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6.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defaultThemeVersion="164011"/>
  <mc:AlternateContent xmlns:mc="http://schemas.openxmlformats.org/markup-compatibility/2006">
    <mc:Choice Requires="x15">
      <x15ac:absPath xmlns:x15ac="http://schemas.microsoft.com/office/spreadsheetml/2010/11/ac" url="\\Aa.ad.epa.gov\ord\CIN\Users\main\A-E\cma02\Net MyDocuments\Cissy-EPA\Sustainability\Emergy analysis\SSWR\Task 5.1\Case study\Bath, NY\Phase I Reports\Final report and SD\Updated files (6.2.17)\"/>
    </mc:Choice>
  </mc:AlternateContent>
  <bookViews>
    <workbookView xWindow="0" yWindow="0" windowWidth="19200" windowHeight="11370"/>
  </bookViews>
  <sheets>
    <sheet name="Readme" sheetId="2" r:id="rId1"/>
    <sheet name="Drivers" sheetId="5" r:id="rId2"/>
    <sheet name="EP" sheetId="27" r:id="rId3"/>
    <sheet name="GWP" sheetId="12" r:id="rId4"/>
    <sheet name="CED" sheetId="35" r:id="rId5"/>
    <sheet name="AP" sheetId="28" r:id="rId6"/>
    <sheet name="PMFP" sheetId="30" r:id="rId7"/>
    <sheet name="SFP" sheetId="31" r:id="rId8"/>
    <sheet name="WU" sheetId="32" r:id="rId9"/>
    <sheet name="FDP" sheetId="33" r:id="rId10"/>
    <sheet name="LCCA" sheetId="7" r:id="rId11"/>
    <sheet name="Mitigation" sheetId="44" r:id="rId12"/>
    <sheet name="Annual Results" sheetId="40" r:id="rId13"/>
    <sheet name="EOL Emissions" sheetId="37" r:id="rId14"/>
    <sheet name="AD Scenarios" sheetId="26" r:id="rId15"/>
    <sheet name="ADCharts" sheetId="38" r:id="rId16"/>
    <sheet name="Compost_Amendment" sheetId="41" r:id="rId17"/>
    <sheet name="OpenLCAbasic" sheetId="1" r:id="rId18"/>
    <sheet name="OpenLCAdetail" sheetId="15" r:id="rId19"/>
    <sheet name="OpenLCA Parameters" sheetId="43" r:id="rId20"/>
    <sheet name="LookUps" sheetId="6" state="hidden" r:id="rId21"/>
  </sheets>
  <externalReferences>
    <externalReference r:id="rId22"/>
  </externalReferences>
  <definedNames>
    <definedName name="_xlnm._FilterDatabase" localSheetId="17" hidden="1">OpenLCAbasic!$A$5:$M$355568</definedName>
    <definedName name="level1_AP">[1]AP_Export!$C$5:$D$14</definedName>
    <definedName name="level1_canc">[1]HH_Canc_Export!$C$5:$D$15</definedName>
    <definedName name="level1_CED">[1]CED_Export!$C$5:$D$14</definedName>
    <definedName name="level1_crit">[1]Crit_Export!$C$5:$D$14</definedName>
    <definedName name="level1_ecotox">[1]Ecotox_Export!$C$5:$D$15</definedName>
    <definedName name="level1_EP">[1]EP_Export!$C$5:$D$15</definedName>
    <definedName name="level1_FD">[1]FD_Export!$C$5:$D$14</definedName>
    <definedName name="level1_GHG">[1]GWP_Export!$C$5:$D$15</definedName>
    <definedName name="level1_H2O">[1]H2O_Export!$C$5:$D$14</definedName>
    <definedName name="level1_noncanc">[1]HH_NonCanc_Export!$C$5:$D$15</definedName>
    <definedName name="level1_ODP">[1]ODP_Export!$C$5:$D$14</definedName>
    <definedName name="level1_smog">[1]Smog_Export!$C$5:$D$14</definedName>
    <definedName name="level21_AP">[1]AP_Export!$C$19:$D$28</definedName>
    <definedName name="level21_canc">[1]HH_Canc_Export!$C$20:$D$30</definedName>
    <definedName name="level21_ced">[1]CED_Export!$C$19:$D$28</definedName>
    <definedName name="level21_crit">[1]Crit_Export!$C$19:$D$28</definedName>
    <definedName name="level21_ecotox">[1]Ecotox_Export!$C$20:$D$30</definedName>
    <definedName name="level21_EP">[1]EP_Export!$C$19:$D$29</definedName>
    <definedName name="level21_FD">[1]FD_Export!$C$19:$D$28</definedName>
    <definedName name="level21_GHG">[1]GWP_Export!$C$19:$D$29</definedName>
    <definedName name="level21_h2o">[1]H2O_Export!$C$19:$D$28</definedName>
    <definedName name="level21_noncanc">[1]HH_NonCanc_Export!$C$20:$D$30</definedName>
    <definedName name="level21_odp">[1]ODP_Export!$C$19:$D$28</definedName>
    <definedName name="level21_Smog">[1]Smog_Export!$C$19:$D$28</definedName>
    <definedName name="level22_AP">[1]AP_Export!$C$33:$D$47</definedName>
    <definedName name="level22_canc">[1]HH_Canc_Export!$C$35:$D$50</definedName>
    <definedName name="level22_CED">[1]CED_Export!$C$33:$D$48</definedName>
    <definedName name="level22_crit">[1]Crit_Export!$C$33:$D$48</definedName>
    <definedName name="level22_ecotox">[1]Ecotox_Export!$C$35:$D$50</definedName>
    <definedName name="level22_EP">[1]EP_Export!$C$33:$D$48</definedName>
    <definedName name="level22_FD">[1]FD_Export!$C$33:$D$48</definedName>
    <definedName name="level22_GHG">[1]GWP_Export!$C$33:$D$48</definedName>
    <definedName name="level22_H2o">[1]H2O_Export!$C$33:$D$48</definedName>
    <definedName name="level22_noncanc">[1]HH_NonCanc_Export!$C$35:$D$50</definedName>
    <definedName name="level22_odp">[1]ODP_Export!$C$33:$D$48</definedName>
    <definedName name="level22_smog">[1]Smog_Export!$C$33:$D$48</definedName>
    <definedName name="level31_AP">[1]AP_Export!$C$52:$D$65</definedName>
    <definedName name="level31_canc">[1]HH_Canc_Export!$C$55:$D$68</definedName>
    <definedName name="level31_ced">[1]CED_Export!$C$53:$D$66</definedName>
    <definedName name="level31_crit">[1]Crit_Export!$C$53:$D$66</definedName>
    <definedName name="level31_ecotox">[1]Ecotox_Export!$C$55:$D$68</definedName>
    <definedName name="level31_EP">[1]EP_Export!$C$52:$D$65</definedName>
    <definedName name="level31_FD">[1]FD_Export!$C$53:$D$66</definedName>
    <definedName name="level31_GHG">[1]GWP_Export!$C$52:$D$65</definedName>
    <definedName name="level31_H2O">[1]H2O_Export!$C$53:$D$66</definedName>
    <definedName name="level31_noncanc">[1]HH_NonCanc_Export!$C$55:$D$68</definedName>
    <definedName name="level31_odp">[1]ODP_Export!$C$53:$D$66</definedName>
    <definedName name="level31_smog">[1]Smog_Export!$C$53:$D$66</definedName>
    <definedName name="level32_ap">[1]AP_Export!$C$70:$D$83</definedName>
    <definedName name="level32_canc">[1]HH_Canc_Export!$C$73:$D$86</definedName>
    <definedName name="level32_ced">[1]CED_Export!$C$71:$D$84</definedName>
    <definedName name="level32_crit">[1]Crit_Export!$C$71:$D$84</definedName>
    <definedName name="level32_ecotox">[1]Ecotox_Export!$C$73:$D$86</definedName>
    <definedName name="level32_EP">[1]EP_Export!$C$69:$D$82</definedName>
    <definedName name="level32_fd">[1]FD_Export!$C$71:$D$84</definedName>
    <definedName name="level32_ghg">[1]GWP_Export!$C$69:$D$82</definedName>
    <definedName name="level32_h2o">[1]H2O_Export!$C$71:$D$84</definedName>
    <definedName name="level32_noncanc">[1]HH_NonCanc_Export!$C$73:$D$86</definedName>
    <definedName name="level32_odp">[1]ODP_Export!$C$71:$D$84</definedName>
    <definedName name="level32_smog">[1]Smog_Export!$C$71:$D$84</definedName>
    <definedName name="level41_AP">[1]AP_Export!$C$88:$D$102</definedName>
    <definedName name="level41_canc">[1]HH_Canc_Export!$C$91:$D$105</definedName>
    <definedName name="level41_CED">[1]CED_Export!$C$89:$D$103</definedName>
    <definedName name="level41_crit">[1]Crit_Export!$C$89:$D$103</definedName>
    <definedName name="level41_ecotox">[1]Ecotox_Export!$C$91:$D$105</definedName>
    <definedName name="level41_EP">[1]EP_Export!$C$86:$D$100</definedName>
    <definedName name="level41_fd">[1]FD_Export!$C$90:$D$104</definedName>
    <definedName name="level41_GHG">[1]GWP_Export!$C$87:$D$101</definedName>
    <definedName name="level41_H2O">[1]H2O_Export!$C$89:$D$103</definedName>
    <definedName name="level41_noncanc">[1]HH_NonCanc_Export!$C$91:$D$105</definedName>
    <definedName name="level41_odp">[1]ODP_Export!$C$89:$D$103</definedName>
    <definedName name="level41_smog">[1]Smog_Export!$C$89:$D$103</definedName>
    <definedName name="level42_ap">[1]AP_Export!$C$107:$D$118</definedName>
    <definedName name="level42_canc">[1]HH_Canc_Export!$C$110:$D$121</definedName>
    <definedName name="level42_ced">[1]CED_Export!$C$108:$D$119</definedName>
    <definedName name="level42_crit">[1]Crit_Export!$C$108:$D$119</definedName>
    <definedName name="level42_ecotox">[1]Ecotox_Export!$C$110:$D$121</definedName>
    <definedName name="level42_EP">[1]EP_Export!$C$104:$D$115</definedName>
    <definedName name="level42_fd">[1]FD_Export!$C$109:$D$120</definedName>
    <definedName name="level42_GHG">[1]GWP_Export!$C$105:$D$116</definedName>
    <definedName name="level42_h2o">[1]H2O_Export!$C$108:$D$119</definedName>
    <definedName name="level42_noncanc">[1]HH_NonCanc_Export!$C$110:$D$121</definedName>
    <definedName name="level42_odp">[1]ODP_Export!$C$108:$D$119</definedName>
    <definedName name="level42_smog">[1]Smog_Export!$C$108:$D$119</definedName>
    <definedName name="level51_ap">[1]AP_Export!$C$123:$D$140</definedName>
    <definedName name="level51_canc">[1]HH_Canc_Export!$C$126:$D$143</definedName>
    <definedName name="level51_ced">[1]CED_Export!$C$124:$D$141</definedName>
    <definedName name="level51_crit">[1]Crit_Export!$C$124:$D$141</definedName>
    <definedName name="level51_ecotox">[1]Ecotox_Export!$C$126:$D$143</definedName>
    <definedName name="level51_EP">[1]EP_Export!$C$119:$D$136</definedName>
    <definedName name="level51_fd">[1]FD_Export!$C$125:$D$142</definedName>
    <definedName name="level51_ghg">[1]GWP_Export!$C$120:$D$137</definedName>
    <definedName name="level51_h2o">[1]H2O_Export!$C$124:$D$141</definedName>
    <definedName name="level51_noncanc">[1]HH_NonCanc_Export!$C$126:$D$143</definedName>
    <definedName name="level51_odp">[1]ODP_Export!$C$124:$D$141</definedName>
    <definedName name="level51_smog">[1]Smog_Export!$C$124:$D$141</definedName>
    <definedName name="level52_ap">[1]AP_Export!$C$145:$D$159</definedName>
    <definedName name="level52_canc">[1]HH_Canc_Export!$C$148:$D$162</definedName>
    <definedName name="level52_ced">[1]CED_Export!$C$146:$D$160</definedName>
    <definedName name="level52_crit">[1]Crit_Export!$C$146:$D$160</definedName>
    <definedName name="level52_ecotox">[1]Ecotox_Export!$C$148:$D$162</definedName>
    <definedName name="level52_EP">[1]EP_Export!$C$140:$D$154</definedName>
    <definedName name="level52_fd">[1]FD_Export!$C$147:$D$161</definedName>
    <definedName name="level52_ghg">[1]GWP_Export!$C$141:$D$155</definedName>
    <definedName name="level52_h2o">[1]H2O_Export!$C$146:$D$160</definedName>
    <definedName name="level52_noncanc">[1]HH_NonCanc_Export!$C$148:$D$162</definedName>
    <definedName name="level52_odp">[1]ODP_Export!$C$146:$D$160</definedName>
    <definedName name="level52_smog">[1]Smog_Export!$C$146:$D$160</definedName>
    <definedName name="Master_Process" localSheetId="5">#REF!</definedName>
    <definedName name="Master_Process" localSheetId="4">#REF!</definedName>
    <definedName name="Master_Process" localSheetId="1">#REF!</definedName>
    <definedName name="Master_Process" localSheetId="2">#REF!</definedName>
    <definedName name="Master_Process" localSheetId="9">#REF!</definedName>
    <definedName name="Master_Process" localSheetId="3">#REF!</definedName>
    <definedName name="Master_Process" localSheetId="18">#REF!</definedName>
    <definedName name="Master_Process" localSheetId="6">#REF!</definedName>
    <definedName name="Master_Process" localSheetId="7">#REF!</definedName>
    <definedName name="Master_Process" localSheetId="8">#REF!</definedName>
    <definedName name="Master_Process">#REF!</definedName>
    <definedName name="process_name" localSheetId="5">AP!$B$14:$B$32</definedName>
    <definedName name="process_name" localSheetId="4">CED!$B$14:$B$32</definedName>
    <definedName name="process_name" localSheetId="2">EP!$B$14:$B$32</definedName>
    <definedName name="process_name" localSheetId="9">FDP!$B$14:$B$32</definedName>
    <definedName name="process_name" localSheetId="3">GWP!$B$14:$B$32</definedName>
    <definedName name="process_name" localSheetId="6">PMFP!$B$14:$B$32</definedName>
    <definedName name="process_name" localSheetId="7">SFP!$B$14:$B$32</definedName>
    <definedName name="process_name" localSheetId="8">WU!$B$14:$B$32</definedName>
    <definedName name="process_name">[1]GWP!$B$4:$B$29</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4" i="32" l="1"/>
  <c r="J25" i="40" l="1"/>
  <c r="K25" i="40"/>
  <c r="L25" i="40"/>
  <c r="J26" i="40"/>
  <c r="K26" i="40"/>
  <c r="L26" i="40"/>
  <c r="J27" i="40"/>
  <c r="K27" i="40"/>
  <c r="L27" i="40"/>
  <c r="J28" i="40"/>
  <c r="K28" i="40"/>
  <c r="L28" i="40"/>
  <c r="J29" i="40"/>
  <c r="K29" i="40"/>
  <c r="L29" i="40"/>
  <c r="J30" i="40"/>
  <c r="K30" i="40"/>
  <c r="L30" i="40"/>
  <c r="J31" i="40"/>
  <c r="K31" i="40"/>
  <c r="L31" i="40"/>
  <c r="J32" i="40"/>
  <c r="K32" i="40"/>
  <c r="L32" i="40"/>
  <c r="J33" i="40"/>
  <c r="K33" i="40"/>
  <c r="L33" i="40"/>
  <c r="J34" i="40"/>
  <c r="K34" i="40"/>
  <c r="L34" i="40"/>
  <c r="J7" i="37"/>
  <c r="J8" i="37"/>
  <c r="J9" i="37"/>
  <c r="J10" i="37"/>
  <c r="J11" i="37"/>
  <c r="J12" i="37"/>
  <c r="J13" i="37"/>
  <c r="J14" i="37"/>
  <c r="J15" i="37"/>
  <c r="J16" i="37"/>
  <c r="J17" i="37"/>
  <c r="J6" i="37"/>
  <c r="J86" i="15" l="1"/>
  <c r="C71" i="15" l="1"/>
  <c r="C72" i="15"/>
  <c r="C73" i="15"/>
  <c r="C74" i="15"/>
  <c r="C75" i="15"/>
  <c r="C76" i="15"/>
  <c r="J189" i="15"/>
  <c r="J182" i="15"/>
  <c r="J175" i="15"/>
  <c r="J172" i="15"/>
  <c r="J165" i="15"/>
  <c r="J162" i="15"/>
  <c r="J153" i="15"/>
  <c r="J144" i="15"/>
  <c r="J136" i="15"/>
  <c r="J131" i="15"/>
  <c r="J123" i="15"/>
  <c r="J116" i="15"/>
  <c r="J113" i="15"/>
  <c r="J110" i="15"/>
  <c r="J103" i="15"/>
  <c r="J98" i="15"/>
  <c r="J90" i="15"/>
  <c r="J77" i="15"/>
  <c r="J68" i="15"/>
  <c r="J62" i="15"/>
  <c r="J55" i="15"/>
  <c r="J48" i="15"/>
  <c r="J45" i="15"/>
  <c r="J42" i="15"/>
  <c r="J38" i="15"/>
  <c r="J31" i="15"/>
  <c r="J23" i="15"/>
  <c r="J14" i="15"/>
  <c r="J5" i="15"/>
  <c r="J22" i="15"/>
  <c r="J69" i="15"/>
  <c r="J70" i="15"/>
  <c r="J71" i="15"/>
  <c r="J72" i="15"/>
  <c r="J73" i="15"/>
  <c r="J74" i="15"/>
  <c r="J75" i="15"/>
  <c r="J76" i="15"/>
  <c r="J78" i="15"/>
  <c r="J79" i="15"/>
  <c r="J80" i="15"/>
  <c r="J81" i="15"/>
  <c r="J82" i="15"/>
  <c r="J83" i="15"/>
  <c r="J84" i="15"/>
  <c r="J85" i="15"/>
  <c r="J87" i="15"/>
  <c r="J88" i="15"/>
  <c r="J89" i="15"/>
  <c r="J91" i="15"/>
  <c r="J92" i="15"/>
  <c r="J93" i="15"/>
  <c r="J94" i="15"/>
  <c r="J95" i="15"/>
  <c r="J96" i="15"/>
  <c r="J97" i="15"/>
  <c r="J99" i="15"/>
  <c r="J100" i="15"/>
  <c r="J101" i="15"/>
  <c r="J102" i="15"/>
  <c r="J104" i="15"/>
  <c r="J105" i="15"/>
  <c r="J106" i="15"/>
  <c r="J107" i="15"/>
  <c r="J108" i="15"/>
  <c r="J109" i="15"/>
  <c r="J111" i="15"/>
  <c r="J112" i="15"/>
  <c r="J114" i="15"/>
  <c r="J115" i="15"/>
  <c r="J117" i="15"/>
  <c r="J118" i="15"/>
  <c r="J119" i="15"/>
  <c r="J120" i="15"/>
  <c r="J121" i="15"/>
  <c r="J122" i="15"/>
  <c r="J124" i="15"/>
  <c r="J125" i="15"/>
  <c r="J126" i="15"/>
  <c r="J127" i="15"/>
  <c r="J128" i="15"/>
  <c r="J129" i="15"/>
  <c r="K68" i="15"/>
  <c r="K69" i="15"/>
  <c r="K70" i="15"/>
  <c r="K71" i="15"/>
  <c r="K72" i="15"/>
  <c r="K73" i="15"/>
  <c r="K74" i="15"/>
  <c r="K75" i="15"/>
  <c r="K76" i="15"/>
  <c r="K77" i="15"/>
  <c r="J6" i="15"/>
  <c r="J7" i="15"/>
  <c r="J8" i="15"/>
  <c r="J9" i="15"/>
  <c r="J10" i="15"/>
  <c r="J11" i="15"/>
  <c r="J12" i="15"/>
  <c r="J13" i="15"/>
  <c r="J15" i="15"/>
  <c r="J16" i="15"/>
  <c r="J17" i="15"/>
  <c r="J18" i="15"/>
  <c r="J19" i="15"/>
  <c r="J20" i="15"/>
  <c r="J21" i="15"/>
  <c r="J24" i="15"/>
  <c r="J25" i="15"/>
  <c r="J26" i="15"/>
  <c r="J27" i="15"/>
  <c r="J28" i="15"/>
  <c r="J29" i="15"/>
  <c r="J30" i="15"/>
  <c r="J32" i="15"/>
  <c r="J33" i="15"/>
  <c r="J34" i="15"/>
  <c r="J35" i="15"/>
  <c r="J36" i="15"/>
  <c r="J37" i="15"/>
  <c r="J39" i="15"/>
  <c r="J40" i="15"/>
  <c r="J41" i="15"/>
  <c r="J43" i="15"/>
  <c r="J44" i="15"/>
  <c r="J46" i="15"/>
  <c r="J47" i="15"/>
  <c r="J49" i="15"/>
  <c r="J50" i="15"/>
  <c r="J51" i="15"/>
  <c r="J52" i="15"/>
  <c r="J53" i="15"/>
  <c r="J54" i="15"/>
  <c r="J56" i="15"/>
  <c r="J57" i="15"/>
  <c r="J58" i="15"/>
  <c r="J59" i="15"/>
  <c r="J60" i="15"/>
  <c r="J61" i="15"/>
  <c r="J63" i="15"/>
  <c r="J64" i="15"/>
  <c r="J65" i="15"/>
  <c r="J66" i="15"/>
  <c r="J132" i="15"/>
  <c r="J133" i="15"/>
  <c r="J134" i="15"/>
  <c r="J135" i="15"/>
  <c r="J137" i="15"/>
  <c r="J138" i="15"/>
  <c r="J139" i="15"/>
  <c r="J140" i="15"/>
  <c r="J141" i="15"/>
  <c r="J142" i="15"/>
  <c r="J143" i="15"/>
  <c r="J145" i="15"/>
  <c r="J146" i="15"/>
  <c r="J147" i="15"/>
  <c r="J148" i="15"/>
  <c r="J149" i="15"/>
  <c r="J150" i="15"/>
  <c r="J151" i="15"/>
  <c r="J152" i="15"/>
  <c r="J154" i="15"/>
  <c r="J155" i="15"/>
  <c r="J156" i="15"/>
  <c r="J157" i="15"/>
  <c r="J158" i="15"/>
  <c r="J159" i="15"/>
  <c r="J160" i="15"/>
  <c r="J161" i="15"/>
  <c r="J163" i="15"/>
  <c r="J164" i="15"/>
  <c r="J166" i="15"/>
  <c r="J167" i="15"/>
  <c r="J168" i="15"/>
  <c r="J169" i="15"/>
  <c r="J170" i="15"/>
  <c r="J171" i="15"/>
  <c r="J173" i="15"/>
  <c r="J174" i="15"/>
  <c r="J176" i="15"/>
  <c r="J177" i="15"/>
  <c r="J178" i="15"/>
  <c r="J179" i="15"/>
  <c r="J180" i="15"/>
  <c r="J181" i="15"/>
  <c r="J183" i="15"/>
  <c r="J184" i="15"/>
  <c r="J185" i="15"/>
  <c r="J186" i="15"/>
  <c r="J187" i="15"/>
  <c r="J188" i="15"/>
  <c r="J190" i="15"/>
  <c r="J191" i="15"/>
  <c r="J192" i="15"/>
  <c r="F7795" i="1" l="1"/>
  <c r="F7796" i="1"/>
  <c r="F7797" i="1"/>
  <c r="F7798" i="1"/>
  <c r="F7799" i="1"/>
  <c r="F7800" i="1"/>
  <c r="F7801" i="1"/>
  <c r="F7802" i="1"/>
  <c r="F7803" i="1"/>
  <c r="F7804" i="1"/>
  <c r="F7805" i="1"/>
  <c r="F7806" i="1"/>
  <c r="F7807" i="1"/>
  <c r="F7808" i="1"/>
  <c r="F7809" i="1"/>
  <c r="F7810" i="1"/>
  <c r="F7811" i="1"/>
  <c r="F7812" i="1"/>
  <c r="L1368" i="1" l="1"/>
  <c r="L1369" i="1"/>
  <c r="L1370" i="1"/>
  <c r="L1371" i="1"/>
  <c r="L1372" i="1"/>
  <c r="L1373" i="1"/>
  <c r="L1351" i="1"/>
  <c r="M1351" i="1" s="1"/>
  <c r="L1352" i="1"/>
  <c r="L1353" i="1"/>
  <c r="L1354" i="1"/>
  <c r="L1355" i="1"/>
  <c r="L1356" i="1"/>
  <c r="L1357" i="1"/>
  <c r="L1358" i="1"/>
  <c r="L1359" i="1"/>
  <c r="L1360" i="1"/>
  <c r="L1361" i="1"/>
  <c r="L1362" i="1"/>
  <c r="L1363" i="1"/>
  <c r="L1364" i="1"/>
  <c r="L1365" i="1"/>
  <c r="L1366" i="1"/>
  <c r="L1367"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J483" i="15"/>
  <c r="J482" i="15"/>
  <c r="J481" i="15"/>
  <c r="J474" i="15"/>
  <c r="J468" i="15"/>
  <c r="J465" i="15"/>
  <c r="J462" i="15"/>
  <c r="J459" i="15"/>
  <c r="J451" i="15"/>
  <c r="J442" i="15"/>
  <c r="J432" i="15"/>
  <c r="J425" i="15"/>
  <c r="J419" i="15"/>
  <c r="J414" i="15"/>
  <c r="J405" i="15"/>
  <c r="J399" i="15"/>
  <c r="J394" i="15"/>
  <c r="J383" i="15"/>
  <c r="J377" i="15"/>
  <c r="J372" i="15"/>
  <c r="J370" i="15"/>
  <c r="J363" i="15"/>
  <c r="J358" i="15"/>
  <c r="J352" i="15"/>
  <c r="J349" i="15"/>
  <c r="J346" i="15"/>
  <c r="J343" i="15"/>
  <c r="J335" i="15"/>
  <c r="J329" i="15"/>
  <c r="J320" i="15"/>
  <c r="J313" i="15"/>
  <c r="J303" i="15"/>
  <c r="J294" i="15"/>
  <c r="J287" i="15"/>
  <c r="J277" i="15"/>
  <c r="J275" i="15"/>
  <c r="J268" i="15"/>
  <c r="J262" i="15"/>
  <c r="J259" i="15"/>
  <c r="J256" i="15"/>
  <c r="J253" i="15"/>
  <c r="J208" i="15"/>
  <c r="J245" i="15"/>
  <c r="J239" i="15"/>
  <c r="J234" i="15"/>
  <c r="J227" i="15"/>
  <c r="J217" i="15"/>
  <c r="J199" i="15"/>
  <c r="J194" i="15"/>
  <c r="J198" i="15"/>
  <c r="J200" i="15"/>
  <c r="J201" i="15"/>
  <c r="J202" i="15"/>
  <c r="J203" i="15"/>
  <c r="J204" i="15"/>
  <c r="J205" i="15"/>
  <c r="J206" i="15"/>
  <c r="J207" i="15"/>
  <c r="J209" i="15"/>
  <c r="J210" i="15"/>
  <c r="J211" i="15"/>
  <c r="J212" i="15"/>
  <c r="J213" i="15"/>
  <c r="J214" i="15"/>
  <c r="J215" i="15"/>
  <c r="J216" i="15"/>
  <c r="J218" i="15"/>
  <c r="J219" i="15"/>
  <c r="J220" i="15"/>
  <c r="J221" i="15"/>
  <c r="J222" i="15"/>
  <c r="J223" i="15"/>
  <c r="J224" i="15"/>
  <c r="J225" i="15"/>
  <c r="J226" i="15"/>
  <c r="J228" i="15"/>
  <c r="J229" i="15"/>
  <c r="J230" i="15"/>
  <c r="J231" i="15"/>
  <c r="J232" i="15"/>
  <c r="J233" i="15"/>
  <c r="J235" i="15"/>
  <c r="J236" i="15"/>
  <c r="J237" i="15"/>
  <c r="J238" i="15"/>
  <c r="J240" i="15"/>
  <c r="J241" i="15"/>
  <c r="J242" i="15"/>
  <c r="J243" i="15"/>
  <c r="J244" i="15"/>
  <c r="J246" i="15"/>
  <c r="J247" i="15"/>
  <c r="J248" i="15"/>
  <c r="J249" i="15"/>
  <c r="J250" i="15"/>
  <c r="J251" i="15"/>
  <c r="J252" i="15"/>
  <c r="J254" i="15"/>
  <c r="J255" i="15"/>
  <c r="J257" i="15"/>
  <c r="J258" i="15"/>
  <c r="J260" i="15"/>
  <c r="J261" i="15"/>
  <c r="J263" i="15"/>
  <c r="J264" i="15"/>
  <c r="J265" i="15"/>
  <c r="J266" i="15"/>
  <c r="J267" i="15"/>
  <c r="J269" i="15"/>
  <c r="J270" i="15"/>
  <c r="J271" i="15"/>
  <c r="J272" i="15"/>
  <c r="J273" i="15"/>
  <c r="J274" i="15"/>
  <c r="J276" i="15"/>
  <c r="J278" i="15"/>
  <c r="J279" i="15"/>
  <c r="J280" i="15"/>
  <c r="J281" i="15"/>
  <c r="J282" i="15"/>
  <c r="J283" i="15"/>
  <c r="J284" i="15"/>
  <c r="J285" i="15"/>
  <c r="J286" i="15"/>
  <c r="J288" i="15"/>
  <c r="J289" i="15"/>
  <c r="J290" i="15"/>
  <c r="J291" i="15"/>
  <c r="J292" i="15"/>
  <c r="J295" i="15"/>
  <c r="J296" i="15"/>
  <c r="J297" i="15"/>
  <c r="J298" i="15"/>
  <c r="J299" i="15"/>
  <c r="J300" i="15"/>
  <c r="J301" i="15"/>
  <c r="J302" i="15"/>
  <c r="J304" i="15"/>
  <c r="J305" i="15"/>
  <c r="J306" i="15"/>
  <c r="J307" i="15"/>
  <c r="J308" i="15"/>
  <c r="J309" i="15"/>
  <c r="J310" i="15"/>
  <c r="J311" i="15"/>
  <c r="J312" i="15"/>
  <c r="J314" i="15"/>
  <c r="J315" i="15"/>
  <c r="J316" i="15"/>
  <c r="J317" i="15"/>
  <c r="J318" i="15"/>
  <c r="J319" i="15"/>
  <c r="J321" i="15"/>
  <c r="J322" i="15"/>
  <c r="J323" i="15"/>
  <c r="J324" i="15"/>
  <c r="J325" i="15"/>
  <c r="J326" i="15"/>
  <c r="J327" i="15"/>
  <c r="J328" i="15"/>
  <c r="J330" i="15"/>
  <c r="J331" i="15"/>
  <c r="J332" i="15"/>
  <c r="J333" i="15"/>
  <c r="J334" i="15"/>
  <c r="J336" i="15"/>
  <c r="J337" i="15"/>
  <c r="J338" i="15"/>
  <c r="J339" i="15"/>
  <c r="J340" i="15"/>
  <c r="J341" i="15"/>
  <c r="J342" i="15"/>
  <c r="J344" i="15"/>
  <c r="J345" i="15"/>
  <c r="J347" i="15"/>
  <c r="J348" i="15"/>
  <c r="J350" i="15"/>
  <c r="J351" i="15"/>
  <c r="J353" i="15"/>
  <c r="J354" i="15"/>
  <c r="J355" i="15"/>
  <c r="J356" i="15"/>
  <c r="J357" i="15"/>
  <c r="J359" i="15"/>
  <c r="J360" i="15"/>
  <c r="J361" i="15"/>
  <c r="J362" i="15"/>
  <c r="J364" i="15"/>
  <c r="J365" i="15"/>
  <c r="J366" i="15"/>
  <c r="J367" i="15"/>
  <c r="J368" i="15"/>
  <c r="J369" i="15"/>
  <c r="J371" i="15"/>
  <c r="J373" i="15"/>
  <c r="J374" i="15"/>
  <c r="J375" i="15"/>
  <c r="J376" i="15"/>
  <c r="J378" i="15"/>
  <c r="J379" i="15"/>
  <c r="J380" i="15"/>
  <c r="J381" i="15"/>
  <c r="J382" i="15"/>
  <c r="J384" i="15"/>
  <c r="J385" i="15"/>
  <c r="J386" i="15"/>
  <c r="J387" i="15"/>
  <c r="J388" i="15"/>
  <c r="J389" i="15"/>
  <c r="J390" i="15"/>
  <c r="J391" i="15"/>
  <c r="J392" i="15"/>
  <c r="J395" i="15"/>
  <c r="J396" i="15"/>
  <c r="J397" i="15"/>
  <c r="J398" i="15"/>
  <c r="J400" i="15"/>
  <c r="J401" i="15"/>
  <c r="J402" i="15"/>
  <c r="J403" i="15"/>
  <c r="J404" i="15"/>
  <c r="J406" i="15"/>
  <c r="J407" i="15"/>
  <c r="J408" i="15"/>
  <c r="J409" i="15"/>
  <c r="J410" i="15"/>
  <c r="J411" i="15"/>
  <c r="J412" i="15"/>
  <c r="J413" i="15"/>
  <c r="J415" i="15"/>
  <c r="J416" i="15"/>
  <c r="J417" i="15"/>
  <c r="J418" i="15"/>
  <c r="J420" i="15"/>
  <c r="J421" i="15"/>
  <c r="J422" i="15"/>
  <c r="J423" i="15"/>
  <c r="J424" i="15"/>
  <c r="J426" i="15"/>
  <c r="J427" i="15"/>
  <c r="J428" i="15"/>
  <c r="J429" i="15"/>
  <c r="J430" i="15"/>
  <c r="J431" i="15"/>
  <c r="J433" i="15"/>
  <c r="J434" i="15"/>
  <c r="J435" i="15"/>
  <c r="J436" i="15"/>
  <c r="J437" i="15"/>
  <c r="J438" i="15"/>
  <c r="J439" i="15"/>
  <c r="J440" i="15"/>
  <c r="J441" i="15"/>
  <c r="J443" i="15"/>
  <c r="J444" i="15"/>
  <c r="J445" i="15"/>
  <c r="J446" i="15"/>
  <c r="J447" i="15"/>
  <c r="J448" i="15"/>
  <c r="J449" i="15"/>
  <c r="J450" i="15"/>
  <c r="J452" i="15"/>
  <c r="J453" i="15"/>
  <c r="J454" i="15"/>
  <c r="J455" i="15"/>
  <c r="J456" i="15"/>
  <c r="J457" i="15"/>
  <c r="J458" i="15"/>
  <c r="J460" i="15"/>
  <c r="J461" i="15"/>
  <c r="J463" i="15"/>
  <c r="J464" i="15"/>
  <c r="J466" i="15"/>
  <c r="J467" i="15"/>
  <c r="J469" i="15"/>
  <c r="J470" i="15"/>
  <c r="J471" i="15"/>
  <c r="J472" i="15"/>
  <c r="J473" i="15"/>
  <c r="J475" i="15"/>
  <c r="J476" i="15"/>
  <c r="J477" i="15"/>
  <c r="J478" i="15"/>
  <c r="J479" i="15"/>
  <c r="J480" i="15"/>
  <c r="J484" i="15"/>
  <c r="J485" i="15"/>
  <c r="J486" i="15"/>
  <c r="J487" i="15"/>
  <c r="J488" i="15"/>
  <c r="J489" i="15"/>
  <c r="J490" i="15"/>
  <c r="J491" i="15"/>
  <c r="J492" i="15"/>
  <c r="J195" i="15"/>
  <c r="J196" i="15"/>
  <c r="J197" i="15"/>
  <c r="D17" i="40" l="1"/>
  <c r="D82" i="7" l="1"/>
  <c r="E82" i="7"/>
  <c r="F82" i="7"/>
  <c r="G82" i="7"/>
  <c r="H82" i="7"/>
  <c r="I82" i="7"/>
  <c r="D83" i="7"/>
  <c r="E83" i="7"/>
  <c r="F83" i="7"/>
  <c r="G83" i="7"/>
  <c r="H83" i="7"/>
  <c r="I83" i="7"/>
  <c r="D84" i="7"/>
  <c r="E84" i="7"/>
  <c r="F84" i="7"/>
  <c r="G84" i="7"/>
  <c r="H84" i="7"/>
  <c r="I84" i="7"/>
  <c r="D85" i="7"/>
  <c r="E85" i="7"/>
  <c r="F85" i="7"/>
  <c r="G85" i="7"/>
  <c r="H85" i="7"/>
  <c r="I85" i="7"/>
  <c r="D86" i="7"/>
  <c r="E86" i="7"/>
  <c r="F86" i="7"/>
  <c r="G86" i="7"/>
  <c r="H86" i="7"/>
  <c r="I86" i="7"/>
  <c r="D87" i="7"/>
  <c r="E87" i="7"/>
  <c r="F87" i="7"/>
  <c r="G87" i="7"/>
  <c r="H87" i="7"/>
  <c r="I87" i="7"/>
  <c r="D88" i="7"/>
  <c r="E88" i="7"/>
  <c r="F88" i="7"/>
  <c r="G88" i="7"/>
  <c r="H88" i="7"/>
  <c r="I88" i="7"/>
  <c r="D89" i="7"/>
  <c r="E89" i="7"/>
  <c r="F89" i="7"/>
  <c r="G89" i="7"/>
  <c r="H89" i="7"/>
  <c r="I89" i="7"/>
  <c r="D90" i="7"/>
  <c r="E90" i="7"/>
  <c r="F90" i="7"/>
  <c r="G90" i="7"/>
  <c r="H90" i="7"/>
  <c r="I90" i="7"/>
  <c r="D91" i="7"/>
  <c r="E91" i="7"/>
  <c r="F91" i="7"/>
  <c r="G91" i="7"/>
  <c r="H91" i="7"/>
  <c r="I91" i="7"/>
  <c r="D92" i="7"/>
  <c r="E92" i="7"/>
  <c r="F92" i="7"/>
  <c r="G92" i="7"/>
  <c r="H92" i="7"/>
  <c r="I92" i="7"/>
  <c r="D93" i="7"/>
  <c r="E93" i="7"/>
  <c r="F93" i="7"/>
  <c r="G93" i="7"/>
  <c r="H93" i="7"/>
  <c r="I93" i="7"/>
  <c r="D94" i="7"/>
  <c r="E94" i="7"/>
  <c r="F94" i="7"/>
  <c r="G94" i="7"/>
  <c r="H94" i="7"/>
  <c r="I94" i="7"/>
  <c r="D95" i="7"/>
  <c r="E95" i="7"/>
  <c r="F95" i="7"/>
  <c r="G95" i="7"/>
  <c r="H95" i="7"/>
  <c r="I95" i="7"/>
  <c r="D96" i="7"/>
  <c r="E96" i="7"/>
  <c r="F96" i="7"/>
  <c r="G96" i="7"/>
  <c r="H96" i="7"/>
  <c r="I96" i="7"/>
  <c r="D97" i="7"/>
  <c r="E97" i="7"/>
  <c r="F97" i="7"/>
  <c r="G97" i="7"/>
  <c r="H97" i="7"/>
  <c r="I97" i="7"/>
  <c r="D98" i="7"/>
  <c r="E98" i="7"/>
  <c r="F98" i="7"/>
  <c r="G98" i="7"/>
  <c r="H98" i="7"/>
  <c r="I98" i="7"/>
  <c r="D99" i="7"/>
  <c r="E99" i="7"/>
  <c r="F99" i="7"/>
  <c r="G99" i="7"/>
  <c r="H99" i="7"/>
  <c r="I99" i="7"/>
  <c r="D100" i="7"/>
  <c r="E100" i="7"/>
  <c r="F100" i="7"/>
  <c r="G100" i="7"/>
  <c r="H100" i="7"/>
  <c r="I100" i="7"/>
  <c r="D101" i="7"/>
  <c r="E101" i="7"/>
  <c r="F101" i="7"/>
  <c r="G101" i="7"/>
  <c r="H101" i="7"/>
  <c r="I101" i="7"/>
  <c r="D102" i="7"/>
  <c r="E102" i="7"/>
  <c r="F102" i="7"/>
  <c r="G102" i="7"/>
  <c r="H102" i="7"/>
  <c r="I102" i="7"/>
  <c r="D103" i="7"/>
  <c r="E103" i="7"/>
  <c r="F103" i="7"/>
  <c r="G103" i="7"/>
  <c r="H103" i="7"/>
  <c r="I103" i="7"/>
  <c r="D104" i="7"/>
  <c r="E104" i="7"/>
  <c r="F104" i="7"/>
  <c r="G104" i="7"/>
  <c r="H104" i="7"/>
  <c r="I104" i="7"/>
  <c r="D105" i="7"/>
  <c r="E105" i="7"/>
  <c r="F105" i="7"/>
  <c r="G105" i="7"/>
  <c r="H105" i="7"/>
  <c r="I105" i="7"/>
  <c r="D106" i="7"/>
  <c r="E106" i="7"/>
  <c r="F106" i="7"/>
  <c r="G106" i="7"/>
  <c r="H106" i="7"/>
  <c r="I106" i="7"/>
  <c r="D107" i="7"/>
  <c r="E107" i="7"/>
  <c r="F107" i="7"/>
  <c r="G107" i="7"/>
  <c r="H107" i="7"/>
  <c r="I107" i="7"/>
  <c r="E81" i="7"/>
  <c r="F81" i="7"/>
  <c r="G81" i="7"/>
  <c r="H81" i="7"/>
  <c r="I81" i="7"/>
  <c r="D81" i="7"/>
  <c r="K18" i="7" l="1"/>
  <c r="K43" i="7"/>
  <c r="K67" i="7"/>
  <c r="D25" i="40" l="1"/>
  <c r="W10" i="44" l="1"/>
  <c r="X10" i="44"/>
  <c r="Y10" i="44"/>
  <c r="Z10" i="44"/>
  <c r="AA10" i="44"/>
  <c r="AB10" i="44"/>
  <c r="W11" i="44"/>
  <c r="X11" i="44"/>
  <c r="Y11" i="44"/>
  <c r="Z11" i="44"/>
  <c r="AA11" i="44"/>
  <c r="AB11" i="44"/>
  <c r="W12" i="44"/>
  <c r="X12" i="44"/>
  <c r="Y12" i="44"/>
  <c r="Z12" i="44"/>
  <c r="AA12" i="44"/>
  <c r="AB12" i="44"/>
  <c r="W13" i="44"/>
  <c r="X13" i="44"/>
  <c r="Y13" i="44"/>
  <c r="Z13" i="44"/>
  <c r="AA13" i="44"/>
  <c r="AB13" i="44"/>
  <c r="W14" i="44"/>
  <c r="X14" i="44"/>
  <c r="Y14" i="44"/>
  <c r="Z14" i="44"/>
  <c r="AA14" i="44"/>
  <c r="AB14" i="44"/>
  <c r="X9" i="44"/>
  <c r="Y9" i="44"/>
  <c r="Z9" i="44"/>
  <c r="AA9" i="44"/>
  <c r="AB9" i="44"/>
  <c r="W9" i="44"/>
  <c r="P10" i="44"/>
  <c r="Q10" i="44"/>
  <c r="R10" i="44"/>
  <c r="S10" i="44"/>
  <c r="T10" i="44"/>
  <c r="U10" i="44"/>
  <c r="P11" i="44"/>
  <c r="Q11" i="44"/>
  <c r="R11" i="44"/>
  <c r="S11" i="44"/>
  <c r="T11" i="44"/>
  <c r="U11" i="44"/>
  <c r="P12" i="44"/>
  <c r="Q12" i="44"/>
  <c r="R12" i="44"/>
  <c r="S12" i="44"/>
  <c r="T12" i="44"/>
  <c r="U12" i="44"/>
  <c r="P13" i="44"/>
  <c r="Q13" i="44"/>
  <c r="R13" i="44"/>
  <c r="S13" i="44"/>
  <c r="T13" i="44"/>
  <c r="U13" i="44"/>
  <c r="P14" i="44"/>
  <c r="Q14" i="44"/>
  <c r="R14" i="44"/>
  <c r="S14" i="44"/>
  <c r="T14" i="44"/>
  <c r="U14" i="44"/>
  <c r="Q9" i="44"/>
  <c r="R9" i="44"/>
  <c r="S9" i="44"/>
  <c r="T9" i="44"/>
  <c r="U9" i="44"/>
  <c r="P9" i="44"/>
  <c r="C36" i="44"/>
  <c r="D36" i="44"/>
  <c r="E36" i="44"/>
  <c r="F36" i="44"/>
  <c r="G36" i="44"/>
  <c r="B36" i="44"/>
  <c r="H36" i="44"/>
  <c r="H40" i="44" l="1"/>
  <c r="H39" i="44"/>
  <c r="H38" i="44"/>
  <c r="H37" i="44"/>
  <c r="H35" i="44"/>
  <c r="H34" i="44"/>
  <c r="H33" i="44"/>
  <c r="H32" i="44"/>
  <c r="H31" i="44"/>
  <c r="H30" i="44"/>
  <c r="H29" i="44"/>
  <c r="H28" i="44"/>
  <c r="H27" i="44"/>
  <c r="H26" i="44"/>
  <c r="H25" i="44"/>
  <c r="H24" i="44"/>
  <c r="H23" i="44"/>
  <c r="H22" i="44"/>
  <c r="H21" i="44"/>
  <c r="H20" i="44"/>
  <c r="C31" i="44" l="1"/>
  <c r="D31" i="44"/>
  <c r="E31" i="44"/>
  <c r="F31" i="44"/>
  <c r="G31" i="44"/>
  <c r="B31" i="44"/>
  <c r="C40" i="44"/>
  <c r="D40" i="44"/>
  <c r="B40" i="44"/>
  <c r="E40" i="44"/>
  <c r="F40" i="44"/>
  <c r="G40" i="44"/>
  <c r="E24" i="44"/>
  <c r="F24" i="44"/>
  <c r="G24" i="44"/>
  <c r="B24" i="44"/>
  <c r="C24" i="44"/>
  <c r="D24" i="44"/>
  <c r="E32" i="44"/>
  <c r="F32" i="44"/>
  <c r="G32" i="44"/>
  <c r="D32" i="44"/>
  <c r="B32" i="44"/>
  <c r="C32" i="44"/>
  <c r="G25" i="44"/>
  <c r="E25" i="44"/>
  <c r="B25" i="44"/>
  <c r="C25" i="44"/>
  <c r="D25" i="44"/>
  <c r="F25" i="44"/>
  <c r="G26" i="44"/>
  <c r="B26" i="44"/>
  <c r="C26" i="44"/>
  <c r="D26" i="44"/>
  <c r="E26" i="44"/>
  <c r="F26" i="44"/>
  <c r="B34" i="44"/>
  <c r="C34" i="44"/>
  <c r="G34" i="44"/>
  <c r="D34" i="44"/>
  <c r="E34" i="44"/>
  <c r="F34" i="44"/>
  <c r="C23" i="44"/>
  <c r="D23" i="44"/>
  <c r="E23" i="44"/>
  <c r="F23" i="44"/>
  <c r="G23" i="44"/>
  <c r="B23" i="44"/>
  <c r="G33" i="44"/>
  <c r="E33" i="44"/>
  <c r="B33" i="44"/>
  <c r="C33" i="44"/>
  <c r="D33" i="44"/>
  <c r="F33" i="44"/>
  <c r="C27" i="44"/>
  <c r="D27" i="44"/>
  <c r="E27" i="44"/>
  <c r="F27" i="44"/>
  <c r="G27" i="44"/>
  <c r="B27" i="44"/>
  <c r="C35" i="44"/>
  <c r="B35" i="44"/>
  <c r="D35" i="44"/>
  <c r="E35" i="44"/>
  <c r="F35" i="44"/>
  <c r="G35" i="44"/>
  <c r="F20" i="44"/>
  <c r="E20" i="44"/>
  <c r="G20" i="44"/>
  <c r="B20" i="44"/>
  <c r="C20" i="44"/>
  <c r="D20" i="44"/>
  <c r="E28" i="44"/>
  <c r="F28" i="44"/>
  <c r="G28" i="44"/>
  <c r="C28" i="44"/>
  <c r="B28" i="44"/>
  <c r="D28" i="44"/>
  <c r="E37" i="44"/>
  <c r="C37" i="44"/>
  <c r="F37" i="44"/>
  <c r="D37" i="44"/>
  <c r="G37" i="44"/>
  <c r="B37" i="44"/>
  <c r="G21" i="44"/>
  <c r="B21" i="44"/>
  <c r="C21" i="44"/>
  <c r="D21" i="44"/>
  <c r="E21" i="44"/>
  <c r="F21" i="44"/>
  <c r="G29" i="44"/>
  <c r="B29" i="44"/>
  <c r="C29" i="44"/>
  <c r="D29" i="44"/>
  <c r="E29" i="44"/>
  <c r="F29" i="44"/>
  <c r="G38" i="44"/>
  <c r="B38" i="44"/>
  <c r="C38" i="44"/>
  <c r="D38" i="44"/>
  <c r="E38" i="44"/>
  <c r="F38" i="44"/>
  <c r="B22" i="44"/>
  <c r="C22" i="44"/>
  <c r="G22" i="44"/>
  <c r="D22" i="44"/>
  <c r="E22" i="44"/>
  <c r="F22" i="44"/>
  <c r="B30" i="44"/>
  <c r="G30" i="44"/>
  <c r="C30" i="44"/>
  <c r="D30" i="44"/>
  <c r="E30" i="44"/>
  <c r="F30" i="44"/>
  <c r="B39" i="44"/>
  <c r="G39" i="44"/>
  <c r="C39" i="44"/>
  <c r="D39" i="44"/>
  <c r="E39" i="44"/>
  <c r="F39" i="44"/>
  <c r="H13" i="37"/>
  <c r="H7" i="37"/>
  <c r="H8" i="37"/>
  <c r="H9" i="37"/>
  <c r="H10" i="37"/>
  <c r="H11" i="37"/>
  <c r="H12" i="37"/>
  <c r="H14" i="37"/>
  <c r="H15" i="37"/>
  <c r="H16" i="37"/>
  <c r="H17" i="37"/>
  <c r="H6" i="37"/>
  <c r="W23" i="44" l="1"/>
  <c r="P23" i="44"/>
  <c r="I23" i="44"/>
  <c r="P26" i="44"/>
  <c r="W26" i="44"/>
  <c r="I26" i="44"/>
  <c r="W32" i="44"/>
  <c r="P32" i="44"/>
  <c r="I32" i="44"/>
  <c r="I21" i="44"/>
  <c r="W21" i="44"/>
  <c r="P21" i="44"/>
  <c r="I30" i="44"/>
  <c r="W30" i="44"/>
  <c r="P30" i="44"/>
  <c r="I29" i="44"/>
  <c r="W29" i="44"/>
  <c r="P29" i="44"/>
  <c r="I37" i="44"/>
  <c r="W37" i="44"/>
  <c r="P37" i="44"/>
  <c r="I27" i="44"/>
  <c r="W27" i="44"/>
  <c r="P27" i="44"/>
  <c r="I36" i="44"/>
  <c r="P36" i="44"/>
  <c r="W36" i="44"/>
  <c r="W33" i="44"/>
  <c r="P33" i="44"/>
  <c r="I33" i="44"/>
  <c r="W25" i="44"/>
  <c r="P25" i="44"/>
  <c r="I25" i="44"/>
  <c r="D76" i="41" l="1"/>
  <c r="D14125" i="1"/>
  <c r="D14124" i="1"/>
  <c r="D14123" i="1"/>
  <c r="D14122" i="1"/>
  <c r="D14121" i="1"/>
  <c r="D14120" i="1"/>
  <c r="D14119" i="1"/>
  <c r="D14118" i="1"/>
  <c r="D14117" i="1"/>
  <c r="D14116" i="1"/>
  <c r="D14115" i="1"/>
  <c r="D14114" i="1"/>
  <c r="D14113" i="1"/>
  <c r="D14112" i="1"/>
  <c r="D14111" i="1"/>
  <c r="D14110" i="1"/>
  <c r="D14109" i="1"/>
  <c r="D14108" i="1"/>
  <c r="D14107" i="1"/>
  <c r="D14106" i="1"/>
  <c r="D14105" i="1"/>
  <c r="D14104" i="1"/>
  <c r="D14103" i="1"/>
  <c r="D14102" i="1"/>
  <c r="D14101" i="1"/>
  <c r="D14100" i="1"/>
  <c r="D14099" i="1"/>
  <c r="D14098" i="1"/>
  <c r="D14097" i="1"/>
  <c r="D14096" i="1"/>
  <c r="D14095" i="1"/>
  <c r="D14094" i="1"/>
  <c r="D14093" i="1"/>
  <c r="D14092" i="1"/>
  <c r="D14091" i="1"/>
  <c r="D14090" i="1"/>
  <c r="D14089" i="1"/>
  <c r="D14088" i="1"/>
  <c r="D14087" i="1"/>
  <c r="D14086" i="1"/>
  <c r="D14085" i="1"/>
  <c r="D14084" i="1"/>
  <c r="D14083" i="1"/>
  <c r="D14082" i="1"/>
  <c r="D14081" i="1"/>
  <c r="D14080" i="1"/>
  <c r="D14079" i="1"/>
  <c r="D14078" i="1"/>
  <c r="D14077" i="1"/>
  <c r="D14076" i="1"/>
  <c r="D14075" i="1"/>
  <c r="D14074" i="1"/>
  <c r="D14073" i="1"/>
  <c r="D14072" i="1"/>
  <c r="D14071" i="1"/>
  <c r="D14070" i="1"/>
  <c r="D14069" i="1"/>
  <c r="D14068" i="1"/>
  <c r="D14067" i="1"/>
  <c r="D14066" i="1"/>
  <c r="D14065" i="1"/>
  <c r="D14064" i="1"/>
  <c r="D14063" i="1"/>
  <c r="D14062" i="1"/>
  <c r="D14061" i="1"/>
  <c r="D14060" i="1"/>
  <c r="D14059" i="1"/>
  <c r="D14058" i="1"/>
  <c r="D14057" i="1"/>
  <c r="D14056" i="1"/>
  <c r="D14055" i="1"/>
  <c r="D14054" i="1"/>
  <c r="D14053" i="1"/>
  <c r="D14052" i="1"/>
  <c r="D14051" i="1"/>
  <c r="D14050" i="1"/>
  <c r="D14049" i="1"/>
  <c r="D14048" i="1"/>
  <c r="D14047" i="1"/>
  <c r="D14046" i="1"/>
  <c r="D14045" i="1"/>
  <c r="D14044" i="1"/>
  <c r="D14043" i="1"/>
  <c r="D14042" i="1"/>
  <c r="D14041" i="1"/>
  <c r="D14040" i="1"/>
  <c r="D14039" i="1"/>
  <c r="D14038" i="1"/>
  <c r="D14037" i="1"/>
  <c r="D14036" i="1"/>
  <c r="D14035" i="1"/>
  <c r="D14034" i="1"/>
  <c r="D14033" i="1"/>
  <c r="D14032" i="1"/>
  <c r="D14031" i="1"/>
  <c r="D14030" i="1"/>
  <c r="D14029" i="1"/>
  <c r="D14028" i="1"/>
  <c r="D14027" i="1"/>
  <c r="D14026" i="1"/>
  <c r="D14025" i="1"/>
  <c r="D14024" i="1"/>
  <c r="D14023" i="1"/>
  <c r="D14022" i="1"/>
  <c r="D14021" i="1"/>
  <c r="D14020" i="1"/>
  <c r="D14019" i="1"/>
  <c r="D14018" i="1"/>
  <c r="D14017" i="1"/>
  <c r="D14016" i="1"/>
  <c r="D14015" i="1"/>
  <c r="D14014" i="1"/>
  <c r="D14013" i="1"/>
  <c r="D14012" i="1"/>
  <c r="D14011" i="1"/>
  <c r="D14010" i="1"/>
  <c r="D14009" i="1"/>
  <c r="D14008" i="1"/>
  <c r="D14007" i="1"/>
  <c r="D14006" i="1"/>
  <c r="D14005" i="1"/>
  <c r="D14004" i="1"/>
  <c r="D14003" i="1"/>
  <c r="D14002" i="1"/>
  <c r="D14001" i="1"/>
  <c r="D14000" i="1"/>
  <c r="D13999" i="1"/>
  <c r="D13998" i="1"/>
  <c r="D13997" i="1"/>
  <c r="D13996" i="1"/>
  <c r="D13995" i="1"/>
  <c r="D13994" i="1"/>
  <c r="D13993" i="1"/>
  <c r="D13992" i="1"/>
  <c r="D13991" i="1"/>
  <c r="D13990" i="1"/>
  <c r="D13989" i="1"/>
  <c r="D13988" i="1"/>
  <c r="D13987" i="1"/>
  <c r="D13986" i="1"/>
  <c r="D13985" i="1"/>
  <c r="D13984" i="1"/>
  <c r="D13983" i="1"/>
  <c r="D13982" i="1"/>
  <c r="D13981" i="1"/>
  <c r="D13980" i="1"/>
  <c r="D13979" i="1"/>
  <c r="D13978" i="1"/>
  <c r="D13977" i="1"/>
  <c r="D13976" i="1"/>
  <c r="D13975" i="1"/>
  <c r="D13974" i="1"/>
  <c r="D13973" i="1"/>
  <c r="D13972" i="1"/>
  <c r="D13971" i="1"/>
  <c r="D13970" i="1"/>
  <c r="D13969" i="1"/>
  <c r="D13968" i="1"/>
  <c r="D13967" i="1"/>
  <c r="D13966" i="1"/>
  <c r="D13965" i="1"/>
  <c r="D13964" i="1"/>
  <c r="D13963" i="1"/>
  <c r="D13962" i="1"/>
  <c r="D13961" i="1"/>
  <c r="D13960" i="1"/>
  <c r="D13959" i="1"/>
  <c r="D13958" i="1"/>
  <c r="D13957" i="1"/>
  <c r="D13956" i="1"/>
  <c r="D13955" i="1"/>
  <c r="D13954" i="1"/>
  <c r="D13953" i="1"/>
  <c r="D13952" i="1"/>
  <c r="D13951" i="1"/>
  <c r="D13950" i="1"/>
  <c r="D13949" i="1"/>
  <c r="D13948" i="1"/>
  <c r="D13947" i="1"/>
  <c r="D13946" i="1"/>
  <c r="D13945" i="1"/>
  <c r="D13944" i="1"/>
  <c r="D13943" i="1"/>
  <c r="D13942" i="1"/>
  <c r="D13941" i="1"/>
  <c r="D13940" i="1"/>
  <c r="D13939" i="1"/>
  <c r="D13938" i="1"/>
  <c r="D13937" i="1"/>
  <c r="D13936" i="1"/>
  <c r="D13935" i="1"/>
  <c r="D13934" i="1"/>
  <c r="D13933" i="1"/>
  <c r="D13932" i="1"/>
  <c r="D13931" i="1"/>
  <c r="D13930" i="1"/>
  <c r="D13929" i="1"/>
  <c r="D13928" i="1"/>
  <c r="D13927" i="1"/>
  <c r="D13926" i="1"/>
  <c r="D13925" i="1"/>
  <c r="D13924" i="1"/>
  <c r="D13923" i="1"/>
  <c r="D13922" i="1"/>
  <c r="D13921" i="1"/>
  <c r="D13920" i="1"/>
  <c r="D13919" i="1"/>
  <c r="D13918" i="1"/>
  <c r="D13917" i="1"/>
  <c r="D13916" i="1"/>
  <c r="D13915" i="1"/>
  <c r="D13914" i="1"/>
  <c r="D13913" i="1"/>
  <c r="D13912" i="1"/>
  <c r="D13911" i="1"/>
  <c r="D13910" i="1"/>
  <c r="D13909" i="1"/>
  <c r="D13908" i="1"/>
  <c r="D13907" i="1"/>
  <c r="D13906" i="1"/>
  <c r="D13905" i="1"/>
  <c r="D13904" i="1"/>
  <c r="D13903" i="1"/>
  <c r="D13902" i="1"/>
  <c r="D13901" i="1"/>
  <c r="D13900" i="1"/>
  <c r="D13899" i="1"/>
  <c r="D13898" i="1"/>
  <c r="D13897" i="1"/>
  <c r="D13896" i="1"/>
  <c r="D13895" i="1"/>
  <c r="D13894" i="1"/>
  <c r="D13893" i="1"/>
  <c r="D13892" i="1"/>
  <c r="D13891" i="1"/>
  <c r="D13890" i="1"/>
  <c r="D13889" i="1"/>
  <c r="D13888" i="1"/>
  <c r="D13887" i="1"/>
  <c r="D13886" i="1"/>
  <c r="D13885" i="1"/>
  <c r="D13884" i="1"/>
  <c r="D13883" i="1"/>
  <c r="D13882" i="1"/>
  <c r="D13881" i="1"/>
  <c r="D13880" i="1"/>
  <c r="D13879" i="1"/>
  <c r="D13878" i="1"/>
  <c r="D13877" i="1"/>
  <c r="D13876" i="1"/>
  <c r="D13875" i="1"/>
  <c r="D13874" i="1"/>
  <c r="D13873" i="1"/>
  <c r="D13872" i="1"/>
  <c r="D13871" i="1"/>
  <c r="D13870" i="1"/>
  <c r="D13869" i="1"/>
  <c r="D13868" i="1"/>
  <c r="D13867" i="1"/>
  <c r="D13866" i="1"/>
  <c r="D13865" i="1"/>
  <c r="D13864" i="1"/>
  <c r="D13047" i="1"/>
  <c r="D13046" i="1"/>
  <c r="D13045" i="1"/>
  <c r="D13044" i="1"/>
  <c r="D13043" i="1"/>
  <c r="D13042" i="1"/>
  <c r="D13041" i="1"/>
  <c r="D13040" i="1"/>
  <c r="D13039" i="1"/>
  <c r="D13038" i="1"/>
  <c r="D13037" i="1"/>
  <c r="D13036" i="1"/>
  <c r="D13035" i="1"/>
  <c r="D13034" i="1"/>
  <c r="D13033" i="1"/>
  <c r="D13032" i="1"/>
  <c r="D13031" i="1"/>
  <c r="D13030" i="1"/>
  <c r="D13029" i="1"/>
  <c r="D13028" i="1"/>
  <c r="D13027" i="1"/>
  <c r="D13026" i="1"/>
  <c r="D13025" i="1"/>
  <c r="D13024" i="1"/>
  <c r="D13023" i="1"/>
  <c r="D13022" i="1"/>
  <c r="D13021" i="1"/>
  <c r="D13020" i="1"/>
  <c r="D13019" i="1"/>
  <c r="D13018" i="1"/>
  <c r="D13017" i="1"/>
  <c r="D13016" i="1"/>
  <c r="D13015" i="1"/>
  <c r="D13014" i="1"/>
  <c r="D13013" i="1"/>
  <c r="D13012" i="1"/>
  <c r="D13011" i="1"/>
  <c r="D13010" i="1"/>
  <c r="D13009" i="1"/>
  <c r="D13008" i="1"/>
  <c r="D13007" i="1"/>
  <c r="D13006" i="1"/>
  <c r="D13005" i="1"/>
  <c r="D13004" i="1"/>
  <c r="D13003" i="1"/>
  <c r="D13002" i="1"/>
  <c r="D13001" i="1"/>
  <c r="D13000" i="1"/>
  <c r="D12999" i="1"/>
  <c r="D12998" i="1"/>
  <c r="D12997" i="1"/>
  <c r="D12996" i="1"/>
  <c r="D12995" i="1"/>
  <c r="D12994" i="1"/>
  <c r="D12993" i="1"/>
  <c r="D12992" i="1"/>
  <c r="D12991" i="1"/>
  <c r="D12990" i="1"/>
  <c r="D12989" i="1"/>
  <c r="D12988" i="1"/>
  <c r="D12987" i="1"/>
  <c r="D12986" i="1"/>
  <c r="D12985" i="1"/>
  <c r="D12984" i="1"/>
  <c r="D12983" i="1"/>
  <c r="D12982" i="1"/>
  <c r="D12981" i="1"/>
  <c r="D12980" i="1"/>
  <c r="D12979" i="1"/>
  <c r="D12978" i="1"/>
  <c r="D12977" i="1"/>
  <c r="D12976" i="1"/>
  <c r="D12975" i="1"/>
  <c r="D12974" i="1"/>
  <c r="D12973" i="1"/>
  <c r="D12972" i="1"/>
  <c r="D12971" i="1"/>
  <c r="D12970" i="1"/>
  <c r="D12969" i="1"/>
  <c r="D12968" i="1"/>
  <c r="D12967" i="1"/>
  <c r="D12966" i="1"/>
  <c r="D12965" i="1"/>
  <c r="D12964" i="1"/>
  <c r="D12963" i="1"/>
  <c r="D12962" i="1"/>
  <c r="D12961" i="1"/>
  <c r="D12960" i="1"/>
  <c r="D12959" i="1"/>
  <c r="D12958" i="1"/>
  <c r="D12957" i="1"/>
  <c r="D12956" i="1"/>
  <c r="D12955" i="1"/>
  <c r="D12954" i="1"/>
  <c r="D12953" i="1"/>
  <c r="D12952" i="1"/>
  <c r="D12951" i="1"/>
  <c r="D12950" i="1"/>
  <c r="D12949" i="1"/>
  <c r="D12948" i="1"/>
  <c r="D12947" i="1"/>
  <c r="D12946" i="1"/>
  <c r="D12945" i="1"/>
  <c r="D12944" i="1"/>
  <c r="D12943" i="1"/>
  <c r="D12942" i="1"/>
  <c r="D12941" i="1"/>
  <c r="D12940" i="1"/>
  <c r="D12939" i="1"/>
  <c r="D12938" i="1"/>
  <c r="D12937" i="1"/>
  <c r="D12936" i="1"/>
  <c r="D12935" i="1"/>
  <c r="D12934" i="1"/>
  <c r="D12933" i="1"/>
  <c r="D12932" i="1"/>
  <c r="D12931" i="1"/>
  <c r="D12930" i="1"/>
  <c r="D12929" i="1"/>
  <c r="D12928" i="1"/>
  <c r="D12927" i="1"/>
  <c r="D12926" i="1"/>
  <c r="D12925" i="1"/>
  <c r="D12924" i="1"/>
  <c r="D12923" i="1"/>
  <c r="D12922" i="1"/>
  <c r="D12921" i="1"/>
  <c r="D12920" i="1"/>
  <c r="D12919" i="1"/>
  <c r="D12918" i="1"/>
  <c r="D12917" i="1"/>
  <c r="D12916" i="1"/>
  <c r="D12915" i="1"/>
  <c r="D12914" i="1"/>
  <c r="D12913" i="1"/>
  <c r="D12912" i="1"/>
  <c r="D12911" i="1"/>
  <c r="D12910" i="1"/>
  <c r="D12909" i="1"/>
  <c r="D12908" i="1"/>
  <c r="D12907" i="1"/>
  <c r="D12906" i="1"/>
  <c r="D12905" i="1"/>
  <c r="D12904" i="1"/>
  <c r="D12903" i="1"/>
  <c r="D12902" i="1"/>
  <c r="D12901" i="1"/>
  <c r="D12900" i="1"/>
  <c r="D12899" i="1"/>
  <c r="D12898" i="1"/>
  <c r="D12897" i="1"/>
  <c r="D12896" i="1"/>
  <c r="D12895" i="1"/>
  <c r="D12894" i="1"/>
  <c r="D12893" i="1"/>
  <c r="D12892" i="1"/>
  <c r="D12891" i="1"/>
  <c r="D12890" i="1"/>
  <c r="D12889" i="1"/>
  <c r="D12888" i="1"/>
  <c r="D12887" i="1"/>
  <c r="D12886" i="1"/>
  <c r="D12885" i="1"/>
  <c r="D12884" i="1"/>
  <c r="D12883" i="1"/>
  <c r="D12882" i="1"/>
  <c r="D12881" i="1"/>
  <c r="D12880" i="1"/>
  <c r="D12879" i="1"/>
  <c r="D12878" i="1"/>
  <c r="D12877" i="1"/>
  <c r="D12876" i="1"/>
  <c r="D12875" i="1"/>
  <c r="D12874" i="1"/>
  <c r="D12873" i="1"/>
  <c r="D12872" i="1"/>
  <c r="D12871" i="1"/>
  <c r="D12870" i="1"/>
  <c r="D12869" i="1"/>
  <c r="D12868" i="1"/>
  <c r="D12867" i="1"/>
  <c r="D12866" i="1"/>
  <c r="D12865" i="1"/>
  <c r="D12864" i="1"/>
  <c r="D12863" i="1"/>
  <c r="D12862" i="1"/>
  <c r="D12861" i="1"/>
  <c r="D12860" i="1"/>
  <c r="D12859" i="1"/>
  <c r="D12858" i="1"/>
  <c r="D12857" i="1"/>
  <c r="D12856" i="1"/>
  <c r="D12855" i="1"/>
  <c r="D12854" i="1"/>
  <c r="D12853" i="1"/>
  <c r="D12852" i="1"/>
  <c r="D12851" i="1"/>
  <c r="D12850" i="1"/>
  <c r="D12849" i="1"/>
  <c r="D12848" i="1"/>
  <c r="D12847" i="1"/>
  <c r="D12846" i="1"/>
  <c r="D12845" i="1"/>
  <c r="D12844" i="1"/>
  <c r="D12843" i="1"/>
  <c r="D12842" i="1"/>
  <c r="D12841" i="1"/>
  <c r="D12840" i="1"/>
  <c r="D12839" i="1"/>
  <c r="D12838" i="1"/>
  <c r="D12837" i="1"/>
  <c r="D12836" i="1"/>
  <c r="D12835" i="1"/>
  <c r="D12834" i="1"/>
  <c r="D12833" i="1"/>
  <c r="D12832" i="1"/>
  <c r="D12831" i="1"/>
  <c r="D12830" i="1"/>
  <c r="D12829" i="1"/>
  <c r="D12828" i="1"/>
  <c r="D12827" i="1"/>
  <c r="D12826" i="1"/>
  <c r="D12825" i="1"/>
  <c r="D12824" i="1"/>
  <c r="D12823" i="1"/>
  <c r="D12822" i="1"/>
  <c r="D12821" i="1"/>
  <c r="D12820" i="1"/>
  <c r="D12819" i="1"/>
  <c r="D12818" i="1"/>
  <c r="D12817" i="1"/>
  <c r="D12816" i="1"/>
  <c r="D12815" i="1"/>
  <c r="D12814" i="1"/>
  <c r="D12813" i="1"/>
  <c r="D12812" i="1"/>
  <c r="D12811" i="1"/>
  <c r="D12810" i="1"/>
  <c r="D12809" i="1"/>
  <c r="D12808" i="1"/>
  <c r="D12807" i="1"/>
  <c r="D12806" i="1"/>
  <c r="D12805" i="1"/>
  <c r="D12804" i="1"/>
  <c r="D12803" i="1"/>
  <c r="D12802" i="1"/>
  <c r="D12801" i="1"/>
  <c r="D12800" i="1"/>
  <c r="D12799" i="1"/>
  <c r="D12798" i="1"/>
  <c r="D12797" i="1"/>
  <c r="D12796" i="1"/>
  <c r="D12795" i="1"/>
  <c r="D12794" i="1"/>
  <c r="D12793" i="1"/>
  <c r="D12792" i="1"/>
  <c r="D12791" i="1"/>
  <c r="D12790" i="1"/>
  <c r="D12789" i="1"/>
  <c r="D12788" i="1"/>
  <c r="D12787" i="1"/>
  <c r="D12786" i="1"/>
  <c r="D12785" i="1"/>
  <c r="D12784" i="1"/>
  <c r="D12783" i="1"/>
  <c r="D12782" i="1"/>
  <c r="D12781" i="1"/>
  <c r="D12780" i="1"/>
  <c r="D12779" i="1"/>
  <c r="D12778" i="1"/>
  <c r="D12777" i="1"/>
  <c r="D12776" i="1"/>
  <c r="D11959" i="1"/>
  <c r="D11958" i="1"/>
  <c r="D11957" i="1"/>
  <c r="D11956" i="1"/>
  <c r="D11955" i="1"/>
  <c r="D11954" i="1"/>
  <c r="D11953" i="1"/>
  <c r="D11952" i="1"/>
  <c r="D11951" i="1"/>
  <c r="D11950" i="1"/>
  <c r="D11949" i="1"/>
  <c r="D11948" i="1"/>
  <c r="D11947" i="1"/>
  <c r="D11946" i="1"/>
  <c r="D11945" i="1"/>
  <c r="D11944" i="1"/>
  <c r="D11943" i="1"/>
  <c r="D11942" i="1"/>
  <c r="D11941" i="1"/>
  <c r="D11940" i="1"/>
  <c r="D11939" i="1"/>
  <c r="D11938" i="1"/>
  <c r="D11937" i="1"/>
  <c r="D11936" i="1"/>
  <c r="D11935" i="1"/>
  <c r="D11934" i="1"/>
  <c r="D11933" i="1"/>
  <c r="D11932" i="1"/>
  <c r="D11931" i="1"/>
  <c r="D11930" i="1"/>
  <c r="D11929" i="1"/>
  <c r="D11928" i="1"/>
  <c r="D11927" i="1"/>
  <c r="D11926" i="1"/>
  <c r="D11925" i="1"/>
  <c r="D11924" i="1"/>
  <c r="D11923" i="1"/>
  <c r="D11922" i="1"/>
  <c r="D11921" i="1"/>
  <c r="D11920" i="1"/>
  <c r="D11919" i="1"/>
  <c r="D11918" i="1"/>
  <c r="D11917" i="1"/>
  <c r="D11916" i="1"/>
  <c r="D11915" i="1"/>
  <c r="D11914" i="1"/>
  <c r="D11913" i="1"/>
  <c r="D11912" i="1"/>
  <c r="D11911" i="1"/>
  <c r="D11910" i="1"/>
  <c r="D11909" i="1"/>
  <c r="D11908" i="1"/>
  <c r="D11907" i="1"/>
  <c r="D11906" i="1"/>
  <c r="D11905" i="1"/>
  <c r="D11904" i="1"/>
  <c r="D11903" i="1"/>
  <c r="D11902" i="1"/>
  <c r="D11901" i="1"/>
  <c r="D11900" i="1"/>
  <c r="D11899" i="1"/>
  <c r="D11898" i="1"/>
  <c r="D11897" i="1"/>
  <c r="D11896" i="1"/>
  <c r="D11895" i="1"/>
  <c r="D11894" i="1"/>
  <c r="D11893" i="1"/>
  <c r="D11892" i="1"/>
  <c r="D11891" i="1"/>
  <c r="D11890" i="1"/>
  <c r="D11889" i="1"/>
  <c r="D11888" i="1"/>
  <c r="D11887" i="1"/>
  <c r="D11886" i="1"/>
  <c r="D11885" i="1"/>
  <c r="D11884" i="1"/>
  <c r="D11883" i="1"/>
  <c r="D11882" i="1"/>
  <c r="D11881" i="1"/>
  <c r="D11880" i="1"/>
  <c r="D11879" i="1"/>
  <c r="D11878" i="1"/>
  <c r="D11877" i="1"/>
  <c r="D11876" i="1"/>
  <c r="D11875" i="1"/>
  <c r="D11874" i="1"/>
  <c r="D11873" i="1"/>
  <c r="D11872" i="1"/>
  <c r="D11871" i="1"/>
  <c r="D11870" i="1"/>
  <c r="D11869" i="1"/>
  <c r="D11868" i="1"/>
  <c r="D11867" i="1"/>
  <c r="D11866" i="1"/>
  <c r="D11865" i="1"/>
  <c r="D11864" i="1"/>
  <c r="D11863" i="1"/>
  <c r="D11862" i="1"/>
  <c r="D11861" i="1"/>
  <c r="D11860" i="1"/>
  <c r="D11859" i="1"/>
  <c r="D11858" i="1"/>
  <c r="D11857" i="1"/>
  <c r="D11856" i="1"/>
  <c r="D11855" i="1"/>
  <c r="D11854" i="1"/>
  <c r="D11853" i="1"/>
  <c r="D11852" i="1"/>
  <c r="D11851" i="1"/>
  <c r="D11850" i="1"/>
  <c r="D11849" i="1"/>
  <c r="D11848" i="1"/>
  <c r="D11847" i="1"/>
  <c r="D11846" i="1"/>
  <c r="D11845" i="1"/>
  <c r="D11844" i="1"/>
  <c r="D11843" i="1"/>
  <c r="D11842" i="1"/>
  <c r="D11841" i="1"/>
  <c r="D11840" i="1"/>
  <c r="D11839" i="1"/>
  <c r="D11838" i="1"/>
  <c r="D11837" i="1"/>
  <c r="D11836" i="1"/>
  <c r="D11835" i="1"/>
  <c r="D11834" i="1"/>
  <c r="D11833" i="1"/>
  <c r="D11832" i="1"/>
  <c r="D11831" i="1"/>
  <c r="D11830" i="1"/>
  <c r="D11829" i="1"/>
  <c r="D11828" i="1"/>
  <c r="D11827" i="1"/>
  <c r="D11826" i="1"/>
  <c r="D11825" i="1"/>
  <c r="D11824" i="1"/>
  <c r="D11823" i="1"/>
  <c r="D11822" i="1"/>
  <c r="D11821" i="1"/>
  <c r="D11820" i="1"/>
  <c r="D11819" i="1"/>
  <c r="D11818" i="1"/>
  <c r="D11817" i="1"/>
  <c r="D11816" i="1"/>
  <c r="D11815" i="1"/>
  <c r="D11814" i="1"/>
  <c r="D11813" i="1"/>
  <c r="D11812" i="1"/>
  <c r="D11811" i="1"/>
  <c r="D11810" i="1"/>
  <c r="D11809" i="1"/>
  <c r="D11808" i="1"/>
  <c r="D11807" i="1"/>
  <c r="D11806" i="1"/>
  <c r="D11805" i="1"/>
  <c r="D11804" i="1"/>
  <c r="D11803" i="1"/>
  <c r="D11802" i="1"/>
  <c r="D11801" i="1"/>
  <c r="D11800" i="1"/>
  <c r="D11799" i="1"/>
  <c r="D11798" i="1"/>
  <c r="D11797" i="1"/>
  <c r="D11796" i="1"/>
  <c r="D11795" i="1"/>
  <c r="D11794" i="1"/>
  <c r="D11793" i="1"/>
  <c r="D11792" i="1"/>
  <c r="D11791" i="1"/>
  <c r="D11790" i="1"/>
  <c r="D11789" i="1"/>
  <c r="D11788" i="1"/>
  <c r="D11787" i="1"/>
  <c r="D11786" i="1"/>
  <c r="D11785" i="1"/>
  <c r="D11784" i="1"/>
  <c r="D11783" i="1"/>
  <c r="D11782" i="1"/>
  <c r="D11781" i="1"/>
  <c r="D11780" i="1"/>
  <c r="D11779" i="1"/>
  <c r="D11778" i="1"/>
  <c r="D11777" i="1"/>
  <c r="D11776" i="1"/>
  <c r="D11775" i="1"/>
  <c r="D11774" i="1"/>
  <c r="D11773" i="1"/>
  <c r="D11772" i="1"/>
  <c r="D11771" i="1"/>
  <c r="D11770" i="1"/>
  <c r="D11769" i="1"/>
  <c r="D11768" i="1"/>
  <c r="D11767" i="1"/>
  <c r="D11766" i="1"/>
  <c r="D11765" i="1"/>
  <c r="D11764" i="1"/>
  <c r="D11763" i="1"/>
  <c r="D11762" i="1"/>
  <c r="D11761" i="1"/>
  <c r="D11760" i="1"/>
  <c r="D11759" i="1"/>
  <c r="D11758" i="1"/>
  <c r="D11757" i="1"/>
  <c r="D11756" i="1"/>
  <c r="D11755" i="1"/>
  <c r="D11754" i="1"/>
  <c r="D11753" i="1"/>
  <c r="D11752" i="1"/>
  <c r="D11751" i="1"/>
  <c r="D11750" i="1"/>
  <c r="D11749" i="1"/>
  <c r="D11748" i="1"/>
  <c r="D11747" i="1"/>
  <c r="D11746" i="1"/>
  <c r="D11745" i="1"/>
  <c r="D11744" i="1"/>
  <c r="D11743" i="1"/>
  <c r="D11742" i="1"/>
  <c r="D11741" i="1"/>
  <c r="D11740" i="1"/>
  <c r="D11739" i="1"/>
  <c r="D11738" i="1"/>
  <c r="D11737" i="1"/>
  <c r="D11736" i="1"/>
  <c r="D11735" i="1"/>
  <c r="D11734" i="1"/>
  <c r="D11733" i="1"/>
  <c r="D11732" i="1"/>
  <c r="D11731" i="1"/>
  <c r="D11730" i="1"/>
  <c r="D11729" i="1"/>
  <c r="D11728" i="1"/>
  <c r="D11727" i="1"/>
  <c r="D11726" i="1"/>
  <c r="D11725" i="1"/>
  <c r="D11724" i="1"/>
  <c r="D11723" i="1"/>
  <c r="D11722" i="1"/>
  <c r="D11721" i="1"/>
  <c r="D11720" i="1"/>
  <c r="D11719" i="1"/>
  <c r="D11718" i="1"/>
  <c r="D11717" i="1"/>
  <c r="D11716" i="1"/>
  <c r="D11715" i="1"/>
  <c r="D11714" i="1"/>
  <c r="D11713" i="1"/>
  <c r="D11712" i="1"/>
  <c r="D11711" i="1"/>
  <c r="D11710" i="1"/>
  <c r="D11709" i="1"/>
  <c r="D11708" i="1"/>
  <c r="D11707" i="1"/>
  <c r="D11706" i="1"/>
  <c r="D11705" i="1"/>
  <c r="D11704" i="1"/>
  <c r="D11703" i="1"/>
  <c r="D11702" i="1"/>
  <c r="D11701" i="1"/>
  <c r="D11700" i="1"/>
  <c r="D11699" i="1"/>
  <c r="D11698" i="1"/>
  <c r="D11697" i="1"/>
  <c r="D11696" i="1"/>
  <c r="D11695" i="1"/>
  <c r="D11694" i="1"/>
  <c r="D11693" i="1"/>
  <c r="D11692" i="1"/>
  <c r="D11691" i="1"/>
  <c r="D11690" i="1"/>
  <c r="D11689" i="1"/>
  <c r="D11688" i="1"/>
  <c r="C11687" i="1"/>
  <c r="C11686" i="1"/>
  <c r="C11685" i="1"/>
  <c r="C11684" i="1"/>
  <c r="C11683" i="1"/>
  <c r="C11682" i="1"/>
  <c r="C11681" i="1"/>
  <c r="C11680" i="1"/>
  <c r="C11679" i="1"/>
  <c r="C11678" i="1"/>
  <c r="C11677" i="1"/>
  <c r="C11676" i="1"/>
  <c r="C11675" i="1"/>
  <c r="C11674" i="1"/>
  <c r="C11673" i="1"/>
  <c r="C11672" i="1"/>
  <c r="C11671" i="1"/>
  <c r="C11670" i="1"/>
  <c r="C11669" i="1"/>
  <c r="C11668" i="1"/>
  <c r="C11667" i="1"/>
  <c r="C11666" i="1"/>
  <c r="C11665" i="1"/>
  <c r="C11664" i="1"/>
  <c r="C11663" i="1"/>
  <c r="C11662" i="1"/>
  <c r="C11661" i="1"/>
  <c r="C11660" i="1"/>
  <c r="C11659" i="1"/>
  <c r="C11658" i="1"/>
  <c r="C11657" i="1"/>
  <c r="C11656" i="1"/>
  <c r="C11655" i="1"/>
  <c r="C11654" i="1"/>
  <c r="C11653" i="1"/>
  <c r="C11652" i="1"/>
  <c r="C11651" i="1"/>
  <c r="C11650" i="1"/>
  <c r="C11649" i="1"/>
  <c r="C11648" i="1"/>
  <c r="C11647" i="1"/>
  <c r="C11646" i="1"/>
  <c r="C11645" i="1"/>
  <c r="C11644" i="1"/>
  <c r="C11643" i="1"/>
  <c r="C11642" i="1"/>
  <c r="C11641" i="1"/>
  <c r="C11640" i="1"/>
  <c r="C11639" i="1"/>
  <c r="C11638" i="1"/>
  <c r="C11637" i="1"/>
  <c r="C11636" i="1"/>
  <c r="C11635" i="1"/>
  <c r="C11634" i="1"/>
  <c r="C11633" i="1"/>
  <c r="C11632" i="1"/>
  <c r="C11631" i="1"/>
  <c r="C11630" i="1"/>
  <c r="C11629" i="1"/>
  <c r="C11628" i="1"/>
  <c r="C11627" i="1"/>
  <c r="C11626" i="1"/>
  <c r="C11625" i="1"/>
  <c r="C11624" i="1"/>
  <c r="C11623" i="1"/>
  <c r="C11622" i="1"/>
  <c r="C11621" i="1"/>
  <c r="C11620" i="1"/>
  <c r="C11619" i="1"/>
  <c r="C11618" i="1"/>
  <c r="C11617" i="1"/>
  <c r="C11616" i="1"/>
  <c r="C11615" i="1"/>
  <c r="C11614" i="1"/>
  <c r="C11613" i="1"/>
  <c r="C11612" i="1"/>
  <c r="C11611" i="1"/>
  <c r="C11610" i="1"/>
  <c r="C11609" i="1"/>
  <c r="C11608" i="1"/>
  <c r="C11607" i="1"/>
  <c r="C11606" i="1"/>
  <c r="C11605" i="1"/>
  <c r="C11604" i="1"/>
  <c r="C11603" i="1"/>
  <c r="C11602" i="1"/>
  <c r="C11601" i="1"/>
  <c r="C11600" i="1"/>
  <c r="C11599" i="1"/>
  <c r="C11598" i="1"/>
  <c r="C11597" i="1"/>
  <c r="C11596" i="1"/>
  <c r="C11595" i="1"/>
  <c r="C11594" i="1"/>
  <c r="C11593" i="1"/>
  <c r="C11592" i="1"/>
  <c r="C11591" i="1"/>
  <c r="C11590" i="1"/>
  <c r="C11589" i="1"/>
  <c r="C11588" i="1"/>
  <c r="C11587" i="1"/>
  <c r="C11586" i="1"/>
  <c r="C11585" i="1"/>
  <c r="C11584" i="1"/>
  <c r="C11583" i="1"/>
  <c r="C11582" i="1"/>
  <c r="C11581" i="1"/>
  <c r="C11580" i="1"/>
  <c r="C11579" i="1"/>
  <c r="C11578" i="1"/>
  <c r="C11577" i="1"/>
  <c r="C11576" i="1"/>
  <c r="C11575" i="1"/>
  <c r="C11574" i="1"/>
  <c r="C11573" i="1"/>
  <c r="C11572" i="1"/>
  <c r="C11571" i="1"/>
  <c r="C11570" i="1"/>
  <c r="C11569" i="1"/>
  <c r="C11568" i="1"/>
  <c r="C11567" i="1"/>
  <c r="C11566" i="1"/>
  <c r="C11565" i="1"/>
  <c r="C11564" i="1"/>
  <c r="C11563" i="1"/>
  <c r="C11562" i="1"/>
  <c r="C11561" i="1"/>
  <c r="C11560" i="1"/>
  <c r="C11559" i="1"/>
  <c r="C11558" i="1"/>
  <c r="C11557" i="1"/>
  <c r="C11556" i="1"/>
  <c r="C11555" i="1"/>
  <c r="C11554" i="1"/>
  <c r="C11553" i="1"/>
  <c r="C11552" i="1"/>
  <c r="C11551" i="1"/>
  <c r="C11550" i="1"/>
  <c r="C11549" i="1"/>
  <c r="C11548" i="1"/>
  <c r="C11547" i="1"/>
  <c r="C11546" i="1"/>
  <c r="C11545" i="1"/>
  <c r="C11544" i="1"/>
  <c r="C11543" i="1"/>
  <c r="C11542" i="1"/>
  <c r="C11541" i="1"/>
  <c r="C11540" i="1"/>
  <c r="C11539" i="1"/>
  <c r="C11538" i="1"/>
  <c r="C11537" i="1"/>
  <c r="C11536" i="1"/>
  <c r="C11535" i="1"/>
  <c r="C11534" i="1"/>
  <c r="C11533" i="1"/>
  <c r="C11532" i="1"/>
  <c r="C11531" i="1"/>
  <c r="C11530" i="1"/>
  <c r="C11529" i="1"/>
  <c r="C11528" i="1"/>
  <c r="C11527" i="1"/>
  <c r="C11526" i="1"/>
  <c r="C11525" i="1"/>
  <c r="C11524" i="1"/>
  <c r="C11523" i="1"/>
  <c r="C11522" i="1"/>
  <c r="C11521" i="1"/>
  <c r="C11520" i="1"/>
  <c r="C11519" i="1"/>
  <c r="C11518" i="1"/>
  <c r="C11517" i="1"/>
  <c r="C11516" i="1"/>
  <c r="C11515" i="1"/>
  <c r="C11514" i="1"/>
  <c r="C11513" i="1"/>
  <c r="C11512" i="1"/>
  <c r="C11511" i="1"/>
  <c r="C11510" i="1"/>
  <c r="C11509" i="1"/>
  <c r="C11508" i="1"/>
  <c r="C11507" i="1"/>
  <c r="C11506" i="1"/>
  <c r="C11505" i="1"/>
  <c r="C11504" i="1"/>
  <c r="C11503" i="1"/>
  <c r="C11502" i="1"/>
  <c r="C11501" i="1"/>
  <c r="C11500" i="1"/>
  <c r="C11499" i="1"/>
  <c r="C11498" i="1"/>
  <c r="C11497" i="1"/>
  <c r="C11496" i="1"/>
  <c r="C11495" i="1"/>
  <c r="C11494" i="1"/>
  <c r="C11493" i="1"/>
  <c r="C11492" i="1"/>
  <c r="C11491" i="1"/>
  <c r="C11490" i="1"/>
  <c r="C11489" i="1"/>
  <c r="C11488" i="1"/>
  <c r="C11487" i="1"/>
  <c r="C11486" i="1"/>
  <c r="C11485" i="1"/>
  <c r="C11484" i="1"/>
  <c r="C11483" i="1"/>
  <c r="C11482" i="1"/>
  <c r="C11481" i="1"/>
  <c r="C11480" i="1"/>
  <c r="C11479" i="1"/>
  <c r="C11478" i="1"/>
  <c r="C11477" i="1"/>
  <c r="C11476" i="1"/>
  <c r="C11475" i="1"/>
  <c r="C11474" i="1"/>
  <c r="C11473" i="1"/>
  <c r="C11472" i="1"/>
  <c r="C11471" i="1"/>
  <c r="C11470" i="1"/>
  <c r="C11469" i="1"/>
  <c r="C11468" i="1"/>
  <c r="C11467" i="1"/>
  <c r="C11466" i="1"/>
  <c r="C11465" i="1"/>
  <c r="C11464" i="1"/>
  <c r="C11463" i="1"/>
  <c r="C11462" i="1"/>
  <c r="C11461" i="1"/>
  <c r="C11460" i="1"/>
  <c r="C11459" i="1"/>
  <c r="C11458" i="1"/>
  <c r="C11457" i="1"/>
  <c r="C11456" i="1"/>
  <c r="C11455" i="1"/>
  <c r="C11454" i="1"/>
  <c r="C11453" i="1"/>
  <c r="C11452" i="1"/>
  <c r="C11451" i="1"/>
  <c r="C11450" i="1"/>
  <c r="C11449" i="1"/>
  <c r="C11448" i="1"/>
  <c r="C11447" i="1"/>
  <c r="C11446" i="1"/>
  <c r="C11445" i="1"/>
  <c r="C11444" i="1"/>
  <c r="C11443" i="1"/>
  <c r="C11442" i="1"/>
  <c r="C11441" i="1"/>
  <c r="C11440" i="1"/>
  <c r="C11439" i="1"/>
  <c r="C11438" i="1"/>
  <c r="C11437" i="1"/>
  <c r="C11436" i="1"/>
  <c r="C11435" i="1"/>
  <c r="C11434" i="1"/>
  <c r="C11433" i="1"/>
  <c r="C11432" i="1"/>
  <c r="C11431" i="1"/>
  <c r="C11430" i="1"/>
  <c r="C11429" i="1"/>
  <c r="C11428" i="1"/>
  <c r="C11427" i="1"/>
  <c r="C11426" i="1"/>
  <c r="C11425" i="1"/>
  <c r="C11424" i="1"/>
  <c r="C11423" i="1"/>
  <c r="C11422" i="1"/>
  <c r="C11421" i="1"/>
  <c r="C11420" i="1"/>
  <c r="C11419" i="1"/>
  <c r="C11418" i="1"/>
  <c r="C11417" i="1"/>
  <c r="C11416" i="1"/>
  <c r="C11415" i="1"/>
  <c r="C11414" i="1"/>
  <c r="C11413" i="1"/>
  <c r="C11412" i="1"/>
  <c r="C11411" i="1"/>
  <c r="C11410" i="1"/>
  <c r="C11409" i="1"/>
  <c r="C11408" i="1"/>
  <c r="C11407" i="1"/>
  <c r="C11406" i="1"/>
  <c r="C11405" i="1"/>
  <c r="C11404" i="1"/>
  <c r="C11403" i="1"/>
  <c r="C11402" i="1"/>
  <c r="C11401" i="1"/>
  <c r="C11400" i="1"/>
  <c r="C11399" i="1"/>
  <c r="C11398" i="1"/>
  <c r="C11397" i="1"/>
  <c r="C11396" i="1"/>
  <c r="C11395" i="1"/>
  <c r="C11394" i="1"/>
  <c r="C11393" i="1"/>
  <c r="C11392" i="1"/>
  <c r="C11391" i="1"/>
  <c r="C11390" i="1"/>
  <c r="C11389" i="1"/>
  <c r="C11388" i="1"/>
  <c r="C11387" i="1"/>
  <c r="C11386" i="1"/>
  <c r="C11385" i="1"/>
  <c r="C11384" i="1"/>
  <c r="C11383" i="1"/>
  <c r="C11382" i="1"/>
  <c r="C11381" i="1"/>
  <c r="C11380" i="1"/>
  <c r="C11379" i="1"/>
  <c r="C11378" i="1"/>
  <c r="C11377" i="1"/>
  <c r="C11376" i="1"/>
  <c r="C11375" i="1"/>
  <c r="C11374" i="1"/>
  <c r="C11373" i="1"/>
  <c r="C11372" i="1"/>
  <c r="C11371" i="1"/>
  <c r="C11370" i="1"/>
  <c r="C11369" i="1"/>
  <c r="C11368" i="1"/>
  <c r="C11367" i="1"/>
  <c r="C11366" i="1"/>
  <c r="C11365" i="1"/>
  <c r="C11364" i="1"/>
  <c r="C11363" i="1"/>
  <c r="C11362" i="1"/>
  <c r="C11361" i="1"/>
  <c r="C11360" i="1"/>
  <c r="C11359" i="1"/>
  <c r="C11358" i="1"/>
  <c r="C11357" i="1"/>
  <c r="C11356" i="1"/>
  <c r="C11355" i="1"/>
  <c r="C11354" i="1"/>
  <c r="C11353" i="1"/>
  <c r="C11352" i="1"/>
  <c r="C11351" i="1"/>
  <c r="C11350" i="1"/>
  <c r="C11349" i="1"/>
  <c r="C11348" i="1"/>
  <c r="C11347" i="1"/>
  <c r="C11346" i="1"/>
  <c r="C11345" i="1"/>
  <c r="C11344" i="1"/>
  <c r="C11343" i="1"/>
  <c r="C11342" i="1"/>
  <c r="C11341" i="1"/>
  <c r="C11340" i="1"/>
  <c r="C11339" i="1"/>
  <c r="C11338" i="1"/>
  <c r="C11337" i="1"/>
  <c r="C11336" i="1"/>
  <c r="C11335" i="1"/>
  <c r="C11334" i="1"/>
  <c r="C11333" i="1"/>
  <c r="C11332" i="1"/>
  <c r="C11331" i="1"/>
  <c r="C11330" i="1"/>
  <c r="C11329" i="1"/>
  <c r="C11328" i="1"/>
  <c r="C11327" i="1"/>
  <c r="C11326" i="1"/>
  <c r="C11325" i="1"/>
  <c r="C11324" i="1"/>
  <c r="C11323" i="1"/>
  <c r="C11322" i="1"/>
  <c r="C11321" i="1"/>
  <c r="C11320" i="1"/>
  <c r="C11319" i="1"/>
  <c r="C11318" i="1"/>
  <c r="C11317" i="1"/>
  <c r="C11316" i="1"/>
  <c r="C11315" i="1"/>
  <c r="C11314" i="1"/>
  <c r="C11313" i="1"/>
  <c r="C11312" i="1"/>
  <c r="C11311" i="1"/>
  <c r="C11310" i="1"/>
  <c r="C11309" i="1"/>
  <c r="C11308" i="1"/>
  <c r="C11307" i="1"/>
  <c r="C11306" i="1"/>
  <c r="C11305" i="1"/>
  <c r="C11304" i="1"/>
  <c r="C11303" i="1"/>
  <c r="C11302" i="1"/>
  <c r="C11301" i="1"/>
  <c r="C11300" i="1"/>
  <c r="C11299" i="1"/>
  <c r="C11298" i="1"/>
  <c r="C11297" i="1"/>
  <c r="C11296" i="1"/>
  <c r="C11295" i="1"/>
  <c r="C11294" i="1"/>
  <c r="C11293" i="1"/>
  <c r="C11292" i="1"/>
  <c r="C11291" i="1"/>
  <c r="C11290" i="1"/>
  <c r="C11289" i="1"/>
  <c r="C11288" i="1"/>
  <c r="C11287" i="1"/>
  <c r="C11286" i="1"/>
  <c r="C11285" i="1"/>
  <c r="C11284" i="1"/>
  <c r="C11283" i="1"/>
  <c r="C11282" i="1"/>
  <c r="C11281" i="1"/>
  <c r="C11280" i="1"/>
  <c r="C11279" i="1"/>
  <c r="C11278" i="1"/>
  <c r="C11277" i="1"/>
  <c r="C11276" i="1"/>
  <c r="C11275" i="1"/>
  <c r="C11274" i="1"/>
  <c r="C11273" i="1"/>
  <c r="C11272" i="1"/>
  <c r="C11271" i="1"/>
  <c r="C11270" i="1"/>
  <c r="C11269" i="1"/>
  <c r="C11268" i="1"/>
  <c r="C11267" i="1"/>
  <c r="C11266" i="1"/>
  <c r="C11265" i="1"/>
  <c r="C11264" i="1"/>
  <c r="C11263" i="1"/>
  <c r="C11262" i="1"/>
  <c r="C11261" i="1"/>
  <c r="C11260" i="1"/>
  <c r="C11259" i="1"/>
  <c r="C11258" i="1"/>
  <c r="C11257" i="1"/>
  <c r="C11256" i="1"/>
  <c r="C11255" i="1"/>
  <c r="C11254" i="1"/>
  <c r="C11253" i="1"/>
  <c r="C11252" i="1"/>
  <c r="C11251" i="1"/>
  <c r="C11250" i="1"/>
  <c r="C11249" i="1"/>
  <c r="C11248" i="1"/>
  <c r="C11247" i="1"/>
  <c r="C11246" i="1"/>
  <c r="C11245" i="1"/>
  <c r="C11244" i="1"/>
  <c r="C11243" i="1"/>
  <c r="C11242" i="1"/>
  <c r="C11241" i="1"/>
  <c r="C11240" i="1"/>
  <c r="C11239" i="1"/>
  <c r="C11238" i="1"/>
  <c r="C11237" i="1"/>
  <c r="C11236" i="1"/>
  <c r="C11235" i="1"/>
  <c r="C11234" i="1"/>
  <c r="C11233" i="1"/>
  <c r="C11232" i="1"/>
  <c r="C11231" i="1"/>
  <c r="C11230" i="1"/>
  <c r="C11229" i="1"/>
  <c r="C11228" i="1"/>
  <c r="C11227" i="1"/>
  <c r="C11226" i="1"/>
  <c r="C11225" i="1"/>
  <c r="C11224" i="1"/>
  <c r="C11223" i="1"/>
  <c r="C11222" i="1"/>
  <c r="C11221" i="1"/>
  <c r="C11220" i="1"/>
  <c r="C11219" i="1"/>
  <c r="C11218" i="1"/>
  <c r="C11217" i="1"/>
  <c r="C11216" i="1"/>
  <c r="C11215" i="1"/>
  <c r="C11214" i="1"/>
  <c r="C11213" i="1"/>
  <c r="C11212" i="1"/>
  <c r="C11211" i="1"/>
  <c r="C11210" i="1"/>
  <c r="C11209" i="1"/>
  <c r="C11208" i="1"/>
  <c r="C11207" i="1"/>
  <c r="C11206" i="1"/>
  <c r="C11205" i="1"/>
  <c r="C11204" i="1"/>
  <c r="C11203" i="1"/>
  <c r="C11202" i="1"/>
  <c r="C11201" i="1"/>
  <c r="C11200" i="1"/>
  <c r="C11199" i="1"/>
  <c r="C11198" i="1"/>
  <c r="C11197" i="1"/>
  <c r="C11196" i="1"/>
  <c r="C11195" i="1"/>
  <c r="C11194" i="1"/>
  <c r="C11193" i="1"/>
  <c r="C11192" i="1"/>
  <c r="C11191" i="1"/>
  <c r="C11190" i="1"/>
  <c r="C11189" i="1"/>
  <c r="C11188" i="1"/>
  <c r="C11187" i="1"/>
  <c r="C11186" i="1"/>
  <c r="C11185" i="1"/>
  <c r="C11184" i="1"/>
  <c r="C11183" i="1"/>
  <c r="C11182" i="1"/>
  <c r="C11181" i="1"/>
  <c r="C11180" i="1"/>
  <c r="C11179" i="1"/>
  <c r="C11178" i="1"/>
  <c r="C11177" i="1"/>
  <c r="C11176" i="1"/>
  <c r="C11175" i="1"/>
  <c r="C11174" i="1"/>
  <c r="C11173" i="1"/>
  <c r="C11172" i="1"/>
  <c r="C11171" i="1"/>
  <c r="C11170" i="1"/>
  <c r="C11169" i="1"/>
  <c r="C11168" i="1"/>
  <c r="C11167" i="1"/>
  <c r="C11166" i="1"/>
  <c r="C11165" i="1"/>
  <c r="C11164" i="1"/>
  <c r="C11163" i="1"/>
  <c r="C11162" i="1"/>
  <c r="C11161" i="1"/>
  <c r="C11160" i="1"/>
  <c r="C11159" i="1"/>
  <c r="C11158" i="1"/>
  <c r="C11157" i="1"/>
  <c r="C11156" i="1"/>
  <c r="C11155" i="1"/>
  <c r="C11154" i="1"/>
  <c r="C11153" i="1"/>
  <c r="C11152" i="1"/>
  <c r="C11151" i="1"/>
  <c r="C11150" i="1"/>
  <c r="C11149" i="1"/>
  <c r="C11148" i="1"/>
  <c r="C11147" i="1"/>
  <c r="C11146" i="1"/>
  <c r="C11145" i="1"/>
  <c r="C11144" i="1"/>
  <c r="C11143" i="1"/>
  <c r="C11142" i="1"/>
  <c r="C11141" i="1"/>
  <c r="C11140" i="1"/>
  <c r="C11139" i="1"/>
  <c r="C11138" i="1"/>
  <c r="C11137" i="1"/>
  <c r="C11136" i="1"/>
  <c r="C11135" i="1"/>
  <c r="C11134" i="1"/>
  <c r="C11133" i="1"/>
  <c r="C11132" i="1"/>
  <c r="C11131" i="1"/>
  <c r="C11130" i="1"/>
  <c r="C11129" i="1"/>
  <c r="C11128" i="1"/>
  <c r="C11127" i="1"/>
  <c r="C11126" i="1"/>
  <c r="C11125" i="1"/>
  <c r="C11124" i="1"/>
  <c r="C11123" i="1"/>
  <c r="C11122" i="1"/>
  <c r="C11121" i="1"/>
  <c r="C11120" i="1"/>
  <c r="C11119" i="1"/>
  <c r="C11118" i="1"/>
  <c r="C11117" i="1"/>
  <c r="C11116" i="1"/>
  <c r="C11115" i="1"/>
  <c r="C11114" i="1"/>
  <c r="C11113" i="1"/>
  <c r="C11112" i="1"/>
  <c r="C11111" i="1"/>
  <c r="C11110" i="1"/>
  <c r="C11109" i="1"/>
  <c r="C11108" i="1"/>
  <c r="C11107" i="1"/>
  <c r="C11106" i="1"/>
  <c r="C11105" i="1"/>
  <c r="C11104" i="1"/>
  <c r="C11103" i="1"/>
  <c r="C11102" i="1"/>
  <c r="C11101" i="1"/>
  <c r="C11100" i="1"/>
  <c r="C11099" i="1"/>
  <c r="C11098" i="1"/>
  <c r="C11097" i="1"/>
  <c r="C11096" i="1"/>
  <c r="C11095" i="1"/>
  <c r="C11094" i="1"/>
  <c r="C11093" i="1"/>
  <c r="C11092" i="1"/>
  <c r="C11091" i="1"/>
  <c r="C11090" i="1"/>
  <c r="C11089" i="1"/>
  <c r="C11088" i="1"/>
  <c r="C11087" i="1"/>
  <c r="C11086" i="1"/>
  <c r="C11085" i="1"/>
  <c r="C11084" i="1"/>
  <c r="C11083" i="1"/>
  <c r="C11082" i="1"/>
  <c r="C11081" i="1"/>
  <c r="C11080" i="1"/>
  <c r="C11079" i="1"/>
  <c r="C11078" i="1"/>
  <c r="C11077" i="1"/>
  <c r="C11076" i="1"/>
  <c r="C11075" i="1"/>
  <c r="C11074" i="1"/>
  <c r="C11073" i="1"/>
  <c r="C11072" i="1"/>
  <c r="C11071" i="1"/>
  <c r="C11070" i="1"/>
  <c r="C11069" i="1"/>
  <c r="C11068" i="1"/>
  <c r="C11067" i="1"/>
  <c r="C11066" i="1"/>
  <c r="C11065" i="1"/>
  <c r="C11064" i="1"/>
  <c r="C11063" i="1"/>
  <c r="C11062" i="1"/>
  <c r="C11061" i="1"/>
  <c r="C11060" i="1"/>
  <c r="C11059" i="1"/>
  <c r="C11058" i="1"/>
  <c r="C11057" i="1"/>
  <c r="C11056" i="1"/>
  <c r="C11055" i="1"/>
  <c r="C11054" i="1"/>
  <c r="C11053" i="1"/>
  <c r="C11052" i="1"/>
  <c r="C11051" i="1"/>
  <c r="C11050" i="1"/>
  <c r="C11049" i="1"/>
  <c r="C11048" i="1"/>
  <c r="C11047" i="1"/>
  <c r="C11046" i="1"/>
  <c r="C11045" i="1"/>
  <c r="C11044" i="1"/>
  <c r="C11043" i="1"/>
  <c r="C11042" i="1"/>
  <c r="C11041" i="1"/>
  <c r="C11040" i="1"/>
  <c r="C11039" i="1"/>
  <c r="C11038" i="1"/>
  <c r="C11037" i="1"/>
  <c r="C11036" i="1"/>
  <c r="C11035" i="1"/>
  <c r="C11034" i="1"/>
  <c r="C11033" i="1"/>
  <c r="C11032" i="1"/>
  <c r="C11031" i="1"/>
  <c r="C11030" i="1"/>
  <c r="C11029" i="1"/>
  <c r="C11028" i="1"/>
  <c r="C11027" i="1"/>
  <c r="C11026" i="1"/>
  <c r="C11025" i="1"/>
  <c r="C11024" i="1"/>
  <c r="C11023" i="1"/>
  <c r="C11022" i="1"/>
  <c r="C11021" i="1"/>
  <c r="C11020" i="1"/>
  <c r="C11019" i="1"/>
  <c r="C11018" i="1"/>
  <c r="C11017" i="1"/>
  <c r="C11016" i="1"/>
  <c r="C11015" i="1"/>
  <c r="C11014" i="1"/>
  <c r="C11013" i="1"/>
  <c r="C11012" i="1"/>
  <c r="C11011" i="1"/>
  <c r="C11010" i="1"/>
  <c r="C11009" i="1"/>
  <c r="C11008" i="1"/>
  <c r="C11007" i="1"/>
  <c r="C11006" i="1"/>
  <c r="C11005" i="1"/>
  <c r="C11004" i="1"/>
  <c r="C11003" i="1"/>
  <c r="C11002" i="1"/>
  <c r="C11001" i="1"/>
  <c r="C11000" i="1"/>
  <c r="C10999" i="1"/>
  <c r="C10998" i="1"/>
  <c r="C10997" i="1"/>
  <c r="C10996" i="1"/>
  <c r="C10995" i="1"/>
  <c r="C10994" i="1"/>
  <c r="C10993" i="1"/>
  <c r="C10992" i="1"/>
  <c r="C10991" i="1"/>
  <c r="C10990" i="1"/>
  <c r="C10989" i="1"/>
  <c r="C10988" i="1"/>
  <c r="C10987" i="1"/>
  <c r="C10986" i="1"/>
  <c r="C10985" i="1"/>
  <c r="C10984" i="1"/>
  <c r="C10983" i="1"/>
  <c r="C10982" i="1"/>
  <c r="C10981" i="1"/>
  <c r="C10980" i="1"/>
  <c r="C10979" i="1"/>
  <c r="C10978" i="1"/>
  <c r="C10977" i="1"/>
  <c r="C10976" i="1"/>
  <c r="C10975" i="1"/>
  <c r="C10974" i="1"/>
  <c r="C10973" i="1"/>
  <c r="C10972" i="1"/>
  <c r="C10971" i="1"/>
  <c r="C10970" i="1"/>
  <c r="C10969" i="1"/>
  <c r="C10968" i="1"/>
  <c r="C10967" i="1"/>
  <c r="C10966" i="1"/>
  <c r="C10965" i="1"/>
  <c r="C10964" i="1"/>
  <c r="C10963" i="1"/>
  <c r="C10962" i="1"/>
  <c r="C10961" i="1"/>
  <c r="C10960" i="1"/>
  <c r="C10959" i="1"/>
  <c r="C10958" i="1"/>
  <c r="C10957" i="1"/>
  <c r="C10956" i="1"/>
  <c r="C10955" i="1"/>
  <c r="C10954" i="1"/>
  <c r="C10953" i="1"/>
  <c r="C10952" i="1"/>
  <c r="C10951" i="1"/>
  <c r="C10950" i="1"/>
  <c r="C10949" i="1"/>
  <c r="C10948" i="1"/>
  <c r="C10947" i="1"/>
  <c r="C10946" i="1"/>
  <c r="C10945" i="1"/>
  <c r="C10944" i="1"/>
  <c r="C10943" i="1"/>
  <c r="C10942" i="1"/>
  <c r="C10941" i="1"/>
  <c r="C10940" i="1"/>
  <c r="C10939" i="1"/>
  <c r="C10938" i="1"/>
  <c r="C10937" i="1"/>
  <c r="C10936" i="1"/>
  <c r="C10935" i="1"/>
  <c r="C10934" i="1"/>
  <c r="C10933" i="1"/>
  <c r="C10932" i="1"/>
  <c r="C10931" i="1"/>
  <c r="C10930" i="1"/>
  <c r="C10929" i="1"/>
  <c r="C10928" i="1"/>
  <c r="C10927" i="1"/>
  <c r="C10926" i="1"/>
  <c r="C10925" i="1"/>
  <c r="C10924" i="1"/>
  <c r="C10923" i="1"/>
  <c r="C10922" i="1"/>
  <c r="C10921" i="1"/>
  <c r="C10920" i="1"/>
  <c r="C10919" i="1"/>
  <c r="C10918" i="1"/>
  <c r="C10917" i="1"/>
  <c r="C10916" i="1"/>
  <c r="C10915" i="1"/>
  <c r="C10914" i="1"/>
  <c r="C10913" i="1"/>
  <c r="C10912" i="1"/>
  <c r="C10911" i="1"/>
  <c r="C10910" i="1"/>
  <c r="C10909" i="1"/>
  <c r="C10908" i="1"/>
  <c r="C10907" i="1"/>
  <c r="C10906" i="1"/>
  <c r="C10905" i="1"/>
  <c r="C10904" i="1"/>
  <c r="C10903" i="1"/>
  <c r="C10902" i="1"/>
  <c r="C10901" i="1"/>
  <c r="C10900" i="1"/>
  <c r="C10899" i="1"/>
  <c r="C10898" i="1"/>
  <c r="C10897" i="1"/>
  <c r="C10896" i="1"/>
  <c r="C10895" i="1"/>
  <c r="C10894" i="1"/>
  <c r="C10893" i="1"/>
  <c r="C10892" i="1"/>
  <c r="C10891" i="1"/>
  <c r="C10890" i="1"/>
  <c r="C10889" i="1"/>
  <c r="C10888" i="1"/>
  <c r="C10887" i="1"/>
  <c r="C10886" i="1"/>
  <c r="C10885" i="1"/>
  <c r="C10884" i="1"/>
  <c r="C10883" i="1"/>
  <c r="C10882" i="1"/>
  <c r="C10881" i="1"/>
  <c r="C10880" i="1"/>
  <c r="C10879" i="1"/>
  <c r="C10878" i="1"/>
  <c r="C10877" i="1"/>
  <c r="C10876" i="1"/>
  <c r="C10875" i="1"/>
  <c r="C10874" i="1"/>
  <c r="C10873" i="1"/>
  <c r="C10872" i="1"/>
  <c r="D10871" i="1"/>
  <c r="C10871" i="1"/>
  <c r="D10870" i="1"/>
  <c r="C10870" i="1"/>
  <c r="D10869" i="1"/>
  <c r="C10869" i="1"/>
  <c r="D10868" i="1"/>
  <c r="C10868" i="1"/>
  <c r="D10867" i="1"/>
  <c r="C10867" i="1"/>
  <c r="D10866" i="1"/>
  <c r="C10866" i="1"/>
  <c r="D10865" i="1"/>
  <c r="C10865" i="1"/>
  <c r="D10864" i="1"/>
  <c r="C10864" i="1"/>
  <c r="D10863" i="1"/>
  <c r="C10863" i="1"/>
  <c r="D10862" i="1"/>
  <c r="C10862" i="1"/>
  <c r="D10861" i="1"/>
  <c r="C10861" i="1"/>
  <c r="D10860" i="1"/>
  <c r="C10860" i="1"/>
  <c r="D10859" i="1"/>
  <c r="C10859" i="1"/>
  <c r="D10858" i="1"/>
  <c r="C10858" i="1"/>
  <c r="D10857" i="1"/>
  <c r="C10857" i="1"/>
  <c r="D10856" i="1"/>
  <c r="C10856" i="1"/>
  <c r="D10855" i="1"/>
  <c r="C10855" i="1"/>
  <c r="D10854" i="1"/>
  <c r="C10854" i="1"/>
  <c r="D10853" i="1"/>
  <c r="C10853" i="1"/>
  <c r="D10852" i="1"/>
  <c r="C10852" i="1"/>
  <c r="D10851" i="1"/>
  <c r="C10851" i="1"/>
  <c r="D10850" i="1"/>
  <c r="C10850" i="1"/>
  <c r="D10849" i="1"/>
  <c r="C10849" i="1"/>
  <c r="D10848" i="1"/>
  <c r="C10848" i="1"/>
  <c r="D10847" i="1"/>
  <c r="C10847" i="1"/>
  <c r="D10846" i="1"/>
  <c r="C10846" i="1"/>
  <c r="D10845" i="1"/>
  <c r="C10845" i="1"/>
  <c r="D10844" i="1"/>
  <c r="C10844" i="1"/>
  <c r="D10843" i="1"/>
  <c r="C10843" i="1"/>
  <c r="D10842" i="1"/>
  <c r="C10842" i="1"/>
  <c r="D10841" i="1"/>
  <c r="C10841" i="1"/>
  <c r="D10840" i="1"/>
  <c r="C10840" i="1"/>
  <c r="D10839" i="1"/>
  <c r="C10839" i="1"/>
  <c r="D10838" i="1"/>
  <c r="C10838" i="1"/>
  <c r="D10837" i="1"/>
  <c r="C10837" i="1"/>
  <c r="D10836" i="1"/>
  <c r="C10836" i="1"/>
  <c r="D10835" i="1"/>
  <c r="C10835" i="1"/>
  <c r="D10834" i="1"/>
  <c r="C10834" i="1"/>
  <c r="D10833" i="1"/>
  <c r="C10833" i="1"/>
  <c r="D10832" i="1"/>
  <c r="C10832" i="1"/>
  <c r="D10831" i="1"/>
  <c r="C10831" i="1"/>
  <c r="D10830" i="1"/>
  <c r="C10830" i="1"/>
  <c r="D10829" i="1"/>
  <c r="C10829" i="1"/>
  <c r="D10828" i="1"/>
  <c r="C10828" i="1"/>
  <c r="D10827" i="1"/>
  <c r="C10827" i="1"/>
  <c r="D10826" i="1"/>
  <c r="C10826" i="1"/>
  <c r="D10825" i="1"/>
  <c r="C10825" i="1"/>
  <c r="D10824" i="1"/>
  <c r="C10824" i="1"/>
  <c r="D10823" i="1"/>
  <c r="C10823" i="1"/>
  <c r="D10822" i="1"/>
  <c r="C10822" i="1"/>
  <c r="D10821" i="1"/>
  <c r="C10821" i="1"/>
  <c r="D10820" i="1"/>
  <c r="C10820" i="1"/>
  <c r="D10819" i="1"/>
  <c r="C10819" i="1"/>
  <c r="D10818" i="1"/>
  <c r="C10818" i="1"/>
  <c r="D10817" i="1"/>
  <c r="C10817" i="1"/>
  <c r="D10816" i="1"/>
  <c r="C10816" i="1"/>
  <c r="D10815" i="1"/>
  <c r="C10815" i="1"/>
  <c r="D10814" i="1"/>
  <c r="C10814" i="1"/>
  <c r="D10813" i="1"/>
  <c r="C10813" i="1"/>
  <c r="D10812" i="1"/>
  <c r="C10812" i="1"/>
  <c r="D10811" i="1"/>
  <c r="C10811" i="1"/>
  <c r="D10810" i="1"/>
  <c r="C10810" i="1"/>
  <c r="D10809" i="1"/>
  <c r="C10809" i="1"/>
  <c r="D10808" i="1"/>
  <c r="C10808" i="1"/>
  <c r="D10807" i="1"/>
  <c r="C10807" i="1"/>
  <c r="D10806" i="1"/>
  <c r="C10806" i="1"/>
  <c r="D10805" i="1"/>
  <c r="C10805" i="1"/>
  <c r="D10804" i="1"/>
  <c r="C10804" i="1"/>
  <c r="D10803" i="1"/>
  <c r="C10803" i="1"/>
  <c r="D10802" i="1"/>
  <c r="C10802" i="1"/>
  <c r="D10801" i="1"/>
  <c r="C10801" i="1"/>
  <c r="D10800" i="1"/>
  <c r="C10800" i="1"/>
  <c r="D10799" i="1"/>
  <c r="C10799" i="1"/>
  <c r="D10798" i="1"/>
  <c r="C10798" i="1"/>
  <c r="D10797" i="1"/>
  <c r="C10797" i="1"/>
  <c r="D10796" i="1"/>
  <c r="C10796" i="1"/>
  <c r="D10795" i="1"/>
  <c r="C10795" i="1"/>
  <c r="D10794" i="1"/>
  <c r="C10794" i="1"/>
  <c r="D10793" i="1"/>
  <c r="C10793" i="1"/>
  <c r="D10792" i="1"/>
  <c r="C10792" i="1"/>
  <c r="D10791" i="1"/>
  <c r="C10791" i="1"/>
  <c r="D10790" i="1"/>
  <c r="C10790" i="1"/>
  <c r="D10789" i="1"/>
  <c r="C10789" i="1"/>
  <c r="D10788" i="1"/>
  <c r="C10788" i="1"/>
  <c r="D10787" i="1"/>
  <c r="C10787" i="1"/>
  <c r="D10786" i="1"/>
  <c r="C10786" i="1"/>
  <c r="D10785" i="1"/>
  <c r="C10785" i="1"/>
  <c r="D10784" i="1"/>
  <c r="C10784" i="1"/>
  <c r="D10783" i="1"/>
  <c r="C10783" i="1"/>
  <c r="D10782" i="1"/>
  <c r="C10782" i="1"/>
  <c r="D10781" i="1"/>
  <c r="C10781" i="1"/>
  <c r="D10780" i="1"/>
  <c r="C10780" i="1"/>
  <c r="D10779" i="1"/>
  <c r="C10779" i="1"/>
  <c r="D10778" i="1"/>
  <c r="C10778" i="1"/>
  <c r="D10777" i="1"/>
  <c r="C10777" i="1"/>
  <c r="D10776" i="1"/>
  <c r="C10776" i="1"/>
  <c r="D10775" i="1"/>
  <c r="C10775" i="1"/>
  <c r="D10774" i="1"/>
  <c r="C10774" i="1"/>
  <c r="D10773" i="1"/>
  <c r="C10773" i="1"/>
  <c r="D10772" i="1"/>
  <c r="C10772" i="1"/>
  <c r="D10771" i="1"/>
  <c r="C10771" i="1"/>
  <c r="D10770" i="1"/>
  <c r="C10770" i="1"/>
  <c r="D10769" i="1"/>
  <c r="C10769" i="1"/>
  <c r="D10768" i="1"/>
  <c r="C10768" i="1"/>
  <c r="D10767" i="1"/>
  <c r="C10767" i="1"/>
  <c r="D10766" i="1"/>
  <c r="C10766" i="1"/>
  <c r="D10765" i="1"/>
  <c r="C10765" i="1"/>
  <c r="D10764" i="1"/>
  <c r="C10764" i="1"/>
  <c r="D10763" i="1"/>
  <c r="C10763" i="1"/>
  <c r="D10762" i="1"/>
  <c r="C10762" i="1"/>
  <c r="D10761" i="1"/>
  <c r="C10761" i="1"/>
  <c r="D10760" i="1"/>
  <c r="C10760" i="1"/>
  <c r="D10759" i="1"/>
  <c r="C10759" i="1"/>
  <c r="D10758" i="1"/>
  <c r="C10758" i="1"/>
  <c r="D10757" i="1"/>
  <c r="C10757" i="1"/>
  <c r="D10756" i="1"/>
  <c r="C10756" i="1"/>
  <c r="D10755" i="1"/>
  <c r="C10755" i="1"/>
  <c r="D10754" i="1"/>
  <c r="C10754" i="1"/>
  <c r="D10753" i="1"/>
  <c r="C10753" i="1"/>
  <c r="D10752" i="1"/>
  <c r="C10752" i="1"/>
  <c r="D10751" i="1"/>
  <c r="C10751" i="1"/>
  <c r="D10750" i="1"/>
  <c r="C10750" i="1"/>
  <c r="D10749" i="1"/>
  <c r="C10749" i="1"/>
  <c r="D10748" i="1"/>
  <c r="C10748" i="1"/>
  <c r="D10747" i="1"/>
  <c r="C10747" i="1"/>
  <c r="D10746" i="1"/>
  <c r="C10746" i="1"/>
  <c r="D10745" i="1"/>
  <c r="C10745" i="1"/>
  <c r="D10744" i="1"/>
  <c r="C10744" i="1"/>
  <c r="D10743" i="1"/>
  <c r="C10743" i="1"/>
  <c r="D10742" i="1"/>
  <c r="C10742" i="1"/>
  <c r="D10741" i="1"/>
  <c r="C10741" i="1"/>
  <c r="D10740" i="1"/>
  <c r="C10740" i="1"/>
  <c r="D10739" i="1"/>
  <c r="C10739" i="1"/>
  <c r="D10738" i="1"/>
  <c r="C10738" i="1"/>
  <c r="D10737" i="1"/>
  <c r="C10737" i="1"/>
  <c r="D10736" i="1"/>
  <c r="C10736" i="1"/>
  <c r="D10735" i="1"/>
  <c r="C10735" i="1"/>
  <c r="D10734" i="1"/>
  <c r="C10734" i="1"/>
  <c r="D10733" i="1"/>
  <c r="C10733" i="1"/>
  <c r="D10732" i="1"/>
  <c r="C10732" i="1"/>
  <c r="D10731" i="1"/>
  <c r="C10731" i="1"/>
  <c r="D10730" i="1"/>
  <c r="C10730" i="1"/>
  <c r="D10729" i="1"/>
  <c r="C10729" i="1"/>
  <c r="D10728" i="1"/>
  <c r="C10728" i="1"/>
  <c r="D10727" i="1"/>
  <c r="C10727" i="1"/>
  <c r="D10726" i="1"/>
  <c r="C10726" i="1"/>
  <c r="D10725" i="1"/>
  <c r="C10725" i="1"/>
  <c r="D10724" i="1"/>
  <c r="C10724" i="1"/>
  <c r="D10723" i="1"/>
  <c r="C10723" i="1"/>
  <c r="D10722" i="1"/>
  <c r="C10722" i="1"/>
  <c r="D10721" i="1"/>
  <c r="C10721" i="1"/>
  <c r="D10720" i="1"/>
  <c r="C10720" i="1"/>
  <c r="D10719" i="1"/>
  <c r="C10719" i="1"/>
  <c r="D10718" i="1"/>
  <c r="C10718" i="1"/>
  <c r="D10717" i="1"/>
  <c r="C10717" i="1"/>
  <c r="D10716" i="1"/>
  <c r="C10716" i="1"/>
  <c r="D10715" i="1"/>
  <c r="C10715" i="1"/>
  <c r="D10714" i="1"/>
  <c r="C10714" i="1"/>
  <c r="D10713" i="1"/>
  <c r="C10713" i="1"/>
  <c r="D10712" i="1"/>
  <c r="C10712" i="1"/>
  <c r="D10711" i="1"/>
  <c r="C10711" i="1"/>
  <c r="D10710" i="1"/>
  <c r="C10710" i="1"/>
  <c r="D10709" i="1"/>
  <c r="C10709" i="1"/>
  <c r="D10708" i="1"/>
  <c r="C10708" i="1"/>
  <c r="D10707" i="1"/>
  <c r="C10707" i="1"/>
  <c r="D10706" i="1"/>
  <c r="C10706" i="1"/>
  <c r="D10705" i="1"/>
  <c r="C10705" i="1"/>
  <c r="D10704" i="1"/>
  <c r="C10704" i="1"/>
  <c r="D10703" i="1"/>
  <c r="C10703" i="1"/>
  <c r="D10702" i="1"/>
  <c r="C10702" i="1"/>
  <c r="D10701" i="1"/>
  <c r="C10701" i="1"/>
  <c r="D10700" i="1"/>
  <c r="C10700" i="1"/>
  <c r="D10699" i="1"/>
  <c r="C10699" i="1"/>
  <c r="D10698" i="1"/>
  <c r="C10698" i="1"/>
  <c r="D10697" i="1"/>
  <c r="C10697" i="1"/>
  <c r="D10696" i="1"/>
  <c r="C10696" i="1"/>
  <c r="D10695" i="1"/>
  <c r="C10695" i="1"/>
  <c r="D10694" i="1"/>
  <c r="C10694" i="1"/>
  <c r="D10693" i="1"/>
  <c r="C10693" i="1"/>
  <c r="D10692" i="1"/>
  <c r="C10692" i="1"/>
  <c r="D10691" i="1"/>
  <c r="C10691" i="1"/>
  <c r="D10690" i="1"/>
  <c r="C10690" i="1"/>
  <c r="D10689" i="1"/>
  <c r="C10689" i="1"/>
  <c r="D10688" i="1"/>
  <c r="C10688" i="1"/>
  <c r="D10687" i="1"/>
  <c r="C10687" i="1"/>
  <c r="D10686" i="1"/>
  <c r="C10686" i="1"/>
  <c r="D10685" i="1"/>
  <c r="C10685" i="1"/>
  <c r="D10684" i="1"/>
  <c r="C10684" i="1"/>
  <c r="D10683" i="1"/>
  <c r="C10683" i="1"/>
  <c r="D10682" i="1"/>
  <c r="C10682" i="1"/>
  <c r="D10681" i="1"/>
  <c r="C10681" i="1"/>
  <c r="D10680" i="1"/>
  <c r="C10680" i="1"/>
  <c r="D10679" i="1"/>
  <c r="C10679" i="1"/>
  <c r="D10678" i="1"/>
  <c r="C10678" i="1"/>
  <c r="D10677" i="1"/>
  <c r="C10677" i="1"/>
  <c r="D10676" i="1"/>
  <c r="C10676" i="1"/>
  <c r="D10675" i="1"/>
  <c r="C10675" i="1"/>
  <c r="D10674" i="1"/>
  <c r="C10674" i="1"/>
  <c r="D10673" i="1"/>
  <c r="C10673" i="1"/>
  <c r="D10672" i="1"/>
  <c r="C10672" i="1"/>
  <c r="D10671" i="1"/>
  <c r="C10671" i="1"/>
  <c r="D10670" i="1"/>
  <c r="C10670" i="1"/>
  <c r="D10669" i="1"/>
  <c r="C10669" i="1"/>
  <c r="D10668" i="1"/>
  <c r="C10668" i="1"/>
  <c r="D10667" i="1"/>
  <c r="C10667" i="1"/>
  <c r="D10666" i="1"/>
  <c r="C10666" i="1"/>
  <c r="D10665" i="1"/>
  <c r="C10665" i="1"/>
  <c r="D10664" i="1"/>
  <c r="C10664" i="1"/>
  <c r="D10663" i="1"/>
  <c r="C10663" i="1"/>
  <c r="D10662" i="1"/>
  <c r="C10662" i="1"/>
  <c r="D10661" i="1"/>
  <c r="C10661" i="1"/>
  <c r="D10660" i="1"/>
  <c r="C10660" i="1"/>
  <c r="D10659" i="1"/>
  <c r="C10659" i="1"/>
  <c r="D10658" i="1"/>
  <c r="C10658" i="1"/>
  <c r="D10657" i="1"/>
  <c r="C10657" i="1"/>
  <c r="D10656" i="1"/>
  <c r="C10656" i="1"/>
  <c r="D10655" i="1"/>
  <c r="C10655" i="1"/>
  <c r="D10654" i="1"/>
  <c r="C10654" i="1"/>
  <c r="D10653" i="1"/>
  <c r="C10653" i="1"/>
  <c r="D10652" i="1"/>
  <c r="C10652" i="1"/>
  <c r="D10651" i="1"/>
  <c r="C10651" i="1"/>
  <c r="D10650" i="1"/>
  <c r="C10650" i="1"/>
  <c r="D10649" i="1"/>
  <c r="C10649" i="1"/>
  <c r="D10648" i="1"/>
  <c r="C10648" i="1"/>
  <c r="D10647" i="1"/>
  <c r="C10647" i="1"/>
  <c r="D10646" i="1"/>
  <c r="C10646" i="1"/>
  <c r="D10645" i="1"/>
  <c r="C10645" i="1"/>
  <c r="D10644" i="1"/>
  <c r="C10644" i="1"/>
  <c r="D10643" i="1"/>
  <c r="C10643" i="1"/>
  <c r="D10642" i="1"/>
  <c r="C10642" i="1"/>
  <c r="D10641" i="1"/>
  <c r="C10641" i="1"/>
  <c r="D10640" i="1"/>
  <c r="C10640" i="1"/>
  <c r="D10639" i="1"/>
  <c r="C10639" i="1"/>
  <c r="D10638" i="1"/>
  <c r="C10638" i="1"/>
  <c r="D10637" i="1"/>
  <c r="C10637" i="1"/>
  <c r="D10636" i="1"/>
  <c r="C10636" i="1"/>
  <c r="D10635" i="1"/>
  <c r="C10635" i="1"/>
  <c r="D10634" i="1"/>
  <c r="C10634" i="1"/>
  <c r="D10633" i="1"/>
  <c r="C10633" i="1"/>
  <c r="D10632" i="1"/>
  <c r="C10632" i="1"/>
  <c r="D10631" i="1"/>
  <c r="C10631" i="1"/>
  <c r="D10630" i="1"/>
  <c r="C10630" i="1"/>
  <c r="D10629" i="1"/>
  <c r="C10629" i="1"/>
  <c r="D10628" i="1"/>
  <c r="C10628" i="1"/>
  <c r="D10627" i="1"/>
  <c r="C10627" i="1"/>
  <c r="D10626" i="1"/>
  <c r="C10626" i="1"/>
  <c r="D10625" i="1"/>
  <c r="C10625" i="1"/>
  <c r="D10624" i="1"/>
  <c r="C10624" i="1"/>
  <c r="D10623" i="1"/>
  <c r="C10623" i="1"/>
  <c r="D10622" i="1"/>
  <c r="C10622" i="1"/>
  <c r="D10621" i="1"/>
  <c r="C10621" i="1"/>
  <c r="D10620" i="1"/>
  <c r="C10620" i="1"/>
  <c r="D10619" i="1"/>
  <c r="C10619" i="1"/>
  <c r="D10618" i="1"/>
  <c r="C10618" i="1"/>
  <c r="D10617" i="1"/>
  <c r="C10617" i="1"/>
  <c r="D10616" i="1"/>
  <c r="C10616" i="1"/>
  <c r="D10615" i="1"/>
  <c r="C10615" i="1"/>
  <c r="D10614" i="1"/>
  <c r="C10614" i="1"/>
  <c r="D10613" i="1"/>
  <c r="C10613" i="1"/>
  <c r="D10612" i="1"/>
  <c r="C10612" i="1"/>
  <c r="D10611" i="1"/>
  <c r="C10611" i="1"/>
  <c r="D10610" i="1"/>
  <c r="C10610" i="1"/>
  <c r="D10609" i="1"/>
  <c r="C10609" i="1"/>
  <c r="D10608" i="1"/>
  <c r="C10608" i="1"/>
  <c r="D10607" i="1"/>
  <c r="C10607" i="1"/>
  <c r="D10606" i="1"/>
  <c r="C10606" i="1"/>
  <c r="D10605" i="1"/>
  <c r="C10605" i="1"/>
  <c r="D10604" i="1"/>
  <c r="C10604" i="1"/>
  <c r="D10603" i="1"/>
  <c r="C10603" i="1"/>
  <c r="D10602" i="1"/>
  <c r="C10602" i="1"/>
  <c r="D10601" i="1"/>
  <c r="C10601" i="1"/>
  <c r="D10600" i="1"/>
  <c r="C10600" i="1"/>
  <c r="C10599" i="1"/>
  <c r="C10598" i="1"/>
  <c r="C10597" i="1"/>
  <c r="C10596" i="1"/>
  <c r="C10595" i="1"/>
  <c r="C10594" i="1"/>
  <c r="C10593" i="1"/>
  <c r="C10592" i="1"/>
  <c r="C10591" i="1"/>
  <c r="C10590" i="1"/>
  <c r="C10589" i="1"/>
  <c r="C10588" i="1"/>
  <c r="C10587" i="1"/>
  <c r="C10586" i="1"/>
  <c r="C10585" i="1"/>
  <c r="C10584" i="1"/>
  <c r="C10583" i="1"/>
  <c r="C10582" i="1"/>
  <c r="C10581" i="1"/>
  <c r="C10580" i="1"/>
  <c r="C10579" i="1"/>
  <c r="C10578" i="1"/>
  <c r="C10577" i="1"/>
  <c r="C10576" i="1"/>
  <c r="C10575" i="1"/>
  <c r="C10574" i="1"/>
  <c r="C10573" i="1"/>
  <c r="C10572" i="1"/>
  <c r="C10571" i="1"/>
  <c r="C10570" i="1"/>
  <c r="C10569" i="1"/>
  <c r="C10568" i="1"/>
  <c r="C10567" i="1"/>
  <c r="C10566" i="1"/>
  <c r="C10565" i="1"/>
  <c r="C10564" i="1"/>
  <c r="C10563" i="1"/>
  <c r="C10562" i="1"/>
  <c r="C10561" i="1"/>
  <c r="C10560" i="1"/>
  <c r="C10559" i="1"/>
  <c r="C10558" i="1"/>
  <c r="C10557" i="1"/>
  <c r="C10556" i="1"/>
  <c r="C10555" i="1"/>
  <c r="C10554" i="1"/>
  <c r="C10553" i="1"/>
  <c r="C10552" i="1"/>
  <c r="C10551" i="1"/>
  <c r="C10550" i="1"/>
  <c r="C10549" i="1"/>
  <c r="C10548" i="1"/>
  <c r="C10547" i="1"/>
  <c r="C10546" i="1"/>
  <c r="C10545" i="1"/>
  <c r="C10544" i="1"/>
  <c r="C10543" i="1"/>
  <c r="C10542" i="1"/>
  <c r="C10541" i="1"/>
  <c r="C10540" i="1"/>
  <c r="C10539" i="1"/>
  <c r="C10538" i="1"/>
  <c r="C10537" i="1"/>
  <c r="C10536" i="1"/>
  <c r="C10535" i="1"/>
  <c r="C10534" i="1"/>
  <c r="C10533" i="1"/>
  <c r="C10532" i="1"/>
  <c r="C10531" i="1"/>
  <c r="C10530" i="1"/>
  <c r="C10529" i="1"/>
  <c r="C10528" i="1"/>
  <c r="C10527" i="1"/>
  <c r="C10526" i="1"/>
  <c r="C10525" i="1"/>
  <c r="C10524" i="1"/>
  <c r="C10523" i="1"/>
  <c r="C10522" i="1"/>
  <c r="C10521" i="1"/>
  <c r="C10520" i="1"/>
  <c r="C10519" i="1"/>
  <c r="C10518" i="1"/>
  <c r="C10517" i="1"/>
  <c r="C10516" i="1"/>
  <c r="C10515" i="1"/>
  <c r="C10514" i="1"/>
  <c r="C10513" i="1"/>
  <c r="C10512" i="1"/>
  <c r="C10511" i="1"/>
  <c r="C10510" i="1"/>
  <c r="C10509" i="1"/>
  <c r="C10508" i="1"/>
  <c r="C10507" i="1"/>
  <c r="C10506" i="1"/>
  <c r="C10505" i="1"/>
  <c r="C10504" i="1"/>
  <c r="C10503" i="1"/>
  <c r="C10502" i="1"/>
  <c r="C10501" i="1"/>
  <c r="C10500" i="1"/>
  <c r="C10499" i="1"/>
  <c r="C10498" i="1"/>
  <c r="C10497" i="1"/>
  <c r="C10496" i="1"/>
  <c r="C10495" i="1"/>
  <c r="C10494" i="1"/>
  <c r="C10493" i="1"/>
  <c r="C10492" i="1"/>
  <c r="C10491" i="1"/>
  <c r="C10490" i="1"/>
  <c r="C10489" i="1"/>
  <c r="C10488" i="1"/>
  <c r="C10487" i="1"/>
  <c r="C10486" i="1"/>
  <c r="C10485" i="1"/>
  <c r="C10484" i="1"/>
  <c r="C10483" i="1"/>
  <c r="C10482" i="1"/>
  <c r="C10481" i="1"/>
  <c r="C10480" i="1"/>
  <c r="C10479" i="1"/>
  <c r="C10478" i="1"/>
  <c r="C10477" i="1"/>
  <c r="C10476" i="1"/>
  <c r="C10475" i="1"/>
  <c r="C10474" i="1"/>
  <c r="C10473" i="1"/>
  <c r="C10472" i="1"/>
  <c r="C10471" i="1"/>
  <c r="C10470" i="1"/>
  <c r="C10469" i="1"/>
  <c r="C10468" i="1"/>
  <c r="C10467" i="1"/>
  <c r="C10466" i="1"/>
  <c r="C10465" i="1"/>
  <c r="C10464" i="1"/>
  <c r="C10463" i="1"/>
  <c r="C10462" i="1"/>
  <c r="C10461" i="1"/>
  <c r="C10460" i="1"/>
  <c r="C10459" i="1"/>
  <c r="C10458" i="1"/>
  <c r="C10457" i="1"/>
  <c r="C10456" i="1"/>
  <c r="C10455" i="1"/>
  <c r="C10454" i="1"/>
  <c r="C10453" i="1"/>
  <c r="C10452" i="1"/>
  <c r="C10451" i="1"/>
  <c r="C10450" i="1"/>
  <c r="C10449" i="1"/>
  <c r="C10448" i="1"/>
  <c r="C10447" i="1"/>
  <c r="C10446" i="1"/>
  <c r="C10445" i="1"/>
  <c r="C10444" i="1"/>
  <c r="C10443" i="1"/>
  <c r="C10442" i="1"/>
  <c r="C10441" i="1"/>
  <c r="C10440" i="1"/>
  <c r="C10439" i="1"/>
  <c r="C10438" i="1"/>
  <c r="C10437" i="1"/>
  <c r="C10436" i="1"/>
  <c r="C10435" i="1"/>
  <c r="C10434" i="1"/>
  <c r="C10433" i="1"/>
  <c r="C10432" i="1"/>
  <c r="C10431" i="1"/>
  <c r="C10430" i="1"/>
  <c r="C10429" i="1"/>
  <c r="C10428" i="1"/>
  <c r="C10427" i="1"/>
  <c r="C10426" i="1"/>
  <c r="C10425" i="1"/>
  <c r="C10424" i="1"/>
  <c r="C10423" i="1"/>
  <c r="C10422" i="1"/>
  <c r="C10421" i="1"/>
  <c r="C10420" i="1"/>
  <c r="C10419" i="1"/>
  <c r="C10418" i="1"/>
  <c r="C10417" i="1"/>
  <c r="C10416" i="1"/>
  <c r="C10415" i="1"/>
  <c r="C10414" i="1"/>
  <c r="C10413" i="1"/>
  <c r="C10412" i="1"/>
  <c r="C10411" i="1"/>
  <c r="C10410" i="1"/>
  <c r="C10409" i="1"/>
  <c r="C10408" i="1"/>
  <c r="C10407" i="1"/>
  <c r="C10406" i="1"/>
  <c r="C10405" i="1"/>
  <c r="C10404" i="1"/>
  <c r="C10403" i="1"/>
  <c r="C10402" i="1"/>
  <c r="C10401" i="1"/>
  <c r="C10400" i="1"/>
  <c r="C10399" i="1"/>
  <c r="C10398" i="1"/>
  <c r="C10397" i="1"/>
  <c r="C10396" i="1"/>
  <c r="C10395" i="1"/>
  <c r="C10394" i="1"/>
  <c r="C10393" i="1"/>
  <c r="C10392" i="1"/>
  <c r="C10391" i="1"/>
  <c r="C10390" i="1"/>
  <c r="C10389" i="1"/>
  <c r="C10388" i="1"/>
  <c r="C10387" i="1"/>
  <c r="C10386" i="1"/>
  <c r="C10385" i="1"/>
  <c r="C10384" i="1"/>
  <c r="C10383" i="1"/>
  <c r="C10382" i="1"/>
  <c r="C10381" i="1"/>
  <c r="C10380" i="1"/>
  <c r="C10379" i="1"/>
  <c r="C10378" i="1"/>
  <c r="C10377" i="1"/>
  <c r="C10376" i="1"/>
  <c r="C10375" i="1"/>
  <c r="C10374" i="1"/>
  <c r="C10373" i="1"/>
  <c r="C10372" i="1"/>
  <c r="C10371" i="1"/>
  <c r="C10370" i="1"/>
  <c r="C10369" i="1"/>
  <c r="C10368" i="1"/>
  <c r="C10367" i="1"/>
  <c r="C10366" i="1"/>
  <c r="C10365" i="1"/>
  <c r="C10364" i="1"/>
  <c r="C10363" i="1"/>
  <c r="C10362" i="1"/>
  <c r="C10361" i="1"/>
  <c r="C10360" i="1"/>
  <c r="C10359" i="1"/>
  <c r="C10358" i="1"/>
  <c r="C10357" i="1"/>
  <c r="C10356" i="1"/>
  <c r="C10355" i="1"/>
  <c r="C10354" i="1"/>
  <c r="C10353" i="1"/>
  <c r="C10352" i="1"/>
  <c r="C10351" i="1"/>
  <c r="C10350" i="1"/>
  <c r="C10349" i="1"/>
  <c r="C10348" i="1"/>
  <c r="C10347" i="1"/>
  <c r="C10346" i="1"/>
  <c r="C10345" i="1"/>
  <c r="C10344" i="1"/>
  <c r="C10343" i="1"/>
  <c r="C10342" i="1"/>
  <c r="C10341" i="1"/>
  <c r="C10340" i="1"/>
  <c r="C10339" i="1"/>
  <c r="C10338" i="1"/>
  <c r="C10337" i="1"/>
  <c r="C10336" i="1"/>
  <c r="C10335" i="1"/>
  <c r="C10334" i="1"/>
  <c r="C10333" i="1"/>
  <c r="C10332" i="1"/>
  <c r="C10331" i="1"/>
  <c r="C10330" i="1"/>
  <c r="C10329" i="1"/>
  <c r="C10328" i="1"/>
  <c r="C10327" i="1"/>
  <c r="C10326" i="1"/>
  <c r="C10325" i="1"/>
  <c r="C10324" i="1"/>
  <c r="C10323" i="1"/>
  <c r="C10322" i="1"/>
  <c r="C10321" i="1"/>
  <c r="C10320" i="1"/>
  <c r="C10319" i="1"/>
  <c r="C10318" i="1"/>
  <c r="C10317" i="1"/>
  <c r="C10316" i="1"/>
  <c r="C10315" i="1"/>
  <c r="C10314" i="1"/>
  <c r="C10313" i="1"/>
  <c r="C10312" i="1"/>
  <c r="C10311" i="1"/>
  <c r="C10310" i="1"/>
  <c r="C10309" i="1"/>
  <c r="C10308" i="1"/>
  <c r="C10307" i="1"/>
  <c r="C10306" i="1"/>
  <c r="C10305" i="1"/>
  <c r="C10304" i="1"/>
  <c r="C10303" i="1"/>
  <c r="C10302" i="1"/>
  <c r="C10301" i="1"/>
  <c r="C10300" i="1"/>
  <c r="C10299" i="1"/>
  <c r="C10298" i="1"/>
  <c r="C10297" i="1"/>
  <c r="C10296" i="1"/>
  <c r="C10295" i="1"/>
  <c r="C10294" i="1"/>
  <c r="C10293" i="1"/>
  <c r="C10292" i="1"/>
  <c r="C10291" i="1"/>
  <c r="C10290" i="1"/>
  <c r="C10289" i="1"/>
  <c r="C10288" i="1"/>
  <c r="C10287" i="1"/>
  <c r="C10286" i="1"/>
  <c r="C10285" i="1"/>
  <c r="C10284" i="1"/>
  <c r="C10283" i="1"/>
  <c r="C10282" i="1"/>
  <c r="C10281" i="1"/>
  <c r="C10280" i="1"/>
  <c r="C10279" i="1"/>
  <c r="C10278" i="1"/>
  <c r="C10277" i="1"/>
  <c r="C10276" i="1"/>
  <c r="C10275" i="1"/>
  <c r="C10274" i="1"/>
  <c r="C10273" i="1"/>
  <c r="C10272" i="1"/>
  <c r="C10271" i="1"/>
  <c r="C10270" i="1"/>
  <c r="C10269" i="1"/>
  <c r="C10268" i="1"/>
  <c r="C10267" i="1"/>
  <c r="C10266" i="1"/>
  <c r="C10265" i="1"/>
  <c r="C10264" i="1"/>
  <c r="C10263" i="1"/>
  <c r="C10262" i="1"/>
  <c r="C10261" i="1"/>
  <c r="C10260" i="1"/>
  <c r="C10259" i="1"/>
  <c r="C10258" i="1"/>
  <c r="C10257" i="1"/>
  <c r="C10256" i="1"/>
  <c r="C10255" i="1"/>
  <c r="C10254" i="1"/>
  <c r="C10253" i="1"/>
  <c r="C10252" i="1"/>
  <c r="C10251" i="1"/>
  <c r="C10250" i="1"/>
  <c r="C10249" i="1"/>
  <c r="C10248" i="1"/>
  <c r="C10247" i="1"/>
  <c r="C10246" i="1"/>
  <c r="C10245" i="1"/>
  <c r="C10244" i="1"/>
  <c r="C10243" i="1"/>
  <c r="C10242" i="1"/>
  <c r="C10241" i="1"/>
  <c r="C10240" i="1"/>
  <c r="C10239" i="1"/>
  <c r="C10238" i="1"/>
  <c r="C10237" i="1"/>
  <c r="C10236" i="1"/>
  <c r="C10235" i="1"/>
  <c r="C10234" i="1"/>
  <c r="C10233" i="1"/>
  <c r="C10232" i="1"/>
  <c r="C10231" i="1"/>
  <c r="C10230" i="1"/>
  <c r="C10229" i="1"/>
  <c r="C10228" i="1"/>
  <c r="C10227" i="1"/>
  <c r="C10226" i="1"/>
  <c r="C10225" i="1"/>
  <c r="C10224" i="1"/>
  <c r="C10223" i="1"/>
  <c r="C10222" i="1"/>
  <c r="C10221" i="1"/>
  <c r="C10220" i="1"/>
  <c r="C10219" i="1"/>
  <c r="C10218" i="1"/>
  <c r="C10217" i="1"/>
  <c r="C10216" i="1"/>
  <c r="C10215" i="1"/>
  <c r="C10214" i="1"/>
  <c r="C10213" i="1"/>
  <c r="C10212" i="1"/>
  <c r="C10211" i="1"/>
  <c r="C10210" i="1"/>
  <c r="C10209" i="1"/>
  <c r="C10208" i="1"/>
  <c r="C10207" i="1"/>
  <c r="C10206" i="1"/>
  <c r="C10205" i="1"/>
  <c r="C10204" i="1"/>
  <c r="C10203" i="1"/>
  <c r="C10202" i="1"/>
  <c r="C10201" i="1"/>
  <c r="C10200" i="1"/>
  <c r="C10199" i="1"/>
  <c r="C10198" i="1"/>
  <c r="C10197" i="1"/>
  <c r="C10196" i="1"/>
  <c r="C10195" i="1"/>
  <c r="C10194" i="1"/>
  <c r="C10193" i="1"/>
  <c r="C10192" i="1"/>
  <c r="C10191" i="1"/>
  <c r="C10190" i="1"/>
  <c r="C10189" i="1"/>
  <c r="C10188" i="1"/>
  <c r="C10187" i="1"/>
  <c r="C10186" i="1"/>
  <c r="C10185" i="1"/>
  <c r="C10184" i="1"/>
  <c r="C10183" i="1"/>
  <c r="C10182" i="1"/>
  <c r="C10181" i="1"/>
  <c r="C10180" i="1"/>
  <c r="C10179" i="1"/>
  <c r="C10178" i="1"/>
  <c r="C10177" i="1"/>
  <c r="C10176" i="1"/>
  <c r="C10175" i="1"/>
  <c r="C10174" i="1"/>
  <c r="C10173" i="1"/>
  <c r="C10172" i="1"/>
  <c r="C10171" i="1"/>
  <c r="C10170" i="1"/>
  <c r="C10169" i="1"/>
  <c r="C10168" i="1"/>
  <c r="C10167" i="1"/>
  <c r="C10166" i="1"/>
  <c r="C10165" i="1"/>
  <c r="C10164" i="1"/>
  <c r="C10163" i="1"/>
  <c r="C10162" i="1"/>
  <c r="C10161" i="1"/>
  <c r="C10160" i="1"/>
  <c r="C10159" i="1"/>
  <c r="C10158" i="1"/>
  <c r="C10157" i="1"/>
  <c r="C10156" i="1"/>
  <c r="C10155" i="1"/>
  <c r="C10154" i="1"/>
  <c r="C10153" i="1"/>
  <c r="C10152" i="1"/>
  <c r="C10151" i="1"/>
  <c r="C10150" i="1"/>
  <c r="C10149" i="1"/>
  <c r="C10148" i="1"/>
  <c r="C10147" i="1"/>
  <c r="C10146" i="1"/>
  <c r="C10145" i="1"/>
  <c r="C10144" i="1"/>
  <c r="C10143" i="1"/>
  <c r="C10142" i="1"/>
  <c r="C10141" i="1"/>
  <c r="C10140" i="1"/>
  <c r="C10139" i="1"/>
  <c r="C10138" i="1"/>
  <c r="C10137" i="1"/>
  <c r="C10136" i="1"/>
  <c r="C10135" i="1"/>
  <c r="C10134" i="1"/>
  <c r="C10133" i="1"/>
  <c r="C10132" i="1"/>
  <c r="C10131" i="1"/>
  <c r="C10130" i="1"/>
  <c r="C10129" i="1"/>
  <c r="C10128" i="1"/>
  <c r="C10127" i="1"/>
  <c r="C10126" i="1"/>
  <c r="C10125" i="1"/>
  <c r="C10124" i="1"/>
  <c r="C10123" i="1"/>
  <c r="C10122" i="1"/>
  <c r="C10121" i="1"/>
  <c r="C10120" i="1"/>
  <c r="C10119" i="1"/>
  <c r="C10118" i="1"/>
  <c r="C10117" i="1"/>
  <c r="C10116" i="1"/>
  <c r="C10115" i="1"/>
  <c r="C10114" i="1"/>
  <c r="C10113" i="1"/>
  <c r="C10112" i="1"/>
  <c r="C10111" i="1"/>
  <c r="C10110" i="1"/>
  <c r="C10109" i="1"/>
  <c r="C10108" i="1"/>
  <c r="C10107" i="1"/>
  <c r="C10106" i="1"/>
  <c r="C10105" i="1"/>
  <c r="C10104" i="1"/>
  <c r="C10103" i="1"/>
  <c r="C10102" i="1"/>
  <c r="C10101" i="1"/>
  <c r="C10100" i="1"/>
  <c r="C10099" i="1"/>
  <c r="C10098" i="1"/>
  <c r="C10097" i="1"/>
  <c r="C10096" i="1"/>
  <c r="C10095" i="1"/>
  <c r="C10094" i="1"/>
  <c r="C10093" i="1"/>
  <c r="C10092" i="1"/>
  <c r="C10091" i="1"/>
  <c r="C10090" i="1"/>
  <c r="C10089" i="1"/>
  <c r="C10088" i="1"/>
  <c r="C10087" i="1"/>
  <c r="C10086" i="1"/>
  <c r="C10085" i="1"/>
  <c r="C10084" i="1"/>
  <c r="C10083" i="1"/>
  <c r="C10082" i="1"/>
  <c r="C10081" i="1"/>
  <c r="C10080" i="1"/>
  <c r="C10079" i="1"/>
  <c r="C10078" i="1"/>
  <c r="C10077" i="1"/>
  <c r="C10076" i="1"/>
  <c r="C10075" i="1"/>
  <c r="C10074" i="1"/>
  <c r="C10073" i="1"/>
  <c r="C10072" i="1"/>
  <c r="C10071" i="1"/>
  <c r="C10070" i="1"/>
  <c r="C10069" i="1"/>
  <c r="C10068" i="1"/>
  <c r="C10067" i="1"/>
  <c r="C10066" i="1"/>
  <c r="C10065" i="1"/>
  <c r="C10064" i="1"/>
  <c r="C10063" i="1"/>
  <c r="C10062" i="1"/>
  <c r="C10061" i="1"/>
  <c r="C10060" i="1"/>
  <c r="C10059" i="1"/>
  <c r="C10058" i="1"/>
  <c r="C10057" i="1"/>
  <c r="C10056" i="1"/>
  <c r="C10055" i="1"/>
  <c r="C10054" i="1"/>
  <c r="C10053" i="1"/>
  <c r="C10052" i="1"/>
  <c r="C10051" i="1"/>
  <c r="C10050" i="1"/>
  <c r="C10049" i="1"/>
  <c r="C10048" i="1"/>
  <c r="C10047" i="1"/>
  <c r="C10046" i="1"/>
  <c r="C10045" i="1"/>
  <c r="C10044" i="1"/>
  <c r="C10043" i="1"/>
  <c r="C10042" i="1"/>
  <c r="C10041" i="1"/>
  <c r="C10040" i="1"/>
  <c r="C10039" i="1"/>
  <c r="C10038" i="1"/>
  <c r="C10037" i="1"/>
  <c r="C10036" i="1"/>
  <c r="C10035" i="1"/>
  <c r="C10034" i="1"/>
  <c r="C10033" i="1"/>
  <c r="C10032" i="1"/>
  <c r="C10031" i="1"/>
  <c r="C10030" i="1"/>
  <c r="C10029" i="1"/>
  <c r="C10028" i="1"/>
  <c r="C10027" i="1"/>
  <c r="C10026" i="1"/>
  <c r="C10025" i="1"/>
  <c r="C10024" i="1"/>
  <c r="C10023" i="1"/>
  <c r="C10022" i="1"/>
  <c r="C10021" i="1"/>
  <c r="C10020" i="1"/>
  <c r="C10019" i="1"/>
  <c r="C10018" i="1"/>
  <c r="C10017" i="1"/>
  <c r="C10016" i="1"/>
  <c r="C10015" i="1"/>
  <c r="C10014" i="1"/>
  <c r="C10013" i="1"/>
  <c r="C10012" i="1"/>
  <c r="C10011" i="1"/>
  <c r="C10010" i="1"/>
  <c r="C10009" i="1"/>
  <c r="C10008" i="1"/>
  <c r="C10007" i="1"/>
  <c r="C10006" i="1"/>
  <c r="C10005" i="1"/>
  <c r="C10004" i="1"/>
  <c r="C10003" i="1"/>
  <c r="C10002" i="1"/>
  <c r="C10001" i="1"/>
  <c r="C10000" i="1"/>
  <c r="C9999" i="1"/>
  <c r="C9998" i="1"/>
  <c r="C9997" i="1"/>
  <c r="C9996" i="1"/>
  <c r="C9995" i="1"/>
  <c r="C9994" i="1"/>
  <c r="C9993" i="1"/>
  <c r="C9992" i="1"/>
  <c r="C9991" i="1"/>
  <c r="C9990" i="1"/>
  <c r="C9989" i="1"/>
  <c r="C9988" i="1"/>
  <c r="C9987" i="1"/>
  <c r="C9986" i="1"/>
  <c r="C9985" i="1"/>
  <c r="C9984" i="1"/>
  <c r="C9983" i="1"/>
  <c r="C9982" i="1"/>
  <c r="C9981" i="1"/>
  <c r="C9980" i="1"/>
  <c r="C9979" i="1"/>
  <c r="C9978" i="1"/>
  <c r="C9977" i="1"/>
  <c r="C9976" i="1"/>
  <c r="C9975" i="1"/>
  <c r="C9974" i="1"/>
  <c r="C9973" i="1"/>
  <c r="C9972" i="1"/>
  <c r="C9971" i="1"/>
  <c r="C9970" i="1"/>
  <c r="C9969" i="1"/>
  <c r="C9968" i="1"/>
  <c r="C9967" i="1"/>
  <c r="C9966" i="1"/>
  <c r="C9965" i="1"/>
  <c r="C9964" i="1"/>
  <c r="C9963" i="1"/>
  <c r="C9962" i="1"/>
  <c r="C9961" i="1"/>
  <c r="C9960" i="1"/>
  <c r="C9959" i="1"/>
  <c r="C9958" i="1"/>
  <c r="C9957" i="1"/>
  <c r="C9956" i="1"/>
  <c r="C9955" i="1"/>
  <c r="C9954" i="1"/>
  <c r="C9953" i="1"/>
  <c r="C9952" i="1"/>
  <c r="C9951" i="1"/>
  <c r="C9950" i="1"/>
  <c r="C9949" i="1"/>
  <c r="C9948" i="1"/>
  <c r="C9947" i="1"/>
  <c r="C9946" i="1"/>
  <c r="C9945" i="1"/>
  <c r="C9944" i="1"/>
  <c r="C9943" i="1"/>
  <c r="C9942" i="1"/>
  <c r="C9941" i="1"/>
  <c r="C9940" i="1"/>
  <c r="C9939" i="1"/>
  <c r="C9938" i="1"/>
  <c r="C9937" i="1"/>
  <c r="C9936" i="1"/>
  <c r="C9935" i="1"/>
  <c r="C9934" i="1"/>
  <c r="C9933" i="1"/>
  <c r="C9932" i="1"/>
  <c r="C9931" i="1"/>
  <c r="C9930" i="1"/>
  <c r="C9929" i="1"/>
  <c r="C9928" i="1"/>
  <c r="C9927" i="1"/>
  <c r="C9926" i="1"/>
  <c r="C9925" i="1"/>
  <c r="C9924" i="1"/>
  <c r="C9923" i="1"/>
  <c r="C9922" i="1"/>
  <c r="C9921" i="1"/>
  <c r="C9920" i="1"/>
  <c r="C9919" i="1"/>
  <c r="C9918" i="1"/>
  <c r="C9917" i="1"/>
  <c r="C9916" i="1"/>
  <c r="C9915" i="1"/>
  <c r="C9914" i="1"/>
  <c r="C9913" i="1"/>
  <c r="C9912" i="1"/>
  <c r="C9911" i="1"/>
  <c r="C9910" i="1"/>
  <c r="C9909" i="1"/>
  <c r="C9908" i="1"/>
  <c r="C9907" i="1"/>
  <c r="C9906" i="1"/>
  <c r="C9905" i="1"/>
  <c r="C9904" i="1"/>
  <c r="C9903" i="1"/>
  <c r="C9902" i="1"/>
  <c r="C9901" i="1"/>
  <c r="C9900" i="1"/>
  <c r="C9899" i="1"/>
  <c r="C9898" i="1"/>
  <c r="C9897" i="1"/>
  <c r="C9896" i="1"/>
  <c r="C9895" i="1"/>
  <c r="C9894" i="1"/>
  <c r="C9893" i="1"/>
  <c r="C9892" i="1"/>
  <c r="C9891" i="1"/>
  <c r="C9890" i="1"/>
  <c r="C9889" i="1"/>
  <c r="C9888" i="1"/>
  <c r="C9887" i="1"/>
  <c r="C9886" i="1"/>
  <c r="C9885" i="1"/>
  <c r="C9884" i="1"/>
  <c r="C9883" i="1"/>
  <c r="C9882" i="1"/>
  <c r="C9881" i="1"/>
  <c r="C9880" i="1"/>
  <c r="C9879" i="1"/>
  <c r="C9878" i="1"/>
  <c r="C9877" i="1"/>
  <c r="C9876" i="1"/>
  <c r="C9875" i="1"/>
  <c r="C9874" i="1"/>
  <c r="C9873" i="1"/>
  <c r="C9872" i="1"/>
  <c r="C9871" i="1"/>
  <c r="C9870" i="1"/>
  <c r="C9869" i="1"/>
  <c r="C9868" i="1"/>
  <c r="C9867" i="1"/>
  <c r="C9866" i="1"/>
  <c r="C9865" i="1"/>
  <c r="C9864" i="1"/>
  <c r="C9863" i="1"/>
  <c r="C9862" i="1"/>
  <c r="C9861" i="1"/>
  <c r="C9860" i="1"/>
  <c r="C9859" i="1"/>
  <c r="C9858" i="1"/>
  <c r="C9857" i="1"/>
  <c r="C9856" i="1"/>
  <c r="C9855" i="1"/>
  <c r="C9854" i="1"/>
  <c r="C9853" i="1"/>
  <c r="C9852" i="1"/>
  <c r="C9851" i="1"/>
  <c r="C9850" i="1"/>
  <c r="C9849" i="1"/>
  <c r="C9848" i="1"/>
  <c r="C9847" i="1"/>
  <c r="C9846" i="1"/>
  <c r="C9845" i="1"/>
  <c r="C9844" i="1"/>
  <c r="C9843" i="1"/>
  <c r="C9842" i="1"/>
  <c r="C9841" i="1"/>
  <c r="C9840" i="1"/>
  <c r="C9839" i="1"/>
  <c r="C9838" i="1"/>
  <c r="C9837" i="1"/>
  <c r="C9836" i="1"/>
  <c r="C9835" i="1"/>
  <c r="C9834" i="1"/>
  <c r="C9833" i="1"/>
  <c r="C9832" i="1"/>
  <c r="C9831" i="1"/>
  <c r="C9830" i="1"/>
  <c r="C9829" i="1"/>
  <c r="C9828" i="1"/>
  <c r="C9827" i="1"/>
  <c r="C9826" i="1"/>
  <c r="C9825" i="1"/>
  <c r="C9824" i="1"/>
  <c r="C9823" i="1"/>
  <c r="C9822" i="1"/>
  <c r="C9821" i="1"/>
  <c r="C9820" i="1"/>
  <c r="C9819" i="1"/>
  <c r="C9818" i="1"/>
  <c r="C9817" i="1"/>
  <c r="C9816" i="1"/>
  <c r="C9815" i="1"/>
  <c r="C9814" i="1"/>
  <c r="C9813" i="1"/>
  <c r="C9812" i="1"/>
  <c r="C9811" i="1"/>
  <c r="C9810" i="1"/>
  <c r="C9809" i="1"/>
  <c r="C9808" i="1"/>
  <c r="C9807" i="1"/>
  <c r="C9806" i="1"/>
  <c r="C9805" i="1"/>
  <c r="C9804" i="1"/>
  <c r="C9803" i="1"/>
  <c r="C9802" i="1"/>
  <c r="C9801" i="1"/>
  <c r="C9800" i="1"/>
  <c r="C9799" i="1"/>
  <c r="C9798" i="1"/>
  <c r="C9797" i="1"/>
  <c r="C9796" i="1"/>
  <c r="C9795" i="1"/>
  <c r="C9794" i="1"/>
  <c r="C9793" i="1"/>
  <c r="C9792" i="1"/>
  <c r="C9791" i="1"/>
  <c r="C9790" i="1"/>
  <c r="C9789" i="1"/>
  <c r="C9788" i="1"/>
  <c r="C9787" i="1"/>
  <c r="C9786" i="1"/>
  <c r="C9785" i="1"/>
  <c r="C9784" i="1"/>
  <c r="D9783" i="1"/>
  <c r="C9783" i="1"/>
  <c r="D9782" i="1"/>
  <c r="C9782" i="1"/>
  <c r="D9781" i="1"/>
  <c r="C9781" i="1"/>
  <c r="D9780" i="1"/>
  <c r="C9780" i="1"/>
  <c r="D9779" i="1"/>
  <c r="C9779" i="1"/>
  <c r="D9778" i="1"/>
  <c r="C9778" i="1"/>
  <c r="D9777" i="1"/>
  <c r="C9777" i="1"/>
  <c r="D9776" i="1"/>
  <c r="C9776" i="1"/>
  <c r="D9775" i="1"/>
  <c r="C9775" i="1"/>
  <c r="D9774" i="1"/>
  <c r="C9774" i="1"/>
  <c r="D9773" i="1"/>
  <c r="C9773" i="1"/>
  <c r="D9772" i="1"/>
  <c r="C9772" i="1"/>
  <c r="D9771" i="1"/>
  <c r="C9771" i="1"/>
  <c r="D9770" i="1"/>
  <c r="C9770" i="1"/>
  <c r="D9769" i="1"/>
  <c r="C9769" i="1"/>
  <c r="D9768" i="1"/>
  <c r="C9768" i="1"/>
  <c r="D9767" i="1"/>
  <c r="C9767" i="1"/>
  <c r="D9766" i="1"/>
  <c r="C9766" i="1"/>
  <c r="D9765" i="1"/>
  <c r="C9765" i="1"/>
  <c r="D9764" i="1"/>
  <c r="C9764" i="1"/>
  <c r="D9763" i="1"/>
  <c r="C9763" i="1"/>
  <c r="D9762" i="1"/>
  <c r="C9762" i="1"/>
  <c r="D9761" i="1"/>
  <c r="C9761" i="1"/>
  <c r="D9760" i="1"/>
  <c r="C9760" i="1"/>
  <c r="D9759" i="1"/>
  <c r="C9759" i="1"/>
  <c r="D9758" i="1"/>
  <c r="C9758" i="1"/>
  <c r="D9757" i="1"/>
  <c r="C9757" i="1"/>
  <c r="D9756" i="1"/>
  <c r="C9756" i="1"/>
  <c r="D9755" i="1"/>
  <c r="C9755" i="1"/>
  <c r="D9754" i="1"/>
  <c r="C9754" i="1"/>
  <c r="D9753" i="1"/>
  <c r="C9753" i="1"/>
  <c r="D9752" i="1"/>
  <c r="C9752" i="1"/>
  <c r="D9751" i="1"/>
  <c r="C9751" i="1"/>
  <c r="D9750" i="1"/>
  <c r="C9750" i="1"/>
  <c r="D9749" i="1"/>
  <c r="C9749" i="1"/>
  <c r="D9748" i="1"/>
  <c r="C9748" i="1"/>
  <c r="D9747" i="1"/>
  <c r="C9747" i="1"/>
  <c r="D9746" i="1"/>
  <c r="C9746" i="1"/>
  <c r="D9745" i="1"/>
  <c r="C9745" i="1"/>
  <c r="D9744" i="1"/>
  <c r="C9744" i="1"/>
  <c r="D9743" i="1"/>
  <c r="C9743" i="1"/>
  <c r="D9742" i="1"/>
  <c r="C9742" i="1"/>
  <c r="D9741" i="1"/>
  <c r="C9741" i="1"/>
  <c r="D9740" i="1"/>
  <c r="C9740" i="1"/>
  <c r="D9739" i="1"/>
  <c r="C9739" i="1"/>
  <c r="D9738" i="1"/>
  <c r="C9738" i="1"/>
  <c r="D9737" i="1"/>
  <c r="C9737" i="1"/>
  <c r="D9736" i="1"/>
  <c r="C9736" i="1"/>
  <c r="D9735" i="1"/>
  <c r="C9735" i="1"/>
  <c r="D9734" i="1"/>
  <c r="C9734" i="1"/>
  <c r="D9733" i="1"/>
  <c r="C9733" i="1"/>
  <c r="D9732" i="1"/>
  <c r="C9732" i="1"/>
  <c r="D9731" i="1"/>
  <c r="C9731" i="1"/>
  <c r="D9730" i="1"/>
  <c r="C9730" i="1"/>
  <c r="D9729" i="1"/>
  <c r="C9729" i="1"/>
  <c r="D9728" i="1"/>
  <c r="C9728" i="1"/>
  <c r="D9727" i="1"/>
  <c r="C9727" i="1"/>
  <c r="D9726" i="1"/>
  <c r="C9726" i="1"/>
  <c r="D9725" i="1"/>
  <c r="C9725" i="1"/>
  <c r="D9724" i="1"/>
  <c r="C9724" i="1"/>
  <c r="D9723" i="1"/>
  <c r="C9723" i="1"/>
  <c r="D9722" i="1"/>
  <c r="C9722" i="1"/>
  <c r="D9721" i="1"/>
  <c r="C9721" i="1"/>
  <c r="D9720" i="1"/>
  <c r="C9720" i="1"/>
  <c r="D9719" i="1"/>
  <c r="C9719" i="1"/>
  <c r="D9718" i="1"/>
  <c r="C9718" i="1"/>
  <c r="D9717" i="1"/>
  <c r="C9717" i="1"/>
  <c r="D9716" i="1"/>
  <c r="C9716" i="1"/>
  <c r="D9715" i="1"/>
  <c r="C9715" i="1"/>
  <c r="D9714" i="1"/>
  <c r="C9714" i="1"/>
  <c r="D9713" i="1"/>
  <c r="C9713" i="1"/>
  <c r="D9712" i="1"/>
  <c r="C9712" i="1"/>
  <c r="D9711" i="1"/>
  <c r="C9711" i="1"/>
  <c r="D9710" i="1"/>
  <c r="C9710" i="1"/>
  <c r="D9709" i="1"/>
  <c r="C9709" i="1"/>
  <c r="D9708" i="1"/>
  <c r="C9708" i="1"/>
  <c r="D9707" i="1"/>
  <c r="C9707" i="1"/>
  <c r="D9706" i="1"/>
  <c r="C9706" i="1"/>
  <c r="D9705" i="1"/>
  <c r="C9705" i="1"/>
  <c r="D9704" i="1"/>
  <c r="C9704" i="1"/>
  <c r="D9703" i="1"/>
  <c r="C9703" i="1"/>
  <c r="D9702" i="1"/>
  <c r="C9702" i="1"/>
  <c r="D9701" i="1"/>
  <c r="C9701" i="1"/>
  <c r="D9700" i="1"/>
  <c r="C9700" i="1"/>
  <c r="D9699" i="1"/>
  <c r="C9699" i="1"/>
  <c r="D9698" i="1"/>
  <c r="C9698" i="1"/>
  <c r="D9697" i="1"/>
  <c r="C9697" i="1"/>
  <c r="D9696" i="1"/>
  <c r="C9696" i="1"/>
  <c r="D9695" i="1"/>
  <c r="C9695" i="1"/>
  <c r="D9694" i="1"/>
  <c r="C9694" i="1"/>
  <c r="D9693" i="1"/>
  <c r="C9693" i="1"/>
  <c r="D9692" i="1"/>
  <c r="C9692" i="1"/>
  <c r="D9691" i="1"/>
  <c r="C9691" i="1"/>
  <c r="D9690" i="1"/>
  <c r="C9690" i="1"/>
  <c r="D9689" i="1"/>
  <c r="C9689" i="1"/>
  <c r="D9688" i="1"/>
  <c r="C9688" i="1"/>
  <c r="D9687" i="1"/>
  <c r="C9687" i="1"/>
  <c r="D9686" i="1"/>
  <c r="C9686" i="1"/>
  <c r="D9685" i="1"/>
  <c r="C9685" i="1"/>
  <c r="D9684" i="1"/>
  <c r="C9684" i="1"/>
  <c r="D9683" i="1"/>
  <c r="C9683" i="1"/>
  <c r="D9682" i="1"/>
  <c r="C9682" i="1"/>
  <c r="D9681" i="1"/>
  <c r="C9681" i="1"/>
  <c r="D9680" i="1"/>
  <c r="C9680" i="1"/>
  <c r="D9679" i="1"/>
  <c r="C9679" i="1"/>
  <c r="D9678" i="1"/>
  <c r="C9678" i="1"/>
  <c r="D9677" i="1"/>
  <c r="C9677" i="1"/>
  <c r="D9676" i="1"/>
  <c r="C9676" i="1"/>
  <c r="D9675" i="1"/>
  <c r="C9675" i="1"/>
  <c r="D9674" i="1"/>
  <c r="C9674" i="1"/>
  <c r="D9673" i="1"/>
  <c r="C9673" i="1"/>
  <c r="D9672" i="1"/>
  <c r="C9672" i="1"/>
  <c r="D9671" i="1"/>
  <c r="C9671" i="1"/>
  <c r="D9670" i="1"/>
  <c r="C9670" i="1"/>
  <c r="D9669" i="1"/>
  <c r="C9669" i="1"/>
  <c r="D9668" i="1"/>
  <c r="C9668" i="1"/>
  <c r="D9667" i="1"/>
  <c r="C9667" i="1"/>
  <c r="D9666" i="1"/>
  <c r="C9666" i="1"/>
  <c r="D9665" i="1"/>
  <c r="C9665" i="1"/>
  <c r="D9664" i="1"/>
  <c r="C9664" i="1"/>
  <c r="D9663" i="1"/>
  <c r="C9663" i="1"/>
  <c r="D9662" i="1"/>
  <c r="C9662" i="1"/>
  <c r="D9661" i="1"/>
  <c r="C9661" i="1"/>
  <c r="D9660" i="1"/>
  <c r="C9660" i="1"/>
  <c r="D9659" i="1"/>
  <c r="C9659" i="1"/>
  <c r="D9658" i="1"/>
  <c r="C9658" i="1"/>
  <c r="D9657" i="1"/>
  <c r="C9657" i="1"/>
  <c r="D9656" i="1"/>
  <c r="C9656" i="1"/>
  <c r="D9655" i="1"/>
  <c r="C9655" i="1"/>
  <c r="D9654" i="1"/>
  <c r="C9654" i="1"/>
  <c r="D9653" i="1"/>
  <c r="C9653" i="1"/>
  <c r="D9652" i="1"/>
  <c r="C9652" i="1"/>
  <c r="D9651" i="1"/>
  <c r="C9651" i="1"/>
  <c r="D9650" i="1"/>
  <c r="C9650" i="1"/>
  <c r="D9649" i="1"/>
  <c r="C9649" i="1"/>
  <c r="D9648" i="1"/>
  <c r="C9648" i="1"/>
  <c r="D9647" i="1"/>
  <c r="C9647" i="1"/>
  <c r="D9646" i="1"/>
  <c r="C9646" i="1"/>
  <c r="D9645" i="1"/>
  <c r="C9645" i="1"/>
  <c r="D9644" i="1"/>
  <c r="C9644" i="1"/>
  <c r="D9643" i="1"/>
  <c r="C9643" i="1"/>
  <c r="D9642" i="1"/>
  <c r="C9642" i="1"/>
  <c r="D9641" i="1"/>
  <c r="C9641" i="1"/>
  <c r="D9640" i="1"/>
  <c r="C9640" i="1"/>
  <c r="D9639" i="1"/>
  <c r="C9639" i="1"/>
  <c r="D9638" i="1"/>
  <c r="C9638" i="1"/>
  <c r="D9637" i="1"/>
  <c r="C9637" i="1"/>
  <c r="D9636" i="1"/>
  <c r="C9636" i="1"/>
  <c r="D9635" i="1"/>
  <c r="C9635" i="1"/>
  <c r="D9634" i="1"/>
  <c r="C9634" i="1"/>
  <c r="D9633" i="1"/>
  <c r="C9633" i="1"/>
  <c r="D9632" i="1"/>
  <c r="C9632" i="1"/>
  <c r="D9631" i="1"/>
  <c r="C9631" i="1"/>
  <c r="D9630" i="1"/>
  <c r="C9630" i="1"/>
  <c r="D9629" i="1"/>
  <c r="C9629" i="1"/>
  <c r="D9628" i="1"/>
  <c r="C9628" i="1"/>
  <c r="D9627" i="1"/>
  <c r="C9627" i="1"/>
  <c r="D9626" i="1"/>
  <c r="C9626" i="1"/>
  <c r="D9625" i="1"/>
  <c r="C9625" i="1"/>
  <c r="D9624" i="1"/>
  <c r="C9624" i="1"/>
  <c r="D9623" i="1"/>
  <c r="C9623" i="1"/>
  <c r="D9622" i="1"/>
  <c r="C9622" i="1"/>
  <c r="D9621" i="1"/>
  <c r="C9621" i="1"/>
  <c r="D9620" i="1"/>
  <c r="C9620" i="1"/>
  <c r="D9619" i="1"/>
  <c r="C9619" i="1"/>
  <c r="D9618" i="1"/>
  <c r="C9618" i="1"/>
  <c r="D9617" i="1"/>
  <c r="C9617" i="1"/>
  <c r="D9616" i="1"/>
  <c r="C9616" i="1"/>
  <c r="D9615" i="1"/>
  <c r="C9615" i="1"/>
  <c r="D9614" i="1"/>
  <c r="C9614" i="1"/>
  <c r="D9613" i="1"/>
  <c r="C9613" i="1"/>
  <c r="D9612" i="1"/>
  <c r="C9612" i="1"/>
  <c r="D9611" i="1"/>
  <c r="C9611" i="1"/>
  <c r="D9610" i="1"/>
  <c r="C9610" i="1"/>
  <c r="D9609" i="1"/>
  <c r="C9609" i="1"/>
  <c r="D9608" i="1"/>
  <c r="C9608" i="1"/>
  <c r="D9607" i="1"/>
  <c r="C9607" i="1"/>
  <c r="D9606" i="1"/>
  <c r="C9606" i="1"/>
  <c r="D9605" i="1"/>
  <c r="C9605" i="1"/>
  <c r="D9604" i="1"/>
  <c r="C9604" i="1"/>
  <c r="D9603" i="1"/>
  <c r="C9603" i="1"/>
  <c r="D9602" i="1"/>
  <c r="C9602" i="1"/>
  <c r="D9601" i="1"/>
  <c r="C9601" i="1"/>
  <c r="D9600" i="1"/>
  <c r="C9600" i="1"/>
  <c r="D9599" i="1"/>
  <c r="C9599" i="1"/>
  <c r="D9598" i="1"/>
  <c r="C9598" i="1"/>
  <c r="D9597" i="1"/>
  <c r="C9597" i="1"/>
  <c r="D9596" i="1"/>
  <c r="C9596" i="1"/>
  <c r="D9595" i="1"/>
  <c r="C9595" i="1"/>
  <c r="D9594" i="1"/>
  <c r="C9594" i="1"/>
  <c r="D9593" i="1"/>
  <c r="C9593" i="1"/>
  <c r="D9592" i="1"/>
  <c r="C9592" i="1"/>
  <c r="D9591" i="1"/>
  <c r="C9591" i="1"/>
  <c r="D9590" i="1"/>
  <c r="C9590" i="1"/>
  <c r="D9589" i="1"/>
  <c r="C9589" i="1"/>
  <c r="D9588" i="1"/>
  <c r="C9588" i="1"/>
  <c r="D9587" i="1"/>
  <c r="C9587" i="1"/>
  <c r="D9586" i="1"/>
  <c r="C9586" i="1"/>
  <c r="D9585" i="1"/>
  <c r="C9585" i="1"/>
  <c r="D9584" i="1"/>
  <c r="C9584" i="1"/>
  <c r="D9583" i="1"/>
  <c r="C9583" i="1"/>
  <c r="D9582" i="1"/>
  <c r="C9582" i="1"/>
  <c r="D9581" i="1"/>
  <c r="C9581" i="1"/>
  <c r="D9580" i="1"/>
  <c r="C9580" i="1"/>
  <c r="D9579" i="1"/>
  <c r="C9579" i="1"/>
  <c r="D9578" i="1"/>
  <c r="C9578" i="1"/>
  <c r="D9577" i="1"/>
  <c r="C9577" i="1"/>
  <c r="D9576" i="1"/>
  <c r="C9576" i="1"/>
  <c r="D9575" i="1"/>
  <c r="C9575" i="1"/>
  <c r="D9574" i="1"/>
  <c r="C9574" i="1"/>
  <c r="D9573" i="1"/>
  <c r="C9573" i="1"/>
  <c r="D9572" i="1"/>
  <c r="C9572" i="1"/>
  <c r="D9571" i="1"/>
  <c r="C9571" i="1"/>
  <c r="D9570" i="1"/>
  <c r="C9570" i="1"/>
  <c r="D9569" i="1"/>
  <c r="C9569" i="1"/>
  <c r="D9568" i="1"/>
  <c r="C9568" i="1"/>
  <c r="D9567" i="1"/>
  <c r="C9567" i="1"/>
  <c r="D9566" i="1"/>
  <c r="C9566" i="1"/>
  <c r="D9565" i="1"/>
  <c r="C9565" i="1"/>
  <c r="D9564" i="1"/>
  <c r="C9564" i="1"/>
  <c r="D9563" i="1"/>
  <c r="C9563" i="1"/>
  <c r="D9562" i="1"/>
  <c r="C9562" i="1"/>
  <c r="D9561" i="1"/>
  <c r="C9561" i="1"/>
  <c r="D9560" i="1"/>
  <c r="C9560" i="1"/>
  <c r="D9559" i="1"/>
  <c r="C9559" i="1"/>
  <c r="D9558" i="1"/>
  <c r="C9558" i="1"/>
  <c r="D9557" i="1"/>
  <c r="C9557" i="1"/>
  <c r="D9556" i="1"/>
  <c r="C9556" i="1"/>
  <c r="D9555" i="1"/>
  <c r="C9555" i="1"/>
  <c r="D9554" i="1"/>
  <c r="C9554" i="1"/>
  <c r="D9553" i="1"/>
  <c r="C9553" i="1"/>
  <c r="D9552" i="1"/>
  <c r="C9552" i="1"/>
  <c r="D9551" i="1"/>
  <c r="C9551" i="1"/>
  <c r="D9550" i="1"/>
  <c r="C9550" i="1"/>
  <c r="D9549" i="1"/>
  <c r="C9549" i="1"/>
  <c r="D9548" i="1"/>
  <c r="C9548" i="1"/>
  <c r="D9547" i="1"/>
  <c r="C9547" i="1"/>
  <c r="D9546" i="1"/>
  <c r="C9546" i="1"/>
  <c r="D9545" i="1"/>
  <c r="C9545" i="1"/>
  <c r="D9544" i="1"/>
  <c r="C9544" i="1"/>
  <c r="D9543" i="1"/>
  <c r="C9543" i="1"/>
  <c r="D9542" i="1"/>
  <c r="C9542" i="1"/>
  <c r="D9541" i="1"/>
  <c r="C9541" i="1"/>
  <c r="D9540" i="1"/>
  <c r="C9540" i="1"/>
  <c r="D9539" i="1"/>
  <c r="C9539" i="1"/>
  <c r="D9538" i="1"/>
  <c r="C9538" i="1"/>
  <c r="D9537" i="1"/>
  <c r="C9537" i="1"/>
  <c r="D9536" i="1"/>
  <c r="C9536" i="1"/>
  <c r="D9535" i="1"/>
  <c r="C9535" i="1"/>
  <c r="D9534" i="1"/>
  <c r="C9534" i="1"/>
  <c r="D9533" i="1"/>
  <c r="C9533" i="1"/>
  <c r="D9532" i="1"/>
  <c r="C9532" i="1"/>
  <c r="D9531" i="1"/>
  <c r="C9531" i="1"/>
  <c r="D9530" i="1"/>
  <c r="C9530" i="1"/>
  <c r="D9529" i="1"/>
  <c r="C9529" i="1"/>
  <c r="D9528" i="1"/>
  <c r="C9528" i="1"/>
  <c r="D9527" i="1"/>
  <c r="C9527" i="1"/>
  <c r="D9526" i="1"/>
  <c r="C9526" i="1"/>
  <c r="D9525" i="1"/>
  <c r="C9525" i="1"/>
  <c r="D9524" i="1"/>
  <c r="C9524" i="1"/>
  <c r="D9523" i="1"/>
  <c r="C9523" i="1"/>
  <c r="D9522" i="1"/>
  <c r="C9522" i="1"/>
  <c r="D9521" i="1"/>
  <c r="C9521" i="1"/>
  <c r="D9520" i="1"/>
  <c r="C9520" i="1"/>
  <c r="D9519" i="1"/>
  <c r="C9519" i="1"/>
  <c r="D9518" i="1"/>
  <c r="C9518" i="1"/>
  <c r="D9517" i="1"/>
  <c r="C9517" i="1"/>
  <c r="D9516" i="1"/>
  <c r="C9516" i="1"/>
  <c r="D9515" i="1"/>
  <c r="C9515" i="1"/>
  <c r="D9514" i="1"/>
  <c r="C9514" i="1"/>
  <c r="D9513" i="1"/>
  <c r="C9513" i="1"/>
  <c r="D9512" i="1"/>
  <c r="C9512" i="1"/>
  <c r="C9511" i="1"/>
  <c r="C9510" i="1"/>
  <c r="C9509" i="1"/>
  <c r="C9508" i="1"/>
  <c r="C9507" i="1"/>
  <c r="C9506" i="1"/>
  <c r="C9505" i="1"/>
  <c r="C9504" i="1"/>
  <c r="C9503" i="1"/>
  <c r="C9502" i="1"/>
  <c r="C9501" i="1"/>
  <c r="C9500" i="1"/>
  <c r="C9499" i="1"/>
  <c r="C9498" i="1"/>
  <c r="C9497" i="1"/>
  <c r="C9496" i="1"/>
  <c r="C9495" i="1"/>
  <c r="C9494" i="1"/>
  <c r="C9493" i="1"/>
  <c r="C9492" i="1"/>
  <c r="C9491" i="1"/>
  <c r="C9490" i="1"/>
  <c r="C9489" i="1"/>
  <c r="C9488" i="1"/>
  <c r="C9487" i="1"/>
  <c r="C9486" i="1"/>
  <c r="C9485" i="1"/>
  <c r="C9484" i="1"/>
  <c r="C9483" i="1"/>
  <c r="C9482" i="1"/>
  <c r="C9481" i="1"/>
  <c r="C9480" i="1"/>
  <c r="C9479" i="1"/>
  <c r="C9478" i="1"/>
  <c r="C9477" i="1"/>
  <c r="C9476" i="1"/>
  <c r="C9475" i="1"/>
  <c r="C9474" i="1"/>
  <c r="C9473" i="1"/>
  <c r="C9472" i="1"/>
  <c r="C9471" i="1"/>
  <c r="C9470" i="1"/>
  <c r="C9469" i="1"/>
  <c r="C9468" i="1"/>
  <c r="C9467" i="1"/>
  <c r="C9466" i="1"/>
  <c r="C9465" i="1"/>
  <c r="C9464" i="1"/>
  <c r="C9463" i="1"/>
  <c r="C9462" i="1"/>
  <c r="C9461" i="1"/>
  <c r="C9460" i="1"/>
  <c r="C9459" i="1"/>
  <c r="C9458" i="1"/>
  <c r="C9457" i="1"/>
  <c r="C9456" i="1"/>
  <c r="C9455" i="1"/>
  <c r="C9454" i="1"/>
  <c r="C9453" i="1"/>
  <c r="C9452" i="1"/>
  <c r="C9451" i="1"/>
  <c r="C9450" i="1"/>
  <c r="C9449" i="1"/>
  <c r="C9448" i="1"/>
  <c r="C9447" i="1"/>
  <c r="C9446" i="1"/>
  <c r="C9445" i="1"/>
  <c r="C9444" i="1"/>
  <c r="C9443" i="1"/>
  <c r="C9442" i="1"/>
  <c r="C9441" i="1"/>
  <c r="C9440" i="1"/>
  <c r="C9439" i="1"/>
  <c r="C9438" i="1"/>
  <c r="C9437" i="1"/>
  <c r="C9436" i="1"/>
  <c r="C9435" i="1"/>
  <c r="C9434" i="1"/>
  <c r="C9433" i="1"/>
  <c r="C9432" i="1"/>
  <c r="C9431" i="1"/>
  <c r="C9430" i="1"/>
  <c r="C9429" i="1"/>
  <c r="C9428" i="1"/>
  <c r="C9427" i="1"/>
  <c r="C9426" i="1"/>
  <c r="C9425" i="1"/>
  <c r="C9424" i="1"/>
  <c r="C9423" i="1"/>
  <c r="C9422" i="1"/>
  <c r="C9421" i="1"/>
  <c r="C9420" i="1"/>
  <c r="C9419" i="1"/>
  <c r="C9418" i="1"/>
  <c r="C9417" i="1"/>
  <c r="C9416" i="1"/>
  <c r="C9415" i="1"/>
  <c r="C9414" i="1"/>
  <c r="C9413" i="1"/>
  <c r="C9412" i="1"/>
  <c r="C9411" i="1"/>
  <c r="C9410" i="1"/>
  <c r="C9409" i="1"/>
  <c r="C9408" i="1"/>
  <c r="C9407" i="1"/>
  <c r="C9406" i="1"/>
  <c r="C9405" i="1"/>
  <c r="C9404" i="1"/>
  <c r="C9403" i="1"/>
  <c r="C9402" i="1"/>
  <c r="C9401" i="1"/>
  <c r="C9400" i="1"/>
  <c r="C9399" i="1"/>
  <c r="C9398" i="1"/>
  <c r="C9397" i="1"/>
  <c r="C9396" i="1"/>
  <c r="C9395" i="1"/>
  <c r="C9394" i="1"/>
  <c r="C9393" i="1"/>
  <c r="C9392" i="1"/>
  <c r="C9391" i="1"/>
  <c r="C9390" i="1"/>
  <c r="C9389" i="1"/>
  <c r="C9388" i="1"/>
  <c r="C9387" i="1"/>
  <c r="C9386" i="1"/>
  <c r="C9385" i="1"/>
  <c r="C9384" i="1"/>
  <c r="C9383" i="1"/>
  <c r="C9382" i="1"/>
  <c r="C9381" i="1"/>
  <c r="C9380" i="1"/>
  <c r="C9379" i="1"/>
  <c r="C9378" i="1"/>
  <c r="C9377" i="1"/>
  <c r="C9376" i="1"/>
  <c r="C9375" i="1"/>
  <c r="C9374" i="1"/>
  <c r="C9373" i="1"/>
  <c r="C9372" i="1"/>
  <c r="C9371" i="1"/>
  <c r="C9370" i="1"/>
  <c r="C9369" i="1"/>
  <c r="C9368" i="1"/>
  <c r="C9367" i="1"/>
  <c r="C9366" i="1"/>
  <c r="C9365" i="1"/>
  <c r="C9364" i="1"/>
  <c r="C9363" i="1"/>
  <c r="C9362" i="1"/>
  <c r="C9361" i="1"/>
  <c r="C9360" i="1"/>
  <c r="C9359" i="1"/>
  <c r="C9358" i="1"/>
  <c r="C9357" i="1"/>
  <c r="C9356" i="1"/>
  <c r="C9355" i="1"/>
  <c r="C9354" i="1"/>
  <c r="C9353" i="1"/>
  <c r="C9352" i="1"/>
  <c r="C9351" i="1"/>
  <c r="C9350" i="1"/>
  <c r="C9349" i="1"/>
  <c r="C9348" i="1"/>
  <c r="C9347" i="1"/>
  <c r="C9346" i="1"/>
  <c r="C9345" i="1"/>
  <c r="C9344" i="1"/>
  <c r="C9343" i="1"/>
  <c r="C9342" i="1"/>
  <c r="C9341" i="1"/>
  <c r="C9340" i="1"/>
  <c r="C9339" i="1"/>
  <c r="C9338" i="1"/>
  <c r="C9337" i="1"/>
  <c r="C9336" i="1"/>
  <c r="C9335" i="1"/>
  <c r="C9334" i="1"/>
  <c r="C9333" i="1"/>
  <c r="C9332" i="1"/>
  <c r="C9331" i="1"/>
  <c r="C9330" i="1"/>
  <c r="C9329" i="1"/>
  <c r="C9328" i="1"/>
  <c r="C9327" i="1"/>
  <c r="C9326" i="1"/>
  <c r="C9325" i="1"/>
  <c r="C9324" i="1"/>
  <c r="C9323" i="1"/>
  <c r="C9322" i="1"/>
  <c r="C9321" i="1"/>
  <c r="C9320" i="1"/>
  <c r="C9319" i="1"/>
  <c r="C9318" i="1"/>
  <c r="C9317" i="1"/>
  <c r="C9316" i="1"/>
  <c r="C9315" i="1"/>
  <c r="C9314" i="1"/>
  <c r="C9313" i="1"/>
  <c r="C9312" i="1"/>
  <c r="C9311" i="1"/>
  <c r="C9310" i="1"/>
  <c r="C9309" i="1"/>
  <c r="C9308" i="1"/>
  <c r="C9307" i="1"/>
  <c r="C9306" i="1"/>
  <c r="C9305" i="1"/>
  <c r="C9304" i="1"/>
  <c r="C9303" i="1"/>
  <c r="C9302" i="1"/>
  <c r="C9301" i="1"/>
  <c r="C9300" i="1"/>
  <c r="C9299" i="1"/>
  <c r="C9298" i="1"/>
  <c r="C9297" i="1"/>
  <c r="C9296" i="1"/>
  <c r="C9295" i="1"/>
  <c r="C9294" i="1"/>
  <c r="C9293" i="1"/>
  <c r="C9292" i="1"/>
  <c r="C9291" i="1"/>
  <c r="C9290" i="1"/>
  <c r="C9289" i="1"/>
  <c r="C9288" i="1"/>
  <c r="C9287" i="1"/>
  <c r="C9286" i="1"/>
  <c r="C9285" i="1"/>
  <c r="C9284" i="1"/>
  <c r="C9283" i="1"/>
  <c r="C9282" i="1"/>
  <c r="C9281" i="1"/>
  <c r="C9280" i="1"/>
  <c r="C9279" i="1"/>
  <c r="C9278" i="1"/>
  <c r="C9277" i="1"/>
  <c r="C9276" i="1"/>
  <c r="C9275" i="1"/>
  <c r="C9274" i="1"/>
  <c r="C9273" i="1"/>
  <c r="C9272" i="1"/>
  <c r="C9271" i="1"/>
  <c r="C9270" i="1"/>
  <c r="C9269" i="1"/>
  <c r="C9268" i="1"/>
  <c r="C9267" i="1"/>
  <c r="C9266" i="1"/>
  <c r="C9265" i="1"/>
  <c r="C9264" i="1"/>
  <c r="C9263" i="1"/>
  <c r="C9262" i="1"/>
  <c r="C9261" i="1"/>
  <c r="C9260" i="1"/>
  <c r="C9259" i="1"/>
  <c r="C9258" i="1"/>
  <c r="C9257" i="1"/>
  <c r="C9256" i="1"/>
  <c r="C9255" i="1"/>
  <c r="C9254" i="1"/>
  <c r="C9253" i="1"/>
  <c r="C9252" i="1"/>
  <c r="C9251" i="1"/>
  <c r="C9250" i="1"/>
  <c r="C9249" i="1"/>
  <c r="C9248" i="1"/>
  <c r="C9247" i="1"/>
  <c r="C9246" i="1"/>
  <c r="C9245" i="1"/>
  <c r="C9244" i="1"/>
  <c r="C9243" i="1"/>
  <c r="C9242" i="1"/>
  <c r="C9241" i="1"/>
  <c r="C9240" i="1"/>
  <c r="C9239" i="1"/>
  <c r="C9238" i="1"/>
  <c r="C9237" i="1"/>
  <c r="C9236" i="1"/>
  <c r="C9235" i="1"/>
  <c r="C9234" i="1"/>
  <c r="C9233" i="1"/>
  <c r="C9232" i="1"/>
  <c r="C9231" i="1"/>
  <c r="C9230" i="1"/>
  <c r="C9229" i="1"/>
  <c r="C9228" i="1"/>
  <c r="C9227" i="1"/>
  <c r="C9226" i="1"/>
  <c r="C9225" i="1"/>
  <c r="C9224" i="1"/>
  <c r="C9223" i="1"/>
  <c r="C9222" i="1"/>
  <c r="C9221" i="1"/>
  <c r="C9220" i="1"/>
  <c r="C9219" i="1"/>
  <c r="C9218" i="1"/>
  <c r="C9217" i="1"/>
  <c r="C9216" i="1"/>
  <c r="C9215" i="1"/>
  <c r="C9214" i="1"/>
  <c r="C9213" i="1"/>
  <c r="C9212" i="1"/>
  <c r="C9211" i="1"/>
  <c r="C9210" i="1"/>
  <c r="C9209" i="1"/>
  <c r="C9208" i="1"/>
  <c r="C9207" i="1"/>
  <c r="C9206" i="1"/>
  <c r="C9205" i="1"/>
  <c r="C9204" i="1"/>
  <c r="C9203" i="1"/>
  <c r="C9202" i="1"/>
  <c r="C9201" i="1"/>
  <c r="C9200" i="1"/>
  <c r="C9199" i="1"/>
  <c r="C9198" i="1"/>
  <c r="C9197" i="1"/>
  <c r="C9196" i="1"/>
  <c r="C9195" i="1"/>
  <c r="C9194" i="1"/>
  <c r="C9193" i="1"/>
  <c r="C9192" i="1"/>
  <c r="C9191" i="1"/>
  <c r="C9190" i="1"/>
  <c r="C9189" i="1"/>
  <c r="C9188" i="1"/>
  <c r="C9187" i="1"/>
  <c r="C9186" i="1"/>
  <c r="C9185" i="1"/>
  <c r="C9184" i="1"/>
  <c r="C9183" i="1"/>
  <c r="C9182" i="1"/>
  <c r="C9181" i="1"/>
  <c r="C9180" i="1"/>
  <c r="C9179" i="1"/>
  <c r="C9178" i="1"/>
  <c r="C9177" i="1"/>
  <c r="C9176" i="1"/>
  <c r="C9175" i="1"/>
  <c r="C9174" i="1"/>
  <c r="C9173" i="1"/>
  <c r="C9172" i="1"/>
  <c r="C9171" i="1"/>
  <c r="C9170" i="1"/>
  <c r="C9169" i="1"/>
  <c r="C9168" i="1"/>
  <c r="C9167" i="1"/>
  <c r="C9166" i="1"/>
  <c r="C9165" i="1"/>
  <c r="C9164" i="1"/>
  <c r="C9163" i="1"/>
  <c r="C9162" i="1"/>
  <c r="C9161" i="1"/>
  <c r="C9160" i="1"/>
  <c r="C9159" i="1"/>
  <c r="C9158" i="1"/>
  <c r="C9157" i="1"/>
  <c r="C9156" i="1"/>
  <c r="C9155" i="1"/>
  <c r="C9154" i="1"/>
  <c r="C9153" i="1"/>
  <c r="C9152" i="1"/>
  <c r="C9151" i="1"/>
  <c r="C9150" i="1"/>
  <c r="C9149" i="1"/>
  <c r="C9148" i="1"/>
  <c r="C9147" i="1"/>
  <c r="C9146" i="1"/>
  <c r="C9145" i="1"/>
  <c r="C9144" i="1"/>
  <c r="C9143" i="1"/>
  <c r="C9142" i="1"/>
  <c r="C9141" i="1"/>
  <c r="C9140" i="1"/>
  <c r="C9139" i="1"/>
  <c r="C9138" i="1"/>
  <c r="C9137" i="1"/>
  <c r="C9136" i="1"/>
  <c r="C9135" i="1"/>
  <c r="C9134" i="1"/>
  <c r="C9133" i="1"/>
  <c r="C9132" i="1"/>
  <c r="C9131" i="1"/>
  <c r="C9130" i="1"/>
  <c r="C9129" i="1"/>
  <c r="C9128" i="1"/>
  <c r="C9127" i="1"/>
  <c r="C9126" i="1"/>
  <c r="C9125" i="1"/>
  <c r="C9124" i="1"/>
  <c r="C9123" i="1"/>
  <c r="C9122" i="1"/>
  <c r="C9121" i="1"/>
  <c r="C9120" i="1"/>
  <c r="C9119" i="1"/>
  <c r="C9118" i="1"/>
  <c r="C9117" i="1"/>
  <c r="C9116" i="1"/>
  <c r="C9115" i="1"/>
  <c r="C9114" i="1"/>
  <c r="C9113" i="1"/>
  <c r="C9112" i="1"/>
  <c r="C9111" i="1"/>
  <c r="C9110" i="1"/>
  <c r="C9109" i="1"/>
  <c r="C9108" i="1"/>
  <c r="C9107" i="1"/>
  <c r="C9106" i="1"/>
  <c r="C9105" i="1"/>
  <c r="C9104" i="1"/>
  <c r="C9103" i="1"/>
  <c r="C9102" i="1"/>
  <c r="C9101" i="1"/>
  <c r="C9100" i="1"/>
  <c r="C9099" i="1"/>
  <c r="C9098" i="1"/>
  <c r="C9097" i="1"/>
  <c r="C9096" i="1"/>
  <c r="C9095" i="1"/>
  <c r="C9094" i="1"/>
  <c r="C9093" i="1"/>
  <c r="C9092" i="1"/>
  <c r="C9091" i="1"/>
  <c r="C9090" i="1"/>
  <c r="C9089" i="1"/>
  <c r="C9088" i="1"/>
  <c r="C9087" i="1"/>
  <c r="C9086" i="1"/>
  <c r="C9085" i="1"/>
  <c r="C9084" i="1"/>
  <c r="C9083" i="1"/>
  <c r="C9082" i="1"/>
  <c r="C9081" i="1"/>
  <c r="C9080" i="1"/>
  <c r="C9079" i="1"/>
  <c r="C9078" i="1"/>
  <c r="C9077" i="1"/>
  <c r="C9076" i="1"/>
  <c r="C9075" i="1"/>
  <c r="C9074" i="1"/>
  <c r="C9073" i="1"/>
  <c r="C9072" i="1"/>
  <c r="C9071" i="1"/>
  <c r="C9070" i="1"/>
  <c r="C9069" i="1"/>
  <c r="C9068" i="1"/>
  <c r="C9067" i="1"/>
  <c r="C9066" i="1"/>
  <c r="C9065" i="1"/>
  <c r="C9064" i="1"/>
  <c r="C9063" i="1"/>
  <c r="C9062" i="1"/>
  <c r="C9061" i="1"/>
  <c r="C9060" i="1"/>
  <c r="C9059" i="1"/>
  <c r="C9058" i="1"/>
  <c r="C9057" i="1"/>
  <c r="C9056" i="1"/>
  <c r="C9055" i="1"/>
  <c r="C9054" i="1"/>
  <c r="C9053" i="1"/>
  <c r="C9052" i="1"/>
  <c r="C9051" i="1"/>
  <c r="C9050" i="1"/>
  <c r="C9049" i="1"/>
  <c r="C9048" i="1"/>
  <c r="C9047" i="1"/>
  <c r="C9046" i="1"/>
  <c r="C9045" i="1"/>
  <c r="C9044" i="1"/>
  <c r="C9043" i="1"/>
  <c r="C9042" i="1"/>
  <c r="C9041" i="1"/>
  <c r="C9040" i="1"/>
  <c r="C9039" i="1"/>
  <c r="C9038" i="1"/>
  <c r="C9037" i="1"/>
  <c r="C9036" i="1"/>
  <c r="C9035" i="1"/>
  <c r="C9034" i="1"/>
  <c r="C9033" i="1"/>
  <c r="C9032" i="1"/>
  <c r="C9031" i="1"/>
  <c r="C9030" i="1"/>
  <c r="C9029" i="1"/>
  <c r="C9028" i="1"/>
  <c r="C9027" i="1"/>
  <c r="C9026" i="1"/>
  <c r="C9025" i="1"/>
  <c r="C9024" i="1"/>
  <c r="C9023" i="1"/>
  <c r="C9022" i="1"/>
  <c r="C9021" i="1"/>
  <c r="C9020" i="1"/>
  <c r="C9019" i="1"/>
  <c r="C9018" i="1"/>
  <c r="C9017" i="1"/>
  <c r="C9016" i="1"/>
  <c r="C9015" i="1"/>
  <c r="C9014" i="1"/>
  <c r="C9013" i="1"/>
  <c r="C9012" i="1"/>
  <c r="C9011" i="1"/>
  <c r="C9010" i="1"/>
  <c r="C9009" i="1"/>
  <c r="C9008" i="1"/>
  <c r="C9007" i="1"/>
  <c r="C9006" i="1"/>
  <c r="C9005" i="1"/>
  <c r="C9004" i="1"/>
  <c r="C9003" i="1"/>
  <c r="C9002" i="1"/>
  <c r="C9001" i="1"/>
  <c r="C9000" i="1"/>
  <c r="C8999" i="1"/>
  <c r="C8998" i="1"/>
  <c r="C8997" i="1"/>
  <c r="C8996" i="1"/>
  <c r="C8995" i="1"/>
  <c r="C8994" i="1"/>
  <c r="C8993" i="1"/>
  <c r="C8992" i="1"/>
  <c r="C8991" i="1"/>
  <c r="C8990" i="1"/>
  <c r="C8989" i="1"/>
  <c r="C8988" i="1"/>
  <c r="C8987" i="1"/>
  <c r="C8986" i="1"/>
  <c r="C8985" i="1"/>
  <c r="C8984" i="1"/>
  <c r="C8983" i="1"/>
  <c r="C8982" i="1"/>
  <c r="C8981" i="1"/>
  <c r="C8980" i="1"/>
  <c r="C8979" i="1"/>
  <c r="C8978" i="1"/>
  <c r="C8977" i="1"/>
  <c r="C8976" i="1"/>
  <c r="C8975" i="1"/>
  <c r="C8974" i="1"/>
  <c r="C8973" i="1"/>
  <c r="C8972" i="1"/>
  <c r="C8971" i="1"/>
  <c r="C8970" i="1"/>
  <c r="C8969" i="1"/>
  <c r="C8968" i="1"/>
  <c r="C8967" i="1"/>
  <c r="C8966" i="1"/>
  <c r="C8965" i="1"/>
  <c r="C8964" i="1"/>
  <c r="C8963" i="1"/>
  <c r="C8962" i="1"/>
  <c r="C8961" i="1"/>
  <c r="C8960" i="1"/>
  <c r="C8959" i="1"/>
  <c r="C8958" i="1"/>
  <c r="C8957" i="1"/>
  <c r="C8956" i="1"/>
  <c r="C8955" i="1"/>
  <c r="C8954" i="1"/>
  <c r="C8953" i="1"/>
  <c r="C8952" i="1"/>
  <c r="C8951" i="1"/>
  <c r="C8950" i="1"/>
  <c r="C8949" i="1"/>
  <c r="C8948" i="1"/>
  <c r="C8947" i="1"/>
  <c r="C8946" i="1"/>
  <c r="C8945" i="1"/>
  <c r="C8944" i="1"/>
  <c r="C8943" i="1"/>
  <c r="C8942" i="1"/>
  <c r="C8941" i="1"/>
  <c r="C8940" i="1"/>
  <c r="C8939" i="1"/>
  <c r="C8938" i="1"/>
  <c r="C8937" i="1"/>
  <c r="C8936" i="1"/>
  <c r="C8935" i="1"/>
  <c r="C8934" i="1"/>
  <c r="C8933" i="1"/>
  <c r="C8932" i="1"/>
  <c r="C8931" i="1"/>
  <c r="C8930" i="1"/>
  <c r="C8929" i="1"/>
  <c r="C8928" i="1"/>
  <c r="C8927" i="1"/>
  <c r="C8926" i="1"/>
  <c r="C8925" i="1"/>
  <c r="C8924" i="1"/>
  <c r="C8923" i="1"/>
  <c r="C8922" i="1"/>
  <c r="C8921" i="1"/>
  <c r="C8920" i="1"/>
  <c r="C8919" i="1"/>
  <c r="C8918" i="1"/>
  <c r="C8917" i="1"/>
  <c r="C8916" i="1"/>
  <c r="C8915" i="1"/>
  <c r="C8914" i="1"/>
  <c r="C8913" i="1"/>
  <c r="C8912" i="1"/>
  <c r="C8911" i="1"/>
  <c r="C8910" i="1"/>
  <c r="C8909" i="1"/>
  <c r="C8908" i="1"/>
  <c r="C8907" i="1"/>
  <c r="C8906" i="1"/>
  <c r="C8905" i="1"/>
  <c r="C8904" i="1"/>
  <c r="C8903" i="1"/>
  <c r="C8902" i="1"/>
  <c r="C8901" i="1"/>
  <c r="C8900" i="1"/>
  <c r="C8899" i="1"/>
  <c r="C8898" i="1"/>
  <c r="C8897" i="1"/>
  <c r="C8896" i="1"/>
  <c r="C8895" i="1"/>
  <c r="C8894" i="1"/>
  <c r="C8893" i="1"/>
  <c r="C8892" i="1"/>
  <c r="C8891" i="1"/>
  <c r="C8890" i="1"/>
  <c r="C8889" i="1"/>
  <c r="C8888" i="1"/>
  <c r="C8887" i="1"/>
  <c r="C8886" i="1"/>
  <c r="C8885" i="1"/>
  <c r="C8884" i="1"/>
  <c r="C8883" i="1"/>
  <c r="C8882" i="1"/>
  <c r="C8881" i="1"/>
  <c r="C8880" i="1"/>
  <c r="C8879" i="1"/>
  <c r="C8878" i="1"/>
  <c r="C8877" i="1"/>
  <c r="C8876" i="1"/>
  <c r="C8875" i="1"/>
  <c r="C8874" i="1"/>
  <c r="C8873" i="1"/>
  <c r="C8872" i="1"/>
  <c r="C8871" i="1"/>
  <c r="C8870" i="1"/>
  <c r="C8869" i="1"/>
  <c r="C8868" i="1"/>
  <c r="C8867" i="1"/>
  <c r="C8866" i="1"/>
  <c r="C8865" i="1"/>
  <c r="C8864" i="1"/>
  <c r="C8863" i="1"/>
  <c r="C8862" i="1"/>
  <c r="C8861" i="1"/>
  <c r="C8860" i="1"/>
  <c r="C8859" i="1"/>
  <c r="C8858" i="1"/>
  <c r="C8857" i="1"/>
  <c r="C8856" i="1"/>
  <c r="C8855" i="1"/>
  <c r="C8854" i="1"/>
  <c r="C8853" i="1"/>
  <c r="C8852" i="1"/>
  <c r="C8851" i="1"/>
  <c r="C8850" i="1"/>
  <c r="C8849" i="1"/>
  <c r="C8848" i="1"/>
  <c r="C8847" i="1"/>
  <c r="C8846" i="1"/>
  <c r="C8845" i="1"/>
  <c r="C8844" i="1"/>
  <c r="C8843" i="1"/>
  <c r="C8842" i="1"/>
  <c r="C8841" i="1"/>
  <c r="C8840" i="1"/>
  <c r="C8839" i="1"/>
  <c r="C8838" i="1"/>
  <c r="C8837" i="1"/>
  <c r="C8836" i="1"/>
  <c r="C8835" i="1"/>
  <c r="C8834" i="1"/>
  <c r="C8833" i="1"/>
  <c r="C8832" i="1"/>
  <c r="D8815" i="1"/>
  <c r="D8798" i="1"/>
  <c r="D8781" i="1"/>
  <c r="D8764" i="1"/>
  <c r="D8747" i="1"/>
  <c r="D8730" i="1"/>
  <c r="D8713" i="1"/>
  <c r="D8696" i="1"/>
  <c r="D8679" i="1"/>
  <c r="D8662" i="1"/>
  <c r="D8645" i="1"/>
  <c r="D8628" i="1"/>
  <c r="D8611" i="1"/>
  <c r="D8594" i="1"/>
  <c r="D8577" i="1"/>
  <c r="D8560" i="1"/>
  <c r="D8543" i="1"/>
  <c r="D8526" i="1"/>
  <c r="D8509" i="1"/>
  <c r="D8492" i="1"/>
  <c r="D8475" i="1"/>
  <c r="D8458" i="1"/>
  <c r="D8441" i="1"/>
  <c r="D8424" i="1"/>
  <c r="C8423" i="1"/>
  <c r="C8422" i="1"/>
  <c r="C8421" i="1"/>
  <c r="C8420" i="1"/>
  <c r="C8419" i="1"/>
  <c r="C8418" i="1"/>
  <c r="C8417" i="1"/>
  <c r="C8416" i="1"/>
  <c r="C8415" i="1"/>
  <c r="C8414" i="1"/>
  <c r="C8413" i="1"/>
  <c r="C8412" i="1"/>
  <c r="C8411" i="1"/>
  <c r="C8410" i="1"/>
  <c r="C8409" i="1"/>
  <c r="C8408" i="1"/>
  <c r="D8407" i="1"/>
  <c r="C8407" i="1"/>
  <c r="C8406" i="1"/>
  <c r="C8405" i="1"/>
  <c r="C8404" i="1"/>
  <c r="C8403" i="1"/>
  <c r="C8402" i="1"/>
  <c r="C8401" i="1"/>
  <c r="C8400" i="1"/>
  <c r="C8399" i="1"/>
  <c r="C8398" i="1"/>
  <c r="C8397" i="1"/>
  <c r="C8396" i="1"/>
  <c r="C8395" i="1"/>
  <c r="C8394" i="1"/>
  <c r="C8393" i="1"/>
  <c r="C8392" i="1"/>
  <c r="C8391" i="1"/>
  <c r="D8390" i="1"/>
  <c r="C8390" i="1"/>
  <c r="C8389" i="1"/>
  <c r="C8388" i="1"/>
  <c r="C8387" i="1"/>
  <c r="C8386" i="1"/>
  <c r="C8385" i="1"/>
  <c r="C8384" i="1"/>
  <c r="C8383" i="1"/>
  <c r="C8382" i="1"/>
  <c r="C8381" i="1"/>
  <c r="C8380" i="1"/>
  <c r="C8379" i="1"/>
  <c r="C8378" i="1"/>
  <c r="C8377" i="1"/>
  <c r="C8376" i="1"/>
  <c r="C8375" i="1"/>
  <c r="C8374" i="1"/>
  <c r="D8373" i="1"/>
  <c r="C8373" i="1"/>
  <c r="C8372" i="1"/>
  <c r="C8371" i="1"/>
  <c r="C8370" i="1"/>
  <c r="C8369" i="1"/>
  <c r="C8368" i="1"/>
  <c r="C8367" i="1"/>
  <c r="C8366" i="1"/>
  <c r="C8365" i="1"/>
  <c r="C8364" i="1"/>
  <c r="C8363" i="1"/>
  <c r="C8362" i="1"/>
  <c r="C8361" i="1"/>
  <c r="C8360" i="1"/>
  <c r="C8359" i="1"/>
  <c r="C8358" i="1"/>
  <c r="C8357" i="1"/>
  <c r="D8356" i="1"/>
  <c r="C8356" i="1"/>
  <c r="C8355" i="1"/>
  <c r="C8354" i="1"/>
  <c r="C8353" i="1"/>
  <c r="C8352" i="1"/>
  <c r="C8351" i="1"/>
  <c r="C8350" i="1"/>
  <c r="C8349" i="1"/>
  <c r="C8348" i="1"/>
  <c r="C8347" i="1"/>
  <c r="C8346" i="1"/>
  <c r="C8345" i="1"/>
  <c r="C8344" i="1"/>
  <c r="C8343" i="1"/>
  <c r="C8342" i="1"/>
  <c r="C8341" i="1"/>
  <c r="C8340" i="1"/>
  <c r="D8339" i="1"/>
  <c r="C8339" i="1"/>
  <c r="C8338" i="1"/>
  <c r="C8337" i="1"/>
  <c r="C8336" i="1"/>
  <c r="C8335" i="1"/>
  <c r="C8334" i="1"/>
  <c r="C8333" i="1"/>
  <c r="C8332" i="1"/>
  <c r="C8331" i="1"/>
  <c r="C8330" i="1"/>
  <c r="C8329" i="1"/>
  <c r="C8328" i="1"/>
  <c r="C8327" i="1"/>
  <c r="C8326" i="1"/>
  <c r="C8325" i="1"/>
  <c r="C8324" i="1"/>
  <c r="C8323" i="1"/>
  <c r="D8322" i="1"/>
  <c r="C8322" i="1"/>
  <c r="C8321" i="1"/>
  <c r="C8320" i="1"/>
  <c r="C8319" i="1"/>
  <c r="C8318" i="1"/>
  <c r="C8317" i="1"/>
  <c r="C8316" i="1"/>
  <c r="C8315" i="1"/>
  <c r="C8314" i="1"/>
  <c r="C8313" i="1"/>
  <c r="C8312" i="1"/>
  <c r="C8311" i="1"/>
  <c r="C8310" i="1"/>
  <c r="C8309" i="1"/>
  <c r="C8308" i="1"/>
  <c r="C8307" i="1"/>
  <c r="C8306" i="1"/>
  <c r="D8305" i="1"/>
  <c r="C8305" i="1"/>
  <c r="C8304" i="1"/>
  <c r="C8303" i="1"/>
  <c r="C8302" i="1"/>
  <c r="C8301" i="1"/>
  <c r="C8300" i="1"/>
  <c r="C8299" i="1"/>
  <c r="C8298" i="1"/>
  <c r="C8297" i="1"/>
  <c r="C8296" i="1"/>
  <c r="C8295" i="1"/>
  <c r="C8294" i="1"/>
  <c r="C8293" i="1"/>
  <c r="C8292" i="1"/>
  <c r="C8291" i="1"/>
  <c r="C8290" i="1"/>
  <c r="C8289" i="1"/>
  <c r="D8288" i="1"/>
  <c r="C8288" i="1"/>
  <c r="C8287" i="1"/>
  <c r="C8286" i="1"/>
  <c r="C8285" i="1"/>
  <c r="C8284" i="1"/>
  <c r="C8283" i="1"/>
  <c r="C8282" i="1"/>
  <c r="C8281" i="1"/>
  <c r="C8280" i="1"/>
  <c r="C8279" i="1"/>
  <c r="C8278" i="1"/>
  <c r="C8277" i="1"/>
  <c r="C8276" i="1"/>
  <c r="C8275" i="1"/>
  <c r="C8274" i="1"/>
  <c r="C8273" i="1"/>
  <c r="C8272" i="1"/>
  <c r="D8271" i="1"/>
  <c r="C8271" i="1"/>
  <c r="C8270" i="1"/>
  <c r="C8269" i="1"/>
  <c r="C8268" i="1"/>
  <c r="C8267" i="1"/>
  <c r="C8266" i="1"/>
  <c r="C8265" i="1"/>
  <c r="C8264" i="1"/>
  <c r="C8263" i="1"/>
  <c r="C8262" i="1"/>
  <c r="C8261" i="1"/>
  <c r="C8260" i="1"/>
  <c r="C8259" i="1"/>
  <c r="C8258" i="1"/>
  <c r="C8257" i="1"/>
  <c r="C8256" i="1"/>
  <c r="C8255" i="1"/>
  <c r="D8254" i="1"/>
  <c r="C8254" i="1"/>
  <c r="C8253" i="1"/>
  <c r="C8252" i="1"/>
  <c r="C8251" i="1"/>
  <c r="C8250" i="1"/>
  <c r="C8249" i="1"/>
  <c r="C8248" i="1"/>
  <c r="C8247" i="1"/>
  <c r="C8246" i="1"/>
  <c r="C8245" i="1"/>
  <c r="C8244" i="1"/>
  <c r="C8243" i="1"/>
  <c r="C8242" i="1"/>
  <c r="C8241" i="1"/>
  <c r="C8240" i="1"/>
  <c r="C8239" i="1"/>
  <c r="C8238" i="1"/>
  <c r="D8237" i="1"/>
  <c r="C8237" i="1"/>
  <c r="C8236" i="1"/>
  <c r="C8235" i="1"/>
  <c r="C8234" i="1"/>
  <c r="C8233" i="1"/>
  <c r="C8232" i="1"/>
  <c r="C8231" i="1"/>
  <c r="C8230" i="1"/>
  <c r="C8229" i="1"/>
  <c r="C8228" i="1"/>
  <c r="C8227" i="1"/>
  <c r="C8226" i="1"/>
  <c r="C8225" i="1"/>
  <c r="C8224" i="1"/>
  <c r="C8223" i="1"/>
  <c r="C8222" i="1"/>
  <c r="C8221" i="1"/>
  <c r="D8220" i="1"/>
  <c r="C8220" i="1"/>
  <c r="C8219" i="1"/>
  <c r="C8218" i="1"/>
  <c r="C8217" i="1"/>
  <c r="C8216" i="1"/>
  <c r="C8215" i="1"/>
  <c r="C8214" i="1"/>
  <c r="C8213" i="1"/>
  <c r="C8212" i="1"/>
  <c r="C8211" i="1"/>
  <c r="C8210" i="1"/>
  <c r="C8209" i="1"/>
  <c r="C8208" i="1"/>
  <c r="C8207" i="1"/>
  <c r="C8206" i="1"/>
  <c r="C8205" i="1"/>
  <c r="C8204" i="1"/>
  <c r="D8203" i="1"/>
  <c r="C8203" i="1"/>
  <c r="C8202" i="1"/>
  <c r="C8201" i="1"/>
  <c r="C8200" i="1"/>
  <c r="C8199" i="1"/>
  <c r="C8198" i="1"/>
  <c r="C8197" i="1"/>
  <c r="C8196" i="1"/>
  <c r="C8195" i="1"/>
  <c r="C8194" i="1"/>
  <c r="C8193" i="1"/>
  <c r="C8192" i="1"/>
  <c r="C8191" i="1"/>
  <c r="C8190" i="1"/>
  <c r="C8189" i="1"/>
  <c r="C8188" i="1"/>
  <c r="C8187" i="1"/>
  <c r="D8186" i="1"/>
  <c r="C8186" i="1"/>
  <c r="C8185" i="1"/>
  <c r="C8184" i="1"/>
  <c r="C8183" i="1"/>
  <c r="C8182" i="1"/>
  <c r="C8181" i="1"/>
  <c r="C8180" i="1"/>
  <c r="C8179" i="1"/>
  <c r="C8178" i="1"/>
  <c r="C8177" i="1"/>
  <c r="C8176" i="1"/>
  <c r="C8175" i="1"/>
  <c r="C8174" i="1"/>
  <c r="C8173" i="1"/>
  <c r="C8172" i="1"/>
  <c r="C8171" i="1"/>
  <c r="C8170" i="1"/>
  <c r="D8169" i="1"/>
  <c r="C8169" i="1"/>
  <c r="C8168" i="1"/>
  <c r="C8167" i="1"/>
  <c r="C8166" i="1"/>
  <c r="C8165" i="1"/>
  <c r="C8164" i="1"/>
  <c r="C8163" i="1"/>
  <c r="C8162" i="1"/>
  <c r="C8161" i="1"/>
  <c r="C8160" i="1"/>
  <c r="C8159" i="1"/>
  <c r="C8158" i="1"/>
  <c r="C8157" i="1"/>
  <c r="C8156" i="1"/>
  <c r="C8155" i="1"/>
  <c r="C8154" i="1"/>
  <c r="C8153" i="1"/>
  <c r="D8152" i="1"/>
  <c r="C8152" i="1"/>
  <c r="D8151" i="1"/>
  <c r="C8151" i="1"/>
  <c r="D8150" i="1"/>
  <c r="C8150" i="1"/>
  <c r="D8149" i="1"/>
  <c r="C8149" i="1"/>
  <c r="D8148" i="1"/>
  <c r="C8148" i="1"/>
  <c r="D8147" i="1"/>
  <c r="C8147" i="1"/>
  <c r="D8146" i="1"/>
  <c r="C8146" i="1"/>
  <c r="D8145" i="1"/>
  <c r="C8145" i="1"/>
  <c r="D8144" i="1"/>
  <c r="C8144" i="1"/>
  <c r="D8143" i="1"/>
  <c r="C8143" i="1"/>
  <c r="D8142" i="1"/>
  <c r="C8142" i="1"/>
  <c r="D8141" i="1"/>
  <c r="C8141" i="1"/>
  <c r="D8140" i="1"/>
  <c r="C8140" i="1"/>
  <c r="D8139" i="1"/>
  <c r="C8139" i="1"/>
  <c r="D8138" i="1"/>
  <c r="C8138" i="1"/>
  <c r="D8137" i="1"/>
  <c r="C8137" i="1"/>
  <c r="D8136" i="1"/>
  <c r="C8136" i="1"/>
  <c r="D8135" i="1"/>
  <c r="C8135" i="1"/>
  <c r="D8134" i="1"/>
  <c r="C8134" i="1"/>
  <c r="D8133" i="1"/>
  <c r="C8133" i="1"/>
  <c r="D8132" i="1"/>
  <c r="C8132" i="1"/>
  <c r="D8131" i="1"/>
  <c r="C8131" i="1"/>
  <c r="D8130" i="1"/>
  <c r="C8130" i="1"/>
  <c r="D8129" i="1"/>
  <c r="C8129" i="1"/>
  <c r="D8128" i="1"/>
  <c r="C8128" i="1"/>
  <c r="D8127" i="1"/>
  <c r="C8127" i="1"/>
  <c r="D8126" i="1"/>
  <c r="C8126" i="1"/>
  <c r="D8125" i="1"/>
  <c r="C8125" i="1"/>
  <c r="D8124" i="1"/>
  <c r="C8124" i="1"/>
  <c r="D8123" i="1"/>
  <c r="C8123" i="1"/>
  <c r="D8122" i="1"/>
  <c r="C8122" i="1"/>
  <c r="D8121" i="1"/>
  <c r="C8121" i="1"/>
  <c r="D8120" i="1"/>
  <c r="C8120" i="1"/>
  <c r="D8119" i="1"/>
  <c r="C8119" i="1"/>
  <c r="D8118" i="1"/>
  <c r="C8118" i="1"/>
  <c r="D8117" i="1"/>
  <c r="C8117" i="1"/>
  <c r="D8116" i="1"/>
  <c r="C8116" i="1"/>
  <c r="D8115" i="1"/>
  <c r="C8115" i="1"/>
  <c r="D8114" i="1"/>
  <c r="C8114" i="1"/>
  <c r="D8113" i="1"/>
  <c r="C8113" i="1"/>
  <c r="D8112" i="1"/>
  <c r="C8112" i="1"/>
  <c r="D8111" i="1"/>
  <c r="C8111" i="1"/>
  <c r="D8110" i="1"/>
  <c r="C8110" i="1"/>
  <c r="D8109" i="1"/>
  <c r="C8109" i="1"/>
  <c r="D8108" i="1"/>
  <c r="C8108" i="1"/>
  <c r="D8107" i="1"/>
  <c r="C8107" i="1"/>
  <c r="D8106" i="1"/>
  <c r="C8106" i="1"/>
  <c r="D8105" i="1"/>
  <c r="C8105" i="1"/>
  <c r="D8104" i="1"/>
  <c r="C8104" i="1"/>
  <c r="D8103" i="1"/>
  <c r="C8103" i="1"/>
  <c r="D8102" i="1"/>
  <c r="C8102" i="1"/>
  <c r="D8101" i="1"/>
  <c r="C8101" i="1"/>
  <c r="D8100" i="1"/>
  <c r="C8100" i="1"/>
  <c r="D8099" i="1"/>
  <c r="C8099" i="1"/>
  <c r="D8098" i="1"/>
  <c r="C8098" i="1"/>
  <c r="D8097" i="1"/>
  <c r="C8097" i="1"/>
  <c r="D8096" i="1"/>
  <c r="C8096" i="1"/>
  <c r="D8095" i="1"/>
  <c r="C8095" i="1"/>
  <c r="D8094" i="1"/>
  <c r="C8094" i="1"/>
  <c r="D8093" i="1"/>
  <c r="C8093" i="1"/>
  <c r="D8092" i="1"/>
  <c r="C8092" i="1"/>
  <c r="D8091" i="1"/>
  <c r="C8091" i="1"/>
  <c r="D8090" i="1"/>
  <c r="C8090" i="1"/>
  <c r="D8089" i="1"/>
  <c r="C8089" i="1"/>
  <c r="D8088" i="1"/>
  <c r="C8088" i="1"/>
  <c r="D8087" i="1"/>
  <c r="C8087" i="1"/>
  <c r="D8086" i="1"/>
  <c r="C8086" i="1"/>
  <c r="D8085" i="1"/>
  <c r="C8085" i="1"/>
  <c r="D8084" i="1"/>
  <c r="C8084" i="1"/>
  <c r="D8083" i="1"/>
  <c r="C8083" i="1"/>
  <c r="D8082" i="1"/>
  <c r="C8082" i="1"/>
  <c r="D8081" i="1"/>
  <c r="C8081" i="1"/>
  <c r="D8080" i="1"/>
  <c r="C8080" i="1"/>
  <c r="D8079" i="1"/>
  <c r="C8079" i="1"/>
  <c r="D8078" i="1"/>
  <c r="C8078" i="1"/>
  <c r="D8077" i="1"/>
  <c r="C8077" i="1"/>
  <c r="D8076" i="1"/>
  <c r="C8076" i="1"/>
  <c r="D8075" i="1"/>
  <c r="C8075" i="1"/>
  <c r="D8074" i="1"/>
  <c r="C8074" i="1"/>
  <c r="D8073" i="1"/>
  <c r="C8073" i="1"/>
  <c r="D8072" i="1"/>
  <c r="C8072" i="1"/>
  <c r="D8071" i="1"/>
  <c r="C8071" i="1"/>
  <c r="D8070" i="1"/>
  <c r="C8070" i="1"/>
  <c r="D8069" i="1"/>
  <c r="C8069" i="1"/>
  <c r="D8068" i="1"/>
  <c r="C8068" i="1"/>
  <c r="D8067" i="1"/>
  <c r="C8067" i="1"/>
  <c r="D8066" i="1"/>
  <c r="C8066" i="1"/>
  <c r="D8065" i="1"/>
  <c r="C8065" i="1"/>
  <c r="D8064" i="1"/>
  <c r="C8064" i="1"/>
  <c r="D8063" i="1"/>
  <c r="C8063" i="1"/>
  <c r="D8062" i="1"/>
  <c r="C8062" i="1"/>
  <c r="D8061" i="1"/>
  <c r="C8061" i="1"/>
  <c r="D8060" i="1"/>
  <c r="C8060" i="1"/>
  <c r="D8059" i="1"/>
  <c r="C8059" i="1"/>
  <c r="D8058" i="1"/>
  <c r="C8058" i="1"/>
  <c r="D8057" i="1"/>
  <c r="C8057" i="1"/>
  <c r="D8056" i="1"/>
  <c r="C8056" i="1"/>
  <c r="D8055" i="1"/>
  <c r="C8055" i="1"/>
  <c r="D8054" i="1"/>
  <c r="C8054" i="1"/>
  <c r="D8053" i="1"/>
  <c r="C8053" i="1"/>
  <c r="D8052" i="1"/>
  <c r="C8052" i="1"/>
  <c r="D8051" i="1"/>
  <c r="C8051" i="1"/>
  <c r="D8050" i="1"/>
  <c r="C8050" i="1"/>
  <c r="D8049" i="1"/>
  <c r="C8049" i="1"/>
  <c r="D8048" i="1"/>
  <c r="C8048" i="1"/>
  <c r="D8047" i="1"/>
  <c r="C8047" i="1"/>
  <c r="D8046" i="1"/>
  <c r="C8046" i="1"/>
  <c r="D8045" i="1"/>
  <c r="C8045" i="1"/>
  <c r="D8044" i="1"/>
  <c r="C8044" i="1"/>
  <c r="D8043" i="1"/>
  <c r="C8043" i="1"/>
  <c r="D8042" i="1"/>
  <c r="C8042" i="1"/>
  <c r="D8041" i="1"/>
  <c r="C8041" i="1"/>
  <c r="D8040" i="1"/>
  <c r="C8040" i="1"/>
  <c r="D8039" i="1"/>
  <c r="C8039" i="1"/>
  <c r="D8038" i="1"/>
  <c r="C8038" i="1"/>
  <c r="D8037" i="1"/>
  <c r="C8037" i="1"/>
  <c r="D8036" i="1"/>
  <c r="C8036" i="1"/>
  <c r="D8035" i="1"/>
  <c r="C8035" i="1"/>
  <c r="D8034" i="1"/>
  <c r="C8034" i="1"/>
  <c r="D8033" i="1"/>
  <c r="C8033" i="1"/>
  <c r="D8032" i="1"/>
  <c r="C8032" i="1"/>
  <c r="D8031" i="1"/>
  <c r="C8031" i="1"/>
  <c r="D8030" i="1"/>
  <c r="C8030" i="1"/>
  <c r="D8029" i="1"/>
  <c r="C8029" i="1"/>
  <c r="D8028" i="1"/>
  <c r="C8028" i="1"/>
  <c r="D8027" i="1"/>
  <c r="C8027" i="1"/>
  <c r="D8026" i="1"/>
  <c r="C8026" i="1"/>
  <c r="D8025" i="1"/>
  <c r="C8025" i="1"/>
  <c r="D8024" i="1"/>
  <c r="C8024" i="1"/>
  <c r="D8023" i="1"/>
  <c r="C8023" i="1"/>
  <c r="D8022" i="1"/>
  <c r="C8022" i="1"/>
  <c r="D8021" i="1"/>
  <c r="C8021" i="1"/>
  <c r="D8020" i="1"/>
  <c r="C8020" i="1"/>
  <c r="D8019" i="1"/>
  <c r="C8019" i="1"/>
  <c r="D8018" i="1"/>
  <c r="C8018" i="1"/>
  <c r="D8017" i="1"/>
  <c r="C8017" i="1"/>
  <c r="D8016" i="1"/>
  <c r="C8016" i="1"/>
  <c r="D8015" i="1"/>
  <c r="C8015" i="1"/>
  <c r="D8014" i="1"/>
  <c r="C8014" i="1"/>
  <c r="D8013" i="1"/>
  <c r="C8013" i="1"/>
  <c r="D8012" i="1"/>
  <c r="C8012" i="1"/>
  <c r="D8011" i="1"/>
  <c r="C8011" i="1"/>
  <c r="D8010" i="1"/>
  <c r="C8010" i="1"/>
  <c r="D8009" i="1"/>
  <c r="C8009" i="1"/>
  <c r="D8008" i="1"/>
  <c r="C8008" i="1"/>
  <c r="D8007" i="1"/>
  <c r="C8007" i="1"/>
  <c r="D8006" i="1"/>
  <c r="C8006" i="1"/>
  <c r="D8005" i="1"/>
  <c r="C8005" i="1"/>
  <c r="D8004" i="1"/>
  <c r="C8004" i="1"/>
  <c r="D8003" i="1"/>
  <c r="C8003" i="1"/>
  <c r="D8002" i="1"/>
  <c r="C8002" i="1"/>
  <c r="D8001" i="1"/>
  <c r="C8001" i="1"/>
  <c r="D8000" i="1"/>
  <c r="C8000" i="1"/>
  <c r="D7999" i="1"/>
  <c r="C7999" i="1"/>
  <c r="D7998" i="1"/>
  <c r="C7998" i="1"/>
  <c r="D7997" i="1"/>
  <c r="C7997" i="1"/>
  <c r="D7996" i="1"/>
  <c r="C7996" i="1"/>
  <c r="D7995" i="1"/>
  <c r="C7995" i="1"/>
  <c r="D7994" i="1"/>
  <c r="C7994" i="1"/>
  <c r="D7993" i="1"/>
  <c r="C7993" i="1"/>
  <c r="D7992" i="1"/>
  <c r="C7992" i="1"/>
  <c r="D7991" i="1"/>
  <c r="C7991" i="1"/>
  <c r="D7990" i="1"/>
  <c r="C7990" i="1"/>
  <c r="D7989" i="1"/>
  <c r="C7989" i="1"/>
  <c r="D7988" i="1"/>
  <c r="C7988" i="1"/>
  <c r="D7987" i="1"/>
  <c r="C7987" i="1"/>
  <c r="D7986" i="1"/>
  <c r="C7986" i="1"/>
  <c r="D7985" i="1"/>
  <c r="C7985" i="1"/>
  <c r="D7984" i="1"/>
  <c r="C7984" i="1"/>
  <c r="D7983" i="1"/>
  <c r="C7983" i="1"/>
  <c r="D7982" i="1"/>
  <c r="C7982" i="1"/>
  <c r="D7981" i="1"/>
  <c r="C7981" i="1"/>
  <c r="D7980" i="1"/>
  <c r="C7980" i="1"/>
  <c r="D7979" i="1"/>
  <c r="C7979" i="1"/>
  <c r="D7978" i="1"/>
  <c r="C7978" i="1"/>
  <c r="D7977" i="1"/>
  <c r="C7977" i="1"/>
  <c r="D7976" i="1"/>
  <c r="C7976" i="1"/>
  <c r="D7975" i="1"/>
  <c r="C7975" i="1"/>
  <c r="D7974" i="1"/>
  <c r="C7974" i="1"/>
  <c r="D7973" i="1"/>
  <c r="C7973" i="1"/>
  <c r="D7972" i="1"/>
  <c r="C7972" i="1"/>
  <c r="D7971" i="1"/>
  <c r="C7971" i="1"/>
  <c r="D7970" i="1"/>
  <c r="C7970" i="1"/>
  <c r="D7969" i="1"/>
  <c r="C7969" i="1"/>
  <c r="D7968" i="1"/>
  <c r="C7968" i="1"/>
  <c r="D7967" i="1"/>
  <c r="C7967" i="1"/>
  <c r="D7966" i="1"/>
  <c r="C7966" i="1"/>
  <c r="D7965" i="1"/>
  <c r="C7965" i="1"/>
  <c r="D7964" i="1"/>
  <c r="C7964" i="1"/>
  <c r="D7963" i="1"/>
  <c r="C7963" i="1"/>
  <c r="D7962" i="1"/>
  <c r="C7962" i="1"/>
  <c r="D7961" i="1"/>
  <c r="C7961" i="1"/>
  <c r="D7960" i="1"/>
  <c r="C7960" i="1"/>
  <c r="D7959" i="1"/>
  <c r="C7959" i="1"/>
  <c r="D7958" i="1"/>
  <c r="C7958" i="1"/>
  <c r="D7957" i="1"/>
  <c r="C7957" i="1"/>
  <c r="D7956" i="1"/>
  <c r="C7956" i="1"/>
  <c r="D7955" i="1"/>
  <c r="C7955" i="1"/>
  <c r="D7954" i="1"/>
  <c r="C7954" i="1"/>
  <c r="D7953" i="1"/>
  <c r="C7953" i="1"/>
  <c r="D7952" i="1"/>
  <c r="C7952" i="1"/>
  <c r="D7951" i="1"/>
  <c r="C7951" i="1"/>
  <c r="D7950" i="1"/>
  <c r="C7950" i="1"/>
  <c r="D7949" i="1"/>
  <c r="C7949" i="1"/>
  <c r="D7948" i="1"/>
  <c r="C7948" i="1"/>
  <c r="D7947" i="1"/>
  <c r="C7947" i="1"/>
  <c r="D7946" i="1"/>
  <c r="C7946" i="1"/>
  <c r="D7945" i="1"/>
  <c r="C7945" i="1"/>
  <c r="D7944" i="1"/>
  <c r="C7944" i="1"/>
  <c r="D7943" i="1"/>
  <c r="C7943" i="1"/>
  <c r="D7942" i="1"/>
  <c r="C7942" i="1"/>
  <c r="D7941" i="1"/>
  <c r="C7941" i="1"/>
  <c r="D7940" i="1"/>
  <c r="C7940" i="1"/>
  <c r="D7939" i="1"/>
  <c r="C7939" i="1"/>
  <c r="D7938" i="1"/>
  <c r="C7938" i="1"/>
  <c r="D7937" i="1"/>
  <c r="C7937" i="1"/>
  <c r="D7936" i="1"/>
  <c r="C7936" i="1"/>
  <c r="D7935" i="1"/>
  <c r="C7935" i="1"/>
  <c r="D7934" i="1"/>
  <c r="C7934" i="1"/>
  <c r="D7933" i="1"/>
  <c r="C7933" i="1"/>
  <c r="D7932" i="1"/>
  <c r="C7932" i="1"/>
  <c r="D7931" i="1"/>
  <c r="C7931" i="1"/>
  <c r="D7930" i="1"/>
  <c r="C7930" i="1"/>
  <c r="D7929" i="1"/>
  <c r="C7929" i="1"/>
  <c r="D7928" i="1"/>
  <c r="C7928" i="1"/>
  <c r="D7927" i="1"/>
  <c r="C7927" i="1"/>
  <c r="D7926" i="1"/>
  <c r="C7926" i="1"/>
  <c r="D7925" i="1"/>
  <c r="C7925" i="1"/>
  <c r="D7924" i="1"/>
  <c r="C7924" i="1"/>
  <c r="D7923" i="1"/>
  <c r="C7923" i="1"/>
  <c r="D7922" i="1"/>
  <c r="C7922" i="1"/>
  <c r="D7921" i="1"/>
  <c r="C7921" i="1"/>
  <c r="D7920" i="1"/>
  <c r="C7920" i="1"/>
  <c r="D7919" i="1"/>
  <c r="C7919" i="1"/>
  <c r="D7918" i="1"/>
  <c r="C7918" i="1"/>
  <c r="D7917" i="1"/>
  <c r="C7917" i="1"/>
  <c r="D7916" i="1"/>
  <c r="C7916" i="1"/>
  <c r="D7915" i="1"/>
  <c r="C7915" i="1"/>
  <c r="D7914" i="1"/>
  <c r="C7914" i="1"/>
  <c r="D7913" i="1"/>
  <c r="C7913" i="1"/>
  <c r="D7912" i="1"/>
  <c r="C7912" i="1"/>
  <c r="D7911" i="1"/>
  <c r="C7911" i="1"/>
  <c r="D7910" i="1"/>
  <c r="C7910" i="1"/>
  <c r="D7909" i="1"/>
  <c r="C7909" i="1"/>
  <c r="D7908" i="1"/>
  <c r="C7908" i="1"/>
  <c r="D7907" i="1"/>
  <c r="C7907" i="1"/>
  <c r="D7906" i="1"/>
  <c r="C7906" i="1"/>
  <c r="D7905" i="1"/>
  <c r="C7905" i="1"/>
  <c r="D7904" i="1"/>
  <c r="C7904" i="1"/>
  <c r="D7903" i="1"/>
  <c r="C7903" i="1"/>
  <c r="D7902" i="1"/>
  <c r="C7902" i="1"/>
  <c r="D7901" i="1"/>
  <c r="C7901" i="1"/>
  <c r="D7900" i="1"/>
  <c r="C7900" i="1"/>
  <c r="D7899" i="1"/>
  <c r="C7899" i="1"/>
  <c r="D7898" i="1"/>
  <c r="C7898" i="1"/>
  <c r="D7897" i="1"/>
  <c r="C7897" i="1"/>
  <c r="D7896" i="1"/>
  <c r="C7896" i="1"/>
  <c r="D7895" i="1"/>
  <c r="C7895" i="1"/>
  <c r="D7894" i="1"/>
  <c r="C7894" i="1"/>
  <c r="D7893" i="1"/>
  <c r="C7893" i="1"/>
  <c r="D7892" i="1"/>
  <c r="C7892" i="1"/>
  <c r="D7891" i="1"/>
  <c r="C7891" i="1"/>
  <c r="D7890" i="1"/>
  <c r="C7890" i="1"/>
  <c r="D7889" i="1"/>
  <c r="C7889" i="1"/>
  <c r="D7888" i="1"/>
  <c r="C7888" i="1"/>
  <c r="D7887" i="1"/>
  <c r="C7887" i="1"/>
  <c r="D7886" i="1"/>
  <c r="C7886" i="1"/>
  <c r="D7885" i="1"/>
  <c r="C7885" i="1"/>
  <c r="D7884" i="1"/>
  <c r="C7884" i="1"/>
  <c r="D7883" i="1"/>
  <c r="C7883" i="1"/>
  <c r="D7882" i="1"/>
  <c r="C7882" i="1"/>
  <c r="D7881" i="1"/>
  <c r="C7881" i="1"/>
  <c r="D7880" i="1"/>
  <c r="C7880" i="1"/>
  <c r="D7199" i="1"/>
  <c r="D7198" i="1"/>
  <c r="D7197" i="1"/>
  <c r="D7196" i="1"/>
  <c r="D7195" i="1"/>
  <c r="D7194" i="1"/>
  <c r="D7193" i="1"/>
  <c r="D7192" i="1"/>
  <c r="D7191" i="1"/>
  <c r="D7190" i="1"/>
  <c r="D7189" i="1"/>
  <c r="D7188" i="1"/>
  <c r="D7187" i="1"/>
  <c r="D7186" i="1"/>
  <c r="D7185" i="1"/>
  <c r="D7184" i="1"/>
  <c r="D7183" i="1"/>
  <c r="D7182" i="1"/>
  <c r="D7181" i="1"/>
  <c r="D7180" i="1"/>
  <c r="D7179" i="1"/>
  <c r="D7178" i="1"/>
  <c r="D7177" i="1"/>
  <c r="D7176" i="1"/>
  <c r="D7175" i="1"/>
  <c r="D7174" i="1"/>
  <c r="D7173" i="1"/>
  <c r="D7172" i="1"/>
  <c r="D7171" i="1"/>
  <c r="D7170" i="1"/>
  <c r="D7169" i="1"/>
  <c r="D7168" i="1"/>
  <c r="D7167" i="1"/>
  <c r="D7166" i="1"/>
  <c r="D7165" i="1"/>
  <c r="D7164" i="1"/>
  <c r="D7163" i="1"/>
  <c r="D7162" i="1"/>
  <c r="D7161" i="1"/>
  <c r="D7160" i="1"/>
  <c r="D7159" i="1"/>
  <c r="D7158" i="1"/>
  <c r="D7157" i="1"/>
  <c r="D7156" i="1"/>
  <c r="D7155" i="1"/>
  <c r="D7154" i="1"/>
  <c r="D7153" i="1"/>
  <c r="D7152" i="1"/>
  <c r="D7151" i="1"/>
  <c r="D7150" i="1"/>
  <c r="D7149" i="1"/>
  <c r="D7148" i="1"/>
  <c r="D7147" i="1"/>
  <c r="D7146" i="1"/>
  <c r="D7145" i="1"/>
  <c r="D7144" i="1"/>
  <c r="D7143" i="1"/>
  <c r="D7142" i="1"/>
  <c r="D7141" i="1"/>
  <c r="D7140" i="1"/>
  <c r="D7139" i="1"/>
  <c r="D7138" i="1"/>
  <c r="D7137" i="1"/>
  <c r="D7136" i="1"/>
  <c r="D7135" i="1"/>
  <c r="D7134" i="1"/>
  <c r="D7133" i="1"/>
  <c r="D7132" i="1"/>
  <c r="D7131" i="1"/>
  <c r="D7130" i="1"/>
  <c r="D7129" i="1"/>
  <c r="D7128" i="1"/>
  <c r="D7127" i="1"/>
  <c r="D7126" i="1"/>
  <c r="D7125" i="1"/>
  <c r="D7124" i="1"/>
  <c r="D7123" i="1"/>
  <c r="D7122" i="1"/>
  <c r="D7121" i="1"/>
  <c r="D7120" i="1"/>
  <c r="D7119" i="1"/>
  <c r="D7118" i="1"/>
  <c r="D7117" i="1"/>
  <c r="D7116" i="1"/>
  <c r="D7115" i="1"/>
  <c r="D7114" i="1"/>
  <c r="D7113" i="1"/>
  <c r="D7112" i="1"/>
  <c r="D7111" i="1"/>
  <c r="D7110" i="1"/>
  <c r="D7109" i="1"/>
  <c r="D7108" i="1"/>
  <c r="D7107" i="1"/>
  <c r="D7106" i="1"/>
  <c r="D7105" i="1"/>
  <c r="D7104" i="1"/>
  <c r="D7103" i="1"/>
  <c r="D7102" i="1"/>
  <c r="D7101" i="1"/>
  <c r="D7100" i="1"/>
  <c r="D7099" i="1"/>
  <c r="D7098" i="1"/>
  <c r="D7097" i="1"/>
  <c r="D7096" i="1"/>
  <c r="D7095" i="1"/>
  <c r="D7094" i="1"/>
  <c r="D7093" i="1"/>
  <c r="D7092" i="1"/>
  <c r="D7091" i="1"/>
  <c r="D7090" i="1"/>
  <c r="D7089" i="1"/>
  <c r="D7088" i="1"/>
  <c r="D7087" i="1"/>
  <c r="D7086" i="1"/>
  <c r="D7085" i="1"/>
  <c r="D7084" i="1"/>
  <c r="D7083" i="1"/>
  <c r="D7082" i="1"/>
  <c r="D7081" i="1"/>
  <c r="D7080" i="1"/>
  <c r="D7079" i="1"/>
  <c r="D7078" i="1"/>
  <c r="D7077" i="1"/>
  <c r="D7076" i="1"/>
  <c r="D7075" i="1"/>
  <c r="D7074" i="1"/>
  <c r="D7073" i="1"/>
  <c r="D7072" i="1"/>
  <c r="D7071" i="1"/>
  <c r="D7070" i="1"/>
  <c r="D7069" i="1"/>
  <c r="D7068" i="1"/>
  <c r="D7067" i="1"/>
  <c r="D7066" i="1"/>
  <c r="D7065" i="1"/>
  <c r="D7064" i="1"/>
  <c r="D7047" i="1"/>
  <c r="D7030" i="1"/>
  <c r="D7013" i="1"/>
  <c r="D6996" i="1"/>
  <c r="D6979" i="1"/>
  <c r="D6962" i="1"/>
  <c r="D6945" i="1"/>
  <c r="D6928" i="1"/>
  <c r="D6927" i="1"/>
  <c r="D6926" i="1"/>
  <c r="D6925" i="1"/>
  <c r="D6924" i="1"/>
  <c r="D6923" i="1"/>
  <c r="D6922" i="1"/>
  <c r="D6921" i="1"/>
  <c r="D6920" i="1"/>
  <c r="D6919" i="1"/>
  <c r="D6918" i="1"/>
  <c r="D6917" i="1"/>
  <c r="D6916" i="1"/>
  <c r="D6915" i="1"/>
  <c r="D6914" i="1"/>
  <c r="D6913" i="1"/>
  <c r="D6912" i="1"/>
  <c r="D6911" i="1"/>
  <c r="D6910" i="1"/>
  <c r="D6909" i="1"/>
  <c r="D6908" i="1"/>
  <c r="D6907" i="1"/>
  <c r="D6906" i="1"/>
  <c r="D6905" i="1"/>
  <c r="D6904" i="1"/>
  <c r="D6903" i="1"/>
  <c r="D6902" i="1"/>
  <c r="D6901" i="1"/>
  <c r="D6900" i="1"/>
  <c r="D6899" i="1"/>
  <c r="D6898" i="1"/>
  <c r="D6897" i="1"/>
  <c r="D6896" i="1"/>
  <c r="D6895" i="1"/>
  <c r="D6894" i="1"/>
  <c r="D6893" i="1"/>
  <c r="D6892" i="1"/>
  <c r="D6891" i="1"/>
  <c r="D6890" i="1"/>
  <c r="D6889" i="1"/>
  <c r="D6888" i="1"/>
  <c r="D6887" i="1"/>
  <c r="D6886" i="1"/>
  <c r="D6885" i="1"/>
  <c r="D6884" i="1"/>
  <c r="D6883" i="1"/>
  <c r="D6882" i="1"/>
  <c r="D6881" i="1"/>
  <c r="D6880" i="1"/>
  <c r="D6879" i="1"/>
  <c r="D6878" i="1"/>
  <c r="D6877" i="1"/>
  <c r="D6876" i="1"/>
  <c r="D6875" i="1"/>
  <c r="D6874" i="1"/>
  <c r="D6873" i="1"/>
  <c r="D6872" i="1"/>
  <c r="D6871" i="1"/>
  <c r="D6870" i="1"/>
  <c r="D6869" i="1"/>
  <c r="D6868" i="1"/>
  <c r="D6867" i="1"/>
  <c r="D6866" i="1"/>
  <c r="D6865" i="1"/>
  <c r="D6864" i="1"/>
  <c r="D6863" i="1"/>
  <c r="D6862" i="1"/>
  <c r="D6861" i="1"/>
  <c r="D6860" i="1"/>
  <c r="D6859" i="1"/>
  <c r="D6858" i="1"/>
  <c r="D6857" i="1"/>
  <c r="D6856" i="1"/>
  <c r="D6855" i="1"/>
  <c r="D6854" i="1"/>
  <c r="D6853" i="1"/>
  <c r="D6852" i="1"/>
  <c r="D6851" i="1"/>
  <c r="D6850" i="1"/>
  <c r="D6849" i="1"/>
  <c r="D6848" i="1"/>
  <c r="D6847" i="1"/>
  <c r="D6846" i="1"/>
  <c r="D6845" i="1"/>
  <c r="D6844" i="1"/>
  <c r="D6843" i="1"/>
  <c r="D6842" i="1"/>
  <c r="D6841" i="1"/>
  <c r="D6840" i="1"/>
  <c r="D6839" i="1"/>
  <c r="D6838" i="1"/>
  <c r="D6837" i="1"/>
  <c r="D6836" i="1"/>
  <c r="D6835" i="1"/>
  <c r="D6834" i="1"/>
  <c r="D6833" i="1"/>
  <c r="D6832" i="1"/>
  <c r="D6831" i="1"/>
  <c r="D6830" i="1"/>
  <c r="D6829" i="1"/>
  <c r="D6828" i="1"/>
  <c r="D6827" i="1"/>
  <c r="D6826" i="1"/>
  <c r="D6825" i="1"/>
  <c r="D6824" i="1"/>
  <c r="D6823" i="1"/>
  <c r="D6822" i="1"/>
  <c r="D6821" i="1"/>
  <c r="D6820" i="1"/>
  <c r="D6819" i="1"/>
  <c r="D6818" i="1"/>
  <c r="D6817" i="1"/>
  <c r="D6816" i="1"/>
  <c r="D6815" i="1"/>
  <c r="D6814" i="1"/>
  <c r="D6813" i="1"/>
  <c r="D6812" i="1"/>
  <c r="D6811" i="1"/>
  <c r="D6810" i="1"/>
  <c r="D6809" i="1"/>
  <c r="D6808" i="1"/>
  <c r="D6807" i="1"/>
  <c r="D6806" i="1"/>
  <c r="D6805" i="1"/>
  <c r="D6804" i="1"/>
  <c r="D6803" i="1"/>
  <c r="D6802" i="1"/>
  <c r="D6801" i="1"/>
  <c r="D6800" i="1"/>
  <c r="D6799" i="1"/>
  <c r="D6798" i="1"/>
  <c r="D6797" i="1"/>
  <c r="D6796" i="1"/>
  <c r="D6795" i="1"/>
  <c r="D6794" i="1"/>
  <c r="D6793" i="1"/>
  <c r="D6792" i="1"/>
  <c r="D5975" i="1"/>
  <c r="D5974" i="1"/>
  <c r="D5973" i="1"/>
  <c r="D5972" i="1"/>
  <c r="D5971" i="1"/>
  <c r="D5970" i="1"/>
  <c r="D5969" i="1"/>
  <c r="D5968" i="1"/>
  <c r="D5967" i="1"/>
  <c r="D5966" i="1"/>
  <c r="D5965" i="1"/>
  <c r="D5964" i="1"/>
  <c r="D5963" i="1"/>
  <c r="D5962" i="1"/>
  <c r="D5961" i="1"/>
  <c r="D5960" i="1"/>
  <c r="D5959" i="1"/>
  <c r="D5958" i="1"/>
  <c r="D5957" i="1"/>
  <c r="D5956" i="1"/>
  <c r="D5955" i="1"/>
  <c r="D5954" i="1"/>
  <c r="D5953" i="1"/>
  <c r="D5952" i="1"/>
  <c r="D5951" i="1"/>
  <c r="D5950" i="1"/>
  <c r="D5949" i="1"/>
  <c r="D5948" i="1"/>
  <c r="D5947" i="1"/>
  <c r="D5946" i="1"/>
  <c r="D5945" i="1"/>
  <c r="D5944" i="1"/>
  <c r="D5943" i="1"/>
  <c r="D5942" i="1"/>
  <c r="D5941" i="1"/>
  <c r="D5940" i="1"/>
  <c r="D5939" i="1"/>
  <c r="D5938" i="1"/>
  <c r="D5937" i="1"/>
  <c r="D5936" i="1"/>
  <c r="D5935" i="1"/>
  <c r="D5934" i="1"/>
  <c r="D5933" i="1"/>
  <c r="D5932" i="1"/>
  <c r="D5931" i="1"/>
  <c r="D5930" i="1"/>
  <c r="D5929" i="1"/>
  <c r="D5928" i="1"/>
  <c r="D5927" i="1"/>
  <c r="D5926" i="1"/>
  <c r="D5925" i="1"/>
  <c r="D5924" i="1"/>
  <c r="D5923" i="1"/>
  <c r="D5922" i="1"/>
  <c r="D5921" i="1"/>
  <c r="D5920" i="1"/>
  <c r="D5919" i="1"/>
  <c r="D5918" i="1"/>
  <c r="D5917" i="1"/>
  <c r="D5916" i="1"/>
  <c r="D5915" i="1"/>
  <c r="D5914" i="1"/>
  <c r="D5913" i="1"/>
  <c r="D5912" i="1"/>
  <c r="D5911" i="1"/>
  <c r="D5910" i="1"/>
  <c r="D5909" i="1"/>
  <c r="D5908" i="1"/>
  <c r="D5907" i="1"/>
  <c r="D5906" i="1"/>
  <c r="D5905" i="1"/>
  <c r="D5904" i="1"/>
  <c r="D5903" i="1"/>
  <c r="D5902" i="1"/>
  <c r="D5901" i="1"/>
  <c r="D5900" i="1"/>
  <c r="D5899" i="1"/>
  <c r="D5898" i="1"/>
  <c r="D5897" i="1"/>
  <c r="D5896" i="1"/>
  <c r="D5895" i="1"/>
  <c r="D5894" i="1"/>
  <c r="D5893" i="1"/>
  <c r="D5892" i="1"/>
  <c r="D5891" i="1"/>
  <c r="D5890" i="1"/>
  <c r="D5889" i="1"/>
  <c r="D5888" i="1"/>
  <c r="D5887" i="1"/>
  <c r="D5886" i="1"/>
  <c r="D5885" i="1"/>
  <c r="D5884" i="1"/>
  <c r="D5883" i="1"/>
  <c r="D5882" i="1"/>
  <c r="D5881" i="1"/>
  <c r="D5880" i="1"/>
  <c r="D5879" i="1"/>
  <c r="D5878" i="1"/>
  <c r="D5877" i="1"/>
  <c r="D5876" i="1"/>
  <c r="D5875" i="1"/>
  <c r="D5874" i="1"/>
  <c r="D5873" i="1"/>
  <c r="D5872" i="1"/>
  <c r="D5871" i="1"/>
  <c r="D5870" i="1"/>
  <c r="D5869" i="1"/>
  <c r="D5868" i="1"/>
  <c r="D5867" i="1"/>
  <c r="D5866" i="1"/>
  <c r="D5865" i="1"/>
  <c r="D5864" i="1"/>
  <c r="D5863" i="1"/>
  <c r="D5862" i="1"/>
  <c r="D5861" i="1"/>
  <c r="D5860" i="1"/>
  <c r="D5859" i="1"/>
  <c r="D5858" i="1"/>
  <c r="D5857" i="1"/>
  <c r="D5856" i="1"/>
  <c r="D5855" i="1"/>
  <c r="D5854" i="1"/>
  <c r="D5853" i="1"/>
  <c r="D5852" i="1"/>
  <c r="D5851" i="1"/>
  <c r="D5850" i="1"/>
  <c r="D5849" i="1"/>
  <c r="D5848" i="1"/>
  <c r="D5847" i="1"/>
  <c r="D5846" i="1"/>
  <c r="D5845" i="1"/>
  <c r="D5844" i="1"/>
  <c r="D5843" i="1"/>
  <c r="D5842" i="1"/>
  <c r="D5841" i="1"/>
  <c r="D5840" i="1"/>
  <c r="D5703" i="1"/>
  <c r="D5702" i="1"/>
  <c r="D5701" i="1"/>
  <c r="D5700" i="1"/>
  <c r="D5699" i="1"/>
  <c r="D5698" i="1"/>
  <c r="D5697" i="1"/>
  <c r="D5696" i="1"/>
  <c r="D5695" i="1"/>
  <c r="D5694" i="1"/>
  <c r="D5693" i="1"/>
  <c r="D5692" i="1"/>
  <c r="D5691" i="1"/>
  <c r="D5690" i="1"/>
  <c r="D5689" i="1"/>
  <c r="D5688" i="1"/>
  <c r="D5687" i="1"/>
  <c r="D5686" i="1"/>
  <c r="D5685" i="1"/>
  <c r="D5684" i="1"/>
  <c r="D5683" i="1"/>
  <c r="D5682" i="1"/>
  <c r="D5681" i="1"/>
  <c r="D5680" i="1"/>
  <c r="D5679" i="1"/>
  <c r="D5678" i="1"/>
  <c r="D5677" i="1"/>
  <c r="D5676" i="1"/>
  <c r="D5675" i="1"/>
  <c r="D5674" i="1"/>
  <c r="D5673" i="1"/>
  <c r="D5672" i="1"/>
  <c r="D5671" i="1"/>
  <c r="D5670" i="1"/>
  <c r="D5669" i="1"/>
  <c r="D5668" i="1"/>
  <c r="D5667" i="1"/>
  <c r="D5666" i="1"/>
  <c r="D5665" i="1"/>
  <c r="D5664" i="1"/>
  <c r="D5663" i="1"/>
  <c r="D5662" i="1"/>
  <c r="D5661" i="1"/>
  <c r="D5660" i="1"/>
  <c r="D5659" i="1"/>
  <c r="D5658" i="1"/>
  <c r="D5657" i="1"/>
  <c r="D5656" i="1"/>
  <c r="D5655" i="1"/>
  <c r="D5654" i="1"/>
  <c r="D5653" i="1"/>
  <c r="D5652" i="1"/>
  <c r="D5651" i="1"/>
  <c r="D5650" i="1"/>
  <c r="D5649" i="1"/>
  <c r="D5648" i="1"/>
  <c r="D5647" i="1"/>
  <c r="D5646" i="1"/>
  <c r="D5645" i="1"/>
  <c r="D5644" i="1"/>
  <c r="D5643" i="1"/>
  <c r="D5642" i="1"/>
  <c r="D5641" i="1"/>
  <c r="D5640" i="1"/>
  <c r="D5639" i="1"/>
  <c r="D5638" i="1"/>
  <c r="D5637" i="1"/>
  <c r="D5636" i="1"/>
  <c r="D5635" i="1"/>
  <c r="D5634" i="1"/>
  <c r="D5633" i="1"/>
  <c r="D5632" i="1"/>
  <c r="D5631" i="1"/>
  <c r="D5630" i="1"/>
  <c r="D5629" i="1"/>
  <c r="D5628" i="1"/>
  <c r="D5627" i="1"/>
  <c r="D5626" i="1"/>
  <c r="D5625" i="1"/>
  <c r="D5624" i="1"/>
  <c r="D5623" i="1"/>
  <c r="D5622" i="1"/>
  <c r="D5621" i="1"/>
  <c r="D5620" i="1"/>
  <c r="D5619" i="1"/>
  <c r="D5618" i="1"/>
  <c r="D5617" i="1"/>
  <c r="D5616" i="1"/>
  <c r="D5615" i="1"/>
  <c r="D5614" i="1"/>
  <c r="D5613" i="1"/>
  <c r="D5612" i="1"/>
  <c r="D5611" i="1"/>
  <c r="D5610" i="1"/>
  <c r="D5609" i="1"/>
  <c r="D5608" i="1"/>
  <c r="D5607" i="1"/>
  <c r="D5606" i="1"/>
  <c r="D5605" i="1"/>
  <c r="D5604" i="1"/>
  <c r="D5603" i="1"/>
  <c r="D5602" i="1"/>
  <c r="D5601" i="1"/>
  <c r="D5600" i="1"/>
  <c r="D5599" i="1"/>
  <c r="D5598" i="1"/>
  <c r="D5597" i="1"/>
  <c r="D5596" i="1"/>
  <c r="D5595" i="1"/>
  <c r="D5594" i="1"/>
  <c r="D5593" i="1"/>
  <c r="D5592" i="1"/>
  <c r="D5591" i="1"/>
  <c r="D5590" i="1"/>
  <c r="D5589" i="1"/>
  <c r="D5588" i="1"/>
  <c r="D5587" i="1"/>
  <c r="D5586" i="1"/>
  <c r="D5585" i="1"/>
  <c r="D5584" i="1"/>
  <c r="D5583" i="1"/>
  <c r="D5582" i="1"/>
  <c r="D5581" i="1"/>
  <c r="D5580" i="1"/>
  <c r="D5579" i="1"/>
  <c r="D5578" i="1"/>
  <c r="D5577" i="1"/>
  <c r="D5576" i="1"/>
  <c r="D5575" i="1"/>
  <c r="D5574" i="1"/>
  <c r="D5573" i="1"/>
  <c r="D5572" i="1"/>
  <c r="D5571" i="1"/>
  <c r="D5570" i="1"/>
  <c r="D5569" i="1"/>
  <c r="D5568" i="1"/>
  <c r="D4751" i="1"/>
  <c r="D4750" i="1"/>
  <c r="D4749" i="1"/>
  <c r="D4748" i="1"/>
  <c r="D4747" i="1"/>
  <c r="D4746" i="1"/>
  <c r="D4745" i="1"/>
  <c r="D4744" i="1"/>
  <c r="D4743" i="1"/>
  <c r="D4742" i="1"/>
  <c r="D4741" i="1"/>
  <c r="D4740" i="1"/>
  <c r="D4739" i="1"/>
  <c r="D4738" i="1"/>
  <c r="D4737" i="1"/>
  <c r="D4736" i="1"/>
  <c r="D4735" i="1"/>
  <c r="D4734" i="1"/>
  <c r="D4733" i="1"/>
  <c r="D4732" i="1"/>
  <c r="D4731" i="1"/>
  <c r="D4730" i="1"/>
  <c r="D4729" i="1"/>
  <c r="D4728" i="1"/>
  <c r="D4727" i="1"/>
  <c r="D4726" i="1"/>
  <c r="D4725" i="1"/>
  <c r="D4724" i="1"/>
  <c r="D4723" i="1"/>
  <c r="D4722" i="1"/>
  <c r="D4721" i="1"/>
  <c r="D4720" i="1"/>
  <c r="D4719" i="1"/>
  <c r="D4718" i="1"/>
  <c r="D4717" i="1"/>
  <c r="D4716" i="1"/>
  <c r="D4715" i="1"/>
  <c r="D4714" i="1"/>
  <c r="D4713" i="1"/>
  <c r="D4712" i="1"/>
  <c r="D4711" i="1"/>
  <c r="D4710" i="1"/>
  <c r="D4709" i="1"/>
  <c r="D4708" i="1"/>
  <c r="D4707" i="1"/>
  <c r="D4706" i="1"/>
  <c r="D4705" i="1"/>
  <c r="D4704" i="1"/>
  <c r="D4703" i="1"/>
  <c r="D4702" i="1"/>
  <c r="D4701" i="1"/>
  <c r="D4700" i="1"/>
  <c r="D4699" i="1"/>
  <c r="D4698" i="1"/>
  <c r="D4697" i="1"/>
  <c r="D4696" i="1"/>
  <c r="D4695" i="1"/>
  <c r="D4694" i="1"/>
  <c r="D4693" i="1"/>
  <c r="D4692" i="1"/>
  <c r="D4691" i="1"/>
  <c r="D4690" i="1"/>
  <c r="D4689" i="1"/>
  <c r="D4688" i="1"/>
  <c r="D4687" i="1"/>
  <c r="D4686" i="1"/>
  <c r="D4685" i="1"/>
  <c r="D4684" i="1"/>
  <c r="D4683" i="1"/>
  <c r="D4682" i="1"/>
  <c r="D4681" i="1"/>
  <c r="D4680" i="1"/>
  <c r="D4679" i="1"/>
  <c r="D4678" i="1"/>
  <c r="D4677" i="1"/>
  <c r="D4676" i="1"/>
  <c r="D4675" i="1"/>
  <c r="D4674" i="1"/>
  <c r="D4673" i="1"/>
  <c r="D4672" i="1"/>
  <c r="D4671" i="1"/>
  <c r="D4670" i="1"/>
  <c r="D4669" i="1"/>
  <c r="D4668" i="1"/>
  <c r="D4667" i="1"/>
  <c r="D4666" i="1"/>
  <c r="D4665" i="1"/>
  <c r="D4664" i="1"/>
  <c r="D4663" i="1"/>
  <c r="D4662" i="1"/>
  <c r="D4661" i="1"/>
  <c r="D4660" i="1"/>
  <c r="D4659" i="1"/>
  <c r="D4658" i="1"/>
  <c r="D4657" i="1"/>
  <c r="D4656" i="1"/>
  <c r="D4655" i="1"/>
  <c r="D4654" i="1"/>
  <c r="D4653" i="1"/>
  <c r="D4652" i="1"/>
  <c r="D4651" i="1"/>
  <c r="D4650" i="1"/>
  <c r="D4649" i="1"/>
  <c r="D4648" i="1"/>
  <c r="D4647" i="1"/>
  <c r="D4646" i="1"/>
  <c r="D4645" i="1"/>
  <c r="D4644" i="1"/>
  <c r="D4643" i="1"/>
  <c r="D4642" i="1"/>
  <c r="D4641" i="1"/>
  <c r="D4640" i="1"/>
  <c r="D4639" i="1"/>
  <c r="D4638" i="1"/>
  <c r="D4637" i="1"/>
  <c r="D4636" i="1"/>
  <c r="D4635" i="1"/>
  <c r="D4634" i="1"/>
  <c r="D4633" i="1"/>
  <c r="D4632" i="1"/>
  <c r="D4631" i="1"/>
  <c r="D4630" i="1"/>
  <c r="D4629" i="1"/>
  <c r="D4628" i="1"/>
  <c r="D4627" i="1"/>
  <c r="D4626" i="1"/>
  <c r="D4625" i="1"/>
  <c r="D4624" i="1"/>
  <c r="D4623" i="1"/>
  <c r="D4622" i="1"/>
  <c r="D4621" i="1"/>
  <c r="D4620" i="1"/>
  <c r="D4619" i="1"/>
  <c r="D4618" i="1"/>
  <c r="D4617" i="1"/>
  <c r="D4616" i="1"/>
  <c r="D4615" i="1"/>
  <c r="D4614" i="1"/>
  <c r="D4613" i="1"/>
  <c r="D4612" i="1"/>
  <c r="D4611" i="1"/>
  <c r="D4610" i="1"/>
  <c r="D4609" i="1"/>
  <c r="D4608" i="1"/>
  <c r="D4607" i="1"/>
  <c r="D4606" i="1"/>
  <c r="D4605" i="1"/>
  <c r="D4604" i="1"/>
  <c r="D4603" i="1"/>
  <c r="D4602" i="1"/>
  <c r="D4601" i="1"/>
  <c r="D4600" i="1"/>
  <c r="D4599" i="1"/>
  <c r="D4598" i="1"/>
  <c r="D4597" i="1"/>
  <c r="D4596" i="1"/>
  <c r="D4595" i="1"/>
  <c r="D4594" i="1"/>
  <c r="D4593" i="1"/>
  <c r="D4592" i="1"/>
  <c r="D4591" i="1"/>
  <c r="D4590" i="1"/>
  <c r="D4589" i="1"/>
  <c r="D4588" i="1"/>
  <c r="D4587" i="1"/>
  <c r="D4586" i="1"/>
  <c r="D4585" i="1"/>
  <c r="D4584" i="1"/>
  <c r="D4583" i="1"/>
  <c r="D4582" i="1"/>
  <c r="D4581" i="1"/>
  <c r="D4580" i="1"/>
  <c r="D4579" i="1"/>
  <c r="D4578" i="1"/>
  <c r="D4577" i="1"/>
  <c r="D4576" i="1"/>
  <c r="D4575" i="1"/>
  <c r="D4574" i="1"/>
  <c r="D4573" i="1"/>
  <c r="D4572" i="1"/>
  <c r="D4571" i="1"/>
  <c r="D4570" i="1"/>
  <c r="D4569" i="1"/>
  <c r="D4568" i="1"/>
  <c r="D4567" i="1"/>
  <c r="D4566" i="1"/>
  <c r="D4565" i="1"/>
  <c r="D4564" i="1"/>
  <c r="D4563" i="1"/>
  <c r="D4562" i="1"/>
  <c r="D4561" i="1"/>
  <c r="D4560" i="1"/>
  <c r="D4559" i="1"/>
  <c r="D4558" i="1"/>
  <c r="D4557" i="1"/>
  <c r="D4556" i="1"/>
  <c r="D4555" i="1"/>
  <c r="D4554" i="1"/>
  <c r="D4553" i="1"/>
  <c r="D4552" i="1"/>
  <c r="D4551" i="1"/>
  <c r="D4550" i="1"/>
  <c r="D4549" i="1"/>
  <c r="D4548" i="1"/>
  <c r="D4547" i="1"/>
  <c r="D4546" i="1"/>
  <c r="D4545" i="1"/>
  <c r="D4544" i="1"/>
  <c r="D4543" i="1"/>
  <c r="D4542" i="1"/>
  <c r="D4541" i="1"/>
  <c r="D4540" i="1"/>
  <c r="D4539" i="1"/>
  <c r="D4538" i="1"/>
  <c r="D4537" i="1"/>
  <c r="D4536" i="1"/>
  <c r="D4535" i="1"/>
  <c r="D4534" i="1"/>
  <c r="D4533" i="1"/>
  <c r="D4532" i="1"/>
  <c r="D4531" i="1"/>
  <c r="D4530" i="1"/>
  <c r="D4529" i="1"/>
  <c r="D4528" i="1"/>
  <c r="D4527" i="1"/>
  <c r="D4526" i="1"/>
  <c r="D4525" i="1"/>
  <c r="D4524" i="1"/>
  <c r="D4523" i="1"/>
  <c r="D4522" i="1"/>
  <c r="D4521" i="1"/>
  <c r="D4520" i="1"/>
  <c r="D4519" i="1"/>
  <c r="D4518" i="1"/>
  <c r="D4517" i="1"/>
  <c r="D4516" i="1"/>
  <c r="D4515" i="1"/>
  <c r="D4514" i="1"/>
  <c r="D4513" i="1"/>
  <c r="D4512" i="1"/>
  <c r="D4511" i="1"/>
  <c r="D4510" i="1"/>
  <c r="D4509" i="1"/>
  <c r="D4508" i="1"/>
  <c r="D4507" i="1"/>
  <c r="D4506" i="1"/>
  <c r="D4505" i="1"/>
  <c r="D4504" i="1"/>
  <c r="D4503" i="1"/>
  <c r="D4502" i="1"/>
  <c r="D4501" i="1"/>
  <c r="D4500" i="1"/>
  <c r="D4499" i="1"/>
  <c r="D4498" i="1"/>
  <c r="D4497" i="1"/>
  <c r="D4496" i="1"/>
  <c r="D4495" i="1"/>
  <c r="D4494" i="1"/>
  <c r="D4493" i="1"/>
  <c r="D4492" i="1"/>
  <c r="D4491" i="1"/>
  <c r="D4490" i="1"/>
  <c r="D4489" i="1"/>
  <c r="D4488" i="1"/>
  <c r="D4487" i="1"/>
  <c r="D4486" i="1"/>
  <c r="D4485" i="1"/>
  <c r="D4484" i="1"/>
  <c r="D4483" i="1"/>
  <c r="D4482" i="1"/>
  <c r="D4481" i="1"/>
  <c r="D4480" i="1"/>
  <c r="C4479" i="1"/>
  <c r="C4478" i="1"/>
  <c r="C4477" i="1"/>
  <c r="C4476" i="1"/>
  <c r="C4475" i="1"/>
  <c r="C4474" i="1"/>
  <c r="C4473" i="1"/>
  <c r="C4472" i="1"/>
  <c r="C4471" i="1"/>
  <c r="C4470" i="1"/>
  <c r="C4469" i="1"/>
  <c r="C4468" i="1"/>
  <c r="C4467" i="1"/>
  <c r="C4466" i="1"/>
  <c r="C4465" i="1"/>
  <c r="C4464" i="1"/>
  <c r="C4463" i="1"/>
  <c r="C4462" i="1"/>
  <c r="C4461" i="1"/>
  <c r="C4460" i="1"/>
  <c r="C4459" i="1"/>
  <c r="C4458" i="1"/>
  <c r="C4457" i="1"/>
  <c r="C4456" i="1"/>
  <c r="C4455" i="1"/>
  <c r="C4454" i="1"/>
  <c r="C4453" i="1"/>
  <c r="C4452" i="1"/>
  <c r="C4451" i="1"/>
  <c r="C4450" i="1"/>
  <c r="C4449" i="1"/>
  <c r="C4448" i="1"/>
  <c r="C4447" i="1"/>
  <c r="C4446" i="1"/>
  <c r="C4445" i="1"/>
  <c r="C4444" i="1"/>
  <c r="C4443" i="1"/>
  <c r="C4442" i="1"/>
  <c r="C4441" i="1"/>
  <c r="C4440" i="1"/>
  <c r="C4439" i="1"/>
  <c r="C4438" i="1"/>
  <c r="C4437" i="1"/>
  <c r="C4436"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D14135" i="1"/>
  <c r="D14134" i="1"/>
  <c r="D14133" i="1"/>
  <c r="D14132" i="1"/>
  <c r="D14131" i="1"/>
  <c r="D14130" i="1"/>
  <c r="D14129" i="1"/>
  <c r="D14128" i="1"/>
  <c r="D14127" i="1"/>
  <c r="D14126" i="1"/>
  <c r="X86" i="41"/>
  <c r="V86" i="41"/>
  <c r="T86" i="41"/>
  <c r="R86" i="41"/>
  <c r="P86" i="41"/>
  <c r="N86" i="41"/>
  <c r="L86" i="41"/>
  <c r="J86" i="41"/>
  <c r="H86" i="41"/>
  <c r="X59" i="41"/>
  <c r="V59" i="41"/>
  <c r="T59" i="41"/>
  <c r="R59" i="41"/>
  <c r="P59" i="41"/>
  <c r="N59" i="41"/>
  <c r="L59" i="41"/>
  <c r="J59" i="41"/>
  <c r="H59" i="41"/>
  <c r="X57" i="41"/>
  <c r="V57" i="41"/>
  <c r="T57" i="41"/>
  <c r="R57" i="41"/>
  <c r="P57" i="41"/>
  <c r="N57" i="41"/>
  <c r="L57" i="41"/>
  <c r="J57" i="41"/>
  <c r="H57" i="41"/>
  <c r="C110" i="41"/>
  <c r="C109" i="41"/>
  <c r="C108" i="41"/>
  <c r="C107" i="41"/>
  <c r="C106" i="41"/>
  <c r="C105" i="41"/>
  <c r="C104" i="41"/>
  <c r="C103" i="41"/>
  <c r="C102" i="41"/>
  <c r="C101" i="41"/>
  <c r="C100" i="41"/>
  <c r="C99" i="41"/>
  <c r="C98" i="41"/>
  <c r="C97" i="41"/>
  <c r="C96" i="41"/>
  <c r="C95" i="41"/>
  <c r="C94" i="41"/>
  <c r="C93" i="41"/>
  <c r="C92" i="41"/>
  <c r="C91" i="41"/>
  <c r="C90" i="41"/>
  <c r="C80" i="41"/>
  <c r="C79" i="41"/>
  <c r="C78" i="41"/>
  <c r="C77" i="41"/>
  <c r="C76" i="41"/>
  <c r="C75" i="41"/>
  <c r="C74" i="41"/>
  <c r="C73" i="41"/>
  <c r="C72" i="41"/>
  <c r="C71" i="41"/>
  <c r="C70" i="41"/>
  <c r="C69" i="41"/>
  <c r="C68" i="41"/>
  <c r="C67" i="41"/>
  <c r="C66" i="41"/>
  <c r="C65" i="41"/>
  <c r="C64" i="41"/>
  <c r="C63" i="41"/>
  <c r="C62" i="41"/>
  <c r="C61" i="41"/>
  <c r="C60" i="41"/>
  <c r="W59" i="41"/>
  <c r="U59" i="41"/>
  <c r="S59" i="41"/>
  <c r="Q59" i="41"/>
  <c r="O59" i="41"/>
  <c r="M59" i="41"/>
  <c r="K59" i="41"/>
  <c r="I59" i="41"/>
  <c r="G59" i="41"/>
  <c r="W57" i="41"/>
  <c r="U57" i="41"/>
  <c r="S57" i="41"/>
  <c r="Q57" i="41"/>
  <c r="Q86" i="41" s="1"/>
  <c r="O57" i="41"/>
  <c r="O86" i="41" s="1"/>
  <c r="M57" i="41"/>
  <c r="M86" i="41" s="1"/>
  <c r="K57" i="41"/>
  <c r="I57" i="41"/>
  <c r="G57" i="41"/>
  <c r="F57" i="41"/>
  <c r="F86" i="41" s="1"/>
  <c r="S86" i="41" l="1"/>
  <c r="U86" i="41"/>
  <c r="G86" i="41"/>
  <c r="W86" i="41"/>
  <c r="I86" i="41"/>
  <c r="K86" i="41"/>
  <c r="C487" i="15"/>
  <c r="C488" i="15"/>
  <c r="C408" i="15"/>
  <c r="C409" i="15"/>
  <c r="C410" i="15"/>
  <c r="C284" i="15"/>
  <c r="C285" i="15"/>
  <c r="C286" i="15"/>
  <c r="C288" i="15"/>
  <c r="C289" i="15"/>
  <c r="C290" i="15"/>
  <c r="C291" i="15"/>
  <c r="C292" i="15"/>
  <c r="C125" i="15"/>
  <c r="C126" i="15"/>
  <c r="C127" i="15"/>
  <c r="C128" i="15"/>
  <c r="C129" i="15"/>
  <c r="C188" i="15"/>
  <c r="C190" i="15"/>
  <c r="C191" i="15"/>
  <c r="C4072" i="1" l="1"/>
  <c r="D4072" i="1"/>
  <c r="E4072" i="1"/>
  <c r="F4072" i="1"/>
  <c r="B4072" i="1" s="1"/>
  <c r="C4073" i="1"/>
  <c r="D4073" i="1"/>
  <c r="E4073" i="1"/>
  <c r="F4073" i="1"/>
  <c r="B4073" i="1" s="1"/>
  <c r="L10464" i="1"/>
  <c r="L10481" i="1"/>
  <c r="D10480" i="1"/>
  <c r="E10480" i="1"/>
  <c r="F10480" i="1"/>
  <c r="B10480" i="1" s="1"/>
  <c r="D10481" i="1"/>
  <c r="E10481" i="1"/>
  <c r="F10481" i="1"/>
  <c r="B10481" i="1" s="1"/>
  <c r="D10482" i="1"/>
  <c r="E10482" i="1"/>
  <c r="F10482" i="1"/>
  <c r="B10482" i="1" s="1"/>
  <c r="D10464" i="1"/>
  <c r="E10464" i="1"/>
  <c r="F10464" i="1"/>
  <c r="B10464" i="1" s="1"/>
  <c r="D10465" i="1"/>
  <c r="E10465" i="1"/>
  <c r="F10465" i="1"/>
  <c r="B10465" i="1" s="1"/>
  <c r="D10466" i="1"/>
  <c r="E10466" i="1"/>
  <c r="F10466" i="1"/>
  <c r="B10466" i="1" s="1"/>
  <c r="D10467" i="1"/>
  <c r="E10467" i="1"/>
  <c r="F10467" i="1"/>
  <c r="B10467" i="1" s="1"/>
  <c r="D10468" i="1"/>
  <c r="E10468" i="1"/>
  <c r="F10468" i="1"/>
  <c r="B10468" i="1" s="1"/>
  <c r="D10469" i="1"/>
  <c r="E10469" i="1"/>
  <c r="F10469" i="1"/>
  <c r="B10469" i="1" s="1"/>
  <c r="D10470" i="1"/>
  <c r="E10470" i="1"/>
  <c r="F10470" i="1"/>
  <c r="B10470" i="1" s="1"/>
  <c r="D10471" i="1"/>
  <c r="E10471" i="1"/>
  <c r="F10471" i="1"/>
  <c r="B10471" i="1" s="1"/>
  <c r="D10472" i="1"/>
  <c r="E10472" i="1"/>
  <c r="F10472" i="1"/>
  <c r="B10472" i="1" s="1"/>
  <c r="D10473" i="1"/>
  <c r="E10473" i="1"/>
  <c r="F10473" i="1"/>
  <c r="B10473" i="1" s="1"/>
  <c r="D10474" i="1"/>
  <c r="E10474" i="1"/>
  <c r="F10474" i="1"/>
  <c r="B10474" i="1" s="1"/>
  <c r="D10475" i="1"/>
  <c r="E10475" i="1"/>
  <c r="F10475" i="1"/>
  <c r="B10475" i="1" s="1"/>
  <c r="D10476" i="1"/>
  <c r="E10476" i="1"/>
  <c r="F10476" i="1"/>
  <c r="B10476" i="1" s="1"/>
  <c r="D10477" i="1"/>
  <c r="E10477" i="1"/>
  <c r="F10477" i="1"/>
  <c r="B10477" i="1" s="1"/>
  <c r="D10478" i="1"/>
  <c r="E10478" i="1"/>
  <c r="F10478" i="1"/>
  <c r="B10478" i="1" s="1"/>
  <c r="D10479" i="1"/>
  <c r="E10479" i="1"/>
  <c r="F10479" i="1"/>
  <c r="B10479" i="1" s="1"/>
  <c r="M10481" i="1" l="1"/>
  <c r="M10464" i="1"/>
  <c r="B9" i="33"/>
  <c r="B108" i="33" s="1"/>
  <c r="B8" i="33"/>
  <c r="B7" i="33"/>
  <c r="B9" i="32"/>
  <c r="B108" i="32" s="1"/>
  <c r="B8" i="32"/>
  <c r="B7" i="32"/>
  <c r="B9" i="31"/>
  <c r="B108" i="31" s="1"/>
  <c r="B8" i="31"/>
  <c r="B7" i="31"/>
  <c r="B9" i="30"/>
  <c r="B108" i="30" s="1"/>
  <c r="B8" i="30"/>
  <c r="B7" i="30"/>
  <c r="B9" i="28"/>
  <c r="B108" i="28" s="1"/>
  <c r="B8" i="28"/>
  <c r="B7" i="28"/>
  <c r="B9" i="35"/>
  <c r="B108" i="35" s="1"/>
  <c r="B8" i="35"/>
  <c r="B7" i="35"/>
  <c r="B6" i="27"/>
  <c r="B9" i="27"/>
  <c r="B8" i="27"/>
  <c r="B7" i="27"/>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816"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680"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544" i="1"/>
  <c r="L14425" i="1"/>
  <c r="L14442" i="1"/>
  <c r="L14459" i="1"/>
  <c r="L14476" i="1"/>
  <c r="L14493" i="1"/>
  <c r="L14510" i="1"/>
  <c r="L14527" i="1"/>
  <c r="L14544" i="1"/>
  <c r="L14561" i="1"/>
  <c r="L14578" i="1"/>
  <c r="L14595" i="1"/>
  <c r="L14612" i="1"/>
  <c r="L14629" i="1"/>
  <c r="L14646" i="1"/>
  <c r="L14663" i="1"/>
  <c r="L14680" i="1"/>
  <c r="L14697" i="1"/>
  <c r="L14714" i="1"/>
  <c r="L14731" i="1"/>
  <c r="L14748" i="1"/>
  <c r="L14765" i="1"/>
  <c r="L14782" i="1"/>
  <c r="L14799" i="1"/>
  <c r="L14816" i="1"/>
  <c r="L14833" i="1"/>
  <c r="L14850" i="1"/>
  <c r="L14867" i="1"/>
  <c r="L14884" i="1"/>
  <c r="L14901" i="1"/>
  <c r="L14918" i="1"/>
  <c r="L14935"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408"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272"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136" i="1"/>
  <c r="E13865" i="1"/>
  <c r="E13866" i="1"/>
  <c r="E13867" i="1"/>
  <c r="E13868" i="1"/>
  <c r="E13869" i="1"/>
  <c r="E13870" i="1"/>
  <c r="E13871" i="1"/>
  <c r="E13872" i="1"/>
  <c r="E13873" i="1"/>
  <c r="E13874" i="1"/>
  <c r="E13875" i="1"/>
  <c r="E13876" i="1"/>
  <c r="E13877" i="1"/>
  <c r="E13878" i="1"/>
  <c r="E13879" i="1"/>
  <c r="E13880" i="1"/>
  <c r="E13881" i="1"/>
  <c r="E13882" i="1"/>
  <c r="E13883" i="1"/>
  <c r="E13884" i="1"/>
  <c r="E13885" i="1"/>
  <c r="E13886" i="1"/>
  <c r="E13887" i="1"/>
  <c r="E13888" i="1"/>
  <c r="E13889" i="1"/>
  <c r="E13890" i="1"/>
  <c r="E13891" i="1"/>
  <c r="E13892" i="1"/>
  <c r="E13893" i="1"/>
  <c r="E13894" i="1"/>
  <c r="E13895" i="1"/>
  <c r="E13896" i="1"/>
  <c r="E13897" i="1"/>
  <c r="E13898" i="1"/>
  <c r="E13899" i="1"/>
  <c r="E13900" i="1"/>
  <c r="E13901" i="1"/>
  <c r="E13902" i="1"/>
  <c r="E13903" i="1"/>
  <c r="E13904" i="1"/>
  <c r="E13905" i="1"/>
  <c r="E13906" i="1"/>
  <c r="E13907" i="1"/>
  <c r="E13908" i="1"/>
  <c r="E13909" i="1"/>
  <c r="E13910" i="1"/>
  <c r="E13911" i="1"/>
  <c r="E13912" i="1"/>
  <c r="E13913" i="1"/>
  <c r="E13914" i="1"/>
  <c r="E13915" i="1"/>
  <c r="E13916" i="1"/>
  <c r="E13917" i="1"/>
  <c r="E13918" i="1"/>
  <c r="E13919" i="1"/>
  <c r="E13920" i="1"/>
  <c r="E13921" i="1"/>
  <c r="E13922" i="1"/>
  <c r="E13923" i="1"/>
  <c r="E13924" i="1"/>
  <c r="E13925" i="1"/>
  <c r="E13926" i="1"/>
  <c r="E13927" i="1"/>
  <c r="E13928" i="1"/>
  <c r="E13929" i="1"/>
  <c r="E13930" i="1"/>
  <c r="E13931" i="1"/>
  <c r="E13932" i="1"/>
  <c r="E13933" i="1"/>
  <c r="E13934" i="1"/>
  <c r="E13935" i="1"/>
  <c r="E13936" i="1"/>
  <c r="E13937" i="1"/>
  <c r="E13938" i="1"/>
  <c r="E13939" i="1"/>
  <c r="E13940" i="1"/>
  <c r="E13941" i="1"/>
  <c r="E13942" i="1"/>
  <c r="E13943" i="1"/>
  <c r="E13944" i="1"/>
  <c r="E13945" i="1"/>
  <c r="E13946" i="1"/>
  <c r="E13947" i="1"/>
  <c r="E13948" i="1"/>
  <c r="E13949" i="1"/>
  <c r="E13950" i="1"/>
  <c r="E13951" i="1"/>
  <c r="E13952" i="1"/>
  <c r="E13953" i="1"/>
  <c r="E13954" i="1"/>
  <c r="E13955" i="1"/>
  <c r="E13956" i="1"/>
  <c r="E13957" i="1"/>
  <c r="E13958" i="1"/>
  <c r="E13959" i="1"/>
  <c r="E13960" i="1"/>
  <c r="E13961" i="1"/>
  <c r="E13962" i="1"/>
  <c r="E13963" i="1"/>
  <c r="E13964" i="1"/>
  <c r="E13965" i="1"/>
  <c r="E13966" i="1"/>
  <c r="E13967" i="1"/>
  <c r="E13968" i="1"/>
  <c r="E13969" i="1"/>
  <c r="E13970" i="1"/>
  <c r="E13971" i="1"/>
  <c r="E13972" i="1"/>
  <c r="E13973" i="1"/>
  <c r="E13974" i="1"/>
  <c r="E13975" i="1"/>
  <c r="E13976" i="1"/>
  <c r="E13977" i="1"/>
  <c r="E13978" i="1"/>
  <c r="E13979" i="1"/>
  <c r="E13980" i="1"/>
  <c r="E13981" i="1"/>
  <c r="E13982" i="1"/>
  <c r="E13983" i="1"/>
  <c r="E13984" i="1"/>
  <c r="E13985" i="1"/>
  <c r="E13986" i="1"/>
  <c r="E13987" i="1"/>
  <c r="E13988" i="1"/>
  <c r="E13989" i="1"/>
  <c r="E13990" i="1"/>
  <c r="E13991" i="1"/>
  <c r="E13992" i="1"/>
  <c r="E13993" i="1"/>
  <c r="E13994" i="1"/>
  <c r="E13995" i="1"/>
  <c r="E13996" i="1"/>
  <c r="E13997" i="1"/>
  <c r="E13998" i="1"/>
  <c r="E13999" i="1"/>
  <c r="E14000" i="1"/>
  <c r="E14001" i="1"/>
  <c r="E14002" i="1"/>
  <c r="E14003" i="1"/>
  <c r="E14004" i="1"/>
  <c r="E14005" i="1"/>
  <c r="E14006" i="1"/>
  <c r="E14007" i="1"/>
  <c r="E14008" i="1"/>
  <c r="E14009" i="1"/>
  <c r="E14010" i="1"/>
  <c r="E14011" i="1"/>
  <c r="E14012" i="1"/>
  <c r="E14013" i="1"/>
  <c r="E14014" i="1"/>
  <c r="E14015" i="1"/>
  <c r="E14016" i="1"/>
  <c r="E14017" i="1"/>
  <c r="E14018" i="1"/>
  <c r="E14019" i="1"/>
  <c r="E14020" i="1"/>
  <c r="E14021" i="1"/>
  <c r="E14022" i="1"/>
  <c r="E14023" i="1"/>
  <c r="E14024" i="1"/>
  <c r="E14025" i="1"/>
  <c r="E14026" i="1"/>
  <c r="E14027" i="1"/>
  <c r="E14028" i="1"/>
  <c r="E14029" i="1"/>
  <c r="E14030" i="1"/>
  <c r="E14031" i="1"/>
  <c r="E14032" i="1"/>
  <c r="E14033" i="1"/>
  <c r="E14034" i="1"/>
  <c r="E14035" i="1"/>
  <c r="E14036" i="1"/>
  <c r="E14037" i="1"/>
  <c r="E14038" i="1"/>
  <c r="E14039" i="1"/>
  <c r="E14040" i="1"/>
  <c r="E14041" i="1"/>
  <c r="E14042" i="1"/>
  <c r="E14043" i="1"/>
  <c r="E14044" i="1"/>
  <c r="E14045" i="1"/>
  <c r="E14046" i="1"/>
  <c r="E14047" i="1"/>
  <c r="E14048" i="1"/>
  <c r="E14049" i="1"/>
  <c r="E14050" i="1"/>
  <c r="E14051" i="1"/>
  <c r="E14052" i="1"/>
  <c r="E14053" i="1"/>
  <c r="E14054" i="1"/>
  <c r="E14055" i="1"/>
  <c r="E14056" i="1"/>
  <c r="E14057" i="1"/>
  <c r="E14058" i="1"/>
  <c r="E14059" i="1"/>
  <c r="E14060" i="1"/>
  <c r="E14061" i="1"/>
  <c r="E14062" i="1"/>
  <c r="E14063" i="1"/>
  <c r="E14064" i="1"/>
  <c r="E14065" i="1"/>
  <c r="E14066" i="1"/>
  <c r="E14067" i="1"/>
  <c r="E14068" i="1"/>
  <c r="E14069" i="1"/>
  <c r="E14070" i="1"/>
  <c r="E14071" i="1"/>
  <c r="E14072" i="1"/>
  <c r="E14073" i="1"/>
  <c r="E14074" i="1"/>
  <c r="E14075" i="1"/>
  <c r="E14076" i="1"/>
  <c r="E14077" i="1"/>
  <c r="E14078" i="1"/>
  <c r="E14079" i="1"/>
  <c r="E14080" i="1"/>
  <c r="E14081" i="1"/>
  <c r="E14082" i="1"/>
  <c r="E14083" i="1"/>
  <c r="E14084" i="1"/>
  <c r="E14085" i="1"/>
  <c r="E14086" i="1"/>
  <c r="E14087" i="1"/>
  <c r="E14088" i="1"/>
  <c r="E14089" i="1"/>
  <c r="E14090" i="1"/>
  <c r="E14091" i="1"/>
  <c r="E14092" i="1"/>
  <c r="E14093" i="1"/>
  <c r="E14094" i="1"/>
  <c r="E14095" i="1"/>
  <c r="E14096" i="1"/>
  <c r="E14097" i="1"/>
  <c r="E14098" i="1"/>
  <c r="E14099" i="1"/>
  <c r="E14100" i="1"/>
  <c r="E14101" i="1"/>
  <c r="E14102" i="1"/>
  <c r="E14103" i="1"/>
  <c r="E14104" i="1"/>
  <c r="E14105" i="1"/>
  <c r="E14106" i="1"/>
  <c r="E14107" i="1"/>
  <c r="E14108" i="1"/>
  <c r="E14109" i="1"/>
  <c r="E14110" i="1"/>
  <c r="E14111" i="1"/>
  <c r="E14112" i="1"/>
  <c r="E14113" i="1"/>
  <c r="E14114" i="1"/>
  <c r="E14115" i="1"/>
  <c r="E14116" i="1"/>
  <c r="E14117" i="1"/>
  <c r="E14118" i="1"/>
  <c r="E14119" i="1"/>
  <c r="E14120" i="1"/>
  <c r="E14121" i="1"/>
  <c r="E14122" i="1"/>
  <c r="E14123" i="1"/>
  <c r="E14124" i="1"/>
  <c r="E14125" i="1"/>
  <c r="E14126" i="1"/>
  <c r="E14127" i="1"/>
  <c r="E14128" i="1"/>
  <c r="E14129" i="1"/>
  <c r="E14130" i="1"/>
  <c r="E14131" i="1"/>
  <c r="E14132" i="1"/>
  <c r="E14133" i="1"/>
  <c r="E14134" i="1"/>
  <c r="E14135" i="1"/>
  <c r="E14136" i="1"/>
  <c r="E14137" i="1"/>
  <c r="E14138" i="1"/>
  <c r="E14139" i="1"/>
  <c r="E14140" i="1"/>
  <c r="E14141" i="1"/>
  <c r="E14142" i="1"/>
  <c r="E14143" i="1"/>
  <c r="E14144" i="1"/>
  <c r="E14145" i="1"/>
  <c r="E14146" i="1"/>
  <c r="E14147" i="1"/>
  <c r="E14148" i="1"/>
  <c r="E14149" i="1"/>
  <c r="E14150" i="1"/>
  <c r="E14151" i="1"/>
  <c r="E14152" i="1"/>
  <c r="E14153" i="1"/>
  <c r="E14154" i="1"/>
  <c r="E14155" i="1"/>
  <c r="E14156" i="1"/>
  <c r="E14157" i="1"/>
  <c r="E14158" i="1"/>
  <c r="E14159" i="1"/>
  <c r="E14160" i="1"/>
  <c r="E14161" i="1"/>
  <c r="E14162" i="1"/>
  <c r="E14163" i="1"/>
  <c r="E14164" i="1"/>
  <c r="E14165" i="1"/>
  <c r="E14166" i="1"/>
  <c r="E14167" i="1"/>
  <c r="E14168" i="1"/>
  <c r="E14169" i="1"/>
  <c r="E14170" i="1"/>
  <c r="E14171" i="1"/>
  <c r="E14172" i="1"/>
  <c r="E14173" i="1"/>
  <c r="E14174" i="1"/>
  <c r="E14175" i="1"/>
  <c r="E14176" i="1"/>
  <c r="E14177" i="1"/>
  <c r="E14178" i="1"/>
  <c r="E14179" i="1"/>
  <c r="E14180" i="1"/>
  <c r="E14181" i="1"/>
  <c r="E14182" i="1"/>
  <c r="E14183" i="1"/>
  <c r="E14184" i="1"/>
  <c r="E14185" i="1"/>
  <c r="E14186" i="1"/>
  <c r="E14187" i="1"/>
  <c r="E14188" i="1"/>
  <c r="E14189" i="1"/>
  <c r="E14190" i="1"/>
  <c r="E14191" i="1"/>
  <c r="E14192" i="1"/>
  <c r="E14193" i="1"/>
  <c r="E14194" i="1"/>
  <c r="E14195" i="1"/>
  <c r="E14196" i="1"/>
  <c r="E14197" i="1"/>
  <c r="E14198" i="1"/>
  <c r="E14199" i="1"/>
  <c r="E14200" i="1"/>
  <c r="E14201" i="1"/>
  <c r="E14202" i="1"/>
  <c r="E14203" i="1"/>
  <c r="E14204" i="1"/>
  <c r="E14205" i="1"/>
  <c r="E14206" i="1"/>
  <c r="E14207" i="1"/>
  <c r="E14208" i="1"/>
  <c r="E14209" i="1"/>
  <c r="E14210" i="1"/>
  <c r="E14211" i="1"/>
  <c r="E14212" i="1"/>
  <c r="E14213" i="1"/>
  <c r="E14214" i="1"/>
  <c r="E14215" i="1"/>
  <c r="E14216" i="1"/>
  <c r="E14217" i="1"/>
  <c r="E14218" i="1"/>
  <c r="E14219" i="1"/>
  <c r="E14220" i="1"/>
  <c r="E14221" i="1"/>
  <c r="E14222" i="1"/>
  <c r="E14223" i="1"/>
  <c r="E14224" i="1"/>
  <c r="E14225" i="1"/>
  <c r="E14226" i="1"/>
  <c r="E14227" i="1"/>
  <c r="E14228" i="1"/>
  <c r="E14229" i="1"/>
  <c r="E14230" i="1"/>
  <c r="E14231" i="1"/>
  <c r="E14232" i="1"/>
  <c r="E14233" i="1"/>
  <c r="E14234" i="1"/>
  <c r="E14235" i="1"/>
  <c r="E14236" i="1"/>
  <c r="E14237" i="1"/>
  <c r="E14238" i="1"/>
  <c r="E14239" i="1"/>
  <c r="E14240" i="1"/>
  <c r="E14241" i="1"/>
  <c r="E14242" i="1"/>
  <c r="E14243" i="1"/>
  <c r="E14244" i="1"/>
  <c r="E14245" i="1"/>
  <c r="E14246" i="1"/>
  <c r="E14247" i="1"/>
  <c r="E14248" i="1"/>
  <c r="E14249" i="1"/>
  <c r="E14250" i="1"/>
  <c r="E14251" i="1"/>
  <c r="E14252" i="1"/>
  <c r="E14253" i="1"/>
  <c r="E14254" i="1"/>
  <c r="E14255" i="1"/>
  <c r="E14256" i="1"/>
  <c r="E14257" i="1"/>
  <c r="E14258" i="1"/>
  <c r="E14259" i="1"/>
  <c r="E14260" i="1"/>
  <c r="E14261" i="1"/>
  <c r="E14262" i="1"/>
  <c r="E14263" i="1"/>
  <c r="E14264" i="1"/>
  <c r="E14265" i="1"/>
  <c r="E14266" i="1"/>
  <c r="E14267" i="1"/>
  <c r="E14268" i="1"/>
  <c r="E14269" i="1"/>
  <c r="E14270" i="1"/>
  <c r="E14271" i="1"/>
  <c r="E14272" i="1"/>
  <c r="E14273" i="1"/>
  <c r="E14274" i="1"/>
  <c r="E14275" i="1"/>
  <c r="E14276" i="1"/>
  <c r="E14277" i="1"/>
  <c r="E14278" i="1"/>
  <c r="E14279" i="1"/>
  <c r="E14280" i="1"/>
  <c r="E14281" i="1"/>
  <c r="E14282" i="1"/>
  <c r="E14283" i="1"/>
  <c r="E14284" i="1"/>
  <c r="E14285" i="1"/>
  <c r="E14286" i="1"/>
  <c r="E14287" i="1"/>
  <c r="E14288" i="1"/>
  <c r="E14289" i="1"/>
  <c r="E14290" i="1"/>
  <c r="E14291" i="1"/>
  <c r="E14292" i="1"/>
  <c r="E14293" i="1"/>
  <c r="E14294" i="1"/>
  <c r="E14295" i="1"/>
  <c r="E14296" i="1"/>
  <c r="E14297" i="1"/>
  <c r="E14298" i="1"/>
  <c r="E14299" i="1"/>
  <c r="E14300" i="1"/>
  <c r="E14301" i="1"/>
  <c r="E14302" i="1"/>
  <c r="E14303" i="1"/>
  <c r="E14304" i="1"/>
  <c r="E14305" i="1"/>
  <c r="E14306" i="1"/>
  <c r="E14307" i="1"/>
  <c r="E14308" i="1"/>
  <c r="E14309" i="1"/>
  <c r="E14310" i="1"/>
  <c r="E14311" i="1"/>
  <c r="E14312" i="1"/>
  <c r="E14313" i="1"/>
  <c r="E14314" i="1"/>
  <c r="E14315" i="1"/>
  <c r="E14316" i="1"/>
  <c r="E14317" i="1"/>
  <c r="E14318" i="1"/>
  <c r="E14319" i="1"/>
  <c r="E14320" i="1"/>
  <c r="E14321" i="1"/>
  <c r="E14322" i="1"/>
  <c r="E14323" i="1"/>
  <c r="E14324" i="1"/>
  <c r="E14325" i="1"/>
  <c r="E14326" i="1"/>
  <c r="E14327" i="1"/>
  <c r="E14328" i="1"/>
  <c r="E14329" i="1"/>
  <c r="E14330" i="1"/>
  <c r="E14331" i="1"/>
  <c r="E14332" i="1"/>
  <c r="E14333" i="1"/>
  <c r="E14334" i="1"/>
  <c r="E14335" i="1"/>
  <c r="E14336" i="1"/>
  <c r="E14337" i="1"/>
  <c r="E14338" i="1"/>
  <c r="E14339" i="1"/>
  <c r="E14340" i="1"/>
  <c r="E14341" i="1"/>
  <c r="E14342" i="1"/>
  <c r="E14343" i="1"/>
  <c r="E14344" i="1"/>
  <c r="E14345" i="1"/>
  <c r="E14346" i="1"/>
  <c r="E14347" i="1"/>
  <c r="E14348" i="1"/>
  <c r="E14349" i="1"/>
  <c r="E14350" i="1"/>
  <c r="E14351" i="1"/>
  <c r="E14352" i="1"/>
  <c r="E14353" i="1"/>
  <c r="E14354" i="1"/>
  <c r="E14355" i="1"/>
  <c r="E14356" i="1"/>
  <c r="E14357" i="1"/>
  <c r="E14358" i="1"/>
  <c r="E14359" i="1"/>
  <c r="E14360" i="1"/>
  <c r="E14361" i="1"/>
  <c r="E14362" i="1"/>
  <c r="E14363" i="1"/>
  <c r="E14364" i="1"/>
  <c r="E14365" i="1"/>
  <c r="E14366" i="1"/>
  <c r="E14367" i="1"/>
  <c r="E14368" i="1"/>
  <c r="E14369" i="1"/>
  <c r="E14370" i="1"/>
  <c r="E14371" i="1"/>
  <c r="E14372" i="1"/>
  <c r="E14373" i="1"/>
  <c r="E14374" i="1"/>
  <c r="E14375" i="1"/>
  <c r="E14376" i="1"/>
  <c r="E14377" i="1"/>
  <c r="E14378" i="1"/>
  <c r="E14379" i="1"/>
  <c r="E14380" i="1"/>
  <c r="E14381" i="1"/>
  <c r="E14382" i="1"/>
  <c r="E14383" i="1"/>
  <c r="E14384" i="1"/>
  <c r="E14385" i="1"/>
  <c r="E14386" i="1"/>
  <c r="E14387" i="1"/>
  <c r="E14388" i="1"/>
  <c r="E14389" i="1"/>
  <c r="E14390" i="1"/>
  <c r="E14391" i="1"/>
  <c r="E14392" i="1"/>
  <c r="E14393" i="1"/>
  <c r="E14394" i="1"/>
  <c r="E14395" i="1"/>
  <c r="E14396" i="1"/>
  <c r="E14397" i="1"/>
  <c r="E14398" i="1"/>
  <c r="E14399" i="1"/>
  <c r="E14400" i="1"/>
  <c r="E14401" i="1"/>
  <c r="E14402" i="1"/>
  <c r="E14403" i="1"/>
  <c r="E14404" i="1"/>
  <c r="E14405" i="1"/>
  <c r="E14406" i="1"/>
  <c r="E14407" i="1"/>
  <c r="E14408" i="1"/>
  <c r="E14409" i="1"/>
  <c r="E14410" i="1"/>
  <c r="E14411" i="1"/>
  <c r="E14412" i="1"/>
  <c r="E14413" i="1"/>
  <c r="E14414" i="1"/>
  <c r="E14415" i="1"/>
  <c r="E14416" i="1"/>
  <c r="E14417" i="1"/>
  <c r="E14418" i="1"/>
  <c r="E14419" i="1"/>
  <c r="E14420" i="1"/>
  <c r="E14421" i="1"/>
  <c r="E14422" i="1"/>
  <c r="E14423" i="1"/>
  <c r="E14424" i="1"/>
  <c r="E14425" i="1"/>
  <c r="E14426" i="1"/>
  <c r="E14427" i="1"/>
  <c r="E14428" i="1"/>
  <c r="E14429" i="1"/>
  <c r="E14430" i="1"/>
  <c r="E14431" i="1"/>
  <c r="E14432" i="1"/>
  <c r="E14433" i="1"/>
  <c r="E14434" i="1"/>
  <c r="E14435" i="1"/>
  <c r="E14436" i="1"/>
  <c r="E14437" i="1"/>
  <c r="E14438" i="1"/>
  <c r="E14439" i="1"/>
  <c r="E14440" i="1"/>
  <c r="E14441" i="1"/>
  <c r="E14442" i="1"/>
  <c r="E14443" i="1"/>
  <c r="E14444" i="1"/>
  <c r="E14445" i="1"/>
  <c r="E14446" i="1"/>
  <c r="E14447" i="1"/>
  <c r="E14448" i="1"/>
  <c r="E14449" i="1"/>
  <c r="E14450" i="1"/>
  <c r="E14451" i="1"/>
  <c r="E14452" i="1"/>
  <c r="E14453" i="1"/>
  <c r="E14454" i="1"/>
  <c r="E14455" i="1"/>
  <c r="E14456" i="1"/>
  <c r="E14457" i="1"/>
  <c r="E14458" i="1"/>
  <c r="E14459" i="1"/>
  <c r="E14460" i="1"/>
  <c r="E14461" i="1"/>
  <c r="E14462" i="1"/>
  <c r="E14463" i="1"/>
  <c r="E14464" i="1"/>
  <c r="E14465" i="1"/>
  <c r="E14466" i="1"/>
  <c r="E14467" i="1"/>
  <c r="E14468" i="1"/>
  <c r="E14469" i="1"/>
  <c r="E14470" i="1"/>
  <c r="E14471" i="1"/>
  <c r="E14472" i="1"/>
  <c r="E14473" i="1"/>
  <c r="E14474" i="1"/>
  <c r="E14475" i="1"/>
  <c r="E14476" i="1"/>
  <c r="E14477" i="1"/>
  <c r="E14478" i="1"/>
  <c r="E14479" i="1"/>
  <c r="E14480" i="1"/>
  <c r="E14481" i="1"/>
  <c r="E14482" i="1"/>
  <c r="E14483" i="1"/>
  <c r="E14484" i="1"/>
  <c r="E14485" i="1"/>
  <c r="E14486" i="1"/>
  <c r="E14487" i="1"/>
  <c r="E14488" i="1"/>
  <c r="E14489" i="1"/>
  <c r="E14490" i="1"/>
  <c r="E14491" i="1"/>
  <c r="E14492" i="1"/>
  <c r="E14493" i="1"/>
  <c r="E14494" i="1"/>
  <c r="E14495" i="1"/>
  <c r="E14496" i="1"/>
  <c r="E14497" i="1"/>
  <c r="E14498" i="1"/>
  <c r="E14499" i="1"/>
  <c r="E14500" i="1"/>
  <c r="E14501" i="1"/>
  <c r="E14502" i="1"/>
  <c r="E14503" i="1"/>
  <c r="E14504" i="1"/>
  <c r="E14505" i="1"/>
  <c r="E14506" i="1"/>
  <c r="E14507" i="1"/>
  <c r="E14508" i="1"/>
  <c r="E14509" i="1"/>
  <c r="E14510" i="1"/>
  <c r="E14511" i="1"/>
  <c r="E14512" i="1"/>
  <c r="E14513" i="1"/>
  <c r="E14514" i="1"/>
  <c r="E14515" i="1"/>
  <c r="E14516" i="1"/>
  <c r="E14517" i="1"/>
  <c r="E14518" i="1"/>
  <c r="E14519" i="1"/>
  <c r="E14520" i="1"/>
  <c r="E14521" i="1"/>
  <c r="E14522" i="1"/>
  <c r="E14523" i="1"/>
  <c r="E14524" i="1"/>
  <c r="E14525" i="1"/>
  <c r="E14526" i="1"/>
  <c r="E14527" i="1"/>
  <c r="E14528" i="1"/>
  <c r="E14529" i="1"/>
  <c r="E14530" i="1"/>
  <c r="E14531" i="1"/>
  <c r="E14532" i="1"/>
  <c r="E14533" i="1"/>
  <c r="E14534" i="1"/>
  <c r="E14535" i="1"/>
  <c r="E14536" i="1"/>
  <c r="E14537" i="1"/>
  <c r="E14538" i="1"/>
  <c r="E14539" i="1"/>
  <c r="E14540" i="1"/>
  <c r="E14541" i="1"/>
  <c r="E14542" i="1"/>
  <c r="E14543" i="1"/>
  <c r="E14544" i="1"/>
  <c r="E14545" i="1"/>
  <c r="E14546" i="1"/>
  <c r="E14547" i="1"/>
  <c r="E14548" i="1"/>
  <c r="E14549" i="1"/>
  <c r="E14550" i="1"/>
  <c r="E14551" i="1"/>
  <c r="E14552" i="1"/>
  <c r="E14553" i="1"/>
  <c r="E14554" i="1"/>
  <c r="E14555" i="1"/>
  <c r="E14556" i="1"/>
  <c r="E14557" i="1"/>
  <c r="E14558" i="1"/>
  <c r="E14559" i="1"/>
  <c r="E14560" i="1"/>
  <c r="E14561" i="1"/>
  <c r="E14562" i="1"/>
  <c r="E14563" i="1"/>
  <c r="E14564" i="1"/>
  <c r="E14565" i="1"/>
  <c r="E14566" i="1"/>
  <c r="E14567" i="1"/>
  <c r="E14568" i="1"/>
  <c r="E14569" i="1"/>
  <c r="E14570" i="1"/>
  <c r="E14571" i="1"/>
  <c r="E14572" i="1"/>
  <c r="E14573" i="1"/>
  <c r="E14574" i="1"/>
  <c r="E14575" i="1"/>
  <c r="E14576" i="1"/>
  <c r="E14577" i="1"/>
  <c r="E14578" i="1"/>
  <c r="E14579" i="1"/>
  <c r="E14580" i="1"/>
  <c r="E14581" i="1"/>
  <c r="E14582" i="1"/>
  <c r="E14583" i="1"/>
  <c r="E14584" i="1"/>
  <c r="E14585" i="1"/>
  <c r="E14586" i="1"/>
  <c r="E14587" i="1"/>
  <c r="E14588" i="1"/>
  <c r="E14589" i="1"/>
  <c r="E14590" i="1"/>
  <c r="E14591" i="1"/>
  <c r="E14592" i="1"/>
  <c r="E14593" i="1"/>
  <c r="E14594" i="1"/>
  <c r="E14595" i="1"/>
  <c r="E14596" i="1"/>
  <c r="E14597" i="1"/>
  <c r="E14598" i="1"/>
  <c r="E14599" i="1"/>
  <c r="E14600" i="1"/>
  <c r="E14601" i="1"/>
  <c r="E14602" i="1"/>
  <c r="E14603" i="1"/>
  <c r="E14604" i="1"/>
  <c r="E14605" i="1"/>
  <c r="E14606" i="1"/>
  <c r="E14607" i="1"/>
  <c r="E14608" i="1"/>
  <c r="E14609" i="1"/>
  <c r="E14610" i="1"/>
  <c r="E14611" i="1"/>
  <c r="E14612" i="1"/>
  <c r="E14613" i="1"/>
  <c r="E14614" i="1"/>
  <c r="E14615" i="1"/>
  <c r="E14616" i="1"/>
  <c r="E14617" i="1"/>
  <c r="E14618" i="1"/>
  <c r="E14619" i="1"/>
  <c r="E14620" i="1"/>
  <c r="E14621" i="1"/>
  <c r="E14622" i="1"/>
  <c r="E14623" i="1"/>
  <c r="E14624" i="1"/>
  <c r="E14625" i="1"/>
  <c r="E14626" i="1"/>
  <c r="E14627" i="1"/>
  <c r="E14628" i="1"/>
  <c r="E14629" i="1"/>
  <c r="E14630" i="1"/>
  <c r="E14631" i="1"/>
  <c r="E14632" i="1"/>
  <c r="E14633" i="1"/>
  <c r="E14634" i="1"/>
  <c r="E14635" i="1"/>
  <c r="E14636" i="1"/>
  <c r="E14637" i="1"/>
  <c r="E14638" i="1"/>
  <c r="E14639" i="1"/>
  <c r="E14640" i="1"/>
  <c r="E14641" i="1"/>
  <c r="E14642" i="1"/>
  <c r="E14643" i="1"/>
  <c r="E14644" i="1"/>
  <c r="E14645" i="1"/>
  <c r="E14646" i="1"/>
  <c r="E14647" i="1"/>
  <c r="E14648" i="1"/>
  <c r="E14649" i="1"/>
  <c r="E14650" i="1"/>
  <c r="E14651" i="1"/>
  <c r="E14652" i="1"/>
  <c r="E14653" i="1"/>
  <c r="E14654" i="1"/>
  <c r="E14655" i="1"/>
  <c r="E14656" i="1"/>
  <c r="E14657" i="1"/>
  <c r="E14658" i="1"/>
  <c r="E14659" i="1"/>
  <c r="E14660" i="1"/>
  <c r="E14661" i="1"/>
  <c r="E14662" i="1"/>
  <c r="E14663" i="1"/>
  <c r="E14664" i="1"/>
  <c r="E14665" i="1"/>
  <c r="E14666" i="1"/>
  <c r="E14667" i="1"/>
  <c r="E14668" i="1"/>
  <c r="E14669" i="1"/>
  <c r="E14670" i="1"/>
  <c r="E14671" i="1"/>
  <c r="E14672" i="1"/>
  <c r="E14673" i="1"/>
  <c r="E14674" i="1"/>
  <c r="E14675" i="1"/>
  <c r="E14676" i="1"/>
  <c r="E14677" i="1"/>
  <c r="E14678" i="1"/>
  <c r="E14679" i="1"/>
  <c r="E14680" i="1"/>
  <c r="E14681" i="1"/>
  <c r="E14682" i="1"/>
  <c r="E14683" i="1"/>
  <c r="E14684" i="1"/>
  <c r="E14685" i="1"/>
  <c r="E14686" i="1"/>
  <c r="E14687" i="1"/>
  <c r="E14688" i="1"/>
  <c r="E14689" i="1"/>
  <c r="E14690" i="1"/>
  <c r="E14691" i="1"/>
  <c r="E14692" i="1"/>
  <c r="E14693" i="1"/>
  <c r="E14694" i="1"/>
  <c r="E14695" i="1"/>
  <c r="E14696" i="1"/>
  <c r="E14697" i="1"/>
  <c r="E14698" i="1"/>
  <c r="E14699" i="1"/>
  <c r="E14700" i="1"/>
  <c r="E14701" i="1"/>
  <c r="E14702" i="1"/>
  <c r="E14703" i="1"/>
  <c r="E14704" i="1"/>
  <c r="E14705" i="1"/>
  <c r="E14706" i="1"/>
  <c r="E14707" i="1"/>
  <c r="E14708" i="1"/>
  <c r="E14709" i="1"/>
  <c r="E14710" i="1"/>
  <c r="E14711" i="1"/>
  <c r="E14712" i="1"/>
  <c r="E14713" i="1"/>
  <c r="E14714" i="1"/>
  <c r="E14715" i="1"/>
  <c r="E14716" i="1"/>
  <c r="E14717" i="1"/>
  <c r="E14718" i="1"/>
  <c r="E14719" i="1"/>
  <c r="E14720" i="1"/>
  <c r="E14721" i="1"/>
  <c r="E14722" i="1"/>
  <c r="E14723" i="1"/>
  <c r="E14724" i="1"/>
  <c r="E14725" i="1"/>
  <c r="E14726" i="1"/>
  <c r="E14727" i="1"/>
  <c r="E14728" i="1"/>
  <c r="E14729" i="1"/>
  <c r="E14730" i="1"/>
  <c r="E14731" i="1"/>
  <c r="E14732" i="1"/>
  <c r="E14733" i="1"/>
  <c r="E14734" i="1"/>
  <c r="E14735" i="1"/>
  <c r="E14736" i="1"/>
  <c r="E14737" i="1"/>
  <c r="E14738" i="1"/>
  <c r="E14739" i="1"/>
  <c r="E14740" i="1"/>
  <c r="E14741" i="1"/>
  <c r="E14742" i="1"/>
  <c r="E14743" i="1"/>
  <c r="E14744" i="1"/>
  <c r="E14745" i="1"/>
  <c r="E14746" i="1"/>
  <c r="E14747" i="1"/>
  <c r="E14748" i="1"/>
  <c r="E14749" i="1"/>
  <c r="E14750" i="1"/>
  <c r="E14751" i="1"/>
  <c r="E14752" i="1"/>
  <c r="E14753" i="1"/>
  <c r="E14754" i="1"/>
  <c r="E14755" i="1"/>
  <c r="E14756" i="1"/>
  <c r="E14757" i="1"/>
  <c r="E14758" i="1"/>
  <c r="E14759" i="1"/>
  <c r="E14760" i="1"/>
  <c r="E14761" i="1"/>
  <c r="E14762" i="1"/>
  <c r="E14763" i="1"/>
  <c r="E14764" i="1"/>
  <c r="E14765" i="1"/>
  <c r="E14766" i="1"/>
  <c r="E14767" i="1"/>
  <c r="E14768" i="1"/>
  <c r="E14769" i="1"/>
  <c r="E14770" i="1"/>
  <c r="E14771" i="1"/>
  <c r="E14772" i="1"/>
  <c r="E14773" i="1"/>
  <c r="E14774" i="1"/>
  <c r="E14775" i="1"/>
  <c r="E14776" i="1"/>
  <c r="E14777" i="1"/>
  <c r="E14778" i="1"/>
  <c r="E14779" i="1"/>
  <c r="E14780" i="1"/>
  <c r="E14781" i="1"/>
  <c r="E14782" i="1"/>
  <c r="E14783" i="1"/>
  <c r="E14784" i="1"/>
  <c r="E14785" i="1"/>
  <c r="E14786" i="1"/>
  <c r="E14787" i="1"/>
  <c r="E14788" i="1"/>
  <c r="E14789" i="1"/>
  <c r="E14790" i="1"/>
  <c r="E14791" i="1"/>
  <c r="E14792" i="1"/>
  <c r="E14793" i="1"/>
  <c r="E14794" i="1"/>
  <c r="E14795" i="1"/>
  <c r="E14796" i="1"/>
  <c r="E14797" i="1"/>
  <c r="E14798" i="1"/>
  <c r="E14799" i="1"/>
  <c r="E14800" i="1"/>
  <c r="E14801" i="1"/>
  <c r="E14802" i="1"/>
  <c r="E14803" i="1"/>
  <c r="E14804" i="1"/>
  <c r="E14805" i="1"/>
  <c r="E14806" i="1"/>
  <c r="E14807" i="1"/>
  <c r="E14808" i="1"/>
  <c r="E14809" i="1"/>
  <c r="E14810" i="1"/>
  <c r="E14811" i="1"/>
  <c r="E14812" i="1"/>
  <c r="E14813" i="1"/>
  <c r="E14814" i="1"/>
  <c r="E14815" i="1"/>
  <c r="E14816" i="1"/>
  <c r="E14817" i="1"/>
  <c r="E14818" i="1"/>
  <c r="E14819" i="1"/>
  <c r="E14820" i="1"/>
  <c r="E14821" i="1"/>
  <c r="E14822" i="1"/>
  <c r="E14823" i="1"/>
  <c r="E14824" i="1"/>
  <c r="E14825" i="1"/>
  <c r="E14826" i="1"/>
  <c r="E14827" i="1"/>
  <c r="E14828" i="1"/>
  <c r="E14829" i="1"/>
  <c r="E14830" i="1"/>
  <c r="E14831" i="1"/>
  <c r="E14832" i="1"/>
  <c r="E14833" i="1"/>
  <c r="E14834" i="1"/>
  <c r="E14835" i="1"/>
  <c r="E14836" i="1"/>
  <c r="E14837" i="1"/>
  <c r="E14838" i="1"/>
  <c r="E14839" i="1"/>
  <c r="E14840" i="1"/>
  <c r="E14841" i="1"/>
  <c r="E14842" i="1"/>
  <c r="E14843" i="1"/>
  <c r="E14844" i="1"/>
  <c r="E14845" i="1"/>
  <c r="E14846" i="1"/>
  <c r="E14847" i="1"/>
  <c r="E14848" i="1"/>
  <c r="E14849" i="1"/>
  <c r="E14850" i="1"/>
  <c r="E14851" i="1"/>
  <c r="E14852" i="1"/>
  <c r="E14853" i="1"/>
  <c r="E14854" i="1"/>
  <c r="E14855" i="1"/>
  <c r="E14856" i="1"/>
  <c r="E14857" i="1"/>
  <c r="E14858" i="1"/>
  <c r="E14859" i="1"/>
  <c r="E14860" i="1"/>
  <c r="E14861" i="1"/>
  <c r="E14862" i="1"/>
  <c r="E14863" i="1"/>
  <c r="E14864" i="1"/>
  <c r="E14865" i="1"/>
  <c r="E14866" i="1"/>
  <c r="E14867" i="1"/>
  <c r="E14868" i="1"/>
  <c r="E14869" i="1"/>
  <c r="E14870" i="1"/>
  <c r="E14871" i="1"/>
  <c r="E14872" i="1"/>
  <c r="E14873" i="1"/>
  <c r="E14874" i="1"/>
  <c r="E14875" i="1"/>
  <c r="E14876" i="1"/>
  <c r="E14877" i="1"/>
  <c r="E14878" i="1"/>
  <c r="E14879" i="1"/>
  <c r="E14880" i="1"/>
  <c r="E14881" i="1"/>
  <c r="E14882" i="1"/>
  <c r="E14883" i="1"/>
  <c r="E14884" i="1"/>
  <c r="E14885" i="1"/>
  <c r="E14886" i="1"/>
  <c r="E14887" i="1"/>
  <c r="E14888" i="1"/>
  <c r="E14889" i="1"/>
  <c r="E14890" i="1"/>
  <c r="E14891" i="1"/>
  <c r="E14892" i="1"/>
  <c r="E14893" i="1"/>
  <c r="E14894" i="1"/>
  <c r="E14895" i="1"/>
  <c r="E14896" i="1"/>
  <c r="E14897" i="1"/>
  <c r="E14898" i="1"/>
  <c r="E14899" i="1"/>
  <c r="E14900" i="1"/>
  <c r="E14901" i="1"/>
  <c r="E14902" i="1"/>
  <c r="E14903" i="1"/>
  <c r="E14904" i="1"/>
  <c r="E14905" i="1"/>
  <c r="E14906" i="1"/>
  <c r="E14907" i="1"/>
  <c r="E14908" i="1"/>
  <c r="E14909" i="1"/>
  <c r="E14910" i="1"/>
  <c r="E14911" i="1"/>
  <c r="E14912" i="1"/>
  <c r="E14913" i="1"/>
  <c r="E14914" i="1"/>
  <c r="E14915" i="1"/>
  <c r="E14916" i="1"/>
  <c r="E14917" i="1"/>
  <c r="E14918" i="1"/>
  <c r="E14919" i="1"/>
  <c r="E14920" i="1"/>
  <c r="E14921" i="1"/>
  <c r="E14922" i="1"/>
  <c r="E14923" i="1"/>
  <c r="E14924" i="1"/>
  <c r="E14925" i="1"/>
  <c r="E14926" i="1"/>
  <c r="E14927" i="1"/>
  <c r="E14928" i="1"/>
  <c r="E14929" i="1"/>
  <c r="E14930" i="1"/>
  <c r="E14931" i="1"/>
  <c r="E14932" i="1"/>
  <c r="E14933" i="1"/>
  <c r="E14934" i="1"/>
  <c r="E14935" i="1"/>
  <c r="E14936" i="1"/>
  <c r="E14937" i="1"/>
  <c r="E14938" i="1"/>
  <c r="E14939" i="1"/>
  <c r="E14940" i="1"/>
  <c r="E14941" i="1"/>
  <c r="E14942" i="1"/>
  <c r="E14943" i="1"/>
  <c r="E14944" i="1"/>
  <c r="E14945" i="1"/>
  <c r="E14946" i="1"/>
  <c r="E14947" i="1"/>
  <c r="E14948" i="1"/>
  <c r="E14949" i="1"/>
  <c r="E14950" i="1"/>
  <c r="E14951" i="1"/>
  <c r="E13864"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728"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592"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456"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320"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184"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048" i="1"/>
  <c r="E12777" i="1"/>
  <c r="E12778" i="1"/>
  <c r="E12779" i="1"/>
  <c r="E12780" i="1"/>
  <c r="E12781" i="1"/>
  <c r="E12782" i="1"/>
  <c r="E12783" i="1"/>
  <c r="E12784" i="1"/>
  <c r="E12785" i="1"/>
  <c r="E12786" i="1"/>
  <c r="E12787" i="1"/>
  <c r="E12788" i="1"/>
  <c r="E12789" i="1"/>
  <c r="E12790" i="1"/>
  <c r="E12791" i="1"/>
  <c r="E12792" i="1"/>
  <c r="E12793" i="1"/>
  <c r="E12794" i="1"/>
  <c r="E12795" i="1"/>
  <c r="E12796" i="1"/>
  <c r="E12797" i="1"/>
  <c r="E12798" i="1"/>
  <c r="E12799" i="1"/>
  <c r="E12800" i="1"/>
  <c r="E12801" i="1"/>
  <c r="E12802" i="1"/>
  <c r="E12803" i="1"/>
  <c r="E12804" i="1"/>
  <c r="E12805" i="1"/>
  <c r="E12806" i="1"/>
  <c r="E12807" i="1"/>
  <c r="E12808" i="1"/>
  <c r="E12809" i="1"/>
  <c r="E12810" i="1"/>
  <c r="E12811" i="1"/>
  <c r="E12812" i="1"/>
  <c r="E12813" i="1"/>
  <c r="E12814" i="1"/>
  <c r="E12815" i="1"/>
  <c r="E12816" i="1"/>
  <c r="E12817" i="1"/>
  <c r="E12818" i="1"/>
  <c r="E12819" i="1"/>
  <c r="E12820" i="1"/>
  <c r="E12821" i="1"/>
  <c r="E12822" i="1"/>
  <c r="E12823" i="1"/>
  <c r="E12824" i="1"/>
  <c r="E12825" i="1"/>
  <c r="E12826" i="1"/>
  <c r="E12827" i="1"/>
  <c r="E12828" i="1"/>
  <c r="E12829" i="1"/>
  <c r="E12830" i="1"/>
  <c r="E12831" i="1"/>
  <c r="E12832" i="1"/>
  <c r="E12833" i="1"/>
  <c r="E12834" i="1"/>
  <c r="E12835" i="1"/>
  <c r="E12836" i="1"/>
  <c r="E12837" i="1"/>
  <c r="E12838" i="1"/>
  <c r="E12839" i="1"/>
  <c r="E12840" i="1"/>
  <c r="E12841" i="1"/>
  <c r="E12842" i="1"/>
  <c r="E12843" i="1"/>
  <c r="E12844" i="1"/>
  <c r="E12845" i="1"/>
  <c r="E12846" i="1"/>
  <c r="E12847" i="1"/>
  <c r="E12848" i="1"/>
  <c r="E12849" i="1"/>
  <c r="E12850" i="1"/>
  <c r="E12851" i="1"/>
  <c r="E12852" i="1"/>
  <c r="E12853" i="1"/>
  <c r="E12854" i="1"/>
  <c r="E12855" i="1"/>
  <c r="E12856" i="1"/>
  <c r="E12857" i="1"/>
  <c r="E12858" i="1"/>
  <c r="E12859" i="1"/>
  <c r="E12860" i="1"/>
  <c r="E12861" i="1"/>
  <c r="E12862" i="1"/>
  <c r="E12863" i="1"/>
  <c r="E12864" i="1"/>
  <c r="E12865" i="1"/>
  <c r="E12866" i="1"/>
  <c r="E12867" i="1"/>
  <c r="E12868" i="1"/>
  <c r="E12869" i="1"/>
  <c r="E12870" i="1"/>
  <c r="E12871" i="1"/>
  <c r="E12872" i="1"/>
  <c r="E12873" i="1"/>
  <c r="E12874" i="1"/>
  <c r="E12875" i="1"/>
  <c r="E12876" i="1"/>
  <c r="E12877" i="1"/>
  <c r="E12878" i="1"/>
  <c r="E12879" i="1"/>
  <c r="E12880" i="1"/>
  <c r="E12881" i="1"/>
  <c r="E12882" i="1"/>
  <c r="E12883" i="1"/>
  <c r="E12884" i="1"/>
  <c r="E12885" i="1"/>
  <c r="E12886" i="1"/>
  <c r="E12887" i="1"/>
  <c r="E12888" i="1"/>
  <c r="E12889" i="1"/>
  <c r="E12890" i="1"/>
  <c r="E12891" i="1"/>
  <c r="E12892" i="1"/>
  <c r="E12893" i="1"/>
  <c r="E12894" i="1"/>
  <c r="E12895" i="1"/>
  <c r="E12896" i="1"/>
  <c r="E12897" i="1"/>
  <c r="E12898" i="1"/>
  <c r="E12899" i="1"/>
  <c r="E12900" i="1"/>
  <c r="E12901" i="1"/>
  <c r="E12902" i="1"/>
  <c r="E12903" i="1"/>
  <c r="E12904" i="1"/>
  <c r="E12905" i="1"/>
  <c r="E12906" i="1"/>
  <c r="E12907" i="1"/>
  <c r="E12908" i="1"/>
  <c r="E12909" i="1"/>
  <c r="E12910" i="1"/>
  <c r="E12911" i="1"/>
  <c r="E12912" i="1"/>
  <c r="E12913" i="1"/>
  <c r="E12914" i="1"/>
  <c r="E12915" i="1"/>
  <c r="E12916" i="1"/>
  <c r="E12917" i="1"/>
  <c r="E12918" i="1"/>
  <c r="E12919" i="1"/>
  <c r="E12920" i="1"/>
  <c r="E12921" i="1"/>
  <c r="E12922" i="1"/>
  <c r="E12923" i="1"/>
  <c r="E12924" i="1"/>
  <c r="E12925" i="1"/>
  <c r="E12926" i="1"/>
  <c r="E12927" i="1"/>
  <c r="E12928" i="1"/>
  <c r="E12929" i="1"/>
  <c r="E12930" i="1"/>
  <c r="E12931" i="1"/>
  <c r="E12932" i="1"/>
  <c r="E12933" i="1"/>
  <c r="E12934" i="1"/>
  <c r="E12935" i="1"/>
  <c r="E12936" i="1"/>
  <c r="E12937" i="1"/>
  <c r="E12938" i="1"/>
  <c r="E12939" i="1"/>
  <c r="E12940" i="1"/>
  <c r="E12941" i="1"/>
  <c r="E12942" i="1"/>
  <c r="E12943" i="1"/>
  <c r="E12944" i="1"/>
  <c r="E12945" i="1"/>
  <c r="E12946" i="1"/>
  <c r="E12947" i="1"/>
  <c r="E12948" i="1"/>
  <c r="E12949" i="1"/>
  <c r="E12950" i="1"/>
  <c r="E12951" i="1"/>
  <c r="E12952" i="1"/>
  <c r="E12953" i="1"/>
  <c r="E12954" i="1"/>
  <c r="E12955" i="1"/>
  <c r="E12956" i="1"/>
  <c r="E12957" i="1"/>
  <c r="E12958" i="1"/>
  <c r="E12959" i="1"/>
  <c r="E12960" i="1"/>
  <c r="E12961" i="1"/>
  <c r="E12962" i="1"/>
  <c r="E12963" i="1"/>
  <c r="E12964" i="1"/>
  <c r="E12965" i="1"/>
  <c r="E12966" i="1"/>
  <c r="E12967" i="1"/>
  <c r="E12968" i="1"/>
  <c r="E12969" i="1"/>
  <c r="E12970" i="1"/>
  <c r="E12971" i="1"/>
  <c r="E12972" i="1"/>
  <c r="E12973" i="1"/>
  <c r="E12974" i="1"/>
  <c r="E12975" i="1"/>
  <c r="E12976" i="1"/>
  <c r="E12977" i="1"/>
  <c r="E12978" i="1"/>
  <c r="E12979" i="1"/>
  <c r="E12980" i="1"/>
  <c r="E12981" i="1"/>
  <c r="E12982" i="1"/>
  <c r="E12983" i="1"/>
  <c r="E12984" i="1"/>
  <c r="E12985" i="1"/>
  <c r="E12986" i="1"/>
  <c r="E12987" i="1"/>
  <c r="E12988" i="1"/>
  <c r="E12989" i="1"/>
  <c r="E12990" i="1"/>
  <c r="E12991" i="1"/>
  <c r="E12992" i="1"/>
  <c r="E12993" i="1"/>
  <c r="E12994" i="1"/>
  <c r="E12995" i="1"/>
  <c r="E12996" i="1"/>
  <c r="E12997" i="1"/>
  <c r="E12998" i="1"/>
  <c r="E12999" i="1"/>
  <c r="E13000" i="1"/>
  <c r="E13001" i="1"/>
  <c r="E13002" i="1"/>
  <c r="E13003" i="1"/>
  <c r="E13004" i="1"/>
  <c r="E13005" i="1"/>
  <c r="E13006" i="1"/>
  <c r="E13007" i="1"/>
  <c r="E13008" i="1"/>
  <c r="E13009" i="1"/>
  <c r="E13010" i="1"/>
  <c r="E13011" i="1"/>
  <c r="E13012" i="1"/>
  <c r="E13013" i="1"/>
  <c r="E13014" i="1"/>
  <c r="E13015" i="1"/>
  <c r="E13016" i="1"/>
  <c r="E13017" i="1"/>
  <c r="E13018" i="1"/>
  <c r="E13019" i="1"/>
  <c r="E13020" i="1"/>
  <c r="E13021" i="1"/>
  <c r="E13022" i="1"/>
  <c r="E13023" i="1"/>
  <c r="E13024" i="1"/>
  <c r="E13025" i="1"/>
  <c r="E13026" i="1"/>
  <c r="E13027" i="1"/>
  <c r="E13028" i="1"/>
  <c r="E13029" i="1"/>
  <c r="E13030" i="1"/>
  <c r="E13031" i="1"/>
  <c r="E13032" i="1"/>
  <c r="E13033" i="1"/>
  <c r="E13034" i="1"/>
  <c r="E13035" i="1"/>
  <c r="E13036" i="1"/>
  <c r="E13037" i="1"/>
  <c r="E13038" i="1"/>
  <c r="E13039" i="1"/>
  <c r="E13040" i="1"/>
  <c r="E13041" i="1"/>
  <c r="E13042" i="1"/>
  <c r="E13043" i="1"/>
  <c r="E13044" i="1"/>
  <c r="E13045" i="1"/>
  <c r="E13046" i="1"/>
  <c r="E13047" i="1"/>
  <c r="E13048" i="1"/>
  <c r="E13049" i="1"/>
  <c r="E13050" i="1"/>
  <c r="E13051" i="1"/>
  <c r="E13052" i="1"/>
  <c r="E13053" i="1"/>
  <c r="E13054" i="1"/>
  <c r="E13055" i="1"/>
  <c r="E13056" i="1"/>
  <c r="E13057" i="1"/>
  <c r="E13058" i="1"/>
  <c r="E13059" i="1"/>
  <c r="E13060" i="1"/>
  <c r="E13061" i="1"/>
  <c r="E13062" i="1"/>
  <c r="E13063" i="1"/>
  <c r="E13064" i="1"/>
  <c r="E13065" i="1"/>
  <c r="E13066" i="1"/>
  <c r="E13067" i="1"/>
  <c r="E13068" i="1"/>
  <c r="E13069" i="1"/>
  <c r="E13070" i="1"/>
  <c r="E13071" i="1"/>
  <c r="E13072" i="1"/>
  <c r="E13073" i="1"/>
  <c r="E13074" i="1"/>
  <c r="E13075" i="1"/>
  <c r="E13076" i="1"/>
  <c r="E13077" i="1"/>
  <c r="E13078" i="1"/>
  <c r="E13079" i="1"/>
  <c r="E13080" i="1"/>
  <c r="E13081" i="1"/>
  <c r="E13082" i="1"/>
  <c r="E13083" i="1"/>
  <c r="E13084" i="1"/>
  <c r="E13085" i="1"/>
  <c r="E13086" i="1"/>
  <c r="E13087" i="1"/>
  <c r="E13088" i="1"/>
  <c r="E13089" i="1"/>
  <c r="E13090" i="1"/>
  <c r="E13091" i="1"/>
  <c r="E13092" i="1"/>
  <c r="E13093" i="1"/>
  <c r="E13094" i="1"/>
  <c r="E13095" i="1"/>
  <c r="E13096" i="1"/>
  <c r="E13097" i="1"/>
  <c r="E13098" i="1"/>
  <c r="E13099" i="1"/>
  <c r="E13100" i="1"/>
  <c r="E13101" i="1"/>
  <c r="E13102" i="1"/>
  <c r="E13103" i="1"/>
  <c r="E13104" i="1"/>
  <c r="E13105" i="1"/>
  <c r="E13106" i="1"/>
  <c r="E13107" i="1"/>
  <c r="E13108" i="1"/>
  <c r="E13109" i="1"/>
  <c r="E13110" i="1"/>
  <c r="E13111" i="1"/>
  <c r="E13112" i="1"/>
  <c r="E13113" i="1"/>
  <c r="E13114" i="1"/>
  <c r="E13115" i="1"/>
  <c r="E13116" i="1"/>
  <c r="E13117" i="1"/>
  <c r="E13118" i="1"/>
  <c r="E13119" i="1"/>
  <c r="E13120" i="1"/>
  <c r="E13121" i="1"/>
  <c r="E13122" i="1"/>
  <c r="E13123" i="1"/>
  <c r="E13124" i="1"/>
  <c r="E13125" i="1"/>
  <c r="E13126" i="1"/>
  <c r="E13127" i="1"/>
  <c r="E13128" i="1"/>
  <c r="E13129" i="1"/>
  <c r="E13130" i="1"/>
  <c r="E13131" i="1"/>
  <c r="E13132" i="1"/>
  <c r="E13133" i="1"/>
  <c r="E13134" i="1"/>
  <c r="E13135" i="1"/>
  <c r="E13136" i="1"/>
  <c r="E13137" i="1"/>
  <c r="E13138" i="1"/>
  <c r="E13139" i="1"/>
  <c r="E13140" i="1"/>
  <c r="E13141" i="1"/>
  <c r="E13142" i="1"/>
  <c r="E13143" i="1"/>
  <c r="E13144" i="1"/>
  <c r="E13145" i="1"/>
  <c r="E13146" i="1"/>
  <c r="E13147" i="1"/>
  <c r="E13148" i="1"/>
  <c r="E13149" i="1"/>
  <c r="E13150" i="1"/>
  <c r="E13151" i="1"/>
  <c r="E13152" i="1"/>
  <c r="E13153" i="1"/>
  <c r="E13154" i="1"/>
  <c r="E13155" i="1"/>
  <c r="E13156" i="1"/>
  <c r="E13157" i="1"/>
  <c r="E13158" i="1"/>
  <c r="E13159" i="1"/>
  <c r="E13160" i="1"/>
  <c r="E13161" i="1"/>
  <c r="E13162" i="1"/>
  <c r="E13163" i="1"/>
  <c r="E13164" i="1"/>
  <c r="E13165" i="1"/>
  <c r="E13166" i="1"/>
  <c r="E13167" i="1"/>
  <c r="E13168" i="1"/>
  <c r="E13169" i="1"/>
  <c r="E13170" i="1"/>
  <c r="E13171" i="1"/>
  <c r="E13172" i="1"/>
  <c r="E13173" i="1"/>
  <c r="E13174" i="1"/>
  <c r="E13175" i="1"/>
  <c r="E13176" i="1"/>
  <c r="E13177" i="1"/>
  <c r="E13178" i="1"/>
  <c r="E13179" i="1"/>
  <c r="E13180" i="1"/>
  <c r="E13181" i="1"/>
  <c r="E13182" i="1"/>
  <c r="E13183" i="1"/>
  <c r="E13184" i="1"/>
  <c r="E13185" i="1"/>
  <c r="E13186" i="1"/>
  <c r="E13187" i="1"/>
  <c r="E13188" i="1"/>
  <c r="E13189" i="1"/>
  <c r="E13190" i="1"/>
  <c r="E13191" i="1"/>
  <c r="E13192" i="1"/>
  <c r="E13193" i="1"/>
  <c r="E13194" i="1"/>
  <c r="E13195" i="1"/>
  <c r="E13196" i="1"/>
  <c r="E13197" i="1"/>
  <c r="E13198" i="1"/>
  <c r="E13199" i="1"/>
  <c r="E13200" i="1"/>
  <c r="E13201" i="1"/>
  <c r="E13202" i="1"/>
  <c r="E13203" i="1"/>
  <c r="E13204" i="1"/>
  <c r="E13205" i="1"/>
  <c r="E13206" i="1"/>
  <c r="E13207" i="1"/>
  <c r="E13208" i="1"/>
  <c r="E13209" i="1"/>
  <c r="E13210" i="1"/>
  <c r="E13211" i="1"/>
  <c r="E13212" i="1"/>
  <c r="E13213" i="1"/>
  <c r="E13214" i="1"/>
  <c r="E13215" i="1"/>
  <c r="E13216" i="1"/>
  <c r="E13217" i="1"/>
  <c r="E13218" i="1"/>
  <c r="E13219" i="1"/>
  <c r="E13220" i="1"/>
  <c r="E13221" i="1"/>
  <c r="E13222" i="1"/>
  <c r="E13223" i="1"/>
  <c r="E13224" i="1"/>
  <c r="E13225" i="1"/>
  <c r="E13226" i="1"/>
  <c r="E13227" i="1"/>
  <c r="E13228" i="1"/>
  <c r="E13229" i="1"/>
  <c r="E13230" i="1"/>
  <c r="E13231" i="1"/>
  <c r="E13232" i="1"/>
  <c r="E13233" i="1"/>
  <c r="E13234" i="1"/>
  <c r="E13235" i="1"/>
  <c r="E13236" i="1"/>
  <c r="E13237" i="1"/>
  <c r="E13238" i="1"/>
  <c r="E13239" i="1"/>
  <c r="E13240" i="1"/>
  <c r="E13241" i="1"/>
  <c r="E13242" i="1"/>
  <c r="E13243" i="1"/>
  <c r="E13244" i="1"/>
  <c r="E13245" i="1"/>
  <c r="E13246" i="1"/>
  <c r="E13247" i="1"/>
  <c r="E13248" i="1"/>
  <c r="E13249" i="1"/>
  <c r="E13250" i="1"/>
  <c r="E13251" i="1"/>
  <c r="E13252" i="1"/>
  <c r="E13253" i="1"/>
  <c r="E13254" i="1"/>
  <c r="E13255" i="1"/>
  <c r="E13256" i="1"/>
  <c r="E13257" i="1"/>
  <c r="E13258" i="1"/>
  <c r="E13259" i="1"/>
  <c r="E13260" i="1"/>
  <c r="E13261" i="1"/>
  <c r="E13262" i="1"/>
  <c r="E13263" i="1"/>
  <c r="E13264" i="1"/>
  <c r="E13265" i="1"/>
  <c r="E13266" i="1"/>
  <c r="E13267" i="1"/>
  <c r="E13268" i="1"/>
  <c r="E13269" i="1"/>
  <c r="E13270" i="1"/>
  <c r="E13271" i="1"/>
  <c r="E13272" i="1"/>
  <c r="E13273" i="1"/>
  <c r="E13274" i="1"/>
  <c r="E13275" i="1"/>
  <c r="E13276" i="1"/>
  <c r="E13277" i="1"/>
  <c r="E13278" i="1"/>
  <c r="E13279" i="1"/>
  <c r="E13280" i="1"/>
  <c r="E13281" i="1"/>
  <c r="E13282" i="1"/>
  <c r="E13283" i="1"/>
  <c r="E13284" i="1"/>
  <c r="E13285" i="1"/>
  <c r="E13286" i="1"/>
  <c r="E13287" i="1"/>
  <c r="E13288" i="1"/>
  <c r="E13289" i="1"/>
  <c r="E13290" i="1"/>
  <c r="E13291" i="1"/>
  <c r="E13292" i="1"/>
  <c r="E13293" i="1"/>
  <c r="E13294" i="1"/>
  <c r="E13295" i="1"/>
  <c r="E13296" i="1"/>
  <c r="E13297" i="1"/>
  <c r="E13298" i="1"/>
  <c r="E13299" i="1"/>
  <c r="E13300" i="1"/>
  <c r="E13301" i="1"/>
  <c r="E13302" i="1"/>
  <c r="E13303" i="1"/>
  <c r="E13304" i="1"/>
  <c r="E13305" i="1"/>
  <c r="E13306" i="1"/>
  <c r="E13307" i="1"/>
  <c r="E13308" i="1"/>
  <c r="E13309" i="1"/>
  <c r="E13310" i="1"/>
  <c r="E13311" i="1"/>
  <c r="E13312" i="1"/>
  <c r="E13313" i="1"/>
  <c r="E13314" i="1"/>
  <c r="E13315" i="1"/>
  <c r="E13316" i="1"/>
  <c r="E13317" i="1"/>
  <c r="E13318" i="1"/>
  <c r="E13319" i="1"/>
  <c r="E13320" i="1"/>
  <c r="E13321" i="1"/>
  <c r="E13322" i="1"/>
  <c r="E13323" i="1"/>
  <c r="E13324" i="1"/>
  <c r="E13325" i="1"/>
  <c r="E13326" i="1"/>
  <c r="E13327" i="1"/>
  <c r="E13328" i="1"/>
  <c r="E13329" i="1"/>
  <c r="E13330" i="1"/>
  <c r="E13331" i="1"/>
  <c r="E13332" i="1"/>
  <c r="E13333" i="1"/>
  <c r="E13334" i="1"/>
  <c r="E13335" i="1"/>
  <c r="E13336" i="1"/>
  <c r="E13337" i="1"/>
  <c r="E13338" i="1"/>
  <c r="E13339" i="1"/>
  <c r="E13340" i="1"/>
  <c r="E13341" i="1"/>
  <c r="E13342" i="1"/>
  <c r="E13343" i="1"/>
  <c r="E13344" i="1"/>
  <c r="E13345" i="1"/>
  <c r="E13346" i="1"/>
  <c r="E13347" i="1"/>
  <c r="E13348" i="1"/>
  <c r="E13349" i="1"/>
  <c r="E13350" i="1"/>
  <c r="E13351" i="1"/>
  <c r="E13352" i="1"/>
  <c r="E13353" i="1"/>
  <c r="E13354" i="1"/>
  <c r="E13355" i="1"/>
  <c r="E13356" i="1"/>
  <c r="E13357" i="1"/>
  <c r="E13358" i="1"/>
  <c r="E13359" i="1"/>
  <c r="E13360" i="1"/>
  <c r="E13361" i="1"/>
  <c r="E13362" i="1"/>
  <c r="E13363" i="1"/>
  <c r="E13364" i="1"/>
  <c r="E13365" i="1"/>
  <c r="E13366" i="1"/>
  <c r="E13367" i="1"/>
  <c r="E13368" i="1"/>
  <c r="E13369" i="1"/>
  <c r="E13370" i="1"/>
  <c r="E13371" i="1"/>
  <c r="E13372" i="1"/>
  <c r="E13373" i="1"/>
  <c r="E13374" i="1"/>
  <c r="E13375" i="1"/>
  <c r="E13376" i="1"/>
  <c r="E13377" i="1"/>
  <c r="E13378" i="1"/>
  <c r="E13379" i="1"/>
  <c r="E13380" i="1"/>
  <c r="E13381" i="1"/>
  <c r="E13382" i="1"/>
  <c r="E13383" i="1"/>
  <c r="E13384" i="1"/>
  <c r="E13385" i="1"/>
  <c r="E13386" i="1"/>
  <c r="E13387" i="1"/>
  <c r="E13388" i="1"/>
  <c r="E13389" i="1"/>
  <c r="E13390" i="1"/>
  <c r="E13391" i="1"/>
  <c r="E13392" i="1"/>
  <c r="E13393" i="1"/>
  <c r="E13394" i="1"/>
  <c r="E13395" i="1"/>
  <c r="E13396" i="1"/>
  <c r="E13397" i="1"/>
  <c r="E13398" i="1"/>
  <c r="E13399" i="1"/>
  <c r="E13400" i="1"/>
  <c r="E13401" i="1"/>
  <c r="E13402" i="1"/>
  <c r="E13403" i="1"/>
  <c r="E13404" i="1"/>
  <c r="E13405" i="1"/>
  <c r="E13406" i="1"/>
  <c r="E13407" i="1"/>
  <c r="E13408" i="1"/>
  <c r="E13409" i="1"/>
  <c r="E13410" i="1"/>
  <c r="E13411" i="1"/>
  <c r="E13412" i="1"/>
  <c r="E13413" i="1"/>
  <c r="E13414" i="1"/>
  <c r="E13415" i="1"/>
  <c r="E13416" i="1"/>
  <c r="E13417" i="1"/>
  <c r="E13418" i="1"/>
  <c r="E13419" i="1"/>
  <c r="E13420" i="1"/>
  <c r="E13421" i="1"/>
  <c r="E13422" i="1"/>
  <c r="E13423" i="1"/>
  <c r="E13424" i="1"/>
  <c r="E13425" i="1"/>
  <c r="E13426" i="1"/>
  <c r="E13427" i="1"/>
  <c r="E13428" i="1"/>
  <c r="E13429" i="1"/>
  <c r="E13430" i="1"/>
  <c r="E13431" i="1"/>
  <c r="E13432" i="1"/>
  <c r="E13433" i="1"/>
  <c r="E13434" i="1"/>
  <c r="E13435" i="1"/>
  <c r="E13436" i="1"/>
  <c r="E13437" i="1"/>
  <c r="E13438" i="1"/>
  <c r="E13439" i="1"/>
  <c r="E13440" i="1"/>
  <c r="E13441" i="1"/>
  <c r="E13442" i="1"/>
  <c r="E13443" i="1"/>
  <c r="E13444" i="1"/>
  <c r="E13445" i="1"/>
  <c r="E13446" i="1"/>
  <c r="E13447" i="1"/>
  <c r="E13448" i="1"/>
  <c r="E13449" i="1"/>
  <c r="E13450" i="1"/>
  <c r="E13451" i="1"/>
  <c r="E13452" i="1"/>
  <c r="E13453" i="1"/>
  <c r="E13454" i="1"/>
  <c r="E13455" i="1"/>
  <c r="E13456" i="1"/>
  <c r="E13457" i="1"/>
  <c r="E13458" i="1"/>
  <c r="E13459" i="1"/>
  <c r="E13460" i="1"/>
  <c r="E13461" i="1"/>
  <c r="E13462" i="1"/>
  <c r="E13463" i="1"/>
  <c r="E13464" i="1"/>
  <c r="E13465" i="1"/>
  <c r="E13466" i="1"/>
  <c r="E13467" i="1"/>
  <c r="E13468" i="1"/>
  <c r="E13469" i="1"/>
  <c r="E13470" i="1"/>
  <c r="E13471" i="1"/>
  <c r="E13472" i="1"/>
  <c r="E13473" i="1"/>
  <c r="E13474" i="1"/>
  <c r="E13475" i="1"/>
  <c r="E13476" i="1"/>
  <c r="E13477" i="1"/>
  <c r="E13478" i="1"/>
  <c r="E13479" i="1"/>
  <c r="E13480" i="1"/>
  <c r="E13481" i="1"/>
  <c r="E13482" i="1"/>
  <c r="E13483" i="1"/>
  <c r="E13484" i="1"/>
  <c r="E13485" i="1"/>
  <c r="E13486" i="1"/>
  <c r="E13487" i="1"/>
  <c r="E13488" i="1"/>
  <c r="E13489" i="1"/>
  <c r="E13490" i="1"/>
  <c r="E13491" i="1"/>
  <c r="E13492" i="1"/>
  <c r="E13493" i="1"/>
  <c r="E13494" i="1"/>
  <c r="E13495" i="1"/>
  <c r="E13496" i="1"/>
  <c r="E13497" i="1"/>
  <c r="E13498" i="1"/>
  <c r="E13499" i="1"/>
  <c r="E13500" i="1"/>
  <c r="E13501" i="1"/>
  <c r="E13502" i="1"/>
  <c r="E13503" i="1"/>
  <c r="E13504" i="1"/>
  <c r="E13505" i="1"/>
  <c r="E13506" i="1"/>
  <c r="E13507" i="1"/>
  <c r="E13508" i="1"/>
  <c r="E13509" i="1"/>
  <c r="E13510" i="1"/>
  <c r="E13511" i="1"/>
  <c r="E13512" i="1"/>
  <c r="E13513" i="1"/>
  <c r="E13514" i="1"/>
  <c r="E13515" i="1"/>
  <c r="E13516" i="1"/>
  <c r="E13517" i="1"/>
  <c r="E13518" i="1"/>
  <c r="E13519" i="1"/>
  <c r="E13520" i="1"/>
  <c r="E13521" i="1"/>
  <c r="E13522" i="1"/>
  <c r="E13523" i="1"/>
  <c r="E13524" i="1"/>
  <c r="E13525" i="1"/>
  <c r="E13526" i="1"/>
  <c r="E13527" i="1"/>
  <c r="E13528" i="1"/>
  <c r="E13529" i="1"/>
  <c r="E13530" i="1"/>
  <c r="E13531" i="1"/>
  <c r="E13532" i="1"/>
  <c r="E13533" i="1"/>
  <c r="E13534" i="1"/>
  <c r="E13535" i="1"/>
  <c r="E13536" i="1"/>
  <c r="E13537" i="1"/>
  <c r="E13538" i="1"/>
  <c r="E13539" i="1"/>
  <c r="E13540" i="1"/>
  <c r="E13541" i="1"/>
  <c r="E13542" i="1"/>
  <c r="E13543" i="1"/>
  <c r="E13544" i="1"/>
  <c r="E13545" i="1"/>
  <c r="E13546" i="1"/>
  <c r="E13547" i="1"/>
  <c r="E13548" i="1"/>
  <c r="E13549" i="1"/>
  <c r="E13550" i="1"/>
  <c r="E13551" i="1"/>
  <c r="E13552" i="1"/>
  <c r="E13553" i="1"/>
  <c r="E13554" i="1"/>
  <c r="E13555" i="1"/>
  <c r="E13556" i="1"/>
  <c r="E13557" i="1"/>
  <c r="E13558" i="1"/>
  <c r="E13559" i="1"/>
  <c r="E13560" i="1"/>
  <c r="E13561" i="1"/>
  <c r="E13562" i="1"/>
  <c r="E13563" i="1"/>
  <c r="E13564" i="1"/>
  <c r="E13565" i="1"/>
  <c r="E13566" i="1"/>
  <c r="E13567" i="1"/>
  <c r="E13568" i="1"/>
  <c r="E13569" i="1"/>
  <c r="E13570" i="1"/>
  <c r="E13571" i="1"/>
  <c r="E13572" i="1"/>
  <c r="E13573" i="1"/>
  <c r="E13574" i="1"/>
  <c r="E13575" i="1"/>
  <c r="E13576" i="1"/>
  <c r="E13577" i="1"/>
  <c r="E13578" i="1"/>
  <c r="E13579" i="1"/>
  <c r="E13580" i="1"/>
  <c r="E13581" i="1"/>
  <c r="E13582" i="1"/>
  <c r="E13583" i="1"/>
  <c r="E13584" i="1"/>
  <c r="E13585" i="1"/>
  <c r="E13586" i="1"/>
  <c r="E13587" i="1"/>
  <c r="E13588" i="1"/>
  <c r="E13589" i="1"/>
  <c r="E13590" i="1"/>
  <c r="E13591" i="1"/>
  <c r="E13592" i="1"/>
  <c r="E13593" i="1"/>
  <c r="E13594" i="1"/>
  <c r="E13595" i="1"/>
  <c r="E13596" i="1"/>
  <c r="E13597" i="1"/>
  <c r="E13598" i="1"/>
  <c r="E13599" i="1"/>
  <c r="E13600" i="1"/>
  <c r="E13601" i="1"/>
  <c r="E13602" i="1"/>
  <c r="E13603" i="1"/>
  <c r="E13604" i="1"/>
  <c r="E13605" i="1"/>
  <c r="E13606" i="1"/>
  <c r="E13607" i="1"/>
  <c r="E13608" i="1"/>
  <c r="E13609" i="1"/>
  <c r="E13610" i="1"/>
  <c r="E13611" i="1"/>
  <c r="E13612" i="1"/>
  <c r="E13613" i="1"/>
  <c r="E13614" i="1"/>
  <c r="E13615" i="1"/>
  <c r="E13616" i="1"/>
  <c r="E13617" i="1"/>
  <c r="E13618" i="1"/>
  <c r="E13619" i="1"/>
  <c r="E13620" i="1"/>
  <c r="E13621" i="1"/>
  <c r="E13622" i="1"/>
  <c r="E13623" i="1"/>
  <c r="E13624" i="1"/>
  <c r="E13625" i="1"/>
  <c r="E13626" i="1"/>
  <c r="E13627" i="1"/>
  <c r="E13628" i="1"/>
  <c r="E13629" i="1"/>
  <c r="E13630" i="1"/>
  <c r="E13631" i="1"/>
  <c r="E13632" i="1"/>
  <c r="E13633" i="1"/>
  <c r="E13634" i="1"/>
  <c r="E13635" i="1"/>
  <c r="E13636" i="1"/>
  <c r="E13637" i="1"/>
  <c r="E13638" i="1"/>
  <c r="E13639" i="1"/>
  <c r="E13640" i="1"/>
  <c r="E13641" i="1"/>
  <c r="E13642" i="1"/>
  <c r="E13643" i="1"/>
  <c r="E13644" i="1"/>
  <c r="E13645" i="1"/>
  <c r="E13646" i="1"/>
  <c r="E13647" i="1"/>
  <c r="E13648" i="1"/>
  <c r="E13649" i="1"/>
  <c r="E13650" i="1"/>
  <c r="E13651" i="1"/>
  <c r="E13652" i="1"/>
  <c r="E13653" i="1"/>
  <c r="E13654" i="1"/>
  <c r="E13655" i="1"/>
  <c r="E13656" i="1"/>
  <c r="E13657" i="1"/>
  <c r="E13658" i="1"/>
  <c r="E13659" i="1"/>
  <c r="E13660" i="1"/>
  <c r="E13661" i="1"/>
  <c r="E13662" i="1"/>
  <c r="E13663" i="1"/>
  <c r="E13664" i="1"/>
  <c r="E13665" i="1"/>
  <c r="E13666" i="1"/>
  <c r="E13667" i="1"/>
  <c r="E13668" i="1"/>
  <c r="E13669" i="1"/>
  <c r="E13670" i="1"/>
  <c r="E13671" i="1"/>
  <c r="E13672" i="1"/>
  <c r="E13673" i="1"/>
  <c r="E13674" i="1"/>
  <c r="E13675" i="1"/>
  <c r="E13676" i="1"/>
  <c r="E13677" i="1"/>
  <c r="E13678" i="1"/>
  <c r="E13679" i="1"/>
  <c r="E13680" i="1"/>
  <c r="E13681" i="1"/>
  <c r="E13682" i="1"/>
  <c r="E13683" i="1"/>
  <c r="E13684" i="1"/>
  <c r="E13685" i="1"/>
  <c r="E13686" i="1"/>
  <c r="E13687" i="1"/>
  <c r="E13688" i="1"/>
  <c r="E13689" i="1"/>
  <c r="E13690" i="1"/>
  <c r="E13691" i="1"/>
  <c r="E13692" i="1"/>
  <c r="E13693" i="1"/>
  <c r="E13694" i="1"/>
  <c r="E13695" i="1"/>
  <c r="E13696" i="1"/>
  <c r="E13697" i="1"/>
  <c r="E13698" i="1"/>
  <c r="E13699" i="1"/>
  <c r="E13700" i="1"/>
  <c r="E13701" i="1"/>
  <c r="E13702" i="1"/>
  <c r="E13703" i="1"/>
  <c r="E13704" i="1"/>
  <c r="E13705" i="1"/>
  <c r="E13706" i="1"/>
  <c r="E13707" i="1"/>
  <c r="E13708" i="1"/>
  <c r="E13709" i="1"/>
  <c r="E13710" i="1"/>
  <c r="E13711" i="1"/>
  <c r="E13712" i="1"/>
  <c r="E13713" i="1"/>
  <c r="E13714" i="1"/>
  <c r="E13715" i="1"/>
  <c r="E13716" i="1"/>
  <c r="E13717" i="1"/>
  <c r="E13718" i="1"/>
  <c r="E13719" i="1"/>
  <c r="E13720" i="1"/>
  <c r="E13721" i="1"/>
  <c r="E13722" i="1"/>
  <c r="E13723" i="1"/>
  <c r="E13724" i="1"/>
  <c r="E13725" i="1"/>
  <c r="E13726" i="1"/>
  <c r="E13727" i="1"/>
  <c r="E13728" i="1"/>
  <c r="E13729" i="1"/>
  <c r="E13730" i="1"/>
  <c r="E13731" i="1"/>
  <c r="E13732" i="1"/>
  <c r="E13733" i="1"/>
  <c r="E13734" i="1"/>
  <c r="E13735" i="1"/>
  <c r="E13736" i="1"/>
  <c r="E13737" i="1"/>
  <c r="E13738" i="1"/>
  <c r="E13739" i="1"/>
  <c r="E13740" i="1"/>
  <c r="E13741" i="1"/>
  <c r="E13742" i="1"/>
  <c r="E13743" i="1"/>
  <c r="E13744" i="1"/>
  <c r="E13745" i="1"/>
  <c r="E13746" i="1"/>
  <c r="E13747" i="1"/>
  <c r="E13748" i="1"/>
  <c r="E13749" i="1"/>
  <c r="E13750" i="1"/>
  <c r="E13751" i="1"/>
  <c r="E13752" i="1"/>
  <c r="E13753" i="1"/>
  <c r="E13754" i="1"/>
  <c r="E13755" i="1"/>
  <c r="E13756" i="1"/>
  <c r="E13757" i="1"/>
  <c r="E13758" i="1"/>
  <c r="E13759" i="1"/>
  <c r="E13760" i="1"/>
  <c r="E13761" i="1"/>
  <c r="E13762" i="1"/>
  <c r="E13763" i="1"/>
  <c r="E13764" i="1"/>
  <c r="E13765" i="1"/>
  <c r="E13766" i="1"/>
  <c r="E13767" i="1"/>
  <c r="E13768" i="1"/>
  <c r="E13769" i="1"/>
  <c r="E13770" i="1"/>
  <c r="E13771" i="1"/>
  <c r="E13772" i="1"/>
  <c r="E13773" i="1"/>
  <c r="E13774" i="1"/>
  <c r="E13775" i="1"/>
  <c r="E13776" i="1"/>
  <c r="E13777" i="1"/>
  <c r="E13778" i="1"/>
  <c r="E13779" i="1"/>
  <c r="E13780" i="1"/>
  <c r="E13781" i="1"/>
  <c r="E13782" i="1"/>
  <c r="E13783" i="1"/>
  <c r="E13784" i="1"/>
  <c r="E13785" i="1"/>
  <c r="E13786" i="1"/>
  <c r="E13787" i="1"/>
  <c r="E13788" i="1"/>
  <c r="E13789" i="1"/>
  <c r="E13790" i="1"/>
  <c r="E13791" i="1"/>
  <c r="E13792" i="1"/>
  <c r="E13793" i="1"/>
  <c r="E13794" i="1"/>
  <c r="E13795" i="1"/>
  <c r="E13796" i="1"/>
  <c r="E13797" i="1"/>
  <c r="E13798" i="1"/>
  <c r="E13799" i="1"/>
  <c r="E13800" i="1"/>
  <c r="E13801" i="1"/>
  <c r="E13802" i="1"/>
  <c r="E13803" i="1"/>
  <c r="E13804" i="1"/>
  <c r="E13805" i="1"/>
  <c r="E13806" i="1"/>
  <c r="E13807" i="1"/>
  <c r="E13808" i="1"/>
  <c r="E13809" i="1"/>
  <c r="E13810" i="1"/>
  <c r="E13811" i="1"/>
  <c r="E13812" i="1"/>
  <c r="E13813" i="1"/>
  <c r="E13814" i="1"/>
  <c r="E13815" i="1"/>
  <c r="E13816" i="1"/>
  <c r="E13817" i="1"/>
  <c r="E13818" i="1"/>
  <c r="E13819" i="1"/>
  <c r="E13820" i="1"/>
  <c r="E13821" i="1"/>
  <c r="E13822" i="1"/>
  <c r="E13823" i="1"/>
  <c r="E13824" i="1"/>
  <c r="E13825" i="1"/>
  <c r="E13826" i="1"/>
  <c r="E13827" i="1"/>
  <c r="E13828" i="1"/>
  <c r="E13829" i="1"/>
  <c r="E13830" i="1"/>
  <c r="E13831" i="1"/>
  <c r="E13832" i="1"/>
  <c r="E13833" i="1"/>
  <c r="E13834" i="1"/>
  <c r="E13835" i="1"/>
  <c r="E13836" i="1"/>
  <c r="E13837" i="1"/>
  <c r="E13838" i="1"/>
  <c r="E13839" i="1"/>
  <c r="E13840" i="1"/>
  <c r="E13841" i="1"/>
  <c r="E13842" i="1"/>
  <c r="E13843" i="1"/>
  <c r="E13844" i="1"/>
  <c r="E13845" i="1"/>
  <c r="E13846" i="1"/>
  <c r="E13847" i="1"/>
  <c r="E13848" i="1"/>
  <c r="E13849" i="1"/>
  <c r="E13850" i="1"/>
  <c r="E13851" i="1"/>
  <c r="E13852" i="1"/>
  <c r="E13853" i="1"/>
  <c r="E13854" i="1"/>
  <c r="E13855" i="1"/>
  <c r="E13856" i="1"/>
  <c r="E13857" i="1"/>
  <c r="E13858" i="1"/>
  <c r="E13859" i="1"/>
  <c r="E13860" i="1"/>
  <c r="E13861" i="1"/>
  <c r="E13862" i="1"/>
  <c r="E13863" i="1"/>
  <c r="E12776"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640"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504"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368"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232"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096"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1960" i="1"/>
  <c r="C11689" i="1"/>
  <c r="E11689" i="1"/>
  <c r="F11689" i="1"/>
  <c r="B11689" i="1" s="1"/>
  <c r="C11690" i="1"/>
  <c r="E11690" i="1"/>
  <c r="F11690" i="1"/>
  <c r="B11690" i="1" s="1"/>
  <c r="C11691" i="1"/>
  <c r="E11691" i="1"/>
  <c r="F11691" i="1"/>
  <c r="B11691" i="1" s="1"/>
  <c r="C11692" i="1"/>
  <c r="E11692" i="1"/>
  <c r="F11692" i="1"/>
  <c r="B11692" i="1" s="1"/>
  <c r="C11693" i="1"/>
  <c r="E11693" i="1"/>
  <c r="F11693" i="1"/>
  <c r="B11693" i="1" s="1"/>
  <c r="C11694" i="1"/>
  <c r="E11694" i="1"/>
  <c r="F11694" i="1"/>
  <c r="B11694" i="1" s="1"/>
  <c r="C11695" i="1"/>
  <c r="E11695" i="1"/>
  <c r="F11695" i="1"/>
  <c r="B11695" i="1" s="1"/>
  <c r="C11696" i="1"/>
  <c r="E11696" i="1"/>
  <c r="F11696" i="1"/>
  <c r="B11696" i="1" s="1"/>
  <c r="C11697" i="1"/>
  <c r="E11697" i="1"/>
  <c r="F11697" i="1"/>
  <c r="B11697" i="1" s="1"/>
  <c r="C11698" i="1"/>
  <c r="E11698" i="1"/>
  <c r="F11698" i="1"/>
  <c r="B11698" i="1" s="1"/>
  <c r="C11699" i="1"/>
  <c r="E11699" i="1"/>
  <c r="F11699" i="1"/>
  <c r="B11699" i="1" s="1"/>
  <c r="C11700" i="1"/>
  <c r="E11700" i="1"/>
  <c r="F11700" i="1"/>
  <c r="B11700" i="1" s="1"/>
  <c r="C11701" i="1"/>
  <c r="E11701" i="1"/>
  <c r="F11701" i="1"/>
  <c r="B11701" i="1" s="1"/>
  <c r="C11702" i="1"/>
  <c r="E11702" i="1"/>
  <c r="F11702" i="1"/>
  <c r="B11702" i="1" s="1"/>
  <c r="C11703" i="1"/>
  <c r="E11703" i="1"/>
  <c r="F11703" i="1"/>
  <c r="B11703" i="1" s="1"/>
  <c r="C11704" i="1"/>
  <c r="E11704" i="1"/>
  <c r="F11704" i="1"/>
  <c r="B11704" i="1" s="1"/>
  <c r="C11705" i="1"/>
  <c r="E11705" i="1"/>
  <c r="F11705" i="1"/>
  <c r="B11705" i="1" s="1"/>
  <c r="C11706" i="1"/>
  <c r="E11706" i="1"/>
  <c r="F11706" i="1"/>
  <c r="B11706" i="1" s="1"/>
  <c r="C11707" i="1"/>
  <c r="E11707" i="1"/>
  <c r="F11707" i="1"/>
  <c r="B11707" i="1" s="1"/>
  <c r="C11708" i="1"/>
  <c r="E11708" i="1"/>
  <c r="F11708" i="1"/>
  <c r="B11708" i="1" s="1"/>
  <c r="C11709" i="1"/>
  <c r="E11709" i="1"/>
  <c r="F11709" i="1"/>
  <c r="B11709" i="1" s="1"/>
  <c r="C11710" i="1"/>
  <c r="E11710" i="1"/>
  <c r="F11710" i="1"/>
  <c r="B11710" i="1" s="1"/>
  <c r="C11711" i="1"/>
  <c r="E11711" i="1"/>
  <c r="F11711" i="1"/>
  <c r="B11711" i="1" s="1"/>
  <c r="C11712" i="1"/>
  <c r="E11712" i="1"/>
  <c r="F11712" i="1"/>
  <c r="B11712" i="1" s="1"/>
  <c r="C11713" i="1"/>
  <c r="E11713" i="1"/>
  <c r="F11713" i="1"/>
  <c r="B11713" i="1" s="1"/>
  <c r="C11714" i="1"/>
  <c r="E11714" i="1"/>
  <c r="F11714" i="1"/>
  <c r="B11714" i="1" s="1"/>
  <c r="C11715" i="1"/>
  <c r="E11715" i="1"/>
  <c r="F11715" i="1"/>
  <c r="B11715" i="1" s="1"/>
  <c r="C11716" i="1"/>
  <c r="E11716" i="1"/>
  <c r="F11716" i="1"/>
  <c r="B11716" i="1" s="1"/>
  <c r="C11717" i="1"/>
  <c r="E11717" i="1"/>
  <c r="F11717" i="1"/>
  <c r="B11717" i="1" s="1"/>
  <c r="C11718" i="1"/>
  <c r="E11718" i="1"/>
  <c r="F11718" i="1"/>
  <c r="B11718" i="1" s="1"/>
  <c r="C11719" i="1"/>
  <c r="E11719" i="1"/>
  <c r="F11719" i="1"/>
  <c r="B11719" i="1" s="1"/>
  <c r="C11720" i="1"/>
  <c r="E11720" i="1"/>
  <c r="F11720" i="1"/>
  <c r="B11720" i="1" s="1"/>
  <c r="C11721" i="1"/>
  <c r="E11721" i="1"/>
  <c r="F11721" i="1"/>
  <c r="B11721" i="1" s="1"/>
  <c r="C11722" i="1"/>
  <c r="E11722" i="1"/>
  <c r="F11722" i="1"/>
  <c r="B11722" i="1" s="1"/>
  <c r="C11723" i="1"/>
  <c r="E11723" i="1"/>
  <c r="F11723" i="1"/>
  <c r="B11723" i="1" s="1"/>
  <c r="C11724" i="1"/>
  <c r="E11724" i="1"/>
  <c r="F11724" i="1"/>
  <c r="B11724" i="1" s="1"/>
  <c r="C11725" i="1"/>
  <c r="E11725" i="1"/>
  <c r="F11725" i="1"/>
  <c r="B11725" i="1" s="1"/>
  <c r="C11726" i="1"/>
  <c r="E11726" i="1"/>
  <c r="F11726" i="1"/>
  <c r="B11726" i="1" s="1"/>
  <c r="C11727" i="1"/>
  <c r="E11727" i="1"/>
  <c r="F11727" i="1"/>
  <c r="B11727" i="1" s="1"/>
  <c r="C11728" i="1"/>
  <c r="E11728" i="1"/>
  <c r="F11728" i="1"/>
  <c r="B11728" i="1" s="1"/>
  <c r="C11729" i="1"/>
  <c r="E11729" i="1"/>
  <c r="F11729" i="1"/>
  <c r="B11729" i="1" s="1"/>
  <c r="C11730" i="1"/>
  <c r="E11730" i="1"/>
  <c r="F11730" i="1"/>
  <c r="B11730" i="1" s="1"/>
  <c r="C11731" i="1"/>
  <c r="E11731" i="1"/>
  <c r="F11731" i="1"/>
  <c r="B11731" i="1" s="1"/>
  <c r="C11732" i="1"/>
  <c r="E11732" i="1"/>
  <c r="F11732" i="1"/>
  <c r="B11732" i="1" s="1"/>
  <c r="C11733" i="1"/>
  <c r="E11733" i="1"/>
  <c r="F11733" i="1"/>
  <c r="B11733" i="1" s="1"/>
  <c r="C11734" i="1"/>
  <c r="E11734" i="1"/>
  <c r="F11734" i="1"/>
  <c r="B11734" i="1" s="1"/>
  <c r="C11735" i="1"/>
  <c r="E11735" i="1"/>
  <c r="F11735" i="1"/>
  <c r="B11735" i="1" s="1"/>
  <c r="C11736" i="1"/>
  <c r="E11736" i="1"/>
  <c r="F11736" i="1"/>
  <c r="B11736" i="1" s="1"/>
  <c r="C11737" i="1"/>
  <c r="E11737" i="1"/>
  <c r="F11737" i="1"/>
  <c r="B11737" i="1" s="1"/>
  <c r="C11738" i="1"/>
  <c r="E11738" i="1"/>
  <c r="F11738" i="1"/>
  <c r="B11738" i="1" s="1"/>
  <c r="C11739" i="1"/>
  <c r="E11739" i="1"/>
  <c r="F11739" i="1"/>
  <c r="B11739" i="1" s="1"/>
  <c r="C11740" i="1"/>
  <c r="E11740" i="1"/>
  <c r="F11740" i="1"/>
  <c r="B11740" i="1" s="1"/>
  <c r="C11741" i="1"/>
  <c r="E11741" i="1"/>
  <c r="F11741" i="1"/>
  <c r="B11741" i="1" s="1"/>
  <c r="C11742" i="1"/>
  <c r="E11742" i="1"/>
  <c r="F11742" i="1"/>
  <c r="B11742" i="1" s="1"/>
  <c r="C11743" i="1"/>
  <c r="E11743" i="1"/>
  <c r="F11743" i="1"/>
  <c r="B11743" i="1" s="1"/>
  <c r="C11744" i="1"/>
  <c r="E11744" i="1"/>
  <c r="F11744" i="1"/>
  <c r="B11744" i="1" s="1"/>
  <c r="C11745" i="1"/>
  <c r="E11745" i="1"/>
  <c r="F11745" i="1"/>
  <c r="B11745" i="1" s="1"/>
  <c r="C11746" i="1"/>
  <c r="E11746" i="1"/>
  <c r="F11746" i="1"/>
  <c r="B11746" i="1" s="1"/>
  <c r="C11747" i="1"/>
  <c r="E11747" i="1"/>
  <c r="F11747" i="1"/>
  <c r="B11747" i="1" s="1"/>
  <c r="C11748" i="1"/>
  <c r="E11748" i="1"/>
  <c r="F11748" i="1"/>
  <c r="B11748" i="1" s="1"/>
  <c r="C11749" i="1"/>
  <c r="E11749" i="1"/>
  <c r="F11749" i="1"/>
  <c r="B11749" i="1" s="1"/>
  <c r="C11750" i="1"/>
  <c r="E11750" i="1"/>
  <c r="F11750" i="1"/>
  <c r="B11750" i="1" s="1"/>
  <c r="C11751" i="1"/>
  <c r="E11751" i="1"/>
  <c r="F11751" i="1"/>
  <c r="B11751" i="1" s="1"/>
  <c r="C11752" i="1"/>
  <c r="E11752" i="1"/>
  <c r="F11752" i="1"/>
  <c r="B11752" i="1" s="1"/>
  <c r="C11753" i="1"/>
  <c r="E11753" i="1"/>
  <c r="F11753" i="1"/>
  <c r="B11753" i="1" s="1"/>
  <c r="C11754" i="1"/>
  <c r="E11754" i="1"/>
  <c r="F11754" i="1"/>
  <c r="B11754" i="1" s="1"/>
  <c r="C11755" i="1"/>
  <c r="E11755" i="1"/>
  <c r="F11755" i="1"/>
  <c r="B11755" i="1" s="1"/>
  <c r="C11756" i="1"/>
  <c r="E11756" i="1"/>
  <c r="F11756" i="1"/>
  <c r="B11756" i="1" s="1"/>
  <c r="C11757" i="1"/>
  <c r="E11757" i="1"/>
  <c r="F11757" i="1"/>
  <c r="B11757" i="1" s="1"/>
  <c r="C11758" i="1"/>
  <c r="E11758" i="1"/>
  <c r="F11758" i="1"/>
  <c r="B11758" i="1" s="1"/>
  <c r="C11759" i="1"/>
  <c r="E11759" i="1"/>
  <c r="F11759" i="1"/>
  <c r="B11759" i="1" s="1"/>
  <c r="C11760" i="1"/>
  <c r="E11760" i="1"/>
  <c r="F11760" i="1"/>
  <c r="B11760" i="1" s="1"/>
  <c r="C11761" i="1"/>
  <c r="E11761" i="1"/>
  <c r="F11761" i="1"/>
  <c r="B11761" i="1" s="1"/>
  <c r="C11762" i="1"/>
  <c r="E11762" i="1"/>
  <c r="F11762" i="1"/>
  <c r="B11762" i="1" s="1"/>
  <c r="C11763" i="1"/>
  <c r="E11763" i="1"/>
  <c r="F11763" i="1"/>
  <c r="B11763" i="1" s="1"/>
  <c r="C11764" i="1"/>
  <c r="E11764" i="1"/>
  <c r="F11764" i="1"/>
  <c r="B11764" i="1" s="1"/>
  <c r="C11765" i="1"/>
  <c r="E11765" i="1"/>
  <c r="F11765" i="1"/>
  <c r="B11765" i="1" s="1"/>
  <c r="C11766" i="1"/>
  <c r="E11766" i="1"/>
  <c r="F11766" i="1"/>
  <c r="B11766" i="1" s="1"/>
  <c r="C11767" i="1"/>
  <c r="E11767" i="1"/>
  <c r="F11767" i="1"/>
  <c r="B11767" i="1" s="1"/>
  <c r="C11768" i="1"/>
  <c r="E11768" i="1"/>
  <c r="F11768" i="1"/>
  <c r="B11768" i="1" s="1"/>
  <c r="C11769" i="1"/>
  <c r="E11769" i="1"/>
  <c r="F11769" i="1"/>
  <c r="B11769" i="1" s="1"/>
  <c r="C11770" i="1"/>
  <c r="E11770" i="1"/>
  <c r="F11770" i="1"/>
  <c r="B11770" i="1" s="1"/>
  <c r="C11771" i="1"/>
  <c r="E11771" i="1"/>
  <c r="F11771" i="1"/>
  <c r="B11771" i="1" s="1"/>
  <c r="C11772" i="1"/>
  <c r="E11772" i="1"/>
  <c r="F11772" i="1"/>
  <c r="B11772" i="1" s="1"/>
  <c r="C11773" i="1"/>
  <c r="E11773" i="1"/>
  <c r="F11773" i="1"/>
  <c r="B11773" i="1" s="1"/>
  <c r="C11774" i="1"/>
  <c r="E11774" i="1"/>
  <c r="F11774" i="1"/>
  <c r="B11774" i="1" s="1"/>
  <c r="C11775" i="1"/>
  <c r="E11775" i="1"/>
  <c r="F11775" i="1"/>
  <c r="B11775" i="1" s="1"/>
  <c r="C11776" i="1"/>
  <c r="E11776" i="1"/>
  <c r="F11776" i="1"/>
  <c r="B11776" i="1" s="1"/>
  <c r="C11777" i="1"/>
  <c r="E11777" i="1"/>
  <c r="F11777" i="1"/>
  <c r="B11777" i="1" s="1"/>
  <c r="C11778" i="1"/>
  <c r="E11778" i="1"/>
  <c r="F11778" i="1"/>
  <c r="B11778" i="1" s="1"/>
  <c r="C11779" i="1"/>
  <c r="E11779" i="1"/>
  <c r="F11779" i="1"/>
  <c r="B11779" i="1" s="1"/>
  <c r="C11780" i="1"/>
  <c r="E11780" i="1"/>
  <c r="F11780" i="1"/>
  <c r="B11780" i="1" s="1"/>
  <c r="C11781" i="1"/>
  <c r="E11781" i="1"/>
  <c r="F11781" i="1"/>
  <c r="B11781" i="1" s="1"/>
  <c r="C11782" i="1"/>
  <c r="E11782" i="1"/>
  <c r="F11782" i="1"/>
  <c r="B11782" i="1" s="1"/>
  <c r="C11783" i="1"/>
  <c r="E11783" i="1"/>
  <c r="F11783" i="1"/>
  <c r="B11783" i="1" s="1"/>
  <c r="C11784" i="1"/>
  <c r="E11784" i="1"/>
  <c r="F11784" i="1"/>
  <c r="B11784" i="1" s="1"/>
  <c r="C11785" i="1"/>
  <c r="E11785" i="1"/>
  <c r="F11785" i="1"/>
  <c r="B11785" i="1" s="1"/>
  <c r="C11786" i="1"/>
  <c r="E11786" i="1"/>
  <c r="F11786" i="1"/>
  <c r="B11786" i="1" s="1"/>
  <c r="C11787" i="1"/>
  <c r="E11787" i="1"/>
  <c r="F11787" i="1"/>
  <c r="B11787" i="1" s="1"/>
  <c r="C11788" i="1"/>
  <c r="E11788" i="1"/>
  <c r="F11788" i="1"/>
  <c r="B11788" i="1" s="1"/>
  <c r="C11789" i="1"/>
  <c r="E11789" i="1"/>
  <c r="F11789" i="1"/>
  <c r="B11789" i="1" s="1"/>
  <c r="C11790" i="1"/>
  <c r="E11790" i="1"/>
  <c r="F11790" i="1"/>
  <c r="B11790" i="1" s="1"/>
  <c r="C11791" i="1"/>
  <c r="E11791" i="1"/>
  <c r="F11791" i="1"/>
  <c r="B11791" i="1" s="1"/>
  <c r="C11792" i="1"/>
  <c r="E11792" i="1"/>
  <c r="F11792" i="1"/>
  <c r="B11792" i="1" s="1"/>
  <c r="C11793" i="1"/>
  <c r="E11793" i="1"/>
  <c r="F11793" i="1"/>
  <c r="B11793" i="1" s="1"/>
  <c r="C11794" i="1"/>
  <c r="E11794" i="1"/>
  <c r="F11794" i="1"/>
  <c r="B11794" i="1" s="1"/>
  <c r="C11795" i="1"/>
  <c r="E11795" i="1"/>
  <c r="F11795" i="1"/>
  <c r="B11795" i="1" s="1"/>
  <c r="C11796" i="1"/>
  <c r="E11796" i="1"/>
  <c r="F11796" i="1"/>
  <c r="B11796" i="1" s="1"/>
  <c r="C11797" i="1"/>
  <c r="E11797" i="1"/>
  <c r="F11797" i="1"/>
  <c r="B11797" i="1" s="1"/>
  <c r="C11798" i="1"/>
  <c r="E11798" i="1"/>
  <c r="F11798" i="1"/>
  <c r="B11798" i="1" s="1"/>
  <c r="C11799" i="1"/>
  <c r="E11799" i="1"/>
  <c r="F11799" i="1"/>
  <c r="B11799" i="1" s="1"/>
  <c r="C11800" i="1"/>
  <c r="E11800" i="1"/>
  <c r="F11800" i="1"/>
  <c r="B11800" i="1" s="1"/>
  <c r="C11801" i="1"/>
  <c r="E11801" i="1"/>
  <c r="F11801" i="1"/>
  <c r="B11801" i="1" s="1"/>
  <c r="C11802" i="1"/>
  <c r="E11802" i="1"/>
  <c r="F11802" i="1"/>
  <c r="B11802" i="1" s="1"/>
  <c r="C11803" i="1"/>
  <c r="E11803" i="1"/>
  <c r="F11803" i="1"/>
  <c r="B11803" i="1" s="1"/>
  <c r="C11804" i="1"/>
  <c r="E11804" i="1"/>
  <c r="F11804" i="1"/>
  <c r="B11804" i="1" s="1"/>
  <c r="C11805" i="1"/>
  <c r="E11805" i="1"/>
  <c r="F11805" i="1"/>
  <c r="B11805" i="1" s="1"/>
  <c r="C11806" i="1"/>
  <c r="E11806" i="1"/>
  <c r="F11806" i="1"/>
  <c r="B11806" i="1" s="1"/>
  <c r="C11807" i="1"/>
  <c r="E11807" i="1"/>
  <c r="F11807" i="1"/>
  <c r="B11807" i="1" s="1"/>
  <c r="C11808" i="1"/>
  <c r="E11808" i="1"/>
  <c r="F11808" i="1"/>
  <c r="B11808" i="1" s="1"/>
  <c r="C11809" i="1"/>
  <c r="E11809" i="1"/>
  <c r="F11809" i="1"/>
  <c r="B11809" i="1" s="1"/>
  <c r="C11810" i="1"/>
  <c r="E11810" i="1"/>
  <c r="F11810" i="1"/>
  <c r="B11810" i="1" s="1"/>
  <c r="C11811" i="1"/>
  <c r="E11811" i="1"/>
  <c r="F11811" i="1"/>
  <c r="B11811" i="1" s="1"/>
  <c r="C11812" i="1"/>
  <c r="E11812" i="1"/>
  <c r="F11812" i="1"/>
  <c r="B11812" i="1" s="1"/>
  <c r="C11813" i="1"/>
  <c r="E11813" i="1"/>
  <c r="F11813" i="1"/>
  <c r="B11813" i="1" s="1"/>
  <c r="C11814" i="1"/>
  <c r="E11814" i="1"/>
  <c r="F11814" i="1"/>
  <c r="B11814" i="1" s="1"/>
  <c r="C11815" i="1"/>
  <c r="E11815" i="1"/>
  <c r="F11815" i="1"/>
  <c r="B11815" i="1" s="1"/>
  <c r="C11816" i="1"/>
  <c r="E11816" i="1"/>
  <c r="F11816" i="1"/>
  <c r="B11816" i="1" s="1"/>
  <c r="C11817" i="1"/>
  <c r="E11817" i="1"/>
  <c r="F11817" i="1"/>
  <c r="B11817" i="1" s="1"/>
  <c r="C11818" i="1"/>
  <c r="E11818" i="1"/>
  <c r="F11818" i="1"/>
  <c r="B11818" i="1" s="1"/>
  <c r="C11819" i="1"/>
  <c r="E11819" i="1"/>
  <c r="F11819" i="1"/>
  <c r="B11819" i="1" s="1"/>
  <c r="C11820" i="1"/>
  <c r="E11820" i="1"/>
  <c r="F11820" i="1"/>
  <c r="B11820" i="1" s="1"/>
  <c r="C11821" i="1"/>
  <c r="E11821" i="1"/>
  <c r="F11821" i="1"/>
  <c r="B11821" i="1" s="1"/>
  <c r="C11822" i="1"/>
  <c r="E11822" i="1"/>
  <c r="F11822" i="1"/>
  <c r="B11822" i="1" s="1"/>
  <c r="C11823" i="1"/>
  <c r="E11823" i="1"/>
  <c r="F11823" i="1"/>
  <c r="B11823" i="1" s="1"/>
  <c r="C11824" i="1"/>
  <c r="E11824" i="1"/>
  <c r="F11824" i="1"/>
  <c r="B11824" i="1" s="1"/>
  <c r="C11825" i="1"/>
  <c r="E11825" i="1"/>
  <c r="F11825" i="1"/>
  <c r="B11825" i="1" s="1"/>
  <c r="C11826" i="1"/>
  <c r="E11826" i="1"/>
  <c r="F11826" i="1"/>
  <c r="B11826" i="1" s="1"/>
  <c r="C11827" i="1"/>
  <c r="E11827" i="1"/>
  <c r="F11827" i="1"/>
  <c r="B11827" i="1" s="1"/>
  <c r="C11828" i="1"/>
  <c r="E11828" i="1"/>
  <c r="F11828" i="1"/>
  <c r="B11828" i="1" s="1"/>
  <c r="C11829" i="1"/>
  <c r="E11829" i="1"/>
  <c r="F11829" i="1"/>
  <c r="B11829" i="1" s="1"/>
  <c r="C11830" i="1"/>
  <c r="E11830" i="1"/>
  <c r="F11830" i="1"/>
  <c r="B11830" i="1" s="1"/>
  <c r="C11831" i="1"/>
  <c r="E11831" i="1"/>
  <c r="F11831" i="1"/>
  <c r="B11831" i="1" s="1"/>
  <c r="C11832" i="1"/>
  <c r="E11832" i="1"/>
  <c r="F11832" i="1"/>
  <c r="B11832" i="1" s="1"/>
  <c r="C11833" i="1"/>
  <c r="E11833" i="1"/>
  <c r="F11833" i="1"/>
  <c r="B11833" i="1" s="1"/>
  <c r="C11834" i="1"/>
  <c r="E11834" i="1"/>
  <c r="F11834" i="1"/>
  <c r="B11834" i="1" s="1"/>
  <c r="C11835" i="1"/>
  <c r="E11835" i="1"/>
  <c r="F11835" i="1"/>
  <c r="B11835" i="1" s="1"/>
  <c r="C11836" i="1"/>
  <c r="E11836" i="1"/>
  <c r="F11836" i="1"/>
  <c r="B11836" i="1" s="1"/>
  <c r="C11837" i="1"/>
  <c r="E11837" i="1"/>
  <c r="F11837" i="1"/>
  <c r="B11837" i="1" s="1"/>
  <c r="C11838" i="1"/>
  <c r="E11838" i="1"/>
  <c r="F11838" i="1"/>
  <c r="B11838" i="1" s="1"/>
  <c r="C11839" i="1"/>
  <c r="E11839" i="1"/>
  <c r="F11839" i="1"/>
  <c r="B11839" i="1" s="1"/>
  <c r="C11840" i="1"/>
  <c r="E11840" i="1"/>
  <c r="F11840" i="1"/>
  <c r="B11840" i="1" s="1"/>
  <c r="C11841" i="1"/>
  <c r="E11841" i="1"/>
  <c r="F11841" i="1"/>
  <c r="B11841" i="1" s="1"/>
  <c r="C11842" i="1"/>
  <c r="E11842" i="1"/>
  <c r="F11842" i="1"/>
  <c r="B11842" i="1" s="1"/>
  <c r="C11843" i="1"/>
  <c r="E11843" i="1"/>
  <c r="F11843" i="1"/>
  <c r="B11843" i="1" s="1"/>
  <c r="C11844" i="1"/>
  <c r="E11844" i="1"/>
  <c r="F11844" i="1"/>
  <c r="B11844" i="1" s="1"/>
  <c r="C11845" i="1"/>
  <c r="E11845" i="1"/>
  <c r="F11845" i="1"/>
  <c r="B11845" i="1" s="1"/>
  <c r="C11846" i="1"/>
  <c r="E11846" i="1"/>
  <c r="F11846" i="1"/>
  <c r="B11846" i="1" s="1"/>
  <c r="C11847" i="1"/>
  <c r="E11847" i="1"/>
  <c r="F11847" i="1"/>
  <c r="B11847" i="1" s="1"/>
  <c r="C11848" i="1"/>
  <c r="E11848" i="1"/>
  <c r="F11848" i="1"/>
  <c r="B11848" i="1" s="1"/>
  <c r="C11849" i="1"/>
  <c r="E11849" i="1"/>
  <c r="F11849" i="1"/>
  <c r="B11849" i="1" s="1"/>
  <c r="C11850" i="1"/>
  <c r="E11850" i="1"/>
  <c r="F11850" i="1"/>
  <c r="B11850" i="1" s="1"/>
  <c r="C11851" i="1"/>
  <c r="E11851" i="1"/>
  <c r="F11851" i="1"/>
  <c r="B11851" i="1" s="1"/>
  <c r="C11852" i="1"/>
  <c r="E11852" i="1"/>
  <c r="F11852" i="1"/>
  <c r="B11852" i="1" s="1"/>
  <c r="C11853" i="1"/>
  <c r="E11853" i="1"/>
  <c r="F11853" i="1"/>
  <c r="B11853" i="1" s="1"/>
  <c r="C11854" i="1"/>
  <c r="E11854" i="1"/>
  <c r="F11854" i="1"/>
  <c r="B11854" i="1" s="1"/>
  <c r="C11855" i="1"/>
  <c r="E11855" i="1"/>
  <c r="F11855" i="1"/>
  <c r="B11855" i="1" s="1"/>
  <c r="C11856" i="1"/>
  <c r="E11856" i="1"/>
  <c r="F11856" i="1"/>
  <c r="B11856" i="1" s="1"/>
  <c r="C11857" i="1"/>
  <c r="E11857" i="1"/>
  <c r="F11857" i="1"/>
  <c r="B11857" i="1" s="1"/>
  <c r="C11858" i="1"/>
  <c r="E11858" i="1"/>
  <c r="F11858" i="1"/>
  <c r="B11858" i="1" s="1"/>
  <c r="C11859" i="1"/>
  <c r="E11859" i="1"/>
  <c r="F11859" i="1"/>
  <c r="B11859" i="1" s="1"/>
  <c r="C11860" i="1"/>
  <c r="E11860" i="1"/>
  <c r="F11860" i="1"/>
  <c r="B11860" i="1" s="1"/>
  <c r="C11861" i="1"/>
  <c r="E11861" i="1"/>
  <c r="F11861" i="1"/>
  <c r="B11861" i="1" s="1"/>
  <c r="C11862" i="1"/>
  <c r="E11862" i="1"/>
  <c r="F11862" i="1"/>
  <c r="B11862" i="1" s="1"/>
  <c r="C11863" i="1"/>
  <c r="E11863" i="1"/>
  <c r="F11863" i="1"/>
  <c r="B11863" i="1" s="1"/>
  <c r="C11864" i="1"/>
  <c r="E11864" i="1"/>
  <c r="F11864" i="1"/>
  <c r="B11864" i="1" s="1"/>
  <c r="C11865" i="1"/>
  <c r="E11865" i="1"/>
  <c r="F11865" i="1"/>
  <c r="B11865" i="1" s="1"/>
  <c r="C11866" i="1"/>
  <c r="E11866" i="1"/>
  <c r="F11866" i="1"/>
  <c r="B11866" i="1" s="1"/>
  <c r="C11867" i="1"/>
  <c r="E11867" i="1"/>
  <c r="F11867" i="1"/>
  <c r="B11867" i="1" s="1"/>
  <c r="C11868" i="1"/>
  <c r="E11868" i="1"/>
  <c r="F11868" i="1"/>
  <c r="B11868" i="1" s="1"/>
  <c r="C11869" i="1"/>
  <c r="E11869" i="1"/>
  <c r="F11869" i="1"/>
  <c r="B11869" i="1" s="1"/>
  <c r="C11870" i="1"/>
  <c r="E11870" i="1"/>
  <c r="F11870" i="1"/>
  <c r="B11870" i="1" s="1"/>
  <c r="C11871" i="1"/>
  <c r="E11871" i="1"/>
  <c r="F11871" i="1"/>
  <c r="B11871" i="1" s="1"/>
  <c r="C11872" i="1"/>
  <c r="E11872" i="1"/>
  <c r="F11872" i="1"/>
  <c r="B11872" i="1" s="1"/>
  <c r="C11873" i="1"/>
  <c r="E11873" i="1"/>
  <c r="F11873" i="1"/>
  <c r="B11873" i="1" s="1"/>
  <c r="C11874" i="1"/>
  <c r="E11874" i="1"/>
  <c r="F11874" i="1"/>
  <c r="B11874" i="1" s="1"/>
  <c r="C11875" i="1"/>
  <c r="E11875" i="1"/>
  <c r="F11875" i="1"/>
  <c r="B11875" i="1" s="1"/>
  <c r="C11876" i="1"/>
  <c r="E11876" i="1"/>
  <c r="F11876" i="1"/>
  <c r="B11876" i="1" s="1"/>
  <c r="C11877" i="1"/>
  <c r="E11877" i="1"/>
  <c r="F11877" i="1"/>
  <c r="B11877" i="1" s="1"/>
  <c r="C11878" i="1"/>
  <c r="E11878" i="1"/>
  <c r="F11878" i="1"/>
  <c r="B11878" i="1" s="1"/>
  <c r="C11879" i="1"/>
  <c r="E11879" i="1"/>
  <c r="F11879" i="1"/>
  <c r="B11879" i="1" s="1"/>
  <c r="C11880" i="1"/>
  <c r="E11880" i="1"/>
  <c r="F11880" i="1"/>
  <c r="B11880" i="1" s="1"/>
  <c r="C11881" i="1"/>
  <c r="E11881" i="1"/>
  <c r="F11881" i="1"/>
  <c r="B11881" i="1" s="1"/>
  <c r="C11882" i="1"/>
  <c r="E11882" i="1"/>
  <c r="F11882" i="1"/>
  <c r="B11882" i="1" s="1"/>
  <c r="C11883" i="1"/>
  <c r="E11883" i="1"/>
  <c r="F11883" i="1"/>
  <c r="B11883" i="1" s="1"/>
  <c r="C11884" i="1"/>
  <c r="E11884" i="1"/>
  <c r="F11884" i="1"/>
  <c r="B11884" i="1" s="1"/>
  <c r="C11885" i="1"/>
  <c r="E11885" i="1"/>
  <c r="F11885" i="1"/>
  <c r="B11885" i="1" s="1"/>
  <c r="C11886" i="1"/>
  <c r="E11886" i="1"/>
  <c r="F11886" i="1"/>
  <c r="B11886" i="1" s="1"/>
  <c r="C11887" i="1"/>
  <c r="E11887" i="1"/>
  <c r="F11887" i="1"/>
  <c r="B11887" i="1" s="1"/>
  <c r="C11888" i="1"/>
  <c r="E11888" i="1"/>
  <c r="F11888" i="1"/>
  <c r="B11888" i="1" s="1"/>
  <c r="C11889" i="1"/>
  <c r="E11889" i="1"/>
  <c r="F11889" i="1"/>
  <c r="B11889" i="1" s="1"/>
  <c r="C11890" i="1"/>
  <c r="E11890" i="1"/>
  <c r="F11890" i="1"/>
  <c r="B11890" i="1" s="1"/>
  <c r="C11891" i="1"/>
  <c r="E11891" i="1"/>
  <c r="F11891" i="1"/>
  <c r="B11891" i="1" s="1"/>
  <c r="C11892" i="1"/>
  <c r="E11892" i="1"/>
  <c r="F11892" i="1"/>
  <c r="B11892" i="1" s="1"/>
  <c r="C11893" i="1"/>
  <c r="E11893" i="1"/>
  <c r="F11893" i="1"/>
  <c r="B11893" i="1" s="1"/>
  <c r="C11894" i="1"/>
  <c r="E11894" i="1"/>
  <c r="F11894" i="1"/>
  <c r="B11894" i="1" s="1"/>
  <c r="C11895" i="1"/>
  <c r="E11895" i="1"/>
  <c r="F11895" i="1"/>
  <c r="B11895" i="1" s="1"/>
  <c r="C11896" i="1"/>
  <c r="E11896" i="1"/>
  <c r="F11896" i="1"/>
  <c r="B11896" i="1" s="1"/>
  <c r="C11897" i="1"/>
  <c r="E11897" i="1"/>
  <c r="F11897" i="1"/>
  <c r="B11897" i="1" s="1"/>
  <c r="C11898" i="1"/>
  <c r="E11898" i="1"/>
  <c r="F11898" i="1"/>
  <c r="B11898" i="1" s="1"/>
  <c r="C11899" i="1"/>
  <c r="E11899" i="1"/>
  <c r="F11899" i="1"/>
  <c r="B11899" i="1" s="1"/>
  <c r="C11900" i="1"/>
  <c r="E11900" i="1"/>
  <c r="F11900" i="1"/>
  <c r="B11900" i="1" s="1"/>
  <c r="C11901" i="1"/>
  <c r="E11901" i="1"/>
  <c r="F11901" i="1"/>
  <c r="B11901" i="1" s="1"/>
  <c r="C11902" i="1"/>
  <c r="E11902" i="1"/>
  <c r="F11902" i="1"/>
  <c r="B11902" i="1" s="1"/>
  <c r="C11903" i="1"/>
  <c r="E11903" i="1"/>
  <c r="F11903" i="1"/>
  <c r="B11903" i="1" s="1"/>
  <c r="C11904" i="1"/>
  <c r="E11904" i="1"/>
  <c r="F11904" i="1"/>
  <c r="B11904" i="1" s="1"/>
  <c r="C11905" i="1"/>
  <c r="E11905" i="1"/>
  <c r="F11905" i="1"/>
  <c r="B11905" i="1" s="1"/>
  <c r="C11906" i="1"/>
  <c r="E11906" i="1"/>
  <c r="F11906" i="1"/>
  <c r="B11906" i="1" s="1"/>
  <c r="C11907" i="1"/>
  <c r="E11907" i="1"/>
  <c r="F11907" i="1"/>
  <c r="B11907" i="1" s="1"/>
  <c r="C11908" i="1"/>
  <c r="E11908" i="1"/>
  <c r="F11908" i="1"/>
  <c r="B11908" i="1" s="1"/>
  <c r="C11909" i="1"/>
  <c r="E11909" i="1"/>
  <c r="F11909" i="1"/>
  <c r="B11909" i="1" s="1"/>
  <c r="C11910" i="1"/>
  <c r="E11910" i="1"/>
  <c r="F11910" i="1"/>
  <c r="B11910" i="1" s="1"/>
  <c r="C11911" i="1"/>
  <c r="E11911" i="1"/>
  <c r="F11911" i="1"/>
  <c r="B11911" i="1" s="1"/>
  <c r="C11912" i="1"/>
  <c r="E11912" i="1"/>
  <c r="F11912" i="1"/>
  <c r="B11912" i="1" s="1"/>
  <c r="C11913" i="1"/>
  <c r="E11913" i="1"/>
  <c r="F11913" i="1"/>
  <c r="B11913" i="1" s="1"/>
  <c r="C11914" i="1"/>
  <c r="E11914" i="1"/>
  <c r="F11914" i="1"/>
  <c r="B11914" i="1" s="1"/>
  <c r="C11915" i="1"/>
  <c r="E11915" i="1"/>
  <c r="F11915" i="1"/>
  <c r="B11915" i="1" s="1"/>
  <c r="C11916" i="1"/>
  <c r="E11916" i="1"/>
  <c r="F11916" i="1"/>
  <c r="B11916" i="1" s="1"/>
  <c r="C11917" i="1"/>
  <c r="E11917" i="1"/>
  <c r="F11917" i="1"/>
  <c r="B11917" i="1" s="1"/>
  <c r="C11918" i="1"/>
  <c r="E11918" i="1"/>
  <c r="F11918" i="1"/>
  <c r="B11918" i="1" s="1"/>
  <c r="C11919" i="1"/>
  <c r="E11919" i="1"/>
  <c r="F11919" i="1"/>
  <c r="B11919" i="1" s="1"/>
  <c r="C11920" i="1"/>
  <c r="E11920" i="1"/>
  <c r="F11920" i="1"/>
  <c r="B11920" i="1" s="1"/>
  <c r="C11921" i="1"/>
  <c r="E11921" i="1"/>
  <c r="F11921" i="1"/>
  <c r="B11921" i="1" s="1"/>
  <c r="C11922" i="1"/>
  <c r="E11922" i="1"/>
  <c r="F11922" i="1"/>
  <c r="B11922" i="1" s="1"/>
  <c r="C11923" i="1"/>
  <c r="E11923" i="1"/>
  <c r="F11923" i="1"/>
  <c r="B11923" i="1" s="1"/>
  <c r="C11924" i="1"/>
  <c r="E11924" i="1"/>
  <c r="F11924" i="1"/>
  <c r="B11924" i="1" s="1"/>
  <c r="C11925" i="1"/>
  <c r="E11925" i="1"/>
  <c r="F11925" i="1"/>
  <c r="B11925" i="1" s="1"/>
  <c r="C11926" i="1"/>
  <c r="E11926" i="1"/>
  <c r="F11926" i="1"/>
  <c r="B11926" i="1" s="1"/>
  <c r="C11927" i="1"/>
  <c r="E11927" i="1"/>
  <c r="F11927" i="1"/>
  <c r="B11927" i="1" s="1"/>
  <c r="C11928" i="1"/>
  <c r="E11928" i="1"/>
  <c r="F11928" i="1"/>
  <c r="B11928" i="1" s="1"/>
  <c r="C11929" i="1"/>
  <c r="E11929" i="1"/>
  <c r="F11929" i="1"/>
  <c r="B11929" i="1" s="1"/>
  <c r="C11930" i="1"/>
  <c r="E11930" i="1"/>
  <c r="F11930" i="1"/>
  <c r="B11930" i="1" s="1"/>
  <c r="C11931" i="1"/>
  <c r="E11931" i="1"/>
  <c r="F11931" i="1"/>
  <c r="B11931" i="1" s="1"/>
  <c r="C11932" i="1"/>
  <c r="E11932" i="1"/>
  <c r="F11932" i="1"/>
  <c r="B11932" i="1" s="1"/>
  <c r="C11933" i="1"/>
  <c r="E11933" i="1"/>
  <c r="F11933" i="1"/>
  <c r="B11933" i="1" s="1"/>
  <c r="C11934" i="1"/>
  <c r="E11934" i="1"/>
  <c r="F11934" i="1"/>
  <c r="B11934" i="1" s="1"/>
  <c r="C11935" i="1"/>
  <c r="E11935" i="1"/>
  <c r="F11935" i="1"/>
  <c r="B11935" i="1" s="1"/>
  <c r="C11936" i="1"/>
  <c r="E11936" i="1"/>
  <c r="F11936" i="1"/>
  <c r="B11936" i="1" s="1"/>
  <c r="C11937" i="1"/>
  <c r="E11937" i="1"/>
  <c r="F11937" i="1"/>
  <c r="B11937" i="1" s="1"/>
  <c r="C11938" i="1"/>
  <c r="E11938" i="1"/>
  <c r="F11938" i="1"/>
  <c r="B11938" i="1" s="1"/>
  <c r="C11939" i="1"/>
  <c r="E11939" i="1"/>
  <c r="F11939" i="1"/>
  <c r="B11939" i="1" s="1"/>
  <c r="C11940" i="1"/>
  <c r="E11940" i="1"/>
  <c r="F11940" i="1"/>
  <c r="B11940" i="1" s="1"/>
  <c r="C11941" i="1"/>
  <c r="E11941" i="1"/>
  <c r="F11941" i="1"/>
  <c r="B11941" i="1" s="1"/>
  <c r="C11942" i="1"/>
  <c r="E11942" i="1"/>
  <c r="F11942" i="1"/>
  <c r="B11942" i="1" s="1"/>
  <c r="C11943" i="1"/>
  <c r="E11943" i="1"/>
  <c r="F11943" i="1"/>
  <c r="B11943" i="1" s="1"/>
  <c r="C11944" i="1"/>
  <c r="E11944" i="1"/>
  <c r="F11944" i="1"/>
  <c r="B11944" i="1" s="1"/>
  <c r="C11945" i="1"/>
  <c r="E11945" i="1"/>
  <c r="F11945" i="1"/>
  <c r="B11945" i="1" s="1"/>
  <c r="C11946" i="1"/>
  <c r="E11946" i="1"/>
  <c r="F11946" i="1"/>
  <c r="B11946" i="1" s="1"/>
  <c r="C11947" i="1"/>
  <c r="E11947" i="1"/>
  <c r="F11947" i="1"/>
  <c r="B11947" i="1" s="1"/>
  <c r="C11948" i="1"/>
  <c r="E11948" i="1"/>
  <c r="F11948" i="1"/>
  <c r="B11948" i="1" s="1"/>
  <c r="C11949" i="1"/>
  <c r="E11949" i="1"/>
  <c r="F11949" i="1"/>
  <c r="B11949" i="1" s="1"/>
  <c r="C11950" i="1"/>
  <c r="E11950" i="1"/>
  <c r="F11950" i="1"/>
  <c r="B11950" i="1" s="1"/>
  <c r="C11951" i="1"/>
  <c r="E11951" i="1"/>
  <c r="F11951" i="1"/>
  <c r="B11951" i="1" s="1"/>
  <c r="C11952" i="1"/>
  <c r="E11952" i="1"/>
  <c r="F11952" i="1"/>
  <c r="B11952" i="1" s="1"/>
  <c r="C11953" i="1"/>
  <c r="E11953" i="1"/>
  <c r="F11953" i="1"/>
  <c r="B11953" i="1" s="1"/>
  <c r="C11954" i="1"/>
  <c r="E11954" i="1"/>
  <c r="F11954" i="1"/>
  <c r="B11954" i="1" s="1"/>
  <c r="C11955" i="1"/>
  <c r="E11955" i="1"/>
  <c r="F11955" i="1"/>
  <c r="B11955" i="1" s="1"/>
  <c r="C11956" i="1"/>
  <c r="E11956" i="1"/>
  <c r="F11956" i="1"/>
  <c r="B11956" i="1" s="1"/>
  <c r="C11957" i="1"/>
  <c r="E11957" i="1"/>
  <c r="F11957" i="1"/>
  <c r="B11957" i="1" s="1"/>
  <c r="C11958" i="1"/>
  <c r="E11958" i="1"/>
  <c r="F11958" i="1"/>
  <c r="B11958" i="1" s="1"/>
  <c r="C11959" i="1"/>
  <c r="E11959" i="1"/>
  <c r="F11959" i="1"/>
  <c r="B11959" i="1" s="1"/>
  <c r="C11960" i="1"/>
  <c r="E11960" i="1"/>
  <c r="F11960" i="1"/>
  <c r="B11960" i="1" s="1"/>
  <c r="C11961" i="1"/>
  <c r="E11961" i="1"/>
  <c r="F11961" i="1"/>
  <c r="B11961" i="1" s="1"/>
  <c r="C11962" i="1"/>
  <c r="E11962" i="1"/>
  <c r="F11962" i="1"/>
  <c r="B11962" i="1" s="1"/>
  <c r="C11963" i="1"/>
  <c r="E11963" i="1"/>
  <c r="F11963" i="1"/>
  <c r="B11963" i="1" s="1"/>
  <c r="C11964" i="1"/>
  <c r="E11964" i="1"/>
  <c r="F11964" i="1"/>
  <c r="B11964" i="1" s="1"/>
  <c r="C11965" i="1"/>
  <c r="E11965" i="1"/>
  <c r="F11965" i="1"/>
  <c r="B11965" i="1" s="1"/>
  <c r="C11966" i="1"/>
  <c r="E11966" i="1"/>
  <c r="F11966" i="1"/>
  <c r="B11966" i="1" s="1"/>
  <c r="C11967" i="1"/>
  <c r="E11967" i="1"/>
  <c r="F11967" i="1"/>
  <c r="B11967" i="1" s="1"/>
  <c r="C11968" i="1"/>
  <c r="E11968" i="1"/>
  <c r="F11968" i="1"/>
  <c r="B11968" i="1" s="1"/>
  <c r="C11969" i="1"/>
  <c r="E11969" i="1"/>
  <c r="F11969" i="1"/>
  <c r="B11969" i="1" s="1"/>
  <c r="C11970" i="1"/>
  <c r="E11970" i="1"/>
  <c r="F11970" i="1"/>
  <c r="B11970" i="1" s="1"/>
  <c r="C11971" i="1"/>
  <c r="E11971" i="1"/>
  <c r="F11971" i="1"/>
  <c r="B11971" i="1" s="1"/>
  <c r="C11972" i="1"/>
  <c r="E11972" i="1"/>
  <c r="F11972" i="1"/>
  <c r="B11972" i="1" s="1"/>
  <c r="C11973" i="1"/>
  <c r="E11973" i="1"/>
  <c r="F11973" i="1"/>
  <c r="B11973" i="1" s="1"/>
  <c r="C11974" i="1"/>
  <c r="E11974" i="1"/>
  <c r="F11974" i="1"/>
  <c r="B11974" i="1" s="1"/>
  <c r="C11975" i="1"/>
  <c r="E11975" i="1"/>
  <c r="F11975" i="1"/>
  <c r="B11975" i="1" s="1"/>
  <c r="C11976" i="1"/>
  <c r="E11976" i="1"/>
  <c r="F11976" i="1"/>
  <c r="B11976" i="1" s="1"/>
  <c r="C11977" i="1"/>
  <c r="E11977" i="1"/>
  <c r="F11977" i="1"/>
  <c r="B11977" i="1" s="1"/>
  <c r="C11978" i="1"/>
  <c r="E11978" i="1"/>
  <c r="F11978" i="1"/>
  <c r="B11978" i="1" s="1"/>
  <c r="C11979" i="1"/>
  <c r="E11979" i="1"/>
  <c r="F11979" i="1"/>
  <c r="B11979" i="1" s="1"/>
  <c r="C11980" i="1"/>
  <c r="E11980" i="1"/>
  <c r="F11980" i="1"/>
  <c r="B11980" i="1" s="1"/>
  <c r="C11981" i="1"/>
  <c r="E11981" i="1"/>
  <c r="F11981" i="1"/>
  <c r="B11981" i="1" s="1"/>
  <c r="C11982" i="1"/>
  <c r="E11982" i="1"/>
  <c r="F11982" i="1"/>
  <c r="B11982" i="1" s="1"/>
  <c r="C11983" i="1"/>
  <c r="E11983" i="1"/>
  <c r="F11983" i="1"/>
  <c r="B11983" i="1" s="1"/>
  <c r="C11984" i="1"/>
  <c r="E11984" i="1"/>
  <c r="F11984" i="1"/>
  <c r="B11984" i="1" s="1"/>
  <c r="C11985" i="1"/>
  <c r="E11985" i="1"/>
  <c r="F11985" i="1"/>
  <c r="B11985" i="1" s="1"/>
  <c r="C11986" i="1"/>
  <c r="E11986" i="1"/>
  <c r="F11986" i="1"/>
  <c r="B11986" i="1" s="1"/>
  <c r="C11987" i="1"/>
  <c r="E11987" i="1"/>
  <c r="F11987" i="1"/>
  <c r="B11987" i="1" s="1"/>
  <c r="C11988" i="1"/>
  <c r="E11988" i="1"/>
  <c r="F11988" i="1"/>
  <c r="B11988" i="1" s="1"/>
  <c r="C11989" i="1"/>
  <c r="E11989" i="1"/>
  <c r="F11989" i="1"/>
  <c r="B11989" i="1" s="1"/>
  <c r="C11990" i="1"/>
  <c r="E11990" i="1"/>
  <c r="F11990" i="1"/>
  <c r="B11990" i="1" s="1"/>
  <c r="C11991" i="1"/>
  <c r="E11991" i="1"/>
  <c r="F11991" i="1"/>
  <c r="B11991" i="1" s="1"/>
  <c r="C11992" i="1"/>
  <c r="E11992" i="1"/>
  <c r="F11992" i="1"/>
  <c r="B11992" i="1" s="1"/>
  <c r="C11993" i="1"/>
  <c r="E11993" i="1"/>
  <c r="F11993" i="1"/>
  <c r="B11993" i="1" s="1"/>
  <c r="C11994" i="1"/>
  <c r="E11994" i="1"/>
  <c r="F11994" i="1"/>
  <c r="B11994" i="1" s="1"/>
  <c r="C11995" i="1"/>
  <c r="E11995" i="1"/>
  <c r="F11995" i="1"/>
  <c r="B11995" i="1" s="1"/>
  <c r="C11996" i="1"/>
  <c r="E11996" i="1"/>
  <c r="F11996" i="1"/>
  <c r="B11996" i="1" s="1"/>
  <c r="C11997" i="1"/>
  <c r="E11997" i="1"/>
  <c r="F11997" i="1"/>
  <c r="B11997" i="1" s="1"/>
  <c r="C11998" i="1"/>
  <c r="E11998" i="1"/>
  <c r="F11998" i="1"/>
  <c r="B11998" i="1" s="1"/>
  <c r="C11999" i="1"/>
  <c r="E11999" i="1"/>
  <c r="F11999" i="1"/>
  <c r="B11999" i="1" s="1"/>
  <c r="C12000" i="1"/>
  <c r="E12000" i="1"/>
  <c r="F12000" i="1"/>
  <c r="B12000" i="1" s="1"/>
  <c r="C12001" i="1"/>
  <c r="E12001" i="1"/>
  <c r="F12001" i="1"/>
  <c r="B12001" i="1" s="1"/>
  <c r="C12002" i="1"/>
  <c r="E12002" i="1"/>
  <c r="F12002" i="1"/>
  <c r="B12002" i="1" s="1"/>
  <c r="C12003" i="1"/>
  <c r="E12003" i="1"/>
  <c r="F12003" i="1"/>
  <c r="B12003" i="1" s="1"/>
  <c r="C12004" i="1"/>
  <c r="E12004" i="1"/>
  <c r="F12004" i="1"/>
  <c r="B12004" i="1" s="1"/>
  <c r="C12005" i="1"/>
  <c r="E12005" i="1"/>
  <c r="F12005" i="1"/>
  <c r="B12005" i="1" s="1"/>
  <c r="C12006" i="1"/>
  <c r="E12006" i="1"/>
  <c r="F12006" i="1"/>
  <c r="B12006" i="1" s="1"/>
  <c r="C12007" i="1"/>
  <c r="E12007" i="1"/>
  <c r="F12007" i="1"/>
  <c r="B12007" i="1" s="1"/>
  <c r="C12008" i="1"/>
  <c r="E12008" i="1"/>
  <c r="F12008" i="1"/>
  <c r="B12008" i="1" s="1"/>
  <c r="C12009" i="1"/>
  <c r="E12009" i="1"/>
  <c r="F12009" i="1"/>
  <c r="B12009" i="1" s="1"/>
  <c r="C12010" i="1"/>
  <c r="E12010" i="1"/>
  <c r="F12010" i="1"/>
  <c r="B12010" i="1" s="1"/>
  <c r="C12011" i="1"/>
  <c r="E12011" i="1"/>
  <c r="F12011" i="1"/>
  <c r="B12011" i="1" s="1"/>
  <c r="C12012" i="1"/>
  <c r="E12012" i="1"/>
  <c r="F12012" i="1"/>
  <c r="B12012" i="1" s="1"/>
  <c r="C12013" i="1"/>
  <c r="E12013" i="1"/>
  <c r="F12013" i="1"/>
  <c r="B12013" i="1" s="1"/>
  <c r="C12014" i="1"/>
  <c r="E12014" i="1"/>
  <c r="F12014" i="1"/>
  <c r="B12014" i="1" s="1"/>
  <c r="C12015" i="1"/>
  <c r="E12015" i="1"/>
  <c r="F12015" i="1"/>
  <c r="B12015" i="1" s="1"/>
  <c r="C12016" i="1"/>
  <c r="E12016" i="1"/>
  <c r="F12016" i="1"/>
  <c r="B12016" i="1" s="1"/>
  <c r="C12017" i="1"/>
  <c r="E12017" i="1"/>
  <c r="F12017" i="1"/>
  <c r="B12017" i="1" s="1"/>
  <c r="C12018" i="1"/>
  <c r="E12018" i="1"/>
  <c r="F12018" i="1"/>
  <c r="B12018" i="1" s="1"/>
  <c r="C12019" i="1"/>
  <c r="E12019" i="1"/>
  <c r="F12019" i="1"/>
  <c r="B12019" i="1" s="1"/>
  <c r="C12020" i="1"/>
  <c r="E12020" i="1"/>
  <c r="F12020" i="1"/>
  <c r="B12020" i="1" s="1"/>
  <c r="C12021" i="1"/>
  <c r="E12021" i="1"/>
  <c r="F12021" i="1"/>
  <c r="B12021" i="1" s="1"/>
  <c r="C12022" i="1"/>
  <c r="E12022" i="1"/>
  <c r="F12022" i="1"/>
  <c r="B12022" i="1" s="1"/>
  <c r="C12023" i="1"/>
  <c r="E12023" i="1"/>
  <c r="F12023" i="1"/>
  <c r="B12023" i="1" s="1"/>
  <c r="C12024" i="1"/>
  <c r="E12024" i="1"/>
  <c r="F12024" i="1"/>
  <c r="B12024" i="1" s="1"/>
  <c r="C12025" i="1"/>
  <c r="E12025" i="1"/>
  <c r="F12025" i="1"/>
  <c r="B12025" i="1" s="1"/>
  <c r="C12026" i="1"/>
  <c r="E12026" i="1"/>
  <c r="F12026" i="1"/>
  <c r="B12026" i="1" s="1"/>
  <c r="C12027" i="1"/>
  <c r="E12027" i="1"/>
  <c r="F12027" i="1"/>
  <c r="B12027" i="1" s="1"/>
  <c r="C12028" i="1"/>
  <c r="E12028" i="1"/>
  <c r="F12028" i="1"/>
  <c r="B12028" i="1" s="1"/>
  <c r="C12029" i="1"/>
  <c r="E12029" i="1"/>
  <c r="F12029" i="1"/>
  <c r="B12029" i="1" s="1"/>
  <c r="C12030" i="1"/>
  <c r="E12030" i="1"/>
  <c r="F12030" i="1"/>
  <c r="B12030" i="1" s="1"/>
  <c r="C12031" i="1"/>
  <c r="E12031" i="1"/>
  <c r="F12031" i="1"/>
  <c r="B12031" i="1" s="1"/>
  <c r="C12032" i="1"/>
  <c r="E12032" i="1"/>
  <c r="F12032" i="1"/>
  <c r="B12032" i="1" s="1"/>
  <c r="C12033" i="1"/>
  <c r="E12033" i="1"/>
  <c r="F12033" i="1"/>
  <c r="B12033" i="1" s="1"/>
  <c r="C12034" i="1"/>
  <c r="E12034" i="1"/>
  <c r="F12034" i="1"/>
  <c r="B12034" i="1" s="1"/>
  <c r="C12035" i="1"/>
  <c r="E12035" i="1"/>
  <c r="F12035" i="1"/>
  <c r="B12035" i="1" s="1"/>
  <c r="C12036" i="1"/>
  <c r="E12036" i="1"/>
  <c r="F12036" i="1"/>
  <c r="B12036" i="1" s="1"/>
  <c r="C12037" i="1"/>
  <c r="E12037" i="1"/>
  <c r="F12037" i="1"/>
  <c r="B12037" i="1" s="1"/>
  <c r="C12038" i="1"/>
  <c r="E12038" i="1"/>
  <c r="F12038" i="1"/>
  <c r="B12038" i="1" s="1"/>
  <c r="C12039" i="1"/>
  <c r="E12039" i="1"/>
  <c r="F12039" i="1"/>
  <c r="B12039" i="1" s="1"/>
  <c r="C12040" i="1"/>
  <c r="E12040" i="1"/>
  <c r="F12040" i="1"/>
  <c r="B12040" i="1" s="1"/>
  <c r="C12041" i="1"/>
  <c r="E12041" i="1"/>
  <c r="F12041" i="1"/>
  <c r="B12041" i="1" s="1"/>
  <c r="C12042" i="1"/>
  <c r="E12042" i="1"/>
  <c r="F12042" i="1"/>
  <c r="B12042" i="1" s="1"/>
  <c r="C12043" i="1"/>
  <c r="E12043" i="1"/>
  <c r="F12043" i="1"/>
  <c r="B12043" i="1" s="1"/>
  <c r="C12044" i="1"/>
  <c r="E12044" i="1"/>
  <c r="F12044" i="1"/>
  <c r="B12044" i="1" s="1"/>
  <c r="C12045" i="1"/>
  <c r="E12045" i="1"/>
  <c r="F12045" i="1"/>
  <c r="B12045" i="1" s="1"/>
  <c r="C12046" i="1"/>
  <c r="E12046" i="1"/>
  <c r="F12046" i="1"/>
  <c r="B12046" i="1" s="1"/>
  <c r="C12047" i="1"/>
  <c r="E12047" i="1"/>
  <c r="F12047" i="1"/>
  <c r="B12047" i="1" s="1"/>
  <c r="C12048" i="1"/>
  <c r="E12048" i="1"/>
  <c r="F12048" i="1"/>
  <c r="B12048" i="1" s="1"/>
  <c r="C12049" i="1"/>
  <c r="E12049" i="1"/>
  <c r="F12049" i="1"/>
  <c r="B12049" i="1" s="1"/>
  <c r="C12050" i="1"/>
  <c r="E12050" i="1"/>
  <c r="F12050" i="1"/>
  <c r="B12050" i="1" s="1"/>
  <c r="C12051" i="1"/>
  <c r="E12051" i="1"/>
  <c r="F12051" i="1"/>
  <c r="B12051" i="1" s="1"/>
  <c r="C12052" i="1"/>
  <c r="E12052" i="1"/>
  <c r="F12052" i="1"/>
  <c r="B12052" i="1" s="1"/>
  <c r="C12053" i="1"/>
  <c r="E12053" i="1"/>
  <c r="F12053" i="1"/>
  <c r="B12053" i="1" s="1"/>
  <c r="C12054" i="1"/>
  <c r="E12054" i="1"/>
  <c r="F12054" i="1"/>
  <c r="B12054" i="1" s="1"/>
  <c r="C12055" i="1"/>
  <c r="E12055" i="1"/>
  <c r="F12055" i="1"/>
  <c r="B12055" i="1" s="1"/>
  <c r="C12056" i="1"/>
  <c r="E12056" i="1"/>
  <c r="F12056" i="1"/>
  <c r="B12056" i="1" s="1"/>
  <c r="C12057" i="1"/>
  <c r="E12057" i="1"/>
  <c r="F12057" i="1"/>
  <c r="B12057" i="1" s="1"/>
  <c r="C12058" i="1"/>
  <c r="E12058" i="1"/>
  <c r="F12058" i="1"/>
  <c r="B12058" i="1" s="1"/>
  <c r="C12059" i="1"/>
  <c r="E12059" i="1"/>
  <c r="F12059" i="1"/>
  <c r="B12059" i="1" s="1"/>
  <c r="C12060" i="1"/>
  <c r="E12060" i="1"/>
  <c r="F12060" i="1"/>
  <c r="B12060" i="1" s="1"/>
  <c r="C12061" i="1"/>
  <c r="E12061" i="1"/>
  <c r="F12061" i="1"/>
  <c r="B12061" i="1" s="1"/>
  <c r="C12062" i="1"/>
  <c r="E12062" i="1"/>
  <c r="F12062" i="1"/>
  <c r="B12062" i="1" s="1"/>
  <c r="C12063" i="1"/>
  <c r="E12063" i="1"/>
  <c r="F12063" i="1"/>
  <c r="B12063" i="1" s="1"/>
  <c r="C12064" i="1"/>
  <c r="E12064" i="1"/>
  <c r="F12064" i="1"/>
  <c r="B12064" i="1" s="1"/>
  <c r="C12065" i="1"/>
  <c r="E12065" i="1"/>
  <c r="F12065" i="1"/>
  <c r="B12065" i="1" s="1"/>
  <c r="C12066" i="1"/>
  <c r="E12066" i="1"/>
  <c r="F12066" i="1"/>
  <c r="B12066" i="1" s="1"/>
  <c r="C12067" i="1"/>
  <c r="E12067" i="1"/>
  <c r="F12067" i="1"/>
  <c r="B12067" i="1" s="1"/>
  <c r="C12068" i="1"/>
  <c r="E12068" i="1"/>
  <c r="F12068" i="1"/>
  <c r="B12068" i="1" s="1"/>
  <c r="C12069" i="1"/>
  <c r="E12069" i="1"/>
  <c r="F12069" i="1"/>
  <c r="B12069" i="1" s="1"/>
  <c r="C12070" i="1"/>
  <c r="E12070" i="1"/>
  <c r="F12070" i="1"/>
  <c r="B12070" i="1" s="1"/>
  <c r="C12071" i="1"/>
  <c r="E12071" i="1"/>
  <c r="F12071" i="1"/>
  <c r="B12071" i="1" s="1"/>
  <c r="C12072" i="1"/>
  <c r="E12072" i="1"/>
  <c r="F12072" i="1"/>
  <c r="B12072" i="1" s="1"/>
  <c r="C12073" i="1"/>
  <c r="E12073" i="1"/>
  <c r="F12073" i="1"/>
  <c r="B12073" i="1" s="1"/>
  <c r="C12074" i="1"/>
  <c r="E12074" i="1"/>
  <c r="F12074" i="1"/>
  <c r="B12074" i="1" s="1"/>
  <c r="C12075" i="1"/>
  <c r="E12075" i="1"/>
  <c r="F12075" i="1"/>
  <c r="B12075" i="1" s="1"/>
  <c r="C12076" i="1"/>
  <c r="E12076" i="1"/>
  <c r="F12076" i="1"/>
  <c r="B12076" i="1" s="1"/>
  <c r="C12077" i="1"/>
  <c r="E12077" i="1"/>
  <c r="F12077" i="1"/>
  <c r="B12077" i="1" s="1"/>
  <c r="C12078" i="1"/>
  <c r="E12078" i="1"/>
  <c r="F12078" i="1"/>
  <c r="B12078" i="1" s="1"/>
  <c r="C12079" i="1"/>
  <c r="E12079" i="1"/>
  <c r="F12079" i="1"/>
  <c r="B12079" i="1" s="1"/>
  <c r="C12080" i="1"/>
  <c r="E12080" i="1"/>
  <c r="F12080" i="1"/>
  <c r="B12080" i="1" s="1"/>
  <c r="C12081" i="1"/>
  <c r="E12081" i="1"/>
  <c r="F12081" i="1"/>
  <c r="B12081" i="1" s="1"/>
  <c r="C12082" i="1"/>
  <c r="E12082" i="1"/>
  <c r="F12082" i="1"/>
  <c r="B12082" i="1" s="1"/>
  <c r="C12083" i="1"/>
  <c r="E12083" i="1"/>
  <c r="F12083" i="1"/>
  <c r="B12083" i="1" s="1"/>
  <c r="C12084" i="1"/>
  <c r="E12084" i="1"/>
  <c r="F12084" i="1"/>
  <c r="B12084" i="1" s="1"/>
  <c r="C12085" i="1"/>
  <c r="E12085" i="1"/>
  <c r="F12085" i="1"/>
  <c r="B12085" i="1" s="1"/>
  <c r="C12086" i="1"/>
  <c r="E12086" i="1"/>
  <c r="F12086" i="1"/>
  <c r="B12086" i="1" s="1"/>
  <c r="C12087" i="1"/>
  <c r="E12087" i="1"/>
  <c r="F12087" i="1"/>
  <c r="B12087" i="1" s="1"/>
  <c r="C12088" i="1"/>
  <c r="E12088" i="1"/>
  <c r="F12088" i="1"/>
  <c r="B12088" i="1" s="1"/>
  <c r="C12089" i="1"/>
  <c r="E12089" i="1"/>
  <c r="F12089" i="1"/>
  <c r="B12089" i="1" s="1"/>
  <c r="C12090" i="1"/>
  <c r="E12090" i="1"/>
  <c r="F12090" i="1"/>
  <c r="B12090" i="1" s="1"/>
  <c r="C12091" i="1"/>
  <c r="E12091" i="1"/>
  <c r="F12091" i="1"/>
  <c r="B12091" i="1" s="1"/>
  <c r="C12092" i="1"/>
  <c r="E12092" i="1"/>
  <c r="F12092" i="1"/>
  <c r="B12092" i="1" s="1"/>
  <c r="C12093" i="1"/>
  <c r="E12093" i="1"/>
  <c r="F12093" i="1"/>
  <c r="B12093" i="1" s="1"/>
  <c r="C12094" i="1"/>
  <c r="E12094" i="1"/>
  <c r="F12094" i="1"/>
  <c r="B12094" i="1" s="1"/>
  <c r="C12095" i="1"/>
  <c r="E12095" i="1"/>
  <c r="F12095" i="1"/>
  <c r="B12095" i="1" s="1"/>
  <c r="C12096" i="1"/>
  <c r="E12096" i="1"/>
  <c r="F12096" i="1"/>
  <c r="B12096" i="1" s="1"/>
  <c r="C12097" i="1"/>
  <c r="E12097" i="1"/>
  <c r="F12097" i="1"/>
  <c r="B12097" i="1" s="1"/>
  <c r="C12098" i="1"/>
  <c r="E12098" i="1"/>
  <c r="F12098" i="1"/>
  <c r="B12098" i="1" s="1"/>
  <c r="C12099" i="1"/>
  <c r="E12099" i="1"/>
  <c r="F12099" i="1"/>
  <c r="B12099" i="1" s="1"/>
  <c r="C12100" i="1"/>
  <c r="E12100" i="1"/>
  <c r="F12100" i="1"/>
  <c r="B12100" i="1" s="1"/>
  <c r="C12101" i="1"/>
  <c r="E12101" i="1"/>
  <c r="F12101" i="1"/>
  <c r="B12101" i="1" s="1"/>
  <c r="C12102" i="1"/>
  <c r="E12102" i="1"/>
  <c r="F12102" i="1"/>
  <c r="B12102" i="1" s="1"/>
  <c r="C12103" i="1"/>
  <c r="E12103" i="1"/>
  <c r="F12103" i="1"/>
  <c r="B12103" i="1" s="1"/>
  <c r="C12104" i="1"/>
  <c r="E12104" i="1"/>
  <c r="F12104" i="1"/>
  <c r="B12104" i="1" s="1"/>
  <c r="C12105" i="1"/>
  <c r="E12105" i="1"/>
  <c r="F12105" i="1"/>
  <c r="B12105" i="1" s="1"/>
  <c r="C12106" i="1"/>
  <c r="E12106" i="1"/>
  <c r="F12106" i="1"/>
  <c r="B12106" i="1" s="1"/>
  <c r="C12107" i="1"/>
  <c r="E12107" i="1"/>
  <c r="F12107" i="1"/>
  <c r="B12107" i="1" s="1"/>
  <c r="C12108" i="1"/>
  <c r="E12108" i="1"/>
  <c r="F12108" i="1"/>
  <c r="B12108" i="1" s="1"/>
  <c r="C12109" i="1"/>
  <c r="E12109" i="1"/>
  <c r="F12109" i="1"/>
  <c r="B12109" i="1" s="1"/>
  <c r="C12110" i="1"/>
  <c r="E12110" i="1"/>
  <c r="F12110" i="1"/>
  <c r="B12110" i="1" s="1"/>
  <c r="C12111" i="1"/>
  <c r="E12111" i="1"/>
  <c r="F12111" i="1"/>
  <c r="B12111" i="1" s="1"/>
  <c r="C12112" i="1"/>
  <c r="E12112" i="1"/>
  <c r="F12112" i="1"/>
  <c r="B12112" i="1" s="1"/>
  <c r="C12113" i="1"/>
  <c r="E12113" i="1"/>
  <c r="F12113" i="1"/>
  <c r="B12113" i="1" s="1"/>
  <c r="C12114" i="1"/>
  <c r="E12114" i="1"/>
  <c r="F12114" i="1"/>
  <c r="B12114" i="1" s="1"/>
  <c r="C12115" i="1"/>
  <c r="E12115" i="1"/>
  <c r="F12115" i="1"/>
  <c r="B12115" i="1" s="1"/>
  <c r="C12116" i="1"/>
  <c r="E12116" i="1"/>
  <c r="F12116" i="1"/>
  <c r="B12116" i="1" s="1"/>
  <c r="C12117" i="1"/>
  <c r="E12117" i="1"/>
  <c r="F12117" i="1"/>
  <c r="B12117" i="1" s="1"/>
  <c r="C12118" i="1"/>
  <c r="E12118" i="1"/>
  <c r="F12118" i="1"/>
  <c r="B12118" i="1" s="1"/>
  <c r="C12119" i="1"/>
  <c r="E12119" i="1"/>
  <c r="F12119" i="1"/>
  <c r="B12119" i="1" s="1"/>
  <c r="C12120" i="1"/>
  <c r="E12120" i="1"/>
  <c r="F12120" i="1"/>
  <c r="B12120" i="1" s="1"/>
  <c r="C12121" i="1"/>
  <c r="E12121" i="1"/>
  <c r="F12121" i="1"/>
  <c r="B12121" i="1" s="1"/>
  <c r="C12122" i="1"/>
  <c r="E12122" i="1"/>
  <c r="F12122" i="1"/>
  <c r="B12122" i="1" s="1"/>
  <c r="C12123" i="1"/>
  <c r="E12123" i="1"/>
  <c r="F12123" i="1"/>
  <c r="B12123" i="1" s="1"/>
  <c r="C12124" i="1"/>
  <c r="E12124" i="1"/>
  <c r="F12124" i="1"/>
  <c r="B12124" i="1" s="1"/>
  <c r="C12125" i="1"/>
  <c r="E12125" i="1"/>
  <c r="F12125" i="1"/>
  <c r="B12125" i="1" s="1"/>
  <c r="C12126" i="1"/>
  <c r="E12126" i="1"/>
  <c r="F12126" i="1"/>
  <c r="B12126" i="1" s="1"/>
  <c r="C12127" i="1"/>
  <c r="E12127" i="1"/>
  <c r="F12127" i="1"/>
  <c r="B12127" i="1" s="1"/>
  <c r="C12128" i="1"/>
  <c r="E12128" i="1"/>
  <c r="F12128" i="1"/>
  <c r="B12128" i="1" s="1"/>
  <c r="C12129" i="1"/>
  <c r="E12129" i="1"/>
  <c r="F12129" i="1"/>
  <c r="B12129" i="1" s="1"/>
  <c r="C12130" i="1"/>
  <c r="E12130" i="1"/>
  <c r="F12130" i="1"/>
  <c r="B12130" i="1" s="1"/>
  <c r="C12131" i="1"/>
  <c r="E12131" i="1"/>
  <c r="F12131" i="1"/>
  <c r="B12131" i="1" s="1"/>
  <c r="C12132" i="1"/>
  <c r="E12132" i="1"/>
  <c r="F12132" i="1"/>
  <c r="B12132" i="1" s="1"/>
  <c r="C12133" i="1"/>
  <c r="E12133" i="1"/>
  <c r="F12133" i="1"/>
  <c r="B12133" i="1" s="1"/>
  <c r="C12134" i="1"/>
  <c r="E12134" i="1"/>
  <c r="F12134" i="1"/>
  <c r="B12134" i="1" s="1"/>
  <c r="C12135" i="1"/>
  <c r="E12135" i="1"/>
  <c r="F12135" i="1"/>
  <c r="B12135" i="1" s="1"/>
  <c r="C12136" i="1"/>
  <c r="E12136" i="1"/>
  <c r="F12136" i="1"/>
  <c r="B12136" i="1" s="1"/>
  <c r="C12137" i="1"/>
  <c r="E12137" i="1"/>
  <c r="F12137" i="1"/>
  <c r="B12137" i="1" s="1"/>
  <c r="C12138" i="1"/>
  <c r="E12138" i="1"/>
  <c r="F12138" i="1"/>
  <c r="B12138" i="1" s="1"/>
  <c r="C12139" i="1"/>
  <c r="E12139" i="1"/>
  <c r="F12139" i="1"/>
  <c r="B12139" i="1" s="1"/>
  <c r="C12140" i="1"/>
  <c r="E12140" i="1"/>
  <c r="F12140" i="1"/>
  <c r="B12140" i="1" s="1"/>
  <c r="C12141" i="1"/>
  <c r="E12141" i="1"/>
  <c r="F12141" i="1"/>
  <c r="B12141" i="1" s="1"/>
  <c r="C12142" i="1"/>
  <c r="E12142" i="1"/>
  <c r="F12142" i="1"/>
  <c r="B12142" i="1" s="1"/>
  <c r="C12143" i="1"/>
  <c r="E12143" i="1"/>
  <c r="F12143" i="1"/>
  <c r="B12143" i="1" s="1"/>
  <c r="C12144" i="1"/>
  <c r="E12144" i="1"/>
  <c r="F12144" i="1"/>
  <c r="B12144" i="1" s="1"/>
  <c r="C12145" i="1"/>
  <c r="E12145" i="1"/>
  <c r="F12145" i="1"/>
  <c r="B12145" i="1" s="1"/>
  <c r="C12146" i="1"/>
  <c r="E12146" i="1"/>
  <c r="F12146" i="1"/>
  <c r="B12146" i="1" s="1"/>
  <c r="C12147" i="1"/>
  <c r="E12147" i="1"/>
  <c r="F12147" i="1"/>
  <c r="B12147" i="1" s="1"/>
  <c r="C12148" i="1"/>
  <c r="E12148" i="1"/>
  <c r="F12148" i="1"/>
  <c r="B12148" i="1" s="1"/>
  <c r="C12149" i="1"/>
  <c r="E12149" i="1"/>
  <c r="F12149" i="1"/>
  <c r="B12149" i="1" s="1"/>
  <c r="C12150" i="1"/>
  <c r="E12150" i="1"/>
  <c r="F12150" i="1"/>
  <c r="B12150" i="1" s="1"/>
  <c r="C12151" i="1"/>
  <c r="E12151" i="1"/>
  <c r="F12151" i="1"/>
  <c r="B12151" i="1" s="1"/>
  <c r="C12152" i="1"/>
  <c r="E12152" i="1"/>
  <c r="F12152" i="1"/>
  <c r="B12152" i="1" s="1"/>
  <c r="C12153" i="1"/>
  <c r="E12153" i="1"/>
  <c r="F12153" i="1"/>
  <c r="B12153" i="1" s="1"/>
  <c r="C12154" i="1"/>
  <c r="E12154" i="1"/>
  <c r="F12154" i="1"/>
  <c r="B12154" i="1" s="1"/>
  <c r="C12155" i="1"/>
  <c r="E12155" i="1"/>
  <c r="F12155" i="1"/>
  <c r="B12155" i="1" s="1"/>
  <c r="C12156" i="1"/>
  <c r="E12156" i="1"/>
  <c r="F12156" i="1"/>
  <c r="B12156" i="1" s="1"/>
  <c r="C12157" i="1"/>
  <c r="E12157" i="1"/>
  <c r="F12157" i="1"/>
  <c r="B12157" i="1" s="1"/>
  <c r="C12158" i="1"/>
  <c r="E12158" i="1"/>
  <c r="F12158" i="1"/>
  <c r="B12158" i="1" s="1"/>
  <c r="C12159" i="1"/>
  <c r="E12159" i="1"/>
  <c r="F12159" i="1"/>
  <c r="B12159" i="1" s="1"/>
  <c r="C12160" i="1"/>
  <c r="E12160" i="1"/>
  <c r="F12160" i="1"/>
  <c r="B12160" i="1" s="1"/>
  <c r="C12161" i="1"/>
  <c r="E12161" i="1"/>
  <c r="F12161" i="1"/>
  <c r="B12161" i="1" s="1"/>
  <c r="C12162" i="1"/>
  <c r="E12162" i="1"/>
  <c r="F12162" i="1"/>
  <c r="B12162" i="1" s="1"/>
  <c r="C12163" i="1"/>
  <c r="E12163" i="1"/>
  <c r="F12163" i="1"/>
  <c r="B12163" i="1" s="1"/>
  <c r="C12164" i="1"/>
  <c r="E12164" i="1"/>
  <c r="F12164" i="1"/>
  <c r="B12164" i="1" s="1"/>
  <c r="C12165" i="1"/>
  <c r="E12165" i="1"/>
  <c r="F12165" i="1"/>
  <c r="B12165" i="1" s="1"/>
  <c r="C12166" i="1"/>
  <c r="E12166" i="1"/>
  <c r="F12166" i="1"/>
  <c r="B12166" i="1" s="1"/>
  <c r="C12167" i="1"/>
  <c r="E12167" i="1"/>
  <c r="F12167" i="1"/>
  <c r="B12167" i="1" s="1"/>
  <c r="C12168" i="1"/>
  <c r="E12168" i="1"/>
  <c r="F12168" i="1"/>
  <c r="B12168" i="1" s="1"/>
  <c r="C12169" i="1"/>
  <c r="E12169" i="1"/>
  <c r="F12169" i="1"/>
  <c r="B12169" i="1" s="1"/>
  <c r="C12170" i="1"/>
  <c r="E12170" i="1"/>
  <c r="F12170" i="1"/>
  <c r="B12170" i="1" s="1"/>
  <c r="C12171" i="1"/>
  <c r="E12171" i="1"/>
  <c r="F12171" i="1"/>
  <c r="B12171" i="1" s="1"/>
  <c r="C12172" i="1"/>
  <c r="E12172" i="1"/>
  <c r="F12172" i="1"/>
  <c r="B12172" i="1" s="1"/>
  <c r="C12173" i="1"/>
  <c r="E12173" i="1"/>
  <c r="F12173" i="1"/>
  <c r="B12173" i="1" s="1"/>
  <c r="C12174" i="1"/>
  <c r="E12174" i="1"/>
  <c r="F12174" i="1"/>
  <c r="B12174" i="1" s="1"/>
  <c r="C12175" i="1"/>
  <c r="E12175" i="1"/>
  <c r="F12175" i="1"/>
  <c r="B12175" i="1" s="1"/>
  <c r="C12176" i="1"/>
  <c r="E12176" i="1"/>
  <c r="F12176" i="1"/>
  <c r="B12176" i="1" s="1"/>
  <c r="C12177" i="1"/>
  <c r="E12177" i="1"/>
  <c r="F12177" i="1"/>
  <c r="B12177" i="1" s="1"/>
  <c r="C12178" i="1"/>
  <c r="E12178" i="1"/>
  <c r="F12178" i="1"/>
  <c r="B12178" i="1" s="1"/>
  <c r="C12179" i="1"/>
  <c r="E12179" i="1"/>
  <c r="F12179" i="1"/>
  <c r="B12179" i="1" s="1"/>
  <c r="C12180" i="1"/>
  <c r="E12180" i="1"/>
  <c r="F12180" i="1"/>
  <c r="B12180" i="1" s="1"/>
  <c r="C12181" i="1"/>
  <c r="E12181" i="1"/>
  <c r="F12181" i="1"/>
  <c r="B12181" i="1" s="1"/>
  <c r="C12182" i="1"/>
  <c r="E12182" i="1"/>
  <c r="F12182" i="1"/>
  <c r="B12182" i="1" s="1"/>
  <c r="C12183" i="1"/>
  <c r="E12183" i="1"/>
  <c r="F12183" i="1"/>
  <c r="B12183" i="1" s="1"/>
  <c r="C12184" i="1"/>
  <c r="E12184" i="1"/>
  <c r="F12184" i="1"/>
  <c r="B12184" i="1" s="1"/>
  <c r="C12185" i="1"/>
  <c r="E12185" i="1"/>
  <c r="F12185" i="1"/>
  <c r="B12185" i="1" s="1"/>
  <c r="C12186" i="1"/>
  <c r="E12186" i="1"/>
  <c r="F12186" i="1"/>
  <c r="B12186" i="1" s="1"/>
  <c r="C12187" i="1"/>
  <c r="E12187" i="1"/>
  <c r="F12187" i="1"/>
  <c r="B12187" i="1" s="1"/>
  <c r="C12188" i="1"/>
  <c r="E12188" i="1"/>
  <c r="F12188" i="1"/>
  <c r="B12188" i="1" s="1"/>
  <c r="C12189" i="1"/>
  <c r="E12189" i="1"/>
  <c r="F12189" i="1"/>
  <c r="B12189" i="1" s="1"/>
  <c r="C12190" i="1"/>
  <c r="E12190" i="1"/>
  <c r="F12190" i="1"/>
  <c r="B12190" i="1" s="1"/>
  <c r="C12191" i="1"/>
  <c r="E12191" i="1"/>
  <c r="F12191" i="1"/>
  <c r="B12191" i="1" s="1"/>
  <c r="C12192" i="1"/>
  <c r="E12192" i="1"/>
  <c r="F12192" i="1"/>
  <c r="B12192" i="1" s="1"/>
  <c r="C12193" i="1"/>
  <c r="E12193" i="1"/>
  <c r="F12193" i="1"/>
  <c r="B12193" i="1" s="1"/>
  <c r="C12194" i="1"/>
  <c r="E12194" i="1"/>
  <c r="F12194" i="1"/>
  <c r="B12194" i="1" s="1"/>
  <c r="C12195" i="1"/>
  <c r="E12195" i="1"/>
  <c r="F12195" i="1"/>
  <c r="B12195" i="1" s="1"/>
  <c r="C12196" i="1"/>
  <c r="E12196" i="1"/>
  <c r="F12196" i="1"/>
  <c r="B12196" i="1" s="1"/>
  <c r="C12197" i="1"/>
  <c r="E12197" i="1"/>
  <c r="F12197" i="1"/>
  <c r="B12197" i="1" s="1"/>
  <c r="C12198" i="1"/>
  <c r="E12198" i="1"/>
  <c r="F12198" i="1"/>
  <c r="B12198" i="1" s="1"/>
  <c r="C12199" i="1"/>
  <c r="E12199" i="1"/>
  <c r="F12199" i="1"/>
  <c r="B12199" i="1" s="1"/>
  <c r="C12200" i="1"/>
  <c r="E12200" i="1"/>
  <c r="F12200" i="1"/>
  <c r="B12200" i="1" s="1"/>
  <c r="C12201" i="1"/>
  <c r="E12201" i="1"/>
  <c r="F12201" i="1"/>
  <c r="B12201" i="1" s="1"/>
  <c r="C12202" i="1"/>
  <c r="E12202" i="1"/>
  <c r="F12202" i="1"/>
  <c r="B12202" i="1" s="1"/>
  <c r="C12203" i="1"/>
  <c r="E12203" i="1"/>
  <c r="F12203" i="1"/>
  <c r="B12203" i="1" s="1"/>
  <c r="C12204" i="1"/>
  <c r="E12204" i="1"/>
  <c r="F12204" i="1"/>
  <c r="B12204" i="1" s="1"/>
  <c r="C12205" i="1"/>
  <c r="E12205" i="1"/>
  <c r="F12205" i="1"/>
  <c r="B12205" i="1" s="1"/>
  <c r="C12206" i="1"/>
  <c r="E12206" i="1"/>
  <c r="F12206" i="1"/>
  <c r="B12206" i="1" s="1"/>
  <c r="C12207" i="1"/>
  <c r="E12207" i="1"/>
  <c r="F12207" i="1"/>
  <c r="B12207" i="1" s="1"/>
  <c r="C12208" i="1"/>
  <c r="E12208" i="1"/>
  <c r="F12208" i="1"/>
  <c r="B12208" i="1" s="1"/>
  <c r="C12209" i="1"/>
  <c r="E12209" i="1"/>
  <c r="F12209" i="1"/>
  <c r="B12209" i="1" s="1"/>
  <c r="C12210" i="1"/>
  <c r="E12210" i="1"/>
  <c r="F12210" i="1"/>
  <c r="B12210" i="1" s="1"/>
  <c r="C12211" i="1"/>
  <c r="E12211" i="1"/>
  <c r="F12211" i="1"/>
  <c r="B12211" i="1" s="1"/>
  <c r="C12212" i="1"/>
  <c r="E12212" i="1"/>
  <c r="F12212" i="1"/>
  <c r="B12212" i="1" s="1"/>
  <c r="C12213" i="1"/>
  <c r="E12213" i="1"/>
  <c r="F12213" i="1"/>
  <c r="B12213" i="1" s="1"/>
  <c r="C12214" i="1"/>
  <c r="E12214" i="1"/>
  <c r="F12214" i="1"/>
  <c r="B12214" i="1" s="1"/>
  <c r="C12215" i="1"/>
  <c r="E12215" i="1"/>
  <c r="F12215" i="1"/>
  <c r="B12215" i="1" s="1"/>
  <c r="C12216" i="1"/>
  <c r="E12216" i="1"/>
  <c r="F12216" i="1"/>
  <c r="B12216" i="1" s="1"/>
  <c r="C12217" i="1"/>
  <c r="E12217" i="1"/>
  <c r="F12217" i="1"/>
  <c r="B12217" i="1" s="1"/>
  <c r="C12218" i="1"/>
  <c r="E12218" i="1"/>
  <c r="F12218" i="1"/>
  <c r="B12218" i="1" s="1"/>
  <c r="C12219" i="1"/>
  <c r="E12219" i="1"/>
  <c r="F12219" i="1"/>
  <c r="B12219" i="1" s="1"/>
  <c r="C12220" i="1"/>
  <c r="E12220" i="1"/>
  <c r="F12220" i="1"/>
  <c r="B12220" i="1" s="1"/>
  <c r="C12221" i="1"/>
  <c r="E12221" i="1"/>
  <c r="F12221" i="1"/>
  <c r="B12221" i="1" s="1"/>
  <c r="C12222" i="1"/>
  <c r="E12222" i="1"/>
  <c r="F12222" i="1"/>
  <c r="B12222" i="1" s="1"/>
  <c r="C12223" i="1"/>
  <c r="E12223" i="1"/>
  <c r="F12223" i="1"/>
  <c r="B12223" i="1" s="1"/>
  <c r="C12224" i="1"/>
  <c r="E12224" i="1"/>
  <c r="F12224" i="1"/>
  <c r="B12224" i="1" s="1"/>
  <c r="C12225" i="1"/>
  <c r="E12225" i="1"/>
  <c r="F12225" i="1"/>
  <c r="B12225" i="1" s="1"/>
  <c r="C12226" i="1"/>
  <c r="E12226" i="1"/>
  <c r="F12226" i="1"/>
  <c r="B12226" i="1" s="1"/>
  <c r="C12227" i="1"/>
  <c r="E12227" i="1"/>
  <c r="F12227" i="1"/>
  <c r="B12227" i="1" s="1"/>
  <c r="C12228" i="1"/>
  <c r="E12228" i="1"/>
  <c r="F12228" i="1"/>
  <c r="B12228" i="1" s="1"/>
  <c r="C12229" i="1"/>
  <c r="E12229" i="1"/>
  <c r="F12229" i="1"/>
  <c r="B12229" i="1" s="1"/>
  <c r="C12230" i="1"/>
  <c r="E12230" i="1"/>
  <c r="F12230" i="1"/>
  <c r="B12230" i="1" s="1"/>
  <c r="C12231" i="1"/>
  <c r="E12231" i="1"/>
  <c r="F12231" i="1"/>
  <c r="B12231" i="1" s="1"/>
  <c r="C12232" i="1"/>
  <c r="E12232" i="1"/>
  <c r="F12232" i="1"/>
  <c r="B12232" i="1" s="1"/>
  <c r="C12233" i="1"/>
  <c r="E12233" i="1"/>
  <c r="F12233" i="1"/>
  <c r="B12233" i="1" s="1"/>
  <c r="C12234" i="1"/>
  <c r="E12234" i="1"/>
  <c r="F12234" i="1"/>
  <c r="B12234" i="1" s="1"/>
  <c r="C12235" i="1"/>
  <c r="E12235" i="1"/>
  <c r="F12235" i="1"/>
  <c r="B12235" i="1" s="1"/>
  <c r="C12236" i="1"/>
  <c r="E12236" i="1"/>
  <c r="F12236" i="1"/>
  <c r="B12236" i="1" s="1"/>
  <c r="C12237" i="1"/>
  <c r="E12237" i="1"/>
  <c r="F12237" i="1"/>
  <c r="B12237" i="1" s="1"/>
  <c r="C12238" i="1"/>
  <c r="E12238" i="1"/>
  <c r="F12238" i="1"/>
  <c r="B12238" i="1" s="1"/>
  <c r="C12239" i="1"/>
  <c r="E12239" i="1"/>
  <c r="F12239" i="1"/>
  <c r="B12239" i="1" s="1"/>
  <c r="C12240" i="1"/>
  <c r="E12240" i="1"/>
  <c r="F12240" i="1"/>
  <c r="B12240" i="1" s="1"/>
  <c r="C12241" i="1"/>
  <c r="E12241" i="1"/>
  <c r="F12241" i="1"/>
  <c r="B12241" i="1" s="1"/>
  <c r="C12242" i="1"/>
  <c r="E12242" i="1"/>
  <c r="F12242" i="1"/>
  <c r="B12242" i="1" s="1"/>
  <c r="C12243" i="1"/>
  <c r="E12243" i="1"/>
  <c r="F12243" i="1"/>
  <c r="B12243" i="1" s="1"/>
  <c r="C12244" i="1"/>
  <c r="E12244" i="1"/>
  <c r="F12244" i="1"/>
  <c r="B12244" i="1" s="1"/>
  <c r="C12245" i="1"/>
  <c r="E12245" i="1"/>
  <c r="F12245" i="1"/>
  <c r="B12245" i="1" s="1"/>
  <c r="C12246" i="1"/>
  <c r="E12246" i="1"/>
  <c r="F12246" i="1"/>
  <c r="B12246" i="1" s="1"/>
  <c r="C12247" i="1"/>
  <c r="E12247" i="1"/>
  <c r="F12247" i="1"/>
  <c r="B12247" i="1" s="1"/>
  <c r="C12248" i="1"/>
  <c r="E12248" i="1"/>
  <c r="F12248" i="1"/>
  <c r="B12248" i="1" s="1"/>
  <c r="C12249" i="1"/>
  <c r="E12249" i="1"/>
  <c r="F12249" i="1"/>
  <c r="B12249" i="1" s="1"/>
  <c r="C12250" i="1"/>
  <c r="E12250" i="1"/>
  <c r="F12250" i="1"/>
  <c r="B12250" i="1" s="1"/>
  <c r="C12251" i="1"/>
  <c r="E12251" i="1"/>
  <c r="F12251" i="1"/>
  <c r="B12251" i="1" s="1"/>
  <c r="C12252" i="1"/>
  <c r="E12252" i="1"/>
  <c r="F12252" i="1"/>
  <c r="B12252" i="1" s="1"/>
  <c r="C12253" i="1"/>
  <c r="E12253" i="1"/>
  <c r="F12253" i="1"/>
  <c r="B12253" i="1" s="1"/>
  <c r="C12254" i="1"/>
  <c r="E12254" i="1"/>
  <c r="F12254" i="1"/>
  <c r="B12254" i="1" s="1"/>
  <c r="C12255" i="1"/>
  <c r="E12255" i="1"/>
  <c r="F12255" i="1"/>
  <c r="B12255" i="1" s="1"/>
  <c r="C12256" i="1"/>
  <c r="E12256" i="1"/>
  <c r="F12256" i="1"/>
  <c r="B12256" i="1" s="1"/>
  <c r="C12257" i="1"/>
  <c r="E12257" i="1"/>
  <c r="F12257" i="1"/>
  <c r="B12257" i="1" s="1"/>
  <c r="C12258" i="1"/>
  <c r="E12258" i="1"/>
  <c r="F12258" i="1"/>
  <c r="B12258" i="1" s="1"/>
  <c r="C12259" i="1"/>
  <c r="E12259" i="1"/>
  <c r="F12259" i="1"/>
  <c r="B12259" i="1" s="1"/>
  <c r="C12260" i="1"/>
  <c r="E12260" i="1"/>
  <c r="F12260" i="1"/>
  <c r="B12260" i="1" s="1"/>
  <c r="C12261" i="1"/>
  <c r="E12261" i="1"/>
  <c r="F12261" i="1"/>
  <c r="B12261" i="1" s="1"/>
  <c r="C12262" i="1"/>
  <c r="E12262" i="1"/>
  <c r="F12262" i="1"/>
  <c r="B12262" i="1" s="1"/>
  <c r="C12263" i="1"/>
  <c r="E12263" i="1"/>
  <c r="F12263" i="1"/>
  <c r="B12263" i="1" s="1"/>
  <c r="C12264" i="1"/>
  <c r="E12264" i="1"/>
  <c r="F12264" i="1"/>
  <c r="B12264" i="1" s="1"/>
  <c r="C12265" i="1"/>
  <c r="E12265" i="1"/>
  <c r="F12265" i="1"/>
  <c r="B12265" i="1" s="1"/>
  <c r="C12266" i="1"/>
  <c r="E12266" i="1"/>
  <c r="F12266" i="1"/>
  <c r="B12266" i="1" s="1"/>
  <c r="C12267" i="1"/>
  <c r="E12267" i="1"/>
  <c r="F12267" i="1"/>
  <c r="B12267" i="1" s="1"/>
  <c r="C12268" i="1"/>
  <c r="E12268" i="1"/>
  <c r="F12268" i="1"/>
  <c r="B12268" i="1" s="1"/>
  <c r="C12269" i="1"/>
  <c r="E12269" i="1"/>
  <c r="F12269" i="1"/>
  <c r="B12269" i="1" s="1"/>
  <c r="C12270" i="1"/>
  <c r="E12270" i="1"/>
  <c r="F12270" i="1"/>
  <c r="B12270" i="1" s="1"/>
  <c r="C12271" i="1"/>
  <c r="E12271" i="1"/>
  <c r="F12271" i="1"/>
  <c r="B12271" i="1" s="1"/>
  <c r="C12272" i="1"/>
  <c r="E12272" i="1"/>
  <c r="F12272" i="1"/>
  <c r="B12272" i="1" s="1"/>
  <c r="C12273" i="1"/>
  <c r="E12273" i="1"/>
  <c r="F12273" i="1"/>
  <c r="B12273" i="1" s="1"/>
  <c r="C12274" i="1"/>
  <c r="E12274" i="1"/>
  <c r="F12274" i="1"/>
  <c r="B12274" i="1" s="1"/>
  <c r="C12275" i="1"/>
  <c r="E12275" i="1"/>
  <c r="F12275" i="1"/>
  <c r="B12275" i="1" s="1"/>
  <c r="C12276" i="1"/>
  <c r="E12276" i="1"/>
  <c r="F12276" i="1"/>
  <c r="B12276" i="1" s="1"/>
  <c r="C12277" i="1"/>
  <c r="E12277" i="1"/>
  <c r="F12277" i="1"/>
  <c r="B12277" i="1" s="1"/>
  <c r="C12278" i="1"/>
  <c r="E12278" i="1"/>
  <c r="F12278" i="1"/>
  <c r="B12278" i="1" s="1"/>
  <c r="C12279" i="1"/>
  <c r="E12279" i="1"/>
  <c r="F12279" i="1"/>
  <c r="B12279" i="1" s="1"/>
  <c r="C12280" i="1"/>
  <c r="E12280" i="1"/>
  <c r="F12280" i="1"/>
  <c r="B12280" i="1" s="1"/>
  <c r="C12281" i="1"/>
  <c r="E12281" i="1"/>
  <c r="F12281" i="1"/>
  <c r="B12281" i="1" s="1"/>
  <c r="C12282" i="1"/>
  <c r="E12282" i="1"/>
  <c r="F12282" i="1"/>
  <c r="B12282" i="1" s="1"/>
  <c r="C12283" i="1"/>
  <c r="E12283" i="1"/>
  <c r="F12283" i="1"/>
  <c r="B12283" i="1" s="1"/>
  <c r="C12284" i="1"/>
  <c r="E12284" i="1"/>
  <c r="F12284" i="1"/>
  <c r="B12284" i="1" s="1"/>
  <c r="C12285" i="1"/>
  <c r="E12285" i="1"/>
  <c r="F12285" i="1"/>
  <c r="B12285" i="1" s="1"/>
  <c r="C12286" i="1"/>
  <c r="E12286" i="1"/>
  <c r="F12286" i="1"/>
  <c r="B12286" i="1" s="1"/>
  <c r="C12287" i="1"/>
  <c r="E12287" i="1"/>
  <c r="F12287" i="1"/>
  <c r="B12287" i="1" s="1"/>
  <c r="C12288" i="1"/>
  <c r="E12288" i="1"/>
  <c r="F12288" i="1"/>
  <c r="B12288" i="1" s="1"/>
  <c r="C12289" i="1"/>
  <c r="E12289" i="1"/>
  <c r="F12289" i="1"/>
  <c r="B12289" i="1" s="1"/>
  <c r="C12290" i="1"/>
  <c r="E12290" i="1"/>
  <c r="F12290" i="1"/>
  <c r="B12290" i="1" s="1"/>
  <c r="C12291" i="1"/>
  <c r="E12291" i="1"/>
  <c r="F12291" i="1"/>
  <c r="B12291" i="1" s="1"/>
  <c r="C12292" i="1"/>
  <c r="E12292" i="1"/>
  <c r="F12292" i="1"/>
  <c r="B12292" i="1" s="1"/>
  <c r="C12293" i="1"/>
  <c r="E12293" i="1"/>
  <c r="F12293" i="1"/>
  <c r="B12293" i="1" s="1"/>
  <c r="C12294" i="1"/>
  <c r="E12294" i="1"/>
  <c r="F12294" i="1"/>
  <c r="B12294" i="1" s="1"/>
  <c r="C12295" i="1"/>
  <c r="E12295" i="1"/>
  <c r="F12295" i="1"/>
  <c r="B12295" i="1" s="1"/>
  <c r="C12296" i="1"/>
  <c r="E12296" i="1"/>
  <c r="F12296" i="1"/>
  <c r="B12296" i="1" s="1"/>
  <c r="C12297" i="1"/>
  <c r="E12297" i="1"/>
  <c r="F12297" i="1"/>
  <c r="B12297" i="1" s="1"/>
  <c r="C12298" i="1"/>
  <c r="E12298" i="1"/>
  <c r="F12298" i="1"/>
  <c r="B12298" i="1" s="1"/>
  <c r="C12299" i="1"/>
  <c r="E12299" i="1"/>
  <c r="F12299" i="1"/>
  <c r="B12299" i="1" s="1"/>
  <c r="C12300" i="1"/>
  <c r="E12300" i="1"/>
  <c r="F12300" i="1"/>
  <c r="B12300" i="1" s="1"/>
  <c r="C12301" i="1"/>
  <c r="E12301" i="1"/>
  <c r="F12301" i="1"/>
  <c r="B12301" i="1" s="1"/>
  <c r="C12302" i="1"/>
  <c r="E12302" i="1"/>
  <c r="F12302" i="1"/>
  <c r="B12302" i="1" s="1"/>
  <c r="C12303" i="1"/>
  <c r="E12303" i="1"/>
  <c r="F12303" i="1"/>
  <c r="B12303" i="1" s="1"/>
  <c r="C12304" i="1"/>
  <c r="E12304" i="1"/>
  <c r="F12304" i="1"/>
  <c r="B12304" i="1" s="1"/>
  <c r="C12305" i="1"/>
  <c r="E12305" i="1"/>
  <c r="F12305" i="1"/>
  <c r="B12305" i="1" s="1"/>
  <c r="C12306" i="1"/>
  <c r="E12306" i="1"/>
  <c r="F12306" i="1"/>
  <c r="B12306" i="1" s="1"/>
  <c r="C12307" i="1"/>
  <c r="E12307" i="1"/>
  <c r="F12307" i="1"/>
  <c r="B12307" i="1" s="1"/>
  <c r="C12308" i="1"/>
  <c r="E12308" i="1"/>
  <c r="F12308" i="1"/>
  <c r="B12308" i="1" s="1"/>
  <c r="C12309" i="1"/>
  <c r="E12309" i="1"/>
  <c r="F12309" i="1"/>
  <c r="B12309" i="1" s="1"/>
  <c r="C12310" i="1"/>
  <c r="E12310" i="1"/>
  <c r="F12310" i="1"/>
  <c r="B12310" i="1" s="1"/>
  <c r="C12311" i="1"/>
  <c r="E12311" i="1"/>
  <c r="F12311" i="1"/>
  <c r="B12311" i="1" s="1"/>
  <c r="C12312" i="1"/>
  <c r="E12312" i="1"/>
  <c r="F12312" i="1"/>
  <c r="B12312" i="1" s="1"/>
  <c r="C12313" i="1"/>
  <c r="E12313" i="1"/>
  <c r="F12313" i="1"/>
  <c r="B12313" i="1" s="1"/>
  <c r="C12314" i="1"/>
  <c r="E12314" i="1"/>
  <c r="F12314" i="1"/>
  <c r="B12314" i="1" s="1"/>
  <c r="C12315" i="1"/>
  <c r="E12315" i="1"/>
  <c r="F12315" i="1"/>
  <c r="B12315" i="1" s="1"/>
  <c r="C12316" i="1"/>
  <c r="E12316" i="1"/>
  <c r="F12316" i="1"/>
  <c r="B12316" i="1" s="1"/>
  <c r="C12317" i="1"/>
  <c r="E12317" i="1"/>
  <c r="F12317" i="1"/>
  <c r="B12317" i="1" s="1"/>
  <c r="C12318" i="1"/>
  <c r="E12318" i="1"/>
  <c r="F12318" i="1"/>
  <c r="B12318" i="1" s="1"/>
  <c r="C12319" i="1"/>
  <c r="E12319" i="1"/>
  <c r="F12319" i="1"/>
  <c r="B12319" i="1" s="1"/>
  <c r="C12320" i="1"/>
  <c r="E12320" i="1"/>
  <c r="F12320" i="1"/>
  <c r="B12320" i="1" s="1"/>
  <c r="C12321" i="1"/>
  <c r="E12321" i="1"/>
  <c r="F12321" i="1"/>
  <c r="B12321" i="1" s="1"/>
  <c r="C12322" i="1"/>
  <c r="E12322" i="1"/>
  <c r="F12322" i="1"/>
  <c r="B12322" i="1" s="1"/>
  <c r="C12323" i="1"/>
  <c r="E12323" i="1"/>
  <c r="F12323" i="1"/>
  <c r="B12323" i="1" s="1"/>
  <c r="C12324" i="1"/>
  <c r="E12324" i="1"/>
  <c r="F12324" i="1"/>
  <c r="B12324" i="1" s="1"/>
  <c r="C12325" i="1"/>
  <c r="E12325" i="1"/>
  <c r="F12325" i="1"/>
  <c r="B12325" i="1" s="1"/>
  <c r="C12326" i="1"/>
  <c r="E12326" i="1"/>
  <c r="F12326" i="1"/>
  <c r="B12326" i="1" s="1"/>
  <c r="C12327" i="1"/>
  <c r="E12327" i="1"/>
  <c r="F12327" i="1"/>
  <c r="B12327" i="1" s="1"/>
  <c r="C12328" i="1"/>
  <c r="E12328" i="1"/>
  <c r="F12328" i="1"/>
  <c r="B12328" i="1" s="1"/>
  <c r="C12329" i="1"/>
  <c r="E12329" i="1"/>
  <c r="F12329" i="1"/>
  <c r="B12329" i="1" s="1"/>
  <c r="C12330" i="1"/>
  <c r="E12330" i="1"/>
  <c r="F12330" i="1"/>
  <c r="B12330" i="1" s="1"/>
  <c r="C12331" i="1"/>
  <c r="E12331" i="1"/>
  <c r="F12331" i="1"/>
  <c r="B12331" i="1" s="1"/>
  <c r="C12332" i="1"/>
  <c r="E12332" i="1"/>
  <c r="F12332" i="1"/>
  <c r="B12332" i="1" s="1"/>
  <c r="C12333" i="1"/>
  <c r="E12333" i="1"/>
  <c r="F12333" i="1"/>
  <c r="B12333" i="1" s="1"/>
  <c r="C12334" i="1"/>
  <c r="E12334" i="1"/>
  <c r="F12334" i="1"/>
  <c r="B12334" i="1" s="1"/>
  <c r="C12335" i="1"/>
  <c r="E12335" i="1"/>
  <c r="F12335" i="1"/>
  <c r="B12335" i="1" s="1"/>
  <c r="C12336" i="1"/>
  <c r="E12336" i="1"/>
  <c r="F12336" i="1"/>
  <c r="B12336" i="1" s="1"/>
  <c r="C12337" i="1"/>
  <c r="E12337" i="1"/>
  <c r="F12337" i="1"/>
  <c r="B12337" i="1" s="1"/>
  <c r="C12338" i="1"/>
  <c r="E12338" i="1"/>
  <c r="F12338" i="1"/>
  <c r="B12338" i="1" s="1"/>
  <c r="C12339" i="1"/>
  <c r="E12339" i="1"/>
  <c r="F12339" i="1"/>
  <c r="B12339" i="1" s="1"/>
  <c r="C12340" i="1"/>
  <c r="E12340" i="1"/>
  <c r="F12340" i="1"/>
  <c r="B12340" i="1" s="1"/>
  <c r="C12341" i="1"/>
  <c r="E12341" i="1"/>
  <c r="F12341" i="1"/>
  <c r="B12341" i="1" s="1"/>
  <c r="C12342" i="1"/>
  <c r="E12342" i="1"/>
  <c r="F12342" i="1"/>
  <c r="B12342" i="1" s="1"/>
  <c r="C12343" i="1"/>
  <c r="E12343" i="1"/>
  <c r="F12343" i="1"/>
  <c r="B12343" i="1" s="1"/>
  <c r="C12344" i="1"/>
  <c r="E12344" i="1"/>
  <c r="F12344" i="1"/>
  <c r="B12344" i="1" s="1"/>
  <c r="C12345" i="1"/>
  <c r="E12345" i="1"/>
  <c r="F12345" i="1"/>
  <c r="B12345" i="1" s="1"/>
  <c r="C12346" i="1"/>
  <c r="E12346" i="1"/>
  <c r="F12346" i="1"/>
  <c r="B12346" i="1" s="1"/>
  <c r="C12347" i="1"/>
  <c r="E12347" i="1"/>
  <c r="F12347" i="1"/>
  <c r="B12347" i="1" s="1"/>
  <c r="C12348" i="1"/>
  <c r="E12348" i="1"/>
  <c r="F12348" i="1"/>
  <c r="B12348" i="1" s="1"/>
  <c r="C12349" i="1"/>
  <c r="E12349" i="1"/>
  <c r="F12349" i="1"/>
  <c r="B12349" i="1" s="1"/>
  <c r="C12350" i="1"/>
  <c r="E12350" i="1"/>
  <c r="F12350" i="1"/>
  <c r="B12350" i="1" s="1"/>
  <c r="C12351" i="1"/>
  <c r="E12351" i="1"/>
  <c r="F12351" i="1"/>
  <c r="B12351" i="1" s="1"/>
  <c r="C12352" i="1"/>
  <c r="E12352" i="1"/>
  <c r="F12352" i="1"/>
  <c r="B12352" i="1" s="1"/>
  <c r="C12353" i="1"/>
  <c r="E12353" i="1"/>
  <c r="F12353" i="1"/>
  <c r="B12353" i="1" s="1"/>
  <c r="C12354" i="1"/>
  <c r="E12354" i="1"/>
  <c r="F12354" i="1"/>
  <c r="B12354" i="1" s="1"/>
  <c r="C12355" i="1"/>
  <c r="E12355" i="1"/>
  <c r="F12355" i="1"/>
  <c r="B12355" i="1" s="1"/>
  <c r="C12356" i="1"/>
  <c r="E12356" i="1"/>
  <c r="F12356" i="1"/>
  <c r="B12356" i="1" s="1"/>
  <c r="C12357" i="1"/>
  <c r="E12357" i="1"/>
  <c r="F12357" i="1"/>
  <c r="B12357" i="1" s="1"/>
  <c r="C12358" i="1"/>
  <c r="E12358" i="1"/>
  <c r="F12358" i="1"/>
  <c r="B12358" i="1" s="1"/>
  <c r="C12359" i="1"/>
  <c r="E12359" i="1"/>
  <c r="F12359" i="1"/>
  <c r="B12359" i="1" s="1"/>
  <c r="C12360" i="1"/>
  <c r="E12360" i="1"/>
  <c r="F12360" i="1"/>
  <c r="B12360" i="1" s="1"/>
  <c r="C12361" i="1"/>
  <c r="E12361" i="1"/>
  <c r="F12361" i="1"/>
  <c r="B12361" i="1" s="1"/>
  <c r="C12362" i="1"/>
  <c r="E12362" i="1"/>
  <c r="F12362" i="1"/>
  <c r="B12362" i="1" s="1"/>
  <c r="C12363" i="1"/>
  <c r="E12363" i="1"/>
  <c r="F12363" i="1"/>
  <c r="B12363" i="1" s="1"/>
  <c r="C12364" i="1"/>
  <c r="E12364" i="1"/>
  <c r="F12364" i="1"/>
  <c r="B12364" i="1" s="1"/>
  <c r="C12365" i="1"/>
  <c r="E12365" i="1"/>
  <c r="F12365" i="1"/>
  <c r="B12365" i="1" s="1"/>
  <c r="C12366" i="1"/>
  <c r="E12366" i="1"/>
  <c r="F12366" i="1"/>
  <c r="B12366" i="1" s="1"/>
  <c r="C12367" i="1"/>
  <c r="E12367" i="1"/>
  <c r="F12367" i="1"/>
  <c r="B12367" i="1" s="1"/>
  <c r="C12368" i="1"/>
  <c r="E12368" i="1"/>
  <c r="F12368" i="1"/>
  <c r="B12368" i="1" s="1"/>
  <c r="C12369" i="1"/>
  <c r="E12369" i="1"/>
  <c r="F12369" i="1"/>
  <c r="B12369" i="1" s="1"/>
  <c r="C12370" i="1"/>
  <c r="E12370" i="1"/>
  <c r="F12370" i="1"/>
  <c r="B12370" i="1" s="1"/>
  <c r="C12371" i="1"/>
  <c r="E12371" i="1"/>
  <c r="F12371" i="1"/>
  <c r="B12371" i="1" s="1"/>
  <c r="C12372" i="1"/>
  <c r="E12372" i="1"/>
  <c r="F12372" i="1"/>
  <c r="B12372" i="1" s="1"/>
  <c r="C12373" i="1"/>
  <c r="E12373" i="1"/>
  <c r="F12373" i="1"/>
  <c r="B12373" i="1" s="1"/>
  <c r="C12374" i="1"/>
  <c r="E12374" i="1"/>
  <c r="F12374" i="1"/>
  <c r="B12374" i="1" s="1"/>
  <c r="C12375" i="1"/>
  <c r="E12375" i="1"/>
  <c r="F12375" i="1"/>
  <c r="B12375" i="1" s="1"/>
  <c r="C12376" i="1"/>
  <c r="E12376" i="1"/>
  <c r="F12376" i="1"/>
  <c r="B12376" i="1" s="1"/>
  <c r="C12377" i="1"/>
  <c r="E12377" i="1"/>
  <c r="F12377" i="1"/>
  <c r="B12377" i="1" s="1"/>
  <c r="C12378" i="1"/>
  <c r="E12378" i="1"/>
  <c r="F12378" i="1"/>
  <c r="B12378" i="1" s="1"/>
  <c r="C12379" i="1"/>
  <c r="E12379" i="1"/>
  <c r="F12379" i="1"/>
  <c r="B12379" i="1" s="1"/>
  <c r="C12380" i="1"/>
  <c r="E12380" i="1"/>
  <c r="F12380" i="1"/>
  <c r="B12380" i="1" s="1"/>
  <c r="C12381" i="1"/>
  <c r="E12381" i="1"/>
  <c r="F12381" i="1"/>
  <c r="B12381" i="1" s="1"/>
  <c r="C12382" i="1"/>
  <c r="E12382" i="1"/>
  <c r="F12382" i="1"/>
  <c r="B12382" i="1" s="1"/>
  <c r="C12383" i="1"/>
  <c r="E12383" i="1"/>
  <c r="F12383" i="1"/>
  <c r="B12383" i="1" s="1"/>
  <c r="C12384" i="1"/>
  <c r="E12384" i="1"/>
  <c r="F12384" i="1"/>
  <c r="B12384" i="1" s="1"/>
  <c r="C12385" i="1"/>
  <c r="E12385" i="1"/>
  <c r="F12385" i="1"/>
  <c r="B12385" i="1" s="1"/>
  <c r="C12386" i="1"/>
  <c r="E12386" i="1"/>
  <c r="F12386" i="1"/>
  <c r="B12386" i="1" s="1"/>
  <c r="C12387" i="1"/>
  <c r="E12387" i="1"/>
  <c r="F12387" i="1"/>
  <c r="B12387" i="1" s="1"/>
  <c r="C12388" i="1"/>
  <c r="E12388" i="1"/>
  <c r="F12388" i="1"/>
  <c r="B12388" i="1" s="1"/>
  <c r="C12389" i="1"/>
  <c r="E12389" i="1"/>
  <c r="F12389" i="1"/>
  <c r="B12389" i="1" s="1"/>
  <c r="C12390" i="1"/>
  <c r="E12390" i="1"/>
  <c r="F12390" i="1"/>
  <c r="B12390" i="1" s="1"/>
  <c r="C12391" i="1"/>
  <c r="E12391" i="1"/>
  <c r="F12391" i="1"/>
  <c r="B12391" i="1" s="1"/>
  <c r="C12392" i="1"/>
  <c r="E12392" i="1"/>
  <c r="F12392" i="1"/>
  <c r="B12392" i="1" s="1"/>
  <c r="C12393" i="1"/>
  <c r="E12393" i="1"/>
  <c r="F12393" i="1"/>
  <c r="B12393" i="1" s="1"/>
  <c r="C12394" i="1"/>
  <c r="E12394" i="1"/>
  <c r="F12394" i="1"/>
  <c r="B12394" i="1" s="1"/>
  <c r="C12395" i="1"/>
  <c r="E12395" i="1"/>
  <c r="F12395" i="1"/>
  <c r="B12395" i="1" s="1"/>
  <c r="C12396" i="1"/>
  <c r="E12396" i="1"/>
  <c r="F12396" i="1"/>
  <c r="B12396" i="1" s="1"/>
  <c r="C12397" i="1"/>
  <c r="E12397" i="1"/>
  <c r="F12397" i="1"/>
  <c r="B12397" i="1" s="1"/>
  <c r="C12398" i="1"/>
  <c r="E12398" i="1"/>
  <c r="F12398" i="1"/>
  <c r="B12398" i="1" s="1"/>
  <c r="C12399" i="1"/>
  <c r="E12399" i="1"/>
  <c r="F12399" i="1"/>
  <c r="B12399" i="1" s="1"/>
  <c r="C12400" i="1"/>
  <c r="E12400" i="1"/>
  <c r="F12400" i="1"/>
  <c r="B12400" i="1" s="1"/>
  <c r="C12401" i="1"/>
  <c r="E12401" i="1"/>
  <c r="F12401" i="1"/>
  <c r="B12401" i="1" s="1"/>
  <c r="C12402" i="1"/>
  <c r="E12402" i="1"/>
  <c r="F12402" i="1"/>
  <c r="B12402" i="1" s="1"/>
  <c r="C12403" i="1"/>
  <c r="E12403" i="1"/>
  <c r="F12403" i="1"/>
  <c r="B12403" i="1" s="1"/>
  <c r="C12404" i="1"/>
  <c r="E12404" i="1"/>
  <c r="F12404" i="1"/>
  <c r="B12404" i="1" s="1"/>
  <c r="C12405" i="1"/>
  <c r="E12405" i="1"/>
  <c r="F12405" i="1"/>
  <c r="B12405" i="1" s="1"/>
  <c r="C12406" i="1"/>
  <c r="E12406" i="1"/>
  <c r="F12406" i="1"/>
  <c r="B12406" i="1" s="1"/>
  <c r="C12407" i="1"/>
  <c r="E12407" i="1"/>
  <c r="F12407" i="1"/>
  <c r="B12407" i="1" s="1"/>
  <c r="C12408" i="1"/>
  <c r="E12408" i="1"/>
  <c r="F12408" i="1"/>
  <c r="B12408" i="1" s="1"/>
  <c r="C12409" i="1"/>
  <c r="E12409" i="1"/>
  <c r="F12409" i="1"/>
  <c r="B12409" i="1" s="1"/>
  <c r="C12410" i="1"/>
  <c r="E12410" i="1"/>
  <c r="F12410" i="1"/>
  <c r="B12410" i="1" s="1"/>
  <c r="C12411" i="1"/>
  <c r="E12411" i="1"/>
  <c r="F12411" i="1"/>
  <c r="B12411" i="1" s="1"/>
  <c r="C12412" i="1"/>
  <c r="E12412" i="1"/>
  <c r="F12412" i="1"/>
  <c r="B12412" i="1" s="1"/>
  <c r="C12413" i="1"/>
  <c r="E12413" i="1"/>
  <c r="F12413" i="1"/>
  <c r="B12413" i="1" s="1"/>
  <c r="C12414" i="1"/>
  <c r="E12414" i="1"/>
  <c r="F12414" i="1"/>
  <c r="B12414" i="1" s="1"/>
  <c r="C12415" i="1"/>
  <c r="E12415" i="1"/>
  <c r="F12415" i="1"/>
  <c r="B12415" i="1" s="1"/>
  <c r="C12416" i="1"/>
  <c r="E12416" i="1"/>
  <c r="F12416" i="1"/>
  <c r="B12416" i="1" s="1"/>
  <c r="C12417" i="1"/>
  <c r="E12417" i="1"/>
  <c r="F12417" i="1"/>
  <c r="B12417" i="1" s="1"/>
  <c r="C12418" i="1"/>
  <c r="E12418" i="1"/>
  <c r="F12418" i="1"/>
  <c r="B12418" i="1" s="1"/>
  <c r="C12419" i="1"/>
  <c r="E12419" i="1"/>
  <c r="F12419" i="1"/>
  <c r="B12419" i="1" s="1"/>
  <c r="C12420" i="1"/>
  <c r="E12420" i="1"/>
  <c r="F12420" i="1"/>
  <c r="B12420" i="1" s="1"/>
  <c r="C12421" i="1"/>
  <c r="E12421" i="1"/>
  <c r="F12421" i="1"/>
  <c r="B12421" i="1" s="1"/>
  <c r="C12422" i="1"/>
  <c r="E12422" i="1"/>
  <c r="F12422" i="1"/>
  <c r="B12422" i="1" s="1"/>
  <c r="C12423" i="1"/>
  <c r="E12423" i="1"/>
  <c r="F12423" i="1"/>
  <c r="B12423" i="1" s="1"/>
  <c r="C12424" i="1"/>
  <c r="E12424" i="1"/>
  <c r="F12424" i="1"/>
  <c r="B12424" i="1" s="1"/>
  <c r="C12425" i="1"/>
  <c r="E12425" i="1"/>
  <c r="F12425" i="1"/>
  <c r="B12425" i="1" s="1"/>
  <c r="C12426" i="1"/>
  <c r="E12426" i="1"/>
  <c r="F12426" i="1"/>
  <c r="B12426" i="1" s="1"/>
  <c r="C12427" i="1"/>
  <c r="E12427" i="1"/>
  <c r="F12427" i="1"/>
  <c r="B12427" i="1" s="1"/>
  <c r="C12428" i="1"/>
  <c r="E12428" i="1"/>
  <c r="F12428" i="1"/>
  <c r="B12428" i="1" s="1"/>
  <c r="C12429" i="1"/>
  <c r="E12429" i="1"/>
  <c r="F12429" i="1"/>
  <c r="B12429" i="1" s="1"/>
  <c r="C12430" i="1"/>
  <c r="E12430" i="1"/>
  <c r="F12430" i="1"/>
  <c r="B12430" i="1" s="1"/>
  <c r="C12431" i="1"/>
  <c r="E12431" i="1"/>
  <c r="F12431" i="1"/>
  <c r="B12431" i="1" s="1"/>
  <c r="C12432" i="1"/>
  <c r="E12432" i="1"/>
  <c r="F12432" i="1"/>
  <c r="B12432" i="1" s="1"/>
  <c r="C12433" i="1"/>
  <c r="E12433" i="1"/>
  <c r="F12433" i="1"/>
  <c r="B12433" i="1" s="1"/>
  <c r="C12434" i="1"/>
  <c r="E12434" i="1"/>
  <c r="F12434" i="1"/>
  <c r="B12434" i="1" s="1"/>
  <c r="C12435" i="1"/>
  <c r="E12435" i="1"/>
  <c r="F12435" i="1"/>
  <c r="B12435" i="1" s="1"/>
  <c r="C12436" i="1"/>
  <c r="E12436" i="1"/>
  <c r="F12436" i="1"/>
  <c r="B12436" i="1" s="1"/>
  <c r="C12437" i="1"/>
  <c r="E12437" i="1"/>
  <c r="F12437" i="1"/>
  <c r="B12437" i="1" s="1"/>
  <c r="C12438" i="1"/>
  <c r="E12438" i="1"/>
  <c r="F12438" i="1"/>
  <c r="B12438" i="1" s="1"/>
  <c r="C12439" i="1"/>
  <c r="E12439" i="1"/>
  <c r="F12439" i="1"/>
  <c r="B12439" i="1" s="1"/>
  <c r="C12440" i="1"/>
  <c r="E12440" i="1"/>
  <c r="F12440" i="1"/>
  <c r="B12440" i="1" s="1"/>
  <c r="C12441" i="1"/>
  <c r="E12441" i="1"/>
  <c r="F12441" i="1"/>
  <c r="B12441" i="1" s="1"/>
  <c r="C12442" i="1"/>
  <c r="E12442" i="1"/>
  <c r="F12442" i="1"/>
  <c r="B12442" i="1" s="1"/>
  <c r="C12443" i="1"/>
  <c r="E12443" i="1"/>
  <c r="F12443" i="1"/>
  <c r="B12443" i="1" s="1"/>
  <c r="C12444" i="1"/>
  <c r="E12444" i="1"/>
  <c r="F12444" i="1"/>
  <c r="B12444" i="1" s="1"/>
  <c r="C12445" i="1"/>
  <c r="E12445" i="1"/>
  <c r="F12445" i="1"/>
  <c r="B12445" i="1" s="1"/>
  <c r="C12446" i="1"/>
  <c r="E12446" i="1"/>
  <c r="F12446" i="1"/>
  <c r="B12446" i="1" s="1"/>
  <c r="C12447" i="1"/>
  <c r="E12447" i="1"/>
  <c r="F12447" i="1"/>
  <c r="B12447" i="1" s="1"/>
  <c r="C12448" i="1"/>
  <c r="E12448" i="1"/>
  <c r="F12448" i="1"/>
  <c r="B12448" i="1" s="1"/>
  <c r="C12449" i="1"/>
  <c r="E12449" i="1"/>
  <c r="F12449" i="1"/>
  <c r="B12449" i="1" s="1"/>
  <c r="C12450" i="1"/>
  <c r="E12450" i="1"/>
  <c r="F12450" i="1"/>
  <c r="B12450" i="1" s="1"/>
  <c r="C12451" i="1"/>
  <c r="E12451" i="1"/>
  <c r="F12451" i="1"/>
  <c r="B12451" i="1" s="1"/>
  <c r="C12452" i="1"/>
  <c r="E12452" i="1"/>
  <c r="F12452" i="1"/>
  <c r="B12452" i="1" s="1"/>
  <c r="C12453" i="1"/>
  <c r="E12453" i="1"/>
  <c r="F12453" i="1"/>
  <c r="B12453" i="1" s="1"/>
  <c r="C12454" i="1"/>
  <c r="E12454" i="1"/>
  <c r="F12454" i="1"/>
  <c r="B12454" i="1" s="1"/>
  <c r="C12455" i="1"/>
  <c r="E12455" i="1"/>
  <c r="F12455" i="1"/>
  <c r="B12455" i="1" s="1"/>
  <c r="C12456" i="1"/>
  <c r="E12456" i="1"/>
  <c r="F12456" i="1"/>
  <c r="B12456" i="1" s="1"/>
  <c r="C12457" i="1"/>
  <c r="E12457" i="1"/>
  <c r="F12457" i="1"/>
  <c r="B12457" i="1" s="1"/>
  <c r="C12458" i="1"/>
  <c r="E12458" i="1"/>
  <c r="F12458" i="1"/>
  <c r="B12458" i="1" s="1"/>
  <c r="C12459" i="1"/>
  <c r="E12459" i="1"/>
  <c r="F12459" i="1"/>
  <c r="B12459" i="1" s="1"/>
  <c r="C12460" i="1"/>
  <c r="E12460" i="1"/>
  <c r="F12460" i="1"/>
  <c r="B12460" i="1" s="1"/>
  <c r="C12461" i="1"/>
  <c r="E12461" i="1"/>
  <c r="F12461" i="1"/>
  <c r="B12461" i="1" s="1"/>
  <c r="C12462" i="1"/>
  <c r="E12462" i="1"/>
  <c r="F12462" i="1"/>
  <c r="B12462" i="1" s="1"/>
  <c r="C12463" i="1"/>
  <c r="E12463" i="1"/>
  <c r="F12463" i="1"/>
  <c r="B12463" i="1" s="1"/>
  <c r="C12464" i="1"/>
  <c r="E12464" i="1"/>
  <c r="F12464" i="1"/>
  <c r="B12464" i="1" s="1"/>
  <c r="C12465" i="1"/>
  <c r="E12465" i="1"/>
  <c r="F12465" i="1"/>
  <c r="B12465" i="1" s="1"/>
  <c r="C12466" i="1"/>
  <c r="E12466" i="1"/>
  <c r="F12466" i="1"/>
  <c r="B12466" i="1" s="1"/>
  <c r="C12467" i="1"/>
  <c r="E12467" i="1"/>
  <c r="F12467" i="1"/>
  <c r="B12467" i="1" s="1"/>
  <c r="C12468" i="1"/>
  <c r="E12468" i="1"/>
  <c r="F12468" i="1"/>
  <c r="B12468" i="1" s="1"/>
  <c r="C12469" i="1"/>
  <c r="E12469" i="1"/>
  <c r="F12469" i="1"/>
  <c r="B12469" i="1" s="1"/>
  <c r="C12470" i="1"/>
  <c r="E12470" i="1"/>
  <c r="F12470" i="1"/>
  <c r="B12470" i="1" s="1"/>
  <c r="C12471" i="1"/>
  <c r="E12471" i="1"/>
  <c r="F12471" i="1"/>
  <c r="B12471" i="1" s="1"/>
  <c r="C12472" i="1"/>
  <c r="E12472" i="1"/>
  <c r="F12472" i="1"/>
  <c r="B12472" i="1" s="1"/>
  <c r="C12473" i="1"/>
  <c r="E12473" i="1"/>
  <c r="F12473" i="1"/>
  <c r="B12473" i="1" s="1"/>
  <c r="C12474" i="1"/>
  <c r="E12474" i="1"/>
  <c r="F12474" i="1"/>
  <c r="B12474" i="1" s="1"/>
  <c r="C12475" i="1"/>
  <c r="E12475" i="1"/>
  <c r="F12475" i="1"/>
  <c r="B12475" i="1" s="1"/>
  <c r="C12476" i="1"/>
  <c r="E12476" i="1"/>
  <c r="F12476" i="1"/>
  <c r="B12476" i="1" s="1"/>
  <c r="C12477" i="1"/>
  <c r="E12477" i="1"/>
  <c r="F12477" i="1"/>
  <c r="B12477" i="1" s="1"/>
  <c r="C12478" i="1"/>
  <c r="E12478" i="1"/>
  <c r="F12478" i="1"/>
  <c r="B12478" i="1" s="1"/>
  <c r="C12479" i="1"/>
  <c r="E12479" i="1"/>
  <c r="F12479" i="1"/>
  <c r="B12479" i="1" s="1"/>
  <c r="C12480" i="1"/>
  <c r="E12480" i="1"/>
  <c r="F12480" i="1"/>
  <c r="B12480" i="1" s="1"/>
  <c r="C12481" i="1"/>
  <c r="E12481" i="1"/>
  <c r="F12481" i="1"/>
  <c r="B12481" i="1" s="1"/>
  <c r="C12482" i="1"/>
  <c r="E12482" i="1"/>
  <c r="F12482" i="1"/>
  <c r="B12482" i="1" s="1"/>
  <c r="C12483" i="1"/>
  <c r="E12483" i="1"/>
  <c r="F12483" i="1"/>
  <c r="B12483" i="1" s="1"/>
  <c r="C12484" i="1"/>
  <c r="E12484" i="1"/>
  <c r="F12484" i="1"/>
  <c r="B12484" i="1" s="1"/>
  <c r="C12485" i="1"/>
  <c r="E12485" i="1"/>
  <c r="F12485" i="1"/>
  <c r="B12485" i="1" s="1"/>
  <c r="C12486" i="1"/>
  <c r="E12486" i="1"/>
  <c r="F12486" i="1"/>
  <c r="B12486" i="1" s="1"/>
  <c r="C12487" i="1"/>
  <c r="E12487" i="1"/>
  <c r="F12487" i="1"/>
  <c r="B12487" i="1" s="1"/>
  <c r="C12488" i="1"/>
  <c r="E12488" i="1"/>
  <c r="F12488" i="1"/>
  <c r="B12488" i="1" s="1"/>
  <c r="C12489" i="1"/>
  <c r="E12489" i="1"/>
  <c r="F12489" i="1"/>
  <c r="B12489" i="1" s="1"/>
  <c r="C12490" i="1"/>
  <c r="E12490" i="1"/>
  <c r="F12490" i="1"/>
  <c r="B12490" i="1" s="1"/>
  <c r="C12491" i="1"/>
  <c r="E12491" i="1"/>
  <c r="F12491" i="1"/>
  <c r="B12491" i="1" s="1"/>
  <c r="C12492" i="1"/>
  <c r="E12492" i="1"/>
  <c r="F12492" i="1"/>
  <c r="B12492" i="1" s="1"/>
  <c r="C12493" i="1"/>
  <c r="E12493" i="1"/>
  <c r="F12493" i="1"/>
  <c r="B12493" i="1" s="1"/>
  <c r="C12494" i="1"/>
  <c r="E12494" i="1"/>
  <c r="F12494" i="1"/>
  <c r="B12494" i="1" s="1"/>
  <c r="C12495" i="1"/>
  <c r="E12495" i="1"/>
  <c r="F12495" i="1"/>
  <c r="B12495" i="1" s="1"/>
  <c r="C12496" i="1"/>
  <c r="E12496" i="1"/>
  <c r="F12496" i="1"/>
  <c r="B12496" i="1" s="1"/>
  <c r="C12497" i="1"/>
  <c r="E12497" i="1"/>
  <c r="F12497" i="1"/>
  <c r="B12497" i="1" s="1"/>
  <c r="C12498" i="1"/>
  <c r="E12498" i="1"/>
  <c r="F12498" i="1"/>
  <c r="B12498" i="1" s="1"/>
  <c r="C12499" i="1"/>
  <c r="E12499" i="1"/>
  <c r="F12499" i="1"/>
  <c r="B12499" i="1" s="1"/>
  <c r="C12500" i="1"/>
  <c r="E12500" i="1"/>
  <c r="F12500" i="1"/>
  <c r="B12500" i="1" s="1"/>
  <c r="C12501" i="1"/>
  <c r="E12501" i="1"/>
  <c r="F12501" i="1"/>
  <c r="B12501" i="1" s="1"/>
  <c r="C12502" i="1"/>
  <c r="E12502" i="1"/>
  <c r="F12502" i="1"/>
  <c r="B12502" i="1" s="1"/>
  <c r="C12503" i="1"/>
  <c r="E12503" i="1"/>
  <c r="F12503" i="1"/>
  <c r="B12503" i="1" s="1"/>
  <c r="C12504" i="1"/>
  <c r="E12504" i="1"/>
  <c r="F12504" i="1"/>
  <c r="B12504" i="1" s="1"/>
  <c r="C12505" i="1"/>
  <c r="E12505" i="1"/>
  <c r="F12505" i="1"/>
  <c r="B12505" i="1" s="1"/>
  <c r="C12506" i="1"/>
  <c r="E12506" i="1"/>
  <c r="F12506" i="1"/>
  <c r="B12506" i="1" s="1"/>
  <c r="C12507" i="1"/>
  <c r="E12507" i="1"/>
  <c r="F12507" i="1"/>
  <c r="B12507" i="1" s="1"/>
  <c r="C12508" i="1"/>
  <c r="E12508" i="1"/>
  <c r="F12508" i="1"/>
  <c r="B12508" i="1" s="1"/>
  <c r="C12509" i="1"/>
  <c r="E12509" i="1"/>
  <c r="F12509" i="1"/>
  <c r="B12509" i="1" s="1"/>
  <c r="C12510" i="1"/>
  <c r="E12510" i="1"/>
  <c r="F12510" i="1"/>
  <c r="B12510" i="1" s="1"/>
  <c r="C12511" i="1"/>
  <c r="E12511" i="1"/>
  <c r="F12511" i="1"/>
  <c r="B12511" i="1" s="1"/>
  <c r="C12512" i="1"/>
  <c r="E12512" i="1"/>
  <c r="F12512" i="1"/>
  <c r="B12512" i="1" s="1"/>
  <c r="C12513" i="1"/>
  <c r="E12513" i="1"/>
  <c r="F12513" i="1"/>
  <c r="B12513" i="1" s="1"/>
  <c r="C12514" i="1"/>
  <c r="E12514" i="1"/>
  <c r="F12514" i="1"/>
  <c r="B12514" i="1" s="1"/>
  <c r="C12515" i="1"/>
  <c r="E12515" i="1"/>
  <c r="F12515" i="1"/>
  <c r="B12515" i="1" s="1"/>
  <c r="C12516" i="1"/>
  <c r="E12516" i="1"/>
  <c r="F12516" i="1"/>
  <c r="B12516" i="1" s="1"/>
  <c r="C12517" i="1"/>
  <c r="E12517" i="1"/>
  <c r="F12517" i="1"/>
  <c r="B12517" i="1" s="1"/>
  <c r="C12518" i="1"/>
  <c r="E12518" i="1"/>
  <c r="F12518" i="1"/>
  <c r="B12518" i="1" s="1"/>
  <c r="C12519" i="1"/>
  <c r="E12519" i="1"/>
  <c r="F12519" i="1"/>
  <c r="B12519" i="1" s="1"/>
  <c r="C12520" i="1"/>
  <c r="E12520" i="1"/>
  <c r="F12520" i="1"/>
  <c r="B12520" i="1" s="1"/>
  <c r="C12521" i="1"/>
  <c r="E12521" i="1"/>
  <c r="F12521" i="1"/>
  <c r="B12521" i="1" s="1"/>
  <c r="C12522" i="1"/>
  <c r="E12522" i="1"/>
  <c r="F12522" i="1"/>
  <c r="B12522" i="1" s="1"/>
  <c r="C12523" i="1"/>
  <c r="E12523" i="1"/>
  <c r="F12523" i="1"/>
  <c r="B12523" i="1" s="1"/>
  <c r="C12524" i="1"/>
  <c r="E12524" i="1"/>
  <c r="F12524" i="1"/>
  <c r="B12524" i="1" s="1"/>
  <c r="C12525" i="1"/>
  <c r="E12525" i="1"/>
  <c r="F12525" i="1"/>
  <c r="B12525" i="1" s="1"/>
  <c r="C12526" i="1"/>
  <c r="E12526" i="1"/>
  <c r="F12526" i="1"/>
  <c r="B12526" i="1" s="1"/>
  <c r="C12527" i="1"/>
  <c r="E12527" i="1"/>
  <c r="F12527" i="1"/>
  <c r="B12527" i="1" s="1"/>
  <c r="C12528" i="1"/>
  <c r="E12528" i="1"/>
  <c r="F12528" i="1"/>
  <c r="B12528" i="1" s="1"/>
  <c r="C12529" i="1"/>
  <c r="E12529" i="1"/>
  <c r="F12529" i="1"/>
  <c r="B12529" i="1" s="1"/>
  <c r="C12530" i="1"/>
  <c r="E12530" i="1"/>
  <c r="F12530" i="1"/>
  <c r="B12530" i="1" s="1"/>
  <c r="C12531" i="1"/>
  <c r="E12531" i="1"/>
  <c r="F12531" i="1"/>
  <c r="B12531" i="1" s="1"/>
  <c r="C12532" i="1"/>
  <c r="E12532" i="1"/>
  <c r="F12532" i="1"/>
  <c r="B12532" i="1" s="1"/>
  <c r="C12533" i="1"/>
  <c r="E12533" i="1"/>
  <c r="F12533" i="1"/>
  <c r="B12533" i="1" s="1"/>
  <c r="C12534" i="1"/>
  <c r="E12534" i="1"/>
  <c r="F12534" i="1"/>
  <c r="B12534" i="1" s="1"/>
  <c r="C12535" i="1"/>
  <c r="E12535" i="1"/>
  <c r="F12535" i="1"/>
  <c r="B12535" i="1" s="1"/>
  <c r="C12536" i="1"/>
  <c r="E12536" i="1"/>
  <c r="F12536" i="1"/>
  <c r="B12536" i="1" s="1"/>
  <c r="C12537" i="1"/>
  <c r="E12537" i="1"/>
  <c r="F12537" i="1"/>
  <c r="B12537" i="1" s="1"/>
  <c r="C12538" i="1"/>
  <c r="E12538" i="1"/>
  <c r="F12538" i="1"/>
  <c r="B12538" i="1" s="1"/>
  <c r="C12539" i="1"/>
  <c r="E12539" i="1"/>
  <c r="F12539" i="1"/>
  <c r="B12539" i="1" s="1"/>
  <c r="C12540" i="1"/>
  <c r="E12540" i="1"/>
  <c r="F12540" i="1"/>
  <c r="B12540" i="1" s="1"/>
  <c r="C12541" i="1"/>
  <c r="E12541" i="1"/>
  <c r="F12541" i="1"/>
  <c r="B12541" i="1" s="1"/>
  <c r="C12542" i="1"/>
  <c r="E12542" i="1"/>
  <c r="F12542" i="1"/>
  <c r="B12542" i="1" s="1"/>
  <c r="C12543" i="1"/>
  <c r="E12543" i="1"/>
  <c r="F12543" i="1"/>
  <c r="B12543" i="1" s="1"/>
  <c r="C12544" i="1"/>
  <c r="E12544" i="1"/>
  <c r="F12544" i="1"/>
  <c r="B12544" i="1" s="1"/>
  <c r="C12545" i="1"/>
  <c r="E12545" i="1"/>
  <c r="F12545" i="1"/>
  <c r="B12545" i="1" s="1"/>
  <c r="C12546" i="1"/>
  <c r="E12546" i="1"/>
  <c r="F12546" i="1"/>
  <c r="B12546" i="1" s="1"/>
  <c r="C12547" i="1"/>
  <c r="E12547" i="1"/>
  <c r="F12547" i="1"/>
  <c r="B12547" i="1" s="1"/>
  <c r="C12548" i="1"/>
  <c r="E12548" i="1"/>
  <c r="F12548" i="1"/>
  <c r="B12548" i="1" s="1"/>
  <c r="C12549" i="1"/>
  <c r="E12549" i="1"/>
  <c r="F12549" i="1"/>
  <c r="B12549" i="1" s="1"/>
  <c r="C12550" i="1"/>
  <c r="E12550" i="1"/>
  <c r="F12550" i="1"/>
  <c r="B12550" i="1" s="1"/>
  <c r="C12551" i="1"/>
  <c r="E12551" i="1"/>
  <c r="F12551" i="1"/>
  <c r="B12551" i="1" s="1"/>
  <c r="C12552" i="1"/>
  <c r="E12552" i="1"/>
  <c r="F12552" i="1"/>
  <c r="B12552" i="1" s="1"/>
  <c r="C12553" i="1"/>
  <c r="E12553" i="1"/>
  <c r="F12553" i="1"/>
  <c r="B12553" i="1" s="1"/>
  <c r="C12554" i="1"/>
  <c r="E12554" i="1"/>
  <c r="F12554" i="1"/>
  <c r="B12554" i="1" s="1"/>
  <c r="C12555" i="1"/>
  <c r="E12555" i="1"/>
  <c r="F12555" i="1"/>
  <c r="B12555" i="1" s="1"/>
  <c r="C12556" i="1"/>
  <c r="E12556" i="1"/>
  <c r="F12556" i="1"/>
  <c r="B12556" i="1" s="1"/>
  <c r="C12557" i="1"/>
  <c r="E12557" i="1"/>
  <c r="F12557" i="1"/>
  <c r="B12557" i="1" s="1"/>
  <c r="C12558" i="1"/>
  <c r="E12558" i="1"/>
  <c r="F12558" i="1"/>
  <c r="B12558" i="1" s="1"/>
  <c r="C12559" i="1"/>
  <c r="E12559" i="1"/>
  <c r="F12559" i="1"/>
  <c r="B12559" i="1" s="1"/>
  <c r="C12560" i="1"/>
  <c r="E12560" i="1"/>
  <c r="F12560" i="1"/>
  <c r="B12560" i="1" s="1"/>
  <c r="C12561" i="1"/>
  <c r="E12561" i="1"/>
  <c r="F12561" i="1"/>
  <c r="B12561" i="1" s="1"/>
  <c r="C12562" i="1"/>
  <c r="E12562" i="1"/>
  <c r="F12562" i="1"/>
  <c r="B12562" i="1" s="1"/>
  <c r="C12563" i="1"/>
  <c r="E12563" i="1"/>
  <c r="F12563" i="1"/>
  <c r="B12563" i="1" s="1"/>
  <c r="C12564" i="1"/>
  <c r="E12564" i="1"/>
  <c r="F12564" i="1"/>
  <c r="B12564" i="1" s="1"/>
  <c r="C12565" i="1"/>
  <c r="E12565" i="1"/>
  <c r="F12565" i="1"/>
  <c r="B12565" i="1" s="1"/>
  <c r="C12566" i="1"/>
  <c r="E12566" i="1"/>
  <c r="F12566" i="1"/>
  <c r="B12566" i="1" s="1"/>
  <c r="C12567" i="1"/>
  <c r="E12567" i="1"/>
  <c r="F12567" i="1"/>
  <c r="B12567" i="1" s="1"/>
  <c r="C12568" i="1"/>
  <c r="E12568" i="1"/>
  <c r="F12568" i="1"/>
  <c r="B12568" i="1" s="1"/>
  <c r="C12569" i="1"/>
  <c r="E12569" i="1"/>
  <c r="F12569" i="1"/>
  <c r="B12569" i="1" s="1"/>
  <c r="C12570" i="1"/>
  <c r="E12570" i="1"/>
  <c r="F12570" i="1"/>
  <c r="B12570" i="1" s="1"/>
  <c r="C12571" i="1"/>
  <c r="E12571" i="1"/>
  <c r="F12571" i="1"/>
  <c r="B12571" i="1" s="1"/>
  <c r="C12572" i="1"/>
  <c r="E12572" i="1"/>
  <c r="F12572" i="1"/>
  <c r="B12572" i="1" s="1"/>
  <c r="C12573" i="1"/>
  <c r="E12573" i="1"/>
  <c r="F12573" i="1"/>
  <c r="B12573" i="1" s="1"/>
  <c r="C12574" i="1"/>
  <c r="E12574" i="1"/>
  <c r="F12574" i="1"/>
  <c r="B12574" i="1" s="1"/>
  <c r="C12575" i="1"/>
  <c r="E12575" i="1"/>
  <c r="F12575" i="1"/>
  <c r="B12575" i="1" s="1"/>
  <c r="C12576" i="1"/>
  <c r="E12576" i="1"/>
  <c r="F12576" i="1"/>
  <c r="B12576" i="1" s="1"/>
  <c r="C12577" i="1"/>
  <c r="E12577" i="1"/>
  <c r="F12577" i="1"/>
  <c r="B12577" i="1" s="1"/>
  <c r="C12578" i="1"/>
  <c r="E12578" i="1"/>
  <c r="F12578" i="1"/>
  <c r="B12578" i="1" s="1"/>
  <c r="C12579" i="1"/>
  <c r="E12579" i="1"/>
  <c r="F12579" i="1"/>
  <c r="B12579" i="1" s="1"/>
  <c r="C12580" i="1"/>
  <c r="E12580" i="1"/>
  <c r="F12580" i="1"/>
  <c r="B12580" i="1" s="1"/>
  <c r="C12581" i="1"/>
  <c r="E12581" i="1"/>
  <c r="F12581" i="1"/>
  <c r="B12581" i="1" s="1"/>
  <c r="C12582" i="1"/>
  <c r="E12582" i="1"/>
  <c r="F12582" i="1"/>
  <c r="B12582" i="1" s="1"/>
  <c r="C12583" i="1"/>
  <c r="E12583" i="1"/>
  <c r="F12583" i="1"/>
  <c r="B12583" i="1" s="1"/>
  <c r="C12584" i="1"/>
  <c r="E12584" i="1"/>
  <c r="F12584" i="1"/>
  <c r="B12584" i="1" s="1"/>
  <c r="C12585" i="1"/>
  <c r="E12585" i="1"/>
  <c r="F12585" i="1"/>
  <c r="B12585" i="1" s="1"/>
  <c r="C12586" i="1"/>
  <c r="E12586" i="1"/>
  <c r="F12586" i="1"/>
  <c r="B12586" i="1" s="1"/>
  <c r="C12587" i="1"/>
  <c r="E12587" i="1"/>
  <c r="F12587" i="1"/>
  <c r="B12587" i="1" s="1"/>
  <c r="C12588" i="1"/>
  <c r="E12588" i="1"/>
  <c r="F12588" i="1"/>
  <c r="B12588" i="1" s="1"/>
  <c r="C12589" i="1"/>
  <c r="E12589" i="1"/>
  <c r="F12589" i="1"/>
  <c r="B12589" i="1" s="1"/>
  <c r="C12590" i="1"/>
  <c r="E12590" i="1"/>
  <c r="F12590" i="1"/>
  <c r="B12590" i="1" s="1"/>
  <c r="C12591" i="1"/>
  <c r="E12591" i="1"/>
  <c r="F12591" i="1"/>
  <c r="B12591" i="1" s="1"/>
  <c r="C12592" i="1"/>
  <c r="E12592" i="1"/>
  <c r="F12592" i="1"/>
  <c r="B12592" i="1" s="1"/>
  <c r="C12593" i="1"/>
  <c r="E12593" i="1"/>
  <c r="F12593" i="1"/>
  <c r="B12593" i="1" s="1"/>
  <c r="C12594" i="1"/>
  <c r="E12594" i="1"/>
  <c r="F12594" i="1"/>
  <c r="B12594" i="1" s="1"/>
  <c r="C12595" i="1"/>
  <c r="E12595" i="1"/>
  <c r="F12595" i="1"/>
  <c r="B12595" i="1" s="1"/>
  <c r="C12596" i="1"/>
  <c r="E12596" i="1"/>
  <c r="F12596" i="1"/>
  <c r="B12596" i="1" s="1"/>
  <c r="C12597" i="1"/>
  <c r="E12597" i="1"/>
  <c r="F12597" i="1"/>
  <c r="B12597" i="1" s="1"/>
  <c r="C12598" i="1"/>
  <c r="E12598" i="1"/>
  <c r="F12598" i="1"/>
  <c r="B12598" i="1" s="1"/>
  <c r="C12599" i="1"/>
  <c r="E12599" i="1"/>
  <c r="F12599" i="1"/>
  <c r="B12599" i="1" s="1"/>
  <c r="C12600" i="1"/>
  <c r="E12600" i="1"/>
  <c r="F12600" i="1"/>
  <c r="B12600" i="1" s="1"/>
  <c r="C12601" i="1"/>
  <c r="E12601" i="1"/>
  <c r="F12601" i="1"/>
  <c r="B12601" i="1" s="1"/>
  <c r="C12602" i="1"/>
  <c r="E12602" i="1"/>
  <c r="F12602" i="1"/>
  <c r="B12602" i="1" s="1"/>
  <c r="C12603" i="1"/>
  <c r="E12603" i="1"/>
  <c r="F12603" i="1"/>
  <c r="B12603" i="1" s="1"/>
  <c r="C12604" i="1"/>
  <c r="E12604" i="1"/>
  <c r="F12604" i="1"/>
  <c r="B12604" i="1" s="1"/>
  <c r="C12605" i="1"/>
  <c r="E12605" i="1"/>
  <c r="F12605" i="1"/>
  <c r="B12605" i="1" s="1"/>
  <c r="C12606" i="1"/>
  <c r="E12606" i="1"/>
  <c r="F12606" i="1"/>
  <c r="B12606" i="1" s="1"/>
  <c r="C12607" i="1"/>
  <c r="E12607" i="1"/>
  <c r="F12607" i="1"/>
  <c r="B12607" i="1" s="1"/>
  <c r="C12608" i="1"/>
  <c r="E12608" i="1"/>
  <c r="F12608" i="1"/>
  <c r="B12608" i="1" s="1"/>
  <c r="C12609" i="1"/>
  <c r="E12609" i="1"/>
  <c r="F12609" i="1"/>
  <c r="B12609" i="1" s="1"/>
  <c r="C12610" i="1"/>
  <c r="E12610" i="1"/>
  <c r="F12610" i="1"/>
  <c r="B12610" i="1" s="1"/>
  <c r="C12611" i="1"/>
  <c r="E12611" i="1"/>
  <c r="F12611" i="1"/>
  <c r="B12611" i="1" s="1"/>
  <c r="C12612" i="1"/>
  <c r="E12612" i="1"/>
  <c r="F12612" i="1"/>
  <c r="B12612" i="1" s="1"/>
  <c r="C12613" i="1"/>
  <c r="E12613" i="1"/>
  <c r="F12613" i="1"/>
  <c r="B12613" i="1" s="1"/>
  <c r="C12614" i="1"/>
  <c r="E12614" i="1"/>
  <c r="F12614" i="1"/>
  <c r="B12614" i="1" s="1"/>
  <c r="C12615" i="1"/>
  <c r="E12615" i="1"/>
  <c r="F12615" i="1"/>
  <c r="B12615" i="1" s="1"/>
  <c r="C12616" i="1"/>
  <c r="E12616" i="1"/>
  <c r="F12616" i="1"/>
  <c r="B12616" i="1" s="1"/>
  <c r="C12617" i="1"/>
  <c r="E12617" i="1"/>
  <c r="F12617" i="1"/>
  <c r="B12617" i="1" s="1"/>
  <c r="C12618" i="1"/>
  <c r="E12618" i="1"/>
  <c r="F12618" i="1"/>
  <c r="B12618" i="1" s="1"/>
  <c r="C12619" i="1"/>
  <c r="E12619" i="1"/>
  <c r="F12619" i="1"/>
  <c r="B12619" i="1" s="1"/>
  <c r="C12620" i="1"/>
  <c r="E12620" i="1"/>
  <c r="F12620" i="1"/>
  <c r="B12620" i="1" s="1"/>
  <c r="C12621" i="1"/>
  <c r="E12621" i="1"/>
  <c r="F12621" i="1"/>
  <c r="B12621" i="1" s="1"/>
  <c r="C12622" i="1"/>
  <c r="E12622" i="1"/>
  <c r="F12622" i="1"/>
  <c r="B12622" i="1" s="1"/>
  <c r="C12623" i="1"/>
  <c r="E12623" i="1"/>
  <c r="F12623" i="1"/>
  <c r="B12623" i="1" s="1"/>
  <c r="C12624" i="1"/>
  <c r="E12624" i="1"/>
  <c r="F12624" i="1"/>
  <c r="B12624" i="1" s="1"/>
  <c r="C12625" i="1"/>
  <c r="E12625" i="1"/>
  <c r="F12625" i="1"/>
  <c r="B12625" i="1" s="1"/>
  <c r="C12626" i="1"/>
  <c r="E12626" i="1"/>
  <c r="F12626" i="1"/>
  <c r="B12626" i="1" s="1"/>
  <c r="C12627" i="1"/>
  <c r="E12627" i="1"/>
  <c r="F12627" i="1"/>
  <c r="B12627" i="1" s="1"/>
  <c r="C12628" i="1"/>
  <c r="E12628" i="1"/>
  <c r="F12628" i="1"/>
  <c r="B12628" i="1" s="1"/>
  <c r="C12629" i="1"/>
  <c r="E12629" i="1"/>
  <c r="F12629" i="1"/>
  <c r="B12629" i="1" s="1"/>
  <c r="C12630" i="1"/>
  <c r="E12630" i="1"/>
  <c r="F12630" i="1"/>
  <c r="B12630" i="1" s="1"/>
  <c r="C12631" i="1"/>
  <c r="E12631" i="1"/>
  <c r="F12631" i="1"/>
  <c r="B12631" i="1" s="1"/>
  <c r="C12632" i="1"/>
  <c r="E12632" i="1"/>
  <c r="F12632" i="1"/>
  <c r="B12632" i="1" s="1"/>
  <c r="C12633" i="1"/>
  <c r="E12633" i="1"/>
  <c r="F12633" i="1"/>
  <c r="B12633" i="1" s="1"/>
  <c r="C12634" i="1"/>
  <c r="E12634" i="1"/>
  <c r="F12634" i="1"/>
  <c r="B12634" i="1" s="1"/>
  <c r="C12635" i="1"/>
  <c r="E12635" i="1"/>
  <c r="F12635" i="1"/>
  <c r="B12635" i="1" s="1"/>
  <c r="C12636" i="1"/>
  <c r="E12636" i="1"/>
  <c r="F12636" i="1"/>
  <c r="B12636" i="1" s="1"/>
  <c r="C12637" i="1"/>
  <c r="E12637" i="1"/>
  <c r="F12637" i="1"/>
  <c r="B12637" i="1" s="1"/>
  <c r="C12638" i="1"/>
  <c r="E12638" i="1"/>
  <c r="F12638" i="1"/>
  <c r="B12638" i="1" s="1"/>
  <c r="C12639" i="1"/>
  <c r="E12639" i="1"/>
  <c r="F12639" i="1"/>
  <c r="B12639" i="1" s="1"/>
  <c r="C12640" i="1"/>
  <c r="E12640" i="1"/>
  <c r="F12640" i="1"/>
  <c r="B12640" i="1" s="1"/>
  <c r="C12641" i="1"/>
  <c r="E12641" i="1"/>
  <c r="F12641" i="1"/>
  <c r="B12641" i="1" s="1"/>
  <c r="C12642" i="1"/>
  <c r="E12642" i="1"/>
  <c r="F12642" i="1"/>
  <c r="B12642" i="1" s="1"/>
  <c r="C12643" i="1"/>
  <c r="E12643" i="1"/>
  <c r="F12643" i="1"/>
  <c r="B12643" i="1" s="1"/>
  <c r="C12644" i="1"/>
  <c r="E12644" i="1"/>
  <c r="F12644" i="1"/>
  <c r="B12644" i="1" s="1"/>
  <c r="C12645" i="1"/>
  <c r="E12645" i="1"/>
  <c r="F12645" i="1"/>
  <c r="B12645" i="1" s="1"/>
  <c r="C12646" i="1"/>
  <c r="E12646" i="1"/>
  <c r="F12646" i="1"/>
  <c r="B12646" i="1" s="1"/>
  <c r="C12647" i="1"/>
  <c r="E12647" i="1"/>
  <c r="F12647" i="1"/>
  <c r="B12647" i="1" s="1"/>
  <c r="C12648" i="1"/>
  <c r="E12648" i="1"/>
  <c r="F12648" i="1"/>
  <c r="B12648" i="1" s="1"/>
  <c r="C12649" i="1"/>
  <c r="E12649" i="1"/>
  <c r="F12649" i="1"/>
  <c r="B12649" i="1" s="1"/>
  <c r="C12650" i="1"/>
  <c r="E12650" i="1"/>
  <c r="F12650" i="1"/>
  <c r="B12650" i="1" s="1"/>
  <c r="C12651" i="1"/>
  <c r="E12651" i="1"/>
  <c r="F12651" i="1"/>
  <c r="B12651" i="1" s="1"/>
  <c r="C12652" i="1"/>
  <c r="E12652" i="1"/>
  <c r="F12652" i="1"/>
  <c r="B12652" i="1" s="1"/>
  <c r="C12653" i="1"/>
  <c r="E12653" i="1"/>
  <c r="F12653" i="1"/>
  <c r="B12653" i="1" s="1"/>
  <c r="C12654" i="1"/>
  <c r="E12654" i="1"/>
  <c r="F12654" i="1"/>
  <c r="B12654" i="1" s="1"/>
  <c r="C12655" i="1"/>
  <c r="E12655" i="1"/>
  <c r="F12655" i="1"/>
  <c r="B12655" i="1" s="1"/>
  <c r="C12656" i="1"/>
  <c r="E12656" i="1"/>
  <c r="F12656" i="1"/>
  <c r="B12656" i="1" s="1"/>
  <c r="C12657" i="1"/>
  <c r="E12657" i="1"/>
  <c r="F12657" i="1"/>
  <c r="B12657" i="1" s="1"/>
  <c r="C12658" i="1"/>
  <c r="E12658" i="1"/>
  <c r="F12658" i="1"/>
  <c r="B12658" i="1" s="1"/>
  <c r="C12659" i="1"/>
  <c r="E12659" i="1"/>
  <c r="F12659" i="1"/>
  <c r="B12659" i="1" s="1"/>
  <c r="C12660" i="1"/>
  <c r="E12660" i="1"/>
  <c r="F12660" i="1"/>
  <c r="B12660" i="1" s="1"/>
  <c r="C12661" i="1"/>
  <c r="E12661" i="1"/>
  <c r="F12661" i="1"/>
  <c r="B12661" i="1" s="1"/>
  <c r="C12662" i="1"/>
  <c r="E12662" i="1"/>
  <c r="F12662" i="1"/>
  <c r="B12662" i="1" s="1"/>
  <c r="C12663" i="1"/>
  <c r="E12663" i="1"/>
  <c r="F12663" i="1"/>
  <c r="B12663" i="1" s="1"/>
  <c r="C12664" i="1"/>
  <c r="E12664" i="1"/>
  <c r="F12664" i="1"/>
  <c r="B12664" i="1" s="1"/>
  <c r="C12665" i="1"/>
  <c r="E12665" i="1"/>
  <c r="F12665" i="1"/>
  <c r="B12665" i="1" s="1"/>
  <c r="C12666" i="1"/>
  <c r="E12666" i="1"/>
  <c r="F12666" i="1"/>
  <c r="B12666" i="1" s="1"/>
  <c r="C12667" i="1"/>
  <c r="E12667" i="1"/>
  <c r="F12667" i="1"/>
  <c r="B12667" i="1" s="1"/>
  <c r="C12668" i="1"/>
  <c r="E12668" i="1"/>
  <c r="F12668" i="1"/>
  <c r="B12668" i="1" s="1"/>
  <c r="C12669" i="1"/>
  <c r="E12669" i="1"/>
  <c r="F12669" i="1"/>
  <c r="B12669" i="1" s="1"/>
  <c r="C12670" i="1"/>
  <c r="E12670" i="1"/>
  <c r="F12670" i="1"/>
  <c r="B12670" i="1" s="1"/>
  <c r="C12671" i="1"/>
  <c r="E12671" i="1"/>
  <c r="F12671" i="1"/>
  <c r="B12671" i="1" s="1"/>
  <c r="C12672" i="1"/>
  <c r="E12672" i="1"/>
  <c r="F12672" i="1"/>
  <c r="B12672" i="1" s="1"/>
  <c r="C12673" i="1"/>
  <c r="E12673" i="1"/>
  <c r="F12673" i="1"/>
  <c r="B12673" i="1" s="1"/>
  <c r="C12674" i="1"/>
  <c r="E12674" i="1"/>
  <c r="F12674" i="1"/>
  <c r="B12674" i="1" s="1"/>
  <c r="C12675" i="1"/>
  <c r="E12675" i="1"/>
  <c r="F12675" i="1"/>
  <c r="B12675" i="1" s="1"/>
  <c r="C12676" i="1"/>
  <c r="E12676" i="1"/>
  <c r="F12676" i="1"/>
  <c r="B12676" i="1" s="1"/>
  <c r="C12677" i="1"/>
  <c r="E12677" i="1"/>
  <c r="F12677" i="1"/>
  <c r="B12677" i="1" s="1"/>
  <c r="C12678" i="1"/>
  <c r="E12678" i="1"/>
  <c r="F12678" i="1"/>
  <c r="B12678" i="1" s="1"/>
  <c r="C12679" i="1"/>
  <c r="E12679" i="1"/>
  <c r="F12679" i="1"/>
  <c r="B12679" i="1" s="1"/>
  <c r="C12680" i="1"/>
  <c r="E12680" i="1"/>
  <c r="F12680" i="1"/>
  <c r="B12680" i="1" s="1"/>
  <c r="C12681" i="1"/>
  <c r="E12681" i="1"/>
  <c r="F12681" i="1"/>
  <c r="B12681" i="1" s="1"/>
  <c r="C12682" i="1"/>
  <c r="E12682" i="1"/>
  <c r="F12682" i="1"/>
  <c r="B12682" i="1" s="1"/>
  <c r="C12683" i="1"/>
  <c r="E12683" i="1"/>
  <c r="F12683" i="1"/>
  <c r="B12683" i="1" s="1"/>
  <c r="C12684" i="1"/>
  <c r="E12684" i="1"/>
  <c r="F12684" i="1"/>
  <c r="B12684" i="1" s="1"/>
  <c r="C12685" i="1"/>
  <c r="E12685" i="1"/>
  <c r="F12685" i="1"/>
  <c r="B12685" i="1" s="1"/>
  <c r="C12686" i="1"/>
  <c r="E12686" i="1"/>
  <c r="F12686" i="1"/>
  <c r="B12686" i="1" s="1"/>
  <c r="C12687" i="1"/>
  <c r="E12687" i="1"/>
  <c r="F12687" i="1"/>
  <c r="B12687" i="1" s="1"/>
  <c r="C12688" i="1"/>
  <c r="E12688" i="1"/>
  <c r="F12688" i="1"/>
  <c r="B12688" i="1" s="1"/>
  <c r="C12689" i="1"/>
  <c r="E12689" i="1"/>
  <c r="F12689" i="1"/>
  <c r="B12689" i="1" s="1"/>
  <c r="C12690" i="1"/>
  <c r="E12690" i="1"/>
  <c r="F12690" i="1"/>
  <c r="B12690" i="1" s="1"/>
  <c r="C12691" i="1"/>
  <c r="E12691" i="1"/>
  <c r="F12691" i="1"/>
  <c r="B12691" i="1" s="1"/>
  <c r="C12692" i="1"/>
  <c r="E12692" i="1"/>
  <c r="F12692" i="1"/>
  <c r="B12692" i="1" s="1"/>
  <c r="C12693" i="1"/>
  <c r="E12693" i="1"/>
  <c r="F12693" i="1"/>
  <c r="B12693" i="1" s="1"/>
  <c r="C12694" i="1"/>
  <c r="E12694" i="1"/>
  <c r="F12694" i="1"/>
  <c r="B12694" i="1" s="1"/>
  <c r="C12695" i="1"/>
  <c r="E12695" i="1"/>
  <c r="F12695" i="1"/>
  <c r="B12695" i="1" s="1"/>
  <c r="C12696" i="1"/>
  <c r="E12696" i="1"/>
  <c r="F12696" i="1"/>
  <c r="B12696" i="1" s="1"/>
  <c r="C12697" i="1"/>
  <c r="E12697" i="1"/>
  <c r="F12697" i="1"/>
  <c r="B12697" i="1" s="1"/>
  <c r="C12698" i="1"/>
  <c r="E12698" i="1"/>
  <c r="F12698" i="1"/>
  <c r="B12698" i="1" s="1"/>
  <c r="C12699" i="1"/>
  <c r="E12699" i="1"/>
  <c r="F12699" i="1"/>
  <c r="B12699" i="1" s="1"/>
  <c r="C12700" i="1"/>
  <c r="E12700" i="1"/>
  <c r="F12700" i="1"/>
  <c r="B12700" i="1" s="1"/>
  <c r="C12701" i="1"/>
  <c r="E12701" i="1"/>
  <c r="F12701" i="1"/>
  <c r="B12701" i="1" s="1"/>
  <c r="C12702" i="1"/>
  <c r="E12702" i="1"/>
  <c r="F12702" i="1"/>
  <c r="B12702" i="1" s="1"/>
  <c r="C12703" i="1"/>
  <c r="E12703" i="1"/>
  <c r="F12703" i="1"/>
  <c r="B12703" i="1" s="1"/>
  <c r="C12704" i="1"/>
  <c r="E12704" i="1"/>
  <c r="F12704" i="1"/>
  <c r="B12704" i="1" s="1"/>
  <c r="C12705" i="1"/>
  <c r="E12705" i="1"/>
  <c r="F12705" i="1"/>
  <c r="B12705" i="1" s="1"/>
  <c r="C12706" i="1"/>
  <c r="E12706" i="1"/>
  <c r="F12706" i="1"/>
  <c r="B12706" i="1" s="1"/>
  <c r="C12707" i="1"/>
  <c r="E12707" i="1"/>
  <c r="F12707" i="1"/>
  <c r="B12707" i="1" s="1"/>
  <c r="C12708" i="1"/>
  <c r="E12708" i="1"/>
  <c r="F12708" i="1"/>
  <c r="B12708" i="1" s="1"/>
  <c r="C12709" i="1"/>
  <c r="E12709" i="1"/>
  <c r="F12709" i="1"/>
  <c r="B12709" i="1" s="1"/>
  <c r="C12710" i="1"/>
  <c r="E12710" i="1"/>
  <c r="F12710" i="1"/>
  <c r="B12710" i="1" s="1"/>
  <c r="C12711" i="1"/>
  <c r="E12711" i="1"/>
  <c r="F12711" i="1"/>
  <c r="B12711" i="1" s="1"/>
  <c r="C12712" i="1"/>
  <c r="E12712" i="1"/>
  <c r="F12712" i="1"/>
  <c r="B12712" i="1" s="1"/>
  <c r="C12713" i="1"/>
  <c r="E12713" i="1"/>
  <c r="F12713" i="1"/>
  <c r="B12713" i="1" s="1"/>
  <c r="C12714" i="1"/>
  <c r="E12714" i="1"/>
  <c r="F12714" i="1"/>
  <c r="B12714" i="1" s="1"/>
  <c r="C12715" i="1"/>
  <c r="E12715" i="1"/>
  <c r="F12715" i="1"/>
  <c r="B12715" i="1" s="1"/>
  <c r="C12716" i="1"/>
  <c r="E12716" i="1"/>
  <c r="F12716" i="1"/>
  <c r="B12716" i="1" s="1"/>
  <c r="C12717" i="1"/>
  <c r="E12717" i="1"/>
  <c r="F12717" i="1"/>
  <c r="B12717" i="1" s="1"/>
  <c r="C12718" i="1"/>
  <c r="E12718" i="1"/>
  <c r="F12718" i="1"/>
  <c r="B12718" i="1" s="1"/>
  <c r="C12719" i="1"/>
  <c r="E12719" i="1"/>
  <c r="F12719" i="1"/>
  <c r="B12719" i="1" s="1"/>
  <c r="C12720" i="1"/>
  <c r="E12720" i="1"/>
  <c r="F12720" i="1"/>
  <c r="B12720" i="1" s="1"/>
  <c r="C12721" i="1"/>
  <c r="E12721" i="1"/>
  <c r="F12721" i="1"/>
  <c r="B12721" i="1" s="1"/>
  <c r="C12722" i="1"/>
  <c r="E12722" i="1"/>
  <c r="F12722" i="1"/>
  <c r="B12722" i="1" s="1"/>
  <c r="C12723" i="1"/>
  <c r="E12723" i="1"/>
  <c r="F12723" i="1"/>
  <c r="B12723" i="1" s="1"/>
  <c r="C12724" i="1"/>
  <c r="E12724" i="1"/>
  <c r="F12724" i="1"/>
  <c r="B12724" i="1" s="1"/>
  <c r="C12725" i="1"/>
  <c r="E12725" i="1"/>
  <c r="F12725" i="1"/>
  <c r="B12725" i="1" s="1"/>
  <c r="C12726" i="1"/>
  <c r="E12726" i="1"/>
  <c r="F12726" i="1"/>
  <c r="B12726" i="1" s="1"/>
  <c r="C12727" i="1"/>
  <c r="E12727" i="1"/>
  <c r="F12727" i="1"/>
  <c r="B12727" i="1" s="1"/>
  <c r="C12728" i="1"/>
  <c r="E12728" i="1"/>
  <c r="F12728" i="1"/>
  <c r="B12728" i="1" s="1"/>
  <c r="C12729" i="1"/>
  <c r="E12729" i="1"/>
  <c r="F12729" i="1"/>
  <c r="B12729" i="1" s="1"/>
  <c r="C12730" i="1"/>
  <c r="E12730" i="1"/>
  <c r="F12730" i="1"/>
  <c r="B12730" i="1" s="1"/>
  <c r="C12731" i="1"/>
  <c r="E12731" i="1"/>
  <c r="F12731" i="1"/>
  <c r="B12731" i="1" s="1"/>
  <c r="C12732" i="1"/>
  <c r="E12732" i="1"/>
  <c r="F12732" i="1"/>
  <c r="B12732" i="1" s="1"/>
  <c r="C12733" i="1"/>
  <c r="E12733" i="1"/>
  <c r="F12733" i="1"/>
  <c r="B12733" i="1" s="1"/>
  <c r="C12734" i="1"/>
  <c r="E12734" i="1"/>
  <c r="F12734" i="1"/>
  <c r="B12734" i="1" s="1"/>
  <c r="C12735" i="1"/>
  <c r="E12735" i="1"/>
  <c r="F12735" i="1"/>
  <c r="B12735" i="1" s="1"/>
  <c r="C12736" i="1"/>
  <c r="E12736" i="1"/>
  <c r="F12736" i="1"/>
  <c r="B12736" i="1" s="1"/>
  <c r="C12737" i="1"/>
  <c r="E12737" i="1"/>
  <c r="F12737" i="1"/>
  <c r="B12737" i="1" s="1"/>
  <c r="C12738" i="1"/>
  <c r="E12738" i="1"/>
  <c r="F12738" i="1"/>
  <c r="B12738" i="1" s="1"/>
  <c r="C12739" i="1"/>
  <c r="E12739" i="1"/>
  <c r="F12739" i="1"/>
  <c r="B12739" i="1" s="1"/>
  <c r="C12740" i="1"/>
  <c r="E12740" i="1"/>
  <c r="F12740" i="1"/>
  <c r="B12740" i="1" s="1"/>
  <c r="C12741" i="1"/>
  <c r="E12741" i="1"/>
  <c r="F12741" i="1"/>
  <c r="B12741" i="1" s="1"/>
  <c r="C12742" i="1"/>
  <c r="E12742" i="1"/>
  <c r="F12742" i="1"/>
  <c r="B12742" i="1" s="1"/>
  <c r="C12743" i="1"/>
  <c r="E12743" i="1"/>
  <c r="F12743" i="1"/>
  <c r="B12743" i="1" s="1"/>
  <c r="C12744" i="1"/>
  <c r="E12744" i="1"/>
  <c r="F12744" i="1"/>
  <c r="B12744" i="1" s="1"/>
  <c r="C12745" i="1"/>
  <c r="E12745" i="1"/>
  <c r="F12745" i="1"/>
  <c r="B12745" i="1" s="1"/>
  <c r="C12746" i="1"/>
  <c r="E12746" i="1"/>
  <c r="F12746" i="1"/>
  <c r="B12746" i="1" s="1"/>
  <c r="C12747" i="1"/>
  <c r="E12747" i="1"/>
  <c r="F12747" i="1"/>
  <c r="B12747" i="1" s="1"/>
  <c r="C12748" i="1"/>
  <c r="E12748" i="1"/>
  <c r="F12748" i="1"/>
  <c r="B12748" i="1" s="1"/>
  <c r="C12749" i="1"/>
  <c r="E12749" i="1"/>
  <c r="F12749" i="1"/>
  <c r="B12749" i="1" s="1"/>
  <c r="C12750" i="1"/>
  <c r="E12750" i="1"/>
  <c r="F12750" i="1"/>
  <c r="B12750" i="1" s="1"/>
  <c r="C12751" i="1"/>
  <c r="E12751" i="1"/>
  <c r="F12751" i="1"/>
  <c r="B12751" i="1" s="1"/>
  <c r="C12752" i="1"/>
  <c r="E12752" i="1"/>
  <c r="F12752" i="1"/>
  <c r="B12752" i="1" s="1"/>
  <c r="C12753" i="1"/>
  <c r="E12753" i="1"/>
  <c r="F12753" i="1"/>
  <c r="B12753" i="1" s="1"/>
  <c r="C12754" i="1"/>
  <c r="E12754" i="1"/>
  <c r="F12754" i="1"/>
  <c r="B12754" i="1" s="1"/>
  <c r="C12755" i="1"/>
  <c r="E12755" i="1"/>
  <c r="F12755" i="1"/>
  <c r="B12755" i="1" s="1"/>
  <c r="C12756" i="1"/>
  <c r="E12756" i="1"/>
  <c r="F12756" i="1"/>
  <c r="B12756" i="1" s="1"/>
  <c r="C12757" i="1"/>
  <c r="E12757" i="1"/>
  <c r="F12757" i="1"/>
  <c r="B12757" i="1" s="1"/>
  <c r="C12758" i="1"/>
  <c r="E12758" i="1"/>
  <c r="F12758" i="1"/>
  <c r="B12758" i="1" s="1"/>
  <c r="C12759" i="1"/>
  <c r="E12759" i="1"/>
  <c r="F12759" i="1"/>
  <c r="B12759" i="1" s="1"/>
  <c r="C12760" i="1"/>
  <c r="E12760" i="1"/>
  <c r="F12760" i="1"/>
  <c r="B12760" i="1" s="1"/>
  <c r="C12761" i="1"/>
  <c r="E12761" i="1"/>
  <c r="F12761" i="1"/>
  <c r="B12761" i="1" s="1"/>
  <c r="C12762" i="1"/>
  <c r="E12762" i="1"/>
  <c r="F12762" i="1"/>
  <c r="B12762" i="1" s="1"/>
  <c r="C12763" i="1"/>
  <c r="E12763" i="1"/>
  <c r="F12763" i="1"/>
  <c r="B12763" i="1" s="1"/>
  <c r="C12764" i="1"/>
  <c r="E12764" i="1"/>
  <c r="F12764" i="1"/>
  <c r="B12764" i="1" s="1"/>
  <c r="C12765" i="1"/>
  <c r="E12765" i="1"/>
  <c r="F12765" i="1"/>
  <c r="B12765" i="1" s="1"/>
  <c r="C12766" i="1"/>
  <c r="E12766" i="1"/>
  <c r="F12766" i="1"/>
  <c r="B12766" i="1" s="1"/>
  <c r="C12767" i="1"/>
  <c r="E12767" i="1"/>
  <c r="F12767" i="1"/>
  <c r="B12767" i="1" s="1"/>
  <c r="C12768" i="1"/>
  <c r="E12768" i="1"/>
  <c r="F12768" i="1"/>
  <c r="B12768" i="1" s="1"/>
  <c r="C12769" i="1"/>
  <c r="E12769" i="1"/>
  <c r="F12769" i="1"/>
  <c r="B12769" i="1" s="1"/>
  <c r="C12770" i="1"/>
  <c r="E12770" i="1"/>
  <c r="F12770" i="1"/>
  <c r="B12770" i="1" s="1"/>
  <c r="C12771" i="1"/>
  <c r="E12771" i="1"/>
  <c r="F12771" i="1"/>
  <c r="B12771" i="1" s="1"/>
  <c r="C12772" i="1"/>
  <c r="E12772" i="1"/>
  <c r="F12772" i="1"/>
  <c r="B12772" i="1" s="1"/>
  <c r="C12773" i="1"/>
  <c r="E12773" i="1"/>
  <c r="F12773" i="1"/>
  <c r="B12773" i="1" s="1"/>
  <c r="C12774" i="1"/>
  <c r="E12774" i="1"/>
  <c r="F12774" i="1"/>
  <c r="B12774" i="1" s="1"/>
  <c r="C12775" i="1"/>
  <c r="E12775" i="1"/>
  <c r="F12775" i="1"/>
  <c r="B12775" i="1" s="1"/>
  <c r="C12776" i="1"/>
  <c r="F12776" i="1"/>
  <c r="B12776" i="1" s="1"/>
  <c r="C12777" i="1"/>
  <c r="F12777" i="1"/>
  <c r="B12777" i="1" s="1"/>
  <c r="C12778" i="1"/>
  <c r="F12778" i="1"/>
  <c r="B12778" i="1" s="1"/>
  <c r="C12779" i="1"/>
  <c r="F12779" i="1"/>
  <c r="B12779" i="1" s="1"/>
  <c r="C12780" i="1"/>
  <c r="F12780" i="1"/>
  <c r="B12780" i="1" s="1"/>
  <c r="C12781" i="1"/>
  <c r="F12781" i="1"/>
  <c r="B12781" i="1" s="1"/>
  <c r="C12782" i="1"/>
  <c r="F12782" i="1"/>
  <c r="B12782" i="1" s="1"/>
  <c r="C12783" i="1"/>
  <c r="F12783" i="1"/>
  <c r="B12783" i="1" s="1"/>
  <c r="C12784" i="1"/>
  <c r="F12784" i="1"/>
  <c r="B12784" i="1" s="1"/>
  <c r="C12785" i="1"/>
  <c r="F12785" i="1"/>
  <c r="B12785" i="1" s="1"/>
  <c r="C12786" i="1"/>
  <c r="F12786" i="1"/>
  <c r="B12786" i="1" s="1"/>
  <c r="C12787" i="1"/>
  <c r="F12787" i="1"/>
  <c r="B12787" i="1" s="1"/>
  <c r="C12788" i="1"/>
  <c r="F12788" i="1"/>
  <c r="B12788" i="1" s="1"/>
  <c r="C12789" i="1"/>
  <c r="F12789" i="1"/>
  <c r="B12789" i="1" s="1"/>
  <c r="C12790" i="1"/>
  <c r="F12790" i="1"/>
  <c r="B12790" i="1" s="1"/>
  <c r="C12791" i="1"/>
  <c r="F12791" i="1"/>
  <c r="B12791" i="1" s="1"/>
  <c r="C12792" i="1"/>
  <c r="F12792" i="1"/>
  <c r="B12792" i="1" s="1"/>
  <c r="C12793" i="1"/>
  <c r="F12793" i="1"/>
  <c r="B12793" i="1" s="1"/>
  <c r="C12794" i="1"/>
  <c r="F12794" i="1"/>
  <c r="B12794" i="1" s="1"/>
  <c r="C12795" i="1"/>
  <c r="F12795" i="1"/>
  <c r="B12795" i="1" s="1"/>
  <c r="C12796" i="1"/>
  <c r="F12796" i="1"/>
  <c r="B12796" i="1" s="1"/>
  <c r="C12797" i="1"/>
  <c r="F12797" i="1"/>
  <c r="B12797" i="1" s="1"/>
  <c r="C12798" i="1"/>
  <c r="F12798" i="1"/>
  <c r="B12798" i="1" s="1"/>
  <c r="C12799" i="1"/>
  <c r="F12799" i="1"/>
  <c r="B12799" i="1" s="1"/>
  <c r="C12800" i="1"/>
  <c r="F12800" i="1"/>
  <c r="B12800" i="1" s="1"/>
  <c r="C12801" i="1"/>
  <c r="F12801" i="1"/>
  <c r="B12801" i="1" s="1"/>
  <c r="C12802" i="1"/>
  <c r="F12802" i="1"/>
  <c r="B12802" i="1" s="1"/>
  <c r="C12803" i="1"/>
  <c r="F12803" i="1"/>
  <c r="B12803" i="1" s="1"/>
  <c r="C12804" i="1"/>
  <c r="F12804" i="1"/>
  <c r="B12804" i="1" s="1"/>
  <c r="C12805" i="1"/>
  <c r="F12805" i="1"/>
  <c r="B12805" i="1" s="1"/>
  <c r="C12806" i="1"/>
  <c r="F12806" i="1"/>
  <c r="B12806" i="1" s="1"/>
  <c r="C12807" i="1"/>
  <c r="F12807" i="1"/>
  <c r="B12807" i="1" s="1"/>
  <c r="C12808" i="1"/>
  <c r="F12808" i="1"/>
  <c r="B12808" i="1" s="1"/>
  <c r="C12809" i="1"/>
  <c r="F12809" i="1"/>
  <c r="B12809" i="1" s="1"/>
  <c r="C12810" i="1"/>
  <c r="F12810" i="1"/>
  <c r="B12810" i="1" s="1"/>
  <c r="C12811" i="1"/>
  <c r="F12811" i="1"/>
  <c r="B12811" i="1" s="1"/>
  <c r="C12812" i="1"/>
  <c r="F12812" i="1"/>
  <c r="B12812" i="1" s="1"/>
  <c r="C12813" i="1"/>
  <c r="F12813" i="1"/>
  <c r="B12813" i="1" s="1"/>
  <c r="C12814" i="1"/>
  <c r="F12814" i="1"/>
  <c r="B12814" i="1" s="1"/>
  <c r="C12815" i="1"/>
  <c r="F12815" i="1"/>
  <c r="B12815" i="1" s="1"/>
  <c r="C12816" i="1"/>
  <c r="F12816" i="1"/>
  <c r="B12816" i="1" s="1"/>
  <c r="C12817" i="1"/>
  <c r="F12817" i="1"/>
  <c r="B12817" i="1" s="1"/>
  <c r="C12818" i="1"/>
  <c r="F12818" i="1"/>
  <c r="B12818" i="1" s="1"/>
  <c r="C12819" i="1"/>
  <c r="F12819" i="1"/>
  <c r="B12819" i="1" s="1"/>
  <c r="C12820" i="1"/>
  <c r="F12820" i="1"/>
  <c r="B12820" i="1" s="1"/>
  <c r="C12821" i="1"/>
  <c r="F12821" i="1"/>
  <c r="B12821" i="1" s="1"/>
  <c r="C12822" i="1"/>
  <c r="F12822" i="1"/>
  <c r="B12822" i="1" s="1"/>
  <c r="C12823" i="1"/>
  <c r="F12823" i="1"/>
  <c r="B12823" i="1" s="1"/>
  <c r="C12824" i="1"/>
  <c r="F12824" i="1"/>
  <c r="B12824" i="1" s="1"/>
  <c r="C12825" i="1"/>
  <c r="F12825" i="1"/>
  <c r="B12825" i="1" s="1"/>
  <c r="C12826" i="1"/>
  <c r="F12826" i="1"/>
  <c r="B12826" i="1" s="1"/>
  <c r="C12827" i="1"/>
  <c r="F12827" i="1"/>
  <c r="B12827" i="1" s="1"/>
  <c r="C12828" i="1"/>
  <c r="F12828" i="1"/>
  <c r="B12828" i="1" s="1"/>
  <c r="C12829" i="1"/>
  <c r="F12829" i="1"/>
  <c r="B12829" i="1" s="1"/>
  <c r="C12830" i="1"/>
  <c r="F12830" i="1"/>
  <c r="B12830" i="1" s="1"/>
  <c r="C12831" i="1"/>
  <c r="F12831" i="1"/>
  <c r="B12831" i="1" s="1"/>
  <c r="C12832" i="1"/>
  <c r="F12832" i="1"/>
  <c r="B12832" i="1" s="1"/>
  <c r="C12833" i="1"/>
  <c r="F12833" i="1"/>
  <c r="B12833" i="1" s="1"/>
  <c r="C12834" i="1"/>
  <c r="F12834" i="1"/>
  <c r="B12834" i="1" s="1"/>
  <c r="C12835" i="1"/>
  <c r="F12835" i="1"/>
  <c r="B12835" i="1" s="1"/>
  <c r="C12836" i="1"/>
  <c r="F12836" i="1"/>
  <c r="B12836" i="1" s="1"/>
  <c r="C12837" i="1"/>
  <c r="F12837" i="1"/>
  <c r="B12837" i="1" s="1"/>
  <c r="C12838" i="1"/>
  <c r="F12838" i="1"/>
  <c r="B12838" i="1" s="1"/>
  <c r="C12839" i="1"/>
  <c r="F12839" i="1"/>
  <c r="B12839" i="1" s="1"/>
  <c r="C12840" i="1"/>
  <c r="F12840" i="1"/>
  <c r="B12840" i="1" s="1"/>
  <c r="C12841" i="1"/>
  <c r="F12841" i="1"/>
  <c r="B12841" i="1" s="1"/>
  <c r="C12842" i="1"/>
  <c r="F12842" i="1"/>
  <c r="B12842" i="1" s="1"/>
  <c r="C12843" i="1"/>
  <c r="F12843" i="1"/>
  <c r="B12843" i="1" s="1"/>
  <c r="C12844" i="1"/>
  <c r="F12844" i="1"/>
  <c r="B12844" i="1" s="1"/>
  <c r="C12845" i="1"/>
  <c r="F12845" i="1"/>
  <c r="B12845" i="1" s="1"/>
  <c r="C12846" i="1"/>
  <c r="F12846" i="1"/>
  <c r="B12846" i="1" s="1"/>
  <c r="C12847" i="1"/>
  <c r="F12847" i="1"/>
  <c r="B12847" i="1" s="1"/>
  <c r="C12848" i="1"/>
  <c r="F12848" i="1"/>
  <c r="B12848" i="1" s="1"/>
  <c r="C12849" i="1"/>
  <c r="F12849" i="1"/>
  <c r="B12849" i="1" s="1"/>
  <c r="C12850" i="1"/>
  <c r="F12850" i="1"/>
  <c r="B12850" i="1" s="1"/>
  <c r="C12851" i="1"/>
  <c r="F12851" i="1"/>
  <c r="B12851" i="1" s="1"/>
  <c r="C12852" i="1"/>
  <c r="F12852" i="1"/>
  <c r="B12852" i="1" s="1"/>
  <c r="C12853" i="1"/>
  <c r="F12853" i="1"/>
  <c r="B12853" i="1" s="1"/>
  <c r="C12854" i="1"/>
  <c r="F12854" i="1"/>
  <c r="B12854" i="1" s="1"/>
  <c r="C12855" i="1"/>
  <c r="F12855" i="1"/>
  <c r="B12855" i="1" s="1"/>
  <c r="C12856" i="1"/>
  <c r="F12856" i="1"/>
  <c r="B12856" i="1" s="1"/>
  <c r="C12857" i="1"/>
  <c r="F12857" i="1"/>
  <c r="B12857" i="1" s="1"/>
  <c r="C12858" i="1"/>
  <c r="F12858" i="1"/>
  <c r="B12858" i="1" s="1"/>
  <c r="C12859" i="1"/>
  <c r="F12859" i="1"/>
  <c r="B12859" i="1" s="1"/>
  <c r="C12860" i="1"/>
  <c r="F12860" i="1"/>
  <c r="B12860" i="1" s="1"/>
  <c r="C12861" i="1"/>
  <c r="F12861" i="1"/>
  <c r="B12861" i="1" s="1"/>
  <c r="C12862" i="1"/>
  <c r="F12862" i="1"/>
  <c r="B12862" i="1" s="1"/>
  <c r="C12863" i="1"/>
  <c r="F12863" i="1"/>
  <c r="B12863" i="1" s="1"/>
  <c r="C12864" i="1"/>
  <c r="F12864" i="1"/>
  <c r="B12864" i="1" s="1"/>
  <c r="C12865" i="1"/>
  <c r="F12865" i="1"/>
  <c r="B12865" i="1" s="1"/>
  <c r="C12866" i="1"/>
  <c r="F12866" i="1"/>
  <c r="B12866" i="1" s="1"/>
  <c r="C12867" i="1"/>
  <c r="F12867" i="1"/>
  <c r="B12867" i="1" s="1"/>
  <c r="C12868" i="1"/>
  <c r="F12868" i="1"/>
  <c r="B12868" i="1" s="1"/>
  <c r="C12869" i="1"/>
  <c r="F12869" i="1"/>
  <c r="B12869" i="1" s="1"/>
  <c r="C12870" i="1"/>
  <c r="F12870" i="1"/>
  <c r="B12870" i="1" s="1"/>
  <c r="C12871" i="1"/>
  <c r="F12871" i="1"/>
  <c r="B12871" i="1" s="1"/>
  <c r="C12872" i="1"/>
  <c r="F12872" i="1"/>
  <c r="B12872" i="1" s="1"/>
  <c r="C12873" i="1"/>
  <c r="F12873" i="1"/>
  <c r="B12873" i="1" s="1"/>
  <c r="C12874" i="1"/>
  <c r="F12874" i="1"/>
  <c r="B12874" i="1" s="1"/>
  <c r="C12875" i="1"/>
  <c r="F12875" i="1"/>
  <c r="B12875" i="1" s="1"/>
  <c r="C12876" i="1"/>
  <c r="F12876" i="1"/>
  <c r="B12876" i="1" s="1"/>
  <c r="C12877" i="1"/>
  <c r="F12877" i="1"/>
  <c r="B12877" i="1" s="1"/>
  <c r="C12878" i="1"/>
  <c r="F12878" i="1"/>
  <c r="B12878" i="1" s="1"/>
  <c r="C12879" i="1"/>
  <c r="F12879" i="1"/>
  <c r="B12879" i="1" s="1"/>
  <c r="C12880" i="1"/>
  <c r="F12880" i="1"/>
  <c r="B12880" i="1" s="1"/>
  <c r="C12881" i="1"/>
  <c r="F12881" i="1"/>
  <c r="B12881" i="1" s="1"/>
  <c r="C12882" i="1"/>
  <c r="F12882" i="1"/>
  <c r="B12882" i="1" s="1"/>
  <c r="C12883" i="1"/>
  <c r="F12883" i="1"/>
  <c r="B12883" i="1" s="1"/>
  <c r="C12884" i="1"/>
  <c r="F12884" i="1"/>
  <c r="B12884" i="1" s="1"/>
  <c r="C12885" i="1"/>
  <c r="F12885" i="1"/>
  <c r="B12885" i="1" s="1"/>
  <c r="C12886" i="1"/>
  <c r="F12886" i="1"/>
  <c r="B12886" i="1" s="1"/>
  <c r="C12887" i="1"/>
  <c r="F12887" i="1"/>
  <c r="B12887" i="1" s="1"/>
  <c r="C12888" i="1"/>
  <c r="F12888" i="1"/>
  <c r="B12888" i="1" s="1"/>
  <c r="C12889" i="1"/>
  <c r="F12889" i="1"/>
  <c r="B12889" i="1" s="1"/>
  <c r="C12890" i="1"/>
  <c r="F12890" i="1"/>
  <c r="B12890" i="1" s="1"/>
  <c r="C12891" i="1"/>
  <c r="F12891" i="1"/>
  <c r="B12891" i="1" s="1"/>
  <c r="C12892" i="1"/>
  <c r="F12892" i="1"/>
  <c r="B12892" i="1" s="1"/>
  <c r="C12893" i="1"/>
  <c r="F12893" i="1"/>
  <c r="B12893" i="1" s="1"/>
  <c r="C12894" i="1"/>
  <c r="F12894" i="1"/>
  <c r="B12894" i="1" s="1"/>
  <c r="C12895" i="1"/>
  <c r="F12895" i="1"/>
  <c r="B12895" i="1" s="1"/>
  <c r="C12896" i="1"/>
  <c r="F12896" i="1"/>
  <c r="B12896" i="1" s="1"/>
  <c r="C12897" i="1"/>
  <c r="F12897" i="1"/>
  <c r="B12897" i="1" s="1"/>
  <c r="C12898" i="1"/>
  <c r="F12898" i="1"/>
  <c r="B12898" i="1" s="1"/>
  <c r="C12899" i="1"/>
  <c r="F12899" i="1"/>
  <c r="B12899" i="1" s="1"/>
  <c r="C12900" i="1"/>
  <c r="F12900" i="1"/>
  <c r="B12900" i="1" s="1"/>
  <c r="C12901" i="1"/>
  <c r="F12901" i="1"/>
  <c r="B12901" i="1" s="1"/>
  <c r="C12902" i="1"/>
  <c r="F12902" i="1"/>
  <c r="B12902" i="1" s="1"/>
  <c r="C12903" i="1"/>
  <c r="F12903" i="1"/>
  <c r="B12903" i="1" s="1"/>
  <c r="C12904" i="1"/>
  <c r="F12904" i="1"/>
  <c r="B12904" i="1" s="1"/>
  <c r="C12905" i="1"/>
  <c r="F12905" i="1"/>
  <c r="B12905" i="1" s="1"/>
  <c r="C12906" i="1"/>
  <c r="F12906" i="1"/>
  <c r="B12906" i="1" s="1"/>
  <c r="C12907" i="1"/>
  <c r="F12907" i="1"/>
  <c r="B12907" i="1" s="1"/>
  <c r="C12908" i="1"/>
  <c r="F12908" i="1"/>
  <c r="B12908" i="1" s="1"/>
  <c r="C12909" i="1"/>
  <c r="F12909" i="1"/>
  <c r="B12909" i="1" s="1"/>
  <c r="C12910" i="1"/>
  <c r="F12910" i="1"/>
  <c r="B12910" i="1" s="1"/>
  <c r="C12911" i="1"/>
  <c r="F12911" i="1"/>
  <c r="B12911" i="1" s="1"/>
  <c r="C12912" i="1"/>
  <c r="F12912" i="1"/>
  <c r="B12912" i="1" s="1"/>
  <c r="C12913" i="1"/>
  <c r="F12913" i="1"/>
  <c r="B12913" i="1" s="1"/>
  <c r="C12914" i="1"/>
  <c r="F12914" i="1"/>
  <c r="B12914" i="1" s="1"/>
  <c r="C12915" i="1"/>
  <c r="F12915" i="1"/>
  <c r="B12915" i="1" s="1"/>
  <c r="C12916" i="1"/>
  <c r="F12916" i="1"/>
  <c r="B12916" i="1" s="1"/>
  <c r="C12917" i="1"/>
  <c r="F12917" i="1"/>
  <c r="B12917" i="1" s="1"/>
  <c r="C12918" i="1"/>
  <c r="F12918" i="1"/>
  <c r="B12918" i="1" s="1"/>
  <c r="C12919" i="1"/>
  <c r="F12919" i="1"/>
  <c r="B12919" i="1" s="1"/>
  <c r="C12920" i="1"/>
  <c r="F12920" i="1"/>
  <c r="B12920" i="1" s="1"/>
  <c r="C12921" i="1"/>
  <c r="F12921" i="1"/>
  <c r="B12921" i="1" s="1"/>
  <c r="C12922" i="1"/>
  <c r="F12922" i="1"/>
  <c r="B12922" i="1" s="1"/>
  <c r="C12923" i="1"/>
  <c r="F12923" i="1"/>
  <c r="B12923" i="1" s="1"/>
  <c r="C12924" i="1"/>
  <c r="F12924" i="1"/>
  <c r="B12924" i="1" s="1"/>
  <c r="C12925" i="1"/>
  <c r="F12925" i="1"/>
  <c r="B12925" i="1" s="1"/>
  <c r="C12926" i="1"/>
  <c r="F12926" i="1"/>
  <c r="B12926" i="1" s="1"/>
  <c r="C12927" i="1"/>
  <c r="F12927" i="1"/>
  <c r="B12927" i="1" s="1"/>
  <c r="C12928" i="1"/>
  <c r="F12928" i="1"/>
  <c r="B12928" i="1" s="1"/>
  <c r="C12929" i="1"/>
  <c r="F12929" i="1"/>
  <c r="B12929" i="1" s="1"/>
  <c r="C12930" i="1"/>
  <c r="F12930" i="1"/>
  <c r="B12930" i="1" s="1"/>
  <c r="C12931" i="1"/>
  <c r="F12931" i="1"/>
  <c r="B12931" i="1" s="1"/>
  <c r="C12932" i="1"/>
  <c r="F12932" i="1"/>
  <c r="B12932" i="1" s="1"/>
  <c r="C12933" i="1"/>
  <c r="F12933" i="1"/>
  <c r="B12933" i="1" s="1"/>
  <c r="C12934" i="1"/>
  <c r="F12934" i="1"/>
  <c r="B12934" i="1" s="1"/>
  <c r="C12935" i="1"/>
  <c r="F12935" i="1"/>
  <c r="B12935" i="1" s="1"/>
  <c r="C12936" i="1"/>
  <c r="F12936" i="1"/>
  <c r="B12936" i="1" s="1"/>
  <c r="C12937" i="1"/>
  <c r="F12937" i="1"/>
  <c r="B12937" i="1" s="1"/>
  <c r="C12938" i="1"/>
  <c r="F12938" i="1"/>
  <c r="B12938" i="1" s="1"/>
  <c r="C12939" i="1"/>
  <c r="F12939" i="1"/>
  <c r="B12939" i="1" s="1"/>
  <c r="C12940" i="1"/>
  <c r="F12940" i="1"/>
  <c r="B12940" i="1" s="1"/>
  <c r="C12941" i="1"/>
  <c r="F12941" i="1"/>
  <c r="B12941" i="1" s="1"/>
  <c r="C12942" i="1"/>
  <c r="F12942" i="1"/>
  <c r="B12942" i="1" s="1"/>
  <c r="C12943" i="1"/>
  <c r="F12943" i="1"/>
  <c r="B12943" i="1" s="1"/>
  <c r="C12944" i="1"/>
  <c r="F12944" i="1"/>
  <c r="B12944" i="1" s="1"/>
  <c r="C12945" i="1"/>
  <c r="F12945" i="1"/>
  <c r="B12945" i="1" s="1"/>
  <c r="C12946" i="1"/>
  <c r="F12946" i="1"/>
  <c r="B12946" i="1" s="1"/>
  <c r="C12947" i="1"/>
  <c r="F12947" i="1"/>
  <c r="B12947" i="1" s="1"/>
  <c r="C12948" i="1"/>
  <c r="F12948" i="1"/>
  <c r="B12948" i="1" s="1"/>
  <c r="C12949" i="1"/>
  <c r="F12949" i="1"/>
  <c r="B12949" i="1" s="1"/>
  <c r="C12950" i="1"/>
  <c r="F12950" i="1"/>
  <c r="B12950" i="1" s="1"/>
  <c r="C12951" i="1"/>
  <c r="F12951" i="1"/>
  <c r="B12951" i="1" s="1"/>
  <c r="C12952" i="1"/>
  <c r="F12952" i="1"/>
  <c r="B12952" i="1" s="1"/>
  <c r="C12953" i="1"/>
  <c r="F12953" i="1"/>
  <c r="B12953" i="1" s="1"/>
  <c r="C12954" i="1"/>
  <c r="F12954" i="1"/>
  <c r="B12954" i="1" s="1"/>
  <c r="C12955" i="1"/>
  <c r="F12955" i="1"/>
  <c r="B12955" i="1" s="1"/>
  <c r="C12956" i="1"/>
  <c r="F12956" i="1"/>
  <c r="B12956" i="1" s="1"/>
  <c r="C12957" i="1"/>
  <c r="F12957" i="1"/>
  <c r="B12957" i="1" s="1"/>
  <c r="C12958" i="1"/>
  <c r="F12958" i="1"/>
  <c r="B12958" i="1" s="1"/>
  <c r="C12959" i="1"/>
  <c r="F12959" i="1"/>
  <c r="B12959" i="1" s="1"/>
  <c r="C12960" i="1"/>
  <c r="F12960" i="1"/>
  <c r="B12960" i="1" s="1"/>
  <c r="C12961" i="1"/>
  <c r="F12961" i="1"/>
  <c r="B12961" i="1" s="1"/>
  <c r="C12962" i="1"/>
  <c r="F12962" i="1"/>
  <c r="B12962" i="1" s="1"/>
  <c r="C12963" i="1"/>
  <c r="F12963" i="1"/>
  <c r="B12963" i="1" s="1"/>
  <c r="C12964" i="1"/>
  <c r="F12964" i="1"/>
  <c r="B12964" i="1" s="1"/>
  <c r="C12965" i="1"/>
  <c r="F12965" i="1"/>
  <c r="B12965" i="1" s="1"/>
  <c r="C12966" i="1"/>
  <c r="F12966" i="1"/>
  <c r="B12966" i="1" s="1"/>
  <c r="C12967" i="1"/>
  <c r="F12967" i="1"/>
  <c r="B12967" i="1" s="1"/>
  <c r="C12968" i="1"/>
  <c r="F12968" i="1"/>
  <c r="B12968" i="1" s="1"/>
  <c r="C12969" i="1"/>
  <c r="F12969" i="1"/>
  <c r="B12969" i="1" s="1"/>
  <c r="C12970" i="1"/>
  <c r="F12970" i="1"/>
  <c r="B12970" i="1" s="1"/>
  <c r="C12971" i="1"/>
  <c r="F12971" i="1"/>
  <c r="B12971" i="1" s="1"/>
  <c r="C12972" i="1"/>
  <c r="F12972" i="1"/>
  <c r="B12972" i="1" s="1"/>
  <c r="C12973" i="1"/>
  <c r="F12973" i="1"/>
  <c r="B12973" i="1" s="1"/>
  <c r="C12974" i="1"/>
  <c r="F12974" i="1"/>
  <c r="B12974" i="1" s="1"/>
  <c r="C12975" i="1"/>
  <c r="F12975" i="1"/>
  <c r="B12975" i="1" s="1"/>
  <c r="C12976" i="1"/>
  <c r="F12976" i="1"/>
  <c r="B12976" i="1" s="1"/>
  <c r="C12977" i="1"/>
  <c r="F12977" i="1"/>
  <c r="B12977" i="1" s="1"/>
  <c r="C12978" i="1"/>
  <c r="F12978" i="1"/>
  <c r="B12978" i="1" s="1"/>
  <c r="C12979" i="1"/>
  <c r="F12979" i="1"/>
  <c r="B12979" i="1" s="1"/>
  <c r="C12980" i="1"/>
  <c r="F12980" i="1"/>
  <c r="B12980" i="1" s="1"/>
  <c r="C12981" i="1"/>
  <c r="F12981" i="1"/>
  <c r="B12981" i="1" s="1"/>
  <c r="C12982" i="1"/>
  <c r="F12982" i="1"/>
  <c r="B12982" i="1" s="1"/>
  <c r="C12983" i="1"/>
  <c r="F12983" i="1"/>
  <c r="B12983" i="1" s="1"/>
  <c r="C12984" i="1"/>
  <c r="F12984" i="1"/>
  <c r="B12984" i="1" s="1"/>
  <c r="C12985" i="1"/>
  <c r="F12985" i="1"/>
  <c r="B12985" i="1" s="1"/>
  <c r="C12986" i="1"/>
  <c r="F12986" i="1"/>
  <c r="B12986" i="1" s="1"/>
  <c r="C12987" i="1"/>
  <c r="F12987" i="1"/>
  <c r="B12987" i="1" s="1"/>
  <c r="C12988" i="1"/>
  <c r="F12988" i="1"/>
  <c r="B12988" i="1" s="1"/>
  <c r="C12989" i="1"/>
  <c r="F12989" i="1"/>
  <c r="B12989" i="1" s="1"/>
  <c r="C12990" i="1"/>
  <c r="F12990" i="1"/>
  <c r="B12990" i="1" s="1"/>
  <c r="C12991" i="1"/>
  <c r="F12991" i="1"/>
  <c r="B12991" i="1" s="1"/>
  <c r="C12992" i="1"/>
  <c r="F12992" i="1"/>
  <c r="B12992" i="1" s="1"/>
  <c r="C12993" i="1"/>
  <c r="F12993" i="1"/>
  <c r="B12993" i="1" s="1"/>
  <c r="C12994" i="1"/>
  <c r="F12994" i="1"/>
  <c r="B12994" i="1" s="1"/>
  <c r="C12995" i="1"/>
  <c r="F12995" i="1"/>
  <c r="B12995" i="1" s="1"/>
  <c r="C12996" i="1"/>
  <c r="F12996" i="1"/>
  <c r="B12996" i="1" s="1"/>
  <c r="C12997" i="1"/>
  <c r="F12997" i="1"/>
  <c r="B12997" i="1" s="1"/>
  <c r="C12998" i="1"/>
  <c r="F12998" i="1"/>
  <c r="B12998" i="1" s="1"/>
  <c r="C12999" i="1"/>
  <c r="F12999" i="1"/>
  <c r="B12999" i="1" s="1"/>
  <c r="C13000" i="1"/>
  <c r="F13000" i="1"/>
  <c r="B13000" i="1" s="1"/>
  <c r="C13001" i="1"/>
  <c r="F13001" i="1"/>
  <c r="B13001" i="1" s="1"/>
  <c r="C13002" i="1"/>
  <c r="F13002" i="1"/>
  <c r="B13002" i="1" s="1"/>
  <c r="C13003" i="1"/>
  <c r="F13003" i="1"/>
  <c r="B13003" i="1" s="1"/>
  <c r="C13004" i="1"/>
  <c r="F13004" i="1"/>
  <c r="B13004" i="1" s="1"/>
  <c r="C13005" i="1"/>
  <c r="F13005" i="1"/>
  <c r="B13005" i="1" s="1"/>
  <c r="C13006" i="1"/>
  <c r="F13006" i="1"/>
  <c r="B13006" i="1" s="1"/>
  <c r="C13007" i="1"/>
  <c r="F13007" i="1"/>
  <c r="B13007" i="1" s="1"/>
  <c r="C13008" i="1"/>
  <c r="F13008" i="1"/>
  <c r="B13008" i="1" s="1"/>
  <c r="C13009" i="1"/>
  <c r="F13009" i="1"/>
  <c r="B13009" i="1" s="1"/>
  <c r="C13010" i="1"/>
  <c r="F13010" i="1"/>
  <c r="B13010" i="1" s="1"/>
  <c r="C13011" i="1"/>
  <c r="F13011" i="1"/>
  <c r="B13011" i="1" s="1"/>
  <c r="C13012" i="1"/>
  <c r="F13012" i="1"/>
  <c r="B13012" i="1" s="1"/>
  <c r="C13013" i="1"/>
  <c r="F13013" i="1"/>
  <c r="B13013" i="1" s="1"/>
  <c r="C13014" i="1"/>
  <c r="F13014" i="1"/>
  <c r="B13014" i="1" s="1"/>
  <c r="C13015" i="1"/>
  <c r="F13015" i="1"/>
  <c r="B13015" i="1" s="1"/>
  <c r="C13016" i="1"/>
  <c r="F13016" i="1"/>
  <c r="B13016" i="1" s="1"/>
  <c r="C13017" i="1"/>
  <c r="F13017" i="1"/>
  <c r="B13017" i="1" s="1"/>
  <c r="C13018" i="1"/>
  <c r="F13018" i="1"/>
  <c r="B13018" i="1" s="1"/>
  <c r="C13019" i="1"/>
  <c r="F13019" i="1"/>
  <c r="B13019" i="1" s="1"/>
  <c r="C13020" i="1"/>
  <c r="F13020" i="1"/>
  <c r="B13020" i="1" s="1"/>
  <c r="C13021" i="1"/>
  <c r="F13021" i="1"/>
  <c r="B13021" i="1" s="1"/>
  <c r="C13022" i="1"/>
  <c r="F13022" i="1"/>
  <c r="B13022" i="1" s="1"/>
  <c r="C13023" i="1"/>
  <c r="F13023" i="1"/>
  <c r="B13023" i="1" s="1"/>
  <c r="C13024" i="1"/>
  <c r="F13024" i="1"/>
  <c r="B13024" i="1" s="1"/>
  <c r="C13025" i="1"/>
  <c r="F13025" i="1"/>
  <c r="B13025" i="1" s="1"/>
  <c r="C13026" i="1"/>
  <c r="F13026" i="1"/>
  <c r="B13026" i="1" s="1"/>
  <c r="C13027" i="1"/>
  <c r="F13027" i="1"/>
  <c r="B13027" i="1" s="1"/>
  <c r="C13028" i="1"/>
  <c r="F13028" i="1"/>
  <c r="B13028" i="1" s="1"/>
  <c r="C13029" i="1"/>
  <c r="F13029" i="1"/>
  <c r="B13029" i="1" s="1"/>
  <c r="C13030" i="1"/>
  <c r="F13030" i="1"/>
  <c r="B13030" i="1" s="1"/>
  <c r="C13031" i="1"/>
  <c r="F13031" i="1"/>
  <c r="B13031" i="1" s="1"/>
  <c r="C13032" i="1"/>
  <c r="F13032" i="1"/>
  <c r="B13032" i="1" s="1"/>
  <c r="C13033" i="1"/>
  <c r="F13033" i="1"/>
  <c r="B13033" i="1" s="1"/>
  <c r="C13034" i="1"/>
  <c r="F13034" i="1"/>
  <c r="B13034" i="1" s="1"/>
  <c r="C13035" i="1"/>
  <c r="F13035" i="1"/>
  <c r="B13035" i="1" s="1"/>
  <c r="C13036" i="1"/>
  <c r="F13036" i="1"/>
  <c r="B13036" i="1" s="1"/>
  <c r="C13037" i="1"/>
  <c r="F13037" i="1"/>
  <c r="B13037" i="1" s="1"/>
  <c r="C13038" i="1"/>
  <c r="F13038" i="1"/>
  <c r="B13038" i="1" s="1"/>
  <c r="C13039" i="1"/>
  <c r="F13039" i="1"/>
  <c r="B13039" i="1" s="1"/>
  <c r="C13040" i="1"/>
  <c r="F13040" i="1"/>
  <c r="B13040" i="1" s="1"/>
  <c r="C13041" i="1"/>
  <c r="F13041" i="1"/>
  <c r="B13041" i="1" s="1"/>
  <c r="C13042" i="1"/>
  <c r="F13042" i="1"/>
  <c r="B13042" i="1" s="1"/>
  <c r="C13043" i="1"/>
  <c r="F13043" i="1"/>
  <c r="B13043" i="1" s="1"/>
  <c r="C13044" i="1"/>
  <c r="F13044" i="1"/>
  <c r="B13044" i="1" s="1"/>
  <c r="C13045" i="1"/>
  <c r="F13045" i="1"/>
  <c r="B13045" i="1" s="1"/>
  <c r="C13046" i="1"/>
  <c r="F13046" i="1"/>
  <c r="B13046" i="1" s="1"/>
  <c r="C13047" i="1"/>
  <c r="F13047" i="1"/>
  <c r="B13047" i="1" s="1"/>
  <c r="C13048" i="1"/>
  <c r="F13048" i="1"/>
  <c r="B13048" i="1" s="1"/>
  <c r="C13049" i="1"/>
  <c r="F13049" i="1"/>
  <c r="B13049" i="1" s="1"/>
  <c r="C13050" i="1"/>
  <c r="F13050" i="1"/>
  <c r="B13050" i="1" s="1"/>
  <c r="C13051" i="1"/>
  <c r="F13051" i="1"/>
  <c r="B13051" i="1" s="1"/>
  <c r="C13052" i="1"/>
  <c r="F13052" i="1"/>
  <c r="B13052" i="1" s="1"/>
  <c r="C13053" i="1"/>
  <c r="F13053" i="1"/>
  <c r="B13053" i="1" s="1"/>
  <c r="C13054" i="1"/>
  <c r="F13054" i="1"/>
  <c r="B13054" i="1" s="1"/>
  <c r="C13055" i="1"/>
  <c r="F13055" i="1"/>
  <c r="B13055" i="1" s="1"/>
  <c r="C13056" i="1"/>
  <c r="F13056" i="1"/>
  <c r="B13056" i="1" s="1"/>
  <c r="C13057" i="1"/>
  <c r="F13057" i="1"/>
  <c r="B13057" i="1" s="1"/>
  <c r="C13058" i="1"/>
  <c r="F13058" i="1"/>
  <c r="B13058" i="1" s="1"/>
  <c r="C13059" i="1"/>
  <c r="F13059" i="1"/>
  <c r="B13059" i="1" s="1"/>
  <c r="C13060" i="1"/>
  <c r="F13060" i="1"/>
  <c r="B13060" i="1" s="1"/>
  <c r="C13061" i="1"/>
  <c r="F13061" i="1"/>
  <c r="B13061" i="1" s="1"/>
  <c r="C13062" i="1"/>
  <c r="F13062" i="1"/>
  <c r="B13062" i="1" s="1"/>
  <c r="C13063" i="1"/>
  <c r="F13063" i="1"/>
  <c r="B13063" i="1" s="1"/>
  <c r="C13064" i="1"/>
  <c r="F13064" i="1"/>
  <c r="B13064" i="1" s="1"/>
  <c r="C13065" i="1"/>
  <c r="F13065" i="1"/>
  <c r="B13065" i="1" s="1"/>
  <c r="C13066" i="1"/>
  <c r="F13066" i="1"/>
  <c r="B13066" i="1" s="1"/>
  <c r="C13067" i="1"/>
  <c r="F13067" i="1"/>
  <c r="B13067" i="1" s="1"/>
  <c r="C13068" i="1"/>
  <c r="F13068" i="1"/>
  <c r="B13068" i="1" s="1"/>
  <c r="C13069" i="1"/>
  <c r="F13069" i="1"/>
  <c r="B13069" i="1" s="1"/>
  <c r="C13070" i="1"/>
  <c r="F13070" i="1"/>
  <c r="B13070" i="1" s="1"/>
  <c r="C13071" i="1"/>
  <c r="F13071" i="1"/>
  <c r="B13071" i="1" s="1"/>
  <c r="C13072" i="1"/>
  <c r="F13072" i="1"/>
  <c r="B13072" i="1" s="1"/>
  <c r="C13073" i="1"/>
  <c r="F13073" i="1"/>
  <c r="B13073" i="1" s="1"/>
  <c r="C13074" i="1"/>
  <c r="F13074" i="1"/>
  <c r="B13074" i="1" s="1"/>
  <c r="C13075" i="1"/>
  <c r="F13075" i="1"/>
  <c r="B13075" i="1" s="1"/>
  <c r="C13076" i="1"/>
  <c r="F13076" i="1"/>
  <c r="B13076" i="1" s="1"/>
  <c r="C13077" i="1"/>
  <c r="F13077" i="1"/>
  <c r="B13077" i="1" s="1"/>
  <c r="C13078" i="1"/>
  <c r="F13078" i="1"/>
  <c r="B13078" i="1" s="1"/>
  <c r="C13079" i="1"/>
  <c r="F13079" i="1"/>
  <c r="B13079" i="1" s="1"/>
  <c r="C13080" i="1"/>
  <c r="F13080" i="1"/>
  <c r="B13080" i="1" s="1"/>
  <c r="C13081" i="1"/>
  <c r="F13081" i="1"/>
  <c r="B13081" i="1" s="1"/>
  <c r="C13082" i="1"/>
  <c r="F13082" i="1"/>
  <c r="B13082" i="1" s="1"/>
  <c r="C13083" i="1"/>
  <c r="F13083" i="1"/>
  <c r="B13083" i="1" s="1"/>
  <c r="C13084" i="1"/>
  <c r="F13084" i="1"/>
  <c r="B13084" i="1" s="1"/>
  <c r="C13085" i="1"/>
  <c r="F13085" i="1"/>
  <c r="B13085" i="1" s="1"/>
  <c r="C13086" i="1"/>
  <c r="F13086" i="1"/>
  <c r="B13086" i="1" s="1"/>
  <c r="C13087" i="1"/>
  <c r="F13087" i="1"/>
  <c r="B13087" i="1" s="1"/>
  <c r="C13088" i="1"/>
  <c r="F13088" i="1"/>
  <c r="B13088" i="1" s="1"/>
  <c r="C13089" i="1"/>
  <c r="F13089" i="1"/>
  <c r="B13089" i="1" s="1"/>
  <c r="C13090" i="1"/>
  <c r="F13090" i="1"/>
  <c r="B13090" i="1" s="1"/>
  <c r="C13091" i="1"/>
  <c r="F13091" i="1"/>
  <c r="B13091" i="1" s="1"/>
  <c r="C13092" i="1"/>
  <c r="F13092" i="1"/>
  <c r="B13092" i="1" s="1"/>
  <c r="C13093" i="1"/>
  <c r="F13093" i="1"/>
  <c r="B13093" i="1" s="1"/>
  <c r="C13094" i="1"/>
  <c r="F13094" i="1"/>
  <c r="B13094" i="1" s="1"/>
  <c r="C13095" i="1"/>
  <c r="F13095" i="1"/>
  <c r="B13095" i="1" s="1"/>
  <c r="C13096" i="1"/>
  <c r="F13096" i="1"/>
  <c r="B13096" i="1" s="1"/>
  <c r="C13097" i="1"/>
  <c r="F13097" i="1"/>
  <c r="B13097" i="1" s="1"/>
  <c r="C13098" i="1"/>
  <c r="F13098" i="1"/>
  <c r="B13098" i="1" s="1"/>
  <c r="C13099" i="1"/>
  <c r="F13099" i="1"/>
  <c r="B13099" i="1" s="1"/>
  <c r="C13100" i="1"/>
  <c r="F13100" i="1"/>
  <c r="B13100" i="1" s="1"/>
  <c r="C13101" i="1"/>
  <c r="F13101" i="1"/>
  <c r="B13101" i="1" s="1"/>
  <c r="C13102" i="1"/>
  <c r="F13102" i="1"/>
  <c r="B13102" i="1" s="1"/>
  <c r="C13103" i="1"/>
  <c r="F13103" i="1"/>
  <c r="B13103" i="1" s="1"/>
  <c r="C13104" i="1"/>
  <c r="F13104" i="1"/>
  <c r="B13104" i="1" s="1"/>
  <c r="C13105" i="1"/>
  <c r="F13105" i="1"/>
  <c r="B13105" i="1" s="1"/>
  <c r="C13106" i="1"/>
  <c r="F13106" i="1"/>
  <c r="B13106" i="1" s="1"/>
  <c r="C13107" i="1"/>
  <c r="F13107" i="1"/>
  <c r="B13107" i="1" s="1"/>
  <c r="C13108" i="1"/>
  <c r="F13108" i="1"/>
  <c r="B13108" i="1" s="1"/>
  <c r="C13109" i="1"/>
  <c r="F13109" i="1"/>
  <c r="B13109" i="1" s="1"/>
  <c r="C13110" i="1"/>
  <c r="F13110" i="1"/>
  <c r="B13110" i="1" s="1"/>
  <c r="C13111" i="1"/>
  <c r="F13111" i="1"/>
  <c r="B13111" i="1" s="1"/>
  <c r="C13112" i="1"/>
  <c r="F13112" i="1"/>
  <c r="B13112" i="1" s="1"/>
  <c r="C13113" i="1"/>
  <c r="F13113" i="1"/>
  <c r="B13113" i="1" s="1"/>
  <c r="C13114" i="1"/>
  <c r="F13114" i="1"/>
  <c r="B13114" i="1" s="1"/>
  <c r="C13115" i="1"/>
  <c r="F13115" i="1"/>
  <c r="B13115" i="1" s="1"/>
  <c r="C13116" i="1"/>
  <c r="F13116" i="1"/>
  <c r="B13116" i="1" s="1"/>
  <c r="C13117" i="1"/>
  <c r="F13117" i="1"/>
  <c r="B13117" i="1" s="1"/>
  <c r="C13118" i="1"/>
  <c r="F13118" i="1"/>
  <c r="B13118" i="1" s="1"/>
  <c r="C13119" i="1"/>
  <c r="F13119" i="1"/>
  <c r="B13119" i="1" s="1"/>
  <c r="C13120" i="1"/>
  <c r="F13120" i="1"/>
  <c r="B13120" i="1" s="1"/>
  <c r="C13121" i="1"/>
  <c r="F13121" i="1"/>
  <c r="B13121" i="1" s="1"/>
  <c r="C13122" i="1"/>
  <c r="F13122" i="1"/>
  <c r="B13122" i="1" s="1"/>
  <c r="C13123" i="1"/>
  <c r="F13123" i="1"/>
  <c r="B13123" i="1" s="1"/>
  <c r="C13124" i="1"/>
  <c r="F13124" i="1"/>
  <c r="B13124" i="1" s="1"/>
  <c r="C13125" i="1"/>
  <c r="F13125" i="1"/>
  <c r="B13125" i="1" s="1"/>
  <c r="C13126" i="1"/>
  <c r="F13126" i="1"/>
  <c r="B13126" i="1" s="1"/>
  <c r="C13127" i="1"/>
  <c r="F13127" i="1"/>
  <c r="B13127" i="1" s="1"/>
  <c r="C13128" i="1"/>
  <c r="F13128" i="1"/>
  <c r="B13128" i="1" s="1"/>
  <c r="C13129" i="1"/>
  <c r="F13129" i="1"/>
  <c r="B13129" i="1" s="1"/>
  <c r="C13130" i="1"/>
  <c r="F13130" i="1"/>
  <c r="B13130" i="1" s="1"/>
  <c r="C13131" i="1"/>
  <c r="F13131" i="1"/>
  <c r="B13131" i="1" s="1"/>
  <c r="C13132" i="1"/>
  <c r="F13132" i="1"/>
  <c r="B13132" i="1" s="1"/>
  <c r="C13133" i="1"/>
  <c r="F13133" i="1"/>
  <c r="B13133" i="1" s="1"/>
  <c r="C13134" i="1"/>
  <c r="F13134" i="1"/>
  <c r="B13134" i="1" s="1"/>
  <c r="C13135" i="1"/>
  <c r="F13135" i="1"/>
  <c r="B13135" i="1" s="1"/>
  <c r="C13136" i="1"/>
  <c r="F13136" i="1"/>
  <c r="B13136" i="1" s="1"/>
  <c r="C13137" i="1"/>
  <c r="F13137" i="1"/>
  <c r="B13137" i="1" s="1"/>
  <c r="C13138" i="1"/>
  <c r="F13138" i="1"/>
  <c r="B13138" i="1" s="1"/>
  <c r="C13139" i="1"/>
  <c r="F13139" i="1"/>
  <c r="B13139" i="1" s="1"/>
  <c r="C13140" i="1"/>
  <c r="F13140" i="1"/>
  <c r="B13140" i="1" s="1"/>
  <c r="C13141" i="1"/>
  <c r="F13141" i="1"/>
  <c r="B13141" i="1" s="1"/>
  <c r="C13142" i="1"/>
  <c r="F13142" i="1"/>
  <c r="B13142" i="1" s="1"/>
  <c r="C13143" i="1"/>
  <c r="F13143" i="1"/>
  <c r="B13143" i="1" s="1"/>
  <c r="C13144" i="1"/>
  <c r="F13144" i="1"/>
  <c r="B13144" i="1" s="1"/>
  <c r="C13145" i="1"/>
  <c r="F13145" i="1"/>
  <c r="B13145" i="1" s="1"/>
  <c r="C13146" i="1"/>
  <c r="F13146" i="1"/>
  <c r="B13146" i="1" s="1"/>
  <c r="C13147" i="1"/>
  <c r="F13147" i="1"/>
  <c r="B13147" i="1" s="1"/>
  <c r="C13148" i="1"/>
  <c r="F13148" i="1"/>
  <c r="B13148" i="1" s="1"/>
  <c r="C13149" i="1"/>
  <c r="F13149" i="1"/>
  <c r="B13149" i="1" s="1"/>
  <c r="C13150" i="1"/>
  <c r="F13150" i="1"/>
  <c r="B13150" i="1" s="1"/>
  <c r="C13151" i="1"/>
  <c r="F13151" i="1"/>
  <c r="B13151" i="1" s="1"/>
  <c r="C13152" i="1"/>
  <c r="F13152" i="1"/>
  <c r="B13152" i="1" s="1"/>
  <c r="C13153" i="1"/>
  <c r="F13153" i="1"/>
  <c r="B13153" i="1" s="1"/>
  <c r="C13154" i="1"/>
  <c r="F13154" i="1"/>
  <c r="B13154" i="1" s="1"/>
  <c r="C13155" i="1"/>
  <c r="F13155" i="1"/>
  <c r="B13155" i="1" s="1"/>
  <c r="C13156" i="1"/>
  <c r="F13156" i="1"/>
  <c r="B13156" i="1" s="1"/>
  <c r="C13157" i="1"/>
  <c r="F13157" i="1"/>
  <c r="B13157" i="1" s="1"/>
  <c r="C13158" i="1"/>
  <c r="F13158" i="1"/>
  <c r="B13158" i="1" s="1"/>
  <c r="C13159" i="1"/>
  <c r="F13159" i="1"/>
  <c r="B13159" i="1" s="1"/>
  <c r="C13160" i="1"/>
  <c r="F13160" i="1"/>
  <c r="B13160" i="1" s="1"/>
  <c r="C13161" i="1"/>
  <c r="F13161" i="1"/>
  <c r="B13161" i="1" s="1"/>
  <c r="C13162" i="1"/>
  <c r="F13162" i="1"/>
  <c r="B13162" i="1" s="1"/>
  <c r="C13163" i="1"/>
  <c r="F13163" i="1"/>
  <c r="B13163" i="1" s="1"/>
  <c r="C13164" i="1"/>
  <c r="F13164" i="1"/>
  <c r="B13164" i="1" s="1"/>
  <c r="C13165" i="1"/>
  <c r="F13165" i="1"/>
  <c r="B13165" i="1" s="1"/>
  <c r="C13166" i="1"/>
  <c r="F13166" i="1"/>
  <c r="B13166" i="1" s="1"/>
  <c r="C13167" i="1"/>
  <c r="F13167" i="1"/>
  <c r="B13167" i="1" s="1"/>
  <c r="C13168" i="1"/>
  <c r="F13168" i="1"/>
  <c r="B13168" i="1" s="1"/>
  <c r="C13169" i="1"/>
  <c r="F13169" i="1"/>
  <c r="B13169" i="1" s="1"/>
  <c r="C13170" i="1"/>
  <c r="F13170" i="1"/>
  <c r="B13170" i="1" s="1"/>
  <c r="C13171" i="1"/>
  <c r="F13171" i="1"/>
  <c r="B13171" i="1" s="1"/>
  <c r="C13172" i="1"/>
  <c r="F13172" i="1"/>
  <c r="B13172" i="1" s="1"/>
  <c r="C13173" i="1"/>
  <c r="F13173" i="1"/>
  <c r="B13173" i="1" s="1"/>
  <c r="C13174" i="1"/>
  <c r="F13174" i="1"/>
  <c r="B13174" i="1" s="1"/>
  <c r="C13175" i="1"/>
  <c r="F13175" i="1"/>
  <c r="B13175" i="1" s="1"/>
  <c r="C13176" i="1"/>
  <c r="F13176" i="1"/>
  <c r="B13176" i="1" s="1"/>
  <c r="C13177" i="1"/>
  <c r="F13177" i="1"/>
  <c r="B13177" i="1" s="1"/>
  <c r="C13178" i="1"/>
  <c r="F13178" i="1"/>
  <c r="B13178" i="1" s="1"/>
  <c r="C13179" i="1"/>
  <c r="F13179" i="1"/>
  <c r="B13179" i="1" s="1"/>
  <c r="C13180" i="1"/>
  <c r="F13180" i="1"/>
  <c r="B13180" i="1" s="1"/>
  <c r="C13181" i="1"/>
  <c r="F13181" i="1"/>
  <c r="B13181" i="1" s="1"/>
  <c r="C13182" i="1"/>
  <c r="F13182" i="1"/>
  <c r="B13182" i="1" s="1"/>
  <c r="C13183" i="1"/>
  <c r="F13183" i="1"/>
  <c r="B13183" i="1" s="1"/>
  <c r="C13184" i="1"/>
  <c r="F13184" i="1"/>
  <c r="B13184" i="1" s="1"/>
  <c r="C13185" i="1"/>
  <c r="F13185" i="1"/>
  <c r="B13185" i="1" s="1"/>
  <c r="C13186" i="1"/>
  <c r="F13186" i="1"/>
  <c r="B13186" i="1" s="1"/>
  <c r="C13187" i="1"/>
  <c r="F13187" i="1"/>
  <c r="B13187" i="1" s="1"/>
  <c r="C13188" i="1"/>
  <c r="F13188" i="1"/>
  <c r="B13188" i="1" s="1"/>
  <c r="C13189" i="1"/>
  <c r="F13189" i="1"/>
  <c r="B13189" i="1" s="1"/>
  <c r="C13190" i="1"/>
  <c r="F13190" i="1"/>
  <c r="B13190" i="1" s="1"/>
  <c r="C13191" i="1"/>
  <c r="F13191" i="1"/>
  <c r="B13191" i="1" s="1"/>
  <c r="C13192" i="1"/>
  <c r="F13192" i="1"/>
  <c r="B13192" i="1" s="1"/>
  <c r="C13193" i="1"/>
  <c r="F13193" i="1"/>
  <c r="B13193" i="1" s="1"/>
  <c r="C13194" i="1"/>
  <c r="F13194" i="1"/>
  <c r="B13194" i="1" s="1"/>
  <c r="C13195" i="1"/>
  <c r="F13195" i="1"/>
  <c r="B13195" i="1" s="1"/>
  <c r="C13196" i="1"/>
  <c r="F13196" i="1"/>
  <c r="B13196" i="1" s="1"/>
  <c r="C13197" i="1"/>
  <c r="F13197" i="1"/>
  <c r="B13197" i="1" s="1"/>
  <c r="C13198" i="1"/>
  <c r="F13198" i="1"/>
  <c r="B13198" i="1" s="1"/>
  <c r="C13199" i="1"/>
  <c r="F13199" i="1"/>
  <c r="B13199" i="1" s="1"/>
  <c r="C13200" i="1"/>
  <c r="F13200" i="1"/>
  <c r="B13200" i="1" s="1"/>
  <c r="C13201" i="1"/>
  <c r="F13201" i="1"/>
  <c r="B13201" i="1" s="1"/>
  <c r="C13202" i="1"/>
  <c r="F13202" i="1"/>
  <c r="B13202" i="1" s="1"/>
  <c r="C13203" i="1"/>
  <c r="F13203" i="1"/>
  <c r="B13203" i="1" s="1"/>
  <c r="C13204" i="1"/>
  <c r="F13204" i="1"/>
  <c r="B13204" i="1" s="1"/>
  <c r="C13205" i="1"/>
  <c r="F13205" i="1"/>
  <c r="B13205" i="1" s="1"/>
  <c r="C13206" i="1"/>
  <c r="F13206" i="1"/>
  <c r="B13206" i="1" s="1"/>
  <c r="C13207" i="1"/>
  <c r="F13207" i="1"/>
  <c r="B13207" i="1" s="1"/>
  <c r="C13208" i="1"/>
  <c r="F13208" i="1"/>
  <c r="B13208" i="1" s="1"/>
  <c r="C13209" i="1"/>
  <c r="F13209" i="1"/>
  <c r="B13209" i="1" s="1"/>
  <c r="C13210" i="1"/>
  <c r="F13210" i="1"/>
  <c r="B13210" i="1" s="1"/>
  <c r="C13211" i="1"/>
  <c r="F13211" i="1"/>
  <c r="B13211" i="1" s="1"/>
  <c r="C13212" i="1"/>
  <c r="F13212" i="1"/>
  <c r="B13212" i="1" s="1"/>
  <c r="C13213" i="1"/>
  <c r="F13213" i="1"/>
  <c r="B13213" i="1" s="1"/>
  <c r="C13214" i="1"/>
  <c r="F13214" i="1"/>
  <c r="B13214" i="1" s="1"/>
  <c r="C13215" i="1"/>
  <c r="F13215" i="1"/>
  <c r="B13215" i="1" s="1"/>
  <c r="C13216" i="1"/>
  <c r="F13216" i="1"/>
  <c r="B13216" i="1" s="1"/>
  <c r="C13217" i="1"/>
  <c r="F13217" i="1"/>
  <c r="B13217" i="1" s="1"/>
  <c r="C13218" i="1"/>
  <c r="F13218" i="1"/>
  <c r="B13218" i="1" s="1"/>
  <c r="C13219" i="1"/>
  <c r="F13219" i="1"/>
  <c r="B13219" i="1" s="1"/>
  <c r="C13220" i="1"/>
  <c r="F13220" i="1"/>
  <c r="B13220" i="1" s="1"/>
  <c r="C13221" i="1"/>
  <c r="F13221" i="1"/>
  <c r="B13221" i="1" s="1"/>
  <c r="C13222" i="1"/>
  <c r="F13222" i="1"/>
  <c r="B13222" i="1" s="1"/>
  <c r="C13223" i="1"/>
  <c r="F13223" i="1"/>
  <c r="B13223" i="1" s="1"/>
  <c r="C13224" i="1"/>
  <c r="F13224" i="1"/>
  <c r="B13224" i="1" s="1"/>
  <c r="C13225" i="1"/>
  <c r="F13225" i="1"/>
  <c r="B13225" i="1" s="1"/>
  <c r="C13226" i="1"/>
  <c r="F13226" i="1"/>
  <c r="B13226" i="1" s="1"/>
  <c r="C13227" i="1"/>
  <c r="F13227" i="1"/>
  <c r="B13227" i="1" s="1"/>
  <c r="C13228" i="1"/>
  <c r="F13228" i="1"/>
  <c r="B13228" i="1" s="1"/>
  <c r="C13229" i="1"/>
  <c r="F13229" i="1"/>
  <c r="B13229" i="1" s="1"/>
  <c r="C13230" i="1"/>
  <c r="F13230" i="1"/>
  <c r="B13230" i="1" s="1"/>
  <c r="C13231" i="1"/>
  <c r="F13231" i="1"/>
  <c r="B13231" i="1" s="1"/>
  <c r="C13232" i="1"/>
  <c r="F13232" i="1"/>
  <c r="B13232" i="1" s="1"/>
  <c r="C13233" i="1"/>
  <c r="F13233" i="1"/>
  <c r="B13233" i="1" s="1"/>
  <c r="C13234" i="1"/>
  <c r="F13234" i="1"/>
  <c r="B13234" i="1" s="1"/>
  <c r="C13235" i="1"/>
  <c r="F13235" i="1"/>
  <c r="B13235" i="1" s="1"/>
  <c r="C13236" i="1"/>
  <c r="F13236" i="1"/>
  <c r="B13236" i="1" s="1"/>
  <c r="C13237" i="1"/>
  <c r="F13237" i="1"/>
  <c r="B13237" i="1" s="1"/>
  <c r="C13238" i="1"/>
  <c r="F13238" i="1"/>
  <c r="B13238" i="1" s="1"/>
  <c r="C13239" i="1"/>
  <c r="F13239" i="1"/>
  <c r="B13239" i="1" s="1"/>
  <c r="C13240" i="1"/>
  <c r="F13240" i="1"/>
  <c r="B13240" i="1" s="1"/>
  <c r="C13241" i="1"/>
  <c r="F13241" i="1"/>
  <c r="B13241" i="1" s="1"/>
  <c r="C13242" i="1"/>
  <c r="F13242" i="1"/>
  <c r="B13242" i="1" s="1"/>
  <c r="C13243" i="1"/>
  <c r="F13243" i="1"/>
  <c r="B13243" i="1" s="1"/>
  <c r="C13244" i="1"/>
  <c r="F13244" i="1"/>
  <c r="B13244" i="1" s="1"/>
  <c r="C13245" i="1"/>
  <c r="F13245" i="1"/>
  <c r="B13245" i="1" s="1"/>
  <c r="C13246" i="1"/>
  <c r="F13246" i="1"/>
  <c r="B13246" i="1" s="1"/>
  <c r="C13247" i="1"/>
  <c r="F13247" i="1"/>
  <c r="B13247" i="1" s="1"/>
  <c r="C13248" i="1"/>
  <c r="F13248" i="1"/>
  <c r="B13248" i="1" s="1"/>
  <c r="C13249" i="1"/>
  <c r="F13249" i="1"/>
  <c r="B13249" i="1" s="1"/>
  <c r="C13250" i="1"/>
  <c r="F13250" i="1"/>
  <c r="B13250" i="1" s="1"/>
  <c r="C13251" i="1"/>
  <c r="F13251" i="1"/>
  <c r="B13251" i="1" s="1"/>
  <c r="C13252" i="1"/>
  <c r="F13252" i="1"/>
  <c r="B13252" i="1" s="1"/>
  <c r="C13253" i="1"/>
  <c r="F13253" i="1"/>
  <c r="B13253" i="1" s="1"/>
  <c r="C13254" i="1"/>
  <c r="F13254" i="1"/>
  <c r="B13254" i="1" s="1"/>
  <c r="C13255" i="1"/>
  <c r="F13255" i="1"/>
  <c r="B13255" i="1" s="1"/>
  <c r="C13256" i="1"/>
  <c r="F13256" i="1"/>
  <c r="B13256" i="1" s="1"/>
  <c r="C13257" i="1"/>
  <c r="F13257" i="1"/>
  <c r="B13257" i="1" s="1"/>
  <c r="C13258" i="1"/>
  <c r="F13258" i="1"/>
  <c r="B13258" i="1" s="1"/>
  <c r="C13259" i="1"/>
  <c r="F13259" i="1"/>
  <c r="B13259" i="1" s="1"/>
  <c r="C13260" i="1"/>
  <c r="F13260" i="1"/>
  <c r="B13260" i="1" s="1"/>
  <c r="C13261" i="1"/>
  <c r="F13261" i="1"/>
  <c r="B13261" i="1" s="1"/>
  <c r="C13262" i="1"/>
  <c r="F13262" i="1"/>
  <c r="B13262" i="1" s="1"/>
  <c r="C13263" i="1"/>
  <c r="F13263" i="1"/>
  <c r="B13263" i="1" s="1"/>
  <c r="C13264" i="1"/>
  <c r="F13264" i="1"/>
  <c r="B13264" i="1" s="1"/>
  <c r="C13265" i="1"/>
  <c r="F13265" i="1"/>
  <c r="B13265" i="1" s="1"/>
  <c r="C13266" i="1"/>
  <c r="F13266" i="1"/>
  <c r="B13266" i="1" s="1"/>
  <c r="C13267" i="1"/>
  <c r="F13267" i="1"/>
  <c r="B13267" i="1" s="1"/>
  <c r="C13268" i="1"/>
  <c r="F13268" i="1"/>
  <c r="B13268" i="1" s="1"/>
  <c r="C13269" i="1"/>
  <c r="F13269" i="1"/>
  <c r="B13269" i="1" s="1"/>
  <c r="C13270" i="1"/>
  <c r="F13270" i="1"/>
  <c r="B13270" i="1" s="1"/>
  <c r="C13271" i="1"/>
  <c r="F13271" i="1"/>
  <c r="B13271" i="1" s="1"/>
  <c r="C13272" i="1"/>
  <c r="F13272" i="1"/>
  <c r="B13272" i="1" s="1"/>
  <c r="C13273" i="1"/>
  <c r="F13273" i="1"/>
  <c r="B13273" i="1" s="1"/>
  <c r="C13274" i="1"/>
  <c r="F13274" i="1"/>
  <c r="B13274" i="1" s="1"/>
  <c r="C13275" i="1"/>
  <c r="F13275" i="1"/>
  <c r="B13275" i="1" s="1"/>
  <c r="C13276" i="1"/>
  <c r="F13276" i="1"/>
  <c r="B13276" i="1" s="1"/>
  <c r="C13277" i="1"/>
  <c r="F13277" i="1"/>
  <c r="B13277" i="1" s="1"/>
  <c r="C13278" i="1"/>
  <c r="F13278" i="1"/>
  <c r="B13278" i="1" s="1"/>
  <c r="C13279" i="1"/>
  <c r="F13279" i="1"/>
  <c r="B13279" i="1" s="1"/>
  <c r="C13280" i="1"/>
  <c r="F13280" i="1"/>
  <c r="B13280" i="1" s="1"/>
  <c r="C13281" i="1"/>
  <c r="F13281" i="1"/>
  <c r="B13281" i="1" s="1"/>
  <c r="C13282" i="1"/>
  <c r="F13282" i="1"/>
  <c r="B13282" i="1" s="1"/>
  <c r="C13283" i="1"/>
  <c r="F13283" i="1"/>
  <c r="B13283" i="1" s="1"/>
  <c r="C13284" i="1"/>
  <c r="F13284" i="1"/>
  <c r="B13284" i="1" s="1"/>
  <c r="C13285" i="1"/>
  <c r="F13285" i="1"/>
  <c r="B13285" i="1" s="1"/>
  <c r="C13286" i="1"/>
  <c r="F13286" i="1"/>
  <c r="B13286" i="1" s="1"/>
  <c r="C13287" i="1"/>
  <c r="F13287" i="1"/>
  <c r="B13287" i="1" s="1"/>
  <c r="C13288" i="1"/>
  <c r="F13288" i="1"/>
  <c r="B13288" i="1" s="1"/>
  <c r="C13289" i="1"/>
  <c r="F13289" i="1"/>
  <c r="B13289" i="1" s="1"/>
  <c r="C13290" i="1"/>
  <c r="F13290" i="1"/>
  <c r="B13290" i="1" s="1"/>
  <c r="C13291" i="1"/>
  <c r="F13291" i="1"/>
  <c r="B13291" i="1" s="1"/>
  <c r="C13292" i="1"/>
  <c r="F13292" i="1"/>
  <c r="B13292" i="1" s="1"/>
  <c r="C13293" i="1"/>
  <c r="F13293" i="1"/>
  <c r="B13293" i="1" s="1"/>
  <c r="C13294" i="1"/>
  <c r="F13294" i="1"/>
  <c r="B13294" i="1" s="1"/>
  <c r="C13295" i="1"/>
  <c r="F13295" i="1"/>
  <c r="B13295" i="1" s="1"/>
  <c r="C13296" i="1"/>
  <c r="F13296" i="1"/>
  <c r="B13296" i="1" s="1"/>
  <c r="C13297" i="1"/>
  <c r="F13297" i="1"/>
  <c r="B13297" i="1" s="1"/>
  <c r="C13298" i="1"/>
  <c r="F13298" i="1"/>
  <c r="B13298" i="1" s="1"/>
  <c r="C13299" i="1"/>
  <c r="F13299" i="1"/>
  <c r="B13299" i="1" s="1"/>
  <c r="C13300" i="1"/>
  <c r="F13300" i="1"/>
  <c r="B13300" i="1" s="1"/>
  <c r="C13301" i="1"/>
  <c r="F13301" i="1"/>
  <c r="B13301" i="1" s="1"/>
  <c r="C13302" i="1"/>
  <c r="F13302" i="1"/>
  <c r="B13302" i="1" s="1"/>
  <c r="C13303" i="1"/>
  <c r="F13303" i="1"/>
  <c r="B13303" i="1" s="1"/>
  <c r="C13304" i="1"/>
  <c r="F13304" i="1"/>
  <c r="B13304" i="1" s="1"/>
  <c r="C13305" i="1"/>
  <c r="F13305" i="1"/>
  <c r="B13305" i="1" s="1"/>
  <c r="C13306" i="1"/>
  <c r="F13306" i="1"/>
  <c r="B13306" i="1" s="1"/>
  <c r="C13307" i="1"/>
  <c r="F13307" i="1"/>
  <c r="B13307" i="1" s="1"/>
  <c r="C13308" i="1"/>
  <c r="F13308" i="1"/>
  <c r="B13308" i="1" s="1"/>
  <c r="C13309" i="1"/>
  <c r="F13309" i="1"/>
  <c r="B13309" i="1" s="1"/>
  <c r="C13310" i="1"/>
  <c r="F13310" i="1"/>
  <c r="B13310" i="1" s="1"/>
  <c r="C13311" i="1"/>
  <c r="F13311" i="1"/>
  <c r="B13311" i="1" s="1"/>
  <c r="C13312" i="1"/>
  <c r="F13312" i="1"/>
  <c r="B13312" i="1" s="1"/>
  <c r="C13313" i="1"/>
  <c r="F13313" i="1"/>
  <c r="B13313" i="1" s="1"/>
  <c r="C13314" i="1"/>
  <c r="F13314" i="1"/>
  <c r="B13314" i="1" s="1"/>
  <c r="C13315" i="1"/>
  <c r="F13315" i="1"/>
  <c r="B13315" i="1" s="1"/>
  <c r="C13316" i="1"/>
  <c r="F13316" i="1"/>
  <c r="B13316" i="1" s="1"/>
  <c r="C13317" i="1"/>
  <c r="F13317" i="1"/>
  <c r="B13317" i="1" s="1"/>
  <c r="C13318" i="1"/>
  <c r="F13318" i="1"/>
  <c r="B13318" i="1" s="1"/>
  <c r="C13319" i="1"/>
  <c r="F13319" i="1"/>
  <c r="B13319" i="1" s="1"/>
  <c r="C13320" i="1"/>
  <c r="F13320" i="1"/>
  <c r="B13320" i="1" s="1"/>
  <c r="C13321" i="1"/>
  <c r="F13321" i="1"/>
  <c r="B13321" i="1" s="1"/>
  <c r="C13322" i="1"/>
  <c r="F13322" i="1"/>
  <c r="B13322" i="1" s="1"/>
  <c r="C13323" i="1"/>
  <c r="F13323" i="1"/>
  <c r="B13323" i="1" s="1"/>
  <c r="C13324" i="1"/>
  <c r="F13324" i="1"/>
  <c r="B13324" i="1" s="1"/>
  <c r="C13325" i="1"/>
  <c r="F13325" i="1"/>
  <c r="B13325" i="1" s="1"/>
  <c r="C13326" i="1"/>
  <c r="F13326" i="1"/>
  <c r="B13326" i="1" s="1"/>
  <c r="C13327" i="1"/>
  <c r="F13327" i="1"/>
  <c r="B13327" i="1" s="1"/>
  <c r="C13328" i="1"/>
  <c r="F13328" i="1"/>
  <c r="B13328" i="1" s="1"/>
  <c r="C13329" i="1"/>
  <c r="F13329" i="1"/>
  <c r="B13329" i="1" s="1"/>
  <c r="C13330" i="1"/>
  <c r="F13330" i="1"/>
  <c r="B13330" i="1" s="1"/>
  <c r="C13331" i="1"/>
  <c r="F13331" i="1"/>
  <c r="B13331" i="1" s="1"/>
  <c r="C13332" i="1"/>
  <c r="F13332" i="1"/>
  <c r="B13332" i="1" s="1"/>
  <c r="C13333" i="1"/>
  <c r="F13333" i="1"/>
  <c r="B13333" i="1" s="1"/>
  <c r="C13334" i="1"/>
  <c r="F13334" i="1"/>
  <c r="B13334" i="1" s="1"/>
  <c r="C13335" i="1"/>
  <c r="F13335" i="1"/>
  <c r="B13335" i="1" s="1"/>
  <c r="C13336" i="1"/>
  <c r="F13336" i="1"/>
  <c r="B13336" i="1" s="1"/>
  <c r="C13337" i="1"/>
  <c r="F13337" i="1"/>
  <c r="B13337" i="1" s="1"/>
  <c r="C13338" i="1"/>
  <c r="F13338" i="1"/>
  <c r="B13338" i="1" s="1"/>
  <c r="C13339" i="1"/>
  <c r="F13339" i="1"/>
  <c r="B13339" i="1" s="1"/>
  <c r="C13340" i="1"/>
  <c r="F13340" i="1"/>
  <c r="B13340" i="1" s="1"/>
  <c r="C13341" i="1"/>
  <c r="F13341" i="1"/>
  <c r="B13341" i="1" s="1"/>
  <c r="C13342" i="1"/>
  <c r="F13342" i="1"/>
  <c r="B13342" i="1" s="1"/>
  <c r="C13343" i="1"/>
  <c r="F13343" i="1"/>
  <c r="B13343" i="1" s="1"/>
  <c r="C13344" i="1"/>
  <c r="F13344" i="1"/>
  <c r="B13344" i="1" s="1"/>
  <c r="C13345" i="1"/>
  <c r="F13345" i="1"/>
  <c r="B13345" i="1" s="1"/>
  <c r="C13346" i="1"/>
  <c r="F13346" i="1"/>
  <c r="B13346" i="1" s="1"/>
  <c r="C13347" i="1"/>
  <c r="F13347" i="1"/>
  <c r="B13347" i="1" s="1"/>
  <c r="C13348" i="1"/>
  <c r="F13348" i="1"/>
  <c r="B13348" i="1" s="1"/>
  <c r="C13349" i="1"/>
  <c r="F13349" i="1"/>
  <c r="B13349" i="1" s="1"/>
  <c r="C13350" i="1"/>
  <c r="F13350" i="1"/>
  <c r="B13350" i="1" s="1"/>
  <c r="C13351" i="1"/>
  <c r="F13351" i="1"/>
  <c r="B13351" i="1" s="1"/>
  <c r="C13352" i="1"/>
  <c r="F13352" i="1"/>
  <c r="B13352" i="1" s="1"/>
  <c r="C13353" i="1"/>
  <c r="F13353" i="1"/>
  <c r="B13353" i="1" s="1"/>
  <c r="C13354" i="1"/>
  <c r="F13354" i="1"/>
  <c r="B13354" i="1" s="1"/>
  <c r="C13355" i="1"/>
  <c r="F13355" i="1"/>
  <c r="B13355" i="1" s="1"/>
  <c r="C13356" i="1"/>
  <c r="F13356" i="1"/>
  <c r="B13356" i="1" s="1"/>
  <c r="C13357" i="1"/>
  <c r="F13357" i="1"/>
  <c r="B13357" i="1" s="1"/>
  <c r="C13358" i="1"/>
  <c r="F13358" i="1"/>
  <c r="B13358" i="1" s="1"/>
  <c r="C13359" i="1"/>
  <c r="F13359" i="1"/>
  <c r="B13359" i="1" s="1"/>
  <c r="C13360" i="1"/>
  <c r="F13360" i="1"/>
  <c r="B13360" i="1" s="1"/>
  <c r="C13361" i="1"/>
  <c r="F13361" i="1"/>
  <c r="B13361" i="1" s="1"/>
  <c r="C13362" i="1"/>
  <c r="F13362" i="1"/>
  <c r="B13362" i="1" s="1"/>
  <c r="C13363" i="1"/>
  <c r="F13363" i="1"/>
  <c r="B13363" i="1" s="1"/>
  <c r="C13364" i="1"/>
  <c r="F13364" i="1"/>
  <c r="B13364" i="1" s="1"/>
  <c r="C13365" i="1"/>
  <c r="F13365" i="1"/>
  <c r="B13365" i="1" s="1"/>
  <c r="C13366" i="1"/>
  <c r="F13366" i="1"/>
  <c r="B13366" i="1" s="1"/>
  <c r="C13367" i="1"/>
  <c r="F13367" i="1"/>
  <c r="B13367" i="1" s="1"/>
  <c r="C13368" i="1"/>
  <c r="F13368" i="1"/>
  <c r="B13368" i="1" s="1"/>
  <c r="C13369" i="1"/>
  <c r="F13369" i="1"/>
  <c r="B13369" i="1" s="1"/>
  <c r="C13370" i="1"/>
  <c r="F13370" i="1"/>
  <c r="B13370" i="1" s="1"/>
  <c r="C13371" i="1"/>
  <c r="F13371" i="1"/>
  <c r="B13371" i="1" s="1"/>
  <c r="C13372" i="1"/>
  <c r="F13372" i="1"/>
  <c r="B13372" i="1" s="1"/>
  <c r="C13373" i="1"/>
  <c r="F13373" i="1"/>
  <c r="B13373" i="1" s="1"/>
  <c r="C13374" i="1"/>
  <c r="F13374" i="1"/>
  <c r="B13374" i="1" s="1"/>
  <c r="C13375" i="1"/>
  <c r="F13375" i="1"/>
  <c r="B13375" i="1" s="1"/>
  <c r="C13376" i="1"/>
  <c r="F13376" i="1"/>
  <c r="B13376" i="1" s="1"/>
  <c r="C13377" i="1"/>
  <c r="F13377" i="1"/>
  <c r="B13377" i="1" s="1"/>
  <c r="C13378" i="1"/>
  <c r="F13378" i="1"/>
  <c r="B13378" i="1" s="1"/>
  <c r="C13379" i="1"/>
  <c r="F13379" i="1"/>
  <c r="B13379" i="1" s="1"/>
  <c r="C13380" i="1"/>
  <c r="F13380" i="1"/>
  <c r="B13380" i="1" s="1"/>
  <c r="C13381" i="1"/>
  <c r="F13381" i="1"/>
  <c r="B13381" i="1" s="1"/>
  <c r="C13382" i="1"/>
  <c r="F13382" i="1"/>
  <c r="B13382" i="1" s="1"/>
  <c r="C13383" i="1"/>
  <c r="F13383" i="1"/>
  <c r="B13383" i="1" s="1"/>
  <c r="C13384" i="1"/>
  <c r="F13384" i="1"/>
  <c r="B13384" i="1" s="1"/>
  <c r="C13385" i="1"/>
  <c r="F13385" i="1"/>
  <c r="B13385" i="1" s="1"/>
  <c r="C13386" i="1"/>
  <c r="F13386" i="1"/>
  <c r="B13386" i="1" s="1"/>
  <c r="C13387" i="1"/>
  <c r="F13387" i="1"/>
  <c r="B13387" i="1" s="1"/>
  <c r="C13388" i="1"/>
  <c r="F13388" i="1"/>
  <c r="B13388" i="1" s="1"/>
  <c r="C13389" i="1"/>
  <c r="F13389" i="1"/>
  <c r="B13389" i="1" s="1"/>
  <c r="C13390" i="1"/>
  <c r="F13390" i="1"/>
  <c r="B13390" i="1" s="1"/>
  <c r="C13391" i="1"/>
  <c r="F13391" i="1"/>
  <c r="B13391" i="1" s="1"/>
  <c r="C13392" i="1"/>
  <c r="F13392" i="1"/>
  <c r="B13392" i="1" s="1"/>
  <c r="C13393" i="1"/>
  <c r="F13393" i="1"/>
  <c r="B13393" i="1" s="1"/>
  <c r="C13394" i="1"/>
  <c r="F13394" i="1"/>
  <c r="B13394" i="1" s="1"/>
  <c r="C13395" i="1"/>
  <c r="F13395" i="1"/>
  <c r="B13395" i="1" s="1"/>
  <c r="C13396" i="1"/>
  <c r="F13396" i="1"/>
  <c r="B13396" i="1" s="1"/>
  <c r="C13397" i="1"/>
  <c r="F13397" i="1"/>
  <c r="B13397" i="1" s="1"/>
  <c r="C13398" i="1"/>
  <c r="F13398" i="1"/>
  <c r="B13398" i="1" s="1"/>
  <c r="C13399" i="1"/>
  <c r="F13399" i="1"/>
  <c r="B13399" i="1" s="1"/>
  <c r="C13400" i="1"/>
  <c r="F13400" i="1"/>
  <c r="B13400" i="1" s="1"/>
  <c r="C13401" i="1"/>
  <c r="F13401" i="1"/>
  <c r="B13401" i="1" s="1"/>
  <c r="C13402" i="1"/>
  <c r="F13402" i="1"/>
  <c r="B13402" i="1" s="1"/>
  <c r="C13403" i="1"/>
  <c r="F13403" i="1"/>
  <c r="B13403" i="1" s="1"/>
  <c r="C13404" i="1"/>
  <c r="F13404" i="1"/>
  <c r="B13404" i="1" s="1"/>
  <c r="C13405" i="1"/>
  <c r="F13405" i="1"/>
  <c r="B13405" i="1" s="1"/>
  <c r="C13406" i="1"/>
  <c r="F13406" i="1"/>
  <c r="B13406" i="1" s="1"/>
  <c r="C13407" i="1"/>
  <c r="F13407" i="1"/>
  <c r="B13407" i="1" s="1"/>
  <c r="C13408" i="1"/>
  <c r="F13408" i="1"/>
  <c r="B13408" i="1" s="1"/>
  <c r="C13409" i="1"/>
  <c r="F13409" i="1"/>
  <c r="B13409" i="1" s="1"/>
  <c r="C13410" i="1"/>
  <c r="F13410" i="1"/>
  <c r="B13410" i="1" s="1"/>
  <c r="C13411" i="1"/>
  <c r="F13411" i="1"/>
  <c r="B13411" i="1" s="1"/>
  <c r="C13412" i="1"/>
  <c r="F13412" i="1"/>
  <c r="B13412" i="1" s="1"/>
  <c r="C13413" i="1"/>
  <c r="F13413" i="1"/>
  <c r="B13413" i="1" s="1"/>
  <c r="C13414" i="1"/>
  <c r="F13414" i="1"/>
  <c r="B13414" i="1" s="1"/>
  <c r="C13415" i="1"/>
  <c r="F13415" i="1"/>
  <c r="B13415" i="1" s="1"/>
  <c r="C13416" i="1"/>
  <c r="F13416" i="1"/>
  <c r="B13416" i="1" s="1"/>
  <c r="C13417" i="1"/>
  <c r="F13417" i="1"/>
  <c r="B13417" i="1" s="1"/>
  <c r="C13418" i="1"/>
  <c r="F13418" i="1"/>
  <c r="B13418" i="1" s="1"/>
  <c r="C13419" i="1"/>
  <c r="F13419" i="1"/>
  <c r="B13419" i="1" s="1"/>
  <c r="C13420" i="1"/>
  <c r="F13420" i="1"/>
  <c r="B13420" i="1" s="1"/>
  <c r="C13421" i="1"/>
  <c r="F13421" i="1"/>
  <c r="B13421" i="1" s="1"/>
  <c r="C13422" i="1"/>
  <c r="F13422" i="1"/>
  <c r="B13422" i="1" s="1"/>
  <c r="C13423" i="1"/>
  <c r="F13423" i="1"/>
  <c r="B13423" i="1" s="1"/>
  <c r="C13424" i="1"/>
  <c r="F13424" i="1"/>
  <c r="B13424" i="1" s="1"/>
  <c r="C13425" i="1"/>
  <c r="F13425" i="1"/>
  <c r="B13425" i="1" s="1"/>
  <c r="C13426" i="1"/>
  <c r="F13426" i="1"/>
  <c r="B13426" i="1" s="1"/>
  <c r="C13427" i="1"/>
  <c r="F13427" i="1"/>
  <c r="B13427" i="1" s="1"/>
  <c r="C13428" i="1"/>
  <c r="F13428" i="1"/>
  <c r="B13428" i="1" s="1"/>
  <c r="C13429" i="1"/>
  <c r="F13429" i="1"/>
  <c r="B13429" i="1" s="1"/>
  <c r="C13430" i="1"/>
  <c r="F13430" i="1"/>
  <c r="B13430" i="1" s="1"/>
  <c r="C13431" i="1"/>
  <c r="F13431" i="1"/>
  <c r="B13431" i="1" s="1"/>
  <c r="C13432" i="1"/>
  <c r="F13432" i="1"/>
  <c r="B13432" i="1" s="1"/>
  <c r="C13433" i="1"/>
  <c r="F13433" i="1"/>
  <c r="B13433" i="1" s="1"/>
  <c r="C13434" i="1"/>
  <c r="F13434" i="1"/>
  <c r="B13434" i="1" s="1"/>
  <c r="C13435" i="1"/>
  <c r="F13435" i="1"/>
  <c r="B13435" i="1" s="1"/>
  <c r="C13436" i="1"/>
  <c r="F13436" i="1"/>
  <c r="B13436" i="1" s="1"/>
  <c r="C13437" i="1"/>
  <c r="F13437" i="1"/>
  <c r="B13437" i="1" s="1"/>
  <c r="C13438" i="1"/>
  <c r="F13438" i="1"/>
  <c r="B13438" i="1" s="1"/>
  <c r="C13439" i="1"/>
  <c r="F13439" i="1"/>
  <c r="B13439" i="1" s="1"/>
  <c r="C13440" i="1"/>
  <c r="F13440" i="1"/>
  <c r="B13440" i="1" s="1"/>
  <c r="C13441" i="1"/>
  <c r="F13441" i="1"/>
  <c r="B13441" i="1" s="1"/>
  <c r="C13442" i="1"/>
  <c r="F13442" i="1"/>
  <c r="B13442" i="1" s="1"/>
  <c r="C13443" i="1"/>
  <c r="F13443" i="1"/>
  <c r="B13443" i="1" s="1"/>
  <c r="C13444" i="1"/>
  <c r="F13444" i="1"/>
  <c r="B13444" i="1" s="1"/>
  <c r="C13445" i="1"/>
  <c r="F13445" i="1"/>
  <c r="B13445" i="1" s="1"/>
  <c r="C13446" i="1"/>
  <c r="F13446" i="1"/>
  <c r="B13446" i="1" s="1"/>
  <c r="C13447" i="1"/>
  <c r="F13447" i="1"/>
  <c r="B13447" i="1" s="1"/>
  <c r="C13448" i="1"/>
  <c r="F13448" i="1"/>
  <c r="B13448" i="1" s="1"/>
  <c r="C13449" i="1"/>
  <c r="F13449" i="1"/>
  <c r="B13449" i="1" s="1"/>
  <c r="C13450" i="1"/>
  <c r="F13450" i="1"/>
  <c r="B13450" i="1" s="1"/>
  <c r="C13451" i="1"/>
  <c r="F13451" i="1"/>
  <c r="B13451" i="1" s="1"/>
  <c r="C13452" i="1"/>
  <c r="F13452" i="1"/>
  <c r="B13452" i="1" s="1"/>
  <c r="C13453" i="1"/>
  <c r="F13453" i="1"/>
  <c r="B13453" i="1" s="1"/>
  <c r="C13454" i="1"/>
  <c r="F13454" i="1"/>
  <c r="B13454" i="1" s="1"/>
  <c r="C13455" i="1"/>
  <c r="F13455" i="1"/>
  <c r="B13455" i="1" s="1"/>
  <c r="C13456" i="1"/>
  <c r="F13456" i="1"/>
  <c r="B13456" i="1" s="1"/>
  <c r="C13457" i="1"/>
  <c r="F13457" i="1"/>
  <c r="B13457" i="1" s="1"/>
  <c r="C13458" i="1"/>
  <c r="F13458" i="1"/>
  <c r="B13458" i="1" s="1"/>
  <c r="C13459" i="1"/>
  <c r="F13459" i="1"/>
  <c r="B13459" i="1" s="1"/>
  <c r="C13460" i="1"/>
  <c r="F13460" i="1"/>
  <c r="B13460" i="1" s="1"/>
  <c r="C13461" i="1"/>
  <c r="F13461" i="1"/>
  <c r="B13461" i="1" s="1"/>
  <c r="C13462" i="1"/>
  <c r="F13462" i="1"/>
  <c r="B13462" i="1" s="1"/>
  <c r="C13463" i="1"/>
  <c r="F13463" i="1"/>
  <c r="B13463" i="1" s="1"/>
  <c r="C13464" i="1"/>
  <c r="F13464" i="1"/>
  <c r="B13464" i="1" s="1"/>
  <c r="C13465" i="1"/>
  <c r="F13465" i="1"/>
  <c r="B13465" i="1" s="1"/>
  <c r="C13466" i="1"/>
  <c r="F13466" i="1"/>
  <c r="B13466" i="1" s="1"/>
  <c r="C13467" i="1"/>
  <c r="F13467" i="1"/>
  <c r="B13467" i="1" s="1"/>
  <c r="C13468" i="1"/>
  <c r="F13468" i="1"/>
  <c r="B13468" i="1" s="1"/>
  <c r="C13469" i="1"/>
  <c r="F13469" i="1"/>
  <c r="B13469" i="1" s="1"/>
  <c r="C13470" i="1"/>
  <c r="F13470" i="1"/>
  <c r="B13470" i="1" s="1"/>
  <c r="C13471" i="1"/>
  <c r="F13471" i="1"/>
  <c r="B13471" i="1" s="1"/>
  <c r="C13472" i="1"/>
  <c r="F13472" i="1"/>
  <c r="B13472" i="1" s="1"/>
  <c r="C13473" i="1"/>
  <c r="F13473" i="1"/>
  <c r="B13473" i="1" s="1"/>
  <c r="C13474" i="1"/>
  <c r="F13474" i="1"/>
  <c r="B13474" i="1" s="1"/>
  <c r="C13475" i="1"/>
  <c r="F13475" i="1"/>
  <c r="B13475" i="1" s="1"/>
  <c r="C13476" i="1"/>
  <c r="F13476" i="1"/>
  <c r="B13476" i="1" s="1"/>
  <c r="C13477" i="1"/>
  <c r="F13477" i="1"/>
  <c r="B13477" i="1" s="1"/>
  <c r="C13478" i="1"/>
  <c r="F13478" i="1"/>
  <c r="B13478" i="1" s="1"/>
  <c r="C13479" i="1"/>
  <c r="F13479" i="1"/>
  <c r="B13479" i="1" s="1"/>
  <c r="C13480" i="1"/>
  <c r="F13480" i="1"/>
  <c r="B13480" i="1" s="1"/>
  <c r="C13481" i="1"/>
  <c r="F13481" i="1"/>
  <c r="B13481" i="1" s="1"/>
  <c r="C13482" i="1"/>
  <c r="F13482" i="1"/>
  <c r="B13482" i="1" s="1"/>
  <c r="C13483" i="1"/>
  <c r="F13483" i="1"/>
  <c r="B13483" i="1" s="1"/>
  <c r="C13484" i="1"/>
  <c r="F13484" i="1"/>
  <c r="B13484" i="1" s="1"/>
  <c r="C13485" i="1"/>
  <c r="F13485" i="1"/>
  <c r="B13485" i="1" s="1"/>
  <c r="C13486" i="1"/>
  <c r="F13486" i="1"/>
  <c r="B13486" i="1" s="1"/>
  <c r="C13487" i="1"/>
  <c r="F13487" i="1"/>
  <c r="B13487" i="1" s="1"/>
  <c r="C13488" i="1"/>
  <c r="F13488" i="1"/>
  <c r="B13488" i="1" s="1"/>
  <c r="C13489" i="1"/>
  <c r="F13489" i="1"/>
  <c r="B13489" i="1" s="1"/>
  <c r="C13490" i="1"/>
  <c r="F13490" i="1"/>
  <c r="B13490" i="1" s="1"/>
  <c r="C13491" i="1"/>
  <c r="F13491" i="1"/>
  <c r="B13491" i="1" s="1"/>
  <c r="C13492" i="1"/>
  <c r="F13492" i="1"/>
  <c r="B13492" i="1" s="1"/>
  <c r="C13493" i="1"/>
  <c r="F13493" i="1"/>
  <c r="B13493" i="1" s="1"/>
  <c r="C13494" i="1"/>
  <c r="F13494" i="1"/>
  <c r="B13494" i="1" s="1"/>
  <c r="C13495" i="1"/>
  <c r="F13495" i="1"/>
  <c r="B13495" i="1" s="1"/>
  <c r="C13496" i="1"/>
  <c r="F13496" i="1"/>
  <c r="B13496" i="1" s="1"/>
  <c r="C13497" i="1"/>
  <c r="F13497" i="1"/>
  <c r="B13497" i="1" s="1"/>
  <c r="C13498" i="1"/>
  <c r="F13498" i="1"/>
  <c r="B13498" i="1" s="1"/>
  <c r="C13499" i="1"/>
  <c r="F13499" i="1"/>
  <c r="B13499" i="1" s="1"/>
  <c r="C13500" i="1"/>
  <c r="F13500" i="1"/>
  <c r="B13500" i="1" s="1"/>
  <c r="C13501" i="1"/>
  <c r="F13501" i="1"/>
  <c r="B13501" i="1" s="1"/>
  <c r="C13502" i="1"/>
  <c r="F13502" i="1"/>
  <c r="B13502" i="1" s="1"/>
  <c r="C13503" i="1"/>
  <c r="F13503" i="1"/>
  <c r="B13503" i="1" s="1"/>
  <c r="C13504" i="1"/>
  <c r="F13504" i="1"/>
  <c r="B13504" i="1" s="1"/>
  <c r="C13505" i="1"/>
  <c r="F13505" i="1"/>
  <c r="B13505" i="1" s="1"/>
  <c r="C13506" i="1"/>
  <c r="F13506" i="1"/>
  <c r="B13506" i="1" s="1"/>
  <c r="C13507" i="1"/>
  <c r="F13507" i="1"/>
  <c r="B13507" i="1" s="1"/>
  <c r="C13508" i="1"/>
  <c r="F13508" i="1"/>
  <c r="B13508" i="1" s="1"/>
  <c r="C13509" i="1"/>
  <c r="F13509" i="1"/>
  <c r="B13509" i="1" s="1"/>
  <c r="C13510" i="1"/>
  <c r="F13510" i="1"/>
  <c r="B13510" i="1" s="1"/>
  <c r="C13511" i="1"/>
  <c r="F13511" i="1"/>
  <c r="B13511" i="1" s="1"/>
  <c r="C13512" i="1"/>
  <c r="F13512" i="1"/>
  <c r="B13512" i="1" s="1"/>
  <c r="C13513" i="1"/>
  <c r="F13513" i="1"/>
  <c r="B13513" i="1" s="1"/>
  <c r="C13514" i="1"/>
  <c r="F13514" i="1"/>
  <c r="B13514" i="1" s="1"/>
  <c r="C13515" i="1"/>
  <c r="F13515" i="1"/>
  <c r="B13515" i="1" s="1"/>
  <c r="C13516" i="1"/>
  <c r="F13516" i="1"/>
  <c r="B13516" i="1" s="1"/>
  <c r="C13517" i="1"/>
  <c r="F13517" i="1"/>
  <c r="B13517" i="1" s="1"/>
  <c r="C13518" i="1"/>
  <c r="F13518" i="1"/>
  <c r="B13518" i="1" s="1"/>
  <c r="C13519" i="1"/>
  <c r="F13519" i="1"/>
  <c r="B13519" i="1" s="1"/>
  <c r="C13520" i="1"/>
  <c r="F13520" i="1"/>
  <c r="B13520" i="1" s="1"/>
  <c r="C13521" i="1"/>
  <c r="F13521" i="1"/>
  <c r="B13521" i="1" s="1"/>
  <c r="C13522" i="1"/>
  <c r="F13522" i="1"/>
  <c r="B13522" i="1" s="1"/>
  <c r="C13523" i="1"/>
  <c r="F13523" i="1"/>
  <c r="B13523" i="1" s="1"/>
  <c r="C13524" i="1"/>
  <c r="F13524" i="1"/>
  <c r="B13524" i="1" s="1"/>
  <c r="C13525" i="1"/>
  <c r="F13525" i="1"/>
  <c r="B13525" i="1" s="1"/>
  <c r="C13526" i="1"/>
  <c r="F13526" i="1"/>
  <c r="B13526" i="1" s="1"/>
  <c r="C13527" i="1"/>
  <c r="F13527" i="1"/>
  <c r="B13527" i="1" s="1"/>
  <c r="C13528" i="1"/>
  <c r="F13528" i="1"/>
  <c r="B13528" i="1" s="1"/>
  <c r="C13529" i="1"/>
  <c r="F13529" i="1"/>
  <c r="B13529" i="1" s="1"/>
  <c r="C13530" i="1"/>
  <c r="F13530" i="1"/>
  <c r="B13530" i="1" s="1"/>
  <c r="C13531" i="1"/>
  <c r="F13531" i="1"/>
  <c r="B13531" i="1" s="1"/>
  <c r="C13532" i="1"/>
  <c r="F13532" i="1"/>
  <c r="B13532" i="1" s="1"/>
  <c r="C13533" i="1"/>
  <c r="F13533" i="1"/>
  <c r="B13533" i="1" s="1"/>
  <c r="C13534" i="1"/>
  <c r="F13534" i="1"/>
  <c r="B13534" i="1" s="1"/>
  <c r="C13535" i="1"/>
  <c r="F13535" i="1"/>
  <c r="B13535" i="1" s="1"/>
  <c r="C13536" i="1"/>
  <c r="F13536" i="1"/>
  <c r="B13536" i="1" s="1"/>
  <c r="C13537" i="1"/>
  <c r="F13537" i="1"/>
  <c r="B13537" i="1" s="1"/>
  <c r="C13538" i="1"/>
  <c r="F13538" i="1"/>
  <c r="B13538" i="1" s="1"/>
  <c r="C13539" i="1"/>
  <c r="F13539" i="1"/>
  <c r="B13539" i="1" s="1"/>
  <c r="C13540" i="1"/>
  <c r="F13540" i="1"/>
  <c r="B13540" i="1" s="1"/>
  <c r="C13541" i="1"/>
  <c r="F13541" i="1"/>
  <c r="B13541" i="1" s="1"/>
  <c r="C13542" i="1"/>
  <c r="F13542" i="1"/>
  <c r="B13542" i="1" s="1"/>
  <c r="C13543" i="1"/>
  <c r="F13543" i="1"/>
  <c r="B13543" i="1" s="1"/>
  <c r="C13544" i="1"/>
  <c r="F13544" i="1"/>
  <c r="B13544" i="1" s="1"/>
  <c r="C13545" i="1"/>
  <c r="F13545" i="1"/>
  <c r="B13545" i="1" s="1"/>
  <c r="C13546" i="1"/>
  <c r="F13546" i="1"/>
  <c r="B13546" i="1" s="1"/>
  <c r="C13547" i="1"/>
  <c r="F13547" i="1"/>
  <c r="B13547" i="1" s="1"/>
  <c r="C13548" i="1"/>
  <c r="F13548" i="1"/>
  <c r="B13548" i="1" s="1"/>
  <c r="C13549" i="1"/>
  <c r="F13549" i="1"/>
  <c r="B13549" i="1" s="1"/>
  <c r="C13550" i="1"/>
  <c r="F13550" i="1"/>
  <c r="B13550" i="1" s="1"/>
  <c r="C13551" i="1"/>
  <c r="F13551" i="1"/>
  <c r="B13551" i="1" s="1"/>
  <c r="C13552" i="1"/>
  <c r="F13552" i="1"/>
  <c r="B13552" i="1" s="1"/>
  <c r="C13553" i="1"/>
  <c r="F13553" i="1"/>
  <c r="B13553" i="1" s="1"/>
  <c r="C13554" i="1"/>
  <c r="F13554" i="1"/>
  <c r="B13554" i="1" s="1"/>
  <c r="C13555" i="1"/>
  <c r="F13555" i="1"/>
  <c r="B13555" i="1" s="1"/>
  <c r="C13556" i="1"/>
  <c r="F13556" i="1"/>
  <c r="B13556" i="1" s="1"/>
  <c r="C13557" i="1"/>
  <c r="F13557" i="1"/>
  <c r="B13557" i="1" s="1"/>
  <c r="C13558" i="1"/>
  <c r="F13558" i="1"/>
  <c r="B13558" i="1" s="1"/>
  <c r="C13559" i="1"/>
  <c r="F13559" i="1"/>
  <c r="B13559" i="1" s="1"/>
  <c r="C13560" i="1"/>
  <c r="F13560" i="1"/>
  <c r="B13560" i="1" s="1"/>
  <c r="C13561" i="1"/>
  <c r="F13561" i="1"/>
  <c r="B13561" i="1" s="1"/>
  <c r="C13562" i="1"/>
  <c r="F13562" i="1"/>
  <c r="B13562" i="1" s="1"/>
  <c r="C13563" i="1"/>
  <c r="F13563" i="1"/>
  <c r="B13563" i="1" s="1"/>
  <c r="C13564" i="1"/>
  <c r="F13564" i="1"/>
  <c r="B13564" i="1" s="1"/>
  <c r="C13565" i="1"/>
  <c r="F13565" i="1"/>
  <c r="B13565" i="1" s="1"/>
  <c r="C13566" i="1"/>
  <c r="F13566" i="1"/>
  <c r="B13566" i="1" s="1"/>
  <c r="C13567" i="1"/>
  <c r="F13567" i="1"/>
  <c r="B13567" i="1" s="1"/>
  <c r="C13568" i="1"/>
  <c r="F13568" i="1"/>
  <c r="B13568" i="1" s="1"/>
  <c r="C13569" i="1"/>
  <c r="F13569" i="1"/>
  <c r="B13569" i="1" s="1"/>
  <c r="C13570" i="1"/>
  <c r="F13570" i="1"/>
  <c r="B13570" i="1" s="1"/>
  <c r="C13571" i="1"/>
  <c r="F13571" i="1"/>
  <c r="B13571" i="1" s="1"/>
  <c r="C13572" i="1"/>
  <c r="F13572" i="1"/>
  <c r="B13572" i="1" s="1"/>
  <c r="C13573" i="1"/>
  <c r="F13573" i="1"/>
  <c r="B13573" i="1" s="1"/>
  <c r="C13574" i="1"/>
  <c r="F13574" i="1"/>
  <c r="B13574" i="1" s="1"/>
  <c r="C13575" i="1"/>
  <c r="F13575" i="1"/>
  <c r="B13575" i="1" s="1"/>
  <c r="C13576" i="1"/>
  <c r="F13576" i="1"/>
  <c r="B13576" i="1" s="1"/>
  <c r="C13577" i="1"/>
  <c r="F13577" i="1"/>
  <c r="B13577" i="1" s="1"/>
  <c r="C13578" i="1"/>
  <c r="F13578" i="1"/>
  <c r="B13578" i="1" s="1"/>
  <c r="C13579" i="1"/>
  <c r="F13579" i="1"/>
  <c r="B13579" i="1" s="1"/>
  <c r="C13580" i="1"/>
  <c r="F13580" i="1"/>
  <c r="B13580" i="1" s="1"/>
  <c r="C13581" i="1"/>
  <c r="F13581" i="1"/>
  <c r="B13581" i="1" s="1"/>
  <c r="C13582" i="1"/>
  <c r="F13582" i="1"/>
  <c r="B13582" i="1" s="1"/>
  <c r="C13583" i="1"/>
  <c r="F13583" i="1"/>
  <c r="B13583" i="1" s="1"/>
  <c r="C13584" i="1"/>
  <c r="F13584" i="1"/>
  <c r="B13584" i="1" s="1"/>
  <c r="C13585" i="1"/>
  <c r="F13585" i="1"/>
  <c r="B13585" i="1" s="1"/>
  <c r="C13586" i="1"/>
  <c r="F13586" i="1"/>
  <c r="B13586" i="1" s="1"/>
  <c r="C13587" i="1"/>
  <c r="F13587" i="1"/>
  <c r="B13587" i="1" s="1"/>
  <c r="C13588" i="1"/>
  <c r="F13588" i="1"/>
  <c r="B13588" i="1" s="1"/>
  <c r="C13589" i="1"/>
  <c r="F13589" i="1"/>
  <c r="B13589" i="1" s="1"/>
  <c r="C13590" i="1"/>
  <c r="F13590" i="1"/>
  <c r="B13590" i="1" s="1"/>
  <c r="C13591" i="1"/>
  <c r="F13591" i="1"/>
  <c r="B13591" i="1" s="1"/>
  <c r="C13592" i="1"/>
  <c r="F13592" i="1"/>
  <c r="B13592" i="1" s="1"/>
  <c r="C13593" i="1"/>
  <c r="F13593" i="1"/>
  <c r="B13593" i="1" s="1"/>
  <c r="C13594" i="1"/>
  <c r="F13594" i="1"/>
  <c r="B13594" i="1" s="1"/>
  <c r="C13595" i="1"/>
  <c r="F13595" i="1"/>
  <c r="B13595" i="1" s="1"/>
  <c r="C13596" i="1"/>
  <c r="F13596" i="1"/>
  <c r="B13596" i="1" s="1"/>
  <c r="C13597" i="1"/>
  <c r="F13597" i="1"/>
  <c r="B13597" i="1" s="1"/>
  <c r="C13598" i="1"/>
  <c r="F13598" i="1"/>
  <c r="B13598" i="1" s="1"/>
  <c r="C13599" i="1"/>
  <c r="F13599" i="1"/>
  <c r="B13599" i="1" s="1"/>
  <c r="C13600" i="1"/>
  <c r="F13600" i="1"/>
  <c r="B13600" i="1" s="1"/>
  <c r="C13601" i="1"/>
  <c r="F13601" i="1"/>
  <c r="B13601" i="1" s="1"/>
  <c r="C13602" i="1"/>
  <c r="F13602" i="1"/>
  <c r="B13602" i="1" s="1"/>
  <c r="C13603" i="1"/>
  <c r="F13603" i="1"/>
  <c r="B13603" i="1" s="1"/>
  <c r="C13604" i="1"/>
  <c r="F13604" i="1"/>
  <c r="B13604" i="1" s="1"/>
  <c r="C13605" i="1"/>
  <c r="F13605" i="1"/>
  <c r="B13605" i="1" s="1"/>
  <c r="C13606" i="1"/>
  <c r="F13606" i="1"/>
  <c r="B13606" i="1" s="1"/>
  <c r="C13607" i="1"/>
  <c r="F13607" i="1"/>
  <c r="B13607" i="1" s="1"/>
  <c r="C13608" i="1"/>
  <c r="F13608" i="1"/>
  <c r="B13608" i="1" s="1"/>
  <c r="C13609" i="1"/>
  <c r="F13609" i="1"/>
  <c r="B13609" i="1" s="1"/>
  <c r="C13610" i="1"/>
  <c r="F13610" i="1"/>
  <c r="B13610" i="1" s="1"/>
  <c r="C13611" i="1"/>
  <c r="F13611" i="1"/>
  <c r="B13611" i="1" s="1"/>
  <c r="C13612" i="1"/>
  <c r="F13612" i="1"/>
  <c r="B13612" i="1" s="1"/>
  <c r="C13613" i="1"/>
  <c r="F13613" i="1"/>
  <c r="B13613" i="1" s="1"/>
  <c r="C13614" i="1"/>
  <c r="F13614" i="1"/>
  <c r="B13614" i="1" s="1"/>
  <c r="C13615" i="1"/>
  <c r="F13615" i="1"/>
  <c r="B13615" i="1" s="1"/>
  <c r="C13616" i="1"/>
  <c r="F13616" i="1"/>
  <c r="B13616" i="1" s="1"/>
  <c r="C13617" i="1"/>
  <c r="F13617" i="1"/>
  <c r="B13617" i="1" s="1"/>
  <c r="C13618" i="1"/>
  <c r="F13618" i="1"/>
  <c r="B13618" i="1" s="1"/>
  <c r="C13619" i="1"/>
  <c r="F13619" i="1"/>
  <c r="B13619" i="1" s="1"/>
  <c r="C13620" i="1"/>
  <c r="F13620" i="1"/>
  <c r="B13620" i="1" s="1"/>
  <c r="C13621" i="1"/>
  <c r="F13621" i="1"/>
  <c r="B13621" i="1" s="1"/>
  <c r="C13622" i="1"/>
  <c r="F13622" i="1"/>
  <c r="B13622" i="1" s="1"/>
  <c r="C13623" i="1"/>
  <c r="F13623" i="1"/>
  <c r="B13623" i="1" s="1"/>
  <c r="C13624" i="1"/>
  <c r="F13624" i="1"/>
  <c r="B13624" i="1" s="1"/>
  <c r="C13625" i="1"/>
  <c r="F13625" i="1"/>
  <c r="B13625" i="1" s="1"/>
  <c r="C13626" i="1"/>
  <c r="F13626" i="1"/>
  <c r="B13626" i="1" s="1"/>
  <c r="C13627" i="1"/>
  <c r="F13627" i="1"/>
  <c r="B13627" i="1" s="1"/>
  <c r="C13628" i="1"/>
  <c r="F13628" i="1"/>
  <c r="B13628" i="1" s="1"/>
  <c r="C13629" i="1"/>
  <c r="F13629" i="1"/>
  <c r="B13629" i="1" s="1"/>
  <c r="C13630" i="1"/>
  <c r="F13630" i="1"/>
  <c r="B13630" i="1" s="1"/>
  <c r="C13631" i="1"/>
  <c r="F13631" i="1"/>
  <c r="B13631" i="1" s="1"/>
  <c r="C13632" i="1"/>
  <c r="F13632" i="1"/>
  <c r="B13632" i="1" s="1"/>
  <c r="C13633" i="1"/>
  <c r="F13633" i="1"/>
  <c r="B13633" i="1" s="1"/>
  <c r="C13634" i="1"/>
  <c r="F13634" i="1"/>
  <c r="B13634" i="1" s="1"/>
  <c r="C13635" i="1"/>
  <c r="F13635" i="1"/>
  <c r="B13635" i="1" s="1"/>
  <c r="C13636" i="1"/>
  <c r="F13636" i="1"/>
  <c r="B13636" i="1" s="1"/>
  <c r="C13637" i="1"/>
  <c r="F13637" i="1"/>
  <c r="B13637" i="1" s="1"/>
  <c r="C13638" i="1"/>
  <c r="F13638" i="1"/>
  <c r="B13638" i="1" s="1"/>
  <c r="C13639" i="1"/>
  <c r="F13639" i="1"/>
  <c r="B13639" i="1" s="1"/>
  <c r="C13640" i="1"/>
  <c r="F13640" i="1"/>
  <c r="B13640" i="1" s="1"/>
  <c r="C13641" i="1"/>
  <c r="F13641" i="1"/>
  <c r="B13641" i="1" s="1"/>
  <c r="C13642" i="1"/>
  <c r="F13642" i="1"/>
  <c r="B13642" i="1" s="1"/>
  <c r="C13643" i="1"/>
  <c r="F13643" i="1"/>
  <c r="B13643" i="1" s="1"/>
  <c r="C13644" i="1"/>
  <c r="F13644" i="1"/>
  <c r="B13644" i="1" s="1"/>
  <c r="C13645" i="1"/>
  <c r="F13645" i="1"/>
  <c r="B13645" i="1" s="1"/>
  <c r="C13646" i="1"/>
  <c r="F13646" i="1"/>
  <c r="B13646" i="1" s="1"/>
  <c r="C13647" i="1"/>
  <c r="F13647" i="1"/>
  <c r="B13647" i="1" s="1"/>
  <c r="C13648" i="1"/>
  <c r="F13648" i="1"/>
  <c r="B13648" i="1" s="1"/>
  <c r="C13649" i="1"/>
  <c r="F13649" i="1"/>
  <c r="B13649" i="1" s="1"/>
  <c r="C13650" i="1"/>
  <c r="F13650" i="1"/>
  <c r="B13650" i="1" s="1"/>
  <c r="C13651" i="1"/>
  <c r="F13651" i="1"/>
  <c r="B13651" i="1" s="1"/>
  <c r="C13652" i="1"/>
  <c r="F13652" i="1"/>
  <c r="B13652" i="1" s="1"/>
  <c r="C13653" i="1"/>
  <c r="F13653" i="1"/>
  <c r="B13653" i="1" s="1"/>
  <c r="C13654" i="1"/>
  <c r="F13654" i="1"/>
  <c r="B13654" i="1" s="1"/>
  <c r="C13655" i="1"/>
  <c r="F13655" i="1"/>
  <c r="B13655" i="1" s="1"/>
  <c r="C13656" i="1"/>
  <c r="F13656" i="1"/>
  <c r="B13656" i="1" s="1"/>
  <c r="C13657" i="1"/>
  <c r="F13657" i="1"/>
  <c r="B13657" i="1" s="1"/>
  <c r="C13658" i="1"/>
  <c r="F13658" i="1"/>
  <c r="B13658" i="1" s="1"/>
  <c r="C13659" i="1"/>
  <c r="F13659" i="1"/>
  <c r="B13659" i="1" s="1"/>
  <c r="C13660" i="1"/>
  <c r="F13660" i="1"/>
  <c r="B13660" i="1" s="1"/>
  <c r="C13661" i="1"/>
  <c r="F13661" i="1"/>
  <c r="B13661" i="1" s="1"/>
  <c r="C13662" i="1"/>
  <c r="F13662" i="1"/>
  <c r="B13662" i="1" s="1"/>
  <c r="C13663" i="1"/>
  <c r="F13663" i="1"/>
  <c r="B13663" i="1" s="1"/>
  <c r="C13664" i="1"/>
  <c r="F13664" i="1"/>
  <c r="B13664" i="1" s="1"/>
  <c r="C13665" i="1"/>
  <c r="F13665" i="1"/>
  <c r="B13665" i="1" s="1"/>
  <c r="C13666" i="1"/>
  <c r="F13666" i="1"/>
  <c r="B13666" i="1" s="1"/>
  <c r="C13667" i="1"/>
  <c r="F13667" i="1"/>
  <c r="B13667" i="1" s="1"/>
  <c r="C13668" i="1"/>
  <c r="F13668" i="1"/>
  <c r="B13668" i="1" s="1"/>
  <c r="C13669" i="1"/>
  <c r="F13669" i="1"/>
  <c r="B13669" i="1" s="1"/>
  <c r="C13670" i="1"/>
  <c r="F13670" i="1"/>
  <c r="B13670" i="1" s="1"/>
  <c r="C13671" i="1"/>
  <c r="F13671" i="1"/>
  <c r="B13671" i="1" s="1"/>
  <c r="C13672" i="1"/>
  <c r="F13672" i="1"/>
  <c r="B13672" i="1" s="1"/>
  <c r="C13673" i="1"/>
  <c r="F13673" i="1"/>
  <c r="B13673" i="1" s="1"/>
  <c r="C13674" i="1"/>
  <c r="F13674" i="1"/>
  <c r="B13674" i="1" s="1"/>
  <c r="C13675" i="1"/>
  <c r="F13675" i="1"/>
  <c r="B13675" i="1" s="1"/>
  <c r="C13676" i="1"/>
  <c r="F13676" i="1"/>
  <c r="B13676" i="1" s="1"/>
  <c r="C13677" i="1"/>
  <c r="F13677" i="1"/>
  <c r="B13677" i="1" s="1"/>
  <c r="C13678" i="1"/>
  <c r="F13678" i="1"/>
  <c r="B13678" i="1" s="1"/>
  <c r="C13679" i="1"/>
  <c r="F13679" i="1"/>
  <c r="B13679" i="1" s="1"/>
  <c r="C13680" i="1"/>
  <c r="F13680" i="1"/>
  <c r="B13680" i="1" s="1"/>
  <c r="C13681" i="1"/>
  <c r="F13681" i="1"/>
  <c r="B13681" i="1" s="1"/>
  <c r="C13682" i="1"/>
  <c r="F13682" i="1"/>
  <c r="B13682" i="1" s="1"/>
  <c r="C13683" i="1"/>
  <c r="F13683" i="1"/>
  <c r="B13683" i="1" s="1"/>
  <c r="C13684" i="1"/>
  <c r="F13684" i="1"/>
  <c r="B13684" i="1" s="1"/>
  <c r="C13685" i="1"/>
  <c r="F13685" i="1"/>
  <c r="B13685" i="1" s="1"/>
  <c r="C13686" i="1"/>
  <c r="F13686" i="1"/>
  <c r="B13686" i="1" s="1"/>
  <c r="C13687" i="1"/>
  <c r="F13687" i="1"/>
  <c r="B13687" i="1" s="1"/>
  <c r="C13688" i="1"/>
  <c r="F13688" i="1"/>
  <c r="B13688" i="1" s="1"/>
  <c r="C13689" i="1"/>
  <c r="F13689" i="1"/>
  <c r="B13689" i="1" s="1"/>
  <c r="C13690" i="1"/>
  <c r="F13690" i="1"/>
  <c r="B13690" i="1" s="1"/>
  <c r="C13691" i="1"/>
  <c r="F13691" i="1"/>
  <c r="B13691" i="1" s="1"/>
  <c r="C13692" i="1"/>
  <c r="F13692" i="1"/>
  <c r="B13692" i="1" s="1"/>
  <c r="C13693" i="1"/>
  <c r="F13693" i="1"/>
  <c r="B13693" i="1" s="1"/>
  <c r="C13694" i="1"/>
  <c r="F13694" i="1"/>
  <c r="B13694" i="1" s="1"/>
  <c r="C13695" i="1"/>
  <c r="F13695" i="1"/>
  <c r="B13695" i="1" s="1"/>
  <c r="C13696" i="1"/>
  <c r="F13696" i="1"/>
  <c r="B13696" i="1" s="1"/>
  <c r="C13697" i="1"/>
  <c r="F13697" i="1"/>
  <c r="B13697" i="1" s="1"/>
  <c r="C13698" i="1"/>
  <c r="F13698" i="1"/>
  <c r="B13698" i="1" s="1"/>
  <c r="C13699" i="1"/>
  <c r="F13699" i="1"/>
  <c r="B13699" i="1" s="1"/>
  <c r="C13700" i="1"/>
  <c r="F13700" i="1"/>
  <c r="B13700" i="1" s="1"/>
  <c r="C13701" i="1"/>
  <c r="F13701" i="1"/>
  <c r="B13701" i="1" s="1"/>
  <c r="C13702" i="1"/>
  <c r="F13702" i="1"/>
  <c r="B13702" i="1" s="1"/>
  <c r="C13703" i="1"/>
  <c r="F13703" i="1"/>
  <c r="B13703" i="1" s="1"/>
  <c r="C13704" i="1"/>
  <c r="F13704" i="1"/>
  <c r="B13704" i="1" s="1"/>
  <c r="C13705" i="1"/>
  <c r="F13705" i="1"/>
  <c r="B13705" i="1" s="1"/>
  <c r="C13706" i="1"/>
  <c r="F13706" i="1"/>
  <c r="B13706" i="1" s="1"/>
  <c r="C13707" i="1"/>
  <c r="F13707" i="1"/>
  <c r="B13707" i="1" s="1"/>
  <c r="C13708" i="1"/>
  <c r="F13708" i="1"/>
  <c r="B13708" i="1" s="1"/>
  <c r="C13709" i="1"/>
  <c r="F13709" i="1"/>
  <c r="B13709" i="1" s="1"/>
  <c r="C13710" i="1"/>
  <c r="F13710" i="1"/>
  <c r="B13710" i="1" s="1"/>
  <c r="C13711" i="1"/>
  <c r="F13711" i="1"/>
  <c r="B13711" i="1" s="1"/>
  <c r="C13712" i="1"/>
  <c r="F13712" i="1"/>
  <c r="B13712" i="1" s="1"/>
  <c r="C13713" i="1"/>
  <c r="F13713" i="1"/>
  <c r="B13713" i="1" s="1"/>
  <c r="C13714" i="1"/>
  <c r="F13714" i="1"/>
  <c r="B13714" i="1" s="1"/>
  <c r="C13715" i="1"/>
  <c r="F13715" i="1"/>
  <c r="B13715" i="1" s="1"/>
  <c r="C13716" i="1"/>
  <c r="F13716" i="1"/>
  <c r="B13716" i="1" s="1"/>
  <c r="C13717" i="1"/>
  <c r="F13717" i="1"/>
  <c r="B13717" i="1" s="1"/>
  <c r="C13718" i="1"/>
  <c r="F13718" i="1"/>
  <c r="B13718" i="1" s="1"/>
  <c r="C13719" i="1"/>
  <c r="F13719" i="1"/>
  <c r="B13719" i="1" s="1"/>
  <c r="C13720" i="1"/>
  <c r="F13720" i="1"/>
  <c r="B13720" i="1" s="1"/>
  <c r="C13721" i="1"/>
  <c r="F13721" i="1"/>
  <c r="B13721" i="1" s="1"/>
  <c r="C13722" i="1"/>
  <c r="F13722" i="1"/>
  <c r="B13722" i="1" s="1"/>
  <c r="C13723" i="1"/>
  <c r="F13723" i="1"/>
  <c r="B13723" i="1" s="1"/>
  <c r="C13724" i="1"/>
  <c r="F13724" i="1"/>
  <c r="B13724" i="1" s="1"/>
  <c r="C13725" i="1"/>
  <c r="F13725" i="1"/>
  <c r="B13725" i="1" s="1"/>
  <c r="C13726" i="1"/>
  <c r="F13726" i="1"/>
  <c r="B13726" i="1" s="1"/>
  <c r="C13727" i="1"/>
  <c r="F13727" i="1"/>
  <c r="B13727" i="1" s="1"/>
  <c r="C13728" i="1"/>
  <c r="F13728" i="1"/>
  <c r="B13728" i="1" s="1"/>
  <c r="C13729" i="1"/>
  <c r="F13729" i="1"/>
  <c r="B13729" i="1" s="1"/>
  <c r="C13730" i="1"/>
  <c r="F13730" i="1"/>
  <c r="B13730" i="1" s="1"/>
  <c r="C13731" i="1"/>
  <c r="F13731" i="1"/>
  <c r="B13731" i="1" s="1"/>
  <c r="C13732" i="1"/>
  <c r="F13732" i="1"/>
  <c r="B13732" i="1" s="1"/>
  <c r="C13733" i="1"/>
  <c r="F13733" i="1"/>
  <c r="B13733" i="1" s="1"/>
  <c r="C13734" i="1"/>
  <c r="F13734" i="1"/>
  <c r="B13734" i="1" s="1"/>
  <c r="C13735" i="1"/>
  <c r="F13735" i="1"/>
  <c r="B13735" i="1" s="1"/>
  <c r="C13736" i="1"/>
  <c r="F13736" i="1"/>
  <c r="B13736" i="1" s="1"/>
  <c r="C13737" i="1"/>
  <c r="F13737" i="1"/>
  <c r="B13737" i="1" s="1"/>
  <c r="C13738" i="1"/>
  <c r="F13738" i="1"/>
  <c r="B13738" i="1" s="1"/>
  <c r="C13739" i="1"/>
  <c r="F13739" i="1"/>
  <c r="B13739" i="1" s="1"/>
  <c r="C13740" i="1"/>
  <c r="F13740" i="1"/>
  <c r="B13740" i="1" s="1"/>
  <c r="C13741" i="1"/>
  <c r="F13741" i="1"/>
  <c r="B13741" i="1" s="1"/>
  <c r="C13742" i="1"/>
  <c r="F13742" i="1"/>
  <c r="B13742" i="1" s="1"/>
  <c r="C13743" i="1"/>
  <c r="F13743" i="1"/>
  <c r="B13743" i="1" s="1"/>
  <c r="C13744" i="1"/>
  <c r="F13744" i="1"/>
  <c r="B13744" i="1" s="1"/>
  <c r="C13745" i="1"/>
  <c r="F13745" i="1"/>
  <c r="B13745" i="1" s="1"/>
  <c r="C13746" i="1"/>
  <c r="F13746" i="1"/>
  <c r="B13746" i="1" s="1"/>
  <c r="C13747" i="1"/>
  <c r="F13747" i="1"/>
  <c r="B13747" i="1" s="1"/>
  <c r="C13748" i="1"/>
  <c r="F13748" i="1"/>
  <c r="B13748" i="1" s="1"/>
  <c r="C13749" i="1"/>
  <c r="F13749" i="1"/>
  <c r="B13749" i="1" s="1"/>
  <c r="C13750" i="1"/>
  <c r="F13750" i="1"/>
  <c r="B13750" i="1" s="1"/>
  <c r="C13751" i="1"/>
  <c r="F13751" i="1"/>
  <c r="B13751" i="1" s="1"/>
  <c r="C13752" i="1"/>
  <c r="F13752" i="1"/>
  <c r="B13752" i="1" s="1"/>
  <c r="C13753" i="1"/>
  <c r="F13753" i="1"/>
  <c r="B13753" i="1" s="1"/>
  <c r="C13754" i="1"/>
  <c r="F13754" i="1"/>
  <c r="B13754" i="1" s="1"/>
  <c r="C13755" i="1"/>
  <c r="F13755" i="1"/>
  <c r="B13755" i="1" s="1"/>
  <c r="C13756" i="1"/>
  <c r="F13756" i="1"/>
  <c r="B13756" i="1" s="1"/>
  <c r="C13757" i="1"/>
  <c r="F13757" i="1"/>
  <c r="B13757" i="1" s="1"/>
  <c r="C13758" i="1"/>
  <c r="F13758" i="1"/>
  <c r="B13758" i="1" s="1"/>
  <c r="C13759" i="1"/>
  <c r="F13759" i="1"/>
  <c r="B13759" i="1" s="1"/>
  <c r="C13760" i="1"/>
  <c r="F13760" i="1"/>
  <c r="B13760" i="1" s="1"/>
  <c r="C13761" i="1"/>
  <c r="F13761" i="1"/>
  <c r="B13761" i="1" s="1"/>
  <c r="C13762" i="1"/>
  <c r="F13762" i="1"/>
  <c r="B13762" i="1" s="1"/>
  <c r="C13763" i="1"/>
  <c r="F13763" i="1"/>
  <c r="B13763" i="1" s="1"/>
  <c r="C13764" i="1"/>
  <c r="F13764" i="1"/>
  <c r="B13764" i="1" s="1"/>
  <c r="C13765" i="1"/>
  <c r="F13765" i="1"/>
  <c r="B13765" i="1" s="1"/>
  <c r="C13766" i="1"/>
  <c r="F13766" i="1"/>
  <c r="B13766" i="1" s="1"/>
  <c r="C13767" i="1"/>
  <c r="F13767" i="1"/>
  <c r="B13767" i="1" s="1"/>
  <c r="C13768" i="1"/>
  <c r="F13768" i="1"/>
  <c r="B13768" i="1" s="1"/>
  <c r="C13769" i="1"/>
  <c r="F13769" i="1"/>
  <c r="B13769" i="1" s="1"/>
  <c r="C13770" i="1"/>
  <c r="F13770" i="1"/>
  <c r="B13770" i="1" s="1"/>
  <c r="C13771" i="1"/>
  <c r="F13771" i="1"/>
  <c r="B13771" i="1" s="1"/>
  <c r="C13772" i="1"/>
  <c r="F13772" i="1"/>
  <c r="B13772" i="1" s="1"/>
  <c r="C13773" i="1"/>
  <c r="F13773" i="1"/>
  <c r="B13773" i="1" s="1"/>
  <c r="C13774" i="1"/>
  <c r="F13774" i="1"/>
  <c r="B13774" i="1" s="1"/>
  <c r="C13775" i="1"/>
  <c r="F13775" i="1"/>
  <c r="B13775" i="1" s="1"/>
  <c r="C13776" i="1"/>
  <c r="F13776" i="1"/>
  <c r="B13776" i="1" s="1"/>
  <c r="C13777" i="1"/>
  <c r="F13777" i="1"/>
  <c r="B13777" i="1" s="1"/>
  <c r="C13778" i="1"/>
  <c r="F13778" i="1"/>
  <c r="B13778" i="1" s="1"/>
  <c r="C13779" i="1"/>
  <c r="F13779" i="1"/>
  <c r="B13779" i="1" s="1"/>
  <c r="C13780" i="1"/>
  <c r="F13780" i="1"/>
  <c r="B13780" i="1" s="1"/>
  <c r="C13781" i="1"/>
  <c r="F13781" i="1"/>
  <c r="B13781" i="1" s="1"/>
  <c r="C13782" i="1"/>
  <c r="F13782" i="1"/>
  <c r="B13782" i="1" s="1"/>
  <c r="C13783" i="1"/>
  <c r="F13783" i="1"/>
  <c r="B13783" i="1" s="1"/>
  <c r="C13784" i="1"/>
  <c r="F13784" i="1"/>
  <c r="B13784" i="1" s="1"/>
  <c r="C13785" i="1"/>
  <c r="F13785" i="1"/>
  <c r="B13785" i="1" s="1"/>
  <c r="C13786" i="1"/>
  <c r="F13786" i="1"/>
  <c r="B13786" i="1" s="1"/>
  <c r="C13787" i="1"/>
  <c r="F13787" i="1"/>
  <c r="B13787" i="1" s="1"/>
  <c r="C13788" i="1"/>
  <c r="F13788" i="1"/>
  <c r="B13788" i="1" s="1"/>
  <c r="C13789" i="1"/>
  <c r="F13789" i="1"/>
  <c r="B13789" i="1" s="1"/>
  <c r="C13790" i="1"/>
  <c r="F13790" i="1"/>
  <c r="B13790" i="1" s="1"/>
  <c r="C13791" i="1"/>
  <c r="F13791" i="1"/>
  <c r="B13791" i="1" s="1"/>
  <c r="C13792" i="1"/>
  <c r="F13792" i="1"/>
  <c r="B13792" i="1" s="1"/>
  <c r="C13793" i="1"/>
  <c r="F13793" i="1"/>
  <c r="B13793" i="1" s="1"/>
  <c r="C13794" i="1"/>
  <c r="F13794" i="1"/>
  <c r="B13794" i="1" s="1"/>
  <c r="C13795" i="1"/>
  <c r="F13795" i="1"/>
  <c r="B13795" i="1" s="1"/>
  <c r="C13796" i="1"/>
  <c r="F13796" i="1"/>
  <c r="B13796" i="1" s="1"/>
  <c r="C13797" i="1"/>
  <c r="F13797" i="1"/>
  <c r="B13797" i="1" s="1"/>
  <c r="C13798" i="1"/>
  <c r="F13798" i="1"/>
  <c r="B13798" i="1" s="1"/>
  <c r="C13799" i="1"/>
  <c r="F13799" i="1"/>
  <c r="B13799" i="1" s="1"/>
  <c r="C13800" i="1"/>
  <c r="F13800" i="1"/>
  <c r="B13800" i="1" s="1"/>
  <c r="C13801" i="1"/>
  <c r="F13801" i="1"/>
  <c r="B13801" i="1" s="1"/>
  <c r="C13802" i="1"/>
  <c r="F13802" i="1"/>
  <c r="B13802" i="1" s="1"/>
  <c r="C13803" i="1"/>
  <c r="F13803" i="1"/>
  <c r="B13803" i="1" s="1"/>
  <c r="C13804" i="1"/>
  <c r="F13804" i="1"/>
  <c r="B13804" i="1" s="1"/>
  <c r="C13805" i="1"/>
  <c r="F13805" i="1"/>
  <c r="B13805" i="1" s="1"/>
  <c r="C13806" i="1"/>
  <c r="F13806" i="1"/>
  <c r="B13806" i="1" s="1"/>
  <c r="C13807" i="1"/>
  <c r="F13807" i="1"/>
  <c r="B13807" i="1" s="1"/>
  <c r="C13808" i="1"/>
  <c r="F13808" i="1"/>
  <c r="B13808" i="1" s="1"/>
  <c r="C13809" i="1"/>
  <c r="F13809" i="1"/>
  <c r="B13809" i="1" s="1"/>
  <c r="C13810" i="1"/>
  <c r="F13810" i="1"/>
  <c r="B13810" i="1" s="1"/>
  <c r="C13811" i="1"/>
  <c r="F13811" i="1"/>
  <c r="B13811" i="1" s="1"/>
  <c r="C13812" i="1"/>
  <c r="F13812" i="1"/>
  <c r="B13812" i="1" s="1"/>
  <c r="C13813" i="1"/>
  <c r="F13813" i="1"/>
  <c r="B13813" i="1" s="1"/>
  <c r="C13814" i="1"/>
  <c r="F13814" i="1"/>
  <c r="B13814" i="1" s="1"/>
  <c r="C13815" i="1"/>
  <c r="F13815" i="1"/>
  <c r="B13815" i="1" s="1"/>
  <c r="C13816" i="1"/>
  <c r="F13816" i="1"/>
  <c r="B13816" i="1" s="1"/>
  <c r="C13817" i="1"/>
  <c r="F13817" i="1"/>
  <c r="B13817" i="1" s="1"/>
  <c r="C13818" i="1"/>
  <c r="F13818" i="1"/>
  <c r="B13818" i="1" s="1"/>
  <c r="C13819" i="1"/>
  <c r="F13819" i="1"/>
  <c r="B13819" i="1" s="1"/>
  <c r="C13820" i="1"/>
  <c r="F13820" i="1"/>
  <c r="B13820" i="1" s="1"/>
  <c r="C13821" i="1"/>
  <c r="F13821" i="1"/>
  <c r="B13821" i="1" s="1"/>
  <c r="C13822" i="1"/>
  <c r="F13822" i="1"/>
  <c r="B13822" i="1" s="1"/>
  <c r="C13823" i="1"/>
  <c r="F13823" i="1"/>
  <c r="B13823" i="1" s="1"/>
  <c r="C13824" i="1"/>
  <c r="F13824" i="1"/>
  <c r="B13824" i="1" s="1"/>
  <c r="C13825" i="1"/>
  <c r="F13825" i="1"/>
  <c r="B13825" i="1" s="1"/>
  <c r="C13826" i="1"/>
  <c r="F13826" i="1"/>
  <c r="B13826" i="1" s="1"/>
  <c r="C13827" i="1"/>
  <c r="F13827" i="1"/>
  <c r="B13827" i="1" s="1"/>
  <c r="C13828" i="1"/>
  <c r="F13828" i="1"/>
  <c r="B13828" i="1" s="1"/>
  <c r="C13829" i="1"/>
  <c r="F13829" i="1"/>
  <c r="B13829" i="1" s="1"/>
  <c r="C13830" i="1"/>
  <c r="F13830" i="1"/>
  <c r="B13830" i="1" s="1"/>
  <c r="C13831" i="1"/>
  <c r="F13831" i="1"/>
  <c r="B13831" i="1" s="1"/>
  <c r="C13832" i="1"/>
  <c r="F13832" i="1"/>
  <c r="B13832" i="1" s="1"/>
  <c r="C13833" i="1"/>
  <c r="F13833" i="1"/>
  <c r="B13833" i="1" s="1"/>
  <c r="C13834" i="1"/>
  <c r="F13834" i="1"/>
  <c r="B13834" i="1" s="1"/>
  <c r="C13835" i="1"/>
  <c r="F13835" i="1"/>
  <c r="B13835" i="1" s="1"/>
  <c r="C13836" i="1"/>
  <c r="F13836" i="1"/>
  <c r="B13836" i="1" s="1"/>
  <c r="C13837" i="1"/>
  <c r="F13837" i="1"/>
  <c r="B13837" i="1" s="1"/>
  <c r="C13838" i="1"/>
  <c r="F13838" i="1"/>
  <c r="B13838" i="1" s="1"/>
  <c r="C13839" i="1"/>
  <c r="F13839" i="1"/>
  <c r="B13839" i="1" s="1"/>
  <c r="C13840" i="1"/>
  <c r="F13840" i="1"/>
  <c r="B13840" i="1" s="1"/>
  <c r="C13841" i="1"/>
  <c r="F13841" i="1"/>
  <c r="B13841" i="1" s="1"/>
  <c r="C13842" i="1"/>
  <c r="F13842" i="1"/>
  <c r="B13842" i="1" s="1"/>
  <c r="C13843" i="1"/>
  <c r="F13843" i="1"/>
  <c r="B13843" i="1" s="1"/>
  <c r="C13844" i="1"/>
  <c r="F13844" i="1"/>
  <c r="B13844" i="1" s="1"/>
  <c r="C13845" i="1"/>
  <c r="F13845" i="1"/>
  <c r="B13845" i="1" s="1"/>
  <c r="C13846" i="1"/>
  <c r="F13846" i="1"/>
  <c r="B13846" i="1" s="1"/>
  <c r="C13847" i="1"/>
  <c r="F13847" i="1"/>
  <c r="B13847" i="1" s="1"/>
  <c r="C13848" i="1"/>
  <c r="F13848" i="1"/>
  <c r="B13848" i="1" s="1"/>
  <c r="C13849" i="1"/>
  <c r="F13849" i="1"/>
  <c r="B13849" i="1" s="1"/>
  <c r="C13850" i="1"/>
  <c r="F13850" i="1"/>
  <c r="B13850" i="1" s="1"/>
  <c r="C13851" i="1"/>
  <c r="F13851" i="1"/>
  <c r="B13851" i="1" s="1"/>
  <c r="C13852" i="1"/>
  <c r="F13852" i="1"/>
  <c r="B13852" i="1" s="1"/>
  <c r="C13853" i="1"/>
  <c r="F13853" i="1"/>
  <c r="B13853" i="1" s="1"/>
  <c r="C13854" i="1"/>
  <c r="F13854" i="1"/>
  <c r="B13854" i="1" s="1"/>
  <c r="C13855" i="1"/>
  <c r="F13855" i="1"/>
  <c r="B13855" i="1" s="1"/>
  <c r="C13856" i="1"/>
  <c r="F13856" i="1"/>
  <c r="B13856" i="1" s="1"/>
  <c r="C13857" i="1"/>
  <c r="F13857" i="1"/>
  <c r="B13857" i="1" s="1"/>
  <c r="C13858" i="1"/>
  <c r="F13858" i="1"/>
  <c r="B13858" i="1" s="1"/>
  <c r="C13859" i="1"/>
  <c r="F13859" i="1"/>
  <c r="B13859" i="1" s="1"/>
  <c r="C13860" i="1"/>
  <c r="F13860" i="1"/>
  <c r="B13860" i="1" s="1"/>
  <c r="C13861" i="1"/>
  <c r="F13861" i="1"/>
  <c r="B13861" i="1" s="1"/>
  <c r="C13862" i="1"/>
  <c r="F13862" i="1"/>
  <c r="B13862" i="1" s="1"/>
  <c r="C13863" i="1"/>
  <c r="F13863" i="1"/>
  <c r="B13863" i="1" s="1"/>
  <c r="C13864" i="1"/>
  <c r="F13864" i="1"/>
  <c r="B13864" i="1" s="1"/>
  <c r="C13865" i="1"/>
  <c r="F13865" i="1"/>
  <c r="B13865" i="1" s="1"/>
  <c r="C13866" i="1"/>
  <c r="F13866" i="1"/>
  <c r="B13866" i="1" s="1"/>
  <c r="C13867" i="1"/>
  <c r="F13867" i="1"/>
  <c r="B13867" i="1" s="1"/>
  <c r="C13868" i="1"/>
  <c r="F13868" i="1"/>
  <c r="B13868" i="1" s="1"/>
  <c r="C13869" i="1"/>
  <c r="F13869" i="1"/>
  <c r="B13869" i="1" s="1"/>
  <c r="C13870" i="1"/>
  <c r="F13870" i="1"/>
  <c r="B13870" i="1" s="1"/>
  <c r="C13871" i="1"/>
  <c r="F13871" i="1"/>
  <c r="B13871" i="1" s="1"/>
  <c r="C13872" i="1"/>
  <c r="F13872" i="1"/>
  <c r="B13872" i="1" s="1"/>
  <c r="C13873" i="1"/>
  <c r="F13873" i="1"/>
  <c r="B13873" i="1" s="1"/>
  <c r="C13874" i="1"/>
  <c r="F13874" i="1"/>
  <c r="B13874" i="1" s="1"/>
  <c r="C13875" i="1"/>
  <c r="F13875" i="1"/>
  <c r="B13875" i="1" s="1"/>
  <c r="C13876" i="1"/>
  <c r="F13876" i="1"/>
  <c r="B13876" i="1" s="1"/>
  <c r="C13877" i="1"/>
  <c r="F13877" i="1"/>
  <c r="B13877" i="1" s="1"/>
  <c r="C13878" i="1"/>
  <c r="F13878" i="1"/>
  <c r="B13878" i="1" s="1"/>
  <c r="C13879" i="1"/>
  <c r="F13879" i="1"/>
  <c r="B13879" i="1" s="1"/>
  <c r="C13880" i="1"/>
  <c r="F13880" i="1"/>
  <c r="B13880" i="1" s="1"/>
  <c r="C13881" i="1"/>
  <c r="F13881" i="1"/>
  <c r="B13881" i="1" s="1"/>
  <c r="C13882" i="1"/>
  <c r="F13882" i="1"/>
  <c r="B13882" i="1" s="1"/>
  <c r="C13883" i="1"/>
  <c r="F13883" i="1"/>
  <c r="B13883" i="1" s="1"/>
  <c r="C13884" i="1"/>
  <c r="F13884" i="1"/>
  <c r="B13884" i="1" s="1"/>
  <c r="C13885" i="1"/>
  <c r="F13885" i="1"/>
  <c r="B13885" i="1" s="1"/>
  <c r="C13886" i="1"/>
  <c r="F13886" i="1"/>
  <c r="B13886" i="1" s="1"/>
  <c r="C13887" i="1"/>
  <c r="F13887" i="1"/>
  <c r="B13887" i="1" s="1"/>
  <c r="C13888" i="1"/>
  <c r="F13888" i="1"/>
  <c r="B13888" i="1" s="1"/>
  <c r="C13889" i="1"/>
  <c r="F13889" i="1"/>
  <c r="B13889" i="1" s="1"/>
  <c r="C13890" i="1"/>
  <c r="F13890" i="1"/>
  <c r="B13890" i="1" s="1"/>
  <c r="C13891" i="1"/>
  <c r="F13891" i="1"/>
  <c r="B13891" i="1" s="1"/>
  <c r="C13892" i="1"/>
  <c r="F13892" i="1"/>
  <c r="B13892" i="1" s="1"/>
  <c r="C13893" i="1"/>
  <c r="F13893" i="1"/>
  <c r="B13893" i="1" s="1"/>
  <c r="C13894" i="1"/>
  <c r="F13894" i="1"/>
  <c r="B13894" i="1" s="1"/>
  <c r="C13895" i="1"/>
  <c r="F13895" i="1"/>
  <c r="B13895" i="1" s="1"/>
  <c r="C13896" i="1"/>
  <c r="F13896" i="1"/>
  <c r="B13896" i="1" s="1"/>
  <c r="C13897" i="1"/>
  <c r="F13897" i="1"/>
  <c r="B13897" i="1" s="1"/>
  <c r="C13898" i="1"/>
  <c r="F13898" i="1"/>
  <c r="B13898" i="1" s="1"/>
  <c r="C13899" i="1"/>
  <c r="F13899" i="1"/>
  <c r="B13899" i="1" s="1"/>
  <c r="C13900" i="1"/>
  <c r="F13900" i="1"/>
  <c r="B13900" i="1" s="1"/>
  <c r="C13901" i="1"/>
  <c r="F13901" i="1"/>
  <c r="B13901" i="1" s="1"/>
  <c r="C13902" i="1"/>
  <c r="F13902" i="1"/>
  <c r="B13902" i="1" s="1"/>
  <c r="C13903" i="1"/>
  <c r="F13903" i="1"/>
  <c r="B13903" i="1" s="1"/>
  <c r="C13904" i="1"/>
  <c r="F13904" i="1"/>
  <c r="B13904" i="1" s="1"/>
  <c r="C13905" i="1"/>
  <c r="F13905" i="1"/>
  <c r="B13905" i="1" s="1"/>
  <c r="C13906" i="1"/>
  <c r="F13906" i="1"/>
  <c r="B13906" i="1" s="1"/>
  <c r="C13907" i="1"/>
  <c r="F13907" i="1"/>
  <c r="B13907" i="1" s="1"/>
  <c r="C13908" i="1"/>
  <c r="F13908" i="1"/>
  <c r="B13908" i="1" s="1"/>
  <c r="C13909" i="1"/>
  <c r="F13909" i="1"/>
  <c r="B13909" i="1" s="1"/>
  <c r="C13910" i="1"/>
  <c r="F13910" i="1"/>
  <c r="B13910" i="1" s="1"/>
  <c r="C13911" i="1"/>
  <c r="F13911" i="1"/>
  <c r="B13911" i="1" s="1"/>
  <c r="C13912" i="1"/>
  <c r="F13912" i="1"/>
  <c r="B13912" i="1" s="1"/>
  <c r="C13913" i="1"/>
  <c r="F13913" i="1"/>
  <c r="B13913" i="1" s="1"/>
  <c r="C13914" i="1"/>
  <c r="F13914" i="1"/>
  <c r="B13914" i="1" s="1"/>
  <c r="C13915" i="1"/>
  <c r="F13915" i="1"/>
  <c r="B13915" i="1" s="1"/>
  <c r="C13916" i="1"/>
  <c r="F13916" i="1"/>
  <c r="B13916" i="1" s="1"/>
  <c r="C13917" i="1"/>
  <c r="F13917" i="1"/>
  <c r="B13917" i="1" s="1"/>
  <c r="C13918" i="1"/>
  <c r="F13918" i="1"/>
  <c r="B13918" i="1" s="1"/>
  <c r="C13919" i="1"/>
  <c r="F13919" i="1"/>
  <c r="B13919" i="1" s="1"/>
  <c r="C13920" i="1"/>
  <c r="F13920" i="1"/>
  <c r="B13920" i="1" s="1"/>
  <c r="C13921" i="1"/>
  <c r="F13921" i="1"/>
  <c r="B13921" i="1" s="1"/>
  <c r="C13922" i="1"/>
  <c r="F13922" i="1"/>
  <c r="B13922" i="1" s="1"/>
  <c r="C13923" i="1"/>
  <c r="F13923" i="1"/>
  <c r="B13923" i="1" s="1"/>
  <c r="C13924" i="1"/>
  <c r="F13924" i="1"/>
  <c r="B13924" i="1" s="1"/>
  <c r="C13925" i="1"/>
  <c r="F13925" i="1"/>
  <c r="B13925" i="1" s="1"/>
  <c r="C13926" i="1"/>
  <c r="F13926" i="1"/>
  <c r="B13926" i="1" s="1"/>
  <c r="C13927" i="1"/>
  <c r="F13927" i="1"/>
  <c r="B13927" i="1" s="1"/>
  <c r="C13928" i="1"/>
  <c r="F13928" i="1"/>
  <c r="B13928" i="1" s="1"/>
  <c r="C13929" i="1"/>
  <c r="F13929" i="1"/>
  <c r="B13929" i="1" s="1"/>
  <c r="C13930" i="1"/>
  <c r="F13930" i="1"/>
  <c r="B13930" i="1" s="1"/>
  <c r="C13931" i="1"/>
  <c r="F13931" i="1"/>
  <c r="B13931" i="1" s="1"/>
  <c r="C13932" i="1"/>
  <c r="F13932" i="1"/>
  <c r="B13932" i="1" s="1"/>
  <c r="C13933" i="1"/>
  <c r="F13933" i="1"/>
  <c r="B13933" i="1" s="1"/>
  <c r="C13934" i="1"/>
  <c r="F13934" i="1"/>
  <c r="B13934" i="1" s="1"/>
  <c r="C13935" i="1"/>
  <c r="F13935" i="1"/>
  <c r="B13935" i="1" s="1"/>
  <c r="C13936" i="1"/>
  <c r="F13936" i="1"/>
  <c r="B13936" i="1" s="1"/>
  <c r="C13937" i="1"/>
  <c r="F13937" i="1"/>
  <c r="B13937" i="1" s="1"/>
  <c r="C13938" i="1"/>
  <c r="F13938" i="1"/>
  <c r="B13938" i="1" s="1"/>
  <c r="C13939" i="1"/>
  <c r="F13939" i="1"/>
  <c r="B13939" i="1" s="1"/>
  <c r="C13940" i="1"/>
  <c r="F13940" i="1"/>
  <c r="B13940" i="1" s="1"/>
  <c r="C13941" i="1"/>
  <c r="F13941" i="1"/>
  <c r="B13941" i="1" s="1"/>
  <c r="C13942" i="1"/>
  <c r="F13942" i="1"/>
  <c r="B13942" i="1" s="1"/>
  <c r="C13943" i="1"/>
  <c r="F13943" i="1"/>
  <c r="B13943" i="1" s="1"/>
  <c r="C13944" i="1"/>
  <c r="F13944" i="1"/>
  <c r="B13944" i="1" s="1"/>
  <c r="C13945" i="1"/>
  <c r="F13945" i="1"/>
  <c r="B13945" i="1" s="1"/>
  <c r="C13946" i="1"/>
  <c r="F13946" i="1"/>
  <c r="B13946" i="1" s="1"/>
  <c r="C13947" i="1"/>
  <c r="F13947" i="1"/>
  <c r="B13947" i="1" s="1"/>
  <c r="C13948" i="1"/>
  <c r="F13948" i="1"/>
  <c r="B13948" i="1" s="1"/>
  <c r="C13949" i="1"/>
  <c r="F13949" i="1"/>
  <c r="B13949" i="1" s="1"/>
  <c r="C13950" i="1"/>
  <c r="F13950" i="1"/>
  <c r="B13950" i="1" s="1"/>
  <c r="C13951" i="1"/>
  <c r="F13951" i="1"/>
  <c r="B13951" i="1" s="1"/>
  <c r="C13952" i="1"/>
  <c r="F13952" i="1"/>
  <c r="B13952" i="1" s="1"/>
  <c r="C13953" i="1"/>
  <c r="F13953" i="1"/>
  <c r="B13953" i="1" s="1"/>
  <c r="C13954" i="1"/>
  <c r="F13954" i="1"/>
  <c r="B13954" i="1" s="1"/>
  <c r="C13955" i="1"/>
  <c r="F13955" i="1"/>
  <c r="B13955" i="1" s="1"/>
  <c r="C13956" i="1"/>
  <c r="F13956" i="1"/>
  <c r="B13956" i="1" s="1"/>
  <c r="C13957" i="1"/>
  <c r="F13957" i="1"/>
  <c r="B13957" i="1" s="1"/>
  <c r="C13958" i="1"/>
  <c r="F13958" i="1"/>
  <c r="B13958" i="1" s="1"/>
  <c r="C13959" i="1"/>
  <c r="F13959" i="1"/>
  <c r="B13959" i="1" s="1"/>
  <c r="C13960" i="1"/>
  <c r="F13960" i="1"/>
  <c r="B13960" i="1" s="1"/>
  <c r="C13961" i="1"/>
  <c r="F13961" i="1"/>
  <c r="B13961" i="1" s="1"/>
  <c r="C13962" i="1"/>
  <c r="F13962" i="1"/>
  <c r="B13962" i="1" s="1"/>
  <c r="C13963" i="1"/>
  <c r="F13963" i="1"/>
  <c r="B13963" i="1" s="1"/>
  <c r="C13964" i="1"/>
  <c r="F13964" i="1"/>
  <c r="B13964" i="1" s="1"/>
  <c r="C13965" i="1"/>
  <c r="F13965" i="1"/>
  <c r="B13965" i="1" s="1"/>
  <c r="C13966" i="1"/>
  <c r="F13966" i="1"/>
  <c r="B13966" i="1" s="1"/>
  <c r="C13967" i="1"/>
  <c r="F13967" i="1"/>
  <c r="B13967" i="1" s="1"/>
  <c r="C13968" i="1"/>
  <c r="F13968" i="1"/>
  <c r="B13968" i="1" s="1"/>
  <c r="C13969" i="1"/>
  <c r="F13969" i="1"/>
  <c r="B13969" i="1" s="1"/>
  <c r="C13970" i="1"/>
  <c r="F13970" i="1"/>
  <c r="B13970" i="1" s="1"/>
  <c r="C13971" i="1"/>
  <c r="F13971" i="1"/>
  <c r="B13971" i="1" s="1"/>
  <c r="C13972" i="1"/>
  <c r="F13972" i="1"/>
  <c r="B13972" i="1" s="1"/>
  <c r="C13973" i="1"/>
  <c r="F13973" i="1"/>
  <c r="B13973" i="1" s="1"/>
  <c r="C13974" i="1"/>
  <c r="F13974" i="1"/>
  <c r="B13974" i="1" s="1"/>
  <c r="C13975" i="1"/>
  <c r="F13975" i="1"/>
  <c r="B13975" i="1" s="1"/>
  <c r="C13976" i="1"/>
  <c r="F13976" i="1"/>
  <c r="B13976" i="1" s="1"/>
  <c r="C13977" i="1"/>
  <c r="F13977" i="1"/>
  <c r="B13977" i="1" s="1"/>
  <c r="C13978" i="1"/>
  <c r="F13978" i="1"/>
  <c r="B13978" i="1" s="1"/>
  <c r="C13979" i="1"/>
  <c r="F13979" i="1"/>
  <c r="B13979" i="1" s="1"/>
  <c r="C13980" i="1"/>
  <c r="F13980" i="1"/>
  <c r="B13980" i="1" s="1"/>
  <c r="C13981" i="1"/>
  <c r="F13981" i="1"/>
  <c r="B13981" i="1" s="1"/>
  <c r="C13982" i="1"/>
  <c r="F13982" i="1"/>
  <c r="B13982" i="1" s="1"/>
  <c r="C13983" i="1"/>
  <c r="F13983" i="1"/>
  <c r="B13983" i="1" s="1"/>
  <c r="C13984" i="1"/>
  <c r="F13984" i="1"/>
  <c r="B13984" i="1" s="1"/>
  <c r="C13985" i="1"/>
  <c r="F13985" i="1"/>
  <c r="B13985" i="1" s="1"/>
  <c r="C13986" i="1"/>
  <c r="F13986" i="1"/>
  <c r="B13986" i="1" s="1"/>
  <c r="C13987" i="1"/>
  <c r="F13987" i="1"/>
  <c r="B13987" i="1" s="1"/>
  <c r="C13988" i="1"/>
  <c r="F13988" i="1"/>
  <c r="B13988" i="1" s="1"/>
  <c r="C13989" i="1"/>
  <c r="F13989" i="1"/>
  <c r="B13989" i="1" s="1"/>
  <c r="C13990" i="1"/>
  <c r="F13990" i="1"/>
  <c r="B13990" i="1" s="1"/>
  <c r="C13991" i="1"/>
  <c r="F13991" i="1"/>
  <c r="B13991" i="1" s="1"/>
  <c r="C13992" i="1"/>
  <c r="F13992" i="1"/>
  <c r="B13992" i="1" s="1"/>
  <c r="C13993" i="1"/>
  <c r="F13993" i="1"/>
  <c r="B13993" i="1" s="1"/>
  <c r="C13994" i="1"/>
  <c r="F13994" i="1"/>
  <c r="B13994" i="1" s="1"/>
  <c r="C13995" i="1"/>
  <c r="F13995" i="1"/>
  <c r="B13995" i="1" s="1"/>
  <c r="C13996" i="1"/>
  <c r="F13996" i="1"/>
  <c r="B13996" i="1" s="1"/>
  <c r="C13997" i="1"/>
  <c r="F13997" i="1"/>
  <c r="B13997" i="1" s="1"/>
  <c r="C13998" i="1"/>
  <c r="F13998" i="1"/>
  <c r="B13998" i="1" s="1"/>
  <c r="C13999" i="1"/>
  <c r="F13999" i="1"/>
  <c r="B13999" i="1" s="1"/>
  <c r="C14000" i="1"/>
  <c r="F14000" i="1"/>
  <c r="B14000" i="1" s="1"/>
  <c r="C14001" i="1"/>
  <c r="F14001" i="1"/>
  <c r="B14001" i="1" s="1"/>
  <c r="C14002" i="1"/>
  <c r="F14002" i="1"/>
  <c r="B14002" i="1" s="1"/>
  <c r="C14003" i="1"/>
  <c r="F14003" i="1"/>
  <c r="B14003" i="1" s="1"/>
  <c r="C14004" i="1"/>
  <c r="F14004" i="1"/>
  <c r="B14004" i="1" s="1"/>
  <c r="C14005" i="1"/>
  <c r="F14005" i="1"/>
  <c r="B14005" i="1" s="1"/>
  <c r="C14006" i="1"/>
  <c r="F14006" i="1"/>
  <c r="B14006" i="1" s="1"/>
  <c r="C14007" i="1"/>
  <c r="F14007" i="1"/>
  <c r="B14007" i="1" s="1"/>
  <c r="C14008" i="1"/>
  <c r="F14008" i="1"/>
  <c r="B14008" i="1" s="1"/>
  <c r="C14009" i="1"/>
  <c r="F14009" i="1"/>
  <c r="B14009" i="1" s="1"/>
  <c r="C14010" i="1"/>
  <c r="F14010" i="1"/>
  <c r="B14010" i="1" s="1"/>
  <c r="C14011" i="1"/>
  <c r="F14011" i="1"/>
  <c r="B14011" i="1" s="1"/>
  <c r="C14012" i="1"/>
  <c r="F14012" i="1"/>
  <c r="B14012" i="1" s="1"/>
  <c r="C14013" i="1"/>
  <c r="F14013" i="1"/>
  <c r="B14013" i="1" s="1"/>
  <c r="C14014" i="1"/>
  <c r="F14014" i="1"/>
  <c r="B14014" i="1" s="1"/>
  <c r="C14015" i="1"/>
  <c r="F14015" i="1"/>
  <c r="B14015" i="1" s="1"/>
  <c r="C14016" i="1"/>
  <c r="F14016" i="1"/>
  <c r="B14016" i="1" s="1"/>
  <c r="C14017" i="1"/>
  <c r="F14017" i="1"/>
  <c r="B14017" i="1" s="1"/>
  <c r="C14018" i="1"/>
  <c r="F14018" i="1"/>
  <c r="B14018" i="1" s="1"/>
  <c r="C14019" i="1"/>
  <c r="F14019" i="1"/>
  <c r="B14019" i="1" s="1"/>
  <c r="C14020" i="1"/>
  <c r="F14020" i="1"/>
  <c r="B14020" i="1" s="1"/>
  <c r="C14021" i="1"/>
  <c r="F14021" i="1"/>
  <c r="B14021" i="1" s="1"/>
  <c r="C14022" i="1"/>
  <c r="F14022" i="1"/>
  <c r="B14022" i="1" s="1"/>
  <c r="C14023" i="1"/>
  <c r="F14023" i="1"/>
  <c r="B14023" i="1" s="1"/>
  <c r="C14024" i="1"/>
  <c r="F14024" i="1"/>
  <c r="B14024" i="1" s="1"/>
  <c r="C14025" i="1"/>
  <c r="F14025" i="1"/>
  <c r="B14025" i="1" s="1"/>
  <c r="C14026" i="1"/>
  <c r="F14026" i="1"/>
  <c r="B14026" i="1" s="1"/>
  <c r="C14027" i="1"/>
  <c r="F14027" i="1"/>
  <c r="B14027" i="1" s="1"/>
  <c r="C14028" i="1"/>
  <c r="F14028" i="1"/>
  <c r="B14028" i="1" s="1"/>
  <c r="C14029" i="1"/>
  <c r="F14029" i="1"/>
  <c r="B14029" i="1" s="1"/>
  <c r="C14030" i="1"/>
  <c r="F14030" i="1"/>
  <c r="B14030" i="1" s="1"/>
  <c r="C14031" i="1"/>
  <c r="F14031" i="1"/>
  <c r="B14031" i="1" s="1"/>
  <c r="C14032" i="1"/>
  <c r="F14032" i="1"/>
  <c r="B14032" i="1" s="1"/>
  <c r="C14033" i="1"/>
  <c r="F14033" i="1"/>
  <c r="B14033" i="1" s="1"/>
  <c r="C14034" i="1"/>
  <c r="F14034" i="1"/>
  <c r="B14034" i="1" s="1"/>
  <c r="C14035" i="1"/>
  <c r="F14035" i="1"/>
  <c r="B14035" i="1" s="1"/>
  <c r="C14036" i="1"/>
  <c r="F14036" i="1"/>
  <c r="B14036" i="1" s="1"/>
  <c r="C14037" i="1"/>
  <c r="F14037" i="1"/>
  <c r="B14037" i="1" s="1"/>
  <c r="C14038" i="1"/>
  <c r="F14038" i="1"/>
  <c r="B14038" i="1" s="1"/>
  <c r="C14039" i="1"/>
  <c r="F14039" i="1"/>
  <c r="B14039" i="1" s="1"/>
  <c r="C14040" i="1"/>
  <c r="F14040" i="1"/>
  <c r="B14040" i="1" s="1"/>
  <c r="C14041" i="1"/>
  <c r="F14041" i="1"/>
  <c r="B14041" i="1" s="1"/>
  <c r="C14042" i="1"/>
  <c r="F14042" i="1"/>
  <c r="B14042" i="1" s="1"/>
  <c r="C14043" i="1"/>
  <c r="F14043" i="1"/>
  <c r="B14043" i="1" s="1"/>
  <c r="C14044" i="1"/>
  <c r="F14044" i="1"/>
  <c r="B14044" i="1" s="1"/>
  <c r="C14045" i="1"/>
  <c r="F14045" i="1"/>
  <c r="B14045" i="1" s="1"/>
  <c r="C14046" i="1"/>
  <c r="F14046" i="1"/>
  <c r="B14046" i="1" s="1"/>
  <c r="C14047" i="1"/>
  <c r="F14047" i="1"/>
  <c r="B14047" i="1" s="1"/>
  <c r="C14048" i="1"/>
  <c r="F14048" i="1"/>
  <c r="B14048" i="1" s="1"/>
  <c r="C14049" i="1"/>
  <c r="F14049" i="1"/>
  <c r="B14049" i="1" s="1"/>
  <c r="C14050" i="1"/>
  <c r="F14050" i="1"/>
  <c r="B14050" i="1" s="1"/>
  <c r="C14051" i="1"/>
  <c r="F14051" i="1"/>
  <c r="B14051" i="1" s="1"/>
  <c r="C14052" i="1"/>
  <c r="F14052" i="1"/>
  <c r="B14052" i="1" s="1"/>
  <c r="C14053" i="1"/>
  <c r="F14053" i="1"/>
  <c r="B14053" i="1" s="1"/>
  <c r="C14054" i="1"/>
  <c r="F14054" i="1"/>
  <c r="B14054" i="1" s="1"/>
  <c r="C14055" i="1"/>
  <c r="F14055" i="1"/>
  <c r="B14055" i="1" s="1"/>
  <c r="C14056" i="1"/>
  <c r="F14056" i="1"/>
  <c r="B14056" i="1" s="1"/>
  <c r="C14057" i="1"/>
  <c r="F14057" i="1"/>
  <c r="B14057" i="1" s="1"/>
  <c r="C14058" i="1"/>
  <c r="F14058" i="1"/>
  <c r="B14058" i="1" s="1"/>
  <c r="C14059" i="1"/>
  <c r="F14059" i="1"/>
  <c r="B14059" i="1" s="1"/>
  <c r="C14060" i="1"/>
  <c r="F14060" i="1"/>
  <c r="B14060" i="1" s="1"/>
  <c r="C14061" i="1"/>
  <c r="F14061" i="1"/>
  <c r="B14061" i="1" s="1"/>
  <c r="C14062" i="1"/>
  <c r="F14062" i="1"/>
  <c r="B14062" i="1" s="1"/>
  <c r="C14063" i="1"/>
  <c r="F14063" i="1"/>
  <c r="B14063" i="1" s="1"/>
  <c r="C14064" i="1"/>
  <c r="F14064" i="1"/>
  <c r="B14064" i="1" s="1"/>
  <c r="C14065" i="1"/>
  <c r="F14065" i="1"/>
  <c r="B14065" i="1" s="1"/>
  <c r="C14066" i="1"/>
  <c r="F14066" i="1"/>
  <c r="B14066" i="1" s="1"/>
  <c r="C14067" i="1"/>
  <c r="F14067" i="1"/>
  <c r="B14067" i="1" s="1"/>
  <c r="C14068" i="1"/>
  <c r="F14068" i="1"/>
  <c r="B14068" i="1" s="1"/>
  <c r="C14069" i="1"/>
  <c r="F14069" i="1"/>
  <c r="B14069" i="1" s="1"/>
  <c r="C14070" i="1"/>
  <c r="F14070" i="1"/>
  <c r="B14070" i="1" s="1"/>
  <c r="C14071" i="1"/>
  <c r="F14071" i="1"/>
  <c r="B14071" i="1" s="1"/>
  <c r="C14072" i="1"/>
  <c r="F14072" i="1"/>
  <c r="B14072" i="1" s="1"/>
  <c r="C14073" i="1"/>
  <c r="F14073" i="1"/>
  <c r="B14073" i="1" s="1"/>
  <c r="C14074" i="1"/>
  <c r="F14074" i="1"/>
  <c r="B14074" i="1" s="1"/>
  <c r="C14075" i="1"/>
  <c r="F14075" i="1"/>
  <c r="B14075" i="1" s="1"/>
  <c r="C14076" i="1"/>
  <c r="F14076" i="1"/>
  <c r="B14076" i="1" s="1"/>
  <c r="C14077" i="1"/>
  <c r="F14077" i="1"/>
  <c r="B14077" i="1" s="1"/>
  <c r="C14078" i="1"/>
  <c r="F14078" i="1"/>
  <c r="B14078" i="1" s="1"/>
  <c r="C14079" i="1"/>
  <c r="F14079" i="1"/>
  <c r="B14079" i="1" s="1"/>
  <c r="C14080" i="1"/>
  <c r="F14080" i="1"/>
  <c r="B14080" i="1" s="1"/>
  <c r="C14081" i="1"/>
  <c r="F14081" i="1"/>
  <c r="B14081" i="1" s="1"/>
  <c r="C14082" i="1"/>
  <c r="F14082" i="1"/>
  <c r="B14082" i="1" s="1"/>
  <c r="C14083" i="1"/>
  <c r="F14083" i="1"/>
  <c r="B14083" i="1" s="1"/>
  <c r="C14084" i="1"/>
  <c r="F14084" i="1"/>
  <c r="B14084" i="1" s="1"/>
  <c r="C14085" i="1"/>
  <c r="F14085" i="1"/>
  <c r="B14085" i="1" s="1"/>
  <c r="C14086" i="1"/>
  <c r="F14086" i="1"/>
  <c r="B14086" i="1" s="1"/>
  <c r="C14087" i="1"/>
  <c r="F14087" i="1"/>
  <c r="B14087" i="1" s="1"/>
  <c r="C14088" i="1"/>
  <c r="F14088" i="1"/>
  <c r="B14088" i="1" s="1"/>
  <c r="C14089" i="1"/>
  <c r="F14089" i="1"/>
  <c r="B14089" i="1" s="1"/>
  <c r="C14090" i="1"/>
  <c r="F14090" i="1"/>
  <c r="B14090" i="1" s="1"/>
  <c r="C14091" i="1"/>
  <c r="F14091" i="1"/>
  <c r="B14091" i="1" s="1"/>
  <c r="C14092" i="1"/>
  <c r="F14092" i="1"/>
  <c r="B14092" i="1" s="1"/>
  <c r="C14093" i="1"/>
  <c r="F14093" i="1"/>
  <c r="B14093" i="1" s="1"/>
  <c r="C14094" i="1"/>
  <c r="F14094" i="1"/>
  <c r="B14094" i="1" s="1"/>
  <c r="C14095" i="1"/>
  <c r="F14095" i="1"/>
  <c r="B14095" i="1" s="1"/>
  <c r="C14096" i="1"/>
  <c r="F14096" i="1"/>
  <c r="B14096" i="1" s="1"/>
  <c r="C14097" i="1"/>
  <c r="F14097" i="1"/>
  <c r="B14097" i="1" s="1"/>
  <c r="C14098" i="1"/>
  <c r="F14098" i="1"/>
  <c r="B14098" i="1" s="1"/>
  <c r="C14099" i="1"/>
  <c r="F14099" i="1"/>
  <c r="B14099" i="1" s="1"/>
  <c r="C14100" i="1"/>
  <c r="F14100" i="1"/>
  <c r="B14100" i="1" s="1"/>
  <c r="C14101" i="1"/>
  <c r="F14101" i="1"/>
  <c r="B14101" i="1" s="1"/>
  <c r="C14102" i="1"/>
  <c r="F14102" i="1"/>
  <c r="B14102" i="1" s="1"/>
  <c r="C14103" i="1"/>
  <c r="F14103" i="1"/>
  <c r="B14103" i="1" s="1"/>
  <c r="C14104" i="1"/>
  <c r="F14104" i="1"/>
  <c r="B14104" i="1" s="1"/>
  <c r="C14105" i="1"/>
  <c r="F14105" i="1"/>
  <c r="B14105" i="1" s="1"/>
  <c r="C14106" i="1"/>
  <c r="F14106" i="1"/>
  <c r="B14106" i="1" s="1"/>
  <c r="C14107" i="1"/>
  <c r="F14107" i="1"/>
  <c r="B14107" i="1" s="1"/>
  <c r="C14108" i="1"/>
  <c r="F14108" i="1"/>
  <c r="B14108" i="1" s="1"/>
  <c r="C14109" i="1"/>
  <c r="F14109" i="1"/>
  <c r="B14109" i="1" s="1"/>
  <c r="C14110" i="1"/>
  <c r="F14110" i="1"/>
  <c r="B14110" i="1" s="1"/>
  <c r="C14111" i="1"/>
  <c r="F14111" i="1"/>
  <c r="B14111" i="1" s="1"/>
  <c r="C14112" i="1"/>
  <c r="F14112" i="1"/>
  <c r="B14112" i="1" s="1"/>
  <c r="C14113" i="1"/>
  <c r="F14113" i="1"/>
  <c r="B14113" i="1" s="1"/>
  <c r="C14114" i="1"/>
  <c r="F14114" i="1"/>
  <c r="B14114" i="1" s="1"/>
  <c r="C14115" i="1"/>
  <c r="F14115" i="1"/>
  <c r="B14115" i="1" s="1"/>
  <c r="C14116" i="1"/>
  <c r="F14116" i="1"/>
  <c r="B14116" i="1" s="1"/>
  <c r="C14117" i="1"/>
  <c r="F14117" i="1"/>
  <c r="B14117" i="1" s="1"/>
  <c r="C14118" i="1"/>
  <c r="F14118" i="1"/>
  <c r="B14118" i="1" s="1"/>
  <c r="C14119" i="1"/>
  <c r="F14119" i="1"/>
  <c r="B14119" i="1" s="1"/>
  <c r="C14120" i="1"/>
  <c r="F14120" i="1"/>
  <c r="B14120" i="1" s="1"/>
  <c r="C14121" i="1"/>
  <c r="F14121" i="1"/>
  <c r="B14121" i="1" s="1"/>
  <c r="C14122" i="1"/>
  <c r="F14122" i="1"/>
  <c r="B14122" i="1" s="1"/>
  <c r="C14123" i="1"/>
  <c r="F14123" i="1"/>
  <c r="B14123" i="1" s="1"/>
  <c r="C14124" i="1"/>
  <c r="F14124" i="1"/>
  <c r="B14124" i="1" s="1"/>
  <c r="C14125" i="1"/>
  <c r="F14125" i="1"/>
  <c r="B14125" i="1" s="1"/>
  <c r="C14126" i="1"/>
  <c r="F14126" i="1"/>
  <c r="B14126" i="1" s="1"/>
  <c r="C14127" i="1"/>
  <c r="F14127" i="1"/>
  <c r="B14127" i="1" s="1"/>
  <c r="C14128" i="1"/>
  <c r="F14128" i="1"/>
  <c r="B14128" i="1" s="1"/>
  <c r="C14129" i="1"/>
  <c r="F14129" i="1"/>
  <c r="B14129" i="1" s="1"/>
  <c r="C14130" i="1"/>
  <c r="F14130" i="1"/>
  <c r="B14130" i="1" s="1"/>
  <c r="C14131" i="1"/>
  <c r="F14131" i="1"/>
  <c r="B14131" i="1" s="1"/>
  <c r="C14132" i="1"/>
  <c r="F14132" i="1"/>
  <c r="B14132" i="1" s="1"/>
  <c r="C14133" i="1"/>
  <c r="F14133" i="1"/>
  <c r="B14133" i="1" s="1"/>
  <c r="C14134" i="1"/>
  <c r="F14134" i="1"/>
  <c r="B14134" i="1" s="1"/>
  <c r="C14135" i="1"/>
  <c r="F14135" i="1"/>
  <c r="B14135" i="1" s="1"/>
  <c r="C14136" i="1"/>
  <c r="F14136" i="1"/>
  <c r="B14136" i="1" s="1"/>
  <c r="C14137" i="1"/>
  <c r="F14137" i="1"/>
  <c r="B14137" i="1" s="1"/>
  <c r="C14138" i="1"/>
  <c r="F14138" i="1"/>
  <c r="B14138" i="1" s="1"/>
  <c r="C14139" i="1"/>
  <c r="F14139" i="1"/>
  <c r="B14139" i="1" s="1"/>
  <c r="C14140" i="1"/>
  <c r="F14140" i="1"/>
  <c r="B14140" i="1" s="1"/>
  <c r="C14141" i="1"/>
  <c r="F14141" i="1"/>
  <c r="B14141" i="1" s="1"/>
  <c r="C14142" i="1"/>
  <c r="F14142" i="1"/>
  <c r="B14142" i="1" s="1"/>
  <c r="C14143" i="1"/>
  <c r="F14143" i="1"/>
  <c r="B14143" i="1" s="1"/>
  <c r="C14144" i="1"/>
  <c r="F14144" i="1"/>
  <c r="B14144" i="1" s="1"/>
  <c r="C14145" i="1"/>
  <c r="F14145" i="1"/>
  <c r="B14145" i="1" s="1"/>
  <c r="C14146" i="1"/>
  <c r="F14146" i="1"/>
  <c r="B14146" i="1" s="1"/>
  <c r="C14147" i="1"/>
  <c r="F14147" i="1"/>
  <c r="B14147" i="1" s="1"/>
  <c r="C14148" i="1"/>
  <c r="F14148" i="1"/>
  <c r="B14148" i="1" s="1"/>
  <c r="C14149" i="1"/>
  <c r="F14149" i="1"/>
  <c r="B14149" i="1" s="1"/>
  <c r="C14150" i="1"/>
  <c r="F14150" i="1"/>
  <c r="B14150" i="1" s="1"/>
  <c r="C14151" i="1"/>
  <c r="F14151" i="1"/>
  <c r="B14151" i="1" s="1"/>
  <c r="C14152" i="1"/>
  <c r="F14152" i="1"/>
  <c r="B14152" i="1" s="1"/>
  <c r="C14153" i="1"/>
  <c r="F14153" i="1"/>
  <c r="B14153" i="1" s="1"/>
  <c r="C14154" i="1"/>
  <c r="F14154" i="1"/>
  <c r="B14154" i="1" s="1"/>
  <c r="C14155" i="1"/>
  <c r="F14155" i="1"/>
  <c r="B14155" i="1" s="1"/>
  <c r="C14156" i="1"/>
  <c r="F14156" i="1"/>
  <c r="B14156" i="1" s="1"/>
  <c r="C14157" i="1"/>
  <c r="F14157" i="1"/>
  <c r="B14157" i="1" s="1"/>
  <c r="C14158" i="1"/>
  <c r="F14158" i="1"/>
  <c r="B14158" i="1" s="1"/>
  <c r="C14159" i="1"/>
  <c r="F14159" i="1"/>
  <c r="B14159" i="1" s="1"/>
  <c r="C14160" i="1"/>
  <c r="F14160" i="1"/>
  <c r="B14160" i="1" s="1"/>
  <c r="C14161" i="1"/>
  <c r="F14161" i="1"/>
  <c r="B14161" i="1" s="1"/>
  <c r="C14162" i="1"/>
  <c r="F14162" i="1"/>
  <c r="B14162" i="1" s="1"/>
  <c r="C14163" i="1"/>
  <c r="F14163" i="1"/>
  <c r="B14163" i="1" s="1"/>
  <c r="C14164" i="1"/>
  <c r="F14164" i="1"/>
  <c r="B14164" i="1" s="1"/>
  <c r="C14165" i="1"/>
  <c r="F14165" i="1"/>
  <c r="B14165" i="1" s="1"/>
  <c r="C14166" i="1"/>
  <c r="F14166" i="1"/>
  <c r="B14166" i="1" s="1"/>
  <c r="C14167" i="1"/>
  <c r="F14167" i="1"/>
  <c r="B14167" i="1" s="1"/>
  <c r="C14168" i="1"/>
  <c r="F14168" i="1"/>
  <c r="B14168" i="1" s="1"/>
  <c r="C14169" i="1"/>
  <c r="F14169" i="1"/>
  <c r="B14169" i="1" s="1"/>
  <c r="C14170" i="1"/>
  <c r="F14170" i="1"/>
  <c r="B14170" i="1" s="1"/>
  <c r="C14171" i="1"/>
  <c r="F14171" i="1"/>
  <c r="B14171" i="1" s="1"/>
  <c r="C14172" i="1"/>
  <c r="F14172" i="1"/>
  <c r="B14172" i="1" s="1"/>
  <c r="C14173" i="1"/>
  <c r="F14173" i="1"/>
  <c r="B14173" i="1" s="1"/>
  <c r="C14174" i="1"/>
  <c r="F14174" i="1"/>
  <c r="B14174" i="1" s="1"/>
  <c r="C14175" i="1"/>
  <c r="F14175" i="1"/>
  <c r="B14175" i="1" s="1"/>
  <c r="C14176" i="1"/>
  <c r="F14176" i="1"/>
  <c r="B14176" i="1" s="1"/>
  <c r="C14177" i="1"/>
  <c r="F14177" i="1"/>
  <c r="B14177" i="1" s="1"/>
  <c r="C14178" i="1"/>
  <c r="F14178" i="1"/>
  <c r="B14178" i="1" s="1"/>
  <c r="C14179" i="1"/>
  <c r="F14179" i="1"/>
  <c r="B14179" i="1" s="1"/>
  <c r="C14180" i="1"/>
  <c r="F14180" i="1"/>
  <c r="B14180" i="1" s="1"/>
  <c r="C14181" i="1"/>
  <c r="F14181" i="1"/>
  <c r="B14181" i="1" s="1"/>
  <c r="C14182" i="1"/>
  <c r="F14182" i="1"/>
  <c r="B14182" i="1" s="1"/>
  <c r="C14183" i="1"/>
  <c r="F14183" i="1"/>
  <c r="B14183" i="1" s="1"/>
  <c r="C14184" i="1"/>
  <c r="F14184" i="1"/>
  <c r="B14184" i="1" s="1"/>
  <c r="C14185" i="1"/>
  <c r="F14185" i="1"/>
  <c r="B14185" i="1" s="1"/>
  <c r="C14186" i="1"/>
  <c r="F14186" i="1"/>
  <c r="B14186" i="1" s="1"/>
  <c r="C14187" i="1"/>
  <c r="F14187" i="1"/>
  <c r="B14187" i="1" s="1"/>
  <c r="C14188" i="1"/>
  <c r="F14188" i="1"/>
  <c r="B14188" i="1" s="1"/>
  <c r="C14189" i="1"/>
  <c r="F14189" i="1"/>
  <c r="B14189" i="1" s="1"/>
  <c r="C14190" i="1"/>
  <c r="F14190" i="1"/>
  <c r="B14190" i="1" s="1"/>
  <c r="C14191" i="1"/>
  <c r="F14191" i="1"/>
  <c r="B14191" i="1" s="1"/>
  <c r="C14192" i="1"/>
  <c r="F14192" i="1"/>
  <c r="B14192" i="1" s="1"/>
  <c r="C14193" i="1"/>
  <c r="F14193" i="1"/>
  <c r="B14193" i="1" s="1"/>
  <c r="C14194" i="1"/>
  <c r="F14194" i="1"/>
  <c r="B14194" i="1" s="1"/>
  <c r="C14195" i="1"/>
  <c r="F14195" i="1"/>
  <c r="B14195" i="1" s="1"/>
  <c r="C14196" i="1"/>
  <c r="F14196" i="1"/>
  <c r="B14196" i="1" s="1"/>
  <c r="C14197" i="1"/>
  <c r="F14197" i="1"/>
  <c r="B14197" i="1" s="1"/>
  <c r="C14198" i="1"/>
  <c r="F14198" i="1"/>
  <c r="B14198" i="1" s="1"/>
  <c r="C14199" i="1"/>
  <c r="F14199" i="1"/>
  <c r="B14199" i="1" s="1"/>
  <c r="C14200" i="1"/>
  <c r="F14200" i="1"/>
  <c r="B14200" i="1" s="1"/>
  <c r="C14201" i="1"/>
  <c r="F14201" i="1"/>
  <c r="B14201" i="1" s="1"/>
  <c r="C14202" i="1"/>
  <c r="F14202" i="1"/>
  <c r="B14202" i="1" s="1"/>
  <c r="C14203" i="1"/>
  <c r="F14203" i="1"/>
  <c r="B14203" i="1" s="1"/>
  <c r="C14204" i="1"/>
  <c r="F14204" i="1"/>
  <c r="B14204" i="1" s="1"/>
  <c r="C14205" i="1"/>
  <c r="F14205" i="1"/>
  <c r="B14205" i="1" s="1"/>
  <c r="C14206" i="1"/>
  <c r="F14206" i="1"/>
  <c r="B14206" i="1" s="1"/>
  <c r="C14207" i="1"/>
  <c r="F14207" i="1"/>
  <c r="B14207" i="1" s="1"/>
  <c r="C14208" i="1"/>
  <c r="F14208" i="1"/>
  <c r="B14208" i="1" s="1"/>
  <c r="C14209" i="1"/>
  <c r="F14209" i="1"/>
  <c r="B14209" i="1" s="1"/>
  <c r="C14210" i="1"/>
  <c r="F14210" i="1"/>
  <c r="B14210" i="1" s="1"/>
  <c r="C14211" i="1"/>
  <c r="F14211" i="1"/>
  <c r="B14211" i="1" s="1"/>
  <c r="C14212" i="1"/>
  <c r="F14212" i="1"/>
  <c r="B14212" i="1" s="1"/>
  <c r="C14213" i="1"/>
  <c r="F14213" i="1"/>
  <c r="B14213" i="1" s="1"/>
  <c r="C14214" i="1"/>
  <c r="F14214" i="1"/>
  <c r="B14214" i="1" s="1"/>
  <c r="C14215" i="1"/>
  <c r="F14215" i="1"/>
  <c r="B14215" i="1" s="1"/>
  <c r="C14216" i="1"/>
  <c r="F14216" i="1"/>
  <c r="B14216" i="1" s="1"/>
  <c r="C14217" i="1"/>
  <c r="F14217" i="1"/>
  <c r="B14217" i="1" s="1"/>
  <c r="C14218" i="1"/>
  <c r="F14218" i="1"/>
  <c r="B14218" i="1" s="1"/>
  <c r="C14219" i="1"/>
  <c r="F14219" i="1"/>
  <c r="B14219" i="1" s="1"/>
  <c r="C14220" i="1"/>
  <c r="F14220" i="1"/>
  <c r="B14220" i="1" s="1"/>
  <c r="C14221" i="1"/>
  <c r="F14221" i="1"/>
  <c r="B14221" i="1" s="1"/>
  <c r="C14222" i="1"/>
  <c r="F14222" i="1"/>
  <c r="B14222" i="1" s="1"/>
  <c r="C14223" i="1"/>
  <c r="F14223" i="1"/>
  <c r="B14223" i="1" s="1"/>
  <c r="C14224" i="1"/>
  <c r="F14224" i="1"/>
  <c r="B14224" i="1" s="1"/>
  <c r="C14225" i="1"/>
  <c r="F14225" i="1"/>
  <c r="B14225" i="1" s="1"/>
  <c r="C14226" i="1"/>
  <c r="F14226" i="1"/>
  <c r="B14226" i="1" s="1"/>
  <c r="C14227" i="1"/>
  <c r="F14227" i="1"/>
  <c r="B14227" i="1" s="1"/>
  <c r="C14228" i="1"/>
  <c r="F14228" i="1"/>
  <c r="B14228" i="1" s="1"/>
  <c r="C14229" i="1"/>
  <c r="F14229" i="1"/>
  <c r="B14229" i="1" s="1"/>
  <c r="C14230" i="1"/>
  <c r="F14230" i="1"/>
  <c r="B14230" i="1" s="1"/>
  <c r="C14231" i="1"/>
  <c r="F14231" i="1"/>
  <c r="B14231" i="1" s="1"/>
  <c r="C14232" i="1"/>
  <c r="F14232" i="1"/>
  <c r="B14232" i="1" s="1"/>
  <c r="C14233" i="1"/>
  <c r="F14233" i="1"/>
  <c r="B14233" i="1" s="1"/>
  <c r="C14234" i="1"/>
  <c r="F14234" i="1"/>
  <c r="B14234" i="1" s="1"/>
  <c r="C14235" i="1"/>
  <c r="F14235" i="1"/>
  <c r="B14235" i="1" s="1"/>
  <c r="C14236" i="1"/>
  <c r="F14236" i="1"/>
  <c r="B14236" i="1" s="1"/>
  <c r="C14237" i="1"/>
  <c r="F14237" i="1"/>
  <c r="B14237" i="1" s="1"/>
  <c r="C14238" i="1"/>
  <c r="F14238" i="1"/>
  <c r="B14238" i="1" s="1"/>
  <c r="C14239" i="1"/>
  <c r="F14239" i="1"/>
  <c r="B14239" i="1" s="1"/>
  <c r="C14240" i="1"/>
  <c r="F14240" i="1"/>
  <c r="B14240" i="1" s="1"/>
  <c r="C14241" i="1"/>
  <c r="F14241" i="1"/>
  <c r="B14241" i="1" s="1"/>
  <c r="C14242" i="1"/>
  <c r="F14242" i="1"/>
  <c r="B14242" i="1" s="1"/>
  <c r="C14243" i="1"/>
  <c r="F14243" i="1"/>
  <c r="B14243" i="1" s="1"/>
  <c r="C14244" i="1"/>
  <c r="F14244" i="1"/>
  <c r="B14244" i="1" s="1"/>
  <c r="C14245" i="1"/>
  <c r="F14245" i="1"/>
  <c r="B14245" i="1" s="1"/>
  <c r="C14246" i="1"/>
  <c r="F14246" i="1"/>
  <c r="B14246" i="1" s="1"/>
  <c r="C14247" i="1"/>
  <c r="F14247" i="1"/>
  <c r="B14247" i="1" s="1"/>
  <c r="C14248" i="1"/>
  <c r="F14248" i="1"/>
  <c r="B14248" i="1" s="1"/>
  <c r="C14249" i="1"/>
  <c r="F14249" i="1"/>
  <c r="B14249" i="1" s="1"/>
  <c r="C14250" i="1"/>
  <c r="F14250" i="1"/>
  <c r="B14250" i="1" s="1"/>
  <c r="C14251" i="1"/>
  <c r="F14251" i="1"/>
  <c r="B14251" i="1" s="1"/>
  <c r="C14252" i="1"/>
  <c r="F14252" i="1"/>
  <c r="B14252" i="1" s="1"/>
  <c r="C14253" i="1"/>
  <c r="F14253" i="1"/>
  <c r="B14253" i="1" s="1"/>
  <c r="C14254" i="1"/>
  <c r="F14254" i="1"/>
  <c r="B14254" i="1" s="1"/>
  <c r="C14255" i="1"/>
  <c r="F14255" i="1"/>
  <c r="B14255" i="1" s="1"/>
  <c r="C14256" i="1"/>
  <c r="F14256" i="1"/>
  <c r="B14256" i="1" s="1"/>
  <c r="C14257" i="1"/>
  <c r="F14257" i="1"/>
  <c r="B14257" i="1" s="1"/>
  <c r="C14258" i="1"/>
  <c r="F14258" i="1"/>
  <c r="B14258" i="1" s="1"/>
  <c r="C14259" i="1"/>
  <c r="F14259" i="1"/>
  <c r="B14259" i="1" s="1"/>
  <c r="C14260" i="1"/>
  <c r="F14260" i="1"/>
  <c r="B14260" i="1" s="1"/>
  <c r="C14261" i="1"/>
  <c r="F14261" i="1"/>
  <c r="B14261" i="1" s="1"/>
  <c r="C14262" i="1"/>
  <c r="F14262" i="1"/>
  <c r="B14262" i="1" s="1"/>
  <c r="C14263" i="1"/>
  <c r="F14263" i="1"/>
  <c r="B14263" i="1" s="1"/>
  <c r="C14264" i="1"/>
  <c r="F14264" i="1"/>
  <c r="B14264" i="1" s="1"/>
  <c r="C14265" i="1"/>
  <c r="F14265" i="1"/>
  <c r="B14265" i="1" s="1"/>
  <c r="C14266" i="1"/>
  <c r="F14266" i="1"/>
  <c r="B14266" i="1" s="1"/>
  <c r="C14267" i="1"/>
  <c r="F14267" i="1"/>
  <c r="B14267" i="1" s="1"/>
  <c r="C14268" i="1"/>
  <c r="F14268" i="1"/>
  <c r="B14268" i="1" s="1"/>
  <c r="C14269" i="1"/>
  <c r="F14269" i="1"/>
  <c r="B14269" i="1" s="1"/>
  <c r="C14270" i="1"/>
  <c r="F14270" i="1"/>
  <c r="B14270" i="1" s="1"/>
  <c r="C14271" i="1"/>
  <c r="F14271" i="1"/>
  <c r="B14271" i="1" s="1"/>
  <c r="C14272" i="1"/>
  <c r="F14272" i="1"/>
  <c r="B14272" i="1" s="1"/>
  <c r="C14273" i="1"/>
  <c r="F14273" i="1"/>
  <c r="B14273" i="1" s="1"/>
  <c r="C14274" i="1"/>
  <c r="F14274" i="1"/>
  <c r="B14274" i="1" s="1"/>
  <c r="C14275" i="1"/>
  <c r="F14275" i="1"/>
  <c r="B14275" i="1" s="1"/>
  <c r="C14276" i="1"/>
  <c r="F14276" i="1"/>
  <c r="B14276" i="1" s="1"/>
  <c r="C14277" i="1"/>
  <c r="F14277" i="1"/>
  <c r="B14277" i="1" s="1"/>
  <c r="C14278" i="1"/>
  <c r="F14278" i="1"/>
  <c r="B14278" i="1" s="1"/>
  <c r="C14279" i="1"/>
  <c r="F14279" i="1"/>
  <c r="B14279" i="1" s="1"/>
  <c r="C14280" i="1"/>
  <c r="F14280" i="1"/>
  <c r="B14280" i="1" s="1"/>
  <c r="C14281" i="1"/>
  <c r="F14281" i="1"/>
  <c r="B14281" i="1" s="1"/>
  <c r="C14282" i="1"/>
  <c r="F14282" i="1"/>
  <c r="B14282" i="1" s="1"/>
  <c r="C14283" i="1"/>
  <c r="F14283" i="1"/>
  <c r="B14283" i="1" s="1"/>
  <c r="C14284" i="1"/>
  <c r="F14284" i="1"/>
  <c r="B14284" i="1" s="1"/>
  <c r="C14285" i="1"/>
  <c r="F14285" i="1"/>
  <c r="B14285" i="1" s="1"/>
  <c r="C14286" i="1"/>
  <c r="F14286" i="1"/>
  <c r="B14286" i="1" s="1"/>
  <c r="C14287" i="1"/>
  <c r="F14287" i="1"/>
  <c r="B14287" i="1" s="1"/>
  <c r="C14288" i="1"/>
  <c r="F14288" i="1"/>
  <c r="B14288" i="1" s="1"/>
  <c r="C14289" i="1"/>
  <c r="F14289" i="1"/>
  <c r="B14289" i="1" s="1"/>
  <c r="C14290" i="1"/>
  <c r="F14290" i="1"/>
  <c r="B14290" i="1" s="1"/>
  <c r="C14291" i="1"/>
  <c r="F14291" i="1"/>
  <c r="B14291" i="1" s="1"/>
  <c r="C14292" i="1"/>
  <c r="F14292" i="1"/>
  <c r="B14292" i="1" s="1"/>
  <c r="C14293" i="1"/>
  <c r="F14293" i="1"/>
  <c r="B14293" i="1" s="1"/>
  <c r="C14294" i="1"/>
  <c r="F14294" i="1"/>
  <c r="B14294" i="1" s="1"/>
  <c r="C14295" i="1"/>
  <c r="F14295" i="1"/>
  <c r="B14295" i="1" s="1"/>
  <c r="C14296" i="1"/>
  <c r="F14296" i="1"/>
  <c r="B14296" i="1" s="1"/>
  <c r="C14297" i="1"/>
  <c r="F14297" i="1"/>
  <c r="B14297" i="1" s="1"/>
  <c r="C14298" i="1"/>
  <c r="F14298" i="1"/>
  <c r="B14298" i="1" s="1"/>
  <c r="C14299" i="1"/>
  <c r="F14299" i="1"/>
  <c r="B14299" i="1" s="1"/>
  <c r="C14300" i="1"/>
  <c r="F14300" i="1"/>
  <c r="B14300" i="1" s="1"/>
  <c r="C14301" i="1"/>
  <c r="F14301" i="1"/>
  <c r="B14301" i="1" s="1"/>
  <c r="C14302" i="1"/>
  <c r="F14302" i="1"/>
  <c r="B14302" i="1" s="1"/>
  <c r="C14303" i="1"/>
  <c r="F14303" i="1"/>
  <c r="B14303" i="1" s="1"/>
  <c r="C14304" i="1"/>
  <c r="F14304" i="1"/>
  <c r="B14304" i="1" s="1"/>
  <c r="C14305" i="1"/>
  <c r="F14305" i="1"/>
  <c r="B14305" i="1" s="1"/>
  <c r="C14306" i="1"/>
  <c r="F14306" i="1"/>
  <c r="B14306" i="1" s="1"/>
  <c r="C14307" i="1"/>
  <c r="F14307" i="1"/>
  <c r="B14307" i="1" s="1"/>
  <c r="C14308" i="1"/>
  <c r="F14308" i="1"/>
  <c r="B14308" i="1" s="1"/>
  <c r="C14309" i="1"/>
  <c r="F14309" i="1"/>
  <c r="B14309" i="1" s="1"/>
  <c r="C14310" i="1"/>
  <c r="F14310" i="1"/>
  <c r="B14310" i="1" s="1"/>
  <c r="C14311" i="1"/>
  <c r="F14311" i="1"/>
  <c r="B14311" i="1" s="1"/>
  <c r="C14312" i="1"/>
  <c r="F14312" i="1"/>
  <c r="B14312" i="1" s="1"/>
  <c r="C14313" i="1"/>
  <c r="F14313" i="1"/>
  <c r="B14313" i="1" s="1"/>
  <c r="C14314" i="1"/>
  <c r="F14314" i="1"/>
  <c r="B14314" i="1" s="1"/>
  <c r="C14315" i="1"/>
  <c r="F14315" i="1"/>
  <c r="B14315" i="1" s="1"/>
  <c r="C14316" i="1"/>
  <c r="F14316" i="1"/>
  <c r="B14316" i="1" s="1"/>
  <c r="C14317" i="1"/>
  <c r="F14317" i="1"/>
  <c r="B14317" i="1" s="1"/>
  <c r="C14318" i="1"/>
  <c r="F14318" i="1"/>
  <c r="B14318" i="1" s="1"/>
  <c r="C14319" i="1"/>
  <c r="F14319" i="1"/>
  <c r="B14319" i="1" s="1"/>
  <c r="C14320" i="1"/>
  <c r="F14320" i="1"/>
  <c r="B14320" i="1" s="1"/>
  <c r="C14321" i="1"/>
  <c r="F14321" i="1"/>
  <c r="B14321" i="1" s="1"/>
  <c r="C14322" i="1"/>
  <c r="F14322" i="1"/>
  <c r="B14322" i="1" s="1"/>
  <c r="C14323" i="1"/>
  <c r="F14323" i="1"/>
  <c r="B14323" i="1" s="1"/>
  <c r="C14324" i="1"/>
  <c r="F14324" i="1"/>
  <c r="B14324" i="1" s="1"/>
  <c r="C14325" i="1"/>
  <c r="F14325" i="1"/>
  <c r="B14325" i="1" s="1"/>
  <c r="C14326" i="1"/>
  <c r="F14326" i="1"/>
  <c r="B14326" i="1" s="1"/>
  <c r="C14327" i="1"/>
  <c r="F14327" i="1"/>
  <c r="B14327" i="1" s="1"/>
  <c r="C14328" i="1"/>
  <c r="F14328" i="1"/>
  <c r="B14328" i="1" s="1"/>
  <c r="C14329" i="1"/>
  <c r="F14329" i="1"/>
  <c r="B14329" i="1" s="1"/>
  <c r="C14330" i="1"/>
  <c r="F14330" i="1"/>
  <c r="B14330" i="1" s="1"/>
  <c r="C14331" i="1"/>
  <c r="F14331" i="1"/>
  <c r="B14331" i="1" s="1"/>
  <c r="C14332" i="1"/>
  <c r="F14332" i="1"/>
  <c r="B14332" i="1" s="1"/>
  <c r="C14333" i="1"/>
  <c r="F14333" i="1"/>
  <c r="B14333" i="1" s="1"/>
  <c r="C14334" i="1"/>
  <c r="F14334" i="1"/>
  <c r="B14334" i="1" s="1"/>
  <c r="C14335" i="1"/>
  <c r="F14335" i="1"/>
  <c r="B14335" i="1" s="1"/>
  <c r="C14336" i="1"/>
  <c r="F14336" i="1"/>
  <c r="B14336" i="1" s="1"/>
  <c r="C14337" i="1"/>
  <c r="F14337" i="1"/>
  <c r="B14337" i="1" s="1"/>
  <c r="C14338" i="1"/>
  <c r="F14338" i="1"/>
  <c r="B14338" i="1" s="1"/>
  <c r="C14339" i="1"/>
  <c r="F14339" i="1"/>
  <c r="B14339" i="1" s="1"/>
  <c r="C14340" i="1"/>
  <c r="F14340" i="1"/>
  <c r="B14340" i="1" s="1"/>
  <c r="C14341" i="1"/>
  <c r="F14341" i="1"/>
  <c r="B14341" i="1" s="1"/>
  <c r="C14342" i="1"/>
  <c r="F14342" i="1"/>
  <c r="B14342" i="1" s="1"/>
  <c r="C14343" i="1"/>
  <c r="F14343" i="1"/>
  <c r="B14343" i="1" s="1"/>
  <c r="C14344" i="1"/>
  <c r="F14344" i="1"/>
  <c r="B14344" i="1" s="1"/>
  <c r="C14345" i="1"/>
  <c r="F14345" i="1"/>
  <c r="B14345" i="1" s="1"/>
  <c r="C14346" i="1"/>
  <c r="F14346" i="1"/>
  <c r="B14346" i="1" s="1"/>
  <c r="C14347" i="1"/>
  <c r="F14347" i="1"/>
  <c r="B14347" i="1" s="1"/>
  <c r="C14348" i="1"/>
  <c r="F14348" i="1"/>
  <c r="B14348" i="1" s="1"/>
  <c r="C14349" i="1"/>
  <c r="F14349" i="1"/>
  <c r="B14349" i="1" s="1"/>
  <c r="C14350" i="1"/>
  <c r="F14350" i="1"/>
  <c r="B14350" i="1" s="1"/>
  <c r="C14351" i="1"/>
  <c r="F14351" i="1"/>
  <c r="B14351" i="1" s="1"/>
  <c r="C14352" i="1"/>
  <c r="F14352" i="1"/>
  <c r="B14352" i="1" s="1"/>
  <c r="C14353" i="1"/>
  <c r="F14353" i="1"/>
  <c r="B14353" i="1" s="1"/>
  <c r="C14354" i="1"/>
  <c r="F14354" i="1"/>
  <c r="B14354" i="1" s="1"/>
  <c r="C14355" i="1"/>
  <c r="F14355" i="1"/>
  <c r="B14355" i="1" s="1"/>
  <c r="C14356" i="1"/>
  <c r="F14356" i="1"/>
  <c r="B14356" i="1" s="1"/>
  <c r="C14357" i="1"/>
  <c r="F14357" i="1"/>
  <c r="B14357" i="1" s="1"/>
  <c r="C14358" i="1"/>
  <c r="F14358" i="1"/>
  <c r="B14358" i="1" s="1"/>
  <c r="C14359" i="1"/>
  <c r="F14359" i="1"/>
  <c r="B14359" i="1" s="1"/>
  <c r="C14360" i="1"/>
  <c r="F14360" i="1"/>
  <c r="B14360" i="1" s="1"/>
  <c r="C14361" i="1"/>
  <c r="F14361" i="1"/>
  <c r="B14361" i="1" s="1"/>
  <c r="C14362" i="1"/>
  <c r="F14362" i="1"/>
  <c r="B14362" i="1" s="1"/>
  <c r="C14363" i="1"/>
  <c r="F14363" i="1"/>
  <c r="B14363" i="1" s="1"/>
  <c r="C14364" i="1"/>
  <c r="F14364" i="1"/>
  <c r="B14364" i="1" s="1"/>
  <c r="C14365" i="1"/>
  <c r="F14365" i="1"/>
  <c r="B14365" i="1" s="1"/>
  <c r="C14366" i="1"/>
  <c r="F14366" i="1"/>
  <c r="B14366" i="1" s="1"/>
  <c r="C14367" i="1"/>
  <c r="F14367" i="1"/>
  <c r="B14367" i="1" s="1"/>
  <c r="C14368" i="1"/>
  <c r="F14368" i="1"/>
  <c r="B14368" i="1" s="1"/>
  <c r="C14369" i="1"/>
  <c r="F14369" i="1"/>
  <c r="B14369" i="1" s="1"/>
  <c r="C14370" i="1"/>
  <c r="F14370" i="1"/>
  <c r="B14370" i="1" s="1"/>
  <c r="C14371" i="1"/>
  <c r="F14371" i="1"/>
  <c r="B14371" i="1" s="1"/>
  <c r="C14372" i="1"/>
  <c r="F14372" i="1"/>
  <c r="B14372" i="1" s="1"/>
  <c r="C14373" i="1"/>
  <c r="F14373" i="1"/>
  <c r="B14373" i="1" s="1"/>
  <c r="C14374" i="1"/>
  <c r="F14374" i="1"/>
  <c r="B14374" i="1" s="1"/>
  <c r="C14375" i="1"/>
  <c r="F14375" i="1"/>
  <c r="B14375" i="1" s="1"/>
  <c r="C14376" i="1"/>
  <c r="F14376" i="1"/>
  <c r="B14376" i="1" s="1"/>
  <c r="C14377" i="1"/>
  <c r="F14377" i="1"/>
  <c r="B14377" i="1" s="1"/>
  <c r="C14378" i="1"/>
  <c r="F14378" i="1"/>
  <c r="B14378" i="1" s="1"/>
  <c r="C14379" i="1"/>
  <c r="F14379" i="1"/>
  <c r="B14379" i="1" s="1"/>
  <c r="C14380" i="1"/>
  <c r="F14380" i="1"/>
  <c r="B14380" i="1" s="1"/>
  <c r="C14381" i="1"/>
  <c r="F14381" i="1"/>
  <c r="B14381" i="1" s="1"/>
  <c r="C14382" i="1"/>
  <c r="F14382" i="1"/>
  <c r="B14382" i="1" s="1"/>
  <c r="C14383" i="1"/>
  <c r="F14383" i="1"/>
  <c r="B14383" i="1" s="1"/>
  <c r="C14384" i="1"/>
  <c r="F14384" i="1"/>
  <c r="B14384" i="1" s="1"/>
  <c r="C14385" i="1"/>
  <c r="F14385" i="1"/>
  <c r="B14385" i="1" s="1"/>
  <c r="C14386" i="1"/>
  <c r="F14386" i="1"/>
  <c r="B14386" i="1" s="1"/>
  <c r="C14387" i="1"/>
  <c r="F14387" i="1"/>
  <c r="B14387" i="1" s="1"/>
  <c r="C14388" i="1"/>
  <c r="F14388" i="1"/>
  <c r="B14388" i="1" s="1"/>
  <c r="C14389" i="1"/>
  <c r="F14389" i="1"/>
  <c r="B14389" i="1" s="1"/>
  <c r="C14390" i="1"/>
  <c r="F14390" i="1"/>
  <c r="B14390" i="1" s="1"/>
  <c r="C14391" i="1"/>
  <c r="F14391" i="1"/>
  <c r="B14391" i="1" s="1"/>
  <c r="C14392" i="1"/>
  <c r="F14392" i="1"/>
  <c r="B14392" i="1" s="1"/>
  <c r="C14393" i="1"/>
  <c r="F14393" i="1"/>
  <c r="B14393" i="1" s="1"/>
  <c r="C14394" i="1"/>
  <c r="F14394" i="1"/>
  <c r="B14394" i="1" s="1"/>
  <c r="C14395" i="1"/>
  <c r="F14395" i="1"/>
  <c r="B14395" i="1" s="1"/>
  <c r="C14396" i="1"/>
  <c r="F14396" i="1"/>
  <c r="B14396" i="1" s="1"/>
  <c r="C14397" i="1"/>
  <c r="F14397" i="1"/>
  <c r="B14397" i="1" s="1"/>
  <c r="C14398" i="1"/>
  <c r="F14398" i="1"/>
  <c r="B14398" i="1" s="1"/>
  <c r="C14399" i="1"/>
  <c r="F14399" i="1"/>
  <c r="B14399" i="1" s="1"/>
  <c r="C14400" i="1"/>
  <c r="F14400" i="1"/>
  <c r="B14400" i="1" s="1"/>
  <c r="C14401" i="1"/>
  <c r="F14401" i="1"/>
  <c r="B14401" i="1" s="1"/>
  <c r="C14402" i="1"/>
  <c r="F14402" i="1"/>
  <c r="B14402" i="1" s="1"/>
  <c r="C14403" i="1"/>
  <c r="F14403" i="1"/>
  <c r="B14403" i="1" s="1"/>
  <c r="C14404" i="1"/>
  <c r="F14404" i="1"/>
  <c r="B14404" i="1" s="1"/>
  <c r="C14405" i="1"/>
  <c r="F14405" i="1"/>
  <c r="B14405" i="1" s="1"/>
  <c r="C14406" i="1"/>
  <c r="F14406" i="1"/>
  <c r="B14406" i="1" s="1"/>
  <c r="C14407" i="1"/>
  <c r="F14407" i="1"/>
  <c r="B14407" i="1" s="1"/>
  <c r="C14408" i="1"/>
  <c r="F14408" i="1"/>
  <c r="B14408" i="1" s="1"/>
  <c r="C14409" i="1"/>
  <c r="F14409" i="1"/>
  <c r="B14409" i="1" s="1"/>
  <c r="C14410" i="1"/>
  <c r="F14410" i="1"/>
  <c r="B14410" i="1" s="1"/>
  <c r="C14411" i="1"/>
  <c r="F14411" i="1"/>
  <c r="B14411" i="1" s="1"/>
  <c r="C14412" i="1"/>
  <c r="F14412" i="1"/>
  <c r="B14412" i="1" s="1"/>
  <c r="C14413" i="1"/>
  <c r="F14413" i="1"/>
  <c r="B14413" i="1" s="1"/>
  <c r="C14414" i="1"/>
  <c r="F14414" i="1"/>
  <c r="B14414" i="1" s="1"/>
  <c r="C14415" i="1"/>
  <c r="F14415" i="1"/>
  <c r="B14415" i="1" s="1"/>
  <c r="C14416" i="1"/>
  <c r="F14416" i="1"/>
  <c r="B14416" i="1" s="1"/>
  <c r="C14417" i="1"/>
  <c r="F14417" i="1"/>
  <c r="B14417" i="1" s="1"/>
  <c r="C14418" i="1"/>
  <c r="F14418" i="1"/>
  <c r="B14418" i="1" s="1"/>
  <c r="C14419" i="1"/>
  <c r="F14419" i="1"/>
  <c r="B14419" i="1" s="1"/>
  <c r="C14420" i="1"/>
  <c r="F14420" i="1"/>
  <c r="B14420" i="1" s="1"/>
  <c r="C14421" i="1"/>
  <c r="F14421" i="1"/>
  <c r="B14421" i="1" s="1"/>
  <c r="C14422" i="1"/>
  <c r="F14422" i="1"/>
  <c r="B14422" i="1" s="1"/>
  <c r="C14423" i="1"/>
  <c r="F14423" i="1"/>
  <c r="B14423" i="1" s="1"/>
  <c r="C14424" i="1"/>
  <c r="F14424" i="1"/>
  <c r="B14424" i="1" s="1"/>
  <c r="C14425" i="1"/>
  <c r="F14425" i="1"/>
  <c r="B14425" i="1" s="1"/>
  <c r="C14426" i="1"/>
  <c r="F14426" i="1"/>
  <c r="B14426" i="1" s="1"/>
  <c r="C14427" i="1"/>
  <c r="F14427" i="1"/>
  <c r="B14427" i="1" s="1"/>
  <c r="C14428" i="1"/>
  <c r="F14428" i="1"/>
  <c r="B14428" i="1" s="1"/>
  <c r="C14429" i="1"/>
  <c r="F14429" i="1"/>
  <c r="B14429" i="1" s="1"/>
  <c r="C14430" i="1"/>
  <c r="F14430" i="1"/>
  <c r="B14430" i="1" s="1"/>
  <c r="C14431" i="1"/>
  <c r="F14431" i="1"/>
  <c r="B14431" i="1" s="1"/>
  <c r="C14432" i="1"/>
  <c r="F14432" i="1"/>
  <c r="B14432" i="1" s="1"/>
  <c r="C14433" i="1"/>
  <c r="F14433" i="1"/>
  <c r="B14433" i="1" s="1"/>
  <c r="C14434" i="1"/>
  <c r="F14434" i="1"/>
  <c r="B14434" i="1" s="1"/>
  <c r="C14435" i="1"/>
  <c r="F14435" i="1"/>
  <c r="B14435" i="1" s="1"/>
  <c r="C14436" i="1"/>
  <c r="F14436" i="1"/>
  <c r="B14436" i="1" s="1"/>
  <c r="C14437" i="1"/>
  <c r="F14437" i="1"/>
  <c r="B14437" i="1" s="1"/>
  <c r="C14438" i="1"/>
  <c r="F14438" i="1"/>
  <c r="B14438" i="1" s="1"/>
  <c r="C14439" i="1"/>
  <c r="F14439" i="1"/>
  <c r="B14439" i="1" s="1"/>
  <c r="C14440" i="1"/>
  <c r="F14440" i="1"/>
  <c r="B14440" i="1" s="1"/>
  <c r="C14441" i="1"/>
  <c r="F14441" i="1"/>
  <c r="B14441" i="1" s="1"/>
  <c r="C14442" i="1"/>
  <c r="F14442" i="1"/>
  <c r="B14442" i="1" s="1"/>
  <c r="C14443" i="1"/>
  <c r="F14443" i="1"/>
  <c r="B14443" i="1" s="1"/>
  <c r="C14444" i="1"/>
  <c r="F14444" i="1"/>
  <c r="B14444" i="1" s="1"/>
  <c r="C14445" i="1"/>
  <c r="F14445" i="1"/>
  <c r="B14445" i="1" s="1"/>
  <c r="C14446" i="1"/>
  <c r="F14446" i="1"/>
  <c r="B14446" i="1" s="1"/>
  <c r="C14447" i="1"/>
  <c r="F14447" i="1"/>
  <c r="B14447" i="1" s="1"/>
  <c r="C14448" i="1"/>
  <c r="F14448" i="1"/>
  <c r="B14448" i="1" s="1"/>
  <c r="C14449" i="1"/>
  <c r="F14449" i="1"/>
  <c r="B14449" i="1" s="1"/>
  <c r="C14450" i="1"/>
  <c r="F14450" i="1"/>
  <c r="B14450" i="1" s="1"/>
  <c r="C14451" i="1"/>
  <c r="F14451" i="1"/>
  <c r="B14451" i="1" s="1"/>
  <c r="C14452" i="1"/>
  <c r="F14452" i="1"/>
  <c r="B14452" i="1" s="1"/>
  <c r="C14453" i="1"/>
  <c r="F14453" i="1"/>
  <c r="B14453" i="1" s="1"/>
  <c r="C14454" i="1"/>
  <c r="F14454" i="1"/>
  <c r="B14454" i="1" s="1"/>
  <c r="C14455" i="1"/>
  <c r="F14455" i="1"/>
  <c r="B14455" i="1" s="1"/>
  <c r="C14456" i="1"/>
  <c r="F14456" i="1"/>
  <c r="B14456" i="1" s="1"/>
  <c r="C14457" i="1"/>
  <c r="F14457" i="1"/>
  <c r="B14457" i="1" s="1"/>
  <c r="C14458" i="1"/>
  <c r="F14458" i="1"/>
  <c r="B14458" i="1" s="1"/>
  <c r="C14459" i="1"/>
  <c r="F14459" i="1"/>
  <c r="B14459" i="1" s="1"/>
  <c r="C14460" i="1"/>
  <c r="F14460" i="1"/>
  <c r="B14460" i="1" s="1"/>
  <c r="C14461" i="1"/>
  <c r="F14461" i="1"/>
  <c r="B14461" i="1" s="1"/>
  <c r="C14462" i="1"/>
  <c r="F14462" i="1"/>
  <c r="B14462" i="1" s="1"/>
  <c r="C14463" i="1"/>
  <c r="F14463" i="1"/>
  <c r="B14463" i="1" s="1"/>
  <c r="C14464" i="1"/>
  <c r="F14464" i="1"/>
  <c r="B14464" i="1" s="1"/>
  <c r="C14465" i="1"/>
  <c r="F14465" i="1"/>
  <c r="B14465" i="1" s="1"/>
  <c r="C14466" i="1"/>
  <c r="F14466" i="1"/>
  <c r="B14466" i="1" s="1"/>
  <c r="C14467" i="1"/>
  <c r="F14467" i="1"/>
  <c r="B14467" i="1" s="1"/>
  <c r="C14468" i="1"/>
  <c r="F14468" i="1"/>
  <c r="B14468" i="1" s="1"/>
  <c r="C14469" i="1"/>
  <c r="F14469" i="1"/>
  <c r="B14469" i="1" s="1"/>
  <c r="C14470" i="1"/>
  <c r="F14470" i="1"/>
  <c r="B14470" i="1" s="1"/>
  <c r="C14471" i="1"/>
  <c r="F14471" i="1"/>
  <c r="B14471" i="1" s="1"/>
  <c r="C14472" i="1"/>
  <c r="F14472" i="1"/>
  <c r="B14472" i="1" s="1"/>
  <c r="C14473" i="1"/>
  <c r="F14473" i="1"/>
  <c r="B14473" i="1" s="1"/>
  <c r="C14474" i="1"/>
  <c r="F14474" i="1"/>
  <c r="B14474" i="1" s="1"/>
  <c r="C14475" i="1"/>
  <c r="F14475" i="1"/>
  <c r="B14475" i="1" s="1"/>
  <c r="C14476" i="1"/>
  <c r="F14476" i="1"/>
  <c r="B14476" i="1" s="1"/>
  <c r="C14477" i="1"/>
  <c r="F14477" i="1"/>
  <c r="B14477" i="1" s="1"/>
  <c r="C14478" i="1"/>
  <c r="F14478" i="1"/>
  <c r="B14478" i="1" s="1"/>
  <c r="C14479" i="1"/>
  <c r="F14479" i="1"/>
  <c r="B14479" i="1" s="1"/>
  <c r="C14480" i="1"/>
  <c r="F14480" i="1"/>
  <c r="B14480" i="1" s="1"/>
  <c r="C14481" i="1"/>
  <c r="F14481" i="1"/>
  <c r="B14481" i="1" s="1"/>
  <c r="C14482" i="1"/>
  <c r="F14482" i="1"/>
  <c r="B14482" i="1" s="1"/>
  <c r="C14483" i="1"/>
  <c r="F14483" i="1"/>
  <c r="B14483" i="1" s="1"/>
  <c r="C14484" i="1"/>
  <c r="F14484" i="1"/>
  <c r="B14484" i="1" s="1"/>
  <c r="C14485" i="1"/>
  <c r="F14485" i="1"/>
  <c r="B14485" i="1" s="1"/>
  <c r="C14486" i="1"/>
  <c r="F14486" i="1"/>
  <c r="B14486" i="1" s="1"/>
  <c r="C14487" i="1"/>
  <c r="F14487" i="1"/>
  <c r="B14487" i="1" s="1"/>
  <c r="C14488" i="1"/>
  <c r="F14488" i="1"/>
  <c r="B14488" i="1" s="1"/>
  <c r="C14489" i="1"/>
  <c r="F14489" i="1"/>
  <c r="B14489" i="1" s="1"/>
  <c r="C14490" i="1"/>
  <c r="F14490" i="1"/>
  <c r="B14490" i="1" s="1"/>
  <c r="C14491" i="1"/>
  <c r="F14491" i="1"/>
  <c r="B14491" i="1" s="1"/>
  <c r="C14492" i="1"/>
  <c r="F14492" i="1"/>
  <c r="B14492" i="1" s="1"/>
  <c r="C14493" i="1"/>
  <c r="F14493" i="1"/>
  <c r="B14493" i="1" s="1"/>
  <c r="C14494" i="1"/>
  <c r="F14494" i="1"/>
  <c r="B14494" i="1" s="1"/>
  <c r="C14495" i="1"/>
  <c r="F14495" i="1"/>
  <c r="B14495" i="1" s="1"/>
  <c r="C14496" i="1"/>
  <c r="F14496" i="1"/>
  <c r="B14496" i="1" s="1"/>
  <c r="C14497" i="1"/>
  <c r="F14497" i="1"/>
  <c r="B14497" i="1" s="1"/>
  <c r="C14498" i="1"/>
  <c r="F14498" i="1"/>
  <c r="B14498" i="1" s="1"/>
  <c r="C14499" i="1"/>
  <c r="F14499" i="1"/>
  <c r="B14499" i="1" s="1"/>
  <c r="C14500" i="1"/>
  <c r="F14500" i="1"/>
  <c r="B14500" i="1" s="1"/>
  <c r="C14501" i="1"/>
  <c r="F14501" i="1"/>
  <c r="B14501" i="1" s="1"/>
  <c r="C14502" i="1"/>
  <c r="F14502" i="1"/>
  <c r="B14502" i="1" s="1"/>
  <c r="C14503" i="1"/>
  <c r="F14503" i="1"/>
  <c r="B14503" i="1" s="1"/>
  <c r="C14504" i="1"/>
  <c r="F14504" i="1"/>
  <c r="B14504" i="1" s="1"/>
  <c r="C14505" i="1"/>
  <c r="F14505" i="1"/>
  <c r="B14505" i="1" s="1"/>
  <c r="C14506" i="1"/>
  <c r="F14506" i="1"/>
  <c r="B14506" i="1" s="1"/>
  <c r="C14507" i="1"/>
  <c r="F14507" i="1"/>
  <c r="B14507" i="1" s="1"/>
  <c r="C14508" i="1"/>
  <c r="F14508" i="1"/>
  <c r="B14508" i="1" s="1"/>
  <c r="C14509" i="1"/>
  <c r="F14509" i="1"/>
  <c r="B14509" i="1" s="1"/>
  <c r="C14510" i="1"/>
  <c r="F14510" i="1"/>
  <c r="B14510" i="1" s="1"/>
  <c r="C14511" i="1"/>
  <c r="F14511" i="1"/>
  <c r="B14511" i="1" s="1"/>
  <c r="C14512" i="1"/>
  <c r="F14512" i="1"/>
  <c r="B14512" i="1" s="1"/>
  <c r="C14513" i="1"/>
  <c r="F14513" i="1"/>
  <c r="B14513" i="1" s="1"/>
  <c r="C14514" i="1"/>
  <c r="F14514" i="1"/>
  <c r="B14514" i="1" s="1"/>
  <c r="C14515" i="1"/>
  <c r="F14515" i="1"/>
  <c r="B14515" i="1" s="1"/>
  <c r="C14516" i="1"/>
  <c r="F14516" i="1"/>
  <c r="B14516" i="1" s="1"/>
  <c r="C14517" i="1"/>
  <c r="F14517" i="1"/>
  <c r="B14517" i="1" s="1"/>
  <c r="C14518" i="1"/>
  <c r="F14518" i="1"/>
  <c r="B14518" i="1" s="1"/>
  <c r="C14519" i="1"/>
  <c r="F14519" i="1"/>
  <c r="B14519" i="1" s="1"/>
  <c r="C14520" i="1"/>
  <c r="F14520" i="1"/>
  <c r="B14520" i="1" s="1"/>
  <c r="C14521" i="1"/>
  <c r="F14521" i="1"/>
  <c r="B14521" i="1" s="1"/>
  <c r="C14522" i="1"/>
  <c r="F14522" i="1"/>
  <c r="B14522" i="1" s="1"/>
  <c r="C14523" i="1"/>
  <c r="F14523" i="1"/>
  <c r="B14523" i="1" s="1"/>
  <c r="C14524" i="1"/>
  <c r="F14524" i="1"/>
  <c r="B14524" i="1" s="1"/>
  <c r="C14525" i="1"/>
  <c r="F14525" i="1"/>
  <c r="B14525" i="1" s="1"/>
  <c r="C14526" i="1"/>
  <c r="F14526" i="1"/>
  <c r="B14526" i="1" s="1"/>
  <c r="C14527" i="1"/>
  <c r="F14527" i="1"/>
  <c r="B14527" i="1" s="1"/>
  <c r="C14528" i="1"/>
  <c r="F14528" i="1"/>
  <c r="B14528" i="1" s="1"/>
  <c r="C14529" i="1"/>
  <c r="F14529" i="1"/>
  <c r="B14529" i="1" s="1"/>
  <c r="C14530" i="1"/>
  <c r="F14530" i="1"/>
  <c r="B14530" i="1" s="1"/>
  <c r="C14531" i="1"/>
  <c r="F14531" i="1"/>
  <c r="B14531" i="1" s="1"/>
  <c r="C14532" i="1"/>
  <c r="F14532" i="1"/>
  <c r="B14532" i="1" s="1"/>
  <c r="C14533" i="1"/>
  <c r="F14533" i="1"/>
  <c r="B14533" i="1" s="1"/>
  <c r="C14534" i="1"/>
  <c r="F14534" i="1"/>
  <c r="B14534" i="1" s="1"/>
  <c r="C14535" i="1"/>
  <c r="F14535" i="1"/>
  <c r="B14535" i="1" s="1"/>
  <c r="C14536" i="1"/>
  <c r="F14536" i="1"/>
  <c r="B14536" i="1" s="1"/>
  <c r="C14537" i="1"/>
  <c r="F14537" i="1"/>
  <c r="B14537" i="1" s="1"/>
  <c r="C14538" i="1"/>
  <c r="F14538" i="1"/>
  <c r="B14538" i="1" s="1"/>
  <c r="C14539" i="1"/>
  <c r="F14539" i="1"/>
  <c r="B14539" i="1" s="1"/>
  <c r="C14540" i="1"/>
  <c r="F14540" i="1"/>
  <c r="B14540" i="1" s="1"/>
  <c r="C14541" i="1"/>
  <c r="F14541" i="1"/>
  <c r="B14541" i="1" s="1"/>
  <c r="C14542" i="1"/>
  <c r="F14542" i="1"/>
  <c r="B14542" i="1" s="1"/>
  <c r="C14543" i="1"/>
  <c r="F14543" i="1"/>
  <c r="B14543" i="1" s="1"/>
  <c r="C14544" i="1"/>
  <c r="F14544" i="1"/>
  <c r="B14544" i="1" s="1"/>
  <c r="C14545" i="1"/>
  <c r="F14545" i="1"/>
  <c r="B14545" i="1" s="1"/>
  <c r="C14546" i="1"/>
  <c r="F14546" i="1"/>
  <c r="B14546" i="1" s="1"/>
  <c r="C14547" i="1"/>
  <c r="F14547" i="1"/>
  <c r="B14547" i="1" s="1"/>
  <c r="C14548" i="1"/>
  <c r="F14548" i="1"/>
  <c r="B14548" i="1" s="1"/>
  <c r="C14549" i="1"/>
  <c r="F14549" i="1"/>
  <c r="B14549" i="1" s="1"/>
  <c r="C14550" i="1"/>
  <c r="F14550" i="1"/>
  <c r="B14550" i="1" s="1"/>
  <c r="C14551" i="1"/>
  <c r="F14551" i="1"/>
  <c r="B14551" i="1" s="1"/>
  <c r="C14552" i="1"/>
  <c r="F14552" i="1"/>
  <c r="B14552" i="1" s="1"/>
  <c r="C14553" i="1"/>
  <c r="F14553" i="1"/>
  <c r="B14553" i="1" s="1"/>
  <c r="C14554" i="1"/>
  <c r="F14554" i="1"/>
  <c r="B14554" i="1" s="1"/>
  <c r="C14555" i="1"/>
  <c r="F14555" i="1"/>
  <c r="B14555" i="1" s="1"/>
  <c r="C14556" i="1"/>
  <c r="F14556" i="1"/>
  <c r="B14556" i="1" s="1"/>
  <c r="C14557" i="1"/>
  <c r="F14557" i="1"/>
  <c r="B14557" i="1" s="1"/>
  <c r="C14558" i="1"/>
  <c r="F14558" i="1"/>
  <c r="B14558" i="1" s="1"/>
  <c r="C14559" i="1"/>
  <c r="F14559" i="1"/>
  <c r="B14559" i="1" s="1"/>
  <c r="C14560" i="1"/>
  <c r="F14560" i="1"/>
  <c r="B14560" i="1" s="1"/>
  <c r="C14561" i="1"/>
  <c r="F14561" i="1"/>
  <c r="B14561" i="1" s="1"/>
  <c r="C14562" i="1"/>
  <c r="F14562" i="1"/>
  <c r="B14562" i="1" s="1"/>
  <c r="C14563" i="1"/>
  <c r="F14563" i="1"/>
  <c r="B14563" i="1" s="1"/>
  <c r="C14564" i="1"/>
  <c r="F14564" i="1"/>
  <c r="B14564" i="1" s="1"/>
  <c r="C14565" i="1"/>
  <c r="F14565" i="1"/>
  <c r="B14565" i="1" s="1"/>
  <c r="C14566" i="1"/>
  <c r="F14566" i="1"/>
  <c r="B14566" i="1" s="1"/>
  <c r="C14567" i="1"/>
  <c r="F14567" i="1"/>
  <c r="B14567" i="1" s="1"/>
  <c r="C14568" i="1"/>
  <c r="F14568" i="1"/>
  <c r="B14568" i="1" s="1"/>
  <c r="C14569" i="1"/>
  <c r="F14569" i="1"/>
  <c r="B14569" i="1" s="1"/>
  <c r="C14570" i="1"/>
  <c r="F14570" i="1"/>
  <c r="B14570" i="1" s="1"/>
  <c r="C14571" i="1"/>
  <c r="F14571" i="1"/>
  <c r="B14571" i="1" s="1"/>
  <c r="C14572" i="1"/>
  <c r="F14572" i="1"/>
  <c r="B14572" i="1" s="1"/>
  <c r="C14573" i="1"/>
  <c r="F14573" i="1"/>
  <c r="B14573" i="1" s="1"/>
  <c r="C14574" i="1"/>
  <c r="F14574" i="1"/>
  <c r="B14574" i="1" s="1"/>
  <c r="C14575" i="1"/>
  <c r="F14575" i="1"/>
  <c r="B14575" i="1" s="1"/>
  <c r="C14576" i="1"/>
  <c r="F14576" i="1"/>
  <c r="B14576" i="1" s="1"/>
  <c r="C14577" i="1"/>
  <c r="F14577" i="1"/>
  <c r="B14577" i="1" s="1"/>
  <c r="C14578" i="1"/>
  <c r="F14578" i="1"/>
  <c r="B14578" i="1" s="1"/>
  <c r="C14579" i="1"/>
  <c r="F14579" i="1"/>
  <c r="B14579" i="1" s="1"/>
  <c r="C14580" i="1"/>
  <c r="F14580" i="1"/>
  <c r="B14580" i="1" s="1"/>
  <c r="C14581" i="1"/>
  <c r="F14581" i="1"/>
  <c r="B14581" i="1" s="1"/>
  <c r="C14582" i="1"/>
  <c r="F14582" i="1"/>
  <c r="B14582" i="1" s="1"/>
  <c r="C14583" i="1"/>
  <c r="F14583" i="1"/>
  <c r="B14583" i="1" s="1"/>
  <c r="C14584" i="1"/>
  <c r="F14584" i="1"/>
  <c r="B14584" i="1" s="1"/>
  <c r="C14585" i="1"/>
  <c r="F14585" i="1"/>
  <c r="B14585" i="1" s="1"/>
  <c r="C14586" i="1"/>
  <c r="F14586" i="1"/>
  <c r="B14586" i="1" s="1"/>
  <c r="C14587" i="1"/>
  <c r="F14587" i="1"/>
  <c r="B14587" i="1" s="1"/>
  <c r="C14588" i="1"/>
  <c r="F14588" i="1"/>
  <c r="B14588" i="1" s="1"/>
  <c r="C14589" i="1"/>
  <c r="F14589" i="1"/>
  <c r="B14589" i="1" s="1"/>
  <c r="C14590" i="1"/>
  <c r="F14590" i="1"/>
  <c r="B14590" i="1" s="1"/>
  <c r="C14591" i="1"/>
  <c r="F14591" i="1"/>
  <c r="B14591" i="1" s="1"/>
  <c r="C14592" i="1"/>
  <c r="F14592" i="1"/>
  <c r="B14592" i="1" s="1"/>
  <c r="C14593" i="1"/>
  <c r="F14593" i="1"/>
  <c r="B14593" i="1" s="1"/>
  <c r="C14594" i="1"/>
  <c r="F14594" i="1"/>
  <c r="B14594" i="1" s="1"/>
  <c r="C14595" i="1"/>
  <c r="F14595" i="1"/>
  <c r="B14595" i="1" s="1"/>
  <c r="C14596" i="1"/>
  <c r="F14596" i="1"/>
  <c r="B14596" i="1" s="1"/>
  <c r="C14597" i="1"/>
  <c r="F14597" i="1"/>
  <c r="B14597" i="1" s="1"/>
  <c r="C14598" i="1"/>
  <c r="F14598" i="1"/>
  <c r="B14598" i="1" s="1"/>
  <c r="C14599" i="1"/>
  <c r="F14599" i="1"/>
  <c r="B14599" i="1" s="1"/>
  <c r="C14600" i="1"/>
  <c r="F14600" i="1"/>
  <c r="B14600" i="1" s="1"/>
  <c r="C14601" i="1"/>
  <c r="F14601" i="1"/>
  <c r="B14601" i="1" s="1"/>
  <c r="C14602" i="1"/>
  <c r="F14602" i="1"/>
  <c r="B14602" i="1" s="1"/>
  <c r="C14603" i="1"/>
  <c r="F14603" i="1"/>
  <c r="B14603" i="1" s="1"/>
  <c r="C14604" i="1"/>
  <c r="F14604" i="1"/>
  <c r="B14604" i="1" s="1"/>
  <c r="C14605" i="1"/>
  <c r="F14605" i="1"/>
  <c r="B14605" i="1" s="1"/>
  <c r="C14606" i="1"/>
  <c r="F14606" i="1"/>
  <c r="B14606" i="1" s="1"/>
  <c r="C14607" i="1"/>
  <c r="F14607" i="1"/>
  <c r="B14607" i="1" s="1"/>
  <c r="C14608" i="1"/>
  <c r="F14608" i="1"/>
  <c r="B14608" i="1" s="1"/>
  <c r="C14609" i="1"/>
  <c r="F14609" i="1"/>
  <c r="B14609" i="1" s="1"/>
  <c r="C14610" i="1"/>
  <c r="F14610" i="1"/>
  <c r="B14610" i="1" s="1"/>
  <c r="C14611" i="1"/>
  <c r="F14611" i="1"/>
  <c r="B14611" i="1" s="1"/>
  <c r="C14612" i="1"/>
  <c r="F14612" i="1"/>
  <c r="B14612" i="1" s="1"/>
  <c r="C14613" i="1"/>
  <c r="F14613" i="1"/>
  <c r="B14613" i="1" s="1"/>
  <c r="C14614" i="1"/>
  <c r="F14614" i="1"/>
  <c r="B14614" i="1" s="1"/>
  <c r="C14615" i="1"/>
  <c r="F14615" i="1"/>
  <c r="B14615" i="1" s="1"/>
  <c r="C14616" i="1"/>
  <c r="F14616" i="1"/>
  <c r="B14616" i="1" s="1"/>
  <c r="C14617" i="1"/>
  <c r="F14617" i="1"/>
  <c r="B14617" i="1" s="1"/>
  <c r="C14618" i="1"/>
  <c r="F14618" i="1"/>
  <c r="B14618" i="1" s="1"/>
  <c r="C14619" i="1"/>
  <c r="F14619" i="1"/>
  <c r="B14619" i="1" s="1"/>
  <c r="C14620" i="1"/>
  <c r="F14620" i="1"/>
  <c r="B14620" i="1" s="1"/>
  <c r="C14621" i="1"/>
  <c r="F14621" i="1"/>
  <c r="B14621" i="1" s="1"/>
  <c r="C14622" i="1"/>
  <c r="F14622" i="1"/>
  <c r="B14622" i="1" s="1"/>
  <c r="C14623" i="1"/>
  <c r="F14623" i="1"/>
  <c r="B14623" i="1" s="1"/>
  <c r="C14624" i="1"/>
  <c r="F14624" i="1"/>
  <c r="B14624" i="1" s="1"/>
  <c r="C14625" i="1"/>
  <c r="F14625" i="1"/>
  <c r="B14625" i="1" s="1"/>
  <c r="C14626" i="1"/>
  <c r="F14626" i="1"/>
  <c r="B14626" i="1" s="1"/>
  <c r="C14627" i="1"/>
  <c r="F14627" i="1"/>
  <c r="B14627" i="1" s="1"/>
  <c r="C14628" i="1"/>
  <c r="F14628" i="1"/>
  <c r="B14628" i="1" s="1"/>
  <c r="C14629" i="1"/>
  <c r="F14629" i="1"/>
  <c r="B14629" i="1" s="1"/>
  <c r="C14630" i="1"/>
  <c r="F14630" i="1"/>
  <c r="B14630" i="1" s="1"/>
  <c r="C14631" i="1"/>
  <c r="F14631" i="1"/>
  <c r="B14631" i="1" s="1"/>
  <c r="C14632" i="1"/>
  <c r="F14632" i="1"/>
  <c r="B14632" i="1" s="1"/>
  <c r="C14633" i="1"/>
  <c r="F14633" i="1"/>
  <c r="B14633" i="1" s="1"/>
  <c r="C14634" i="1"/>
  <c r="F14634" i="1"/>
  <c r="B14634" i="1" s="1"/>
  <c r="C14635" i="1"/>
  <c r="F14635" i="1"/>
  <c r="B14635" i="1" s="1"/>
  <c r="C14636" i="1"/>
  <c r="F14636" i="1"/>
  <c r="B14636" i="1" s="1"/>
  <c r="C14637" i="1"/>
  <c r="F14637" i="1"/>
  <c r="B14637" i="1" s="1"/>
  <c r="C14638" i="1"/>
  <c r="F14638" i="1"/>
  <c r="B14638" i="1" s="1"/>
  <c r="C14639" i="1"/>
  <c r="F14639" i="1"/>
  <c r="B14639" i="1" s="1"/>
  <c r="C14640" i="1"/>
  <c r="F14640" i="1"/>
  <c r="B14640" i="1" s="1"/>
  <c r="C14641" i="1"/>
  <c r="F14641" i="1"/>
  <c r="B14641" i="1" s="1"/>
  <c r="C14642" i="1"/>
  <c r="F14642" i="1"/>
  <c r="B14642" i="1" s="1"/>
  <c r="C14643" i="1"/>
  <c r="F14643" i="1"/>
  <c r="B14643" i="1" s="1"/>
  <c r="C14644" i="1"/>
  <c r="F14644" i="1"/>
  <c r="B14644" i="1" s="1"/>
  <c r="C14645" i="1"/>
  <c r="F14645" i="1"/>
  <c r="B14645" i="1" s="1"/>
  <c r="C14646" i="1"/>
  <c r="F14646" i="1"/>
  <c r="B14646" i="1" s="1"/>
  <c r="C14647" i="1"/>
  <c r="F14647" i="1"/>
  <c r="B14647" i="1" s="1"/>
  <c r="C14648" i="1"/>
  <c r="F14648" i="1"/>
  <c r="B14648" i="1" s="1"/>
  <c r="C14649" i="1"/>
  <c r="F14649" i="1"/>
  <c r="B14649" i="1" s="1"/>
  <c r="C14650" i="1"/>
  <c r="F14650" i="1"/>
  <c r="B14650" i="1" s="1"/>
  <c r="C14651" i="1"/>
  <c r="F14651" i="1"/>
  <c r="B14651" i="1" s="1"/>
  <c r="C14652" i="1"/>
  <c r="F14652" i="1"/>
  <c r="B14652" i="1" s="1"/>
  <c r="C14653" i="1"/>
  <c r="F14653" i="1"/>
  <c r="B14653" i="1" s="1"/>
  <c r="C14654" i="1"/>
  <c r="F14654" i="1"/>
  <c r="B14654" i="1" s="1"/>
  <c r="C14655" i="1"/>
  <c r="F14655" i="1"/>
  <c r="B14655" i="1" s="1"/>
  <c r="C14656" i="1"/>
  <c r="F14656" i="1"/>
  <c r="B14656" i="1" s="1"/>
  <c r="C14657" i="1"/>
  <c r="F14657" i="1"/>
  <c r="B14657" i="1" s="1"/>
  <c r="C14658" i="1"/>
  <c r="F14658" i="1"/>
  <c r="B14658" i="1" s="1"/>
  <c r="C14659" i="1"/>
  <c r="F14659" i="1"/>
  <c r="B14659" i="1" s="1"/>
  <c r="C14660" i="1"/>
  <c r="F14660" i="1"/>
  <c r="B14660" i="1" s="1"/>
  <c r="C14661" i="1"/>
  <c r="F14661" i="1"/>
  <c r="B14661" i="1" s="1"/>
  <c r="C14662" i="1"/>
  <c r="F14662" i="1"/>
  <c r="B14662" i="1" s="1"/>
  <c r="C14663" i="1"/>
  <c r="F14663" i="1"/>
  <c r="B14663" i="1" s="1"/>
  <c r="C14664" i="1"/>
  <c r="F14664" i="1"/>
  <c r="B14664" i="1" s="1"/>
  <c r="C14665" i="1"/>
  <c r="F14665" i="1"/>
  <c r="B14665" i="1" s="1"/>
  <c r="C14666" i="1"/>
  <c r="F14666" i="1"/>
  <c r="B14666" i="1" s="1"/>
  <c r="C14667" i="1"/>
  <c r="F14667" i="1"/>
  <c r="B14667" i="1" s="1"/>
  <c r="C14668" i="1"/>
  <c r="F14668" i="1"/>
  <c r="B14668" i="1" s="1"/>
  <c r="C14669" i="1"/>
  <c r="F14669" i="1"/>
  <c r="B14669" i="1" s="1"/>
  <c r="C14670" i="1"/>
  <c r="F14670" i="1"/>
  <c r="B14670" i="1" s="1"/>
  <c r="C14671" i="1"/>
  <c r="F14671" i="1"/>
  <c r="B14671" i="1" s="1"/>
  <c r="C14672" i="1"/>
  <c r="F14672" i="1"/>
  <c r="B14672" i="1" s="1"/>
  <c r="C14673" i="1"/>
  <c r="F14673" i="1"/>
  <c r="B14673" i="1" s="1"/>
  <c r="C14674" i="1"/>
  <c r="F14674" i="1"/>
  <c r="B14674" i="1" s="1"/>
  <c r="C14675" i="1"/>
  <c r="F14675" i="1"/>
  <c r="B14675" i="1" s="1"/>
  <c r="C14676" i="1"/>
  <c r="F14676" i="1"/>
  <c r="B14676" i="1" s="1"/>
  <c r="C14677" i="1"/>
  <c r="F14677" i="1"/>
  <c r="B14677" i="1" s="1"/>
  <c r="C14678" i="1"/>
  <c r="F14678" i="1"/>
  <c r="B14678" i="1" s="1"/>
  <c r="C14679" i="1"/>
  <c r="F14679" i="1"/>
  <c r="B14679" i="1" s="1"/>
  <c r="C14680" i="1"/>
  <c r="F14680" i="1"/>
  <c r="B14680" i="1" s="1"/>
  <c r="C14681" i="1"/>
  <c r="F14681" i="1"/>
  <c r="B14681" i="1" s="1"/>
  <c r="C14682" i="1"/>
  <c r="F14682" i="1"/>
  <c r="B14682" i="1" s="1"/>
  <c r="C14683" i="1"/>
  <c r="F14683" i="1"/>
  <c r="B14683" i="1" s="1"/>
  <c r="C14684" i="1"/>
  <c r="F14684" i="1"/>
  <c r="B14684" i="1" s="1"/>
  <c r="C14685" i="1"/>
  <c r="F14685" i="1"/>
  <c r="B14685" i="1" s="1"/>
  <c r="C14686" i="1"/>
  <c r="F14686" i="1"/>
  <c r="B14686" i="1" s="1"/>
  <c r="C14687" i="1"/>
  <c r="F14687" i="1"/>
  <c r="B14687" i="1" s="1"/>
  <c r="C14688" i="1"/>
  <c r="F14688" i="1"/>
  <c r="B14688" i="1" s="1"/>
  <c r="C14689" i="1"/>
  <c r="F14689" i="1"/>
  <c r="B14689" i="1" s="1"/>
  <c r="C14690" i="1"/>
  <c r="F14690" i="1"/>
  <c r="B14690" i="1" s="1"/>
  <c r="C14691" i="1"/>
  <c r="F14691" i="1"/>
  <c r="B14691" i="1" s="1"/>
  <c r="C14692" i="1"/>
  <c r="F14692" i="1"/>
  <c r="B14692" i="1" s="1"/>
  <c r="C14693" i="1"/>
  <c r="F14693" i="1"/>
  <c r="B14693" i="1" s="1"/>
  <c r="C14694" i="1"/>
  <c r="F14694" i="1"/>
  <c r="B14694" i="1" s="1"/>
  <c r="C14695" i="1"/>
  <c r="F14695" i="1"/>
  <c r="B14695" i="1" s="1"/>
  <c r="C14696" i="1"/>
  <c r="F14696" i="1"/>
  <c r="B14696" i="1" s="1"/>
  <c r="C14697" i="1"/>
  <c r="F14697" i="1"/>
  <c r="B14697" i="1" s="1"/>
  <c r="C14698" i="1"/>
  <c r="F14698" i="1"/>
  <c r="B14698" i="1" s="1"/>
  <c r="C14699" i="1"/>
  <c r="F14699" i="1"/>
  <c r="B14699" i="1" s="1"/>
  <c r="C14700" i="1"/>
  <c r="F14700" i="1"/>
  <c r="B14700" i="1" s="1"/>
  <c r="C14701" i="1"/>
  <c r="F14701" i="1"/>
  <c r="B14701" i="1" s="1"/>
  <c r="C14702" i="1"/>
  <c r="F14702" i="1"/>
  <c r="B14702" i="1" s="1"/>
  <c r="C14703" i="1"/>
  <c r="F14703" i="1"/>
  <c r="B14703" i="1" s="1"/>
  <c r="C14704" i="1"/>
  <c r="F14704" i="1"/>
  <c r="B14704" i="1" s="1"/>
  <c r="C14705" i="1"/>
  <c r="F14705" i="1"/>
  <c r="B14705" i="1" s="1"/>
  <c r="C14706" i="1"/>
  <c r="F14706" i="1"/>
  <c r="B14706" i="1" s="1"/>
  <c r="C14707" i="1"/>
  <c r="F14707" i="1"/>
  <c r="B14707" i="1" s="1"/>
  <c r="C14708" i="1"/>
  <c r="F14708" i="1"/>
  <c r="B14708" i="1" s="1"/>
  <c r="C14709" i="1"/>
  <c r="F14709" i="1"/>
  <c r="B14709" i="1" s="1"/>
  <c r="C14710" i="1"/>
  <c r="F14710" i="1"/>
  <c r="B14710" i="1" s="1"/>
  <c r="C14711" i="1"/>
  <c r="F14711" i="1"/>
  <c r="B14711" i="1" s="1"/>
  <c r="C14712" i="1"/>
  <c r="F14712" i="1"/>
  <c r="B14712" i="1" s="1"/>
  <c r="C14713" i="1"/>
  <c r="F14713" i="1"/>
  <c r="B14713" i="1" s="1"/>
  <c r="C14714" i="1"/>
  <c r="F14714" i="1"/>
  <c r="B14714" i="1" s="1"/>
  <c r="C14715" i="1"/>
  <c r="F14715" i="1"/>
  <c r="B14715" i="1" s="1"/>
  <c r="C14716" i="1"/>
  <c r="F14716" i="1"/>
  <c r="B14716" i="1" s="1"/>
  <c r="C14717" i="1"/>
  <c r="F14717" i="1"/>
  <c r="B14717" i="1" s="1"/>
  <c r="C14718" i="1"/>
  <c r="F14718" i="1"/>
  <c r="B14718" i="1" s="1"/>
  <c r="C14719" i="1"/>
  <c r="F14719" i="1"/>
  <c r="B14719" i="1" s="1"/>
  <c r="C14720" i="1"/>
  <c r="F14720" i="1"/>
  <c r="B14720" i="1" s="1"/>
  <c r="C14721" i="1"/>
  <c r="F14721" i="1"/>
  <c r="B14721" i="1" s="1"/>
  <c r="C14722" i="1"/>
  <c r="F14722" i="1"/>
  <c r="B14722" i="1" s="1"/>
  <c r="C14723" i="1"/>
  <c r="F14723" i="1"/>
  <c r="B14723" i="1" s="1"/>
  <c r="C14724" i="1"/>
  <c r="F14724" i="1"/>
  <c r="B14724" i="1" s="1"/>
  <c r="C14725" i="1"/>
  <c r="F14725" i="1"/>
  <c r="B14725" i="1" s="1"/>
  <c r="C14726" i="1"/>
  <c r="F14726" i="1"/>
  <c r="B14726" i="1" s="1"/>
  <c r="C14727" i="1"/>
  <c r="F14727" i="1"/>
  <c r="B14727" i="1" s="1"/>
  <c r="C14728" i="1"/>
  <c r="F14728" i="1"/>
  <c r="B14728" i="1" s="1"/>
  <c r="C14729" i="1"/>
  <c r="F14729" i="1"/>
  <c r="B14729" i="1" s="1"/>
  <c r="C14730" i="1"/>
  <c r="F14730" i="1"/>
  <c r="B14730" i="1" s="1"/>
  <c r="C14731" i="1"/>
  <c r="F14731" i="1"/>
  <c r="B14731" i="1" s="1"/>
  <c r="C14732" i="1"/>
  <c r="F14732" i="1"/>
  <c r="B14732" i="1" s="1"/>
  <c r="C14733" i="1"/>
  <c r="F14733" i="1"/>
  <c r="B14733" i="1" s="1"/>
  <c r="C14734" i="1"/>
  <c r="F14734" i="1"/>
  <c r="B14734" i="1" s="1"/>
  <c r="C14735" i="1"/>
  <c r="F14735" i="1"/>
  <c r="B14735" i="1" s="1"/>
  <c r="C14736" i="1"/>
  <c r="F14736" i="1"/>
  <c r="B14736" i="1" s="1"/>
  <c r="C14737" i="1"/>
  <c r="F14737" i="1"/>
  <c r="B14737" i="1" s="1"/>
  <c r="C14738" i="1"/>
  <c r="F14738" i="1"/>
  <c r="B14738" i="1" s="1"/>
  <c r="C14739" i="1"/>
  <c r="F14739" i="1"/>
  <c r="B14739" i="1" s="1"/>
  <c r="C14740" i="1"/>
  <c r="F14740" i="1"/>
  <c r="B14740" i="1" s="1"/>
  <c r="C14741" i="1"/>
  <c r="F14741" i="1"/>
  <c r="B14741" i="1" s="1"/>
  <c r="C14742" i="1"/>
  <c r="F14742" i="1"/>
  <c r="B14742" i="1" s="1"/>
  <c r="C14743" i="1"/>
  <c r="F14743" i="1"/>
  <c r="B14743" i="1" s="1"/>
  <c r="C14744" i="1"/>
  <c r="F14744" i="1"/>
  <c r="B14744" i="1" s="1"/>
  <c r="C14745" i="1"/>
  <c r="F14745" i="1"/>
  <c r="B14745" i="1" s="1"/>
  <c r="C14746" i="1"/>
  <c r="F14746" i="1"/>
  <c r="B14746" i="1" s="1"/>
  <c r="C14747" i="1"/>
  <c r="F14747" i="1"/>
  <c r="B14747" i="1" s="1"/>
  <c r="C14748" i="1"/>
  <c r="F14748" i="1"/>
  <c r="B14748" i="1" s="1"/>
  <c r="C14749" i="1"/>
  <c r="F14749" i="1"/>
  <c r="B14749" i="1" s="1"/>
  <c r="C14750" i="1"/>
  <c r="F14750" i="1"/>
  <c r="B14750" i="1" s="1"/>
  <c r="C14751" i="1"/>
  <c r="F14751" i="1"/>
  <c r="B14751" i="1" s="1"/>
  <c r="C14752" i="1"/>
  <c r="F14752" i="1"/>
  <c r="B14752" i="1" s="1"/>
  <c r="C14753" i="1"/>
  <c r="F14753" i="1"/>
  <c r="B14753" i="1" s="1"/>
  <c r="C14754" i="1"/>
  <c r="F14754" i="1"/>
  <c r="B14754" i="1" s="1"/>
  <c r="C14755" i="1"/>
  <c r="F14755" i="1"/>
  <c r="B14755" i="1" s="1"/>
  <c r="C14756" i="1"/>
  <c r="F14756" i="1"/>
  <c r="B14756" i="1" s="1"/>
  <c r="C14757" i="1"/>
  <c r="F14757" i="1"/>
  <c r="B14757" i="1" s="1"/>
  <c r="C14758" i="1"/>
  <c r="F14758" i="1"/>
  <c r="B14758" i="1" s="1"/>
  <c r="C14759" i="1"/>
  <c r="F14759" i="1"/>
  <c r="B14759" i="1" s="1"/>
  <c r="C14760" i="1"/>
  <c r="F14760" i="1"/>
  <c r="B14760" i="1" s="1"/>
  <c r="C14761" i="1"/>
  <c r="F14761" i="1"/>
  <c r="B14761" i="1" s="1"/>
  <c r="C14762" i="1"/>
  <c r="F14762" i="1"/>
  <c r="B14762" i="1" s="1"/>
  <c r="C14763" i="1"/>
  <c r="F14763" i="1"/>
  <c r="B14763" i="1" s="1"/>
  <c r="C14764" i="1"/>
  <c r="F14764" i="1"/>
  <c r="B14764" i="1" s="1"/>
  <c r="C14765" i="1"/>
  <c r="F14765" i="1"/>
  <c r="B14765" i="1" s="1"/>
  <c r="C14766" i="1"/>
  <c r="F14766" i="1"/>
  <c r="B14766" i="1" s="1"/>
  <c r="C14767" i="1"/>
  <c r="F14767" i="1"/>
  <c r="B14767" i="1" s="1"/>
  <c r="C14768" i="1"/>
  <c r="F14768" i="1"/>
  <c r="B14768" i="1" s="1"/>
  <c r="C14769" i="1"/>
  <c r="F14769" i="1"/>
  <c r="B14769" i="1" s="1"/>
  <c r="C14770" i="1"/>
  <c r="F14770" i="1"/>
  <c r="B14770" i="1" s="1"/>
  <c r="C14771" i="1"/>
  <c r="F14771" i="1"/>
  <c r="B14771" i="1" s="1"/>
  <c r="C14772" i="1"/>
  <c r="F14772" i="1"/>
  <c r="B14772" i="1" s="1"/>
  <c r="C14773" i="1"/>
  <c r="F14773" i="1"/>
  <c r="B14773" i="1" s="1"/>
  <c r="C14774" i="1"/>
  <c r="F14774" i="1"/>
  <c r="B14774" i="1" s="1"/>
  <c r="C14775" i="1"/>
  <c r="F14775" i="1"/>
  <c r="B14775" i="1" s="1"/>
  <c r="C14776" i="1"/>
  <c r="F14776" i="1"/>
  <c r="B14776" i="1" s="1"/>
  <c r="C14777" i="1"/>
  <c r="F14777" i="1"/>
  <c r="B14777" i="1" s="1"/>
  <c r="C14778" i="1"/>
  <c r="F14778" i="1"/>
  <c r="B14778" i="1" s="1"/>
  <c r="C14779" i="1"/>
  <c r="F14779" i="1"/>
  <c r="B14779" i="1" s="1"/>
  <c r="C14780" i="1"/>
  <c r="F14780" i="1"/>
  <c r="B14780" i="1" s="1"/>
  <c r="C14781" i="1"/>
  <c r="F14781" i="1"/>
  <c r="B14781" i="1" s="1"/>
  <c r="C14782" i="1"/>
  <c r="F14782" i="1"/>
  <c r="B14782" i="1" s="1"/>
  <c r="C14783" i="1"/>
  <c r="F14783" i="1"/>
  <c r="B14783" i="1" s="1"/>
  <c r="C14784" i="1"/>
  <c r="F14784" i="1"/>
  <c r="B14784" i="1" s="1"/>
  <c r="C14785" i="1"/>
  <c r="F14785" i="1"/>
  <c r="B14785" i="1" s="1"/>
  <c r="C14786" i="1"/>
  <c r="F14786" i="1"/>
  <c r="B14786" i="1" s="1"/>
  <c r="C14787" i="1"/>
  <c r="F14787" i="1"/>
  <c r="B14787" i="1" s="1"/>
  <c r="C14788" i="1"/>
  <c r="F14788" i="1"/>
  <c r="B14788" i="1" s="1"/>
  <c r="C14789" i="1"/>
  <c r="F14789" i="1"/>
  <c r="B14789" i="1" s="1"/>
  <c r="C14790" i="1"/>
  <c r="F14790" i="1"/>
  <c r="B14790" i="1" s="1"/>
  <c r="C14791" i="1"/>
  <c r="F14791" i="1"/>
  <c r="B14791" i="1" s="1"/>
  <c r="C14792" i="1"/>
  <c r="F14792" i="1"/>
  <c r="B14792" i="1" s="1"/>
  <c r="C14793" i="1"/>
  <c r="F14793" i="1"/>
  <c r="B14793" i="1" s="1"/>
  <c r="C14794" i="1"/>
  <c r="F14794" i="1"/>
  <c r="B14794" i="1" s="1"/>
  <c r="C14795" i="1"/>
  <c r="F14795" i="1"/>
  <c r="B14795" i="1" s="1"/>
  <c r="C14796" i="1"/>
  <c r="F14796" i="1"/>
  <c r="B14796" i="1" s="1"/>
  <c r="C14797" i="1"/>
  <c r="F14797" i="1"/>
  <c r="B14797" i="1" s="1"/>
  <c r="C14798" i="1"/>
  <c r="F14798" i="1"/>
  <c r="B14798" i="1" s="1"/>
  <c r="C14799" i="1"/>
  <c r="F14799" i="1"/>
  <c r="B14799" i="1" s="1"/>
  <c r="C14800" i="1"/>
  <c r="F14800" i="1"/>
  <c r="B14800" i="1" s="1"/>
  <c r="C14801" i="1"/>
  <c r="F14801" i="1"/>
  <c r="B14801" i="1" s="1"/>
  <c r="C14802" i="1"/>
  <c r="F14802" i="1"/>
  <c r="B14802" i="1" s="1"/>
  <c r="C14803" i="1"/>
  <c r="F14803" i="1"/>
  <c r="B14803" i="1" s="1"/>
  <c r="C14804" i="1"/>
  <c r="F14804" i="1"/>
  <c r="B14804" i="1" s="1"/>
  <c r="C14805" i="1"/>
  <c r="F14805" i="1"/>
  <c r="B14805" i="1" s="1"/>
  <c r="C14806" i="1"/>
  <c r="F14806" i="1"/>
  <c r="B14806" i="1" s="1"/>
  <c r="C14807" i="1"/>
  <c r="F14807" i="1"/>
  <c r="B14807" i="1" s="1"/>
  <c r="C14808" i="1"/>
  <c r="F14808" i="1"/>
  <c r="B14808" i="1" s="1"/>
  <c r="C14809" i="1"/>
  <c r="F14809" i="1"/>
  <c r="B14809" i="1" s="1"/>
  <c r="C14810" i="1"/>
  <c r="F14810" i="1"/>
  <c r="B14810" i="1" s="1"/>
  <c r="C14811" i="1"/>
  <c r="F14811" i="1"/>
  <c r="B14811" i="1" s="1"/>
  <c r="C14812" i="1"/>
  <c r="F14812" i="1"/>
  <c r="B14812" i="1" s="1"/>
  <c r="C14813" i="1"/>
  <c r="F14813" i="1"/>
  <c r="B14813" i="1" s="1"/>
  <c r="C14814" i="1"/>
  <c r="F14814" i="1"/>
  <c r="B14814" i="1" s="1"/>
  <c r="C14815" i="1"/>
  <c r="F14815" i="1"/>
  <c r="B14815" i="1" s="1"/>
  <c r="C14816" i="1"/>
  <c r="F14816" i="1"/>
  <c r="B14816" i="1" s="1"/>
  <c r="C14817" i="1"/>
  <c r="F14817" i="1"/>
  <c r="B14817" i="1" s="1"/>
  <c r="C14818" i="1"/>
  <c r="F14818" i="1"/>
  <c r="B14818" i="1" s="1"/>
  <c r="C14819" i="1"/>
  <c r="F14819" i="1"/>
  <c r="B14819" i="1" s="1"/>
  <c r="C14820" i="1"/>
  <c r="F14820" i="1"/>
  <c r="B14820" i="1" s="1"/>
  <c r="C14821" i="1"/>
  <c r="F14821" i="1"/>
  <c r="B14821" i="1" s="1"/>
  <c r="C14822" i="1"/>
  <c r="F14822" i="1"/>
  <c r="B14822" i="1" s="1"/>
  <c r="C14823" i="1"/>
  <c r="F14823" i="1"/>
  <c r="B14823" i="1" s="1"/>
  <c r="C14824" i="1"/>
  <c r="F14824" i="1"/>
  <c r="B14824" i="1" s="1"/>
  <c r="C14825" i="1"/>
  <c r="F14825" i="1"/>
  <c r="B14825" i="1" s="1"/>
  <c r="C14826" i="1"/>
  <c r="F14826" i="1"/>
  <c r="B14826" i="1" s="1"/>
  <c r="C14827" i="1"/>
  <c r="F14827" i="1"/>
  <c r="B14827" i="1" s="1"/>
  <c r="C14828" i="1"/>
  <c r="F14828" i="1"/>
  <c r="B14828" i="1" s="1"/>
  <c r="C14829" i="1"/>
  <c r="F14829" i="1"/>
  <c r="B14829" i="1" s="1"/>
  <c r="C14830" i="1"/>
  <c r="F14830" i="1"/>
  <c r="B14830" i="1" s="1"/>
  <c r="C14831" i="1"/>
  <c r="F14831" i="1"/>
  <c r="B14831" i="1" s="1"/>
  <c r="C14832" i="1"/>
  <c r="F14832" i="1"/>
  <c r="B14832" i="1" s="1"/>
  <c r="C14833" i="1"/>
  <c r="F14833" i="1"/>
  <c r="B14833" i="1" s="1"/>
  <c r="C14834" i="1"/>
  <c r="F14834" i="1"/>
  <c r="B14834" i="1" s="1"/>
  <c r="C14835" i="1"/>
  <c r="F14835" i="1"/>
  <c r="B14835" i="1" s="1"/>
  <c r="C14836" i="1"/>
  <c r="F14836" i="1"/>
  <c r="B14836" i="1" s="1"/>
  <c r="C14837" i="1"/>
  <c r="F14837" i="1"/>
  <c r="B14837" i="1" s="1"/>
  <c r="C14838" i="1"/>
  <c r="F14838" i="1"/>
  <c r="B14838" i="1" s="1"/>
  <c r="C14839" i="1"/>
  <c r="F14839" i="1"/>
  <c r="B14839" i="1" s="1"/>
  <c r="C14840" i="1"/>
  <c r="F14840" i="1"/>
  <c r="B14840" i="1" s="1"/>
  <c r="C14841" i="1"/>
  <c r="F14841" i="1"/>
  <c r="B14841" i="1" s="1"/>
  <c r="C14842" i="1"/>
  <c r="F14842" i="1"/>
  <c r="B14842" i="1" s="1"/>
  <c r="C14843" i="1"/>
  <c r="F14843" i="1"/>
  <c r="B14843" i="1" s="1"/>
  <c r="C14844" i="1"/>
  <c r="F14844" i="1"/>
  <c r="B14844" i="1" s="1"/>
  <c r="C14845" i="1"/>
  <c r="F14845" i="1"/>
  <c r="B14845" i="1" s="1"/>
  <c r="C14846" i="1"/>
  <c r="F14846" i="1"/>
  <c r="B14846" i="1" s="1"/>
  <c r="C14847" i="1"/>
  <c r="F14847" i="1"/>
  <c r="B14847" i="1" s="1"/>
  <c r="C14848" i="1"/>
  <c r="F14848" i="1"/>
  <c r="B14848" i="1" s="1"/>
  <c r="C14849" i="1"/>
  <c r="F14849" i="1"/>
  <c r="B14849" i="1" s="1"/>
  <c r="C14850" i="1"/>
  <c r="F14850" i="1"/>
  <c r="B14850" i="1" s="1"/>
  <c r="C14851" i="1"/>
  <c r="F14851" i="1"/>
  <c r="B14851" i="1" s="1"/>
  <c r="C14852" i="1"/>
  <c r="F14852" i="1"/>
  <c r="B14852" i="1" s="1"/>
  <c r="C14853" i="1"/>
  <c r="F14853" i="1"/>
  <c r="B14853" i="1" s="1"/>
  <c r="C14854" i="1"/>
  <c r="F14854" i="1"/>
  <c r="B14854" i="1" s="1"/>
  <c r="C14855" i="1"/>
  <c r="F14855" i="1"/>
  <c r="B14855" i="1" s="1"/>
  <c r="C14856" i="1"/>
  <c r="F14856" i="1"/>
  <c r="B14856" i="1" s="1"/>
  <c r="C14857" i="1"/>
  <c r="F14857" i="1"/>
  <c r="B14857" i="1" s="1"/>
  <c r="C14858" i="1"/>
  <c r="F14858" i="1"/>
  <c r="B14858" i="1" s="1"/>
  <c r="C14859" i="1"/>
  <c r="F14859" i="1"/>
  <c r="B14859" i="1" s="1"/>
  <c r="C14860" i="1"/>
  <c r="F14860" i="1"/>
  <c r="B14860" i="1" s="1"/>
  <c r="C14861" i="1"/>
  <c r="F14861" i="1"/>
  <c r="B14861" i="1" s="1"/>
  <c r="C14862" i="1"/>
  <c r="F14862" i="1"/>
  <c r="B14862" i="1" s="1"/>
  <c r="C14863" i="1"/>
  <c r="F14863" i="1"/>
  <c r="B14863" i="1" s="1"/>
  <c r="C14864" i="1"/>
  <c r="F14864" i="1"/>
  <c r="B14864" i="1" s="1"/>
  <c r="C14865" i="1"/>
  <c r="F14865" i="1"/>
  <c r="B14865" i="1" s="1"/>
  <c r="C14866" i="1"/>
  <c r="F14866" i="1"/>
  <c r="B14866" i="1" s="1"/>
  <c r="C14867" i="1"/>
  <c r="F14867" i="1"/>
  <c r="B14867" i="1" s="1"/>
  <c r="C14868" i="1"/>
  <c r="F14868" i="1"/>
  <c r="B14868" i="1" s="1"/>
  <c r="C14869" i="1"/>
  <c r="F14869" i="1"/>
  <c r="B14869" i="1" s="1"/>
  <c r="C14870" i="1"/>
  <c r="F14870" i="1"/>
  <c r="B14870" i="1" s="1"/>
  <c r="C14871" i="1"/>
  <c r="F14871" i="1"/>
  <c r="B14871" i="1" s="1"/>
  <c r="C14872" i="1"/>
  <c r="F14872" i="1"/>
  <c r="B14872" i="1" s="1"/>
  <c r="C14873" i="1"/>
  <c r="F14873" i="1"/>
  <c r="B14873" i="1" s="1"/>
  <c r="C14874" i="1"/>
  <c r="F14874" i="1"/>
  <c r="B14874" i="1" s="1"/>
  <c r="C14875" i="1"/>
  <c r="F14875" i="1"/>
  <c r="B14875" i="1" s="1"/>
  <c r="C14876" i="1"/>
  <c r="F14876" i="1"/>
  <c r="B14876" i="1" s="1"/>
  <c r="C14877" i="1"/>
  <c r="F14877" i="1"/>
  <c r="B14877" i="1" s="1"/>
  <c r="C14878" i="1"/>
  <c r="F14878" i="1"/>
  <c r="B14878" i="1" s="1"/>
  <c r="C14879" i="1"/>
  <c r="F14879" i="1"/>
  <c r="B14879" i="1" s="1"/>
  <c r="C14880" i="1"/>
  <c r="F14880" i="1"/>
  <c r="B14880" i="1" s="1"/>
  <c r="C14881" i="1"/>
  <c r="F14881" i="1"/>
  <c r="B14881" i="1" s="1"/>
  <c r="C14882" i="1"/>
  <c r="F14882" i="1"/>
  <c r="B14882" i="1" s="1"/>
  <c r="C14883" i="1"/>
  <c r="F14883" i="1"/>
  <c r="B14883" i="1" s="1"/>
  <c r="C14884" i="1"/>
  <c r="F14884" i="1"/>
  <c r="B14884" i="1" s="1"/>
  <c r="C14885" i="1"/>
  <c r="F14885" i="1"/>
  <c r="B14885" i="1" s="1"/>
  <c r="C14886" i="1"/>
  <c r="F14886" i="1"/>
  <c r="B14886" i="1" s="1"/>
  <c r="C14887" i="1"/>
  <c r="F14887" i="1"/>
  <c r="B14887" i="1" s="1"/>
  <c r="C14888" i="1"/>
  <c r="F14888" i="1"/>
  <c r="B14888" i="1" s="1"/>
  <c r="C14889" i="1"/>
  <c r="F14889" i="1"/>
  <c r="B14889" i="1" s="1"/>
  <c r="C14890" i="1"/>
  <c r="F14890" i="1"/>
  <c r="B14890" i="1" s="1"/>
  <c r="C14891" i="1"/>
  <c r="F14891" i="1"/>
  <c r="B14891" i="1" s="1"/>
  <c r="C14892" i="1"/>
  <c r="F14892" i="1"/>
  <c r="B14892" i="1" s="1"/>
  <c r="C14893" i="1"/>
  <c r="F14893" i="1"/>
  <c r="B14893" i="1" s="1"/>
  <c r="C14894" i="1"/>
  <c r="F14894" i="1"/>
  <c r="B14894" i="1" s="1"/>
  <c r="C14895" i="1"/>
  <c r="F14895" i="1"/>
  <c r="B14895" i="1" s="1"/>
  <c r="C14896" i="1"/>
  <c r="F14896" i="1"/>
  <c r="B14896" i="1" s="1"/>
  <c r="C14897" i="1"/>
  <c r="F14897" i="1"/>
  <c r="B14897" i="1" s="1"/>
  <c r="C14898" i="1"/>
  <c r="F14898" i="1"/>
  <c r="B14898" i="1" s="1"/>
  <c r="C14899" i="1"/>
  <c r="F14899" i="1"/>
  <c r="B14899" i="1" s="1"/>
  <c r="C14900" i="1"/>
  <c r="F14900" i="1"/>
  <c r="B14900" i="1" s="1"/>
  <c r="C14901" i="1"/>
  <c r="F14901" i="1"/>
  <c r="B14901" i="1" s="1"/>
  <c r="C14902" i="1"/>
  <c r="F14902" i="1"/>
  <c r="B14902" i="1" s="1"/>
  <c r="C14903" i="1"/>
  <c r="F14903" i="1"/>
  <c r="B14903" i="1" s="1"/>
  <c r="C14904" i="1"/>
  <c r="F14904" i="1"/>
  <c r="B14904" i="1" s="1"/>
  <c r="C14905" i="1"/>
  <c r="F14905" i="1"/>
  <c r="B14905" i="1" s="1"/>
  <c r="C14906" i="1"/>
  <c r="F14906" i="1"/>
  <c r="B14906" i="1" s="1"/>
  <c r="C14907" i="1"/>
  <c r="F14907" i="1"/>
  <c r="B14907" i="1" s="1"/>
  <c r="C14908" i="1"/>
  <c r="F14908" i="1"/>
  <c r="B14908" i="1" s="1"/>
  <c r="C14909" i="1"/>
  <c r="F14909" i="1"/>
  <c r="B14909" i="1" s="1"/>
  <c r="C14910" i="1"/>
  <c r="F14910" i="1"/>
  <c r="B14910" i="1" s="1"/>
  <c r="C14911" i="1"/>
  <c r="F14911" i="1"/>
  <c r="B14911" i="1" s="1"/>
  <c r="C14912" i="1"/>
  <c r="F14912" i="1"/>
  <c r="B14912" i="1" s="1"/>
  <c r="C14913" i="1"/>
  <c r="F14913" i="1"/>
  <c r="B14913" i="1" s="1"/>
  <c r="C14914" i="1"/>
  <c r="F14914" i="1"/>
  <c r="B14914" i="1" s="1"/>
  <c r="C14915" i="1"/>
  <c r="F14915" i="1"/>
  <c r="B14915" i="1" s="1"/>
  <c r="C14916" i="1"/>
  <c r="F14916" i="1"/>
  <c r="B14916" i="1" s="1"/>
  <c r="C14917" i="1"/>
  <c r="F14917" i="1"/>
  <c r="B14917" i="1" s="1"/>
  <c r="C14918" i="1"/>
  <c r="F14918" i="1"/>
  <c r="B14918" i="1" s="1"/>
  <c r="C14919" i="1"/>
  <c r="F14919" i="1"/>
  <c r="B14919" i="1" s="1"/>
  <c r="C14920" i="1"/>
  <c r="F14920" i="1"/>
  <c r="B14920" i="1" s="1"/>
  <c r="C14921" i="1"/>
  <c r="F14921" i="1"/>
  <c r="B14921" i="1" s="1"/>
  <c r="C14922" i="1"/>
  <c r="F14922" i="1"/>
  <c r="B14922" i="1" s="1"/>
  <c r="C14923" i="1"/>
  <c r="F14923" i="1"/>
  <c r="B14923" i="1" s="1"/>
  <c r="C14924" i="1"/>
  <c r="F14924" i="1"/>
  <c r="B14924" i="1" s="1"/>
  <c r="C14925" i="1"/>
  <c r="F14925" i="1"/>
  <c r="B14925" i="1" s="1"/>
  <c r="C14926" i="1"/>
  <c r="F14926" i="1"/>
  <c r="B14926" i="1" s="1"/>
  <c r="C14927" i="1"/>
  <c r="F14927" i="1"/>
  <c r="B14927" i="1" s="1"/>
  <c r="C14928" i="1"/>
  <c r="F14928" i="1"/>
  <c r="B14928" i="1" s="1"/>
  <c r="C14929" i="1"/>
  <c r="F14929" i="1"/>
  <c r="B14929" i="1" s="1"/>
  <c r="C14930" i="1"/>
  <c r="F14930" i="1"/>
  <c r="B14930" i="1" s="1"/>
  <c r="C14931" i="1"/>
  <c r="F14931" i="1"/>
  <c r="B14931" i="1" s="1"/>
  <c r="C14932" i="1"/>
  <c r="F14932" i="1"/>
  <c r="C14933" i="1"/>
  <c r="F14933" i="1"/>
  <c r="B14933" i="1" s="1"/>
  <c r="C14934" i="1"/>
  <c r="F14934" i="1"/>
  <c r="B14934" i="1" s="1"/>
  <c r="C14935" i="1"/>
  <c r="F14935" i="1"/>
  <c r="B14935" i="1" s="1"/>
  <c r="C14936" i="1"/>
  <c r="F14936" i="1"/>
  <c r="B14936" i="1" s="1"/>
  <c r="C14937" i="1"/>
  <c r="F14937" i="1"/>
  <c r="B14937" i="1" s="1"/>
  <c r="C14938" i="1"/>
  <c r="F14938" i="1"/>
  <c r="B14938" i="1" s="1"/>
  <c r="C14939" i="1"/>
  <c r="F14939" i="1"/>
  <c r="B14939" i="1" s="1"/>
  <c r="C14940" i="1"/>
  <c r="F14940" i="1"/>
  <c r="B14940" i="1" s="1"/>
  <c r="C14941" i="1"/>
  <c r="F14941" i="1"/>
  <c r="B14941" i="1" s="1"/>
  <c r="C14942" i="1"/>
  <c r="F14942" i="1"/>
  <c r="B14942" i="1" s="1"/>
  <c r="C14943" i="1"/>
  <c r="F14943" i="1"/>
  <c r="B14943" i="1" s="1"/>
  <c r="C14944" i="1"/>
  <c r="F14944" i="1"/>
  <c r="B14944" i="1" s="1"/>
  <c r="C14945" i="1"/>
  <c r="F14945" i="1"/>
  <c r="B14945" i="1" s="1"/>
  <c r="C14946" i="1"/>
  <c r="F14946" i="1"/>
  <c r="B14946" i="1" s="1"/>
  <c r="C14947" i="1"/>
  <c r="F14947" i="1"/>
  <c r="B14947" i="1" s="1"/>
  <c r="C14948" i="1"/>
  <c r="F14948" i="1"/>
  <c r="B14948" i="1" s="1"/>
  <c r="C14949" i="1"/>
  <c r="F14949" i="1"/>
  <c r="B14949" i="1" s="1"/>
  <c r="C14950" i="1"/>
  <c r="F14950" i="1"/>
  <c r="B14950" i="1" s="1"/>
  <c r="C14951" i="1"/>
  <c r="F14951" i="1"/>
  <c r="B14951" i="1" s="1"/>
  <c r="E11688" i="1"/>
  <c r="C11688"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552"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416"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280"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144"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008"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0872" i="1"/>
  <c r="E10601" i="1"/>
  <c r="E10602" i="1"/>
  <c r="E10603" i="1"/>
  <c r="E10604" i="1"/>
  <c r="E10605" i="1"/>
  <c r="E10606" i="1"/>
  <c r="E10607" i="1"/>
  <c r="E10608" i="1"/>
  <c r="E10609" i="1"/>
  <c r="E10610" i="1"/>
  <c r="E10611" i="1"/>
  <c r="E10612" i="1"/>
  <c r="E10613" i="1"/>
  <c r="E10614" i="1"/>
  <c r="E10615" i="1"/>
  <c r="E10616" i="1"/>
  <c r="E10617" i="1"/>
  <c r="E10618" i="1"/>
  <c r="E10619" i="1"/>
  <c r="E10620" i="1"/>
  <c r="E10621" i="1"/>
  <c r="E10622" i="1"/>
  <c r="E10623" i="1"/>
  <c r="E10624" i="1"/>
  <c r="E10625" i="1"/>
  <c r="E10626" i="1"/>
  <c r="E10627" i="1"/>
  <c r="E10628" i="1"/>
  <c r="E10629" i="1"/>
  <c r="E10630" i="1"/>
  <c r="E10631" i="1"/>
  <c r="E10632" i="1"/>
  <c r="E10633" i="1"/>
  <c r="E10634" i="1"/>
  <c r="E10635" i="1"/>
  <c r="E10636" i="1"/>
  <c r="E10637" i="1"/>
  <c r="E10638" i="1"/>
  <c r="E10639" i="1"/>
  <c r="E10640" i="1"/>
  <c r="E10641" i="1"/>
  <c r="E10642" i="1"/>
  <c r="E10643" i="1"/>
  <c r="E10644" i="1"/>
  <c r="E10645" i="1"/>
  <c r="E10646" i="1"/>
  <c r="E10647" i="1"/>
  <c r="E10648" i="1"/>
  <c r="E10649" i="1"/>
  <c r="E10650" i="1"/>
  <c r="E10651" i="1"/>
  <c r="E10652" i="1"/>
  <c r="E10653" i="1"/>
  <c r="E10654" i="1"/>
  <c r="E10655" i="1"/>
  <c r="E10656" i="1"/>
  <c r="E10657" i="1"/>
  <c r="E10658" i="1"/>
  <c r="E10659" i="1"/>
  <c r="E10660" i="1"/>
  <c r="E10661" i="1"/>
  <c r="E10662" i="1"/>
  <c r="E10663" i="1"/>
  <c r="E10664" i="1"/>
  <c r="E10665" i="1"/>
  <c r="E10666" i="1"/>
  <c r="E10667" i="1"/>
  <c r="E10668" i="1"/>
  <c r="E10669" i="1"/>
  <c r="E10670" i="1"/>
  <c r="E10671" i="1"/>
  <c r="E10672" i="1"/>
  <c r="E10673" i="1"/>
  <c r="E10674" i="1"/>
  <c r="E10675" i="1"/>
  <c r="E10676" i="1"/>
  <c r="E10677" i="1"/>
  <c r="E10678" i="1"/>
  <c r="E10679" i="1"/>
  <c r="E10680" i="1"/>
  <c r="E10681" i="1"/>
  <c r="E10682" i="1"/>
  <c r="E10683" i="1"/>
  <c r="E10684" i="1"/>
  <c r="E10685" i="1"/>
  <c r="E10686" i="1"/>
  <c r="E10687" i="1"/>
  <c r="E10688" i="1"/>
  <c r="E10689" i="1"/>
  <c r="E10690" i="1"/>
  <c r="E10691" i="1"/>
  <c r="E10692" i="1"/>
  <c r="E10693" i="1"/>
  <c r="E10694" i="1"/>
  <c r="E10695" i="1"/>
  <c r="E10696" i="1"/>
  <c r="E10697" i="1"/>
  <c r="E10698" i="1"/>
  <c r="E10699" i="1"/>
  <c r="E10700" i="1"/>
  <c r="E10701" i="1"/>
  <c r="E10702" i="1"/>
  <c r="E10703" i="1"/>
  <c r="E10704" i="1"/>
  <c r="E10705" i="1"/>
  <c r="E10706" i="1"/>
  <c r="E10707" i="1"/>
  <c r="E10708" i="1"/>
  <c r="E10709" i="1"/>
  <c r="E10710" i="1"/>
  <c r="E10711" i="1"/>
  <c r="E10712" i="1"/>
  <c r="E10713" i="1"/>
  <c r="E10714" i="1"/>
  <c r="E10715" i="1"/>
  <c r="E10716" i="1"/>
  <c r="E10717" i="1"/>
  <c r="E10718" i="1"/>
  <c r="E10719" i="1"/>
  <c r="E10720" i="1"/>
  <c r="E10721" i="1"/>
  <c r="E10722" i="1"/>
  <c r="E10723" i="1"/>
  <c r="E10724" i="1"/>
  <c r="E10725" i="1"/>
  <c r="E10726" i="1"/>
  <c r="E10727" i="1"/>
  <c r="E10728" i="1"/>
  <c r="E10729" i="1"/>
  <c r="E10730" i="1"/>
  <c r="E10731" i="1"/>
  <c r="E10732" i="1"/>
  <c r="E10733" i="1"/>
  <c r="E10734" i="1"/>
  <c r="E10735" i="1"/>
  <c r="E10736" i="1"/>
  <c r="E10737" i="1"/>
  <c r="E10738" i="1"/>
  <c r="E10739" i="1"/>
  <c r="E10740" i="1"/>
  <c r="E10741" i="1"/>
  <c r="E10742" i="1"/>
  <c r="E10743" i="1"/>
  <c r="E10744" i="1"/>
  <c r="E10745" i="1"/>
  <c r="E10746" i="1"/>
  <c r="E10747" i="1"/>
  <c r="E10748" i="1"/>
  <c r="E10749" i="1"/>
  <c r="E10750" i="1"/>
  <c r="E10751" i="1"/>
  <c r="E10752" i="1"/>
  <c r="E10753" i="1"/>
  <c r="E10754" i="1"/>
  <c r="E10755" i="1"/>
  <c r="E10756" i="1"/>
  <c r="E10757" i="1"/>
  <c r="E10758" i="1"/>
  <c r="E10759" i="1"/>
  <c r="E10760" i="1"/>
  <c r="E10761" i="1"/>
  <c r="E10762" i="1"/>
  <c r="E10763" i="1"/>
  <c r="E10764" i="1"/>
  <c r="E10765" i="1"/>
  <c r="E10766" i="1"/>
  <c r="E10767" i="1"/>
  <c r="E10768" i="1"/>
  <c r="E10769" i="1"/>
  <c r="E10770" i="1"/>
  <c r="E10771" i="1"/>
  <c r="E10772" i="1"/>
  <c r="E10773" i="1"/>
  <c r="E10774" i="1"/>
  <c r="E10775" i="1"/>
  <c r="E10776" i="1"/>
  <c r="E10777" i="1"/>
  <c r="E10778" i="1"/>
  <c r="E10779" i="1"/>
  <c r="E10780" i="1"/>
  <c r="E10781" i="1"/>
  <c r="E10782" i="1"/>
  <c r="E10783" i="1"/>
  <c r="E10784" i="1"/>
  <c r="E10785" i="1"/>
  <c r="E10786" i="1"/>
  <c r="E10787" i="1"/>
  <c r="E10788" i="1"/>
  <c r="E10789" i="1"/>
  <c r="E10790" i="1"/>
  <c r="E10791" i="1"/>
  <c r="E10792" i="1"/>
  <c r="E10793" i="1"/>
  <c r="E10794" i="1"/>
  <c r="E10795" i="1"/>
  <c r="E10796" i="1"/>
  <c r="E10797" i="1"/>
  <c r="E10798" i="1"/>
  <c r="E10799" i="1"/>
  <c r="E10800" i="1"/>
  <c r="E10801" i="1"/>
  <c r="E10802" i="1"/>
  <c r="E10803" i="1"/>
  <c r="E10804" i="1"/>
  <c r="E10805" i="1"/>
  <c r="E10806" i="1"/>
  <c r="E10807" i="1"/>
  <c r="E10808" i="1"/>
  <c r="E10809" i="1"/>
  <c r="E10810" i="1"/>
  <c r="E10811" i="1"/>
  <c r="E10812" i="1"/>
  <c r="E10813" i="1"/>
  <c r="E10814" i="1"/>
  <c r="E10815" i="1"/>
  <c r="E10816" i="1"/>
  <c r="E10817" i="1"/>
  <c r="E10818" i="1"/>
  <c r="E10819" i="1"/>
  <c r="E10820" i="1"/>
  <c r="E10821" i="1"/>
  <c r="E10822" i="1"/>
  <c r="E10823" i="1"/>
  <c r="E10824" i="1"/>
  <c r="E10825" i="1"/>
  <c r="E10826" i="1"/>
  <c r="E10827" i="1"/>
  <c r="E10828" i="1"/>
  <c r="E10829" i="1"/>
  <c r="E10830" i="1"/>
  <c r="E10831" i="1"/>
  <c r="E10832" i="1"/>
  <c r="E10833" i="1"/>
  <c r="E10834" i="1"/>
  <c r="E10835" i="1"/>
  <c r="E10836" i="1"/>
  <c r="E10837" i="1"/>
  <c r="E10838" i="1"/>
  <c r="E10839" i="1"/>
  <c r="E10840" i="1"/>
  <c r="E10841" i="1"/>
  <c r="E10842" i="1"/>
  <c r="E10843" i="1"/>
  <c r="E10844" i="1"/>
  <c r="E10845" i="1"/>
  <c r="E10846" i="1"/>
  <c r="E10847" i="1"/>
  <c r="E10848" i="1"/>
  <c r="E10849" i="1"/>
  <c r="E10850" i="1"/>
  <c r="E10851" i="1"/>
  <c r="E10852" i="1"/>
  <c r="E10853" i="1"/>
  <c r="E10854" i="1"/>
  <c r="E10855" i="1"/>
  <c r="E10856" i="1"/>
  <c r="E10857" i="1"/>
  <c r="E10858" i="1"/>
  <c r="E10859" i="1"/>
  <c r="E10860" i="1"/>
  <c r="E10861" i="1"/>
  <c r="E10862" i="1"/>
  <c r="E10863" i="1"/>
  <c r="E10864" i="1"/>
  <c r="E10865" i="1"/>
  <c r="E10866" i="1"/>
  <c r="E10867" i="1"/>
  <c r="E10868" i="1"/>
  <c r="E10869" i="1"/>
  <c r="E10870" i="1"/>
  <c r="E10871" i="1"/>
  <c r="E10872" i="1"/>
  <c r="E10873" i="1"/>
  <c r="E10874" i="1"/>
  <c r="E10875" i="1"/>
  <c r="E10876" i="1"/>
  <c r="E10877" i="1"/>
  <c r="E10878" i="1"/>
  <c r="E10879" i="1"/>
  <c r="E10880" i="1"/>
  <c r="E10881" i="1"/>
  <c r="E10882" i="1"/>
  <c r="E10883" i="1"/>
  <c r="E10884" i="1"/>
  <c r="E10885" i="1"/>
  <c r="E10886" i="1"/>
  <c r="E10887" i="1"/>
  <c r="E10888" i="1"/>
  <c r="E10889" i="1"/>
  <c r="E10890" i="1"/>
  <c r="E10891" i="1"/>
  <c r="E10892" i="1"/>
  <c r="E10893" i="1"/>
  <c r="E10894" i="1"/>
  <c r="E10895" i="1"/>
  <c r="E10896" i="1"/>
  <c r="E10897" i="1"/>
  <c r="E10898" i="1"/>
  <c r="E10899" i="1"/>
  <c r="E10900" i="1"/>
  <c r="E10901" i="1"/>
  <c r="E10902" i="1"/>
  <c r="E10903" i="1"/>
  <c r="E10904" i="1"/>
  <c r="E10905" i="1"/>
  <c r="E10906" i="1"/>
  <c r="E10907" i="1"/>
  <c r="E10908" i="1"/>
  <c r="E10909" i="1"/>
  <c r="E10910" i="1"/>
  <c r="E10911" i="1"/>
  <c r="E10912" i="1"/>
  <c r="E10913" i="1"/>
  <c r="E10914" i="1"/>
  <c r="E10915" i="1"/>
  <c r="E10916" i="1"/>
  <c r="E10917" i="1"/>
  <c r="E10918" i="1"/>
  <c r="E10919" i="1"/>
  <c r="E10920" i="1"/>
  <c r="E10921" i="1"/>
  <c r="E10922" i="1"/>
  <c r="E10923" i="1"/>
  <c r="E10924" i="1"/>
  <c r="E10925" i="1"/>
  <c r="E10926" i="1"/>
  <c r="E10927" i="1"/>
  <c r="E10928" i="1"/>
  <c r="E10929" i="1"/>
  <c r="E10930" i="1"/>
  <c r="E10931" i="1"/>
  <c r="E10932" i="1"/>
  <c r="E10933" i="1"/>
  <c r="E10934" i="1"/>
  <c r="E10935" i="1"/>
  <c r="E10936" i="1"/>
  <c r="E10937" i="1"/>
  <c r="E10938" i="1"/>
  <c r="E10939" i="1"/>
  <c r="E10940" i="1"/>
  <c r="E10941" i="1"/>
  <c r="E10942" i="1"/>
  <c r="E10943" i="1"/>
  <c r="E10944" i="1"/>
  <c r="E10945" i="1"/>
  <c r="E10946" i="1"/>
  <c r="E10947" i="1"/>
  <c r="E10948" i="1"/>
  <c r="E10949" i="1"/>
  <c r="E10950" i="1"/>
  <c r="E10951" i="1"/>
  <c r="E10952" i="1"/>
  <c r="E10953" i="1"/>
  <c r="E10954" i="1"/>
  <c r="E10955" i="1"/>
  <c r="E10956" i="1"/>
  <c r="E10957" i="1"/>
  <c r="E10958" i="1"/>
  <c r="E10959" i="1"/>
  <c r="E10960" i="1"/>
  <c r="E10961" i="1"/>
  <c r="E10962" i="1"/>
  <c r="E10963" i="1"/>
  <c r="E10964" i="1"/>
  <c r="E10965" i="1"/>
  <c r="E10966" i="1"/>
  <c r="E10967" i="1"/>
  <c r="E10968" i="1"/>
  <c r="E10969" i="1"/>
  <c r="E10970" i="1"/>
  <c r="E10971" i="1"/>
  <c r="E10972" i="1"/>
  <c r="E10973" i="1"/>
  <c r="E10974" i="1"/>
  <c r="E10975" i="1"/>
  <c r="E10976" i="1"/>
  <c r="E10977" i="1"/>
  <c r="E10978" i="1"/>
  <c r="E10979" i="1"/>
  <c r="E10980" i="1"/>
  <c r="E10981" i="1"/>
  <c r="E10982" i="1"/>
  <c r="E10983" i="1"/>
  <c r="E10984" i="1"/>
  <c r="E10985" i="1"/>
  <c r="E10986" i="1"/>
  <c r="E10987" i="1"/>
  <c r="E10988" i="1"/>
  <c r="E10989" i="1"/>
  <c r="E10990" i="1"/>
  <c r="E10991" i="1"/>
  <c r="E10992" i="1"/>
  <c r="E10993" i="1"/>
  <c r="E10994" i="1"/>
  <c r="E10995" i="1"/>
  <c r="E10996" i="1"/>
  <c r="E10997" i="1"/>
  <c r="E10998" i="1"/>
  <c r="E10999" i="1"/>
  <c r="E11000" i="1"/>
  <c r="E11001" i="1"/>
  <c r="E11002" i="1"/>
  <c r="E11003" i="1"/>
  <c r="E11004" i="1"/>
  <c r="E11005" i="1"/>
  <c r="E11006" i="1"/>
  <c r="E11007" i="1"/>
  <c r="E11008" i="1"/>
  <c r="E11009" i="1"/>
  <c r="E11010" i="1"/>
  <c r="E11011" i="1"/>
  <c r="E11012" i="1"/>
  <c r="E11013" i="1"/>
  <c r="E11014" i="1"/>
  <c r="E11015" i="1"/>
  <c r="E11016" i="1"/>
  <c r="E11017" i="1"/>
  <c r="E11018" i="1"/>
  <c r="E11019" i="1"/>
  <c r="E11020" i="1"/>
  <c r="E11021" i="1"/>
  <c r="E11022" i="1"/>
  <c r="E11023" i="1"/>
  <c r="E11024" i="1"/>
  <c r="E11025" i="1"/>
  <c r="E11026" i="1"/>
  <c r="E11027" i="1"/>
  <c r="E11028" i="1"/>
  <c r="E11029" i="1"/>
  <c r="E11030" i="1"/>
  <c r="E11031" i="1"/>
  <c r="E11032" i="1"/>
  <c r="E11033" i="1"/>
  <c r="E11034" i="1"/>
  <c r="E11035" i="1"/>
  <c r="E11036" i="1"/>
  <c r="E11037" i="1"/>
  <c r="E11038" i="1"/>
  <c r="E11039" i="1"/>
  <c r="E11040" i="1"/>
  <c r="E11041" i="1"/>
  <c r="E11042" i="1"/>
  <c r="E11043" i="1"/>
  <c r="E11044" i="1"/>
  <c r="E11045" i="1"/>
  <c r="E11046" i="1"/>
  <c r="E11047" i="1"/>
  <c r="E11048" i="1"/>
  <c r="E11049" i="1"/>
  <c r="E11050" i="1"/>
  <c r="E11051" i="1"/>
  <c r="E11052" i="1"/>
  <c r="E11053" i="1"/>
  <c r="E11054" i="1"/>
  <c r="E11055" i="1"/>
  <c r="E11056" i="1"/>
  <c r="E11057" i="1"/>
  <c r="E11058" i="1"/>
  <c r="E11059" i="1"/>
  <c r="E11060" i="1"/>
  <c r="E11061" i="1"/>
  <c r="E11062" i="1"/>
  <c r="E11063" i="1"/>
  <c r="E11064" i="1"/>
  <c r="E11065" i="1"/>
  <c r="E11066" i="1"/>
  <c r="E11067" i="1"/>
  <c r="E11068" i="1"/>
  <c r="E11069" i="1"/>
  <c r="E11070" i="1"/>
  <c r="E11071" i="1"/>
  <c r="E11072" i="1"/>
  <c r="E11073" i="1"/>
  <c r="E11074" i="1"/>
  <c r="E11075" i="1"/>
  <c r="E11076" i="1"/>
  <c r="E11077" i="1"/>
  <c r="E11078" i="1"/>
  <c r="E11079" i="1"/>
  <c r="E11080" i="1"/>
  <c r="E11081" i="1"/>
  <c r="E11082" i="1"/>
  <c r="E11083" i="1"/>
  <c r="E11084" i="1"/>
  <c r="E11085" i="1"/>
  <c r="E11086" i="1"/>
  <c r="E11087" i="1"/>
  <c r="E11088" i="1"/>
  <c r="E11089" i="1"/>
  <c r="E11090" i="1"/>
  <c r="E11091" i="1"/>
  <c r="E11092" i="1"/>
  <c r="E11093" i="1"/>
  <c r="E11094" i="1"/>
  <c r="E11095" i="1"/>
  <c r="E11096" i="1"/>
  <c r="E11097" i="1"/>
  <c r="E11098" i="1"/>
  <c r="E11099" i="1"/>
  <c r="E11100" i="1"/>
  <c r="E11101" i="1"/>
  <c r="E11102" i="1"/>
  <c r="E11103" i="1"/>
  <c r="E11104" i="1"/>
  <c r="E11105" i="1"/>
  <c r="E11106" i="1"/>
  <c r="E11107" i="1"/>
  <c r="E11108" i="1"/>
  <c r="E11109" i="1"/>
  <c r="E11110" i="1"/>
  <c r="E11111" i="1"/>
  <c r="E11112" i="1"/>
  <c r="E11113" i="1"/>
  <c r="E11114" i="1"/>
  <c r="E11115" i="1"/>
  <c r="E11116" i="1"/>
  <c r="E11117" i="1"/>
  <c r="E11118" i="1"/>
  <c r="E11119" i="1"/>
  <c r="E11120" i="1"/>
  <c r="E11121" i="1"/>
  <c r="E11122" i="1"/>
  <c r="E11123" i="1"/>
  <c r="E11124" i="1"/>
  <c r="E11125" i="1"/>
  <c r="E11126" i="1"/>
  <c r="E11127" i="1"/>
  <c r="E11128" i="1"/>
  <c r="E11129" i="1"/>
  <c r="E11130" i="1"/>
  <c r="E11131" i="1"/>
  <c r="E11132" i="1"/>
  <c r="E11133" i="1"/>
  <c r="E11134" i="1"/>
  <c r="E11135" i="1"/>
  <c r="E11136" i="1"/>
  <c r="E11137" i="1"/>
  <c r="E11138" i="1"/>
  <c r="E11139" i="1"/>
  <c r="E11140" i="1"/>
  <c r="E11141" i="1"/>
  <c r="E11142" i="1"/>
  <c r="E11143" i="1"/>
  <c r="E11144" i="1"/>
  <c r="E11145" i="1"/>
  <c r="E11146" i="1"/>
  <c r="E11147" i="1"/>
  <c r="E11148" i="1"/>
  <c r="E11149" i="1"/>
  <c r="E11150" i="1"/>
  <c r="E11151" i="1"/>
  <c r="E11152" i="1"/>
  <c r="E11153" i="1"/>
  <c r="E11154" i="1"/>
  <c r="E11155" i="1"/>
  <c r="E11156" i="1"/>
  <c r="E11157" i="1"/>
  <c r="E11158" i="1"/>
  <c r="E11159" i="1"/>
  <c r="E11160" i="1"/>
  <c r="E11161" i="1"/>
  <c r="E11162" i="1"/>
  <c r="E11163" i="1"/>
  <c r="E11164" i="1"/>
  <c r="E11165" i="1"/>
  <c r="E11166" i="1"/>
  <c r="E11167" i="1"/>
  <c r="E11168" i="1"/>
  <c r="E11169" i="1"/>
  <c r="E11170" i="1"/>
  <c r="E11171" i="1"/>
  <c r="E11172" i="1"/>
  <c r="E11173" i="1"/>
  <c r="E11174" i="1"/>
  <c r="E11175" i="1"/>
  <c r="E11176" i="1"/>
  <c r="E11177" i="1"/>
  <c r="E11178" i="1"/>
  <c r="E11179" i="1"/>
  <c r="E11180" i="1"/>
  <c r="E11181" i="1"/>
  <c r="E11182" i="1"/>
  <c r="E11183" i="1"/>
  <c r="E11184" i="1"/>
  <c r="E11185" i="1"/>
  <c r="E11186" i="1"/>
  <c r="E11187" i="1"/>
  <c r="E11188" i="1"/>
  <c r="E11189" i="1"/>
  <c r="E11190" i="1"/>
  <c r="E11191" i="1"/>
  <c r="E11192" i="1"/>
  <c r="E11193" i="1"/>
  <c r="E11194" i="1"/>
  <c r="E11195" i="1"/>
  <c r="E11196" i="1"/>
  <c r="E11197" i="1"/>
  <c r="E11198" i="1"/>
  <c r="E11199" i="1"/>
  <c r="E11200" i="1"/>
  <c r="E11201" i="1"/>
  <c r="E11202" i="1"/>
  <c r="E11203" i="1"/>
  <c r="E11204" i="1"/>
  <c r="E11205" i="1"/>
  <c r="E11206" i="1"/>
  <c r="E11207" i="1"/>
  <c r="E11208" i="1"/>
  <c r="E11209" i="1"/>
  <c r="E11210" i="1"/>
  <c r="E11211" i="1"/>
  <c r="E11212" i="1"/>
  <c r="E11213" i="1"/>
  <c r="E11214" i="1"/>
  <c r="E11215" i="1"/>
  <c r="E11216" i="1"/>
  <c r="E11217" i="1"/>
  <c r="E11218" i="1"/>
  <c r="E11219" i="1"/>
  <c r="E11220" i="1"/>
  <c r="E11221" i="1"/>
  <c r="E11222" i="1"/>
  <c r="E11223" i="1"/>
  <c r="E11224" i="1"/>
  <c r="E11225" i="1"/>
  <c r="E11226" i="1"/>
  <c r="E11227" i="1"/>
  <c r="E11228" i="1"/>
  <c r="E11229" i="1"/>
  <c r="E11230" i="1"/>
  <c r="E11231" i="1"/>
  <c r="E11232" i="1"/>
  <c r="E11233" i="1"/>
  <c r="E11234" i="1"/>
  <c r="E11235" i="1"/>
  <c r="E11236" i="1"/>
  <c r="E11237" i="1"/>
  <c r="E11238" i="1"/>
  <c r="E11239" i="1"/>
  <c r="E11240" i="1"/>
  <c r="E11241" i="1"/>
  <c r="E11242" i="1"/>
  <c r="E11243" i="1"/>
  <c r="E11244" i="1"/>
  <c r="E11245" i="1"/>
  <c r="E11246" i="1"/>
  <c r="E11247" i="1"/>
  <c r="E11248" i="1"/>
  <c r="E11249" i="1"/>
  <c r="E11250" i="1"/>
  <c r="E11251" i="1"/>
  <c r="E11252" i="1"/>
  <c r="E11253" i="1"/>
  <c r="E11254" i="1"/>
  <c r="E11255" i="1"/>
  <c r="E11256" i="1"/>
  <c r="E11257" i="1"/>
  <c r="E11258" i="1"/>
  <c r="E11259" i="1"/>
  <c r="E11260" i="1"/>
  <c r="E11261" i="1"/>
  <c r="E11262" i="1"/>
  <c r="E11263" i="1"/>
  <c r="E11264" i="1"/>
  <c r="E11265" i="1"/>
  <c r="E11266" i="1"/>
  <c r="E11267" i="1"/>
  <c r="E11268" i="1"/>
  <c r="E11269" i="1"/>
  <c r="E11270" i="1"/>
  <c r="E11271" i="1"/>
  <c r="E11272" i="1"/>
  <c r="E11273" i="1"/>
  <c r="E11274" i="1"/>
  <c r="E11275" i="1"/>
  <c r="E11276" i="1"/>
  <c r="E11277" i="1"/>
  <c r="E11278" i="1"/>
  <c r="E11279" i="1"/>
  <c r="E11280" i="1"/>
  <c r="E11281" i="1"/>
  <c r="E11282" i="1"/>
  <c r="E11283" i="1"/>
  <c r="E11284" i="1"/>
  <c r="E11285" i="1"/>
  <c r="E11286" i="1"/>
  <c r="E11287" i="1"/>
  <c r="E11288" i="1"/>
  <c r="E11289" i="1"/>
  <c r="E11290" i="1"/>
  <c r="E11291" i="1"/>
  <c r="E11292" i="1"/>
  <c r="E11293" i="1"/>
  <c r="E11294" i="1"/>
  <c r="E11295" i="1"/>
  <c r="E11296" i="1"/>
  <c r="E11297" i="1"/>
  <c r="E11298" i="1"/>
  <c r="E11299" i="1"/>
  <c r="E11300" i="1"/>
  <c r="E11301" i="1"/>
  <c r="E11302" i="1"/>
  <c r="E11303" i="1"/>
  <c r="E11304" i="1"/>
  <c r="E11305" i="1"/>
  <c r="E11306" i="1"/>
  <c r="E11307" i="1"/>
  <c r="E11308" i="1"/>
  <c r="E11309" i="1"/>
  <c r="E11310" i="1"/>
  <c r="E11311" i="1"/>
  <c r="E11312" i="1"/>
  <c r="E11313" i="1"/>
  <c r="E11314" i="1"/>
  <c r="E11315" i="1"/>
  <c r="E11316" i="1"/>
  <c r="E11317" i="1"/>
  <c r="E11318" i="1"/>
  <c r="E11319" i="1"/>
  <c r="E11320" i="1"/>
  <c r="E11321" i="1"/>
  <c r="E11322" i="1"/>
  <c r="E11323" i="1"/>
  <c r="E11324" i="1"/>
  <c r="E11325" i="1"/>
  <c r="E11326" i="1"/>
  <c r="E11327" i="1"/>
  <c r="E11328" i="1"/>
  <c r="E11329" i="1"/>
  <c r="E11330" i="1"/>
  <c r="E11331" i="1"/>
  <c r="E11332" i="1"/>
  <c r="E11333" i="1"/>
  <c r="E11334" i="1"/>
  <c r="E11335" i="1"/>
  <c r="E11336" i="1"/>
  <c r="E11337" i="1"/>
  <c r="E11338" i="1"/>
  <c r="E11339" i="1"/>
  <c r="E11340" i="1"/>
  <c r="E11341" i="1"/>
  <c r="E11342" i="1"/>
  <c r="E11343" i="1"/>
  <c r="E11344" i="1"/>
  <c r="E11345" i="1"/>
  <c r="E11346" i="1"/>
  <c r="E11347" i="1"/>
  <c r="E11348" i="1"/>
  <c r="E11349" i="1"/>
  <c r="E11350" i="1"/>
  <c r="E11351" i="1"/>
  <c r="E11352" i="1"/>
  <c r="E11353" i="1"/>
  <c r="E11354" i="1"/>
  <c r="E11355" i="1"/>
  <c r="E11356" i="1"/>
  <c r="E11357" i="1"/>
  <c r="E11358" i="1"/>
  <c r="E11359" i="1"/>
  <c r="E11360" i="1"/>
  <c r="E11361" i="1"/>
  <c r="E11362" i="1"/>
  <c r="E11363" i="1"/>
  <c r="E11364" i="1"/>
  <c r="E11365" i="1"/>
  <c r="E11366" i="1"/>
  <c r="E11367" i="1"/>
  <c r="E11368" i="1"/>
  <c r="E11369" i="1"/>
  <c r="E11370" i="1"/>
  <c r="E11371" i="1"/>
  <c r="E11372" i="1"/>
  <c r="E11373" i="1"/>
  <c r="E11374" i="1"/>
  <c r="E11375" i="1"/>
  <c r="E11376" i="1"/>
  <c r="E11377" i="1"/>
  <c r="E11378" i="1"/>
  <c r="E11379" i="1"/>
  <c r="E11380" i="1"/>
  <c r="E11381" i="1"/>
  <c r="E11382" i="1"/>
  <c r="E11383" i="1"/>
  <c r="E11384" i="1"/>
  <c r="E11385" i="1"/>
  <c r="E11386" i="1"/>
  <c r="E11387" i="1"/>
  <c r="E11388" i="1"/>
  <c r="E11389" i="1"/>
  <c r="E11390" i="1"/>
  <c r="E11391" i="1"/>
  <c r="E11392" i="1"/>
  <c r="E11393" i="1"/>
  <c r="E11394" i="1"/>
  <c r="E11395" i="1"/>
  <c r="E11396" i="1"/>
  <c r="E11397" i="1"/>
  <c r="E11398" i="1"/>
  <c r="E11399" i="1"/>
  <c r="E11400" i="1"/>
  <c r="E11401" i="1"/>
  <c r="E11402" i="1"/>
  <c r="E11403" i="1"/>
  <c r="E11404" i="1"/>
  <c r="E11405" i="1"/>
  <c r="E11406" i="1"/>
  <c r="E11407" i="1"/>
  <c r="E11408" i="1"/>
  <c r="E11409" i="1"/>
  <c r="E11410" i="1"/>
  <c r="E11411" i="1"/>
  <c r="E11412" i="1"/>
  <c r="E11413" i="1"/>
  <c r="E11414" i="1"/>
  <c r="E11415" i="1"/>
  <c r="E11416" i="1"/>
  <c r="E11417" i="1"/>
  <c r="E11418" i="1"/>
  <c r="E11419" i="1"/>
  <c r="E11420" i="1"/>
  <c r="E11421" i="1"/>
  <c r="E11422" i="1"/>
  <c r="E11423" i="1"/>
  <c r="E11424" i="1"/>
  <c r="E11425" i="1"/>
  <c r="E11426" i="1"/>
  <c r="E11427" i="1"/>
  <c r="E11428" i="1"/>
  <c r="E11429" i="1"/>
  <c r="E11430" i="1"/>
  <c r="E11431" i="1"/>
  <c r="E11432" i="1"/>
  <c r="E11433" i="1"/>
  <c r="E11434" i="1"/>
  <c r="E11435" i="1"/>
  <c r="E11436" i="1"/>
  <c r="E11437" i="1"/>
  <c r="E11438" i="1"/>
  <c r="E11439" i="1"/>
  <c r="E11440" i="1"/>
  <c r="E11441" i="1"/>
  <c r="E11442" i="1"/>
  <c r="E11443" i="1"/>
  <c r="E11444" i="1"/>
  <c r="E11445" i="1"/>
  <c r="E11446" i="1"/>
  <c r="E11447" i="1"/>
  <c r="E11448" i="1"/>
  <c r="E11449" i="1"/>
  <c r="E11450" i="1"/>
  <c r="E11451" i="1"/>
  <c r="E11452" i="1"/>
  <c r="E11453" i="1"/>
  <c r="E11454" i="1"/>
  <c r="E11455" i="1"/>
  <c r="E11456" i="1"/>
  <c r="E11457" i="1"/>
  <c r="E11458" i="1"/>
  <c r="E11459" i="1"/>
  <c r="E11460" i="1"/>
  <c r="E11461" i="1"/>
  <c r="E11462" i="1"/>
  <c r="E11463" i="1"/>
  <c r="E11464" i="1"/>
  <c r="E11465" i="1"/>
  <c r="E11466" i="1"/>
  <c r="E11467" i="1"/>
  <c r="E11468" i="1"/>
  <c r="E11469" i="1"/>
  <c r="E11470" i="1"/>
  <c r="E11471" i="1"/>
  <c r="E11472" i="1"/>
  <c r="E11473" i="1"/>
  <c r="E11474" i="1"/>
  <c r="E11475" i="1"/>
  <c r="E11476" i="1"/>
  <c r="E11477" i="1"/>
  <c r="E11478" i="1"/>
  <c r="E11479" i="1"/>
  <c r="E11480" i="1"/>
  <c r="E11481" i="1"/>
  <c r="E11482" i="1"/>
  <c r="E11483" i="1"/>
  <c r="E11484" i="1"/>
  <c r="E11485" i="1"/>
  <c r="E11486" i="1"/>
  <c r="E11487" i="1"/>
  <c r="E11488" i="1"/>
  <c r="E11489" i="1"/>
  <c r="E11490" i="1"/>
  <c r="E11491" i="1"/>
  <c r="E11492" i="1"/>
  <c r="E11493" i="1"/>
  <c r="E11494" i="1"/>
  <c r="E11495" i="1"/>
  <c r="E11496" i="1"/>
  <c r="E11497" i="1"/>
  <c r="E11498" i="1"/>
  <c r="E11499" i="1"/>
  <c r="E11500" i="1"/>
  <c r="E11501" i="1"/>
  <c r="E11502" i="1"/>
  <c r="E11503" i="1"/>
  <c r="E11504" i="1"/>
  <c r="E11505" i="1"/>
  <c r="E11506" i="1"/>
  <c r="E11507" i="1"/>
  <c r="E11508" i="1"/>
  <c r="E11509" i="1"/>
  <c r="E11510" i="1"/>
  <c r="E11511" i="1"/>
  <c r="E11512" i="1"/>
  <c r="E11513" i="1"/>
  <c r="E11514" i="1"/>
  <c r="E11515" i="1"/>
  <c r="E11516" i="1"/>
  <c r="E11517" i="1"/>
  <c r="E11518" i="1"/>
  <c r="E11519" i="1"/>
  <c r="E11520" i="1"/>
  <c r="E11521" i="1"/>
  <c r="E11522" i="1"/>
  <c r="E11523" i="1"/>
  <c r="E11524" i="1"/>
  <c r="E11525" i="1"/>
  <c r="E11526" i="1"/>
  <c r="E11527" i="1"/>
  <c r="E11528" i="1"/>
  <c r="E11529" i="1"/>
  <c r="E11530" i="1"/>
  <c r="E11531" i="1"/>
  <c r="E11532" i="1"/>
  <c r="E11533" i="1"/>
  <c r="E11534" i="1"/>
  <c r="E11535" i="1"/>
  <c r="E11536" i="1"/>
  <c r="E11537" i="1"/>
  <c r="E11538" i="1"/>
  <c r="E11539" i="1"/>
  <c r="E11540" i="1"/>
  <c r="E11541" i="1"/>
  <c r="E11542" i="1"/>
  <c r="E11543" i="1"/>
  <c r="E11544" i="1"/>
  <c r="E11545" i="1"/>
  <c r="E11546" i="1"/>
  <c r="E11547" i="1"/>
  <c r="E11548" i="1"/>
  <c r="E11549" i="1"/>
  <c r="E11550" i="1"/>
  <c r="E11551" i="1"/>
  <c r="E11552" i="1"/>
  <c r="E11553" i="1"/>
  <c r="E11554" i="1"/>
  <c r="E11555" i="1"/>
  <c r="E11556" i="1"/>
  <c r="E11557" i="1"/>
  <c r="E11558" i="1"/>
  <c r="E11559" i="1"/>
  <c r="E11560" i="1"/>
  <c r="E11561" i="1"/>
  <c r="E11562" i="1"/>
  <c r="E11563" i="1"/>
  <c r="E11564" i="1"/>
  <c r="E11565" i="1"/>
  <c r="E11566" i="1"/>
  <c r="E11567" i="1"/>
  <c r="E11568" i="1"/>
  <c r="E11569" i="1"/>
  <c r="E11570" i="1"/>
  <c r="E11571" i="1"/>
  <c r="E11572" i="1"/>
  <c r="E11573" i="1"/>
  <c r="E11574" i="1"/>
  <c r="E11575" i="1"/>
  <c r="E11576" i="1"/>
  <c r="E11577" i="1"/>
  <c r="E11578" i="1"/>
  <c r="E11579" i="1"/>
  <c r="E11580" i="1"/>
  <c r="E11581" i="1"/>
  <c r="E11582" i="1"/>
  <c r="E11583" i="1"/>
  <c r="E11584" i="1"/>
  <c r="E11585" i="1"/>
  <c r="E11586" i="1"/>
  <c r="E11587" i="1"/>
  <c r="E11588" i="1"/>
  <c r="E11589" i="1"/>
  <c r="E11590" i="1"/>
  <c r="E11591" i="1"/>
  <c r="E11592" i="1"/>
  <c r="E11593" i="1"/>
  <c r="E11594" i="1"/>
  <c r="E11595" i="1"/>
  <c r="E11596" i="1"/>
  <c r="E11597" i="1"/>
  <c r="E11598" i="1"/>
  <c r="E11599" i="1"/>
  <c r="E11600" i="1"/>
  <c r="E11601" i="1"/>
  <c r="E11602" i="1"/>
  <c r="E11603" i="1"/>
  <c r="E11604" i="1"/>
  <c r="E11605" i="1"/>
  <c r="E11606" i="1"/>
  <c r="E11607" i="1"/>
  <c r="E11608" i="1"/>
  <c r="E11609" i="1"/>
  <c r="E11610" i="1"/>
  <c r="E11611" i="1"/>
  <c r="E11612" i="1"/>
  <c r="E11613" i="1"/>
  <c r="E11614" i="1"/>
  <c r="E11615" i="1"/>
  <c r="E11616" i="1"/>
  <c r="E11617" i="1"/>
  <c r="E11618" i="1"/>
  <c r="E11619" i="1"/>
  <c r="E11620" i="1"/>
  <c r="E11621" i="1"/>
  <c r="E11622" i="1"/>
  <c r="E11623" i="1"/>
  <c r="E11624" i="1"/>
  <c r="E11625" i="1"/>
  <c r="E11626" i="1"/>
  <c r="E11627" i="1"/>
  <c r="E11628" i="1"/>
  <c r="E11629" i="1"/>
  <c r="E11630" i="1"/>
  <c r="E11631" i="1"/>
  <c r="E11632" i="1"/>
  <c r="E11633" i="1"/>
  <c r="E11634" i="1"/>
  <c r="E11635" i="1"/>
  <c r="E11636" i="1"/>
  <c r="E11637" i="1"/>
  <c r="E11638" i="1"/>
  <c r="E11639" i="1"/>
  <c r="E11640" i="1"/>
  <c r="E11641" i="1"/>
  <c r="E11642" i="1"/>
  <c r="E11643" i="1"/>
  <c r="E11644" i="1"/>
  <c r="E11645" i="1"/>
  <c r="E11646" i="1"/>
  <c r="E11647" i="1"/>
  <c r="E11648" i="1"/>
  <c r="E11649" i="1"/>
  <c r="E11650" i="1"/>
  <c r="E11651" i="1"/>
  <c r="E11652" i="1"/>
  <c r="E11653" i="1"/>
  <c r="E11654" i="1"/>
  <c r="E11655" i="1"/>
  <c r="E11656" i="1"/>
  <c r="E11657" i="1"/>
  <c r="E11658" i="1"/>
  <c r="E11659" i="1"/>
  <c r="E11660" i="1"/>
  <c r="E11661" i="1"/>
  <c r="E11662" i="1"/>
  <c r="E11663" i="1"/>
  <c r="E11664" i="1"/>
  <c r="E11665" i="1"/>
  <c r="E11666" i="1"/>
  <c r="E11667" i="1"/>
  <c r="E11668" i="1"/>
  <c r="E11669" i="1"/>
  <c r="E11670" i="1"/>
  <c r="E11671" i="1"/>
  <c r="E11672" i="1"/>
  <c r="E11673" i="1"/>
  <c r="E11674" i="1"/>
  <c r="E11675" i="1"/>
  <c r="E11676" i="1"/>
  <c r="E11677" i="1"/>
  <c r="E11678" i="1"/>
  <c r="E11679" i="1"/>
  <c r="E11680" i="1"/>
  <c r="E11681" i="1"/>
  <c r="E11682" i="1"/>
  <c r="E11683" i="1"/>
  <c r="E11684" i="1"/>
  <c r="E11685" i="1"/>
  <c r="E11686" i="1"/>
  <c r="E11687" i="1"/>
  <c r="E10600"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328"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192"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056"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9920"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784" i="1"/>
  <c r="E9513" i="1"/>
  <c r="E9514" i="1"/>
  <c r="E9515" i="1"/>
  <c r="E9516" i="1"/>
  <c r="E9517" i="1"/>
  <c r="E9518" i="1"/>
  <c r="E9519" i="1"/>
  <c r="E9520" i="1"/>
  <c r="E9521" i="1"/>
  <c r="E9522" i="1"/>
  <c r="E9523" i="1"/>
  <c r="E9524" i="1"/>
  <c r="E9525" i="1"/>
  <c r="E9526" i="1"/>
  <c r="E9527" i="1"/>
  <c r="E9528" i="1"/>
  <c r="E9529" i="1"/>
  <c r="E9530" i="1"/>
  <c r="E9531" i="1"/>
  <c r="E9532" i="1"/>
  <c r="E9533" i="1"/>
  <c r="E9534" i="1"/>
  <c r="E9535" i="1"/>
  <c r="E9536" i="1"/>
  <c r="E9537" i="1"/>
  <c r="E9538" i="1"/>
  <c r="E9539" i="1"/>
  <c r="E9540" i="1"/>
  <c r="E9541" i="1"/>
  <c r="E9542" i="1"/>
  <c r="E9543" i="1"/>
  <c r="E9544" i="1"/>
  <c r="E9545" i="1"/>
  <c r="E9546" i="1"/>
  <c r="E9547" i="1"/>
  <c r="E9548" i="1"/>
  <c r="E9549" i="1"/>
  <c r="E9550" i="1"/>
  <c r="E9551" i="1"/>
  <c r="E9552" i="1"/>
  <c r="E9553" i="1"/>
  <c r="E9554" i="1"/>
  <c r="E9555" i="1"/>
  <c r="E9556" i="1"/>
  <c r="E9557" i="1"/>
  <c r="E9558" i="1"/>
  <c r="E9559" i="1"/>
  <c r="E9560" i="1"/>
  <c r="E9561" i="1"/>
  <c r="E9562" i="1"/>
  <c r="E9563" i="1"/>
  <c r="E9564" i="1"/>
  <c r="E9565" i="1"/>
  <c r="E9566" i="1"/>
  <c r="E9567" i="1"/>
  <c r="E9568" i="1"/>
  <c r="E9569" i="1"/>
  <c r="E9570" i="1"/>
  <c r="E9571" i="1"/>
  <c r="E9572" i="1"/>
  <c r="E9573" i="1"/>
  <c r="E9574" i="1"/>
  <c r="E9575" i="1"/>
  <c r="E9576" i="1"/>
  <c r="E9577" i="1"/>
  <c r="E9578" i="1"/>
  <c r="E9579" i="1"/>
  <c r="E9580" i="1"/>
  <c r="E9581" i="1"/>
  <c r="E9582" i="1"/>
  <c r="E9583" i="1"/>
  <c r="E9584" i="1"/>
  <c r="E9585" i="1"/>
  <c r="E9586" i="1"/>
  <c r="E9587" i="1"/>
  <c r="E9588" i="1"/>
  <c r="E9589" i="1"/>
  <c r="E9590" i="1"/>
  <c r="E9591" i="1"/>
  <c r="E9592" i="1"/>
  <c r="E9593" i="1"/>
  <c r="E9594" i="1"/>
  <c r="E9595" i="1"/>
  <c r="E9596" i="1"/>
  <c r="E9597" i="1"/>
  <c r="E9598" i="1"/>
  <c r="E9599" i="1"/>
  <c r="E9600" i="1"/>
  <c r="E9601" i="1"/>
  <c r="E9602" i="1"/>
  <c r="E9603" i="1"/>
  <c r="E9604" i="1"/>
  <c r="E9605" i="1"/>
  <c r="E9606" i="1"/>
  <c r="E9607" i="1"/>
  <c r="E9608" i="1"/>
  <c r="E9609" i="1"/>
  <c r="E9610" i="1"/>
  <c r="E9611" i="1"/>
  <c r="E9612" i="1"/>
  <c r="E9613" i="1"/>
  <c r="E9614" i="1"/>
  <c r="E9615" i="1"/>
  <c r="E9616" i="1"/>
  <c r="E9617" i="1"/>
  <c r="E9618" i="1"/>
  <c r="E9619" i="1"/>
  <c r="E9620" i="1"/>
  <c r="E9621" i="1"/>
  <c r="E9622" i="1"/>
  <c r="E9623" i="1"/>
  <c r="E9624" i="1"/>
  <c r="E9625" i="1"/>
  <c r="E9626" i="1"/>
  <c r="E9627" i="1"/>
  <c r="E9628" i="1"/>
  <c r="E9629" i="1"/>
  <c r="E9630" i="1"/>
  <c r="E9631" i="1"/>
  <c r="E9632" i="1"/>
  <c r="E9633" i="1"/>
  <c r="E9634" i="1"/>
  <c r="E9635" i="1"/>
  <c r="E9636" i="1"/>
  <c r="E9637" i="1"/>
  <c r="E9638" i="1"/>
  <c r="E9639" i="1"/>
  <c r="E9640" i="1"/>
  <c r="E9641" i="1"/>
  <c r="E9642" i="1"/>
  <c r="E9643" i="1"/>
  <c r="E9644" i="1"/>
  <c r="E9645" i="1"/>
  <c r="E9646" i="1"/>
  <c r="E9647" i="1"/>
  <c r="E9648" i="1"/>
  <c r="E9649" i="1"/>
  <c r="E9650" i="1"/>
  <c r="E9651" i="1"/>
  <c r="E9652" i="1"/>
  <c r="E9653" i="1"/>
  <c r="E9654" i="1"/>
  <c r="E9655" i="1"/>
  <c r="E9656" i="1"/>
  <c r="E9657" i="1"/>
  <c r="E9658" i="1"/>
  <c r="E9659" i="1"/>
  <c r="E9660" i="1"/>
  <c r="E9661" i="1"/>
  <c r="E9662" i="1"/>
  <c r="E9663" i="1"/>
  <c r="E9664" i="1"/>
  <c r="E9665" i="1"/>
  <c r="E9666" i="1"/>
  <c r="E9667" i="1"/>
  <c r="E9668" i="1"/>
  <c r="E9669" i="1"/>
  <c r="E9670" i="1"/>
  <c r="E9671" i="1"/>
  <c r="E9672" i="1"/>
  <c r="E9673" i="1"/>
  <c r="E9674" i="1"/>
  <c r="E9675" i="1"/>
  <c r="E9676" i="1"/>
  <c r="E9677" i="1"/>
  <c r="E9678" i="1"/>
  <c r="E9679" i="1"/>
  <c r="E9680" i="1"/>
  <c r="E9681" i="1"/>
  <c r="E9682" i="1"/>
  <c r="E9683" i="1"/>
  <c r="E9684" i="1"/>
  <c r="E9685" i="1"/>
  <c r="E9686" i="1"/>
  <c r="E9687" i="1"/>
  <c r="E9688" i="1"/>
  <c r="E9689" i="1"/>
  <c r="E9690" i="1"/>
  <c r="E9691" i="1"/>
  <c r="E9692" i="1"/>
  <c r="E9693" i="1"/>
  <c r="E9694" i="1"/>
  <c r="E9695" i="1"/>
  <c r="E9696" i="1"/>
  <c r="E9697" i="1"/>
  <c r="E9698" i="1"/>
  <c r="E9699" i="1"/>
  <c r="E9700" i="1"/>
  <c r="E9701" i="1"/>
  <c r="E9702" i="1"/>
  <c r="E9703" i="1"/>
  <c r="E9704" i="1"/>
  <c r="E9705" i="1"/>
  <c r="E9706" i="1"/>
  <c r="E9707" i="1"/>
  <c r="E9708" i="1"/>
  <c r="E9709" i="1"/>
  <c r="E9710" i="1"/>
  <c r="E9711" i="1"/>
  <c r="E9712" i="1"/>
  <c r="E9713" i="1"/>
  <c r="E9714" i="1"/>
  <c r="E9715" i="1"/>
  <c r="E9716" i="1"/>
  <c r="E9717" i="1"/>
  <c r="E9718" i="1"/>
  <c r="E9719" i="1"/>
  <c r="E9720" i="1"/>
  <c r="E9721" i="1"/>
  <c r="E9722" i="1"/>
  <c r="E9723" i="1"/>
  <c r="E9724" i="1"/>
  <c r="E9725" i="1"/>
  <c r="E9726" i="1"/>
  <c r="E9727" i="1"/>
  <c r="E9728" i="1"/>
  <c r="E9729" i="1"/>
  <c r="E9730" i="1"/>
  <c r="E9731" i="1"/>
  <c r="E9732" i="1"/>
  <c r="E9733" i="1"/>
  <c r="E9734" i="1"/>
  <c r="E9735" i="1"/>
  <c r="E9736" i="1"/>
  <c r="E9737" i="1"/>
  <c r="E9738" i="1"/>
  <c r="E9739" i="1"/>
  <c r="E9740" i="1"/>
  <c r="E9741" i="1"/>
  <c r="E9742" i="1"/>
  <c r="E9743" i="1"/>
  <c r="E9744" i="1"/>
  <c r="E9745" i="1"/>
  <c r="E9746" i="1"/>
  <c r="E9747" i="1"/>
  <c r="E9748" i="1"/>
  <c r="E9749" i="1"/>
  <c r="E9750" i="1"/>
  <c r="E9751" i="1"/>
  <c r="E9752" i="1"/>
  <c r="E9753" i="1"/>
  <c r="E9754" i="1"/>
  <c r="E9755" i="1"/>
  <c r="E9756" i="1"/>
  <c r="E9757" i="1"/>
  <c r="E9758" i="1"/>
  <c r="E9759" i="1"/>
  <c r="E9760" i="1"/>
  <c r="E9761" i="1"/>
  <c r="E9762" i="1"/>
  <c r="E9763" i="1"/>
  <c r="E9764" i="1"/>
  <c r="E9765" i="1"/>
  <c r="E9766" i="1"/>
  <c r="E9767" i="1"/>
  <c r="E9768" i="1"/>
  <c r="E9769" i="1"/>
  <c r="E9770" i="1"/>
  <c r="E9771" i="1"/>
  <c r="E9772" i="1"/>
  <c r="E9773" i="1"/>
  <c r="E9774" i="1"/>
  <c r="E9775" i="1"/>
  <c r="E9776" i="1"/>
  <c r="E9777" i="1"/>
  <c r="E9778" i="1"/>
  <c r="E9779" i="1"/>
  <c r="E9780" i="1"/>
  <c r="E9781" i="1"/>
  <c r="E9782" i="1"/>
  <c r="E9783" i="1"/>
  <c r="E9784" i="1"/>
  <c r="E9785" i="1"/>
  <c r="E9786" i="1"/>
  <c r="E9787" i="1"/>
  <c r="E9788" i="1"/>
  <c r="E9789" i="1"/>
  <c r="E9790" i="1"/>
  <c r="E9791" i="1"/>
  <c r="E9792" i="1"/>
  <c r="E9793" i="1"/>
  <c r="E9794" i="1"/>
  <c r="E9795" i="1"/>
  <c r="E9796" i="1"/>
  <c r="E9797" i="1"/>
  <c r="E9798" i="1"/>
  <c r="E9799" i="1"/>
  <c r="E9800" i="1"/>
  <c r="E9801" i="1"/>
  <c r="E9802" i="1"/>
  <c r="E9803" i="1"/>
  <c r="E9804" i="1"/>
  <c r="E9805" i="1"/>
  <c r="E9806" i="1"/>
  <c r="E9807" i="1"/>
  <c r="E9808" i="1"/>
  <c r="E9809" i="1"/>
  <c r="E9810" i="1"/>
  <c r="E9811" i="1"/>
  <c r="E9812" i="1"/>
  <c r="E9813" i="1"/>
  <c r="E9814" i="1"/>
  <c r="E9815" i="1"/>
  <c r="E9816" i="1"/>
  <c r="E9817" i="1"/>
  <c r="E9818" i="1"/>
  <c r="E9819" i="1"/>
  <c r="E9820" i="1"/>
  <c r="E9821" i="1"/>
  <c r="E9822" i="1"/>
  <c r="E9823" i="1"/>
  <c r="E9824" i="1"/>
  <c r="E9825" i="1"/>
  <c r="E9826" i="1"/>
  <c r="E9827" i="1"/>
  <c r="E9828" i="1"/>
  <c r="E9829" i="1"/>
  <c r="E9830" i="1"/>
  <c r="E9831" i="1"/>
  <c r="E9832" i="1"/>
  <c r="E9833" i="1"/>
  <c r="E9834" i="1"/>
  <c r="E9835" i="1"/>
  <c r="E9836" i="1"/>
  <c r="E9837" i="1"/>
  <c r="E9838" i="1"/>
  <c r="E9839" i="1"/>
  <c r="E9840" i="1"/>
  <c r="E9841" i="1"/>
  <c r="E9842" i="1"/>
  <c r="E9843" i="1"/>
  <c r="E9844" i="1"/>
  <c r="E9845" i="1"/>
  <c r="E9846" i="1"/>
  <c r="E9847" i="1"/>
  <c r="E9848" i="1"/>
  <c r="E9849" i="1"/>
  <c r="E9850" i="1"/>
  <c r="E9851" i="1"/>
  <c r="E9852" i="1"/>
  <c r="E9853" i="1"/>
  <c r="E9854" i="1"/>
  <c r="E9855" i="1"/>
  <c r="E9856" i="1"/>
  <c r="E9857" i="1"/>
  <c r="E9858" i="1"/>
  <c r="E9859" i="1"/>
  <c r="E9860" i="1"/>
  <c r="E9861" i="1"/>
  <c r="E9862" i="1"/>
  <c r="E9863" i="1"/>
  <c r="E9864" i="1"/>
  <c r="E9865" i="1"/>
  <c r="E9866" i="1"/>
  <c r="E9867" i="1"/>
  <c r="E9868" i="1"/>
  <c r="E9869" i="1"/>
  <c r="E9870" i="1"/>
  <c r="E9871" i="1"/>
  <c r="E9872" i="1"/>
  <c r="E9873" i="1"/>
  <c r="E9874" i="1"/>
  <c r="E9875" i="1"/>
  <c r="E9876" i="1"/>
  <c r="E9877" i="1"/>
  <c r="E9878" i="1"/>
  <c r="E9879" i="1"/>
  <c r="E9880" i="1"/>
  <c r="E9881" i="1"/>
  <c r="E9882" i="1"/>
  <c r="E9883" i="1"/>
  <c r="E9884" i="1"/>
  <c r="E9885" i="1"/>
  <c r="E9886" i="1"/>
  <c r="E9887" i="1"/>
  <c r="E9888" i="1"/>
  <c r="E9889" i="1"/>
  <c r="E9890" i="1"/>
  <c r="E9891" i="1"/>
  <c r="E9892" i="1"/>
  <c r="E9893" i="1"/>
  <c r="E9894" i="1"/>
  <c r="E9895" i="1"/>
  <c r="E9896" i="1"/>
  <c r="E9897" i="1"/>
  <c r="E9898" i="1"/>
  <c r="E9899" i="1"/>
  <c r="E9900" i="1"/>
  <c r="E9901" i="1"/>
  <c r="E9902" i="1"/>
  <c r="E9903" i="1"/>
  <c r="E9904" i="1"/>
  <c r="E9905" i="1"/>
  <c r="E9906" i="1"/>
  <c r="E9907" i="1"/>
  <c r="E9908" i="1"/>
  <c r="E9909" i="1"/>
  <c r="E9910" i="1"/>
  <c r="E9911" i="1"/>
  <c r="E9912" i="1"/>
  <c r="E9913" i="1"/>
  <c r="E9914" i="1"/>
  <c r="E9915" i="1"/>
  <c r="E9916" i="1"/>
  <c r="E9917" i="1"/>
  <c r="E9918" i="1"/>
  <c r="E9919" i="1"/>
  <c r="E9920" i="1"/>
  <c r="E9921" i="1"/>
  <c r="E9922" i="1"/>
  <c r="E9923" i="1"/>
  <c r="E9924" i="1"/>
  <c r="E9925" i="1"/>
  <c r="E9926" i="1"/>
  <c r="E9927" i="1"/>
  <c r="E9928" i="1"/>
  <c r="E9929" i="1"/>
  <c r="E9930" i="1"/>
  <c r="E9931" i="1"/>
  <c r="E9932" i="1"/>
  <c r="E9933" i="1"/>
  <c r="E9934" i="1"/>
  <c r="E9935" i="1"/>
  <c r="E9936" i="1"/>
  <c r="E9937" i="1"/>
  <c r="E9938" i="1"/>
  <c r="E9939" i="1"/>
  <c r="E9940" i="1"/>
  <c r="E9941" i="1"/>
  <c r="E9942" i="1"/>
  <c r="E9943" i="1"/>
  <c r="E9944" i="1"/>
  <c r="E9945" i="1"/>
  <c r="E9946" i="1"/>
  <c r="E9947" i="1"/>
  <c r="E9948" i="1"/>
  <c r="E9949" i="1"/>
  <c r="E9950" i="1"/>
  <c r="E9951" i="1"/>
  <c r="E9952" i="1"/>
  <c r="E9953" i="1"/>
  <c r="E9954" i="1"/>
  <c r="E9955" i="1"/>
  <c r="E9956" i="1"/>
  <c r="E9957" i="1"/>
  <c r="E9958" i="1"/>
  <c r="E9959" i="1"/>
  <c r="E9960" i="1"/>
  <c r="E9961" i="1"/>
  <c r="E9962" i="1"/>
  <c r="E9963" i="1"/>
  <c r="E9964" i="1"/>
  <c r="E9965" i="1"/>
  <c r="E9966" i="1"/>
  <c r="E9967" i="1"/>
  <c r="E9968" i="1"/>
  <c r="E9969" i="1"/>
  <c r="E9970" i="1"/>
  <c r="E9971" i="1"/>
  <c r="E9972" i="1"/>
  <c r="E9973" i="1"/>
  <c r="E9974" i="1"/>
  <c r="E9975" i="1"/>
  <c r="E9976" i="1"/>
  <c r="E9977" i="1"/>
  <c r="E9978" i="1"/>
  <c r="E9979" i="1"/>
  <c r="E9980" i="1"/>
  <c r="E9981" i="1"/>
  <c r="E9982" i="1"/>
  <c r="E9983" i="1"/>
  <c r="E9984" i="1"/>
  <c r="E9985" i="1"/>
  <c r="E9986" i="1"/>
  <c r="E9987" i="1"/>
  <c r="E9988" i="1"/>
  <c r="E9989" i="1"/>
  <c r="E9990" i="1"/>
  <c r="E9991" i="1"/>
  <c r="E9992" i="1"/>
  <c r="E9993" i="1"/>
  <c r="E9994" i="1"/>
  <c r="E9995" i="1"/>
  <c r="E9996" i="1"/>
  <c r="E9997" i="1"/>
  <c r="E9998" i="1"/>
  <c r="E9999" i="1"/>
  <c r="E10000" i="1"/>
  <c r="E10001" i="1"/>
  <c r="E10002" i="1"/>
  <c r="E10003" i="1"/>
  <c r="E10004" i="1"/>
  <c r="E10005" i="1"/>
  <c r="E10006" i="1"/>
  <c r="E10007" i="1"/>
  <c r="E10008" i="1"/>
  <c r="E10009" i="1"/>
  <c r="E10010" i="1"/>
  <c r="E10011" i="1"/>
  <c r="E10012" i="1"/>
  <c r="E10013" i="1"/>
  <c r="E10014" i="1"/>
  <c r="E10015" i="1"/>
  <c r="E10016" i="1"/>
  <c r="E10017" i="1"/>
  <c r="E10018" i="1"/>
  <c r="E10019" i="1"/>
  <c r="E10020" i="1"/>
  <c r="E10021" i="1"/>
  <c r="E10022" i="1"/>
  <c r="E10023" i="1"/>
  <c r="E10024" i="1"/>
  <c r="E10025" i="1"/>
  <c r="E10026" i="1"/>
  <c r="E10027" i="1"/>
  <c r="E10028" i="1"/>
  <c r="E10029" i="1"/>
  <c r="E10030" i="1"/>
  <c r="E10031" i="1"/>
  <c r="E10032" i="1"/>
  <c r="E10033" i="1"/>
  <c r="E10034" i="1"/>
  <c r="E10035" i="1"/>
  <c r="E10036" i="1"/>
  <c r="E10037" i="1"/>
  <c r="E10038" i="1"/>
  <c r="E10039" i="1"/>
  <c r="E10040" i="1"/>
  <c r="E10041" i="1"/>
  <c r="E10042" i="1"/>
  <c r="E10043" i="1"/>
  <c r="E10044" i="1"/>
  <c r="E10045" i="1"/>
  <c r="E10046" i="1"/>
  <c r="E10047" i="1"/>
  <c r="E10048" i="1"/>
  <c r="E10049" i="1"/>
  <c r="E10050" i="1"/>
  <c r="E10051" i="1"/>
  <c r="E10052" i="1"/>
  <c r="E10053" i="1"/>
  <c r="E10054" i="1"/>
  <c r="E10055" i="1"/>
  <c r="E10056" i="1"/>
  <c r="E10057" i="1"/>
  <c r="E10058" i="1"/>
  <c r="E10059" i="1"/>
  <c r="E10060" i="1"/>
  <c r="E10061" i="1"/>
  <c r="E10062" i="1"/>
  <c r="E10063" i="1"/>
  <c r="E10064" i="1"/>
  <c r="E10065" i="1"/>
  <c r="E10066" i="1"/>
  <c r="E10067" i="1"/>
  <c r="E10068" i="1"/>
  <c r="E10069" i="1"/>
  <c r="E10070" i="1"/>
  <c r="E10071" i="1"/>
  <c r="E10072" i="1"/>
  <c r="E10073" i="1"/>
  <c r="E10074" i="1"/>
  <c r="E10075" i="1"/>
  <c r="E10076" i="1"/>
  <c r="E10077" i="1"/>
  <c r="E10078" i="1"/>
  <c r="E10079" i="1"/>
  <c r="E10080" i="1"/>
  <c r="E10081" i="1"/>
  <c r="E10082" i="1"/>
  <c r="E10083" i="1"/>
  <c r="E10084" i="1"/>
  <c r="E10085" i="1"/>
  <c r="E10086" i="1"/>
  <c r="E10087" i="1"/>
  <c r="E10088" i="1"/>
  <c r="E10089" i="1"/>
  <c r="E10090" i="1"/>
  <c r="E10091" i="1"/>
  <c r="E10092" i="1"/>
  <c r="E10093" i="1"/>
  <c r="E10094" i="1"/>
  <c r="E10095" i="1"/>
  <c r="E10096" i="1"/>
  <c r="E10097" i="1"/>
  <c r="E10098" i="1"/>
  <c r="E10099" i="1"/>
  <c r="E10100" i="1"/>
  <c r="E10101" i="1"/>
  <c r="E10102" i="1"/>
  <c r="E10103" i="1"/>
  <c r="E10104" i="1"/>
  <c r="E10105" i="1"/>
  <c r="E10106" i="1"/>
  <c r="E10107" i="1"/>
  <c r="E10108" i="1"/>
  <c r="E10109" i="1"/>
  <c r="E10110" i="1"/>
  <c r="E10111" i="1"/>
  <c r="E10112" i="1"/>
  <c r="E10113" i="1"/>
  <c r="E10114" i="1"/>
  <c r="E10115" i="1"/>
  <c r="E10116" i="1"/>
  <c r="E10117" i="1"/>
  <c r="E10118" i="1"/>
  <c r="E10119" i="1"/>
  <c r="E10120" i="1"/>
  <c r="E10121" i="1"/>
  <c r="E10122" i="1"/>
  <c r="E10123" i="1"/>
  <c r="E10124" i="1"/>
  <c r="E10125" i="1"/>
  <c r="E10126" i="1"/>
  <c r="E10127" i="1"/>
  <c r="E10128" i="1"/>
  <c r="E10129" i="1"/>
  <c r="E10130" i="1"/>
  <c r="E10131" i="1"/>
  <c r="E10132" i="1"/>
  <c r="E10133" i="1"/>
  <c r="E10134" i="1"/>
  <c r="E10135" i="1"/>
  <c r="E10136" i="1"/>
  <c r="E10137" i="1"/>
  <c r="E10138" i="1"/>
  <c r="E10139" i="1"/>
  <c r="E10140" i="1"/>
  <c r="E10141" i="1"/>
  <c r="E10142" i="1"/>
  <c r="E10143" i="1"/>
  <c r="E10144" i="1"/>
  <c r="E10145" i="1"/>
  <c r="E10146" i="1"/>
  <c r="E10147" i="1"/>
  <c r="E10148" i="1"/>
  <c r="E10149" i="1"/>
  <c r="E10150" i="1"/>
  <c r="E10151" i="1"/>
  <c r="E10152" i="1"/>
  <c r="E10153" i="1"/>
  <c r="E10154" i="1"/>
  <c r="E10155" i="1"/>
  <c r="E10156" i="1"/>
  <c r="E10157" i="1"/>
  <c r="E10158" i="1"/>
  <c r="E10159" i="1"/>
  <c r="E10160" i="1"/>
  <c r="E10161" i="1"/>
  <c r="E10162" i="1"/>
  <c r="E10163" i="1"/>
  <c r="E10164" i="1"/>
  <c r="E10165" i="1"/>
  <c r="E10166" i="1"/>
  <c r="E10167" i="1"/>
  <c r="E10168" i="1"/>
  <c r="E10169" i="1"/>
  <c r="E10170" i="1"/>
  <c r="E10171" i="1"/>
  <c r="E10172" i="1"/>
  <c r="E10173" i="1"/>
  <c r="E10174" i="1"/>
  <c r="E10175" i="1"/>
  <c r="E10176" i="1"/>
  <c r="E10177" i="1"/>
  <c r="E10178" i="1"/>
  <c r="E10179" i="1"/>
  <c r="E10180" i="1"/>
  <c r="E10181" i="1"/>
  <c r="E10182" i="1"/>
  <c r="E10183" i="1"/>
  <c r="E10184" i="1"/>
  <c r="E10185" i="1"/>
  <c r="E10186" i="1"/>
  <c r="E10187" i="1"/>
  <c r="E10188" i="1"/>
  <c r="E10189" i="1"/>
  <c r="E10190" i="1"/>
  <c r="E10191" i="1"/>
  <c r="E10192" i="1"/>
  <c r="E10193" i="1"/>
  <c r="E10194" i="1"/>
  <c r="E10195" i="1"/>
  <c r="E10196" i="1"/>
  <c r="E10197" i="1"/>
  <c r="E10198" i="1"/>
  <c r="E10199" i="1"/>
  <c r="E10200" i="1"/>
  <c r="E10201" i="1"/>
  <c r="E10202" i="1"/>
  <c r="E10203" i="1"/>
  <c r="E10204" i="1"/>
  <c r="E10205" i="1"/>
  <c r="E10206" i="1"/>
  <c r="E10207" i="1"/>
  <c r="E10208" i="1"/>
  <c r="E10209" i="1"/>
  <c r="E10210" i="1"/>
  <c r="E10211" i="1"/>
  <c r="E10212" i="1"/>
  <c r="E10213" i="1"/>
  <c r="E10214" i="1"/>
  <c r="E10215" i="1"/>
  <c r="E10216" i="1"/>
  <c r="E10217" i="1"/>
  <c r="E10218" i="1"/>
  <c r="E10219" i="1"/>
  <c r="E10220" i="1"/>
  <c r="E10221" i="1"/>
  <c r="E10222" i="1"/>
  <c r="E10223" i="1"/>
  <c r="E10224" i="1"/>
  <c r="E10225" i="1"/>
  <c r="E10226" i="1"/>
  <c r="E10227" i="1"/>
  <c r="E10228" i="1"/>
  <c r="E10229" i="1"/>
  <c r="E10230" i="1"/>
  <c r="E10231" i="1"/>
  <c r="E10232" i="1"/>
  <c r="E10233" i="1"/>
  <c r="E10234" i="1"/>
  <c r="E10235" i="1"/>
  <c r="E10236" i="1"/>
  <c r="E10237" i="1"/>
  <c r="E10238" i="1"/>
  <c r="E10239" i="1"/>
  <c r="E10240" i="1"/>
  <c r="E10241" i="1"/>
  <c r="E10242" i="1"/>
  <c r="E10243" i="1"/>
  <c r="E10244" i="1"/>
  <c r="E10245" i="1"/>
  <c r="E10246" i="1"/>
  <c r="E10247" i="1"/>
  <c r="E10248" i="1"/>
  <c r="E10249" i="1"/>
  <c r="E10250" i="1"/>
  <c r="E10251" i="1"/>
  <c r="E10252" i="1"/>
  <c r="E10253" i="1"/>
  <c r="E10254" i="1"/>
  <c r="E10255" i="1"/>
  <c r="E10256" i="1"/>
  <c r="E10257" i="1"/>
  <c r="E10258" i="1"/>
  <c r="E10259" i="1"/>
  <c r="E10260" i="1"/>
  <c r="E10261" i="1"/>
  <c r="E10262" i="1"/>
  <c r="E10263" i="1"/>
  <c r="E10264" i="1"/>
  <c r="E10265" i="1"/>
  <c r="E10266" i="1"/>
  <c r="E10267" i="1"/>
  <c r="E10268" i="1"/>
  <c r="E10269" i="1"/>
  <c r="E10270" i="1"/>
  <c r="E10271" i="1"/>
  <c r="E10272" i="1"/>
  <c r="E10273" i="1"/>
  <c r="E10274" i="1"/>
  <c r="E10275" i="1"/>
  <c r="E10276" i="1"/>
  <c r="E10277" i="1"/>
  <c r="E10278" i="1"/>
  <c r="E10279" i="1"/>
  <c r="E10280" i="1"/>
  <c r="E10281" i="1"/>
  <c r="E10282" i="1"/>
  <c r="E10283" i="1"/>
  <c r="E10284" i="1"/>
  <c r="E10285" i="1"/>
  <c r="E10286" i="1"/>
  <c r="E10287" i="1"/>
  <c r="E10288" i="1"/>
  <c r="E10289" i="1"/>
  <c r="E10290" i="1"/>
  <c r="E10291" i="1"/>
  <c r="E10292" i="1"/>
  <c r="E10293" i="1"/>
  <c r="E10294" i="1"/>
  <c r="E10295" i="1"/>
  <c r="E10296" i="1"/>
  <c r="E10297" i="1"/>
  <c r="E10298" i="1"/>
  <c r="E10299" i="1"/>
  <c r="E10300" i="1"/>
  <c r="E10301" i="1"/>
  <c r="E10302" i="1"/>
  <c r="E10303" i="1"/>
  <c r="E10304" i="1"/>
  <c r="E10305" i="1"/>
  <c r="E10306" i="1"/>
  <c r="E10307" i="1"/>
  <c r="E10308" i="1"/>
  <c r="E10309" i="1"/>
  <c r="E10310" i="1"/>
  <c r="E10311" i="1"/>
  <c r="E10312" i="1"/>
  <c r="E10313" i="1"/>
  <c r="E10314" i="1"/>
  <c r="E10315" i="1"/>
  <c r="E10316" i="1"/>
  <c r="E10317" i="1"/>
  <c r="E10318" i="1"/>
  <c r="E10319" i="1"/>
  <c r="E10320" i="1"/>
  <c r="E10321" i="1"/>
  <c r="E10322" i="1"/>
  <c r="E10323" i="1"/>
  <c r="E10324" i="1"/>
  <c r="E10325" i="1"/>
  <c r="E10326" i="1"/>
  <c r="E10327" i="1"/>
  <c r="E10328" i="1"/>
  <c r="E10329" i="1"/>
  <c r="E10330" i="1"/>
  <c r="E10331" i="1"/>
  <c r="E10332" i="1"/>
  <c r="E10333" i="1"/>
  <c r="E10334" i="1"/>
  <c r="E10335" i="1"/>
  <c r="E10336" i="1"/>
  <c r="E10337" i="1"/>
  <c r="E10338" i="1"/>
  <c r="E10339" i="1"/>
  <c r="E10340" i="1"/>
  <c r="E10341" i="1"/>
  <c r="E10342" i="1"/>
  <c r="E10343" i="1"/>
  <c r="E10344" i="1"/>
  <c r="E10345" i="1"/>
  <c r="E10346" i="1"/>
  <c r="E10347" i="1"/>
  <c r="E10348" i="1"/>
  <c r="E10349" i="1"/>
  <c r="E10350" i="1"/>
  <c r="E10351" i="1"/>
  <c r="E10352" i="1"/>
  <c r="E10353" i="1"/>
  <c r="E10354" i="1"/>
  <c r="E10355" i="1"/>
  <c r="E10356" i="1"/>
  <c r="E10357" i="1"/>
  <c r="E10358" i="1"/>
  <c r="E10359" i="1"/>
  <c r="E10360" i="1"/>
  <c r="E10361" i="1"/>
  <c r="E10362" i="1"/>
  <c r="E10363" i="1"/>
  <c r="E10364" i="1"/>
  <c r="E10365" i="1"/>
  <c r="E10366" i="1"/>
  <c r="E10367" i="1"/>
  <c r="E10368" i="1"/>
  <c r="E10369" i="1"/>
  <c r="E10370" i="1"/>
  <c r="E10371" i="1"/>
  <c r="E10372" i="1"/>
  <c r="E10373" i="1"/>
  <c r="E10374" i="1"/>
  <c r="E10375" i="1"/>
  <c r="E10376" i="1"/>
  <c r="E10377" i="1"/>
  <c r="E10378" i="1"/>
  <c r="E10379" i="1"/>
  <c r="E10380" i="1"/>
  <c r="E10381" i="1"/>
  <c r="E10382" i="1"/>
  <c r="E10383" i="1"/>
  <c r="E10384" i="1"/>
  <c r="E10385" i="1"/>
  <c r="E10386" i="1"/>
  <c r="E10387" i="1"/>
  <c r="E10388" i="1"/>
  <c r="E10389" i="1"/>
  <c r="E10390" i="1"/>
  <c r="E10391" i="1"/>
  <c r="E10392" i="1"/>
  <c r="E10393" i="1"/>
  <c r="E10394" i="1"/>
  <c r="E10395" i="1"/>
  <c r="E10396" i="1"/>
  <c r="E10397" i="1"/>
  <c r="E10398" i="1"/>
  <c r="E10399" i="1"/>
  <c r="E10400" i="1"/>
  <c r="E10401" i="1"/>
  <c r="E10402" i="1"/>
  <c r="E10403" i="1"/>
  <c r="E10404" i="1"/>
  <c r="E10405" i="1"/>
  <c r="E10406" i="1"/>
  <c r="E10407" i="1"/>
  <c r="E10408" i="1"/>
  <c r="E10409" i="1"/>
  <c r="E10410" i="1"/>
  <c r="E10411" i="1"/>
  <c r="E10412" i="1"/>
  <c r="E10413" i="1"/>
  <c r="E10414" i="1"/>
  <c r="E10415" i="1"/>
  <c r="E10416" i="1"/>
  <c r="E10417" i="1"/>
  <c r="E10418" i="1"/>
  <c r="E10419" i="1"/>
  <c r="E10420" i="1"/>
  <c r="E10421" i="1"/>
  <c r="E10422" i="1"/>
  <c r="E10423" i="1"/>
  <c r="E10424" i="1"/>
  <c r="E10425" i="1"/>
  <c r="E10426" i="1"/>
  <c r="E10427" i="1"/>
  <c r="E10428" i="1"/>
  <c r="E10429" i="1"/>
  <c r="E10430" i="1"/>
  <c r="E10431" i="1"/>
  <c r="E10432" i="1"/>
  <c r="E10433" i="1"/>
  <c r="E10434" i="1"/>
  <c r="E10435" i="1"/>
  <c r="E10436" i="1"/>
  <c r="E10437" i="1"/>
  <c r="E10438" i="1"/>
  <c r="E10439" i="1"/>
  <c r="E10440" i="1"/>
  <c r="E10441" i="1"/>
  <c r="E10442" i="1"/>
  <c r="E10443" i="1"/>
  <c r="E10444" i="1"/>
  <c r="E10445" i="1"/>
  <c r="E10446" i="1"/>
  <c r="E10447" i="1"/>
  <c r="E10448" i="1"/>
  <c r="E10449" i="1"/>
  <c r="E10450" i="1"/>
  <c r="E10451" i="1"/>
  <c r="E10452" i="1"/>
  <c r="E10453" i="1"/>
  <c r="E10454" i="1"/>
  <c r="E10455" i="1"/>
  <c r="E10456" i="1"/>
  <c r="E10457" i="1"/>
  <c r="E10458" i="1"/>
  <c r="E10459" i="1"/>
  <c r="E10460" i="1"/>
  <c r="E10461" i="1"/>
  <c r="E10462" i="1"/>
  <c r="E10463" i="1"/>
  <c r="E10483" i="1"/>
  <c r="E10484" i="1"/>
  <c r="E10485" i="1"/>
  <c r="E10486" i="1"/>
  <c r="E10487" i="1"/>
  <c r="E10488" i="1"/>
  <c r="E10489" i="1"/>
  <c r="E10490" i="1"/>
  <c r="E10491" i="1"/>
  <c r="E10492" i="1"/>
  <c r="E10493" i="1"/>
  <c r="E10494" i="1"/>
  <c r="E10495" i="1"/>
  <c r="E10496" i="1"/>
  <c r="E10497" i="1"/>
  <c r="E10498" i="1"/>
  <c r="E10499" i="1"/>
  <c r="E10500" i="1"/>
  <c r="E10501" i="1"/>
  <c r="E10502" i="1"/>
  <c r="E10503" i="1"/>
  <c r="E10504" i="1"/>
  <c r="E10505" i="1"/>
  <c r="E10506" i="1"/>
  <c r="E10507" i="1"/>
  <c r="E10508" i="1"/>
  <c r="E10509" i="1"/>
  <c r="E10510" i="1"/>
  <c r="E10511" i="1"/>
  <c r="E10512" i="1"/>
  <c r="E10513" i="1"/>
  <c r="E10514" i="1"/>
  <c r="E10515" i="1"/>
  <c r="E10516" i="1"/>
  <c r="E10517" i="1"/>
  <c r="E10518" i="1"/>
  <c r="E10519" i="1"/>
  <c r="E10520" i="1"/>
  <c r="E10521" i="1"/>
  <c r="E10522" i="1"/>
  <c r="E10523" i="1"/>
  <c r="E10524" i="1"/>
  <c r="E10525" i="1"/>
  <c r="E10526" i="1"/>
  <c r="E10527" i="1"/>
  <c r="E10528" i="1"/>
  <c r="E10529" i="1"/>
  <c r="E10530" i="1"/>
  <c r="E10531" i="1"/>
  <c r="E10532" i="1"/>
  <c r="E10533" i="1"/>
  <c r="E10534" i="1"/>
  <c r="E10535" i="1"/>
  <c r="E10536" i="1"/>
  <c r="E10537" i="1"/>
  <c r="E10538" i="1"/>
  <c r="E10539" i="1"/>
  <c r="E10540" i="1"/>
  <c r="E10541" i="1"/>
  <c r="E10542" i="1"/>
  <c r="E10543" i="1"/>
  <c r="E10544" i="1"/>
  <c r="E10545" i="1"/>
  <c r="E10546" i="1"/>
  <c r="E10547" i="1"/>
  <c r="E10548" i="1"/>
  <c r="E10549" i="1"/>
  <c r="E10550" i="1"/>
  <c r="E10551" i="1"/>
  <c r="E10552" i="1"/>
  <c r="E10553" i="1"/>
  <c r="E10554" i="1"/>
  <c r="E10555" i="1"/>
  <c r="E10556" i="1"/>
  <c r="E10557" i="1"/>
  <c r="E10558" i="1"/>
  <c r="E10559" i="1"/>
  <c r="E10560" i="1"/>
  <c r="E10561" i="1"/>
  <c r="E10562" i="1"/>
  <c r="E10563" i="1"/>
  <c r="E10564" i="1"/>
  <c r="E10565" i="1"/>
  <c r="E10566" i="1"/>
  <c r="E10567" i="1"/>
  <c r="E10568" i="1"/>
  <c r="E10569" i="1"/>
  <c r="E10570" i="1"/>
  <c r="E10571" i="1"/>
  <c r="E10572" i="1"/>
  <c r="E10573" i="1"/>
  <c r="E10574" i="1"/>
  <c r="E10575" i="1"/>
  <c r="E10576" i="1"/>
  <c r="E10577" i="1"/>
  <c r="E10578" i="1"/>
  <c r="E10579" i="1"/>
  <c r="E10580" i="1"/>
  <c r="E10581" i="1"/>
  <c r="E10582" i="1"/>
  <c r="E10583" i="1"/>
  <c r="E10584" i="1"/>
  <c r="E10585" i="1"/>
  <c r="E10586" i="1"/>
  <c r="E10587" i="1"/>
  <c r="E10588" i="1"/>
  <c r="E10589" i="1"/>
  <c r="E10590" i="1"/>
  <c r="E10591" i="1"/>
  <c r="E10592" i="1"/>
  <c r="E10593" i="1"/>
  <c r="E10594" i="1"/>
  <c r="E10595" i="1"/>
  <c r="E10596" i="1"/>
  <c r="E10597" i="1"/>
  <c r="E10598" i="1"/>
  <c r="E10599" i="1"/>
  <c r="E9512"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376"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240"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104"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8968"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832" i="1"/>
  <c r="D30" i="26"/>
  <c r="E8832" i="1"/>
  <c r="F8832" i="1"/>
  <c r="B8832" i="1" s="1"/>
  <c r="E8833" i="1"/>
  <c r="F8833" i="1"/>
  <c r="B8833" i="1" s="1"/>
  <c r="E8834" i="1"/>
  <c r="F8834" i="1"/>
  <c r="B8834" i="1" s="1"/>
  <c r="E8835" i="1"/>
  <c r="F8835" i="1"/>
  <c r="B8835" i="1" s="1"/>
  <c r="E8836" i="1"/>
  <c r="F8836" i="1"/>
  <c r="B8836" i="1" s="1"/>
  <c r="E8837" i="1"/>
  <c r="F8837" i="1"/>
  <c r="B8837" i="1" s="1"/>
  <c r="E8838" i="1"/>
  <c r="F8838" i="1"/>
  <c r="B8838" i="1" s="1"/>
  <c r="E8839" i="1"/>
  <c r="F8839" i="1"/>
  <c r="B8839" i="1" s="1"/>
  <c r="E8840" i="1"/>
  <c r="F8840" i="1"/>
  <c r="B8840" i="1" s="1"/>
  <c r="E8841" i="1"/>
  <c r="F8841" i="1"/>
  <c r="B8841" i="1" s="1"/>
  <c r="E8842" i="1"/>
  <c r="F8842" i="1"/>
  <c r="B8842" i="1" s="1"/>
  <c r="E8843" i="1"/>
  <c r="F8843" i="1"/>
  <c r="B8843" i="1" s="1"/>
  <c r="E8844" i="1"/>
  <c r="F8844" i="1"/>
  <c r="B8844" i="1" s="1"/>
  <c r="E8845" i="1"/>
  <c r="F8845" i="1"/>
  <c r="B8845" i="1" s="1"/>
  <c r="E8846" i="1"/>
  <c r="F8846" i="1"/>
  <c r="B8846" i="1" s="1"/>
  <c r="E8847" i="1"/>
  <c r="F8847" i="1"/>
  <c r="B8847" i="1" s="1"/>
  <c r="E8848" i="1"/>
  <c r="F8848" i="1"/>
  <c r="B8848" i="1" s="1"/>
  <c r="E8849" i="1"/>
  <c r="F8849" i="1"/>
  <c r="B8849" i="1" s="1"/>
  <c r="E8850" i="1"/>
  <c r="F8850" i="1"/>
  <c r="B8850" i="1" s="1"/>
  <c r="E8851" i="1"/>
  <c r="F8851" i="1"/>
  <c r="B8851" i="1" s="1"/>
  <c r="E8852" i="1"/>
  <c r="F8852" i="1"/>
  <c r="B8852" i="1" s="1"/>
  <c r="E8853" i="1"/>
  <c r="F8853" i="1"/>
  <c r="B8853" i="1" s="1"/>
  <c r="E8854" i="1"/>
  <c r="F8854" i="1"/>
  <c r="B8854" i="1" s="1"/>
  <c r="E8855" i="1"/>
  <c r="F8855" i="1"/>
  <c r="B8855" i="1" s="1"/>
  <c r="E8856" i="1"/>
  <c r="F8856" i="1"/>
  <c r="B8856" i="1" s="1"/>
  <c r="E8857" i="1"/>
  <c r="F8857" i="1"/>
  <c r="B8857" i="1" s="1"/>
  <c r="E8858" i="1"/>
  <c r="F8858" i="1"/>
  <c r="B8858" i="1" s="1"/>
  <c r="E8859" i="1"/>
  <c r="F8859" i="1"/>
  <c r="B8859" i="1" s="1"/>
  <c r="E8860" i="1"/>
  <c r="F8860" i="1"/>
  <c r="B8860" i="1" s="1"/>
  <c r="E8861" i="1"/>
  <c r="F8861" i="1"/>
  <c r="B8861" i="1" s="1"/>
  <c r="E8862" i="1"/>
  <c r="F8862" i="1"/>
  <c r="B8862" i="1" s="1"/>
  <c r="E8863" i="1"/>
  <c r="F8863" i="1"/>
  <c r="B8863" i="1" s="1"/>
  <c r="E8864" i="1"/>
  <c r="F8864" i="1"/>
  <c r="B8864" i="1" s="1"/>
  <c r="E8865" i="1"/>
  <c r="F8865" i="1"/>
  <c r="B8865" i="1" s="1"/>
  <c r="E8866" i="1"/>
  <c r="F8866" i="1"/>
  <c r="B8866" i="1" s="1"/>
  <c r="E8867" i="1"/>
  <c r="F8867" i="1"/>
  <c r="B8867" i="1" s="1"/>
  <c r="E8868" i="1"/>
  <c r="F8868" i="1"/>
  <c r="B8868" i="1" s="1"/>
  <c r="E8869" i="1"/>
  <c r="F8869" i="1"/>
  <c r="B8869" i="1" s="1"/>
  <c r="E8870" i="1"/>
  <c r="F8870" i="1"/>
  <c r="B8870" i="1" s="1"/>
  <c r="E8871" i="1"/>
  <c r="F8871" i="1"/>
  <c r="B8871" i="1" s="1"/>
  <c r="E8872" i="1"/>
  <c r="F8872" i="1"/>
  <c r="B8872" i="1" s="1"/>
  <c r="E8873" i="1"/>
  <c r="F8873" i="1"/>
  <c r="B8873" i="1" s="1"/>
  <c r="E8874" i="1"/>
  <c r="F8874" i="1"/>
  <c r="B8874" i="1" s="1"/>
  <c r="E8875" i="1"/>
  <c r="F8875" i="1"/>
  <c r="B8875" i="1" s="1"/>
  <c r="E8876" i="1"/>
  <c r="F8876" i="1"/>
  <c r="B8876" i="1" s="1"/>
  <c r="E8877" i="1"/>
  <c r="F8877" i="1"/>
  <c r="B8877" i="1" s="1"/>
  <c r="E8878" i="1"/>
  <c r="F8878" i="1"/>
  <c r="B8878" i="1" s="1"/>
  <c r="E8879" i="1"/>
  <c r="F8879" i="1"/>
  <c r="B8879" i="1" s="1"/>
  <c r="E8880" i="1"/>
  <c r="F8880" i="1"/>
  <c r="B8880" i="1" s="1"/>
  <c r="E8881" i="1"/>
  <c r="F8881" i="1"/>
  <c r="B8881" i="1" s="1"/>
  <c r="E8882" i="1"/>
  <c r="F8882" i="1"/>
  <c r="B8882" i="1" s="1"/>
  <c r="E8883" i="1"/>
  <c r="F8883" i="1"/>
  <c r="B8883" i="1" s="1"/>
  <c r="E8884" i="1"/>
  <c r="F8884" i="1"/>
  <c r="B8884" i="1" s="1"/>
  <c r="E8885" i="1"/>
  <c r="F8885" i="1"/>
  <c r="B8885" i="1" s="1"/>
  <c r="E8886" i="1"/>
  <c r="F8886" i="1"/>
  <c r="B8886" i="1" s="1"/>
  <c r="E8887" i="1"/>
  <c r="F8887" i="1"/>
  <c r="B8887" i="1" s="1"/>
  <c r="E8888" i="1"/>
  <c r="F8888" i="1"/>
  <c r="B8888" i="1" s="1"/>
  <c r="E8889" i="1"/>
  <c r="F8889" i="1"/>
  <c r="B8889" i="1" s="1"/>
  <c r="E8890" i="1"/>
  <c r="F8890" i="1"/>
  <c r="B8890" i="1" s="1"/>
  <c r="E8891" i="1"/>
  <c r="F8891" i="1"/>
  <c r="B8891" i="1" s="1"/>
  <c r="E8892" i="1"/>
  <c r="F8892" i="1"/>
  <c r="B8892" i="1" s="1"/>
  <c r="E8893" i="1"/>
  <c r="F8893" i="1"/>
  <c r="B8893" i="1" s="1"/>
  <c r="E8894" i="1"/>
  <c r="F8894" i="1"/>
  <c r="B8894" i="1" s="1"/>
  <c r="E8895" i="1"/>
  <c r="F8895" i="1"/>
  <c r="B8895" i="1" s="1"/>
  <c r="E8896" i="1"/>
  <c r="F8896" i="1"/>
  <c r="B8896" i="1" s="1"/>
  <c r="E8897" i="1"/>
  <c r="F8897" i="1"/>
  <c r="B8897" i="1" s="1"/>
  <c r="E8898" i="1"/>
  <c r="F8898" i="1"/>
  <c r="B8898" i="1" s="1"/>
  <c r="E8899" i="1"/>
  <c r="F8899" i="1"/>
  <c r="B8899" i="1" s="1"/>
  <c r="E8900" i="1"/>
  <c r="F8900" i="1"/>
  <c r="B8900" i="1" s="1"/>
  <c r="E8901" i="1"/>
  <c r="F8901" i="1"/>
  <c r="B8901" i="1" s="1"/>
  <c r="E8902" i="1"/>
  <c r="F8902" i="1"/>
  <c r="B8902" i="1" s="1"/>
  <c r="E8903" i="1"/>
  <c r="F8903" i="1"/>
  <c r="B8903" i="1" s="1"/>
  <c r="E8904" i="1"/>
  <c r="F8904" i="1"/>
  <c r="B8904" i="1" s="1"/>
  <c r="E8905" i="1"/>
  <c r="F8905" i="1"/>
  <c r="B8905" i="1" s="1"/>
  <c r="E8906" i="1"/>
  <c r="F8906" i="1"/>
  <c r="B8906" i="1" s="1"/>
  <c r="E8907" i="1"/>
  <c r="F8907" i="1"/>
  <c r="B8907" i="1" s="1"/>
  <c r="E8908" i="1"/>
  <c r="F8908" i="1"/>
  <c r="B8908" i="1" s="1"/>
  <c r="E8909" i="1"/>
  <c r="F8909" i="1"/>
  <c r="B8909" i="1" s="1"/>
  <c r="E8910" i="1"/>
  <c r="F8910" i="1"/>
  <c r="B8910" i="1" s="1"/>
  <c r="E8911" i="1"/>
  <c r="F8911" i="1"/>
  <c r="B8911" i="1" s="1"/>
  <c r="E8912" i="1"/>
  <c r="F8912" i="1"/>
  <c r="B8912" i="1" s="1"/>
  <c r="E8913" i="1"/>
  <c r="F8913" i="1"/>
  <c r="B8913" i="1" s="1"/>
  <c r="E8914" i="1"/>
  <c r="F8914" i="1"/>
  <c r="B8914" i="1" s="1"/>
  <c r="E8915" i="1"/>
  <c r="F8915" i="1"/>
  <c r="B8915" i="1" s="1"/>
  <c r="E8916" i="1"/>
  <c r="F8916" i="1"/>
  <c r="B8916" i="1" s="1"/>
  <c r="E8917" i="1"/>
  <c r="F8917" i="1"/>
  <c r="B8917" i="1" s="1"/>
  <c r="E8918" i="1"/>
  <c r="F8918" i="1"/>
  <c r="B8918" i="1" s="1"/>
  <c r="E8919" i="1"/>
  <c r="F8919" i="1"/>
  <c r="B8919" i="1" s="1"/>
  <c r="E8920" i="1"/>
  <c r="F8920" i="1"/>
  <c r="B8920" i="1" s="1"/>
  <c r="E8921" i="1"/>
  <c r="F8921" i="1"/>
  <c r="B8921" i="1" s="1"/>
  <c r="E8922" i="1"/>
  <c r="F8922" i="1"/>
  <c r="B8922" i="1" s="1"/>
  <c r="E8923" i="1"/>
  <c r="F8923" i="1"/>
  <c r="B8923" i="1" s="1"/>
  <c r="E8924" i="1"/>
  <c r="F8924" i="1"/>
  <c r="B8924" i="1" s="1"/>
  <c r="E8925" i="1"/>
  <c r="F8925" i="1"/>
  <c r="B8925" i="1" s="1"/>
  <c r="E8926" i="1"/>
  <c r="F8926" i="1"/>
  <c r="B8926" i="1" s="1"/>
  <c r="E8927" i="1"/>
  <c r="F8927" i="1"/>
  <c r="B8927" i="1" s="1"/>
  <c r="E8928" i="1"/>
  <c r="F8928" i="1"/>
  <c r="B8928" i="1" s="1"/>
  <c r="E8929" i="1"/>
  <c r="F8929" i="1"/>
  <c r="B8929" i="1" s="1"/>
  <c r="E8930" i="1"/>
  <c r="F8930" i="1"/>
  <c r="B8930" i="1" s="1"/>
  <c r="E8931" i="1"/>
  <c r="F8931" i="1"/>
  <c r="B8931" i="1" s="1"/>
  <c r="E8932" i="1"/>
  <c r="F8932" i="1"/>
  <c r="B8932" i="1" s="1"/>
  <c r="E8933" i="1"/>
  <c r="F8933" i="1"/>
  <c r="B8933" i="1" s="1"/>
  <c r="E8934" i="1"/>
  <c r="F8934" i="1"/>
  <c r="B8934" i="1" s="1"/>
  <c r="E8935" i="1"/>
  <c r="F8935" i="1"/>
  <c r="B8935" i="1" s="1"/>
  <c r="E8936" i="1"/>
  <c r="F8936" i="1"/>
  <c r="B8936" i="1" s="1"/>
  <c r="E8937" i="1"/>
  <c r="F8937" i="1"/>
  <c r="B8937" i="1" s="1"/>
  <c r="E8938" i="1"/>
  <c r="F8938" i="1"/>
  <c r="B8938" i="1" s="1"/>
  <c r="E8939" i="1"/>
  <c r="F8939" i="1"/>
  <c r="B8939" i="1" s="1"/>
  <c r="E8940" i="1"/>
  <c r="F8940" i="1"/>
  <c r="B8940" i="1" s="1"/>
  <c r="E8941" i="1"/>
  <c r="F8941" i="1"/>
  <c r="B8941" i="1" s="1"/>
  <c r="E8942" i="1"/>
  <c r="F8942" i="1"/>
  <c r="B8942" i="1" s="1"/>
  <c r="E8943" i="1"/>
  <c r="F8943" i="1"/>
  <c r="B8943" i="1" s="1"/>
  <c r="E8944" i="1"/>
  <c r="F8944" i="1"/>
  <c r="B8944" i="1" s="1"/>
  <c r="E8945" i="1"/>
  <c r="F8945" i="1"/>
  <c r="B8945" i="1" s="1"/>
  <c r="E8946" i="1"/>
  <c r="F8946" i="1"/>
  <c r="B8946" i="1" s="1"/>
  <c r="E8947" i="1"/>
  <c r="F8947" i="1"/>
  <c r="B8947" i="1" s="1"/>
  <c r="E8948" i="1"/>
  <c r="F8948" i="1"/>
  <c r="B8948" i="1" s="1"/>
  <c r="E8949" i="1"/>
  <c r="F8949" i="1"/>
  <c r="B8949" i="1" s="1"/>
  <c r="E8950" i="1"/>
  <c r="F8950" i="1"/>
  <c r="B8950" i="1" s="1"/>
  <c r="E8951" i="1"/>
  <c r="F8951" i="1"/>
  <c r="B8951" i="1" s="1"/>
  <c r="E8952" i="1"/>
  <c r="F8952" i="1"/>
  <c r="B8952" i="1" s="1"/>
  <c r="E8953" i="1"/>
  <c r="F8953" i="1"/>
  <c r="B8953" i="1" s="1"/>
  <c r="E8954" i="1"/>
  <c r="F8954" i="1"/>
  <c r="B8954" i="1" s="1"/>
  <c r="E8955" i="1"/>
  <c r="F8955" i="1"/>
  <c r="B8955" i="1" s="1"/>
  <c r="E8956" i="1"/>
  <c r="F8956" i="1"/>
  <c r="B8956" i="1" s="1"/>
  <c r="E8957" i="1"/>
  <c r="F8957" i="1"/>
  <c r="B8957" i="1" s="1"/>
  <c r="E8958" i="1"/>
  <c r="F8958" i="1"/>
  <c r="B8958" i="1" s="1"/>
  <c r="E8959" i="1"/>
  <c r="F8959" i="1"/>
  <c r="B8959" i="1" s="1"/>
  <c r="E8960" i="1"/>
  <c r="F8960" i="1"/>
  <c r="B8960" i="1" s="1"/>
  <c r="E8961" i="1"/>
  <c r="F8961" i="1"/>
  <c r="B8961" i="1" s="1"/>
  <c r="E8962" i="1"/>
  <c r="F8962" i="1"/>
  <c r="B8962" i="1" s="1"/>
  <c r="E8963" i="1"/>
  <c r="F8963" i="1"/>
  <c r="B8963" i="1" s="1"/>
  <c r="E8964" i="1"/>
  <c r="F8964" i="1"/>
  <c r="B8964" i="1" s="1"/>
  <c r="E8965" i="1"/>
  <c r="F8965" i="1"/>
  <c r="B8965" i="1" s="1"/>
  <c r="E8966" i="1"/>
  <c r="F8966" i="1"/>
  <c r="B8966" i="1" s="1"/>
  <c r="E8967" i="1"/>
  <c r="F8967" i="1"/>
  <c r="B8967" i="1" s="1"/>
  <c r="E8968" i="1"/>
  <c r="F8968" i="1"/>
  <c r="B8968" i="1" s="1"/>
  <c r="E8969" i="1"/>
  <c r="F8969" i="1"/>
  <c r="B8969" i="1" s="1"/>
  <c r="E8970" i="1"/>
  <c r="F8970" i="1"/>
  <c r="B8970" i="1" s="1"/>
  <c r="E8971" i="1"/>
  <c r="F8971" i="1"/>
  <c r="B8971" i="1" s="1"/>
  <c r="E8972" i="1"/>
  <c r="F8972" i="1"/>
  <c r="B8972" i="1" s="1"/>
  <c r="E8973" i="1"/>
  <c r="F8973" i="1"/>
  <c r="B8973" i="1" s="1"/>
  <c r="E8974" i="1"/>
  <c r="F8974" i="1"/>
  <c r="B8974" i="1" s="1"/>
  <c r="E8975" i="1"/>
  <c r="F8975" i="1"/>
  <c r="B8975" i="1" s="1"/>
  <c r="E8976" i="1"/>
  <c r="F8976" i="1"/>
  <c r="B8976" i="1" s="1"/>
  <c r="E8977" i="1"/>
  <c r="F8977" i="1"/>
  <c r="B8977" i="1" s="1"/>
  <c r="E8978" i="1"/>
  <c r="F8978" i="1"/>
  <c r="B8978" i="1" s="1"/>
  <c r="E8979" i="1"/>
  <c r="F8979" i="1"/>
  <c r="B8979" i="1" s="1"/>
  <c r="E8980" i="1"/>
  <c r="F8980" i="1"/>
  <c r="B8980" i="1" s="1"/>
  <c r="E8981" i="1"/>
  <c r="F8981" i="1"/>
  <c r="B8981" i="1" s="1"/>
  <c r="E8982" i="1"/>
  <c r="F8982" i="1"/>
  <c r="B8982" i="1" s="1"/>
  <c r="E8983" i="1"/>
  <c r="F8983" i="1"/>
  <c r="B8983" i="1" s="1"/>
  <c r="E8984" i="1"/>
  <c r="F8984" i="1"/>
  <c r="B8984" i="1" s="1"/>
  <c r="E8985" i="1"/>
  <c r="F8985" i="1"/>
  <c r="B8985" i="1" s="1"/>
  <c r="E8986" i="1"/>
  <c r="F8986" i="1"/>
  <c r="B8986" i="1" s="1"/>
  <c r="E8987" i="1"/>
  <c r="F8987" i="1"/>
  <c r="B8987" i="1" s="1"/>
  <c r="E8988" i="1"/>
  <c r="F8988" i="1"/>
  <c r="B8988" i="1" s="1"/>
  <c r="E8989" i="1"/>
  <c r="F8989" i="1"/>
  <c r="B8989" i="1" s="1"/>
  <c r="E8990" i="1"/>
  <c r="F8990" i="1"/>
  <c r="B8990" i="1" s="1"/>
  <c r="E8991" i="1"/>
  <c r="F8991" i="1"/>
  <c r="B8991" i="1" s="1"/>
  <c r="E8992" i="1"/>
  <c r="F8992" i="1"/>
  <c r="B8992" i="1" s="1"/>
  <c r="E8993" i="1"/>
  <c r="F8993" i="1"/>
  <c r="B8993" i="1" s="1"/>
  <c r="E8994" i="1"/>
  <c r="F8994" i="1"/>
  <c r="B8994" i="1" s="1"/>
  <c r="E8995" i="1"/>
  <c r="F8995" i="1"/>
  <c r="B8995" i="1" s="1"/>
  <c r="E8996" i="1"/>
  <c r="F8996" i="1"/>
  <c r="B8996" i="1" s="1"/>
  <c r="E8997" i="1"/>
  <c r="F8997" i="1"/>
  <c r="B8997" i="1" s="1"/>
  <c r="E8998" i="1"/>
  <c r="F8998" i="1"/>
  <c r="B8998" i="1" s="1"/>
  <c r="E8999" i="1"/>
  <c r="F8999" i="1"/>
  <c r="B8999" i="1" s="1"/>
  <c r="E9000" i="1"/>
  <c r="F9000" i="1"/>
  <c r="B9000" i="1" s="1"/>
  <c r="E9001" i="1"/>
  <c r="F9001" i="1"/>
  <c r="E9002" i="1"/>
  <c r="F9002" i="1"/>
  <c r="B9002" i="1" s="1"/>
  <c r="E9003" i="1"/>
  <c r="F9003" i="1"/>
  <c r="B9003" i="1" s="1"/>
  <c r="E9004" i="1"/>
  <c r="F9004" i="1"/>
  <c r="B9004" i="1" s="1"/>
  <c r="E9005" i="1"/>
  <c r="F9005" i="1"/>
  <c r="B9005" i="1" s="1"/>
  <c r="E9006" i="1"/>
  <c r="F9006" i="1"/>
  <c r="B9006" i="1" s="1"/>
  <c r="E9007" i="1"/>
  <c r="F9007" i="1"/>
  <c r="B9007" i="1" s="1"/>
  <c r="E9008" i="1"/>
  <c r="F9008" i="1"/>
  <c r="B9008" i="1" s="1"/>
  <c r="E9009" i="1"/>
  <c r="F9009" i="1"/>
  <c r="B9009" i="1" s="1"/>
  <c r="E9010" i="1"/>
  <c r="F9010" i="1"/>
  <c r="B9010" i="1" s="1"/>
  <c r="E9011" i="1"/>
  <c r="F9011" i="1"/>
  <c r="B9011" i="1" s="1"/>
  <c r="E9012" i="1"/>
  <c r="F9012" i="1"/>
  <c r="B9012" i="1" s="1"/>
  <c r="E9013" i="1"/>
  <c r="F9013" i="1"/>
  <c r="B9013" i="1" s="1"/>
  <c r="E9014" i="1"/>
  <c r="F9014" i="1"/>
  <c r="B9014" i="1" s="1"/>
  <c r="E9015" i="1"/>
  <c r="F9015" i="1"/>
  <c r="B9015" i="1" s="1"/>
  <c r="E9016" i="1"/>
  <c r="F9016" i="1"/>
  <c r="B9016" i="1" s="1"/>
  <c r="E9017" i="1"/>
  <c r="F9017" i="1"/>
  <c r="B9017" i="1" s="1"/>
  <c r="E9018" i="1"/>
  <c r="F9018" i="1"/>
  <c r="B9018" i="1" s="1"/>
  <c r="E9019" i="1"/>
  <c r="F9019" i="1"/>
  <c r="B9019" i="1" s="1"/>
  <c r="E9020" i="1"/>
  <c r="F9020" i="1"/>
  <c r="B9020" i="1" s="1"/>
  <c r="E9021" i="1"/>
  <c r="F9021" i="1"/>
  <c r="B9021" i="1" s="1"/>
  <c r="E9022" i="1"/>
  <c r="F9022" i="1"/>
  <c r="B9022" i="1" s="1"/>
  <c r="E9023" i="1"/>
  <c r="F9023" i="1"/>
  <c r="B9023" i="1" s="1"/>
  <c r="E9024" i="1"/>
  <c r="F9024" i="1"/>
  <c r="B9024" i="1" s="1"/>
  <c r="E9025" i="1"/>
  <c r="F9025" i="1"/>
  <c r="B9025" i="1" s="1"/>
  <c r="E9026" i="1"/>
  <c r="F9026" i="1"/>
  <c r="B9026" i="1" s="1"/>
  <c r="E9027" i="1"/>
  <c r="F9027" i="1"/>
  <c r="B9027" i="1" s="1"/>
  <c r="E9028" i="1"/>
  <c r="F9028" i="1"/>
  <c r="B9028" i="1" s="1"/>
  <c r="E9029" i="1"/>
  <c r="F9029" i="1"/>
  <c r="B9029" i="1" s="1"/>
  <c r="E9030" i="1"/>
  <c r="F9030" i="1"/>
  <c r="B9030" i="1" s="1"/>
  <c r="E9031" i="1"/>
  <c r="F9031" i="1"/>
  <c r="B9031" i="1" s="1"/>
  <c r="E9032" i="1"/>
  <c r="F9032" i="1"/>
  <c r="B9032" i="1" s="1"/>
  <c r="E9033" i="1"/>
  <c r="F9033" i="1"/>
  <c r="B9033" i="1" s="1"/>
  <c r="E9034" i="1"/>
  <c r="F9034" i="1"/>
  <c r="B9034" i="1" s="1"/>
  <c r="E9035" i="1"/>
  <c r="F9035" i="1"/>
  <c r="B9035" i="1" s="1"/>
  <c r="E9036" i="1"/>
  <c r="F9036" i="1"/>
  <c r="B9036" i="1" s="1"/>
  <c r="E9037" i="1"/>
  <c r="F9037" i="1"/>
  <c r="B9037" i="1" s="1"/>
  <c r="E9038" i="1"/>
  <c r="F9038" i="1"/>
  <c r="B9038" i="1" s="1"/>
  <c r="E9039" i="1"/>
  <c r="F9039" i="1"/>
  <c r="B9039" i="1" s="1"/>
  <c r="E9040" i="1"/>
  <c r="F9040" i="1"/>
  <c r="B9040" i="1" s="1"/>
  <c r="E9041" i="1"/>
  <c r="F9041" i="1"/>
  <c r="B9041" i="1" s="1"/>
  <c r="E9042" i="1"/>
  <c r="F9042" i="1"/>
  <c r="B9042" i="1" s="1"/>
  <c r="E9043" i="1"/>
  <c r="F9043" i="1"/>
  <c r="B9043" i="1" s="1"/>
  <c r="E9044" i="1"/>
  <c r="F9044" i="1"/>
  <c r="B9044" i="1" s="1"/>
  <c r="E9045" i="1"/>
  <c r="F9045" i="1"/>
  <c r="B9045" i="1" s="1"/>
  <c r="E9046" i="1"/>
  <c r="F9046" i="1"/>
  <c r="B9046" i="1" s="1"/>
  <c r="E9047" i="1"/>
  <c r="F9047" i="1"/>
  <c r="B9047" i="1" s="1"/>
  <c r="E9048" i="1"/>
  <c r="F9048" i="1"/>
  <c r="B9048" i="1" s="1"/>
  <c r="E9049" i="1"/>
  <c r="F9049" i="1"/>
  <c r="B9049" i="1" s="1"/>
  <c r="E9050" i="1"/>
  <c r="F9050" i="1"/>
  <c r="B9050" i="1" s="1"/>
  <c r="E9051" i="1"/>
  <c r="F9051" i="1"/>
  <c r="B9051" i="1" s="1"/>
  <c r="E9052" i="1"/>
  <c r="F9052" i="1"/>
  <c r="B9052" i="1" s="1"/>
  <c r="E9053" i="1"/>
  <c r="F9053" i="1"/>
  <c r="B9053" i="1" s="1"/>
  <c r="E9054" i="1"/>
  <c r="F9054" i="1"/>
  <c r="B9054" i="1" s="1"/>
  <c r="E9055" i="1"/>
  <c r="F9055" i="1"/>
  <c r="B9055" i="1" s="1"/>
  <c r="E9056" i="1"/>
  <c r="F9056" i="1"/>
  <c r="B9056" i="1" s="1"/>
  <c r="E9057" i="1"/>
  <c r="F9057" i="1"/>
  <c r="B9057" i="1" s="1"/>
  <c r="E9058" i="1"/>
  <c r="F9058" i="1"/>
  <c r="B9058" i="1" s="1"/>
  <c r="E9059" i="1"/>
  <c r="F9059" i="1"/>
  <c r="B9059" i="1" s="1"/>
  <c r="E9060" i="1"/>
  <c r="F9060" i="1"/>
  <c r="B9060" i="1" s="1"/>
  <c r="E9061" i="1"/>
  <c r="F9061" i="1"/>
  <c r="B9061" i="1" s="1"/>
  <c r="E9062" i="1"/>
  <c r="F9062" i="1"/>
  <c r="B9062" i="1" s="1"/>
  <c r="E9063" i="1"/>
  <c r="F9063" i="1"/>
  <c r="B9063" i="1" s="1"/>
  <c r="E9064" i="1"/>
  <c r="F9064" i="1"/>
  <c r="B9064" i="1" s="1"/>
  <c r="E9065" i="1"/>
  <c r="F9065" i="1"/>
  <c r="B9065" i="1" s="1"/>
  <c r="E9066" i="1"/>
  <c r="F9066" i="1"/>
  <c r="B9066" i="1" s="1"/>
  <c r="E9067" i="1"/>
  <c r="F9067" i="1"/>
  <c r="B9067" i="1" s="1"/>
  <c r="E9068" i="1"/>
  <c r="F9068" i="1"/>
  <c r="B9068" i="1" s="1"/>
  <c r="E9069" i="1"/>
  <c r="F9069" i="1"/>
  <c r="B9069" i="1" s="1"/>
  <c r="E9070" i="1"/>
  <c r="F9070" i="1"/>
  <c r="B9070" i="1" s="1"/>
  <c r="E9071" i="1"/>
  <c r="F9071" i="1"/>
  <c r="B9071" i="1" s="1"/>
  <c r="E9072" i="1"/>
  <c r="F9072" i="1"/>
  <c r="B9072" i="1" s="1"/>
  <c r="E9073" i="1"/>
  <c r="F9073" i="1"/>
  <c r="B9073" i="1" s="1"/>
  <c r="E9074" i="1"/>
  <c r="F9074" i="1"/>
  <c r="B9074" i="1" s="1"/>
  <c r="E9075" i="1"/>
  <c r="F9075" i="1"/>
  <c r="B9075" i="1" s="1"/>
  <c r="E9076" i="1"/>
  <c r="F9076" i="1"/>
  <c r="B9076" i="1" s="1"/>
  <c r="E9077" i="1"/>
  <c r="F9077" i="1"/>
  <c r="B9077" i="1" s="1"/>
  <c r="E9078" i="1"/>
  <c r="F9078" i="1"/>
  <c r="B9078" i="1" s="1"/>
  <c r="E9079" i="1"/>
  <c r="F9079" i="1"/>
  <c r="B9079" i="1" s="1"/>
  <c r="E9080" i="1"/>
  <c r="F9080" i="1"/>
  <c r="B9080" i="1" s="1"/>
  <c r="E9081" i="1"/>
  <c r="F9081" i="1"/>
  <c r="B9081" i="1" s="1"/>
  <c r="E9082" i="1"/>
  <c r="F9082" i="1"/>
  <c r="B9082" i="1" s="1"/>
  <c r="E9083" i="1"/>
  <c r="F9083" i="1"/>
  <c r="B9083" i="1" s="1"/>
  <c r="E9084" i="1"/>
  <c r="F9084" i="1"/>
  <c r="B9084" i="1" s="1"/>
  <c r="E9085" i="1"/>
  <c r="F9085" i="1"/>
  <c r="B9085" i="1" s="1"/>
  <c r="E9086" i="1"/>
  <c r="F9086" i="1"/>
  <c r="B9086" i="1" s="1"/>
  <c r="E9087" i="1"/>
  <c r="F9087" i="1"/>
  <c r="B9087" i="1" s="1"/>
  <c r="E9088" i="1"/>
  <c r="F9088" i="1"/>
  <c r="B9088" i="1" s="1"/>
  <c r="E9089" i="1"/>
  <c r="F9089" i="1"/>
  <c r="B9089" i="1" s="1"/>
  <c r="E9090" i="1"/>
  <c r="F9090" i="1"/>
  <c r="B9090" i="1" s="1"/>
  <c r="E9091" i="1"/>
  <c r="F9091" i="1"/>
  <c r="B9091" i="1" s="1"/>
  <c r="E9092" i="1"/>
  <c r="F9092" i="1"/>
  <c r="B9092" i="1" s="1"/>
  <c r="E9093" i="1"/>
  <c r="F9093" i="1"/>
  <c r="B9093" i="1" s="1"/>
  <c r="E9094" i="1"/>
  <c r="F9094" i="1"/>
  <c r="B9094" i="1" s="1"/>
  <c r="E9095" i="1"/>
  <c r="F9095" i="1"/>
  <c r="B9095" i="1" s="1"/>
  <c r="E9096" i="1"/>
  <c r="F9096" i="1"/>
  <c r="B9096" i="1" s="1"/>
  <c r="E9097" i="1"/>
  <c r="F9097" i="1"/>
  <c r="B9097" i="1" s="1"/>
  <c r="E9098" i="1"/>
  <c r="F9098" i="1"/>
  <c r="B9098" i="1" s="1"/>
  <c r="E9099" i="1"/>
  <c r="F9099" i="1"/>
  <c r="B9099" i="1" s="1"/>
  <c r="E9100" i="1"/>
  <c r="F9100" i="1"/>
  <c r="B9100" i="1" s="1"/>
  <c r="E9101" i="1"/>
  <c r="F9101" i="1"/>
  <c r="B9101" i="1" s="1"/>
  <c r="E9102" i="1"/>
  <c r="F9102" i="1"/>
  <c r="B9102" i="1" s="1"/>
  <c r="E9103" i="1"/>
  <c r="F9103" i="1"/>
  <c r="B9103" i="1" s="1"/>
  <c r="E9104" i="1"/>
  <c r="F9104" i="1"/>
  <c r="B9104" i="1" s="1"/>
  <c r="E9105" i="1"/>
  <c r="F9105" i="1"/>
  <c r="B9105" i="1" s="1"/>
  <c r="E9106" i="1"/>
  <c r="F9106" i="1"/>
  <c r="B9106" i="1" s="1"/>
  <c r="E9107" i="1"/>
  <c r="F9107" i="1"/>
  <c r="B9107" i="1" s="1"/>
  <c r="E9108" i="1"/>
  <c r="F9108" i="1"/>
  <c r="B9108" i="1" s="1"/>
  <c r="E9109" i="1"/>
  <c r="F9109" i="1"/>
  <c r="B9109" i="1" s="1"/>
  <c r="E9110" i="1"/>
  <c r="F9110" i="1"/>
  <c r="B9110" i="1" s="1"/>
  <c r="E9111" i="1"/>
  <c r="F9111" i="1"/>
  <c r="B9111" i="1" s="1"/>
  <c r="E9112" i="1"/>
  <c r="F9112" i="1"/>
  <c r="B9112" i="1" s="1"/>
  <c r="E9113" i="1"/>
  <c r="F9113" i="1"/>
  <c r="B9113" i="1" s="1"/>
  <c r="E9114" i="1"/>
  <c r="F9114" i="1"/>
  <c r="B9114" i="1" s="1"/>
  <c r="E9115" i="1"/>
  <c r="F9115" i="1"/>
  <c r="B9115" i="1" s="1"/>
  <c r="E9116" i="1"/>
  <c r="F9116" i="1"/>
  <c r="B9116" i="1" s="1"/>
  <c r="E9117" i="1"/>
  <c r="F9117" i="1"/>
  <c r="B9117" i="1" s="1"/>
  <c r="E9118" i="1"/>
  <c r="F9118" i="1"/>
  <c r="B9118" i="1" s="1"/>
  <c r="E9119" i="1"/>
  <c r="F9119" i="1"/>
  <c r="B9119" i="1" s="1"/>
  <c r="E9120" i="1"/>
  <c r="F9120" i="1"/>
  <c r="B9120" i="1" s="1"/>
  <c r="E9121" i="1"/>
  <c r="F9121" i="1"/>
  <c r="B9121" i="1" s="1"/>
  <c r="E9122" i="1"/>
  <c r="F9122" i="1"/>
  <c r="B9122" i="1" s="1"/>
  <c r="E9123" i="1"/>
  <c r="F9123" i="1"/>
  <c r="B9123" i="1" s="1"/>
  <c r="E9124" i="1"/>
  <c r="F9124" i="1"/>
  <c r="B9124" i="1" s="1"/>
  <c r="E9125" i="1"/>
  <c r="F9125" i="1"/>
  <c r="B9125" i="1" s="1"/>
  <c r="E9126" i="1"/>
  <c r="F9126" i="1"/>
  <c r="B9126" i="1" s="1"/>
  <c r="E9127" i="1"/>
  <c r="F9127" i="1"/>
  <c r="B9127" i="1" s="1"/>
  <c r="E9128" i="1"/>
  <c r="F9128" i="1"/>
  <c r="B9128" i="1" s="1"/>
  <c r="E9129" i="1"/>
  <c r="F9129" i="1"/>
  <c r="B9129" i="1" s="1"/>
  <c r="E9130" i="1"/>
  <c r="F9130" i="1"/>
  <c r="B9130" i="1" s="1"/>
  <c r="E9131" i="1"/>
  <c r="F9131" i="1"/>
  <c r="B9131" i="1" s="1"/>
  <c r="E9132" i="1"/>
  <c r="F9132" i="1"/>
  <c r="B9132" i="1" s="1"/>
  <c r="E9133" i="1"/>
  <c r="F9133" i="1"/>
  <c r="E9134" i="1"/>
  <c r="F9134" i="1"/>
  <c r="B9134" i="1" s="1"/>
  <c r="E9135" i="1"/>
  <c r="F9135" i="1"/>
  <c r="B9135" i="1" s="1"/>
  <c r="E9136" i="1"/>
  <c r="F9136" i="1"/>
  <c r="B9136" i="1" s="1"/>
  <c r="E9137" i="1"/>
  <c r="F9137" i="1"/>
  <c r="B9137" i="1" s="1"/>
  <c r="E9138" i="1"/>
  <c r="F9138" i="1"/>
  <c r="B9138" i="1" s="1"/>
  <c r="E9139" i="1"/>
  <c r="F9139" i="1"/>
  <c r="B9139" i="1" s="1"/>
  <c r="E9140" i="1"/>
  <c r="F9140" i="1"/>
  <c r="E9141" i="1"/>
  <c r="F9141" i="1"/>
  <c r="E9142" i="1"/>
  <c r="F9142" i="1"/>
  <c r="B9142" i="1" s="1"/>
  <c r="E9143" i="1"/>
  <c r="F9143" i="1"/>
  <c r="B9143" i="1" s="1"/>
  <c r="E9144" i="1"/>
  <c r="F9144" i="1"/>
  <c r="B9144" i="1" s="1"/>
  <c r="E9145" i="1"/>
  <c r="F9145" i="1"/>
  <c r="B9145" i="1" s="1"/>
  <c r="E9146" i="1"/>
  <c r="F9146" i="1"/>
  <c r="B9146" i="1" s="1"/>
  <c r="E9147" i="1"/>
  <c r="F9147" i="1"/>
  <c r="B9147" i="1" s="1"/>
  <c r="E9148" i="1"/>
  <c r="F9148" i="1"/>
  <c r="B9148" i="1" s="1"/>
  <c r="E9149" i="1"/>
  <c r="F9149" i="1"/>
  <c r="B9149" i="1" s="1"/>
  <c r="E9150" i="1"/>
  <c r="F9150" i="1"/>
  <c r="B9150" i="1" s="1"/>
  <c r="E9151" i="1"/>
  <c r="F9151" i="1"/>
  <c r="B9151" i="1" s="1"/>
  <c r="E9152" i="1"/>
  <c r="F9152" i="1"/>
  <c r="B9152" i="1" s="1"/>
  <c r="E9153" i="1"/>
  <c r="F9153" i="1"/>
  <c r="B9153" i="1" s="1"/>
  <c r="E9154" i="1"/>
  <c r="F9154" i="1"/>
  <c r="B9154" i="1" s="1"/>
  <c r="E9155" i="1"/>
  <c r="F9155" i="1"/>
  <c r="B9155" i="1" s="1"/>
  <c r="E9156" i="1"/>
  <c r="F9156" i="1"/>
  <c r="B9156" i="1" s="1"/>
  <c r="E9157" i="1"/>
  <c r="F9157" i="1"/>
  <c r="B9157" i="1" s="1"/>
  <c r="E9158" i="1"/>
  <c r="F9158" i="1"/>
  <c r="B9158" i="1" s="1"/>
  <c r="E9159" i="1"/>
  <c r="F9159" i="1"/>
  <c r="B9159" i="1" s="1"/>
  <c r="E9160" i="1"/>
  <c r="F9160" i="1"/>
  <c r="B9160" i="1" s="1"/>
  <c r="E9161" i="1"/>
  <c r="F9161" i="1"/>
  <c r="B9161" i="1" s="1"/>
  <c r="E9162" i="1"/>
  <c r="F9162" i="1"/>
  <c r="B9162" i="1" s="1"/>
  <c r="E9163" i="1"/>
  <c r="F9163" i="1"/>
  <c r="B9163" i="1" s="1"/>
  <c r="E9164" i="1"/>
  <c r="F9164" i="1"/>
  <c r="B9164" i="1" s="1"/>
  <c r="E9165" i="1"/>
  <c r="F9165" i="1"/>
  <c r="B9165" i="1" s="1"/>
  <c r="E9166" i="1"/>
  <c r="F9166" i="1"/>
  <c r="B9166" i="1" s="1"/>
  <c r="E9167" i="1"/>
  <c r="F9167" i="1"/>
  <c r="B9167" i="1" s="1"/>
  <c r="E9168" i="1"/>
  <c r="F9168" i="1"/>
  <c r="B9168" i="1" s="1"/>
  <c r="E9169" i="1"/>
  <c r="F9169" i="1"/>
  <c r="B9169" i="1" s="1"/>
  <c r="E9170" i="1"/>
  <c r="F9170" i="1"/>
  <c r="B9170" i="1" s="1"/>
  <c r="E9171" i="1"/>
  <c r="F9171" i="1"/>
  <c r="B9171" i="1" s="1"/>
  <c r="E9172" i="1"/>
  <c r="F9172" i="1"/>
  <c r="B9172" i="1" s="1"/>
  <c r="E9173" i="1"/>
  <c r="F9173" i="1"/>
  <c r="B9173" i="1" s="1"/>
  <c r="E9174" i="1"/>
  <c r="F9174" i="1"/>
  <c r="B9174" i="1" s="1"/>
  <c r="E9175" i="1"/>
  <c r="F9175" i="1"/>
  <c r="B9175" i="1" s="1"/>
  <c r="E9176" i="1"/>
  <c r="F9176" i="1"/>
  <c r="B9176" i="1" s="1"/>
  <c r="E9177" i="1"/>
  <c r="F9177" i="1"/>
  <c r="B9177" i="1" s="1"/>
  <c r="E9178" i="1"/>
  <c r="F9178" i="1"/>
  <c r="B9178" i="1" s="1"/>
  <c r="E9179" i="1"/>
  <c r="F9179" i="1"/>
  <c r="B9179" i="1" s="1"/>
  <c r="E9180" i="1"/>
  <c r="F9180" i="1"/>
  <c r="B9180" i="1" s="1"/>
  <c r="E9181" i="1"/>
  <c r="F9181" i="1"/>
  <c r="B9181" i="1" s="1"/>
  <c r="E9182" i="1"/>
  <c r="F9182" i="1"/>
  <c r="B9182" i="1" s="1"/>
  <c r="E9183" i="1"/>
  <c r="F9183" i="1"/>
  <c r="B9183" i="1" s="1"/>
  <c r="E9184" i="1"/>
  <c r="F9184" i="1"/>
  <c r="B9184" i="1" s="1"/>
  <c r="E9185" i="1"/>
  <c r="F9185" i="1"/>
  <c r="B9185" i="1" s="1"/>
  <c r="E9186" i="1"/>
  <c r="F9186" i="1"/>
  <c r="B9186" i="1" s="1"/>
  <c r="E9187" i="1"/>
  <c r="F9187" i="1"/>
  <c r="B9187" i="1" s="1"/>
  <c r="E9188" i="1"/>
  <c r="F9188" i="1"/>
  <c r="B9188" i="1" s="1"/>
  <c r="E9189" i="1"/>
  <c r="F9189" i="1"/>
  <c r="B9189" i="1" s="1"/>
  <c r="E9190" i="1"/>
  <c r="F9190" i="1"/>
  <c r="B9190" i="1" s="1"/>
  <c r="E9191" i="1"/>
  <c r="F9191" i="1"/>
  <c r="B9191" i="1" s="1"/>
  <c r="E9192" i="1"/>
  <c r="F9192" i="1"/>
  <c r="B9192" i="1" s="1"/>
  <c r="E9193" i="1"/>
  <c r="F9193" i="1"/>
  <c r="B9193" i="1" s="1"/>
  <c r="E9194" i="1"/>
  <c r="F9194" i="1"/>
  <c r="B9194" i="1" s="1"/>
  <c r="E9195" i="1"/>
  <c r="F9195" i="1"/>
  <c r="B9195" i="1" s="1"/>
  <c r="E9196" i="1"/>
  <c r="F9196" i="1"/>
  <c r="B9196" i="1" s="1"/>
  <c r="E9197" i="1"/>
  <c r="F9197" i="1"/>
  <c r="B9197" i="1" s="1"/>
  <c r="E9198" i="1"/>
  <c r="F9198" i="1"/>
  <c r="B9198" i="1" s="1"/>
  <c r="E9199" i="1"/>
  <c r="F9199" i="1"/>
  <c r="B9199" i="1" s="1"/>
  <c r="E9200" i="1"/>
  <c r="F9200" i="1"/>
  <c r="B9200" i="1" s="1"/>
  <c r="E9201" i="1"/>
  <c r="F9201" i="1"/>
  <c r="B9201" i="1" s="1"/>
  <c r="E9202" i="1"/>
  <c r="F9202" i="1"/>
  <c r="B9202" i="1" s="1"/>
  <c r="E9203" i="1"/>
  <c r="F9203" i="1"/>
  <c r="B9203" i="1" s="1"/>
  <c r="E9204" i="1"/>
  <c r="F9204" i="1"/>
  <c r="B9204" i="1" s="1"/>
  <c r="E9205" i="1"/>
  <c r="F9205" i="1"/>
  <c r="B9205" i="1" s="1"/>
  <c r="E9206" i="1"/>
  <c r="F9206" i="1"/>
  <c r="B9206" i="1" s="1"/>
  <c r="E9207" i="1"/>
  <c r="F9207" i="1"/>
  <c r="B9207" i="1" s="1"/>
  <c r="E9208" i="1"/>
  <c r="F9208" i="1"/>
  <c r="B9208" i="1" s="1"/>
  <c r="E9209" i="1"/>
  <c r="F9209" i="1"/>
  <c r="B9209" i="1" s="1"/>
  <c r="E9210" i="1"/>
  <c r="F9210" i="1"/>
  <c r="B9210" i="1" s="1"/>
  <c r="E9211" i="1"/>
  <c r="F9211" i="1"/>
  <c r="B9211" i="1" s="1"/>
  <c r="E9212" i="1"/>
  <c r="F9212" i="1"/>
  <c r="B9212" i="1" s="1"/>
  <c r="E9213" i="1"/>
  <c r="F9213" i="1"/>
  <c r="B9213" i="1" s="1"/>
  <c r="E9214" i="1"/>
  <c r="F9214" i="1"/>
  <c r="B9214" i="1" s="1"/>
  <c r="E9215" i="1"/>
  <c r="F9215" i="1"/>
  <c r="B9215" i="1" s="1"/>
  <c r="E9216" i="1"/>
  <c r="F9216" i="1"/>
  <c r="B9216" i="1" s="1"/>
  <c r="E9217" i="1"/>
  <c r="F9217" i="1"/>
  <c r="B9217" i="1" s="1"/>
  <c r="E9218" i="1"/>
  <c r="F9218" i="1"/>
  <c r="B9218" i="1" s="1"/>
  <c r="E9219" i="1"/>
  <c r="F9219" i="1"/>
  <c r="B9219" i="1" s="1"/>
  <c r="E9220" i="1"/>
  <c r="F9220" i="1"/>
  <c r="B9220" i="1" s="1"/>
  <c r="E9221" i="1"/>
  <c r="F9221" i="1"/>
  <c r="B9221" i="1" s="1"/>
  <c r="E9222" i="1"/>
  <c r="F9222" i="1"/>
  <c r="B9222" i="1" s="1"/>
  <c r="E9223" i="1"/>
  <c r="F9223" i="1"/>
  <c r="B9223" i="1" s="1"/>
  <c r="E9224" i="1"/>
  <c r="F9224" i="1"/>
  <c r="B9224" i="1" s="1"/>
  <c r="E9225" i="1"/>
  <c r="F9225" i="1"/>
  <c r="B9225" i="1" s="1"/>
  <c r="E9226" i="1"/>
  <c r="F9226" i="1"/>
  <c r="B9226" i="1" s="1"/>
  <c r="E9227" i="1"/>
  <c r="F9227" i="1"/>
  <c r="B9227" i="1" s="1"/>
  <c r="E9228" i="1"/>
  <c r="F9228" i="1"/>
  <c r="B9228" i="1" s="1"/>
  <c r="E9229" i="1"/>
  <c r="F9229" i="1"/>
  <c r="B9229" i="1" s="1"/>
  <c r="E9230" i="1"/>
  <c r="F9230" i="1"/>
  <c r="B9230" i="1" s="1"/>
  <c r="E9231" i="1"/>
  <c r="F9231" i="1"/>
  <c r="B9231" i="1" s="1"/>
  <c r="E9232" i="1"/>
  <c r="F9232" i="1"/>
  <c r="B9232" i="1" s="1"/>
  <c r="E9233" i="1"/>
  <c r="F9233" i="1"/>
  <c r="B9233" i="1" s="1"/>
  <c r="E9234" i="1"/>
  <c r="F9234" i="1"/>
  <c r="B9234" i="1" s="1"/>
  <c r="E9235" i="1"/>
  <c r="F9235" i="1"/>
  <c r="B9235" i="1" s="1"/>
  <c r="E9236" i="1"/>
  <c r="F9236" i="1"/>
  <c r="B9236" i="1" s="1"/>
  <c r="E9237" i="1"/>
  <c r="F9237" i="1"/>
  <c r="B9237" i="1" s="1"/>
  <c r="E9238" i="1"/>
  <c r="F9238" i="1"/>
  <c r="B9238" i="1" s="1"/>
  <c r="E9239" i="1"/>
  <c r="F9239" i="1"/>
  <c r="B9239" i="1" s="1"/>
  <c r="E9240" i="1"/>
  <c r="F9240" i="1"/>
  <c r="B9240" i="1" s="1"/>
  <c r="E9241" i="1"/>
  <c r="F9241" i="1"/>
  <c r="B9241" i="1" s="1"/>
  <c r="E9242" i="1"/>
  <c r="F9242" i="1"/>
  <c r="B9242" i="1" s="1"/>
  <c r="E9243" i="1"/>
  <c r="F9243" i="1"/>
  <c r="B9243" i="1" s="1"/>
  <c r="E9244" i="1"/>
  <c r="F9244" i="1"/>
  <c r="B9244" i="1" s="1"/>
  <c r="E9245" i="1"/>
  <c r="F9245" i="1"/>
  <c r="B9245" i="1" s="1"/>
  <c r="E9246" i="1"/>
  <c r="F9246" i="1"/>
  <c r="B9246" i="1" s="1"/>
  <c r="E9247" i="1"/>
  <c r="F9247" i="1"/>
  <c r="B9247" i="1" s="1"/>
  <c r="E9248" i="1"/>
  <c r="F9248" i="1"/>
  <c r="B9248" i="1" s="1"/>
  <c r="E9249" i="1"/>
  <c r="F9249" i="1"/>
  <c r="B9249" i="1" s="1"/>
  <c r="E9250" i="1"/>
  <c r="F9250" i="1"/>
  <c r="B9250" i="1" s="1"/>
  <c r="E9251" i="1"/>
  <c r="F9251" i="1"/>
  <c r="B9251" i="1" s="1"/>
  <c r="E9252" i="1"/>
  <c r="F9252" i="1"/>
  <c r="E9253" i="1"/>
  <c r="F9253" i="1"/>
  <c r="B9253" i="1" s="1"/>
  <c r="E9254" i="1"/>
  <c r="F9254" i="1"/>
  <c r="B9254" i="1" s="1"/>
  <c r="E9255" i="1"/>
  <c r="F9255" i="1"/>
  <c r="B9255" i="1" s="1"/>
  <c r="E9256" i="1"/>
  <c r="F9256" i="1"/>
  <c r="B9256" i="1" s="1"/>
  <c r="E9257" i="1"/>
  <c r="F9257" i="1"/>
  <c r="B9257" i="1" s="1"/>
  <c r="E9258" i="1"/>
  <c r="F9258" i="1"/>
  <c r="B9258" i="1" s="1"/>
  <c r="E9259" i="1"/>
  <c r="F9259" i="1"/>
  <c r="B9259" i="1" s="1"/>
  <c r="E9260" i="1"/>
  <c r="F9260" i="1"/>
  <c r="B9260" i="1" s="1"/>
  <c r="E9261" i="1"/>
  <c r="F9261" i="1"/>
  <c r="B9261" i="1" s="1"/>
  <c r="E9262" i="1"/>
  <c r="F9262" i="1"/>
  <c r="B9262" i="1" s="1"/>
  <c r="E9263" i="1"/>
  <c r="F9263" i="1"/>
  <c r="B9263" i="1" s="1"/>
  <c r="E9264" i="1"/>
  <c r="F9264" i="1"/>
  <c r="B9264" i="1" s="1"/>
  <c r="E9265" i="1"/>
  <c r="F9265" i="1"/>
  <c r="B9265" i="1" s="1"/>
  <c r="E9266" i="1"/>
  <c r="F9266" i="1"/>
  <c r="B9266" i="1" s="1"/>
  <c r="E9267" i="1"/>
  <c r="F9267" i="1"/>
  <c r="B9267" i="1" s="1"/>
  <c r="E9268" i="1"/>
  <c r="F9268" i="1"/>
  <c r="B9268" i="1" s="1"/>
  <c r="E9269" i="1"/>
  <c r="F9269" i="1"/>
  <c r="B9269" i="1" s="1"/>
  <c r="E9270" i="1"/>
  <c r="F9270" i="1"/>
  <c r="B9270" i="1" s="1"/>
  <c r="E9271" i="1"/>
  <c r="F9271" i="1"/>
  <c r="B9271" i="1" s="1"/>
  <c r="E9272" i="1"/>
  <c r="F9272" i="1"/>
  <c r="B9272" i="1" s="1"/>
  <c r="E9273" i="1"/>
  <c r="F9273" i="1"/>
  <c r="B9273" i="1" s="1"/>
  <c r="E9274" i="1"/>
  <c r="F9274" i="1"/>
  <c r="B9274" i="1" s="1"/>
  <c r="E9275" i="1"/>
  <c r="F9275" i="1"/>
  <c r="B9275" i="1" s="1"/>
  <c r="E9276" i="1"/>
  <c r="F9276" i="1"/>
  <c r="B9276" i="1" s="1"/>
  <c r="E9277" i="1"/>
  <c r="F9277" i="1"/>
  <c r="B9277" i="1" s="1"/>
  <c r="E9278" i="1"/>
  <c r="F9278" i="1"/>
  <c r="B9278" i="1" s="1"/>
  <c r="E9279" i="1"/>
  <c r="F9279" i="1"/>
  <c r="B9279" i="1" s="1"/>
  <c r="E9280" i="1"/>
  <c r="F9280" i="1"/>
  <c r="B9280" i="1" s="1"/>
  <c r="E9281" i="1"/>
  <c r="F9281" i="1"/>
  <c r="B9281" i="1" s="1"/>
  <c r="E9282" i="1"/>
  <c r="F9282" i="1"/>
  <c r="B9282" i="1" s="1"/>
  <c r="E9283" i="1"/>
  <c r="F9283" i="1"/>
  <c r="B9283" i="1" s="1"/>
  <c r="E9284" i="1"/>
  <c r="F9284" i="1"/>
  <c r="B9284" i="1" s="1"/>
  <c r="E9285" i="1"/>
  <c r="F9285" i="1"/>
  <c r="B9285" i="1" s="1"/>
  <c r="E9286" i="1"/>
  <c r="F9286" i="1"/>
  <c r="B9286" i="1" s="1"/>
  <c r="E9287" i="1"/>
  <c r="F9287" i="1"/>
  <c r="B9287" i="1" s="1"/>
  <c r="E9288" i="1"/>
  <c r="F9288" i="1"/>
  <c r="B9288" i="1" s="1"/>
  <c r="E9289" i="1"/>
  <c r="F9289" i="1"/>
  <c r="B9289" i="1" s="1"/>
  <c r="E9290" i="1"/>
  <c r="F9290" i="1"/>
  <c r="B9290" i="1" s="1"/>
  <c r="E9291" i="1"/>
  <c r="F9291" i="1"/>
  <c r="B9291" i="1" s="1"/>
  <c r="E9292" i="1"/>
  <c r="F9292" i="1"/>
  <c r="B9292" i="1" s="1"/>
  <c r="E9293" i="1"/>
  <c r="F9293" i="1"/>
  <c r="B9293" i="1" s="1"/>
  <c r="E9294" i="1"/>
  <c r="F9294" i="1"/>
  <c r="B9294" i="1" s="1"/>
  <c r="E9295" i="1"/>
  <c r="F9295" i="1"/>
  <c r="B9295" i="1" s="1"/>
  <c r="E9296" i="1"/>
  <c r="F9296" i="1"/>
  <c r="B9296" i="1" s="1"/>
  <c r="E9297" i="1"/>
  <c r="F9297" i="1"/>
  <c r="B9297" i="1" s="1"/>
  <c r="E9298" i="1"/>
  <c r="F9298" i="1"/>
  <c r="B9298" i="1" s="1"/>
  <c r="E9299" i="1"/>
  <c r="F9299" i="1"/>
  <c r="B9299" i="1" s="1"/>
  <c r="E9300" i="1"/>
  <c r="F9300" i="1"/>
  <c r="B9300" i="1" s="1"/>
  <c r="E9301" i="1"/>
  <c r="F9301" i="1"/>
  <c r="B9301" i="1" s="1"/>
  <c r="E9302" i="1"/>
  <c r="F9302" i="1"/>
  <c r="B9302" i="1" s="1"/>
  <c r="E9303" i="1"/>
  <c r="F9303" i="1"/>
  <c r="B9303" i="1" s="1"/>
  <c r="E9304" i="1"/>
  <c r="F9304" i="1"/>
  <c r="B9304" i="1" s="1"/>
  <c r="E9305" i="1"/>
  <c r="F9305" i="1"/>
  <c r="B9305" i="1" s="1"/>
  <c r="E9306" i="1"/>
  <c r="F9306" i="1"/>
  <c r="B9306" i="1" s="1"/>
  <c r="E9307" i="1"/>
  <c r="F9307" i="1"/>
  <c r="B9307" i="1" s="1"/>
  <c r="E9308" i="1"/>
  <c r="F9308" i="1"/>
  <c r="B9308" i="1" s="1"/>
  <c r="E9309" i="1"/>
  <c r="F9309" i="1"/>
  <c r="B9309" i="1" s="1"/>
  <c r="E9310" i="1"/>
  <c r="F9310" i="1"/>
  <c r="B9310" i="1" s="1"/>
  <c r="E9311" i="1"/>
  <c r="F9311" i="1"/>
  <c r="B9311" i="1" s="1"/>
  <c r="E9312" i="1"/>
  <c r="F9312" i="1"/>
  <c r="B9312" i="1" s="1"/>
  <c r="E9313" i="1"/>
  <c r="F9313" i="1"/>
  <c r="B9313" i="1" s="1"/>
  <c r="E9314" i="1"/>
  <c r="F9314" i="1"/>
  <c r="B9314" i="1" s="1"/>
  <c r="E9315" i="1"/>
  <c r="F9315" i="1"/>
  <c r="B9315" i="1" s="1"/>
  <c r="E9316" i="1"/>
  <c r="F9316" i="1"/>
  <c r="B9316" i="1" s="1"/>
  <c r="E9317" i="1"/>
  <c r="F9317" i="1"/>
  <c r="B9317" i="1" s="1"/>
  <c r="E9318" i="1"/>
  <c r="F9318" i="1"/>
  <c r="B9318" i="1" s="1"/>
  <c r="E9319" i="1"/>
  <c r="F9319" i="1"/>
  <c r="B9319" i="1" s="1"/>
  <c r="E9320" i="1"/>
  <c r="F9320" i="1"/>
  <c r="B9320" i="1" s="1"/>
  <c r="E9321" i="1"/>
  <c r="F9321" i="1"/>
  <c r="B9321" i="1" s="1"/>
  <c r="E9322" i="1"/>
  <c r="F9322" i="1"/>
  <c r="B9322" i="1" s="1"/>
  <c r="E9323" i="1"/>
  <c r="F9323" i="1"/>
  <c r="B9323" i="1" s="1"/>
  <c r="E9324" i="1"/>
  <c r="F9324" i="1"/>
  <c r="B9324" i="1" s="1"/>
  <c r="E9325" i="1"/>
  <c r="F9325" i="1"/>
  <c r="B9325" i="1" s="1"/>
  <c r="E9326" i="1"/>
  <c r="F9326" i="1"/>
  <c r="B9326" i="1" s="1"/>
  <c r="E9327" i="1"/>
  <c r="F9327" i="1"/>
  <c r="B9327" i="1" s="1"/>
  <c r="E9328" i="1"/>
  <c r="F9328" i="1"/>
  <c r="B9328" i="1" s="1"/>
  <c r="E9329" i="1"/>
  <c r="F9329" i="1"/>
  <c r="B9329" i="1" s="1"/>
  <c r="E9330" i="1"/>
  <c r="F9330" i="1"/>
  <c r="B9330" i="1" s="1"/>
  <c r="E9331" i="1"/>
  <c r="F9331" i="1"/>
  <c r="B9331" i="1" s="1"/>
  <c r="E9332" i="1"/>
  <c r="F9332" i="1"/>
  <c r="B9332" i="1" s="1"/>
  <c r="E9333" i="1"/>
  <c r="F9333" i="1"/>
  <c r="B9333" i="1" s="1"/>
  <c r="E9334" i="1"/>
  <c r="F9334" i="1"/>
  <c r="B9334" i="1" s="1"/>
  <c r="E9335" i="1"/>
  <c r="F9335" i="1"/>
  <c r="B9335" i="1" s="1"/>
  <c r="E9336" i="1"/>
  <c r="F9336" i="1"/>
  <c r="B9336" i="1" s="1"/>
  <c r="E9337" i="1"/>
  <c r="F9337" i="1"/>
  <c r="B9337" i="1" s="1"/>
  <c r="E9338" i="1"/>
  <c r="F9338" i="1"/>
  <c r="B9338" i="1" s="1"/>
  <c r="E9339" i="1"/>
  <c r="F9339" i="1"/>
  <c r="B9339" i="1" s="1"/>
  <c r="E9340" i="1"/>
  <c r="F9340" i="1"/>
  <c r="B9340" i="1" s="1"/>
  <c r="E9341" i="1"/>
  <c r="F9341" i="1"/>
  <c r="B9341" i="1" s="1"/>
  <c r="E9342" i="1"/>
  <c r="F9342" i="1"/>
  <c r="B9342" i="1" s="1"/>
  <c r="E9343" i="1"/>
  <c r="F9343" i="1"/>
  <c r="B9343" i="1" s="1"/>
  <c r="E9344" i="1"/>
  <c r="F9344" i="1"/>
  <c r="B9344" i="1" s="1"/>
  <c r="E9345" i="1"/>
  <c r="F9345" i="1"/>
  <c r="B9345" i="1" s="1"/>
  <c r="E9346" i="1"/>
  <c r="F9346" i="1"/>
  <c r="B9346" i="1" s="1"/>
  <c r="E9347" i="1"/>
  <c r="F9347" i="1"/>
  <c r="B9347" i="1" s="1"/>
  <c r="E9348" i="1"/>
  <c r="F9348" i="1"/>
  <c r="B9348" i="1" s="1"/>
  <c r="E9349" i="1"/>
  <c r="F9349" i="1"/>
  <c r="B9349" i="1" s="1"/>
  <c r="E9350" i="1"/>
  <c r="F9350" i="1"/>
  <c r="B9350" i="1" s="1"/>
  <c r="E9351" i="1"/>
  <c r="F9351" i="1"/>
  <c r="B9351" i="1" s="1"/>
  <c r="E9352" i="1"/>
  <c r="F9352" i="1"/>
  <c r="B9352" i="1" s="1"/>
  <c r="E9353" i="1"/>
  <c r="F9353" i="1"/>
  <c r="B9353" i="1" s="1"/>
  <c r="E9354" i="1"/>
  <c r="F9354" i="1"/>
  <c r="B9354" i="1" s="1"/>
  <c r="E9355" i="1"/>
  <c r="F9355" i="1"/>
  <c r="B9355" i="1" s="1"/>
  <c r="E9356" i="1"/>
  <c r="F9356" i="1"/>
  <c r="B9356" i="1" s="1"/>
  <c r="E9357" i="1"/>
  <c r="F9357" i="1"/>
  <c r="B9357" i="1" s="1"/>
  <c r="E9358" i="1"/>
  <c r="F9358" i="1"/>
  <c r="B9358" i="1" s="1"/>
  <c r="E9359" i="1"/>
  <c r="F9359" i="1"/>
  <c r="B9359" i="1" s="1"/>
  <c r="E9360" i="1"/>
  <c r="F9360" i="1"/>
  <c r="B9360" i="1" s="1"/>
  <c r="E9361" i="1"/>
  <c r="F9361" i="1"/>
  <c r="B9361" i="1" s="1"/>
  <c r="E9362" i="1"/>
  <c r="F9362" i="1"/>
  <c r="B9362" i="1" s="1"/>
  <c r="E9363" i="1"/>
  <c r="F9363" i="1"/>
  <c r="B9363" i="1" s="1"/>
  <c r="E9364" i="1"/>
  <c r="F9364" i="1"/>
  <c r="B9364" i="1" s="1"/>
  <c r="E9365" i="1"/>
  <c r="F9365" i="1"/>
  <c r="B9365" i="1" s="1"/>
  <c r="E9366" i="1"/>
  <c r="F9366" i="1"/>
  <c r="B9366" i="1" s="1"/>
  <c r="E9367" i="1"/>
  <c r="F9367" i="1"/>
  <c r="B9367" i="1" s="1"/>
  <c r="E9368" i="1"/>
  <c r="F9368" i="1"/>
  <c r="B9368" i="1" s="1"/>
  <c r="E9369" i="1"/>
  <c r="F9369" i="1"/>
  <c r="B9369" i="1" s="1"/>
  <c r="E9370" i="1"/>
  <c r="F9370" i="1"/>
  <c r="B9370" i="1" s="1"/>
  <c r="E9371" i="1"/>
  <c r="F9371" i="1"/>
  <c r="B9371" i="1" s="1"/>
  <c r="E9372" i="1"/>
  <c r="F9372" i="1"/>
  <c r="B9372" i="1" s="1"/>
  <c r="E9373" i="1"/>
  <c r="F9373" i="1"/>
  <c r="B9373" i="1" s="1"/>
  <c r="E9374" i="1"/>
  <c r="F9374" i="1"/>
  <c r="B9374" i="1" s="1"/>
  <c r="E9375" i="1"/>
  <c r="F9375" i="1"/>
  <c r="B9375" i="1" s="1"/>
  <c r="E9376" i="1"/>
  <c r="F9376" i="1"/>
  <c r="B9376" i="1" s="1"/>
  <c r="E9377" i="1"/>
  <c r="F9377" i="1"/>
  <c r="B9377" i="1" s="1"/>
  <c r="E9378" i="1"/>
  <c r="F9378" i="1"/>
  <c r="B9378" i="1" s="1"/>
  <c r="E9379" i="1"/>
  <c r="F9379" i="1"/>
  <c r="B9379" i="1" s="1"/>
  <c r="E9380" i="1"/>
  <c r="F9380" i="1"/>
  <c r="B9380" i="1" s="1"/>
  <c r="E9381" i="1"/>
  <c r="F9381" i="1"/>
  <c r="B9381" i="1" s="1"/>
  <c r="E9382" i="1"/>
  <c r="F9382" i="1"/>
  <c r="B9382" i="1" s="1"/>
  <c r="E9383" i="1"/>
  <c r="F9383" i="1"/>
  <c r="B9383" i="1" s="1"/>
  <c r="E9384" i="1"/>
  <c r="F9384" i="1"/>
  <c r="B9384" i="1" s="1"/>
  <c r="E9385" i="1"/>
  <c r="F9385" i="1"/>
  <c r="B9385" i="1" s="1"/>
  <c r="E9386" i="1"/>
  <c r="F9386" i="1"/>
  <c r="B9386" i="1" s="1"/>
  <c r="E9387" i="1"/>
  <c r="F9387" i="1"/>
  <c r="B9387" i="1" s="1"/>
  <c r="E9388" i="1"/>
  <c r="F9388" i="1"/>
  <c r="E9389" i="1"/>
  <c r="F9389" i="1"/>
  <c r="B9389" i="1" s="1"/>
  <c r="E9390" i="1"/>
  <c r="F9390" i="1"/>
  <c r="B9390" i="1" s="1"/>
  <c r="E9391" i="1"/>
  <c r="F9391" i="1"/>
  <c r="B9391" i="1" s="1"/>
  <c r="E9392" i="1"/>
  <c r="F9392" i="1"/>
  <c r="B9392" i="1" s="1"/>
  <c r="E9393" i="1"/>
  <c r="F9393" i="1"/>
  <c r="B9393" i="1" s="1"/>
  <c r="E9394" i="1"/>
  <c r="F9394" i="1"/>
  <c r="B9394" i="1" s="1"/>
  <c r="E9395" i="1"/>
  <c r="F9395" i="1"/>
  <c r="B9395" i="1" s="1"/>
  <c r="E9396" i="1"/>
  <c r="F9396" i="1"/>
  <c r="B9396" i="1" s="1"/>
  <c r="E9397" i="1"/>
  <c r="F9397" i="1"/>
  <c r="B9397" i="1" s="1"/>
  <c r="E9398" i="1"/>
  <c r="F9398" i="1"/>
  <c r="B9398" i="1" s="1"/>
  <c r="E9399" i="1"/>
  <c r="F9399" i="1"/>
  <c r="B9399" i="1" s="1"/>
  <c r="E9400" i="1"/>
  <c r="F9400" i="1"/>
  <c r="B9400" i="1" s="1"/>
  <c r="E9401" i="1"/>
  <c r="F9401" i="1"/>
  <c r="B9401" i="1" s="1"/>
  <c r="E9402" i="1"/>
  <c r="F9402" i="1"/>
  <c r="B9402" i="1" s="1"/>
  <c r="E9403" i="1"/>
  <c r="F9403" i="1"/>
  <c r="B9403" i="1" s="1"/>
  <c r="E9404" i="1"/>
  <c r="F9404" i="1"/>
  <c r="B9404" i="1" s="1"/>
  <c r="E9405" i="1"/>
  <c r="F9405" i="1"/>
  <c r="B9405" i="1" s="1"/>
  <c r="E9406" i="1"/>
  <c r="F9406" i="1"/>
  <c r="B9406" i="1" s="1"/>
  <c r="E9407" i="1"/>
  <c r="F9407" i="1"/>
  <c r="B9407" i="1" s="1"/>
  <c r="E9408" i="1"/>
  <c r="F9408" i="1"/>
  <c r="B9408" i="1" s="1"/>
  <c r="E9409" i="1"/>
  <c r="F9409" i="1"/>
  <c r="B9409" i="1" s="1"/>
  <c r="E9410" i="1"/>
  <c r="F9410" i="1"/>
  <c r="B9410" i="1" s="1"/>
  <c r="E9411" i="1"/>
  <c r="F9411" i="1"/>
  <c r="B9411" i="1" s="1"/>
  <c r="E9412" i="1"/>
  <c r="F9412" i="1"/>
  <c r="B9412" i="1" s="1"/>
  <c r="E9413" i="1"/>
  <c r="F9413" i="1"/>
  <c r="B9413" i="1" s="1"/>
  <c r="E9414" i="1"/>
  <c r="F9414" i="1"/>
  <c r="B9414" i="1" s="1"/>
  <c r="E9415" i="1"/>
  <c r="F9415" i="1"/>
  <c r="B9415" i="1" s="1"/>
  <c r="E9416" i="1"/>
  <c r="F9416" i="1"/>
  <c r="B9416" i="1" s="1"/>
  <c r="E9417" i="1"/>
  <c r="F9417" i="1"/>
  <c r="B9417" i="1" s="1"/>
  <c r="E9418" i="1"/>
  <c r="F9418" i="1"/>
  <c r="B9418" i="1" s="1"/>
  <c r="E9419" i="1"/>
  <c r="F9419" i="1"/>
  <c r="B9419" i="1" s="1"/>
  <c r="E9420" i="1"/>
  <c r="F9420" i="1"/>
  <c r="B9420" i="1" s="1"/>
  <c r="E9421" i="1"/>
  <c r="F9421" i="1"/>
  <c r="B9421" i="1" s="1"/>
  <c r="E9422" i="1"/>
  <c r="F9422" i="1"/>
  <c r="B9422" i="1" s="1"/>
  <c r="E9423" i="1"/>
  <c r="F9423" i="1"/>
  <c r="B9423" i="1" s="1"/>
  <c r="E9424" i="1"/>
  <c r="F9424" i="1"/>
  <c r="E9425" i="1"/>
  <c r="F9425" i="1"/>
  <c r="B9425" i="1" s="1"/>
  <c r="E9426" i="1"/>
  <c r="F9426" i="1"/>
  <c r="B9426" i="1" s="1"/>
  <c r="E9427" i="1"/>
  <c r="F9427" i="1"/>
  <c r="B9427" i="1" s="1"/>
  <c r="E9428" i="1"/>
  <c r="F9428" i="1"/>
  <c r="B9428" i="1" s="1"/>
  <c r="E9429" i="1"/>
  <c r="F9429" i="1"/>
  <c r="B9429" i="1" s="1"/>
  <c r="E9430" i="1"/>
  <c r="F9430" i="1"/>
  <c r="B9430" i="1" s="1"/>
  <c r="E9431" i="1"/>
  <c r="F9431" i="1"/>
  <c r="B9431" i="1" s="1"/>
  <c r="E9432" i="1"/>
  <c r="F9432" i="1"/>
  <c r="E9433" i="1"/>
  <c r="F9433" i="1"/>
  <c r="B9433" i="1" s="1"/>
  <c r="E9434" i="1"/>
  <c r="F9434" i="1"/>
  <c r="B9434" i="1" s="1"/>
  <c r="E9435" i="1"/>
  <c r="F9435" i="1"/>
  <c r="B9435" i="1" s="1"/>
  <c r="E9436" i="1"/>
  <c r="F9436" i="1"/>
  <c r="B9436" i="1" s="1"/>
  <c r="E9437" i="1"/>
  <c r="F9437" i="1"/>
  <c r="B9437" i="1" s="1"/>
  <c r="E9438" i="1"/>
  <c r="F9438" i="1"/>
  <c r="B9438" i="1" s="1"/>
  <c r="E9439" i="1"/>
  <c r="F9439" i="1"/>
  <c r="B9439" i="1" s="1"/>
  <c r="E9440" i="1"/>
  <c r="F9440" i="1"/>
  <c r="B9440" i="1" s="1"/>
  <c r="E9441" i="1"/>
  <c r="F9441" i="1"/>
  <c r="B9441" i="1" s="1"/>
  <c r="E9442" i="1"/>
  <c r="F9442" i="1"/>
  <c r="B9442" i="1" s="1"/>
  <c r="E9443" i="1"/>
  <c r="F9443" i="1"/>
  <c r="B9443" i="1" s="1"/>
  <c r="E9444" i="1"/>
  <c r="F9444" i="1"/>
  <c r="B9444" i="1" s="1"/>
  <c r="E9445" i="1"/>
  <c r="F9445" i="1"/>
  <c r="B9445" i="1" s="1"/>
  <c r="E9446" i="1"/>
  <c r="F9446" i="1"/>
  <c r="B9446" i="1" s="1"/>
  <c r="E9447" i="1"/>
  <c r="F9447" i="1"/>
  <c r="B9447" i="1" s="1"/>
  <c r="E9448" i="1"/>
  <c r="F9448" i="1"/>
  <c r="B9448" i="1" s="1"/>
  <c r="E9449" i="1"/>
  <c r="F9449" i="1"/>
  <c r="B9449" i="1" s="1"/>
  <c r="E9450" i="1"/>
  <c r="F9450" i="1"/>
  <c r="B9450" i="1" s="1"/>
  <c r="E9451" i="1"/>
  <c r="F9451" i="1"/>
  <c r="B9451" i="1" s="1"/>
  <c r="E9452" i="1"/>
  <c r="F9452" i="1"/>
  <c r="B9452" i="1" s="1"/>
  <c r="E9453" i="1"/>
  <c r="F9453" i="1"/>
  <c r="B9453" i="1" s="1"/>
  <c r="E9454" i="1"/>
  <c r="F9454" i="1"/>
  <c r="B9454" i="1" s="1"/>
  <c r="E9455" i="1"/>
  <c r="F9455" i="1"/>
  <c r="B9455" i="1" s="1"/>
  <c r="E9456" i="1"/>
  <c r="F9456" i="1"/>
  <c r="B9456" i="1" s="1"/>
  <c r="E9457" i="1"/>
  <c r="F9457" i="1"/>
  <c r="E9458" i="1"/>
  <c r="F9458" i="1"/>
  <c r="B9458" i="1" s="1"/>
  <c r="E9459" i="1"/>
  <c r="F9459" i="1"/>
  <c r="B9459" i="1" s="1"/>
  <c r="E9460" i="1"/>
  <c r="F9460" i="1"/>
  <c r="B9460" i="1" s="1"/>
  <c r="E9461" i="1"/>
  <c r="F9461" i="1"/>
  <c r="B9461" i="1" s="1"/>
  <c r="E9462" i="1"/>
  <c r="F9462" i="1"/>
  <c r="B9462" i="1" s="1"/>
  <c r="E9463" i="1"/>
  <c r="F9463" i="1"/>
  <c r="B9463" i="1" s="1"/>
  <c r="E9464" i="1"/>
  <c r="F9464" i="1"/>
  <c r="B9464" i="1" s="1"/>
  <c r="E9465" i="1"/>
  <c r="F9465" i="1"/>
  <c r="B9465" i="1" s="1"/>
  <c r="E9466" i="1"/>
  <c r="F9466" i="1"/>
  <c r="B9466" i="1" s="1"/>
  <c r="E9467" i="1"/>
  <c r="F9467" i="1"/>
  <c r="B9467" i="1" s="1"/>
  <c r="E9468" i="1"/>
  <c r="F9468" i="1"/>
  <c r="B9468" i="1" s="1"/>
  <c r="E9469" i="1"/>
  <c r="F9469" i="1"/>
  <c r="B9469" i="1" s="1"/>
  <c r="E9470" i="1"/>
  <c r="F9470" i="1"/>
  <c r="B9470" i="1" s="1"/>
  <c r="E9471" i="1"/>
  <c r="F9471" i="1"/>
  <c r="B9471" i="1" s="1"/>
  <c r="E9472" i="1"/>
  <c r="F9472" i="1"/>
  <c r="B9472" i="1" s="1"/>
  <c r="E9473" i="1"/>
  <c r="F9473" i="1"/>
  <c r="B9473" i="1" s="1"/>
  <c r="E9474" i="1"/>
  <c r="F9474" i="1"/>
  <c r="B9474" i="1" s="1"/>
  <c r="E9475" i="1"/>
  <c r="F9475" i="1"/>
  <c r="B9475" i="1" s="1"/>
  <c r="E9476" i="1"/>
  <c r="F9476" i="1"/>
  <c r="B9476" i="1" s="1"/>
  <c r="E9477" i="1"/>
  <c r="F9477" i="1"/>
  <c r="B9477" i="1" s="1"/>
  <c r="E9478" i="1"/>
  <c r="F9478" i="1"/>
  <c r="B9478" i="1" s="1"/>
  <c r="E9479" i="1"/>
  <c r="F9479" i="1"/>
  <c r="B9479" i="1" s="1"/>
  <c r="E9480" i="1"/>
  <c r="F9480" i="1"/>
  <c r="B9480" i="1" s="1"/>
  <c r="E9481" i="1"/>
  <c r="F9481" i="1"/>
  <c r="B9481" i="1" s="1"/>
  <c r="E9482" i="1"/>
  <c r="F9482" i="1"/>
  <c r="B9482" i="1" s="1"/>
  <c r="E9483" i="1"/>
  <c r="F9483" i="1"/>
  <c r="B9483" i="1" s="1"/>
  <c r="E9484" i="1"/>
  <c r="F9484" i="1"/>
  <c r="B9484" i="1" s="1"/>
  <c r="E9485" i="1"/>
  <c r="F9485" i="1"/>
  <c r="B9485" i="1" s="1"/>
  <c r="E9486" i="1"/>
  <c r="F9486" i="1"/>
  <c r="B9486" i="1" s="1"/>
  <c r="E9487" i="1"/>
  <c r="F9487" i="1"/>
  <c r="B9487" i="1" s="1"/>
  <c r="E9488" i="1"/>
  <c r="F9488" i="1"/>
  <c r="B9488" i="1" s="1"/>
  <c r="E9489" i="1"/>
  <c r="F9489" i="1"/>
  <c r="B9489" i="1" s="1"/>
  <c r="E9490" i="1"/>
  <c r="F9490" i="1"/>
  <c r="B9490" i="1" s="1"/>
  <c r="E9491" i="1"/>
  <c r="F9491" i="1"/>
  <c r="B9491" i="1" s="1"/>
  <c r="E9492" i="1"/>
  <c r="F9492" i="1"/>
  <c r="B9492" i="1" s="1"/>
  <c r="E9493" i="1"/>
  <c r="F9493" i="1"/>
  <c r="B9493" i="1" s="1"/>
  <c r="E9494" i="1"/>
  <c r="F9494" i="1"/>
  <c r="B9494" i="1" s="1"/>
  <c r="E9495" i="1"/>
  <c r="F9495" i="1"/>
  <c r="B9495" i="1" s="1"/>
  <c r="E9496" i="1"/>
  <c r="F9496" i="1"/>
  <c r="B9496" i="1" s="1"/>
  <c r="E9497" i="1"/>
  <c r="F9497" i="1"/>
  <c r="B9497" i="1" s="1"/>
  <c r="E9498" i="1"/>
  <c r="F9498" i="1"/>
  <c r="B9498" i="1" s="1"/>
  <c r="E9499" i="1"/>
  <c r="F9499" i="1"/>
  <c r="B9499" i="1" s="1"/>
  <c r="E9500" i="1"/>
  <c r="F9500" i="1"/>
  <c r="B9500" i="1" s="1"/>
  <c r="E9501" i="1"/>
  <c r="F9501" i="1"/>
  <c r="B9501" i="1" s="1"/>
  <c r="E9502" i="1"/>
  <c r="F9502" i="1"/>
  <c r="B9502" i="1" s="1"/>
  <c r="E9503" i="1"/>
  <c r="F9503" i="1"/>
  <c r="B9503" i="1" s="1"/>
  <c r="E9504" i="1"/>
  <c r="F9504" i="1"/>
  <c r="B9504" i="1" s="1"/>
  <c r="E9505" i="1"/>
  <c r="F9505" i="1"/>
  <c r="B9505" i="1" s="1"/>
  <c r="E9506" i="1"/>
  <c r="F9506" i="1"/>
  <c r="B9506" i="1" s="1"/>
  <c r="E9507" i="1"/>
  <c r="F9507" i="1"/>
  <c r="B9507" i="1" s="1"/>
  <c r="E9508" i="1"/>
  <c r="F9508" i="1"/>
  <c r="B9508" i="1" s="1"/>
  <c r="E9509" i="1"/>
  <c r="F9509" i="1"/>
  <c r="B9509" i="1" s="1"/>
  <c r="E9510" i="1"/>
  <c r="F9510" i="1"/>
  <c r="B9510" i="1" s="1"/>
  <c r="E9511" i="1"/>
  <c r="F9511" i="1"/>
  <c r="B9511" i="1" s="1"/>
  <c r="F9512" i="1"/>
  <c r="B9512" i="1" s="1"/>
  <c r="F9513" i="1"/>
  <c r="B9513" i="1" s="1"/>
  <c r="F9514" i="1"/>
  <c r="B9514" i="1" s="1"/>
  <c r="F9515" i="1"/>
  <c r="B9515" i="1" s="1"/>
  <c r="F9516" i="1"/>
  <c r="F9517" i="1"/>
  <c r="B9517" i="1" s="1"/>
  <c r="F9518" i="1"/>
  <c r="B9518" i="1" s="1"/>
  <c r="F9519" i="1"/>
  <c r="B9519" i="1" s="1"/>
  <c r="F9520" i="1"/>
  <c r="B9520" i="1" s="1"/>
  <c r="F9521" i="1"/>
  <c r="B9521" i="1" s="1"/>
  <c r="F9522" i="1"/>
  <c r="B9522" i="1" s="1"/>
  <c r="F9523" i="1"/>
  <c r="B9523" i="1" s="1"/>
  <c r="F9524" i="1"/>
  <c r="B9524" i="1" s="1"/>
  <c r="F9525" i="1"/>
  <c r="B9525" i="1" s="1"/>
  <c r="F9526" i="1"/>
  <c r="B9526" i="1" s="1"/>
  <c r="F9527" i="1"/>
  <c r="B9527" i="1" s="1"/>
  <c r="F9528" i="1"/>
  <c r="B9528" i="1" s="1"/>
  <c r="F9529" i="1"/>
  <c r="B9529" i="1" s="1"/>
  <c r="F9530" i="1"/>
  <c r="B9530" i="1" s="1"/>
  <c r="F9531" i="1"/>
  <c r="B9531" i="1" s="1"/>
  <c r="F9532" i="1"/>
  <c r="B9532" i="1" s="1"/>
  <c r="F9533" i="1"/>
  <c r="B9533" i="1" s="1"/>
  <c r="F9534" i="1"/>
  <c r="B9534" i="1" s="1"/>
  <c r="F9535" i="1"/>
  <c r="B9535" i="1" s="1"/>
  <c r="F9536" i="1"/>
  <c r="B9536" i="1" s="1"/>
  <c r="F9537" i="1"/>
  <c r="B9537" i="1" s="1"/>
  <c r="F9538" i="1"/>
  <c r="B9538" i="1" s="1"/>
  <c r="F9539" i="1"/>
  <c r="B9539" i="1" s="1"/>
  <c r="F9540" i="1"/>
  <c r="B9540" i="1" s="1"/>
  <c r="F9541" i="1"/>
  <c r="B9541" i="1" s="1"/>
  <c r="F9542" i="1"/>
  <c r="B9542" i="1" s="1"/>
  <c r="F9543" i="1"/>
  <c r="B9543" i="1" s="1"/>
  <c r="F9544" i="1"/>
  <c r="B9544" i="1" s="1"/>
  <c r="F9545" i="1"/>
  <c r="B9545" i="1" s="1"/>
  <c r="F9546" i="1"/>
  <c r="B9546" i="1" s="1"/>
  <c r="F9547" i="1"/>
  <c r="B9547" i="1" s="1"/>
  <c r="F9548" i="1"/>
  <c r="B9548" i="1" s="1"/>
  <c r="F9549" i="1"/>
  <c r="B9549" i="1" s="1"/>
  <c r="F9550" i="1"/>
  <c r="B9550" i="1" s="1"/>
  <c r="F9551" i="1"/>
  <c r="B9551" i="1" s="1"/>
  <c r="F9552" i="1"/>
  <c r="B9552" i="1" s="1"/>
  <c r="F9553" i="1"/>
  <c r="B9553" i="1" s="1"/>
  <c r="F9554" i="1"/>
  <c r="B9554" i="1" s="1"/>
  <c r="F9555" i="1"/>
  <c r="B9555" i="1" s="1"/>
  <c r="F9556" i="1"/>
  <c r="B9556" i="1" s="1"/>
  <c r="F9557" i="1"/>
  <c r="B9557" i="1" s="1"/>
  <c r="F9558" i="1"/>
  <c r="B9558" i="1" s="1"/>
  <c r="F9559" i="1"/>
  <c r="B9559" i="1" s="1"/>
  <c r="F9560" i="1"/>
  <c r="B9560" i="1" s="1"/>
  <c r="F9561" i="1"/>
  <c r="B9561" i="1" s="1"/>
  <c r="F9562" i="1"/>
  <c r="B9562" i="1" s="1"/>
  <c r="F9563" i="1"/>
  <c r="B9563" i="1" s="1"/>
  <c r="F9564" i="1"/>
  <c r="B9564" i="1" s="1"/>
  <c r="F9565" i="1"/>
  <c r="B9565" i="1" s="1"/>
  <c r="F9566" i="1"/>
  <c r="B9566" i="1" s="1"/>
  <c r="F9567" i="1"/>
  <c r="B9567" i="1" s="1"/>
  <c r="F9568" i="1"/>
  <c r="B9568" i="1" s="1"/>
  <c r="F9569" i="1"/>
  <c r="B9569" i="1" s="1"/>
  <c r="F9570" i="1"/>
  <c r="B9570" i="1" s="1"/>
  <c r="F9571" i="1"/>
  <c r="B9571" i="1" s="1"/>
  <c r="F9572" i="1"/>
  <c r="B9572" i="1" s="1"/>
  <c r="F9573" i="1"/>
  <c r="B9573" i="1" s="1"/>
  <c r="F9574" i="1"/>
  <c r="B9574" i="1" s="1"/>
  <c r="F9575" i="1"/>
  <c r="B9575" i="1" s="1"/>
  <c r="F9576" i="1"/>
  <c r="B9576" i="1" s="1"/>
  <c r="F9577" i="1"/>
  <c r="B9577" i="1" s="1"/>
  <c r="F9578" i="1"/>
  <c r="B9578" i="1" s="1"/>
  <c r="F9579" i="1"/>
  <c r="B9579" i="1" s="1"/>
  <c r="F9580" i="1"/>
  <c r="B9580" i="1" s="1"/>
  <c r="F9581" i="1"/>
  <c r="B9581" i="1" s="1"/>
  <c r="F9582" i="1"/>
  <c r="B9582" i="1" s="1"/>
  <c r="F9583" i="1"/>
  <c r="B9583" i="1" s="1"/>
  <c r="F9584" i="1"/>
  <c r="B9584" i="1" s="1"/>
  <c r="F9585" i="1"/>
  <c r="B9585" i="1" s="1"/>
  <c r="F9586" i="1"/>
  <c r="B9586" i="1" s="1"/>
  <c r="F9587" i="1"/>
  <c r="B9587" i="1" s="1"/>
  <c r="F9588" i="1"/>
  <c r="B9588" i="1" s="1"/>
  <c r="F9589" i="1"/>
  <c r="B9589" i="1" s="1"/>
  <c r="F9590" i="1"/>
  <c r="B9590" i="1" s="1"/>
  <c r="F9591" i="1"/>
  <c r="B9591" i="1" s="1"/>
  <c r="F9592" i="1"/>
  <c r="B9592" i="1" s="1"/>
  <c r="F9593" i="1"/>
  <c r="B9593" i="1" s="1"/>
  <c r="F9594" i="1"/>
  <c r="B9594" i="1" s="1"/>
  <c r="F9595" i="1"/>
  <c r="B9595" i="1" s="1"/>
  <c r="F9596" i="1"/>
  <c r="B9596" i="1" s="1"/>
  <c r="F9597" i="1"/>
  <c r="B9597" i="1" s="1"/>
  <c r="F9598" i="1"/>
  <c r="B9598" i="1" s="1"/>
  <c r="F9599" i="1"/>
  <c r="B9599" i="1" s="1"/>
  <c r="F9600" i="1"/>
  <c r="B9600" i="1" s="1"/>
  <c r="F9601" i="1"/>
  <c r="B9601" i="1" s="1"/>
  <c r="F9602" i="1"/>
  <c r="B9602" i="1" s="1"/>
  <c r="F9603" i="1"/>
  <c r="B9603" i="1" s="1"/>
  <c r="F9604" i="1"/>
  <c r="B9604" i="1" s="1"/>
  <c r="F9605" i="1"/>
  <c r="B9605" i="1" s="1"/>
  <c r="F9606" i="1"/>
  <c r="B9606" i="1" s="1"/>
  <c r="F9607" i="1"/>
  <c r="B9607" i="1" s="1"/>
  <c r="F9608" i="1"/>
  <c r="B9608" i="1" s="1"/>
  <c r="F9609" i="1"/>
  <c r="B9609" i="1" s="1"/>
  <c r="F9610" i="1"/>
  <c r="B9610" i="1" s="1"/>
  <c r="F9611" i="1"/>
  <c r="B9611" i="1" s="1"/>
  <c r="F9612" i="1"/>
  <c r="B9612" i="1" s="1"/>
  <c r="F9613" i="1"/>
  <c r="B9613" i="1" s="1"/>
  <c r="F9614" i="1"/>
  <c r="B9614" i="1" s="1"/>
  <c r="F9615" i="1"/>
  <c r="B9615" i="1" s="1"/>
  <c r="F9616" i="1"/>
  <c r="B9616" i="1" s="1"/>
  <c r="F9617" i="1"/>
  <c r="B9617" i="1" s="1"/>
  <c r="F9618" i="1"/>
  <c r="B9618" i="1" s="1"/>
  <c r="F9619" i="1"/>
  <c r="B9619" i="1" s="1"/>
  <c r="F9620" i="1"/>
  <c r="B9620" i="1" s="1"/>
  <c r="F9621" i="1"/>
  <c r="B9621" i="1" s="1"/>
  <c r="F9622" i="1"/>
  <c r="B9622" i="1" s="1"/>
  <c r="F9623" i="1"/>
  <c r="B9623" i="1" s="1"/>
  <c r="F9624" i="1"/>
  <c r="B9624" i="1" s="1"/>
  <c r="F9625" i="1"/>
  <c r="B9625" i="1" s="1"/>
  <c r="F9626" i="1"/>
  <c r="B9626" i="1" s="1"/>
  <c r="F9627" i="1"/>
  <c r="B9627" i="1" s="1"/>
  <c r="F9628" i="1"/>
  <c r="B9628" i="1" s="1"/>
  <c r="F9629" i="1"/>
  <c r="B9629" i="1" s="1"/>
  <c r="F9630" i="1"/>
  <c r="B9630" i="1" s="1"/>
  <c r="F9631" i="1"/>
  <c r="B9631" i="1" s="1"/>
  <c r="F9632" i="1"/>
  <c r="B9632" i="1" s="1"/>
  <c r="F9633" i="1"/>
  <c r="B9633" i="1" s="1"/>
  <c r="F9634" i="1"/>
  <c r="B9634" i="1" s="1"/>
  <c r="F9635" i="1"/>
  <c r="B9635" i="1" s="1"/>
  <c r="F9636" i="1"/>
  <c r="B9636" i="1" s="1"/>
  <c r="F9637" i="1"/>
  <c r="B9637" i="1" s="1"/>
  <c r="F9638" i="1"/>
  <c r="B9638" i="1" s="1"/>
  <c r="F9639" i="1"/>
  <c r="B9639" i="1" s="1"/>
  <c r="F9640" i="1"/>
  <c r="B9640" i="1" s="1"/>
  <c r="F9641" i="1"/>
  <c r="B9641" i="1" s="1"/>
  <c r="F9642" i="1"/>
  <c r="B9642" i="1" s="1"/>
  <c r="F9643" i="1"/>
  <c r="B9643" i="1" s="1"/>
  <c r="F9644" i="1"/>
  <c r="B9644" i="1" s="1"/>
  <c r="F9645" i="1"/>
  <c r="B9645" i="1" s="1"/>
  <c r="F9646" i="1"/>
  <c r="B9646" i="1" s="1"/>
  <c r="F9647" i="1"/>
  <c r="B9647" i="1" s="1"/>
  <c r="F9648" i="1"/>
  <c r="B9648" i="1" s="1"/>
  <c r="F9649" i="1"/>
  <c r="F9650" i="1"/>
  <c r="B9650" i="1" s="1"/>
  <c r="F9651" i="1"/>
  <c r="B9651" i="1" s="1"/>
  <c r="F9652" i="1"/>
  <c r="B9652" i="1" s="1"/>
  <c r="F9653" i="1"/>
  <c r="B9653" i="1" s="1"/>
  <c r="F9654" i="1"/>
  <c r="B9654" i="1" s="1"/>
  <c r="F9655" i="1"/>
  <c r="B9655" i="1" s="1"/>
  <c r="F9656" i="1"/>
  <c r="B9656" i="1" s="1"/>
  <c r="F9657" i="1"/>
  <c r="B9657" i="1" s="1"/>
  <c r="F9658" i="1"/>
  <c r="F9659" i="1"/>
  <c r="B9659" i="1" s="1"/>
  <c r="F9660" i="1"/>
  <c r="B9660" i="1" s="1"/>
  <c r="F9661" i="1"/>
  <c r="B9661" i="1" s="1"/>
  <c r="F9662" i="1"/>
  <c r="B9662" i="1" s="1"/>
  <c r="F9663" i="1"/>
  <c r="B9663" i="1" s="1"/>
  <c r="F9664" i="1"/>
  <c r="B9664" i="1" s="1"/>
  <c r="F9665" i="1"/>
  <c r="B9665" i="1" s="1"/>
  <c r="F9666" i="1"/>
  <c r="B9666" i="1" s="1"/>
  <c r="F9667" i="1"/>
  <c r="B9667" i="1" s="1"/>
  <c r="F9668" i="1"/>
  <c r="B9668" i="1" s="1"/>
  <c r="F9669" i="1"/>
  <c r="B9669" i="1" s="1"/>
  <c r="F9670" i="1"/>
  <c r="B9670" i="1" s="1"/>
  <c r="F9671" i="1"/>
  <c r="B9671" i="1" s="1"/>
  <c r="F9672" i="1"/>
  <c r="B9672" i="1" s="1"/>
  <c r="F9673" i="1"/>
  <c r="B9673" i="1" s="1"/>
  <c r="F9674" i="1"/>
  <c r="B9674" i="1" s="1"/>
  <c r="F9675" i="1"/>
  <c r="B9675" i="1" s="1"/>
  <c r="F9676" i="1"/>
  <c r="B9676" i="1" s="1"/>
  <c r="F9677" i="1"/>
  <c r="B9677" i="1" s="1"/>
  <c r="F9678" i="1"/>
  <c r="B9678" i="1" s="1"/>
  <c r="F9679" i="1"/>
  <c r="F9680" i="1"/>
  <c r="B9680" i="1" s="1"/>
  <c r="F9681" i="1"/>
  <c r="F9682" i="1"/>
  <c r="B9682" i="1" s="1"/>
  <c r="F9683" i="1"/>
  <c r="B9683" i="1" s="1"/>
  <c r="F9684" i="1"/>
  <c r="B9684" i="1" s="1"/>
  <c r="F9685" i="1"/>
  <c r="B9685" i="1" s="1"/>
  <c r="F9686" i="1"/>
  <c r="B9686" i="1" s="1"/>
  <c r="F9687" i="1"/>
  <c r="B9687" i="1" s="1"/>
  <c r="F9688" i="1"/>
  <c r="B9688" i="1" s="1"/>
  <c r="F9689" i="1"/>
  <c r="B9689" i="1" s="1"/>
  <c r="F9690" i="1"/>
  <c r="B9690" i="1" s="1"/>
  <c r="F9691" i="1"/>
  <c r="B9691" i="1" s="1"/>
  <c r="F9692" i="1"/>
  <c r="B9692" i="1" s="1"/>
  <c r="F9693" i="1"/>
  <c r="B9693" i="1" s="1"/>
  <c r="F9694" i="1"/>
  <c r="B9694" i="1" s="1"/>
  <c r="F9695" i="1"/>
  <c r="B9695" i="1" s="1"/>
  <c r="F9696" i="1"/>
  <c r="B9696" i="1" s="1"/>
  <c r="F9697" i="1"/>
  <c r="B9697" i="1" s="1"/>
  <c r="F9698" i="1"/>
  <c r="B9698" i="1" s="1"/>
  <c r="F9699" i="1"/>
  <c r="B9699" i="1" s="1"/>
  <c r="F9700" i="1"/>
  <c r="B9700" i="1" s="1"/>
  <c r="F9701" i="1"/>
  <c r="B9701" i="1" s="1"/>
  <c r="F9702" i="1"/>
  <c r="B9702" i="1" s="1"/>
  <c r="F9703" i="1"/>
  <c r="B9703" i="1" s="1"/>
  <c r="F9704" i="1"/>
  <c r="B9704" i="1" s="1"/>
  <c r="F9705" i="1"/>
  <c r="B9705" i="1" s="1"/>
  <c r="F9706" i="1"/>
  <c r="B9706" i="1" s="1"/>
  <c r="F9707" i="1"/>
  <c r="B9707" i="1" s="1"/>
  <c r="F9708" i="1"/>
  <c r="B9708" i="1" s="1"/>
  <c r="F9709" i="1"/>
  <c r="B9709" i="1" s="1"/>
  <c r="F9710" i="1"/>
  <c r="B9710" i="1" s="1"/>
  <c r="F9711" i="1"/>
  <c r="B9711" i="1" s="1"/>
  <c r="F9712" i="1"/>
  <c r="B9712" i="1" s="1"/>
  <c r="F9713" i="1"/>
  <c r="B9713" i="1" s="1"/>
  <c r="F9714" i="1"/>
  <c r="B9714" i="1" s="1"/>
  <c r="F9715" i="1"/>
  <c r="B9715" i="1" s="1"/>
  <c r="F9716" i="1"/>
  <c r="B9716" i="1" s="1"/>
  <c r="F9717" i="1"/>
  <c r="B9717" i="1" s="1"/>
  <c r="F9718" i="1"/>
  <c r="B9718" i="1" s="1"/>
  <c r="F9719" i="1"/>
  <c r="B9719" i="1" s="1"/>
  <c r="F9720" i="1"/>
  <c r="B9720" i="1" s="1"/>
  <c r="F9721" i="1"/>
  <c r="B9721" i="1" s="1"/>
  <c r="F9722" i="1"/>
  <c r="B9722" i="1" s="1"/>
  <c r="F9723" i="1"/>
  <c r="B9723" i="1" s="1"/>
  <c r="F9724" i="1"/>
  <c r="B9724" i="1" s="1"/>
  <c r="F9725" i="1"/>
  <c r="B9725" i="1" s="1"/>
  <c r="F9726" i="1"/>
  <c r="B9726" i="1" s="1"/>
  <c r="F9727" i="1"/>
  <c r="B9727" i="1" s="1"/>
  <c r="F9728" i="1"/>
  <c r="B9728" i="1" s="1"/>
  <c r="F9729" i="1"/>
  <c r="B9729" i="1" s="1"/>
  <c r="F9730" i="1"/>
  <c r="B9730" i="1" s="1"/>
  <c r="F9731" i="1"/>
  <c r="B9731" i="1" s="1"/>
  <c r="F9732" i="1"/>
  <c r="B9732" i="1" s="1"/>
  <c r="F9733" i="1"/>
  <c r="B9733" i="1" s="1"/>
  <c r="F9734" i="1"/>
  <c r="B9734" i="1" s="1"/>
  <c r="F9735" i="1"/>
  <c r="B9735" i="1" s="1"/>
  <c r="F9736" i="1"/>
  <c r="B9736" i="1" s="1"/>
  <c r="F9737" i="1"/>
  <c r="B9737" i="1" s="1"/>
  <c r="F9738" i="1"/>
  <c r="B9738" i="1" s="1"/>
  <c r="F9739" i="1"/>
  <c r="B9739" i="1" s="1"/>
  <c r="F9740" i="1"/>
  <c r="B9740" i="1" s="1"/>
  <c r="F9741" i="1"/>
  <c r="B9741" i="1" s="1"/>
  <c r="F9742" i="1"/>
  <c r="B9742" i="1" s="1"/>
  <c r="F9743" i="1"/>
  <c r="B9743" i="1" s="1"/>
  <c r="F9744" i="1"/>
  <c r="B9744" i="1" s="1"/>
  <c r="F9745" i="1"/>
  <c r="B9745" i="1" s="1"/>
  <c r="F9746" i="1"/>
  <c r="B9746" i="1" s="1"/>
  <c r="F9747" i="1"/>
  <c r="B9747" i="1" s="1"/>
  <c r="F9748" i="1"/>
  <c r="B9748" i="1" s="1"/>
  <c r="F9749" i="1"/>
  <c r="B9749" i="1" s="1"/>
  <c r="F9750" i="1"/>
  <c r="B9750" i="1" s="1"/>
  <c r="F9751" i="1"/>
  <c r="B9751" i="1" s="1"/>
  <c r="F9752" i="1"/>
  <c r="B9752" i="1" s="1"/>
  <c r="F9753" i="1"/>
  <c r="B9753" i="1" s="1"/>
  <c r="F9754" i="1"/>
  <c r="B9754" i="1" s="1"/>
  <c r="F9755" i="1"/>
  <c r="B9755" i="1" s="1"/>
  <c r="F9756" i="1"/>
  <c r="B9756" i="1" s="1"/>
  <c r="F9757" i="1"/>
  <c r="B9757" i="1" s="1"/>
  <c r="F9758" i="1"/>
  <c r="B9758" i="1" s="1"/>
  <c r="F9759" i="1"/>
  <c r="B9759" i="1" s="1"/>
  <c r="F9760" i="1"/>
  <c r="B9760" i="1" s="1"/>
  <c r="F9761" i="1"/>
  <c r="B9761" i="1" s="1"/>
  <c r="F9762" i="1"/>
  <c r="B9762" i="1" s="1"/>
  <c r="F9763" i="1"/>
  <c r="B9763" i="1" s="1"/>
  <c r="F9764" i="1"/>
  <c r="B9764" i="1" s="1"/>
  <c r="F9765" i="1"/>
  <c r="B9765" i="1" s="1"/>
  <c r="F9766" i="1"/>
  <c r="B9766" i="1" s="1"/>
  <c r="F9767" i="1"/>
  <c r="B9767" i="1" s="1"/>
  <c r="F9768" i="1"/>
  <c r="B9768" i="1" s="1"/>
  <c r="F9769" i="1"/>
  <c r="B9769" i="1" s="1"/>
  <c r="F9770" i="1"/>
  <c r="B9770" i="1" s="1"/>
  <c r="F9771" i="1"/>
  <c r="B9771" i="1" s="1"/>
  <c r="F9772" i="1"/>
  <c r="B9772" i="1" s="1"/>
  <c r="F9773" i="1"/>
  <c r="B9773" i="1" s="1"/>
  <c r="F9774" i="1"/>
  <c r="B9774" i="1" s="1"/>
  <c r="F9775" i="1"/>
  <c r="B9775" i="1" s="1"/>
  <c r="F9776" i="1"/>
  <c r="B9776" i="1" s="1"/>
  <c r="F9777" i="1"/>
  <c r="B9777" i="1" s="1"/>
  <c r="F9778" i="1"/>
  <c r="B9778" i="1" s="1"/>
  <c r="F9779" i="1"/>
  <c r="B9779" i="1" s="1"/>
  <c r="F9780" i="1"/>
  <c r="B9780" i="1" s="1"/>
  <c r="F9781" i="1"/>
  <c r="B9781" i="1" s="1"/>
  <c r="F9782" i="1"/>
  <c r="B9782" i="1" s="1"/>
  <c r="F9783" i="1"/>
  <c r="B9783" i="1" s="1"/>
  <c r="F9784" i="1"/>
  <c r="B9784" i="1" s="1"/>
  <c r="F9785" i="1"/>
  <c r="B9785" i="1" s="1"/>
  <c r="F9786" i="1"/>
  <c r="B9786" i="1" s="1"/>
  <c r="F9787" i="1"/>
  <c r="B9787" i="1" s="1"/>
  <c r="F9788" i="1"/>
  <c r="B9788" i="1" s="1"/>
  <c r="F9789" i="1"/>
  <c r="B9789" i="1" s="1"/>
  <c r="F9790" i="1"/>
  <c r="B9790" i="1" s="1"/>
  <c r="F9791" i="1"/>
  <c r="B9791" i="1" s="1"/>
  <c r="F9792" i="1"/>
  <c r="B9792" i="1" s="1"/>
  <c r="F9793" i="1"/>
  <c r="B9793" i="1" s="1"/>
  <c r="F9794" i="1"/>
  <c r="B9794" i="1" s="1"/>
  <c r="F9795" i="1"/>
  <c r="B9795" i="1" s="1"/>
  <c r="F9796" i="1"/>
  <c r="B9796" i="1" s="1"/>
  <c r="F9797" i="1"/>
  <c r="B9797" i="1" s="1"/>
  <c r="F9798" i="1"/>
  <c r="B9798" i="1" s="1"/>
  <c r="F9799" i="1"/>
  <c r="B9799" i="1" s="1"/>
  <c r="F9800" i="1"/>
  <c r="B9800" i="1" s="1"/>
  <c r="F9801" i="1"/>
  <c r="B9801" i="1" s="1"/>
  <c r="F9802" i="1"/>
  <c r="B9802" i="1" s="1"/>
  <c r="F9803" i="1"/>
  <c r="B9803" i="1" s="1"/>
  <c r="F9804" i="1"/>
  <c r="B9804" i="1" s="1"/>
  <c r="F9805" i="1"/>
  <c r="B9805" i="1" s="1"/>
  <c r="F9806" i="1"/>
  <c r="B9806" i="1" s="1"/>
  <c r="F9807" i="1"/>
  <c r="B9807" i="1" s="1"/>
  <c r="F9808" i="1"/>
  <c r="B9808" i="1" s="1"/>
  <c r="F9809" i="1"/>
  <c r="B9809" i="1" s="1"/>
  <c r="F9810" i="1"/>
  <c r="B9810" i="1" s="1"/>
  <c r="F9811" i="1"/>
  <c r="B9811" i="1" s="1"/>
  <c r="F9812" i="1"/>
  <c r="B9812" i="1" s="1"/>
  <c r="F9813" i="1"/>
  <c r="B9813" i="1" s="1"/>
  <c r="F9814" i="1"/>
  <c r="B9814" i="1" s="1"/>
  <c r="F9815" i="1"/>
  <c r="B9815" i="1" s="1"/>
  <c r="F9816" i="1"/>
  <c r="B9816" i="1" s="1"/>
  <c r="F9817" i="1"/>
  <c r="B9817" i="1" s="1"/>
  <c r="F9818" i="1"/>
  <c r="B9818" i="1" s="1"/>
  <c r="F9819" i="1"/>
  <c r="B9819" i="1" s="1"/>
  <c r="F9820" i="1"/>
  <c r="B9820" i="1" s="1"/>
  <c r="F9821" i="1"/>
  <c r="B9821" i="1" s="1"/>
  <c r="F9822" i="1"/>
  <c r="B9822" i="1" s="1"/>
  <c r="F9823" i="1"/>
  <c r="B9823" i="1" s="1"/>
  <c r="F9824" i="1"/>
  <c r="B9824" i="1" s="1"/>
  <c r="F9825" i="1"/>
  <c r="B9825" i="1" s="1"/>
  <c r="F9826" i="1"/>
  <c r="B9826" i="1" s="1"/>
  <c r="F9827" i="1"/>
  <c r="B9827" i="1" s="1"/>
  <c r="F9828" i="1"/>
  <c r="B9828" i="1" s="1"/>
  <c r="F9829" i="1"/>
  <c r="B9829" i="1" s="1"/>
  <c r="F9830" i="1"/>
  <c r="B9830" i="1" s="1"/>
  <c r="F9831" i="1"/>
  <c r="B9831" i="1" s="1"/>
  <c r="F9832" i="1"/>
  <c r="B9832" i="1" s="1"/>
  <c r="F9833" i="1"/>
  <c r="B9833" i="1" s="1"/>
  <c r="F9834" i="1"/>
  <c r="B9834" i="1" s="1"/>
  <c r="F9835" i="1"/>
  <c r="B9835" i="1" s="1"/>
  <c r="F9836" i="1"/>
  <c r="B9836" i="1" s="1"/>
  <c r="F9837" i="1"/>
  <c r="B9837" i="1" s="1"/>
  <c r="F9838" i="1"/>
  <c r="B9838" i="1" s="1"/>
  <c r="F9839" i="1"/>
  <c r="B9839" i="1" s="1"/>
  <c r="F9840" i="1"/>
  <c r="B9840" i="1" s="1"/>
  <c r="F9841" i="1"/>
  <c r="B9841" i="1" s="1"/>
  <c r="F9842" i="1"/>
  <c r="B9842" i="1" s="1"/>
  <c r="F9843" i="1"/>
  <c r="F9844" i="1"/>
  <c r="B9844" i="1" s="1"/>
  <c r="F9845" i="1"/>
  <c r="B9845" i="1" s="1"/>
  <c r="F9846" i="1"/>
  <c r="B9846" i="1" s="1"/>
  <c r="F9847" i="1"/>
  <c r="B9847" i="1" s="1"/>
  <c r="F9848" i="1"/>
  <c r="B9848" i="1" s="1"/>
  <c r="F9849" i="1"/>
  <c r="B9849" i="1" s="1"/>
  <c r="F9850" i="1"/>
  <c r="B9850" i="1" s="1"/>
  <c r="F9851" i="1"/>
  <c r="F9852" i="1"/>
  <c r="B9852" i="1" s="1"/>
  <c r="F9853" i="1"/>
  <c r="B9853" i="1" s="1"/>
  <c r="F9854" i="1"/>
  <c r="B9854" i="1" s="1"/>
  <c r="F9855" i="1"/>
  <c r="B9855" i="1" s="1"/>
  <c r="F9856" i="1"/>
  <c r="B9856" i="1" s="1"/>
  <c r="F9857" i="1"/>
  <c r="B9857" i="1" s="1"/>
  <c r="F9858" i="1"/>
  <c r="B9858" i="1" s="1"/>
  <c r="F9859" i="1"/>
  <c r="F9860" i="1"/>
  <c r="B9860" i="1" s="1"/>
  <c r="F9861" i="1"/>
  <c r="B9861" i="1" s="1"/>
  <c r="F9862" i="1"/>
  <c r="B9862" i="1" s="1"/>
  <c r="F9863" i="1"/>
  <c r="B9863" i="1" s="1"/>
  <c r="F9864" i="1"/>
  <c r="B9864" i="1" s="1"/>
  <c r="F9865" i="1"/>
  <c r="B9865" i="1" s="1"/>
  <c r="F9866" i="1"/>
  <c r="B9866" i="1" s="1"/>
  <c r="F9867" i="1"/>
  <c r="B9867" i="1" s="1"/>
  <c r="F9868" i="1"/>
  <c r="B9868" i="1" s="1"/>
  <c r="F9869" i="1"/>
  <c r="B9869" i="1" s="1"/>
  <c r="F9870" i="1"/>
  <c r="B9870" i="1" s="1"/>
  <c r="F9871" i="1"/>
  <c r="B9871" i="1" s="1"/>
  <c r="F9872" i="1"/>
  <c r="B9872" i="1" s="1"/>
  <c r="F9873" i="1"/>
  <c r="B9873" i="1" s="1"/>
  <c r="F9874" i="1"/>
  <c r="B9874" i="1" s="1"/>
  <c r="F9875" i="1"/>
  <c r="B9875" i="1" s="1"/>
  <c r="F9876" i="1"/>
  <c r="B9876" i="1" s="1"/>
  <c r="F9877" i="1"/>
  <c r="B9877" i="1" s="1"/>
  <c r="F9878" i="1"/>
  <c r="B9878" i="1" s="1"/>
  <c r="F9879" i="1"/>
  <c r="B9879" i="1" s="1"/>
  <c r="F9880" i="1"/>
  <c r="B9880" i="1" s="1"/>
  <c r="F9881" i="1"/>
  <c r="B9881" i="1" s="1"/>
  <c r="F9882" i="1"/>
  <c r="B9882" i="1" s="1"/>
  <c r="F9883" i="1"/>
  <c r="B9883" i="1" s="1"/>
  <c r="F9884" i="1"/>
  <c r="B9884" i="1" s="1"/>
  <c r="F9885" i="1"/>
  <c r="B9885" i="1" s="1"/>
  <c r="F9886" i="1"/>
  <c r="B9886" i="1" s="1"/>
  <c r="F9887" i="1"/>
  <c r="B9887" i="1" s="1"/>
  <c r="F9888" i="1"/>
  <c r="B9888" i="1" s="1"/>
  <c r="F9889" i="1"/>
  <c r="B9889" i="1" s="1"/>
  <c r="F9890" i="1"/>
  <c r="B9890" i="1" s="1"/>
  <c r="F9891" i="1"/>
  <c r="B9891" i="1" s="1"/>
  <c r="F9892" i="1"/>
  <c r="B9892" i="1" s="1"/>
  <c r="F9893" i="1"/>
  <c r="B9893" i="1" s="1"/>
  <c r="F9894" i="1"/>
  <c r="B9894" i="1" s="1"/>
  <c r="F9895" i="1"/>
  <c r="B9895" i="1" s="1"/>
  <c r="F9896" i="1"/>
  <c r="B9896" i="1" s="1"/>
  <c r="F9897" i="1"/>
  <c r="B9897" i="1" s="1"/>
  <c r="F9898" i="1"/>
  <c r="B9898" i="1" s="1"/>
  <c r="F9899" i="1"/>
  <c r="B9899" i="1" s="1"/>
  <c r="F9900" i="1"/>
  <c r="B9900" i="1" s="1"/>
  <c r="F9901" i="1"/>
  <c r="B9901" i="1" s="1"/>
  <c r="F9902" i="1"/>
  <c r="B9902" i="1" s="1"/>
  <c r="F9903" i="1"/>
  <c r="B9903" i="1" s="1"/>
  <c r="F9904" i="1"/>
  <c r="B9904" i="1" s="1"/>
  <c r="F9905" i="1"/>
  <c r="B9905" i="1" s="1"/>
  <c r="F9906" i="1"/>
  <c r="B9906" i="1" s="1"/>
  <c r="F9907" i="1"/>
  <c r="B9907" i="1" s="1"/>
  <c r="F9908" i="1"/>
  <c r="B9908" i="1" s="1"/>
  <c r="F9909" i="1"/>
  <c r="B9909" i="1" s="1"/>
  <c r="F9910" i="1"/>
  <c r="B9910" i="1" s="1"/>
  <c r="F9911" i="1"/>
  <c r="B9911" i="1" s="1"/>
  <c r="F9912" i="1"/>
  <c r="B9912" i="1" s="1"/>
  <c r="F9913" i="1"/>
  <c r="B9913" i="1" s="1"/>
  <c r="F9914" i="1"/>
  <c r="B9914" i="1" s="1"/>
  <c r="F9915" i="1"/>
  <c r="B9915" i="1" s="1"/>
  <c r="F9916" i="1"/>
  <c r="B9916" i="1" s="1"/>
  <c r="F9917" i="1"/>
  <c r="B9917" i="1" s="1"/>
  <c r="F9918" i="1"/>
  <c r="B9918" i="1" s="1"/>
  <c r="F9919" i="1"/>
  <c r="B9919" i="1" s="1"/>
  <c r="F9920" i="1"/>
  <c r="B9920" i="1" s="1"/>
  <c r="F9921" i="1"/>
  <c r="B9921" i="1" s="1"/>
  <c r="F9922" i="1"/>
  <c r="B9922" i="1" s="1"/>
  <c r="F9923" i="1"/>
  <c r="B9923" i="1" s="1"/>
  <c r="F9924" i="1"/>
  <c r="B9924" i="1" s="1"/>
  <c r="F9925" i="1"/>
  <c r="B9925" i="1" s="1"/>
  <c r="F9926" i="1"/>
  <c r="B9926" i="1" s="1"/>
  <c r="F9927" i="1"/>
  <c r="B9927" i="1" s="1"/>
  <c r="F9928" i="1"/>
  <c r="B9928" i="1" s="1"/>
  <c r="F9929" i="1"/>
  <c r="B9929" i="1" s="1"/>
  <c r="F9930" i="1"/>
  <c r="B9930" i="1" s="1"/>
  <c r="F9931" i="1"/>
  <c r="B9931" i="1" s="1"/>
  <c r="F9932" i="1"/>
  <c r="B9932" i="1" s="1"/>
  <c r="F9933" i="1"/>
  <c r="B9933" i="1" s="1"/>
  <c r="F9934" i="1"/>
  <c r="B9934" i="1" s="1"/>
  <c r="F9935" i="1"/>
  <c r="B9935" i="1" s="1"/>
  <c r="F9936" i="1"/>
  <c r="B9936" i="1" s="1"/>
  <c r="F9937" i="1"/>
  <c r="B9937" i="1" s="1"/>
  <c r="F9938" i="1"/>
  <c r="B9938" i="1" s="1"/>
  <c r="F9939" i="1"/>
  <c r="B9939" i="1" s="1"/>
  <c r="F9940" i="1"/>
  <c r="B9940" i="1" s="1"/>
  <c r="F9941" i="1"/>
  <c r="B9941" i="1" s="1"/>
  <c r="F9942" i="1"/>
  <c r="B9942" i="1" s="1"/>
  <c r="F9943" i="1"/>
  <c r="B9943" i="1" s="1"/>
  <c r="F9944" i="1"/>
  <c r="B9944" i="1" s="1"/>
  <c r="F9945" i="1"/>
  <c r="B9945" i="1" s="1"/>
  <c r="F9946" i="1"/>
  <c r="B9946" i="1" s="1"/>
  <c r="F9947" i="1"/>
  <c r="B9947" i="1" s="1"/>
  <c r="F9948" i="1"/>
  <c r="B9948" i="1" s="1"/>
  <c r="F9949" i="1"/>
  <c r="B9949" i="1" s="1"/>
  <c r="F9950" i="1"/>
  <c r="B9950" i="1" s="1"/>
  <c r="F9951" i="1"/>
  <c r="B9951" i="1" s="1"/>
  <c r="F9952" i="1"/>
  <c r="B9952" i="1" s="1"/>
  <c r="F9953" i="1"/>
  <c r="B9953" i="1" s="1"/>
  <c r="F9954" i="1"/>
  <c r="B9954" i="1" s="1"/>
  <c r="F9955" i="1"/>
  <c r="B9955" i="1" s="1"/>
  <c r="F9956" i="1"/>
  <c r="B9956" i="1" s="1"/>
  <c r="F9957" i="1"/>
  <c r="B9957" i="1" s="1"/>
  <c r="F9958" i="1"/>
  <c r="B9958" i="1" s="1"/>
  <c r="F9959" i="1"/>
  <c r="B9959" i="1" s="1"/>
  <c r="F9960" i="1"/>
  <c r="B9960" i="1" s="1"/>
  <c r="F9961" i="1"/>
  <c r="B9961" i="1" s="1"/>
  <c r="F9962" i="1"/>
  <c r="B9962" i="1" s="1"/>
  <c r="F9963" i="1"/>
  <c r="B9963" i="1" s="1"/>
  <c r="F9964" i="1"/>
  <c r="B9964" i="1" s="1"/>
  <c r="F9965" i="1"/>
  <c r="B9965" i="1" s="1"/>
  <c r="F9966" i="1"/>
  <c r="B9966" i="1" s="1"/>
  <c r="F9967" i="1"/>
  <c r="B9967" i="1" s="1"/>
  <c r="F9968" i="1"/>
  <c r="B9968" i="1" s="1"/>
  <c r="F9969" i="1"/>
  <c r="B9969" i="1" s="1"/>
  <c r="F9970" i="1"/>
  <c r="B9970" i="1" s="1"/>
  <c r="F9971" i="1"/>
  <c r="B9971" i="1" s="1"/>
  <c r="F9972" i="1"/>
  <c r="B9972" i="1" s="1"/>
  <c r="F9973" i="1"/>
  <c r="B9973" i="1" s="1"/>
  <c r="F9974" i="1"/>
  <c r="B9974" i="1" s="1"/>
  <c r="F9975" i="1"/>
  <c r="B9975" i="1" s="1"/>
  <c r="F9976" i="1"/>
  <c r="F9977" i="1"/>
  <c r="B9977" i="1" s="1"/>
  <c r="F9978" i="1"/>
  <c r="B9978" i="1" s="1"/>
  <c r="F9979" i="1"/>
  <c r="B9979" i="1" s="1"/>
  <c r="F9980" i="1"/>
  <c r="B9980" i="1" s="1"/>
  <c r="F9981" i="1"/>
  <c r="B9981" i="1" s="1"/>
  <c r="F9982" i="1"/>
  <c r="B9982" i="1" s="1"/>
  <c r="F9983" i="1"/>
  <c r="B9983" i="1" s="1"/>
  <c r="F9984" i="1"/>
  <c r="B9984" i="1" s="1"/>
  <c r="F9985" i="1"/>
  <c r="B9985" i="1" s="1"/>
  <c r="F9986" i="1"/>
  <c r="B9986" i="1" s="1"/>
  <c r="F9987" i="1"/>
  <c r="B9987" i="1" s="1"/>
  <c r="F9988" i="1"/>
  <c r="B9988" i="1" s="1"/>
  <c r="F9989" i="1"/>
  <c r="B9989" i="1" s="1"/>
  <c r="F9990" i="1"/>
  <c r="B9990" i="1" s="1"/>
  <c r="F9991" i="1"/>
  <c r="B9991" i="1" s="1"/>
  <c r="F9992" i="1"/>
  <c r="F9993" i="1"/>
  <c r="B9993" i="1" s="1"/>
  <c r="F9994" i="1"/>
  <c r="B9994" i="1" s="1"/>
  <c r="F9995" i="1"/>
  <c r="B9995" i="1" s="1"/>
  <c r="F9996" i="1"/>
  <c r="F9997" i="1"/>
  <c r="B9997" i="1" s="1"/>
  <c r="F9998" i="1"/>
  <c r="B9998" i="1" s="1"/>
  <c r="F9999" i="1"/>
  <c r="B9999" i="1" s="1"/>
  <c r="F10000" i="1"/>
  <c r="B10000" i="1" s="1"/>
  <c r="F10001" i="1"/>
  <c r="B10001" i="1" s="1"/>
  <c r="F10002" i="1"/>
  <c r="B10002" i="1" s="1"/>
  <c r="F10003" i="1"/>
  <c r="B10003" i="1" s="1"/>
  <c r="F10004" i="1"/>
  <c r="B10004" i="1" s="1"/>
  <c r="F10005" i="1"/>
  <c r="B10005" i="1" s="1"/>
  <c r="F10006" i="1"/>
  <c r="B10006" i="1" s="1"/>
  <c r="F10007" i="1"/>
  <c r="B10007" i="1" s="1"/>
  <c r="F10008" i="1"/>
  <c r="B10008" i="1" s="1"/>
  <c r="F10009" i="1"/>
  <c r="B10009" i="1" s="1"/>
  <c r="F10010" i="1"/>
  <c r="B10010" i="1" s="1"/>
  <c r="F10011" i="1"/>
  <c r="B10011" i="1" s="1"/>
  <c r="F10012" i="1"/>
  <c r="B10012" i="1" s="1"/>
  <c r="F10013" i="1"/>
  <c r="B10013" i="1" s="1"/>
  <c r="F10014" i="1"/>
  <c r="B10014" i="1" s="1"/>
  <c r="F10015" i="1"/>
  <c r="B10015" i="1" s="1"/>
  <c r="F10016" i="1"/>
  <c r="B10016" i="1" s="1"/>
  <c r="F10017" i="1"/>
  <c r="B10017" i="1" s="1"/>
  <c r="F10018" i="1"/>
  <c r="B10018" i="1" s="1"/>
  <c r="F10019" i="1"/>
  <c r="B10019" i="1" s="1"/>
  <c r="F10020" i="1"/>
  <c r="B10020" i="1" s="1"/>
  <c r="F10021" i="1"/>
  <c r="B10021" i="1" s="1"/>
  <c r="F10022" i="1"/>
  <c r="B10022" i="1" s="1"/>
  <c r="F10023" i="1"/>
  <c r="B10023" i="1" s="1"/>
  <c r="F10024" i="1"/>
  <c r="B10024" i="1" s="1"/>
  <c r="F10025" i="1"/>
  <c r="B10025" i="1" s="1"/>
  <c r="F10026" i="1"/>
  <c r="B10026" i="1" s="1"/>
  <c r="F10027" i="1"/>
  <c r="B10027" i="1" s="1"/>
  <c r="F10028" i="1"/>
  <c r="B10028" i="1" s="1"/>
  <c r="F10029" i="1"/>
  <c r="B10029" i="1" s="1"/>
  <c r="F10030" i="1"/>
  <c r="B10030" i="1" s="1"/>
  <c r="F10031" i="1"/>
  <c r="B10031" i="1" s="1"/>
  <c r="F10032" i="1"/>
  <c r="B10032" i="1" s="1"/>
  <c r="F10033" i="1"/>
  <c r="B10033" i="1" s="1"/>
  <c r="F10034" i="1"/>
  <c r="B10034" i="1" s="1"/>
  <c r="F10035" i="1"/>
  <c r="B10035" i="1" s="1"/>
  <c r="F10036" i="1"/>
  <c r="B10036" i="1" s="1"/>
  <c r="F10037" i="1"/>
  <c r="B10037" i="1" s="1"/>
  <c r="F10038" i="1"/>
  <c r="B10038" i="1" s="1"/>
  <c r="F10039" i="1"/>
  <c r="B10039" i="1" s="1"/>
  <c r="F10040" i="1"/>
  <c r="B10040" i="1" s="1"/>
  <c r="F10041" i="1"/>
  <c r="B10041" i="1" s="1"/>
  <c r="F10042" i="1"/>
  <c r="B10042" i="1" s="1"/>
  <c r="F10043" i="1"/>
  <c r="B10043" i="1" s="1"/>
  <c r="F10044" i="1"/>
  <c r="B10044" i="1" s="1"/>
  <c r="F10045" i="1"/>
  <c r="B10045" i="1" s="1"/>
  <c r="F10046" i="1"/>
  <c r="B10046" i="1" s="1"/>
  <c r="F10047" i="1"/>
  <c r="B10047" i="1" s="1"/>
  <c r="F10048" i="1"/>
  <c r="B10048" i="1" s="1"/>
  <c r="F10049" i="1"/>
  <c r="B10049" i="1" s="1"/>
  <c r="F10050" i="1"/>
  <c r="B10050" i="1" s="1"/>
  <c r="F10051" i="1"/>
  <c r="B10051" i="1" s="1"/>
  <c r="F10052" i="1"/>
  <c r="B10052" i="1" s="1"/>
  <c r="F10053" i="1"/>
  <c r="B10053" i="1" s="1"/>
  <c r="F10054" i="1"/>
  <c r="B10054" i="1" s="1"/>
  <c r="F10055" i="1"/>
  <c r="B10055" i="1" s="1"/>
  <c r="F10056" i="1"/>
  <c r="B10056" i="1" s="1"/>
  <c r="F10057" i="1"/>
  <c r="B10057" i="1" s="1"/>
  <c r="F10058" i="1"/>
  <c r="B10058" i="1" s="1"/>
  <c r="F10059" i="1"/>
  <c r="B10059" i="1" s="1"/>
  <c r="F10060" i="1"/>
  <c r="B10060" i="1" s="1"/>
  <c r="F10061" i="1"/>
  <c r="B10061" i="1" s="1"/>
  <c r="F10062" i="1"/>
  <c r="B10062" i="1" s="1"/>
  <c r="F10063" i="1"/>
  <c r="B10063" i="1" s="1"/>
  <c r="F10064" i="1"/>
  <c r="B10064" i="1" s="1"/>
  <c r="F10065" i="1"/>
  <c r="B10065" i="1" s="1"/>
  <c r="F10066" i="1"/>
  <c r="B10066" i="1" s="1"/>
  <c r="F10067" i="1"/>
  <c r="B10067" i="1" s="1"/>
  <c r="F10068" i="1"/>
  <c r="B10068" i="1" s="1"/>
  <c r="F10069" i="1"/>
  <c r="B10069" i="1" s="1"/>
  <c r="F10070" i="1"/>
  <c r="B10070" i="1" s="1"/>
  <c r="F10071" i="1"/>
  <c r="B10071" i="1" s="1"/>
  <c r="F10072" i="1"/>
  <c r="B10072" i="1" s="1"/>
  <c r="F10073" i="1"/>
  <c r="B10073" i="1" s="1"/>
  <c r="F10074" i="1"/>
  <c r="B10074" i="1" s="1"/>
  <c r="F10075" i="1"/>
  <c r="B10075" i="1" s="1"/>
  <c r="F10076" i="1"/>
  <c r="B10076" i="1" s="1"/>
  <c r="F10077" i="1"/>
  <c r="B10077" i="1" s="1"/>
  <c r="F10078" i="1"/>
  <c r="B10078" i="1" s="1"/>
  <c r="F10079" i="1"/>
  <c r="B10079" i="1" s="1"/>
  <c r="F10080" i="1"/>
  <c r="B10080" i="1" s="1"/>
  <c r="F10081" i="1"/>
  <c r="B10081" i="1" s="1"/>
  <c r="F10082" i="1"/>
  <c r="B10082" i="1" s="1"/>
  <c r="F10083" i="1"/>
  <c r="B10083" i="1" s="1"/>
  <c r="F10084" i="1"/>
  <c r="B10084" i="1" s="1"/>
  <c r="F10085" i="1"/>
  <c r="B10085" i="1" s="1"/>
  <c r="F10086" i="1"/>
  <c r="B10086" i="1" s="1"/>
  <c r="F10087" i="1"/>
  <c r="B10087" i="1" s="1"/>
  <c r="F10088" i="1"/>
  <c r="B10088" i="1" s="1"/>
  <c r="F10089" i="1"/>
  <c r="B10089" i="1" s="1"/>
  <c r="F10090" i="1"/>
  <c r="B10090" i="1" s="1"/>
  <c r="F10091" i="1"/>
  <c r="B10091" i="1" s="1"/>
  <c r="F10092" i="1"/>
  <c r="B10092" i="1" s="1"/>
  <c r="F10093" i="1"/>
  <c r="B10093" i="1" s="1"/>
  <c r="F10094" i="1"/>
  <c r="B10094" i="1" s="1"/>
  <c r="F10095" i="1"/>
  <c r="B10095" i="1" s="1"/>
  <c r="F10096" i="1"/>
  <c r="B10096" i="1" s="1"/>
  <c r="F10097" i="1"/>
  <c r="B10097" i="1" s="1"/>
  <c r="F10098" i="1"/>
  <c r="B10098" i="1" s="1"/>
  <c r="F10099" i="1"/>
  <c r="B10099" i="1" s="1"/>
  <c r="F10100" i="1"/>
  <c r="B10100" i="1" s="1"/>
  <c r="F10101" i="1"/>
  <c r="B10101" i="1" s="1"/>
  <c r="F10102" i="1"/>
  <c r="B10102" i="1" s="1"/>
  <c r="F10103" i="1"/>
  <c r="B10103" i="1" s="1"/>
  <c r="F10104" i="1"/>
  <c r="B10104" i="1" s="1"/>
  <c r="F10105" i="1"/>
  <c r="B10105" i="1" s="1"/>
  <c r="F10106" i="1"/>
  <c r="B10106" i="1" s="1"/>
  <c r="F10107" i="1"/>
  <c r="B10107" i="1" s="1"/>
  <c r="F10108" i="1"/>
  <c r="B10108" i="1" s="1"/>
  <c r="F10109" i="1"/>
  <c r="B10109" i="1" s="1"/>
  <c r="F10110" i="1"/>
  <c r="B10110" i="1" s="1"/>
  <c r="F10111" i="1"/>
  <c r="B10111" i="1" s="1"/>
  <c r="F10112" i="1"/>
  <c r="B10112" i="1" s="1"/>
  <c r="F10113" i="1"/>
  <c r="B10113" i="1" s="1"/>
  <c r="F10114" i="1"/>
  <c r="B10114" i="1" s="1"/>
  <c r="F10115" i="1"/>
  <c r="B10115" i="1" s="1"/>
  <c r="F10116" i="1"/>
  <c r="B10116" i="1" s="1"/>
  <c r="F10117" i="1"/>
  <c r="B10117" i="1" s="1"/>
  <c r="F10118" i="1"/>
  <c r="B10118" i="1" s="1"/>
  <c r="F10119" i="1"/>
  <c r="B10119" i="1" s="1"/>
  <c r="F10120" i="1"/>
  <c r="B10120" i="1" s="1"/>
  <c r="F10121" i="1"/>
  <c r="B10121" i="1" s="1"/>
  <c r="F10122" i="1"/>
  <c r="B10122" i="1" s="1"/>
  <c r="F10123" i="1"/>
  <c r="B10123" i="1" s="1"/>
  <c r="F10124" i="1"/>
  <c r="B10124" i="1" s="1"/>
  <c r="F10125" i="1"/>
  <c r="B10125" i="1" s="1"/>
  <c r="F10126" i="1"/>
  <c r="B10126" i="1" s="1"/>
  <c r="F10127" i="1"/>
  <c r="B10127" i="1" s="1"/>
  <c r="F10128" i="1"/>
  <c r="B10128" i="1" s="1"/>
  <c r="F10129" i="1"/>
  <c r="B10129" i="1" s="1"/>
  <c r="F10130" i="1"/>
  <c r="B10130" i="1" s="1"/>
  <c r="F10131" i="1"/>
  <c r="B10131" i="1" s="1"/>
  <c r="F10132" i="1"/>
  <c r="B10132" i="1" s="1"/>
  <c r="F10133" i="1"/>
  <c r="B10133" i="1" s="1"/>
  <c r="F10134" i="1"/>
  <c r="B10134" i="1" s="1"/>
  <c r="F10135" i="1"/>
  <c r="B10135" i="1" s="1"/>
  <c r="F10136" i="1"/>
  <c r="B10136" i="1" s="1"/>
  <c r="F10137" i="1"/>
  <c r="B10137" i="1" s="1"/>
  <c r="F10138" i="1"/>
  <c r="B10138" i="1" s="1"/>
  <c r="F10139" i="1"/>
  <c r="B10139" i="1" s="1"/>
  <c r="F10140" i="1"/>
  <c r="B10140" i="1" s="1"/>
  <c r="F10141" i="1"/>
  <c r="B10141" i="1" s="1"/>
  <c r="F10142" i="1"/>
  <c r="B10142" i="1" s="1"/>
  <c r="F10143" i="1"/>
  <c r="B10143" i="1" s="1"/>
  <c r="F10144" i="1"/>
  <c r="B10144" i="1" s="1"/>
  <c r="F10145" i="1"/>
  <c r="B10145" i="1" s="1"/>
  <c r="F10146" i="1"/>
  <c r="B10146" i="1" s="1"/>
  <c r="F10147" i="1"/>
  <c r="B10147" i="1" s="1"/>
  <c r="F10148" i="1"/>
  <c r="B10148" i="1" s="1"/>
  <c r="F10149" i="1"/>
  <c r="F10150" i="1"/>
  <c r="B10150" i="1" s="1"/>
  <c r="F10151" i="1"/>
  <c r="B10151" i="1" s="1"/>
  <c r="F10152" i="1"/>
  <c r="B10152" i="1" s="1"/>
  <c r="F10153" i="1"/>
  <c r="B10153" i="1" s="1"/>
  <c r="F10154" i="1"/>
  <c r="B10154" i="1" s="1"/>
  <c r="F10155" i="1"/>
  <c r="B10155" i="1" s="1"/>
  <c r="F10156" i="1"/>
  <c r="B10156" i="1" s="1"/>
  <c r="F10157" i="1"/>
  <c r="B10157" i="1" s="1"/>
  <c r="F10158" i="1"/>
  <c r="B10158" i="1" s="1"/>
  <c r="F10159" i="1"/>
  <c r="B10159" i="1" s="1"/>
  <c r="F10160" i="1"/>
  <c r="B10160" i="1" s="1"/>
  <c r="F10161" i="1"/>
  <c r="B10161" i="1" s="1"/>
  <c r="F10162" i="1"/>
  <c r="B10162" i="1" s="1"/>
  <c r="F10163" i="1"/>
  <c r="B10163" i="1" s="1"/>
  <c r="F10164" i="1"/>
  <c r="B10164" i="1" s="1"/>
  <c r="F10165" i="1"/>
  <c r="B10165" i="1" s="1"/>
  <c r="F10166" i="1"/>
  <c r="B10166" i="1" s="1"/>
  <c r="F10167" i="1"/>
  <c r="B10167" i="1" s="1"/>
  <c r="F10168" i="1"/>
  <c r="B10168" i="1" s="1"/>
  <c r="F10169" i="1"/>
  <c r="B10169" i="1" s="1"/>
  <c r="F10170" i="1"/>
  <c r="B10170" i="1" s="1"/>
  <c r="F10171" i="1"/>
  <c r="B10171" i="1" s="1"/>
  <c r="F10172" i="1"/>
  <c r="B10172" i="1" s="1"/>
  <c r="F10173" i="1"/>
  <c r="B10173" i="1" s="1"/>
  <c r="F10174" i="1"/>
  <c r="B10174" i="1" s="1"/>
  <c r="F10175" i="1"/>
  <c r="B10175" i="1" s="1"/>
  <c r="F10176" i="1"/>
  <c r="B10176" i="1" s="1"/>
  <c r="F10177" i="1"/>
  <c r="B10177" i="1" s="1"/>
  <c r="F10178" i="1"/>
  <c r="B10178" i="1" s="1"/>
  <c r="F10179" i="1"/>
  <c r="B10179" i="1" s="1"/>
  <c r="F10180" i="1"/>
  <c r="B10180" i="1" s="1"/>
  <c r="F10181" i="1"/>
  <c r="B10181" i="1" s="1"/>
  <c r="F10182" i="1"/>
  <c r="B10182" i="1" s="1"/>
  <c r="F10183" i="1"/>
  <c r="B10183" i="1" s="1"/>
  <c r="F10184" i="1"/>
  <c r="B10184" i="1" s="1"/>
  <c r="F10185" i="1"/>
  <c r="B10185" i="1" s="1"/>
  <c r="F10186" i="1"/>
  <c r="B10186" i="1" s="1"/>
  <c r="F10187" i="1"/>
  <c r="B10187" i="1" s="1"/>
  <c r="F10188" i="1"/>
  <c r="B10188" i="1" s="1"/>
  <c r="F10189" i="1"/>
  <c r="B10189" i="1" s="1"/>
  <c r="F10190" i="1"/>
  <c r="B10190" i="1" s="1"/>
  <c r="F10191" i="1"/>
  <c r="B10191" i="1" s="1"/>
  <c r="F10192" i="1"/>
  <c r="B10192" i="1" s="1"/>
  <c r="F10193" i="1"/>
  <c r="B10193" i="1" s="1"/>
  <c r="F10194" i="1"/>
  <c r="B10194" i="1" s="1"/>
  <c r="F10195" i="1"/>
  <c r="B10195" i="1" s="1"/>
  <c r="F10196" i="1"/>
  <c r="B10196" i="1" s="1"/>
  <c r="F10197" i="1"/>
  <c r="B10197" i="1" s="1"/>
  <c r="F10198" i="1"/>
  <c r="B10198" i="1" s="1"/>
  <c r="F10199" i="1"/>
  <c r="B10199" i="1" s="1"/>
  <c r="F10200" i="1"/>
  <c r="B10200" i="1" s="1"/>
  <c r="F10201" i="1"/>
  <c r="B10201" i="1" s="1"/>
  <c r="F10202" i="1"/>
  <c r="B10202" i="1" s="1"/>
  <c r="F10203" i="1"/>
  <c r="B10203" i="1" s="1"/>
  <c r="F10204" i="1"/>
  <c r="B10204" i="1" s="1"/>
  <c r="F10205" i="1"/>
  <c r="B10205" i="1" s="1"/>
  <c r="F10206" i="1"/>
  <c r="B10206" i="1" s="1"/>
  <c r="F10207" i="1"/>
  <c r="B10207" i="1" s="1"/>
  <c r="F10208" i="1"/>
  <c r="B10208" i="1" s="1"/>
  <c r="F10209" i="1"/>
  <c r="B10209" i="1" s="1"/>
  <c r="F10210" i="1"/>
  <c r="B10210" i="1" s="1"/>
  <c r="F10211" i="1"/>
  <c r="B10211" i="1" s="1"/>
  <c r="F10212" i="1"/>
  <c r="B10212" i="1" s="1"/>
  <c r="F10213" i="1"/>
  <c r="B10213" i="1" s="1"/>
  <c r="F10214" i="1"/>
  <c r="B10214" i="1" s="1"/>
  <c r="F10215" i="1"/>
  <c r="B10215" i="1" s="1"/>
  <c r="F10216" i="1"/>
  <c r="B10216" i="1" s="1"/>
  <c r="F10217" i="1"/>
  <c r="B10217" i="1" s="1"/>
  <c r="F10218" i="1"/>
  <c r="B10218" i="1" s="1"/>
  <c r="F10219" i="1"/>
  <c r="B10219" i="1" s="1"/>
  <c r="F10220" i="1"/>
  <c r="B10220" i="1" s="1"/>
  <c r="F10221" i="1"/>
  <c r="B10221" i="1" s="1"/>
  <c r="F10222" i="1"/>
  <c r="B10222" i="1" s="1"/>
  <c r="F10223" i="1"/>
  <c r="B10223" i="1" s="1"/>
  <c r="F10224" i="1"/>
  <c r="B10224" i="1" s="1"/>
  <c r="F10225" i="1"/>
  <c r="B10225" i="1" s="1"/>
  <c r="F10226" i="1"/>
  <c r="B10226" i="1" s="1"/>
  <c r="F10227" i="1"/>
  <c r="B10227" i="1" s="1"/>
  <c r="F10228" i="1"/>
  <c r="B10228" i="1" s="1"/>
  <c r="F10229" i="1"/>
  <c r="B10229" i="1" s="1"/>
  <c r="F10230" i="1"/>
  <c r="B10230" i="1" s="1"/>
  <c r="F10231" i="1"/>
  <c r="B10231" i="1" s="1"/>
  <c r="F10232" i="1"/>
  <c r="B10232" i="1" s="1"/>
  <c r="F10233" i="1"/>
  <c r="B10233" i="1" s="1"/>
  <c r="F10234" i="1"/>
  <c r="B10234" i="1" s="1"/>
  <c r="F10235" i="1"/>
  <c r="B10235" i="1" s="1"/>
  <c r="F10236" i="1"/>
  <c r="B10236" i="1" s="1"/>
  <c r="F10237" i="1"/>
  <c r="B10237" i="1" s="1"/>
  <c r="F10238" i="1"/>
  <c r="B10238" i="1" s="1"/>
  <c r="F10239" i="1"/>
  <c r="B10239" i="1" s="1"/>
  <c r="F10240" i="1"/>
  <c r="B10240" i="1" s="1"/>
  <c r="F10241" i="1"/>
  <c r="B10241" i="1" s="1"/>
  <c r="F10242" i="1"/>
  <c r="B10242" i="1" s="1"/>
  <c r="F10243" i="1"/>
  <c r="B10243" i="1" s="1"/>
  <c r="F10244" i="1"/>
  <c r="B10244" i="1" s="1"/>
  <c r="F10245" i="1"/>
  <c r="B10245" i="1" s="1"/>
  <c r="F10246" i="1"/>
  <c r="B10246" i="1" s="1"/>
  <c r="F10247" i="1"/>
  <c r="B10247" i="1" s="1"/>
  <c r="F10248" i="1"/>
  <c r="B10248" i="1" s="1"/>
  <c r="F10249" i="1"/>
  <c r="B10249" i="1" s="1"/>
  <c r="F10250" i="1"/>
  <c r="B10250" i="1" s="1"/>
  <c r="F10251" i="1"/>
  <c r="B10251" i="1" s="1"/>
  <c r="F10252" i="1"/>
  <c r="B10252" i="1" s="1"/>
  <c r="F10253" i="1"/>
  <c r="B10253" i="1" s="1"/>
  <c r="F10254" i="1"/>
  <c r="B10254" i="1" s="1"/>
  <c r="F10255" i="1"/>
  <c r="B10255" i="1" s="1"/>
  <c r="F10256" i="1"/>
  <c r="B10256" i="1" s="1"/>
  <c r="F10257" i="1"/>
  <c r="F10258" i="1"/>
  <c r="B10258" i="1" s="1"/>
  <c r="F10259" i="1"/>
  <c r="B10259" i="1" s="1"/>
  <c r="F10260" i="1"/>
  <c r="B10260" i="1" s="1"/>
  <c r="F10261" i="1"/>
  <c r="B10261" i="1" s="1"/>
  <c r="F10262" i="1"/>
  <c r="B10262" i="1" s="1"/>
  <c r="F10263" i="1"/>
  <c r="B10263" i="1" s="1"/>
  <c r="F10264" i="1"/>
  <c r="B10264" i="1" s="1"/>
  <c r="F10265" i="1"/>
  <c r="B10265" i="1" s="1"/>
  <c r="F10266" i="1"/>
  <c r="B10266" i="1" s="1"/>
  <c r="F10267" i="1"/>
  <c r="B10267" i="1" s="1"/>
  <c r="F10268" i="1"/>
  <c r="B10268" i="1" s="1"/>
  <c r="F10269" i="1"/>
  <c r="B10269" i="1" s="1"/>
  <c r="F10270" i="1"/>
  <c r="B10270" i="1" s="1"/>
  <c r="F10271" i="1"/>
  <c r="B10271" i="1" s="1"/>
  <c r="F10272" i="1"/>
  <c r="B10272" i="1" s="1"/>
  <c r="F10273" i="1"/>
  <c r="B10273" i="1" s="1"/>
  <c r="F10274" i="1"/>
  <c r="B10274" i="1" s="1"/>
  <c r="F10275" i="1"/>
  <c r="B10275" i="1" s="1"/>
  <c r="F10276" i="1"/>
  <c r="B10276" i="1" s="1"/>
  <c r="F10277" i="1"/>
  <c r="B10277" i="1" s="1"/>
  <c r="F10278" i="1"/>
  <c r="B10278" i="1" s="1"/>
  <c r="F10279" i="1"/>
  <c r="B10279" i="1" s="1"/>
  <c r="F10280" i="1"/>
  <c r="B10280" i="1" s="1"/>
  <c r="F10281" i="1"/>
  <c r="B10281" i="1" s="1"/>
  <c r="F10282" i="1"/>
  <c r="B10282" i="1" s="1"/>
  <c r="F10283" i="1"/>
  <c r="B10283" i="1" s="1"/>
  <c r="F10284" i="1"/>
  <c r="B10284" i="1" s="1"/>
  <c r="F10285" i="1"/>
  <c r="B10285" i="1" s="1"/>
  <c r="F10286" i="1"/>
  <c r="B10286" i="1" s="1"/>
  <c r="F10287" i="1"/>
  <c r="B10287" i="1" s="1"/>
  <c r="F10288" i="1"/>
  <c r="B10288" i="1" s="1"/>
  <c r="F10289" i="1"/>
  <c r="B10289" i="1" s="1"/>
  <c r="F10290" i="1"/>
  <c r="B10290" i="1" s="1"/>
  <c r="F10291" i="1"/>
  <c r="B10291" i="1" s="1"/>
  <c r="F10292" i="1"/>
  <c r="B10292" i="1" s="1"/>
  <c r="F10293" i="1"/>
  <c r="B10293" i="1" s="1"/>
  <c r="F10294" i="1"/>
  <c r="B10294" i="1" s="1"/>
  <c r="F10295" i="1"/>
  <c r="B10295" i="1" s="1"/>
  <c r="F10296" i="1"/>
  <c r="B10296" i="1" s="1"/>
  <c r="F10297" i="1"/>
  <c r="B10297" i="1" s="1"/>
  <c r="F10298" i="1"/>
  <c r="B10298" i="1" s="1"/>
  <c r="F10299" i="1"/>
  <c r="B10299" i="1" s="1"/>
  <c r="F10300" i="1"/>
  <c r="B10300" i="1" s="1"/>
  <c r="F10301" i="1"/>
  <c r="B10301" i="1" s="1"/>
  <c r="F10302" i="1"/>
  <c r="B10302" i="1" s="1"/>
  <c r="F10303" i="1"/>
  <c r="B10303" i="1" s="1"/>
  <c r="F10304" i="1"/>
  <c r="B10304" i="1" s="1"/>
  <c r="F10305" i="1"/>
  <c r="B10305" i="1" s="1"/>
  <c r="F10306" i="1"/>
  <c r="B10306" i="1" s="1"/>
  <c r="F10307" i="1"/>
  <c r="B10307" i="1" s="1"/>
  <c r="F10308" i="1"/>
  <c r="B10308" i="1" s="1"/>
  <c r="F10309" i="1"/>
  <c r="B10309" i="1" s="1"/>
  <c r="F10310" i="1"/>
  <c r="B10310" i="1" s="1"/>
  <c r="F10311" i="1"/>
  <c r="B10311" i="1" s="1"/>
  <c r="F10312" i="1"/>
  <c r="B10312" i="1" s="1"/>
  <c r="F10313" i="1"/>
  <c r="B10313" i="1" s="1"/>
  <c r="F10314" i="1"/>
  <c r="B10314" i="1" s="1"/>
  <c r="F10315" i="1"/>
  <c r="B10315" i="1" s="1"/>
  <c r="F10316" i="1"/>
  <c r="B10316" i="1" s="1"/>
  <c r="F10317" i="1"/>
  <c r="B10317" i="1" s="1"/>
  <c r="F10318" i="1"/>
  <c r="B10318" i="1" s="1"/>
  <c r="F10319" i="1"/>
  <c r="B10319" i="1" s="1"/>
  <c r="F10320" i="1"/>
  <c r="B10320" i="1" s="1"/>
  <c r="F10321" i="1"/>
  <c r="B10321" i="1" s="1"/>
  <c r="F10322" i="1"/>
  <c r="B10322" i="1" s="1"/>
  <c r="F10323" i="1"/>
  <c r="B10323" i="1" s="1"/>
  <c r="F10324" i="1"/>
  <c r="B10324" i="1" s="1"/>
  <c r="F10325" i="1"/>
  <c r="B10325" i="1" s="1"/>
  <c r="F10326" i="1"/>
  <c r="B10326" i="1" s="1"/>
  <c r="F10327" i="1"/>
  <c r="B10327" i="1" s="1"/>
  <c r="F10328" i="1"/>
  <c r="B10328" i="1" s="1"/>
  <c r="F10329" i="1"/>
  <c r="B10329" i="1" s="1"/>
  <c r="F10330" i="1"/>
  <c r="B10330" i="1" s="1"/>
  <c r="F10331" i="1"/>
  <c r="B10331" i="1" s="1"/>
  <c r="F10332" i="1"/>
  <c r="B10332" i="1" s="1"/>
  <c r="F10333" i="1"/>
  <c r="B10333" i="1" s="1"/>
  <c r="F10334" i="1"/>
  <c r="B10334" i="1" s="1"/>
  <c r="F10335" i="1"/>
  <c r="B10335" i="1" s="1"/>
  <c r="F10336" i="1"/>
  <c r="B10336" i="1" s="1"/>
  <c r="F10337" i="1"/>
  <c r="B10337" i="1" s="1"/>
  <c r="F10338" i="1"/>
  <c r="B10338" i="1" s="1"/>
  <c r="F10339" i="1"/>
  <c r="B10339" i="1" s="1"/>
  <c r="F10340" i="1"/>
  <c r="B10340" i="1" s="1"/>
  <c r="F10341" i="1"/>
  <c r="B10341" i="1" s="1"/>
  <c r="F10342" i="1"/>
  <c r="B10342" i="1" s="1"/>
  <c r="F10343" i="1"/>
  <c r="B10343" i="1" s="1"/>
  <c r="F10344" i="1"/>
  <c r="B10344" i="1" s="1"/>
  <c r="F10345" i="1"/>
  <c r="B10345" i="1" s="1"/>
  <c r="F10346" i="1"/>
  <c r="B10346" i="1" s="1"/>
  <c r="F10347" i="1"/>
  <c r="B10347" i="1" s="1"/>
  <c r="F10348" i="1"/>
  <c r="B10348" i="1" s="1"/>
  <c r="F10349" i="1"/>
  <c r="F10350" i="1"/>
  <c r="B10350" i="1" s="1"/>
  <c r="F10351" i="1"/>
  <c r="B10351" i="1" s="1"/>
  <c r="F10352" i="1"/>
  <c r="B10352" i="1" s="1"/>
  <c r="F10353" i="1"/>
  <c r="B10353" i="1" s="1"/>
  <c r="F10354" i="1"/>
  <c r="B10354" i="1" s="1"/>
  <c r="F10355" i="1"/>
  <c r="B10355" i="1" s="1"/>
  <c r="F10356" i="1"/>
  <c r="B10356" i="1" s="1"/>
  <c r="F10357" i="1"/>
  <c r="B10357" i="1" s="1"/>
  <c r="F10358" i="1"/>
  <c r="B10358" i="1" s="1"/>
  <c r="F10359" i="1"/>
  <c r="B10359" i="1" s="1"/>
  <c r="F10360" i="1"/>
  <c r="B10360" i="1" s="1"/>
  <c r="F10361" i="1"/>
  <c r="B10361" i="1" s="1"/>
  <c r="F10362" i="1"/>
  <c r="B10362" i="1" s="1"/>
  <c r="F10363" i="1"/>
  <c r="B10363" i="1" s="1"/>
  <c r="F10364" i="1"/>
  <c r="B10364" i="1" s="1"/>
  <c r="F10365" i="1"/>
  <c r="B10365" i="1" s="1"/>
  <c r="F10366" i="1"/>
  <c r="B10366" i="1" s="1"/>
  <c r="F10367" i="1"/>
  <c r="B10367" i="1" s="1"/>
  <c r="F10368" i="1"/>
  <c r="B10368" i="1" s="1"/>
  <c r="F10369" i="1"/>
  <c r="B10369" i="1" s="1"/>
  <c r="F10370" i="1"/>
  <c r="B10370" i="1" s="1"/>
  <c r="F10371" i="1"/>
  <c r="B10371" i="1" s="1"/>
  <c r="F10372" i="1"/>
  <c r="F10373" i="1"/>
  <c r="B10373" i="1" s="1"/>
  <c r="F10374" i="1"/>
  <c r="B10374" i="1" s="1"/>
  <c r="F10375" i="1"/>
  <c r="B10375" i="1" s="1"/>
  <c r="F10376" i="1"/>
  <c r="B10376" i="1" s="1"/>
  <c r="F10377" i="1"/>
  <c r="B10377" i="1" s="1"/>
  <c r="F10378" i="1"/>
  <c r="B10378" i="1" s="1"/>
  <c r="F10379" i="1"/>
  <c r="B10379" i="1" s="1"/>
  <c r="F10380" i="1"/>
  <c r="B10380" i="1" s="1"/>
  <c r="F10381" i="1"/>
  <c r="B10381" i="1" s="1"/>
  <c r="F10382" i="1"/>
  <c r="B10382" i="1" s="1"/>
  <c r="F10383" i="1"/>
  <c r="B10383" i="1" s="1"/>
  <c r="F10384" i="1"/>
  <c r="B10384" i="1" s="1"/>
  <c r="F10385" i="1"/>
  <c r="B10385" i="1" s="1"/>
  <c r="F10386" i="1"/>
  <c r="B10386" i="1" s="1"/>
  <c r="F10387" i="1"/>
  <c r="B10387" i="1" s="1"/>
  <c r="F10388" i="1"/>
  <c r="B10388" i="1" s="1"/>
  <c r="F10389" i="1"/>
  <c r="B10389" i="1" s="1"/>
  <c r="F10390" i="1"/>
  <c r="B10390" i="1" s="1"/>
  <c r="F10391" i="1"/>
  <c r="B10391" i="1" s="1"/>
  <c r="F10392" i="1"/>
  <c r="B10392" i="1" s="1"/>
  <c r="F10393" i="1"/>
  <c r="B10393" i="1" s="1"/>
  <c r="F10394" i="1"/>
  <c r="B10394" i="1" s="1"/>
  <c r="F10395" i="1"/>
  <c r="B10395" i="1" s="1"/>
  <c r="F10396" i="1"/>
  <c r="B10396" i="1" s="1"/>
  <c r="F10397" i="1"/>
  <c r="B10397" i="1" s="1"/>
  <c r="F10398" i="1"/>
  <c r="B10398" i="1" s="1"/>
  <c r="F10399" i="1"/>
  <c r="B10399" i="1" s="1"/>
  <c r="F10400" i="1"/>
  <c r="B10400" i="1" s="1"/>
  <c r="F10401" i="1"/>
  <c r="B10401" i="1" s="1"/>
  <c r="F10402" i="1"/>
  <c r="B10402" i="1" s="1"/>
  <c r="F10403" i="1"/>
  <c r="B10403" i="1" s="1"/>
  <c r="F10404" i="1"/>
  <c r="B10404" i="1" s="1"/>
  <c r="F10405" i="1"/>
  <c r="B10405" i="1" s="1"/>
  <c r="F10406" i="1"/>
  <c r="B10406" i="1" s="1"/>
  <c r="F10407" i="1"/>
  <c r="B10407" i="1" s="1"/>
  <c r="F10408" i="1"/>
  <c r="B10408" i="1" s="1"/>
  <c r="F10409" i="1"/>
  <c r="B10409" i="1" s="1"/>
  <c r="F10410" i="1"/>
  <c r="B10410" i="1" s="1"/>
  <c r="F10411" i="1"/>
  <c r="B10411" i="1" s="1"/>
  <c r="F10412" i="1"/>
  <c r="B10412" i="1" s="1"/>
  <c r="F10413" i="1"/>
  <c r="F10414" i="1"/>
  <c r="B10414" i="1" s="1"/>
  <c r="F10415" i="1"/>
  <c r="B10415" i="1" s="1"/>
  <c r="F10416" i="1"/>
  <c r="B10416" i="1" s="1"/>
  <c r="F10417" i="1"/>
  <c r="B10417" i="1" s="1"/>
  <c r="F10418" i="1"/>
  <c r="B10418" i="1" s="1"/>
  <c r="F10419" i="1"/>
  <c r="B10419" i="1" s="1"/>
  <c r="F10420" i="1"/>
  <c r="B10420" i="1" s="1"/>
  <c r="F10421" i="1"/>
  <c r="B10421" i="1" s="1"/>
  <c r="F10422" i="1"/>
  <c r="B10422" i="1" s="1"/>
  <c r="F10423" i="1"/>
  <c r="B10423" i="1" s="1"/>
  <c r="F10424" i="1"/>
  <c r="B10424" i="1" s="1"/>
  <c r="F10425" i="1"/>
  <c r="B10425" i="1" s="1"/>
  <c r="F10426" i="1"/>
  <c r="B10426" i="1" s="1"/>
  <c r="F10427" i="1"/>
  <c r="B10427" i="1" s="1"/>
  <c r="F10428" i="1"/>
  <c r="B10428" i="1" s="1"/>
  <c r="F10429" i="1"/>
  <c r="B10429" i="1" s="1"/>
  <c r="F10430" i="1"/>
  <c r="B10430" i="1" s="1"/>
  <c r="F10431" i="1"/>
  <c r="B10431" i="1" s="1"/>
  <c r="F10432" i="1"/>
  <c r="B10432" i="1" s="1"/>
  <c r="F10433" i="1"/>
  <c r="B10433" i="1" s="1"/>
  <c r="F10434" i="1"/>
  <c r="B10434" i="1" s="1"/>
  <c r="F10435" i="1"/>
  <c r="B10435" i="1" s="1"/>
  <c r="F10436" i="1"/>
  <c r="B10436" i="1" s="1"/>
  <c r="F10437" i="1"/>
  <c r="B10437" i="1" s="1"/>
  <c r="F10438" i="1"/>
  <c r="B10438" i="1" s="1"/>
  <c r="F10439" i="1"/>
  <c r="B10439" i="1" s="1"/>
  <c r="F10440" i="1"/>
  <c r="B10440" i="1" s="1"/>
  <c r="F10441" i="1"/>
  <c r="B10441" i="1" s="1"/>
  <c r="F10442" i="1"/>
  <c r="B10442" i="1" s="1"/>
  <c r="F10443" i="1"/>
  <c r="B10443" i="1" s="1"/>
  <c r="F10444" i="1"/>
  <c r="B10444" i="1" s="1"/>
  <c r="F10445" i="1"/>
  <c r="B10445" i="1" s="1"/>
  <c r="F10446" i="1"/>
  <c r="F10447" i="1"/>
  <c r="B10447" i="1" s="1"/>
  <c r="F10448" i="1"/>
  <c r="B10448" i="1" s="1"/>
  <c r="F10449" i="1"/>
  <c r="B10449" i="1" s="1"/>
  <c r="F10450" i="1"/>
  <c r="B10450" i="1" s="1"/>
  <c r="F10451" i="1"/>
  <c r="B10451" i="1" s="1"/>
  <c r="F10452" i="1"/>
  <c r="B10452" i="1" s="1"/>
  <c r="F10453" i="1"/>
  <c r="B10453" i="1" s="1"/>
  <c r="F10454" i="1"/>
  <c r="B10454" i="1" s="1"/>
  <c r="F10455" i="1"/>
  <c r="B10455" i="1" s="1"/>
  <c r="F10456" i="1"/>
  <c r="B10456" i="1" s="1"/>
  <c r="F10457" i="1"/>
  <c r="B10457" i="1" s="1"/>
  <c r="F10458" i="1"/>
  <c r="B10458" i="1" s="1"/>
  <c r="F10459" i="1"/>
  <c r="B10459" i="1" s="1"/>
  <c r="F10460" i="1"/>
  <c r="B10460" i="1" s="1"/>
  <c r="F10461" i="1"/>
  <c r="B10461" i="1" s="1"/>
  <c r="F10462" i="1"/>
  <c r="B10462" i="1" s="1"/>
  <c r="F10463" i="1"/>
  <c r="B10463" i="1" s="1"/>
  <c r="F10483" i="1"/>
  <c r="B10483" i="1" s="1"/>
  <c r="F10484" i="1"/>
  <c r="B10484" i="1" s="1"/>
  <c r="F10485" i="1"/>
  <c r="B10485" i="1" s="1"/>
  <c r="F10486" i="1"/>
  <c r="B10486" i="1" s="1"/>
  <c r="F10487" i="1"/>
  <c r="B10487" i="1" s="1"/>
  <c r="F10488" i="1"/>
  <c r="B10488" i="1" s="1"/>
  <c r="F10489" i="1"/>
  <c r="B10489" i="1" s="1"/>
  <c r="F10490" i="1"/>
  <c r="B10490" i="1" s="1"/>
  <c r="F10491" i="1"/>
  <c r="B10491" i="1" s="1"/>
  <c r="F10492" i="1"/>
  <c r="B10492" i="1" s="1"/>
  <c r="F10493" i="1"/>
  <c r="F10494" i="1"/>
  <c r="B10494" i="1" s="1"/>
  <c r="F10495" i="1"/>
  <c r="B10495" i="1" s="1"/>
  <c r="F10496" i="1"/>
  <c r="B10496" i="1" s="1"/>
  <c r="F10497" i="1"/>
  <c r="F10498" i="1"/>
  <c r="B10498" i="1" s="1"/>
  <c r="F10499" i="1"/>
  <c r="B10499" i="1" s="1"/>
  <c r="F10500" i="1"/>
  <c r="B10500" i="1" s="1"/>
  <c r="F10501" i="1"/>
  <c r="B10501" i="1" s="1"/>
  <c r="F10502" i="1"/>
  <c r="B10502" i="1" s="1"/>
  <c r="F10503" i="1"/>
  <c r="B10503" i="1" s="1"/>
  <c r="F10504" i="1"/>
  <c r="B10504" i="1" s="1"/>
  <c r="F10505" i="1"/>
  <c r="B10505" i="1" s="1"/>
  <c r="F10506" i="1"/>
  <c r="B10506" i="1" s="1"/>
  <c r="F10507" i="1"/>
  <c r="B10507" i="1" s="1"/>
  <c r="F10508" i="1"/>
  <c r="B10508" i="1" s="1"/>
  <c r="F10509" i="1"/>
  <c r="B10509" i="1" s="1"/>
  <c r="F10510" i="1"/>
  <c r="B10510" i="1" s="1"/>
  <c r="F10511" i="1"/>
  <c r="B10511" i="1" s="1"/>
  <c r="F10512" i="1"/>
  <c r="B10512" i="1" s="1"/>
  <c r="F10513" i="1"/>
  <c r="B10513" i="1" s="1"/>
  <c r="F10514" i="1"/>
  <c r="B10514" i="1" s="1"/>
  <c r="F10515" i="1"/>
  <c r="B10515" i="1" s="1"/>
  <c r="F10516" i="1"/>
  <c r="B10516" i="1" s="1"/>
  <c r="F10517" i="1"/>
  <c r="B10517" i="1" s="1"/>
  <c r="F10518" i="1"/>
  <c r="B10518" i="1" s="1"/>
  <c r="F10519" i="1"/>
  <c r="B10519" i="1" s="1"/>
  <c r="F10520" i="1"/>
  <c r="B10520" i="1" s="1"/>
  <c r="F10521" i="1"/>
  <c r="B10521" i="1" s="1"/>
  <c r="F10522" i="1"/>
  <c r="B10522" i="1" s="1"/>
  <c r="F10523" i="1"/>
  <c r="B10523" i="1" s="1"/>
  <c r="F10524" i="1"/>
  <c r="B10524" i="1" s="1"/>
  <c r="F10525" i="1"/>
  <c r="B10525" i="1" s="1"/>
  <c r="F10526" i="1"/>
  <c r="B10526" i="1" s="1"/>
  <c r="F10527" i="1"/>
  <c r="B10527" i="1" s="1"/>
  <c r="F10528" i="1"/>
  <c r="B10528" i="1" s="1"/>
  <c r="F10529" i="1"/>
  <c r="B10529" i="1" s="1"/>
  <c r="F10530" i="1"/>
  <c r="B10530" i="1" s="1"/>
  <c r="F10531" i="1"/>
  <c r="B10531" i="1" s="1"/>
  <c r="F10532" i="1"/>
  <c r="B10532" i="1" s="1"/>
  <c r="F10533" i="1"/>
  <c r="B10533" i="1" s="1"/>
  <c r="F10534" i="1"/>
  <c r="B10534" i="1" s="1"/>
  <c r="F10535" i="1"/>
  <c r="B10535" i="1" s="1"/>
  <c r="F10536" i="1"/>
  <c r="B10536" i="1" s="1"/>
  <c r="F10537" i="1"/>
  <c r="B10537" i="1" s="1"/>
  <c r="F10538" i="1"/>
  <c r="B10538" i="1" s="1"/>
  <c r="F10539" i="1"/>
  <c r="B10539" i="1" s="1"/>
  <c r="F10540" i="1"/>
  <c r="B10540" i="1" s="1"/>
  <c r="F10541" i="1"/>
  <c r="B10541" i="1" s="1"/>
  <c r="F10542" i="1"/>
  <c r="B10542" i="1" s="1"/>
  <c r="F10543" i="1"/>
  <c r="B10543" i="1" s="1"/>
  <c r="F10544" i="1"/>
  <c r="B10544" i="1" s="1"/>
  <c r="F10545" i="1"/>
  <c r="B10545" i="1" s="1"/>
  <c r="F10546" i="1"/>
  <c r="B10546" i="1" s="1"/>
  <c r="F10547" i="1"/>
  <c r="B10547" i="1" s="1"/>
  <c r="F10548" i="1"/>
  <c r="B10548" i="1" s="1"/>
  <c r="F10549" i="1"/>
  <c r="B10549" i="1" s="1"/>
  <c r="F10550" i="1"/>
  <c r="B10550" i="1" s="1"/>
  <c r="F10551" i="1"/>
  <c r="B10551" i="1" s="1"/>
  <c r="F10552" i="1"/>
  <c r="B10552" i="1" s="1"/>
  <c r="F10553" i="1"/>
  <c r="B10553" i="1" s="1"/>
  <c r="F10554" i="1"/>
  <c r="B10554" i="1" s="1"/>
  <c r="F10555" i="1"/>
  <c r="B10555" i="1" s="1"/>
  <c r="F10556" i="1"/>
  <c r="B10556" i="1" s="1"/>
  <c r="F10557" i="1"/>
  <c r="B10557" i="1" s="1"/>
  <c r="F10558" i="1"/>
  <c r="B10558" i="1" s="1"/>
  <c r="F10559" i="1"/>
  <c r="B10559" i="1" s="1"/>
  <c r="F10560" i="1"/>
  <c r="B10560" i="1" s="1"/>
  <c r="F10561" i="1"/>
  <c r="B10561" i="1" s="1"/>
  <c r="F10562" i="1"/>
  <c r="B10562" i="1" s="1"/>
  <c r="F10563" i="1"/>
  <c r="B10563" i="1" s="1"/>
  <c r="F10564" i="1"/>
  <c r="B10564" i="1" s="1"/>
  <c r="F10565" i="1"/>
  <c r="B10565" i="1" s="1"/>
  <c r="F10566" i="1"/>
  <c r="B10566" i="1" s="1"/>
  <c r="F10567" i="1"/>
  <c r="B10567" i="1" s="1"/>
  <c r="F10568" i="1"/>
  <c r="B10568" i="1" s="1"/>
  <c r="F10569" i="1"/>
  <c r="B10569" i="1" s="1"/>
  <c r="F10570" i="1"/>
  <c r="B10570" i="1" s="1"/>
  <c r="F10571" i="1"/>
  <c r="B10571" i="1" s="1"/>
  <c r="F10572" i="1"/>
  <c r="B10572" i="1" s="1"/>
  <c r="F10573" i="1"/>
  <c r="B10573" i="1" s="1"/>
  <c r="F10574" i="1"/>
  <c r="B10574" i="1" s="1"/>
  <c r="F10575" i="1"/>
  <c r="B10575" i="1" s="1"/>
  <c r="F10576" i="1"/>
  <c r="B10576" i="1" s="1"/>
  <c r="F10577" i="1"/>
  <c r="B10577" i="1" s="1"/>
  <c r="F10578" i="1"/>
  <c r="B10578" i="1" s="1"/>
  <c r="F10579" i="1"/>
  <c r="B10579" i="1" s="1"/>
  <c r="F10580" i="1"/>
  <c r="B10580" i="1" s="1"/>
  <c r="F10581" i="1"/>
  <c r="B10581" i="1" s="1"/>
  <c r="F10582" i="1"/>
  <c r="B10582" i="1" s="1"/>
  <c r="F10583" i="1"/>
  <c r="B10583" i="1" s="1"/>
  <c r="F10584" i="1"/>
  <c r="B10584" i="1" s="1"/>
  <c r="F10585" i="1"/>
  <c r="B10585" i="1" s="1"/>
  <c r="F10586" i="1"/>
  <c r="B10586" i="1" s="1"/>
  <c r="F10587" i="1"/>
  <c r="B10587" i="1" s="1"/>
  <c r="F10588" i="1"/>
  <c r="B10588" i="1" s="1"/>
  <c r="F10589" i="1"/>
  <c r="B10589" i="1" s="1"/>
  <c r="F10590" i="1"/>
  <c r="B10590" i="1" s="1"/>
  <c r="F10591" i="1"/>
  <c r="B10591" i="1" s="1"/>
  <c r="F10592" i="1"/>
  <c r="B10592" i="1" s="1"/>
  <c r="F10593" i="1"/>
  <c r="B10593" i="1" s="1"/>
  <c r="F10594" i="1"/>
  <c r="B10594" i="1" s="1"/>
  <c r="F10595" i="1"/>
  <c r="B10595" i="1" s="1"/>
  <c r="F10596" i="1"/>
  <c r="B10596" i="1" s="1"/>
  <c r="F10597" i="1"/>
  <c r="B10597" i="1" s="1"/>
  <c r="F10598" i="1"/>
  <c r="F10599" i="1"/>
  <c r="B10599" i="1" s="1"/>
  <c r="F10600" i="1"/>
  <c r="B10600" i="1" s="1"/>
  <c r="F10601" i="1"/>
  <c r="B10601" i="1" s="1"/>
  <c r="F10602" i="1"/>
  <c r="B10602" i="1" s="1"/>
  <c r="F10603" i="1"/>
  <c r="B10603" i="1" s="1"/>
  <c r="F10604" i="1"/>
  <c r="B10604" i="1" s="1"/>
  <c r="F10605" i="1"/>
  <c r="B10605" i="1" s="1"/>
  <c r="F10606" i="1"/>
  <c r="B10606" i="1" s="1"/>
  <c r="F10607" i="1"/>
  <c r="B10607" i="1" s="1"/>
  <c r="F10608" i="1"/>
  <c r="B10608" i="1" s="1"/>
  <c r="F10609" i="1"/>
  <c r="B10609" i="1" s="1"/>
  <c r="F10610" i="1"/>
  <c r="B10610" i="1" s="1"/>
  <c r="F10611" i="1"/>
  <c r="B10611" i="1" s="1"/>
  <c r="F10612" i="1"/>
  <c r="B10612" i="1" s="1"/>
  <c r="F10613" i="1"/>
  <c r="B10613" i="1" s="1"/>
  <c r="F10614" i="1"/>
  <c r="B10614" i="1" s="1"/>
  <c r="F10615" i="1"/>
  <c r="B10615" i="1" s="1"/>
  <c r="F10616" i="1"/>
  <c r="B10616" i="1" s="1"/>
  <c r="F10617" i="1"/>
  <c r="B10617" i="1" s="1"/>
  <c r="F10618" i="1"/>
  <c r="B10618" i="1" s="1"/>
  <c r="F10619" i="1"/>
  <c r="B10619" i="1" s="1"/>
  <c r="F10620" i="1"/>
  <c r="B10620" i="1" s="1"/>
  <c r="F10621" i="1"/>
  <c r="B10621" i="1" s="1"/>
  <c r="F10622" i="1"/>
  <c r="B10622" i="1" s="1"/>
  <c r="F10623" i="1"/>
  <c r="B10623" i="1" s="1"/>
  <c r="F10624" i="1"/>
  <c r="B10624" i="1" s="1"/>
  <c r="F10625" i="1"/>
  <c r="B10625" i="1" s="1"/>
  <c r="F10626" i="1"/>
  <c r="B10626" i="1" s="1"/>
  <c r="F10627" i="1"/>
  <c r="B10627" i="1" s="1"/>
  <c r="F10628" i="1"/>
  <c r="B10628" i="1" s="1"/>
  <c r="F10629" i="1"/>
  <c r="B10629" i="1" s="1"/>
  <c r="F10630" i="1"/>
  <c r="B10630" i="1" s="1"/>
  <c r="F10631" i="1"/>
  <c r="B10631" i="1" s="1"/>
  <c r="F10632" i="1"/>
  <c r="B10632" i="1" s="1"/>
  <c r="F10633" i="1"/>
  <c r="B10633" i="1" s="1"/>
  <c r="F10634" i="1"/>
  <c r="B10634" i="1" s="1"/>
  <c r="F10635" i="1"/>
  <c r="B10635" i="1" s="1"/>
  <c r="F10636" i="1"/>
  <c r="B10636" i="1" s="1"/>
  <c r="F10637" i="1"/>
  <c r="B10637" i="1" s="1"/>
  <c r="F10638" i="1"/>
  <c r="B10638" i="1" s="1"/>
  <c r="F10639" i="1"/>
  <c r="B10639" i="1" s="1"/>
  <c r="F10640" i="1"/>
  <c r="B10640" i="1" s="1"/>
  <c r="F10641" i="1"/>
  <c r="B10641" i="1" s="1"/>
  <c r="F10642" i="1"/>
  <c r="B10642" i="1" s="1"/>
  <c r="F10643" i="1"/>
  <c r="B10643" i="1" s="1"/>
  <c r="F10644" i="1"/>
  <c r="B10644" i="1" s="1"/>
  <c r="F10645" i="1"/>
  <c r="B10645" i="1" s="1"/>
  <c r="F10646" i="1"/>
  <c r="B10646" i="1" s="1"/>
  <c r="F10647" i="1"/>
  <c r="B10647" i="1" s="1"/>
  <c r="F10648" i="1"/>
  <c r="B10648" i="1" s="1"/>
  <c r="F10649" i="1"/>
  <c r="B10649" i="1" s="1"/>
  <c r="F10650" i="1"/>
  <c r="B10650" i="1" s="1"/>
  <c r="F10651" i="1"/>
  <c r="B10651" i="1" s="1"/>
  <c r="F10652" i="1"/>
  <c r="B10652" i="1" s="1"/>
  <c r="F10653" i="1"/>
  <c r="B10653" i="1" s="1"/>
  <c r="F10654" i="1"/>
  <c r="B10654" i="1" s="1"/>
  <c r="F10655" i="1"/>
  <c r="B10655" i="1" s="1"/>
  <c r="F10656" i="1"/>
  <c r="B10656" i="1" s="1"/>
  <c r="F10657" i="1"/>
  <c r="B10657" i="1" s="1"/>
  <c r="F10658" i="1"/>
  <c r="B10658" i="1" s="1"/>
  <c r="F10659" i="1"/>
  <c r="B10659" i="1" s="1"/>
  <c r="F10660" i="1"/>
  <c r="B10660" i="1" s="1"/>
  <c r="F10661" i="1"/>
  <c r="B10661" i="1" s="1"/>
  <c r="F10662" i="1"/>
  <c r="B10662" i="1" s="1"/>
  <c r="F10663" i="1"/>
  <c r="B10663" i="1" s="1"/>
  <c r="F10664" i="1"/>
  <c r="B10664" i="1" s="1"/>
  <c r="F10665" i="1"/>
  <c r="B10665" i="1" s="1"/>
  <c r="F10666" i="1"/>
  <c r="B10666" i="1" s="1"/>
  <c r="F10667" i="1"/>
  <c r="B10667" i="1" s="1"/>
  <c r="F10668" i="1"/>
  <c r="B10668" i="1" s="1"/>
  <c r="F10669" i="1"/>
  <c r="B10669" i="1" s="1"/>
  <c r="F10670" i="1"/>
  <c r="B10670" i="1" s="1"/>
  <c r="F10671" i="1"/>
  <c r="B10671" i="1" s="1"/>
  <c r="F10672" i="1"/>
  <c r="B10672" i="1" s="1"/>
  <c r="F10673" i="1"/>
  <c r="B10673" i="1" s="1"/>
  <c r="F10674" i="1"/>
  <c r="B10674" i="1" s="1"/>
  <c r="F10675" i="1"/>
  <c r="B10675" i="1" s="1"/>
  <c r="F10676" i="1"/>
  <c r="B10676" i="1" s="1"/>
  <c r="F10677" i="1"/>
  <c r="B10677" i="1" s="1"/>
  <c r="F10678" i="1"/>
  <c r="B10678" i="1" s="1"/>
  <c r="F10679" i="1"/>
  <c r="B10679" i="1" s="1"/>
  <c r="F10680" i="1"/>
  <c r="B10680" i="1" s="1"/>
  <c r="F10681" i="1"/>
  <c r="B10681" i="1" s="1"/>
  <c r="F10682" i="1"/>
  <c r="B10682" i="1" s="1"/>
  <c r="F10683" i="1"/>
  <c r="B10683" i="1" s="1"/>
  <c r="F10684" i="1"/>
  <c r="B10684" i="1" s="1"/>
  <c r="F10685" i="1"/>
  <c r="B10685" i="1" s="1"/>
  <c r="F10686" i="1"/>
  <c r="B10686" i="1" s="1"/>
  <c r="F10687" i="1"/>
  <c r="B10687" i="1" s="1"/>
  <c r="F10688" i="1"/>
  <c r="B10688" i="1" s="1"/>
  <c r="F10689" i="1"/>
  <c r="B10689" i="1" s="1"/>
  <c r="F10690" i="1"/>
  <c r="B10690" i="1" s="1"/>
  <c r="F10691" i="1"/>
  <c r="B10691" i="1" s="1"/>
  <c r="F10692" i="1"/>
  <c r="B10692" i="1" s="1"/>
  <c r="F10693" i="1"/>
  <c r="B10693" i="1" s="1"/>
  <c r="F10694" i="1"/>
  <c r="B10694" i="1" s="1"/>
  <c r="F10695" i="1"/>
  <c r="B10695" i="1" s="1"/>
  <c r="F10696" i="1"/>
  <c r="B10696" i="1" s="1"/>
  <c r="F10697" i="1"/>
  <c r="B10697" i="1" s="1"/>
  <c r="F10698" i="1"/>
  <c r="B10698" i="1" s="1"/>
  <c r="F10699" i="1"/>
  <c r="B10699" i="1" s="1"/>
  <c r="F10700" i="1"/>
  <c r="B10700" i="1" s="1"/>
  <c r="F10701" i="1"/>
  <c r="B10701" i="1" s="1"/>
  <c r="F10702" i="1"/>
  <c r="B10702" i="1" s="1"/>
  <c r="F10703" i="1"/>
  <c r="B10703" i="1" s="1"/>
  <c r="F10704" i="1"/>
  <c r="B10704" i="1" s="1"/>
  <c r="F10705" i="1"/>
  <c r="B10705" i="1" s="1"/>
  <c r="F10706" i="1"/>
  <c r="B10706" i="1" s="1"/>
  <c r="F10707" i="1"/>
  <c r="B10707" i="1" s="1"/>
  <c r="F10708" i="1"/>
  <c r="B10708" i="1" s="1"/>
  <c r="F10709" i="1"/>
  <c r="B10709" i="1" s="1"/>
  <c r="F10710" i="1"/>
  <c r="B10710" i="1" s="1"/>
  <c r="F10711" i="1"/>
  <c r="B10711" i="1" s="1"/>
  <c r="F10712" i="1"/>
  <c r="B10712" i="1" s="1"/>
  <c r="F10713" i="1"/>
  <c r="B10713" i="1" s="1"/>
  <c r="F10714" i="1"/>
  <c r="B10714" i="1" s="1"/>
  <c r="F10715" i="1"/>
  <c r="B10715" i="1" s="1"/>
  <c r="F10716" i="1"/>
  <c r="B10716" i="1" s="1"/>
  <c r="F10717" i="1"/>
  <c r="B10717" i="1" s="1"/>
  <c r="F10718" i="1"/>
  <c r="B10718" i="1" s="1"/>
  <c r="F10719" i="1"/>
  <c r="B10719" i="1" s="1"/>
  <c r="F10720" i="1"/>
  <c r="B10720" i="1" s="1"/>
  <c r="F10721" i="1"/>
  <c r="B10721" i="1" s="1"/>
  <c r="F10722" i="1"/>
  <c r="B10722" i="1" s="1"/>
  <c r="F10723" i="1"/>
  <c r="F10724" i="1"/>
  <c r="B10724" i="1" s="1"/>
  <c r="F10725" i="1"/>
  <c r="B10725" i="1" s="1"/>
  <c r="F10726" i="1"/>
  <c r="B10726" i="1" s="1"/>
  <c r="F10727" i="1"/>
  <c r="B10727" i="1" s="1"/>
  <c r="F10728" i="1"/>
  <c r="B10728" i="1" s="1"/>
  <c r="F10729" i="1"/>
  <c r="B10729" i="1" s="1"/>
  <c r="F10730" i="1"/>
  <c r="B10730" i="1" s="1"/>
  <c r="F10731" i="1"/>
  <c r="F10732" i="1"/>
  <c r="B10732" i="1" s="1"/>
  <c r="F10733" i="1"/>
  <c r="B10733" i="1" s="1"/>
  <c r="F10734" i="1"/>
  <c r="B10734" i="1" s="1"/>
  <c r="F10735" i="1"/>
  <c r="B10735" i="1" s="1"/>
  <c r="F10736" i="1"/>
  <c r="B10736" i="1" s="1"/>
  <c r="F10737" i="1"/>
  <c r="B10737" i="1" s="1"/>
  <c r="F10738" i="1"/>
  <c r="B10738" i="1" s="1"/>
  <c r="F10739" i="1"/>
  <c r="B10739" i="1" s="1"/>
  <c r="F10740" i="1"/>
  <c r="B10740" i="1" s="1"/>
  <c r="F10741" i="1"/>
  <c r="B10741" i="1" s="1"/>
  <c r="F10742" i="1"/>
  <c r="B10742" i="1" s="1"/>
  <c r="F10743" i="1"/>
  <c r="B10743" i="1" s="1"/>
  <c r="F10744" i="1"/>
  <c r="B10744" i="1" s="1"/>
  <c r="F10745" i="1"/>
  <c r="B10745" i="1" s="1"/>
  <c r="F10746" i="1"/>
  <c r="B10746" i="1" s="1"/>
  <c r="F10747" i="1"/>
  <c r="B10747" i="1" s="1"/>
  <c r="F10748" i="1"/>
  <c r="B10748" i="1" s="1"/>
  <c r="F10749" i="1"/>
  <c r="B10749" i="1" s="1"/>
  <c r="F10750" i="1"/>
  <c r="B10750" i="1" s="1"/>
  <c r="F10751" i="1"/>
  <c r="B10751" i="1" s="1"/>
  <c r="F10752" i="1"/>
  <c r="B10752" i="1" s="1"/>
  <c r="F10753" i="1"/>
  <c r="B10753" i="1" s="1"/>
  <c r="F10754" i="1"/>
  <c r="B10754" i="1" s="1"/>
  <c r="F10755" i="1"/>
  <c r="B10755" i="1" s="1"/>
  <c r="F10756" i="1"/>
  <c r="B10756" i="1" s="1"/>
  <c r="F10757" i="1"/>
  <c r="B10757" i="1" s="1"/>
  <c r="F10758" i="1"/>
  <c r="B10758" i="1" s="1"/>
  <c r="F10759" i="1"/>
  <c r="B10759" i="1" s="1"/>
  <c r="F10760" i="1"/>
  <c r="B10760" i="1" s="1"/>
  <c r="F10761" i="1"/>
  <c r="B10761" i="1" s="1"/>
  <c r="F10762" i="1"/>
  <c r="B10762" i="1" s="1"/>
  <c r="F10763" i="1"/>
  <c r="B10763" i="1" s="1"/>
  <c r="F10764" i="1"/>
  <c r="B10764" i="1" s="1"/>
  <c r="F10765" i="1"/>
  <c r="B10765" i="1" s="1"/>
  <c r="F10766" i="1"/>
  <c r="B10766" i="1" s="1"/>
  <c r="F10767" i="1"/>
  <c r="B10767" i="1" s="1"/>
  <c r="F10768" i="1"/>
  <c r="B10768" i="1" s="1"/>
  <c r="F10769" i="1"/>
  <c r="B10769" i="1" s="1"/>
  <c r="F10770" i="1"/>
  <c r="B10770" i="1" s="1"/>
  <c r="F10771" i="1"/>
  <c r="B10771" i="1" s="1"/>
  <c r="F10772" i="1"/>
  <c r="B10772" i="1" s="1"/>
  <c r="F10773" i="1"/>
  <c r="B10773" i="1" s="1"/>
  <c r="F10774" i="1"/>
  <c r="B10774" i="1" s="1"/>
  <c r="F10775" i="1"/>
  <c r="B10775" i="1" s="1"/>
  <c r="F10776" i="1"/>
  <c r="B10776" i="1" s="1"/>
  <c r="F10777" i="1"/>
  <c r="B10777" i="1" s="1"/>
  <c r="F10778" i="1"/>
  <c r="B10778" i="1" s="1"/>
  <c r="F10779" i="1"/>
  <c r="B10779" i="1" s="1"/>
  <c r="F10780" i="1"/>
  <c r="B10780" i="1" s="1"/>
  <c r="F10781" i="1"/>
  <c r="B10781" i="1" s="1"/>
  <c r="F10782" i="1"/>
  <c r="B10782" i="1" s="1"/>
  <c r="F10783" i="1"/>
  <c r="B10783" i="1" s="1"/>
  <c r="F10784" i="1"/>
  <c r="B10784" i="1" s="1"/>
  <c r="F10785" i="1"/>
  <c r="B10785" i="1" s="1"/>
  <c r="F10786" i="1"/>
  <c r="B10786" i="1" s="1"/>
  <c r="F10787" i="1"/>
  <c r="B10787" i="1" s="1"/>
  <c r="F10788" i="1"/>
  <c r="B10788" i="1" s="1"/>
  <c r="F10789" i="1"/>
  <c r="B10789" i="1" s="1"/>
  <c r="F10790" i="1"/>
  <c r="B10790" i="1" s="1"/>
  <c r="F10791" i="1"/>
  <c r="B10791" i="1" s="1"/>
  <c r="F10792" i="1"/>
  <c r="F10793" i="1"/>
  <c r="B10793" i="1" s="1"/>
  <c r="F10794" i="1"/>
  <c r="B10794" i="1" s="1"/>
  <c r="F10795" i="1"/>
  <c r="B10795" i="1" s="1"/>
  <c r="F10796" i="1"/>
  <c r="B10796" i="1" s="1"/>
  <c r="F10797" i="1"/>
  <c r="B10797" i="1" s="1"/>
  <c r="F10798" i="1"/>
  <c r="B10798" i="1" s="1"/>
  <c r="F10799" i="1"/>
  <c r="B10799" i="1" s="1"/>
  <c r="F10800" i="1"/>
  <c r="B10800" i="1" s="1"/>
  <c r="F10801" i="1"/>
  <c r="B10801" i="1" s="1"/>
  <c r="F10802" i="1"/>
  <c r="F10803" i="1"/>
  <c r="B10803" i="1" s="1"/>
  <c r="F10804" i="1"/>
  <c r="B10804" i="1" s="1"/>
  <c r="F10805" i="1"/>
  <c r="B10805" i="1" s="1"/>
  <c r="F10806" i="1"/>
  <c r="B10806" i="1" s="1"/>
  <c r="F10807" i="1"/>
  <c r="B10807" i="1" s="1"/>
  <c r="F10808" i="1"/>
  <c r="F10809" i="1"/>
  <c r="B10809" i="1" s="1"/>
  <c r="F10810" i="1"/>
  <c r="B10810" i="1" s="1"/>
  <c r="F10811" i="1"/>
  <c r="B10811" i="1" s="1"/>
  <c r="F10812" i="1"/>
  <c r="B10812" i="1" s="1"/>
  <c r="F10813" i="1"/>
  <c r="B10813" i="1" s="1"/>
  <c r="F10814" i="1"/>
  <c r="B10814" i="1" s="1"/>
  <c r="F10815" i="1"/>
  <c r="B10815" i="1" s="1"/>
  <c r="F10816" i="1"/>
  <c r="B10816" i="1" s="1"/>
  <c r="F10817" i="1"/>
  <c r="B10817" i="1" s="1"/>
  <c r="F10818" i="1"/>
  <c r="B10818" i="1" s="1"/>
  <c r="F10819" i="1"/>
  <c r="B10819" i="1" s="1"/>
  <c r="F10820" i="1"/>
  <c r="B10820" i="1" s="1"/>
  <c r="F10821" i="1"/>
  <c r="B10821" i="1" s="1"/>
  <c r="F10822" i="1"/>
  <c r="B10822" i="1" s="1"/>
  <c r="F10823" i="1"/>
  <c r="B10823" i="1" s="1"/>
  <c r="F10824" i="1"/>
  <c r="B10824" i="1" s="1"/>
  <c r="F10825" i="1"/>
  <c r="B10825" i="1" s="1"/>
  <c r="F10826" i="1"/>
  <c r="B10826" i="1" s="1"/>
  <c r="F10827" i="1"/>
  <c r="B10827" i="1" s="1"/>
  <c r="F10828" i="1"/>
  <c r="B10828" i="1" s="1"/>
  <c r="F10829" i="1"/>
  <c r="B10829" i="1" s="1"/>
  <c r="F10830" i="1"/>
  <c r="B10830" i="1" s="1"/>
  <c r="F10831" i="1"/>
  <c r="B10831" i="1" s="1"/>
  <c r="F10832" i="1"/>
  <c r="B10832" i="1" s="1"/>
  <c r="F10833" i="1"/>
  <c r="B10833" i="1" s="1"/>
  <c r="F10834" i="1"/>
  <c r="B10834" i="1" s="1"/>
  <c r="F10835" i="1"/>
  <c r="B10835" i="1" s="1"/>
  <c r="F10836" i="1"/>
  <c r="B10836" i="1" s="1"/>
  <c r="F10837" i="1"/>
  <c r="B10837" i="1" s="1"/>
  <c r="F10838" i="1"/>
  <c r="B10838" i="1" s="1"/>
  <c r="F10839" i="1"/>
  <c r="B10839" i="1" s="1"/>
  <c r="F10840" i="1"/>
  <c r="B10840" i="1" s="1"/>
  <c r="F10841" i="1"/>
  <c r="B10841" i="1" s="1"/>
  <c r="F10842" i="1"/>
  <c r="B10842" i="1" s="1"/>
  <c r="F10843" i="1"/>
  <c r="B10843" i="1" s="1"/>
  <c r="F10844" i="1"/>
  <c r="B10844" i="1" s="1"/>
  <c r="F10845" i="1"/>
  <c r="B10845" i="1" s="1"/>
  <c r="F10846" i="1"/>
  <c r="B10846" i="1" s="1"/>
  <c r="F10847" i="1"/>
  <c r="B10847" i="1" s="1"/>
  <c r="F10848" i="1"/>
  <c r="B10848" i="1" s="1"/>
  <c r="F10849" i="1"/>
  <c r="B10849" i="1" s="1"/>
  <c r="F10850" i="1"/>
  <c r="B10850" i="1" s="1"/>
  <c r="F10851" i="1"/>
  <c r="B10851" i="1" s="1"/>
  <c r="F10852" i="1"/>
  <c r="B10852" i="1" s="1"/>
  <c r="F10853" i="1"/>
  <c r="B10853" i="1" s="1"/>
  <c r="F10854" i="1"/>
  <c r="B10854" i="1" s="1"/>
  <c r="F10855" i="1"/>
  <c r="B10855" i="1" s="1"/>
  <c r="F10856" i="1"/>
  <c r="B10856" i="1" s="1"/>
  <c r="F10857" i="1"/>
  <c r="B10857" i="1" s="1"/>
  <c r="F10858" i="1"/>
  <c r="B10858" i="1" s="1"/>
  <c r="F10859" i="1"/>
  <c r="B10859" i="1" s="1"/>
  <c r="F10860" i="1"/>
  <c r="B10860" i="1" s="1"/>
  <c r="F10861" i="1"/>
  <c r="B10861" i="1" s="1"/>
  <c r="F10862" i="1"/>
  <c r="F10863" i="1"/>
  <c r="B10863" i="1" s="1"/>
  <c r="F10864" i="1"/>
  <c r="B10864" i="1" s="1"/>
  <c r="F10865" i="1"/>
  <c r="B10865" i="1" s="1"/>
  <c r="F10866" i="1"/>
  <c r="B10866" i="1" s="1"/>
  <c r="F10867" i="1"/>
  <c r="B10867" i="1" s="1"/>
  <c r="F10868" i="1"/>
  <c r="B10868" i="1" s="1"/>
  <c r="F10869" i="1"/>
  <c r="B10869" i="1" s="1"/>
  <c r="F10870" i="1"/>
  <c r="B10870" i="1" s="1"/>
  <c r="F10871" i="1"/>
  <c r="B10871" i="1" s="1"/>
  <c r="F10872" i="1"/>
  <c r="B10872" i="1" s="1"/>
  <c r="F10873" i="1"/>
  <c r="B10873" i="1" s="1"/>
  <c r="F10874" i="1"/>
  <c r="B10874" i="1" s="1"/>
  <c r="F10875" i="1"/>
  <c r="B10875" i="1" s="1"/>
  <c r="F10876" i="1"/>
  <c r="B10876" i="1" s="1"/>
  <c r="F10877" i="1"/>
  <c r="B10877" i="1" s="1"/>
  <c r="F10878" i="1"/>
  <c r="B10878" i="1" s="1"/>
  <c r="F10879" i="1"/>
  <c r="B10879" i="1" s="1"/>
  <c r="F10880" i="1"/>
  <c r="B10880" i="1" s="1"/>
  <c r="F10881" i="1"/>
  <c r="B10881" i="1" s="1"/>
  <c r="F10882" i="1"/>
  <c r="B10882" i="1" s="1"/>
  <c r="F10883" i="1"/>
  <c r="B10883" i="1" s="1"/>
  <c r="F10884" i="1"/>
  <c r="B10884" i="1" s="1"/>
  <c r="F10885" i="1"/>
  <c r="B10885" i="1" s="1"/>
  <c r="F10886" i="1"/>
  <c r="B10886" i="1" s="1"/>
  <c r="F10887" i="1"/>
  <c r="B10887" i="1" s="1"/>
  <c r="F10888" i="1"/>
  <c r="B10888" i="1" s="1"/>
  <c r="F10889" i="1"/>
  <c r="B10889" i="1" s="1"/>
  <c r="F10890" i="1"/>
  <c r="B10890" i="1" s="1"/>
  <c r="F10891" i="1"/>
  <c r="B10891" i="1" s="1"/>
  <c r="F10892" i="1"/>
  <c r="B10892" i="1" s="1"/>
  <c r="F10893" i="1"/>
  <c r="B10893" i="1" s="1"/>
  <c r="F10894" i="1"/>
  <c r="B10894" i="1" s="1"/>
  <c r="F10895" i="1"/>
  <c r="B10895" i="1" s="1"/>
  <c r="F10896" i="1"/>
  <c r="B10896" i="1" s="1"/>
  <c r="F10897" i="1"/>
  <c r="B10897" i="1" s="1"/>
  <c r="F10898" i="1"/>
  <c r="B10898" i="1" s="1"/>
  <c r="F10899" i="1"/>
  <c r="B10899" i="1" s="1"/>
  <c r="F10900" i="1"/>
  <c r="B10900" i="1" s="1"/>
  <c r="F10901" i="1"/>
  <c r="B10901" i="1" s="1"/>
  <c r="F10902" i="1"/>
  <c r="B10902" i="1" s="1"/>
  <c r="F10903" i="1"/>
  <c r="B10903" i="1" s="1"/>
  <c r="F10904" i="1"/>
  <c r="B10904" i="1" s="1"/>
  <c r="F10905" i="1"/>
  <c r="B10905" i="1" s="1"/>
  <c r="F10906" i="1"/>
  <c r="B10906" i="1" s="1"/>
  <c r="F10907" i="1"/>
  <c r="B10907" i="1" s="1"/>
  <c r="F10908" i="1"/>
  <c r="B10908" i="1" s="1"/>
  <c r="F10909" i="1"/>
  <c r="B10909" i="1" s="1"/>
  <c r="F10910" i="1"/>
  <c r="B10910" i="1" s="1"/>
  <c r="F10911" i="1"/>
  <c r="B10911" i="1" s="1"/>
  <c r="F10912" i="1"/>
  <c r="B10912" i="1" s="1"/>
  <c r="F10913" i="1"/>
  <c r="B10913" i="1" s="1"/>
  <c r="F10914" i="1"/>
  <c r="B10914" i="1" s="1"/>
  <c r="F10915" i="1"/>
  <c r="B10915" i="1" s="1"/>
  <c r="F10916" i="1"/>
  <c r="B10916" i="1" s="1"/>
  <c r="F10917" i="1"/>
  <c r="B10917" i="1" s="1"/>
  <c r="F10918" i="1"/>
  <c r="B10918" i="1" s="1"/>
  <c r="F10919" i="1"/>
  <c r="B10919" i="1" s="1"/>
  <c r="F10920" i="1"/>
  <c r="B10920" i="1" s="1"/>
  <c r="F10921" i="1"/>
  <c r="B10921" i="1" s="1"/>
  <c r="F10922" i="1"/>
  <c r="B10922" i="1" s="1"/>
  <c r="F10923" i="1"/>
  <c r="B10923" i="1" s="1"/>
  <c r="F10924" i="1"/>
  <c r="B10924" i="1" s="1"/>
  <c r="F10925" i="1"/>
  <c r="F10926" i="1"/>
  <c r="B10926" i="1" s="1"/>
  <c r="F10927" i="1"/>
  <c r="B10927" i="1" s="1"/>
  <c r="F10928" i="1"/>
  <c r="B10928" i="1" s="1"/>
  <c r="F10929" i="1"/>
  <c r="B10929" i="1" s="1"/>
  <c r="F10930" i="1"/>
  <c r="B10930" i="1" s="1"/>
  <c r="F10931" i="1"/>
  <c r="B10931" i="1" s="1"/>
  <c r="F10932" i="1"/>
  <c r="B10932" i="1" s="1"/>
  <c r="F10933" i="1"/>
  <c r="B10933" i="1" s="1"/>
  <c r="F10934" i="1"/>
  <c r="B10934" i="1" s="1"/>
  <c r="F10935" i="1"/>
  <c r="B10935" i="1" s="1"/>
  <c r="F10936" i="1"/>
  <c r="B10936" i="1" s="1"/>
  <c r="F10937" i="1"/>
  <c r="B10937" i="1" s="1"/>
  <c r="F10938" i="1"/>
  <c r="B10938" i="1" s="1"/>
  <c r="F10939" i="1"/>
  <c r="B10939" i="1" s="1"/>
  <c r="F10940" i="1"/>
  <c r="B10940" i="1" s="1"/>
  <c r="F10941" i="1"/>
  <c r="B10941" i="1" s="1"/>
  <c r="F10942" i="1"/>
  <c r="B10942" i="1" s="1"/>
  <c r="F10943" i="1"/>
  <c r="B10943" i="1" s="1"/>
  <c r="F10944" i="1"/>
  <c r="B10944" i="1" s="1"/>
  <c r="F10945" i="1"/>
  <c r="B10945" i="1" s="1"/>
  <c r="F10946" i="1"/>
  <c r="B10946" i="1" s="1"/>
  <c r="F10947" i="1"/>
  <c r="B10947" i="1" s="1"/>
  <c r="F10948" i="1"/>
  <c r="B10948" i="1" s="1"/>
  <c r="F10949" i="1"/>
  <c r="B10949" i="1" s="1"/>
  <c r="F10950" i="1"/>
  <c r="B10950" i="1" s="1"/>
  <c r="F10951" i="1"/>
  <c r="B10951" i="1" s="1"/>
  <c r="F10952" i="1"/>
  <c r="B10952" i="1" s="1"/>
  <c r="F10953" i="1"/>
  <c r="B10953" i="1" s="1"/>
  <c r="F10954" i="1"/>
  <c r="B10954" i="1" s="1"/>
  <c r="F10955" i="1"/>
  <c r="B10955" i="1" s="1"/>
  <c r="F10956" i="1"/>
  <c r="B10956" i="1" s="1"/>
  <c r="F10957" i="1"/>
  <c r="B10957" i="1" s="1"/>
  <c r="F10958" i="1"/>
  <c r="B10958" i="1" s="1"/>
  <c r="F10959" i="1"/>
  <c r="B10959" i="1" s="1"/>
  <c r="F10960" i="1"/>
  <c r="B10960" i="1" s="1"/>
  <c r="F10961" i="1"/>
  <c r="B10961" i="1" s="1"/>
  <c r="F10962" i="1"/>
  <c r="B10962" i="1" s="1"/>
  <c r="F10963" i="1"/>
  <c r="B10963" i="1" s="1"/>
  <c r="F10964" i="1"/>
  <c r="B10964" i="1" s="1"/>
  <c r="F10965" i="1"/>
  <c r="B10965" i="1" s="1"/>
  <c r="F10966" i="1"/>
  <c r="B10966" i="1" s="1"/>
  <c r="F10967" i="1"/>
  <c r="B10967" i="1" s="1"/>
  <c r="F10968" i="1"/>
  <c r="B10968" i="1" s="1"/>
  <c r="F10969" i="1"/>
  <c r="B10969" i="1" s="1"/>
  <c r="F10970" i="1"/>
  <c r="B10970" i="1" s="1"/>
  <c r="F10971" i="1"/>
  <c r="B10971" i="1" s="1"/>
  <c r="F10972" i="1"/>
  <c r="B10972" i="1" s="1"/>
  <c r="F10973" i="1"/>
  <c r="B10973" i="1" s="1"/>
  <c r="F10974" i="1"/>
  <c r="B10974" i="1" s="1"/>
  <c r="F10975" i="1"/>
  <c r="B10975" i="1" s="1"/>
  <c r="F10976" i="1"/>
  <c r="B10976" i="1" s="1"/>
  <c r="F10977" i="1"/>
  <c r="B10977" i="1" s="1"/>
  <c r="F10978" i="1"/>
  <c r="B10978" i="1" s="1"/>
  <c r="F10979" i="1"/>
  <c r="B10979" i="1" s="1"/>
  <c r="F10980" i="1"/>
  <c r="B10980" i="1" s="1"/>
  <c r="F10981" i="1"/>
  <c r="B10981" i="1" s="1"/>
  <c r="F10982" i="1"/>
  <c r="B10982" i="1" s="1"/>
  <c r="F10983" i="1"/>
  <c r="B10983" i="1" s="1"/>
  <c r="F10984" i="1"/>
  <c r="B10984" i="1" s="1"/>
  <c r="F10985" i="1"/>
  <c r="B10985" i="1" s="1"/>
  <c r="F10986" i="1"/>
  <c r="B10986" i="1" s="1"/>
  <c r="F10987" i="1"/>
  <c r="B10987" i="1" s="1"/>
  <c r="F10988" i="1"/>
  <c r="B10988" i="1" s="1"/>
  <c r="F10989" i="1"/>
  <c r="B10989" i="1" s="1"/>
  <c r="F10990" i="1"/>
  <c r="B10990" i="1" s="1"/>
  <c r="F10991" i="1"/>
  <c r="B10991" i="1" s="1"/>
  <c r="F10992" i="1"/>
  <c r="B10992" i="1" s="1"/>
  <c r="F10993" i="1"/>
  <c r="B10993" i="1" s="1"/>
  <c r="F10994" i="1"/>
  <c r="B10994" i="1" s="1"/>
  <c r="F10995" i="1"/>
  <c r="B10995" i="1" s="1"/>
  <c r="F10996" i="1"/>
  <c r="B10996" i="1" s="1"/>
  <c r="F10997" i="1"/>
  <c r="B10997" i="1" s="1"/>
  <c r="F10998" i="1"/>
  <c r="B10998" i="1" s="1"/>
  <c r="F10999" i="1"/>
  <c r="B10999" i="1" s="1"/>
  <c r="F11000" i="1"/>
  <c r="B11000" i="1" s="1"/>
  <c r="F11001" i="1"/>
  <c r="B11001" i="1" s="1"/>
  <c r="F11002" i="1"/>
  <c r="B11002" i="1" s="1"/>
  <c r="F11003" i="1"/>
  <c r="B11003" i="1" s="1"/>
  <c r="F11004" i="1"/>
  <c r="B11004" i="1" s="1"/>
  <c r="F11005" i="1"/>
  <c r="B11005" i="1" s="1"/>
  <c r="F11006" i="1"/>
  <c r="B11006" i="1" s="1"/>
  <c r="F11007" i="1"/>
  <c r="B11007" i="1" s="1"/>
  <c r="F11008" i="1"/>
  <c r="B11008" i="1" s="1"/>
  <c r="F11009" i="1"/>
  <c r="B11009" i="1" s="1"/>
  <c r="F11010" i="1"/>
  <c r="B11010" i="1" s="1"/>
  <c r="F11011" i="1"/>
  <c r="B11011" i="1" s="1"/>
  <c r="F11012" i="1"/>
  <c r="B11012" i="1" s="1"/>
  <c r="F11013" i="1"/>
  <c r="B11013" i="1" s="1"/>
  <c r="F11014" i="1"/>
  <c r="B11014" i="1" s="1"/>
  <c r="F11015" i="1"/>
  <c r="B11015" i="1" s="1"/>
  <c r="F11016" i="1"/>
  <c r="B11016" i="1" s="1"/>
  <c r="F11017" i="1"/>
  <c r="B11017" i="1" s="1"/>
  <c r="F11018" i="1"/>
  <c r="B11018" i="1" s="1"/>
  <c r="F11019" i="1"/>
  <c r="B11019" i="1" s="1"/>
  <c r="F11020" i="1"/>
  <c r="B11020" i="1" s="1"/>
  <c r="F11021" i="1"/>
  <c r="B11021" i="1" s="1"/>
  <c r="F11022" i="1"/>
  <c r="B11022" i="1" s="1"/>
  <c r="F11023" i="1"/>
  <c r="B11023" i="1" s="1"/>
  <c r="F11024" i="1"/>
  <c r="B11024" i="1" s="1"/>
  <c r="F11025" i="1"/>
  <c r="B11025" i="1" s="1"/>
  <c r="F11026" i="1"/>
  <c r="B11026" i="1" s="1"/>
  <c r="F11027" i="1"/>
  <c r="B11027" i="1" s="1"/>
  <c r="F11028" i="1"/>
  <c r="B11028" i="1" s="1"/>
  <c r="F11029" i="1"/>
  <c r="B11029" i="1" s="1"/>
  <c r="F11030" i="1"/>
  <c r="B11030" i="1" s="1"/>
  <c r="F11031" i="1"/>
  <c r="B11031" i="1" s="1"/>
  <c r="F11032" i="1"/>
  <c r="B11032" i="1" s="1"/>
  <c r="F11033" i="1"/>
  <c r="B11033" i="1" s="1"/>
  <c r="F11034" i="1"/>
  <c r="B11034" i="1" s="1"/>
  <c r="F11035" i="1"/>
  <c r="B11035" i="1" s="1"/>
  <c r="F11036" i="1"/>
  <c r="B11036" i="1" s="1"/>
  <c r="F11037" i="1"/>
  <c r="B11037" i="1" s="1"/>
  <c r="F11038" i="1"/>
  <c r="B11038" i="1" s="1"/>
  <c r="F11039" i="1"/>
  <c r="B11039" i="1" s="1"/>
  <c r="F11040" i="1"/>
  <c r="B11040" i="1" s="1"/>
  <c r="F11041" i="1"/>
  <c r="B11041" i="1" s="1"/>
  <c r="F11042" i="1"/>
  <c r="B11042" i="1" s="1"/>
  <c r="F11043" i="1"/>
  <c r="B11043" i="1" s="1"/>
  <c r="F11044" i="1"/>
  <c r="B11044" i="1" s="1"/>
  <c r="F11045" i="1"/>
  <c r="B11045" i="1" s="1"/>
  <c r="F11046" i="1"/>
  <c r="B11046" i="1" s="1"/>
  <c r="F11047" i="1"/>
  <c r="B11047" i="1" s="1"/>
  <c r="F11048" i="1"/>
  <c r="B11048" i="1" s="1"/>
  <c r="F11049" i="1"/>
  <c r="B11049" i="1" s="1"/>
  <c r="F11050" i="1"/>
  <c r="B11050" i="1" s="1"/>
  <c r="F11051" i="1"/>
  <c r="B11051" i="1" s="1"/>
  <c r="F11052" i="1"/>
  <c r="B11052" i="1" s="1"/>
  <c r="F11053" i="1"/>
  <c r="B11053" i="1" s="1"/>
  <c r="F11054" i="1"/>
  <c r="B11054" i="1" s="1"/>
  <c r="F11055" i="1"/>
  <c r="B11055" i="1" s="1"/>
  <c r="F11056" i="1"/>
  <c r="B11056" i="1" s="1"/>
  <c r="F11057" i="1"/>
  <c r="B11057" i="1" s="1"/>
  <c r="F11058" i="1"/>
  <c r="B11058" i="1" s="1"/>
  <c r="F11059" i="1"/>
  <c r="B11059" i="1" s="1"/>
  <c r="F11060" i="1"/>
  <c r="B11060" i="1" s="1"/>
  <c r="F11061" i="1"/>
  <c r="B11061" i="1" s="1"/>
  <c r="F11062" i="1"/>
  <c r="B11062" i="1" s="1"/>
  <c r="F11063" i="1"/>
  <c r="B11063" i="1" s="1"/>
  <c r="F11064" i="1"/>
  <c r="B11064" i="1" s="1"/>
  <c r="F11065" i="1"/>
  <c r="B11065" i="1" s="1"/>
  <c r="F11066" i="1"/>
  <c r="B11066" i="1" s="1"/>
  <c r="F11067" i="1"/>
  <c r="B11067" i="1" s="1"/>
  <c r="F11068" i="1"/>
  <c r="B11068" i="1" s="1"/>
  <c r="F11069" i="1"/>
  <c r="B11069" i="1" s="1"/>
  <c r="F11070" i="1"/>
  <c r="B11070" i="1" s="1"/>
  <c r="F11071" i="1"/>
  <c r="B11071" i="1" s="1"/>
  <c r="F11072" i="1"/>
  <c r="B11072" i="1" s="1"/>
  <c r="F11073" i="1"/>
  <c r="B11073" i="1" s="1"/>
  <c r="F11074" i="1"/>
  <c r="B11074" i="1" s="1"/>
  <c r="F11075" i="1"/>
  <c r="B11075" i="1" s="1"/>
  <c r="F11076" i="1"/>
  <c r="B11076" i="1" s="1"/>
  <c r="F11077" i="1"/>
  <c r="B11077" i="1" s="1"/>
  <c r="F11078" i="1"/>
  <c r="B11078" i="1" s="1"/>
  <c r="F11079" i="1"/>
  <c r="B11079" i="1" s="1"/>
  <c r="F11080" i="1"/>
  <c r="B11080" i="1" s="1"/>
  <c r="F11081" i="1"/>
  <c r="B11081" i="1" s="1"/>
  <c r="F11082" i="1"/>
  <c r="B11082" i="1" s="1"/>
  <c r="F11083" i="1"/>
  <c r="B11083" i="1" s="1"/>
  <c r="F11084" i="1"/>
  <c r="B11084" i="1" s="1"/>
  <c r="F11085" i="1"/>
  <c r="B11085" i="1" s="1"/>
  <c r="F11086" i="1"/>
  <c r="B11086" i="1" s="1"/>
  <c r="F11087" i="1"/>
  <c r="B11087" i="1" s="1"/>
  <c r="F11088" i="1"/>
  <c r="B11088" i="1" s="1"/>
  <c r="F11089" i="1"/>
  <c r="B11089" i="1" s="1"/>
  <c r="F11090" i="1"/>
  <c r="B11090" i="1" s="1"/>
  <c r="F11091" i="1"/>
  <c r="B11091" i="1" s="1"/>
  <c r="F11092" i="1"/>
  <c r="B11092" i="1" s="1"/>
  <c r="F11093" i="1"/>
  <c r="B11093" i="1" s="1"/>
  <c r="F11094" i="1"/>
  <c r="B11094" i="1" s="1"/>
  <c r="F11095" i="1"/>
  <c r="B11095" i="1" s="1"/>
  <c r="F11096" i="1"/>
  <c r="B11096" i="1" s="1"/>
  <c r="F11097" i="1"/>
  <c r="B11097" i="1" s="1"/>
  <c r="F11098" i="1"/>
  <c r="B11098" i="1" s="1"/>
  <c r="F11099" i="1"/>
  <c r="B11099" i="1" s="1"/>
  <c r="F11100" i="1"/>
  <c r="B11100" i="1" s="1"/>
  <c r="F11101" i="1"/>
  <c r="B11101" i="1" s="1"/>
  <c r="F11102" i="1"/>
  <c r="B11102" i="1" s="1"/>
  <c r="F11103" i="1"/>
  <c r="B11103" i="1" s="1"/>
  <c r="F11104" i="1"/>
  <c r="B11104" i="1" s="1"/>
  <c r="F11105" i="1"/>
  <c r="B11105" i="1" s="1"/>
  <c r="F11106" i="1"/>
  <c r="B11106" i="1" s="1"/>
  <c r="F11107" i="1"/>
  <c r="B11107" i="1" s="1"/>
  <c r="F11108" i="1"/>
  <c r="B11108" i="1" s="1"/>
  <c r="F11109" i="1"/>
  <c r="B11109" i="1" s="1"/>
  <c r="F11110" i="1"/>
  <c r="B11110" i="1" s="1"/>
  <c r="F11111" i="1"/>
  <c r="B11111" i="1" s="1"/>
  <c r="F11112" i="1"/>
  <c r="B11112" i="1" s="1"/>
  <c r="F11113" i="1"/>
  <c r="B11113" i="1" s="1"/>
  <c r="F11114" i="1"/>
  <c r="B11114" i="1" s="1"/>
  <c r="F11115" i="1"/>
  <c r="F11116" i="1"/>
  <c r="B11116" i="1" s="1"/>
  <c r="F11117" i="1"/>
  <c r="B11117" i="1" s="1"/>
  <c r="F11118" i="1"/>
  <c r="B11118" i="1" s="1"/>
  <c r="F11119" i="1"/>
  <c r="B11119" i="1" s="1"/>
  <c r="F11120" i="1"/>
  <c r="B11120" i="1" s="1"/>
  <c r="F11121" i="1"/>
  <c r="F11122" i="1"/>
  <c r="B11122" i="1" s="1"/>
  <c r="F11123" i="1"/>
  <c r="B11123" i="1" s="1"/>
  <c r="F11124" i="1"/>
  <c r="B11124" i="1" s="1"/>
  <c r="F11125" i="1"/>
  <c r="B11125" i="1" s="1"/>
  <c r="F11126" i="1"/>
  <c r="B11126" i="1" s="1"/>
  <c r="F11127" i="1"/>
  <c r="B11127" i="1" s="1"/>
  <c r="F11128" i="1"/>
  <c r="B11128" i="1" s="1"/>
  <c r="F11129" i="1"/>
  <c r="B11129" i="1" s="1"/>
  <c r="F11130" i="1"/>
  <c r="B11130" i="1" s="1"/>
  <c r="F11131" i="1"/>
  <c r="B11131" i="1" s="1"/>
  <c r="F11132" i="1"/>
  <c r="B11132" i="1" s="1"/>
  <c r="F11133" i="1"/>
  <c r="B11133" i="1" s="1"/>
  <c r="F11134" i="1"/>
  <c r="B11134" i="1" s="1"/>
  <c r="F11135" i="1"/>
  <c r="B11135" i="1" s="1"/>
  <c r="F11136" i="1"/>
  <c r="B11136" i="1" s="1"/>
  <c r="F11137" i="1"/>
  <c r="B11137" i="1" s="1"/>
  <c r="F11138" i="1"/>
  <c r="B11138" i="1" s="1"/>
  <c r="F11139" i="1"/>
  <c r="B11139" i="1" s="1"/>
  <c r="F11140" i="1"/>
  <c r="B11140" i="1" s="1"/>
  <c r="F11141" i="1"/>
  <c r="B11141" i="1" s="1"/>
  <c r="F11142" i="1"/>
  <c r="B11142" i="1" s="1"/>
  <c r="F11143" i="1"/>
  <c r="B11143" i="1" s="1"/>
  <c r="F11144" i="1"/>
  <c r="B11144" i="1" s="1"/>
  <c r="F11145" i="1"/>
  <c r="B11145" i="1" s="1"/>
  <c r="F11146" i="1"/>
  <c r="B11146" i="1" s="1"/>
  <c r="F11147" i="1"/>
  <c r="B11147" i="1" s="1"/>
  <c r="F11148" i="1"/>
  <c r="B11148" i="1" s="1"/>
  <c r="F11149" i="1"/>
  <c r="B11149" i="1" s="1"/>
  <c r="F11150" i="1"/>
  <c r="B11150" i="1" s="1"/>
  <c r="F11151" i="1"/>
  <c r="B11151" i="1" s="1"/>
  <c r="F11152" i="1"/>
  <c r="B11152" i="1" s="1"/>
  <c r="F11153" i="1"/>
  <c r="B11153" i="1" s="1"/>
  <c r="F11154" i="1"/>
  <c r="B11154" i="1" s="1"/>
  <c r="F11155" i="1"/>
  <c r="B11155" i="1" s="1"/>
  <c r="F11156" i="1"/>
  <c r="B11156" i="1" s="1"/>
  <c r="F11157" i="1"/>
  <c r="B11157" i="1" s="1"/>
  <c r="F11158" i="1"/>
  <c r="B11158" i="1" s="1"/>
  <c r="F11159" i="1"/>
  <c r="B11159" i="1" s="1"/>
  <c r="F11160" i="1"/>
  <c r="B11160" i="1" s="1"/>
  <c r="F11161" i="1"/>
  <c r="B11161" i="1" s="1"/>
  <c r="F11162" i="1"/>
  <c r="B11162" i="1" s="1"/>
  <c r="F11163" i="1"/>
  <c r="B11163" i="1" s="1"/>
  <c r="F11164" i="1"/>
  <c r="B11164" i="1" s="1"/>
  <c r="F11165" i="1"/>
  <c r="B11165" i="1" s="1"/>
  <c r="F11166" i="1"/>
  <c r="B11166" i="1" s="1"/>
  <c r="F11167" i="1"/>
  <c r="B11167" i="1" s="1"/>
  <c r="F11168" i="1"/>
  <c r="B11168" i="1" s="1"/>
  <c r="F11169" i="1"/>
  <c r="B11169" i="1" s="1"/>
  <c r="F11170" i="1"/>
  <c r="B11170" i="1" s="1"/>
  <c r="F11171" i="1"/>
  <c r="B11171" i="1" s="1"/>
  <c r="F11172" i="1"/>
  <c r="B11172" i="1" s="1"/>
  <c r="F11173" i="1"/>
  <c r="B11173" i="1" s="1"/>
  <c r="F11174" i="1"/>
  <c r="B11174" i="1" s="1"/>
  <c r="F11175" i="1"/>
  <c r="B11175" i="1" s="1"/>
  <c r="F11176" i="1"/>
  <c r="B11176" i="1" s="1"/>
  <c r="F11177" i="1"/>
  <c r="B11177" i="1" s="1"/>
  <c r="F11178" i="1"/>
  <c r="B11178" i="1" s="1"/>
  <c r="F11179" i="1"/>
  <c r="B11179" i="1" s="1"/>
  <c r="F11180" i="1"/>
  <c r="B11180" i="1" s="1"/>
  <c r="F11181" i="1"/>
  <c r="B11181" i="1" s="1"/>
  <c r="F11182" i="1"/>
  <c r="B11182" i="1" s="1"/>
  <c r="F11183" i="1"/>
  <c r="B11183" i="1" s="1"/>
  <c r="F11184" i="1"/>
  <c r="B11184" i="1" s="1"/>
  <c r="F11185" i="1"/>
  <c r="B11185" i="1" s="1"/>
  <c r="F11186" i="1"/>
  <c r="B11186" i="1" s="1"/>
  <c r="F11187" i="1"/>
  <c r="B11187" i="1" s="1"/>
  <c r="F11188" i="1"/>
  <c r="B11188" i="1" s="1"/>
  <c r="F11189" i="1"/>
  <c r="B11189" i="1" s="1"/>
  <c r="F11190" i="1"/>
  <c r="B11190" i="1" s="1"/>
  <c r="F11191" i="1"/>
  <c r="B11191" i="1" s="1"/>
  <c r="F11192" i="1"/>
  <c r="B11192" i="1" s="1"/>
  <c r="F11193" i="1"/>
  <c r="B11193" i="1" s="1"/>
  <c r="F11194" i="1"/>
  <c r="B11194" i="1" s="1"/>
  <c r="F11195" i="1"/>
  <c r="B11195" i="1" s="1"/>
  <c r="F11196" i="1"/>
  <c r="B11196" i="1" s="1"/>
  <c r="F11197" i="1"/>
  <c r="B11197" i="1" s="1"/>
  <c r="F11198" i="1"/>
  <c r="B11198" i="1" s="1"/>
  <c r="F11199" i="1"/>
  <c r="B11199" i="1" s="1"/>
  <c r="F11200" i="1"/>
  <c r="B11200" i="1" s="1"/>
  <c r="F11201" i="1"/>
  <c r="B11201" i="1" s="1"/>
  <c r="F11202" i="1"/>
  <c r="B11202" i="1" s="1"/>
  <c r="F11203" i="1"/>
  <c r="B11203" i="1" s="1"/>
  <c r="F11204" i="1"/>
  <c r="B11204" i="1" s="1"/>
  <c r="F11205" i="1"/>
  <c r="B11205" i="1" s="1"/>
  <c r="F11206" i="1"/>
  <c r="B11206" i="1" s="1"/>
  <c r="F11207" i="1"/>
  <c r="B11207" i="1" s="1"/>
  <c r="F11208" i="1"/>
  <c r="B11208" i="1" s="1"/>
  <c r="F11209" i="1"/>
  <c r="B11209" i="1" s="1"/>
  <c r="F11210" i="1"/>
  <c r="B11210" i="1" s="1"/>
  <c r="F11211" i="1"/>
  <c r="B11211" i="1" s="1"/>
  <c r="F11212" i="1"/>
  <c r="B11212" i="1" s="1"/>
  <c r="F11213" i="1"/>
  <c r="B11213" i="1" s="1"/>
  <c r="F11214" i="1"/>
  <c r="B11214" i="1" s="1"/>
  <c r="F11215" i="1"/>
  <c r="B11215" i="1" s="1"/>
  <c r="F11216" i="1"/>
  <c r="B11216" i="1" s="1"/>
  <c r="F11217" i="1"/>
  <c r="B11217" i="1" s="1"/>
  <c r="F11218" i="1"/>
  <c r="B11218" i="1" s="1"/>
  <c r="F11219" i="1"/>
  <c r="B11219" i="1" s="1"/>
  <c r="F11220" i="1"/>
  <c r="B11220" i="1" s="1"/>
  <c r="F11221" i="1"/>
  <c r="B11221" i="1" s="1"/>
  <c r="F11222" i="1"/>
  <c r="B11222" i="1" s="1"/>
  <c r="F11223" i="1"/>
  <c r="B11223" i="1" s="1"/>
  <c r="F11224" i="1"/>
  <c r="B11224" i="1" s="1"/>
  <c r="F11225" i="1"/>
  <c r="B11225" i="1" s="1"/>
  <c r="F11226" i="1"/>
  <c r="B11226" i="1" s="1"/>
  <c r="F11227" i="1"/>
  <c r="B11227" i="1" s="1"/>
  <c r="F11228" i="1"/>
  <c r="B11228" i="1" s="1"/>
  <c r="F11229" i="1"/>
  <c r="B11229" i="1" s="1"/>
  <c r="F11230" i="1"/>
  <c r="B11230" i="1" s="1"/>
  <c r="F11231" i="1"/>
  <c r="B11231" i="1" s="1"/>
  <c r="F11232" i="1"/>
  <c r="B11232" i="1" s="1"/>
  <c r="F11233" i="1"/>
  <c r="B11233" i="1" s="1"/>
  <c r="F11234" i="1"/>
  <c r="B11234" i="1" s="1"/>
  <c r="F11235" i="1"/>
  <c r="B11235" i="1" s="1"/>
  <c r="F11236" i="1"/>
  <c r="B11236" i="1" s="1"/>
  <c r="F11237" i="1"/>
  <c r="B11237" i="1" s="1"/>
  <c r="F11238" i="1"/>
  <c r="B11238" i="1" s="1"/>
  <c r="F11239" i="1"/>
  <c r="B11239" i="1" s="1"/>
  <c r="F11240" i="1"/>
  <c r="B11240" i="1" s="1"/>
  <c r="F11241" i="1"/>
  <c r="B11241" i="1" s="1"/>
  <c r="F11242" i="1"/>
  <c r="B11242" i="1" s="1"/>
  <c r="F11243" i="1"/>
  <c r="B11243" i="1" s="1"/>
  <c r="F11244" i="1"/>
  <c r="B11244" i="1" s="1"/>
  <c r="F11245" i="1"/>
  <c r="B11245" i="1" s="1"/>
  <c r="F11246" i="1"/>
  <c r="B11246" i="1" s="1"/>
  <c r="F11247" i="1"/>
  <c r="B11247" i="1" s="1"/>
  <c r="F11248" i="1"/>
  <c r="B11248" i="1" s="1"/>
  <c r="F11249" i="1"/>
  <c r="B11249" i="1" s="1"/>
  <c r="F11250" i="1"/>
  <c r="B11250" i="1" s="1"/>
  <c r="F11251" i="1"/>
  <c r="B11251" i="1" s="1"/>
  <c r="F11252" i="1"/>
  <c r="B11252" i="1" s="1"/>
  <c r="F11253" i="1"/>
  <c r="B11253" i="1" s="1"/>
  <c r="F11254" i="1"/>
  <c r="B11254" i="1" s="1"/>
  <c r="F11255" i="1"/>
  <c r="B11255" i="1" s="1"/>
  <c r="F11256" i="1"/>
  <c r="B11256" i="1" s="1"/>
  <c r="F11257" i="1"/>
  <c r="B11257" i="1" s="1"/>
  <c r="F11258" i="1"/>
  <c r="B11258" i="1" s="1"/>
  <c r="F11259" i="1"/>
  <c r="B11259" i="1" s="1"/>
  <c r="F11260" i="1"/>
  <c r="B11260" i="1" s="1"/>
  <c r="F11261" i="1"/>
  <c r="B11261" i="1" s="1"/>
  <c r="F11262" i="1"/>
  <c r="B11262" i="1" s="1"/>
  <c r="F11263" i="1"/>
  <c r="B11263" i="1" s="1"/>
  <c r="F11264" i="1"/>
  <c r="B11264" i="1" s="1"/>
  <c r="F11265" i="1"/>
  <c r="B11265" i="1" s="1"/>
  <c r="F11266" i="1"/>
  <c r="B11266" i="1" s="1"/>
  <c r="F11267" i="1"/>
  <c r="B11267" i="1" s="1"/>
  <c r="F11268" i="1"/>
  <c r="B11268" i="1" s="1"/>
  <c r="F11269" i="1"/>
  <c r="B11269" i="1" s="1"/>
  <c r="F11270" i="1"/>
  <c r="B11270" i="1" s="1"/>
  <c r="F11271" i="1"/>
  <c r="B11271" i="1" s="1"/>
  <c r="F11272" i="1"/>
  <c r="B11272" i="1" s="1"/>
  <c r="F11273" i="1"/>
  <c r="B11273" i="1" s="1"/>
  <c r="F11274" i="1"/>
  <c r="B11274" i="1" s="1"/>
  <c r="F11275" i="1"/>
  <c r="B11275" i="1" s="1"/>
  <c r="F11276" i="1"/>
  <c r="B11276" i="1" s="1"/>
  <c r="F11277" i="1"/>
  <c r="B11277" i="1" s="1"/>
  <c r="F11278" i="1"/>
  <c r="B11278" i="1" s="1"/>
  <c r="F11279" i="1"/>
  <c r="B11279" i="1" s="1"/>
  <c r="F11280" i="1"/>
  <c r="B11280" i="1" s="1"/>
  <c r="F11281" i="1"/>
  <c r="B11281" i="1" s="1"/>
  <c r="F11282" i="1"/>
  <c r="B11282" i="1" s="1"/>
  <c r="F11283" i="1"/>
  <c r="B11283" i="1" s="1"/>
  <c r="F11284" i="1"/>
  <c r="B11284" i="1" s="1"/>
  <c r="F11285" i="1"/>
  <c r="B11285" i="1" s="1"/>
  <c r="F11286" i="1"/>
  <c r="B11286" i="1" s="1"/>
  <c r="F11287" i="1"/>
  <c r="B11287" i="1" s="1"/>
  <c r="F11288" i="1"/>
  <c r="B11288" i="1" s="1"/>
  <c r="F11289" i="1"/>
  <c r="B11289" i="1" s="1"/>
  <c r="F11290" i="1"/>
  <c r="B11290" i="1" s="1"/>
  <c r="F11291" i="1"/>
  <c r="B11291" i="1" s="1"/>
  <c r="F11292" i="1"/>
  <c r="B11292" i="1" s="1"/>
  <c r="F11293" i="1"/>
  <c r="B11293" i="1" s="1"/>
  <c r="F11294" i="1"/>
  <c r="B11294" i="1" s="1"/>
  <c r="F11295" i="1"/>
  <c r="B11295" i="1" s="1"/>
  <c r="F11296" i="1"/>
  <c r="B11296" i="1" s="1"/>
  <c r="F11297" i="1"/>
  <c r="B11297" i="1" s="1"/>
  <c r="F11298" i="1"/>
  <c r="B11298" i="1" s="1"/>
  <c r="F11299" i="1"/>
  <c r="B11299" i="1" s="1"/>
  <c r="F11300" i="1"/>
  <c r="B11300" i="1" s="1"/>
  <c r="F11301" i="1"/>
  <c r="B11301" i="1" s="1"/>
  <c r="F11302" i="1"/>
  <c r="B11302" i="1" s="1"/>
  <c r="F11303" i="1"/>
  <c r="B11303" i="1" s="1"/>
  <c r="F11304" i="1"/>
  <c r="B11304" i="1" s="1"/>
  <c r="F11305" i="1"/>
  <c r="B11305" i="1" s="1"/>
  <c r="F11306" i="1"/>
  <c r="B11306" i="1" s="1"/>
  <c r="F11307" i="1"/>
  <c r="B11307" i="1" s="1"/>
  <c r="F11308" i="1"/>
  <c r="B11308" i="1" s="1"/>
  <c r="F11309" i="1"/>
  <c r="B11309" i="1" s="1"/>
  <c r="F11310" i="1"/>
  <c r="B11310" i="1" s="1"/>
  <c r="F11311" i="1"/>
  <c r="B11311" i="1" s="1"/>
  <c r="F11312" i="1"/>
  <c r="B11312" i="1" s="1"/>
  <c r="F11313" i="1"/>
  <c r="B11313" i="1" s="1"/>
  <c r="F11314" i="1"/>
  <c r="B11314" i="1" s="1"/>
  <c r="F11315" i="1"/>
  <c r="B11315" i="1" s="1"/>
  <c r="F11316" i="1"/>
  <c r="B11316" i="1" s="1"/>
  <c r="F11317" i="1"/>
  <c r="B11317" i="1" s="1"/>
  <c r="F11318" i="1"/>
  <c r="B11318" i="1" s="1"/>
  <c r="F11319" i="1"/>
  <c r="B11319" i="1" s="1"/>
  <c r="F11320" i="1"/>
  <c r="B11320" i="1" s="1"/>
  <c r="F11321" i="1"/>
  <c r="B11321" i="1" s="1"/>
  <c r="F11322" i="1"/>
  <c r="B11322" i="1" s="1"/>
  <c r="F11323" i="1"/>
  <c r="B11323" i="1" s="1"/>
  <c r="F11324" i="1"/>
  <c r="B11324" i="1" s="1"/>
  <c r="F11325" i="1"/>
  <c r="B11325" i="1" s="1"/>
  <c r="F11326" i="1"/>
  <c r="B11326" i="1" s="1"/>
  <c r="F11327" i="1"/>
  <c r="B11327" i="1" s="1"/>
  <c r="F11328" i="1"/>
  <c r="B11328" i="1" s="1"/>
  <c r="F11329" i="1"/>
  <c r="B11329" i="1" s="1"/>
  <c r="F11330" i="1"/>
  <c r="B11330" i="1" s="1"/>
  <c r="F11331" i="1"/>
  <c r="B11331" i="1" s="1"/>
  <c r="F11332" i="1"/>
  <c r="B11332" i="1" s="1"/>
  <c r="F11333" i="1"/>
  <c r="B11333" i="1" s="1"/>
  <c r="F11334" i="1"/>
  <c r="B11334" i="1" s="1"/>
  <c r="F11335" i="1"/>
  <c r="B11335" i="1" s="1"/>
  <c r="F11336" i="1"/>
  <c r="B11336" i="1" s="1"/>
  <c r="F11337" i="1"/>
  <c r="B11337" i="1" s="1"/>
  <c r="F11338" i="1"/>
  <c r="B11338" i="1" s="1"/>
  <c r="F11339" i="1"/>
  <c r="B11339" i="1" s="1"/>
  <c r="F11340" i="1"/>
  <c r="B11340" i="1" s="1"/>
  <c r="F11341" i="1"/>
  <c r="B11341" i="1" s="1"/>
  <c r="F11342" i="1"/>
  <c r="B11342" i="1" s="1"/>
  <c r="F11343" i="1"/>
  <c r="B11343" i="1" s="1"/>
  <c r="F11344" i="1"/>
  <c r="B11344" i="1" s="1"/>
  <c r="F11345" i="1"/>
  <c r="B11345" i="1" s="1"/>
  <c r="F11346" i="1"/>
  <c r="B11346" i="1" s="1"/>
  <c r="F11347" i="1"/>
  <c r="B11347" i="1" s="1"/>
  <c r="F11348" i="1"/>
  <c r="B11348" i="1" s="1"/>
  <c r="F11349" i="1"/>
  <c r="B11349" i="1" s="1"/>
  <c r="F11350" i="1"/>
  <c r="B11350" i="1" s="1"/>
  <c r="F11351" i="1"/>
  <c r="B11351" i="1" s="1"/>
  <c r="F11352" i="1"/>
  <c r="B11352" i="1" s="1"/>
  <c r="F11353" i="1"/>
  <c r="B11353" i="1" s="1"/>
  <c r="F11354" i="1"/>
  <c r="B11354" i="1" s="1"/>
  <c r="F11355" i="1"/>
  <c r="B11355" i="1" s="1"/>
  <c r="F11356" i="1"/>
  <c r="B11356" i="1" s="1"/>
  <c r="F11357" i="1"/>
  <c r="B11357" i="1" s="1"/>
  <c r="F11358" i="1"/>
  <c r="B11358" i="1" s="1"/>
  <c r="F11359" i="1"/>
  <c r="B11359" i="1" s="1"/>
  <c r="F11360" i="1"/>
  <c r="B11360" i="1" s="1"/>
  <c r="F11361" i="1"/>
  <c r="B11361" i="1" s="1"/>
  <c r="F11362" i="1"/>
  <c r="B11362" i="1" s="1"/>
  <c r="F11363" i="1"/>
  <c r="B11363" i="1" s="1"/>
  <c r="F11364" i="1"/>
  <c r="B11364" i="1" s="1"/>
  <c r="F11365" i="1"/>
  <c r="B11365" i="1" s="1"/>
  <c r="F11366" i="1"/>
  <c r="B11366" i="1" s="1"/>
  <c r="F11367" i="1"/>
  <c r="B11367" i="1" s="1"/>
  <c r="F11368" i="1"/>
  <c r="B11368" i="1" s="1"/>
  <c r="F11369" i="1"/>
  <c r="B11369" i="1" s="1"/>
  <c r="F11370" i="1"/>
  <c r="B11370" i="1" s="1"/>
  <c r="F11371" i="1"/>
  <c r="B11371" i="1" s="1"/>
  <c r="F11372" i="1"/>
  <c r="B11372" i="1" s="1"/>
  <c r="F11373" i="1"/>
  <c r="B11373" i="1" s="1"/>
  <c r="F11374" i="1"/>
  <c r="B11374" i="1" s="1"/>
  <c r="F11375" i="1"/>
  <c r="B11375" i="1" s="1"/>
  <c r="F11376" i="1"/>
  <c r="B11376" i="1" s="1"/>
  <c r="F11377" i="1"/>
  <c r="B11377" i="1" s="1"/>
  <c r="F11378" i="1"/>
  <c r="B11378" i="1" s="1"/>
  <c r="F11379" i="1"/>
  <c r="B11379" i="1" s="1"/>
  <c r="F11380" i="1"/>
  <c r="B11380" i="1" s="1"/>
  <c r="F11381" i="1"/>
  <c r="B11381" i="1" s="1"/>
  <c r="F11382" i="1"/>
  <c r="B11382" i="1" s="1"/>
  <c r="F11383" i="1"/>
  <c r="B11383" i="1" s="1"/>
  <c r="F11384" i="1"/>
  <c r="B11384" i="1" s="1"/>
  <c r="F11385" i="1"/>
  <c r="B11385" i="1" s="1"/>
  <c r="F11386" i="1"/>
  <c r="B11386" i="1" s="1"/>
  <c r="F11387" i="1"/>
  <c r="B11387" i="1" s="1"/>
  <c r="F11388" i="1"/>
  <c r="B11388" i="1" s="1"/>
  <c r="F11389" i="1"/>
  <c r="B11389" i="1" s="1"/>
  <c r="F11390" i="1"/>
  <c r="B11390" i="1" s="1"/>
  <c r="F11391" i="1"/>
  <c r="B11391" i="1" s="1"/>
  <c r="F11392" i="1"/>
  <c r="B11392" i="1" s="1"/>
  <c r="F11393" i="1"/>
  <c r="B11393" i="1" s="1"/>
  <c r="F11394" i="1"/>
  <c r="B11394" i="1" s="1"/>
  <c r="F11395" i="1"/>
  <c r="B11395" i="1" s="1"/>
  <c r="F11396" i="1"/>
  <c r="B11396" i="1" s="1"/>
  <c r="F11397" i="1"/>
  <c r="B11397" i="1" s="1"/>
  <c r="F11398" i="1"/>
  <c r="B11398" i="1" s="1"/>
  <c r="F11399" i="1"/>
  <c r="B11399" i="1" s="1"/>
  <c r="F11400" i="1"/>
  <c r="B11400" i="1" s="1"/>
  <c r="F11401" i="1"/>
  <c r="B11401" i="1" s="1"/>
  <c r="F11402" i="1"/>
  <c r="B11402" i="1" s="1"/>
  <c r="F11403" i="1"/>
  <c r="B11403" i="1" s="1"/>
  <c r="F11404" i="1"/>
  <c r="B11404" i="1" s="1"/>
  <c r="F11405" i="1"/>
  <c r="B11405" i="1" s="1"/>
  <c r="F11406" i="1"/>
  <c r="B11406" i="1" s="1"/>
  <c r="F11407" i="1"/>
  <c r="B11407" i="1" s="1"/>
  <c r="F11408" i="1"/>
  <c r="B11408" i="1" s="1"/>
  <c r="F11409" i="1"/>
  <c r="B11409" i="1" s="1"/>
  <c r="F11410" i="1"/>
  <c r="B11410" i="1" s="1"/>
  <c r="F11411" i="1"/>
  <c r="B11411" i="1" s="1"/>
  <c r="F11412" i="1"/>
  <c r="B11412" i="1" s="1"/>
  <c r="F11413" i="1"/>
  <c r="B11413" i="1" s="1"/>
  <c r="F11414" i="1"/>
  <c r="B11414" i="1" s="1"/>
  <c r="F11415" i="1"/>
  <c r="B11415" i="1" s="1"/>
  <c r="F11416" i="1"/>
  <c r="B11416" i="1" s="1"/>
  <c r="F11417" i="1"/>
  <c r="B11417" i="1" s="1"/>
  <c r="F11418" i="1"/>
  <c r="B11418" i="1" s="1"/>
  <c r="F11419" i="1"/>
  <c r="F11420" i="1"/>
  <c r="B11420" i="1" s="1"/>
  <c r="F11421" i="1"/>
  <c r="B11421" i="1" s="1"/>
  <c r="F11422" i="1"/>
  <c r="B11422" i="1" s="1"/>
  <c r="F11423" i="1"/>
  <c r="B11423" i="1" s="1"/>
  <c r="F11424" i="1"/>
  <c r="B11424" i="1" s="1"/>
  <c r="F11425" i="1"/>
  <c r="B11425" i="1" s="1"/>
  <c r="F11426" i="1"/>
  <c r="B11426" i="1" s="1"/>
  <c r="F11427" i="1"/>
  <c r="B11427" i="1" s="1"/>
  <c r="F11428" i="1"/>
  <c r="B11428" i="1" s="1"/>
  <c r="F11429" i="1"/>
  <c r="B11429" i="1" s="1"/>
  <c r="F11430" i="1"/>
  <c r="B11430" i="1" s="1"/>
  <c r="F11431" i="1"/>
  <c r="B11431" i="1" s="1"/>
  <c r="F11432" i="1"/>
  <c r="B11432" i="1" s="1"/>
  <c r="F11433" i="1"/>
  <c r="B11433" i="1" s="1"/>
  <c r="F11434" i="1"/>
  <c r="B11434" i="1" s="1"/>
  <c r="F11435" i="1"/>
  <c r="B11435" i="1" s="1"/>
  <c r="F11436" i="1"/>
  <c r="B11436" i="1" s="1"/>
  <c r="F11437" i="1"/>
  <c r="B11437" i="1" s="1"/>
  <c r="F11438" i="1"/>
  <c r="B11438" i="1" s="1"/>
  <c r="F11439" i="1"/>
  <c r="B11439" i="1" s="1"/>
  <c r="F11440" i="1"/>
  <c r="B11440" i="1" s="1"/>
  <c r="F11441" i="1"/>
  <c r="B11441" i="1" s="1"/>
  <c r="F11442" i="1"/>
  <c r="B11442" i="1" s="1"/>
  <c r="F11443" i="1"/>
  <c r="B11443" i="1" s="1"/>
  <c r="F11444" i="1"/>
  <c r="B11444" i="1" s="1"/>
  <c r="F11445" i="1"/>
  <c r="B11445" i="1" s="1"/>
  <c r="F11446" i="1"/>
  <c r="B11446" i="1" s="1"/>
  <c r="F11447" i="1"/>
  <c r="B11447" i="1" s="1"/>
  <c r="F11448" i="1"/>
  <c r="B11448" i="1" s="1"/>
  <c r="F11449" i="1"/>
  <c r="B11449" i="1" s="1"/>
  <c r="F11450" i="1"/>
  <c r="B11450" i="1" s="1"/>
  <c r="F11451" i="1"/>
  <c r="B11451" i="1" s="1"/>
  <c r="F11452" i="1"/>
  <c r="B11452" i="1" s="1"/>
  <c r="F11453" i="1"/>
  <c r="B11453" i="1" s="1"/>
  <c r="F11454" i="1"/>
  <c r="B11454" i="1" s="1"/>
  <c r="F11455" i="1"/>
  <c r="B11455" i="1" s="1"/>
  <c r="F11456" i="1"/>
  <c r="B11456" i="1" s="1"/>
  <c r="F11457" i="1"/>
  <c r="B11457" i="1" s="1"/>
  <c r="F11458" i="1"/>
  <c r="B11458" i="1" s="1"/>
  <c r="F11459" i="1"/>
  <c r="B11459" i="1" s="1"/>
  <c r="F11460" i="1"/>
  <c r="B11460" i="1" s="1"/>
  <c r="F11461" i="1"/>
  <c r="B11461" i="1" s="1"/>
  <c r="F11462" i="1"/>
  <c r="B11462" i="1" s="1"/>
  <c r="F11463" i="1"/>
  <c r="B11463" i="1" s="1"/>
  <c r="F11464" i="1"/>
  <c r="B11464" i="1" s="1"/>
  <c r="F11465" i="1"/>
  <c r="B11465" i="1" s="1"/>
  <c r="F11466" i="1"/>
  <c r="B11466" i="1" s="1"/>
  <c r="F11467" i="1"/>
  <c r="B11467" i="1" s="1"/>
  <c r="F11468" i="1"/>
  <c r="B11468" i="1" s="1"/>
  <c r="F11469" i="1"/>
  <c r="B11469" i="1" s="1"/>
  <c r="F11470" i="1"/>
  <c r="B11470" i="1" s="1"/>
  <c r="F11471" i="1"/>
  <c r="B11471" i="1" s="1"/>
  <c r="F11472" i="1"/>
  <c r="B11472" i="1" s="1"/>
  <c r="F11473" i="1"/>
  <c r="B11473" i="1" s="1"/>
  <c r="F11474" i="1"/>
  <c r="B11474" i="1" s="1"/>
  <c r="F11475" i="1"/>
  <c r="B11475" i="1" s="1"/>
  <c r="F11476" i="1"/>
  <c r="B11476" i="1" s="1"/>
  <c r="F11477" i="1"/>
  <c r="B11477" i="1" s="1"/>
  <c r="F11478" i="1"/>
  <c r="B11478" i="1" s="1"/>
  <c r="F11479" i="1"/>
  <c r="B11479" i="1" s="1"/>
  <c r="F11480" i="1"/>
  <c r="B11480" i="1" s="1"/>
  <c r="F11481" i="1"/>
  <c r="B11481" i="1" s="1"/>
  <c r="F11482" i="1"/>
  <c r="B11482" i="1" s="1"/>
  <c r="F11483" i="1"/>
  <c r="B11483" i="1" s="1"/>
  <c r="F11484" i="1"/>
  <c r="B11484" i="1" s="1"/>
  <c r="F11485" i="1"/>
  <c r="B11485" i="1" s="1"/>
  <c r="F11486" i="1"/>
  <c r="B11486" i="1" s="1"/>
  <c r="F11487" i="1"/>
  <c r="B11487" i="1" s="1"/>
  <c r="F11488" i="1"/>
  <c r="B11488" i="1" s="1"/>
  <c r="F11489" i="1"/>
  <c r="B11489" i="1" s="1"/>
  <c r="F11490" i="1"/>
  <c r="B11490" i="1" s="1"/>
  <c r="F11491" i="1"/>
  <c r="B11491" i="1" s="1"/>
  <c r="F11492" i="1"/>
  <c r="B11492" i="1" s="1"/>
  <c r="F11493" i="1"/>
  <c r="B11493" i="1" s="1"/>
  <c r="F11494" i="1"/>
  <c r="B11494" i="1" s="1"/>
  <c r="F11495" i="1"/>
  <c r="B11495" i="1" s="1"/>
  <c r="F11496" i="1"/>
  <c r="B11496" i="1" s="1"/>
  <c r="F11497" i="1"/>
  <c r="B11497" i="1" s="1"/>
  <c r="F11498" i="1"/>
  <c r="B11498" i="1" s="1"/>
  <c r="F11499" i="1"/>
  <c r="B11499" i="1" s="1"/>
  <c r="F11500" i="1"/>
  <c r="B11500" i="1" s="1"/>
  <c r="F11501" i="1"/>
  <c r="B11501" i="1" s="1"/>
  <c r="F11502" i="1"/>
  <c r="B11502" i="1" s="1"/>
  <c r="F11503" i="1"/>
  <c r="B11503" i="1" s="1"/>
  <c r="F11504" i="1"/>
  <c r="B11504" i="1" s="1"/>
  <c r="F11505" i="1"/>
  <c r="B11505" i="1" s="1"/>
  <c r="F11506" i="1"/>
  <c r="B11506" i="1" s="1"/>
  <c r="F11507" i="1"/>
  <c r="B11507" i="1" s="1"/>
  <c r="F11508" i="1"/>
  <c r="B11508" i="1" s="1"/>
  <c r="F11509" i="1"/>
  <c r="B11509" i="1" s="1"/>
  <c r="F11510" i="1"/>
  <c r="B11510" i="1" s="1"/>
  <c r="F11511" i="1"/>
  <c r="B11511" i="1" s="1"/>
  <c r="F11512" i="1"/>
  <c r="B11512" i="1" s="1"/>
  <c r="F11513" i="1"/>
  <c r="B11513" i="1" s="1"/>
  <c r="F11514" i="1"/>
  <c r="B11514" i="1" s="1"/>
  <c r="F11515" i="1"/>
  <c r="B11515" i="1" s="1"/>
  <c r="F11516" i="1"/>
  <c r="B11516" i="1" s="1"/>
  <c r="F11517" i="1"/>
  <c r="B11517" i="1" s="1"/>
  <c r="F11518" i="1"/>
  <c r="B11518" i="1" s="1"/>
  <c r="F11519" i="1"/>
  <c r="B11519" i="1" s="1"/>
  <c r="F11520" i="1"/>
  <c r="B11520" i="1" s="1"/>
  <c r="F11521" i="1"/>
  <c r="B11521" i="1" s="1"/>
  <c r="F11522" i="1"/>
  <c r="B11522" i="1" s="1"/>
  <c r="F11523" i="1"/>
  <c r="B11523" i="1" s="1"/>
  <c r="F11524" i="1"/>
  <c r="B11524" i="1" s="1"/>
  <c r="F11525" i="1"/>
  <c r="B11525" i="1" s="1"/>
  <c r="F11526" i="1"/>
  <c r="B11526" i="1" s="1"/>
  <c r="F11527" i="1"/>
  <c r="B11527" i="1" s="1"/>
  <c r="F11528" i="1"/>
  <c r="B11528" i="1" s="1"/>
  <c r="F11529" i="1"/>
  <c r="B11529" i="1" s="1"/>
  <c r="F11530" i="1"/>
  <c r="B11530" i="1" s="1"/>
  <c r="F11531" i="1"/>
  <c r="B11531" i="1" s="1"/>
  <c r="F11532" i="1"/>
  <c r="B11532" i="1" s="1"/>
  <c r="F11533" i="1"/>
  <c r="B11533" i="1" s="1"/>
  <c r="F11534" i="1"/>
  <c r="B11534" i="1" s="1"/>
  <c r="F11535" i="1"/>
  <c r="B11535" i="1" s="1"/>
  <c r="F11536" i="1"/>
  <c r="B11536" i="1" s="1"/>
  <c r="F11537" i="1"/>
  <c r="B11537" i="1" s="1"/>
  <c r="F11538" i="1"/>
  <c r="B11538" i="1" s="1"/>
  <c r="F11539" i="1"/>
  <c r="B11539" i="1" s="1"/>
  <c r="F11540" i="1"/>
  <c r="B11540" i="1" s="1"/>
  <c r="F11541" i="1"/>
  <c r="B11541" i="1" s="1"/>
  <c r="F11542" i="1"/>
  <c r="B11542" i="1" s="1"/>
  <c r="F11543" i="1"/>
  <c r="B11543" i="1" s="1"/>
  <c r="F11544" i="1"/>
  <c r="B11544" i="1" s="1"/>
  <c r="F11545" i="1"/>
  <c r="B11545" i="1" s="1"/>
  <c r="F11546" i="1"/>
  <c r="B11546" i="1" s="1"/>
  <c r="F11547" i="1"/>
  <c r="B11547" i="1" s="1"/>
  <c r="F11548" i="1"/>
  <c r="B11548" i="1" s="1"/>
  <c r="F11549" i="1"/>
  <c r="B11549" i="1" s="1"/>
  <c r="F11550" i="1"/>
  <c r="B11550" i="1" s="1"/>
  <c r="F11551" i="1"/>
  <c r="B11551" i="1" s="1"/>
  <c r="F11552" i="1"/>
  <c r="B11552" i="1" s="1"/>
  <c r="F11553" i="1"/>
  <c r="B11553" i="1" s="1"/>
  <c r="F11554" i="1"/>
  <c r="B11554" i="1" s="1"/>
  <c r="F11555" i="1"/>
  <c r="B11555" i="1" s="1"/>
  <c r="F11556" i="1"/>
  <c r="B11556" i="1" s="1"/>
  <c r="F11557" i="1"/>
  <c r="B11557" i="1" s="1"/>
  <c r="F11558" i="1"/>
  <c r="B11558" i="1" s="1"/>
  <c r="F11559" i="1"/>
  <c r="B11559" i="1" s="1"/>
  <c r="F11560" i="1"/>
  <c r="B11560" i="1" s="1"/>
  <c r="F11561" i="1"/>
  <c r="B11561" i="1" s="1"/>
  <c r="F11562" i="1"/>
  <c r="B11562" i="1" s="1"/>
  <c r="F11563" i="1"/>
  <c r="B11563" i="1" s="1"/>
  <c r="F11564" i="1"/>
  <c r="B11564" i="1" s="1"/>
  <c r="F11565" i="1"/>
  <c r="B11565" i="1" s="1"/>
  <c r="F11566" i="1"/>
  <c r="B11566" i="1" s="1"/>
  <c r="F11567" i="1"/>
  <c r="B11567" i="1" s="1"/>
  <c r="F11568" i="1"/>
  <c r="B11568" i="1" s="1"/>
  <c r="F11569" i="1"/>
  <c r="B11569" i="1" s="1"/>
  <c r="F11570" i="1"/>
  <c r="B11570" i="1" s="1"/>
  <c r="F11571" i="1"/>
  <c r="B11571" i="1" s="1"/>
  <c r="F11572" i="1"/>
  <c r="B11572" i="1" s="1"/>
  <c r="F11573" i="1"/>
  <c r="B11573" i="1" s="1"/>
  <c r="F11574" i="1"/>
  <c r="B11574" i="1" s="1"/>
  <c r="F11575" i="1"/>
  <c r="B11575" i="1" s="1"/>
  <c r="F11576" i="1"/>
  <c r="B11576" i="1" s="1"/>
  <c r="F11577" i="1"/>
  <c r="B11577" i="1" s="1"/>
  <c r="F11578" i="1"/>
  <c r="B11578" i="1" s="1"/>
  <c r="F11579" i="1"/>
  <c r="B11579" i="1" s="1"/>
  <c r="F11580" i="1"/>
  <c r="B11580" i="1" s="1"/>
  <c r="F11581" i="1"/>
  <c r="B11581" i="1" s="1"/>
  <c r="F11582" i="1"/>
  <c r="B11582" i="1" s="1"/>
  <c r="F11583" i="1"/>
  <c r="B11583" i="1" s="1"/>
  <c r="F11584" i="1"/>
  <c r="B11584" i="1" s="1"/>
  <c r="F11585" i="1"/>
  <c r="B11585" i="1" s="1"/>
  <c r="F11586" i="1"/>
  <c r="B11586" i="1" s="1"/>
  <c r="F11587" i="1"/>
  <c r="B11587" i="1" s="1"/>
  <c r="F11588" i="1"/>
  <c r="B11588" i="1" s="1"/>
  <c r="F11589" i="1"/>
  <c r="B11589" i="1" s="1"/>
  <c r="F11590" i="1"/>
  <c r="B11590" i="1" s="1"/>
  <c r="F11591" i="1"/>
  <c r="B11591" i="1" s="1"/>
  <c r="F11592" i="1"/>
  <c r="B11592" i="1" s="1"/>
  <c r="F11593" i="1"/>
  <c r="B11593" i="1" s="1"/>
  <c r="F11594" i="1"/>
  <c r="B11594" i="1" s="1"/>
  <c r="F11595" i="1"/>
  <c r="B11595" i="1" s="1"/>
  <c r="F11596" i="1"/>
  <c r="B11596" i="1" s="1"/>
  <c r="F11597" i="1"/>
  <c r="B11597" i="1" s="1"/>
  <c r="F11598" i="1"/>
  <c r="B11598" i="1" s="1"/>
  <c r="F11599" i="1"/>
  <c r="B11599" i="1" s="1"/>
  <c r="F11600" i="1"/>
  <c r="B11600" i="1" s="1"/>
  <c r="F11601" i="1"/>
  <c r="B11601" i="1" s="1"/>
  <c r="F11602" i="1"/>
  <c r="B11602" i="1" s="1"/>
  <c r="F11603" i="1"/>
  <c r="B11603" i="1" s="1"/>
  <c r="F11604" i="1"/>
  <c r="B11604" i="1" s="1"/>
  <c r="F11605" i="1"/>
  <c r="B11605" i="1" s="1"/>
  <c r="F11606" i="1"/>
  <c r="B11606" i="1" s="1"/>
  <c r="F11607" i="1"/>
  <c r="B11607" i="1" s="1"/>
  <c r="F11608" i="1"/>
  <c r="B11608" i="1" s="1"/>
  <c r="F11609" i="1"/>
  <c r="B11609" i="1" s="1"/>
  <c r="F11610" i="1"/>
  <c r="B11610" i="1" s="1"/>
  <c r="F11611" i="1"/>
  <c r="B11611" i="1" s="1"/>
  <c r="F11612" i="1"/>
  <c r="B11612" i="1" s="1"/>
  <c r="F11613" i="1"/>
  <c r="B11613" i="1" s="1"/>
  <c r="F11614" i="1"/>
  <c r="B11614" i="1" s="1"/>
  <c r="F11615" i="1"/>
  <c r="B11615" i="1" s="1"/>
  <c r="F11616" i="1"/>
  <c r="B11616" i="1" s="1"/>
  <c r="F11617" i="1"/>
  <c r="B11617" i="1" s="1"/>
  <c r="F11618" i="1"/>
  <c r="B11618" i="1" s="1"/>
  <c r="F11619" i="1"/>
  <c r="B11619" i="1" s="1"/>
  <c r="F11620" i="1"/>
  <c r="B11620" i="1" s="1"/>
  <c r="F11621" i="1"/>
  <c r="B11621" i="1" s="1"/>
  <c r="F11622" i="1"/>
  <c r="B11622" i="1" s="1"/>
  <c r="F11623" i="1"/>
  <c r="B11623" i="1" s="1"/>
  <c r="F11624" i="1"/>
  <c r="B11624" i="1" s="1"/>
  <c r="F11625" i="1"/>
  <c r="B11625" i="1" s="1"/>
  <c r="F11626" i="1"/>
  <c r="B11626" i="1" s="1"/>
  <c r="F11627" i="1"/>
  <c r="B11627" i="1" s="1"/>
  <c r="F11628" i="1"/>
  <c r="B11628" i="1" s="1"/>
  <c r="F11629" i="1"/>
  <c r="B11629" i="1" s="1"/>
  <c r="F11630" i="1"/>
  <c r="B11630" i="1" s="1"/>
  <c r="F11631" i="1"/>
  <c r="B11631" i="1" s="1"/>
  <c r="F11632" i="1"/>
  <c r="B11632" i="1" s="1"/>
  <c r="F11633" i="1"/>
  <c r="B11633" i="1" s="1"/>
  <c r="F11634" i="1"/>
  <c r="B11634" i="1" s="1"/>
  <c r="F11635" i="1"/>
  <c r="B11635" i="1" s="1"/>
  <c r="F11636" i="1"/>
  <c r="B11636" i="1" s="1"/>
  <c r="F11637" i="1"/>
  <c r="B11637" i="1" s="1"/>
  <c r="F11638" i="1"/>
  <c r="B11638" i="1" s="1"/>
  <c r="F11639" i="1"/>
  <c r="B11639" i="1" s="1"/>
  <c r="F11640" i="1"/>
  <c r="B11640" i="1" s="1"/>
  <c r="F11641" i="1"/>
  <c r="B11641" i="1" s="1"/>
  <c r="F11642" i="1"/>
  <c r="B11642" i="1" s="1"/>
  <c r="F11643" i="1"/>
  <c r="B11643" i="1" s="1"/>
  <c r="F11644" i="1"/>
  <c r="B11644" i="1" s="1"/>
  <c r="F11645" i="1"/>
  <c r="B11645" i="1" s="1"/>
  <c r="F11646" i="1"/>
  <c r="B11646" i="1" s="1"/>
  <c r="F11647" i="1"/>
  <c r="B11647" i="1" s="1"/>
  <c r="F11648" i="1"/>
  <c r="B11648" i="1" s="1"/>
  <c r="F11649" i="1"/>
  <c r="B11649" i="1" s="1"/>
  <c r="F11650" i="1"/>
  <c r="B11650" i="1" s="1"/>
  <c r="F11651" i="1"/>
  <c r="B11651" i="1" s="1"/>
  <c r="F11652" i="1"/>
  <c r="B11652" i="1" s="1"/>
  <c r="F11653" i="1"/>
  <c r="B11653" i="1" s="1"/>
  <c r="F11654" i="1"/>
  <c r="B11654" i="1" s="1"/>
  <c r="F11655" i="1"/>
  <c r="B11655" i="1" s="1"/>
  <c r="F11656" i="1"/>
  <c r="B11656" i="1" s="1"/>
  <c r="F11657" i="1"/>
  <c r="B11657" i="1" s="1"/>
  <c r="F11658" i="1"/>
  <c r="B11658" i="1" s="1"/>
  <c r="F11659" i="1"/>
  <c r="B11659" i="1" s="1"/>
  <c r="F11660" i="1"/>
  <c r="B11660" i="1" s="1"/>
  <c r="F11661" i="1"/>
  <c r="B11661" i="1" s="1"/>
  <c r="F11662" i="1"/>
  <c r="B11662" i="1" s="1"/>
  <c r="F11663" i="1"/>
  <c r="B11663" i="1" s="1"/>
  <c r="F11664" i="1"/>
  <c r="B11664" i="1" s="1"/>
  <c r="F11665" i="1"/>
  <c r="B11665" i="1" s="1"/>
  <c r="F11666" i="1"/>
  <c r="B11666" i="1" s="1"/>
  <c r="F11667" i="1"/>
  <c r="B11667" i="1" s="1"/>
  <c r="F11668" i="1"/>
  <c r="B11668" i="1" s="1"/>
  <c r="F11669" i="1"/>
  <c r="B11669" i="1" s="1"/>
  <c r="F11670" i="1"/>
  <c r="B11670" i="1" s="1"/>
  <c r="F11671" i="1"/>
  <c r="B11671" i="1" s="1"/>
  <c r="F11672" i="1"/>
  <c r="B11672" i="1" s="1"/>
  <c r="F11673" i="1"/>
  <c r="B11673" i="1" s="1"/>
  <c r="F11674" i="1"/>
  <c r="B11674" i="1" s="1"/>
  <c r="F11675" i="1"/>
  <c r="B11675" i="1" s="1"/>
  <c r="F11676" i="1"/>
  <c r="B11676" i="1" s="1"/>
  <c r="F11677" i="1"/>
  <c r="B11677" i="1" s="1"/>
  <c r="F11678" i="1"/>
  <c r="B11678" i="1" s="1"/>
  <c r="F11679" i="1"/>
  <c r="B11679" i="1" s="1"/>
  <c r="F11680" i="1"/>
  <c r="B11680" i="1" s="1"/>
  <c r="F11681" i="1"/>
  <c r="B11681" i="1" s="1"/>
  <c r="F11682" i="1"/>
  <c r="B11682" i="1" s="1"/>
  <c r="F11683" i="1"/>
  <c r="B11683" i="1" s="1"/>
  <c r="F11684" i="1"/>
  <c r="B11684" i="1" s="1"/>
  <c r="F11685" i="1"/>
  <c r="B11685" i="1" s="1"/>
  <c r="F11686" i="1"/>
  <c r="B11686" i="1" s="1"/>
  <c r="F11687" i="1"/>
  <c r="B11687" i="1" s="1"/>
  <c r="F11688" i="1"/>
  <c r="B11688" i="1" s="1"/>
  <c r="C30" i="26"/>
  <c r="E8697" i="1"/>
  <c r="E8698" i="1"/>
  <c r="E8699" i="1"/>
  <c r="E8700" i="1"/>
  <c r="E8701" i="1"/>
  <c r="E8702" i="1"/>
  <c r="E8703" i="1"/>
  <c r="E8704" i="1"/>
  <c r="E8705" i="1"/>
  <c r="E8706" i="1"/>
  <c r="E8707" i="1"/>
  <c r="E8708" i="1"/>
  <c r="E8709" i="1"/>
  <c r="E8710" i="1"/>
  <c r="E8711" i="1"/>
  <c r="E8712" i="1"/>
  <c r="E8713" i="1"/>
  <c r="E8714" i="1"/>
  <c r="E8715" i="1"/>
  <c r="E8716" i="1"/>
  <c r="E8717" i="1"/>
  <c r="E8718" i="1"/>
  <c r="E8719" i="1"/>
  <c r="E8720" i="1"/>
  <c r="E8721" i="1"/>
  <c r="E8722" i="1"/>
  <c r="E8723" i="1"/>
  <c r="E8724" i="1"/>
  <c r="E8725" i="1"/>
  <c r="E8726" i="1"/>
  <c r="E8727" i="1"/>
  <c r="E8728" i="1"/>
  <c r="E8729" i="1"/>
  <c r="E8730" i="1"/>
  <c r="E8731" i="1"/>
  <c r="E8732" i="1"/>
  <c r="E8733" i="1"/>
  <c r="E8734" i="1"/>
  <c r="E8735" i="1"/>
  <c r="E8736" i="1"/>
  <c r="E8737" i="1"/>
  <c r="E8738" i="1"/>
  <c r="E8739" i="1"/>
  <c r="E8740" i="1"/>
  <c r="E8741" i="1"/>
  <c r="E8742" i="1"/>
  <c r="E8743" i="1"/>
  <c r="E8744" i="1"/>
  <c r="E8745" i="1"/>
  <c r="E8746" i="1"/>
  <c r="E8747" i="1"/>
  <c r="E8748" i="1"/>
  <c r="E8749" i="1"/>
  <c r="E8750" i="1"/>
  <c r="E8751" i="1"/>
  <c r="E8752" i="1"/>
  <c r="E8753" i="1"/>
  <c r="E8754" i="1"/>
  <c r="E8755" i="1"/>
  <c r="E8756" i="1"/>
  <c r="E8757" i="1"/>
  <c r="E8758" i="1"/>
  <c r="E8759" i="1"/>
  <c r="E8760" i="1"/>
  <c r="E8761" i="1"/>
  <c r="E8762" i="1"/>
  <c r="E8763" i="1"/>
  <c r="E8764" i="1"/>
  <c r="E8765" i="1"/>
  <c r="E8766" i="1"/>
  <c r="E8767" i="1"/>
  <c r="E8768" i="1"/>
  <c r="E8769" i="1"/>
  <c r="E8770" i="1"/>
  <c r="E8771" i="1"/>
  <c r="E8772" i="1"/>
  <c r="E8773" i="1"/>
  <c r="E8774" i="1"/>
  <c r="E8775" i="1"/>
  <c r="E8776" i="1"/>
  <c r="E8777" i="1"/>
  <c r="E8778" i="1"/>
  <c r="E8779" i="1"/>
  <c r="E8780" i="1"/>
  <c r="E8781" i="1"/>
  <c r="E8782" i="1"/>
  <c r="E8783" i="1"/>
  <c r="E8784" i="1"/>
  <c r="E8785" i="1"/>
  <c r="E8786" i="1"/>
  <c r="E8787" i="1"/>
  <c r="E8788" i="1"/>
  <c r="E8789" i="1"/>
  <c r="E8790" i="1"/>
  <c r="E8791" i="1"/>
  <c r="E8792" i="1"/>
  <c r="E8793" i="1"/>
  <c r="E8794" i="1"/>
  <c r="E8795" i="1"/>
  <c r="E8796" i="1"/>
  <c r="E8797" i="1"/>
  <c r="E8798" i="1"/>
  <c r="E8799" i="1"/>
  <c r="E8800" i="1"/>
  <c r="E8801" i="1"/>
  <c r="E8802" i="1"/>
  <c r="E8803" i="1"/>
  <c r="E8804" i="1"/>
  <c r="E8805" i="1"/>
  <c r="E8806" i="1"/>
  <c r="E8807" i="1"/>
  <c r="E8808" i="1"/>
  <c r="E8809" i="1"/>
  <c r="E8810" i="1"/>
  <c r="E8811" i="1"/>
  <c r="E8812" i="1"/>
  <c r="E8813" i="1"/>
  <c r="E8814" i="1"/>
  <c r="E8815" i="1"/>
  <c r="E8816" i="1"/>
  <c r="E8817" i="1"/>
  <c r="E8818" i="1"/>
  <c r="E8819" i="1"/>
  <c r="E8820" i="1"/>
  <c r="E8821" i="1"/>
  <c r="E8822" i="1"/>
  <c r="E8823" i="1"/>
  <c r="E8824" i="1"/>
  <c r="E8825" i="1"/>
  <c r="E8826" i="1"/>
  <c r="E8827" i="1"/>
  <c r="E8828" i="1"/>
  <c r="E8829" i="1"/>
  <c r="E8830" i="1"/>
  <c r="E8831" i="1"/>
  <c r="E8696" i="1"/>
  <c r="E8561" i="1"/>
  <c r="E8562" i="1"/>
  <c r="E8563" i="1"/>
  <c r="E8564" i="1"/>
  <c r="E8565" i="1"/>
  <c r="E8566" i="1"/>
  <c r="E8567" i="1"/>
  <c r="E8568" i="1"/>
  <c r="E8569" i="1"/>
  <c r="E8570" i="1"/>
  <c r="E8571" i="1"/>
  <c r="E8572" i="1"/>
  <c r="E8573" i="1"/>
  <c r="E8574" i="1"/>
  <c r="E8575" i="1"/>
  <c r="E8576" i="1"/>
  <c r="E8577" i="1"/>
  <c r="E8578" i="1"/>
  <c r="E8579" i="1"/>
  <c r="E8580" i="1"/>
  <c r="E8581" i="1"/>
  <c r="E8582" i="1"/>
  <c r="E8583" i="1"/>
  <c r="E8584" i="1"/>
  <c r="E8585" i="1"/>
  <c r="E8586" i="1"/>
  <c r="E8587" i="1"/>
  <c r="E8588" i="1"/>
  <c r="E8589" i="1"/>
  <c r="E8590" i="1"/>
  <c r="E8591" i="1"/>
  <c r="E8592" i="1"/>
  <c r="E8593" i="1"/>
  <c r="E8594" i="1"/>
  <c r="E8595" i="1"/>
  <c r="E8596" i="1"/>
  <c r="E8597" i="1"/>
  <c r="E8598" i="1"/>
  <c r="E8599" i="1"/>
  <c r="E8600" i="1"/>
  <c r="E8601" i="1"/>
  <c r="E8602" i="1"/>
  <c r="E8603" i="1"/>
  <c r="E8604" i="1"/>
  <c r="E8605" i="1"/>
  <c r="E8606" i="1"/>
  <c r="E8607" i="1"/>
  <c r="E8608" i="1"/>
  <c r="E8609" i="1"/>
  <c r="E8610" i="1"/>
  <c r="E8611" i="1"/>
  <c r="E8612" i="1"/>
  <c r="E8613" i="1"/>
  <c r="E8614" i="1"/>
  <c r="E8615" i="1"/>
  <c r="E8616" i="1"/>
  <c r="E8617" i="1"/>
  <c r="E8618" i="1"/>
  <c r="E8619" i="1"/>
  <c r="E8620" i="1"/>
  <c r="E8621" i="1"/>
  <c r="E8622" i="1"/>
  <c r="E8623" i="1"/>
  <c r="E8624" i="1"/>
  <c r="E8625" i="1"/>
  <c r="E8626" i="1"/>
  <c r="E8627" i="1"/>
  <c r="E8628" i="1"/>
  <c r="E8629" i="1"/>
  <c r="E8630" i="1"/>
  <c r="E8631" i="1"/>
  <c r="E8632" i="1"/>
  <c r="E8633" i="1"/>
  <c r="E8634" i="1"/>
  <c r="E8635" i="1"/>
  <c r="E8636" i="1"/>
  <c r="E8637" i="1"/>
  <c r="E8638" i="1"/>
  <c r="E8639" i="1"/>
  <c r="E8640" i="1"/>
  <c r="E8641" i="1"/>
  <c r="E8642" i="1"/>
  <c r="E8643" i="1"/>
  <c r="E8644" i="1"/>
  <c r="E8645" i="1"/>
  <c r="E8646" i="1"/>
  <c r="E8647" i="1"/>
  <c r="E8648" i="1"/>
  <c r="E8649" i="1"/>
  <c r="E8650" i="1"/>
  <c r="E8651" i="1"/>
  <c r="E8652" i="1"/>
  <c r="E8653" i="1"/>
  <c r="E8654" i="1"/>
  <c r="E8655" i="1"/>
  <c r="E8656" i="1"/>
  <c r="E8657" i="1"/>
  <c r="E8658" i="1"/>
  <c r="E8659" i="1"/>
  <c r="E8660" i="1"/>
  <c r="E8661" i="1"/>
  <c r="E8662" i="1"/>
  <c r="E8663" i="1"/>
  <c r="E8664" i="1"/>
  <c r="E8665" i="1"/>
  <c r="E8666" i="1"/>
  <c r="E8667" i="1"/>
  <c r="E8668" i="1"/>
  <c r="E8669" i="1"/>
  <c r="E8670" i="1"/>
  <c r="E8671" i="1"/>
  <c r="E8672" i="1"/>
  <c r="E8673" i="1"/>
  <c r="E8674" i="1"/>
  <c r="E8675" i="1"/>
  <c r="E8676" i="1"/>
  <c r="E8677" i="1"/>
  <c r="E8678" i="1"/>
  <c r="E8679" i="1"/>
  <c r="E8680" i="1"/>
  <c r="E8681" i="1"/>
  <c r="E8682" i="1"/>
  <c r="E8683" i="1"/>
  <c r="E8684" i="1"/>
  <c r="E8685" i="1"/>
  <c r="E8686" i="1"/>
  <c r="E8687" i="1"/>
  <c r="E8688" i="1"/>
  <c r="E8689" i="1"/>
  <c r="E8690" i="1"/>
  <c r="E8691" i="1"/>
  <c r="E8692" i="1"/>
  <c r="E8693" i="1"/>
  <c r="E8694" i="1"/>
  <c r="E8695" i="1"/>
  <c r="E8560" i="1"/>
  <c r="C8425" i="1"/>
  <c r="E8425" i="1"/>
  <c r="F8425" i="1"/>
  <c r="B8425" i="1" s="1"/>
  <c r="C8426" i="1"/>
  <c r="E8426" i="1"/>
  <c r="F8426" i="1"/>
  <c r="B8426" i="1" s="1"/>
  <c r="C8427" i="1"/>
  <c r="E8427" i="1"/>
  <c r="F8427" i="1"/>
  <c r="B8427" i="1" s="1"/>
  <c r="C8428" i="1"/>
  <c r="E8428" i="1"/>
  <c r="F8428" i="1"/>
  <c r="B8428" i="1" s="1"/>
  <c r="C8429" i="1"/>
  <c r="E8429" i="1"/>
  <c r="F8429" i="1"/>
  <c r="B8429" i="1" s="1"/>
  <c r="C8430" i="1"/>
  <c r="E8430" i="1"/>
  <c r="F8430" i="1"/>
  <c r="B8430" i="1" s="1"/>
  <c r="C8431" i="1"/>
  <c r="E8431" i="1"/>
  <c r="F8431" i="1"/>
  <c r="B8431" i="1" s="1"/>
  <c r="C8432" i="1"/>
  <c r="E8432" i="1"/>
  <c r="F8432" i="1"/>
  <c r="B8432" i="1" s="1"/>
  <c r="C8433" i="1"/>
  <c r="E8433" i="1"/>
  <c r="F8433" i="1"/>
  <c r="B8433" i="1" s="1"/>
  <c r="C8434" i="1"/>
  <c r="E8434" i="1"/>
  <c r="F8434" i="1"/>
  <c r="B8434" i="1" s="1"/>
  <c r="C8435" i="1"/>
  <c r="E8435" i="1"/>
  <c r="F8435" i="1"/>
  <c r="B8435" i="1" s="1"/>
  <c r="C8436" i="1"/>
  <c r="E8436" i="1"/>
  <c r="F8436" i="1"/>
  <c r="B8436" i="1" s="1"/>
  <c r="C8437" i="1"/>
  <c r="E8437" i="1"/>
  <c r="F8437" i="1"/>
  <c r="B8437" i="1" s="1"/>
  <c r="C8438" i="1"/>
  <c r="E8438" i="1"/>
  <c r="F8438" i="1"/>
  <c r="B8438" i="1" s="1"/>
  <c r="C8439" i="1"/>
  <c r="E8439" i="1"/>
  <c r="F8439" i="1"/>
  <c r="B8439" i="1" s="1"/>
  <c r="C8440" i="1"/>
  <c r="E8440" i="1"/>
  <c r="F8440" i="1"/>
  <c r="B8440" i="1" s="1"/>
  <c r="C8441" i="1"/>
  <c r="E8441" i="1"/>
  <c r="F8441" i="1"/>
  <c r="B8441" i="1" s="1"/>
  <c r="C8442" i="1"/>
  <c r="E8442" i="1"/>
  <c r="F8442" i="1"/>
  <c r="B8442" i="1" s="1"/>
  <c r="C8443" i="1"/>
  <c r="E8443" i="1"/>
  <c r="F8443" i="1"/>
  <c r="B8443" i="1" s="1"/>
  <c r="C8444" i="1"/>
  <c r="E8444" i="1"/>
  <c r="F8444" i="1"/>
  <c r="B8444" i="1" s="1"/>
  <c r="C8445" i="1"/>
  <c r="E8445" i="1"/>
  <c r="F8445" i="1"/>
  <c r="B8445" i="1" s="1"/>
  <c r="C8446" i="1"/>
  <c r="E8446" i="1"/>
  <c r="F8446" i="1"/>
  <c r="B8446" i="1" s="1"/>
  <c r="C8447" i="1"/>
  <c r="E8447" i="1"/>
  <c r="F8447" i="1"/>
  <c r="B8447" i="1" s="1"/>
  <c r="C8448" i="1"/>
  <c r="E8448" i="1"/>
  <c r="F8448" i="1"/>
  <c r="B8448" i="1" s="1"/>
  <c r="C8449" i="1"/>
  <c r="E8449" i="1"/>
  <c r="F8449" i="1"/>
  <c r="B8449" i="1" s="1"/>
  <c r="C8450" i="1"/>
  <c r="E8450" i="1"/>
  <c r="F8450" i="1"/>
  <c r="B8450" i="1" s="1"/>
  <c r="C8451" i="1"/>
  <c r="E8451" i="1"/>
  <c r="F8451" i="1"/>
  <c r="B8451" i="1" s="1"/>
  <c r="C8452" i="1"/>
  <c r="E8452" i="1"/>
  <c r="F8452" i="1"/>
  <c r="B8452" i="1" s="1"/>
  <c r="C8453" i="1"/>
  <c r="E8453" i="1"/>
  <c r="F8453" i="1"/>
  <c r="B8453" i="1" s="1"/>
  <c r="C8454" i="1"/>
  <c r="E8454" i="1"/>
  <c r="F8454" i="1"/>
  <c r="B8454" i="1" s="1"/>
  <c r="C8455" i="1"/>
  <c r="E8455" i="1"/>
  <c r="F8455" i="1"/>
  <c r="B8455" i="1" s="1"/>
  <c r="C8456" i="1"/>
  <c r="E8456" i="1"/>
  <c r="F8456" i="1"/>
  <c r="B8456" i="1" s="1"/>
  <c r="C8457" i="1"/>
  <c r="E8457" i="1"/>
  <c r="F8457" i="1"/>
  <c r="B8457" i="1" s="1"/>
  <c r="C8458" i="1"/>
  <c r="E8458" i="1"/>
  <c r="F8458" i="1"/>
  <c r="B8458" i="1" s="1"/>
  <c r="C8459" i="1"/>
  <c r="E8459" i="1"/>
  <c r="F8459" i="1"/>
  <c r="B8459" i="1" s="1"/>
  <c r="C8460" i="1"/>
  <c r="E8460" i="1"/>
  <c r="F8460" i="1"/>
  <c r="B8460" i="1" s="1"/>
  <c r="C8461" i="1"/>
  <c r="E8461" i="1"/>
  <c r="F8461" i="1"/>
  <c r="B8461" i="1" s="1"/>
  <c r="C8462" i="1"/>
  <c r="E8462" i="1"/>
  <c r="F8462" i="1"/>
  <c r="B8462" i="1" s="1"/>
  <c r="C8463" i="1"/>
  <c r="E8463" i="1"/>
  <c r="F8463" i="1"/>
  <c r="B8463" i="1" s="1"/>
  <c r="C8464" i="1"/>
  <c r="E8464" i="1"/>
  <c r="F8464" i="1"/>
  <c r="B8464" i="1" s="1"/>
  <c r="C8465" i="1"/>
  <c r="E8465" i="1"/>
  <c r="F8465" i="1"/>
  <c r="B8465" i="1" s="1"/>
  <c r="C8466" i="1"/>
  <c r="E8466" i="1"/>
  <c r="F8466" i="1"/>
  <c r="B8466" i="1" s="1"/>
  <c r="C8467" i="1"/>
  <c r="E8467" i="1"/>
  <c r="F8467" i="1"/>
  <c r="B8467" i="1" s="1"/>
  <c r="C8468" i="1"/>
  <c r="E8468" i="1"/>
  <c r="F8468" i="1"/>
  <c r="B8468" i="1" s="1"/>
  <c r="C8469" i="1"/>
  <c r="E8469" i="1"/>
  <c r="F8469" i="1"/>
  <c r="B8469" i="1" s="1"/>
  <c r="C8470" i="1"/>
  <c r="E8470" i="1"/>
  <c r="F8470" i="1"/>
  <c r="B8470" i="1" s="1"/>
  <c r="C8471" i="1"/>
  <c r="E8471" i="1"/>
  <c r="F8471" i="1"/>
  <c r="B8471" i="1" s="1"/>
  <c r="C8472" i="1"/>
  <c r="E8472" i="1"/>
  <c r="F8472" i="1"/>
  <c r="B8472" i="1" s="1"/>
  <c r="C8473" i="1"/>
  <c r="E8473" i="1"/>
  <c r="F8473" i="1"/>
  <c r="B8473" i="1" s="1"/>
  <c r="C8474" i="1"/>
  <c r="E8474" i="1"/>
  <c r="F8474" i="1"/>
  <c r="B8474" i="1" s="1"/>
  <c r="C8475" i="1"/>
  <c r="E8475" i="1"/>
  <c r="F8475" i="1"/>
  <c r="B8475" i="1" s="1"/>
  <c r="C8476" i="1"/>
  <c r="E8476" i="1"/>
  <c r="F8476" i="1"/>
  <c r="B8476" i="1" s="1"/>
  <c r="C8477" i="1"/>
  <c r="E8477" i="1"/>
  <c r="F8477" i="1"/>
  <c r="B8477" i="1" s="1"/>
  <c r="C8478" i="1"/>
  <c r="E8478" i="1"/>
  <c r="F8478" i="1"/>
  <c r="B8478" i="1" s="1"/>
  <c r="C8479" i="1"/>
  <c r="E8479" i="1"/>
  <c r="F8479" i="1"/>
  <c r="B8479" i="1" s="1"/>
  <c r="C8480" i="1"/>
  <c r="E8480" i="1"/>
  <c r="F8480" i="1"/>
  <c r="B8480" i="1" s="1"/>
  <c r="C8481" i="1"/>
  <c r="E8481" i="1"/>
  <c r="F8481" i="1"/>
  <c r="B8481" i="1" s="1"/>
  <c r="C8482" i="1"/>
  <c r="E8482" i="1"/>
  <c r="F8482" i="1"/>
  <c r="B8482" i="1" s="1"/>
  <c r="C8483" i="1"/>
  <c r="E8483" i="1"/>
  <c r="F8483" i="1"/>
  <c r="B8483" i="1" s="1"/>
  <c r="C8484" i="1"/>
  <c r="E8484" i="1"/>
  <c r="F8484" i="1"/>
  <c r="B8484" i="1" s="1"/>
  <c r="C8485" i="1"/>
  <c r="E8485" i="1"/>
  <c r="F8485" i="1"/>
  <c r="B8485" i="1" s="1"/>
  <c r="C8486" i="1"/>
  <c r="E8486" i="1"/>
  <c r="F8486" i="1"/>
  <c r="B8486" i="1" s="1"/>
  <c r="C8487" i="1"/>
  <c r="E8487" i="1"/>
  <c r="F8487" i="1"/>
  <c r="B8487" i="1" s="1"/>
  <c r="C8488" i="1"/>
  <c r="E8488" i="1"/>
  <c r="F8488" i="1"/>
  <c r="B8488" i="1" s="1"/>
  <c r="C8489" i="1"/>
  <c r="E8489" i="1"/>
  <c r="F8489" i="1"/>
  <c r="B8489" i="1" s="1"/>
  <c r="C8490" i="1"/>
  <c r="E8490" i="1"/>
  <c r="F8490" i="1"/>
  <c r="B8490" i="1" s="1"/>
  <c r="C8491" i="1"/>
  <c r="E8491" i="1"/>
  <c r="F8491" i="1"/>
  <c r="B8491" i="1" s="1"/>
  <c r="C8492" i="1"/>
  <c r="E8492" i="1"/>
  <c r="F8492" i="1"/>
  <c r="B8492" i="1" s="1"/>
  <c r="C8493" i="1"/>
  <c r="E8493" i="1"/>
  <c r="F8493" i="1"/>
  <c r="B8493" i="1" s="1"/>
  <c r="C8494" i="1"/>
  <c r="E8494" i="1"/>
  <c r="F8494" i="1"/>
  <c r="B8494" i="1" s="1"/>
  <c r="C8495" i="1"/>
  <c r="E8495" i="1"/>
  <c r="F8495" i="1"/>
  <c r="B8495" i="1" s="1"/>
  <c r="C8496" i="1"/>
  <c r="E8496" i="1"/>
  <c r="F8496" i="1"/>
  <c r="B8496" i="1" s="1"/>
  <c r="C8497" i="1"/>
  <c r="E8497" i="1"/>
  <c r="F8497" i="1"/>
  <c r="B8497" i="1" s="1"/>
  <c r="C8498" i="1"/>
  <c r="E8498" i="1"/>
  <c r="F8498" i="1"/>
  <c r="B8498" i="1" s="1"/>
  <c r="C8499" i="1"/>
  <c r="E8499" i="1"/>
  <c r="F8499" i="1"/>
  <c r="B8499" i="1" s="1"/>
  <c r="C8500" i="1"/>
  <c r="E8500" i="1"/>
  <c r="F8500" i="1"/>
  <c r="B8500" i="1" s="1"/>
  <c r="C8501" i="1"/>
  <c r="E8501" i="1"/>
  <c r="F8501" i="1"/>
  <c r="B8501" i="1" s="1"/>
  <c r="C8502" i="1"/>
  <c r="E8502" i="1"/>
  <c r="F8502" i="1"/>
  <c r="B8502" i="1" s="1"/>
  <c r="C8503" i="1"/>
  <c r="E8503" i="1"/>
  <c r="F8503" i="1"/>
  <c r="B8503" i="1" s="1"/>
  <c r="C8504" i="1"/>
  <c r="E8504" i="1"/>
  <c r="F8504" i="1"/>
  <c r="B8504" i="1" s="1"/>
  <c r="C8505" i="1"/>
  <c r="E8505" i="1"/>
  <c r="F8505" i="1"/>
  <c r="B8505" i="1" s="1"/>
  <c r="C8506" i="1"/>
  <c r="E8506" i="1"/>
  <c r="F8506" i="1"/>
  <c r="B8506" i="1" s="1"/>
  <c r="C8507" i="1"/>
  <c r="E8507" i="1"/>
  <c r="F8507" i="1"/>
  <c r="B8507" i="1" s="1"/>
  <c r="C8508" i="1"/>
  <c r="E8508" i="1"/>
  <c r="F8508" i="1"/>
  <c r="B8508" i="1" s="1"/>
  <c r="C8509" i="1"/>
  <c r="E8509" i="1"/>
  <c r="F8509" i="1"/>
  <c r="B8509" i="1" s="1"/>
  <c r="C8510" i="1"/>
  <c r="E8510" i="1"/>
  <c r="F8510" i="1"/>
  <c r="B8510" i="1" s="1"/>
  <c r="C8511" i="1"/>
  <c r="E8511" i="1"/>
  <c r="F8511" i="1"/>
  <c r="B8511" i="1" s="1"/>
  <c r="C8512" i="1"/>
  <c r="E8512" i="1"/>
  <c r="F8512" i="1"/>
  <c r="B8512" i="1" s="1"/>
  <c r="C8513" i="1"/>
  <c r="E8513" i="1"/>
  <c r="F8513" i="1"/>
  <c r="B8513" i="1" s="1"/>
  <c r="C8514" i="1"/>
  <c r="E8514" i="1"/>
  <c r="F8514" i="1"/>
  <c r="B8514" i="1" s="1"/>
  <c r="C8515" i="1"/>
  <c r="E8515" i="1"/>
  <c r="F8515" i="1"/>
  <c r="B8515" i="1" s="1"/>
  <c r="C8516" i="1"/>
  <c r="E8516" i="1"/>
  <c r="F8516" i="1"/>
  <c r="B8516" i="1" s="1"/>
  <c r="C8517" i="1"/>
  <c r="E8517" i="1"/>
  <c r="F8517" i="1"/>
  <c r="B8517" i="1" s="1"/>
  <c r="C8518" i="1"/>
  <c r="E8518" i="1"/>
  <c r="F8518" i="1"/>
  <c r="B8518" i="1" s="1"/>
  <c r="C8519" i="1"/>
  <c r="E8519" i="1"/>
  <c r="F8519" i="1"/>
  <c r="B8519" i="1" s="1"/>
  <c r="C8520" i="1"/>
  <c r="E8520" i="1"/>
  <c r="F8520" i="1"/>
  <c r="B8520" i="1" s="1"/>
  <c r="C8521" i="1"/>
  <c r="E8521" i="1"/>
  <c r="F8521" i="1"/>
  <c r="B8521" i="1" s="1"/>
  <c r="C8522" i="1"/>
  <c r="E8522" i="1"/>
  <c r="F8522" i="1"/>
  <c r="B8522" i="1" s="1"/>
  <c r="C8523" i="1"/>
  <c r="E8523" i="1"/>
  <c r="F8523" i="1"/>
  <c r="B8523" i="1" s="1"/>
  <c r="C8524" i="1"/>
  <c r="E8524" i="1"/>
  <c r="F8524" i="1"/>
  <c r="B8524" i="1" s="1"/>
  <c r="C8525" i="1"/>
  <c r="E8525" i="1"/>
  <c r="F8525" i="1"/>
  <c r="B8525" i="1" s="1"/>
  <c r="C8526" i="1"/>
  <c r="E8526" i="1"/>
  <c r="F8526" i="1"/>
  <c r="B8526" i="1" s="1"/>
  <c r="C8527" i="1"/>
  <c r="E8527" i="1"/>
  <c r="F8527" i="1"/>
  <c r="B8527" i="1" s="1"/>
  <c r="C8528" i="1"/>
  <c r="E8528" i="1"/>
  <c r="F8528" i="1"/>
  <c r="B8528" i="1" s="1"/>
  <c r="C8529" i="1"/>
  <c r="E8529" i="1"/>
  <c r="F8529" i="1"/>
  <c r="B8529" i="1" s="1"/>
  <c r="C8530" i="1"/>
  <c r="E8530" i="1"/>
  <c r="F8530" i="1"/>
  <c r="B8530" i="1" s="1"/>
  <c r="C8531" i="1"/>
  <c r="E8531" i="1"/>
  <c r="F8531" i="1"/>
  <c r="B8531" i="1" s="1"/>
  <c r="C8532" i="1"/>
  <c r="E8532" i="1"/>
  <c r="F8532" i="1"/>
  <c r="B8532" i="1" s="1"/>
  <c r="C8533" i="1"/>
  <c r="E8533" i="1"/>
  <c r="F8533" i="1"/>
  <c r="B8533" i="1" s="1"/>
  <c r="C8534" i="1"/>
  <c r="E8534" i="1"/>
  <c r="F8534" i="1"/>
  <c r="B8534" i="1" s="1"/>
  <c r="C8535" i="1"/>
  <c r="E8535" i="1"/>
  <c r="F8535" i="1"/>
  <c r="B8535" i="1" s="1"/>
  <c r="C8536" i="1"/>
  <c r="E8536" i="1"/>
  <c r="F8536" i="1"/>
  <c r="B8536" i="1" s="1"/>
  <c r="C8537" i="1"/>
  <c r="E8537" i="1"/>
  <c r="F8537" i="1"/>
  <c r="B8537" i="1" s="1"/>
  <c r="C8538" i="1"/>
  <c r="E8538" i="1"/>
  <c r="F8538" i="1"/>
  <c r="B8538" i="1" s="1"/>
  <c r="C8539" i="1"/>
  <c r="E8539" i="1"/>
  <c r="F8539" i="1"/>
  <c r="B8539" i="1" s="1"/>
  <c r="C8540" i="1"/>
  <c r="E8540" i="1"/>
  <c r="F8540" i="1"/>
  <c r="B8540" i="1" s="1"/>
  <c r="C8541" i="1"/>
  <c r="E8541" i="1"/>
  <c r="F8541" i="1"/>
  <c r="B8541" i="1" s="1"/>
  <c r="C8542" i="1"/>
  <c r="E8542" i="1"/>
  <c r="F8542" i="1"/>
  <c r="B8542" i="1" s="1"/>
  <c r="C8543" i="1"/>
  <c r="E8543" i="1"/>
  <c r="F8543" i="1"/>
  <c r="B8543" i="1" s="1"/>
  <c r="C8544" i="1"/>
  <c r="E8544" i="1"/>
  <c r="F8544" i="1"/>
  <c r="B8544" i="1" s="1"/>
  <c r="C8545" i="1"/>
  <c r="E8545" i="1"/>
  <c r="F8545" i="1"/>
  <c r="B8545" i="1" s="1"/>
  <c r="C8546" i="1"/>
  <c r="E8546" i="1"/>
  <c r="F8546" i="1"/>
  <c r="B8546" i="1" s="1"/>
  <c r="C8547" i="1"/>
  <c r="E8547" i="1"/>
  <c r="F8547" i="1"/>
  <c r="B8547" i="1" s="1"/>
  <c r="C8548" i="1"/>
  <c r="E8548" i="1"/>
  <c r="F8548" i="1"/>
  <c r="B8548" i="1" s="1"/>
  <c r="C8549" i="1"/>
  <c r="E8549" i="1"/>
  <c r="F8549" i="1"/>
  <c r="B8549" i="1" s="1"/>
  <c r="C8550" i="1"/>
  <c r="E8550" i="1"/>
  <c r="F8550" i="1"/>
  <c r="B8550" i="1" s="1"/>
  <c r="C8551" i="1"/>
  <c r="E8551" i="1"/>
  <c r="F8551" i="1"/>
  <c r="B8551" i="1" s="1"/>
  <c r="C8552" i="1"/>
  <c r="E8552" i="1"/>
  <c r="F8552" i="1"/>
  <c r="B8552" i="1" s="1"/>
  <c r="C8553" i="1"/>
  <c r="E8553" i="1"/>
  <c r="F8553" i="1"/>
  <c r="B8553" i="1" s="1"/>
  <c r="C8554" i="1"/>
  <c r="E8554" i="1"/>
  <c r="F8554" i="1"/>
  <c r="B8554" i="1" s="1"/>
  <c r="C8555" i="1"/>
  <c r="E8555" i="1"/>
  <c r="F8555" i="1"/>
  <c r="B8555" i="1" s="1"/>
  <c r="C8556" i="1"/>
  <c r="E8556" i="1"/>
  <c r="F8556" i="1"/>
  <c r="B8556" i="1" s="1"/>
  <c r="C8557" i="1"/>
  <c r="E8557" i="1"/>
  <c r="F8557" i="1"/>
  <c r="B8557" i="1" s="1"/>
  <c r="C8558" i="1"/>
  <c r="E8558" i="1"/>
  <c r="F8558" i="1"/>
  <c r="B8558" i="1" s="1"/>
  <c r="C8559" i="1"/>
  <c r="E8559" i="1"/>
  <c r="F8559" i="1"/>
  <c r="B8559" i="1" s="1"/>
  <c r="C8560" i="1"/>
  <c r="F8560" i="1"/>
  <c r="B8560" i="1" s="1"/>
  <c r="C8561" i="1"/>
  <c r="F8561" i="1"/>
  <c r="B8561" i="1" s="1"/>
  <c r="C8562" i="1"/>
  <c r="F8562" i="1"/>
  <c r="B8562" i="1" s="1"/>
  <c r="C8563" i="1"/>
  <c r="F8563" i="1"/>
  <c r="B8563" i="1" s="1"/>
  <c r="C8564" i="1"/>
  <c r="F8564" i="1"/>
  <c r="B8564" i="1" s="1"/>
  <c r="C8565" i="1"/>
  <c r="F8565" i="1"/>
  <c r="B8565" i="1" s="1"/>
  <c r="C8566" i="1"/>
  <c r="F8566" i="1"/>
  <c r="B8566" i="1" s="1"/>
  <c r="C8567" i="1"/>
  <c r="F8567" i="1"/>
  <c r="B8567" i="1" s="1"/>
  <c r="C8568" i="1"/>
  <c r="F8568" i="1"/>
  <c r="B8568" i="1" s="1"/>
  <c r="C8569" i="1"/>
  <c r="F8569" i="1"/>
  <c r="B8569" i="1" s="1"/>
  <c r="C8570" i="1"/>
  <c r="F8570" i="1"/>
  <c r="B8570" i="1" s="1"/>
  <c r="C8571" i="1"/>
  <c r="F8571" i="1"/>
  <c r="B8571" i="1" s="1"/>
  <c r="C8572" i="1"/>
  <c r="F8572" i="1"/>
  <c r="B8572" i="1" s="1"/>
  <c r="C8573" i="1"/>
  <c r="F8573" i="1"/>
  <c r="B8573" i="1" s="1"/>
  <c r="C8574" i="1"/>
  <c r="F8574" i="1"/>
  <c r="B8574" i="1" s="1"/>
  <c r="C8575" i="1"/>
  <c r="F8575" i="1"/>
  <c r="B8575" i="1" s="1"/>
  <c r="C8576" i="1"/>
  <c r="F8576" i="1"/>
  <c r="B8576" i="1" s="1"/>
  <c r="C8577" i="1"/>
  <c r="F8577" i="1"/>
  <c r="B8577" i="1" s="1"/>
  <c r="C8578" i="1"/>
  <c r="F8578" i="1"/>
  <c r="B8578" i="1" s="1"/>
  <c r="C8579" i="1"/>
  <c r="F8579" i="1"/>
  <c r="B8579" i="1" s="1"/>
  <c r="C8580" i="1"/>
  <c r="F8580" i="1"/>
  <c r="B8580" i="1" s="1"/>
  <c r="C8581" i="1"/>
  <c r="F8581" i="1"/>
  <c r="B8581" i="1" s="1"/>
  <c r="C8582" i="1"/>
  <c r="F8582" i="1"/>
  <c r="B8582" i="1" s="1"/>
  <c r="C8583" i="1"/>
  <c r="F8583" i="1"/>
  <c r="B8583" i="1" s="1"/>
  <c r="C8584" i="1"/>
  <c r="F8584" i="1"/>
  <c r="B8584" i="1" s="1"/>
  <c r="C8585" i="1"/>
  <c r="F8585" i="1"/>
  <c r="B8585" i="1" s="1"/>
  <c r="C8586" i="1"/>
  <c r="F8586" i="1"/>
  <c r="B8586" i="1" s="1"/>
  <c r="C8587" i="1"/>
  <c r="F8587" i="1"/>
  <c r="B8587" i="1" s="1"/>
  <c r="C8588" i="1"/>
  <c r="F8588" i="1"/>
  <c r="B8588" i="1" s="1"/>
  <c r="C8589" i="1"/>
  <c r="F8589" i="1"/>
  <c r="B8589" i="1" s="1"/>
  <c r="C8590" i="1"/>
  <c r="F8590" i="1"/>
  <c r="B8590" i="1" s="1"/>
  <c r="C8591" i="1"/>
  <c r="F8591" i="1"/>
  <c r="B8591" i="1" s="1"/>
  <c r="C8592" i="1"/>
  <c r="F8592" i="1"/>
  <c r="B8592" i="1" s="1"/>
  <c r="C8593" i="1"/>
  <c r="F8593" i="1"/>
  <c r="B8593" i="1" s="1"/>
  <c r="C8594" i="1"/>
  <c r="F8594" i="1"/>
  <c r="B8594" i="1" s="1"/>
  <c r="C8595" i="1"/>
  <c r="F8595" i="1"/>
  <c r="B8595" i="1" s="1"/>
  <c r="C8596" i="1"/>
  <c r="F8596" i="1"/>
  <c r="B8596" i="1" s="1"/>
  <c r="C8597" i="1"/>
  <c r="F8597" i="1"/>
  <c r="B8597" i="1" s="1"/>
  <c r="C8598" i="1"/>
  <c r="F8598" i="1"/>
  <c r="B8598" i="1" s="1"/>
  <c r="C8599" i="1"/>
  <c r="F8599" i="1"/>
  <c r="B8599" i="1" s="1"/>
  <c r="C8600" i="1"/>
  <c r="F8600" i="1"/>
  <c r="B8600" i="1" s="1"/>
  <c r="C8601" i="1"/>
  <c r="F8601" i="1"/>
  <c r="B8601" i="1" s="1"/>
  <c r="C8602" i="1"/>
  <c r="F8602" i="1"/>
  <c r="B8602" i="1" s="1"/>
  <c r="C8603" i="1"/>
  <c r="F8603" i="1"/>
  <c r="B8603" i="1" s="1"/>
  <c r="C8604" i="1"/>
  <c r="F8604" i="1"/>
  <c r="B8604" i="1" s="1"/>
  <c r="C8605" i="1"/>
  <c r="F8605" i="1"/>
  <c r="B8605" i="1" s="1"/>
  <c r="C8606" i="1"/>
  <c r="F8606" i="1"/>
  <c r="B8606" i="1" s="1"/>
  <c r="C8607" i="1"/>
  <c r="F8607" i="1"/>
  <c r="B8607" i="1" s="1"/>
  <c r="C8608" i="1"/>
  <c r="F8608" i="1"/>
  <c r="B8608" i="1" s="1"/>
  <c r="C8609" i="1"/>
  <c r="F8609" i="1"/>
  <c r="B8609" i="1" s="1"/>
  <c r="C8610" i="1"/>
  <c r="F8610" i="1"/>
  <c r="B8610" i="1" s="1"/>
  <c r="C8611" i="1"/>
  <c r="F8611" i="1"/>
  <c r="B8611" i="1" s="1"/>
  <c r="C8612" i="1"/>
  <c r="F8612" i="1"/>
  <c r="B8612" i="1" s="1"/>
  <c r="C8613" i="1"/>
  <c r="F8613" i="1"/>
  <c r="B8613" i="1" s="1"/>
  <c r="C8614" i="1"/>
  <c r="F8614" i="1"/>
  <c r="B8614" i="1" s="1"/>
  <c r="C8615" i="1"/>
  <c r="F8615" i="1"/>
  <c r="B8615" i="1" s="1"/>
  <c r="C8616" i="1"/>
  <c r="F8616" i="1"/>
  <c r="B8616" i="1" s="1"/>
  <c r="C8617" i="1"/>
  <c r="F8617" i="1"/>
  <c r="B8617" i="1" s="1"/>
  <c r="C8618" i="1"/>
  <c r="F8618" i="1"/>
  <c r="B8618" i="1" s="1"/>
  <c r="C8619" i="1"/>
  <c r="F8619" i="1"/>
  <c r="B8619" i="1" s="1"/>
  <c r="C8620" i="1"/>
  <c r="F8620" i="1"/>
  <c r="B8620" i="1" s="1"/>
  <c r="C8621" i="1"/>
  <c r="F8621" i="1"/>
  <c r="B8621" i="1" s="1"/>
  <c r="C8622" i="1"/>
  <c r="F8622" i="1"/>
  <c r="B8622" i="1" s="1"/>
  <c r="C8623" i="1"/>
  <c r="F8623" i="1"/>
  <c r="B8623" i="1" s="1"/>
  <c r="C8624" i="1"/>
  <c r="F8624" i="1"/>
  <c r="B8624" i="1" s="1"/>
  <c r="C8625" i="1"/>
  <c r="F8625" i="1"/>
  <c r="B8625" i="1" s="1"/>
  <c r="C8626" i="1"/>
  <c r="F8626" i="1"/>
  <c r="B8626" i="1" s="1"/>
  <c r="C8627" i="1"/>
  <c r="F8627" i="1"/>
  <c r="B8627" i="1" s="1"/>
  <c r="C8628" i="1"/>
  <c r="F8628" i="1"/>
  <c r="B8628" i="1" s="1"/>
  <c r="C8629" i="1"/>
  <c r="F8629" i="1"/>
  <c r="B8629" i="1" s="1"/>
  <c r="C8630" i="1"/>
  <c r="F8630" i="1"/>
  <c r="B8630" i="1" s="1"/>
  <c r="C8631" i="1"/>
  <c r="F8631" i="1"/>
  <c r="B8631" i="1" s="1"/>
  <c r="C8632" i="1"/>
  <c r="F8632" i="1"/>
  <c r="B8632" i="1" s="1"/>
  <c r="C8633" i="1"/>
  <c r="F8633" i="1"/>
  <c r="B8633" i="1" s="1"/>
  <c r="C8634" i="1"/>
  <c r="F8634" i="1"/>
  <c r="B8634" i="1" s="1"/>
  <c r="C8635" i="1"/>
  <c r="F8635" i="1"/>
  <c r="B8635" i="1" s="1"/>
  <c r="C8636" i="1"/>
  <c r="F8636" i="1"/>
  <c r="B8636" i="1" s="1"/>
  <c r="C8637" i="1"/>
  <c r="F8637" i="1"/>
  <c r="B8637" i="1" s="1"/>
  <c r="C8638" i="1"/>
  <c r="F8638" i="1"/>
  <c r="B8638" i="1" s="1"/>
  <c r="C8639" i="1"/>
  <c r="F8639" i="1"/>
  <c r="B8639" i="1" s="1"/>
  <c r="C8640" i="1"/>
  <c r="F8640" i="1"/>
  <c r="B8640" i="1" s="1"/>
  <c r="C8641" i="1"/>
  <c r="F8641" i="1"/>
  <c r="B8641" i="1" s="1"/>
  <c r="C8642" i="1"/>
  <c r="F8642" i="1"/>
  <c r="B8642" i="1" s="1"/>
  <c r="C8643" i="1"/>
  <c r="F8643" i="1"/>
  <c r="B8643" i="1" s="1"/>
  <c r="C8644" i="1"/>
  <c r="F8644" i="1"/>
  <c r="B8644" i="1" s="1"/>
  <c r="C8645" i="1"/>
  <c r="F8645" i="1"/>
  <c r="B8645" i="1" s="1"/>
  <c r="C8646" i="1"/>
  <c r="F8646" i="1"/>
  <c r="B8646" i="1" s="1"/>
  <c r="C8647" i="1"/>
  <c r="F8647" i="1"/>
  <c r="B8647" i="1" s="1"/>
  <c r="C8648" i="1"/>
  <c r="F8648" i="1"/>
  <c r="B8648" i="1" s="1"/>
  <c r="C8649" i="1"/>
  <c r="F8649" i="1"/>
  <c r="B8649" i="1" s="1"/>
  <c r="C8650" i="1"/>
  <c r="F8650" i="1"/>
  <c r="B8650" i="1" s="1"/>
  <c r="C8651" i="1"/>
  <c r="F8651" i="1"/>
  <c r="B8651" i="1" s="1"/>
  <c r="C8652" i="1"/>
  <c r="F8652" i="1"/>
  <c r="B8652" i="1" s="1"/>
  <c r="C8653" i="1"/>
  <c r="F8653" i="1"/>
  <c r="B8653" i="1" s="1"/>
  <c r="C8654" i="1"/>
  <c r="F8654" i="1"/>
  <c r="B8654" i="1" s="1"/>
  <c r="C8655" i="1"/>
  <c r="F8655" i="1"/>
  <c r="B8655" i="1" s="1"/>
  <c r="C8656" i="1"/>
  <c r="F8656" i="1"/>
  <c r="B8656" i="1" s="1"/>
  <c r="C8657" i="1"/>
  <c r="F8657" i="1"/>
  <c r="B8657" i="1" s="1"/>
  <c r="C8658" i="1"/>
  <c r="F8658" i="1"/>
  <c r="B8658" i="1" s="1"/>
  <c r="C8659" i="1"/>
  <c r="F8659" i="1"/>
  <c r="B8659" i="1" s="1"/>
  <c r="C8660" i="1"/>
  <c r="F8660" i="1"/>
  <c r="B8660" i="1" s="1"/>
  <c r="C8661" i="1"/>
  <c r="F8661" i="1"/>
  <c r="B8661" i="1" s="1"/>
  <c r="C8662" i="1"/>
  <c r="F8662" i="1"/>
  <c r="B8662" i="1" s="1"/>
  <c r="C8663" i="1"/>
  <c r="F8663" i="1"/>
  <c r="B8663" i="1" s="1"/>
  <c r="C8664" i="1"/>
  <c r="F8664" i="1"/>
  <c r="B8664" i="1" s="1"/>
  <c r="C8665" i="1"/>
  <c r="F8665" i="1"/>
  <c r="B8665" i="1" s="1"/>
  <c r="C8666" i="1"/>
  <c r="F8666" i="1"/>
  <c r="B8666" i="1" s="1"/>
  <c r="C8667" i="1"/>
  <c r="F8667" i="1"/>
  <c r="B8667" i="1" s="1"/>
  <c r="C8668" i="1"/>
  <c r="F8668" i="1"/>
  <c r="B8668" i="1" s="1"/>
  <c r="C8669" i="1"/>
  <c r="F8669" i="1"/>
  <c r="B8669" i="1" s="1"/>
  <c r="C8670" i="1"/>
  <c r="F8670" i="1"/>
  <c r="B8670" i="1" s="1"/>
  <c r="C8671" i="1"/>
  <c r="F8671" i="1"/>
  <c r="B8671" i="1" s="1"/>
  <c r="C8672" i="1"/>
  <c r="F8672" i="1"/>
  <c r="B8672" i="1" s="1"/>
  <c r="C8673" i="1"/>
  <c r="F8673" i="1"/>
  <c r="B8673" i="1" s="1"/>
  <c r="C8674" i="1"/>
  <c r="F8674" i="1"/>
  <c r="B8674" i="1" s="1"/>
  <c r="C8675" i="1"/>
  <c r="F8675" i="1"/>
  <c r="B8675" i="1" s="1"/>
  <c r="C8676" i="1"/>
  <c r="F8676" i="1"/>
  <c r="B8676" i="1" s="1"/>
  <c r="C8677" i="1"/>
  <c r="F8677" i="1"/>
  <c r="B8677" i="1" s="1"/>
  <c r="C8678" i="1"/>
  <c r="F8678" i="1"/>
  <c r="B8678" i="1" s="1"/>
  <c r="C8679" i="1"/>
  <c r="F8679" i="1"/>
  <c r="B8679" i="1" s="1"/>
  <c r="C8680" i="1"/>
  <c r="F8680" i="1"/>
  <c r="B8680" i="1" s="1"/>
  <c r="C8681" i="1"/>
  <c r="F8681" i="1"/>
  <c r="B8681" i="1" s="1"/>
  <c r="C8682" i="1"/>
  <c r="F8682" i="1"/>
  <c r="B8682" i="1" s="1"/>
  <c r="C8683" i="1"/>
  <c r="F8683" i="1"/>
  <c r="B8683" i="1" s="1"/>
  <c r="C8684" i="1"/>
  <c r="F8684" i="1"/>
  <c r="B8684" i="1" s="1"/>
  <c r="C8685" i="1"/>
  <c r="F8685" i="1"/>
  <c r="B8685" i="1" s="1"/>
  <c r="C8686" i="1"/>
  <c r="F8686" i="1"/>
  <c r="B8686" i="1" s="1"/>
  <c r="C8687" i="1"/>
  <c r="F8687" i="1"/>
  <c r="B8687" i="1" s="1"/>
  <c r="C8688" i="1"/>
  <c r="F8688" i="1"/>
  <c r="B8688" i="1" s="1"/>
  <c r="C8689" i="1"/>
  <c r="F8689" i="1"/>
  <c r="B8689" i="1" s="1"/>
  <c r="C8690" i="1"/>
  <c r="F8690" i="1"/>
  <c r="B8690" i="1" s="1"/>
  <c r="C8691" i="1"/>
  <c r="F8691" i="1"/>
  <c r="B8691" i="1" s="1"/>
  <c r="C8692" i="1"/>
  <c r="F8692" i="1"/>
  <c r="B8692" i="1" s="1"/>
  <c r="C8693" i="1"/>
  <c r="F8693" i="1"/>
  <c r="B8693" i="1" s="1"/>
  <c r="C8694" i="1"/>
  <c r="F8694" i="1"/>
  <c r="B8694" i="1" s="1"/>
  <c r="C8695" i="1"/>
  <c r="F8695" i="1"/>
  <c r="B8695" i="1" s="1"/>
  <c r="C8696" i="1"/>
  <c r="F8696" i="1"/>
  <c r="B8696" i="1" s="1"/>
  <c r="C8697" i="1"/>
  <c r="F8697" i="1"/>
  <c r="B8697" i="1" s="1"/>
  <c r="C8698" i="1"/>
  <c r="F8698" i="1"/>
  <c r="B8698" i="1" s="1"/>
  <c r="C8699" i="1"/>
  <c r="F8699" i="1"/>
  <c r="B8699" i="1" s="1"/>
  <c r="C8700" i="1"/>
  <c r="F8700" i="1"/>
  <c r="B8700" i="1" s="1"/>
  <c r="C8701" i="1"/>
  <c r="F8701" i="1"/>
  <c r="B8701" i="1" s="1"/>
  <c r="C8702" i="1"/>
  <c r="F8702" i="1"/>
  <c r="B8702" i="1" s="1"/>
  <c r="C8703" i="1"/>
  <c r="F8703" i="1"/>
  <c r="B8703" i="1" s="1"/>
  <c r="C8704" i="1"/>
  <c r="F8704" i="1"/>
  <c r="B8704" i="1" s="1"/>
  <c r="C8705" i="1"/>
  <c r="F8705" i="1"/>
  <c r="B8705" i="1" s="1"/>
  <c r="C8706" i="1"/>
  <c r="F8706" i="1"/>
  <c r="B8706" i="1" s="1"/>
  <c r="C8707" i="1"/>
  <c r="F8707" i="1"/>
  <c r="B8707" i="1" s="1"/>
  <c r="C8708" i="1"/>
  <c r="F8708" i="1"/>
  <c r="B8708" i="1" s="1"/>
  <c r="C8709" i="1"/>
  <c r="F8709" i="1"/>
  <c r="B8709" i="1" s="1"/>
  <c r="C8710" i="1"/>
  <c r="F8710" i="1"/>
  <c r="B8710" i="1" s="1"/>
  <c r="C8711" i="1"/>
  <c r="F8711" i="1"/>
  <c r="B8711" i="1" s="1"/>
  <c r="C8712" i="1"/>
  <c r="F8712" i="1"/>
  <c r="B8712" i="1" s="1"/>
  <c r="C8713" i="1"/>
  <c r="F8713" i="1"/>
  <c r="B8713" i="1" s="1"/>
  <c r="C8714" i="1"/>
  <c r="F8714" i="1"/>
  <c r="B8714" i="1" s="1"/>
  <c r="C8715" i="1"/>
  <c r="F8715" i="1"/>
  <c r="B8715" i="1" s="1"/>
  <c r="C8716" i="1"/>
  <c r="F8716" i="1"/>
  <c r="B8716" i="1" s="1"/>
  <c r="C8717" i="1"/>
  <c r="F8717" i="1"/>
  <c r="B8717" i="1" s="1"/>
  <c r="C8718" i="1"/>
  <c r="F8718" i="1"/>
  <c r="B8718" i="1" s="1"/>
  <c r="C8719" i="1"/>
  <c r="F8719" i="1"/>
  <c r="B8719" i="1" s="1"/>
  <c r="C8720" i="1"/>
  <c r="F8720" i="1"/>
  <c r="B8720" i="1" s="1"/>
  <c r="C8721" i="1"/>
  <c r="F8721" i="1"/>
  <c r="B8721" i="1" s="1"/>
  <c r="C8722" i="1"/>
  <c r="F8722" i="1"/>
  <c r="B8722" i="1" s="1"/>
  <c r="C8723" i="1"/>
  <c r="F8723" i="1"/>
  <c r="B8723" i="1" s="1"/>
  <c r="C8724" i="1"/>
  <c r="F8724" i="1"/>
  <c r="B8724" i="1" s="1"/>
  <c r="C8725" i="1"/>
  <c r="F8725" i="1"/>
  <c r="B8725" i="1" s="1"/>
  <c r="C8726" i="1"/>
  <c r="F8726" i="1"/>
  <c r="B8726" i="1" s="1"/>
  <c r="C8727" i="1"/>
  <c r="F8727" i="1"/>
  <c r="B8727" i="1" s="1"/>
  <c r="C8728" i="1"/>
  <c r="F8728" i="1"/>
  <c r="B8728" i="1" s="1"/>
  <c r="C8729" i="1"/>
  <c r="F8729" i="1"/>
  <c r="B8729" i="1" s="1"/>
  <c r="C8730" i="1"/>
  <c r="F8730" i="1"/>
  <c r="B8730" i="1" s="1"/>
  <c r="C8731" i="1"/>
  <c r="F8731" i="1"/>
  <c r="B8731" i="1" s="1"/>
  <c r="C8732" i="1"/>
  <c r="F8732" i="1"/>
  <c r="B8732" i="1" s="1"/>
  <c r="C8733" i="1"/>
  <c r="F8733" i="1"/>
  <c r="B8733" i="1" s="1"/>
  <c r="C8734" i="1"/>
  <c r="F8734" i="1"/>
  <c r="B8734" i="1" s="1"/>
  <c r="C8735" i="1"/>
  <c r="F8735" i="1"/>
  <c r="B8735" i="1" s="1"/>
  <c r="C8736" i="1"/>
  <c r="F8736" i="1"/>
  <c r="B8736" i="1" s="1"/>
  <c r="C8737" i="1"/>
  <c r="F8737" i="1"/>
  <c r="B8737" i="1" s="1"/>
  <c r="C8738" i="1"/>
  <c r="F8738" i="1"/>
  <c r="B8738" i="1" s="1"/>
  <c r="C8739" i="1"/>
  <c r="F8739" i="1"/>
  <c r="B8739" i="1" s="1"/>
  <c r="C8740" i="1"/>
  <c r="F8740" i="1"/>
  <c r="B8740" i="1" s="1"/>
  <c r="C8741" i="1"/>
  <c r="F8741" i="1"/>
  <c r="B8741" i="1" s="1"/>
  <c r="C8742" i="1"/>
  <c r="F8742" i="1"/>
  <c r="B8742" i="1" s="1"/>
  <c r="C8743" i="1"/>
  <c r="F8743" i="1"/>
  <c r="B8743" i="1" s="1"/>
  <c r="C8744" i="1"/>
  <c r="F8744" i="1"/>
  <c r="B8744" i="1" s="1"/>
  <c r="C8745" i="1"/>
  <c r="F8745" i="1"/>
  <c r="B8745" i="1" s="1"/>
  <c r="C8746" i="1"/>
  <c r="F8746" i="1"/>
  <c r="B8746" i="1" s="1"/>
  <c r="C8747" i="1"/>
  <c r="F8747" i="1"/>
  <c r="B8747" i="1" s="1"/>
  <c r="C8748" i="1"/>
  <c r="F8748" i="1"/>
  <c r="B8748" i="1" s="1"/>
  <c r="C8749" i="1"/>
  <c r="F8749" i="1"/>
  <c r="B8749" i="1" s="1"/>
  <c r="C8750" i="1"/>
  <c r="F8750" i="1"/>
  <c r="B8750" i="1" s="1"/>
  <c r="C8751" i="1"/>
  <c r="F8751" i="1"/>
  <c r="B8751" i="1" s="1"/>
  <c r="C8752" i="1"/>
  <c r="F8752" i="1"/>
  <c r="B8752" i="1" s="1"/>
  <c r="C8753" i="1"/>
  <c r="F8753" i="1"/>
  <c r="B8753" i="1" s="1"/>
  <c r="C8754" i="1"/>
  <c r="F8754" i="1"/>
  <c r="B8754" i="1" s="1"/>
  <c r="C8755" i="1"/>
  <c r="F8755" i="1"/>
  <c r="B8755" i="1" s="1"/>
  <c r="C8756" i="1"/>
  <c r="F8756" i="1"/>
  <c r="B8756" i="1" s="1"/>
  <c r="C8757" i="1"/>
  <c r="F8757" i="1"/>
  <c r="B8757" i="1" s="1"/>
  <c r="C8758" i="1"/>
  <c r="F8758" i="1"/>
  <c r="B8758" i="1" s="1"/>
  <c r="C8759" i="1"/>
  <c r="F8759" i="1"/>
  <c r="B8759" i="1" s="1"/>
  <c r="C8760" i="1"/>
  <c r="F8760" i="1"/>
  <c r="B8760" i="1" s="1"/>
  <c r="C8761" i="1"/>
  <c r="F8761" i="1"/>
  <c r="B8761" i="1" s="1"/>
  <c r="C8762" i="1"/>
  <c r="F8762" i="1"/>
  <c r="B8762" i="1" s="1"/>
  <c r="C8763" i="1"/>
  <c r="F8763" i="1"/>
  <c r="B8763" i="1" s="1"/>
  <c r="C8764" i="1"/>
  <c r="F8764" i="1"/>
  <c r="B8764" i="1" s="1"/>
  <c r="C8765" i="1"/>
  <c r="F8765" i="1"/>
  <c r="B8765" i="1" s="1"/>
  <c r="C8766" i="1"/>
  <c r="F8766" i="1"/>
  <c r="B8766" i="1" s="1"/>
  <c r="C8767" i="1"/>
  <c r="F8767" i="1"/>
  <c r="B8767" i="1" s="1"/>
  <c r="C8768" i="1"/>
  <c r="F8768" i="1"/>
  <c r="B8768" i="1" s="1"/>
  <c r="C8769" i="1"/>
  <c r="F8769" i="1"/>
  <c r="B8769" i="1" s="1"/>
  <c r="C8770" i="1"/>
  <c r="F8770" i="1"/>
  <c r="B8770" i="1" s="1"/>
  <c r="C8771" i="1"/>
  <c r="F8771" i="1"/>
  <c r="B8771" i="1" s="1"/>
  <c r="C8772" i="1"/>
  <c r="F8772" i="1"/>
  <c r="B8772" i="1" s="1"/>
  <c r="C8773" i="1"/>
  <c r="F8773" i="1"/>
  <c r="B8773" i="1" s="1"/>
  <c r="C8774" i="1"/>
  <c r="F8774" i="1"/>
  <c r="B8774" i="1" s="1"/>
  <c r="C8775" i="1"/>
  <c r="F8775" i="1"/>
  <c r="B8775" i="1" s="1"/>
  <c r="C8776" i="1"/>
  <c r="F8776" i="1"/>
  <c r="B8776" i="1" s="1"/>
  <c r="C8777" i="1"/>
  <c r="F8777" i="1"/>
  <c r="B8777" i="1" s="1"/>
  <c r="C8778" i="1"/>
  <c r="F8778" i="1"/>
  <c r="B8778" i="1" s="1"/>
  <c r="C8779" i="1"/>
  <c r="F8779" i="1"/>
  <c r="B8779" i="1" s="1"/>
  <c r="C8780" i="1"/>
  <c r="F8780" i="1"/>
  <c r="B8780" i="1" s="1"/>
  <c r="C8781" i="1"/>
  <c r="F8781" i="1"/>
  <c r="B8781" i="1" s="1"/>
  <c r="C8782" i="1"/>
  <c r="F8782" i="1"/>
  <c r="B8782" i="1" s="1"/>
  <c r="C8783" i="1"/>
  <c r="F8783" i="1"/>
  <c r="B8783" i="1" s="1"/>
  <c r="C8784" i="1"/>
  <c r="F8784" i="1"/>
  <c r="B8784" i="1" s="1"/>
  <c r="C8785" i="1"/>
  <c r="F8785" i="1"/>
  <c r="B8785" i="1" s="1"/>
  <c r="C8786" i="1"/>
  <c r="F8786" i="1"/>
  <c r="B8786" i="1" s="1"/>
  <c r="C8787" i="1"/>
  <c r="F8787" i="1"/>
  <c r="B8787" i="1" s="1"/>
  <c r="C8788" i="1"/>
  <c r="F8788" i="1"/>
  <c r="B8788" i="1" s="1"/>
  <c r="C8789" i="1"/>
  <c r="F8789" i="1"/>
  <c r="B8789" i="1" s="1"/>
  <c r="C8790" i="1"/>
  <c r="F8790" i="1"/>
  <c r="B8790" i="1" s="1"/>
  <c r="C8791" i="1"/>
  <c r="F8791" i="1"/>
  <c r="B8791" i="1" s="1"/>
  <c r="C8792" i="1"/>
  <c r="F8792" i="1"/>
  <c r="B8792" i="1" s="1"/>
  <c r="C8793" i="1"/>
  <c r="F8793" i="1"/>
  <c r="B8793" i="1" s="1"/>
  <c r="C8794" i="1"/>
  <c r="F8794" i="1"/>
  <c r="B8794" i="1" s="1"/>
  <c r="C8795" i="1"/>
  <c r="F8795" i="1"/>
  <c r="B8795" i="1" s="1"/>
  <c r="C8796" i="1"/>
  <c r="F8796" i="1"/>
  <c r="B8796" i="1" s="1"/>
  <c r="C8797" i="1"/>
  <c r="F8797" i="1"/>
  <c r="B8797" i="1" s="1"/>
  <c r="C8798" i="1"/>
  <c r="F8798" i="1"/>
  <c r="B8798" i="1" s="1"/>
  <c r="C8799" i="1"/>
  <c r="F8799" i="1"/>
  <c r="B8799" i="1" s="1"/>
  <c r="C8800" i="1"/>
  <c r="F8800" i="1"/>
  <c r="B8800" i="1" s="1"/>
  <c r="C8801" i="1"/>
  <c r="F8801" i="1"/>
  <c r="B8801" i="1" s="1"/>
  <c r="C8802" i="1"/>
  <c r="F8802" i="1"/>
  <c r="B8802" i="1" s="1"/>
  <c r="C8803" i="1"/>
  <c r="F8803" i="1"/>
  <c r="B8803" i="1" s="1"/>
  <c r="C8804" i="1"/>
  <c r="F8804" i="1"/>
  <c r="B8804" i="1" s="1"/>
  <c r="C8805" i="1"/>
  <c r="F8805" i="1"/>
  <c r="C8806" i="1"/>
  <c r="F8806" i="1"/>
  <c r="B8806" i="1" s="1"/>
  <c r="C8807" i="1"/>
  <c r="F8807" i="1"/>
  <c r="B8807" i="1" s="1"/>
  <c r="C8808" i="1"/>
  <c r="F8808" i="1"/>
  <c r="B8808" i="1" s="1"/>
  <c r="C8809" i="1"/>
  <c r="F8809" i="1"/>
  <c r="B8809" i="1" s="1"/>
  <c r="C8810" i="1"/>
  <c r="F8810" i="1"/>
  <c r="B8810" i="1" s="1"/>
  <c r="C8811" i="1"/>
  <c r="F8811" i="1"/>
  <c r="B8811" i="1" s="1"/>
  <c r="C8812" i="1"/>
  <c r="F8812" i="1"/>
  <c r="B8812" i="1" s="1"/>
  <c r="C8813" i="1"/>
  <c r="F8813" i="1"/>
  <c r="B8813" i="1" s="1"/>
  <c r="C8814" i="1"/>
  <c r="F8814" i="1"/>
  <c r="B8814" i="1" s="1"/>
  <c r="C8815" i="1"/>
  <c r="F8815" i="1"/>
  <c r="B8815" i="1" s="1"/>
  <c r="C8816" i="1"/>
  <c r="F8816" i="1"/>
  <c r="B8816" i="1" s="1"/>
  <c r="C8817" i="1"/>
  <c r="F8817" i="1"/>
  <c r="B8817" i="1" s="1"/>
  <c r="C8818" i="1"/>
  <c r="F8818" i="1"/>
  <c r="B8818" i="1" s="1"/>
  <c r="C8819" i="1"/>
  <c r="F8819" i="1"/>
  <c r="B8819" i="1" s="1"/>
  <c r="C8820" i="1"/>
  <c r="F8820" i="1"/>
  <c r="B8820" i="1" s="1"/>
  <c r="C8821" i="1"/>
  <c r="F8821" i="1"/>
  <c r="B8821" i="1" s="1"/>
  <c r="C8822" i="1"/>
  <c r="F8822" i="1"/>
  <c r="B8822" i="1" s="1"/>
  <c r="C8823" i="1"/>
  <c r="F8823" i="1"/>
  <c r="B8823" i="1" s="1"/>
  <c r="C8824" i="1"/>
  <c r="F8824" i="1"/>
  <c r="B8824" i="1" s="1"/>
  <c r="C8825" i="1"/>
  <c r="F8825" i="1"/>
  <c r="B8825" i="1" s="1"/>
  <c r="C8826" i="1"/>
  <c r="F8826" i="1"/>
  <c r="B8826" i="1" s="1"/>
  <c r="C8827" i="1"/>
  <c r="F8827" i="1"/>
  <c r="B8827" i="1" s="1"/>
  <c r="C8828" i="1"/>
  <c r="F8828" i="1"/>
  <c r="B8828" i="1" s="1"/>
  <c r="C8829" i="1"/>
  <c r="F8829" i="1"/>
  <c r="B8829" i="1" s="1"/>
  <c r="C8830" i="1"/>
  <c r="F8830" i="1"/>
  <c r="B8830" i="1" s="1"/>
  <c r="C8831" i="1"/>
  <c r="F8831" i="1"/>
  <c r="B8831" i="1" s="1"/>
  <c r="E8424" i="1"/>
  <c r="C8424" i="1"/>
  <c r="E8289" i="1"/>
  <c r="E8290" i="1"/>
  <c r="E8291" i="1"/>
  <c r="E8292" i="1"/>
  <c r="E8293" i="1"/>
  <c r="E8294" i="1"/>
  <c r="E8295" i="1"/>
  <c r="E8296" i="1"/>
  <c r="E8297" i="1"/>
  <c r="E8298" i="1"/>
  <c r="E8299" i="1"/>
  <c r="E8300" i="1"/>
  <c r="E8301" i="1"/>
  <c r="E8302" i="1"/>
  <c r="E8303" i="1"/>
  <c r="E8304" i="1"/>
  <c r="E8305" i="1"/>
  <c r="E8306" i="1"/>
  <c r="E8307" i="1"/>
  <c r="E8308" i="1"/>
  <c r="E8309" i="1"/>
  <c r="E8310" i="1"/>
  <c r="E8311" i="1"/>
  <c r="E8312" i="1"/>
  <c r="E8313" i="1"/>
  <c r="E8314" i="1"/>
  <c r="E8315" i="1"/>
  <c r="E8316" i="1"/>
  <c r="E8317" i="1"/>
  <c r="E8318" i="1"/>
  <c r="E8319" i="1"/>
  <c r="E8320" i="1"/>
  <c r="E8321" i="1"/>
  <c r="E8322" i="1"/>
  <c r="E8323" i="1"/>
  <c r="E8324" i="1"/>
  <c r="E8325" i="1"/>
  <c r="E8326" i="1"/>
  <c r="E8327" i="1"/>
  <c r="E8328" i="1"/>
  <c r="E8329" i="1"/>
  <c r="E8330" i="1"/>
  <c r="E8331" i="1"/>
  <c r="E8332" i="1"/>
  <c r="E8333" i="1"/>
  <c r="E8334" i="1"/>
  <c r="E8335" i="1"/>
  <c r="E8336" i="1"/>
  <c r="E8337" i="1"/>
  <c r="E8338" i="1"/>
  <c r="E8339" i="1"/>
  <c r="E8340" i="1"/>
  <c r="E8341" i="1"/>
  <c r="E8342" i="1"/>
  <c r="E8343" i="1"/>
  <c r="E8344" i="1"/>
  <c r="E8345" i="1"/>
  <c r="E8346" i="1"/>
  <c r="E8347" i="1"/>
  <c r="E8348" i="1"/>
  <c r="E8349" i="1"/>
  <c r="E8350" i="1"/>
  <c r="E8351" i="1"/>
  <c r="E8352" i="1"/>
  <c r="E8353" i="1"/>
  <c r="E8354" i="1"/>
  <c r="E8355" i="1"/>
  <c r="E8356" i="1"/>
  <c r="E8357" i="1"/>
  <c r="E8358" i="1"/>
  <c r="E8359" i="1"/>
  <c r="E8360" i="1"/>
  <c r="E8361" i="1"/>
  <c r="E8362" i="1"/>
  <c r="E8363" i="1"/>
  <c r="E8364" i="1"/>
  <c r="E8365" i="1"/>
  <c r="E8366" i="1"/>
  <c r="E8367" i="1"/>
  <c r="E8368" i="1"/>
  <c r="E8369" i="1"/>
  <c r="E8370" i="1"/>
  <c r="E8371" i="1"/>
  <c r="E8372" i="1"/>
  <c r="E8373" i="1"/>
  <c r="E8374" i="1"/>
  <c r="E8375" i="1"/>
  <c r="E8376" i="1"/>
  <c r="E8377" i="1"/>
  <c r="E8378" i="1"/>
  <c r="E8379" i="1"/>
  <c r="E8380" i="1"/>
  <c r="E8381" i="1"/>
  <c r="E8382" i="1"/>
  <c r="E8383" i="1"/>
  <c r="E8384" i="1"/>
  <c r="E8385" i="1"/>
  <c r="E8386" i="1"/>
  <c r="E8387" i="1"/>
  <c r="E8388" i="1"/>
  <c r="E8389" i="1"/>
  <c r="E8390" i="1"/>
  <c r="E8391" i="1"/>
  <c r="E8392" i="1"/>
  <c r="E8393" i="1"/>
  <c r="E8394" i="1"/>
  <c r="E8395" i="1"/>
  <c r="E8396" i="1"/>
  <c r="E8397" i="1"/>
  <c r="E8398" i="1"/>
  <c r="E8399" i="1"/>
  <c r="E8400" i="1"/>
  <c r="E8401" i="1"/>
  <c r="E8402" i="1"/>
  <c r="E8403" i="1"/>
  <c r="E8404" i="1"/>
  <c r="E8405" i="1"/>
  <c r="E8406" i="1"/>
  <c r="E8407" i="1"/>
  <c r="E8408" i="1"/>
  <c r="E8409" i="1"/>
  <c r="E8410" i="1"/>
  <c r="E8411" i="1"/>
  <c r="E8412" i="1"/>
  <c r="E8413" i="1"/>
  <c r="E8414" i="1"/>
  <c r="E8415" i="1"/>
  <c r="E8416" i="1"/>
  <c r="E8417" i="1"/>
  <c r="E8418" i="1"/>
  <c r="E8419" i="1"/>
  <c r="E8420" i="1"/>
  <c r="E8421" i="1"/>
  <c r="E8422" i="1"/>
  <c r="E8423" i="1"/>
  <c r="E8288" i="1"/>
  <c r="E8153" i="1"/>
  <c r="F8153" i="1"/>
  <c r="B8153" i="1" s="1"/>
  <c r="E8154" i="1"/>
  <c r="F8154" i="1"/>
  <c r="B8154" i="1" s="1"/>
  <c r="E8155" i="1"/>
  <c r="F8155" i="1"/>
  <c r="B8155" i="1" s="1"/>
  <c r="E8156" i="1"/>
  <c r="F8156" i="1"/>
  <c r="B8156" i="1" s="1"/>
  <c r="E8157" i="1"/>
  <c r="F8157" i="1"/>
  <c r="B8157" i="1" s="1"/>
  <c r="E8158" i="1"/>
  <c r="F8158" i="1"/>
  <c r="B8158" i="1" s="1"/>
  <c r="E8159" i="1"/>
  <c r="F8159" i="1"/>
  <c r="B8159" i="1" s="1"/>
  <c r="E8160" i="1"/>
  <c r="F8160" i="1"/>
  <c r="B8160" i="1" s="1"/>
  <c r="E8161" i="1"/>
  <c r="F8161" i="1"/>
  <c r="B8161" i="1" s="1"/>
  <c r="E8162" i="1"/>
  <c r="F8162" i="1"/>
  <c r="B8162" i="1" s="1"/>
  <c r="E8163" i="1"/>
  <c r="F8163" i="1"/>
  <c r="B8163" i="1" s="1"/>
  <c r="E8164" i="1"/>
  <c r="F8164" i="1"/>
  <c r="B8164" i="1" s="1"/>
  <c r="E8165" i="1"/>
  <c r="F8165" i="1"/>
  <c r="B8165" i="1" s="1"/>
  <c r="E8166" i="1"/>
  <c r="F8166" i="1"/>
  <c r="B8166" i="1" s="1"/>
  <c r="E8167" i="1"/>
  <c r="F8167" i="1"/>
  <c r="B8167" i="1" s="1"/>
  <c r="E8168" i="1"/>
  <c r="F8168" i="1"/>
  <c r="B8168" i="1" s="1"/>
  <c r="E8169" i="1"/>
  <c r="F8169" i="1"/>
  <c r="B8169" i="1" s="1"/>
  <c r="E8170" i="1"/>
  <c r="F8170" i="1"/>
  <c r="B8170" i="1" s="1"/>
  <c r="E8171" i="1"/>
  <c r="F8171" i="1"/>
  <c r="B8171" i="1" s="1"/>
  <c r="E8172" i="1"/>
  <c r="F8172" i="1"/>
  <c r="B8172" i="1" s="1"/>
  <c r="E8173" i="1"/>
  <c r="F8173" i="1"/>
  <c r="B8173" i="1" s="1"/>
  <c r="E8174" i="1"/>
  <c r="F8174" i="1"/>
  <c r="B8174" i="1" s="1"/>
  <c r="E8175" i="1"/>
  <c r="F8175" i="1"/>
  <c r="B8175" i="1" s="1"/>
  <c r="E8176" i="1"/>
  <c r="F8176" i="1"/>
  <c r="B8176" i="1" s="1"/>
  <c r="E8177" i="1"/>
  <c r="F8177" i="1"/>
  <c r="B8177" i="1" s="1"/>
  <c r="E8178" i="1"/>
  <c r="F8178" i="1"/>
  <c r="B8178" i="1" s="1"/>
  <c r="E8179" i="1"/>
  <c r="F8179" i="1"/>
  <c r="B8179" i="1" s="1"/>
  <c r="E8180" i="1"/>
  <c r="F8180" i="1"/>
  <c r="B8180" i="1" s="1"/>
  <c r="E8181" i="1"/>
  <c r="F8181" i="1"/>
  <c r="B8181" i="1" s="1"/>
  <c r="E8182" i="1"/>
  <c r="F8182" i="1"/>
  <c r="B8182" i="1" s="1"/>
  <c r="E8183" i="1"/>
  <c r="F8183" i="1"/>
  <c r="B8183" i="1" s="1"/>
  <c r="E8184" i="1"/>
  <c r="F8184" i="1"/>
  <c r="B8184" i="1" s="1"/>
  <c r="E8185" i="1"/>
  <c r="F8185" i="1"/>
  <c r="B8185" i="1" s="1"/>
  <c r="E8186" i="1"/>
  <c r="F8186" i="1"/>
  <c r="B8186" i="1" s="1"/>
  <c r="E8187" i="1"/>
  <c r="F8187" i="1"/>
  <c r="B8187" i="1" s="1"/>
  <c r="E8188" i="1"/>
  <c r="F8188" i="1"/>
  <c r="B8188" i="1" s="1"/>
  <c r="E8189" i="1"/>
  <c r="F8189" i="1"/>
  <c r="B8189" i="1" s="1"/>
  <c r="E8190" i="1"/>
  <c r="F8190" i="1"/>
  <c r="B8190" i="1" s="1"/>
  <c r="E8191" i="1"/>
  <c r="F8191" i="1"/>
  <c r="B8191" i="1" s="1"/>
  <c r="E8192" i="1"/>
  <c r="F8192" i="1"/>
  <c r="B8192" i="1" s="1"/>
  <c r="E8193" i="1"/>
  <c r="F8193" i="1"/>
  <c r="B8193" i="1" s="1"/>
  <c r="E8194" i="1"/>
  <c r="F8194" i="1"/>
  <c r="B8194" i="1" s="1"/>
  <c r="E8195" i="1"/>
  <c r="F8195" i="1"/>
  <c r="B8195" i="1" s="1"/>
  <c r="E8196" i="1"/>
  <c r="F8196" i="1"/>
  <c r="B8196" i="1" s="1"/>
  <c r="E8197" i="1"/>
  <c r="F8197" i="1"/>
  <c r="B8197" i="1" s="1"/>
  <c r="E8198" i="1"/>
  <c r="F8198" i="1"/>
  <c r="B8198" i="1" s="1"/>
  <c r="E8199" i="1"/>
  <c r="F8199" i="1"/>
  <c r="B8199" i="1" s="1"/>
  <c r="E8200" i="1"/>
  <c r="F8200" i="1"/>
  <c r="B8200" i="1" s="1"/>
  <c r="E8201" i="1"/>
  <c r="F8201" i="1"/>
  <c r="B8201" i="1" s="1"/>
  <c r="E8202" i="1"/>
  <c r="F8202" i="1"/>
  <c r="B8202" i="1" s="1"/>
  <c r="E8203" i="1"/>
  <c r="F8203" i="1"/>
  <c r="B8203" i="1" s="1"/>
  <c r="E8204" i="1"/>
  <c r="F8204" i="1"/>
  <c r="B8204" i="1" s="1"/>
  <c r="E8205" i="1"/>
  <c r="F8205" i="1"/>
  <c r="B8205" i="1" s="1"/>
  <c r="E8206" i="1"/>
  <c r="F8206" i="1"/>
  <c r="B8206" i="1" s="1"/>
  <c r="E8207" i="1"/>
  <c r="F8207" i="1"/>
  <c r="B8207" i="1" s="1"/>
  <c r="E8208" i="1"/>
  <c r="F8208" i="1"/>
  <c r="B8208" i="1" s="1"/>
  <c r="E8209" i="1"/>
  <c r="F8209" i="1"/>
  <c r="B8209" i="1" s="1"/>
  <c r="E8210" i="1"/>
  <c r="F8210" i="1"/>
  <c r="B8210" i="1" s="1"/>
  <c r="E8211" i="1"/>
  <c r="F8211" i="1"/>
  <c r="B8211" i="1" s="1"/>
  <c r="E8212" i="1"/>
  <c r="F8212" i="1"/>
  <c r="B8212" i="1" s="1"/>
  <c r="E8213" i="1"/>
  <c r="F8213" i="1"/>
  <c r="B8213" i="1" s="1"/>
  <c r="E8214" i="1"/>
  <c r="F8214" i="1"/>
  <c r="B8214" i="1" s="1"/>
  <c r="E8215" i="1"/>
  <c r="F8215" i="1"/>
  <c r="B8215" i="1" s="1"/>
  <c r="E8216" i="1"/>
  <c r="F8216" i="1"/>
  <c r="B8216" i="1" s="1"/>
  <c r="E8217" i="1"/>
  <c r="F8217" i="1"/>
  <c r="B8217" i="1" s="1"/>
  <c r="E8218" i="1"/>
  <c r="F8218" i="1"/>
  <c r="B8218" i="1" s="1"/>
  <c r="E8219" i="1"/>
  <c r="F8219" i="1"/>
  <c r="B8219" i="1" s="1"/>
  <c r="E8220" i="1"/>
  <c r="F8220" i="1"/>
  <c r="B8220" i="1" s="1"/>
  <c r="E8221" i="1"/>
  <c r="F8221" i="1"/>
  <c r="B8221" i="1" s="1"/>
  <c r="E8222" i="1"/>
  <c r="F8222" i="1"/>
  <c r="B8222" i="1" s="1"/>
  <c r="E8223" i="1"/>
  <c r="F8223" i="1"/>
  <c r="B8223" i="1" s="1"/>
  <c r="E8224" i="1"/>
  <c r="F8224" i="1"/>
  <c r="B8224" i="1" s="1"/>
  <c r="E8225" i="1"/>
  <c r="F8225" i="1"/>
  <c r="B8225" i="1" s="1"/>
  <c r="E8226" i="1"/>
  <c r="F8226" i="1"/>
  <c r="B8226" i="1" s="1"/>
  <c r="E8227" i="1"/>
  <c r="F8227" i="1"/>
  <c r="B8227" i="1" s="1"/>
  <c r="E8228" i="1"/>
  <c r="F8228" i="1"/>
  <c r="B8228" i="1" s="1"/>
  <c r="E8229" i="1"/>
  <c r="F8229" i="1"/>
  <c r="B8229" i="1" s="1"/>
  <c r="E8230" i="1"/>
  <c r="F8230" i="1"/>
  <c r="B8230" i="1" s="1"/>
  <c r="E8231" i="1"/>
  <c r="F8231" i="1"/>
  <c r="B8231" i="1" s="1"/>
  <c r="E8232" i="1"/>
  <c r="F8232" i="1"/>
  <c r="B8232" i="1" s="1"/>
  <c r="E8233" i="1"/>
  <c r="F8233" i="1"/>
  <c r="B8233" i="1" s="1"/>
  <c r="E8234" i="1"/>
  <c r="F8234" i="1"/>
  <c r="B8234" i="1" s="1"/>
  <c r="E8235" i="1"/>
  <c r="F8235" i="1"/>
  <c r="B8235" i="1" s="1"/>
  <c r="E8236" i="1"/>
  <c r="F8236" i="1"/>
  <c r="B8236" i="1" s="1"/>
  <c r="E8237" i="1"/>
  <c r="F8237" i="1"/>
  <c r="B8237" i="1" s="1"/>
  <c r="E8238" i="1"/>
  <c r="F8238" i="1"/>
  <c r="B8238" i="1" s="1"/>
  <c r="E8239" i="1"/>
  <c r="F8239" i="1"/>
  <c r="B8239" i="1" s="1"/>
  <c r="E8240" i="1"/>
  <c r="F8240" i="1"/>
  <c r="B8240" i="1" s="1"/>
  <c r="E8241" i="1"/>
  <c r="F8241" i="1"/>
  <c r="B8241" i="1" s="1"/>
  <c r="E8242" i="1"/>
  <c r="F8242" i="1"/>
  <c r="B8242" i="1" s="1"/>
  <c r="E8243" i="1"/>
  <c r="F8243" i="1"/>
  <c r="B8243" i="1" s="1"/>
  <c r="E8244" i="1"/>
  <c r="F8244" i="1"/>
  <c r="B8244" i="1" s="1"/>
  <c r="E8245" i="1"/>
  <c r="F8245" i="1"/>
  <c r="B8245" i="1" s="1"/>
  <c r="E8246" i="1"/>
  <c r="F8246" i="1"/>
  <c r="B8246" i="1" s="1"/>
  <c r="E8247" i="1"/>
  <c r="F8247" i="1"/>
  <c r="B8247" i="1" s="1"/>
  <c r="E8248" i="1"/>
  <c r="F8248" i="1"/>
  <c r="B8248" i="1" s="1"/>
  <c r="E8249" i="1"/>
  <c r="F8249" i="1"/>
  <c r="B8249" i="1" s="1"/>
  <c r="E8250" i="1"/>
  <c r="F8250" i="1"/>
  <c r="B8250" i="1" s="1"/>
  <c r="E8251" i="1"/>
  <c r="F8251" i="1"/>
  <c r="B8251" i="1" s="1"/>
  <c r="E8252" i="1"/>
  <c r="F8252" i="1"/>
  <c r="B8252" i="1" s="1"/>
  <c r="E8253" i="1"/>
  <c r="F8253" i="1"/>
  <c r="B8253" i="1" s="1"/>
  <c r="E8254" i="1"/>
  <c r="F8254" i="1"/>
  <c r="B8254" i="1" s="1"/>
  <c r="E8255" i="1"/>
  <c r="F8255" i="1"/>
  <c r="B8255" i="1" s="1"/>
  <c r="E8256" i="1"/>
  <c r="F8256" i="1"/>
  <c r="B8256" i="1" s="1"/>
  <c r="E8257" i="1"/>
  <c r="F8257" i="1"/>
  <c r="B8257" i="1" s="1"/>
  <c r="E8258" i="1"/>
  <c r="F8258" i="1"/>
  <c r="B8258" i="1" s="1"/>
  <c r="E8259" i="1"/>
  <c r="F8259" i="1"/>
  <c r="B8259" i="1" s="1"/>
  <c r="E8260" i="1"/>
  <c r="F8260" i="1"/>
  <c r="B8260" i="1" s="1"/>
  <c r="E8261" i="1"/>
  <c r="F8261" i="1"/>
  <c r="B8261" i="1" s="1"/>
  <c r="E8262" i="1"/>
  <c r="F8262" i="1"/>
  <c r="B8262" i="1" s="1"/>
  <c r="E8263" i="1"/>
  <c r="F8263" i="1"/>
  <c r="B8263" i="1" s="1"/>
  <c r="E8264" i="1"/>
  <c r="F8264" i="1"/>
  <c r="B8264" i="1" s="1"/>
  <c r="E8265" i="1"/>
  <c r="F8265" i="1"/>
  <c r="B8265" i="1" s="1"/>
  <c r="E8266" i="1"/>
  <c r="F8266" i="1"/>
  <c r="B8266" i="1" s="1"/>
  <c r="E8267" i="1"/>
  <c r="F8267" i="1"/>
  <c r="B8267" i="1" s="1"/>
  <c r="E8268" i="1"/>
  <c r="F8268" i="1"/>
  <c r="B8268" i="1" s="1"/>
  <c r="E8269" i="1"/>
  <c r="F8269" i="1"/>
  <c r="B8269" i="1" s="1"/>
  <c r="E8270" i="1"/>
  <c r="F8270" i="1"/>
  <c r="B8270" i="1" s="1"/>
  <c r="E8271" i="1"/>
  <c r="F8271" i="1"/>
  <c r="B8271" i="1" s="1"/>
  <c r="E8272" i="1"/>
  <c r="F8272" i="1"/>
  <c r="B8272" i="1" s="1"/>
  <c r="E8273" i="1"/>
  <c r="F8273" i="1"/>
  <c r="B8273" i="1" s="1"/>
  <c r="E8274" i="1"/>
  <c r="F8274" i="1"/>
  <c r="B8274" i="1" s="1"/>
  <c r="E8275" i="1"/>
  <c r="F8275" i="1"/>
  <c r="B8275" i="1" s="1"/>
  <c r="E8276" i="1"/>
  <c r="F8276" i="1"/>
  <c r="B8276" i="1" s="1"/>
  <c r="E8277" i="1"/>
  <c r="F8277" i="1"/>
  <c r="B8277" i="1" s="1"/>
  <c r="E8278" i="1"/>
  <c r="F8278" i="1"/>
  <c r="B8278" i="1" s="1"/>
  <c r="E8279" i="1"/>
  <c r="F8279" i="1"/>
  <c r="B8279" i="1" s="1"/>
  <c r="E8280" i="1"/>
  <c r="F8280" i="1"/>
  <c r="B8280" i="1" s="1"/>
  <c r="E8281" i="1"/>
  <c r="F8281" i="1"/>
  <c r="B8281" i="1" s="1"/>
  <c r="E8282" i="1"/>
  <c r="F8282" i="1"/>
  <c r="B8282" i="1" s="1"/>
  <c r="E8283" i="1"/>
  <c r="F8283" i="1"/>
  <c r="B8283" i="1" s="1"/>
  <c r="E8284" i="1"/>
  <c r="F8284" i="1"/>
  <c r="B8284" i="1" s="1"/>
  <c r="E8285" i="1"/>
  <c r="F8285" i="1"/>
  <c r="B8285" i="1" s="1"/>
  <c r="E8286" i="1"/>
  <c r="F8286" i="1"/>
  <c r="B8286" i="1" s="1"/>
  <c r="E8287" i="1"/>
  <c r="F8287" i="1"/>
  <c r="B8287" i="1" s="1"/>
  <c r="F8288" i="1"/>
  <c r="B8288" i="1" s="1"/>
  <c r="F8289" i="1"/>
  <c r="B8289" i="1" s="1"/>
  <c r="F8290" i="1"/>
  <c r="B8290" i="1" s="1"/>
  <c r="F8291" i="1"/>
  <c r="B8291" i="1" s="1"/>
  <c r="F8292" i="1"/>
  <c r="B8292" i="1" s="1"/>
  <c r="F8293" i="1"/>
  <c r="B8293" i="1" s="1"/>
  <c r="F8294" i="1"/>
  <c r="B8294" i="1" s="1"/>
  <c r="F8295" i="1"/>
  <c r="B8295" i="1" s="1"/>
  <c r="F8296" i="1"/>
  <c r="B8296" i="1" s="1"/>
  <c r="F8297" i="1"/>
  <c r="B8297" i="1" s="1"/>
  <c r="F8298" i="1"/>
  <c r="B8298" i="1" s="1"/>
  <c r="F8299" i="1"/>
  <c r="B8299" i="1" s="1"/>
  <c r="F8300" i="1"/>
  <c r="B8300" i="1" s="1"/>
  <c r="F8301" i="1"/>
  <c r="B8301" i="1" s="1"/>
  <c r="F8302" i="1"/>
  <c r="B8302" i="1" s="1"/>
  <c r="F8303" i="1"/>
  <c r="B8303" i="1" s="1"/>
  <c r="F8304" i="1"/>
  <c r="B8304" i="1" s="1"/>
  <c r="F8305" i="1"/>
  <c r="B8305" i="1" s="1"/>
  <c r="F8306" i="1"/>
  <c r="B8306" i="1" s="1"/>
  <c r="F8307" i="1"/>
  <c r="B8307" i="1" s="1"/>
  <c r="F8308" i="1"/>
  <c r="B8308" i="1" s="1"/>
  <c r="F8309" i="1"/>
  <c r="B8309" i="1" s="1"/>
  <c r="F8310" i="1"/>
  <c r="B8310" i="1" s="1"/>
  <c r="F8311" i="1"/>
  <c r="B8311" i="1" s="1"/>
  <c r="F8312" i="1"/>
  <c r="B8312" i="1" s="1"/>
  <c r="F8313" i="1"/>
  <c r="B8313" i="1" s="1"/>
  <c r="F8314" i="1"/>
  <c r="B8314" i="1" s="1"/>
  <c r="F8315" i="1"/>
  <c r="B8315" i="1" s="1"/>
  <c r="F8316" i="1"/>
  <c r="B8316" i="1" s="1"/>
  <c r="F8317" i="1"/>
  <c r="B8317" i="1" s="1"/>
  <c r="F8318" i="1"/>
  <c r="B8318" i="1" s="1"/>
  <c r="F8319" i="1"/>
  <c r="B8319" i="1" s="1"/>
  <c r="F8320" i="1"/>
  <c r="B8320" i="1" s="1"/>
  <c r="F8321" i="1"/>
  <c r="B8321" i="1" s="1"/>
  <c r="F8322" i="1"/>
  <c r="B8322" i="1" s="1"/>
  <c r="F8323" i="1"/>
  <c r="B8323" i="1" s="1"/>
  <c r="F8324" i="1"/>
  <c r="B8324" i="1" s="1"/>
  <c r="F8325" i="1"/>
  <c r="B8325" i="1" s="1"/>
  <c r="F8326" i="1"/>
  <c r="B8326" i="1" s="1"/>
  <c r="F8327" i="1"/>
  <c r="B8327" i="1" s="1"/>
  <c r="F8328" i="1"/>
  <c r="B8328" i="1" s="1"/>
  <c r="F8329" i="1"/>
  <c r="B8329" i="1" s="1"/>
  <c r="F8330" i="1"/>
  <c r="B8330" i="1" s="1"/>
  <c r="F8331" i="1"/>
  <c r="B8331" i="1" s="1"/>
  <c r="F8332" i="1"/>
  <c r="B8332" i="1" s="1"/>
  <c r="F8333" i="1"/>
  <c r="B8333" i="1" s="1"/>
  <c r="F8334" i="1"/>
  <c r="B8334" i="1" s="1"/>
  <c r="F8335" i="1"/>
  <c r="B8335" i="1" s="1"/>
  <c r="F8336" i="1"/>
  <c r="B8336" i="1" s="1"/>
  <c r="F8337" i="1"/>
  <c r="B8337" i="1" s="1"/>
  <c r="F8338" i="1"/>
  <c r="B8338" i="1" s="1"/>
  <c r="F8339" i="1"/>
  <c r="B8339" i="1" s="1"/>
  <c r="F8340" i="1"/>
  <c r="B8340" i="1" s="1"/>
  <c r="F8341" i="1"/>
  <c r="B8341" i="1" s="1"/>
  <c r="F8342" i="1"/>
  <c r="B8342" i="1" s="1"/>
  <c r="F8343" i="1"/>
  <c r="B8343" i="1" s="1"/>
  <c r="F8344" i="1"/>
  <c r="B8344" i="1" s="1"/>
  <c r="F8345" i="1"/>
  <c r="B8345" i="1" s="1"/>
  <c r="F8346" i="1"/>
  <c r="B8346" i="1" s="1"/>
  <c r="F8347" i="1"/>
  <c r="B8347" i="1" s="1"/>
  <c r="F8348" i="1"/>
  <c r="B8348" i="1" s="1"/>
  <c r="F8349" i="1"/>
  <c r="B8349" i="1" s="1"/>
  <c r="F8350" i="1"/>
  <c r="B8350" i="1" s="1"/>
  <c r="F8351" i="1"/>
  <c r="B8351" i="1" s="1"/>
  <c r="F8352" i="1"/>
  <c r="B8352" i="1" s="1"/>
  <c r="F8353" i="1"/>
  <c r="B8353" i="1" s="1"/>
  <c r="F8354" i="1"/>
  <c r="B8354" i="1" s="1"/>
  <c r="F8355" i="1"/>
  <c r="B8355" i="1" s="1"/>
  <c r="F8356" i="1"/>
  <c r="B8356" i="1" s="1"/>
  <c r="F8357" i="1"/>
  <c r="B8357" i="1" s="1"/>
  <c r="F8358" i="1"/>
  <c r="B8358" i="1" s="1"/>
  <c r="F8359" i="1"/>
  <c r="B8359" i="1" s="1"/>
  <c r="F8360" i="1"/>
  <c r="B8360" i="1" s="1"/>
  <c r="F8361" i="1"/>
  <c r="B8361" i="1" s="1"/>
  <c r="F8362" i="1"/>
  <c r="B8362" i="1" s="1"/>
  <c r="F8363" i="1"/>
  <c r="B8363" i="1" s="1"/>
  <c r="F8364" i="1"/>
  <c r="B8364" i="1" s="1"/>
  <c r="F8365" i="1"/>
  <c r="B8365" i="1" s="1"/>
  <c r="F8366" i="1"/>
  <c r="B8366" i="1" s="1"/>
  <c r="F8367" i="1"/>
  <c r="B8367" i="1" s="1"/>
  <c r="F8368" i="1"/>
  <c r="B8368" i="1" s="1"/>
  <c r="F8369" i="1"/>
  <c r="B8369" i="1" s="1"/>
  <c r="F8370" i="1"/>
  <c r="B8370" i="1" s="1"/>
  <c r="F8371" i="1"/>
  <c r="B8371" i="1" s="1"/>
  <c r="F8372" i="1"/>
  <c r="B8372" i="1" s="1"/>
  <c r="F8373" i="1"/>
  <c r="B8373" i="1" s="1"/>
  <c r="F8374" i="1"/>
  <c r="B8374" i="1" s="1"/>
  <c r="F8375" i="1"/>
  <c r="B8375" i="1" s="1"/>
  <c r="F8376" i="1"/>
  <c r="B8376" i="1" s="1"/>
  <c r="F8377" i="1"/>
  <c r="B8377" i="1" s="1"/>
  <c r="F8378" i="1"/>
  <c r="B8378" i="1" s="1"/>
  <c r="F8379" i="1"/>
  <c r="B8379" i="1" s="1"/>
  <c r="F8380" i="1"/>
  <c r="B8380" i="1" s="1"/>
  <c r="F8381" i="1"/>
  <c r="B8381" i="1" s="1"/>
  <c r="F8382" i="1"/>
  <c r="B8382" i="1" s="1"/>
  <c r="F8383" i="1"/>
  <c r="B8383" i="1" s="1"/>
  <c r="F8384" i="1"/>
  <c r="B8384" i="1" s="1"/>
  <c r="F8385" i="1"/>
  <c r="B8385" i="1" s="1"/>
  <c r="F8386" i="1"/>
  <c r="B8386" i="1" s="1"/>
  <c r="F8387" i="1"/>
  <c r="B8387" i="1" s="1"/>
  <c r="F8388" i="1"/>
  <c r="B8388" i="1" s="1"/>
  <c r="F8389" i="1"/>
  <c r="B8389" i="1" s="1"/>
  <c r="F8390" i="1"/>
  <c r="B8390" i="1" s="1"/>
  <c r="F8391" i="1"/>
  <c r="B8391" i="1" s="1"/>
  <c r="F8392" i="1"/>
  <c r="B8392" i="1" s="1"/>
  <c r="F8393" i="1"/>
  <c r="B8393" i="1" s="1"/>
  <c r="F8394" i="1"/>
  <c r="B8394" i="1" s="1"/>
  <c r="F8395" i="1"/>
  <c r="B8395" i="1" s="1"/>
  <c r="F8396" i="1"/>
  <c r="B8396" i="1" s="1"/>
  <c r="F8397" i="1"/>
  <c r="B8397" i="1" s="1"/>
  <c r="F8398" i="1"/>
  <c r="B8398" i="1" s="1"/>
  <c r="F8399" i="1"/>
  <c r="B8399" i="1" s="1"/>
  <c r="F8400" i="1"/>
  <c r="B8400" i="1" s="1"/>
  <c r="F8401" i="1"/>
  <c r="B8401" i="1" s="1"/>
  <c r="F8402" i="1"/>
  <c r="B8402" i="1" s="1"/>
  <c r="F8403" i="1"/>
  <c r="B8403" i="1" s="1"/>
  <c r="F8404" i="1"/>
  <c r="B8404" i="1" s="1"/>
  <c r="F8405" i="1"/>
  <c r="B8405" i="1" s="1"/>
  <c r="F8406" i="1"/>
  <c r="B8406" i="1" s="1"/>
  <c r="F8407" i="1"/>
  <c r="B8407" i="1" s="1"/>
  <c r="F8408" i="1"/>
  <c r="B8408" i="1" s="1"/>
  <c r="F8409" i="1"/>
  <c r="B8409" i="1" s="1"/>
  <c r="F8410" i="1"/>
  <c r="B8410" i="1" s="1"/>
  <c r="F8411" i="1"/>
  <c r="B8411" i="1" s="1"/>
  <c r="F8412" i="1"/>
  <c r="B8412" i="1" s="1"/>
  <c r="F8413" i="1"/>
  <c r="B8413" i="1" s="1"/>
  <c r="F8414" i="1"/>
  <c r="B8414" i="1" s="1"/>
  <c r="F8415" i="1"/>
  <c r="B8415" i="1" s="1"/>
  <c r="F8416" i="1"/>
  <c r="B8416" i="1" s="1"/>
  <c r="F8417" i="1"/>
  <c r="B8417" i="1" s="1"/>
  <c r="F8418" i="1"/>
  <c r="B8418" i="1" s="1"/>
  <c r="F8419" i="1"/>
  <c r="B8419" i="1" s="1"/>
  <c r="F8420" i="1"/>
  <c r="B8420" i="1" s="1"/>
  <c r="F8421" i="1"/>
  <c r="B8421" i="1" s="1"/>
  <c r="F8422" i="1"/>
  <c r="B8422" i="1" s="1"/>
  <c r="F8423" i="1"/>
  <c r="B8423" i="1" s="1"/>
  <c r="F8424" i="1"/>
  <c r="B8424" i="1" s="1"/>
  <c r="E8152" i="1"/>
  <c r="E7881" i="1"/>
  <c r="F7881" i="1"/>
  <c r="B7881" i="1" s="1"/>
  <c r="E7882" i="1"/>
  <c r="F7882" i="1"/>
  <c r="B7882" i="1" s="1"/>
  <c r="E7883" i="1"/>
  <c r="F7883" i="1"/>
  <c r="B7883" i="1" s="1"/>
  <c r="E7884" i="1"/>
  <c r="F7884" i="1"/>
  <c r="B7884" i="1" s="1"/>
  <c r="E7885" i="1"/>
  <c r="F7885" i="1"/>
  <c r="B7885" i="1" s="1"/>
  <c r="E7886" i="1"/>
  <c r="F7886" i="1"/>
  <c r="B7886" i="1" s="1"/>
  <c r="E7887" i="1"/>
  <c r="F7887" i="1"/>
  <c r="B7887" i="1" s="1"/>
  <c r="E7888" i="1"/>
  <c r="F7888" i="1"/>
  <c r="B7888" i="1" s="1"/>
  <c r="E7889" i="1"/>
  <c r="F7889" i="1"/>
  <c r="B7889" i="1" s="1"/>
  <c r="E7890" i="1"/>
  <c r="F7890" i="1"/>
  <c r="B7890" i="1" s="1"/>
  <c r="E7891" i="1"/>
  <c r="F7891" i="1"/>
  <c r="B7891" i="1" s="1"/>
  <c r="E7892" i="1"/>
  <c r="F7892" i="1"/>
  <c r="B7892" i="1" s="1"/>
  <c r="E7893" i="1"/>
  <c r="F7893" i="1"/>
  <c r="B7893" i="1" s="1"/>
  <c r="E7894" i="1"/>
  <c r="F7894" i="1"/>
  <c r="B7894" i="1" s="1"/>
  <c r="E7895" i="1"/>
  <c r="F7895" i="1"/>
  <c r="B7895" i="1" s="1"/>
  <c r="E7896" i="1"/>
  <c r="F7896" i="1"/>
  <c r="B7896" i="1" s="1"/>
  <c r="E7897" i="1"/>
  <c r="F7897" i="1"/>
  <c r="B7897" i="1" s="1"/>
  <c r="E7898" i="1"/>
  <c r="F7898" i="1"/>
  <c r="B7898" i="1" s="1"/>
  <c r="E7899" i="1"/>
  <c r="F7899" i="1"/>
  <c r="B7899" i="1" s="1"/>
  <c r="E7900" i="1"/>
  <c r="F7900" i="1"/>
  <c r="B7900" i="1" s="1"/>
  <c r="E7901" i="1"/>
  <c r="F7901" i="1"/>
  <c r="B7901" i="1" s="1"/>
  <c r="E7902" i="1"/>
  <c r="F7902" i="1"/>
  <c r="B7902" i="1" s="1"/>
  <c r="E7903" i="1"/>
  <c r="F7903" i="1"/>
  <c r="B7903" i="1" s="1"/>
  <c r="E7904" i="1"/>
  <c r="F7904" i="1"/>
  <c r="B7904" i="1" s="1"/>
  <c r="E7905" i="1"/>
  <c r="F7905" i="1"/>
  <c r="B7905" i="1" s="1"/>
  <c r="E7906" i="1"/>
  <c r="F7906" i="1"/>
  <c r="B7906" i="1" s="1"/>
  <c r="E7907" i="1"/>
  <c r="F7907" i="1"/>
  <c r="B7907" i="1" s="1"/>
  <c r="E7908" i="1"/>
  <c r="F7908" i="1"/>
  <c r="B7908" i="1" s="1"/>
  <c r="E7909" i="1"/>
  <c r="F7909" i="1"/>
  <c r="B7909" i="1" s="1"/>
  <c r="E7910" i="1"/>
  <c r="F7910" i="1"/>
  <c r="B7910" i="1" s="1"/>
  <c r="E7911" i="1"/>
  <c r="F7911" i="1"/>
  <c r="B7911" i="1" s="1"/>
  <c r="E7912" i="1"/>
  <c r="F7912" i="1"/>
  <c r="B7912" i="1" s="1"/>
  <c r="E7913" i="1"/>
  <c r="F7913" i="1"/>
  <c r="B7913" i="1" s="1"/>
  <c r="E7914" i="1"/>
  <c r="F7914" i="1"/>
  <c r="B7914" i="1" s="1"/>
  <c r="E7915" i="1"/>
  <c r="F7915" i="1"/>
  <c r="B7915" i="1" s="1"/>
  <c r="E7916" i="1"/>
  <c r="F7916" i="1"/>
  <c r="B7916" i="1" s="1"/>
  <c r="E7917" i="1"/>
  <c r="F7917" i="1"/>
  <c r="B7917" i="1" s="1"/>
  <c r="E7918" i="1"/>
  <c r="F7918" i="1"/>
  <c r="B7918" i="1" s="1"/>
  <c r="E7919" i="1"/>
  <c r="F7919" i="1"/>
  <c r="B7919" i="1" s="1"/>
  <c r="E7920" i="1"/>
  <c r="F7920" i="1"/>
  <c r="B7920" i="1" s="1"/>
  <c r="E7921" i="1"/>
  <c r="F7921" i="1"/>
  <c r="B7921" i="1" s="1"/>
  <c r="E7922" i="1"/>
  <c r="F7922" i="1"/>
  <c r="B7922" i="1" s="1"/>
  <c r="E7923" i="1"/>
  <c r="F7923" i="1"/>
  <c r="B7923" i="1" s="1"/>
  <c r="E7924" i="1"/>
  <c r="F7924" i="1"/>
  <c r="B7924" i="1" s="1"/>
  <c r="E7925" i="1"/>
  <c r="F7925" i="1"/>
  <c r="B7925" i="1" s="1"/>
  <c r="E7926" i="1"/>
  <c r="F7926" i="1"/>
  <c r="B7926" i="1" s="1"/>
  <c r="E7927" i="1"/>
  <c r="F7927" i="1"/>
  <c r="B7927" i="1" s="1"/>
  <c r="E7928" i="1"/>
  <c r="F7928" i="1"/>
  <c r="B7928" i="1" s="1"/>
  <c r="E7929" i="1"/>
  <c r="F7929" i="1"/>
  <c r="B7929" i="1" s="1"/>
  <c r="E7930" i="1"/>
  <c r="F7930" i="1"/>
  <c r="B7930" i="1" s="1"/>
  <c r="E7931" i="1"/>
  <c r="F7931" i="1"/>
  <c r="B7931" i="1" s="1"/>
  <c r="E7932" i="1"/>
  <c r="F7932" i="1"/>
  <c r="B7932" i="1" s="1"/>
  <c r="E7933" i="1"/>
  <c r="F7933" i="1"/>
  <c r="B7933" i="1" s="1"/>
  <c r="E7934" i="1"/>
  <c r="F7934" i="1"/>
  <c r="B7934" i="1" s="1"/>
  <c r="E7935" i="1"/>
  <c r="F7935" i="1"/>
  <c r="B7935" i="1" s="1"/>
  <c r="E7936" i="1"/>
  <c r="F7936" i="1"/>
  <c r="B7936" i="1" s="1"/>
  <c r="E7937" i="1"/>
  <c r="F7937" i="1"/>
  <c r="B7937" i="1" s="1"/>
  <c r="E7938" i="1"/>
  <c r="F7938" i="1"/>
  <c r="B7938" i="1" s="1"/>
  <c r="E7939" i="1"/>
  <c r="F7939" i="1"/>
  <c r="B7939" i="1" s="1"/>
  <c r="E7940" i="1"/>
  <c r="F7940" i="1"/>
  <c r="B7940" i="1" s="1"/>
  <c r="E7941" i="1"/>
  <c r="F7941" i="1"/>
  <c r="B7941" i="1" s="1"/>
  <c r="E7942" i="1"/>
  <c r="F7942" i="1"/>
  <c r="B7942" i="1" s="1"/>
  <c r="E7943" i="1"/>
  <c r="F7943" i="1"/>
  <c r="B7943" i="1" s="1"/>
  <c r="E7944" i="1"/>
  <c r="F7944" i="1"/>
  <c r="B7944" i="1" s="1"/>
  <c r="E7945" i="1"/>
  <c r="F7945" i="1"/>
  <c r="B7945" i="1" s="1"/>
  <c r="E7946" i="1"/>
  <c r="F7946" i="1"/>
  <c r="B7946" i="1" s="1"/>
  <c r="E7947" i="1"/>
  <c r="F7947" i="1"/>
  <c r="B7947" i="1" s="1"/>
  <c r="E7948" i="1"/>
  <c r="F7948" i="1"/>
  <c r="B7948" i="1" s="1"/>
  <c r="E7949" i="1"/>
  <c r="F7949" i="1"/>
  <c r="B7949" i="1" s="1"/>
  <c r="E7950" i="1"/>
  <c r="F7950" i="1"/>
  <c r="B7950" i="1" s="1"/>
  <c r="E7951" i="1"/>
  <c r="F7951" i="1"/>
  <c r="B7951" i="1" s="1"/>
  <c r="E7952" i="1"/>
  <c r="F7952" i="1"/>
  <c r="B7952" i="1" s="1"/>
  <c r="E7953" i="1"/>
  <c r="F7953" i="1"/>
  <c r="B7953" i="1" s="1"/>
  <c r="E7954" i="1"/>
  <c r="F7954" i="1"/>
  <c r="B7954" i="1" s="1"/>
  <c r="E7955" i="1"/>
  <c r="F7955" i="1"/>
  <c r="B7955" i="1" s="1"/>
  <c r="E7956" i="1"/>
  <c r="F7956" i="1"/>
  <c r="B7956" i="1" s="1"/>
  <c r="E7957" i="1"/>
  <c r="F7957" i="1"/>
  <c r="B7957" i="1" s="1"/>
  <c r="E7958" i="1"/>
  <c r="F7958" i="1"/>
  <c r="B7958" i="1" s="1"/>
  <c r="E7959" i="1"/>
  <c r="F7959" i="1"/>
  <c r="B7959" i="1" s="1"/>
  <c r="E7960" i="1"/>
  <c r="F7960" i="1"/>
  <c r="B7960" i="1" s="1"/>
  <c r="E7961" i="1"/>
  <c r="F7961" i="1"/>
  <c r="B7961" i="1" s="1"/>
  <c r="E7962" i="1"/>
  <c r="F7962" i="1"/>
  <c r="B7962" i="1" s="1"/>
  <c r="E7963" i="1"/>
  <c r="F7963" i="1"/>
  <c r="B7963" i="1" s="1"/>
  <c r="E7964" i="1"/>
  <c r="F7964" i="1"/>
  <c r="B7964" i="1" s="1"/>
  <c r="E7965" i="1"/>
  <c r="F7965" i="1"/>
  <c r="B7965" i="1" s="1"/>
  <c r="E7966" i="1"/>
  <c r="F7966" i="1"/>
  <c r="B7966" i="1" s="1"/>
  <c r="E7967" i="1"/>
  <c r="F7967" i="1"/>
  <c r="B7967" i="1" s="1"/>
  <c r="E7968" i="1"/>
  <c r="F7968" i="1"/>
  <c r="B7968" i="1" s="1"/>
  <c r="E7969" i="1"/>
  <c r="F7969" i="1"/>
  <c r="B7969" i="1" s="1"/>
  <c r="E7970" i="1"/>
  <c r="F7970" i="1"/>
  <c r="B7970" i="1" s="1"/>
  <c r="E7971" i="1"/>
  <c r="F7971" i="1"/>
  <c r="B7971" i="1" s="1"/>
  <c r="E7972" i="1"/>
  <c r="F7972" i="1"/>
  <c r="B7972" i="1" s="1"/>
  <c r="E7973" i="1"/>
  <c r="F7973" i="1"/>
  <c r="B7973" i="1" s="1"/>
  <c r="E7974" i="1"/>
  <c r="F7974" i="1"/>
  <c r="B7974" i="1" s="1"/>
  <c r="E7975" i="1"/>
  <c r="F7975" i="1"/>
  <c r="B7975" i="1" s="1"/>
  <c r="E7976" i="1"/>
  <c r="F7976" i="1"/>
  <c r="B7976" i="1" s="1"/>
  <c r="E7977" i="1"/>
  <c r="F7977" i="1"/>
  <c r="B7977" i="1" s="1"/>
  <c r="E7978" i="1"/>
  <c r="F7978" i="1"/>
  <c r="B7978" i="1" s="1"/>
  <c r="E7979" i="1"/>
  <c r="F7979" i="1"/>
  <c r="B7979" i="1" s="1"/>
  <c r="E7980" i="1"/>
  <c r="F7980" i="1"/>
  <c r="B7980" i="1" s="1"/>
  <c r="E7981" i="1"/>
  <c r="F7981" i="1"/>
  <c r="B7981" i="1" s="1"/>
  <c r="E7982" i="1"/>
  <c r="F7982" i="1"/>
  <c r="B7982" i="1" s="1"/>
  <c r="E7983" i="1"/>
  <c r="F7983" i="1"/>
  <c r="B7983" i="1" s="1"/>
  <c r="E7984" i="1"/>
  <c r="F7984" i="1"/>
  <c r="B7984" i="1" s="1"/>
  <c r="E7985" i="1"/>
  <c r="F7985" i="1"/>
  <c r="B7985" i="1" s="1"/>
  <c r="E7986" i="1"/>
  <c r="F7986" i="1"/>
  <c r="B7986" i="1" s="1"/>
  <c r="E7987" i="1"/>
  <c r="F7987" i="1"/>
  <c r="B7987" i="1" s="1"/>
  <c r="E7988" i="1"/>
  <c r="F7988" i="1"/>
  <c r="B7988" i="1" s="1"/>
  <c r="E7989" i="1"/>
  <c r="F7989" i="1"/>
  <c r="B7989" i="1" s="1"/>
  <c r="E7990" i="1"/>
  <c r="F7990" i="1"/>
  <c r="B7990" i="1" s="1"/>
  <c r="E7991" i="1"/>
  <c r="F7991" i="1"/>
  <c r="B7991" i="1" s="1"/>
  <c r="E7992" i="1"/>
  <c r="F7992" i="1"/>
  <c r="B7992" i="1" s="1"/>
  <c r="E7993" i="1"/>
  <c r="F7993" i="1"/>
  <c r="B7993" i="1" s="1"/>
  <c r="E7994" i="1"/>
  <c r="F7994" i="1"/>
  <c r="B7994" i="1" s="1"/>
  <c r="E7995" i="1"/>
  <c r="F7995" i="1"/>
  <c r="B7995" i="1" s="1"/>
  <c r="E7996" i="1"/>
  <c r="F7996" i="1"/>
  <c r="E7997" i="1"/>
  <c r="F7997" i="1"/>
  <c r="B7997" i="1" s="1"/>
  <c r="E7998" i="1"/>
  <c r="F7998" i="1"/>
  <c r="B7998" i="1" s="1"/>
  <c r="E7999" i="1"/>
  <c r="F7999" i="1"/>
  <c r="B7999" i="1" s="1"/>
  <c r="E8000" i="1"/>
  <c r="F8000" i="1"/>
  <c r="B8000" i="1" s="1"/>
  <c r="E8001" i="1"/>
  <c r="F8001" i="1"/>
  <c r="B8001" i="1" s="1"/>
  <c r="E8002" i="1"/>
  <c r="F8002" i="1"/>
  <c r="B8002" i="1" s="1"/>
  <c r="E8003" i="1"/>
  <c r="F8003" i="1"/>
  <c r="B8003" i="1" s="1"/>
  <c r="E8004" i="1"/>
  <c r="F8004" i="1"/>
  <c r="B8004" i="1" s="1"/>
  <c r="E8005" i="1"/>
  <c r="F8005" i="1"/>
  <c r="B8005" i="1" s="1"/>
  <c r="E8006" i="1"/>
  <c r="F8006" i="1"/>
  <c r="B8006" i="1" s="1"/>
  <c r="E8007" i="1"/>
  <c r="F8007" i="1"/>
  <c r="B8007" i="1" s="1"/>
  <c r="E8008" i="1"/>
  <c r="F8008" i="1"/>
  <c r="B8008" i="1" s="1"/>
  <c r="E8009" i="1"/>
  <c r="F8009" i="1"/>
  <c r="B8009" i="1" s="1"/>
  <c r="E8010" i="1"/>
  <c r="F8010" i="1"/>
  <c r="B8010" i="1" s="1"/>
  <c r="E8011" i="1"/>
  <c r="F8011" i="1"/>
  <c r="B8011" i="1" s="1"/>
  <c r="E8012" i="1"/>
  <c r="F8012" i="1"/>
  <c r="B8012" i="1" s="1"/>
  <c r="E8013" i="1"/>
  <c r="F8013" i="1"/>
  <c r="B8013" i="1" s="1"/>
  <c r="E8014" i="1"/>
  <c r="F8014" i="1"/>
  <c r="B8014" i="1" s="1"/>
  <c r="E8015" i="1"/>
  <c r="F8015" i="1"/>
  <c r="B8015" i="1" s="1"/>
  <c r="E8016" i="1"/>
  <c r="F8016" i="1"/>
  <c r="B8016" i="1" s="1"/>
  <c r="E8017" i="1"/>
  <c r="F8017" i="1"/>
  <c r="B8017" i="1" s="1"/>
  <c r="E8018" i="1"/>
  <c r="F8018" i="1"/>
  <c r="B8018" i="1" s="1"/>
  <c r="E8019" i="1"/>
  <c r="F8019" i="1"/>
  <c r="B8019" i="1" s="1"/>
  <c r="E8020" i="1"/>
  <c r="F8020" i="1"/>
  <c r="B8020" i="1" s="1"/>
  <c r="E8021" i="1"/>
  <c r="F8021" i="1"/>
  <c r="B8021" i="1" s="1"/>
  <c r="E8022" i="1"/>
  <c r="F8022" i="1"/>
  <c r="B8022" i="1" s="1"/>
  <c r="E8023" i="1"/>
  <c r="F8023" i="1"/>
  <c r="B8023" i="1" s="1"/>
  <c r="E8024" i="1"/>
  <c r="F8024" i="1"/>
  <c r="B8024" i="1" s="1"/>
  <c r="E8025" i="1"/>
  <c r="F8025" i="1"/>
  <c r="B8025" i="1" s="1"/>
  <c r="E8026" i="1"/>
  <c r="F8026" i="1"/>
  <c r="B8026" i="1" s="1"/>
  <c r="E8027" i="1"/>
  <c r="F8027" i="1"/>
  <c r="B8027" i="1" s="1"/>
  <c r="E8028" i="1"/>
  <c r="F8028" i="1"/>
  <c r="B8028" i="1" s="1"/>
  <c r="E8029" i="1"/>
  <c r="F8029" i="1"/>
  <c r="B8029" i="1" s="1"/>
  <c r="E8030" i="1"/>
  <c r="F8030" i="1"/>
  <c r="B8030" i="1" s="1"/>
  <c r="E8031" i="1"/>
  <c r="F8031" i="1"/>
  <c r="B8031" i="1" s="1"/>
  <c r="E8032" i="1"/>
  <c r="F8032" i="1"/>
  <c r="B8032" i="1" s="1"/>
  <c r="E8033" i="1"/>
  <c r="F8033" i="1"/>
  <c r="B8033" i="1" s="1"/>
  <c r="E8034" i="1"/>
  <c r="F8034" i="1"/>
  <c r="B8034" i="1" s="1"/>
  <c r="E8035" i="1"/>
  <c r="F8035" i="1"/>
  <c r="B8035" i="1" s="1"/>
  <c r="E8036" i="1"/>
  <c r="F8036" i="1"/>
  <c r="B8036" i="1" s="1"/>
  <c r="E8037" i="1"/>
  <c r="F8037" i="1"/>
  <c r="B8037" i="1" s="1"/>
  <c r="E8038" i="1"/>
  <c r="F8038" i="1"/>
  <c r="B8038" i="1" s="1"/>
  <c r="E8039" i="1"/>
  <c r="F8039" i="1"/>
  <c r="B8039" i="1" s="1"/>
  <c r="E8040" i="1"/>
  <c r="F8040" i="1"/>
  <c r="B8040" i="1" s="1"/>
  <c r="E8041" i="1"/>
  <c r="F8041" i="1"/>
  <c r="B8041" i="1" s="1"/>
  <c r="E8042" i="1"/>
  <c r="F8042" i="1"/>
  <c r="B8042" i="1" s="1"/>
  <c r="E8043" i="1"/>
  <c r="F8043" i="1"/>
  <c r="B8043" i="1" s="1"/>
  <c r="E8044" i="1"/>
  <c r="F8044" i="1"/>
  <c r="B8044" i="1" s="1"/>
  <c r="E8045" i="1"/>
  <c r="F8045" i="1"/>
  <c r="B8045" i="1" s="1"/>
  <c r="E8046" i="1"/>
  <c r="F8046" i="1"/>
  <c r="B8046" i="1" s="1"/>
  <c r="E8047" i="1"/>
  <c r="F8047" i="1"/>
  <c r="B8047" i="1" s="1"/>
  <c r="E8048" i="1"/>
  <c r="F8048" i="1"/>
  <c r="B8048" i="1" s="1"/>
  <c r="E8049" i="1"/>
  <c r="F8049" i="1"/>
  <c r="B8049" i="1" s="1"/>
  <c r="E8050" i="1"/>
  <c r="F8050" i="1"/>
  <c r="B8050" i="1" s="1"/>
  <c r="E8051" i="1"/>
  <c r="F8051" i="1"/>
  <c r="B8051" i="1" s="1"/>
  <c r="E8052" i="1"/>
  <c r="F8052" i="1"/>
  <c r="B8052" i="1" s="1"/>
  <c r="E8053" i="1"/>
  <c r="F8053" i="1"/>
  <c r="B8053" i="1" s="1"/>
  <c r="E8054" i="1"/>
  <c r="F8054" i="1"/>
  <c r="B8054" i="1" s="1"/>
  <c r="E8055" i="1"/>
  <c r="F8055" i="1"/>
  <c r="B8055" i="1" s="1"/>
  <c r="E8056" i="1"/>
  <c r="F8056" i="1"/>
  <c r="B8056" i="1" s="1"/>
  <c r="E8057" i="1"/>
  <c r="F8057" i="1"/>
  <c r="B8057" i="1" s="1"/>
  <c r="E8058" i="1"/>
  <c r="F8058" i="1"/>
  <c r="B8058" i="1" s="1"/>
  <c r="E8059" i="1"/>
  <c r="F8059" i="1"/>
  <c r="B8059" i="1" s="1"/>
  <c r="E8060" i="1"/>
  <c r="F8060" i="1"/>
  <c r="B8060" i="1" s="1"/>
  <c r="E8061" i="1"/>
  <c r="F8061" i="1"/>
  <c r="B8061" i="1" s="1"/>
  <c r="E8062" i="1"/>
  <c r="F8062" i="1"/>
  <c r="B8062" i="1" s="1"/>
  <c r="E8063" i="1"/>
  <c r="F8063" i="1"/>
  <c r="B8063" i="1" s="1"/>
  <c r="E8064" i="1"/>
  <c r="F8064" i="1"/>
  <c r="B8064" i="1" s="1"/>
  <c r="E8065" i="1"/>
  <c r="F8065" i="1"/>
  <c r="B8065" i="1" s="1"/>
  <c r="E8066" i="1"/>
  <c r="F8066" i="1"/>
  <c r="B8066" i="1" s="1"/>
  <c r="E8067" i="1"/>
  <c r="F8067" i="1"/>
  <c r="B8067" i="1" s="1"/>
  <c r="E8068" i="1"/>
  <c r="F8068" i="1"/>
  <c r="B8068" i="1" s="1"/>
  <c r="E8069" i="1"/>
  <c r="F8069" i="1"/>
  <c r="B8069" i="1" s="1"/>
  <c r="E8070" i="1"/>
  <c r="F8070" i="1"/>
  <c r="B8070" i="1" s="1"/>
  <c r="E8071" i="1"/>
  <c r="F8071" i="1"/>
  <c r="B8071" i="1" s="1"/>
  <c r="E8072" i="1"/>
  <c r="F8072" i="1"/>
  <c r="E8073" i="1"/>
  <c r="F8073" i="1"/>
  <c r="B8073" i="1" s="1"/>
  <c r="E8074" i="1"/>
  <c r="F8074" i="1"/>
  <c r="B8074" i="1" s="1"/>
  <c r="E8075" i="1"/>
  <c r="F8075" i="1"/>
  <c r="B8075" i="1" s="1"/>
  <c r="E8076" i="1"/>
  <c r="F8076" i="1"/>
  <c r="B8076" i="1" s="1"/>
  <c r="E8077" i="1"/>
  <c r="F8077" i="1"/>
  <c r="B8077" i="1" s="1"/>
  <c r="E8078" i="1"/>
  <c r="F8078" i="1"/>
  <c r="B8078" i="1" s="1"/>
  <c r="E8079" i="1"/>
  <c r="F8079" i="1"/>
  <c r="B8079" i="1" s="1"/>
  <c r="E8080" i="1"/>
  <c r="F8080" i="1"/>
  <c r="B8080" i="1" s="1"/>
  <c r="E8081" i="1"/>
  <c r="F8081" i="1"/>
  <c r="B8081" i="1" s="1"/>
  <c r="E8082" i="1"/>
  <c r="F8082" i="1"/>
  <c r="B8082" i="1" s="1"/>
  <c r="E8083" i="1"/>
  <c r="F8083" i="1"/>
  <c r="B8083" i="1" s="1"/>
  <c r="E8084" i="1"/>
  <c r="F8084" i="1"/>
  <c r="B8084" i="1" s="1"/>
  <c r="E8085" i="1"/>
  <c r="F8085" i="1"/>
  <c r="B8085" i="1" s="1"/>
  <c r="E8086" i="1"/>
  <c r="F8086" i="1"/>
  <c r="B8086" i="1" s="1"/>
  <c r="E8087" i="1"/>
  <c r="F8087" i="1"/>
  <c r="B8087" i="1" s="1"/>
  <c r="E8088" i="1"/>
  <c r="F8088" i="1"/>
  <c r="B8088" i="1" s="1"/>
  <c r="E8089" i="1"/>
  <c r="F8089" i="1"/>
  <c r="B8089" i="1" s="1"/>
  <c r="E8090" i="1"/>
  <c r="F8090" i="1"/>
  <c r="B8090" i="1" s="1"/>
  <c r="E8091" i="1"/>
  <c r="F8091" i="1"/>
  <c r="B8091" i="1" s="1"/>
  <c r="E8092" i="1"/>
  <c r="F8092" i="1"/>
  <c r="B8092" i="1" s="1"/>
  <c r="E8093" i="1"/>
  <c r="F8093" i="1"/>
  <c r="B8093" i="1" s="1"/>
  <c r="E8094" i="1"/>
  <c r="F8094" i="1"/>
  <c r="B8094" i="1" s="1"/>
  <c r="E8095" i="1"/>
  <c r="F8095" i="1"/>
  <c r="B8095" i="1" s="1"/>
  <c r="E8096" i="1"/>
  <c r="F8096" i="1"/>
  <c r="B8096" i="1" s="1"/>
  <c r="E8097" i="1"/>
  <c r="F8097" i="1"/>
  <c r="B8097" i="1" s="1"/>
  <c r="E8098" i="1"/>
  <c r="F8098" i="1"/>
  <c r="B8098" i="1" s="1"/>
  <c r="E8099" i="1"/>
  <c r="F8099" i="1"/>
  <c r="B8099" i="1" s="1"/>
  <c r="E8100" i="1"/>
  <c r="F8100" i="1"/>
  <c r="B8100" i="1" s="1"/>
  <c r="E8101" i="1"/>
  <c r="F8101" i="1"/>
  <c r="B8101" i="1" s="1"/>
  <c r="E8102" i="1"/>
  <c r="F8102" i="1"/>
  <c r="B8102" i="1" s="1"/>
  <c r="E8103" i="1"/>
  <c r="F8103" i="1"/>
  <c r="B8103" i="1" s="1"/>
  <c r="E8104" i="1"/>
  <c r="F8104" i="1"/>
  <c r="B8104" i="1" s="1"/>
  <c r="E8105" i="1"/>
  <c r="F8105" i="1"/>
  <c r="B8105" i="1" s="1"/>
  <c r="E8106" i="1"/>
  <c r="F8106" i="1"/>
  <c r="B8106" i="1" s="1"/>
  <c r="E8107" i="1"/>
  <c r="F8107" i="1"/>
  <c r="B8107" i="1" s="1"/>
  <c r="E8108" i="1"/>
  <c r="F8108" i="1"/>
  <c r="B8108" i="1" s="1"/>
  <c r="E8109" i="1"/>
  <c r="F8109" i="1"/>
  <c r="B8109" i="1" s="1"/>
  <c r="E8110" i="1"/>
  <c r="F8110" i="1"/>
  <c r="B8110" i="1" s="1"/>
  <c r="E8111" i="1"/>
  <c r="F8111" i="1"/>
  <c r="B8111" i="1" s="1"/>
  <c r="E8112" i="1"/>
  <c r="F8112" i="1"/>
  <c r="B8112" i="1" s="1"/>
  <c r="E8113" i="1"/>
  <c r="F8113" i="1"/>
  <c r="B8113" i="1" s="1"/>
  <c r="E8114" i="1"/>
  <c r="F8114" i="1"/>
  <c r="B8114" i="1" s="1"/>
  <c r="E8115" i="1"/>
  <c r="F8115" i="1"/>
  <c r="B8115" i="1" s="1"/>
  <c r="E8116" i="1"/>
  <c r="F8116" i="1"/>
  <c r="B8116" i="1" s="1"/>
  <c r="E8117" i="1"/>
  <c r="F8117" i="1"/>
  <c r="B8117" i="1" s="1"/>
  <c r="E8118" i="1"/>
  <c r="F8118" i="1"/>
  <c r="B8118" i="1" s="1"/>
  <c r="E8119" i="1"/>
  <c r="F8119" i="1"/>
  <c r="B8119" i="1" s="1"/>
  <c r="E8120" i="1"/>
  <c r="F8120" i="1"/>
  <c r="B8120" i="1" s="1"/>
  <c r="E8121" i="1"/>
  <c r="F8121" i="1"/>
  <c r="B8121" i="1" s="1"/>
  <c r="E8122" i="1"/>
  <c r="F8122" i="1"/>
  <c r="B8122" i="1" s="1"/>
  <c r="E8123" i="1"/>
  <c r="F8123" i="1"/>
  <c r="B8123" i="1" s="1"/>
  <c r="E8124" i="1"/>
  <c r="F8124" i="1"/>
  <c r="B8124" i="1" s="1"/>
  <c r="E8125" i="1"/>
  <c r="F8125" i="1"/>
  <c r="B8125" i="1" s="1"/>
  <c r="E8126" i="1"/>
  <c r="F8126" i="1"/>
  <c r="B8126" i="1" s="1"/>
  <c r="E8127" i="1"/>
  <c r="F8127" i="1"/>
  <c r="B8127" i="1" s="1"/>
  <c r="E8128" i="1"/>
  <c r="F8128" i="1"/>
  <c r="B8128" i="1" s="1"/>
  <c r="E8129" i="1"/>
  <c r="F8129" i="1"/>
  <c r="B8129" i="1" s="1"/>
  <c r="E8130" i="1"/>
  <c r="F8130" i="1"/>
  <c r="B8130" i="1" s="1"/>
  <c r="E8131" i="1"/>
  <c r="F8131" i="1"/>
  <c r="B8131" i="1" s="1"/>
  <c r="E8132" i="1"/>
  <c r="F8132" i="1"/>
  <c r="B8132" i="1" s="1"/>
  <c r="E8133" i="1"/>
  <c r="F8133" i="1"/>
  <c r="B8133" i="1" s="1"/>
  <c r="E8134" i="1"/>
  <c r="F8134" i="1"/>
  <c r="B8134" i="1" s="1"/>
  <c r="E8135" i="1"/>
  <c r="F8135" i="1"/>
  <c r="B8135" i="1" s="1"/>
  <c r="E8136" i="1"/>
  <c r="F8136" i="1"/>
  <c r="B8136" i="1" s="1"/>
  <c r="E8137" i="1"/>
  <c r="F8137" i="1"/>
  <c r="B8137" i="1" s="1"/>
  <c r="E8138" i="1"/>
  <c r="F8138" i="1"/>
  <c r="B8138" i="1" s="1"/>
  <c r="E8139" i="1"/>
  <c r="F8139" i="1"/>
  <c r="B8139" i="1" s="1"/>
  <c r="E8140" i="1"/>
  <c r="F8140" i="1"/>
  <c r="B8140" i="1" s="1"/>
  <c r="E8141" i="1"/>
  <c r="F8141" i="1"/>
  <c r="B8141" i="1" s="1"/>
  <c r="E8142" i="1"/>
  <c r="F8142" i="1"/>
  <c r="B8142" i="1" s="1"/>
  <c r="E8143" i="1"/>
  <c r="F8143" i="1"/>
  <c r="B8143" i="1" s="1"/>
  <c r="E8144" i="1"/>
  <c r="F8144" i="1"/>
  <c r="B8144" i="1" s="1"/>
  <c r="E8145" i="1"/>
  <c r="F8145" i="1"/>
  <c r="B8145" i="1" s="1"/>
  <c r="E8146" i="1"/>
  <c r="F8146" i="1"/>
  <c r="B8146" i="1" s="1"/>
  <c r="E8147" i="1"/>
  <c r="F8147" i="1"/>
  <c r="B8147" i="1" s="1"/>
  <c r="E8148" i="1"/>
  <c r="F8148" i="1"/>
  <c r="B8148" i="1" s="1"/>
  <c r="E8149" i="1"/>
  <c r="F8149" i="1"/>
  <c r="B8149" i="1" s="1"/>
  <c r="E8150" i="1"/>
  <c r="F8150" i="1"/>
  <c r="B8150" i="1" s="1"/>
  <c r="E8151" i="1"/>
  <c r="F8151" i="1"/>
  <c r="B8151" i="1" s="1"/>
  <c r="F8152" i="1"/>
  <c r="B8152" i="1" s="1"/>
  <c r="E7880"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744"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608"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472"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336"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200"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8" i="1"/>
  <c r="E6819" i="1"/>
  <c r="E6820" i="1"/>
  <c r="E6821" i="1"/>
  <c r="E6822" i="1"/>
  <c r="E6823" i="1"/>
  <c r="E6824" i="1"/>
  <c r="E6825" i="1"/>
  <c r="E6826" i="1"/>
  <c r="E6827" i="1"/>
  <c r="E6828" i="1"/>
  <c r="E6829" i="1"/>
  <c r="E6830" i="1"/>
  <c r="E6831" i="1"/>
  <c r="E6832" i="1"/>
  <c r="E6833" i="1"/>
  <c r="E6834" i="1"/>
  <c r="E6835" i="1"/>
  <c r="E6836" i="1"/>
  <c r="E6837" i="1"/>
  <c r="E6838" i="1"/>
  <c r="E6839" i="1"/>
  <c r="E6840" i="1"/>
  <c r="E6841" i="1"/>
  <c r="E6842" i="1"/>
  <c r="E6843" i="1"/>
  <c r="E6844" i="1"/>
  <c r="E6845" i="1"/>
  <c r="E6846" i="1"/>
  <c r="E6847" i="1"/>
  <c r="E6848" i="1"/>
  <c r="E6849" i="1"/>
  <c r="E6850" i="1"/>
  <c r="E6851" i="1"/>
  <c r="E6852" i="1"/>
  <c r="E6853" i="1"/>
  <c r="E6854" i="1"/>
  <c r="E6855" i="1"/>
  <c r="E6856" i="1"/>
  <c r="E6857" i="1"/>
  <c r="E6858" i="1"/>
  <c r="E6859" i="1"/>
  <c r="E6860" i="1"/>
  <c r="E6861" i="1"/>
  <c r="E6862" i="1"/>
  <c r="E6863" i="1"/>
  <c r="E6864" i="1"/>
  <c r="E6865" i="1"/>
  <c r="E6866" i="1"/>
  <c r="E6867" i="1"/>
  <c r="E6868" i="1"/>
  <c r="E6869" i="1"/>
  <c r="E6870" i="1"/>
  <c r="E6871" i="1"/>
  <c r="E6872" i="1"/>
  <c r="E6873" i="1"/>
  <c r="E6874" i="1"/>
  <c r="E6875" i="1"/>
  <c r="E6876" i="1"/>
  <c r="E6877" i="1"/>
  <c r="E6878" i="1"/>
  <c r="E6879" i="1"/>
  <c r="E6880" i="1"/>
  <c r="E6881" i="1"/>
  <c r="E6882" i="1"/>
  <c r="E6883" i="1"/>
  <c r="E6884" i="1"/>
  <c r="E6885" i="1"/>
  <c r="E6886" i="1"/>
  <c r="E6887" i="1"/>
  <c r="E6888" i="1"/>
  <c r="E6889" i="1"/>
  <c r="E6890" i="1"/>
  <c r="E6891" i="1"/>
  <c r="E6892"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8" i="1"/>
  <c r="E6929" i="1"/>
  <c r="E6930" i="1"/>
  <c r="E6931" i="1"/>
  <c r="E6932" i="1"/>
  <c r="E6933" i="1"/>
  <c r="E6934" i="1"/>
  <c r="E6935" i="1"/>
  <c r="E6936" i="1"/>
  <c r="E6937" i="1"/>
  <c r="E6938" i="1"/>
  <c r="E6939" i="1"/>
  <c r="E6940" i="1"/>
  <c r="E6941" i="1"/>
  <c r="E6942" i="1"/>
  <c r="E6943" i="1"/>
  <c r="E6944" i="1"/>
  <c r="E6945" i="1"/>
  <c r="E6946" i="1"/>
  <c r="E6947" i="1"/>
  <c r="E6948" i="1"/>
  <c r="E6949" i="1"/>
  <c r="E6950"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3" i="1"/>
  <c r="E7194"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6" i="1"/>
  <c r="E7227" i="1"/>
  <c r="E7228"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6" i="1"/>
  <c r="E7257" i="1"/>
  <c r="E7258" i="1"/>
  <c r="E7259" i="1"/>
  <c r="E7260" i="1"/>
  <c r="E7261" i="1"/>
  <c r="E7262" i="1"/>
  <c r="E7263" i="1"/>
  <c r="E7264" i="1"/>
  <c r="E7265" i="1"/>
  <c r="E7266" i="1"/>
  <c r="E7267" i="1"/>
  <c r="E7268" i="1"/>
  <c r="E7269" i="1"/>
  <c r="E7270" i="1"/>
  <c r="E7271" i="1"/>
  <c r="E7272" i="1"/>
  <c r="E7273" i="1"/>
  <c r="E7274" i="1"/>
  <c r="E7275" i="1"/>
  <c r="E7276" i="1"/>
  <c r="E7277" i="1"/>
  <c r="E7278" i="1"/>
  <c r="E7279"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3" i="1"/>
  <c r="E7304" i="1"/>
  <c r="E7305" i="1"/>
  <c r="E7306" i="1"/>
  <c r="E7307" i="1"/>
  <c r="E7308" i="1"/>
  <c r="E7309" i="1"/>
  <c r="E7310" i="1"/>
  <c r="E7311" i="1"/>
  <c r="E7312" i="1"/>
  <c r="E7313" i="1"/>
  <c r="E7314" i="1"/>
  <c r="E7315" i="1"/>
  <c r="E7316" i="1"/>
  <c r="E7317" i="1"/>
  <c r="E7318" i="1"/>
  <c r="E7319" i="1"/>
  <c r="E7320" i="1"/>
  <c r="E7321" i="1"/>
  <c r="E7322" i="1"/>
  <c r="E7323" i="1"/>
  <c r="E7324" i="1"/>
  <c r="E7325" i="1"/>
  <c r="E7326" i="1"/>
  <c r="E7327" i="1"/>
  <c r="E7328" i="1"/>
  <c r="E7329" i="1"/>
  <c r="E7330" i="1"/>
  <c r="E7331" i="1"/>
  <c r="E7332" i="1"/>
  <c r="E7333" i="1"/>
  <c r="E7334" i="1"/>
  <c r="E7335" i="1"/>
  <c r="E7336" i="1"/>
  <c r="E7337" i="1"/>
  <c r="E7338" i="1"/>
  <c r="E7339" i="1"/>
  <c r="E7340" i="1"/>
  <c r="E7341" i="1"/>
  <c r="E7342" i="1"/>
  <c r="E7343" i="1"/>
  <c r="E7344" i="1"/>
  <c r="E7345" i="1"/>
  <c r="E7346" i="1"/>
  <c r="E7347" i="1"/>
  <c r="E7348" i="1"/>
  <c r="E7349" i="1"/>
  <c r="E7350" i="1"/>
  <c r="E7351" i="1"/>
  <c r="E7352" i="1"/>
  <c r="E7353" i="1"/>
  <c r="E7354" i="1"/>
  <c r="E7355" i="1"/>
  <c r="E7356" i="1"/>
  <c r="E7357" i="1"/>
  <c r="E7358" i="1"/>
  <c r="E7359" i="1"/>
  <c r="E7360" i="1"/>
  <c r="E7361" i="1"/>
  <c r="E7362" i="1"/>
  <c r="E7363" i="1"/>
  <c r="E7364" i="1"/>
  <c r="E7365" i="1"/>
  <c r="E7366"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6792"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656"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520"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384"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248"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112"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5976"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704"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E6404"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5" i="1"/>
  <c r="E6476" i="1"/>
  <c r="E6477" i="1"/>
  <c r="E6478" i="1"/>
  <c r="E6479" i="1"/>
  <c r="E6480" i="1"/>
  <c r="E6481" i="1"/>
  <c r="E6482" i="1"/>
  <c r="E6483" i="1"/>
  <c r="E6484" i="1"/>
  <c r="E6485" i="1"/>
  <c r="E6486" i="1"/>
  <c r="E6487" i="1"/>
  <c r="E6488" i="1"/>
  <c r="E6489" i="1"/>
  <c r="E6490" i="1"/>
  <c r="E6491" i="1"/>
  <c r="E6492" i="1"/>
  <c r="E6493" i="1"/>
  <c r="E6494" i="1"/>
  <c r="E6495" i="1"/>
  <c r="E6496" i="1"/>
  <c r="E6497" i="1"/>
  <c r="E6498" i="1"/>
  <c r="E6499" i="1"/>
  <c r="E6500" i="1"/>
  <c r="E6501" i="1"/>
  <c r="E6502" i="1"/>
  <c r="E6503" i="1"/>
  <c r="E6504" i="1"/>
  <c r="E6505" i="1"/>
  <c r="E6506" i="1"/>
  <c r="E6507" i="1"/>
  <c r="E6508" i="1"/>
  <c r="E6509" i="1"/>
  <c r="E6510" i="1"/>
  <c r="E6511" i="1"/>
  <c r="E6512" i="1"/>
  <c r="E6513" i="1"/>
  <c r="E6514" i="1"/>
  <c r="E6515" i="1"/>
  <c r="E6516" i="1"/>
  <c r="E6517" i="1"/>
  <c r="E6518" i="1"/>
  <c r="E6519" i="1"/>
  <c r="E6520" i="1"/>
  <c r="E6521" i="1"/>
  <c r="E6522" i="1"/>
  <c r="E6523" i="1"/>
  <c r="E6524" i="1"/>
  <c r="E6525" i="1"/>
  <c r="E6526" i="1"/>
  <c r="E6527" i="1"/>
  <c r="E6528" i="1"/>
  <c r="E6529" i="1"/>
  <c r="E6530" i="1"/>
  <c r="E6531" i="1"/>
  <c r="E6532" i="1"/>
  <c r="E6533" i="1"/>
  <c r="E6534" i="1"/>
  <c r="E6535" i="1"/>
  <c r="E6536" i="1"/>
  <c r="E6537" i="1"/>
  <c r="E6538" i="1"/>
  <c r="E6539" i="1"/>
  <c r="E6540" i="1"/>
  <c r="E6541" i="1"/>
  <c r="E6542" i="1"/>
  <c r="E6543" i="1"/>
  <c r="E6544" i="1"/>
  <c r="E6545" i="1"/>
  <c r="E6546" i="1"/>
  <c r="E6547" i="1"/>
  <c r="E6548" i="1"/>
  <c r="E6549" i="1"/>
  <c r="E6550" i="1"/>
  <c r="E6551" i="1"/>
  <c r="E6552" i="1"/>
  <c r="E6553" i="1"/>
  <c r="E6554" i="1"/>
  <c r="E6555" i="1"/>
  <c r="E6556" i="1"/>
  <c r="E6557" i="1"/>
  <c r="E6558" i="1"/>
  <c r="E6559" i="1"/>
  <c r="E6560" i="1"/>
  <c r="E6561" i="1"/>
  <c r="E6562" i="1"/>
  <c r="E6563" i="1"/>
  <c r="E6564" i="1"/>
  <c r="E6565" i="1"/>
  <c r="E6566" i="1"/>
  <c r="E6567" i="1"/>
  <c r="E6568" i="1"/>
  <c r="E6569" i="1"/>
  <c r="E6570" i="1"/>
  <c r="E6571" i="1"/>
  <c r="E6572" i="1"/>
  <c r="E6573" i="1"/>
  <c r="E6574" i="1"/>
  <c r="E6575" i="1"/>
  <c r="E6576" i="1"/>
  <c r="E6577" i="1"/>
  <c r="E6578" i="1"/>
  <c r="E6579" i="1"/>
  <c r="E6580" i="1"/>
  <c r="E6581" i="1"/>
  <c r="E6582" i="1"/>
  <c r="E6583" i="1"/>
  <c r="E6584" i="1"/>
  <c r="E6585" i="1"/>
  <c r="E6586" i="1"/>
  <c r="E6587" i="1"/>
  <c r="E6588" i="1"/>
  <c r="E6589" i="1"/>
  <c r="E6590" i="1"/>
  <c r="E6591" i="1"/>
  <c r="E6592" i="1"/>
  <c r="E6593" i="1"/>
  <c r="E6594" i="1"/>
  <c r="E6595" i="1"/>
  <c r="E6596" i="1"/>
  <c r="E6597" i="1"/>
  <c r="E6598" i="1"/>
  <c r="E6599" i="1"/>
  <c r="E6600" i="1"/>
  <c r="E6601" i="1"/>
  <c r="E6602" i="1"/>
  <c r="E6603" i="1"/>
  <c r="E6604" i="1"/>
  <c r="E6605" i="1"/>
  <c r="E6606" i="1"/>
  <c r="E6607" i="1"/>
  <c r="E6608" i="1"/>
  <c r="E6609" i="1"/>
  <c r="E6610" i="1"/>
  <c r="E6611" i="1"/>
  <c r="E6612" i="1"/>
  <c r="E6613" i="1"/>
  <c r="E6614" i="1"/>
  <c r="E6615" i="1"/>
  <c r="E6616" i="1"/>
  <c r="E6617" i="1"/>
  <c r="E6618" i="1"/>
  <c r="E6619" i="1"/>
  <c r="E6620" i="1"/>
  <c r="E6621" i="1"/>
  <c r="E6622" i="1"/>
  <c r="E6623" i="1"/>
  <c r="E6624" i="1"/>
  <c r="E6625" i="1"/>
  <c r="E6626" i="1"/>
  <c r="E6627" i="1"/>
  <c r="E6628" i="1"/>
  <c r="E6629" i="1"/>
  <c r="E6630" i="1"/>
  <c r="E6631" i="1"/>
  <c r="E6632" i="1"/>
  <c r="E6633" i="1"/>
  <c r="E6634" i="1"/>
  <c r="E6635" i="1"/>
  <c r="E6636" i="1"/>
  <c r="E6637" i="1"/>
  <c r="E6638" i="1"/>
  <c r="E6639" i="1"/>
  <c r="E6640" i="1"/>
  <c r="E6641" i="1"/>
  <c r="E6642" i="1"/>
  <c r="E6643" i="1"/>
  <c r="E6644" i="1"/>
  <c r="E6645" i="1"/>
  <c r="E6646" i="1"/>
  <c r="E6647" i="1"/>
  <c r="E6648" i="1"/>
  <c r="E6649" i="1"/>
  <c r="E6650" i="1"/>
  <c r="E6651" i="1"/>
  <c r="E6652" i="1"/>
  <c r="E6653" i="1"/>
  <c r="E6654" i="1"/>
  <c r="E6655" i="1"/>
  <c r="E6656" i="1"/>
  <c r="E6657" i="1"/>
  <c r="E6658" i="1"/>
  <c r="E6659" i="1"/>
  <c r="E6660" i="1"/>
  <c r="E6661" i="1"/>
  <c r="E6662" i="1"/>
  <c r="E6663" i="1"/>
  <c r="E6664" i="1"/>
  <c r="E6665" i="1"/>
  <c r="E6666" i="1"/>
  <c r="E6667" i="1"/>
  <c r="E6668" i="1"/>
  <c r="E6669" i="1"/>
  <c r="E6670" i="1"/>
  <c r="E6671" i="1"/>
  <c r="E6672" i="1"/>
  <c r="E6673" i="1"/>
  <c r="E6674" i="1"/>
  <c r="E6675" i="1"/>
  <c r="E6676" i="1"/>
  <c r="E6677" i="1"/>
  <c r="E6678" i="1"/>
  <c r="E6679" i="1"/>
  <c r="E6680" i="1"/>
  <c r="E6681" i="1"/>
  <c r="E6682" i="1"/>
  <c r="E6683" i="1"/>
  <c r="E6684" i="1"/>
  <c r="E6685" i="1"/>
  <c r="E6686" i="1"/>
  <c r="E6687" i="1"/>
  <c r="E6688" i="1"/>
  <c r="E6689" i="1"/>
  <c r="E6690" i="1"/>
  <c r="E6691" i="1"/>
  <c r="E6692" i="1"/>
  <c r="E6693" i="1"/>
  <c r="E6694" i="1"/>
  <c r="E6695" i="1"/>
  <c r="E6696" i="1"/>
  <c r="E6697" i="1"/>
  <c r="E6698" i="1"/>
  <c r="E6699" i="1"/>
  <c r="E6700" i="1"/>
  <c r="E6701" i="1"/>
  <c r="E6702" i="1"/>
  <c r="E6703" i="1"/>
  <c r="E6704" i="1"/>
  <c r="E6705" i="1"/>
  <c r="E6706" i="1"/>
  <c r="E6707" i="1"/>
  <c r="E6708" i="1"/>
  <c r="E6709" i="1"/>
  <c r="E6710" i="1"/>
  <c r="E6711" i="1"/>
  <c r="E6712" i="1"/>
  <c r="E6713" i="1"/>
  <c r="E6714" i="1"/>
  <c r="E6715" i="1"/>
  <c r="E6716" i="1"/>
  <c r="E6717" i="1"/>
  <c r="E6718" i="1"/>
  <c r="E6719" i="1"/>
  <c r="E6720" i="1"/>
  <c r="E6721" i="1"/>
  <c r="E6722" i="1"/>
  <c r="E6723" i="1"/>
  <c r="E6724" i="1"/>
  <c r="E6725" i="1"/>
  <c r="E6726" i="1"/>
  <c r="E6727" i="1"/>
  <c r="E6728" i="1"/>
  <c r="E6729" i="1"/>
  <c r="E6730" i="1"/>
  <c r="E6731" i="1"/>
  <c r="E6732" i="1"/>
  <c r="E6733" i="1"/>
  <c r="E6734" i="1"/>
  <c r="E6735" i="1"/>
  <c r="E6736" i="1"/>
  <c r="E6737" i="1"/>
  <c r="E6738" i="1"/>
  <c r="E6739" i="1"/>
  <c r="E6740" i="1"/>
  <c r="E6741" i="1"/>
  <c r="E6742" i="1"/>
  <c r="E6743" i="1"/>
  <c r="E6744" i="1"/>
  <c r="E6745" i="1"/>
  <c r="E6746" i="1"/>
  <c r="E6747" i="1"/>
  <c r="E6748" i="1"/>
  <c r="E6749" i="1"/>
  <c r="E6750" i="1"/>
  <c r="E6751" i="1"/>
  <c r="E6752" i="1"/>
  <c r="E6753" i="1"/>
  <c r="E6754" i="1"/>
  <c r="E6755" i="1"/>
  <c r="E6756" i="1"/>
  <c r="E6757" i="1"/>
  <c r="E6758" i="1"/>
  <c r="E6759" i="1"/>
  <c r="E6760" i="1"/>
  <c r="E6761" i="1"/>
  <c r="E6762" i="1"/>
  <c r="E6763" i="1"/>
  <c r="E6764" i="1"/>
  <c r="E6765" i="1"/>
  <c r="E6766" i="1"/>
  <c r="E6767" i="1"/>
  <c r="E6768" i="1"/>
  <c r="E6769" i="1"/>
  <c r="E6770" i="1"/>
  <c r="E6771" i="1"/>
  <c r="E6772" i="1"/>
  <c r="E6773" i="1"/>
  <c r="E6774" i="1"/>
  <c r="E6775" i="1"/>
  <c r="E6776" i="1"/>
  <c r="E6777" i="1"/>
  <c r="E6778" i="1"/>
  <c r="E6779" i="1"/>
  <c r="E6780" i="1"/>
  <c r="E6781" i="1"/>
  <c r="E6782" i="1"/>
  <c r="E6783" i="1"/>
  <c r="E6784" i="1"/>
  <c r="E6785" i="1"/>
  <c r="E6786" i="1"/>
  <c r="E6787" i="1"/>
  <c r="E6788" i="1"/>
  <c r="E6789" i="1"/>
  <c r="E6790" i="1"/>
  <c r="E6791" i="1"/>
  <c r="E5568"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432"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296" i="1"/>
  <c r="L5126" i="1"/>
  <c r="L5143" i="1"/>
  <c r="L5160" i="1"/>
  <c r="L5177" i="1"/>
  <c r="L5194" i="1"/>
  <c r="L5211" i="1"/>
  <c r="L5228" i="1"/>
  <c r="L5245" i="1"/>
  <c r="L5262" i="1"/>
  <c r="L5279" i="1"/>
  <c r="L5296" i="1"/>
  <c r="L5313" i="1"/>
  <c r="L5330" i="1"/>
  <c r="L5347" i="1"/>
  <c r="L5364" i="1"/>
  <c r="L5381" i="1"/>
  <c r="L5398" i="1"/>
  <c r="L5415" i="1"/>
  <c r="L5432" i="1"/>
  <c r="L5449" i="1"/>
  <c r="L5466" i="1"/>
  <c r="L5483" i="1"/>
  <c r="L5500" i="1"/>
  <c r="L5517" i="1"/>
  <c r="L5534" i="1"/>
  <c r="L5551" i="1"/>
  <c r="L5568" i="1"/>
  <c r="L5585" i="1"/>
  <c r="L5602" i="1"/>
  <c r="L5619" i="1"/>
  <c r="L5636" i="1"/>
  <c r="L5653" i="1"/>
  <c r="L5670" i="1"/>
  <c r="L5687" i="1"/>
  <c r="L5704" i="1"/>
  <c r="L5721" i="1"/>
  <c r="L5738" i="1"/>
  <c r="L5755" i="1"/>
  <c r="L5772" i="1"/>
  <c r="L5789" i="1"/>
  <c r="L5806" i="1"/>
  <c r="L5823" i="1"/>
  <c r="L5840" i="1"/>
  <c r="L5857" i="1"/>
  <c r="L5874" i="1"/>
  <c r="L5891" i="1"/>
  <c r="L5908" i="1"/>
  <c r="L5925" i="1"/>
  <c r="L5942" i="1"/>
  <c r="L5959" i="1"/>
  <c r="L5976" i="1"/>
  <c r="L5993" i="1"/>
  <c r="L6010" i="1"/>
  <c r="L6027" i="1"/>
  <c r="L6044" i="1"/>
  <c r="L6061" i="1"/>
  <c r="L6078" i="1"/>
  <c r="L6095" i="1"/>
  <c r="L6112" i="1"/>
  <c r="L6129" i="1"/>
  <c r="L6146" i="1"/>
  <c r="L6163" i="1"/>
  <c r="L6180" i="1"/>
  <c r="L6197" i="1"/>
  <c r="L6214" i="1"/>
  <c r="L6231" i="1"/>
  <c r="L6248" i="1"/>
  <c r="L6265" i="1"/>
  <c r="L6282" i="1"/>
  <c r="L6299" i="1"/>
  <c r="L6316" i="1"/>
  <c r="L6333" i="1"/>
  <c r="L6350" i="1"/>
  <c r="L6367" i="1"/>
  <c r="L6384" i="1"/>
  <c r="L6401" i="1"/>
  <c r="L6418" i="1"/>
  <c r="L6435" i="1"/>
  <c r="L6452" i="1"/>
  <c r="L6469" i="1"/>
  <c r="L6486" i="1"/>
  <c r="L6503" i="1"/>
  <c r="L6520" i="1"/>
  <c r="L6537" i="1"/>
  <c r="L6554" i="1"/>
  <c r="L6571" i="1"/>
  <c r="L6588" i="1"/>
  <c r="L6605" i="1"/>
  <c r="L6622" i="1"/>
  <c r="L6639" i="1"/>
  <c r="L6656" i="1"/>
  <c r="L6673" i="1"/>
  <c r="L6690" i="1"/>
  <c r="L6707" i="1"/>
  <c r="L6724" i="1"/>
  <c r="L6741" i="1"/>
  <c r="L6758" i="1"/>
  <c r="L6775" i="1"/>
  <c r="L6792" i="1"/>
  <c r="L6809" i="1"/>
  <c r="L6826" i="1"/>
  <c r="L6843" i="1"/>
  <c r="L6860" i="1"/>
  <c r="L6877" i="1"/>
  <c r="L6894" i="1"/>
  <c r="L6911" i="1"/>
  <c r="L6928" i="1"/>
  <c r="L6945" i="1"/>
  <c r="L6962" i="1"/>
  <c r="L6979" i="1"/>
  <c r="L6996" i="1"/>
  <c r="L7013" i="1"/>
  <c r="L7030" i="1"/>
  <c r="L7047" i="1"/>
  <c r="L7064" i="1"/>
  <c r="L7081" i="1"/>
  <c r="L7098" i="1"/>
  <c r="L7115" i="1"/>
  <c r="L7132" i="1"/>
  <c r="L7149" i="1"/>
  <c r="L7166" i="1"/>
  <c r="L7183" i="1"/>
  <c r="L7200" i="1"/>
  <c r="L7217" i="1"/>
  <c r="L7234" i="1"/>
  <c r="L7251" i="1"/>
  <c r="L7268" i="1"/>
  <c r="L7285" i="1"/>
  <c r="L7302" i="1"/>
  <c r="L7319" i="1"/>
  <c r="L7336" i="1"/>
  <c r="L7353" i="1"/>
  <c r="L7370" i="1"/>
  <c r="L7387" i="1"/>
  <c r="L7404" i="1"/>
  <c r="L7421" i="1"/>
  <c r="L7438" i="1"/>
  <c r="L7455" i="1"/>
  <c r="L7472" i="1"/>
  <c r="L7489" i="1"/>
  <c r="L7506" i="1"/>
  <c r="L7523" i="1"/>
  <c r="L7540" i="1"/>
  <c r="L7557" i="1"/>
  <c r="L7574" i="1"/>
  <c r="L7591" i="1"/>
  <c r="L7608" i="1"/>
  <c r="L7625" i="1"/>
  <c r="L7642" i="1"/>
  <c r="L7659" i="1"/>
  <c r="L7676" i="1"/>
  <c r="L7693" i="1"/>
  <c r="L7710" i="1"/>
  <c r="L7727" i="1"/>
  <c r="L7744" i="1"/>
  <c r="L7761" i="1"/>
  <c r="L7778" i="1"/>
  <c r="L7795" i="1"/>
  <c r="L7812" i="1"/>
  <c r="L7829" i="1"/>
  <c r="L7846" i="1"/>
  <c r="L7863" i="1"/>
  <c r="L7880" i="1"/>
  <c r="L7897" i="1"/>
  <c r="L7914" i="1"/>
  <c r="L7931" i="1"/>
  <c r="L7948" i="1"/>
  <c r="L7965" i="1"/>
  <c r="L7982" i="1"/>
  <c r="L7999" i="1"/>
  <c r="L8016" i="1"/>
  <c r="L8033" i="1"/>
  <c r="L8050" i="1"/>
  <c r="L8067" i="1"/>
  <c r="L8084" i="1"/>
  <c r="L8101" i="1"/>
  <c r="L8118" i="1"/>
  <c r="L8135" i="1"/>
  <c r="L8152" i="1"/>
  <c r="L8169" i="1"/>
  <c r="L8186" i="1"/>
  <c r="L8203" i="1"/>
  <c r="L8220" i="1"/>
  <c r="L8237" i="1"/>
  <c r="L8254" i="1"/>
  <c r="L8271" i="1"/>
  <c r="L8288" i="1"/>
  <c r="L8305" i="1"/>
  <c r="L8322" i="1"/>
  <c r="L8339" i="1"/>
  <c r="L8356" i="1"/>
  <c r="L8373" i="1"/>
  <c r="L8390" i="1"/>
  <c r="L8407" i="1"/>
  <c r="L8424" i="1"/>
  <c r="L8441" i="1"/>
  <c r="L8458" i="1"/>
  <c r="L8475" i="1"/>
  <c r="L8492" i="1"/>
  <c r="L8509" i="1"/>
  <c r="L8526" i="1"/>
  <c r="L8543" i="1"/>
  <c r="L8560" i="1"/>
  <c r="L8577" i="1"/>
  <c r="L8594" i="1"/>
  <c r="L8611" i="1"/>
  <c r="L8628" i="1"/>
  <c r="L8645" i="1"/>
  <c r="L8662" i="1"/>
  <c r="L8679" i="1"/>
  <c r="L8696" i="1"/>
  <c r="L8713" i="1"/>
  <c r="L8730" i="1"/>
  <c r="L8747" i="1"/>
  <c r="L8764" i="1"/>
  <c r="L8781" i="1"/>
  <c r="L8798" i="1"/>
  <c r="L8815" i="1"/>
  <c r="L8832" i="1"/>
  <c r="L8849" i="1"/>
  <c r="L8866" i="1"/>
  <c r="L8883" i="1"/>
  <c r="L8900" i="1"/>
  <c r="L8917" i="1"/>
  <c r="L8934" i="1"/>
  <c r="L8951" i="1"/>
  <c r="L8968" i="1"/>
  <c r="L8985" i="1"/>
  <c r="L9002" i="1"/>
  <c r="L9019" i="1"/>
  <c r="L9036" i="1"/>
  <c r="L9053" i="1"/>
  <c r="L9070" i="1"/>
  <c r="L9087" i="1"/>
  <c r="L9104" i="1"/>
  <c r="L9121" i="1"/>
  <c r="L9138" i="1"/>
  <c r="L9155" i="1"/>
  <c r="L9172" i="1"/>
  <c r="L9189" i="1"/>
  <c r="L9206" i="1"/>
  <c r="L9223" i="1"/>
  <c r="L9240" i="1"/>
  <c r="L9257" i="1"/>
  <c r="L9274" i="1"/>
  <c r="L9291" i="1"/>
  <c r="L9308" i="1"/>
  <c r="L9325" i="1"/>
  <c r="L9342" i="1"/>
  <c r="L9359" i="1"/>
  <c r="L9376" i="1"/>
  <c r="L9393" i="1"/>
  <c r="L9410" i="1"/>
  <c r="L9427" i="1"/>
  <c r="L9444" i="1"/>
  <c r="L9461" i="1"/>
  <c r="L9478" i="1"/>
  <c r="L9495" i="1"/>
  <c r="L9512" i="1"/>
  <c r="L9529" i="1"/>
  <c r="L9546" i="1"/>
  <c r="L9563" i="1"/>
  <c r="L9580" i="1"/>
  <c r="L9597" i="1"/>
  <c r="L9614" i="1"/>
  <c r="L9631" i="1"/>
  <c r="L9648" i="1"/>
  <c r="L9665" i="1"/>
  <c r="L9682" i="1"/>
  <c r="L9699" i="1"/>
  <c r="L9716" i="1"/>
  <c r="L9733" i="1"/>
  <c r="L9750" i="1"/>
  <c r="L9767" i="1"/>
  <c r="L9784" i="1"/>
  <c r="L9801" i="1"/>
  <c r="L9818" i="1"/>
  <c r="L9835" i="1"/>
  <c r="L9852" i="1"/>
  <c r="L9869" i="1"/>
  <c r="L9886" i="1"/>
  <c r="L9903" i="1"/>
  <c r="L9920" i="1"/>
  <c r="L9937" i="1"/>
  <c r="L9954" i="1"/>
  <c r="L9971" i="1"/>
  <c r="L9988" i="1"/>
  <c r="L10005" i="1"/>
  <c r="L10022" i="1"/>
  <c r="L10039" i="1"/>
  <c r="L10056" i="1"/>
  <c r="L10073" i="1"/>
  <c r="L10090" i="1"/>
  <c r="L10107" i="1"/>
  <c r="L10124" i="1"/>
  <c r="L10141" i="1"/>
  <c r="M10141" i="1" s="1"/>
  <c r="L10158" i="1"/>
  <c r="L10175" i="1"/>
  <c r="L10192" i="1"/>
  <c r="L10209" i="1"/>
  <c r="L10226" i="1"/>
  <c r="L10243" i="1"/>
  <c r="L10260" i="1"/>
  <c r="L10277" i="1"/>
  <c r="M10277" i="1" s="1"/>
  <c r="L10294" i="1"/>
  <c r="L10311" i="1"/>
  <c r="L10328" i="1"/>
  <c r="L10345" i="1"/>
  <c r="L10362" i="1"/>
  <c r="L10379" i="1"/>
  <c r="L10396" i="1"/>
  <c r="M10396" i="1" s="1"/>
  <c r="L10413" i="1"/>
  <c r="L10430" i="1"/>
  <c r="L10447" i="1"/>
  <c r="L10498" i="1"/>
  <c r="L10515" i="1"/>
  <c r="L10532" i="1"/>
  <c r="L10549" i="1"/>
  <c r="L10566" i="1"/>
  <c r="L10583" i="1"/>
  <c r="L10600" i="1"/>
  <c r="L10617" i="1"/>
  <c r="L10634" i="1"/>
  <c r="L10651" i="1"/>
  <c r="L10668" i="1"/>
  <c r="L10685" i="1"/>
  <c r="L10702" i="1"/>
  <c r="L10719" i="1"/>
  <c r="L10736" i="1"/>
  <c r="L10753" i="1"/>
  <c r="L10770" i="1"/>
  <c r="L10787" i="1"/>
  <c r="L10804" i="1"/>
  <c r="L10821" i="1"/>
  <c r="L10838" i="1"/>
  <c r="L10855" i="1"/>
  <c r="L10872" i="1"/>
  <c r="L10889" i="1"/>
  <c r="L10906" i="1"/>
  <c r="L10923" i="1"/>
  <c r="M10923" i="1" s="1"/>
  <c r="L10940" i="1"/>
  <c r="L10957" i="1"/>
  <c r="L10974" i="1"/>
  <c r="L10991" i="1"/>
  <c r="L11008" i="1"/>
  <c r="L11025" i="1"/>
  <c r="L11042" i="1"/>
  <c r="L11059" i="1"/>
  <c r="L11076" i="1"/>
  <c r="L11093" i="1"/>
  <c r="L11110" i="1"/>
  <c r="L11127" i="1"/>
  <c r="L11144" i="1"/>
  <c r="L11161" i="1"/>
  <c r="L11178" i="1"/>
  <c r="L11195" i="1"/>
  <c r="L11212" i="1"/>
  <c r="L11229" i="1"/>
  <c r="L11246" i="1"/>
  <c r="L11263" i="1"/>
  <c r="L11280" i="1"/>
  <c r="L11297" i="1"/>
  <c r="L11314" i="1"/>
  <c r="L11331" i="1"/>
  <c r="L11348" i="1"/>
  <c r="L11365" i="1"/>
  <c r="L11382" i="1"/>
  <c r="L11399" i="1"/>
  <c r="L11416" i="1"/>
  <c r="L11433" i="1"/>
  <c r="L11450" i="1"/>
  <c r="L11467" i="1"/>
  <c r="L11484" i="1"/>
  <c r="M11484" i="1" s="1"/>
  <c r="L11501" i="1"/>
  <c r="L11518" i="1"/>
  <c r="L11535" i="1"/>
  <c r="L11552" i="1"/>
  <c r="L11569" i="1"/>
  <c r="L11586" i="1"/>
  <c r="L11603" i="1"/>
  <c r="L11620" i="1"/>
  <c r="L11637" i="1"/>
  <c r="L11654" i="1"/>
  <c r="L11671" i="1"/>
  <c r="L11688" i="1"/>
  <c r="L11705" i="1"/>
  <c r="L11722" i="1"/>
  <c r="M11722" i="1" s="1"/>
  <c r="L11739" i="1"/>
  <c r="L11756" i="1"/>
  <c r="L11773" i="1"/>
  <c r="L11790" i="1"/>
  <c r="M11790" i="1" s="1"/>
  <c r="L11807" i="1"/>
  <c r="L11824" i="1"/>
  <c r="M11824" i="1" s="1"/>
  <c r="L11841" i="1"/>
  <c r="L11858" i="1"/>
  <c r="L11875" i="1"/>
  <c r="L11892" i="1"/>
  <c r="M11892" i="1" s="1"/>
  <c r="L11909" i="1"/>
  <c r="L11926" i="1"/>
  <c r="L11943" i="1"/>
  <c r="L11960" i="1"/>
  <c r="L11977" i="1"/>
  <c r="L11994" i="1"/>
  <c r="L12011" i="1"/>
  <c r="L12028" i="1"/>
  <c r="M12028" i="1" s="1"/>
  <c r="L12045" i="1"/>
  <c r="L12062" i="1"/>
  <c r="L12079" i="1"/>
  <c r="L12096" i="1"/>
  <c r="L12113" i="1"/>
  <c r="L12130" i="1"/>
  <c r="L12147" i="1"/>
  <c r="M12147" i="1" s="1"/>
  <c r="L12164" i="1"/>
  <c r="M12164" i="1" s="1"/>
  <c r="L12181" i="1"/>
  <c r="L12198" i="1"/>
  <c r="M12198" i="1" s="1"/>
  <c r="L12215" i="1"/>
  <c r="L12232" i="1"/>
  <c r="L12249" i="1"/>
  <c r="M12249" i="1" s="1"/>
  <c r="L12266" i="1"/>
  <c r="L12283" i="1"/>
  <c r="M12283" i="1" s="1"/>
  <c r="L12300" i="1"/>
  <c r="L12317" i="1"/>
  <c r="L12334" i="1"/>
  <c r="L12351" i="1"/>
  <c r="L12368" i="1"/>
  <c r="M12368" i="1" s="1"/>
  <c r="L12385" i="1"/>
  <c r="M12385" i="1" s="1"/>
  <c r="L12402" i="1"/>
  <c r="L12419" i="1"/>
  <c r="L12436" i="1"/>
  <c r="L12453" i="1"/>
  <c r="L12470" i="1"/>
  <c r="L12487" i="1"/>
  <c r="L12504" i="1"/>
  <c r="M12504" i="1" s="1"/>
  <c r="L12521" i="1"/>
  <c r="M12521" i="1" s="1"/>
  <c r="L12538" i="1"/>
  <c r="L12555" i="1"/>
  <c r="L12572" i="1"/>
  <c r="M12572" i="1" s="1"/>
  <c r="L12589" i="1"/>
  <c r="L12606" i="1"/>
  <c r="L12623" i="1"/>
  <c r="L12640" i="1"/>
  <c r="M12640" i="1" s="1"/>
  <c r="L12657" i="1"/>
  <c r="M12657" i="1" s="1"/>
  <c r="L12674" i="1"/>
  <c r="L12691" i="1"/>
  <c r="L12708" i="1"/>
  <c r="M12708" i="1" s="1"/>
  <c r="L12725" i="1"/>
  <c r="L12742" i="1"/>
  <c r="L12759" i="1"/>
  <c r="L12776" i="1"/>
  <c r="M12776" i="1" s="1"/>
  <c r="L12793" i="1"/>
  <c r="M12793" i="1" s="1"/>
  <c r="L12810" i="1"/>
  <c r="M12810" i="1" s="1"/>
  <c r="L12827" i="1"/>
  <c r="L12844" i="1"/>
  <c r="L12861" i="1"/>
  <c r="L12878" i="1"/>
  <c r="L12895" i="1"/>
  <c r="L12912" i="1"/>
  <c r="M12912" i="1" s="1"/>
  <c r="L12929" i="1"/>
  <c r="L12946" i="1"/>
  <c r="M12946" i="1" s="1"/>
  <c r="L12963" i="1"/>
  <c r="L12980" i="1"/>
  <c r="L12997" i="1"/>
  <c r="L13014" i="1"/>
  <c r="M13014" i="1" s="1"/>
  <c r="L13031" i="1"/>
  <c r="L13048" i="1"/>
  <c r="M13048" i="1" s="1"/>
  <c r="L13065" i="1"/>
  <c r="M13065" i="1" s="1"/>
  <c r="L13082" i="1"/>
  <c r="M13082" i="1" s="1"/>
  <c r="L13099" i="1"/>
  <c r="L13116" i="1"/>
  <c r="L13133" i="1"/>
  <c r="L13150" i="1"/>
  <c r="M13150" i="1" s="1"/>
  <c r="L13167" i="1"/>
  <c r="L13184" i="1"/>
  <c r="M13184" i="1" s="1"/>
  <c r="L13201" i="1"/>
  <c r="M13201" i="1" s="1"/>
  <c r="L13218" i="1"/>
  <c r="M13218" i="1" s="1"/>
  <c r="L13235" i="1"/>
  <c r="L13252" i="1"/>
  <c r="L13269" i="1"/>
  <c r="L13286" i="1"/>
  <c r="M13286" i="1" s="1"/>
  <c r="L13303" i="1"/>
  <c r="L13320" i="1"/>
  <c r="M13320" i="1" s="1"/>
  <c r="L13337" i="1"/>
  <c r="L13354" i="1"/>
  <c r="M13354" i="1" s="1"/>
  <c r="L13371" i="1"/>
  <c r="L13388" i="1"/>
  <c r="M13388" i="1" s="1"/>
  <c r="L13405" i="1"/>
  <c r="L13422" i="1"/>
  <c r="M13422" i="1" s="1"/>
  <c r="L13439" i="1"/>
  <c r="L13456" i="1"/>
  <c r="M13456" i="1" s="1"/>
  <c r="L13473" i="1"/>
  <c r="M13473" i="1" s="1"/>
  <c r="L13490" i="1"/>
  <c r="M13490" i="1" s="1"/>
  <c r="L13507" i="1"/>
  <c r="L13524" i="1"/>
  <c r="M13524" i="1" s="1"/>
  <c r="L13541" i="1"/>
  <c r="L13558" i="1"/>
  <c r="M13558" i="1" s="1"/>
  <c r="L13575" i="1"/>
  <c r="L13592" i="1"/>
  <c r="L13609" i="1"/>
  <c r="M13609" i="1" s="1"/>
  <c r="L13626" i="1"/>
  <c r="M13626" i="1" s="1"/>
  <c r="L13643" i="1"/>
  <c r="L13660" i="1"/>
  <c r="M13660" i="1" s="1"/>
  <c r="L13677" i="1"/>
  <c r="L13694" i="1"/>
  <c r="M13694" i="1" s="1"/>
  <c r="L13711" i="1"/>
  <c r="L13728" i="1"/>
  <c r="M13728" i="1" s="1"/>
  <c r="L13745" i="1"/>
  <c r="L13762" i="1"/>
  <c r="M13762" i="1" s="1"/>
  <c r="L13779" i="1"/>
  <c r="L13796" i="1"/>
  <c r="M13796" i="1" s="1"/>
  <c r="L13813" i="1"/>
  <c r="L13830" i="1"/>
  <c r="M13830" i="1" s="1"/>
  <c r="L13847" i="1"/>
  <c r="L13864" i="1"/>
  <c r="L13881" i="1"/>
  <c r="L13898" i="1"/>
  <c r="M13898" i="1" s="1"/>
  <c r="L13915" i="1"/>
  <c r="L13932" i="1"/>
  <c r="L13949" i="1"/>
  <c r="L13966" i="1"/>
  <c r="M13966" i="1" s="1"/>
  <c r="L13983" i="1"/>
  <c r="L14000" i="1"/>
  <c r="L14017" i="1"/>
  <c r="L14034" i="1"/>
  <c r="M14034" i="1" s="1"/>
  <c r="L14051" i="1"/>
  <c r="L14068" i="1"/>
  <c r="L14085" i="1"/>
  <c r="M14085" i="1" s="1"/>
  <c r="L14102" i="1"/>
  <c r="M14102" i="1" s="1"/>
  <c r="L14119" i="1"/>
  <c r="L14136" i="1"/>
  <c r="L14153" i="1"/>
  <c r="L14170" i="1"/>
  <c r="M14170" i="1" s="1"/>
  <c r="L14187" i="1"/>
  <c r="L14204" i="1"/>
  <c r="M14204" i="1" s="1"/>
  <c r="L14221" i="1"/>
  <c r="L14238" i="1"/>
  <c r="M14238" i="1" s="1"/>
  <c r="L14255" i="1"/>
  <c r="L14272" i="1"/>
  <c r="M14272" i="1" s="1"/>
  <c r="L14289" i="1"/>
  <c r="L14306" i="1"/>
  <c r="M14306" i="1" s="1"/>
  <c r="L14323" i="1"/>
  <c r="L14340" i="1"/>
  <c r="M14340" i="1" s="1"/>
  <c r="L14357" i="1"/>
  <c r="L14374" i="1"/>
  <c r="M14374" i="1" s="1"/>
  <c r="L14391" i="1"/>
  <c r="L14408" i="1"/>
  <c r="M14408" i="1" s="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160" i="1"/>
  <c r="F7880" i="1"/>
  <c r="B7880" i="1" s="1"/>
  <c r="F7879" i="1"/>
  <c r="B7879" i="1" s="1"/>
  <c r="C7879" i="1"/>
  <c r="F7878" i="1"/>
  <c r="B7878" i="1" s="1"/>
  <c r="C7878" i="1"/>
  <c r="F7877" i="1"/>
  <c r="B7877" i="1" s="1"/>
  <c r="C7877" i="1"/>
  <c r="F7876" i="1"/>
  <c r="B7876" i="1" s="1"/>
  <c r="C7876" i="1"/>
  <c r="F7875" i="1"/>
  <c r="B7875" i="1" s="1"/>
  <c r="C7875" i="1"/>
  <c r="F7874" i="1"/>
  <c r="B7874" i="1" s="1"/>
  <c r="C7874" i="1"/>
  <c r="F7873" i="1"/>
  <c r="B7873" i="1" s="1"/>
  <c r="C7873" i="1"/>
  <c r="F7872" i="1"/>
  <c r="B7872" i="1" s="1"/>
  <c r="C7872" i="1"/>
  <c r="F7871" i="1"/>
  <c r="B7871" i="1" s="1"/>
  <c r="C7871" i="1"/>
  <c r="F7870" i="1"/>
  <c r="B7870" i="1" s="1"/>
  <c r="C7870" i="1"/>
  <c r="F7869" i="1"/>
  <c r="B7869" i="1" s="1"/>
  <c r="C7869" i="1"/>
  <c r="F7868" i="1"/>
  <c r="C7868" i="1"/>
  <c r="F7867" i="1"/>
  <c r="B7867" i="1" s="1"/>
  <c r="C7867" i="1"/>
  <c r="F7866" i="1"/>
  <c r="B7866" i="1" s="1"/>
  <c r="C7866" i="1"/>
  <c r="F7865" i="1"/>
  <c r="B7865" i="1" s="1"/>
  <c r="C7865" i="1"/>
  <c r="F7864" i="1"/>
  <c r="B7864" i="1" s="1"/>
  <c r="C7864" i="1"/>
  <c r="F7863" i="1"/>
  <c r="B7863" i="1" s="1"/>
  <c r="C7863" i="1"/>
  <c r="F7862" i="1"/>
  <c r="B7862" i="1" s="1"/>
  <c r="C7862" i="1"/>
  <c r="F7861" i="1"/>
  <c r="B7861" i="1" s="1"/>
  <c r="C7861" i="1"/>
  <c r="F7860" i="1"/>
  <c r="B7860" i="1" s="1"/>
  <c r="C7860" i="1"/>
  <c r="F7859" i="1"/>
  <c r="B7859" i="1" s="1"/>
  <c r="C7859" i="1"/>
  <c r="F7858" i="1"/>
  <c r="B7858" i="1" s="1"/>
  <c r="C7858" i="1"/>
  <c r="F7857" i="1"/>
  <c r="B7857" i="1" s="1"/>
  <c r="C7857" i="1"/>
  <c r="F7856" i="1"/>
  <c r="B7856" i="1" s="1"/>
  <c r="C7856" i="1"/>
  <c r="F7855" i="1"/>
  <c r="B7855" i="1" s="1"/>
  <c r="C7855" i="1"/>
  <c r="F7854" i="1"/>
  <c r="B7854" i="1" s="1"/>
  <c r="C7854" i="1"/>
  <c r="F7853" i="1"/>
  <c r="B7853" i="1" s="1"/>
  <c r="C7853" i="1"/>
  <c r="F7852" i="1"/>
  <c r="C7852" i="1"/>
  <c r="F7851" i="1"/>
  <c r="B7851" i="1" s="1"/>
  <c r="C7851" i="1"/>
  <c r="F7850" i="1"/>
  <c r="B7850" i="1" s="1"/>
  <c r="C7850" i="1"/>
  <c r="F7849" i="1"/>
  <c r="B7849" i="1" s="1"/>
  <c r="C7849" i="1"/>
  <c r="F7848" i="1"/>
  <c r="B7848" i="1" s="1"/>
  <c r="C7848" i="1"/>
  <c r="F7847" i="1"/>
  <c r="B7847" i="1" s="1"/>
  <c r="C7847" i="1"/>
  <c r="F7846" i="1"/>
  <c r="B7846" i="1" s="1"/>
  <c r="C7846" i="1"/>
  <c r="F7845" i="1"/>
  <c r="B7845" i="1" s="1"/>
  <c r="C7845" i="1"/>
  <c r="F7844" i="1"/>
  <c r="B7844" i="1" s="1"/>
  <c r="C7844" i="1"/>
  <c r="F7843" i="1"/>
  <c r="B7843" i="1" s="1"/>
  <c r="C7843" i="1"/>
  <c r="F7842" i="1"/>
  <c r="B7842" i="1" s="1"/>
  <c r="C7842" i="1"/>
  <c r="F7841" i="1"/>
  <c r="B7841" i="1" s="1"/>
  <c r="C7841" i="1"/>
  <c r="F7840" i="1"/>
  <c r="B7840" i="1" s="1"/>
  <c r="C7840" i="1"/>
  <c r="F7839" i="1"/>
  <c r="B7839" i="1" s="1"/>
  <c r="C7839" i="1"/>
  <c r="F7838" i="1"/>
  <c r="C7838" i="1"/>
  <c r="F7837" i="1"/>
  <c r="B7837" i="1" s="1"/>
  <c r="C7837" i="1"/>
  <c r="F7836" i="1"/>
  <c r="C7836" i="1"/>
  <c r="F7835" i="1"/>
  <c r="B7835" i="1" s="1"/>
  <c r="C7835" i="1"/>
  <c r="F7834" i="1"/>
  <c r="B7834" i="1" s="1"/>
  <c r="C7834" i="1"/>
  <c r="F7833" i="1"/>
  <c r="B7833" i="1" s="1"/>
  <c r="C7833" i="1"/>
  <c r="F7832" i="1"/>
  <c r="B7832" i="1" s="1"/>
  <c r="C7832" i="1"/>
  <c r="F7831" i="1"/>
  <c r="B7831" i="1" s="1"/>
  <c r="C7831" i="1"/>
  <c r="F7830" i="1"/>
  <c r="B7830" i="1" s="1"/>
  <c r="C7830" i="1"/>
  <c r="F7829" i="1"/>
  <c r="B7829" i="1" s="1"/>
  <c r="C7829" i="1"/>
  <c r="F7828" i="1"/>
  <c r="B7828" i="1" s="1"/>
  <c r="C7828" i="1"/>
  <c r="F7827" i="1"/>
  <c r="B7827" i="1" s="1"/>
  <c r="C7827" i="1"/>
  <c r="F7826" i="1"/>
  <c r="B7826" i="1" s="1"/>
  <c r="C7826" i="1"/>
  <c r="F7825" i="1"/>
  <c r="B7825" i="1" s="1"/>
  <c r="C7825" i="1"/>
  <c r="F7824" i="1"/>
  <c r="B7824" i="1" s="1"/>
  <c r="C7824" i="1"/>
  <c r="F7823" i="1"/>
  <c r="B7823" i="1" s="1"/>
  <c r="C7823" i="1"/>
  <c r="F7822" i="1"/>
  <c r="C7822" i="1"/>
  <c r="F7821" i="1"/>
  <c r="B7821" i="1" s="1"/>
  <c r="C7821" i="1"/>
  <c r="F7820" i="1"/>
  <c r="C7820" i="1"/>
  <c r="F7819" i="1"/>
  <c r="B7819" i="1" s="1"/>
  <c r="C7819" i="1"/>
  <c r="F7818" i="1"/>
  <c r="B7818" i="1" s="1"/>
  <c r="C7818" i="1"/>
  <c r="F7817" i="1"/>
  <c r="B7817" i="1" s="1"/>
  <c r="C7817" i="1"/>
  <c r="F7816" i="1"/>
  <c r="B7816" i="1" s="1"/>
  <c r="C7816" i="1"/>
  <c r="F7815" i="1"/>
  <c r="B7815" i="1" s="1"/>
  <c r="C7815" i="1"/>
  <c r="F7814" i="1"/>
  <c r="C7814" i="1"/>
  <c r="F7813" i="1"/>
  <c r="B7813" i="1" s="1"/>
  <c r="C7813" i="1"/>
  <c r="C7812" i="1"/>
  <c r="B7811" i="1"/>
  <c r="C7811" i="1"/>
  <c r="B7810" i="1"/>
  <c r="C7810" i="1"/>
  <c r="B7809" i="1"/>
  <c r="C7809" i="1"/>
  <c r="B7808" i="1"/>
  <c r="C7808" i="1"/>
  <c r="B7807" i="1"/>
  <c r="C7807" i="1"/>
  <c r="B7806" i="1"/>
  <c r="C7806" i="1"/>
  <c r="B7805" i="1"/>
  <c r="C7805" i="1"/>
  <c r="C7804" i="1"/>
  <c r="B7803" i="1"/>
  <c r="C7803" i="1"/>
  <c r="B7802" i="1"/>
  <c r="C7802" i="1"/>
  <c r="B7801" i="1"/>
  <c r="C7801" i="1"/>
  <c r="B7800" i="1"/>
  <c r="C7800" i="1"/>
  <c r="B7799" i="1"/>
  <c r="C7799" i="1"/>
  <c r="C7798" i="1"/>
  <c r="B7797" i="1"/>
  <c r="C7797" i="1"/>
  <c r="C7796" i="1"/>
  <c r="B7795" i="1"/>
  <c r="C7795" i="1"/>
  <c r="F7794" i="1"/>
  <c r="B7794" i="1" s="1"/>
  <c r="C7794" i="1"/>
  <c r="F7793" i="1"/>
  <c r="B7793" i="1" s="1"/>
  <c r="C7793" i="1"/>
  <c r="F7792" i="1"/>
  <c r="B7792" i="1" s="1"/>
  <c r="C7792" i="1"/>
  <c r="F7791" i="1"/>
  <c r="B7791" i="1" s="1"/>
  <c r="C7791" i="1"/>
  <c r="F7790" i="1"/>
  <c r="B7790" i="1" s="1"/>
  <c r="C7790" i="1"/>
  <c r="F7789" i="1"/>
  <c r="B7789" i="1" s="1"/>
  <c r="C7789" i="1"/>
  <c r="F7788" i="1"/>
  <c r="C7788" i="1"/>
  <c r="F7787" i="1"/>
  <c r="B7787" i="1" s="1"/>
  <c r="C7787" i="1"/>
  <c r="F7786" i="1"/>
  <c r="B7786" i="1" s="1"/>
  <c r="C7786" i="1"/>
  <c r="F7785" i="1"/>
  <c r="B7785" i="1" s="1"/>
  <c r="C7785" i="1"/>
  <c r="F7784" i="1"/>
  <c r="B7784" i="1" s="1"/>
  <c r="C7784" i="1"/>
  <c r="F7783" i="1"/>
  <c r="B7783" i="1" s="1"/>
  <c r="C7783" i="1"/>
  <c r="F7782" i="1"/>
  <c r="B7782" i="1" s="1"/>
  <c r="C7782" i="1"/>
  <c r="F7781" i="1"/>
  <c r="B7781" i="1" s="1"/>
  <c r="C7781" i="1"/>
  <c r="F7780" i="1"/>
  <c r="C7780" i="1"/>
  <c r="F7779" i="1"/>
  <c r="B7779" i="1" s="1"/>
  <c r="C7779" i="1"/>
  <c r="F7778" i="1"/>
  <c r="B7778" i="1" s="1"/>
  <c r="C7778" i="1"/>
  <c r="F7777" i="1"/>
  <c r="B7777" i="1" s="1"/>
  <c r="C7777" i="1"/>
  <c r="F7776" i="1"/>
  <c r="B7776" i="1" s="1"/>
  <c r="C7776" i="1"/>
  <c r="F7775" i="1"/>
  <c r="B7775" i="1" s="1"/>
  <c r="C7775" i="1"/>
  <c r="F7774" i="1"/>
  <c r="B7774" i="1" s="1"/>
  <c r="C7774" i="1"/>
  <c r="F7773" i="1"/>
  <c r="B7773" i="1" s="1"/>
  <c r="C7773" i="1"/>
  <c r="F7772" i="1"/>
  <c r="C7772" i="1"/>
  <c r="F7771" i="1"/>
  <c r="B7771" i="1" s="1"/>
  <c r="C7771" i="1"/>
  <c r="F7770" i="1"/>
  <c r="B7770" i="1" s="1"/>
  <c r="C7770" i="1"/>
  <c r="F7769" i="1"/>
  <c r="B7769" i="1" s="1"/>
  <c r="C7769" i="1"/>
  <c r="F7768" i="1"/>
  <c r="B7768" i="1" s="1"/>
  <c r="C7768" i="1"/>
  <c r="F7767" i="1"/>
  <c r="B7767" i="1" s="1"/>
  <c r="C7767" i="1"/>
  <c r="F7766" i="1"/>
  <c r="C7766" i="1"/>
  <c r="F7765" i="1"/>
  <c r="B7765" i="1" s="1"/>
  <c r="C7765" i="1"/>
  <c r="F7764" i="1"/>
  <c r="C7764" i="1"/>
  <c r="F7763" i="1"/>
  <c r="B7763" i="1" s="1"/>
  <c r="C7763" i="1"/>
  <c r="F7762" i="1"/>
  <c r="B7762" i="1" s="1"/>
  <c r="C7762" i="1"/>
  <c r="F7761" i="1"/>
  <c r="B7761" i="1" s="1"/>
  <c r="C7761" i="1"/>
  <c r="F7760" i="1"/>
  <c r="B7760" i="1" s="1"/>
  <c r="C7760" i="1"/>
  <c r="F7759" i="1"/>
  <c r="B7759" i="1" s="1"/>
  <c r="C7759" i="1"/>
  <c r="F7758" i="1"/>
  <c r="C7758" i="1"/>
  <c r="F7757" i="1"/>
  <c r="B7757" i="1" s="1"/>
  <c r="C7757" i="1"/>
  <c r="F7756" i="1"/>
  <c r="C7756" i="1"/>
  <c r="F7755" i="1"/>
  <c r="B7755" i="1" s="1"/>
  <c r="C7755" i="1"/>
  <c r="F7754" i="1"/>
  <c r="B7754" i="1" s="1"/>
  <c r="C7754" i="1"/>
  <c r="F7753" i="1"/>
  <c r="B7753" i="1" s="1"/>
  <c r="C7753" i="1"/>
  <c r="F7752" i="1"/>
  <c r="B7752" i="1" s="1"/>
  <c r="C7752" i="1"/>
  <c r="F7751" i="1"/>
  <c r="B7751" i="1" s="1"/>
  <c r="C7751" i="1"/>
  <c r="F7750" i="1"/>
  <c r="B7750" i="1" s="1"/>
  <c r="C7750" i="1"/>
  <c r="F7749" i="1"/>
  <c r="B7749" i="1" s="1"/>
  <c r="C7749" i="1"/>
  <c r="F7748" i="1"/>
  <c r="B7748" i="1" s="1"/>
  <c r="C7748" i="1"/>
  <c r="F7747" i="1"/>
  <c r="B7747" i="1" s="1"/>
  <c r="C7747" i="1"/>
  <c r="F7746" i="1"/>
  <c r="B7746" i="1" s="1"/>
  <c r="C7746" i="1"/>
  <c r="F7745" i="1"/>
  <c r="B7745" i="1" s="1"/>
  <c r="C7745" i="1"/>
  <c r="F7744" i="1"/>
  <c r="B7744" i="1" s="1"/>
  <c r="C7744" i="1"/>
  <c r="F7743" i="1"/>
  <c r="B7743" i="1" s="1"/>
  <c r="C7743" i="1"/>
  <c r="F7742" i="1"/>
  <c r="B7742" i="1" s="1"/>
  <c r="C7742" i="1"/>
  <c r="F7741" i="1"/>
  <c r="B7741" i="1" s="1"/>
  <c r="C7741" i="1"/>
  <c r="F7740" i="1"/>
  <c r="B7740" i="1" s="1"/>
  <c r="C7740" i="1"/>
  <c r="F7739" i="1"/>
  <c r="B7739" i="1" s="1"/>
  <c r="C7739" i="1"/>
  <c r="F7738" i="1"/>
  <c r="C7738" i="1"/>
  <c r="F7737" i="1"/>
  <c r="B7737" i="1" s="1"/>
  <c r="C7737" i="1"/>
  <c r="F7736" i="1"/>
  <c r="B7736" i="1" s="1"/>
  <c r="C7736" i="1"/>
  <c r="F7735" i="1"/>
  <c r="B7735" i="1" s="1"/>
  <c r="C7735" i="1"/>
  <c r="F7734" i="1"/>
  <c r="B7734" i="1" s="1"/>
  <c r="C7734" i="1"/>
  <c r="F7733" i="1"/>
  <c r="B7733" i="1" s="1"/>
  <c r="C7733" i="1"/>
  <c r="F7732" i="1"/>
  <c r="B7732" i="1" s="1"/>
  <c r="C7732" i="1"/>
  <c r="F7731" i="1"/>
  <c r="B7731" i="1" s="1"/>
  <c r="C7731" i="1"/>
  <c r="F7730" i="1"/>
  <c r="B7730" i="1" s="1"/>
  <c r="C7730" i="1"/>
  <c r="F7729" i="1"/>
  <c r="B7729" i="1" s="1"/>
  <c r="C7729" i="1"/>
  <c r="F7728" i="1"/>
  <c r="B7728" i="1" s="1"/>
  <c r="C7728" i="1"/>
  <c r="F7727" i="1"/>
  <c r="B7727" i="1" s="1"/>
  <c r="C7727" i="1"/>
  <c r="F7726" i="1"/>
  <c r="B7726" i="1" s="1"/>
  <c r="C7726" i="1"/>
  <c r="F7725" i="1"/>
  <c r="B7725" i="1" s="1"/>
  <c r="C7725" i="1"/>
  <c r="F7724" i="1"/>
  <c r="B7724" i="1" s="1"/>
  <c r="C7724" i="1"/>
  <c r="F7723" i="1"/>
  <c r="B7723" i="1" s="1"/>
  <c r="C7723" i="1"/>
  <c r="F7722" i="1"/>
  <c r="B7722" i="1" s="1"/>
  <c r="C7722" i="1"/>
  <c r="F7721" i="1"/>
  <c r="B7721" i="1" s="1"/>
  <c r="C7721" i="1"/>
  <c r="F7720" i="1"/>
  <c r="B7720" i="1" s="1"/>
  <c r="C7720" i="1"/>
  <c r="F7719" i="1"/>
  <c r="B7719" i="1" s="1"/>
  <c r="C7719" i="1"/>
  <c r="F7718" i="1"/>
  <c r="B7718" i="1" s="1"/>
  <c r="C7718" i="1"/>
  <c r="F7717" i="1"/>
  <c r="B7717" i="1" s="1"/>
  <c r="C7717" i="1"/>
  <c r="F7716" i="1"/>
  <c r="B7716" i="1" s="1"/>
  <c r="C7716" i="1"/>
  <c r="F7715" i="1"/>
  <c r="B7715" i="1" s="1"/>
  <c r="C7715" i="1"/>
  <c r="F7714" i="1"/>
  <c r="B7714" i="1" s="1"/>
  <c r="C7714" i="1"/>
  <c r="F7713" i="1"/>
  <c r="B7713" i="1" s="1"/>
  <c r="C7713" i="1"/>
  <c r="F7712" i="1"/>
  <c r="B7712" i="1" s="1"/>
  <c r="C7712" i="1"/>
  <c r="F7711" i="1"/>
  <c r="B7711" i="1" s="1"/>
  <c r="C7711" i="1"/>
  <c r="F7710" i="1"/>
  <c r="B7710" i="1" s="1"/>
  <c r="C7710" i="1"/>
  <c r="F7709" i="1"/>
  <c r="B7709" i="1" s="1"/>
  <c r="C7709" i="1"/>
  <c r="F7708" i="1"/>
  <c r="B7708" i="1" s="1"/>
  <c r="C7708" i="1"/>
  <c r="F7707" i="1"/>
  <c r="B7707" i="1" s="1"/>
  <c r="C7707" i="1"/>
  <c r="F7706" i="1"/>
  <c r="B7706" i="1" s="1"/>
  <c r="C7706" i="1"/>
  <c r="F7705" i="1"/>
  <c r="B7705" i="1" s="1"/>
  <c r="C7705" i="1"/>
  <c r="F7704" i="1"/>
  <c r="B7704" i="1" s="1"/>
  <c r="C7704" i="1"/>
  <c r="F7703" i="1"/>
  <c r="B7703" i="1" s="1"/>
  <c r="C7703" i="1"/>
  <c r="F7702" i="1"/>
  <c r="B7702" i="1" s="1"/>
  <c r="C7702" i="1"/>
  <c r="F7701" i="1"/>
  <c r="B7701" i="1" s="1"/>
  <c r="C7701" i="1"/>
  <c r="F7700" i="1"/>
  <c r="B7700" i="1" s="1"/>
  <c r="C7700" i="1"/>
  <c r="F7699" i="1"/>
  <c r="B7699" i="1" s="1"/>
  <c r="C7699" i="1"/>
  <c r="F7698" i="1"/>
  <c r="B7698" i="1" s="1"/>
  <c r="C7698" i="1"/>
  <c r="F7697" i="1"/>
  <c r="B7697" i="1" s="1"/>
  <c r="C7697" i="1"/>
  <c r="F7696" i="1"/>
  <c r="B7696" i="1" s="1"/>
  <c r="C7696" i="1"/>
  <c r="F7695" i="1"/>
  <c r="B7695" i="1" s="1"/>
  <c r="C7695" i="1"/>
  <c r="F7694" i="1"/>
  <c r="B7694" i="1" s="1"/>
  <c r="C7694" i="1"/>
  <c r="F7693" i="1"/>
  <c r="B7693" i="1" s="1"/>
  <c r="C7693" i="1"/>
  <c r="F7692" i="1"/>
  <c r="B7692" i="1" s="1"/>
  <c r="C7692" i="1"/>
  <c r="F7691" i="1"/>
  <c r="B7691" i="1" s="1"/>
  <c r="C7691" i="1"/>
  <c r="F7690" i="1"/>
  <c r="B7690" i="1" s="1"/>
  <c r="C7690" i="1"/>
  <c r="F7689" i="1"/>
  <c r="B7689" i="1" s="1"/>
  <c r="C7689" i="1"/>
  <c r="F7688" i="1"/>
  <c r="B7688" i="1" s="1"/>
  <c r="C7688" i="1"/>
  <c r="F7687" i="1"/>
  <c r="B7687" i="1" s="1"/>
  <c r="C7687" i="1"/>
  <c r="F7686" i="1"/>
  <c r="B7686" i="1" s="1"/>
  <c r="C7686" i="1"/>
  <c r="F7685" i="1"/>
  <c r="B7685" i="1" s="1"/>
  <c r="C7685" i="1"/>
  <c r="F7684" i="1"/>
  <c r="B7684" i="1" s="1"/>
  <c r="C7684" i="1"/>
  <c r="F7683" i="1"/>
  <c r="B7683" i="1" s="1"/>
  <c r="C7683" i="1"/>
  <c r="F7682" i="1"/>
  <c r="B7682" i="1" s="1"/>
  <c r="C7682" i="1"/>
  <c r="F7681" i="1"/>
  <c r="B7681" i="1" s="1"/>
  <c r="C7681" i="1"/>
  <c r="F7680" i="1"/>
  <c r="B7680" i="1" s="1"/>
  <c r="C7680" i="1"/>
  <c r="F7679" i="1"/>
  <c r="B7679" i="1" s="1"/>
  <c r="C7679" i="1"/>
  <c r="F7678" i="1"/>
  <c r="B7678" i="1" s="1"/>
  <c r="C7678" i="1"/>
  <c r="F7677" i="1"/>
  <c r="B7677" i="1" s="1"/>
  <c r="C7677" i="1"/>
  <c r="F7676" i="1"/>
  <c r="B7676" i="1" s="1"/>
  <c r="C7676" i="1"/>
  <c r="F7675" i="1"/>
  <c r="B7675" i="1" s="1"/>
  <c r="C7675" i="1"/>
  <c r="F7674" i="1"/>
  <c r="B7674" i="1" s="1"/>
  <c r="C7674" i="1"/>
  <c r="F7673" i="1"/>
  <c r="B7673" i="1" s="1"/>
  <c r="C7673" i="1"/>
  <c r="F7672" i="1"/>
  <c r="B7672" i="1" s="1"/>
  <c r="C7672" i="1"/>
  <c r="F7671" i="1"/>
  <c r="B7671" i="1" s="1"/>
  <c r="C7671" i="1"/>
  <c r="F7670" i="1"/>
  <c r="B7670" i="1" s="1"/>
  <c r="C7670" i="1"/>
  <c r="F7669" i="1"/>
  <c r="B7669" i="1" s="1"/>
  <c r="C7669" i="1"/>
  <c r="F7668" i="1"/>
  <c r="B7668" i="1" s="1"/>
  <c r="C7668" i="1"/>
  <c r="F7667" i="1"/>
  <c r="B7667" i="1" s="1"/>
  <c r="C7667" i="1"/>
  <c r="F7666" i="1"/>
  <c r="B7666" i="1" s="1"/>
  <c r="C7666" i="1"/>
  <c r="F7665" i="1"/>
  <c r="B7665" i="1" s="1"/>
  <c r="C7665" i="1"/>
  <c r="F7664" i="1"/>
  <c r="B7664" i="1" s="1"/>
  <c r="C7664" i="1"/>
  <c r="F7663" i="1"/>
  <c r="B7663" i="1" s="1"/>
  <c r="C7663" i="1"/>
  <c r="F7662" i="1"/>
  <c r="B7662" i="1" s="1"/>
  <c r="C7662" i="1"/>
  <c r="F7661" i="1"/>
  <c r="B7661" i="1" s="1"/>
  <c r="C7661" i="1"/>
  <c r="F7660" i="1"/>
  <c r="B7660" i="1" s="1"/>
  <c r="C7660" i="1"/>
  <c r="F7659" i="1"/>
  <c r="B7659" i="1" s="1"/>
  <c r="C7659" i="1"/>
  <c r="F7658" i="1"/>
  <c r="B7658" i="1" s="1"/>
  <c r="C7658" i="1"/>
  <c r="F7657" i="1"/>
  <c r="B7657" i="1" s="1"/>
  <c r="C7657" i="1"/>
  <c r="F7656" i="1"/>
  <c r="B7656" i="1" s="1"/>
  <c r="C7656" i="1"/>
  <c r="F7655" i="1"/>
  <c r="B7655" i="1" s="1"/>
  <c r="C7655" i="1"/>
  <c r="F7654" i="1"/>
  <c r="B7654" i="1" s="1"/>
  <c r="C7654" i="1"/>
  <c r="F7653" i="1"/>
  <c r="B7653" i="1" s="1"/>
  <c r="C7653" i="1"/>
  <c r="F7652" i="1"/>
  <c r="B7652" i="1" s="1"/>
  <c r="C7652" i="1"/>
  <c r="F7651" i="1"/>
  <c r="B7651" i="1" s="1"/>
  <c r="C7651" i="1"/>
  <c r="F7650" i="1"/>
  <c r="B7650" i="1" s="1"/>
  <c r="C7650" i="1"/>
  <c r="F7649" i="1"/>
  <c r="B7649" i="1" s="1"/>
  <c r="C7649" i="1"/>
  <c r="F7648" i="1"/>
  <c r="B7648" i="1" s="1"/>
  <c r="C7648" i="1"/>
  <c r="F7647" i="1"/>
  <c r="B7647" i="1" s="1"/>
  <c r="C7647" i="1"/>
  <c r="F7646" i="1"/>
  <c r="B7646" i="1" s="1"/>
  <c r="C7646" i="1"/>
  <c r="F7645" i="1"/>
  <c r="B7645" i="1" s="1"/>
  <c r="C7645" i="1"/>
  <c r="F7644" i="1"/>
  <c r="B7644" i="1" s="1"/>
  <c r="C7644" i="1"/>
  <c r="F7643" i="1"/>
  <c r="B7643" i="1" s="1"/>
  <c r="C7643" i="1"/>
  <c r="F7642" i="1"/>
  <c r="B7642" i="1" s="1"/>
  <c r="C7642" i="1"/>
  <c r="F7641" i="1"/>
  <c r="B7641" i="1" s="1"/>
  <c r="C7641" i="1"/>
  <c r="F7640" i="1"/>
  <c r="B7640" i="1" s="1"/>
  <c r="C7640" i="1"/>
  <c r="F7639" i="1"/>
  <c r="B7639" i="1" s="1"/>
  <c r="C7639" i="1"/>
  <c r="F7638" i="1"/>
  <c r="B7638" i="1" s="1"/>
  <c r="C7638" i="1"/>
  <c r="F7637" i="1"/>
  <c r="B7637" i="1" s="1"/>
  <c r="C7637" i="1"/>
  <c r="F7636" i="1"/>
  <c r="B7636" i="1" s="1"/>
  <c r="C7636" i="1"/>
  <c r="F7635" i="1"/>
  <c r="B7635" i="1" s="1"/>
  <c r="C7635" i="1"/>
  <c r="F7634" i="1"/>
  <c r="B7634" i="1" s="1"/>
  <c r="C7634" i="1"/>
  <c r="F7633" i="1"/>
  <c r="B7633" i="1" s="1"/>
  <c r="C7633" i="1"/>
  <c r="F7632" i="1"/>
  <c r="B7632" i="1" s="1"/>
  <c r="C7632" i="1"/>
  <c r="F7631" i="1"/>
  <c r="B7631" i="1" s="1"/>
  <c r="C7631" i="1"/>
  <c r="F7630" i="1"/>
  <c r="B7630" i="1" s="1"/>
  <c r="C7630" i="1"/>
  <c r="F7629" i="1"/>
  <c r="B7629" i="1" s="1"/>
  <c r="C7629" i="1"/>
  <c r="F7628" i="1"/>
  <c r="B7628" i="1" s="1"/>
  <c r="C7628" i="1"/>
  <c r="F7627" i="1"/>
  <c r="B7627" i="1" s="1"/>
  <c r="C7627" i="1"/>
  <c r="F7626" i="1"/>
  <c r="B7626" i="1" s="1"/>
  <c r="C7626" i="1"/>
  <c r="F7625" i="1"/>
  <c r="B7625" i="1" s="1"/>
  <c r="C7625" i="1"/>
  <c r="F7624" i="1"/>
  <c r="B7624" i="1" s="1"/>
  <c r="C7624" i="1"/>
  <c r="F7623" i="1"/>
  <c r="B7623" i="1" s="1"/>
  <c r="C7623" i="1"/>
  <c r="F7622" i="1"/>
  <c r="B7622" i="1" s="1"/>
  <c r="C7622" i="1"/>
  <c r="F7621" i="1"/>
  <c r="B7621" i="1" s="1"/>
  <c r="C7621" i="1"/>
  <c r="F7620" i="1"/>
  <c r="B7620" i="1" s="1"/>
  <c r="C7620" i="1"/>
  <c r="F7619" i="1"/>
  <c r="B7619" i="1" s="1"/>
  <c r="C7619" i="1"/>
  <c r="F7618" i="1"/>
  <c r="B7618" i="1" s="1"/>
  <c r="C7618" i="1"/>
  <c r="F7617" i="1"/>
  <c r="B7617" i="1" s="1"/>
  <c r="C7617" i="1"/>
  <c r="F7616" i="1"/>
  <c r="B7616" i="1" s="1"/>
  <c r="C7616" i="1"/>
  <c r="F7615" i="1"/>
  <c r="B7615" i="1" s="1"/>
  <c r="C7615" i="1"/>
  <c r="F7614" i="1"/>
  <c r="B7614" i="1" s="1"/>
  <c r="C7614" i="1"/>
  <c r="F7613" i="1"/>
  <c r="B7613" i="1" s="1"/>
  <c r="C7613" i="1"/>
  <c r="F7612" i="1"/>
  <c r="B7612" i="1" s="1"/>
  <c r="C7612" i="1"/>
  <c r="F7611" i="1"/>
  <c r="B7611" i="1" s="1"/>
  <c r="C7611" i="1"/>
  <c r="F7610" i="1"/>
  <c r="B7610" i="1" s="1"/>
  <c r="C7610" i="1"/>
  <c r="F7609" i="1"/>
  <c r="B7609" i="1" s="1"/>
  <c r="C7609" i="1"/>
  <c r="F7608" i="1"/>
  <c r="B7608" i="1" s="1"/>
  <c r="C7608" i="1"/>
  <c r="F7607" i="1"/>
  <c r="B7607" i="1" s="1"/>
  <c r="C7607" i="1"/>
  <c r="F7606" i="1"/>
  <c r="B7606" i="1" s="1"/>
  <c r="C7606" i="1"/>
  <c r="F7605" i="1"/>
  <c r="B7605" i="1" s="1"/>
  <c r="C7605" i="1"/>
  <c r="F7604" i="1"/>
  <c r="B7604" i="1" s="1"/>
  <c r="C7604" i="1"/>
  <c r="F7603" i="1"/>
  <c r="B7603" i="1" s="1"/>
  <c r="C7603" i="1"/>
  <c r="F7602" i="1"/>
  <c r="B7602" i="1" s="1"/>
  <c r="C7602" i="1"/>
  <c r="F7601" i="1"/>
  <c r="B7601" i="1" s="1"/>
  <c r="C7601" i="1"/>
  <c r="F7600" i="1"/>
  <c r="B7600" i="1" s="1"/>
  <c r="C7600" i="1"/>
  <c r="F7599" i="1"/>
  <c r="B7599" i="1" s="1"/>
  <c r="C7599" i="1"/>
  <c r="F7598" i="1"/>
  <c r="B7598" i="1" s="1"/>
  <c r="C7598" i="1"/>
  <c r="F7597" i="1"/>
  <c r="B7597" i="1" s="1"/>
  <c r="C7597" i="1"/>
  <c r="F7596" i="1"/>
  <c r="B7596" i="1" s="1"/>
  <c r="C7596" i="1"/>
  <c r="F7595" i="1"/>
  <c r="B7595" i="1" s="1"/>
  <c r="C7595" i="1"/>
  <c r="F7594" i="1"/>
  <c r="B7594" i="1" s="1"/>
  <c r="C7594" i="1"/>
  <c r="F7593" i="1"/>
  <c r="B7593" i="1" s="1"/>
  <c r="C7593" i="1"/>
  <c r="F7592" i="1"/>
  <c r="B7592" i="1" s="1"/>
  <c r="C7592" i="1"/>
  <c r="F7591" i="1"/>
  <c r="B7591" i="1" s="1"/>
  <c r="C7591" i="1"/>
  <c r="F7590" i="1"/>
  <c r="B7590" i="1" s="1"/>
  <c r="C7590" i="1"/>
  <c r="F7589" i="1"/>
  <c r="B7589" i="1" s="1"/>
  <c r="C7589" i="1"/>
  <c r="F7588" i="1"/>
  <c r="B7588" i="1" s="1"/>
  <c r="C7588" i="1"/>
  <c r="F7587" i="1"/>
  <c r="B7587" i="1" s="1"/>
  <c r="C7587" i="1"/>
  <c r="F7586" i="1"/>
  <c r="B7586" i="1" s="1"/>
  <c r="C7586" i="1"/>
  <c r="F7585" i="1"/>
  <c r="B7585" i="1" s="1"/>
  <c r="C7585" i="1"/>
  <c r="F7584" i="1"/>
  <c r="B7584" i="1" s="1"/>
  <c r="C7584" i="1"/>
  <c r="F7583" i="1"/>
  <c r="B7583" i="1" s="1"/>
  <c r="C7583" i="1"/>
  <c r="F7582" i="1"/>
  <c r="B7582" i="1" s="1"/>
  <c r="C7582" i="1"/>
  <c r="F7581" i="1"/>
  <c r="B7581" i="1" s="1"/>
  <c r="C7581" i="1"/>
  <c r="F7580" i="1"/>
  <c r="B7580" i="1" s="1"/>
  <c r="C7580" i="1"/>
  <c r="F7579" i="1"/>
  <c r="B7579" i="1" s="1"/>
  <c r="C7579" i="1"/>
  <c r="F7578" i="1"/>
  <c r="B7578" i="1" s="1"/>
  <c r="C7578" i="1"/>
  <c r="F7577" i="1"/>
  <c r="B7577" i="1" s="1"/>
  <c r="C7577" i="1"/>
  <c r="F7576" i="1"/>
  <c r="B7576" i="1" s="1"/>
  <c r="C7576" i="1"/>
  <c r="F7575" i="1"/>
  <c r="B7575" i="1" s="1"/>
  <c r="C7575" i="1"/>
  <c r="F7574" i="1"/>
  <c r="B7574" i="1" s="1"/>
  <c r="C7574" i="1"/>
  <c r="F7573" i="1"/>
  <c r="B7573" i="1" s="1"/>
  <c r="C7573" i="1"/>
  <c r="F7572" i="1"/>
  <c r="B7572" i="1" s="1"/>
  <c r="C7572" i="1"/>
  <c r="F7571" i="1"/>
  <c r="B7571" i="1" s="1"/>
  <c r="C7571" i="1"/>
  <c r="F7570" i="1"/>
  <c r="B7570" i="1" s="1"/>
  <c r="C7570" i="1"/>
  <c r="F7569" i="1"/>
  <c r="B7569" i="1" s="1"/>
  <c r="C7569" i="1"/>
  <c r="F7568" i="1"/>
  <c r="B7568" i="1" s="1"/>
  <c r="C7568" i="1"/>
  <c r="F7567" i="1"/>
  <c r="B7567" i="1" s="1"/>
  <c r="C7567" i="1"/>
  <c r="F7566" i="1"/>
  <c r="B7566" i="1" s="1"/>
  <c r="C7566" i="1"/>
  <c r="F7565" i="1"/>
  <c r="B7565" i="1" s="1"/>
  <c r="C7565" i="1"/>
  <c r="F7564" i="1"/>
  <c r="B7564" i="1" s="1"/>
  <c r="C7564" i="1"/>
  <c r="F7563" i="1"/>
  <c r="B7563" i="1" s="1"/>
  <c r="C7563" i="1"/>
  <c r="F7562" i="1"/>
  <c r="B7562" i="1" s="1"/>
  <c r="C7562" i="1"/>
  <c r="F7561" i="1"/>
  <c r="B7561" i="1" s="1"/>
  <c r="C7561" i="1"/>
  <c r="F7560" i="1"/>
  <c r="B7560" i="1" s="1"/>
  <c r="C7560" i="1"/>
  <c r="F7559" i="1"/>
  <c r="B7559" i="1" s="1"/>
  <c r="C7559" i="1"/>
  <c r="F7558" i="1"/>
  <c r="B7558" i="1" s="1"/>
  <c r="C7558" i="1"/>
  <c r="F7557" i="1"/>
  <c r="B7557" i="1" s="1"/>
  <c r="C7557" i="1"/>
  <c r="F7556" i="1"/>
  <c r="B7556" i="1" s="1"/>
  <c r="C7556" i="1"/>
  <c r="F7555" i="1"/>
  <c r="B7555" i="1" s="1"/>
  <c r="C7555" i="1"/>
  <c r="F7554" i="1"/>
  <c r="B7554" i="1" s="1"/>
  <c r="C7554" i="1"/>
  <c r="F7553" i="1"/>
  <c r="B7553" i="1" s="1"/>
  <c r="C7553" i="1"/>
  <c r="F7552" i="1"/>
  <c r="B7552" i="1" s="1"/>
  <c r="C7552" i="1"/>
  <c r="F7551" i="1"/>
  <c r="B7551" i="1" s="1"/>
  <c r="C7551" i="1"/>
  <c r="F7550" i="1"/>
  <c r="B7550" i="1" s="1"/>
  <c r="C7550" i="1"/>
  <c r="F7549" i="1"/>
  <c r="B7549" i="1" s="1"/>
  <c r="C7549" i="1"/>
  <c r="F7548" i="1"/>
  <c r="B7548" i="1" s="1"/>
  <c r="C7548" i="1"/>
  <c r="F7547" i="1"/>
  <c r="B7547" i="1" s="1"/>
  <c r="C7547" i="1"/>
  <c r="F7546" i="1"/>
  <c r="B7546" i="1" s="1"/>
  <c r="C7546" i="1"/>
  <c r="F7545" i="1"/>
  <c r="B7545" i="1" s="1"/>
  <c r="C7545" i="1"/>
  <c r="F7544" i="1"/>
  <c r="B7544" i="1" s="1"/>
  <c r="C7544" i="1"/>
  <c r="F7543" i="1"/>
  <c r="B7543" i="1" s="1"/>
  <c r="C7543" i="1"/>
  <c r="F7542" i="1"/>
  <c r="B7542" i="1" s="1"/>
  <c r="C7542" i="1"/>
  <c r="F7541" i="1"/>
  <c r="B7541" i="1" s="1"/>
  <c r="C7541" i="1"/>
  <c r="F7540" i="1"/>
  <c r="B7540" i="1" s="1"/>
  <c r="C7540" i="1"/>
  <c r="F7539" i="1"/>
  <c r="B7539" i="1" s="1"/>
  <c r="C7539" i="1"/>
  <c r="F7538" i="1"/>
  <c r="B7538" i="1" s="1"/>
  <c r="C7538" i="1"/>
  <c r="F7537" i="1"/>
  <c r="B7537" i="1" s="1"/>
  <c r="C7537" i="1"/>
  <c r="F7536" i="1"/>
  <c r="B7536" i="1" s="1"/>
  <c r="C7536" i="1"/>
  <c r="F7535" i="1"/>
  <c r="B7535" i="1" s="1"/>
  <c r="C7535" i="1"/>
  <c r="F7534" i="1"/>
  <c r="B7534" i="1" s="1"/>
  <c r="C7534" i="1"/>
  <c r="F7533" i="1"/>
  <c r="B7533" i="1" s="1"/>
  <c r="C7533" i="1"/>
  <c r="F7532" i="1"/>
  <c r="B7532" i="1" s="1"/>
  <c r="C7532" i="1"/>
  <c r="F7531" i="1"/>
  <c r="B7531" i="1" s="1"/>
  <c r="C7531" i="1"/>
  <c r="F7530" i="1"/>
  <c r="B7530" i="1" s="1"/>
  <c r="C7530" i="1"/>
  <c r="F7529" i="1"/>
  <c r="B7529" i="1" s="1"/>
  <c r="C7529" i="1"/>
  <c r="F7528" i="1"/>
  <c r="B7528" i="1" s="1"/>
  <c r="C7528" i="1"/>
  <c r="F7527" i="1"/>
  <c r="B7527" i="1" s="1"/>
  <c r="C7527" i="1"/>
  <c r="F7526" i="1"/>
  <c r="B7526" i="1" s="1"/>
  <c r="C7526" i="1"/>
  <c r="F7525" i="1"/>
  <c r="B7525" i="1" s="1"/>
  <c r="C7525" i="1"/>
  <c r="F7524" i="1"/>
  <c r="B7524" i="1" s="1"/>
  <c r="C7524" i="1"/>
  <c r="F7523" i="1"/>
  <c r="B7523" i="1" s="1"/>
  <c r="C7523" i="1"/>
  <c r="F7522" i="1"/>
  <c r="B7522" i="1" s="1"/>
  <c r="C7522" i="1"/>
  <c r="F7521" i="1"/>
  <c r="B7521" i="1" s="1"/>
  <c r="C7521" i="1"/>
  <c r="F7520" i="1"/>
  <c r="B7520" i="1" s="1"/>
  <c r="C7520" i="1"/>
  <c r="F7519" i="1"/>
  <c r="B7519" i="1" s="1"/>
  <c r="C7519" i="1"/>
  <c r="F7518" i="1"/>
  <c r="B7518" i="1" s="1"/>
  <c r="C7518" i="1"/>
  <c r="F7517" i="1"/>
  <c r="B7517" i="1" s="1"/>
  <c r="C7517" i="1"/>
  <c r="F7516" i="1"/>
  <c r="B7516" i="1" s="1"/>
  <c r="C7516" i="1"/>
  <c r="F7515" i="1"/>
  <c r="B7515" i="1" s="1"/>
  <c r="C7515" i="1"/>
  <c r="F7514" i="1"/>
  <c r="B7514" i="1" s="1"/>
  <c r="C7514" i="1"/>
  <c r="F7513" i="1"/>
  <c r="B7513" i="1" s="1"/>
  <c r="C7513" i="1"/>
  <c r="F7512" i="1"/>
  <c r="B7512" i="1" s="1"/>
  <c r="C7512" i="1"/>
  <c r="F7511" i="1"/>
  <c r="B7511" i="1" s="1"/>
  <c r="C7511" i="1"/>
  <c r="F7510" i="1"/>
  <c r="B7510" i="1" s="1"/>
  <c r="C7510" i="1"/>
  <c r="F7509" i="1"/>
  <c r="B7509" i="1" s="1"/>
  <c r="C7509" i="1"/>
  <c r="F7508" i="1"/>
  <c r="B7508" i="1" s="1"/>
  <c r="C7508" i="1"/>
  <c r="F7507" i="1"/>
  <c r="B7507" i="1" s="1"/>
  <c r="C7507" i="1"/>
  <c r="F7506" i="1"/>
  <c r="B7506" i="1" s="1"/>
  <c r="C7506" i="1"/>
  <c r="F7505" i="1"/>
  <c r="B7505" i="1" s="1"/>
  <c r="C7505" i="1"/>
  <c r="F7504" i="1"/>
  <c r="B7504" i="1" s="1"/>
  <c r="C7504" i="1"/>
  <c r="F7503" i="1"/>
  <c r="B7503" i="1" s="1"/>
  <c r="C7503" i="1"/>
  <c r="F7502" i="1"/>
  <c r="B7502" i="1" s="1"/>
  <c r="C7502" i="1"/>
  <c r="F7501" i="1"/>
  <c r="B7501" i="1" s="1"/>
  <c r="C7501" i="1"/>
  <c r="F7500" i="1"/>
  <c r="B7500" i="1" s="1"/>
  <c r="C7500" i="1"/>
  <c r="F7499" i="1"/>
  <c r="B7499" i="1" s="1"/>
  <c r="C7499" i="1"/>
  <c r="F7498" i="1"/>
  <c r="B7498" i="1" s="1"/>
  <c r="C7498" i="1"/>
  <c r="F7497" i="1"/>
  <c r="C7497" i="1"/>
  <c r="F7496" i="1"/>
  <c r="B7496" i="1" s="1"/>
  <c r="C7496" i="1"/>
  <c r="F7495" i="1"/>
  <c r="B7495" i="1" s="1"/>
  <c r="C7495" i="1"/>
  <c r="F7494" i="1"/>
  <c r="B7494" i="1" s="1"/>
  <c r="C7494" i="1"/>
  <c r="F7493" i="1"/>
  <c r="B7493" i="1" s="1"/>
  <c r="C7493" i="1"/>
  <c r="F7492" i="1"/>
  <c r="B7492" i="1" s="1"/>
  <c r="C7492" i="1"/>
  <c r="F7491" i="1"/>
  <c r="B7491" i="1" s="1"/>
  <c r="C7491" i="1"/>
  <c r="F7490" i="1"/>
  <c r="B7490" i="1" s="1"/>
  <c r="C7490" i="1"/>
  <c r="F7489" i="1"/>
  <c r="B7489" i="1" s="1"/>
  <c r="C7489" i="1"/>
  <c r="F7488" i="1"/>
  <c r="B7488" i="1" s="1"/>
  <c r="C7488" i="1"/>
  <c r="F7487" i="1"/>
  <c r="B7487" i="1" s="1"/>
  <c r="C7487" i="1"/>
  <c r="F7486" i="1"/>
  <c r="B7486" i="1" s="1"/>
  <c r="C7486" i="1"/>
  <c r="F7485" i="1"/>
  <c r="B7485" i="1" s="1"/>
  <c r="C7485" i="1"/>
  <c r="F7484" i="1"/>
  <c r="B7484" i="1" s="1"/>
  <c r="C7484" i="1"/>
  <c r="F7483" i="1"/>
  <c r="B7483" i="1" s="1"/>
  <c r="C7483" i="1"/>
  <c r="F7482" i="1"/>
  <c r="B7482" i="1" s="1"/>
  <c r="C7482" i="1"/>
  <c r="F7481" i="1"/>
  <c r="C7481" i="1"/>
  <c r="F7480" i="1"/>
  <c r="B7480" i="1" s="1"/>
  <c r="C7480" i="1"/>
  <c r="F7479" i="1"/>
  <c r="B7479" i="1" s="1"/>
  <c r="C7479" i="1"/>
  <c r="F7478" i="1"/>
  <c r="B7478" i="1" s="1"/>
  <c r="C7478" i="1"/>
  <c r="F7477" i="1"/>
  <c r="B7477" i="1" s="1"/>
  <c r="C7477" i="1"/>
  <c r="F7476" i="1"/>
  <c r="B7476" i="1" s="1"/>
  <c r="C7476" i="1"/>
  <c r="F7475" i="1"/>
  <c r="B7475" i="1" s="1"/>
  <c r="C7475" i="1"/>
  <c r="F7474" i="1"/>
  <c r="B7474" i="1" s="1"/>
  <c r="C7474" i="1"/>
  <c r="F7473" i="1"/>
  <c r="B7473" i="1" s="1"/>
  <c r="C7473" i="1"/>
  <c r="F7472" i="1"/>
  <c r="B7472" i="1" s="1"/>
  <c r="C7472" i="1"/>
  <c r="F7471" i="1"/>
  <c r="B7471" i="1" s="1"/>
  <c r="C7471" i="1"/>
  <c r="F7470" i="1"/>
  <c r="B7470" i="1" s="1"/>
  <c r="C7470" i="1"/>
  <c r="F7469" i="1"/>
  <c r="B7469" i="1" s="1"/>
  <c r="C7469" i="1"/>
  <c r="F7468" i="1"/>
  <c r="B7468" i="1" s="1"/>
  <c r="C7468" i="1"/>
  <c r="F7467" i="1"/>
  <c r="B7467" i="1" s="1"/>
  <c r="C7467" i="1"/>
  <c r="F7466" i="1"/>
  <c r="B7466" i="1" s="1"/>
  <c r="C7466" i="1"/>
  <c r="F7465" i="1"/>
  <c r="B7465" i="1" s="1"/>
  <c r="C7465" i="1"/>
  <c r="F7464" i="1"/>
  <c r="B7464" i="1" s="1"/>
  <c r="C7464" i="1"/>
  <c r="F7463" i="1"/>
  <c r="B7463" i="1" s="1"/>
  <c r="C7463" i="1"/>
  <c r="F7462" i="1"/>
  <c r="B7462" i="1" s="1"/>
  <c r="C7462" i="1"/>
  <c r="F7461" i="1"/>
  <c r="B7461" i="1" s="1"/>
  <c r="C7461" i="1"/>
  <c r="F7460" i="1"/>
  <c r="B7460" i="1" s="1"/>
  <c r="C7460" i="1"/>
  <c r="F7459" i="1"/>
  <c r="B7459" i="1" s="1"/>
  <c r="C7459" i="1"/>
  <c r="F7458" i="1"/>
  <c r="B7458" i="1" s="1"/>
  <c r="C7458" i="1"/>
  <c r="F7457" i="1"/>
  <c r="B7457" i="1" s="1"/>
  <c r="C7457" i="1"/>
  <c r="F7456" i="1"/>
  <c r="B7456" i="1" s="1"/>
  <c r="C7456" i="1"/>
  <c r="F7455" i="1"/>
  <c r="B7455" i="1" s="1"/>
  <c r="C7455" i="1"/>
  <c r="F7454" i="1"/>
  <c r="B7454" i="1" s="1"/>
  <c r="C7454" i="1"/>
  <c r="F7453" i="1"/>
  <c r="B7453" i="1" s="1"/>
  <c r="C7453" i="1"/>
  <c r="F7452" i="1"/>
  <c r="B7452" i="1" s="1"/>
  <c r="C7452" i="1"/>
  <c r="F7451" i="1"/>
  <c r="B7451" i="1" s="1"/>
  <c r="C7451" i="1"/>
  <c r="F7450" i="1"/>
  <c r="B7450" i="1" s="1"/>
  <c r="C7450" i="1"/>
  <c r="F7449" i="1"/>
  <c r="B7449" i="1" s="1"/>
  <c r="C7449" i="1"/>
  <c r="F7448" i="1"/>
  <c r="B7448" i="1" s="1"/>
  <c r="C7448" i="1"/>
  <c r="F7447" i="1"/>
  <c r="B7447" i="1" s="1"/>
  <c r="C7447" i="1"/>
  <c r="F7446" i="1"/>
  <c r="B7446" i="1" s="1"/>
  <c r="C7446" i="1"/>
  <c r="F7445" i="1"/>
  <c r="B7445" i="1" s="1"/>
  <c r="C7445" i="1"/>
  <c r="F7444" i="1"/>
  <c r="B7444" i="1" s="1"/>
  <c r="C7444" i="1"/>
  <c r="F7443" i="1"/>
  <c r="B7443" i="1" s="1"/>
  <c r="C7443" i="1"/>
  <c r="F7442" i="1"/>
  <c r="B7442" i="1" s="1"/>
  <c r="C7442" i="1"/>
  <c r="F7441" i="1"/>
  <c r="C7441" i="1"/>
  <c r="F7440" i="1"/>
  <c r="B7440" i="1" s="1"/>
  <c r="C7440" i="1"/>
  <c r="F7439" i="1"/>
  <c r="B7439" i="1" s="1"/>
  <c r="C7439" i="1"/>
  <c r="F7438" i="1"/>
  <c r="B7438" i="1" s="1"/>
  <c r="C7438" i="1"/>
  <c r="F7437" i="1"/>
  <c r="B7437" i="1" s="1"/>
  <c r="C7437" i="1"/>
  <c r="F7436" i="1"/>
  <c r="B7436" i="1" s="1"/>
  <c r="C7436" i="1"/>
  <c r="F7435" i="1"/>
  <c r="B7435" i="1" s="1"/>
  <c r="C7435" i="1"/>
  <c r="F7434" i="1"/>
  <c r="B7434" i="1" s="1"/>
  <c r="C7434" i="1"/>
  <c r="F7433" i="1"/>
  <c r="C7433" i="1"/>
  <c r="F7432" i="1"/>
  <c r="B7432" i="1" s="1"/>
  <c r="C7432" i="1"/>
  <c r="F7431" i="1"/>
  <c r="B7431" i="1" s="1"/>
  <c r="C7431" i="1"/>
  <c r="F7430" i="1"/>
  <c r="B7430" i="1" s="1"/>
  <c r="C7430" i="1"/>
  <c r="F7429" i="1"/>
  <c r="B7429" i="1" s="1"/>
  <c r="C7429" i="1"/>
  <c r="F7428" i="1"/>
  <c r="B7428" i="1" s="1"/>
  <c r="C7428" i="1"/>
  <c r="F7427" i="1"/>
  <c r="B7427" i="1" s="1"/>
  <c r="C7427" i="1"/>
  <c r="F7426" i="1"/>
  <c r="B7426" i="1" s="1"/>
  <c r="C7426" i="1"/>
  <c r="F7425" i="1"/>
  <c r="B7425" i="1" s="1"/>
  <c r="C7425" i="1"/>
  <c r="F7424" i="1"/>
  <c r="B7424" i="1" s="1"/>
  <c r="C7424" i="1"/>
  <c r="F7423" i="1"/>
  <c r="B7423" i="1" s="1"/>
  <c r="C7423" i="1"/>
  <c r="F7422" i="1"/>
  <c r="B7422" i="1" s="1"/>
  <c r="C7422" i="1"/>
  <c r="F7421" i="1"/>
  <c r="B7421" i="1" s="1"/>
  <c r="C7421" i="1"/>
  <c r="F7420" i="1"/>
  <c r="B7420" i="1" s="1"/>
  <c r="C7420" i="1"/>
  <c r="F7419" i="1"/>
  <c r="B7419" i="1" s="1"/>
  <c r="C7419" i="1"/>
  <c r="F7418" i="1"/>
  <c r="B7418" i="1" s="1"/>
  <c r="C7418" i="1"/>
  <c r="F7417" i="1"/>
  <c r="B7417" i="1" s="1"/>
  <c r="C7417" i="1"/>
  <c r="F7416" i="1"/>
  <c r="B7416" i="1" s="1"/>
  <c r="C7416" i="1"/>
  <c r="F7415" i="1"/>
  <c r="B7415" i="1" s="1"/>
  <c r="C7415" i="1"/>
  <c r="F7414" i="1"/>
  <c r="B7414" i="1" s="1"/>
  <c r="C7414" i="1"/>
  <c r="F7413" i="1"/>
  <c r="B7413" i="1" s="1"/>
  <c r="C7413" i="1"/>
  <c r="F7412" i="1"/>
  <c r="B7412" i="1" s="1"/>
  <c r="C7412" i="1"/>
  <c r="F7411" i="1"/>
  <c r="B7411" i="1" s="1"/>
  <c r="C7411" i="1"/>
  <c r="F7410" i="1"/>
  <c r="B7410" i="1" s="1"/>
  <c r="C7410" i="1"/>
  <c r="F7409" i="1"/>
  <c r="B7409" i="1" s="1"/>
  <c r="C7409" i="1"/>
  <c r="F7408" i="1"/>
  <c r="B7408" i="1" s="1"/>
  <c r="C7408" i="1"/>
  <c r="F7407" i="1"/>
  <c r="B7407" i="1" s="1"/>
  <c r="C7407" i="1"/>
  <c r="F7406" i="1"/>
  <c r="B7406" i="1" s="1"/>
  <c r="C7406" i="1"/>
  <c r="F7405" i="1"/>
  <c r="B7405" i="1" s="1"/>
  <c r="C7405" i="1"/>
  <c r="F7404" i="1"/>
  <c r="B7404" i="1" s="1"/>
  <c r="C7404" i="1"/>
  <c r="F7403" i="1"/>
  <c r="B7403" i="1" s="1"/>
  <c r="C7403" i="1"/>
  <c r="F7402" i="1"/>
  <c r="B7402" i="1" s="1"/>
  <c r="C7402" i="1"/>
  <c r="F7401" i="1"/>
  <c r="B7401" i="1" s="1"/>
  <c r="C7401" i="1"/>
  <c r="F7400" i="1"/>
  <c r="B7400" i="1" s="1"/>
  <c r="C7400" i="1"/>
  <c r="F7399" i="1"/>
  <c r="B7399" i="1" s="1"/>
  <c r="C7399" i="1"/>
  <c r="F7398" i="1"/>
  <c r="B7398" i="1" s="1"/>
  <c r="C7398" i="1"/>
  <c r="F7397" i="1"/>
  <c r="B7397" i="1" s="1"/>
  <c r="C7397" i="1"/>
  <c r="F7396" i="1"/>
  <c r="B7396" i="1" s="1"/>
  <c r="C7396" i="1"/>
  <c r="F7395" i="1"/>
  <c r="B7395" i="1" s="1"/>
  <c r="C7395" i="1"/>
  <c r="F7394" i="1"/>
  <c r="B7394" i="1" s="1"/>
  <c r="C7394" i="1"/>
  <c r="F7393" i="1"/>
  <c r="B7393" i="1" s="1"/>
  <c r="C7393" i="1"/>
  <c r="F7392" i="1"/>
  <c r="B7392" i="1" s="1"/>
  <c r="C7392" i="1"/>
  <c r="F7391" i="1"/>
  <c r="B7391" i="1" s="1"/>
  <c r="C7391" i="1"/>
  <c r="F7390" i="1"/>
  <c r="B7390" i="1" s="1"/>
  <c r="C7390" i="1"/>
  <c r="F7389" i="1"/>
  <c r="B7389" i="1" s="1"/>
  <c r="C7389" i="1"/>
  <c r="F7388" i="1"/>
  <c r="B7388" i="1" s="1"/>
  <c r="C7388" i="1"/>
  <c r="F7387" i="1"/>
  <c r="B7387" i="1" s="1"/>
  <c r="C7387" i="1"/>
  <c r="F7386" i="1"/>
  <c r="B7386" i="1" s="1"/>
  <c r="C7386" i="1"/>
  <c r="F7385" i="1"/>
  <c r="B7385" i="1" s="1"/>
  <c r="C7385" i="1"/>
  <c r="F7384" i="1"/>
  <c r="B7384" i="1" s="1"/>
  <c r="C7384" i="1"/>
  <c r="F7383" i="1"/>
  <c r="B7383" i="1" s="1"/>
  <c r="C7383" i="1"/>
  <c r="F7382" i="1"/>
  <c r="B7382" i="1" s="1"/>
  <c r="C7382" i="1"/>
  <c r="F7381" i="1"/>
  <c r="B7381" i="1" s="1"/>
  <c r="C7381" i="1"/>
  <c r="F7380" i="1"/>
  <c r="B7380" i="1" s="1"/>
  <c r="C7380" i="1"/>
  <c r="F7379" i="1"/>
  <c r="B7379" i="1" s="1"/>
  <c r="C7379" i="1"/>
  <c r="F7378" i="1"/>
  <c r="B7378" i="1" s="1"/>
  <c r="C7378" i="1"/>
  <c r="F7377" i="1"/>
  <c r="C7377" i="1"/>
  <c r="F7376" i="1"/>
  <c r="B7376" i="1" s="1"/>
  <c r="C7376" i="1"/>
  <c r="F7375" i="1"/>
  <c r="B7375" i="1" s="1"/>
  <c r="C7375" i="1"/>
  <c r="F7374" i="1"/>
  <c r="B7374" i="1" s="1"/>
  <c r="C7374" i="1"/>
  <c r="F7373" i="1"/>
  <c r="B7373" i="1" s="1"/>
  <c r="C7373" i="1"/>
  <c r="F7372" i="1"/>
  <c r="B7372" i="1" s="1"/>
  <c r="C7372" i="1"/>
  <c r="F7371" i="1"/>
  <c r="B7371" i="1" s="1"/>
  <c r="C7371" i="1"/>
  <c r="F7370" i="1"/>
  <c r="B7370" i="1" s="1"/>
  <c r="C7370" i="1"/>
  <c r="F7369" i="1"/>
  <c r="B7369" i="1" s="1"/>
  <c r="C7369" i="1"/>
  <c r="F7368" i="1"/>
  <c r="B7368" i="1" s="1"/>
  <c r="C7368" i="1"/>
  <c r="F7367" i="1"/>
  <c r="B7367" i="1" s="1"/>
  <c r="C7367" i="1"/>
  <c r="F7366" i="1"/>
  <c r="B7366" i="1" s="1"/>
  <c r="C7366" i="1"/>
  <c r="F7365" i="1"/>
  <c r="B7365" i="1" s="1"/>
  <c r="C7365" i="1"/>
  <c r="F7364" i="1"/>
  <c r="B7364" i="1" s="1"/>
  <c r="C7364" i="1"/>
  <c r="F7363" i="1"/>
  <c r="B7363" i="1" s="1"/>
  <c r="C7363" i="1"/>
  <c r="F7362" i="1"/>
  <c r="B7362" i="1" s="1"/>
  <c r="C7362" i="1"/>
  <c r="F7361" i="1"/>
  <c r="B7361" i="1" s="1"/>
  <c r="C7361" i="1"/>
  <c r="F7360" i="1"/>
  <c r="B7360" i="1" s="1"/>
  <c r="C7360" i="1"/>
  <c r="F7359" i="1"/>
  <c r="B7359" i="1" s="1"/>
  <c r="C7359" i="1"/>
  <c r="F7358" i="1"/>
  <c r="B7358" i="1" s="1"/>
  <c r="C7358" i="1"/>
  <c r="F7357" i="1"/>
  <c r="B7357" i="1" s="1"/>
  <c r="C7357" i="1"/>
  <c r="F7356" i="1"/>
  <c r="B7356" i="1" s="1"/>
  <c r="C7356" i="1"/>
  <c r="F7355" i="1"/>
  <c r="B7355" i="1" s="1"/>
  <c r="C7355" i="1"/>
  <c r="F7354" i="1"/>
  <c r="B7354" i="1" s="1"/>
  <c r="C7354" i="1"/>
  <c r="F7353" i="1"/>
  <c r="C7353" i="1"/>
  <c r="F7352" i="1"/>
  <c r="B7352" i="1" s="1"/>
  <c r="C7352" i="1"/>
  <c r="F7351" i="1"/>
  <c r="B7351" i="1" s="1"/>
  <c r="C7351" i="1"/>
  <c r="F7350" i="1"/>
  <c r="B7350" i="1" s="1"/>
  <c r="C7350" i="1"/>
  <c r="F7349" i="1"/>
  <c r="B7349" i="1" s="1"/>
  <c r="C7349" i="1"/>
  <c r="F7348" i="1"/>
  <c r="B7348" i="1" s="1"/>
  <c r="C7348" i="1"/>
  <c r="F7347" i="1"/>
  <c r="B7347" i="1" s="1"/>
  <c r="C7347" i="1"/>
  <c r="F7346" i="1"/>
  <c r="B7346" i="1" s="1"/>
  <c r="C7346" i="1"/>
  <c r="F7345" i="1"/>
  <c r="B7345" i="1" s="1"/>
  <c r="C7345" i="1"/>
  <c r="F7344" i="1"/>
  <c r="B7344" i="1" s="1"/>
  <c r="C7344" i="1"/>
  <c r="F7343" i="1"/>
  <c r="B7343" i="1" s="1"/>
  <c r="C7343" i="1"/>
  <c r="F7342" i="1"/>
  <c r="B7342" i="1" s="1"/>
  <c r="C7342" i="1"/>
  <c r="F7341" i="1"/>
  <c r="B7341" i="1" s="1"/>
  <c r="C7341" i="1"/>
  <c r="F7340" i="1"/>
  <c r="B7340" i="1" s="1"/>
  <c r="C7340" i="1"/>
  <c r="F7339" i="1"/>
  <c r="B7339" i="1" s="1"/>
  <c r="C7339" i="1"/>
  <c r="F7338" i="1"/>
  <c r="B7338" i="1" s="1"/>
  <c r="C7338" i="1"/>
  <c r="F7337" i="1"/>
  <c r="C7337" i="1"/>
  <c r="F7336" i="1"/>
  <c r="B7336" i="1" s="1"/>
  <c r="C7336" i="1"/>
  <c r="F7335" i="1"/>
  <c r="B7335" i="1" s="1"/>
  <c r="C7335" i="1"/>
  <c r="F7334" i="1"/>
  <c r="B7334" i="1" s="1"/>
  <c r="C7334" i="1"/>
  <c r="F7333" i="1"/>
  <c r="B7333" i="1" s="1"/>
  <c r="C7333" i="1"/>
  <c r="F7332" i="1"/>
  <c r="B7332" i="1" s="1"/>
  <c r="C7332" i="1"/>
  <c r="F7331" i="1"/>
  <c r="B7331" i="1" s="1"/>
  <c r="C7331" i="1"/>
  <c r="F7330" i="1"/>
  <c r="B7330" i="1" s="1"/>
  <c r="C7330" i="1"/>
  <c r="F7329" i="1"/>
  <c r="C7329" i="1"/>
  <c r="F7328" i="1"/>
  <c r="B7328" i="1" s="1"/>
  <c r="C7328" i="1"/>
  <c r="F7327" i="1"/>
  <c r="B7327" i="1" s="1"/>
  <c r="C7327" i="1"/>
  <c r="F7326" i="1"/>
  <c r="B7326" i="1" s="1"/>
  <c r="C7326" i="1"/>
  <c r="F7325" i="1"/>
  <c r="B7325" i="1" s="1"/>
  <c r="C7325" i="1"/>
  <c r="F7324" i="1"/>
  <c r="B7324" i="1" s="1"/>
  <c r="C7324" i="1"/>
  <c r="F7323" i="1"/>
  <c r="B7323" i="1" s="1"/>
  <c r="C7323" i="1"/>
  <c r="F7322" i="1"/>
  <c r="B7322" i="1" s="1"/>
  <c r="C7322" i="1"/>
  <c r="F7321" i="1"/>
  <c r="B7321" i="1" s="1"/>
  <c r="C7321" i="1"/>
  <c r="F7320" i="1"/>
  <c r="B7320" i="1" s="1"/>
  <c r="C7320" i="1"/>
  <c r="F7319" i="1"/>
  <c r="B7319" i="1" s="1"/>
  <c r="C7319" i="1"/>
  <c r="F7318" i="1"/>
  <c r="B7318" i="1" s="1"/>
  <c r="C7318" i="1"/>
  <c r="F7317" i="1"/>
  <c r="B7317" i="1" s="1"/>
  <c r="C7317" i="1"/>
  <c r="F7316" i="1"/>
  <c r="B7316" i="1" s="1"/>
  <c r="C7316" i="1"/>
  <c r="F7315" i="1"/>
  <c r="B7315" i="1" s="1"/>
  <c r="C7315" i="1"/>
  <c r="F7314" i="1"/>
  <c r="B7314" i="1" s="1"/>
  <c r="C7314" i="1"/>
  <c r="F7313" i="1"/>
  <c r="B7313" i="1" s="1"/>
  <c r="C7313" i="1"/>
  <c r="F7312" i="1"/>
  <c r="B7312" i="1" s="1"/>
  <c r="C7312" i="1"/>
  <c r="F7311" i="1"/>
  <c r="B7311" i="1" s="1"/>
  <c r="C7311" i="1"/>
  <c r="F7310" i="1"/>
  <c r="B7310" i="1" s="1"/>
  <c r="C7310" i="1"/>
  <c r="F7309" i="1"/>
  <c r="B7309" i="1" s="1"/>
  <c r="C7309" i="1"/>
  <c r="F7308" i="1"/>
  <c r="B7308" i="1" s="1"/>
  <c r="C7308" i="1"/>
  <c r="F7307" i="1"/>
  <c r="B7307" i="1" s="1"/>
  <c r="C7307" i="1"/>
  <c r="F7306" i="1"/>
  <c r="B7306" i="1" s="1"/>
  <c r="C7306" i="1"/>
  <c r="F7305" i="1"/>
  <c r="B7305" i="1" s="1"/>
  <c r="C7305" i="1"/>
  <c r="F7304" i="1"/>
  <c r="B7304" i="1" s="1"/>
  <c r="C7304" i="1"/>
  <c r="F7303" i="1"/>
  <c r="B7303" i="1" s="1"/>
  <c r="C7303" i="1"/>
  <c r="F7302" i="1"/>
  <c r="B7302" i="1" s="1"/>
  <c r="C7302" i="1"/>
  <c r="F7301" i="1"/>
  <c r="B7301" i="1" s="1"/>
  <c r="C7301" i="1"/>
  <c r="F7300" i="1"/>
  <c r="B7300" i="1" s="1"/>
  <c r="C7300" i="1"/>
  <c r="F7299" i="1"/>
  <c r="B7299" i="1" s="1"/>
  <c r="C7299" i="1"/>
  <c r="F7298" i="1"/>
  <c r="B7298" i="1" s="1"/>
  <c r="C7298" i="1"/>
  <c r="F7297" i="1"/>
  <c r="B7297" i="1" s="1"/>
  <c r="C7297" i="1"/>
  <c r="F7296" i="1"/>
  <c r="B7296" i="1" s="1"/>
  <c r="C7296" i="1"/>
  <c r="F7295" i="1"/>
  <c r="B7295" i="1" s="1"/>
  <c r="C7295" i="1"/>
  <c r="F7294" i="1"/>
  <c r="B7294" i="1" s="1"/>
  <c r="C7294" i="1"/>
  <c r="F7293" i="1"/>
  <c r="B7293" i="1" s="1"/>
  <c r="C7293" i="1"/>
  <c r="F7292" i="1"/>
  <c r="B7292" i="1" s="1"/>
  <c r="C7292" i="1"/>
  <c r="F7291" i="1"/>
  <c r="B7291" i="1" s="1"/>
  <c r="C7291" i="1"/>
  <c r="F7290" i="1"/>
  <c r="B7290" i="1" s="1"/>
  <c r="C7290" i="1"/>
  <c r="F7289" i="1"/>
  <c r="B7289" i="1" s="1"/>
  <c r="C7289" i="1"/>
  <c r="F7288" i="1"/>
  <c r="B7288" i="1" s="1"/>
  <c r="C7288" i="1"/>
  <c r="F7287" i="1"/>
  <c r="B7287" i="1" s="1"/>
  <c r="C7287" i="1"/>
  <c r="F7286" i="1"/>
  <c r="B7286" i="1" s="1"/>
  <c r="C7286" i="1"/>
  <c r="F7285" i="1"/>
  <c r="B7285" i="1" s="1"/>
  <c r="C7285" i="1"/>
  <c r="F7284" i="1"/>
  <c r="B7284" i="1" s="1"/>
  <c r="C7284" i="1"/>
  <c r="F7283" i="1"/>
  <c r="B7283" i="1" s="1"/>
  <c r="C7283" i="1"/>
  <c r="F7282" i="1"/>
  <c r="B7282" i="1" s="1"/>
  <c r="C7282" i="1"/>
  <c r="F7281" i="1"/>
  <c r="C7281" i="1"/>
  <c r="F7280" i="1"/>
  <c r="B7280" i="1" s="1"/>
  <c r="C7280" i="1"/>
  <c r="F7279" i="1"/>
  <c r="B7279" i="1" s="1"/>
  <c r="C7279" i="1"/>
  <c r="F7278" i="1"/>
  <c r="B7278" i="1" s="1"/>
  <c r="C7278" i="1"/>
  <c r="F7277" i="1"/>
  <c r="B7277" i="1" s="1"/>
  <c r="C7277" i="1"/>
  <c r="F7276" i="1"/>
  <c r="B7276" i="1" s="1"/>
  <c r="C7276" i="1"/>
  <c r="F7275" i="1"/>
  <c r="B7275" i="1" s="1"/>
  <c r="C7275" i="1"/>
  <c r="F7274" i="1"/>
  <c r="B7274" i="1" s="1"/>
  <c r="C7274" i="1"/>
  <c r="F7273" i="1"/>
  <c r="B7273" i="1" s="1"/>
  <c r="C7273" i="1"/>
  <c r="F7272" i="1"/>
  <c r="B7272" i="1" s="1"/>
  <c r="C7272" i="1"/>
  <c r="F7271" i="1"/>
  <c r="B7271" i="1" s="1"/>
  <c r="C7271" i="1"/>
  <c r="F7270" i="1"/>
  <c r="B7270" i="1" s="1"/>
  <c r="C7270" i="1"/>
  <c r="F7269" i="1"/>
  <c r="B7269" i="1" s="1"/>
  <c r="C7269" i="1"/>
  <c r="F7268" i="1"/>
  <c r="B7268" i="1" s="1"/>
  <c r="C7268" i="1"/>
  <c r="F7267" i="1"/>
  <c r="B7267" i="1" s="1"/>
  <c r="C7267" i="1"/>
  <c r="F7266" i="1"/>
  <c r="B7266" i="1" s="1"/>
  <c r="C7266" i="1"/>
  <c r="F7265" i="1"/>
  <c r="B7265" i="1" s="1"/>
  <c r="C7265" i="1"/>
  <c r="F7264" i="1"/>
  <c r="B7264" i="1" s="1"/>
  <c r="C7264" i="1"/>
  <c r="F7263" i="1"/>
  <c r="B7263" i="1" s="1"/>
  <c r="C7263" i="1"/>
  <c r="F7262" i="1"/>
  <c r="B7262" i="1" s="1"/>
  <c r="C7262" i="1"/>
  <c r="F7261" i="1"/>
  <c r="B7261" i="1" s="1"/>
  <c r="C7261" i="1"/>
  <c r="F7260" i="1"/>
  <c r="B7260" i="1" s="1"/>
  <c r="C7260" i="1"/>
  <c r="F7259" i="1"/>
  <c r="B7259" i="1" s="1"/>
  <c r="C7259" i="1"/>
  <c r="F7258" i="1"/>
  <c r="B7258" i="1" s="1"/>
  <c r="C7258" i="1"/>
  <c r="F7257" i="1"/>
  <c r="B7257" i="1" s="1"/>
  <c r="C7257" i="1"/>
  <c r="F7256" i="1"/>
  <c r="B7256" i="1" s="1"/>
  <c r="C7256" i="1"/>
  <c r="F7255" i="1"/>
  <c r="B7255" i="1" s="1"/>
  <c r="C7255" i="1"/>
  <c r="F7254" i="1"/>
  <c r="B7254" i="1" s="1"/>
  <c r="C7254" i="1"/>
  <c r="F7253" i="1"/>
  <c r="B7253" i="1" s="1"/>
  <c r="C7253" i="1"/>
  <c r="F7252" i="1"/>
  <c r="B7252" i="1" s="1"/>
  <c r="C7252" i="1"/>
  <c r="F7251" i="1"/>
  <c r="B7251" i="1" s="1"/>
  <c r="C7251" i="1"/>
  <c r="F7250" i="1"/>
  <c r="B7250" i="1" s="1"/>
  <c r="C7250" i="1"/>
  <c r="F7249" i="1"/>
  <c r="B7249" i="1" s="1"/>
  <c r="C7249" i="1"/>
  <c r="F7248" i="1"/>
  <c r="B7248" i="1" s="1"/>
  <c r="C7248" i="1"/>
  <c r="F7247" i="1"/>
  <c r="B7247" i="1" s="1"/>
  <c r="C7247" i="1"/>
  <c r="F7246" i="1"/>
  <c r="B7246" i="1" s="1"/>
  <c r="C7246" i="1"/>
  <c r="F7245" i="1"/>
  <c r="B7245" i="1" s="1"/>
  <c r="C7245" i="1"/>
  <c r="F7244" i="1"/>
  <c r="B7244" i="1" s="1"/>
  <c r="C7244" i="1"/>
  <c r="F7243" i="1"/>
  <c r="B7243" i="1" s="1"/>
  <c r="C7243" i="1"/>
  <c r="F7242" i="1"/>
  <c r="B7242" i="1" s="1"/>
  <c r="C7242" i="1"/>
  <c r="F7241" i="1"/>
  <c r="C7241" i="1"/>
  <c r="F7240" i="1"/>
  <c r="B7240" i="1" s="1"/>
  <c r="C7240" i="1"/>
  <c r="F7239" i="1"/>
  <c r="B7239" i="1" s="1"/>
  <c r="C7239" i="1"/>
  <c r="F7238" i="1"/>
  <c r="B7238" i="1" s="1"/>
  <c r="C7238" i="1"/>
  <c r="F7237" i="1"/>
  <c r="B7237" i="1" s="1"/>
  <c r="C7237" i="1"/>
  <c r="F7236" i="1"/>
  <c r="B7236" i="1" s="1"/>
  <c r="C7236" i="1"/>
  <c r="F7235" i="1"/>
  <c r="B7235" i="1" s="1"/>
  <c r="C7235" i="1"/>
  <c r="F7234" i="1"/>
  <c r="B7234" i="1" s="1"/>
  <c r="C7234" i="1"/>
  <c r="F7233" i="1"/>
  <c r="B7233" i="1" s="1"/>
  <c r="C7233" i="1"/>
  <c r="F7232" i="1"/>
  <c r="B7232" i="1" s="1"/>
  <c r="C7232" i="1"/>
  <c r="F7231" i="1"/>
  <c r="B7231" i="1" s="1"/>
  <c r="C7231" i="1"/>
  <c r="F7230" i="1"/>
  <c r="B7230" i="1" s="1"/>
  <c r="C7230" i="1"/>
  <c r="F7229" i="1"/>
  <c r="B7229" i="1" s="1"/>
  <c r="C7229" i="1"/>
  <c r="F7228" i="1"/>
  <c r="B7228" i="1" s="1"/>
  <c r="C7228" i="1"/>
  <c r="F7227" i="1"/>
  <c r="B7227" i="1" s="1"/>
  <c r="C7227" i="1"/>
  <c r="F7226" i="1"/>
  <c r="B7226" i="1" s="1"/>
  <c r="C7226" i="1"/>
  <c r="F7225" i="1"/>
  <c r="B7225" i="1" s="1"/>
  <c r="C7225" i="1"/>
  <c r="F7224" i="1"/>
  <c r="B7224" i="1" s="1"/>
  <c r="C7224" i="1"/>
  <c r="F7223" i="1"/>
  <c r="B7223" i="1" s="1"/>
  <c r="C7223" i="1"/>
  <c r="F7222" i="1"/>
  <c r="B7222" i="1" s="1"/>
  <c r="C7222" i="1"/>
  <c r="F7221" i="1"/>
  <c r="B7221" i="1" s="1"/>
  <c r="C7221" i="1"/>
  <c r="F7220" i="1"/>
  <c r="B7220" i="1" s="1"/>
  <c r="C7220" i="1"/>
  <c r="F7219" i="1"/>
  <c r="B7219" i="1" s="1"/>
  <c r="C7219" i="1"/>
  <c r="F7218" i="1"/>
  <c r="B7218" i="1" s="1"/>
  <c r="C7218" i="1"/>
  <c r="F7217" i="1"/>
  <c r="C7217" i="1"/>
  <c r="F7216" i="1"/>
  <c r="B7216" i="1" s="1"/>
  <c r="C7216" i="1"/>
  <c r="F7215" i="1"/>
  <c r="B7215" i="1" s="1"/>
  <c r="C7215" i="1"/>
  <c r="F7214" i="1"/>
  <c r="B7214" i="1" s="1"/>
  <c r="C7214" i="1"/>
  <c r="F7213" i="1"/>
  <c r="B7213" i="1" s="1"/>
  <c r="C7213" i="1"/>
  <c r="F7212" i="1"/>
  <c r="B7212" i="1" s="1"/>
  <c r="C7212" i="1"/>
  <c r="F7211" i="1"/>
  <c r="B7211" i="1" s="1"/>
  <c r="C7211" i="1"/>
  <c r="F7210" i="1"/>
  <c r="B7210" i="1" s="1"/>
  <c r="C7210" i="1"/>
  <c r="F7209" i="1"/>
  <c r="B7209" i="1" s="1"/>
  <c r="C7209" i="1"/>
  <c r="F7208" i="1"/>
  <c r="B7208" i="1" s="1"/>
  <c r="C7208" i="1"/>
  <c r="F7207" i="1"/>
  <c r="B7207" i="1" s="1"/>
  <c r="C7207" i="1"/>
  <c r="F7206" i="1"/>
  <c r="B7206" i="1" s="1"/>
  <c r="C7206" i="1"/>
  <c r="F7205" i="1"/>
  <c r="B7205" i="1" s="1"/>
  <c r="C7205" i="1"/>
  <c r="F7204" i="1"/>
  <c r="B7204" i="1" s="1"/>
  <c r="C7204" i="1"/>
  <c r="F7203" i="1"/>
  <c r="B7203" i="1" s="1"/>
  <c r="C7203" i="1"/>
  <c r="F7202" i="1"/>
  <c r="B7202" i="1" s="1"/>
  <c r="C7202" i="1"/>
  <c r="F7201" i="1"/>
  <c r="C7201" i="1"/>
  <c r="F7200" i="1"/>
  <c r="B7200" i="1" s="1"/>
  <c r="C7200" i="1"/>
  <c r="F7199" i="1"/>
  <c r="B7199" i="1" s="1"/>
  <c r="C7199" i="1"/>
  <c r="F7198" i="1"/>
  <c r="B7198" i="1" s="1"/>
  <c r="C7198" i="1"/>
  <c r="F7197" i="1"/>
  <c r="B7197" i="1" s="1"/>
  <c r="C7197" i="1"/>
  <c r="F7196" i="1"/>
  <c r="B7196" i="1" s="1"/>
  <c r="C7196" i="1"/>
  <c r="F7195" i="1"/>
  <c r="B7195" i="1" s="1"/>
  <c r="C7195" i="1"/>
  <c r="F7194" i="1"/>
  <c r="B7194" i="1" s="1"/>
  <c r="C7194" i="1"/>
  <c r="F7193" i="1"/>
  <c r="B7193" i="1" s="1"/>
  <c r="C7193" i="1"/>
  <c r="F7192" i="1"/>
  <c r="B7192" i="1" s="1"/>
  <c r="C7192" i="1"/>
  <c r="F7191" i="1"/>
  <c r="B7191" i="1" s="1"/>
  <c r="C7191" i="1"/>
  <c r="F7190" i="1"/>
  <c r="B7190" i="1" s="1"/>
  <c r="C7190" i="1"/>
  <c r="F7189" i="1"/>
  <c r="B7189" i="1" s="1"/>
  <c r="C7189" i="1"/>
  <c r="F7188" i="1"/>
  <c r="B7188" i="1" s="1"/>
  <c r="C7188" i="1"/>
  <c r="F7187" i="1"/>
  <c r="B7187" i="1" s="1"/>
  <c r="C7187" i="1"/>
  <c r="F7186" i="1"/>
  <c r="B7186" i="1" s="1"/>
  <c r="C7186" i="1"/>
  <c r="F7185" i="1"/>
  <c r="B7185" i="1" s="1"/>
  <c r="C7185" i="1"/>
  <c r="F7184" i="1"/>
  <c r="B7184" i="1" s="1"/>
  <c r="C7184" i="1"/>
  <c r="F7183" i="1"/>
  <c r="B7183" i="1" s="1"/>
  <c r="C7183" i="1"/>
  <c r="F7182" i="1"/>
  <c r="B7182" i="1" s="1"/>
  <c r="C7182" i="1"/>
  <c r="F7181" i="1"/>
  <c r="B7181" i="1" s="1"/>
  <c r="C7181" i="1"/>
  <c r="F7180" i="1"/>
  <c r="B7180" i="1" s="1"/>
  <c r="C7180" i="1"/>
  <c r="F7179" i="1"/>
  <c r="B7179" i="1" s="1"/>
  <c r="C7179" i="1"/>
  <c r="F7178" i="1"/>
  <c r="B7178" i="1" s="1"/>
  <c r="C7178" i="1"/>
  <c r="F7177" i="1"/>
  <c r="B7177" i="1" s="1"/>
  <c r="C7177" i="1"/>
  <c r="F7176" i="1"/>
  <c r="B7176" i="1" s="1"/>
  <c r="C7176" i="1"/>
  <c r="F7175" i="1"/>
  <c r="B7175" i="1" s="1"/>
  <c r="C7175" i="1"/>
  <c r="F7174" i="1"/>
  <c r="B7174" i="1" s="1"/>
  <c r="C7174" i="1"/>
  <c r="F7173" i="1"/>
  <c r="B7173" i="1" s="1"/>
  <c r="C7173" i="1"/>
  <c r="F7172" i="1"/>
  <c r="B7172" i="1" s="1"/>
  <c r="C7172" i="1"/>
  <c r="F7171" i="1"/>
  <c r="B7171" i="1" s="1"/>
  <c r="C7171" i="1"/>
  <c r="F7170" i="1"/>
  <c r="B7170" i="1" s="1"/>
  <c r="C7170" i="1"/>
  <c r="F7169" i="1"/>
  <c r="C7169" i="1"/>
  <c r="F7168" i="1"/>
  <c r="B7168" i="1" s="1"/>
  <c r="C7168" i="1"/>
  <c r="F7167" i="1"/>
  <c r="B7167" i="1" s="1"/>
  <c r="C7167" i="1"/>
  <c r="F7166" i="1"/>
  <c r="B7166" i="1" s="1"/>
  <c r="C7166" i="1"/>
  <c r="F7165" i="1"/>
  <c r="B7165" i="1" s="1"/>
  <c r="C7165" i="1"/>
  <c r="F7164" i="1"/>
  <c r="B7164" i="1" s="1"/>
  <c r="C7164" i="1"/>
  <c r="F7163" i="1"/>
  <c r="B7163" i="1" s="1"/>
  <c r="C7163" i="1"/>
  <c r="F7162" i="1"/>
  <c r="B7162" i="1" s="1"/>
  <c r="C7162" i="1"/>
  <c r="F7161" i="1"/>
  <c r="B7161" i="1" s="1"/>
  <c r="C7161" i="1"/>
  <c r="F7160" i="1"/>
  <c r="B7160" i="1" s="1"/>
  <c r="C7160" i="1"/>
  <c r="F7159" i="1"/>
  <c r="B7159" i="1" s="1"/>
  <c r="C7159" i="1"/>
  <c r="F7158" i="1"/>
  <c r="B7158" i="1" s="1"/>
  <c r="C7158" i="1"/>
  <c r="F7157" i="1"/>
  <c r="B7157" i="1" s="1"/>
  <c r="C7157" i="1"/>
  <c r="F7156" i="1"/>
  <c r="B7156" i="1" s="1"/>
  <c r="C7156" i="1"/>
  <c r="F7155" i="1"/>
  <c r="B7155" i="1" s="1"/>
  <c r="C7155" i="1"/>
  <c r="F7154" i="1"/>
  <c r="B7154" i="1" s="1"/>
  <c r="C7154" i="1"/>
  <c r="F7153" i="1"/>
  <c r="B7153" i="1" s="1"/>
  <c r="C7153" i="1"/>
  <c r="F7152" i="1"/>
  <c r="B7152" i="1" s="1"/>
  <c r="C7152" i="1"/>
  <c r="F7151" i="1"/>
  <c r="B7151" i="1" s="1"/>
  <c r="C7151" i="1"/>
  <c r="F7150" i="1"/>
  <c r="B7150" i="1" s="1"/>
  <c r="C7150" i="1"/>
  <c r="F7149" i="1"/>
  <c r="B7149" i="1" s="1"/>
  <c r="C7149" i="1"/>
  <c r="F7148" i="1"/>
  <c r="B7148" i="1" s="1"/>
  <c r="C7148" i="1"/>
  <c r="F7147" i="1"/>
  <c r="B7147" i="1" s="1"/>
  <c r="C7147" i="1"/>
  <c r="F7146" i="1"/>
  <c r="B7146" i="1" s="1"/>
  <c r="C7146" i="1"/>
  <c r="F7145" i="1"/>
  <c r="B7145" i="1" s="1"/>
  <c r="C7145" i="1"/>
  <c r="F7144" i="1"/>
  <c r="B7144" i="1" s="1"/>
  <c r="C7144" i="1"/>
  <c r="F7143" i="1"/>
  <c r="B7143" i="1" s="1"/>
  <c r="C7143" i="1"/>
  <c r="F7142" i="1"/>
  <c r="B7142" i="1" s="1"/>
  <c r="C7142" i="1"/>
  <c r="F7141" i="1"/>
  <c r="B7141" i="1" s="1"/>
  <c r="C7141" i="1"/>
  <c r="F7140" i="1"/>
  <c r="B7140" i="1" s="1"/>
  <c r="C7140" i="1"/>
  <c r="F7139" i="1"/>
  <c r="B7139" i="1" s="1"/>
  <c r="C7139" i="1"/>
  <c r="F7138" i="1"/>
  <c r="B7138" i="1" s="1"/>
  <c r="C7138" i="1"/>
  <c r="F7137" i="1"/>
  <c r="B7137" i="1" s="1"/>
  <c r="C7137" i="1"/>
  <c r="F7136" i="1"/>
  <c r="B7136" i="1" s="1"/>
  <c r="C7136" i="1"/>
  <c r="F7135" i="1"/>
  <c r="B7135" i="1" s="1"/>
  <c r="C7135" i="1"/>
  <c r="F7134" i="1"/>
  <c r="B7134" i="1" s="1"/>
  <c r="C7134" i="1"/>
  <c r="F7133" i="1"/>
  <c r="B7133" i="1" s="1"/>
  <c r="C7133" i="1"/>
  <c r="F7132" i="1"/>
  <c r="B7132" i="1" s="1"/>
  <c r="C7132" i="1"/>
  <c r="F7131" i="1"/>
  <c r="B7131" i="1" s="1"/>
  <c r="C7131" i="1"/>
  <c r="F7130" i="1"/>
  <c r="B7130" i="1" s="1"/>
  <c r="C7130" i="1"/>
  <c r="F7129" i="1"/>
  <c r="B7129" i="1" s="1"/>
  <c r="C7129" i="1"/>
  <c r="F7128" i="1"/>
  <c r="B7128" i="1" s="1"/>
  <c r="C7128" i="1"/>
  <c r="F7127" i="1"/>
  <c r="B7127" i="1" s="1"/>
  <c r="C7127" i="1"/>
  <c r="F7126" i="1"/>
  <c r="B7126" i="1" s="1"/>
  <c r="C7126" i="1"/>
  <c r="F7125" i="1"/>
  <c r="B7125" i="1" s="1"/>
  <c r="C7125" i="1"/>
  <c r="F7124" i="1"/>
  <c r="B7124" i="1" s="1"/>
  <c r="C7124" i="1"/>
  <c r="F7123" i="1"/>
  <c r="B7123" i="1" s="1"/>
  <c r="C7123" i="1"/>
  <c r="F7122" i="1"/>
  <c r="B7122" i="1" s="1"/>
  <c r="C7122" i="1"/>
  <c r="F7121" i="1"/>
  <c r="C7121" i="1"/>
  <c r="F7120" i="1"/>
  <c r="B7120" i="1" s="1"/>
  <c r="C7120" i="1"/>
  <c r="F7119" i="1"/>
  <c r="B7119" i="1" s="1"/>
  <c r="C7119" i="1"/>
  <c r="F7118" i="1"/>
  <c r="B7118" i="1" s="1"/>
  <c r="C7118" i="1"/>
  <c r="F7117" i="1"/>
  <c r="B7117" i="1" s="1"/>
  <c r="C7117" i="1"/>
  <c r="F7116" i="1"/>
  <c r="B7116" i="1" s="1"/>
  <c r="C7116" i="1"/>
  <c r="F7115" i="1"/>
  <c r="B7115" i="1" s="1"/>
  <c r="C7115" i="1"/>
  <c r="F7114" i="1"/>
  <c r="B7114" i="1" s="1"/>
  <c r="C7114" i="1"/>
  <c r="F7113" i="1"/>
  <c r="B7113" i="1" s="1"/>
  <c r="C7113" i="1"/>
  <c r="F7112" i="1"/>
  <c r="B7112" i="1" s="1"/>
  <c r="C7112" i="1"/>
  <c r="F7111" i="1"/>
  <c r="B7111" i="1" s="1"/>
  <c r="C7111" i="1"/>
  <c r="F7110" i="1"/>
  <c r="B7110" i="1" s="1"/>
  <c r="C7110" i="1"/>
  <c r="F7109" i="1"/>
  <c r="B7109" i="1" s="1"/>
  <c r="C7109" i="1"/>
  <c r="F7108" i="1"/>
  <c r="B7108" i="1" s="1"/>
  <c r="C7108" i="1"/>
  <c r="F7107" i="1"/>
  <c r="B7107" i="1" s="1"/>
  <c r="C7107" i="1"/>
  <c r="F7106" i="1"/>
  <c r="B7106" i="1" s="1"/>
  <c r="C7106" i="1"/>
  <c r="F7105" i="1"/>
  <c r="B7105" i="1" s="1"/>
  <c r="C7105" i="1"/>
  <c r="F7104" i="1"/>
  <c r="B7104" i="1" s="1"/>
  <c r="C7104" i="1"/>
  <c r="F7103" i="1"/>
  <c r="B7103" i="1" s="1"/>
  <c r="C7103" i="1"/>
  <c r="F7102" i="1"/>
  <c r="B7102" i="1" s="1"/>
  <c r="C7102" i="1"/>
  <c r="F7101" i="1"/>
  <c r="B7101" i="1" s="1"/>
  <c r="C7101" i="1"/>
  <c r="F7100" i="1"/>
  <c r="B7100" i="1" s="1"/>
  <c r="C7100" i="1"/>
  <c r="F7099" i="1"/>
  <c r="B7099" i="1" s="1"/>
  <c r="C7099" i="1"/>
  <c r="F7098" i="1"/>
  <c r="B7098" i="1" s="1"/>
  <c r="C7098" i="1"/>
  <c r="F7097" i="1"/>
  <c r="C7097" i="1"/>
  <c r="F7096" i="1"/>
  <c r="B7096" i="1" s="1"/>
  <c r="C7096" i="1"/>
  <c r="F7095" i="1"/>
  <c r="B7095" i="1" s="1"/>
  <c r="C7095" i="1"/>
  <c r="F7094" i="1"/>
  <c r="C7094" i="1"/>
  <c r="F7093" i="1"/>
  <c r="B7093" i="1" s="1"/>
  <c r="C7093" i="1"/>
  <c r="F7092" i="1"/>
  <c r="C7092" i="1"/>
  <c r="F7091" i="1"/>
  <c r="B7091" i="1" s="1"/>
  <c r="C7091" i="1"/>
  <c r="F7090" i="1"/>
  <c r="B7090" i="1" s="1"/>
  <c r="C7090" i="1"/>
  <c r="F7089" i="1"/>
  <c r="B7089" i="1" s="1"/>
  <c r="C7089" i="1"/>
  <c r="F7088" i="1"/>
  <c r="B7088" i="1" s="1"/>
  <c r="C7088" i="1"/>
  <c r="F7087" i="1"/>
  <c r="B7087" i="1" s="1"/>
  <c r="C7087" i="1"/>
  <c r="F7086" i="1"/>
  <c r="B7086" i="1" s="1"/>
  <c r="C7086" i="1"/>
  <c r="F7085" i="1"/>
  <c r="B7085" i="1" s="1"/>
  <c r="C7085" i="1"/>
  <c r="F7084" i="1"/>
  <c r="B7084" i="1" s="1"/>
  <c r="C7084" i="1"/>
  <c r="F7083" i="1"/>
  <c r="B7083" i="1" s="1"/>
  <c r="C7083" i="1"/>
  <c r="F7082" i="1"/>
  <c r="B7082" i="1" s="1"/>
  <c r="C7082" i="1"/>
  <c r="F7081" i="1"/>
  <c r="B7081" i="1" s="1"/>
  <c r="C7081" i="1"/>
  <c r="F7080" i="1"/>
  <c r="B7080" i="1" s="1"/>
  <c r="C7080" i="1"/>
  <c r="F7079" i="1"/>
  <c r="B7079" i="1" s="1"/>
  <c r="C7079" i="1"/>
  <c r="F7078" i="1"/>
  <c r="C7078" i="1"/>
  <c r="F7077" i="1"/>
  <c r="B7077" i="1" s="1"/>
  <c r="C7077" i="1"/>
  <c r="F7076" i="1"/>
  <c r="B7076" i="1" s="1"/>
  <c r="C7076" i="1"/>
  <c r="F7075" i="1"/>
  <c r="B7075" i="1" s="1"/>
  <c r="C7075" i="1"/>
  <c r="F7074" i="1"/>
  <c r="B7074" i="1" s="1"/>
  <c r="C7074" i="1"/>
  <c r="F7073" i="1"/>
  <c r="B7073" i="1" s="1"/>
  <c r="C7073" i="1"/>
  <c r="F7072" i="1"/>
  <c r="B7072" i="1" s="1"/>
  <c r="C7072" i="1"/>
  <c r="F7071" i="1"/>
  <c r="B7071" i="1" s="1"/>
  <c r="C7071" i="1"/>
  <c r="F7070" i="1"/>
  <c r="B7070" i="1" s="1"/>
  <c r="C7070" i="1"/>
  <c r="F7069" i="1"/>
  <c r="B7069" i="1" s="1"/>
  <c r="C7069" i="1"/>
  <c r="F7068" i="1"/>
  <c r="B7068" i="1" s="1"/>
  <c r="C7068" i="1"/>
  <c r="F7067" i="1"/>
  <c r="B7067" i="1" s="1"/>
  <c r="C7067" i="1"/>
  <c r="F7066" i="1"/>
  <c r="B7066" i="1" s="1"/>
  <c r="C7066" i="1"/>
  <c r="F7065" i="1"/>
  <c r="B7065" i="1" s="1"/>
  <c r="C7065" i="1"/>
  <c r="F7064" i="1"/>
  <c r="B7064" i="1" s="1"/>
  <c r="C7064" i="1"/>
  <c r="F7063" i="1"/>
  <c r="B7063" i="1" s="1"/>
  <c r="C7063" i="1"/>
  <c r="F7062" i="1"/>
  <c r="B7062" i="1" s="1"/>
  <c r="C7062" i="1"/>
  <c r="F7061" i="1"/>
  <c r="B7061" i="1" s="1"/>
  <c r="C7061" i="1"/>
  <c r="F7060" i="1"/>
  <c r="B7060" i="1" s="1"/>
  <c r="C7060" i="1"/>
  <c r="F7059" i="1"/>
  <c r="B7059" i="1" s="1"/>
  <c r="C7059" i="1"/>
  <c r="F7058" i="1"/>
  <c r="B7058" i="1" s="1"/>
  <c r="C7058" i="1"/>
  <c r="F7057" i="1"/>
  <c r="B7057" i="1" s="1"/>
  <c r="C7057" i="1"/>
  <c r="F7056" i="1"/>
  <c r="B7056" i="1" s="1"/>
  <c r="C7056" i="1"/>
  <c r="F7055" i="1"/>
  <c r="B7055" i="1" s="1"/>
  <c r="C7055" i="1"/>
  <c r="F7054" i="1"/>
  <c r="B7054" i="1" s="1"/>
  <c r="C7054" i="1"/>
  <c r="F7053" i="1"/>
  <c r="B7053" i="1" s="1"/>
  <c r="C7053" i="1"/>
  <c r="F7052" i="1"/>
  <c r="B7052" i="1" s="1"/>
  <c r="C7052" i="1"/>
  <c r="F7051" i="1"/>
  <c r="B7051" i="1" s="1"/>
  <c r="C7051" i="1"/>
  <c r="F7050" i="1"/>
  <c r="B7050" i="1" s="1"/>
  <c r="C7050" i="1"/>
  <c r="F7049" i="1"/>
  <c r="B7049" i="1" s="1"/>
  <c r="C7049" i="1"/>
  <c r="F7048" i="1"/>
  <c r="B7048" i="1" s="1"/>
  <c r="C7048" i="1"/>
  <c r="F7047" i="1"/>
  <c r="B7047" i="1" s="1"/>
  <c r="C7047" i="1"/>
  <c r="F7046" i="1"/>
  <c r="B7046" i="1" s="1"/>
  <c r="C7046" i="1"/>
  <c r="F7045" i="1"/>
  <c r="B7045" i="1" s="1"/>
  <c r="C7045" i="1"/>
  <c r="F7044" i="1"/>
  <c r="B7044" i="1" s="1"/>
  <c r="C7044" i="1"/>
  <c r="F7043" i="1"/>
  <c r="B7043" i="1" s="1"/>
  <c r="C7043" i="1"/>
  <c r="F7042" i="1"/>
  <c r="B7042" i="1" s="1"/>
  <c r="C7042" i="1"/>
  <c r="F7041" i="1"/>
  <c r="B7041" i="1" s="1"/>
  <c r="C7041" i="1"/>
  <c r="F7040" i="1"/>
  <c r="B7040" i="1" s="1"/>
  <c r="C7040" i="1"/>
  <c r="F7039" i="1"/>
  <c r="B7039" i="1" s="1"/>
  <c r="C7039" i="1"/>
  <c r="F7038" i="1"/>
  <c r="B7038" i="1" s="1"/>
  <c r="C7038" i="1"/>
  <c r="F7037" i="1"/>
  <c r="B7037" i="1" s="1"/>
  <c r="C7037" i="1"/>
  <c r="F7036" i="1"/>
  <c r="B7036" i="1" s="1"/>
  <c r="C7036" i="1"/>
  <c r="F7035" i="1"/>
  <c r="B7035" i="1" s="1"/>
  <c r="C7035" i="1"/>
  <c r="F7034" i="1"/>
  <c r="B7034" i="1" s="1"/>
  <c r="C7034" i="1"/>
  <c r="F7033" i="1"/>
  <c r="B7033" i="1" s="1"/>
  <c r="C7033" i="1"/>
  <c r="F7032" i="1"/>
  <c r="B7032" i="1" s="1"/>
  <c r="C7032" i="1"/>
  <c r="F7031" i="1"/>
  <c r="B7031" i="1" s="1"/>
  <c r="C7031" i="1"/>
  <c r="F7030" i="1"/>
  <c r="C7030" i="1"/>
  <c r="F7029" i="1"/>
  <c r="B7029" i="1" s="1"/>
  <c r="C7029" i="1"/>
  <c r="F7028" i="1"/>
  <c r="C7028" i="1"/>
  <c r="F7027" i="1"/>
  <c r="B7027" i="1" s="1"/>
  <c r="C7027" i="1"/>
  <c r="F7026" i="1"/>
  <c r="B7026" i="1" s="1"/>
  <c r="C7026" i="1"/>
  <c r="F7025" i="1"/>
  <c r="C7025" i="1"/>
  <c r="F7024" i="1"/>
  <c r="B7024" i="1" s="1"/>
  <c r="C7024" i="1"/>
  <c r="F7023" i="1"/>
  <c r="B7023" i="1" s="1"/>
  <c r="C7023" i="1"/>
  <c r="F7022" i="1"/>
  <c r="B7022" i="1" s="1"/>
  <c r="C7022" i="1"/>
  <c r="F7021" i="1"/>
  <c r="B7021" i="1" s="1"/>
  <c r="C7021" i="1"/>
  <c r="F7020" i="1"/>
  <c r="B7020" i="1" s="1"/>
  <c r="C7020" i="1"/>
  <c r="F7019" i="1"/>
  <c r="B7019" i="1" s="1"/>
  <c r="C7019" i="1"/>
  <c r="F7018" i="1"/>
  <c r="B7018" i="1" s="1"/>
  <c r="C7018" i="1"/>
  <c r="F7017" i="1"/>
  <c r="C7017" i="1"/>
  <c r="F7016" i="1"/>
  <c r="B7016" i="1" s="1"/>
  <c r="C7016" i="1"/>
  <c r="F7015" i="1"/>
  <c r="B7015" i="1" s="1"/>
  <c r="C7015" i="1"/>
  <c r="F7014" i="1"/>
  <c r="B7014" i="1" s="1"/>
  <c r="C7014" i="1"/>
  <c r="F7013" i="1"/>
  <c r="B7013" i="1" s="1"/>
  <c r="C7013" i="1"/>
  <c r="F7012" i="1"/>
  <c r="C7012" i="1"/>
  <c r="F7011" i="1"/>
  <c r="B7011" i="1" s="1"/>
  <c r="C7011" i="1"/>
  <c r="F7010" i="1"/>
  <c r="B7010" i="1" s="1"/>
  <c r="C7010" i="1"/>
  <c r="F7009" i="1"/>
  <c r="B7009" i="1" s="1"/>
  <c r="C7009" i="1"/>
  <c r="F7008" i="1"/>
  <c r="B7008" i="1" s="1"/>
  <c r="C7008" i="1"/>
  <c r="F7007" i="1"/>
  <c r="B7007" i="1" s="1"/>
  <c r="C7007" i="1"/>
  <c r="F7006" i="1"/>
  <c r="B7006" i="1" s="1"/>
  <c r="C7006" i="1"/>
  <c r="F7005" i="1"/>
  <c r="B7005" i="1" s="1"/>
  <c r="C7005" i="1"/>
  <c r="F7004" i="1"/>
  <c r="B7004" i="1" s="1"/>
  <c r="C7004" i="1"/>
  <c r="F7003" i="1"/>
  <c r="B7003" i="1" s="1"/>
  <c r="C7003" i="1"/>
  <c r="F7002" i="1"/>
  <c r="B7002" i="1" s="1"/>
  <c r="C7002" i="1"/>
  <c r="F7001" i="1"/>
  <c r="B7001" i="1" s="1"/>
  <c r="C7001" i="1"/>
  <c r="F7000" i="1"/>
  <c r="B7000" i="1" s="1"/>
  <c r="C7000" i="1"/>
  <c r="F6999" i="1"/>
  <c r="B6999" i="1" s="1"/>
  <c r="C6999" i="1"/>
  <c r="F6998" i="1"/>
  <c r="B6998" i="1" s="1"/>
  <c r="C6998" i="1"/>
  <c r="F6997" i="1"/>
  <c r="B6997" i="1" s="1"/>
  <c r="C6997" i="1"/>
  <c r="F6996" i="1"/>
  <c r="C6996" i="1"/>
  <c r="F6995" i="1"/>
  <c r="B6995" i="1" s="1"/>
  <c r="C6995" i="1"/>
  <c r="F6994" i="1"/>
  <c r="B6994" i="1" s="1"/>
  <c r="C6994" i="1"/>
  <c r="F6993" i="1"/>
  <c r="B6993" i="1" s="1"/>
  <c r="C6993" i="1"/>
  <c r="F6992" i="1"/>
  <c r="B6992" i="1" s="1"/>
  <c r="C6992" i="1"/>
  <c r="F6991" i="1"/>
  <c r="B6991" i="1" s="1"/>
  <c r="C6991" i="1"/>
  <c r="F6990" i="1"/>
  <c r="B6990" i="1" s="1"/>
  <c r="C6990" i="1"/>
  <c r="F6989" i="1"/>
  <c r="B6989" i="1" s="1"/>
  <c r="C6989" i="1"/>
  <c r="F6988" i="1"/>
  <c r="B6988" i="1" s="1"/>
  <c r="C6988" i="1"/>
  <c r="F6987" i="1"/>
  <c r="B6987" i="1" s="1"/>
  <c r="C6987" i="1"/>
  <c r="F6986" i="1"/>
  <c r="B6986" i="1" s="1"/>
  <c r="C6986" i="1"/>
  <c r="F6985" i="1"/>
  <c r="C6985" i="1"/>
  <c r="F6984" i="1"/>
  <c r="B6984" i="1" s="1"/>
  <c r="C6984" i="1"/>
  <c r="F6983" i="1"/>
  <c r="B6983" i="1" s="1"/>
  <c r="C6983" i="1"/>
  <c r="F6982" i="1"/>
  <c r="B6982" i="1" s="1"/>
  <c r="C6982" i="1"/>
  <c r="F6981" i="1"/>
  <c r="B6981" i="1" s="1"/>
  <c r="C6981" i="1"/>
  <c r="F6980" i="1"/>
  <c r="B6980" i="1" s="1"/>
  <c r="C6980" i="1"/>
  <c r="F6979" i="1"/>
  <c r="B6979" i="1" s="1"/>
  <c r="C6979" i="1"/>
  <c r="F6978" i="1"/>
  <c r="B6978" i="1" s="1"/>
  <c r="C6978" i="1"/>
  <c r="F6977" i="1"/>
  <c r="B6977" i="1" s="1"/>
  <c r="C6977" i="1"/>
  <c r="F6976" i="1"/>
  <c r="B6976" i="1" s="1"/>
  <c r="C6976" i="1"/>
  <c r="F6975" i="1"/>
  <c r="B6975" i="1" s="1"/>
  <c r="C6975" i="1"/>
  <c r="F6974" i="1"/>
  <c r="B6974" i="1" s="1"/>
  <c r="C6974" i="1"/>
  <c r="F6973" i="1"/>
  <c r="B6973" i="1" s="1"/>
  <c r="C6973" i="1"/>
  <c r="F6972" i="1"/>
  <c r="B6972" i="1" s="1"/>
  <c r="C6972" i="1"/>
  <c r="F6971" i="1"/>
  <c r="B6971" i="1" s="1"/>
  <c r="C6971" i="1"/>
  <c r="F6970" i="1"/>
  <c r="B6970" i="1" s="1"/>
  <c r="C6970" i="1"/>
  <c r="F6969" i="1"/>
  <c r="B6969" i="1" s="1"/>
  <c r="C6969" i="1"/>
  <c r="F6968" i="1"/>
  <c r="B6968" i="1" s="1"/>
  <c r="C6968" i="1"/>
  <c r="F6967" i="1"/>
  <c r="B6967" i="1" s="1"/>
  <c r="C6967" i="1"/>
  <c r="F6966" i="1"/>
  <c r="B6966" i="1" s="1"/>
  <c r="C6966" i="1"/>
  <c r="F6965" i="1"/>
  <c r="B6965" i="1" s="1"/>
  <c r="C6965" i="1"/>
  <c r="F6964" i="1"/>
  <c r="B6964" i="1" s="1"/>
  <c r="C6964" i="1"/>
  <c r="F6963" i="1"/>
  <c r="B6963" i="1" s="1"/>
  <c r="C6963" i="1"/>
  <c r="F6962" i="1"/>
  <c r="B6962" i="1" s="1"/>
  <c r="C6962" i="1"/>
  <c r="F6961" i="1"/>
  <c r="B6961" i="1" s="1"/>
  <c r="C6961" i="1"/>
  <c r="F6960" i="1"/>
  <c r="B6960" i="1" s="1"/>
  <c r="C6960" i="1"/>
  <c r="F6959" i="1"/>
  <c r="B6959" i="1" s="1"/>
  <c r="C6959" i="1"/>
  <c r="F6958" i="1"/>
  <c r="B6958" i="1" s="1"/>
  <c r="C6958" i="1"/>
  <c r="F6957" i="1"/>
  <c r="B6957" i="1" s="1"/>
  <c r="C6957" i="1"/>
  <c r="F6956" i="1"/>
  <c r="C6956" i="1"/>
  <c r="F6955" i="1"/>
  <c r="B6955" i="1" s="1"/>
  <c r="C6955" i="1"/>
  <c r="F6954" i="1"/>
  <c r="B6954" i="1" s="1"/>
  <c r="C6954" i="1"/>
  <c r="F6953" i="1"/>
  <c r="C6953" i="1"/>
  <c r="F6952" i="1"/>
  <c r="B6952" i="1" s="1"/>
  <c r="C6952" i="1"/>
  <c r="F6951" i="1"/>
  <c r="B6951" i="1" s="1"/>
  <c r="C6951" i="1"/>
  <c r="F6950" i="1"/>
  <c r="B6950" i="1" s="1"/>
  <c r="C6950" i="1"/>
  <c r="F6949" i="1"/>
  <c r="B6949" i="1" s="1"/>
  <c r="C6949" i="1"/>
  <c r="F6948" i="1"/>
  <c r="B6948" i="1" s="1"/>
  <c r="C6948" i="1"/>
  <c r="F6947" i="1"/>
  <c r="B6947" i="1" s="1"/>
  <c r="C6947" i="1"/>
  <c r="F6946" i="1"/>
  <c r="B6946" i="1" s="1"/>
  <c r="C6946" i="1"/>
  <c r="F6945" i="1"/>
  <c r="C6945" i="1"/>
  <c r="F6944" i="1"/>
  <c r="B6944" i="1" s="1"/>
  <c r="C6944" i="1"/>
  <c r="F6943" i="1"/>
  <c r="B6943" i="1" s="1"/>
  <c r="C6943" i="1"/>
  <c r="F6942" i="1"/>
  <c r="B6942" i="1" s="1"/>
  <c r="C6942" i="1"/>
  <c r="F6941" i="1"/>
  <c r="B6941" i="1" s="1"/>
  <c r="C6941" i="1"/>
  <c r="F6940" i="1"/>
  <c r="C6940" i="1"/>
  <c r="F6939" i="1"/>
  <c r="B6939" i="1" s="1"/>
  <c r="C6939" i="1"/>
  <c r="F6938" i="1"/>
  <c r="B6938" i="1" s="1"/>
  <c r="C6938" i="1"/>
  <c r="F6937" i="1"/>
  <c r="B6937" i="1" s="1"/>
  <c r="C6937" i="1"/>
  <c r="F6936" i="1"/>
  <c r="B6936" i="1" s="1"/>
  <c r="C6936" i="1"/>
  <c r="F6935" i="1"/>
  <c r="B6935" i="1" s="1"/>
  <c r="C6935" i="1"/>
  <c r="F6934" i="1"/>
  <c r="B6934" i="1" s="1"/>
  <c r="C6934" i="1"/>
  <c r="F6933" i="1"/>
  <c r="B6933" i="1" s="1"/>
  <c r="C6933" i="1"/>
  <c r="F6932" i="1"/>
  <c r="C6932" i="1"/>
  <c r="F6931" i="1"/>
  <c r="B6931" i="1" s="1"/>
  <c r="C6931" i="1"/>
  <c r="F6930" i="1"/>
  <c r="B6930" i="1" s="1"/>
  <c r="C6930" i="1"/>
  <c r="F6929" i="1"/>
  <c r="B6929" i="1" s="1"/>
  <c r="C6929" i="1"/>
  <c r="F6928" i="1"/>
  <c r="B6928" i="1" s="1"/>
  <c r="C6928" i="1"/>
  <c r="F6927" i="1"/>
  <c r="B6927" i="1" s="1"/>
  <c r="C6927" i="1"/>
  <c r="F6926" i="1"/>
  <c r="B6926" i="1" s="1"/>
  <c r="C6926" i="1"/>
  <c r="F6925" i="1"/>
  <c r="B6925" i="1" s="1"/>
  <c r="C6925" i="1"/>
  <c r="F6924" i="1"/>
  <c r="B6924" i="1" s="1"/>
  <c r="C6924" i="1"/>
  <c r="F6923" i="1"/>
  <c r="B6923" i="1" s="1"/>
  <c r="C6923" i="1"/>
  <c r="F6922" i="1"/>
  <c r="B6922" i="1" s="1"/>
  <c r="C6922" i="1"/>
  <c r="F6921" i="1"/>
  <c r="B6921" i="1" s="1"/>
  <c r="C6921" i="1"/>
  <c r="F6920" i="1"/>
  <c r="B6920" i="1" s="1"/>
  <c r="C6920" i="1"/>
  <c r="F6919" i="1"/>
  <c r="B6919" i="1" s="1"/>
  <c r="C6919" i="1"/>
  <c r="F6918" i="1"/>
  <c r="B6918" i="1" s="1"/>
  <c r="C6918" i="1"/>
  <c r="F6917" i="1"/>
  <c r="B6917" i="1" s="1"/>
  <c r="C6917" i="1"/>
  <c r="F6916" i="1"/>
  <c r="B6916" i="1" s="1"/>
  <c r="C6916" i="1"/>
  <c r="F6915" i="1"/>
  <c r="B6915" i="1" s="1"/>
  <c r="C6915" i="1"/>
  <c r="F6914" i="1"/>
  <c r="B6914" i="1" s="1"/>
  <c r="C6914" i="1"/>
  <c r="F6913" i="1"/>
  <c r="C6913" i="1"/>
  <c r="F6912" i="1"/>
  <c r="B6912" i="1" s="1"/>
  <c r="C6912" i="1"/>
  <c r="F6911" i="1"/>
  <c r="B6911" i="1" s="1"/>
  <c r="C6911" i="1"/>
  <c r="F6910" i="1"/>
  <c r="B6910" i="1" s="1"/>
  <c r="C6910" i="1"/>
  <c r="F6909" i="1"/>
  <c r="B6909" i="1" s="1"/>
  <c r="C6909" i="1"/>
  <c r="F6908" i="1"/>
  <c r="C6908" i="1"/>
  <c r="F6907" i="1"/>
  <c r="B6907" i="1" s="1"/>
  <c r="C6907" i="1"/>
  <c r="F6906" i="1"/>
  <c r="B6906" i="1" s="1"/>
  <c r="C6906" i="1"/>
  <c r="F6905" i="1"/>
  <c r="B6905" i="1" s="1"/>
  <c r="C6905" i="1"/>
  <c r="F6904" i="1"/>
  <c r="B6904" i="1" s="1"/>
  <c r="C6904" i="1"/>
  <c r="F6903" i="1"/>
  <c r="B6903" i="1" s="1"/>
  <c r="C6903" i="1"/>
  <c r="F6902" i="1"/>
  <c r="B6902" i="1" s="1"/>
  <c r="C6902" i="1"/>
  <c r="F6901" i="1"/>
  <c r="B6901" i="1" s="1"/>
  <c r="C6901" i="1"/>
  <c r="F6900" i="1"/>
  <c r="B6900" i="1" s="1"/>
  <c r="C6900" i="1"/>
  <c r="F6899" i="1"/>
  <c r="B6899" i="1" s="1"/>
  <c r="C6899" i="1"/>
  <c r="F6898" i="1"/>
  <c r="B6898" i="1" s="1"/>
  <c r="C6898" i="1"/>
  <c r="F6897" i="1"/>
  <c r="C6897" i="1"/>
  <c r="F6896" i="1"/>
  <c r="B6896" i="1" s="1"/>
  <c r="C6896" i="1"/>
  <c r="F6895" i="1"/>
  <c r="B6895" i="1" s="1"/>
  <c r="C6895" i="1"/>
  <c r="F6894" i="1"/>
  <c r="B6894" i="1" s="1"/>
  <c r="C6894" i="1"/>
  <c r="F6893" i="1"/>
  <c r="B6893" i="1" s="1"/>
  <c r="C6893" i="1"/>
  <c r="F6892" i="1"/>
  <c r="B6892" i="1" s="1"/>
  <c r="C6892" i="1"/>
  <c r="F6891" i="1"/>
  <c r="B6891" i="1" s="1"/>
  <c r="C6891" i="1"/>
  <c r="F6890" i="1"/>
  <c r="B6890" i="1" s="1"/>
  <c r="C6890" i="1"/>
  <c r="F6889" i="1"/>
  <c r="B6889" i="1" s="1"/>
  <c r="C6889" i="1"/>
  <c r="F6888" i="1"/>
  <c r="B6888" i="1" s="1"/>
  <c r="C6888" i="1"/>
  <c r="F6887" i="1"/>
  <c r="B6887" i="1" s="1"/>
  <c r="C6887" i="1"/>
  <c r="F6886" i="1"/>
  <c r="B6886" i="1" s="1"/>
  <c r="C6886" i="1"/>
  <c r="F6885" i="1"/>
  <c r="B6885" i="1" s="1"/>
  <c r="C6885" i="1"/>
  <c r="F6884" i="1"/>
  <c r="B6884" i="1" s="1"/>
  <c r="C6884" i="1"/>
  <c r="F6883" i="1"/>
  <c r="B6883" i="1" s="1"/>
  <c r="C6883" i="1"/>
  <c r="F6882" i="1"/>
  <c r="B6882" i="1" s="1"/>
  <c r="C6882" i="1"/>
  <c r="F6881" i="1"/>
  <c r="B6881" i="1" s="1"/>
  <c r="C6881" i="1"/>
  <c r="F6880" i="1"/>
  <c r="B6880" i="1" s="1"/>
  <c r="C6880" i="1"/>
  <c r="F6879" i="1"/>
  <c r="B6879" i="1" s="1"/>
  <c r="C6879" i="1"/>
  <c r="F6878" i="1"/>
  <c r="B6878" i="1" s="1"/>
  <c r="C6878" i="1"/>
  <c r="F6877" i="1"/>
  <c r="B6877" i="1" s="1"/>
  <c r="C6877" i="1"/>
  <c r="F6876" i="1"/>
  <c r="B6876" i="1" s="1"/>
  <c r="C6876" i="1"/>
  <c r="F6875" i="1"/>
  <c r="B6875" i="1" s="1"/>
  <c r="C6875" i="1"/>
  <c r="F6874" i="1"/>
  <c r="B6874" i="1" s="1"/>
  <c r="C6874" i="1"/>
  <c r="F6873" i="1"/>
  <c r="B6873" i="1" s="1"/>
  <c r="C6873" i="1"/>
  <c r="F6872" i="1"/>
  <c r="B6872" i="1" s="1"/>
  <c r="C6872" i="1"/>
  <c r="F6871" i="1"/>
  <c r="B6871" i="1" s="1"/>
  <c r="C6871" i="1"/>
  <c r="F6870" i="1"/>
  <c r="B6870" i="1" s="1"/>
  <c r="C6870" i="1"/>
  <c r="F6869" i="1"/>
  <c r="B6869" i="1" s="1"/>
  <c r="C6869" i="1"/>
  <c r="F6868" i="1"/>
  <c r="B6868" i="1" s="1"/>
  <c r="C6868" i="1"/>
  <c r="F6867" i="1"/>
  <c r="B6867" i="1" s="1"/>
  <c r="C6867" i="1"/>
  <c r="F6866" i="1"/>
  <c r="B6866" i="1" s="1"/>
  <c r="C6866" i="1"/>
  <c r="F6865" i="1"/>
  <c r="C6865" i="1"/>
  <c r="F6864" i="1"/>
  <c r="B6864" i="1" s="1"/>
  <c r="C6864" i="1"/>
  <c r="F6863" i="1"/>
  <c r="B6863" i="1" s="1"/>
  <c r="C6863" i="1"/>
  <c r="F6862" i="1"/>
  <c r="B6862" i="1" s="1"/>
  <c r="C6862" i="1"/>
  <c r="F6861" i="1"/>
  <c r="B6861" i="1" s="1"/>
  <c r="C6861" i="1"/>
  <c r="F6860" i="1"/>
  <c r="B6860" i="1" s="1"/>
  <c r="C6860" i="1"/>
  <c r="F6859" i="1"/>
  <c r="B6859" i="1" s="1"/>
  <c r="C6859" i="1"/>
  <c r="F6858" i="1"/>
  <c r="B6858" i="1" s="1"/>
  <c r="C6858" i="1"/>
  <c r="F6857" i="1"/>
  <c r="B6857" i="1" s="1"/>
  <c r="C6857" i="1"/>
  <c r="F6856" i="1"/>
  <c r="B6856" i="1" s="1"/>
  <c r="C6856" i="1"/>
  <c r="F6855" i="1"/>
  <c r="B6855" i="1" s="1"/>
  <c r="C6855" i="1"/>
  <c r="F6854" i="1"/>
  <c r="B6854" i="1" s="1"/>
  <c r="C6854" i="1"/>
  <c r="F6853" i="1"/>
  <c r="B6853" i="1" s="1"/>
  <c r="C6853" i="1"/>
  <c r="F6852" i="1"/>
  <c r="C6852" i="1"/>
  <c r="F6851" i="1"/>
  <c r="B6851" i="1" s="1"/>
  <c r="C6851" i="1"/>
  <c r="F6850" i="1"/>
  <c r="B6850" i="1" s="1"/>
  <c r="C6850" i="1"/>
  <c r="F6849" i="1"/>
  <c r="B6849" i="1" s="1"/>
  <c r="C6849" i="1"/>
  <c r="F6848" i="1"/>
  <c r="B6848" i="1" s="1"/>
  <c r="C6848" i="1"/>
  <c r="F6847" i="1"/>
  <c r="B6847" i="1" s="1"/>
  <c r="C6847" i="1"/>
  <c r="F6846" i="1"/>
  <c r="B6846" i="1" s="1"/>
  <c r="C6846" i="1"/>
  <c r="F6845" i="1"/>
  <c r="B6845" i="1" s="1"/>
  <c r="C6845" i="1"/>
  <c r="F6844" i="1"/>
  <c r="B6844" i="1" s="1"/>
  <c r="C6844" i="1"/>
  <c r="F6843" i="1"/>
  <c r="B6843" i="1" s="1"/>
  <c r="C6843" i="1"/>
  <c r="F6842" i="1"/>
  <c r="B6842" i="1" s="1"/>
  <c r="C6842" i="1"/>
  <c r="F6841" i="1"/>
  <c r="B6841" i="1" s="1"/>
  <c r="C6841" i="1"/>
  <c r="F6840" i="1"/>
  <c r="B6840" i="1" s="1"/>
  <c r="C6840" i="1"/>
  <c r="F6839" i="1"/>
  <c r="B6839" i="1" s="1"/>
  <c r="C6839" i="1"/>
  <c r="F6838" i="1"/>
  <c r="B6838" i="1" s="1"/>
  <c r="C6838" i="1"/>
  <c r="F6837" i="1"/>
  <c r="B6837" i="1" s="1"/>
  <c r="C6837" i="1"/>
  <c r="F6836" i="1"/>
  <c r="C6836" i="1"/>
  <c r="F6835" i="1"/>
  <c r="B6835" i="1" s="1"/>
  <c r="C6835" i="1"/>
  <c r="F6834" i="1"/>
  <c r="B6834" i="1" s="1"/>
  <c r="C6834" i="1"/>
  <c r="F6833" i="1"/>
  <c r="B6833" i="1" s="1"/>
  <c r="C6833" i="1"/>
  <c r="F6832" i="1"/>
  <c r="B6832" i="1" s="1"/>
  <c r="C6832" i="1"/>
  <c r="F6831" i="1"/>
  <c r="B6831" i="1" s="1"/>
  <c r="C6831" i="1"/>
  <c r="F6830" i="1"/>
  <c r="B6830" i="1" s="1"/>
  <c r="C6830" i="1"/>
  <c r="F6829" i="1"/>
  <c r="B6829" i="1" s="1"/>
  <c r="C6829" i="1"/>
  <c r="F6828" i="1"/>
  <c r="B6828" i="1" s="1"/>
  <c r="C6828" i="1"/>
  <c r="F6827" i="1"/>
  <c r="B6827" i="1" s="1"/>
  <c r="C6827" i="1"/>
  <c r="F6826" i="1"/>
  <c r="B6826" i="1" s="1"/>
  <c r="C6826" i="1"/>
  <c r="F6825" i="1"/>
  <c r="B6825" i="1" s="1"/>
  <c r="C6825" i="1"/>
  <c r="F6824" i="1"/>
  <c r="B6824" i="1" s="1"/>
  <c r="C6824" i="1"/>
  <c r="F6823" i="1"/>
  <c r="B6823" i="1" s="1"/>
  <c r="C6823" i="1"/>
  <c r="F6822" i="1"/>
  <c r="B6822" i="1" s="1"/>
  <c r="C6822" i="1"/>
  <c r="F6821" i="1"/>
  <c r="B6821" i="1" s="1"/>
  <c r="C6821" i="1"/>
  <c r="F6820" i="1"/>
  <c r="B6820" i="1" s="1"/>
  <c r="C6820" i="1"/>
  <c r="F6819" i="1"/>
  <c r="B6819" i="1" s="1"/>
  <c r="C6819" i="1"/>
  <c r="F6818" i="1"/>
  <c r="B6818" i="1" s="1"/>
  <c r="C6818" i="1"/>
  <c r="F6817" i="1"/>
  <c r="B6817" i="1" s="1"/>
  <c r="C6817" i="1"/>
  <c r="F6816" i="1"/>
  <c r="B6816" i="1" s="1"/>
  <c r="C6816" i="1"/>
  <c r="F6815" i="1"/>
  <c r="B6815" i="1" s="1"/>
  <c r="C6815" i="1"/>
  <c r="F6814" i="1"/>
  <c r="B6814" i="1" s="1"/>
  <c r="C6814" i="1"/>
  <c r="F6813" i="1"/>
  <c r="B6813" i="1" s="1"/>
  <c r="C6813" i="1"/>
  <c r="F6812" i="1"/>
  <c r="B6812" i="1" s="1"/>
  <c r="C6812" i="1"/>
  <c r="F6811" i="1"/>
  <c r="B6811" i="1" s="1"/>
  <c r="C6811" i="1"/>
  <c r="F6810" i="1"/>
  <c r="B6810" i="1" s="1"/>
  <c r="C6810" i="1"/>
  <c r="F6809" i="1"/>
  <c r="B6809" i="1" s="1"/>
  <c r="C6809" i="1"/>
  <c r="F6808" i="1"/>
  <c r="B6808" i="1" s="1"/>
  <c r="C6808" i="1"/>
  <c r="F6807" i="1"/>
  <c r="B6807" i="1" s="1"/>
  <c r="C6807" i="1"/>
  <c r="F6806" i="1"/>
  <c r="B6806" i="1" s="1"/>
  <c r="C6806" i="1"/>
  <c r="F6805" i="1"/>
  <c r="B6805" i="1" s="1"/>
  <c r="C6805" i="1"/>
  <c r="F6804" i="1"/>
  <c r="B6804" i="1" s="1"/>
  <c r="C6804" i="1"/>
  <c r="F6803" i="1"/>
  <c r="B6803" i="1" s="1"/>
  <c r="C6803" i="1"/>
  <c r="F6802" i="1"/>
  <c r="B6802" i="1" s="1"/>
  <c r="C6802" i="1"/>
  <c r="F6801" i="1"/>
  <c r="B6801" i="1" s="1"/>
  <c r="C6801" i="1"/>
  <c r="F6800" i="1"/>
  <c r="B6800" i="1" s="1"/>
  <c r="C6800" i="1"/>
  <c r="F6799" i="1"/>
  <c r="B6799" i="1" s="1"/>
  <c r="C6799" i="1"/>
  <c r="F6798" i="1"/>
  <c r="B6798" i="1" s="1"/>
  <c r="C6798" i="1"/>
  <c r="F6797" i="1"/>
  <c r="B6797" i="1" s="1"/>
  <c r="C6797" i="1"/>
  <c r="F6796" i="1"/>
  <c r="B6796" i="1" s="1"/>
  <c r="C6796" i="1"/>
  <c r="F6795" i="1"/>
  <c r="B6795" i="1" s="1"/>
  <c r="C6795" i="1"/>
  <c r="F6794" i="1"/>
  <c r="B6794" i="1" s="1"/>
  <c r="C6794" i="1"/>
  <c r="F6793" i="1"/>
  <c r="B6793" i="1" s="1"/>
  <c r="C6793" i="1"/>
  <c r="F6792" i="1"/>
  <c r="B6792" i="1" s="1"/>
  <c r="C6792" i="1"/>
  <c r="F6791" i="1"/>
  <c r="B6791" i="1" s="1"/>
  <c r="C6791" i="1"/>
  <c r="F6790" i="1"/>
  <c r="B6790" i="1" s="1"/>
  <c r="C6790" i="1"/>
  <c r="F6789" i="1"/>
  <c r="B6789" i="1" s="1"/>
  <c r="C6789" i="1"/>
  <c r="F6788" i="1"/>
  <c r="B6788" i="1" s="1"/>
  <c r="C6788" i="1"/>
  <c r="F6787" i="1"/>
  <c r="B6787" i="1" s="1"/>
  <c r="C6787" i="1"/>
  <c r="F6786" i="1"/>
  <c r="B6786" i="1" s="1"/>
  <c r="C6786" i="1"/>
  <c r="F6785" i="1"/>
  <c r="C6785" i="1"/>
  <c r="F6784" i="1"/>
  <c r="B6784" i="1" s="1"/>
  <c r="C6784" i="1"/>
  <c r="F6783" i="1"/>
  <c r="B6783" i="1" s="1"/>
  <c r="C6783" i="1"/>
  <c r="F6782" i="1"/>
  <c r="B6782" i="1" s="1"/>
  <c r="C6782" i="1"/>
  <c r="F6781" i="1"/>
  <c r="B6781" i="1" s="1"/>
  <c r="C6781" i="1"/>
  <c r="F6780" i="1"/>
  <c r="B6780" i="1" s="1"/>
  <c r="C6780" i="1"/>
  <c r="F6779" i="1"/>
  <c r="B6779" i="1" s="1"/>
  <c r="C6779" i="1"/>
  <c r="F6778" i="1"/>
  <c r="B6778" i="1" s="1"/>
  <c r="C6778" i="1"/>
  <c r="F6777" i="1"/>
  <c r="B6777" i="1" s="1"/>
  <c r="C6777" i="1"/>
  <c r="F6776" i="1"/>
  <c r="B6776" i="1" s="1"/>
  <c r="C6776" i="1"/>
  <c r="F6775" i="1"/>
  <c r="B6775" i="1" s="1"/>
  <c r="C6775" i="1"/>
  <c r="F6774" i="1"/>
  <c r="B6774" i="1" s="1"/>
  <c r="C6774" i="1"/>
  <c r="F6773" i="1"/>
  <c r="B6773" i="1" s="1"/>
  <c r="C6773" i="1"/>
  <c r="F6772" i="1"/>
  <c r="B6772" i="1" s="1"/>
  <c r="C6772" i="1"/>
  <c r="F6771" i="1"/>
  <c r="B6771" i="1" s="1"/>
  <c r="C6771" i="1"/>
  <c r="F6770" i="1"/>
  <c r="B6770" i="1" s="1"/>
  <c r="C6770" i="1"/>
  <c r="F6769" i="1"/>
  <c r="B6769" i="1" s="1"/>
  <c r="C6769" i="1"/>
  <c r="F6768" i="1"/>
  <c r="B6768" i="1" s="1"/>
  <c r="C6768" i="1"/>
  <c r="F6767" i="1"/>
  <c r="B6767" i="1" s="1"/>
  <c r="C6767" i="1"/>
  <c r="F6766" i="1"/>
  <c r="B6766" i="1" s="1"/>
  <c r="C6766" i="1"/>
  <c r="F6765" i="1"/>
  <c r="B6765" i="1" s="1"/>
  <c r="C6765" i="1"/>
  <c r="F6764" i="1"/>
  <c r="B6764" i="1" s="1"/>
  <c r="C6764" i="1"/>
  <c r="F6763" i="1"/>
  <c r="B6763" i="1" s="1"/>
  <c r="C6763" i="1"/>
  <c r="F6762" i="1"/>
  <c r="B6762" i="1" s="1"/>
  <c r="C6762" i="1"/>
  <c r="F6761" i="1"/>
  <c r="C6761" i="1"/>
  <c r="F6760" i="1"/>
  <c r="B6760" i="1" s="1"/>
  <c r="C6760" i="1"/>
  <c r="F6759" i="1"/>
  <c r="B6759" i="1" s="1"/>
  <c r="C6759" i="1"/>
  <c r="F6758" i="1"/>
  <c r="B6758" i="1" s="1"/>
  <c r="C6758" i="1"/>
  <c r="F6757" i="1"/>
  <c r="B6757" i="1" s="1"/>
  <c r="C6757" i="1"/>
  <c r="F6756" i="1"/>
  <c r="B6756" i="1" s="1"/>
  <c r="C6756" i="1"/>
  <c r="F6755" i="1"/>
  <c r="B6755" i="1" s="1"/>
  <c r="C6755" i="1"/>
  <c r="F6754" i="1"/>
  <c r="B6754" i="1" s="1"/>
  <c r="C6754" i="1"/>
  <c r="F6753" i="1"/>
  <c r="B6753" i="1" s="1"/>
  <c r="C6753" i="1"/>
  <c r="F6752" i="1"/>
  <c r="B6752" i="1" s="1"/>
  <c r="C6752" i="1"/>
  <c r="F6751" i="1"/>
  <c r="B6751" i="1" s="1"/>
  <c r="C6751" i="1"/>
  <c r="F6750" i="1"/>
  <c r="B6750" i="1" s="1"/>
  <c r="C6750" i="1"/>
  <c r="F6749" i="1"/>
  <c r="B6749" i="1" s="1"/>
  <c r="C6749" i="1"/>
  <c r="F6748" i="1"/>
  <c r="B6748" i="1" s="1"/>
  <c r="C6748" i="1"/>
  <c r="F6747" i="1"/>
  <c r="B6747" i="1" s="1"/>
  <c r="C6747" i="1"/>
  <c r="F6746" i="1"/>
  <c r="B6746" i="1" s="1"/>
  <c r="C6746" i="1"/>
  <c r="F6745" i="1"/>
  <c r="B6745" i="1" s="1"/>
  <c r="C6745" i="1"/>
  <c r="F6744" i="1"/>
  <c r="B6744" i="1" s="1"/>
  <c r="C6744" i="1"/>
  <c r="F6743" i="1"/>
  <c r="C6743" i="1"/>
  <c r="F6742" i="1"/>
  <c r="C6742" i="1"/>
  <c r="F6741" i="1"/>
  <c r="B6741" i="1" s="1"/>
  <c r="C6741" i="1"/>
  <c r="F6740" i="1"/>
  <c r="C6740" i="1"/>
  <c r="F6739" i="1"/>
  <c r="B6739" i="1" s="1"/>
  <c r="C6739" i="1"/>
  <c r="F6738" i="1"/>
  <c r="B6738" i="1" s="1"/>
  <c r="C6738" i="1"/>
  <c r="F6737" i="1"/>
  <c r="B6737" i="1" s="1"/>
  <c r="C6737" i="1"/>
  <c r="F6736" i="1"/>
  <c r="B6736" i="1" s="1"/>
  <c r="C6736" i="1"/>
  <c r="F6735" i="1"/>
  <c r="B6735" i="1" s="1"/>
  <c r="C6735" i="1"/>
  <c r="F6734" i="1"/>
  <c r="B6734" i="1" s="1"/>
  <c r="C6734" i="1"/>
  <c r="F6733" i="1"/>
  <c r="B6733" i="1" s="1"/>
  <c r="C6733" i="1"/>
  <c r="F6732" i="1"/>
  <c r="B6732" i="1" s="1"/>
  <c r="C6732" i="1"/>
  <c r="F6731" i="1"/>
  <c r="B6731" i="1" s="1"/>
  <c r="C6731" i="1"/>
  <c r="F6730" i="1"/>
  <c r="B6730" i="1" s="1"/>
  <c r="C6730" i="1"/>
  <c r="F6729" i="1"/>
  <c r="B6729" i="1" s="1"/>
  <c r="C6729" i="1"/>
  <c r="F6728" i="1"/>
  <c r="B6728" i="1" s="1"/>
  <c r="C6728" i="1"/>
  <c r="F6727" i="1"/>
  <c r="B6727" i="1" s="1"/>
  <c r="C6727" i="1"/>
  <c r="F6726" i="1"/>
  <c r="B6726" i="1" s="1"/>
  <c r="C6726" i="1"/>
  <c r="F6725" i="1"/>
  <c r="B6725" i="1" s="1"/>
  <c r="C6725" i="1"/>
  <c r="F6724" i="1"/>
  <c r="B6724" i="1" s="1"/>
  <c r="C6724" i="1"/>
  <c r="F6723" i="1"/>
  <c r="B6723" i="1" s="1"/>
  <c r="C6723" i="1"/>
  <c r="F6722" i="1"/>
  <c r="B6722" i="1" s="1"/>
  <c r="C6722" i="1"/>
  <c r="F6721" i="1"/>
  <c r="B6721" i="1" s="1"/>
  <c r="C6721" i="1"/>
  <c r="F6720" i="1"/>
  <c r="B6720" i="1" s="1"/>
  <c r="C6720" i="1"/>
  <c r="F6719" i="1"/>
  <c r="C6719" i="1"/>
  <c r="F6718" i="1"/>
  <c r="B6718" i="1" s="1"/>
  <c r="C6718" i="1"/>
  <c r="F6717" i="1"/>
  <c r="B6717" i="1" s="1"/>
  <c r="C6717" i="1"/>
  <c r="F6716" i="1"/>
  <c r="B6716" i="1" s="1"/>
  <c r="C6716" i="1"/>
  <c r="F6715" i="1"/>
  <c r="B6715" i="1" s="1"/>
  <c r="C6715" i="1"/>
  <c r="F6714" i="1"/>
  <c r="B6714" i="1" s="1"/>
  <c r="C6714" i="1"/>
  <c r="F6713" i="1"/>
  <c r="B6713" i="1" s="1"/>
  <c r="C6713" i="1"/>
  <c r="F6712" i="1"/>
  <c r="B6712" i="1" s="1"/>
  <c r="C6712" i="1"/>
  <c r="F6711" i="1"/>
  <c r="B6711" i="1" s="1"/>
  <c r="C6711" i="1"/>
  <c r="F6710" i="1"/>
  <c r="B6710" i="1" s="1"/>
  <c r="C6710" i="1"/>
  <c r="F6709" i="1"/>
  <c r="B6709" i="1" s="1"/>
  <c r="C6709" i="1"/>
  <c r="F6708" i="1"/>
  <c r="B6708" i="1" s="1"/>
  <c r="C6708" i="1"/>
  <c r="F6707" i="1"/>
  <c r="B6707" i="1" s="1"/>
  <c r="C6707" i="1"/>
  <c r="F6706" i="1"/>
  <c r="B6706" i="1" s="1"/>
  <c r="C6706" i="1"/>
  <c r="F6705" i="1"/>
  <c r="B6705" i="1" s="1"/>
  <c r="C6705" i="1"/>
  <c r="F6704" i="1"/>
  <c r="B6704" i="1" s="1"/>
  <c r="C6704" i="1"/>
  <c r="F6703" i="1"/>
  <c r="B6703" i="1" s="1"/>
  <c r="C6703" i="1"/>
  <c r="F6702" i="1"/>
  <c r="B6702" i="1" s="1"/>
  <c r="C6702" i="1"/>
  <c r="F6701" i="1"/>
  <c r="B6701" i="1" s="1"/>
  <c r="C6701" i="1"/>
  <c r="F6700" i="1"/>
  <c r="B6700" i="1" s="1"/>
  <c r="C6700" i="1"/>
  <c r="F6699" i="1"/>
  <c r="B6699" i="1" s="1"/>
  <c r="C6699" i="1"/>
  <c r="F6698" i="1"/>
  <c r="B6698" i="1" s="1"/>
  <c r="C6698" i="1"/>
  <c r="F6697" i="1"/>
  <c r="B6697" i="1" s="1"/>
  <c r="C6697" i="1"/>
  <c r="F6696" i="1"/>
  <c r="B6696" i="1" s="1"/>
  <c r="C6696" i="1"/>
  <c r="F6695" i="1"/>
  <c r="B6695" i="1" s="1"/>
  <c r="C6695" i="1"/>
  <c r="F6694" i="1"/>
  <c r="B6694" i="1" s="1"/>
  <c r="C6694" i="1"/>
  <c r="F6693" i="1"/>
  <c r="B6693" i="1" s="1"/>
  <c r="C6693" i="1"/>
  <c r="F6692" i="1"/>
  <c r="B6692" i="1" s="1"/>
  <c r="C6692" i="1"/>
  <c r="F6691" i="1"/>
  <c r="B6691" i="1" s="1"/>
  <c r="C6691" i="1"/>
  <c r="F6690" i="1"/>
  <c r="B6690" i="1" s="1"/>
  <c r="C6690" i="1"/>
  <c r="F6689" i="1"/>
  <c r="B6689" i="1" s="1"/>
  <c r="C6689" i="1"/>
  <c r="F6688" i="1"/>
  <c r="B6688" i="1" s="1"/>
  <c r="C6688" i="1"/>
  <c r="F6687" i="1"/>
  <c r="B6687" i="1" s="1"/>
  <c r="C6687" i="1"/>
  <c r="F6686" i="1"/>
  <c r="C6686" i="1"/>
  <c r="F6685" i="1"/>
  <c r="B6685" i="1" s="1"/>
  <c r="C6685" i="1"/>
  <c r="F6684" i="1"/>
  <c r="B6684" i="1" s="1"/>
  <c r="C6684" i="1"/>
  <c r="F6683" i="1"/>
  <c r="B6683" i="1" s="1"/>
  <c r="C6683" i="1"/>
  <c r="F6682" i="1"/>
  <c r="B6682" i="1" s="1"/>
  <c r="C6682" i="1"/>
  <c r="F6681" i="1"/>
  <c r="B6681" i="1" s="1"/>
  <c r="C6681" i="1"/>
  <c r="F6680" i="1"/>
  <c r="B6680" i="1" s="1"/>
  <c r="C6680" i="1"/>
  <c r="F6679" i="1"/>
  <c r="C6679" i="1"/>
  <c r="F6678" i="1"/>
  <c r="C6678" i="1"/>
  <c r="F6677" i="1"/>
  <c r="B6677" i="1" s="1"/>
  <c r="C6677" i="1"/>
  <c r="F6676" i="1"/>
  <c r="C6676" i="1"/>
  <c r="F6675" i="1"/>
  <c r="B6675" i="1" s="1"/>
  <c r="C6675" i="1"/>
  <c r="F6674" i="1"/>
  <c r="B6674" i="1" s="1"/>
  <c r="C6674" i="1"/>
  <c r="F6673" i="1"/>
  <c r="B6673" i="1" s="1"/>
  <c r="C6673" i="1"/>
  <c r="F6672" i="1"/>
  <c r="B6672" i="1" s="1"/>
  <c r="C6672" i="1"/>
  <c r="F6671" i="1"/>
  <c r="B6671" i="1" s="1"/>
  <c r="C6671" i="1"/>
  <c r="F6670" i="1"/>
  <c r="B6670" i="1" s="1"/>
  <c r="C6670" i="1"/>
  <c r="F6669" i="1"/>
  <c r="B6669" i="1" s="1"/>
  <c r="C6669" i="1"/>
  <c r="F6668" i="1"/>
  <c r="B6668" i="1" s="1"/>
  <c r="C6668" i="1"/>
  <c r="F6667" i="1"/>
  <c r="B6667" i="1" s="1"/>
  <c r="C6667" i="1"/>
  <c r="F6666" i="1"/>
  <c r="B6666" i="1" s="1"/>
  <c r="C6666" i="1"/>
  <c r="F6665" i="1"/>
  <c r="B6665" i="1" s="1"/>
  <c r="C6665" i="1"/>
  <c r="F6664" i="1"/>
  <c r="B6664" i="1" s="1"/>
  <c r="C6664" i="1"/>
  <c r="F6663" i="1"/>
  <c r="B6663" i="1" s="1"/>
  <c r="C6663" i="1"/>
  <c r="F6662" i="1"/>
  <c r="B6662" i="1" s="1"/>
  <c r="C6662" i="1"/>
  <c r="F6661" i="1"/>
  <c r="B6661" i="1" s="1"/>
  <c r="C6661" i="1"/>
  <c r="F6660" i="1"/>
  <c r="B6660" i="1" s="1"/>
  <c r="C6660" i="1"/>
  <c r="F6659" i="1"/>
  <c r="B6659" i="1" s="1"/>
  <c r="C6659" i="1"/>
  <c r="F6658" i="1"/>
  <c r="B6658" i="1" s="1"/>
  <c r="C6658" i="1"/>
  <c r="F6657" i="1"/>
  <c r="B6657" i="1" s="1"/>
  <c r="C6657" i="1"/>
  <c r="F6656" i="1"/>
  <c r="B6656" i="1" s="1"/>
  <c r="C6656" i="1"/>
  <c r="F6655" i="1"/>
  <c r="B6655" i="1" s="1"/>
  <c r="C6655" i="1"/>
  <c r="F6654" i="1"/>
  <c r="B6654" i="1" s="1"/>
  <c r="C6654" i="1"/>
  <c r="F6653" i="1"/>
  <c r="B6653" i="1" s="1"/>
  <c r="C6653" i="1"/>
  <c r="F6652" i="1"/>
  <c r="B6652" i="1" s="1"/>
  <c r="C6652" i="1"/>
  <c r="F6651" i="1"/>
  <c r="B6651" i="1" s="1"/>
  <c r="C6651" i="1"/>
  <c r="F6650" i="1"/>
  <c r="B6650" i="1" s="1"/>
  <c r="C6650" i="1"/>
  <c r="F6649" i="1"/>
  <c r="B6649" i="1" s="1"/>
  <c r="C6649" i="1"/>
  <c r="F6648" i="1"/>
  <c r="B6648" i="1" s="1"/>
  <c r="C6648" i="1"/>
  <c r="F6647" i="1"/>
  <c r="B6647" i="1" s="1"/>
  <c r="C6647" i="1"/>
  <c r="F6646" i="1"/>
  <c r="C6646" i="1"/>
  <c r="F6645" i="1"/>
  <c r="B6645" i="1" s="1"/>
  <c r="C6645" i="1"/>
  <c r="F6644" i="1"/>
  <c r="C6644" i="1"/>
  <c r="F6643" i="1"/>
  <c r="B6643" i="1" s="1"/>
  <c r="C6643" i="1"/>
  <c r="F6642" i="1"/>
  <c r="B6642" i="1" s="1"/>
  <c r="C6642" i="1"/>
  <c r="F6641" i="1"/>
  <c r="B6641" i="1" s="1"/>
  <c r="C6641" i="1"/>
  <c r="F6640" i="1"/>
  <c r="B6640" i="1" s="1"/>
  <c r="C6640" i="1"/>
  <c r="F6639" i="1"/>
  <c r="B6639" i="1" s="1"/>
  <c r="C6639" i="1"/>
  <c r="F6638" i="1"/>
  <c r="B6638" i="1" s="1"/>
  <c r="C6638" i="1"/>
  <c r="F6637" i="1"/>
  <c r="B6637" i="1" s="1"/>
  <c r="C6637" i="1"/>
  <c r="F6636" i="1"/>
  <c r="B6636" i="1" s="1"/>
  <c r="C6636" i="1"/>
  <c r="F6635" i="1"/>
  <c r="B6635" i="1" s="1"/>
  <c r="C6635" i="1"/>
  <c r="F6634" i="1"/>
  <c r="B6634" i="1" s="1"/>
  <c r="C6634" i="1"/>
  <c r="F6633" i="1"/>
  <c r="B6633" i="1" s="1"/>
  <c r="C6633" i="1"/>
  <c r="F6632" i="1"/>
  <c r="B6632" i="1" s="1"/>
  <c r="C6632" i="1"/>
  <c r="F6631" i="1"/>
  <c r="B6631" i="1" s="1"/>
  <c r="C6631" i="1"/>
  <c r="F6630" i="1"/>
  <c r="B6630" i="1" s="1"/>
  <c r="C6630" i="1"/>
  <c r="F6629" i="1"/>
  <c r="B6629" i="1" s="1"/>
  <c r="C6629" i="1"/>
  <c r="F6628" i="1"/>
  <c r="B6628" i="1" s="1"/>
  <c r="C6628" i="1"/>
  <c r="F6627" i="1"/>
  <c r="B6627" i="1" s="1"/>
  <c r="C6627" i="1"/>
  <c r="F6626" i="1"/>
  <c r="B6626" i="1" s="1"/>
  <c r="C6626" i="1"/>
  <c r="F6625" i="1"/>
  <c r="B6625" i="1" s="1"/>
  <c r="C6625" i="1"/>
  <c r="F6624" i="1"/>
  <c r="B6624" i="1" s="1"/>
  <c r="C6624" i="1"/>
  <c r="F6623" i="1"/>
  <c r="B6623" i="1" s="1"/>
  <c r="C6623" i="1"/>
  <c r="F6622" i="1"/>
  <c r="B6622" i="1" s="1"/>
  <c r="C6622" i="1"/>
  <c r="F6621" i="1"/>
  <c r="B6621" i="1" s="1"/>
  <c r="C6621" i="1"/>
  <c r="F6620" i="1"/>
  <c r="B6620" i="1" s="1"/>
  <c r="C6620" i="1"/>
  <c r="F6619" i="1"/>
  <c r="B6619" i="1" s="1"/>
  <c r="C6619" i="1"/>
  <c r="F6618" i="1"/>
  <c r="B6618" i="1" s="1"/>
  <c r="C6618" i="1"/>
  <c r="F6617" i="1"/>
  <c r="B6617" i="1" s="1"/>
  <c r="C6617" i="1"/>
  <c r="F6616" i="1"/>
  <c r="B6616" i="1" s="1"/>
  <c r="C6616" i="1"/>
  <c r="F6615" i="1"/>
  <c r="B6615" i="1" s="1"/>
  <c r="C6615" i="1"/>
  <c r="F6614" i="1"/>
  <c r="B6614" i="1" s="1"/>
  <c r="C6614" i="1"/>
  <c r="F6613" i="1"/>
  <c r="B6613" i="1" s="1"/>
  <c r="C6613" i="1"/>
  <c r="F6612" i="1"/>
  <c r="B6612" i="1" s="1"/>
  <c r="C6612" i="1"/>
  <c r="F6611" i="1"/>
  <c r="B6611" i="1" s="1"/>
  <c r="C6611" i="1"/>
  <c r="F6610" i="1"/>
  <c r="B6610" i="1" s="1"/>
  <c r="C6610" i="1"/>
  <c r="F6609" i="1"/>
  <c r="B6609" i="1" s="1"/>
  <c r="C6609" i="1"/>
  <c r="F6608" i="1"/>
  <c r="B6608" i="1" s="1"/>
  <c r="C6608" i="1"/>
  <c r="F6607" i="1"/>
  <c r="B6607" i="1" s="1"/>
  <c r="C6607" i="1"/>
  <c r="F6606" i="1"/>
  <c r="B6606" i="1" s="1"/>
  <c r="C6606" i="1"/>
  <c r="F6605" i="1"/>
  <c r="B6605" i="1" s="1"/>
  <c r="C6605" i="1"/>
  <c r="F6604" i="1"/>
  <c r="B6604" i="1" s="1"/>
  <c r="C6604" i="1"/>
  <c r="F6603" i="1"/>
  <c r="B6603" i="1" s="1"/>
  <c r="C6603" i="1"/>
  <c r="F6602" i="1"/>
  <c r="B6602" i="1" s="1"/>
  <c r="C6602" i="1"/>
  <c r="F6601" i="1"/>
  <c r="B6601" i="1" s="1"/>
  <c r="C6601" i="1"/>
  <c r="F6600" i="1"/>
  <c r="B6600" i="1" s="1"/>
  <c r="C6600" i="1"/>
  <c r="F6599" i="1"/>
  <c r="B6599" i="1" s="1"/>
  <c r="C6599" i="1"/>
  <c r="F6598" i="1"/>
  <c r="B6598" i="1" s="1"/>
  <c r="C6598" i="1"/>
  <c r="F6597" i="1"/>
  <c r="B6597" i="1" s="1"/>
  <c r="C6597" i="1"/>
  <c r="F6596" i="1"/>
  <c r="B6596" i="1" s="1"/>
  <c r="C6596" i="1"/>
  <c r="F6595" i="1"/>
  <c r="B6595" i="1" s="1"/>
  <c r="C6595" i="1"/>
  <c r="F6594" i="1"/>
  <c r="B6594" i="1" s="1"/>
  <c r="C6594" i="1"/>
  <c r="F6593" i="1"/>
  <c r="B6593" i="1" s="1"/>
  <c r="C6593" i="1"/>
  <c r="F6592" i="1"/>
  <c r="B6592" i="1" s="1"/>
  <c r="C6592" i="1"/>
  <c r="F6591" i="1"/>
  <c r="B6591" i="1" s="1"/>
  <c r="C6591" i="1"/>
  <c r="F6590" i="1"/>
  <c r="B6590" i="1" s="1"/>
  <c r="C6590" i="1"/>
  <c r="F6589" i="1"/>
  <c r="B6589" i="1" s="1"/>
  <c r="C6589" i="1"/>
  <c r="F6588" i="1"/>
  <c r="B6588" i="1" s="1"/>
  <c r="C6588" i="1"/>
  <c r="F6587" i="1"/>
  <c r="B6587" i="1" s="1"/>
  <c r="C6587" i="1"/>
  <c r="F6586" i="1"/>
  <c r="B6586" i="1" s="1"/>
  <c r="C6586" i="1"/>
  <c r="F6585" i="1"/>
  <c r="B6585" i="1" s="1"/>
  <c r="C6585" i="1"/>
  <c r="F6584" i="1"/>
  <c r="B6584" i="1" s="1"/>
  <c r="C6584" i="1"/>
  <c r="F6583" i="1"/>
  <c r="B6583" i="1" s="1"/>
  <c r="C6583" i="1"/>
  <c r="F6582" i="1"/>
  <c r="B6582" i="1" s="1"/>
  <c r="C6582" i="1"/>
  <c r="F6581" i="1"/>
  <c r="B6581" i="1" s="1"/>
  <c r="C6581" i="1"/>
  <c r="F6580" i="1"/>
  <c r="B6580" i="1" s="1"/>
  <c r="C6580" i="1"/>
  <c r="F6579" i="1"/>
  <c r="B6579" i="1" s="1"/>
  <c r="C6579" i="1"/>
  <c r="F6578" i="1"/>
  <c r="B6578" i="1" s="1"/>
  <c r="C6578" i="1"/>
  <c r="F6577" i="1"/>
  <c r="B6577" i="1" s="1"/>
  <c r="C6577" i="1"/>
  <c r="F6576" i="1"/>
  <c r="B6576" i="1" s="1"/>
  <c r="C6576" i="1"/>
  <c r="F6575" i="1"/>
  <c r="B6575" i="1" s="1"/>
  <c r="C6575" i="1"/>
  <c r="F6574" i="1"/>
  <c r="B6574" i="1" s="1"/>
  <c r="C6574" i="1"/>
  <c r="F6573" i="1"/>
  <c r="B6573" i="1" s="1"/>
  <c r="C6573" i="1"/>
  <c r="F6572" i="1"/>
  <c r="B6572" i="1" s="1"/>
  <c r="C6572" i="1"/>
  <c r="F6571" i="1"/>
  <c r="B6571" i="1" s="1"/>
  <c r="C6571" i="1"/>
  <c r="F6570" i="1"/>
  <c r="B6570" i="1" s="1"/>
  <c r="C6570" i="1"/>
  <c r="F6569" i="1"/>
  <c r="B6569" i="1" s="1"/>
  <c r="C6569" i="1"/>
  <c r="F6568" i="1"/>
  <c r="B6568" i="1" s="1"/>
  <c r="C6568" i="1"/>
  <c r="F6567" i="1"/>
  <c r="B6567" i="1" s="1"/>
  <c r="C6567" i="1"/>
  <c r="F6566" i="1"/>
  <c r="B6566" i="1" s="1"/>
  <c r="C6566" i="1"/>
  <c r="F6565" i="1"/>
  <c r="B6565" i="1" s="1"/>
  <c r="C6565" i="1"/>
  <c r="F6564" i="1"/>
  <c r="B6564" i="1" s="1"/>
  <c r="C6564" i="1"/>
  <c r="F6563" i="1"/>
  <c r="B6563" i="1" s="1"/>
  <c r="C6563" i="1"/>
  <c r="F6562" i="1"/>
  <c r="B6562" i="1" s="1"/>
  <c r="C6562" i="1"/>
  <c r="F6561" i="1"/>
  <c r="B6561" i="1" s="1"/>
  <c r="C6561" i="1"/>
  <c r="F6560" i="1"/>
  <c r="B6560" i="1" s="1"/>
  <c r="C6560" i="1"/>
  <c r="F6559" i="1"/>
  <c r="B6559" i="1" s="1"/>
  <c r="C6559" i="1"/>
  <c r="F6558" i="1"/>
  <c r="B6558" i="1" s="1"/>
  <c r="C6558" i="1"/>
  <c r="F6557" i="1"/>
  <c r="B6557" i="1" s="1"/>
  <c r="C6557" i="1"/>
  <c r="F6556" i="1"/>
  <c r="B6556" i="1" s="1"/>
  <c r="C6556" i="1"/>
  <c r="F6555" i="1"/>
  <c r="B6555" i="1" s="1"/>
  <c r="C6555" i="1"/>
  <c r="F6554" i="1"/>
  <c r="B6554" i="1" s="1"/>
  <c r="C6554" i="1"/>
  <c r="F6553" i="1"/>
  <c r="B6553" i="1" s="1"/>
  <c r="C6553" i="1"/>
  <c r="F6552" i="1"/>
  <c r="B6552" i="1" s="1"/>
  <c r="C6552" i="1"/>
  <c r="F6551" i="1"/>
  <c r="B6551" i="1" s="1"/>
  <c r="C6551" i="1"/>
  <c r="F6550" i="1"/>
  <c r="B6550" i="1" s="1"/>
  <c r="C6550" i="1"/>
  <c r="F6549" i="1"/>
  <c r="B6549" i="1" s="1"/>
  <c r="C6549" i="1"/>
  <c r="F6548" i="1"/>
  <c r="B6548" i="1" s="1"/>
  <c r="C6548" i="1"/>
  <c r="F6547" i="1"/>
  <c r="B6547" i="1" s="1"/>
  <c r="C6547" i="1"/>
  <c r="F6546" i="1"/>
  <c r="B6546" i="1" s="1"/>
  <c r="C6546" i="1"/>
  <c r="F6545" i="1"/>
  <c r="B6545" i="1" s="1"/>
  <c r="C6545" i="1"/>
  <c r="F6544" i="1"/>
  <c r="B6544" i="1" s="1"/>
  <c r="C6544" i="1"/>
  <c r="F6543" i="1"/>
  <c r="B6543" i="1" s="1"/>
  <c r="C6543" i="1"/>
  <c r="F6542" i="1"/>
  <c r="B6542" i="1" s="1"/>
  <c r="C6542" i="1"/>
  <c r="F6541" i="1"/>
  <c r="B6541" i="1" s="1"/>
  <c r="C6541" i="1"/>
  <c r="F6540" i="1"/>
  <c r="B6540" i="1" s="1"/>
  <c r="C6540" i="1"/>
  <c r="F6539" i="1"/>
  <c r="B6539" i="1" s="1"/>
  <c r="C6539" i="1"/>
  <c r="F6538" i="1"/>
  <c r="B6538" i="1" s="1"/>
  <c r="C6538" i="1"/>
  <c r="F6537" i="1"/>
  <c r="B6537" i="1" s="1"/>
  <c r="C6537" i="1"/>
  <c r="F6536" i="1"/>
  <c r="B6536" i="1" s="1"/>
  <c r="C6536" i="1"/>
  <c r="F6535" i="1"/>
  <c r="C6535" i="1"/>
  <c r="F6534" i="1"/>
  <c r="B6534" i="1" s="1"/>
  <c r="C6534" i="1"/>
  <c r="F6533" i="1"/>
  <c r="B6533" i="1" s="1"/>
  <c r="C6533" i="1"/>
  <c r="F6532" i="1"/>
  <c r="B6532" i="1" s="1"/>
  <c r="C6532" i="1"/>
  <c r="F6531" i="1"/>
  <c r="B6531" i="1" s="1"/>
  <c r="C6531" i="1"/>
  <c r="F6530" i="1"/>
  <c r="B6530" i="1" s="1"/>
  <c r="C6530" i="1"/>
  <c r="F6529" i="1"/>
  <c r="B6529" i="1" s="1"/>
  <c r="C6529" i="1"/>
  <c r="F6528" i="1"/>
  <c r="B6528" i="1" s="1"/>
  <c r="C6528" i="1"/>
  <c r="F6527" i="1"/>
  <c r="B6527" i="1" s="1"/>
  <c r="C6527" i="1"/>
  <c r="F6526" i="1"/>
  <c r="B6526" i="1" s="1"/>
  <c r="C6526" i="1"/>
  <c r="F6525" i="1"/>
  <c r="B6525" i="1" s="1"/>
  <c r="C6525" i="1"/>
  <c r="F6524" i="1"/>
  <c r="B6524" i="1" s="1"/>
  <c r="C6524" i="1"/>
  <c r="F6523" i="1"/>
  <c r="B6523" i="1" s="1"/>
  <c r="C6523" i="1"/>
  <c r="F6522" i="1"/>
  <c r="B6522" i="1" s="1"/>
  <c r="C6522" i="1"/>
  <c r="F6521" i="1"/>
  <c r="B6521" i="1" s="1"/>
  <c r="C6521" i="1"/>
  <c r="F6520" i="1"/>
  <c r="B6520" i="1" s="1"/>
  <c r="C6520" i="1"/>
  <c r="F6519" i="1"/>
  <c r="B6519" i="1" s="1"/>
  <c r="C6519" i="1"/>
  <c r="F6518" i="1"/>
  <c r="B6518" i="1" s="1"/>
  <c r="C6518" i="1"/>
  <c r="F6517" i="1"/>
  <c r="B6517" i="1" s="1"/>
  <c r="C6517" i="1"/>
  <c r="F6516" i="1"/>
  <c r="B6516" i="1" s="1"/>
  <c r="C6516" i="1"/>
  <c r="F6515" i="1"/>
  <c r="B6515" i="1" s="1"/>
  <c r="C6515" i="1"/>
  <c r="F6514" i="1"/>
  <c r="B6514" i="1" s="1"/>
  <c r="C6514" i="1"/>
  <c r="F6513" i="1"/>
  <c r="B6513" i="1" s="1"/>
  <c r="C6513" i="1"/>
  <c r="F6512" i="1"/>
  <c r="B6512" i="1" s="1"/>
  <c r="C6512" i="1"/>
  <c r="F6511" i="1"/>
  <c r="B6511" i="1" s="1"/>
  <c r="C6511" i="1"/>
  <c r="F6510" i="1"/>
  <c r="B6510" i="1" s="1"/>
  <c r="C6510" i="1"/>
  <c r="F6509" i="1"/>
  <c r="B6509" i="1" s="1"/>
  <c r="C6509" i="1"/>
  <c r="F6508" i="1"/>
  <c r="B6508" i="1" s="1"/>
  <c r="C6508" i="1"/>
  <c r="F6507" i="1"/>
  <c r="B6507" i="1" s="1"/>
  <c r="C6507" i="1"/>
  <c r="F6506" i="1"/>
  <c r="B6506" i="1" s="1"/>
  <c r="C6506" i="1"/>
  <c r="F6505" i="1"/>
  <c r="B6505" i="1" s="1"/>
  <c r="C6505" i="1"/>
  <c r="F6504" i="1"/>
  <c r="B6504" i="1" s="1"/>
  <c r="C6504" i="1"/>
  <c r="F6503" i="1"/>
  <c r="C6503" i="1"/>
  <c r="F6502" i="1"/>
  <c r="B6502" i="1" s="1"/>
  <c r="C6502" i="1"/>
  <c r="F6501" i="1"/>
  <c r="B6501" i="1" s="1"/>
  <c r="C6501" i="1"/>
  <c r="F6500" i="1"/>
  <c r="B6500" i="1" s="1"/>
  <c r="C6500" i="1"/>
  <c r="F6499" i="1"/>
  <c r="B6499" i="1" s="1"/>
  <c r="C6499" i="1"/>
  <c r="F6498" i="1"/>
  <c r="B6498" i="1" s="1"/>
  <c r="C6498" i="1"/>
  <c r="F6497" i="1"/>
  <c r="B6497" i="1" s="1"/>
  <c r="C6497" i="1"/>
  <c r="F6496" i="1"/>
  <c r="B6496" i="1" s="1"/>
  <c r="C6496" i="1"/>
  <c r="F6495" i="1"/>
  <c r="B6495" i="1" s="1"/>
  <c r="C6495" i="1"/>
  <c r="F6494" i="1"/>
  <c r="B6494" i="1" s="1"/>
  <c r="C6494" i="1"/>
  <c r="F6493" i="1"/>
  <c r="B6493" i="1" s="1"/>
  <c r="C6493" i="1"/>
  <c r="F6492" i="1"/>
  <c r="B6492" i="1" s="1"/>
  <c r="C6492" i="1"/>
  <c r="F6491" i="1"/>
  <c r="B6491" i="1" s="1"/>
  <c r="C6491" i="1"/>
  <c r="F6490" i="1"/>
  <c r="B6490" i="1" s="1"/>
  <c r="C6490" i="1"/>
  <c r="F6489" i="1"/>
  <c r="B6489" i="1" s="1"/>
  <c r="C6489" i="1"/>
  <c r="F6488" i="1"/>
  <c r="B6488" i="1" s="1"/>
  <c r="C6488" i="1"/>
  <c r="F6487" i="1"/>
  <c r="B6487" i="1" s="1"/>
  <c r="C6487" i="1"/>
  <c r="F6486" i="1"/>
  <c r="B6486" i="1" s="1"/>
  <c r="C6486" i="1"/>
  <c r="F6485" i="1"/>
  <c r="B6485" i="1" s="1"/>
  <c r="C6485" i="1"/>
  <c r="F6484" i="1"/>
  <c r="B6484" i="1" s="1"/>
  <c r="C6484" i="1"/>
  <c r="F6483" i="1"/>
  <c r="B6483" i="1" s="1"/>
  <c r="C6483" i="1"/>
  <c r="F6482" i="1"/>
  <c r="B6482" i="1" s="1"/>
  <c r="C6482" i="1"/>
  <c r="F6481" i="1"/>
  <c r="B6481" i="1" s="1"/>
  <c r="C6481" i="1"/>
  <c r="F6480" i="1"/>
  <c r="B6480" i="1" s="1"/>
  <c r="C6480" i="1"/>
  <c r="F6479" i="1"/>
  <c r="C6479" i="1"/>
  <c r="F6478" i="1"/>
  <c r="B6478" i="1" s="1"/>
  <c r="C6478" i="1"/>
  <c r="F6477" i="1"/>
  <c r="B6477" i="1" s="1"/>
  <c r="C6477" i="1"/>
  <c r="F6476" i="1"/>
  <c r="B6476" i="1" s="1"/>
  <c r="C6476" i="1"/>
  <c r="F6475" i="1"/>
  <c r="B6475" i="1" s="1"/>
  <c r="C6475" i="1"/>
  <c r="F6474" i="1"/>
  <c r="B6474" i="1" s="1"/>
  <c r="C6474" i="1"/>
  <c r="F6473" i="1"/>
  <c r="B6473" i="1" s="1"/>
  <c r="C6473" i="1"/>
  <c r="F6472" i="1"/>
  <c r="B6472" i="1" s="1"/>
  <c r="C6472" i="1"/>
  <c r="F6471" i="1"/>
  <c r="B6471" i="1" s="1"/>
  <c r="C6471" i="1"/>
  <c r="F6470" i="1"/>
  <c r="B6470" i="1" s="1"/>
  <c r="C6470" i="1"/>
  <c r="F6469" i="1"/>
  <c r="B6469" i="1" s="1"/>
  <c r="C6469" i="1"/>
  <c r="F6468" i="1"/>
  <c r="B6468" i="1" s="1"/>
  <c r="C6468" i="1"/>
  <c r="F6467" i="1"/>
  <c r="B6467" i="1" s="1"/>
  <c r="C6467" i="1"/>
  <c r="F6466" i="1"/>
  <c r="B6466" i="1" s="1"/>
  <c r="C6466" i="1"/>
  <c r="F6465" i="1"/>
  <c r="B6465" i="1" s="1"/>
  <c r="C6465" i="1"/>
  <c r="F6464" i="1"/>
  <c r="B6464" i="1" s="1"/>
  <c r="C6464" i="1"/>
  <c r="F6463" i="1"/>
  <c r="B6463" i="1" s="1"/>
  <c r="C6463" i="1"/>
  <c r="F6462" i="1"/>
  <c r="B6462" i="1" s="1"/>
  <c r="C6462" i="1"/>
  <c r="F6461" i="1"/>
  <c r="B6461" i="1" s="1"/>
  <c r="C6461" i="1"/>
  <c r="F6460" i="1"/>
  <c r="B6460" i="1" s="1"/>
  <c r="C6460" i="1"/>
  <c r="F6459" i="1"/>
  <c r="B6459" i="1" s="1"/>
  <c r="C6459" i="1"/>
  <c r="F6458" i="1"/>
  <c r="B6458" i="1" s="1"/>
  <c r="C6458" i="1"/>
  <c r="F6457" i="1"/>
  <c r="B6457" i="1" s="1"/>
  <c r="C6457" i="1"/>
  <c r="F6456" i="1"/>
  <c r="B6456" i="1" s="1"/>
  <c r="C6456" i="1"/>
  <c r="F6455" i="1"/>
  <c r="B6455" i="1" s="1"/>
  <c r="C6455" i="1"/>
  <c r="F6454" i="1"/>
  <c r="B6454" i="1" s="1"/>
  <c r="C6454" i="1"/>
  <c r="F6453" i="1"/>
  <c r="B6453" i="1" s="1"/>
  <c r="C6453" i="1"/>
  <c r="F6452" i="1"/>
  <c r="B6452" i="1" s="1"/>
  <c r="C6452" i="1"/>
  <c r="F6451" i="1"/>
  <c r="B6451" i="1" s="1"/>
  <c r="C6451" i="1"/>
  <c r="F6450" i="1"/>
  <c r="B6450" i="1" s="1"/>
  <c r="C6450" i="1"/>
  <c r="F6449" i="1"/>
  <c r="B6449" i="1" s="1"/>
  <c r="C6449" i="1"/>
  <c r="F6448" i="1"/>
  <c r="B6448" i="1" s="1"/>
  <c r="C6448" i="1"/>
  <c r="F6447" i="1"/>
  <c r="C6447" i="1"/>
  <c r="F6446" i="1"/>
  <c r="B6446" i="1" s="1"/>
  <c r="C6446" i="1"/>
  <c r="F6445" i="1"/>
  <c r="B6445" i="1" s="1"/>
  <c r="C6445" i="1"/>
  <c r="F6444" i="1"/>
  <c r="B6444" i="1" s="1"/>
  <c r="C6444" i="1"/>
  <c r="F6443" i="1"/>
  <c r="B6443" i="1" s="1"/>
  <c r="C6443" i="1"/>
  <c r="F6442" i="1"/>
  <c r="B6442" i="1" s="1"/>
  <c r="C6442" i="1"/>
  <c r="F6441" i="1"/>
  <c r="B6441" i="1" s="1"/>
  <c r="C6441" i="1"/>
  <c r="F6440" i="1"/>
  <c r="B6440" i="1" s="1"/>
  <c r="C6440" i="1"/>
  <c r="F6439" i="1"/>
  <c r="B6439" i="1" s="1"/>
  <c r="C6439" i="1"/>
  <c r="F6438" i="1"/>
  <c r="B6438" i="1" s="1"/>
  <c r="C6438" i="1"/>
  <c r="F6437" i="1"/>
  <c r="B6437" i="1" s="1"/>
  <c r="C6437" i="1"/>
  <c r="F6436" i="1"/>
  <c r="B6436" i="1" s="1"/>
  <c r="C6436" i="1"/>
  <c r="F6435" i="1"/>
  <c r="B6435" i="1" s="1"/>
  <c r="C6435" i="1"/>
  <c r="F6434" i="1"/>
  <c r="B6434" i="1" s="1"/>
  <c r="C6434" i="1"/>
  <c r="F6433" i="1"/>
  <c r="B6433" i="1" s="1"/>
  <c r="C6433" i="1"/>
  <c r="F6432" i="1"/>
  <c r="B6432" i="1" s="1"/>
  <c r="C6432" i="1"/>
  <c r="F6431" i="1"/>
  <c r="B6431" i="1" s="1"/>
  <c r="C6431" i="1"/>
  <c r="F6430" i="1"/>
  <c r="B6430" i="1" s="1"/>
  <c r="C6430" i="1"/>
  <c r="F6429" i="1"/>
  <c r="B6429" i="1" s="1"/>
  <c r="C6429" i="1"/>
  <c r="F6428" i="1"/>
  <c r="B6428" i="1" s="1"/>
  <c r="C6428" i="1"/>
  <c r="F6427" i="1"/>
  <c r="B6427" i="1" s="1"/>
  <c r="C6427" i="1"/>
  <c r="F6426" i="1"/>
  <c r="B6426" i="1" s="1"/>
  <c r="C6426" i="1"/>
  <c r="F6425" i="1"/>
  <c r="B6425" i="1" s="1"/>
  <c r="C6425" i="1"/>
  <c r="F6424" i="1"/>
  <c r="B6424" i="1" s="1"/>
  <c r="C6424" i="1"/>
  <c r="F6423" i="1"/>
  <c r="C6423" i="1"/>
  <c r="F6422" i="1"/>
  <c r="B6422" i="1" s="1"/>
  <c r="C6422" i="1"/>
  <c r="F6421" i="1"/>
  <c r="B6421" i="1" s="1"/>
  <c r="C6421" i="1"/>
  <c r="F6420" i="1"/>
  <c r="B6420" i="1" s="1"/>
  <c r="C6420" i="1"/>
  <c r="F6419" i="1"/>
  <c r="B6419" i="1" s="1"/>
  <c r="C6419" i="1"/>
  <c r="F6418" i="1"/>
  <c r="B6418" i="1" s="1"/>
  <c r="C6418" i="1"/>
  <c r="F6417" i="1"/>
  <c r="B6417" i="1" s="1"/>
  <c r="C6417" i="1"/>
  <c r="F6416" i="1"/>
  <c r="B6416" i="1" s="1"/>
  <c r="C6416" i="1"/>
  <c r="F6415" i="1"/>
  <c r="B6415" i="1" s="1"/>
  <c r="C6415" i="1"/>
  <c r="F6414" i="1"/>
  <c r="B6414" i="1" s="1"/>
  <c r="C6414" i="1"/>
  <c r="F6413" i="1"/>
  <c r="B6413" i="1" s="1"/>
  <c r="C6413" i="1"/>
  <c r="F6412" i="1"/>
  <c r="B6412" i="1" s="1"/>
  <c r="C6412" i="1"/>
  <c r="F6411" i="1"/>
  <c r="B6411" i="1" s="1"/>
  <c r="C6411" i="1"/>
  <c r="F6410" i="1"/>
  <c r="B6410" i="1" s="1"/>
  <c r="C6410" i="1"/>
  <c r="F6409" i="1"/>
  <c r="B6409" i="1" s="1"/>
  <c r="C6409" i="1"/>
  <c r="F6408" i="1"/>
  <c r="B6408" i="1" s="1"/>
  <c r="C6408" i="1"/>
  <c r="F6407" i="1"/>
  <c r="C6407" i="1"/>
  <c r="F6406" i="1"/>
  <c r="B6406" i="1" s="1"/>
  <c r="C6406" i="1"/>
  <c r="F6405" i="1"/>
  <c r="B6405" i="1" s="1"/>
  <c r="C6405" i="1"/>
  <c r="F6404" i="1"/>
  <c r="B6404" i="1" s="1"/>
  <c r="C6404" i="1"/>
  <c r="F6403" i="1"/>
  <c r="B6403" i="1" s="1"/>
  <c r="C6403" i="1"/>
  <c r="F6402" i="1"/>
  <c r="B6402" i="1" s="1"/>
  <c r="C6402" i="1"/>
  <c r="F6401" i="1"/>
  <c r="B6401" i="1" s="1"/>
  <c r="C6401" i="1"/>
  <c r="F6400" i="1"/>
  <c r="B6400" i="1" s="1"/>
  <c r="C6400" i="1"/>
  <c r="F6399" i="1"/>
  <c r="B6399" i="1" s="1"/>
  <c r="C6399" i="1"/>
  <c r="F6398" i="1"/>
  <c r="B6398" i="1" s="1"/>
  <c r="C6398" i="1"/>
  <c r="F6397" i="1"/>
  <c r="B6397" i="1" s="1"/>
  <c r="C6397" i="1"/>
  <c r="F6396" i="1"/>
  <c r="B6396" i="1" s="1"/>
  <c r="C6396" i="1"/>
  <c r="F6395" i="1"/>
  <c r="B6395" i="1" s="1"/>
  <c r="C6395" i="1"/>
  <c r="F6394" i="1"/>
  <c r="B6394" i="1" s="1"/>
  <c r="C6394" i="1"/>
  <c r="F6393" i="1"/>
  <c r="B6393" i="1" s="1"/>
  <c r="C6393" i="1"/>
  <c r="F6392" i="1"/>
  <c r="B6392" i="1" s="1"/>
  <c r="C6392" i="1"/>
  <c r="F6391" i="1"/>
  <c r="C6391" i="1"/>
  <c r="F6390" i="1"/>
  <c r="B6390" i="1" s="1"/>
  <c r="C6390" i="1"/>
  <c r="F6389" i="1"/>
  <c r="B6389" i="1" s="1"/>
  <c r="C6389" i="1"/>
  <c r="F6388" i="1"/>
  <c r="B6388" i="1" s="1"/>
  <c r="C6388" i="1"/>
  <c r="F6387" i="1"/>
  <c r="B6387" i="1" s="1"/>
  <c r="C6387" i="1"/>
  <c r="F6386" i="1"/>
  <c r="B6386" i="1" s="1"/>
  <c r="C6386" i="1"/>
  <c r="F6385" i="1"/>
  <c r="B6385" i="1" s="1"/>
  <c r="C6385" i="1"/>
  <c r="F6384" i="1"/>
  <c r="B6384" i="1" s="1"/>
  <c r="C6384" i="1"/>
  <c r="F6383" i="1"/>
  <c r="B6383" i="1" s="1"/>
  <c r="C6383" i="1"/>
  <c r="F6382" i="1"/>
  <c r="B6382" i="1" s="1"/>
  <c r="C6382" i="1"/>
  <c r="F6381" i="1"/>
  <c r="B6381" i="1" s="1"/>
  <c r="C6381" i="1"/>
  <c r="F6380" i="1"/>
  <c r="B6380" i="1" s="1"/>
  <c r="C6380" i="1"/>
  <c r="F6379" i="1"/>
  <c r="B6379" i="1" s="1"/>
  <c r="C6379" i="1"/>
  <c r="F6378" i="1"/>
  <c r="B6378" i="1" s="1"/>
  <c r="C6378" i="1"/>
  <c r="F6377" i="1"/>
  <c r="B6377" i="1" s="1"/>
  <c r="C6377" i="1"/>
  <c r="F6376" i="1"/>
  <c r="B6376" i="1" s="1"/>
  <c r="C6376" i="1"/>
  <c r="F6375" i="1"/>
  <c r="C6375" i="1"/>
  <c r="F6374" i="1"/>
  <c r="B6374" i="1" s="1"/>
  <c r="C6374" i="1"/>
  <c r="F6373" i="1"/>
  <c r="B6373" i="1" s="1"/>
  <c r="C6373" i="1"/>
  <c r="F6372" i="1"/>
  <c r="B6372" i="1" s="1"/>
  <c r="C6372" i="1"/>
  <c r="F6371" i="1"/>
  <c r="B6371" i="1" s="1"/>
  <c r="C6371" i="1"/>
  <c r="F6370" i="1"/>
  <c r="B6370" i="1" s="1"/>
  <c r="C6370" i="1"/>
  <c r="F6369" i="1"/>
  <c r="B6369" i="1" s="1"/>
  <c r="C6369" i="1"/>
  <c r="F6368" i="1"/>
  <c r="B6368" i="1" s="1"/>
  <c r="C6368" i="1"/>
  <c r="F6367" i="1"/>
  <c r="B6367" i="1" s="1"/>
  <c r="C6367" i="1"/>
  <c r="F6366" i="1"/>
  <c r="B6366" i="1" s="1"/>
  <c r="C6366" i="1"/>
  <c r="F6365" i="1"/>
  <c r="B6365" i="1" s="1"/>
  <c r="C6365" i="1"/>
  <c r="F6364" i="1"/>
  <c r="B6364" i="1" s="1"/>
  <c r="C6364" i="1"/>
  <c r="F6363" i="1"/>
  <c r="B6363" i="1" s="1"/>
  <c r="C6363" i="1"/>
  <c r="F6362" i="1"/>
  <c r="B6362" i="1" s="1"/>
  <c r="C6362" i="1"/>
  <c r="F6361" i="1"/>
  <c r="B6361" i="1" s="1"/>
  <c r="C6361" i="1"/>
  <c r="F6360" i="1"/>
  <c r="B6360" i="1" s="1"/>
  <c r="C6360" i="1"/>
  <c r="F6359" i="1"/>
  <c r="C6359" i="1"/>
  <c r="F6358" i="1"/>
  <c r="B6358" i="1" s="1"/>
  <c r="C6358" i="1"/>
  <c r="F6357" i="1"/>
  <c r="B6357" i="1" s="1"/>
  <c r="C6357" i="1"/>
  <c r="F6356" i="1"/>
  <c r="B6356" i="1" s="1"/>
  <c r="C6356" i="1"/>
  <c r="F6355" i="1"/>
  <c r="B6355" i="1" s="1"/>
  <c r="C6355" i="1"/>
  <c r="F6354" i="1"/>
  <c r="B6354" i="1" s="1"/>
  <c r="C6354" i="1"/>
  <c r="F6353" i="1"/>
  <c r="B6353" i="1" s="1"/>
  <c r="C6353" i="1"/>
  <c r="F6352" i="1"/>
  <c r="B6352" i="1" s="1"/>
  <c r="C6352" i="1"/>
  <c r="F6351" i="1"/>
  <c r="B6351" i="1" s="1"/>
  <c r="C6351" i="1"/>
  <c r="F6350" i="1"/>
  <c r="B6350" i="1" s="1"/>
  <c r="C6350" i="1"/>
  <c r="F6349" i="1"/>
  <c r="B6349" i="1" s="1"/>
  <c r="C6349" i="1"/>
  <c r="F6348" i="1"/>
  <c r="B6348" i="1" s="1"/>
  <c r="C6348" i="1"/>
  <c r="F6347" i="1"/>
  <c r="B6347" i="1" s="1"/>
  <c r="C6347" i="1"/>
  <c r="F6346" i="1"/>
  <c r="B6346" i="1" s="1"/>
  <c r="C6346" i="1"/>
  <c r="F6345" i="1"/>
  <c r="B6345" i="1" s="1"/>
  <c r="C6345" i="1"/>
  <c r="F6344" i="1"/>
  <c r="B6344" i="1" s="1"/>
  <c r="C6344" i="1"/>
  <c r="F6343" i="1"/>
  <c r="C6343" i="1"/>
  <c r="F6342" i="1"/>
  <c r="B6342" i="1" s="1"/>
  <c r="C6342" i="1"/>
  <c r="F6341" i="1"/>
  <c r="B6341" i="1" s="1"/>
  <c r="C6341" i="1"/>
  <c r="F6340" i="1"/>
  <c r="B6340" i="1" s="1"/>
  <c r="C6340" i="1"/>
  <c r="F6339" i="1"/>
  <c r="B6339" i="1" s="1"/>
  <c r="C6339" i="1"/>
  <c r="F6338" i="1"/>
  <c r="B6338" i="1" s="1"/>
  <c r="C6338" i="1"/>
  <c r="F6337" i="1"/>
  <c r="B6337" i="1" s="1"/>
  <c r="C6337" i="1"/>
  <c r="F6336" i="1"/>
  <c r="B6336" i="1" s="1"/>
  <c r="C6336" i="1"/>
  <c r="F6335" i="1"/>
  <c r="B6335" i="1" s="1"/>
  <c r="C6335" i="1"/>
  <c r="F6334" i="1"/>
  <c r="B6334" i="1" s="1"/>
  <c r="C6334" i="1"/>
  <c r="F6333" i="1"/>
  <c r="B6333" i="1" s="1"/>
  <c r="C6333" i="1"/>
  <c r="F6332" i="1"/>
  <c r="B6332" i="1" s="1"/>
  <c r="C6332" i="1"/>
  <c r="F6331" i="1"/>
  <c r="B6331" i="1" s="1"/>
  <c r="C6331" i="1"/>
  <c r="F6330" i="1"/>
  <c r="B6330" i="1" s="1"/>
  <c r="C6330" i="1"/>
  <c r="F6329" i="1"/>
  <c r="B6329" i="1" s="1"/>
  <c r="C6329" i="1"/>
  <c r="F6328" i="1"/>
  <c r="B6328" i="1" s="1"/>
  <c r="C6328" i="1"/>
  <c r="F6327" i="1"/>
  <c r="C6327" i="1"/>
  <c r="F6326" i="1"/>
  <c r="B6326" i="1" s="1"/>
  <c r="C6326" i="1"/>
  <c r="F6325" i="1"/>
  <c r="B6325" i="1" s="1"/>
  <c r="C6325" i="1"/>
  <c r="F6324" i="1"/>
  <c r="B6324" i="1" s="1"/>
  <c r="C6324" i="1"/>
  <c r="F6323" i="1"/>
  <c r="B6323" i="1" s="1"/>
  <c r="C6323" i="1"/>
  <c r="F6322" i="1"/>
  <c r="B6322" i="1" s="1"/>
  <c r="C6322" i="1"/>
  <c r="F6321" i="1"/>
  <c r="B6321" i="1" s="1"/>
  <c r="C6321" i="1"/>
  <c r="F6320" i="1"/>
  <c r="B6320" i="1" s="1"/>
  <c r="C6320" i="1"/>
  <c r="F6319" i="1"/>
  <c r="B6319" i="1" s="1"/>
  <c r="C6319" i="1"/>
  <c r="F6318" i="1"/>
  <c r="B6318" i="1" s="1"/>
  <c r="C6318" i="1"/>
  <c r="F6317" i="1"/>
  <c r="B6317" i="1" s="1"/>
  <c r="C6317" i="1"/>
  <c r="F6316" i="1"/>
  <c r="B6316" i="1" s="1"/>
  <c r="C6316" i="1"/>
  <c r="F6315" i="1"/>
  <c r="B6315" i="1" s="1"/>
  <c r="C6315" i="1"/>
  <c r="F6314" i="1"/>
  <c r="B6314" i="1" s="1"/>
  <c r="C6314" i="1"/>
  <c r="F6313" i="1"/>
  <c r="B6313" i="1" s="1"/>
  <c r="C6313" i="1"/>
  <c r="F6312" i="1"/>
  <c r="B6312" i="1" s="1"/>
  <c r="C6312" i="1"/>
  <c r="F6311" i="1"/>
  <c r="C6311" i="1"/>
  <c r="F6310" i="1"/>
  <c r="B6310" i="1" s="1"/>
  <c r="C6310" i="1"/>
  <c r="F6309" i="1"/>
  <c r="B6309" i="1" s="1"/>
  <c r="C6309" i="1"/>
  <c r="F6308" i="1"/>
  <c r="B6308" i="1" s="1"/>
  <c r="C6308" i="1"/>
  <c r="F6307" i="1"/>
  <c r="B6307" i="1" s="1"/>
  <c r="C6307" i="1"/>
  <c r="F6306" i="1"/>
  <c r="B6306" i="1" s="1"/>
  <c r="C6306" i="1"/>
  <c r="F6305" i="1"/>
  <c r="B6305" i="1" s="1"/>
  <c r="C6305" i="1"/>
  <c r="F6304" i="1"/>
  <c r="B6304" i="1" s="1"/>
  <c r="C6304" i="1"/>
  <c r="F6303" i="1"/>
  <c r="C6303" i="1"/>
  <c r="F6302" i="1"/>
  <c r="B6302" i="1" s="1"/>
  <c r="C6302" i="1"/>
  <c r="F6301" i="1"/>
  <c r="B6301" i="1" s="1"/>
  <c r="C6301" i="1"/>
  <c r="F6300" i="1"/>
  <c r="B6300" i="1" s="1"/>
  <c r="C6300" i="1"/>
  <c r="F6299" i="1"/>
  <c r="B6299" i="1" s="1"/>
  <c r="C6299" i="1"/>
  <c r="F6298" i="1"/>
  <c r="B6298" i="1" s="1"/>
  <c r="C6298" i="1"/>
  <c r="F6297" i="1"/>
  <c r="B6297" i="1" s="1"/>
  <c r="C6297" i="1"/>
  <c r="F6296" i="1"/>
  <c r="B6296" i="1" s="1"/>
  <c r="C6296" i="1"/>
  <c r="F6295" i="1"/>
  <c r="B6295" i="1" s="1"/>
  <c r="C6295" i="1"/>
  <c r="F6294" i="1"/>
  <c r="B6294" i="1" s="1"/>
  <c r="C6294" i="1"/>
  <c r="F6293" i="1"/>
  <c r="B6293" i="1" s="1"/>
  <c r="C6293" i="1"/>
  <c r="F6292" i="1"/>
  <c r="B6292" i="1" s="1"/>
  <c r="C6292" i="1"/>
  <c r="F6291" i="1"/>
  <c r="B6291" i="1" s="1"/>
  <c r="C6291" i="1"/>
  <c r="F6290" i="1"/>
  <c r="B6290" i="1" s="1"/>
  <c r="C6290" i="1"/>
  <c r="F6289" i="1"/>
  <c r="B6289" i="1" s="1"/>
  <c r="C6289" i="1"/>
  <c r="F6288" i="1"/>
  <c r="B6288" i="1" s="1"/>
  <c r="C6288" i="1"/>
  <c r="F6287" i="1"/>
  <c r="B6287" i="1" s="1"/>
  <c r="C6287" i="1"/>
  <c r="F6286" i="1"/>
  <c r="B6286" i="1" s="1"/>
  <c r="C6286" i="1"/>
  <c r="F6285" i="1"/>
  <c r="B6285" i="1" s="1"/>
  <c r="C6285" i="1"/>
  <c r="F6284" i="1"/>
  <c r="B6284" i="1" s="1"/>
  <c r="C6284" i="1"/>
  <c r="F6283" i="1"/>
  <c r="B6283" i="1" s="1"/>
  <c r="C6283" i="1"/>
  <c r="F6282" i="1"/>
  <c r="B6282" i="1" s="1"/>
  <c r="C6282" i="1"/>
  <c r="F6281" i="1"/>
  <c r="B6281" i="1" s="1"/>
  <c r="C6281" i="1"/>
  <c r="F6280" i="1"/>
  <c r="C6280" i="1"/>
  <c r="F6279" i="1"/>
  <c r="C6279" i="1"/>
  <c r="F6278" i="1"/>
  <c r="B6278" i="1" s="1"/>
  <c r="C6278" i="1"/>
  <c r="F6277" i="1"/>
  <c r="B6277" i="1" s="1"/>
  <c r="C6277" i="1"/>
  <c r="F6276" i="1"/>
  <c r="C6276" i="1"/>
  <c r="F6275" i="1"/>
  <c r="C6275" i="1"/>
  <c r="F6274" i="1"/>
  <c r="B6274" i="1" s="1"/>
  <c r="C6274" i="1"/>
  <c r="F6273" i="1"/>
  <c r="B6273" i="1" s="1"/>
  <c r="C6273" i="1"/>
  <c r="F6272" i="1"/>
  <c r="C6272" i="1"/>
  <c r="F6271" i="1"/>
  <c r="B6271" i="1" s="1"/>
  <c r="C6271" i="1"/>
  <c r="F6270" i="1"/>
  <c r="B6270" i="1" s="1"/>
  <c r="C6270" i="1"/>
  <c r="F6269" i="1"/>
  <c r="B6269" i="1" s="1"/>
  <c r="C6269" i="1"/>
  <c r="F6268" i="1"/>
  <c r="B6268" i="1" s="1"/>
  <c r="C6268" i="1"/>
  <c r="F6267" i="1"/>
  <c r="C6267" i="1"/>
  <c r="F6266" i="1"/>
  <c r="B6266" i="1" s="1"/>
  <c r="C6266" i="1"/>
  <c r="F6265" i="1"/>
  <c r="B6265" i="1" s="1"/>
  <c r="C6265" i="1"/>
  <c r="F6264" i="1"/>
  <c r="B6264" i="1" s="1"/>
  <c r="C6264" i="1"/>
  <c r="F6263" i="1"/>
  <c r="C6263" i="1"/>
  <c r="F6262" i="1"/>
  <c r="B6262" i="1" s="1"/>
  <c r="C6262" i="1"/>
  <c r="F6261" i="1"/>
  <c r="B6261" i="1" s="1"/>
  <c r="C6261" i="1"/>
  <c r="F6260" i="1"/>
  <c r="C6260" i="1"/>
  <c r="F6259" i="1"/>
  <c r="B6259" i="1" s="1"/>
  <c r="C6259" i="1"/>
  <c r="F6258" i="1"/>
  <c r="B6258" i="1" s="1"/>
  <c r="C6258" i="1"/>
  <c r="F6257" i="1"/>
  <c r="B6257" i="1" s="1"/>
  <c r="C6257" i="1"/>
  <c r="F6256" i="1"/>
  <c r="B6256" i="1" s="1"/>
  <c r="C6256" i="1"/>
  <c r="F6255" i="1"/>
  <c r="B6255" i="1" s="1"/>
  <c r="C6255" i="1"/>
  <c r="F6254" i="1"/>
  <c r="B6254" i="1" s="1"/>
  <c r="C6254" i="1"/>
  <c r="F6253" i="1"/>
  <c r="B6253" i="1" s="1"/>
  <c r="C6253" i="1"/>
  <c r="F6252" i="1"/>
  <c r="B6252" i="1" s="1"/>
  <c r="C6252" i="1"/>
  <c r="F6251" i="1"/>
  <c r="B6251" i="1" s="1"/>
  <c r="C6251" i="1"/>
  <c r="F6250" i="1"/>
  <c r="B6250" i="1" s="1"/>
  <c r="C6250" i="1"/>
  <c r="F6249" i="1"/>
  <c r="B6249" i="1" s="1"/>
  <c r="C6249" i="1"/>
  <c r="F6248" i="1"/>
  <c r="B6248" i="1" s="1"/>
  <c r="C6248" i="1"/>
  <c r="F6247" i="1"/>
  <c r="B6247" i="1" s="1"/>
  <c r="C6247" i="1"/>
  <c r="F6246" i="1"/>
  <c r="B6246" i="1" s="1"/>
  <c r="C6246" i="1"/>
  <c r="F6245" i="1"/>
  <c r="B6245" i="1" s="1"/>
  <c r="C6245" i="1"/>
  <c r="F6244" i="1"/>
  <c r="B6244" i="1" s="1"/>
  <c r="C6244" i="1"/>
  <c r="F6243" i="1"/>
  <c r="B6243" i="1" s="1"/>
  <c r="C6243" i="1"/>
  <c r="F6242" i="1"/>
  <c r="B6242" i="1" s="1"/>
  <c r="C6242" i="1"/>
  <c r="F6241" i="1"/>
  <c r="B6241" i="1" s="1"/>
  <c r="C6241" i="1"/>
  <c r="F6240" i="1"/>
  <c r="B6240" i="1" s="1"/>
  <c r="C6240" i="1"/>
  <c r="F6239" i="1"/>
  <c r="B6239" i="1" s="1"/>
  <c r="C6239" i="1"/>
  <c r="F6238" i="1"/>
  <c r="B6238" i="1" s="1"/>
  <c r="C6238" i="1"/>
  <c r="F6237" i="1"/>
  <c r="B6237" i="1" s="1"/>
  <c r="C6237" i="1"/>
  <c r="F6236" i="1"/>
  <c r="B6236" i="1" s="1"/>
  <c r="C6236" i="1"/>
  <c r="F6235" i="1"/>
  <c r="B6235" i="1" s="1"/>
  <c r="C6235" i="1"/>
  <c r="F6234" i="1"/>
  <c r="B6234" i="1" s="1"/>
  <c r="C6234" i="1"/>
  <c r="F6233" i="1"/>
  <c r="B6233" i="1" s="1"/>
  <c r="C6233" i="1"/>
  <c r="F6232" i="1"/>
  <c r="B6232" i="1" s="1"/>
  <c r="C6232" i="1"/>
  <c r="F6231" i="1"/>
  <c r="B6231" i="1" s="1"/>
  <c r="C6231" i="1"/>
  <c r="F6230" i="1"/>
  <c r="B6230" i="1" s="1"/>
  <c r="C6230" i="1"/>
  <c r="F6229" i="1"/>
  <c r="B6229" i="1" s="1"/>
  <c r="C6229" i="1"/>
  <c r="F6228" i="1"/>
  <c r="C6228" i="1"/>
  <c r="F6227" i="1"/>
  <c r="B6227" i="1" s="1"/>
  <c r="C6227" i="1"/>
  <c r="F6226" i="1"/>
  <c r="B6226" i="1" s="1"/>
  <c r="C6226" i="1"/>
  <c r="F6225" i="1"/>
  <c r="B6225" i="1" s="1"/>
  <c r="C6225" i="1"/>
  <c r="F6224" i="1"/>
  <c r="B6224" i="1" s="1"/>
  <c r="C6224" i="1"/>
  <c r="F6223" i="1"/>
  <c r="C6223" i="1"/>
  <c r="F6222" i="1"/>
  <c r="B6222" i="1" s="1"/>
  <c r="C6222" i="1"/>
  <c r="F6221" i="1"/>
  <c r="B6221" i="1" s="1"/>
  <c r="C6221" i="1"/>
  <c r="F6220" i="1"/>
  <c r="C6220" i="1"/>
  <c r="F6219" i="1"/>
  <c r="B6219" i="1" s="1"/>
  <c r="C6219" i="1"/>
  <c r="F6218" i="1"/>
  <c r="B6218" i="1" s="1"/>
  <c r="C6218" i="1"/>
  <c r="F6217" i="1"/>
  <c r="B6217" i="1" s="1"/>
  <c r="C6217" i="1"/>
  <c r="F6216" i="1"/>
  <c r="B6216" i="1" s="1"/>
  <c r="C6216" i="1"/>
  <c r="F6215" i="1"/>
  <c r="B6215" i="1" s="1"/>
  <c r="C6215" i="1"/>
  <c r="F6214" i="1"/>
  <c r="B6214" i="1" s="1"/>
  <c r="C6214" i="1"/>
  <c r="F6213" i="1"/>
  <c r="B6213" i="1" s="1"/>
  <c r="C6213" i="1"/>
  <c r="F6212" i="1"/>
  <c r="C6212" i="1"/>
  <c r="F6211" i="1"/>
  <c r="B6211" i="1" s="1"/>
  <c r="C6211" i="1"/>
  <c r="F6210" i="1"/>
  <c r="B6210" i="1" s="1"/>
  <c r="C6210" i="1"/>
  <c r="F6209" i="1"/>
  <c r="B6209" i="1" s="1"/>
  <c r="C6209" i="1"/>
  <c r="F6208" i="1"/>
  <c r="B6208" i="1" s="1"/>
  <c r="C6208" i="1"/>
  <c r="F6207" i="1"/>
  <c r="C6207" i="1"/>
  <c r="F6206" i="1"/>
  <c r="B6206" i="1" s="1"/>
  <c r="C6206" i="1"/>
  <c r="F6205" i="1"/>
  <c r="B6205" i="1" s="1"/>
  <c r="C6205" i="1"/>
  <c r="F6204" i="1"/>
  <c r="B6204" i="1" s="1"/>
  <c r="C6204" i="1"/>
  <c r="F6203" i="1"/>
  <c r="B6203" i="1" s="1"/>
  <c r="C6203" i="1"/>
  <c r="F6202" i="1"/>
  <c r="B6202" i="1" s="1"/>
  <c r="C6202" i="1"/>
  <c r="F6201" i="1"/>
  <c r="B6201" i="1" s="1"/>
  <c r="C6201" i="1"/>
  <c r="F6200" i="1"/>
  <c r="B6200" i="1" s="1"/>
  <c r="C6200" i="1"/>
  <c r="F6199" i="1"/>
  <c r="C6199" i="1"/>
  <c r="F6198" i="1"/>
  <c r="B6198" i="1" s="1"/>
  <c r="C6198" i="1"/>
  <c r="F6197" i="1"/>
  <c r="B6197" i="1" s="1"/>
  <c r="C6197" i="1"/>
  <c r="F6196" i="1"/>
  <c r="B6196" i="1" s="1"/>
  <c r="C6196" i="1"/>
  <c r="F6195" i="1"/>
  <c r="B6195" i="1" s="1"/>
  <c r="C6195" i="1"/>
  <c r="F6194" i="1"/>
  <c r="B6194" i="1" s="1"/>
  <c r="C6194" i="1"/>
  <c r="F6193" i="1"/>
  <c r="B6193" i="1" s="1"/>
  <c r="C6193" i="1"/>
  <c r="F6192" i="1"/>
  <c r="B6192" i="1" s="1"/>
  <c r="C6192" i="1"/>
  <c r="F6191" i="1"/>
  <c r="C6191" i="1"/>
  <c r="F6190" i="1"/>
  <c r="B6190" i="1" s="1"/>
  <c r="C6190" i="1"/>
  <c r="F6189" i="1"/>
  <c r="B6189" i="1" s="1"/>
  <c r="C6189" i="1"/>
  <c r="F6188" i="1"/>
  <c r="C6188" i="1"/>
  <c r="F6187" i="1"/>
  <c r="B6187" i="1" s="1"/>
  <c r="C6187" i="1"/>
  <c r="F6186" i="1"/>
  <c r="B6186" i="1" s="1"/>
  <c r="C6186" i="1"/>
  <c r="F6185" i="1"/>
  <c r="B6185" i="1" s="1"/>
  <c r="C6185" i="1"/>
  <c r="F6184" i="1"/>
  <c r="B6184" i="1" s="1"/>
  <c r="C6184" i="1"/>
  <c r="F6183" i="1"/>
  <c r="B6183" i="1" s="1"/>
  <c r="C6183" i="1"/>
  <c r="F6182" i="1"/>
  <c r="B6182" i="1" s="1"/>
  <c r="C6182" i="1"/>
  <c r="F6181" i="1"/>
  <c r="B6181" i="1" s="1"/>
  <c r="C6181" i="1"/>
  <c r="F6180" i="1"/>
  <c r="B6180" i="1" s="1"/>
  <c r="C6180" i="1"/>
  <c r="F6179" i="1"/>
  <c r="B6179" i="1" s="1"/>
  <c r="C6179" i="1"/>
  <c r="F6178" i="1"/>
  <c r="B6178" i="1" s="1"/>
  <c r="C6178" i="1"/>
  <c r="F6177" i="1"/>
  <c r="B6177" i="1" s="1"/>
  <c r="C6177" i="1"/>
  <c r="F6176" i="1"/>
  <c r="B6176" i="1" s="1"/>
  <c r="C6176" i="1"/>
  <c r="F6175" i="1"/>
  <c r="B6175" i="1" s="1"/>
  <c r="C6175" i="1"/>
  <c r="F6174" i="1"/>
  <c r="B6174" i="1" s="1"/>
  <c r="C6174" i="1"/>
  <c r="F6173" i="1"/>
  <c r="B6173" i="1" s="1"/>
  <c r="C6173" i="1"/>
  <c r="F6172" i="1"/>
  <c r="B6172" i="1" s="1"/>
  <c r="C6172" i="1"/>
  <c r="F6171" i="1"/>
  <c r="B6171" i="1" s="1"/>
  <c r="C6171" i="1"/>
  <c r="F6170" i="1"/>
  <c r="B6170" i="1" s="1"/>
  <c r="C6170" i="1"/>
  <c r="F6169" i="1"/>
  <c r="B6169" i="1" s="1"/>
  <c r="C6169" i="1"/>
  <c r="F6168" i="1"/>
  <c r="B6168" i="1" s="1"/>
  <c r="C6168" i="1"/>
  <c r="F6167" i="1"/>
  <c r="B6167" i="1" s="1"/>
  <c r="C6167" i="1"/>
  <c r="F6166" i="1"/>
  <c r="B6166" i="1" s="1"/>
  <c r="C6166" i="1"/>
  <c r="F6165" i="1"/>
  <c r="B6165" i="1" s="1"/>
  <c r="C6165" i="1"/>
  <c r="F6164" i="1"/>
  <c r="B6164" i="1" s="1"/>
  <c r="C6164" i="1"/>
  <c r="F6163" i="1"/>
  <c r="B6163" i="1" s="1"/>
  <c r="C6163" i="1"/>
  <c r="F6162" i="1"/>
  <c r="B6162" i="1" s="1"/>
  <c r="C6162" i="1"/>
  <c r="F6161" i="1"/>
  <c r="B6161" i="1" s="1"/>
  <c r="C6161" i="1"/>
  <c r="F6160" i="1"/>
  <c r="B6160" i="1" s="1"/>
  <c r="C6160" i="1"/>
  <c r="F6159" i="1"/>
  <c r="B6159" i="1" s="1"/>
  <c r="C6159" i="1"/>
  <c r="F6158" i="1"/>
  <c r="B6158" i="1" s="1"/>
  <c r="C6158" i="1"/>
  <c r="F6157" i="1"/>
  <c r="B6157" i="1" s="1"/>
  <c r="C6157" i="1"/>
  <c r="F6156" i="1"/>
  <c r="B6156" i="1" s="1"/>
  <c r="C6156" i="1"/>
  <c r="F6155" i="1"/>
  <c r="B6155" i="1" s="1"/>
  <c r="C6155" i="1"/>
  <c r="F6154" i="1"/>
  <c r="B6154" i="1" s="1"/>
  <c r="C6154" i="1"/>
  <c r="F6153" i="1"/>
  <c r="B6153" i="1" s="1"/>
  <c r="C6153" i="1"/>
  <c r="F6152" i="1"/>
  <c r="B6152" i="1" s="1"/>
  <c r="C6152" i="1"/>
  <c r="F6151" i="1"/>
  <c r="B6151" i="1" s="1"/>
  <c r="C6151" i="1"/>
  <c r="F6150" i="1"/>
  <c r="B6150" i="1" s="1"/>
  <c r="C6150" i="1"/>
  <c r="F6149" i="1"/>
  <c r="B6149" i="1" s="1"/>
  <c r="C6149" i="1"/>
  <c r="F6148" i="1"/>
  <c r="B6148" i="1" s="1"/>
  <c r="C6148" i="1"/>
  <c r="F6147" i="1"/>
  <c r="B6147" i="1" s="1"/>
  <c r="C6147" i="1"/>
  <c r="F6146" i="1"/>
  <c r="B6146" i="1" s="1"/>
  <c r="C6146" i="1"/>
  <c r="F6145" i="1"/>
  <c r="B6145" i="1" s="1"/>
  <c r="C6145" i="1"/>
  <c r="F6144" i="1"/>
  <c r="B6144" i="1" s="1"/>
  <c r="C6144" i="1"/>
  <c r="F6143" i="1"/>
  <c r="B6143" i="1" s="1"/>
  <c r="C6143" i="1"/>
  <c r="F6142" i="1"/>
  <c r="B6142" i="1" s="1"/>
  <c r="C6142" i="1"/>
  <c r="F6141" i="1"/>
  <c r="B6141" i="1" s="1"/>
  <c r="C6141" i="1"/>
  <c r="F6140" i="1"/>
  <c r="C6140" i="1"/>
  <c r="F6139" i="1"/>
  <c r="B6139" i="1" s="1"/>
  <c r="C6139" i="1"/>
  <c r="F6138" i="1"/>
  <c r="B6138" i="1" s="1"/>
  <c r="C6138" i="1"/>
  <c r="F6137" i="1"/>
  <c r="B6137" i="1" s="1"/>
  <c r="C6137" i="1"/>
  <c r="F6136" i="1"/>
  <c r="B6136" i="1" s="1"/>
  <c r="C6136" i="1"/>
  <c r="F6135" i="1"/>
  <c r="B6135" i="1" s="1"/>
  <c r="C6135" i="1"/>
  <c r="F6134" i="1"/>
  <c r="B6134" i="1" s="1"/>
  <c r="C6134" i="1"/>
  <c r="F6133" i="1"/>
  <c r="B6133" i="1" s="1"/>
  <c r="C6133" i="1"/>
  <c r="F6132" i="1"/>
  <c r="B6132" i="1" s="1"/>
  <c r="C6132" i="1"/>
  <c r="F6131" i="1"/>
  <c r="B6131" i="1" s="1"/>
  <c r="C6131" i="1"/>
  <c r="F6130" i="1"/>
  <c r="B6130" i="1" s="1"/>
  <c r="C6130" i="1"/>
  <c r="F6129" i="1"/>
  <c r="B6129" i="1" s="1"/>
  <c r="C6129" i="1"/>
  <c r="F6128" i="1"/>
  <c r="B6128" i="1" s="1"/>
  <c r="C6128" i="1"/>
  <c r="F6127" i="1"/>
  <c r="B6127" i="1" s="1"/>
  <c r="C6127" i="1"/>
  <c r="F6126" i="1"/>
  <c r="C6126" i="1"/>
  <c r="F6125" i="1"/>
  <c r="B6125" i="1" s="1"/>
  <c r="C6125" i="1"/>
  <c r="F6124" i="1"/>
  <c r="B6124" i="1" s="1"/>
  <c r="C6124" i="1"/>
  <c r="F6123" i="1"/>
  <c r="B6123" i="1" s="1"/>
  <c r="C6123" i="1"/>
  <c r="F6122" i="1"/>
  <c r="B6122" i="1" s="1"/>
  <c r="C6122" i="1"/>
  <c r="F6121" i="1"/>
  <c r="B6121" i="1" s="1"/>
  <c r="C6121" i="1"/>
  <c r="F6120" i="1"/>
  <c r="B6120" i="1" s="1"/>
  <c r="C6120" i="1"/>
  <c r="F6119" i="1"/>
  <c r="C6119" i="1"/>
  <c r="F6118" i="1"/>
  <c r="B6118" i="1" s="1"/>
  <c r="C6118" i="1"/>
  <c r="F6117" i="1"/>
  <c r="B6117" i="1" s="1"/>
  <c r="C6117" i="1"/>
  <c r="F6116" i="1"/>
  <c r="C6116" i="1"/>
  <c r="F6115" i="1"/>
  <c r="B6115" i="1" s="1"/>
  <c r="C6115" i="1"/>
  <c r="F6114" i="1"/>
  <c r="B6114" i="1" s="1"/>
  <c r="C6114" i="1"/>
  <c r="F6113" i="1"/>
  <c r="B6113" i="1" s="1"/>
  <c r="C6113" i="1"/>
  <c r="F6112" i="1"/>
  <c r="B6112" i="1" s="1"/>
  <c r="C6112" i="1"/>
  <c r="F6111" i="1"/>
  <c r="B6111" i="1" s="1"/>
  <c r="C6111" i="1"/>
  <c r="F6110" i="1"/>
  <c r="B6110" i="1" s="1"/>
  <c r="C6110" i="1"/>
  <c r="F6109" i="1"/>
  <c r="B6109" i="1" s="1"/>
  <c r="C6109" i="1"/>
  <c r="F6108" i="1"/>
  <c r="B6108" i="1" s="1"/>
  <c r="C6108" i="1"/>
  <c r="F6107" i="1"/>
  <c r="B6107" i="1" s="1"/>
  <c r="C6107" i="1"/>
  <c r="F6106" i="1"/>
  <c r="B6106" i="1" s="1"/>
  <c r="C6106" i="1"/>
  <c r="F6105" i="1"/>
  <c r="B6105" i="1" s="1"/>
  <c r="C6105" i="1"/>
  <c r="F6104" i="1"/>
  <c r="B6104" i="1" s="1"/>
  <c r="C6104" i="1"/>
  <c r="F6103" i="1"/>
  <c r="B6103" i="1" s="1"/>
  <c r="C6103" i="1"/>
  <c r="F6102" i="1"/>
  <c r="B6102" i="1" s="1"/>
  <c r="C6102" i="1"/>
  <c r="F6101" i="1"/>
  <c r="B6101" i="1" s="1"/>
  <c r="C6101" i="1"/>
  <c r="F6100" i="1"/>
  <c r="B6100" i="1" s="1"/>
  <c r="C6100" i="1"/>
  <c r="F6099" i="1"/>
  <c r="B6099" i="1" s="1"/>
  <c r="C6099" i="1"/>
  <c r="F6098" i="1"/>
  <c r="B6098" i="1" s="1"/>
  <c r="C6098" i="1"/>
  <c r="F6097" i="1"/>
  <c r="B6097" i="1" s="1"/>
  <c r="C6097" i="1"/>
  <c r="F6096" i="1"/>
  <c r="B6096" i="1" s="1"/>
  <c r="C6096" i="1"/>
  <c r="F6095" i="1"/>
  <c r="B6095" i="1" s="1"/>
  <c r="C6095" i="1"/>
  <c r="F6094" i="1"/>
  <c r="B6094" i="1" s="1"/>
  <c r="C6094" i="1"/>
  <c r="F6093" i="1"/>
  <c r="B6093" i="1" s="1"/>
  <c r="C6093" i="1"/>
  <c r="F6092" i="1"/>
  <c r="C6092" i="1"/>
  <c r="F6091" i="1"/>
  <c r="B6091" i="1" s="1"/>
  <c r="C6091" i="1"/>
  <c r="F6090" i="1"/>
  <c r="B6090" i="1" s="1"/>
  <c r="C6090" i="1"/>
  <c r="F6089" i="1"/>
  <c r="B6089" i="1" s="1"/>
  <c r="C6089" i="1"/>
  <c r="F6088" i="1"/>
  <c r="B6088" i="1" s="1"/>
  <c r="C6088" i="1"/>
  <c r="F6087" i="1"/>
  <c r="B6087" i="1" s="1"/>
  <c r="C6087" i="1"/>
  <c r="F6086" i="1"/>
  <c r="C6086" i="1"/>
  <c r="F6085" i="1"/>
  <c r="B6085" i="1" s="1"/>
  <c r="C6085" i="1"/>
  <c r="F6084" i="1"/>
  <c r="B6084" i="1" s="1"/>
  <c r="C6084" i="1"/>
  <c r="F6083" i="1"/>
  <c r="B6083" i="1" s="1"/>
  <c r="C6083" i="1"/>
  <c r="F6082" i="1"/>
  <c r="B6082" i="1" s="1"/>
  <c r="C6082" i="1"/>
  <c r="F6081" i="1"/>
  <c r="B6081" i="1" s="1"/>
  <c r="C6081" i="1"/>
  <c r="F6080" i="1"/>
  <c r="B6080" i="1" s="1"/>
  <c r="C6080" i="1"/>
  <c r="F6079" i="1"/>
  <c r="C6079" i="1"/>
  <c r="F6078" i="1"/>
  <c r="C6078" i="1"/>
  <c r="F6077" i="1"/>
  <c r="B6077" i="1" s="1"/>
  <c r="C6077" i="1"/>
  <c r="F6076" i="1"/>
  <c r="C6076" i="1"/>
  <c r="F6075" i="1"/>
  <c r="B6075" i="1" s="1"/>
  <c r="C6075" i="1"/>
  <c r="F6074" i="1"/>
  <c r="B6074" i="1" s="1"/>
  <c r="C6074" i="1"/>
  <c r="F6073" i="1"/>
  <c r="B6073" i="1" s="1"/>
  <c r="C6073" i="1"/>
  <c r="F6072" i="1"/>
  <c r="B6072" i="1" s="1"/>
  <c r="C6072" i="1"/>
  <c r="F6071" i="1"/>
  <c r="B6071" i="1" s="1"/>
  <c r="C6071" i="1"/>
  <c r="F6070" i="1"/>
  <c r="C6070" i="1"/>
  <c r="F6069" i="1"/>
  <c r="B6069" i="1" s="1"/>
  <c r="C6069" i="1"/>
  <c r="F6068" i="1"/>
  <c r="B6068" i="1" s="1"/>
  <c r="C6068" i="1"/>
  <c r="F6067" i="1"/>
  <c r="B6067" i="1" s="1"/>
  <c r="C6067" i="1"/>
  <c r="F6066" i="1"/>
  <c r="B6066" i="1" s="1"/>
  <c r="C6066" i="1"/>
  <c r="F6065" i="1"/>
  <c r="B6065" i="1" s="1"/>
  <c r="C6065" i="1"/>
  <c r="F6064" i="1"/>
  <c r="B6064" i="1" s="1"/>
  <c r="C6064" i="1"/>
  <c r="F6063" i="1"/>
  <c r="B6063" i="1" s="1"/>
  <c r="C6063" i="1"/>
  <c r="F6062" i="1"/>
  <c r="C6062" i="1"/>
  <c r="F6061" i="1"/>
  <c r="B6061" i="1" s="1"/>
  <c r="C6061" i="1"/>
  <c r="F6060" i="1"/>
  <c r="B6060" i="1" s="1"/>
  <c r="C6060" i="1"/>
  <c r="F6059" i="1"/>
  <c r="B6059" i="1" s="1"/>
  <c r="C6059" i="1"/>
  <c r="F6058" i="1"/>
  <c r="B6058" i="1" s="1"/>
  <c r="C6058" i="1"/>
  <c r="F6057" i="1"/>
  <c r="B6057" i="1" s="1"/>
  <c r="C6057" i="1"/>
  <c r="F6056" i="1"/>
  <c r="B6056" i="1" s="1"/>
  <c r="C6056" i="1"/>
  <c r="F6055" i="1"/>
  <c r="C6055" i="1"/>
  <c r="F6054" i="1"/>
  <c r="B6054" i="1" s="1"/>
  <c r="C6054" i="1"/>
  <c r="F6053" i="1"/>
  <c r="B6053" i="1" s="1"/>
  <c r="C6053" i="1"/>
  <c r="F6052" i="1"/>
  <c r="B6052" i="1" s="1"/>
  <c r="C6052" i="1"/>
  <c r="F6051" i="1"/>
  <c r="B6051" i="1" s="1"/>
  <c r="C6051" i="1"/>
  <c r="F6050" i="1"/>
  <c r="B6050" i="1" s="1"/>
  <c r="C6050" i="1"/>
  <c r="F6049" i="1"/>
  <c r="B6049" i="1" s="1"/>
  <c r="C6049" i="1"/>
  <c r="F6048" i="1"/>
  <c r="B6048" i="1" s="1"/>
  <c r="C6048" i="1"/>
  <c r="F6047" i="1"/>
  <c r="B6047" i="1" s="1"/>
  <c r="C6047" i="1"/>
  <c r="F6046" i="1"/>
  <c r="C6046" i="1"/>
  <c r="F6045" i="1"/>
  <c r="B6045" i="1" s="1"/>
  <c r="C6045" i="1"/>
  <c r="F6044" i="1"/>
  <c r="C6044" i="1"/>
  <c r="F6043" i="1"/>
  <c r="B6043" i="1" s="1"/>
  <c r="C6043" i="1"/>
  <c r="F6042" i="1"/>
  <c r="B6042" i="1" s="1"/>
  <c r="C6042" i="1"/>
  <c r="F6041" i="1"/>
  <c r="B6041" i="1" s="1"/>
  <c r="C6041" i="1"/>
  <c r="F6040" i="1"/>
  <c r="B6040" i="1" s="1"/>
  <c r="C6040" i="1"/>
  <c r="F6039" i="1"/>
  <c r="B6039" i="1" s="1"/>
  <c r="C6039" i="1"/>
  <c r="F6038" i="1"/>
  <c r="B6038" i="1" s="1"/>
  <c r="C6038" i="1"/>
  <c r="F6037" i="1"/>
  <c r="B6037" i="1" s="1"/>
  <c r="C6037" i="1"/>
  <c r="F6036" i="1"/>
  <c r="B6036" i="1" s="1"/>
  <c r="C6036" i="1"/>
  <c r="F6035" i="1"/>
  <c r="B6035" i="1" s="1"/>
  <c r="C6035" i="1"/>
  <c r="F6034" i="1"/>
  <c r="B6034" i="1" s="1"/>
  <c r="C6034" i="1"/>
  <c r="F6033" i="1"/>
  <c r="B6033" i="1" s="1"/>
  <c r="C6033" i="1"/>
  <c r="F6032" i="1"/>
  <c r="B6032" i="1" s="1"/>
  <c r="C6032" i="1"/>
  <c r="F6031" i="1"/>
  <c r="B6031" i="1" s="1"/>
  <c r="C6031" i="1"/>
  <c r="F6030" i="1"/>
  <c r="B6030" i="1" s="1"/>
  <c r="C6030" i="1"/>
  <c r="F6029" i="1"/>
  <c r="B6029" i="1" s="1"/>
  <c r="C6029" i="1"/>
  <c r="F6028" i="1"/>
  <c r="C6028" i="1"/>
  <c r="F6027" i="1"/>
  <c r="B6027" i="1" s="1"/>
  <c r="C6027" i="1"/>
  <c r="F6026" i="1"/>
  <c r="B6026" i="1" s="1"/>
  <c r="C6026" i="1"/>
  <c r="F6025" i="1"/>
  <c r="B6025" i="1" s="1"/>
  <c r="C6025" i="1"/>
  <c r="F6024" i="1"/>
  <c r="B6024" i="1" s="1"/>
  <c r="C6024" i="1"/>
  <c r="F6023" i="1"/>
  <c r="C6023" i="1"/>
  <c r="F6022" i="1"/>
  <c r="B6022" i="1" s="1"/>
  <c r="C6022" i="1"/>
  <c r="F6021" i="1"/>
  <c r="B6021" i="1" s="1"/>
  <c r="C6021" i="1"/>
  <c r="F6020" i="1"/>
  <c r="B6020" i="1" s="1"/>
  <c r="C6020" i="1"/>
  <c r="F6019" i="1"/>
  <c r="B6019" i="1" s="1"/>
  <c r="C6019" i="1"/>
  <c r="F6018" i="1"/>
  <c r="B6018" i="1" s="1"/>
  <c r="C6018" i="1"/>
  <c r="F6017" i="1"/>
  <c r="B6017" i="1" s="1"/>
  <c r="C6017" i="1"/>
  <c r="F6016" i="1"/>
  <c r="B6016" i="1" s="1"/>
  <c r="C6016" i="1"/>
  <c r="F6015" i="1"/>
  <c r="C6015" i="1"/>
  <c r="F6014" i="1"/>
  <c r="B6014" i="1" s="1"/>
  <c r="C6014" i="1"/>
  <c r="F6013" i="1"/>
  <c r="B6013" i="1" s="1"/>
  <c r="C6013" i="1"/>
  <c r="F6012" i="1"/>
  <c r="B6012" i="1" s="1"/>
  <c r="C6012" i="1"/>
  <c r="F6011" i="1"/>
  <c r="B6011" i="1" s="1"/>
  <c r="C6011" i="1"/>
  <c r="F6010" i="1"/>
  <c r="B6010" i="1" s="1"/>
  <c r="C6010" i="1"/>
  <c r="F6009" i="1"/>
  <c r="B6009" i="1" s="1"/>
  <c r="C6009" i="1"/>
  <c r="F6008" i="1"/>
  <c r="B6008" i="1" s="1"/>
  <c r="C6008" i="1"/>
  <c r="F6007" i="1"/>
  <c r="B6007" i="1" s="1"/>
  <c r="C6007" i="1"/>
  <c r="F6006" i="1"/>
  <c r="B6006" i="1" s="1"/>
  <c r="C6006" i="1"/>
  <c r="F6005" i="1"/>
  <c r="B6005" i="1" s="1"/>
  <c r="C6005" i="1"/>
  <c r="F6004" i="1"/>
  <c r="B6004" i="1" s="1"/>
  <c r="C6004" i="1"/>
  <c r="F6003" i="1"/>
  <c r="B6003" i="1" s="1"/>
  <c r="C6003" i="1"/>
  <c r="F6002" i="1"/>
  <c r="B6002" i="1" s="1"/>
  <c r="C6002" i="1"/>
  <c r="F6001" i="1"/>
  <c r="B6001" i="1" s="1"/>
  <c r="C6001" i="1"/>
  <c r="F6000" i="1"/>
  <c r="B6000" i="1" s="1"/>
  <c r="C6000" i="1"/>
  <c r="F5999" i="1"/>
  <c r="C5999" i="1"/>
  <c r="F5998" i="1"/>
  <c r="B5998" i="1" s="1"/>
  <c r="C5998" i="1"/>
  <c r="F5997" i="1"/>
  <c r="B5997" i="1" s="1"/>
  <c r="C5997" i="1"/>
  <c r="F5996" i="1"/>
  <c r="B5996" i="1" s="1"/>
  <c r="C5996" i="1"/>
  <c r="F5995" i="1"/>
  <c r="B5995" i="1" s="1"/>
  <c r="C5995" i="1"/>
  <c r="F5994" i="1"/>
  <c r="B5994" i="1" s="1"/>
  <c r="C5994" i="1"/>
  <c r="F5993" i="1"/>
  <c r="B5993" i="1" s="1"/>
  <c r="C5993" i="1"/>
  <c r="F5992" i="1"/>
  <c r="B5992" i="1" s="1"/>
  <c r="C5992" i="1"/>
  <c r="F5991" i="1"/>
  <c r="B5991" i="1" s="1"/>
  <c r="C5991" i="1"/>
  <c r="F5990" i="1"/>
  <c r="B5990" i="1" s="1"/>
  <c r="C5990" i="1"/>
  <c r="F5989" i="1"/>
  <c r="B5989" i="1" s="1"/>
  <c r="C5989" i="1"/>
  <c r="F5988" i="1"/>
  <c r="B5988" i="1" s="1"/>
  <c r="C5988" i="1"/>
  <c r="F5987" i="1"/>
  <c r="B5987" i="1" s="1"/>
  <c r="C5987" i="1"/>
  <c r="F5986" i="1"/>
  <c r="B5986" i="1" s="1"/>
  <c r="C5986" i="1"/>
  <c r="F5985" i="1"/>
  <c r="C5985" i="1"/>
  <c r="F5984" i="1"/>
  <c r="B5984" i="1" s="1"/>
  <c r="C5984" i="1"/>
  <c r="F5983" i="1"/>
  <c r="B5983" i="1" s="1"/>
  <c r="C5983" i="1"/>
  <c r="F5982" i="1"/>
  <c r="B5982" i="1" s="1"/>
  <c r="C5982" i="1"/>
  <c r="F5981" i="1"/>
  <c r="B5981" i="1" s="1"/>
  <c r="C5981" i="1"/>
  <c r="F5980" i="1"/>
  <c r="B5980" i="1" s="1"/>
  <c r="C5980" i="1"/>
  <c r="F5979" i="1"/>
  <c r="B5979" i="1" s="1"/>
  <c r="C5979" i="1"/>
  <c r="F5978" i="1"/>
  <c r="B5978" i="1" s="1"/>
  <c r="C5978" i="1"/>
  <c r="F5977" i="1"/>
  <c r="B5977" i="1" s="1"/>
  <c r="C5977" i="1"/>
  <c r="F5976" i="1"/>
  <c r="B5976" i="1" s="1"/>
  <c r="C5976" i="1"/>
  <c r="F5975" i="1"/>
  <c r="B5975" i="1" s="1"/>
  <c r="C5975" i="1"/>
  <c r="F5974" i="1"/>
  <c r="B5974" i="1" s="1"/>
  <c r="C5974" i="1"/>
  <c r="F5973" i="1"/>
  <c r="B5973" i="1" s="1"/>
  <c r="C5973" i="1"/>
  <c r="F5972" i="1"/>
  <c r="B5972" i="1" s="1"/>
  <c r="C5972" i="1"/>
  <c r="F5971" i="1"/>
  <c r="B5971" i="1" s="1"/>
  <c r="C5971" i="1"/>
  <c r="F5970" i="1"/>
  <c r="B5970" i="1" s="1"/>
  <c r="C5970" i="1"/>
  <c r="F5969" i="1"/>
  <c r="C5969" i="1"/>
  <c r="F5968" i="1"/>
  <c r="B5968" i="1" s="1"/>
  <c r="C5968" i="1"/>
  <c r="F5967" i="1"/>
  <c r="B5967" i="1" s="1"/>
  <c r="C5967" i="1"/>
  <c r="F5966" i="1"/>
  <c r="B5966" i="1" s="1"/>
  <c r="C5966" i="1"/>
  <c r="F5965" i="1"/>
  <c r="B5965" i="1" s="1"/>
  <c r="C5965" i="1"/>
  <c r="F5964" i="1"/>
  <c r="B5964" i="1" s="1"/>
  <c r="C5964" i="1"/>
  <c r="F5963" i="1"/>
  <c r="B5963" i="1" s="1"/>
  <c r="C5963" i="1"/>
  <c r="F5962" i="1"/>
  <c r="B5962" i="1" s="1"/>
  <c r="C5962" i="1"/>
  <c r="F5961" i="1"/>
  <c r="B5961" i="1" s="1"/>
  <c r="C5961" i="1"/>
  <c r="F5960" i="1"/>
  <c r="B5960" i="1" s="1"/>
  <c r="C5960" i="1"/>
  <c r="F5959" i="1"/>
  <c r="B5959" i="1" s="1"/>
  <c r="C5959" i="1"/>
  <c r="F5958" i="1"/>
  <c r="B5958" i="1" s="1"/>
  <c r="C5958" i="1"/>
  <c r="F5957" i="1"/>
  <c r="B5957" i="1" s="1"/>
  <c r="C5957" i="1"/>
  <c r="F5956" i="1"/>
  <c r="B5956" i="1" s="1"/>
  <c r="C5956" i="1"/>
  <c r="F5955" i="1"/>
  <c r="B5955" i="1" s="1"/>
  <c r="C5955" i="1"/>
  <c r="F5954" i="1"/>
  <c r="B5954" i="1" s="1"/>
  <c r="C5954" i="1"/>
  <c r="F5953" i="1"/>
  <c r="C5953" i="1"/>
  <c r="F5952" i="1"/>
  <c r="B5952" i="1" s="1"/>
  <c r="C5952" i="1"/>
  <c r="F5951" i="1"/>
  <c r="B5951" i="1" s="1"/>
  <c r="C5951" i="1"/>
  <c r="F5950" i="1"/>
  <c r="B5950" i="1" s="1"/>
  <c r="C5950" i="1"/>
  <c r="F5949" i="1"/>
  <c r="B5949" i="1" s="1"/>
  <c r="C5949" i="1"/>
  <c r="F5948" i="1"/>
  <c r="B5948" i="1" s="1"/>
  <c r="C5948" i="1"/>
  <c r="F5947" i="1"/>
  <c r="B5947" i="1" s="1"/>
  <c r="C5947" i="1"/>
  <c r="F5946" i="1"/>
  <c r="B5946" i="1" s="1"/>
  <c r="C5946" i="1"/>
  <c r="F5945" i="1"/>
  <c r="B5945" i="1" s="1"/>
  <c r="C5945" i="1"/>
  <c r="F5944" i="1"/>
  <c r="B5944" i="1" s="1"/>
  <c r="C5944" i="1"/>
  <c r="F5943" i="1"/>
  <c r="B5943" i="1" s="1"/>
  <c r="C5943" i="1"/>
  <c r="F5942" i="1"/>
  <c r="B5942" i="1" s="1"/>
  <c r="C5942" i="1"/>
  <c r="F5941" i="1"/>
  <c r="B5941" i="1" s="1"/>
  <c r="C5941" i="1"/>
  <c r="F5940" i="1"/>
  <c r="B5940" i="1" s="1"/>
  <c r="C5940" i="1"/>
  <c r="F5939" i="1"/>
  <c r="B5939" i="1" s="1"/>
  <c r="C5939" i="1"/>
  <c r="F5938" i="1"/>
  <c r="B5938" i="1" s="1"/>
  <c r="C5938" i="1"/>
  <c r="F5937" i="1"/>
  <c r="C5937" i="1"/>
  <c r="F5936" i="1"/>
  <c r="B5936" i="1" s="1"/>
  <c r="C5936" i="1"/>
  <c r="F5935" i="1"/>
  <c r="B5935" i="1" s="1"/>
  <c r="C5935" i="1"/>
  <c r="F5934" i="1"/>
  <c r="B5934" i="1" s="1"/>
  <c r="C5934" i="1"/>
  <c r="F5933" i="1"/>
  <c r="B5933" i="1" s="1"/>
  <c r="C5933" i="1"/>
  <c r="F5932" i="1"/>
  <c r="B5932" i="1" s="1"/>
  <c r="C5932" i="1"/>
  <c r="F5931" i="1"/>
  <c r="B5931" i="1" s="1"/>
  <c r="C5931" i="1"/>
  <c r="F5930" i="1"/>
  <c r="B5930" i="1" s="1"/>
  <c r="C5930" i="1"/>
  <c r="F5929" i="1"/>
  <c r="B5929" i="1" s="1"/>
  <c r="C5929" i="1"/>
  <c r="F5928" i="1"/>
  <c r="B5928" i="1" s="1"/>
  <c r="C5928" i="1"/>
  <c r="F5927" i="1"/>
  <c r="B5927" i="1" s="1"/>
  <c r="C5927" i="1"/>
  <c r="F5926" i="1"/>
  <c r="B5926" i="1" s="1"/>
  <c r="C5926" i="1"/>
  <c r="F5925" i="1"/>
  <c r="B5925" i="1" s="1"/>
  <c r="C5925" i="1"/>
  <c r="F5924" i="1"/>
  <c r="B5924" i="1" s="1"/>
  <c r="C5924" i="1"/>
  <c r="F5923" i="1"/>
  <c r="B5923" i="1" s="1"/>
  <c r="C5923" i="1"/>
  <c r="F5922" i="1"/>
  <c r="B5922" i="1" s="1"/>
  <c r="C5922" i="1"/>
  <c r="F5921" i="1"/>
  <c r="B5921" i="1" s="1"/>
  <c r="C5921" i="1"/>
  <c r="F5920" i="1"/>
  <c r="B5920" i="1" s="1"/>
  <c r="C5920" i="1"/>
  <c r="F5919" i="1"/>
  <c r="B5919" i="1" s="1"/>
  <c r="C5919" i="1"/>
  <c r="F5918" i="1"/>
  <c r="B5918" i="1" s="1"/>
  <c r="C5918" i="1"/>
  <c r="F5917" i="1"/>
  <c r="B5917" i="1" s="1"/>
  <c r="C5917" i="1"/>
  <c r="F5916" i="1"/>
  <c r="B5916" i="1" s="1"/>
  <c r="C5916" i="1"/>
  <c r="F5915" i="1"/>
  <c r="B5915" i="1" s="1"/>
  <c r="C5915" i="1"/>
  <c r="F5914" i="1"/>
  <c r="B5914" i="1" s="1"/>
  <c r="C5914" i="1"/>
  <c r="F5913" i="1"/>
  <c r="B5913" i="1" s="1"/>
  <c r="C5913" i="1"/>
  <c r="F5912" i="1"/>
  <c r="B5912" i="1" s="1"/>
  <c r="C5912" i="1"/>
  <c r="F5911" i="1"/>
  <c r="B5911" i="1" s="1"/>
  <c r="C5911" i="1"/>
  <c r="F5910" i="1"/>
  <c r="B5910" i="1" s="1"/>
  <c r="C5910" i="1"/>
  <c r="F5909" i="1"/>
  <c r="B5909" i="1" s="1"/>
  <c r="C5909" i="1"/>
  <c r="F5908" i="1"/>
  <c r="B5908" i="1" s="1"/>
  <c r="C5908" i="1"/>
  <c r="F5907" i="1"/>
  <c r="B5907" i="1" s="1"/>
  <c r="C5907" i="1"/>
  <c r="F5906" i="1"/>
  <c r="B5906" i="1" s="1"/>
  <c r="C5906" i="1"/>
  <c r="F5905" i="1"/>
  <c r="C5905" i="1"/>
  <c r="F5904" i="1"/>
  <c r="B5904" i="1" s="1"/>
  <c r="C5904" i="1"/>
  <c r="F5903" i="1"/>
  <c r="B5903" i="1" s="1"/>
  <c r="C5903" i="1"/>
  <c r="F5902" i="1"/>
  <c r="B5902" i="1" s="1"/>
  <c r="C5902" i="1"/>
  <c r="F5901" i="1"/>
  <c r="B5901" i="1" s="1"/>
  <c r="C5901" i="1"/>
  <c r="F5900" i="1"/>
  <c r="B5900" i="1" s="1"/>
  <c r="C5900" i="1"/>
  <c r="F5899" i="1"/>
  <c r="B5899" i="1" s="1"/>
  <c r="C5899" i="1"/>
  <c r="F5898" i="1"/>
  <c r="B5898" i="1" s="1"/>
  <c r="C5898" i="1"/>
  <c r="F5897" i="1"/>
  <c r="B5897" i="1" s="1"/>
  <c r="C5897" i="1"/>
  <c r="F5896" i="1"/>
  <c r="B5896" i="1" s="1"/>
  <c r="C5896" i="1"/>
  <c r="F5895" i="1"/>
  <c r="B5895" i="1" s="1"/>
  <c r="C5895" i="1"/>
  <c r="F5894" i="1"/>
  <c r="B5894" i="1" s="1"/>
  <c r="C5894" i="1"/>
  <c r="F5893" i="1"/>
  <c r="B5893" i="1" s="1"/>
  <c r="C5893" i="1"/>
  <c r="F5892" i="1"/>
  <c r="B5892" i="1" s="1"/>
  <c r="C5892" i="1"/>
  <c r="F5891" i="1"/>
  <c r="B5891" i="1" s="1"/>
  <c r="C5891" i="1"/>
  <c r="F5890" i="1"/>
  <c r="B5890" i="1" s="1"/>
  <c r="C5890" i="1"/>
  <c r="F5889" i="1"/>
  <c r="B5889" i="1" s="1"/>
  <c r="C5889" i="1"/>
  <c r="F5888" i="1"/>
  <c r="B5888" i="1" s="1"/>
  <c r="C5888" i="1"/>
  <c r="F5887" i="1"/>
  <c r="B5887" i="1" s="1"/>
  <c r="C5887" i="1"/>
  <c r="F5886" i="1"/>
  <c r="B5886" i="1" s="1"/>
  <c r="C5886" i="1"/>
  <c r="F5885" i="1"/>
  <c r="B5885" i="1" s="1"/>
  <c r="C5885" i="1"/>
  <c r="F5884" i="1"/>
  <c r="B5884" i="1" s="1"/>
  <c r="C5884" i="1"/>
  <c r="F5883" i="1"/>
  <c r="B5883" i="1" s="1"/>
  <c r="C5883" i="1"/>
  <c r="F5882" i="1"/>
  <c r="B5882" i="1" s="1"/>
  <c r="C5882" i="1"/>
  <c r="F5881" i="1"/>
  <c r="B5881" i="1" s="1"/>
  <c r="C5881" i="1"/>
  <c r="F5880" i="1"/>
  <c r="B5880" i="1" s="1"/>
  <c r="C5880" i="1"/>
  <c r="F5879" i="1"/>
  <c r="B5879" i="1" s="1"/>
  <c r="C5879" i="1"/>
  <c r="F5878" i="1"/>
  <c r="B5878" i="1" s="1"/>
  <c r="C5878" i="1"/>
  <c r="F5877" i="1"/>
  <c r="B5877" i="1" s="1"/>
  <c r="C5877" i="1"/>
  <c r="F5876" i="1"/>
  <c r="B5876" i="1" s="1"/>
  <c r="C5876" i="1"/>
  <c r="F5875" i="1"/>
  <c r="B5875" i="1" s="1"/>
  <c r="C5875" i="1"/>
  <c r="F5874" i="1"/>
  <c r="B5874" i="1" s="1"/>
  <c r="C5874" i="1"/>
  <c r="F5873" i="1"/>
  <c r="B5873" i="1" s="1"/>
  <c r="C5873" i="1"/>
  <c r="F5872" i="1"/>
  <c r="B5872" i="1" s="1"/>
  <c r="C5872" i="1"/>
  <c r="F5871" i="1"/>
  <c r="B5871" i="1" s="1"/>
  <c r="C5871" i="1"/>
  <c r="F5870" i="1"/>
  <c r="B5870" i="1" s="1"/>
  <c r="C5870" i="1"/>
  <c r="F5869" i="1"/>
  <c r="B5869" i="1" s="1"/>
  <c r="C5869" i="1"/>
  <c r="F5868" i="1"/>
  <c r="B5868" i="1" s="1"/>
  <c r="C5868" i="1"/>
  <c r="F5867" i="1"/>
  <c r="B5867" i="1" s="1"/>
  <c r="C5867" i="1"/>
  <c r="F5866" i="1"/>
  <c r="B5866" i="1" s="1"/>
  <c r="C5866" i="1"/>
  <c r="F5865" i="1"/>
  <c r="B5865" i="1" s="1"/>
  <c r="C5865" i="1"/>
  <c r="F5864" i="1"/>
  <c r="B5864" i="1" s="1"/>
  <c r="C5864" i="1"/>
  <c r="F5863" i="1"/>
  <c r="B5863" i="1" s="1"/>
  <c r="C5863" i="1"/>
  <c r="F5862" i="1"/>
  <c r="B5862" i="1" s="1"/>
  <c r="C5862" i="1"/>
  <c r="F5861" i="1"/>
  <c r="B5861" i="1" s="1"/>
  <c r="C5861" i="1"/>
  <c r="F5860" i="1"/>
  <c r="B5860" i="1" s="1"/>
  <c r="C5860" i="1"/>
  <c r="F5859" i="1"/>
  <c r="B5859" i="1" s="1"/>
  <c r="C5859" i="1"/>
  <c r="F5858" i="1"/>
  <c r="B5858" i="1" s="1"/>
  <c r="C5858" i="1"/>
  <c r="F5857" i="1"/>
  <c r="B5857" i="1" s="1"/>
  <c r="C5857" i="1"/>
  <c r="F5856" i="1"/>
  <c r="B5856" i="1" s="1"/>
  <c r="C5856" i="1"/>
  <c r="F5855" i="1"/>
  <c r="C5855" i="1"/>
  <c r="F5854" i="1"/>
  <c r="B5854" i="1" s="1"/>
  <c r="C5854" i="1"/>
  <c r="F5853" i="1"/>
  <c r="B5853" i="1" s="1"/>
  <c r="C5853" i="1"/>
  <c r="F5852" i="1"/>
  <c r="B5852" i="1" s="1"/>
  <c r="C5852" i="1"/>
  <c r="F5851" i="1"/>
  <c r="B5851" i="1" s="1"/>
  <c r="C5851" i="1"/>
  <c r="F5850" i="1"/>
  <c r="B5850" i="1" s="1"/>
  <c r="C5850" i="1"/>
  <c r="F5849" i="1"/>
  <c r="B5849" i="1" s="1"/>
  <c r="C5849" i="1"/>
  <c r="F5848" i="1"/>
  <c r="B5848" i="1" s="1"/>
  <c r="C5848" i="1"/>
  <c r="F5847" i="1"/>
  <c r="B5847" i="1" s="1"/>
  <c r="C5847" i="1"/>
  <c r="F5846" i="1"/>
  <c r="B5846" i="1" s="1"/>
  <c r="C5846" i="1"/>
  <c r="F5845" i="1"/>
  <c r="B5845" i="1" s="1"/>
  <c r="C5845" i="1"/>
  <c r="F5844" i="1"/>
  <c r="B5844" i="1" s="1"/>
  <c r="C5844" i="1"/>
  <c r="F5843" i="1"/>
  <c r="B5843" i="1" s="1"/>
  <c r="C5843" i="1"/>
  <c r="F5842" i="1"/>
  <c r="B5842" i="1" s="1"/>
  <c r="C5842" i="1"/>
  <c r="F5841" i="1"/>
  <c r="B5841" i="1" s="1"/>
  <c r="C5841" i="1"/>
  <c r="F5840" i="1"/>
  <c r="B5840" i="1" s="1"/>
  <c r="C5840" i="1"/>
  <c r="F5839" i="1"/>
  <c r="C5839" i="1"/>
  <c r="F5838" i="1"/>
  <c r="B5838" i="1" s="1"/>
  <c r="C5838" i="1"/>
  <c r="F5837" i="1"/>
  <c r="B5837" i="1" s="1"/>
  <c r="C5837" i="1"/>
  <c r="F5836" i="1"/>
  <c r="B5836" i="1" s="1"/>
  <c r="C5836" i="1"/>
  <c r="F5835" i="1"/>
  <c r="B5835" i="1" s="1"/>
  <c r="C5835" i="1"/>
  <c r="F5834" i="1"/>
  <c r="B5834" i="1" s="1"/>
  <c r="C5834" i="1"/>
  <c r="F5833" i="1"/>
  <c r="C5833" i="1"/>
  <c r="F5832" i="1"/>
  <c r="B5832" i="1" s="1"/>
  <c r="C5832" i="1"/>
  <c r="F5831" i="1"/>
  <c r="B5831" i="1" s="1"/>
  <c r="C5831" i="1"/>
  <c r="F5830" i="1"/>
  <c r="B5830" i="1" s="1"/>
  <c r="C5830" i="1"/>
  <c r="F5829" i="1"/>
  <c r="B5829" i="1" s="1"/>
  <c r="C5829" i="1"/>
  <c r="F5828" i="1"/>
  <c r="B5828" i="1" s="1"/>
  <c r="C5828" i="1"/>
  <c r="F5827" i="1"/>
  <c r="B5827" i="1" s="1"/>
  <c r="C5827" i="1"/>
  <c r="F5826" i="1"/>
  <c r="B5826" i="1" s="1"/>
  <c r="C5826" i="1"/>
  <c r="F5825" i="1"/>
  <c r="B5825" i="1" s="1"/>
  <c r="C5825" i="1"/>
  <c r="F5824" i="1"/>
  <c r="B5824" i="1" s="1"/>
  <c r="C5824" i="1"/>
  <c r="F5823" i="1"/>
  <c r="B5823" i="1" s="1"/>
  <c r="C5823" i="1"/>
  <c r="F5822" i="1"/>
  <c r="B5822" i="1" s="1"/>
  <c r="C5822" i="1"/>
  <c r="F5821" i="1"/>
  <c r="B5821" i="1" s="1"/>
  <c r="C5821" i="1"/>
  <c r="F5820" i="1"/>
  <c r="B5820" i="1" s="1"/>
  <c r="C5820" i="1"/>
  <c r="F5819" i="1"/>
  <c r="B5819" i="1" s="1"/>
  <c r="C5819" i="1"/>
  <c r="F5818" i="1"/>
  <c r="B5818" i="1" s="1"/>
  <c r="C5818" i="1"/>
  <c r="F5817" i="1"/>
  <c r="B5817" i="1" s="1"/>
  <c r="C5817" i="1"/>
  <c r="F5816" i="1"/>
  <c r="B5816" i="1" s="1"/>
  <c r="C5816" i="1"/>
  <c r="F5815" i="1"/>
  <c r="B5815" i="1" s="1"/>
  <c r="C5815" i="1"/>
  <c r="F5814" i="1"/>
  <c r="B5814" i="1" s="1"/>
  <c r="C5814" i="1"/>
  <c r="F5813" i="1"/>
  <c r="B5813" i="1" s="1"/>
  <c r="C5813" i="1"/>
  <c r="F5812" i="1"/>
  <c r="B5812" i="1" s="1"/>
  <c r="C5812" i="1"/>
  <c r="F5811" i="1"/>
  <c r="B5811" i="1" s="1"/>
  <c r="C5811" i="1"/>
  <c r="F5810" i="1"/>
  <c r="B5810" i="1" s="1"/>
  <c r="C5810" i="1"/>
  <c r="F5809" i="1"/>
  <c r="B5809" i="1" s="1"/>
  <c r="C5809" i="1"/>
  <c r="F5808" i="1"/>
  <c r="B5808" i="1" s="1"/>
  <c r="C5808" i="1"/>
  <c r="F5807" i="1"/>
  <c r="B5807" i="1" s="1"/>
  <c r="C5807" i="1"/>
  <c r="F5806" i="1"/>
  <c r="B5806" i="1" s="1"/>
  <c r="C5806" i="1"/>
  <c r="F5805" i="1"/>
  <c r="B5805" i="1" s="1"/>
  <c r="C5805" i="1"/>
  <c r="F5804" i="1"/>
  <c r="B5804" i="1" s="1"/>
  <c r="C5804" i="1"/>
  <c r="F5803" i="1"/>
  <c r="B5803" i="1" s="1"/>
  <c r="C5803" i="1"/>
  <c r="F5802" i="1"/>
  <c r="B5802" i="1" s="1"/>
  <c r="C5802" i="1"/>
  <c r="F5801" i="1"/>
  <c r="B5801" i="1" s="1"/>
  <c r="C5801" i="1"/>
  <c r="F5800" i="1"/>
  <c r="B5800" i="1" s="1"/>
  <c r="C5800" i="1"/>
  <c r="F5799" i="1"/>
  <c r="B5799" i="1" s="1"/>
  <c r="C5799" i="1"/>
  <c r="F5798" i="1"/>
  <c r="B5798" i="1" s="1"/>
  <c r="C5798" i="1"/>
  <c r="F5797" i="1"/>
  <c r="B5797" i="1" s="1"/>
  <c r="C5797" i="1"/>
  <c r="F5796" i="1"/>
  <c r="B5796" i="1" s="1"/>
  <c r="C5796" i="1"/>
  <c r="F5795" i="1"/>
  <c r="B5795" i="1" s="1"/>
  <c r="C5795" i="1"/>
  <c r="F5794" i="1"/>
  <c r="B5794" i="1" s="1"/>
  <c r="C5794" i="1"/>
  <c r="F5793" i="1"/>
  <c r="B5793" i="1" s="1"/>
  <c r="C5793" i="1"/>
  <c r="F5792" i="1"/>
  <c r="B5792" i="1" s="1"/>
  <c r="C5792" i="1"/>
  <c r="F5791" i="1"/>
  <c r="B5791" i="1" s="1"/>
  <c r="C5791" i="1"/>
  <c r="F5790" i="1"/>
  <c r="B5790" i="1" s="1"/>
  <c r="C5790" i="1"/>
  <c r="F5789" i="1"/>
  <c r="B5789" i="1" s="1"/>
  <c r="C5789" i="1"/>
  <c r="F5788" i="1"/>
  <c r="B5788" i="1" s="1"/>
  <c r="C5788" i="1"/>
  <c r="F5787" i="1"/>
  <c r="B5787" i="1" s="1"/>
  <c r="C5787" i="1"/>
  <c r="F5786" i="1"/>
  <c r="B5786" i="1" s="1"/>
  <c r="C5786" i="1"/>
  <c r="F5785" i="1"/>
  <c r="B5785" i="1" s="1"/>
  <c r="C5785" i="1"/>
  <c r="F5784" i="1"/>
  <c r="B5784" i="1" s="1"/>
  <c r="C5784" i="1"/>
  <c r="F5783" i="1"/>
  <c r="B5783" i="1" s="1"/>
  <c r="C5783" i="1"/>
  <c r="F5782" i="1"/>
  <c r="B5782" i="1" s="1"/>
  <c r="C5782" i="1"/>
  <c r="F5781" i="1"/>
  <c r="B5781" i="1" s="1"/>
  <c r="C5781" i="1"/>
  <c r="F5780" i="1"/>
  <c r="B5780" i="1" s="1"/>
  <c r="C5780" i="1"/>
  <c r="F5779" i="1"/>
  <c r="B5779" i="1" s="1"/>
  <c r="C5779" i="1"/>
  <c r="F5778" i="1"/>
  <c r="B5778" i="1" s="1"/>
  <c r="C5778" i="1"/>
  <c r="F5777" i="1"/>
  <c r="B5777" i="1" s="1"/>
  <c r="C5777" i="1"/>
  <c r="F5776" i="1"/>
  <c r="B5776" i="1" s="1"/>
  <c r="C5776" i="1"/>
  <c r="F5775" i="1"/>
  <c r="B5775" i="1" s="1"/>
  <c r="C5775" i="1"/>
  <c r="F5774" i="1"/>
  <c r="B5774" i="1" s="1"/>
  <c r="C5774" i="1"/>
  <c r="F5773" i="1"/>
  <c r="B5773" i="1" s="1"/>
  <c r="C5773" i="1"/>
  <c r="F5772" i="1"/>
  <c r="B5772" i="1" s="1"/>
  <c r="C5772" i="1"/>
  <c r="F5771" i="1"/>
  <c r="B5771" i="1" s="1"/>
  <c r="C5771" i="1"/>
  <c r="F5770" i="1"/>
  <c r="B5770" i="1" s="1"/>
  <c r="C5770" i="1"/>
  <c r="F5769" i="1"/>
  <c r="B5769" i="1" s="1"/>
  <c r="C5769" i="1"/>
  <c r="F5768" i="1"/>
  <c r="B5768" i="1" s="1"/>
  <c r="C5768" i="1"/>
  <c r="F5767" i="1"/>
  <c r="B5767" i="1" s="1"/>
  <c r="C5767" i="1"/>
  <c r="F5766" i="1"/>
  <c r="B5766" i="1" s="1"/>
  <c r="C5766" i="1"/>
  <c r="F5765" i="1"/>
  <c r="B5765" i="1" s="1"/>
  <c r="C5765" i="1"/>
  <c r="F5764" i="1"/>
  <c r="B5764" i="1" s="1"/>
  <c r="C5764" i="1"/>
  <c r="F5763" i="1"/>
  <c r="B5763" i="1" s="1"/>
  <c r="C5763" i="1"/>
  <c r="F5762" i="1"/>
  <c r="B5762" i="1" s="1"/>
  <c r="C5762" i="1"/>
  <c r="F5761" i="1"/>
  <c r="B5761" i="1" s="1"/>
  <c r="C5761" i="1"/>
  <c r="F5760" i="1"/>
  <c r="B5760" i="1" s="1"/>
  <c r="C5760" i="1"/>
  <c r="F5759" i="1"/>
  <c r="C5759" i="1"/>
  <c r="F5758" i="1"/>
  <c r="B5758" i="1" s="1"/>
  <c r="C5758" i="1"/>
  <c r="F5757" i="1"/>
  <c r="B5757" i="1" s="1"/>
  <c r="C5757" i="1"/>
  <c r="F5756" i="1"/>
  <c r="B5756" i="1" s="1"/>
  <c r="C5756" i="1"/>
  <c r="F5755" i="1"/>
  <c r="B5755" i="1" s="1"/>
  <c r="C5755" i="1"/>
  <c r="F5754" i="1"/>
  <c r="B5754" i="1" s="1"/>
  <c r="C5754" i="1"/>
  <c r="F5753" i="1"/>
  <c r="C5753" i="1"/>
  <c r="F5752" i="1"/>
  <c r="B5752" i="1" s="1"/>
  <c r="C5752" i="1"/>
  <c r="F5751" i="1"/>
  <c r="B5751" i="1" s="1"/>
  <c r="C5751" i="1"/>
  <c r="F5750" i="1"/>
  <c r="B5750" i="1" s="1"/>
  <c r="C5750" i="1"/>
  <c r="F5749" i="1"/>
  <c r="B5749" i="1" s="1"/>
  <c r="C5749" i="1"/>
  <c r="F5748" i="1"/>
  <c r="B5748" i="1" s="1"/>
  <c r="C5748" i="1"/>
  <c r="F5747" i="1"/>
  <c r="B5747" i="1" s="1"/>
  <c r="C5747" i="1"/>
  <c r="F5746" i="1"/>
  <c r="B5746" i="1" s="1"/>
  <c r="C5746" i="1"/>
  <c r="F5745" i="1"/>
  <c r="B5745" i="1" s="1"/>
  <c r="C5745" i="1"/>
  <c r="F5744" i="1"/>
  <c r="B5744" i="1" s="1"/>
  <c r="C5744" i="1"/>
  <c r="F5743" i="1"/>
  <c r="B5743" i="1" s="1"/>
  <c r="C5743" i="1"/>
  <c r="F5742" i="1"/>
  <c r="B5742" i="1" s="1"/>
  <c r="C5742" i="1"/>
  <c r="F5741" i="1"/>
  <c r="B5741" i="1" s="1"/>
  <c r="C5741" i="1"/>
  <c r="F5740" i="1"/>
  <c r="B5740" i="1" s="1"/>
  <c r="C5740" i="1"/>
  <c r="F5739" i="1"/>
  <c r="B5739" i="1" s="1"/>
  <c r="C5739" i="1"/>
  <c r="F5738" i="1"/>
  <c r="B5738" i="1" s="1"/>
  <c r="C5738" i="1"/>
  <c r="F5737" i="1"/>
  <c r="C5737" i="1"/>
  <c r="F5736" i="1"/>
  <c r="B5736" i="1" s="1"/>
  <c r="C5736" i="1"/>
  <c r="F5735" i="1"/>
  <c r="B5735" i="1" s="1"/>
  <c r="C5735" i="1"/>
  <c r="F5734" i="1"/>
  <c r="B5734" i="1" s="1"/>
  <c r="C5734" i="1"/>
  <c r="F5733" i="1"/>
  <c r="B5733" i="1" s="1"/>
  <c r="C5733" i="1"/>
  <c r="F5732" i="1"/>
  <c r="B5732" i="1" s="1"/>
  <c r="C5732" i="1"/>
  <c r="F5731" i="1"/>
  <c r="B5731" i="1" s="1"/>
  <c r="C5731" i="1"/>
  <c r="F5730" i="1"/>
  <c r="B5730" i="1" s="1"/>
  <c r="C5730" i="1"/>
  <c r="F5729" i="1"/>
  <c r="B5729" i="1" s="1"/>
  <c r="C5729" i="1"/>
  <c r="F5728" i="1"/>
  <c r="B5728" i="1" s="1"/>
  <c r="C5728" i="1"/>
  <c r="F5727" i="1"/>
  <c r="C5727" i="1"/>
  <c r="F5726" i="1"/>
  <c r="B5726" i="1" s="1"/>
  <c r="C5726" i="1"/>
  <c r="F5725" i="1"/>
  <c r="B5725" i="1" s="1"/>
  <c r="C5725" i="1"/>
  <c r="F5724" i="1"/>
  <c r="B5724" i="1" s="1"/>
  <c r="C5724" i="1"/>
  <c r="F5723" i="1"/>
  <c r="B5723" i="1" s="1"/>
  <c r="C5723" i="1"/>
  <c r="F5722" i="1"/>
  <c r="B5722" i="1" s="1"/>
  <c r="C5722" i="1"/>
  <c r="F5721" i="1"/>
  <c r="C5721" i="1"/>
  <c r="F5720" i="1"/>
  <c r="B5720" i="1" s="1"/>
  <c r="C5720" i="1"/>
  <c r="F5719" i="1"/>
  <c r="B5719" i="1" s="1"/>
  <c r="C5719" i="1"/>
  <c r="F5718" i="1"/>
  <c r="B5718" i="1" s="1"/>
  <c r="C5718" i="1"/>
  <c r="F5717" i="1"/>
  <c r="B5717" i="1" s="1"/>
  <c r="C5717" i="1"/>
  <c r="F5716" i="1"/>
  <c r="B5716" i="1" s="1"/>
  <c r="C5716" i="1"/>
  <c r="F5715" i="1"/>
  <c r="B5715" i="1" s="1"/>
  <c r="C5715" i="1"/>
  <c r="F5714" i="1"/>
  <c r="B5714" i="1" s="1"/>
  <c r="C5714" i="1"/>
  <c r="F5713" i="1"/>
  <c r="B5713" i="1" s="1"/>
  <c r="C5713" i="1"/>
  <c r="F5712" i="1"/>
  <c r="B5712" i="1" s="1"/>
  <c r="C5712" i="1"/>
  <c r="F5711" i="1"/>
  <c r="B5711" i="1" s="1"/>
  <c r="C5711" i="1"/>
  <c r="F5710" i="1"/>
  <c r="B5710" i="1" s="1"/>
  <c r="C5710" i="1"/>
  <c r="F5709" i="1"/>
  <c r="B5709" i="1" s="1"/>
  <c r="C5709" i="1"/>
  <c r="F5708" i="1"/>
  <c r="B5708" i="1" s="1"/>
  <c r="C5708" i="1"/>
  <c r="F5707" i="1"/>
  <c r="B5707" i="1" s="1"/>
  <c r="C5707" i="1"/>
  <c r="F5706" i="1"/>
  <c r="B5706" i="1" s="1"/>
  <c r="C5706" i="1"/>
  <c r="F5705" i="1"/>
  <c r="B5705" i="1" s="1"/>
  <c r="C5705" i="1"/>
  <c r="F5704" i="1"/>
  <c r="B5704" i="1" s="1"/>
  <c r="C5704" i="1"/>
  <c r="F5703" i="1"/>
  <c r="B5703" i="1" s="1"/>
  <c r="C5703" i="1"/>
  <c r="F5702" i="1"/>
  <c r="B5702" i="1" s="1"/>
  <c r="C5702" i="1"/>
  <c r="F5701" i="1"/>
  <c r="B5701" i="1" s="1"/>
  <c r="C5701" i="1"/>
  <c r="F5700" i="1"/>
  <c r="B5700" i="1" s="1"/>
  <c r="C5700" i="1"/>
  <c r="F5699" i="1"/>
  <c r="B5699" i="1" s="1"/>
  <c r="C5699" i="1"/>
  <c r="F5698" i="1"/>
  <c r="B5698" i="1" s="1"/>
  <c r="C5698" i="1"/>
  <c r="F5697" i="1"/>
  <c r="C5697" i="1"/>
  <c r="F5696" i="1"/>
  <c r="B5696" i="1" s="1"/>
  <c r="C5696" i="1"/>
  <c r="F5695" i="1"/>
  <c r="B5695" i="1" s="1"/>
  <c r="C5695" i="1"/>
  <c r="F5694" i="1"/>
  <c r="B5694" i="1" s="1"/>
  <c r="C5694" i="1"/>
  <c r="F5693" i="1"/>
  <c r="B5693" i="1" s="1"/>
  <c r="C5693" i="1"/>
  <c r="F5692" i="1"/>
  <c r="B5692" i="1" s="1"/>
  <c r="C5692" i="1"/>
  <c r="F5691" i="1"/>
  <c r="B5691" i="1" s="1"/>
  <c r="C5691" i="1"/>
  <c r="F5690" i="1"/>
  <c r="B5690" i="1" s="1"/>
  <c r="C5690" i="1"/>
  <c r="F5689" i="1"/>
  <c r="B5689" i="1" s="1"/>
  <c r="C5689" i="1"/>
  <c r="F5688" i="1"/>
  <c r="B5688" i="1" s="1"/>
  <c r="C5688" i="1"/>
  <c r="F5687" i="1"/>
  <c r="B5687" i="1" s="1"/>
  <c r="C5687" i="1"/>
  <c r="F5686" i="1"/>
  <c r="B5686" i="1" s="1"/>
  <c r="C5686" i="1"/>
  <c r="F5685" i="1"/>
  <c r="B5685" i="1" s="1"/>
  <c r="C5685" i="1"/>
  <c r="F5684" i="1"/>
  <c r="B5684" i="1" s="1"/>
  <c r="C5684" i="1"/>
  <c r="F5683" i="1"/>
  <c r="B5683" i="1" s="1"/>
  <c r="C5683" i="1"/>
  <c r="F5682" i="1"/>
  <c r="B5682" i="1" s="1"/>
  <c r="C5682" i="1"/>
  <c r="F5681" i="1"/>
  <c r="C5681" i="1"/>
  <c r="F5680" i="1"/>
  <c r="B5680" i="1" s="1"/>
  <c r="C5680" i="1"/>
  <c r="F5679" i="1"/>
  <c r="B5679" i="1" s="1"/>
  <c r="C5679" i="1"/>
  <c r="F5678" i="1"/>
  <c r="B5678" i="1" s="1"/>
  <c r="C5678" i="1"/>
  <c r="F5677" i="1"/>
  <c r="B5677" i="1" s="1"/>
  <c r="C5677" i="1"/>
  <c r="F5676" i="1"/>
  <c r="B5676" i="1" s="1"/>
  <c r="C5676" i="1"/>
  <c r="F5675" i="1"/>
  <c r="B5675" i="1" s="1"/>
  <c r="C5675" i="1"/>
  <c r="F5674" i="1"/>
  <c r="B5674" i="1" s="1"/>
  <c r="C5674" i="1"/>
  <c r="F5673" i="1"/>
  <c r="B5673" i="1" s="1"/>
  <c r="C5673" i="1"/>
  <c r="F5672" i="1"/>
  <c r="B5672" i="1" s="1"/>
  <c r="C5672" i="1"/>
  <c r="F5671" i="1"/>
  <c r="B5671" i="1" s="1"/>
  <c r="C5671" i="1"/>
  <c r="F5670" i="1"/>
  <c r="B5670" i="1" s="1"/>
  <c r="C5670" i="1"/>
  <c r="F5669" i="1"/>
  <c r="B5669" i="1" s="1"/>
  <c r="C5669" i="1"/>
  <c r="F5668" i="1"/>
  <c r="B5668" i="1" s="1"/>
  <c r="C5668" i="1"/>
  <c r="F5667" i="1"/>
  <c r="B5667" i="1" s="1"/>
  <c r="C5667" i="1"/>
  <c r="F5666" i="1"/>
  <c r="B5666" i="1" s="1"/>
  <c r="C5666" i="1"/>
  <c r="F5665" i="1"/>
  <c r="C5665" i="1"/>
  <c r="F5664" i="1"/>
  <c r="B5664" i="1" s="1"/>
  <c r="C5664" i="1"/>
  <c r="F5663" i="1"/>
  <c r="B5663" i="1" s="1"/>
  <c r="C5663" i="1"/>
  <c r="F5662" i="1"/>
  <c r="B5662" i="1" s="1"/>
  <c r="C5662" i="1"/>
  <c r="F5661" i="1"/>
  <c r="B5661" i="1" s="1"/>
  <c r="C5661" i="1"/>
  <c r="F5660" i="1"/>
  <c r="B5660" i="1" s="1"/>
  <c r="C5660" i="1"/>
  <c r="F5659" i="1"/>
  <c r="B5659" i="1" s="1"/>
  <c r="C5659" i="1"/>
  <c r="F5658" i="1"/>
  <c r="B5658" i="1" s="1"/>
  <c r="C5658" i="1"/>
  <c r="F5657" i="1"/>
  <c r="B5657" i="1" s="1"/>
  <c r="C5657" i="1"/>
  <c r="F5656" i="1"/>
  <c r="B5656" i="1" s="1"/>
  <c r="C5656" i="1"/>
  <c r="F5655" i="1"/>
  <c r="B5655" i="1" s="1"/>
  <c r="C5655" i="1"/>
  <c r="F5654" i="1"/>
  <c r="B5654" i="1" s="1"/>
  <c r="C5654" i="1"/>
  <c r="F5653" i="1"/>
  <c r="B5653" i="1" s="1"/>
  <c r="C5653" i="1"/>
  <c r="F5652" i="1"/>
  <c r="B5652" i="1" s="1"/>
  <c r="C5652" i="1"/>
  <c r="F5651" i="1"/>
  <c r="B5651" i="1" s="1"/>
  <c r="C5651" i="1"/>
  <c r="F5650" i="1"/>
  <c r="B5650" i="1" s="1"/>
  <c r="C5650" i="1"/>
  <c r="F5649" i="1"/>
  <c r="C5649" i="1"/>
  <c r="F5648" i="1"/>
  <c r="B5648" i="1" s="1"/>
  <c r="C5648" i="1"/>
  <c r="F5647" i="1"/>
  <c r="B5647" i="1" s="1"/>
  <c r="C5647" i="1"/>
  <c r="F5646" i="1"/>
  <c r="B5646" i="1" s="1"/>
  <c r="C5646" i="1"/>
  <c r="F5645" i="1"/>
  <c r="B5645" i="1" s="1"/>
  <c r="C5645" i="1"/>
  <c r="F5644" i="1"/>
  <c r="B5644" i="1" s="1"/>
  <c r="C5644" i="1"/>
  <c r="F5643" i="1"/>
  <c r="B5643" i="1" s="1"/>
  <c r="C5643" i="1"/>
  <c r="F5642" i="1"/>
  <c r="B5642" i="1" s="1"/>
  <c r="C5642" i="1"/>
  <c r="F5641" i="1"/>
  <c r="C5641" i="1"/>
  <c r="F5640" i="1"/>
  <c r="B5640" i="1" s="1"/>
  <c r="C5640" i="1"/>
  <c r="F5639" i="1"/>
  <c r="B5639" i="1" s="1"/>
  <c r="C5639" i="1"/>
  <c r="F5638" i="1"/>
  <c r="B5638" i="1" s="1"/>
  <c r="C5638" i="1"/>
  <c r="F5637" i="1"/>
  <c r="B5637" i="1" s="1"/>
  <c r="C5637" i="1"/>
  <c r="F5636" i="1"/>
  <c r="B5636" i="1" s="1"/>
  <c r="C5636" i="1"/>
  <c r="F5635" i="1"/>
  <c r="B5635" i="1" s="1"/>
  <c r="C5635" i="1"/>
  <c r="F5634" i="1"/>
  <c r="B5634" i="1" s="1"/>
  <c r="C5634" i="1"/>
  <c r="F5633" i="1"/>
  <c r="B5633" i="1" s="1"/>
  <c r="C5633" i="1"/>
  <c r="F5632" i="1"/>
  <c r="B5632" i="1" s="1"/>
  <c r="C5632" i="1"/>
  <c r="F5631" i="1"/>
  <c r="B5631" i="1" s="1"/>
  <c r="C5631" i="1"/>
  <c r="F5630" i="1"/>
  <c r="B5630" i="1" s="1"/>
  <c r="C5630" i="1"/>
  <c r="F5629" i="1"/>
  <c r="B5629" i="1" s="1"/>
  <c r="C5629" i="1"/>
  <c r="F5628" i="1"/>
  <c r="B5628" i="1" s="1"/>
  <c r="C5628" i="1"/>
  <c r="F5627" i="1"/>
  <c r="B5627" i="1" s="1"/>
  <c r="C5627" i="1"/>
  <c r="F5626" i="1"/>
  <c r="B5626" i="1" s="1"/>
  <c r="C5626" i="1"/>
  <c r="F5625" i="1"/>
  <c r="B5625" i="1" s="1"/>
  <c r="C5625" i="1"/>
  <c r="F5624" i="1"/>
  <c r="B5624" i="1" s="1"/>
  <c r="C5624" i="1"/>
  <c r="F5623" i="1"/>
  <c r="B5623" i="1" s="1"/>
  <c r="C5623" i="1"/>
  <c r="F5622" i="1"/>
  <c r="B5622" i="1" s="1"/>
  <c r="C5622" i="1"/>
  <c r="F5621" i="1"/>
  <c r="B5621" i="1" s="1"/>
  <c r="C5621" i="1"/>
  <c r="F5620" i="1"/>
  <c r="B5620" i="1" s="1"/>
  <c r="C5620" i="1"/>
  <c r="F5619" i="1"/>
  <c r="B5619" i="1" s="1"/>
  <c r="C5619" i="1"/>
  <c r="F5618" i="1"/>
  <c r="B5618" i="1" s="1"/>
  <c r="C5618" i="1"/>
  <c r="F5617" i="1"/>
  <c r="B5617" i="1" s="1"/>
  <c r="C5617" i="1"/>
  <c r="F5616" i="1"/>
  <c r="B5616" i="1" s="1"/>
  <c r="C5616" i="1"/>
  <c r="F5615" i="1"/>
  <c r="B5615" i="1" s="1"/>
  <c r="C5615" i="1"/>
  <c r="F5614" i="1"/>
  <c r="B5614" i="1" s="1"/>
  <c r="C5614" i="1"/>
  <c r="F5613" i="1"/>
  <c r="B5613" i="1" s="1"/>
  <c r="C5613" i="1"/>
  <c r="F5612" i="1"/>
  <c r="B5612" i="1" s="1"/>
  <c r="C5612" i="1"/>
  <c r="F5611" i="1"/>
  <c r="B5611" i="1" s="1"/>
  <c r="C5611" i="1"/>
  <c r="F5610" i="1"/>
  <c r="B5610" i="1" s="1"/>
  <c r="C5610" i="1"/>
  <c r="F5609" i="1"/>
  <c r="B5609" i="1" s="1"/>
  <c r="C5609" i="1"/>
  <c r="F5608" i="1"/>
  <c r="B5608" i="1" s="1"/>
  <c r="C5608" i="1"/>
  <c r="F5607" i="1"/>
  <c r="C5607" i="1"/>
  <c r="F5606" i="1"/>
  <c r="B5606" i="1" s="1"/>
  <c r="C5606" i="1"/>
  <c r="F5605" i="1"/>
  <c r="B5605" i="1" s="1"/>
  <c r="C5605" i="1"/>
  <c r="F5604" i="1"/>
  <c r="B5604" i="1" s="1"/>
  <c r="C5604" i="1"/>
  <c r="F5603" i="1"/>
  <c r="B5603" i="1" s="1"/>
  <c r="C5603" i="1"/>
  <c r="F5602" i="1"/>
  <c r="B5602" i="1" s="1"/>
  <c r="C5602" i="1"/>
  <c r="F5601" i="1"/>
  <c r="B5601" i="1" s="1"/>
  <c r="C5601" i="1"/>
  <c r="F5600" i="1"/>
  <c r="B5600" i="1" s="1"/>
  <c r="C5600" i="1"/>
  <c r="F5599" i="1"/>
  <c r="B5599" i="1" s="1"/>
  <c r="C5599" i="1"/>
  <c r="F5598" i="1"/>
  <c r="B5598" i="1" s="1"/>
  <c r="C5598" i="1"/>
  <c r="F5597" i="1"/>
  <c r="B5597" i="1" s="1"/>
  <c r="C5597" i="1"/>
  <c r="F5596" i="1"/>
  <c r="B5596" i="1" s="1"/>
  <c r="C5596" i="1"/>
  <c r="F5595" i="1"/>
  <c r="B5595" i="1" s="1"/>
  <c r="C5595" i="1"/>
  <c r="F5594" i="1"/>
  <c r="B5594" i="1" s="1"/>
  <c r="C5594" i="1"/>
  <c r="F5593" i="1"/>
  <c r="B5593" i="1" s="1"/>
  <c r="C5593" i="1"/>
  <c r="F5592" i="1"/>
  <c r="B5592" i="1" s="1"/>
  <c r="C5592" i="1"/>
  <c r="F5591" i="1"/>
  <c r="B5591" i="1" s="1"/>
  <c r="C5591" i="1"/>
  <c r="F5590" i="1"/>
  <c r="B5590" i="1" s="1"/>
  <c r="C5590" i="1"/>
  <c r="F5589" i="1"/>
  <c r="B5589" i="1" s="1"/>
  <c r="C5589" i="1"/>
  <c r="F5588" i="1"/>
  <c r="B5588" i="1" s="1"/>
  <c r="C5588" i="1"/>
  <c r="F5587" i="1"/>
  <c r="B5587" i="1" s="1"/>
  <c r="C5587" i="1"/>
  <c r="F5586" i="1"/>
  <c r="B5586" i="1" s="1"/>
  <c r="C5586" i="1"/>
  <c r="F5585" i="1"/>
  <c r="C5585" i="1"/>
  <c r="F5584" i="1"/>
  <c r="B5584" i="1" s="1"/>
  <c r="C5584" i="1"/>
  <c r="F5583" i="1"/>
  <c r="C5583" i="1"/>
  <c r="F5582" i="1"/>
  <c r="B5582" i="1" s="1"/>
  <c r="C5582" i="1"/>
  <c r="F5581" i="1"/>
  <c r="B5581" i="1" s="1"/>
  <c r="C5581" i="1"/>
  <c r="F5580" i="1"/>
  <c r="B5580" i="1" s="1"/>
  <c r="C5580" i="1"/>
  <c r="F5579" i="1"/>
  <c r="B5579" i="1" s="1"/>
  <c r="C5579" i="1"/>
  <c r="F5578" i="1"/>
  <c r="B5578" i="1" s="1"/>
  <c r="C5578" i="1"/>
  <c r="F5577" i="1"/>
  <c r="C5577" i="1"/>
  <c r="F5576" i="1"/>
  <c r="B5576" i="1" s="1"/>
  <c r="C5576" i="1"/>
  <c r="F5575" i="1"/>
  <c r="B5575" i="1" s="1"/>
  <c r="C5575" i="1"/>
  <c r="F5574" i="1"/>
  <c r="B5574" i="1" s="1"/>
  <c r="C5574" i="1"/>
  <c r="F5573" i="1"/>
  <c r="B5573" i="1" s="1"/>
  <c r="C5573" i="1"/>
  <c r="F5572" i="1"/>
  <c r="B5572" i="1" s="1"/>
  <c r="C5572" i="1"/>
  <c r="F5571" i="1"/>
  <c r="B5571" i="1" s="1"/>
  <c r="C5571" i="1"/>
  <c r="F5570" i="1"/>
  <c r="B5570" i="1" s="1"/>
  <c r="C5570" i="1"/>
  <c r="F5569" i="1"/>
  <c r="B5569" i="1" s="1"/>
  <c r="C5569" i="1"/>
  <c r="F5568" i="1"/>
  <c r="B5568" i="1" s="1"/>
  <c r="C5568" i="1"/>
  <c r="F5567" i="1"/>
  <c r="B5567" i="1" s="1"/>
  <c r="E5567" i="1"/>
  <c r="C5567" i="1"/>
  <c r="F5566" i="1"/>
  <c r="B5566" i="1" s="1"/>
  <c r="E5566" i="1"/>
  <c r="C5566" i="1"/>
  <c r="F5565" i="1"/>
  <c r="B5565" i="1" s="1"/>
  <c r="E5565" i="1"/>
  <c r="C5565" i="1"/>
  <c r="F5564" i="1"/>
  <c r="B5564" i="1" s="1"/>
  <c r="E5564" i="1"/>
  <c r="C5564" i="1"/>
  <c r="F5563" i="1"/>
  <c r="B5563" i="1" s="1"/>
  <c r="E5563" i="1"/>
  <c r="C5563" i="1"/>
  <c r="F5562" i="1"/>
  <c r="B5562" i="1" s="1"/>
  <c r="E5562" i="1"/>
  <c r="C5562" i="1"/>
  <c r="F5561" i="1"/>
  <c r="B5561" i="1" s="1"/>
  <c r="E5561" i="1"/>
  <c r="C5561" i="1"/>
  <c r="F5560" i="1"/>
  <c r="B5560" i="1" s="1"/>
  <c r="E5560" i="1"/>
  <c r="C5560" i="1"/>
  <c r="F5559" i="1"/>
  <c r="B5559" i="1" s="1"/>
  <c r="E5559" i="1"/>
  <c r="C5559" i="1"/>
  <c r="F5558" i="1"/>
  <c r="B5558" i="1" s="1"/>
  <c r="E5558" i="1"/>
  <c r="C5558" i="1"/>
  <c r="F5557" i="1"/>
  <c r="B5557" i="1" s="1"/>
  <c r="E5557" i="1"/>
  <c r="C5557" i="1"/>
  <c r="F5556" i="1"/>
  <c r="B5556" i="1" s="1"/>
  <c r="E5556" i="1"/>
  <c r="C5556" i="1"/>
  <c r="F5555" i="1"/>
  <c r="B5555" i="1" s="1"/>
  <c r="E5555" i="1"/>
  <c r="C5555" i="1"/>
  <c r="F5554" i="1"/>
  <c r="B5554" i="1" s="1"/>
  <c r="E5554" i="1"/>
  <c r="C5554" i="1"/>
  <c r="F5553" i="1"/>
  <c r="B5553" i="1" s="1"/>
  <c r="E5553" i="1"/>
  <c r="C5553" i="1"/>
  <c r="F5552" i="1"/>
  <c r="B5552" i="1" s="1"/>
  <c r="E5552" i="1"/>
  <c r="C5552" i="1"/>
  <c r="F5551" i="1"/>
  <c r="B5551" i="1" s="1"/>
  <c r="E5551" i="1"/>
  <c r="C5551" i="1"/>
  <c r="F5550" i="1"/>
  <c r="B5550" i="1" s="1"/>
  <c r="E5550" i="1"/>
  <c r="C5550" i="1"/>
  <c r="F5549" i="1"/>
  <c r="B5549" i="1" s="1"/>
  <c r="E5549" i="1"/>
  <c r="C5549" i="1"/>
  <c r="F5548" i="1"/>
  <c r="B5548" i="1" s="1"/>
  <c r="E5548" i="1"/>
  <c r="C5548" i="1"/>
  <c r="F5547" i="1"/>
  <c r="B5547" i="1" s="1"/>
  <c r="E5547" i="1"/>
  <c r="C5547" i="1"/>
  <c r="F5546" i="1"/>
  <c r="B5546" i="1" s="1"/>
  <c r="E5546" i="1"/>
  <c r="C5546" i="1"/>
  <c r="F5545" i="1"/>
  <c r="B5545" i="1" s="1"/>
  <c r="E5545" i="1"/>
  <c r="C5545" i="1"/>
  <c r="F5544" i="1"/>
  <c r="B5544" i="1" s="1"/>
  <c r="E5544" i="1"/>
  <c r="C5544" i="1"/>
  <c r="F5543" i="1"/>
  <c r="B5543" i="1" s="1"/>
  <c r="E5543" i="1"/>
  <c r="C5543" i="1"/>
  <c r="F5542" i="1"/>
  <c r="B5542" i="1" s="1"/>
  <c r="E5542" i="1"/>
  <c r="C5542" i="1"/>
  <c r="F5541" i="1"/>
  <c r="B5541" i="1" s="1"/>
  <c r="E5541" i="1"/>
  <c r="C5541" i="1"/>
  <c r="F5540" i="1"/>
  <c r="B5540" i="1" s="1"/>
  <c r="E5540" i="1"/>
  <c r="C5540" i="1"/>
  <c r="F5539" i="1"/>
  <c r="B5539" i="1" s="1"/>
  <c r="E5539" i="1"/>
  <c r="C5539" i="1"/>
  <c r="F5538" i="1"/>
  <c r="B5538" i="1" s="1"/>
  <c r="E5538" i="1"/>
  <c r="C5538" i="1"/>
  <c r="F5537" i="1"/>
  <c r="B5537" i="1" s="1"/>
  <c r="E5537" i="1"/>
  <c r="C5537" i="1"/>
  <c r="F5536" i="1"/>
  <c r="B5536" i="1" s="1"/>
  <c r="E5536" i="1"/>
  <c r="C5536" i="1"/>
  <c r="F5535" i="1"/>
  <c r="B5535" i="1" s="1"/>
  <c r="E5535" i="1"/>
  <c r="C5535" i="1"/>
  <c r="F5534" i="1"/>
  <c r="B5534" i="1" s="1"/>
  <c r="E5534" i="1"/>
  <c r="C5534" i="1"/>
  <c r="F5533" i="1"/>
  <c r="B5533" i="1" s="1"/>
  <c r="E5533" i="1"/>
  <c r="C5533" i="1"/>
  <c r="F5532" i="1"/>
  <c r="B5532" i="1" s="1"/>
  <c r="E5532" i="1"/>
  <c r="C5532" i="1"/>
  <c r="F5531" i="1"/>
  <c r="B5531" i="1" s="1"/>
  <c r="E5531" i="1"/>
  <c r="C5531" i="1"/>
  <c r="F5530" i="1"/>
  <c r="B5530" i="1" s="1"/>
  <c r="E5530" i="1"/>
  <c r="C5530" i="1"/>
  <c r="F5529" i="1"/>
  <c r="B5529" i="1" s="1"/>
  <c r="E5529" i="1"/>
  <c r="C5529" i="1"/>
  <c r="F5528" i="1"/>
  <c r="B5528" i="1" s="1"/>
  <c r="E5528" i="1"/>
  <c r="C5528" i="1"/>
  <c r="F5527" i="1"/>
  <c r="B5527" i="1" s="1"/>
  <c r="E5527" i="1"/>
  <c r="C5527" i="1"/>
  <c r="F5526" i="1"/>
  <c r="B5526" i="1" s="1"/>
  <c r="E5526" i="1"/>
  <c r="C5526" i="1"/>
  <c r="F5525" i="1"/>
  <c r="B5525" i="1" s="1"/>
  <c r="E5525" i="1"/>
  <c r="C5525" i="1"/>
  <c r="F5524" i="1"/>
  <c r="B5524" i="1" s="1"/>
  <c r="E5524" i="1"/>
  <c r="C5524" i="1"/>
  <c r="F5523" i="1"/>
  <c r="B5523" i="1" s="1"/>
  <c r="E5523" i="1"/>
  <c r="C5523" i="1"/>
  <c r="F5522" i="1"/>
  <c r="B5522" i="1" s="1"/>
  <c r="E5522" i="1"/>
  <c r="C5522" i="1"/>
  <c r="F5521" i="1"/>
  <c r="B5521" i="1" s="1"/>
  <c r="E5521" i="1"/>
  <c r="C5521" i="1"/>
  <c r="F5520" i="1"/>
  <c r="B5520" i="1" s="1"/>
  <c r="E5520" i="1"/>
  <c r="C5520" i="1"/>
  <c r="F5519" i="1"/>
  <c r="B5519" i="1" s="1"/>
  <c r="E5519" i="1"/>
  <c r="C5519" i="1"/>
  <c r="F5518" i="1"/>
  <c r="B5518" i="1" s="1"/>
  <c r="E5518" i="1"/>
  <c r="C5518" i="1"/>
  <c r="F5517" i="1"/>
  <c r="B5517" i="1" s="1"/>
  <c r="E5517" i="1"/>
  <c r="C5517" i="1"/>
  <c r="F5516" i="1"/>
  <c r="B5516" i="1" s="1"/>
  <c r="E5516" i="1"/>
  <c r="C5516" i="1"/>
  <c r="F5515" i="1"/>
  <c r="B5515" i="1" s="1"/>
  <c r="E5515" i="1"/>
  <c r="C5515" i="1"/>
  <c r="F5514" i="1"/>
  <c r="B5514" i="1" s="1"/>
  <c r="E5514" i="1"/>
  <c r="C5514" i="1"/>
  <c r="F5513" i="1"/>
  <c r="B5513" i="1" s="1"/>
  <c r="E5513" i="1"/>
  <c r="C5513" i="1"/>
  <c r="F5512" i="1"/>
  <c r="B5512" i="1" s="1"/>
  <c r="E5512" i="1"/>
  <c r="C5512" i="1"/>
  <c r="F5511" i="1"/>
  <c r="B5511" i="1" s="1"/>
  <c r="E5511" i="1"/>
  <c r="C5511" i="1"/>
  <c r="F5510" i="1"/>
  <c r="B5510" i="1" s="1"/>
  <c r="E5510" i="1"/>
  <c r="C5510" i="1"/>
  <c r="F5509" i="1"/>
  <c r="B5509" i="1" s="1"/>
  <c r="E5509" i="1"/>
  <c r="C5509" i="1"/>
  <c r="F5508" i="1"/>
  <c r="B5508" i="1" s="1"/>
  <c r="E5508" i="1"/>
  <c r="C5508" i="1"/>
  <c r="F5507" i="1"/>
  <c r="B5507" i="1" s="1"/>
  <c r="E5507" i="1"/>
  <c r="C5507" i="1"/>
  <c r="F5506" i="1"/>
  <c r="B5506" i="1" s="1"/>
  <c r="E5506" i="1"/>
  <c r="C5506" i="1"/>
  <c r="F5505" i="1"/>
  <c r="B5505" i="1" s="1"/>
  <c r="E5505" i="1"/>
  <c r="C5505" i="1"/>
  <c r="F5504" i="1"/>
  <c r="B5504" i="1" s="1"/>
  <c r="E5504" i="1"/>
  <c r="C5504" i="1"/>
  <c r="F5503" i="1"/>
  <c r="B5503" i="1" s="1"/>
  <c r="E5503" i="1"/>
  <c r="C5503" i="1"/>
  <c r="F5502" i="1"/>
  <c r="B5502" i="1" s="1"/>
  <c r="E5502" i="1"/>
  <c r="C5502" i="1"/>
  <c r="F5501" i="1"/>
  <c r="B5501" i="1" s="1"/>
  <c r="E5501" i="1"/>
  <c r="C5501" i="1"/>
  <c r="F5500" i="1"/>
  <c r="B5500" i="1" s="1"/>
  <c r="E5500" i="1"/>
  <c r="C5500" i="1"/>
  <c r="F5499" i="1"/>
  <c r="B5499" i="1" s="1"/>
  <c r="E5499" i="1"/>
  <c r="C5499" i="1"/>
  <c r="F5498" i="1"/>
  <c r="B5498" i="1" s="1"/>
  <c r="E5498" i="1"/>
  <c r="C5498" i="1"/>
  <c r="F5497" i="1"/>
  <c r="B5497" i="1" s="1"/>
  <c r="E5497" i="1"/>
  <c r="C5497" i="1"/>
  <c r="F5496" i="1"/>
  <c r="B5496" i="1" s="1"/>
  <c r="E5496" i="1"/>
  <c r="C5496" i="1"/>
  <c r="F5495" i="1"/>
  <c r="B5495" i="1" s="1"/>
  <c r="E5495" i="1"/>
  <c r="C5495" i="1"/>
  <c r="F5494" i="1"/>
  <c r="B5494" i="1" s="1"/>
  <c r="E5494" i="1"/>
  <c r="C5494" i="1"/>
  <c r="F5493" i="1"/>
  <c r="B5493" i="1" s="1"/>
  <c r="E5493" i="1"/>
  <c r="C5493" i="1"/>
  <c r="F5492" i="1"/>
  <c r="B5492" i="1" s="1"/>
  <c r="E5492" i="1"/>
  <c r="C5492" i="1"/>
  <c r="F5491" i="1"/>
  <c r="B5491" i="1" s="1"/>
  <c r="E5491" i="1"/>
  <c r="C5491" i="1"/>
  <c r="F5490" i="1"/>
  <c r="B5490" i="1" s="1"/>
  <c r="E5490" i="1"/>
  <c r="C5490" i="1"/>
  <c r="F5489" i="1"/>
  <c r="B5489" i="1" s="1"/>
  <c r="E5489" i="1"/>
  <c r="C5489" i="1"/>
  <c r="F5488" i="1"/>
  <c r="B5488" i="1" s="1"/>
  <c r="E5488" i="1"/>
  <c r="C5488" i="1"/>
  <c r="F5487" i="1"/>
  <c r="B5487" i="1" s="1"/>
  <c r="E5487" i="1"/>
  <c r="C5487" i="1"/>
  <c r="F5486" i="1"/>
  <c r="B5486" i="1" s="1"/>
  <c r="E5486" i="1"/>
  <c r="C5486" i="1"/>
  <c r="F5485" i="1"/>
  <c r="B5485" i="1" s="1"/>
  <c r="E5485" i="1"/>
  <c r="C5485" i="1"/>
  <c r="F5484" i="1"/>
  <c r="B5484" i="1" s="1"/>
  <c r="E5484" i="1"/>
  <c r="C5484" i="1"/>
  <c r="F5483" i="1"/>
  <c r="B5483" i="1" s="1"/>
  <c r="E5483" i="1"/>
  <c r="C5483" i="1"/>
  <c r="F5482" i="1"/>
  <c r="B5482" i="1" s="1"/>
  <c r="E5482" i="1"/>
  <c r="C5482" i="1"/>
  <c r="F5481" i="1"/>
  <c r="B5481" i="1" s="1"/>
  <c r="E5481" i="1"/>
  <c r="C5481" i="1"/>
  <c r="F5480" i="1"/>
  <c r="B5480" i="1" s="1"/>
  <c r="E5480" i="1"/>
  <c r="C5480" i="1"/>
  <c r="F5479" i="1"/>
  <c r="B5479" i="1" s="1"/>
  <c r="E5479" i="1"/>
  <c r="C5479" i="1"/>
  <c r="F5478" i="1"/>
  <c r="B5478" i="1" s="1"/>
  <c r="E5478" i="1"/>
  <c r="C5478" i="1"/>
  <c r="F5477" i="1"/>
  <c r="B5477" i="1" s="1"/>
  <c r="E5477" i="1"/>
  <c r="C5477" i="1"/>
  <c r="F5476" i="1"/>
  <c r="B5476" i="1" s="1"/>
  <c r="E5476" i="1"/>
  <c r="C5476" i="1"/>
  <c r="F5475" i="1"/>
  <c r="B5475" i="1" s="1"/>
  <c r="E5475" i="1"/>
  <c r="C5475" i="1"/>
  <c r="F5474" i="1"/>
  <c r="B5474" i="1" s="1"/>
  <c r="E5474" i="1"/>
  <c r="C5474" i="1"/>
  <c r="F5473" i="1"/>
  <c r="B5473" i="1" s="1"/>
  <c r="E5473" i="1"/>
  <c r="C5473" i="1"/>
  <c r="F5472" i="1"/>
  <c r="B5472" i="1" s="1"/>
  <c r="E5472" i="1"/>
  <c r="C5472" i="1"/>
  <c r="F5471" i="1"/>
  <c r="B5471" i="1" s="1"/>
  <c r="E5471" i="1"/>
  <c r="C5471" i="1"/>
  <c r="F5470" i="1"/>
  <c r="B5470" i="1" s="1"/>
  <c r="E5470" i="1"/>
  <c r="C5470" i="1"/>
  <c r="F5469" i="1"/>
  <c r="B5469" i="1" s="1"/>
  <c r="E5469" i="1"/>
  <c r="C5469" i="1"/>
  <c r="F5468" i="1"/>
  <c r="B5468" i="1" s="1"/>
  <c r="E5468" i="1"/>
  <c r="C5468" i="1"/>
  <c r="F5467" i="1"/>
  <c r="B5467" i="1" s="1"/>
  <c r="E5467" i="1"/>
  <c r="C5467" i="1"/>
  <c r="F5466" i="1"/>
  <c r="B5466" i="1" s="1"/>
  <c r="E5466" i="1"/>
  <c r="C5466" i="1"/>
  <c r="F5465" i="1"/>
  <c r="B5465" i="1" s="1"/>
  <c r="E5465" i="1"/>
  <c r="C5465" i="1"/>
  <c r="F5464" i="1"/>
  <c r="B5464" i="1" s="1"/>
  <c r="E5464" i="1"/>
  <c r="C5464" i="1"/>
  <c r="F5463" i="1"/>
  <c r="B5463" i="1" s="1"/>
  <c r="E5463" i="1"/>
  <c r="C5463" i="1"/>
  <c r="F5462" i="1"/>
  <c r="B5462" i="1" s="1"/>
  <c r="E5462" i="1"/>
  <c r="C5462" i="1"/>
  <c r="F5461" i="1"/>
  <c r="B5461" i="1" s="1"/>
  <c r="E5461" i="1"/>
  <c r="C5461" i="1"/>
  <c r="F5460" i="1"/>
  <c r="B5460" i="1" s="1"/>
  <c r="E5460" i="1"/>
  <c r="C5460" i="1"/>
  <c r="F5459" i="1"/>
  <c r="B5459" i="1" s="1"/>
  <c r="E5459" i="1"/>
  <c r="C5459" i="1"/>
  <c r="F5458" i="1"/>
  <c r="B5458" i="1" s="1"/>
  <c r="E5458" i="1"/>
  <c r="C5458" i="1"/>
  <c r="F5457" i="1"/>
  <c r="B5457" i="1" s="1"/>
  <c r="E5457" i="1"/>
  <c r="C5457" i="1"/>
  <c r="F5456" i="1"/>
  <c r="B5456" i="1" s="1"/>
  <c r="E5456" i="1"/>
  <c r="C5456" i="1"/>
  <c r="F5455" i="1"/>
  <c r="B5455" i="1" s="1"/>
  <c r="E5455" i="1"/>
  <c r="C5455" i="1"/>
  <c r="F5454" i="1"/>
  <c r="B5454" i="1" s="1"/>
  <c r="E5454" i="1"/>
  <c r="C5454" i="1"/>
  <c r="F5453" i="1"/>
  <c r="B5453" i="1" s="1"/>
  <c r="E5453" i="1"/>
  <c r="C5453" i="1"/>
  <c r="F5452" i="1"/>
  <c r="B5452" i="1" s="1"/>
  <c r="E5452" i="1"/>
  <c r="C5452" i="1"/>
  <c r="F5451" i="1"/>
  <c r="B5451" i="1" s="1"/>
  <c r="E5451" i="1"/>
  <c r="C5451" i="1"/>
  <c r="F5450" i="1"/>
  <c r="B5450" i="1" s="1"/>
  <c r="E5450" i="1"/>
  <c r="C5450" i="1"/>
  <c r="F5449" i="1"/>
  <c r="B5449" i="1" s="1"/>
  <c r="E5449" i="1"/>
  <c r="C5449" i="1"/>
  <c r="F5448" i="1"/>
  <c r="B5448" i="1" s="1"/>
  <c r="E5448" i="1"/>
  <c r="C5448" i="1"/>
  <c r="F5447" i="1"/>
  <c r="B5447" i="1" s="1"/>
  <c r="E5447" i="1"/>
  <c r="C5447" i="1"/>
  <c r="F5446" i="1"/>
  <c r="B5446" i="1" s="1"/>
  <c r="E5446" i="1"/>
  <c r="C5446" i="1"/>
  <c r="F5445" i="1"/>
  <c r="B5445" i="1" s="1"/>
  <c r="E5445" i="1"/>
  <c r="C5445" i="1"/>
  <c r="F5444" i="1"/>
  <c r="B5444" i="1" s="1"/>
  <c r="E5444" i="1"/>
  <c r="C5444" i="1"/>
  <c r="F5443" i="1"/>
  <c r="B5443" i="1" s="1"/>
  <c r="E5443" i="1"/>
  <c r="C5443" i="1"/>
  <c r="F5442" i="1"/>
  <c r="B5442" i="1" s="1"/>
  <c r="E5442" i="1"/>
  <c r="C5442" i="1"/>
  <c r="F5441" i="1"/>
  <c r="B5441" i="1" s="1"/>
  <c r="E5441" i="1"/>
  <c r="C5441" i="1"/>
  <c r="F5440" i="1"/>
  <c r="B5440" i="1" s="1"/>
  <c r="E5440" i="1"/>
  <c r="C5440" i="1"/>
  <c r="F5439" i="1"/>
  <c r="B5439" i="1" s="1"/>
  <c r="E5439" i="1"/>
  <c r="C5439" i="1"/>
  <c r="F5438" i="1"/>
  <c r="B5438" i="1" s="1"/>
  <c r="E5438" i="1"/>
  <c r="C5438" i="1"/>
  <c r="F5437" i="1"/>
  <c r="B5437" i="1" s="1"/>
  <c r="E5437" i="1"/>
  <c r="C5437" i="1"/>
  <c r="F5436" i="1"/>
  <c r="B5436" i="1" s="1"/>
  <c r="E5436" i="1"/>
  <c r="C5436" i="1"/>
  <c r="F5435" i="1"/>
  <c r="B5435" i="1" s="1"/>
  <c r="E5435" i="1"/>
  <c r="C5435" i="1"/>
  <c r="F5434" i="1"/>
  <c r="B5434" i="1" s="1"/>
  <c r="E5434" i="1"/>
  <c r="C5434" i="1"/>
  <c r="F5433" i="1"/>
  <c r="B5433" i="1" s="1"/>
  <c r="E5433" i="1"/>
  <c r="C5433" i="1"/>
  <c r="F5432" i="1"/>
  <c r="B5432" i="1" s="1"/>
  <c r="E5432" i="1"/>
  <c r="C5432" i="1"/>
  <c r="F5431" i="1"/>
  <c r="B5431" i="1" s="1"/>
  <c r="E5431" i="1"/>
  <c r="C5431" i="1"/>
  <c r="F5430" i="1"/>
  <c r="B5430" i="1" s="1"/>
  <c r="E5430" i="1"/>
  <c r="C5430" i="1"/>
  <c r="F5429" i="1"/>
  <c r="B5429" i="1" s="1"/>
  <c r="E5429" i="1"/>
  <c r="C5429" i="1"/>
  <c r="F5428" i="1"/>
  <c r="B5428" i="1" s="1"/>
  <c r="E5428" i="1"/>
  <c r="C5428" i="1"/>
  <c r="F5427" i="1"/>
  <c r="B5427" i="1" s="1"/>
  <c r="E5427" i="1"/>
  <c r="C5427" i="1"/>
  <c r="F5426" i="1"/>
  <c r="B5426" i="1" s="1"/>
  <c r="E5426" i="1"/>
  <c r="C5426" i="1"/>
  <c r="F5425" i="1"/>
  <c r="B5425" i="1" s="1"/>
  <c r="E5425" i="1"/>
  <c r="C5425" i="1"/>
  <c r="F5424" i="1"/>
  <c r="B5424" i="1" s="1"/>
  <c r="E5424" i="1"/>
  <c r="C5424" i="1"/>
  <c r="F5423" i="1"/>
  <c r="B5423" i="1" s="1"/>
  <c r="E5423" i="1"/>
  <c r="C5423" i="1"/>
  <c r="F5422" i="1"/>
  <c r="B5422" i="1" s="1"/>
  <c r="E5422" i="1"/>
  <c r="C5422" i="1"/>
  <c r="F5421" i="1"/>
  <c r="B5421" i="1" s="1"/>
  <c r="E5421" i="1"/>
  <c r="C5421" i="1"/>
  <c r="F5420" i="1"/>
  <c r="B5420" i="1" s="1"/>
  <c r="E5420" i="1"/>
  <c r="C5420" i="1"/>
  <c r="F5419" i="1"/>
  <c r="B5419" i="1" s="1"/>
  <c r="E5419" i="1"/>
  <c r="C5419" i="1"/>
  <c r="F5418" i="1"/>
  <c r="B5418" i="1" s="1"/>
  <c r="E5418" i="1"/>
  <c r="C5418" i="1"/>
  <c r="F5417" i="1"/>
  <c r="B5417" i="1" s="1"/>
  <c r="E5417" i="1"/>
  <c r="C5417" i="1"/>
  <c r="F5416" i="1"/>
  <c r="B5416" i="1" s="1"/>
  <c r="E5416" i="1"/>
  <c r="C5416" i="1"/>
  <c r="F5415" i="1"/>
  <c r="B5415" i="1" s="1"/>
  <c r="E5415" i="1"/>
  <c r="C5415" i="1"/>
  <c r="F5414" i="1"/>
  <c r="B5414" i="1" s="1"/>
  <c r="E5414" i="1"/>
  <c r="C5414" i="1"/>
  <c r="F5413" i="1"/>
  <c r="B5413" i="1" s="1"/>
  <c r="E5413" i="1"/>
  <c r="C5413" i="1"/>
  <c r="F5412" i="1"/>
  <c r="B5412" i="1" s="1"/>
  <c r="E5412" i="1"/>
  <c r="C5412" i="1"/>
  <c r="F5411" i="1"/>
  <c r="B5411" i="1" s="1"/>
  <c r="E5411" i="1"/>
  <c r="C5411" i="1"/>
  <c r="F5410" i="1"/>
  <c r="B5410" i="1" s="1"/>
  <c r="E5410" i="1"/>
  <c r="C5410" i="1"/>
  <c r="F5409" i="1"/>
  <c r="B5409" i="1" s="1"/>
  <c r="E5409" i="1"/>
  <c r="C5409" i="1"/>
  <c r="F5408" i="1"/>
  <c r="B5408" i="1" s="1"/>
  <c r="E5408" i="1"/>
  <c r="C5408" i="1"/>
  <c r="F5407" i="1"/>
  <c r="B5407" i="1" s="1"/>
  <c r="E5407" i="1"/>
  <c r="C5407" i="1"/>
  <c r="F5406" i="1"/>
  <c r="B5406" i="1" s="1"/>
  <c r="E5406" i="1"/>
  <c r="C5406" i="1"/>
  <c r="F5405" i="1"/>
  <c r="B5405" i="1" s="1"/>
  <c r="E5405" i="1"/>
  <c r="C5405" i="1"/>
  <c r="F5404" i="1"/>
  <c r="B5404" i="1" s="1"/>
  <c r="E5404" i="1"/>
  <c r="C5404" i="1"/>
  <c r="F5403" i="1"/>
  <c r="B5403" i="1" s="1"/>
  <c r="E5403" i="1"/>
  <c r="C5403" i="1"/>
  <c r="F5402" i="1"/>
  <c r="B5402" i="1" s="1"/>
  <c r="E5402" i="1"/>
  <c r="C5402" i="1"/>
  <c r="F5401" i="1"/>
  <c r="B5401" i="1" s="1"/>
  <c r="E5401" i="1"/>
  <c r="C5401" i="1"/>
  <c r="F5400" i="1"/>
  <c r="B5400" i="1" s="1"/>
  <c r="E5400" i="1"/>
  <c r="C5400" i="1"/>
  <c r="F5399" i="1"/>
  <c r="B5399" i="1" s="1"/>
  <c r="E5399" i="1"/>
  <c r="C5399" i="1"/>
  <c r="F5398" i="1"/>
  <c r="B5398" i="1" s="1"/>
  <c r="E5398" i="1"/>
  <c r="C5398" i="1"/>
  <c r="F5397" i="1"/>
  <c r="B5397" i="1" s="1"/>
  <c r="E5397" i="1"/>
  <c r="C5397" i="1"/>
  <c r="F5396" i="1"/>
  <c r="B5396" i="1" s="1"/>
  <c r="E5396" i="1"/>
  <c r="C5396" i="1"/>
  <c r="F5395" i="1"/>
  <c r="B5395" i="1" s="1"/>
  <c r="E5395" i="1"/>
  <c r="C5395" i="1"/>
  <c r="F5394" i="1"/>
  <c r="B5394" i="1" s="1"/>
  <c r="E5394" i="1"/>
  <c r="C5394" i="1"/>
  <c r="F5393" i="1"/>
  <c r="B5393" i="1" s="1"/>
  <c r="E5393" i="1"/>
  <c r="C5393" i="1"/>
  <c r="F5392" i="1"/>
  <c r="B5392" i="1" s="1"/>
  <c r="E5392" i="1"/>
  <c r="C5392" i="1"/>
  <c r="F5391" i="1"/>
  <c r="B5391" i="1" s="1"/>
  <c r="E5391" i="1"/>
  <c r="C5391" i="1"/>
  <c r="F5390" i="1"/>
  <c r="B5390" i="1" s="1"/>
  <c r="E5390" i="1"/>
  <c r="C5390" i="1"/>
  <c r="F5389" i="1"/>
  <c r="B5389" i="1" s="1"/>
  <c r="E5389" i="1"/>
  <c r="C5389" i="1"/>
  <c r="F5388" i="1"/>
  <c r="B5388" i="1" s="1"/>
  <c r="E5388" i="1"/>
  <c r="C5388" i="1"/>
  <c r="F5387" i="1"/>
  <c r="B5387" i="1" s="1"/>
  <c r="E5387" i="1"/>
  <c r="C5387" i="1"/>
  <c r="F5386" i="1"/>
  <c r="B5386" i="1" s="1"/>
  <c r="E5386" i="1"/>
  <c r="C5386" i="1"/>
  <c r="F5385" i="1"/>
  <c r="B5385" i="1" s="1"/>
  <c r="E5385" i="1"/>
  <c r="C5385" i="1"/>
  <c r="F5384" i="1"/>
  <c r="B5384" i="1" s="1"/>
  <c r="E5384" i="1"/>
  <c r="C5384" i="1"/>
  <c r="F5383" i="1"/>
  <c r="B5383" i="1" s="1"/>
  <c r="E5383" i="1"/>
  <c r="C5383" i="1"/>
  <c r="F5382" i="1"/>
  <c r="B5382" i="1" s="1"/>
  <c r="E5382" i="1"/>
  <c r="C5382" i="1"/>
  <c r="F5381" i="1"/>
  <c r="B5381" i="1" s="1"/>
  <c r="E5381" i="1"/>
  <c r="C5381" i="1"/>
  <c r="F5380" i="1"/>
  <c r="B5380" i="1" s="1"/>
  <c r="E5380" i="1"/>
  <c r="C5380" i="1"/>
  <c r="F5379" i="1"/>
  <c r="B5379" i="1" s="1"/>
  <c r="E5379" i="1"/>
  <c r="C5379" i="1"/>
  <c r="F5378" i="1"/>
  <c r="B5378" i="1" s="1"/>
  <c r="E5378" i="1"/>
  <c r="C5378" i="1"/>
  <c r="F5377" i="1"/>
  <c r="B5377" i="1" s="1"/>
  <c r="E5377" i="1"/>
  <c r="C5377" i="1"/>
  <c r="F5376" i="1"/>
  <c r="B5376" i="1" s="1"/>
  <c r="E5376" i="1"/>
  <c r="C5376" i="1"/>
  <c r="F5375" i="1"/>
  <c r="B5375" i="1" s="1"/>
  <c r="E5375" i="1"/>
  <c r="C5375" i="1"/>
  <c r="F5374" i="1"/>
  <c r="B5374" i="1" s="1"/>
  <c r="E5374" i="1"/>
  <c r="C5374" i="1"/>
  <c r="F5373" i="1"/>
  <c r="B5373" i="1" s="1"/>
  <c r="E5373" i="1"/>
  <c r="C5373" i="1"/>
  <c r="F5372" i="1"/>
  <c r="B5372" i="1" s="1"/>
  <c r="E5372" i="1"/>
  <c r="C5372" i="1"/>
  <c r="F5371" i="1"/>
  <c r="B5371" i="1" s="1"/>
  <c r="E5371" i="1"/>
  <c r="C5371" i="1"/>
  <c r="F5370" i="1"/>
  <c r="B5370" i="1" s="1"/>
  <c r="E5370" i="1"/>
  <c r="C5370" i="1"/>
  <c r="F5369" i="1"/>
  <c r="B5369" i="1" s="1"/>
  <c r="E5369" i="1"/>
  <c r="C5369" i="1"/>
  <c r="F5368" i="1"/>
  <c r="B5368" i="1" s="1"/>
  <c r="E5368" i="1"/>
  <c r="C5368" i="1"/>
  <c r="F5367" i="1"/>
  <c r="B5367" i="1" s="1"/>
  <c r="E5367" i="1"/>
  <c r="C5367" i="1"/>
  <c r="F5366" i="1"/>
  <c r="B5366" i="1" s="1"/>
  <c r="E5366" i="1"/>
  <c r="C5366" i="1"/>
  <c r="F5365" i="1"/>
  <c r="B5365" i="1" s="1"/>
  <c r="E5365" i="1"/>
  <c r="C5365" i="1"/>
  <c r="F5364" i="1"/>
  <c r="B5364" i="1" s="1"/>
  <c r="E5364" i="1"/>
  <c r="C5364" i="1"/>
  <c r="F5363" i="1"/>
  <c r="B5363" i="1" s="1"/>
  <c r="E5363" i="1"/>
  <c r="C5363" i="1"/>
  <c r="F5362" i="1"/>
  <c r="B5362" i="1" s="1"/>
  <c r="E5362" i="1"/>
  <c r="C5362" i="1"/>
  <c r="F5361" i="1"/>
  <c r="B5361" i="1" s="1"/>
  <c r="E5361" i="1"/>
  <c r="C5361" i="1"/>
  <c r="F5360" i="1"/>
  <c r="B5360" i="1" s="1"/>
  <c r="E5360" i="1"/>
  <c r="C5360" i="1"/>
  <c r="F5359" i="1"/>
  <c r="B5359" i="1" s="1"/>
  <c r="E5359" i="1"/>
  <c r="C5359" i="1"/>
  <c r="F5358" i="1"/>
  <c r="B5358" i="1" s="1"/>
  <c r="E5358" i="1"/>
  <c r="C5358" i="1"/>
  <c r="F5357" i="1"/>
  <c r="B5357" i="1" s="1"/>
  <c r="E5357" i="1"/>
  <c r="C5357" i="1"/>
  <c r="F5356" i="1"/>
  <c r="B5356" i="1" s="1"/>
  <c r="E5356" i="1"/>
  <c r="C5356" i="1"/>
  <c r="F5355" i="1"/>
  <c r="B5355" i="1" s="1"/>
  <c r="E5355" i="1"/>
  <c r="C5355" i="1"/>
  <c r="F5354" i="1"/>
  <c r="B5354" i="1" s="1"/>
  <c r="E5354" i="1"/>
  <c r="C5354" i="1"/>
  <c r="F5353" i="1"/>
  <c r="B5353" i="1" s="1"/>
  <c r="E5353" i="1"/>
  <c r="C5353" i="1"/>
  <c r="F5352" i="1"/>
  <c r="B5352" i="1" s="1"/>
  <c r="E5352" i="1"/>
  <c r="C5352" i="1"/>
  <c r="F5351" i="1"/>
  <c r="B5351" i="1" s="1"/>
  <c r="E5351" i="1"/>
  <c r="C5351" i="1"/>
  <c r="F5350" i="1"/>
  <c r="B5350" i="1" s="1"/>
  <c r="E5350" i="1"/>
  <c r="C5350" i="1"/>
  <c r="F5349" i="1"/>
  <c r="B5349" i="1" s="1"/>
  <c r="E5349" i="1"/>
  <c r="C5349" i="1"/>
  <c r="F5348" i="1"/>
  <c r="B5348" i="1" s="1"/>
  <c r="E5348" i="1"/>
  <c r="C5348" i="1"/>
  <c r="F5347" i="1"/>
  <c r="B5347" i="1" s="1"/>
  <c r="E5347" i="1"/>
  <c r="C5347" i="1"/>
  <c r="F5346" i="1"/>
  <c r="B5346" i="1" s="1"/>
  <c r="E5346" i="1"/>
  <c r="C5346" i="1"/>
  <c r="F5345" i="1"/>
  <c r="B5345" i="1" s="1"/>
  <c r="E5345" i="1"/>
  <c r="C5345" i="1"/>
  <c r="F5344" i="1"/>
  <c r="B5344" i="1" s="1"/>
  <c r="E5344" i="1"/>
  <c r="C5344" i="1"/>
  <c r="F5343" i="1"/>
  <c r="B5343" i="1" s="1"/>
  <c r="E5343" i="1"/>
  <c r="C5343" i="1"/>
  <c r="F5342" i="1"/>
  <c r="B5342" i="1" s="1"/>
  <c r="E5342" i="1"/>
  <c r="C5342" i="1"/>
  <c r="F5341" i="1"/>
  <c r="B5341" i="1" s="1"/>
  <c r="E5341" i="1"/>
  <c r="C5341" i="1"/>
  <c r="F5340" i="1"/>
  <c r="B5340" i="1" s="1"/>
  <c r="E5340" i="1"/>
  <c r="C5340" i="1"/>
  <c r="F5339" i="1"/>
  <c r="B5339" i="1" s="1"/>
  <c r="E5339" i="1"/>
  <c r="C5339" i="1"/>
  <c r="F5338" i="1"/>
  <c r="B5338" i="1" s="1"/>
  <c r="E5338" i="1"/>
  <c r="C5338" i="1"/>
  <c r="F5337" i="1"/>
  <c r="B5337" i="1" s="1"/>
  <c r="E5337" i="1"/>
  <c r="C5337" i="1"/>
  <c r="F5336" i="1"/>
  <c r="B5336" i="1" s="1"/>
  <c r="E5336" i="1"/>
  <c r="C5336" i="1"/>
  <c r="F5335" i="1"/>
  <c r="B5335" i="1" s="1"/>
  <c r="E5335" i="1"/>
  <c r="C5335" i="1"/>
  <c r="F5334" i="1"/>
  <c r="B5334" i="1" s="1"/>
  <c r="E5334" i="1"/>
  <c r="C5334" i="1"/>
  <c r="F5333" i="1"/>
  <c r="B5333" i="1" s="1"/>
  <c r="E5333" i="1"/>
  <c r="C5333" i="1"/>
  <c r="F5332" i="1"/>
  <c r="B5332" i="1" s="1"/>
  <c r="E5332" i="1"/>
  <c r="C5332" i="1"/>
  <c r="F5331" i="1"/>
  <c r="B5331" i="1" s="1"/>
  <c r="E5331" i="1"/>
  <c r="C5331" i="1"/>
  <c r="F5330" i="1"/>
  <c r="B5330" i="1" s="1"/>
  <c r="E5330" i="1"/>
  <c r="C5330" i="1"/>
  <c r="F5329" i="1"/>
  <c r="B5329" i="1" s="1"/>
  <c r="E5329" i="1"/>
  <c r="C5329" i="1"/>
  <c r="F5328" i="1"/>
  <c r="B5328" i="1" s="1"/>
  <c r="E5328" i="1"/>
  <c r="C5328" i="1"/>
  <c r="F5327" i="1"/>
  <c r="B5327" i="1" s="1"/>
  <c r="E5327" i="1"/>
  <c r="C5327" i="1"/>
  <c r="F5326" i="1"/>
  <c r="B5326" i="1" s="1"/>
  <c r="E5326" i="1"/>
  <c r="C5326" i="1"/>
  <c r="F5325" i="1"/>
  <c r="B5325" i="1" s="1"/>
  <c r="E5325" i="1"/>
  <c r="C5325" i="1"/>
  <c r="F5324" i="1"/>
  <c r="B5324" i="1" s="1"/>
  <c r="E5324" i="1"/>
  <c r="C5324" i="1"/>
  <c r="F5323" i="1"/>
  <c r="B5323" i="1" s="1"/>
  <c r="E5323" i="1"/>
  <c r="C5323" i="1"/>
  <c r="F5322" i="1"/>
  <c r="B5322" i="1" s="1"/>
  <c r="E5322" i="1"/>
  <c r="C5322" i="1"/>
  <c r="F5321" i="1"/>
  <c r="B5321" i="1" s="1"/>
  <c r="E5321" i="1"/>
  <c r="C5321" i="1"/>
  <c r="F5320" i="1"/>
  <c r="B5320" i="1" s="1"/>
  <c r="E5320" i="1"/>
  <c r="C5320" i="1"/>
  <c r="F5319" i="1"/>
  <c r="B5319" i="1" s="1"/>
  <c r="E5319" i="1"/>
  <c r="C5319" i="1"/>
  <c r="F5318" i="1"/>
  <c r="B5318" i="1" s="1"/>
  <c r="E5318" i="1"/>
  <c r="C5318" i="1"/>
  <c r="F5317" i="1"/>
  <c r="B5317" i="1" s="1"/>
  <c r="E5317" i="1"/>
  <c r="C5317" i="1"/>
  <c r="F5316" i="1"/>
  <c r="B5316" i="1" s="1"/>
  <c r="E5316" i="1"/>
  <c r="C5316" i="1"/>
  <c r="F5315" i="1"/>
  <c r="B5315" i="1" s="1"/>
  <c r="E5315" i="1"/>
  <c r="C5315" i="1"/>
  <c r="F5314" i="1"/>
  <c r="B5314" i="1" s="1"/>
  <c r="E5314" i="1"/>
  <c r="C5314" i="1"/>
  <c r="F5313" i="1"/>
  <c r="B5313" i="1" s="1"/>
  <c r="E5313" i="1"/>
  <c r="C5313" i="1"/>
  <c r="F5312" i="1"/>
  <c r="B5312" i="1" s="1"/>
  <c r="E5312" i="1"/>
  <c r="C5312" i="1"/>
  <c r="F5311" i="1"/>
  <c r="B5311" i="1" s="1"/>
  <c r="E5311" i="1"/>
  <c r="C5311" i="1"/>
  <c r="F5310" i="1"/>
  <c r="B5310" i="1" s="1"/>
  <c r="E5310" i="1"/>
  <c r="C5310" i="1"/>
  <c r="F5309" i="1"/>
  <c r="B5309" i="1" s="1"/>
  <c r="E5309" i="1"/>
  <c r="C5309" i="1"/>
  <c r="F5308" i="1"/>
  <c r="B5308" i="1" s="1"/>
  <c r="E5308" i="1"/>
  <c r="C5308" i="1"/>
  <c r="F5307" i="1"/>
  <c r="B5307" i="1" s="1"/>
  <c r="E5307" i="1"/>
  <c r="C5307" i="1"/>
  <c r="F5306" i="1"/>
  <c r="B5306" i="1" s="1"/>
  <c r="E5306" i="1"/>
  <c r="C5306" i="1"/>
  <c r="F5305" i="1"/>
  <c r="B5305" i="1" s="1"/>
  <c r="E5305" i="1"/>
  <c r="C5305" i="1"/>
  <c r="F5304" i="1"/>
  <c r="B5304" i="1" s="1"/>
  <c r="E5304" i="1"/>
  <c r="C5304" i="1"/>
  <c r="F5303" i="1"/>
  <c r="B5303" i="1" s="1"/>
  <c r="E5303" i="1"/>
  <c r="C5303" i="1"/>
  <c r="F5302" i="1"/>
  <c r="B5302" i="1" s="1"/>
  <c r="E5302" i="1"/>
  <c r="C5302" i="1"/>
  <c r="F5301" i="1"/>
  <c r="B5301" i="1" s="1"/>
  <c r="E5301" i="1"/>
  <c r="C5301" i="1"/>
  <c r="F5300" i="1"/>
  <c r="B5300" i="1" s="1"/>
  <c r="E5300" i="1"/>
  <c r="C5300" i="1"/>
  <c r="F5299" i="1"/>
  <c r="B5299" i="1" s="1"/>
  <c r="E5299" i="1"/>
  <c r="C5299" i="1"/>
  <c r="F5298" i="1"/>
  <c r="B5298" i="1" s="1"/>
  <c r="E5298" i="1"/>
  <c r="C5298" i="1"/>
  <c r="F5297" i="1"/>
  <c r="B5297" i="1" s="1"/>
  <c r="E5297" i="1"/>
  <c r="C5297" i="1"/>
  <c r="F5296" i="1"/>
  <c r="B5296" i="1" s="1"/>
  <c r="E5296" i="1"/>
  <c r="C5296" i="1"/>
  <c r="F5295" i="1"/>
  <c r="B5295" i="1" s="1"/>
  <c r="E5295" i="1"/>
  <c r="C5295" i="1"/>
  <c r="F5294" i="1"/>
  <c r="B5294" i="1" s="1"/>
  <c r="E5294" i="1"/>
  <c r="C5294" i="1"/>
  <c r="F5293" i="1"/>
  <c r="B5293" i="1" s="1"/>
  <c r="E5293" i="1"/>
  <c r="C5293" i="1"/>
  <c r="F5292" i="1"/>
  <c r="B5292" i="1" s="1"/>
  <c r="E5292" i="1"/>
  <c r="C5292" i="1"/>
  <c r="F5291" i="1"/>
  <c r="B5291" i="1" s="1"/>
  <c r="E5291" i="1"/>
  <c r="C5291" i="1"/>
  <c r="F5290" i="1"/>
  <c r="B5290" i="1" s="1"/>
  <c r="E5290" i="1"/>
  <c r="C5290" i="1"/>
  <c r="F5289" i="1"/>
  <c r="B5289" i="1" s="1"/>
  <c r="E5289" i="1"/>
  <c r="C5289" i="1"/>
  <c r="F5288" i="1"/>
  <c r="B5288" i="1" s="1"/>
  <c r="E5288" i="1"/>
  <c r="C5288" i="1"/>
  <c r="F5287" i="1"/>
  <c r="B5287" i="1" s="1"/>
  <c r="E5287" i="1"/>
  <c r="C5287" i="1"/>
  <c r="F5286" i="1"/>
  <c r="B5286" i="1" s="1"/>
  <c r="E5286" i="1"/>
  <c r="C5286" i="1"/>
  <c r="F5285" i="1"/>
  <c r="B5285" i="1" s="1"/>
  <c r="E5285" i="1"/>
  <c r="C5285" i="1"/>
  <c r="F5284" i="1"/>
  <c r="B5284" i="1" s="1"/>
  <c r="E5284" i="1"/>
  <c r="C5284" i="1"/>
  <c r="F5283" i="1"/>
  <c r="B5283" i="1" s="1"/>
  <c r="E5283" i="1"/>
  <c r="C5283" i="1"/>
  <c r="F5282" i="1"/>
  <c r="B5282" i="1" s="1"/>
  <c r="E5282" i="1"/>
  <c r="C5282" i="1"/>
  <c r="F5281" i="1"/>
  <c r="B5281" i="1" s="1"/>
  <c r="E5281" i="1"/>
  <c r="C5281" i="1"/>
  <c r="F5280" i="1"/>
  <c r="B5280" i="1" s="1"/>
  <c r="E5280" i="1"/>
  <c r="C5280" i="1"/>
  <c r="F5279" i="1"/>
  <c r="B5279" i="1" s="1"/>
  <c r="E5279" i="1"/>
  <c r="C5279" i="1"/>
  <c r="F5278" i="1"/>
  <c r="B5278" i="1" s="1"/>
  <c r="E5278" i="1"/>
  <c r="C5278" i="1"/>
  <c r="F5277" i="1"/>
  <c r="B5277" i="1" s="1"/>
  <c r="E5277" i="1"/>
  <c r="C5277" i="1"/>
  <c r="F5276" i="1"/>
  <c r="B5276" i="1" s="1"/>
  <c r="E5276" i="1"/>
  <c r="C5276" i="1"/>
  <c r="F5275" i="1"/>
  <c r="B5275" i="1" s="1"/>
  <c r="E5275" i="1"/>
  <c r="C5275" i="1"/>
  <c r="F5274" i="1"/>
  <c r="B5274" i="1" s="1"/>
  <c r="E5274" i="1"/>
  <c r="C5274" i="1"/>
  <c r="F5273" i="1"/>
  <c r="B5273" i="1" s="1"/>
  <c r="E5273" i="1"/>
  <c r="C5273" i="1"/>
  <c r="F5272" i="1"/>
  <c r="B5272" i="1" s="1"/>
  <c r="E5272" i="1"/>
  <c r="C5272" i="1"/>
  <c r="F5271" i="1"/>
  <c r="B5271" i="1" s="1"/>
  <c r="E5271" i="1"/>
  <c r="C5271" i="1"/>
  <c r="F5270" i="1"/>
  <c r="B5270" i="1" s="1"/>
  <c r="E5270" i="1"/>
  <c r="C5270" i="1"/>
  <c r="F5269" i="1"/>
  <c r="B5269" i="1" s="1"/>
  <c r="E5269" i="1"/>
  <c r="C5269" i="1"/>
  <c r="F5268" i="1"/>
  <c r="B5268" i="1" s="1"/>
  <c r="E5268" i="1"/>
  <c r="C5268" i="1"/>
  <c r="F5267" i="1"/>
  <c r="B5267" i="1" s="1"/>
  <c r="E5267" i="1"/>
  <c r="C5267" i="1"/>
  <c r="F5266" i="1"/>
  <c r="B5266" i="1" s="1"/>
  <c r="E5266" i="1"/>
  <c r="C5266" i="1"/>
  <c r="F5265" i="1"/>
  <c r="B5265" i="1" s="1"/>
  <c r="E5265" i="1"/>
  <c r="C5265" i="1"/>
  <c r="F5264" i="1"/>
  <c r="B5264" i="1" s="1"/>
  <c r="E5264" i="1"/>
  <c r="C5264" i="1"/>
  <c r="F5263" i="1"/>
  <c r="B5263" i="1" s="1"/>
  <c r="E5263" i="1"/>
  <c r="C5263" i="1"/>
  <c r="F5262" i="1"/>
  <c r="B5262" i="1" s="1"/>
  <c r="E5262" i="1"/>
  <c r="C5262" i="1"/>
  <c r="F5261" i="1"/>
  <c r="B5261" i="1" s="1"/>
  <c r="E5261" i="1"/>
  <c r="C5261" i="1"/>
  <c r="F5260" i="1"/>
  <c r="B5260" i="1" s="1"/>
  <c r="E5260" i="1"/>
  <c r="C5260" i="1"/>
  <c r="F5259" i="1"/>
  <c r="B5259" i="1" s="1"/>
  <c r="E5259" i="1"/>
  <c r="C5259" i="1"/>
  <c r="F5258" i="1"/>
  <c r="B5258" i="1" s="1"/>
  <c r="E5258" i="1"/>
  <c r="C5258" i="1"/>
  <c r="F5257" i="1"/>
  <c r="B5257" i="1" s="1"/>
  <c r="E5257" i="1"/>
  <c r="C5257" i="1"/>
  <c r="F5256" i="1"/>
  <c r="B5256" i="1" s="1"/>
  <c r="E5256" i="1"/>
  <c r="C5256" i="1"/>
  <c r="F5255" i="1"/>
  <c r="B5255" i="1" s="1"/>
  <c r="E5255" i="1"/>
  <c r="C5255" i="1"/>
  <c r="F5254" i="1"/>
  <c r="B5254" i="1" s="1"/>
  <c r="E5254" i="1"/>
  <c r="C5254" i="1"/>
  <c r="F5253" i="1"/>
  <c r="B5253" i="1" s="1"/>
  <c r="E5253" i="1"/>
  <c r="C5253" i="1"/>
  <c r="F5252" i="1"/>
  <c r="B5252" i="1" s="1"/>
  <c r="E5252" i="1"/>
  <c r="C5252" i="1"/>
  <c r="F5251" i="1"/>
  <c r="B5251" i="1" s="1"/>
  <c r="E5251" i="1"/>
  <c r="C5251" i="1"/>
  <c r="F5250" i="1"/>
  <c r="B5250" i="1" s="1"/>
  <c r="E5250" i="1"/>
  <c r="C5250" i="1"/>
  <c r="F5249" i="1"/>
  <c r="B5249" i="1" s="1"/>
  <c r="E5249" i="1"/>
  <c r="C5249" i="1"/>
  <c r="F5248" i="1"/>
  <c r="B5248" i="1" s="1"/>
  <c r="E5248" i="1"/>
  <c r="C5248" i="1"/>
  <c r="F5247" i="1"/>
  <c r="B5247" i="1" s="1"/>
  <c r="E5247" i="1"/>
  <c r="C5247" i="1"/>
  <c r="F5246" i="1"/>
  <c r="B5246" i="1" s="1"/>
  <c r="E5246" i="1"/>
  <c r="C5246" i="1"/>
  <c r="F5245" i="1"/>
  <c r="B5245" i="1" s="1"/>
  <c r="E5245" i="1"/>
  <c r="C5245" i="1"/>
  <c r="F5244" i="1"/>
  <c r="B5244" i="1" s="1"/>
  <c r="E5244" i="1"/>
  <c r="C5244" i="1"/>
  <c r="F5243" i="1"/>
  <c r="B5243" i="1" s="1"/>
  <c r="E5243" i="1"/>
  <c r="C5243" i="1"/>
  <c r="F5242" i="1"/>
  <c r="B5242" i="1" s="1"/>
  <c r="E5242" i="1"/>
  <c r="C5242" i="1"/>
  <c r="F5241" i="1"/>
  <c r="B5241" i="1" s="1"/>
  <c r="E5241" i="1"/>
  <c r="C5241" i="1"/>
  <c r="F5240" i="1"/>
  <c r="B5240" i="1" s="1"/>
  <c r="E5240" i="1"/>
  <c r="C5240" i="1"/>
  <c r="F5239" i="1"/>
  <c r="B5239" i="1" s="1"/>
  <c r="E5239" i="1"/>
  <c r="C5239" i="1"/>
  <c r="F5238" i="1"/>
  <c r="B5238" i="1" s="1"/>
  <c r="E5238" i="1"/>
  <c r="C5238" i="1"/>
  <c r="F5237" i="1"/>
  <c r="B5237" i="1" s="1"/>
  <c r="E5237" i="1"/>
  <c r="C5237" i="1"/>
  <c r="F5236" i="1"/>
  <c r="B5236" i="1" s="1"/>
  <c r="E5236" i="1"/>
  <c r="C5236" i="1"/>
  <c r="F5235" i="1"/>
  <c r="B5235" i="1" s="1"/>
  <c r="E5235" i="1"/>
  <c r="C5235" i="1"/>
  <c r="F5234" i="1"/>
  <c r="B5234" i="1" s="1"/>
  <c r="E5234" i="1"/>
  <c r="C5234" i="1"/>
  <c r="F5233" i="1"/>
  <c r="B5233" i="1" s="1"/>
  <c r="E5233" i="1"/>
  <c r="C5233" i="1"/>
  <c r="F5232" i="1"/>
  <c r="B5232" i="1" s="1"/>
  <c r="E5232" i="1"/>
  <c r="C5232" i="1"/>
  <c r="F5231" i="1"/>
  <c r="B5231" i="1" s="1"/>
  <c r="E5231" i="1"/>
  <c r="C5231" i="1"/>
  <c r="F5230" i="1"/>
  <c r="B5230" i="1" s="1"/>
  <c r="E5230" i="1"/>
  <c r="C5230" i="1"/>
  <c r="F5229" i="1"/>
  <c r="B5229" i="1" s="1"/>
  <c r="E5229" i="1"/>
  <c r="C5229" i="1"/>
  <c r="F5228" i="1"/>
  <c r="B5228" i="1" s="1"/>
  <c r="E5228" i="1"/>
  <c r="C5228" i="1"/>
  <c r="F5227" i="1"/>
  <c r="B5227" i="1" s="1"/>
  <c r="E5227" i="1"/>
  <c r="C5227" i="1"/>
  <c r="F5226" i="1"/>
  <c r="B5226" i="1" s="1"/>
  <c r="E5226" i="1"/>
  <c r="C5226" i="1"/>
  <c r="F5225" i="1"/>
  <c r="B5225" i="1" s="1"/>
  <c r="E5225" i="1"/>
  <c r="C5225" i="1"/>
  <c r="F5224" i="1"/>
  <c r="B5224" i="1" s="1"/>
  <c r="E5224" i="1"/>
  <c r="C5224" i="1"/>
  <c r="F5223" i="1"/>
  <c r="B5223" i="1" s="1"/>
  <c r="E5223" i="1"/>
  <c r="C5223" i="1"/>
  <c r="F5222" i="1"/>
  <c r="B5222" i="1" s="1"/>
  <c r="E5222" i="1"/>
  <c r="C5222" i="1"/>
  <c r="F5221" i="1"/>
  <c r="B5221" i="1" s="1"/>
  <c r="E5221" i="1"/>
  <c r="C5221" i="1"/>
  <c r="F5220" i="1"/>
  <c r="B5220" i="1" s="1"/>
  <c r="E5220" i="1"/>
  <c r="C5220" i="1"/>
  <c r="F5219" i="1"/>
  <c r="B5219" i="1" s="1"/>
  <c r="E5219" i="1"/>
  <c r="C5219" i="1"/>
  <c r="F5218" i="1"/>
  <c r="B5218" i="1" s="1"/>
  <c r="E5218" i="1"/>
  <c r="C5218" i="1"/>
  <c r="F5217" i="1"/>
  <c r="B5217" i="1" s="1"/>
  <c r="E5217" i="1"/>
  <c r="C5217" i="1"/>
  <c r="F5216" i="1"/>
  <c r="B5216" i="1" s="1"/>
  <c r="E5216" i="1"/>
  <c r="C5216" i="1"/>
  <c r="F5215" i="1"/>
  <c r="B5215" i="1" s="1"/>
  <c r="E5215" i="1"/>
  <c r="C5215" i="1"/>
  <c r="F5214" i="1"/>
  <c r="B5214" i="1" s="1"/>
  <c r="E5214" i="1"/>
  <c r="C5214" i="1"/>
  <c r="F5213" i="1"/>
  <c r="B5213" i="1" s="1"/>
  <c r="E5213" i="1"/>
  <c r="C5213" i="1"/>
  <c r="F5212" i="1"/>
  <c r="B5212" i="1" s="1"/>
  <c r="E5212" i="1"/>
  <c r="C5212" i="1"/>
  <c r="F5211" i="1"/>
  <c r="B5211" i="1" s="1"/>
  <c r="E5211" i="1"/>
  <c r="C5211" i="1"/>
  <c r="F5210" i="1"/>
  <c r="B5210" i="1" s="1"/>
  <c r="E5210" i="1"/>
  <c r="C5210" i="1"/>
  <c r="F5209" i="1"/>
  <c r="B5209" i="1" s="1"/>
  <c r="E5209" i="1"/>
  <c r="C5209" i="1"/>
  <c r="F5208" i="1"/>
  <c r="B5208" i="1" s="1"/>
  <c r="E5208" i="1"/>
  <c r="C5208" i="1"/>
  <c r="F5207" i="1"/>
  <c r="B5207" i="1" s="1"/>
  <c r="E5207" i="1"/>
  <c r="C5207" i="1"/>
  <c r="F5206" i="1"/>
  <c r="B5206" i="1" s="1"/>
  <c r="E5206" i="1"/>
  <c r="C5206" i="1"/>
  <c r="F5205" i="1"/>
  <c r="B5205" i="1" s="1"/>
  <c r="E5205" i="1"/>
  <c r="C5205" i="1"/>
  <c r="F5204" i="1"/>
  <c r="B5204" i="1" s="1"/>
  <c r="E5204" i="1"/>
  <c r="C5204" i="1"/>
  <c r="F5203" i="1"/>
  <c r="B5203" i="1" s="1"/>
  <c r="E5203" i="1"/>
  <c r="C5203" i="1"/>
  <c r="F5202" i="1"/>
  <c r="B5202" i="1" s="1"/>
  <c r="E5202" i="1"/>
  <c r="C5202" i="1"/>
  <c r="F5201" i="1"/>
  <c r="B5201" i="1" s="1"/>
  <c r="E5201" i="1"/>
  <c r="C5201" i="1"/>
  <c r="F5200" i="1"/>
  <c r="B5200" i="1" s="1"/>
  <c r="E5200" i="1"/>
  <c r="C5200" i="1"/>
  <c r="F5199" i="1"/>
  <c r="B5199" i="1" s="1"/>
  <c r="E5199" i="1"/>
  <c r="C5199" i="1"/>
  <c r="F5198" i="1"/>
  <c r="B5198" i="1" s="1"/>
  <c r="E5198" i="1"/>
  <c r="C5198" i="1"/>
  <c r="F5197" i="1"/>
  <c r="B5197" i="1" s="1"/>
  <c r="E5197" i="1"/>
  <c r="C5197" i="1"/>
  <c r="F5196" i="1"/>
  <c r="B5196" i="1" s="1"/>
  <c r="E5196" i="1"/>
  <c r="C5196" i="1"/>
  <c r="F5195" i="1"/>
  <c r="B5195" i="1" s="1"/>
  <c r="E5195" i="1"/>
  <c r="C5195" i="1"/>
  <c r="F5194" i="1"/>
  <c r="B5194" i="1" s="1"/>
  <c r="E5194" i="1"/>
  <c r="C5194" i="1"/>
  <c r="F5193" i="1"/>
  <c r="B5193" i="1" s="1"/>
  <c r="E5193" i="1"/>
  <c r="C5193" i="1"/>
  <c r="F5192" i="1"/>
  <c r="B5192" i="1" s="1"/>
  <c r="E5192" i="1"/>
  <c r="C5192" i="1"/>
  <c r="F5191" i="1"/>
  <c r="B5191" i="1" s="1"/>
  <c r="E5191" i="1"/>
  <c r="C5191" i="1"/>
  <c r="F5190" i="1"/>
  <c r="B5190" i="1" s="1"/>
  <c r="E5190" i="1"/>
  <c r="C5190" i="1"/>
  <c r="F5189" i="1"/>
  <c r="B5189" i="1" s="1"/>
  <c r="E5189" i="1"/>
  <c r="C5189" i="1"/>
  <c r="F5188" i="1"/>
  <c r="B5188" i="1" s="1"/>
  <c r="E5188" i="1"/>
  <c r="C5188" i="1"/>
  <c r="F5187" i="1"/>
  <c r="B5187" i="1" s="1"/>
  <c r="E5187" i="1"/>
  <c r="C5187" i="1"/>
  <c r="F5186" i="1"/>
  <c r="B5186" i="1" s="1"/>
  <c r="E5186" i="1"/>
  <c r="C5186" i="1"/>
  <c r="F5185" i="1"/>
  <c r="B5185" i="1" s="1"/>
  <c r="E5185" i="1"/>
  <c r="C5185" i="1"/>
  <c r="F5184" i="1"/>
  <c r="B5184" i="1" s="1"/>
  <c r="E5184" i="1"/>
  <c r="C5184" i="1"/>
  <c r="F5183" i="1"/>
  <c r="B5183" i="1" s="1"/>
  <c r="E5183" i="1"/>
  <c r="C5183" i="1"/>
  <c r="F5182" i="1"/>
  <c r="B5182" i="1" s="1"/>
  <c r="E5182" i="1"/>
  <c r="C5182" i="1"/>
  <c r="F5181" i="1"/>
  <c r="B5181" i="1" s="1"/>
  <c r="E5181" i="1"/>
  <c r="C5181" i="1"/>
  <c r="F5180" i="1"/>
  <c r="B5180" i="1" s="1"/>
  <c r="E5180" i="1"/>
  <c r="C5180" i="1"/>
  <c r="F5179" i="1"/>
  <c r="B5179" i="1" s="1"/>
  <c r="E5179" i="1"/>
  <c r="C5179" i="1"/>
  <c r="F5178" i="1"/>
  <c r="B5178" i="1" s="1"/>
  <c r="E5178" i="1"/>
  <c r="C5178" i="1"/>
  <c r="F5177" i="1"/>
  <c r="B5177" i="1" s="1"/>
  <c r="E5177" i="1"/>
  <c r="C5177" i="1"/>
  <c r="F5176" i="1"/>
  <c r="B5176" i="1" s="1"/>
  <c r="E5176" i="1"/>
  <c r="C5176" i="1"/>
  <c r="F5175" i="1"/>
  <c r="B5175" i="1" s="1"/>
  <c r="E5175" i="1"/>
  <c r="C5175" i="1"/>
  <c r="F5174" i="1"/>
  <c r="B5174" i="1" s="1"/>
  <c r="E5174" i="1"/>
  <c r="C5174" i="1"/>
  <c r="F5173" i="1"/>
  <c r="B5173" i="1" s="1"/>
  <c r="E5173" i="1"/>
  <c r="C5173" i="1"/>
  <c r="F5172" i="1"/>
  <c r="B5172" i="1" s="1"/>
  <c r="E5172" i="1"/>
  <c r="C5172" i="1"/>
  <c r="F5171" i="1"/>
  <c r="B5171" i="1" s="1"/>
  <c r="E5171" i="1"/>
  <c r="C5171" i="1"/>
  <c r="F5170" i="1"/>
  <c r="B5170" i="1" s="1"/>
  <c r="E5170" i="1"/>
  <c r="C5170" i="1"/>
  <c r="F5169" i="1"/>
  <c r="B5169" i="1" s="1"/>
  <c r="E5169" i="1"/>
  <c r="C5169" i="1"/>
  <c r="F5168" i="1"/>
  <c r="B5168" i="1" s="1"/>
  <c r="E5168" i="1"/>
  <c r="C5168" i="1"/>
  <c r="F5167" i="1"/>
  <c r="B5167" i="1" s="1"/>
  <c r="E5167" i="1"/>
  <c r="C5167" i="1"/>
  <c r="F5166" i="1"/>
  <c r="B5166" i="1" s="1"/>
  <c r="E5166" i="1"/>
  <c r="C5166" i="1"/>
  <c r="F5165" i="1"/>
  <c r="B5165" i="1" s="1"/>
  <c r="E5165" i="1"/>
  <c r="C5165" i="1"/>
  <c r="F5164" i="1"/>
  <c r="B5164" i="1" s="1"/>
  <c r="E5164" i="1"/>
  <c r="C5164" i="1"/>
  <c r="F5163" i="1"/>
  <c r="B5163" i="1" s="1"/>
  <c r="E5163" i="1"/>
  <c r="C5163" i="1"/>
  <c r="F5162" i="1"/>
  <c r="B5162" i="1" s="1"/>
  <c r="E5162" i="1"/>
  <c r="C5162" i="1"/>
  <c r="F5161" i="1"/>
  <c r="B5161" i="1" s="1"/>
  <c r="E5161" i="1"/>
  <c r="C5161" i="1"/>
  <c r="F5160" i="1"/>
  <c r="B5160" i="1" s="1"/>
  <c r="E5160" i="1"/>
  <c r="C5160" i="1"/>
  <c r="C5115" i="1"/>
  <c r="D5115" i="1"/>
  <c r="E5115" i="1"/>
  <c r="F5115" i="1"/>
  <c r="B5115" i="1" s="1"/>
  <c r="C5116" i="1"/>
  <c r="D5116" i="1"/>
  <c r="E5116" i="1"/>
  <c r="F5116" i="1"/>
  <c r="B5116" i="1" s="1"/>
  <c r="C5117" i="1"/>
  <c r="D5117" i="1"/>
  <c r="E5117" i="1"/>
  <c r="F5117" i="1"/>
  <c r="B5117" i="1" s="1"/>
  <c r="C5118" i="1"/>
  <c r="D5118" i="1"/>
  <c r="E5118" i="1"/>
  <c r="F5118" i="1"/>
  <c r="B5118" i="1" s="1"/>
  <c r="C5119" i="1"/>
  <c r="D5119" i="1"/>
  <c r="E5119" i="1"/>
  <c r="F5119" i="1"/>
  <c r="B5119" i="1" s="1"/>
  <c r="C5120" i="1"/>
  <c r="D5120" i="1"/>
  <c r="E5120" i="1"/>
  <c r="F5120" i="1"/>
  <c r="B5120" i="1" s="1"/>
  <c r="C5121" i="1"/>
  <c r="D5121" i="1"/>
  <c r="E5121" i="1"/>
  <c r="F5121" i="1"/>
  <c r="B5121" i="1" s="1"/>
  <c r="C5122" i="1"/>
  <c r="D5122" i="1"/>
  <c r="E5122" i="1"/>
  <c r="F5122" i="1"/>
  <c r="B5122" i="1" s="1"/>
  <c r="C5123" i="1"/>
  <c r="D5123" i="1"/>
  <c r="E5123" i="1"/>
  <c r="F5123" i="1"/>
  <c r="B5123" i="1" s="1"/>
  <c r="C5124" i="1"/>
  <c r="D5124" i="1"/>
  <c r="E5124" i="1"/>
  <c r="F5124" i="1"/>
  <c r="B5124" i="1" s="1"/>
  <c r="C5125" i="1"/>
  <c r="D5125" i="1"/>
  <c r="E5125" i="1"/>
  <c r="F5125" i="1"/>
  <c r="B5125" i="1" s="1"/>
  <c r="C5126" i="1"/>
  <c r="D5126" i="1"/>
  <c r="E5126" i="1"/>
  <c r="F5126" i="1"/>
  <c r="B5126" i="1" s="1"/>
  <c r="C5127" i="1"/>
  <c r="D5127" i="1"/>
  <c r="E5127" i="1"/>
  <c r="F5127" i="1"/>
  <c r="B5127" i="1" s="1"/>
  <c r="C5128" i="1"/>
  <c r="D5128" i="1"/>
  <c r="E5128" i="1"/>
  <c r="F5128" i="1"/>
  <c r="B5128" i="1" s="1"/>
  <c r="C5129" i="1"/>
  <c r="D5129" i="1"/>
  <c r="E5129" i="1"/>
  <c r="F5129" i="1"/>
  <c r="B5129" i="1" s="1"/>
  <c r="C5130" i="1"/>
  <c r="D5130" i="1"/>
  <c r="E5130" i="1"/>
  <c r="F5130" i="1"/>
  <c r="B5130" i="1" s="1"/>
  <c r="C5131" i="1"/>
  <c r="D5131" i="1"/>
  <c r="E5131" i="1"/>
  <c r="F5131" i="1"/>
  <c r="B5131" i="1" s="1"/>
  <c r="C5132" i="1"/>
  <c r="D5132" i="1"/>
  <c r="E5132" i="1"/>
  <c r="F5132" i="1"/>
  <c r="B5132" i="1" s="1"/>
  <c r="C5133" i="1"/>
  <c r="D5133" i="1"/>
  <c r="E5133" i="1"/>
  <c r="F5133" i="1"/>
  <c r="B5133" i="1" s="1"/>
  <c r="C5134" i="1"/>
  <c r="D5134" i="1"/>
  <c r="E5134" i="1"/>
  <c r="F5134" i="1"/>
  <c r="B5134" i="1" s="1"/>
  <c r="C5135" i="1"/>
  <c r="D5135" i="1"/>
  <c r="E5135" i="1"/>
  <c r="F5135" i="1"/>
  <c r="B5135" i="1" s="1"/>
  <c r="C5136" i="1"/>
  <c r="D5136" i="1"/>
  <c r="E5136" i="1"/>
  <c r="F5136" i="1"/>
  <c r="B5136" i="1" s="1"/>
  <c r="C5137" i="1"/>
  <c r="D5137" i="1"/>
  <c r="E5137" i="1"/>
  <c r="F5137" i="1"/>
  <c r="B5137" i="1" s="1"/>
  <c r="C5138" i="1"/>
  <c r="D5138" i="1"/>
  <c r="E5138" i="1"/>
  <c r="F5138" i="1"/>
  <c r="B5138" i="1" s="1"/>
  <c r="C5139" i="1"/>
  <c r="D5139" i="1"/>
  <c r="E5139" i="1"/>
  <c r="F5139" i="1"/>
  <c r="B5139" i="1" s="1"/>
  <c r="C5140" i="1"/>
  <c r="D5140" i="1"/>
  <c r="E5140" i="1"/>
  <c r="F5140" i="1"/>
  <c r="B5140" i="1" s="1"/>
  <c r="C5141" i="1"/>
  <c r="D5141" i="1"/>
  <c r="E5141" i="1"/>
  <c r="F5141" i="1"/>
  <c r="B5141" i="1" s="1"/>
  <c r="C5142" i="1"/>
  <c r="D5142" i="1"/>
  <c r="E5142" i="1"/>
  <c r="F5142" i="1"/>
  <c r="B5142" i="1" s="1"/>
  <c r="C5143" i="1"/>
  <c r="D5143" i="1"/>
  <c r="E5143" i="1"/>
  <c r="F5143" i="1"/>
  <c r="B5143" i="1" s="1"/>
  <c r="C5144" i="1"/>
  <c r="D5144" i="1"/>
  <c r="E5144" i="1"/>
  <c r="F5144" i="1"/>
  <c r="B5144" i="1" s="1"/>
  <c r="C5145" i="1"/>
  <c r="D5145" i="1"/>
  <c r="E5145" i="1"/>
  <c r="F5145" i="1"/>
  <c r="B5145" i="1" s="1"/>
  <c r="C5146" i="1"/>
  <c r="D5146" i="1"/>
  <c r="E5146" i="1"/>
  <c r="F5146" i="1"/>
  <c r="B5146" i="1" s="1"/>
  <c r="C5147" i="1"/>
  <c r="D5147" i="1"/>
  <c r="E5147" i="1"/>
  <c r="F5147" i="1"/>
  <c r="B5147" i="1" s="1"/>
  <c r="C5148" i="1"/>
  <c r="D5148" i="1"/>
  <c r="E5148" i="1"/>
  <c r="F5148" i="1"/>
  <c r="B5148" i="1" s="1"/>
  <c r="C5149" i="1"/>
  <c r="D5149" i="1"/>
  <c r="E5149" i="1"/>
  <c r="F5149" i="1"/>
  <c r="B5149" i="1" s="1"/>
  <c r="C5150" i="1"/>
  <c r="D5150" i="1"/>
  <c r="E5150" i="1"/>
  <c r="F5150" i="1"/>
  <c r="B5150" i="1" s="1"/>
  <c r="C5151" i="1"/>
  <c r="D5151" i="1"/>
  <c r="E5151" i="1"/>
  <c r="F5151" i="1"/>
  <c r="B5151" i="1" s="1"/>
  <c r="C5152" i="1"/>
  <c r="D5152" i="1"/>
  <c r="E5152" i="1"/>
  <c r="F5152" i="1"/>
  <c r="B5152" i="1" s="1"/>
  <c r="C5153" i="1"/>
  <c r="D5153" i="1"/>
  <c r="E5153" i="1"/>
  <c r="F5153" i="1"/>
  <c r="B5153" i="1" s="1"/>
  <c r="C5154" i="1"/>
  <c r="D5154" i="1"/>
  <c r="E5154" i="1"/>
  <c r="F5154" i="1"/>
  <c r="B5154" i="1" s="1"/>
  <c r="C5155" i="1"/>
  <c r="D5155" i="1"/>
  <c r="E5155" i="1"/>
  <c r="F5155" i="1"/>
  <c r="B5155" i="1" s="1"/>
  <c r="C5156" i="1"/>
  <c r="D5156" i="1"/>
  <c r="E5156" i="1"/>
  <c r="F5156" i="1"/>
  <c r="B5156" i="1" s="1"/>
  <c r="C5157" i="1"/>
  <c r="D5157" i="1"/>
  <c r="E5157" i="1"/>
  <c r="F5157" i="1"/>
  <c r="B5157" i="1" s="1"/>
  <c r="C5158" i="1"/>
  <c r="D5158" i="1"/>
  <c r="E5158" i="1"/>
  <c r="F5158" i="1"/>
  <c r="B5158" i="1" s="1"/>
  <c r="C5159" i="1"/>
  <c r="D5159" i="1"/>
  <c r="E5159" i="1"/>
  <c r="F5159" i="1"/>
  <c r="B5159" i="1" s="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024"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4888"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752" i="1"/>
  <c r="C4483" i="1"/>
  <c r="E4483" i="1"/>
  <c r="F4483" i="1"/>
  <c r="B4483" i="1" s="1"/>
  <c r="C4484" i="1"/>
  <c r="E4484" i="1"/>
  <c r="F4484" i="1"/>
  <c r="B4484" i="1" s="1"/>
  <c r="C4485" i="1"/>
  <c r="E4485" i="1"/>
  <c r="F4485" i="1"/>
  <c r="B4485" i="1" s="1"/>
  <c r="C4486" i="1"/>
  <c r="E4486" i="1"/>
  <c r="F4486" i="1"/>
  <c r="B4486" i="1" s="1"/>
  <c r="C4487" i="1"/>
  <c r="E4487" i="1"/>
  <c r="F4487" i="1"/>
  <c r="B4487" i="1" s="1"/>
  <c r="C4488" i="1"/>
  <c r="E4488" i="1"/>
  <c r="F4488" i="1"/>
  <c r="B4488" i="1" s="1"/>
  <c r="C4489" i="1"/>
  <c r="E4489" i="1"/>
  <c r="F4489" i="1"/>
  <c r="B4489" i="1" s="1"/>
  <c r="C4490" i="1"/>
  <c r="E4490" i="1"/>
  <c r="F4490" i="1"/>
  <c r="B4490" i="1" s="1"/>
  <c r="C4491" i="1"/>
  <c r="E4491" i="1"/>
  <c r="F4491" i="1"/>
  <c r="B4491" i="1" s="1"/>
  <c r="C4492" i="1"/>
  <c r="E4492" i="1"/>
  <c r="F4492" i="1"/>
  <c r="B4492" i="1" s="1"/>
  <c r="C4493" i="1"/>
  <c r="E4493" i="1"/>
  <c r="F4493" i="1"/>
  <c r="B4493" i="1" s="1"/>
  <c r="C4494" i="1"/>
  <c r="E4494" i="1"/>
  <c r="F4494" i="1"/>
  <c r="B4494" i="1" s="1"/>
  <c r="C4495" i="1"/>
  <c r="E4495" i="1"/>
  <c r="F4495" i="1"/>
  <c r="B4495" i="1" s="1"/>
  <c r="C4496" i="1"/>
  <c r="E4496" i="1"/>
  <c r="F4496" i="1"/>
  <c r="B4496" i="1" s="1"/>
  <c r="C4497" i="1"/>
  <c r="E4497" i="1"/>
  <c r="F4497" i="1"/>
  <c r="B4497" i="1" s="1"/>
  <c r="C4498" i="1"/>
  <c r="E4498" i="1"/>
  <c r="F4498" i="1"/>
  <c r="B4498" i="1" s="1"/>
  <c r="C4499" i="1"/>
  <c r="E4499" i="1"/>
  <c r="F4499" i="1"/>
  <c r="B4499" i="1" s="1"/>
  <c r="C4500" i="1"/>
  <c r="E4500" i="1"/>
  <c r="F4500" i="1"/>
  <c r="B4500" i="1" s="1"/>
  <c r="C4501" i="1"/>
  <c r="E4501" i="1"/>
  <c r="F4501" i="1"/>
  <c r="B4501" i="1" s="1"/>
  <c r="C4502" i="1"/>
  <c r="E4502" i="1"/>
  <c r="F4502" i="1"/>
  <c r="B4502" i="1" s="1"/>
  <c r="C4503" i="1"/>
  <c r="E4503" i="1"/>
  <c r="F4503" i="1"/>
  <c r="B4503" i="1" s="1"/>
  <c r="C4504" i="1"/>
  <c r="E4504" i="1"/>
  <c r="F4504" i="1"/>
  <c r="B4504" i="1" s="1"/>
  <c r="C4505" i="1"/>
  <c r="E4505" i="1"/>
  <c r="F4505" i="1"/>
  <c r="B4505" i="1" s="1"/>
  <c r="C4506" i="1"/>
  <c r="E4506" i="1"/>
  <c r="F4506" i="1"/>
  <c r="B4506" i="1" s="1"/>
  <c r="C4507" i="1"/>
  <c r="E4507" i="1"/>
  <c r="F4507" i="1"/>
  <c r="B4507" i="1" s="1"/>
  <c r="C4508" i="1"/>
  <c r="E4508" i="1"/>
  <c r="F4508" i="1"/>
  <c r="B4508" i="1" s="1"/>
  <c r="C4509" i="1"/>
  <c r="E4509" i="1"/>
  <c r="F4509" i="1"/>
  <c r="B4509" i="1" s="1"/>
  <c r="C4510" i="1"/>
  <c r="E4510" i="1"/>
  <c r="F4510" i="1"/>
  <c r="B4510" i="1" s="1"/>
  <c r="C4511" i="1"/>
  <c r="E4511" i="1"/>
  <c r="F4511" i="1"/>
  <c r="B4511" i="1" s="1"/>
  <c r="C4512" i="1"/>
  <c r="E4512" i="1"/>
  <c r="F4512" i="1"/>
  <c r="B4512" i="1" s="1"/>
  <c r="C4513" i="1"/>
  <c r="E4513" i="1"/>
  <c r="F4513" i="1"/>
  <c r="B4513" i="1" s="1"/>
  <c r="C4514" i="1"/>
  <c r="E4514" i="1"/>
  <c r="F4514" i="1"/>
  <c r="B4514" i="1" s="1"/>
  <c r="C4515" i="1"/>
  <c r="E4515" i="1"/>
  <c r="F4515" i="1"/>
  <c r="B4515" i="1" s="1"/>
  <c r="C4516" i="1"/>
  <c r="E4516" i="1"/>
  <c r="F4516" i="1"/>
  <c r="B4516" i="1" s="1"/>
  <c r="C4517" i="1"/>
  <c r="E4517" i="1"/>
  <c r="F4517" i="1"/>
  <c r="B4517" i="1" s="1"/>
  <c r="C4518" i="1"/>
  <c r="E4518" i="1"/>
  <c r="F4518" i="1"/>
  <c r="B4518" i="1" s="1"/>
  <c r="C4519" i="1"/>
  <c r="E4519" i="1"/>
  <c r="F4519" i="1"/>
  <c r="B4519" i="1" s="1"/>
  <c r="C4520" i="1"/>
  <c r="E4520" i="1"/>
  <c r="F4520" i="1"/>
  <c r="B4520" i="1" s="1"/>
  <c r="C4521" i="1"/>
  <c r="E4521" i="1"/>
  <c r="F4521" i="1"/>
  <c r="B4521" i="1" s="1"/>
  <c r="C4522" i="1"/>
  <c r="E4522" i="1"/>
  <c r="F4522" i="1"/>
  <c r="B4522" i="1" s="1"/>
  <c r="C4523" i="1"/>
  <c r="E4523" i="1"/>
  <c r="F4523" i="1"/>
  <c r="B4523" i="1" s="1"/>
  <c r="C4524" i="1"/>
  <c r="E4524" i="1"/>
  <c r="F4524" i="1"/>
  <c r="B4524" i="1" s="1"/>
  <c r="C4525" i="1"/>
  <c r="E4525" i="1"/>
  <c r="F4525" i="1"/>
  <c r="B4525" i="1" s="1"/>
  <c r="C4526" i="1"/>
  <c r="E4526" i="1"/>
  <c r="F4526" i="1"/>
  <c r="B4526" i="1" s="1"/>
  <c r="C4527" i="1"/>
  <c r="E4527" i="1"/>
  <c r="F4527" i="1"/>
  <c r="B4527" i="1" s="1"/>
  <c r="C4528" i="1"/>
  <c r="E4528" i="1"/>
  <c r="F4528" i="1"/>
  <c r="B4528" i="1" s="1"/>
  <c r="C4529" i="1"/>
  <c r="E4529" i="1"/>
  <c r="F4529" i="1"/>
  <c r="B4529" i="1" s="1"/>
  <c r="C4530" i="1"/>
  <c r="E4530" i="1"/>
  <c r="F4530" i="1"/>
  <c r="B4530" i="1" s="1"/>
  <c r="C4531" i="1"/>
  <c r="E4531" i="1"/>
  <c r="F4531" i="1"/>
  <c r="B4531" i="1" s="1"/>
  <c r="C4532" i="1"/>
  <c r="E4532" i="1"/>
  <c r="F4532" i="1"/>
  <c r="B4532" i="1" s="1"/>
  <c r="C4533" i="1"/>
  <c r="E4533" i="1"/>
  <c r="F4533" i="1"/>
  <c r="B4533" i="1" s="1"/>
  <c r="C4534" i="1"/>
  <c r="E4534" i="1"/>
  <c r="F4534" i="1"/>
  <c r="B4534" i="1" s="1"/>
  <c r="C4535" i="1"/>
  <c r="E4535" i="1"/>
  <c r="F4535" i="1"/>
  <c r="B4535" i="1" s="1"/>
  <c r="C4536" i="1"/>
  <c r="E4536" i="1"/>
  <c r="F4536" i="1"/>
  <c r="B4536" i="1" s="1"/>
  <c r="C4537" i="1"/>
  <c r="E4537" i="1"/>
  <c r="F4537" i="1"/>
  <c r="B4537" i="1" s="1"/>
  <c r="C4538" i="1"/>
  <c r="E4538" i="1"/>
  <c r="F4538" i="1"/>
  <c r="B4538" i="1" s="1"/>
  <c r="C4539" i="1"/>
  <c r="E4539" i="1"/>
  <c r="F4539" i="1"/>
  <c r="B4539" i="1" s="1"/>
  <c r="C4540" i="1"/>
  <c r="E4540" i="1"/>
  <c r="F4540" i="1"/>
  <c r="B4540" i="1" s="1"/>
  <c r="C4541" i="1"/>
  <c r="E4541" i="1"/>
  <c r="F4541" i="1"/>
  <c r="B4541" i="1" s="1"/>
  <c r="C4542" i="1"/>
  <c r="E4542" i="1"/>
  <c r="F4542" i="1"/>
  <c r="B4542" i="1" s="1"/>
  <c r="C4543" i="1"/>
  <c r="E4543" i="1"/>
  <c r="F4543" i="1"/>
  <c r="B4543" i="1" s="1"/>
  <c r="C4544" i="1"/>
  <c r="E4544" i="1"/>
  <c r="F4544" i="1"/>
  <c r="B4544" i="1" s="1"/>
  <c r="C4545" i="1"/>
  <c r="E4545" i="1"/>
  <c r="F4545" i="1"/>
  <c r="B4545" i="1" s="1"/>
  <c r="C4546" i="1"/>
  <c r="E4546" i="1"/>
  <c r="F4546" i="1"/>
  <c r="B4546" i="1" s="1"/>
  <c r="C4547" i="1"/>
  <c r="E4547" i="1"/>
  <c r="F4547" i="1"/>
  <c r="B4547" i="1" s="1"/>
  <c r="C4548" i="1"/>
  <c r="E4548" i="1"/>
  <c r="F4548" i="1"/>
  <c r="B4548" i="1" s="1"/>
  <c r="C4549" i="1"/>
  <c r="E4549" i="1"/>
  <c r="F4549" i="1"/>
  <c r="B4549" i="1" s="1"/>
  <c r="C4550" i="1"/>
  <c r="E4550" i="1"/>
  <c r="F4550" i="1"/>
  <c r="B4550" i="1" s="1"/>
  <c r="C4551" i="1"/>
  <c r="E4551" i="1"/>
  <c r="F4551" i="1"/>
  <c r="B4551" i="1" s="1"/>
  <c r="C4552" i="1"/>
  <c r="E4552" i="1"/>
  <c r="F4552" i="1"/>
  <c r="B4552" i="1" s="1"/>
  <c r="C4553" i="1"/>
  <c r="E4553" i="1"/>
  <c r="F4553" i="1"/>
  <c r="B4553" i="1" s="1"/>
  <c r="C4554" i="1"/>
  <c r="E4554" i="1"/>
  <c r="F4554" i="1"/>
  <c r="B4554" i="1" s="1"/>
  <c r="C4555" i="1"/>
  <c r="E4555" i="1"/>
  <c r="F4555" i="1"/>
  <c r="B4555" i="1" s="1"/>
  <c r="C4556" i="1"/>
  <c r="E4556" i="1"/>
  <c r="F4556" i="1"/>
  <c r="B4556" i="1" s="1"/>
  <c r="C4557" i="1"/>
  <c r="E4557" i="1"/>
  <c r="F4557" i="1"/>
  <c r="B4557" i="1" s="1"/>
  <c r="C4558" i="1"/>
  <c r="E4558" i="1"/>
  <c r="F4558" i="1"/>
  <c r="B4558" i="1" s="1"/>
  <c r="C4559" i="1"/>
  <c r="E4559" i="1"/>
  <c r="F4559" i="1"/>
  <c r="B4559" i="1" s="1"/>
  <c r="C4560" i="1"/>
  <c r="E4560" i="1"/>
  <c r="F4560" i="1"/>
  <c r="B4560" i="1" s="1"/>
  <c r="C4561" i="1"/>
  <c r="E4561" i="1"/>
  <c r="F4561" i="1"/>
  <c r="B4561" i="1" s="1"/>
  <c r="C4562" i="1"/>
  <c r="E4562" i="1"/>
  <c r="F4562" i="1"/>
  <c r="B4562" i="1" s="1"/>
  <c r="C4563" i="1"/>
  <c r="E4563" i="1"/>
  <c r="F4563" i="1"/>
  <c r="B4563" i="1" s="1"/>
  <c r="C4564" i="1"/>
  <c r="E4564" i="1"/>
  <c r="F4564" i="1"/>
  <c r="B4564" i="1" s="1"/>
  <c r="C4565" i="1"/>
  <c r="E4565" i="1"/>
  <c r="F4565" i="1"/>
  <c r="B4565" i="1" s="1"/>
  <c r="C4566" i="1"/>
  <c r="E4566" i="1"/>
  <c r="F4566" i="1"/>
  <c r="B4566" i="1" s="1"/>
  <c r="C4567" i="1"/>
  <c r="E4567" i="1"/>
  <c r="F4567" i="1"/>
  <c r="B4567" i="1" s="1"/>
  <c r="C4568" i="1"/>
  <c r="E4568" i="1"/>
  <c r="F4568" i="1"/>
  <c r="B4568" i="1" s="1"/>
  <c r="C4569" i="1"/>
  <c r="E4569" i="1"/>
  <c r="F4569" i="1"/>
  <c r="B4569" i="1" s="1"/>
  <c r="C4570" i="1"/>
  <c r="E4570" i="1"/>
  <c r="F4570" i="1"/>
  <c r="B4570" i="1" s="1"/>
  <c r="C4571" i="1"/>
  <c r="E4571" i="1"/>
  <c r="F4571" i="1"/>
  <c r="B4571" i="1" s="1"/>
  <c r="C4572" i="1"/>
  <c r="E4572" i="1"/>
  <c r="F4572" i="1"/>
  <c r="B4572" i="1" s="1"/>
  <c r="C4573" i="1"/>
  <c r="E4573" i="1"/>
  <c r="F4573" i="1"/>
  <c r="B4573" i="1" s="1"/>
  <c r="C4574" i="1"/>
  <c r="E4574" i="1"/>
  <c r="F4574" i="1"/>
  <c r="B4574" i="1" s="1"/>
  <c r="C4575" i="1"/>
  <c r="E4575" i="1"/>
  <c r="F4575" i="1"/>
  <c r="B4575" i="1" s="1"/>
  <c r="C4576" i="1"/>
  <c r="E4576" i="1"/>
  <c r="F4576" i="1"/>
  <c r="B4576" i="1" s="1"/>
  <c r="C4577" i="1"/>
  <c r="E4577" i="1"/>
  <c r="F4577" i="1"/>
  <c r="B4577" i="1" s="1"/>
  <c r="C4578" i="1"/>
  <c r="E4578" i="1"/>
  <c r="F4578" i="1"/>
  <c r="B4578" i="1" s="1"/>
  <c r="C4579" i="1"/>
  <c r="E4579" i="1"/>
  <c r="F4579" i="1"/>
  <c r="B4579" i="1" s="1"/>
  <c r="C4580" i="1"/>
  <c r="E4580" i="1"/>
  <c r="F4580" i="1"/>
  <c r="B4580" i="1" s="1"/>
  <c r="C4581" i="1"/>
  <c r="E4581" i="1"/>
  <c r="F4581" i="1"/>
  <c r="B4581" i="1" s="1"/>
  <c r="C4582" i="1"/>
  <c r="E4582" i="1"/>
  <c r="F4582" i="1"/>
  <c r="B4582" i="1" s="1"/>
  <c r="C4583" i="1"/>
  <c r="E4583" i="1"/>
  <c r="F4583" i="1"/>
  <c r="B4583" i="1" s="1"/>
  <c r="C4584" i="1"/>
  <c r="E4584" i="1"/>
  <c r="F4584" i="1"/>
  <c r="B4584" i="1" s="1"/>
  <c r="C4585" i="1"/>
  <c r="E4585" i="1"/>
  <c r="F4585" i="1"/>
  <c r="B4585" i="1" s="1"/>
  <c r="C4586" i="1"/>
  <c r="E4586" i="1"/>
  <c r="F4586" i="1"/>
  <c r="B4586" i="1" s="1"/>
  <c r="C4587" i="1"/>
  <c r="E4587" i="1"/>
  <c r="F4587" i="1"/>
  <c r="B4587" i="1" s="1"/>
  <c r="C4588" i="1"/>
  <c r="E4588" i="1"/>
  <c r="F4588" i="1"/>
  <c r="B4588" i="1" s="1"/>
  <c r="C4589" i="1"/>
  <c r="E4589" i="1"/>
  <c r="F4589" i="1"/>
  <c r="B4589" i="1" s="1"/>
  <c r="C4590" i="1"/>
  <c r="E4590" i="1"/>
  <c r="F4590" i="1"/>
  <c r="B4590" i="1" s="1"/>
  <c r="C4591" i="1"/>
  <c r="E4591" i="1"/>
  <c r="F4591" i="1"/>
  <c r="B4591" i="1" s="1"/>
  <c r="C4592" i="1"/>
  <c r="E4592" i="1"/>
  <c r="F4592" i="1"/>
  <c r="B4592" i="1" s="1"/>
  <c r="C4593" i="1"/>
  <c r="E4593" i="1"/>
  <c r="F4593" i="1"/>
  <c r="B4593" i="1" s="1"/>
  <c r="C4594" i="1"/>
  <c r="E4594" i="1"/>
  <c r="F4594" i="1"/>
  <c r="B4594" i="1" s="1"/>
  <c r="C4595" i="1"/>
  <c r="E4595" i="1"/>
  <c r="F4595" i="1"/>
  <c r="B4595" i="1" s="1"/>
  <c r="C4596" i="1"/>
  <c r="E4596" i="1"/>
  <c r="F4596" i="1"/>
  <c r="B4596" i="1" s="1"/>
  <c r="C4597" i="1"/>
  <c r="E4597" i="1"/>
  <c r="F4597" i="1"/>
  <c r="B4597" i="1" s="1"/>
  <c r="C4598" i="1"/>
  <c r="E4598" i="1"/>
  <c r="F4598" i="1"/>
  <c r="B4598" i="1" s="1"/>
  <c r="C4599" i="1"/>
  <c r="E4599" i="1"/>
  <c r="F4599" i="1"/>
  <c r="B4599" i="1" s="1"/>
  <c r="C4600" i="1"/>
  <c r="E4600" i="1"/>
  <c r="F4600" i="1"/>
  <c r="B4600" i="1" s="1"/>
  <c r="C4601" i="1"/>
  <c r="E4601" i="1"/>
  <c r="F4601" i="1"/>
  <c r="B4601" i="1" s="1"/>
  <c r="C4602" i="1"/>
  <c r="E4602" i="1"/>
  <c r="F4602" i="1"/>
  <c r="B4602" i="1" s="1"/>
  <c r="C4603" i="1"/>
  <c r="E4603" i="1"/>
  <c r="F4603" i="1"/>
  <c r="B4603" i="1" s="1"/>
  <c r="C4604" i="1"/>
  <c r="E4604" i="1"/>
  <c r="F4604" i="1"/>
  <c r="B4604" i="1" s="1"/>
  <c r="C4605" i="1"/>
  <c r="E4605" i="1"/>
  <c r="F4605" i="1"/>
  <c r="B4605" i="1" s="1"/>
  <c r="C4606" i="1"/>
  <c r="E4606" i="1"/>
  <c r="F4606" i="1"/>
  <c r="B4606" i="1" s="1"/>
  <c r="C4607" i="1"/>
  <c r="E4607" i="1"/>
  <c r="F4607" i="1"/>
  <c r="B4607" i="1" s="1"/>
  <c r="C4608" i="1"/>
  <c r="E4608" i="1"/>
  <c r="F4608" i="1"/>
  <c r="B4608" i="1" s="1"/>
  <c r="C4609" i="1"/>
  <c r="E4609" i="1"/>
  <c r="F4609" i="1"/>
  <c r="B4609" i="1" s="1"/>
  <c r="C4610" i="1"/>
  <c r="E4610" i="1"/>
  <c r="F4610" i="1"/>
  <c r="B4610" i="1" s="1"/>
  <c r="C4611" i="1"/>
  <c r="E4611" i="1"/>
  <c r="F4611" i="1"/>
  <c r="B4611" i="1" s="1"/>
  <c r="C4612" i="1"/>
  <c r="E4612" i="1"/>
  <c r="F4612" i="1"/>
  <c r="B4612" i="1" s="1"/>
  <c r="C4613" i="1"/>
  <c r="E4613" i="1"/>
  <c r="F4613" i="1"/>
  <c r="B4613" i="1" s="1"/>
  <c r="C4614" i="1"/>
  <c r="E4614" i="1"/>
  <c r="F4614" i="1"/>
  <c r="B4614" i="1" s="1"/>
  <c r="C4615" i="1"/>
  <c r="E4615" i="1"/>
  <c r="F4615" i="1"/>
  <c r="B4615" i="1" s="1"/>
  <c r="C4616" i="1"/>
  <c r="E4616" i="1"/>
  <c r="F4616" i="1"/>
  <c r="B4616" i="1" s="1"/>
  <c r="C4617" i="1"/>
  <c r="E4617" i="1"/>
  <c r="F4617" i="1"/>
  <c r="B4617" i="1" s="1"/>
  <c r="C4618" i="1"/>
  <c r="E4618" i="1"/>
  <c r="F4618" i="1"/>
  <c r="B4618" i="1" s="1"/>
  <c r="C4619" i="1"/>
  <c r="E4619" i="1"/>
  <c r="F4619" i="1"/>
  <c r="B4619" i="1" s="1"/>
  <c r="C4620" i="1"/>
  <c r="E4620" i="1"/>
  <c r="F4620" i="1"/>
  <c r="B4620" i="1" s="1"/>
  <c r="C4621" i="1"/>
  <c r="E4621" i="1"/>
  <c r="F4621" i="1"/>
  <c r="B4621" i="1" s="1"/>
  <c r="C4622" i="1"/>
  <c r="E4622" i="1"/>
  <c r="F4622" i="1"/>
  <c r="B4622" i="1" s="1"/>
  <c r="C4623" i="1"/>
  <c r="E4623" i="1"/>
  <c r="F4623" i="1"/>
  <c r="B4623" i="1" s="1"/>
  <c r="C4624" i="1"/>
  <c r="E4624" i="1"/>
  <c r="F4624" i="1"/>
  <c r="B4624" i="1" s="1"/>
  <c r="C4625" i="1"/>
  <c r="E4625" i="1"/>
  <c r="F4625" i="1"/>
  <c r="B4625" i="1" s="1"/>
  <c r="C4626" i="1"/>
  <c r="E4626" i="1"/>
  <c r="F4626" i="1"/>
  <c r="B4626" i="1" s="1"/>
  <c r="C4627" i="1"/>
  <c r="E4627" i="1"/>
  <c r="F4627" i="1"/>
  <c r="B4627" i="1" s="1"/>
  <c r="C4628" i="1"/>
  <c r="E4628" i="1"/>
  <c r="F4628" i="1"/>
  <c r="B4628" i="1" s="1"/>
  <c r="C4629" i="1"/>
  <c r="E4629" i="1"/>
  <c r="F4629" i="1"/>
  <c r="B4629" i="1" s="1"/>
  <c r="C4630" i="1"/>
  <c r="E4630" i="1"/>
  <c r="F4630" i="1"/>
  <c r="B4630" i="1" s="1"/>
  <c r="C4631" i="1"/>
  <c r="E4631" i="1"/>
  <c r="F4631" i="1"/>
  <c r="B4631" i="1" s="1"/>
  <c r="C4632" i="1"/>
  <c r="E4632" i="1"/>
  <c r="F4632" i="1"/>
  <c r="B4632" i="1" s="1"/>
  <c r="C4633" i="1"/>
  <c r="E4633" i="1"/>
  <c r="F4633" i="1"/>
  <c r="B4633" i="1" s="1"/>
  <c r="C4634" i="1"/>
  <c r="E4634" i="1"/>
  <c r="F4634" i="1"/>
  <c r="B4634" i="1" s="1"/>
  <c r="C4635" i="1"/>
  <c r="E4635" i="1"/>
  <c r="F4635" i="1"/>
  <c r="B4635" i="1" s="1"/>
  <c r="C4636" i="1"/>
  <c r="E4636" i="1"/>
  <c r="F4636" i="1"/>
  <c r="B4636" i="1" s="1"/>
  <c r="C4637" i="1"/>
  <c r="E4637" i="1"/>
  <c r="F4637" i="1"/>
  <c r="B4637" i="1" s="1"/>
  <c r="C4638" i="1"/>
  <c r="E4638" i="1"/>
  <c r="F4638" i="1"/>
  <c r="B4638" i="1" s="1"/>
  <c r="C4639" i="1"/>
  <c r="E4639" i="1"/>
  <c r="F4639" i="1"/>
  <c r="B4639" i="1" s="1"/>
  <c r="C4640" i="1"/>
  <c r="E4640" i="1"/>
  <c r="F4640" i="1"/>
  <c r="B4640" i="1" s="1"/>
  <c r="C4641" i="1"/>
  <c r="E4641" i="1"/>
  <c r="F4641" i="1"/>
  <c r="B4641" i="1" s="1"/>
  <c r="C4642" i="1"/>
  <c r="E4642" i="1"/>
  <c r="F4642" i="1"/>
  <c r="B4642" i="1" s="1"/>
  <c r="C4643" i="1"/>
  <c r="E4643" i="1"/>
  <c r="F4643" i="1"/>
  <c r="B4643" i="1" s="1"/>
  <c r="C4644" i="1"/>
  <c r="E4644" i="1"/>
  <c r="F4644" i="1"/>
  <c r="B4644" i="1" s="1"/>
  <c r="C4645" i="1"/>
  <c r="E4645" i="1"/>
  <c r="F4645" i="1"/>
  <c r="B4645" i="1" s="1"/>
  <c r="C4646" i="1"/>
  <c r="E4646" i="1"/>
  <c r="F4646" i="1"/>
  <c r="B4646" i="1" s="1"/>
  <c r="C4647" i="1"/>
  <c r="E4647" i="1"/>
  <c r="F4647" i="1"/>
  <c r="B4647" i="1" s="1"/>
  <c r="C4648" i="1"/>
  <c r="E4648" i="1"/>
  <c r="F4648" i="1"/>
  <c r="B4648" i="1" s="1"/>
  <c r="C4649" i="1"/>
  <c r="E4649" i="1"/>
  <c r="F4649" i="1"/>
  <c r="B4649" i="1" s="1"/>
  <c r="C4650" i="1"/>
  <c r="E4650" i="1"/>
  <c r="F4650" i="1"/>
  <c r="B4650" i="1" s="1"/>
  <c r="C4651" i="1"/>
  <c r="E4651" i="1"/>
  <c r="F4651" i="1"/>
  <c r="B4651" i="1" s="1"/>
  <c r="C4652" i="1"/>
  <c r="E4652" i="1"/>
  <c r="F4652" i="1"/>
  <c r="B4652" i="1" s="1"/>
  <c r="C4653" i="1"/>
  <c r="E4653" i="1"/>
  <c r="F4653" i="1"/>
  <c r="B4653" i="1" s="1"/>
  <c r="C4654" i="1"/>
  <c r="E4654" i="1"/>
  <c r="F4654" i="1"/>
  <c r="B4654" i="1" s="1"/>
  <c r="C4655" i="1"/>
  <c r="E4655" i="1"/>
  <c r="F4655" i="1"/>
  <c r="B4655" i="1" s="1"/>
  <c r="C4656" i="1"/>
  <c r="E4656" i="1"/>
  <c r="F4656" i="1"/>
  <c r="B4656" i="1" s="1"/>
  <c r="C4657" i="1"/>
  <c r="E4657" i="1"/>
  <c r="F4657" i="1"/>
  <c r="B4657" i="1" s="1"/>
  <c r="C4658" i="1"/>
  <c r="E4658" i="1"/>
  <c r="F4658" i="1"/>
  <c r="B4658" i="1" s="1"/>
  <c r="C4659" i="1"/>
  <c r="E4659" i="1"/>
  <c r="F4659" i="1"/>
  <c r="B4659" i="1" s="1"/>
  <c r="C4660" i="1"/>
  <c r="E4660" i="1"/>
  <c r="F4660" i="1"/>
  <c r="B4660" i="1" s="1"/>
  <c r="C4661" i="1"/>
  <c r="E4661" i="1"/>
  <c r="F4661" i="1"/>
  <c r="B4661" i="1" s="1"/>
  <c r="C4662" i="1"/>
  <c r="E4662" i="1"/>
  <c r="F4662" i="1"/>
  <c r="B4662" i="1" s="1"/>
  <c r="C4663" i="1"/>
  <c r="E4663" i="1"/>
  <c r="F4663" i="1"/>
  <c r="B4663" i="1" s="1"/>
  <c r="C4664" i="1"/>
  <c r="E4664" i="1"/>
  <c r="F4664" i="1"/>
  <c r="B4664" i="1" s="1"/>
  <c r="C4665" i="1"/>
  <c r="E4665" i="1"/>
  <c r="F4665" i="1"/>
  <c r="B4665" i="1" s="1"/>
  <c r="C4666" i="1"/>
  <c r="E4666" i="1"/>
  <c r="F4666" i="1"/>
  <c r="B4666" i="1" s="1"/>
  <c r="C4667" i="1"/>
  <c r="E4667" i="1"/>
  <c r="F4667" i="1"/>
  <c r="B4667" i="1" s="1"/>
  <c r="C4668" i="1"/>
  <c r="E4668" i="1"/>
  <c r="F4668" i="1"/>
  <c r="B4668" i="1" s="1"/>
  <c r="C4669" i="1"/>
  <c r="E4669" i="1"/>
  <c r="F4669" i="1"/>
  <c r="B4669" i="1" s="1"/>
  <c r="C4670" i="1"/>
  <c r="E4670" i="1"/>
  <c r="F4670" i="1"/>
  <c r="B4670" i="1" s="1"/>
  <c r="C4671" i="1"/>
  <c r="E4671" i="1"/>
  <c r="F4671" i="1"/>
  <c r="B4671" i="1" s="1"/>
  <c r="C4672" i="1"/>
  <c r="E4672" i="1"/>
  <c r="F4672" i="1"/>
  <c r="B4672" i="1" s="1"/>
  <c r="C4673" i="1"/>
  <c r="E4673" i="1"/>
  <c r="F4673" i="1"/>
  <c r="B4673" i="1" s="1"/>
  <c r="C4674" i="1"/>
  <c r="E4674" i="1"/>
  <c r="F4674" i="1"/>
  <c r="B4674" i="1" s="1"/>
  <c r="C4675" i="1"/>
  <c r="E4675" i="1"/>
  <c r="F4675" i="1"/>
  <c r="B4675" i="1" s="1"/>
  <c r="C4676" i="1"/>
  <c r="E4676" i="1"/>
  <c r="F4676" i="1"/>
  <c r="B4676" i="1" s="1"/>
  <c r="C4677" i="1"/>
  <c r="E4677" i="1"/>
  <c r="F4677" i="1"/>
  <c r="B4677" i="1" s="1"/>
  <c r="C4678" i="1"/>
  <c r="E4678" i="1"/>
  <c r="F4678" i="1"/>
  <c r="B4678" i="1" s="1"/>
  <c r="C4679" i="1"/>
  <c r="E4679" i="1"/>
  <c r="F4679" i="1"/>
  <c r="B4679" i="1" s="1"/>
  <c r="C4680" i="1"/>
  <c r="E4680" i="1"/>
  <c r="F4680" i="1"/>
  <c r="B4680" i="1" s="1"/>
  <c r="C4681" i="1"/>
  <c r="E4681" i="1"/>
  <c r="F4681" i="1"/>
  <c r="B4681" i="1" s="1"/>
  <c r="C4682" i="1"/>
  <c r="E4682" i="1"/>
  <c r="F4682" i="1"/>
  <c r="B4682" i="1" s="1"/>
  <c r="C4683" i="1"/>
  <c r="E4683" i="1"/>
  <c r="F4683" i="1"/>
  <c r="B4683" i="1" s="1"/>
  <c r="C4684" i="1"/>
  <c r="E4684" i="1"/>
  <c r="F4684" i="1"/>
  <c r="B4684" i="1" s="1"/>
  <c r="C4685" i="1"/>
  <c r="E4685" i="1"/>
  <c r="F4685" i="1"/>
  <c r="B4685" i="1" s="1"/>
  <c r="C4686" i="1"/>
  <c r="E4686" i="1"/>
  <c r="F4686" i="1"/>
  <c r="B4686" i="1" s="1"/>
  <c r="C4687" i="1"/>
  <c r="E4687" i="1"/>
  <c r="F4687" i="1"/>
  <c r="B4687" i="1" s="1"/>
  <c r="C4688" i="1"/>
  <c r="E4688" i="1"/>
  <c r="F4688" i="1"/>
  <c r="B4688" i="1" s="1"/>
  <c r="C4689" i="1"/>
  <c r="E4689" i="1"/>
  <c r="F4689" i="1"/>
  <c r="B4689" i="1" s="1"/>
  <c r="C4690" i="1"/>
  <c r="E4690" i="1"/>
  <c r="F4690" i="1"/>
  <c r="B4690" i="1" s="1"/>
  <c r="C4691" i="1"/>
  <c r="E4691" i="1"/>
  <c r="F4691" i="1"/>
  <c r="B4691" i="1" s="1"/>
  <c r="C4692" i="1"/>
  <c r="E4692" i="1"/>
  <c r="F4692" i="1"/>
  <c r="B4692" i="1" s="1"/>
  <c r="C4693" i="1"/>
  <c r="E4693" i="1"/>
  <c r="F4693" i="1"/>
  <c r="B4693" i="1" s="1"/>
  <c r="C4694" i="1"/>
  <c r="E4694" i="1"/>
  <c r="F4694" i="1"/>
  <c r="B4694" i="1" s="1"/>
  <c r="C4695" i="1"/>
  <c r="E4695" i="1"/>
  <c r="F4695" i="1"/>
  <c r="B4695" i="1" s="1"/>
  <c r="C4696" i="1"/>
  <c r="E4696" i="1"/>
  <c r="F4696" i="1"/>
  <c r="B4696" i="1" s="1"/>
  <c r="C4697" i="1"/>
  <c r="E4697" i="1"/>
  <c r="F4697" i="1"/>
  <c r="B4697" i="1" s="1"/>
  <c r="C4698" i="1"/>
  <c r="E4698" i="1"/>
  <c r="F4698" i="1"/>
  <c r="B4698" i="1" s="1"/>
  <c r="C4699" i="1"/>
  <c r="E4699" i="1"/>
  <c r="F4699" i="1"/>
  <c r="B4699" i="1" s="1"/>
  <c r="C4700" i="1"/>
  <c r="E4700" i="1"/>
  <c r="F4700" i="1"/>
  <c r="B4700" i="1" s="1"/>
  <c r="C4701" i="1"/>
  <c r="E4701" i="1"/>
  <c r="F4701" i="1"/>
  <c r="B4701" i="1" s="1"/>
  <c r="C4702" i="1"/>
  <c r="E4702" i="1"/>
  <c r="F4702" i="1"/>
  <c r="B4702" i="1" s="1"/>
  <c r="C4703" i="1"/>
  <c r="E4703" i="1"/>
  <c r="F4703" i="1"/>
  <c r="B4703" i="1" s="1"/>
  <c r="C4704" i="1"/>
  <c r="E4704" i="1"/>
  <c r="F4704" i="1"/>
  <c r="B4704" i="1" s="1"/>
  <c r="C4705" i="1"/>
  <c r="E4705" i="1"/>
  <c r="F4705" i="1"/>
  <c r="B4705" i="1" s="1"/>
  <c r="C4706" i="1"/>
  <c r="E4706" i="1"/>
  <c r="F4706" i="1"/>
  <c r="B4706" i="1" s="1"/>
  <c r="C4707" i="1"/>
  <c r="E4707" i="1"/>
  <c r="F4707" i="1"/>
  <c r="B4707" i="1" s="1"/>
  <c r="C4708" i="1"/>
  <c r="E4708" i="1"/>
  <c r="F4708" i="1"/>
  <c r="B4708" i="1" s="1"/>
  <c r="C4709" i="1"/>
  <c r="E4709" i="1"/>
  <c r="F4709" i="1"/>
  <c r="B4709" i="1" s="1"/>
  <c r="C4710" i="1"/>
  <c r="E4710" i="1"/>
  <c r="F4710" i="1"/>
  <c r="B4710" i="1" s="1"/>
  <c r="C4711" i="1"/>
  <c r="E4711" i="1"/>
  <c r="F4711" i="1"/>
  <c r="B4711" i="1" s="1"/>
  <c r="C4712" i="1"/>
  <c r="E4712" i="1"/>
  <c r="F4712" i="1"/>
  <c r="B4712" i="1" s="1"/>
  <c r="C4713" i="1"/>
  <c r="E4713" i="1"/>
  <c r="F4713" i="1"/>
  <c r="B4713" i="1" s="1"/>
  <c r="C4714" i="1"/>
  <c r="E4714" i="1"/>
  <c r="F4714" i="1"/>
  <c r="B4714" i="1" s="1"/>
  <c r="C4715" i="1"/>
  <c r="E4715" i="1"/>
  <c r="F4715" i="1"/>
  <c r="B4715" i="1" s="1"/>
  <c r="C4716" i="1"/>
  <c r="E4716" i="1"/>
  <c r="F4716" i="1"/>
  <c r="B4716" i="1" s="1"/>
  <c r="C4717" i="1"/>
  <c r="E4717" i="1"/>
  <c r="F4717" i="1"/>
  <c r="B4717" i="1" s="1"/>
  <c r="C4718" i="1"/>
  <c r="E4718" i="1"/>
  <c r="F4718" i="1"/>
  <c r="B4718" i="1" s="1"/>
  <c r="C4719" i="1"/>
  <c r="E4719" i="1"/>
  <c r="F4719" i="1"/>
  <c r="B4719" i="1" s="1"/>
  <c r="C4720" i="1"/>
  <c r="E4720" i="1"/>
  <c r="F4720" i="1"/>
  <c r="B4720" i="1" s="1"/>
  <c r="C4721" i="1"/>
  <c r="E4721" i="1"/>
  <c r="F4721" i="1"/>
  <c r="B4721" i="1" s="1"/>
  <c r="C4722" i="1"/>
  <c r="E4722" i="1"/>
  <c r="F4722" i="1"/>
  <c r="B4722" i="1" s="1"/>
  <c r="C4723" i="1"/>
  <c r="E4723" i="1"/>
  <c r="F4723" i="1"/>
  <c r="B4723" i="1" s="1"/>
  <c r="C4724" i="1"/>
  <c r="E4724" i="1"/>
  <c r="F4724" i="1"/>
  <c r="B4724" i="1" s="1"/>
  <c r="C4725" i="1"/>
  <c r="E4725" i="1"/>
  <c r="F4725" i="1"/>
  <c r="B4725" i="1" s="1"/>
  <c r="C4726" i="1"/>
  <c r="E4726" i="1"/>
  <c r="F4726" i="1"/>
  <c r="B4726" i="1" s="1"/>
  <c r="C4727" i="1"/>
  <c r="E4727" i="1"/>
  <c r="F4727" i="1"/>
  <c r="B4727" i="1" s="1"/>
  <c r="C4728" i="1"/>
  <c r="E4728" i="1"/>
  <c r="F4728" i="1"/>
  <c r="B4728" i="1" s="1"/>
  <c r="C4729" i="1"/>
  <c r="E4729" i="1"/>
  <c r="F4729" i="1"/>
  <c r="B4729" i="1" s="1"/>
  <c r="C4730" i="1"/>
  <c r="E4730" i="1"/>
  <c r="F4730" i="1"/>
  <c r="B4730" i="1" s="1"/>
  <c r="C4731" i="1"/>
  <c r="E4731" i="1"/>
  <c r="F4731" i="1"/>
  <c r="B4731" i="1" s="1"/>
  <c r="C4732" i="1"/>
  <c r="E4732" i="1"/>
  <c r="F4732" i="1"/>
  <c r="B4732" i="1" s="1"/>
  <c r="C4733" i="1"/>
  <c r="E4733" i="1"/>
  <c r="F4733" i="1"/>
  <c r="B4733" i="1" s="1"/>
  <c r="C4734" i="1"/>
  <c r="E4734" i="1"/>
  <c r="F4734" i="1"/>
  <c r="B4734" i="1" s="1"/>
  <c r="C4735" i="1"/>
  <c r="E4735" i="1"/>
  <c r="F4735" i="1"/>
  <c r="B4735" i="1" s="1"/>
  <c r="C4736" i="1"/>
  <c r="E4736" i="1"/>
  <c r="F4736" i="1"/>
  <c r="B4736" i="1" s="1"/>
  <c r="C4737" i="1"/>
  <c r="E4737" i="1"/>
  <c r="F4737" i="1"/>
  <c r="B4737" i="1" s="1"/>
  <c r="C4738" i="1"/>
  <c r="E4738" i="1"/>
  <c r="F4738" i="1"/>
  <c r="B4738" i="1" s="1"/>
  <c r="C4739" i="1"/>
  <c r="E4739" i="1"/>
  <c r="F4739" i="1"/>
  <c r="B4739" i="1" s="1"/>
  <c r="C4740" i="1"/>
  <c r="E4740" i="1"/>
  <c r="F4740" i="1"/>
  <c r="B4740" i="1" s="1"/>
  <c r="C4741" i="1"/>
  <c r="E4741" i="1"/>
  <c r="F4741" i="1"/>
  <c r="B4741" i="1" s="1"/>
  <c r="C4742" i="1"/>
  <c r="E4742" i="1"/>
  <c r="F4742" i="1"/>
  <c r="B4742" i="1" s="1"/>
  <c r="C4743" i="1"/>
  <c r="E4743" i="1"/>
  <c r="F4743" i="1"/>
  <c r="B4743" i="1" s="1"/>
  <c r="C4744" i="1"/>
  <c r="E4744" i="1"/>
  <c r="F4744" i="1"/>
  <c r="B4744" i="1" s="1"/>
  <c r="C4745" i="1"/>
  <c r="E4745" i="1"/>
  <c r="F4745" i="1"/>
  <c r="B4745" i="1" s="1"/>
  <c r="C4746" i="1"/>
  <c r="E4746" i="1"/>
  <c r="F4746" i="1"/>
  <c r="B4746" i="1" s="1"/>
  <c r="C4747" i="1"/>
  <c r="E4747" i="1"/>
  <c r="F4747" i="1"/>
  <c r="B4747" i="1" s="1"/>
  <c r="C4748" i="1"/>
  <c r="E4748" i="1"/>
  <c r="F4748" i="1"/>
  <c r="B4748" i="1" s="1"/>
  <c r="C4749" i="1"/>
  <c r="E4749" i="1"/>
  <c r="F4749" i="1"/>
  <c r="B4749" i="1" s="1"/>
  <c r="C4750" i="1"/>
  <c r="E4750" i="1"/>
  <c r="F4750" i="1"/>
  <c r="B4750" i="1" s="1"/>
  <c r="C4751" i="1"/>
  <c r="E4751" i="1"/>
  <c r="F4751" i="1"/>
  <c r="B4751" i="1" s="1"/>
  <c r="C4752" i="1"/>
  <c r="E4752" i="1"/>
  <c r="F4752" i="1"/>
  <c r="B4752" i="1" s="1"/>
  <c r="C4753" i="1"/>
  <c r="E4753" i="1"/>
  <c r="F4753" i="1"/>
  <c r="B4753" i="1" s="1"/>
  <c r="C4754" i="1"/>
  <c r="E4754" i="1"/>
  <c r="F4754" i="1"/>
  <c r="B4754" i="1" s="1"/>
  <c r="C4755" i="1"/>
  <c r="E4755" i="1"/>
  <c r="F4755" i="1"/>
  <c r="B4755" i="1" s="1"/>
  <c r="C4756" i="1"/>
  <c r="E4756" i="1"/>
  <c r="F4756" i="1"/>
  <c r="B4756" i="1" s="1"/>
  <c r="C4757" i="1"/>
  <c r="E4757" i="1"/>
  <c r="F4757" i="1"/>
  <c r="B4757" i="1" s="1"/>
  <c r="C4758" i="1"/>
  <c r="E4758" i="1"/>
  <c r="F4758" i="1"/>
  <c r="B4758" i="1" s="1"/>
  <c r="C4759" i="1"/>
  <c r="E4759" i="1"/>
  <c r="F4759" i="1"/>
  <c r="B4759" i="1" s="1"/>
  <c r="C4760" i="1"/>
  <c r="E4760" i="1"/>
  <c r="F4760" i="1"/>
  <c r="B4760" i="1" s="1"/>
  <c r="C4761" i="1"/>
  <c r="E4761" i="1"/>
  <c r="F4761" i="1"/>
  <c r="B4761" i="1" s="1"/>
  <c r="C4762" i="1"/>
  <c r="E4762" i="1"/>
  <c r="F4762" i="1"/>
  <c r="B4762" i="1" s="1"/>
  <c r="C4763" i="1"/>
  <c r="E4763" i="1"/>
  <c r="F4763" i="1"/>
  <c r="B4763" i="1" s="1"/>
  <c r="C4764" i="1"/>
  <c r="E4764" i="1"/>
  <c r="F4764" i="1"/>
  <c r="B4764" i="1" s="1"/>
  <c r="C4765" i="1"/>
  <c r="E4765" i="1"/>
  <c r="F4765" i="1"/>
  <c r="B4765" i="1" s="1"/>
  <c r="C4766" i="1"/>
  <c r="E4766" i="1"/>
  <c r="F4766" i="1"/>
  <c r="B4766" i="1" s="1"/>
  <c r="C4767" i="1"/>
  <c r="E4767" i="1"/>
  <c r="F4767" i="1"/>
  <c r="B4767" i="1" s="1"/>
  <c r="C4768" i="1"/>
  <c r="E4768" i="1"/>
  <c r="F4768" i="1"/>
  <c r="B4768" i="1" s="1"/>
  <c r="C4769" i="1"/>
  <c r="E4769" i="1"/>
  <c r="F4769" i="1"/>
  <c r="B4769" i="1" s="1"/>
  <c r="C4770" i="1"/>
  <c r="E4770" i="1"/>
  <c r="F4770" i="1"/>
  <c r="B4770" i="1" s="1"/>
  <c r="C4771" i="1"/>
  <c r="E4771" i="1"/>
  <c r="F4771" i="1"/>
  <c r="B4771" i="1" s="1"/>
  <c r="C4772" i="1"/>
  <c r="E4772" i="1"/>
  <c r="F4772" i="1"/>
  <c r="B4772" i="1" s="1"/>
  <c r="C4773" i="1"/>
  <c r="E4773" i="1"/>
  <c r="F4773" i="1"/>
  <c r="B4773" i="1" s="1"/>
  <c r="C4774" i="1"/>
  <c r="E4774" i="1"/>
  <c r="F4774" i="1"/>
  <c r="B4774" i="1" s="1"/>
  <c r="C4775" i="1"/>
  <c r="E4775" i="1"/>
  <c r="F4775" i="1"/>
  <c r="B4775" i="1" s="1"/>
  <c r="C4776" i="1"/>
  <c r="E4776" i="1"/>
  <c r="F4776" i="1"/>
  <c r="B4776" i="1" s="1"/>
  <c r="C4777" i="1"/>
  <c r="E4777" i="1"/>
  <c r="F4777" i="1"/>
  <c r="B4777" i="1" s="1"/>
  <c r="C4778" i="1"/>
  <c r="E4778" i="1"/>
  <c r="F4778" i="1"/>
  <c r="B4778" i="1" s="1"/>
  <c r="C4779" i="1"/>
  <c r="E4779" i="1"/>
  <c r="F4779" i="1"/>
  <c r="B4779" i="1" s="1"/>
  <c r="C4780" i="1"/>
  <c r="E4780" i="1"/>
  <c r="F4780" i="1"/>
  <c r="B4780" i="1" s="1"/>
  <c r="C4781" i="1"/>
  <c r="E4781" i="1"/>
  <c r="F4781" i="1"/>
  <c r="B4781" i="1" s="1"/>
  <c r="C4782" i="1"/>
  <c r="E4782" i="1"/>
  <c r="F4782" i="1"/>
  <c r="B4782" i="1" s="1"/>
  <c r="C4783" i="1"/>
  <c r="E4783" i="1"/>
  <c r="F4783" i="1"/>
  <c r="B4783" i="1" s="1"/>
  <c r="C4784" i="1"/>
  <c r="E4784" i="1"/>
  <c r="F4784" i="1"/>
  <c r="B4784" i="1" s="1"/>
  <c r="C4785" i="1"/>
  <c r="E4785" i="1"/>
  <c r="F4785" i="1"/>
  <c r="B4785" i="1" s="1"/>
  <c r="C4786" i="1"/>
  <c r="E4786" i="1"/>
  <c r="F4786" i="1"/>
  <c r="B4786" i="1" s="1"/>
  <c r="C4787" i="1"/>
  <c r="E4787" i="1"/>
  <c r="F4787" i="1"/>
  <c r="B4787" i="1" s="1"/>
  <c r="C4788" i="1"/>
  <c r="E4788" i="1"/>
  <c r="F4788" i="1"/>
  <c r="B4788" i="1" s="1"/>
  <c r="C4789" i="1"/>
  <c r="E4789" i="1"/>
  <c r="F4789" i="1"/>
  <c r="B4789" i="1" s="1"/>
  <c r="C4790" i="1"/>
  <c r="E4790" i="1"/>
  <c r="F4790" i="1"/>
  <c r="B4790" i="1" s="1"/>
  <c r="C4791" i="1"/>
  <c r="E4791" i="1"/>
  <c r="F4791" i="1"/>
  <c r="B4791" i="1" s="1"/>
  <c r="C4792" i="1"/>
  <c r="E4792" i="1"/>
  <c r="F4792" i="1"/>
  <c r="B4792" i="1" s="1"/>
  <c r="C4793" i="1"/>
  <c r="E4793" i="1"/>
  <c r="F4793" i="1"/>
  <c r="B4793" i="1" s="1"/>
  <c r="C4794" i="1"/>
  <c r="E4794" i="1"/>
  <c r="F4794" i="1"/>
  <c r="B4794" i="1" s="1"/>
  <c r="C4795" i="1"/>
  <c r="E4795" i="1"/>
  <c r="F4795" i="1"/>
  <c r="B4795" i="1" s="1"/>
  <c r="C4796" i="1"/>
  <c r="E4796" i="1"/>
  <c r="F4796" i="1"/>
  <c r="B4796" i="1" s="1"/>
  <c r="C4797" i="1"/>
  <c r="E4797" i="1"/>
  <c r="F4797" i="1"/>
  <c r="B4797" i="1" s="1"/>
  <c r="C4798" i="1"/>
  <c r="E4798" i="1"/>
  <c r="F4798" i="1"/>
  <c r="B4798" i="1" s="1"/>
  <c r="C4799" i="1"/>
  <c r="E4799" i="1"/>
  <c r="F4799" i="1"/>
  <c r="B4799" i="1" s="1"/>
  <c r="C4800" i="1"/>
  <c r="E4800" i="1"/>
  <c r="F4800" i="1"/>
  <c r="B4800" i="1" s="1"/>
  <c r="C4801" i="1"/>
  <c r="E4801" i="1"/>
  <c r="F4801" i="1"/>
  <c r="B4801" i="1" s="1"/>
  <c r="C4802" i="1"/>
  <c r="E4802" i="1"/>
  <c r="F4802" i="1"/>
  <c r="B4802" i="1" s="1"/>
  <c r="C4803" i="1"/>
  <c r="E4803" i="1"/>
  <c r="F4803" i="1"/>
  <c r="B4803" i="1" s="1"/>
  <c r="C4804" i="1"/>
  <c r="E4804" i="1"/>
  <c r="F4804" i="1"/>
  <c r="B4804" i="1" s="1"/>
  <c r="C4805" i="1"/>
  <c r="E4805" i="1"/>
  <c r="F4805" i="1"/>
  <c r="B4805" i="1" s="1"/>
  <c r="C4806" i="1"/>
  <c r="E4806" i="1"/>
  <c r="F4806" i="1"/>
  <c r="B4806" i="1" s="1"/>
  <c r="C4807" i="1"/>
  <c r="E4807" i="1"/>
  <c r="F4807" i="1"/>
  <c r="B4807" i="1" s="1"/>
  <c r="C4808" i="1"/>
  <c r="E4808" i="1"/>
  <c r="F4808" i="1"/>
  <c r="B4808" i="1" s="1"/>
  <c r="C4809" i="1"/>
  <c r="E4809" i="1"/>
  <c r="F4809" i="1"/>
  <c r="B4809" i="1" s="1"/>
  <c r="C4810" i="1"/>
  <c r="E4810" i="1"/>
  <c r="F4810" i="1"/>
  <c r="B4810" i="1" s="1"/>
  <c r="C4811" i="1"/>
  <c r="E4811" i="1"/>
  <c r="F4811" i="1"/>
  <c r="B4811" i="1" s="1"/>
  <c r="C4812" i="1"/>
  <c r="E4812" i="1"/>
  <c r="F4812" i="1"/>
  <c r="B4812" i="1" s="1"/>
  <c r="C4813" i="1"/>
  <c r="E4813" i="1"/>
  <c r="F4813" i="1"/>
  <c r="B4813" i="1" s="1"/>
  <c r="C4814" i="1"/>
  <c r="E4814" i="1"/>
  <c r="F4814" i="1"/>
  <c r="B4814" i="1" s="1"/>
  <c r="C4815" i="1"/>
  <c r="E4815" i="1"/>
  <c r="F4815" i="1"/>
  <c r="B4815" i="1" s="1"/>
  <c r="C4816" i="1"/>
  <c r="E4816" i="1"/>
  <c r="F4816" i="1"/>
  <c r="B4816" i="1" s="1"/>
  <c r="C4817" i="1"/>
  <c r="E4817" i="1"/>
  <c r="F4817" i="1"/>
  <c r="B4817" i="1" s="1"/>
  <c r="C4818" i="1"/>
  <c r="E4818" i="1"/>
  <c r="F4818" i="1"/>
  <c r="B4818" i="1" s="1"/>
  <c r="C4819" i="1"/>
  <c r="E4819" i="1"/>
  <c r="F4819" i="1"/>
  <c r="B4819" i="1" s="1"/>
  <c r="C4820" i="1"/>
  <c r="E4820" i="1"/>
  <c r="F4820" i="1"/>
  <c r="B4820" i="1" s="1"/>
  <c r="C4821" i="1"/>
  <c r="E4821" i="1"/>
  <c r="F4821" i="1"/>
  <c r="B4821" i="1" s="1"/>
  <c r="C4822" i="1"/>
  <c r="E4822" i="1"/>
  <c r="F4822" i="1"/>
  <c r="B4822" i="1" s="1"/>
  <c r="C4823" i="1"/>
  <c r="E4823" i="1"/>
  <c r="F4823" i="1"/>
  <c r="B4823" i="1" s="1"/>
  <c r="C4824" i="1"/>
  <c r="E4824" i="1"/>
  <c r="F4824" i="1"/>
  <c r="B4824" i="1" s="1"/>
  <c r="C4825" i="1"/>
  <c r="E4825" i="1"/>
  <c r="F4825" i="1"/>
  <c r="B4825" i="1" s="1"/>
  <c r="C4826" i="1"/>
  <c r="E4826" i="1"/>
  <c r="F4826" i="1"/>
  <c r="B4826" i="1" s="1"/>
  <c r="C4827" i="1"/>
  <c r="E4827" i="1"/>
  <c r="F4827" i="1"/>
  <c r="B4827" i="1" s="1"/>
  <c r="C4828" i="1"/>
  <c r="E4828" i="1"/>
  <c r="F4828" i="1"/>
  <c r="B4828" i="1" s="1"/>
  <c r="C4829" i="1"/>
  <c r="E4829" i="1"/>
  <c r="F4829" i="1"/>
  <c r="B4829" i="1" s="1"/>
  <c r="C4830" i="1"/>
  <c r="E4830" i="1"/>
  <c r="F4830" i="1"/>
  <c r="B4830" i="1" s="1"/>
  <c r="C4831" i="1"/>
  <c r="E4831" i="1"/>
  <c r="F4831" i="1"/>
  <c r="B4831" i="1" s="1"/>
  <c r="C4832" i="1"/>
  <c r="E4832" i="1"/>
  <c r="F4832" i="1"/>
  <c r="B4832" i="1" s="1"/>
  <c r="C4833" i="1"/>
  <c r="E4833" i="1"/>
  <c r="F4833" i="1"/>
  <c r="B4833" i="1" s="1"/>
  <c r="C4834" i="1"/>
  <c r="E4834" i="1"/>
  <c r="F4834" i="1"/>
  <c r="B4834" i="1" s="1"/>
  <c r="C4835" i="1"/>
  <c r="E4835" i="1"/>
  <c r="F4835" i="1"/>
  <c r="B4835" i="1" s="1"/>
  <c r="C4836" i="1"/>
  <c r="E4836" i="1"/>
  <c r="F4836" i="1"/>
  <c r="B4836" i="1" s="1"/>
  <c r="C4837" i="1"/>
  <c r="E4837" i="1"/>
  <c r="F4837" i="1"/>
  <c r="B4837" i="1" s="1"/>
  <c r="C4838" i="1"/>
  <c r="E4838" i="1"/>
  <c r="F4838" i="1"/>
  <c r="B4838" i="1" s="1"/>
  <c r="C4839" i="1"/>
  <c r="E4839" i="1"/>
  <c r="F4839" i="1"/>
  <c r="B4839" i="1" s="1"/>
  <c r="C4840" i="1"/>
  <c r="E4840" i="1"/>
  <c r="F4840" i="1"/>
  <c r="B4840" i="1" s="1"/>
  <c r="C4841" i="1"/>
  <c r="E4841" i="1"/>
  <c r="F4841" i="1"/>
  <c r="B4841" i="1" s="1"/>
  <c r="C4842" i="1"/>
  <c r="E4842" i="1"/>
  <c r="F4842" i="1"/>
  <c r="B4842" i="1" s="1"/>
  <c r="C4843" i="1"/>
  <c r="E4843" i="1"/>
  <c r="F4843" i="1"/>
  <c r="B4843" i="1" s="1"/>
  <c r="C4844" i="1"/>
  <c r="E4844" i="1"/>
  <c r="F4844" i="1"/>
  <c r="B4844" i="1" s="1"/>
  <c r="C4845" i="1"/>
  <c r="E4845" i="1"/>
  <c r="F4845" i="1"/>
  <c r="B4845" i="1" s="1"/>
  <c r="C4846" i="1"/>
  <c r="E4846" i="1"/>
  <c r="F4846" i="1"/>
  <c r="B4846" i="1" s="1"/>
  <c r="C4847" i="1"/>
  <c r="E4847" i="1"/>
  <c r="F4847" i="1"/>
  <c r="B4847" i="1" s="1"/>
  <c r="C4848" i="1"/>
  <c r="E4848" i="1"/>
  <c r="F4848" i="1"/>
  <c r="B4848" i="1" s="1"/>
  <c r="C4849" i="1"/>
  <c r="E4849" i="1"/>
  <c r="F4849" i="1"/>
  <c r="B4849" i="1" s="1"/>
  <c r="C4850" i="1"/>
  <c r="E4850" i="1"/>
  <c r="F4850" i="1"/>
  <c r="B4850" i="1" s="1"/>
  <c r="C4851" i="1"/>
  <c r="E4851" i="1"/>
  <c r="F4851" i="1"/>
  <c r="B4851" i="1" s="1"/>
  <c r="C4852" i="1"/>
  <c r="E4852" i="1"/>
  <c r="F4852" i="1"/>
  <c r="B4852" i="1" s="1"/>
  <c r="C4853" i="1"/>
  <c r="E4853" i="1"/>
  <c r="F4853" i="1"/>
  <c r="B4853" i="1" s="1"/>
  <c r="C4854" i="1"/>
  <c r="E4854" i="1"/>
  <c r="F4854" i="1"/>
  <c r="B4854" i="1" s="1"/>
  <c r="C4855" i="1"/>
  <c r="E4855" i="1"/>
  <c r="F4855" i="1"/>
  <c r="B4855" i="1" s="1"/>
  <c r="C4856" i="1"/>
  <c r="E4856" i="1"/>
  <c r="F4856" i="1"/>
  <c r="B4856" i="1" s="1"/>
  <c r="C4857" i="1"/>
  <c r="E4857" i="1"/>
  <c r="F4857" i="1"/>
  <c r="B4857" i="1" s="1"/>
  <c r="C4858" i="1"/>
  <c r="E4858" i="1"/>
  <c r="F4858" i="1"/>
  <c r="B4858" i="1" s="1"/>
  <c r="C4859" i="1"/>
  <c r="E4859" i="1"/>
  <c r="F4859" i="1"/>
  <c r="B4859" i="1" s="1"/>
  <c r="C4860" i="1"/>
  <c r="E4860" i="1"/>
  <c r="F4860" i="1"/>
  <c r="B4860" i="1" s="1"/>
  <c r="C4861" i="1"/>
  <c r="E4861" i="1"/>
  <c r="F4861" i="1"/>
  <c r="B4861" i="1" s="1"/>
  <c r="C4862" i="1"/>
  <c r="E4862" i="1"/>
  <c r="F4862" i="1"/>
  <c r="B4862" i="1" s="1"/>
  <c r="C4863" i="1"/>
  <c r="E4863" i="1"/>
  <c r="F4863" i="1"/>
  <c r="B4863" i="1" s="1"/>
  <c r="C4864" i="1"/>
  <c r="E4864" i="1"/>
  <c r="F4864" i="1"/>
  <c r="B4864" i="1" s="1"/>
  <c r="C4865" i="1"/>
  <c r="E4865" i="1"/>
  <c r="F4865" i="1"/>
  <c r="B4865" i="1" s="1"/>
  <c r="C4866" i="1"/>
  <c r="E4866" i="1"/>
  <c r="F4866" i="1"/>
  <c r="B4866" i="1" s="1"/>
  <c r="C4867" i="1"/>
  <c r="E4867" i="1"/>
  <c r="F4867" i="1"/>
  <c r="B4867" i="1" s="1"/>
  <c r="C4868" i="1"/>
  <c r="E4868" i="1"/>
  <c r="F4868" i="1"/>
  <c r="B4868" i="1" s="1"/>
  <c r="C4869" i="1"/>
  <c r="E4869" i="1"/>
  <c r="F4869" i="1"/>
  <c r="B4869" i="1" s="1"/>
  <c r="C4870" i="1"/>
  <c r="E4870" i="1"/>
  <c r="F4870" i="1"/>
  <c r="B4870" i="1" s="1"/>
  <c r="C4871" i="1"/>
  <c r="E4871" i="1"/>
  <c r="F4871" i="1"/>
  <c r="B4871" i="1" s="1"/>
  <c r="C4872" i="1"/>
  <c r="E4872" i="1"/>
  <c r="F4872" i="1"/>
  <c r="B4872" i="1" s="1"/>
  <c r="C4873" i="1"/>
  <c r="E4873" i="1"/>
  <c r="F4873" i="1"/>
  <c r="B4873" i="1" s="1"/>
  <c r="C4874" i="1"/>
  <c r="E4874" i="1"/>
  <c r="F4874" i="1"/>
  <c r="B4874" i="1" s="1"/>
  <c r="C4875" i="1"/>
  <c r="E4875" i="1"/>
  <c r="F4875" i="1"/>
  <c r="B4875" i="1" s="1"/>
  <c r="C4876" i="1"/>
  <c r="E4876" i="1"/>
  <c r="F4876" i="1"/>
  <c r="B4876" i="1" s="1"/>
  <c r="C4877" i="1"/>
  <c r="E4877" i="1"/>
  <c r="F4877" i="1"/>
  <c r="B4877" i="1" s="1"/>
  <c r="C4878" i="1"/>
  <c r="E4878" i="1"/>
  <c r="F4878" i="1"/>
  <c r="B4878" i="1" s="1"/>
  <c r="C4879" i="1"/>
  <c r="E4879" i="1"/>
  <c r="F4879" i="1"/>
  <c r="B4879" i="1" s="1"/>
  <c r="C4880" i="1"/>
  <c r="E4880" i="1"/>
  <c r="F4880" i="1"/>
  <c r="B4880" i="1" s="1"/>
  <c r="C4881" i="1"/>
  <c r="E4881" i="1"/>
  <c r="F4881" i="1"/>
  <c r="B4881" i="1" s="1"/>
  <c r="C4882" i="1"/>
  <c r="E4882" i="1"/>
  <c r="F4882" i="1"/>
  <c r="B4882" i="1" s="1"/>
  <c r="C4883" i="1"/>
  <c r="E4883" i="1"/>
  <c r="F4883" i="1"/>
  <c r="B4883" i="1" s="1"/>
  <c r="C4884" i="1"/>
  <c r="E4884" i="1"/>
  <c r="F4884" i="1"/>
  <c r="B4884" i="1" s="1"/>
  <c r="C4885" i="1"/>
  <c r="E4885" i="1"/>
  <c r="F4885" i="1"/>
  <c r="B4885" i="1" s="1"/>
  <c r="C4886" i="1"/>
  <c r="E4886" i="1"/>
  <c r="F4886" i="1"/>
  <c r="B4886" i="1" s="1"/>
  <c r="C4887" i="1"/>
  <c r="E4887" i="1"/>
  <c r="F4887" i="1"/>
  <c r="B4887" i="1" s="1"/>
  <c r="C4888" i="1"/>
  <c r="E4888" i="1"/>
  <c r="F4888" i="1"/>
  <c r="B4888" i="1" s="1"/>
  <c r="C4889" i="1"/>
  <c r="E4889" i="1"/>
  <c r="F4889" i="1"/>
  <c r="B4889" i="1" s="1"/>
  <c r="C4890" i="1"/>
  <c r="E4890" i="1"/>
  <c r="F4890" i="1"/>
  <c r="B4890" i="1" s="1"/>
  <c r="C4891" i="1"/>
  <c r="E4891" i="1"/>
  <c r="F4891" i="1"/>
  <c r="B4891" i="1" s="1"/>
  <c r="C4892" i="1"/>
  <c r="E4892" i="1"/>
  <c r="F4892" i="1"/>
  <c r="B4892" i="1" s="1"/>
  <c r="C4893" i="1"/>
  <c r="E4893" i="1"/>
  <c r="F4893" i="1"/>
  <c r="B4893" i="1" s="1"/>
  <c r="C4894" i="1"/>
  <c r="E4894" i="1"/>
  <c r="F4894" i="1"/>
  <c r="B4894" i="1" s="1"/>
  <c r="C4895" i="1"/>
  <c r="E4895" i="1"/>
  <c r="F4895" i="1"/>
  <c r="B4895" i="1" s="1"/>
  <c r="C4896" i="1"/>
  <c r="E4896" i="1"/>
  <c r="F4896" i="1"/>
  <c r="B4896" i="1" s="1"/>
  <c r="C4897" i="1"/>
  <c r="E4897" i="1"/>
  <c r="F4897" i="1"/>
  <c r="B4897" i="1" s="1"/>
  <c r="C4898" i="1"/>
  <c r="E4898" i="1"/>
  <c r="F4898" i="1"/>
  <c r="B4898" i="1" s="1"/>
  <c r="C4899" i="1"/>
  <c r="E4899" i="1"/>
  <c r="F4899" i="1"/>
  <c r="B4899" i="1" s="1"/>
  <c r="C4900" i="1"/>
  <c r="E4900" i="1"/>
  <c r="F4900" i="1"/>
  <c r="B4900" i="1" s="1"/>
  <c r="C4901" i="1"/>
  <c r="E4901" i="1"/>
  <c r="F4901" i="1"/>
  <c r="B4901" i="1" s="1"/>
  <c r="C4902" i="1"/>
  <c r="E4902" i="1"/>
  <c r="F4902" i="1"/>
  <c r="B4902" i="1" s="1"/>
  <c r="C4903" i="1"/>
  <c r="E4903" i="1"/>
  <c r="F4903" i="1"/>
  <c r="B4903" i="1" s="1"/>
  <c r="C4904" i="1"/>
  <c r="E4904" i="1"/>
  <c r="F4904" i="1"/>
  <c r="B4904" i="1" s="1"/>
  <c r="C4905" i="1"/>
  <c r="E4905" i="1"/>
  <c r="F4905" i="1"/>
  <c r="B4905" i="1" s="1"/>
  <c r="C4906" i="1"/>
  <c r="E4906" i="1"/>
  <c r="F4906" i="1"/>
  <c r="B4906" i="1" s="1"/>
  <c r="C4907" i="1"/>
  <c r="E4907" i="1"/>
  <c r="F4907" i="1"/>
  <c r="B4907" i="1" s="1"/>
  <c r="C4908" i="1"/>
  <c r="E4908" i="1"/>
  <c r="F4908" i="1"/>
  <c r="B4908" i="1" s="1"/>
  <c r="C4909" i="1"/>
  <c r="E4909" i="1"/>
  <c r="F4909" i="1"/>
  <c r="B4909" i="1" s="1"/>
  <c r="C4910" i="1"/>
  <c r="E4910" i="1"/>
  <c r="F4910" i="1"/>
  <c r="B4910" i="1" s="1"/>
  <c r="C4911" i="1"/>
  <c r="E4911" i="1"/>
  <c r="F4911" i="1"/>
  <c r="B4911" i="1" s="1"/>
  <c r="C4912" i="1"/>
  <c r="E4912" i="1"/>
  <c r="F4912" i="1"/>
  <c r="B4912" i="1" s="1"/>
  <c r="C4913" i="1"/>
  <c r="E4913" i="1"/>
  <c r="F4913" i="1"/>
  <c r="B4913" i="1" s="1"/>
  <c r="C4914" i="1"/>
  <c r="E4914" i="1"/>
  <c r="F4914" i="1"/>
  <c r="B4914" i="1" s="1"/>
  <c r="C4915" i="1"/>
  <c r="E4915" i="1"/>
  <c r="F4915" i="1"/>
  <c r="B4915" i="1" s="1"/>
  <c r="C4916" i="1"/>
  <c r="E4916" i="1"/>
  <c r="F4916" i="1"/>
  <c r="B4916" i="1" s="1"/>
  <c r="C4917" i="1"/>
  <c r="E4917" i="1"/>
  <c r="F4917" i="1"/>
  <c r="B4917" i="1" s="1"/>
  <c r="C4918" i="1"/>
  <c r="E4918" i="1"/>
  <c r="F4918" i="1"/>
  <c r="B4918" i="1" s="1"/>
  <c r="C4919" i="1"/>
  <c r="E4919" i="1"/>
  <c r="F4919" i="1"/>
  <c r="B4919" i="1" s="1"/>
  <c r="C4920" i="1"/>
  <c r="E4920" i="1"/>
  <c r="F4920" i="1"/>
  <c r="B4920" i="1" s="1"/>
  <c r="C4921" i="1"/>
  <c r="E4921" i="1"/>
  <c r="F4921" i="1"/>
  <c r="B4921" i="1" s="1"/>
  <c r="C4922" i="1"/>
  <c r="E4922" i="1"/>
  <c r="F4922" i="1"/>
  <c r="B4922" i="1" s="1"/>
  <c r="C4923" i="1"/>
  <c r="E4923" i="1"/>
  <c r="F4923" i="1"/>
  <c r="B4923" i="1" s="1"/>
  <c r="C4924" i="1"/>
  <c r="E4924" i="1"/>
  <c r="F4924" i="1"/>
  <c r="B4924" i="1" s="1"/>
  <c r="C4925" i="1"/>
  <c r="E4925" i="1"/>
  <c r="F4925" i="1"/>
  <c r="B4925" i="1" s="1"/>
  <c r="C4926" i="1"/>
  <c r="E4926" i="1"/>
  <c r="F4926" i="1"/>
  <c r="B4926" i="1" s="1"/>
  <c r="C4927" i="1"/>
  <c r="E4927" i="1"/>
  <c r="F4927" i="1"/>
  <c r="B4927" i="1" s="1"/>
  <c r="C4928" i="1"/>
  <c r="E4928" i="1"/>
  <c r="F4928" i="1"/>
  <c r="B4928" i="1" s="1"/>
  <c r="C4929" i="1"/>
  <c r="E4929" i="1"/>
  <c r="F4929" i="1"/>
  <c r="B4929" i="1" s="1"/>
  <c r="C4930" i="1"/>
  <c r="E4930" i="1"/>
  <c r="F4930" i="1"/>
  <c r="B4930" i="1" s="1"/>
  <c r="C4931" i="1"/>
  <c r="E4931" i="1"/>
  <c r="F4931" i="1"/>
  <c r="B4931" i="1" s="1"/>
  <c r="C4932" i="1"/>
  <c r="E4932" i="1"/>
  <c r="F4932" i="1"/>
  <c r="B4932" i="1" s="1"/>
  <c r="C4933" i="1"/>
  <c r="E4933" i="1"/>
  <c r="F4933" i="1"/>
  <c r="B4933" i="1" s="1"/>
  <c r="C4934" i="1"/>
  <c r="E4934" i="1"/>
  <c r="F4934" i="1"/>
  <c r="B4934" i="1" s="1"/>
  <c r="C4935" i="1"/>
  <c r="E4935" i="1"/>
  <c r="F4935" i="1"/>
  <c r="B4935" i="1" s="1"/>
  <c r="C4936" i="1"/>
  <c r="E4936" i="1"/>
  <c r="F4936" i="1"/>
  <c r="B4936" i="1" s="1"/>
  <c r="C4937" i="1"/>
  <c r="E4937" i="1"/>
  <c r="F4937" i="1"/>
  <c r="B4937" i="1" s="1"/>
  <c r="C4938" i="1"/>
  <c r="E4938" i="1"/>
  <c r="F4938" i="1"/>
  <c r="B4938" i="1" s="1"/>
  <c r="C4939" i="1"/>
  <c r="E4939" i="1"/>
  <c r="F4939" i="1"/>
  <c r="B4939" i="1" s="1"/>
  <c r="C4940" i="1"/>
  <c r="E4940" i="1"/>
  <c r="F4940" i="1"/>
  <c r="B4940" i="1" s="1"/>
  <c r="C4941" i="1"/>
  <c r="E4941" i="1"/>
  <c r="F4941" i="1"/>
  <c r="B4941" i="1" s="1"/>
  <c r="C4942" i="1"/>
  <c r="E4942" i="1"/>
  <c r="F4942" i="1"/>
  <c r="B4942" i="1" s="1"/>
  <c r="C4943" i="1"/>
  <c r="E4943" i="1"/>
  <c r="F4943" i="1"/>
  <c r="B4943" i="1" s="1"/>
  <c r="C4944" i="1"/>
  <c r="E4944" i="1"/>
  <c r="F4944" i="1"/>
  <c r="B4944" i="1" s="1"/>
  <c r="C4945" i="1"/>
  <c r="E4945" i="1"/>
  <c r="F4945" i="1"/>
  <c r="B4945" i="1" s="1"/>
  <c r="C4946" i="1"/>
  <c r="E4946" i="1"/>
  <c r="F4946" i="1"/>
  <c r="B4946" i="1" s="1"/>
  <c r="C4947" i="1"/>
  <c r="E4947" i="1"/>
  <c r="F4947" i="1"/>
  <c r="B4947" i="1" s="1"/>
  <c r="C4948" i="1"/>
  <c r="E4948" i="1"/>
  <c r="F4948" i="1"/>
  <c r="B4948" i="1" s="1"/>
  <c r="C4949" i="1"/>
  <c r="E4949" i="1"/>
  <c r="F4949" i="1"/>
  <c r="B4949" i="1" s="1"/>
  <c r="C4950" i="1"/>
  <c r="E4950" i="1"/>
  <c r="F4950" i="1"/>
  <c r="B4950" i="1" s="1"/>
  <c r="C4951" i="1"/>
  <c r="E4951" i="1"/>
  <c r="F4951" i="1"/>
  <c r="B4951" i="1" s="1"/>
  <c r="C4952" i="1"/>
  <c r="E4952" i="1"/>
  <c r="F4952" i="1"/>
  <c r="B4952" i="1" s="1"/>
  <c r="C4953" i="1"/>
  <c r="E4953" i="1"/>
  <c r="F4953" i="1"/>
  <c r="B4953" i="1" s="1"/>
  <c r="C4954" i="1"/>
  <c r="E4954" i="1"/>
  <c r="F4954" i="1"/>
  <c r="B4954" i="1" s="1"/>
  <c r="C4955" i="1"/>
  <c r="E4955" i="1"/>
  <c r="F4955" i="1"/>
  <c r="B4955" i="1" s="1"/>
  <c r="C4956" i="1"/>
  <c r="E4956" i="1"/>
  <c r="F4956" i="1"/>
  <c r="B4956" i="1" s="1"/>
  <c r="C4957" i="1"/>
  <c r="E4957" i="1"/>
  <c r="F4957" i="1"/>
  <c r="B4957" i="1" s="1"/>
  <c r="C4958" i="1"/>
  <c r="E4958" i="1"/>
  <c r="F4958" i="1"/>
  <c r="B4958" i="1" s="1"/>
  <c r="C4959" i="1"/>
  <c r="E4959" i="1"/>
  <c r="F4959" i="1"/>
  <c r="B4959" i="1" s="1"/>
  <c r="C4960" i="1"/>
  <c r="E4960" i="1"/>
  <c r="F4960" i="1"/>
  <c r="B4960" i="1" s="1"/>
  <c r="C4961" i="1"/>
  <c r="E4961" i="1"/>
  <c r="F4961" i="1"/>
  <c r="B4961" i="1" s="1"/>
  <c r="C4962" i="1"/>
  <c r="E4962" i="1"/>
  <c r="F4962" i="1"/>
  <c r="B4962" i="1" s="1"/>
  <c r="C4963" i="1"/>
  <c r="E4963" i="1"/>
  <c r="F4963" i="1"/>
  <c r="B4963" i="1" s="1"/>
  <c r="C4964" i="1"/>
  <c r="E4964" i="1"/>
  <c r="F4964" i="1"/>
  <c r="B4964" i="1" s="1"/>
  <c r="C4965" i="1"/>
  <c r="E4965" i="1"/>
  <c r="F4965" i="1"/>
  <c r="B4965" i="1" s="1"/>
  <c r="C4966" i="1"/>
  <c r="E4966" i="1"/>
  <c r="F4966" i="1"/>
  <c r="B4966" i="1" s="1"/>
  <c r="C4967" i="1"/>
  <c r="E4967" i="1"/>
  <c r="F4967" i="1"/>
  <c r="B4967" i="1" s="1"/>
  <c r="C4968" i="1"/>
  <c r="E4968" i="1"/>
  <c r="F4968" i="1"/>
  <c r="B4968" i="1" s="1"/>
  <c r="C4969" i="1"/>
  <c r="E4969" i="1"/>
  <c r="F4969" i="1"/>
  <c r="B4969" i="1" s="1"/>
  <c r="C4970" i="1"/>
  <c r="E4970" i="1"/>
  <c r="F4970" i="1"/>
  <c r="B4970" i="1" s="1"/>
  <c r="C4971" i="1"/>
  <c r="E4971" i="1"/>
  <c r="F4971" i="1"/>
  <c r="B4971" i="1" s="1"/>
  <c r="C4972" i="1"/>
  <c r="E4972" i="1"/>
  <c r="F4972" i="1"/>
  <c r="B4972" i="1" s="1"/>
  <c r="C4973" i="1"/>
  <c r="E4973" i="1"/>
  <c r="F4973" i="1"/>
  <c r="B4973" i="1" s="1"/>
  <c r="C4974" i="1"/>
  <c r="E4974" i="1"/>
  <c r="F4974" i="1"/>
  <c r="B4974" i="1" s="1"/>
  <c r="C4975" i="1"/>
  <c r="E4975" i="1"/>
  <c r="F4975" i="1"/>
  <c r="B4975" i="1" s="1"/>
  <c r="C4976" i="1"/>
  <c r="E4976" i="1"/>
  <c r="F4976" i="1"/>
  <c r="B4976" i="1" s="1"/>
  <c r="C4977" i="1"/>
  <c r="E4977" i="1"/>
  <c r="F4977" i="1"/>
  <c r="B4977" i="1" s="1"/>
  <c r="C4978" i="1"/>
  <c r="E4978" i="1"/>
  <c r="F4978" i="1"/>
  <c r="B4978" i="1" s="1"/>
  <c r="C4979" i="1"/>
  <c r="E4979" i="1"/>
  <c r="F4979" i="1"/>
  <c r="B4979" i="1" s="1"/>
  <c r="C4980" i="1"/>
  <c r="E4980" i="1"/>
  <c r="F4980" i="1"/>
  <c r="B4980" i="1" s="1"/>
  <c r="C4981" i="1"/>
  <c r="E4981" i="1"/>
  <c r="F4981" i="1"/>
  <c r="B4981" i="1" s="1"/>
  <c r="C4982" i="1"/>
  <c r="E4982" i="1"/>
  <c r="F4982" i="1"/>
  <c r="B4982" i="1" s="1"/>
  <c r="C4983" i="1"/>
  <c r="E4983" i="1"/>
  <c r="F4983" i="1"/>
  <c r="B4983" i="1" s="1"/>
  <c r="C4984" i="1"/>
  <c r="E4984" i="1"/>
  <c r="F4984" i="1"/>
  <c r="B4984" i="1" s="1"/>
  <c r="C4985" i="1"/>
  <c r="E4985" i="1"/>
  <c r="F4985" i="1"/>
  <c r="B4985" i="1" s="1"/>
  <c r="C4986" i="1"/>
  <c r="E4986" i="1"/>
  <c r="F4986" i="1"/>
  <c r="B4986" i="1" s="1"/>
  <c r="C4987" i="1"/>
  <c r="E4987" i="1"/>
  <c r="F4987" i="1"/>
  <c r="B4987" i="1" s="1"/>
  <c r="C4988" i="1"/>
  <c r="E4988" i="1"/>
  <c r="F4988" i="1"/>
  <c r="B4988" i="1" s="1"/>
  <c r="C4989" i="1"/>
  <c r="E4989" i="1"/>
  <c r="F4989" i="1"/>
  <c r="B4989" i="1" s="1"/>
  <c r="C4990" i="1"/>
  <c r="E4990" i="1"/>
  <c r="F4990" i="1"/>
  <c r="B4990" i="1" s="1"/>
  <c r="C4991" i="1"/>
  <c r="E4991" i="1"/>
  <c r="F4991" i="1"/>
  <c r="B4991" i="1" s="1"/>
  <c r="C4992" i="1"/>
  <c r="E4992" i="1"/>
  <c r="F4992" i="1"/>
  <c r="B4992" i="1" s="1"/>
  <c r="C4993" i="1"/>
  <c r="E4993" i="1"/>
  <c r="F4993" i="1"/>
  <c r="B4993" i="1" s="1"/>
  <c r="C4994" i="1"/>
  <c r="E4994" i="1"/>
  <c r="F4994" i="1"/>
  <c r="B4994" i="1" s="1"/>
  <c r="C4995" i="1"/>
  <c r="E4995" i="1"/>
  <c r="F4995" i="1"/>
  <c r="B4995" i="1" s="1"/>
  <c r="C4996" i="1"/>
  <c r="E4996" i="1"/>
  <c r="F4996" i="1"/>
  <c r="B4996" i="1" s="1"/>
  <c r="C4997" i="1"/>
  <c r="E4997" i="1"/>
  <c r="F4997" i="1"/>
  <c r="B4997" i="1" s="1"/>
  <c r="C4998" i="1"/>
  <c r="E4998" i="1"/>
  <c r="F4998" i="1"/>
  <c r="B4998" i="1" s="1"/>
  <c r="C4999" i="1"/>
  <c r="E4999" i="1"/>
  <c r="F4999" i="1"/>
  <c r="B4999" i="1" s="1"/>
  <c r="C5000" i="1"/>
  <c r="E5000" i="1"/>
  <c r="F5000" i="1"/>
  <c r="B5000" i="1" s="1"/>
  <c r="C5001" i="1"/>
  <c r="E5001" i="1"/>
  <c r="F5001" i="1"/>
  <c r="B5001" i="1" s="1"/>
  <c r="C5002" i="1"/>
  <c r="E5002" i="1"/>
  <c r="F5002" i="1"/>
  <c r="B5002" i="1" s="1"/>
  <c r="C5003" i="1"/>
  <c r="E5003" i="1"/>
  <c r="F5003" i="1"/>
  <c r="B5003" i="1" s="1"/>
  <c r="C5004" i="1"/>
  <c r="E5004" i="1"/>
  <c r="F5004" i="1"/>
  <c r="B5004" i="1" s="1"/>
  <c r="C5005" i="1"/>
  <c r="E5005" i="1"/>
  <c r="F5005" i="1"/>
  <c r="B5005" i="1" s="1"/>
  <c r="C5006" i="1"/>
  <c r="E5006" i="1"/>
  <c r="F5006" i="1"/>
  <c r="B5006" i="1" s="1"/>
  <c r="C5007" i="1"/>
  <c r="E5007" i="1"/>
  <c r="F5007" i="1"/>
  <c r="B5007" i="1" s="1"/>
  <c r="C5008" i="1"/>
  <c r="E5008" i="1"/>
  <c r="F5008" i="1"/>
  <c r="B5008" i="1" s="1"/>
  <c r="C5009" i="1"/>
  <c r="E5009" i="1"/>
  <c r="F5009" i="1"/>
  <c r="B5009" i="1" s="1"/>
  <c r="C5010" i="1"/>
  <c r="E5010" i="1"/>
  <c r="F5010" i="1"/>
  <c r="B5010" i="1" s="1"/>
  <c r="C5011" i="1"/>
  <c r="E5011" i="1"/>
  <c r="F5011" i="1"/>
  <c r="B5011" i="1" s="1"/>
  <c r="C5012" i="1"/>
  <c r="E5012" i="1"/>
  <c r="F5012" i="1"/>
  <c r="B5012" i="1" s="1"/>
  <c r="C5013" i="1"/>
  <c r="E5013" i="1"/>
  <c r="F5013" i="1"/>
  <c r="B5013" i="1" s="1"/>
  <c r="C5014" i="1"/>
  <c r="E5014" i="1"/>
  <c r="F5014" i="1"/>
  <c r="B5014" i="1" s="1"/>
  <c r="C5015" i="1"/>
  <c r="E5015" i="1"/>
  <c r="F5015" i="1"/>
  <c r="B5015" i="1" s="1"/>
  <c r="C5016" i="1"/>
  <c r="E5016" i="1"/>
  <c r="F5016" i="1"/>
  <c r="B5016" i="1" s="1"/>
  <c r="C5017" i="1"/>
  <c r="E5017" i="1"/>
  <c r="F5017" i="1"/>
  <c r="B5017" i="1" s="1"/>
  <c r="C5018" i="1"/>
  <c r="E5018" i="1"/>
  <c r="F5018" i="1"/>
  <c r="B5018" i="1" s="1"/>
  <c r="C5019" i="1"/>
  <c r="E5019" i="1"/>
  <c r="F5019" i="1"/>
  <c r="B5019" i="1" s="1"/>
  <c r="C5020" i="1"/>
  <c r="E5020" i="1"/>
  <c r="F5020" i="1"/>
  <c r="B5020" i="1" s="1"/>
  <c r="C5021" i="1"/>
  <c r="E5021" i="1"/>
  <c r="F5021" i="1"/>
  <c r="B5021" i="1" s="1"/>
  <c r="C5022" i="1"/>
  <c r="E5022" i="1"/>
  <c r="F5022" i="1"/>
  <c r="B5022" i="1" s="1"/>
  <c r="C5023" i="1"/>
  <c r="E5023" i="1"/>
  <c r="F5023" i="1"/>
  <c r="B5023" i="1" s="1"/>
  <c r="C5024" i="1"/>
  <c r="E5024" i="1"/>
  <c r="F5024" i="1"/>
  <c r="B5024" i="1" s="1"/>
  <c r="C5025" i="1"/>
  <c r="E5025" i="1"/>
  <c r="F5025" i="1"/>
  <c r="B5025" i="1" s="1"/>
  <c r="C5026" i="1"/>
  <c r="E5026" i="1"/>
  <c r="F5026" i="1"/>
  <c r="B5026" i="1" s="1"/>
  <c r="C5027" i="1"/>
  <c r="E5027" i="1"/>
  <c r="F5027" i="1"/>
  <c r="B5027" i="1" s="1"/>
  <c r="C5028" i="1"/>
  <c r="E5028" i="1"/>
  <c r="F5028" i="1"/>
  <c r="B5028" i="1" s="1"/>
  <c r="C5029" i="1"/>
  <c r="E5029" i="1"/>
  <c r="F5029" i="1"/>
  <c r="B5029" i="1" s="1"/>
  <c r="C5030" i="1"/>
  <c r="E5030" i="1"/>
  <c r="F5030" i="1"/>
  <c r="B5030" i="1" s="1"/>
  <c r="C5031" i="1"/>
  <c r="E5031" i="1"/>
  <c r="F5031" i="1"/>
  <c r="B5031" i="1" s="1"/>
  <c r="C5032" i="1"/>
  <c r="E5032" i="1"/>
  <c r="F5032" i="1"/>
  <c r="B5032" i="1" s="1"/>
  <c r="C5033" i="1"/>
  <c r="E5033" i="1"/>
  <c r="F5033" i="1"/>
  <c r="B5033" i="1" s="1"/>
  <c r="C5034" i="1"/>
  <c r="E5034" i="1"/>
  <c r="F5034" i="1"/>
  <c r="B5034" i="1" s="1"/>
  <c r="C5035" i="1"/>
  <c r="E5035" i="1"/>
  <c r="F5035" i="1"/>
  <c r="B5035" i="1" s="1"/>
  <c r="C5036" i="1"/>
  <c r="E5036" i="1"/>
  <c r="F5036" i="1"/>
  <c r="B5036" i="1" s="1"/>
  <c r="C5037" i="1"/>
  <c r="E5037" i="1"/>
  <c r="F5037" i="1"/>
  <c r="B5037" i="1" s="1"/>
  <c r="C5038" i="1"/>
  <c r="E5038" i="1"/>
  <c r="F5038" i="1"/>
  <c r="B5038" i="1" s="1"/>
  <c r="C5039" i="1"/>
  <c r="E5039" i="1"/>
  <c r="F5039" i="1"/>
  <c r="B5039" i="1" s="1"/>
  <c r="C5040" i="1"/>
  <c r="E5040" i="1"/>
  <c r="F5040" i="1"/>
  <c r="B5040" i="1" s="1"/>
  <c r="C5041" i="1"/>
  <c r="E5041" i="1"/>
  <c r="F5041" i="1"/>
  <c r="B5041" i="1" s="1"/>
  <c r="C5042" i="1"/>
  <c r="E5042" i="1"/>
  <c r="F5042" i="1"/>
  <c r="B5042" i="1" s="1"/>
  <c r="C5043" i="1"/>
  <c r="E5043" i="1"/>
  <c r="F5043" i="1"/>
  <c r="B5043" i="1" s="1"/>
  <c r="C5044" i="1"/>
  <c r="E5044" i="1"/>
  <c r="F5044" i="1"/>
  <c r="B5044" i="1" s="1"/>
  <c r="C5045" i="1"/>
  <c r="E5045" i="1"/>
  <c r="F5045" i="1"/>
  <c r="B5045" i="1" s="1"/>
  <c r="C5046" i="1"/>
  <c r="E5046" i="1"/>
  <c r="F5046" i="1"/>
  <c r="B5046" i="1" s="1"/>
  <c r="C5047" i="1"/>
  <c r="E5047" i="1"/>
  <c r="F5047" i="1"/>
  <c r="B5047" i="1" s="1"/>
  <c r="C5048" i="1"/>
  <c r="E5048" i="1"/>
  <c r="F5048" i="1"/>
  <c r="B5048" i="1" s="1"/>
  <c r="C5049" i="1"/>
  <c r="E5049" i="1"/>
  <c r="F5049" i="1"/>
  <c r="B5049" i="1" s="1"/>
  <c r="C5050" i="1"/>
  <c r="E5050" i="1"/>
  <c r="F5050" i="1"/>
  <c r="B5050" i="1" s="1"/>
  <c r="C5051" i="1"/>
  <c r="E5051" i="1"/>
  <c r="F5051" i="1"/>
  <c r="B5051" i="1" s="1"/>
  <c r="C5052" i="1"/>
  <c r="E5052" i="1"/>
  <c r="F5052" i="1"/>
  <c r="B5052" i="1" s="1"/>
  <c r="C5053" i="1"/>
  <c r="E5053" i="1"/>
  <c r="F5053" i="1"/>
  <c r="B5053" i="1" s="1"/>
  <c r="C5054" i="1"/>
  <c r="E5054" i="1"/>
  <c r="F5054" i="1"/>
  <c r="B5054" i="1" s="1"/>
  <c r="C5055" i="1"/>
  <c r="E5055" i="1"/>
  <c r="F5055" i="1"/>
  <c r="B5055" i="1" s="1"/>
  <c r="C5056" i="1"/>
  <c r="E5056" i="1"/>
  <c r="F5056" i="1"/>
  <c r="B5056" i="1" s="1"/>
  <c r="C5057" i="1"/>
  <c r="E5057" i="1"/>
  <c r="F5057" i="1"/>
  <c r="B5057" i="1" s="1"/>
  <c r="C5058" i="1"/>
  <c r="E5058" i="1"/>
  <c r="F5058" i="1"/>
  <c r="B5058" i="1" s="1"/>
  <c r="C5059" i="1"/>
  <c r="E5059" i="1"/>
  <c r="F5059" i="1"/>
  <c r="B5059" i="1" s="1"/>
  <c r="C5060" i="1"/>
  <c r="E5060" i="1"/>
  <c r="F5060" i="1"/>
  <c r="B5060" i="1" s="1"/>
  <c r="C5061" i="1"/>
  <c r="E5061" i="1"/>
  <c r="F5061" i="1"/>
  <c r="B5061" i="1" s="1"/>
  <c r="C5062" i="1"/>
  <c r="E5062" i="1"/>
  <c r="F5062" i="1"/>
  <c r="B5062" i="1" s="1"/>
  <c r="C5063" i="1"/>
  <c r="E5063" i="1"/>
  <c r="F5063" i="1"/>
  <c r="B5063" i="1" s="1"/>
  <c r="C5064" i="1"/>
  <c r="E5064" i="1"/>
  <c r="F5064" i="1"/>
  <c r="B5064" i="1" s="1"/>
  <c r="C5065" i="1"/>
  <c r="E5065" i="1"/>
  <c r="F5065" i="1"/>
  <c r="B5065" i="1" s="1"/>
  <c r="C5066" i="1"/>
  <c r="E5066" i="1"/>
  <c r="F5066" i="1"/>
  <c r="B5066" i="1" s="1"/>
  <c r="C5067" i="1"/>
  <c r="E5067" i="1"/>
  <c r="F5067" i="1"/>
  <c r="B5067" i="1" s="1"/>
  <c r="C5068" i="1"/>
  <c r="E5068" i="1"/>
  <c r="F5068" i="1"/>
  <c r="B5068" i="1" s="1"/>
  <c r="C5069" i="1"/>
  <c r="E5069" i="1"/>
  <c r="F5069" i="1"/>
  <c r="B5069" i="1" s="1"/>
  <c r="C5070" i="1"/>
  <c r="E5070" i="1"/>
  <c r="F5070" i="1"/>
  <c r="B5070" i="1" s="1"/>
  <c r="C5071" i="1"/>
  <c r="E5071" i="1"/>
  <c r="F5071" i="1"/>
  <c r="B5071" i="1" s="1"/>
  <c r="C5072" i="1"/>
  <c r="E5072" i="1"/>
  <c r="F5072" i="1"/>
  <c r="B5072" i="1" s="1"/>
  <c r="C5073" i="1"/>
  <c r="E5073" i="1"/>
  <c r="F5073" i="1"/>
  <c r="B5073" i="1" s="1"/>
  <c r="C5074" i="1"/>
  <c r="E5074" i="1"/>
  <c r="F5074" i="1"/>
  <c r="B5074" i="1" s="1"/>
  <c r="C5075" i="1"/>
  <c r="E5075" i="1"/>
  <c r="F5075" i="1"/>
  <c r="B5075" i="1" s="1"/>
  <c r="C5076" i="1"/>
  <c r="E5076" i="1"/>
  <c r="F5076" i="1"/>
  <c r="B5076" i="1" s="1"/>
  <c r="C5077" i="1"/>
  <c r="E5077" i="1"/>
  <c r="F5077" i="1"/>
  <c r="B5077" i="1" s="1"/>
  <c r="C5078" i="1"/>
  <c r="E5078" i="1"/>
  <c r="F5078" i="1"/>
  <c r="B5078" i="1" s="1"/>
  <c r="C5079" i="1"/>
  <c r="E5079" i="1"/>
  <c r="F5079" i="1"/>
  <c r="B5079" i="1" s="1"/>
  <c r="C5080" i="1"/>
  <c r="E5080" i="1"/>
  <c r="F5080" i="1"/>
  <c r="B5080" i="1" s="1"/>
  <c r="C5081" i="1"/>
  <c r="E5081" i="1"/>
  <c r="F5081" i="1"/>
  <c r="B5081" i="1" s="1"/>
  <c r="C5082" i="1"/>
  <c r="E5082" i="1"/>
  <c r="F5082" i="1"/>
  <c r="B5082" i="1" s="1"/>
  <c r="C5083" i="1"/>
  <c r="E5083" i="1"/>
  <c r="F5083" i="1"/>
  <c r="B5083" i="1" s="1"/>
  <c r="C5084" i="1"/>
  <c r="E5084" i="1"/>
  <c r="F5084" i="1"/>
  <c r="B5084" i="1" s="1"/>
  <c r="C5085" i="1"/>
  <c r="E5085" i="1"/>
  <c r="F5085" i="1"/>
  <c r="B5085" i="1" s="1"/>
  <c r="C5086" i="1"/>
  <c r="E5086" i="1"/>
  <c r="F5086" i="1"/>
  <c r="B5086" i="1" s="1"/>
  <c r="C5087" i="1"/>
  <c r="E5087" i="1"/>
  <c r="F5087" i="1"/>
  <c r="B5087" i="1" s="1"/>
  <c r="C5088" i="1"/>
  <c r="E5088" i="1"/>
  <c r="F5088" i="1"/>
  <c r="B5088" i="1" s="1"/>
  <c r="C5089" i="1"/>
  <c r="E5089" i="1"/>
  <c r="F5089" i="1"/>
  <c r="B5089" i="1" s="1"/>
  <c r="C5090" i="1"/>
  <c r="E5090" i="1"/>
  <c r="F5090" i="1"/>
  <c r="B5090" i="1" s="1"/>
  <c r="C5091" i="1"/>
  <c r="E5091" i="1"/>
  <c r="F5091" i="1"/>
  <c r="B5091" i="1" s="1"/>
  <c r="C5092" i="1"/>
  <c r="E5092" i="1"/>
  <c r="F5092" i="1"/>
  <c r="B5092" i="1" s="1"/>
  <c r="C5093" i="1"/>
  <c r="E5093" i="1"/>
  <c r="F5093" i="1"/>
  <c r="B5093" i="1" s="1"/>
  <c r="C5094" i="1"/>
  <c r="E5094" i="1"/>
  <c r="F5094" i="1"/>
  <c r="B5094" i="1" s="1"/>
  <c r="C5095" i="1"/>
  <c r="E5095" i="1"/>
  <c r="F5095" i="1"/>
  <c r="B5095" i="1" s="1"/>
  <c r="C5096" i="1"/>
  <c r="E5096" i="1"/>
  <c r="F5096" i="1"/>
  <c r="B5096" i="1" s="1"/>
  <c r="C5097" i="1"/>
  <c r="E5097" i="1"/>
  <c r="F5097" i="1"/>
  <c r="B5097" i="1" s="1"/>
  <c r="C5098" i="1"/>
  <c r="E5098" i="1"/>
  <c r="F5098" i="1"/>
  <c r="B5098" i="1" s="1"/>
  <c r="C5099" i="1"/>
  <c r="E5099" i="1"/>
  <c r="F5099" i="1"/>
  <c r="B5099" i="1" s="1"/>
  <c r="C5100" i="1"/>
  <c r="E5100" i="1"/>
  <c r="F5100" i="1"/>
  <c r="B5100" i="1" s="1"/>
  <c r="C5101" i="1"/>
  <c r="E5101" i="1"/>
  <c r="F5101" i="1"/>
  <c r="B5101" i="1" s="1"/>
  <c r="C5102" i="1"/>
  <c r="E5102" i="1"/>
  <c r="F5102" i="1"/>
  <c r="B5102" i="1" s="1"/>
  <c r="C5103" i="1"/>
  <c r="E5103" i="1"/>
  <c r="F5103" i="1"/>
  <c r="B5103" i="1" s="1"/>
  <c r="C5104" i="1"/>
  <c r="E5104" i="1"/>
  <c r="F5104" i="1"/>
  <c r="B5104" i="1" s="1"/>
  <c r="C5105" i="1"/>
  <c r="E5105" i="1"/>
  <c r="F5105" i="1"/>
  <c r="B5105" i="1" s="1"/>
  <c r="C5106" i="1"/>
  <c r="E5106" i="1"/>
  <c r="F5106" i="1"/>
  <c r="B5106" i="1" s="1"/>
  <c r="C5107" i="1"/>
  <c r="E5107" i="1"/>
  <c r="F5107" i="1"/>
  <c r="B5107" i="1" s="1"/>
  <c r="C5108" i="1"/>
  <c r="E5108" i="1"/>
  <c r="F5108" i="1"/>
  <c r="B5108" i="1" s="1"/>
  <c r="C5109" i="1"/>
  <c r="E5109" i="1"/>
  <c r="F5109" i="1"/>
  <c r="B5109" i="1" s="1"/>
  <c r="C5110" i="1"/>
  <c r="E5110" i="1"/>
  <c r="F5110" i="1"/>
  <c r="B5110" i="1" s="1"/>
  <c r="C5111" i="1"/>
  <c r="E5111" i="1"/>
  <c r="F5111" i="1"/>
  <c r="B5111" i="1" s="1"/>
  <c r="C5112" i="1"/>
  <c r="E5112" i="1"/>
  <c r="F5112" i="1"/>
  <c r="B5112" i="1" s="1"/>
  <c r="C5113" i="1"/>
  <c r="E5113" i="1"/>
  <c r="F5113" i="1"/>
  <c r="B5113" i="1" s="1"/>
  <c r="C5114" i="1"/>
  <c r="E5114" i="1"/>
  <c r="F5114" i="1"/>
  <c r="B5114" i="1" s="1"/>
  <c r="C4481" i="1"/>
  <c r="E4481" i="1"/>
  <c r="F4481" i="1"/>
  <c r="B4481" i="1" s="1"/>
  <c r="C4482" i="1"/>
  <c r="E4482" i="1"/>
  <c r="F4482" i="1"/>
  <c r="B4482" i="1" s="1"/>
  <c r="C4480" i="1"/>
  <c r="C4176" i="1"/>
  <c r="E4480" i="1"/>
  <c r="F4480" i="1"/>
  <c r="B4480" i="1" s="1"/>
  <c r="M14357" i="1" l="1"/>
  <c r="M14221" i="1"/>
  <c r="M14153" i="1"/>
  <c r="M14068" i="1"/>
  <c r="M14000" i="1"/>
  <c r="M13949" i="1"/>
  <c r="M13932" i="1"/>
  <c r="M13881" i="1"/>
  <c r="M13864" i="1"/>
  <c r="M13592" i="1"/>
  <c r="M13337" i="1"/>
  <c r="M13116" i="1"/>
  <c r="M12980" i="1"/>
  <c r="M12861" i="1"/>
  <c r="M12742" i="1"/>
  <c r="M12691" i="1"/>
  <c r="M12606" i="1"/>
  <c r="M12555" i="1"/>
  <c r="M12470" i="1"/>
  <c r="M12232" i="1"/>
  <c r="M12096" i="1"/>
  <c r="M12062" i="1"/>
  <c r="M12011" i="1"/>
  <c r="M11960" i="1"/>
  <c r="M11875" i="1"/>
  <c r="M11841" i="1"/>
  <c r="B29" i="32"/>
  <c r="B56" i="30"/>
  <c r="B82" i="30"/>
  <c r="B56" i="32"/>
  <c r="B82" i="32"/>
  <c r="B56" i="35"/>
  <c r="B56" i="33"/>
  <c r="B56" i="28"/>
  <c r="B29" i="30"/>
  <c r="M14323" i="1"/>
  <c r="M14187" i="1"/>
  <c r="M14051" i="1"/>
  <c r="M13779" i="1"/>
  <c r="M13643" i="1"/>
  <c r="M13507" i="1"/>
  <c r="M13371" i="1"/>
  <c r="M13235" i="1"/>
  <c r="M13099" i="1"/>
  <c r="M12963" i="1"/>
  <c r="M12827" i="1"/>
  <c r="M12674" i="1"/>
  <c r="M13813" i="1"/>
  <c r="M13541" i="1"/>
  <c r="M13405" i="1"/>
  <c r="M13269" i="1"/>
  <c r="M13133" i="1"/>
  <c r="M12997" i="1"/>
  <c r="M12725" i="1"/>
  <c r="M12589" i="1"/>
  <c r="M11739" i="1"/>
  <c r="M12402" i="1"/>
  <c r="M12266" i="1"/>
  <c r="M12130" i="1"/>
  <c r="M11994" i="1"/>
  <c r="M11858" i="1"/>
  <c r="M14391" i="1"/>
  <c r="M14255" i="1"/>
  <c r="M14119" i="1"/>
  <c r="M13983" i="1"/>
  <c r="M13847" i="1"/>
  <c r="M13711" i="1"/>
  <c r="M13575" i="1"/>
  <c r="M12878" i="1"/>
  <c r="M12453" i="1"/>
  <c r="M12181" i="1"/>
  <c r="M11909" i="1"/>
  <c r="M11773" i="1"/>
  <c r="M13303" i="1"/>
  <c r="M13167" i="1"/>
  <c r="M13031" i="1"/>
  <c r="M12895" i="1"/>
  <c r="M12759" i="1"/>
  <c r="M12623" i="1"/>
  <c r="M12487" i="1"/>
  <c r="M12351" i="1"/>
  <c r="M12079" i="1"/>
  <c r="M11943" i="1"/>
  <c r="M11807" i="1"/>
  <c r="M9750" i="1"/>
  <c r="M11603" i="1"/>
  <c r="B11115" i="1"/>
  <c r="M10974" i="1"/>
  <c r="M11178" i="1"/>
  <c r="M11076" i="1"/>
  <c r="M10583" i="1"/>
  <c r="M10515" i="1"/>
  <c r="B11419" i="1"/>
  <c r="B11121" i="1"/>
  <c r="B10802" i="1"/>
  <c r="B9658" i="1"/>
  <c r="M10651" i="1"/>
  <c r="M11161" i="1"/>
  <c r="M10736" i="1"/>
  <c r="M9257" i="1"/>
  <c r="M11280" i="1"/>
  <c r="M11144" i="1"/>
  <c r="M9342" i="1"/>
  <c r="M9852" i="1"/>
  <c r="M11552" i="1"/>
  <c r="M11229" i="1"/>
  <c r="M11654" i="1"/>
  <c r="M11416" i="1"/>
  <c r="M11348" i="1"/>
  <c r="M10600" i="1"/>
  <c r="M9614" i="1"/>
  <c r="M11518" i="1"/>
  <c r="M11637" i="1"/>
  <c r="M11535" i="1"/>
  <c r="M11246" i="1"/>
  <c r="M11059" i="1"/>
  <c r="B10808" i="1"/>
  <c r="B10792" i="1"/>
  <c r="M11127" i="1"/>
  <c r="M9376" i="1"/>
  <c r="M9648" i="1"/>
  <c r="M11688" i="1"/>
  <c r="M10362" i="1"/>
  <c r="M9529" i="1"/>
  <c r="M10889" i="1"/>
  <c r="M9784" i="1"/>
  <c r="B9457" i="1"/>
  <c r="M11671" i="1"/>
  <c r="M11467" i="1"/>
  <c r="M11195" i="1"/>
  <c r="B10598" i="1"/>
  <c r="M10022" i="1"/>
  <c r="M9920" i="1"/>
  <c r="M9818" i="1"/>
  <c r="M9563" i="1"/>
  <c r="M9087" i="1"/>
  <c r="M10872" i="1"/>
  <c r="M10192" i="1"/>
  <c r="M10124" i="1"/>
  <c r="M9699" i="1"/>
  <c r="M9546" i="1"/>
  <c r="M11399" i="1"/>
  <c r="M11331" i="1"/>
  <c r="M11025" i="1"/>
  <c r="M10260" i="1"/>
  <c r="M9801" i="1"/>
  <c r="M10549" i="1"/>
  <c r="M9410" i="1"/>
  <c r="M10770" i="1"/>
  <c r="M10226" i="1"/>
  <c r="M9325" i="1"/>
  <c r="B10497" i="1"/>
  <c r="B10413" i="1"/>
  <c r="M10413" i="1" s="1"/>
  <c r="B10925" i="1"/>
  <c r="B10149" i="1"/>
  <c r="M8509" i="1"/>
  <c r="B9140" i="1"/>
  <c r="B10862" i="1"/>
  <c r="B10349" i="1"/>
  <c r="M11212" i="1"/>
  <c r="B9996" i="1"/>
  <c r="B9679" i="1"/>
  <c r="B9516" i="1"/>
  <c r="M11433" i="1"/>
  <c r="B9992" i="1"/>
  <c r="B10493" i="1"/>
  <c r="M10838" i="1"/>
  <c r="B10446" i="1"/>
  <c r="M11501" i="1"/>
  <c r="M11382" i="1"/>
  <c r="M10906" i="1"/>
  <c r="M9665" i="1"/>
  <c r="M9359" i="1"/>
  <c r="M8033" i="1"/>
  <c r="B10731" i="1"/>
  <c r="B10723" i="1"/>
  <c r="B9252" i="1"/>
  <c r="B9141" i="1"/>
  <c r="B9133" i="1"/>
  <c r="M10787" i="1"/>
  <c r="M10532" i="1"/>
  <c r="M10073" i="1"/>
  <c r="M9937" i="1"/>
  <c r="M9682" i="1"/>
  <c r="M9512" i="1"/>
  <c r="M8866" i="1"/>
  <c r="M8339" i="1"/>
  <c r="M8203" i="1"/>
  <c r="M10668" i="1"/>
  <c r="M10209" i="1"/>
  <c r="M10107" i="1"/>
  <c r="M9988" i="1"/>
  <c r="M9444" i="1"/>
  <c r="M7931" i="1"/>
  <c r="M11042" i="1"/>
  <c r="M10753" i="1"/>
  <c r="M10039" i="1"/>
  <c r="M9631" i="1"/>
  <c r="M9580" i="1"/>
  <c r="M9104" i="1"/>
  <c r="M8832" i="1"/>
  <c r="M10617" i="1"/>
  <c r="M10566" i="1"/>
  <c r="M10379" i="1"/>
  <c r="M10243" i="1"/>
  <c r="M10090" i="1"/>
  <c r="B10372" i="1"/>
  <c r="B9859" i="1"/>
  <c r="B9851" i="1"/>
  <c r="B9843" i="1"/>
  <c r="M6809" i="1"/>
  <c r="M9716" i="1"/>
  <c r="M11365" i="1"/>
  <c r="B8072" i="1"/>
  <c r="B9388" i="1"/>
  <c r="B9976" i="1"/>
  <c r="M9393" i="1"/>
  <c r="B9432" i="1"/>
  <c r="B9424" i="1"/>
  <c r="M9835" i="1"/>
  <c r="M9240" i="1"/>
  <c r="M9886" i="1"/>
  <c r="M9274" i="1"/>
  <c r="M8135" i="1"/>
  <c r="B9681" i="1"/>
  <c r="B9649" i="1"/>
  <c r="M9427" i="1"/>
  <c r="M8934" i="1"/>
  <c r="M9308" i="1"/>
  <c r="M8900" i="1"/>
  <c r="M8747" i="1"/>
  <c r="B8805" i="1"/>
  <c r="M7914" i="1"/>
  <c r="M8560" i="1"/>
  <c r="M8067" i="1"/>
  <c r="M9036" i="1"/>
  <c r="M8968" i="1"/>
  <c r="M8152" i="1"/>
  <c r="M8050" i="1"/>
  <c r="M8016" i="1"/>
  <c r="M8611" i="1"/>
  <c r="M8475" i="1"/>
  <c r="M14425" i="1"/>
  <c r="M14816" i="1"/>
  <c r="B29" i="35"/>
  <c r="B82" i="35"/>
  <c r="B29" i="28"/>
  <c r="B29" i="31"/>
  <c r="B29" i="33"/>
  <c r="B56" i="31"/>
  <c r="B82" i="28"/>
  <c r="B82" i="31"/>
  <c r="B82" i="33"/>
  <c r="B29" i="27"/>
  <c r="B56" i="27"/>
  <c r="B82" i="27"/>
  <c r="B108" i="27"/>
  <c r="M14935" i="1"/>
  <c r="M14918" i="1"/>
  <c r="B14932" i="1"/>
  <c r="M14884" i="1"/>
  <c r="M14901" i="1"/>
  <c r="M14867" i="1"/>
  <c r="M14850" i="1"/>
  <c r="M14833" i="1"/>
  <c r="M14799" i="1"/>
  <c r="M14782" i="1"/>
  <c r="M14765" i="1"/>
  <c r="M14748" i="1"/>
  <c r="M14731" i="1"/>
  <c r="M14714" i="1"/>
  <c r="M14697" i="1"/>
  <c r="M14680" i="1"/>
  <c r="M14663" i="1"/>
  <c r="M14646" i="1"/>
  <c r="M14629" i="1"/>
  <c r="M14612" i="1"/>
  <c r="M14595" i="1"/>
  <c r="M14578" i="1"/>
  <c r="M14561" i="1"/>
  <c r="M14544" i="1"/>
  <c r="M14527" i="1"/>
  <c r="M14510" i="1"/>
  <c r="M14493" i="1"/>
  <c r="M14476" i="1"/>
  <c r="M14459" i="1"/>
  <c r="M14442" i="1"/>
  <c r="M14289" i="1"/>
  <c r="M14136" i="1"/>
  <c r="M14017" i="1"/>
  <c r="M13915" i="1"/>
  <c r="M13745" i="1"/>
  <c r="M13677" i="1"/>
  <c r="M13439" i="1"/>
  <c r="M13252" i="1"/>
  <c r="M12929" i="1"/>
  <c r="M12844" i="1"/>
  <c r="M12538" i="1"/>
  <c r="M12436" i="1"/>
  <c r="M12419" i="1"/>
  <c r="M12334" i="1"/>
  <c r="M12317" i="1"/>
  <c r="M12300" i="1"/>
  <c r="M12215" i="1"/>
  <c r="M12113" i="1"/>
  <c r="M12045" i="1"/>
  <c r="M11977" i="1"/>
  <c r="M11926" i="1"/>
  <c r="M5126" i="1"/>
  <c r="B7738" i="1"/>
  <c r="B6267" i="1"/>
  <c r="B6280" i="1"/>
  <c r="B6275" i="1"/>
  <c r="M7880" i="1"/>
  <c r="M5398" i="1"/>
  <c r="B5583" i="1"/>
  <c r="B5641" i="1"/>
  <c r="B5665" i="1"/>
  <c r="B5727" i="1"/>
  <c r="B5937" i="1"/>
  <c r="B5985" i="1"/>
  <c r="B6079" i="1"/>
  <c r="B6092" i="1"/>
  <c r="B6191" i="1"/>
  <c r="B6220" i="1"/>
  <c r="B6223" i="1"/>
  <c r="B6272" i="1"/>
  <c r="B6276" i="1"/>
  <c r="B6279" i="1"/>
  <c r="B6479" i="1"/>
  <c r="B6679" i="1"/>
  <c r="B6686" i="1"/>
  <c r="B6836" i="1"/>
  <c r="B6897" i="1"/>
  <c r="B6932" i="1"/>
  <c r="B6956" i="1"/>
  <c r="B7281" i="1"/>
  <c r="B7433" i="1"/>
  <c r="B7798" i="1"/>
  <c r="B7820" i="1"/>
  <c r="B7838" i="1"/>
  <c r="B7852" i="1"/>
  <c r="B5737" i="1"/>
  <c r="B5969" i="1"/>
  <c r="B5999" i="1"/>
  <c r="B6046" i="1"/>
  <c r="B6086" i="1"/>
  <c r="B6116" i="1"/>
  <c r="B6119" i="1"/>
  <c r="B6140" i="1"/>
  <c r="B6188" i="1"/>
  <c r="B6303" i="1"/>
  <c r="B6447" i="1"/>
  <c r="B6644" i="1"/>
  <c r="B6676" i="1"/>
  <c r="B6743" i="1"/>
  <c r="B6761" i="1"/>
  <c r="B6908" i="1"/>
  <c r="B6953" i="1"/>
  <c r="B7025" i="1"/>
  <c r="B7078" i="1"/>
  <c r="B7377" i="1"/>
  <c r="B7481" i="1"/>
  <c r="M8492" i="1"/>
  <c r="M5245" i="1"/>
  <c r="M5279" i="1"/>
  <c r="M5194" i="1"/>
  <c r="M5160" i="1"/>
  <c r="M5228" i="1"/>
  <c r="M5177" i="1"/>
  <c r="M8424" i="1"/>
  <c r="M5262" i="1"/>
  <c r="M5211" i="1"/>
  <c r="M5143" i="1"/>
  <c r="M10498" i="1"/>
  <c r="M9189" i="1"/>
  <c r="M9121" i="1"/>
  <c r="M9954" i="1"/>
  <c r="M10294" i="1"/>
  <c r="M9223" i="1"/>
  <c r="M9155" i="1"/>
  <c r="M11586" i="1"/>
  <c r="M10328" i="1"/>
  <c r="M10158" i="1"/>
  <c r="M11705" i="1"/>
  <c r="M11756" i="1"/>
  <c r="M11620" i="1"/>
  <c r="M11569" i="1"/>
  <c r="M11450" i="1"/>
  <c r="M11314" i="1"/>
  <c r="M11297" i="1"/>
  <c r="M11263" i="1"/>
  <c r="M11110" i="1"/>
  <c r="M11093" i="1"/>
  <c r="M11008" i="1"/>
  <c r="M10991" i="1"/>
  <c r="M10957" i="1"/>
  <c r="M10940" i="1"/>
  <c r="M10855" i="1"/>
  <c r="M10821" i="1"/>
  <c r="M10804" i="1"/>
  <c r="M10719" i="1"/>
  <c r="M10702" i="1"/>
  <c r="M10685" i="1"/>
  <c r="M10634" i="1"/>
  <c r="M10447" i="1"/>
  <c r="M10430" i="1"/>
  <c r="M10345" i="1"/>
  <c r="M10311" i="1"/>
  <c r="B10257" i="1"/>
  <c r="M10175" i="1"/>
  <c r="M10056" i="1"/>
  <c r="M10005" i="1"/>
  <c r="M9971" i="1"/>
  <c r="M9903" i="1"/>
  <c r="M9869" i="1"/>
  <c r="M9767" i="1"/>
  <c r="M9733" i="1"/>
  <c r="M9597" i="1"/>
  <c r="M9495" i="1"/>
  <c r="M9478" i="1"/>
  <c r="M9461" i="1"/>
  <c r="M9291" i="1"/>
  <c r="M9206" i="1"/>
  <c r="M9172" i="1"/>
  <c r="M9138" i="1"/>
  <c r="M9070" i="1"/>
  <c r="M9053" i="1"/>
  <c r="M9019" i="1"/>
  <c r="M9002" i="1"/>
  <c r="B9001" i="1"/>
  <c r="M8985" i="1"/>
  <c r="M8951" i="1"/>
  <c r="M8917" i="1"/>
  <c r="M8883" i="1"/>
  <c r="M8849" i="1"/>
  <c r="M8815" i="1"/>
  <c r="M8798" i="1"/>
  <c r="M8781" i="1"/>
  <c r="M8764" i="1"/>
  <c r="M8730" i="1"/>
  <c r="M8696" i="1"/>
  <c r="M8713" i="1"/>
  <c r="M8679" i="1"/>
  <c r="M8662" i="1"/>
  <c r="M8645" i="1"/>
  <c r="M8628" i="1"/>
  <c r="M8577" i="1"/>
  <c r="M8594" i="1"/>
  <c r="M8543" i="1"/>
  <c r="M8526" i="1"/>
  <c r="M8458" i="1"/>
  <c r="M8441" i="1"/>
  <c r="M8407" i="1"/>
  <c r="M8390" i="1"/>
  <c r="M8356" i="1"/>
  <c r="M8373" i="1"/>
  <c r="M8322" i="1"/>
  <c r="M8288" i="1"/>
  <c r="M8305" i="1"/>
  <c r="M8271" i="1"/>
  <c r="M8254" i="1"/>
  <c r="M8237" i="1"/>
  <c r="M8220" i="1"/>
  <c r="M8186" i="1"/>
  <c r="M8169" i="1"/>
  <c r="M8118" i="1"/>
  <c r="M8101" i="1"/>
  <c r="M8084" i="1"/>
  <c r="M7999" i="1"/>
  <c r="B7996" i="1"/>
  <c r="M7982" i="1"/>
  <c r="M7965" i="1"/>
  <c r="M7948" i="1"/>
  <c r="M7897" i="1"/>
  <c r="B7868" i="1"/>
  <c r="M7863" i="1"/>
  <c r="B7836" i="1"/>
  <c r="M7846" i="1"/>
  <c r="B7822" i="1"/>
  <c r="B7814" i="1"/>
  <c r="M7829" i="1"/>
  <c r="B7804" i="1"/>
  <c r="B7796" i="1"/>
  <c r="B7812" i="1"/>
  <c r="M7812" i="1" s="1"/>
  <c r="M7795" i="1"/>
  <c r="B7788" i="1"/>
  <c r="B7780" i="1"/>
  <c r="B7772" i="1"/>
  <c r="M7778" i="1"/>
  <c r="B7766" i="1"/>
  <c r="B7764" i="1"/>
  <c r="B7756" i="1"/>
  <c r="M7761" i="1"/>
  <c r="B7758" i="1"/>
  <c r="M7744" i="1"/>
  <c r="M7727" i="1"/>
  <c r="M7710" i="1"/>
  <c r="M7693" i="1"/>
  <c r="M7676" i="1"/>
  <c r="M7659" i="1"/>
  <c r="M7642" i="1"/>
  <c r="M7625" i="1"/>
  <c r="M7608" i="1"/>
  <c r="M7591" i="1"/>
  <c r="M7574" i="1"/>
  <c r="M7557" i="1"/>
  <c r="M7540" i="1"/>
  <c r="M7523" i="1"/>
  <c r="B7497" i="1"/>
  <c r="M7506" i="1"/>
  <c r="M7489" i="1"/>
  <c r="M7472" i="1"/>
  <c r="M7455" i="1"/>
  <c r="B7441" i="1"/>
  <c r="M7438" i="1"/>
  <c r="M7421" i="1"/>
  <c r="M7404" i="1"/>
  <c r="M7387" i="1"/>
  <c r="M7370" i="1"/>
  <c r="B7337" i="1"/>
  <c r="B7353" i="1"/>
  <c r="M7353" i="1" s="1"/>
  <c r="B7329" i="1"/>
  <c r="M7336" i="1"/>
  <c r="M7319" i="1"/>
  <c r="M7302" i="1"/>
  <c r="M7285" i="1"/>
  <c r="M7268" i="1"/>
  <c r="B7241" i="1"/>
  <c r="M7251" i="1"/>
  <c r="M7234" i="1"/>
  <c r="B7201" i="1"/>
  <c r="B7217" i="1"/>
  <c r="M7217" i="1" s="1"/>
  <c r="M7200" i="1"/>
  <c r="B7169" i="1"/>
  <c r="M7183" i="1"/>
  <c r="M7166" i="1"/>
  <c r="M7149" i="1"/>
  <c r="B7121" i="1"/>
  <c r="M7132" i="1"/>
  <c r="M7115" i="1"/>
  <c r="B7094" i="1"/>
  <c r="B7097" i="1"/>
  <c r="B7092" i="1"/>
  <c r="M7098" i="1"/>
  <c r="M7064" i="1"/>
  <c r="M7081" i="1"/>
  <c r="M7047" i="1"/>
  <c r="B7017" i="1"/>
  <c r="B7030" i="1"/>
  <c r="M7030" i="1" s="1"/>
  <c r="B7028" i="1"/>
  <c r="B7012" i="1"/>
  <c r="M7013" i="1"/>
  <c r="B6985" i="1"/>
  <c r="B6996" i="1"/>
  <c r="M6996" i="1" s="1"/>
  <c r="M6979" i="1"/>
  <c r="M6962" i="1"/>
  <c r="B6940" i="1"/>
  <c r="B6945" i="1"/>
  <c r="M6945" i="1" s="1"/>
  <c r="M6928" i="1"/>
  <c r="B6913" i="1"/>
  <c r="M6911" i="1"/>
  <c r="M6894" i="1"/>
  <c r="B6865" i="1"/>
  <c r="M6877" i="1"/>
  <c r="B6852" i="1"/>
  <c r="M6860" i="1"/>
  <c r="M6843" i="1"/>
  <c r="M6826" i="1"/>
  <c r="B6785" i="1"/>
  <c r="M6792" i="1"/>
  <c r="M6775" i="1"/>
  <c r="B6742" i="1"/>
  <c r="M6758" i="1"/>
  <c r="M6741" i="1"/>
  <c r="B6740" i="1"/>
  <c r="B6719" i="1"/>
  <c r="M6724" i="1"/>
  <c r="M6707" i="1"/>
  <c r="B6678" i="1"/>
  <c r="M6690" i="1"/>
  <c r="M6673" i="1"/>
  <c r="M6656" i="1"/>
  <c r="B6646" i="1"/>
  <c r="M6639" i="1"/>
  <c r="M6622" i="1"/>
  <c r="M6605" i="1"/>
  <c r="M6588" i="1"/>
  <c r="M6571" i="1"/>
  <c r="M6554" i="1"/>
  <c r="M6537" i="1"/>
  <c r="B6535" i="1"/>
  <c r="M6520" i="1"/>
  <c r="B6503" i="1"/>
  <c r="M6503" i="1" s="1"/>
  <c r="M6486" i="1"/>
  <c r="M6469" i="1"/>
  <c r="M6452" i="1"/>
  <c r="M6435" i="1"/>
  <c r="B6423" i="1"/>
  <c r="M6418" i="1"/>
  <c r="B6407" i="1"/>
  <c r="B6391" i="1"/>
  <c r="M6401" i="1"/>
  <c r="M6384" i="1"/>
  <c r="B6375" i="1"/>
  <c r="B6359" i="1"/>
  <c r="M6367" i="1"/>
  <c r="B6343" i="1"/>
  <c r="M6350" i="1"/>
  <c r="B6327" i="1"/>
  <c r="M6333" i="1"/>
  <c r="B6311" i="1"/>
  <c r="M6316" i="1"/>
  <c r="M6299" i="1"/>
  <c r="M6282" i="1"/>
  <c r="M6265" i="1"/>
  <c r="B6260" i="1"/>
  <c r="B6263" i="1"/>
  <c r="M6248" i="1"/>
  <c r="M6231" i="1"/>
  <c r="B6228" i="1"/>
  <c r="B6199" i="1"/>
  <c r="B6212" i="1"/>
  <c r="M6214" i="1"/>
  <c r="B6207" i="1"/>
  <c r="M6180" i="1"/>
  <c r="M6197" i="1"/>
  <c r="M6163" i="1"/>
  <c r="M6146" i="1"/>
  <c r="M6129" i="1"/>
  <c r="B6126" i="1"/>
  <c r="M6095" i="1"/>
  <c r="M6112" i="1"/>
  <c r="B6062" i="1"/>
  <c r="B6078" i="1"/>
  <c r="M6078" i="1" s="1"/>
  <c r="B6076" i="1"/>
  <c r="B6070" i="1"/>
  <c r="M6061" i="1"/>
  <c r="B6055" i="1"/>
  <c r="B6028" i="1"/>
  <c r="B6044" i="1"/>
  <c r="M6044" i="1" s="1"/>
  <c r="B6015" i="1"/>
  <c r="B6023" i="1"/>
  <c r="M6027" i="1"/>
  <c r="M6010" i="1"/>
  <c r="M5993" i="1"/>
  <c r="M5976" i="1"/>
  <c r="B5953" i="1"/>
  <c r="M5959" i="1"/>
  <c r="M5942" i="1"/>
  <c r="M5925" i="1"/>
  <c r="B5905" i="1"/>
  <c r="M5908" i="1"/>
  <c r="M5891" i="1"/>
  <c r="M5874" i="1"/>
  <c r="M5857" i="1"/>
  <c r="B5855" i="1"/>
  <c r="B5833" i="1"/>
  <c r="M5823" i="1"/>
  <c r="M5840" i="1"/>
  <c r="B5839" i="1"/>
  <c r="M5806" i="1"/>
  <c r="M5789" i="1"/>
  <c r="B5759" i="1"/>
  <c r="M5772" i="1"/>
  <c r="M5755" i="1"/>
  <c r="B5753" i="1"/>
  <c r="M5738" i="1"/>
  <c r="B5721" i="1"/>
  <c r="M5721" i="1" s="1"/>
  <c r="B5697" i="1"/>
  <c r="M5704" i="1"/>
  <c r="M5687" i="1"/>
  <c r="B5681" i="1"/>
  <c r="M5670" i="1"/>
  <c r="M5653" i="1"/>
  <c r="B5649" i="1"/>
  <c r="M5636" i="1"/>
  <c r="B5607" i="1"/>
  <c r="M5619" i="1"/>
  <c r="M5602" i="1"/>
  <c r="B5585" i="1"/>
  <c r="M5585" i="1" s="1"/>
  <c r="B5577" i="1"/>
  <c r="M5568" i="1"/>
  <c r="M5551" i="1"/>
  <c r="M5517" i="1"/>
  <c r="M5534" i="1"/>
  <c r="M5500" i="1"/>
  <c r="M5483" i="1"/>
  <c r="M5466" i="1"/>
  <c r="M5449" i="1"/>
  <c r="M5432" i="1"/>
  <c r="M5415" i="1"/>
  <c r="M5381" i="1"/>
  <c r="M5364" i="1"/>
  <c r="M5347" i="1"/>
  <c r="M5330" i="1"/>
  <c r="M5313" i="1"/>
  <c r="M5296" i="1"/>
  <c r="B108" i="12"/>
  <c r="B82" i="12"/>
  <c r="B56" i="12"/>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344" i="1"/>
  <c r="E4345" i="1"/>
  <c r="F4345" i="1"/>
  <c r="B4345" i="1" s="1"/>
  <c r="E4344" i="1"/>
  <c r="F4344" i="1"/>
  <c r="B4344" i="1" s="1"/>
  <c r="B29" i="12"/>
  <c r="D4209" i="1"/>
  <c r="E4209" i="1"/>
  <c r="F4209" i="1"/>
  <c r="B4209" i="1" s="1"/>
  <c r="D4210" i="1"/>
  <c r="E4210" i="1"/>
  <c r="F4210" i="1"/>
  <c r="B4210" i="1" s="1"/>
  <c r="D4211" i="1"/>
  <c r="E4211" i="1"/>
  <c r="F4211" i="1"/>
  <c r="B4211" i="1" s="1"/>
  <c r="D4212" i="1"/>
  <c r="E4212" i="1"/>
  <c r="F4212" i="1"/>
  <c r="B4212" i="1" s="1"/>
  <c r="D4213" i="1"/>
  <c r="E4213" i="1"/>
  <c r="F4213" i="1"/>
  <c r="B4213" i="1" s="1"/>
  <c r="D4214" i="1"/>
  <c r="E4214" i="1"/>
  <c r="F4214" i="1"/>
  <c r="B4214" i="1" s="1"/>
  <c r="D4215" i="1"/>
  <c r="E4215" i="1"/>
  <c r="F4215" i="1"/>
  <c r="B4215" i="1" s="1"/>
  <c r="D4216" i="1"/>
  <c r="E4216" i="1"/>
  <c r="F4216" i="1"/>
  <c r="B4216" i="1" s="1"/>
  <c r="D4217" i="1"/>
  <c r="E4217" i="1"/>
  <c r="F4217" i="1"/>
  <c r="B4217" i="1" s="1"/>
  <c r="D4218" i="1"/>
  <c r="E4218" i="1"/>
  <c r="F4218" i="1"/>
  <c r="B4218" i="1" s="1"/>
  <c r="D4219" i="1"/>
  <c r="E4219" i="1"/>
  <c r="F4219" i="1"/>
  <c r="B4219" i="1" s="1"/>
  <c r="D4220" i="1"/>
  <c r="E4220" i="1"/>
  <c r="F4220" i="1"/>
  <c r="B4220" i="1" s="1"/>
  <c r="D4221" i="1"/>
  <c r="E4221" i="1"/>
  <c r="F4221" i="1"/>
  <c r="B4221" i="1" s="1"/>
  <c r="D4222" i="1"/>
  <c r="E4222" i="1"/>
  <c r="F4222" i="1"/>
  <c r="B4222" i="1" s="1"/>
  <c r="D4223" i="1"/>
  <c r="E4223" i="1"/>
  <c r="F4223" i="1"/>
  <c r="B4223" i="1" s="1"/>
  <c r="D4224" i="1"/>
  <c r="E4224" i="1"/>
  <c r="F4224" i="1"/>
  <c r="B4224" i="1" s="1"/>
  <c r="D4225" i="1"/>
  <c r="E4225" i="1"/>
  <c r="F4225" i="1"/>
  <c r="B4225" i="1" s="1"/>
  <c r="D4226" i="1"/>
  <c r="E4226" i="1"/>
  <c r="F4226" i="1"/>
  <c r="B4226" i="1" s="1"/>
  <c r="D4227" i="1"/>
  <c r="E4227" i="1"/>
  <c r="F4227" i="1"/>
  <c r="B4227" i="1" s="1"/>
  <c r="D4228" i="1"/>
  <c r="E4228" i="1"/>
  <c r="F4228" i="1"/>
  <c r="B4228" i="1" s="1"/>
  <c r="D4229" i="1"/>
  <c r="E4229" i="1"/>
  <c r="F4229" i="1"/>
  <c r="B4229" i="1" s="1"/>
  <c r="D4230" i="1"/>
  <c r="E4230" i="1"/>
  <c r="F4230" i="1"/>
  <c r="B4230" i="1" s="1"/>
  <c r="D4231" i="1"/>
  <c r="E4231" i="1"/>
  <c r="F4231" i="1"/>
  <c r="D4232" i="1"/>
  <c r="E4232" i="1"/>
  <c r="F4232" i="1"/>
  <c r="B4232" i="1" s="1"/>
  <c r="D4233" i="1"/>
  <c r="E4233" i="1"/>
  <c r="F4233" i="1"/>
  <c r="B4233" i="1" s="1"/>
  <c r="D4234" i="1"/>
  <c r="E4234" i="1"/>
  <c r="F4234" i="1"/>
  <c r="B4234" i="1" s="1"/>
  <c r="D4235" i="1"/>
  <c r="E4235" i="1"/>
  <c r="F4235" i="1"/>
  <c r="B4235" i="1" s="1"/>
  <c r="D4236" i="1"/>
  <c r="E4236" i="1"/>
  <c r="F4236" i="1"/>
  <c r="B4236" i="1" s="1"/>
  <c r="D4237" i="1"/>
  <c r="E4237" i="1"/>
  <c r="F4237" i="1"/>
  <c r="B4237" i="1" s="1"/>
  <c r="D4238" i="1"/>
  <c r="E4238" i="1"/>
  <c r="F4238" i="1"/>
  <c r="B4238" i="1" s="1"/>
  <c r="D4239" i="1"/>
  <c r="E4239" i="1"/>
  <c r="F4239" i="1"/>
  <c r="B4239" i="1" s="1"/>
  <c r="D4240" i="1"/>
  <c r="E4240" i="1"/>
  <c r="F4240" i="1"/>
  <c r="B4240" i="1" s="1"/>
  <c r="D4241" i="1"/>
  <c r="E4241" i="1"/>
  <c r="F4241" i="1"/>
  <c r="B4241" i="1" s="1"/>
  <c r="D4242" i="1"/>
  <c r="E4242" i="1"/>
  <c r="F4242" i="1"/>
  <c r="B4242" i="1" s="1"/>
  <c r="D4243" i="1"/>
  <c r="E4243" i="1"/>
  <c r="F4243" i="1"/>
  <c r="B4243" i="1" s="1"/>
  <c r="D4244" i="1"/>
  <c r="E4244" i="1"/>
  <c r="F4244" i="1"/>
  <c r="B4244" i="1" s="1"/>
  <c r="D4245" i="1"/>
  <c r="E4245" i="1"/>
  <c r="F4245" i="1"/>
  <c r="B4245" i="1" s="1"/>
  <c r="D4246" i="1"/>
  <c r="E4246" i="1"/>
  <c r="F4246" i="1"/>
  <c r="B4246" i="1" s="1"/>
  <c r="D4247" i="1"/>
  <c r="E4247" i="1"/>
  <c r="F4247" i="1"/>
  <c r="D4248" i="1"/>
  <c r="E4248" i="1"/>
  <c r="F4248" i="1"/>
  <c r="B4248" i="1" s="1"/>
  <c r="D4249" i="1"/>
  <c r="E4249" i="1"/>
  <c r="F4249" i="1"/>
  <c r="B4249" i="1" s="1"/>
  <c r="D4250" i="1"/>
  <c r="E4250" i="1"/>
  <c r="F4250" i="1"/>
  <c r="B4250" i="1" s="1"/>
  <c r="D4251" i="1"/>
  <c r="E4251" i="1"/>
  <c r="F4251" i="1"/>
  <c r="B4251" i="1" s="1"/>
  <c r="D4252" i="1"/>
  <c r="E4252" i="1"/>
  <c r="F4252" i="1"/>
  <c r="B4252" i="1" s="1"/>
  <c r="D4253" i="1"/>
  <c r="E4253" i="1"/>
  <c r="F4253" i="1"/>
  <c r="B4253" i="1" s="1"/>
  <c r="D4254" i="1"/>
  <c r="E4254" i="1"/>
  <c r="F4254" i="1"/>
  <c r="B4254" i="1" s="1"/>
  <c r="D4255" i="1"/>
  <c r="E4255" i="1"/>
  <c r="F4255" i="1"/>
  <c r="B4255" i="1" s="1"/>
  <c r="D4256" i="1"/>
  <c r="E4256" i="1"/>
  <c r="F4256" i="1"/>
  <c r="B4256" i="1" s="1"/>
  <c r="D4257" i="1"/>
  <c r="E4257" i="1"/>
  <c r="F4257" i="1"/>
  <c r="B4257" i="1" s="1"/>
  <c r="D4258" i="1"/>
  <c r="E4258" i="1"/>
  <c r="F4258" i="1"/>
  <c r="B4258" i="1" s="1"/>
  <c r="D4259" i="1"/>
  <c r="E4259" i="1"/>
  <c r="F4259" i="1"/>
  <c r="B4259" i="1" s="1"/>
  <c r="D4260" i="1"/>
  <c r="E4260" i="1"/>
  <c r="F4260" i="1"/>
  <c r="B4260" i="1" s="1"/>
  <c r="D4261" i="1"/>
  <c r="E4261" i="1"/>
  <c r="F4261" i="1"/>
  <c r="B4261" i="1" s="1"/>
  <c r="D4262" i="1"/>
  <c r="E4262" i="1"/>
  <c r="F4262" i="1"/>
  <c r="B4262" i="1" s="1"/>
  <c r="D4263" i="1"/>
  <c r="E4263" i="1"/>
  <c r="F4263" i="1"/>
  <c r="B4263" i="1" s="1"/>
  <c r="D4264" i="1"/>
  <c r="E4264" i="1"/>
  <c r="F4264" i="1"/>
  <c r="B4264" i="1" s="1"/>
  <c r="D4265" i="1"/>
  <c r="E4265" i="1"/>
  <c r="F4265" i="1"/>
  <c r="B4265" i="1" s="1"/>
  <c r="D4266" i="1"/>
  <c r="E4266" i="1"/>
  <c r="F4266" i="1"/>
  <c r="B4266" i="1" s="1"/>
  <c r="D4267" i="1"/>
  <c r="E4267" i="1"/>
  <c r="F4267" i="1"/>
  <c r="B4267" i="1" s="1"/>
  <c r="D4268" i="1"/>
  <c r="E4268" i="1"/>
  <c r="F4268" i="1"/>
  <c r="B4268" i="1" s="1"/>
  <c r="D4269" i="1"/>
  <c r="E4269" i="1"/>
  <c r="F4269" i="1"/>
  <c r="B4269" i="1" s="1"/>
  <c r="D4270" i="1"/>
  <c r="E4270" i="1"/>
  <c r="F4270" i="1"/>
  <c r="B4270" i="1" s="1"/>
  <c r="D4271" i="1"/>
  <c r="E4271" i="1"/>
  <c r="F4271" i="1"/>
  <c r="B4271" i="1" s="1"/>
  <c r="D4272" i="1"/>
  <c r="E4272" i="1"/>
  <c r="F4272" i="1"/>
  <c r="B4272" i="1" s="1"/>
  <c r="D4273" i="1"/>
  <c r="E4273" i="1"/>
  <c r="F4273" i="1"/>
  <c r="B4273" i="1" s="1"/>
  <c r="D4274" i="1"/>
  <c r="E4274" i="1"/>
  <c r="F4274" i="1"/>
  <c r="B4274" i="1" s="1"/>
  <c r="D4275" i="1"/>
  <c r="E4275" i="1"/>
  <c r="F4275" i="1"/>
  <c r="B4275" i="1" s="1"/>
  <c r="D4276" i="1"/>
  <c r="E4276" i="1"/>
  <c r="F4276" i="1"/>
  <c r="B4276" i="1" s="1"/>
  <c r="D4277" i="1"/>
  <c r="E4277" i="1"/>
  <c r="F4277" i="1"/>
  <c r="D4278" i="1"/>
  <c r="E4278" i="1"/>
  <c r="F4278" i="1"/>
  <c r="B4278" i="1" s="1"/>
  <c r="D4279" i="1"/>
  <c r="E4279" i="1"/>
  <c r="F4279" i="1"/>
  <c r="B4279" i="1" s="1"/>
  <c r="D4280" i="1"/>
  <c r="E4280" i="1"/>
  <c r="F4280" i="1"/>
  <c r="B4280" i="1" s="1"/>
  <c r="D4281" i="1"/>
  <c r="E4281" i="1"/>
  <c r="F4281" i="1"/>
  <c r="B4281" i="1" s="1"/>
  <c r="D4282" i="1"/>
  <c r="E4282" i="1"/>
  <c r="F4282" i="1"/>
  <c r="B4282" i="1" s="1"/>
  <c r="D4283" i="1"/>
  <c r="E4283" i="1"/>
  <c r="F4283" i="1"/>
  <c r="B4283" i="1" s="1"/>
  <c r="D4284" i="1"/>
  <c r="E4284" i="1"/>
  <c r="F4284" i="1"/>
  <c r="B4284" i="1" s="1"/>
  <c r="D4285" i="1"/>
  <c r="E4285" i="1"/>
  <c r="F4285" i="1"/>
  <c r="B4285" i="1" s="1"/>
  <c r="D4286" i="1"/>
  <c r="E4286" i="1"/>
  <c r="F4286" i="1"/>
  <c r="B4286" i="1" s="1"/>
  <c r="D4287" i="1"/>
  <c r="E4287" i="1"/>
  <c r="F4287" i="1"/>
  <c r="B4287" i="1" s="1"/>
  <c r="D4288" i="1"/>
  <c r="E4288" i="1"/>
  <c r="F4288" i="1"/>
  <c r="B4288" i="1" s="1"/>
  <c r="D4289" i="1"/>
  <c r="E4289" i="1"/>
  <c r="F4289" i="1"/>
  <c r="B4289" i="1" s="1"/>
  <c r="D4290" i="1"/>
  <c r="E4290" i="1"/>
  <c r="F4290" i="1"/>
  <c r="B4290" i="1" s="1"/>
  <c r="D4291" i="1"/>
  <c r="E4291" i="1"/>
  <c r="F4291" i="1"/>
  <c r="B4291" i="1" s="1"/>
  <c r="D4292" i="1"/>
  <c r="E4292" i="1"/>
  <c r="F4292" i="1"/>
  <c r="B4292" i="1" s="1"/>
  <c r="D4293" i="1"/>
  <c r="E4293" i="1"/>
  <c r="F4293" i="1"/>
  <c r="D4294" i="1"/>
  <c r="E4294" i="1"/>
  <c r="F4294" i="1"/>
  <c r="B4294" i="1" s="1"/>
  <c r="D4295" i="1"/>
  <c r="E4295" i="1"/>
  <c r="F4295" i="1"/>
  <c r="D4296" i="1"/>
  <c r="E4296" i="1"/>
  <c r="F4296" i="1"/>
  <c r="B4296" i="1" s="1"/>
  <c r="D4297" i="1"/>
  <c r="E4297" i="1"/>
  <c r="F4297" i="1"/>
  <c r="B4297" i="1" s="1"/>
  <c r="D4298" i="1"/>
  <c r="E4298" i="1"/>
  <c r="F4298" i="1"/>
  <c r="B4298" i="1" s="1"/>
  <c r="D4299" i="1"/>
  <c r="E4299" i="1"/>
  <c r="F4299" i="1"/>
  <c r="B4299" i="1" s="1"/>
  <c r="D4300" i="1"/>
  <c r="E4300" i="1"/>
  <c r="F4300" i="1"/>
  <c r="B4300" i="1" s="1"/>
  <c r="D4301" i="1"/>
  <c r="E4301" i="1"/>
  <c r="F4301" i="1"/>
  <c r="B4301" i="1" s="1"/>
  <c r="D4302" i="1"/>
  <c r="E4302" i="1"/>
  <c r="F4302" i="1"/>
  <c r="B4302" i="1" s="1"/>
  <c r="D4303" i="1"/>
  <c r="E4303" i="1"/>
  <c r="F4303" i="1"/>
  <c r="B4303" i="1" s="1"/>
  <c r="D4304" i="1"/>
  <c r="E4304" i="1"/>
  <c r="F4304" i="1"/>
  <c r="B4304" i="1" s="1"/>
  <c r="D4305" i="1"/>
  <c r="E4305" i="1"/>
  <c r="F4305" i="1"/>
  <c r="B4305" i="1" s="1"/>
  <c r="D4306" i="1"/>
  <c r="E4306" i="1"/>
  <c r="F4306" i="1"/>
  <c r="B4306" i="1" s="1"/>
  <c r="D4307" i="1"/>
  <c r="E4307" i="1"/>
  <c r="F4307" i="1"/>
  <c r="B4307" i="1" s="1"/>
  <c r="D4308" i="1"/>
  <c r="E4308" i="1"/>
  <c r="F4308" i="1"/>
  <c r="B4308" i="1" s="1"/>
  <c r="D4309" i="1"/>
  <c r="E4309" i="1"/>
  <c r="F4309" i="1"/>
  <c r="B4309" i="1" s="1"/>
  <c r="D4310" i="1"/>
  <c r="E4310" i="1"/>
  <c r="F4310" i="1"/>
  <c r="B4310" i="1" s="1"/>
  <c r="D4311" i="1"/>
  <c r="E4311" i="1"/>
  <c r="F4311" i="1"/>
  <c r="D4312" i="1"/>
  <c r="E4312" i="1"/>
  <c r="F4312" i="1"/>
  <c r="B4312" i="1" s="1"/>
  <c r="D4313" i="1"/>
  <c r="E4313" i="1"/>
  <c r="F4313" i="1"/>
  <c r="B4313" i="1" s="1"/>
  <c r="D4314" i="1"/>
  <c r="E4314" i="1"/>
  <c r="F4314" i="1"/>
  <c r="B4314" i="1" s="1"/>
  <c r="D4315" i="1"/>
  <c r="E4315" i="1"/>
  <c r="F4315" i="1"/>
  <c r="B4315" i="1" s="1"/>
  <c r="D4316" i="1"/>
  <c r="E4316" i="1"/>
  <c r="F4316" i="1"/>
  <c r="B4316" i="1" s="1"/>
  <c r="D4317" i="1"/>
  <c r="E4317" i="1"/>
  <c r="F4317" i="1"/>
  <c r="B4317" i="1" s="1"/>
  <c r="D4318" i="1"/>
  <c r="E4318" i="1"/>
  <c r="F4318" i="1"/>
  <c r="B4318" i="1" s="1"/>
  <c r="D4319" i="1"/>
  <c r="E4319" i="1"/>
  <c r="F4319" i="1"/>
  <c r="B4319" i="1" s="1"/>
  <c r="D4320" i="1"/>
  <c r="E4320" i="1"/>
  <c r="F4320" i="1"/>
  <c r="B4320" i="1" s="1"/>
  <c r="D4321" i="1"/>
  <c r="E4321" i="1"/>
  <c r="F4321" i="1"/>
  <c r="B4321" i="1" s="1"/>
  <c r="D4322" i="1"/>
  <c r="E4322" i="1"/>
  <c r="F4322" i="1"/>
  <c r="B4322" i="1" s="1"/>
  <c r="D4323" i="1"/>
  <c r="E4323" i="1"/>
  <c r="F4323" i="1"/>
  <c r="B4323" i="1" s="1"/>
  <c r="D4324" i="1"/>
  <c r="E4324" i="1"/>
  <c r="F4324" i="1"/>
  <c r="B4324" i="1" s="1"/>
  <c r="D4325" i="1"/>
  <c r="E4325" i="1"/>
  <c r="F4325" i="1"/>
  <c r="B4325" i="1" s="1"/>
  <c r="D4326" i="1"/>
  <c r="E4326" i="1"/>
  <c r="F4326" i="1"/>
  <c r="B4326" i="1" s="1"/>
  <c r="D4327" i="1"/>
  <c r="E4327" i="1"/>
  <c r="F4327" i="1"/>
  <c r="B4327" i="1" s="1"/>
  <c r="D4328" i="1"/>
  <c r="E4328" i="1"/>
  <c r="F4328" i="1"/>
  <c r="B4328" i="1" s="1"/>
  <c r="D4329" i="1"/>
  <c r="E4329" i="1"/>
  <c r="F4329" i="1"/>
  <c r="B4329" i="1" s="1"/>
  <c r="D4330" i="1"/>
  <c r="E4330" i="1"/>
  <c r="F4330" i="1"/>
  <c r="B4330" i="1" s="1"/>
  <c r="D4331" i="1"/>
  <c r="E4331" i="1"/>
  <c r="F4331" i="1"/>
  <c r="B4331" i="1" s="1"/>
  <c r="D4332" i="1"/>
  <c r="E4332" i="1"/>
  <c r="F4332" i="1"/>
  <c r="B4332" i="1" s="1"/>
  <c r="D4333" i="1"/>
  <c r="E4333" i="1"/>
  <c r="F4333" i="1"/>
  <c r="B4333" i="1" s="1"/>
  <c r="D4334" i="1"/>
  <c r="E4334" i="1"/>
  <c r="F4334" i="1"/>
  <c r="B4334" i="1" s="1"/>
  <c r="D4335" i="1"/>
  <c r="E4335" i="1"/>
  <c r="F4335" i="1"/>
  <c r="B4335" i="1" s="1"/>
  <c r="D4336" i="1"/>
  <c r="E4336" i="1"/>
  <c r="F4336" i="1"/>
  <c r="B4336" i="1" s="1"/>
  <c r="D4337" i="1"/>
  <c r="E4337" i="1"/>
  <c r="F4337" i="1"/>
  <c r="B4337" i="1" s="1"/>
  <c r="D4338" i="1"/>
  <c r="E4338" i="1"/>
  <c r="F4338" i="1"/>
  <c r="B4338" i="1" s="1"/>
  <c r="D4339" i="1"/>
  <c r="E4339" i="1"/>
  <c r="F4339" i="1"/>
  <c r="B4339" i="1" s="1"/>
  <c r="D4340" i="1"/>
  <c r="E4340" i="1"/>
  <c r="F4340" i="1"/>
  <c r="B4340" i="1" s="1"/>
  <c r="D4341" i="1"/>
  <c r="E4341" i="1"/>
  <c r="F4341" i="1"/>
  <c r="D4342" i="1"/>
  <c r="E4342" i="1"/>
  <c r="F4342" i="1"/>
  <c r="B4342" i="1" s="1"/>
  <c r="D4343" i="1"/>
  <c r="E4343" i="1"/>
  <c r="F4343" i="1"/>
  <c r="B4343" i="1" s="1"/>
  <c r="E4346" i="1"/>
  <c r="F4346" i="1"/>
  <c r="B4346" i="1" s="1"/>
  <c r="E4347" i="1"/>
  <c r="F4347" i="1"/>
  <c r="B4347" i="1" s="1"/>
  <c r="E4348" i="1"/>
  <c r="F4348" i="1"/>
  <c r="B4348" i="1" s="1"/>
  <c r="E4349" i="1"/>
  <c r="F4349" i="1"/>
  <c r="B4349" i="1" s="1"/>
  <c r="E4350" i="1"/>
  <c r="F4350" i="1"/>
  <c r="B4350" i="1" s="1"/>
  <c r="E4351" i="1"/>
  <c r="F4351" i="1"/>
  <c r="B4351" i="1" s="1"/>
  <c r="E4352" i="1"/>
  <c r="F4352" i="1"/>
  <c r="B4352" i="1" s="1"/>
  <c r="E4353" i="1"/>
  <c r="F4353" i="1"/>
  <c r="B4353" i="1" s="1"/>
  <c r="E4354" i="1"/>
  <c r="F4354" i="1"/>
  <c r="B4354" i="1" s="1"/>
  <c r="E4355" i="1"/>
  <c r="F4355" i="1"/>
  <c r="B4355" i="1" s="1"/>
  <c r="E4356" i="1"/>
  <c r="F4356" i="1"/>
  <c r="B4356" i="1" s="1"/>
  <c r="E4357" i="1"/>
  <c r="F4357" i="1"/>
  <c r="E4358" i="1"/>
  <c r="F4358" i="1"/>
  <c r="B4358" i="1" s="1"/>
  <c r="E4359" i="1"/>
  <c r="F4359" i="1"/>
  <c r="B4359" i="1" s="1"/>
  <c r="E4360" i="1"/>
  <c r="F4360" i="1"/>
  <c r="B4360" i="1" s="1"/>
  <c r="E4361" i="1"/>
  <c r="F4361" i="1"/>
  <c r="B4361" i="1" s="1"/>
  <c r="E4362" i="1"/>
  <c r="F4362" i="1"/>
  <c r="B4362" i="1" s="1"/>
  <c r="E4363" i="1"/>
  <c r="F4363" i="1"/>
  <c r="B4363" i="1" s="1"/>
  <c r="E4364" i="1"/>
  <c r="F4364" i="1"/>
  <c r="B4364" i="1" s="1"/>
  <c r="E4365" i="1"/>
  <c r="F4365" i="1"/>
  <c r="B4365" i="1" s="1"/>
  <c r="E4366" i="1"/>
  <c r="F4366" i="1"/>
  <c r="B4366" i="1" s="1"/>
  <c r="E4367" i="1"/>
  <c r="F4367" i="1"/>
  <c r="B4367" i="1" s="1"/>
  <c r="E4368" i="1"/>
  <c r="F4368" i="1"/>
  <c r="B4368" i="1" s="1"/>
  <c r="E4369" i="1"/>
  <c r="F4369" i="1"/>
  <c r="B4369" i="1" s="1"/>
  <c r="E4370" i="1"/>
  <c r="F4370" i="1"/>
  <c r="B4370" i="1" s="1"/>
  <c r="E4371" i="1"/>
  <c r="F4371" i="1"/>
  <c r="B4371" i="1" s="1"/>
  <c r="E4372" i="1"/>
  <c r="F4372" i="1"/>
  <c r="B4372" i="1" s="1"/>
  <c r="E4373" i="1"/>
  <c r="F4373" i="1"/>
  <c r="B4373" i="1" s="1"/>
  <c r="E4374" i="1"/>
  <c r="F4374" i="1"/>
  <c r="B4374" i="1" s="1"/>
  <c r="E4375" i="1"/>
  <c r="F4375" i="1"/>
  <c r="B4375" i="1" s="1"/>
  <c r="E4376" i="1"/>
  <c r="F4376" i="1"/>
  <c r="B4376" i="1" s="1"/>
  <c r="E4377" i="1"/>
  <c r="F4377" i="1"/>
  <c r="B4377" i="1" s="1"/>
  <c r="E4378" i="1"/>
  <c r="F4378" i="1"/>
  <c r="B4378" i="1" s="1"/>
  <c r="E4379" i="1"/>
  <c r="F4379" i="1"/>
  <c r="B4379" i="1" s="1"/>
  <c r="E4380" i="1"/>
  <c r="F4380" i="1"/>
  <c r="B4380" i="1" s="1"/>
  <c r="E4381" i="1"/>
  <c r="F4381" i="1"/>
  <c r="B4381" i="1" s="1"/>
  <c r="E4382" i="1"/>
  <c r="F4382" i="1"/>
  <c r="B4382" i="1" s="1"/>
  <c r="E4383" i="1"/>
  <c r="F4383" i="1"/>
  <c r="B4383" i="1" s="1"/>
  <c r="E4384" i="1"/>
  <c r="F4384" i="1"/>
  <c r="B4384" i="1" s="1"/>
  <c r="E4385" i="1"/>
  <c r="F4385" i="1"/>
  <c r="B4385" i="1" s="1"/>
  <c r="E4386" i="1"/>
  <c r="F4386" i="1"/>
  <c r="B4386" i="1" s="1"/>
  <c r="E4387" i="1"/>
  <c r="F4387" i="1"/>
  <c r="B4387" i="1" s="1"/>
  <c r="E4388" i="1"/>
  <c r="F4388" i="1"/>
  <c r="B4388" i="1" s="1"/>
  <c r="E4389" i="1"/>
  <c r="F4389" i="1"/>
  <c r="B4389" i="1" s="1"/>
  <c r="E4390" i="1"/>
  <c r="F4390" i="1"/>
  <c r="B4390" i="1" s="1"/>
  <c r="E4391" i="1"/>
  <c r="F4391" i="1"/>
  <c r="B4391" i="1" s="1"/>
  <c r="E4392" i="1"/>
  <c r="F4392" i="1"/>
  <c r="B4392" i="1" s="1"/>
  <c r="E4393" i="1"/>
  <c r="F4393" i="1"/>
  <c r="B4393" i="1" s="1"/>
  <c r="E4394" i="1"/>
  <c r="F4394" i="1"/>
  <c r="B4394" i="1" s="1"/>
  <c r="E4395" i="1"/>
  <c r="F4395" i="1"/>
  <c r="B4395" i="1" s="1"/>
  <c r="E4396" i="1"/>
  <c r="F4396" i="1"/>
  <c r="B4396" i="1" s="1"/>
  <c r="E4397" i="1"/>
  <c r="F4397" i="1"/>
  <c r="B4397" i="1" s="1"/>
  <c r="E4398" i="1"/>
  <c r="F4398" i="1"/>
  <c r="B4398" i="1" s="1"/>
  <c r="E4399" i="1"/>
  <c r="F4399" i="1"/>
  <c r="B4399" i="1" s="1"/>
  <c r="E4400" i="1"/>
  <c r="F4400" i="1"/>
  <c r="B4400" i="1" s="1"/>
  <c r="E4401" i="1"/>
  <c r="F4401" i="1"/>
  <c r="B4401" i="1" s="1"/>
  <c r="E4402" i="1"/>
  <c r="F4402" i="1"/>
  <c r="B4402" i="1" s="1"/>
  <c r="E4403" i="1"/>
  <c r="F4403" i="1"/>
  <c r="B4403" i="1" s="1"/>
  <c r="E4404" i="1"/>
  <c r="F4404" i="1"/>
  <c r="B4404" i="1" s="1"/>
  <c r="E4405" i="1"/>
  <c r="F4405" i="1"/>
  <c r="B4405" i="1" s="1"/>
  <c r="E4406" i="1"/>
  <c r="F4406" i="1"/>
  <c r="B4406" i="1" s="1"/>
  <c r="E4407" i="1"/>
  <c r="F4407" i="1"/>
  <c r="B4407" i="1" s="1"/>
  <c r="E4408" i="1"/>
  <c r="F4408" i="1"/>
  <c r="B4408" i="1" s="1"/>
  <c r="E4409" i="1"/>
  <c r="F4409" i="1"/>
  <c r="B4409" i="1" s="1"/>
  <c r="E4410" i="1"/>
  <c r="F4410" i="1"/>
  <c r="B4410" i="1" s="1"/>
  <c r="E4411" i="1"/>
  <c r="F4411" i="1"/>
  <c r="B4411" i="1" s="1"/>
  <c r="E4412" i="1"/>
  <c r="F4412" i="1"/>
  <c r="B4412" i="1" s="1"/>
  <c r="E4413" i="1"/>
  <c r="F4413" i="1"/>
  <c r="B4413" i="1" s="1"/>
  <c r="E4414" i="1"/>
  <c r="F4414" i="1"/>
  <c r="B4414" i="1" s="1"/>
  <c r="E4415" i="1"/>
  <c r="F4415" i="1"/>
  <c r="B4415" i="1" s="1"/>
  <c r="E4416" i="1"/>
  <c r="F4416" i="1"/>
  <c r="B4416" i="1" s="1"/>
  <c r="E4417" i="1"/>
  <c r="F4417" i="1"/>
  <c r="B4417" i="1" s="1"/>
  <c r="E4418" i="1"/>
  <c r="F4418" i="1"/>
  <c r="B4418" i="1" s="1"/>
  <c r="E4419" i="1"/>
  <c r="F4419" i="1"/>
  <c r="B4419" i="1" s="1"/>
  <c r="E4420" i="1"/>
  <c r="F4420" i="1"/>
  <c r="B4420" i="1" s="1"/>
  <c r="E4421" i="1"/>
  <c r="F4421" i="1"/>
  <c r="B4421" i="1" s="1"/>
  <c r="E4422" i="1"/>
  <c r="F4422" i="1"/>
  <c r="B4422" i="1" s="1"/>
  <c r="E4423" i="1"/>
  <c r="F4423" i="1"/>
  <c r="B4423" i="1" s="1"/>
  <c r="E4424" i="1"/>
  <c r="F4424" i="1"/>
  <c r="B4424" i="1" s="1"/>
  <c r="E4425" i="1"/>
  <c r="F4425" i="1"/>
  <c r="B4425" i="1" s="1"/>
  <c r="E4426" i="1"/>
  <c r="F4426" i="1"/>
  <c r="B4426" i="1" s="1"/>
  <c r="E4427" i="1"/>
  <c r="F4427" i="1"/>
  <c r="B4427" i="1" s="1"/>
  <c r="E4428" i="1"/>
  <c r="F4428" i="1"/>
  <c r="B4428" i="1" s="1"/>
  <c r="E4429" i="1"/>
  <c r="F4429" i="1"/>
  <c r="B4429" i="1" s="1"/>
  <c r="E4430" i="1"/>
  <c r="F4430" i="1"/>
  <c r="B4430" i="1" s="1"/>
  <c r="E4431" i="1"/>
  <c r="F4431" i="1"/>
  <c r="B4431" i="1" s="1"/>
  <c r="E4432" i="1"/>
  <c r="F4432" i="1"/>
  <c r="B4432" i="1" s="1"/>
  <c r="E4433" i="1"/>
  <c r="F4433" i="1"/>
  <c r="B4433" i="1" s="1"/>
  <c r="E4434" i="1"/>
  <c r="F4434" i="1"/>
  <c r="B4434" i="1" s="1"/>
  <c r="E4435" i="1"/>
  <c r="F4435" i="1"/>
  <c r="B4435" i="1" s="1"/>
  <c r="E4436" i="1"/>
  <c r="F4436" i="1"/>
  <c r="B4436" i="1" s="1"/>
  <c r="E4437" i="1"/>
  <c r="F4437" i="1"/>
  <c r="B4437" i="1" s="1"/>
  <c r="E4438" i="1"/>
  <c r="F4438" i="1"/>
  <c r="B4438" i="1" s="1"/>
  <c r="E4439" i="1"/>
  <c r="F4439" i="1"/>
  <c r="B4439" i="1" s="1"/>
  <c r="E4440" i="1"/>
  <c r="F4440" i="1"/>
  <c r="B4440" i="1" s="1"/>
  <c r="E4441" i="1"/>
  <c r="F4441" i="1"/>
  <c r="B4441" i="1" s="1"/>
  <c r="E4442" i="1"/>
  <c r="F4442" i="1"/>
  <c r="B4442" i="1" s="1"/>
  <c r="E4443" i="1"/>
  <c r="F4443" i="1"/>
  <c r="B4443" i="1" s="1"/>
  <c r="E4444" i="1"/>
  <c r="F4444" i="1"/>
  <c r="B4444" i="1" s="1"/>
  <c r="E4445" i="1"/>
  <c r="F4445" i="1"/>
  <c r="B4445" i="1" s="1"/>
  <c r="E4446" i="1"/>
  <c r="F4446" i="1"/>
  <c r="B4446" i="1" s="1"/>
  <c r="E4447" i="1"/>
  <c r="F4447" i="1"/>
  <c r="B4447" i="1" s="1"/>
  <c r="E4448" i="1"/>
  <c r="F4448" i="1"/>
  <c r="B4448" i="1" s="1"/>
  <c r="E4449" i="1"/>
  <c r="F4449" i="1"/>
  <c r="B4449" i="1" s="1"/>
  <c r="E4450" i="1"/>
  <c r="F4450" i="1"/>
  <c r="B4450" i="1" s="1"/>
  <c r="E4451" i="1"/>
  <c r="F4451" i="1"/>
  <c r="B4451" i="1" s="1"/>
  <c r="E4452" i="1"/>
  <c r="F4452" i="1"/>
  <c r="B4452" i="1" s="1"/>
  <c r="E4453" i="1"/>
  <c r="F4453" i="1"/>
  <c r="B4453" i="1" s="1"/>
  <c r="E4454" i="1"/>
  <c r="F4454" i="1"/>
  <c r="B4454" i="1" s="1"/>
  <c r="E4455" i="1"/>
  <c r="F4455" i="1"/>
  <c r="B4455" i="1" s="1"/>
  <c r="E4456" i="1"/>
  <c r="F4456" i="1"/>
  <c r="B4456" i="1" s="1"/>
  <c r="E4457" i="1"/>
  <c r="F4457" i="1"/>
  <c r="B4457" i="1" s="1"/>
  <c r="E4458" i="1"/>
  <c r="F4458" i="1"/>
  <c r="B4458" i="1" s="1"/>
  <c r="E4459" i="1"/>
  <c r="F4459" i="1"/>
  <c r="B4459" i="1" s="1"/>
  <c r="E4460" i="1"/>
  <c r="F4460" i="1"/>
  <c r="B4460" i="1" s="1"/>
  <c r="E4461" i="1"/>
  <c r="F4461" i="1"/>
  <c r="B4461" i="1" s="1"/>
  <c r="E4462" i="1"/>
  <c r="F4462" i="1"/>
  <c r="B4462" i="1" s="1"/>
  <c r="E4463" i="1"/>
  <c r="F4463" i="1"/>
  <c r="B4463" i="1" s="1"/>
  <c r="E4464" i="1"/>
  <c r="F4464" i="1"/>
  <c r="B4464" i="1" s="1"/>
  <c r="E4465" i="1"/>
  <c r="F4465" i="1"/>
  <c r="B4465" i="1" s="1"/>
  <c r="E4466" i="1"/>
  <c r="F4466" i="1"/>
  <c r="B4466" i="1" s="1"/>
  <c r="E4467" i="1"/>
  <c r="F4467" i="1"/>
  <c r="B4467" i="1" s="1"/>
  <c r="E4468" i="1"/>
  <c r="F4468" i="1"/>
  <c r="B4468" i="1" s="1"/>
  <c r="E4469" i="1"/>
  <c r="F4469" i="1"/>
  <c r="B4469" i="1" s="1"/>
  <c r="E4470" i="1"/>
  <c r="F4470" i="1"/>
  <c r="B4470" i="1" s="1"/>
  <c r="E4471" i="1"/>
  <c r="F4471" i="1"/>
  <c r="B4471" i="1" s="1"/>
  <c r="E4472" i="1"/>
  <c r="F4472" i="1"/>
  <c r="B4472" i="1" s="1"/>
  <c r="E4473" i="1"/>
  <c r="F4473" i="1"/>
  <c r="B4473" i="1" s="1"/>
  <c r="E4474" i="1"/>
  <c r="F4474" i="1"/>
  <c r="B4474" i="1" s="1"/>
  <c r="E4475" i="1"/>
  <c r="F4475" i="1"/>
  <c r="B4475" i="1" s="1"/>
  <c r="E4476" i="1"/>
  <c r="F4476" i="1"/>
  <c r="B4476" i="1" s="1"/>
  <c r="E4477" i="1"/>
  <c r="F4477" i="1"/>
  <c r="B4477" i="1" s="1"/>
  <c r="E4478" i="1"/>
  <c r="F4478" i="1"/>
  <c r="B4478" i="1" s="1"/>
  <c r="E4479" i="1"/>
  <c r="F4479" i="1"/>
  <c r="B4479" i="1" s="1"/>
  <c r="E4208" i="1"/>
  <c r="D4208" i="1"/>
  <c r="F4208" i="1"/>
  <c r="B4208" i="1" s="1"/>
  <c r="C4100" i="1"/>
  <c r="D4100" i="1"/>
  <c r="E4100" i="1"/>
  <c r="F4100" i="1"/>
  <c r="B4100" i="1" s="1"/>
  <c r="C4101" i="1"/>
  <c r="D4101" i="1"/>
  <c r="E4101" i="1"/>
  <c r="F4101" i="1"/>
  <c r="B4101" i="1" s="1"/>
  <c r="C4102" i="1"/>
  <c r="D4102" i="1"/>
  <c r="E4102" i="1"/>
  <c r="F4102" i="1"/>
  <c r="B4102" i="1" s="1"/>
  <c r="C4103" i="1"/>
  <c r="D4103" i="1"/>
  <c r="E4103" i="1"/>
  <c r="F4103" i="1"/>
  <c r="B4103" i="1" s="1"/>
  <c r="C4104" i="1"/>
  <c r="D4104" i="1"/>
  <c r="E4104" i="1"/>
  <c r="F4104" i="1"/>
  <c r="B4104" i="1" s="1"/>
  <c r="C4105" i="1"/>
  <c r="D4105" i="1"/>
  <c r="E4105" i="1"/>
  <c r="F4105" i="1"/>
  <c r="B4105" i="1" s="1"/>
  <c r="C4106" i="1"/>
  <c r="D4106" i="1"/>
  <c r="E4106" i="1"/>
  <c r="F4106" i="1"/>
  <c r="B4106" i="1" s="1"/>
  <c r="C4107" i="1"/>
  <c r="D4107" i="1"/>
  <c r="E4107" i="1"/>
  <c r="F4107" i="1"/>
  <c r="B4107" i="1" s="1"/>
  <c r="C4108" i="1"/>
  <c r="D4108" i="1"/>
  <c r="E4108" i="1"/>
  <c r="F4108" i="1"/>
  <c r="B4108" i="1" s="1"/>
  <c r="C4109" i="1"/>
  <c r="D4109" i="1"/>
  <c r="E4109" i="1"/>
  <c r="F4109" i="1"/>
  <c r="B4109" i="1" s="1"/>
  <c r="C4110" i="1"/>
  <c r="D4110" i="1"/>
  <c r="E4110" i="1"/>
  <c r="F4110" i="1"/>
  <c r="B4110" i="1" s="1"/>
  <c r="C4111" i="1"/>
  <c r="D4111" i="1"/>
  <c r="E4111" i="1"/>
  <c r="F4111" i="1"/>
  <c r="B4111" i="1" s="1"/>
  <c r="C4112" i="1"/>
  <c r="D4112" i="1"/>
  <c r="E4112" i="1"/>
  <c r="F4112" i="1"/>
  <c r="B4112" i="1" s="1"/>
  <c r="C4113" i="1"/>
  <c r="D4113" i="1"/>
  <c r="E4113" i="1"/>
  <c r="F4113" i="1"/>
  <c r="B4113" i="1" s="1"/>
  <c r="C4114" i="1"/>
  <c r="D4114" i="1"/>
  <c r="E4114" i="1"/>
  <c r="F4114" i="1"/>
  <c r="B4114" i="1" s="1"/>
  <c r="C4115" i="1"/>
  <c r="D4115" i="1"/>
  <c r="E4115" i="1"/>
  <c r="F4115" i="1"/>
  <c r="B4115" i="1" s="1"/>
  <c r="C4116" i="1"/>
  <c r="D4116" i="1"/>
  <c r="E4116" i="1"/>
  <c r="F4116" i="1"/>
  <c r="B4116" i="1" s="1"/>
  <c r="C4117" i="1"/>
  <c r="D4117" i="1"/>
  <c r="E4117" i="1"/>
  <c r="F4117" i="1"/>
  <c r="B4117" i="1" s="1"/>
  <c r="C4118" i="1"/>
  <c r="D4118" i="1"/>
  <c r="E4118" i="1"/>
  <c r="F4118" i="1"/>
  <c r="B4118" i="1" s="1"/>
  <c r="C4119" i="1"/>
  <c r="D4119" i="1"/>
  <c r="E4119" i="1"/>
  <c r="F4119" i="1"/>
  <c r="B4119" i="1" s="1"/>
  <c r="C4120" i="1"/>
  <c r="D4120" i="1"/>
  <c r="E4120" i="1"/>
  <c r="F4120" i="1"/>
  <c r="B4120" i="1" s="1"/>
  <c r="C4121" i="1"/>
  <c r="D4121" i="1"/>
  <c r="E4121" i="1"/>
  <c r="F4121" i="1"/>
  <c r="B4121" i="1" s="1"/>
  <c r="C4122" i="1"/>
  <c r="D4122" i="1"/>
  <c r="E4122" i="1"/>
  <c r="F4122" i="1"/>
  <c r="B4122" i="1" s="1"/>
  <c r="C4123" i="1"/>
  <c r="D4123" i="1"/>
  <c r="E4123" i="1"/>
  <c r="F4123" i="1"/>
  <c r="B4123" i="1" s="1"/>
  <c r="C4124" i="1"/>
  <c r="D4124" i="1"/>
  <c r="E4124" i="1"/>
  <c r="F4124" i="1"/>
  <c r="B4124" i="1" s="1"/>
  <c r="C4125" i="1"/>
  <c r="D4125" i="1"/>
  <c r="E4125" i="1"/>
  <c r="F4125" i="1"/>
  <c r="B4125" i="1" s="1"/>
  <c r="C4126" i="1"/>
  <c r="D4126" i="1"/>
  <c r="E4126" i="1"/>
  <c r="F4126" i="1"/>
  <c r="B4126" i="1" s="1"/>
  <c r="C4127" i="1"/>
  <c r="D4127" i="1"/>
  <c r="E4127" i="1"/>
  <c r="F4127" i="1"/>
  <c r="B4127" i="1" s="1"/>
  <c r="C4128" i="1"/>
  <c r="D4128" i="1"/>
  <c r="E4128" i="1"/>
  <c r="F4128" i="1"/>
  <c r="B4128" i="1" s="1"/>
  <c r="C4129" i="1"/>
  <c r="D4129" i="1"/>
  <c r="E4129" i="1"/>
  <c r="F4129" i="1"/>
  <c r="B4129" i="1" s="1"/>
  <c r="C4130" i="1"/>
  <c r="D4130" i="1"/>
  <c r="E4130" i="1"/>
  <c r="F4130" i="1"/>
  <c r="B4130" i="1" s="1"/>
  <c r="C4131" i="1"/>
  <c r="D4131" i="1"/>
  <c r="E4131" i="1"/>
  <c r="F4131" i="1"/>
  <c r="B4131" i="1" s="1"/>
  <c r="C4132" i="1"/>
  <c r="D4132" i="1"/>
  <c r="E4132" i="1"/>
  <c r="F4132" i="1"/>
  <c r="B4132" i="1" s="1"/>
  <c r="C4133" i="1"/>
  <c r="D4133" i="1"/>
  <c r="E4133" i="1"/>
  <c r="F4133" i="1"/>
  <c r="C4134" i="1"/>
  <c r="D4134" i="1"/>
  <c r="E4134" i="1"/>
  <c r="F4134" i="1"/>
  <c r="B4134" i="1" s="1"/>
  <c r="C4135" i="1"/>
  <c r="D4135" i="1"/>
  <c r="E4135" i="1"/>
  <c r="F4135" i="1"/>
  <c r="B4135" i="1" s="1"/>
  <c r="C4136" i="1"/>
  <c r="D4136" i="1"/>
  <c r="E4136" i="1"/>
  <c r="F4136" i="1"/>
  <c r="B4136" i="1" s="1"/>
  <c r="C4137" i="1"/>
  <c r="D4137" i="1"/>
  <c r="E4137" i="1"/>
  <c r="F4137" i="1"/>
  <c r="B4137" i="1" s="1"/>
  <c r="C4138" i="1"/>
  <c r="D4138" i="1"/>
  <c r="E4138" i="1"/>
  <c r="F4138" i="1"/>
  <c r="B4138" i="1" s="1"/>
  <c r="C4139" i="1"/>
  <c r="D4139" i="1"/>
  <c r="E4139" i="1"/>
  <c r="F4139" i="1"/>
  <c r="B4139" i="1" s="1"/>
  <c r="C4140" i="1"/>
  <c r="D4140" i="1"/>
  <c r="E4140" i="1"/>
  <c r="F4140" i="1"/>
  <c r="B4140" i="1" s="1"/>
  <c r="C4141" i="1"/>
  <c r="D4141" i="1"/>
  <c r="E4141" i="1"/>
  <c r="F4141" i="1"/>
  <c r="B4141" i="1" s="1"/>
  <c r="C4142" i="1"/>
  <c r="D4142" i="1"/>
  <c r="E4142" i="1"/>
  <c r="F4142" i="1"/>
  <c r="B4142" i="1" s="1"/>
  <c r="C4143" i="1"/>
  <c r="D4143" i="1"/>
  <c r="E4143" i="1"/>
  <c r="F4143" i="1"/>
  <c r="B4143" i="1" s="1"/>
  <c r="C4144" i="1"/>
  <c r="D4144" i="1"/>
  <c r="E4144" i="1"/>
  <c r="F4144" i="1"/>
  <c r="B4144" i="1" s="1"/>
  <c r="C4145" i="1"/>
  <c r="D4145" i="1"/>
  <c r="E4145" i="1"/>
  <c r="F4145" i="1"/>
  <c r="B4145" i="1" s="1"/>
  <c r="C4146" i="1"/>
  <c r="D4146" i="1"/>
  <c r="E4146" i="1"/>
  <c r="F4146" i="1"/>
  <c r="B4146" i="1" s="1"/>
  <c r="C4147" i="1"/>
  <c r="D4147" i="1"/>
  <c r="E4147" i="1"/>
  <c r="F4147" i="1"/>
  <c r="B4147" i="1" s="1"/>
  <c r="C4148" i="1"/>
  <c r="D4148" i="1"/>
  <c r="E4148" i="1"/>
  <c r="F4148" i="1"/>
  <c r="B4148" i="1" s="1"/>
  <c r="C4149" i="1"/>
  <c r="D4149" i="1"/>
  <c r="E4149" i="1"/>
  <c r="F4149" i="1"/>
  <c r="B4149" i="1" s="1"/>
  <c r="C4150" i="1"/>
  <c r="D4150" i="1"/>
  <c r="E4150" i="1"/>
  <c r="F4150" i="1"/>
  <c r="B4150" i="1" s="1"/>
  <c r="C4151" i="1"/>
  <c r="D4151" i="1"/>
  <c r="E4151" i="1"/>
  <c r="F4151" i="1"/>
  <c r="B4151" i="1" s="1"/>
  <c r="C4152" i="1"/>
  <c r="D4152" i="1"/>
  <c r="E4152" i="1"/>
  <c r="F4152" i="1"/>
  <c r="B4152" i="1" s="1"/>
  <c r="C4153" i="1"/>
  <c r="D4153" i="1"/>
  <c r="E4153" i="1"/>
  <c r="F4153" i="1"/>
  <c r="B4153" i="1" s="1"/>
  <c r="C4154" i="1"/>
  <c r="D4154" i="1"/>
  <c r="E4154" i="1"/>
  <c r="F4154" i="1"/>
  <c r="B4154" i="1" s="1"/>
  <c r="C4155" i="1"/>
  <c r="D4155" i="1"/>
  <c r="E4155" i="1"/>
  <c r="F4155" i="1"/>
  <c r="B4155" i="1" s="1"/>
  <c r="C4156" i="1"/>
  <c r="D4156" i="1"/>
  <c r="E4156" i="1"/>
  <c r="F4156" i="1"/>
  <c r="B4156" i="1" s="1"/>
  <c r="C4157" i="1"/>
  <c r="D4157" i="1"/>
  <c r="E4157" i="1"/>
  <c r="F4157" i="1"/>
  <c r="B4157" i="1" s="1"/>
  <c r="C4158" i="1"/>
  <c r="D4158" i="1"/>
  <c r="E4158" i="1"/>
  <c r="F4158" i="1"/>
  <c r="B4158" i="1" s="1"/>
  <c r="C4159" i="1"/>
  <c r="D4159" i="1"/>
  <c r="E4159" i="1"/>
  <c r="F4159" i="1"/>
  <c r="B4159" i="1" s="1"/>
  <c r="C4160" i="1"/>
  <c r="D4160" i="1"/>
  <c r="E4160" i="1"/>
  <c r="F4160" i="1"/>
  <c r="B4160" i="1" s="1"/>
  <c r="C4161" i="1"/>
  <c r="D4161" i="1"/>
  <c r="E4161" i="1"/>
  <c r="F4161" i="1"/>
  <c r="B4161" i="1" s="1"/>
  <c r="C4162" i="1"/>
  <c r="D4162" i="1"/>
  <c r="E4162" i="1"/>
  <c r="F4162" i="1"/>
  <c r="B4162" i="1" s="1"/>
  <c r="C4163" i="1"/>
  <c r="D4163" i="1"/>
  <c r="E4163" i="1"/>
  <c r="F4163" i="1"/>
  <c r="B4163" i="1" s="1"/>
  <c r="C4164" i="1"/>
  <c r="D4164" i="1"/>
  <c r="E4164" i="1"/>
  <c r="F4164" i="1"/>
  <c r="B4164" i="1" s="1"/>
  <c r="C4165" i="1"/>
  <c r="D4165" i="1"/>
  <c r="E4165" i="1"/>
  <c r="F4165" i="1"/>
  <c r="B4165" i="1" s="1"/>
  <c r="C4166" i="1"/>
  <c r="D4166" i="1"/>
  <c r="E4166" i="1"/>
  <c r="F4166" i="1"/>
  <c r="B4166" i="1" s="1"/>
  <c r="C4167" i="1"/>
  <c r="D4167" i="1"/>
  <c r="E4167" i="1"/>
  <c r="F4167" i="1"/>
  <c r="B4167" i="1" s="1"/>
  <c r="C4168" i="1"/>
  <c r="D4168" i="1"/>
  <c r="E4168" i="1"/>
  <c r="F4168" i="1"/>
  <c r="B4168" i="1" s="1"/>
  <c r="C4169" i="1"/>
  <c r="D4169" i="1"/>
  <c r="E4169" i="1"/>
  <c r="F4169" i="1"/>
  <c r="B4169" i="1" s="1"/>
  <c r="C4170" i="1"/>
  <c r="D4170" i="1"/>
  <c r="E4170" i="1"/>
  <c r="F4170" i="1"/>
  <c r="B4170" i="1" s="1"/>
  <c r="C4171" i="1"/>
  <c r="D4171" i="1"/>
  <c r="E4171" i="1"/>
  <c r="F4171" i="1"/>
  <c r="B4171" i="1" s="1"/>
  <c r="C4172" i="1"/>
  <c r="D4172" i="1"/>
  <c r="E4172" i="1"/>
  <c r="F4172" i="1"/>
  <c r="B4172" i="1" s="1"/>
  <c r="C4173" i="1"/>
  <c r="D4173" i="1"/>
  <c r="E4173" i="1"/>
  <c r="F4173" i="1"/>
  <c r="B4173" i="1" s="1"/>
  <c r="C4174" i="1"/>
  <c r="D4174" i="1"/>
  <c r="E4174" i="1"/>
  <c r="F4174" i="1"/>
  <c r="B4174" i="1" s="1"/>
  <c r="C4175" i="1"/>
  <c r="D4175" i="1"/>
  <c r="E4175" i="1"/>
  <c r="F4175" i="1"/>
  <c r="B4175" i="1" s="1"/>
  <c r="D4176" i="1"/>
  <c r="E4176" i="1"/>
  <c r="F4176" i="1"/>
  <c r="B4176" i="1" s="1"/>
  <c r="C4177" i="1"/>
  <c r="D4177" i="1"/>
  <c r="E4177" i="1"/>
  <c r="F4177" i="1"/>
  <c r="B4177" i="1" s="1"/>
  <c r="C4178" i="1"/>
  <c r="D4178" i="1"/>
  <c r="E4178" i="1"/>
  <c r="F4178" i="1"/>
  <c r="B4178" i="1" s="1"/>
  <c r="C4179" i="1"/>
  <c r="D4179" i="1"/>
  <c r="E4179" i="1"/>
  <c r="F4179" i="1"/>
  <c r="B4179" i="1" s="1"/>
  <c r="C4180" i="1"/>
  <c r="D4180" i="1"/>
  <c r="E4180" i="1"/>
  <c r="F4180" i="1"/>
  <c r="B4180" i="1" s="1"/>
  <c r="C4181" i="1"/>
  <c r="D4181" i="1"/>
  <c r="E4181" i="1"/>
  <c r="F4181" i="1"/>
  <c r="B4181" i="1" s="1"/>
  <c r="C4182" i="1"/>
  <c r="D4182" i="1"/>
  <c r="E4182" i="1"/>
  <c r="F4182" i="1"/>
  <c r="B4182" i="1" s="1"/>
  <c r="C4183" i="1"/>
  <c r="D4183" i="1"/>
  <c r="E4183" i="1"/>
  <c r="F4183" i="1"/>
  <c r="B4183" i="1" s="1"/>
  <c r="C4184" i="1"/>
  <c r="D4184" i="1"/>
  <c r="E4184" i="1"/>
  <c r="F4184" i="1"/>
  <c r="B4184" i="1" s="1"/>
  <c r="C4185" i="1"/>
  <c r="D4185" i="1"/>
  <c r="E4185" i="1"/>
  <c r="F4185" i="1"/>
  <c r="B4185" i="1" s="1"/>
  <c r="C4186" i="1"/>
  <c r="D4186" i="1"/>
  <c r="E4186" i="1"/>
  <c r="F4186" i="1"/>
  <c r="B4186" i="1" s="1"/>
  <c r="C4187" i="1"/>
  <c r="D4187" i="1"/>
  <c r="E4187" i="1"/>
  <c r="F4187" i="1"/>
  <c r="B4187" i="1" s="1"/>
  <c r="C4188" i="1"/>
  <c r="D4188" i="1"/>
  <c r="E4188" i="1"/>
  <c r="F4188" i="1"/>
  <c r="B4188" i="1" s="1"/>
  <c r="C4189" i="1"/>
  <c r="D4189" i="1"/>
  <c r="E4189" i="1"/>
  <c r="F4189" i="1"/>
  <c r="B4189" i="1" s="1"/>
  <c r="C4190" i="1"/>
  <c r="D4190" i="1"/>
  <c r="E4190" i="1"/>
  <c r="F4190" i="1"/>
  <c r="B4190" i="1" s="1"/>
  <c r="C4191" i="1"/>
  <c r="D4191" i="1"/>
  <c r="E4191" i="1"/>
  <c r="F4191" i="1"/>
  <c r="B4191" i="1" s="1"/>
  <c r="C4192" i="1"/>
  <c r="D4192" i="1"/>
  <c r="E4192" i="1"/>
  <c r="F4192" i="1"/>
  <c r="B4192" i="1" s="1"/>
  <c r="C4193" i="1"/>
  <c r="D4193" i="1"/>
  <c r="E4193" i="1"/>
  <c r="F4193" i="1"/>
  <c r="B4193" i="1" s="1"/>
  <c r="C4194" i="1"/>
  <c r="D4194" i="1"/>
  <c r="E4194" i="1"/>
  <c r="F4194" i="1"/>
  <c r="B4194" i="1" s="1"/>
  <c r="C4195" i="1"/>
  <c r="D4195" i="1"/>
  <c r="E4195" i="1"/>
  <c r="F4195" i="1"/>
  <c r="B4195" i="1" s="1"/>
  <c r="C4196" i="1"/>
  <c r="D4196" i="1"/>
  <c r="E4196" i="1"/>
  <c r="F4196" i="1"/>
  <c r="B4196" i="1" s="1"/>
  <c r="C4197" i="1"/>
  <c r="D4197" i="1"/>
  <c r="E4197" i="1"/>
  <c r="F4197" i="1"/>
  <c r="B4197" i="1" s="1"/>
  <c r="C4198" i="1"/>
  <c r="D4198" i="1"/>
  <c r="E4198" i="1"/>
  <c r="F4198" i="1"/>
  <c r="B4198" i="1" s="1"/>
  <c r="C4199" i="1"/>
  <c r="D4199" i="1"/>
  <c r="E4199" i="1"/>
  <c r="F4199" i="1"/>
  <c r="B4199" i="1" s="1"/>
  <c r="C4200" i="1"/>
  <c r="D4200" i="1"/>
  <c r="E4200" i="1"/>
  <c r="F4200" i="1"/>
  <c r="B4200" i="1" s="1"/>
  <c r="C4201" i="1"/>
  <c r="D4201" i="1"/>
  <c r="E4201" i="1"/>
  <c r="F4201" i="1"/>
  <c r="B4201" i="1" s="1"/>
  <c r="C4202" i="1"/>
  <c r="D4202" i="1"/>
  <c r="E4202" i="1"/>
  <c r="F4202" i="1"/>
  <c r="B4202" i="1" s="1"/>
  <c r="C4203" i="1"/>
  <c r="D4203" i="1"/>
  <c r="E4203" i="1"/>
  <c r="F4203" i="1"/>
  <c r="B4203" i="1" s="1"/>
  <c r="C4204" i="1"/>
  <c r="D4204" i="1"/>
  <c r="E4204" i="1"/>
  <c r="F4204" i="1"/>
  <c r="B4204" i="1" s="1"/>
  <c r="C4205" i="1"/>
  <c r="D4205" i="1"/>
  <c r="E4205" i="1"/>
  <c r="F4205" i="1"/>
  <c r="B4205" i="1" s="1"/>
  <c r="C4206" i="1"/>
  <c r="D4206" i="1"/>
  <c r="E4206" i="1"/>
  <c r="F4206" i="1"/>
  <c r="B4206" i="1" s="1"/>
  <c r="C4207" i="1"/>
  <c r="D4207" i="1"/>
  <c r="E4207" i="1"/>
  <c r="F4207" i="1"/>
  <c r="B4207" i="1" s="1"/>
  <c r="C4075" i="1"/>
  <c r="D4075" i="1"/>
  <c r="E4075" i="1"/>
  <c r="F4075" i="1"/>
  <c r="B4075" i="1" s="1"/>
  <c r="C4076" i="1"/>
  <c r="D4076" i="1"/>
  <c r="E4076" i="1"/>
  <c r="F4076" i="1"/>
  <c r="B4076" i="1" s="1"/>
  <c r="C4077" i="1"/>
  <c r="D4077" i="1"/>
  <c r="E4077" i="1"/>
  <c r="F4077" i="1"/>
  <c r="B4077" i="1" s="1"/>
  <c r="C4078" i="1"/>
  <c r="D4078" i="1"/>
  <c r="E4078" i="1"/>
  <c r="F4078" i="1"/>
  <c r="B4078" i="1" s="1"/>
  <c r="C4079" i="1"/>
  <c r="D4079" i="1"/>
  <c r="E4079" i="1"/>
  <c r="F4079" i="1"/>
  <c r="B4079" i="1" s="1"/>
  <c r="C4080" i="1"/>
  <c r="D4080" i="1"/>
  <c r="E4080" i="1"/>
  <c r="F4080" i="1"/>
  <c r="B4080" i="1" s="1"/>
  <c r="C4081" i="1"/>
  <c r="D4081" i="1"/>
  <c r="E4081" i="1"/>
  <c r="F4081" i="1"/>
  <c r="B4081" i="1" s="1"/>
  <c r="C4082" i="1"/>
  <c r="D4082" i="1"/>
  <c r="E4082" i="1"/>
  <c r="F4082" i="1"/>
  <c r="B4082" i="1" s="1"/>
  <c r="C4083" i="1"/>
  <c r="D4083" i="1"/>
  <c r="E4083" i="1"/>
  <c r="F4083" i="1"/>
  <c r="B4083" i="1" s="1"/>
  <c r="C4084" i="1"/>
  <c r="D4084" i="1"/>
  <c r="E4084" i="1"/>
  <c r="F4084" i="1"/>
  <c r="B4084" i="1" s="1"/>
  <c r="C4085" i="1"/>
  <c r="D4085" i="1"/>
  <c r="E4085" i="1"/>
  <c r="F4085" i="1"/>
  <c r="B4085" i="1" s="1"/>
  <c r="C4086" i="1"/>
  <c r="D4086" i="1"/>
  <c r="E4086" i="1"/>
  <c r="F4086" i="1"/>
  <c r="B4086" i="1" s="1"/>
  <c r="C4087" i="1"/>
  <c r="D4087" i="1"/>
  <c r="E4087" i="1"/>
  <c r="F4087" i="1"/>
  <c r="B4087" i="1" s="1"/>
  <c r="C4088" i="1"/>
  <c r="D4088" i="1"/>
  <c r="E4088" i="1"/>
  <c r="F4088" i="1"/>
  <c r="B4088" i="1" s="1"/>
  <c r="C4089" i="1"/>
  <c r="D4089" i="1"/>
  <c r="E4089" i="1"/>
  <c r="F4089" i="1"/>
  <c r="B4089" i="1" s="1"/>
  <c r="C4090" i="1"/>
  <c r="D4090" i="1"/>
  <c r="E4090" i="1"/>
  <c r="F4090" i="1"/>
  <c r="B4090" i="1" s="1"/>
  <c r="C4091" i="1"/>
  <c r="D4091" i="1"/>
  <c r="E4091" i="1"/>
  <c r="F4091" i="1"/>
  <c r="B4091" i="1" s="1"/>
  <c r="C4092" i="1"/>
  <c r="D4092" i="1"/>
  <c r="E4092" i="1"/>
  <c r="F4092" i="1"/>
  <c r="B4092" i="1" s="1"/>
  <c r="C4093" i="1"/>
  <c r="D4093" i="1"/>
  <c r="E4093" i="1"/>
  <c r="F4093" i="1"/>
  <c r="B4093" i="1" s="1"/>
  <c r="C4094" i="1"/>
  <c r="D4094" i="1"/>
  <c r="E4094" i="1"/>
  <c r="F4094" i="1"/>
  <c r="B4094" i="1" s="1"/>
  <c r="C4095" i="1"/>
  <c r="D4095" i="1"/>
  <c r="E4095" i="1"/>
  <c r="F4095" i="1"/>
  <c r="B4095" i="1" s="1"/>
  <c r="C4096" i="1"/>
  <c r="D4096" i="1"/>
  <c r="E4096" i="1"/>
  <c r="F4096" i="1"/>
  <c r="B4096" i="1" s="1"/>
  <c r="C4097" i="1"/>
  <c r="D4097" i="1"/>
  <c r="E4097" i="1"/>
  <c r="F4097" i="1"/>
  <c r="B4097" i="1" s="1"/>
  <c r="C4098" i="1"/>
  <c r="D4098" i="1"/>
  <c r="E4098" i="1"/>
  <c r="F4098" i="1"/>
  <c r="B4098" i="1" s="1"/>
  <c r="C4099" i="1"/>
  <c r="D4099" i="1"/>
  <c r="E4099" i="1"/>
  <c r="F4099" i="1"/>
  <c r="B4099" i="1" s="1"/>
  <c r="E4074" i="1"/>
  <c r="D4074" i="1"/>
  <c r="C4074" i="1"/>
  <c r="F4074" i="1"/>
  <c r="B4074" i="1" s="1"/>
  <c r="B4341" i="1" l="1"/>
  <c r="B4311" i="1"/>
  <c r="B4295" i="1"/>
  <c r="B4293" i="1"/>
  <c r="B4277" i="1"/>
  <c r="B4247" i="1"/>
  <c r="B4231" i="1"/>
  <c r="B4133" i="1"/>
  <c r="B4357"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8" i="1"/>
  <c r="B9" i="1"/>
  <c r="B10" i="1"/>
  <c r="B11" i="1"/>
  <c r="B12" i="1"/>
  <c r="B13" i="1"/>
  <c r="B14" i="1"/>
  <c r="B15" i="1"/>
  <c r="B16" i="1"/>
  <c r="B17" i="1"/>
  <c r="B18" i="1"/>
  <c r="B19" i="1"/>
  <c r="B20" i="1"/>
  <c r="B21" i="1"/>
  <c r="B22" i="1"/>
  <c r="B23" i="1"/>
  <c r="B24" i="1"/>
  <c r="B25" i="1"/>
  <c r="B26" i="1"/>
  <c r="B27" i="1"/>
  <c r="B28" i="1"/>
  <c r="B29" i="1"/>
  <c r="B30" i="1"/>
  <c r="B31" i="1"/>
  <c r="B32" i="1"/>
  <c r="B33" i="1"/>
  <c r="B34" i="1"/>
  <c r="B7" i="1"/>
  <c r="B6" i="1"/>
  <c r="B23" i="12"/>
  <c r="C3975" i="1"/>
  <c r="D3975" i="1"/>
  <c r="E3975" i="1"/>
  <c r="F3975" i="1"/>
  <c r="B3975" i="1" s="1"/>
  <c r="C3976" i="1"/>
  <c r="D3976" i="1"/>
  <c r="E3976" i="1"/>
  <c r="F3976" i="1"/>
  <c r="B3976" i="1" s="1"/>
  <c r="C3977" i="1"/>
  <c r="D3977" i="1"/>
  <c r="E3977" i="1"/>
  <c r="F3977" i="1"/>
  <c r="B3977" i="1" s="1"/>
  <c r="C3978" i="1"/>
  <c r="D3978" i="1"/>
  <c r="E3978" i="1"/>
  <c r="F3978" i="1"/>
  <c r="B3978" i="1" s="1"/>
  <c r="C3979" i="1"/>
  <c r="D3979" i="1"/>
  <c r="E3979" i="1"/>
  <c r="F3979" i="1"/>
  <c r="B3979" i="1" s="1"/>
  <c r="C3980" i="1"/>
  <c r="D3980" i="1"/>
  <c r="E3980" i="1"/>
  <c r="F3980" i="1"/>
  <c r="B3980" i="1" s="1"/>
  <c r="C3981" i="1"/>
  <c r="D3981" i="1"/>
  <c r="E3981" i="1"/>
  <c r="F3981" i="1"/>
  <c r="B3981" i="1" s="1"/>
  <c r="C3982" i="1"/>
  <c r="D3982" i="1"/>
  <c r="E3982" i="1"/>
  <c r="F3982" i="1"/>
  <c r="B3982" i="1" s="1"/>
  <c r="C3983" i="1"/>
  <c r="D3983" i="1"/>
  <c r="E3983" i="1"/>
  <c r="F3983" i="1"/>
  <c r="B3983" i="1" s="1"/>
  <c r="C3984" i="1"/>
  <c r="D3984" i="1"/>
  <c r="E3984" i="1"/>
  <c r="F3984" i="1"/>
  <c r="B3984" i="1" s="1"/>
  <c r="C3985" i="1"/>
  <c r="D3985" i="1"/>
  <c r="E3985" i="1"/>
  <c r="F3985" i="1"/>
  <c r="B3985" i="1" s="1"/>
  <c r="C3986" i="1"/>
  <c r="D3986" i="1"/>
  <c r="E3986" i="1"/>
  <c r="F3986" i="1"/>
  <c r="B3986" i="1" s="1"/>
  <c r="C3987" i="1"/>
  <c r="D3987" i="1"/>
  <c r="E3987" i="1"/>
  <c r="F3987" i="1"/>
  <c r="B3987" i="1" s="1"/>
  <c r="C3988" i="1"/>
  <c r="D3988" i="1"/>
  <c r="E3988" i="1"/>
  <c r="F3988" i="1"/>
  <c r="B3988" i="1" s="1"/>
  <c r="C3989" i="1"/>
  <c r="D3989" i="1"/>
  <c r="E3989" i="1"/>
  <c r="F3989" i="1"/>
  <c r="B3989" i="1" s="1"/>
  <c r="C3990" i="1"/>
  <c r="D3990" i="1"/>
  <c r="E3990" i="1"/>
  <c r="F3990" i="1"/>
  <c r="B3990" i="1" s="1"/>
  <c r="C3991" i="1"/>
  <c r="D3991" i="1"/>
  <c r="E3991" i="1"/>
  <c r="F3991" i="1"/>
  <c r="B3991" i="1" s="1"/>
  <c r="C3992" i="1"/>
  <c r="D3992" i="1"/>
  <c r="E3992" i="1"/>
  <c r="F3992" i="1"/>
  <c r="B3992" i="1" s="1"/>
  <c r="C3993" i="1"/>
  <c r="D3993" i="1"/>
  <c r="E3993" i="1"/>
  <c r="F3993" i="1"/>
  <c r="B3993" i="1" s="1"/>
  <c r="C3994" i="1"/>
  <c r="D3994" i="1"/>
  <c r="E3994" i="1"/>
  <c r="F3994" i="1"/>
  <c r="B3994" i="1" s="1"/>
  <c r="C3995" i="1"/>
  <c r="D3995" i="1"/>
  <c r="E3995" i="1"/>
  <c r="F3995" i="1"/>
  <c r="B3995" i="1" s="1"/>
  <c r="C3996" i="1"/>
  <c r="D3996" i="1"/>
  <c r="E3996" i="1"/>
  <c r="F3996" i="1"/>
  <c r="B3996" i="1" s="1"/>
  <c r="C3997" i="1"/>
  <c r="D3997" i="1"/>
  <c r="E3997" i="1"/>
  <c r="F3997" i="1"/>
  <c r="B3997" i="1" s="1"/>
  <c r="C3998" i="1"/>
  <c r="D3998" i="1"/>
  <c r="E3998" i="1"/>
  <c r="F3998" i="1"/>
  <c r="B3998" i="1" s="1"/>
  <c r="C3999" i="1"/>
  <c r="D3999" i="1"/>
  <c r="E3999" i="1"/>
  <c r="F3999" i="1"/>
  <c r="B3999" i="1" s="1"/>
  <c r="C4000" i="1"/>
  <c r="D4000" i="1"/>
  <c r="E4000" i="1"/>
  <c r="F4000" i="1"/>
  <c r="B4000" i="1" s="1"/>
  <c r="C4001" i="1"/>
  <c r="D4001" i="1"/>
  <c r="E4001" i="1"/>
  <c r="F4001" i="1"/>
  <c r="B4001" i="1" s="1"/>
  <c r="C4002" i="1"/>
  <c r="D4002" i="1"/>
  <c r="E4002" i="1"/>
  <c r="F4002" i="1"/>
  <c r="B4002" i="1" s="1"/>
  <c r="C4003" i="1"/>
  <c r="D4003" i="1"/>
  <c r="E4003" i="1"/>
  <c r="F4003" i="1"/>
  <c r="B4003" i="1" s="1"/>
  <c r="C4004" i="1"/>
  <c r="D4004" i="1"/>
  <c r="E4004" i="1"/>
  <c r="F4004" i="1"/>
  <c r="B4004" i="1" s="1"/>
  <c r="C4005" i="1"/>
  <c r="D4005" i="1"/>
  <c r="E4005" i="1"/>
  <c r="F4005" i="1"/>
  <c r="B4005" i="1" s="1"/>
  <c r="C4006" i="1"/>
  <c r="D4006" i="1"/>
  <c r="E4006" i="1"/>
  <c r="F4006" i="1"/>
  <c r="B4006" i="1" s="1"/>
  <c r="C4007" i="1"/>
  <c r="D4007" i="1"/>
  <c r="E4007" i="1"/>
  <c r="F4007" i="1"/>
  <c r="B4007" i="1" s="1"/>
  <c r="C4008" i="1"/>
  <c r="D4008" i="1"/>
  <c r="E4008" i="1"/>
  <c r="F4008" i="1"/>
  <c r="B4008" i="1" s="1"/>
  <c r="C4009" i="1"/>
  <c r="D4009" i="1"/>
  <c r="E4009" i="1"/>
  <c r="F4009" i="1"/>
  <c r="B4009" i="1" s="1"/>
  <c r="C4010" i="1"/>
  <c r="D4010" i="1"/>
  <c r="E4010" i="1"/>
  <c r="F4010" i="1"/>
  <c r="B4010" i="1" s="1"/>
  <c r="C4011" i="1"/>
  <c r="D4011" i="1"/>
  <c r="E4011" i="1"/>
  <c r="F4011" i="1"/>
  <c r="B4011" i="1" s="1"/>
  <c r="C4012" i="1"/>
  <c r="D4012" i="1"/>
  <c r="E4012" i="1"/>
  <c r="F4012" i="1"/>
  <c r="B4012" i="1" s="1"/>
  <c r="C4013" i="1"/>
  <c r="D4013" i="1"/>
  <c r="E4013" i="1"/>
  <c r="F4013" i="1"/>
  <c r="B4013" i="1" s="1"/>
  <c r="C4014" i="1"/>
  <c r="D4014" i="1"/>
  <c r="E4014" i="1"/>
  <c r="F4014" i="1"/>
  <c r="B4014" i="1" s="1"/>
  <c r="C4015" i="1"/>
  <c r="D4015" i="1"/>
  <c r="E4015" i="1"/>
  <c r="F4015" i="1"/>
  <c r="B4015" i="1" s="1"/>
  <c r="C4016" i="1"/>
  <c r="D4016" i="1"/>
  <c r="E4016" i="1"/>
  <c r="F4016" i="1"/>
  <c r="B4016" i="1" s="1"/>
  <c r="C4017" i="1"/>
  <c r="D4017" i="1"/>
  <c r="E4017" i="1"/>
  <c r="F4017" i="1"/>
  <c r="B4017" i="1" s="1"/>
  <c r="C4018" i="1"/>
  <c r="D4018" i="1"/>
  <c r="E4018" i="1"/>
  <c r="F4018" i="1"/>
  <c r="B4018" i="1" s="1"/>
  <c r="C4019" i="1"/>
  <c r="D4019" i="1"/>
  <c r="E4019" i="1"/>
  <c r="F4019" i="1"/>
  <c r="B4019" i="1" s="1"/>
  <c r="C4020" i="1"/>
  <c r="D4020" i="1"/>
  <c r="E4020" i="1"/>
  <c r="F4020" i="1"/>
  <c r="B4020" i="1" s="1"/>
  <c r="C4021" i="1"/>
  <c r="D4021" i="1"/>
  <c r="E4021" i="1"/>
  <c r="F4021" i="1"/>
  <c r="B4021" i="1" s="1"/>
  <c r="C4022" i="1"/>
  <c r="D4022" i="1"/>
  <c r="E4022" i="1"/>
  <c r="F4022" i="1"/>
  <c r="B4022" i="1" s="1"/>
  <c r="C4023" i="1"/>
  <c r="D4023" i="1"/>
  <c r="E4023" i="1"/>
  <c r="F4023" i="1"/>
  <c r="B4023" i="1" s="1"/>
  <c r="C4024" i="1"/>
  <c r="D4024" i="1"/>
  <c r="E4024" i="1"/>
  <c r="F4024" i="1"/>
  <c r="B4024" i="1" s="1"/>
  <c r="C4025" i="1"/>
  <c r="D4025" i="1"/>
  <c r="E4025" i="1"/>
  <c r="F4025" i="1"/>
  <c r="B4025" i="1" s="1"/>
  <c r="C4026" i="1"/>
  <c r="D4026" i="1"/>
  <c r="E4026" i="1"/>
  <c r="F4026" i="1"/>
  <c r="B4026" i="1" s="1"/>
  <c r="C4027" i="1"/>
  <c r="D4027" i="1"/>
  <c r="E4027" i="1"/>
  <c r="F4027" i="1"/>
  <c r="B4027" i="1" s="1"/>
  <c r="C4028" i="1"/>
  <c r="D4028" i="1"/>
  <c r="E4028" i="1"/>
  <c r="F4028" i="1"/>
  <c r="B4028" i="1" s="1"/>
  <c r="C4029" i="1"/>
  <c r="D4029" i="1"/>
  <c r="E4029" i="1"/>
  <c r="F4029" i="1"/>
  <c r="B4029" i="1" s="1"/>
  <c r="C4030" i="1"/>
  <c r="D4030" i="1"/>
  <c r="E4030" i="1"/>
  <c r="F4030" i="1"/>
  <c r="B4030" i="1" s="1"/>
  <c r="C4031" i="1"/>
  <c r="D4031" i="1"/>
  <c r="E4031" i="1"/>
  <c r="F4031" i="1"/>
  <c r="B4031" i="1" s="1"/>
  <c r="C4032" i="1"/>
  <c r="D4032" i="1"/>
  <c r="E4032" i="1"/>
  <c r="F4032" i="1"/>
  <c r="B4032" i="1" s="1"/>
  <c r="C4033" i="1"/>
  <c r="D4033" i="1"/>
  <c r="E4033" i="1"/>
  <c r="F4033" i="1"/>
  <c r="B4033" i="1" s="1"/>
  <c r="C4034" i="1"/>
  <c r="D4034" i="1"/>
  <c r="E4034" i="1"/>
  <c r="F4034" i="1"/>
  <c r="B4034" i="1" s="1"/>
  <c r="C4035" i="1"/>
  <c r="D4035" i="1"/>
  <c r="E4035" i="1"/>
  <c r="F4035" i="1"/>
  <c r="B4035" i="1" s="1"/>
  <c r="C4036" i="1"/>
  <c r="D4036" i="1"/>
  <c r="E4036" i="1"/>
  <c r="F4036" i="1"/>
  <c r="B4036" i="1" s="1"/>
  <c r="C4037" i="1"/>
  <c r="D4037" i="1"/>
  <c r="E4037" i="1"/>
  <c r="F4037" i="1"/>
  <c r="B4037" i="1" s="1"/>
  <c r="C4038" i="1"/>
  <c r="D4038" i="1"/>
  <c r="E4038" i="1"/>
  <c r="F4038" i="1"/>
  <c r="B4038" i="1" s="1"/>
  <c r="C4039" i="1"/>
  <c r="D4039" i="1"/>
  <c r="E4039" i="1"/>
  <c r="F4039" i="1"/>
  <c r="B4039" i="1" s="1"/>
  <c r="C4040" i="1"/>
  <c r="D4040" i="1"/>
  <c r="E4040" i="1"/>
  <c r="F4040" i="1"/>
  <c r="B4040" i="1" s="1"/>
  <c r="C4041" i="1"/>
  <c r="D4041" i="1"/>
  <c r="E4041" i="1"/>
  <c r="F4041" i="1"/>
  <c r="B4041" i="1" s="1"/>
  <c r="C4042" i="1"/>
  <c r="D4042" i="1"/>
  <c r="E4042" i="1"/>
  <c r="F4042" i="1"/>
  <c r="B4042" i="1" s="1"/>
  <c r="C4043" i="1"/>
  <c r="D4043" i="1"/>
  <c r="E4043" i="1"/>
  <c r="F4043" i="1"/>
  <c r="B4043" i="1" s="1"/>
  <c r="C4044" i="1"/>
  <c r="D4044" i="1"/>
  <c r="E4044" i="1"/>
  <c r="F4044" i="1"/>
  <c r="B4044" i="1" s="1"/>
  <c r="C4045" i="1"/>
  <c r="D4045" i="1"/>
  <c r="E4045" i="1"/>
  <c r="F4045" i="1"/>
  <c r="B4045" i="1" s="1"/>
  <c r="C4046" i="1"/>
  <c r="D4046" i="1"/>
  <c r="E4046" i="1"/>
  <c r="F4046" i="1"/>
  <c r="B4046" i="1" s="1"/>
  <c r="C4047" i="1"/>
  <c r="D4047" i="1"/>
  <c r="E4047" i="1"/>
  <c r="F4047" i="1"/>
  <c r="B4047" i="1" s="1"/>
  <c r="C4048" i="1"/>
  <c r="D4048" i="1"/>
  <c r="E4048" i="1"/>
  <c r="F4048" i="1"/>
  <c r="B4048" i="1" s="1"/>
  <c r="C4049" i="1"/>
  <c r="D4049" i="1"/>
  <c r="E4049" i="1"/>
  <c r="F4049" i="1"/>
  <c r="B4049" i="1" s="1"/>
  <c r="C4050" i="1"/>
  <c r="D4050" i="1"/>
  <c r="E4050" i="1"/>
  <c r="F4050" i="1"/>
  <c r="B4050" i="1" s="1"/>
  <c r="C4051" i="1"/>
  <c r="D4051" i="1"/>
  <c r="E4051" i="1"/>
  <c r="F4051" i="1"/>
  <c r="B4051" i="1" s="1"/>
  <c r="C4052" i="1"/>
  <c r="D4052" i="1"/>
  <c r="E4052" i="1"/>
  <c r="F4052" i="1"/>
  <c r="B4052" i="1" s="1"/>
  <c r="C4053" i="1"/>
  <c r="D4053" i="1"/>
  <c r="E4053" i="1"/>
  <c r="F4053" i="1"/>
  <c r="B4053" i="1" s="1"/>
  <c r="C4054" i="1"/>
  <c r="D4054" i="1"/>
  <c r="E4054" i="1"/>
  <c r="F4054" i="1"/>
  <c r="B4054" i="1" s="1"/>
  <c r="C4055" i="1"/>
  <c r="D4055" i="1"/>
  <c r="E4055" i="1"/>
  <c r="F4055" i="1"/>
  <c r="B4055" i="1" s="1"/>
  <c r="C4056" i="1"/>
  <c r="D4056" i="1"/>
  <c r="E4056" i="1"/>
  <c r="F4056" i="1"/>
  <c r="B4056" i="1" s="1"/>
  <c r="C4057" i="1"/>
  <c r="D4057" i="1"/>
  <c r="E4057" i="1"/>
  <c r="F4057" i="1"/>
  <c r="B4057" i="1" s="1"/>
  <c r="C4058" i="1"/>
  <c r="D4058" i="1"/>
  <c r="E4058" i="1"/>
  <c r="F4058" i="1"/>
  <c r="B4058" i="1" s="1"/>
  <c r="C4059" i="1"/>
  <c r="D4059" i="1"/>
  <c r="E4059" i="1"/>
  <c r="F4059" i="1"/>
  <c r="B4059" i="1" s="1"/>
  <c r="C4060" i="1"/>
  <c r="D4060" i="1"/>
  <c r="E4060" i="1"/>
  <c r="F4060" i="1"/>
  <c r="B4060" i="1" s="1"/>
  <c r="C4061" i="1"/>
  <c r="D4061" i="1"/>
  <c r="E4061" i="1"/>
  <c r="F4061" i="1"/>
  <c r="B4061" i="1" s="1"/>
  <c r="C4062" i="1"/>
  <c r="D4062" i="1"/>
  <c r="E4062" i="1"/>
  <c r="F4062" i="1"/>
  <c r="B4062" i="1" s="1"/>
  <c r="C4063" i="1"/>
  <c r="D4063" i="1"/>
  <c r="E4063" i="1"/>
  <c r="F4063" i="1"/>
  <c r="B4063" i="1" s="1"/>
  <c r="C4064" i="1"/>
  <c r="D4064" i="1"/>
  <c r="E4064" i="1"/>
  <c r="F4064" i="1"/>
  <c r="B4064" i="1" s="1"/>
  <c r="C4065" i="1"/>
  <c r="D4065" i="1"/>
  <c r="E4065" i="1"/>
  <c r="F4065" i="1"/>
  <c r="B4065" i="1" s="1"/>
  <c r="C4066" i="1"/>
  <c r="D4066" i="1"/>
  <c r="E4066" i="1"/>
  <c r="F4066" i="1"/>
  <c r="B4066" i="1" s="1"/>
  <c r="C4067" i="1"/>
  <c r="D4067" i="1"/>
  <c r="E4067" i="1"/>
  <c r="F4067" i="1"/>
  <c r="B4067" i="1" s="1"/>
  <c r="C4068" i="1"/>
  <c r="D4068" i="1"/>
  <c r="E4068" i="1"/>
  <c r="F4068" i="1"/>
  <c r="B4068" i="1" s="1"/>
  <c r="C4069" i="1"/>
  <c r="D4069" i="1"/>
  <c r="E4069" i="1"/>
  <c r="F4069" i="1"/>
  <c r="B4069" i="1" s="1"/>
  <c r="C4070" i="1"/>
  <c r="D4070" i="1"/>
  <c r="E4070" i="1"/>
  <c r="F4070" i="1"/>
  <c r="B4070" i="1" s="1"/>
  <c r="C4071" i="1"/>
  <c r="D4071" i="1"/>
  <c r="E4071" i="1"/>
  <c r="F4071" i="1"/>
  <c r="B4071" i="1" s="1"/>
  <c r="C3949" i="1"/>
  <c r="D3949" i="1"/>
  <c r="E3949" i="1"/>
  <c r="F3949" i="1"/>
  <c r="B3949" i="1" s="1"/>
  <c r="C3950" i="1"/>
  <c r="D3950" i="1"/>
  <c r="E3950" i="1"/>
  <c r="F3950" i="1"/>
  <c r="B3950" i="1" s="1"/>
  <c r="C3951" i="1"/>
  <c r="D3951" i="1"/>
  <c r="E3951" i="1"/>
  <c r="F3951" i="1"/>
  <c r="B3951" i="1" s="1"/>
  <c r="C3952" i="1"/>
  <c r="D3952" i="1"/>
  <c r="E3952" i="1"/>
  <c r="F3952" i="1"/>
  <c r="B3952" i="1" s="1"/>
  <c r="C3953" i="1"/>
  <c r="D3953" i="1"/>
  <c r="E3953" i="1"/>
  <c r="F3953" i="1"/>
  <c r="B3953" i="1" s="1"/>
  <c r="C3954" i="1"/>
  <c r="D3954" i="1"/>
  <c r="E3954" i="1"/>
  <c r="F3954" i="1"/>
  <c r="B3954" i="1" s="1"/>
  <c r="C3955" i="1"/>
  <c r="D3955" i="1"/>
  <c r="E3955" i="1"/>
  <c r="F3955" i="1"/>
  <c r="B3955" i="1" s="1"/>
  <c r="C3956" i="1"/>
  <c r="D3956" i="1"/>
  <c r="E3956" i="1"/>
  <c r="F3956" i="1"/>
  <c r="B3956" i="1" s="1"/>
  <c r="C3957" i="1"/>
  <c r="D3957" i="1"/>
  <c r="E3957" i="1"/>
  <c r="F3957" i="1"/>
  <c r="B3957" i="1" s="1"/>
  <c r="C3958" i="1"/>
  <c r="D3958" i="1"/>
  <c r="E3958" i="1"/>
  <c r="F3958" i="1"/>
  <c r="B3958" i="1" s="1"/>
  <c r="C3959" i="1"/>
  <c r="D3959" i="1"/>
  <c r="E3959" i="1"/>
  <c r="F3959" i="1"/>
  <c r="B3959" i="1" s="1"/>
  <c r="C3960" i="1"/>
  <c r="D3960" i="1"/>
  <c r="E3960" i="1"/>
  <c r="F3960" i="1"/>
  <c r="B3960" i="1" s="1"/>
  <c r="C3961" i="1"/>
  <c r="D3961" i="1"/>
  <c r="E3961" i="1"/>
  <c r="F3961" i="1"/>
  <c r="B3961" i="1" s="1"/>
  <c r="C3962" i="1"/>
  <c r="D3962" i="1"/>
  <c r="E3962" i="1"/>
  <c r="F3962" i="1"/>
  <c r="B3962" i="1" s="1"/>
  <c r="C3963" i="1"/>
  <c r="D3963" i="1"/>
  <c r="E3963" i="1"/>
  <c r="F3963" i="1"/>
  <c r="B3963" i="1" s="1"/>
  <c r="C3964" i="1"/>
  <c r="D3964" i="1"/>
  <c r="E3964" i="1"/>
  <c r="F3964" i="1"/>
  <c r="B3964" i="1" s="1"/>
  <c r="C3965" i="1"/>
  <c r="D3965" i="1"/>
  <c r="E3965" i="1"/>
  <c r="F3965" i="1"/>
  <c r="B3965" i="1" s="1"/>
  <c r="C3966" i="1"/>
  <c r="D3966" i="1"/>
  <c r="E3966" i="1"/>
  <c r="F3966" i="1"/>
  <c r="B3966" i="1" s="1"/>
  <c r="C3967" i="1"/>
  <c r="D3967" i="1"/>
  <c r="E3967" i="1"/>
  <c r="F3967" i="1"/>
  <c r="B3967" i="1" s="1"/>
  <c r="C3968" i="1"/>
  <c r="D3968" i="1"/>
  <c r="E3968" i="1"/>
  <c r="F3968" i="1"/>
  <c r="B3968" i="1" s="1"/>
  <c r="C3969" i="1"/>
  <c r="D3969" i="1"/>
  <c r="E3969" i="1"/>
  <c r="F3969" i="1"/>
  <c r="B3969" i="1" s="1"/>
  <c r="C3970" i="1"/>
  <c r="D3970" i="1"/>
  <c r="E3970" i="1"/>
  <c r="F3970" i="1"/>
  <c r="B3970" i="1" s="1"/>
  <c r="C3971" i="1"/>
  <c r="D3971" i="1"/>
  <c r="E3971" i="1"/>
  <c r="F3971" i="1"/>
  <c r="B3971" i="1" s="1"/>
  <c r="C3972" i="1"/>
  <c r="D3972" i="1"/>
  <c r="E3972" i="1"/>
  <c r="F3972" i="1"/>
  <c r="B3972" i="1" s="1"/>
  <c r="C3973" i="1"/>
  <c r="D3973" i="1"/>
  <c r="E3973" i="1"/>
  <c r="F3973" i="1"/>
  <c r="B3973" i="1" s="1"/>
  <c r="C3974" i="1"/>
  <c r="D3974" i="1"/>
  <c r="E3974" i="1"/>
  <c r="F3974" i="1"/>
  <c r="B3974" i="1" s="1"/>
  <c r="C3937" i="1"/>
  <c r="D3937" i="1"/>
  <c r="E3937" i="1"/>
  <c r="F3937" i="1"/>
  <c r="B3937" i="1" s="1"/>
  <c r="C3938" i="1"/>
  <c r="D3938" i="1"/>
  <c r="E3938" i="1"/>
  <c r="F3938" i="1"/>
  <c r="B3938" i="1" s="1"/>
  <c r="C3939" i="1"/>
  <c r="D3939" i="1"/>
  <c r="E3939" i="1"/>
  <c r="F3939" i="1"/>
  <c r="B3939" i="1" s="1"/>
  <c r="C3940" i="1"/>
  <c r="D3940" i="1"/>
  <c r="E3940" i="1"/>
  <c r="F3940" i="1"/>
  <c r="B3940" i="1" s="1"/>
  <c r="C3941" i="1"/>
  <c r="D3941" i="1"/>
  <c r="E3941" i="1"/>
  <c r="F3941" i="1"/>
  <c r="B3941" i="1" s="1"/>
  <c r="C3942" i="1"/>
  <c r="D3942" i="1"/>
  <c r="E3942" i="1"/>
  <c r="F3942" i="1"/>
  <c r="B3942" i="1" s="1"/>
  <c r="C3943" i="1"/>
  <c r="D3943" i="1"/>
  <c r="E3943" i="1"/>
  <c r="F3943" i="1"/>
  <c r="B3943" i="1" s="1"/>
  <c r="C3944" i="1"/>
  <c r="D3944" i="1"/>
  <c r="E3944" i="1"/>
  <c r="F3944" i="1"/>
  <c r="B3944" i="1" s="1"/>
  <c r="C3945" i="1"/>
  <c r="D3945" i="1"/>
  <c r="E3945" i="1"/>
  <c r="F3945" i="1"/>
  <c r="B3945" i="1" s="1"/>
  <c r="C3946" i="1"/>
  <c r="D3946" i="1"/>
  <c r="E3946" i="1"/>
  <c r="F3946" i="1"/>
  <c r="B3946" i="1" s="1"/>
  <c r="C3947" i="1"/>
  <c r="D3947" i="1"/>
  <c r="E3947" i="1"/>
  <c r="F3947" i="1"/>
  <c r="B3947" i="1" s="1"/>
  <c r="C3948" i="1"/>
  <c r="D3948" i="1"/>
  <c r="E3948" i="1"/>
  <c r="F3948" i="1"/>
  <c r="B3948" i="1" s="1"/>
  <c r="F3936" i="1"/>
  <c r="B3936" i="1" s="1"/>
  <c r="E3936" i="1"/>
  <c r="C3936"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E3921" i="1"/>
  <c r="D3921" i="1"/>
  <c r="F3921" i="1"/>
  <c r="B3921" i="1" s="1"/>
  <c r="E3922" i="1"/>
  <c r="D3922" i="1"/>
  <c r="F3922" i="1"/>
  <c r="B3922" i="1" s="1"/>
  <c r="E3923" i="1"/>
  <c r="D3923" i="1"/>
  <c r="F3923" i="1"/>
  <c r="B3923" i="1" s="1"/>
  <c r="E3924" i="1"/>
  <c r="D3924" i="1"/>
  <c r="F3924" i="1"/>
  <c r="B3924" i="1" s="1"/>
  <c r="E3925" i="1"/>
  <c r="D3925" i="1"/>
  <c r="F3925" i="1"/>
  <c r="B3925" i="1" s="1"/>
  <c r="E3926" i="1"/>
  <c r="D3926" i="1"/>
  <c r="F3926" i="1"/>
  <c r="B3926" i="1" s="1"/>
  <c r="E3927" i="1"/>
  <c r="D3927" i="1"/>
  <c r="F3927" i="1"/>
  <c r="B3927" i="1" s="1"/>
  <c r="E3928" i="1"/>
  <c r="D3928" i="1"/>
  <c r="F3928" i="1"/>
  <c r="B3928" i="1" s="1"/>
  <c r="E3929" i="1"/>
  <c r="D3929" i="1"/>
  <c r="F3929" i="1"/>
  <c r="B3929" i="1" s="1"/>
  <c r="E3930" i="1"/>
  <c r="D3930" i="1"/>
  <c r="F3930" i="1"/>
  <c r="B3930" i="1" s="1"/>
  <c r="E3931" i="1"/>
  <c r="D3931" i="1"/>
  <c r="F3931" i="1"/>
  <c r="B3931" i="1" s="1"/>
  <c r="E3932" i="1"/>
  <c r="D3932" i="1"/>
  <c r="F3932" i="1"/>
  <c r="B3932" i="1" s="1"/>
  <c r="E3933" i="1"/>
  <c r="D3933" i="1"/>
  <c r="F3933" i="1"/>
  <c r="B3933" i="1" s="1"/>
  <c r="E3934" i="1"/>
  <c r="D3934" i="1"/>
  <c r="F3934" i="1"/>
  <c r="B3934" i="1" s="1"/>
  <c r="E3935" i="1"/>
  <c r="D3935" i="1"/>
  <c r="F3935" i="1"/>
  <c r="B3935" i="1" s="1"/>
  <c r="E3920" i="1"/>
  <c r="D3920" i="1"/>
  <c r="F3920" i="1"/>
  <c r="B3920" i="1" s="1"/>
  <c r="E3904" i="1"/>
  <c r="D3904" i="1"/>
  <c r="F3904" i="1"/>
  <c r="B3904" i="1" s="1"/>
  <c r="E3905" i="1"/>
  <c r="D3905" i="1"/>
  <c r="F3905" i="1"/>
  <c r="B3905" i="1" s="1"/>
  <c r="E3906" i="1"/>
  <c r="D3906" i="1"/>
  <c r="F3906" i="1"/>
  <c r="B3906" i="1" s="1"/>
  <c r="E3907" i="1"/>
  <c r="D3907" i="1"/>
  <c r="F3907" i="1"/>
  <c r="B3907" i="1" s="1"/>
  <c r="E3908" i="1"/>
  <c r="D3908" i="1"/>
  <c r="F3908" i="1"/>
  <c r="B3908" i="1" s="1"/>
  <c r="E3909" i="1"/>
  <c r="D3909" i="1"/>
  <c r="F3909" i="1"/>
  <c r="B3909" i="1" s="1"/>
  <c r="E3910" i="1"/>
  <c r="D3910" i="1"/>
  <c r="F3910" i="1"/>
  <c r="B3910" i="1" s="1"/>
  <c r="E3911" i="1"/>
  <c r="D3911" i="1"/>
  <c r="F3911" i="1"/>
  <c r="B3911" i="1" s="1"/>
  <c r="E3912" i="1"/>
  <c r="D3912" i="1"/>
  <c r="F3912" i="1"/>
  <c r="B3912" i="1" s="1"/>
  <c r="E3913" i="1"/>
  <c r="D3913" i="1"/>
  <c r="F3913" i="1"/>
  <c r="B3913" i="1" s="1"/>
  <c r="E3914" i="1"/>
  <c r="D3914" i="1"/>
  <c r="F3914" i="1"/>
  <c r="B3914" i="1" s="1"/>
  <c r="E3915" i="1"/>
  <c r="D3915" i="1"/>
  <c r="F3915" i="1"/>
  <c r="B3915" i="1" s="1"/>
  <c r="E3916" i="1"/>
  <c r="D3916" i="1"/>
  <c r="F3916" i="1"/>
  <c r="B3916" i="1" s="1"/>
  <c r="E3917" i="1"/>
  <c r="D3917" i="1"/>
  <c r="F3917" i="1"/>
  <c r="B3917" i="1" s="1"/>
  <c r="E3918" i="1"/>
  <c r="D3918" i="1"/>
  <c r="F3918" i="1"/>
  <c r="B3918" i="1" s="1"/>
  <c r="E3919" i="1"/>
  <c r="D3919" i="1"/>
  <c r="F3919" i="1"/>
  <c r="B3919" i="1" s="1"/>
  <c r="E3903" i="1" l="1"/>
  <c r="C3817" i="1" l="1"/>
  <c r="E3817" i="1"/>
  <c r="D3817" i="1"/>
  <c r="C3818" i="1"/>
  <c r="E3818" i="1"/>
  <c r="D3818" i="1"/>
  <c r="C3819" i="1"/>
  <c r="E3819" i="1"/>
  <c r="D3819" i="1"/>
  <c r="C3820" i="1"/>
  <c r="E3820" i="1"/>
  <c r="D3820" i="1"/>
  <c r="C3821" i="1"/>
  <c r="E3821" i="1"/>
  <c r="D3821" i="1"/>
  <c r="C3822" i="1"/>
  <c r="E3822" i="1"/>
  <c r="D3822" i="1"/>
  <c r="C3823" i="1"/>
  <c r="E3823" i="1"/>
  <c r="D3823" i="1"/>
  <c r="C3824" i="1"/>
  <c r="E3824" i="1"/>
  <c r="D3824" i="1"/>
  <c r="C3825" i="1"/>
  <c r="E3825" i="1"/>
  <c r="D3825" i="1"/>
  <c r="C3826" i="1"/>
  <c r="E3826" i="1"/>
  <c r="D3826" i="1"/>
  <c r="C3827" i="1"/>
  <c r="E3827" i="1"/>
  <c r="D3827" i="1"/>
  <c r="C3828" i="1"/>
  <c r="E3828" i="1"/>
  <c r="D3828" i="1"/>
  <c r="C3829" i="1"/>
  <c r="E3829" i="1"/>
  <c r="D3829" i="1"/>
  <c r="C3830" i="1"/>
  <c r="E3830" i="1"/>
  <c r="D3830" i="1"/>
  <c r="C3831" i="1"/>
  <c r="E3831" i="1"/>
  <c r="D3831" i="1"/>
  <c r="C3832" i="1"/>
  <c r="E3832" i="1"/>
  <c r="D3832" i="1"/>
  <c r="C3833" i="1"/>
  <c r="E3833" i="1"/>
  <c r="D3833" i="1"/>
  <c r="C3834" i="1"/>
  <c r="E3834" i="1"/>
  <c r="D3834" i="1"/>
  <c r="C3835" i="1"/>
  <c r="E3835" i="1"/>
  <c r="D3835" i="1"/>
  <c r="C3836" i="1"/>
  <c r="E3836" i="1"/>
  <c r="D3836" i="1"/>
  <c r="C3837" i="1"/>
  <c r="E3837" i="1"/>
  <c r="D3837" i="1"/>
  <c r="C3838" i="1"/>
  <c r="E3838" i="1"/>
  <c r="D3838" i="1"/>
  <c r="C3839" i="1"/>
  <c r="E3839" i="1"/>
  <c r="D3839" i="1"/>
  <c r="C3840" i="1"/>
  <c r="E3840" i="1"/>
  <c r="D3840" i="1"/>
  <c r="C3841" i="1"/>
  <c r="E3841" i="1"/>
  <c r="D3841" i="1"/>
  <c r="C3842" i="1"/>
  <c r="E3842" i="1"/>
  <c r="D3842" i="1"/>
  <c r="C3843" i="1"/>
  <c r="E3843" i="1"/>
  <c r="D3843" i="1"/>
  <c r="C3844" i="1"/>
  <c r="E3844" i="1"/>
  <c r="D3844" i="1"/>
  <c r="C3845" i="1"/>
  <c r="E3845" i="1"/>
  <c r="D3845" i="1"/>
  <c r="C3846" i="1"/>
  <c r="E3846" i="1"/>
  <c r="D3846" i="1"/>
  <c r="C3847" i="1"/>
  <c r="E3847" i="1"/>
  <c r="D3847" i="1"/>
  <c r="C3848" i="1"/>
  <c r="E3848" i="1"/>
  <c r="D3848" i="1"/>
  <c r="C3849" i="1"/>
  <c r="E3849" i="1"/>
  <c r="D3849" i="1"/>
  <c r="C3850" i="1"/>
  <c r="E3850" i="1"/>
  <c r="D3850" i="1"/>
  <c r="C3851" i="1"/>
  <c r="E3851" i="1"/>
  <c r="D3851" i="1"/>
  <c r="C3852" i="1"/>
  <c r="E3852" i="1"/>
  <c r="D3852" i="1"/>
  <c r="C3853" i="1"/>
  <c r="E3853" i="1"/>
  <c r="D3853" i="1"/>
  <c r="C3854" i="1"/>
  <c r="E3854" i="1"/>
  <c r="D3854" i="1"/>
  <c r="C3855" i="1"/>
  <c r="E3855" i="1"/>
  <c r="D3855" i="1"/>
  <c r="C3856" i="1"/>
  <c r="E3856" i="1"/>
  <c r="D3856" i="1"/>
  <c r="C3857" i="1"/>
  <c r="E3857" i="1"/>
  <c r="D3857" i="1"/>
  <c r="C3858" i="1"/>
  <c r="E3858" i="1"/>
  <c r="D3858" i="1"/>
  <c r="C3859" i="1"/>
  <c r="E3859" i="1"/>
  <c r="D3859" i="1"/>
  <c r="C3860" i="1"/>
  <c r="E3860" i="1"/>
  <c r="D3860" i="1"/>
  <c r="C3861" i="1"/>
  <c r="E3861" i="1"/>
  <c r="D3861" i="1"/>
  <c r="C3862" i="1"/>
  <c r="E3862" i="1"/>
  <c r="D3862" i="1"/>
  <c r="C3863" i="1"/>
  <c r="E3863" i="1"/>
  <c r="D3863" i="1"/>
  <c r="C3864" i="1"/>
  <c r="E3864" i="1"/>
  <c r="D3864" i="1"/>
  <c r="C3865" i="1"/>
  <c r="E3865" i="1"/>
  <c r="D3865" i="1"/>
  <c r="C3866" i="1"/>
  <c r="E3866" i="1"/>
  <c r="D3866" i="1"/>
  <c r="C3867" i="1"/>
  <c r="E3867" i="1"/>
  <c r="D3867" i="1"/>
  <c r="C3868" i="1"/>
  <c r="E3868" i="1"/>
  <c r="D3868" i="1"/>
  <c r="C3869" i="1"/>
  <c r="E3869" i="1"/>
  <c r="D3869" i="1"/>
  <c r="C3870" i="1"/>
  <c r="E3870" i="1"/>
  <c r="D3870" i="1"/>
  <c r="C3871" i="1"/>
  <c r="E3871" i="1"/>
  <c r="D3871" i="1"/>
  <c r="C3872" i="1"/>
  <c r="E3872" i="1"/>
  <c r="D3872" i="1"/>
  <c r="C3873" i="1"/>
  <c r="E3873" i="1"/>
  <c r="D3873" i="1"/>
  <c r="C3874" i="1"/>
  <c r="E3874" i="1"/>
  <c r="D3874" i="1"/>
  <c r="C3875" i="1"/>
  <c r="E3875" i="1"/>
  <c r="D3875" i="1"/>
  <c r="C3876" i="1"/>
  <c r="E3876" i="1"/>
  <c r="D3876" i="1"/>
  <c r="C3877" i="1"/>
  <c r="E3877" i="1"/>
  <c r="D3877" i="1"/>
  <c r="C3878" i="1"/>
  <c r="E3878" i="1"/>
  <c r="D3878" i="1"/>
  <c r="C3879" i="1"/>
  <c r="E3879" i="1"/>
  <c r="D3879" i="1"/>
  <c r="C3880" i="1"/>
  <c r="E3880" i="1"/>
  <c r="D3880" i="1"/>
  <c r="C3881" i="1"/>
  <c r="E3881" i="1"/>
  <c r="D3881" i="1"/>
  <c r="C3882" i="1"/>
  <c r="E3882" i="1"/>
  <c r="D3882" i="1"/>
  <c r="C3883" i="1"/>
  <c r="E3883" i="1"/>
  <c r="D3883" i="1"/>
  <c r="C3884" i="1"/>
  <c r="E3884" i="1"/>
  <c r="D3884" i="1"/>
  <c r="C3885" i="1"/>
  <c r="E3885" i="1"/>
  <c r="D3885" i="1"/>
  <c r="C3886" i="1"/>
  <c r="E3886" i="1"/>
  <c r="D3886" i="1"/>
  <c r="C3887" i="1"/>
  <c r="E3887" i="1"/>
  <c r="D3887" i="1"/>
  <c r="C3888" i="1"/>
  <c r="E3888" i="1"/>
  <c r="D3888" i="1"/>
  <c r="C3889" i="1"/>
  <c r="E3889" i="1"/>
  <c r="D3889" i="1"/>
  <c r="C3890" i="1"/>
  <c r="E3890" i="1"/>
  <c r="D3890" i="1"/>
  <c r="C3891" i="1"/>
  <c r="E3891" i="1"/>
  <c r="D3891" i="1"/>
  <c r="C3892" i="1"/>
  <c r="E3892" i="1"/>
  <c r="D3892" i="1"/>
  <c r="C3893" i="1"/>
  <c r="E3893" i="1"/>
  <c r="D3893" i="1"/>
  <c r="C3894" i="1"/>
  <c r="E3894" i="1"/>
  <c r="D3894" i="1"/>
  <c r="C3895" i="1"/>
  <c r="E3895" i="1"/>
  <c r="D3895" i="1"/>
  <c r="C3896" i="1"/>
  <c r="E3896" i="1"/>
  <c r="D3896" i="1"/>
  <c r="C3897" i="1"/>
  <c r="E3897" i="1"/>
  <c r="D3897" i="1"/>
  <c r="C3898" i="1"/>
  <c r="E3898" i="1"/>
  <c r="D3898" i="1"/>
  <c r="C3899" i="1"/>
  <c r="E3899" i="1"/>
  <c r="D3899" i="1"/>
  <c r="C3900" i="1"/>
  <c r="E3900" i="1"/>
  <c r="D3900" i="1"/>
  <c r="C3901" i="1"/>
  <c r="E3901" i="1"/>
  <c r="D3901" i="1"/>
  <c r="C3902" i="1"/>
  <c r="E3902" i="1"/>
  <c r="D3902" i="1"/>
  <c r="C3903" i="1"/>
  <c r="D3903" i="1"/>
  <c r="C3816" i="1"/>
  <c r="E3816" i="1"/>
  <c r="D3816" i="1"/>
  <c r="F3816" i="1"/>
  <c r="B3816" i="1" s="1"/>
  <c r="F3819" i="1"/>
  <c r="B3819" i="1" s="1"/>
  <c r="F3820" i="1"/>
  <c r="B3820" i="1" s="1"/>
  <c r="F3821" i="1"/>
  <c r="B3821" i="1" s="1"/>
  <c r="F3822" i="1"/>
  <c r="B3822" i="1" s="1"/>
  <c r="F3823" i="1"/>
  <c r="B3823" i="1" s="1"/>
  <c r="F3824" i="1"/>
  <c r="B3824" i="1" s="1"/>
  <c r="F3825" i="1"/>
  <c r="B3825" i="1" s="1"/>
  <c r="F3826" i="1"/>
  <c r="B3826" i="1" s="1"/>
  <c r="F3827" i="1"/>
  <c r="B3827" i="1" s="1"/>
  <c r="F3828" i="1"/>
  <c r="B3828" i="1" s="1"/>
  <c r="F3829" i="1"/>
  <c r="B3829" i="1" s="1"/>
  <c r="F3830" i="1"/>
  <c r="B3830" i="1" s="1"/>
  <c r="F3831" i="1"/>
  <c r="B3831" i="1" s="1"/>
  <c r="F3832" i="1"/>
  <c r="B3832" i="1" s="1"/>
  <c r="F3833" i="1"/>
  <c r="B3833" i="1" s="1"/>
  <c r="F3834" i="1"/>
  <c r="B3834" i="1" s="1"/>
  <c r="F3835" i="1"/>
  <c r="B3835" i="1" s="1"/>
  <c r="F3836" i="1"/>
  <c r="B3836" i="1" s="1"/>
  <c r="F3837" i="1"/>
  <c r="B3837" i="1" s="1"/>
  <c r="F3838" i="1"/>
  <c r="B3838" i="1" s="1"/>
  <c r="F3839" i="1"/>
  <c r="B3839" i="1" s="1"/>
  <c r="F3840" i="1"/>
  <c r="B3840" i="1" s="1"/>
  <c r="F3841" i="1"/>
  <c r="B3841" i="1" s="1"/>
  <c r="F3842" i="1"/>
  <c r="B3842" i="1" s="1"/>
  <c r="F3843" i="1"/>
  <c r="B3843" i="1" s="1"/>
  <c r="F3844" i="1"/>
  <c r="B3844" i="1" s="1"/>
  <c r="F3845" i="1"/>
  <c r="B3845" i="1" s="1"/>
  <c r="F3846" i="1"/>
  <c r="B3846" i="1" s="1"/>
  <c r="F3847" i="1"/>
  <c r="B3847" i="1" s="1"/>
  <c r="F3848" i="1"/>
  <c r="B3848" i="1" s="1"/>
  <c r="F3849" i="1"/>
  <c r="B3849" i="1" s="1"/>
  <c r="F3850" i="1"/>
  <c r="B3850" i="1" s="1"/>
  <c r="F3851" i="1"/>
  <c r="B3851" i="1" s="1"/>
  <c r="F3852" i="1"/>
  <c r="B3852" i="1" s="1"/>
  <c r="F3853" i="1"/>
  <c r="B3853" i="1" s="1"/>
  <c r="F3854" i="1"/>
  <c r="B3854" i="1" s="1"/>
  <c r="F3855" i="1"/>
  <c r="B3855" i="1" s="1"/>
  <c r="F3856" i="1"/>
  <c r="B3856" i="1" s="1"/>
  <c r="F3857" i="1"/>
  <c r="B3857" i="1" s="1"/>
  <c r="F3858" i="1"/>
  <c r="B3858" i="1" s="1"/>
  <c r="F3859" i="1"/>
  <c r="B3859" i="1" s="1"/>
  <c r="F3860" i="1"/>
  <c r="B3860" i="1" s="1"/>
  <c r="F3861" i="1"/>
  <c r="B3861" i="1" s="1"/>
  <c r="F3862" i="1"/>
  <c r="B3862" i="1" s="1"/>
  <c r="F3863" i="1"/>
  <c r="B3863" i="1" s="1"/>
  <c r="F3864" i="1"/>
  <c r="B3864" i="1" s="1"/>
  <c r="F3865" i="1"/>
  <c r="B3865" i="1" s="1"/>
  <c r="F3866" i="1"/>
  <c r="B3866" i="1" s="1"/>
  <c r="F3867" i="1"/>
  <c r="B3867" i="1" s="1"/>
  <c r="F3868" i="1"/>
  <c r="B3868" i="1" s="1"/>
  <c r="F3869" i="1"/>
  <c r="B3869" i="1" s="1"/>
  <c r="F3870" i="1"/>
  <c r="B3870" i="1" s="1"/>
  <c r="F3871" i="1"/>
  <c r="B3871" i="1" s="1"/>
  <c r="F3872" i="1"/>
  <c r="B3872" i="1" s="1"/>
  <c r="F3873" i="1"/>
  <c r="B3873" i="1" s="1"/>
  <c r="F3874" i="1"/>
  <c r="B3874" i="1" s="1"/>
  <c r="F3875" i="1"/>
  <c r="B3875" i="1" s="1"/>
  <c r="F3876" i="1"/>
  <c r="B3876" i="1" s="1"/>
  <c r="F3877" i="1"/>
  <c r="B3877" i="1" s="1"/>
  <c r="F3878" i="1"/>
  <c r="B3878" i="1" s="1"/>
  <c r="F3879" i="1"/>
  <c r="B3879" i="1" s="1"/>
  <c r="F3880" i="1"/>
  <c r="B3880" i="1" s="1"/>
  <c r="F3881" i="1"/>
  <c r="B3881" i="1" s="1"/>
  <c r="F3882" i="1"/>
  <c r="B3882" i="1" s="1"/>
  <c r="F3883" i="1"/>
  <c r="B3883" i="1" s="1"/>
  <c r="F3884" i="1"/>
  <c r="B3884" i="1" s="1"/>
  <c r="F3885" i="1"/>
  <c r="B3885" i="1" s="1"/>
  <c r="F3886" i="1"/>
  <c r="B3886" i="1" s="1"/>
  <c r="F3887" i="1"/>
  <c r="B3887" i="1" s="1"/>
  <c r="F3888" i="1"/>
  <c r="B3888" i="1" s="1"/>
  <c r="F3889" i="1"/>
  <c r="B3889" i="1" s="1"/>
  <c r="F3890" i="1"/>
  <c r="B3890" i="1" s="1"/>
  <c r="F3891" i="1"/>
  <c r="B3891" i="1" s="1"/>
  <c r="F3892" i="1"/>
  <c r="B3892" i="1" s="1"/>
  <c r="F3893" i="1"/>
  <c r="B3893" i="1" s="1"/>
  <c r="F3894" i="1"/>
  <c r="B3894" i="1" s="1"/>
  <c r="F3895" i="1"/>
  <c r="B3895" i="1" s="1"/>
  <c r="F3896" i="1"/>
  <c r="B3896" i="1" s="1"/>
  <c r="F3897" i="1"/>
  <c r="B3897" i="1" s="1"/>
  <c r="F3898" i="1"/>
  <c r="B3898" i="1" s="1"/>
  <c r="F3899" i="1"/>
  <c r="B3899" i="1" s="1"/>
  <c r="F3900" i="1"/>
  <c r="B3900" i="1" s="1"/>
  <c r="F3901" i="1"/>
  <c r="B3901" i="1" s="1"/>
  <c r="F3902" i="1"/>
  <c r="B3902" i="1" s="1"/>
  <c r="F3903" i="1"/>
  <c r="B3903" i="1" s="1"/>
  <c r="F3817" i="1"/>
  <c r="B3817" i="1" s="1"/>
  <c r="F3818" i="1"/>
  <c r="B3818" i="1" s="1"/>
  <c r="L4038" i="1"/>
  <c r="M4038" i="1" s="1"/>
  <c r="L4055" i="1"/>
  <c r="M4055" i="1" s="1"/>
  <c r="L4072" i="1"/>
  <c r="M4072" i="1" s="1"/>
  <c r="L4089" i="1"/>
  <c r="M4089" i="1" s="1"/>
  <c r="L4106" i="1"/>
  <c r="M4106" i="1" s="1"/>
  <c r="L4123" i="1"/>
  <c r="M4123" i="1" s="1"/>
  <c r="L4140" i="1"/>
  <c r="M4140" i="1" s="1"/>
  <c r="L4157" i="1"/>
  <c r="M4157" i="1" s="1"/>
  <c r="L4174" i="1"/>
  <c r="M4174" i="1" s="1"/>
  <c r="L4191" i="1"/>
  <c r="M4191" i="1" s="1"/>
  <c r="L4208" i="1"/>
  <c r="M4208" i="1" s="1"/>
  <c r="L4225" i="1"/>
  <c r="M4225" i="1" s="1"/>
  <c r="L4242" i="1"/>
  <c r="M4242" i="1" s="1"/>
  <c r="L4259" i="1"/>
  <c r="M4259" i="1" s="1"/>
  <c r="L4276" i="1"/>
  <c r="M4276" i="1" s="1"/>
  <c r="L4293" i="1"/>
  <c r="M4293" i="1" s="1"/>
  <c r="L4310" i="1"/>
  <c r="M4310" i="1" s="1"/>
  <c r="L4327" i="1"/>
  <c r="M4327" i="1" s="1"/>
  <c r="L4344" i="1"/>
  <c r="M4344" i="1" s="1"/>
  <c r="L4361" i="1"/>
  <c r="M4361" i="1" s="1"/>
  <c r="L4378" i="1"/>
  <c r="M4378" i="1" s="1"/>
  <c r="L4395" i="1"/>
  <c r="M4395" i="1" s="1"/>
  <c r="L4412" i="1"/>
  <c r="M4412" i="1" s="1"/>
  <c r="L4429" i="1"/>
  <c r="M4429" i="1" s="1"/>
  <c r="L4446" i="1"/>
  <c r="M4446" i="1" s="1"/>
  <c r="L4463" i="1"/>
  <c r="M4463" i="1" s="1"/>
  <c r="L4480" i="1"/>
  <c r="M4480" i="1" s="1"/>
  <c r="L4497" i="1"/>
  <c r="M4497" i="1" s="1"/>
  <c r="L4514" i="1"/>
  <c r="M4514" i="1" s="1"/>
  <c r="L4531" i="1"/>
  <c r="M4531" i="1" s="1"/>
  <c r="L4548" i="1"/>
  <c r="M4548" i="1" s="1"/>
  <c r="L4565" i="1"/>
  <c r="M4565" i="1" s="1"/>
  <c r="L4582" i="1"/>
  <c r="M4582" i="1" s="1"/>
  <c r="L4599" i="1"/>
  <c r="M4599" i="1" s="1"/>
  <c r="L4616" i="1"/>
  <c r="M4616" i="1" s="1"/>
  <c r="L4633" i="1"/>
  <c r="M4633" i="1" s="1"/>
  <c r="L4650" i="1"/>
  <c r="M4650" i="1" s="1"/>
  <c r="L4667" i="1"/>
  <c r="M4667" i="1" s="1"/>
  <c r="L4684" i="1"/>
  <c r="M4684" i="1" s="1"/>
  <c r="L4701" i="1"/>
  <c r="M4701" i="1" s="1"/>
  <c r="L4718" i="1"/>
  <c r="M4718" i="1" s="1"/>
  <c r="L4735" i="1"/>
  <c r="M4735" i="1" s="1"/>
  <c r="L4752" i="1"/>
  <c r="M4752" i="1" s="1"/>
  <c r="L4769" i="1"/>
  <c r="M4769" i="1" s="1"/>
  <c r="L4786" i="1"/>
  <c r="M4786" i="1" s="1"/>
  <c r="L4803" i="1"/>
  <c r="M4803" i="1" s="1"/>
  <c r="L4820" i="1"/>
  <c r="M4820" i="1" s="1"/>
  <c r="L4837" i="1"/>
  <c r="M4837" i="1" s="1"/>
  <c r="L4854" i="1"/>
  <c r="M4854" i="1" s="1"/>
  <c r="L4871" i="1"/>
  <c r="M4871" i="1" s="1"/>
  <c r="L4888" i="1"/>
  <c r="M4888" i="1" s="1"/>
  <c r="L4905" i="1"/>
  <c r="M4905" i="1" s="1"/>
  <c r="L4922" i="1"/>
  <c r="M4922" i="1" s="1"/>
  <c r="L4939" i="1"/>
  <c r="M4939" i="1" s="1"/>
  <c r="L4956" i="1"/>
  <c r="M4956" i="1" s="1"/>
  <c r="L4973" i="1"/>
  <c r="M4973" i="1" s="1"/>
  <c r="L4990" i="1"/>
  <c r="M4990" i="1" s="1"/>
  <c r="L5007" i="1"/>
  <c r="M5007" i="1" s="1"/>
  <c r="L5024" i="1"/>
  <c r="M5024" i="1" s="1"/>
  <c r="L5041" i="1"/>
  <c r="M5041" i="1" s="1"/>
  <c r="L5058" i="1"/>
  <c r="M5058" i="1" s="1"/>
  <c r="L5075" i="1"/>
  <c r="M5075" i="1" s="1"/>
  <c r="L5092" i="1"/>
  <c r="M5092" i="1" s="1"/>
  <c r="L5109" i="1"/>
  <c r="M5109" i="1" s="1"/>
  <c r="M1352" i="1"/>
  <c r="M1368" i="1"/>
  <c r="L1385" i="1"/>
  <c r="M1385" i="1" s="1"/>
  <c r="L1402" i="1"/>
  <c r="M1402" i="1" s="1"/>
  <c r="L1419" i="1"/>
  <c r="M1419" i="1" s="1"/>
  <c r="L1436" i="1"/>
  <c r="M1436" i="1" s="1"/>
  <c r="L1453" i="1"/>
  <c r="M1453" i="1" s="1"/>
  <c r="L1470" i="1"/>
  <c r="M1470" i="1" s="1"/>
  <c r="L1487" i="1"/>
  <c r="M1487" i="1" s="1"/>
  <c r="L1488" i="1"/>
  <c r="L1505" i="1"/>
  <c r="M1505" i="1" s="1"/>
  <c r="L1522" i="1"/>
  <c r="M1522" i="1" s="1"/>
  <c r="L1539" i="1"/>
  <c r="M1539" i="1" s="1"/>
  <c r="L1556" i="1"/>
  <c r="M1556" i="1" s="1"/>
  <c r="L1573" i="1"/>
  <c r="M1573" i="1" s="1"/>
  <c r="L1590" i="1"/>
  <c r="M1590" i="1" s="1"/>
  <c r="L1607" i="1"/>
  <c r="M1607" i="1" s="1"/>
  <c r="L1624" i="1"/>
  <c r="M1624" i="1" s="1"/>
  <c r="L1625" i="1"/>
  <c r="M1625" i="1" s="1"/>
  <c r="L1642" i="1"/>
  <c r="M1642" i="1" s="1"/>
  <c r="L1659" i="1"/>
  <c r="M1659" i="1" s="1"/>
  <c r="L1676" i="1"/>
  <c r="M1676" i="1" s="1"/>
  <c r="L1693" i="1"/>
  <c r="M1693" i="1" s="1"/>
  <c r="L1710" i="1"/>
  <c r="M1710" i="1" s="1"/>
  <c r="L1727" i="1"/>
  <c r="M1727" i="1" s="1"/>
  <c r="L1744" i="1"/>
  <c r="M1744" i="1" s="1"/>
  <c r="L1761" i="1"/>
  <c r="M1761" i="1" s="1"/>
  <c r="L1762" i="1"/>
  <c r="M1762" i="1" s="1"/>
  <c r="L1779" i="1"/>
  <c r="M1779" i="1" s="1"/>
  <c r="L1796" i="1"/>
  <c r="M1796" i="1" s="1"/>
  <c r="L1813" i="1"/>
  <c r="M1813" i="1" s="1"/>
  <c r="L1830" i="1"/>
  <c r="M1830" i="1" s="1"/>
  <c r="L1847" i="1"/>
  <c r="M1847" i="1" s="1"/>
  <c r="L1864" i="1"/>
  <c r="M1864" i="1" s="1"/>
  <c r="L1881" i="1"/>
  <c r="M1881" i="1" s="1"/>
  <c r="L1898" i="1"/>
  <c r="M1898" i="1" s="1"/>
  <c r="L1899" i="1"/>
  <c r="M1899" i="1" s="1"/>
  <c r="L1916" i="1"/>
  <c r="M1916" i="1" s="1"/>
  <c r="L1933" i="1"/>
  <c r="M1933" i="1" s="1"/>
  <c r="L1950" i="1"/>
  <c r="M1950" i="1" s="1"/>
  <c r="L1967" i="1"/>
  <c r="M1967" i="1" s="1"/>
  <c r="L1984" i="1"/>
  <c r="M1984" i="1" s="1"/>
  <c r="L2001" i="1"/>
  <c r="M2001" i="1" s="1"/>
  <c r="L2018" i="1"/>
  <c r="M2018" i="1" s="1"/>
  <c r="L2035" i="1"/>
  <c r="M2035" i="1" s="1"/>
  <c r="L2036" i="1"/>
  <c r="M2036" i="1" s="1"/>
  <c r="L2053" i="1"/>
  <c r="M2053" i="1" s="1"/>
  <c r="L2070" i="1"/>
  <c r="M2070" i="1" s="1"/>
  <c r="L2087" i="1"/>
  <c r="M2087" i="1" s="1"/>
  <c r="L2104" i="1"/>
  <c r="M2104" i="1" s="1"/>
  <c r="L2121" i="1"/>
  <c r="M2121" i="1" s="1"/>
  <c r="L2138" i="1"/>
  <c r="M2138" i="1" s="1"/>
  <c r="L2155" i="1"/>
  <c r="M2155" i="1" s="1"/>
  <c r="L2172" i="1"/>
  <c r="M2172" i="1" s="1"/>
  <c r="L2173" i="1"/>
  <c r="M2173" i="1" s="1"/>
  <c r="L2190" i="1"/>
  <c r="M2190" i="1" s="1"/>
  <c r="L2207" i="1"/>
  <c r="M2207" i="1" s="1"/>
  <c r="L2224" i="1"/>
  <c r="M2224" i="1" s="1"/>
  <c r="L2241" i="1"/>
  <c r="M2241" i="1" s="1"/>
  <c r="L2258" i="1"/>
  <c r="M2258" i="1" s="1"/>
  <c r="L2275" i="1"/>
  <c r="M2275" i="1" s="1"/>
  <c r="L2292" i="1"/>
  <c r="M2292" i="1" s="1"/>
  <c r="L2309" i="1"/>
  <c r="M2309" i="1" s="1"/>
  <c r="L2310" i="1"/>
  <c r="M2310" i="1" s="1"/>
  <c r="L2327" i="1"/>
  <c r="M2327" i="1" s="1"/>
  <c r="L2344" i="1"/>
  <c r="M2344" i="1" s="1"/>
  <c r="L2361" i="1"/>
  <c r="M2361" i="1" s="1"/>
  <c r="L2378" i="1"/>
  <c r="M2378" i="1" s="1"/>
  <c r="L2395" i="1"/>
  <c r="M2395" i="1" s="1"/>
  <c r="L2412" i="1"/>
  <c r="M2412" i="1" s="1"/>
  <c r="L2429" i="1"/>
  <c r="M2429" i="1" s="1"/>
  <c r="L2446" i="1"/>
  <c r="M2446" i="1" s="1"/>
  <c r="L2447" i="1"/>
  <c r="M2447" i="1" s="1"/>
  <c r="L2464" i="1"/>
  <c r="M2464" i="1" s="1"/>
  <c r="L2481" i="1"/>
  <c r="M2481" i="1" s="1"/>
  <c r="L2498" i="1"/>
  <c r="M2498" i="1" s="1"/>
  <c r="L2515" i="1"/>
  <c r="M2515" i="1" s="1"/>
  <c r="L2532" i="1"/>
  <c r="M2532" i="1" s="1"/>
  <c r="L2549" i="1"/>
  <c r="M2549" i="1" s="1"/>
  <c r="L2566" i="1"/>
  <c r="M2566" i="1" s="1"/>
  <c r="L2583" i="1"/>
  <c r="M2583" i="1" s="1"/>
  <c r="L2584" i="1"/>
  <c r="M2584" i="1" s="1"/>
  <c r="L2601" i="1"/>
  <c r="M2601" i="1" s="1"/>
  <c r="L2618" i="1"/>
  <c r="M2618" i="1" s="1"/>
  <c r="L2635" i="1"/>
  <c r="M2635" i="1" s="1"/>
  <c r="L2652" i="1"/>
  <c r="M2652" i="1" s="1"/>
  <c r="L2669" i="1"/>
  <c r="M2669" i="1" s="1"/>
  <c r="L2686" i="1"/>
  <c r="M2686" i="1" s="1"/>
  <c r="L2703" i="1"/>
  <c r="M2703" i="1" s="1"/>
  <c r="L2720" i="1"/>
  <c r="M2720" i="1" s="1"/>
  <c r="L2721" i="1"/>
  <c r="L2738" i="1"/>
  <c r="M2738" i="1" s="1"/>
  <c r="L2755" i="1"/>
  <c r="M2755" i="1" s="1"/>
  <c r="L2772" i="1"/>
  <c r="M2772" i="1" s="1"/>
  <c r="L2789" i="1"/>
  <c r="M2789" i="1" s="1"/>
  <c r="L2806" i="1"/>
  <c r="M2806" i="1" s="1"/>
  <c r="L2823" i="1"/>
  <c r="M2823" i="1" s="1"/>
  <c r="L2840" i="1"/>
  <c r="M2840" i="1" s="1"/>
  <c r="L2857" i="1"/>
  <c r="M2857" i="1" s="1"/>
  <c r="L2858" i="1"/>
  <c r="M2858" i="1" s="1"/>
  <c r="L2875" i="1"/>
  <c r="M2875" i="1" s="1"/>
  <c r="L2892" i="1"/>
  <c r="M2892" i="1" s="1"/>
  <c r="L2909" i="1"/>
  <c r="M2909" i="1" s="1"/>
  <c r="L2926" i="1"/>
  <c r="M2926" i="1" s="1"/>
  <c r="L2943" i="1"/>
  <c r="M2943" i="1" s="1"/>
  <c r="L2960" i="1"/>
  <c r="M2960" i="1" s="1"/>
  <c r="L2977" i="1"/>
  <c r="M2977" i="1" s="1"/>
  <c r="L2994" i="1"/>
  <c r="M2994" i="1" s="1"/>
  <c r="L2995" i="1"/>
  <c r="M2995" i="1" s="1"/>
  <c r="L3012" i="1"/>
  <c r="M3012" i="1" s="1"/>
  <c r="L3029" i="1"/>
  <c r="M3029" i="1" s="1"/>
  <c r="L3046" i="1"/>
  <c r="M3046" i="1" s="1"/>
  <c r="L3063" i="1"/>
  <c r="M3063" i="1" s="1"/>
  <c r="L3080" i="1"/>
  <c r="M3080" i="1" s="1"/>
  <c r="L3097" i="1"/>
  <c r="M3097" i="1" s="1"/>
  <c r="L3114" i="1"/>
  <c r="M3114" i="1" s="1"/>
  <c r="L3131" i="1"/>
  <c r="M3131" i="1" s="1"/>
  <c r="L3132" i="1"/>
  <c r="M3132" i="1" s="1"/>
  <c r="L3149" i="1"/>
  <c r="M3149" i="1" s="1"/>
  <c r="L3166" i="1"/>
  <c r="M3166" i="1" s="1"/>
  <c r="L3183" i="1"/>
  <c r="M3183" i="1" s="1"/>
  <c r="L3200" i="1"/>
  <c r="M3200" i="1" s="1"/>
  <c r="L3217" i="1"/>
  <c r="M3217" i="1" s="1"/>
  <c r="L3234" i="1"/>
  <c r="M3234" i="1" s="1"/>
  <c r="L3251" i="1"/>
  <c r="M3251" i="1" s="1"/>
  <c r="L3268" i="1"/>
  <c r="M3268" i="1" s="1"/>
  <c r="L3269" i="1"/>
  <c r="M3269" i="1" s="1"/>
  <c r="L3286" i="1"/>
  <c r="M3286" i="1" s="1"/>
  <c r="L3303" i="1"/>
  <c r="M3303" i="1" s="1"/>
  <c r="L3320" i="1"/>
  <c r="M3320" i="1" s="1"/>
  <c r="L3337" i="1"/>
  <c r="M3337" i="1" s="1"/>
  <c r="L3354" i="1"/>
  <c r="M3354" i="1" s="1"/>
  <c r="L3371" i="1"/>
  <c r="M3371" i="1" s="1"/>
  <c r="L3388" i="1"/>
  <c r="M3388" i="1" s="1"/>
  <c r="L3405" i="1"/>
  <c r="M3405" i="1" s="1"/>
  <c r="L3406" i="1"/>
  <c r="M3406" i="1" s="1"/>
  <c r="L3423" i="1"/>
  <c r="M3423" i="1" s="1"/>
  <c r="L3440" i="1"/>
  <c r="M3440" i="1" s="1"/>
  <c r="L3457" i="1"/>
  <c r="M3457" i="1" s="1"/>
  <c r="L3474" i="1"/>
  <c r="M3474" i="1" s="1"/>
  <c r="L3491" i="1"/>
  <c r="M3491" i="1" s="1"/>
  <c r="L3508" i="1"/>
  <c r="M3508" i="1" s="1"/>
  <c r="L3525" i="1"/>
  <c r="M3525" i="1" s="1"/>
  <c r="L3542" i="1"/>
  <c r="M3542" i="1" s="1"/>
  <c r="L3543" i="1"/>
  <c r="M3543" i="1" s="1"/>
  <c r="L3560" i="1"/>
  <c r="M3560" i="1" s="1"/>
  <c r="L3577" i="1"/>
  <c r="M3577" i="1" s="1"/>
  <c r="L3594" i="1"/>
  <c r="M3594" i="1" s="1"/>
  <c r="L3611" i="1"/>
  <c r="M3611" i="1" s="1"/>
  <c r="L3628" i="1"/>
  <c r="M3628" i="1" s="1"/>
  <c r="L3645" i="1"/>
  <c r="M3645" i="1" s="1"/>
  <c r="L3662" i="1"/>
  <c r="M3662" i="1" s="1"/>
  <c r="L3679" i="1"/>
  <c r="M3679" i="1" s="1"/>
  <c r="L3680" i="1"/>
  <c r="M3680" i="1" s="1"/>
  <c r="L3697" i="1"/>
  <c r="M3697" i="1" s="1"/>
  <c r="L3714" i="1"/>
  <c r="M3714" i="1" s="1"/>
  <c r="L3731" i="1"/>
  <c r="M3731" i="1" s="1"/>
  <c r="L3748" i="1"/>
  <c r="M3748" i="1" s="1"/>
  <c r="L3765" i="1"/>
  <c r="M3765" i="1" s="1"/>
  <c r="L3782" i="1"/>
  <c r="M3782" i="1" s="1"/>
  <c r="L3799" i="1"/>
  <c r="M3799" i="1" s="1"/>
  <c r="L3816" i="1"/>
  <c r="L3827" i="1"/>
  <c r="L3838" i="1"/>
  <c r="L3849" i="1"/>
  <c r="L3860" i="1"/>
  <c r="L3871" i="1"/>
  <c r="L3882" i="1"/>
  <c r="L3893" i="1"/>
  <c r="L3904" i="1"/>
  <c r="M3904" i="1" s="1"/>
  <c r="L3906" i="1"/>
  <c r="M3906" i="1" s="1"/>
  <c r="L3908" i="1"/>
  <c r="M3908" i="1" s="1"/>
  <c r="L3910" i="1"/>
  <c r="M3910" i="1" s="1"/>
  <c r="L3912" i="1"/>
  <c r="M3912" i="1" s="1"/>
  <c r="L3914" i="1"/>
  <c r="M3914" i="1" s="1"/>
  <c r="L3916" i="1"/>
  <c r="M3916" i="1" s="1"/>
  <c r="L3918" i="1"/>
  <c r="M3918" i="1" s="1"/>
  <c r="L3920" i="1"/>
  <c r="M3920" i="1" s="1"/>
  <c r="L3922" i="1"/>
  <c r="M3922" i="1" s="1"/>
  <c r="L3924" i="1"/>
  <c r="M3924" i="1" s="1"/>
  <c r="L3926" i="1"/>
  <c r="M3926" i="1" s="1"/>
  <c r="L3928" i="1"/>
  <c r="M3928" i="1" s="1"/>
  <c r="L3930" i="1"/>
  <c r="M3930" i="1" s="1"/>
  <c r="L3932" i="1"/>
  <c r="M3932" i="1" s="1"/>
  <c r="L3934" i="1"/>
  <c r="M3934" i="1" s="1"/>
  <c r="L3936" i="1"/>
  <c r="M3936" i="1" s="1"/>
  <c r="L3953" i="1"/>
  <c r="M3953" i="1" s="1"/>
  <c r="L3970" i="1"/>
  <c r="M3970" i="1" s="1"/>
  <c r="L3987" i="1"/>
  <c r="M3987" i="1" s="1"/>
  <c r="L4004" i="1"/>
  <c r="M4004" i="1" s="1"/>
  <c r="L4021" i="1"/>
  <c r="M4021" i="1" s="1"/>
  <c r="L859" i="1"/>
  <c r="M859" i="1" s="1"/>
  <c r="L876" i="1"/>
  <c r="M876" i="1" s="1"/>
  <c r="L893" i="1"/>
  <c r="M893" i="1" s="1"/>
  <c r="L910" i="1"/>
  <c r="M910" i="1" s="1"/>
  <c r="L927" i="1"/>
  <c r="M927" i="1" s="1"/>
  <c r="L944" i="1"/>
  <c r="M944" i="1" s="1"/>
  <c r="L961" i="1"/>
  <c r="M961" i="1" s="1"/>
  <c r="L978" i="1"/>
  <c r="M978" i="1" s="1"/>
  <c r="L995" i="1"/>
  <c r="M995" i="1" s="1"/>
  <c r="L1012" i="1"/>
  <c r="M1012" i="1" s="1"/>
  <c r="L1029" i="1"/>
  <c r="M1029" i="1" s="1"/>
  <c r="L1046" i="1"/>
  <c r="M1046" i="1" s="1"/>
  <c r="L1063" i="1"/>
  <c r="M1063" i="1" s="1"/>
  <c r="L1080" i="1"/>
  <c r="M1080" i="1" s="1"/>
  <c r="L1097" i="1"/>
  <c r="M1097" i="1" s="1"/>
  <c r="L1114" i="1"/>
  <c r="M1114" i="1" s="1"/>
  <c r="L1131" i="1"/>
  <c r="M1131" i="1" s="1"/>
  <c r="L1148" i="1"/>
  <c r="M1148" i="1" s="1"/>
  <c r="L1165" i="1"/>
  <c r="M1165" i="1" s="1"/>
  <c r="L1182" i="1"/>
  <c r="M1182" i="1" s="1"/>
  <c r="L1199" i="1"/>
  <c r="M1199" i="1" s="1"/>
  <c r="L1216" i="1"/>
  <c r="M1216" i="1" s="1"/>
  <c r="L1233" i="1"/>
  <c r="M1233" i="1" s="1"/>
  <c r="L1250" i="1"/>
  <c r="M1250" i="1" s="1"/>
  <c r="L1267" i="1"/>
  <c r="M1267" i="1" s="1"/>
  <c r="L1284" i="1"/>
  <c r="M1284" i="1" s="1"/>
  <c r="L1301" i="1"/>
  <c r="M1301" i="1" s="1"/>
  <c r="L1318" i="1"/>
  <c r="L39" i="1"/>
  <c r="L50" i="1"/>
  <c r="L61" i="1"/>
  <c r="L72" i="1"/>
  <c r="L83" i="1"/>
  <c r="L94" i="1"/>
  <c r="L111" i="1"/>
  <c r="M111" i="1" s="1"/>
  <c r="L128" i="1"/>
  <c r="M128" i="1" s="1"/>
  <c r="L145" i="1"/>
  <c r="M145" i="1" s="1"/>
  <c r="L162" i="1"/>
  <c r="M162" i="1" s="1"/>
  <c r="L179" i="1"/>
  <c r="M179" i="1" s="1"/>
  <c r="L196" i="1"/>
  <c r="M196" i="1" s="1"/>
  <c r="L213" i="1"/>
  <c r="M213" i="1" s="1"/>
  <c r="L230" i="1"/>
  <c r="M230" i="1" s="1"/>
  <c r="L247" i="1"/>
  <c r="M247" i="1" s="1"/>
  <c r="L264" i="1"/>
  <c r="M264" i="1" s="1"/>
  <c r="L281" i="1"/>
  <c r="M281" i="1" s="1"/>
  <c r="L298" i="1"/>
  <c r="M298" i="1" s="1"/>
  <c r="L315" i="1"/>
  <c r="M315" i="1" s="1"/>
  <c r="L332" i="1"/>
  <c r="M332" i="1" s="1"/>
  <c r="L349" i="1"/>
  <c r="M349" i="1" s="1"/>
  <c r="L366" i="1"/>
  <c r="M366" i="1" s="1"/>
  <c r="L383" i="1"/>
  <c r="M383" i="1" s="1"/>
  <c r="L400" i="1"/>
  <c r="M400" i="1" s="1"/>
  <c r="L417" i="1"/>
  <c r="M417" i="1" s="1"/>
  <c r="L434" i="1"/>
  <c r="M434" i="1" s="1"/>
  <c r="L451" i="1"/>
  <c r="M451" i="1" s="1"/>
  <c r="L468" i="1"/>
  <c r="M468" i="1" s="1"/>
  <c r="L485" i="1"/>
  <c r="M485" i="1" s="1"/>
  <c r="L502" i="1"/>
  <c r="M502" i="1" s="1"/>
  <c r="L519" i="1"/>
  <c r="M519" i="1" s="1"/>
  <c r="L536" i="1"/>
  <c r="M536" i="1" s="1"/>
  <c r="L553" i="1"/>
  <c r="M553" i="1" s="1"/>
  <c r="L570" i="1"/>
  <c r="M570" i="1" s="1"/>
  <c r="L587" i="1"/>
  <c r="M587" i="1" s="1"/>
  <c r="L604" i="1"/>
  <c r="M604" i="1" s="1"/>
  <c r="L621" i="1"/>
  <c r="M621" i="1" s="1"/>
  <c r="L638" i="1"/>
  <c r="M638" i="1" s="1"/>
  <c r="L655" i="1"/>
  <c r="M655" i="1" s="1"/>
  <c r="L672" i="1"/>
  <c r="M672" i="1" s="1"/>
  <c r="L689" i="1"/>
  <c r="M689" i="1" s="1"/>
  <c r="L706" i="1"/>
  <c r="M706" i="1" s="1"/>
  <c r="L723" i="1"/>
  <c r="M723" i="1" s="1"/>
  <c r="L740" i="1"/>
  <c r="M740" i="1" s="1"/>
  <c r="L757" i="1"/>
  <c r="M757" i="1" s="1"/>
  <c r="L774" i="1"/>
  <c r="M774" i="1" s="1"/>
  <c r="L791" i="1"/>
  <c r="M791" i="1" s="1"/>
  <c r="L808" i="1"/>
  <c r="M808" i="1" s="1"/>
  <c r="L825" i="1"/>
  <c r="M825" i="1" s="1"/>
  <c r="L842" i="1"/>
  <c r="M842" i="1" s="1"/>
  <c r="L17" i="1"/>
  <c r="L28" i="1"/>
  <c r="C1319" i="1"/>
  <c r="M1319" i="1" s="1"/>
  <c r="C1320" i="1"/>
  <c r="C1321" i="1"/>
  <c r="M1321" i="1" s="1"/>
  <c r="C1322" i="1"/>
  <c r="C1323" i="1"/>
  <c r="M1323" i="1" s="1"/>
  <c r="C1324" i="1"/>
  <c r="C1325" i="1"/>
  <c r="M1325" i="1" s="1"/>
  <c r="C1326" i="1"/>
  <c r="C1327" i="1"/>
  <c r="M1327" i="1" s="1"/>
  <c r="C1328" i="1"/>
  <c r="C1329" i="1"/>
  <c r="M1329" i="1" s="1"/>
  <c r="C1330" i="1"/>
  <c r="C1331" i="1"/>
  <c r="C1332" i="1"/>
  <c r="C1333" i="1"/>
  <c r="M1333" i="1" s="1"/>
  <c r="C1334" i="1"/>
  <c r="M1334" i="1" s="1"/>
  <c r="C1335" i="1"/>
  <c r="M1335" i="1" s="1"/>
  <c r="C1336" i="1"/>
  <c r="M1336" i="1" s="1"/>
  <c r="C1337" i="1"/>
  <c r="M1337" i="1" s="1"/>
  <c r="C1338" i="1"/>
  <c r="M1338" i="1" s="1"/>
  <c r="C1339" i="1"/>
  <c r="M1339" i="1" s="1"/>
  <c r="C1340" i="1"/>
  <c r="M1340" i="1" s="1"/>
  <c r="C1341" i="1"/>
  <c r="M1341" i="1" s="1"/>
  <c r="C1342" i="1"/>
  <c r="M1342" i="1" s="1"/>
  <c r="C1343" i="1"/>
  <c r="M1343" i="1" s="1"/>
  <c r="C1344" i="1"/>
  <c r="M1344" i="1" s="1"/>
  <c r="C1345" i="1"/>
  <c r="M1345" i="1" s="1"/>
  <c r="C1346" i="1"/>
  <c r="M1346" i="1" s="1"/>
  <c r="C1347" i="1"/>
  <c r="M1347" i="1" s="1"/>
  <c r="C1348" i="1"/>
  <c r="M1348" i="1" s="1"/>
  <c r="C1349" i="1"/>
  <c r="M1349" i="1" s="1"/>
  <c r="C1350" i="1"/>
  <c r="M1350" i="1" s="1"/>
  <c r="C1318"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6" i="1"/>
  <c r="M2721" i="1" l="1"/>
  <c r="M1488" i="1"/>
  <c r="M17" i="1"/>
  <c r="M28" i="1"/>
  <c r="M72" i="1"/>
  <c r="M1318" i="1"/>
  <c r="M3860" i="1"/>
  <c r="M3849" i="1"/>
  <c r="M39" i="1"/>
  <c r="M3838" i="1"/>
  <c r="M94" i="1"/>
  <c r="M3827" i="1"/>
  <c r="M61" i="1"/>
  <c r="M3893" i="1"/>
  <c r="M83" i="1"/>
  <c r="M3882" i="1"/>
  <c r="M50" i="1"/>
  <c r="M1331" i="1"/>
  <c r="M3871" i="1"/>
  <c r="M3816" i="1"/>
  <c r="J82" i="7"/>
  <c r="J87" i="7"/>
  <c r="J95" i="7" l="1"/>
  <c r="J96" i="7"/>
  <c r="J94" i="7"/>
  <c r="J93" i="7"/>
  <c r="J90" i="7"/>
  <c r="J88" i="7"/>
  <c r="J86" i="7"/>
  <c r="J85" i="7"/>
  <c r="J98" i="7"/>
  <c r="J107" i="7"/>
  <c r="J101" i="7"/>
  <c r="J102" i="7"/>
  <c r="J104" i="7"/>
  <c r="J103" i="7"/>
  <c r="J97" i="7"/>
  <c r="J92" i="7"/>
  <c r="J84" i="7"/>
  <c r="J100" i="7"/>
  <c r="J105" i="7"/>
  <c r="J106" i="7"/>
  <c r="J99" i="7"/>
  <c r="J91" i="7"/>
  <c r="J89" i="7"/>
  <c r="J83" i="7"/>
  <c r="J81" i="7"/>
  <c r="N4" i="40"/>
  <c r="N14" i="40" s="1"/>
  <c r="X4" i="40"/>
  <c r="X14" i="40" s="1"/>
  <c r="AH4" i="40"/>
  <c r="AH5" i="40" s="1"/>
  <c r="AR4" i="40"/>
  <c r="AR5" i="40" s="1"/>
  <c r="BL4" i="40"/>
  <c r="BL14" i="40" s="1"/>
  <c r="BV4" i="40"/>
  <c r="BV14" i="40" s="1"/>
  <c r="E63" i="40"/>
  <c r="F63" i="40"/>
  <c r="G63" i="40"/>
  <c r="H63" i="40"/>
  <c r="I63" i="40"/>
  <c r="J63" i="40"/>
  <c r="K63" i="40"/>
  <c r="L63" i="40"/>
  <c r="M63" i="40"/>
  <c r="N63" i="40"/>
  <c r="O63" i="40"/>
  <c r="D63" i="40"/>
  <c r="G51" i="40"/>
  <c r="H51" i="40"/>
  <c r="I51" i="40"/>
  <c r="J51" i="40"/>
  <c r="K51" i="40"/>
  <c r="L51" i="40"/>
  <c r="M51" i="40"/>
  <c r="N51" i="40"/>
  <c r="O51" i="40"/>
  <c r="E51" i="40"/>
  <c r="F51" i="40"/>
  <c r="D51" i="40"/>
  <c r="F11" i="26"/>
  <c r="E17" i="40"/>
  <c r="F17" i="40"/>
  <c r="G17" i="40"/>
  <c r="H17" i="40"/>
  <c r="I17" i="40"/>
  <c r="J17" i="40"/>
  <c r="K17" i="40"/>
  <c r="L17" i="40"/>
  <c r="M17" i="40"/>
  <c r="N17" i="40"/>
  <c r="O17" i="40"/>
  <c r="P17" i="40"/>
  <c r="Q17" i="40"/>
  <c r="R17" i="40"/>
  <c r="S17" i="40"/>
  <c r="T17" i="40"/>
  <c r="U17" i="40"/>
  <c r="V17" i="40"/>
  <c r="W17" i="40"/>
  <c r="X17" i="40"/>
  <c r="Y17" i="40"/>
  <c r="Z17" i="40"/>
  <c r="AA17" i="40"/>
  <c r="AB17" i="40"/>
  <c r="AC17" i="40"/>
  <c r="AD17" i="40"/>
  <c r="AE17" i="40"/>
  <c r="AF17" i="40"/>
  <c r="AG17" i="40"/>
  <c r="AH17" i="40"/>
  <c r="AI17" i="40"/>
  <c r="AJ17" i="40"/>
  <c r="AK17" i="40"/>
  <c r="AL17" i="40"/>
  <c r="AM17" i="40"/>
  <c r="AN17" i="40"/>
  <c r="AO17" i="40"/>
  <c r="AP17" i="40"/>
  <c r="AQ17" i="40"/>
  <c r="AR17" i="40"/>
  <c r="AS17" i="40"/>
  <c r="AT17" i="40"/>
  <c r="AU17" i="40"/>
  <c r="AV17" i="40"/>
  <c r="AW17" i="40"/>
  <c r="AX17" i="40"/>
  <c r="AY17" i="40"/>
  <c r="AZ17" i="40"/>
  <c r="BA17" i="40"/>
  <c r="BB17" i="40"/>
  <c r="BC17" i="40"/>
  <c r="BD17" i="40"/>
  <c r="BE17" i="40"/>
  <c r="BF17" i="40"/>
  <c r="BG17" i="40"/>
  <c r="BH17" i="40"/>
  <c r="BI17" i="40"/>
  <c r="BJ17" i="40"/>
  <c r="BK17" i="40"/>
  <c r="BL17" i="40"/>
  <c r="BM17" i="40"/>
  <c r="BN17" i="40"/>
  <c r="BO17" i="40"/>
  <c r="BP17" i="40"/>
  <c r="BQ17" i="40"/>
  <c r="BR17" i="40"/>
  <c r="BS17" i="40"/>
  <c r="BT17" i="40"/>
  <c r="BU17" i="40"/>
  <c r="BV17" i="40"/>
  <c r="BW17" i="40"/>
  <c r="BX17" i="40"/>
  <c r="BY17" i="40"/>
  <c r="BZ17" i="40"/>
  <c r="CA17" i="40"/>
  <c r="CB17" i="40"/>
  <c r="CC17" i="40"/>
  <c r="CD17" i="40"/>
  <c r="CE17" i="40"/>
  <c r="E18" i="40"/>
  <c r="F18" i="40"/>
  <c r="G18" i="40"/>
  <c r="H18" i="40"/>
  <c r="I18" i="40"/>
  <c r="J18" i="40"/>
  <c r="K18" i="40"/>
  <c r="L18" i="40"/>
  <c r="M18" i="40"/>
  <c r="N18" i="40"/>
  <c r="O18" i="40"/>
  <c r="P18" i="40"/>
  <c r="Q18" i="40"/>
  <c r="R18" i="40"/>
  <c r="S18" i="40"/>
  <c r="T18" i="40"/>
  <c r="U18" i="40"/>
  <c r="V18" i="40"/>
  <c r="W18" i="40"/>
  <c r="X18" i="40"/>
  <c r="Y18" i="40"/>
  <c r="Z18" i="40"/>
  <c r="AA18" i="40"/>
  <c r="AB18" i="40"/>
  <c r="AC18" i="40"/>
  <c r="AD18" i="40"/>
  <c r="AE18" i="40"/>
  <c r="AF18" i="40"/>
  <c r="AG18" i="40"/>
  <c r="AH18" i="40"/>
  <c r="AI18" i="40"/>
  <c r="AJ18" i="40"/>
  <c r="AK18" i="40"/>
  <c r="AL18" i="40"/>
  <c r="AM18" i="40"/>
  <c r="AN18" i="40"/>
  <c r="AO18" i="40"/>
  <c r="AP18" i="40"/>
  <c r="AQ18" i="40"/>
  <c r="AR18" i="40"/>
  <c r="AS18" i="40"/>
  <c r="AT18" i="40"/>
  <c r="AU18" i="40"/>
  <c r="AV18" i="40"/>
  <c r="AW18" i="40"/>
  <c r="AX18" i="40"/>
  <c r="AY18" i="40"/>
  <c r="AZ18" i="40"/>
  <c r="BA18" i="40"/>
  <c r="BB18" i="40"/>
  <c r="BC18" i="40"/>
  <c r="BD18" i="40"/>
  <c r="BE18" i="40"/>
  <c r="BF18" i="40"/>
  <c r="BG18" i="40"/>
  <c r="BH18" i="40"/>
  <c r="BI18" i="40"/>
  <c r="BJ18" i="40"/>
  <c r="BK18" i="40"/>
  <c r="BL18" i="40"/>
  <c r="BM18" i="40"/>
  <c r="BN18" i="40"/>
  <c r="BO18" i="40"/>
  <c r="BP18" i="40"/>
  <c r="BQ18" i="40"/>
  <c r="BR18" i="40"/>
  <c r="BS18" i="40"/>
  <c r="BT18" i="40"/>
  <c r="BU18" i="40"/>
  <c r="BV18" i="40"/>
  <c r="BW18" i="40"/>
  <c r="BX18" i="40"/>
  <c r="BY18" i="40"/>
  <c r="BZ18" i="40"/>
  <c r="CA18" i="40"/>
  <c r="CB18" i="40"/>
  <c r="CC18" i="40"/>
  <c r="CD18" i="40"/>
  <c r="CE18" i="40"/>
  <c r="E19" i="40"/>
  <c r="F19" i="40"/>
  <c r="G19" i="40"/>
  <c r="H19" i="40"/>
  <c r="I19" i="40"/>
  <c r="J19" i="40"/>
  <c r="K19" i="40"/>
  <c r="L19" i="40"/>
  <c r="M19" i="40"/>
  <c r="N19" i="40"/>
  <c r="O19" i="40"/>
  <c r="P19" i="40"/>
  <c r="Q19" i="40"/>
  <c r="R19" i="40"/>
  <c r="S19" i="40"/>
  <c r="T19" i="40"/>
  <c r="U19" i="40"/>
  <c r="V19" i="40"/>
  <c r="W19" i="40"/>
  <c r="X19" i="40"/>
  <c r="Y19" i="40"/>
  <c r="Z19" i="40"/>
  <c r="AA19" i="40"/>
  <c r="AB19" i="40"/>
  <c r="AC19" i="40"/>
  <c r="AD19" i="40"/>
  <c r="AE19" i="40"/>
  <c r="AF19" i="40"/>
  <c r="AG19" i="40"/>
  <c r="AH19" i="40"/>
  <c r="AI19" i="40"/>
  <c r="AJ19" i="40"/>
  <c r="AK19" i="40"/>
  <c r="AL19" i="40"/>
  <c r="AM19" i="40"/>
  <c r="AN19" i="40"/>
  <c r="AO19" i="40"/>
  <c r="AP19" i="40"/>
  <c r="AQ19" i="40"/>
  <c r="AR19" i="40"/>
  <c r="AS19" i="40"/>
  <c r="AT19" i="40"/>
  <c r="AU19" i="40"/>
  <c r="AV19" i="40"/>
  <c r="AW19" i="40"/>
  <c r="AX19" i="40"/>
  <c r="AY19" i="40"/>
  <c r="AZ19" i="40"/>
  <c r="BA19" i="40"/>
  <c r="BB19" i="40"/>
  <c r="BC19" i="40"/>
  <c r="BD19" i="40"/>
  <c r="BE19" i="40"/>
  <c r="BF19" i="40"/>
  <c r="BG19" i="40"/>
  <c r="BH19" i="40"/>
  <c r="BI19" i="40"/>
  <c r="BJ19" i="40"/>
  <c r="BK19" i="40"/>
  <c r="BL19" i="40"/>
  <c r="BM19" i="40"/>
  <c r="BN19" i="40"/>
  <c r="BO19" i="40"/>
  <c r="BP19" i="40"/>
  <c r="BQ19" i="40"/>
  <c r="BR19" i="40"/>
  <c r="BS19" i="40"/>
  <c r="BT19" i="40"/>
  <c r="BU19" i="40"/>
  <c r="BV19" i="40"/>
  <c r="BW19" i="40"/>
  <c r="BX19" i="40"/>
  <c r="BY19" i="40"/>
  <c r="BZ19" i="40"/>
  <c r="CA19" i="40"/>
  <c r="CB19" i="40"/>
  <c r="CC19" i="40"/>
  <c r="CD19" i="40"/>
  <c r="CE19" i="40"/>
  <c r="D18" i="40"/>
  <c r="D19" i="40"/>
  <c r="C18" i="40"/>
  <c r="C19" i="40"/>
  <c r="C17" i="40"/>
  <c r="D16" i="40"/>
  <c r="E16" i="40"/>
  <c r="F16" i="40"/>
  <c r="G16" i="40"/>
  <c r="H16" i="40"/>
  <c r="I16" i="40"/>
  <c r="J16" i="40"/>
  <c r="K16" i="40"/>
  <c r="L16" i="40"/>
  <c r="M16" i="40"/>
  <c r="N16" i="40"/>
  <c r="O16" i="40"/>
  <c r="P16" i="40"/>
  <c r="Q16" i="40"/>
  <c r="R16" i="40"/>
  <c r="S16" i="40"/>
  <c r="T16" i="40"/>
  <c r="U16" i="40"/>
  <c r="V16" i="40"/>
  <c r="W16" i="40"/>
  <c r="X16" i="40"/>
  <c r="Y16" i="40"/>
  <c r="Z16" i="40"/>
  <c r="AA16" i="40"/>
  <c r="AB16" i="40"/>
  <c r="AC16" i="40"/>
  <c r="AD16" i="40"/>
  <c r="AE16" i="40"/>
  <c r="AF16" i="40"/>
  <c r="AG16" i="40"/>
  <c r="AH16" i="40"/>
  <c r="AI16" i="40"/>
  <c r="AJ16" i="40"/>
  <c r="AK16" i="40"/>
  <c r="AL16" i="40"/>
  <c r="AM16" i="40"/>
  <c r="AN16" i="40"/>
  <c r="AO16" i="40"/>
  <c r="AP16" i="40"/>
  <c r="AQ16" i="40"/>
  <c r="AR16" i="40"/>
  <c r="AS16" i="40"/>
  <c r="AT16" i="40"/>
  <c r="AU16" i="40"/>
  <c r="AV16" i="40"/>
  <c r="AW16" i="40"/>
  <c r="AX16" i="40"/>
  <c r="AY16" i="40"/>
  <c r="AZ16" i="40"/>
  <c r="BA16" i="40"/>
  <c r="BB16" i="40"/>
  <c r="BC16" i="40"/>
  <c r="BD16" i="40"/>
  <c r="BE16" i="40"/>
  <c r="BF16" i="40"/>
  <c r="BG16" i="40"/>
  <c r="BH16" i="40"/>
  <c r="BI16" i="40"/>
  <c r="BJ16" i="40"/>
  <c r="BK16" i="40"/>
  <c r="BL16" i="40"/>
  <c r="BM16" i="40"/>
  <c r="BN16" i="40"/>
  <c r="BO16" i="40"/>
  <c r="BP16" i="40"/>
  <c r="BQ16" i="40"/>
  <c r="BR16" i="40"/>
  <c r="BS16" i="40"/>
  <c r="BT16" i="40"/>
  <c r="BU16" i="40"/>
  <c r="BV16" i="40"/>
  <c r="BW16" i="40"/>
  <c r="BX16" i="40"/>
  <c r="BY16" i="40"/>
  <c r="BZ16" i="40"/>
  <c r="CA16" i="40"/>
  <c r="CB16" i="40"/>
  <c r="CC16" i="40"/>
  <c r="CD16" i="40"/>
  <c r="CE16" i="40"/>
  <c r="C15" i="40"/>
  <c r="C16" i="40"/>
  <c r="C14" i="40"/>
  <c r="BL5" i="40"/>
  <c r="BL13" i="40" l="1"/>
  <c r="AH14" i="40"/>
  <c r="AH13" i="40" s="1"/>
  <c r="BV5" i="40"/>
  <c r="X13" i="40"/>
  <c r="N13" i="40"/>
  <c r="D4" i="40"/>
  <c r="D14" i="40" s="1"/>
  <c r="D22" i="40" s="1"/>
  <c r="X5" i="40"/>
  <c r="N5" i="40"/>
  <c r="AR14" i="40"/>
  <c r="AR13" i="40" s="1"/>
  <c r="D5" i="40"/>
  <c r="BV13" i="40"/>
  <c r="D13" i="40" l="1"/>
  <c r="B33" i="7"/>
  <c r="B45" i="7" s="1"/>
  <c r="B57" i="7" s="1"/>
  <c r="B69" i="7" s="1"/>
  <c r="B34" i="7"/>
  <c r="B46" i="7" s="1"/>
  <c r="B58" i="7" s="1"/>
  <c r="B70" i="7" s="1"/>
  <c r="B35" i="7"/>
  <c r="B47" i="7" s="1"/>
  <c r="B59" i="7" s="1"/>
  <c r="B71" i="7" s="1"/>
  <c r="B36" i="7"/>
  <c r="B48" i="7" s="1"/>
  <c r="B60" i="7" s="1"/>
  <c r="B72" i="7" s="1"/>
  <c r="B37" i="7"/>
  <c r="B49" i="7" s="1"/>
  <c r="B61" i="7" s="1"/>
  <c r="B73" i="7" s="1"/>
  <c r="B38" i="7"/>
  <c r="B50" i="7" s="1"/>
  <c r="B62" i="7" s="1"/>
  <c r="B74" i="7" s="1"/>
  <c r="B39" i="7"/>
  <c r="B51" i="7" s="1"/>
  <c r="B63" i="7" s="1"/>
  <c r="B75" i="7" s="1"/>
  <c r="B40" i="7"/>
  <c r="B52" i="7" s="1"/>
  <c r="B64" i="7" s="1"/>
  <c r="B76" i="7" s="1"/>
  <c r="B32" i="7"/>
  <c r="B44" i="7" s="1"/>
  <c r="B56" i="7" s="1"/>
  <c r="B68" i="7" s="1"/>
  <c r="B20" i="7"/>
  <c r="B21" i="7"/>
  <c r="B22" i="7"/>
  <c r="B23" i="7"/>
  <c r="B24" i="7"/>
  <c r="B25" i="7"/>
  <c r="B26" i="7"/>
  <c r="B27" i="7"/>
  <c r="B19" i="7"/>
  <c r="L64" i="7"/>
  <c r="L63" i="7"/>
  <c r="L62" i="7"/>
  <c r="L61" i="7"/>
  <c r="L60" i="7"/>
  <c r="L59" i="7"/>
  <c r="L58" i="7"/>
  <c r="L57" i="7"/>
  <c r="L56" i="7"/>
  <c r="L32" i="7" l="1"/>
  <c r="L33" i="7"/>
  <c r="L34" i="7"/>
  <c r="L35" i="7"/>
  <c r="L36" i="7"/>
  <c r="L37" i="7"/>
  <c r="L38" i="7"/>
  <c r="L39" i="7"/>
  <c r="L40" i="7"/>
  <c r="L9" i="7"/>
  <c r="L10" i="7"/>
  <c r="L11" i="7"/>
  <c r="L12" i="7"/>
  <c r="L13" i="7"/>
  <c r="L14" i="7"/>
  <c r="L15" i="7"/>
  <c r="L7" i="7"/>
  <c r="L8" i="7"/>
  <c r="BN67" i="26" l="1"/>
  <c r="BD67" i="26"/>
  <c r="AT67" i="26"/>
  <c r="AJ67" i="26"/>
  <c r="Z67" i="26"/>
  <c r="P67" i="26"/>
  <c r="H67" i="26"/>
  <c r="BX39" i="26"/>
  <c r="BN39" i="26"/>
  <c r="BD39" i="26"/>
  <c r="AT39" i="26"/>
  <c r="AJ39" i="26"/>
  <c r="Z39" i="26"/>
  <c r="P39" i="26"/>
  <c r="H39" i="26"/>
  <c r="BX10" i="26"/>
  <c r="BN10" i="26"/>
  <c r="BD10" i="26"/>
  <c r="AT10" i="26"/>
  <c r="AJ10" i="26"/>
  <c r="Z10" i="26"/>
  <c r="P10" i="26"/>
  <c r="H10" i="26"/>
  <c r="I10" i="33"/>
  <c r="I10" i="32"/>
  <c r="I10" i="31"/>
  <c r="I11" i="30"/>
  <c r="I11" i="28"/>
  <c r="I11" i="35"/>
  <c r="J5" i="27"/>
  <c r="I6" i="12"/>
  <c r="B5" i="27"/>
  <c r="B6" i="35"/>
  <c r="B5" i="35"/>
  <c r="B6" i="28"/>
  <c r="B5" i="28"/>
  <c r="B6" i="30"/>
  <c r="B5" i="30"/>
  <c r="B6" i="31"/>
  <c r="B5" i="31"/>
  <c r="B6" i="32"/>
  <c r="B5" i="32"/>
  <c r="B6" i="33"/>
  <c r="B5" i="33"/>
  <c r="BD11" i="26" l="1"/>
  <c r="BB4" i="40" l="1"/>
  <c r="BB14" i="40" s="1"/>
  <c r="BB13" i="40" s="1"/>
  <c r="C52" i="40"/>
  <c r="E34" i="26"/>
  <c r="E33" i="26"/>
  <c r="E32" i="26"/>
  <c r="E29" i="26"/>
  <c r="E28" i="26"/>
  <c r="E25" i="26"/>
  <c r="E22" i="26"/>
  <c r="E18" i="26"/>
  <c r="E16" i="26"/>
  <c r="E14" i="26"/>
  <c r="D20" i="26"/>
  <c r="D66" i="41" s="1"/>
  <c r="D34" i="26"/>
  <c r="D80" i="41" s="1"/>
  <c r="D19" i="26"/>
  <c r="D65" i="41" s="1"/>
  <c r="D33" i="26"/>
  <c r="D79" i="41" s="1"/>
  <c r="D31" i="26"/>
  <c r="D77" i="41" s="1"/>
  <c r="D29" i="26"/>
  <c r="D75" i="41" s="1"/>
  <c r="D24" i="26"/>
  <c r="D70" i="41" s="1"/>
  <c r="D27" i="26"/>
  <c r="D73" i="41" s="1"/>
  <c r="D26" i="26"/>
  <c r="D72" i="41" s="1"/>
  <c r="D23" i="26"/>
  <c r="D69" i="41" s="1"/>
  <c r="D22" i="26"/>
  <c r="D68" i="41" s="1"/>
  <c r="D21" i="26"/>
  <c r="D67" i="41" s="1"/>
  <c r="D17" i="26"/>
  <c r="D63" i="41" s="1"/>
  <c r="D15" i="26"/>
  <c r="D61" i="41" s="1"/>
  <c r="D14" i="26"/>
  <c r="D60" i="41" s="1"/>
  <c r="E60" i="41" l="1"/>
  <c r="E79" i="41"/>
  <c r="E62" i="41"/>
  <c r="E80" i="41"/>
  <c r="E64" i="41"/>
  <c r="BB5" i="40"/>
  <c r="E75" i="41"/>
  <c r="E68" i="41"/>
  <c r="E71" i="41"/>
  <c r="E74" i="41"/>
  <c r="E78" i="41"/>
  <c r="C46" i="40"/>
  <c r="C73" i="40" s="1"/>
  <c r="C61" i="40"/>
  <c r="C39" i="40"/>
  <c r="C54" i="40"/>
  <c r="C36" i="40"/>
  <c r="C63" i="40" s="1"/>
  <c r="C51" i="40"/>
  <c r="C35" i="40"/>
  <c r="C62" i="40" s="1"/>
  <c r="C50" i="40"/>
  <c r="C38" i="40"/>
  <c r="C65" i="40" s="1"/>
  <c r="C53" i="40"/>
  <c r="C37" i="40"/>
  <c r="C64" i="40" s="1"/>
  <c r="C66" i="40" l="1"/>
  <c r="C42" i="40"/>
  <c r="C69" i="40" s="1"/>
  <c r="C57" i="40"/>
  <c r="C41" i="40"/>
  <c r="C68" i="40" s="1"/>
  <c r="C56" i="40"/>
  <c r="C44" i="40"/>
  <c r="C71" i="40" s="1"/>
  <c r="C59" i="40"/>
  <c r="C45" i="40"/>
  <c r="C72" i="40" s="1"/>
  <c r="C60" i="40"/>
  <c r="C43" i="40"/>
  <c r="C70" i="40" s="1"/>
  <c r="C58" i="40"/>
  <c r="C40" i="40"/>
  <c r="C67" i="40" s="1"/>
  <c r="C55" i="40"/>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370" i="15"/>
  <c r="C371" i="15"/>
  <c r="C373" i="15"/>
  <c r="C374" i="15"/>
  <c r="C375" i="15"/>
  <c r="C376" i="15"/>
  <c r="C378" i="15"/>
  <c r="C379" i="15"/>
  <c r="C380" i="15"/>
  <c r="C381" i="15"/>
  <c r="C382" i="15"/>
  <c r="C383" i="15"/>
  <c r="C384" i="15"/>
  <c r="C385" i="15"/>
  <c r="C386" i="15"/>
  <c r="C387" i="15"/>
  <c r="C388" i="15"/>
  <c r="C389" i="15"/>
  <c r="C390" i="15"/>
  <c r="C391" i="15"/>
  <c r="C392" i="15"/>
  <c r="C492" i="15"/>
  <c r="C395" i="15"/>
  <c r="C396" i="15"/>
  <c r="C397" i="15"/>
  <c r="C398" i="15"/>
  <c r="C400" i="15"/>
  <c r="C401" i="15"/>
  <c r="C402" i="15"/>
  <c r="C403" i="15"/>
  <c r="C404" i="15"/>
  <c r="C405" i="15"/>
  <c r="C406" i="15"/>
  <c r="C407" i="15"/>
  <c r="C411" i="15"/>
  <c r="C412" i="15"/>
  <c r="C413" i="15"/>
  <c r="C415" i="15"/>
  <c r="C416" i="15"/>
  <c r="C417" i="15"/>
  <c r="C418" i="15"/>
  <c r="C419"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9" i="15"/>
  <c r="C490" i="15"/>
  <c r="C491"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9" i="15"/>
  <c r="C360" i="15"/>
  <c r="C361" i="15"/>
  <c r="C362" i="15"/>
  <c r="C363" i="15"/>
  <c r="C364" i="15"/>
  <c r="C365" i="15"/>
  <c r="C366" i="15"/>
  <c r="C367" i="15"/>
  <c r="C368" i="15"/>
  <c r="C369" i="15"/>
  <c r="C2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5" i="15"/>
  <c r="C236" i="15"/>
  <c r="C237" i="15"/>
  <c r="C238" i="15"/>
  <c r="C239" i="15"/>
  <c r="C241" i="15"/>
  <c r="C242" i="15"/>
  <c r="C243" i="15"/>
  <c r="C244" i="15"/>
  <c r="C245" i="15"/>
  <c r="C246" i="15"/>
  <c r="C247" i="15"/>
  <c r="C248" i="15"/>
  <c r="C249" i="15"/>
  <c r="C250" i="15"/>
  <c r="C251" i="15"/>
  <c r="C252" i="15"/>
  <c r="C253" i="15"/>
  <c r="C254" i="15"/>
  <c r="C255" i="15"/>
  <c r="C168" i="15"/>
  <c r="C169" i="15"/>
  <c r="C170" i="15"/>
  <c r="C171" i="15"/>
  <c r="C172" i="15"/>
  <c r="C173" i="15"/>
  <c r="C174" i="15"/>
  <c r="C175" i="15"/>
  <c r="C176" i="15"/>
  <c r="C177" i="15"/>
  <c r="C178" i="15"/>
  <c r="C179" i="15"/>
  <c r="C180" i="15"/>
  <c r="C181" i="15"/>
  <c r="C182" i="15"/>
  <c r="C183" i="15"/>
  <c r="C184" i="15"/>
  <c r="C185" i="15"/>
  <c r="C186" i="15"/>
  <c r="C187"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81" i="15"/>
  <c r="C82" i="15"/>
  <c r="C83" i="15"/>
  <c r="C84" i="15"/>
  <c r="C85" i="15"/>
  <c r="C87" i="15"/>
  <c r="C88" i="15"/>
  <c r="C90" i="15"/>
  <c r="C91" i="15"/>
  <c r="C92" i="15"/>
  <c r="C93" i="15"/>
  <c r="C94" i="15"/>
  <c r="C95" i="15"/>
  <c r="C96" i="15"/>
  <c r="C97"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69" i="15"/>
  <c r="C70" i="15"/>
  <c r="C77" i="15"/>
  <c r="C78" i="15"/>
  <c r="C79" i="15"/>
  <c r="C80"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2" i="15"/>
  <c r="C33" i="15"/>
  <c r="C34" i="15"/>
  <c r="C35" i="15"/>
  <c r="C36" i="15"/>
  <c r="C37" i="15"/>
  <c r="C39" i="15"/>
  <c r="C40" i="15"/>
  <c r="C42" i="15"/>
  <c r="C43" i="15"/>
  <c r="C44" i="15"/>
  <c r="C45" i="15"/>
  <c r="C46" i="15"/>
  <c r="C47" i="15"/>
  <c r="C48" i="15"/>
  <c r="C49" i="15"/>
  <c r="C50" i="15"/>
  <c r="C51" i="15"/>
  <c r="C52" i="15"/>
  <c r="C53" i="15"/>
  <c r="C54" i="15"/>
  <c r="C55" i="15"/>
  <c r="C56" i="15"/>
  <c r="C57" i="15"/>
  <c r="C58" i="15"/>
  <c r="C59" i="15"/>
  <c r="C60" i="15"/>
  <c r="C61" i="15"/>
  <c r="C63" i="15"/>
  <c r="C64" i="15"/>
  <c r="C65" i="15"/>
  <c r="C66" i="15"/>
  <c r="C5" i="15"/>
  <c r="A110" i="12" l="1"/>
  <c r="A110" i="27" s="1"/>
  <c r="A108" i="12"/>
  <c r="A108" i="28" s="1"/>
  <c r="A110" i="28" l="1"/>
  <c r="A108" i="31"/>
  <c r="A108" i="27"/>
  <c r="A108" i="35"/>
  <c r="A110" i="31"/>
  <c r="A108" i="33"/>
  <c r="A110" i="35"/>
  <c r="A108" i="30"/>
  <c r="A110" i="32"/>
  <c r="A110" i="33"/>
  <c r="A110" i="30"/>
  <c r="A108" i="32"/>
  <c r="E6" i="5" a="1"/>
  <c r="F6" i="5" s="1"/>
  <c r="F14" i="5" s="1"/>
  <c r="F22" i="5" l="1"/>
  <c r="K6" i="5"/>
  <c r="J6" i="5"/>
  <c r="M6" i="5"/>
  <c r="I6" i="5"/>
  <c r="P6" i="5"/>
  <c r="H6" i="5"/>
  <c r="E6" i="5"/>
  <c r="L6" i="5"/>
  <c r="O6" i="5"/>
  <c r="G6" i="5"/>
  <c r="N6" i="5"/>
  <c r="N14" i="5" l="1"/>
  <c r="N22" i="5"/>
  <c r="M14" i="5"/>
  <c r="M22" i="5"/>
  <c r="L14" i="5"/>
  <c r="L22" i="5"/>
  <c r="E22" i="5"/>
  <c r="E14" i="5"/>
  <c r="H22" i="5"/>
  <c r="H14" i="5"/>
  <c r="P22" i="5"/>
  <c r="P14" i="5"/>
  <c r="I22" i="5"/>
  <c r="I14" i="5"/>
  <c r="G14" i="5"/>
  <c r="G22" i="5"/>
  <c r="J22" i="5"/>
  <c r="J14" i="5"/>
  <c r="O14" i="5"/>
  <c r="O22" i="5"/>
  <c r="K22" i="5"/>
  <c r="K14" i="5"/>
  <c r="B123" i="35" l="1"/>
  <c r="B112" i="35"/>
  <c r="B111" i="35"/>
  <c r="B110" i="35"/>
  <c r="B109" i="35"/>
  <c r="B107" i="35"/>
  <c r="B106" i="35"/>
  <c r="B105" i="35"/>
  <c r="B104" i="35"/>
  <c r="B103" i="35"/>
  <c r="B102" i="35"/>
  <c r="B101" i="35"/>
  <c r="B100" i="35"/>
  <c r="B99" i="35"/>
  <c r="B98" i="35"/>
  <c r="B97" i="35"/>
  <c r="B96" i="35"/>
  <c r="B95" i="35"/>
  <c r="B94" i="35"/>
  <c r="B93" i="35"/>
  <c r="B92" i="35"/>
  <c r="B86" i="35"/>
  <c r="B85" i="35"/>
  <c r="B84" i="35"/>
  <c r="B83" i="35"/>
  <c r="B81" i="35"/>
  <c r="B80" i="35"/>
  <c r="B79" i="35"/>
  <c r="B78" i="35"/>
  <c r="B77" i="35"/>
  <c r="B76" i="35"/>
  <c r="B75" i="35"/>
  <c r="B74" i="35"/>
  <c r="B73" i="35"/>
  <c r="B72" i="35"/>
  <c r="B71" i="35"/>
  <c r="B70" i="35"/>
  <c r="B69" i="35"/>
  <c r="B68" i="35"/>
  <c r="B67" i="35"/>
  <c r="B66" i="35"/>
  <c r="B60" i="35"/>
  <c r="B59" i="35"/>
  <c r="B58" i="35"/>
  <c r="B57" i="35"/>
  <c r="B55" i="35"/>
  <c r="B54" i="35"/>
  <c r="B53" i="35"/>
  <c r="B52" i="35"/>
  <c r="B51" i="35"/>
  <c r="B50" i="35"/>
  <c r="B49" i="35"/>
  <c r="B48" i="35"/>
  <c r="B47" i="35"/>
  <c r="B46" i="35"/>
  <c r="B45" i="35"/>
  <c r="B44" i="35"/>
  <c r="B43" i="35"/>
  <c r="B42" i="35"/>
  <c r="B41" i="35"/>
  <c r="B40" i="35"/>
  <c r="B33" i="35"/>
  <c r="B32" i="35"/>
  <c r="B31" i="35"/>
  <c r="B30" i="35"/>
  <c r="B28" i="35"/>
  <c r="B27" i="35"/>
  <c r="B26" i="35"/>
  <c r="B25" i="35"/>
  <c r="B24" i="35"/>
  <c r="B23" i="35"/>
  <c r="B22" i="35"/>
  <c r="B21" i="35"/>
  <c r="B20" i="35"/>
  <c r="B19" i="35"/>
  <c r="B18" i="35"/>
  <c r="B17" i="35"/>
  <c r="B16" i="35"/>
  <c r="B15" i="35"/>
  <c r="B14" i="35"/>
  <c r="B13" i="35"/>
  <c r="B123" i="33" l="1"/>
  <c r="B112" i="33"/>
  <c r="B111" i="33"/>
  <c r="B110" i="33"/>
  <c r="B109" i="33"/>
  <c r="B107" i="33"/>
  <c r="B106" i="33"/>
  <c r="B105" i="33"/>
  <c r="B104" i="33"/>
  <c r="B103" i="33"/>
  <c r="B102" i="33"/>
  <c r="B101" i="33"/>
  <c r="B100" i="33"/>
  <c r="B99" i="33"/>
  <c r="B98" i="33"/>
  <c r="B97" i="33"/>
  <c r="B96" i="33"/>
  <c r="B95" i="33"/>
  <c r="B94" i="33"/>
  <c r="B93" i="33"/>
  <c r="B92" i="33"/>
  <c r="B86" i="33"/>
  <c r="B85" i="33"/>
  <c r="B84" i="33"/>
  <c r="B83" i="33"/>
  <c r="B81" i="33"/>
  <c r="B80" i="33"/>
  <c r="B79" i="33"/>
  <c r="B78" i="33"/>
  <c r="B77" i="33"/>
  <c r="B76" i="33"/>
  <c r="B75" i="33"/>
  <c r="B74" i="33"/>
  <c r="B73" i="33"/>
  <c r="B72" i="33"/>
  <c r="B71" i="33"/>
  <c r="B70" i="33"/>
  <c r="B69" i="33"/>
  <c r="B68" i="33"/>
  <c r="B67" i="33"/>
  <c r="B66" i="33"/>
  <c r="B60" i="33"/>
  <c r="B59" i="33"/>
  <c r="B58" i="33"/>
  <c r="B57" i="33"/>
  <c r="B55" i="33"/>
  <c r="B54" i="33"/>
  <c r="B53" i="33"/>
  <c r="B52" i="33"/>
  <c r="B51" i="33"/>
  <c r="B50" i="33"/>
  <c r="B49" i="33"/>
  <c r="B48" i="33"/>
  <c r="B47" i="33"/>
  <c r="B46" i="33"/>
  <c r="B45" i="33"/>
  <c r="B44" i="33"/>
  <c r="B43" i="33"/>
  <c r="B42" i="33"/>
  <c r="B41" i="33"/>
  <c r="B40" i="33"/>
  <c r="B33" i="33"/>
  <c r="B32" i="33"/>
  <c r="B31" i="33"/>
  <c r="B30" i="33"/>
  <c r="B28" i="33"/>
  <c r="B27" i="33"/>
  <c r="B26" i="33"/>
  <c r="B25" i="33"/>
  <c r="B24" i="33"/>
  <c r="B23" i="33"/>
  <c r="B22" i="33"/>
  <c r="B21" i="33"/>
  <c r="B20" i="33"/>
  <c r="B19" i="33"/>
  <c r="B18" i="33"/>
  <c r="B17" i="33"/>
  <c r="B16" i="33"/>
  <c r="B15" i="33"/>
  <c r="B14" i="33"/>
  <c r="B13" i="33"/>
  <c r="B123" i="32"/>
  <c r="B112" i="32"/>
  <c r="B111" i="32"/>
  <c r="B110" i="32"/>
  <c r="B109" i="32"/>
  <c r="B107" i="32"/>
  <c r="B106" i="32"/>
  <c r="B105" i="32"/>
  <c r="B104" i="32"/>
  <c r="B103" i="32"/>
  <c r="B102" i="32"/>
  <c r="B101" i="32"/>
  <c r="B100" i="32"/>
  <c r="B99" i="32"/>
  <c r="B98" i="32"/>
  <c r="B97" i="32"/>
  <c r="B96" i="32"/>
  <c r="B95" i="32"/>
  <c r="B94" i="32"/>
  <c r="B93" i="32"/>
  <c r="B92" i="32"/>
  <c r="B86" i="32"/>
  <c r="B85" i="32"/>
  <c r="B84" i="32"/>
  <c r="B83" i="32"/>
  <c r="B81" i="32"/>
  <c r="B80" i="32"/>
  <c r="B79" i="32"/>
  <c r="B78" i="32"/>
  <c r="B77" i="32"/>
  <c r="B76" i="32"/>
  <c r="B75" i="32"/>
  <c r="B74" i="32"/>
  <c r="B73" i="32"/>
  <c r="B72" i="32"/>
  <c r="B71" i="32"/>
  <c r="B70" i="32"/>
  <c r="B69" i="32"/>
  <c r="B68" i="32"/>
  <c r="B67" i="32"/>
  <c r="B66" i="32"/>
  <c r="B60" i="32"/>
  <c r="B59" i="32"/>
  <c r="B58" i="32"/>
  <c r="B57" i="32"/>
  <c r="B55" i="32"/>
  <c r="B54" i="32"/>
  <c r="B53" i="32"/>
  <c r="B52" i="32"/>
  <c r="B51" i="32"/>
  <c r="B50" i="32"/>
  <c r="B49" i="32"/>
  <c r="B48" i="32"/>
  <c r="B47" i="32"/>
  <c r="B46" i="32"/>
  <c r="B45" i="32"/>
  <c r="B44" i="32"/>
  <c r="B43" i="32"/>
  <c r="B42" i="32"/>
  <c r="B41" i="32"/>
  <c r="B40" i="32"/>
  <c r="B33" i="32"/>
  <c r="B32" i="32"/>
  <c r="B31" i="32"/>
  <c r="B30" i="32"/>
  <c r="B28" i="32"/>
  <c r="B27" i="32"/>
  <c r="B26" i="32"/>
  <c r="B25" i="32"/>
  <c r="B24" i="32"/>
  <c r="B23" i="32"/>
  <c r="B22" i="32"/>
  <c r="B21" i="32"/>
  <c r="B20" i="32"/>
  <c r="B19" i="32"/>
  <c r="B18" i="32"/>
  <c r="B17" i="32"/>
  <c r="B16" i="32"/>
  <c r="B15" i="32"/>
  <c r="B14" i="32"/>
  <c r="B13" i="32"/>
  <c r="B123" i="31"/>
  <c r="B112" i="31"/>
  <c r="B111" i="31"/>
  <c r="B110" i="31"/>
  <c r="B109" i="31"/>
  <c r="B107" i="31"/>
  <c r="B106" i="31"/>
  <c r="B105" i="31"/>
  <c r="B104" i="31"/>
  <c r="B103" i="31"/>
  <c r="B102" i="31"/>
  <c r="B101" i="31"/>
  <c r="B100" i="31"/>
  <c r="B99" i="31"/>
  <c r="B98" i="31"/>
  <c r="B97" i="31"/>
  <c r="B96" i="31"/>
  <c r="B95" i="31"/>
  <c r="B94" i="31"/>
  <c r="B93" i="31"/>
  <c r="B92" i="31"/>
  <c r="B86" i="31"/>
  <c r="B85" i="31"/>
  <c r="B84" i="31"/>
  <c r="B83" i="31"/>
  <c r="B81" i="31"/>
  <c r="B80" i="31"/>
  <c r="B79" i="31"/>
  <c r="B78" i="31"/>
  <c r="B77" i="31"/>
  <c r="B76" i="31"/>
  <c r="B75" i="31"/>
  <c r="B74" i="31"/>
  <c r="B73" i="31"/>
  <c r="B72" i="31"/>
  <c r="B71" i="31"/>
  <c r="B70" i="31"/>
  <c r="B69" i="31"/>
  <c r="B68" i="31"/>
  <c r="B67" i="31"/>
  <c r="B66" i="31"/>
  <c r="B60" i="31"/>
  <c r="B59" i="31"/>
  <c r="B58" i="31"/>
  <c r="B57" i="31"/>
  <c r="B55" i="31"/>
  <c r="B54" i="31"/>
  <c r="B53" i="31"/>
  <c r="B52" i="31"/>
  <c r="B51" i="31"/>
  <c r="B50" i="31"/>
  <c r="B49" i="31"/>
  <c r="B48" i="31"/>
  <c r="B47" i="31"/>
  <c r="B46" i="31"/>
  <c r="B45" i="31"/>
  <c r="B44" i="31"/>
  <c r="B43" i="31"/>
  <c r="B42" i="31"/>
  <c r="B41" i="31"/>
  <c r="B40" i="31"/>
  <c r="B33" i="31"/>
  <c r="B32" i="31"/>
  <c r="B31" i="31"/>
  <c r="B30" i="31"/>
  <c r="B28" i="31"/>
  <c r="B27" i="31"/>
  <c r="B26" i="31"/>
  <c r="B25" i="31"/>
  <c r="B24" i="31"/>
  <c r="B23" i="31"/>
  <c r="B22" i="31"/>
  <c r="B21" i="31"/>
  <c r="B20" i="31"/>
  <c r="B19" i="31"/>
  <c r="B18" i="31"/>
  <c r="B17" i="31"/>
  <c r="B16" i="31"/>
  <c r="B15" i="31"/>
  <c r="B14" i="31"/>
  <c r="B13" i="31"/>
  <c r="B123" i="30"/>
  <c r="B112" i="30"/>
  <c r="B111" i="30"/>
  <c r="B110" i="30"/>
  <c r="B109" i="30"/>
  <c r="B107" i="30"/>
  <c r="B106" i="30"/>
  <c r="B105" i="30"/>
  <c r="B104" i="30"/>
  <c r="B103" i="30"/>
  <c r="B102" i="30"/>
  <c r="B101" i="30"/>
  <c r="B100" i="30"/>
  <c r="B99" i="30"/>
  <c r="B98" i="30"/>
  <c r="B97" i="30"/>
  <c r="B96" i="30"/>
  <c r="B95" i="30"/>
  <c r="B94" i="30"/>
  <c r="B93" i="30"/>
  <c r="B92" i="30"/>
  <c r="B86" i="30"/>
  <c r="B85" i="30"/>
  <c r="B84" i="30"/>
  <c r="B83" i="30"/>
  <c r="B81" i="30"/>
  <c r="B80" i="30"/>
  <c r="B79" i="30"/>
  <c r="B78" i="30"/>
  <c r="B77" i="30"/>
  <c r="B76" i="30"/>
  <c r="B75" i="30"/>
  <c r="B74" i="30"/>
  <c r="B73" i="30"/>
  <c r="B72" i="30"/>
  <c r="B71" i="30"/>
  <c r="B70" i="30"/>
  <c r="B69" i="30"/>
  <c r="B68" i="30"/>
  <c r="B67" i="30"/>
  <c r="B66" i="30"/>
  <c r="B60" i="30"/>
  <c r="B59" i="30"/>
  <c r="B58" i="30"/>
  <c r="B57" i="30"/>
  <c r="B55" i="30"/>
  <c r="B54" i="30"/>
  <c r="B53" i="30"/>
  <c r="B52" i="30"/>
  <c r="B51" i="30"/>
  <c r="B50" i="30"/>
  <c r="B49" i="30"/>
  <c r="B48" i="30"/>
  <c r="B47" i="30"/>
  <c r="B46" i="30"/>
  <c r="B45" i="30"/>
  <c r="B44" i="30"/>
  <c r="B43" i="30"/>
  <c r="B42" i="30"/>
  <c r="B41" i="30"/>
  <c r="B40" i="30"/>
  <c r="B33" i="30"/>
  <c r="B32" i="30"/>
  <c r="B31" i="30"/>
  <c r="B30" i="30"/>
  <c r="B28" i="30"/>
  <c r="B27" i="30"/>
  <c r="B26" i="30"/>
  <c r="B25" i="30"/>
  <c r="B24" i="30"/>
  <c r="B23" i="30"/>
  <c r="B22" i="30"/>
  <c r="B21" i="30"/>
  <c r="B20" i="30"/>
  <c r="B19" i="30"/>
  <c r="B18" i="30"/>
  <c r="B17" i="30"/>
  <c r="B16" i="30"/>
  <c r="B15" i="30"/>
  <c r="B14" i="30"/>
  <c r="B13" i="30"/>
  <c r="P42" i="26" l="1"/>
  <c r="Z42" i="26"/>
  <c r="AJ42" i="26"/>
  <c r="AT42" i="26"/>
  <c r="BD42" i="26"/>
  <c r="BN42" i="26"/>
  <c r="BX42" i="26"/>
  <c r="P41" i="26"/>
  <c r="Z41" i="26"/>
  <c r="AJ41" i="26"/>
  <c r="AT41" i="26"/>
  <c r="BD41" i="26"/>
  <c r="BN41" i="26"/>
  <c r="BX41" i="26"/>
  <c r="F42" i="26"/>
  <c r="F41" i="26"/>
  <c r="B123" i="28" l="1"/>
  <c r="B112" i="28"/>
  <c r="B111" i="28"/>
  <c r="B110" i="28"/>
  <c r="B109" i="28"/>
  <c r="B107" i="28"/>
  <c r="B106" i="28"/>
  <c r="B105" i="28"/>
  <c r="B104" i="28"/>
  <c r="B103" i="28"/>
  <c r="B102" i="28"/>
  <c r="B101" i="28"/>
  <c r="B100" i="28"/>
  <c r="B99" i="28"/>
  <c r="B98" i="28"/>
  <c r="B97" i="28"/>
  <c r="B96" i="28"/>
  <c r="B95" i="28"/>
  <c r="B94" i="28"/>
  <c r="B93" i="28"/>
  <c r="B92" i="28"/>
  <c r="B86" i="28"/>
  <c r="B85" i="28"/>
  <c r="B84" i="28"/>
  <c r="B83" i="28"/>
  <c r="B81" i="28"/>
  <c r="B80" i="28"/>
  <c r="B79" i="28"/>
  <c r="B78" i="28"/>
  <c r="B77" i="28"/>
  <c r="B76" i="28"/>
  <c r="B75" i="28"/>
  <c r="B74" i="28"/>
  <c r="B73" i="28"/>
  <c r="B72" i="28"/>
  <c r="B71" i="28"/>
  <c r="B70" i="28"/>
  <c r="B69" i="28"/>
  <c r="B68" i="28"/>
  <c r="B67" i="28"/>
  <c r="B66" i="28"/>
  <c r="B60" i="28"/>
  <c r="B59" i="28"/>
  <c r="B58" i="28"/>
  <c r="B57" i="28"/>
  <c r="B55" i="28"/>
  <c r="B54" i="28"/>
  <c r="B53" i="28"/>
  <c r="B52" i="28"/>
  <c r="B51" i="28"/>
  <c r="B50" i="28"/>
  <c r="B49" i="28"/>
  <c r="B48" i="28"/>
  <c r="B47" i="28"/>
  <c r="B46" i="28"/>
  <c r="B45" i="28"/>
  <c r="B44" i="28"/>
  <c r="B43" i="28"/>
  <c r="B42" i="28"/>
  <c r="B41" i="28"/>
  <c r="B40" i="28"/>
  <c r="B33" i="28"/>
  <c r="B32" i="28"/>
  <c r="B31" i="28"/>
  <c r="B30" i="28"/>
  <c r="B28" i="28"/>
  <c r="B27" i="28"/>
  <c r="B26" i="28"/>
  <c r="B25" i="28"/>
  <c r="B24" i="28"/>
  <c r="B23" i="28"/>
  <c r="B22" i="28"/>
  <c r="B21" i="28"/>
  <c r="B20" i="28"/>
  <c r="B19" i="28"/>
  <c r="B18" i="28"/>
  <c r="B17" i="28"/>
  <c r="B16" i="28"/>
  <c r="B15" i="28"/>
  <c r="B14" i="28"/>
  <c r="B13" i="28"/>
  <c r="B123" i="27"/>
  <c r="B112" i="27"/>
  <c r="B111" i="27"/>
  <c r="B110" i="27"/>
  <c r="B109" i="27"/>
  <c r="B107" i="27"/>
  <c r="B106" i="27"/>
  <c r="B105" i="27"/>
  <c r="B104" i="27"/>
  <c r="B103" i="27"/>
  <c r="B102" i="27"/>
  <c r="B101" i="27"/>
  <c r="B100" i="27"/>
  <c r="B99" i="27"/>
  <c r="B98" i="27"/>
  <c r="B97" i="27"/>
  <c r="B96" i="27"/>
  <c r="B95" i="27"/>
  <c r="B94" i="27"/>
  <c r="B93" i="27"/>
  <c r="B92" i="27"/>
  <c r="B86" i="27"/>
  <c r="B85" i="27"/>
  <c r="B84" i="27"/>
  <c r="B83" i="27"/>
  <c r="B81" i="27"/>
  <c r="B80" i="27"/>
  <c r="B79" i="27"/>
  <c r="B78" i="27"/>
  <c r="B77" i="27"/>
  <c r="B76" i="27"/>
  <c r="B75" i="27"/>
  <c r="B74" i="27"/>
  <c r="B73" i="27"/>
  <c r="B72" i="27"/>
  <c r="B71" i="27"/>
  <c r="B70" i="27"/>
  <c r="B69" i="27"/>
  <c r="B68" i="27"/>
  <c r="B67" i="27"/>
  <c r="B66" i="27"/>
  <c r="B60" i="27"/>
  <c r="B59" i="27"/>
  <c r="B58" i="27"/>
  <c r="B57" i="27"/>
  <c r="B55" i="27"/>
  <c r="B54" i="27"/>
  <c r="B53" i="27"/>
  <c r="B52" i="27"/>
  <c r="B51" i="27"/>
  <c r="B50" i="27"/>
  <c r="B49" i="27"/>
  <c r="B48" i="27"/>
  <c r="B47" i="27"/>
  <c r="B46" i="27"/>
  <c r="B45" i="27"/>
  <c r="B44" i="27"/>
  <c r="B43" i="27"/>
  <c r="B42" i="27"/>
  <c r="B41" i="27"/>
  <c r="B40" i="27"/>
  <c r="B33" i="27"/>
  <c r="B32" i="27"/>
  <c r="B31" i="27"/>
  <c r="B30" i="27"/>
  <c r="B28" i="27"/>
  <c r="B27" i="27"/>
  <c r="B26" i="27"/>
  <c r="B25" i="27"/>
  <c r="B24" i="27"/>
  <c r="B23" i="27"/>
  <c r="B22" i="27"/>
  <c r="B21" i="27"/>
  <c r="B20" i="27"/>
  <c r="B19" i="27"/>
  <c r="B18" i="27"/>
  <c r="B17" i="27"/>
  <c r="B16" i="27"/>
  <c r="B15" i="27"/>
  <c r="B14" i="27"/>
  <c r="BZ11" i="26"/>
  <c r="CA11" i="26"/>
  <c r="CB11" i="26"/>
  <c r="CC11" i="26"/>
  <c r="CD11" i="26"/>
  <c r="CE11" i="26"/>
  <c r="CF11" i="26"/>
  <c r="CG11" i="26"/>
  <c r="BY11" i="26"/>
  <c r="BP11" i="26"/>
  <c r="BQ11" i="26"/>
  <c r="BR11" i="26"/>
  <c r="BS11" i="26"/>
  <c r="BT11" i="26"/>
  <c r="BU11" i="26"/>
  <c r="BV11" i="26"/>
  <c r="BW11" i="26"/>
  <c r="BO11" i="26"/>
  <c r="BF11" i="26"/>
  <c r="BG11" i="26"/>
  <c r="BH11" i="26"/>
  <c r="BI11" i="26"/>
  <c r="BJ11" i="26"/>
  <c r="BK11" i="26"/>
  <c r="BL11" i="26"/>
  <c r="BM11" i="26"/>
  <c r="BE11" i="26"/>
  <c r="AV11" i="26"/>
  <c r="AW11" i="26"/>
  <c r="AX11" i="26"/>
  <c r="AY11" i="26"/>
  <c r="AZ11" i="26"/>
  <c r="BA11" i="26"/>
  <c r="BB11" i="26"/>
  <c r="BC11" i="26"/>
  <c r="AU11" i="26"/>
  <c r="AL11" i="26"/>
  <c r="AM11" i="26"/>
  <c r="AN11" i="26"/>
  <c r="AO11" i="26"/>
  <c r="AP11" i="26"/>
  <c r="AQ11" i="26"/>
  <c r="AR11" i="26"/>
  <c r="AS11" i="26"/>
  <c r="AK11" i="26"/>
  <c r="AB11" i="26"/>
  <c r="AC11" i="26"/>
  <c r="AD11" i="26"/>
  <c r="AE11" i="26"/>
  <c r="AF11" i="26"/>
  <c r="AG11" i="26"/>
  <c r="AH11" i="26"/>
  <c r="AI11" i="26"/>
  <c r="AA11" i="26"/>
  <c r="R11" i="26"/>
  <c r="S11" i="26"/>
  <c r="T11" i="26"/>
  <c r="U11" i="26"/>
  <c r="V11" i="26"/>
  <c r="W11" i="26"/>
  <c r="X11" i="26"/>
  <c r="Y11" i="26"/>
  <c r="Q11" i="26"/>
  <c r="CG42" i="26"/>
  <c r="BW42" i="26"/>
  <c r="BM42" i="26"/>
  <c r="BB42" i="26"/>
  <c r="AS42" i="26"/>
  <c r="AI42" i="26"/>
  <c r="Y42" i="26"/>
  <c r="H11" i="26"/>
  <c r="I11" i="26"/>
  <c r="J11" i="26"/>
  <c r="K11" i="26"/>
  <c r="L11" i="26"/>
  <c r="M11" i="26"/>
  <c r="N11" i="26"/>
  <c r="O11" i="26"/>
  <c r="G11" i="26"/>
  <c r="G42" i="26"/>
  <c r="C63" i="26"/>
  <c r="C62" i="26"/>
  <c r="C61" i="26"/>
  <c r="C60" i="26"/>
  <c r="C59" i="26"/>
  <c r="C58" i="26"/>
  <c r="C57" i="26"/>
  <c r="C56" i="26"/>
  <c r="C55" i="26"/>
  <c r="C54" i="26"/>
  <c r="C53" i="26"/>
  <c r="C52" i="26"/>
  <c r="C51" i="26"/>
  <c r="C50" i="26"/>
  <c r="C49" i="26"/>
  <c r="C48" i="26"/>
  <c r="C47" i="26"/>
  <c r="C46" i="26"/>
  <c r="C45" i="26"/>
  <c r="C44" i="26"/>
  <c r="C43" i="26"/>
  <c r="B110" i="12"/>
  <c r="C34" i="26"/>
  <c r="C33" i="26"/>
  <c r="C32" i="26"/>
  <c r="C31" i="26"/>
  <c r="C29" i="26"/>
  <c r="C28" i="26"/>
  <c r="C27" i="26"/>
  <c r="C26" i="26"/>
  <c r="C25" i="26"/>
  <c r="C24" i="26"/>
  <c r="C23" i="26"/>
  <c r="C22" i="26"/>
  <c r="C21" i="26"/>
  <c r="C20" i="26"/>
  <c r="C19" i="26"/>
  <c r="C18" i="26"/>
  <c r="C17" i="26"/>
  <c r="C16" i="26"/>
  <c r="C15" i="26"/>
  <c r="C14" i="26"/>
  <c r="I4" i="40" l="1"/>
  <c r="AO4" i="40"/>
  <c r="BN4" i="40"/>
  <c r="E4" i="40"/>
  <c r="F4" i="40"/>
  <c r="O4" i="40"/>
  <c r="P4" i="40"/>
  <c r="AA4" i="40"/>
  <c r="AL4" i="40"/>
  <c r="AW4" i="40"/>
  <c r="BH4" i="40"/>
  <c r="BH14" i="40" s="1"/>
  <c r="BH13" i="40" s="1"/>
  <c r="BS4" i="40"/>
  <c r="CD4" i="40"/>
  <c r="M4" i="40"/>
  <c r="Z4" i="40"/>
  <c r="BG4" i="40"/>
  <c r="Y4" i="40"/>
  <c r="AV4" i="40"/>
  <c r="CC4" i="40"/>
  <c r="L4" i="40"/>
  <c r="V4" i="40"/>
  <c r="AG4" i="40"/>
  <c r="AI4" i="40"/>
  <c r="AJ4" i="40"/>
  <c r="AU4" i="40"/>
  <c r="BF4" i="40"/>
  <c r="BQ4" i="40"/>
  <c r="CB4" i="40"/>
  <c r="W4" i="40"/>
  <c r="AK4" i="40"/>
  <c r="BR4" i="40"/>
  <c r="K4" i="40"/>
  <c r="U4" i="40"/>
  <c r="AF4" i="40"/>
  <c r="AQ4" i="40"/>
  <c r="AS4" i="40"/>
  <c r="AT4" i="40"/>
  <c r="BE4" i="40"/>
  <c r="BP4" i="40"/>
  <c r="CA4" i="40"/>
  <c r="J4" i="40"/>
  <c r="T4" i="40"/>
  <c r="AE4" i="40"/>
  <c r="AP4" i="40"/>
  <c r="BA4" i="40"/>
  <c r="BC4" i="40"/>
  <c r="BD4" i="40"/>
  <c r="BO4" i="40"/>
  <c r="BZ4" i="40"/>
  <c r="AD4" i="40"/>
  <c r="AZ4" i="40"/>
  <c r="BM4" i="40"/>
  <c r="BY4" i="40"/>
  <c r="H4" i="40"/>
  <c r="R4" i="40"/>
  <c r="AC4" i="40"/>
  <c r="AN4" i="40"/>
  <c r="AY4" i="40"/>
  <c r="BJ4" i="40"/>
  <c r="BU4" i="40"/>
  <c r="BW4" i="40"/>
  <c r="BX4" i="40"/>
  <c r="S4" i="40"/>
  <c r="BK4" i="40"/>
  <c r="G4" i="40"/>
  <c r="Q4" i="40"/>
  <c r="AB4" i="40"/>
  <c r="AM4" i="40"/>
  <c r="AX4" i="40"/>
  <c r="BI4" i="40"/>
  <c r="BT4" i="40"/>
  <c r="CE4" i="40"/>
  <c r="E14" i="40"/>
  <c r="E5" i="40"/>
  <c r="AA14" i="40"/>
  <c r="AA13" i="40" s="1"/>
  <c r="AA5" i="40"/>
  <c r="BH5" i="40"/>
  <c r="BS14" i="40"/>
  <c r="BS13" i="40" s="1"/>
  <c r="BS5" i="40"/>
  <c r="CD5" i="40"/>
  <c r="CD14" i="40"/>
  <c r="CD13" i="40" s="1"/>
  <c r="M5" i="40"/>
  <c r="M14" i="40"/>
  <c r="M13" i="40" s="1"/>
  <c r="W14" i="40"/>
  <c r="W13" i="40" s="1"/>
  <c r="W5" i="40"/>
  <c r="Y14" i="40"/>
  <c r="Y13" i="40" s="1"/>
  <c r="Y5" i="40"/>
  <c r="Z14" i="40"/>
  <c r="Z13" i="40" s="1"/>
  <c r="Z5" i="40"/>
  <c r="AK5" i="40"/>
  <c r="AK14" i="40"/>
  <c r="AK13" i="40" s="1"/>
  <c r="AV14" i="40"/>
  <c r="AV13" i="40" s="1"/>
  <c r="AV5" i="40"/>
  <c r="BG14" i="40"/>
  <c r="BG13" i="40" s="1"/>
  <c r="BG5" i="40"/>
  <c r="BR14" i="40"/>
  <c r="BR13" i="40" s="1"/>
  <c r="BR5" i="40"/>
  <c r="CC14" i="40"/>
  <c r="CC13" i="40" s="1"/>
  <c r="CC5" i="40"/>
  <c r="AW14" i="40"/>
  <c r="AW13" i="40" s="1"/>
  <c r="AW5" i="40"/>
  <c r="AG14" i="40"/>
  <c r="AG13" i="40" s="1"/>
  <c r="AG5" i="40"/>
  <c r="BQ5" i="40"/>
  <c r="BQ14" i="40"/>
  <c r="BQ13" i="40" s="1"/>
  <c r="K14" i="40"/>
  <c r="K13" i="40" s="1"/>
  <c r="K5" i="40"/>
  <c r="U5" i="40"/>
  <c r="U14" i="40"/>
  <c r="U13" i="40" s="1"/>
  <c r="AF14" i="40"/>
  <c r="AF13" i="40" s="1"/>
  <c r="AF5" i="40"/>
  <c r="AQ14" i="40"/>
  <c r="AQ13" i="40" s="1"/>
  <c r="AQ5" i="40"/>
  <c r="AS5" i="40"/>
  <c r="AS14" i="40"/>
  <c r="AS13" i="40" s="1"/>
  <c r="AT5" i="40"/>
  <c r="AT14" i="40"/>
  <c r="AT13" i="40" s="1"/>
  <c r="BE14" i="40"/>
  <c r="BE13" i="40" s="1"/>
  <c r="BE5" i="40"/>
  <c r="BP5" i="40"/>
  <c r="BP14" i="40"/>
  <c r="BP13" i="40" s="1"/>
  <c r="CA14" i="40"/>
  <c r="CA13" i="40" s="1"/>
  <c r="CA5" i="40"/>
  <c r="O14" i="40"/>
  <c r="O13" i="40" s="1"/>
  <c r="O5" i="40"/>
  <c r="L14" i="40"/>
  <c r="L13" i="40" s="1"/>
  <c r="L5" i="40"/>
  <c r="AJ5" i="40"/>
  <c r="AJ14" i="40"/>
  <c r="AJ13" i="40" s="1"/>
  <c r="J14" i="40"/>
  <c r="J13" i="40" s="1"/>
  <c r="J5" i="40"/>
  <c r="T5" i="40"/>
  <c r="T14" i="40"/>
  <c r="T13" i="40" s="1"/>
  <c r="AE14" i="40"/>
  <c r="AE13" i="40" s="1"/>
  <c r="AE5" i="40"/>
  <c r="AP14" i="40"/>
  <c r="AP13" i="40" s="1"/>
  <c r="AP5" i="40"/>
  <c r="BA5" i="40"/>
  <c r="BA14" i="40"/>
  <c r="BA13" i="40" s="1"/>
  <c r="BC14" i="40"/>
  <c r="BC13" i="40" s="1"/>
  <c r="BC5" i="40"/>
  <c r="BD14" i="40"/>
  <c r="BD13" i="40" s="1"/>
  <c r="BD5" i="40"/>
  <c r="BO14" i="40"/>
  <c r="BO13" i="40" s="1"/>
  <c r="BO5" i="40"/>
  <c r="BZ5" i="40"/>
  <c r="BZ14" i="40"/>
  <c r="BZ13" i="40" s="1"/>
  <c r="P5" i="40"/>
  <c r="P14" i="40"/>
  <c r="P13" i="40" s="1"/>
  <c r="BF14" i="40"/>
  <c r="BF13" i="40" s="1"/>
  <c r="BF5" i="40"/>
  <c r="I14" i="40"/>
  <c r="I13" i="40" s="1"/>
  <c r="I5" i="40"/>
  <c r="S14" i="40"/>
  <c r="S13" i="40" s="1"/>
  <c r="S5" i="40"/>
  <c r="AD14" i="40"/>
  <c r="AD13" i="40" s="1"/>
  <c r="AD5" i="40"/>
  <c r="AO14" i="40"/>
  <c r="AO13" i="40" s="1"/>
  <c r="AO5" i="40"/>
  <c r="AZ5" i="40"/>
  <c r="AZ14" i="40"/>
  <c r="AZ13" i="40" s="1"/>
  <c r="BK14" i="40"/>
  <c r="BK13" i="40" s="1"/>
  <c r="BK5" i="40"/>
  <c r="BM14" i="40"/>
  <c r="BM13" i="40" s="1"/>
  <c r="BM5" i="40"/>
  <c r="BN5" i="40"/>
  <c r="BN14" i="40"/>
  <c r="BN13" i="40" s="1"/>
  <c r="BY5" i="40"/>
  <c r="BY14" i="40"/>
  <c r="BY13" i="40" s="1"/>
  <c r="AL5" i="40"/>
  <c r="AL14" i="40"/>
  <c r="AL13" i="40" s="1"/>
  <c r="AI14" i="40"/>
  <c r="AI13" i="40" s="1"/>
  <c r="AI5" i="40"/>
  <c r="CB5" i="40"/>
  <c r="CB14" i="40"/>
  <c r="CB13" i="40" s="1"/>
  <c r="H14" i="40"/>
  <c r="H13" i="40" s="1"/>
  <c r="H5" i="40"/>
  <c r="R5" i="40"/>
  <c r="R14" i="40"/>
  <c r="R13" i="40" s="1"/>
  <c r="AC5" i="40"/>
  <c r="AC14" i="40"/>
  <c r="AC13" i="40" s="1"/>
  <c r="AN5" i="40"/>
  <c r="AN14" i="40"/>
  <c r="AN13" i="40" s="1"/>
  <c r="AY14" i="40"/>
  <c r="AY13" i="40" s="1"/>
  <c r="AY5" i="40"/>
  <c r="BJ5" i="40"/>
  <c r="BJ14" i="40"/>
  <c r="BJ13" i="40" s="1"/>
  <c r="BU14" i="40"/>
  <c r="BU13" i="40" s="1"/>
  <c r="BU5" i="40"/>
  <c r="BW14" i="40"/>
  <c r="BW13" i="40" s="1"/>
  <c r="BW5" i="40"/>
  <c r="BX14" i="40"/>
  <c r="BX13" i="40" s="1"/>
  <c r="BX5" i="40"/>
  <c r="F14" i="40"/>
  <c r="F5" i="40"/>
  <c r="V14" i="40"/>
  <c r="V13" i="40" s="1"/>
  <c r="V5" i="40"/>
  <c r="AU14" i="40"/>
  <c r="AU13" i="40" s="1"/>
  <c r="AU5" i="40"/>
  <c r="G14" i="40"/>
  <c r="G13" i="40" s="1"/>
  <c r="G5" i="40"/>
  <c r="Q14" i="40"/>
  <c r="Q13" i="40" s="1"/>
  <c r="Q5" i="40"/>
  <c r="AB5" i="40"/>
  <c r="AB14" i="40"/>
  <c r="AB13" i="40" s="1"/>
  <c r="AM14" i="40"/>
  <c r="AM13" i="40" s="1"/>
  <c r="AM5" i="40"/>
  <c r="AX14" i="40"/>
  <c r="AX13" i="40" s="1"/>
  <c r="AX5" i="40"/>
  <c r="BI5" i="40"/>
  <c r="BI14" i="40"/>
  <c r="BI13" i="40" s="1"/>
  <c r="BT14" i="40"/>
  <c r="BT13" i="40" s="1"/>
  <c r="BT5" i="40"/>
  <c r="CE14" i="40"/>
  <c r="CE13" i="40" s="1"/>
  <c r="CE5" i="40"/>
  <c r="BG40" i="26"/>
  <c r="N40" i="26"/>
  <c r="X40" i="26"/>
  <c r="AI40" i="26"/>
  <c r="AK40" i="26"/>
  <c r="AL40" i="26"/>
  <c r="AW40" i="26"/>
  <c r="BH40" i="26"/>
  <c r="BS40" i="26"/>
  <c r="CD40" i="26"/>
  <c r="M40" i="26"/>
  <c r="AH40" i="26"/>
  <c r="BR40" i="26"/>
  <c r="L40" i="26"/>
  <c r="V40" i="26"/>
  <c r="AG40" i="26"/>
  <c r="AR40" i="26"/>
  <c r="BC40" i="26"/>
  <c r="BE40" i="26"/>
  <c r="BF40" i="26"/>
  <c r="BQ40" i="26"/>
  <c r="CB40" i="26"/>
  <c r="K40" i="26"/>
  <c r="U40" i="26"/>
  <c r="AF40" i="26"/>
  <c r="AQ40" i="26"/>
  <c r="BB40" i="26"/>
  <c r="BM40" i="26"/>
  <c r="BO40" i="26"/>
  <c r="BP40" i="26"/>
  <c r="CA40" i="26"/>
  <c r="AV40" i="26"/>
  <c r="BX40" i="26"/>
  <c r="J40" i="26"/>
  <c r="T40" i="26"/>
  <c r="AE40" i="26"/>
  <c r="AP40" i="26"/>
  <c r="BA40" i="26"/>
  <c r="BL40" i="26"/>
  <c r="BW40" i="26"/>
  <c r="BY40" i="26"/>
  <c r="BZ40" i="26"/>
  <c r="W40" i="26"/>
  <c r="CC40" i="26"/>
  <c r="I40" i="26"/>
  <c r="S40" i="26"/>
  <c r="AD40" i="26"/>
  <c r="AO40" i="26"/>
  <c r="AZ40" i="26"/>
  <c r="BK40" i="26"/>
  <c r="BV40" i="26"/>
  <c r="CG40" i="26"/>
  <c r="AS40" i="26"/>
  <c r="G40" i="26"/>
  <c r="H40" i="26"/>
  <c r="Q40" i="26"/>
  <c r="R40" i="26"/>
  <c r="AC40" i="26"/>
  <c r="AN40" i="26"/>
  <c r="AY40" i="26"/>
  <c r="BJ40" i="26"/>
  <c r="BU40" i="26"/>
  <c r="CF40" i="26"/>
  <c r="AU40" i="26"/>
  <c r="O40" i="26"/>
  <c r="Y40" i="26"/>
  <c r="AA40" i="26"/>
  <c r="AB40" i="26"/>
  <c r="AM40" i="26"/>
  <c r="AX40" i="26"/>
  <c r="BI40" i="26"/>
  <c r="BT40" i="26"/>
  <c r="CE40" i="26"/>
  <c r="AL42" i="26"/>
  <c r="BP42" i="26"/>
  <c r="AU42" i="26"/>
  <c r="R42" i="26"/>
  <c r="AV42" i="26"/>
  <c r="BZ42" i="26"/>
  <c r="N42" i="26"/>
  <c r="AB42" i="26"/>
  <c r="AY42" i="26"/>
  <c r="CA42" i="26"/>
  <c r="M42" i="26"/>
  <c r="BC42" i="26"/>
  <c r="K42" i="26"/>
  <c r="CG13" i="26"/>
  <c r="CG41" i="26" s="1"/>
  <c r="CB42" i="26"/>
  <c r="CC42" i="26"/>
  <c r="CD42" i="26"/>
  <c r="CE42" i="26"/>
  <c r="CF42" i="26"/>
  <c r="BY42" i="26"/>
  <c r="BW13" i="26"/>
  <c r="BW41" i="26" s="1"/>
  <c r="BQ42" i="26"/>
  <c r="BR42" i="26"/>
  <c r="BS42" i="26"/>
  <c r="BT42" i="26"/>
  <c r="BU42" i="26"/>
  <c r="BV42" i="26"/>
  <c r="BO42" i="26"/>
  <c r="BM13" i="26"/>
  <c r="BM41" i="26" s="1"/>
  <c r="BG42" i="26"/>
  <c r="BH42" i="26"/>
  <c r="BI42" i="26"/>
  <c r="BJ42" i="26"/>
  <c r="BK42" i="26"/>
  <c r="BL42" i="26"/>
  <c r="BE42" i="26"/>
  <c r="BB13" i="26"/>
  <c r="BB41" i="26" s="1"/>
  <c r="AW42" i="26"/>
  <c r="AX42" i="26"/>
  <c r="AZ42" i="26"/>
  <c r="BA42" i="26"/>
  <c r="AS13" i="26"/>
  <c r="AS41" i="26" s="1"/>
  <c r="AM42" i="26"/>
  <c r="AN42" i="26"/>
  <c r="AQ42" i="26"/>
  <c r="AR42" i="26"/>
  <c r="AK42" i="26"/>
  <c r="AI13" i="26"/>
  <c r="AI41" i="26" s="1"/>
  <c r="AC42" i="26"/>
  <c r="AD42" i="26"/>
  <c r="AE42" i="26"/>
  <c r="AF42" i="26"/>
  <c r="AG42" i="26"/>
  <c r="AH42" i="26"/>
  <c r="AA42" i="26"/>
  <c r="Y13" i="26"/>
  <c r="Y41" i="26" s="1"/>
  <c r="S42" i="26"/>
  <c r="T42" i="26"/>
  <c r="U42" i="26"/>
  <c r="V42" i="26"/>
  <c r="W42" i="26"/>
  <c r="X42" i="26"/>
  <c r="Q42" i="26"/>
  <c r="G13" i="26"/>
  <c r="G41" i="26" s="1"/>
  <c r="L42" i="26"/>
  <c r="J42" i="26"/>
  <c r="I42" i="26"/>
  <c r="H42" i="26"/>
  <c r="O42" i="26"/>
  <c r="F22" i="40" l="1"/>
  <c r="F13" i="40"/>
  <c r="E22" i="40"/>
  <c r="E13" i="40"/>
  <c r="AJ40" i="26"/>
  <c r="BD40" i="26"/>
  <c r="P40" i="26"/>
  <c r="Z40" i="26"/>
  <c r="AT40" i="26"/>
  <c r="BN40" i="26"/>
  <c r="F40" i="26"/>
  <c r="BP13" i="26"/>
  <c r="BP41" i="26" s="1"/>
  <c r="R13" i="26"/>
  <c r="R41" i="26" s="1"/>
  <c r="AV13" i="26"/>
  <c r="AV41" i="26" s="1"/>
  <c r="AP13" i="26"/>
  <c r="AP41" i="26" s="1"/>
  <c r="AP42" i="26"/>
  <c r="AO13" i="26"/>
  <c r="AO41" i="26" s="1"/>
  <c r="AO42" i="26"/>
  <c r="BF13" i="26"/>
  <c r="BF41" i="26" s="1"/>
  <c r="BF42" i="26"/>
  <c r="AL13" i="26"/>
  <c r="AL41" i="26" s="1"/>
  <c r="AU13" i="26"/>
  <c r="AU41" i="26" s="1"/>
  <c r="K13" i="26"/>
  <c r="K41" i="26" s="1"/>
  <c r="M13" i="26"/>
  <c r="M41" i="26" s="1"/>
  <c r="CA13" i="26"/>
  <c r="CA41" i="26" s="1"/>
  <c r="AY13" i="26"/>
  <c r="AY41" i="26" s="1"/>
  <c r="BZ13" i="26"/>
  <c r="BZ41" i="26" s="1"/>
  <c r="O13" i="26"/>
  <c r="O41" i="26" s="1"/>
  <c r="AB13" i="26"/>
  <c r="AB41" i="26" s="1"/>
  <c r="BC13" i="26"/>
  <c r="BC41" i="26" s="1"/>
  <c r="N13" i="26"/>
  <c r="N41" i="26" s="1"/>
  <c r="CB13" i="26"/>
  <c r="CB41" i="26" s="1"/>
  <c r="CD13" i="26"/>
  <c r="CD41" i="26" s="1"/>
  <c r="BY13" i="26"/>
  <c r="BY41" i="26" s="1"/>
  <c r="CC13" i="26"/>
  <c r="CC41" i="26" s="1"/>
  <c r="CF13" i="26"/>
  <c r="CF41" i="26" s="1"/>
  <c r="CE13" i="26"/>
  <c r="CE41" i="26" s="1"/>
  <c r="BV13" i="26"/>
  <c r="BV41" i="26" s="1"/>
  <c r="BQ13" i="26"/>
  <c r="BQ41" i="26" s="1"/>
  <c r="BS13" i="26"/>
  <c r="BS41" i="26" s="1"/>
  <c r="BU13" i="26"/>
  <c r="BU41" i="26" s="1"/>
  <c r="BO13" i="26"/>
  <c r="BO41" i="26" s="1"/>
  <c r="BT13" i="26"/>
  <c r="BT41" i="26" s="1"/>
  <c r="BR13" i="26"/>
  <c r="BR41" i="26" s="1"/>
  <c r="BI13" i="26"/>
  <c r="BI41" i="26" s="1"/>
  <c r="BE13" i="26"/>
  <c r="BE41" i="26" s="1"/>
  <c r="BK13" i="26"/>
  <c r="BK41" i="26" s="1"/>
  <c r="BH13" i="26"/>
  <c r="BH41" i="26" s="1"/>
  <c r="BJ13" i="26"/>
  <c r="BJ41" i="26" s="1"/>
  <c r="BG13" i="26"/>
  <c r="BG41" i="26" s="1"/>
  <c r="BL13" i="26"/>
  <c r="BL41" i="26" s="1"/>
  <c r="AZ13" i="26"/>
  <c r="AZ41" i="26" s="1"/>
  <c r="AX13" i="26"/>
  <c r="AX41" i="26" s="1"/>
  <c r="AW13" i="26"/>
  <c r="AW41" i="26" s="1"/>
  <c r="BA13" i="26"/>
  <c r="BA41" i="26" s="1"/>
  <c r="AQ13" i="26"/>
  <c r="AQ41" i="26" s="1"/>
  <c r="AK13" i="26"/>
  <c r="AK41" i="26" s="1"/>
  <c r="AM13" i="26"/>
  <c r="AM41" i="26" s="1"/>
  <c r="AR13" i="26"/>
  <c r="AR41" i="26" s="1"/>
  <c r="AN13" i="26"/>
  <c r="AN41" i="26" s="1"/>
  <c r="AF13" i="26"/>
  <c r="AF41" i="26" s="1"/>
  <c r="AE13" i="26"/>
  <c r="AE41" i="26" s="1"/>
  <c r="AA13" i="26"/>
  <c r="AA41" i="26" s="1"/>
  <c r="AC13" i="26"/>
  <c r="AC41" i="26" s="1"/>
  <c r="AH13" i="26"/>
  <c r="AH41" i="26" s="1"/>
  <c r="AG13" i="26"/>
  <c r="AG41" i="26" s="1"/>
  <c r="AD13" i="26"/>
  <c r="AD41" i="26" s="1"/>
  <c r="Q13" i="26"/>
  <c r="Q41" i="26" s="1"/>
  <c r="U13" i="26"/>
  <c r="U41" i="26" s="1"/>
  <c r="W13" i="26"/>
  <c r="W41" i="26" s="1"/>
  <c r="T13" i="26"/>
  <c r="T41" i="26" s="1"/>
  <c r="S13" i="26"/>
  <c r="S41" i="26" s="1"/>
  <c r="X13" i="26"/>
  <c r="X41" i="26" s="1"/>
  <c r="V13" i="26"/>
  <c r="V41" i="26" s="1"/>
  <c r="L13" i="26"/>
  <c r="L41" i="26" s="1"/>
  <c r="J13" i="26"/>
  <c r="J41" i="26" s="1"/>
  <c r="I13" i="26"/>
  <c r="I41" i="26" s="1"/>
  <c r="H13" i="26"/>
  <c r="H41" i="26" s="1"/>
  <c r="D30" i="40" l="1"/>
  <c r="D57" i="40" s="1"/>
  <c r="G40" i="40"/>
  <c r="E46" i="40"/>
  <c r="G32" i="40"/>
  <c r="K39" i="40"/>
  <c r="I45" i="40"/>
  <c r="I29" i="40"/>
  <c r="G38" i="40"/>
  <c r="E44" i="40"/>
  <c r="M28" i="40"/>
  <c r="M39" i="40"/>
  <c r="H30" i="40"/>
  <c r="O44" i="40"/>
  <c r="H39" i="40"/>
  <c r="D45" i="40"/>
  <c r="N40" i="40"/>
  <c r="I31" i="40"/>
  <c r="F42" i="40"/>
  <c r="K41" i="40"/>
  <c r="O34" i="40"/>
  <c r="D27" i="40"/>
  <c r="O40" i="40"/>
  <c r="M46" i="40"/>
  <c r="H40" i="40"/>
  <c r="F46" i="40"/>
  <c r="N30" i="40"/>
  <c r="O38" i="40"/>
  <c r="M44" i="40"/>
  <c r="O33" i="40"/>
  <c r="J40" i="40"/>
  <c r="H46" i="40"/>
  <c r="N39" i="40"/>
  <c r="L45" i="40"/>
  <c r="I30" i="40"/>
  <c r="I44" i="40"/>
  <c r="E40" i="40"/>
  <c r="N32" i="40"/>
  <c r="H26" i="40"/>
  <c r="D33" i="40"/>
  <c r="L41" i="40"/>
  <c r="D40" i="40"/>
  <c r="E41" i="40"/>
  <c r="N46" i="40"/>
  <c r="L39" i="40"/>
  <c r="J45" i="40"/>
  <c r="G30" i="40"/>
  <c r="K38" i="40"/>
  <c r="G41" i="40"/>
  <c r="D43" i="40"/>
  <c r="G33" i="40"/>
  <c r="K40" i="40"/>
  <c r="I46" i="40"/>
  <c r="N31" i="40"/>
  <c r="O26" i="40"/>
  <c r="N42" i="40"/>
  <c r="H42" i="40"/>
  <c r="D32" i="40"/>
  <c r="D59" i="40" s="1"/>
  <c r="I42" i="40"/>
  <c r="I26" i="40"/>
  <c r="O42" i="40"/>
  <c r="M41" i="40"/>
  <c r="D41" i="40"/>
  <c r="H32" i="40"/>
  <c r="I40" i="40"/>
  <c r="G46" i="40"/>
  <c r="O30" i="40"/>
  <c r="L43" i="40"/>
  <c r="O41" i="40"/>
  <c r="D38" i="40"/>
  <c r="H41" i="40"/>
  <c r="D44" i="40"/>
  <c r="M32" i="40"/>
  <c r="K43" i="40"/>
  <c r="H28" i="40"/>
  <c r="E43" i="40"/>
  <c r="M27" i="40"/>
  <c r="H34" i="40"/>
  <c r="D29" i="40"/>
  <c r="D56" i="40" s="1"/>
  <c r="D46" i="40"/>
  <c r="E42" i="40"/>
  <c r="H33" i="40"/>
  <c r="H44" i="40"/>
  <c r="H31" i="40"/>
  <c r="J44" i="40"/>
  <c r="O32" i="40"/>
  <c r="I34" i="40"/>
  <c r="D31" i="40"/>
  <c r="F43" i="40"/>
  <c r="N27" i="40"/>
  <c r="I28" i="40"/>
  <c r="J42" i="40"/>
  <c r="M33" i="40"/>
  <c r="F41" i="40"/>
  <c r="O46" i="40"/>
  <c r="L42" i="40"/>
  <c r="M40" i="40"/>
  <c r="M26" i="40"/>
  <c r="J38" i="40"/>
  <c r="M29" i="40"/>
  <c r="M43" i="40"/>
  <c r="E45" i="40"/>
  <c r="L38" i="40"/>
  <c r="D26" i="40"/>
  <c r="O29" i="40"/>
  <c r="E38" i="40"/>
  <c r="N43" i="40"/>
  <c r="G34" i="40"/>
  <c r="G43" i="40"/>
  <c r="G27" i="40"/>
  <c r="G42" i="40"/>
  <c r="N41" i="40"/>
  <c r="D42" i="40"/>
  <c r="I32" i="40"/>
  <c r="I43" i="40"/>
  <c r="I27" i="40"/>
  <c r="N45" i="40"/>
  <c r="M42" i="40"/>
  <c r="M34" i="40"/>
  <c r="G39" i="40"/>
  <c r="G29" i="40"/>
  <c r="G45" i="40"/>
  <c r="M38" i="40"/>
  <c r="K44" i="40"/>
  <c r="H29" i="40"/>
  <c r="F38" i="40"/>
  <c r="O43" i="40"/>
  <c r="O27" i="40"/>
  <c r="G26" i="40"/>
  <c r="K42" i="40"/>
  <c r="N33" i="40"/>
  <c r="H38" i="40"/>
  <c r="F44" i="40"/>
  <c r="N28" i="40"/>
  <c r="J43" i="40"/>
  <c r="G28" i="40"/>
  <c r="O31" i="40"/>
  <c r="O39" i="40"/>
  <c r="M45" i="40"/>
  <c r="G31" i="40"/>
  <c r="I39" i="40"/>
  <c r="D28" i="40"/>
  <c r="J39" i="40"/>
  <c r="H45" i="40"/>
  <c r="M30" i="40"/>
  <c r="N38" i="40"/>
  <c r="L44" i="40"/>
  <c r="N29" i="40"/>
  <c r="H43" i="40"/>
  <c r="H27" i="40"/>
  <c r="E39" i="40"/>
  <c r="N44" i="40"/>
  <c r="I38" i="40"/>
  <c r="G44" i="40"/>
  <c r="O28" i="40"/>
  <c r="I33" i="40"/>
  <c r="L40" i="40"/>
  <c r="J46" i="40"/>
  <c r="F40" i="40"/>
  <c r="O45" i="40"/>
  <c r="J41" i="40"/>
  <c r="M31" i="40"/>
  <c r="K45" i="40"/>
  <c r="F39" i="40"/>
  <c r="I41" i="40"/>
  <c r="N34" i="40"/>
  <c r="L46" i="40"/>
  <c r="K46" i="40"/>
  <c r="N26" i="40"/>
  <c r="D39" i="40"/>
  <c r="F45" i="40"/>
  <c r="D34" i="40"/>
  <c r="E30" i="40"/>
  <c r="E33" i="40"/>
  <c r="E28" i="40"/>
  <c r="E31" i="40"/>
  <c r="E26" i="40"/>
  <c r="E34" i="40"/>
  <c r="E29" i="40"/>
  <c r="E27" i="40"/>
  <c r="E32" i="40"/>
  <c r="F27" i="40"/>
  <c r="F30" i="40"/>
  <c r="F33" i="40"/>
  <c r="F28" i="40"/>
  <c r="F29" i="40"/>
  <c r="F31" i="40"/>
  <c r="F26" i="40"/>
  <c r="F34" i="40"/>
  <c r="F32" i="40"/>
  <c r="H37" i="40"/>
  <c r="N25" i="40"/>
  <c r="J37" i="40"/>
  <c r="O37" i="40"/>
  <c r="O69" i="40" s="1"/>
  <c r="N37" i="40"/>
  <c r="N72" i="40" s="1"/>
  <c r="M37" i="40"/>
  <c r="G37" i="40"/>
  <c r="F37" i="40"/>
  <c r="D58" i="40"/>
  <c r="O25" i="40"/>
  <c r="H25" i="40"/>
  <c r="L37" i="40"/>
  <c r="I25" i="40"/>
  <c r="D55" i="40"/>
  <c r="D61" i="40"/>
  <c r="I37" i="40"/>
  <c r="D54" i="40"/>
  <c r="E37" i="40"/>
  <c r="D53" i="40"/>
  <c r="G25" i="40"/>
  <c r="K37" i="40"/>
  <c r="D60" i="40"/>
  <c r="M25" i="40"/>
  <c r="E25" i="40"/>
  <c r="F25" i="40"/>
  <c r="G25" i="6"/>
  <c r="G26" i="6" s="1"/>
  <c r="G27" i="6" s="1"/>
  <c r="G28" i="6" s="1"/>
  <c r="G29" i="6" s="1"/>
  <c r="G30" i="6" s="1"/>
  <c r="G31" i="6" s="1"/>
  <c r="G32" i="6" s="1"/>
  <c r="B123" i="12"/>
  <c r="B84" i="12"/>
  <c r="B58" i="12"/>
  <c r="B31" i="12"/>
  <c r="A112" i="12"/>
  <c r="A111" i="12"/>
  <c r="A109" i="12"/>
  <c r="A107" i="12"/>
  <c r="A106" i="12"/>
  <c r="A105" i="12"/>
  <c r="A104" i="12"/>
  <c r="A103" i="12"/>
  <c r="A102" i="12"/>
  <c r="A101" i="12"/>
  <c r="A100" i="12"/>
  <c r="A99" i="12"/>
  <c r="A98" i="12"/>
  <c r="A97" i="12"/>
  <c r="A96" i="12"/>
  <c r="A95" i="12"/>
  <c r="A94" i="12"/>
  <c r="A93" i="12"/>
  <c r="A92" i="12"/>
  <c r="B112" i="12"/>
  <c r="B111" i="12"/>
  <c r="B109" i="12"/>
  <c r="B107" i="12"/>
  <c r="B106" i="12"/>
  <c r="B105" i="12"/>
  <c r="B104" i="12"/>
  <c r="B103" i="12"/>
  <c r="B102" i="12"/>
  <c r="B101" i="12"/>
  <c r="B100" i="12"/>
  <c r="B99" i="12"/>
  <c r="B98" i="12"/>
  <c r="B97" i="12"/>
  <c r="B96" i="12"/>
  <c r="B95" i="12"/>
  <c r="B94" i="12"/>
  <c r="B93" i="12"/>
  <c r="B92" i="12"/>
  <c r="B86" i="12"/>
  <c r="B85" i="12"/>
  <c r="B83" i="12"/>
  <c r="B81" i="12"/>
  <c r="B80" i="12"/>
  <c r="B79" i="12"/>
  <c r="B78" i="12"/>
  <c r="B77" i="12"/>
  <c r="B76" i="12"/>
  <c r="B75" i="12"/>
  <c r="B74" i="12"/>
  <c r="B73" i="12"/>
  <c r="B72" i="12"/>
  <c r="B71" i="12"/>
  <c r="B70" i="12"/>
  <c r="B69" i="12"/>
  <c r="B68" i="12"/>
  <c r="B67" i="12"/>
  <c r="B66" i="12"/>
  <c r="B60" i="12"/>
  <c r="B59" i="12"/>
  <c r="B57" i="12"/>
  <c r="B55" i="12"/>
  <c r="B54" i="12"/>
  <c r="B53" i="12"/>
  <c r="B52" i="12"/>
  <c r="B51" i="12"/>
  <c r="B50" i="12"/>
  <c r="B49" i="12"/>
  <c r="B48" i="12"/>
  <c r="B47" i="12"/>
  <c r="B46" i="12"/>
  <c r="B45" i="12"/>
  <c r="B44" i="12"/>
  <c r="B43" i="12"/>
  <c r="B42" i="12"/>
  <c r="B41" i="12"/>
  <c r="B40" i="12"/>
  <c r="B33" i="12"/>
  <c r="B28" i="12"/>
  <c r="B27" i="12"/>
  <c r="B24" i="12"/>
  <c r="B17" i="12"/>
  <c r="B15" i="12"/>
  <c r="B13" i="12"/>
  <c r="B21" i="12"/>
  <c r="O68" i="40" l="1"/>
  <c r="O72" i="40"/>
  <c r="O65" i="40"/>
  <c r="H68" i="40"/>
  <c r="H70" i="40"/>
  <c r="H71" i="40"/>
  <c r="H54" i="40"/>
  <c r="H59" i="40"/>
  <c r="H69" i="40"/>
  <c r="G67" i="40"/>
  <c r="G72" i="40"/>
  <c r="G68" i="40"/>
  <c r="N69" i="40"/>
  <c r="N67" i="40"/>
  <c r="N71" i="40"/>
  <c r="J68" i="40"/>
  <c r="J70" i="40"/>
  <c r="J69" i="40"/>
  <c r="O53" i="40"/>
  <c r="H53" i="40"/>
  <c r="H66" i="40"/>
  <c r="H65" i="40"/>
  <c r="L55" i="40"/>
  <c r="N54" i="40"/>
  <c r="N65" i="40"/>
  <c r="O71" i="40"/>
  <c r="N70" i="40"/>
  <c r="O55" i="40"/>
  <c r="M70" i="40"/>
  <c r="O54" i="40"/>
  <c r="M67" i="40"/>
  <c r="O60" i="40"/>
  <c r="O67" i="40"/>
  <c r="M66" i="40"/>
  <c r="N66" i="40"/>
  <c r="O73" i="40"/>
  <c r="N73" i="40"/>
  <c r="O66" i="40"/>
  <c r="K69" i="40"/>
  <c r="G73" i="40"/>
  <c r="G70" i="40"/>
  <c r="G66" i="40"/>
  <c r="H67" i="40"/>
  <c r="L73" i="40"/>
  <c r="I57" i="40"/>
  <c r="E53" i="40"/>
  <c r="E57" i="40"/>
  <c r="J54" i="40"/>
  <c r="I60" i="40"/>
  <c r="L57" i="40"/>
  <c r="L71" i="40"/>
  <c r="N60" i="40"/>
  <c r="J53" i="40"/>
  <c r="L56" i="40"/>
  <c r="L61" i="40"/>
  <c r="N55" i="40"/>
  <c r="L65" i="40"/>
  <c r="L70" i="40"/>
  <c r="E55" i="40"/>
  <c r="E61" i="40"/>
  <c r="L72" i="40"/>
  <c r="N57" i="40"/>
  <c r="E58" i="40"/>
  <c r="J56" i="40"/>
  <c r="F59" i="40"/>
  <c r="E56" i="40"/>
  <c r="H61" i="40"/>
  <c r="I53" i="40"/>
  <c r="N61" i="40"/>
  <c r="L60" i="40"/>
  <c r="I54" i="40"/>
  <c r="N53" i="40"/>
  <c r="L54" i="40"/>
  <c r="N58" i="40"/>
  <c r="O58" i="40"/>
  <c r="N56" i="40"/>
  <c r="I65" i="40"/>
  <c r="N59" i="40"/>
  <c r="K54" i="40"/>
  <c r="I70" i="40"/>
  <c r="I68" i="40"/>
  <c r="K70" i="40"/>
  <c r="I71" i="40"/>
  <c r="J60" i="40"/>
  <c r="H73" i="40"/>
  <c r="H72" i="40"/>
  <c r="E59" i="40"/>
  <c r="G56" i="40"/>
  <c r="G59" i="40"/>
  <c r="H56" i="40"/>
  <c r="E60" i="40"/>
  <c r="I56" i="40"/>
  <c r="E54" i="40"/>
  <c r="F72" i="40"/>
  <c r="J73" i="40"/>
  <c r="J67" i="40"/>
  <c r="M65" i="40"/>
  <c r="J66" i="40"/>
  <c r="M68" i="40"/>
  <c r="M71" i="40"/>
  <c r="F70" i="40"/>
  <c r="F69" i="40"/>
  <c r="M73" i="40"/>
  <c r="F66" i="40"/>
  <c r="F67" i="40"/>
  <c r="G69" i="40"/>
  <c r="O70" i="40"/>
  <c r="J71" i="40"/>
  <c r="J72" i="40"/>
  <c r="E73" i="40"/>
  <c r="F65" i="40"/>
  <c r="M72" i="40"/>
  <c r="G71" i="40"/>
  <c r="F60" i="40"/>
  <c r="M59" i="40"/>
  <c r="G54" i="40"/>
  <c r="K73" i="40"/>
  <c r="I59" i="40"/>
  <c r="H55" i="40"/>
  <c r="K65" i="40"/>
  <c r="M56" i="40"/>
  <c r="G57" i="40"/>
  <c r="L67" i="40"/>
  <c r="I72" i="40"/>
  <c r="J65" i="40"/>
  <c r="L66" i="40"/>
  <c r="M69" i="40"/>
  <c r="O59" i="40"/>
  <c r="F54" i="40"/>
  <c r="F58" i="40"/>
  <c r="F56" i="40"/>
  <c r="F53" i="40"/>
  <c r="E69" i="40"/>
  <c r="I61" i="40"/>
  <c r="N68" i="40"/>
  <c r="J61" i="40"/>
  <c r="M57" i="40"/>
  <c r="K56" i="40"/>
  <c r="G61" i="40"/>
  <c r="M58" i="40"/>
  <c r="K66" i="40"/>
  <c r="H58" i="40"/>
  <c r="H60" i="40"/>
  <c r="K72" i="40"/>
  <c r="E72" i="40"/>
  <c r="K58" i="40"/>
  <c r="J59" i="40"/>
  <c r="L53" i="40"/>
  <c r="M53" i="40"/>
  <c r="K60" i="40"/>
  <c r="O57" i="40"/>
  <c r="F55" i="40"/>
  <c r="E70" i="40"/>
  <c r="M60" i="40"/>
  <c r="I73" i="40"/>
  <c r="K71" i="40"/>
  <c r="K67" i="40"/>
  <c r="I69" i="40"/>
  <c r="O56" i="40"/>
  <c r="K61" i="40"/>
  <c r="L69" i="40"/>
  <c r="E67" i="40"/>
  <c r="E71" i="40"/>
  <c r="K68" i="40"/>
  <c r="J58" i="40"/>
  <c r="M61" i="40"/>
  <c r="G60" i="40"/>
  <c r="G55" i="40"/>
  <c r="L58" i="40"/>
  <c r="F68" i="40"/>
  <c r="O61" i="40"/>
  <c r="F57" i="40"/>
  <c r="J55" i="40"/>
  <c r="K59" i="40"/>
  <c r="M54" i="40"/>
  <c r="M55" i="40"/>
  <c r="I66" i="40"/>
  <c r="G53" i="40"/>
  <c r="E66" i="40"/>
  <c r="G65" i="40"/>
  <c r="F73" i="40"/>
  <c r="F71" i="40"/>
  <c r="L68" i="40"/>
  <c r="G58" i="40"/>
  <c r="I67" i="40"/>
  <c r="E65" i="40"/>
  <c r="F61" i="40"/>
  <c r="K55" i="40"/>
  <c r="K57" i="40"/>
  <c r="J57" i="40"/>
  <c r="E68" i="40"/>
  <c r="I58" i="40"/>
  <c r="I55" i="40"/>
  <c r="L59" i="40"/>
  <c r="K53" i="40"/>
  <c r="H57" i="40"/>
  <c r="A93" i="32"/>
  <c r="A93" i="35"/>
  <c r="A93" i="28"/>
  <c r="A93" i="30"/>
  <c r="A93" i="33"/>
  <c r="A93" i="31"/>
  <c r="A93" i="27"/>
  <c r="A101" i="32"/>
  <c r="A101" i="35"/>
  <c r="A101" i="30"/>
  <c r="A101" i="28"/>
  <c r="A101" i="33"/>
  <c r="A101" i="31"/>
  <c r="A101" i="27"/>
  <c r="A111" i="30"/>
  <c r="A111" i="27"/>
  <c r="A111" i="33"/>
  <c r="A111" i="35"/>
  <c r="A111" i="31"/>
  <c r="A111" i="28"/>
  <c r="A111" i="32"/>
  <c r="A94" i="30"/>
  <c r="A94" i="33"/>
  <c r="A94" i="31"/>
  <c r="A94" i="27"/>
  <c r="A94" i="35"/>
  <c r="A94" i="28"/>
  <c r="A94" i="32"/>
  <c r="A102" i="30"/>
  <c r="A102" i="33"/>
  <c r="A102" i="31"/>
  <c r="A102" i="35"/>
  <c r="A102" i="32"/>
  <c r="A102" i="27"/>
  <c r="A102" i="28"/>
  <c r="A112" i="33"/>
  <c r="A112" i="30"/>
  <c r="A112" i="35"/>
  <c r="A112" i="27"/>
  <c r="A112" i="28"/>
  <c r="A112" i="31"/>
  <c r="A112" i="32"/>
  <c r="A95" i="30"/>
  <c r="A95" i="27"/>
  <c r="A95" i="33"/>
  <c r="A95" i="35"/>
  <c r="A95" i="31"/>
  <c r="A95" i="28"/>
  <c r="A95" i="32"/>
  <c r="A103" i="30"/>
  <c r="A103" i="27"/>
  <c r="A103" i="33"/>
  <c r="A103" i="35"/>
  <c r="A103" i="31"/>
  <c r="A103" i="28"/>
  <c r="A103" i="32"/>
  <c r="A96" i="33"/>
  <c r="A96" i="35"/>
  <c r="A96" i="27"/>
  <c r="A96" i="31"/>
  <c r="A96" i="28"/>
  <c r="A96" i="30"/>
  <c r="A96" i="32"/>
  <c r="A104" i="33"/>
  <c r="A104" i="28"/>
  <c r="A104" i="35"/>
  <c r="A104" i="27"/>
  <c r="A104" i="31"/>
  <c r="A104" i="32"/>
  <c r="A104" i="30"/>
  <c r="A92" i="28"/>
  <c r="A92" i="32"/>
  <c r="A92" i="27"/>
  <c r="A92" i="30"/>
  <c r="A92" i="33"/>
  <c r="A92" i="35"/>
  <c r="A92" i="31"/>
  <c r="A109" i="32"/>
  <c r="A109" i="30"/>
  <c r="A109" i="35"/>
  <c r="A109" i="33"/>
  <c r="A109" i="31"/>
  <c r="A109" i="28"/>
  <c r="A109" i="27"/>
  <c r="A97" i="35"/>
  <c r="A97" i="31"/>
  <c r="A97" i="32"/>
  <c r="A97" i="27"/>
  <c r="A97" i="28"/>
  <c r="A97" i="33"/>
  <c r="A97" i="30"/>
  <c r="A98" i="31"/>
  <c r="A98" i="28"/>
  <c r="A98" i="32"/>
  <c r="A98" i="27"/>
  <c r="A98" i="35"/>
  <c r="A98" i="30"/>
  <c r="A98" i="33"/>
  <c r="A106" i="31"/>
  <c r="A106" i="28"/>
  <c r="A106" i="32"/>
  <c r="A106" i="27"/>
  <c r="A106" i="30"/>
  <c r="A106" i="33"/>
  <c r="A106" i="35"/>
  <c r="A100" i="28"/>
  <c r="A100" i="32"/>
  <c r="A100" i="30"/>
  <c r="A100" i="33"/>
  <c r="A100" i="35"/>
  <c r="A100" i="27"/>
  <c r="A100" i="31"/>
  <c r="A105" i="35"/>
  <c r="A105" i="32"/>
  <c r="A105" i="33"/>
  <c r="A105" i="31"/>
  <c r="A105" i="27"/>
  <c r="A105" i="28"/>
  <c r="A105" i="30"/>
  <c r="A99" i="28"/>
  <c r="A99" i="32"/>
  <c r="A99" i="30"/>
  <c r="A99" i="31"/>
  <c r="A99" i="27"/>
  <c r="A99" i="33"/>
  <c r="A99" i="35"/>
  <c r="A107" i="28"/>
  <c r="A107" i="32"/>
  <c r="A107" i="27"/>
  <c r="A107" i="30"/>
  <c r="A107" i="33"/>
  <c r="A107" i="31"/>
  <c r="A107" i="35"/>
  <c r="B13" i="27"/>
  <c r="D8" i="5" l="1"/>
  <c r="D7" i="5"/>
  <c r="B32" i="12"/>
  <c r="B26" i="12"/>
  <c r="B30" i="12"/>
  <c r="B18" i="12"/>
  <c r="B25" i="12"/>
  <c r="B20" i="12"/>
  <c r="B22" i="12"/>
  <c r="B16" i="12"/>
  <c r="B19" i="12"/>
  <c r="B14" i="12"/>
  <c r="E6" i="6"/>
  <c r="E7" i="6"/>
  <c r="E8" i="6"/>
  <c r="E9" i="6"/>
  <c r="E10" i="6"/>
  <c r="E11" i="6"/>
  <c r="E12" i="6"/>
  <c r="E5" i="6"/>
  <c r="L14495" i="1" l="1"/>
  <c r="M14495" i="1" s="1"/>
  <c r="L14503" i="1"/>
  <c r="M14503" i="1" s="1"/>
  <c r="L14631" i="1"/>
  <c r="M14631" i="1" s="1"/>
  <c r="L14639" i="1"/>
  <c r="M14639" i="1" s="1"/>
  <c r="L14767" i="1"/>
  <c r="M14767" i="1" s="1"/>
  <c r="L14775" i="1"/>
  <c r="M14775" i="1" s="1"/>
  <c r="L14903" i="1"/>
  <c r="M14903" i="1" s="1"/>
  <c r="L14911" i="1"/>
  <c r="M14911" i="1" s="1"/>
  <c r="L5122" i="1"/>
  <c r="M5122" i="1" s="1"/>
  <c r="L5250" i="1"/>
  <c r="M5250" i="1" s="1"/>
  <c r="L5258" i="1"/>
  <c r="M5258" i="1" s="1"/>
  <c r="L14496" i="1"/>
  <c r="M14496" i="1" s="1"/>
  <c r="L14504" i="1"/>
  <c r="M14504" i="1" s="1"/>
  <c r="L14632" i="1"/>
  <c r="M14632" i="1" s="1"/>
  <c r="L14640" i="1"/>
  <c r="M14640" i="1" s="1"/>
  <c r="L14768" i="1"/>
  <c r="M14768" i="1" s="1"/>
  <c r="L14776" i="1"/>
  <c r="M14776" i="1" s="1"/>
  <c r="L14904" i="1"/>
  <c r="M14904" i="1" s="1"/>
  <c r="L14912" i="1"/>
  <c r="M14912" i="1" s="1"/>
  <c r="L5115" i="1"/>
  <c r="M5115" i="1" s="1"/>
  <c r="L5123" i="1"/>
  <c r="M5123" i="1" s="1"/>
  <c r="L5251" i="1"/>
  <c r="M5251" i="1" s="1"/>
  <c r="L5259" i="1"/>
  <c r="M5259" i="1" s="1"/>
  <c r="L14497" i="1"/>
  <c r="M14497" i="1" s="1"/>
  <c r="L14505" i="1"/>
  <c r="M14505" i="1" s="1"/>
  <c r="L14633" i="1"/>
  <c r="M14633" i="1" s="1"/>
  <c r="L14641" i="1"/>
  <c r="M14641" i="1" s="1"/>
  <c r="L14769" i="1"/>
  <c r="M14769" i="1" s="1"/>
  <c r="L14777" i="1"/>
  <c r="M14777" i="1" s="1"/>
  <c r="L14905" i="1"/>
  <c r="M14905" i="1" s="1"/>
  <c r="L14913" i="1"/>
  <c r="M14913" i="1" s="1"/>
  <c r="L5116" i="1"/>
  <c r="M5116" i="1" s="1"/>
  <c r="L5124" i="1"/>
  <c r="M5124" i="1" s="1"/>
  <c r="L5252" i="1"/>
  <c r="M5252" i="1" s="1"/>
  <c r="L5260" i="1"/>
  <c r="M5260" i="1" s="1"/>
  <c r="L14498" i="1"/>
  <c r="M14498" i="1" s="1"/>
  <c r="L14506" i="1"/>
  <c r="M14506" i="1" s="1"/>
  <c r="L14634" i="1"/>
  <c r="M14634" i="1" s="1"/>
  <c r="L14642" i="1"/>
  <c r="M14642" i="1" s="1"/>
  <c r="L14770" i="1"/>
  <c r="M14770" i="1" s="1"/>
  <c r="L14778" i="1"/>
  <c r="M14778" i="1" s="1"/>
  <c r="L14906" i="1"/>
  <c r="M14906" i="1" s="1"/>
  <c r="L14914" i="1"/>
  <c r="M14914" i="1" s="1"/>
  <c r="L5117" i="1"/>
  <c r="M5117" i="1" s="1"/>
  <c r="L5125" i="1"/>
  <c r="M5125" i="1" s="1"/>
  <c r="L5253" i="1"/>
  <c r="M5253" i="1" s="1"/>
  <c r="L5261" i="1"/>
  <c r="M5261" i="1" s="1"/>
  <c r="L14499" i="1"/>
  <c r="M14499" i="1" s="1"/>
  <c r="L14507" i="1"/>
  <c r="M14507" i="1" s="1"/>
  <c r="L14635" i="1"/>
  <c r="M14635" i="1" s="1"/>
  <c r="L14643" i="1"/>
  <c r="M14643" i="1" s="1"/>
  <c r="L14771" i="1"/>
  <c r="M14771" i="1" s="1"/>
  <c r="L14779" i="1"/>
  <c r="M14779" i="1" s="1"/>
  <c r="L14907" i="1"/>
  <c r="M14907" i="1" s="1"/>
  <c r="L14915" i="1"/>
  <c r="M14915" i="1" s="1"/>
  <c r="L5118" i="1"/>
  <c r="M5118" i="1" s="1"/>
  <c r="L5246" i="1"/>
  <c r="M5246" i="1" s="1"/>
  <c r="L5254" i="1"/>
  <c r="M5254" i="1" s="1"/>
  <c r="L14500" i="1"/>
  <c r="M14500" i="1" s="1"/>
  <c r="L14508" i="1"/>
  <c r="M14508" i="1" s="1"/>
  <c r="L14636" i="1"/>
  <c r="M14636" i="1" s="1"/>
  <c r="L14644" i="1"/>
  <c r="M14644" i="1" s="1"/>
  <c r="L14772" i="1"/>
  <c r="M14772" i="1" s="1"/>
  <c r="L14780" i="1"/>
  <c r="M14780" i="1" s="1"/>
  <c r="L14908" i="1"/>
  <c r="M14908" i="1" s="1"/>
  <c r="L14916" i="1"/>
  <c r="M14916" i="1" s="1"/>
  <c r="L5119" i="1"/>
  <c r="M5119" i="1" s="1"/>
  <c r="L5247" i="1"/>
  <c r="M5247" i="1" s="1"/>
  <c r="L5255" i="1"/>
  <c r="M5255" i="1" s="1"/>
  <c r="L14501" i="1"/>
  <c r="M14501" i="1" s="1"/>
  <c r="L14509" i="1"/>
  <c r="M14509" i="1" s="1"/>
  <c r="L14637" i="1"/>
  <c r="M14637" i="1" s="1"/>
  <c r="L14645" i="1"/>
  <c r="M14645" i="1" s="1"/>
  <c r="L14773" i="1"/>
  <c r="M14773" i="1" s="1"/>
  <c r="L14781" i="1"/>
  <c r="M14781" i="1" s="1"/>
  <c r="L14909" i="1"/>
  <c r="M14909" i="1" s="1"/>
  <c r="L14917" i="1"/>
  <c r="M14917" i="1" s="1"/>
  <c r="L5120" i="1"/>
  <c r="M5120" i="1" s="1"/>
  <c r="L5248" i="1"/>
  <c r="M5248" i="1" s="1"/>
  <c r="L5256" i="1"/>
  <c r="M5256" i="1" s="1"/>
  <c r="L14494" i="1"/>
  <c r="M14494" i="1" s="1"/>
  <c r="L14502" i="1"/>
  <c r="M14502" i="1" s="1"/>
  <c r="L14630" i="1"/>
  <c r="M14630" i="1" s="1"/>
  <c r="L14638" i="1"/>
  <c r="M14638" i="1" s="1"/>
  <c r="L14766" i="1"/>
  <c r="M14766" i="1" s="1"/>
  <c r="L14774" i="1"/>
  <c r="M14774" i="1" s="1"/>
  <c r="L14902" i="1"/>
  <c r="M14902" i="1" s="1"/>
  <c r="L14910" i="1"/>
  <c r="M14910" i="1" s="1"/>
  <c r="L5121" i="1"/>
  <c r="M5121" i="1" s="1"/>
  <c r="L5249" i="1"/>
  <c r="M5249" i="1" s="1"/>
  <c r="L5257" i="1"/>
  <c r="M5257" i="1" s="1"/>
  <c r="L5387" i="1"/>
  <c r="M5387" i="1" s="1"/>
  <c r="L5395" i="1"/>
  <c r="M5395" i="1" s="1"/>
  <c r="L5523" i="1"/>
  <c r="M5523" i="1" s="1"/>
  <c r="L5531" i="1"/>
  <c r="M5531" i="1" s="1"/>
  <c r="L5659" i="1"/>
  <c r="M5659" i="1" s="1"/>
  <c r="L5667" i="1"/>
  <c r="M5667" i="1" s="1"/>
  <c r="L5795" i="1"/>
  <c r="M5795" i="1" s="1"/>
  <c r="L5803" i="1"/>
  <c r="M5803" i="1" s="1"/>
  <c r="L5388" i="1"/>
  <c r="M5388" i="1" s="1"/>
  <c r="L5396" i="1"/>
  <c r="M5396" i="1" s="1"/>
  <c r="L5524" i="1"/>
  <c r="M5524" i="1" s="1"/>
  <c r="L5532" i="1"/>
  <c r="M5532" i="1" s="1"/>
  <c r="L5660" i="1"/>
  <c r="M5660" i="1" s="1"/>
  <c r="L5668" i="1"/>
  <c r="M5668" i="1" s="1"/>
  <c r="L5796" i="1"/>
  <c r="M5796" i="1" s="1"/>
  <c r="L5804" i="1"/>
  <c r="M5804" i="1" s="1"/>
  <c r="L5389" i="1"/>
  <c r="M5389" i="1" s="1"/>
  <c r="L5397" i="1"/>
  <c r="M5397" i="1" s="1"/>
  <c r="L5525" i="1"/>
  <c r="M5525" i="1" s="1"/>
  <c r="L5533" i="1"/>
  <c r="M5533" i="1" s="1"/>
  <c r="L5661" i="1"/>
  <c r="M5661" i="1" s="1"/>
  <c r="L5669" i="1"/>
  <c r="M5669" i="1" s="1"/>
  <c r="L5797" i="1"/>
  <c r="M5797" i="1" s="1"/>
  <c r="L5805" i="1"/>
  <c r="M5805" i="1" s="1"/>
  <c r="L5382" i="1"/>
  <c r="M5382" i="1" s="1"/>
  <c r="L5390" i="1"/>
  <c r="M5390" i="1" s="1"/>
  <c r="L5518" i="1"/>
  <c r="M5518" i="1" s="1"/>
  <c r="L5526" i="1"/>
  <c r="M5526" i="1" s="1"/>
  <c r="L5654" i="1"/>
  <c r="M5654" i="1" s="1"/>
  <c r="L5662" i="1"/>
  <c r="M5662" i="1" s="1"/>
  <c r="L5790" i="1"/>
  <c r="M5790" i="1" s="1"/>
  <c r="L5798" i="1"/>
  <c r="M5798" i="1" s="1"/>
  <c r="L5926" i="1"/>
  <c r="M5926" i="1" s="1"/>
  <c r="L5934" i="1"/>
  <c r="M5934" i="1" s="1"/>
  <c r="L5383" i="1"/>
  <c r="M5383" i="1" s="1"/>
  <c r="L5391" i="1"/>
  <c r="M5391" i="1" s="1"/>
  <c r="L5519" i="1"/>
  <c r="M5519" i="1" s="1"/>
  <c r="L5527" i="1"/>
  <c r="M5527" i="1" s="1"/>
  <c r="L5655" i="1"/>
  <c r="M5655" i="1" s="1"/>
  <c r="L5663" i="1"/>
  <c r="M5663" i="1" s="1"/>
  <c r="L5791" i="1"/>
  <c r="M5791" i="1" s="1"/>
  <c r="L5799" i="1"/>
  <c r="M5799" i="1" s="1"/>
  <c r="L5384" i="1"/>
  <c r="M5384" i="1" s="1"/>
  <c r="L5392" i="1"/>
  <c r="M5392" i="1" s="1"/>
  <c r="L5520" i="1"/>
  <c r="M5520" i="1" s="1"/>
  <c r="L5528" i="1"/>
  <c r="M5528" i="1" s="1"/>
  <c r="L5656" i="1"/>
  <c r="M5656" i="1" s="1"/>
  <c r="L5664" i="1"/>
  <c r="M5664" i="1" s="1"/>
  <c r="L5792" i="1"/>
  <c r="M5792" i="1" s="1"/>
  <c r="L5800" i="1"/>
  <c r="M5800" i="1" s="1"/>
  <c r="L5385" i="1"/>
  <c r="M5385" i="1" s="1"/>
  <c r="L5393" i="1"/>
  <c r="M5393" i="1" s="1"/>
  <c r="L5521" i="1"/>
  <c r="M5521" i="1" s="1"/>
  <c r="L5529" i="1"/>
  <c r="M5529" i="1" s="1"/>
  <c r="L5657" i="1"/>
  <c r="M5657" i="1" s="1"/>
  <c r="L5665" i="1"/>
  <c r="M5665" i="1" s="1"/>
  <c r="L5793" i="1"/>
  <c r="M5793" i="1" s="1"/>
  <c r="L5801" i="1"/>
  <c r="M5801" i="1" s="1"/>
  <c r="L5386" i="1"/>
  <c r="M5386" i="1" s="1"/>
  <c r="L5394" i="1"/>
  <c r="M5394" i="1" s="1"/>
  <c r="L5522" i="1"/>
  <c r="M5522" i="1" s="1"/>
  <c r="L5530" i="1"/>
  <c r="M5530" i="1" s="1"/>
  <c r="L5658" i="1"/>
  <c r="M5658" i="1" s="1"/>
  <c r="L5666" i="1"/>
  <c r="M5666" i="1" s="1"/>
  <c r="L5794" i="1"/>
  <c r="M5794" i="1" s="1"/>
  <c r="L5802" i="1"/>
  <c r="M5802" i="1" s="1"/>
  <c r="L5930" i="1"/>
  <c r="M5930" i="1" s="1"/>
  <c r="L5938" i="1"/>
  <c r="M5938" i="1" s="1"/>
  <c r="L5935" i="1"/>
  <c r="M5935" i="1" s="1"/>
  <c r="L6069" i="1"/>
  <c r="M6069" i="1" s="1"/>
  <c r="L6077" i="1"/>
  <c r="M6077" i="1" s="1"/>
  <c r="L6205" i="1"/>
  <c r="M6205" i="1" s="1"/>
  <c r="L6213" i="1"/>
  <c r="M6213" i="1" s="1"/>
  <c r="L6341" i="1"/>
  <c r="M6341" i="1" s="1"/>
  <c r="L6349" i="1"/>
  <c r="M6349" i="1" s="1"/>
  <c r="L6477" i="1"/>
  <c r="M6477" i="1" s="1"/>
  <c r="L6485" i="1"/>
  <c r="M6485" i="1" s="1"/>
  <c r="L5936" i="1"/>
  <c r="M5936" i="1" s="1"/>
  <c r="L6062" i="1"/>
  <c r="M6062" i="1" s="1"/>
  <c r="L6070" i="1"/>
  <c r="M6070" i="1" s="1"/>
  <c r="L6198" i="1"/>
  <c r="M6198" i="1" s="1"/>
  <c r="L6206" i="1"/>
  <c r="M6206" i="1" s="1"/>
  <c r="L6334" i="1"/>
  <c r="M6334" i="1" s="1"/>
  <c r="L6342" i="1"/>
  <c r="M6342" i="1" s="1"/>
  <c r="L6470" i="1"/>
  <c r="M6470" i="1" s="1"/>
  <c r="L5927" i="1"/>
  <c r="M5927" i="1" s="1"/>
  <c r="L5937" i="1"/>
  <c r="M5937" i="1" s="1"/>
  <c r="L6063" i="1"/>
  <c r="M6063" i="1" s="1"/>
  <c r="L6071" i="1"/>
  <c r="M6071" i="1" s="1"/>
  <c r="L6199" i="1"/>
  <c r="M6199" i="1" s="1"/>
  <c r="L6207" i="1"/>
  <c r="M6207" i="1" s="1"/>
  <c r="L6335" i="1"/>
  <c r="M6335" i="1" s="1"/>
  <c r="L6343" i="1"/>
  <c r="M6343" i="1" s="1"/>
  <c r="L6471" i="1"/>
  <c r="M6471" i="1" s="1"/>
  <c r="L6479" i="1"/>
  <c r="M6479" i="1" s="1"/>
  <c r="L5928" i="1"/>
  <c r="M5928" i="1" s="1"/>
  <c r="L5939" i="1"/>
  <c r="M5939" i="1" s="1"/>
  <c r="L6064" i="1"/>
  <c r="M6064" i="1" s="1"/>
  <c r="L6072" i="1"/>
  <c r="M6072" i="1" s="1"/>
  <c r="L6200" i="1"/>
  <c r="M6200" i="1" s="1"/>
  <c r="L6208" i="1"/>
  <c r="M6208" i="1" s="1"/>
  <c r="L6336" i="1"/>
  <c r="M6336" i="1" s="1"/>
  <c r="L6344" i="1"/>
  <c r="M6344" i="1" s="1"/>
  <c r="L6472" i="1"/>
  <c r="M6472" i="1" s="1"/>
  <c r="L6480" i="1"/>
  <c r="M6480" i="1" s="1"/>
  <c r="L6608" i="1"/>
  <c r="M6608" i="1" s="1"/>
  <c r="L6616" i="1"/>
  <c r="M6616" i="1" s="1"/>
  <c r="L5929" i="1"/>
  <c r="M5929" i="1" s="1"/>
  <c r="L5940" i="1"/>
  <c r="M5940" i="1" s="1"/>
  <c r="L6065" i="1"/>
  <c r="M6065" i="1" s="1"/>
  <c r="L6073" i="1"/>
  <c r="M6073" i="1" s="1"/>
  <c r="L6201" i="1"/>
  <c r="M6201" i="1" s="1"/>
  <c r="L6209" i="1"/>
  <c r="M6209" i="1" s="1"/>
  <c r="L6337" i="1"/>
  <c r="M6337" i="1" s="1"/>
  <c r="L6345" i="1"/>
  <c r="M6345" i="1" s="1"/>
  <c r="L6473" i="1"/>
  <c r="M6473" i="1" s="1"/>
  <c r="L6481" i="1"/>
  <c r="M6481" i="1" s="1"/>
  <c r="L5931" i="1"/>
  <c r="M5931" i="1" s="1"/>
  <c r="L5941" i="1"/>
  <c r="M5941" i="1" s="1"/>
  <c r="L6066" i="1"/>
  <c r="M6066" i="1" s="1"/>
  <c r="L6074" i="1"/>
  <c r="M6074" i="1" s="1"/>
  <c r="L6202" i="1"/>
  <c r="M6202" i="1" s="1"/>
  <c r="L6210" i="1"/>
  <c r="M6210" i="1" s="1"/>
  <c r="L6338" i="1"/>
  <c r="M6338" i="1" s="1"/>
  <c r="L6346" i="1"/>
  <c r="M6346" i="1" s="1"/>
  <c r="L6474" i="1"/>
  <c r="M6474" i="1" s="1"/>
  <c r="L5932" i="1"/>
  <c r="M5932" i="1" s="1"/>
  <c r="L6067" i="1"/>
  <c r="M6067" i="1" s="1"/>
  <c r="L6075" i="1"/>
  <c r="M6075" i="1" s="1"/>
  <c r="L6203" i="1"/>
  <c r="M6203" i="1" s="1"/>
  <c r="L6211" i="1"/>
  <c r="M6211" i="1" s="1"/>
  <c r="L6339" i="1"/>
  <c r="M6339" i="1" s="1"/>
  <c r="L6347" i="1"/>
  <c r="M6347" i="1" s="1"/>
  <c r="L6475" i="1"/>
  <c r="M6475" i="1" s="1"/>
  <c r="L6483" i="1"/>
  <c r="M6483" i="1" s="1"/>
  <c r="L5933" i="1"/>
  <c r="M5933" i="1" s="1"/>
  <c r="L6068" i="1"/>
  <c r="M6068" i="1" s="1"/>
  <c r="L6076" i="1"/>
  <c r="M6076" i="1" s="1"/>
  <c r="L6204" i="1"/>
  <c r="M6204" i="1" s="1"/>
  <c r="L6212" i="1"/>
  <c r="M6212" i="1" s="1"/>
  <c r="L6340" i="1"/>
  <c r="M6340" i="1" s="1"/>
  <c r="L6348" i="1"/>
  <c r="M6348" i="1" s="1"/>
  <c r="L6476" i="1"/>
  <c r="M6476" i="1" s="1"/>
  <c r="L6484" i="1"/>
  <c r="M6484" i="1" s="1"/>
  <c r="L6612" i="1"/>
  <c r="M6612" i="1" s="1"/>
  <c r="L6620" i="1"/>
  <c r="M6620" i="1" s="1"/>
  <c r="L6482" i="1"/>
  <c r="M6482" i="1" s="1"/>
  <c r="L6611" i="1"/>
  <c r="M6611" i="1" s="1"/>
  <c r="L6745" i="1"/>
  <c r="M6745" i="1" s="1"/>
  <c r="L6753" i="1"/>
  <c r="M6753" i="1" s="1"/>
  <c r="L6881" i="1"/>
  <c r="M6881" i="1" s="1"/>
  <c r="L6889" i="1"/>
  <c r="M6889" i="1" s="1"/>
  <c r="L7017" i="1"/>
  <c r="M7017" i="1" s="1"/>
  <c r="L7025" i="1"/>
  <c r="M7025" i="1" s="1"/>
  <c r="L7153" i="1"/>
  <c r="M7153" i="1" s="1"/>
  <c r="L7161" i="1"/>
  <c r="M7161" i="1" s="1"/>
  <c r="L6613" i="1"/>
  <c r="M6613" i="1" s="1"/>
  <c r="L6746" i="1"/>
  <c r="M6746" i="1" s="1"/>
  <c r="L6754" i="1"/>
  <c r="M6754" i="1" s="1"/>
  <c r="L6882" i="1"/>
  <c r="M6882" i="1" s="1"/>
  <c r="L6890" i="1"/>
  <c r="M6890" i="1" s="1"/>
  <c r="L7018" i="1"/>
  <c r="M7018" i="1" s="1"/>
  <c r="L6614" i="1"/>
  <c r="M6614" i="1" s="1"/>
  <c r="L6747" i="1"/>
  <c r="M6747" i="1" s="1"/>
  <c r="L6755" i="1"/>
  <c r="M6755" i="1" s="1"/>
  <c r="L6615" i="1"/>
  <c r="M6615" i="1" s="1"/>
  <c r="L6748" i="1"/>
  <c r="M6748" i="1" s="1"/>
  <c r="L6756" i="1"/>
  <c r="M6756" i="1" s="1"/>
  <c r="L6884" i="1"/>
  <c r="M6884" i="1" s="1"/>
  <c r="L6892" i="1"/>
  <c r="M6892" i="1" s="1"/>
  <c r="L7020" i="1"/>
  <c r="M7020" i="1" s="1"/>
  <c r="L7028" i="1"/>
  <c r="M7028" i="1" s="1"/>
  <c r="L7156" i="1"/>
  <c r="M7156" i="1" s="1"/>
  <c r="L7164" i="1"/>
  <c r="M7164" i="1" s="1"/>
  <c r="L7292" i="1"/>
  <c r="M7292" i="1" s="1"/>
  <c r="L7300" i="1"/>
  <c r="M7300" i="1" s="1"/>
  <c r="L6606" i="1"/>
  <c r="M6606" i="1" s="1"/>
  <c r="L6617" i="1"/>
  <c r="M6617" i="1" s="1"/>
  <c r="L6749" i="1"/>
  <c r="M6749" i="1" s="1"/>
  <c r="L6757" i="1"/>
  <c r="M6757" i="1" s="1"/>
  <c r="L6885" i="1"/>
  <c r="M6885" i="1" s="1"/>
  <c r="L6893" i="1"/>
  <c r="M6893" i="1" s="1"/>
  <c r="L7021" i="1"/>
  <c r="M7021" i="1" s="1"/>
  <c r="L7029" i="1"/>
  <c r="M7029" i="1" s="1"/>
  <c r="L7157" i="1"/>
  <c r="M7157" i="1" s="1"/>
  <c r="L7165" i="1"/>
  <c r="M7165" i="1" s="1"/>
  <c r="L6607" i="1"/>
  <c r="M6607" i="1" s="1"/>
  <c r="L6618" i="1"/>
  <c r="M6618" i="1" s="1"/>
  <c r="L6742" i="1"/>
  <c r="M6742" i="1" s="1"/>
  <c r="L6750" i="1"/>
  <c r="M6750" i="1" s="1"/>
  <c r="L6878" i="1"/>
  <c r="M6878" i="1" s="1"/>
  <c r="L6886" i="1"/>
  <c r="M6886" i="1" s="1"/>
  <c r="L7014" i="1"/>
  <c r="M7014" i="1" s="1"/>
  <c r="L7022" i="1"/>
  <c r="M7022" i="1" s="1"/>
  <c r="L7150" i="1"/>
  <c r="M7150" i="1" s="1"/>
  <c r="L7158" i="1"/>
  <c r="M7158" i="1" s="1"/>
  <c r="L6609" i="1"/>
  <c r="M6609" i="1" s="1"/>
  <c r="L6619" i="1"/>
  <c r="M6619" i="1" s="1"/>
  <c r="L6743" i="1"/>
  <c r="M6743" i="1" s="1"/>
  <c r="L6751" i="1"/>
  <c r="M6751" i="1" s="1"/>
  <c r="L6879" i="1"/>
  <c r="M6879" i="1" s="1"/>
  <c r="L6887" i="1"/>
  <c r="M6887" i="1" s="1"/>
  <c r="L7015" i="1"/>
  <c r="M7015" i="1" s="1"/>
  <c r="L7023" i="1"/>
  <c r="M7023" i="1" s="1"/>
  <c r="L6478" i="1"/>
  <c r="M6478" i="1" s="1"/>
  <c r="L6610" i="1"/>
  <c r="M6610" i="1" s="1"/>
  <c r="L6621" i="1"/>
  <c r="M6621" i="1" s="1"/>
  <c r="L6744" i="1"/>
  <c r="M6744" i="1" s="1"/>
  <c r="L6752" i="1"/>
  <c r="M6752" i="1" s="1"/>
  <c r="L6880" i="1"/>
  <c r="M6880" i="1" s="1"/>
  <c r="L6888" i="1"/>
  <c r="M6888" i="1" s="1"/>
  <c r="L7016" i="1"/>
  <c r="M7016" i="1" s="1"/>
  <c r="L7024" i="1"/>
  <c r="M7024" i="1" s="1"/>
  <c r="L7152" i="1"/>
  <c r="M7152" i="1" s="1"/>
  <c r="L7160" i="1"/>
  <c r="M7160" i="1" s="1"/>
  <c r="L7288" i="1"/>
  <c r="M7288" i="1" s="1"/>
  <c r="L7296" i="1"/>
  <c r="M7296" i="1" s="1"/>
  <c r="L7287" i="1"/>
  <c r="M7287" i="1" s="1"/>
  <c r="L7298" i="1"/>
  <c r="M7298" i="1" s="1"/>
  <c r="L7428" i="1"/>
  <c r="M7428" i="1" s="1"/>
  <c r="L7436" i="1"/>
  <c r="M7436" i="1" s="1"/>
  <c r="L7564" i="1"/>
  <c r="M7564" i="1" s="1"/>
  <c r="L7572" i="1"/>
  <c r="M7572" i="1" s="1"/>
  <c r="L7700" i="1"/>
  <c r="M7700" i="1" s="1"/>
  <c r="L7708" i="1"/>
  <c r="M7708" i="1" s="1"/>
  <c r="L7820" i="1"/>
  <c r="M7820" i="1" s="1"/>
  <c r="L7828" i="1"/>
  <c r="M7828" i="1" s="1"/>
  <c r="L6883" i="1"/>
  <c r="M6883" i="1" s="1"/>
  <c r="L7019" i="1"/>
  <c r="M7019" i="1" s="1"/>
  <c r="L7289" i="1"/>
  <c r="M7289" i="1" s="1"/>
  <c r="L7299" i="1"/>
  <c r="M7299" i="1" s="1"/>
  <c r="L7429" i="1"/>
  <c r="M7429" i="1" s="1"/>
  <c r="L7437" i="1"/>
  <c r="M7437" i="1" s="1"/>
  <c r="L7565" i="1"/>
  <c r="M7565" i="1" s="1"/>
  <c r="L7573" i="1"/>
  <c r="M7573" i="1" s="1"/>
  <c r="L7701" i="1"/>
  <c r="M7701" i="1" s="1"/>
  <c r="L7709" i="1"/>
  <c r="M7709" i="1" s="1"/>
  <c r="L7813" i="1"/>
  <c r="M7813" i="1" s="1"/>
  <c r="L7821" i="1"/>
  <c r="M7821" i="1" s="1"/>
  <c r="L6891" i="1"/>
  <c r="M6891" i="1" s="1"/>
  <c r="L7026" i="1"/>
  <c r="M7026" i="1" s="1"/>
  <c r="L7151" i="1"/>
  <c r="M7151" i="1" s="1"/>
  <c r="L7290" i="1"/>
  <c r="M7290" i="1" s="1"/>
  <c r="L7301" i="1"/>
  <c r="M7301" i="1" s="1"/>
  <c r="L7422" i="1"/>
  <c r="M7422" i="1" s="1"/>
  <c r="L7430" i="1"/>
  <c r="M7430" i="1" s="1"/>
  <c r="L7558" i="1"/>
  <c r="M7558" i="1" s="1"/>
  <c r="L7566" i="1"/>
  <c r="M7566" i="1" s="1"/>
  <c r="L7694" i="1"/>
  <c r="M7694" i="1" s="1"/>
  <c r="L7702" i="1"/>
  <c r="M7702" i="1" s="1"/>
  <c r="L7814" i="1"/>
  <c r="M7814" i="1" s="1"/>
  <c r="L7822" i="1"/>
  <c r="M7822" i="1" s="1"/>
  <c r="L7027" i="1"/>
  <c r="M7027" i="1" s="1"/>
  <c r="L7154" i="1"/>
  <c r="M7154" i="1" s="1"/>
  <c r="L7291" i="1"/>
  <c r="M7291" i="1" s="1"/>
  <c r="L7423" i="1"/>
  <c r="M7423" i="1" s="1"/>
  <c r="L7431" i="1"/>
  <c r="M7431" i="1" s="1"/>
  <c r="L7559" i="1"/>
  <c r="M7559" i="1" s="1"/>
  <c r="L7567" i="1"/>
  <c r="M7567" i="1" s="1"/>
  <c r="L7695" i="1"/>
  <c r="M7695" i="1" s="1"/>
  <c r="L7703" i="1"/>
  <c r="M7703" i="1" s="1"/>
  <c r="L7815" i="1"/>
  <c r="M7815" i="1" s="1"/>
  <c r="L7823" i="1"/>
  <c r="M7823" i="1" s="1"/>
  <c r="L7967" i="1"/>
  <c r="M7967" i="1" s="1"/>
  <c r="L7975" i="1"/>
  <c r="M7975" i="1" s="1"/>
  <c r="L7155" i="1"/>
  <c r="M7155" i="1" s="1"/>
  <c r="L7293" i="1"/>
  <c r="M7293" i="1" s="1"/>
  <c r="L7424" i="1"/>
  <c r="M7424" i="1" s="1"/>
  <c r="L7432" i="1"/>
  <c r="M7432" i="1" s="1"/>
  <c r="L7560" i="1"/>
  <c r="M7560" i="1" s="1"/>
  <c r="L7568" i="1"/>
  <c r="M7568" i="1" s="1"/>
  <c r="L7696" i="1"/>
  <c r="M7696" i="1" s="1"/>
  <c r="L7704" i="1"/>
  <c r="M7704" i="1" s="1"/>
  <c r="L7816" i="1"/>
  <c r="M7816" i="1" s="1"/>
  <c r="L7824" i="1"/>
  <c r="M7824" i="1" s="1"/>
  <c r="L7159" i="1"/>
  <c r="M7159" i="1" s="1"/>
  <c r="L7294" i="1"/>
  <c r="M7294" i="1" s="1"/>
  <c r="L7425" i="1"/>
  <c r="M7425" i="1" s="1"/>
  <c r="L7433" i="1"/>
  <c r="M7433" i="1" s="1"/>
  <c r="L7561" i="1"/>
  <c r="M7561" i="1" s="1"/>
  <c r="L7569" i="1"/>
  <c r="M7569" i="1" s="1"/>
  <c r="L7697" i="1"/>
  <c r="M7697" i="1" s="1"/>
  <c r="L7705" i="1"/>
  <c r="M7705" i="1" s="1"/>
  <c r="L7817" i="1"/>
  <c r="M7817" i="1" s="1"/>
  <c r="L7825" i="1"/>
  <c r="M7825" i="1" s="1"/>
  <c r="L7162" i="1"/>
  <c r="M7162" i="1" s="1"/>
  <c r="L7295" i="1"/>
  <c r="M7295" i="1" s="1"/>
  <c r="L7426" i="1"/>
  <c r="M7426" i="1" s="1"/>
  <c r="L7434" i="1"/>
  <c r="M7434" i="1" s="1"/>
  <c r="L7562" i="1"/>
  <c r="M7562" i="1" s="1"/>
  <c r="L7570" i="1"/>
  <c r="M7570" i="1" s="1"/>
  <c r="L7698" i="1"/>
  <c r="M7698" i="1" s="1"/>
  <c r="L7706" i="1"/>
  <c r="M7706" i="1" s="1"/>
  <c r="L7818" i="1"/>
  <c r="M7818" i="1" s="1"/>
  <c r="L7826" i="1"/>
  <c r="M7826" i="1" s="1"/>
  <c r="L7163" i="1"/>
  <c r="M7163" i="1" s="1"/>
  <c r="L7286" i="1"/>
  <c r="M7286" i="1" s="1"/>
  <c r="L7297" i="1"/>
  <c r="M7297" i="1" s="1"/>
  <c r="L7427" i="1"/>
  <c r="M7427" i="1" s="1"/>
  <c r="L7435" i="1"/>
  <c r="M7435" i="1" s="1"/>
  <c r="L7563" i="1"/>
  <c r="M7563" i="1" s="1"/>
  <c r="L7571" i="1"/>
  <c r="M7571" i="1" s="1"/>
  <c r="L7699" i="1"/>
  <c r="M7699" i="1" s="1"/>
  <c r="L7707" i="1"/>
  <c r="M7707" i="1" s="1"/>
  <c r="L7819" i="1"/>
  <c r="M7819" i="1" s="1"/>
  <c r="L7827" i="1"/>
  <c r="M7827" i="1" s="1"/>
  <c r="L7971" i="1"/>
  <c r="M7971" i="1" s="1"/>
  <c r="L7979" i="1"/>
  <c r="M7979" i="1" s="1"/>
  <c r="L7970" i="1"/>
  <c r="M7970" i="1" s="1"/>
  <c r="L7981" i="1"/>
  <c r="M7981" i="1" s="1"/>
  <c r="L8105" i="1"/>
  <c r="M8105" i="1" s="1"/>
  <c r="L8113" i="1"/>
  <c r="M8113" i="1" s="1"/>
  <c r="L8241" i="1"/>
  <c r="M8241" i="1" s="1"/>
  <c r="L8249" i="1"/>
  <c r="M8249" i="1" s="1"/>
  <c r="L8377" i="1"/>
  <c r="M8377" i="1" s="1"/>
  <c r="L8385" i="1"/>
  <c r="M8385" i="1" s="1"/>
  <c r="L8513" i="1"/>
  <c r="M8513" i="1" s="1"/>
  <c r="L8521" i="1"/>
  <c r="M8521" i="1" s="1"/>
  <c r="L7972" i="1"/>
  <c r="M7972" i="1" s="1"/>
  <c r="L8106" i="1"/>
  <c r="M8106" i="1" s="1"/>
  <c r="L8114" i="1"/>
  <c r="M8114" i="1" s="1"/>
  <c r="L8242" i="1"/>
  <c r="M8242" i="1" s="1"/>
  <c r="L8250" i="1"/>
  <c r="M8250" i="1" s="1"/>
  <c r="L8378" i="1"/>
  <c r="M8378" i="1" s="1"/>
  <c r="L8386" i="1"/>
  <c r="M8386" i="1" s="1"/>
  <c r="L8514" i="1"/>
  <c r="M8514" i="1" s="1"/>
  <c r="L8522" i="1"/>
  <c r="M8522" i="1" s="1"/>
  <c r="L7973" i="1"/>
  <c r="M7973" i="1" s="1"/>
  <c r="L8107" i="1"/>
  <c r="M8107" i="1" s="1"/>
  <c r="L8115" i="1"/>
  <c r="M8115" i="1" s="1"/>
  <c r="L8243" i="1"/>
  <c r="M8243" i="1" s="1"/>
  <c r="L8251" i="1"/>
  <c r="M8251" i="1" s="1"/>
  <c r="L8379" i="1"/>
  <c r="M8379" i="1" s="1"/>
  <c r="L8387" i="1"/>
  <c r="M8387" i="1" s="1"/>
  <c r="L8515" i="1"/>
  <c r="M8515" i="1" s="1"/>
  <c r="L8523" i="1"/>
  <c r="M8523" i="1" s="1"/>
  <c r="L7974" i="1"/>
  <c r="M7974" i="1" s="1"/>
  <c r="L8108" i="1"/>
  <c r="M8108" i="1" s="1"/>
  <c r="L8116" i="1"/>
  <c r="M8116" i="1" s="1"/>
  <c r="L8244" i="1"/>
  <c r="M8244" i="1" s="1"/>
  <c r="L8252" i="1"/>
  <c r="M8252" i="1" s="1"/>
  <c r="L8380" i="1"/>
  <c r="M8380" i="1" s="1"/>
  <c r="L8388" i="1"/>
  <c r="M8388" i="1" s="1"/>
  <c r="L8516" i="1"/>
  <c r="M8516" i="1" s="1"/>
  <c r="L8524" i="1"/>
  <c r="M8524" i="1" s="1"/>
  <c r="L8652" i="1"/>
  <c r="M8652" i="1" s="1"/>
  <c r="L8660" i="1"/>
  <c r="M8660" i="1" s="1"/>
  <c r="L7976" i="1"/>
  <c r="M7976" i="1" s="1"/>
  <c r="L8109" i="1"/>
  <c r="M8109" i="1" s="1"/>
  <c r="L8117" i="1"/>
  <c r="M8117" i="1" s="1"/>
  <c r="L8245" i="1"/>
  <c r="M8245" i="1" s="1"/>
  <c r="L8253" i="1"/>
  <c r="M8253" i="1" s="1"/>
  <c r="L8381" i="1"/>
  <c r="M8381" i="1" s="1"/>
  <c r="L8389" i="1"/>
  <c r="M8389" i="1" s="1"/>
  <c r="L8517" i="1"/>
  <c r="M8517" i="1" s="1"/>
  <c r="L8525" i="1"/>
  <c r="M8525" i="1" s="1"/>
  <c r="L7966" i="1"/>
  <c r="M7966" i="1" s="1"/>
  <c r="L7977" i="1"/>
  <c r="M7977" i="1" s="1"/>
  <c r="L8102" i="1"/>
  <c r="M8102" i="1" s="1"/>
  <c r="L8110" i="1"/>
  <c r="M8110" i="1" s="1"/>
  <c r="L8238" i="1"/>
  <c r="M8238" i="1" s="1"/>
  <c r="L8246" i="1"/>
  <c r="M8246" i="1" s="1"/>
  <c r="L8374" i="1"/>
  <c r="M8374" i="1" s="1"/>
  <c r="L8382" i="1"/>
  <c r="M8382" i="1" s="1"/>
  <c r="L8510" i="1"/>
  <c r="M8510" i="1" s="1"/>
  <c r="L8518" i="1"/>
  <c r="M8518" i="1" s="1"/>
  <c r="L7968" i="1"/>
  <c r="M7968" i="1" s="1"/>
  <c r="L7978" i="1"/>
  <c r="M7978" i="1" s="1"/>
  <c r="L8103" i="1"/>
  <c r="M8103" i="1" s="1"/>
  <c r="L8111" i="1"/>
  <c r="M8111" i="1" s="1"/>
  <c r="L8239" i="1"/>
  <c r="M8239" i="1" s="1"/>
  <c r="L8247" i="1"/>
  <c r="M8247" i="1" s="1"/>
  <c r="L8375" i="1"/>
  <c r="M8375" i="1" s="1"/>
  <c r="L8383" i="1"/>
  <c r="M8383" i="1" s="1"/>
  <c r="L8511" i="1"/>
  <c r="M8511" i="1" s="1"/>
  <c r="L8519" i="1"/>
  <c r="M8519" i="1" s="1"/>
  <c r="L7969" i="1"/>
  <c r="M7969" i="1" s="1"/>
  <c r="L7980" i="1"/>
  <c r="M7980" i="1" s="1"/>
  <c r="L8104" i="1"/>
  <c r="M8104" i="1" s="1"/>
  <c r="L8112" i="1"/>
  <c r="M8112" i="1" s="1"/>
  <c r="L8240" i="1"/>
  <c r="M8240" i="1" s="1"/>
  <c r="L8248" i="1"/>
  <c r="M8248" i="1" s="1"/>
  <c r="L8376" i="1"/>
  <c r="M8376" i="1" s="1"/>
  <c r="L8384" i="1"/>
  <c r="M8384" i="1" s="1"/>
  <c r="L8512" i="1"/>
  <c r="M8512" i="1" s="1"/>
  <c r="L8520" i="1"/>
  <c r="M8520" i="1" s="1"/>
  <c r="L8648" i="1"/>
  <c r="M8648" i="1" s="1"/>
  <c r="L8656" i="1"/>
  <c r="M8656" i="1" s="1"/>
  <c r="L8651" i="1"/>
  <c r="M8651" i="1" s="1"/>
  <c r="L8783" i="1"/>
  <c r="M8783" i="1" s="1"/>
  <c r="L8791" i="1"/>
  <c r="M8791" i="1" s="1"/>
  <c r="L8919" i="1"/>
  <c r="M8919" i="1" s="1"/>
  <c r="L8927" i="1"/>
  <c r="M8927" i="1" s="1"/>
  <c r="L9055" i="1"/>
  <c r="M9055" i="1" s="1"/>
  <c r="L9063" i="1"/>
  <c r="M9063" i="1" s="1"/>
  <c r="L9191" i="1"/>
  <c r="M9191" i="1" s="1"/>
  <c r="L9199" i="1"/>
  <c r="M9199" i="1" s="1"/>
  <c r="L8653" i="1"/>
  <c r="M8653" i="1" s="1"/>
  <c r="L8784" i="1"/>
  <c r="M8784" i="1" s="1"/>
  <c r="L8792" i="1"/>
  <c r="M8792" i="1" s="1"/>
  <c r="L8920" i="1"/>
  <c r="M8920" i="1" s="1"/>
  <c r="L8928" i="1"/>
  <c r="M8928" i="1" s="1"/>
  <c r="L9056" i="1"/>
  <c r="M9056" i="1" s="1"/>
  <c r="L9064" i="1"/>
  <c r="M9064" i="1" s="1"/>
  <c r="L9192" i="1"/>
  <c r="M9192" i="1" s="1"/>
  <c r="L9200" i="1"/>
  <c r="M9200" i="1" s="1"/>
  <c r="L8654" i="1"/>
  <c r="M8654" i="1" s="1"/>
  <c r="L8785" i="1"/>
  <c r="M8785" i="1" s="1"/>
  <c r="L8793" i="1"/>
  <c r="M8793" i="1" s="1"/>
  <c r="L8921" i="1"/>
  <c r="M8921" i="1" s="1"/>
  <c r="L8929" i="1"/>
  <c r="M8929" i="1" s="1"/>
  <c r="L9057" i="1"/>
  <c r="M9057" i="1" s="1"/>
  <c r="L9065" i="1"/>
  <c r="M9065" i="1" s="1"/>
  <c r="L9193" i="1"/>
  <c r="M9193" i="1" s="1"/>
  <c r="L9201" i="1"/>
  <c r="M9201" i="1" s="1"/>
  <c r="L8655" i="1"/>
  <c r="M8655" i="1" s="1"/>
  <c r="L8786" i="1"/>
  <c r="M8786" i="1" s="1"/>
  <c r="L8794" i="1"/>
  <c r="M8794" i="1" s="1"/>
  <c r="L8922" i="1"/>
  <c r="M8922" i="1" s="1"/>
  <c r="L8930" i="1"/>
  <c r="M8930" i="1" s="1"/>
  <c r="L9058" i="1"/>
  <c r="M9058" i="1" s="1"/>
  <c r="L9066" i="1"/>
  <c r="M9066" i="1" s="1"/>
  <c r="L9194" i="1"/>
  <c r="M9194" i="1" s="1"/>
  <c r="L9202" i="1"/>
  <c r="M9202" i="1" s="1"/>
  <c r="L9330" i="1"/>
  <c r="M9330" i="1" s="1"/>
  <c r="L9338" i="1"/>
  <c r="M9338" i="1" s="1"/>
  <c r="L8646" i="1"/>
  <c r="M8646" i="1" s="1"/>
  <c r="L8657" i="1"/>
  <c r="M8657" i="1" s="1"/>
  <c r="L8787" i="1"/>
  <c r="M8787" i="1" s="1"/>
  <c r="L8795" i="1"/>
  <c r="M8795" i="1" s="1"/>
  <c r="L8923" i="1"/>
  <c r="M8923" i="1" s="1"/>
  <c r="L8931" i="1"/>
  <c r="M8931" i="1" s="1"/>
  <c r="L9059" i="1"/>
  <c r="M9059" i="1" s="1"/>
  <c r="L9067" i="1"/>
  <c r="M9067" i="1" s="1"/>
  <c r="L9195" i="1"/>
  <c r="M9195" i="1" s="1"/>
  <c r="L9203" i="1"/>
  <c r="M9203" i="1" s="1"/>
  <c r="L8647" i="1"/>
  <c r="M8647" i="1" s="1"/>
  <c r="L8658" i="1"/>
  <c r="M8658" i="1" s="1"/>
  <c r="L8788" i="1"/>
  <c r="M8788" i="1" s="1"/>
  <c r="L8796" i="1"/>
  <c r="M8796" i="1" s="1"/>
  <c r="L8924" i="1"/>
  <c r="M8924" i="1" s="1"/>
  <c r="L8932" i="1"/>
  <c r="M8932" i="1" s="1"/>
  <c r="L9060" i="1"/>
  <c r="M9060" i="1" s="1"/>
  <c r="L9068" i="1"/>
  <c r="M9068" i="1" s="1"/>
  <c r="L9196" i="1"/>
  <c r="M9196" i="1" s="1"/>
  <c r="L9204" i="1"/>
  <c r="M9204" i="1" s="1"/>
  <c r="L8649" i="1"/>
  <c r="M8649" i="1" s="1"/>
  <c r="L8659" i="1"/>
  <c r="M8659" i="1" s="1"/>
  <c r="L8789" i="1"/>
  <c r="M8789" i="1" s="1"/>
  <c r="L8797" i="1"/>
  <c r="M8797" i="1" s="1"/>
  <c r="L8925" i="1"/>
  <c r="M8925" i="1" s="1"/>
  <c r="L8933" i="1"/>
  <c r="M8933" i="1" s="1"/>
  <c r="L9061" i="1"/>
  <c r="M9061" i="1" s="1"/>
  <c r="L9069" i="1"/>
  <c r="M9069" i="1" s="1"/>
  <c r="L9197" i="1"/>
  <c r="M9197" i="1" s="1"/>
  <c r="L9205" i="1"/>
  <c r="M9205" i="1" s="1"/>
  <c r="L8650" i="1"/>
  <c r="M8650" i="1" s="1"/>
  <c r="L8661" i="1"/>
  <c r="M8661" i="1" s="1"/>
  <c r="L8782" i="1"/>
  <c r="M8782" i="1" s="1"/>
  <c r="L8790" i="1"/>
  <c r="M8790" i="1" s="1"/>
  <c r="L8918" i="1"/>
  <c r="M8918" i="1" s="1"/>
  <c r="L8926" i="1"/>
  <c r="M8926" i="1" s="1"/>
  <c r="L9054" i="1"/>
  <c r="M9054" i="1" s="1"/>
  <c r="L9062" i="1"/>
  <c r="M9062" i="1" s="1"/>
  <c r="L9190" i="1"/>
  <c r="M9190" i="1" s="1"/>
  <c r="L9198" i="1"/>
  <c r="M9198" i="1" s="1"/>
  <c r="L9326" i="1"/>
  <c r="M9326" i="1" s="1"/>
  <c r="L9334" i="1"/>
  <c r="M9334" i="1" s="1"/>
  <c r="L9333" i="1"/>
  <c r="M9333" i="1" s="1"/>
  <c r="L9464" i="1"/>
  <c r="M9464" i="1" s="1"/>
  <c r="L9472" i="1"/>
  <c r="M9472" i="1" s="1"/>
  <c r="L9600" i="1"/>
  <c r="M9600" i="1" s="1"/>
  <c r="L9608" i="1"/>
  <c r="M9608" i="1" s="1"/>
  <c r="L9736" i="1"/>
  <c r="M9736" i="1" s="1"/>
  <c r="L9744" i="1"/>
  <c r="M9744" i="1" s="1"/>
  <c r="L9872" i="1"/>
  <c r="M9872" i="1" s="1"/>
  <c r="L9880" i="1"/>
  <c r="M9880" i="1" s="1"/>
  <c r="L10008" i="1"/>
  <c r="M10008" i="1" s="1"/>
  <c r="L10016" i="1"/>
  <c r="M10016" i="1" s="1"/>
  <c r="L9335" i="1"/>
  <c r="M9335" i="1" s="1"/>
  <c r="L9465" i="1"/>
  <c r="M9465" i="1" s="1"/>
  <c r="L9473" i="1"/>
  <c r="M9473" i="1" s="1"/>
  <c r="L9601" i="1"/>
  <c r="M9601" i="1" s="1"/>
  <c r="L9609" i="1"/>
  <c r="M9609" i="1" s="1"/>
  <c r="L9737" i="1"/>
  <c r="M9737" i="1" s="1"/>
  <c r="L9745" i="1"/>
  <c r="M9745" i="1" s="1"/>
  <c r="L9873" i="1"/>
  <c r="M9873" i="1" s="1"/>
  <c r="L9881" i="1"/>
  <c r="M9881" i="1" s="1"/>
  <c r="L10009" i="1"/>
  <c r="M10009" i="1" s="1"/>
  <c r="L10017" i="1"/>
  <c r="M10017" i="1" s="1"/>
  <c r="L9336" i="1"/>
  <c r="M9336" i="1" s="1"/>
  <c r="L9466" i="1"/>
  <c r="M9466" i="1" s="1"/>
  <c r="L9474" i="1"/>
  <c r="M9474" i="1" s="1"/>
  <c r="L9602" i="1"/>
  <c r="M9602" i="1" s="1"/>
  <c r="L9610" i="1"/>
  <c r="M9610" i="1" s="1"/>
  <c r="L9738" i="1"/>
  <c r="M9738" i="1" s="1"/>
  <c r="L9746" i="1"/>
  <c r="M9746" i="1" s="1"/>
  <c r="L9874" i="1"/>
  <c r="M9874" i="1" s="1"/>
  <c r="L9882" i="1"/>
  <c r="M9882" i="1" s="1"/>
  <c r="L10010" i="1"/>
  <c r="M10010" i="1" s="1"/>
  <c r="L10018" i="1"/>
  <c r="M10018" i="1" s="1"/>
  <c r="L9327" i="1"/>
  <c r="M9327" i="1" s="1"/>
  <c r="L9337" i="1"/>
  <c r="M9337" i="1" s="1"/>
  <c r="L9467" i="1"/>
  <c r="M9467" i="1" s="1"/>
  <c r="L9475" i="1"/>
  <c r="M9475" i="1" s="1"/>
  <c r="L9603" i="1"/>
  <c r="M9603" i="1" s="1"/>
  <c r="L9611" i="1"/>
  <c r="M9611" i="1" s="1"/>
  <c r="L9739" i="1"/>
  <c r="M9739" i="1" s="1"/>
  <c r="L9747" i="1"/>
  <c r="M9747" i="1" s="1"/>
  <c r="L9875" i="1"/>
  <c r="M9875" i="1" s="1"/>
  <c r="L9883" i="1"/>
  <c r="M9883" i="1" s="1"/>
  <c r="L10011" i="1"/>
  <c r="M10011" i="1" s="1"/>
  <c r="L10019" i="1"/>
  <c r="M10019" i="1" s="1"/>
  <c r="L10147" i="1"/>
  <c r="M10147" i="1" s="1"/>
  <c r="L10155" i="1"/>
  <c r="M10155" i="1" s="1"/>
  <c r="L9328" i="1"/>
  <c r="M9328" i="1" s="1"/>
  <c r="L9339" i="1"/>
  <c r="M9339" i="1" s="1"/>
  <c r="L9468" i="1"/>
  <c r="M9468" i="1" s="1"/>
  <c r="L9476" i="1"/>
  <c r="M9476" i="1" s="1"/>
  <c r="L9604" i="1"/>
  <c r="M9604" i="1" s="1"/>
  <c r="L9612" i="1"/>
  <c r="M9612" i="1" s="1"/>
  <c r="L9740" i="1"/>
  <c r="M9740" i="1" s="1"/>
  <c r="L9748" i="1"/>
  <c r="M9748" i="1" s="1"/>
  <c r="L9876" i="1"/>
  <c r="M9876" i="1" s="1"/>
  <c r="L9884" i="1"/>
  <c r="M9884" i="1" s="1"/>
  <c r="L10012" i="1"/>
  <c r="M10012" i="1" s="1"/>
  <c r="L10020" i="1"/>
  <c r="M10020" i="1" s="1"/>
  <c r="L9329" i="1"/>
  <c r="M9329" i="1" s="1"/>
  <c r="L9340" i="1"/>
  <c r="M9340" i="1" s="1"/>
  <c r="L9469" i="1"/>
  <c r="M9469" i="1" s="1"/>
  <c r="L9477" i="1"/>
  <c r="M9477" i="1" s="1"/>
  <c r="L9605" i="1"/>
  <c r="M9605" i="1" s="1"/>
  <c r="L9613" i="1"/>
  <c r="M9613" i="1" s="1"/>
  <c r="L9741" i="1"/>
  <c r="M9741" i="1" s="1"/>
  <c r="L9749" i="1"/>
  <c r="M9749" i="1" s="1"/>
  <c r="L9877" i="1"/>
  <c r="M9877" i="1" s="1"/>
  <c r="L9885" i="1"/>
  <c r="M9885" i="1" s="1"/>
  <c r="L10013" i="1"/>
  <c r="M10013" i="1" s="1"/>
  <c r="L10021" i="1"/>
  <c r="M10021" i="1" s="1"/>
  <c r="L9331" i="1"/>
  <c r="M9331" i="1" s="1"/>
  <c r="L9341" i="1"/>
  <c r="M9341" i="1" s="1"/>
  <c r="L9462" i="1"/>
  <c r="M9462" i="1" s="1"/>
  <c r="L9470" i="1"/>
  <c r="M9470" i="1" s="1"/>
  <c r="L9598" i="1"/>
  <c r="M9598" i="1" s="1"/>
  <c r="L9606" i="1"/>
  <c r="M9606" i="1" s="1"/>
  <c r="L9734" i="1"/>
  <c r="M9734" i="1" s="1"/>
  <c r="L9742" i="1"/>
  <c r="M9742" i="1" s="1"/>
  <c r="L9870" i="1"/>
  <c r="M9870" i="1" s="1"/>
  <c r="L9878" i="1"/>
  <c r="M9878" i="1" s="1"/>
  <c r="L10006" i="1"/>
  <c r="M10006" i="1" s="1"/>
  <c r="L10014" i="1"/>
  <c r="M10014" i="1" s="1"/>
  <c r="L9332" i="1"/>
  <c r="M9332" i="1" s="1"/>
  <c r="L9463" i="1"/>
  <c r="M9463" i="1" s="1"/>
  <c r="L9471" i="1"/>
  <c r="M9471" i="1" s="1"/>
  <c r="L9599" i="1"/>
  <c r="M9599" i="1" s="1"/>
  <c r="L9607" i="1"/>
  <c r="M9607" i="1" s="1"/>
  <c r="L9735" i="1"/>
  <c r="M9735" i="1" s="1"/>
  <c r="L9743" i="1"/>
  <c r="M9743" i="1" s="1"/>
  <c r="L9871" i="1"/>
  <c r="M9871" i="1" s="1"/>
  <c r="L9879" i="1"/>
  <c r="M9879" i="1" s="1"/>
  <c r="L10007" i="1"/>
  <c r="M10007" i="1" s="1"/>
  <c r="L10015" i="1"/>
  <c r="M10015" i="1" s="1"/>
  <c r="L10143" i="1"/>
  <c r="M10143" i="1" s="1"/>
  <c r="L10151" i="1"/>
  <c r="M10151" i="1" s="1"/>
  <c r="L10149" i="1"/>
  <c r="M10149" i="1" s="1"/>
  <c r="L10281" i="1"/>
  <c r="M10281" i="1" s="1"/>
  <c r="L10289" i="1"/>
  <c r="M10289" i="1" s="1"/>
  <c r="L10417" i="1"/>
  <c r="M10417" i="1" s="1"/>
  <c r="L10425" i="1"/>
  <c r="M10425" i="1" s="1"/>
  <c r="L10557" i="1"/>
  <c r="M10557" i="1" s="1"/>
  <c r="L10565" i="1"/>
  <c r="M10565" i="1" s="1"/>
  <c r="L10693" i="1"/>
  <c r="M10693" i="1" s="1"/>
  <c r="L10701" i="1"/>
  <c r="M10701" i="1" s="1"/>
  <c r="L10829" i="1"/>
  <c r="M10829" i="1" s="1"/>
  <c r="L10837" i="1"/>
  <c r="M10837" i="1" s="1"/>
  <c r="L10965" i="1"/>
  <c r="M10965" i="1" s="1"/>
  <c r="L10973" i="1"/>
  <c r="M10973" i="1" s="1"/>
  <c r="L11101" i="1"/>
  <c r="M11101" i="1" s="1"/>
  <c r="L11109" i="1"/>
  <c r="M11109" i="1" s="1"/>
  <c r="L11237" i="1"/>
  <c r="M11237" i="1" s="1"/>
  <c r="L11245" i="1"/>
  <c r="M11245" i="1" s="1"/>
  <c r="L11373" i="1"/>
  <c r="M11373" i="1" s="1"/>
  <c r="L11381" i="1"/>
  <c r="M11381" i="1" s="1"/>
  <c r="L11509" i="1"/>
  <c r="M11509" i="1" s="1"/>
  <c r="L10150" i="1"/>
  <c r="M10150" i="1" s="1"/>
  <c r="L10282" i="1"/>
  <c r="M10282" i="1" s="1"/>
  <c r="L10290" i="1"/>
  <c r="M10290" i="1" s="1"/>
  <c r="L10418" i="1"/>
  <c r="M10418" i="1" s="1"/>
  <c r="L10426" i="1"/>
  <c r="M10426" i="1" s="1"/>
  <c r="L10550" i="1"/>
  <c r="M10550" i="1" s="1"/>
  <c r="L10558" i="1"/>
  <c r="M10558" i="1" s="1"/>
  <c r="L10686" i="1"/>
  <c r="M10686" i="1" s="1"/>
  <c r="L10694" i="1"/>
  <c r="M10694" i="1" s="1"/>
  <c r="L10822" i="1"/>
  <c r="M10822" i="1" s="1"/>
  <c r="L10830" i="1"/>
  <c r="M10830" i="1" s="1"/>
  <c r="L10958" i="1"/>
  <c r="M10958" i="1" s="1"/>
  <c r="L10966" i="1"/>
  <c r="M10966" i="1" s="1"/>
  <c r="L11094" i="1"/>
  <c r="M11094" i="1" s="1"/>
  <c r="L11102" i="1"/>
  <c r="M11102" i="1" s="1"/>
  <c r="L11230" i="1"/>
  <c r="M11230" i="1" s="1"/>
  <c r="L11238" i="1"/>
  <c r="M11238" i="1" s="1"/>
  <c r="L11366" i="1"/>
  <c r="M11366" i="1" s="1"/>
  <c r="L11374" i="1"/>
  <c r="M11374" i="1" s="1"/>
  <c r="L10152" i="1"/>
  <c r="M10152" i="1" s="1"/>
  <c r="L10283" i="1"/>
  <c r="M10283" i="1" s="1"/>
  <c r="L10291" i="1"/>
  <c r="M10291" i="1" s="1"/>
  <c r="L10419" i="1"/>
  <c r="M10419" i="1" s="1"/>
  <c r="L10427" i="1"/>
  <c r="M10427" i="1" s="1"/>
  <c r="L10551" i="1"/>
  <c r="M10551" i="1" s="1"/>
  <c r="L10559" i="1"/>
  <c r="M10559" i="1" s="1"/>
  <c r="L10687" i="1"/>
  <c r="M10687" i="1" s="1"/>
  <c r="L10695" i="1"/>
  <c r="M10695" i="1" s="1"/>
  <c r="L10823" i="1"/>
  <c r="M10823" i="1" s="1"/>
  <c r="L10831" i="1"/>
  <c r="M10831" i="1" s="1"/>
  <c r="L10959" i="1"/>
  <c r="M10959" i="1" s="1"/>
  <c r="L10967" i="1"/>
  <c r="M10967" i="1" s="1"/>
  <c r="L11095" i="1"/>
  <c r="M11095" i="1" s="1"/>
  <c r="L11103" i="1"/>
  <c r="M11103" i="1" s="1"/>
  <c r="L11231" i="1"/>
  <c r="M11231" i="1" s="1"/>
  <c r="L11239" i="1"/>
  <c r="M11239" i="1" s="1"/>
  <c r="L11367" i="1"/>
  <c r="M11367" i="1" s="1"/>
  <c r="L11375" i="1"/>
  <c r="M11375" i="1" s="1"/>
  <c r="L10142" i="1"/>
  <c r="M10142" i="1" s="1"/>
  <c r="L10153" i="1"/>
  <c r="M10153" i="1" s="1"/>
  <c r="L10284" i="1"/>
  <c r="M10284" i="1" s="1"/>
  <c r="L10292" i="1"/>
  <c r="M10292" i="1" s="1"/>
  <c r="L10420" i="1"/>
  <c r="M10420" i="1" s="1"/>
  <c r="L10428" i="1"/>
  <c r="M10428" i="1" s="1"/>
  <c r="L10552" i="1"/>
  <c r="M10552" i="1" s="1"/>
  <c r="L10560" i="1"/>
  <c r="M10560" i="1" s="1"/>
  <c r="L10688" i="1"/>
  <c r="M10688" i="1" s="1"/>
  <c r="L10696" i="1"/>
  <c r="M10696" i="1" s="1"/>
  <c r="L10824" i="1"/>
  <c r="M10824" i="1" s="1"/>
  <c r="L10832" i="1"/>
  <c r="M10832" i="1" s="1"/>
  <c r="L10960" i="1"/>
  <c r="M10960" i="1" s="1"/>
  <c r="L10968" i="1"/>
  <c r="M10968" i="1" s="1"/>
  <c r="L11096" i="1"/>
  <c r="M11096" i="1" s="1"/>
  <c r="L11104" i="1"/>
  <c r="M11104" i="1" s="1"/>
  <c r="L11232" i="1"/>
  <c r="M11232" i="1" s="1"/>
  <c r="L11240" i="1"/>
  <c r="M11240" i="1" s="1"/>
  <c r="L11368" i="1"/>
  <c r="M11368" i="1" s="1"/>
  <c r="L11376" i="1"/>
  <c r="M11376" i="1" s="1"/>
  <c r="L11504" i="1"/>
  <c r="M11504" i="1" s="1"/>
  <c r="L11512" i="1"/>
  <c r="M11512" i="1" s="1"/>
  <c r="L10144" i="1"/>
  <c r="M10144" i="1" s="1"/>
  <c r="L10154" i="1"/>
  <c r="M10154" i="1" s="1"/>
  <c r="L10285" i="1"/>
  <c r="M10285" i="1" s="1"/>
  <c r="L10293" i="1"/>
  <c r="M10293" i="1" s="1"/>
  <c r="L10421" i="1"/>
  <c r="M10421" i="1" s="1"/>
  <c r="L10429" i="1"/>
  <c r="M10429" i="1" s="1"/>
  <c r="L10553" i="1"/>
  <c r="M10553" i="1" s="1"/>
  <c r="L10561" i="1"/>
  <c r="M10561" i="1" s="1"/>
  <c r="L10689" i="1"/>
  <c r="M10689" i="1" s="1"/>
  <c r="L10697" i="1"/>
  <c r="M10697" i="1" s="1"/>
  <c r="L10825" i="1"/>
  <c r="M10825" i="1" s="1"/>
  <c r="L10833" i="1"/>
  <c r="M10833" i="1" s="1"/>
  <c r="L10961" i="1"/>
  <c r="M10961" i="1" s="1"/>
  <c r="L10969" i="1"/>
  <c r="M10969" i="1" s="1"/>
  <c r="L11097" i="1"/>
  <c r="M11097" i="1" s="1"/>
  <c r="L11105" i="1"/>
  <c r="M11105" i="1" s="1"/>
  <c r="L11233" i="1"/>
  <c r="M11233" i="1" s="1"/>
  <c r="L11241" i="1"/>
  <c r="M11241" i="1" s="1"/>
  <c r="L11369" i="1"/>
  <c r="M11369" i="1" s="1"/>
  <c r="L11377" i="1"/>
  <c r="M11377" i="1" s="1"/>
  <c r="L11505" i="1"/>
  <c r="M11505" i="1" s="1"/>
  <c r="L10145" i="1"/>
  <c r="M10145" i="1" s="1"/>
  <c r="L10156" i="1"/>
  <c r="M10156" i="1" s="1"/>
  <c r="L10278" i="1"/>
  <c r="M10278" i="1" s="1"/>
  <c r="L10286" i="1"/>
  <c r="M10286" i="1" s="1"/>
  <c r="L10414" i="1"/>
  <c r="M10414" i="1" s="1"/>
  <c r="L10422" i="1"/>
  <c r="M10422" i="1" s="1"/>
  <c r="L10554" i="1"/>
  <c r="M10554" i="1" s="1"/>
  <c r="L10562" i="1"/>
  <c r="M10562" i="1" s="1"/>
  <c r="L10690" i="1"/>
  <c r="M10690" i="1" s="1"/>
  <c r="L10698" i="1"/>
  <c r="M10698" i="1" s="1"/>
  <c r="L10826" i="1"/>
  <c r="M10826" i="1" s="1"/>
  <c r="L10834" i="1"/>
  <c r="M10834" i="1" s="1"/>
  <c r="L10962" i="1"/>
  <c r="M10962" i="1" s="1"/>
  <c r="L10970" i="1"/>
  <c r="M10970" i="1" s="1"/>
  <c r="L11098" i="1"/>
  <c r="M11098" i="1" s="1"/>
  <c r="L11106" i="1"/>
  <c r="M11106" i="1" s="1"/>
  <c r="L11234" i="1"/>
  <c r="M11234" i="1" s="1"/>
  <c r="L11242" i="1"/>
  <c r="M11242" i="1" s="1"/>
  <c r="L11370" i="1"/>
  <c r="M11370" i="1" s="1"/>
  <c r="L11378" i="1"/>
  <c r="M11378" i="1" s="1"/>
  <c r="L10146" i="1"/>
  <c r="M10146" i="1" s="1"/>
  <c r="L10157" i="1"/>
  <c r="M10157" i="1" s="1"/>
  <c r="L10279" i="1"/>
  <c r="M10279" i="1" s="1"/>
  <c r="L10287" i="1"/>
  <c r="M10287" i="1" s="1"/>
  <c r="L10415" i="1"/>
  <c r="M10415" i="1" s="1"/>
  <c r="L10423" i="1"/>
  <c r="M10423" i="1" s="1"/>
  <c r="L10555" i="1"/>
  <c r="M10555" i="1" s="1"/>
  <c r="L10563" i="1"/>
  <c r="M10563" i="1" s="1"/>
  <c r="L10691" i="1"/>
  <c r="M10691" i="1" s="1"/>
  <c r="L10699" i="1"/>
  <c r="M10699" i="1" s="1"/>
  <c r="L10827" i="1"/>
  <c r="M10827" i="1" s="1"/>
  <c r="L10835" i="1"/>
  <c r="M10835" i="1" s="1"/>
  <c r="L10963" i="1"/>
  <c r="M10963" i="1" s="1"/>
  <c r="L10971" i="1"/>
  <c r="M10971" i="1" s="1"/>
  <c r="L11099" i="1"/>
  <c r="M11099" i="1" s="1"/>
  <c r="L11107" i="1"/>
  <c r="M11107" i="1" s="1"/>
  <c r="L11235" i="1"/>
  <c r="M11235" i="1" s="1"/>
  <c r="L11243" i="1"/>
  <c r="M11243" i="1" s="1"/>
  <c r="L11371" i="1"/>
  <c r="M11371" i="1" s="1"/>
  <c r="L11379" i="1"/>
  <c r="M11379" i="1" s="1"/>
  <c r="L10148" i="1"/>
  <c r="M10148" i="1" s="1"/>
  <c r="L10280" i="1"/>
  <c r="M10280" i="1" s="1"/>
  <c r="L10288" i="1"/>
  <c r="M10288" i="1" s="1"/>
  <c r="L10416" i="1"/>
  <c r="M10416" i="1" s="1"/>
  <c r="L10424" i="1"/>
  <c r="M10424" i="1" s="1"/>
  <c r="L10556" i="1"/>
  <c r="M10556" i="1" s="1"/>
  <c r="L10564" i="1"/>
  <c r="M10564" i="1" s="1"/>
  <c r="L10692" i="1"/>
  <c r="M10692" i="1" s="1"/>
  <c r="L10700" i="1"/>
  <c r="M10700" i="1" s="1"/>
  <c r="L10828" i="1"/>
  <c r="M10828" i="1" s="1"/>
  <c r="L10836" i="1"/>
  <c r="M10836" i="1" s="1"/>
  <c r="L10964" i="1"/>
  <c r="M10964" i="1" s="1"/>
  <c r="L10972" i="1"/>
  <c r="M10972" i="1" s="1"/>
  <c r="L11100" i="1"/>
  <c r="M11100" i="1" s="1"/>
  <c r="L11108" i="1"/>
  <c r="M11108" i="1" s="1"/>
  <c r="L11236" i="1"/>
  <c r="M11236" i="1" s="1"/>
  <c r="L11244" i="1"/>
  <c r="M11244" i="1" s="1"/>
  <c r="L11372" i="1"/>
  <c r="M11372" i="1" s="1"/>
  <c r="L11380" i="1"/>
  <c r="M11380" i="1" s="1"/>
  <c r="L11508" i="1"/>
  <c r="M11508" i="1" s="1"/>
  <c r="L11516" i="1"/>
  <c r="M11516" i="1" s="1"/>
  <c r="L11510" i="1"/>
  <c r="M11510" i="1" s="1"/>
  <c r="L11642" i="1"/>
  <c r="M11642" i="1" s="1"/>
  <c r="L11650" i="1"/>
  <c r="M11650" i="1" s="1"/>
  <c r="L11778" i="1"/>
  <c r="M11778" i="1" s="1"/>
  <c r="L11786" i="1"/>
  <c r="M11786" i="1" s="1"/>
  <c r="L11914" i="1"/>
  <c r="M11914" i="1" s="1"/>
  <c r="L11922" i="1"/>
  <c r="M11922" i="1" s="1"/>
  <c r="L12050" i="1"/>
  <c r="M12050" i="1" s="1"/>
  <c r="L12058" i="1"/>
  <c r="M12058" i="1" s="1"/>
  <c r="L12186" i="1"/>
  <c r="M12186" i="1" s="1"/>
  <c r="L12194" i="1"/>
  <c r="M12194" i="1" s="1"/>
  <c r="L12322" i="1"/>
  <c r="M12322" i="1" s="1"/>
  <c r="L12330" i="1"/>
  <c r="M12330" i="1" s="1"/>
  <c r="L12458" i="1"/>
  <c r="M12458" i="1" s="1"/>
  <c r="L12466" i="1"/>
  <c r="M12466" i="1" s="1"/>
  <c r="L12594" i="1"/>
  <c r="M12594" i="1" s="1"/>
  <c r="L12602" i="1"/>
  <c r="M12602" i="1" s="1"/>
  <c r="L12730" i="1"/>
  <c r="M12730" i="1" s="1"/>
  <c r="L12738" i="1"/>
  <c r="M12738" i="1" s="1"/>
  <c r="L12866" i="1"/>
  <c r="M12866" i="1" s="1"/>
  <c r="L12874" i="1"/>
  <c r="M12874" i="1" s="1"/>
  <c r="L11513" i="1"/>
  <c r="M11513" i="1" s="1"/>
  <c r="L11644" i="1"/>
  <c r="M11644" i="1" s="1"/>
  <c r="L11652" i="1"/>
  <c r="M11652" i="1" s="1"/>
  <c r="L11780" i="1"/>
  <c r="M11780" i="1" s="1"/>
  <c r="L11788" i="1"/>
  <c r="M11788" i="1" s="1"/>
  <c r="L11916" i="1"/>
  <c r="M11916" i="1" s="1"/>
  <c r="L11924" i="1"/>
  <c r="M11924" i="1" s="1"/>
  <c r="L12052" i="1"/>
  <c r="M12052" i="1" s="1"/>
  <c r="L12060" i="1"/>
  <c r="M12060" i="1" s="1"/>
  <c r="L12188" i="1"/>
  <c r="M12188" i="1" s="1"/>
  <c r="L12196" i="1"/>
  <c r="M12196" i="1" s="1"/>
  <c r="L12324" i="1"/>
  <c r="M12324" i="1" s="1"/>
  <c r="L12332" i="1"/>
  <c r="M12332" i="1" s="1"/>
  <c r="L12460" i="1"/>
  <c r="M12460" i="1" s="1"/>
  <c r="L12468" i="1"/>
  <c r="M12468" i="1" s="1"/>
  <c r="L12596" i="1"/>
  <c r="M12596" i="1" s="1"/>
  <c r="L12604" i="1"/>
  <c r="M12604" i="1" s="1"/>
  <c r="L12732" i="1"/>
  <c r="M12732" i="1" s="1"/>
  <c r="L12740" i="1"/>
  <c r="M12740" i="1" s="1"/>
  <c r="L12868" i="1"/>
  <c r="M12868" i="1" s="1"/>
  <c r="L12876" i="1"/>
  <c r="M12876" i="1" s="1"/>
  <c r="L11514" i="1"/>
  <c r="M11514" i="1" s="1"/>
  <c r="L11645" i="1"/>
  <c r="M11645" i="1" s="1"/>
  <c r="L11653" i="1"/>
  <c r="M11653" i="1" s="1"/>
  <c r="L11781" i="1"/>
  <c r="M11781" i="1" s="1"/>
  <c r="L11789" i="1"/>
  <c r="M11789" i="1" s="1"/>
  <c r="L11917" i="1"/>
  <c r="M11917" i="1" s="1"/>
  <c r="L11925" i="1"/>
  <c r="M11925" i="1" s="1"/>
  <c r="L12053" i="1"/>
  <c r="M12053" i="1" s="1"/>
  <c r="L12061" i="1"/>
  <c r="M12061" i="1" s="1"/>
  <c r="L12189" i="1"/>
  <c r="M12189" i="1" s="1"/>
  <c r="L12197" i="1"/>
  <c r="M12197" i="1" s="1"/>
  <c r="L12325" i="1"/>
  <c r="M12325" i="1" s="1"/>
  <c r="L12333" i="1"/>
  <c r="M12333" i="1" s="1"/>
  <c r="L12461" i="1"/>
  <c r="M12461" i="1" s="1"/>
  <c r="L12469" i="1"/>
  <c r="M12469" i="1" s="1"/>
  <c r="L12597" i="1"/>
  <c r="M12597" i="1" s="1"/>
  <c r="L12605" i="1"/>
  <c r="M12605" i="1" s="1"/>
  <c r="L12733" i="1"/>
  <c r="M12733" i="1" s="1"/>
  <c r="L12741" i="1"/>
  <c r="M12741" i="1" s="1"/>
  <c r="L12869" i="1"/>
  <c r="M12869" i="1" s="1"/>
  <c r="L12877" i="1"/>
  <c r="M12877" i="1" s="1"/>
  <c r="L11502" i="1"/>
  <c r="M11502" i="1" s="1"/>
  <c r="L11515" i="1"/>
  <c r="M11515" i="1" s="1"/>
  <c r="L11638" i="1"/>
  <c r="M11638" i="1" s="1"/>
  <c r="L11646" i="1"/>
  <c r="M11646" i="1" s="1"/>
  <c r="L11774" i="1"/>
  <c r="M11774" i="1" s="1"/>
  <c r="L11782" i="1"/>
  <c r="M11782" i="1" s="1"/>
  <c r="L11910" i="1"/>
  <c r="M11910" i="1" s="1"/>
  <c r="L11918" i="1"/>
  <c r="M11918" i="1" s="1"/>
  <c r="L12046" i="1"/>
  <c r="M12046" i="1" s="1"/>
  <c r="L12054" i="1"/>
  <c r="M12054" i="1" s="1"/>
  <c r="L12182" i="1"/>
  <c r="M12182" i="1" s="1"/>
  <c r="L12190" i="1"/>
  <c r="M12190" i="1" s="1"/>
  <c r="L12318" i="1"/>
  <c r="M12318" i="1" s="1"/>
  <c r="L12326" i="1"/>
  <c r="M12326" i="1" s="1"/>
  <c r="L12454" i="1"/>
  <c r="M12454" i="1" s="1"/>
  <c r="L12462" i="1"/>
  <c r="M12462" i="1" s="1"/>
  <c r="L12590" i="1"/>
  <c r="M12590" i="1" s="1"/>
  <c r="L12598" i="1"/>
  <c r="M12598" i="1" s="1"/>
  <c r="L12726" i="1"/>
  <c r="M12726" i="1" s="1"/>
  <c r="L12734" i="1"/>
  <c r="M12734" i="1" s="1"/>
  <c r="L12862" i="1"/>
  <c r="M12862" i="1" s="1"/>
  <c r="L12870" i="1"/>
  <c r="M12870" i="1" s="1"/>
  <c r="L11503" i="1"/>
  <c r="M11503" i="1" s="1"/>
  <c r="L11517" i="1"/>
  <c r="M11517" i="1" s="1"/>
  <c r="L11639" i="1"/>
  <c r="M11639" i="1" s="1"/>
  <c r="L11647" i="1"/>
  <c r="M11647" i="1" s="1"/>
  <c r="L11775" i="1"/>
  <c r="M11775" i="1" s="1"/>
  <c r="L11783" i="1"/>
  <c r="M11783" i="1" s="1"/>
  <c r="L11911" i="1"/>
  <c r="M11911" i="1" s="1"/>
  <c r="L11919" i="1"/>
  <c r="M11919" i="1" s="1"/>
  <c r="L12047" i="1"/>
  <c r="M12047" i="1" s="1"/>
  <c r="L12055" i="1"/>
  <c r="M12055" i="1" s="1"/>
  <c r="L12183" i="1"/>
  <c r="M12183" i="1" s="1"/>
  <c r="L12191" i="1"/>
  <c r="M12191" i="1" s="1"/>
  <c r="L12319" i="1"/>
  <c r="M12319" i="1" s="1"/>
  <c r="L12327" i="1"/>
  <c r="M12327" i="1" s="1"/>
  <c r="L12455" i="1"/>
  <c r="M12455" i="1" s="1"/>
  <c r="L12463" i="1"/>
  <c r="M12463" i="1" s="1"/>
  <c r="L12591" i="1"/>
  <c r="M12591" i="1" s="1"/>
  <c r="L12599" i="1"/>
  <c r="M12599" i="1" s="1"/>
  <c r="L12727" i="1"/>
  <c r="M12727" i="1" s="1"/>
  <c r="L12735" i="1"/>
  <c r="M12735" i="1" s="1"/>
  <c r="L12863" i="1"/>
  <c r="M12863" i="1" s="1"/>
  <c r="L12871" i="1"/>
  <c r="M12871" i="1" s="1"/>
  <c r="L11506" i="1"/>
  <c r="M11506" i="1" s="1"/>
  <c r="L11640" i="1"/>
  <c r="M11640" i="1" s="1"/>
  <c r="L11648" i="1"/>
  <c r="M11648" i="1" s="1"/>
  <c r="L11776" i="1"/>
  <c r="M11776" i="1" s="1"/>
  <c r="L11784" i="1"/>
  <c r="M11784" i="1" s="1"/>
  <c r="L11912" i="1"/>
  <c r="M11912" i="1" s="1"/>
  <c r="L11920" i="1"/>
  <c r="M11920" i="1" s="1"/>
  <c r="L12048" i="1"/>
  <c r="M12048" i="1" s="1"/>
  <c r="L12056" i="1"/>
  <c r="M12056" i="1" s="1"/>
  <c r="L12184" i="1"/>
  <c r="M12184" i="1" s="1"/>
  <c r="L12192" i="1"/>
  <c r="M12192" i="1" s="1"/>
  <c r="L12320" i="1"/>
  <c r="M12320" i="1" s="1"/>
  <c r="L12328" i="1"/>
  <c r="M12328" i="1" s="1"/>
  <c r="L12456" i="1"/>
  <c r="M12456" i="1" s="1"/>
  <c r="L12464" i="1"/>
  <c r="M12464" i="1" s="1"/>
  <c r="L12592" i="1"/>
  <c r="M12592" i="1" s="1"/>
  <c r="L12600" i="1"/>
  <c r="M12600" i="1" s="1"/>
  <c r="L12728" i="1"/>
  <c r="M12728" i="1" s="1"/>
  <c r="L12736" i="1"/>
  <c r="M12736" i="1" s="1"/>
  <c r="L12864" i="1"/>
  <c r="M12864" i="1" s="1"/>
  <c r="L12872" i="1"/>
  <c r="M12872" i="1" s="1"/>
  <c r="L11507" i="1"/>
  <c r="M11507" i="1" s="1"/>
  <c r="L11641" i="1"/>
  <c r="M11641" i="1" s="1"/>
  <c r="L11649" i="1"/>
  <c r="M11649" i="1" s="1"/>
  <c r="L11777" i="1"/>
  <c r="M11777" i="1" s="1"/>
  <c r="L11785" i="1"/>
  <c r="M11785" i="1" s="1"/>
  <c r="L11913" i="1"/>
  <c r="M11913" i="1" s="1"/>
  <c r="L11921" i="1"/>
  <c r="M11921" i="1" s="1"/>
  <c r="L12049" i="1"/>
  <c r="M12049" i="1" s="1"/>
  <c r="L12057" i="1"/>
  <c r="M12057" i="1" s="1"/>
  <c r="L12185" i="1"/>
  <c r="M12185" i="1" s="1"/>
  <c r="L12193" i="1"/>
  <c r="M12193" i="1" s="1"/>
  <c r="L12321" i="1"/>
  <c r="M12321" i="1" s="1"/>
  <c r="L12329" i="1"/>
  <c r="M12329" i="1" s="1"/>
  <c r="L12457" i="1"/>
  <c r="M12457" i="1" s="1"/>
  <c r="L12465" i="1"/>
  <c r="M12465" i="1" s="1"/>
  <c r="L12593" i="1"/>
  <c r="M12593" i="1" s="1"/>
  <c r="L12601" i="1"/>
  <c r="M12601" i="1" s="1"/>
  <c r="L12729" i="1"/>
  <c r="M12729" i="1" s="1"/>
  <c r="L12737" i="1"/>
  <c r="M12737" i="1" s="1"/>
  <c r="L12865" i="1"/>
  <c r="M12865" i="1" s="1"/>
  <c r="L12873" i="1"/>
  <c r="M12873" i="1" s="1"/>
  <c r="L13002" i="1"/>
  <c r="M13002" i="1" s="1"/>
  <c r="L13010" i="1"/>
  <c r="M13010" i="1" s="1"/>
  <c r="L13138" i="1"/>
  <c r="M13138" i="1" s="1"/>
  <c r="L13146" i="1"/>
  <c r="M13146" i="1" s="1"/>
  <c r="L13274" i="1"/>
  <c r="M13274" i="1" s="1"/>
  <c r="L13282" i="1"/>
  <c r="M13282" i="1" s="1"/>
  <c r="L13410" i="1"/>
  <c r="M13410" i="1" s="1"/>
  <c r="L13418" i="1"/>
  <c r="M13418" i="1" s="1"/>
  <c r="L13546" i="1"/>
  <c r="M13546" i="1" s="1"/>
  <c r="L13554" i="1"/>
  <c r="M13554" i="1" s="1"/>
  <c r="L13682" i="1"/>
  <c r="M13682" i="1" s="1"/>
  <c r="L13690" i="1"/>
  <c r="M13690" i="1" s="1"/>
  <c r="L13818" i="1"/>
  <c r="M13818" i="1" s="1"/>
  <c r="L13826" i="1"/>
  <c r="M13826" i="1" s="1"/>
  <c r="L13954" i="1"/>
  <c r="M13954" i="1" s="1"/>
  <c r="L13962" i="1"/>
  <c r="M13962" i="1" s="1"/>
  <c r="L14090" i="1"/>
  <c r="M14090" i="1" s="1"/>
  <c r="L14098" i="1"/>
  <c r="M14098" i="1" s="1"/>
  <c r="L13003" i="1"/>
  <c r="M13003" i="1" s="1"/>
  <c r="L13011" i="1"/>
  <c r="M13011" i="1" s="1"/>
  <c r="L13139" i="1"/>
  <c r="M13139" i="1" s="1"/>
  <c r="L13147" i="1"/>
  <c r="M13147" i="1" s="1"/>
  <c r="L13275" i="1"/>
  <c r="M13275" i="1" s="1"/>
  <c r="L13283" i="1"/>
  <c r="M13283" i="1" s="1"/>
  <c r="L13004" i="1"/>
  <c r="M13004" i="1" s="1"/>
  <c r="L13012" i="1"/>
  <c r="M13012" i="1" s="1"/>
  <c r="L13140" i="1"/>
  <c r="M13140" i="1" s="1"/>
  <c r="L13148" i="1"/>
  <c r="M13148" i="1" s="1"/>
  <c r="L13276" i="1"/>
  <c r="M13276" i="1" s="1"/>
  <c r="L13284" i="1"/>
  <c r="M13284" i="1" s="1"/>
  <c r="L13412" i="1"/>
  <c r="M13412" i="1" s="1"/>
  <c r="L13420" i="1"/>
  <c r="M13420" i="1" s="1"/>
  <c r="L13548" i="1"/>
  <c r="M13548" i="1" s="1"/>
  <c r="L13556" i="1"/>
  <c r="M13556" i="1" s="1"/>
  <c r="L13684" i="1"/>
  <c r="M13684" i="1" s="1"/>
  <c r="L13692" i="1"/>
  <c r="M13692" i="1" s="1"/>
  <c r="L13820" i="1"/>
  <c r="M13820" i="1" s="1"/>
  <c r="L13828" i="1"/>
  <c r="M13828" i="1" s="1"/>
  <c r="L13956" i="1"/>
  <c r="M13956" i="1" s="1"/>
  <c r="L13964" i="1"/>
  <c r="M13964" i="1" s="1"/>
  <c r="L11643" i="1"/>
  <c r="M11643" i="1" s="1"/>
  <c r="L11779" i="1"/>
  <c r="M11779" i="1" s="1"/>
  <c r="L11915" i="1"/>
  <c r="M11915" i="1" s="1"/>
  <c r="L12051" i="1"/>
  <c r="M12051" i="1" s="1"/>
  <c r="L12187" i="1"/>
  <c r="M12187" i="1" s="1"/>
  <c r="L12323" i="1"/>
  <c r="M12323" i="1" s="1"/>
  <c r="L12459" i="1"/>
  <c r="M12459" i="1" s="1"/>
  <c r="L12595" i="1"/>
  <c r="M12595" i="1" s="1"/>
  <c r="L12731" i="1"/>
  <c r="M12731" i="1" s="1"/>
  <c r="L12867" i="1"/>
  <c r="M12867" i="1" s="1"/>
  <c r="L13005" i="1"/>
  <c r="M13005" i="1" s="1"/>
  <c r="L13013" i="1"/>
  <c r="M13013" i="1" s="1"/>
  <c r="L13141" i="1"/>
  <c r="M13141" i="1" s="1"/>
  <c r="L13149" i="1"/>
  <c r="M13149" i="1" s="1"/>
  <c r="L13277" i="1"/>
  <c r="M13277" i="1" s="1"/>
  <c r="L13285" i="1"/>
  <c r="M13285" i="1" s="1"/>
  <c r="L13413" i="1"/>
  <c r="M13413" i="1" s="1"/>
  <c r="L13421" i="1"/>
  <c r="M13421" i="1" s="1"/>
  <c r="L13549" i="1"/>
  <c r="M13549" i="1" s="1"/>
  <c r="L13557" i="1"/>
  <c r="M13557" i="1" s="1"/>
  <c r="L13685" i="1"/>
  <c r="M13685" i="1" s="1"/>
  <c r="L13693" i="1"/>
  <c r="M13693" i="1" s="1"/>
  <c r="L13821" i="1"/>
  <c r="M13821" i="1" s="1"/>
  <c r="L13829" i="1"/>
  <c r="M13829" i="1" s="1"/>
  <c r="L11651" i="1"/>
  <c r="M11651" i="1" s="1"/>
  <c r="L11787" i="1"/>
  <c r="M11787" i="1" s="1"/>
  <c r="L11923" i="1"/>
  <c r="M11923" i="1" s="1"/>
  <c r="L12059" i="1"/>
  <c r="M12059" i="1" s="1"/>
  <c r="L12195" i="1"/>
  <c r="M12195" i="1" s="1"/>
  <c r="L12331" i="1"/>
  <c r="M12331" i="1" s="1"/>
  <c r="L12467" i="1"/>
  <c r="M12467" i="1" s="1"/>
  <c r="L12603" i="1"/>
  <c r="M12603" i="1" s="1"/>
  <c r="L12739" i="1"/>
  <c r="M12739" i="1" s="1"/>
  <c r="L12875" i="1"/>
  <c r="M12875" i="1" s="1"/>
  <c r="L12998" i="1"/>
  <c r="M12998" i="1" s="1"/>
  <c r="L13006" i="1"/>
  <c r="M13006" i="1" s="1"/>
  <c r="L13134" i="1"/>
  <c r="M13134" i="1" s="1"/>
  <c r="L13142" i="1"/>
  <c r="M13142" i="1" s="1"/>
  <c r="L13270" i="1"/>
  <c r="M13270" i="1" s="1"/>
  <c r="L13278" i="1"/>
  <c r="M13278" i="1" s="1"/>
  <c r="L13406" i="1"/>
  <c r="M13406" i="1" s="1"/>
  <c r="L13414" i="1"/>
  <c r="M13414" i="1" s="1"/>
  <c r="L13542" i="1"/>
  <c r="M13542" i="1" s="1"/>
  <c r="L13550" i="1"/>
  <c r="M13550" i="1" s="1"/>
  <c r="L13678" i="1"/>
  <c r="M13678" i="1" s="1"/>
  <c r="L13686" i="1"/>
  <c r="M13686" i="1" s="1"/>
  <c r="L13814" i="1"/>
  <c r="M13814" i="1" s="1"/>
  <c r="L13822" i="1"/>
  <c r="M13822" i="1" s="1"/>
  <c r="L13950" i="1"/>
  <c r="M13950" i="1" s="1"/>
  <c r="L13958" i="1"/>
  <c r="M13958" i="1" s="1"/>
  <c r="L14086" i="1"/>
  <c r="M14086" i="1" s="1"/>
  <c r="L14094" i="1"/>
  <c r="M14094" i="1" s="1"/>
  <c r="L11511" i="1"/>
  <c r="M11511" i="1" s="1"/>
  <c r="L12999" i="1"/>
  <c r="M12999" i="1" s="1"/>
  <c r="L13007" i="1"/>
  <c r="M13007" i="1" s="1"/>
  <c r="L13135" i="1"/>
  <c r="M13135" i="1" s="1"/>
  <c r="L13143" i="1"/>
  <c r="M13143" i="1" s="1"/>
  <c r="L13271" i="1"/>
  <c r="M13271" i="1" s="1"/>
  <c r="L13279" i="1"/>
  <c r="M13279" i="1" s="1"/>
  <c r="L13407" i="1"/>
  <c r="M13407" i="1" s="1"/>
  <c r="L13415" i="1"/>
  <c r="M13415" i="1" s="1"/>
  <c r="L13543" i="1"/>
  <c r="M13543" i="1" s="1"/>
  <c r="L13551" i="1"/>
  <c r="M13551" i="1" s="1"/>
  <c r="L13679" i="1"/>
  <c r="M13679" i="1" s="1"/>
  <c r="L13687" i="1"/>
  <c r="M13687" i="1" s="1"/>
  <c r="L13815" i="1"/>
  <c r="M13815" i="1" s="1"/>
  <c r="L13823" i="1"/>
  <c r="M13823" i="1" s="1"/>
  <c r="L13951" i="1"/>
  <c r="M13951" i="1" s="1"/>
  <c r="L13959" i="1"/>
  <c r="M13959" i="1" s="1"/>
  <c r="L14087" i="1"/>
  <c r="M14087" i="1" s="1"/>
  <c r="L14095" i="1"/>
  <c r="M14095" i="1" s="1"/>
  <c r="L13000" i="1"/>
  <c r="M13000" i="1" s="1"/>
  <c r="L13008" i="1"/>
  <c r="M13008" i="1" s="1"/>
  <c r="L13136" i="1"/>
  <c r="M13136" i="1" s="1"/>
  <c r="L13144" i="1"/>
  <c r="M13144" i="1" s="1"/>
  <c r="L13272" i="1"/>
  <c r="M13272" i="1" s="1"/>
  <c r="L13280" i="1"/>
  <c r="M13280" i="1" s="1"/>
  <c r="L13408" i="1"/>
  <c r="M13408" i="1" s="1"/>
  <c r="L13416" i="1"/>
  <c r="M13416" i="1" s="1"/>
  <c r="L13544" i="1"/>
  <c r="M13544" i="1" s="1"/>
  <c r="L13552" i="1"/>
  <c r="M13552" i="1" s="1"/>
  <c r="L13680" i="1"/>
  <c r="M13680" i="1" s="1"/>
  <c r="L13688" i="1"/>
  <c r="M13688" i="1" s="1"/>
  <c r="L13816" i="1"/>
  <c r="M13816" i="1" s="1"/>
  <c r="L13824" i="1"/>
  <c r="M13824" i="1" s="1"/>
  <c r="L13419" i="1"/>
  <c r="M13419" i="1" s="1"/>
  <c r="L13555" i="1"/>
  <c r="M13555" i="1" s="1"/>
  <c r="L13691" i="1"/>
  <c r="M13691" i="1" s="1"/>
  <c r="L13827" i="1"/>
  <c r="M13827" i="1" s="1"/>
  <c r="L13963" i="1"/>
  <c r="M13963" i="1" s="1"/>
  <c r="L14088" i="1"/>
  <c r="M14088" i="1" s="1"/>
  <c r="L14100" i="1"/>
  <c r="M14100" i="1" s="1"/>
  <c r="L14222" i="1"/>
  <c r="M14222" i="1" s="1"/>
  <c r="L14230" i="1"/>
  <c r="M14230" i="1" s="1"/>
  <c r="L14358" i="1"/>
  <c r="M14358" i="1" s="1"/>
  <c r="L14366" i="1"/>
  <c r="M14366" i="1" s="1"/>
  <c r="L13553" i="1"/>
  <c r="M13553" i="1" s="1"/>
  <c r="L13965" i="1"/>
  <c r="M13965" i="1" s="1"/>
  <c r="L14089" i="1"/>
  <c r="M14089" i="1" s="1"/>
  <c r="L14101" i="1"/>
  <c r="M14101" i="1" s="1"/>
  <c r="L14223" i="1"/>
  <c r="M14223" i="1" s="1"/>
  <c r="L14231" i="1"/>
  <c r="M14231" i="1" s="1"/>
  <c r="L14359" i="1"/>
  <c r="M14359" i="1" s="1"/>
  <c r="L14367" i="1"/>
  <c r="M14367" i="1" s="1"/>
  <c r="L14373" i="1"/>
  <c r="M14373" i="1" s="1"/>
  <c r="L13001" i="1"/>
  <c r="M13001" i="1" s="1"/>
  <c r="L13137" i="1"/>
  <c r="M13137" i="1" s="1"/>
  <c r="L13273" i="1"/>
  <c r="M13273" i="1" s="1"/>
  <c r="L13952" i="1"/>
  <c r="M13952" i="1" s="1"/>
  <c r="L14091" i="1"/>
  <c r="M14091" i="1" s="1"/>
  <c r="L14224" i="1"/>
  <c r="M14224" i="1" s="1"/>
  <c r="L14232" i="1"/>
  <c r="M14232" i="1" s="1"/>
  <c r="L14360" i="1"/>
  <c r="M14360" i="1" s="1"/>
  <c r="L14368" i="1"/>
  <c r="M14368" i="1" s="1"/>
  <c r="L13417" i="1"/>
  <c r="M13417" i="1" s="1"/>
  <c r="L13825" i="1"/>
  <c r="M13825" i="1" s="1"/>
  <c r="L13961" i="1"/>
  <c r="M13961" i="1" s="1"/>
  <c r="L14099" i="1"/>
  <c r="M14099" i="1" s="1"/>
  <c r="L13009" i="1"/>
  <c r="M13009" i="1" s="1"/>
  <c r="L13145" i="1"/>
  <c r="M13145" i="1" s="1"/>
  <c r="L13281" i="1"/>
  <c r="M13281" i="1" s="1"/>
  <c r="L13953" i="1"/>
  <c r="M13953" i="1" s="1"/>
  <c r="L14092" i="1"/>
  <c r="M14092" i="1" s="1"/>
  <c r="L14225" i="1"/>
  <c r="M14225" i="1" s="1"/>
  <c r="L14233" i="1"/>
  <c r="M14233" i="1" s="1"/>
  <c r="L14361" i="1"/>
  <c r="M14361" i="1" s="1"/>
  <c r="L14369" i="1"/>
  <c r="M14369" i="1" s="1"/>
  <c r="L13955" i="1"/>
  <c r="M13955" i="1" s="1"/>
  <c r="L14093" i="1"/>
  <c r="M14093" i="1" s="1"/>
  <c r="L14226" i="1"/>
  <c r="M14226" i="1" s="1"/>
  <c r="L14234" i="1"/>
  <c r="M14234" i="1" s="1"/>
  <c r="L14362" i="1"/>
  <c r="M14362" i="1" s="1"/>
  <c r="L14370" i="1"/>
  <c r="M14370" i="1" s="1"/>
  <c r="L13689" i="1"/>
  <c r="M13689" i="1" s="1"/>
  <c r="L13409" i="1"/>
  <c r="M13409" i="1" s="1"/>
  <c r="L13545" i="1"/>
  <c r="M13545" i="1" s="1"/>
  <c r="L13681" i="1"/>
  <c r="M13681" i="1" s="1"/>
  <c r="L13817" i="1"/>
  <c r="M13817" i="1" s="1"/>
  <c r="L13957" i="1"/>
  <c r="M13957" i="1" s="1"/>
  <c r="L14096" i="1"/>
  <c r="M14096" i="1" s="1"/>
  <c r="L14227" i="1"/>
  <c r="M14227" i="1" s="1"/>
  <c r="L14235" i="1"/>
  <c r="M14235" i="1" s="1"/>
  <c r="L14363" i="1"/>
  <c r="M14363" i="1" s="1"/>
  <c r="L14371" i="1"/>
  <c r="M14371" i="1" s="1"/>
  <c r="L14237" i="1"/>
  <c r="M14237" i="1" s="1"/>
  <c r="L13411" i="1"/>
  <c r="M13411" i="1" s="1"/>
  <c r="L13547" i="1"/>
  <c r="M13547" i="1" s="1"/>
  <c r="L13683" i="1"/>
  <c r="M13683" i="1" s="1"/>
  <c r="L13819" i="1"/>
  <c r="M13819" i="1" s="1"/>
  <c r="L13960" i="1"/>
  <c r="M13960" i="1" s="1"/>
  <c r="L14097" i="1"/>
  <c r="M14097" i="1" s="1"/>
  <c r="L14228" i="1"/>
  <c r="M14228" i="1" s="1"/>
  <c r="L14236" i="1"/>
  <c r="M14236" i="1" s="1"/>
  <c r="L14364" i="1"/>
  <c r="M14364" i="1" s="1"/>
  <c r="L14372" i="1"/>
  <c r="M14372" i="1" s="1"/>
  <c r="L14229" i="1"/>
  <c r="M14229" i="1" s="1"/>
  <c r="L14365" i="1"/>
  <c r="M14365" i="1" s="1"/>
  <c r="M1330" i="1"/>
  <c r="L4030" i="1"/>
  <c r="M4030" i="1" s="1"/>
  <c r="L4158" i="1"/>
  <c r="M4158" i="1" s="1"/>
  <c r="L4166" i="1"/>
  <c r="M4166" i="1" s="1"/>
  <c r="L4294" i="1"/>
  <c r="M4294" i="1" s="1"/>
  <c r="L4302" i="1"/>
  <c r="M4302" i="1" s="1"/>
  <c r="L4430" i="1"/>
  <c r="M4430" i="1" s="1"/>
  <c r="L4438" i="1"/>
  <c r="M4438" i="1" s="1"/>
  <c r="L4566" i="1"/>
  <c r="M4566" i="1" s="1"/>
  <c r="L4574" i="1"/>
  <c r="M4574" i="1" s="1"/>
  <c r="L4702" i="1"/>
  <c r="M4702" i="1" s="1"/>
  <c r="L4710" i="1"/>
  <c r="M4710" i="1" s="1"/>
  <c r="L4838" i="1"/>
  <c r="M4838" i="1" s="1"/>
  <c r="L4846" i="1"/>
  <c r="M4846" i="1" s="1"/>
  <c r="L4974" i="1"/>
  <c r="M4974" i="1" s="1"/>
  <c r="L4982" i="1"/>
  <c r="M4982" i="1" s="1"/>
  <c r="L5110" i="1"/>
  <c r="M5110" i="1" s="1"/>
  <c r="L1442" i="1"/>
  <c r="M1442" i="1" s="1"/>
  <c r="L1450" i="1"/>
  <c r="M1450" i="1" s="1"/>
  <c r="L1578" i="1"/>
  <c r="M1578" i="1" s="1"/>
  <c r="L1586" i="1"/>
  <c r="M1586" i="1" s="1"/>
  <c r="L1714" i="1"/>
  <c r="M1714" i="1" s="1"/>
  <c r="L1722" i="1"/>
  <c r="M1722" i="1" s="1"/>
  <c r="L4031" i="1"/>
  <c r="M4031" i="1" s="1"/>
  <c r="L4159" i="1"/>
  <c r="M4159" i="1" s="1"/>
  <c r="L4167" i="1"/>
  <c r="M4167" i="1" s="1"/>
  <c r="L4295" i="1"/>
  <c r="M4295" i="1" s="1"/>
  <c r="L4303" i="1"/>
  <c r="M4303" i="1" s="1"/>
  <c r="L4431" i="1"/>
  <c r="M4431" i="1" s="1"/>
  <c r="L4439" i="1"/>
  <c r="M4439" i="1" s="1"/>
  <c r="L4567" i="1"/>
  <c r="M4567" i="1" s="1"/>
  <c r="L4575" i="1"/>
  <c r="M4575" i="1" s="1"/>
  <c r="L4703" i="1"/>
  <c r="M4703" i="1" s="1"/>
  <c r="L4711" i="1"/>
  <c r="M4711" i="1" s="1"/>
  <c r="L4839" i="1"/>
  <c r="M4839" i="1" s="1"/>
  <c r="L4847" i="1"/>
  <c r="M4847" i="1" s="1"/>
  <c r="L4975" i="1"/>
  <c r="M4975" i="1" s="1"/>
  <c r="L4983" i="1"/>
  <c r="M4983" i="1" s="1"/>
  <c r="L5111" i="1"/>
  <c r="M5111" i="1" s="1"/>
  <c r="L1443" i="1"/>
  <c r="M1443" i="1" s="1"/>
  <c r="L1451" i="1"/>
  <c r="M1451" i="1" s="1"/>
  <c r="L1579" i="1"/>
  <c r="M1579" i="1" s="1"/>
  <c r="L1587" i="1"/>
  <c r="M1587" i="1" s="1"/>
  <c r="L1715" i="1"/>
  <c r="M1715" i="1" s="1"/>
  <c r="L1723" i="1"/>
  <c r="M1723" i="1" s="1"/>
  <c r="L4032" i="1"/>
  <c r="M4032" i="1" s="1"/>
  <c r="L4160" i="1"/>
  <c r="M4160" i="1" s="1"/>
  <c r="L4168" i="1"/>
  <c r="M4168" i="1" s="1"/>
  <c r="L4296" i="1"/>
  <c r="M4296" i="1" s="1"/>
  <c r="L4304" i="1"/>
  <c r="M4304" i="1" s="1"/>
  <c r="L4432" i="1"/>
  <c r="M4432" i="1" s="1"/>
  <c r="L4440" i="1"/>
  <c r="M4440" i="1" s="1"/>
  <c r="L4568" i="1"/>
  <c r="M4568" i="1" s="1"/>
  <c r="L4576" i="1"/>
  <c r="M4576" i="1" s="1"/>
  <c r="L4704" i="1"/>
  <c r="M4704" i="1" s="1"/>
  <c r="L4712" i="1"/>
  <c r="M4712" i="1" s="1"/>
  <c r="L4840" i="1"/>
  <c r="M4840" i="1" s="1"/>
  <c r="L4848" i="1"/>
  <c r="M4848" i="1" s="1"/>
  <c r="L4976" i="1"/>
  <c r="M4976" i="1" s="1"/>
  <c r="L4984" i="1"/>
  <c r="M4984" i="1" s="1"/>
  <c r="L5112" i="1"/>
  <c r="M5112" i="1" s="1"/>
  <c r="L1444" i="1"/>
  <c r="M1444" i="1" s="1"/>
  <c r="L1452" i="1"/>
  <c r="M1452" i="1" s="1"/>
  <c r="L1580" i="1"/>
  <c r="M1580" i="1" s="1"/>
  <c r="L1588" i="1"/>
  <c r="M1588" i="1" s="1"/>
  <c r="L1716" i="1"/>
  <c r="M1716" i="1" s="1"/>
  <c r="L4033" i="1"/>
  <c r="M4033" i="1" s="1"/>
  <c r="L4161" i="1"/>
  <c r="M4161" i="1" s="1"/>
  <c r="L4169" i="1"/>
  <c r="M4169" i="1" s="1"/>
  <c r="L4297" i="1"/>
  <c r="M4297" i="1" s="1"/>
  <c r="L4305" i="1"/>
  <c r="M4305" i="1" s="1"/>
  <c r="L4433" i="1"/>
  <c r="M4433" i="1" s="1"/>
  <c r="L4441" i="1"/>
  <c r="M4441" i="1" s="1"/>
  <c r="L4569" i="1"/>
  <c r="M4569" i="1" s="1"/>
  <c r="L4577" i="1"/>
  <c r="M4577" i="1" s="1"/>
  <c r="L4705" i="1"/>
  <c r="M4705" i="1" s="1"/>
  <c r="L4713" i="1"/>
  <c r="M4713" i="1" s="1"/>
  <c r="L4841" i="1"/>
  <c r="M4841" i="1" s="1"/>
  <c r="L4849" i="1"/>
  <c r="M4849" i="1" s="1"/>
  <c r="L4977" i="1"/>
  <c r="M4977" i="1" s="1"/>
  <c r="L4985" i="1"/>
  <c r="M4985" i="1" s="1"/>
  <c r="L5113" i="1"/>
  <c r="M5113" i="1" s="1"/>
  <c r="L1437" i="1"/>
  <c r="M1437" i="1" s="1"/>
  <c r="L1445" i="1"/>
  <c r="M1445" i="1" s="1"/>
  <c r="L1581" i="1"/>
  <c r="M1581" i="1" s="1"/>
  <c r="L1589" i="1"/>
  <c r="M1589" i="1" s="1"/>
  <c r="L1717" i="1"/>
  <c r="M1717" i="1" s="1"/>
  <c r="L4035" i="1"/>
  <c r="M4035" i="1" s="1"/>
  <c r="L4163" i="1"/>
  <c r="M4163" i="1" s="1"/>
  <c r="L4171" i="1"/>
  <c r="M4171" i="1" s="1"/>
  <c r="L4299" i="1"/>
  <c r="M4299" i="1" s="1"/>
  <c r="L4307" i="1"/>
  <c r="M4307" i="1" s="1"/>
  <c r="L4435" i="1"/>
  <c r="M4435" i="1" s="1"/>
  <c r="L4443" i="1"/>
  <c r="M4443" i="1" s="1"/>
  <c r="L4571" i="1"/>
  <c r="M4571" i="1" s="1"/>
  <c r="L4579" i="1"/>
  <c r="M4579" i="1" s="1"/>
  <c r="L4707" i="1"/>
  <c r="M4707" i="1" s="1"/>
  <c r="L4715" i="1"/>
  <c r="M4715" i="1" s="1"/>
  <c r="L4843" i="1"/>
  <c r="M4843" i="1" s="1"/>
  <c r="L4851" i="1"/>
  <c r="M4851" i="1" s="1"/>
  <c r="L4979" i="1"/>
  <c r="M4979" i="1" s="1"/>
  <c r="L4987" i="1"/>
  <c r="M4987" i="1" s="1"/>
  <c r="L1439" i="1"/>
  <c r="M1439" i="1" s="1"/>
  <c r="L1447" i="1"/>
  <c r="M1447" i="1" s="1"/>
  <c r="L1575" i="1"/>
  <c r="M1575" i="1" s="1"/>
  <c r="L1583" i="1"/>
  <c r="M1583" i="1" s="1"/>
  <c r="L1711" i="1"/>
  <c r="M1711" i="1" s="1"/>
  <c r="L1719" i="1"/>
  <c r="M1719" i="1" s="1"/>
  <c r="L4036" i="1"/>
  <c r="M4036" i="1" s="1"/>
  <c r="L4164" i="1"/>
  <c r="M4164" i="1" s="1"/>
  <c r="L4172" i="1"/>
  <c r="M4172" i="1" s="1"/>
  <c r="L4300" i="1"/>
  <c r="M4300" i="1" s="1"/>
  <c r="L4308" i="1"/>
  <c r="M4308" i="1" s="1"/>
  <c r="L4436" i="1"/>
  <c r="M4436" i="1" s="1"/>
  <c r="L4444" i="1"/>
  <c r="M4444" i="1" s="1"/>
  <c r="L4572" i="1"/>
  <c r="M4572" i="1" s="1"/>
  <c r="L4580" i="1"/>
  <c r="M4580" i="1" s="1"/>
  <c r="L4708" i="1"/>
  <c r="M4708" i="1" s="1"/>
  <c r="L4716" i="1"/>
  <c r="M4716" i="1" s="1"/>
  <c r="L4844" i="1"/>
  <c r="M4844" i="1" s="1"/>
  <c r="L4852" i="1"/>
  <c r="M4852" i="1" s="1"/>
  <c r="L4980" i="1"/>
  <c r="M4980" i="1" s="1"/>
  <c r="L4988" i="1"/>
  <c r="M4988" i="1" s="1"/>
  <c r="L1440" i="1"/>
  <c r="M1440" i="1" s="1"/>
  <c r="L1448" i="1"/>
  <c r="M1448" i="1" s="1"/>
  <c r="L1576" i="1"/>
  <c r="M1576" i="1" s="1"/>
  <c r="L1584" i="1"/>
  <c r="M1584" i="1" s="1"/>
  <c r="L1712" i="1"/>
  <c r="M1712" i="1" s="1"/>
  <c r="L4029" i="1"/>
  <c r="M4029" i="1" s="1"/>
  <c r="L4037" i="1"/>
  <c r="M4037" i="1" s="1"/>
  <c r="L4165" i="1"/>
  <c r="M4165" i="1" s="1"/>
  <c r="L4173" i="1"/>
  <c r="M4173" i="1" s="1"/>
  <c r="L4301" i="1"/>
  <c r="M4301" i="1" s="1"/>
  <c r="L4309" i="1"/>
  <c r="M4309" i="1" s="1"/>
  <c r="L4437" i="1"/>
  <c r="M4437" i="1" s="1"/>
  <c r="L4445" i="1"/>
  <c r="M4445" i="1" s="1"/>
  <c r="L4573" i="1"/>
  <c r="M4573" i="1" s="1"/>
  <c r="L4581" i="1"/>
  <c r="M4581" i="1" s="1"/>
  <c r="L4709" i="1"/>
  <c r="M4709" i="1" s="1"/>
  <c r="L4717" i="1"/>
  <c r="M4717" i="1" s="1"/>
  <c r="L4845" i="1"/>
  <c r="M4845" i="1" s="1"/>
  <c r="L4853" i="1"/>
  <c r="M4853" i="1" s="1"/>
  <c r="L4981" i="1"/>
  <c r="M4981" i="1" s="1"/>
  <c r="L4989" i="1"/>
  <c r="M4989" i="1" s="1"/>
  <c r="L1441" i="1"/>
  <c r="M1441" i="1" s="1"/>
  <c r="L1449" i="1"/>
  <c r="M1449" i="1" s="1"/>
  <c r="L1577" i="1"/>
  <c r="M1577" i="1" s="1"/>
  <c r="L1585" i="1"/>
  <c r="M1585" i="1" s="1"/>
  <c r="L1713" i="1"/>
  <c r="M1713" i="1" s="1"/>
  <c r="L1721" i="1"/>
  <c r="M1721" i="1" s="1"/>
  <c r="L1446" i="1"/>
  <c r="M1446" i="1" s="1"/>
  <c r="L1574" i="1"/>
  <c r="M1574" i="1" s="1"/>
  <c r="L1849" i="1"/>
  <c r="M1849" i="1" s="1"/>
  <c r="L1857" i="1"/>
  <c r="M1857" i="1" s="1"/>
  <c r="L1985" i="1"/>
  <c r="M1985" i="1" s="1"/>
  <c r="L1993" i="1"/>
  <c r="M1993" i="1" s="1"/>
  <c r="L2129" i="1"/>
  <c r="M2129" i="1" s="1"/>
  <c r="L2137" i="1"/>
  <c r="M2137" i="1" s="1"/>
  <c r="L2265" i="1"/>
  <c r="M2265" i="1" s="1"/>
  <c r="L2273" i="1"/>
  <c r="M2273" i="1" s="1"/>
  <c r="L2385" i="1"/>
  <c r="M2385" i="1" s="1"/>
  <c r="L2393" i="1"/>
  <c r="M2393" i="1" s="1"/>
  <c r="L2537" i="1"/>
  <c r="M2537" i="1" s="1"/>
  <c r="L2545" i="1"/>
  <c r="M2545" i="1" s="1"/>
  <c r="L2673" i="1"/>
  <c r="M2673" i="1" s="1"/>
  <c r="L2681" i="1"/>
  <c r="M2681" i="1" s="1"/>
  <c r="L2809" i="1"/>
  <c r="M2809" i="1" s="1"/>
  <c r="L2817" i="1"/>
  <c r="M2817" i="1" s="1"/>
  <c r="L2945" i="1"/>
  <c r="M2945" i="1" s="1"/>
  <c r="L2953" i="1"/>
  <c r="M2953" i="1" s="1"/>
  <c r="L3081" i="1"/>
  <c r="M3081" i="1" s="1"/>
  <c r="L3089" i="1"/>
  <c r="M3089" i="1" s="1"/>
  <c r="L3225" i="1"/>
  <c r="M3225" i="1" s="1"/>
  <c r="L3233" i="1"/>
  <c r="M3233" i="1" s="1"/>
  <c r="L3361" i="1"/>
  <c r="M3361" i="1" s="1"/>
  <c r="L3369" i="1"/>
  <c r="M3369" i="1" s="1"/>
  <c r="L3497" i="1"/>
  <c r="M3497" i="1" s="1"/>
  <c r="L3505" i="1"/>
  <c r="M3505" i="1" s="1"/>
  <c r="L3633" i="1"/>
  <c r="M3633" i="1" s="1"/>
  <c r="L3641" i="1"/>
  <c r="M3641" i="1" s="1"/>
  <c r="L3769" i="1"/>
  <c r="M3769" i="1" s="1"/>
  <c r="L3777" i="1"/>
  <c r="M3777" i="1" s="1"/>
  <c r="L3873" i="1"/>
  <c r="M3873" i="1" s="1"/>
  <c r="L3881" i="1"/>
  <c r="M3881" i="1" s="1"/>
  <c r="L4025" i="1"/>
  <c r="M4025" i="1" s="1"/>
  <c r="L979" i="1"/>
  <c r="M979" i="1" s="1"/>
  <c r="L987" i="1"/>
  <c r="M987" i="1" s="1"/>
  <c r="L1115" i="1"/>
  <c r="M1115" i="1" s="1"/>
  <c r="L1123" i="1"/>
  <c r="M1123" i="1" s="1"/>
  <c r="L1251" i="1"/>
  <c r="M1251" i="1" s="1"/>
  <c r="L1259" i="1"/>
  <c r="M1259" i="1" s="1"/>
  <c r="L1582" i="1"/>
  <c r="M1582" i="1" s="1"/>
  <c r="L1718" i="1"/>
  <c r="M1718" i="1" s="1"/>
  <c r="L1850" i="1"/>
  <c r="M1850" i="1" s="1"/>
  <c r="L1858" i="1"/>
  <c r="M1858" i="1" s="1"/>
  <c r="L1986" i="1"/>
  <c r="M1986" i="1" s="1"/>
  <c r="L1994" i="1"/>
  <c r="M1994" i="1" s="1"/>
  <c r="L2122" i="1"/>
  <c r="M2122" i="1" s="1"/>
  <c r="L2130" i="1"/>
  <c r="M2130" i="1" s="1"/>
  <c r="L2266" i="1"/>
  <c r="M2266" i="1" s="1"/>
  <c r="L2274" i="1"/>
  <c r="M2274" i="1" s="1"/>
  <c r="L2386" i="1"/>
  <c r="M2386" i="1" s="1"/>
  <c r="L2394" i="1"/>
  <c r="M2394" i="1" s="1"/>
  <c r="L2538" i="1"/>
  <c r="M2538" i="1" s="1"/>
  <c r="L2546" i="1"/>
  <c r="M2546" i="1" s="1"/>
  <c r="L2674" i="1"/>
  <c r="M2674" i="1" s="1"/>
  <c r="L2682" i="1"/>
  <c r="M2682" i="1" s="1"/>
  <c r="L2810" i="1"/>
  <c r="M2810" i="1" s="1"/>
  <c r="L2818" i="1"/>
  <c r="M2818" i="1" s="1"/>
  <c r="L2946" i="1"/>
  <c r="M2946" i="1" s="1"/>
  <c r="L2954" i="1"/>
  <c r="M2954" i="1" s="1"/>
  <c r="L3082" i="1"/>
  <c r="M3082" i="1" s="1"/>
  <c r="L3090" i="1"/>
  <c r="M3090" i="1" s="1"/>
  <c r="L3218" i="1"/>
  <c r="M3218" i="1" s="1"/>
  <c r="L3226" i="1"/>
  <c r="M3226" i="1" s="1"/>
  <c r="L3362" i="1"/>
  <c r="M3362" i="1" s="1"/>
  <c r="L3370" i="1"/>
  <c r="M3370" i="1" s="1"/>
  <c r="L3498" i="1"/>
  <c r="M3498" i="1" s="1"/>
  <c r="L3506" i="1"/>
  <c r="M3506" i="1" s="1"/>
  <c r="L3634" i="1"/>
  <c r="M3634" i="1" s="1"/>
  <c r="L3642" i="1"/>
  <c r="M3642" i="1" s="1"/>
  <c r="L3770" i="1"/>
  <c r="M3770" i="1" s="1"/>
  <c r="L3778" i="1"/>
  <c r="M3778" i="1" s="1"/>
  <c r="L3874" i="1"/>
  <c r="M3874" i="1" s="1"/>
  <c r="L4026" i="1"/>
  <c r="M4026" i="1" s="1"/>
  <c r="L980" i="1"/>
  <c r="M980" i="1" s="1"/>
  <c r="L988" i="1"/>
  <c r="M988" i="1" s="1"/>
  <c r="L1116" i="1"/>
  <c r="M1116" i="1" s="1"/>
  <c r="L1124" i="1"/>
  <c r="M1124" i="1" s="1"/>
  <c r="L1252" i="1"/>
  <c r="M1252" i="1" s="1"/>
  <c r="L1260" i="1"/>
  <c r="M1260" i="1" s="1"/>
  <c r="L1720" i="1"/>
  <c r="M1720" i="1" s="1"/>
  <c r="L1851" i="1"/>
  <c r="M1851" i="1" s="1"/>
  <c r="L1859" i="1"/>
  <c r="M1859" i="1" s="1"/>
  <c r="L1987" i="1"/>
  <c r="M1987" i="1" s="1"/>
  <c r="L1995" i="1"/>
  <c r="M1995" i="1" s="1"/>
  <c r="L2123" i="1"/>
  <c r="M2123" i="1" s="1"/>
  <c r="L2131" i="1"/>
  <c r="M2131" i="1" s="1"/>
  <c r="L2259" i="1"/>
  <c r="M2259" i="1" s="1"/>
  <c r="L2267" i="1"/>
  <c r="M2267" i="1" s="1"/>
  <c r="L2379" i="1"/>
  <c r="M2379" i="1" s="1"/>
  <c r="L2387" i="1"/>
  <c r="M2387" i="1" s="1"/>
  <c r="L2539" i="1"/>
  <c r="M2539" i="1" s="1"/>
  <c r="L2547" i="1"/>
  <c r="M2547" i="1" s="1"/>
  <c r="L2675" i="1"/>
  <c r="M2675" i="1" s="1"/>
  <c r="L2683" i="1"/>
  <c r="M2683" i="1" s="1"/>
  <c r="L2811" i="1"/>
  <c r="M2811" i="1" s="1"/>
  <c r="L2819" i="1"/>
  <c r="M2819" i="1" s="1"/>
  <c r="L2947" i="1"/>
  <c r="M2947" i="1" s="1"/>
  <c r="L2955" i="1"/>
  <c r="M2955" i="1" s="1"/>
  <c r="L3083" i="1"/>
  <c r="M3083" i="1" s="1"/>
  <c r="L3091" i="1"/>
  <c r="M3091" i="1" s="1"/>
  <c r="L3219" i="1"/>
  <c r="M3219" i="1" s="1"/>
  <c r="L3227" i="1"/>
  <c r="M3227" i="1" s="1"/>
  <c r="L3355" i="1"/>
  <c r="M3355" i="1" s="1"/>
  <c r="L3363" i="1"/>
  <c r="M3363" i="1" s="1"/>
  <c r="L3499" i="1"/>
  <c r="M3499" i="1" s="1"/>
  <c r="L3507" i="1"/>
  <c r="M3507" i="1" s="1"/>
  <c r="L3635" i="1"/>
  <c r="M3635" i="1" s="1"/>
  <c r="L3643" i="1"/>
  <c r="M3643" i="1" s="1"/>
  <c r="L3771" i="1"/>
  <c r="M3771" i="1" s="1"/>
  <c r="L3779" i="1"/>
  <c r="M3779" i="1" s="1"/>
  <c r="L3875" i="1"/>
  <c r="M3875" i="1" s="1"/>
  <c r="L3915" i="1"/>
  <c r="M3915" i="1" s="1"/>
  <c r="L3931" i="1"/>
  <c r="M3931" i="1" s="1"/>
  <c r="L4027" i="1"/>
  <c r="M4027" i="1" s="1"/>
  <c r="L981" i="1"/>
  <c r="M981" i="1" s="1"/>
  <c r="L989" i="1"/>
  <c r="M989" i="1" s="1"/>
  <c r="L1117" i="1"/>
  <c r="M1117" i="1" s="1"/>
  <c r="L1125" i="1"/>
  <c r="M1125" i="1" s="1"/>
  <c r="L1253" i="1"/>
  <c r="M1253" i="1" s="1"/>
  <c r="L1261" i="1"/>
  <c r="M1261" i="1" s="1"/>
  <c r="L1724" i="1"/>
  <c r="M1724" i="1" s="1"/>
  <c r="L1852" i="1"/>
  <c r="M1852" i="1" s="1"/>
  <c r="L1860" i="1"/>
  <c r="M1860" i="1" s="1"/>
  <c r="L1988" i="1"/>
  <c r="M1988" i="1" s="1"/>
  <c r="L1996" i="1"/>
  <c r="M1996" i="1" s="1"/>
  <c r="L2124" i="1"/>
  <c r="M2124" i="1" s="1"/>
  <c r="L2132" i="1"/>
  <c r="M2132" i="1" s="1"/>
  <c r="L2260" i="1"/>
  <c r="M2260" i="1" s="1"/>
  <c r="L2268" i="1"/>
  <c r="M2268" i="1" s="1"/>
  <c r="L2380" i="1"/>
  <c r="M2380" i="1" s="1"/>
  <c r="L2388" i="1"/>
  <c r="M2388" i="1" s="1"/>
  <c r="L2540" i="1"/>
  <c r="M2540" i="1" s="1"/>
  <c r="L2548" i="1"/>
  <c r="M2548" i="1" s="1"/>
  <c r="L2676" i="1"/>
  <c r="M2676" i="1" s="1"/>
  <c r="L2684" i="1"/>
  <c r="M2684" i="1" s="1"/>
  <c r="L2812" i="1"/>
  <c r="M2812" i="1" s="1"/>
  <c r="L2820" i="1"/>
  <c r="M2820" i="1" s="1"/>
  <c r="L2948" i="1"/>
  <c r="M2948" i="1" s="1"/>
  <c r="L2956" i="1"/>
  <c r="M2956" i="1" s="1"/>
  <c r="L3084" i="1"/>
  <c r="M3084" i="1" s="1"/>
  <c r="L3092" i="1"/>
  <c r="M3092" i="1" s="1"/>
  <c r="L3220" i="1"/>
  <c r="M3220" i="1" s="1"/>
  <c r="L3228" i="1"/>
  <c r="M3228" i="1" s="1"/>
  <c r="L3356" i="1"/>
  <c r="M3356" i="1" s="1"/>
  <c r="L3364" i="1"/>
  <c r="M3364" i="1" s="1"/>
  <c r="L3492" i="1"/>
  <c r="M3492" i="1" s="1"/>
  <c r="L3500" i="1"/>
  <c r="M3500" i="1" s="1"/>
  <c r="L3636" i="1"/>
  <c r="M3636" i="1" s="1"/>
  <c r="L3644" i="1"/>
  <c r="M3644" i="1" s="1"/>
  <c r="L3772" i="1"/>
  <c r="M3772" i="1" s="1"/>
  <c r="L3780" i="1"/>
  <c r="M3780" i="1" s="1"/>
  <c r="L3876" i="1"/>
  <c r="M3876" i="1" s="1"/>
  <c r="L4028" i="1"/>
  <c r="M4028" i="1" s="1"/>
  <c r="L982" i="1"/>
  <c r="M982" i="1" s="1"/>
  <c r="L990" i="1"/>
  <c r="M990" i="1" s="1"/>
  <c r="L1118" i="1"/>
  <c r="M1118" i="1" s="1"/>
  <c r="L1126" i="1"/>
  <c r="M1126" i="1" s="1"/>
  <c r="L1254" i="1"/>
  <c r="M1254" i="1" s="1"/>
  <c r="L1262" i="1"/>
  <c r="M1262" i="1" s="1"/>
  <c r="L1726" i="1"/>
  <c r="M1726" i="1" s="1"/>
  <c r="L1854" i="1"/>
  <c r="M1854" i="1" s="1"/>
  <c r="L1862" i="1"/>
  <c r="M1862" i="1" s="1"/>
  <c r="L1990" i="1"/>
  <c r="M1990" i="1" s="1"/>
  <c r="L1998" i="1"/>
  <c r="M1998" i="1" s="1"/>
  <c r="L2126" i="1"/>
  <c r="M2126" i="1" s="1"/>
  <c r="L2134" i="1"/>
  <c r="M2134" i="1" s="1"/>
  <c r="L2262" i="1"/>
  <c r="M2262" i="1" s="1"/>
  <c r="L2270" i="1"/>
  <c r="M2270" i="1" s="1"/>
  <c r="L2382" i="1"/>
  <c r="M2382" i="1" s="1"/>
  <c r="L2390" i="1"/>
  <c r="M2390" i="1" s="1"/>
  <c r="L2534" i="1"/>
  <c r="M2534" i="1" s="1"/>
  <c r="L2542" i="1"/>
  <c r="M2542" i="1" s="1"/>
  <c r="L2670" i="1"/>
  <c r="M2670" i="1" s="1"/>
  <c r="L2678" i="1"/>
  <c r="M2678" i="1" s="1"/>
  <c r="L2814" i="1"/>
  <c r="M2814" i="1" s="1"/>
  <c r="L2822" i="1"/>
  <c r="M2822" i="1" s="1"/>
  <c r="L2950" i="1"/>
  <c r="M2950" i="1" s="1"/>
  <c r="L2958" i="1"/>
  <c r="M2958" i="1" s="1"/>
  <c r="L3086" i="1"/>
  <c r="M3086" i="1" s="1"/>
  <c r="L3094" i="1"/>
  <c r="M3094" i="1" s="1"/>
  <c r="L3222" i="1"/>
  <c r="M3222" i="1" s="1"/>
  <c r="L3230" i="1"/>
  <c r="M3230" i="1" s="1"/>
  <c r="L3358" i="1"/>
  <c r="M3358" i="1" s="1"/>
  <c r="L3366" i="1"/>
  <c r="M3366" i="1" s="1"/>
  <c r="L3494" i="1"/>
  <c r="M3494" i="1" s="1"/>
  <c r="L3502" i="1"/>
  <c r="M3502" i="1" s="1"/>
  <c r="L3630" i="1"/>
  <c r="M3630" i="1" s="1"/>
  <c r="L3638" i="1"/>
  <c r="M3638" i="1" s="1"/>
  <c r="L3766" i="1"/>
  <c r="M3766" i="1" s="1"/>
  <c r="L3774" i="1"/>
  <c r="M3774" i="1" s="1"/>
  <c r="L3878" i="1"/>
  <c r="M3878" i="1" s="1"/>
  <c r="L4022" i="1"/>
  <c r="M4022" i="1" s="1"/>
  <c r="L984" i="1"/>
  <c r="M984" i="1" s="1"/>
  <c r="L992" i="1"/>
  <c r="M992" i="1" s="1"/>
  <c r="L1120" i="1"/>
  <c r="M1120" i="1" s="1"/>
  <c r="L1128" i="1"/>
  <c r="M1128" i="1" s="1"/>
  <c r="L1256" i="1"/>
  <c r="M1256" i="1" s="1"/>
  <c r="L1264" i="1"/>
  <c r="M1264" i="1" s="1"/>
  <c r="L4162" i="1"/>
  <c r="M4162" i="1" s="1"/>
  <c r="L4298" i="1"/>
  <c r="M4298" i="1" s="1"/>
  <c r="L4434" i="1"/>
  <c r="M4434" i="1" s="1"/>
  <c r="L4570" i="1"/>
  <c r="M4570" i="1" s="1"/>
  <c r="L4706" i="1"/>
  <c r="M4706" i="1" s="1"/>
  <c r="L4842" i="1"/>
  <c r="M4842" i="1" s="1"/>
  <c r="L4978" i="1"/>
  <c r="M4978" i="1" s="1"/>
  <c r="L5114" i="1"/>
  <c r="M5114" i="1" s="1"/>
  <c r="L1855" i="1"/>
  <c r="M1855" i="1" s="1"/>
  <c r="L1863" i="1"/>
  <c r="M1863" i="1" s="1"/>
  <c r="L1991" i="1"/>
  <c r="M1991" i="1" s="1"/>
  <c r="L1999" i="1"/>
  <c r="M1999" i="1" s="1"/>
  <c r="L2127" i="1"/>
  <c r="M2127" i="1" s="1"/>
  <c r="L2135" i="1"/>
  <c r="M2135" i="1" s="1"/>
  <c r="L2263" i="1"/>
  <c r="M2263" i="1" s="1"/>
  <c r="L2271" i="1"/>
  <c r="M2271" i="1" s="1"/>
  <c r="L2383" i="1"/>
  <c r="M2383" i="1" s="1"/>
  <c r="L2391" i="1"/>
  <c r="M2391" i="1" s="1"/>
  <c r="L2535" i="1"/>
  <c r="M2535" i="1" s="1"/>
  <c r="L2543" i="1"/>
  <c r="M2543" i="1" s="1"/>
  <c r="L2671" i="1"/>
  <c r="M2671" i="1" s="1"/>
  <c r="L2679" i="1"/>
  <c r="M2679" i="1" s="1"/>
  <c r="L2807" i="1"/>
  <c r="M2807" i="1" s="1"/>
  <c r="L2815" i="1"/>
  <c r="M2815" i="1" s="1"/>
  <c r="L2951" i="1"/>
  <c r="M2951" i="1" s="1"/>
  <c r="L2959" i="1"/>
  <c r="M2959" i="1" s="1"/>
  <c r="L3087" i="1"/>
  <c r="M3087" i="1" s="1"/>
  <c r="L3095" i="1"/>
  <c r="M3095" i="1" s="1"/>
  <c r="L3223" i="1"/>
  <c r="M3223" i="1" s="1"/>
  <c r="L3231" i="1"/>
  <c r="M3231" i="1" s="1"/>
  <c r="L3359" i="1"/>
  <c r="M3359" i="1" s="1"/>
  <c r="L3367" i="1"/>
  <c r="M3367" i="1" s="1"/>
  <c r="L3495" i="1"/>
  <c r="M3495" i="1" s="1"/>
  <c r="L3503" i="1"/>
  <c r="M3503" i="1" s="1"/>
  <c r="L3631" i="1"/>
  <c r="M3631" i="1" s="1"/>
  <c r="L3639" i="1"/>
  <c r="M3639" i="1" s="1"/>
  <c r="L3767" i="1"/>
  <c r="M3767" i="1" s="1"/>
  <c r="L3775" i="1"/>
  <c r="M3775" i="1" s="1"/>
  <c r="L3879" i="1"/>
  <c r="M3879" i="1" s="1"/>
  <c r="L4023" i="1"/>
  <c r="M4023" i="1" s="1"/>
  <c r="L985" i="1"/>
  <c r="M985" i="1" s="1"/>
  <c r="L993" i="1"/>
  <c r="M993" i="1" s="1"/>
  <c r="L1121" i="1"/>
  <c r="M1121" i="1" s="1"/>
  <c r="L1129" i="1"/>
  <c r="M1129" i="1" s="1"/>
  <c r="L1257" i="1"/>
  <c r="M1257" i="1" s="1"/>
  <c r="L1265" i="1"/>
  <c r="M1265" i="1" s="1"/>
  <c r="L4034" i="1"/>
  <c r="M4034" i="1" s="1"/>
  <c r="L4170" i="1"/>
  <c r="M4170" i="1" s="1"/>
  <c r="L4306" i="1"/>
  <c r="M4306" i="1" s="1"/>
  <c r="L4442" i="1"/>
  <c r="M4442" i="1" s="1"/>
  <c r="L4578" i="1"/>
  <c r="M4578" i="1" s="1"/>
  <c r="L4714" i="1"/>
  <c r="M4714" i="1" s="1"/>
  <c r="L4850" i="1"/>
  <c r="M4850" i="1" s="1"/>
  <c r="L4986" i="1"/>
  <c r="M4986" i="1" s="1"/>
  <c r="L1438" i="1"/>
  <c r="M1438" i="1" s="1"/>
  <c r="L1848" i="1"/>
  <c r="M1848" i="1" s="1"/>
  <c r="L1856" i="1"/>
  <c r="M1856" i="1" s="1"/>
  <c r="L1992" i="1"/>
  <c r="M1992" i="1" s="1"/>
  <c r="L2000" i="1"/>
  <c r="M2000" i="1" s="1"/>
  <c r="L2128" i="1"/>
  <c r="M2128" i="1" s="1"/>
  <c r="L2136" i="1"/>
  <c r="M2136" i="1" s="1"/>
  <c r="L2264" i="1"/>
  <c r="M2264" i="1" s="1"/>
  <c r="L2272" i="1"/>
  <c r="M2272" i="1" s="1"/>
  <c r="L2384" i="1"/>
  <c r="M2384" i="1" s="1"/>
  <c r="L2392" i="1"/>
  <c r="M2392" i="1" s="1"/>
  <c r="L2536" i="1"/>
  <c r="M2536" i="1" s="1"/>
  <c r="L2544" i="1"/>
  <c r="M2544" i="1" s="1"/>
  <c r="L2672" i="1"/>
  <c r="M2672" i="1" s="1"/>
  <c r="L2680" i="1"/>
  <c r="M2680" i="1" s="1"/>
  <c r="L2808" i="1"/>
  <c r="M2808" i="1" s="1"/>
  <c r="L2816" i="1"/>
  <c r="M2816" i="1" s="1"/>
  <c r="L2944" i="1"/>
  <c r="M2944" i="1" s="1"/>
  <c r="L2952" i="1"/>
  <c r="M2952" i="1" s="1"/>
  <c r="L3088" i="1"/>
  <c r="M3088" i="1" s="1"/>
  <c r="L3096" i="1"/>
  <c r="M3096" i="1" s="1"/>
  <c r="L3224" i="1"/>
  <c r="M3224" i="1" s="1"/>
  <c r="L3232" i="1"/>
  <c r="M3232" i="1" s="1"/>
  <c r="L3360" i="1"/>
  <c r="M3360" i="1" s="1"/>
  <c r="L3368" i="1"/>
  <c r="M3368" i="1" s="1"/>
  <c r="L3496" i="1"/>
  <c r="M3496" i="1" s="1"/>
  <c r="L3504" i="1"/>
  <c r="M3504" i="1" s="1"/>
  <c r="L3632" i="1"/>
  <c r="M3632" i="1" s="1"/>
  <c r="L3640" i="1"/>
  <c r="M3640" i="1" s="1"/>
  <c r="L3768" i="1"/>
  <c r="M3768" i="1" s="1"/>
  <c r="L3776" i="1"/>
  <c r="M3776" i="1" s="1"/>
  <c r="L3872" i="1"/>
  <c r="M3872" i="1" s="1"/>
  <c r="L3880" i="1"/>
  <c r="M3880" i="1" s="1"/>
  <c r="L4024" i="1"/>
  <c r="M4024" i="1" s="1"/>
  <c r="L986" i="1"/>
  <c r="M986" i="1" s="1"/>
  <c r="L994" i="1"/>
  <c r="M994" i="1" s="1"/>
  <c r="L1122" i="1"/>
  <c r="M1122" i="1" s="1"/>
  <c r="L1130" i="1"/>
  <c r="M1130" i="1" s="1"/>
  <c r="L1258" i="1"/>
  <c r="M1258" i="1" s="1"/>
  <c r="L1266" i="1"/>
  <c r="M1266" i="1" s="1"/>
  <c r="L2269" i="1"/>
  <c r="M2269" i="1" s="1"/>
  <c r="L3365" i="1"/>
  <c r="M3365" i="1" s="1"/>
  <c r="L3493" i="1"/>
  <c r="M3493" i="1" s="1"/>
  <c r="L983" i="1"/>
  <c r="M983" i="1" s="1"/>
  <c r="L1119" i="1"/>
  <c r="M1119" i="1" s="1"/>
  <c r="L1255" i="1"/>
  <c r="M1255" i="1" s="1"/>
  <c r="L58" i="1"/>
  <c r="M58" i="1" s="1"/>
  <c r="L146" i="1"/>
  <c r="M146" i="1" s="1"/>
  <c r="L154" i="1"/>
  <c r="M154" i="1" s="1"/>
  <c r="L282" i="1"/>
  <c r="M282" i="1" s="1"/>
  <c r="L290" i="1"/>
  <c r="M290" i="1" s="1"/>
  <c r="L418" i="1"/>
  <c r="M418" i="1" s="1"/>
  <c r="L426" i="1"/>
  <c r="M426" i="1" s="1"/>
  <c r="L554" i="1"/>
  <c r="M554" i="1" s="1"/>
  <c r="L562" i="1"/>
  <c r="M562" i="1" s="1"/>
  <c r="L714" i="1"/>
  <c r="M714" i="1" s="1"/>
  <c r="L722" i="1"/>
  <c r="M722" i="1" s="1"/>
  <c r="L826" i="1"/>
  <c r="M826" i="1" s="1"/>
  <c r="L834" i="1"/>
  <c r="M834" i="1" s="1"/>
  <c r="L830" i="1"/>
  <c r="M830" i="1" s="1"/>
  <c r="L2533" i="1"/>
  <c r="M2533" i="1" s="1"/>
  <c r="L3501" i="1"/>
  <c r="M3501" i="1" s="1"/>
  <c r="L3629" i="1"/>
  <c r="M3629" i="1" s="1"/>
  <c r="L991" i="1"/>
  <c r="M991" i="1" s="1"/>
  <c r="L1127" i="1"/>
  <c r="M1127" i="1" s="1"/>
  <c r="L1263" i="1"/>
  <c r="M1263" i="1" s="1"/>
  <c r="L51" i="1"/>
  <c r="M51" i="1" s="1"/>
  <c r="L59" i="1"/>
  <c r="M59" i="1" s="1"/>
  <c r="L147" i="1"/>
  <c r="M147" i="1" s="1"/>
  <c r="L155" i="1"/>
  <c r="M155" i="1" s="1"/>
  <c r="L283" i="1"/>
  <c r="M283" i="1" s="1"/>
  <c r="L291" i="1"/>
  <c r="M291" i="1" s="1"/>
  <c r="L419" i="1"/>
  <c r="M419" i="1" s="1"/>
  <c r="L427" i="1"/>
  <c r="M427" i="1" s="1"/>
  <c r="L555" i="1"/>
  <c r="M555" i="1" s="1"/>
  <c r="L563" i="1"/>
  <c r="M563" i="1" s="1"/>
  <c r="L707" i="1"/>
  <c r="M707" i="1" s="1"/>
  <c r="L715" i="1"/>
  <c r="M715" i="1" s="1"/>
  <c r="L827" i="1"/>
  <c r="M827" i="1" s="1"/>
  <c r="L835" i="1"/>
  <c r="M835" i="1" s="1"/>
  <c r="L718" i="1"/>
  <c r="M718" i="1" s="1"/>
  <c r="L2541" i="1"/>
  <c r="M2541" i="1" s="1"/>
  <c r="L2677" i="1"/>
  <c r="M2677" i="1" s="1"/>
  <c r="L3637" i="1"/>
  <c r="M3637" i="1" s="1"/>
  <c r="L3773" i="1"/>
  <c r="M3773" i="1" s="1"/>
  <c r="L52" i="1"/>
  <c r="M52" i="1" s="1"/>
  <c r="L60" i="1"/>
  <c r="M60" i="1" s="1"/>
  <c r="L148" i="1"/>
  <c r="M148" i="1" s="1"/>
  <c r="L156" i="1"/>
  <c r="M156" i="1" s="1"/>
  <c r="L284" i="1"/>
  <c r="M284" i="1" s="1"/>
  <c r="L292" i="1"/>
  <c r="M292" i="1" s="1"/>
  <c r="L420" i="1"/>
  <c r="M420" i="1" s="1"/>
  <c r="L428" i="1"/>
  <c r="M428" i="1" s="1"/>
  <c r="L556" i="1"/>
  <c r="M556" i="1" s="1"/>
  <c r="L564" i="1"/>
  <c r="M564" i="1" s="1"/>
  <c r="L708" i="1"/>
  <c r="M708" i="1" s="1"/>
  <c r="L716" i="1"/>
  <c r="M716" i="1" s="1"/>
  <c r="L828" i="1"/>
  <c r="M828" i="1" s="1"/>
  <c r="L836" i="1"/>
  <c r="M836" i="1" s="1"/>
  <c r="L2821" i="1"/>
  <c r="M2821" i="1" s="1"/>
  <c r="L286" i="1"/>
  <c r="M286" i="1" s="1"/>
  <c r="L566" i="1"/>
  <c r="M566" i="1" s="1"/>
  <c r="L2685" i="1"/>
  <c r="M2685" i="1" s="1"/>
  <c r="L2813" i="1"/>
  <c r="M2813" i="1" s="1"/>
  <c r="L3781" i="1"/>
  <c r="M3781" i="1" s="1"/>
  <c r="L53" i="1"/>
  <c r="M53" i="1" s="1"/>
  <c r="L149" i="1"/>
  <c r="M149" i="1" s="1"/>
  <c r="L157" i="1"/>
  <c r="M157" i="1" s="1"/>
  <c r="L285" i="1"/>
  <c r="M285" i="1" s="1"/>
  <c r="L293" i="1"/>
  <c r="M293" i="1" s="1"/>
  <c r="L421" i="1"/>
  <c r="M421" i="1" s="1"/>
  <c r="L429" i="1"/>
  <c r="M429" i="1" s="1"/>
  <c r="L557" i="1"/>
  <c r="M557" i="1" s="1"/>
  <c r="L565" i="1"/>
  <c r="M565" i="1" s="1"/>
  <c r="L709" i="1"/>
  <c r="M709" i="1" s="1"/>
  <c r="L717" i="1"/>
  <c r="M717" i="1" s="1"/>
  <c r="L829" i="1"/>
  <c r="M829" i="1" s="1"/>
  <c r="L837" i="1"/>
  <c r="M837" i="1" s="1"/>
  <c r="L1853" i="1"/>
  <c r="M1853" i="1" s="1"/>
  <c r="L1861" i="1"/>
  <c r="M1861" i="1" s="1"/>
  <c r="L1989" i="1"/>
  <c r="M1989" i="1" s="1"/>
  <c r="L2381" i="1"/>
  <c r="M2381" i="1" s="1"/>
  <c r="L2957" i="1"/>
  <c r="M2957" i="1" s="1"/>
  <c r="L3085" i="1"/>
  <c r="M3085" i="1" s="1"/>
  <c r="L55" i="1"/>
  <c r="M55" i="1" s="1"/>
  <c r="L151" i="1"/>
  <c r="M151" i="1" s="1"/>
  <c r="L159" i="1"/>
  <c r="M159" i="1" s="1"/>
  <c r="L287" i="1"/>
  <c r="M287" i="1" s="1"/>
  <c r="L295" i="1"/>
  <c r="M295" i="1" s="1"/>
  <c r="L423" i="1"/>
  <c r="M423" i="1" s="1"/>
  <c r="L431" i="1"/>
  <c r="M431" i="1" s="1"/>
  <c r="L559" i="1"/>
  <c r="M559" i="1" s="1"/>
  <c r="L567" i="1"/>
  <c r="M567" i="1" s="1"/>
  <c r="L711" i="1"/>
  <c r="M711" i="1" s="1"/>
  <c r="L719" i="1"/>
  <c r="M719" i="1" s="1"/>
  <c r="L831" i="1"/>
  <c r="M831" i="1" s="1"/>
  <c r="L839" i="1"/>
  <c r="M839" i="1" s="1"/>
  <c r="L422" i="1"/>
  <c r="M422" i="1" s="1"/>
  <c r="L1997" i="1"/>
  <c r="M1997" i="1" s="1"/>
  <c r="L2125" i="1"/>
  <c r="M2125" i="1" s="1"/>
  <c r="L2389" i="1"/>
  <c r="M2389" i="1" s="1"/>
  <c r="L3093" i="1"/>
  <c r="M3093" i="1" s="1"/>
  <c r="L3221" i="1"/>
  <c r="M3221" i="1" s="1"/>
  <c r="L56" i="1"/>
  <c r="M56" i="1" s="1"/>
  <c r="L152" i="1"/>
  <c r="M152" i="1" s="1"/>
  <c r="L160" i="1"/>
  <c r="M160" i="1" s="1"/>
  <c r="L288" i="1"/>
  <c r="M288" i="1" s="1"/>
  <c r="L296" i="1"/>
  <c r="M296" i="1" s="1"/>
  <c r="L424" i="1"/>
  <c r="M424" i="1" s="1"/>
  <c r="L432" i="1"/>
  <c r="M432" i="1" s="1"/>
  <c r="L560" i="1"/>
  <c r="M560" i="1" s="1"/>
  <c r="L568" i="1"/>
  <c r="M568" i="1" s="1"/>
  <c r="L712" i="1"/>
  <c r="M712" i="1" s="1"/>
  <c r="L720" i="1"/>
  <c r="M720" i="1" s="1"/>
  <c r="L832" i="1"/>
  <c r="M832" i="1" s="1"/>
  <c r="L840" i="1"/>
  <c r="M840" i="1" s="1"/>
  <c r="L1725" i="1"/>
  <c r="M1725" i="1" s="1"/>
  <c r="L2949" i="1"/>
  <c r="M2949" i="1" s="1"/>
  <c r="L54" i="1"/>
  <c r="M54" i="1" s="1"/>
  <c r="L158" i="1"/>
  <c r="M158" i="1" s="1"/>
  <c r="L558" i="1"/>
  <c r="M558" i="1" s="1"/>
  <c r="L710" i="1"/>
  <c r="M710" i="1" s="1"/>
  <c r="L2133" i="1"/>
  <c r="M2133" i="1" s="1"/>
  <c r="L2261" i="1"/>
  <c r="M2261" i="1" s="1"/>
  <c r="L3229" i="1"/>
  <c r="M3229" i="1" s="1"/>
  <c r="L3357" i="1"/>
  <c r="M3357" i="1" s="1"/>
  <c r="L3877" i="1"/>
  <c r="M3877" i="1" s="1"/>
  <c r="L57" i="1"/>
  <c r="M57" i="1" s="1"/>
  <c r="L153" i="1"/>
  <c r="M153" i="1" s="1"/>
  <c r="L161" i="1"/>
  <c r="M161" i="1" s="1"/>
  <c r="L289" i="1"/>
  <c r="M289" i="1" s="1"/>
  <c r="L297" i="1"/>
  <c r="M297" i="1" s="1"/>
  <c r="L425" i="1"/>
  <c r="M425" i="1" s="1"/>
  <c r="L433" i="1"/>
  <c r="M433" i="1" s="1"/>
  <c r="L561" i="1"/>
  <c r="M561" i="1" s="1"/>
  <c r="L569" i="1"/>
  <c r="M569" i="1" s="1"/>
  <c r="L713" i="1"/>
  <c r="M713" i="1" s="1"/>
  <c r="L721" i="1"/>
  <c r="M721" i="1" s="1"/>
  <c r="L833" i="1"/>
  <c r="M833" i="1" s="1"/>
  <c r="L841" i="1"/>
  <c r="M841" i="1" s="1"/>
  <c r="L150" i="1"/>
  <c r="M150" i="1" s="1"/>
  <c r="L294" i="1"/>
  <c r="M294" i="1" s="1"/>
  <c r="L430" i="1"/>
  <c r="M430" i="1" s="1"/>
  <c r="L838" i="1"/>
  <c r="M838" i="1" s="1"/>
  <c r="M23" i="40"/>
  <c r="M50" i="40" s="1"/>
  <c r="L14479" i="1"/>
  <c r="M14479" i="1" s="1"/>
  <c r="L14487" i="1"/>
  <c r="M14487" i="1" s="1"/>
  <c r="L14615" i="1"/>
  <c r="M14615" i="1" s="1"/>
  <c r="L14623" i="1"/>
  <c r="M14623" i="1" s="1"/>
  <c r="L14751" i="1"/>
  <c r="M14751" i="1" s="1"/>
  <c r="L14759" i="1"/>
  <c r="M14759" i="1" s="1"/>
  <c r="L14887" i="1"/>
  <c r="M14887" i="1" s="1"/>
  <c r="L14895" i="1"/>
  <c r="M14895" i="1" s="1"/>
  <c r="L5234" i="1"/>
  <c r="M5234" i="1" s="1"/>
  <c r="L5242" i="1"/>
  <c r="M5242" i="1" s="1"/>
  <c r="L14480" i="1"/>
  <c r="M14480" i="1" s="1"/>
  <c r="L14488" i="1"/>
  <c r="M14488" i="1" s="1"/>
  <c r="L14616" i="1"/>
  <c r="M14616" i="1" s="1"/>
  <c r="L14624" i="1"/>
  <c r="M14624" i="1" s="1"/>
  <c r="L14752" i="1"/>
  <c r="M14752" i="1" s="1"/>
  <c r="L14760" i="1"/>
  <c r="M14760" i="1" s="1"/>
  <c r="L14888" i="1"/>
  <c r="M14888" i="1" s="1"/>
  <c r="L14896" i="1"/>
  <c r="M14896" i="1" s="1"/>
  <c r="L5235" i="1"/>
  <c r="M5235" i="1" s="1"/>
  <c r="L5243" i="1"/>
  <c r="M5243" i="1" s="1"/>
  <c r="L14481" i="1"/>
  <c r="M14481" i="1" s="1"/>
  <c r="L14489" i="1"/>
  <c r="M14489" i="1" s="1"/>
  <c r="L14617" i="1"/>
  <c r="M14617" i="1" s="1"/>
  <c r="L14625" i="1"/>
  <c r="M14625" i="1" s="1"/>
  <c r="L14753" i="1"/>
  <c r="M14753" i="1" s="1"/>
  <c r="L14761" i="1"/>
  <c r="M14761" i="1" s="1"/>
  <c r="L14889" i="1"/>
  <c r="M14889" i="1" s="1"/>
  <c r="L14897" i="1"/>
  <c r="M14897" i="1" s="1"/>
  <c r="L5236" i="1"/>
  <c r="M5236" i="1" s="1"/>
  <c r="L5244" i="1"/>
  <c r="M5244" i="1" s="1"/>
  <c r="L14482" i="1"/>
  <c r="M14482" i="1" s="1"/>
  <c r="L14490" i="1"/>
  <c r="M14490" i="1" s="1"/>
  <c r="L14618" i="1"/>
  <c r="M14618" i="1" s="1"/>
  <c r="L14626" i="1"/>
  <c r="M14626" i="1" s="1"/>
  <c r="L14754" i="1"/>
  <c r="M14754" i="1" s="1"/>
  <c r="L14762" i="1"/>
  <c r="M14762" i="1" s="1"/>
  <c r="L14890" i="1"/>
  <c r="M14890" i="1" s="1"/>
  <c r="L14898" i="1"/>
  <c r="M14898" i="1" s="1"/>
  <c r="L5229" i="1"/>
  <c r="M5229" i="1" s="1"/>
  <c r="L5237" i="1"/>
  <c r="M5237" i="1" s="1"/>
  <c r="L14483" i="1"/>
  <c r="M14483" i="1" s="1"/>
  <c r="L14491" i="1"/>
  <c r="M14491" i="1" s="1"/>
  <c r="L14619" i="1"/>
  <c r="M14619" i="1" s="1"/>
  <c r="L14627" i="1"/>
  <c r="M14627" i="1" s="1"/>
  <c r="L14755" i="1"/>
  <c r="M14755" i="1" s="1"/>
  <c r="L14763" i="1"/>
  <c r="M14763" i="1" s="1"/>
  <c r="L14891" i="1"/>
  <c r="M14891" i="1" s="1"/>
  <c r="L14899" i="1"/>
  <c r="M14899" i="1" s="1"/>
  <c r="L5230" i="1"/>
  <c r="M5230" i="1" s="1"/>
  <c r="L5238" i="1"/>
  <c r="M5238" i="1" s="1"/>
  <c r="L14484" i="1"/>
  <c r="M14484" i="1" s="1"/>
  <c r="L14492" i="1"/>
  <c r="M14492" i="1" s="1"/>
  <c r="L14620" i="1"/>
  <c r="M14620" i="1" s="1"/>
  <c r="L14628" i="1"/>
  <c r="M14628" i="1" s="1"/>
  <c r="L14756" i="1"/>
  <c r="M14756" i="1" s="1"/>
  <c r="L14764" i="1"/>
  <c r="M14764" i="1" s="1"/>
  <c r="L14892" i="1"/>
  <c r="M14892" i="1" s="1"/>
  <c r="L14900" i="1"/>
  <c r="M14900" i="1" s="1"/>
  <c r="L5231" i="1"/>
  <c r="M5231" i="1" s="1"/>
  <c r="L5239" i="1"/>
  <c r="M5239" i="1" s="1"/>
  <c r="L14477" i="1"/>
  <c r="M14477" i="1" s="1"/>
  <c r="L14485" i="1"/>
  <c r="M14485" i="1" s="1"/>
  <c r="L14613" i="1"/>
  <c r="M14613" i="1" s="1"/>
  <c r="L14621" i="1"/>
  <c r="M14621" i="1" s="1"/>
  <c r="L14749" i="1"/>
  <c r="M14749" i="1" s="1"/>
  <c r="L14757" i="1"/>
  <c r="M14757" i="1" s="1"/>
  <c r="L14885" i="1"/>
  <c r="M14885" i="1" s="1"/>
  <c r="L14893" i="1"/>
  <c r="M14893" i="1" s="1"/>
  <c r="L5232" i="1"/>
  <c r="M5232" i="1" s="1"/>
  <c r="L5240" i="1"/>
  <c r="M5240" i="1" s="1"/>
  <c r="L14478" i="1"/>
  <c r="M14478" i="1" s="1"/>
  <c r="L14486" i="1"/>
  <c r="M14486" i="1" s="1"/>
  <c r="L14614" i="1"/>
  <c r="M14614" i="1" s="1"/>
  <c r="L14622" i="1"/>
  <c r="M14622" i="1" s="1"/>
  <c r="L14750" i="1"/>
  <c r="M14750" i="1" s="1"/>
  <c r="L14758" i="1"/>
  <c r="M14758" i="1" s="1"/>
  <c r="L14886" i="1"/>
  <c r="M14886" i="1" s="1"/>
  <c r="L14894" i="1"/>
  <c r="M14894" i="1" s="1"/>
  <c r="L5233" i="1"/>
  <c r="M5233" i="1" s="1"/>
  <c r="L5241" i="1"/>
  <c r="M5241" i="1" s="1"/>
  <c r="L5371" i="1"/>
  <c r="M5371" i="1" s="1"/>
  <c r="L5379" i="1"/>
  <c r="M5379" i="1" s="1"/>
  <c r="L5507" i="1"/>
  <c r="M5507" i="1" s="1"/>
  <c r="L5515" i="1"/>
  <c r="M5515" i="1" s="1"/>
  <c r="L5643" i="1"/>
  <c r="M5643" i="1" s="1"/>
  <c r="L5651" i="1"/>
  <c r="M5651" i="1" s="1"/>
  <c r="L5779" i="1"/>
  <c r="M5779" i="1" s="1"/>
  <c r="L5787" i="1"/>
  <c r="M5787" i="1" s="1"/>
  <c r="L5372" i="1"/>
  <c r="M5372" i="1" s="1"/>
  <c r="L5380" i="1"/>
  <c r="M5380" i="1" s="1"/>
  <c r="L5508" i="1"/>
  <c r="M5508" i="1" s="1"/>
  <c r="L5516" i="1"/>
  <c r="M5516" i="1" s="1"/>
  <c r="L5644" i="1"/>
  <c r="M5644" i="1" s="1"/>
  <c r="L5652" i="1"/>
  <c r="M5652" i="1" s="1"/>
  <c r="L5780" i="1"/>
  <c r="M5780" i="1" s="1"/>
  <c r="L5788" i="1"/>
  <c r="M5788" i="1" s="1"/>
  <c r="L5365" i="1"/>
  <c r="M5365" i="1" s="1"/>
  <c r="L5373" i="1"/>
  <c r="M5373" i="1" s="1"/>
  <c r="L5501" i="1"/>
  <c r="M5501" i="1" s="1"/>
  <c r="L5509" i="1"/>
  <c r="M5509" i="1" s="1"/>
  <c r="L5637" i="1"/>
  <c r="M5637" i="1" s="1"/>
  <c r="L5645" i="1"/>
  <c r="M5645" i="1" s="1"/>
  <c r="L5773" i="1"/>
  <c r="M5773" i="1" s="1"/>
  <c r="L5781" i="1"/>
  <c r="M5781" i="1" s="1"/>
  <c r="L5366" i="1"/>
  <c r="M5366" i="1" s="1"/>
  <c r="L5374" i="1"/>
  <c r="M5374" i="1" s="1"/>
  <c r="L5502" i="1"/>
  <c r="M5502" i="1" s="1"/>
  <c r="L5510" i="1"/>
  <c r="M5510" i="1" s="1"/>
  <c r="L5638" i="1"/>
  <c r="M5638" i="1" s="1"/>
  <c r="L5646" i="1"/>
  <c r="M5646" i="1" s="1"/>
  <c r="L5774" i="1"/>
  <c r="M5774" i="1" s="1"/>
  <c r="L5782" i="1"/>
  <c r="M5782" i="1" s="1"/>
  <c r="L5910" i="1"/>
  <c r="M5910" i="1" s="1"/>
  <c r="L5918" i="1"/>
  <c r="M5918" i="1" s="1"/>
  <c r="L5367" i="1"/>
  <c r="M5367" i="1" s="1"/>
  <c r="L5375" i="1"/>
  <c r="M5375" i="1" s="1"/>
  <c r="L5503" i="1"/>
  <c r="M5503" i="1" s="1"/>
  <c r="L5511" i="1"/>
  <c r="M5511" i="1" s="1"/>
  <c r="L5639" i="1"/>
  <c r="M5639" i="1" s="1"/>
  <c r="L5647" i="1"/>
  <c r="M5647" i="1" s="1"/>
  <c r="L5775" i="1"/>
  <c r="M5775" i="1" s="1"/>
  <c r="L5783" i="1"/>
  <c r="M5783" i="1" s="1"/>
  <c r="L5368" i="1"/>
  <c r="M5368" i="1" s="1"/>
  <c r="L5376" i="1"/>
  <c r="M5376" i="1" s="1"/>
  <c r="L5504" i="1"/>
  <c r="M5504" i="1" s="1"/>
  <c r="L5512" i="1"/>
  <c r="M5512" i="1" s="1"/>
  <c r="L5640" i="1"/>
  <c r="M5640" i="1" s="1"/>
  <c r="L5648" i="1"/>
  <c r="M5648" i="1" s="1"/>
  <c r="L5776" i="1"/>
  <c r="M5776" i="1" s="1"/>
  <c r="L5784" i="1"/>
  <c r="M5784" i="1" s="1"/>
  <c r="L5369" i="1"/>
  <c r="M5369" i="1" s="1"/>
  <c r="L5377" i="1"/>
  <c r="M5377" i="1" s="1"/>
  <c r="L5505" i="1"/>
  <c r="M5505" i="1" s="1"/>
  <c r="L5513" i="1"/>
  <c r="M5513" i="1" s="1"/>
  <c r="L5641" i="1"/>
  <c r="M5641" i="1" s="1"/>
  <c r="L5649" i="1"/>
  <c r="M5649" i="1" s="1"/>
  <c r="L5777" i="1"/>
  <c r="M5777" i="1" s="1"/>
  <c r="L5785" i="1"/>
  <c r="M5785" i="1" s="1"/>
  <c r="L5370" i="1"/>
  <c r="M5370" i="1" s="1"/>
  <c r="L5378" i="1"/>
  <c r="M5378" i="1" s="1"/>
  <c r="L5506" i="1"/>
  <c r="M5506" i="1" s="1"/>
  <c r="L5514" i="1"/>
  <c r="M5514" i="1" s="1"/>
  <c r="L5642" i="1"/>
  <c r="M5642" i="1" s="1"/>
  <c r="L5650" i="1"/>
  <c r="M5650" i="1" s="1"/>
  <c r="L5778" i="1"/>
  <c r="M5778" i="1" s="1"/>
  <c r="L5786" i="1"/>
  <c r="M5786" i="1" s="1"/>
  <c r="L5914" i="1"/>
  <c r="M5914" i="1" s="1"/>
  <c r="L5922" i="1"/>
  <c r="M5922" i="1" s="1"/>
  <c r="L5913" i="1"/>
  <c r="M5913" i="1" s="1"/>
  <c r="L5924" i="1"/>
  <c r="M5924" i="1" s="1"/>
  <c r="L6045" i="1"/>
  <c r="M6045" i="1" s="1"/>
  <c r="L6053" i="1"/>
  <c r="M6053" i="1" s="1"/>
  <c r="L6181" i="1"/>
  <c r="M6181" i="1" s="1"/>
  <c r="L6189" i="1"/>
  <c r="M6189" i="1" s="1"/>
  <c r="L6317" i="1"/>
  <c r="M6317" i="1" s="1"/>
  <c r="L6325" i="1"/>
  <c r="M6325" i="1" s="1"/>
  <c r="L6453" i="1"/>
  <c r="M6453" i="1" s="1"/>
  <c r="L6461" i="1"/>
  <c r="M6461" i="1" s="1"/>
  <c r="L5915" i="1"/>
  <c r="M5915" i="1" s="1"/>
  <c r="L6046" i="1"/>
  <c r="M6046" i="1" s="1"/>
  <c r="L6054" i="1"/>
  <c r="M6054" i="1" s="1"/>
  <c r="L6182" i="1"/>
  <c r="M6182" i="1" s="1"/>
  <c r="L6190" i="1"/>
  <c r="M6190" i="1" s="1"/>
  <c r="L6318" i="1"/>
  <c r="M6318" i="1" s="1"/>
  <c r="L6326" i="1"/>
  <c r="M6326" i="1" s="1"/>
  <c r="L6454" i="1"/>
  <c r="M6454" i="1" s="1"/>
  <c r="L6462" i="1"/>
  <c r="M6462" i="1" s="1"/>
  <c r="L5916" i="1"/>
  <c r="M5916" i="1" s="1"/>
  <c r="L6047" i="1"/>
  <c r="M6047" i="1" s="1"/>
  <c r="L6055" i="1"/>
  <c r="M6055" i="1" s="1"/>
  <c r="L6183" i="1"/>
  <c r="M6183" i="1" s="1"/>
  <c r="L6191" i="1"/>
  <c r="M6191" i="1" s="1"/>
  <c r="L6319" i="1"/>
  <c r="M6319" i="1" s="1"/>
  <c r="L6327" i="1"/>
  <c r="M6327" i="1" s="1"/>
  <c r="L6455" i="1"/>
  <c r="M6455" i="1" s="1"/>
  <c r="L6463" i="1"/>
  <c r="M6463" i="1" s="1"/>
  <c r="L5917" i="1"/>
  <c r="M5917" i="1" s="1"/>
  <c r="L6048" i="1"/>
  <c r="M6048" i="1" s="1"/>
  <c r="L6056" i="1"/>
  <c r="M6056" i="1" s="1"/>
  <c r="L6184" i="1"/>
  <c r="M6184" i="1" s="1"/>
  <c r="L6192" i="1"/>
  <c r="M6192" i="1" s="1"/>
  <c r="L6320" i="1"/>
  <c r="M6320" i="1" s="1"/>
  <c r="L6328" i="1"/>
  <c r="M6328" i="1" s="1"/>
  <c r="L6456" i="1"/>
  <c r="M6456" i="1" s="1"/>
  <c r="L6464" i="1"/>
  <c r="M6464" i="1" s="1"/>
  <c r="L6592" i="1"/>
  <c r="M6592" i="1" s="1"/>
  <c r="L6600" i="1"/>
  <c r="M6600" i="1" s="1"/>
  <c r="L5919" i="1"/>
  <c r="M5919" i="1" s="1"/>
  <c r="L6049" i="1"/>
  <c r="M6049" i="1" s="1"/>
  <c r="L6057" i="1"/>
  <c r="M6057" i="1" s="1"/>
  <c r="L6185" i="1"/>
  <c r="M6185" i="1" s="1"/>
  <c r="L6193" i="1"/>
  <c r="M6193" i="1" s="1"/>
  <c r="L6321" i="1"/>
  <c r="M6321" i="1" s="1"/>
  <c r="L6329" i="1"/>
  <c r="M6329" i="1" s="1"/>
  <c r="L6457" i="1"/>
  <c r="M6457" i="1" s="1"/>
  <c r="L6465" i="1"/>
  <c r="M6465" i="1" s="1"/>
  <c r="L5909" i="1"/>
  <c r="M5909" i="1" s="1"/>
  <c r="L5920" i="1"/>
  <c r="M5920" i="1" s="1"/>
  <c r="L6050" i="1"/>
  <c r="M6050" i="1" s="1"/>
  <c r="L6058" i="1"/>
  <c r="M6058" i="1" s="1"/>
  <c r="L6186" i="1"/>
  <c r="M6186" i="1" s="1"/>
  <c r="L6194" i="1"/>
  <c r="M6194" i="1" s="1"/>
  <c r="L6322" i="1"/>
  <c r="M6322" i="1" s="1"/>
  <c r="L6330" i="1"/>
  <c r="M6330" i="1" s="1"/>
  <c r="L6458" i="1"/>
  <c r="M6458" i="1" s="1"/>
  <c r="L6466" i="1"/>
  <c r="M6466" i="1" s="1"/>
  <c r="L5911" i="1"/>
  <c r="M5911" i="1" s="1"/>
  <c r="L5921" i="1"/>
  <c r="M5921" i="1" s="1"/>
  <c r="L6051" i="1"/>
  <c r="M6051" i="1" s="1"/>
  <c r="L6059" i="1"/>
  <c r="M6059" i="1" s="1"/>
  <c r="L6187" i="1"/>
  <c r="M6187" i="1" s="1"/>
  <c r="L6195" i="1"/>
  <c r="M6195" i="1" s="1"/>
  <c r="L6323" i="1"/>
  <c r="M6323" i="1" s="1"/>
  <c r="L6331" i="1"/>
  <c r="M6331" i="1" s="1"/>
  <c r="L6459" i="1"/>
  <c r="M6459" i="1" s="1"/>
  <c r="L6467" i="1"/>
  <c r="M6467" i="1" s="1"/>
  <c r="L5912" i="1"/>
  <c r="M5912" i="1" s="1"/>
  <c r="L5923" i="1"/>
  <c r="M5923" i="1" s="1"/>
  <c r="L6052" i="1"/>
  <c r="M6052" i="1" s="1"/>
  <c r="L6060" i="1"/>
  <c r="M6060" i="1" s="1"/>
  <c r="L6188" i="1"/>
  <c r="M6188" i="1" s="1"/>
  <c r="L6196" i="1"/>
  <c r="M6196" i="1" s="1"/>
  <c r="L6324" i="1"/>
  <c r="M6324" i="1" s="1"/>
  <c r="L6332" i="1"/>
  <c r="M6332" i="1" s="1"/>
  <c r="L6460" i="1"/>
  <c r="M6460" i="1" s="1"/>
  <c r="L6468" i="1"/>
  <c r="M6468" i="1" s="1"/>
  <c r="L6596" i="1"/>
  <c r="M6596" i="1" s="1"/>
  <c r="L6604" i="1"/>
  <c r="M6604" i="1" s="1"/>
  <c r="L6590" i="1"/>
  <c r="M6590" i="1" s="1"/>
  <c r="L6601" i="1"/>
  <c r="M6601" i="1" s="1"/>
  <c r="L6729" i="1"/>
  <c r="M6729" i="1" s="1"/>
  <c r="L6737" i="1"/>
  <c r="M6737" i="1" s="1"/>
  <c r="L6865" i="1"/>
  <c r="M6865" i="1" s="1"/>
  <c r="L6873" i="1"/>
  <c r="M6873" i="1" s="1"/>
  <c r="L7001" i="1"/>
  <c r="M7001" i="1" s="1"/>
  <c r="L7009" i="1"/>
  <c r="M7009" i="1" s="1"/>
  <c r="L7137" i="1"/>
  <c r="M7137" i="1" s="1"/>
  <c r="L7145" i="1"/>
  <c r="M7145" i="1" s="1"/>
  <c r="L6591" i="1"/>
  <c r="M6591" i="1" s="1"/>
  <c r="L6602" i="1"/>
  <c r="M6602" i="1" s="1"/>
  <c r="L6730" i="1"/>
  <c r="M6730" i="1" s="1"/>
  <c r="L6738" i="1"/>
  <c r="M6738" i="1" s="1"/>
  <c r="L6866" i="1"/>
  <c r="M6866" i="1" s="1"/>
  <c r="L6874" i="1"/>
  <c r="M6874" i="1" s="1"/>
  <c r="L7002" i="1"/>
  <c r="M7002" i="1" s="1"/>
  <c r="L7010" i="1"/>
  <c r="M7010" i="1" s="1"/>
  <c r="L6593" i="1"/>
  <c r="M6593" i="1" s="1"/>
  <c r="L6603" i="1"/>
  <c r="M6603" i="1" s="1"/>
  <c r="L6731" i="1"/>
  <c r="M6731" i="1" s="1"/>
  <c r="L6739" i="1"/>
  <c r="M6739" i="1" s="1"/>
  <c r="L6594" i="1"/>
  <c r="M6594" i="1" s="1"/>
  <c r="L6732" i="1"/>
  <c r="M6732" i="1" s="1"/>
  <c r="L6740" i="1"/>
  <c r="M6740" i="1" s="1"/>
  <c r="L6868" i="1"/>
  <c r="M6868" i="1" s="1"/>
  <c r="L6876" i="1"/>
  <c r="M6876" i="1" s="1"/>
  <c r="L7004" i="1"/>
  <c r="M7004" i="1" s="1"/>
  <c r="L7012" i="1"/>
  <c r="M7012" i="1" s="1"/>
  <c r="L7140" i="1"/>
  <c r="M7140" i="1" s="1"/>
  <c r="L7148" i="1"/>
  <c r="M7148" i="1" s="1"/>
  <c r="L7276" i="1"/>
  <c r="M7276" i="1" s="1"/>
  <c r="L7284" i="1"/>
  <c r="M7284" i="1" s="1"/>
  <c r="L6595" i="1"/>
  <c r="M6595" i="1" s="1"/>
  <c r="L6725" i="1"/>
  <c r="M6725" i="1" s="1"/>
  <c r="L6733" i="1"/>
  <c r="M6733" i="1" s="1"/>
  <c r="L6861" i="1"/>
  <c r="M6861" i="1" s="1"/>
  <c r="L6869" i="1"/>
  <c r="M6869" i="1" s="1"/>
  <c r="L6997" i="1"/>
  <c r="M6997" i="1" s="1"/>
  <c r="L7005" i="1"/>
  <c r="M7005" i="1" s="1"/>
  <c r="L7133" i="1"/>
  <c r="M7133" i="1" s="1"/>
  <c r="L7141" i="1"/>
  <c r="M7141" i="1" s="1"/>
  <c r="L6597" i="1"/>
  <c r="M6597" i="1" s="1"/>
  <c r="L6726" i="1"/>
  <c r="M6726" i="1" s="1"/>
  <c r="L6734" i="1"/>
  <c r="M6734" i="1" s="1"/>
  <c r="L6862" i="1"/>
  <c r="M6862" i="1" s="1"/>
  <c r="L6870" i="1"/>
  <c r="M6870" i="1" s="1"/>
  <c r="L6998" i="1"/>
  <c r="M6998" i="1" s="1"/>
  <c r="L7006" i="1"/>
  <c r="M7006" i="1" s="1"/>
  <c r="L7134" i="1"/>
  <c r="M7134" i="1" s="1"/>
  <c r="L7142" i="1"/>
  <c r="M7142" i="1" s="1"/>
  <c r="L6598" i="1"/>
  <c r="M6598" i="1" s="1"/>
  <c r="L6727" i="1"/>
  <c r="M6727" i="1" s="1"/>
  <c r="L6735" i="1"/>
  <c r="M6735" i="1" s="1"/>
  <c r="L6863" i="1"/>
  <c r="M6863" i="1" s="1"/>
  <c r="L6871" i="1"/>
  <c r="M6871" i="1" s="1"/>
  <c r="L6999" i="1"/>
  <c r="M6999" i="1" s="1"/>
  <c r="L7007" i="1"/>
  <c r="M7007" i="1" s="1"/>
  <c r="L6589" i="1"/>
  <c r="M6589" i="1" s="1"/>
  <c r="L6599" i="1"/>
  <c r="M6599" i="1" s="1"/>
  <c r="L6728" i="1"/>
  <c r="M6728" i="1" s="1"/>
  <c r="L6736" i="1"/>
  <c r="M6736" i="1" s="1"/>
  <c r="L6864" i="1"/>
  <c r="M6864" i="1" s="1"/>
  <c r="L6872" i="1"/>
  <c r="M6872" i="1" s="1"/>
  <c r="L7000" i="1"/>
  <c r="M7000" i="1" s="1"/>
  <c r="L7008" i="1"/>
  <c r="M7008" i="1" s="1"/>
  <c r="L7136" i="1"/>
  <c r="M7136" i="1" s="1"/>
  <c r="L7144" i="1"/>
  <c r="M7144" i="1" s="1"/>
  <c r="L7272" i="1"/>
  <c r="M7272" i="1" s="1"/>
  <c r="L7280" i="1"/>
  <c r="M7280" i="1" s="1"/>
  <c r="L7147" i="1"/>
  <c r="M7147" i="1" s="1"/>
  <c r="L7277" i="1"/>
  <c r="M7277" i="1" s="1"/>
  <c r="L7412" i="1"/>
  <c r="M7412" i="1" s="1"/>
  <c r="L7420" i="1"/>
  <c r="M7420" i="1" s="1"/>
  <c r="L7548" i="1"/>
  <c r="M7548" i="1" s="1"/>
  <c r="L7556" i="1"/>
  <c r="M7556" i="1" s="1"/>
  <c r="L7684" i="1"/>
  <c r="M7684" i="1" s="1"/>
  <c r="L7692" i="1"/>
  <c r="M7692" i="1" s="1"/>
  <c r="L7796" i="1"/>
  <c r="M7796" i="1" s="1"/>
  <c r="L7804" i="1"/>
  <c r="M7804" i="1" s="1"/>
  <c r="L7278" i="1"/>
  <c r="M7278" i="1" s="1"/>
  <c r="L7405" i="1"/>
  <c r="M7405" i="1" s="1"/>
  <c r="L7413" i="1"/>
  <c r="M7413" i="1" s="1"/>
  <c r="L7541" i="1"/>
  <c r="M7541" i="1" s="1"/>
  <c r="L7549" i="1"/>
  <c r="M7549" i="1" s="1"/>
  <c r="L7677" i="1"/>
  <c r="M7677" i="1" s="1"/>
  <c r="L7685" i="1"/>
  <c r="M7685" i="1" s="1"/>
  <c r="L7797" i="1"/>
  <c r="M7797" i="1" s="1"/>
  <c r="L7805" i="1"/>
  <c r="M7805" i="1" s="1"/>
  <c r="L7269" i="1"/>
  <c r="M7269" i="1" s="1"/>
  <c r="L7279" i="1"/>
  <c r="M7279" i="1" s="1"/>
  <c r="L7406" i="1"/>
  <c r="M7406" i="1" s="1"/>
  <c r="L7414" i="1"/>
  <c r="M7414" i="1" s="1"/>
  <c r="L7542" i="1"/>
  <c r="M7542" i="1" s="1"/>
  <c r="L7550" i="1"/>
  <c r="M7550" i="1" s="1"/>
  <c r="L7678" i="1"/>
  <c r="M7678" i="1" s="1"/>
  <c r="L7686" i="1"/>
  <c r="M7686" i="1" s="1"/>
  <c r="L7798" i="1"/>
  <c r="M7798" i="1" s="1"/>
  <c r="L7806" i="1"/>
  <c r="M7806" i="1" s="1"/>
  <c r="L7135" i="1"/>
  <c r="M7135" i="1" s="1"/>
  <c r="L7270" i="1"/>
  <c r="M7270" i="1" s="1"/>
  <c r="L7281" i="1"/>
  <c r="M7281" i="1" s="1"/>
  <c r="L7407" i="1"/>
  <c r="M7407" i="1" s="1"/>
  <c r="L7415" i="1"/>
  <c r="M7415" i="1" s="1"/>
  <c r="L7543" i="1"/>
  <c r="M7543" i="1" s="1"/>
  <c r="L7551" i="1"/>
  <c r="M7551" i="1" s="1"/>
  <c r="L7679" i="1"/>
  <c r="M7679" i="1" s="1"/>
  <c r="L7687" i="1"/>
  <c r="M7687" i="1" s="1"/>
  <c r="L7799" i="1"/>
  <c r="M7799" i="1" s="1"/>
  <c r="L7807" i="1"/>
  <c r="M7807" i="1" s="1"/>
  <c r="L7951" i="1"/>
  <c r="M7951" i="1" s="1"/>
  <c r="L7959" i="1"/>
  <c r="M7959" i="1" s="1"/>
  <c r="L7138" i="1"/>
  <c r="M7138" i="1" s="1"/>
  <c r="L7271" i="1"/>
  <c r="M7271" i="1" s="1"/>
  <c r="L7282" i="1"/>
  <c r="M7282" i="1" s="1"/>
  <c r="L7408" i="1"/>
  <c r="M7408" i="1" s="1"/>
  <c r="L7416" i="1"/>
  <c r="M7416" i="1" s="1"/>
  <c r="L7544" i="1"/>
  <c r="M7544" i="1" s="1"/>
  <c r="L7552" i="1"/>
  <c r="M7552" i="1" s="1"/>
  <c r="L7680" i="1"/>
  <c r="M7680" i="1" s="1"/>
  <c r="L7688" i="1"/>
  <c r="M7688" i="1" s="1"/>
  <c r="L7800" i="1"/>
  <c r="M7800" i="1" s="1"/>
  <c r="L7808" i="1"/>
  <c r="M7808" i="1" s="1"/>
  <c r="L7139" i="1"/>
  <c r="M7139" i="1" s="1"/>
  <c r="L7273" i="1"/>
  <c r="M7273" i="1" s="1"/>
  <c r="L7283" i="1"/>
  <c r="M7283" i="1" s="1"/>
  <c r="L7409" i="1"/>
  <c r="M7409" i="1" s="1"/>
  <c r="L7417" i="1"/>
  <c r="M7417" i="1" s="1"/>
  <c r="L7545" i="1"/>
  <c r="M7545" i="1" s="1"/>
  <c r="L7553" i="1"/>
  <c r="M7553" i="1" s="1"/>
  <c r="L7681" i="1"/>
  <c r="M7681" i="1" s="1"/>
  <c r="L7689" i="1"/>
  <c r="M7689" i="1" s="1"/>
  <c r="L7801" i="1"/>
  <c r="M7801" i="1" s="1"/>
  <c r="L7809" i="1"/>
  <c r="M7809" i="1" s="1"/>
  <c r="L6867" i="1"/>
  <c r="M6867" i="1" s="1"/>
  <c r="L7003" i="1"/>
  <c r="M7003" i="1" s="1"/>
  <c r="L7143" i="1"/>
  <c r="M7143" i="1" s="1"/>
  <c r="L7274" i="1"/>
  <c r="M7274" i="1" s="1"/>
  <c r="L7410" i="1"/>
  <c r="M7410" i="1" s="1"/>
  <c r="L7418" i="1"/>
  <c r="M7418" i="1" s="1"/>
  <c r="L7546" i="1"/>
  <c r="M7546" i="1" s="1"/>
  <c r="L7554" i="1"/>
  <c r="M7554" i="1" s="1"/>
  <c r="L7682" i="1"/>
  <c r="M7682" i="1" s="1"/>
  <c r="L7690" i="1"/>
  <c r="M7690" i="1" s="1"/>
  <c r="L7802" i="1"/>
  <c r="M7802" i="1" s="1"/>
  <c r="L7810" i="1"/>
  <c r="M7810" i="1" s="1"/>
  <c r="L6875" i="1"/>
  <c r="M6875" i="1" s="1"/>
  <c r="L7011" i="1"/>
  <c r="M7011" i="1" s="1"/>
  <c r="L7146" i="1"/>
  <c r="M7146" i="1" s="1"/>
  <c r="L7275" i="1"/>
  <c r="M7275" i="1" s="1"/>
  <c r="L7411" i="1"/>
  <c r="M7411" i="1" s="1"/>
  <c r="L7419" i="1"/>
  <c r="M7419" i="1" s="1"/>
  <c r="L7547" i="1"/>
  <c r="M7547" i="1" s="1"/>
  <c r="L7555" i="1"/>
  <c r="M7555" i="1" s="1"/>
  <c r="L7683" i="1"/>
  <c r="M7683" i="1" s="1"/>
  <c r="L7691" i="1"/>
  <c r="M7691" i="1" s="1"/>
  <c r="L7803" i="1"/>
  <c r="M7803" i="1" s="1"/>
  <c r="L7811" i="1"/>
  <c r="M7811" i="1" s="1"/>
  <c r="L7955" i="1"/>
  <c r="M7955" i="1" s="1"/>
  <c r="L7963" i="1"/>
  <c r="M7963" i="1" s="1"/>
  <c r="L7949" i="1"/>
  <c r="M7949" i="1" s="1"/>
  <c r="L7960" i="1"/>
  <c r="M7960" i="1" s="1"/>
  <c r="L8089" i="1"/>
  <c r="M8089" i="1" s="1"/>
  <c r="L8097" i="1"/>
  <c r="M8097" i="1" s="1"/>
  <c r="L8225" i="1"/>
  <c r="M8225" i="1" s="1"/>
  <c r="L8233" i="1"/>
  <c r="M8233" i="1" s="1"/>
  <c r="L8361" i="1"/>
  <c r="M8361" i="1" s="1"/>
  <c r="L8369" i="1"/>
  <c r="M8369" i="1" s="1"/>
  <c r="L8497" i="1"/>
  <c r="M8497" i="1" s="1"/>
  <c r="L8505" i="1"/>
  <c r="M8505" i="1" s="1"/>
  <c r="L8633" i="1"/>
  <c r="M8633" i="1" s="1"/>
  <c r="L8641" i="1"/>
  <c r="M8641" i="1" s="1"/>
  <c r="L7950" i="1"/>
  <c r="M7950" i="1" s="1"/>
  <c r="L7961" i="1"/>
  <c r="M7961" i="1" s="1"/>
  <c r="L8090" i="1"/>
  <c r="M8090" i="1" s="1"/>
  <c r="L8098" i="1"/>
  <c r="M8098" i="1" s="1"/>
  <c r="L8226" i="1"/>
  <c r="M8226" i="1" s="1"/>
  <c r="L8234" i="1"/>
  <c r="M8234" i="1" s="1"/>
  <c r="L8362" i="1"/>
  <c r="M8362" i="1" s="1"/>
  <c r="L8370" i="1"/>
  <c r="M8370" i="1" s="1"/>
  <c r="L8498" i="1"/>
  <c r="M8498" i="1" s="1"/>
  <c r="L8506" i="1"/>
  <c r="M8506" i="1" s="1"/>
  <c r="L7952" i="1"/>
  <c r="M7952" i="1" s="1"/>
  <c r="L7962" i="1"/>
  <c r="M7962" i="1" s="1"/>
  <c r="L8091" i="1"/>
  <c r="M8091" i="1" s="1"/>
  <c r="L8099" i="1"/>
  <c r="M8099" i="1" s="1"/>
  <c r="L8227" i="1"/>
  <c r="M8227" i="1" s="1"/>
  <c r="L8235" i="1"/>
  <c r="M8235" i="1" s="1"/>
  <c r="L8363" i="1"/>
  <c r="M8363" i="1" s="1"/>
  <c r="L8371" i="1"/>
  <c r="M8371" i="1" s="1"/>
  <c r="L8499" i="1"/>
  <c r="M8499" i="1" s="1"/>
  <c r="L8507" i="1"/>
  <c r="M8507" i="1" s="1"/>
  <c r="L7953" i="1"/>
  <c r="M7953" i="1" s="1"/>
  <c r="L7964" i="1"/>
  <c r="M7964" i="1" s="1"/>
  <c r="L8092" i="1"/>
  <c r="M8092" i="1" s="1"/>
  <c r="L8100" i="1"/>
  <c r="M8100" i="1" s="1"/>
  <c r="L8228" i="1"/>
  <c r="M8228" i="1" s="1"/>
  <c r="L8236" i="1"/>
  <c r="M8236" i="1" s="1"/>
  <c r="L8364" i="1"/>
  <c r="M8364" i="1" s="1"/>
  <c r="L8372" i="1"/>
  <c r="M8372" i="1" s="1"/>
  <c r="L8500" i="1"/>
  <c r="M8500" i="1" s="1"/>
  <c r="L8508" i="1"/>
  <c r="M8508" i="1" s="1"/>
  <c r="L8636" i="1"/>
  <c r="M8636" i="1" s="1"/>
  <c r="L8644" i="1"/>
  <c r="M8644" i="1" s="1"/>
  <c r="L7954" i="1"/>
  <c r="M7954" i="1" s="1"/>
  <c r="L8085" i="1"/>
  <c r="M8085" i="1" s="1"/>
  <c r="L8093" i="1"/>
  <c r="M8093" i="1" s="1"/>
  <c r="L8221" i="1"/>
  <c r="M8221" i="1" s="1"/>
  <c r="L8229" i="1"/>
  <c r="M8229" i="1" s="1"/>
  <c r="L8357" i="1"/>
  <c r="M8357" i="1" s="1"/>
  <c r="L8365" i="1"/>
  <c r="M8365" i="1" s="1"/>
  <c r="L8493" i="1"/>
  <c r="M8493" i="1" s="1"/>
  <c r="L8501" i="1"/>
  <c r="M8501" i="1" s="1"/>
  <c r="L8629" i="1"/>
  <c r="M8629" i="1" s="1"/>
  <c r="L8637" i="1"/>
  <c r="M8637" i="1" s="1"/>
  <c r="L7956" i="1"/>
  <c r="M7956" i="1" s="1"/>
  <c r="L8086" i="1"/>
  <c r="M8086" i="1" s="1"/>
  <c r="L8094" i="1"/>
  <c r="M8094" i="1" s="1"/>
  <c r="L8222" i="1"/>
  <c r="M8222" i="1" s="1"/>
  <c r="L8230" i="1"/>
  <c r="M8230" i="1" s="1"/>
  <c r="L8358" i="1"/>
  <c r="M8358" i="1" s="1"/>
  <c r="L8366" i="1"/>
  <c r="M8366" i="1" s="1"/>
  <c r="L8494" i="1"/>
  <c r="M8494" i="1" s="1"/>
  <c r="L8502" i="1"/>
  <c r="M8502" i="1" s="1"/>
  <c r="L7957" i="1"/>
  <c r="M7957" i="1" s="1"/>
  <c r="L8087" i="1"/>
  <c r="M8087" i="1" s="1"/>
  <c r="L8095" i="1"/>
  <c r="M8095" i="1" s="1"/>
  <c r="L8223" i="1"/>
  <c r="M8223" i="1" s="1"/>
  <c r="L8231" i="1"/>
  <c r="M8231" i="1" s="1"/>
  <c r="L8359" i="1"/>
  <c r="M8359" i="1" s="1"/>
  <c r="L8367" i="1"/>
  <c r="M8367" i="1" s="1"/>
  <c r="L8495" i="1"/>
  <c r="M8495" i="1" s="1"/>
  <c r="L8503" i="1"/>
  <c r="M8503" i="1" s="1"/>
  <c r="L7958" i="1"/>
  <c r="M7958" i="1" s="1"/>
  <c r="L8088" i="1"/>
  <c r="M8088" i="1" s="1"/>
  <c r="L8096" i="1"/>
  <c r="M8096" i="1" s="1"/>
  <c r="L8224" i="1"/>
  <c r="M8224" i="1" s="1"/>
  <c r="L8232" i="1"/>
  <c r="M8232" i="1" s="1"/>
  <c r="L8360" i="1"/>
  <c r="M8360" i="1" s="1"/>
  <c r="L8368" i="1"/>
  <c r="M8368" i="1" s="1"/>
  <c r="L8496" i="1"/>
  <c r="M8496" i="1" s="1"/>
  <c r="L8504" i="1"/>
  <c r="M8504" i="1" s="1"/>
  <c r="L8632" i="1"/>
  <c r="M8632" i="1" s="1"/>
  <c r="L8640" i="1"/>
  <c r="M8640" i="1" s="1"/>
  <c r="L8639" i="1"/>
  <c r="M8639" i="1" s="1"/>
  <c r="L8767" i="1"/>
  <c r="M8767" i="1" s="1"/>
  <c r="L8775" i="1"/>
  <c r="M8775" i="1" s="1"/>
  <c r="L8903" i="1"/>
  <c r="M8903" i="1" s="1"/>
  <c r="L8911" i="1"/>
  <c r="M8911" i="1" s="1"/>
  <c r="L9039" i="1"/>
  <c r="M9039" i="1" s="1"/>
  <c r="L9047" i="1"/>
  <c r="M9047" i="1" s="1"/>
  <c r="L9175" i="1"/>
  <c r="M9175" i="1" s="1"/>
  <c r="L9183" i="1"/>
  <c r="M9183" i="1" s="1"/>
  <c r="L8642" i="1"/>
  <c r="M8642" i="1" s="1"/>
  <c r="L8768" i="1"/>
  <c r="M8768" i="1" s="1"/>
  <c r="L8776" i="1"/>
  <c r="M8776" i="1" s="1"/>
  <c r="L8904" i="1"/>
  <c r="M8904" i="1" s="1"/>
  <c r="L8912" i="1"/>
  <c r="M8912" i="1" s="1"/>
  <c r="L9040" i="1"/>
  <c r="M9040" i="1" s="1"/>
  <c r="L9048" i="1"/>
  <c r="M9048" i="1" s="1"/>
  <c r="L9176" i="1"/>
  <c r="M9176" i="1" s="1"/>
  <c r="L9184" i="1"/>
  <c r="M9184" i="1" s="1"/>
  <c r="L8643" i="1"/>
  <c r="M8643" i="1" s="1"/>
  <c r="L8769" i="1"/>
  <c r="M8769" i="1" s="1"/>
  <c r="L8777" i="1"/>
  <c r="M8777" i="1" s="1"/>
  <c r="L8905" i="1"/>
  <c r="M8905" i="1" s="1"/>
  <c r="L8913" i="1"/>
  <c r="M8913" i="1" s="1"/>
  <c r="L9041" i="1"/>
  <c r="M9041" i="1" s="1"/>
  <c r="L9049" i="1"/>
  <c r="M9049" i="1" s="1"/>
  <c r="L9177" i="1"/>
  <c r="M9177" i="1" s="1"/>
  <c r="L9185" i="1"/>
  <c r="M9185" i="1" s="1"/>
  <c r="L8630" i="1"/>
  <c r="M8630" i="1" s="1"/>
  <c r="L8770" i="1"/>
  <c r="M8770" i="1" s="1"/>
  <c r="L8778" i="1"/>
  <c r="M8778" i="1" s="1"/>
  <c r="L8906" i="1"/>
  <c r="M8906" i="1" s="1"/>
  <c r="L8914" i="1"/>
  <c r="M8914" i="1" s="1"/>
  <c r="L9042" i="1"/>
  <c r="M9042" i="1" s="1"/>
  <c r="L9050" i="1"/>
  <c r="M9050" i="1" s="1"/>
  <c r="L9178" i="1"/>
  <c r="M9178" i="1" s="1"/>
  <c r="L9186" i="1"/>
  <c r="M9186" i="1" s="1"/>
  <c r="L9314" i="1"/>
  <c r="M9314" i="1" s="1"/>
  <c r="L9322" i="1"/>
  <c r="M9322" i="1" s="1"/>
  <c r="L8631" i="1"/>
  <c r="M8631" i="1" s="1"/>
  <c r="L8771" i="1"/>
  <c r="M8771" i="1" s="1"/>
  <c r="L8779" i="1"/>
  <c r="M8779" i="1" s="1"/>
  <c r="L8907" i="1"/>
  <c r="M8907" i="1" s="1"/>
  <c r="L8915" i="1"/>
  <c r="M8915" i="1" s="1"/>
  <c r="L9043" i="1"/>
  <c r="M9043" i="1" s="1"/>
  <c r="L9051" i="1"/>
  <c r="M9051" i="1" s="1"/>
  <c r="L9179" i="1"/>
  <c r="M9179" i="1" s="1"/>
  <c r="L9187" i="1"/>
  <c r="M9187" i="1" s="1"/>
  <c r="L8634" i="1"/>
  <c r="M8634" i="1" s="1"/>
  <c r="L8772" i="1"/>
  <c r="M8772" i="1" s="1"/>
  <c r="L8780" i="1"/>
  <c r="M8780" i="1" s="1"/>
  <c r="L8908" i="1"/>
  <c r="M8908" i="1" s="1"/>
  <c r="L8916" i="1"/>
  <c r="M8916" i="1" s="1"/>
  <c r="L9044" i="1"/>
  <c r="M9044" i="1" s="1"/>
  <c r="L9052" i="1"/>
  <c r="M9052" i="1" s="1"/>
  <c r="L9180" i="1"/>
  <c r="M9180" i="1" s="1"/>
  <c r="L9188" i="1"/>
  <c r="M9188" i="1" s="1"/>
  <c r="L8635" i="1"/>
  <c r="M8635" i="1" s="1"/>
  <c r="L8765" i="1"/>
  <c r="M8765" i="1" s="1"/>
  <c r="L8773" i="1"/>
  <c r="M8773" i="1" s="1"/>
  <c r="L8901" i="1"/>
  <c r="M8901" i="1" s="1"/>
  <c r="L8909" i="1"/>
  <c r="M8909" i="1" s="1"/>
  <c r="L9037" i="1"/>
  <c r="M9037" i="1" s="1"/>
  <c r="L9045" i="1"/>
  <c r="M9045" i="1" s="1"/>
  <c r="L9173" i="1"/>
  <c r="M9173" i="1" s="1"/>
  <c r="L9181" i="1"/>
  <c r="M9181" i="1" s="1"/>
  <c r="L8638" i="1"/>
  <c r="M8638" i="1" s="1"/>
  <c r="L8766" i="1"/>
  <c r="M8766" i="1" s="1"/>
  <c r="L8774" i="1"/>
  <c r="M8774" i="1" s="1"/>
  <c r="L8902" i="1"/>
  <c r="M8902" i="1" s="1"/>
  <c r="L8910" i="1"/>
  <c r="M8910" i="1" s="1"/>
  <c r="L9038" i="1"/>
  <c r="M9038" i="1" s="1"/>
  <c r="L9046" i="1"/>
  <c r="M9046" i="1" s="1"/>
  <c r="L9174" i="1"/>
  <c r="M9174" i="1" s="1"/>
  <c r="L9182" i="1"/>
  <c r="M9182" i="1" s="1"/>
  <c r="L9310" i="1"/>
  <c r="M9310" i="1" s="1"/>
  <c r="L9318" i="1"/>
  <c r="M9318" i="1" s="1"/>
  <c r="L9446" i="1"/>
  <c r="M9446" i="1" s="1"/>
  <c r="L9312" i="1"/>
  <c r="M9312" i="1" s="1"/>
  <c r="L9323" i="1"/>
  <c r="M9323" i="1" s="1"/>
  <c r="L9448" i="1"/>
  <c r="M9448" i="1" s="1"/>
  <c r="L9456" i="1"/>
  <c r="M9456" i="1" s="1"/>
  <c r="L9584" i="1"/>
  <c r="M9584" i="1" s="1"/>
  <c r="L9592" i="1"/>
  <c r="M9592" i="1" s="1"/>
  <c r="L9720" i="1"/>
  <c r="M9720" i="1" s="1"/>
  <c r="L9728" i="1"/>
  <c r="M9728" i="1" s="1"/>
  <c r="L9856" i="1"/>
  <c r="M9856" i="1" s="1"/>
  <c r="L9864" i="1"/>
  <c r="M9864" i="1" s="1"/>
  <c r="L9992" i="1"/>
  <c r="M9992" i="1" s="1"/>
  <c r="L10000" i="1"/>
  <c r="M10000" i="1" s="1"/>
  <c r="L9313" i="1"/>
  <c r="M9313" i="1" s="1"/>
  <c r="L9324" i="1"/>
  <c r="M9324" i="1" s="1"/>
  <c r="L9449" i="1"/>
  <c r="M9449" i="1" s="1"/>
  <c r="L9457" i="1"/>
  <c r="M9457" i="1" s="1"/>
  <c r="L9585" i="1"/>
  <c r="M9585" i="1" s="1"/>
  <c r="L9593" i="1"/>
  <c r="M9593" i="1" s="1"/>
  <c r="L9721" i="1"/>
  <c r="M9721" i="1" s="1"/>
  <c r="L9729" i="1"/>
  <c r="M9729" i="1" s="1"/>
  <c r="L9857" i="1"/>
  <c r="M9857" i="1" s="1"/>
  <c r="L9865" i="1"/>
  <c r="M9865" i="1" s="1"/>
  <c r="L9993" i="1"/>
  <c r="M9993" i="1" s="1"/>
  <c r="L10001" i="1"/>
  <c r="M10001" i="1" s="1"/>
  <c r="L9315" i="1"/>
  <c r="M9315" i="1" s="1"/>
  <c r="L9450" i="1"/>
  <c r="M9450" i="1" s="1"/>
  <c r="L9458" i="1"/>
  <c r="M9458" i="1" s="1"/>
  <c r="L9586" i="1"/>
  <c r="M9586" i="1" s="1"/>
  <c r="L9594" i="1"/>
  <c r="M9594" i="1" s="1"/>
  <c r="L9722" i="1"/>
  <c r="M9722" i="1" s="1"/>
  <c r="L9730" i="1"/>
  <c r="M9730" i="1" s="1"/>
  <c r="L9858" i="1"/>
  <c r="M9858" i="1" s="1"/>
  <c r="L9866" i="1"/>
  <c r="M9866" i="1" s="1"/>
  <c r="L9994" i="1"/>
  <c r="M9994" i="1" s="1"/>
  <c r="L10002" i="1"/>
  <c r="M10002" i="1" s="1"/>
  <c r="L9316" i="1"/>
  <c r="M9316" i="1" s="1"/>
  <c r="L9451" i="1"/>
  <c r="M9451" i="1" s="1"/>
  <c r="L9459" i="1"/>
  <c r="M9459" i="1" s="1"/>
  <c r="L9587" i="1"/>
  <c r="M9587" i="1" s="1"/>
  <c r="L9595" i="1"/>
  <c r="M9595" i="1" s="1"/>
  <c r="L9723" i="1"/>
  <c r="M9723" i="1" s="1"/>
  <c r="L9731" i="1"/>
  <c r="M9731" i="1" s="1"/>
  <c r="L9859" i="1"/>
  <c r="M9859" i="1" s="1"/>
  <c r="L9867" i="1"/>
  <c r="M9867" i="1" s="1"/>
  <c r="L9995" i="1"/>
  <c r="M9995" i="1" s="1"/>
  <c r="L10003" i="1"/>
  <c r="M10003" i="1" s="1"/>
  <c r="L10131" i="1"/>
  <c r="M10131" i="1" s="1"/>
  <c r="L10139" i="1"/>
  <c r="M10139" i="1" s="1"/>
  <c r="L9317" i="1"/>
  <c r="M9317" i="1" s="1"/>
  <c r="L9452" i="1"/>
  <c r="M9452" i="1" s="1"/>
  <c r="L9460" i="1"/>
  <c r="M9460" i="1" s="1"/>
  <c r="L9588" i="1"/>
  <c r="M9588" i="1" s="1"/>
  <c r="L9596" i="1"/>
  <c r="M9596" i="1" s="1"/>
  <c r="L9724" i="1"/>
  <c r="M9724" i="1" s="1"/>
  <c r="L9732" i="1"/>
  <c r="M9732" i="1" s="1"/>
  <c r="L9860" i="1"/>
  <c r="M9860" i="1" s="1"/>
  <c r="L9868" i="1"/>
  <c r="M9868" i="1" s="1"/>
  <c r="L9996" i="1"/>
  <c r="M9996" i="1" s="1"/>
  <c r="L10004" i="1"/>
  <c r="M10004" i="1" s="1"/>
  <c r="L9319" i="1"/>
  <c r="M9319" i="1" s="1"/>
  <c r="L9453" i="1"/>
  <c r="M9453" i="1" s="1"/>
  <c r="L9581" i="1"/>
  <c r="M9581" i="1" s="1"/>
  <c r="L9589" i="1"/>
  <c r="M9589" i="1" s="1"/>
  <c r="L9717" i="1"/>
  <c r="M9717" i="1" s="1"/>
  <c r="L9725" i="1"/>
  <c r="M9725" i="1" s="1"/>
  <c r="L9853" i="1"/>
  <c r="M9853" i="1" s="1"/>
  <c r="L9861" i="1"/>
  <c r="M9861" i="1" s="1"/>
  <c r="L9989" i="1"/>
  <c r="M9989" i="1" s="1"/>
  <c r="L9997" i="1"/>
  <c r="M9997" i="1" s="1"/>
  <c r="L9309" i="1"/>
  <c r="M9309" i="1" s="1"/>
  <c r="L9320" i="1"/>
  <c r="M9320" i="1" s="1"/>
  <c r="L9445" i="1"/>
  <c r="M9445" i="1" s="1"/>
  <c r="L9454" i="1"/>
  <c r="M9454" i="1" s="1"/>
  <c r="L9582" i="1"/>
  <c r="M9582" i="1" s="1"/>
  <c r="L9590" i="1"/>
  <c r="M9590" i="1" s="1"/>
  <c r="L9718" i="1"/>
  <c r="M9718" i="1" s="1"/>
  <c r="L9726" i="1"/>
  <c r="M9726" i="1" s="1"/>
  <c r="L9854" i="1"/>
  <c r="M9854" i="1" s="1"/>
  <c r="L9862" i="1"/>
  <c r="M9862" i="1" s="1"/>
  <c r="L9990" i="1"/>
  <c r="M9990" i="1" s="1"/>
  <c r="L9998" i="1"/>
  <c r="M9998" i="1" s="1"/>
  <c r="L9311" i="1"/>
  <c r="M9311" i="1" s="1"/>
  <c r="L9321" i="1"/>
  <c r="M9321" i="1" s="1"/>
  <c r="L9447" i="1"/>
  <c r="M9447" i="1" s="1"/>
  <c r="L9455" i="1"/>
  <c r="M9455" i="1" s="1"/>
  <c r="L9583" i="1"/>
  <c r="M9583" i="1" s="1"/>
  <c r="L9591" i="1"/>
  <c r="M9591" i="1" s="1"/>
  <c r="L9719" i="1"/>
  <c r="M9719" i="1" s="1"/>
  <c r="L9727" i="1"/>
  <c r="M9727" i="1" s="1"/>
  <c r="L9855" i="1"/>
  <c r="M9855" i="1" s="1"/>
  <c r="L9863" i="1"/>
  <c r="M9863" i="1" s="1"/>
  <c r="L9991" i="1"/>
  <c r="M9991" i="1" s="1"/>
  <c r="L9999" i="1"/>
  <c r="M9999" i="1" s="1"/>
  <c r="L10127" i="1"/>
  <c r="M10127" i="1" s="1"/>
  <c r="L10135" i="1"/>
  <c r="M10135" i="1" s="1"/>
  <c r="L10128" i="1"/>
  <c r="M10128" i="1" s="1"/>
  <c r="L10138" i="1"/>
  <c r="M10138" i="1" s="1"/>
  <c r="L10265" i="1"/>
  <c r="M10265" i="1" s="1"/>
  <c r="L10273" i="1"/>
  <c r="M10273" i="1" s="1"/>
  <c r="L10401" i="1"/>
  <c r="M10401" i="1" s="1"/>
  <c r="L10409" i="1"/>
  <c r="M10409" i="1" s="1"/>
  <c r="L10533" i="1"/>
  <c r="M10533" i="1" s="1"/>
  <c r="L10541" i="1"/>
  <c r="M10541" i="1" s="1"/>
  <c r="L10669" i="1"/>
  <c r="M10669" i="1" s="1"/>
  <c r="L10677" i="1"/>
  <c r="M10677" i="1" s="1"/>
  <c r="L10805" i="1"/>
  <c r="M10805" i="1" s="1"/>
  <c r="L10813" i="1"/>
  <c r="M10813" i="1" s="1"/>
  <c r="L10941" i="1"/>
  <c r="M10941" i="1" s="1"/>
  <c r="L10949" i="1"/>
  <c r="M10949" i="1" s="1"/>
  <c r="L11077" i="1"/>
  <c r="M11077" i="1" s="1"/>
  <c r="L11085" i="1"/>
  <c r="M11085" i="1" s="1"/>
  <c r="L11213" i="1"/>
  <c r="M11213" i="1" s="1"/>
  <c r="L11221" i="1"/>
  <c r="M11221" i="1" s="1"/>
  <c r="L11349" i="1"/>
  <c r="M11349" i="1" s="1"/>
  <c r="L11357" i="1"/>
  <c r="M11357" i="1" s="1"/>
  <c r="L11485" i="1"/>
  <c r="M11485" i="1" s="1"/>
  <c r="L11493" i="1"/>
  <c r="M11493" i="1" s="1"/>
  <c r="L10129" i="1"/>
  <c r="M10129" i="1" s="1"/>
  <c r="L10140" i="1"/>
  <c r="M10140" i="1" s="1"/>
  <c r="L10266" i="1"/>
  <c r="M10266" i="1" s="1"/>
  <c r="L10274" i="1"/>
  <c r="M10274" i="1" s="1"/>
  <c r="L10402" i="1"/>
  <c r="M10402" i="1" s="1"/>
  <c r="L10410" i="1"/>
  <c r="M10410" i="1" s="1"/>
  <c r="L10534" i="1"/>
  <c r="M10534" i="1" s="1"/>
  <c r="L10542" i="1"/>
  <c r="M10542" i="1" s="1"/>
  <c r="L10670" i="1"/>
  <c r="M10670" i="1" s="1"/>
  <c r="L10678" i="1"/>
  <c r="M10678" i="1" s="1"/>
  <c r="L10806" i="1"/>
  <c r="M10806" i="1" s="1"/>
  <c r="L10814" i="1"/>
  <c r="M10814" i="1" s="1"/>
  <c r="L10942" i="1"/>
  <c r="M10942" i="1" s="1"/>
  <c r="L10950" i="1"/>
  <c r="M10950" i="1" s="1"/>
  <c r="L11078" i="1"/>
  <c r="M11078" i="1" s="1"/>
  <c r="L11086" i="1"/>
  <c r="M11086" i="1" s="1"/>
  <c r="L11214" i="1"/>
  <c r="M11214" i="1" s="1"/>
  <c r="L11222" i="1"/>
  <c r="M11222" i="1" s="1"/>
  <c r="L11350" i="1"/>
  <c r="M11350" i="1" s="1"/>
  <c r="L11358" i="1"/>
  <c r="M11358" i="1" s="1"/>
  <c r="L11486" i="1"/>
  <c r="M11486" i="1" s="1"/>
  <c r="L10130" i="1"/>
  <c r="M10130" i="1" s="1"/>
  <c r="L10267" i="1"/>
  <c r="M10267" i="1" s="1"/>
  <c r="L10275" i="1"/>
  <c r="M10275" i="1" s="1"/>
  <c r="L10403" i="1"/>
  <c r="M10403" i="1" s="1"/>
  <c r="L10411" i="1"/>
  <c r="M10411" i="1" s="1"/>
  <c r="L10535" i="1"/>
  <c r="M10535" i="1" s="1"/>
  <c r="L10543" i="1"/>
  <c r="M10543" i="1" s="1"/>
  <c r="L10671" i="1"/>
  <c r="M10671" i="1" s="1"/>
  <c r="L10679" i="1"/>
  <c r="M10679" i="1" s="1"/>
  <c r="L10807" i="1"/>
  <c r="M10807" i="1" s="1"/>
  <c r="L10815" i="1"/>
  <c r="M10815" i="1" s="1"/>
  <c r="L10943" i="1"/>
  <c r="M10943" i="1" s="1"/>
  <c r="L10951" i="1"/>
  <c r="M10951" i="1" s="1"/>
  <c r="L11079" i="1"/>
  <c r="M11079" i="1" s="1"/>
  <c r="L11087" i="1"/>
  <c r="M11087" i="1" s="1"/>
  <c r="L11215" i="1"/>
  <c r="M11215" i="1" s="1"/>
  <c r="L11223" i="1"/>
  <c r="M11223" i="1" s="1"/>
  <c r="L11351" i="1"/>
  <c r="M11351" i="1" s="1"/>
  <c r="L11359" i="1"/>
  <c r="M11359" i="1" s="1"/>
  <c r="L10132" i="1"/>
  <c r="M10132" i="1" s="1"/>
  <c r="L10268" i="1"/>
  <c r="M10268" i="1" s="1"/>
  <c r="L10276" i="1"/>
  <c r="M10276" i="1" s="1"/>
  <c r="L10404" i="1"/>
  <c r="M10404" i="1" s="1"/>
  <c r="L10412" i="1"/>
  <c r="M10412" i="1" s="1"/>
  <c r="L10536" i="1"/>
  <c r="M10536" i="1" s="1"/>
  <c r="L10544" i="1"/>
  <c r="M10544" i="1" s="1"/>
  <c r="L10672" i="1"/>
  <c r="M10672" i="1" s="1"/>
  <c r="L10680" i="1"/>
  <c r="M10680" i="1" s="1"/>
  <c r="L10808" i="1"/>
  <c r="M10808" i="1" s="1"/>
  <c r="L10816" i="1"/>
  <c r="M10816" i="1" s="1"/>
  <c r="L10944" i="1"/>
  <c r="M10944" i="1" s="1"/>
  <c r="L10952" i="1"/>
  <c r="M10952" i="1" s="1"/>
  <c r="L11080" i="1"/>
  <c r="M11080" i="1" s="1"/>
  <c r="L11088" i="1"/>
  <c r="M11088" i="1" s="1"/>
  <c r="L11216" i="1"/>
  <c r="M11216" i="1" s="1"/>
  <c r="L11224" i="1"/>
  <c r="M11224" i="1" s="1"/>
  <c r="L11352" i="1"/>
  <c r="M11352" i="1" s="1"/>
  <c r="L11360" i="1"/>
  <c r="M11360" i="1" s="1"/>
  <c r="L11488" i="1"/>
  <c r="M11488" i="1" s="1"/>
  <c r="L11496" i="1"/>
  <c r="M11496" i="1" s="1"/>
  <c r="L10133" i="1"/>
  <c r="M10133" i="1" s="1"/>
  <c r="L10261" i="1"/>
  <c r="M10261" i="1" s="1"/>
  <c r="L10269" i="1"/>
  <c r="M10269" i="1" s="1"/>
  <c r="L10397" i="1"/>
  <c r="M10397" i="1" s="1"/>
  <c r="L10405" i="1"/>
  <c r="M10405" i="1" s="1"/>
  <c r="L10537" i="1"/>
  <c r="M10537" i="1" s="1"/>
  <c r="L10545" i="1"/>
  <c r="M10545" i="1" s="1"/>
  <c r="L10673" i="1"/>
  <c r="M10673" i="1" s="1"/>
  <c r="L10681" i="1"/>
  <c r="M10681" i="1" s="1"/>
  <c r="L10809" i="1"/>
  <c r="M10809" i="1" s="1"/>
  <c r="L10817" i="1"/>
  <c r="M10817" i="1" s="1"/>
  <c r="L10945" i="1"/>
  <c r="M10945" i="1" s="1"/>
  <c r="L10953" i="1"/>
  <c r="M10953" i="1" s="1"/>
  <c r="L11081" i="1"/>
  <c r="M11081" i="1" s="1"/>
  <c r="L11089" i="1"/>
  <c r="M11089" i="1" s="1"/>
  <c r="L11217" i="1"/>
  <c r="M11217" i="1" s="1"/>
  <c r="L11225" i="1"/>
  <c r="M11225" i="1" s="1"/>
  <c r="L11353" i="1"/>
  <c r="M11353" i="1" s="1"/>
  <c r="L11361" i="1"/>
  <c r="M11361" i="1" s="1"/>
  <c r="L11489" i="1"/>
  <c r="M11489" i="1" s="1"/>
  <c r="L11497" i="1"/>
  <c r="M11497" i="1" s="1"/>
  <c r="L10134" i="1"/>
  <c r="M10134" i="1" s="1"/>
  <c r="L10262" i="1"/>
  <c r="M10262" i="1" s="1"/>
  <c r="L10270" i="1"/>
  <c r="M10270" i="1" s="1"/>
  <c r="L10398" i="1"/>
  <c r="M10398" i="1" s="1"/>
  <c r="L10406" i="1"/>
  <c r="M10406" i="1" s="1"/>
  <c r="L10538" i="1"/>
  <c r="M10538" i="1" s="1"/>
  <c r="L10546" i="1"/>
  <c r="M10546" i="1" s="1"/>
  <c r="L10674" i="1"/>
  <c r="M10674" i="1" s="1"/>
  <c r="L10682" i="1"/>
  <c r="M10682" i="1" s="1"/>
  <c r="L10810" i="1"/>
  <c r="M10810" i="1" s="1"/>
  <c r="L10818" i="1"/>
  <c r="M10818" i="1" s="1"/>
  <c r="L10946" i="1"/>
  <c r="M10946" i="1" s="1"/>
  <c r="L10954" i="1"/>
  <c r="M10954" i="1" s="1"/>
  <c r="L11082" i="1"/>
  <c r="M11082" i="1" s="1"/>
  <c r="L11090" i="1"/>
  <c r="M11090" i="1" s="1"/>
  <c r="L11218" i="1"/>
  <c r="M11218" i="1" s="1"/>
  <c r="L11226" i="1"/>
  <c r="M11226" i="1" s="1"/>
  <c r="L11354" i="1"/>
  <c r="M11354" i="1" s="1"/>
  <c r="L11362" i="1"/>
  <c r="M11362" i="1" s="1"/>
  <c r="L11490" i="1"/>
  <c r="M11490" i="1" s="1"/>
  <c r="L10125" i="1"/>
  <c r="M10125" i="1" s="1"/>
  <c r="L10136" i="1"/>
  <c r="M10136" i="1" s="1"/>
  <c r="L10263" i="1"/>
  <c r="M10263" i="1" s="1"/>
  <c r="L10271" i="1"/>
  <c r="M10271" i="1" s="1"/>
  <c r="L10399" i="1"/>
  <c r="M10399" i="1" s="1"/>
  <c r="L10407" i="1"/>
  <c r="M10407" i="1" s="1"/>
  <c r="L10539" i="1"/>
  <c r="M10539" i="1" s="1"/>
  <c r="L10547" i="1"/>
  <c r="M10547" i="1" s="1"/>
  <c r="L10675" i="1"/>
  <c r="M10675" i="1" s="1"/>
  <c r="L10683" i="1"/>
  <c r="M10683" i="1" s="1"/>
  <c r="L10811" i="1"/>
  <c r="M10811" i="1" s="1"/>
  <c r="L10819" i="1"/>
  <c r="M10819" i="1" s="1"/>
  <c r="L10947" i="1"/>
  <c r="M10947" i="1" s="1"/>
  <c r="L10955" i="1"/>
  <c r="M10955" i="1" s="1"/>
  <c r="L11083" i="1"/>
  <c r="M11083" i="1" s="1"/>
  <c r="L11091" i="1"/>
  <c r="M11091" i="1" s="1"/>
  <c r="L11219" i="1"/>
  <c r="M11219" i="1" s="1"/>
  <c r="L11227" i="1"/>
  <c r="M11227" i="1" s="1"/>
  <c r="L11355" i="1"/>
  <c r="M11355" i="1" s="1"/>
  <c r="L11363" i="1"/>
  <c r="M11363" i="1" s="1"/>
  <c r="L10126" i="1"/>
  <c r="M10126" i="1" s="1"/>
  <c r="L10137" i="1"/>
  <c r="M10137" i="1" s="1"/>
  <c r="L10264" i="1"/>
  <c r="M10264" i="1" s="1"/>
  <c r="L10272" i="1"/>
  <c r="M10272" i="1" s="1"/>
  <c r="L10400" i="1"/>
  <c r="M10400" i="1" s="1"/>
  <c r="L10408" i="1"/>
  <c r="M10408" i="1" s="1"/>
  <c r="L10540" i="1"/>
  <c r="M10540" i="1" s="1"/>
  <c r="L10548" i="1"/>
  <c r="M10548" i="1" s="1"/>
  <c r="L10676" i="1"/>
  <c r="M10676" i="1" s="1"/>
  <c r="L10684" i="1"/>
  <c r="M10684" i="1" s="1"/>
  <c r="L10812" i="1"/>
  <c r="M10812" i="1" s="1"/>
  <c r="L10820" i="1"/>
  <c r="M10820" i="1" s="1"/>
  <c r="L10948" i="1"/>
  <c r="M10948" i="1" s="1"/>
  <c r="L10956" i="1"/>
  <c r="M10956" i="1" s="1"/>
  <c r="L11084" i="1"/>
  <c r="M11084" i="1" s="1"/>
  <c r="L11092" i="1"/>
  <c r="M11092" i="1" s="1"/>
  <c r="L11220" i="1"/>
  <c r="M11220" i="1" s="1"/>
  <c r="L11228" i="1"/>
  <c r="M11228" i="1" s="1"/>
  <c r="L11356" i="1"/>
  <c r="M11356" i="1" s="1"/>
  <c r="L11364" i="1"/>
  <c r="M11364" i="1" s="1"/>
  <c r="L11492" i="1"/>
  <c r="M11492" i="1" s="1"/>
  <c r="L11500" i="1"/>
  <c r="M11500" i="1" s="1"/>
  <c r="L11495" i="1"/>
  <c r="M11495" i="1" s="1"/>
  <c r="L11626" i="1"/>
  <c r="M11626" i="1" s="1"/>
  <c r="L11634" i="1"/>
  <c r="M11634" i="1" s="1"/>
  <c r="L11762" i="1"/>
  <c r="M11762" i="1" s="1"/>
  <c r="L11770" i="1"/>
  <c r="M11770" i="1" s="1"/>
  <c r="L11898" i="1"/>
  <c r="M11898" i="1" s="1"/>
  <c r="L11906" i="1"/>
  <c r="M11906" i="1" s="1"/>
  <c r="L12034" i="1"/>
  <c r="M12034" i="1" s="1"/>
  <c r="L12042" i="1"/>
  <c r="M12042" i="1" s="1"/>
  <c r="L12170" i="1"/>
  <c r="M12170" i="1" s="1"/>
  <c r="L12178" i="1"/>
  <c r="M12178" i="1" s="1"/>
  <c r="L12306" i="1"/>
  <c r="M12306" i="1" s="1"/>
  <c r="L12314" i="1"/>
  <c r="M12314" i="1" s="1"/>
  <c r="L12442" i="1"/>
  <c r="M12442" i="1" s="1"/>
  <c r="L12450" i="1"/>
  <c r="M12450" i="1" s="1"/>
  <c r="L12578" i="1"/>
  <c r="M12578" i="1" s="1"/>
  <c r="L12586" i="1"/>
  <c r="M12586" i="1" s="1"/>
  <c r="L12714" i="1"/>
  <c r="M12714" i="1" s="1"/>
  <c r="L12722" i="1"/>
  <c r="M12722" i="1" s="1"/>
  <c r="L12850" i="1"/>
  <c r="M12850" i="1" s="1"/>
  <c r="L12858" i="1"/>
  <c r="M12858" i="1" s="1"/>
  <c r="L11499" i="1"/>
  <c r="M11499" i="1" s="1"/>
  <c r="L11628" i="1"/>
  <c r="M11628" i="1" s="1"/>
  <c r="L11636" i="1"/>
  <c r="M11636" i="1" s="1"/>
  <c r="L11764" i="1"/>
  <c r="M11764" i="1" s="1"/>
  <c r="L11772" i="1"/>
  <c r="M11772" i="1" s="1"/>
  <c r="L11900" i="1"/>
  <c r="M11900" i="1" s="1"/>
  <c r="L11908" i="1"/>
  <c r="M11908" i="1" s="1"/>
  <c r="L12036" i="1"/>
  <c r="M12036" i="1" s="1"/>
  <c r="L12044" i="1"/>
  <c r="M12044" i="1" s="1"/>
  <c r="L12172" i="1"/>
  <c r="M12172" i="1" s="1"/>
  <c r="L12180" i="1"/>
  <c r="M12180" i="1" s="1"/>
  <c r="L12308" i="1"/>
  <c r="M12308" i="1" s="1"/>
  <c r="L12316" i="1"/>
  <c r="M12316" i="1" s="1"/>
  <c r="L12444" i="1"/>
  <c r="M12444" i="1" s="1"/>
  <c r="L12452" i="1"/>
  <c r="M12452" i="1" s="1"/>
  <c r="L12580" i="1"/>
  <c r="M12580" i="1" s="1"/>
  <c r="L12588" i="1"/>
  <c r="M12588" i="1" s="1"/>
  <c r="L12716" i="1"/>
  <c r="M12716" i="1" s="1"/>
  <c r="L12724" i="1"/>
  <c r="M12724" i="1" s="1"/>
  <c r="L12852" i="1"/>
  <c r="M12852" i="1" s="1"/>
  <c r="L12860" i="1"/>
  <c r="M12860" i="1" s="1"/>
  <c r="L11621" i="1"/>
  <c r="M11621" i="1" s="1"/>
  <c r="L11629" i="1"/>
  <c r="M11629" i="1" s="1"/>
  <c r="L11757" i="1"/>
  <c r="M11757" i="1" s="1"/>
  <c r="L11765" i="1"/>
  <c r="M11765" i="1" s="1"/>
  <c r="L11893" i="1"/>
  <c r="M11893" i="1" s="1"/>
  <c r="L11901" i="1"/>
  <c r="M11901" i="1" s="1"/>
  <c r="L12029" i="1"/>
  <c r="M12029" i="1" s="1"/>
  <c r="L12037" i="1"/>
  <c r="M12037" i="1" s="1"/>
  <c r="L12165" i="1"/>
  <c r="M12165" i="1" s="1"/>
  <c r="L12173" i="1"/>
  <c r="M12173" i="1" s="1"/>
  <c r="L12301" i="1"/>
  <c r="M12301" i="1" s="1"/>
  <c r="L12309" i="1"/>
  <c r="M12309" i="1" s="1"/>
  <c r="L12437" i="1"/>
  <c r="M12437" i="1" s="1"/>
  <c r="L12445" i="1"/>
  <c r="M12445" i="1" s="1"/>
  <c r="L12573" i="1"/>
  <c r="M12573" i="1" s="1"/>
  <c r="L12581" i="1"/>
  <c r="M12581" i="1" s="1"/>
  <c r="L12709" i="1"/>
  <c r="M12709" i="1" s="1"/>
  <c r="L12717" i="1"/>
  <c r="M12717" i="1" s="1"/>
  <c r="L12845" i="1"/>
  <c r="M12845" i="1" s="1"/>
  <c r="L12853" i="1"/>
  <c r="M12853" i="1" s="1"/>
  <c r="L11622" i="1"/>
  <c r="M11622" i="1" s="1"/>
  <c r="L11630" i="1"/>
  <c r="M11630" i="1" s="1"/>
  <c r="L11758" i="1"/>
  <c r="M11758" i="1" s="1"/>
  <c r="L11766" i="1"/>
  <c r="M11766" i="1" s="1"/>
  <c r="L11894" i="1"/>
  <c r="M11894" i="1" s="1"/>
  <c r="L11902" i="1"/>
  <c r="M11902" i="1" s="1"/>
  <c r="L12030" i="1"/>
  <c r="M12030" i="1" s="1"/>
  <c r="L12038" i="1"/>
  <c r="M12038" i="1" s="1"/>
  <c r="L12166" i="1"/>
  <c r="M12166" i="1" s="1"/>
  <c r="L12174" i="1"/>
  <c r="M12174" i="1" s="1"/>
  <c r="L12302" i="1"/>
  <c r="M12302" i="1" s="1"/>
  <c r="L12310" i="1"/>
  <c r="M12310" i="1" s="1"/>
  <c r="L12438" i="1"/>
  <c r="M12438" i="1" s="1"/>
  <c r="L12446" i="1"/>
  <c r="M12446" i="1" s="1"/>
  <c r="L12574" i="1"/>
  <c r="M12574" i="1" s="1"/>
  <c r="L12582" i="1"/>
  <c r="M12582" i="1" s="1"/>
  <c r="L12710" i="1"/>
  <c r="M12710" i="1" s="1"/>
  <c r="L12718" i="1"/>
  <c r="M12718" i="1" s="1"/>
  <c r="L12846" i="1"/>
  <c r="M12846" i="1" s="1"/>
  <c r="L12854" i="1"/>
  <c r="M12854" i="1" s="1"/>
  <c r="L11487" i="1"/>
  <c r="M11487" i="1" s="1"/>
  <c r="L11623" i="1"/>
  <c r="M11623" i="1" s="1"/>
  <c r="L11631" i="1"/>
  <c r="M11631" i="1" s="1"/>
  <c r="L11759" i="1"/>
  <c r="M11759" i="1" s="1"/>
  <c r="L11767" i="1"/>
  <c r="M11767" i="1" s="1"/>
  <c r="L11895" i="1"/>
  <c r="M11895" i="1" s="1"/>
  <c r="L11903" i="1"/>
  <c r="M11903" i="1" s="1"/>
  <c r="L12031" i="1"/>
  <c r="M12031" i="1" s="1"/>
  <c r="L12039" i="1"/>
  <c r="M12039" i="1" s="1"/>
  <c r="L12167" i="1"/>
  <c r="M12167" i="1" s="1"/>
  <c r="L12175" i="1"/>
  <c r="M12175" i="1" s="1"/>
  <c r="L12303" i="1"/>
  <c r="M12303" i="1" s="1"/>
  <c r="L12311" i="1"/>
  <c r="M12311" i="1" s="1"/>
  <c r="L12439" i="1"/>
  <c r="M12439" i="1" s="1"/>
  <c r="L12447" i="1"/>
  <c r="M12447" i="1" s="1"/>
  <c r="L12575" i="1"/>
  <c r="M12575" i="1" s="1"/>
  <c r="L12583" i="1"/>
  <c r="M12583" i="1" s="1"/>
  <c r="L12711" i="1"/>
  <c r="M12711" i="1" s="1"/>
  <c r="L12719" i="1"/>
  <c r="M12719" i="1" s="1"/>
  <c r="L12847" i="1"/>
  <c r="M12847" i="1" s="1"/>
  <c r="L12855" i="1"/>
  <c r="M12855" i="1" s="1"/>
  <c r="L11491" i="1"/>
  <c r="M11491" i="1" s="1"/>
  <c r="L11624" i="1"/>
  <c r="M11624" i="1" s="1"/>
  <c r="L11632" i="1"/>
  <c r="M11632" i="1" s="1"/>
  <c r="L11760" i="1"/>
  <c r="M11760" i="1" s="1"/>
  <c r="L11768" i="1"/>
  <c r="M11768" i="1" s="1"/>
  <c r="L11896" i="1"/>
  <c r="M11896" i="1" s="1"/>
  <c r="L11904" i="1"/>
  <c r="M11904" i="1" s="1"/>
  <c r="L12032" i="1"/>
  <c r="M12032" i="1" s="1"/>
  <c r="L12040" i="1"/>
  <c r="M12040" i="1" s="1"/>
  <c r="L12168" i="1"/>
  <c r="M12168" i="1" s="1"/>
  <c r="L12176" i="1"/>
  <c r="M12176" i="1" s="1"/>
  <c r="L12304" i="1"/>
  <c r="M12304" i="1" s="1"/>
  <c r="L12312" i="1"/>
  <c r="M12312" i="1" s="1"/>
  <c r="L12440" i="1"/>
  <c r="M12440" i="1" s="1"/>
  <c r="L12448" i="1"/>
  <c r="M12448" i="1" s="1"/>
  <c r="L12576" i="1"/>
  <c r="M12576" i="1" s="1"/>
  <c r="L12584" i="1"/>
  <c r="M12584" i="1" s="1"/>
  <c r="L12712" i="1"/>
  <c r="M12712" i="1" s="1"/>
  <c r="L12720" i="1"/>
  <c r="M12720" i="1" s="1"/>
  <c r="L12848" i="1"/>
  <c r="M12848" i="1" s="1"/>
  <c r="L12856" i="1"/>
  <c r="M12856" i="1" s="1"/>
  <c r="L11494" i="1"/>
  <c r="M11494" i="1" s="1"/>
  <c r="L11625" i="1"/>
  <c r="M11625" i="1" s="1"/>
  <c r="L11633" i="1"/>
  <c r="M11633" i="1" s="1"/>
  <c r="L11761" i="1"/>
  <c r="M11761" i="1" s="1"/>
  <c r="L11769" i="1"/>
  <c r="M11769" i="1" s="1"/>
  <c r="L11897" i="1"/>
  <c r="M11897" i="1" s="1"/>
  <c r="L11905" i="1"/>
  <c r="M11905" i="1" s="1"/>
  <c r="L12033" i="1"/>
  <c r="M12033" i="1" s="1"/>
  <c r="L12041" i="1"/>
  <c r="M12041" i="1" s="1"/>
  <c r="L12169" i="1"/>
  <c r="M12169" i="1" s="1"/>
  <c r="L12177" i="1"/>
  <c r="M12177" i="1" s="1"/>
  <c r="L12305" i="1"/>
  <c r="M12305" i="1" s="1"/>
  <c r="L12313" i="1"/>
  <c r="M12313" i="1" s="1"/>
  <c r="L12441" i="1"/>
  <c r="M12441" i="1" s="1"/>
  <c r="L12449" i="1"/>
  <c r="M12449" i="1" s="1"/>
  <c r="L12577" i="1"/>
  <c r="M12577" i="1" s="1"/>
  <c r="L12585" i="1"/>
  <c r="M12585" i="1" s="1"/>
  <c r="L12713" i="1"/>
  <c r="M12713" i="1" s="1"/>
  <c r="L12721" i="1"/>
  <c r="M12721" i="1" s="1"/>
  <c r="L12849" i="1"/>
  <c r="M12849" i="1" s="1"/>
  <c r="L12857" i="1"/>
  <c r="M12857" i="1" s="1"/>
  <c r="L11627" i="1"/>
  <c r="M11627" i="1" s="1"/>
  <c r="L11763" i="1"/>
  <c r="M11763" i="1" s="1"/>
  <c r="L11899" i="1"/>
  <c r="M11899" i="1" s="1"/>
  <c r="L12035" i="1"/>
  <c r="M12035" i="1" s="1"/>
  <c r="L12171" i="1"/>
  <c r="M12171" i="1" s="1"/>
  <c r="L12307" i="1"/>
  <c r="M12307" i="1" s="1"/>
  <c r="L12443" i="1"/>
  <c r="M12443" i="1" s="1"/>
  <c r="L12579" i="1"/>
  <c r="M12579" i="1" s="1"/>
  <c r="L12715" i="1"/>
  <c r="M12715" i="1" s="1"/>
  <c r="L12851" i="1"/>
  <c r="M12851" i="1" s="1"/>
  <c r="L12986" i="1"/>
  <c r="M12986" i="1" s="1"/>
  <c r="L12994" i="1"/>
  <c r="M12994" i="1" s="1"/>
  <c r="L13122" i="1"/>
  <c r="M13122" i="1" s="1"/>
  <c r="L13130" i="1"/>
  <c r="M13130" i="1" s="1"/>
  <c r="L13258" i="1"/>
  <c r="M13258" i="1" s="1"/>
  <c r="L13266" i="1"/>
  <c r="M13266" i="1" s="1"/>
  <c r="L13394" i="1"/>
  <c r="M13394" i="1" s="1"/>
  <c r="L13402" i="1"/>
  <c r="M13402" i="1" s="1"/>
  <c r="L13530" i="1"/>
  <c r="M13530" i="1" s="1"/>
  <c r="L13538" i="1"/>
  <c r="M13538" i="1" s="1"/>
  <c r="L13666" i="1"/>
  <c r="M13666" i="1" s="1"/>
  <c r="L13674" i="1"/>
  <c r="M13674" i="1" s="1"/>
  <c r="L13802" i="1"/>
  <c r="M13802" i="1" s="1"/>
  <c r="L13810" i="1"/>
  <c r="M13810" i="1" s="1"/>
  <c r="L13938" i="1"/>
  <c r="M13938" i="1" s="1"/>
  <c r="L13946" i="1"/>
  <c r="M13946" i="1" s="1"/>
  <c r="L14074" i="1"/>
  <c r="M14074" i="1" s="1"/>
  <c r="L14082" i="1"/>
  <c r="M14082" i="1" s="1"/>
  <c r="L11635" i="1"/>
  <c r="M11635" i="1" s="1"/>
  <c r="L11771" i="1"/>
  <c r="M11771" i="1" s="1"/>
  <c r="L11907" i="1"/>
  <c r="M11907" i="1" s="1"/>
  <c r="L12043" i="1"/>
  <c r="M12043" i="1" s="1"/>
  <c r="L12179" i="1"/>
  <c r="M12179" i="1" s="1"/>
  <c r="L12315" i="1"/>
  <c r="M12315" i="1" s="1"/>
  <c r="L12451" i="1"/>
  <c r="M12451" i="1" s="1"/>
  <c r="L12587" i="1"/>
  <c r="M12587" i="1" s="1"/>
  <c r="L12723" i="1"/>
  <c r="M12723" i="1" s="1"/>
  <c r="L12859" i="1"/>
  <c r="M12859" i="1" s="1"/>
  <c r="L12987" i="1"/>
  <c r="M12987" i="1" s="1"/>
  <c r="L12995" i="1"/>
  <c r="M12995" i="1" s="1"/>
  <c r="L13123" i="1"/>
  <c r="M13123" i="1" s="1"/>
  <c r="L13131" i="1"/>
  <c r="M13131" i="1" s="1"/>
  <c r="L13259" i="1"/>
  <c r="M13259" i="1" s="1"/>
  <c r="L13267" i="1"/>
  <c r="M13267" i="1" s="1"/>
  <c r="L12988" i="1"/>
  <c r="M12988" i="1" s="1"/>
  <c r="L12996" i="1"/>
  <c r="M12996" i="1" s="1"/>
  <c r="L13124" i="1"/>
  <c r="M13124" i="1" s="1"/>
  <c r="L13132" i="1"/>
  <c r="M13132" i="1" s="1"/>
  <c r="L13260" i="1"/>
  <c r="M13260" i="1" s="1"/>
  <c r="L13268" i="1"/>
  <c r="M13268" i="1" s="1"/>
  <c r="L13396" i="1"/>
  <c r="M13396" i="1" s="1"/>
  <c r="L13404" i="1"/>
  <c r="M13404" i="1" s="1"/>
  <c r="L13532" i="1"/>
  <c r="M13532" i="1" s="1"/>
  <c r="L13540" i="1"/>
  <c r="M13540" i="1" s="1"/>
  <c r="L13668" i="1"/>
  <c r="M13668" i="1" s="1"/>
  <c r="L13676" i="1"/>
  <c r="M13676" i="1" s="1"/>
  <c r="L13804" i="1"/>
  <c r="M13804" i="1" s="1"/>
  <c r="L13812" i="1"/>
  <c r="M13812" i="1" s="1"/>
  <c r="L13940" i="1"/>
  <c r="M13940" i="1" s="1"/>
  <c r="L13948" i="1"/>
  <c r="M13948" i="1" s="1"/>
  <c r="L11498" i="1"/>
  <c r="M11498" i="1" s="1"/>
  <c r="L12981" i="1"/>
  <c r="M12981" i="1" s="1"/>
  <c r="L12989" i="1"/>
  <c r="M12989" i="1" s="1"/>
  <c r="L13117" i="1"/>
  <c r="M13117" i="1" s="1"/>
  <c r="L13125" i="1"/>
  <c r="M13125" i="1" s="1"/>
  <c r="L13253" i="1"/>
  <c r="M13253" i="1" s="1"/>
  <c r="L13261" i="1"/>
  <c r="M13261" i="1" s="1"/>
  <c r="L13389" i="1"/>
  <c r="M13389" i="1" s="1"/>
  <c r="L13397" i="1"/>
  <c r="M13397" i="1" s="1"/>
  <c r="L13525" i="1"/>
  <c r="M13525" i="1" s="1"/>
  <c r="L13533" i="1"/>
  <c r="M13533" i="1" s="1"/>
  <c r="L13661" i="1"/>
  <c r="M13661" i="1" s="1"/>
  <c r="L13669" i="1"/>
  <c r="M13669" i="1" s="1"/>
  <c r="L13797" i="1"/>
  <c r="M13797" i="1" s="1"/>
  <c r="L13805" i="1"/>
  <c r="M13805" i="1" s="1"/>
  <c r="L12982" i="1"/>
  <c r="M12982" i="1" s="1"/>
  <c r="L12990" i="1"/>
  <c r="M12990" i="1" s="1"/>
  <c r="L13118" i="1"/>
  <c r="M13118" i="1" s="1"/>
  <c r="L13126" i="1"/>
  <c r="M13126" i="1" s="1"/>
  <c r="L13254" i="1"/>
  <c r="M13254" i="1" s="1"/>
  <c r="L13262" i="1"/>
  <c r="M13262" i="1" s="1"/>
  <c r="L13390" i="1"/>
  <c r="M13390" i="1" s="1"/>
  <c r="L13398" i="1"/>
  <c r="M13398" i="1" s="1"/>
  <c r="L13526" i="1"/>
  <c r="M13526" i="1" s="1"/>
  <c r="L13534" i="1"/>
  <c r="M13534" i="1" s="1"/>
  <c r="L13662" i="1"/>
  <c r="M13662" i="1" s="1"/>
  <c r="L13670" i="1"/>
  <c r="M13670" i="1" s="1"/>
  <c r="L13798" i="1"/>
  <c r="M13798" i="1" s="1"/>
  <c r="L13806" i="1"/>
  <c r="M13806" i="1" s="1"/>
  <c r="L13934" i="1"/>
  <c r="M13934" i="1" s="1"/>
  <c r="L13942" i="1"/>
  <c r="M13942" i="1" s="1"/>
  <c r="L14070" i="1"/>
  <c r="M14070" i="1" s="1"/>
  <c r="L14078" i="1"/>
  <c r="M14078" i="1" s="1"/>
  <c r="L12983" i="1"/>
  <c r="M12983" i="1" s="1"/>
  <c r="L12991" i="1"/>
  <c r="M12991" i="1" s="1"/>
  <c r="L13119" i="1"/>
  <c r="M13119" i="1" s="1"/>
  <c r="L13127" i="1"/>
  <c r="M13127" i="1" s="1"/>
  <c r="L13255" i="1"/>
  <c r="M13255" i="1" s="1"/>
  <c r="L13263" i="1"/>
  <c r="M13263" i="1" s="1"/>
  <c r="L13391" i="1"/>
  <c r="M13391" i="1" s="1"/>
  <c r="L13399" i="1"/>
  <c r="M13399" i="1" s="1"/>
  <c r="L13527" i="1"/>
  <c r="M13527" i="1" s="1"/>
  <c r="L13535" i="1"/>
  <c r="M13535" i="1" s="1"/>
  <c r="L13663" i="1"/>
  <c r="M13663" i="1" s="1"/>
  <c r="L13671" i="1"/>
  <c r="M13671" i="1" s="1"/>
  <c r="L13799" i="1"/>
  <c r="M13799" i="1" s="1"/>
  <c r="L13807" i="1"/>
  <c r="M13807" i="1" s="1"/>
  <c r="L13935" i="1"/>
  <c r="M13935" i="1" s="1"/>
  <c r="L13943" i="1"/>
  <c r="M13943" i="1" s="1"/>
  <c r="L14071" i="1"/>
  <c r="M14071" i="1" s="1"/>
  <c r="L14079" i="1"/>
  <c r="M14079" i="1" s="1"/>
  <c r="L12984" i="1"/>
  <c r="M12984" i="1" s="1"/>
  <c r="L12992" i="1"/>
  <c r="M12992" i="1" s="1"/>
  <c r="L13120" i="1"/>
  <c r="M13120" i="1" s="1"/>
  <c r="L13128" i="1"/>
  <c r="M13128" i="1" s="1"/>
  <c r="L13256" i="1"/>
  <c r="M13256" i="1" s="1"/>
  <c r="L13264" i="1"/>
  <c r="M13264" i="1" s="1"/>
  <c r="L13392" i="1"/>
  <c r="M13392" i="1" s="1"/>
  <c r="L13400" i="1"/>
  <c r="M13400" i="1" s="1"/>
  <c r="L13528" i="1"/>
  <c r="M13528" i="1" s="1"/>
  <c r="L13536" i="1"/>
  <c r="M13536" i="1" s="1"/>
  <c r="L13664" i="1"/>
  <c r="M13664" i="1" s="1"/>
  <c r="L13672" i="1"/>
  <c r="M13672" i="1" s="1"/>
  <c r="L13800" i="1"/>
  <c r="M13800" i="1" s="1"/>
  <c r="L13808" i="1"/>
  <c r="M13808" i="1" s="1"/>
  <c r="L13936" i="1"/>
  <c r="M13936" i="1" s="1"/>
  <c r="L12993" i="1"/>
  <c r="M12993" i="1" s="1"/>
  <c r="L13129" i="1"/>
  <c r="M13129" i="1" s="1"/>
  <c r="L13265" i="1"/>
  <c r="M13265" i="1" s="1"/>
  <c r="L13393" i="1"/>
  <c r="M13393" i="1" s="1"/>
  <c r="L13529" i="1"/>
  <c r="M13529" i="1" s="1"/>
  <c r="L13665" i="1"/>
  <c r="M13665" i="1" s="1"/>
  <c r="L13801" i="1"/>
  <c r="M13801" i="1" s="1"/>
  <c r="L13947" i="1"/>
  <c r="M13947" i="1" s="1"/>
  <c r="L14075" i="1"/>
  <c r="M14075" i="1" s="1"/>
  <c r="L14206" i="1"/>
  <c r="M14206" i="1" s="1"/>
  <c r="L14214" i="1"/>
  <c r="M14214" i="1" s="1"/>
  <c r="L14342" i="1"/>
  <c r="M14342" i="1" s="1"/>
  <c r="L14350" i="1"/>
  <c r="M14350" i="1" s="1"/>
  <c r="L13121" i="1"/>
  <c r="M13121" i="1" s="1"/>
  <c r="L13945" i="1"/>
  <c r="M13945" i="1" s="1"/>
  <c r="L14213" i="1"/>
  <c r="M14213" i="1" s="1"/>
  <c r="L14349" i="1"/>
  <c r="M14349" i="1" s="1"/>
  <c r="L13395" i="1"/>
  <c r="M13395" i="1" s="1"/>
  <c r="L13531" i="1"/>
  <c r="M13531" i="1" s="1"/>
  <c r="L13667" i="1"/>
  <c r="M13667" i="1" s="1"/>
  <c r="L13803" i="1"/>
  <c r="M13803" i="1" s="1"/>
  <c r="L14076" i="1"/>
  <c r="M14076" i="1" s="1"/>
  <c r="L14207" i="1"/>
  <c r="M14207" i="1" s="1"/>
  <c r="L14215" i="1"/>
  <c r="M14215" i="1" s="1"/>
  <c r="L14343" i="1"/>
  <c r="M14343" i="1" s="1"/>
  <c r="L14351" i="1"/>
  <c r="M14351" i="1" s="1"/>
  <c r="L13257" i="1"/>
  <c r="M13257" i="1" s="1"/>
  <c r="L13401" i="1"/>
  <c r="M13401" i="1" s="1"/>
  <c r="L13537" i="1"/>
  <c r="M13537" i="1" s="1"/>
  <c r="L13673" i="1"/>
  <c r="M13673" i="1" s="1"/>
  <c r="L13809" i="1"/>
  <c r="M13809" i="1" s="1"/>
  <c r="L13933" i="1"/>
  <c r="M13933" i="1" s="1"/>
  <c r="L14077" i="1"/>
  <c r="M14077" i="1" s="1"/>
  <c r="L14208" i="1"/>
  <c r="M14208" i="1" s="1"/>
  <c r="L14216" i="1"/>
  <c r="M14216" i="1" s="1"/>
  <c r="L14344" i="1"/>
  <c r="M14344" i="1" s="1"/>
  <c r="L14352" i="1"/>
  <c r="M14352" i="1" s="1"/>
  <c r="L14205" i="1"/>
  <c r="M14205" i="1" s="1"/>
  <c r="L13403" i="1"/>
  <c r="M13403" i="1" s="1"/>
  <c r="L13539" i="1"/>
  <c r="M13539" i="1" s="1"/>
  <c r="L13675" i="1"/>
  <c r="M13675" i="1" s="1"/>
  <c r="L13811" i="1"/>
  <c r="M13811" i="1" s="1"/>
  <c r="L13937" i="1"/>
  <c r="M13937" i="1" s="1"/>
  <c r="L14080" i="1"/>
  <c r="M14080" i="1" s="1"/>
  <c r="L14209" i="1"/>
  <c r="M14209" i="1" s="1"/>
  <c r="L14217" i="1"/>
  <c r="M14217" i="1" s="1"/>
  <c r="L14345" i="1"/>
  <c r="M14345" i="1" s="1"/>
  <c r="L14353" i="1"/>
  <c r="M14353" i="1" s="1"/>
  <c r="L13939" i="1"/>
  <c r="M13939" i="1" s="1"/>
  <c r="L14081" i="1"/>
  <c r="M14081" i="1" s="1"/>
  <c r="L14210" i="1"/>
  <c r="M14210" i="1" s="1"/>
  <c r="L14218" i="1"/>
  <c r="M14218" i="1" s="1"/>
  <c r="L14346" i="1"/>
  <c r="M14346" i="1" s="1"/>
  <c r="L14354" i="1"/>
  <c r="M14354" i="1" s="1"/>
  <c r="L14341" i="1"/>
  <c r="M14341" i="1" s="1"/>
  <c r="L13941" i="1"/>
  <c r="M13941" i="1" s="1"/>
  <c r="L14069" i="1"/>
  <c r="M14069" i="1" s="1"/>
  <c r="L14083" i="1"/>
  <c r="M14083" i="1" s="1"/>
  <c r="L14211" i="1"/>
  <c r="M14211" i="1" s="1"/>
  <c r="L14219" i="1"/>
  <c r="M14219" i="1" s="1"/>
  <c r="L14347" i="1"/>
  <c r="M14347" i="1" s="1"/>
  <c r="L14355" i="1"/>
  <c r="M14355" i="1" s="1"/>
  <c r="L14073" i="1"/>
  <c r="M14073" i="1" s="1"/>
  <c r="L13944" i="1"/>
  <c r="M13944" i="1" s="1"/>
  <c r="L14072" i="1"/>
  <c r="M14072" i="1" s="1"/>
  <c r="L14084" i="1"/>
  <c r="M14084" i="1" s="1"/>
  <c r="L14212" i="1"/>
  <c r="M14212" i="1" s="1"/>
  <c r="L14220" i="1"/>
  <c r="M14220" i="1" s="1"/>
  <c r="L14348" i="1"/>
  <c r="M14348" i="1" s="1"/>
  <c r="L14356" i="1"/>
  <c r="M14356" i="1" s="1"/>
  <c r="L12985" i="1"/>
  <c r="M12985" i="1" s="1"/>
  <c r="M1320" i="1"/>
  <c r="L4142" i="1"/>
  <c r="M4142" i="1" s="1"/>
  <c r="L4150" i="1"/>
  <c r="M4150" i="1" s="1"/>
  <c r="L4278" i="1"/>
  <c r="M4278" i="1" s="1"/>
  <c r="L4286" i="1"/>
  <c r="M4286" i="1" s="1"/>
  <c r="L4414" i="1"/>
  <c r="M4414" i="1" s="1"/>
  <c r="L4422" i="1"/>
  <c r="M4422" i="1" s="1"/>
  <c r="L4550" i="1"/>
  <c r="M4550" i="1" s="1"/>
  <c r="L4558" i="1"/>
  <c r="M4558" i="1" s="1"/>
  <c r="L4686" i="1"/>
  <c r="M4686" i="1" s="1"/>
  <c r="L4694" i="1"/>
  <c r="M4694" i="1" s="1"/>
  <c r="L4822" i="1"/>
  <c r="M4822" i="1" s="1"/>
  <c r="L4830" i="1"/>
  <c r="M4830" i="1" s="1"/>
  <c r="L4958" i="1"/>
  <c r="M4958" i="1" s="1"/>
  <c r="L4966" i="1"/>
  <c r="M4966" i="1" s="1"/>
  <c r="L5094" i="1"/>
  <c r="M5094" i="1" s="1"/>
  <c r="L5102" i="1"/>
  <c r="M5102" i="1" s="1"/>
  <c r="M1355" i="1"/>
  <c r="M1363" i="1"/>
  <c r="L1490" i="1"/>
  <c r="M1490" i="1" s="1"/>
  <c r="L1498" i="1"/>
  <c r="M1498" i="1" s="1"/>
  <c r="L1626" i="1"/>
  <c r="M1626" i="1" s="1"/>
  <c r="L1634" i="1"/>
  <c r="M1634" i="1" s="1"/>
  <c r="L4143" i="1"/>
  <c r="M4143" i="1" s="1"/>
  <c r="L4151" i="1"/>
  <c r="M4151" i="1" s="1"/>
  <c r="L4279" i="1"/>
  <c r="M4279" i="1" s="1"/>
  <c r="L4287" i="1"/>
  <c r="M4287" i="1" s="1"/>
  <c r="L4415" i="1"/>
  <c r="M4415" i="1" s="1"/>
  <c r="L4423" i="1"/>
  <c r="M4423" i="1" s="1"/>
  <c r="L4551" i="1"/>
  <c r="M4551" i="1" s="1"/>
  <c r="L4559" i="1"/>
  <c r="M4559" i="1" s="1"/>
  <c r="L4687" i="1"/>
  <c r="M4687" i="1" s="1"/>
  <c r="L4695" i="1"/>
  <c r="M4695" i="1" s="1"/>
  <c r="L4823" i="1"/>
  <c r="M4823" i="1" s="1"/>
  <c r="L4831" i="1"/>
  <c r="M4831" i="1" s="1"/>
  <c r="L4959" i="1"/>
  <c r="M4959" i="1" s="1"/>
  <c r="L4967" i="1"/>
  <c r="M4967" i="1" s="1"/>
  <c r="L5095" i="1"/>
  <c r="M5095" i="1" s="1"/>
  <c r="L5103" i="1"/>
  <c r="M5103" i="1" s="1"/>
  <c r="M1356" i="1"/>
  <c r="M1364" i="1"/>
  <c r="L1491" i="1"/>
  <c r="M1491" i="1" s="1"/>
  <c r="L1499" i="1"/>
  <c r="M1499" i="1" s="1"/>
  <c r="L1627" i="1"/>
  <c r="M1627" i="1" s="1"/>
  <c r="L1635" i="1"/>
  <c r="M1635" i="1" s="1"/>
  <c r="L4144" i="1"/>
  <c r="M4144" i="1" s="1"/>
  <c r="L4152" i="1"/>
  <c r="M4152" i="1" s="1"/>
  <c r="L4280" i="1"/>
  <c r="M4280" i="1" s="1"/>
  <c r="L4288" i="1"/>
  <c r="M4288" i="1" s="1"/>
  <c r="L4416" i="1"/>
  <c r="M4416" i="1" s="1"/>
  <c r="L4424" i="1"/>
  <c r="M4424" i="1" s="1"/>
  <c r="L4552" i="1"/>
  <c r="M4552" i="1" s="1"/>
  <c r="L4560" i="1"/>
  <c r="M4560" i="1" s="1"/>
  <c r="L4688" i="1"/>
  <c r="M4688" i="1" s="1"/>
  <c r="L4696" i="1"/>
  <c r="M4696" i="1" s="1"/>
  <c r="L4824" i="1"/>
  <c r="M4824" i="1" s="1"/>
  <c r="L4832" i="1"/>
  <c r="M4832" i="1" s="1"/>
  <c r="L4960" i="1"/>
  <c r="M4960" i="1" s="1"/>
  <c r="L4968" i="1"/>
  <c r="M4968" i="1" s="1"/>
  <c r="L5096" i="1"/>
  <c r="M5096" i="1" s="1"/>
  <c r="L5104" i="1"/>
  <c r="M5104" i="1" s="1"/>
  <c r="M1357" i="1"/>
  <c r="M1365" i="1"/>
  <c r="L1492" i="1"/>
  <c r="M1492" i="1" s="1"/>
  <c r="L1500" i="1"/>
  <c r="M1500" i="1" s="1"/>
  <c r="L1628" i="1"/>
  <c r="M1628" i="1" s="1"/>
  <c r="L1636" i="1"/>
  <c r="M1636" i="1" s="1"/>
  <c r="L4145" i="1"/>
  <c r="M4145" i="1" s="1"/>
  <c r="L4153" i="1"/>
  <c r="M4153" i="1" s="1"/>
  <c r="L4281" i="1"/>
  <c r="M4281" i="1" s="1"/>
  <c r="L4289" i="1"/>
  <c r="M4289" i="1" s="1"/>
  <c r="L4417" i="1"/>
  <c r="M4417" i="1" s="1"/>
  <c r="L4425" i="1"/>
  <c r="M4425" i="1" s="1"/>
  <c r="L4553" i="1"/>
  <c r="M4553" i="1" s="1"/>
  <c r="L4561" i="1"/>
  <c r="M4561" i="1" s="1"/>
  <c r="L4689" i="1"/>
  <c r="M4689" i="1" s="1"/>
  <c r="L4697" i="1"/>
  <c r="M4697" i="1" s="1"/>
  <c r="L4825" i="1"/>
  <c r="M4825" i="1" s="1"/>
  <c r="L4833" i="1"/>
  <c r="M4833" i="1" s="1"/>
  <c r="L4961" i="1"/>
  <c r="M4961" i="1" s="1"/>
  <c r="L4969" i="1"/>
  <c r="M4969" i="1" s="1"/>
  <c r="L5097" i="1"/>
  <c r="M5097" i="1" s="1"/>
  <c r="L5105" i="1"/>
  <c r="M5105" i="1" s="1"/>
  <c r="M1358" i="1"/>
  <c r="M1366" i="1"/>
  <c r="L1493" i="1"/>
  <c r="M1493" i="1" s="1"/>
  <c r="L1501" i="1"/>
  <c r="M1501" i="1" s="1"/>
  <c r="L1629" i="1"/>
  <c r="M1629" i="1" s="1"/>
  <c r="L1637" i="1"/>
  <c r="M1637" i="1" s="1"/>
  <c r="L4147" i="1"/>
  <c r="M4147" i="1" s="1"/>
  <c r="L4155" i="1"/>
  <c r="M4155" i="1" s="1"/>
  <c r="L4283" i="1"/>
  <c r="M4283" i="1" s="1"/>
  <c r="L4291" i="1"/>
  <c r="M4291" i="1" s="1"/>
  <c r="L4419" i="1"/>
  <c r="M4419" i="1" s="1"/>
  <c r="L4427" i="1"/>
  <c r="M4427" i="1" s="1"/>
  <c r="L4555" i="1"/>
  <c r="M4555" i="1" s="1"/>
  <c r="L4563" i="1"/>
  <c r="M4563" i="1" s="1"/>
  <c r="L4691" i="1"/>
  <c r="M4691" i="1" s="1"/>
  <c r="L4699" i="1"/>
  <c r="M4699" i="1" s="1"/>
  <c r="L4827" i="1"/>
  <c r="M4827" i="1" s="1"/>
  <c r="L4835" i="1"/>
  <c r="M4835" i="1" s="1"/>
  <c r="L4963" i="1"/>
  <c r="M4963" i="1" s="1"/>
  <c r="L4971" i="1"/>
  <c r="M4971" i="1" s="1"/>
  <c r="L5099" i="1"/>
  <c r="M5099" i="1" s="1"/>
  <c r="L5107" i="1"/>
  <c r="M5107" i="1" s="1"/>
  <c r="M1360" i="1"/>
  <c r="L1495" i="1"/>
  <c r="M1495" i="1" s="1"/>
  <c r="L1503" i="1"/>
  <c r="M1503" i="1" s="1"/>
  <c r="L1631" i="1"/>
  <c r="M1631" i="1" s="1"/>
  <c r="L1639" i="1"/>
  <c r="M1639" i="1" s="1"/>
  <c r="L4148" i="1"/>
  <c r="M4148" i="1" s="1"/>
  <c r="L4156" i="1"/>
  <c r="M4156" i="1" s="1"/>
  <c r="L4284" i="1"/>
  <c r="M4284" i="1" s="1"/>
  <c r="L4292" i="1"/>
  <c r="M4292" i="1" s="1"/>
  <c r="L4420" i="1"/>
  <c r="M4420" i="1" s="1"/>
  <c r="L4428" i="1"/>
  <c r="M4428" i="1" s="1"/>
  <c r="L4556" i="1"/>
  <c r="M4556" i="1" s="1"/>
  <c r="L4564" i="1"/>
  <c r="M4564" i="1" s="1"/>
  <c r="L4692" i="1"/>
  <c r="M4692" i="1" s="1"/>
  <c r="L4700" i="1"/>
  <c r="M4700" i="1" s="1"/>
  <c r="L4828" i="1"/>
  <c r="M4828" i="1" s="1"/>
  <c r="L4836" i="1"/>
  <c r="M4836" i="1" s="1"/>
  <c r="L4964" i="1"/>
  <c r="M4964" i="1" s="1"/>
  <c r="L4972" i="1"/>
  <c r="M4972" i="1" s="1"/>
  <c r="L5100" i="1"/>
  <c r="M5100" i="1" s="1"/>
  <c r="L5108" i="1"/>
  <c r="M5108" i="1" s="1"/>
  <c r="M1353" i="1"/>
  <c r="M1361" i="1"/>
  <c r="L1496" i="1"/>
  <c r="M1496" i="1" s="1"/>
  <c r="L1504" i="1"/>
  <c r="M1504" i="1" s="1"/>
  <c r="L1632" i="1"/>
  <c r="M1632" i="1" s="1"/>
  <c r="L1640" i="1"/>
  <c r="M1640" i="1" s="1"/>
  <c r="L4141" i="1"/>
  <c r="M4141" i="1" s="1"/>
  <c r="L4149" i="1"/>
  <c r="M4149" i="1" s="1"/>
  <c r="L4277" i="1"/>
  <c r="M4277" i="1" s="1"/>
  <c r="L4285" i="1"/>
  <c r="M4285" i="1" s="1"/>
  <c r="L4413" i="1"/>
  <c r="M4413" i="1" s="1"/>
  <c r="L4421" i="1"/>
  <c r="M4421" i="1" s="1"/>
  <c r="L4549" i="1"/>
  <c r="M4549" i="1" s="1"/>
  <c r="L4557" i="1"/>
  <c r="M4557" i="1" s="1"/>
  <c r="L4685" i="1"/>
  <c r="M4685" i="1" s="1"/>
  <c r="L4693" i="1"/>
  <c r="M4693" i="1" s="1"/>
  <c r="L4821" i="1"/>
  <c r="M4821" i="1" s="1"/>
  <c r="L4829" i="1"/>
  <c r="M4829" i="1" s="1"/>
  <c r="L4957" i="1"/>
  <c r="M4957" i="1" s="1"/>
  <c r="L4965" i="1"/>
  <c r="M4965" i="1" s="1"/>
  <c r="L5093" i="1"/>
  <c r="M5093" i="1" s="1"/>
  <c r="L5101" i="1"/>
  <c r="M5101" i="1" s="1"/>
  <c r="M1354" i="1"/>
  <c r="M1362" i="1"/>
  <c r="L1489" i="1"/>
  <c r="L1497" i="1"/>
  <c r="M1497" i="1" s="1"/>
  <c r="L1633" i="1"/>
  <c r="M1633" i="1" s="1"/>
  <c r="L1641" i="1"/>
  <c r="M1641" i="1" s="1"/>
  <c r="M1359" i="1"/>
  <c r="L1769" i="1"/>
  <c r="M1769" i="1" s="1"/>
  <c r="L1777" i="1"/>
  <c r="M1777" i="1" s="1"/>
  <c r="L1905" i="1"/>
  <c r="M1905" i="1" s="1"/>
  <c r="L1913" i="1"/>
  <c r="M1913" i="1" s="1"/>
  <c r="L2041" i="1"/>
  <c r="M2041" i="1" s="1"/>
  <c r="L2049" i="1"/>
  <c r="M2049" i="1" s="1"/>
  <c r="L2177" i="1"/>
  <c r="M2177" i="1" s="1"/>
  <c r="L2185" i="1"/>
  <c r="M2185" i="1" s="1"/>
  <c r="L2313" i="1"/>
  <c r="M2313" i="1" s="1"/>
  <c r="L2321" i="1"/>
  <c r="M2321" i="1" s="1"/>
  <c r="L2449" i="1"/>
  <c r="M2449" i="1" s="1"/>
  <c r="L2457" i="1"/>
  <c r="M2457" i="1" s="1"/>
  <c r="L2585" i="1"/>
  <c r="M2585" i="1" s="1"/>
  <c r="L2593" i="1"/>
  <c r="M2593" i="1" s="1"/>
  <c r="L2729" i="1"/>
  <c r="M2729" i="1" s="1"/>
  <c r="L2737" i="1"/>
  <c r="M2737" i="1" s="1"/>
  <c r="L2865" i="1"/>
  <c r="M2865" i="1" s="1"/>
  <c r="L2873" i="1"/>
  <c r="M2873" i="1" s="1"/>
  <c r="L3001" i="1"/>
  <c r="M3001" i="1" s="1"/>
  <c r="L3009" i="1"/>
  <c r="M3009" i="1" s="1"/>
  <c r="L3137" i="1"/>
  <c r="M3137" i="1" s="1"/>
  <c r="L3145" i="1"/>
  <c r="M3145" i="1" s="1"/>
  <c r="L3273" i="1"/>
  <c r="M3273" i="1" s="1"/>
  <c r="L3281" i="1"/>
  <c r="M3281" i="1" s="1"/>
  <c r="L3409" i="1"/>
  <c r="M3409" i="1" s="1"/>
  <c r="L3417" i="1"/>
  <c r="M3417" i="1" s="1"/>
  <c r="L3545" i="1"/>
  <c r="M3545" i="1" s="1"/>
  <c r="L3553" i="1"/>
  <c r="M3553" i="1" s="1"/>
  <c r="L3681" i="1"/>
  <c r="M3681" i="1" s="1"/>
  <c r="L3689" i="1"/>
  <c r="M3689" i="1" s="1"/>
  <c r="L3865" i="1"/>
  <c r="M3865" i="1" s="1"/>
  <c r="L3913" i="1"/>
  <c r="M3913" i="1" s="1"/>
  <c r="L3929" i="1"/>
  <c r="M3929" i="1" s="1"/>
  <c r="L4009" i="1"/>
  <c r="M4009" i="1" s="1"/>
  <c r="L4017" i="1"/>
  <c r="M4017" i="1" s="1"/>
  <c r="L915" i="1"/>
  <c r="M915" i="1" s="1"/>
  <c r="L923" i="1"/>
  <c r="M923" i="1" s="1"/>
  <c r="L1051" i="1"/>
  <c r="M1051" i="1" s="1"/>
  <c r="L1059" i="1"/>
  <c r="M1059" i="1" s="1"/>
  <c r="L1187" i="1"/>
  <c r="M1187" i="1" s="1"/>
  <c r="L1195" i="1"/>
  <c r="M1195" i="1" s="1"/>
  <c r="M1367" i="1"/>
  <c r="L1494" i="1"/>
  <c r="M1494" i="1" s="1"/>
  <c r="L1770" i="1"/>
  <c r="M1770" i="1" s="1"/>
  <c r="L1778" i="1"/>
  <c r="M1778" i="1" s="1"/>
  <c r="L1906" i="1"/>
  <c r="M1906" i="1" s="1"/>
  <c r="L1914" i="1"/>
  <c r="M1914" i="1" s="1"/>
  <c r="L2042" i="1"/>
  <c r="M2042" i="1" s="1"/>
  <c r="L2050" i="1"/>
  <c r="M2050" i="1" s="1"/>
  <c r="L2178" i="1"/>
  <c r="M2178" i="1" s="1"/>
  <c r="L2186" i="1"/>
  <c r="M2186" i="1" s="1"/>
  <c r="L2314" i="1"/>
  <c r="M2314" i="1" s="1"/>
  <c r="L2322" i="1"/>
  <c r="M2322" i="1" s="1"/>
  <c r="L2450" i="1"/>
  <c r="M2450" i="1" s="1"/>
  <c r="L2458" i="1"/>
  <c r="M2458" i="1" s="1"/>
  <c r="L2586" i="1"/>
  <c r="M2586" i="1" s="1"/>
  <c r="L2594" i="1"/>
  <c r="M2594" i="1" s="1"/>
  <c r="L2722" i="1"/>
  <c r="L2730" i="1"/>
  <c r="M2730" i="1" s="1"/>
  <c r="L2866" i="1"/>
  <c r="M2866" i="1" s="1"/>
  <c r="L2874" i="1"/>
  <c r="M2874" i="1" s="1"/>
  <c r="L3002" i="1"/>
  <c r="M3002" i="1" s="1"/>
  <c r="L3010" i="1"/>
  <c r="M3010" i="1" s="1"/>
  <c r="L3138" i="1"/>
  <c r="M3138" i="1" s="1"/>
  <c r="L3146" i="1"/>
  <c r="M3146" i="1" s="1"/>
  <c r="L3274" i="1"/>
  <c r="M3274" i="1" s="1"/>
  <c r="L3282" i="1"/>
  <c r="M3282" i="1" s="1"/>
  <c r="L3410" i="1"/>
  <c r="M3410" i="1" s="1"/>
  <c r="L3418" i="1"/>
  <c r="M3418" i="1" s="1"/>
  <c r="L3546" i="1"/>
  <c r="M3546" i="1" s="1"/>
  <c r="L3554" i="1"/>
  <c r="M3554" i="1" s="1"/>
  <c r="L3682" i="1"/>
  <c r="M3682" i="1" s="1"/>
  <c r="L3690" i="1"/>
  <c r="M3690" i="1" s="1"/>
  <c r="L3866" i="1"/>
  <c r="M3866" i="1" s="1"/>
  <c r="L4010" i="1"/>
  <c r="M4010" i="1" s="1"/>
  <c r="L4018" i="1"/>
  <c r="M4018" i="1" s="1"/>
  <c r="L916" i="1"/>
  <c r="M916" i="1" s="1"/>
  <c r="L924" i="1"/>
  <c r="M924" i="1" s="1"/>
  <c r="L1052" i="1"/>
  <c r="M1052" i="1" s="1"/>
  <c r="L1060" i="1"/>
  <c r="M1060" i="1" s="1"/>
  <c r="L1188" i="1"/>
  <c r="M1188" i="1" s="1"/>
  <c r="L1196" i="1"/>
  <c r="M1196" i="1" s="1"/>
  <c r="L1502" i="1"/>
  <c r="M1502" i="1" s="1"/>
  <c r="L1630" i="1"/>
  <c r="M1630" i="1" s="1"/>
  <c r="L1763" i="1"/>
  <c r="M1763" i="1" s="1"/>
  <c r="L1771" i="1"/>
  <c r="M1771" i="1" s="1"/>
  <c r="L1907" i="1"/>
  <c r="M1907" i="1" s="1"/>
  <c r="L1915" i="1"/>
  <c r="M1915" i="1" s="1"/>
  <c r="L2043" i="1"/>
  <c r="M2043" i="1" s="1"/>
  <c r="L2051" i="1"/>
  <c r="M2051" i="1" s="1"/>
  <c r="L2179" i="1"/>
  <c r="M2179" i="1" s="1"/>
  <c r="L2187" i="1"/>
  <c r="M2187" i="1" s="1"/>
  <c r="L2315" i="1"/>
  <c r="M2315" i="1" s="1"/>
  <c r="L2323" i="1"/>
  <c r="M2323" i="1" s="1"/>
  <c r="L2451" i="1"/>
  <c r="M2451" i="1" s="1"/>
  <c r="L2459" i="1"/>
  <c r="M2459" i="1" s="1"/>
  <c r="L2587" i="1"/>
  <c r="M2587" i="1" s="1"/>
  <c r="L2595" i="1"/>
  <c r="M2595" i="1" s="1"/>
  <c r="L2723" i="1"/>
  <c r="M2723" i="1" s="1"/>
  <c r="L2731" i="1"/>
  <c r="M2731" i="1" s="1"/>
  <c r="L2859" i="1"/>
  <c r="M2859" i="1" s="1"/>
  <c r="L2867" i="1"/>
  <c r="M2867" i="1" s="1"/>
  <c r="L3003" i="1"/>
  <c r="M3003" i="1" s="1"/>
  <c r="L3011" i="1"/>
  <c r="M3011" i="1" s="1"/>
  <c r="L3139" i="1"/>
  <c r="M3139" i="1" s="1"/>
  <c r="L3147" i="1"/>
  <c r="M3147" i="1" s="1"/>
  <c r="L3275" i="1"/>
  <c r="M3275" i="1" s="1"/>
  <c r="L3283" i="1"/>
  <c r="M3283" i="1" s="1"/>
  <c r="L3411" i="1"/>
  <c r="M3411" i="1" s="1"/>
  <c r="L3419" i="1"/>
  <c r="M3419" i="1" s="1"/>
  <c r="L3547" i="1"/>
  <c r="M3547" i="1" s="1"/>
  <c r="L3555" i="1"/>
  <c r="M3555" i="1" s="1"/>
  <c r="L3683" i="1"/>
  <c r="M3683" i="1" s="1"/>
  <c r="L3691" i="1"/>
  <c r="M3691" i="1" s="1"/>
  <c r="L3867" i="1"/>
  <c r="M3867" i="1" s="1"/>
  <c r="L4011" i="1"/>
  <c r="M4011" i="1" s="1"/>
  <c r="L4019" i="1"/>
  <c r="M4019" i="1" s="1"/>
  <c r="L917" i="1"/>
  <c r="M917" i="1" s="1"/>
  <c r="L925" i="1"/>
  <c r="M925" i="1" s="1"/>
  <c r="L1053" i="1"/>
  <c r="M1053" i="1" s="1"/>
  <c r="L1061" i="1"/>
  <c r="M1061" i="1" s="1"/>
  <c r="L1189" i="1"/>
  <c r="M1189" i="1" s="1"/>
  <c r="L1197" i="1"/>
  <c r="M1197" i="1" s="1"/>
  <c r="L4146" i="1"/>
  <c r="M4146" i="1" s="1"/>
  <c r="L4282" i="1"/>
  <c r="M4282" i="1" s="1"/>
  <c r="L4418" i="1"/>
  <c r="M4418" i="1" s="1"/>
  <c r="L4554" i="1"/>
  <c r="M4554" i="1" s="1"/>
  <c r="L4690" i="1"/>
  <c r="M4690" i="1" s="1"/>
  <c r="L4826" i="1"/>
  <c r="M4826" i="1" s="1"/>
  <c r="L4962" i="1"/>
  <c r="M4962" i="1" s="1"/>
  <c r="L5098" i="1"/>
  <c r="M5098" i="1" s="1"/>
  <c r="L1638" i="1"/>
  <c r="M1638" i="1" s="1"/>
  <c r="L1764" i="1"/>
  <c r="M1764" i="1" s="1"/>
  <c r="L1772" i="1"/>
  <c r="M1772" i="1" s="1"/>
  <c r="L1900" i="1"/>
  <c r="M1900" i="1" s="1"/>
  <c r="L1908" i="1"/>
  <c r="M1908" i="1" s="1"/>
  <c r="L2044" i="1"/>
  <c r="M2044" i="1" s="1"/>
  <c r="L2052" i="1"/>
  <c r="M2052" i="1" s="1"/>
  <c r="L2180" i="1"/>
  <c r="M2180" i="1" s="1"/>
  <c r="L2188" i="1"/>
  <c r="M2188" i="1" s="1"/>
  <c r="L2316" i="1"/>
  <c r="M2316" i="1" s="1"/>
  <c r="L2324" i="1"/>
  <c r="M2324" i="1" s="1"/>
  <c r="L2452" i="1"/>
  <c r="M2452" i="1" s="1"/>
  <c r="L2460" i="1"/>
  <c r="M2460" i="1" s="1"/>
  <c r="L2588" i="1"/>
  <c r="M2588" i="1" s="1"/>
  <c r="L2596" i="1"/>
  <c r="M2596" i="1" s="1"/>
  <c r="L2724" i="1"/>
  <c r="M2724" i="1" s="1"/>
  <c r="L2732" i="1"/>
  <c r="M2732" i="1" s="1"/>
  <c r="L2860" i="1"/>
  <c r="M2860" i="1" s="1"/>
  <c r="L2868" i="1"/>
  <c r="M2868" i="1" s="1"/>
  <c r="L2996" i="1"/>
  <c r="M2996" i="1" s="1"/>
  <c r="L3004" i="1"/>
  <c r="M3004" i="1" s="1"/>
  <c r="L3140" i="1"/>
  <c r="M3140" i="1" s="1"/>
  <c r="L3148" i="1"/>
  <c r="M3148" i="1" s="1"/>
  <c r="L3276" i="1"/>
  <c r="M3276" i="1" s="1"/>
  <c r="L3284" i="1"/>
  <c r="M3284" i="1" s="1"/>
  <c r="L3412" i="1"/>
  <c r="M3412" i="1" s="1"/>
  <c r="L3420" i="1"/>
  <c r="M3420" i="1" s="1"/>
  <c r="L3548" i="1"/>
  <c r="M3548" i="1" s="1"/>
  <c r="L3556" i="1"/>
  <c r="M3556" i="1" s="1"/>
  <c r="L3684" i="1"/>
  <c r="M3684" i="1" s="1"/>
  <c r="L3692" i="1"/>
  <c r="M3692" i="1" s="1"/>
  <c r="L3868" i="1"/>
  <c r="M3868" i="1" s="1"/>
  <c r="L4012" i="1"/>
  <c r="M4012" i="1" s="1"/>
  <c r="L4020" i="1"/>
  <c r="M4020" i="1" s="1"/>
  <c r="L918" i="1"/>
  <c r="M918" i="1" s="1"/>
  <c r="L926" i="1"/>
  <c r="M926" i="1" s="1"/>
  <c r="L1054" i="1"/>
  <c r="M1054" i="1" s="1"/>
  <c r="L1062" i="1"/>
  <c r="M1062" i="1" s="1"/>
  <c r="L1190" i="1"/>
  <c r="M1190" i="1" s="1"/>
  <c r="L1198" i="1"/>
  <c r="M1198" i="1" s="1"/>
  <c r="L1766" i="1"/>
  <c r="M1766" i="1" s="1"/>
  <c r="L1774" i="1"/>
  <c r="M1774" i="1" s="1"/>
  <c r="L1902" i="1"/>
  <c r="M1902" i="1" s="1"/>
  <c r="L1910" i="1"/>
  <c r="M1910" i="1" s="1"/>
  <c r="L2038" i="1"/>
  <c r="M2038" i="1" s="1"/>
  <c r="L2046" i="1"/>
  <c r="M2046" i="1" s="1"/>
  <c r="L2174" i="1"/>
  <c r="M2174" i="1" s="1"/>
  <c r="L2182" i="1"/>
  <c r="M2182" i="1" s="1"/>
  <c r="L2318" i="1"/>
  <c r="M2318" i="1" s="1"/>
  <c r="L2326" i="1"/>
  <c r="M2326" i="1" s="1"/>
  <c r="L2454" i="1"/>
  <c r="M2454" i="1" s="1"/>
  <c r="L2462" i="1"/>
  <c r="M2462" i="1" s="1"/>
  <c r="L2590" i="1"/>
  <c r="M2590" i="1" s="1"/>
  <c r="L2598" i="1"/>
  <c r="M2598" i="1" s="1"/>
  <c r="L2726" i="1"/>
  <c r="M2726" i="1" s="1"/>
  <c r="L2734" i="1"/>
  <c r="M2734" i="1" s="1"/>
  <c r="L2862" i="1"/>
  <c r="M2862" i="1" s="1"/>
  <c r="L2870" i="1"/>
  <c r="M2870" i="1" s="1"/>
  <c r="L2998" i="1"/>
  <c r="M2998" i="1" s="1"/>
  <c r="L3006" i="1"/>
  <c r="M3006" i="1" s="1"/>
  <c r="L3134" i="1"/>
  <c r="M3134" i="1" s="1"/>
  <c r="L3142" i="1"/>
  <c r="M3142" i="1" s="1"/>
  <c r="L3270" i="1"/>
  <c r="M3270" i="1" s="1"/>
  <c r="L3278" i="1"/>
  <c r="M3278" i="1" s="1"/>
  <c r="L3414" i="1"/>
  <c r="M3414" i="1" s="1"/>
  <c r="L3422" i="1"/>
  <c r="M3422" i="1" s="1"/>
  <c r="L3550" i="1"/>
  <c r="M3550" i="1" s="1"/>
  <c r="L3558" i="1"/>
  <c r="M3558" i="1" s="1"/>
  <c r="L3686" i="1"/>
  <c r="M3686" i="1" s="1"/>
  <c r="L3694" i="1"/>
  <c r="M3694" i="1" s="1"/>
  <c r="L3862" i="1"/>
  <c r="M3862" i="1" s="1"/>
  <c r="L3870" i="1"/>
  <c r="M3870" i="1" s="1"/>
  <c r="L4006" i="1"/>
  <c r="M4006" i="1" s="1"/>
  <c r="L4014" i="1"/>
  <c r="M4014" i="1" s="1"/>
  <c r="L912" i="1"/>
  <c r="M912" i="1" s="1"/>
  <c r="L920" i="1"/>
  <c r="M920" i="1" s="1"/>
  <c r="L1048" i="1"/>
  <c r="M1048" i="1" s="1"/>
  <c r="L1056" i="1"/>
  <c r="M1056" i="1" s="1"/>
  <c r="L1184" i="1"/>
  <c r="M1184" i="1" s="1"/>
  <c r="L1192" i="1"/>
  <c r="M1192" i="1" s="1"/>
  <c r="L1767" i="1"/>
  <c r="M1767" i="1" s="1"/>
  <c r="L1775" i="1"/>
  <c r="M1775" i="1" s="1"/>
  <c r="L1903" i="1"/>
  <c r="M1903" i="1" s="1"/>
  <c r="L1911" i="1"/>
  <c r="M1911" i="1" s="1"/>
  <c r="L2039" i="1"/>
  <c r="M2039" i="1" s="1"/>
  <c r="L2047" i="1"/>
  <c r="M2047" i="1" s="1"/>
  <c r="L2175" i="1"/>
  <c r="M2175" i="1" s="1"/>
  <c r="L2183" i="1"/>
  <c r="M2183" i="1" s="1"/>
  <c r="L2311" i="1"/>
  <c r="M2311" i="1" s="1"/>
  <c r="L2319" i="1"/>
  <c r="M2319" i="1" s="1"/>
  <c r="L2455" i="1"/>
  <c r="M2455" i="1" s="1"/>
  <c r="L2463" i="1"/>
  <c r="M2463" i="1" s="1"/>
  <c r="L2591" i="1"/>
  <c r="M2591" i="1" s="1"/>
  <c r="L2599" i="1"/>
  <c r="M2599" i="1" s="1"/>
  <c r="L2727" i="1"/>
  <c r="M2727" i="1" s="1"/>
  <c r="L2735" i="1"/>
  <c r="M2735" i="1" s="1"/>
  <c r="L2863" i="1"/>
  <c r="M2863" i="1" s="1"/>
  <c r="L2871" i="1"/>
  <c r="M2871" i="1" s="1"/>
  <c r="L2999" i="1"/>
  <c r="M2999" i="1" s="1"/>
  <c r="L3007" i="1"/>
  <c r="M3007" i="1" s="1"/>
  <c r="L3135" i="1"/>
  <c r="M3135" i="1" s="1"/>
  <c r="L3143" i="1"/>
  <c r="M3143" i="1" s="1"/>
  <c r="L3271" i="1"/>
  <c r="M3271" i="1" s="1"/>
  <c r="L3279" i="1"/>
  <c r="M3279" i="1" s="1"/>
  <c r="L3407" i="1"/>
  <c r="M3407" i="1" s="1"/>
  <c r="L3415" i="1"/>
  <c r="M3415" i="1" s="1"/>
  <c r="L3551" i="1"/>
  <c r="M3551" i="1" s="1"/>
  <c r="L3559" i="1"/>
  <c r="M3559" i="1" s="1"/>
  <c r="L3687" i="1"/>
  <c r="M3687" i="1" s="1"/>
  <c r="L3695" i="1"/>
  <c r="M3695" i="1" s="1"/>
  <c r="L3863" i="1"/>
  <c r="M3863" i="1" s="1"/>
  <c r="L4007" i="1"/>
  <c r="M4007" i="1" s="1"/>
  <c r="L4015" i="1"/>
  <c r="M4015" i="1" s="1"/>
  <c r="L913" i="1"/>
  <c r="M913" i="1" s="1"/>
  <c r="L921" i="1"/>
  <c r="M921" i="1" s="1"/>
  <c r="L1049" i="1"/>
  <c r="M1049" i="1" s="1"/>
  <c r="L1057" i="1"/>
  <c r="M1057" i="1" s="1"/>
  <c r="L1185" i="1"/>
  <c r="M1185" i="1" s="1"/>
  <c r="L1193" i="1"/>
  <c r="M1193" i="1" s="1"/>
  <c r="L1768" i="1"/>
  <c r="M1768" i="1" s="1"/>
  <c r="L1776" i="1"/>
  <c r="M1776" i="1" s="1"/>
  <c r="L1904" i="1"/>
  <c r="M1904" i="1" s="1"/>
  <c r="L1912" i="1"/>
  <c r="M1912" i="1" s="1"/>
  <c r="L2040" i="1"/>
  <c r="M2040" i="1" s="1"/>
  <c r="L2048" i="1"/>
  <c r="M2048" i="1" s="1"/>
  <c r="L2176" i="1"/>
  <c r="M2176" i="1" s="1"/>
  <c r="L2184" i="1"/>
  <c r="M2184" i="1" s="1"/>
  <c r="L2312" i="1"/>
  <c r="M2312" i="1" s="1"/>
  <c r="L2320" i="1"/>
  <c r="M2320" i="1" s="1"/>
  <c r="L2448" i="1"/>
  <c r="M2448" i="1" s="1"/>
  <c r="L2456" i="1"/>
  <c r="M2456" i="1" s="1"/>
  <c r="L2592" i="1"/>
  <c r="M2592" i="1" s="1"/>
  <c r="L2600" i="1"/>
  <c r="M2600" i="1" s="1"/>
  <c r="L2728" i="1"/>
  <c r="M2728" i="1" s="1"/>
  <c r="L2736" i="1"/>
  <c r="M2736" i="1" s="1"/>
  <c r="L2864" i="1"/>
  <c r="M2864" i="1" s="1"/>
  <c r="L2872" i="1"/>
  <c r="M2872" i="1" s="1"/>
  <c r="L3000" i="1"/>
  <c r="M3000" i="1" s="1"/>
  <c r="L3008" i="1"/>
  <c r="M3008" i="1" s="1"/>
  <c r="L3136" i="1"/>
  <c r="M3136" i="1" s="1"/>
  <c r="L3144" i="1"/>
  <c r="M3144" i="1" s="1"/>
  <c r="L3272" i="1"/>
  <c r="M3272" i="1" s="1"/>
  <c r="L3280" i="1"/>
  <c r="M3280" i="1" s="1"/>
  <c r="L3408" i="1"/>
  <c r="M3408" i="1" s="1"/>
  <c r="L3416" i="1"/>
  <c r="M3416" i="1" s="1"/>
  <c r="L3544" i="1"/>
  <c r="M3544" i="1" s="1"/>
  <c r="L3552" i="1"/>
  <c r="M3552" i="1" s="1"/>
  <c r="L3688" i="1"/>
  <c r="M3688" i="1" s="1"/>
  <c r="L3696" i="1"/>
  <c r="M3696" i="1" s="1"/>
  <c r="L3864" i="1"/>
  <c r="M3864" i="1" s="1"/>
  <c r="L4008" i="1"/>
  <c r="M4008" i="1" s="1"/>
  <c r="L4016" i="1"/>
  <c r="M4016" i="1" s="1"/>
  <c r="L914" i="1"/>
  <c r="M914" i="1" s="1"/>
  <c r="L922" i="1"/>
  <c r="M922" i="1" s="1"/>
  <c r="L1050" i="1"/>
  <c r="M1050" i="1" s="1"/>
  <c r="L1058" i="1"/>
  <c r="M1058" i="1" s="1"/>
  <c r="L1186" i="1"/>
  <c r="M1186" i="1" s="1"/>
  <c r="L1194" i="1"/>
  <c r="M1194" i="1" s="1"/>
  <c r="L2045" i="1"/>
  <c r="M2045" i="1" s="1"/>
  <c r="L2181" i="1"/>
  <c r="M2181" i="1" s="1"/>
  <c r="L3141" i="1"/>
  <c r="M3141" i="1" s="1"/>
  <c r="L3277" i="1"/>
  <c r="M3277" i="1" s="1"/>
  <c r="L98" i="1"/>
  <c r="M98" i="1" s="1"/>
  <c r="L106" i="1"/>
  <c r="M106" i="1" s="1"/>
  <c r="L234" i="1"/>
  <c r="M234" i="1" s="1"/>
  <c r="L242" i="1"/>
  <c r="M242" i="1" s="1"/>
  <c r="L370" i="1"/>
  <c r="M370" i="1" s="1"/>
  <c r="L378" i="1"/>
  <c r="M378" i="1" s="1"/>
  <c r="L506" i="1"/>
  <c r="M506" i="1" s="1"/>
  <c r="L514" i="1"/>
  <c r="M514" i="1" s="1"/>
  <c r="L642" i="1"/>
  <c r="M642" i="1" s="1"/>
  <c r="L650" i="1"/>
  <c r="M650" i="1" s="1"/>
  <c r="L778" i="1"/>
  <c r="M778" i="1" s="1"/>
  <c r="L786" i="1"/>
  <c r="M786" i="1" s="1"/>
  <c r="L34" i="1"/>
  <c r="M34" i="1" s="1"/>
  <c r="L3861" i="1"/>
  <c r="M3861" i="1" s="1"/>
  <c r="L1047" i="1"/>
  <c r="M1047" i="1" s="1"/>
  <c r="L782" i="1"/>
  <c r="M782" i="1" s="1"/>
  <c r="L4290" i="1"/>
  <c r="M4290" i="1" s="1"/>
  <c r="L4834" i="1"/>
  <c r="M4834" i="1" s="1"/>
  <c r="L2189" i="1"/>
  <c r="M2189" i="1" s="1"/>
  <c r="L2317" i="1"/>
  <c r="M2317" i="1" s="1"/>
  <c r="L3285" i="1"/>
  <c r="M3285" i="1" s="1"/>
  <c r="L3413" i="1"/>
  <c r="M3413" i="1" s="1"/>
  <c r="L99" i="1"/>
  <c r="M99" i="1" s="1"/>
  <c r="L107" i="1"/>
  <c r="M107" i="1" s="1"/>
  <c r="L235" i="1"/>
  <c r="M235" i="1" s="1"/>
  <c r="L243" i="1"/>
  <c r="M243" i="1" s="1"/>
  <c r="L371" i="1"/>
  <c r="M371" i="1" s="1"/>
  <c r="L379" i="1"/>
  <c r="M379" i="1" s="1"/>
  <c r="L507" i="1"/>
  <c r="M507" i="1" s="1"/>
  <c r="L515" i="1"/>
  <c r="M515" i="1" s="1"/>
  <c r="L643" i="1"/>
  <c r="M643" i="1" s="1"/>
  <c r="L651" i="1"/>
  <c r="M651" i="1" s="1"/>
  <c r="L779" i="1"/>
  <c r="M779" i="1" s="1"/>
  <c r="L787" i="1"/>
  <c r="M787" i="1" s="1"/>
  <c r="L35" i="1"/>
  <c r="M35" i="1" s="1"/>
  <c r="L911" i="1"/>
  <c r="M911" i="1" s="1"/>
  <c r="L110" i="1"/>
  <c r="M110" i="1" s="1"/>
  <c r="L38" i="1"/>
  <c r="M38" i="1" s="1"/>
  <c r="L2325" i="1"/>
  <c r="M2325" i="1" s="1"/>
  <c r="L2453" i="1"/>
  <c r="M2453" i="1" s="1"/>
  <c r="L3421" i="1"/>
  <c r="M3421" i="1" s="1"/>
  <c r="L3549" i="1"/>
  <c r="M3549" i="1" s="1"/>
  <c r="L100" i="1"/>
  <c r="M100" i="1" s="1"/>
  <c r="L108" i="1"/>
  <c r="M108" i="1" s="1"/>
  <c r="L236" i="1"/>
  <c r="M236" i="1" s="1"/>
  <c r="L244" i="1"/>
  <c r="M244" i="1" s="1"/>
  <c r="L372" i="1"/>
  <c r="M372" i="1" s="1"/>
  <c r="L380" i="1"/>
  <c r="M380" i="1" s="1"/>
  <c r="L508" i="1"/>
  <c r="M508" i="1" s="1"/>
  <c r="L516" i="1"/>
  <c r="M516" i="1" s="1"/>
  <c r="L644" i="1"/>
  <c r="M644" i="1" s="1"/>
  <c r="L652" i="1"/>
  <c r="M652" i="1" s="1"/>
  <c r="L780" i="1"/>
  <c r="M780" i="1" s="1"/>
  <c r="L788" i="1"/>
  <c r="M788" i="1" s="1"/>
  <c r="L36" i="1"/>
  <c r="M36" i="1" s="1"/>
  <c r="L29" i="1"/>
  <c r="M29" i="1" s="1"/>
  <c r="L3693" i="1"/>
  <c r="M3693" i="1" s="1"/>
  <c r="L1183" i="1"/>
  <c r="M1183" i="1" s="1"/>
  <c r="L238" i="1"/>
  <c r="M238" i="1" s="1"/>
  <c r="L518" i="1"/>
  <c r="M518" i="1" s="1"/>
  <c r="L4426" i="1"/>
  <c r="M4426" i="1" s="1"/>
  <c r="L4970" i="1"/>
  <c r="M4970" i="1" s="1"/>
  <c r="L2461" i="1"/>
  <c r="M2461" i="1" s="1"/>
  <c r="L2589" i="1"/>
  <c r="M2589" i="1" s="1"/>
  <c r="L3557" i="1"/>
  <c r="M3557" i="1" s="1"/>
  <c r="L3685" i="1"/>
  <c r="M3685" i="1" s="1"/>
  <c r="L101" i="1"/>
  <c r="M101" i="1" s="1"/>
  <c r="L109" i="1"/>
  <c r="M109" i="1" s="1"/>
  <c r="L237" i="1"/>
  <c r="M237" i="1" s="1"/>
  <c r="L245" i="1"/>
  <c r="M245" i="1" s="1"/>
  <c r="L373" i="1"/>
  <c r="M373" i="1" s="1"/>
  <c r="L381" i="1"/>
  <c r="M381" i="1" s="1"/>
  <c r="L509" i="1"/>
  <c r="M509" i="1" s="1"/>
  <c r="L517" i="1"/>
  <c r="M517" i="1" s="1"/>
  <c r="L645" i="1"/>
  <c r="M645" i="1" s="1"/>
  <c r="L653" i="1"/>
  <c r="M653" i="1" s="1"/>
  <c r="L781" i="1"/>
  <c r="M781" i="1" s="1"/>
  <c r="L789" i="1"/>
  <c r="M789" i="1" s="1"/>
  <c r="L37" i="1"/>
  <c r="M37" i="1" s="1"/>
  <c r="L30" i="1"/>
  <c r="M30" i="1" s="1"/>
  <c r="L654" i="1"/>
  <c r="M654" i="1" s="1"/>
  <c r="L4562" i="1"/>
  <c r="M4562" i="1" s="1"/>
  <c r="L5106" i="1"/>
  <c r="M5106" i="1" s="1"/>
  <c r="L1765" i="1"/>
  <c r="M1765" i="1" s="1"/>
  <c r="L2733" i="1"/>
  <c r="M2733" i="1" s="1"/>
  <c r="L2861" i="1"/>
  <c r="M2861" i="1" s="1"/>
  <c r="L3869" i="1"/>
  <c r="M3869" i="1" s="1"/>
  <c r="L4005" i="1"/>
  <c r="M4005" i="1" s="1"/>
  <c r="L919" i="1"/>
  <c r="M919" i="1" s="1"/>
  <c r="L1055" i="1"/>
  <c r="M1055" i="1" s="1"/>
  <c r="L1191" i="1"/>
  <c r="M1191" i="1" s="1"/>
  <c r="L95" i="1"/>
  <c r="L103" i="1"/>
  <c r="M103" i="1" s="1"/>
  <c r="L231" i="1"/>
  <c r="L239" i="1"/>
  <c r="M239" i="1" s="1"/>
  <c r="L367" i="1"/>
  <c r="M367" i="1" s="1"/>
  <c r="L375" i="1"/>
  <c r="M375" i="1" s="1"/>
  <c r="L503" i="1"/>
  <c r="L511" i="1"/>
  <c r="M511" i="1" s="1"/>
  <c r="L639" i="1"/>
  <c r="M639" i="1" s="1"/>
  <c r="L647" i="1"/>
  <c r="M647" i="1" s="1"/>
  <c r="L775" i="1"/>
  <c r="M775" i="1" s="1"/>
  <c r="L783" i="1"/>
  <c r="M783" i="1" s="1"/>
  <c r="L31" i="1"/>
  <c r="M31" i="1" s="1"/>
  <c r="L374" i="1"/>
  <c r="M374" i="1" s="1"/>
  <c r="L1773" i="1"/>
  <c r="M1773" i="1" s="1"/>
  <c r="L1901" i="1"/>
  <c r="M1901" i="1" s="1"/>
  <c r="L2869" i="1"/>
  <c r="M2869" i="1" s="1"/>
  <c r="L2997" i="1"/>
  <c r="M2997" i="1" s="1"/>
  <c r="L4013" i="1"/>
  <c r="M4013" i="1" s="1"/>
  <c r="L96" i="1"/>
  <c r="M96" i="1" s="1"/>
  <c r="L104" i="1"/>
  <c r="M104" i="1" s="1"/>
  <c r="L232" i="1"/>
  <c r="M232" i="1" s="1"/>
  <c r="L240" i="1"/>
  <c r="M240" i="1" s="1"/>
  <c r="L368" i="1"/>
  <c r="M368" i="1" s="1"/>
  <c r="L376" i="1"/>
  <c r="M376" i="1" s="1"/>
  <c r="L504" i="1"/>
  <c r="M504" i="1" s="1"/>
  <c r="L512" i="1"/>
  <c r="M512" i="1" s="1"/>
  <c r="L640" i="1"/>
  <c r="M640" i="1" s="1"/>
  <c r="L648" i="1"/>
  <c r="M648" i="1" s="1"/>
  <c r="L776" i="1"/>
  <c r="M776" i="1" s="1"/>
  <c r="L784" i="1"/>
  <c r="M784" i="1" s="1"/>
  <c r="L32" i="1"/>
  <c r="M32" i="1" s="1"/>
  <c r="L2597" i="1"/>
  <c r="M2597" i="1" s="1"/>
  <c r="L102" i="1"/>
  <c r="M102" i="1" s="1"/>
  <c r="L510" i="1"/>
  <c r="M510" i="1" s="1"/>
  <c r="L4154" i="1"/>
  <c r="M4154" i="1" s="1"/>
  <c r="L4698" i="1"/>
  <c r="M4698" i="1" s="1"/>
  <c r="L1909" i="1"/>
  <c r="M1909" i="1" s="1"/>
  <c r="L2037" i="1"/>
  <c r="M2037" i="1" s="1"/>
  <c r="L3005" i="1"/>
  <c r="M3005" i="1" s="1"/>
  <c r="L3133" i="1"/>
  <c r="M3133" i="1" s="1"/>
  <c r="L97" i="1"/>
  <c r="M97" i="1" s="1"/>
  <c r="L105" i="1"/>
  <c r="M105" i="1" s="1"/>
  <c r="L233" i="1"/>
  <c r="M233" i="1" s="1"/>
  <c r="L241" i="1"/>
  <c r="M241" i="1" s="1"/>
  <c r="L369" i="1"/>
  <c r="M369" i="1" s="1"/>
  <c r="L377" i="1"/>
  <c r="M377" i="1" s="1"/>
  <c r="L505" i="1"/>
  <c r="M505" i="1" s="1"/>
  <c r="L513" i="1"/>
  <c r="M513" i="1" s="1"/>
  <c r="L641" i="1"/>
  <c r="M641" i="1" s="1"/>
  <c r="L649" i="1"/>
  <c r="M649" i="1" s="1"/>
  <c r="L777" i="1"/>
  <c r="M777" i="1" s="1"/>
  <c r="L785" i="1"/>
  <c r="M785" i="1" s="1"/>
  <c r="L33" i="1"/>
  <c r="M33" i="1" s="1"/>
  <c r="L2725" i="1"/>
  <c r="M2725" i="1" s="1"/>
  <c r="L246" i="1"/>
  <c r="M246" i="1" s="1"/>
  <c r="L382" i="1"/>
  <c r="M382" i="1" s="1"/>
  <c r="L646" i="1"/>
  <c r="M646" i="1" s="1"/>
  <c r="L790" i="1"/>
  <c r="M790" i="1" s="1"/>
  <c r="D23" i="40"/>
  <c r="D50" i="40" s="1"/>
  <c r="K191" i="15"/>
  <c r="K190" i="15"/>
  <c r="K192" i="15"/>
  <c r="L14447" i="1"/>
  <c r="M14447" i="1" s="1"/>
  <c r="L14455" i="1"/>
  <c r="M14455" i="1" s="1"/>
  <c r="L14583" i="1"/>
  <c r="M14583" i="1" s="1"/>
  <c r="L14591" i="1"/>
  <c r="M14591" i="1" s="1"/>
  <c r="L14719" i="1"/>
  <c r="M14719" i="1" s="1"/>
  <c r="L14727" i="1"/>
  <c r="M14727" i="1" s="1"/>
  <c r="L14855" i="1"/>
  <c r="M14855" i="1" s="1"/>
  <c r="L14863" i="1"/>
  <c r="M14863" i="1" s="1"/>
  <c r="L5202" i="1"/>
  <c r="M5202" i="1" s="1"/>
  <c r="L5210" i="1"/>
  <c r="M5210" i="1" s="1"/>
  <c r="L14448" i="1"/>
  <c r="M14448" i="1" s="1"/>
  <c r="L14456" i="1"/>
  <c r="M14456" i="1" s="1"/>
  <c r="L14584" i="1"/>
  <c r="M14584" i="1" s="1"/>
  <c r="L14592" i="1"/>
  <c r="M14592" i="1" s="1"/>
  <c r="L14720" i="1"/>
  <c r="M14720" i="1" s="1"/>
  <c r="L14728" i="1"/>
  <c r="M14728" i="1" s="1"/>
  <c r="L14856" i="1"/>
  <c r="M14856" i="1" s="1"/>
  <c r="L14864" i="1"/>
  <c r="M14864" i="1" s="1"/>
  <c r="L5195" i="1"/>
  <c r="M5195" i="1" s="1"/>
  <c r="L5203" i="1"/>
  <c r="M5203" i="1" s="1"/>
  <c r="L14449" i="1"/>
  <c r="M14449" i="1" s="1"/>
  <c r="L14457" i="1"/>
  <c r="M14457" i="1" s="1"/>
  <c r="L14585" i="1"/>
  <c r="M14585" i="1" s="1"/>
  <c r="L14593" i="1"/>
  <c r="M14593" i="1" s="1"/>
  <c r="L14721" i="1"/>
  <c r="M14721" i="1" s="1"/>
  <c r="L14729" i="1"/>
  <c r="M14729" i="1" s="1"/>
  <c r="L14857" i="1"/>
  <c r="M14857" i="1" s="1"/>
  <c r="L14865" i="1"/>
  <c r="M14865" i="1" s="1"/>
  <c r="L5196" i="1"/>
  <c r="M5196" i="1" s="1"/>
  <c r="L5204" i="1"/>
  <c r="M5204" i="1" s="1"/>
  <c r="L14450" i="1"/>
  <c r="M14450" i="1" s="1"/>
  <c r="L14458" i="1"/>
  <c r="M14458" i="1" s="1"/>
  <c r="L14586" i="1"/>
  <c r="M14586" i="1" s="1"/>
  <c r="L14594" i="1"/>
  <c r="M14594" i="1" s="1"/>
  <c r="L14722" i="1"/>
  <c r="M14722" i="1" s="1"/>
  <c r="L14730" i="1"/>
  <c r="M14730" i="1" s="1"/>
  <c r="L14858" i="1"/>
  <c r="M14858" i="1" s="1"/>
  <c r="L14866" i="1"/>
  <c r="M14866" i="1" s="1"/>
  <c r="L5197" i="1"/>
  <c r="M5197" i="1" s="1"/>
  <c r="L5205" i="1"/>
  <c r="M5205" i="1" s="1"/>
  <c r="L14443" i="1"/>
  <c r="M14443" i="1" s="1"/>
  <c r="L14451" i="1"/>
  <c r="M14451" i="1" s="1"/>
  <c r="L14579" i="1"/>
  <c r="M14579" i="1" s="1"/>
  <c r="L14587" i="1"/>
  <c r="M14587" i="1" s="1"/>
  <c r="L14715" i="1"/>
  <c r="M14715" i="1" s="1"/>
  <c r="L14723" i="1"/>
  <c r="M14723" i="1" s="1"/>
  <c r="L14851" i="1"/>
  <c r="M14851" i="1" s="1"/>
  <c r="L14859" i="1"/>
  <c r="M14859" i="1" s="1"/>
  <c r="L5198" i="1"/>
  <c r="M5198" i="1" s="1"/>
  <c r="L5206" i="1"/>
  <c r="M5206" i="1" s="1"/>
  <c r="L14444" i="1"/>
  <c r="M14444" i="1" s="1"/>
  <c r="L14452" i="1"/>
  <c r="M14452" i="1" s="1"/>
  <c r="L14580" i="1"/>
  <c r="M14580" i="1" s="1"/>
  <c r="L14588" i="1"/>
  <c r="M14588" i="1" s="1"/>
  <c r="L14716" i="1"/>
  <c r="M14716" i="1" s="1"/>
  <c r="L14724" i="1"/>
  <c r="M14724" i="1" s="1"/>
  <c r="L14852" i="1"/>
  <c r="M14852" i="1" s="1"/>
  <c r="L14860" i="1"/>
  <c r="M14860" i="1" s="1"/>
  <c r="L5199" i="1"/>
  <c r="M5199" i="1" s="1"/>
  <c r="L5207" i="1"/>
  <c r="M5207" i="1" s="1"/>
  <c r="L14445" i="1"/>
  <c r="M14445" i="1" s="1"/>
  <c r="L14453" i="1"/>
  <c r="M14453" i="1" s="1"/>
  <c r="L14581" i="1"/>
  <c r="M14581" i="1" s="1"/>
  <c r="L14589" i="1"/>
  <c r="M14589" i="1" s="1"/>
  <c r="L14717" i="1"/>
  <c r="M14717" i="1" s="1"/>
  <c r="L14725" i="1"/>
  <c r="M14725" i="1" s="1"/>
  <c r="L14853" i="1"/>
  <c r="M14853" i="1" s="1"/>
  <c r="L14861" i="1"/>
  <c r="M14861" i="1" s="1"/>
  <c r="L5200" i="1"/>
  <c r="M5200" i="1" s="1"/>
  <c r="L5208" i="1"/>
  <c r="M5208" i="1" s="1"/>
  <c r="L14446" i="1"/>
  <c r="M14446" i="1" s="1"/>
  <c r="L14454" i="1"/>
  <c r="M14454" i="1" s="1"/>
  <c r="L14582" i="1"/>
  <c r="M14582" i="1" s="1"/>
  <c r="L14590" i="1"/>
  <c r="M14590" i="1" s="1"/>
  <c r="L14718" i="1"/>
  <c r="M14718" i="1" s="1"/>
  <c r="L14726" i="1"/>
  <c r="M14726" i="1" s="1"/>
  <c r="L14854" i="1"/>
  <c r="M14854" i="1" s="1"/>
  <c r="L14862" i="1"/>
  <c r="M14862" i="1" s="1"/>
  <c r="L5201" i="1"/>
  <c r="M5201" i="1" s="1"/>
  <c r="L5209" i="1"/>
  <c r="M5209" i="1" s="1"/>
  <c r="L5331" i="1"/>
  <c r="M5331" i="1" s="1"/>
  <c r="L5339" i="1"/>
  <c r="M5339" i="1" s="1"/>
  <c r="L5467" i="1"/>
  <c r="M5467" i="1" s="1"/>
  <c r="L5475" i="1"/>
  <c r="M5475" i="1" s="1"/>
  <c r="L5603" i="1"/>
  <c r="M5603" i="1" s="1"/>
  <c r="L5611" i="1"/>
  <c r="M5611" i="1" s="1"/>
  <c r="L5739" i="1"/>
  <c r="M5739" i="1" s="1"/>
  <c r="L5747" i="1"/>
  <c r="M5747" i="1" s="1"/>
  <c r="L5875" i="1"/>
  <c r="M5875" i="1" s="1"/>
  <c r="L5883" i="1"/>
  <c r="M5883" i="1" s="1"/>
  <c r="L5332" i="1"/>
  <c r="M5332" i="1" s="1"/>
  <c r="L5340" i="1"/>
  <c r="M5340" i="1" s="1"/>
  <c r="L5468" i="1"/>
  <c r="M5468" i="1" s="1"/>
  <c r="L5476" i="1"/>
  <c r="M5476" i="1" s="1"/>
  <c r="L5604" i="1"/>
  <c r="M5604" i="1" s="1"/>
  <c r="L5612" i="1"/>
  <c r="M5612" i="1" s="1"/>
  <c r="L5740" i="1"/>
  <c r="M5740" i="1" s="1"/>
  <c r="L5748" i="1"/>
  <c r="M5748" i="1" s="1"/>
  <c r="L5333" i="1"/>
  <c r="M5333" i="1" s="1"/>
  <c r="L5341" i="1"/>
  <c r="M5341" i="1" s="1"/>
  <c r="L5469" i="1"/>
  <c r="M5469" i="1" s="1"/>
  <c r="L5477" i="1"/>
  <c r="M5477" i="1" s="1"/>
  <c r="L5605" i="1"/>
  <c r="M5605" i="1" s="1"/>
  <c r="L5613" i="1"/>
  <c r="M5613" i="1" s="1"/>
  <c r="L5741" i="1"/>
  <c r="M5741" i="1" s="1"/>
  <c r="L5749" i="1"/>
  <c r="M5749" i="1" s="1"/>
  <c r="L5334" i="1"/>
  <c r="M5334" i="1" s="1"/>
  <c r="L5342" i="1"/>
  <c r="M5342" i="1" s="1"/>
  <c r="L5470" i="1"/>
  <c r="M5470" i="1" s="1"/>
  <c r="L5478" i="1"/>
  <c r="M5478" i="1" s="1"/>
  <c r="L5606" i="1"/>
  <c r="M5606" i="1" s="1"/>
  <c r="L5614" i="1"/>
  <c r="M5614" i="1" s="1"/>
  <c r="L5742" i="1"/>
  <c r="M5742" i="1" s="1"/>
  <c r="L5750" i="1"/>
  <c r="M5750" i="1" s="1"/>
  <c r="L5878" i="1"/>
  <c r="M5878" i="1" s="1"/>
  <c r="L5886" i="1"/>
  <c r="M5886" i="1" s="1"/>
  <c r="L5335" i="1"/>
  <c r="M5335" i="1" s="1"/>
  <c r="L5343" i="1"/>
  <c r="M5343" i="1" s="1"/>
  <c r="L5471" i="1"/>
  <c r="M5471" i="1" s="1"/>
  <c r="L5479" i="1"/>
  <c r="M5479" i="1" s="1"/>
  <c r="L5607" i="1"/>
  <c r="M5607" i="1" s="1"/>
  <c r="L5615" i="1"/>
  <c r="M5615" i="1" s="1"/>
  <c r="L5743" i="1"/>
  <c r="M5743" i="1" s="1"/>
  <c r="L5751" i="1"/>
  <c r="M5751" i="1" s="1"/>
  <c r="L5879" i="1"/>
  <c r="M5879" i="1" s="1"/>
  <c r="L5887" i="1"/>
  <c r="M5887" i="1" s="1"/>
  <c r="L5336" i="1"/>
  <c r="M5336" i="1" s="1"/>
  <c r="L5344" i="1"/>
  <c r="M5344" i="1" s="1"/>
  <c r="L5472" i="1"/>
  <c r="M5472" i="1" s="1"/>
  <c r="L5480" i="1"/>
  <c r="M5480" i="1" s="1"/>
  <c r="L5608" i="1"/>
  <c r="M5608" i="1" s="1"/>
  <c r="L5616" i="1"/>
  <c r="M5616" i="1" s="1"/>
  <c r="L5744" i="1"/>
  <c r="M5744" i="1" s="1"/>
  <c r="L5752" i="1"/>
  <c r="M5752" i="1" s="1"/>
  <c r="L5337" i="1"/>
  <c r="M5337" i="1" s="1"/>
  <c r="L5345" i="1"/>
  <c r="M5345" i="1" s="1"/>
  <c r="L5473" i="1"/>
  <c r="M5473" i="1" s="1"/>
  <c r="L5481" i="1"/>
  <c r="M5481" i="1" s="1"/>
  <c r="L5609" i="1"/>
  <c r="M5609" i="1" s="1"/>
  <c r="L5617" i="1"/>
  <c r="M5617" i="1" s="1"/>
  <c r="L5745" i="1"/>
  <c r="M5745" i="1" s="1"/>
  <c r="L5753" i="1"/>
  <c r="M5753" i="1" s="1"/>
  <c r="L5338" i="1"/>
  <c r="M5338" i="1" s="1"/>
  <c r="L5346" i="1"/>
  <c r="M5346" i="1" s="1"/>
  <c r="L5474" i="1"/>
  <c r="M5474" i="1" s="1"/>
  <c r="L5482" i="1"/>
  <c r="M5482" i="1" s="1"/>
  <c r="L5610" i="1"/>
  <c r="M5610" i="1" s="1"/>
  <c r="L5618" i="1"/>
  <c r="M5618" i="1" s="1"/>
  <c r="L5746" i="1"/>
  <c r="M5746" i="1" s="1"/>
  <c r="L5754" i="1"/>
  <c r="M5754" i="1" s="1"/>
  <c r="L5882" i="1"/>
  <c r="M5882" i="1" s="1"/>
  <c r="L5890" i="1"/>
  <c r="M5890" i="1" s="1"/>
  <c r="L5877" i="1"/>
  <c r="M5877" i="1" s="1"/>
  <c r="L6013" i="1"/>
  <c r="M6013" i="1" s="1"/>
  <c r="L6021" i="1"/>
  <c r="M6021" i="1" s="1"/>
  <c r="L6149" i="1"/>
  <c r="M6149" i="1" s="1"/>
  <c r="L6157" i="1"/>
  <c r="M6157" i="1" s="1"/>
  <c r="L6285" i="1"/>
  <c r="M6285" i="1" s="1"/>
  <c r="L6293" i="1"/>
  <c r="M6293" i="1" s="1"/>
  <c r="L6421" i="1"/>
  <c r="M6421" i="1" s="1"/>
  <c r="L6429" i="1"/>
  <c r="M6429" i="1" s="1"/>
  <c r="L5880" i="1"/>
  <c r="M5880" i="1" s="1"/>
  <c r="L6014" i="1"/>
  <c r="M6014" i="1" s="1"/>
  <c r="L6022" i="1"/>
  <c r="M6022" i="1" s="1"/>
  <c r="L6150" i="1"/>
  <c r="M6150" i="1" s="1"/>
  <c r="L6158" i="1"/>
  <c r="M6158" i="1" s="1"/>
  <c r="L6286" i="1"/>
  <c r="M6286" i="1" s="1"/>
  <c r="L6294" i="1"/>
  <c r="M6294" i="1" s="1"/>
  <c r="L6422" i="1"/>
  <c r="M6422" i="1" s="1"/>
  <c r="L6430" i="1"/>
  <c r="M6430" i="1" s="1"/>
  <c r="L5881" i="1"/>
  <c r="M5881" i="1" s="1"/>
  <c r="L6015" i="1"/>
  <c r="M6015" i="1" s="1"/>
  <c r="L6023" i="1"/>
  <c r="M6023" i="1" s="1"/>
  <c r="L6151" i="1"/>
  <c r="M6151" i="1" s="1"/>
  <c r="L6159" i="1"/>
  <c r="M6159" i="1" s="1"/>
  <c r="L6287" i="1"/>
  <c r="M6287" i="1" s="1"/>
  <c r="L6295" i="1"/>
  <c r="M6295" i="1" s="1"/>
  <c r="L6423" i="1"/>
  <c r="M6423" i="1" s="1"/>
  <c r="L6431" i="1"/>
  <c r="M6431" i="1" s="1"/>
  <c r="L5884" i="1"/>
  <c r="M5884" i="1" s="1"/>
  <c r="L6016" i="1"/>
  <c r="M6016" i="1" s="1"/>
  <c r="L6024" i="1"/>
  <c r="M6024" i="1" s="1"/>
  <c r="L6152" i="1"/>
  <c r="M6152" i="1" s="1"/>
  <c r="L6160" i="1"/>
  <c r="M6160" i="1" s="1"/>
  <c r="L6288" i="1"/>
  <c r="M6288" i="1" s="1"/>
  <c r="L6296" i="1"/>
  <c r="M6296" i="1" s="1"/>
  <c r="L6424" i="1"/>
  <c r="M6424" i="1" s="1"/>
  <c r="L6432" i="1"/>
  <c r="M6432" i="1" s="1"/>
  <c r="L6560" i="1"/>
  <c r="M6560" i="1" s="1"/>
  <c r="L6568" i="1"/>
  <c r="M6568" i="1" s="1"/>
  <c r="L5885" i="1"/>
  <c r="M5885" i="1" s="1"/>
  <c r="L6017" i="1"/>
  <c r="M6017" i="1" s="1"/>
  <c r="L6025" i="1"/>
  <c r="M6025" i="1" s="1"/>
  <c r="L6153" i="1"/>
  <c r="M6153" i="1" s="1"/>
  <c r="L6161" i="1"/>
  <c r="M6161" i="1" s="1"/>
  <c r="L6289" i="1"/>
  <c r="M6289" i="1" s="1"/>
  <c r="L6297" i="1"/>
  <c r="M6297" i="1" s="1"/>
  <c r="L6425" i="1"/>
  <c r="M6425" i="1" s="1"/>
  <c r="L6433" i="1"/>
  <c r="M6433" i="1" s="1"/>
  <c r="L5888" i="1"/>
  <c r="M5888" i="1" s="1"/>
  <c r="L6018" i="1"/>
  <c r="M6018" i="1" s="1"/>
  <c r="L6026" i="1"/>
  <c r="M6026" i="1" s="1"/>
  <c r="L6154" i="1"/>
  <c r="M6154" i="1" s="1"/>
  <c r="L6162" i="1"/>
  <c r="M6162" i="1" s="1"/>
  <c r="L6290" i="1"/>
  <c r="M6290" i="1" s="1"/>
  <c r="L6298" i="1"/>
  <c r="M6298" i="1" s="1"/>
  <c r="L6426" i="1"/>
  <c r="M6426" i="1" s="1"/>
  <c r="L6434" i="1"/>
  <c r="M6434" i="1" s="1"/>
  <c r="L5889" i="1"/>
  <c r="M5889" i="1" s="1"/>
  <c r="L6011" i="1"/>
  <c r="M6011" i="1" s="1"/>
  <c r="L6019" i="1"/>
  <c r="M6019" i="1" s="1"/>
  <c r="L6147" i="1"/>
  <c r="M6147" i="1" s="1"/>
  <c r="L6155" i="1"/>
  <c r="M6155" i="1" s="1"/>
  <c r="L6283" i="1"/>
  <c r="M6283" i="1" s="1"/>
  <c r="L6291" i="1"/>
  <c r="M6291" i="1" s="1"/>
  <c r="L6419" i="1"/>
  <c r="M6419" i="1" s="1"/>
  <c r="L6427" i="1"/>
  <c r="M6427" i="1" s="1"/>
  <c r="L5876" i="1"/>
  <c r="M5876" i="1" s="1"/>
  <c r="L6012" i="1"/>
  <c r="M6012" i="1" s="1"/>
  <c r="L6020" i="1"/>
  <c r="M6020" i="1" s="1"/>
  <c r="L6148" i="1"/>
  <c r="M6148" i="1" s="1"/>
  <c r="L6156" i="1"/>
  <c r="M6156" i="1" s="1"/>
  <c r="L6284" i="1"/>
  <c r="M6284" i="1" s="1"/>
  <c r="L6292" i="1"/>
  <c r="M6292" i="1" s="1"/>
  <c r="L6420" i="1"/>
  <c r="M6420" i="1" s="1"/>
  <c r="L6428" i="1"/>
  <c r="M6428" i="1" s="1"/>
  <c r="L6556" i="1"/>
  <c r="M6556" i="1" s="1"/>
  <c r="L6564" i="1"/>
  <c r="M6564" i="1" s="1"/>
  <c r="L6559" i="1"/>
  <c r="M6559" i="1" s="1"/>
  <c r="L6570" i="1"/>
  <c r="M6570" i="1" s="1"/>
  <c r="L6697" i="1"/>
  <c r="M6697" i="1" s="1"/>
  <c r="L6705" i="1"/>
  <c r="M6705" i="1" s="1"/>
  <c r="L6833" i="1"/>
  <c r="M6833" i="1" s="1"/>
  <c r="L6841" i="1"/>
  <c r="M6841" i="1" s="1"/>
  <c r="L6969" i="1"/>
  <c r="M6969" i="1" s="1"/>
  <c r="L6977" i="1"/>
  <c r="M6977" i="1" s="1"/>
  <c r="L7105" i="1"/>
  <c r="M7105" i="1" s="1"/>
  <c r="L7113" i="1"/>
  <c r="M7113" i="1" s="1"/>
  <c r="L7241" i="1"/>
  <c r="M7241" i="1" s="1"/>
  <c r="L7249" i="1"/>
  <c r="M7249" i="1" s="1"/>
  <c r="L6561" i="1"/>
  <c r="M6561" i="1" s="1"/>
  <c r="L6698" i="1"/>
  <c r="M6698" i="1" s="1"/>
  <c r="L6706" i="1"/>
  <c r="M6706" i="1" s="1"/>
  <c r="L6834" i="1"/>
  <c r="M6834" i="1" s="1"/>
  <c r="L6842" i="1"/>
  <c r="M6842" i="1" s="1"/>
  <c r="L6970" i="1"/>
  <c r="M6970" i="1" s="1"/>
  <c r="L6978" i="1"/>
  <c r="M6978" i="1" s="1"/>
  <c r="L6562" i="1"/>
  <c r="M6562" i="1" s="1"/>
  <c r="L6691" i="1"/>
  <c r="M6691" i="1" s="1"/>
  <c r="L6699" i="1"/>
  <c r="M6699" i="1" s="1"/>
  <c r="L6563" i="1"/>
  <c r="M6563" i="1" s="1"/>
  <c r="L6692" i="1"/>
  <c r="M6692" i="1" s="1"/>
  <c r="L6700" i="1"/>
  <c r="M6700" i="1" s="1"/>
  <c r="L6828" i="1"/>
  <c r="M6828" i="1" s="1"/>
  <c r="L6836" i="1"/>
  <c r="M6836" i="1" s="1"/>
  <c r="L6964" i="1"/>
  <c r="M6964" i="1" s="1"/>
  <c r="L6972" i="1"/>
  <c r="M6972" i="1" s="1"/>
  <c r="L7100" i="1"/>
  <c r="M7100" i="1" s="1"/>
  <c r="L7108" i="1"/>
  <c r="M7108" i="1" s="1"/>
  <c r="L7236" i="1"/>
  <c r="M7236" i="1" s="1"/>
  <c r="L7244" i="1"/>
  <c r="M7244" i="1" s="1"/>
  <c r="L6565" i="1"/>
  <c r="M6565" i="1" s="1"/>
  <c r="L6693" i="1"/>
  <c r="M6693" i="1" s="1"/>
  <c r="L6701" i="1"/>
  <c r="M6701" i="1" s="1"/>
  <c r="L6829" i="1"/>
  <c r="M6829" i="1" s="1"/>
  <c r="L6837" i="1"/>
  <c r="M6837" i="1" s="1"/>
  <c r="L6965" i="1"/>
  <c r="M6965" i="1" s="1"/>
  <c r="L6973" i="1"/>
  <c r="M6973" i="1" s="1"/>
  <c r="L7101" i="1"/>
  <c r="M7101" i="1" s="1"/>
  <c r="L7109" i="1"/>
  <c r="M7109" i="1" s="1"/>
  <c r="L7237" i="1"/>
  <c r="M7237" i="1" s="1"/>
  <c r="L7245" i="1"/>
  <c r="M7245" i="1" s="1"/>
  <c r="L6555" i="1"/>
  <c r="M6555" i="1" s="1"/>
  <c r="L6566" i="1"/>
  <c r="M6566" i="1" s="1"/>
  <c r="L6694" i="1"/>
  <c r="M6694" i="1" s="1"/>
  <c r="L6702" i="1"/>
  <c r="M6702" i="1" s="1"/>
  <c r="L6830" i="1"/>
  <c r="M6830" i="1" s="1"/>
  <c r="L6838" i="1"/>
  <c r="M6838" i="1" s="1"/>
  <c r="L6966" i="1"/>
  <c r="M6966" i="1" s="1"/>
  <c r="L6974" i="1"/>
  <c r="M6974" i="1" s="1"/>
  <c r="L7102" i="1"/>
  <c r="M7102" i="1" s="1"/>
  <c r="L7110" i="1"/>
  <c r="M7110" i="1" s="1"/>
  <c r="L6557" i="1"/>
  <c r="M6557" i="1" s="1"/>
  <c r="L6567" i="1"/>
  <c r="M6567" i="1" s="1"/>
  <c r="L6695" i="1"/>
  <c r="M6695" i="1" s="1"/>
  <c r="L6703" i="1"/>
  <c r="M6703" i="1" s="1"/>
  <c r="L6831" i="1"/>
  <c r="M6831" i="1" s="1"/>
  <c r="L6839" i="1"/>
  <c r="M6839" i="1" s="1"/>
  <c r="L6967" i="1"/>
  <c r="M6967" i="1" s="1"/>
  <c r="L6975" i="1"/>
  <c r="M6975" i="1" s="1"/>
  <c r="L6558" i="1"/>
  <c r="M6558" i="1" s="1"/>
  <c r="L6569" i="1"/>
  <c r="M6569" i="1" s="1"/>
  <c r="L6696" i="1"/>
  <c r="M6696" i="1" s="1"/>
  <c r="L6704" i="1"/>
  <c r="M6704" i="1" s="1"/>
  <c r="L6832" i="1"/>
  <c r="M6832" i="1" s="1"/>
  <c r="L6840" i="1"/>
  <c r="M6840" i="1" s="1"/>
  <c r="L6968" i="1"/>
  <c r="M6968" i="1" s="1"/>
  <c r="L6976" i="1"/>
  <c r="M6976" i="1" s="1"/>
  <c r="L7104" i="1"/>
  <c r="M7104" i="1" s="1"/>
  <c r="L7112" i="1"/>
  <c r="M7112" i="1" s="1"/>
  <c r="L7240" i="1"/>
  <c r="M7240" i="1" s="1"/>
  <c r="L7248" i="1"/>
  <c r="M7248" i="1" s="1"/>
  <c r="L6827" i="1"/>
  <c r="M6827" i="1" s="1"/>
  <c r="L6963" i="1"/>
  <c r="M6963" i="1" s="1"/>
  <c r="L7107" i="1"/>
  <c r="M7107" i="1" s="1"/>
  <c r="L7243" i="1"/>
  <c r="M7243" i="1" s="1"/>
  <c r="L7372" i="1"/>
  <c r="M7372" i="1" s="1"/>
  <c r="L7380" i="1"/>
  <c r="M7380" i="1" s="1"/>
  <c r="L7508" i="1"/>
  <c r="M7508" i="1" s="1"/>
  <c r="L7516" i="1"/>
  <c r="M7516" i="1" s="1"/>
  <c r="L7644" i="1"/>
  <c r="M7644" i="1" s="1"/>
  <c r="L7652" i="1"/>
  <c r="M7652" i="1" s="1"/>
  <c r="L7780" i="1"/>
  <c r="M7780" i="1" s="1"/>
  <c r="L7788" i="1"/>
  <c r="M7788" i="1" s="1"/>
  <c r="L6835" i="1"/>
  <c r="M6835" i="1" s="1"/>
  <c r="L6971" i="1"/>
  <c r="M6971" i="1" s="1"/>
  <c r="L7111" i="1"/>
  <c r="M7111" i="1" s="1"/>
  <c r="L7246" i="1"/>
  <c r="M7246" i="1" s="1"/>
  <c r="L7373" i="1"/>
  <c r="M7373" i="1" s="1"/>
  <c r="L7381" i="1"/>
  <c r="M7381" i="1" s="1"/>
  <c r="L7509" i="1"/>
  <c r="M7509" i="1" s="1"/>
  <c r="L7517" i="1"/>
  <c r="M7517" i="1" s="1"/>
  <c r="L7645" i="1"/>
  <c r="M7645" i="1" s="1"/>
  <c r="L7653" i="1"/>
  <c r="M7653" i="1" s="1"/>
  <c r="L7781" i="1"/>
  <c r="M7781" i="1" s="1"/>
  <c r="L7789" i="1"/>
  <c r="M7789" i="1" s="1"/>
  <c r="L7114" i="1"/>
  <c r="M7114" i="1" s="1"/>
  <c r="L7247" i="1"/>
  <c r="M7247" i="1" s="1"/>
  <c r="L7374" i="1"/>
  <c r="M7374" i="1" s="1"/>
  <c r="L7382" i="1"/>
  <c r="M7382" i="1" s="1"/>
  <c r="L7510" i="1"/>
  <c r="M7510" i="1" s="1"/>
  <c r="L7518" i="1"/>
  <c r="M7518" i="1" s="1"/>
  <c r="L7646" i="1"/>
  <c r="M7646" i="1" s="1"/>
  <c r="L7654" i="1"/>
  <c r="M7654" i="1" s="1"/>
  <c r="L7782" i="1"/>
  <c r="M7782" i="1" s="1"/>
  <c r="L7790" i="1"/>
  <c r="M7790" i="1" s="1"/>
  <c r="L7250" i="1"/>
  <c r="M7250" i="1" s="1"/>
  <c r="L7375" i="1"/>
  <c r="M7375" i="1" s="1"/>
  <c r="L7383" i="1"/>
  <c r="M7383" i="1" s="1"/>
  <c r="L7511" i="1"/>
  <c r="M7511" i="1" s="1"/>
  <c r="L7519" i="1"/>
  <c r="M7519" i="1" s="1"/>
  <c r="L7647" i="1"/>
  <c r="M7647" i="1" s="1"/>
  <c r="L7655" i="1"/>
  <c r="M7655" i="1" s="1"/>
  <c r="L7783" i="1"/>
  <c r="M7783" i="1" s="1"/>
  <c r="L7791" i="1"/>
  <c r="M7791" i="1" s="1"/>
  <c r="L7919" i="1"/>
  <c r="M7919" i="1" s="1"/>
  <c r="L7927" i="1"/>
  <c r="M7927" i="1" s="1"/>
  <c r="L7235" i="1"/>
  <c r="M7235" i="1" s="1"/>
  <c r="L7376" i="1"/>
  <c r="M7376" i="1" s="1"/>
  <c r="L7384" i="1"/>
  <c r="M7384" i="1" s="1"/>
  <c r="L7512" i="1"/>
  <c r="M7512" i="1" s="1"/>
  <c r="L7520" i="1"/>
  <c r="M7520" i="1" s="1"/>
  <c r="L7648" i="1"/>
  <c r="M7648" i="1" s="1"/>
  <c r="L7656" i="1"/>
  <c r="M7656" i="1" s="1"/>
  <c r="L7784" i="1"/>
  <c r="M7784" i="1" s="1"/>
  <c r="L7792" i="1"/>
  <c r="M7792" i="1" s="1"/>
  <c r="L7099" i="1"/>
  <c r="M7099" i="1" s="1"/>
  <c r="L7238" i="1"/>
  <c r="M7238" i="1" s="1"/>
  <c r="L7377" i="1"/>
  <c r="M7377" i="1" s="1"/>
  <c r="L7385" i="1"/>
  <c r="M7385" i="1" s="1"/>
  <c r="L7513" i="1"/>
  <c r="M7513" i="1" s="1"/>
  <c r="L7521" i="1"/>
  <c r="M7521" i="1" s="1"/>
  <c r="L7649" i="1"/>
  <c r="M7649" i="1" s="1"/>
  <c r="L7657" i="1"/>
  <c r="M7657" i="1" s="1"/>
  <c r="L7785" i="1"/>
  <c r="M7785" i="1" s="1"/>
  <c r="L7793" i="1"/>
  <c r="M7793" i="1" s="1"/>
  <c r="L7103" i="1"/>
  <c r="M7103" i="1" s="1"/>
  <c r="L7239" i="1"/>
  <c r="M7239" i="1" s="1"/>
  <c r="L7378" i="1"/>
  <c r="M7378" i="1" s="1"/>
  <c r="L7386" i="1"/>
  <c r="M7386" i="1" s="1"/>
  <c r="L7514" i="1"/>
  <c r="M7514" i="1" s="1"/>
  <c r="L7522" i="1"/>
  <c r="M7522" i="1" s="1"/>
  <c r="L7650" i="1"/>
  <c r="M7650" i="1" s="1"/>
  <c r="L7658" i="1"/>
  <c r="M7658" i="1" s="1"/>
  <c r="L7786" i="1"/>
  <c r="M7786" i="1" s="1"/>
  <c r="L7794" i="1"/>
  <c r="M7794" i="1" s="1"/>
  <c r="L7106" i="1"/>
  <c r="M7106" i="1" s="1"/>
  <c r="L7242" i="1"/>
  <c r="M7242" i="1" s="1"/>
  <c r="L7371" i="1"/>
  <c r="M7371" i="1" s="1"/>
  <c r="L7379" i="1"/>
  <c r="M7379" i="1" s="1"/>
  <c r="L7507" i="1"/>
  <c r="M7507" i="1" s="1"/>
  <c r="L7515" i="1"/>
  <c r="M7515" i="1" s="1"/>
  <c r="L7643" i="1"/>
  <c r="M7643" i="1" s="1"/>
  <c r="L7651" i="1"/>
  <c r="M7651" i="1" s="1"/>
  <c r="L7779" i="1"/>
  <c r="M7779" i="1" s="1"/>
  <c r="L7787" i="1"/>
  <c r="M7787" i="1" s="1"/>
  <c r="L7915" i="1"/>
  <c r="M7915" i="1" s="1"/>
  <c r="L7923" i="1"/>
  <c r="M7923" i="1" s="1"/>
  <c r="L7918" i="1"/>
  <c r="M7918" i="1" s="1"/>
  <c r="L7929" i="1"/>
  <c r="M7929" i="1" s="1"/>
  <c r="L8057" i="1"/>
  <c r="M8057" i="1" s="1"/>
  <c r="L8065" i="1"/>
  <c r="M8065" i="1" s="1"/>
  <c r="L8193" i="1"/>
  <c r="M8193" i="1" s="1"/>
  <c r="L8201" i="1"/>
  <c r="M8201" i="1" s="1"/>
  <c r="L8329" i="1"/>
  <c r="M8329" i="1" s="1"/>
  <c r="L8337" i="1"/>
  <c r="M8337" i="1" s="1"/>
  <c r="L8465" i="1"/>
  <c r="M8465" i="1" s="1"/>
  <c r="L8473" i="1"/>
  <c r="M8473" i="1" s="1"/>
  <c r="L8601" i="1"/>
  <c r="M8601" i="1" s="1"/>
  <c r="L8609" i="1"/>
  <c r="M8609" i="1" s="1"/>
  <c r="L7920" i="1"/>
  <c r="M7920" i="1" s="1"/>
  <c r="L7930" i="1"/>
  <c r="M7930" i="1" s="1"/>
  <c r="L8058" i="1"/>
  <c r="M8058" i="1" s="1"/>
  <c r="L8066" i="1"/>
  <c r="M8066" i="1" s="1"/>
  <c r="L8194" i="1"/>
  <c r="M8194" i="1" s="1"/>
  <c r="L8202" i="1"/>
  <c r="M8202" i="1" s="1"/>
  <c r="L8330" i="1"/>
  <c r="M8330" i="1" s="1"/>
  <c r="L8338" i="1"/>
  <c r="M8338" i="1" s="1"/>
  <c r="L8466" i="1"/>
  <c r="M8466" i="1" s="1"/>
  <c r="L8474" i="1"/>
  <c r="M8474" i="1" s="1"/>
  <c r="L8602" i="1"/>
  <c r="M8602" i="1" s="1"/>
  <c r="L7921" i="1"/>
  <c r="M7921" i="1" s="1"/>
  <c r="L8051" i="1"/>
  <c r="M8051" i="1" s="1"/>
  <c r="L8059" i="1"/>
  <c r="M8059" i="1" s="1"/>
  <c r="L8187" i="1"/>
  <c r="M8187" i="1" s="1"/>
  <c r="L8195" i="1"/>
  <c r="M8195" i="1" s="1"/>
  <c r="L8323" i="1"/>
  <c r="M8323" i="1" s="1"/>
  <c r="L8331" i="1"/>
  <c r="M8331" i="1" s="1"/>
  <c r="L8459" i="1"/>
  <c r="M8459" i="1" s="1"/>
  <c r="L8467" i="1"/>
  <c r="M8467" i="1" s="1"/>
  <c r="L8595" i="1"/>
  <c r="M8595" i="1" s="1"/>
  <c r="L8603" i="1"/>
  <c r="M8603" i="1" s="1"/>
  <c r="L7922" i="1"/>
  <c r="M7922" i="1" s="1"/>
  <c r="L8052" i="1"/>
  <c r="M8052" i="1" s="1"/>
  <c r="L8060" i="1"/>
  <c r="M8060" i="1" s="1"/>
  <c r="L8188" i="1"/>
  <c r="M8188" i="1" s="1"/>
  <c r="L8196" i="1"/>
  <c r="M8196" i="1" s="1"/>
  <c r="L8324" i="1"/>
  <c r="M8324" i="1" s="1"/>
  <c r="L8332" i="1"/>
  <c r="M8332" i="1" s="1"/>
  <c r="L8460" i="1"/>
  <c r="M8460" i="1" s="1"/>
  <c r="L8468" i="1"/>
  <c r="M8468" i="1" s="1"/>
  <c r="L8596" i="1"/>
  <c r="M8596" i="1" s="1"/>
  <c r="L8604" i="1"/>
  <c r="M8604" i="1" s="1"/>
  <c r="L8732" i="1"/>
  <c r="M8732" i="1" s="1"/>
  <c r="L7924" i="1"/>
  <c r="M7924" i="1" s="1"/>
  <c r="L8053" i="1"/>
  <c r="M8053" i="1" s="1"/>
  <c r="L8061" i="1"/>
  <c r="M8061" i="1" s="1"/>
  <c r="L8189" i="1"/>
  <c r="M8189" i="1" s="1"/>
  <c r="L8197" i="1"/>
  <c r="M8197" i="1" s="1"/>
  <c r="L8325" i="1"/>
  <c r="M8325" i="1" s="1"/>
  <c r="L8333" i="1"/>
  <c r="M8333" i="1" s="1"/>
  <c r="L8461" i="1"/>
  <c r="M8461" i="1" s="1"/>
  <c r="L8469" i="1"/>
  <c r="M8469" i="1" s="1"/>
  <c r="L8597" i="1"/>
  <c r="M8597" i="1" s="1"/>
  <c r="L8605" i="1"/>
  <c r="M8605" i="1" s="1"/>
  <c r="L7925" i="1"/>
  <c r="M7925" i="1" s="1"/>
  <c r="L8054" i="1"/>
  <c r="M8054" i="1" s="1"/>
  <c r="L8062" i="1"/>
  <c r="M8062" i="1" s="1"/>
  <c r="L8190" i="1"/>
  <c r="M8190" i="1" s="1"/>
  <c r="L8198" i="1"/>
  <c r="M8198" i="1" s="1"/>
  <c r="L8326" i="1"/>
  <c r="M8326" i="1" s="1"/>
  <c r="L8334" i="1"/>
  <c r="M8334" i="1" s="1"/>
  <c r="L8462" i="1"/>
  <c r="M8462" i="1" s="1"/>
  <c r="L8470" i="1"/>
  <c r="M8470" i="1" s="1"/>
  <c r="L8598" i="1"/>
  <c r="M8598" i="1" s="1"/>
  <c r="L8606" i="1"/>
  <c r="M8606" i="1" s="1"/>
  <c r="L7916" i="1"/>
  <c r="M7916" i="1" s="1"/>
  <c r="L7926" i="1"/>
  <c r="M7926" i="1" s="1"/>
  <c r="L8055" i="1"/>
  <c r="M8055" i="1" s="1"/>
  <c r="L8063" i="1"/>
  <c r="M8063" i="1" s="1"/>
  <c r="L8191" i="1"/>
  <c r="M8191" i="1" s="1"/>
  <c r="L8199" i="1"/>
  <c r="M8199" i="1" s="1"/>
  <c r="L8327" i="1"/>
  <c r="M8327" i="1" s="1"/>
  <c r="L8335" i="1"/>
  <c r="M8335" i="1" s="1"/>
  <c r="L8463" i="1"/>
  <c r="M8463" i="1" s="1"/>
  <c r="L8471" i="1"/>
  <c r="M8471" i="1" s="1"/>
  <c r="L8599" i="1"/>
  <c r="M8599" i="1" s="1"/>
  <c r="L8607" i="1"/>
  <c r="M8607" i="1" s="1"/>
  <c r="L7917" i="1"/>
  <c r="M7917" i="1" s="1"/>
  <c r="L7928" i="1"/>
  <c r="M7928" i="1" s="1"/>
  <c r="L8056" i="1"/>
  <c r="M8056" i="1" s="1"/>
  <c r="L8064" i="1"/>
  <c r="M8064" i="1" s="1"/>
  <c r="L8192" i="1"/>
  <c r="M8192" i="1" s="1"/>
  <c r="L8200" i="1"/>
  <c r="M8200" i="1" s="1"/>
  <c r="L8328" i="1"/>
  <c r="M8328" i="1" s="1"/>
  <c r="L8336" i="1"/>
  <c r="M8336" i="1" s="1"/>
  <c r="L8464" i="1"/>
  <c r="M8464" i="1" s="1"/>
  <c r="L8472" i="1"/>
  <c r="M8472" i="1" s="1"/>
  <c r="L8600" i="1"/>
  <c r="M8600" i="1" s="1"/>
  <c r="L8608" i="1"/>
  <c r="M8608" i="1" s="1"/>
  <c r="L8735" i="1"/>
  <c r="M8735" i="1" s="1"/>
  <c r="L8743" i="1"/>
  <c r="M8743" i="1" s="1"/>
  <c r="L8871" i="1"/>
  <c r="M8871" i="1" s="1"/>
  <c r="L8879" i="1"/>
  <c r="M8879" i="1" s="1"/>
  <c r="L9007" i="1"/>
  <c r="M9007" i="1" s="1"/>
  <c r="L9015" i="1"/>
  <c r="M9015" i="1" s="1"/>
  <c r="L9143" i="1"/>
  <c r="M9143" i="1" s="1"/>
  <c r="L9151" i="1"/>
  <c r="M9151" i="1" s="1"/>
  <c r="L8736" i="1"/>
  <c r="M8736" i="1" s="1"/>
  <c r="L8744" i="1"/>
  <c r="M8744" i="1" s="1"/>
  <c r="L8872" i="1"/>
  <c r="M8872" i="1" s="1"/>
  <c r="L8880" i="1"/>
  <c r="M8880" i="1" s="1"/>
  <c r="L9008" i="1"/>
  <c r="M9008" i="1" s="1"/>
  <c r="L9016" i="1"/>
  <c r="M9016" i="1" s="1"/>
  <c r="L9144" i="1"/>
  <c r="M9144" i="1" s="1"/>
  <c r="L9152" i="1"/>
  <c r="M9152" i="1" s="1"/>
  <c r="L8737" i="1"/>
  <c r="M8737" i="1" s="1"/>
  <c r="L8745" i="1"/>
  <c r="M8745" i="1" s="1"/>
  <c r="L8873" i="1"/>
  <c r="M8873" i="1" s="1"/>
  <c r="L8881" i="1"/>
  <c r="M8881" i="1" s="1"/>
  <c r="L9009" i="1"/>
  <c r="M9009" i="1" s="1"/>
  <c r="L9017" i="1"/>
  <c r="M9017" i="1" s="1"/>
  <c r="L9145" i="1"/>
  <c r="M9145" i="1" s="1"/>
  <c r="L9153" i="1"/>
  <c r="M9153" i="1" s="1"/>
  <c r="L8738" i="1"/>
  <c r="M8738" i="1" s="1"/>
  <c r="L8746" i="1"/>
  <c r="M8746" i="1" s="1"/>
  <c r="L8874" i="1"/>
  <c r="M8874" i="1" s="1"/>
  <c r="L8882" i="1"/>
  <c r="M8882" i="1" s="1"/>
  <c r="L9010" i="1"/>
  <c r="M9010" i="1" s="1"/>
  <c r="L9018" i="1"/>
  <c r="M9018" i="1" s="1"/>
  <c r="L9146" i="1"/>
  <c r="M9146" i="1" s="1"/>
  <c r="L9154" i="1"/>
  <c r="M9154" i="1" s="1"/>
  <c r="L9282" i="1"/>
  <c r="M9282" i="1" s="1"/>
  <c r="L9290" i="1"/>
  <c r="M9290" i="1" s="1"/>
  <c r="L9418" i="1"/>
  <c r="M9418" i="1" s="1"/>
  <c r="L9426" i="1"/>
  <c r="M9426" i="1" s="1"/>
  <c r="L8610" i="1"/>
  <c r="M8610" i="1" s="1"/>
  <c r="L8739" i="1"/>
  <c r="M8739" i="1" s="1"/>
  <c r="L8867" i="1"/>
  <c r="M8867" i="1" s="1"/>
  <c r="L8875" i="1"/>
  <c r="M8875" i="1" s="1"/>
  <c r="L9003" i="1"/>
  <c r="M9003" i="1" s="1"/>
  <c r="L9011" i="1"/>
  <c r="M9011" i="1" s="1"/>
  <c r="L9139" i="1"/>
  <c r="M9139" i="1" s="1"/>
  <c r="L9147" i="1"/>
  <c r="M9147" i="1" s="1"/>
  <c r="L8731" i="1"/>
  <c r="M8731" i="1" s="1"/>
  <c r="L8740" i="1"/>
  <c r="M8740" i="1" s="1"/>
  <c r="L8868" i="1"/>
  <c r="M8868" i="1" s="1"/>
  <c r="L8876" i="1"/>
  <c r="M8876" i="1" s="1"/>
  <c r="L9004" i="1"/>
  <c r="M9004" i="1" s="1"/>
  <c r="L9012" i="1"/>
  <c r="M9012" i="1" s="1"/>
  <c r="L9140" i="1"/>
  <c r="M9140" i="1" s="1"/>
  <c r="L9148" i="1"/>
  <c r="M9148" i="1" s="1"/>
  <c r="L8733" i="1"/>
  <c r="M8733" i="1" s="1"/>
  <c r="L8741" i="1"/>
  <c r="M8741" i="1" s="1"/>
  <c r="L8869" i="1"/>
  <c r="M8869" i="1" s="1"/>
  <c r="L8877" i="1"/>
  <c r="M8877" i="1" s="1"/>
  <c r="L9005" i="1"/>
  <c r="M9005" i="1" s="1"/>
  <c r="L9013" i="1"/>
  <c r="M9013" i="1" s="1"/>
  <c r="L9141" i="1"/>
  <c r="M9141" i="1" s="1"/>
  <c r="L9149" i="1"/>
  <c r="M9149" i="1" s="1"/>
  <c r="L8734" i="1"/>
  <c r="M8734" i="1" s="1"/>
  <c r="L8742" i="1"/>
  <c r="M8742" i="1" s="1"/>
  <c r="L8870" i="1"/>
  <c r="M8870" i="1" s="1"/>
  <c r="L8878" i="1"/>
  <c r="M8878" i="1" s="1"/>
  <c r="L9006" i="1"/>
  <c r="M9006" i="1" s="1"/>
  <c r="L9014" i="1"/>
  <c r="M9014" i="1" s="1"/>
  <c r="L9142" i="1"/>
  <c r="M9142" i="1" s="1"/>
  <c r="L9150" i="1"/>
  <c r="M9150" i="1" s="1"/>
  <c r="L9278" i="1"/>
  <c r="M9278" i="1" s="1"/>
  <c r="L9286" i="1"/>
  <c r="M9286" i="1" s="1"/>
  <c r="L9414" i="1"/>
  <c r="M9414" i="1" s="1"/>
  <c r="L9422" i="1"/>
  <c r="M9422" i="1" s="1"/>
  <c r="L9280" i="1"/>
  <c r="M9280" i="1" s="1"/>
  <c r="L9416" i="1"/>
  <c r="M9416" i="1" s="1"/>
  <c r="L9552" i="1"/>
  <c r="M9552" i="1" s="1"/>
  <c r="L9560" i="1"/>
  <c r="M9560" i="1" s="1"/>
  <c r="L9688" i="1"/>
  <c r="M9688" i="1" s="1"/>
  <c r="L9696" i="1"/>
  <c r="M9696" i="1" s="1"/>
  <c r="L9824" i="1"/>
  <c r="M9824" i="1" s="1"/>
  <c r="L9832" i="1"/>
  <c r="M9832" i="1" s="1"/>
  <c r="L9960" i="1"/>
  <c r="M9960" i="1" s="1"/>
  <c r="L9968" i="1"/>
  <c r="M9968" i="1" s="1"/>
  <c r="L9281" i="1"/>
  <c r="M9281" i="1" s="1"/>
  <c r="L9417" i="1"/>
  <c r="M9417" i="1" s="1"/>
  <c r="L9553" i="1"/>
  <c r="M9553" i="1" s="1"/>
  <c r="L9561" i="1"/>
  <c r="M9561" i="1" s="1"/>
  <c r="L9689" i="1"/>
  <c r="M9689" i="1" s="1"/>
  <c r="L9697" i="1"/>
  <c r="M9697" i="1" s="1"/>
  <c r="L9825" i="1"/>
  <c r="M9825" i="1" s="1"/>
  <c r="L9833" i="1"/>
  <c r="M9833" i="1" s="1"/>
  <c r="L9961" i="1"/>
  <c r="M9961" i="1" s="1"/>
  <c r="L9969" i="1"/>
  <c r="M9969" i="1" s="1"/>
  <c r="L9283" i="1"/>
  <c r="M9283" i="1" s="1"/>
  <c r="L9419" i="1"/>
  <c r="M9419" i="1" s="1"/>
  <c r="L9554" i="1"/>
  <c r="M9554" i="1" s="1"/>
  <c r="L9562" i="1"/>
  <c r="M9562" i="1" s="1"/>
  <c r="L9690" i="1"/>
  <c r="M9690" i="1" s="1"/>
  <c r="L9698" i="1"/>
  <c r="M9698" i="1" s="1"/>
  <c r="L9826" i="1"/>
  <c r="M9826" i="1" s="1"/>
  <c r="L9834" i="1"/>
  <c r="M9834" i="1" s="1"/>
  <c r="L9962" i="1"/>
  <c r="M9962" i="1" s="1"/>
  <c r="L9970" i="1"/>
  <c r="M9970" i="1" s="1"/>
  <c r="L9284" i="1"/>
  <c r="M9284" i="1" s="1"/>
  <c r="L9420" i="1"/>
  <c r="M9420" i="1" s="1"/>
  <c r="L9547" i="1"/>
  <c r="M9547" i="1" s="1"/>
  <c r="L9555" i="1"/>
  <c r="M9555" i="1" s="1"/>
  <c r="L9683" i="1"/>
  <c r="M9683" i="1" s="1"/>
  <c r="L9691" i="1"/>
  <c r="M9691" i="1" s="1"/>
  <c r="L9819" i="1"/>
  <c r="M9819" i="1" s="1"/>
  <c r="L9827" i="1"/>
  <c r="M9827" i="1" s="1"/>
  <c r="L9955" i="1"/>
  <c r="M9955" i="1" s="1"/>
  <c r="L9963" i="1"/>
  <c r="M9963" i="1" s="1"/>
  <c r="L10091" i="1"/>
  <c r="M10091" i="1" s="1"/>
  <c r="L10099" i="1"/>
  <c r="M10099" i="1" s="1"/>
  <c r="L10227" i="1"/>
  <c r="M10227" i="1" s="1"/>
  <c r="L9275" i="1"/>
  <c r="M9275" i="1" s="1"/>
  <c r="L9285" i="1"/>
  <c r="M9285" i="1" s="1"/>
  <c r="L9411" i="1"/>
  <c r="M9411" i="1" s="1"/>
  <c r="L9421" i="1"/>
  <c r="M9421" i="1" s="1"/>
  <c r="L9548" i="1"/>
  <c r="M9548" i="1" s="1"/>
  <c r="L9556" i="1"/>
  <c r="M9556" i="1" s="1"/>
  <c r="L9684" i="1"/>
  <c r="M9684" i="1" s="1"/>
  <c r="L9692" i="1"/>
  <c r="M9692" i="1" s="1"/>
  <c r="L9820" i="1"/>
  <c r="M9820" i="1" s="1"/>
  <c r="L9828" i="1"/>
  <c r="M9828" i="1" s="1"/>
  <c r="L9956" i="1"/>
  <c r="M9956" i="1" s="1"/>
  <c r="L9964" i="1"/>
  <c r="M9964" i="1" s="1"/>
  <c r="L9276" i="1"/>
  <c r="M9276" i="1" s="1"/>
  <c r="L9287" i="1"/>
  <c r="M9287" i="1" s="1"/>
  <c r="L9412" i="1"/>
  <c r="M9412" i="1" s="1"/>
  <c r="L9423" i="1"/>
  <c r="M9423" i="1" s="1"/>
  <c r="L9549" i="1"/>
  <c r="M9549" i="1" s="1"/>
  <c r="L9557" i="1"/>
  <c r="M9557" i="1" s="1"/>
  <c r="L9685" i="1"/>
  <c r="M9685" i="1" s="1"/>
  <c r="L9693" i="1"/>
  <c r="M9693" i="1" s="1"/>
  <c r="L9821" i="1"/>
  <c r="M9821" i="1" s="1"/>
  <c r="L9829" i="1"/>
  <c r="M9829" i="1" s="1"/>
  <c r="L9957" i="1"/>
  <c r="M9957" i="1" s="1"/>
  <c r="L9965" i="1"/>
  <c r="M9965" i="1" s="1"/>
  <c r="L9277" i="1"/>
  <c r="M9277" i="1" s="1"/>
  <c r="L9288" i="1"/>
  <c r="M9288" i="1" s="1"/>
  <c r="L9413" i="1"/>
  <c r="M9413" i="1" s="1"/>
  <c r="L9424" i="1"/>
  <c r="M9424" i="1" s="1"/>
  <c r="L9550" i="1"/>
  <c r="M9550" i="1" s="1"/>
  <c r="L9558" i="1"/>
  <c r="M9558" i="1" s="1"/>
  <c r="L9686" i="1"/>
  <c r="M9686" i="1" s="1"/>
  <c r="L9694" i="1"/>
  <c r="M9694" i="1" s="1"/>
  <c r="L9822" i="1"/>
  <c r="M9822" i="1" s="1"/>
  <c r="L9830" i="1"/>
  <c r="M9830" i="1" s="1"/>
  <c r="L9958" i="1"/>
  <c r="M9958" i="1" s="1"/>
  <c r="L9966" i="1"/>
  <c r="M9966" i="1" s="1"/>
  <c r="L9279" i="1"/>
  <c r="M9279" i="1" s="1"/>
  <c r="L9289" i="1"/>
  <c r="M9289" i="1" s="1"/>
  <c r="L9415" i="1"/>
  <c r="M9415" i="1" s="1"/>
  <c r="L9425" i="1"/>
  <c r="M9425" i="1" s="1"/>
  <c r="L9551" i="1"/>
  <c r="M9551" i="1" s="1"/>
  <c r="L9559" i="1"/>
  <c r="M9559" i="1" s="1"/>
  <c r="L9687" i="1"/>
  <c r="M9687" i="1" s="1"/>
  <c r="L9695" i="1"/>
  <c r="M9695" i="1" s="1"/>
  <c r="L9823" i="1"/>
  <c r="M9823" i="1" s="1"/>
  <c r="L9831" i="1"/>
  <c r="M9831" i="1" s="1"/>
  <c r="L9959" i="1"/>
  <c r="M9959" i="1" s="1"/>
  <c r="L9967" i="1"/>
  <c r="M9967" i="1" s="1"/>
  <c r="L10095" i="1"/>
  <c r="M10095" i="1" s="1"/>
  <c r="L10103" i="1"/>
  <c r="M10103" i="1" s="1"/>
  <c r="L10231" i="1"/>
  <c r="M10231" i="1" s="1"/>
  <c r="L10097" i="1"/>
  <c r="M10097" i="1" s="1"/>
  <c r="L10233" i="1"/>
  <c r="M10233" i="1" s="1"/>
  <c r="L10241" i="1"/>
  <c r="M10241" i="1" s="1"/>
  <c r="L10369" i="1"/>
  <c r="M10369" i="1" s="1"/>
  <c r="L10377" i="1"/>
  <c r="M10377" i="1" s="1"/>
  <c r="L10501" i="1"/>
  <c r="M10501" i="1" s="1"/>
  <c r="L10509" i="1"/>
  <c r="M10509" i="1" s="1"/>
  <c r="L10637" i="1"/>
  <c r="M10637" i="1" s="1"/>
  <c r="L10645" i="1"/>
  <c r="M10645" i="1" s="1"/>
  <c r="L10773" i="1"/>
  <c r="M10773" i="1" s="1"/>
  <c r="L10781" i="1"/>
  <c r="M10781" i="1" s="1"/>
  <c r="L10909" i="1"/>
  <c r="M10909" i="1" s="1"/>
  <c r="L10917" i="1"/>
  <c r="M10917" i="1" s="1"/>
  <c r="L11045" i="1"/>
  <c r="M11045" i="1" s="1"/>
  <c r="L11053" i="1"/>
  <c r="M11053" i="1" s="1"/>
  <c r="L11181" i="1"/>
  <c r="M11181" i="1" s="1"/>
  <c r="L11189" i="1"/>
  <c r="M11189" i="1" s="1"/>
  <c r="L11317" i="1"/>
  <c r="M11317" i="1" s="1"/>
  <c r="L11325" i="1"/>
  <c r="M11325" i="1" s="1"/>
  <c r="L11453" i="1"/>
  <c r="M11453" i="1" s="1"/>
  <c r="L11461" i="1"/>
  <c r="M11461" i="1" s="1"/>
  <c r="L10098" i="1"/>
  <c r="M10098" i="1" s="1"/>
  <c r="L10234" i="1"/>
  <c r="M10234" i="1" s="1"/>
  <c r="L10242" i="1"/>
  <c r="M10242" i="1" s="1"/>
  <c r="L10370" i="1"/>
  <c r="M10370" i="1" s="1"/>
  <c r="L10378" i="1"/>
  <c r="M10378" i="1" s="1"/>
  <c r="L10502" i="1"/>
  <c r="M10502" i="1" s="1"/>
  <c r="L10510" i="1"/>
  <c r="M10510" i="1" s="1"/>
  <c r="L10638" i="1"/>
  <c r="M10638" i="1" s="1"/>
  <c r="L10646" i="1"/>
  <c r="M10646" i="1" s="1"/>
  <c r="L10774" i="1"/>
  <c r="M10774" i="1" s="1"/>
  <c r="L10782" i="1"/>
  <c r="M10782" i="1" s="1"/>
  <c r="L10910" i="1"/>
  <c r="M10910" i="1" s="1"/>
  <c r="L10918" i="1"/>
  <c r="M10918" i="1" s="1"/>
  <c r="L11046" i="1"/>
  <c r="M11046" i="1" s="1"/>
  <c r="L11054" i="1"/>
  <c r="M11054" i="1" s="1"/>
  <c r="L11182" i="1"/>
  <c r="M11182" i="1" s="1"/>
  <c r="L11190" i="1"/>
  <c r="M11190" i="1" s="1"/>
  <c r="L11318" i="1"/>
  <c r="M11318" i="1" s="1"/>
  <c r="L11326" i="1"/>
  <c r="M11326" i="1" s="1"/>
  <c r="L11454" i="1"/>
  <c r="M11454" i="1" s="1"/>
  <c r="L11462" i="1"/>
  <c r="M11462" i="1" s="1"/>
  <c r="L10100" i="1"/>
  <c r="M10100" i="1" s="1"/>
  <c r="L10235" i="1"/>
  <c r="M10235" i="1" s="1"/>
  <c r="L10363" i="1"/>
  <c r="M10363" i="1" s="1"/>
  <c r="L10371" i="1"/>
  <c r="M10371" i="1" s="1"/>
  <c r="L10503" i="1"/>
  <c r="M10503" i="1" s="1"/>
  <c r="L10511" i="1"/>
  <c r="M10511" i="1" s="1"/>
  <c r="L10639" i="1"/>
  <c r="M10639" i="1" s="1"/>
  <c r="L10647" i="1"/>
  <c r="M10647" i="1" s="1"/>
  <c r="L10775" i="1"/>
  <c r="M10775" i="1" s="1"/>
  <c r="L10783" i="1"/>
  <c r="M10783" i="1" s="1"/>
  <c r="L10911" i="1"/>
  <c r="M10911" i="1" s="1"/>
  <c r="L10919" i="1"/>
  <c r="M10919" i="1" s="1"/>
  <c r="L11047" i="1"/>
  <c r="M11047" i="1" s="1"/>
  <c r="L11055" i="1"/>
  <c r="M11055" i="1" s="1"/>
  <c r="L11183" i="1"/>
  <c r="M11183" i="1" s="1"/>
  <c r="L11191" i="1"/>
  <c r="M11191" i="1" s="1"/>
  <c r="L11319" i="1"/>
  <c r="M11319" i="1" s="1"/>
  <c r="L11327" i="1"/>
  <c r="M11327" i="1" s="1"/>
  <c r="L11455" i="1"/>
  <c r="M11455" i="1" s="1"/>
  <c r="L11463" i="1"/>
  <c r="M11463" i="1" s="1"/>
  <c r="L10101" i="1"/>
  <c r="M10101" i="1" s="1"/>
  <c r="L10236" i="1"/>
  <c r="M10236" i="1" s="1"/>
  <c r="L10364" i="1"/>
  <c r="M10364" i="1" s="1"/>
  <c r="L10372" i="1"/>
  <c r="M10372" i="1" s="1"/>
  <c r="L10504" i="1"/>
  <c r="M10504" i="1" s="1"/>
  <c r="L10512" i="1"/>
  <c r="M10512" i="1" s="1"/>
  <c r="L10640" i="1"/>
  <c r="M10640" i="1" s="1"/>
  <c r="L10648" i="1"/>
  <c r="M10648" i="1" s="1"/>
  <c r="L10776" i="1"/>
  <c r="M10776" i="1" s="1"/>
  <c r="L10784" i="1"/>
  <c r="M10784" i="1" s="1"/>
  <c r="L10912" i="1"/>
  <c r="M10912" i="1" s="1"/>
  <c r="L10920" i="1"/>
  <c r="M10920" i="1" s="1"/>
  <c r="L11048" i="1"/>
  <c r="M11048" i="1" s="1"/>
  <c r="L11056" i="1"/>
  <c r="M11056" i="1" s="1"/>
  <c r="L11184" i="1"/>
  <c r="M11184" i="1" s="1"/>
  <c r="L11192" i="1"/>
  <c r="M11192" i="1" s="1"/>
  <c r="L11320" i="1"/>
  <c r="M11320" i="1" s="1"/>
  <c r="L11328" i="1"/>
  <c r="M11328" i="1" s="1"/>
  <c r="L11456" i="1"/>
  <c r="M11456" i="1" s="1"/>
  <c r="L11464" i="1"/>
  <c r="M11464" i="1" s="1"/>
  <c r="L10092" i="1"/>
  <c r="M10092" i="1" s="1"/>
  <c r="L10102" i="1"/>
  <c r="M10102" i="1" s="1"/>
  <c r="L10228" i="1"/>
  <c r="M10228" i="1" s="1"/>
  <c r="L10237" i="1"/>
  <c r="M10237" i="1" s="1"/>
  <c r="L10365" i="1"/>
  <c r="M10365" i="1" s="1"/>
  <c r="L10373" i="1"/>
  <c r="M10373" i="1" s="1"/>
  <c r="L10505" i="1"/>
  <c r="M10505" i="1" s="1"/>
  <c r="L10513" i="1"/>
  <c r="M10513" i="1" s="1"/>
  <c r="L10641" i="1"/>
  <c r="M10641" i="1" s="1"/>
  <c r="L10649" i="1"/>
  <c r="M10649" i="1" s="1"/>
  <c r="L10777" i="1"/>
  <c r="M10777" i="1" s="1"/>
  <c r="L10785" i="1"/>
  <c r="M10785" i="1" s="1"/>
  <c r="L10913" i="1"/>
  <c r="M10913" i="1" s="1"/>
  <c r="L10921" i="1"/>
  <c r="M10921" i="1" s="1"/>
  <c r="L11049" i="1"/>
  <c r="M11049" i="1" s="1"/>
  <c r="L11057" i="1"/>
  <c r="M11057" i="1" s="1"/>
  <c r="L11185" i="1"/>
  <c r="M11185" i="1" s="1"/>
  <c r="L11193" i="1"/>
  <c r="M11193" i="1" s="1"/>
  <c r="L11321" i="1"/>
  <c r="M11321" i="1" s="1"/>
  <c r="L11329" i="1"/>
  <c r="M11329" i="1" s="1"/>
  <c r="L11457" i="1"/>
  <c r="M11457" i="1" s="1"/>
  <c r="L11465" i="1"/>
  <c r="M11465" i="1" s="1"/>
  <c r="L10093" i="1"/>
  <c r="M10093" i="1" s="1"/>
  <c r="L10104" i="1"/>
  <c r="M10104" i="1" s="1"/>
  <c r="L10229" i="1"/>
  <c r="M10229" i="1" s="1"/>
  <c r="L10238" i="1"/>
  <c r="M10238" i="1" s="1"/>
  <c r="L10366" i="1"/>
  <c r="M10366" i="1" s="1"/>
  <c r="L10374" i="1"/>
  <c r="M10374" i="1" s="1"/>
  <c r="L10506" i="1"/>
  <c r="M10506" i="1" s="1"/>
  <c r="L10514" i="1"/>
  <c r="M10514" i="1" s="1"/>
  <c r="L10642" i="1"/>
  <c r="M10642" i="1" s="1"/>
  <c r="L10650" i="1"/>
  <c r="M10650" i="1" s="1"/>
  <c r="L10778" i="1"/>
  <c r="M10778" i="1" s="1"/>
  <c r="L10786" i="1"/>
  <c r="M10786" i="1" s="1"/>
  <c r="L10914" i="1"/>
  <c r="M10914" i="1" s="1"/>
  <c r="L10922" i="1"/>
  <c r="M10922" i="1" s="1"/>
  <c r="L11050" i="1"/>
  <c r="M11050" i="1" s="1"/>
  <c r="L11058" i="1"/>
  <c r="M11058" i="1" s="1"/>
  <c r="L11186" i="1"/>
  <c r="M11186" i="1" s="1"/>
  <c r="L11194" i="1"/>
  <c r="M11194" i="1" s="1"/>
  <c r="L11322" i="1"/>
  <c r="M11322" i="1" s="1"/>
  <c r="L11330" i="1"/>
  <c r="M11330" i="1" s="1"/>
  <c r="L11458" i="1"/>
  <c r="M11458" i="1" s="1"/>
  <c r="L11466" i="1"/>
  <c r="M11466" i="1" s="1"/>
  <c r="L10094" i="1"/>
  <c r="M10094" i="1" s="1"/>
  <c r="L10105" i="1"/>
  <c r="M10105" i="1" s="1"/>
  <c r="L10230" i="1"/>
  <c r="M10230" i="1" s="1"/>
  <c r="L10239" i="1"/>
  <c r="M10239" i="1" s="1"/>
  <c r="L10367" i="1"/>
  <c r="M10367" i="1" s="1"/>
  <c r="L10375" i="1"/>
  <c r="M10375" i="1" s="1"/>
  <c r="L10499" i="1"/>
  <c r="M10499" i="1" s="1"/>
  <c r="L10507" i="1"/>
  <c r="M10507" i="1" s="1"/>
  <c r="L10635" i="1"/>
  <c r="M10635" i="1" s="1"/>
  <c r="L10643" i="1"/>
  <c r="M10643" i="1" s="1"/>
  <c r="L10771" i="1"/>
  <c r="M10771" i="1" s="1"/>
  <c r="L10779" i="1"/>
  <c r="M10779" i="1" s="1"/>
  <c r="L10907" i="1"/>
  <c r="M10907" i="1" s="1"/>
  <c r="L10915" i="1"/>
  <c r="M10915" i="1" s="1"/>
  <c r="L11043" i="1"/>
  <c r="M11043" i="1" s="1"/>
  <c r="L11051" i="1"/>
  <c r="M11051" i="1" s="1"/>
  <c r="L11179" i="1"/>
  <c r="M11179" i="1" s="1"/>
  <c r="L11187" i="1"/>
  <c r="M11187" i="1" s="1"/>
  <c r="L11315" i="1"/>
  <c r="M11315" i="1" s="1"/>
  <c r="L11323" i="1"/>
  <c r="M11323" i="1" s="1"/>
  <c r="L11451" i="1"/>
  <c r="M11451" i="1" s="1"/>
  <c r="L11459" i="1"/>
  <c r="M11459" i="1" s="1"/>
  <c r="L10096" i="1"/>
  <c r="M10096" i="1" s="1"/>
  <c r="L10106" i="1"/>
  <c r="M10106" i="1" s="1"/>
  <c r="L10232" i="1"/>
  <c r="M10232" i="1" s="1"/>
  <c r="L10240" i="1"/>
  <c r="M10240" i="1" s="1"/>
  <c r="L10368" i="1"/>
  <c r="M10368" i="1" s="1"/>
  <c r="L10376" i="1"/>
  <c r="M10376" i="1" s="1"/>
  <c r="L10500" i="1"/>
  <c r="M10500" i="1" s="1"/>
  <c r="L10508" i="1"/>
  <c r="M10508" i="1" s="1"/>
  <c r="L10636" i="1"/>
  <c r="M10636" i="1" s="1"/>
  <c r="L10644" i="1"/>
  <c r="M10644" i="1" s="1"/>
  <c r="L10772" i="1"/>
  <c r="M10772" i="1" s="1"/>
  <c r="L10780" i="1"/>
  <c r="M10780" i="1" s="1"/>
  <c r="L10908" i="1"/>
  <c r="M10908" i="1" s="1"/>
  <c r="L10916" i="1"/>
  <c r="M10916" i="1" s="1"/>
  <c r="L11044" i="1"/>
  <c r="M11044" i="1" s="1"/>
  <c r="L11052" i="1"/>
  <c r="M11052" i="1" s="1"/>
  <c r="L11180" i="1"/>
  <c r="M11180" i="1" s="1"/>
  <c r="L11188" i="1"/>
  <c r="M11188" i="1" s="1"/>
  <c r="L11316" i="1"/>
  <c r="M11316" i="1" s="1"/>
  <c r="L11324" i="1"/>
  <c r="M11324" i="1" s="1"/>
  <c r="L11452" i="1"/>
  <c r="M11452" i="1" s="1"/>
  <c r="L11460" i="1"/>
  <c r="M11460" i="1" s="1"/>
  <c r="L11594" i="1"/>
  <c r="M11594" i="1" s="1"/>
  <c r="L11602" i="1"/>
  <c r="M11602" i="1" s="1"/>
  <c r="L11730" i="1"/>
  <c r="M11730" i="1" s="1"/>
  <c r="L11738" i="1"/>
  <c r="M11738" i="1" s="1"/>
  <c r="L11866" i="1"/>
  <c r="M11866" i="1" s="1"/>
  <c r="L11874" i="1"/>
  <c r="M11874" i="1" s="1"/>
  <c r="L12002" i="1"/>
  <c r="M12002" i="1" s="1"/>
  <c r="L12010" i="1"/>
  <c r="M12010" i="1" s="1"/>
  <c r="L12138" i="1"/>
  <c r="M12138" i="1" s="1"/>
  <c r="L12146" i="1"/>
  <c r="M12146" i="1" s="1"/>
  <c r="L12274" i="1"/>
  <c r="M12274" i="1" s="1"/>
  <c r="L12282" i="1"/>
  <c r="M12282" i="1" s="1"/>
  <c r="L12410" i="1"/>
  <c r="M12410" i="1" s="1"/>
  <c r="L12418" i="1"/>
  <c r="M12418" i="1" s="1"/>
  <c r="L12546" i="1"/>
  <c r="M12546" i="1" s="1"/>
  <c r="L12554" i="1"/>
  <c r="M12554" i="1" s="1"/>
  <c r="L12682" i="1"/>
  <c r="M12682" i="1" s="1"/>
  <c r="L12690" i="1"/>
  <c r="M12690" i="1" s="1"/>
  <c r="L12818" i="1"/>
  <c r="M12818" i="1" s="1"/>
  <c r="L12826" i="1"/>
  <c r="M12826" i="1" s="1"/>
  <c r="L11588" i="1"/>
  <c r="M11588" i="1" s="1"/>
  <c r="L11596" i="1"/>
  <c r="M11596" i="1" s="1"/>
  <c r="L11724" i="1"/>
  <c r="M11724" i="1" s="1"/>
  <c r="L11732" i="1"/>
  <c r="M11732" i="1" s="1"/>
  <c r="L11860" i="1"/>
  <c r="M11860" i="1" s="1"/>
  <c r="L11868" i="1"/>
  <c r="M11868" i="1" s="1"/>
  <c r="L11996" i="1"/>
  <c r="M11996" i="1" s="1"/>
  <c r="L12004" i="1"/>
  <c r="M12004" i="1" s="1"/>
  <c r="L12132" i="1"/>
  <c r="M12132" i="1" s="1"/>
  <c r="L12140" i="1"/>
  <c r="M12140" i="1" s="1"/>
  <c r="L12268" i="1"/>
  <c r="M12268" i="1" s="1"/>
  <c r="L12276" i="1"/>
  <c r="M12276" i="1" s="1"/>
  <c r="L12404" i="1"/>
  <c r="M12404" i="1" s="1"/>
  <c r="L12412" i="1"/>
  <c r="M12412" i="1" s="1"/>
  <c r="L12540" i="1"/>
  <c r="M12540" i="1" s="1"/>
  <c r="L12548" i="1"/>
  <c r="M12548" i="1" s="1"/>
  <c r="L12676" i="1"/>
  <c r="M12676" i="1" s="1"/>
  <c r="L12684" i="1"/>
  <c r="M12684" i="1" s="1"/>
  <c r="L12812" i="1"/>
  <c r="M12812" i="1" s="1"/>
  <c r="L12820" i="1"/>
  <c r="M12820" i="1" s="1"/>
  <c r="L11589" i="1"/>
  <c r="M11589" i="1" s="1"/>
  <c r="L11597" i="1"/>
  <c r="M11597" i="1" s="1"/>
  <c r="L11725" i="1"/>
  <c r="M11725" i="1" s="1"/>
  <c r="L11733" i="1"/>
  <c r="M11733" i="1" s="1"/>
  <c r="L11861" i="1"/>
  <c r="M11861" i="1" s="1"/>
  <c r="L11869" i="1"/>
  <c r="M11869" i="1" s="1"/>
  <c r="L11997" i="1"/>
  <c r="M11997" i="1" s="1"/>
  <c r="L12005" i="1"/>
  <c r="M12005" i="1" s="1"/>
  <c r="L12133" i="1"/>
  <c r="M12133" i="1" s="1"/>
  <c r="L12141" i="1"/>
  <c r="M12141" i="1" s="1"/>
  <c r="L12269" i="1"/>
  <c r="M12269" i="1" s="1"/>
  <c r="L12277" i="1"/>
  <c r="M12277" i="1" s="1"/>
  <c r="L12405" i="1"/>
  <c r="M12405" i="1" s="1"/>
  <c r="L12413" i="1"/>
  <c r="M12413" i="1" s="1"/>
  <c r="L12541" i="1"/>
  <c r="M12541" i="1" s="1"/>
  <c r="L12549" i="1"/>
  <c r="M12549" i="1" s="1"/>
  <c r="L12677" i="1"/>
  <c r="M12677" i="1" s="1"/>
  <c r="L12685" i="1"/>
  <c r="M12685" i="1" s="1"/>
  <c r="L12813" i="1"/>
  <c r="M12813" i="1" s="1"/>
  <c r="L12821" i="1"/>
  <c r="M12821" i="1" s="1"/>
  <c r="L12949" i="1"/>
  <c r="M12949" i="1" s="1"/>
  <c r="L11590" i="1"/>
  <c r="M11590" i="1" s="1"/>
  <c r="L11598" i="1"/>
  <c r="M11598" i="1" s="1"/>
  <c r="L11726" i="1"/>
  <c r="M11726" i="1" s="1"/>
  <c r="L11734" i="1"/>
  <c r="M11734" i="1" s="1"/>
  <c r="L11862" i="1"/>
  <c r="M11862" i="1" s="1"/>
  <c r="L11870" i="1"/>
  <c r="M11870" i="1" s="1"/>
  <c r="L11998" i="1"/>
  <c r="M11998" i="1" s="1"/>
  <c r="L12006" i="1"/>
  <c r="M12006" i="1" s="1"/>
  <c r="L12134" i="1"/>
  <c r="M12134" i="1" s="1"/>
  <c r="L12142" i="1"/>
  <c r="M12142" i="1" s="1"/>
  <c r="L12270" i="1"/>
  <c r="M12270" i="1" s="1"/>
  <c r="L12278" i="1"/>
  <c r="M12278" i="1" s="1"/>
  <c r="L12406" i="1"/>
  <c r="M12406" i="1" s="1"/>
  <c r="L12414" i="1"/>
  <c r="M12414" i="1" s="1"/>
  <c r="L12542" i="1"/>
  <c r="M12542" i="1" s="1"/>
  <c r="L12550" i="1"/>
  <c r="M12550" i="1" s="1"/>
  <c r="L12678" i="1"/>
  <c r="M12678" i="1" s="1"/>
  <c r="L12686" i="1"/>
  <c r="M12686" i="1" s="1"/>
  <c r="L12814" i="1"/>
  <c r="M12814" i="1" s="1"/>
  <c r="L12822" i="1"/>
  <c r="M12822" i="1" s="1"/>
  <c r="L12950" i="1"/>
  <c r="M12950" i="1" s="1"/>
  <c r="L11591" i="1"/>
  <c r="M11591" i="1" s="1"/>
  <c r="L11599" i="1"/>
  <c r="M11599" i="1" s="1"/>
  <c r="L11727" i="1"/>
  <c r="M11727" i="1" s="1"/>
  <c r="L11735" i="1"/>
  <c r="M11735" i="1" s="1"/>
  <c r="L11863" i="1"/>
  <c r="M11863" i="1" s="1"/>
  <c r="L11871" i="1"/>
  <c r="M11871" i="1" s="1"/>
  <c r="L11999" i="1"/>
  <c r="M11999" i="1" s="1"/>
  <c r="L12007" i="1"/>
  <c r="M12007" i="1" s="1"/>
  <c r="L12135" i="1"/>
  <c r="M12135" i="1" s="1"/>
  <c r="L12143" i="1"/>
  <c r="M12143" i="1" s="1"/>
  <c r="L12271" i="1"/>
  <c r="M12271" i="1" s="1"/>
  <c r="L12279" i="1"/>
  <c r="M12279" i="1" s="1"/>
  <c r="L12407" i="1"/>
  <c r="M12407" i="1" s="1"/>
  <c r="L12415" i="1"/>
  <c r="M12415" i="1" s="1"/>
  <c r="L12543" i="1"/>
  <c r="M12543" i="1" s="1"/>
  <c r="L12551" i="1"/>
  <c r="M12551" i="1" s="1"/>
  <c r="L12679" i="1"/>
  <c r="M12679" i="1" s="1"/>
  <c r="L12687" i="1"/>
  <c r="M12687" i="1" s="1"/>
  <c r="L12815" i="1"/>
  <c r="M12815" i="1" s="1"/>
  <c r="L12823" i="1"/>
  <c r="M12823" i="1" s="1"/>
  <c r="L11592" i="1"/>
  <c r="M11592" i="1" s="1"/>
  <c r="L11600" i="1"/>
  <c r="M11600" i="1" s="1"/>
  <c r="L11728" i="1"/>
  <c r="M11728" i="1" s="1"/>
  <c r="L11736" i="1"/>
  <c r="M11736" i="1" s="1"/>
  <c r="L11864" i="1"/>
  <c r="M11864" i="1" s="1"/>
  <c r="L11872" i="1"/>
  <c r="M11872" i="1" s="1"/>
  <c r="L12000" i="1"/>
  <c r="M12000" i="1" s="1"/>
  <c r="L12008" i="1"/>
  <c r="M12008" i="1" s="1"/>
  <c r="L12136" i="1"/>
  <c r="M12136" i="1" s="1"/>
  <c r="L12144" i="1"/>
  <c r="M12144" i="1" s="1"/>
  <c r="L12272" i="1"/>
  <c r="M12272" i="1" s="1"/>
  <c r="L12280" i="1"/>
  <c r="M12280" i="1" s="1"/>
  <c r="L12408" i="1"/>
  <c r="M12408" i="1" s="1"/>
  <c r="L12416" i="1"/>
  <c r="M12416" i="1" s="1"/>
  <c r="L12544" i="1"/>
  <c r="M12544" i="1" s="1"/>
  <c r="L12552" i="1"/>
  <c r="M12552" i="1" s="1"/>
  <c r="L12680" i="1"/>
  <c r="M12680" i="1" s="1"/>
  <c r="L12688" i="1"/>
  <c r="M12688" i="1" s="1"/>
  <c r="L12816" i="1"/>
  <c r="M12816" i="1" s="1"/>
  <c r="L12824" i="1"/>
  <c r="M12824" i="1" s="1"/>
  <c r="L11593" i="1"/>
  <c r="M11593" i="1" s="1"/>
  <c r="L11601" i="1"/>
  <c r="M11601" i="1" s="1"/>
  <c r="L11729" i="1"/>
  <c r="M11729" i="1" s="1"/>
  <c r="L11737" i="1"/>
  <c r="M11737" i="1" s="1"/>
  <c r="L11865" i="1"/>
  <c r="M11865" i="1" s="1"/>
  <c r="L11873" i="1"/>
  <c r="M11873" i="1" s="1"/>
  <c r="L12001" i="1"/>
  <c r="M12001" i="1" s="1"/>
  <c r="L12009" i="1"/>
  <c r="M12009" i="1" s="1"/>
  <c r="L12137" i="1"/>
  <c r="M12137" i="1" s="1"/>
  <c r="L12145" i="1"/>
  <c r="M12145" i="1" s="1"/>
  <c r="L12273" i="1"/>
  <c r="M12273" i="1" s="1"/>
  <c r="L12281" i="1"/>
  <c r="M12281" i="1" s="1"/>
  <c r="L12409" i="1"/>
  <c r="M12409" i="1" s="1"/>
  <c r="L12417" i="1"/>
  <c r="M12417" i="1" s="1"/>
  <c r="L12545" i="1"/>
  <c r="M12545" i="1" s="1"/>
  <c r="L12553" i="1"/>
  <c r="M12553" i="1" s="1"/>
  <c r="L12681" i="1"/>
  <c r="M12681" i="1" s="1"/>
  <c r="L12689" i="1"/>
  <c r="M12689" i="1" s="1"/>
  <c r="L12817" i="1"/>
  <c r="M12817" i="1" s="1"/>
  <c r="L12825" i="1"/>
  <c r="M12825" i="1" s="1"/>
  <c r="L12953" i="1"/>
  <c r="M12953" i="1" s="1"/>
  <c r="L12954" i="1"/>
  <c r="M12954" i="1" s="1"/>
  <c r="L12962" i="1"/>
  <c r="M12962" i="1" s="1"/>
  <c r="L13090" i="1"/>
  <c r="M13090" i="1" s="1"/>
  <c r="L13098" i="1"/>
  <c r="M13098" i="1" s="1"/>
  <c r="L13226" i="1"/>
  <c r="M13226" i="1" s="1"/>
  <c r="L13234" i="1"/>
  <c r="M13234" i="1" s="1"/>
  <c r="L13362" i="1"/>
  <c r="M13362" i="1" s="1"/>
  <c r="L13370" i="1"/>
  <c r="M13370" i="1" s="1"/>
  <c r="L13498" i="1"/>
  <c r="M13498" i="1" s="1"/>
  <c r="L13506" i="1"/>
  <c r="M13506" i="1" s="1"/>
  <c r="L13634" i="1"/>
  <c r="M13634" i="1" s="1"/>
  <c r="L13642" i="1"/>
  <c r="M13642" i="1" s="1"/>
  <c r="L13770" i="1"/>
  <c r="M13770" i="1" s="1"/>
  <c r="L13778" i="1"/>
  <c r="M13778" i="1" s="1"/>
  <c r="L13906" i="1"/>
  <c r="M13906" i="1" s="1"/>
  <c r="L13914" i="1"/>
  <c r="M13914" i="1" s="1"/>
  <c r="L14042" i="1"/>
  <c r="M14042" i="1" s="1"/>
  <c r="L14050" i="1"/>
  <c r="M14050" i="1" s="1"/>
  <c r="L14178" i="1"/>
  <c r="M14178" i="1" s="1"/>
  <c r="L14186" i="1"/>
  <c r="M14186" i="1" s="1"/>
  <c r="L12955" i="1"/>
  <c r="M12955" i="1" s="1"/>
  <c r="L13083" i="1"/>
  <c r="M13083" i="1" s="1"/>
  <c r="L13091" i="1"/>
  <c r="M13091" i="1" s="1"/>
  <c r="L13219" i="1"/>
  <c r="M13219" i="1" s="1"/>
  <c r="L13227" i="1"/>
  <c r="M13227" i="1" s="1"/>
  <c r="L11587" i="1"/>
  <c r="M11587" i="1" s="1"/>
  <c r="L11723" i="1"/>
  <c r="M11723" i="1" s="1"/>
  <c r="L11859" i="1"/>
  <c r="M11859" i="1" s="1"/>
  <c r="L11995" i="1"/>
  <c r="M11995" i="1" s="1"/>
  <c r="L12131" i="1"/>
  <c r="M12131" i="1" s="1"/>
  <c r="L12267" i="1"/>
  <c r="M12267" i="1" s="1"/>
  <c r="L12403" i="1"/>
  <c r="M12403" i="1" s="1"/>
  <c r="L12539" i="1"/>
  <c r="M12539" i="1" s="1"/>
  <c r="L12675" i="1"/>
  <c r="M12675" i="1" s="1"/>
  <c r="L12811" i="1"/>
  <c r="M12811" i="1" s="1"/>
  <c r="L12956" i="1"/>
  <c r="M12956" i="1" s="1"/>
  <c r="L13084" i="1"/>
  <c r="M13084" i="1" s="1"/>
  <c r="L13092" i="1"/>
  <c r="M13092" i="1" s="1"/>
  <c r="L13220" i="1"/>
  <c r="M13220" i="1" s="1"/>
  <c r="L13228" i="1"/>
  <c r="M13228" i="1" s="1"/>
  <c r="L13356" i="1"/>
  <c r="M13356" i="1" s="1"/>
  <c r="L13364" i="1"/>
  <c r="M13364" i="1" s="1"/>
  <c r="L13492" i="1"/>
  <c r="M13492" i="1" s="1"/>
  <c r="L13500" i="1"/>
  <c r="M13500" i="1" s="1"/>
  <c r="L13628" i="1"/>
  <c r="M13628" i="1" s="1"/>
  <c r="L13636" i="1"/>
  <c r="M13636" i="1" s="1"/>
  <c r="L13764" i="1"/>
  <c r="M13764" i="1" s="1"/>
  <c r="L13772" i="1"/>
  <c r="M13772" i="1" s="1"/>
  <c r="L13900" i="1"/>
  <c r="M13900" i="1" s="1"/>
  <c r="L13908" i="1"/>
  <c r="M13908" i="1" s="1"/>
  <c r="L11595" i="1"/>
  <c r="M11595" i="1" s="1"/>
  <c r="L11731" i="1"/>
  <c r="M11731" i="1" s="1"/>
  <c r="L11867" i="1"/>
  <c r="M11867" i="1" s="1"/>
  <c r="L12003" i="1"/>
  <c r="M12003" i="1" s="1"/>
  <c r="L12139" i="1"/>
  <c r="M12139" i="1" s="1"/>
  <c r="L12275" i="1"/>
  <c r="M12275" i="1" s="1"/>
  <c r="L12411" i="1"/>
  <c r="M12411" i="1" s="1"/>
  <c r="L12547" i="1"/>
  <c r="M12547" i="1" s="1"/>
  <c r="L12683" i="1"/>
  <c r="M12683" i="1" s="1"/>
  <c r="L12819" i="1"/>
  <c r="M12819" i="1" s="1"/>
  <c r="L12957" i="1"/>
  <c r="M12957" i="1" s="1"/>
  <c r="L13085" i="1"/>
  <c r="M13085" i="1" s="1"/>
  <c r="L13093" i="1"/>
  <c r="M13093" i="1" s="1"/>
  <c r="L13221" i="1"/>
  <c r="M13221" i="1" s="1"/>
  <c r="L13229" i="1"/>
  <c r="M13229" i="1" s="1"/>
  <c r="L13357" i="1"/>
  <c r="M13357" i="1" s="1"/>
  <c r="L13365" i="1"/>
  <c r="M13365" i="1" s="1"/>
  <c r="L13493" i="1"/>
  <c r="M13493" i="1" s="1"/>
  <c r="L13501" i="1"/>
  <c r="M13501" i="1" s="1"/>
  <c r="L13629" i="1"/>
  <c r="M13629" i="1" s="1"/>
  <c r="L13637" i="1"/>
  <c r="M13637" i="1" s="1"/>
  <c r="L13765" i="1"/>
  <c r="M13765" i="1" s="1"/>
  <c r="L13773" i="1"/>
  <c r="M13773" i="1" s="1"/>
  <c r="L13901" i="1"/>
  <c r="M13901" i="1" s="1"/>
  <c r="L13909" i="1"/>
  <c r="M13909" i="1" s="1"/>
  <c r="L12947" i="1"/>
  <c r="M12947" i="1" s="1"/>
  <c r="L12958" i="1"/>
  <c r="M12958" i="1" s="1"/>
  <c r="L13086" i="1"/>
  <c r="M13086" i="1" s="1"/>
  <c r="L13094" i="1"/>
  <c r="M13094" i="1" s="1"/>
  <c r="L13222" i="1"/>
  <c r="M13222" i="1" s="1"/>
  <c r="L13230" i="1"/>
  <c r="M13230" i="1" s="1"/>
  <c r="L13358" i="1"/>
  <c r="M13358" i="1" s="1"/>
  <c r="L13366" i="1"/>
  <c r="M13366" i="1" s="1"/>
  <c r="L13494" i="1"/>
  <c r="M13494" i="1" s="1"/>
  <c r="L13502" i="1"/>
  <c r="M13502" i="1" s="1"/>
  <c r="L13630" i="1"/>
  <c r="M13630" i="1" s="1"/>
  <c r="L13638" i="1"/>
  <c r="M13638" i="1" s="1"/>
  <c r="L13766" i="1"/>
  <c r="M13766" i="1" s="1"/>
  <c r="L13774" i="1"/>
  <c r="M13774" i="1" s="1"/>
  <c r="L13902" i="1"/>
  <c r="M13902" i="1" s="1"/>
  <c r="L13910" i="1"/>
  <c r="M13910" i="1" s="1"/>
  <c r="L14038" i="1"/>
  <c r="M14038" i="1" s="1"/>
  <c r="L14046" i="1"/>
  <c r="M14046" i="1" s="1"/>
  <c r="L14174" i="1"/>
  <c r="M14174" i="1" s="1"/>
  <c r="L14182" i="1"/>
  <c r="M14182" i="1" s="1"/>
  <c r="L12948" i="1"/>
  <c r="M12948" i="1" s="1"/>
  <c r="L12959" i="1"/>
  <c r="M12959" i="1" s="1"/>
  <c r="L13087" i="1"/>
  <c r="M13087" i="1" s="1"/>
  <c r="L13095" i="1"/>
  <c r="M13095" i="1" s="1"/>
  <c r="L13223" i="1"/>
  <c r="M13223" i="1" s="1"/>
  <c r="L13231" i="1"/>
  <c r="M13231" i="1" s="1"/>
  <c r="L13359" i="1"/>
  <c r="M13359" i="1" s="1"/>
  <c r="L13367" i="1"/>
  <c r="M13367" i="1" s="1"/>
  <c r="L13495" i="1"/>
  <c r="M13495" i="1" s="1"/>
  <c r="L13503" i="1"/>
  <c r="M13503" i="1" s="1"/>
  <c r="L13631" i="1"/>
  <c r="M13631" i="1" s="1"/>
  <c r="L13639" i="1"/>
  <c r="M13639" i="1" s="1"/>
  <c r="L13767" i="1"/>
  <c r="M13767" i="1" s="1"/>
  <c r="L13775" i="1"/>
  <c r="M13775" i="1" s="1"/>
  <c r="L13903" i="1"/>
  <c r="M13903" i="1" s="1"/>
  <c r="L13911" i="1"/>
  <c r="M13911" i="1" s="1"/>
  <c r="L14039" i="1"/>
  <c r="M14039" i="1" s="1"/>
  <c r="L14047" i="1"/>
  <c r="M14047" i="1" s="1"/>
  <c r="L12951" i="1"/>
  <c r="M12951" i="1" s="1"/>
  <c r="L12960" i="1"/>
  <c r="M12960" i="1" s="1"/>
  <c r="L13088" i="1"/>
  <c r="M13088" i="1" s="1"/>
  <c r="L13096" i="1"/>
  <c r="M13096" i="1" s="1"/>
  <c r="L13224" i="1"/>
  <c r="M13224" i="1" s="1"/>
  <c r="L13232" i="1"/>
  <c r="M13232" i="1" s="1"/>
  <c r="L13360" i="1"/>
  <c r="M13360" i="1" s="1"/>
  <c r="L13368" i="1"/>
  <c r="M13368" i="1" s="1"/>
  <c r="L13496" i="1"/>
  <c r="M13496" i="1" s="1"/>
  <c r="L13504" i="1"/>
  <c r="M13504" i="1" s="1"/>
  <c r="L13632" i="1"/>
  <c r="M13632" i="1" s="1"/>
  <c r="L13640" i="1"/>
  <c r="M13640" i="1" s="1"/>
  <c r="L13768" i="1"/>
  <c r="M13768" i="1" s="1"/>
  <c r="L13776" i="1"/>
  <c r="M13776" i="1" s="1"/>
  <c r="L13904" i="1"/>
  <c r="M13904" i="1" s="1"/>
  <c r="L13912" i="1"/>
  <c r="M13912" i="1" s="1"/>
  <c r="L13363" i="1"/>
  <c r="M13363" i="1" s="1"/>
  <c r="L13499" i="1"/>
  <c r="M13499" i="1" s="1"/>
  <c r="L13635" i="1"/>
  <c r="M13635" i="1" s="1"/>
  <c r="L13771" i="1"/>
  <c r="M13771" i="1" s="1"/>
  <c r="L13907" i="1"/>
  <c r="M13907" i="1" s="1"/>
  <c r="L14036" i="1"/>
  <c r="M14036" i="1" s="1"/>
  <c r="L14049" i="1"/>
  <c r="M14049" i="1" s="1"/>
  <c r="L14176" i="1"/>
  <c r="M14176" i="1" s="1"/>
  <c r="L14310" i="1"/>
  <c r="M14310" i="1" s="1"/>
  <c r="L14318" i="1"/>
  <c r="M14318" i="1" s="1"/>
  <c r="L13361" i="1"/>
  <c r="M13361" i="1" s="1"/>
  <c r="L14185" i="1"/>
  <c r="M14185" i="1" s="1"/>
  <c r="L12952" i="1"/>
  <c r="M12952" i="1" s="1"/>
  <c r="L13089" i="1"/>
  <c r="M13089" i="1" s="1"/>
  <c r="L13225" i="1"/>
  <c r="M13225" i="1" s="1"/>
  <c r="L13369" i="1"/>
  <c r="M13369" i="1" s="1"/>
  <c r="L13505" i="1"/>
  <c r="M13505" i="1" s="1"/>
  <c r="L13641" i="1"/>
  <c r="M13641" i="1" s="1"/>
  <c r="L13777" i="1"/>
  <c r="M13777" i="1" s="1"/>
  <c r="L13913" i="1"/>
  <c r="M13913" i="1" s="1"/>
  <c r="L14037" i="1"/>
  <c r="M14037" i="1" s="1"/>
  <c r="L14177" i="1"/>
  <c r="M14177" i="1" s="1"/>
  <c r="L14311" i="1"/>
  <c r="M14311" i="1" s="1"/>
  <c r="L14319" i="1"/>
  <c r="M14319" i="1" s="1"/>
  <c r="L13769" i="1"/>
  <c r="M13769" i="1" s="1"/>
  <c r="L14048" i="1"/>
  <c r="M14048" i="1" s="1"/>
  <c r="L12961" i="1"/>
  <c r="M12961" i="1" s="1"/>
  <c r="L13097" i="1"/>
  <c r="M13097" i="1" s="1"/>
  <c r="L13233" i="1"/>
  <c r="M13233" i="1" s="1"/>
  <c r="L14040" i="1"/>
  <c r="M14040" i="1" s="1"/>
  <c r="L14179" i="1"/>
  <c r="M14179" i="1" s="1"/>
  <c r="L14312" i="1"/>
  <c r="M14312" i="1" s="1"/>
  <c r="L14320" i="1"/>
  <c r="M14320" i="1" s="1"/>
  <c r="L13633" i="1"/>
  <c r="M13633" i="1" s="1"/>
  <c r="L14035" i="1"/>
  <c r="M14035" i="1" s="1"/>
  <c r="L14041" i="1"/>
  <c r="M14041" i="1" s="1"/>
  <c r="L14180" i="1"/>
  <c r="M14180" i="1" s="1"/>
  <c r="L14313" i="1"/>
  <c r="M14313" i="1" s="1"/>
  <c r="L14321" i="1"/>
  <c r="M14321" i="1" s="1"/>
  <c r="L14043" i="1"/>
  <c r="M14043" i="1" s="1"/>
  <c r="L14171" i="1"/>
  <c r="M14171" i="1" s="1"/>
  <c r="L14181" i="1"/>
  <c r="M14181" i="1" s="1"/>
  <c r="L14314" i="1"/>
  <c r="M14314" i="1" s="1"/>
  <c r="L14322" i="1"/>
  <c r="M14322" i="1" s="1"/>
  <c r="L14044" i="1"/>
  <c r="M14044" i="1" s="1"/>
  <c r="L14172" i="1"/>
  <c r="M14172" i="1" s="1"/>
  <c r="L14183" i="1"/>
  <c r="M14183" i="1" s="1"/>
  <c r="L14307" i="1"/>
  <c r="M14307" i="1" s="1"/>
  <c r="L14315" i="1"/>
  <c r="M14315" i="1" s="1"/>
  <c r="L13905" i="1"/>
  <c r="M13905" i="1" s="1"/>
  <c r="L14309" i="1"/>
  <c r="M14309" i="1" s="1"/>
  <c r="L13355" i="1"/>
  <c r="M13355" i="1" s="1"/>
  <c r="L13491" i="1"/>
  <c r="M13491" i="1" s="1"/>
  <c r="L13627" i="1"/>
  <c r="M13627" i="1" s="1"/>
  <c r="L13763" i="1"/>
  <c r="M13763" i="1" s="1"/>
  <c r="L13899" i="1"/>
  <c r="M13899" i="1" s="1"/>
  <c r="L14045" i="1"/>
  <c r="M14045" i="1" s="1"/>
  <c r="L14173" i="1"/>
  <c r="M14173" i="1" s="1"/>
  <c r="L14184" i="1"/>
  <c r="M14184" i="1" s="1"/>
  <c r="L14308" i="1"/>
  <c r="M14308" i="1" s="1"/>
  <c r="L14316" i="1"/>
  <c r="M14316" i="1" s="1"/>
  <c r="L13497" i="1"/>
  <c r="M13497" i="1" s="1"/>
  <c r="L14175" i="1"/>
  <c r="M14175" i="1" s="1"/>
  <c r="L14317" i="1"/>
  <c r="M14317" i="1" s="1"/>
  <c r="M1322" i="1"/>
  <c r="L4110" i="1"/>
  <c r="M4110" i="1" s="1"/>
  <c r="L4118" i="1"/>
  <c r="M4118" i="1" s="1"/>
  <c r="L4246" i="1"/>
  <c r="M4246" i="1" s="1"/>
  <c r="L4254" i="1"/>
  <c r="M4254" i="1" s="1"/>
  <c r="L4382" i="1"/>
  <c r="M4382" i="1" s="1"/>
  <c r="L4390" i="1"/>
  <c r="M4390" i="1" s="1"/>
  <c r="L4518" i="1"/>
  <c r="M4518" i="1" s="1"/>
  <c r="L4526" i="1"/>
  <c r="M4526" i="1" s="1"/>
  <c r="L4654" i="1"/>
  <c r="M4654" i="1" s="1"/>
  <c r="L4662" i="1"/>
  <c r="M4662" i="1" s="1"/>
  <c r="L4790" i="1"/>
  <c r="M4790" i="1" s="1"/>
  <c r="L4798" i="1"/>
  <c r="M4798" i="1" s="1"/>
  <c r="L4926" i="1"/>
  <c r="M4926" i="1" s="1"/>
  <c r="L4934" i="1"/>
  <c r="M4934" i="1" s="1"/>
  <c r="L5062" i="1"/>
  <c r="M5062" i="1" s="1"/>
  <c r="L5070" i="1"/>
  <c r="M5070" i="1" s="1"/>
  <c r="M1370" i="1"/>
  <c r="L1378" i="1"/>
  <c r="M1378" i="1" s="1"/>
  <c r="L1530" i="1"/>
  <c r="M1530" i="1" s="1"/>
  <c r="L1538" i="1"/>
  <c r="M1538" i="1" s="1"/>
  <c r="L1650" i="1"/>
  <c r="M1650" i="1" s="1"/>
  <c r="L1658" i="1"/>
  <c r="M1658" i="1" s="1"/>
  <c r="L4111" i="1"/>
  <c r="M4111" i="1" s="1"/>
  <c r="L4119" i="1"/>
  <c r="M4119" i="1" s="1"/>
  <c r="L4247" i="1"/>
  <c r="M4247" i="1" s="1"/>
  <c r="L4255" i="1"/>
  <c r="M4255" i="1" s="1"/>
  <c r="L4383" i="1"/>
  <c r="M4383" i="1" s="1"/>
  <c r="L4391" i="1"/>
  <c r="M4391" i="1" s="1"/>
  <c r="L4519" i="1"/>
  <c r="M4519" i="1" s="1"/>
  <c r="L4527" i="1"/>
  <c r="M4527" i="1" s="1"/>
  <c r="L4655" i="1"/>
  <c r="M4655" i="1" s="1"/>
  <c r="L4663" i="1"/>
  <c r="M4663" i="1" s="1"/>
  <c r="L4791" i="1"/>
  <c r="M4791" i="1" s="1"/>
  <c r="L4799" i="1"/>
  <c r="M4799" i="1" s="1"/>
  <c r="L4927" i="1"/>
  <c r="M4927" i="1" s="1"/>
  <c r="L4935" i="1"/>
  <c r="M4935" i="1" s="1"/>
  <c r="L5063" i="1"/>
  <c r="M5063" i="1" s="1"/>
  <c r="L5071" i="1"/>
  <c r="M5071" i="1" s="1"/>
  <c r="M1371" i="1"/>
  <c r="L1379" i="1"/>
  <c r="M1379" i="1" s="1"/>
  <c r="L1523" i="1"/>
  <c r="M1523" i="1" s="1"/>
  <c r="L1531" i="1"/>
  <c r="M1531" i="1" s="1"/>
  <c r="L1643" i="1"/>
  <c r="M1643" i="1" s="1"/>
  <c r="L1651" i="1"/>
  <c r="M1651" i="1" s="1"/>
  <c r="L4112" i="1"/>
  <c r="M4112" i="1" s="1"/>
  <c r="L4120" i="1"/>
  <c r="M4120" i="1" s="1"/>
  <c r="L4248" i="1"/>
  <c r="M4248" i="1" s="1"/>
  <c r="L4256" i="1"/>
  <c r="M4256" i="1" s="1"/>
  <c r="L4384" i="1"/>
  <c r="M4384" i="1" s="1"/>
  <c r="L4392" i="1"/>
  <c r="M4392" i="1" s="1"/>
  <c r="L4520" i="1"/>
  <c r="M4520" i="1" s="1"/>
  <c r="L4528" i="1"/>
  <c r="M4528" i="1" s="1"/>
  <c r="L4656" i="1"/>
  <c r="M4656" i="1" s="1"/>
  <c r="L4664" i="1"/>
  <c r="M4664" i="1" s="1"/>
  <c r="L4792" i="1"/>
  <c r="M4792" i="1" s="1"/>
  <c r="L4800" i="1"/>
  <c r="M4800" i="1" s="1"/>
  <c r="L4928" i="1"/>
  <c r="M4928" i="1" s="1"/>
  <c r="L4936" i="1"/>
  <c r="M4936" i="1" s="1"/>
  <c r="L5064" i="1"/>
  <c r="M5064" i="1" s="1"/>
  <c r="L5072" i="1"/>
  <c r="M5072" i="1" s="1"/>
  <c r="M1372" i="1"/>
  <c r="L1380" i="1"/>
  <c r="M1380" i="1" s="1"/>
  <c r="L1524" i="1"/>
  <c r="M1524" i="1" s="1"/>
  <c r="L1532" i="1"/>
  <c r="M1532" i="1" s="1"/>
  <c r="L1644" i="1"/>
  <c r="M1644" i="1" s="1"/>
  <c r="L1652" i="1"/>
  <c r="M1652" i="1" s="1"/>
  <c r="L4113" i="1"/>
  <c r="M4113" i="1" s="1"/>
  <c r="L4121" i="1"/>
  <c r="M4121" i="1" s="1"/>
  <c r="L4249" i="1"/>
  <c r="M4249" i="1" s="1"/>
  <c r="L4257" i="1"/>
  <c r="M4257" i="1" s="1"/>
  <c r="L4385" i="1"/>
  <c r="M4385" i="1" s="1"/>
  <c r="L4393" i="1"/>
  <c r="M4393" i="1" s="1"/>
  <c r="L4521" i="1"/>
  <c r="M4521" i="1" s="1"/>
  <c r="L4529" i="1"/>
  <c r="M4529" i="1" s="1"/>
  <c r="L4657" i="1"/>
  <c r="M4657" i="1" s="1"/>
  <c r="L4665" i="1"/>
  <c r="M4665" i="1" s="1"/>
  <c r="L4793" i="1"/>
  <c r="M4793" i="1" s="1"/>
  <c r="L4801" i="1"/>
  <c r="M4801" i="1" s="1"/>
  <c r="L4929" i="1"/>
  <c r="M4929" i="1" s="1"/>
  <c r="L4937" i="1"/>
  <c r="M4937" i="1" s="1"/>
  <c r="L5065" i="1"/>
  <c r="M5065" i="1" s="1"/>
  <c r="L5073" i="1"/>
  <c r="M5073" i="1" s="1"/>
  <c r="M1373" i="1"/>
  <c r="L1381" i="1"/>
  <c r="M1381" i="1" s="1"/>
  <c r="L1525" i="1"/>
  <c r="M1525" i="1" s="1"/>
  <c r="L1533" i="1"/>
  <c r="M1533" i="1" s="1"/>
  <c r="L1645" i="1"/>
  <c r="M1645" i="1" s="1"/>
  <c r="L1653" i="1"/>
  <c r="M1653" i="1" s="1"/>
  <c r="L4107" i="1"/>
  <c r="M4107" i="1" s="1"/>
  <c r="L4115" i="1"/>
  <c r="M4115" i="1" s="1"/>
  <c r="L4243" i="1"/>
  <c r="M4243" i="1" s="1"/>
  <c r="L4251" i="1"/>
  <c r="M4251" i="1" s="1"/>
  <c r="L4379" i="1"/>
  <c r="M4379" i="1" s="1"/>
  <c r="L4387" i="1"/>
  <c r="M4387" i="1" s="1"/>
  <c r="L4515" i="1"/>
  <c r="M4515" i="1" s="1"/>
  <c r="L4523" i="1"/>
  <c r="M4523" i="1" s="1"/>
  <c r="L4651" i="1"/>
  <c r="M4651" i="1" s="1"/>
  <c r="L4659" i="1"/>
  <c r="M4659" i="1" s="1"/>
  <c r="L4787" i="1"/>
  <c r="M4787" i="1" s="1"/>
  <c r="L4795" i="1"/>
  <c r="M4795" i="1" s="1"/>
  <c r="L4923" i="1"/>
  <c r="M4923" i="1" s="1"/>
  <c r="L4931" i="1"/>
  <c r="M4931" i="1" s="1"/>
  <c r="L5059" i="1"/>
  <c r="M5059" i="1" s="1"/>
  <c r="L5067" i="1"/>
  <c r="M5067" i="1" s="1"/>
  <c r="L1375" i="1"/>
  <c r="M1375" i="1" s="1"/>
  <c r="L1383" i="1"/>
  <c r="M1383" i="1" s="1"/>
  <c r="L1527" i="1"/>
  <c r="M1527" i="1" s="1"/>
  <c r="L1535" i="1"/>
  <c r="M1535" i="1" s="1"/>
  <c r="L1647" i="1"/>
  <c r="M1647" i="1" s="1"/>
  <c r="L1655" i="1"/>
  <c r="M1655" i="1" s="1"/>
  <c r="L4108" i="1"/>
  <c r="M4108" i="1" s="1"/>
  <c r="L4116" i="1"/>
  <c r="M4116" i="1" s="1"/>
  <c r="L4244" i="1"/>
  <c r="M4244" i="1" s="1"/>
  <c r="L4252" i="1"/>
  <c r="M4252" i="1" s="1"/>
  <c r="L4380" i="1"/>
  <c r="M4380" i="1" s="1"/>
  <c r="L4388" i="1"/>
  <c r="M4388" i="1" s="1"/>
  <c r="L4516" i="1"/>
  <c r="M4516" i="1" s="1"/>
  <c r="L4524" i="1"/>
  <c r="M4524" i="1" s="1"/>
  <c r="L4652" i="1"/>
  <c r="M4652" i="1" s="1"/>
  <c r="L4660" i="1"/>
  <c r="M4660" i="1" s="1"/>
  <c r="L4788" i="1"/>
  <c r="M4788" i="1" s="1"/>
  <c r="L4796" i="1"/>
  <c r="M4796" i="1" s="1"/>
  <c r="L4924" i="1"/>
  <c r="M4924" i="1" s="1"/>
  <c r="L4932" i="1"/>
  <c r="M4932" i="1" s="1"/>
  <c r="L5060" i="1"/>
  <c r="M5060" i="1" s="1"/>
  <c r="L5068" i="1"/>
  <c r="M5068" i="1" s="1"/>
  <c r="L1376" i="1"/>
  <c r="M1376" i="1" s="1"/>
  <c r="L1384" i="1"/>
  <c r="M1384" i="1" s="1"/>
  <c r="L1528" i="1"/>
  <c r="M1528" i="1" s="1"/>
  <c r="L1536" i="1"/>
  <c r="M1536" i="1" s="1"/>
  <c r="L1648" i="1"/>
  <c r="M1648" i="1" s="1"/>
  <c r="L1656" i="1"/>
  <c r="M1656" i="1" s="1"/>
  <c r="L4109" i="1"/>
  <c r="M4109" i="1" s="1"/>
  <c r="L4117" i="1"/>
  <c r="M4117" i="1" s="1"/>
  <c r="L4245" i="1"/>
  <c r="M4245" i="1" s="1"/>
  <c r="L4253" i="1"/>
  <c r="M4253" i="1" s="1"/>
  <c r="L4381" i="1"/>
  <c r="M4381" i="1" s="1"/>
  <c r="L4389" i="1"/>
  <c r="M4389" i="1" s="1"/>
  <c r="L4517" i="1"/>
  <c r="M4517" i="1" s="1"/>
  <c r="L4525" i="1"/>
  <c r="M4525" i="1" s="1"/>
  <c r="L4653" i="1"/>
  <c r="M4653" i="1" s="1"/>
  <c r="L4661" i="1"/>
  <c r="M4661" i="1" s="1"/>
  <c r="L4789" i="1"/>
  <c r="M4789" i="1" s="1"/>
  <c r="L4797" i="1"/>
  <c r="M4797" i="1" s="1"/>
  <c r="L4925" i="1"/>
  <c r="M4925" i="1" s="1"/>
  <c r="L4933" i="1"/>
  <c r="M4933" i="1" s="1"/>
  <c r="L5061" i="1"/>
  <c r="M5061" i="1" s="1"/>
  <c r="L5069" i="1"/>
  <c r="M5069" i="1" s="1"/>
  <c r="M1369" i="1"/>
  <c r="L1377" i="1"/>
  <c r="M1377" i="1" s="1"/>
  <c r="L1529" i="1"/>
  <c r="M1529" i="1" s="1"/>
  <c r="L1537" i="1"/>
  <c r="M1537" i="1" s="1"/>
  <c r="L1649" i="1"/>
  <c r="M1649" i="1" s="1"/>
  <c r="L1657" i="1"/>
  <c r="M1657" i="1" s="1"/>
  <c r="L1534" i="1"/>
  <c r="M1534" i="1" s="1"/>
  <c r="L1801" i="1"/>
  <c r="M1801" i="1" s="1"/>
  <c r="L1809" i="1"/>
  <c r="M1809" i="1" s="1"/>
  <c r="L1937" i="1"/>
  <c r="M1937" i="1" s="1"/>
  <c r="L1945" i="1"/>
  <c r="M1945" i="1" s="1"/>
  <c r="L2057" i="1"/>
  <c r="M2057" i="1" s="1"/>
  <c r="L2065" i="1"/>
  <c r="M2065" i="1" s="1"/>
  <c r="L2193" i="1"/>
  <c r="M2193" i="1" s="1"/>
  <c r="L2201" i="1"/>
  <c r="M2201" i="1" s="1"/>
  <c r="L2329" i="1"/>
  <c r="M2329" i="1" s="1"/>
  <c r="L2337" i="1"/>
  <c r="M2337" i="1" s="1"/>
  <c r="L2465" i="1"/>
  <c r="M2465" i="1" s="1"/>
  <c r="L2473" i="1"/>
  <c r="M2473" i="1" s="1"/>
  <c r="L2609" i="1"/>
  <c r="M2609" i="1" s="1"/>
  <c r="L2617" i="1"/>
  <c r="M2617" i="1" s="1"/>
  <c r="L2745" i="1"/>
  <c r="M2745" i="1" s="1"/>
  <c r="L2753" i="1"/>
  <c r="M2753" i="1" s="1"/>
  <c r="L2881" i="1"/>
  <c r="M2881" i="1" s="1"/>
  <c r="L2889" i="1"/>
  <c r="M2889" i="1" s="1"/>
  <c r="L3033" i="1"/>
  <c r="M3033" i="1" s="1"/>
  <c r="L3041" i="1"/>
  <c r="M3041" i="1" s="1"/>
  <c r="L3153" i="1"/>
  <c r="M3153" i="1" s="1"/>
  <c r="L3161" i="1"/>
  <c r="M3161" i="1" s="1"/>
  <c r="L3305" i="1"/>
  <c r="M3305" i="1" s="1"/>
  <c r="L3313" i="1"/>
  <c r="M3313" i="1" s="1"/>
  <c r="L3425" i="1"/>
  <c r="M3425" i="1" s="1"/>
  <c r="L3433" i="1"/>
  <c r="M3433" i="1" s="1"/>
  <c r="L3585" i="1"/>
  <c r="M3585" i="1" s="1"/>
  <c r="L3593" i="1"/>
  <c r="M3593" i="1" s="1"/>
  <c r="L3705" i="1"/>
  <c r="M3705" i="1" s="1"/>
  <c r="L3713" i="1"/>
  <c r="M3713" i="1" s="1"/>
  <c r="L3841" i="1"/>
  <c r="M3841" i="1" s="1"/>
  <c r="L3977" i="1"/>
  <c r="M3977" i="1" s="1"/>
  <c r="L3985" i="1"/>
  <c r="M3985" i="1" s="1"/>
  <c r="L931" i="1"/>
  <c r="M931" i="1" s="1"/>
  <c r="L939" i="1"/>
  <c r="M939" i="1" s="1"/>
  <c r="L1067" i="1"/>
  <c r="M1067" i="1" s="1"/>
  <c r="L1075" i="1"/>
  <c r="M1075" i="1" s="1"/>
  <c r="L1203" i="1"/>
  <c r="M1203" i="1" s="1"/>
  <c r="L1211" i="1"/>
  <c r="M1211" i="1" s="1"/>
  <c r="L1802" i="1"/>
  <c r="M1802" i="1" s="1"/>
  <c r="L1810" i="1"/>
  <c r="M1810" i="1" s="1"/>
  <c r="L1938" i="1"/>
  <c r="M1938" i="1" s="1"/>
  <c r="L1946" i="1"/>
  <c r="M1946" i="1" s="1"/>
  <c r="L2058" i="1"/>
  <c r="M2058" i="1" s="1"/>
  <c r="L2066" i="1"/>
  <c r="M2066" i="1" s="1"/>
  <c r="L2194" i="1"/>
  <c r="M2194" i="1" s="1"/>
  <c r="L2202" i="1"/>
  <c r="M2202" i="1" s="1"/>
  <c r="L2330" i="1"/>
  <c r="M2330" i="1" s="1"/>
  <c r="L2338" i="1"/>
  <c r="M2338" i="1" s="1"/>
  <c r="L2466" i="1"/>
  <c r="M2466" i="1" s="1"/>
  <c r="L2474" i="1"/>
  <c r="M2474" i="1" s="1"/>
  <c r="L2602" i="1"/>
  <c r="M2602" i="1" s="1"/>
  <c r="L2610" i="1"/>
  <c r="M2610" i="1" s="1"/>
  <c r="L2746" i="1"/>
  <c r="M2746" i="1" s="1"/>
  <c r="L2754" i="1"/>
  <c r="M2754" i="1" s="1"/>
  <c r="L2882" i="1"/>
  <c r="M2882" i="1" s="1"/>
  <c r="L2890" i="1"/>
  <c r="M2890" i="1" s="1"/>
  <c r="L3034" i="1"/>
  <c r="M3034" i="1" s="1"/>
  <c r="L3042" i="1"/>
  <c r="M3042" i="1" s="1"/>
  <c r="L3154" i="1"/>
  <c r="M3154" i="1" s="1"/>
  <c r="L3162" i="1"/>
  <c r="M3162" i="1" s="1"/>
  <c r="L3306" i="1"/>
  <c r="M3306" i="1" s="1"/>
  <c r="L3314" i="1"/>
  <c r="M3314" i="1" s="1"/>
  <c r="L3426" i="1"/>
  <c r="M3426" i="1" s="1"/>
  <c r="L3434" i="1"/>
  <c r="M3434" i="1" s="1"/>
  <c r="L3578" i="1"/>
  <c r="M3578" i="1" s="1"/>
  <c r="L3586" i="1"/>
  <c r="M3586" i="1" s="1"/>
  <c r="L3698" i="1"/>
  <c r="M3698" i="1" s="1"/>
  <c r="L3706" i="1"/>
  <c r="M3706" i="1" s="1"/>
  <c r="L3842" i="1"/>
  <c r="M3842" i="1" s="1"/>
  <c r="L3978" i="1"/>
  <c r="M3978" i="1" s="1"/>
  <c r="L3986" i="1"/>
  <c r="M3986" i="1" s="1"/>
  <c r="L932" i="1"/>
  <c r="M932" i="1" s="1"/>
  <c r="L940" i="1"/>
  <c r="M940" i="1" s="1"/>
  <c r="L1068" i="1"/>
  <c r="M1068" i="1" s="1"/>
  <c r="L1076" i="1"/>
  <c r="M1076" i="1" s="1"/>
  <c r="L1204" i="1"/>
  <c r="M1204" i="1" s="1"/>
  <c r="L1212" i="1"/>
  <c r="M1212" i="1" s="1"/>
  <c r="L1803" i="1"/>
  <c r="M1803" i="1" s="1"/>
  <c r="L1811" i="1"/>
  <c r="M1811" i="1" s="1"/>
  <c r="L1939" i="1"/>
  <c r="M1939" i="1" s="1"/>
  <c r="L1947" i="1"/>
  <c r="M1947" i="1" s="1"/>
  <c r="L2059" i="1"/>
  <c r="M2059" i="1" s="1"/>
  <c r="L2067" i="1"/>
  <c r="M2067" i="1" s="1"/>
  <c r="L2195" i="1"/>
  <c r="M2195" i="1" s="1"/>
  <c r="L2203" i="1"/>
  <c r="M2203" i="1" s="1"/>
  <c r="L2331" i="1"/>
  <c r="M2331" i="1" s="1"/>
  <c r="L2339" i="1"/>
  <c r="M2339" i="1" s="1"/>
  <c r="L2467" i="1"/>
  <c r="M2467" i="1" s="1"/>
  <c r="L2475" i="1"/>
  <c r="M2475" i="1" s="1"/>
  <c r="L2603" i="1"/>
  <c r="M2603" i="1" s="1"/>
  <c r="L2611" i="1"/>
  <c r="M2611" i="1" s="1"/>
  <c r="L2739" i="1"/>
  <c r="M2739" i="1" s="1"/>
  <c r="L2747" i="1"/>
  <c r="M2747" i="1" s="1"/>
  <c r="L2883" i="1"/>
  <c r="M2883" i="1" s="1"/>
  <c r="L2891" i="1"/>
  <c r="M2891" i="1" s="1"/>
  <c r="L3035" i="1"/>
  <c r="M3035" i="1" s="1"/>
  <c r="L3043" i="1"/>
  <c r="M3043" i="1" s="1"/>
  <c r="L3155" i="1"/>
  <c r="M3155" i="1" s="1"/>
  <c r="L3163" i="1"/>
  <c r="M3163" i="1" s="1"/>
  <c r="L3307" i="1"/>
  <c r="M3307" i="1" s="1"/>
  <c r="L3315" i="1"/>
  <c r="M3315" i="1" s="1"/>
  <c r="L3427" i="1"/>
  <c r="M3427" i="1" s="1"/>
  <c r="L3435" i="1"/>
  <c r="M3435" i="1" s="1"/>
  <c r="L3579" i="1"/>
  <c r="M3579" i="1" s="1"/>
  <c r="L3587" i="1"/>
  <c r="M3587" i="1" s="1"/>
  <c r="L3699" i="1"/>
  <c r="M3699" i="1" s="1"/>
  <c r="L3707" i="1"/>
  <c r="M3707" i="1" s="1"/>
  <c r="L3843" i="1"/>
  <c r="M3843" i="1" s="1"/>
  <c r="L3971" i="1"/>
  <c r="M3971" i="1" s="1"/>
  <c r="L3979" i="1"/>
  <c r="M3979" i="1" s="1"/>
  <c r="L933" i="1"/>
  <c r="M933" i="1" s="1"/>
  <c r="L941" i="1"/>
  <c r="M941" i="1" s="1"/>
  <c r="L1069" i="1"/>
  <c r="M1069" i="1" s="1"/>
  <c r="L1077" i="1"/>
  <c r="M1077" i="1" s="1"/>
  <c r="L1205" i="1"/>
  <c r="M1205" i="1" s="1"/>
  <c r="L1213" i="1"/>
  <c r="M1213" i="1" s="1"/>
  <c r="L1374" i="1"/>
  <c r="M1374" i="1" s="1"/>
  <c r="L1804" i="1"/>
  <c r="M1804" i="1" s="1"/>
  <c r="L1812" i="1"/>
  <c r="M1812" i="1" s="1"/>
  <c r="L1940" i="1"/>
  <c r="M1940" i="1" s="1"/>
  <c r="L1948" i="1"/>
  <c r="M1948" i="1" s="1"/>
  <c r="L2060" i="1"/>
  <c r="M2060" i="1" s="1"/>
  <c r="L2068" i="1"/>
  <c r="M2068" i="1" s="1"/>
  <c r="L2196" i="1"/>
  <c r="M2196" i="1" s="1"/>
  <c r="L2204" i="1"/>
  <c r="M2204" i="1" s="1"/>
  <c r="L2332" i="1"/>
  <c r="M2332" i="1" s="1"/>
  <c r="L2340" i="1"/>
  <c r="M2340" i="1" s="1"/>
  <c r="L2468" i="1"/>
  <c r="M2468" i="1" s="1"/>
  <c r="L2476" i="1"/>
  <c r="M2476" i="1" s="1"/>
  <c r="L2604" i="1"/>
  <c r="M2604" i="1" s="1"/>
  <c r="L2612" i="1"/>
  <c r="M2612" i="1" s="1"/>
  <c r="L2740" i="1"/>
  <c r="M2740" i="1" s="1"/>
  <c r="L2748" i="1"/>
  <c r="M2748" i="1" s="1"/>
  <c r="L2876" i="1"/>
  <c r="M2876" i="1" s="1"/>
  <c r="L2884" i="1"/>
  <c r="M2884" i="1" s="1"/>
  <c r="L3036" i="1"/>
  <c r="M3036" i="1" s="1"/>
  <c r="L3044" i="1"/>
  <c r="M3044" i="1" s="1"/>
  <c r="L3156" i="1"/>
  <c r="M3156" i="1" s="1"/>
  <c r="L3164" i="1"/>
  <c r="M3164" i="1" s="1"/>
  <c r="L3308" i="1"/>
  <c r="M3308" i="1" s="1"/>
  <c r="L3316" i="1"/>
  <c r="M3316" i="1" s="1"/>
  <c r="L3428" i="1"/>
  <c r="M3428" i="1" s="1"/>
  <c r="L3436" i="1"/>
  <c r="M3436" i="1" s="1"/>
  <c r="L3580" i="1"/>
  <c r="M3580" i="1" s="1"/>
  <c r="L3588" i="1"/>
  <c r="M3588" i="1" s="1"/>
  <c r="L3700" i="1"/>
  <c r="M3700" i="1" s="1"/>
  <c r="L3708" i="1"/>
  <c r="M3708" i="1" s="1"/>
  <c r="L3844" i="1"/>
  <c r="M3844" i="1" s="1"/>
  <c r="L3972" i="1"/>
  <c r="M3972" i="1" s="1"/>
  <c r="L3980" i="1"/>
  <c r="M3980" i="1" s="1"/>
  <c r="L934" i="1"/>
  <c r="M934" i="1" s="1"/>
  <c r="L942" i="1"/>
  <c r="M942" i="1" s="1"/>
  <c r="L1070" i="1"/>
  <c r="M1070" i="1" s="1"/>
  <c r="L1078" i="1"/>
  <c r="M1078" i="1" s="1"/>
  <c r="L1206" i="1"/>
  <c r="M1206" i="1" s="1"/>
  <c r="L1214" i="1"/>
  <c r="M1214" i="1" s="1"/>
  <c r="L4114" i="1"/>
  <c r="M4114" i="1" s="1"/>
  <c r="L4250" i="1"/>
  <c r="M4250" i="1" s="1"/>
  <c r="L4386" i="1"/>
  <c r="M4386" i="1" s="1"/>
  <c r="L4522" i="1"/>
  <c r="M4522" i="1" s="1"/>
  <c r="L4658" i="1"/>
  <c r="M4658" i="1" s="1"/>
  <c r="L4794" i="1"/>
  <c r="M4794" i="1" s="1"/>
  <c r="L4930" i="1"/>
  <c r="M4930" i="1" s="1"/>
  <c r="L5066" i="1"/>
  <c r="M5066" i="1" s="1"/>
  <c r="L1646" i="1"/>
  <c r="M1646" i="1" s="1"/>
  <c r="L1798" i="1"/>
  <c r="M1798" i="1" s="1"/>
  <c r="L1806" i="1"/>
  <c r="M1806" i="1" s="1"/>
  <c r="L1934" i="1"/>
  <c r="M1934" i="1" s="1"/>
  <c r="L1942" i="1"/>
  <c r="M1942" i="1" s="1"/>
  <c r="L2054" i="1"/>
  <c r="M2054" i="1" s="1"/>
  <c r="L2062" i="1"/>
  <c r="M2062" i="1" s="1"/>
  <c r="L2198" i="1"/>
  <c r="M2198" i="1" s="1"/>
  <c r="L2206" i="1"/>
  <c r="M2206" i="1" s="1"/>
  <c r="L2334" i="1"/>
  <c r="M2334" i="1" s="1"/>
  <c r="L2342" i="1"/>
  <c r="M2342" i="1" s="1"/>
  <c r="L2470" i="1"/>
  <c r="M2470" i="1" s="1"/>
  <c r="L2478" i="1"/>
  <c r="M2478" i="1" s="1"/>
  <c r="L2606" i="1"/>
  <c r="M2606" i="1" s="1"/>
  <c r="L2614" i="1"/>
  <c r="M2614" i="1" s="1"/>
  <c r="L2742" i="1"/>
  <c r="M2742" i="1" s="1"/>
  <c r="L2750" i="1"/>
  <c r="M2750" i="1" s="1"/>
  <c r="L2878" i="1"/>
  <c r="M2878" i="1" s="1"/>
  <c r="L2886" i="1"/>
  <c r="M2886" i="1" s="1"/>
  <c r="L3030" i="1"/>
  <c r="M3030" i="1" s="1"/>
  <c r="L3038" i="1"/>
  <c r="M3038" i="1" s="1"/>
  <c r="L3150" i="1"/>
  <c r="M3150" i="1" s="1"/>
  <c r="L3158" i="1"/>
  <c r="M3158" i="1" s="1"/>
  <c r="L3310" i="1"/>
  <c r="M3310" i="1" s="1"/>
  <c r="L3318" i="1"/>
  <c r="M3318" i="1" s="1"/>
  <c r="L3430" i="1"/>
  <c r="M3430" i="1" s="1"/>
  <c r="L3438" i="1"/>
  <c r="M3438" i="1" s="1"/>
  <c r="L3582" i="1"/>
  <c r="M3582" i="1" s="1"/>
  <c r="L3590" i="1"/>
  <c r="M3590" i="1" s="1"/>
  <c r="L3702" i="1"/>
  <c r="M3702" i="1" s="1"/>
  <c r="L3710" i="1"/>
  <c r="M3710" i="1" s="1"/>
  <c r="L3846" i="1"/>
  <c r="M3846" i="1" s="1"/>
  <c r="L3974" i="1"/>
  <c r="M3974" i="1" s="1"/>
  <c r="L3982" i="1"/>
  <c r="M3982" i="1" s="1"/>
  <c r="L928" i="1"/>
  <c r="M928" i="1" s="1"/>
  <c r="L936" i="1"/>
  <c r="M936" i="1" s="1"/>
  <c r="L1064" i="1"/>
  <c r="M1064" i="1" s="1"/>
  <c r="L1072" i="1"/>
  <c r="M1072" i="1" s="1"/>
  <c r="L1200" i="1"/>
  <c r="M1200" i="1" s="1"/>
  <c r="L1208" i="1"/>
  <c r="M1208" i="1" s="1"/>
  <c r="L4122" i="1"/>
  <c r="M4122" i="1" s="1"/>
  <c r="L4258" i="1"/>
  <c r="M4258" i="1" s="1"/>
  <c r="L4394" i="1"/>
  <c r="M4394" i="1" s="1"/>
  <c r="L4530" i="1"/>
  <c r="M4530" i="1" s="1"/>
  <c r="L4666" i="1"/>
  <c r="M4666" i="1" s="1"/>
  <c r="L4802" i="1"/>
  <c r="M4802" i="1" s="1"/>
  <c r="L4938" i="1"/>
  <c r="M4938" i="1" s="1"/>
  <c r="L5074" i="1"/>
  <c r="M5074" i="1" s="1"/>
  <c r="L1654" i="1"/>
  <c r="M1654" i="1" s="1"/>
  <c r="L1799" i="1"/>
  <c r="M1799" i="1" s="1"/>
  <c r="L1807" i="1"/>
  <c r="M1807" i="1" s="1"/>
  <c r="L1935" i="1"/>
  <c r="M1935" i="1" s="1"/>
  <c r="L1943" i="1"/>
  <c r="M1943" i="1" s="1"/>
  <c r="L2055" i="1"/>
  <c r="M2055" i="1" s="1"/>
  <c r="L2063" i="1"/>
  <c r="M2063" i="1" s="1"/>
  <c r="L2191" i="1"/>
  <c r="M2191" i="1" s="1"/>
  <c r="L2199" i="1"/>
  <c r="M2199" i="1" s="1"/>
  <c r="L2335" i="1"/>
  <c r="M2335" i="1" s="1"/>
  <c r="L2343" i="1"/>
  <c r="M2343" i="1" s="1"/>
  <c r="L2471" i="1"/>
  <c r="M2471" i="1" s="1"/>
  <c r="L2479" i="1"/>
  <c r="M2479" i="1" s="1"/>
  <c r="L2607" i="1"/>
  <c r="M2607" i="1" s="1"/>
  <c r="L2615" i="1"/>
  <c r="M2615" i="1" s="1"/>
  <c r="L2743" i="1"/>
  <c r="M2743" i="1" s="1"/>
  <c r="L2751" i="1"/>
  <c r="M2751" i="1" s="1"/>
  <c r="L2879" i="1"/>
  <c r="M2879" i="1" s="1"/>
  <c r="L2887" i="1"/>
  <c r="M2887" i="1" s="1"/>
  <c r="L3031" i="1"/>
  <c r="M3031" i="1" s="1"/>
  <c r="L3039" i="1"/>
  <c r="M3039" i="1" s="1"/>
  <c r="L3151" i="1"/>
  <c r="M3151" i="1" s="1"/>
  <c r="L3159" i="1"/>
  <c r="M3159" i="1" s="1"/>
  <c r="L3311" i="1"/>
  <c r="M3311" i="1" s="1"/>
  <c r="L3319" i="1"/>
  <c r="M3319" i="1" s="1"/>
  <c r="L3431" i="1"/>
  <c r="M3431" i="1" s="1"/>
  <c r="L3439" i="1"/>
  <c r="M3439" i="1" s="1"/>
  <c r="L3583" i="1"/>
  <c r="M3583" i="1" s="1"/>
  <c r="L3591" i="1"/>
  <c r="M3591" i="1" s="1"/>
  <c r="L3703" i="1"/>
  <c r="M3703" i="1" s="1"/>
  <c r="L3711" i="1"/>
  <c r="M3711" i="1" s="1"/>
  <c r="L3839" i="1"/>
  <c r="M3839" i="1" s="1"/>
  <c r="L3847" i="1"/>
  <c r="M3847" i="1" s="1"/>
  <c r="L3975" i="1"/>
  <c r="M3975" i="1" s="1"/>
  <c r="L3983" i="1"/>
  <c r="M3983" i="1" s="1"/>
  <c r="L929" i="1"/>
  <c r="M929" i="1" s="1"/>
  <c r="L937" i="1"/>
  <c r="M937" i="1" s="1"/>
  <c r="L1065" i="1"/>
  <c r="M1065" i="1" s="1"/>
  <c r="L1073" i="1"/>
  <c r="M1073" i="1" s="1"/>
  <c r="L1201" i="1"/>
  <c r="M1201" i="1" s="1"/>
  <c r="L1209" i="1"/>
  <c r="M1209" i="1" s="1"/>
  <c r="L1526" i="1"/>
  <c r="M1526" i="1" s="1"/>
  <c r="L1800" i="1"/>
  <c r="M1800" i="1" s="1"/>
  <c r="L1808" i="1"/>
  <c r="M1808" i="1" s="1"/>
  <c r="L1936" i="1"/>
  <c r="M1936" i="1" s="1"/>
  <c r="L1944" i="1"/>
  <c r="M1944" i="1" s="1"/>
  <c r="L2056" i="1"/>
  <c r="M2056" i="1" s="1"/>
  <c r="L2064" i="1"/>
  <c r="M2064" i="1" s="1"/>
  <c r="L2192" i="1"/>
  <c r="M2192" i="1" s="1"/>
  <c r="L2200" i="1"/>
  <c r="M2200" i="1" s="1"/>
  <c r="L2328" i="1"/>
  <c r="M2328" i="1" s="1"/>
  <c r="L2336" i="1"/>
  <c r="M2336" i="1" s="1"/>
  <c r="L2472" i="1"/>
  <c r="M2472" i="1" s="1"/>
  <c r="L2480" i="1"/>
  <c r="M2480" i="1" s="1"/>
  <c r="L2608" i="1"/>
  <c r="M2608" i="1" s="1"/>
  <c r="L2616" i="1"/>
  <c r="M2616" i="1" s="1"/>
  <c r="L2744" i="1"/>
  <c r="M2744" i="1" s="1"/>
  <c r="L2752" i="1"/>
  <c r="M2752" i="1" s="1"/>
  <c r="L2880" i="1"/>
  <c r="M2880" i="1" s="1"/>
  <c r="L2888" i="1"/>
  <c r="M2888" i="1" s="1"/>
  <c r="L3032" i="1"/>
  <c r="M3032" i="1" s="1"/>
  <c r="L3040" i="1"/>
  <c r="M3040" i="1" s="1"/>
  <c r="L3152" i="1"/>
  <c r="M3152" i="1" s="1"/>
  <c r="L3160" i="1"/>
  <c r="M3160" i="1" s="1"/>
  <c r="L3304" i="1"/>
  <c r="M3304" i="1" s="1"/>
  <c r="L3312" i="1"/>
  <c r="M3312" i="1" s="1"/>
  <c r="L3424" i="1"/>
  <c r="M3424" i="1" s="1"/>
  <c r="L3432" i="1"/>
  <c r="M3432" i="1" s="1"/>
  <c r="L3584" i="1"/>
  <c r="M3584" i="1" s="1"/>
  <c r="L3592" i="1"/>
  <c r="M3592" i="1" s="1"/>
  <c r="L3704" i="1"/>
  <c r="M3704" i="1" s="1"/>
  <c r="L3712" i="1"/>
  <c r="M3712" i="1" s="1"/>
  <c r="L3840" i="1"/>
  <c r="M3840" i="1" s="1"/>
  <c r="L3848" i="1"/>
  <c r="M3848" i="1" s="1"/>
  <c r="L3976" i="1"/>
  <c r="M3976" i="1" s="1"/>
  <c r="L3984" i="1"/>
  <c r="M3984" i="1" s="1"/>
  <c r="L930" i="1"/>
  <c r="M930" i="1" s="1"/>
  <c r="L938" i="1"/>
  <c r="M938" i="1" s="1"/>
  <c r="L1066" i="1"/>
  <c r="M1066" i="1" s="1"/>
  <c r="L1074" i="1"/>
  <c r="M1074" i="1" s="1"/>
  <c r="L1202" i="1"/>
  <c r="M1202" i="1" s="1"/>
  <c r="L1210" i="1"/>
  <c r="M1210" i="1" s="1"/>
  <c r="L2749" i="1"/>
  <c r="M2749" i="1" s="1"/>
  <c r="L2877" i="1"/>
  <c r="M2877" i="1" s="1"/>
  <c r="L3581" i="1"/>
  <c r="M3581" i="1" s="1"/>
  <c r="L3845" i="1"/>
  <c r="M3845" i="1" s="1"/>
  <c r="L3981" i="1"/>
  <c r="M3981" i="1" s="1"/>
  <c r="L943" i="1"/>
  <c r="M943" i="1" s="1"/>
  <c r="L1079" i="1"/>
  <c r="M1079" i="1" s="1"/>
  <c r="L1215" i="1"/>
  <c r="M1215" i="1" s="1"/>
  <c r="L90" i="1"/>
  <c r="M90" i="1" s="1"/>
  <c r="L114" i="1"/>
  <c r="M114" i="1" s="1"/>
  <c r="L122" i="1"/>
  <c r="M122" i="1" s="1"/>
  <c r="L250" i="1"/>
  <c r="M250" i="1" s="1"/>
  <c r="L258" i="1"/>
  <c r="M258" i="1" s="1"/>
  <c r="L386" i="1"/>
  <c r="M386" i="1" s="1"/>
  <c r="L394" i="1"/>
  <c r="M394" i="1" s="1"/>
  <c r="L522" i="1"/>
  <c r="M522" i="1" s="1"/>
  <c r="L530" i="1"/>
  <c r="M530" i="1" s="1"/>
  <c r="L658" i="1"/>
  <c r="M658" i="1" s="1"/>
  <c r="L666" i="1"/>
  <c r="M666" i="1" s="1"/>
  <c r="L794" i="1"/>
  <c r="M794" i="1" s="1"/>
  <c r="L802" i="1"/>
  <c r="M802" i="1" s="1"/>
  <c r="L1805" i="1"/>
  <c r="M1805" i="1" s="1"/>
  <c r="L126" i="1"/>
  <c r="M126" i="1" s="1"/>
  <c r="L254" i="1"/>
  <c r="M254" i="1" s="1"/>
  <c r="L534" i="1"/>
  <c r="M534" i="1" s="1"/>
  <c r="L1382" i="1"/>
  <c r="M1382" i="1" s="1"/>
  <c r="L2885" i="1"/>
  <c r="M2885" i="1" s="1"/>
  <c r="L3589" i="1"/>
  <c r="M3589" i="1" s="1"/>
  <c r="L3925" i="1"/>
  <c r="M3925" i="1" s="1"/>
  <c r="L91" i="1"/>
  <c r="M91" i="1" s="1"/>
  <c r="L115" i="1"/>
  <c r="M115" i="1" s="1"/>
  <c r="L123" i="1"/>
  <c r="M123" i="1" s="1"/>
  <c r="L251" i="1"/>
  <c r="M251" i="1" s="1"/>
  <c r="L259" i="1"/>
  <c r="M259" i="1" s="1"/>
  <c r="L387" i="1"/>
  <c r="M387" i="1" s="1"/>
  <c r="L395" i="1"/>
  <c r="M395" i="1" s="1"/>
  <c r="L523" i="1"/>
  <c r="M523" i="1" s="1"/>
  <c r="L531" i="1"/>
  <c r="M531" i="1" s="1"/>
  <c r="L659" i="1"/>
  <c r="M659" i="1" s="1"/>
  <c r="L667" i="1"/>
  <c r="M667" i="1" s="1"/>
  <c r="L795" i="1"/>
  <c r="M795" i="1" s="1"/>
  <c r="L803" i="1"/>
  <c r="M803" i="1" s="1"/>
  <c r="L390" i="1"/>
  <c r="M390" i="1" s="1"/>
  <c r="L670" i="1"/>
  <c r="M670" i="1" s="1"/>
  <c r="L2061" i="1"/>
  <c r="M2061" i="1" s="1"/>
  <c r="L3157" i="1"/>
  <c r="M3157" i="1" s="1"/>
  <c r="L84" i="1"/>
  <c r="M84" i="1" s="1"/>
  <c r="L92" i="1"/>
  <c r="M92" i="1" s="1"/>
  <c r="L116" i="1"/>
  <c r="M116" i="1" s="1"/>
  <c r="L124" i="1"/>
  <c r="M124" i="1" s="1"/>
  <c r="L252" i="1"/>
  <c r="M252" i="1" s="1"/>
  <c r="L260" i="1"/>
  <c r="M260" i="1" s="1"/>
  <c r="L388" i="1"/>
  <c r="M388" i="1" s="1"/>
  <c r="L396" i="1"/>
  <c r="M396" i="1" s="1"/>
  <c r="L524" i="1"/>
  <c r="M524" i="1" s="1"/>
  <c r="L532" i="1"/>
  <c r="M532" i="1" s="1"/>
  <c r="L660" i="1"/>
  <c r="M660" i="1" s="1"/>
  <c r="L668" i="1"/>
  <c r="M668" i="1" s="1"/>
  <c r="L796" i="1"/>
  <c r="M796" i="1" s="1"/>
  <c r="L804" i="1"/>
  <c r="M804" i="1" s="1"/>
  <c r="L86" i="1"/>
  <c r="M86" i="1" s="1"/>
  <c r="L806" i="1"/>
  <c r="M806" i="1" s="1"/>
  <c r="L1797" i="1"/>
  <c r="M1797" i="1" s="1"/>
  <c r="L2069" i="1"/>
  <c r="M2069" i="1" s="1"/>
  <c r="L2197" i="1"/>
  <c r="M2197" i="1" s="1"/>
  <c r="L3165" i="1"/>
  <c r="M3165" i="1" s="1"/>
  <c r="L85" i="1"/>
  <c r="M85" i="1" s="1"/>
  <c r="L93" i="1"/>
  <c r="M93" i="1" s="1"/>
  <c r="L117" i="1"/>
  <c r="M117" i="1" s="1"/>
  <c r="L125" i="1"/>
  <c r="M125" i="1" s="1"/>
  <c r="L253" i="1"/>
  <c r="M253" i="1" s="1"/>
  <c r="L261" i="1"/>
  <c r="M261" i="1" s="1"/>
  <c r="L389" i="1"/>
  <c r="M389" i="1" s="1"/>
  <c r="L397" i="1"/>
  <c r="M397" i="1" s="1"/>
  <c r="L525" i="1"/>
  <c r="M525" i="1" s="1"/>
  <c r="L533" i="1"/>
  <c r="M533" i="1" s="1"/>
  <c r="L661" i="1"/>
  <c r="M661" i="1" s="1"/>
  <c r="L669" i="1"/>
  <c r="M669" i="1" s="1"/>
  <c r="L797" i="1"/>
  <c r="M797" i="1" s="1"/>
  <c r="L805" i="1"/>
  <c r="M805" i="1" s="1"/>
  <c r="L2205" i="1"/>
  <c r="M2205" i="1" s="1"/>
  <c r="L262" i="1"/>
  <c r="M262" i="1" s="1"/>
  <c r="L798" i="1"/>
  <c r="M798" i="1" s="1"/>
  <c r="L1949" i="1"/>
  <c r="M1949" i="1" s="1"/>
  <c r="L2341" i="1"/>
  <c r="M2341" i="1" s="1"/>
  <c r="L2469" i="1"/>
  <c r="M2469" i="1" s="1"/>
  <c r="L3045" i="1"/>
  <c r="M3045" i="1" s="1"/>
  <c r="L3437" i="1"/>
  <c r="M3437" i="1" s="1"/>
  <c r="L87" i="1"/>
  <c r="M87" i="1" s="1"/>
  <c r="L119" i="1"/>
  <c r="M119" i="1" s="1"/>
  <c r="L127" i="1"/>
  <c r="M127" i="1" s="1"/>
  <c r="L255" i="1"/>
  <c r="M255" i="1" s="1"/>
  <c r="L263" i="1"/>
  <c r="M263" i="1" s="1"/>
  <c r="L391" i="1"/>
  <c r="M391" i="1" s="1"/>
  <c r="L399" i="1"/>
  <c r="M399" i="1" s="1"/>
  <c r="L527" i="1"/>
  <c r="M527" i="1" s="1"/>
  <c r="L535" i="1"/>
  <c r="M535" i="1" s="1"/>
  <c r="L663" i="1"/>
  <c r="M663" i="1" s="1"/>
  <c r="L671" i="1"/>
  <c r="M671" i="1" s="1"/>
  <c r="L799" i="1"/>
  <c r="M799" i="1" s="1"/>
  <c r="L807" i="1"/>
  <c r="M807" i="1" s="1"/>
  <c r="L1941" i="1"/>
  <c r="M1941" i="1" s="1"/>
  <c r="L3037" i="1"/>
  <c r="M3037" i="1" s="1"/>
  <c r="L3429" i="1"/>
  <c r="M3429" i="1" s="1"/>
  <c r="L118" i="1"/>
  <c r="M118" i="1" s="1"/>
  <c r="L526" i="1"/>
  <c r="M526" i="1" s="1"/>
  <c r="L2477" i="1"/>
  <c r="M2477" i="1" s="1"/>
  <c r="L2605" i="1"/>
  <c r="M2605" i="1" s="1"/>
  <c r="L3309" i="1"/>
  <c r="M3309" i="1" s="1"/>
  <c r="L3701" i="1"/>
  <c r="M3701" i="1" s="1"/>
  <c r="L88" i="1"/>
  <c r="M88" i="1" s="1"/>
  <c r="L112" i="1"/>
  <c r="M112" i="1" s="1"/>
  <c r="L120" i="1"/>
  <c r="M120" i="1" s="1"/>
  <c r="L248" i="1"/>
  <c r="M248" i="1" s="1"/>
  <c r="L256" i="1"/>
  <c r="M256" i="1" s="1"/>
  <c r="L384" i="1"/>
  <c r="M384" i="1" s="1"/>
  <c r="L392" i="1"/>
  <c r="M392" i="1" s="1"/>
  <c r="L520" i="1"/>
  <c r="M520" i="1" s="1"/>
  <c r="L528" i="1"/>
  <c r="M528" i="1" s="1"/>
  <c r="L656" i="1"/>
  <c r="M656" i="1" s="1"/>
  <c r="L664" i="1"/>
  <c r="M664" i="1" s="1"/>
  <c r="L792" i="1"/>
  <c r="M792" i="1" s="1"/>
  <c r="L800" i="1"/>
  <c r="M800" i="1" s="1"/>
  <c r="L2333" i="1"/>
  <c r="M2333" i="1" s="1"/>
  <c r="L398" i="1"/>
  <c r="M398" i="1" s="1"/>
  <c r="L662" i="1"/>
  <c r="M662" i="1" s="1"/>
  <c r="L2613" i="1"/>
  <c r="M2613" i="1" s="1"/>
  <c r="L2741" i="1"/>
  <c r="M2741" i="1" s="1"/>
  <c r="L3317" i="1"/>
  <c r="M3317" i="1" s="1"/>
  <c r="L3709" i="1"/>
  <c r="M3709" i="1" s="1"/>
  <c r="L3909" i="1"/>
  <c r="M3909" i="1" s="1"/>
  <c r="L3973" i="1"/>
  <c r="M3973" i="1" s="1"/>
  <c r="L935" i="1"/>
  <c r="M935" i="1" s="1"/>
  <c r="L1071" i="1"/>
  <c r="M1071" i="1" s="1"/>
  <c r="L1207" i="1"/>
  <c r="M1207" i="1" s="1"/>
  <c r="L89" i="1"/>
  <c r="M89" i="1" s="1"/>
  <c r="L113" i="1"/>
  <c r="M113" i="1" s="1"/>
  <c r="L121" i="1"/>
  <c r="M121" i="1" s="1"/>
  <c r="L249" i="1"/>
  <c r="M249" i="1" s="1"/>
  <c r="L257" i="1"/>
  <c r="M257" i="1" s="1"/>
  <c r="L385" i="1"/>
  <c r="M385" i="1" s="1"/>
  <c r="L393" i="1"/>
  <c r="M393" i="1" s="1"/>
  <c r="L521" i="1"/>
  <c r="M521" i="1" s="1"/>
  <c r="L529" i="1"/>
  <c r="M529" i="1" s="1"/>
  <c r="L657" i="1"/>
  <c r="M657" i="1" s="1"/>
  <c r="L665" i="1"/>
  <c r="M665" i="1" s="1"/>
  <c r="L793" i="1"/>
  <c r="M793" i="1" s="1"/>
  <c r="L801" i="1"/>
  <c r="M801" i="1" s="1"/>
  <c r="G23" i="40"/>
  <c r="G50" i="40" s="1"/>
  <c r="K173" i="15"/>
  <c r="K189" i="15"/>
  <c r="K492" i="15"/>
  <c r="K174" i="15"/>
  <c r="K182" i="15"/>
  <c r="K183" i="15"/>
  <c r="K175" i="15"/>
  <c r="K168" i="15"/>
  <c r="K176" i="15"/>
  <c r="K184" i="15"/>
  <c r="K169" i="15"/>
  <c r="K185" i="15"/>
  <c r="K177" i="15"/>
  <c r="K170" i="15"/>
  <c r="K178" i="15"/>
  <c r="K186" i="15"/>
  <c r="K179" i="15"/>
  <c r="K171" i="15"/>
  <c r="K187" i="15"/>
  <c r="K172" i="15"/>
  <c r="K180" i="15"/>
  <c r="K188" i="15"/>
  <c r="K181" i="15"/>
  <c r="K398" i="15"/>
  <c r="K406" i="15"/>
  <c r="K414" i="15"/>
  <c r="K422" i="15"/>
  <c r="K430" i="15"/>
  <c r="K438" i="15"/>
  <c r="K446" i="15"/>
  <c r="K454" i="15"/>
  <c r="K462" i="15"/>
  <c r="K470" i="15"/>
  <c r="K478" i="15"/>
  <c r="K486" i="15"/>
  <c r="K471" i="15"/>
  <c r="K487" i="15"/>
  <c r="K432" i="15"/>
  <c r="K456" i="15"/>
  <c r="K480" i="15"/>
  <c r="K412" i="15"/>
  <c r="K444" i="15"/>
  <c r="K421" i="15"/>
  <c r="K469" i="15"/>
  <c r="K399" i="15"/>
  <c r="K407" i="15"/>
  <c r="K415" i="15"/>
  <c r="K423" i="15"/>
  <c r="K431" i="15"/>
  <c r="K439" i="15"/>
  <c r="K447" i="15"/>
  <c r="K455" i="15"/>
  <c r="K463" i="15"/>
  <c r="K479" i="15"/>
  <c r="K416" i="15"/>
  <c r="K440" i="15"/>
  <c r="K464" i="15"/>
  <c r="K488" i="15"/>
  <c r="K404" i="15"/>
  <c r="K452" i="15"/>
  <c r="K429" i="15"/>
  <c r="K400" i="15"/>
  <c r="K408" i="15"/>
  <c r="K424" i="15"/>
  <c r="K448" i="15"/>
  <c r="K472" i="15"/>
  <c r="K491" i="15"/>
  <c r="K436" i="15"/>
  <c r="K468" i="15"/>
  <c r="K445" i="15"/>
  <c r="K401" i="15"/>
  <c r="K409" i="15"/>
  <c r="K417" i="15"/>
  <c r="K425" i="15"/>
  <c r="K433" i="15"/>
  <c r="K441" i="15"/>
  <c r="K449" i="15"/>
  <c r="K457" i="15"/>
  <c r="K465" i="15"/>
  <c r="K473" i="15"/>
  <c r="K481" i="15"/>
  <c r="K489" i="15"/>
  <c r="K435" i="15"/>
  <c r="K477" i="15"/>
  <c r="K394" i="15"/>
  <c r="K402" i="15"/>
  <c r="K410" i="15"/>
  <c r="K418" i="15"/>
  <c r="K426" i="15"/>
  <c r="K434" i="15"/>
  <c r="K442" i="15"/>
  <c r="K450" i="15"/>
  <c r="K458" i="15"/>
  <c r="K466" i="15"/>
  <c r="K474" i="15"/>
  <c r="K482" i="15"/>
  <c r="K490" i="15"/>
  <c r="K411" i="15"/>
  <c r="K427" i="15"/>
  <c r="K451" i="15"/>
  <c r="K467" i="15"/>
  <c r="K483" i="15"/>
  <c r="K428" i="15"/>
  <c r="K484" i="15"/>
  <c r="K461" i="15"/>
  <c r="K395" i="15"/>
  <c r="K403" i="15"/>
  <c r="K419" i="15"/>
  <c r="K443" i="15"/>
  <c r="K459" i="15"/>
  <c r="K475" i="15"/>
  <c r="K420" i="15"/>
  <c r="K476" i="15"/>
  <c r="K453" i="15"/>
  <c r="K396" i="15"/>
  <c r="K460" i="15"/>
  <c r="K437" i="15"/>
  <c r="K485" i="15"/>
  <c r="K397" i="15"/>
  <c r="K405" i="15"/>
  <c r="K413" i="15"/>
  <c r="L14463" i="1"/>
  <c r="M14463" i="1" s="1"/>
  <c r="L14471" i="1"/>
  <c r="M14471" i="1" s="1"/>
  <c r="L14599" i="1"/>
  <c r="M14599" i="1" s="1"/>
  <c r="L14607" i="1"/>
  <c r="M14607" i="1" s="1"/>
  <c r="L14735" i="1"/>
  <c r="M14735" i="1" s="1"/>
  <c r="L14743" i="1"/>
  <c r="M14743" i="1" s="1"/>
  <c r="L14871" i="1"/>
  <c r="M14871" i="1" s="1"/>
  <c r="L14879" i="1"/>
  <c r="M14879" i="1" s="1"/>
  <c r="L5218" i="1"/>
  <c r="M5218" i="1" s="1"/>
  <c r="L5226" i="1"/>
  <c r="M5226" i="1" s="1"/>
  <c r="L14464" i="1"/>
  <c r="M14464" i="1" s="1"/>
  <c r="L14472" i="1"/>
  <c r="M14472" i="1" s="1"/>
  <c r="L14600" i="1"/>
  <c r="M14600" i="1" s="1"/>
  <c r="L14608" i="1"/>
  <c r="M14608" i="1" s="1"/>
  <c r="L14736" i="1"/>
  <c r="M14736" i="1" s="1"/>
  <c r="L14744" i="1"/>
  <c r="M14744" i="1" s="1"/>
  <c r="L14872" i="1"/>
  <c r="M14872" i="1" s="1"/>
  <c r="L14880" i="1"/>
  <c r="M14880" i="1" s="1"/>
  <c r="L5219" i="1"/>
  <c r="M5219" i="1" s="1"/>
  <c r="L5227" i="1"/>
  <c r="M5227" i="1" s="1"/>
  <c r="L14465" i="1"/>
  <c r="M14465" i="1" s="1"/>
  <c r="L14473" i="1"/>
  <c r="M14473" i="1" s="1"/>
  <c r="L14601" i="1"/>
  <c r="M14601" i="1" s="1"/>
  <c r="L14609" i="1"/>
  <c r="M14609" i="1" s="1"/>
  <c r="L14737" i="1"/>
  <c r="M14737" i="1" s="1"/>
  <c r="L14745" i="1"/>
  <c r="M14745" i="1" s="1"/>
  <c r="L14873" i="1"/>
  <c r="M14873" i="1" s="1"/>
  <c r="L14881" i="1"/>
  <c r="M14881" i="1" s="1"/>
  <c r="L5212" i="1"/>
  <c r="M5212" i="1" s="1"/>
  <c r="L5220" i="1"/>
  <c r="M5220" i="1" s="1"/>
  <c r="L14466" i="1"/>
  <c r="M14466" i="1" s="1"/>
  <c r="L14474" i="1"/>
  <c r="M14474" i="1" s="1"/>
  <c r="L14602" i="1"/>
  <c r="M14602" i="1" s="1"/>
  <c r="L14610" i="1"/>
  <c r="M14610" i="1" s="1"/>
  <c r="L14738" i="1"/>
  <c r="M14738" i="1" s="1"/>
  <c r="L14746" i="1"/>
  <c r="M14746" i="1" s="1"/>
  <c r="L14874" i="1"/>
  <c r="M14874" i="1" s="1"/>
  <c r="L14882" i="1"/>
  <c r="M14882" i="1" s="1"/>
  <c r="L5213" i="1"/>
  <c r="M5213" i="1" s="1"/>
  <c r="L5221" i="1"/>
  <c r="M5221" i="1" s="1"/>
  <c r="L14467" i="1"/>
  <c r="M14467" i="1" s="1"/>
  <c r="L14475" i="1"/>
  <c r="M14475" i="1" s="1"/>
  <c r="L14603" i="1"/>
  <c r="M14603" i="1" s="1"/>
  <c r="L14611" i="1"/>
  <c r="M14611" i="1" s="1"/>
  <c r="L14739" i="1"/>
  <c r="M14739" i="1" s="1"/>
  <c r="L14747" i="1"/>
  <c r="M14747" i="1" s="1"/>
  <c r="L14875" i="1"/>
  <c r="M14875" i="1" s="1"/>
  <c r="L14883" i="1"/>
  <c r="M14883" i="1" s="1"/>
  <c r="L5214" i="1"/>
  <c r="M5214" i="1" s="1"/>
  <c r="L5222" i="1"/>
  <c r="M5222" i="1" s="1"/>
  <c r="L14460" i="1"/>
  <c r="M14460" i="1" s="1"/>
  <c r="L14468" i="1"/>
  <c r="M14468" i="1" s="1"/>
  <c r="L14596" i="1"/>
  <c r="M14596" i="1" s="1"/>
  <c r="L14604" i="1"/>
  <c r="M14604" i="1" s="1"/>
  <c r="L14732" i="1"/>
  <c r="M14732" i="1" s="1"/>
  <c r="L14740" i="1"/>
  <c r="M14740" i="1" s="1"/>
  <c r="L14868" i="1"/>
  <c r="M14868" i="1" s="1"/>
  <c r="L14876" i="1"/>
  <c r="M14876" i="1" s="1"/>
  <c r="L5215" i="1"/>
  <c r="M5215" i="1" s="1"/>
  <c r="L5223" i="1"/>
  <c r="M5223" i="1" s="1"/>
  <c r="L14461" i="1"/>
  <c r="M14461" i="1" s="1"/>
  <c r="L14469" i="1"/>
  <c r="M14469" i="1" s="1"/>
  <c r="L14597" i="1"/>
  <c r="M14597" i="1" s="1"/>
  <c r="L14605" i="1"/>
  <c r="M14605" i="1" s="1"/>
  <c r="L14733" i="1"/>
  <c r="M14733" i="1" s="1"/>
  <c r="L14741" i="1"/>
  <c r="M14741" i="1" s="1"/>
  <c r="L14869" i="1"/>
  <c r="M14869" i="1" s="1"/>
  <c r="L14877" i="1"/>
  <c r="M14877" i="1" s="1"/>
  <c r="L5216" i="1"/>
  <c r="M5216" i="1" s="1"/>
  <c r="L5224" i="1"/>
  <c r="M5224" i="1" s="1"/>
  <c r="L14462" i="1"/>
  <c r="M14462" i="1" s="1"/>
  <c r="L14470" i="1"/>
  <c r="M14470" i="1" s="1"/>
  <c r="L14598" i="1"/>
  <c r="M14598" i="1" s="1"/>
  <c r="L14606" i="1"/>
  <c r="M14606" i="1" s="1"/>
  <c r="L14734" i="1"/>
  <c r="M14734" i="1" s="1"/>
  <c r="L14742" i="1"/>
  <c r="M14742" i="1" s="1"/>
  <c r="L14870" i="1"/>
  <c r="M14870" i="1" s="1"/>
  <c r="L14878" i="1"/>
  <c r="M14878" i="1" s="1"/>
  <c r="L5217" i="1"/>
  <c r="M5217" i="1" s="1"/>
  <c r="L5225" i="1"/>
  <c r="M5225" i="1" s="1"/>
  <c r="L5355" i="1"/>
  <c r="M5355" i="1" s="1"/>
  <c r="L5363" i="1"/>
  <c r="M5363" i="1" s="1"/>
  <c r="L5491" i="1"/>
  <c r="M5491" i="1" s="1"/>
  <c r="L5499" i="1"/>
  <c r="M5499" i="1" s="1"/>
  <c r="L5627" i="1"/>
  <c r="M5627" i="1" s="1"/>
  <c r="L5635" i="1"/>
  <c r="M5635" i="1" s="1"/>
  <c r="L5763" i="1"/>
  <c r="M5763" i="1" s="1"/>
  <c r="L5771" i="1"/>
  <c r="M5771" i="1" s="1"/>
  <c r="L5348" i="1"/>
  <c r="M5348" i="1" s="1"/>
  <c r="L5356" i="1"/>
  <c r="M5356" i="1" s="1"/>
  <c r="L5484" i="1"/>
  <c r="M5484" i="1" s="1"/>
  <c r="L5492" i="1"/>
  <c r="M5492" i="1" s="1"/>
  <c r="L5620" i="1"/>
  <c r="M5620" i="1" s="1"/>
  <c r="L5628" i="1"/>
  <c r="M5628" i="1" s="1"/>
  <c r="L5756" i="1"/>
  <c r="M5756" i="1" s="1"/>
  <c r="L5764" i="1"/>
  <c r="M5764" i="1" s="1"/>
  <c r="L5349" i="1"/>
  <c r="M5349" i="1" s="1"/>
  <c r="L5357" i="1"/>
  <c r="M5357" i="1" s="1"/>
  <c r="L5485" i="1"/>
  <c r="M5485" i="1" s="1"/>
  <c r="L5493" i="1"/>
  <c r="M5493" i="1" s="1"/>
  <c r="L5621" i="1"/>
  <c r="M5621" i="1" s="1"/>
  <c r="L5629" i="1"/>
  <c r="M5629" i="1" s="1"/>
  <c r="L5757" i="1"/>
  <c r="M5757" i="1" s="1"/>
  <c r="L5765" i="1"/>
  <c r="M5765" i="1" s="1"/>
  <c r="L5350" i="1"/>
  <c r="M5350" i="1" s="1"/>
  <c r="L5358" i="1"/>
  <c r="M5358" i="1" s="1"/>
  <c r="L5486" i="1"/>
  <c r="M5486" i="1" s="1"/>
  <c r="L5494" i="1"/>
  <c r="M5494" i="1" s="1"/>
  <c r="L5622" i="1"/>
  <c r="M5622" i="1" s="1"/>
  <c r="L5630" i="1"/>
  <c r="M5630" i="1" s="1"/>
  <c r="L5758" i="1"/>
  <c r="M5758" i="1" s="1"/>
  <c r="L5766" i="1"/>
  <c r="M5766" i="1" s="1"/>
  <c r="L5894" i="1"/>
  <c r="M5894" i="1" s="1"/>
  <c r="L5902" i="1"/>
  <c r="M5902" i="1" s="1"/>
  <c r="L5351" i="1"/>
  <c r="M5351" i="1" s="1"/>
  <c r="L5359" i="1"/>
  <c r="M5359" i="1" s="1"/>
  <c r="L5487" i="1"/>
  <c r="M5487" i="1" s="1"/>
  <c r="L5495" i="1"/>
  <c r="M5495" i="1" s="1"/>
  <c r="L5623" i="1"/>
  <c r="M5623" i="1" s="1"/>
  <c r="L5631" i="1"/>
  <c r="M5631" i="1" s="1"/>
  <c r="L5759" i="1"/>
  <c r="M5759" i="1" s="1"/>
  <c r="L5767" i="1"/>
  <c r="M5767" i="1" s="1"/>
  <c r="L5352" i="1"/>
  <c r="M5352" i="1" s="1"/>
  <c r="L5360" i="1"/>
  <c r="M5360" i="1" s="1"/>
  <c r="L5488" i="1"/>
  <c r="M5488" i="1" s="1"/>
  <c r="L5496" i="1"/>
  <c r="M5496" i="1" s="1"/>
  <c r="L5624" i="1"/>
  <c r="M5624" i="1" s="1"/>
  <c r="L5632" i="1"/>
  <c r="M5632" i="1" s="1"/>
  <c r="L5760" i="1"/>
  <c r="M5760" i="1" s="1"/>
  <c r="L5768" i="1"/>
  <c r="M5768" i="1" s="1"/>
  <c r="L5353" i="1"/>
  <c r="M5353" i="1" s="1"/>
  <c r="L5361" i="1"/>
  <c r="M5361" i="1" s="1"/>
  <c r="L5489" i="1"/>
  <c r="M5489" i="1" s="1"/>
  <c r="L5497" i="1"/>
  <c r="M5497" i="1" s="1"/>
  <c r="L5625" i="1"/>
  <c r="M5625" i="1" s="1"/>
  <c r="L5633" i="1"/>
  <c r="M5633" i="1" s="1"/>
  <c r="L5761" i="1"/>
  <c r="M5761" i="1" s="1"/>
  <c r="L5769" i="1"/>
  <c r="M5769" i="1" s="1"/>
  <c r="L5354" i="1"/>
  <c r="M5354" i="1" s="1"/>
  <c r="L5362" i="1"/>
  <c r="M5362" i="1" s="1"/>
  <c r="L5490" i="1"/>
  <c r="M5490" i="1" s="1"/>
  <c r="L5498" i="1"/>
  <c r="M5498" i="1" s="1"/>
  <c r="L5626" i="1"/>
  <c r="M5626" i="1" s="1"/>
  <c r="L5634" i="1"/>
  <c r="M5634" i="1" s="1"/>
  <c r="L5762" i="1"/>
  <c r="M5762" i="1" s="1"/>
  <c r="L5770" i="1"/>
  <c r="M5770" i="1" s="1"/>
  <c r="L5898" i="1"/>
  <c r="M5898" i="1" s="1"/>
  <c r="L5906" i="1"/>
  <c r="M5906" i="1" s="1"/>
  <c r="L5892" i="1"/>
  <c r="M5892" i="1" s="1"/>
  <c r="L5903" i="1"/>
  <c r="M5903" i="1" s="1"/>
  <c r="L6029" i="1"/>
  <c r="M6029" i="1" s="1"/>
  <c r="L6037" i="1"/>
  <c r="M6037" i="1" s="1"/>
  <c r="L6165" i="1"/>
  <c r="M6165" i="1" s="1"/>
  <c r="L6173" i="1"/>
  <c r="M6173" i="1" s="1"/>
  <c r="L6301" i="1"/>
  <c r="M6301" i="1" s="1"/>
  <c r="L6309" i="1"/>
  <c r="M6309" i="1" s="1"/>
  <c r="L6437" i="1"/>
  <c r="M6437" i="1" s="1"/>
  <c r="L6445" i="1"/>
  <c r="M6445" i="1" s="1"/>
  <c r="L5893" i="1"/>
  <c r="M5893" i="1" s="1"/>
  <c r="L5904" i="1"/>
  <c r="M5904" i="1" s="1"/>
  <c r="L6030" i="1"/>
  <c r="M6030" i="1" s="1"/>
  <c r="L6038" i="1"/>
  <c r="M6038" i="1" s="1"/>
  <c r="L6166" i="1"/>
  <c r="M6166" i="1" s="1"/>
  <c r="L6174" i="1"/>
  <c r="M6174" i="1" s="1"/>
  <c r="L6302" i="1"/>
  <c r="M6302" i="1" s="1"/>
  <c r="L6310" i="1"/>
  <c r="M6310" i="1" s="1"/>
  <c r="L6438" i="1"/>
  <c r="M6438" i="1" s="1"/>
  <c r="L6446" i="1"/>
  <c r="M6446" i="1" s="1"/>
  <c r="L5895" i="1"/>
  <c r="M5895" i="1" s="1"/>
  <c r="L5905" i="1"/>
  <c r="M5905" i="1" s="1"/>
  <c r="L6031" i="1"/>
  <c r="M6031" i="1" s="1"/>
  <c r="L6039" i="1"/>
  <c r="M6039" i="1" s="1"/>
  <c r="L6167" i="1"/>
  <c r="M6167" i="1" s="1"/>
  <c r="L6175" i="1"/>
  <c r="M6175" i="1" s="1"/>
  <c r="L6303" i="1"/>
  <c r="M6303" i="1" s="1"/>
  <c r="L6311" i="1"/>
  <c r="M6311" i="1" s="1"/>
  <c r="L6439" i="1"/>
  <c r="M6439" i="1" s="1"/>
  <c r="L6447" i="1"/>
  <c r="M6447" i="1" s="1"/>
  <c r="L5896" i="1"/>
  <c r="M5896" i="1" s="1"/>
  <c r="L5907" i="1"/>
  <c r="M5907" i="1" s="1"/>
  <c r="L6032" i="1"/>
  <c r="M6032" i="1" s="1"/>
  <c r="L6040" i="1"/>
  <c r="M6040" i="1" s="1"/>
  <c r="L6168" i="1"/>
  <c r="M6168" i="1" s="1"/>
  <c r="L6176" i="1"/>
  <c r="M6176" i="1" s="1"/>
  <c r="L6304" i="1"/>
  <c r="M6304" i="1" s="1"/>
  <c r="L6312" i="1"/>
  <c r="M6312" i="1" s="1"/>
  <c r="L6440" i="1"/>
  <c r="M6440" i="1" s="1"/>
  <c r="L6448" i="1"/>
  <c r="M6448" i="1" s="1"/>
  <c r="L6576" i="1"/>
  <c r="M6576" i="1" s="1"/>
  <c r="L6584" i="1"/>
  <c r="M6584" i="1" s="1"/>
  <c r="L5897" i="1"/>
  <c r="M5897" i="1" s="1"/>
  <c r="L6033" i="1"/>
  <c r="M6033" i="1" s="1"/>
  <c r="L6041" i="1"/>
  <c r="M6041" i="1" s="1"/>
  <c r="L6169" i="1"/>
  <c r="M6169" i="1" s="1"/>
  <c r="L6177" i="1"/>
  <c r="M6177" i="1" s="1"/>
  <c r="L6305" i="1"/>
  <c r="M6305" i="1" s="1"/>
  <c r="L6313" i="1"/>
  <c r="M6313" i="1" s="1"/>
  <c r="L6441" i="1"/>
  <c r="M6441" i="1" s="1"/>
  <c r="L6449" i="1"/>
  <c r="M6449" i="1" s="1"/>
  <c r="L5899" i="1"/>
  <c r="M5899" i="1" s="1"/>
  <c r="L6034" i="1"/>
  <c r="M6034" i="1" s="1"/>
  <c r="L6042" i="1"/>
  <c r="M6042" i="1" s="1"/>
  <c r="L6170" i="1"/>
  <c r="M6170" i="1" s="1"/>
  <c r="L6178" i="1"/>
  <c r="M6178" i="1" s="1"/>
  <c r="L6306" i="1"/>
  <c r="M6306" i="1" s="1"/>
  <c r="L6314" i="1"/>
  <c r="M6314" i="1" s="1"/>
  <c r="L6442" i="1"/>
  <c r="M6442" i="1" s="1"/>
  <c r="L6450" i="1"/>
  <c r="M6450" i="1" s="1"/>
  <c r="L5900" i="1"/>
  <c r="M5900" i="1" s="1"/>
  <c r="L6035" i="1"/>
  <c r="M6035" i="1" s="1"/>
  <c r="L6043" i="1"/>
  <c r="M6043" i="1" s="1"/>
  <c r="L6171" i="1"/>
  <c r="M6171" i="1" s="1"/>
  <c r="L6179" i="1"/>
  <c r="M6179" i="1" s="1"/>
  <c r="L6307" i="1"/>
  <c r="M6307" i="1" s="1"/>
  <c r="L6315" i="1"/>
  <c r="M6315" i="1" s="1"/>
  <c r="L6443" i="1"/>
  <c r="M6443" i="1" s="1"/>
  <c r="L6451" i="1"/>
  <c r="M6451" i="1" s="1"/>
  <c r="L5901" i="1"/>
  <c r="M5901" i="1" s="1"/>
  <c r="L6028" i="1"/>
  <c r="M6028" i="1" s="1"/>
  <c r="L6036" i="1"/>
  <c r="M6036" i="1" s="1"/>
  <c r="L6164" i="1"/>
  <c r="M6164" i="1" s="1"/>
  <c r="L6172" i="1"/>
  <c r="M6172" i="1" s="1"/>
  <c r="L6300" i="1"/>
  <c r="M6300" i="1" s="1"/>
  <c r="L6308" i="1"/>
  <c r="M6308" i="1" s="1"/>
  <c r="L6436" i="1"/>
  <c r="M6436" i="1" s="1"/>
  <c r="L6444" i="1"/>
  <c r="M6444" i="1" s="1"/>
  <c r="L6572" i="1"/>
  <c r="M6572" i="1" s="1"/>
  <c r="L6580" i="1"/>
  <c r="M6580" i="1" s="1"/>
  <c r="L6581" i="1"/>
  <c r="M6581" i="1" s="1"/>
  <c r="L6713" i="1"/>
  <c r="M6713" i="1" s="1"/>
  <c r="L6721" i="1"/>
  <c r="M6721" i="1" s="1"/>
  <c r="L6849" i="1"/>
  <c r="M6849" i="1" s="1"/>
  <c r="L6857" i="1"/>
  <c r="M6857" i="1" s="1"/>
  <c r="L6985" i="1"/>
  <c r="M6985" i="1" s="1"/>
  <c r="L6993" i="1"/>
  <c r="M6993" i="1" s="1"/>
  <c r="L7121" i="1"/>
  <c r="M7121" i="1" s="1"/>
  <c r="L7129" i="1"/>
  <c r="M7129" i="1" s="1"/>
  <c r="L6582" i="1"/>
  <c r="M6582" i="1" s="1"/>
  <c r="L6714" i="1"/>
  <c r="M6714" i="1" s="1"/>
  <c r="L6722" i="1"/>
  <c r="M6722" i="1" s="1"/>
  <c r="L6850" i="1"/>
  <c r="M6850" i="1" s="1"/>
  <c r="L6858" i="1"/>
  <c r="M6858" i="1" s="1"/>
  <c r="L6986" i="1"/>
  <c r="M6986" i="1" s="1"/>
  <c r="L6994" i="1"/>
  <c r="M6994" i="1" s="1"/>
  <c r="L6573" i="1"/>
  <c r="M6573" i="1" s="1"/>
  <c r="L6583" i="1"/>
  <c r="M6583" i="1" s="1"/>
  <c r="L6715" i="1"/>
  <c r="M6715" i="1" s="1"/>
  <c r="L6723" i="1"/>
  <c r="M6723" i="1" s="1"/>
  <c r="L6574" i="1"/>
  <c r="M6574" i="1" s="1"/>
  <c r="L6585" i="1"/>
  <c r="M6585" i="1" s="1"/>
  <c r="L6708" i="1"/>
  <c r="M6708" i="1" s="1"/>
  <c r="L6716" i="1"/>
  <c r="M6716" i="1" s="1"/>
  <c r="L6844" i="1"/>
  <c r="M6844" i="1" s="1"/>
  <c r="L6852" i="1"/>
  <c r="M6852" i="1" s="1"/>
  <c r="L6980" i="1"/>
  <c r="M6980" i="1" s="1"/>
  <c r="L6988" i="1"/>
  <c r="M6988" i="1" s="1"/>
  <c r="L7116" i="1"/>
  <c r="M7116" i="1" s="1"/>
  <c r="L7124" i="1"/>
  <c r="M7124" i="1" s="1"/>
  <c r="L7252" i="1"/>
  <c r="M7252" i="1" s="1"/>
  <c r="L7260" i="1"/>
  <c r="M7260" i="1" s="1"/>
  <c r="L6575" i="1"/>
  <c r="M6575" i="1" s="1"/>
  <c r="L6586" i="1"/>
  <c r="M6586" i="1" s="1"/>
  <c r="L6709" i="1"/>
  <c r="M6709" i="1" s="1"/>
  <c r="L6717" i="1"/>
  <c r="M6717" i="1" s="1"/>
  <c r="L6845" i="1"/>
  <c r="M6845" i="1" s="1"/>
  <c r="L6853" i="1"/>
  <c r="M6853" i="1" s="1"/>
  <c r="L6981" i="1"/>
  <c r="M6981" i="1" s="1"/>
  <c r="L6989" i="1"/>
  <c r="M6989" i="1" s="1"/>
  <c r="L7117" i="1"/>
  <c r="M7117" i="1" s="1"/>
  <c r="L7125" i="1"/>
  <c r="M7125" i="1" s="1"/>
  <c r="L6577" i="1"/>
  <c r="M6577" i="1" s="1"/>
  <c r="L6587" i="1"/>
  <c r="M6587" i="1" s="1"/>
  <c r="L6710" i="1"/>
  <c r="M6710" i="1" s="1"/>
  <c r="L6718" i="1"/>
  <c r="M6718" i="1" s="1"/>
  <c r="L6846" i="1"/>
  <c r="M6846" i="1" s="1"/>
  <c r="L6854" i="1"/>
  <c r="M6854" i="1" s="1"/>
  <c r="L6982" i="1"/>
  <c r="M6982" i="1" s="1"/>
  <c r="L6990" i="1"/>
  <c r="M6990" i="1" s="1"/>
  <c r="L7118" i="1"/>
  <c r="M7118" i="1" s="1"/>
  <c r="L7126" i="1"/>
  <c r="M7126" i="1" s="1"/>
  <c r="L6578" i="1"/>
  <c r="M6578" i="1" s="1"/>
  <c r="L6711" i="1"/>
  <c r="M6711" i="1" s="1"/>
  <c r="L6719" i="1"/>
  <c r="M6719" i="1" s="1"/>
  <c r="L6847" i="1"/>
  <c r="M6847" i="1" s="1"/>
  <c r="L6855" i="1"/>
  <c r="M6855" i="1" s="1"/>
  <c r="L6983" i="1"/>
  <c r="M6983" i="1" s="1"/>
  <c r="L6991" i="1"/>
  <c r="M6991" i="1" s="1"/>
  <c r="L6579" i="1"/>
  <c r="M6579" i="1" s="1"/>
  <c r="L6712" i="1"/>
  <c r="M6712" i="1" s="1"/>
  <c r="L6720" i="1"/>
  <c r="M6720" i="1" s="1"/>
  <c r="L6848" i="1"/>
  <c r="M6848" i="1" s="1"/>
  <c r="L6856" i="1"/>
  <c r="M6856" i="1" s="1"/>
  <c r="L6984" i="1"/>
  <c r="M6984" i="1" s="1"/>
  <c r="L6992" i="1"/>
  <c r="M6992" i="1" s="1"/>
  <c r="L7120" i="1"/>
  <c r="M7120" i="1" s="1"/>
  <c r="L7128" i="1"/>
  <c r="M7128" i="1" s="1"/>
  <c r="L7256" i="1"/>
  <c r="M7256" i="1" s="1"/>
  <c r="L7264" i="1"/>
  <c r="M7264" i="1" s="1"/>
  <c r="L7130" i="1"/>
  <c r="M7130" i="1" s="1"/>
  <c r="L7257" i="1"/>
  <c r="M7257" i="1" s="1"/>
  <c r="L7267" i="1"/>
  <c r="M7267" i="1" s="1"/>
  <c r="L7388" i="1"/>
  <c r="M7388" i="1" s="1"/>
  <c r="L7396" i="1"/>
  <c r="M7396" i="1" s="1"/>
  <c r="L7524" i="1"/>
  <c r="M7524" i="1" s="1"/>
  <c r="L7532" i="1"/>
  <c r="M7532" i="1" s="1"/>
  <c r="L7660" i="1"/>
  <c r="M7660" i="1" s="1"/>
  <c r="L7668" i="1"/>
  <c r="M7668" i="1" s="1"/>
  <c r="L7868" i="1"/>
  <c r="M7868" i="1" s="1"/>
  <c r="L7876" i="1"/>
  <c r="M7876" i="1" s="1"/>
  <c r="L7131" i="1"/>
  <c r="M7131" i="1" s="1"/>
  <c r="L7258" i="1"/>
  <c r="M7258" i="1" s="1"/>
  <c r="L7389" i="1"/>
  <c r="M7389" i="1" s="1"/>
  <c r="L7397" i="1"/>
  <c r="M7397" i="1" s="1"/>
  <c r="L7525" i="1"/>
  <c r="M7525" i="1" s="1"/>
  <c r="L7533" i="1"/>
  <c r="M7533" i="1" s="1"/>
  <c r="L7661" i="1"/>
  <c r="M7661" i="1" s="1"/>
  <c r="L7669" i="1"/>
  <c r="M7669" i="1" s="1"/>
  <c r="L7869" i="1"/>
  <c r="M7869" i="1" s="1"/>
  <c r="L7259" i="1"/>
  <c r="M7259" i="1" s="1"/>
  <c r="L7390" i="1"/>
  <c r="M7390" i="1" s="1"/>
  <c r="L7398" i="1"/>
  <c r="M7398" i="1" s="1"/>
  <c r="L7526" i="1"/>
  <c r="M7526" i="1" s="1"/>
  <c r="L7534" i="1"/>
  <c r="M7534" i="1" s="1"/>
  <c r="L7662" i="1"/>
  <c r="M7662" i="1" s="1"/>
  <c r="L7670" i="1"/>
  <c r="M7670" i="1" s="1"/>
  <c r="L7870" i="1"/>
  <c r="M7870" i="1" s="1"/>
  <c r="L6851" i="1"/>
  <c r="M6851" i="1" s="1"/>
  <c r="L6987" i="1"/>
  <c r="M6987" i="1" s="1"/>
  <c r="L7261" i="1"/>
  <c r="M7261" i="1" s="1"/>
  <c r="L7391" i="1"/>
  <c r="M7391" i="1" s="1"/>
  <c r="L7399" i="1"/>
  <c r="M7399" i="1" s="1"/>
  <c r="L7527" i="1"/>
  <c r="M7527" i="1" s="1"/>
  <c r="L7535" i="1"/>
  <c r="M7535" i="1" s="1"/>
  <c r="L7663" i="1"/>
  <c r="M7663" i="1" s="1"/>
  <c r="L7671" i="1"/>
  <c r="M7671" i="1" s="1"/>
  <c r="L7871" i="1"/>
  <c r="M7871" i="1" s="1"/>
  <c r="L7879" i="1"/>
  <c r="M7879" i="1" s="1"/>
  <c r="L7935" i="1"/>
  <c r="M7935" i="1" s="1"/>
  <c r="L7943" i="1"/>
  <c r="M7943" i="1" s="1"/>
  <c r="L6859" i="1"/>
  <c r="M6859" i="1" s="1"/>
  <c r="L6995" i="1"/>
  <c r="M6995" i="1" s="1"/>
  <c r="L7119" i="1"/>
  <c r="M7119" i="1" s="1"/>
  <c r="L7262" i="1"/>
  <c r="M7262" i="1" s="1"/>
  <c r="L7392" i="1"/>
  <c r="M7392" i="1" s="1"/>
  <c r="L7400" i="1"/>
  <c r="M7400" i="1" s="1"/>
  <c r="L7528" i="1"/>
  <c r="M7528" i="1" s="1"/>
  <c r="L7536" i="1"/>
  <c r="M7536" i="1" s="1"/>
  <c r="L7664" i="1"/>
  <c r="M7664" i="1" s="1"/>
  <c r="L7672" i="1"/>
  <c r="M7672" i="1" s="1"/>
  <c r="L7864" i="1"/>
  <c r="M7864" i="1" s="1"/>
  <c r="L7872" i="1"/>
  <c r="M7872" i="1" s="1"/>
  <c r="L7122" i="1"/>
  <c r="M7122" i="1" s="1"/>
  <c r="L7253" i="1"/>
  <c r="M7253" i="1" s="1"/>
  <c r="L7263" i="1"/>
  <c r="M7263" i="1" s="1"/>
  <c r="L7393" i="1"/>
  <c r="M7393" i="1" s="1"/>
  <c r="L7401" i="1"/>
  <c r="M7401" i="1" s="1"/>
  <c r="L7529" i="1"/>
  <c r="M7529" i="1" s="1"/>
  <c r="L7537" i="1"/>
  <c r="M7537" i="1" s="1"/>
  <c r="L7665" i="1"/>
  <c r="M7665" i="1" s="1"/>
  <c r="L7673" i="1"/>
  <c r="M7673" i="1" s="1"/>
  <c r="L7865" i="1"/>
  <c r="M7865" i="1" s="1"/>
  <c r="L7123" i="1"/>
  <c r="M7123" i="1" s="1"/>
  <c r="L7254" i="1"/>
  <c r="M7254" i="1" s="1"/>
  <c r="L7265" i="1"/>
  <c r="M7265" i="1" s="1"/>
  <c r="L7394" i="1"/>
  <c r="M7394" i="1" s="1"/>
  <c r="L7402" i="1"/>
  <c r="M7402" i="1" s="1"/>
  <c r="L7530" i="1"/>
  <c r="M7530" i="1" s="1"/>
  <c r="L7538" i="1"/>
  <c r="M7538" i="1" s="1"/>
  <c r="L7666" i="1"/>
  <c r="M7666" i="1" s="1"/>
  <c r="L7674" i="1"/>
  <c r="M7674" i="1" s="1"/>
  <c r="L7866" i="1"/>
  <c r="M7866" i="1" s="1"/>
  <c r="L7127" i="1"/>
  <c r="M7127" i="1" s="1"/>
  <c r="L7255" i="1"/>
  <c r="M7255" i="1" s="1"/>
  <c r="L7266" i="1"/>
  <c r="M7266" i="1" s="1"/>
  <c r="L7395" i="1"/>
  <c r="M7395" i="1" s="1"/>
  <c r="L7403" i="1"/>
  <c r="M7403" i="1" s="1"/>
  <c r="L7531" i="1"/>
  <c r="M7531" i="1" s="1"/>
  <c r="L7539" i="1"/>
  <c r="M7539" i="1" s="1"/>
  <c r="L7667" i="1"/>
  <c r="M7667" i="1" s="1"/>
  <c r="L7675" i="1"/>
  <c r="M7675" i="1" s="1"/>
  <c r="L7867" i="1"/>
  <c r="M7867" i="1" s="1"/>
  <c r="L7875" i="1"/>
  <c r="M7875" i="1" s="1"/>
  <c r="L7939" i="1"/>
  <c r="M7939" i="1" s="1"/>
  <c r="L7947" i="1"/>
  <c r="M7947" i="1" s="1"/>
  <c r="L7938" i="1"/>
  <c r="M7938" i="1" s="1"/>
  <c r="L8073" i="1"/>
  <c r="M8073" i="1" s="1"/>
  <c r="L8081" i="1"/>
  <c r="M8081" i="1" s="1"/>
  <c r="L8209" i="1"/>
  <c r="M8209" i="1" s="1"/>
  <c r="L8217" i="1"/>
  <c r="M8217" i="1" s="1"/>
  <c r="L8345" i="1"/>
  <c r="M8345" i="1" s="1"/>
  <c r="L8353" i="1"/>
  <c r="M8353" i="1" s="1"/>
  <c r="L8481" i="1"/>
  <c r="M8481" i="1" s="1"/>
  <c r="L8489" i="1"/>
  <c r="M8489" i="1" s="1"/>
  <c r="L8617" i="1"/>
  <c r="M8617" i="1" s="1"/>
  <c r="L8625" i="1"/>
  <c r="M8625" i="1" s="1"/>
  <c r="L7873" i="1"/>
  <c r="M7873" i="1" s="1"/>
  <c r="L7940" i="1"/>
  <c r="M7940" i="1" s="1"/>
  <c r="L8074" i="1"/>
  <c r="M8074" i="1" s="1"/>
  <c r="L8082" i="1"/>
  <c r="M8082" i="1" s="1"/>
  <c r="L8210" i="1"/>
  <c r="M8210" i="1" s="1"/>
  <c r="L8218" i="1"/>
  <c r="M8218" i="1" s="1"/>
  <c r="L8346" i="1"/>
  <c r="M8346" i="1" s="1"/>
  <c r="L8354" i="1"/>
  <c r="M8354" i="1" s="1"/>
  <c r="L8482" i="1"/>
  <c r="M8482" i="1" s="1"/>
  <c r="L8490" i="1"/>
  <c r="M8490" i="1" s="1"/>
  <c r="L7874" i="1"/>
  <c r="M7874" i="1" s="1"/>
  <c r="L7941" i="1"/>
  <c r="M7941" i="1" s="1"/>
  <c r="L8075" i="1"/>
  <c r="M8075" i="1" s="1"/>
  <c r="L8083" i="1"/>
  <c r="M8083" i="1" s="1"/>
  <c r="L8211" i="1"/>
  <c r="M8211" i="1" s="1"/>
  <c r="L8219" i="1"/>
  <c r="M8219" i="1" s="1"/>
  <c r="L8347" i="1"/>
  <c r="M8347" i="1" s="1"/>
  <c r="L8355" i="1"/>
  <c r="M8355" i="1" s="1"/>
  <c r="L8483" i="1"/>
  <c r="M8483" i="1" s="1"/>
  <c r="L8491" i="1"/>
  <c r="M8491" i="1" s="1"/>
  <c r="L8619" i="1"/>
  <c r="M8619" i="1" s="1"/>
  <c r="L8627" i="1"/>
  <c r="M8627" i="1" s="1"/>
  <c r="L7877" i="1"/>
  <c r="M7877" i="1" s="1"/>
  <c r="L7932" i="1"/>
  <c r="M7932" i="1" s="1"/>
  <c r="L7942" i="1"/>
  <c r="M7942" i="1" s="1"/>
  <c r="L8068" i="1"/>
  <c r="M8068" i="1" s="1"/>
  <c r="L8076" i="1"/>
  <c r="M8076" i="1" s="1"/>
  <c r="L8204" i="1"/>
  <c r="M8204" i="1" s="1"/>
  <c r="L8212" i="1"/>
  <c r="M8212" i="1" s="1"/>
  <c r="L8340" i="1"/>
  <c r="M8340" i="1" s="1"/>
  <c r="L8348" i="1"/>
  <c r="M8348" i="1" s="1"/>
  <c r="L8476" i="1"/>
  <c r="M8476" i="1" s="1"/>
  <c r="L8484" i="1"/>
  <c r="M8484" i="1" s="1"/>
  <c r="L8612" i="1"/>
  <c r="M8612" i="1" s="1"/>
  <c r="L8620" i="1"/>
  <c r="M8620" i="1" s="1"/>
  <c r="L7878" i="1"/>
  <c r="M7878" i="1" s="1"/>
  <c r="L7933" i="1"/>
  <c r="M7933" i="1" s="1"/>
  <c r="L7944" i="1"/>
  <c r="M7944" i="1" s="1"/>
  <c r="L8069" i="1"/>
  <c r="M8069" i="1" s="1"/>
  <c r="L8077" i="1"/>
  <c r="M8077" i="1" s="1"/>
  <c r="L8205" i="1"/>
  <c r="M8205" i="1" s="1"/>
  <c r="L8213" i="1"/>
  <c r="M8213" i="1" s="1"/>
  <c r="L8341" i="1"/>
  <c r="M8341" i="1" s="1"/>
  <c r="L8349" i="1"/>
  <c r="M8349" i="1" s="1"/>
  <c r="L8477" i="1"/>
  <c r="M8477" i="1" s="1"/>
  <c r="L8485" i="1"/>
  <c r="M8485" i="1" s="1"/>
  <c r="L8613" i="1"/>
  <c r="M8613" i="1" s="1"/>
  <c r="L8621" i="1"/>
  <c r="M8621" i="1" s="1"/>
  <c r="L7934" i="1"/>
  <c r="M7934" i="1" s="1"/>
  <c r="L7945" i="1"/>
  <c r="M7945" i="1" s="1"/>
  <c r="L8070" i="1"/>
  <c r="M8070" i="1" s="1"/>
  <c r="L8078" i="1"/>
  <c r="M8078" i="1" s="1"/>
  <c r="L8206" i="1"/>
  <c r="M8206" i="1" s="1"/>
  <c r="L8214" i="1"/>
  <c r="M8214" i="1" s="1"/>
  <c r="L8342" i="1"/>
  <c r="M8342" i="1" s="1"/>
  <c r="L8350" i="1"/>
  <c r="M8350" i="1" s="1"/>
  <c r="L8478" i="1"/>
  <c r="M8478" i="1" s="1"/>
  <c r="L8486" i="1"/>
  <c r="M8486" i="1" s="1"/>
  <c r="L7936" i="1"/>
  <c r="M7936" i="1" s="1"/>
  <c r="L7946" i="1"/>
  <c r="M7946" i="1" s="1"/>
  <c r="L8071" i="1"/>
  <c r="M8071" i="1" s="1"/>
  <c r="L8079" i="1"/>
  <c r="M8079" i="1" s="1"/>
  <c r="L8207" i="1"/>
  <c r="M8207" i="1" s="1"/>
  <c r="L8215" i="1"/>
  <c r="M8215" i="1" s="1"/>
  <c r="L8343" i="1"/>
  <c r="M8343" i="1" s="1"/>
  <c r="L8351" i="1"/>
  <c r="M8351" i="1" s="1"/>
  <c r="L8479" i="1"/>
  <c r="M8479" i="1" s="1"/>
  <c r="L8487" i="1"/>
  <c r="M8487" i="1" s="1"/>
  <c r="L8615" i="1"/>
  <c r="M8615" i="1" s="1"/>
  <c r="L8623" i="1"/>
  <c r="M8623" i="1" s="1"/>
  <c r="L7937" i="1"/>
  <c r="M7937" i="1" s="1"/>
  <c r="L8072" i="1"/>
  <c r="M8072" i="1" s="1"/>
  <c r="L8080" i="1"/>
  <c r="M8080" i="1" s="1"/>
  <c r="L8208" i="1"/>
  <c r="M8208" i="1" s="1"/>
  <c r="L8216" i="1"/>
  <c r="M8216" i="1" s="1"/>
  <c r="L8344" i="1"/>
  <c r="M8344" i="1" s="1"/>
  <c r="L8352" i="1"/>
  <c r="M8352" i="1" s="1"/>
  <c r="L8480" i="1"/>
  <c r="M8480" i="1" s="1"/>
  <c r="L8488" i="1"/>
  <c r="M8488" i="1" s="1"/>
  <c r="L8616" i="1"/>
  <c r="M8616" i="1" s="1"/>
  <c r="L8624" i="1"/>
  <c r="M8624" i="1" s="1"/>
  <c r="L8622" i="1"/>
  <c r="M8622" i="1" s="1"/>
  <c r="L8751" i="1"/>
  <c r="M8751" i="1" s="1"/>
  <c r="L8759" i="1"/>
  <c r="M8759" i="1" s="1"/>
  <c r="L8887" i="1"/>
  <c r="M8887" i="1" s="1"/>
  <c r="L8895" i="1"/>
  <c r="M8895" i="1" s="1"/>
  <c r="L9023" i="1"/>
  <c r="M9023" i="1" s="1"/>
  <c r="L9031" i="1"/>
  <c r="M9031" i="1" s="1"/>
  <c r="L9159" i="1"/>
  <c r="M9159" i="1" s="1"/>
  <c r="L9167" i="1"/>
  <c r="M9167" i="1" s="1"/>
  <c r="L8626" i="1"/>
  <c r="M8626" i="1" s="1"/>
  <c r="L8752" i="1"/>
  <c r="M8752" i="1" s="1"/>
  <c r="L8760" i="1"/>
  <c r="M8760" i="1" s="1"/>
  <c r="L8888" i="1"/>
  <c r="M8888" i="1" s="1"/>
  <c r="L8896" i="1"/>
  <c r="M8896" i="1" s="1"/>
  <c r="L9024" i="1"/>
  <c r="M9024" i="1" s="1"/>
  <c r="L9032" i="1"/>
  <c r="M9032" i="1" s="1"/>
  <c r="L9160" i="1"/>
  <c r="M9160" i="1" s="1"/>
  <c r="L9168" i="1"/>
  <c r="M9168" i="1" s="1"/>
  <c r="L8753" i="1"/>
  <c r="M8753" i="1" s="1"/>
  <c r="L8761" i="1"/>
  <c r="M8761" i="1" s="1"/>
  <c r="L8889" i="1"/>
  <c r="M8889" i="1" s="1"/>
  <c r="L8897" i="1"/>
  <c r="M8897" i="1" s="1"/>
  <c r="L9025" i="1"/>
  <c r="M9025" i="1" s="1"/>
  <c r="L9033" i="1"/>
  <c r="M9033" i="1" s="1"/>
  <c r="L9161" i="1"/>
  <c r="M9161" i="1" s="1"/>
  <c r="L9169" i="1"/>
  <c r="M9169" i="1" s="1"/>
  <c r="L8754" i="1"/>
  <c r="M8754" i="1" s="1"/>
  <c r="L8762" i="1"/>
  <c r="M8762" i="1" s="1"/>
  <c r="L8890" i="1"/>
  <c r="M8890" i="1" s="1"/>
  <c r="L8898" i="1"/>
  <c r="M8898" i="1" s="1"/>
  <c r="L9026" i="1"/>
  <c r="M9026" i="1" s="1"/>
  <c r="L9034" i="1"/>
  <c r="M9034" i="1" s="1"/>
  <c r="L9162" i="1"/>
  <c r="M9162" i="1" s="1"/>
  <c r="L9170" i="1"/>
  <c r="M9170" i="1" s="1"/>
  <c r="L9298" i="1"/>
  <c r="M9298" i="1" s="1"/>
  <c r="L9306" i="1"/>
  <c r="M9306" i="1" s="1"/>
  <c r="L9434" i="1"/>
  <c r="M9434" i="1" s="1"/>
  <c r="L9442" i="1"/>
  <c r="M9442" i="1" s="1"/>
  <c r="L8755" i="1"/>
  <c r="M8755" i="1" s="1"/>
  <c r="L8763" i="1"/>
  <c r="M8763" i="1" s="1"/>
  <c r="L8891" i="1"/>
  <c r="M8891" i="1" s="1"/>
  <c r="L8899" i="1"/>
  <c r="M8899" i="1" s="1"/>
  <c r="L9027" i="1"/>
  <c r="M9027" i="1" s="1"/>
  <c r="L9035" i="1"/>
  <c r="M9035" i="1" s="1"/>
  <c r="L9163" i="1"/>
  <c r="M9163" i="1" s="1"/>
  <c r="L9171" i="1"/>
  <c r="M9171" i="1" s="1"/>
  <c r="L8748" i="1"/>
  <c r="M8748" i="1" s="1"/>
  <c r="L8756" i="1"/>
  <c r="M8756" i="1" s="1"/>
  <c r="L8884" i="1"/>
  <c r="M8884" i="1" s="1"/>
  <c r="L8892" i="1"/>
  <c r="M8892" i="1" s="1"/>
  <c r="L9020" i="1"/>
  <c r="M9020" i="1" s="1"/>
  <c r="L9028" i="1"/>
  <c r="M9028" i="1" s="1"/>
  <c r="L9156" i="1"/>
  <c r="M9156" i="1" s="1"/>
  <c r="L9164" i="1"/>
  <c r="M9164" i="1" s="1"/>
  <c r="L8614" i="1"/>
  <c r="M8614" i="1" s="1"/>
  <c r="L8749" i="1"/>
  <c r="M8749" i="1" s="1"/>
  <c r="L8757" i="1"/>
  <c r="M8757" i="1" s="1"/>
  <c r="L8885" i="1"/>
  <c r="M8885" i="1" s="1"/>
  <c r="L8893" i="1"/>
  <c r="M8893" i="1" s="1"/>
  <c r="L9021" i="1"/>
  <c r="M9021" i="1" s="1"/>
  <c r="L9029" i="1"/>
  <c r="M9029" i="1" s="1"/>
  <c r="L9157" i="1"/>
  <c r="M9157" i="1" s="1"/>
  <c r="L9165" i="1"/>
  <c r="M9165" i="1" s="1"/>
  <c r="L8618" i="1"/>
  <c r="M8618" i="1" s="1"/>
  <c r="L8750" i="1"/>
  <c r="M8750" i="1" s="1"/>
  <c r="L8758" i="1"/>
  <c r="M8758" i="1" s="1"/>
  <c r="L8886" i="1"/>
  <c r="M8886" i="1" s="1"/>
  <c r="L8894" i="1"/>
  <c r="M8894" i="1" s="1"/>
  <c r="L9022" i="1"/>
  <c r="M9022" i="1" s="1"/>
  <c r="L9030" i="1"/>
  <c r="M9030" i="1" s="1"/>
  <c r="L9158" i="1"/>
  <c r="M9158" i="1" s="1"/>
  <c r="L9166" i="1"/>
  <c r="M9166" i="1" s="1"/>
  <c r="L9294" i="1"/>
  <c r="M9294" i="1" s="1"/>
  <c r="L9302" i="1"/>
  <c r="M9302" i="1" s="1"/>
  <c r="L9430" i="1"/>
  <c r="M9430" i="1" s="1"/>
  <c r="L9438" i="1"/>
  <c r="M9438" i="1" s="1"/>
  <c r="L9301" i="1"/>
  <c r="M9301" i="1" s="1"/>
  <c r="L9437" i="1"/>
  <c r="M9437" i="1" s="1"/>
  <c r="L9568" i="1"/>
  <c r="M9568" i="1" s="1"/>
  <c r="L9576" i="1"/>
  <c r="M9576" i="1" s="1"/>
  <c r="L9704" i="1"/>
  <c r="M9704" i="1" s="1"/>
  <c r="L9712" i="1"/>
  <c r="M9712" i="1" s="1"/>
  <c r="L9840" i="1"/>
  <c r="M9840" i="1" s="1"/>
  <c r="L9848" i="1"/>
  <c r="M9848" i="1" s="1"/>
  <c r="L9976" i="1"/>
  <c r="M9976" i="1" s="1"/>
  <c r="L9984" i="1"/>
  <c r="M9984" i="1" s="1"/>
  <c r="L9292" i="1"/>
  <c r="M9292" i="1" s="1"/>
  <c r="L9303" i="1"/>
  <c r="M9303" i="1" s="1"/>
  <c r="L9428" i="1"/>
  <c r="M9428" i="1" s="1"/>
  <c r="L9439" i="1"/>
  <c r="M9439" i="1" s="1"/>
  <c r="L9569" i="1"/>
  <c r="M9569" i="1" s="1"/>
  <c r="L9577" i="1"/>
  <c r="M9577" i="1" s="1"/>
  <c r="L9705" i="1"/>
  <c r="M9705" i="1" s="1"/>
  <c r="L9713" i="1"/>
  <c r="M9713" i="1" s="1"/>
  <c r="L9841" i="1"/>
  <c r="M9841" i="1" s="1"/>
  <c r="L9849" i="1"/>
  <c r="M9849" i="1" s="1"/>
  <c r="L9977" i="1"/>
  <c r="M9977" i="1" s="1"/>
  <c r="L9985" i="1"/>
  <c r="M9985" i="1" s="1"/>
  <c r="L9293" i="1"/>
  <c r="M9293" i="1" s="1"/>
  <c r="L9304" i="1"/>
  <c r="M9304" i="1" s="1"/>
  <c r="L9429" i="1"/>
  <c r="M9429" i="1" s="1"/>
  <c r="L9440" i="1"/>
  <c r="M9440" i="1" s="1"/>
  <c r="L9570" i="1"/>
  <c r="M9570" i="1" s="1"/>
  <c r="L9578" i="1"/>
  <c r="M9578" i="1" s="1"/>
  <c r="L9706" i="1"/>
  <c r="M9706" i="1" s="1"/>
  <c r="L9714" i="1"/>
  <c r="M9714" i="1" s="1"/>
  <c r="L9842" i="1"/>
  <c r="M9842" i="1" s="1"/>
  <c r="L9850" i="1"/>
  <c r="M9850" i="1" s="1"/>
  <c r="L9978" i="1"/>
  <c r="M9978" i="1" s="1"/>
  <c r="L9986" i="1"/>
  <c r="M9986" i="1" s="1"/>
  <c r="L9295" i="1"/>
  <c r="M9295" i="1" s="1"/>
  <c r="L9305" i="1"/>
  <c r="M9305" i="1" s="1"/>
  <c r="L9431" i="1"/>
  <c r="M9431" i="1" s="1"/>
  <c r="L9441" i="1"/>
  <c r="M9441" i="1" s="1"/>
  <c r="L9571" i="1"/>
  <c r="M9571" i="1" s="1"/>
  <c r="L9579" i="1"/>
  <c r="M9579" i="1" s="1"/>
  <c r="L9707" i="1"/>
  <c r="M9707" i="1" s="1"/>
  <c r="L9715" i="1"/>
  <c r="M9715" i="1" s="1"/>
  <c r="L9843" i="1"/>
  <c r="M9843" i="1" s="1"/>
  <c r="L9851" i="1"/>
  <c r="M9851" i="1" s="1"/>
  <c r="L9979" i="1"/>
  <c r="M9979" i="1" s="1"/>
  <c r="L9987" i="1"/>
  <c r="M9987" i="1" s="1"/>
  <c r="L10115" i="1"/>
  <c r="M10115" i="1" s="1"/>
  <c r="L10123" i="1"/>
  <c r="M10123" i="1" s="1"/>
  <c r="L9296" i="1"/>
  <c r="M9296" i="1" s="1"/>
  <c r="L9307" i="1"/>
  <c r="M9307" i="1" s="1"/>
  <c r="L9432" i="1"/>
  <c r="M9432" i="1" s="1"/>
  <c r="L9443" i="1"/>
  <c r="M9443" i="1" s="1"/>
  <c r="L9564" i="1"/>
  <c r="M9564" i="1" s="1"/>
  <c r="L9572" i="1"/>
  <c r="M9572" i="1" s="1"/>
  <c r="L9700" i="1"/>
  <c r="M9700" i="1" s="1"/>
  <c r="L9708" i="1"/>
  <c r="M9708" i="1" s="1"/>
  <c r="L9836" i="1"/>
  <c r="M9836" i="1" s="1"/>
  <c r="L9844" i="1"/>
  <c r="M9844" i="1" s="1"/>
  <c r="L9972" i="1"/>
  <c r="M9972" i="1" s="1"/>
  <c r="L9980" i="1"/>
  <c r="M9980" i="1" s="1"/>
  <c r="L9297" i="1"/>
  <c r="M9297" i="1" s="1"/>
  <c r="L9433" i="1"/>
  <c r="M9433" i="1" s="1"/>
  <c r="L9565" i="1"/>
  <c r="M9565" i="1" s="1"/>
  <c r="L9573" i="1"/>
  <c r="M9573" i="1" s="1"/>
  <c r="L9701" i="1"/>
  <c r="M9701" i="1" s="1"/>
  <c r="L9709" i="1"/>
  <c r="M9709" i="1" s="1"/>
  <c r="L9837" i="1"/>
  <c r="M9837" i="1" s="1"/>
  <c r="L9845" i="1"/>
  <c r="M9845" i="1" s="1"/>
  <c r="L9973" i="1"/>
  <c r="M9973" i="1" s="1"/>
  <c r="L9981" i="1"/>
  <c r="M9981" i="1" s="1"/>
  <c r="L9299" i="1"/>
  <c r="M9299" i="1" s="1"/>
  <c r="L9435" i="1"/>
  <c r="M9435" i="1" s="1"/>
  <c r="L9566" i="1"/>
  <c r="M9566" i="1" s="1"/>
  <c r="L9574" i="1"/>
  <c r="M9574" i="1" s="1"/>
  <c r="L9702" i="1"/>
  <c r="M9702" i="1" s="1"/>
  <c r="L9710" i="1"/>
  <c r="M9710" i="1" s="1"/>
  <c r="L9838" i="1"/>
  <c r="M9838" i="1" s="1"/>
  <c r="L9846" i="1"/>
  <c r="M9846" i="1" s="1"/>
  <c r="L9974" i="1"/>
  <c r="M9974" i="1" s="1"/>
  <c r="L9982" i="1"/>
  <c r="M9982" i="1" s="1"/>
  <c r="L9300" i="1"/>
  <c r="M9300" i="1" s="1"/>
  <c r="L9436" i="1"/>
  <c r="M9436" i="1" s="1"/>
  <c r="L9567" i="1"/>
  <c r="M9567" i="1" s="1"/>
  <c r="L9575" i="1"/>
  <c r="M9575" i="1" s="1"/>
  <c r="L9703" i="1"/>
  <c r="M9703" i="1" s="1"/>
  <c r="L9711" i="1"/>
  <c r="M9711" i="1" s="1"/>
  <c r="L9839" i="1"/>
  <c r="M9839" i="1" s="1"/>
  <c r="L9847" i="1"/>
  <c r="M9847" i="1" s="1"/>
  <c r="L9975" i="1"/>
  <c r="M9975" i="1" s="1"/>
  <c r="L9983" i="1"/>
  <c r="M9983" i="1" s="1"/>
  <c r="L10111" i="1"/>
  <c r="M10111" i="1" s="1"/>
  <c r="L10119" i="1"/>
  <c r="M10119" i="1" s="1"/>
  <c r="L10117" i="1"/>
  <c r="M10117" i="1" s="1"/>
  <c r="L10249" i="1"/>
  <c r="M10249" i="1" s="1"/>
  <c r="L10257" i="1"/>
  <c r="M10257" i="1" s="1"/>
  <c r="L10385" i="1"/>
  <c r="M10385" i="1" s="1"/>
  <c r="L10393" i="1"/>
  <c r="M10393" i="1" s="1"/>
  <c r="L10517" i="1"/>
  <c r="M10517" i="1" s="1"/>
  <c r="L10525" i="1"/>
  <c r="M10525" i="1" s="1"/>
  <c r="L10653" i="1"/>
  <c r="M10653" i="1" s="1"/>
  <c r="L10661" i="1"/>
  <c r="M10661" i="1" s="1"/>
  <c r="L10789" i="1"/>
  <c r="M10789" i="1" s="1"/>
  <c r="L10797" i="1"/>
  <c r="M10797" i="1" s="1"/>
  <c r="L10925" i="1"/>
  <c r="M10925" i="1" s="1"/>
  <c r="L10933" i="1"/>
  <c r="M10933" i="1" s="1"/>
  <c r="L11061" i="1"/>
  <c r="M11061" i="1" s="1"/>
  <c r="L11069" i="1"/>
  <c r="M11069" i="1" s="1"/>
  <c r="L11197" i="1"/>
  <c r="M11197" i="1" s="1"/>
  <c r="L11205" i="1"/>
  <c r="M11205" i="1" s="1"/>
  <c r="L11333" i="1"/>
  <c r="M11333" i="1" s="1"/>
  <c r="L11341" i="1"/>
  <c r="M11341" i="1" s="1"/>
  <c r="L11469" i="1"/>
  <c r="M11469" i="1" s="1"/>
  <c r="L11477" i="1"/>
  <c r="M11477" i="1" s="1"/>
  <c r="L10108" i="1"/>
  <c r="M10108" i="1" s="1"/>
  <c r="L10118" i="1"/>
  <c r="M10118" i="1" s="1"/>
  <c r="L10250" i="1"/>
  <c r="M10250" i="1" s="1"/>
  <c r="L10258" i="1"/>
  <c r="M10258" i="1" s="1"/>
  <c r="L10386" i="1"/>
  <c r="M10386" i="1" s="1"/>
  <c r="L10394" i="1"/>
  <c r="M10394" i="1" s="1"/>
  <c r="L10518" i="1"/>
  <c r="M10518" i="1" s="1"/>
  <c r="L10526" i="1"/>
  <c r="M10526" i="1" s="1"/>
  <c r="L10654" i="1"/>
  <c r="M10654" i="1" s="1"/>
  <c r="L10662" i="1"/>
  <c r="M10662" i="1" s="1"/>
  <c r="L10790" i="1"/>
  <c r="M10790" i="1" s="1"/>
  <c r="L10798" i="1"/>
  <c r="M10798" i="1" s="1"/>
  <c r="L10926" i="1"/>
  <c r="M10926" i="1" s="1"/>
  <c r="L10934" i="1"/>
  <c r="M10934" i="1" s="1"/>
  <c r="L11062" i="1"/>
  <c r="M11062" i="1" s="1"/>
  <c r="L11070" i="1"/>
  <c r="M11070" i="1" s="1"/>
  <c r="L11198" i="1"/>
  <c r="M11198" i="1" s="1"/>
  <c r="L11206" i="1"/>
  <c r="M11206" i="1" s="1"/>
  <c r="L11334" i="1"/>
  <c r="M11334" i="1" s="1"/>
  <c r="L11342" i="1"/>
  <c r="M11342" i="1" s="1"/>
  <c r="L11470" i="1"/>
  <c r="M11470" i="1" s="1"/>
  <c r="L11478" i="1"/>
  <c r="M11478" i="1" s="1"/>
  <c r="L10109" i="1"/>
  <c r="M10109" i="1" s="1"/>
  <c r="L10120" i="1"/>
  <c r="M10120" i="1" s="1"/>
  <c r="L10251" i="1"/>
  <c r="M10251" i="1" s="1"/>
  <c r="L10259" i="1"/>
  <c r="M10259" i="1" s="1"/>
  <c r="L10387" i="1"/>
  <c r="M10387" i="1" s="1"/>
  <c r="L10395" i="1"/>
  <c r="M10395" i="1" s="1"/>
  <c r="L10519" i="1"/>
  <c r="M10519" i="1" s="1"/>
  <c r="L10527" i="1"/>
  <c r="M10527" i="1" s="1"/>
  <c r="L10655" i="1"/>
  <c r="M10655" i="1" s="1"/>
  <c r="L10663" i="1"/>
  <c r="M10663" i="1" s="1"/>
  <c r="L10791" i="1"/>
  <c r="M10791" i="1" s="1"/>
  <c r="L10799" i="1"/>
  <c r="M10799" i="1" s="1"/>
  <c r="L10927" i="1"/>
  <c r="M10927" i="1" s="1"/>
  <c r="L10935" i="1"/>
  <c r="M10935" i="1" s="1"/>
  <c r="L11063" i="1"/>
  <c r="M11063" i="1" s="1"/>
  <c r="L11071" i="1"/>
  <c r="M11071" i="1" s="1"/>
  <c r="L11199" i="1"/>
  <c r="M11199" i="1" s="1"/>
  <c r="L11207" i="1"/>
  <c r="M11207" i="1" s="1"/>
  <c r="L11335" i="1"/>
  <c r="M11335" i="1" s="1"/>
  <c r="L11343" i="1"/>
  <c r="M11343" i="1" s="1"/>
  <c r="L11471" i="1"/>
  <c r="M11471" i="1" s="1"/>
  <c r="L11479" i="1"/>
  <c r="M11479" i="1" s="1"/>
  <c r="L10110" i="1"/>
  <c r="M10110" i="1" s="1"/>
  <c r="L10121" i="1"/>
  <c r="M10121" i="1" s="1"/>
  <c r="L10244" i="1"/>
  <c r="M10244" i="1" s="1"/>
  <c r="L10252" i="1"/>
  <c r="M10252" i="1" s="1"/>
  <c r="L10380" i="1"/>
  <c r="M10380" i="1" s="1"/>
  <c r="L10388" i="1"/>
  <c r="M10388" i="1" s="1"/>
  <c r="L10520" i="1"/>
  <c r="M10520" i="1" s="1"/>
  <c r="L10528" i="1"/>
  <c r="M10528" i="1" s="1"/>
  <c r="L10656" i="1"/>
  <c r="M10656" i="1" s="1"/>
  <c r="L10664" i="1"/>
  <c r="M10664" i="1" s="1"/>
  <c r="L10792" i="1"/>
  <c r="M10792" i="1" s="1"/>
  <c r="L10800" i="1"/>
  <c r="M10800" i="1" s="1"/>
  <c r="L10928" i="1"/>
  <c r="M10928" i="1" s="1"/>
  <c r="L10936" i="1"/>
  <c r="M10936" i="1" s="1"/>
  <c r="L11064" i="1"/>
  <c r="M11064" i="1" s="1"/>
  <c r="L11072" i="1"/>
  <c r="M11072" i="1" s="1"/>
  <c r="L11200" i="1"/>
  <c r="M11200" i="1" s="1"/>
  <c r="L11208" i="1"/>
  <c r="M11208" i="1" s="1"/>
  <c r="L11336" i="1"/>
  <c r="M11336" i="1" s="1"/>
  <c r="L11344" i="1"/>
  <c r="M11344" i="1" s="1"/>
  <c r="L11472" i="1"/>
  <c r="M11472" i="1" s="1"/>
  <c r="L11480" i="1"/>
  <c r="M11480" i="1" s="1"/>
  <c r="L10112" i="1"/>
  <c r="M10112" i="1" s="1"/>
  <c r="L10122" i="1"/>
  <c r="M10122" i="1" s="1"/>
  <c r="L10245" i="1"/>
  <c r="M10245" i="1" s="1"/>
  <c r="L10253" i="1"/>
  <c r="M10253" i="1" s="1"/>
  <c r="L10381" i="1"/>
  <c r="M10381" i="1" s="1"/>
  <c r="L10389" i="1"/>
  <c r="M10389" i="1" s="1"/>
  <c r="L10521" i="1"/>
  <c r="M10521" i="1" s="1"/>
  <c r="L10529" i="1"/>
  <c r="M10529" i="1" s="1"/>
  <c r="L10657" i="1"/>
  <c r="M10657" i="1" s="1"/>
  <c r="L10665" i="1"/>
  <c r="M10665" i="1" s="1"/>
  <c r="L10793" i="1"/>
  <c r="M10793" i="1" s="1"/>
  <c r="L10801" i="1"/>
  <c r="M10801" i="1" s="1"/>
  <c r="L10929" i="1"/>
  <c r="M10929" i="1" s="1"/>
  <c r="L10937" i="1"/>
  <c r="M10937" i="1" s="1"/>
  <c r="L11065" i="1"/>
  <c r="M11065" i="1" s="1"/>
  <c r="L11073" i="1"/>
  <c r="M11073" i="1" s="1"/>
  <c r="L11201" i="1"/>
  <c r="M11201" i="1" s="1"/>
  <c r="L11209" i="1"/>
  <c r="M11209" i="1" s="1"/>
  <c r="L11337" i="1"/>
  <c r="M11337" i="1" s="1"/>
  <c r="L11345" i="1"/>
  <c r="M11345" i="1" s="1"/>
  <c r="L11473" i="1"/>
  <c r="M11473" i="1" s="1"/>
  <c r="L11481" i="1"/>
  <c r="M11481" i="1" s="1"/>
  <c r="L10113" i="1"/>
  <c r="M10113" i="1" s="1"/>
  <c r="L10246" i="1"/>
  <c r="M10246" i="1" s="1"/>
  <c r="L10254" i="1"/>
  <c r="M10254" i="1" s="1"/>
  <c r="L10382" i="1"/>
  <c r="M10382" i="1" s="1"/>
  <c r="L10390" i="1"/>
  <c r="M10390" i="1" s="1"/>
  <c r="L10522" i="1"/>
  <c r="M10522" i="1" s="1"/>
  <c r="L10530" i="1"/>
  <c r="M10530" i="1" s="1"/>
  <c r="L10658" i="1"/>
  <c r="M10658" i="1" s="1"/>
  <c r="L10666" i="1"/>
  <c r="M10666" i="1" s="1"/>
  <c r="L10794" i="1"/>
  <c r="M10794" i="1" s="1"/>
  <c r="L10802" i="1"/>
  <c r="M10802" i="1" s="1"/>
  <c r="L10930" i="1"/>
  <c r="M10930" i="1" s="1"/>
  <c r="L10938" i="1"/>
  <c r="M10938" i="1" s="1"/>
  <c r="L11066" i="1"/>
  <c r="M11066" i="1" s="1"/>
  <c r="L11074" i="1"/>
  <c r="M11074" i="1" s="1"/>
  <c r="L11202" i="1"/>
  <c r="M11202" i="1" s="1"/>
  <c r="L11210" i="1"/>
  <c r="M11210" i="1" s="1"/>
  <c r="L11338" i="1"/>
  <c r="M11338" i="1" s="1"/>
  <c r="L11346" i="1"/>
  <c r="M11346" i="1" s="1"/>
  <c r="L11474" i="1"/>
  <c r="M11474" i="1" s="1"/>
  <c r="L11482" i="1"/>
  <c r="M11482" i="1" s="1"/>
  <c r="L10114" i="1"/>
  <c r="M10114" i="1" s="1"/>
  <c r="L10247" i="1"/>
  <c r="M10247" i="1" s="1"/>
  <c r="L10255" i="1"/>
  <c r="M10255" i="1" s="1"/>
  <c r="L10383" i="1"/>
  <c r="M10383" i="1" s="1"/>
  <c r="L10391" i="1"/>
  <c r="M10391" i="1" s="1"/>
  <c r="L10523" i="1"/>
  <c r="M10523" i="1" s="1"/>
  <c r="L10531" i="1"/>
  <c r="M10531" i="1" s="1"/>
  <c r="L10659" i="1"/>
  <c r="M10659" i="1" s="1"/>
  <c r="L10667" i="1"/>
  <c r="M10667" i="1" s="1"/>
  <c r="L10795" i="1"/>
  <c r="M10795" i="1" s="1"/>
  <c r="L10803" i="1"/>
  <c r="M10803" i="1" s="1"/>
  <c r="L10931" i="1"/>
  <c r="M10931" i="1" s="1"/>
  <c r="L10939" i="1"/>
  <c r="M10939" i="1" s="1"/>
  <c r="L11067" i="1"/>
  <c r="M11067" i="1" s="1"/>
  <c r="L11075" i="1"/>
  <c r="M11075" i="1" s="1"/>
  <c r="L11203" i="1"/>
  <c r="M11203" i="1" s="1"/>
  <c r="L11211" i="1"/>
  <c r="M11211" i="1" s="1"/>
  <c r="L11339" i="1"/>
  <c r="M11339" i="1" s="1"/>
  <c r="L11347" i="1"/>
  <c r="M11347" i="1" s="1"/>
  <c r="L11475" i="1"/>
  <c r="M11475" i="1" s="1"/>
  <c r="L10116" i="1"/>
  <c r="M10116" i="1" s="1"/>
  <c r="L10248" i="1"/>
  <c r="M10248" i="1" s="1"/>
  <c r="L10256" i="1"/>
  <c r="M10256" i="1" s="1"/>
  <c r="L10384" i="1"/>
  <c r="M10384" i="1" s="1"/>
  <c r="L10392" i="1"/>
  <c r="M10392" i="1" s="1"/>
  <c r="L10516" i="1"/>
  <c r="M10516" i="1" s="1"/>
  <c r="L10524" i="1"/>
  <c r="M10524" i="1" s="1"/>
  <c r="L10652" i="1"/>
  <c r="M10652" i="1" s="1"/>
  <c r="L10660" i="1"/>
  <c r="M10660" i="1" s="1"/>
  <c r="L10788" i="1"/>
  <c r="M10788" i="1" s="1"/>
  <c r="L10796" i="1"/>
  <c r="M10796" i="1" s="1"/>
  <c r="L10924" i="1"/>
  <c r="M10924" i="1" s="1"/>
  <c r="L10932" i="1"/>
  <c r="M10932" i="1" s="1"/>
  <c r="L11060" i="1"/>
  <c r="M11060" i="1" s="1"/>
  <c r="L11068" i="1"/>
  <c r="M11068" i="1" s="1"/>
  <c r="L11196" i="1"/>
  <c r="M11196" i="1" s="1"/>
  <c r="L11204" i="1"/>
  <c r="M11204" i="1" s="1"/>
  <c r="L11332" i="1"/>
  <c r="M11332" i="1" s="1"/>
  <c r="L11340" i="1"/>
  <c r="M11340" i="1" s="1"/>
  <c r="L11468" i="1"/>
  <c r="M11468" i="1" s="1"/>
  <c r="L11476" i="1"/>
  <c r="M11476" i="1" s="1"/>
  <c r="L11610" i="1"/>
  <c r="M11610" i="1" s="1"/>
  <c r="L11618" i="1"/>
  <c r="M11618" i="1" s="1"/>
  <c r="L11746" i="1"/>
  <c r="M11746" i="1" s="1"/>
  <c r="L11754" i="1"/>
  <c r="M11754" i="1" s="1"/>
  <c r="L11882" i="1"/>
  <c r="M11882" i="1" s="1"/>
  <c r="L11890" i="1"/>
  <c r="M11890" i="1" s="1"/>
  <c r="L12018" i="1"/>
  <c r="M12018" i="1" s="1"/>
  <c r="L12026" i="1"/>
  <c r="M12026" i="1" s="1"/>
  <c r="L12154" i="1"/>
  <c r="M12154" i="1" s="1"/>
  <c r="L12162" i="1"/>
  <c r="M12162" i="1" s="1"/>
  <c r="L12290" i="1"/>
  <c r="M12290" i="1" s="1"/>
  <c r="L12298" i="1"/>
  <c r="M12298" i="1" s="1"/>
  <c r="L12426" i="1"/>
  <c r="M12426" i="1" s="1"/>
  <c r="L12434" i="1"/>
  <c r="M12434" i="1" s="1"/>
  <c r="L12562" i="1"/>
  <c r="M12562" i="1" s="1"/>
  <c r="L12570" i="1"/>
  <c r="M12570" i="1" s="1"/>
  <c r="L12698" i="1"/>
  <c r="M12698" i="1" s="1"/>
  <c r="L12706" i="1"/>
  <c r="M12706" i="1" s="1"/>
  <c r="L12834" i="1"/>
  <c r="M12834" i="1" s="1"/>
  <c r="L12842" i="1"/>
  <c r="M12842" i="1" s="1"/>
  <c r="L11604" i="1"/>
  <c r="M11604" i="1" s="1"/>
  <c r="L11612" i="1"/>
  <c r="M11612" i="1" s="1"/>
  <c r="L11740" i="1"/>
  <c r="M11740" i="1" s="1"/>
  <c r="L11748" i="1"/>
  <c r="M11748" i="1" s="1"/>
  <c r="L11876" i="1"/>
  <c r="M11876" i="1" s="1"/>
  <c r="L11884" i="1"/>
  <c r="M11884" i="1" s="1"/>
  <c r="L12012" i="1"/>
  <c r="M12012" i="1" s="1"/>
  <c r="L12020" i="1"/>
  <c r="M12020" i="1" s="1"/>
  <c r="L12148" i="1"/>
  <c r="M12148" i="1" s="1"/>
  <c r="L12156" i="1"/>
  <c r="M12156" i="1" s="1"/>
  <c r="L12284" i="1"/>
  <c r="M12284" i="1" s="1"/>
  <c r="L12292" i="1"/>
  <c r="M12292" i="1" s="1"/>
  <c r="L12420" i="1"/>
  <c r="M12420" i="1" s="1"/>
  <c r="L12428" i="1"/>
  <c r="M12428" i="1" s="1"/>
  <c r="L12556" i="1"/>
  <c r="M12556" i="1" s="1"/>
  <c r="L12564" i="1"/>
  <c r="M12564" i="1" s="1"/>
  <c r="L12692" i="1"/>
  <c r="M12692" i="1" s="1"/>
  <c r="L12700" i="1"/>
  <c r="M12700" i="1" s="1"/>
  <c r="L12828" i="1"/>
  <c r="M12828" i="1" s="1"/>
  <c r="L12836" i="1"/>
  <c r="M12836" i="1" s="1"/>
  <c r="L11483" i="1"/>
  <c r="M11483" i="1" s="1"/>
  <c r="L11605" i="1"/>
  <c r="M11605" i="1" s="1"/>
  <c r="L11613" i="1"/>
  <c r="M11613" i="1" s="1"/>
  <c r="L11741" i="1"/>
  <c r="M11741" i="1" s="1"/>
  <c r="L11749" i="1"/>
  <c r="M11749" i="1" s="1"/>
  <c r="L11877" i="1"/>
  <c r="M11877" i="1" s="1"/>
  <c r="L11885" i="1"/>
  <c r="M11885" i="1" s="1"/>
  <c r="L12013" i="1"/>
  <c r="M12013" i="1" s="1"/>
  <c r="L12021" i="1"/>
  <c r="M12021" i="1" s="1"/>
  <c r="L12149" i="1"/>
  <c r="M12149" i="1" s="1"/>
  <c r="L12157" i="1"/>
  <c r="M12157" i="1" s="1"/>
  <c r="L12285" i="1"/>
  <c r="M12285" i="1" s="1"/>
  <c r="L12293" i="1"/>
  <c r="M12293" i="1" s="1"/>
  <c r="L12421" i="1"/>
  <c r="M12421" i="1" s="1"/>
  <c r="L12429" i="1"/>
  <c r="M12429" i="1" s="1"/>
  <c r="L12557" i="1"/>
  <c r="M12557" i="1" s="1"/>
  <c r="L12565" i="1"/>
  <c r="M12565" i="1" s="1"/>
  <c r="L12693" i="1"/>
  <c r="M12693" i="1" s="1"/>
  <c r="L12701" i="1"/>
  <c r="M12701" i="1" s="1"/>
  <c r="L12829" i="1"/>
  <c r="M12829" i="1" s="1"/>
  <c r="L12837" i="1"/>
  <c r="M12837" i="1" s="1"/>
  <c r="L11606" i="1"/>
  <c r="M11606" i="1" s="1"/>
  <c r="L11614" i="1"/>
  <c r="M11614" i="1" s="1"/>
  <c r="L11742" i="1"/>
  <c r="M11742" i="1" s="1"/>
  <c r="L11750" i="1"/>
  <c r="M11750" i="1" s="1"/>
  <c r="L11878" i="1"/>
  <c r="M11878" i="1" s="1"/>
  <c r="L11886" i="1"/>
  <c r="M11886" i="1" s="1"/>
  <c r="L12014" i="1"/>
  <c r="M12014" i="1" s="1"/>
  <c r="L12022" i="1"/>
  <c r="M12022" i="1" s="1"/>
  <c r="L12150" i="1"/>
  <c r="M12150" i="1" s="1"/>
  <c r="L12158" i="1"/>
  <c r="M12158" i="1" s="1"/>
  <c r="L12286" i="1"/>
  <c r="M12286" i="1" s="1"/>
  <c r="L12294" i="1"/>
  <c r="M12294" i="1" s="1"/>
  <c r="L12422" i="1"/>
  <c r="M12422" i="1" s="1"/>
  <c r="L12430" i="1"/>
  <c r="M12430" i="1" s="1"/>
  <c r="L12558" i="1"/>
  <c r="M12558" i="1" s="1"/>
  <c r="L12566" i="1"/>
  <c r="M12566" i="1" s="1"/>
  <c r="L12694" i="1"/>
  <c r="M12694" i="1" s="1"/>
  <c r="L12702" i="1"/>
  <c r="M12702" i="1" s="1"/>
  <c r="L12830" i="1"/>
  <c r="M12830" i="1" s="1"/>
  <c r="L12838" i="1"/>
  <c r="M12838" i="1" s="1"/>
  <c r="L11607" i="1"/>
  <c r="M11607" i="1" s="1"/>
  <c r="L11615" i="1"/>
  <c r="M11615" i="1" s="1"/>
  <c r="L11743" i="1"/>
  <c r="M11743" i="1" s="1"/>
  <c r="L11751" i="1"/>
  <c r="M11751" i="1" s="1"/>
  <c r="L11879" i="1"/>
  <c r="M11879" i="1" s="1"/>
  <c r="L11887" i="1"/>
  <c r="M11887" i="1" s="1"/>
  <c r="L12015" i="1"/>
  <c r="M12015" i="1" s="1"/>
  <c r="L12023" i="1"/>
  <c r="M12023" i="1" s="1"/>
  <c r="L12151" i="1"/>
  <c r="M12151" i="1" s="1"/>
  <c r="L12159" i="1"/>
  <c r="M12159" i="1" s="1"/>
  <c r="L12287" i="1"/>
  <c r="M12287" i="1" s="1"/>
  <c r="L12295" i="1"/>
  <c r="M12295" i="1" s="1"/>
  <c r="L12423" i="1"/>
  <c r="M12423" i="1" s="1"/>
  <c r="L12431" i="1"/>
  <c r="M12431" i="1" s="1"/>
  <c r="L12559" i="1"/>
  <c r="M12559" i="1" s="1"/>
  <c r="L12567" i="1"/>
  <c r="M12567" i="1" s="1"/>
  <c r="L12695" i="1"/>
  <c r="M12695" i="1" s="1"/>
  <c r="L12703" i="1"/>
  <c r="M12703" i="1" s="1"/>
  <c r="L12831" i="1"/>
  <c r="M12831" i="1" s="1"/>
  <c r="L12839" i="1"/>
  <c r="M12839" i="1" s="1"/>
  <c r="L11608" i="1"/>
  <c r="M11608" i="1" s="1"/>
  <c r="L11616" i="1"/>
  <c r="M11616" i="1" s="1"/>
  <c r="L11744" i="1"/>
  <c r="M11744" i="1" s="1"/>
  <c r="L11752" i="1"/>
  <c r="M11752" i="1" s="1"/>
  <c r="L11880" i="1"/>
  <c r="M11880" i="1" s="1"/>
  <c r="L11888" i="1"/>
  <c r="M11888" i="1" s="1"/>
  <c r="L12016" i="1"/>
  <c r="M12016" i="1" s="1"/>
  <c r="L12024" i="1"/>
  <c r="M12024" i="1" s="1"/>
  <c r="L12152" i="1"/>
  <c r="M12152" i="1" s="1"/>
  <c r="L12160" i="1"/>
  <c r="M12160" i="1" s="1"/>
  <c r="L12288" i="1"/>
  <c r="M12288" i="1" s="1"/>
  <c r="L12296" i="1"/>
  <c r="M12296" i="1" s="1"/>
  <c r="L12424" i="1"/>
  <c r="M12424" i="1" s="1"/>
  <c r="L12432" i="1"/>
  <c r="M12432" i="1" s="1"/>
  <c r="L12560" i="1"/>
  <c r="M12560" i="1" s="1"/>
  <c r="L12568" i="1"/>
  <c r="M12568" i="1" s="1"/>
  <c r="L12696" i="1"/>
  <c r="M12696" i="1" s="1"/>
  <c r="L12704" i="1"/>
  <c r="M12704" i="1" s="1"/>
  <c r="L12832" i="1"/>
  <c r="M12832" i="1" s="1"/>
  <c r="L12840" i="1"/>
  <c r="M12840" i="1" s="1"/>
  <c r="L11609" i="1"/>
  <c r="M11609" i="1" s="1"/>
  <c r="L11617" i="1"/>
  <c r="M11617" i="1" s="1"/>
  <c r="L11745" i="1"/>
  <c r="M11745" i="1" s="1"/>
  <c r="L11753" i="1"/>
  <c r="M11753" i="1" s="1"/>
  <c r="L11881" i="1"/>
  <c r="M11881" i="1" s="1"/>
  <c r="L11889" i="1"/>
  <c r="M11889" i="1" s="1"/>
  <c r="L12017" i="1"/>
  <c r="M12017" i="1" s="1"/>
  <c r="L12025" i="1"/>
  <c r="M12025" i="1" s="1"/>
  <c r="L12153" i="1"/>
  <c r="M12153" i="1" s="1"/>
  <c r="L12161" i="1"/>
  <c r="M12161" i="1" s="1"/>
  <c r="L12289" i="1"/>
  <c r="M12289" i="1" s="1"/>
  <c r="L12297" i="1"/>
  <c r="M12297" i="1" s="1"/>
  <c r="L12425" i="1"/>
  <c r="M12425" i="1" s="1"/>
  <c r="L12433" i="1"/>
  <c r="M12433" i="1" s="1"/>
  <c r="L12561" i="1"/>
  <c r="M12561" i="1" s="1"/>
  <c r="L12569" i="1"/>
  <c r="M12569" i="1" s="1"/>
  <c r="L12697" i="1"/>
  <c r="M12697" i="1" s="1"/>
  <c r="L12705" i="1"/>
  <c r="M12705" i="1" s="1"/>
  <c r="L12833" i="1"/>
  <c r="M12833" i="1" s="1"/>
  <c r="L12841" i="1"/>
  <c r="M12841" i="1" s="1"/>
  <c r="L12970" i="1"/>
  <c r="M12970" i="1" s="1"/>
  <c r="L12978" i="1"/>
  <c r="M12978" i="1" s="1"/>
  <c r="L13106" i="1"/>
  <c r="M13106" i="1" s="1"/>
  <c r="L13114" i="1"/>
  <c r="M13114" i="1" s="1"/>
  <c r="L13242" i="1"/>
  <c r="M13242" i="1" s="1"/>
  <c r="L13250" i="1"/>
  <c r="M13250" i="1" s="1"/>
  <c r="L13378" i="1"/>
  <c r="M13378" i="1" s="1"/>
  <c r="L13386" i="1"/>
  <c r="M13386" i="1" s="1"/>
  <c r="L13514" i="1"/>
  <c r="M13514" i="1" s="1"/>
  <c r="L13522" i="1"/>
  <c r="M13522" i="1" s="1"/>
  <c r="L13650" i="1"/>
  <c r="M13650" i="1" s="1"/>
  <c r="L13658" i="1"/>
  <c r="M13658" i="1" s="1"/>
  <c r="L13786" i="1"/>
  <c r="M13786" i="1" s="1"/>
  <c r="L13794" i="1"/>
  <c r="M13794" i="1" s="1"/>
  <c r="L13922" i="1"/>
  <c r="M13922" i="1" s="1"/>
  <c r="L13930" i="1"/>
  <c r="M13930" i="1" s="1"/>
  <c r="L14058" i="1"/>
  <c r="M14058" i="1" s="1"/>
  <c r="L14066" i="1"/>
  <c r="M14066" i="1" s="1"/>
  <c r="L14194" i="1"/>
  <c r="M14194" i="1" s="1"/>
  <c r="L12971" i="1"/>
  <c r="M12971" i="1" s="1"/>
  <c r="L12979" i="1"/>
  <c r="M12979" i="1" s="1"/>
  <c r="L13107" i="1"/>
  <c r="M13107" i="1" s="1"/>
  <c r="L13115" i="1"/>
  <c r="M13115" i="1" s="1"/>
  <c r="L13243" i="1"/>
  <c r="M13243" i="1" s="1"/>
  <c r="L13251" i="1"/>
  <c r="M13251" i="1" s="1"/>
  <c r="L12964" i="1"/>
  <c r="M12964" i="1" s="1"/>
  <c r="L12972" i="1"/>
  <c r="M12972" i="1" s="1"/>
  <c r="L13100" i="1"/>
  <c r="M13100" i="1" s="1"/>
  <c r="L13108" i="1"/>
  <c r="M13108" i="1" s="1"/>
  <c r="L13236" i="1"/>
  <c r="M13236" i="1" s="1"/>
  <c r="L13244" i="1"/>
  <c r="M13244" i="1" s="1"/>
  <c r="L13372" i="1"/>
  <c r="M13372" i="1" s="1"/>
  <c r="L13380" i="1"/>
  <c r="M13380" i="1" s="1"/>
  <c r="L13508" i="1"/>
  <c r="M13508" i="1" s="1"/>
  <c r="L13516" i="1"/>
  <c r="M13516" i="1" s="1"/>
  <c r="L13644" i="1"/>
  <c r="M13644" i="1" s="1"/>
  <c r="L13652" i="1"/>
  <c r="M13652" i="1" s="1"/>
  <c r="L13780" i="1"/>
  <c r="M13780" i="1" s="1"/>
  <c r="L13788" i="1"/>
  <c r="M13788" i="1" s="1"/>
  <c r="L13916" i="1"/>
  <c r="M13916" i="1" s="1"/>
  <c r="L13924" i="1"/>
  <c r="M13924" i="1" s="1"/>
  <c r="L12965" i="1"/>
  <c r="M12965" i="1" s="1"/>
  <c r="L12973" i="1"/>
  <c r="M12973" i="1" s="1"/>
  <c r="L13101" i="1"/>
  <c r="M13101" i="1" s="1"/>
  <c r="L13109" i="1"/>
  <c r="M13109" i="1" s="1"/>
  <c r="L13237" i="1"/>
  <c r="M13237" i="1" s="1"/>
  <c r="L13245" i="1"/>
  <c r="M13245" i="1" s="1"/>
  <c r="L13373" i="1"/>
  <c r="M13373" i="1" s="1"/>
  <c r="L13381" i="1"/>
  <c r="M13381" i="1" s="1"/>
  <c r="L13509" i="1"/>
  <c r="M13509" i="1" s="1"/>
  <c r="L13517" i="1"/>
  <c r="M13517" i="1" s="1"/>
  <c r="L13645" i="1"/>
  <c r="M13645" i="1" s="1"/>
  <c r="L13653" i="1"/>
  <c r="M13653" i="1" s="1"/>
  <c r="L13781" i="1"/>
  <c r="M13781" i="1" s="1"/>
  <c r="L13789" i="1"/>
  <c r="M13789" i="1" s="1"/>
  <c r="L12966" i="1"/>
  <c r="M12966" i="1" s="1"/>
  <c r="L12974" i="1"/>
  <c r="M12974" i="1" s="1"/>
  <c r="L13102" i="1"/>
  <c r="M13102" i="1" s="1"/>
  <c r="L13110" i="1"/>
  <c r="M13110" i="1" s="1"/>
  <c r="L13238" i="1"/>
  <c r="M13238" i="1" s="1"/>
  <c r="L13246" i="1"/>
  <c r="M13246" i="1" s="1"/>
  <c r="L13374" i="1"/>
  <c r="M13374" i="1" s="1"/>
  <c r="L13382" i="1"/>
  <c r="M13382" i="1" s="1"/>
  <c r="L13510" i="1"/>
  <c r="M13510" i="1" s="1"/>
  <c r="L13518" i="1"/>
  <c r="M13518" i="1" s="1"/>
  <c r="L13646" i="1"/>
  <c r="M13646" i="1" s="1"/>
  <c r="L13654" i="1"/>
  <c r="M13654" i="1" s="1"/>
  <c r="L13782" i="1"/>
  <c r="M13782" i="1" s="1"/>
  <c r="L13790" i="1"/>
  <c r="M13790" i="1" s="1"/>
  <c r="L13918" i="1"/>
  <c r="M13918" i="1" s="1"/>
  <c r="L13926" i="1"/>
  <c r="M13926" i="1" s="1"/>
  <c r="L14054" i="1"/>
  <c r="M14054" i="1" s="1"/>
  <c r="L14062" i="1"/>
  <c r="M14062" i="1" s="1"/>
  <c r="L14190" i="1"/>
  <c r="M14190" i="1" s="1"/>
  <c r="L14198" i="1"/>
  <c r="M14198" i="1" s="1"/>
  <c r="L11611" i="1"/>
  <c r="M11611" i="1" s="1"/>
  <c r="L11747" i="1"/>
  <c r="M11747" i="1" s="1"/>
  <c r="L11883" i="1"/>
  <c r="M11883" i="1" s="1"/>
  <c r="L12019" i="1"/>
  <c r="M12019" i="1" s="1"/>
  <c r="L12155" i="1"/>
  <c r="M12155" i="1" s="1"/>
  <c r="L12291" i="1"/>
  <c r="M12291" i="1" s="1"/>
  <c r="L12427" i="1"/>
  <c r="M12427" i="1" s="1"/>
  <c r="L12563" i="1"/>
  <c r="M12563" i="1" s="1"/>
  <c r="L12699" i="1"/>
  <c r="M12699" i="1" s="1"/>
  <c r="L12835" i="1"/>
  <c r="M12835" i="1" s="1"/>
  <c r="L12967" i="1"/>
  <c r="M12967" i="1" s="1"/>
  <c r="L12975" i="1"/>
  <c r="M12975" i="1" s="1"/>
  <c r="L13103" i="1"/>
  <c r="M13103" i="1" s="1"/>
  <c r="L13111" i="1"/>
  <c r="M13111" i="1" s="1"/>
  <c r="L13239" i="1"/>
  <c r="M13239" i="1" s="1"/>
  <c r="L13247" i="1"/>
  <c r="M13247" i="1" s="1"/>
  <c r="L13375" i="1"/>
  <c r="M13375" i="1" s="1"/>
  <c r="L13383" i="1"/>
  <c r="M13383" i="1" s="1"/>
  <c r="L13511" i="1"/>
  <c r="M13511" i="1" s="1"/>
  <c r="L13519" i="1"/>
  <c r="M13519" i="1" s="1"/>
  <c r="L13647" i="1"/>
  <c r="M13647" i="1" s="1"/>
  <c r="L13655" i="1"/>
  <c r="M13655" i="1" s="1"/>
  <c r="L13783" i="1"/>
  <c r="M13783" i="1" s="1"/>
  <c r="L13791" i="1"/>
  <c r="M13791" i="1" s="1"/>
  <c r="L13919" i="1"/>
  <c r="M13919" i="1" s="1"/>
  <c r="L13927" i="1"/>
  <c r="M13927" i="1" s="1"/>
  <c r="L14055" i="1"/>
  <c r="M14055" i="1" s="1"/>
  <c r="L14063" i="1"/>
  <c r="M14063" i="1" s="1"/>
  <c r="L11619" i="1"/>
  <c r="M11619" i="1" s="1"/>
  <c r="L11755" i="1"/>
  <c r="M11755" i="1" s="1"/>
  <c r="L11891" i="1"/>
  <c r="M11891" i="1" s="1"/>
  <c r="L12027" i="1"/>
  <c r="M12027" i="1" s="1"/>
  <c r="L12163" i="1"/>
  <c r="M12163" i="1" s="1"/>
  <c r="L12299" i="1"/>
  <c r="M12299" i="1" s="1"/>
  <c r="L12435" i="1"/>
  <c r="M12435" i="1" s="1"/>
  <c r="L12571" i="1"/>
  <c r="M12571" i="1" s="1"/>
  <c r="L12707" i="1"/>
  <c r="M12707" i="1" s="1"/>
  <c r="L12843" i="1"/>
  <c r="M12843" i="1" s="1"/>
  <c r="L12968" i="1"/>
  <c r="M12968" i="1" s="1"/>
  <c r="L12976" i="1"/>
  <c r="M12976" i="1" s="1"/>
  <c r="L13104" i="1"/>
  <c r="M13104" i="1" s="1"/>
  <c r="L13112" i="1"/>
  <c r="M13112" i="1" s="1"/>
  <c r="L13240" i="1"/>
  <c r="M13240" i="1" s="1"/>
  <c r="L13248" i="1"/>
  <c r="M13248" i="1" s="1"/>
  <c r="L13376" i="1"/>
  <c r="M13376" i="1" s="1"/>
  <c r="L13384" i="1"/>
  <c r="M13384" i="1" s="1"/>
  <c r="L13512" i="1"/>
  <c r="M13512" i="1" s="1"/>
  <c r="L13520" i="1"/>
  <c r="M13520" i="1" s="1"/>
  <c r="L13648" i="1"/>
  <c r="M13648" i="1" s="1"/>
  <c r="L13656" i="1"/>
  <c r="M13656" i="1" s="1"/>
  <c r="L13784" i="1"/>
  <c r="M13784" i="1" s="1"/>
  <c r="L13792" i="1"/>
  <c r="M13792" i="1" s="1"/>
  <c r="L13920" i="1"/>
  <c r="M13920" i="1" s="1"/>
  <c r="L13928" i="1"/>
  <c r="M13928" i="1" s="1"/>
  <c r="L13931" i="1"/>
  <c r="M13931" i="1" s="1"/>
  <c r="L14061" i="1"/>
  <c r="M14061" i="1" s="1"/>
  <c r="L14197" i="1"/>
  <c r="M14197" i="1" s="1"/>
  <c r="L14326" i="1"/>
  <c r="M14326" i="1" s="1"/>
  <c r="L14334" i="1"/>
  <c r="M14334" i="1" s="1"/>
  <c r="L14064" i="1"/>
  <c r="M14064" i="1" s="1"/>
  <c r="L14188" i="1"/>
  <c r="M14188" i="1" s="1"/>
  <c r="L14199" i="1"/>
  <c r="M14199" i="1" s="1"/>
  <c r="L14327" i="1"/>
  <c r="M14327" i="1" s="1"/>
  <c r="L14335" i="1"/>
  <c r="M14335" i="1" s="1"/>
  <c r="L13929" i="1"/>
  <c r="M13929" i="1" s="1"/>
  <c r="L14325" i="1"/>
  <c r="M14325" i="1" s="1"/>
  <c r="L14052" i="1"/>
  <c r="M14052" i="1" s="1"/>
  <c r="L14065" i="1"/>
  <c r="M14065" i="1" s="1"/>
  <c r="L14189" i="1"/>
  <c r="M14189" i="1" s="1"/>
  <c r="L14200" i="1"/>
  <c r="M14200" i="1" s="1"/>
  <c r="L14328" i="1"/>
  <c r="M14328" i="1" s="1"/>
  <c r="L14336" i="1"/>
  <c r="M14336" i="1" s="1"/>
  <c r="L14333" i="1"/>
  <c r="M14333" i="1" s="1"/>
  <c r="L13377" i="1"/>
  <c r="M13377" i="1" s="1"/>
  <c r="L13513" i="1"/>
  <c r="M13513" i="1" s="1"/>
  <c r="L13649" i="1"/>
  <c r="M13649" i="1" s="1"/>
  <c r="L13785" i="1"/>
  <c r="M13785" i="1" s="1"/>
  <c r="L13917" i="1"/>
  <c r="M13917" i="1" s="1"/>
  <c r="L14053" i="1"/>
  <c r="M14053" i="1" s="1"/>
  <c r="L14067" i="1"/>
  <c r="M14067" i="1" s="1"/>
  <c r="L14191" i="1"/>
  <c r="M14191" i="1" s="1"/>
  <c r="L14201" i="1"/>
  <c r="M14201" i="1" s="1"/>
  <c r="L14329" i="1"/>
  <c r="M14329" i="1" s="1"/>
  <c r="L14337" i="1"/>
  <c r="M14337" i="1" s="1"/>
  <c r="L12969" i="1"/>
  <c r="M12969" i="1" s="1"/>
  <c r="L13105" i="1"/>
  <c r="M13105" i="1" s="1"/>
  <c r="L13241" i="1"/>
  <c r="M13241" i="1" s="1"/>
  <c r="L13379" i="1"/>
  <c r="M13379" i="1" s="1"/>
  <c r="L13515" i="1"/>
  <c r="M13515" i="1" s="1"/>
  <c r="L13651" i="1"/>
  <c r="M13651" i="1" s="1"/>
  <c r="L13787" i="1"/>
  <c r="M13787" i="1" s="1"/>
  <c r="L13921" i="1"/>
  <c r="M13921" i="1" s="1"/>
  <c r="L14056" i="1"/>
  <c r="M14056" i="1" s="1"/>
  <c r="L14192" i="1"/>
  <c r="M14192" i="1" s="1"/>
  <c r="L14202" i="1"/>
  <c r="M14202" i="1" s="1"/>
  <c r="L14330" i="1"/>
  <c r="M14330" i="1" s="1"/>
  <c r="L14338" i="1"/>
  <c r="M14338" i="1" s="1"/>
  <c r="L12977" i="1"/>
  <c r="M12977" i="1" s="1"/>
  <c r="L13113" i="1"/>
  <c r="M13113" i="1" s="1"/>
  <c r="L13249" i="1"/>
  <c r="M13249" i="1" s="1"/>
  <c r="L13385" i="1"/>
  <c r="M13385" i="1" s="1"/>
  <c r="L13521" i="1"/>
  <c r="M13521" i="1" s="1"/>
  <c r="L13657" i="1"/>
  <c r="M13657" i="1" s="1"/>
  <c r="L13793" i="1"/>
  <c r="M13793" i="1" s="1"/>
  <c r="L13923" i="1"/>
  <c r="M13923" i="1" s="1"/>
  <c r="L14057" i="1"/>
  <c r="M14057" i="1" s="1"/>
  <c r="L14193" i="1"/>
  <c r="M14193" i="1" s="1"/>
  <c r="L14203" i="1"/>
  <c r="M14203" i="1" s="1"/>
  <c r="L14331" i="1"/>
  <c r="M14331" i="1" s="1"/>
  <c r="L14339" i="1"/>
  <c r="M14339" i="1" s="1"/>
  <c r="L14196" i="1"/>
  <c r="M14196" i="1" s="1"/>
  <c r="L13387" i="1"/>
  <c r="M13387" i="1" s="1"/>
  <c r="L13523" i="1"/>
  <c r="M13523" i="1" s="1"/>
  <c r="L13659" i="1"/>
  <c r="M13659" i="1" s="1"/>
  <c r="L13795" i="1"/>
  <c r="M13795" i="1" s="1"/>
  <c r="L13925" i="1"/>
  <c r="M13925" i="1" s="1"/>
  <c r="L14059" i="1"/>
  <c r="M14059" i="1" s="1"/>
  <c r="L14195" i="1"/>
  <c r="M14195" i="1" s="1"/>
  <c r="L14324" i="1"/>
  <c r="M14324" i="1" s="1"/>
  <c r="L14332" i="1"/>
  <c r="M14332" i="1" s="1"/>
  <c r="L14060" i="1"/>
  <c r="M14060" i="1" s="1"/>
  <c r="M1328" i="1"/>
  <c r="L4126" i="1"/>
  <c r="M4126" i="1" s="1"/>
  <c r="L4134" i="1"/>
  <c r="M4134" i="1" s="1"/>
  <c r="L4262" i="1"/>
  <c r="M4262" i="1" s="1"/>
  <c r="L4270" i="1"/>
  <c r="M4270" i="1" s="1"/>
  <c r="L4398" i="1"/>
  <c r="M4398" i="1" s="1"/>
  <c r="L4406" i="1"/>
  <c r="M4406" i="1" s="1"/>
  <c r="L4534" i="1"/>
  <c r="M4534" i="1" s="1"/>
  <c r="L4542" i="1"/>
  <c r="M4542" i="1" s="1"/>
  <c r="L4670" i="1"/>
  <c r="M4670" i="1" s="1"/>
  <c r="L4678" i="1"/>
  <c r="M4678" i="1" s="1"/>
  <c r="L4806" i="1"/>
  <c r="M4806" i="1" s="1"/>
  <c r="L4814" i="1"/>
  <c r="M4814" i="1" s="1"/>
  <c r="L4942" i="1"/>
  <c r="M4942" i="1" s="1"/>
  <c r="L4950" i="1"/>
  <c r="M4950" i="1" s="1"/>
  <c r="L5078" i="1"/>
  <c r="M5078" i="1" s="1"/>
  <c r="L5086" i="1"/>
  <c r="M5086" i="1" s="1"/>
  <c r="L1426" i="1"/>
  <c r="M1426" i="1" s="1"/>
  <c r="L1434" i="1"/>
  <c r="M1434" i="1" s="1"/>
  <c r="L1562" i="1"/>
  <c r="M1562" i="1" s="1"/>
  <c r="L1570" i="1"/>
  <c r="M1570" i="1" s="1"/>
  <c r="L1698" i="1"/>
  <c r="M1698" i="1" s="1"/>
  <c r="L1706" i="1"/>
  <c r="M1706" i="1" s="1"/>
  <c r="L4127" i="1"/>
  <c r="M4127" i="1" s="1"/>
  <c r="L4135" i="1"/>
  <c r="M4135" i="1" s="1"/>
  <c r="L4263" i="1"/>
  <c r="M4263" i="1" s="1"/>
  <c r="L4271" i="1"/>
  <c r="M4271" i="1" s="1"/>
  <c r="L4399" i="1"/>
  <c r="M4399" i="1" s="1"/>
  <c r="L4407" i="1"/>
  <c r="M4407" i="1" s="1"/>
  <c r="L4535" i="1"/>
  <c r="M4535" i="1" s="1"/>
  <c r="L4543" i="1"/>
  <c r="M4543" i="1" s="1"/>
  <c r="L4671" i="1"/>
  <c r="M4671" i="1" s="1"/>
  <c r="L4679" i="1"/>
  <c r="M4679" i="1" s="1"/>
  <c r="L4807" i="1"/>
  <c r="M4807" i="1" s="1"/>
  <c r="L4815" i="1"/>
  <c r="M4815" i="1" s="1"/>
  <c r="L4943" i="1"/>
  <c r="M4943" i="1" s="1"/>
  <c r="L4951" i="1"/>
  <c r="M4951" i="1" s="1"/>
  <c r="L5079" i="1"/>
  <c r="M5079" i="1" s="1"/>
  <c r="L5087" i="1"/>
  <c r="M5087" i="1" s="1"/>
  <c r="L1427" i="1"/>
  <c r="M1427" i="1" s="1"/>
  <c r="L1435" i="1"/>
  <c r="M1435" i="1" s="1"/>
  <c r="L1563" i="1"/>
  <c r="M1563" i="1" s="1"/>
  <c r="L1571" i="1"/>
  <c r="M1571" i="1" s="1"/>
  <c r="L1699" i="1"/>
  <c r="M1699" i="1" s="1"/>
  <c r="L1707" i="1"/>
  <c r="M1707" i="1" s="1"/>
  <c r="L4128" i="1"/>
  <c r="M4128" i="1" s="1"/>
  <c r="L4136" i="1"/>
  <c r="M4136" i="1" s="1"/>
  <c r="L4264" i="1"/>
  <c r="M4264" i="1" s="1"/>
  <c r="L4272" i="1"/>
  <c r="M4272" i="1" s="1"/>
  <c r="L4400" i="1"/>
  <c r="M4400" i="1" s="1"/>
  <c r="L4408" i="1"/>
  <c r="M4408" i="1" s="1"/>
  <c r="L4536" i="1"/>
  <c r="M4536" i="1" s="1"/>
  <c r="L4544" i="1"/>
  <c r="M4544" i="1" s="1"/>
  <c r="L4672" i="1"/>
  <c r="M4672" i="1" s="1"/>
  <c r="L4680" i="1"/>
  <c r="M4680" i="1" s="1"/>
  <c r="L4808" i="1"/>
  <c r="M4808" i="1" s="1"/>
  <c r="L4816" i="1"/>
  <c r="M4816" i="1" s="1"/>
  <c r="L4944" i="1"/>
  <c r="M4944" i="1" s="1"/>
  <c r="L4952" i="1"/>
  <c r="M4952" i="1" s="1"/>
  <c r="L5080" i="1"/>
  <c r="M5080" i="1" s="1"/>
  <c r="L5088" i="1"/>
  <c r="M5088" i="1" s="1"/>
  <c r="L1420" i="1"/>
  <c r="M1420" i="1" s="1"/>
  <c r="L1428" i="1"/>
  <c r="M1428" i="1" s="1"/>
  <c r="L1564" i="1"/>
  <c r="M1564" i="1" s="1"/>
  <c r="L1572" i="1"/>
  <c r="M1572" i="1" s="1"/>
  <c r="L1700" i="1"/>
  <c r="M1700" i="1" s="1"/>
  <c r="L1708" i="1"/>
  <c r="M1708" i="1" s="1"/>
  <c r="L4129" i="1"/>
  <c r="M4129" i="1" s="1"/>
  <c r="L4137" i="1"/>
  <c r="M4137" i="1" s="1"/>
  <c r="L4265" i="1"/>
  <c r="M4265" i="1" s="1"/>
  <c r="L4273" i="1"/>
  <c r="M4273" i="1" s="1"/>
  <c r="L4401" i="1"/>
  <c r="M4401" i="1" s="1"/>
  <c r="L4409" i="1"/>
  <c r="M4409" i="1" s="1"/>
  <c r="L4537" i="1"/>
  <c r="M4537" i="1" s="1"/>
  <c r="L4545" i="1"/>
  <c r="M4545" i="1" s="1"/>
  <c r="L4673" i="1"/>
  <c r="M4673" i="1" s="1"/>
  <c r="L4681" i="1"/>
  <c r="M4681" i="1" s="1"/>
  <c r="L4809" i="1"/>
  <c r="M4809" i="1" s="1"/>
  <c r="L4817" i="1"/>
  <c r="M4817" i="1" s="1"/>
  <c r="L4945" i="1"/>
  <c r="M4945" i="1" s="1"/>
  <c r="L4953" i="1"/>
  <c r="M4953" i="1" s="1"/>
  <c r="L5081" i="1"/>
  <c r="M5081" i="1" s="1"/>
  <c r="L5089" i="1"/>
  <c r="M5089" i="1" s="1"/>
  <c r="L1421" i="1"/>
  <c r="M1421" i="1" s="1"/>
  <c r="L1429" i="1"/>
  <c r="M1429" i="1" s="1"/>
  <c r="L1557" i="1"/>
  <c r="M1557" i="1" s="1"/>
  <c r="L1565" i="1"/>
  <c r="M1565" i="1" s="1"/>
  <c r="L1701" i="1"/>
  <c r="M1701" i="1" s="1"/>
  <c r="L1709" i="1"/>
  <c r="M1709" i="1" s="1"/>
  <c r="L4131" i="1"/>
  <c r="M4131" i="1" s="1"/>
  <c r="L4139" i="1"/>
  <c r="M4139" i="1" s="1"/>
  <c r="L4267" i="1"/>
  <c r="M4267" i="1" s="1"/>
  <c r="L4275" i="1"/>
  <c r="M4275" i="1" s="1"/>
  <c r="L4403" i="1"/>
  <c r="M4403" i="1" s="1"/>
  <c r="L4411" i="1"/>
  <c r="M4411" i="1" s="1"/>
  <c r="L4539" i="1"/>
  <c r="M4539" i="1" s="1"/>
  <c r="L4547" i="1"/>
  <c r="M4547" i="1" s="1"/>
  <c r="L4675" i="1"/>
  <c r="M4675" i="1" s="1"/>
  <c r="L4683" i="1"/>
  <c r="M4683" i="1" s="1"/>
  <c r="L4811" i="1"/>
  <c r="M4811" i="1" s="1"/>
  <c r="L4819" i="1"/>
  <c r="M4819" i="1" s="1"/>
  <c r="L4947" i="1"/>
  <c r="M4947" i="1" s="1"/>
  <c r="L4955" i="1"/>
  <c r="M4955" i="1" s="1"/>
  <c r="L5083" i="1"/>
  <c r="M5083" i="1" s="1"/>
  <c r="L5091" i="1"/>
  <c r="M5091" i="1" s="1"/>
  <c r="L1423" i="1"/>
  <c r="M1423" i="1" s="1"/>
  <c r="L1431" i="1"/>
  <c r="M1431" i="1" s="1"/>
  <c r="L1559" i="1"/>
  <c r="M1559" i="1" s="1"/>
  <c r="L1567" i="1"/>
  <c r="M1567" i="1" s="1"/>
  <c r="L1695" i="1"/>
  <c r="M1695" i="1" s="1"/>
  <c r="L1703" i="1"/>
  <c r="M1703" i="1" s="1"/>
  <c r="L4124" i="1"/>
  <c r="M4124" i="1" s="1"/>
  <c r="L4132" i="1"/>
  <c r="M4132" i="1" s="1"/>
  <c r="L4260" i="1"/>
  <c r="M4260" i="1" s="1"/>
  <c r="L4268" i="1"/>
  <c r="M4268" i="1" s="1"/>
  <c r="L4396" i="1"/>
  <c r="M4396" i="1" s="1"/>
  <c r="L4404" i="1"/>
  <c r="M4404" i="1" s="1"/>
  <c r="L4532" i="1"/>
  <c r="M4532" i="1" s="1"/>
  <c r="L4540" i="1"/>
  <c r="M4540" i="1" s="1"/>
  <c r="L4668" i="1"/>
  <c r="M4668" i="1" s="1"/>
  <c r="L4676" i="1"/>
  <c r="M4676" i="1" s="1"/>
  <c r="L4804" i="1"/>
  <c r="M4804" i="1" s="1"/>
  <c r="L4812" i="1"/>
  <c r="M4812" i="1" s="1"/>
  <c r="L4940" i="1"/>
  <c r="M4940" i="1" s="1"/>
  <c r="L4948" i="1"/>
  <c r="M4948" i="1" s="1"/>
  <c r="L5076" i="1"/>
  <c r="M5076" i="1" s="1"/>
  <c r="L5084" i="1"/>
  <c r="M5084" i="1" s="1"/>
  <c r="L1424" i="1"/>
  <c r="M1424" i="1" s="1"/>
  <c r="L1432" i="1"/>
  <c r="M1432" i="1" s="1"/>
  <c r="L1560" i="1"/>
  <c r="M1560" i="1" s="1"/>
  <c r="L1568" i="1"/>
  <c r="M1568" i="1" s="1"/>
  <c r="L1696" i="1"/>
  <c r="M1696" i="1" s="1"/>
  <c r="L1704" i="1"/>
  <c r="M1704" i="1" s="1"/>
  <c r="L4125" i="1"/>
  <c r="M4125" i="1" s="1"/>
  <c r="L4133" i="1"/>
  <c r="M4133" i="1" s="1"/>
  <c r="L4261" i="1"/>
  <c r="M4261" i="1" s="1"/>
  <c r="L4269" i="1"/>
  <c r="M4269" i="1" s="1"/>
  <c r="L4397" i="1"/>
  <c r="M4397" i="1" s="1"/>
  <c r="L4405" i="1"/>
  <c r="M4405" i="1" s="1"/>
  <c r="L4533" i="1"/>
  <c r="M4533" i="1" s="1"/>
  <c r="L4541" i="1"/>
  <c r="M4541" i="1" s="1"/>
  <c r="L4669" i="1"/>
  <c r="M4669" i="1" s="1"/>
  <c r="L4677" i="1"/>
  <c r="M4677" i="1" s="1"/>
  <c r="L4805" i="1"/>
  <c r="M4805" i="1" s="1"/>
  <c r="L4813" i="1"/>
  <c r="M4813" i="1" s="1"/>
  <c r="L4941" i="1"/>
  <c r="M4941" i="1" s="1"/>
  <c r="L4949" i="1"/>
  <c r="M4949" i="1" s="1"/>
  <c r="L5077" i="1"/>
  <c r="M5077" i="1" s="1"/>
  <c r="L5085" i="1"/>
  <c r="M5085" i="1" s="1"/>
  <c r="L1425" i="1"/>
  <c r="M1425" i="1" s="1"/>
  <c r="L1433" i="1"/>
  <c r="M1433" i="1" s="1"/>
  <c r="L1561" i="1"/>
  <c r="M1561" i="1" s="1"/>
  <c r="L1569" i="1"/>
  <c r="M1569" i="1" s="1"/>
  <c r="L1697" i="1"/>
  <c r="M1697" i="1" s="1"/>
  <c r="L1705" i="1"/>
  <c r="M1705" i="1" s="1"/>
  <c r="L4130" i="1"/>
  <c r="M4130" i="1" s="1"/>
  <c r="L4266" i="1"/>
  <c r="M4266" i="1" s="1"/>
  <c r="L4402" i="1"/>
  <c r="M4402" i="1" s="1"/>
  <c r="L4538" i="1"/>
  <c r="M4538" i="1" s="1"/>
  <c r="L4674" i="1"/>
  <c r="M4674" i="1" s="1"/>
  <c r="L4810" i="1"/>
  <c r="M4810" i="1" s="1"/>
  <c r="L4946" i="1"/>
  <c r="M4946" i="1" s="1"/>
  <c r="L5082" i="1"/>
  <c r="M5082" i="1" s="1"/>
  <c r="L1833" i="1"/>
  <c r="M1833" i="1" s="1"/>
  <c r="L1841" i="1"/>
  <c r="M1841" i="1" s="1"/>
  <c r="L1969" i="1"/>
  <c r="M1969" i="1" s="1"/>
  <c r="L1977" i="1"/>
  <c r="M1977" i="1" s="1"/>
  <c r="L2105" i="1"/>
  <c r="M2105" i="1" s="1"/>
  <c r="L2113" i="1"/>
  <c r="M2113" i="1" s="1"/>
  <c r="L2249" i="1"/>
  <c r="M2249" i="1" s="1"/>
  <c r="L2257" i="1"/>
  <c r="M2257" i="1" s="1"/>
  <c r="L2369" i="1"/>
  <c r="M2369" i="1" s="1"/>
  <c r="L2377" i="1"/>
  <c r="M2377" i="1" s="1"/>
  <c r="L2521" i="1"/>
  <c r="M2521" i="1" s="1"/>
  <c r="L2529" i="1"/>
  <c r="M2529" i="1" s="1"/>
  <c r="L2657" i="1"/>
  <c r="M2657" i="1" s="1"/>
  <c r="L2665" i="1"/>
  <c r="M2665" i="1" s="1"/>
  <c r="L2777" i="1"/>
  <c r="M2777" i="1" s="1"/>
  <c r="L2785" i="1"/>
  <c r="M2785" i="1" s="1"/>
  <c r="L2929" i="1"/>
  <c r="M2929" i="1" s="1"/>
  <c r="L2937" i="1"/>
  <c r="M2937" i="1" s="1"/>
  <c r="L3065" i="1"/>
  <c r="M3065" i="1" s="1"/>
  <c r="L3073" i="1"/>
  <c r="M3073" i="1" s="1"/>
  <c r="L3201" i="1"/>
  <c r="M3201" i="1" s="1"/>
  <c r="L3209" i="1"/>
  <c r="M3209" i="1" s="1"/>
  <c r="L3345" i="1"/>
  <c r="M3345" i="1" s="1"/>
  <c r="L3353" i="1"/>
  <c r="M3353" i="1" s="1"/>
  <c r="L3481" i="1"/>
  <c r="M3481" i="1" s="1"/>
  <c r="L3489" i="1"/>
  <c r="M3489" i="1" s="1"/>
  <c r="L3617" i="1"/>
  <c r="M3617" i="1" s="1"/>
  <c r="L3625" i="1"/>
  <c r="M3625" i="1" s="1"/>
  <c r="L3753" i="1"/>
  <c r="M3753" i="1" s="1"/>
  <c r="L3761" i="1"/>
  <c r="M3761" i="1" s="1"/>
  <c r="L3857" i="1"/>
  <c r="M3857" i="1" s="1"/>
  <c r="L3993" i="1"/>
  <c r="M3993" i="1" s="1"/>
  <c r="L4001" i="1"/>
  <c r="M4001" i="1" s="1"/>
  <c r="L899" i="1"/>
  <c r="M899" i="1" s="1"/>
  <c r="L907" i="1"/>
  <c r="M907" i="1" s="1"/>
  <c r="L1035" i="1"/>
  <c r="M1035" i="1" s="1"/>
  <c r="L1043" i="1"/>
  <c r="M1043" i="1" s="1"/>
  <c r="L1171" i="1"/>
  <c r="M1171" i="1" s="1"/>
  <c r="L1179" i="1"/>
  <c r="M1179" i="1" s="1"/>
  <c r="L4138" i="1"/>
  <c r="M4138" i="1" s="1"/>
  <c r="L4274" i="1"/>
  <c r="M4274" i="1" s="1"/>
  <c r="L4410" i="1"/>
  <c r="M4410" i="1" s="1"/>
  <c r="L4546" i="1"/>
  <c r="M4546" i="1" s="1"/>
  <c r="L4682" i="1"/>
  <c r="M4682" i="1" s="1"/>
  <c r="L4818" i="1"/>
  <c r="M4818" i="1" s="1"/>
  <c r="L4954" i="1"/>
  <c r="M4954" i="1" s="1"/>
  <c r="L5090" i="1"/>
  <c r="M5090" i="1" s="1"/>
  <c r="L1834" i="1"/>
  <c r="M1834" i="1" s="1"/>
  <c r="L1842" i="1"/>
  <c r="M1842" i="1" s="1"/>
  <c r="L1970" i="1"/>
  <c r="M1970" i="1" s="1"/>
  <c r="L1978" i="1"/>
  <c r="M1978" i="1" s="1"/>
  <c r="L2106" i="1"/>
  <c r="M2106" i="1" s="1"/>
  <c r="L2114" i="1"/>
  <c r="M2114" i="1" s="1"/>
  <c r="L2242" i="1"/>
  <c r="M2242" i="1" s="1"/>
  <c r="L2250" i="1"/>
  <c r="M2250" i="1" s="1"/>
  <c r="L2362" i="1"/>
  <c r="M2362" i="1" s="1"/>
  <c r="L2370" i="1"/>
  <c r="M2370" i="1" s="1"/>
  <c r="L2522" i="1"/>
  <c r="M2522" i="1" s="1"/>
  <c r="L2530" i="1"/>
  <c r="M2530" i="1" s="1"/>
  <c r="L2658" i="1"/>
  <c r="M2658" i="1" s="1"/>
  <c r="L2666" i="1"/>
  <c r="M2666" i="1" s="1"/>
  <c r="L2778" i="1"/>
  <c r="M2778" i="1" s="1"/>
  <c r="L2786" i="1"/>
  <c r="M2786" i="1" s="1"/>
  <c r="L2930" i="1"/>
  <c r="M2930" i="1" s="1"/>
  <c r="L2938" i="1"/>
  <c r="M2938" i="1" s="1"/>
  <c r="L3066" i="1"/>
  <c r="M3066" i="1" s="1"/>
  <c r="L3074" i="1"/>
  <c r="M3074" i="1" s="1"/>
  <c r="L3202" i="1"/>
  <c r="M3202" i="1" s="1"/>
  <c r="L3210" i="1"/>
  <c r="M3210" i="1" s="1"/>
  <c r="L3338" i="1"/>
  <c r="M3338" i="1" s="1"/>
  <c r="L3346" i="1"/>
  <c r="M3346" i="1" s="1"/>
  <c r="L3482" i="1"/>
  <c r="M3482" i="1" s="1"/>
  <c r="L3490" i="1"/>
  <c r="M3490" i="1" s="1"/>
  <c r="L3618" i="1"/>
  <c r="M3618" i="1" s="1"/>
  <c r="L3626" i="1"/>
  <c r="M3626" i="1" s="1"/>
  <c r="L3754" i="1"/>
  <c r="M3754" i="1" s="1"/>
  <c r="L3762" i="1"/>
  <c r="M3762" i="1" s="1"/>
  <c r="L3850" i="1"/>
  <c r="M3850" i="1" s="1"/>
  <c r="L3858" i="1"/>
  <c r="M3858" i="1" s="1"/>
  <c r="L3994" i="1"/>
  <c r="M3994" i="1" s="1"/>
  <c r="L4002" i="1"/>
  <c r="M4002" i="1" s="1"/>
  <c r="L900" i="1"/>
  <c r="M900" i="1" s="1"/>
  <c r="L908" i="1"/>
  <c r="M908" i="1" s="1"/>
  <c r="L1036" i="1"/>
  <c r="M1036" i="1" s="1"/>
  <c r="L1044" i="1"/>
  <c r="M1044" i="1" s="1"/>
  <c r="L1172" i="1"/>
  <c r="M1172" i="1" s="1"/>
  <c r="L1180" i="1"/>
  <c r="M1180" i="1" s="1"/>
  <c r="L1835" i="1"/>
  <c r="M1835" i="1" s="1"/>
  <c r="L1843" i="1"/>
  <c r="M1843" i="1" s="1"/>
  <c r="L1971" i="1"/>
  <c r="M1971" i="1" s="1"/>
  <c r="L1979" i="1"/>
  <c r="M1979" i="1" s="1"/>
  <c r="L2107" i="1"/>
  <c r="M2107" i="1" s="1"/>
  <c r="L2115" i="1"/>
  <c r="M2115" i="1" s="1"/>
  <c r="L2243" i="1"/>
  <c r="M2243" i="1" s="1"/>
  <c r="L2251" i="1"/>
  <c r="M2251" i="1" s="1"/>
  <c r="L2363" i="1"/>
  <c r="M2363" i="1" s="1"/>
  <c r="L2371" i="1"/>
  <c r="M2371" i="1" s="1"/>
  <c r="L2523" i="1"/>
  <c r="M2523" i="1" s="1"/>
  <c r="L2531" i="1"/>
  <c r="M2531" i="1" s="1"/>
  <c r="L2659" i="1"/>
  <c r="M2659" i="1" s="1"/>
  <c r="L2667" i="1"/>
  <c r="M2667" i="1" s="1"/>
  <c r="L2779" i="1"/>
  <c r="M2779" i="1" s="1"/>
  <c r="L2787" i="1"/>
  <c r="M2787" i="1" s="1"/>
  <c r="L2931" i="1"/>
  <c r="M2931" i="1" s="1"/>
  <c r="L2939" i="1"/>
  <c r="M2939" i="1" s="1"/>
  <c r="L3067" i="1"/>
  <c r="M3067" i="1" s="1"/>
  <c r="L3075" i="1"/>
  <c r="M3075" i="1" s="1"/>
  <c r="L3203" i="1"/>
  <c r="M3203" i="1" s="1"/>
  <c r="L3211" i="1"/>
  <c r="M3211" i="1" s="1"/>
  <c r="L3339" i="1"/>
  <c r="M3339" i="1" s="1"/>
  <c r="L3347" i="1"/>
  <c r="M3347" i="1" s="1"/>
  <c r="L3475" i="1"/>
  <c r="M3475" i="1" s="1"/>
  <c r="L3483" i="1"/>
  <c r="M3483" i="1" s="1"/>
  <c r="L3619" i="1"/>
  <c r="M3619" i="1" s="1"/>
  <c r="L3627" i="1"/>
  <c r="M3627" i="1" s="1"/>
  <c r="L3755" i="1"/>
  <c r="M3755" i="1" s="1"/>
  <c r="L3763" i="1"/>
  <c r="M3763" i="1" s="1"/>
  <c r="L3851" i="1"/>
  <c r="M3851" i="1" s="1"/>
  <c r="L3859" i="1"/>
  <c r="M3859" i="1" s="1"/>
  <c r="L3995" i="1"/>
  <c r="M3995" i="1" s="1"/>
  <c r="L4003" i="1"/>
  <c r="M4003" i="1" s="1"/>
  <c r="L901" i="1"/>
  <c r="M901" i="1" s="1"/>
  <c r="L909" i="1"/>
  <c r="M909" i="1" s="1"/>
  <c r="L1037" i="1"/>
  <c r="M1037" i="1" s="1"/>
  <c r="L1045" i="1"/>
  <c r="M1045" i="1" s="1"/>
  <c r="L1173" i="1"/>
  <c r="M1173" i="1" s="1"/>
  <c r="L1181" i="1"/>
  <c r="M1181" i="1" s="1"/>
  <c r="L1836" i="1"/>
  <c r="M1836" i="1" s="1"/>
  <c r="L1844" i="1"/>
  <c r="M1844" i="1" s="1"/>
  <c r="L1972" i="1"/>
  <c r="M1972" i="1" s="1"/>
  <c r="L1980" i="1"/>
  <c r="M1980" i="1" s="1"/>
  <c r="L2108" i="1"/>
  <c r="M2108" i="1" s="1"/>
  <c r="L2116" i="1"/>
  <c r="M2116" i="1" s="1"/>
  <c r="L2244" i="1"/>
  <c r="M2244" i="1" s="1"/>
  <c r="L2252" i="1"/>
  <c r="M2252" i="1" s="1"/>
  <c r="L2364" i="1"/>
  <c r="M2364" i="1" s="1"/>
  <c r="L2372" i="1"/>
  <c r="M2372" i="1" s="1"/>
  <c r="L2516" i="1"/>
  <c r="M2516" i="1" s="1"/>
  <c r="L2524" i="1"/>
  <c r="M2524" i="1" s="1"/>
  <c r="L2660" i="1"/>
  <c r="M2660" i="1" s="1"/>
  <c r="L2668" i="1"/>
  <c r="M2668" i="1" s="1"/>
  <c r="L2780" i="1"/>
  <c r="M2780" i="1" s="1"/>
  <c r="L2788" i="1"/>
  <c r="M2788" i="1" s="1"/>
  <c r="L2932" i="1"/>
  <c r="M2932" i="1" s="1"/>
  <c r="L2940" i="1"/>
  <c r="M2940" i="1" s="1"/>
  <c r="L3068" i="1"/>
  <c r="M3068" i="1" s="1"/>
  <c r="L3076" i="1"/>
  <c r="M3076" i="1" s="1"/>
  <c r="L3204" i="1"/>
  <c r="M3204" i="1" s="1"/>
  <c r="L3212" i="1"/>
  <c r="M3212" i="1" s="1"/>
  <c r="L3340" i="1"/>
  <c r="M3340" i="1" s="1"/>
  <c r="L3348" i="1"/>
  <c r="M3348" i="1" s="1"/>
  <c r="L3476" i="1"/>
  <c r="M3476" i="1" s="1"/>
  <c r="L3484" i="1"/>
  <c r="M3484" i="1" s="1"/>
  <c r="L3612" i="1"/>
  <c r="M3612" i="1" s="1"/>
  <c r="L3620" i="1"/>
  <c r="M3620" i="1" s="1"/>
  <c r="L3756" i="1"/>
  <c r="M3756" i="1" s="1"/>
  <c r="L3764" i="1"/>
  <c r="M3764" i="1" s="1"/>
  <c r="L3852" i="1"/>
  <c r="M3852" i="1" s="1"/>
  <c r="L3988" i="1"/>
  <c r="M3988" i="1" s="1"/>
  <c r="L3996" i="1"/>
  <c r="M3996" i="1" s="1"/>
  <c r="L894" i="1"/>
  <c r="M894" i="1" s="1"/>
  <c r="L902" i="1"/>
  <c r="M902" i="1" s="1"/>
  <c r="L1030" i="1"/>
  <c r="M1030" i="1" s="1"/>
  <c r="L1038" i="1"/>
  <c r="M1038" i="1" s="1"/>
  <c r="L1166" i="1"/>
  <c r="M1166" i="1" s="1"/>
  <c r="L1174" i="1"/>
  <c r="M1174" i="1" s="1"/>
  <c r="L1430" i="1"/>
  <c r="M1430" i="1" s="1"/>
  <c r="L1558" i="1"/>
  <c r="M1558" i="1" s="1"/>
  <c r="L1838" i="1"/>
  <c r="M1838" i="1" s="1"/>
  <c r="L1846" i="1"/>
  <c r="M1846" i="1" s="1"/>
  <c r="L1974" i="1"/>
  <c r="M1974" i="1" s="1"/>
  <c r="L1982" i="1"/>
  <c r="M1982" i="1" s="1"/>
  <c r="L2110" i="1"/>
  <c r="M2110" i="1" s="1"/>
  <c r="L2118" i="1"/>
  <c r="M2118" i="1" s="1"/>
  <c r="L2246" i="1"/>
  <c r="M2246" i="1" s="1"/>
  <c r="L2254" i="1"/>
  <c r="M2254" i="1" s="1"/>
  <c r="L2366" i="1"/>
  <c r="M2366" i="1" s="1"/>
  <c r="L2374" i="1"/>
  <c r="M2374" i="1" s="1"/>
  <c r="L2518" i="1"/>
  <c r="M2518" i="1" s="1"/>
  <c r="L2526" i="1"/>
  <c r="M2526" i="1" s="1"/>
  <c r="L2654" i="1"/>
  <c r="M2654" i="1" s="1"/>
  <c r="L2662" i="1"/>
  <c r="M2662" i="1" s="1"/>
  <c r="L2774" i="1"/>
  <c r="M2774" i="1" s="1"/>
  <c r="L2782" i="1"/>
  <c r="M2782" i="1" s="1"/>
  <c r="L2934" i="1"/>
  <c r="M2934" i="1" s="1"/>
  <c r="L2942" i="1"/>
  <c r="M2942" i="1" s="1"/>
  <c r="L3070" i="1"/>
  <c r="M3070" i="1" s="1"/>
  <c r="L3078" i="1"/>
  <c r="M3078" i="1" s="1"/>
  <c r="L3206" i="1"/>
  <c r="M3206" i="1" s="1"/>
  <c r="L3214" i="1"/>
  <c r="M3214" i="1" s="1"/>
  <c r="L3342" i="1"/>
  <c r="M3342" i="1" s="1"/>
  <c r="L3350" i="1"/>
  <c r="M3350" i="1" s="1"/>
  <c r="L3478" i="1"/>
  <c r="M3478" i="1" s="1"/>
  <c r="L3486" i="1"/>
  <c r="M3486" i="1" s="1"/>
  <c r="L3614" i="1"/>
  <c r="M3614" i="1" s="1"/>
  <c r="L3622" i="1"/>
  <c r="M3622" i="1" s="1"/>
  <c r="L3750" i="1"/>
  <c r="M3750" i="1" s="1"/>
  <c r="L3758" i="1"/>
  <c r="M3758" i="1" s="1"/>
  <c r="L3854" i="1"/>
  <c r="M3854" i="1" s="1"/>
  <c r="L3990" i="1"/>
  <c r="M3990" i="1" s="1"/>
  <c r="L3998" i="1"/>
  <c r="M3998" i="1" s="1"/>
  <c r="L896" i="1"/>
  <c r="M896" i="1" s="1"/>
  <c r="L904" i="1"/>
  <c r="M904" i="1" s="1"/>
  <c r="L1032" i="1"/>
  <c r="M1032" i="1" s="1"/>
  <c r="L1040" i="1"/>
  <c r="M1040" i="1" s="1"/>
  <c r="L1168" i="1"/>
  <c r="M1168" i="1" s="1"/>
  <c r="L1176" i="1"/>
  <c r="M1176" i="1" s="1"/>
  <c r="L1566" i="1"/>
  <c r="M1566" i="1" s="1"/>
  <c r="L1694" i="1"/>
  <c r="M1694" i="1" s="1"/>
  <c r="L1831" i="1"/>
  <c r="M1831" i="1" s="1"/>
  <c r="L1839" i="1"/>
  <c r="M1839" i="1" s="1"/>
  <c r="L1975" i="1"/>
  <c r="M1975" i="1" s="1"/>
  <c r="L1983" i="1"/>
  <c r="M1983" i="1" s="1"/>
  <c r="L2111" i="1"/>
  <c r="M2111" i="1" s="1"/>
  <c r="L2119" i="1"/>
  <c r="M2119" i="1" s="1"/>
  <c r="L2247" i="1"/>
  <c r="M2247" i="1" s="1"/>
  <c r="L2255" i="1"/>
  <c r="M2255" i="1" s="1"/>
  <c r="L2367" i="1"/>
  <c r="M2367" i="1" s="1"/>
  <c r="L2375" i="1"/>
  <c r="M2375" i="1" s="1"/>
  <c r="L2519" i="1"/>
  <c r="M2519" i="1" s="1"/>
  <c r="L2527" i="1"/>
  <c r="M2527" i="1" s="1"/>
  <c r="L2655" i="1"/>
  <c r="M2655" i="1" s="1"/>
  <c r="L2663" i="1"/>
  <c r="M2663" i="1" s="1"/>
  <c r="L2775" i="1"/>
  <c r="M2775" i="1" s="1"/>
  <c r="L2783" i="1"/>
  <c r="M2783" i="1" s="1"/>
  <c r="L2927" i="1"/>
  <c r="M2927" i="1" s="1"/>
  <c r="L2935" i="1"/>
  <c r="M2935" i="1" s="1"/>
  <c r="L3071" i="1"/>
  <c r="M3071" i="1" s="1"/>
  <c r="L3079" i="1"/>
  <c r="M3079" i="1" s="1"/>
  <c r="L3207" i="1"/>
  <c r="M3207" i="1" s="1"/>
  <c r="L3215" i="1"/>
  <c r="M3215" i="1" s="1"/>
  <c r="L3343" i="1"/>
  <c r="M3343" i="1" s="1"/>
  <c r="L3351" i="1"/>
  <c r="M3351" i="1" s="1"/>
  <c r="L3479" i="1"/>
  <c r="M3479" i="1" s="1"/>
  <c r="L3487" i="1"/>
  <c r="M3487" i="1" s="1"/>
  <c r="L3615" i="1"/>
  <c r="M3615" i="1" s="1"/>
  <c r="L3623" i="1"/>
  <c r="M3623" i="1" s="1"/>
  <c r="L3751" i="1"/>
  <c r="M3751" i="1" s="1"/>
  <c r="L3759" i="1"/>
  <c r="M3759" i="1" s="1"/>
  <c r="L3855" i="1"/>
  <c r="M3855" i="1" s="1"/>
  <c r="L3911" i="1"/>
  <c r="M3911" i="1" s="1"/>
  <c r="L3927" i="1"/>
  <c r="M3927" i="1" s="1"/>
  <c r="L3991" i="1"/>
  <c r="M3991" i="1" s="1"/>
  <c r="L3999" i="1"/>
  <c r="M3999" i="1" s="1"/>
  <c r="L897" i="1"/>
  <c r="M897" i="1" s="1"/>
  <c r="L905" i="1"/>
  <c r="M905" i="1" s="1"/>
  <c r="L1033" i="1"/>
  <c r="M1033" i="1" s="1"/>
  <c r="L1041" i="1"/>
  <c r="M1041" i="1" s="1"/>
  <c r="L1169" i="1"/>
  <c r="M1169" i="1" s="1"/>
  <c r="L1177" i="1"/>
  <c r="M1177" i="1" s="1"/>
  <c r="L1702" i="1"/>
  <c r="M1702" i="1" s="1"/>
  <c r="L1832" i="1"/>
  <c r="M1832" i="1" s="1"/>
  <c r="L1840" i="1"/>
  <c r="M1840" i="1" s="1"/>
  <c r="L1968" i="1"/>
  <c r="M1968" i="1" s="1"/>
  <c r="L1976" i="1"/>
  <c r="M1976" i="1" s="1"/>
  <c r="L2112" i="1"/>
  <c r="M2112" i="1" s="1"/>
  <c r="L2120" i="1"/>
  <c r="M2120" i="1" s="1"/>
  <c r="L2248" i="1"/>
  <c r="M2248" i="1" s="1"/>
  <c r="L2256" i="1"/>
  <c r="M2256" i="1" s="1"/>
  <c r="L2368" i="1"/>
  <c r="M2368" i="1" s="1"/>
  <c r="L2376" i="1"/>
  <c r="M2376" i="1" s="1"/>
  <c r="L2520" i="1"/>
  <c r="M2520" i="1" s="1"/>
  <c r="L2528" i="1"/>
  <c r="M2528" i="1" s="1"/>
  <c r="L2656" i="1"/>
  <c r="M2656" i="1" s="1"/>
  <c r="L2664" i="1"/>
  <c r="M2664" i="1" s="1"/>
  <c r="L2776" i="1"/>
  <c r="M2776" i="1" s="1"/>
  <c r="L2784" i="1"/>
  <c r="M2784" i="1" s="1"/>
  <c r="L2928" i="1"/>
  <c r="M2928" i="1" s="1"/>
  <c r="L2936" i="1"/>
  <c r="M2936" i="1" s="1"/>
  <c r="L3064" i="1"/>
  <c r="M3064" i="1" s="1"/>
  <c r="L3072" i="1"/>
  <c r="M3072" i="1" s="1"/>
  <c r="L3208" i="1"/>
  <c r="M3208" i="1" s="1"/>
  <c r="L3216" i="1"/>
  <c r="M3216" i="1" s="1"/>
  <c r="L3344" i="1"/>
  <c r="M3344" i="1" s="1"/>
  <c r="L3352" i="1"/>
  <c r="M3352" i="1" s="1"/>
  <c r="L3480" i="1"/>
  <c r="M3480" i="1" s="1"/>
  <c r="L3488" i="1"/>
  <c r="M3488" i="1" s="1"/>
  <c r="L3616" i="1"/>
  <c r="M3616" i="1" s="1"/>
  <c r="L3624" i="1"/>
  <c r="M3624" i="1" s="1"/>
  <c r="L3752" i="1"/>
  <c r="M3752" i="1" s="1"/>
  <c r="L3760" i="1"/>
  <c r="M3760" i="1" s="1"/>
  <c r="L3856" i="1"/>
  <c r="M3856" i="1" s="1"/>
  <c r="L3992" i="1"/>
  <c r="M3992" i="1" s="1"/>
  <c r="L4000" i="1"/>
  <c r="M4000" i="1" s="1"/>
  <c r="L898" i="1"/>
  <c r="M898" i="1" s="1"/>
  <c r="L906" i="1"/>
  <c r="M906" i="1" s="1"/>
  <c r="L1034" i="1"/>
  <c r="M1034" i="1" s="1"/>
  <c r="L1042" i="1"/>
  <c r="M1042" i="1" s="1"/>
  <c r="L1170" i="1"/>
  <c r="M1170" i="1" s="1"/>
  <c r="L1178" i="1"/>
  <c r="M1178" i="1" s="1"/>
  <c r="L2661" i="1"/>
  <c r="M2661" i="1" s="1"/>
  <c r="L3757" i="1"/>
  <c r="M3757" i="1" s="1"/>
  <c r="L1303" i="1"/>
  <c r="M1303" i="1" s="1"/>
  <c r="L1311" i="1"/>
  <c r="M1311" i="1" s="1"/>
  <c r="L42" i="1"/>
  <c r="M42" i="1" s="1"/>
  <c r="L202" i="1"/>
  <c r="M202" i="1" s="1"/>
  <c r="L210" i="1"/>
  <c r="M210" i="1" s="1"/>
  <c r="L338" i="1"/>
  <c r="M338" i="1" s="1"/>
  <c r="L346" i="1"/>
  <c r="M346" i="1" s="1"/>
  <c r="L474" i="1"/>
  <c r="M474" i="1" s="1"/>
  <c r="L482" i="1"/>
  <c r="M482" i="1" s="1"/>
  <c r="L610" i="1"/>
  <c r="M610" i="1" s="1"/>
  <c r="L618" i="1"/>
  <c r="M618" i="1" s="1"/>
  <c r="L762" i="1"/>
  <c r="M762" i="1" s="1"/>
  <c r="L770" i="1"/>
  <c r="M770" i="1" s="1"/>
  <c r="L3213" i="1"/>
  <c r="M3213" i="1" s="1"/>
  <c r="L1307" i="1"/>
  <c r="M1307" i="1" s="1"/>
  <c r="L478" i="1"/>
  <c r="M478" i="1" s="1"/>
  <c r="L1837" i="1"/>
  <c r="M1837" i="1" s="1"/>
  <c r="L2933" i="1"/>
  <c r="M2933" i="1" s="1"/>
  <c r="L895" i="1"/>
  <c r="M895" i="1" s="1"/>
  <c r="L1031" i="1"/>
  <c r="M1031" i="1" s="1"/>
  <c r="L1167" i="1"/>
  <c r="M1167" i="1" s="1"/>
  <c r="L1304" i="1"/>
  <c r="M1304" i="1" s="1"/>
  <c r="L1312" i="1"/>
  <c r="M1312" i="1" s="1"/>
  <c r="L43" i="1"/>
  <c r="M43" i="1" s="1"/>
  <c r="L203" i="1"/>
  <c r="M203" i="1" s="1"/>
  <c r="L211" i="1"/>
  <c r="M211" i="1" s="1"/>
  <c r="L339" i="1"/>
  <c r="M339" i="1" s="1"/>
  <c r="L347" i="1"/>
  <c r="M347" i="1" s="1"/>
  <c r="L475" i="1"/>
  <c r="M475" i="1" s="1"/>
  <c r="L483" i="1"/>
  <c r="M483" i="1" s="1"/>
  <c r="L611" i="1"/>
  <c r="M611" i="1" s="1"/>
  <c r="L619" i="1"/>
  <c r="M619" i="1" s="1"/>
  <c r="L763" i="1"/>
  <c r="M763" i="1" s="1"/>
  <c r="L771" i="1"/>
  <c r="M771" i="1" s="1"/>
  <c r="L2117" i="1"/>
  <c r="M2117" i="1" s="1"/>
  <c r="L46" i="1"/>
  <c r="M46" i="1" s="1"/>
  <c r="L1845" i="1"/>
  <c r="M1845" i="1" s="1"/>
  <c r="L1973" i="1"/>
  <c r="M1973" i="1" s="1"/>
  <c r="L2365" i="1"/>
  <c r="M2365" i="1" s="1"/>
  <c r="L2941" i="1"/>
  <c r="M2941" i="1" s="1"/>
  <c r="L3069" i="1"/>
  <c r="M3069" i="1" s="1"/>
  <c r="L3853" i="1"/>
  <c r="M3853" i="1" s="1"/>
  <c r="L3989" i="1"/>
  <c r="M3989" i="1" s="1"/>
  <c r="L903" i="1"/>
  <c r="M903" i="1" s="1"/>
  <c r="L1039" i="1"/>
  <c r="M1039" i="1" s="1"/>
  <c r="L1175" i="1"/>
  <c r="M1175" i="1" s="1"/>
  <c r="L1305" i="1"/>
  <c r="M1305" i="1" s="1"/>
  <c r="L1313" i="1"/>
  <c r="M1313" i="1" s="1"/>
  <c r="L44" i="1"/>
  <c r="M44" i="1" s="1"/>
  <c r="L204" i="1"/>
  <c r="M204" i="1" s="1"/>
  <c r="L212" i="1"/>
  <c r="M212" i="1" s="1"/>
  <c r="L340" i="1"/>
  <c r="M340" i="1" s="1"/>
  <c r="L348" i="1"/>
  <c r="M348" i="1" s="1"/>
  <c r="L476" i="1"/>
  <c r="M476" i="1" s="1"/>
  <c r="L484" i="1"/>
  <c r="M484" i="1" s="1"/>
  <c r="L612" i="1"/>
  <c r="M612" i="1" s="1"/>
  <c r="L620" i="1"/>
  <c r="M620" i="1" s="1"/>
  <c r="L764" i="1"/>
  <c r="M764" i="1" s="1"/>
  <c r="L772" i="1"/>
  <c r="M772" i="1" s="1"/>
  <c r="L2245" i="1"/>
  <c r="M2245" i="1" s="1"/>
  <c r="L1315" i="1"/>
  <c r="M1315" i="1" s="1"/>
  <c r="L1981" i="1"/>
  <c r="M1981" i="1" s="1"/>
  <c r="L2109" i="1"/>
  <c r="M2109" i="1" s="1"/>
  <c r="L2373" i="1"/>
  <c r="M2373" i="1" s="1"/>
  <c r="L3077" i="1"/>
  <c r="M3077" i="1" s="1"/>
  <c r="L3205" i="1"/>
  <c r="M3205" i="1" s="1"/>
  <c r="L3997" i="1"/>
  <c r="M3997" i="1" s="1"/>
  <c r="L1306" i="1"/>
  <c r="M1306" i="1" s="1"/>
  <c r="L1314" i="1"/>
  <c r="M1314" i="1" s="1"/>
  <c r="L45" i="1"/>
  <c r="M45" i="1" s="1"/>
  <c r="L197" i="1"/>
  <c r="M197" i="1" s="1"/>
  <c r="L205" i="1"/>
  <c r="M205" i="1" s="1"/>
  <c r="L333" i="1"/>
  <c r="M333" i="1" s="1"/>
  <c r="L341" i="1"/>
  <c r="M341" i="1" s="1"/>
  <c r="L469" i="1"/>
  <c r="M469" i="1" s="1"/>
  <c r="L477" i="1"/>
  <c r="M477" i="1" s="1"/>
  <c r="L605" i="1"/>
  <c r="M605" i="1" s="1"/>
  <c r="L613" i="1"/>
  <c r="M613" i="1" s="1"/>
  <c r="L765" i="1"/>
  <c r="M765" i="1" s="1"/>
  <c r="L773" i="1"/>
  <c r="M773" i="1" s="1"/>
  <c r="L206" i="1"/>
  <c r="M206" i="1" s="1"/>
  <c r="L606" i="1"/>
  <c r="M606" i="1" s="1"/>
  <c r="L758" i="1"/>
  <c r="M758" i="1" s="1"/>
  <c r="L1422" i="1"/>
  <c r="M1422" i="1" s="1"/>
  <c r="L2253" i="1"/>
  <c r="M2253" i="1" s="1"/>
  <c r="L2773" i="1"/>
  <c r="M2773" i="1" s="1"/>
  <c r="L3349" i="1"/>
  <c r="M3349" i="1" s="1"/>
  <c r="L3477" i="1"/>
  <c r="M3477" i="1" s="1"/>
  <c r="L1308" i="1"/>
  <c r="M1308" i="1" s="1"/>
  <c r="L1316" i="1"/>
  <c r="M1316" i="1" s="1"/>
  <c r="L47" i="1"/>
  <c r="M47" i="1" s="1"/>
  <c r="L199" i="1"/>
  <c r="M199" i="1" s="1"/>
  <c r="L207" i="1"/>
  <c r="M207" i="1" s="1"/>
  <c r="L335" i="1"/>
  <c r="M335" i="1" s="1"/>
  <c r="L343" i="1"/>
  <c r="M343" i="1" s="1"/>
  <c r="L471" i="1"/>
  <c r="M471" i="1" s="1"/>
  <c r="L479" i="1"/>
  <c r="M479" i="1" s="1"/>
  <c r="L607" i="1"/>
  <c r="M607" i="1" s="1"/>
  <c r="L615" i="1"/>
  <c r="M615" i="1" s="1"/>
  <c r="L759" i="1"/>
  <c r="M759" i="1" s="1"/>
  <c r="L767" i="1"/>
  <c r="M767" i="1" s="1"/>
  <c r="L470" i="1"/>
  <c r="M470" i="1" s="1"/>
  <c r="L2517" i="1"/>
  <c r="M2517" i="1" s="1"/>
  <c r="L2781" i="1"/>
  <c r="M2781" i="1" s="1"/>
  <c r="L3485" i="1"/>
  <c r="M3485" i="1" s="1"/>
  <c r="L3613" i="1"/>
  <c r="M3613" i="1" s="1"/>
  <c r="L1309" i="1"/>
  <c r="M1309" i="1" s="1"/>
  <c r="L1317" i="1"/>
  <c r="M1317" i="1" s="1"/>
  <c r="L40" i="1"/>
  <c r="M40" i="1" s="1"/>
  <c r="L48" i="1"/>
  <c r="M48" i="1" s="1"/>
  <c r="L200" i="1"/>
  <c r="M200" i="1" s="1"/>
  <c r="L208" i="1"/>
  <c r="M208" i="1" s="1"/>
  <c r="L336" i="1"/>
  <c r="M336" i="1" s="1"/>
  <c r="L344" i="1"/>
  <c r="M344" i="1" s="1"/>
  <c r="L472" i="1"/>
  <c r="M472" i="1" s="1"/>
  <c r="L480" i="1"/>
  <c r="M480" i="1" s="1"/>
  <c r="L608" i="1"/>
  <c r="M608" i="1" s="1"/>
  <c r="L616" i="1"/>
  <c r="M616" i="1" s="1"/>
  <c r="L760" i="1"/>
  <c r="M760" i="1" s="1"/>
  <c r="L768" i="1"/>
  <c r="M768" i="1" s="1"/>
  <c r="L3341" i="1"/>
  <c r="M3341" i="1" s="1"/>
  <c r="L334" i="1"/>
  <c r="M334" i="1" s="1"/>
  <c r="L614" i="1"/>
  <c r="M614" i="1" s="1"/>
  <c r="L766" i="1"/>
  <c r="M766" i="1" s="1"/>
  <c r="L2525" i="1"/>
  <c r="M2525" i="1" s="1"/>
  <c r="L2653" i="1"/>
  <c r="M2653" i="1" s="1"/>
  <c r="L3621" i="1"/>
  <c r="M3621" i="1" s="1"/>
  <c r="L3749" i="1"/>
  <c r="M3749" i="1" s="1"/>
  <c r="L1302" i="1"/>
  <c r="M1302" i="1" s="1"/>
  <c r="L1310" i="1"/>
  <c r="M1310" i="1" s="1"/>
  <c r="L41" i="1"/>
  <c r="M41" i="1" s="1"/>
  <c r="L49" i="1"/>
  <c r="M49" i="1" s="1"/>
  <c r="L201" i="1"/>
  <c r="M201" i="1" s="1"/>
  <c r="L209" i="1"/>
  <c r="M209" i="1" s="1"/>
  <c r="L337" i="1"/>
  <c r="M337" i="1" s="1"/>
  <c r="L345" i="1"/>
  <c r="M345" i="1" s="1"/>
  <c r="L473" i="1"/>
  <c r="M473" i="1" s="1"/>
  <c r="L481" i="1"/>
  <c r="M481" i="1" s="1"/>
  <c r="L609" i="1"/>
  <c r="M609" i="1" s="1"/>
  <c r="L617" i="1"/>
  <c r="M617" i="1" s="1"/>
  <c r="L761" i="1"/>
  <c r="M761" i="1" s="1"/>
  <c r="L769" i="1"/>
  <c r="M769" i="1" s="1"/>
  <c r="L198" i="1"/>
  <c r="M198" i="1" s="1"/>
  <c r="L342" i="1"/>
  <c r="M342" i="1" s="1"/>
  <c r="M35" i="40"/>
  <c r="M62" i="40" s="1"/>
  <c r="B1" i="33"/>
  <c r="L10472" i="1"/>
  <c r="M10472" i="1" s="1"/>
  <c r="L10465" i="1"/>
  <c r="M10465" i="1" s="1"/>
  <c r="L10466" i="1"/>
  <c r="M10466" i="1" s="1"/>
  <c r="L10467" i="1"/>
  <c r="M10467" i="1" s="1"/>
  <c r="L10475" i="1"/>
  <c r="M10475" i="1" s="1"/>
  <c r="L10477" i="1"/>
  <c r="M10477" i="1" s="1"/>
  <c r="L10468" i="1"/>
  <c r="M10468" i="1" s="1"/>
  <c r="L10476" i="1"/>
  <c r="M10476" i="1" s="1"/>
  <c r="L10478" i="1"/>
  <c r="M10478" i="1" s="1"/>
  <c r="L10469" i="1"/>
  <c r="M10469" i="1" s="1"/>
  <c r="L10470" i="1"/>
  <c r="M10470" i="1" s="1"/>
  <c r="L10471" i="1"/>
  <c r="M10471" i="1" s="1"/>
  <c r="L10479" i="1"/>
  <c r="M10479" i="1" s="1"/>
  <c r="L10480" i="1"/>
  <c r="M10480" i="1" s="1"/>
  <c r="L10473" i="1"/>
  <c r="M10473" i="1" s="1"/>
  <c r="L10474" i="1"/>
  <c r="M10474" i="1" s="1"/>
  <c r="L14431" i="1"/>
  <c r="M14431" i="1" s="1"/>
  <c r="L14439" i="1"/>
  <c r="M14439" i="1" s="1"/>
  <c r="L14567" i="1"/>
  <c r="M14567" i="1" s="1"/>
  <c r="L14575" i="1"/>
  <c r="M14575" i="1" s="1"/>
  <c r="L14703" i="1"/>
  <c r="M14703" i="1" s="1"/>
  <c r="L14711" i="1"/>
  <c r="M14711" i="1" s="1"/>
  <c r="L14839" i="1"/>
  <c r="M14839" i="1" s="1"/>
  <c r="L14847" i="1"/>
  <c r="M14847" i="1" s="1"/>
  <c r="L5178" i="1"/>
  <c r="M5178" i="1" s="1"/>
  <c r="L5186" i="1"/>
  <c r="M5186" i="1" s="1"/>
  <c r="L14432" i="1"/>
  <c r="M14432" i="1" s="1"/>
  <c r="L14440" i="1"/>
  <c r="M14440" i="1" s="1"/>
  <c r="L14568" i="1"/>
  <c r="M14568" i="1" s="1"/>
  <c r="L14576" i="1"/>
  <c r="M14576" i="1" s="1"/>
  <c r="L14704" i="1"/>
  <c r="M14704" i="1" s="1"/>
  <c r="L14712" i="1"/>
  <c r="M14712" i="1" s="1"/>
  <c r="L14840" i="1"/>
  <c r="M14840" i="1" s="1"/>
  <c r="L14848" i="1"/>
  <c r="M14848" i="1" s="1"/>
  <c r="L5179" i="1"/>
  <c r="M5179" i="1" s="1"/>
  <c r="L5187" i="1"/>
  <c r="M5187" i="1" s="1"/>
  <c r="L14433" i="1"/>
  <c r="M14433" i="1" s="1"/>
  <c r="L14441" i="1"/>
  <c r="M14441" i="1" s="1"/>
  <c r="L14569" i="1"/>
  <c r="M14569" i="1" s="1"/>
  <c r="L14577" i="1"/>
  <c r="M14577" i="1" s="1"/>
  <c r="L14705" i="1"/>
  <c r="M14705" i="1" s="1"/>
  <c r="L14713" i="1"/>
  <c r="M14713" i="1" s="1"/>
  <c r="L14841" i="1"/>
  <c r="M14841" i="1" s="1"/>
  <c r="L14849" i="1"/>
  <c r="M14849" i="1" s="1"/>
  <c r="L5180" i="1"/>
  <c r="M5180" i="1" s="1"/>
  <c r="L5188" i="1"/>
  <c r="M5188" i="1" s="1"/>
  <c r="L14426" i="1"/>
  <c r="M14426" i="1" s="1"/>
  <c r="L14434" i="1"/>
  <c r="M14434" i="1" s="1"/>
  <c r="L14562" i="1"/>
  <c r="M14562" i="1" s="1"/>
  <c r="L14570" i="1"/>
  <c r="M14570" i="1" s="1"/>
  <c r="L14698" i="1"/>
  <c r="M14698" i="1" s="1"/>
  <c r="L14706" i="1"/>
  <c r="M14706" i="1" s="1"/>
  <c r="L14834" i="1"/>
  <c r="M14834" i="1" s="1"/>
  <c r="L14842" i="1"/>
  <c r="M14842" i="1" s="1"/>
  <c r="L5181" i="1"/>
  <c r="M5181" i="1" s="1"/>
  <c r="L5189" i="1"/>
  <c r="M5189" i="1" s="1"/>
  <c r="L14427" i="1"/>
  <c r="M14427" i="1" s="1"/>
  <c r="L14435" i="1"/>
  <c r="M14435" i="1" s="1"/>
  <c r="L14563" i="1"/>
  <c r="M14563" i="1" s="1"/>
  <c r="L14571" i="1"/>
  <c r="M14571" i="1" s="1"/>
  <c r="L14699" i="1"/>
  <c r="M14699" i="1" s="1"/>
  <c r="L14707" i="1"/>
  <c r="M14707" i="1" s="1"/>
  <c r="L14835" i="1"/>
  <c r="M14835" i="1" s="1"/>
  <c r="L14843" i="1"/>
  <c r="M14843" i="1" s="1"/>
  <c r="L5182" i="1"/>
  <c r="M5182" i="1" s="1"/>
  <c r="L5190" i="1"/>
  <c r="M5190" i="1" s="1"/>
  <c r="L14428" i="1"/>
  <c r="M14428" i="1" s="1"/>
  <c r="L14436" i="1"/>
  <c r="M14436" i="1" s="1"/>
  <c r="L14564" i="1"/>
  <c r="M14564" i="1" s="1"/>
  <c r="L14572" i="1"/>
  <c r="M14572" i="1" s="1"/>
  <c r="L14700" i="1"/>
  <c r="M14700" i="1" s="1"/>
  <c r="L14708" i="1"/>
  <c r="M14708" i="1" s="1"/>
  <c r="L14836" i="1"/>
  <c r="M14836" i="1" s="1"/>
  <c r="L14844" i="1"/>
  <c r="M14844" i="1" s="1"/>
  <c r="L5183" i="1"/>
  <c r="M5183" i="1" s="1"/>
  <c r="L5191" i="1"/>
  <c r="M5191" i="1" s="1"/>
  <c r="L14429" i="1"/>
  <c r="M14429" i="1" s="1"/>
  <c r="L14437" i="1"/>
  <c r="M14437" i="1" s="1"/>
  <c r="L14565" i="1"/>
  <c r="M14565" i="1" s="1"/>
  <c r="L14573" i="1"/>
  <c r="M14573" i="1" s="1"/>
  <c r="L14701" i="1"/>
  <c r="M14701" i="1" s="1"/>
  <c r="L14709" i="1"/>
  <c r="M14709" i="1" s="1"/>
  <c r="L14837" i="1"/>
  <c r="M14837" i="1" s="1"/>
  <c r="L14845" i="1"/>
  <c r="M14845" i="1" s="1"/>
  <c r="L5184" i="1"/>
  <c r="M5184" i="1" s="1"/>
  <c r="L5192" i="1"/>
  <c r="M5192" i="1" s="1"/>
  <c r="L14430" i="1"/>
  <c r="M14430" i="1" s="1"/>
  <c r="L14438" i="1"/>
  <c r="M14438" i="1" s="1"/>
  <c r="L14566" i="1"/>
  <c r="M14566" i="1" s="1"/>
  <c r="L14574" i="1"/>
  <c r="M14574" i="1" s="1"/>
  <c r="L14702" i="1"/>
  <c r="M14702" i="1" s="1"/>
  <c r="L14710" i="1"/>
  <c r="M14710" i="1" s="1"/>
  <c r="L14838" i="1"/>
  <c r="M14838" i="1" s="1"/>
  <c r="L14846" i="1"/>
  <c r="M14846" i="1" s="1"/>
  <c r="L5185" i="1"/>
  <c r="M5185" i="1" s="1"/>
  <c r="L5193" i="1"/>
  <c r="M5193" i="1" s="1"/>
  <c r="L5315" i="1"/>
  <c r="M5315" i="1" s="1"/>
  <c r="L5323" i="1"/>
  <c r="M5323" i="1" s="1"/>
  <c r="L5451" i="1"/>
  <c r="M5451" i="1" s="1"/>
  <c r="L5459" i="1"/>
  <c r="M5459" i="1" s="1"/>
  <c r="L5587" i="1"/>
  <c r="M5587" i="1" s="1"/>
  <c r="L5595" i="1"/>
  <c r="M5595" i="1" s="1"/>
  <c r="L5723" i="1"/>
  <c r="M5723" i="1" s="1"/>
  <c r="L5731" i="1"/>
  <c r="M5731" i="1" s="1"/>
  <c r="L5859" i="1"/>
  <c r="M5859" i="1" s="1"/>
  <c r="L5867" i="1"/>
  <c r="M5867" i="1" s="1"/>
  <c r="L5316" i="1"/>
  <c r="M5316" i="1" s="1"/>
  <c r="L5324" i="1"/>
  <c r="M5324" i="1" s="1"/>
  <c r="L5452" i="1"/>
  <c r="M5452" i="1" s="1"/>
  <c r="L5460" i="1"/>
  <c r="M5460" i="1" s="1"/>
  <c r="L5588" i="1"/>
  <c r="M5588" i="1" s="1"/>
  <c r="L5596" i="1"/>
  <c r="M5596" i="1" s="1"/>
  <c r="L5724" i="1"/>
  <c r="M5724" i="1" s="1"/>
  <c r="L5732" i="1"/>
  <c r="M5732" i="1" s="1"/>
  <c r="L5860" i="1"/>
  <c r="M5860" i="1" s="1"/>
  <c r="L5317" i="1"/>
  <c r="M5317" i="1" s="1"/>
  <c r="L5325" i="1"/>
  <c r="M5325" i="1" s="1"/>
  <c r="L5453" i="1"/>
  <c r="M5453" i="1" s="1"/>
  <c r="L5461" i="1"/>
  <c r="M5461" i="1" s="1"/>
  <c r="L5589" i="1"/>
  <c r="M5589" i="1" s="1"/>
  <c r="L5597" i="1"/>
  <c r="M5597" i="1" s="1"/>
  <c r="L5725" i="1"/>
  <c r="M5725" i="1" s="1"/>
  <c r="L5733" i="1"/>
  <c r="M5733" i="1" s="1"/>
  <c r="L5861" i="1"/>
  <c r="M5861" i="1" s="1"/>
  <c r="L5869" i="1"/>
  <c r="M5869" i="1" s="1"/>
  <c r="L5318" i="1"/>
  <c r="M5318" i="1" s="1"/>
  <c r="L5326" i="1"/>
  <c r="M5326" i="1" s="1"/>
  <c r="L5454" i="1"/>
  <c r="M5454" i="1" s="1"/>
  <c r="L5462" i="1"/>
  <c r="M5462" i="1" s="1"/>
  <c r="L5590" i="1"/>
  <c r="M5590" i="1" s="1"/>
  <c r="L5598" i="1"/>
  <c r="M5598" i="1" s="1"/>
  <c r="L5726" i="1"/>
  <c r="M5726" i="1" s="1"/>
  <c r="L5734" i="1"/>
  <c r="M5734" i="1" s="1"/>
  <c r="L5862" i="1"/>
  <c r="M5862" i="1" s="1"/>
  <c r="L5870" i="1"/>
  <c r="M5870" i="1" s="1"/>
  <c r="L5319" i="1"/>
  <c r="M5319" i="1" s="1"/>
  <c r="L5327" i="1"/>
  <c r="M5327" i="1" s="1"/>
  <c r="L5455" i="1"/>
  <c r="M5455" i="1" s="1"/>
  <c r="L5463" i="1"/>
  <c r="M5463" i="1" s="1"/>
  <c r="L5591" i="1"/>
  <c r="M5591" i="1" s="1"/>
  <c r="L5599" i="1"/>
  <c r="M5599" i="1" s="1"/>
  <c r="L5727" i="1"/>
  <c r="M5727" i="1" s="1"/>
  <c r="L5735" i="1"/>
  <c r="M5735" i="1" s="1"/>
  <c r="L5863" i="1"/>
  <c r="M5863" i="1" s="1"/>
  <c r="L5871" i="1"/>
  <c r="M5871" i="1" s="1"/>
  <c r="L5320" i="1"/>
  <c r="M5320" i="1" s="1"/>
  <c r="L5328" i="1"/>
  <c r="M5328" i="1" s="1"/>
  <c r="L5456" i="1"/>
  <c r="M5456" i="1" s="1"/>
  <c r="L5464" i="1"/>
  <c r="M5464" i="1" s="1"/>
  <c r="L5592" i="1"/>
  <c r="M5592" i="1" s="1"/>
  <c r="L5600" i="1"/>
  <c r="M5600" i="1" s="1"/>
  <c r="L5728" i="1"/>
  <c r="M5728" i="1" s="1"/>
  <c r="L5736" i="1"/>
  <c r="M5736" i="1" s="1"/>
  <c r="L5321" i="1"/>
  <c r="M5321" i="1" s="1"/>
  <c r="L5329" i="1"/>
  <c r="M5329" i="1" s="1"/>
  <c r="L5457" i="1"/>
  <c r="M5457" i="1" s="1"/>
  <c r="L5465" i="1"/>
  <c r="M5465" i="1" s="1"/>
  <c r="L5593" i="1"/>
  <c r="M5593" i="1" s="1"/>
  <c r="L5601" i="1"/>
  <c r="M5601" i="1" s="1"/>
  <c r="L5729" i="1"/>
  <c r="M5729" i="1" s="1"/>
  <c r="L5737" i="1"/>
  <c r="M5737" i="1" s="1"/>
  <c r="L5865" i="1"/>
  <c r="M5865" i="1" s="1"/>
  <c r="L5873" i="1"/>
  <c r="M5873" i="1" s="1"/>
  <c r="L5314" i="1"/>
  <c r="M5314" i="1" s="1"/>
  <c r="L5322" i="1"/>
  <c r="M5322" i="1" s="1"/>
  <c r="L5450" i="1"/>
  <c r="M5450" i="1" s="1"/>
  <c r="L5458" i="1"/>
  <c r="M5458" i="1" s="1"/>
  <c r="L5586" i="1"/>
  <c r="M5586" i="1" s="1"/>
  <c r="L5594" i="1"/>
  <c r="M5594" i="1" s="1"/>
  <c r="L5722" i="1"/>
  <c r="M5722" i="1" s="1"/>
  <c r="L5730" i="1"/>
  <c r="M5730" i="1" s="1"/>
  <c r="L5858" i="1"/>
  <c r="M5858" i="1" s="1"/>
  <c r="L5866" i="1"/>
  <c r="M5866" i="1" s="1"/>
  <c r="L5994" i="1"/>
  <c r="M5994" i="1" s="1"/>
  <c r="L5997" i="1"/>
  <c r="M5997" i="1" s="1"/>
  <c r="L6005" i="1"/>
  <c r="M6005" i="1" s="1"/>
  <c r="L6133" i="1"/>
  <c r="M6133" i="1" s="1"/>
  <c r="L6141" i="1"/>
  <c r="M6141" i="1" s="1"/>
  <c r="L6269" i="1"/>
  <c r="M6269" i="1" s="1"/>
  <c r="L6277" i="1"/>
  <c r="M6277" i="1" s="1"/>
  <c r="L6405" i="1"/>
  <c r="M6405" i="1" s="1"/>
  <c r="L6413" i="1"/>
  <c r="M6413" i="1" s="1"/>
  <c r="L5998" i="1"/>
  <c r="M5998" i="1" s="1"/>
  <c r="L6006" i="1"/>
  <c r="M6006" i="1" s="1"/>
  <c r="L6134" i="1"/>
  <c r="M6134" i="1" s="1"/>
  <c r="L6142" i="1"/>
  <c r="M6142" i="1" s="1"/>
  <c r="L6270" i="1"/>
  <c r="M6270" i="1" s="1"/>
  <c r="L6278" i="1"/>
  <c r="M6278" i="1" s="1"/>
  <c r="L6406" i="1"/>
  <c r="M6406" i="1" s="1"/>
  <c r="L6414" i="1"/>
  <c r="M6414" i="1" s="1"/>
  <c r="L5999" i="1"/>
  <c r="M5999" i="1" s="1"/>
  <c r="L6007" i="1"/>
  <c r="M6007" i="1" s="1"/>
  <c r="L6135" i="1"/>
  <c r="M6135" i="1" s="1"/>
  <c r="L6143" i="1"/>
  <c r="M6143" i="1" s="1"/>
  <c r="L6271" i="1"/>
  <c r="M6271" i="1" s="1"/>
  <c r="L6279" i="1"/>
  <c r="M6279" i="1" s="1"/>
  <c r="L6407" i="1"/>
  <c r="M6407" i="1" s="1"/>
  <c r="L6415" i="1"/>
  <c r="M6415" i="1" s="1"/>
  <c r="L5864" i="1"/>
  <c r="M5864" i="1" s="1"/>
  <c r="L6000" i="1"/>
  <c r="M6000" i="1" s="1"/>
  <c r="L6008" i="1"/>
  <c r="M6008" i="1" s="1"/>
  <c r="L6136" i="1"/>
  <c r="M6136" i="1" s="1"/>
  <c r="L6144" i="1"/>
  <c r="M6144" i="1" s="1"/>
  <c r="L6272" i="1"/>
  <c r="M6272" i="1" s="1"/>
  <c r="L6280" i="1"/>
  <c r="M6280" i="1" s="1"/>
  <c r="L6408" i="1"/>
  <c r="M6408" i="1" s="1"/>
  <c r="L6416" i="1"/>
  <c r="M6416" i="1" s="1"/>
  <c r="L6544" i="1"/>
  <c r="M6544" i="1" s="1"/>
  <c r="L6552" i="1"/>
  <c r="M6552" i="1" s="1"/>
  <c r="L5868" i="1"/>
  <c r="M5868" i="1" s="1"/>
  <c r="L6001" i="1"/>
  <c r="M6001" i="1" s="1"/>
  <c r="L6009" i="1"/>
  <c r="M6009" i="1" s="1"/>
  <c r="L6137" i="1"/>
  <c r="M6137" i="1" s="1"/>
  <c r="L6145" i="1"/>
  <c r="M6145" i="1" s="1"/>
  <c r="L6273" i="1"/>
  <c r="M6273" i="1" s="1"/>
  <c r="L6281" i="1"/>
  <c r="M6281" i="1" s="1"/>
  <c r="L6409" i="1"/>
  <c r="M6409" i="1" s="1"/>
  <c r="L6417" i="1"/>
  <c r="M6417" i="1" s="1"/>
  <c r="L5872" i="1"/>
  <c r="M5872" i="1" s="1"/>
  <c r="L6002" i="1"/>
  <c r="M6002" i="1" s="1"/>
  <c r="L6130" i="1"/>
  <c r="M6130" i="1" s="1"/>
  <c r="L6138" i="1"/>
  <c r="M6138" i="1" s="1"/>
  <c r="L6266" i="1"/>
  <c r="M6266" i="1" s="1"/>
  <c r="L6274" i="1"/>
  <c r="M6274" i="1" s="1"/>
  <c r="L6402" i="1"/>
  <c r="M6402" i="1" s="1"/>
  <c r="L6410" i="1"/>
  <c r="M6410" i="1" s="1"/>
  <c r="L5995" i="1"/>
  <c r="M5995" i="1" s="1"/>
  <c r="L6003" i="1"/>
  <c r="M6003" i="1" s="1"/>
  <c r="L6131" i="1"/>
  <c r="M6131" i="1" s="1"/>
  <c r="L6139" i="1"/>
  <c r="M6139" i="1" s="1"/>
  <c r="L6267" i="1"/>
  <c r="M6267" i="1" s="1"/>
  <c r="L6275" i="1"/>
  <c r="M6275" i="1" s="1"/>
  <c r="L6403" i="1"/>
  <c r="M6403" i="1" s="1"/>
  <c r="L6411" i="1"/>
  <c r="M6411" i="1" s="1"/>
  <c r="L5996" i="1"/>
  <c r="M5996" i="1" s="1"/>
  <c r="L6004" i="1"/>
  <c r="M6004" i="1" s="1"/>
  <c r="L6132" i="1"/>
  <c r="M6132" i="1" s="1"/>
  <c r="L6140" i="1"/>
  <c r="M6140" i="1" s="1"/>
  <c r="L6268" i="1"/>
  <c r="M6268" i="1" s="1"/>
  <c r="L6276" i="1"/>
  <c r="M6276" i="1" s="1"/>
  <c r="L6404" i="1"/>
  <c r="M6404" i="1" s="1"/>
  <c r="L6412" i="1"/>
  <c r="M6412" i="1" s="1"/>
  <c r="L6540" i="1"/>
  <c r="M6540" i="1" s="1"/>
  <c r="L6548" i="1"/>
  <c r="M6548" i="1" s="1"/>
  <c r="L6538" i="1"/>
  <c r="M6538" i="1" s="1"/>
  <c r="L6549" i="1"/>
  <c r="M6549" i="1" s="1"/>
  <c r="L6681" i="1"/>
  <c r="M6681" i="1" s="1"/>
  <c r="L6689" i="1"/>
  <c r="M6689" i="1" s="1"/>
  <c r="L6817" i="1"/>
  <c r="M6817" i="1" s="1"/>
  <c r="L6825" i="1"/>
  <c r="M6825" i="1" s="1"/>
  <c r="L6953" i="1"/>
  <c r="M6953" i="1" s="1"/>
  <c r="L6961" i="1"/>
  <c r="M6961" i="1" s="1"/>
  <c r="L7089" i="1"/>
  <c r="M7089" i="1" s="1"/>
  <c r="L7097" i="1"/>
  <c r="M7097" i="1" s="1"/>
  <c r="L7225" i="1"/>
  <c r="M7225" i="1" s="1"/>
  <c r="L7233" i="1"/>
  <c r="M7233" i="1" s="1"/>
  <c r="L6539" i="1"/>
  <c r="M6539" i="1" s="1"/>
  <c r="L6550" i="1"/>
  <c r="M6550" i="1" s="1"/>
  <c r="L6674" i="1"/>
  <c r="M6674" i="1" s="1"/>
  <c r="L6682" i="1"/>
  <c r="M6682" i="1" s="1"/>
  <c r="L6810" i="1"/>
  <c r="M6810" i="1" s="1"/>
  <c r="L6818" i="1"/>
  <c r="M6818" i="1" s="1"/>
  <c r="L6946" i="1"/>
  <c r="M6946" i="1" s="1"/>
  <c r="L6954" i="1"/>
  <c r="M6954" i="1" s="1"/>
  <c r="L6541" i="1"/>
  <c r="M6541" i="1" s="1"/>
  <c r="L6551" i="1"/>
  <c r="M6551" i="1" s="1"/>
  <c r="L6675" i="1"/>
  <c r="M6675" i="1" s="1"/>
  <c r="L6683" i="1"/>
  <c r="M6683" i="1" s="1"/>
  <c r="L6542" i="1"/>
  <c r="M6542" i="1" s="1"/>
  <c r="L6553" i="1"/>
  <c r="M6553" i="1" s="1"/>
  <c r="L6676" i="1"/>
  <c r="M6676" i="1" s="1"/>
  <c r="L6684" i="1"/>
  <c r="M6684" i="1" s="1"/>
  <c r="L6812" i="1"/>
  <c r="M6812" i="1" s="1"/>
  <c r="L6820" i="1"/>
  <c r="M6820" i="1" s="1"/>
  <c r="L6948" i="1"/>
  <c r="M6948" i="1" s="1"/>
  <c r="L6956" i="1"/>
  <c r="M6956" i="1" s="1"/>
  <c r="L7084" i="1"/>
  <c r="M7084" i="1" s="1"/>
  <c r="L7092" i="1"/>
  <c r="M7092" i="1" s="1"/>
  <c r="L7220" i="1"/>
  <c r="M7220" i="1" s="1"/>
  <c r="L7228" i="1"/>
  <c r="M7228" i="1" s="1"/>
  <c r="L6543" i="1"/>
  <c r="M6543" i="1" s="1"/>
  <c r="L6677" i="1"/>
  <c r="M6677" i="1" s="1"/>
  <c r="L6685" i="1"/>
  <c r="M6685" i="1" s="1"/>
  <c r="L6813" i="1"/>
  <c r="M6813" i="1" s="1"/>
  <c r="L6821" i="1"/>
  <c r="M6821" i="1" s="1"/>
  <c r="L6949" i="1"/>
  <c r="M6949" i="1" s="1"/>
  <c r="L6957" i="1"/>
  <c r="M6957" i="1" s="1"/>
  <c r="L7085" i="1"/>
  <c r="M7085" i="1" s="1"/>
  <c r="L7093" i="1"/>
  <c r="M7093" i="1" s="1"/>
  <c r="L7221" i="1"/>
  <c r="M7221" i="1" s="1"/>
  <c r="L7229" i="1"/>
  <c r="M7229" i="1" s="1"/>
  <c r="L6545" i="1"/>
  <c r="M6545" i="1" s="1"/>
  <c r="L6678" i="1"/>
  <c r="M6678" i="1" s="1"/>
  <c r="L6686" i="1"/>
  <c r="M6686" i="1" s="1"/>
  <c r="L6814" i="1"/>
  <c r="M6814" i="1" s="1"/>
  <c r="L6822" i="1"/>
  <c r="M6822" i="1" s="1"/>
  <c r="L6950" i="1"/>
  <c r="M6950" i="1" s="1"/>
  <c r="L6958" i="1"/>
  <c r="M6958" i="1" s="1"/>
  <c r="L7086" i="1"/>
  <c r="M7086" i="1" s="1"/>
  <c r="L7094" i="1"/>
  <c r="M7094" i="1" s="1"/>
  <c r="L6546" i="1"/>
  <c r="M6546" i="1" s="1"/>
  <c r="L6679" i="1"/>
  <c r="M6679" i="1" s="1"/>
  <c r="L6687" i="1"/>
  <c r="M6687" i="1" s="1"/>
  <c r="L6815" i="1"/>
  <c r="M6815" i="1" s="1"/>
  <c r="L6823" i="1"/>
  <c r="M6823" i="1" s="1"/>
  <c r="L6951" i="1"/>
  <c r="M6951" i="1" s="1"/>
  <c r="L6959" i="1"/>
  <c r="M6959" i="1" s="1"/>
  <c r="L6547" i="1"/>
  <c r="M6547" i="1" s="1"/>
  <c r="L6680" i="1"/>
  <c r="M6680" i="1" s="1"/>
  <c r="L6688" i="1"/>
  <c r="M6688" i="1" s="1"/>
  <c r="L6816" i="1"/>
  <c r="M6816" i="1" s="1"/>
  <c r="L6824" i="1"/>
  <c r="M6824" i="1" s="1"/>
  <c r="L6952" i="1"/>
  <c r="M6952" i="1" s="1"/>
  <c r="L6960" i="1"/>
  <c r="M6960" i="1" s="1"/>
  <c r="L7088" i="1"/>
  <c r="M7088" i="1" s="1"/>
  <c r="L7096" i="1"/>
  <c r="M7096" i="1" s="1"/>
  <c r="L7224" i="1"/>
  <c r="M7224" i="1" s="1"/>
  <c r="L7232" i="1"/>
  <c r="M7232" i="1" s="1"/>
  <c r="L7087" i="1"/>
  <c r="M7087" i="1" s="1"/>
  <c r="L7227" i="1"/>
  <c r="M7227" i="1" s="1"/>
  <c r="L7356" i="1"/>
  <c r="M7356" i="1" s="1"/>
  <c r="L7364" i="1"/>
  <c r="M7364" i="1" s="1"/>
  <c r="L7492" i="1"/>
  <c r="M7492" i="1" s="1"/>
  <c r="L7500" i="1"/>
  <c r="M7500" i="1" s="1"/>
  <c r="L7628" i="1"/>
  <c r="M7628" i="1" s="1"/>
  <c r="L7636" i="1"/>
  <c r="M7636" i="1" s="1"/>
  <c r="L7764" i="1"/>
  <c r="M7764" i="1" s="1"/>
  <c r="L7772" i="1"/>
  <c r="M7772" i="1" s="1"/>
  <c r="L7090" i="1"/>
  <c r="M7090" i="1" s="1"/>
  <c r="L7230" i="1"/>
  <c r="M7230" i="1" s="1"/>
  <c r="L7357" i="1"/>
  <c r="M7357" i="1" s="1"/>
  <c r="L7365" i="1"/>
  <c r="M7365" i="1" s="1"/>
  <c r="L7493" i="1"/>
  <c r="M7493" i="1" s="1"/>
  <c r="L7501" i="1"/>
  <c r="M7501" i="1" s="1"/>
  <c r="L7629" i="1"/>
  <c r="M7629" i="1" s="1"/>
  <c r="L7637" i="1"/>
  <c r="M7637" i="1" s="1"/>
  <c r="L7765" i="1"/>
  <c r="M7765" i="1" s="1"/>
  <c r="L7773" i="1"/>
  <c r="M7773" i="1" s="1"/>
  <c r="L7091" i="1"/>
  <c r="M7091" i="1" s="1"/>
  <c r="L7231" i="1"/>
  <c r="M7231" i="1" s="1"/>
  <c r="L7358" i="1"/>
  <c r="M7358" i="1" s="1"/>
  <c r="L7366" i="1"/>
  <c r="M7366" i="1" s="1"/>
  <c r="L7494" i="1"/>
  <c r="M7494" i="1" s="1"/>
  <c r="L7502" i="1"/>
  <c r="M7502" i="1" s="1"/>
  <c r="L7630" i="1"/>
  <c r="M7630" i="1" s="1"/>
  <c r="L7638" i="1"/>
  <c r="M7638" i="1" s="1"/>
  <c r="L7766" i="1"/>
  <c r="M7766" i="1" s="1"/>
  <c r="L7774" i="1"/>
  <c r="M7774" i="1" s="1"/>
  <c r="L7095" i="1"/>
  <c r="M7095" i="1" s="1"/>
  <c r="L7218" i="1"/>
  <c r="M7218" i="1" s="1"/>
  <c r="L7359" i="1"/>
  <c r="M7359" i="1" s="1"/>
  <c r="L7367" i="1"/>
  <c r="M7367" i="1" s="1"/>
  <c r="L7495" i="1"/>
  <c r="M7495" i="1" s="1"/>
  <c r="L7503" i="1"/>
  <c r="M7503" i="1" s="1"/>
  <c r="L7631" i="1"/>
  <c r="M7631" i="1" s="1"/>
  <c r="L7639" i="1"/>
  <c r="M7639" i="1" s="1"/>
  <c r="L7767" i="1"/>
  <c r="M7767" i="1" s="1"/>
  <c r="L7775" i="1"/>
  <c r="M7775" i="1" s="1"/>
  <c r="L7903" i="1"/>
  <c r="M7903" i="1" s="1"/>
  <c r="L7911" i="1"/>
  <c r="M7911" i="1" s="1"/>
  <c r="L7219" i="1"/>
  <c r="M7219" i="1" s="1"/>
  <c r="L7360" i="1"/>
  <c r="M7360" i="1" s="1"/>
  <c r="L7368" i="1"/>
  <c r="M7368" i="1" s="1"/>
  <c r="L7496" i="1"/>
  <c r="M7496" i="1" s="1"/>
  <c r="L7504" i="1"/>
  <c r="M7504" i="1" s="1"/>
  <c r="L7632" i="1"/>
  <c r="M7632" i="1" s="1"/>
  <c r="L7640" i="1"/>
  <c r="M7640" i="1" s="1"/>
  <c r="L7768" i="1"/>
  <c r="M7768" i="1" s="1"/>
  <c r="L7776" i="1"/>
  <c r="M7776" i="1" s="1"/>
  <c r="L6811" i="1"/>
  <c r="M6811" i="1" s="1"/>
  <c r="L6947" i="1"/>
  <c r="M6947" i="1" s="1"/>
  <c r="L7222" i="1"/>
  <c r="M7222" i="1" s="1"/>
  <c r="L7361" i="1"/>
  <c r="M7361" i="1" s="1"/>
  <c r="L7369" i="1"/>
  <c r="M7369" i="1" s="1"/>
  <c r="L7497" i="1"/>
  <c r="M7497" i="1" s="1"/>
  <c r="L7505" i="1"/>
  <c r="M7505" i="1" s="1"/>
  <c r="L7633" i="1"/>
  <c r="M7633" i="1" s="1"/>
  <c r="L7641" i="1"/>
  <c r="M7641" i="1" s="1"/>
  <c r="L7769" i="1"/>
  <c r="M7769" i="1" s="1"/>
  <c r="L7777" i="1"/>
  <c r="M7777" i="1" s="1"/>
  <c r="L6819" i="1"/>
  <c r="M6819" i="1" s="1"/>
  <c r="L6955" i="1"/>
  <c r="M6955" i="1" s="1"/>
  <c r="L7082" i="1"/>
  <c r="M7082" i="1" s="1"/>
  <c r="L7223" i="1"/>
  <c r="M7223" i="1" s="1"/>
  <c r="L7354" i="1"/>
  <c r="M7354" i="1" s="1"/>
  <c r="L7362" i="1"/>
  <c r="M7362" i="1" s="1"/>
  <c r="L7490" i="1"/>
  <c r="M7490" i="1" s="1"/>
  <c r="L7498" i="1"/>
  <c r="M7498" i="1" s="1"/>
  <c r="L7626" i="1"/>
  <c r="M7626" i="1" s="1"/>
  <c r="L7634" i="1"/>
  <c r="M7634" i="1" s="1"/>
  <c r="L7762" i="1"/>
  <c r="M7762" i="1" s="1"/>
  <c r="L7770" i="1"/>
  <c r="M7770" i="1" s="1"/>
  <c r="L7083" i="1"/>
  <c r="M7083" i="1" s="1"/>
  <c r="L7226" i="1"/>
  <c r="M7226" i="1" s="1"/>
  <c r="L7355" i="1"/>
  <c r="M7355" i="1" s="1"/>
  <c r="L7363" i="1"/>
  <c r="M7363" i="1" s="1"/>
  <c r="L7491" i="1"/>
  <c r="M7491" i="1" s="1"/>
  <c r="L7499" i="1"/>
  <c r="M7499" i="1" s="1"/>
  <c r="L7627" i="1"/>
  <c r="M7627" i="1" s="1"/>
  <c r="L7635" i="1"/>
  <c r="M7635" i="1" s="1"/>
  <c r="L7763" i="1"/>
  <c r="M7763" i="1" s="1"/>
  <c r="L7771" i="1"/>
  <c r="M7771" i="1" s="1"/>
  <c r="L7899" i="1"/>
  <c r="M7899" i="1" s="1"/>
  <c r="L7907" i="1"/>
  <c r="M7907" i="1" s="1"/>
  <c r="L7908" i="1"/>
  <c r="M7908" i="1" s="1"/>
  <c r="L8041" i="1"/>
  <c r="M8041" i="1" s="1"/>
  <c r="L8049" i="1"/>
  <c r="M8049" i="1" s="1"/>
  <c r="L8177" i="1"/>
  <c r="M8177" i="1" s="1"/>
  <c r="L8185" i="1"/>
  <c r="M8185" i="1" s="1"/>
  <c r="L8313" i="1"/>
  <c r="M8313" i="1" s="1"/>
  <c r="L8321" i="1"/>
  <c r="M8321" i="1" s="1"/>
  <c r="L8449" i="1"/>
  <c r="M8449" i="1" s="1"/>
  <c r="L8457" i="1"/>
  <c r="M8457" i="1" s="1"/>
  <c r="L8585" i="1"/>
  <c r="M8585" i="1" s="1"/>
  <c r="L8593" i="1"/>
  <c r="M8593" i="1" s="1"/>
  <c r="L7898" i="1"/>
  <c r="M7898" i="1" s="1"/>
  <c r="L7909" i="1"/>
  <c r="M7909" i="1" s="1"/>
  <c r="L8034" i="1"/>
  <c r="M8034" i="1" s="1"/>
  <c r="L8042" i="1"/>
  <c r="M8042" i="1" s="1"/>
  <c r="L8170" i="1"/>
  <c r="M8170" i="1" s="1"/>
  <c r="L8178" i="1"/>
  <c r="M8178" i="1" s="1"/>
  <c r="L8306" i="1"/>
  <c r="M8306" i="1" s="1"/>
  <c r="L8314" i="1"/>
  <c r="M8314" i="1" s="1"/>
  <c r="L8442" i="1"/>
  <c r="M8442" i="1" s="1"/>
  <c r="L8450" i="1"/>
  <c r="M8450" i="1" s="1"/>
  <c r="L8578" i="1"/>
  <c r="M8578" i="1" s="1"/>
  <c r="L8586" i="1"/>
  <c r="M8586" i="1" s="1"/>
  <c r="L7900" i="1"/>
  <c r="M7900" i="1" s="1"/>
  <c r="L7910" i="1"/>
  <c r="M7910" i="1" s="1"/>
  <c r="L8035" i="1"/>
  <c r="M8035" i="1" s="1"/>
  <c r="L8043" i="1"/>
  <c r="M8043" i="1" s="1"/>
  <c r="L8171" i="1"/>
  <c r="M8171" i="1" s="1"/>
  <c r="L8179" i="1"/>
  <c r="M8179" i="1" s="1"/>
  <c r="L8307" i="1"/>
  <c r="M8307" i="1" s="1"/>
  <c r="L8315" i="1"/>
  <c r="M8315" i="1" s="1"/>
  <c r="L8443" i="1"/>
  <c r="M8443" i="1" s="1"/>
  <c r="L8451" i="1"/>
  <c r="M8451" i="1" s="1"/>
  <c r="L8579" i="1"/>
  <c r="M8579" i="1" s="1"/>
  <c r="L8587" i="1"/>
  <c r="M8587" i="1" s="1"/>
  <c r="L7901" i="1"/>
  <c r="M7901" i="1" s="1"/>
  <c r="L7912" i="1"/>
  <c r="M7912" i="1" s="1"/>
  <c r="L8036" i="1"/>
  <c r="M8036" i="1" s="1"/>
  <c r="L8044" i="1"/>
  <c r="M8044" i="1" s="1"/>
  <c r="L8172" i="1"/>
  <c r="M8172" i="1" s="1"/>
  <c r="L8180" i="1"/>
  <c r="M8180" i="1" s="1"/>
  <c r="L8308" i="1"/>
  <c r="M8308" i="1" s="1"/>
  <c r="L8316" i="1"/>
  <c r="M8316" i="1" s="1"/>
  <c r="L8444" i="1"/>
  <c r="M8444" i="1" s="1"/>
  <c r="L8452" i="1"/>
  <c r="M8452" i="1" s="1"/>
  <c r="L8580" i="1"/>
  <c r="M8580" i="1" s="1"/>
  <c r="L8588" i="1"/>
  <c r="M8588" i="1" s="1"/>
  <c r="L8716" i="1"/>
  <c r="M8716" i="1" s="1"/>
  <c r="L8724" i="1"/>
  <c r="M8724" i="1" s="1"/>
  <c r="L7902" i="1"/>
  <c r="M7902" i="1" s="1"/>
  <c r="L7913" i="1"/>
  <c r="M7913" i="1" s="1"/>
  <c r="L8037" i="1"/>
  <c r="M8037" i="1" s="1"/>
  <c r="L8045" i="1"/>
  <c r="M8045" i="1" s="1"/>
  <c r="L8173" i="1"/>
  <c r="M8173" i="1" s="1"/>
  <c r="L8181" i="1"/>
  <c r="M8181" i="1" s="1"/>
  <c r="L8309" i="1"/>
  <c r="M8309" i="1" s="1"/>
  <c r="L8317" i="1"/>
  <c r="M8317" i="1" s="1"/>
  <c r="L8445" i="1"/>
  <c r="M8445" i="1" s="1"/>
  <c r="L8453" i="1"/>
  <c r="M8453" i="1" s="1"/>
  <c r="L8581" i="1"/>
  <c r="M8581" i="1" s="1"/>
  <c r="L8589" i="1"/>
  <c r="M8589" i="1" s="1"/>
  <c r="L7904" i="1"/>
  <c r="M7904" i="1" s="1"/>
  <c r="L8038" i="1"/>
  <c r="M8038" i="1" s="1"/>
  <c r="L8046" i="1"/>
  <c r="M8046" i="1" s="1"/>
  <c r="L8174" i="1"/>
  <c r="M8174" i="1" s="1"/>
  <c r="L8182" i="1"/>
  <c r="M8182" i="1" s="1"/>
  <c r="L8310" i="1"/>
  <c r="M8310" i="1" s="1"/>
  <c r="L8318" i="1"/>
  <c r="M8318" i="1" s="1"/>
  <c r="L8446" i="1"/>
  <c r="M8446" i="1" s="1"/>
  <c r="L8454" i="1"/>
  <c r="M8454" i="1" s="1"/>
  <c r="L8582" i="1"/>
  <c r="M8582" i="1" s="1"/>
  <c r="L8590" i="1"/>
  <c r="M8590" i="1" s="1"/>
  <c r="L7905" i="1"/>
  <c r="M7905" i="1" s="1"/>
  <c r="L8039" i="1"/>
  <c r="M8039" i="1" s="1"/>
  <c r="L8047" i="1"/>
  <c r="M8047" i="1" s="1"/>
  <c r="L8175" i="1"/>
  <c r="M8175" i="1" s="1"/>
  <c r="L8183" i="1"/>
  <c r="M8183" i="1" s="1"/>
  <c r="L8311" i="1"/>
  <c r="M8311" i="1" s="1"/>
  <c r="L8319" i="1"/>
  <c r="M8319" i="1" s="1"/>
  <c r="L8447" i="1"/>
  <c r="M8447" i="1" s="1"/>
  <c r="L8455" i="1"/>
  <c r="M8455" i="1" s="1"/>
  <c r="L8583" i="1"/>
  <c r="M8583" i="1" s="1"/>
  <c r="L8591" i="1"/>
  <c r="M8591" i="1" s="1"/>
  <c r="L7906" i="1"/>
  <c r="M7906" i="1" s="1"/>
  <c r="L8040" i="1"/>
  <c r="M8040" i="1" s="1"/>
  <c r="L8048" i="1"/>
  <c r="M8048" i="1" s="1"/>
  <c r="L8176" i="1"/>
  <c r="M8176" i="1" s="1"/>
  <c r="L8184" i="1"/>
  <c r="M8184" i="1" s="1"/>
  <c r="L8312" i="1"/>
  <c r="M8312" i="1" s="1"/>
  <c r="L8320" i="1"/>
  <c r="M8320" i="1" s="1"/>
  <c r="L8448" i="1"/>
  <c r="M8448" i="1" s="1"/>
  <c r="L8456" i="1"/>
  <c r="M8456" i="1" s="1"/>
  <c r="L8584" i="1"/>
  <c r="M8584" i="1" s="1"/>
  <c r="L8592" i="1"/>
  <c r="M8592" i="1" s="1"/>
  <c r="L8720" i="1"/>
  <c r="M8720" i="1" s="1"/>
  <c r="L8728" i="1"/>
  <c r="M8728" i="1" s="1"/>
  <c r="L8714" i="1"/>
  <c r="M8714" i="1" s="1"/>
  <c r="L8725" i="1"/>
  <c r="M8725" i="1" s="1"/>
  <c r="L8855" i="1"/>
  <c r="M8855" i="1" s="1"/>
  <c r="L8863" i="1"/>
  <c r="M8863" i="1" s="1"/>
  <c r="L8991" i="1"/>
  <c r="M8991" i="1" s="1"/>
  <c r="L8999" i="1"/>
  <c r="M8999" i="1" s="1"/>
  <c r="L9127" i="1"/>
  <c r="M9127" i="1" s="1"/>
  <c r="L9135" i="1"/>
  <c r="M9135" i="1" s="1"/>
  <c r="L9263" i="1"/>
  <c r="M9263" i="1" s="1"/>
  <c r="L8715" i="1"/>
  <c r="M8715" i="1" s="1"/>
  <c r="L8726" i="1"/>
  <c r="M8726" i="1" s="1"/>
  <c r="L8856" i="1"/>
  <c r="M8856" i="1" s="1"/>
  <c r="L8864" i="1"/>
  <c r="M8864" i="1" s="1"/>
  <c r="L8992" i="1"/>
  <c r="M8992" i="1" s="1"/>
  <c r="L9000" i="1"/>
  <c r="M9000" i="1" s="1"/>
  <c r="L9128" i="1"/>
  <c r="M9128" i="1" s="1"/>
  <c r="L9136" i="1"/>
  <c r="M9136" i="1" s="1"/>
  <c r="L8717" i="1"/>
  <c r="M8717" i="1" s="1"/>
  <c r="L8727" i="1"/>
  <c r="M8727" i="1" s="1"/>
  <c r="L8857" i="1"/>
  <c r="M8857" i="1" s="1"/>
  <c r="L8865" i="1"/>
  <c r="M8865" i="1" s="1"/>
  <c r="L8993" i="1"/>
  <c r="M8993" i="1" s="1"/>
  <c r="L9001" i="1"/>
  <c r="M9001" i="1" s="1"/>
  <c r="L9129" i="1"/>
  <c r="M9129" i="1" s="1"/>
  <c r="L9137" i="1"/>
  <c r="M9137" i="1" s="1"/>
  <c r="L8718" i="1"/>
  <c r="M8718" i="1" s="1"/>
  <c r="L8729" i="1"/>
  <c r="M8729" i="1" s="1"/>
  <c r="L8850" i="1"/>
  <c r="M8850" i="1" s="1"/>
  <c r="L8858" i="1"/>
  <c r="M8858" i="1" s="1"/>
  <c r="L8986" i="1"/>
  <c r="M8986" i="1" s="1"/>
  <c r="L8994" i="1"/>
  <c r="M8994" i="1" s="1"/>
  <c r="L9122" i="1"/>
  <c r="M9122" i="1" s="1"/>
  <c r="L9130" i="1"/>
  <c r="M9130" i="1" s="1"/>
  <c r="L9258" i="1"/>
  <c r="M9258" i="1" s="1"/>
  <c r="L9266" i="1"/>
  <c r="M9266" i="1" s="1"/>
  <c r="L9394" i="1"/>
  <c r="M9394" i="1" s="1"/>
  <c r="L9402" i="1"/>
  <c r="M9402" i="1" s="1"/>
  <c r="L8719" i="1"/>
  <c r="M8719" i="1" s="1"/>
  <c r="L8851" i="1"/>
  <c r="M8851" i="1" s="1"/>
  <c r="L8859" i="1"/>
  <c r="M8859" i="1" s="1"/>
  <c r="L8987" i="1"/>
  <c r="M8987" i="1" s="1"/>
  <c r="L8995" i="1"/>
  <c r="M8995" i="1" s="1"/>
  <c r="L9123" i="1"/>
  <c r="M9123" i="1" s="1"/>
  <c r="L9131" i="1"/>
  <c r="M9131" i="1" s="1"/>
  <c r="L9259" i="1"/>
  <c r="M9259" i="1" s="1"/>
  <c r="L8721" i="1"/>
  <c r="M8721" i="1" s="1"/>
  <c r="L8852" i="1"/>
  <c r="M8852" i="1" s="1"/>
  <c r="L8860" i="1"/>
  <c r="M8860" i="1" s="1"/>
  <c r="L8988" i="1"/>
  <c r="M8988" i="1" s="1"/>
  <c r="L8996" i="1"/>
  <c r="M8996" i="1" s="1"/>
  <c r="L9124" i="1"/>
  <c r="M9124" i="1" s="1"/>
  <c r="L9132" i="1"/>
  <c r="M9132" i="1" s="1"/>
  <c r="L8722" i="1"/>
  <c r="M8722" i="1" s="1"/>
  <c r="L8853" i="1"/>
  <c r="M8853" i="1" s="1"/>
  <c r="L8861" i="1"/>
  <c r="M8861" i="1" s="1"/>
  <c r="L8989" i="1"/>
  <c r="M8989" i="1" s="1"/>
  <c r="L8997" i="1"/>
  <c r="M8997" i="1" s="1"/>
  <c r="L9125" i="1"/>
  <c r="M9125" i="1" s="1"/>
  <c r="L9133" i="1"/>
  <c r="M9133" i="1" s="1"/>
  <c r="L8723" i="1"/>
  <c r="M8723" i="1" s="1"/>
  <c r="L8854" i="1"/>
  <c r="M8854" i="1" s="1"/>
  <c r="L8862" i="1"/>
  <c r="M8862" i="1" s="1"/>
  <c r="L8990" i="1"/>
  <c r="M8990" i="1" s="1"/>
  <c r="L8998" i="1"/>
  <c r="M8998" i="1" s="1"/>
  <c r="L9126" i="1"/>
  <c r="M9126" i="1" s="1"/>
  <c r="L9134" i="1"/>
  <c r="M9134" i="1" s="1"/>
  <c r="L9262" i="1"/>
  <c r="M9262" i="1" s="1"/>
  <c r="L9270" i="1"/>
  <c r="M9270" i="1" s="1"/>
  <c r="L9398" i="1"/>
  <c r="M9398" i="1" s="1"/>
  <c r="L9406" i="1"/>
  <c r="M9406" i="1" s="1"/>
  <c r="L9271" i="1"/>
  <c r="M9271" i="1" s="1"/>
  <c r="L9396" i="1"/>
  <c r="M9396" i="1" s="1"/>
  <c r="L9407" i="1"/>
  <c r="M9407" i="1" s="1"/>
  <c r="L9536" i="1"/>
  <c r="M9536" i="1" s="1"/>
  <c r="L9544" i="1"/>
  <c r="M9544" i="1" s="1"/>
  <c r="L9672" i="1"/>
  <c r="M9672" i="1" s="1"/>
  <c r="L9680" i="1"/>
  <c r="M9680" i="1" s="1"/>
  <c r="L9808" i="1"/>
  <c r="M9808" i="1" s="1"/>
  <c r="L9816" i="1"/>
  <c r="M9816" i="1" s="1"/>
  <c r="L9944" i="1"/>
  <c r="M9944" i="1" s="1"/>
  <c r="L9952" i="1"/>
  <c r="M9952" i="1" s="1"/>
  <c r="L9260" i="1"/>
  <c r="M9260" i="1" s="1"/>
  <c r="L9272" i="1"/>
  <c r="M9272" i="1" s="1"/>
  <c r="L9397" i="1"/>
  <c r="M9397" i="1" s="1"/>
  <c r="L9408" i="1"/>
  <c r="M9408" i="1" s="1"/>
  <c r="L9537" i="1"/>
  <c r="M9537" i="1" s="1"/>
  <c r="L9545" i="1"/>
  <c r="M9545" i="1" s="1"/>
  <c r="L9673" i="1"/>
  <c r="M9673" i="1" s="1"/>
  <c r="L9681" i="1"/>
  <c r="M9681" i="1" s="1"/>
  <c r="L9809" i="1"/>
  <c r="M9809" i="1" s="1"/>
  <c r="L9817" i="1"/>
  <c r="M9817" i="1" s="1"/>
  <c r="L9945" i="1"/>
  <c r="M9945" i="1" s="1"/>
  <c r="L9953" i="1"/>
  <c r="M9953" i="1" s="1"/>
  <c r="L9261" i="1"/>
  <c r="M9261" i="1" s="1"/>
  <c r="L9273" i="1"/>
  <c r="M9273" i="1" s="1"/>
  <c r="L9399" i="1"/>
  <c r="M9399" i="1" s="1"/>
  <c r="L9409" i="1"/>
  <c r="M9409" i="1" s="1"/>
  <c r="L9530" i="1"/>
  <c r="M9530" i="1" s="1"/>
  <c r="L9538" i="1"/>
  <c r="M9538" i="1" s="1"/>
  <c r="L9666" i="1"/>
  <c r="M9666" i="1" s="1"/>
  <c r="L9674" i="1"/>
  <c r="M9674" i="1" s="1"/>
  <c r="L9802" i="1"/>
  <c r="M9802" i="1" s="1"/>
  <c r="L9810" i="1"/>
  <c r="M9810" i="1" s="1"/>
  <c r="L9938" i="1"/>
  <c r="M9938" i="1" s="1"/>
  <c r="L9946" i="1"/>
  <c r="M9946" i="1" s="1"/>
  <c r="L9264" i="1"/>
  <c r="M9264" i="1" s="1"/>
  <c r="L9400" i="1"/>
  <c r="M9400" i="1" s="1"/>
  <c r="L9531" i="1"/>
  <c r="M9531" i="1" s="1"/>
  <c r="L9539" i="1"/>
  <c r="M9539" i="1" s="1"/>
  <c r="L9667" i="1"/>
  <c r="M9667" i="1" s="1"/>
  <c r="L9675" i="1"/>
  <c r="M9675" i="1" s="1"/>
  <c r="L9803" i="1"/>
  <c r="M9803" i="1" s="1"/>
  <c r="L9811" i="1"/>
  <c r="M9811" i="1" s="1"/>
  <c r="L9939" i="1"/>
  <c r="M9939" i="1" s="1"/>
  <c r="L9947" i="1"/>
  <c r="M9947" i="1" s="1"/>
  <c r="L10075" i="1"/>
  <c r="M10075" i="1" s="1"/>
  <c r="L10083" i="1"/>
  <c r="M10083" i="1" s="1"/>
  <c r="L10211" i="1"/>
  <c r="M10211" i="1" s="1"/>
  <c r="L10219" i="1"/>
  <c r="M10219" i="1" s="1"/>
  <c r="L9265" i="1"/>
  <c r="M9265" i="1" s="1"/>
  <c r="L9401" i="1"/>
  <c r="M9401" i="1" s="1"/>
  <c r="L9532" i="1"/>
  <c r="M9532" i="1" s="1"/>
  <c r="L9540" i="1"/>
  <c r="M9540" i="1" s="1"/>
  <c r="L9668" i="1"/>
  <c r="M9668" i="1" s="1"/>
  <c r="L9676" i="1"/>
  <c r="M9676" i="1" s="1"/>
  <c r="L9804" i="1"/>
  <c r="M9804" i="1" s="1"/>
  <c r="L9812" i="1"/>
  <c r="M9812" i="1" s="1"/>
  <c r="L9940" i="1"/>
  <c r="M9940" i="1" s="1"/>
  <c r="L9948" i="1"/>
  <c r="M9948" i="1" s="1"/>
  <c r="L9267" i="1"/>
  <c r="M9267" i="1" s="1"/>
  <c r="L9403" i="1"/>
  <c r="M9403" i="1" s="1"/>
  <c r="L9533" i="1"/>
  <c r="M9533" i="1" s="1"/>
  <c r="L9541" i="1"/>
  <c r="M9541" i="1" s="1"/>
  <c r="L9669" i="1"/>
  <c r="M9669" i="1" s="1"/>
  <c r="L9677" i="1"/>
  <c r="M9677" i="1" s="1"/>
  <c r="L9805" i="1"/>
  <c r="M9805" i="1" s="1"/>
  <c r="L9813" i="1"/>
  <c r="M9813" i="1" s="1"/>
  <c r="L9941" i="1"/>
  <c r="M9941" i="1" s="1"/>
  <c r="L9949" i="1"/>
  <c r="M9949" i="1" s="1"/>
  <c r="L9268" i="1"/>
  <c r="M9268" i="1" s="1"/>
  <c r="L9404" i="1"/>
  <c r="M9404" i="1" s="1"/>
  <c r="L9534" i="1"/>
  <c r="M9534" i="1" s="1"/>
  <c r="L9542" i="1"/>
  <c r="M9542" i="1" s="1"/>
  <c r="L9670" i="1"/>
  <c r="M9670" i="1" s="1"/>
  <c r="L9678" i="1"/>
  <c r="M9678" i="1" s="1"/>
  <c r="L9806" i="1"/>
  <c r="M9806" i="1" s="1"/>
  <c r="L9814" i="1"/>
  <c r="M9814" i="1" s="1"/>
  <c r="L9942" i="1"/>
  <c r="M9942" i="1" s="1"/>
  <c r="L9950" i="1"/>
  <c r="M9950" i="1" s="1"/>
  <c r="L9269" i="1"/>
  <c r="M9269" i="1" s="1"/>
  <c r="L9395" i="1"/>
  <c r="M9395" i="1" s="1"/>
  <c r="L9405" i="1"/>
  <c r="M9405" i="1" s="1"/>
  <c r="L9535" i="1"/>
  <c r="M9535" i="1" s="1"/>
  <c r="L9543" i="1"/>
  <c r="M9543" i="1" s="1"/>
  <c r="L9671" i="1"/>
  <c r="M9671" i="1" s="1"/>
  <c r="L9679" i="1"/>
  <c r="M9679" i="1" s="1"/>
  <c r="L9807" i="1"/>
  <c r="M9807" i="1" s="1"/>
  <c r="L9815" i="1"/>
  <c r="M9815" i="1" s="1"/>
  <c r="L9943" i="1"/>
  <c r="M9943" i="1" s="1"/>
  <c r="L9951" i="1"/>
  <c r="M9951" i="1" s="1"/>
  <c r="L10079" i="1"/>
  <c r="M10079" i="1" s="1"/>
  <c r="L10087" i="1"/>
  <c r="M10087" i="1" s="1"/>
  <c r="L10215" i="1"/>
  <c r="M10215" i="1" s="1"/>
  <c r="L10223" i="1"/>
  <c r="M10223" i="1" s="1"/>
  <c r="L10076" i="1"/>
  <c r="M10076" i="1" s="1"/>
  <c r="L10086" i="1"/>
  <c r="M10086" i="1" s="1"/>
  <c r="L10212" i="1"/>
  <c r="M10212" i="1" s="1"/>
  <c r="L10222" i="1"/>
  <c r="M10222" i="1" s="1"/>
  <c r="L10353" i="1"/>
  <c r="M10353" i="1" s="1"/>
  <c r="L10361" i="1"/>
  <c r="M10361" i="1" s="1"/>
  <c r="L10621" i="1"/>
  <c r="M10621" i="1" s="1"/>
  <c r="L10629" i="1"/>
  <c r="M10629" i="1" s="1"/>
  <c r="L10757" i="1"/>
  <c r="M10757" i="1" s="1"/>
  <c r="L10765" i="1"/>
  <c r="M10765" i="1" s="1"/>
  <c r="L10893" i="1"/>
  <c r="M10893" i="1" s="1"/>
  <c r="L10901" i="1"/>
  <c r="M10901" i="1" s="1"/>
  <c r="L11029" i="1"/>
  <c r="M11029" i="1" s="1"/>
  <c r="L11037" i="1"/>
  <c r="M11037" i="1" s="1"/>
  <c r="L11165" i="1"/>
  <c r="M11165" i="1" s="1"/>
  <c r="L11173" i="1"/>
  <c r="M11173" i="1" s="1"/>
  <c r="L11301" i="1"/>
  <c r="M11301" i="1" s="1"/>
  <c r="L11309" i="1"/>
  <c r="M11309" i="1" s="1"/>
  <c r="L11437" i="1"/>
  <c r="M11437" i="1" s="1"/>
  <c r="L11445" i="1"/>
  <c r="M11445" i="1" s="1"/>
  <c r="L10077" i="1"/>
  <c r="M10077" i="1" s="1"/>
  <c r="L10088" i="1"/>
  <c r="M10088" i="1" s="1"/>
  <c r="L10213" i="1"/>
  <c r="M10213" i="1" s="1"/>
  <c r="L10224" i="1"/>
  <c r="M10224" i="1" s="1"/>
  <c r="L10346" i="1"/>
  <c r="M10346" i="1" s="1"/>
  <c r="L10354" i="1"/>
  <c r="M10354" i="1" s="1"/>
  <c r="L10622" i="1"/>
  <c r="M10622" i="1" s="1"/>
  <c r="L10630" i="1"/>
  <c r="M10630" i="1" s="1"/>
  <c r="L10758" i="1"/>
  <c r="M10758" i="1" s="1"/>
  <c r="L10766" i="1"/>
  <c r="M10766" i="1" s="1"/>
  <c r="L10894" i="1"/>
  <c r="M10894" i="1" s="1"/>
  <c r="L10902" i="1"/>
  <c r="M10902" i="1" s="1"/>
  <c r="L11030" i="1"/>
  <c r="M11030" i="1" s="1"/>
  <c r="L11038" i="1"/>
  <c r="M11038" i="1" s="1"/>
  <c r="L11166" i="1"/>
  <c r="M11166" i="1" s="1"/>
  <c r="L11174" i="1"/>
  <c r="M11174" i="1" s="1"/>
  <c r="L11302" i="1"/>
  <c r="M11302" i="1" s="1"/>
  <c r="L11310" i="1"/>
  <c r="M11310" i="1" s="1"/>
  <c r="L11438" i="1"/>
  <c r="M11438" i="1" s="1"/>
  <c r="L11446" i="1"/>
  <c r="M11446" i="1" s="1"/>
  <c r="L10078" i="1"/>
  <c r="M10078" i="1" s="1"/>
  <c r="L10089" i="1"/>
  <c r="M10089" i="1" s="1"/>
  <c r="L10214" i="1"/>
  <c r="M10214" i="1" s="1"/>
  <c r="L10225" i="1"/>
  <c r="M10225" i="1" s="1"/>
  <c r="L10347" i="1"/>
  <c r="M10347" i="1" s="1"/>
  <c r="L10355" i="1"/>
  <c r="M10355" i="1" s="1"/>
  <c r="L10623" i="1"/>
  <c r="M10623" i="1" s="1"/>
  <c r="L10631" i="1"/>
  <c r="M10631" i="1" s="1"/>
  <c r="L10759" i="1"/>
  <c r="M10759" i="1" s="1"/>
  <c r="L10767" i="1"/>
  <c r="M10767" i="1" s="1"/>
  <c r="L10895" i="1"/>
  <c r="M10895" i="1" s="1"/>
  <c r="L10903" i="1"/>
  <c r="M10903" i="1" s="1"/>
  <c r="L11031" i="1"/>
  <c r="M11031" i="1" s="1"/>
  <c r="L11039" i="1"/>
  <c r="M11039" i="1" s="1"/>
  <c r="L11167" i="1"/>
  <c r="M11167" i="1" s="1"/>
  <c r="L11175" i="1"/>
  <c r="M11175" i="1" s="1"/>
  <c r="L11303" i="1"/>
  <c r="M11303" i="1" s="1"/>
  <c r="L11311" i="1"/>
  <c r="M11311" i="1" s="1"/>
  <c r="L11439" i="1"/>
  <c r="M11439" i="1" s="1"/>
  <c r="L11447" i="1"/>
  <c r="M11447" i="1" s="1"/>
  <c r="L10080" i="1"/>
  <c r="M10080" i="1" s="1"/>
  <c r="L10216" i="1"/>
  <c r="M10216" i="1" s="1"/>
  <c r="L10348" i="1"/>
  <c r="M10348" i="1" s="1"/>
  <c r="L10356" i="1"/>
  <c r="M10356" i="1" s="1"/>
  <c r="L10624" i="1"/>
  <c r="M10624" i="1" s="1"/>
  <c r="L10632" i="1"/>
  <c r="M10632" i="1" s="1"/>
  <c r="L10760" i="1"/>
  <c r="M10760" i="1" s="1"/>
  <c r="L10768" i="1"/>
  <c r="M10768" i="1" s="1"/>
  <c r="L10896" i="1"/>
  <c r="M10896" i="1" s="1"/>
  <c r="L10904" i="1"/>
  <c r="M10904" i="1" s="1"/>
  <c r="L11032" i="1"/>
  <c r="M11032" i="1" s="1"/>
  <c r="L11040" i="1"/>
  <c r="M11040" i="1" s="1"/>
  <c r="L11168" i="1"/>
  <c r="M11168" i="1" s="1"/>
  <c r="L11176" i="1"/>
  <c r="M11176" i="1" s="1"/>
  <c r="L11304" i="1"/>
  <c r="M11304" i="1" s="1"/>
  <c r="L11312" i="1"/>
  <c r="M11312" i="1" s="1"/>
  <c r="L11440" i="1"/>
  <c r="M11440" i="1" s="1"/>
  <c r="L11448" i="1"/>
  <c r="M11448" i="1" s="1"/>
  <c r="L10081" i="1"/>
  <c r="M10081" i="1" s="1"/>
  <c r="L10217" i="1"/>
  <c r="M10217" i="1" s="1"/>
  <c r="L10349" i="1"/>
  <c r="M10349" i="1" s="1"/>
  <c r="L10357" i="1"/>
  <c r="M10357" i="1" s="1"/>
  <c r="L10625" i="1"/>
  <c r="M10625" i="1" s="1"/>
  <c r="L10633" i="1"/>
  <c r="M10633" i="1" s="1"/>
  <c r="L10761" i="1"/>
  <c r="M10761" i="1" s="1"/>
  <c r="L10769" i="1"/>
  <c r="M10769" i="1" s="1"/>
  <c r="L10897" i="1"/>
  <c r="M10897" i="1" s="1"/>
  <c r="L10905" i="1"/>
  <c r="M10905" i="1" s="1"/>
  <c r="L11033" i="1"/>
  <c r="M11033" i="1" s="1"/>
  <c r="L11041" i="1"/>
  <c r="M11041" i="1" s="1"/>
  <c r="L11169" i="1"/>
  <c r="M11169" i="1" s="1"/>
  <c r="L11177" i="1"/>
  <c r="M11177" i="1" s="1"/>
  <c r="L11305" i="1"/>
  <c r="M11305" i="1" s="1"/>
  <c r="L11313" i="1"/>
  <c r="M11313" i="1" s="1"/>
  <c r="L11441" i="1"/>
  <c r="M11441" i="1" s="1"/>
  <c r="L11449" i="1"/>
  <c r="M11449" i="1" s="1"/>
  <c r="L10082" i="1"/>
  <c r="M10082" i="1" s="1"/>
  <c r="L10218" i="1"/>
  <c r="M10218" i="1" s="1"/>
  <c r="L10350" i="1"/>
  <c r="M10350" i="1" s="1"/>
  <c r="L10358" i="1"/>
  <c r="M10358" i="1" s="1"/>
  <c r="L10618" i="1"/>
  <c r="M10618" i="1" s="1"/>
  <c r="L10626" i="1"/>
  <c r="M10626" i="1" s="1"/>
  <c r="L10754" i="1"/>
  <c r="M10754" i="1" s="1"/>
  <c r="L10762" i="1"/>
  <c r="M10762" i="1" s="1"/>
  <c r="L10890" i="1"/>
  <c r="M10890" i="1" s="1"/>
  <c r="L10898" i="1"/>
  <c r="M10898" i="1" s="1"/>
  <c r="L11026" i="1"/>
  <c r="M11026" i="1" s="1"/>
  <c r="L11034" i="1"/>
  <c r="M11034" i="1" s="1"/>
  <c r="L11162" i="1"/>
  <c r="M11162" i="1" s="1"/>
  <c r="L11170" i="1"/>
  <c r="M11170" i="1" s="1"/>
  <c r="L11298" i="1"/>
  <c r="M11298" i="1" s="1"/>
  <c r="L11306" i="1"/>
  <c r="M11306" i="1" s="1"/>
  <c r="L11434" i="1"/>
  <c r="M11434" i="1" s="1"/>
  <c r="L11442" i="1"/>
  <c r="M11442" i="1" s="1"/>
  <c r="L10084" i="1"/>
  <c r="M10084" i="1" s="1"/>
  <c r="L10220" i="1"/>
  <c r="M10220" i="1" s="1"/>
  <c r="L10351" i="1"/>
  <c r="M10351" i="1" s="1"/>
  <c r="L10359" i="1"/>
  <c r="M10359" i="1" s="1"/>
  <c r="L10619" i="1"/>
  <c r="M10619" i="1" s="1"/>
  <c r="L10627" i="1"/>
  <c r="M10627" i="1" s="1"/>
  <c r="L10755" i="1"/>
  <c r="M10755" i="1" s="1"/>
  <c r="L10763" i="1"/>
  <c r="M10763" i="1" s="1"/>
  <c r="L10891" i="1"/>
  <c r="M10891" i="1" s="1"/>
  <c r="L10899" i="1"/>
  <c r="M10899" i="1" s="1"/>
  <c r="L11027" i="1"/>
  <c r="M11027" i="1" s="1"/>
  <c r="L11035" i="1"/>
  <c r="M11035" i="1" s="1"/>
  <c r="L11163" i="1"/>
  <c r="M11163" i="1" s="1"/>
  <c r="L11171" i="1"/>
  <c r="M11171" i="1" s="1"/>
  <c r="L11299" i="1"/>
  <c r="M11299" i="1" s="1"/>
  <c r="L11307" i="1"/>
  <c r="M11307" i="1" s="1"/>
  <c r="L11435" i="1"/>
  <c r="M11435" i="1" s="1"/>
  <c r="L11443" i="1"/>
  <c r="M11443" i="1" s="1"/>
  <c r="L10074" i="1"/>
  <c r="M10074" i="1" s="1"/>
  <c r="L10085" i="1"/>
  <c r="M10085" i="1" s="1"/>
  <c r="L10210" i="1"/>
  <c r="M10210" i="1" s="1"/>
  <c r="L10221" i="1"/>
  <c r="M10221" i="1" s="1"/>
  <c r="L10352" i="1"/>
  <c r="M10352" i="1" s="1"/>
  <c r="L10360" i="1"/>
  <c r="M10360" i="1" s="1"/>
  <c r="L10620" i="1"/>
  <c r="M10620" i="1" s="1"/>
  <c r="L10628" i="1"/>
  <c r="M10628" i="1" s="1"/>
  <c r="L10756" i="1"/>
  <c r="M10756" i="1" s="1"/>
  <c r="L10764" i="1"/>
  <c r="M10764" i="1" s="1"/>
  <c r="L10892" i="1"/>
  <c r="M10892" i="1" s="1"/>
  <c r="L10900" i="1"/>
  <c r="M10900" i="1" s="1"/>
  <c r="L11028" i="1"/>
  <c r="M11028" i="1" s="1"/>
  <c r="L11036" i="1"/>
  <c r="M11036" i="1" s="1"/>
  <c r="L11164" i="1"/>
  <c r="M11164" i="1" s="1"/>
  <c r="L11172" i="1"/>
  <c r="M11172" i="1" s="1"/>
  <c r="L11300" i="1"/>
  <c r="M11300" i="1" s="1"/>
  <c r="L11308" i="1"/>
  <c r="M11308" i="1" s="1"/>
  <c r="L11436" i="1"/>
  <c r="M11436" i="1" s="1"/>
  <c r="L11444" i="1"/>
  <c r="M11444" i="1" s="1"/>
  <c r="L11570" i="1"/>
  <c r="M11570" i="1" s="1"/>
  <c r="L11578" i="1"/>
  <c r="M11578" i="1" s="1"/>
  <c r="L11706" i="1"/>
  <c r="M11706" i="1" s="1"/>
  <c r="L11714" i="1"/>
  <c r="M11714" i="1" s="1"/>
  <c r="L11842" i="1"/>
  <c r="M11842" i="1" s="1"/>
  <c r="L11850" i="1"/>
  <c r="M11850" i="1" s="1"/>
  <c r="L11978" i="1"/>
  <c r="M11978" i="1" s="1"/>
  <c r="L11986" i="1"/>
  <c r="M11986" i="1" s="1"/>
  <c r="L12114" i="1"/>
  <c r="M12114" i="1" s="1"/>
  <c r="L12122" i="1"/>
  <c r="M12122" i="1" s="1"/>
  <c r="L12250" i="1"/>
  <c r="M12250" i="1" s="1"/>
  <c r="L12258" i="1"/>
  <c r="M12258" i="1" s="1"/>
  <c r="L12386" i="1"/>
  <c r="M12386" i="1" s="1"/>
  <c r="L12394" i="1"/>
  <c r="M12394" i="1" s="1"/>
  <c r="L12522" i="1"/>
  <c r="M12522" i="1" s="1"/>
  <c r="L12530" i="1"/>
  <c r="M12530" i="1" s="1"/>
  <c r="L12658" i="1"/>
  <c r="M12658" i="1" s="1"/>
  <c r="L12666" i="1"/>
  <c r="M12666" i="1" s="1"/>
  <c r="L12794" i="1"/>
  <c r="M12794" i="1" s="1"/>
  <c r="L12802" i="1"/>
  <c r="M12802" i="1" s="1"/>
  <c r="L12930" i="1"/>
  <c r="M12930" i="1" s="1"/>
  <c r="L12938" i="1"/>
  <c r="M12938" i="1" s="1"/>
  <c r="L11572" i="1"/>
  <c r="M11572" i="1" s="1"/>
  <c r="L11580" i="1"/>
  <c r="M11580" i="1" s="1"/>
  <c r="L11708" i="1"/>
  <c r="M11708" i="1" s="1"/>
  <c r="L11716" i="1"/>
  <c r="M11716" i="1" s="1"/>
  <c r="L11844" i="1"/>
  <c r="M11844" i="1" s="1"/>
  <c r="L11852" i="1"/>
  <c r="M11852" i="1" s="1"/>
  <c r="L11980" i="1"/>
  <c r="M11980" i="1" s="1"/>
  <c r="L11988" i="1"/>
  <c r="M11988" i="1" s="1"/>
  <c r="L12116" i="1"/>
  <c r="M12116" i="1" s="1"/>
  <c r="L12124" i="1"/>
  <c r="M12124" i="1" s="1"/>
  <c r="L12252" i="1"/>
  <c r="M12252" i="1" s="1"/>
  <c r="L12260" i="1"/>
  <c r="M12260" i="1" s="1"/>
  <c r="L12388" i="1"/>
  <c r="M12388" i="1" s="1"/>
  <c r="L12396" i="1"/>
  <c r="M12396" i="1" s="1"/>
  <c r="L12524" i="1"/>
  <c r="M12524" i="1" s="1"/>
  <c r="L12532" i="1"/>
  <c r="M12532" i="1" s="1"/>
  <c r="L12660" i="1"/>
  <c r="M12660" i="1" s="1"/>
  <c r="L12668" i="1"/>
  <c r="M12668" i="1" s="1"/>
  <c r="L12796" i="1"/>
  <c r="M12796" i="1" s="1"/>
  <c r="L12804" i="1"/>
  <c r="M12804" i="1" s="1"/>
  <c r="L11573" i="1"/>
  <c r="M11573" i="1" s="1"/>
  <c r="L11581" i="1"/>
  <c r="M11581" i="1" s="1"/>
  <c r="L11709" i="1"/>
  <c r="M11709" i="1" s="1"/>
  <c r="L11717" i="1"/>
  <c r="M11717" i="1" s="1"/>
  <c r="L11845" i="1"/>
  <c r="M11845" i="1" s="1"/>
  <c r="L11853" i="1"/>
  <c r="M11853" i="1" s="1"/>
  <c r="L11981" i="1"/>
  <c r="M11981" i="1" s="1"/>
  <c r="L11989" i="1"/>
  <c r="M11989" i="1" s="1"/>
  <c r="L12117" i="1"/>
  <c r="M12117" i="1" s="1"/>
  <c r="L12125" i="1"/>
  <c r="M12125" i="1" s="1"/>
  <c r="L12253" i="1"/>
  <c r="M12253" i="1" s="1"/>
  <c r="L12261" i="1"/>
  <c r="M12261" i="1" s="1"/>
  <c r="L12389" i="1"/>
  <c r="M12389" i="1" s="1"/>
  <c r="L12397" i="1"/>
  <c r="M12397" i="1" s="1"/>
  <c r="L12525" i="1"/>
  <c r="M12525" i="1" s="1"/>
  <c r="L12533" i="1"/>
  <c r="M12533" i="1" s="1"/>
  <c r="L12661" i="1"/>
  <c r="M12661" i="1" s="1"/>
  <c r="L12669" i="1"/>
  <c r="M12669" i="1" s="1"/>
  <c r="L12797" i="1"/>
  <c r="M12797" i="1" s="1"/>
  <c r="L12805" i="1"/>
  <c r="M12805" i="1" s="1"/>
  <c r="L12933" i="1"/>
  <c r="M12933" i="1" s="1"/>
  <c r="L12941" i="1"/>
  <c r="M12941" i="1" s="1"/>
  <c r="L11574" i="1"/>
  <c r="M11574" i="1" s="1"/>
  <c r="L11582" i="1"/>
  <c r="M11582" i="1" s="1"/>
  <c r="L11710" i="1"/>
  <c r="M11710" i="1" s="1"/>
  <c r="L11718" i="1"/>
  <c r="M11718" i="1" s="1"/>
  <c r="L11846" i="1"/>
  <c r="M11846" i="1" s="1"/>
  <c r="L11854" i="1"/>
  <c r="M11854" i="1" s="1"/>
  <c r="L11982" i="1"/>
  <c r="M11982" i="1" s="1"/>
  <c r="L11990" i="1"/>
  <c r="M11990" i="1" s="1"/>
  <c r="L12118" i="1"/>
  <c r="M12118" i="1" s="1"/>
  <c r="L12126" i="1"/>
  <c r="M12126" i="1" s="1"/>
  <c r="L12254" i="1"/>
  <c r="M12254" i="1" s="1"/>
  <c r="L12262" i="1"/>
  <c r="M12262" i="1" s="1"/>
  <c r="L12390" i="1"/>
  <c r="M12390" i="1" s="1"/>
  <c r="L12398" i="1"/>
  <c r="M12398" i="1" s="1"/>
  <c r="L12526" i="1"/>
  <c r="M12526" i="1" s="1"/>
  <c r="L12534" i="1"/>
  <c r="M12534" i="1" s="1"/>
  <c r="L12662" i="1"/>
  <c r="M12662" i="1" s="1"/>
  <c r="L12670" i="1"/>
  <c r="M12670" i="1" s="1"/>
  <c r="L12798" i="1"/>
  <c r="M12798" i="1" s="1"/>
  <c r="L12806" i="1"/>
  <c r="M12806" i="1" s="1"/>
  <c r="L12934" i="1"/>
  <c r="M12934" i="1" s="1"/>
  <c r="L12942" i="1"/>
  <c r="M12942" i="1" s="1"/>
  <c r="L11575" i="1"/>
  <c r="M11575" i="1" s="1"/>
  <c r="L11583" i="1"/>
  <c r="M11583" i="1" s="1"/>
  <c r="L11711" i="1"/>
  <c r="M11711" i="1" s="1"/>
  <c r="L11719" i="1"/>
  <c r="M11719" i="1" s="1"/>
  <c r="L11847" i="1"/>
  <c r="M11847" i="1" s="1"/>
  <c r="L11855" i="1"/>
  <c r="M11855" i="1" s="1"/>
  <c r="L11983" i="1"/>
  <c r="M11983" i="1" s="1"/>
  <c r="L11991" i="1"/>
  <c r="M11991" i="1" s="1"/>
  <c r="L12119" i="1"/>
  <c r="M12119" i="1" s="1"/>
  <c r="L12127" i="1"/>
  <c r="M12127" i="1" s="1"/>
  <c r="L12255" i="1"/>
  <c r="M12255" i="1" s="1"/>
  <c r="L12263" i="1"/>
  <c r="M12263" i="1" s="1"/>
  <c r="L12391" i="1"/>
  <c r="M12391" i="1" s="1"/>
  <c r="L12399" i="1"/>
  <c r="M12399" i="1" s="1"/>
  <c r="L12527" i="1"/>
  <c r="M12527" i="1" s="1"/>
  <c r="L12535" i="1"/>
  <c r="M12535" i="1" s="1"/>
  <c r="L12663" i="1"/>
  <c r="M12663" i="1" s="1"/>
  <c r="L12671" i="1"/>
  <c r="M12671" i="1" s="1"/>
  <c r="L12799" i="1"/>
  <c r="M12799" i="1" s="1"/>
  <c r="L12807" i="1"/>
  <c r="M12807" i="1" s="1"/>
  <c r="L12935" i="1"/>
  <c r="M12935" i="1" s="1"/>
  <c r="L12943" i="1"/>
  <c r="M12943" i="1" s="1"/>
  <c r="L11576" i="1"/>
  <c r="M11576" i="1" s="1"/>
  <c r="L11584" i="1"/>
  <c r="M11584" i="1" s="1"/>
  <c r="L11712" i="1"/>
  <c r="M11712" i="1" s="1"/>
  <c r="L11720" i="1"/>
  <c r="M11720" i="1" s="1"/>
  <c r="L11848" i="1"/>
  <c r="M11848" i="1" s="1"/>
  <c r="L11856" i="1"/>
  <c r="M11856" i="1" s="1"/>
  <c r="L11984" i="1"/>
  <c r="M11984" i="1" s="1"/>
  <c r="L11992" i="1"/>
  <c r="M11992" i="1" s="1"/>
  <c r="L12120" i="1"/>
  <c r="M12120" i="1" s="1"/>
  <c r="L12128" i="1"/>
  <c r="M12128" i="1" s="1"/>
  <c r="L12256" i="1"/>
  <c r="M12256" i="1" s="1"/>
  <c r="L12264" i="1"/>
  <c r="M12264" i="1" s="1"/>
  <c r="L12392" i="1"/>
  <c r="M12392" i="1" s="1"/>
  <c r="L12400" i="1"/>
  <c r="M12400" i="1" s="1"/>
  <c r="L12528" i="1"/>
  <c r="M12528" i="1" s="1"/>
  <c r="L12536" i="1"/>
  <c r="M12536" i="1" s="1"/>
  <c r="L12664" i="1"/>
  <c r="M12664" i="1" s="1"/>
  <c r="L12672" i="1"/>
  <c r="M12672" i="1" s="1"/>
  <c r="L12800" i="1"/>
  <c r="M12800" i="1" s="1"/>
  <c r="L12808" i="1"/>
  <c r="M12808" i="1" s="1"/>
  <c r="L11577" i="1"/>
  <c r="M11577" i="1" s="1"/>
  <c r="L11585" i="1"/>
  <c r="M11585" i="1" s="1"/>
  <c r="L11713" i="1"/>
  <c r="M11713" i="1" s="1"/>
  <c r="L11721" i="1"/>
  <c r="M11721" i="1" s="1"/>
  <c r="L11849" i="1"/>
  <c r="M11849" i="1" s="1"/>
  <c r="L11857" i="1"/>
  <c r="M11857" i="1" s="1"/>
  <c r="L11985" i="1"/>
  <c r="M11985" i="1" s="1"/>
  <c r="L11993" i="1"/>
  <c r="M11993" i="1" s="1"/>
  <c r="L12121" i="1"/>
  <c r="M12121" i="1" s="1"/>
  <c r="L12129" i="1"/>
  <c r="M12129" i="1" s="1"/>
  <c r="L12257" i="1"/>
  <c r="M12257" i="1" s="1"/>
  <c r="L12265" i="1"/>
  <c r="M12265" i="1" s="1"/>
  <c r="L12393" i="1"/>
  <c r="M12393" i="1" s="1"/>
  <c r="L12401" i="1"/>
  <c r="M12401" i="1" s="1"/>
  <c r="L12529" i="1"/>
  <c r="M12529" i="1" s="1"/>
  <c r="L12537" i="1"/>
  <c r="M12537" i="1" s="1"/>
  <c r="L12665" i="1"/>
  <c r="M12665" i="1" s="1"/>
  <c r="L12673" i="1"/>
  <c r="M12673" i="1" s="1"/>
  <c r="L12801" i="1"/>
  <c r="M12801" i="1" s="1"/>
  <c r="L12809" i="1"/>
  <c r="M12809" i="1" s="1"/>
  <c r="L12937" i="1"/>
  <c r="M12937" i="1" s="1"/>
  <c r="L12945" i="1"/>
  <c r="M12945" i="1" s="1"/>
  <c r="L11579" i="1"/>
  <c r="M11579" i="1" s="1"/>
  <c r="L11715" i="1"/>
  <c r="M11715" i="1" s="1"/>
  <c r="L11851" i="1"/>
  <c r="M11851" i="1" s="1"/>
  <c r="L11987" i="1"/>
  <c r="M11987" i="1" s="1"/>
  <c r="L12123" i="1"/>
  <c r="M12123" i="1" s="1"/>
  <c r="L12259" i="1"/>
  <c r="M12259" i="1" s="1"/>
  <c r="L12395" i="1"/>
  <c r="M12395" i="1" s="1"/>
  <c r="L12531" i="1"/>
  <c r="M12531" i="1" s="1"/>
  <c r="L12667" i="1"/>
  <c r="M12667" i="1" s="1"/>
  <c r="L12803" i="1"/>
  <c r="M12803" i="1" s="1"/>
  <c r="L12939" i="1"/>
  <c r="M12939" i="1" s="1"/>
  <c r="L13066" i="1"/>
  <c r="M13066" i="1" s="1"/>
  <c r="L13074" i="1"/>
  <c r="M13074" i="1" s="1"/>
  <c r="L13202" i="1"/>
  <c r="M13202" i="1" s="1"/>
  <c r="L13210" i="1"/>
  <c r="M13210" i="1" s="1"/>
  <c r="L13338" i="1"/>
  <c r="M13338" i="1" s="1"/>
  <c r="L13346" i="1"/>
  <c r="M13346" i="1" s="1"/>
  <c r="L13474" i="1"/>
  <c r="M13474" i="1" s="1"/>
  <c r="L13482" i="1"/>
  <c r="M13482" i="1" s="1"/>
  <c r="L13610" i="1"/>
  <c r="M13610" i="1" s="1"/>
  <c r="L13618" i="1"/>
  <c r="M13618" i="1" s="1"/>
  <c r="L13746" i="1"/>
  <c r="M13746" i="1" s="1"/>
  <c r="L13754" i="1"/>
  <c r="M13754" i="1" s="1"/>
  <c r="L13882" i="1"/>
  <c r="M13882" i="1" s="1"/>
  <c r="L13890" i="1"/>
  <c r="M13890" i="1" s="1"/>
  <c r="L14018" i="1"/>
  <c r="M14018" i="1" s="1"/>
  <c r="L14026" i="1"/>
  <c r="M14026" i="1" s="1"/>
  <c r="L14154" i="1"/>
  <c r="M14154" i="1" s="1"/>
  <c r="L14162" i="1"/>
  <c r="M14162" i="1" s="1"/>
  <c r="L12940" i="1"/>
  <c r="M12940" i="1" s="1"/>
  <c r="L13067" i="1"/>
  <c r="M13067" i="1" s="1"/>
  <c r="L13075" i="1"/>
  <c r="M13075" i="1" s="1"/>
  <c r="L13203" i="1"/>
  <c r="M13203" i="1" s="1"/>
  <c r="L13211" i="1"/>
  <c r="M13211" i="1" s="1"/>
  <c r="L12944" i="1"/>
  <c r="M12944" i="1" s="1"/>
  <c r="L13068" i="1"/>
  <c r="M13068" i="1" s="1"/>
  <c r="L13076" i="1"/>
  <c r="M13076" i="1" s="1"/>
  <c r="L13204" i="1"/>
  <c r="M13204" i="1" s="1"/>
  <c r="L13212" i="1"/>
  <c r="M13212" i="1" s="1"/>
  <c r="L13340" i="1"/>
  <c r="M13340" i="1" s="1"/>
  <c r="L13348" i="1"/>
  <c r="M13348" i="1" s="1"/>
  <c r="L13476" i="1"/>
  <c r="M13476" i="1" s="1"/>
  <c r="L13484" i="1"/>
  <c r="M13484" i="1" s="1"/>
  <c r="L13612" i="1"/>
  <c r="M13612" i="1" s="1"/>
  <c r="L13620" i="1"/>
  <c r="M13620" i="1" s="1"/>
  <c r="L13748" i="1"/>
  <c r="M13748" i="1" s="1"/>
  <c r="L13756" i="1"/>
  <c r="M13756" i="1" s="1"/>
  <c r="L13884" i="1"/>
  <c r="M13884" i="1" s="1"/>
  <c r="L13892" i="1"/>
  <c r="M13892" i="1" s="1"/>
  <c r="L14020" i="1"/>
  <c r="M14020" i="1" s="1"/>
  <c r="L14028" i="1"/>
  <c r="M14028" i="1" s="1"/>
  <c r="L13069" i="1"/>
  <c r="M13069" i="1" s="1"/>
  <c r="L13077" i="1"/>
  <c r="M13077" i="1" s="1"/>
  <c r="L13205" i="1"/>
  <c r="M13205" i="1" s="1"/>
  <c r="L13213" i="1"/>
  <c r="M13213" i="1" s="1"/>
  <c r="L13341" i="1"/>
  <c r="M13341" i="1" s="1"/>
  <c r="L13349" i="1"/>
  <c r="M13349" i="1" s="1"/>
  <c r="L13477" i="1"/>
  <c r="M13477" i="1" s="1"/>
  <c r="L13485" i="1"/>
  <c r="M13485" i="1" s="1"/>
  <c r="L13613" i="1"/>
  <c r="M13613" i="1" s="1"/>
  <c r="L13621" i="1"/>
  <c r="M13621" i="1" s="1"/>
  <c r="L13749" i="1"/>
  <c r="M13749" i="1" s="1"/>
  <c r="L13757" i="1"/>
  <c r="M13757" i="1" s="1"/>
  <c r="L13885" i="1"/>
  <c r="M13885" i="1" s="1"/>
  <c r="L13893" i="1"/>
  <c r="M13893" i="1" s="1"/>
  <c r="L13070" i="1"/>
  <c r="M13070" i="1" s="1"/>
  <c r="L13078" i="1"/>
  <c r="M13078" i="1" s="1"/>
  <c r="L13206" i="1"/>
  <c r="M13206" i="1" s="1"/>
  <c r="L13214" i="1"/>
  <c r="M13214" i="1" s="1"/>
  <c r="L13342" i="1"/>
  <c r="M13342" i="1" s="1"/>
  <c r="L13350" i="1"/>
  <c r="M13350" i="1" s="1"/>
  <c r="L13478" i="1"/>
  <c r="M13478" i="1" s="1"/>
  <c r="L13486" i="1"/>
  <c r="M13486" i="1" s="1"/>
  <c r="L13614" i="1"/>
  <c r="M13614" i="1" s="1"/>
  <c r="L13622" i="1"/>
  <c r="M13622" i="1" s="1"/>
  <c r="L13750" i="1"/>
  <c r="M13750" i="1" s="1"/>
  <c r="L13758" i="1"/>
  <c r="M13758" i="1" s="1"/>
  <c r="L13886" i="1"/>
  <c r="M13886" i="1" s="1"/>
  <c r="L13894" i="1"/>
  <c r="M13894" i="1" s="1"/>
  <c r="L14022" i="1"/>
  <c r="M14022" i="1" s="1"/>
  <c r="L14030" i="1"/>
  <c r="M14030" i="1" s="1"/>
  <c r="L14158" i="1"/>
  <c r="M14158" i="1" s="1"/>
  <c r="L14166" i="1"/>
  <c r="M14166" i="1" s="1"/>
  <c r="L12931" i="1"/>
  <c r="M12931" i="1" s="1"/>
  <c r="L13071" i="1"/>
  <c r="M13071" i="1" s="1"/>
  <c r="L13079" i="1"/>
  <c r="M13079" i="1" s="1"/>
  <c r="L13207" i="1"/>
  <c r="M13207" i="1" s="1"/>
  <c r="L13215" i="1"/>
  <c r="M13215" i="1" s="1"/>
  <c r="L13343" i="1"/>
  <c r="M13343" i="1" s="1"/>
  <c r="L13351" i="1"/>
  <c r="M13351" i="1" s="1"/>
  <c r="L13479" i="1"/>
  <c r="M13479" i="1" s="1"/>
  <c r="L13487" i="1"/>
  <c r="M13487" i="1" s="1"/>
  <c r="L13615" i="1"/>
  <c r="M13615" i="1" s="1"/>
  <c r="L13623" i="1"/>
  <c r="M13623" i="1" s="1"/>
  <c r="L13751" i="1"/>
  <c r="M13751" i="1" s="1"/>
  <c r="L13759" i="1"/>
  <c r="M13759" i="1" s="1"/>
  <c r="L13887" i="1"/>
  <c r="M13887" i="1" s="1"/>
  <c r="L13895" i="1"/>
  <c r="M13895" i="1" s="1"/>
  <c r="L14023" i="1"/>
  <c r="M14023" i="1" s="1"/>
  <c r="L14031" i="1"/>
  <c r="M14031" i="1" s="1"/>
  <c r="L12932" i="1"/>
  <c r="M12932" i="1" s="1"/>
  <c r="L13072" i="1"/>
  <c r="M13072" i="1" s="1"/>
  <c r="L13080" i="1"/>
  <c r="M13080" i="1" s="1"/>
  <c r="L13208" i="1"/>
  <c r="M13208" i="1" s="1"/>
  <c r="L13216" i="1"/>
  <c r="M13216" i="1" s="1"/>
  <c r="L13344" i="1"/>
  <c r="M13344" i="1" s="1"/>
  <c r="L13352" i="1"/>
  <c r="M13352" i="1" s="1"/>
  <c r="L13480" i="1"/>
  <c r="M13480" i="1" s="1"/>
  <c r="L13488" i="1"/>
  <c r="M13488" i="1" s="1"/>
  <c r="L13616" i="1"/>
  <c r="M13616" i="1" s="1"/>
  <c r="L13624" i="1"/>
  <c r="M13624" i="1" s="1"/>
  <c r="L13752" i="1"/>
  <c r="M13752" i="1" s="1"/>
  <c r="L13760" i="1"/>
  <c r="M13760" i="1" s="1"/>
  <c r="L13888" i="1"/>
  <c r="M13888" i="1" s="1"/>
  <c r="L13896" i="1"/>
  <c r="M13896" i="1" s="1"/>
  <c r="L11979" i="1"/>
  <c r="M11979" i="1" s="1"/>
  <c r="L12523" i="1"/>
  <c r="M12523" i="1" s="1"/>
  <c r="L14024" i="1"/>
  <c r="M14024" i="1" s="1"/>
  <c r="L14156" i="1"/>
  <c r="M14156" i="1" s="1"/>
  <c r="L14167" i="1"/>
  <c r="M14167" i="1" s="1"/>
  <c r="L14294" i="1"/>
  <c r="M14294" i="1" s="1"/>
  <c r="L14302" i="1"/>
  <c r="M14302" i="1" s="1"/>
  <c r="L14021" i="1"/>
  <c r="M14021" i="1" s="1"/>
  <c r="L14301" i="1"/>
  <c r="M14301" i="1" s="1"/>
  <c r="L13339" i="1"/>
  <c r="M13339" i="1" s="1"/>
  <c r="L13475" i="1"/>
  <c r="M13475" i="1" s="1"/>
  <c r="L13611" i="1"/>
  <c r="M13611" i="1" s="1"/>
  <c r="L13747" i="1"/>
  <c r="M13747" i="1" s="1"/>
  <c r="L13883" i="1"/>
  <c r="M13883" i="1" s="1"/>
  <c r="L14025" i="1"/>
  <c r="M14025" i="1" s="1"/>
  <c r="L14157" i="1"/>
  <c r="M14157" i="1" s="1"/>
  <c r="L14168" i="1"/>
  <c r="M14168" i="1" s="1"/>
  <c r="L14295" i="1"/>
  <c r="M14295" i="1" s="1"/>
  <c r="L14303" i="1"/>
  <c r="M14303" i="1" s="1"/>
  <c r="L14165" i="1"/>
  <c r="M14165" i="1" s="1"/>
  <c r="L11571" i="1"/>
  <c r="M11571" i="1" s="1"/>
  <c r="L12115" i="1"/>
  <c r="M12115" i="1" s="1"/>
  <c r="L12659" i="1"/>
  <c r="M12659" i="1" s="1"/>
  <c r="L13345" i="1"/>
  <c r="M13345" i="1" s="1"/>
  <c r="L13481" i="1"/>
  <c r="M13481" i="1" s="1"/>
  <c r="L13617" i="1"/>
  <c r="M13617" i="1" s="1"/>
  <c r="L13753" i="1"/>
  <c r="M13753" i="1" s="1"/>
  <c r="L13889" i="1"/>
  <c r="M13889" i="1" s="1"/>
  <c r="L14027" i="1"/>
  <c r="M14027" i="1" s="1"/>
  <c r="L14159" i="1"/>
  <c r="M14159" i="1" s="1"/>
  <c r="L14169" i="1"/>
  <c r="M14169" i="1" s="1"/>
  <c r="L14296" i="1"/>
  <c r="M14296" i="1" s="1"/>
  <c r="L14304" i="1"/>
  <c r="M14304" i="1" s="1"/>
  <c r="L13081" i="1"/>
  <c r="M13081" i="1" s="1"/>
  <c r="L14155" i="1"/>
  <c r="M14155" i="1" s="1"/>
  <c r="L14293" i="1"/>
  <c r="M14293" i="1" s="1"/>
  <c r="L13347" i="1"/>
  <c r="M13347" i="1" s="1"/>
  <c r="L13483" i="1"/>
  <c r="M13483" i="1" s="1"/>
  <c r="L13619" i="1"/>
  <c r="M13619" i="1" s="1"/>
  <c r="L13755" i="1"/>
  <c r="M13755" i="1" s="1"/>
  <c r="L13891" i="1"/>
  <c r="M13891" i="1" s="1"/>
  <c r="L14029" i="1"/>
  <c r="M14029" i="1" s="1"/>
  <c r="L14160" i="1"/>
  <c r="M14160" i="1" s="1"/>
  <c r="L14297" i="1"/>
  <c r="M14297" i="1" s="1"/>
  <c r="L14305" i="1"/>
  <c r="M14305" i="1" s="1"/>
  <c r="L11707" i="1"/>
  <c r="M11707" i="1" s="1"/>
  <c r="L12251" i="1"/>
  <c r="M12251" i="1" s="1"/>
  <c r="L12795" i="1"/>
  <c r="M12795" i="1" s="1"/>
  <c r="L13353" i="1"/>
  <c r="M13353" i="1" s="1"/>
  <c r="L13489" i="1"/>
  <c r="M13489" i="1" s="1"/>
  <c r="L13625" i="1"/>
  <c r="M13625" i="1" s="1"/>
  <c r="L13761" i="1"/>
  <c r="M13761" i="1" s="1"/>
  <c r="L13897" i="1"/>
  <c r="M13897" i="1" s="1"/>
  <c r="L14032" i="1"/>
  <c r="M14032" i="1" s="1"/>
  <c r="L14161" i="1"/>
  <c r="M14161" i="1" s="1"/>
  <c r="L14290" i="1"/>
  <c r="M14290" i="1" s="1"/>
  <c r="L14298" i="1"/>
  <c r="M14298" i="1" s="1"/>
  <c r="L12936" i="1"/>
  <c r="M12936" i="1" s="1"/>
  <c r="L14033" i="1"/>
  <c r="M14033" i="1" s="1"/>
  <c r="L14163" i="1"/>
  <c r="M14163" i="1" s="1"/>
  <c r="L14291" i="1"/>
  <c r="M14291" i="1" s="1"/>
  <c r="L14299" i="1"/>
  <c r="M14299" i="1" s="1"/>
  <c r="L13217" i="1"/>
  <c r="M13217" i="1" s="1"/>
  <c r="L11843" i="1"/>
  <c r="M11843" i="1" s="1"/>
  <c r="L12387" i="1"/>
  <c r="M12387" i="1" s="1"/>
  <c r="L13073" i="1"/>
  <c r="M13073" i="1" s="1"/>
  <c r="L13209" i="1"/>
  <c r="M13209" i="1" s="1"/>
  <c r="L14019" i="1"/>
  <c r="M14019" i="1" s="1"/>
  <c r="L14164" i="1"/>
  <c r="M14164" i="1" s="1"/>
  <c r="L14292" i="1"/>
  <c r="M14292" i="1" s="1"/>
  <c r="L14300" i="1"/>
  <c r="M14300" i="1" s="1"/>
  <c r="M1324" i="1"/>
  <c r="L4094" i="1"/>
  <c r="M4094" i="1" s="1"/>
  <c r="L4102" i="1"/>
  <c r="M4102" i="1" s="1"/>
  <c r="L4230" i="1"/>
  <c r="M4230" i="1" s="1"/>
  <c r="L4238" i="1"/>
  <c r="M4238" i="1" s="1"/>
  <c r="L4366" i="1"/>
  <c r="M4366" i="1" s="1"/>
  <c r="L4374" i="1"/>
  <c r="M4374" i="1" s="1"/>
  <c r="L4502" i="1"/>
  <c r="M4502" i="1" s="1"/>
  <c r="L4510" i="1"/>
  <c r="M4510" i="1" s="1"/>
  <c r="L4638" i="1"/>
  <c r="M4638" i="1" s="1"/>
  <c r="L4646" i="1"/>
  <c r="M4646" i="1" s="1"/>
  <c r="L4774" i="1"/>
  <c r="M4774" i="1" s="1"/>
  <c r="L4782" i="1"/>
  <c r="M4782" i="1" s="1"/>
  <c r="L4910" i="1"/>
  <c r="M4910" i="1" s="1"/>
  <c r="L4918" i="1"/>
  <c r="M4918" i="1" s="1"/>
  <c r="L5046" i="1"/>
  <c r="M5046" i="1" s="1"/>
  <c r="L5054" i="1"/>
  <c r="M5054" i="1" s="1"/>
  <c r="L1386" i="1"/>
  <c r="M1386" i="1" s="1"/>
  <c r="L1394" i="1"/>
  <c r="M1394" i="1" s="1"/>
  <c r="L1506" i="1"/>
  <c r="M1506" i="1" s="1"/>
  <c r="L1514" i="1"/>
  <c r="M1514" i="1" s="1"/>
  <c r="L1666" i="1"/>
  <c r="M1666" i="1" s="1"/>
  <c r="L1674" i="1"/>
  <c r="M1674" i="1" s="1"/>
  <c r="L4095" i="1"/>
  <c r="M4095" i="1" s="1"/>
  <c r="L4103" i="1"/>
  <c r="M4103" i="1" s="1"/>
  <c r="L4231" i="1"/>
  <c r="M4231" i="1" s="1"/>
  <c r="L4239" i="1"/>
  <c r="M4239" i="1" s="1"/>
  <c r="L4367" i="1"/>
  <c r="M4367" i="1" s="1"/>
  <c r="L4375" i="1"/>
  <c r="M4375" i="1" s="1"/>
  <c r="L4503" i="1"/>
  <c r="M4503" i="1" s="1"/>
  <c r="L4511" i="1"/>
  <c r="M4511" i="1" s="1"/>
  <c r="L4639" i="1"/>
  <c r="M4639" i="1" s="1"/>
  <c r="L4647" i="1"/>
  <c r="M4647" i="1" s="1"/>
  <c r="L4775" i="1"/>
  <c r="M4775" i="1" s="1"/>
  <c r="L4783" i="1"/>
  <c r="M4783" i="1" s="1"/>
  <c r="L4911" i="1"/>
  <c r="M4911" i="1" s="1"/>
  <c r="L4919" i="1"/>
  <c r="M4919" i="1" s="1"/>
  <c r="L5047" i="1"/>
  <c r="M5047" i="1" s="1"/>
  <c r="L5055" i="1"/>
  <c r="M5055" i="1" s="1"/>
  <c r="L1387" i="1"/>
  <c r="M1387" i="1" s="1"/>
  <c r="L1395" i="1"/>
  <c r="M1395" i="1" s="1"/>
  <c r="L1507" i="1"/>
  <c r="M1507" i="1" s="1"/>
  <c r="L1515" i="1"/>
  <c r="M1515" i="1" s="1"/>
  <c r="L1667" i="1"/>
  <c r="M1667" i="1" s="1"/>
  <c r="L1675" i="1"/>
  <c r="M1675" i="1" s="1"/>
  <c r="L4096" i="1"/>
  <c r="M4096" i="1" s="1"/>
  <c r="L4104" i="1"/>
  <c r="M4104" i="1" s="1"/>
  <c r="L4232" i="1"/>
  <c r="M4232" i="1" s="1"/>
  <c r="L4240" i="1"/>
  <c r="M4240" i="1" s="1"/>
  <c r="L4368" i="1"/>
  <c r="M4368" i="1" s="1"/>
  <c r="L4376" i="1"/>
  <c r="M4376" i="1" s="1"/>
  <c r="L4504" i="1"/>
  <c r="M4504" i="1" s="1"/>
  <c r="L4512" i="1"/>
  <c r="M4512" i="1" s="1"/>
  <c r="L4640" i="1"/>
  <c r="M4640" i="1" s="1"/>
  <c r="L4648" i="1"/>
  <c r="M4648" i="1" s="1"/>
  <c r="L4776" i="1"/>
  <c r="M4776" i="1" s="1"/>
  <c r="L4784" i="1"/>
  <c r="M4784" i="1" s="1"/>
  <c r="L4912" i="1"/>
  <c r="M4912" i="1" s="1"/>
  <c r="L4920" i="1"/>
  <c r="M4920" i="1" s="1"/>
  <c r="L5048" i="1"/>
  <c r="M5048" i="1" s="1"/>
  <c r="L5056" i="1"/>
  <c r="M5056" i="1" s="1"/>
  <c r="L1388" i="1"/>
  <c r="M1388" i="1" s="1"/>
  <c r="L1396" i="1"/>
  <c r="M1396" i="1" s="1"/>
  <c r="L1508" i="1"/>
  <c r="M1508" i="1" s="1"/>
  <c r="L1516" i="1"/>
  <c r="M1516" i="1" s="1"/>
  <c r="L1660" i="1"/>
  <c r="M1660" i="1" s="1"/>
  <c r="L1668" i="1"/>
  <c r="M1668" i="1" s="1"/>
  <c r="L4097" i="1"/>
  <c r="M4097" i="1" s="1"/>
  <c r="L4105" i="1"/>
  <c r="M4105" i="1" s="1"/>
  <c r="L4233" i="1"/>
  <c r="M4233" i="1" s="1"/>
  <c r="L4241" i="1"/>
  <c r="M4241" i="1" s="1"/>
  <c r="L4369" i="1"/>
  <c r="M4369" i="1" s="1"/>
  <c r="L4377" i="1"/>
  <c r="M4377" i="1" s="1"/>
  <c r="L4505" i="1"/>
  <c r="M4505" i="1" s="1"/>
  <c r="L4513" i="1"/>
  <c r="M4513" i="1" s="1"/>
  <c r="L4641" i="1"/>
  <c r="M4641" i="1" s="1"/>
  <c r="L4649" i="1"/>
  <c r="M4649" i="1" s="1"/>
  <c r="L4777" i="1"/>
  <c r="M4777" i="1" s="1"/>
  <c r="L4785" i="1"/>
  <c r="M4785" i="1" s="1"/>
  <c r="L4913" i="1"/>
  <c r="M4913" i="1" s="1"/>
  <c r="L4921" i="1"/>
  <c r="M4921" i="1" s="1"/>
  <c r="L5049" i="1"/>
  <c r="M5049" i="1" s="1"/>
  <c r="L5057" i="1"/>
  <c r="M5057" i="1" s="1"/>
  <c r="L1389" i="1"/>
  <c r="M1389" i="1" s="1"/>
  <c r="L1397" i="1"/>
  <c r="M1397" i="1" s="1"/>
  <c r="L1509" i="1"/>
  <c r="M1509" i="1" s="1"/>
  <c r="L1517" i="1"/>
  <c r="M1517" i="1" s="1"/>
  <c r="L1661" i="1"/>
  <c r="M1661" i="1" s="1"/>
  <c r="L1669" i="1"/>
  <c r="M1669" i="1" s="1"/>
  <c r="L4091" i="1"/>
  <c r="M4091" i="1" s="1"/>
  <c r="L4099" i="1"/>
  <c r="M4099" i="1" s="1"/>
  <c r="L4227" i="1"/>
  <c r="M4227" i="1" s="1"/>
  <c r="L4235" i="1"/>
  <c r="M4235" i="1" s="1"/>
  <c r="L4363" i="1"/>
  <c r="M4363" i="1" s="1"/>
  <c r="L4371" i="1"/>
  <c r="M4371" i="1" s="1"/>
  <c r="L4499" i="1"/>
  <c r="M4499" i="1" s="1"/>
  <c r="L4507" i="1"/>
  <c r="M4507" i="1" s="1"/>
  <c r="L4635" i="1"/>
  <c r="M4635" i="1" s="1"/>
  <c r="L4643" i="1"/>
  <c r="M4643" i="1" s="1"/>
  <c r="L4771" i="1"/>
  <c r="M4771" i="1" s="1"/>
  <c r="L4779" i="1"/>
  <c r="M4779" i="1" s="1"/>
  <c r="L4907" i="1"/>
  <c r="M4907" i="1" s="1"/>
  <c r="L4915" i="1"/>
  <c r="M4915" i="1" s="1"/>
  <c r="L5043" i="1"/>
  <c r="M5043" i="1" s="1"/>
  <c r="L5051" i="1"/>
  <c r="M5051" i="1" s="1"/>
  <c r="L1391" i="1"/>
  <c r="M1391" i="1" s="1"/>
  <c r="L1399" i="1"/>
  <c r="M1399" i="1" s="1"/>
  <c r="L1511" i="1"/>
  <c r="M1511" i="1" s="1"/>
  <c r="L1519" i="1"/>
  <c r="M1519" i="1" s="1"/>
  <c r="L1663" i="1"/>
  <c r="M1663" i="1" s="1"/>
  <c r="L1671" i="1"/>
  <c r="M1671" i="1" s="1"/>
  <c r="L4092" i="1"/>
  <c r="M4092" i="1" s="1"/>
  <c r="L4100" i="1"/>
  <c r="M4100" i="1" s="1"/>
  <c r="L4228" i="1"/>
  <c r="M4228" i="1" s="1"/>
  <c r="L4236" i="1"/>
  <c r="M4236" i="1" s="1"/>
  <c r="L4364" i="1"/>
  <c r="M4364" i="1" s="1"/>
  <c r="L4372" i="1"/>
  <c r="M4372" i="1" s="1"/>
  <c r="L4500" i="1"/>
  <c r="M4500" i="1" s="1"/>
  <c r="L4508" i="1"/>
  <c r="M4508" i="1" s="1"/>
  <c r="L4636" i="1"/>
  <c r="M4636" i="1" s="1"/>
  <c r="L4644" i="1"/>
  <c r="M4644" i="1" s="1"/>
  <c r="L4772" i="1"/>
  <c r="M4772" i="1" s="1"/>
  <c r="L4780" i="1"/>
  <c r="M4780" i="1" s="1"/>
  <c r="L4908" i="1"/>
  <c r="M4908" i="1" s="1"/>
  <c r="L4916" i="1"/>
  <c r="M4916" i="1" s="1"/>
  <c r="L5044" i="1"/>
  <c r="M5044" i="1" s="1"/>
  <c r="L5052" i="1"/>
  <c r="M5052" i="1" s="1"/>
  <c r="L1392" i="1"/>
  <c r="M1392" i="1" s="1"/>
  <c r="L1400" i="1"/>
  <c r="M1400" i="1" s="1"/>
  <c r="L1512" i="1"/>
  <c r="M1512" i="1" s="1"/>
  <c r="L1520" i="1"/>
  <c r="M1520" i="1" s="1"/>
  <c r="L1664" i="1"/>
  <c r="M1664" i="1" s="1"/>
  <c r="L1672" i="1"/>
  <c r="M1672" i="1" s="1"/>
  <c r="L4093" i="1"/>
  <c r="M4093" i="1" s="1"/>
  <c r="L4101" i="1"/>
  <c r="M4101" i="1" s="1"/>
  <c r="L4229" i="1"/>
  <c r="M4229" i="1" s="1"/>
  <c r="L4237" i="1"/>
  <c r="M4237" i="1" s="1"/>
  <c r="L4365" i="1"/>
  <c r="M4365" i="1" s="1"/>
  <c r="L4373" i="1"/>
  <c r="M4373" i="1" s="1"/>
  <c r="L4501" i="1"/>
  <c r="M4501" i="1" s="1"/>
  <c r="L4509" i="1"/>
  <c r="M4509" i="1" s="1"/>
  <c r="L4637" i="1"/>
  <c r="M4637" i="1" s="1"/>
  <c r="L4645" i="1"/>
  <c r="M4645" i="1" s="1"/>
  <c r="L4773" i="1"/>
  <c r="M4773" i="1" s="1"/>
  <c r="L4781" i="1"/>
  <c r="M4781" i="1" s="1"/>
  <c r="L4909" i="1"/>
  <c r="M4909" i="1" s="1"/>
  <c r="L4917" i="1"/>
  <c r="M4917" i="1" s="1"/>
  <c r="L5045" i="1"/>
  <c r="M5045" i="1" s="1"/>
  <c r="L5053" i="1"/>
  <c r="M5053" i="1" s="1"/>
  <c r="L1393" i="1"/>
  <c r="M1393" i="1" s="1"/>
  <c r="L1401" i="1"/>
  <c r="M1401" i="1" s="1"/>
  <c r="L1513" i="1"/>
  <c r="M1513" i="1" s="1"/>
  <c r="L1521" i="1"/>
  <c r="M1521" i="1" s="1"/>
  <c r="L1665" i="1"/>
  <c r="M1665" i="1" s="1"/>
  <c r="L1673" i="1"/>
  <c r="M1673" i="1" s="1"/>
  <c r="L1662" i="1"/>
  <c r="M1662" i="1" s="1"/>
  <c r="L1785" i="1"/>
  <c r="M1785" i="1" s="1"/>
  <c r="L1793" i="1"/>
  <c r="M1793" i="1" s="1"/>
  <c r="L1921" i="1"/>
  <c r="M1921" i="1" s="1"/>
  <c r="L1929" i="1"/>
  <c r="M1929" i="1" s="1"/>
  <c r="L2073" i="1"/>
  <c r="M2073" i="1" s="1"/>
  <c r="L2081" i="1"/>
  <c r="M2081" i="1" s="1"/>
  <c r="L2209" i="1"/>
  <c r="M2209" i="1" s="1"/>
  <c r="L2217" i="1"/>
  <c r="M2217" i="1" s="1"/>
  <c r="L2345" i="1"/>
  <c r="M2345" i="1" s="1"/>
  <c r="L2353" i="1"/>
  <c r="M2353" i="1" s="1"/>
  <c r="L2489" i="1"/>
  <c r="M2489" i="1" s="1"/>
  <c r="L2497" i="1"/>
  <c r="M2497" i="1" s="1"/>
  <c r="L2625" i="1"/>
  <c r="M2625" i="1" s="1"/>
  <c r="L2633" i="1"/>
  <c r="M2633" i="1" s="1"/>
  <c r="L2761" i="1"/>
  <c r="M2761" i="1" s="1"/>
  <c r="L2769" i="1"/>
  <c r="M2769" i="1" s="1"/>
  <c r="L2897" i="1"/>
  <c r="M2897" i="1" s="1"/>
  <c r="L2905" i="1"/>
  <c r="M2905" i="1" s="1"/>
  <c r="L3017" i="1"/>
  <c r="M3017" i="1" s="1"/>
  <c r="L3025" i="1"/>
  <c r="M3025" i="1" s="1"/>
  <c r="L3169" i="1"/>
  <c r="M3169" i="1" s="1"/>
  <c r="L3177" i="1"/>
  <c r="M3177" i="1" s="1"/>
  <c r="L3289" i="1"/>
  <c r="M3289" i="1" s="1"/>
  <c r="L3297" i="1"/>
  <c r="M3297" i="1" s="1"/>
  <c r="L3441" i="1"/>
  <c r="M3441" i="1" s="1"/>
  <c r="L3449" i="1"/>
  <c r="M3449" i="1" s="1"/>
  <c r="L3561" i="1"/>
  <c r="M3561" i="1" s="1"/>
  <c r="L3569" i="1"/>
  <c r="M3569" i="1" s="1"/>
  <c r="L3721" i="1"/>
  <c r="M3721" i="1" s="1"/>
  <c r="L3729" i="1"/>
  <c r="M3729" i="1" s="1"/>
  <c r="L3833" i="1"/>
  <c r="M3833" i="1" s="1"/>
  <c r="L3961" i="1"/>
  <c r="M3961" i="1" s="1"/>
  <c r="L3969" i="1"/>
  <c r="M3969" i="1" s="1"/>
  <c r="L947" i="1"/>
  <c r="M947" i="1" s="1"/>
  <c r="L955" i="1"/>
  <c r="M955" i="1" s="1"/>
  <c r="L1083" i="1"/>
  <c r="M1083" i="1" s="1"/>
  <c r="L1091" i="1"/>
  <c r="M1091" i="1" s="1"/>
  <c r="L1219" i="1"/>
  <c r="M1219" i="1" s="1"/>
  <c r="L1227" i="1"/>
  <c r="M1227" i="1" s="1"/>
  <c r="L1670" i="1"/>
  <c r="M1670" i="1" s="1"/>
  <c r="L1786" i="1"/>
  <c r="M1786" i="1" s="1"/>
  <c r="L1794" i="1"/>
  <c r="M1794" i="1" s="1"/>
  <c r="L1922" i="1"/>
  <c r="M1922" i="1" s="1"/>
  <c r="L1930" i="1"/>
  <c r="M1930" i="1" s="1"/>
  <c r="L2074" i="1"/>
  <c r="M2074" i="1" s="1"/>
  <c r="L2082" i="1"/>
  <c r="M2082" i="1" s="1"/>
  <c r="L2210" i="1"/>
  <c r="M2210" i="1" s="1"/>
  <c r="L2218" i="1"/>
  <c r="M2218" i="1" s="1"/>
  <c r="L2346" i="1"/>
  <c r="M2346" i="1" s="1"/>
  <c r="L2354" i="1"/>
  <c r="M2354" i="1" s="1"/>
  <c r="L2482" i="1"/>
  <c r="M2482" i="1" s="1"/>
  <c r="L2490" i="1"/>
  <c r="M2490" i="1" s="1"/>
  <c r="L2626" i="1"/>
  <c r="M2626" i="1" s="1"/>
  <c r="L2634" i="1"/>
  <c r="M2634" i="1" s="1"/>
  <c r="L2762" i="1"/>
  <c r="M2762" i="1" s="1"/>
  <c r="L2770" i="1"/>
  <c r="M2770" i="1" s="1"/>
  <c r="L2898" i="1"/>
  <c r="M2898" i="1" s="1"/>
  <c r="L2906" i="1"/>
  <c r="M2906" i="1" s="1"/>
  <c r="L3018" i="1"/>
  <c r="M3018" i="1" s="1"/>
  <c r="L3026" i="1"/>
  <c r="M3026" i="1" s="1"/>
  <c r="L3170" i="1"/>
  <c r="M3170" i="1" s="1"/>
  <c r="L3178" i="1"/>
  <c r="M3178" i="1" s="1"/>
  <c r="L3290" i="1"/>
  <c r="M3290" i="1" s="1"/>
  <c r="L3298" i="1"/>
  <c r="M3298" i="1" s="1"/>
  <c r="L3442" i="1"/>
  <c r="M3442" i="1" s="1"/>
  <c r="L3450" i="1"/>
  <c r="M3450" i="1" s="1"/>
  <c r="L3562" i="1"/>
  <c r="M3562" i="1" s="1"/>
  <c r="L3570" i="1"/>
  <c r="M3570" i="1" s="1"/>
  <c r="L3722" i="1"/>
  <c r="M3722" i="1" s="1"/>
  <c r="L3730" i="1"/>
  <c r="M3730" i="1" s="1"/>
  <c r="L3834" i="1"/>
  <c r="M3834" i="1" s="1"/>
  <c r="L3954" i="1"/>
  <c r="M3954" i="1" s="1"/>
  <c r="L3962" i="1"/>
  <c r="M3962" i="1" s="1"/>
  <c r="L948" i="1"/>
  <c r="M948" i="1" s="1"/>
  <c r="L956" i="1"/>
  <c r="M956" i="1" s="1"/>
  <c r="L1084" i="1"/>
  <c r="M1084" i="1" s="1"/>
  <c r="L1092" i="1"/>
  <c r="M1092" i="1" s="1"/>
  <c r="L1220" i="1"/>
  <c r="M1220" i="1" s="1"/>
  <c r="L1228" i="1"/>
  <c r="M1228" i="1" s="1"/>
  <c r="L4090" i="1"/>
  <c r="M4090" i="1" s="1"/>
  <c r="L4226" i="1"/>
  <c r="M4226" i="1" s="1"/>
  <c r="L4362" i="1"/>
  <c r="M4362" i="1" s="1"/>
  <c r="L4498" i="1"/>
  <c r="M4498" i="1" s="1"/>
  <c r="L4634" i="1"/>
  <c r="M4634" i="1" s="1"/>
  <c r="L4770" i="1"/>
  <c r="M4770" i="1" s="1"/>
  <c r="L4906" i="1"/>
  <c r="M4906" i="1" s="1"/>
  <c r="L5042" i="1"/>
  <c r="M5042" i="1" s="1"/>
  <c r="L1787" i="1"/>
  <c r="M1787" i="1" s="1"/>
  <c r="L1795" i="1"/>
  <c r="M1795" i="1" s="1"/>
  <c r="L1923" i="1"/>
  <c r="M1923" i="1" s="1"/>
  <c r="L1931" i="1"/>
  <c r="M1931" i="1" s="1"/>
  <c r="L2075" i="1"/>
  <c r="M2075" i="1" s="1"/>
  <c r="L2083" i="1"/>
  <c r="M2083" i="1" s="1"/>
  <c r="L2211" i="1"/>
  <c r="M2211" i="1" s="1"/>
  <c r="L2219" i="1"/>
  <c r="M2219" i="1" s="1"/>
  <c r="L2347" i="1"/>
  <c r="M2347" i="1" s="1"/>
  <c r="L2355" i="1"/>
  <c r="M2355" i="1" s="1"/>
  <c r="L2483" i="1"/>
  <c r="M2483" i="1" s="1"/>
  <c r="L2491" i="1"/>
  <c r="M2491" i="1" s="1"/>
  <c r="L2619" i="1"/>
  <c r="M2619" i="1" s="1"/>
  <c r="L2627" i="1"/>
  <c r="M2627" i="1" s="1"/>
  <c r="L2763" i="1"/>
  <c r="M2763" i="1" s="1"/>
  <c r="L2771" i="1"/>
  <c r="M2771" i="1" s="1"/>
  <c r="L2899" i="1"/>
  <c r="M2899" i="1" s="1"/>
  <c r="L2907" i="1"/>
  <c r="M2907" i="1" s="1"/>
  <c r="L3019" i="1"/>
  <c r="M3019" i="1" s="1"/>
  <c r="L3027" i="1"/>
  <c r="M3027" i="1" s="1"/>
  <c r="L3171" i="1"/>
  <c r="M3171" i="1" s="1"/>
  <c r="L3179" i="1"/>
  <c r="M3179" i="1" s="1"/>
  <c r="L3291" i="1"/>
  <c r="M3291" i="1" s="1"/>
  <c r="L3299" i="1"/>
  <c r="M3299" i="1" s="1"/>
  <c r="L3443" i="1"/>
  <c r="M3443" i="1" s="1"/>
  <c r="L3451" i="1"/>
  <c r="M3451" i="1" s="1"/>
  <c r="L3563" i="1"/>
  <c r="M3563" i="1" s="1"/>
  <c r="L3571" i="1"/>
  <c r="M3571" i="1" s="1"/>
  <c r="L3715" i="1"/>
  <c r="M3715" i="1" s="1"/>
  <c r="L3723" i="1"/>
  <c r="M3723" i="1" s="1"/>
  <c r="L3835" i="1"/>
  <c r="M3835" i="1" s="1"/>
  <c r="L3907" i="1"/>
  <c r="M3907" i="1" s="1"/>
  <c r="L3923" i="1"/>
  <c r="M3923" i="1" s="1"/>
  <c r="L3955" i="1"/>
  <c r="M3955" i="1" s="1"/>
  <c r="L3963" i="1"/>
  <c r="M3963" i="1" s="1"/>
  <c r="L949" i="1"/>
  <c r="M949" i="1" s="1"/>
  <c r="L957" i="1"/>
  <c r="M957" i="1" s="1"/>
  <c r="L1085" i="1"/>
  <c r="M1085" i="1" s="1"/>
  <c r="L1093" i="1"/>
  <c r="M1093" i="1" s="1"/>
  <c r="L1221" i="1"/>
  <c r="M1221" i="1" s="1"/>
  <c r="L1229" i="1"/>
  <c r="M1229" i="1" s="1"/>
  <c r="L4098" i="1"/>
  <c r="M4098" i="1" s="1"/>
  <c r="L4234" i="1"/>
  <c r="M4234" i="1" s="1"/>
  <c r="L4370" i="1"/>
  <c r="M4370" i="1" s="1"/>
  <c r="L4506" i="1"/>
  <c r="M4506" i="1" s="1"/>
  <c r="L4642" i="1"/>
  <c r="M4642" i="1" s="1"/>
  <c r="L4778" i="1"/>
  <c r="M4778" i="1" s="1"/>
  <c r="L4914" i="1"/>
  <c r="M4914" i="1" s="1"/>
  <c r="L5050" i="1"/>
  <c r="M5050" i="1" s="1"/>
  <c r="L1780" i="1"/>
  <c r="M1780" i="1" s="1"/>
  <c r="L1788" i="1"/>
  <c r="M1788" i="1" s="1"/>
  <c r="L1924" i="1"/>
  <c r="M1924" i="1" s="1"/>
  <c r="L1932" i="1"/>
  <c r="M1932" i="1" s="1"/>
  <c r="L2076" i="1"/>
  <c r="M2076" i="1" s="1"/>
  <c r="L2084" i="1"/>
  <c r="M2084" i="1" s="1"/>
  <c r="L2212" i="1"/>
  <c r="M2212" i="1" s="1"/>
  <c r="L2220" i="1"/>
  <c r="M2220" i="1" s="1"/>
  <c r="L2348" i="1"/>
  <c r="M2348" i="1" s="1"/>
  <c r="L2356" i="1"/>
  <c r="M2356" i="1" s="1"/>
  <c r="L2484" i="1"/>
  <c r="M2484" i="1" s="1"/>
  <c r="L2492" i="1"/>
  <c r="M2492" i="1" s="1"/>
  <c r="L2620" i="1"/>
  <c r="M2620" i="1" s="1"/>
  <c r="L2628" i="1"/>
  <c r="M2628" i="1" s="1"/>
  <c r="L2756" i="1"/>
  <c r="M2756" i="1" s="1"/>
  <c r="L2764" i="1"/>
  <c r="M2764" i="1" s="1"/>
  <c r="L2900" i="1"/>
  <c r="M2900" i="1" s="1"/>
  <c r="L2908" i="1"/>
  <c r="M2908" i="1" s="1"/>
  <c r="L3020" i="1"/>
  <c r="M3020" i="1" s="1"/>
  <c r="L3028" i="1"/>
  <c r="M3028" i="1" s="1"/>
  <c r="L3172" i="1"/>
  <c r="M3172" i="1" s="1"/>
  <c r="L3180" i="1"/>
  <c r="M3180" i="1" s="1"/>
  <c r="L3292" i="1"/>
  <c r="M3292" i="1" s="1"/>
  <c r="L3300" i="1"/>
  <c r="M3300" i="1" s="1"/>
  <c r="L3444" i="1"/>
  <c r="M3444" i="1" s="1"/>
  <c r="L3452" i="1"/>
  <c r="M3452" i="1" s="1"/>
  <c r="L3564" i="1"/>
  <c r="M3564" i="1" s="1"/>
  <c r="L3572" i="1"/>
  <c r="M3572" i="1" s="1"/>
  <c r="L3716" i="1"/>
  <c r="M3716" i="1" s="1"/>
  <c r="L3724" i="1"/>
  <c r="M3724" i="1" s="1"/>
  <c r="L3828" i="1"/>
  <c r="M3828" i="1" s="1"/>
  <c r="L3836" i="1"/>
  <c r="M3836" i="1" s="1"/>
  <c r="L3956" i="1"/>
  <c r="M3956" i="1" s="1"/>
  <c r="L3964" i="1"/>
  <c r="M3964" i="1" s="1"/>
  <c r="L950" i="1"/>
  <c r="M950" i="1" s="1"/>
  <c r="L958" i="1"/>
  <c r="M958" i="1" s="1"/>
  <c r="L1086" i="1"/>
  <c r="M1086" i="1" s="1"/>
  <c r="L1094" i="1"/>
  <c r="M1094" i="1" s="1"/>
  <c r="L1222" i="1"/>
  <c r="M1222" i="1" s="1"/>
  <c r="L1230" i="1"/>
  <c r="M1230" i="1" s="1"/>
  <c r="L1518" i="1"/>
  <c r="M1518" i="1" s="1"/>
  <c r="L1782" i="1"/>
  <c r="M1782" i="1" s="1"/>
  <c r="L1790" i="1"/>
  <c r="M1790" i="1" s="1"/>
  <c r="L1918" i="1"/>
  <c r="M1918" i="1" s="1"/>
  <c r="L1926" i="1"/>
  <c r="M1926" i="1" s="1"/>
  <c r="L2078" i="1"/>
  <c r="M2078" i="1" s="1"/>
  <c r="L2086" i="1"/>
  <c r="M2086" i="1" s="1"/>
  <c r="L2214" i="1"/>
  <c r="M2214" i="1" s="1"/>
  <c r="L2222" i="1"/>
  <c r="M2222" i="1" s="1"/>
  <c r="L2350" i="1"/>
  <c r="M2350" i="1" s="1"/>
  <c r="L2358" i="1"/>
  <c r="M2358" i="1" s="1"/>
  <c r="L2486" i="1"/>
  <c r="M2486" i="1" s="1"/>
  <c r="L2494" i="1"/>
  <c r="M2494" i="1" s="1"/>
  <c r="L2622" i="1"/>
  <c r="M2622" i="1" s="1"/>
  <c r="L2630" i="1"/>
  <c r="M2630" i="1" s="1"/>
  <c r="L2758" i="1"/>
  <c r="M2758" i="1" s="1"/>
  <c r="L2766" i="1"/>
  <c r="M2766" i="1" s="1"/>
  <c r="L2894" i="1"/>
  <c r="M2894" i="1" s="1"/>
  <c r="L2902" i="1"/>
  <c r="M2902" i="1" s="1"/>
  <c r="L3014" i="1"/>
  <c r="M3014" i="1" s="1"/>
  <c r="L3022" i="1"/>
  <c r="M3022" i="1" s="1"/>
  <c r="L3174" i="1"/>
  <c r="M3174" i="1" s="1"/>
  <c r="L3182" i="1"/>
  <c r="M3182" i="1" s="1"/>
  <c r="L3294" i="1"/>
  <c r="M3294" i="1" s="1"/>
  <c r="L3302" i="1"/>
  <c r="M3302" i="1" s="1"/>
  <c r="L3446" i="1"/>
  <c r="M3446" i="1" s="1"/>
  <c r="L3454" i="1"/>
  <c r="M3454" i="1" s="1"/>
  <c r="L3566" i="1"/>
  <c r="M3566" i="1" s="1"/>
  <c r="L3574" i="1"/>
  <c r="M3574" i="1" s="1"/>
  <c r="L3718" i="1"/>
  <c r="M3718" i="1" s="1"/>
  <c r="L3726" i="1"/>
  <c r="M3726" i="1" s="1"/>
  <c r="L3830" i="1"/>
  <c r="M3830" i="1" s="1"/>
  <c r="L3958" i="1"/>
  <c r="M3958" i="1" s="1"/>
  <c r="L3966" i="1"/>
  <c r="M3966" i="1" s="1"/>
  <c r="L952" i="1"/>
  <c r="M952" i="1" s="1"/>
  <c r="L960" i="1"/>
  <c r="M960" i="1" s="1"/>
  <c r="L1088" i="1"/>
  <c r="M1088" i="1" s="1"/>
  <c r="L1096" i="1"/>
  <c r="M1096" i="1" s="1"/>
  <c r="L1224" i="1"/>
  <c r="M1224" i="1" s="1"/>
  <c r="L1232" i="1"/>
  <c r="M1232" i="1" s="1"/>
  <c r="L1390" i="1"/>
  <c r="M1390" i="1" s="1"/>
  <c r="L1783" i="1"/>
  <c r="M1783" i="1" s="1"/>
  <c r="L1791" i="1"/>
  <c r="M1791" i="1" s="1"/>
  <c r="L1919" i="1"/>
  <c r="M1919" i="1" s="1"/>
  <c r="L1927" i="1"/>
  <c r="M1927" i="1" s="1"/>
  <c r="L2071" i="1"/>
  <c r="M2071" i="1" s="1"/>
  <c r="L2079" i="1"/>
  <c r="M2079" i="1" s="1"/>
  <c r="L2215" i="1"/>
  <c r="M2215" i="1" s="1"/>
  <c r="L2223" i="1"/>
  <c r="M2223" i="1" s="1"/>
  <c r="L2351" i="1"/>
  <c r="M2351" i="1" s="1"/>
  <c r="L2359" i="1"/>
  <c r="M2359" i="1" s="1"/>
  <c r="L2487" i="1"/>
  <c r="M2487" i="1" s="1"/>
  <c r="L2495" i="1"/>
  <c r="M2495" i="1" s="1"/>
  <c r="L2623" i="1"/>
  <c r="M2623" i="1" s="1"/>
  <c r="L2631" i="1"/>
  <c r="M2631" i="1" s="1"/>
  <c r="L2759" i="1"/>
  <c r="M2759" i="1" s="1"/>
  <c r="L2767" i="1"/>
  <c r="M2767" i="1" s="1"/>
  <c r="L2895" i="1"/>
  <c r="M2895" i="1" s="1"/>
  <c r="L2903" i="1"/>
  <c r="M2903" i="1" s="1"/>
  <c r="L3015" i="1"/>
  <c r="M3015" i="1" s="1"/>
  <c r="L3023" i="1"/>
  <c r="M3023" i="1" s="1"/>
  <c r="L3167" i="1"/>
  <c r="M3167" i="1" s="1"/>
  <c r="L3175" i="1"/>
  <c r="M3175" i="1" s="1"/>
  <c r="L3287" i="1"/>
  <c r="M3287" i="1" s="1"/>
  <c r="L3295" i="1"/>
  <c r="M3295" i="1" s="1"/>
  <c r="L3447" i="1"/>
  <c r="M3447" i="1" s="1"/>
  <c r="L3455" i="1"/>
  <c r="M3455" i="1" s="1"/>
  <c r="L3567" i="1"/>
  <c r="M3567" i="1" s="1"/>
  <c r="L3575" i="1"/>
  <c r="M3575" i="1" s="1"/>
  <c r="L3719" i="1"/>
  <c r="M3719" i="1" s="1"/>
  <c r="L3727" i="1"/>
  <c r="M3727" i="1" s="1"/>
  <c r="L3831" i="1"/>
  <c r="M3831" i="1" s="1"/>
  <c r="L3959" i="1"/>
  <c r="M3959" i="1" s="1"/>
  <c r="L3967" i="1"/>
  <c r="M3967" i="1" s="1"/>
  <c r="L945" i="1"/>
  <c r="M945" i="1" s="1"/>
  <c r="L953" i="1"/>
  <c r="M953" i="1" s="1"/>
  <c r="L1081" i="1"/>
  <c r="M1081" i="1" s="1"/>
  <c r="L1089" i="1"/>
  <c r="M1089" i="1" s="1"/>
  <c r="L1217" i="1"/>
  <c r="M1217" i="1" s="1"/>
  <c r="L1225" i="1"/>
  <c r="M1225" i="1" s="1"/>
  <c r="L1398" i="1"/>
  <c r="M1398" i="1" s="1"/>
  <c r="L1784" i="1"/>
  <c r="M1784" i="1" s="1"/>
  <c r="L1792" i="1"/>
  <c r="M1792" i="1" s="1"/>
  <c r="L1920" i="1"/>
  <c r="M1920" i="1" s="1"/>
  <c r="L1928" i="1"/>
  <c r="M1928" i="1" s="1"/>
  <c r="L2072" i="1"/>
  <c r="M2072" i="1" s="1"/>
  <c r="L2080" i="1"/>
  <c r="M2080" i="1" s="1"/>
  <c r="L2208" i="1"/>
  <c r="M2208" i="1" s="1"/>
  <c r="L2216" i="1"/>
  <c r="M2216" i="1" s="1"/>
  <c r="L2352" i="1"/>
  <c r="M2352" i="1" s="1"/>
  <c r="L2360" i="1"/>
  <c r="M2360" i="1" s="1"/>
  <c r="L2488" i="1"/>
  <c r="M2488" i="1" s="1"/>
  <c r="L2496" i="1"/>
  <c r="M2496" i="1" s="1"/>
  <c r="L2624" i="1"/>
  <c r="M2624" i="1" s="1"/>
  <c r="L2632" i="1"/>
  <c r="M2632" i="1" s="1"/>
  <c r="L2760" i="1"/>
  <c r="M2760" i="1" s="1"/>
  <c r="L2768" i="1"/>
  <c r="M2768" i="1" s="1"/>
  <c r="L2896" i="1"/>
  <c r="M2896" i="1" s="1"/>
  <c r="L2904" i="1"/>
  <c r="M2904" i="1" s="1"/>
  <c r="L3016" i="1"/>
  <c r="M3016" i="1" s="1"/>
  <c r="L3024" i="1"/>
  <c r="M3024" i="1" s="1"/>
  <c r="L3168" i="1"/>
  <c r="M3168" i="1" s="1"/>
  <c r="L3176" i="1"/>
  <c r="M3176" i="1" s="1"/>
  <c r="L3288" i="1"/>
  <c r="M3288" i="1" s="1"/>
  <c r="L3296" i="1"/>
  <c r="M3296" i="1" s="1"/>
  <c r="L3448" i="1"/>
  <c r="M3448" i="1" s="1"/>
  <c r="L3456" i="1"/>
  <c r="M3456" i="1" s="1"/>
  <c r="L3568" i="1"/>
  <c r="M3568" i="1" s="1"/>
  <c r="L3576" i="1"/>
  <c r="M3576" i="1" s="1"/>
  <c r="L3720" i="1"/>
  <c r="M3720" i="1" s="1"/>
  <c r="L3728" i="1"/>
  <c r="M3728" i="1" s="1"/>
  <c r="L3832" i="1"/>
  <c r="M3832" i="1" s="1"/>
  <c r="L3960" i="1"/>
  <c r="M3960" i="1" s="1"/>
  <c r="L3968" i="1"/>
  <c r="M3968" i="1" s="1"/>
  <c r="L946" i="1"/>
  <c r="M946" i="1" s="1"/>
  <c r="L954" i="1"/>
  <c r="M954" i="1" s="1"/>
  <c r="L1082" i="1"/>
  <c r="M1082" i="1" s="1"/>
  <c r="L1090" i="1"/>
  <c r="M1090" i="1" s="1"/>
  <c r="L1218" i="1"/>
  <c r="M1218" i="1" s="1"/>
  <c r="L1226" i="1"/>
  <c r="M1226" i="1" s="1"/>
  <c r="L1781" i="1"/>
  <c r="M1781" i="1" s="1"/>
  <c r="L2357" i="1"/>
  <c r="M2357" i="1" s="1"/>
  <c r="L2485" i="1"/>
  <c r="M2485" i="1" s="1"/>
  <c r="L3453" i="1"/>
  <c r="M3453" i="1" s="1"/>
  <c r="L218" i="1"/>
  <c r="M218" i="1" s="1"/>
  <c r="L226" i="1"/>
  <c r="M226" i="1" s="1"/>
  <c r="L354" i="1"/>
  <c r="M354" i="1" s="1"/>
  <c r="L362" i="1"/>
  <c r="M362" i="1" s="1"/>
  <c r="L490" i="1"/>
  <c r="M490" i="1" s="1"/>
  <c r="L498" i="1"/>
  <c r="M498" i="1" s="1"/>
  <c r="L626" i="1"/>
  <c r="M626" i="1" s="1"/>
  <c r="L634" i="1"/>
  <c r="M634" i="1" s="1"/>
  <c r="L674" i="1"/>
  <c r="M674" i="1" s="1"/>
  <c r="L682" i="1"/>
  <c r="M682" i="1" s="1"/>
  <c r="L810" i="1"/>
  <c r="M810" i="1" s="1"/>
  <c r="L818" i="1"/>
  <c r="M818" i="1" s="1"/>
  <c r="L19" i="1"/>
  <c r="M19" i="1" s="1"/>
  <c r="L27" i="1"/>
  <c r="M27" i="1" s="1"/>
  <c r="L358" i="1"/>
  <c r="M358" i="1" s="1"/>
  <c r="L1789" i="1"/>
  <c r="M1789" i="1" s="1"/>
  <c r="L1917" i="1"/>
  <c r="M1917" i="1" s="1"/>
  <c r="L2493" i="1"/>
  <c r="M2493" i="1" s="1"/>
  <c r="L2621" i="1"/>
  <c r="M2621" i="1" s="1"/>
  <c r="L3013" i="1"/>
  <c r="M3013" i="1" s="1"/>
  <c r="L3717" i="1"/>
  <c r="M3717" i="1" s="1"/>
  <c r="L219" i="1"/>
  <c r="M219" i="1" s="1"/>
  <c r="L227" i="1"/>
  <c r="M227" i="1" s="1"/>
  <c r="L355" i="1"/>
  <c r="M355" i="1" s="1"/>
  <c r="L363" i="1"/>
  <c r="M363" i="1" s="1"/>
  <c r="L491" i="1"/>
  <c r="M491" i="1" s="1"/>
  <c r="L499" i="1"/>
  <c r="M499" i="1" s="1"/>
  <c r="L627" i="1"/>
  <c r="M627" i="1" s="1"/>
  <c r="L635" i="1"/>
  <c r="M635" i="1" s="1"/>
  <c r="L675" i="1"/>
  <c r="M675" i="1" s="1"/>
  <c r="L683" i="1"/>
  <c r="M683" i="1" s="1"/>
  <c r="L811" i="1"/>
  <c r="M811" i="1" s="1"/>
  <c r="L819" i="1"/>
  <c r="M819" i="1" s="1"/>
  <c r="L20" i="1"/>
  <c r="M20" i="1" s="1"/>
  <c r="L1510" i="1"/>
  <c r="M1510" i="1" s="1"/>
  <c r="L2901" i="1"/>
  <c r="M2901" i="1" s="1"/>
  <c r="L222" i="1"/>
  <c r="M222" i="1" s="1"/>
  <c r="L1925" i="1"/>
  <c r="M1925" i="1" s="1"/>
  <c r="L2629" i="1"/>
  <c r="M2629" i="1" s="1"/>
  <c r="L2757" i="1"/>
  <c r="M2757" i="1" s="1"/>
  <c r="L3021" i="1"/>
  <c r="M3021" i="1" s="1"/>
  <c r="L3725" i="1"/>
  <c r="M3725" i="1" s="1"/>
  <c r="L951" i="1"/>
  <c r="M951" i="1" s="1"/>
  <c r="L1087" i="1"/>
  <c r="M1087" i="1" s="1"/>
  <c r="L1223" i="1"/>
  <c r="M1223" i="1" s="1"/>
  <c r="L220" i="1"/>
  <c r="M220" i="1" s="1"/>
  <c r="L228" i="1"/>
  <c r="M228" i="1" s="1"/>
  <c r="L356" i="1"/>
  <c r="M356" i="1" s="1"/>
  <c r="L364" i="1"/>
  <c r="M364" i="1" s="1"/>
  <c r="L492" i="1"/>
  <c r="M492" i="1" s="1"/>
  <c r="L500" i="1"/>
  <c r="M500" i="1" s="1"/>
  <c r="L628" i="1"/>
  <c r="M628" i="1" s="1"/>
  <c r="L636" i="1"/>
  <c r="M636" i="1" s="1"/>
  <c r="L676" i="1"/>
  <c r="M676" i="1" s="1"/>
  <c r="L684" i="1"/>
  <c r="M684" i="1" s="1"/>
  <c r="L812" i="1"/>
  <c r="M812" i="1" s="1"/>
  <c r="L820" i="1"/>
  <c r="M820" i="1" s="1"/>
  <c r="L21" i="1"/>
  <c r="M21" i="1" s="1"/>
  <c r="L350" i="1"/>
  <c r="M350" i="1" s="1"/>
  <c r="L630" i="1"/>
  <c r="M630" i="1" s="1"/>
  <c r="L686" i="1"/>
  <c r="M686" i="1" s="1"/>
  <c r="L2765" i="1"/>
  <c r="M2765" i="1" s="1"/>
  <c r="L2893" i="1"/>
  <c r="M2893" i="1" s="1"/>
  <c r="L3293" i="1"/>
  <c r="M3293" i="1" s="1"/>
  <c r="L959" i="1"/>
  <c r="M959" i="1" s="1"/>
  <c r="L1095" i="1"/>
  <c r="M1095" i="1" s="1"/>
  <c r="L1231" i="1"/>
  <c r="M1231" i="1" s="1"/>
  <c r="L221" i="1"/>
  <c r="M221" i="1" s="1"/>
  <c r="L229" i="1"/>
  <c r="M229" i="1" s="1"/>
  <c r="L357" i="1"/>
  <c r="M357" i="1" s="1"/>
  <c r="L365" i="1"/>
  <c r="M365" i="1" s="1"/>
  <c r="L493" i="1"/>
  <c r="M493" i="1" s="1"/>
  <c r="L501" i="1"/>
  <c r="M501" i="1" s="1"/>
  <c r="L629" i="1"/>
  <c r="M629" i="1" s="1"/>
  <c r="L637" i="1"/>
  <c r="M637" i="1" s="1"/>
  <c r="L677" i="1"/>
  <c r="M677" i="1" s="1"/>
  <c r="L685" i="1"/>
  <c r="M685" i="1" s="1"/>
  <c r="L813" i="1"/>
  <c r="M813" i="1" s="1"/>
  <c r="L821" i="1"/>
  <c r="M821" i="1" s="1"/>
  <c r="L22" i="1"/>
  <c r="M22" i="1" s="1"/>
  <c r="L3957" i="1"/>
  <c r="M3957" i="1" s="1"/>
  <c r="L494" i="1"/>
  <c r="M494" i="1" s="1"/>
  <c r="L2077" i="1"/>
  <c r="M2077" i="1" s="1"/>
  <c r="L3173" i="1"/>
  <c r="M3173" i="1" s="1"/>
  <c r="L3565" i="1"/>
  <c r="M3565" i="1" s="1"/>
  <c r="L3829" i="1"/>
  <c r="M3829" i="1" s="1"/>
  <c r="L3965" i="1"/>
  <c r="M3965" i="1" s="1"/>
  <c r="L215" i="1"/>
  <c r="M215" i="1" s="1"/>
  <c r="L223" i="1"/>
  <c r="M223" i="1" s="1"/>
  <c r="L351" i="1"/>
  <c r="M351" i="1" s="1"/>
  <c r="L359" i="1"/>
  <c r="M359" i="1" s="1"/>
  <c r="L487" i="1"/>
  <c r="M487" i="1" s="1"/>
  <c r="L495" i="1"/>
  <c r="M495" i="1" s="1"/>
  <c r="L623" i="1"/>
  <c r="M623" i="1" s="1"/>
  <c r="L631" i="1"/>
  <c r="M631" i="1" s="1"/>
  <c r="L679" i="1"/>
  <c r="M679" i="1" s="1"/>
  <c r="L687" i="1"/>
  <c r="M687" i="1" s="1"/>
  <c r="L815" i="1"/>
  <c r="M815" i="1" s="1"/>
  <c r="L823" i="1"/>
  <c r="M823" i="1" s="1"/>
  <c r="L24" i="1"/>
  <c r="M24" i="1" s="1"/>
  <c r="L622" i="1"/>
  <c r="M622" i="1" s="1"/>
  <c r="L678" i="1"/>
  <c r="M678" i="1" s="1"/>
  <c r="L814" i="1"/>
  <c r="M814" i="1" s="1"/>
  <c r="L23" i="1"/>
  <c r="M23" i="1" s="1"/>
  <c r="L2085" i="1"/>
  <c r="M2085" i="1" s="1"/>
  <c r="L2213" i="1"/>
  <c r="M2213" i="1" s="1"/>
  <c r="L3181" i="1"/>
  <c r="M3181" i="1" s="1"/>
  <c r="L3573" i="1"/>
  <c r="M3573" i="1" s="1"/>
  <c r="L3837" i="1"/>
  <c r="M3837" i="1" s="1"/>
  <c r="L216" i="1"/>
  <c r="M216" i="1" s="1"/>
  <c r="L224" i="1"/>
  <c r="M224" i="1" s="1"/>
  <c r="L352" i="1"/>
  <c r="M352" i="1" s="1"/>
  <c r="L360" i="1"/>
  <c r="M360" i="1" s="1"/>
  <c r="L488" i="1"/>
  <c r="M488" i="1" s="1"/>
  <c r="L496" i="1"/>
  <c r="M496" i="1" s="1"/>
  <c r="L624" i="1"/>
  <c r="M624" i="1" s="1"/>
  <c r="L632" i="1"/>
  <c r="M632" i="1" s="1"/>
  <c r="L680" i="1"/>
  <c r="M680" i="1" s="1"/>
  <c r="L688" i="1"/>
  <c r="M688" i="1" s="1"/>
  <c r="L816" i="1"/>
  <c r="M816" i="1" s="1"/>
  <c r="L824" i="1"/>
  <c r="M824" i="1" s="1"/>
  <c r="L25" i="1"/>
  <c r="M25" i="1" s="1"/>
  <c r="L214" i="1"/>
  <c r="M214" i="1" s="1"/>
  <c r="L822" i="1"/>
  <c r="M822" i="1" s="1"/>
  <c r="L2221" i="1"/>
  <c r="M2221" i="1" s="1"/>
  <c r="L2349" i="1"/>
  <c r="M2349" i="1" s="1"/>
  <c r="L3445" i="1"/>
  <c r="M3445" i="1" s="1"/>
  <c r="L217" i="1"/>
  <c r="M217" i="1" s="1"/>
  <c r="L225" i="1"/>
  <c r="M225" i="1" s="1"/>
  <c r="L353" i="1"/>
  <c r="M353" i="1" s="1"/>
  <c r="L361" i="1"/>
  <c r="M361" i="1" s="1"/>
  <c r="L489" i="1"/>
  <c r="M489" i="1" s="1"/>
  <c r="L497" i="1"/>
  <c r="M497" i="1" s="1"/>
  <c r="L625" i="1"/>
  <c r="M625" i="1" s="1"/>
  <c r="L633" i="1"/>
  <c r="M633" i="1" s="1"/>
  <c r="L673" i="1"/>
  <c r="M673" i="1" s="1"/>
  <c r="L681" i="1"/>
  <c r="M681" i="1" s="1"/>
  <c r="L809" i="1"/>
  <c r="M809" i="1" s="1"/>
  <c r="L817" i="1"/>
  <c r="M817" i="1" s="1"/>
  <c r="L18" i="1"/>
  <c r="M18" i="1" s="1"/>
  <c r="L26" i="1"/>
  <c r="M26" i="1" s="1"/>
  <c r="L3301" i="1"/>
  <c r="M3301" i="1" s="1"/>
  <c r="L486" i="1"/>
  <c r="M486" i="1" s="1"/>
  <c r="J23" i="40"/>
  <c r="J50" i="40" s="1"/>
  <c r="K378" i="15"/>
  <c r="K382" i="15"/>
  <c r="K392" i="15"/>
  <c r="K374" i="15"/>
  <c r="K383" i="15"/>
  <c r="K387" i="15"/>
  <c r="K391" i="15"/>
  <c r="K370" i="15"/>
  <c r="K379" i="15"/>
  <c r="K375" i="15"/>
  <c r="K384" i="15"/>
  <c r="K388" i="15"/>
  <c r="K371" i="15"/>
  <c r="K380" i="15"/>
  <c r="K372" i="15"/>
  <c r="K376" i="15"/>
  <c r="K385" i="15"/>
  <c r="K389" i="15"/>
  <c r="K377" i="15"/>
  <c r="K381" i="15"/>
  <c r="K373" i="15"/>
  <c r="K386" i="15"/>
  <c r="K390" i="15"/>
  <c r="K296" i="15"/>
  <c r="K304" i="15"/>
  <c r="K312" i="15"/>
  <c r="K320" i="15"/>
  <c r="K328" i="15"/>
  <c r="K336" i="15"/>
  <c r="K344" i="15"/>
  <c r="K352" i="15"/>
  <c r="K360" i="15"/>
  <c r="K368" i="15"/>
  <c r="K313" i="15"/>
  <c r="K329" i="15"/>
  <c r="K345" i="15"/>
  <c r="K361" i="15"/>
  <c r="K306" i="15"/>
  <c r="K338" i="15"/>
  <c r="K297" i="15"/>
  <c r="K305" i="15"/>
  <c r="K321" i="15"/>
  <c r="K337" i="15"/>
  <c r="K353" i="15"/>
  <c r="K369" i="15"/>
  <c r="K322" i="15"/>
  <c r="K354" i="15"/>
  <c r="K298" i="15"/>
  <c r="K330" i="15"/>
  <c r="K362" i="15"/>
  <c r="K299" i="15"/>
  <c r="K307" i="15"/>
  <c r="K315" i="15"/>
  <c r="K323" i="15"/>
  <c r="K331" i="15"/>
  <c r="K339" i="15"/>
  <c r="K347" i="15"/>
  <c r="K355" i="15"/>
  <c r="K363" i="15"/>
  <c r="K302" i="15"/>
  <c r="K342" i="15"/>
  <c r="K366" i="15"/>
  <c r="K300" i="15"/>
  <c r="K308" i="15"/>
  <c r="K316" i="15"/>
  <c r="K324" i="15"/>
  <c r="K332" i="15"/>
  <c r="K340" i="15"/>
  <c r="K348" i="15"/>
  <c r="K356" i="15"/>
  <c r="K364" i="15"/>
  <c r="K317" i="15"/>
  <c r="K333" i="15"/>
  <c r="K349" i="15"/>
  <c r="K365" i="15"/>
  <c r="K318" i="15"/>
  <c r="K350" i="15"/>
  <c r="K301" i="15"/>
  <c r="K309" i="15"/>
  <c r="K325" i="15"/>
  <c r="K341" i="15"/>
  <c r="K357" i="15"/>
  <c r="K310" i="15"/>
  <c r="K326" i="15"/>
  <c r="K358" i="15"/>
  <c r="K294" i="15"/>
  <c r="K334" i="15"/>
  <c r="K295" i="15"/>
  <c r="K303" i="15"/>
  <c r="K311" i="15"/>
  <c r="K319" i="15"/>
  <c r="K327" i="15"/>
  <c r="K335" i="15"/>
  <c r="K343" i="15"/>
  <c r="K351" i="15"/>
  <c r="K359" i="15"/>
  <c r="K367" i="15"/>
  <c r="K314" i="15"/>
  <c r="K346" i="15"/>
  <c r="B1" i="35"/>
  <c r="L14535" i="1"/>
  <c r="M14535" i="1" s="1"/>
  <c r="L14543" i="1"/>
  <c r="M14543" i="1" s="1"/>
  <c r="L14671" i="1"/>
  <c r="M14671" i="1" s="1"/>
  <c r="L14679" i="1"/>
  <c r="M14679" i="1" s="1"/>
  <c r="L14807" i="1"/>
  <c r="M14807" i="1" s="1"/>
  <c r="L14815" i="1"/>
  <c r="M14815" i="1" s="1"/>
  <c r="L14943" i="1"/>
  <c r="M14943" i="1" s="1"/>
  <c r="L14951" i="1"/>
  <c r="M14951" i="1" s="1"/>
  <c r="L5146" i="1"/>
  <c r="M5146" i="1" s="1"/>
  <c r="L5154" i="1"/>
  <c r="M5154" i="1" s="1"/>
  <c r="L14528" i="1"/>
  <c r="M14528" i="1" s="1"/>
  <c r="L14536" i="1"/>
  <c r="M14536" i="1" s="1"/>
  <c r="L14664" i="1"/>
  <c r="M14664" i="1" s="1"/>
  <c r="L14672" i="1"/>
  <c r="M14672" i="1" s="1"/>
  <c r="L14800" i="1"/>
  <c r="M14800" i="1" s="1"/>
  <c r="L14808" i="1"/>
  <c r="M14808" i="1" s="1"/>
  <c r="L14936" i="1"/>
  <c r="M14936" i="1" s="1"/>
  <c r="L14944" i="1"/>
  <c r="M14944" i="1" s="1"/>
  <c r="L5147" i="1"/>
  <c r="M5147" i="1" s="1"/>
  <c r="L5155" i="1"/>
  <c r="M5155" i="1" s="1"/>
  <c r="L14529" i="1"/>
  <c r="M14529" i="1" s="1"/>
  <c r="L14537" i="1"/>
  <c r="M14537" i="1" s="1"/>
  <c r="L14665" i="1"/>
  <c r="M14665" i="1" s="1"/>
  <c r="L14673" i="1"/>
  <c r="M14673" i="1" s="1"/>
  <c r="L14801" i="1"/>
  <c r="M14801" i="1" s="1"/>
  <c r="L14809" i="1"/>
  <c r="M14809" i="1" s="1"/>
  <c r="L14937" i="1"/>
  <c r="M14937" i="1" s="1"/>
  <c r="L14945" i="1"/>
  <c r="M14945" i="1" s="1"/>
  <c r="L5148" i="1"/>
  <c r="M5148" i="1" s="1"/>
  <c r="L5156" i="1"/>
  <c r="M5156" i="1" s="1"/>
  <c r="L14530" i="1"/>
  <c r="M14530" i="1" s="1"/>
  <c r="L14538" i="1"/>
  <c r="M14538" i="1" s="1"/>
  <c r="L14666" i="1"/>
  <c r="M14666" i="1" s="1"/>
  <c r="L14674" i="1"/>
  <c r="M14674" i="1" s="1"/>
  <c r="L14802" i="1"/>
  <c r="M14802" i="1" s="1"/>
  <c r="L14810" i="1"/>
  <c r="M14810" i="1" s="1"/>
  <c r="L14938" i="1"/>
  <c r="M14938" i="1" s="1"/>
  <c r="L14946" i="1"/>
  <c r="M14946" i="1" s="1"/>
  <c r="L5149" i="1"/>
  <c r="M5149" i="1" s="1"/>
  <c r="L5157" i="1"/>
  <c r="M5157" i="1" s="1"/>
  <c r="L14531" i="1"/>
  <c r="M14531" i="1" s="1"/>
  <c r="L14539" i="1"/>
  <c r="M14539" i="1" s="1"/>
  <c r="L14667" i="1"/>
  <c r="M14667" i="1" s="1"/>
  <c r="L14675" i="1"/>
  <c r="M14675" i="1" s="1"/>
  <c r="L14803" i="1"/>
  <c r="M14803" i="1" s="1"/>
  <c r="L14811" i="1"/>
  <c r="M14811" i="1" s="1"/>
  <c r="L14939" i="1"/>
  <c r="M14939" i="1" s="1"/>
  <c r="L14947" i="1"/>
  <c r="M14947" i="1" s="1"/>
  <c r="L5150" i="1"/>
  <c r="M5150" i="1" s="1"/>
  <c r="L5158" i="1"/>
  <c r="M5158" i="1" s="1"/>
  <c r="L14532" i="1"/>
  <c r="M14532" i="1" s="1"/>
  <c r="L14540" i="1"/>
  <c r="M14540" i="1" s="1"/>
  <c r="L14668" i="1"/>
  <c r="M14668" i="1" s="1"/>
  <c r="L14676" i="1"/>
  <c r="M14676" i="1" s="1"/>
  <c r="L14804" i="1"/>
  <c r="M14804" i="1" s="1"/>
  <c r="L14812" i="1"/>
  <c r="M14812" i="1" s="1"/>
  <c r="L14940" i="1"/>
  <c r="M14940" i="1" s="1"/>
  <c r="L14948" i="1"/>
  <c r="M14948" i="1" s="1"/>
  <c r="L5151" i="1"/>
  <c r="M5151" i="1" s="1"/>
  <c r="L5159" i="1"/>
  <c r="M5159" i="1" s="1"/>
  <c r="L14533" i="1"/>
  <c r="M14533" i="1" s="1"/>
  <c r="L14541" i="1"/>
  <c r="M14541" i="1" s="1"/>
  <c r="L14669" i="1"/>
  <c r="M14669" i="1" s="1"/>
  <c r="L14677" i="1"/>
  <c r="M14677" i="1" s="1"/>
  <c r="L14805" i="1"/>
  <c r="M14805" i="1" s="1"/>
  <c r="L14813" i="1"/>
  <c r="M14813" i="1" s="1"/>
  <c r="L14941" i="1"/>
  <c r="M14941" i="1" s="1"/>
  <c r="L14949" i="1"/>
  <c r="M14949" i="1" s="1"/>
  <c r="L5144" i="1"/>
  <c r="M5144" i="1" s="1"/>
  <c r="L5152" i="1"/>
  <c r="M5152" i="1" s="1"/>
  <c r="L14534" i="1"/>
  <c r="M14534" i="1" s="1"/>
  <c r="L14542" i="1"/>
  <c r="M14542" i="1" s="1"/>
  <c r="L14670" i="1"/>
  <c r="M14670" i="1" s="1"/>
  <c r="L14678" i="1"/>
  <c r="M14678" i="1" s="1"/>
  <c r="L14806" i="1"/>
  <c r="M14806" i="1" s="1"/>
  <c r="L14814" i="1"/>
  <c r="M14814" i="1" s="1"/>
  <c r="L14942" i="1"/>
  <c r="M14942" i="1" s="1"/>
  <c r="L14950" i="1"/>
  <c r="M14950" i="1" s="1"/>
  <c r="L5145" i="1"/>
  <c r="M5145" i="1" s="1"/>
  <c r="L5153" i="1"/>
  <c r="M5153" i="1" s="1"/>
  <c r="L5283" i="1"/>
  <c r="M5283" i="1" s="1"/>
  <c r="L5291" i="1"/>
  <c r="M5291" i="1" s="1"/>
  <c r="L5419" i="1"/>
  <c r="M5419" i="1" s="1"/>
  <c r="L5427" i="1"/>
  <c r="M5427" i="1" s="1"/>
  <c r="L5555" i="1"/>
  <c r="M5555" i="1" s="1"/>
  <c r="L5563" i="1"/>
  <c r="M5563" i="1" s="1"/>
  <c r="L5691" i="1"/>
  <c r="M5691" i="1" s="1"/>
  <c r="L5699" i="1"/>
  <c r="M5699" i="1" s="1"/>
  <c r="L5827" i="1"/>
  <c r="M5827" i="1" s="1"/>
  <c r="L5835" i="1"/>
  <c r="M5835" i="1" s="1"/>
  <c r="L5284" i="1"/>
  <c r="M5284" i="1" s="1"/>
  <c r="L5292" i="1"/>
  <c r="M5292" i="1" s="1"/>
  <c r="L5420" i="1"/>
  <c r="M5420" i="1" s="1"/>
  <c r="L5428" i="1"/>
  <c r="M5428" i="1" s="1"/>
  <c r="L5556" i="1"/>
  <c r="M5556" i="1" s="1"/>
  <c r="L5564" i="1"/>
  <c r="M5564" i="1" s="1"/>
  <c r="L5692" i="1"/>
  <c r="M5692" i="1" s="1"/>
  <c r="L5700" i="1"/>
  <c r="M5700" i="1" s="1"/>
  <c r="L5828" i="1"/>
  <c r="M5828" i="1" s="1"/>
  <c r="L5836" i="1"/>
  <c r="M5836" i="1" s="1"/>
  <c r="L5285" i="1"/>
  <c r="M5285" i="1" s="1"/>
  <c r="L5293" i="1"/>
  <c r="M5293" i="1" s="1"/>
  <c r="L5421" i="1"/>
  <c r="M5421" i="1" s="1"/>
  <c r="L5429" i="1"/>
  <c r="M5429" i="1" s="1"/>
  <c r="L5557" i="1"/>
  <c r="M5557" i="1" s="1"/>
  <c r="L5565" i="1"/>
  <c r="M5565" i="1" s="1"/>
  <c r="L5693" i="1"/>
  <c r="M5693" i="1" s="1"/>
  <c r="L5701" i="1"/>
  <c r="M5701" i="1" s="1"/>
  <c r="L5829" i="1"/>
  <c r="M5829" i="1" s="1"/>
  <c r="L5837" i="1"/>
  <c r="M5837" i="1" s="1"/>
  <c r="L5286" i="1"/>
  <c r="M5286" i="1" s="1"/>
  <c r="L5294" i="1"/>
  <c r="M5294" i="1" s="1"/>
  <c r="L5422" i="1"/>
  <c r="M5422" i="1" s="1"/>
  <c r="L5430" i="1"/>
  <c r="M5430" i="1" s="1"/>
  <c r="L5558" i="1"/>
  <c r="M5558" i="1" s="1"/>
  <c r="L5566" i="1"/>
  <c r="M5566" i="1" s="1"/>
  <c r="L5694" i="1"/>
  <c r="M5694" i="1" s="1"/>
  <c r="L5702" i="1"/>
  <c r="M5702" i="1" s="1"/>
  <c r="L5830" i="1"/>
  <c r="M5830" i="1" s="1"/>
  <c r="L5838" i="1"/>
  <c r="M5838" i="1" s="1"/>
  <c r="L5966" i="1"/>
  <c r="M5966" i="1" s="1"/>
  <c r="L5974" i="1"/>
  <c r="M5974" i="1" s="1"/>
  <c r="L5287" i="1"/>
  <c r="M5287" i="1" s="1"/>
  <c r="L5295" i="1"/>
  <c r="M5295" i="1" s="1"/>
  <c r="L5423" i="1"/>
  <c r="M5423" i="1" s="1"/>
  <c r="L5431" i="1"/>
  <c r="M5431" i="1" s="1"/>
  <c r="L5559" i="1"/>
  <c r="M5559" i="1" s="1"/>
  <c r="L5567" i="1"/>
  <c r="M5567" i="1" s="1"/>
  <c r="L5695" i="1"/>
  <c r="M5695" i="1" s="1"/>
  <c r="L5703" i="1"/>
  <c r="M5703" i="1" s="1"/>
  <c r="L5831" i="1"/>
  <c r="M5831" i="1" s="1"/>
  <c r="L5839" i="1"/>
  <c r="M5839" i="1" s="1"/>
  <c r="L5280" i="1"/>
  <c r="M5280" i="1" s="1"/>
  <c r="L5288" i="1"/>
  <c r="M5288" i="1" s="1"/>
  <c r="L5416" i="1"/>
  <c r="M5416" i="1" s="1"/>
  <c r="L5424" i="1"/>
  <c r="M5424" i="1" s="1"/>
  <c r="L5552" i="1"/>
  <c r="M5552" i="1" s="1"/>
  <c r="L5560" i="1"/>
  <c r="M5560" i="1" s="1"/>
  <c r="L5688" i="1"/>
  <c r="M5688" i="1" s="1"/>
  <c r="L5696" i="1"/>
  <c r="M5696" i="1" s="1"/>
  <c r="L5824" i="1"/>
  <c r="M5824" i="1" s="1"/>
  <c r="L5832" i="1"/>
  <c r="M5832" i="1" s="1"/>
  <c r="L5281" i="1"/>
  <c r="M5281" i="1" s="1"/>
  <c r="L5289" i="1"/>
  <c r="M5289" i="1" s="1"/>
  <c r="L5417" i="1"/>
  <c r="M5417" i="1" s="1"/>
  <c r="L5425" i="1"/>
  <c r="M5425" i="1" s="1"/>
  <c r="L5553" i="1"/>
  <c r="M5553" i="1" s="1"/>
  <c r="L5561" i="1"/>
  <c r="M5561" i="1" s="1"/>
  <c r="L5689" i="1"/>
  <c r="M5689" i="1" s="1"/>
  <c r="L5697" i="1"/>
  <c r="M5697" i="1" s="1"/>
  <c r="L5825" i="1"/>
  <c r="M5825" i="1" s="1"/>
  <c r="L5833" i="1"/>
  <c r="M5833" i="1" s="1"/>
  <c r="L5282" i="1"/>
  <c r="M5282" i="1" s="1"/>
  <c r="L5290" i="1"/>
  <c r="M5290" i="1" s="1"/>
  <c r="L5418" i="1"/>
  <c r="M5418" i="1" s="1"/>
  <c r="L5426" i="1"/>
  <c r="M5426" i="1" s="1"/>
  <c r="L5554" i="1"/>
  <c r="M5554" i="1" s="1"/>
  <c r="L5562" i="1"/>
  <c r="M5562" i="1" s="1"/>
  <c r="L5690" i="1"/>
  <c r="M5690" i="1" s="1"/>
  <c r="L5698" i="1"/>
  <c r="M5698" i="1" s="1"/>
  <c r="L5826" i="1"/>
  <c r="M5826" i="1" s="1"/>
  <c r="L5834" i="1"/>
  <c r="M5834" i="1" s="1"/>
  <c r="L5962" i="1"/>
  <c r="M5962" i="1" s="1"/>
  <c r="L5970" i="1"/>
  <c r="M5970" i="1" s="1"/>
  <c r="L5965" i="1"/>
  <c r="M5965" i="1" s="1"/>
  <c r="L6101" i="1"/>
  <c r="M6101" i="1" s="1"/>
  <c r="L6109" i="1"/>
  <c r="M6109" i="1" s="1"/>
  <c r="L6237" i="1"/>
  <c r="M6237" i="1" s="1"/>
  <c r="L6245" i="1"/>
  <c r="M6245" i="1" s="1"/>
  <c r="L6373" i="1"/>
  <c r="M6373" i="1" s="1"/>
  <c r="L6381" i="1"/>
  <c r="M6381" i="1" s="1"/>
  <c r="L5967" i="1"/>
  <c r="M5967" i="1" s="1"/>
  <c r="L6102" i="1"/>
  <c r="M6102" i="1" s="1"/>
  <c r="L6110" i="1"/>
  <c r="M6110" i="1" s="1"/>
  <c r="L6238" i="1"/>
  <c r="M6238" i="1" s="1"/>
  <c r="L6246" i="1"/>
  <c r="M6246" i="1" s="1"/>
  <c r="L6374" i="1"/>
  <c r="M6374" i="1" s="1"/>
  <c r="L6382" i="1"/>
  <c r="M6382" i="1" s="1"/>
  <c r="L5968" i="1"/>
  <c r="M5968" i="1" s="1"/>
  <c r="L6103" i="1"/>
  <c r="M6103" i="1" s="1"/>
  <c r="L6111" i="1"/>
  <c r="M6111" i="1" s="1"/>
  <c r="L6239" i="1"/>
  <c r="M6239" i="1" s="1"/>
  <c r="L6247" i="1"/>
  <c r="M6247" i="1" s="1"/>
  <c r="L6375" i="1"/>
  <c r="M6375" i="1" s="1"/>
  <c r="L6383" i="1"/>
  <c r="M6383" i="1" s="1"/>
  <c r="L5969" i="1"/>
  <c r="M5969" i="1" s="1"/>
  <c r="L6096" i="1"/>
  <c r="M6096" i="1" s="1"/>
  <c r="L6104" i="1"/>
  <c r="M6104" i="1" s="1"/>
  <c r="L6232" i="1"/>
  <c r="M6232" i="1" s="1"/>
  <c r="L6240" i="1"/>
  <c r="M6240" i="1" s="1"/>
  <c r="L6368" i="1"/>
  <c r="M6368" i="1" s="1"/>
  <c r="L6376" i="1"/>
  <c r="M6376" i="1" s="1"/>
  <c r="L6504" i="1"/>
  <c r="M6504" i="1" s="1"/>
  <c r="L6512" i="1"/>
  <c r="M6512" i="1" s="1"/>
  <c r="L5960" i="1"/>
  <c r="M5960" i="1" s="1"/>
  <c r="L5971" i="1"/>
  <c r="M5971" i="1" s="1"/>
  <c r="L6097" i="1"/>
  <c r="M6097" i="1" s="1"/>
  <c r="L6105" i="1"/>
  <c r="M6105" i="1" s="1"/>
  <c r="L6233" i="1"/>
  <c r="M6233" i="1" s="1"/>
  <c r="L6241" i="1"/>
  <c r="M6241" i="1" s="1"/>
  <c r="L6369" i="1"/>
  <c r="M6369" i="1" s="1"/>
  <c r="L6377" i="1"/>
  <c r="M6377" i="1" s="1"/>
  <c r="L5961" i="1"/>
  <c r="M5961" i="1" s="1"/>
  <c r="L5972" i="1"/>
  <c r="M5972" i="1" s="1"/>
  <c r="L6098" i="1"/>
  <c r="M6098" i="1" s="1"/>
  <c r="L6106" i="1"/>
  <c r="M6106" i="1" s="1"/>
  <c r="L6234" i="1"/>
  <c r="M6234" i="1" s="1"/>
  <c r="L6242" i="1"/>
  <c r="M6242" i="1" s="1"/>
  <c r="L6370" i="1"/>
  <c r="M6370" i="1" s="1"/>
  <c r="L6378" i="1"/>
  <c r="M6378" i="1" s="1"/>
  <c r="L5963" i="1"/>
  <c r="M5963" i="1" s="1"/>
  <c r="L5973" i="1"/>
  <c r="M5973" i="1" s="1"/>
  <c r="L6099" i="1"/>
  <c r="M6099" i="1" s="1"/>
  <c r="L6107" i="1"/>
  <c r="M6107" i="1" s="1"/>
  <c r="L6235" i="1"/>
  <c r="M6235" i="1" s="1"/>
  <c r="L6243" i="1"/>
  <c r="M6243" i="1" s="1"/>
  <c r="L6371" i="1"/>
  <c r="M6371" i="1" s="1"/>
  <c r="L6379" i="1"/>
  <c r="M6379" i="1" s="1"/>
  <c r="L6507" i="1"/>
  <c r="M6507" i="1" s="1"/>
  <c r="L5964" i="1"/>
  <c r="M5964" i="1" s="1"/>
  <c r="L5975" i="1"/>
  <c r="M5975" i="1" s="1"/>
  <c r="L6100" i="1"/>
  <c r="M6100" i="1" s="1"/>
  <c r="L6108" i="1"/>
  <c r="M6108" i="1" s="1"/>
  <c r="L6236" i="1"/>
  <c r="M6236" i="1" s="1"/>
  <c r="L6244" i="1"/>
  <c r="M6244" i="1" s="1"/>
  <c r="L6372" i="1"/>
  <c r="M6372" i="1" s="1"/>
  <c r="L6380" i="1"/>
  <c r="M6380" i="1" s="1"/>
  <c r="L6508" i="1"/>
  <c r="M6508" i="1" s="1"/>
  <c r="L6516" i="1"/>
  <c r="M6516" i="1" s="1"/>
  <c r="L6506" i="1"/>
  <c r="M6506" i="1" s="1"/>
  <c r="L6518" i="1"/>
  <c r="M6518" i="1" s="1"/>
  <c r="L6641" i="1"/>
  <c r="M6641" i="1" s="1"/>
  <c r="L6649" i="1"/>
  <c r="M6649" i="1" s="1"/>
  <c r="L6777" i="1"/>
  <c r="M6777" i="1" s="1"/>
  <c r="L6785" i="1"/>
  <c r="M6785" i="1" s="1"/>
  <c r="L6913" i="1"/>
  <c r="M6913" i="1" s="1"/>
  <c r="L6921" i="1"/>
  <c r="M6921" i="1" s="1"/>
  <c r="L7049" i="1"/>
  <c r="M7049" i="1" s="1"/>
  <c r="L7057" i="1"/>
  <c r="M7057" i="1" s="1"/>
  <c r="L7185" i="1"/>
  <c r="M7185" i="1" s="1"/>
  <c r="L7193" i="1"/>
  <c r="M7193" i="1" s="1"/>
  <c r="L6509" i="1"/>
  <c r="M6509" i="1" s="1"/>
  <c r="L6519" i="1"/>
  <c r="M6519" i="1" s="1"/>
  <c r="L6642" i="1"/>
  <c r="M6642" i="1" s="1"/>
  <c r="L6650" i="1"/>
  <c r="M6650" i="1" s="1"/>
  <c r="L6778" i="1"/>
  <c r="M6778" i="1" s="1"/>
  <c r="L6786" i="1"/>
  <c r="M6786" i="1" s="1"/>
  <c r="L6914" i="1"/>
  <c r="M6914" i="1" s="1"/>
  <c r="L6922" i="1"/>
  <c r="M6922" i="1" s="1"/>
  <c r="L6510" i="1"/>
  <c r="M6510" i="1" s="1"/>
  <c r="L6643" i="1"/>
  <c r="M6643" i="1" s="1"/>
  <c r="L6651" i="1"/>
  <c r="M6651" i="1" s="1"/>
  <c r="L6779" i="1"/>
  <c r="M6779" i="1" s="1"/>
  <c r="L6787" i="1"/>
  <c r="M6787" i="1" s="1"/>
  <c r="L6511" i="1"/>
  <c r="M6511" i="1" s="1"/>
  <c r="L6644" i="1"/>
  <c r="M6644" i="1" s="1"/>
  <c r="L6652" i="1"/>
  <c r="M6652" i="1" s="1"/>
  <c r="L6780" i="1"/>
  <c r="M6780" i="1" s="1"/>
  <c r="L6788" i="1"/>
  <c r="M6788" i="1" s="1"/>
  <c r="L6916" i="1"/>
  <c r="M6916" i="1" s="1"/>
  <c r="L6924" i="1"/>
  <c r="M6924" i="1" s="1"/>
  <c r="L7052" i="1"/>
  <c r="M7052" i="1" s="1"/>
  <c r="L7060" i="1"/>
  <c r="M7060" i="1" s="1"/>
  <c r="L7188" i="1"/>
  <c r="M7188" i="1" s="1"/>
  <c r="L7196" i="1"/>
  <c r="M7196" i="1" s="1"/>
  <c r="L7324" i="1"/>
  <c r="M7324" i="1" s="1"/>
  <c r="L7332" i="1"/>
  <c r="M7332" i="1" s="1"/>
  <c r="L6513" i="1"/>
  <c r="M6513" i="1" s="1"/>
  <c r="L6645" i="1"/>
  <c r="M6645" i="1" s="1"/>
  <c r="L6653" i="1"/>
  <c r="M6653" i="1" s="1"/>
  <c r="L6781" i="1"/>
  <c r="M6781" i="1" s="1"/>
  <c r="L6789" i="1"/>
  <c r="M6789" i="1" s="1"/>
  <c r="L6917" i="1"/>
  <c r="M6917" i="1" s="1"/>
  <c r="L6925" i="1"/>
  <c r="M6925" i="1" s="1"/>
  <c r="L7053" i="1"/>
  <c r="M7053" i="1" s="1"/>
  <c r="L7061" i="1"/>
  <c r="M7061" i="1" s="1"/>
  <c r="L7189" i="1"/>
  <c r="M7189" i="1" s="1"/>
  <c r="L7197" i="1"/>
  <c r="M7197" i="1" s="1"/>
  <c r="L6514" i="1"/>
  <c r="M6514" i="1" s="1"/>
  <c r="L6646" i="1"/>
  <c r="M6646" i="1" s="1"/>
  <c r="L6654" i="1"/>
  <c r="M6654" i="1" s="1"/>
  <c r="L6782" i="1"/>
  <c r="M6782" i="1" s="1"/>
  <c r="L6790" i="1"/>
  <c r="M6790" i="1" s="1"/>
  <c r="L6918" i="1"/>
  <c r="M6918" i="1" s="1"/>
  <c r="L6926" i="1"/>
  <c r="M6926" i="1" s="1"/>
  <c r="L7054" i="1"/>
  <c r="M7054" i="1" s="1"/>
  <c r="L7062" i="1"/>
  <c r="M7062" i="1" s="1"/>
  <c r="L6515" i="1"/>
  <c r="M6515" i="1" s="1"/>
  <c r="L6647" i="1"/>
  <c r="M6647" i="1" s="1"/>
  <c r="L6655" i="1"/>
  <c r="M6655" i="1" s="1"/>
  <c r="L6783" i="1"/>
  <c r="M6783" i="1" s="1"/>
  <c r="L6791" i="1"/>
  <c r="M6791" i="1" s="1"/>
  <c r="L6919" i="1"/>
  <c r="M6919" i="1" s="1"/>
  <c r="L6927" i="1"/>
  <c r="M6927" i="1" s="1"/>
  <c r="L7055" i="1"/>
  <c r="M7055" i="1" s="1"/>
  <c r="L7063" i="1"/>
  <c r="M7063" i="1" s="1"/>
  <c r="L6505" i="1"/>
  <c r="M6505" i="1" s="1"/>
  <c r="L6517" i="1"/>
  <c r="M6517" i="1" s="1"/>
  <c r="L6640" i="1"/>
  <c r="M6640" i="1" s="1"/>
  <c r="L6648" i="1"/>
  <c r="M6648" i="1" s="1"/>
  <c r="L6776" i="1"/>
  <c r="M6776" i="1" s="1"/>
  <c r="L6784" i="1"/>
  <c r="M6784" i="1" s="1"/>
  <c r="L6912" i="1"/>
  <c r="M6912" i="1" s="1"/>
  <c r="L6920" i="1"/>
  <c r="M6920" i="1" s="1"/>
  <c r="L7048" i="1"/>
  <c r="M7048" i="1" s="1"/>
  <c r="L7056" i="1"/>
  <c r="M7056" i="1" s="1"/>
  <c r="L7184" i="1"/>
  <c r="M7184" i="1" s="1"/>
  <c r="L7192" i="1"/>
  <c r="M7192" i="1" s="1"/>
  <c r="L7320" i="1"/>
  <c r="M7320" i="1" s="1"/>
  <c r="L7328" i="1"/>
  <c r="M7328" i="1" s="1"/>
  <c r="L6923" i="1"/>
  <c r="M6923" i="1" s="1"/>
  <c r="L7199" i="1"/>
  <c r="M7199" i="1" s="1"/>
  <c r="L7330" i="1"/>
  <c r="M7330" i="1" s="1"/>
  <c r="L7460" i="1"/>
  <c r="M7460" i="1" s="1"/>
  <c r="L7468" i="1"/>
  <c r="M7468" i="1" s="1"/>
  <c r="L7596" i="1"/>
  <c r="M7596" i="1" s="1"/>
  <c r="L7604" i="1"/>
  <c r="M7604" i="1" s="1"/>
  <c r="L7732" i="1"/>
  <c r="M7732" i="1" s="1"/>
  <c r="L7740" i="1"/>
  <c r="M7740" i="1" s="1"/>
  <c r="L7852" i="1"/>
  <c r="M7852" i="1" s="1"/>
  <c r="L7860" i="1"/>
  <c r="M7860" i="1" s="1"/>
  <c r="L7186" i="1"/>
  <c r="M7186" i="1" s="1"/>
  <c r="L7321" i="1"/>
  <c r="M7321" i="1" s="1"/>
  <c r="L7331" i="1"/>
  <c r="M7331" i="1" s="1"/>
  <c r="L7461" i="1"/>
  <c r="M7461" i="1" s="1"/>
  <c r="L7469" i="1"/>
  <c r="M7469" i="1" s="1"/>
  <c r="L7597" i="1"/>
  <c r="M7597" i="1" s="1"/>
  <c r="L7605" i="1"/>
  <c r="M7605" i="1" s="1"/>
  <c r="L7733" i="1"/>
  <c r="M7733" i="1" s="1"/>
  <c r="L7741" i="1"/>
  <c r="M7741" i="1" s="1"/>
  <c r="L7853" i="1"/>
  <c r="M7853" i="1" s="1"/>
  <c r="L7861" i="1"/>
  <c r="M7861" i="1" s="1"/>
  <c r="L7050" i="1"/>
  <c r="M7050" i="1" s="1"/>
  <c r="L7187" i="1"/>
  <c r="M7187" i="1" s="1"/>
  <c r="L7322" i="1"/>
  <c r="M7322" i="1" s="1"/>
  <c r="L7333" i="1"/>
  <c r="M7333" i="1" s="1"/>
  <c r="L7462" i="1"/>
  <c r="M7462" i="1" s="1"/>
  <c r="L7470" i="1"/>
  <c r="M7470" i="1" s="1"/>
  <c r="L7598" i="1"/>
  <c r="M7598" i="1" s="1"/>
  <c r="L7606" i="1"/>
  <c r="M7606" i="1" s="1"/>
  <c r="L7734" i="1"/>
  <c r="M7734" i="1" s="1"/>
  <c r="L7742" i="1"/>
  <c r="M7742" i="1" s="1"/>
  <c r="L7854" i="1"/>
  <c r="M7854" i="1" s="1"/>
  <c r="L7862" i="1"/>
  <c r="M7862" i="1" s="1"/>
  <c r="L7051" i="1"/>
  <c r="M7051" i="1" s="1"/>
  <c r="L7190" i="1"/>
  <c r="M7190" i="1" s="1"/>
  <c r="L7323" i="1"/>
  <c r="M7323" i="1" s="1"/>
  <c r="L7334" i="1"/>
  <c r="M7334" i="1" s="1"/>
  <c r="L7463" i="1"/>
  <c r="M7463" i="1" s="1"/>
  <c r="L7471" i="1"/>
  <c r="M7471" i="1" s="1"/>
  <c r="L7599" i="1"/>
  <c r="M7599" i="1" s="1"/>
  <c r="L7607" i="1"/>
  <c r="M7607" i="1" s="1"/>
  <c r="L7735" i="1"/>
  <c r="M7735" i="1" s="1"/>
  <c r="L7743" i="1"/>
  <c r="M7743" i="1" s="1"/>
  <c r="L7847" i="1"/>
  <c r="M7847" i="1" s="1"/>
  <c r="L7855" i="1"/>
  <c r="M7855" i="1" s="1"/>
  <c r="L7058" i="1"/>
  <c r="M7058" i="1" s="1"/>
  <c r="L7191" i="1"/>
  <c r="M7191" i="1" s="1"/>
  <c r="L7325" i="1"/>
  <c r="M7325" i="1" s="1"/>
  <c r="L7335" i="1"/>
  <c r="M7335" i="1" s="1"/>
  <c r="L7456" i="1"/>
  <c r="M7456" i="1" s="1"/>
  <c r="L7464" i="1"/>
  <c r="M7464" i="1" s="1"/>
  <c r="L7592" i="1"/>
  <c r="M7592" i="1" s="1"/>
  <c r="L7600" i="1"/>
  <c r="M7600" i="1" s="1"/>
  <c r="L7728" i="1"/>
  <c r="M7728" i="1" s="1"/>
  <c r="L7736" i="1"/>
  <c r="M7736" i="1" s="1"/>
  <c r="L7848" i="1"/>
  <c r="M7848" i="1" s="1"/>
  <c r="L7856" i="1"/>
  <c r="M7856" i="1" s="1"/>
  <c r="L7059" i="1"/>
  <c r="M7059" i="1" s="1"/>
  <c r="L7194" i="1"/>
  <c r="M7194" i="1" s="1"/>
  <c r="L7326" i="1"/>
  <c r="M7326" i="1" s="1"/>
  <c r="L7457" i="1"/>
  <c r="M7457" i="1" s="1"/>
  <c r="L7465" i="1"/>
  <c r="M7465" i="1" s="1"/>
  <c r="L7593" i="1"/>
  <c r="M7593" i="1" s="1"/>
  <c r="L7601" i="1"/>
  <c r="M7601" i="1" s="1"/>
  <c r="L7729" i="1"/>
  <c r="M7729" i="1" s="1"/>
  <c r="L7737" i="1"/>
  <c r="M7737" i="1" s="1"/>
  <c r="L7849" i="1"/>
  <c r="M7849" i="1" s="1"/>
  <c r="L7857" i="1"/>
  <c r="M7857" i="1" s="1"/>
  <c r="L7195" i="1"/>
  <c r="M7195" i="1" s="1"/>
  <c r="L7327" i="1"/>
  <c r="M7327" i="1" s="1"/>
  <c r="L7458" i="1"/>
  <c r="M7458" i="1" s="1"/>
  <c r="L7466" i="1"/>
  <c r="M7466" i="1" s="1"/>
  <c r="L7594" i="1"/>
  <c r="M7594" i="1" s="1"/>
  <c r="L7602" i="1"/>
  <c r="M7602" i="1" s="1"/>
  <c r="L7730" i="1"/>
  <c r="M7730" i="1" s="1"/>
  <c r="L7738" i="1"/>
  <c r="M7738" i="1" s="1"/>
  <c r="L7850" i="1"/>
  <c r="M7850" i="1" s="1"/>
  <c r="L7858" i="1"/>
  <c r="M7858" i="1" s="1"/>
  <c r="L6915" i="1"/>
  <c r="M6915" i="1" s="1"/>
  <c r="L7198" i="1"/>
  <c r="M7198" i="1" s="1"/>
  <c r="L7329" i="1"/>
  <c r="M7329" i="1" s="1"/>
  <c r="L7459" i="1"/>
  <c r="M7459" i="1" s="1"/>
  <c r="L7467" i="1"/>
  <c r="M7467" i="1" s="1"/>
  <c r="L7595" i="1"/>
  <c r="M7595" i="1" s="1"/>
  <c r="L7603" i="1"/>
  <c r="M7603" i="1" s="1"/>
  <c r="L7731" i="1"/>
  <c r="M7731" i="1" s="1"/>
  <c r="L7739" i="1"/>
  <c r="M7739" i="1" s="1"/>
  <c r="L7851" i="1"/>
  <c r="M7851" i="1" s="1"/>
  <c r="L7859" i="1"/>
  <c r="M7859" i="1" s="1"/>
  <c r="L8001" i="1"/>
  <c r="M8001" i="1" s="1"/>
  <c r="L8009" i="1"/>
  <c r="M8009" i="1" s="1"/>
  <c r="L8137" i="1"/>
  <c r="M8137" i="1" s="1"/>
  <c r="L8145" i="1"/>
  <c r="M8145" i="1" s="1"/>
  <c r="L8273" i="1"/>
  <c r="M8273" i="1" s="1"/>
  <c r="L8281" i="1"/>
  <c r="M8281" i="1" s="1"/>
  <c r="L8409" i="1"/>
  <c r="M8409" i="1" s="1"/>
  <c r="L8417" i="1"/>
  <c r="M8417" i="1" s="1"/>
  <c r="L8545" i="1"/>
  <c r="M8545" i="1" s="1"/>
  <c r="L8553" i="1"/>
  <c r="M8553" i="1" s="1"/>
  <c r="L8002" i="1"/>
  <c r="M8002" i="1" s="1"/>
  <c r="L8010" i="1"/>
  <c r="M8010" i="1" s="1"/>
  <c r="L8138" i="1"/>
  <c r="M8138" i="1" s="1"/>
  <c r="L8146" i="1"/>
  <c r="M8146" i="1" s="1"/>
  <c r="L8274" i="1"/>
  <c r="M8274" i="1" s="1"/>
  <c r="L8282" i="1"/>
  <c r="M8282" i="1" s="1"/>
  <c r="L8410" i="1"/>
  <c r="M8410" i="1" s="1"/>
  <c r="L8418" i="1"/>
  <c r="M8418" i="1" s="1"/>
  <c r="L8546" i="1"/>
  <c r="M8546" i="1" s="1"/>
  <c r="L8554" i="1"/>
  <c r="M8554" i="1" s="1"/>
  <c r="L8003" i="1"/>
  <c r="M8003" i="1" s="1"/>
  <c r="L8011" i="1"/>
  <c r="M8011" i="1" s="1"/>
  <c r="L8139" i="1"/>
  <c r="M8139" i="1" s="1"/>
  <c r="L8147" i="1"/>
  <c r="M8147" i="1" s="1"/>
  <c r="L8275" i="1"/>
  <c r="M8275" i="1" s="1"/>
  <c r="L8283" i="1"/>
  <c r="M8283" i="1" s="1"/>
  <c r="L8411" i="1"/>
  <c r="M8411" i="1" s="1"/>
  <c r="L8419" i="1"/>
  <c r="M8419" i="1" s="1"/>
  <c r="L8547" i="1"/>
  <c r="M8547" i="1" s="1"/>
  <c r="L8555" i="1"/>
  <c r="M8555" i="1" s="1"/>
  <c r="L8004" i="1"/>
  <c r="M8004" i="1" s="1"/>
  <c r="L8012" i="1"/>
  <c r="M8012" i="1" s="1"/>
  <c r="L8140" i="1"/>
  <c r="M8140" i="1" s="1"/>
  <c r="L8148" i="1"/>
  <c r="M8148" i="1" s="1"/>
  <c r="L8276" i="1"/>
  <c r="M8276" i="1" s="1"/>
  <c r="L8284" i="1"/>
  <c r="M8284" i="1" s="1"/>
  <c r="L8412" i="1"/>
  <c r="M8412" i="1" s="1"/>
  <c r="L8420" i="1"/>
  <c r="M8420" i="1" s="1"/>
  <c r="L8548" i="1"/>
  <c r="M8548" i="1" s="1"/>
  <c r="L8556" i="1"/>
  <c r="M8556" i="1" s="1"/>
  <c r="L8684" i="1"/>
  <c r="M8684" i="1" s="1"/>
  <c r="L8692" i="1"/>
  <c r="M8692" i="1" s="1"/>
  <c r="L8005" i="1"/>
  <c r="M8005" i="1" s="1"/>
  <c r="L8013" i="1"/>
  <c r="M8013" i="1" s="1"/>
  <c r="L8141" i="1"/>
  <c r="M8141" i="1" s="1"/>
  <c r="L8149" i="1"/>
  <c r="M8149" i="1" s="1"/>
  <c r="L8277" i="1"/>
  <c r="M8277" i="1" s="1"/>
  <c r="L8285" i="1"/>
  <c r="M8285" i="1" s="1"/>
  <c r="L8413" i="1"/>
  <c r="M8413" i="1" s="1"/>
  <c r="L8421" i="1"/>
  <c r="M8421" i="1" s="1"/>
  <c r="L8549" i="1"/>
  <c r="M8549" i="1" s="1"/>
  <c r="L8557" i="1"/>
  <c r="M8557" i="1" s="1"/>
  <c r="L8006" i="1"/>
  <c r="M8006" i="1" s="1"/>
  <c r="L8014" i="1"/>
  <c r="M8014" i="1" s="1"/>
  <c r="L8142" i="1"/>
  <c r="M8142" i="1" s="1"/>
  <c r="L8150" i="1"/>
  <c r="M8150" i="1" s="1"/>
  <c r="L8278" i="1"/>
  <c r="M8278" i="1" s="1"/>
  <c r="L8286" i="1"/>
  <c r="M8286" i="1" s="1"/>
  <c r="L8414" i="1"/>
  <c r="M8414" i="1" s="1"/>
  <c r="L8422" i="1"/>
  <c r="M8422" i="1" s="1"/>
  <c r="L8550" i="1"/>
  <c r="M8550" i="1" s="1"/>
  <c r="L8558" i="1"/>
  <c r="M8558" i="1" s="1"/>
  <c r="L8007" i="1"/>
  <c r="M8007" i="1" s="1"/>
  <c r="L8015" i="1"/>
  <c r="M8015" i="1" s="1"/>
  <c r="L8143" i="1"/>
  <c r="M8143" i="1" s="1"/>
  <c r="L8151" i="1"/>
  <c r="M8151" i="1" s="1"/>
  <c r="L8279" i="1"/>
  <c r="M8279" i="1" s="1"/>
  <c r="L8287" i="1"/>
  <c r="M8287" i="1" s="1"/>
  <c r="L8415" i="1"/>
  <c r="M8415" i="1" s="1"/>
  <c r="L8423" i="1"/>
  <c r="M8423" i="1" s="1"/>
  <c r="L8551" i="1"/>
  <c r="M8551" i="1" s="1"/>
  <c r="L8559" i="1"/>
  <c r="M8559" i="1" s="1"/>
  <c r="L8000" i="1"/>
  <c r="M8000" i="1" s="1"/>
  <c r="L8008" i="1"/>
  <c r="M8008" i="1" s="1"/>
  <c r="L8136" i="1"/>
  <c r="M8136" i="1" s="1"/>
  <c r="L8144" i="1"/>
  <c r="M8144" i="1" s="1"/>
  <c r="L8272" i="1"/>
  <c r="M8272" i="1" s="1"/>
  <c r="L8280" i="1"/>
  <c r="M8280" i="1" s="1"/>
  <c r="L8408" i="1"/>
  <c r="M8408" i="1" s="1"/>
  <c r="L8416" i="1"/>
  <c r="M8416" i="1" s="1"/>
  <c r="L8544" i="1"/>
  <c r="M8544" i="1" s="1"/>
  <c r="L8552" i="1"/>
  <c r="M8552" i="1" s="1"/>
  <c r="L8680" i="1"/>
  <c r="M8680" i="1" s="1"/>
  <c r="L8688" i="1"/>
  <c r="M8688" i="1" s="1"/>
  <c r="L8683" i="1"/>
  <c r="M8683" i="1" s="1"/>
  <c r="L8694" i="1"/>
  <c r="M8694" i="1" s="1"/>
  <c r="L8823" i="1"/>
  <c r="M8823" i="1" s="1"/>
  <c r="L8831" i="1"/>
  <c r="M8831" i="1" s="1"/>
  <c r="L8959" i="1"/>
  <c r="M8959" i="1" s="1"/>
  <c r="L8967" i="1"/>
  <c r="M8967" i="1" s="1"/>
  <c r="L9095" i="1"/>
  <c r="M9095" i="1" s="1"/>
  <c r="L9103" i="1"/>
  <c r="M9103" i="1" s="1"/>
  <c r="L9231" i="1"/>
  <c r="M9231" i="1" s="1"/>
  <c r="L9239" i="1"/>
  <c r="M9239" i="1" s="1"/>
  <c r="L8685" i="1"/>
  <c r="M8685" i="1" s="1"/>
  <c r="L8695" i="1"/>
  <c r="M8695" i="1" s="1"/>
  <c r="L8816" i="1"/>
  <c r="M8816" i="1" s="1"/>
  <c r="L8824" i="1"/>
  <c r="M8824" i="1" s="1"/>
  <c r="L8952" i="1"/>
  <c r="M8952" i="1" s="1"/>
  <c r="L8960" i="1"/>
  <c r="M8960" i="1" s="1"/>
  <c r="L9088" i="1"/>
  <c r="M9088" i="1" s="1"/>
  <c r="L9096" i="1"/>
  <c r="M9096" i="1" s="1"/>
  <c r="L9224" i="1"/>
  <c r="M9224" i="1" s="1"/>
  <c r="L9232" i="1"/>
  <c r="M9232" i="1" s="1"/>
  <c r="L8686" i="1"/>
  <c r="M8686" i="1" s="1"/>
  <c r="L8817" i="1"/>
  <c r="M8817" i="1" s="1"/>
  <c r="L8825" i="1"/>
  <c r="M8825" i="1" s="1"/>
  <c r="L8953" i="1"/>
  <c r="M8953" i="1" s="1"/>
  <c r="L8961" i="1"/>
  <c r="M8961" i="1" s="1"/>
  <c r="L9089" i="1"/>
  <c r="M9089" i="1" s="1"/>
  <c r="L9097" i="1"/>
  <c r="M9097" i="1" s="1"/>
  <c r="L9225" i="1"/>
  <c r="M9225" i="1" s="1"/>
  <c r="L9233" i="1"/>
  <c r="M9233" i="1" s="1"/>
  <c r="L8687" i="1"/>
  <c r="M8687" i="1" s="1"/>
  <c r="L8818" i="1"/>
  <c r="M8818" i="1" s="1"/>
  <c r="L8826" i="1"/>
  <c r="M8826" i="1" s="1"/>
  <c r="L8954" i="1"/>
  <c r="M8954" i="1" s="1"/>
  <c r="L8962" i="1"/>
  <c r="M8962" i="1" s="1"/>
  <c r="L9090" i="1"/>
  <c r="M9090" i="1" s="1"/>
  <c r="L9098" i="1"/>
  <c r="M9098" i="1" s="1"/>
  <c r="L9226" i="1"/>
  <c r="M9226" i="1" s="1"/>
  <c r="L9234" i="1"/>
  <c r="M9234" i="1" s="1"/>
  <c r="L9362" i="1"/>
  <c r="M9362" i="1" s="1"/>
  <c r="L9370" i="1"/>
  <c r="M9370" i="1" s="1"/>
  <c r="L8689" i="1"/>
  <c r="M8689" i="1" s="1"/>
  <c r="L8819" i="1"/>
  <c r="M8819" i="1" s="1"/>
  <c r="L8827" i="1"/>
  <c r="M8827" i="1" s="1"/>
  <c r="L8955" i="1"/>
  <c r="M8955" i="1" s="1"/>
  <c r="L8963" i="1"/>
  <c r="M8963" i="1" s="1"/>
  <c r="L9091" i="1"/>
  <c r="M9091" i="1" s="1"/>
  <c r="L9099" i="1"/>
  <c r="M9099" i="1" s="1"/>
  <c r="L9227" i="1"/>
  <c r="M9227" i="1" s="1"/>
  <c r="L9235" i="1"/>
  <c r="M9235" i="1" s="1"/>
  <c r="L8690" i="1"/>
  <c r="M8690" i="1" s="1"/>
  <c r="L8820" i="1"/>
  <c r="M8820" i="1" s="1"/>
  <c r="L8828" i="1"/>
  <c r="M8828" i="1" s="1"/>
  <c r="L8956" i="1"/>
  <c r="M8956" i="1" s="1"/>
  <c r="L8964" i="1"/>
  <c r="M8964" i="1" s="1"/>
  <c r="L9092" i="1"/>
  <c r="M9092" i="1" s="1"/>
  <c r="L9100" i="1"/>
  <c r="M9100" i="1" s="1"/>
  <c r="L9228" i="1"/>
  <c r="M9228" i="1" s="1"/>
  <c r="L9236" i="1"/>
  <c r="M9236" i="1" s="1"/>
  <c r="L8681" i="1"/>
  <c r="M8681" i="1" s="1"/>
  <c r="L8691" i="1"/>
  <c r="M8691" i="1" s="1"/>
  <c r="L8821" i="1"/>
  <c r="M8821" i="1" s="1"/>
  <c r="L8829" i="1"/>
  <c r="M8829" i="1" s="1"/>
  <c r="L8957" i="1"/>
  <c r="M8957" i="1" s="1"/>
  <c r="L8965" i="1"/>
  <c r="M8965" i="1" s="1"/>
  <c r="L9093" i="1"/>
  <c r="M9093" i="1" s="1"/>
  <c r="L9101" i="1"/>
  <c r="M9101" i="1" s="1"/>
  <c r="L9229" i="1"/>
  <c r="M9229" i="1" s="1"/>
  <c r="L9237" i="1"/>
  <c r="M9237" i="1" s="1"/>
  <c r="L8682" i="1"/>
  <c r="M8682" i="1" s="1"/>
  <c r="L8693" i="1"/>
  <c r="M8693" i="1" s="1"/>
  <c r="L8822" i="1"/>
  <c r="M8822" i="1" s="1"/>
  <c r="L8830" i="1"/>
  <c r="M8830" i="1" s="1"/>
  <c r="L8958" i="1"/>
  <c r="M8958" i="1" s="1"/>
  <c r="L8966" i="1"/>
  <c r="M8966" i="1" s="1"/>
  <c r="L9094" i="1"/>
  <c r="M9094" i="1" s="1"/>
  <c r="L9102" i="1"/>
  <c r="M9102" i="1" s="1"/>
  <c r="L9230" i="1"/>
  <c r="M9230" i="1" s="1"/>
  <c r="L9238" i="1"/>
  <c r="M9238" i="1" s="1"/>
  <c r="L9366" i="1"/>
  <c r="M9366" i="1" s="1"/>
  <c r="L9374" i="1"/>
  <c r="M9374" i="1" s="1"/>
  <c r="L9364" i="1"/>
  <c r="M9364" i="1" s="1"/>
  <c r="L9375" i="1"/>
  <c r="M9375" i="1" s="1"/>
  <c r="L9496" i="1"/>
  <c r="M9496" i="1" s="1"/>
  <c r="L9504" i="1"/>
  <c r="M9504" i="1" s="1"/>
  <c r="L9632" i="1"/>
  <c r="M9632" i="1" s="1"/>
  <c r="L9640" i="1"/>
  <c r="M9640" i="1" s="1"/>
  <c r="L9768" i="1"/>
  <c r="M9768" i="1" s="1"/>
  <c r="L9776" i="1"/>
  <c r="M9776" i="1" s="1"/>
  <c r="L9904" i="1"/>
  <c r="M9904" i="1" s="1"/>
  <c r="L9912" i="1"/>
  <c r="M9912" i="1" s="1"/>
  <c r="L10040" i="1"/>
  <c r="M10040" i="1" s="1"/>
  <c r="L10048" i="1"/>
  <c r="M10048" i="1" s="1"/>
  <c r="L9365" i="1"/>
  <c r="M9365" i="1" s="1"/>
  <c r="L9497" i="1"/>
  <c r="M9497" i="1" s="1"/>
  <c r="L9505" i="1"/>
  <c r="M9505" i="1" s="1"/>
  <c r="L9633" i="1"/>
  <c r="M9633" i="1" s="1"/>
  <c r="L9641" i="1"/>
  <c r="M9641" i="1" s="1"/>
  <c r="L9769" i="1"/>
  <c r="M9769" i="1" s="1"/>
  <c r="L9777" i="1"/>
  <c r="M9777" i="1" s="1"/>
  <c r="L9905" i="1"/>
  <c r="M9905" i="1" s="1"/>
  <c r="L9913" i="1"/>
  <c r="M9913" i="1" s="1"/>
  <c r="L9367" i="1"/>
  <c r="M9367" i="1" s="1"/>
  <c r="L9498" i="1"/>
  <c r="M9498" i="1" s="1"/>
  <c r="L9506" i="1"/>
  <c r="M9506" i="1" s="1"/>
  <c r="L9634" i="1"/>
  <c r="M9634" i="1" s="1"/>
  <c r="L9642" i="1"/>
  <c r="M9642" i="1" s="1"/>
  <c r="L9770" i="1"/>
  <c r="M9770" i="1" s="1"/>
  <c r="L9778" i="1"/>
  <c r="M9778" i="1" s="1"/>
  <c r="L9906" i="1"/>
  <c r="M9906" i="1" s="1"/>
  <c r="L9914" i="1"/>
  <c r="M9914" i="1" s="1"/>
  <c r="L9368" i="1"/>
  <c r="M9368" i="1" s="1"/>
  <c r="L9499" i="1"/>
  <c r="M9499" i="1" s="1"/>
  <c r="L9507" i="1"/>
  <c r="M9507" i="1" s="1"/>
  <c r="L9635" i="1"/>
  <c r="M9635" i="1" s="1"/>
  <c r="L9643" i="1"/>
  <c r="M9643" i="1" s="1"/>
  <c r="L9771" i="1"/>
  <c r="M9771" i="1" s="1"/>
  <c r="L9779" i="1"/>
  <c r="M9779" i="1" s="1"/>
  <c r="L9907" i="1"/>
  <c r="M9907" i="1" s="1"/>
  <c r="L9915" i="1"/>
  <c r="M9915" i="1" s="1"/>
  <c r="L10043" i="1"/>
  <c r="M10043" i="1" s="1"/>
  <c r="L10051" i="1"/>
  <c r="M10051" i="1" s="1"/>
  <c r="L10179" i="1"/>
  <c r="M10179" i="1" s="1"/>
  <c r="L10187" i="1"/>
  <c r="M10187" i="1" s="1"/>
  <c r="L9369" i="1"/>
  <c r="M9369" i="1" s="1"/>
  <c r="L9500" i="1"/>
  <c r="M9500" i="1" s="1"/>
  <c r="L9508" i="1"/>
  <c r="M9508" i="1" s="1"/>
  <c r="L9636" i="1"/>
  <c r="M9636" i="1" s="1"/>
  <c r="L9644" i="1"/>
  <c r="M9644" i="1" s="1"/>
  <c r="L9772" i="1"/>
  <c r="M9772" i="1" s="1"/>
  <c r="L9780" i="1"/>
  <c r="M9780" i="1" s="1"/>
  <c r="L9908" i="1"/>
  <c r="M9908" i="1" s="1"/>
  <c r="L9916" i="1"/>
  <c r="M9916" i="1" s="1"/>
  <c r="L10044" i="1"/>
  <c r="M10044" i="1" s="1"/>
  <c r="L10052" i="1"/>
  <c r="M10052" i="1" s="1"/>
  <c r="L9360" i="1"/>
  <c r="M9360" i="1" s="1"/>
  <c r="L9371" i="1"/>
  <c r="M9371" i="1" s="1"/>
  <c r="L9501" i="1"/>
  <c r="M9501" i="1" s="1"/>
  <c r="L9509" i="1"/>
  <c r="M9509" i="1" s="1"/>
  <c r="L9637" i="1"/>
  <c r="M9637" i="1" s="1"/>
  <c r="L9645" i="1"/>
  <c r="M9645" i="1" s="1"/>
  <c r="L9773" i="1"/>
  <c r="M9773" i="1" s="1"/>
  <c r="L9781" i="1"/>
  <c r="M9781" i="1" s="1"/>
  <c r="L9909" i="1"/>
  <c r="M9909" i="1" s="1"/>
  <c r="L9917" i="1"/>
  <c r="M9917" i="1" s="1"/>
  <c r="L9361" i="1"/>
  <c r="M9361" i="1" s="1"/>
  <c r="L9372" i="1"/>
  <c r="M9372" i="1" s="1"/>
  <c r="L9502" i="1"/>
  <c r="M9502" i="1" s="1"/>
  <c r="L9510" i="1"/>
  <c r="M9510" i="1" s="1"/>
  <c r="L9638" i="1"/>
  <c r="M9638" i="1" s="1"/>
  <c r="L9646" i="1"/>
  <c r="M9646" i="1" s="1"/>
  <c r="L9774" i="1"/>
  <c r="M9774" i="1" s="1"/>
  <c r="L9782" i="1"/>
  <c r="M9782" i="1" s="1"/>
  <c r="L9910" i="1"/>
  <c r="M9910" i="1" s="1"/>
  <c r="L9918" i="1"/>
  <c r="M9918" i="1" s="1"/>
  <c r="L9363" i="1"/>
  <c r="M9363" i="1" s="1"/>
  <c r="L9373" i="1"/>
  <c r="M9373" i="1" s="1"/>
  <c r="L9503" i="1"/>
  <c r="M9503" i="1" s="1"/>
  <c r="L9511" i="1"/>
  <c r="M9511" i="1" s="1"/>
  <c r="L9639" i="1"/>
  <c r="M9639" i="1" s="1"/>
  <c r="L9647" i="1"/>
  <c r="M9647" i="1" s="1"/>
  <c r="L9775" i="1"/>
  <c r="M9775" i="1" s="1"/>
  <c r="L9783" i="1"/>
  <c r="M9783" i="1" s="1"/>
  <c r="L9911" i="1"/>
  <c r="M9911" i="1" s="1"/>
  <c r="L9919" i="1"/>
  <c r="M9919" i="1" s="1"/>
  <c r="L10047" i="1"/>
  <c r="M10047" i="1" s="1"/>
  <c r="L10055" i="1"/>
  <c r="M10055" i="1" s="1"/>
  <c r="L10183" i="1"/>
  <c r="M10183" i="1" s="1"/>
  <c r="L10191" i="1"/>
  <c r="M10191" i="1" s="1"/>
  <c r="L10049" i="1"/>
  <c r="M10049" i="1" s="1"/>
  <c r="L10180" i="1"/>
  <c r="M10180" i="1" s="1"/>
  <c r="L10190" i="1"/>
  <c r="M10190" i="1" s="1"/>
  <c r="L10313" i="1"/>
  <c r="M10313" i="1" s="1"/>
  <c r="L10321" i="1"/>
  <c r="M10321" i="1" s="1"/>
  <c r="L10449" i="1"/>
  <c r="M10449" i="1" s="1"/>
  <c r="L10457" i="1"/>
  <c r="M10457" i="1" s="1"/>
  <c r="L10589" i="1"/>
  <c r="M10589" i="1" s="1"/>
  <c r="L10597" i="1"/>
  <c r="M10597" i="1" s="1"/>
  <c r="L10725" i="1"/>
  <c r="M10725" i="1" s="1"/>
  <c r="L10733" i="1"/>
  <c r="M10733" i="1" s="1"/>
  <c r="L10861" i="1"/>
  <c r="M10861" i="1" s="1"/>
  <c r="L10869" i="1"/>
  <c r="M10869" i="1" s="1"/>
  <c r="L10997" i="1"/>
  <c r="M10997" i="1" s="1"/>
  <c r="L11005" i="1"/>
  <c r="M11005" i="1" s="1"/>
  <c r="L11133" i="1"/>
  <c r="M11133" i="1" s="1"/>
  <c r="L11141" i="1"/>
  <c r="M11141" i="1" s="1"/>
  <c r="L11269" i="1"/>
  <c r="M11269" i="1" s="1"/>
  <c r="L11277" i="1"/>
  <c r="M11277" i="1" s="1"/>
  <c r="L11405" i="1"/>
  <c r="M11405" i="1" s="1"/>
  <c r="L11413" i="1"/>
  <c r="M11413" i="1" s="1"/>
  <c r="L10050" i="1"/>
  <c r="M10050" i="1" s="1"/>
  <c r="L10181" i="1"/>
  <c r="M10181" i="1" s="1"/>
  <c r="L10314" i="1"/>
  <c r="M10314" i="1" s="1"/>
  <c r="L10322" i="1"/>
  <c r="M10322" i="1" s="1"/>
  <c r="L10450" i="1"/>
  <c r="M10450" i="1" s="1"/>
  <c r="L10458" i="1"/>
  <c r="M10458" i="1" s="1"/>
  <c r="L10590" i="1"/>
  <c r="M10590" i="1" s="1"/>
  <c r="L10598" i="1"/>
  <c r="M10598" i="1" s="1"/>
  <c r="L10726" i="1"/>
  <c r="M10726" i="1" s="1"/>
  <c r="L10734" i="1"/>
  <c r="M10734" i="1" s="1"/>
  <c r="L10862" i="1"/>
  <c r="M10862" i="1" s="1"/>
  <c r="L10870" i="1"/>
  <c r="M10870" i="1" s="1"/>
  <c r="L10998" i="1"/>
  <c r="M10998" i="1" s="1"/>
  <c r="L11006" i="1"/>
  <c r="M11006" i="1" s="1"/>
  <c r="L11134" i="1"/>
  <c r="M11134" i="1" s="1"/>
  <c r="L11142" i="1"/>
  <c r="M11142" i="1" s="1"/>
  <c r="L11270" i="1"/>
  <c r="M11270" i="1" s="1"/>
  <c r="L11278" i="1"/>
  <c r="M11278" i="1" s="1"/>
  <c r="L11406" i="1"/>
  <c r="M11406" i="1" s="1"/>
  <c r="L11414" i="1"/>
  <c r="M11414" i="1" s="1"/>
  <c r="L10053" i="1"/>
  <c r="M10053" i="1" s="1"/>
  <c r="L10182" i="1"/>
  <c r="M10182" i="1" s="1"/>
  <c r="L10315" i="1"/>
  <c r="M10315" i="1" s="1"/>
  <c r="L10323" i="1"/>
  <c r="M10323" i="1" s="1"/>
  <c r="L10451" i="1"/>
  <c r="M10451" i="1" s="1"/>
  <c r="L10459" i="1"/>
  <c r="M10459" i="1" s="1"/>
  <c r="L10591" i="1"/>
  <c r="M10591" i="1" s="1"/>
  <c r="L10599" i="1"/>
  <c r="M10599" i="1" s="1"/>
  <c r="L10727" i="1"/>
  <c r="M10727" i="1" s="1"/>
  <c r="L10735" i="1"/>
  <c r="M10735" i="1" s="1"/>
  <c r="L10863" i="1"/>
  <c r="M10863" i="1" s="1"/>
  <c r="L10871" i="1"/>
  <c r="M10871" i="1" s="1"/>
  <c r="L10999" i="1"/>
  <c r="M10999" i="1" s="1"/>
  <c r="L11007" i="1"/>
  <c r="M11007" i="1" s="1"/>
  <c r="L11135" i="1"/>
  <c r="M11135" i="1" s="1"/>
  <c r="L11143" i="1"/>
  <c r="M11143" i="1" s="1"/>
  <c r="L11271" i="1"/>
  <c r="M11271" i="1" s="1"/>
  <c r="L11279" i="1"/>
  <c r="M11279" i="1" s="1"/>
  <c r="L11407" i="1"/>
  <c r="M11407" i="1" s="1"/>
  <c r="L11415" i="1"/>
  <c r="M11415" i="1" s="1"/>
  <c r="L10054" i="1"/>
  <c r="M10054" i="1" s="1"/>
  <c r="L10184" i="1"/>
  <c r="M10184" i="1" s="1"/>
  <c r="L10316" i="1"/>
  <c r="M10316" i="1" s="1"/>
  <c r="L10324" i="1"/>
  <c r="M10324" i="1" s="1"/>
  <c r="L10452" i="1"/>
  <c r="M10452" i="1" s="1"/>
  <c r="L10460" i="1"/>
  <c r="M10460" i="1" s="1"/>
  <c r="L10584" i="1"/>
  <c r="M10584" i="1" s="1"/>
  <c r="L10592" i="1"/>
  <c r="M10592" i="1" s="1"/>
  <c r="L10720" i="1"/>
  <c r="M10720" i="1" s="1"/>
  <c r="L10728" i="1"/>
  <c r="M10728" i="1" s="1"/>
  <c r="L10856" i="1"/>
  <c r="M10856" i="1" s="1"/>
  <c r="L10864" i="1"/>
  <c r="M10864" i="1" s="1"/>
  <c r="L10992" i="1"/>
  <c r="M10992" i="1" s="1"/>
  <c r="L11000" i="1"/>
  <c r="M11000" i="1" s="1"/>
  <c r="L11128" i="1"/>
  <c r="M11128" i="1" s="1"/>
  <c r="L11136" i="1"/>
  <c r="M11136" i="1" s="1"/>
  <c r="L11264" i="1"/>
  <c r="M11264" i="1" s="1"/>
  <c r="L11272" i="1"/>
  <c r="M11272" i="1" s="1"/>
  <c r="L11400" i="1"/>
  <c r="M11400" i="1" s="1"/>
  <c r="L11408" i="1"/>
  <c r="M11408" i="1" s="1"/>
  <c r="L11536" i="1"/>
  <c r="M11536" i="1" s="1"/>
  <c r="L11544" i="1"/>
  <c r="M11544" i="1" s="1"/>
  <c r="L10041" i="1"/>
  <c r="M10041" i="1" s="1"/>
  <c r="L10185" i="1"/>
  <c r="M10185" i="1" s="1"/>
  <c r="L10317" i="1"/>
  <c r="M10317" i="1" s="1"/>
  <c r="L10325" i="1"/>
  <c r="M10325" i="1" s="1"/>
  <c r="L10453" i="1"/>
  <c r="M10453" i="1" s="1"/>
  <c r="L10461" i="1"/>
  <c r="M10461" i="1" s="1"/>
  <c r="L10585" i="1"/>
  <c r="M10585" i="1" s="1"/>
  <c r="L10593" i="1"/>
  <c r="M10593" i="1" s="1"/>
  <c r="L10721" i="1"/>
  <c r="M10721" i="1" s="1"/>
  <c r="L10729" i="1"/>
  <c r="M10729" i="1" s="1"/>
  <c r="L10857" i="1"/>
  <c r="M10857" i="1" s="1"/>
  <c r="L10865" i="1"/>
  <c r="M10865" i="1" s="1"/>
  <c r="L10993" i="1"/>
  <c r="M10993" i="1" s="1"/>
  <c r="L11001" i="1"/>
  <c r="M11001" i="1" s="1"/>
  <c r="L11129" i="1"/>
  <c r="M11129" i="1" s="1"/>
  <c r="L11137" i="1"/>
  <c r="M11137" i="1" s="1"/>
  <c r="L11265" i="1"/>
  <c r="M11265" i="1" s="1"/>
  <c r="L11273" i="1"/>
  <c r="M11273" i="1" s="1"/>
  <c r="L11401" i="1"/>
  <c r="M11401" i="1" s="1"/>
  <c r="L11409" i="1"/>
  <c r="M11409" i="1" s="1"/>
  <c r="L10042" i="1"/>
  <c r="M10042" i="1" s="1"/>
  <c r="L10176" i="1"/>
  <c r="M10176" i="1" s="1"/>
  <c r="L10186" i="1"/>
  <c r="M10186" i="1" s="1"/>
  <c r="L10318" i="1"/>
  <c r="M10318" i="1" s="1"/>
  <c r="L10326" i="1"/>
  <c r="M10326" i="1" s="1"/>
  <c r="L10454" i="1"/>
  <c r="M10454" i="1" s="1"/>
  <c r="L10462" i="1"/>
  <c r="M10462" i="1" s="1"/>
  <c r="L10586" i="1"/>
  <c r="M10586" i="1" s="1"/>
  <c r="L10594" i="1"/>
  <c r="M10594" i="1" s="1"/>
  <c r="L10722" i="1"/>
  <c r="M10722" i="1" s="1"/>
  <c r="L10730" i="1"/>
  <c r="M10730" i="1" s="1"/>
  <c r="L10858" i="1"/>
  <c r="M10858" i="1" s="1"/>
  <c r="L10866" i="1"/>
  <c r="M10866" i="1" s="1"/>
  <c r="L10994" i="1"/>
  <c r="M10994" i="1" s="1"/>
  <c r="L11002" i="1"/>
  <c r="M11002" i="1" s="1"/>
  <c r="L11130" i="1"/>
  <c r="M11130" i="1" s="1"/>
  <c r="L11138" i="1"/>
  <c r="M11138" i="1" s="1"/>
  <c r="L11266" i="1"/>
  <c r="M11266" i="1" s="1"/>
  <c r="L11274" i="1"/>
  <c r="M11274" i="1" s="1"/>
  <c r="L11402" i="1"/>
  <c r="M11402" i="1" s="1"/>
  <c r="L11410" i="1"/>
  <c r="M11410" i="1" s="1"/>
  <c r="L10045" i="1"/>
  <c r="M10045" i="1" s="1"/>
  <c r="L10177" i="1"/>
  <c r="M10177" i="1" s="1"/>
  <c r="L10188" i="1"/>
  <c r="M10188" i="1" s="1"/>
  <c r="L10319" i="1"/>
  <c r="M10319" i="1" s="1"/>
  <c r="L10327" i="1"/>
  <c r="M10327" i="1" s="1"/>
  <c r="L10455" i="1"/>
  <c r="M10455" i="1" s="1"/>
  <c r="L10463" i="1"/>
  <c r="M10463" i="1" s="1"/>
  <c r="L10587" i="1"/>
  <c r="M10587" i="1" s="1"/>
  <c r="L10595" i="1"/>
  <c r="M10595" i="1" s="1"/>
  <c r="L10723" i="1"/>
  <c r="M10723" i="1" s="1"/>
  <c r="L10731" i="1"/>
  <c r="M10731" i="1" s="1"/>
  <c r="L10859" i="1"/>
  <c r="M10859" i="1" s="1"/>
  <c r="L10867" i="1"/>
  <c r="M10867" i="1" s="1"/>
  <c r="L10995" i="1"/>
  <c r="M10995" i="1" s="1"/>
  <c r="L11003" i="1"/>
  <c r="M11003" i="1" s="1"/>
  <c r="L11131" i="1"/>
  <c r="M11131" i="1" s="1"/>
  <c r="L11139" i="1"/>
  <c r="M11139" i="1" s="1"/>
  <c r="L11267" i="1"/>
  <c r="M11267" i="1" s="1"/>
  <c r="L11275" i="1"/>
  <c r="M11275" i="1" s="1"/>
  <c r="L11403" i="1"/>
  <c r="M11403" i="1" s="1"/>
  <c r="L11411" i="1"/>
  <c r="M11411" i="1" s="1"/>
  <c r="L10046" i="1"/>
  <c r="M10046" i="1" s="1"/>
  <c r="L10178" i="1"/>
  <c r="M10178" i="1" s="1"/>
  <c r="L10189" i="1"/>
  <c r="M10189" i="1" s="1"/>
  <c r="L10312" i="1"/>
  <c r="M10312" i="1" s="1"/>
  <c r="L10320" i="1"/>
  <c r="M10320" i="1" s="1"/>
  <c r="L10448" i="1"/>
  <c r="M10448" i="1" s="1"/>
  <c r="L10456" i="1"/>
  <c r="M10456" i="1" s="1"/>
  <c r="L10588" i="1"/>
  <c r="M10588" i="1" s="1"/>
  <c r="L10596" i="1"/>
  <c r="M10596" i="1" s="1"/>
  <c r="L10724" i="1"/>
  <c r="M10724" i="1" s="1"/>
  <c r="L10732" i="1"/>
  <c r="M10732" i="1" s="1"/>
  <c r="L10860" i="1"/>
  <c r="M10860" i="1" s="1"/>
  <c r="L10868" i="1"/>
  <c r="M10868" i="1" s="1"/>
  <c r="L10996" i="1"/>
  <c r="M10996" i="1" s="1"/>
  <c r="L11004" i="1"/>
  <c r="M11004" i="1" s="1"/>
  <c r="L11132" i="1"/>
  <c r="M11132" i="1" s="1"/>
  <c r="L11140" i="1"/>
  <c r="M11140" i="1" s="1"/>
  <c r="L11268" i="1"/>
  <c r="M11268" i="1" s="1"/>
  <c r="L11276" i="1"/>
  <c r="M11276" i="1" s="1"/>
  <c r="L11404" i="1"/>
  <c r="M11404" i="1" s="1"/>
  <c r="L11412" i="1"/>
  <c r="M11412" i="1" s="1"/>
  <c r="L11540" i="1"/>
  <c r="M11540" i="1" s="1"/>
  <c r="L11548" i="1"/>
  <c r="M11548" i="1" s="1"/>
  <c r="L11542" i="1"/>
  <c r="M11542" i="1" s="1"/>
  <c r="L11674" i="1"/>
  <c r="M11674" i="1" s="1"/>
  <c r="L11682" i="1"/>
  <c r="M11682" i="1" s="1"/>
  <c r="L11810" i="1"/>
  <c r="M11810" i="1" s="1"/>
  <c r="L11818" i="1"/>
  <c r="M11818" i="1" s="1"/>
  <c r="L11946" i="1"/>
  <c r="M11946" i="1" s="1"/>
  <c r="L11954" i="1"/>
  <c r="M11954" i="1" s="1"/>
  <c r="L12082" i="1"/>
  <c r="M12082" i="1" s="1"/>
  <c r="L12090" i="1"/>
  <c r="M12090" i="1" s="1"/>
  <c r="L12218" i="1"/>
  <c r="M12218" i="1" s="1"/>
  <c r="L12226" i="1"/>
  <c r="M12226" i="1" s="1"/>
  <c r="L12354" i="1"/>
  <c r="M12354" i="1" s="1"/>
  <c r="L12362" i="1"/>
  <c r="M12362" i="1" s="1"/>
  <c r="L12490" i="1"/>
  <c r="M12490" i="1" s="1"/>
  <c r="L12498" i="1"/>
  <c r="M12498" i="1" s="1"/>
  <c r="L12626" i="1"/>
  <c r="M12626" i="1" s="1"/>
  <c r="L12634" i="1"/>
  <c r="M12634" i="1" s="1"/>
  <c r="L12762" i="1"/>
  <c r="M12762" i="1" s="1"/>
  <c r="L12770" i="1"/>
  <c r="M12770" i="1" s="1"/>
  <c r="L12898" i="1"/>
  <c r="M12898" i="1" s="1"/>
  <c r="L12906" i="1"/>
  <c r="M12906" i="1" s="1"/>
  <c r="L11545" i="1"/>
  <c r="M11545" i="1" s="1"/>
  <c r="L11676" i="1"/>
  <c r="M11676" i="1" s="1"/>
  <c r="L11684" i="1"/>
  <c r="M11684" i="1" s="1"/>
  <c r="L11812" i="1"/>
  <c r="M11812" i="1" s="1"/>
  <c r="L11820" i="1"/>
  <c r="M11820" i="1" s="1"/>
  <c r="L11948" i="1"/>
  <c r="M11948" i="1" s="1"/>
  <c r="L11956" i="1"/>
  <c r="M11956" i="1" s="1"/>
  <c r="L12084" i="1"/>
  <c r="M12084" i="1" s="1"/>
  <c r="L12092" i="1"/>
  <c r="M12092" i="1" s="1"/>
  <c r="L12220" i="1"/>
  <c r="M12220" i="1" s="1"/>
  <c r="L12228" i="1"/>
  <c r="M12228" i="1" s="1"/>
  <c r="L12356" i="1"/>
  <c r="M12356" i="1" s="1"/>
  <c r="L12364" i="1"/>
  <c r="M12364" i="1" s="1"/>
  <c r="L12492" i="1"/>
  <c r="M12492" i="1" s="1"/>
  <c r="L12500" i="1"/>
  <c r="M12500" i="1" s="1"/>
  <c r="L12628" i="1"/>
  <c r="M12628" i="1" s="1"/>
  <c r="L12636" i="1"/>
  <c r="M12636" i="1" s="1"/>
  <c r="L12764" i="1"/>
  <c r="M12764" i="1" s="1"/>
  <c r="L12772" i="1"/>
  <c r="M12772" i="1" s="1"/>
  <c r="L12900" i="1"/>
  <c r="M12900" i="1" s="1"/>
  <c r="L11546" i="1"/>
  <c r="M11546" i="1" s="1"/>
  <c r="L11677" i="1"/>
  <c r="M11677" i="1" s="1"/>
  <c r="L11685" i="1"/>
  <c r="M11685" i="1" s="1"/>
  <c r="L11813" i="1"/>
  <c r="M11813" i="1" s="1"/>
  <c r="L11821" i="1"/>
  <c r="M11821" i="1" s="1"/>
  <c r="L11949" i="1"/>
  <c r="M11949" i="1" s="1"/>
  <c r="L11957" i="1"/>
  <c r="M11957" i="1" s="1"/>
  <c r="L12085" i="1"/>
  <c r="M12085" i="1" s="1"/>
  <c r="L12093" i="1"/>
  <c r="M12093" i="1" s="1"/>
  <c r="L12221" i="1"/>
  <c r="M12221" i="1" s="1"/>
  <c r="L12229" i="1"/>
  <c r="M12229" i="1" s="1"/>
  <c r="L12357" i="1"/>
  <c r="M12357" i="1" s="1"/>
  <c r="L12365" i="1"/>
  <c r="M12365" i="1" s="1"/>
  <c r="L12493" i="1"/>
  <c r="M12493" i="1" s="1"/>
  <c r="L12501" i="1"/>
  <c r="M12501" i="1" s="1"/>
  <c r="L12629" i="1"/>
  <c r="M12629" i="1" s="1"/>
  <c r="L12637" i="1"/>
  <c r="M12637" i="1" s="1"/>
  <c r="L12765" i="1"/>
  <c r="M12765" i="1" s="1"/>
  <c r="L12773" i="1"/>
  <c r="M12773" i="1" s="1"/>
  <c r="L12901" i="1"/>
  <c r="M12901" i="1" s="1"/>
  <c r="L12909" i="1"/>
  <c r="M12909" i="1" s="1"/>
  <c r="L11537" i="1"/>
  <c r="M11537" i="1" s="1"/>
  <c r="L11547" i="1"/>
  <c r="M11547" i="1" s="1"/>
  <c r="L11678" i="1"/>
  <c r="M11678" i="1" s="1"/>
  <c r="L11686" i="1"/>
  <c r="M11686" i="1" s="1"/>
  <c r="L11814" i="1"/>
  <c r="M11814" i="1" s="1"/>
  <c r="L11822" i="1"/>
  <c r="M11822" i="1" s="1"/>
  <c r="L11950" i="1"/>
  <c r="M11950" i="1" s="1"/>
  <c r="L11958" i="1"/>
  <c r="M11958" i="1" s="1"/>
  <c r="L12086" i="1"/>
  <c r="M12086" i="1" s="1"/>
  <c r="L12094" i="1"/>
  <c r="M12094" i="1" s="1"/>
  <c r="L12222" i="1"/>
  <c r="M12222" i="1" s="1"/>
  <c r="L12230" i="1"/>
  <c r="M12230" i="1" s="1"/>
  <c r="L12358" i="1"/>
  <c r="M12358" i="1" s="1"/>
  <c r="L12366" i="1"/>
  <c r="M12366" i="1" s="1"/>
  <c r="L12494" i="1"/>
  <c r="M12494" i="1" s="1"/>
  <c r="L12502" i="1"/>
  <c r="M12502" i="1" s="1"/>
  <c r="L12630" i="1"/>
  <c r="M12630" i="1" s="1"/>
  <c r="L12638" i="1"/>
  <c r="M12638" i="1" s="1"/>
  <c r="L12766" i="1"/>
  <c r="M12766" i="1" s="1"/>
  <c r="L12774" i="1"/>
  <c r="M12774" i="1" s="1"/>
  <c r="L12902" i="1"/>
  <c r="M12902" i="1" s="1"/>
  <c r="L12910" i="1"/>
  <c r="M12910" i="1" s="1"/>
  <c r="L11538" i="1"/>
  <c r="M11538" i="1" s="1"/>
  <c r="L11549" i="1"/>
  <c r="M11549" i="1" s="1"/>
  <c r="L11679" i="1"/>
  <c r="M11679" i="1" s="1"/>
  <c r="L11687" i="1"/>
  <c r="M11687" i="1" s="1"/>
  <c r="L11815" i="1"/>
  <c r="M11815" i="1" s="1"/>
  <c r="L11823" i="1"/>
  <c r="M11823" i="1" s="1"/>
  <c r="L11951" i="1"/>
  <c r="M11951" i="1" s="1"/>
  <c r="L11959" i="1"/>
  <c r="M11959" i="1" s="1"/>
  <c r="L12087" i="1"/>
  <c r="M12087" i="1" s="1"/>
  <c r="L12095" i="1"/>
  <c r="M12095" i="1" s="1"/>
  <c r="L12223" i="1"/>
  <c r="M12223" i="1" s="1"/>
  <c r="L12231" i="1"/>
  <c r="M12231" i="1" s="1"/>
  <c r="L12359" i="1"/>
  <c r="M12359" i="1" s="1"/>
  <c r="L12367" i="1"/>
  <c r="M12367" i="1" s="1"/>
  <c r="L12495" i="1"/>
  <c r="M12495" i="1" s="1"/>
  <c r="L12503" i="1"/>
  <c r="M12503" i="1" s="1"/>
  <c r="L12631" i="1"/>
  <c r="M12631" i="1" s="1"/>
  <c r="L12639" i="1"/>
  <c r="M12639" i="1" s="1"/>
  <c r="L12767" i="1"/>
  <c r="M12767" i="1" s="1"/>
  <c r="L12775" i="1"/>
  <c r="M12775" i="1" s="1"/>
  <c r="L12903" i="1"/>
  <c r="M12903" i="1" s="1"/>
  <c r="L12911" i="1"/>
  <c r="M12911" i="1" s="1"/>
  <c r="L11539" i="1"/>
  <c r="M11539" i="1" s="1"/>
  <c r="L11550" i="1"/>
  <c r="M11550" i="1" s="1"/>
  <c r="L11672" i="1"/>
  <c r="M11672" i="1" s="1"/>
  <c r="L11680" i="1"/>
  <c r="M11680" i="1" s="1"/>
  <c r="L11808" i="1"/>
  <c r="M11808" i="1" s="1"/>
  <c r="L11816" i="1"/>
  <c r="M11816" i="1" s="1"/>
  <c r="L11944" i="1"/>
  <c r="M11944" i="1" s="1"/>
  <c r="L11952" i="1"/>
  <c r="M11952" i="1" s="1"/>
  <c r="L12080" i="1"/>
  <c r="M12080" i="1" s="1"/>
  <c r="L12088" i="1"/>
  <c r="M12088" i="1" s="1"/>
  <c r="L12216" i="1"/>
  <c r="M12216" i="1" s="1"/>
  <c r="L12224" i="1"/>
  <c r="M12224" i="1" s="1"/>
  <c r="L12352" i="1"/>
  <c r="M12352" i="1" s="1"/>
  <c r="L12360" i="1"/>
  <c r="M12360" i="1" s="1"/>
  <c r="L12488" i="1"/>
  <c r="M12488" i="1" s="1"/>
  <c r="L12496" i="1"/>
  <c r="M12496" i="1" s="1"/>
  <c r="L12624" i="1"/>
  <c r="M12624" i="1" s="1"/>
  <c r="L12632" i="1"/>
  <c r="M12632" i="1" s="1"/>
  <c r="L12760" i="1"/>
  <c r="M12760" i="1" s="1"/>
  <c r="L12768" i="1"/>
  <c r="M12768" i="1" s="1"/>
  <c r="L12896" i="1"/>
  <c r="M12896" i="1" s="1"/>
  <c r="L11541" i="1"/>
  <c r="M11541" i="1" s="1"/>
  <c r="L11551" i="1"/>
  <c r="M11551" i="1" s="1"/>
  <c r="L11673" i="1"/>
  <c r="M11673" i="1" s="1"/>
  <c r="L11681" i="1"/>
  <c r="M11681" i="1" s="1"/>
  <c r="L11809" i="1"/>
  <c r="M11809" i="1" s="1"/>
  <c r="L11817" i="1"/>
  <c r="M11817" i="1" s="1"/>
  <c r="L11945" i="1"/>
  <c r="M11945" i="1" s="1"/>
  <c r="L11953" i="1"/>
  <c r="M11953" i="1" s="1"/>
  <c r="L12081" i="1"/>
  <c r="M12081" i="1" s="1"/>
  <c r="L12089" i="1"/>
  <c r="M12089" i="1" s="1"/>
  <c r="L12217" i="1"/>
  <c r="M12217" i="1" s="1"/>
  <c r="L12225" i="1"/>
  <c r="M12225" i="1" s="1"/>
  <c r="L12353" i="1"/>
  <c r="M12353" i="1" s="1"/>
  <c r="L12361" i="1"/>
  <c r="M12361" i="1" s="1"/>
  <c r="L12489" i="1"/>
  <c r="M12489" i="1" s="1"/>
  <c r="L12497" i="1"/>
  <c r="M12497" i="1" s="1"/>
  <c r="L12625" i="1"/>
  <c r="M12625" i="1" s="1"/>
  <c r="L12633" i="1"/>
  <c r="M12633" i="1" s="1"/>
  <c r="L12761" i="1"/>
  <c r="M12761" i="1" s="1"/>
  <c r="L12769" i="1"/>
  <c r="M12769" i="1" s="1"/>
  <c r="L12897" i="1"/>
  <c r="M12897" i="1" s="1"/>
  <c r="L12905" i="1"/>
  <c r="M12905" i="1" s="1"/>
  <c r="L13034" i="1"/>
  <c r="M13034" i="1" s="1"/>
  <c r="L13042" i="1"/>
  <c r="M13042" i="1" s="1"/>
  <c r="L13170" i="1"/>
  <c r="M13170" i="1" s="1"/>
  <c r="L13178" i="1"/>
  <c r="M13178" i="1" s="1"/>
  <c r="L13306" i="1"/>
  <c r="M13306" i="1" s="1"/>
  <c r="L13314" i="1"/>
  <c r="M13314" i="1" s="1"/>
  <c r="L13442" i="1"/>
  <c r="M13442" i="1" s="1"/>
  <c r="L13450" i="1"/>
  <c r="M13450" i="1" s="1"/>
  <c r="L13578" i="1"/>
  <c r="M13578" i="1" s="1"/>
  <c r="L13586" i="1"/>
  <c r="M13586" i="1" s="1"/>
  <c r="L13714" i="1"/>
  <c r="M13714" i="1" s="1"/>
  <c r="L13722" i="1"/>
  <c r="M13722" i="1" s="1"/>
  <c r="L13850" i="1"/>
  <c r="M13850" i="1" s="1"/>
  <c r="L13858" i="1"/>
  <c r="M13858" i="1" s="1"/>
  <c r="L13986" i="1"/>
  <c r="M13986" i="1" s="1"/>
  <c r="L13994" i="1"/>
  <c r="M13994" i="1" s="1"/>
  <c r="L14122" i="1"/>
  <c r="M14122" i="1" s="1"/>
  <c r="L14130" i="1"/>
  <c r="M14130" i="1" s="1"/>
  <c r="L11675" i="1"/>
  <c r="M11675" i="1" s="1"/>
  <c r="L11811" i="1"/>
  <c r="M11811" i="1" s="1"/>
  <c r="L11947" i="1"/>
  <c r="M11947" i="1" s="1"/>
  <c r="L12083" i="1"/>
  <c r="M12083" i="1" s="1"/>
  <c r="L12219" i="1"/>
  <c r="M12219" i="1" s="1"/>
  <c r="L12355" i="1"/>
  <c r="M12355" i="1" s="1"/>
  <c r="L12491" i="1"/>
  <c r="M12491" i="1" s="1"/>
  <c r="L12627" i="1"/>
  <c r="M12627" i="1" s="1"/>
  <c r="L12763" i="1"/>
  <c r="M12763" i="1" s="1"/>
  <c r="L12899" i="1"/>
  <c r="M12899" i="1" s="1"/>
  <c r="L13035" i="1"/>
  <c r="M13035" i="1" s="1"/>
  <c r="L13043" i="1"/>
  <c r="M13043" i="1" s="1"/>
  <c r="L13171" i="1"/>
  <c r="M13171" i="1" s="1"/>
  <c r="L13179" i="1"/>
  <c r="M13179" i="1" s="1"/>
  <c r="L13307" i="1"/>
  <c r="M13307" i="1" s="1"/>
  <c r="L11543" i="1"/>
  <c r="M11543" i="1" s="1"/>
  <c r="L11683" i="1"/>
  <c r="M11683" i="1" s="1"/>
  <c r="L11819" i="1"/>
  <c r="M11819" i="1" s="1"/>
  <c r="L11955" i="1"/>
  <c r="M11955" i="1" s="1"/>
  <c r="L12091" i="1"/>
  <c r="M12091" i="1" s="1"/>
  <c r="L12227" i="1"/>
  <c r="M12227" i="1" s="1"/>
  <c r="L12363" i="1"/>
  <c r="M12363" i="1" s="1"/>
  <c r="L12499" i="1"/>
  <c r="M12499" i="1" s="1"/>
  <c r="L12635" i="1"/>
  <c r="M12635" i="1" s="1"/>
  <c r="L12771" i="1"/>
  <c r="M12771" i="1" s="1"/>
  <c r="L12904" i="1"/>
  <c r="M12904" i="1" s="1"/>
  <c r="L13036" i="1"/>
  <c r="M13036" i="1" s="1"/>
  <c r="L13044" i="1"/>
  <c r="M13044" i="1" s="1"/>
  <c r="L13172" i="1"/>
  <c r="M13172" i="1" s="1"/>
  <c r="L13180" i="1"/>
  <c r="M13180" i="1" s="1"/>
  <c r="L13308" i="1"/>
  <c r="M13308" i="1" s="1"/>
  <c r="L13316" i="1"/>
  <c r="M13316" i="1" s="1"/>
  <c r="L13444" i="1"/>
  <c r="M13444" i="1" s="1"/>
  <c r="L13452" i="1"/>
  <c r="M13452" i="1" s="1"/>
  <c r="L13580" i="1"/>
  <c r="M13580" i="1" s="1"/>
  <c r="L13588" i="1"/>
  <c r="M13588" i="1" s="1"/>
  <c r="L13716" i="1"/>
  <c r="M13716" i="1" s="1"/>
  <c r="L13724" i="1"/>
  <c r="M13724" i="1" s="1"/>
  <c r="L13852" i="1"/>
  <c r="M13852" i="1" s="1"/>
  <c r="L13860" i="1"/>
  <c r="M13860" i="1" s="1"/>
  <c r="L13988" i="1"/>
  <c r="M13988" i="1" s="1"/>
  <c r="L13996" i="1"/>
  <c r="M13996" i="1" s="1"/>
  <c r="L12907" i="1"/>
  <c r="M12907" i="1" s="1"/>
  <c r="L13037" i="1"/>
  <c r="M13037" i="1" s="1"/>
  <c r="L13045" i="1"/>
  <c r="M13045" i="1" s="1"/>
  <c r="L13173" i="1"/>
  <c r="M13173" i="1" s="1"/>
  <c r="L13181" i="1"/>
  <c r="M13181" i="1" s="1"/>
  <c r="L13309" i="1"/>
  <c r="M13309" i="1" s="1"/>
  <c r="L13317" i="1"/>
  <c r="M13317" i="1" s="1"/>
  <c r="L13445" i="1"/>
  <c r="M13445" i="1" s="1"/>
  <c r="L13453" i="1"/>
  <c r="M13453" i="1" s="1"/>
  <c r="L13581" i="1"/>
  <c r="M13581" i="1" s="1"/>
  <c r="L13589" i="1"/>
  <c r="M13589" i="1" s="1"/>
  <c r="L13717" i="1"/>
  <c r="M13717" i="1" s="1"/>
  <c r="L13725" i="1"/>
  <c r="M13725" i="1" s="1"/>
  <c r="L13853" i="1"/>
  <c r="M13853" i="1" s="1"/>
  <c r="L13861" i="1"/>
  <c r="M13861" i="1" s="1"/>
  <c r="L12908" i="1"/>
  <c r="M12908" i="1" s="1"/>
  <c r="L13038" i="1"/>
  <c r="M13038" i="1" s="1"/>
  <c r="L13046" i="1"/>
  <c r="M13046" i="1" s="1"/>
  <c r="L13174" i="1"/>
  <c r="M13174" i="1" s="1"/>
  <c r="L13182" i="1"/>
  <c r="M13182" i="1" s="1"/>
  <c r="L13310" i="1"/>
  <c r="M13310" i="1" s="1"/>
  <c r="L13318" i="1"/>
  <c r="M13318" i="1" s="1"/>
  <c r="L13446" i="1"/>
  <c r="M13446" i="1" s="1"/>
  <c r="L13454" i="1"/>
  <c r="M13454" i="1" s="1"/>
  <c r="L13582" i="1"/>
  <c r="M13582" i="1" s="1"/>
  <c r="L13590" i="1"/>
  <c r="M13590" i="1" s="1"/>
  <c r="L13718" i="1"/>
  <c r="M13718" i="1" s="1"/>
  <c r="L13726" i="1"/>
  <c r="M13726" i="1" s="1"/>
  <c r="L13854" i="1"/>
  <c r="M13854" i="1" s="1"/>
  <c r="L13862" i="1"/>
  <c r="M13862" i="1" s="1"/>
  <c r="L13990" i="1"/>
  <c r="M13990" i="1" s="1"/>
  <c r="L13998" i="1"/>
  <c r="M13998" i="1" s="1"/>
  <c r="L14126" i="1"/>
  <c r="M14126" i="1" s="1"/>
  <c r="L14134" i="1"/>
  <c r="M14134" i="1" s="1"/>
  <c r="L13039" i="1"/>
  <c r="M13039" i="1" s="1"/>
  <c r="L13047" i="1"/>
  <c r="M13047" i="1" s="1"/>
  <c r="L13175" i="1"/>
  <c r="M13175" i="1" s="1"/>
  <c r="L13183" i="1"/>
  <c r="M13183" i="1" s="1"/>
  <c r="L13311" i="1"/>
  <c r="M13311" i="1" s="1"/>
  <c r="L13319" i="1"/>
  <c r="M13319" i="1" s="1"/>
  <c r="L13447" i="1"/>
  <c r="M13447" i="1" s="1"/>
  <c r="L13455" i="1"/>
  <c r="M13455" i="1" s="1"/>
  <c r="L13583" i="1"/>
  <c r="M13583" i="1" s="1"/>
  <c r="L13591" i="1"/>
  <c r="M13591" i="1" s="1"/>
  <c r="L13719" i="1"/>
  <c r="M13719" i="1" s="1"/>
  <c r="L13727" i="1"/>
  <c r="M13727" i="1" s="1"/>
  <c r="L13855" i="1"/>
  <c r="M13855" i="1" s="1"/>
  <c r="L13863" i="1"/>
  <c r="M13863" i="1" s="1"/>
  <c r="L13991" i="1"/>
  <c r="M13991" i="1" s="1"/>
  <c r="L13999" i="1"/>
  <c r="M13999" i="1" s="1"/>
  <c r="L14127" i="1"/>
  <c r="M14127" i="1" s="1"/>
  <c r="L13032" i="1"/>
  <c r="M13032" i="1" s="1"/>
  <c r="L13040" i="1"/>
  <c r="M13040" i="1" s="1"/>
  <c r="L13168" i="1"/>
  <c r="M13168" i="1" s="1"/>
  <c r="L13176" i="1"/>
  <c r="M13176" i="1" s="1"/>
  <c r="L13304" i="1"/>
  <c r="M13304" i="1" s="1"/>
  <c r="L13312" i="1"/>
  <c r="M13312" i="1" s="1"/>
  <c r="L13440" i="1"/>
  <c r="M13440" i="1" s="1"/>
  <c r="L13448" i="1"/>
  <c r="M13448" i="1" s="1"/>
  <c r="L13576" i="1"/>
  <c r="M13576" i="1" s="1"/>
  <c r="L13584" i="1"/>
  <c r="M13584" i="1" s="1"/>
  <c r="L13712" i="1"/>
  <c r="M13712" i="1" s="1"/>
  <c r="L13720" i="1"/>
  <c r="M13720" i="1" s="1"/>
  <c r="L13848" i="1"/>
  <c r="M13848" i="1" s="1"/>
  <c r="L13856" i="1"/>
  <c r="M13856" i="1" s="1"/>
  <c r="L13033" i="1"/>
  <c r="M13033" i="1" s="1"/>
  <c r="L13169" i="1"/>
  <c r="M13169" i="1" s="1"/>
  <c r="L13305" i="1"/>
  <c r="M13305" i="1" s="1"/>
  <c r="L13443" i="1"/>
  <c r="M13443" i="1" s="1"/>
  <c r="L13579" i="1"/>
  <c r="M13579" i="1" s="1"/>
  <c r="L13715" i="1"/>
  <c r="M13715" i="1" s="1"/>
  <c r="L13851" i="1"/>
  <c r="M13851" i="1" s="1"/>
  <c r="L13992" i="1"/>
  <c r="M13992" i="1" s="1"/>
  <c r="L14123" i="1"/>
  <c r="M14123" i="1" s="1"/>
  <c r="L14135" i="1"/>
  <c r="M14135" i="1" s="1"/>
  <c r="L14262" i="1"/>
  <c r="M14262" i="1" s="1"/>
  <c r="L14270" i="1"/>
  <c r="M14270" i="1" s="1"/>
  <c r="L14398" i="1"/>
  <c r="M14398" i="1" s="1"/>
  <c r="L14406" i="1"/>
  <c r="M14406" i="1" s="1"/>
  <c r="L14121" i="1"/>
  <c r="M14121" i="1" s="1"/>
  <c r="L14261" i="1"/>
  <c r="M14261" i="1" s="1"/>
  <c r="L14397" i="1"/>
  <c r="M14397" i="1" s="1"/>
  <c r="L13041" i="1"/>
  <c r="M13041" i="1" s="1"/>
  <c r="L13177" i="1"/>
  <c r="M13177" i="1" s="1"/>
  <c r="L13313" i="1"/>
  <c r="M13313" i="1" s="1"/>
  <c r="L13449" i="1"/>
  <c r="M13449" i="1" s="1"/>
  <c r="L13585" i="1"/>
  <c r="M13585" i="1" s="1"/>
  <c r="L13721" i="1"/>
  <c r="M13721" i="1" s="1"/>
  <c r="L13857" i="1"/>
  <c r="M13857" i="1" s="1"/>
  <c r="L13993" i="1"/>
  <c r="M13993" i="1" s="1"/>
  <c r="L14124" i="1"/>
  <c r="M14124" i="1" s="1"/>
  <c r="L14263" i="1"/>
  <c r="M14263" i="1" s="1"/>
  <c r="L14271" i="1"/>
  <c r="M14271" i="1" s="1"/>
  <c r="L14399" i="1"/>
  <c r="M14399" i="1" s="1"/>
  <c r="L14407" i="1"/>
  <c r="M14407" i="1" s="1"/>
  <c r="L13577" i="1"/>
  <c r="M13577" i="1" s="1"/>
  <c r="L13315" i="1"/>
  <c r="M13315" i="1" s="1"/>
  <c r="L13451" i="1"/>
  <c r="M13451" i="1" s="1"/>
  <c r="L13587" i="1"/>
  <c r="M13587" i="1" s="1"/>
  <c r="L13723" i="1"/>
  <c r="M13723" i="1" s="1"/>
  <c r="L13859" i="1"/>
  <c r="M13859" i="1" s="1"/>
  <c r="L13995" i="1"/>
  <c r="M13995" i="1" s="1"/>
  <c r="L14125" i="1"/>
  <c r="M14125" i="1" s="1"/>
  <c r="L14256" i="1"/>
  <c r="M14256" i="1" s="1"/>
  <c r="L14264" i="1"/>
  <c r="M14264" i="1" s="1"/>
  <c r="L14392" i="1"/>
  <c r="M14392" i="1" s="1"/>
  <c r="L14400" i="1"/>
  <c r="M14400" i="1" s="1"/>
  <c r="L13997" i="1"/>
  <c r="M13997" i="1" s="1"/>
  <c r="L14128" i="1"/>
  <c r="M14128" i="1" s="1"/>
  <c r="L14257" i="1"/>
  <c r="M14257" i="1" s="1"/>
  <c r="L14265" i="1"/>
  <c r="M14265" i="1" s="1"/>
  <c r="L14393" i="1"/>
  <c r="M14393" i="1" s="1"/>
  <c r="L14401" i="1"/>
  <c r="M14401" i="1" s="1"/>
  <c r="L13984" i="1"/>
  <c r="M13984" i="1" s="1"/>
  <c r="L14129" i="1"/>
  <c r="M14129" i="1" s="1"/>
  <c r="L14258" i="1"/>
  <c r="M14258" i="1" s="1"/>
  <c r="L14266" i="1"/>
  <c r="M14266" i="1" s="1"/>
  <c r="L14394" i="1"/>
  <c r="M14394" i="1" s="1"/>
  <c r="L14402" i="1"/>
  <c r="M14402" i="1" s="1"/>
  <c r="L13985" i="1"/>
  <c r="M13985" i="1" s="1"/>
  <c r="L14131" i="1"/>
  <c r="M14131" i="1" s="1"/>
  <c r="L14259" i="1"/>
  <c r="M14259" i="1" s="1"/>
  <c r="L14267" i="1"/>
  <c r="M14267" i="1" s="1"/>
  <c r="L14395" i="1"/>
  <c r="M14395" i="1" s="1"/>
  <c r="L14403" i="1"/>
  <c r="M14403" i="1" s="1"/>
  <c r="L13441" i="1"/>
  <c r="M13441" i="1" s="1"/>
  <c r="L13713" i="1"/>
  <c r="M13713" i="1" s="1"/>
  <c r="L13989" i="1"/>
  <c r="M13989" i="1" s="1"/>
  <c r="L14133" i="1"/>
  <c r="M14133" i="1" s="1"/>
  <c r="L13987" i="1"/>
  <c r="M13987" i="1" s="1"/>
  <c r="L14120" i="1"/>
  <c r="M14120" i="1" s="1"/>
  <c r="L14132" i="1"/>
  <c r="M14132" i="1" s="1"/>
  <c r="L14260" i="1"/>
  <c r="M14260" i="1" s="1"/>
  <c r="L14268" i="1"/>
  <c r="M14268" i="1" s="1"/>
  <c r="L14396" i="1"/>
  <c r="M14396" i="1" s="1"/>
  <c r="L14404" i="1"/>
  <c r="M14404" i="1" s="1"/>
  <c r="L13849" i="1"/>
  <c r="M13849" i="1" s="1"/>
  <c r="L14269" i="1"/>
  <c r="M14269" i="1" s="1"/>
  <c r="L14405" i="1"/>
  <c r="M14405" i="1" s="1"/>
  <c r="L4062" i="1"/>
  <c r="M4062" i="1" s="1"/>
  <c r="L4070" i="1"/>
  <c r="M4070" i="1" s="1"/>
  <c r="L4198" i="1"/>
  <c r="M4198" i="1" s="1"/>
  <c r="L4206" i="1"/>
  <c r="M4206" i="1" s="1"/>
  <c r="L4334" i="1"/>
  <c r="M4334" i="1" s="1"/>
  <c r="L4342" i="1"/>
  <c r="M4342" i="1" s="1"/>
  <c r="L4470" i="1"/>
  <c r="M4470" i="1" s="1"/>
  <c r="L4478" i="1"/>
  <c r="M4478" i="1" s="1"/>
  <c r="L4606" i="1"/>
  <c r="M4606" i="1" s="1"/>
  <c r="L4614" i="1"/>
  <c r="M4614" i="1" s="1"/>
  <c r="L4742" i="1"/>
  <c r="M4742" i="1" s="1"/>
  <c r="L4750" i="1"/>
  <c r="M4750" i="1" s="1"/>
  <c r="L4878" i="1"/>
  <c r="M4878" i="1" s="1"/>
  <c r="L4886" i="1"/>
  <c r="M4886" i="1" s="1"/>
  <c r="L5014" i="1"/>
  <c r="M5014" i="1" s="1"/>
  <c r="L5022" i="1"/>
  <c r="M5022" i="1" s="1"/>
  <c r="L1474" i="1"/>
  <c r="M1474" i="1" s="1"/>
  <c r="L1482" i="1"/>
  <c r="M1482" i="1" s="1"/>
  <c r="L1610" i="1"/>
  <c r="M1610" i="1" s="1"/>
  <c r="L1618" i="1"/>
  <c r="M1618" i="1" s="1"/>
  <c r="L4063" i="1"/>
  <c r="M4063" i="1" s="1"/>
  <c r="L4071" i="1"/>
  <c r="M4071" i="1" s="1"/>
  <c r="L4199" i="1"/>
  <c r="M4199" i="1" s="1"/>
  <c r="L4207" i="1"/>
  <c r="M4207" i="1" s="1"/>
  <c r="L4335" i="1"/>
  <c r="M4335" i="1" s="1"/>
  <c r="L4343" i="1"/>
  <c r="M4343" i="1" s="1"/>
  <c r="L4471" i="1"/>
  <c r="M4471" i="1" s="1"/>
  <c r="L4479" i="1"/>
  <c r="M4479" i="1" s="1"/>
  <c r="L4607" i="1"/>
  <c r="M4607" i="1" s="1"/>
  <c r="L4615" i="1"/>
  <c r="M4615" i="1" s="1"/>
  <c r="L4743" i="1"/>
  <c r="M4743" i="1" s="1"/>
  <c r="L4751" i="1"/>
  <c r="M4751" i="1" s="1"/>
  <c r="L4879" i="1"/>
  <c r="M4879" i="1" s="1"/>
  <c r="L4887" i="1"/>
  <c r="M4887" i="1" s="1"/>
  <c r="L5015" i="1"/>
  <c r="M5015" i="1" s="1"/>
  <c r="L5023" i="1"/>
  <c r="M5023" i="1" s="1"/>
  <c r="L1475" i="1"/>
  <c r="M1475" i="1" s="1"/>
  <c r="L1483" i="1"/>
  <c r="M1483" i="1" s="1"/>
  <c r="L1611" i="1"/>
  <c r="M1611" i="1" s="1"/>
  <c r="L1619" i="1"/>
  <c r="M1619" i="1" s="1"/>
  <c r="L4056" i="1"/>
  <c r="M4056" i="1" s="1"/>
  <c r="L4064" i="1"/>
  <c r="M4064" i="1" s="1"/>
  <c r="L4192" i="1"/>
  <c r="M4192" i="1" s="1"/>
  <c r="L4200" i="1"/>
  <c r="M4200" i="1" s="1"/>
  <c r="L4328" i="1"/>
  <c r="M4328" i="1" s="1"/>
  <c r="L4336" i="1"/>
  <c r="M4336" i="1" s="1"/>
  <c r="L4464" i="1"/>
  <c r="M4464" i="1" s="1"/>
  <c r="L4472" i="1"/>
  <c r="M4472" i="1" s="1"/>
  <c r="L4600" i="1"/>
  <c r="M4600" i="1" s="1"/>
  <c r="L4608" i="1"/>
  <c r="M4608" i="1" s="1"/>
  <c r="L4736" i="1"/>
  <c r="M4736" i="1" s="1"/>
  <c r="L4744" i="1"/>
  <c r="M4744" i="1" s="1"/>
  <c r="L4872" i="1"/>
  <c r="M4872" i="1" s="1"/>
  <c r="L4880" i="1"/>
  <c r="M4880" i="1" s="1"/>
  <c r="L5008" i="1"/>
  <c r="M5008" i="1" s="1"/>
  <c r="L5016" i="1"/>
  <c r="M5016" i="1" s="1"/>
  <c r="L1476" i="1"/>
  <c r="M1476" i="1" s="1"/>
  <c r="L1484" i="1"/>
  <c r="M1484" i="1" s="1"/>
  <c r="L1612" i="1"/>
  <c r="M1612" i="1" s="1"/>
  <c r="L1620" i="1"/>
  <c r="M1620" i="1" s="1"/>
  <c r="L4057" i="1"/>
  <c r="M4057" i="1" s="1"/>
  <c r="L4065" i="1"/>
  <c r="M4065" i="1" s="1"/>
  <c r="L4193" i="1"/>
  <c r="M4193" i="1" s="1"/>
  <c r="L4201" i="1"/>
  <c r="M4201" i="1" s="1"/>
  <c r="L4329" i="1"/>
  <c r="M4329" i="1" s="1"/>
  <c r="L4337" i="1"/>
  <c r="M4337" i="1" s="1"/>
  <c r="L4465" i="1"/>
  <c r="M4465" i="1" s="1"/>
  <c r="L4473" i="1"/>
  <c r="M4473" i="1" s="1"/>
  <c r="L4601" i="1"/>
  <c r="M4601" i="1" s="1"/>
  <c r="L4609" i="1"/>
  <c r="M4609" i="1" s="1"/>
  <c r="L4737" i="1"/>
  <c r="M4737" i="1" s="1"/>
  <c r="L4745" i="1"/>
  <c r="M4745" i="1" s="1"/>
  <c r="L4873" i="1"/>
  <c r="M4873" i="1" s="1"/>
  <c r="L4881" i="1"/>
  <c r="M4881" i="1" s="1"/>
  <c r="L5009" i="1"/>
  <c r="M5009" i="1" s="1"/>
  <c r="L5017" i="1"/>
  <c r="M5017" i="1" s="1"/>
  <c r="L1477" i="1"/>
  <c r="M1477" i="1" s="1"/>
  <c r="L1485" i="1"/>
  <c r="M1485" i="1" s="1"/>
  <c r="L1613" i="1"/>
  <c r="M1613" i="1" s="1"/>
  <c r="L1621" i="1"/>
  <c r="M1621" i="1" s="1"/>
  <c r="L4059" i="1"/>
  <c r="M4059" i="1" s="1"/>
  <c r="L4067" i="1"/>
  <c r="M4067" i="1" s="1"/>
  <c r="L4195" i="1"/>
  <c r="M4195" i="1" s="1"/>
  <c r="L4203" i="1"/>
  <c r="M4203" i="1" s="1"/>
  <c r="L4331" i="1"/>
  <c r="M4331" i="1" s="1"/>
  <c r="L4339" i="1"/>
  <c r="M4339" i="1" s="1"/>
  <c r="L4467" i="1"/>
  <c r="M4467" i="1" s="1"/>
  <c r="L4475" i="1"/>
  <c r="M4475" i="1" s="1"/>
  <c r="L4603" i="1"/>
  <c r="M4603" i="1" s="1"/>
  <c r="L4611" i="1"/>
  <c r="M4611" i="1" s="1"/>
  <c r="L4739" i="1"/>
  <c r="M4739" i="1" s="1"/>
  <c r="L4747" i="1"/>
  <c r="M4747" i="1" s="1"/>
  <c r="L4875" i="1"/>
  <c r="M4875" i="1" s="1"/>
  <c r="L4883" i="1"/>
  <c r="M4883" i="1" s="1"/>
  <c r="L5011" i="1"/>
  <c r="M5011" i="1" s="1"/>
  <c r="L5019" i="1"/>
  <c r="M5019" i="1" s="1"/>
  <c r="L1471" i="1"/>
  <c r="M1471" i="1" s="1"/>
  <c r="L1479" i="1"/>
  <c r="M1479" i="1" s="1"/>
  <c r="L1615" i="1"/>
  <c r="M1615" i="1" s="1"/>
  <c r="L1623" i="1"/>
  <c r="M1623" i="1" s="1"/>
  <c r="L4060" i="1"/>
  <c r="M4060" i="1" s="1"/>
  <c r="L4068" i="1"/>
  <c r="M4068" i="1" s="1"/>
  <c r="L4196" i="1"/>
  <c r="M4196" i="1" s="1"/>
  <c r="L4204" i="1"/>
  <c r="M4204" i="1" s="1"/>
  <c r="L4332" i="1"/>
  <c r="M4332" i="1" s="1"/>
  <c r="L4340" i="1"/>
  <c r="M4340" i="1" s="1"/>
  <c r="L4468" i="1"/>
  <c r="M4468" i="1" s="1"/>
  <c r="L4476" i="1"/>
  <c r="M4476" i="1" s="1"/>
  <c r="L4604" i="1"/>
  <c r="M4604" i="1" s="1"/>
  <c r="L4612" i="1"/>
  <c r="M4612" i="1" s="1"/>
  <c r="L4740" i="1"/>
  <c r="M4740" i="1" s="1"/>
  <c r="L4748" i="1"/>
  <c r="M4748" i="1" s="1"/>
  <c r="L4876" i="1"/>
  <c r="M4876" i="1" s="1"/>
  <c r="L4884" i="1"/>
  <c r="M4884" i="1" s="1"/>
  <c r="L5012" i="1"/>
  <c r="M5012" i="1" s="1"/>
  <c r="L5020" i="1"/>
  <c r="M5020" i="1" s="1"/>
  <c r="L1472" i="1"/>
  <c r="M1472" i="1" s="1"/>
  <c r="L1480" i="1"/>
  <c r="M1480" i="1" s="1"/>
  <c r="L1608" i="1"/>
  <c r="M1608" i="1" s="1"/>
  <c r="L1616" i="1"/>
  <c r="M1616" i="1" s="1"/>
  <c r="L4061" i="1"/>
  <c r="M4061" i="1" s="1"/>
  <c r="L4069" i="1"/>
  <c r="M4069" i="1" s="1"/>
  <c r="L4197" i="1"/>
  <c r="M4197" i="1" s="1"/>
  <c r="L4205" i="1"/>
  <c r="M4205" i="1" s="1"/>
  <c r="L4333" i="1"/>
  <c r="M4333" i="1" s="1"/>
  <c r="L4341" i="1"/>
  <c r="M4341" i="1" s="1"/>
  <c r="L4469" i="1"/>
  <c r="M4469" i="1" s="1"/>
  <c r="L4477" i="1"/>
  <c r="M4477" i="1" s="1"/>
  <c r="L4605" i="1"/>
  <c r="M4605" i="1" s="1"/>
  <c r="L4613" i="1"/>
  <c r="M4613" i="1" s="1"/>
  <c r="L4741" i="1"/>
  <c r="M4741" i="1" s="1"/>
  <c r="L4749" i="1"/>
  <c r="M4749" i="1" s="1"/>
  <c r="L4877" i="1"/>
  <c r="M4877" i="1" s="1"/>
  <c r="L4885" i="1"/>
  <c r="M4885" i="1" s="1"/>
  <c r="L5013" i="1"/>
  <c r="M5013" i="1" s="1"/>
  <c r="L5021" i="1"/>
  <c r="M5021" i="1" s="1"/>
  <c r="L1473" i="1"/>
  <c r="M1473" i="1" s="1"/>
  <c r="L1481" i="1"/>
  <c r="M1481" i="1" s="1"/>
  <c r="L1609" i="1"/>
  <c r="M1609" i="1" s="1"/>
  <c r="L1617" i="1"/>
  <c r="M1617" i="1" s="1"/>
  <c r="L1745" i="1"/>
  <c r="M1745" i="1" s="1"/>
  <c r="L1753" i="1"/>
  <c r="M1753" i="1" s="1"/>
  <c r="L1889" i="1"/>
  <c r="M1889" i="1" s="1"/>
  <c r="L1897" i="1"/>
  <c r="M1897" i="1" s="1"/>
  <c r="L2025" i="1"/>
  <c r="M2025" i="1" s="1"/>
  <c r="L2033" i="1"/>
  <c r="M2033" i="1" s="1"/>
  <c r="L2161" i="1"/>
  <c r="M2161" i="1" s="1"/>
  <c r="L2169" i="1"/>
  <c r="M2169" i="1" s="1"/>
  <c r="L2297" i="1"/>
  <c r="M2297" i="1" s="1"/>
  <c r="L2305" i="1"/>
  <c r="M2305" i="1" s="1"/>
  <c r="L2417" i="1"/>
  <c r="M2417" i="1" s="1"/>
  <c r="L2425" i="1"/>
  <c r="M2425" i="1" s="1"/>
  <c r="L2569" i="1"/>
  <c r="M2569" i="1" s="1"/>
  <c r="L2577" i="1"/>
  <c r="M2577" i="1" s="1"/>
  <c r="L2705" i="1"/>
  <c r="M2705" i="1" s="1"/>
  <c r="L2713" i="1"/>
  <c r="M2713" i="1" s="1"/>
  <c r="L2841" i="1"/>
  <c r="M2841" i="1" s="1"/>
  <c r="L2849" i="1"/>
  <c r="M2849" i="1" s="1"/>
  <c r="L2985" i="1"/>
  <c r="M2985" i="1" s="1"/>
  <c r="L2993" i="1"/>
  <c r="M2993" i="1" s="1"/>
  <c r="L3121" i="1"/>
  <c r="M3121" i="1" s="1"/>
  <c r="L3129" i="1"/>
  <c r="M3129" i="1" s="1"/>
  <c r="L3257" i="1"/>
  <c r="M3257" i="1" s="1"/>
  <c r="L3265" i="1"/>
  <c r="M3265" i="1" s="1"/>
  <c r="L3393" i="1"/>
  <c r="M3393" i="1" s="1"/>
  <c r="L3401" i="1"/>
  <c r="M3401" i="1" s="1"/>
  <c r="L3529" i="1"/>
  <c r="M3529" i="1" s="1"/>
  <c r="L3537" i="1"/>
  <c r="M3537" i="1" s="1"/>
  <c r="L3665" i="1"/>
  <c r="M3665" i="1" s="1"/>
  <c r="L3673" i="1"/>
  <c r="M3673" i="1" s="1"/>
  <c r="L3801" i="1"/>
  <c r="M3801" i="1" s="1"/>
  <c r="L3809" i="1"/>
  <c r="M3809" i="1" s="1"/>
  <c r="L3897" i="1"/>
  <c r="M3897" i="1" s="1"/>
  <c r="L883" i="1"/>
  <c r="M883" i="1" s="1"/>
  <c r="L891" i="1"/>
  <c r="M891" i="1" s="1"/>
  <c r="L1019" i="1"/>
  <c r="M1019" i="1" s="1"/>
  <c r="L1027" i="1"/>
  <c r="M1027" i="1" s="1"/>
  <c r="L1155" i="1"/>
  <c r="M1155" i="1" s="1"/>
  <c r="L1163" i="1"/>
  <c r="M1163" i="1" s="1"/>
  <c r="L1746" i="1"/>
  <c r="M1746" i="1" s="1"/>
  <c r="L1754" i="1"/>
  <c r="M1754" i="1" s="1"/>
  <c r="L1882" i="1"/>
  <c r="M1882" i="1" s="1"/>
  <c r="L1890" i="1"/>
  <c r="M1890" i="1" s="1"/>
  <c r="L2026" i="1"/>
  <c r="M2026" i="1" s="1"/>
  <c r="L2034" i="1"/>
  <c r="M2034" i="1" s="1"/>
  <c r="L2162" i="1"/>
  <c r="M2162" i="1" s="1"/>
  <c r="L2170" i="1"/>
  <c r="M2170" i="1" s="1"/>
  <c r="L2298" i="1"/>
  <c r="M2298" i="1" s="1"/>
  <c r="L2306" i="1"/>
  <c r="M2306" i="1" s="1"/>
  <c r="L2418" i="1"/>
  <c r="M2418" i="1" s="1"/>
  <c r="L2426" i="1"/>
  <c r="M2426" i="1" s="1"/>
  <c r="L2570" i="1"/>
  <c r="M2570" i="1" s="1"/>
  <c r="L2578" i="1"/>
  <c r="M2578" i="1" s="1"/>
  <c r="L2706" i="1"/>
  <c r="M2706" i="1" s="1"/>
  <c r="L2714" i="1"/>
  <c r="M2714" i="1" s="1"/>
  <c r="L2842" i="1"/>
  <c r="M2842" i="1" s="1"/>
  <c r="L2850" i="1"/>
  <c r="M2850" i="1" s="1"/>
  <c r="L2978" i="1"/>
  <c r="M2978" i="1" s="1"/>
  <c r="L2986" i="1"/>
  <c r="M2986" i="1" s="1"/>
  <c r="L3122" i="1"/>
  <c r="M3122" i="1" s="1"/>
  <c r="L3130" i="1"/>
  <c r="M3130" i="1" s="1"/>
  <c r="L3258" i="1"/>
  <c r="M3258" i="1" s="1"/>
  <c r="L3266" i="1"/>
  <c r="M3266" i="1" s="1"/>
  <c r="L3394" i="1"/>
  <c r="M3394" i="1" s="1"/>
  <c r="L3402" i="1"/>
  <c r="M3402" i="1" s="1"/>
  <c r="L3530" i="1"/>
  <c r="M3530" i="1" s="1"/>
  <c r="L3538" i="1"/>
  <c r="M3538" i="1" s="1"/>
  <c r="L3666" i="1"/>
  <c r="M3666" i="1" s="1"/>
  <c r="L3674" i="1"/>
  <c r="M3674" i="1" s="1"/>
  <c r="L3802" i="1"/>
  <c r="M3802" i="1" s="1"/>
  <c r="L3810" i="1"/>
  <c r="M3810" i="1" s="1"/>
  <c r="L3898" i="1"/>
  <c r="M3898" i="1" s="1"/>
  <c r="L884" i="1"/>
  <c r="M884" i="1" s="1"/>
  <c r="L892" i="1"/>
  <c r="M892" i="1" s="1"/>
  <c r="L1020" i="1"/>
  <c r="M1020" i="1" s="1"/>
  <c r="L1028" i="1"/>
  <c r="M1028" i="1" s="1"/>
  <c r="L1156" i="1"/>
  <c r="M1156" i="1" s="1"/>
  <c r="L1164" i="1"/>
  <c r="M1164" i="1" s="1"/>
  <c r="L1747" i="1"/>
  <c r="M1747" i="1" s="1"/>
  <c r="L1755" i="1"/>
  <c r="M1755" i="1" s="1"/>
  <c r="L1883" i="1"/>
  <c r="M1883" i="1" s="1"/>
  <c r="L1891" i="1"/>
  <c r="M1891" i="1" s="1"/>
  <c r="L2019" i="1"/>
  <c r="M2019" i="1" s="1"/>
  <c r="L2027" i="1"/>
  <c r="M2027" i="1" s="1"/>
  <c r="L2163" i="1"/>
  <c r="M2163" i="1" s="1"/>
  <c r="L2171" i="1"/>
  <c r="M2171" i="1" s="1"/>
  <c r="L2299" i="1"/>
  <c r="M2299" i="1" s="1"/>
  <c r="L2307" i="1"/>
  <c r="M2307" i="1" s="1"/>
  <c r="L2419" i="1"/>
  <c r="M2419" i="1" s="1"/>
  <c r="L2427" i="1"/>
  <c r="M2427" i="1" s="1"/>
  <c r="L2571" i="1"/>
  <c r="M2571" i="1" s="1"/>
  <c r="L2579" i="1"/>
  <c r="M2579" i="1" s="1"/>
  <c r="L2707" i="1"/>
  <c r="M2707" i="1" s="1"/>
  <c r="L2715" i="1"/>
  <c r="M2715" i="1" s="1"/>
  <c r="L2843" i="1"/>
  <c r="M2843" i="1" s="1"/>
  <c r="L2851" i="1"/>
  <c r="M2851" i="1" s="1"/>
  <c r="L2979" i="1"/>
  <c r="M2979" i="1" s="1"/>
  <c r="L2987" i="1"/>
  <c r="M2987" i="1" s="1"/>
  <c r="L3115" i="1"/>
  <c r="M3115" i="1" s="1"/>
  <c r="L3123" i="1"/>
  <c r="M3123" i="1" s="1"/>
  <c r="L3259" i="1"/>
  <c r="M3259" i="1" s="1"/>
  <c r="L3267" i="1"/>
  <c r="M3267" i="1" s="1"/>
  <c r="L3395" i="1"/>
  <c r="M3395" i="1" s="1"/>
  <c r="L3403" i="1"/>
  <c r="M3403" i="1" s="1"/>
  <c r="L3531" i="1"/>
  <c r="M3531" i="1" s="1"/>
  <c r="L3539" i="1"/>
  <c r="M3539" i="1" s="1"/>
  <c r="L3667" i="1"/>
  <c r="M3667" i="1" s="1"/>
  <c r="L3675" i="1"/>
  <c r="M3675" i="1" s="1"/>
  <c r="L3803" i="1"/>
  <c r="M3803" i="1" s="1"/>
  <c r="L3811" i="1"/>
  <c r="M3811" i="1" s="1"/>
  <c r="L3899" i="1"/>
  <c r="M3899" i="1" s="1"/>
  <c r="L877" i="1"/>
  <c r="M877" i="1" s="1"/>
  <c r="L885" i="1"/>
  <c r="M885" i="1" s="1"/>
  <c r="L1013" i="1"/>
  <c r="M1013" i="1" s="1"/>
  <c r="L1021" i="1"/>
  <c r="M1021" i="1" s="1"/>
  <c r="L1149" i="1"/>
  <c r="M1149" i="1" s="1"/>
  <c r="L1157" i="1"/>
  <c r="M1157" i="1" s="1"/>
  <c r="L1748" i="1"/>
  <c r="M1748" i="1" s="1"/>
  <c r="L1756" i="1"/>
  <c r="M1756" i="1" s="1"/>
  <c r="L1884" i="1"/>
  <c r="M1884" i="1" s="1"/>
  <c r="L1892" i="1"/>
  <c r="M1892" i="1" s="1"/>
  <c r="L2020" i="1"/>
  <c r="M2020" i="1" s="1"/>
  <c r="L2028" i="1"/>
  <c r="M2028" i="1" s="1"/>
  <c r="L2156" i="1"/>
  <c r="M2156" i="1" s="1"/>
  <c r="L2164" i="1"/>
  <c r="M2164" i="1" s="1"/>
  <c r="L2300" i="1"/>
  <c r="M2300" i="1" s="1"/>
  <c r="L2308" i="1"/>
  <c r="M2308" i="1" s="1"/>
  <c r="L2420" i="1"/>
  <c r="M2420" i="1" s="1"/>
  <c r="L2428" i="1"/>
  <c r="M2428" i="1" s="1"/>
  <c r="L2572" i="1"/>
  <c r="M2572" i="1" s="1"/>
  <c r="L2580" i="1"/>
  <c r="M2580" i="1" s="1"/>
  <c r="L2708" i="1"/>
  <c r="M2708" i="1" s="1"/>
  <c r="L2716" i="1"/>
  <c r="M2716" i="1" s="1"/>
  <c r="L2844" i="1"/>
  <c r="M2844" i="1" s="1"/>
  <c r="L2852" i="1"/>
  <c r="M2852" i="1" s="1"/>
  <c r="L2980" i="1"/>
  <c r="M2980" i="1" s="1"/>
  <c r="L2988" i="1"/>
  <c r="M2988" i="1" s="1"/>
  <c r="L3116" i="1"/>
  <c r="M3116" i="1" s="1"/>
  <c r="L3124" i="1"/>
  <c r="M3124" i="1" s="1"/>
  <c r="L3252" i="1"/>
  <c r="M3252" i="1" s="1"/>
  <c r="L3260" i="1"/>
  <c r="M3260" i="1" s="1"/>
  <c r="L3396" i="1"/>
  <c r="M3396" i="1" s="1"/>
  <c r="L3404" i="1"/>
  <c r="M3404" i="1" s="1"/>
  <c r="L3532" i="1"/>
  <c r="M3532" i="1" s="1"/>
  <c r="L3540" i="1"/>
  <c r="M3540" i="1" s="1"/>
  <c r="L3668" i="1"/>
  <c r="M3668" i="1" s="1"/>
  <c r="L3676" i="1"/>
  <c r="M3676" i="1" s="1"/>
  <c r="L3804" i="1"/>
  <c r="M3804" i="1" s="1"/>
  <c r="L3812" i="1"/>
  <c r="M3812" i="1" s="1"/>
  <c r="L3900" i="1"/>
  <c r="M3900" i="1" s="1"/>
  <c r="L878" i="1"/>
  <c r="M878" i="1" s="1"/>
  <c r="L886" i="1"/>
  <c r="M886" i="1" s="1"/>
  <c r="L1014" i="1"/>
  <c r="M1014" i="1" s="1"/>
  <c r="L1022" i="1"/>
  <c r="M1022" i="1" s="1"/>
  <c r="L1150" i="1"/>
  <c r="M1150" i="1" s="1"/>
  <c r="L1158" i="1"/>
  <c r="M1158" i="1" s="1"/>
  <c r="L4066" i="1"/>
  <c r="M4066" i="1" s="1"/>
  <c r="L4202" i="1"/>
  <c r="M4202" i="1" s="1"/>
  <c r="L4338" i="1"/>
  <c r="M4338" i="1" s="1"/>
  <c r="L4474" i="1"/>
  <c r="M4474" i="1" s="1"/>
  <c r="L4610" i="1"/>
  <c r="M4610" i="1" s="1"/>
  <c r="L4746" i="1"/>
  <c r="M4746" i="1" s="1"/>
  <c r="L4882" i="1"/>
  <c r="M4882" i="1" s="1"/>
  <c r="L5018" i="1"/>
  <c r="M5018" i="1" s="1"/>
  <c r="L1478" i="1"/>
  <c r="M1478" i="1" s="1"/>
  <c r="L1750" i="1"/>
  <c r="M1750" i="1" s="1"/>
  <c r="L1758" i="1"/>
  <c r="M1758" i="1" s="1"/>
  <c r="L1886" i="1"/>
  <c r="M1886" i="1" s="1"/>
  <c r="L1894" i="1"/>
  <c r="M1894" i="1" s="1"/>
  <c r="L2022" i="1"/>
  <c r="M2022" i="1" s="1"/>
  <c r="L2030" i="1"/>
  <c r="M2030" i="1" s="1"/>
  <c r="L2158" i="1"/>
  <c r="M2158" i="1" s="1"/>
  <c r="L2166" i="1"/>
  <c r="M2166" i="1" s="1"/>
  <c r="L2294" i="1"/>
  <c r="M2294" i="1" s="1"/>
  <c r="L2302" i="1"/>
  <c r="M2302" i="1" s="1"/>
  <c r="L2414" i="1"/>
  <c r="M2414" i="1" s="1"/>
  <c r="L2422" i="1"/>
  <c r="M2422" i="1" s="1"/>
  <c r="L2574" i="1"/>
  <c r="M2574" i="1" s="1"/>
  <c r="L2582" i="1"/>
  <c r="M2582" i="1" s="1"/>
  <c r="L2710" i="1"/>
  <c r="M2710" i="1" s="1"/>
  <c r="L2718" i="1"/>
  <c r="M2718" i="1" s="1"/>
  <c r="L2846" i="1"/>
  <c r="M2846" i="1" s="1"/>
  <c r="L2854" i="1"/>
  <c r="M2854" i="1" s="1"/>
  <c r="L2982" i="1"/>
  <c r="M2982" i="1" s="1"/>
  <c r="L2990" i="1"/>
  <c r="M2990" i="1" s="1"/>
  <c r="L3118" i="1"/>
  <c r="M3118" i="1" s="1"/>
  <c r="L3126" i="1"/>
  <c r="M3126" i="1" s="1"/>
  <c r="L3254" i="1"/>
  <c r="M3254" i="1" s="1"/>
  <c r="L3262" i="1"/>
  <c r="M3262" i="1" s="1"/>
  <c r="L3390" i="1"/>
  <c r="M3390" i="1" s="1"/>
  <c r="L3398" i="1"/>
  <c r="M3398" i="1" s="1"/>
  <c r="L3526" i="1"/>
  <c r="M3526" i="1" s="1"/>
  <c r="L3534" i="1"/>
  <c r="M3534" i="1" s="1"/>
  <c r="L3670" i="1"/>
  <c r="M3670" i="1" s="1"/>
  <c r="L3678" i="1"/>
  <c r="M3678" i="1" s="1"/>
  <c r="L3806" i="1"/>
  <c r="M3806" i="1" s="1"/>
  <c r="L3814" i="1"/>
  <c r="M3814" i="1" s="1"/>
  <c r="L3894" i="1"/>
  <c r="M3894" i="1" s="1"/>
  <c r="L3902" i="1"/>
  <c r="M3902" i="1" s="1"/>
  <c r="L880" i="1"/>
  <c r="M880" i="1" s="1"/>
  <c r="L888" i="1"/>
  <c r="M888" i="1" s="1"/>
  <c r="L1016" i="1"/>
  <c r="M1016" i="1" s="1"/>
  <c r="L1024" i="1"/>
  <c r="M1024" i="1" s="1"/>
  <c r="L1152" i="1"/>
  <c r="M1152" i="1" s="1"/>
  <c r="L1160" i="1"/>
  <c r="M1160" i="1" s="1"/>
  <c r="L1486" i="1"/>
  <c r="M1486" i="1" s="1"/>
  <c r="L1614" i="1"/>
  <c r="M1614" i="1" s="1"/>
  <c r="L1751" i="1"/>
  <c r="M1751" i="1" s="1"/>
  <c r="L1759" i="1"/>
  <c r="M1759" i="1" s="1"/>
  <c r="L1887" i="1"/>
  <c r="M1887" i="1" s="1"/>
  <c r="L1895" i="1"/>
  <c r="M1895" i="1" s="1"/>
  <c r="L2023" i="1"/>
  <c r="M2023" i="1" s="1"/>
  <c r="L2031" i="1"/>
  <c r="M2031" i="1" s="1"/>
  <c r="L2159" i="1"/>
  <c r="M2159" i="1" s="1"/>
  <c r="L2167" i="1"/>
  <c r="M2167" i="1" s="1"/>
  <c r="L2295" i="1"/>
  <c r="M2295" i="1" s="1"/>
  <c r="L2303" i="1"/>
  <c r="M2303" i="1" s="1"/>
  <c r="L2415" i="1"/>
  <c r="M2415" i="1" s="1"/>
  <c r="L2423" i="1"/>
  <c r="M2423" i="1" s="1"/>
  <c r="L2567" i="1"/>
  <c r="M2567" i="1" s="1"/>
  <c r="L2575" i="1"/>
  <c r="M2575" i="1" s="1"/>
  <c r="L2711" i="1"/>
  <c r="M2711" i="1" s="1"/>
  <c r="L2719" i="1"/>
  <c r="M2719" i="1" s="1"/>
  <c r="L2847" i="1"/>
  <c r="M2847" i="1" s="1"/>
  <c r="L2855" i="1"/>
  <c r="M2855" i="1" s="1"/>
  <c r="L2983" i="1"/>
  <c r="M2983" i="1" s="1"/>
  <c r="L2991" i="1"/>
  <c r="M2991" i="1" s="1"/>
  <c r="L3119" i="1"/>
  <c r="M3119" i="1" s="1"/>
  <c r="L3127" i="1"/>
  <c r="M3127" i="1" s="1"/>
  <c r="L3255" i="1"/>
  <c r="M3255" i="1" s="1"/>
  <c r="L3263" i="1"/>
  <c r="M3263" i="1" s="1"/>
  <c r="L3391" i="1"/>
  <c r="M3391" i="1" s="1"/>
  <c r="L3399" i="1"/>
  <c r="M3399" i="1" s="1"/>
  <c r="L3527" i="1"/>
  <c r="M3527" i="1" s="1"/>
  <c r="L3535" i="1"/>
  <c r="M3535" i="1" s="1"/>
  <c r="L3663" i="1"/>
  <c r="M3663" i="1" s="1"/>
  <c r="L3671" i="1"/>
  <c r="M3671" i="1" s="1"/>
  <c r="L3807" i="1"/>
  <c r="M3807" i="1" s="1"/>
  <c r="L3815" i="1"/>
  <c r="M3815" i="1" s="1"/>
  <c r="L3895" i="1"/>
  <c r="M3895" i="1" s="1"/>
  <c r="L3903" i="1"/>
  <c r="M3903" i="1" s="1"/>
  <c r="L3919" i="1"/>
  <c r="M3919" i="1" s="1"/>
  <c r="L3935" i="1"/>
  <c r="M3935" i="1" s="1"/>
  <c r="L881" i="1"/>
  <c r="M881" i="1" s="1"/>
  <c r="L889" i="1"/>
  <c r="M889" i="1" s="1"/>
  <c r="L1017" i="1"/>
  <c r="M1017" i="1" s="1"/>
  <c r="L1025" i="1"/>
  <c r="M1025" i="1" s="1"/>
  <c r="L1153" i="1"/>
  <c r="M1153" i="1" s="1"/>
  <c r="L1161" i="1"/>
  <c r="M1161" i="1" s="1"/>
  <c r="L1622" i="1"/>
  <c r="M1622" i="1" s="1"/>
  <c r="L1752" i="1"/>
  <c r="M1752" i="1" s="1"/>
  <c r="L1760" i="1"/>
  <c r="M1760" i="1" s="1"/>
  <c r="L1888" i="1"/>
  <c r="M1888" i="1" s="1"/>
  <c r="L1896" i="1"/>
  <c r="M1896" i="1" s="1"/>
  <c r="L2024" i="1"/>
  <c r="M2024" i="1" s="1"/>
  <c r="L2032" i="1"/>
  <c r="M2032" i="1" s="1"/>
  <c r="L2160" i="1"/>
  <c r="M2160" i="1" s="1"/>
  <c r="L2168" i="1"/>
  <c r="M2168" i="1" s="1"/>
  <c r="L2296" i="1"/>
  <c r="M2296" i="1" s="1"/>
  <c r="L2304" i="1"/>
  <c r="M2304" i="1" s="1"/>
  <c r="L2416" i="1"/>
  <c r="M2416" i="1" s="1"/>
  <c r="L2424" i="1"/>
  <c r="M2424" i="1" s="1"/>
  <c r="L2568" i="1"/>
  <c r="M2568" i="1" s="1"/>
  <c r="L2576" i="1"/>
  <c r="M2576" i="1" s="1"/>
  <c r="L2704" i="1"/>
  <c r="M2704" i="1" s="1"/>
  <c r="L2712" i="1"/>
  <c r="M2712" i="1" s="1"/>
  <c r="L2848" i="1"/>
  <c r="M2848" i="1" s="1"/>
  <c r="L2856" i="1"/>
  <c r="M2856" i="1" s="1"/>
  <c r="L2984" i="1"/>
  <c r="M2984" i="1" s="1"/>
  <c r="L2992" i="1"/>
  <c r="M2992" i="1" s="1"/>
  <c r="L3120" i="1"/>
  <c r="M3120" i="1" s="1"/>
  <c r="L3128" i="1"/>
  <c r="M3128" i="1" s="1"/>
  <c r="L3256" i="1"/>
  <c r="M3256" i="1" s="1"/>
  <c r="L3264" i="1"/>
  <c r="M3264" i="1" s="1"/>
  <c r="L3392" i="1"/>
  <c r="M3392" i="1" s="1"/>
  <c r="L3400" i="1"/>
  <c r="M3400" i="1" s="1"/>
  <c r="L3528" i="1"/>
  <c r="M3528" i="1" s="1"/>
  <c r="L3536" i="1"/>
  <c r="M3536" i="1" s="1"/>
  <c r="L3664" i="1"/>
  <c r="M3664" i="1" s="1"/>
  <c r="L3672" i="1"/>
  <c r="M3672" i="1" s="1"/>
  <c r="L3800" i="1"/>
  <c r="M3800" i="1" s="1"/>
  <c r="L3808" i="1"/>
  <c r="M3808" i="1" s="1"/>
  <c r="L3896" i="1"/>
  <c r="M3896" i="1" s="1"/>
  <c r="L882" i="1"/>
  <c r="M882" i="1" s="1"/>
  <c r="L890" i="1"/>
  <c r="M890" i="1" s="1"/>
  <c r="L1018" i="1"/>
  <c r="M1018" i="1" s="1"/>
  <c r="L1026" i="1"/>
  <c r="M1026" i="1" s="1"/>
  <c r="L1154" i="1"/>
  <c r="M1154" i="1" s="1"/>
  <c r="L1162" i="1"/>
  <c r="M1162" i="1" s="1"/>
  <c r="L2581" i="1"/>
  <c r="M2581" i="1" s="1"/>
  <c r="L2709" i="1"/>
  <c r="M2709" i="1" s="1"/>
  <c r="L3677" i="1"/>
  <c r="M3677" i="1" s="1"/>
  <c r="L3805" i="1"/>
  <c r="M3805" i="1" s="1"/>
  <c r="L1287" i="1"/>
  <c r="M1287" i="1" s="1"/>
  <c r="L1295" i="1"/>
  <c r="M1295" i="1" s="1"/>
  <c r="L74" i="1"/>
  <c r="M74" i="1" s="1"/>
  <c r="L82" i="1"/>
  <c r="M82" i="1" s="1"/>
  <c r="L186" i="1"/>
  <c r="M186" i="1" s="1"/>
  <c r="L194" i="1"/>
  <c r="M194" i="1" s="1"/>
  <c r="L322" i="1"/>
  <c r="M322" i="1" s="1"/>
  <c r="L330" i="1"/>
  <c r="M330" i="1" s="1"/>
  <c r="L458" i="1"/>
  <c r="M458" i="1" s="1"/>
  <c r="L466" i="1"/>
  <c r="M466" i="1" s="1"/>
  <c r="L594" i="1"/>
  <c r="M594" i="1" s="1"/>
  <c r="L602" i="1"/>
  <c r="M602" i="1" s="1"/>
  <c r="L746" i="1"/>
  <c r="M746" i="1" s="1"/>
  <c r="L754" i="1"/>
  <c r="M754" i="1" s="1"/>
  <c r="L2157" i="1"/>
  <c r="M2157" i="1" s="1"/>
  <c r="L182" i="1"/>
  <c r="M182" i="1" s="1"/>
  <c r="L4058" i="1"/>
  <c r="M4058" i="1" s="1"/>
  <c r="L4602" i="1"/>
  <c r="M4602" i="1" s="1"/>
  <c r="L1749" i="1"/>
  <c r="M1749" i="1" s="1"/>
  <c r="L2717" i="1"/>
  <c r="M2717" i="1" s="1"/>
  <c r="L2845" i="1"/>
  <c r="M2845" i="1" s="1"/>
  <c r="L3813" i="1"/>
  <c r="M3813" i="1" s="1"/>
  <c r="L1288" i="1"/>
  <c r="M1288" i="1" s="1"/>
  <c r="L1296" i="1"/>
  <c r="M1296" i="1" s="1"/>
  <c r="L75" i="1"/>
  <c r="M75" i="1" s="1"/>
  <c r="L187" i="1"/>
  <c r="M187" i="1" s="1"/>
  <c r="L195" i="1"/>
  <c r="M195" i="1" s="1"/>
  <c r="L323" i="1"/>
  <c r="M323" i="1" s="1"/>
  <c r="L331" i="1"/>
  <c r="M331" i="1" s="1"/>
  <c r="L459" i="1"/>
  <c r="M459" i="1" s="1"/>
  <c r="L467" i="1"/>
  <c r="M467" i="1" s="1"/>
  <c r="L595" i="1"/>
  <c r="M595" i="1" s="1"/>
  <c r="L603" i="1"/>
  <c r="M603" i="1" s="1"/>
  <c r="L747" i="1"/>
  <c r="M747" i="1" s="1"/>
  <c r="L755" i="1"/>
  <c r="M755" i="1" s="1"/>
  <c r="L1299" i="1"/>
  <c r="M1299" i="1" s="1"/>
  <c r="L326" i="1"/>
  <c r="M326" i="1" s="1"/>
  <c r="L598" i="1"/>
  <c r="M598" i="1" s="1"/>
  <c r="L1757" i="1"/>
  <c r="M1757" i="1" s="1"/>
  <c r="L1885" i="1"/>
  <c r="M1885" i="1" s="1"/>
  <c r="L2853" i="1"/>
  <c r="M2853" i="1" s="1"/>
  <c r="L2981" i="1"/>
  <c r="M2981" i="1" s="1"/>
  <c r="L1289" i="1"/>
  <c r="M1289" i="1" s="1"/>
  <c r="L1297" i="1"/>
  <c r="M1297" i="1" s="1"/>
  <c r="L76" i="1"/>
  <c r="M76" i="1" s="1"/>
  <c r="L180" i="1"/>
  <c r="M180" i="1" s="1"/>
  <c r="L188" i="1"/>
  <c r="M188" i="1" s="1"/>
  <c r="L316" i="1"/>
  <c r="M316" i="1" s="1"/>
  <c r="L324" i="1"/>
  <c r="M324" i="1" s="1"/>
  <c r="L452" i="1"/>
  <c r="M452" i="1" s="1"/>
  <c r="L460" i="1"/>
  <c r="M460" i="1" s="1"/>
  <c r="L588" i="1"/>
  <c r="M588" i="1" s="1"/>
  <c r="L596" i="1"/>
  <c r="M596" i="1" s="1"/>
  <c r="L748" i="1"/>
  <c r="M748" i="1" s="1"/>
  <c r="L756" i="1"/>
  <c r="M756" i="1" s="1"/>
  <c r="L3253" i="1"/>
  <c r="M3253" i="1" s="1"/>
  <c r="L190" i="1"/>
  <c r="M190" i="1" s="1"/>
  <c r="L462" i="1"/>
  <c r="M462" i="1" s="1"/>
  <c r="L750" i="1"/>
  <c r="M750" i="1" s="1"/>
  <c r="L4194" i="1"/>
  <c r="M4194" i="1" s="1"/>
  <c r="L4738" i="1"/>
  <c r="M4738" i="1" s="1"/>
  <c r="L1893" i="1"/>
  <c r="M1893" i="1" s="1"/>
  <c r="L2021" i="1"/>
  <c r="M2021" i="1" s="1"/>
  <c r="L2413" i="1"/>
  <c r="M2413" i="1" s="1"/>
  <c r="L2989" i="1"/>
  <c r="M2989" i="1" s="1"/>
  <c r="L3117" i="1"/>
  <c r="M3117" i="1" s="1"/>
  <c r="L3901" i="1"/>
  <c r="M3901" i="1" s="1"/>
  <c r="L1290" i="1"/>
  <c r="M1290" i="1" s="1"/>
  <c r="L1298" i="1"/>
  <c r="M1298" i="1" s="1"/>
  <c r="L77" i="1"/>
  <c r="M77" i="1" s="1"/>
  <c r="L181" i="1"/>
  <c r="M181" i="1" s="1"/>
  <c r="L189" i="1"/>
  <c r="M189" i="1" s="1"/>
  <c r="L317" i="1"/>
  <c r="M317" i="1" s="1"/>
  <c r="L325" i="1"/>
  <c r="M325" i="1" s="1"/>
  <c r="L453" i="1"/>
  <c r="M453" i="1" s="1"/>
  <c r="L461" i="1"/>
  <c r="M461" i="1" s="1"/>
  <c r="L589" i="1"/>
  <c r="M589" i="1" s="1"/>
  <c r="L597" i="1"/>
  <c r="M597" i="1" s="1"/>
  <c r="L741" i="1"/>
  <c r="M741" i="1" s="1"/>
  <c r="L749" i="1"/>
  <c r="M749" i="1" s="1"/>
  <c r="L2421" i="1"/>
  <c r="M2421" i="1" s="1"/>
  <c r="L3125" i="1"/>
  <c r="M3125" i="1" s="1"/>
  <c r="L78" i="1"/>
  <c r="M78" i="1" s="1"/>
  <c r="L4330" i="1"/>
  <c r="M4330" i="1" s="1"/>
  <c r="L4874" i="1"/>
  <c r="M4874" i="1" s="1"/>
  <c r="L2165" i="1"/>
  <c r="M2165" i="1" s="1"/>
  <c r="L2293" i="1"/>
  <c r="M2293" i="1" s="1"/>
  <c r="L3261" i="1"/>
  <c r="M3261" i="1" s="1"/>
  <c r="L3389" i="1"/>
  <c r="M3389" i="1" s="1"/>
  <c r="L1292" i="1"/>
  <c r="M1292" i="1" s="1"/>
  <c r="L1300" i="1"/>
  <c r="M1300" i="1" s="1"/>
  <c r="L79" i="1"/>
  <c r="M79" i="1" s="1"/>
  <c r="L183" i="1"/>
  <c r="M183" i="1" s="1"/>
  <c r="L191" i="1"/>
  <c r="M191" i="1" s="1"/>
  <c r="L319" i="1"/>
  <c r="M319" i="1" s="1"/>
  <c r="L327" i="1"/>
  <c r="M327" i="1" s="1"/>
  <c r="L455" i="1"/>
  <c r="M455" i="1" s="1"/>
  <c r="L463" i="1"/>
  <c r="M463" i="1" s="1"/>
  <c r="L591" i="1"/>
  <c r="M591" i="1" s="1"/>
  <c r="L599" i="1"/>
  <c r="M599" i="1" s="1"/>
  <c r="L743" i="1"/>
  <c r="M743" i="1" s="1"/>
  <c r="L751" i="1"/>
  <c r="M751" i="1" s="1"/>
  <c r="L318" i="1"/>
  <c r="M318" i="1" s="1"/>
  <c r="L742" i="1"/>
  <c r="M742" i="1" s="1"/>
  <c r="L2301" i="1"/>
  <c r="M2301" i="1" s="1"/>
  <c r="L3397" i="1"/>
  <c r="M3397" i="1" s="1"/>
  <c r="L3533" i="1"/>
  <c r="M3533" i="1" s="1"/>
  <c r="L879" i="1"/>
  <c r="M879" i="1" s="1"/>
  <c r="L1015" i="1"/>
  <c r="M1015" i="1" s="1"/>
  <c r="L1151" i="1"/>
  <c r="M1151" i="1" s="1"/>
  <c r="L1285" i="1"/>
  <c r="M1285" i="1" s="1"/>
  <c r="L1293" i="1"/>
  <c r="M1293" i="1" s="1"/>
  <c r="L80" i="1"/>
  <c r="M80" i="1" s="1"/>
  <c r="L184" i="1"/>
  <c r="M184" i="1" s="1"/>
  <c r="L192" i="1"/>
  <c r="M192" i="1" s="1"/>
  <c r="L320" i="1"/>
  <c r="M320" i="1" s="1"/>
  <c r="L328" i="1"/>
  <c r="M328" i="1" s="1"/>
  <c r="L456" i="1"/>
  <c r="M456" i="1" s="1"/>
  <c r="L464" i="1"/>
  <c r="M464" i="1" s="1"/>
  <c r="L592" i="1"/>
  <c r="M592" i="1" s="1"/>
  <c r="L600" i="1"/>
  <c r="M600" i="1" s="1"/>
  <c r="L744" i="1"/>
  <c r="M744" i="1" s="1"/>
  <c r="L752" i="1"/>
  <c r="M752" i="1" s="1"/>
  <c r="L1291" i="1"/>
  <c r="M1291" i="1" s="1"/>
  <c r="L454" i="1"/>
  <c r="M454" i="1" s="1"/>
  <c r="L4466" i="1"/>
  <c r="M4466" i="1" s="1"/>
  <c r="L5010" i="1"/>
  <c r="M5010" i="1" s="1"/>
  <c r="L2573" i="1"/>
  <c r="M2573" i="1" s="1"/>
  <c r="L3541" i="1"/>
  <c r="M3541" i="1" s="1"/>
  <c r="L3669" i="1"/>
  <c r="M3669" i="1" s="1"/>
  <c r="L887" i="1"/>
  <c r="M887" i="1" s="1"/>
  <c r="L1023" i="1"/>
  <c r="M1023" i="1" s="1"/>
  <c r="L1159" i="1"/>
  <c r="M1159" i="1" s="1"/>
  <c r="L1286" i="1"/>
  <c r="M1286" i="1" s="1"/>
  <c r="L1294" i="1"/>
  <c r="M1294" i="1" s="1"/>
  <c r="L73" i="1"/>
  <c r="M73" i="1" s="1"/>
  <c r="L81" i="1"/>
  <c r="M81" i="1" s="1"/>
  <c r="L185" i="1"/>
  <c r="M185" i="1" s="1"/>
  <c r="L193" i="1"/>
  <c r="M193" i="1" s="1"/>
  <c r="L321" i="1"/>
  <c r="M321" i="1" s="1"/>
  <c r="L329" i="1"/>
  <c r="M329" i="1" s="1"/>
  <c r="L457" i="1"/>
  <c r="M457" i="1" s="1"/>
  <c r="L465" i="1"/>
  <c r="M465" i="1" s="1"/>
  <c r="L593" i="1"/>
  <c r="M593" i="1" s="1"/>
  <c r="L601" i="1"/>
  <c r="M601" i="1" s="1"/>
  <c r="L745" i="1"/>
  <c r="M745" i="1" s="1"/>
  <c r="L753" i="1"/>
  <c r="M753" i="1" s="1"/>
  <c r="L2029" i="1"/>
  <c r="M2029" i="1" s="1"/>
  <c r="L590" i="1"/>
  <c r="M590" i="1" s="1"/>
  <c r="J35" i="40"/>
  <c r="J62" i="40" s="1"/>
  <c r="L10482" i="1"/>
  <c r="M10482" i="1" s="1"/>
  <c r="L10483" i="1"/>
  <c r="M10483" i="1" s="1"/>
  <c r="L14423" i="1"/>
  <c r="M14423" i="1" s="1"/>
  <c r="L14551" i="1"/>
  <c r="M14551" i="1" s="1"/>
  <c r="L14559" i="1"/>
  <c r="M14559" i="1" s="1"/>
  <c r="L14687" i="1"/>
  <c r="M14687" i="1" s="1"/>
  <c r="L14695" i="1"/>
  <c r="M14695" i="1" s="1"/>
  <c r="L14823" i="1"/>
  <c r="M14823" i="1" s="1"/>
  <c r="L14831" i="1"/>
  <c r="M14831" i="1" s="1"/>
  <c r="L5162" i="1"/>
  <c r="M5162" i="1" s="1"/>
  <c r="L5170" i="1"/>
  <c r="M5170" i="1" s="1"/>
  <c r="L14416" i="1"/>
  <c r="M14416" i="1" s="1"/>
  <c r="L14424" i="1"/>
  <c r="M14424" i="1" s="1"/>
  <c r="L14552" i="1"/>
  <c r="M14552" i="1" s="1"/>
  <c r="L14560" i="1"/>
  <c r="M14560" i="1" s="1"/>
  <c r="L14688" i="1"/>
  <c r="M14688" i="1" s="1"/>
  <c r="L14696" i="1"/>
  <c r="M14696" i="1" s="1"/>
  <c r="L14824" i="1"/>
  <c r="M14824" i="1" s="1"/>
  <c r="L14832" i="1"/>
  <c r="M14832" i="1" s="1"/>
  <c r="L5163" i="1"/>
  <c r="M5163" i="1" s="1"/>
  <c r="L5171" i="1"/>
  <c r="M5171" i="1" s="1"/>
  <c r="L14417" i="1"/>
  <c r="M14417" i="1" s="1"/>
  <c r="L14545" i="1"/>
  <c r="M14545" i="1" s="1"/>
  <c r="L14553" i="1"/>
  <c r="M14553" i="1" s="1"/>
  <c r="L14681" i="1"/>
  <c r="M14681" i="1" s="1"/>
  <c r="L14689" i="1"/>
  <c r="M14689" i="1" s="1"/>
  <c r="L14817" i="1"/>
  <c r="M14817" i="1" s="1"/>
  <c r="L14825" i="1"/>
  <c r="M14825" i="1" s="1"/>
  <c r="L5164" i="1"/>
  <c r="M5164" i="1" s="1"/>
  <c r="L5172" i="1"/>
  <c r="M5172" i="1" s="1"/>
  <c r="L14418" i="1"/>
  <c r="M14418" i="1" s="1"/>
  <c r="L14546" i="1"/>
  <c r="M14546" i="1" s="1"/>
  <c r="L14554" i="1"/>
  <c r="M14554" i="1" s="1"/>
  <c r="L14682" i="1"/>
  <c r="M14682" i="1" s="1"/>
  <c r="L14690" i="1"/>
  <c r="M14690" i="1" s="1"/>
  <c r="L14818" i="1"/>
  <c r="M14818" i="1" s="1"/>
  <c r="L14826" i="1"/>
  <c r="M14826" i="1" s="1"/>
  <c r="L5165" i="1"/>
  <c r="M5165" i="1" s="1"/>
  <c r="L5173" i="1"/>
  <c r="M5173" i="1" s="1"/>
  <c r="L14419" i="1"/>
  <c r="M14419" i="1" s="1"/>
  <c r="L14547" i="1"/>
  <c r="M14547" i="1" s="1"/>
  <c r="L14555" i="1"/>
  <c r="M14555" i="1" s="1"/>
  <c r="L14683" i="1"/>
  <c r="M14683" i="1" s="1"/>
  <c r="L14691" i="1"/>
  <c r="M14691" i="1" s="1"/>
  <c r="L14819" i="1"/>
  <c r="M14819" i="1" s="1"/>
  <c r="L14827" i="1"/>
  <c r="M14827" i="1" s="1"/>
  <c r="L5166" i="1"/>
  <c r="M5166" i="1" s="1"/>
  <c r="L5174" i="1"/>
  <c r="M5174" i="1" s="1"/>
  <c r="L14420" i="1"/>
  <c r="M14420" i="1" s="1"/>
  <c r="L14548" i="1"/>
  <c r="M14548" i="1" s="1"/>
  <c r="L14556" i="1"/>
  <c r="M14556" i="1" s="1"/>
  <c r="L14684" i="1"/>
  <c r="M14684" i="1" s="1"/>
  <c r="L14692" i="1"/>
  <c r="M14692" i="1" s="1"/>
  <c r="L14820" i="1"/>
  <c r="M14820" i="1" s="1"/>
  <c r="L14828" i="1"/>
  <c r="M14828" i="1" s="1"/>
  <c r="L5167" i="1"/>
  <c r="M5167" i="1" s="1"/>
  <c r="L5175" i="1"/>
  <c r="M5175" i="1" s="1"/>
  <c r="L14421" i="1"/>
  <c r="M14421" i="1" s="1"/>
  <c r="L14549" i="1"/>
  <c r="M14549" i="1" s="1"/>
  <c r="L14557" i="1"/>
  <c r="M14557" i="1" s="1"/>
  <c r="L14685" i="1"/>
  <c r="M14685" i="1" s="1"/>
  <c r="L14693" i="1"/>
  <c r="M14693" i="1" s="1"/>
  <c r="L14821" i="1"/>
  <c r="M14821" i="1" s="1"/>
  <c r="L14829" i="1"/>
  <c r="M14829" i="1" s="1"/>
  <c r="L5168" i="1"/>
  <c r="M5168" i="1" s="1"/>
  <c r="L5176" i="1"/>
  <c r="M5176" i="1" s="1"/>
  <c r="L14422" i="1"/>
  <c r="M14422" i="1" s="1"/>
  <c r="L14550" i="1"/>
  <c r="M14550" i="1" s="1"/>
  <c r="L14558" i="1"/>
  <c r="M14558" i="1" s="1"/>
  <c r="L14686" i="1"/>
  <c r="M14686" i="1" s="1"/>
  <c r="L14694" i="1"/>
  <c r="M14694" i="1" s="1"/>
  <c r="L14822" i="1"/>
  <c r="M14822" i="1" s="1"/>
  <c r="L14830" i="1"/>
  <c r="M14830" i="1" s="1"/>
  <c r="L5161" i="1"/>
  <c r="M5161" i="1" s="1"/>
  <c r="L5169" i="1"/>
  <c r="M5169" i="1" s="1"/>
  <c r="L5299" i="1"/>
  <c r="M5299" i="1" s="1"/>
  <c r="L5307" i="1"/>
  <c r="M5307" i="1" s="1"/>
  <c r="L5435" i="1"/>
  <c r="M5435" i="1" s="1"/>
  <c r="L5443" i="1"/>
  <c r="M5443" i="1" s="1"/>
  <c r="L5571" i="1"/>
  <c r="M5571" i="1" s="1"/>
  <c r="L5579" i="1"/>
  <c r="M5579" i="1" s="1"/>
  <c r="L5707" i="1"/>
  <c r="M5707" i="1" s="1"/>
  <c r="L5715" i="1"/>
  <c r="M5715" i="1" s="1"/>
  <c r="L5843" i="1"/>
  <c r="M5843" i="1" s="1"/>
  <c r="L5851" i="1"/>
  <c r="M5851" i="1" s="1"/>
  <c r="L5300" i="1"/>
  <c r="M5300" i="1" s="1"/>
  <c r="L5308" i="1"/>
  <c r="M5308" i="1" s="1"/>
  <c r="L5436" i="1"/>
  <c r="M5436" i="1" s="1"/>
  <c r="L5444" i="1"/>
  <c r="M5444" i="1" s="1"/>
  <c r="L5572" i="1"/>
  <c r="M5572" i="1" s="1"/>
  <c r="L5580" i="1"/>
  <c r="M5580" i="1" s="1"/>
  <c r="L5708" i="1"/>
  <c r="M5708" i="1" s="1"/>
  <c r="L5716" i="1"/>
  <c r="M5716" i="1" s="1"/>
  <c r="L5844" i="1"/>
  <c r="M5844" i="1" s="1"/>
  <c r="L5852" i="1"/>
  <c r="M5852" i="1" s="1"/>
  <c r="L5301" i="1"/>
  <c r="M5301" i="1" s="1"/>
  <c r="L5309" i="1"/>
  <c r="M5309" i="1" s="1"/>
  <c r="L5437" i="1"/>
  <c r="M5437" i="1" s="1"/>
  <c r="L5445" i="1"/>
  <c r="M5445" i="1" s="1"/>
  <c r="L5573" i="1"/>
  <c r="M5573" i="1" s="1"/>
  <c r="L5581" i="1"/>
  <c r="M5581" i="1" s="1"/>
  <c r="L5709" i="1"/>
  <c r="M5709" i="1" s="1"/>
  <c r="L5717" i="1"/>
  <c r="M5717" i="1" s="1"/>
  <c r="L5845" i="1"/>
  <c r="M5845" i="1" s="1"/>
  <c r="L5853" i="1"/>
  <c r="M5853" i="1" s="1"/>
  <c r="L5302" i="1"/>
  <c r="M5302" i="1" s="1"/>
  <c r="L5310" i="1"/>
  <c r="M5310" i="1" s="1"/>
  <c r="L5438" i="1"/>
  <c r="M5438" i="1" s="1"/>
  <c r="L5446" i="1"/>
  <c r="M5446" i="1" s="1"/>
  <c r="L5574" i="1"/>
  <c r="M5574" i="1" s="1"/>
  <c r="L5582" i="1"/>
  <c r="M5582" i="1" s="1"/>
  <c r="L5710" i="1"/>
  <c r="M5710" i="1" s="1"/>
  <c r="L5718" i="1"/>
  <c r="M5718" i="1" s="1"/>
  <c r="L5846" i="1"/>
  <c r="M5846" i="1" s="1"/>
  <c r="L5854" i="1"/>
  <c r="M5854" i="1" s="1"/>
  <c r="L5982" i="1"/>
  <c r="M5982" i="1" s="1"/>
  <c r="L5990" i="1"/>
  <c r="M5990" i="1" s="1"/>
  <c r="L5303" i="1"/>
  <c r="M5303" i="1" s="1"/>
  <c r="L5311" i="1"/>
  <c r="M5311" i="1" s="1"/>
  <c r="L5439" i="1"/>
  <c r="M5439" i="1" s="1"/>
  <c r="L5447" i="1"/>
  <c r="M5447" i="1" s="1"/>
  <c r="L5575" i="1"/>
  <c r="M5575" i="1" s="1"/>
  <c r="L5583" i="1"/>
  <c r="M5583" i="1" s="1"/>
  <c r="L5711" i="1"/>
  <c r="M5711" i="1" s="1"/>
  <c r="L5719" i="1"/>
  <c r="M5719" i="1" s="1"/>
  <c r="L5847" i="1"/>
  <c r="M5847" i="1" s="1"/>
  <c r="L5855" i="1"/>
  <c r="M5855" i="1" s="1"/>
  <c r="L5304" i="1"/>
  <c r="M5304" i="1" s="1"/>
  <c r="L5312" i="1"/>
  <c r="M5312" i="1" s="1"/>
  <c r="L5440" i="1"/>
  <c r="M5440" i="1" s="1"/>
  <c r="L5448" i="1"/>
  <c r="M5448" i="1" s="1"/>
  <c r="L5576" i="1"/>
  <c r="M5576" i="1" s="1"/>
  <c r="L5584" i="1"/>
  <c r="M5584" i="1" s="1"/>
  <c r="L5712" i="1"/>
  <c r="M5712" i="1" s="1"/>
  <c r="L5720" i="1"/>
  <c r="M5720" i="1" s="1"/>
  <c r="L5848" i="1"/>
  <c r="M5848" i="1" s="1"/>
  <c r="L5856" i="1"/>
  <c r="M5856" i="1" s="1"/>
  <c r="L5297" i="1"/>
  <c r="M5297" i="1" s="1"/>
  <c r="L5305" i="1"/>
  <c r="M5305" i="1" s="1"/>
  <c r="L5433" i="1"/>
  <c r="M5433" i="1" s="1"/>
  <c r="L5441" i="1"/>
  <c r="M5441" i="1" s="1"/>
  <c r="L5569" i="1"/>
  <c r="M5569" i="1" s="1"/>
  <c r="L5577" i="1"/>
  <c r="M5577" i="1" s="1"/>
  <c r="L5705" i="1"/>
  <c r="M5705" i="1" s="1"/>
  <c r="L5713" i="1"/>
  <c r="M5713" i="1" s="1"/>
  <c r="L5841" i="1"/>
  <c r="M5841" i="1" s="1"/>
  <c r="L5849" i="1"/>
  <c r="M5849" i="1" s="1"/>
  <c r="L5298" i="1"/>
  <c r="M5298" i="1" s="1"/>
  <c r="L5306" i="1"/>
  <c r="M5306" i="1" s="1"/>
  <c r="L5434" i="1"/>
  <c r="M5434" i="1" s="1"/>
  <c r="L5442" i="1"/>
  <c r="M5442" i="1" s="1"/>
  <c r="L5570" i="1"/>
  <c r="M5570" i="1" s="1"/>
  <c r="L5578" i="1"/>
  <c r="M5578" i="1" s="1"/>
  <c r="L5706" i="1"/>
  <c r="M5706" i="1" s="1"/>
  <c r="L5714" i="1"/>
  <c r="M5714" i="1" s="1"/>
  <c r="L5842" i="1"/>
  <c r="M5842" i="1" s="1"/>
  <c r="L5850" i="1"/>
  <c r="M5850" i="1" s="1"/>
  <c r="L5978" i="1"/>
  <c r="M5978" i="1" s="1"/>
  <c r="L5986" i="1"/>
  <c r="M5986" i="1" s="1"/>
  <c r="L5987" i="1"/>
  <c r="M5987" i="1" s="1"/>
  <c r="L6117" i="1"/>
  <c r="M6117" i="1" s="1"/>
  <c r="L6125" i="1"/>
  <c r="M6125" i="1" s="1"/>
  <c r="L6253" i="1"/>
  <c r="M6253" i="1" s="1"/>
  <c r="L6261" i="1"/>
  <c r="M6261" i="1" s="1"/>
  <c r="L6389" i="1"/>
  <c r="M6389" i="1" s="1"/>
  <c r="L6397" i="1"/>
  <c r="M6397" i="1" s="1"/>
  <c r="L5977" i="1"/>
  <c r="M5977" i="1" s="1"/>
  <c r="L5988" i="1"/>
  <c r="M5988" i="1" s="1"/>
  <c r="L6118" i="1"/>
  <c r="M6118" i="1" s="1"/>
  <c r="L6126" i="1"/>
  <c r="M6126" i="1" s="1"/>
  <c r="L6254" i="1"/>
  <c r="M6254" i="1" s="1"/>
  <c r="L6262" i="1"/>
  <c r="M6262" i="1" s="1"/>
  <c r="L6390" i="1"/>
  <c r="M6390" i="1" s="1"/>
  <c r="L6398" i="1"/>
  <c r="M6398" i="1" s="1"/>
  <c r="L5979" i="1"/>
  <c r="M5979" i="1" s="1"/>
  <c r="L5989" i="1"/>
  <c r="M5989" i="1" s="1"/>
  <c r="L6119" i="1"/>
  <c r="M6119" i="1" s="1"/>
  <c r="L6127" i="1"/>
  <c r="M6127" i="1" s="1"/>
  <c r="L6255" i="1"/>
  <c r="M6255" i="1" s="1"/>
  <c r="L6263" i="1"/>
  <c r="M6263" i="1" s="1"/>
  <c r="L6391" i="1"/>
  <c r="M6391" i="1" s="1"/>
  <c r="L6399" i="1"/>
  <c r="M6399" i="1" s="1"/>
  <c r="L5980" i="1"/>
  <c r="M5980" i="1" s="1"/>
  <c r="L5991" i="1"/>
  <c r="M5991" i="1" s="1"/>
  <c r="L6120" i="1"/>
  <c r="M6120" i="1" s="1"/>
  <c r="L6128" i="1"/>
  <c r="M6128" i="1" s="1"/>
  <c r="L6256" i="1"/>
  <c r="M6256" i="1" s="1"/>
  <c r="L6264" i="1"/>
  <c r="M6264" i="1" s="1"/>
  <c r="L6392" i="1"/>
  <c r="M6392" i="1" s="1"/>
  <c r="L6400" i="1"/>
  <c r="M6400" i="1" s="1"/>
  <c r="L6528" i="1"/>
  <c r="M6528" i="1" s="1"/>
  <c r="L6536" i="1"/>
  <c r="M6536" i="1" s="1"/>
  <c r="L5981" i="1"/>
  <c r="M5981" i="1" s="1"/>
  <c r="L5992" i="1"/>
  <c r="M5992" i="1" s="1"/>
  <c r="L6113" i="1"/>
  <c r="M6113" i="1" s="1"/>
  <c r="L6121" i="1"/>
  <c r="M6121" i="1" s="1"/>
  <c r="L6249" i="1"/>
  <c r="M6249" i="1" s="1"/>
  <c r="L6257" i="1"/>
  <c r="M6257" i="1" s="1"/>
  <c r="L6385" i="1"/>
  <c r="M6385" i="1" s="1"/>
  <c r="L6393" i="1"/>
  <c r="M6393" i="1" s="1"/>
  <c r="L5983" i="1"/>
  <c r="M5983" i="1" s="1"/>
  <c r="L6114" i="1"/>
  <c r="M6114" i="1" s="1"/>
  <c r="L6122" i="1"/>
  <c r="M6122" i="1" s="1"/>
  <c r="L6250" i="1"/>
  <c r="M6250" i="1" s="1"/>
  <c r="L6258" i="1"/>
  <c r="M6258" i="1" s="1"/>
  <c r="L6386" i="1"/>
  <c r="M6386" i="1" s="1"/>
  <c r="L6394" i="1"/>
  <c r="M6394" i="1" s="1"/>
  <c r="L5984" i="1"/>
  <c r="M5984" i="1" s="1"/>
  <c r="L6115" i="1"/>
  <c r="M6115" i="1" s="1"/>
  <c r="L6123" i="1"/>
  <c r="M6123" i="1" s="1"/>
  <c r="L6251" i="1"/>
  <c r="M6251" i="1" s="1"/>
  <c r="L6259" i="1"/>
  <c r="M6259" i="1" s="1"/>
  <c r="L6387" i="1"/>
  <c r="M6387" i="1" s="1"/>
  <c r="L6395" i="1"/>
  <c r="M6395" i="1" s="1"/>
  <c r="L5985" i="1"/>
  <c r="M5985" i="1" s="1"/>
  <c r="L6116" i="1"/>
  <c r="M6116" i="1" s="1"/>
  <c r="L6124" i="1"/>
  <c r="M6124" i="1" s="1"/>
  <c r="L6252" i="1"/>
  <c r="M6252" i="1" s="1"/>
  <c r="L6260" i="1"/>
  <c r="M6260" i="1" s="1"/>
  <c r="L6388" i="1"/>
  <c r="M6388" i="1" s="1"/>
  <c r="L6396" i="1"/>
  <c r="M6396" i="1" s="1"/>
  <c r="L6524" i="1"/>
  <c r="M6524" i="1" s="1"/>
  <c r="L6532" i="1"/>
  <c r="M6532" i="1" s="1"/>
  <c r="L6527" i="1"/>
  <c r="M6527" i="1" s="1"/>
  <c r="L6657" i="1"/>
  <c r="M6657" i="1" s="1"/>
  <c r="L6665" i="1"/>
  <c r="M6665" i="1" s="1"/>
  <c r="L6793" i="1"/>
  <c r="M6793" i="1" s="1"/>
  <c r="L6801" i="1"/>
  <c r="M6801" i="1" s="1"/>
  <c r="L6929" i="1"/>
  <c r="M6929" i="1" s="1"/>
  <c r="L6937" i="1"/>
  <c r="M6937" i="1" s="1"/>
  <c r="L7065" i="1"/>
  <c r="M7065" i="1" s="1"/>
  <c r="L7073" i="1"/>
  <c r="M7073" i="1" s="1"/>
  <c r="L7201" i="1"/>
  <c r="M7201" i="1" s="1"/>
  <c r="L7209" i="1"/>
  <c r="M7209" i="1" s="1"/>
  <c r="L6529" i="1"/>
  <c r="M6529" i="1" s="1"/>
  <c r="L6658" i="1"/>
  <c r="M6658" i="1" s="1"/>
  <c r="L6666" i="1"/>
  <c r="M6666" i="1" s="1"/>
  <c r="L6794" i="1"/>
  <c r="M6794" i="1" s="1"/>
  <c r="L6802" i="1"/>
  <c r="M6802" i="1" s="1"/>
  <c r="L6930" i="1"/>
  <c r="M6930" i="1" s="1"/>
  <c r="L6938" i="1"/>
  <c r="M6938" i="1" s="1"/>
  <c r="L6530" i="1"/>
  <c r="M6530" i="1" s="1"/>
  <c r="L6659" i="1"/>
  <c r="M6659" i="1" s="1"/>
  <c r="L6667" i="1"/>
  <c r="M6667" i="1" s="1"/>
  <c r="L6521" i="1"/>
  <c r="M6521" i="1" s="1"/>
  <c r="L6531" i="1"/>
  <c r="M6531" i="1" s="1"/>
  <c r="L6660" i="1"/>
  <c r="M6660" i="1" s="1"/>
  <c r="L6668" i="1"/>
  <c r="M6668" i="1" s="1"/>
  <c r="L6796" i="1"/>
  <c r="M6796" i="1" s="1"/>
  <c r="L6804" i="1"/>
  <c r="M6804" i="1" s="1"/>
  <c r="L6932" i="1"/>
  <c r="M6932" i="1" s="1"/>
  <c r="L6940" i="1"/>
  <c r="M6940" i="1" s="1"/>
  <c r="L7068" i="1"/>
  <c r="M7068" i="1" s="1"/>
  <c r="L7076" i="1"/>
  <c r="M7076" i="1" s="1"/>
  <c r="L7204" i="1"/>
  <c r="M7204" i="1" s="1"/>
  <c r="L7212" i="1"/>
  <c r="M7212" i="1" s="1"/>
  <c r="L7340" i="1"/>
  <c r="M7340" i="1" s="1"/>
  <c r="L6522" i="1"/>
  <c r="M6522" i="1" s="1"/>
  <c r="L6533" i="1"/>
  <c r="M6533" i="1" s="1"/>
  <c r="L6661" i="1"/>
  <c r="M6661" i="1" s="1"/>
  <c r="L6669" i="1"/>
  <c r="M6669" i="1" s="1"/>
  <c r="L6797" i="1"/>
  <c r="M6797" i="1" s="1"/>
  <c r="L6805" i="1"/>
  <c r="M6805" i="1" s="1"/>
  <c r="L6933" i="1"/>
  <c r="M6933" i="1" s="1"/>
  <c r="L6941" i="1"/>
  <c r="M6941" i="1" s="1"/>
  <c r="L7069" i="1"/>
  <c r="M7069" i="1" s="1"/>
  <c r="L7077" i="1"/>
  <c r="M7077" i="1" s="1"/>
  <c r="L7205" i="1"/>
  <c r="M7205" i="1" s="1"/>
  <c r="L7213" i="1"/>
  <c r="M7213" i="1" s="1"/>
  <c r="L6523" i="1"/>
  <c r="M6523" i="1" s="1"/>
  <c r="L6534" i="1"/>
  <c r="M6534" i="1" s="1"/>
  <c r="L6662" i="1"/>
  <c r="M6662" i="1" s="1"/>
  <c r="L6670" i="1"/>
  <c r="M6670" i="1" s="1"/>
  <c r="L6798" i="1"/>
  <c r="M6798" i="1" s="1"/>
  <c r="L6806" i="1"/>
  <c r="M6806" i="1" s="1"/>
  <c r="L6934" i="1"/>
  <c r="M6934" i="1" s="1"/>
  <c r="L6942" i="1"/>
  <c r="M6942" i="1" s="1"/>
  <c r="L7070" i="1"/>
  <c r="M7070" i="1" s="1"/>
  <c r="L7078" i="1"/>
  <c r="M7078" i="1" s="1"/>
  <c r="L6525" i="1"/>
  <c r="M6525" i="1" s="1"/>
  <c r="L6535" i="1"/>
  <c r="M6535" i="1" s="1"/>
  <c r="L6663" i="1"/>
  <c r="M6663" i="1" s="1"/>
  <c r="L6671" i="1"/>
  <c r="M6671" i="1" s="1"/>
  <c r="L6799" i="1"/>
  <c r="M6799" i="1" s="1"/>
  <c r="L6807" i="1"/>
  <c r="M6807" i="1" s="1"/>
  <c r="L6935" i="1"/>
  <c r="M6935" i="1" s="1"/>
  <c r="L6943" i="1"/>
  <c r="M6943" i="1" s="1"/>
  <c r="L6526" i="1"/>
  <c r="M6526" i="1" s="1"/>
  <c r="L6664" i="1"/>
  <c r="M6664" i="1" s="1"/>
  <c r="L6672" i="1"/>
  <c r="M6672" i="1" s="1"/>
  <c r="L6800" i="1"/>
  <c r="M6800" i="1" s="1"/>
  <c r="L6808" i="1"/>
  <c r="M6808" i="1" s="1"/>
  <c r="L6936" i="1"/>
  <c r="M6936" i="1" s="1"/>
  <c r="L6944" i="1"/>
  <c r="M6944" i="1" s="1"/>
  <c r="L7072" i="1"/>
  <c r="M7072" i="1" s="1"/>
  <c r="L7080" i="1"/>
  <c r="M7080" i="1" s="1"/>
  <c r="L7208" i="1"/>
  <c r="M7208" i="1" s="1"/>
  <c r="L7216" i="1"/>
  <c r="M7216" i="1" s="1"/>
  <c r="L7067" i="1"/>
  <c r="M7067" i="1" s="1"/>
  <c r="L7214" i="1"/>
  <c r="M7214" i="1" s="1"/>
  <c r="L7339" i="1"/>
  <c r="M7339" i="1" s="1"/>
  <c r="L7348" i="1"/>
  <c r="M7348" i="1" s="1"/>
  <c r="L7476" i="1"/>
  <c r="M7476" i="1" s="1"/>
  <c r="L7484" i="1"/>
  <c r="M7484" i="1" s="1"/>
  <c r="L7612" i="1"/>
  <c r="M7612" i="1" s="1"/>
  <c r="L7620" i="1"/>
  <c r="M7620" i="1" s="1"/>
  <c r="L7748" i="1"/>
  <c r="M7748" i="1" s="1"/>
  <c r="L7756" i="1"/>
  <c r="M7756" i="1" s="1"/>
  <c r="L7884" i="1"/>
  <c r="M7884" i="1" s="1"/>
  <c r="L7071" i="1"/>
  <c r="M7071" i="1" s="1"/>
  <c r="L7215" i="1"/>
  <c r="M7215" i="1" s="1"/>
  <c r="L7341" i="1"/>
  <c r="M7341" i="1" s="1"/>
  <c r="L7349" i="1"/>
  <c r="M7349" i="1" s="1"/>
  <c r="L7477" i="1"/>
  <c r="M7477" i="1" s="1"/>
  <c r="L7485" i="1"/>
  <c r="M7485" i="1" s="1"/>
  <c r="L7613" i="1"/>
  <c r="M7613" i="1" s="1"/>
  <c r="L7621" i="1"/>
  <c r="M7621" i="1" s="1"/>
  <c r="L7749" i="1"/>
  <c r="M7749" i="1" s="1"/>
  <c r="L7757" i="1"/>
  <c r="M7757" i="1" s="1"/>
  <c r="L6795" i="1"/>
  <c r="M6795" i="1" s="1"/>
  <c r="L6931" i="1"/>
  <c r="M6931" i="1" s="1"/>
  <c r="L7074" i="1"/>
  <c r="M7074" i="1" s="1"/>
  <c r="L7202" i="1"/>
  <c r="M7202" i="1" s="1"/>
  <c r="L7342" i="1"/>
  <c r="M7342" i="1" s="1"/>
  <c r="L7350" i="1"/>
  <c r="M7350" i="1" s="1"/>
  <c r="L7478" i="1"/>
  <c r="M7478" i="1" s="1"/>
  <c r="L7486" i="1"/>
  <c r="M7486" i="1" s="1"/>
  <c r="L7614" i="1"/>
  <c r="M7614" i="1" s="1"/>
  <c r="L7622" i="1"/>
  <c r="M7622" i="1" s="1"/>
  <c r="L7750" i="1"/>
  <c r="M7750" i="1" s="1"/>
  <c r="L7758" i="1"/>
  <c r="M7758" i="1" s="1"/>
  <c r="L6803" i="1"/>
  <c r="M6803" i="1" s="1"/>
  <c r="L6939" i="1"/>
  <c r="M6939" i="1" s="1"/>
  <c r="L7075" i="1"/>
  <c r="M7075" i="1" s="1"/>
  <c r="L7203" i="1"/>
  <c r="M7203" i="1" s="1"/>
  <c r="L7343" i="1"/>
  <c r="M7343" i="1" s="1"/>
  <c r="L7351" i="1"/>
  <c r="M7351" i="1" s="1"/>
  <c r="L7479" i="1"/>
  <c r="M7479" i="1" s="1"/>
  <c r="L7487" i="1"/>
  <c r="M7487" i="1" s="1"/>
  <c r="L7615" i="1"/>
  <c r="M7615" i="1" s="1"/>
  <c r="L7623" i="1"/>
  <c r="M7623" i="1" s="1"/>
  <c r="L7751" i="1"/>
  <c r="M7751" i="1" s="1"/>
  <c r="L7759" i="1"/>
  <c r="M7759" i="1" s="1"/>
  <c r="L7887" i="1"/>
  <c r="M7887" i="1" s="1"/>
  <c r="L7895" i="1"/>
  <c r="M7895" i="1" s="1"/>
  <c r="L7079" i="1"/>
  <c r="M7079" i="1" s="1"/>
  <c r="L7206" i="1"/>
  <c r="M7206" i="1" s="1"/>
  <c r="L7344" i="1"/>
  <c r="M7344" i="1" s="1"/>
  <c r="L7352" i="1"/>
  <c r="M7352" i="1" s="1"/>
  <c r="L7480" i="1"/>
  <c r="M7480" i="1" s="1"/>
  <c r="L7488" i="1"/>
  <c r="M7488" i="1" s="1"/>
  <c r="L7616" i="1"/>
  <c r="M7616" i="1" s="1"/>
  <c r="L7624" i="1"/>
  <c r="M7624" i="1" s="1"/>
  <c r="L7752" i="1"/>
  <c r="M7752" i="1" s="1"/>
  <c r="L7760" i="1"/>
  <c r="M7760" i="1" s="1"/>
  <c r="L7888" i="1"/>
  <c r="M7888" i="1" s="1"/>
  <c r="L7207" i="1"/>
  <c r="M7207" i="1" s="1"/>
  <c r="L7345" i="1"/>
  <c r="M7345" i="1" s="1"/>
  <c r="L7473" i="1"/>
  <c r="M7473" i="1" s="1"/>
  <c r="L7481" i="1"/>
  <c r="M7481" i="1" s="1"/>
  <c r="L7609" i="1"/>
  <c r="M7609" i="1" s="1"/>
  <c r="L7617" i="1"/>
  <c r="M7617" i="1" s="1"/>
  <c r="L7745" i="1"/>
  <c r="M7745" i="1" s="1"/>
  <c r="L7753" i="1"/>
  <c r="M7753" i="1" s="1"/>
  <c r="L7210" i="1"/>
  <c r="M7210" i="1" s="1"/>
  <c r="L7337" i="1"/>
  <c r="M7337" i="1" s="1"/>
  <c r="L7346" i="1"/>
  <c r="M7346" i="1" s="1"/>
  <c r="L7474" i="1"/>
  <c r="M7474" i="1" s="1"/>
  <c r="L7482" i="1"/>
  <c r="M7482" i="1" s="1"/>
  <c r="L7610" i="1"/>
  <c r="M7610" i="1" s="1"/>
  <c r="L7618" i="1"/>
  <c r="M7618" i="1" s="1"/>
  <c r="L7746" i="1"/>
  <c r="M7746" i="1" s="1"/>
  <c r="L7754" i="1"/>
  <c r="M7754" i="1" s="1"/>
  <c r="L7066" i="1"/>
  <c r="M7066" i="1" s="1"/>
  <c r="L7211" i="1"/>
  <c r="M7211" i="1" s="1"/>
  <c r="L7338" i="1"/>
  <c r="M7338" i="1" s="1"/>
  <c r="L7347" i="1"/>
  <c r="M7347" i="1" s="1"/>
  <c r="L7475" i="1"/>
  <c r="M7475" i="1" s="1"/>
  <c r="L7483" i="1"/>
  <c r="M7483" i="1" s="1"/>
  <c r="L7611" i="1"/>
  <c r="M7611" i="1" s="1"/>
  <c r="L7619" i="1"/>
  <c r="M7619" i="1" s="1"/>
  <c r="L7747" i="1"/>
  <c r="M7747" i="1" s="1"/>
  <c r="L7755" i="1"/>
  <c r="M7755" i="1" s="1"/>
  <c r="L7883" i="1"/>
  <c r="M7883" i="1" s="1"/>
  <c r="L7891" i="1"/>
  <c r="M7891" i="1" s="1"/>
  <c r="L7885" i="1"/>
  <c r="M7885" i="1" s="1"/>
  <c r="L8017" i="1"/>
  <c r="M8017" i="1" s="1"/>
  <c r="L8025" i="1"/>
  <c r="M8025" i="1" s="1"/>
  <c r="L8153" i="1"/>
  <c r="M8153" i="1" s="1"/>
  <c r="L8161" i="1"/>
  <c r="M8161" i="1" s="1"/>
  <c r="L8289" i="1"/>
  <c r="M8289" i="1" s="1"/>
  <c r="L8297" i="1"/>
  <c r="M8297" i="1" s="1"/>
  <c r="L8425" i="1"/>
  <c r="M8425" i="1" s="1"/>
  <c r="L8433" i="1"/>
  <c r="M8433" i="1" s="1"/>
  <c r="L8561" i="1"/>
  <c r="M8561" i="1" s="1"/>
  <c r="L8569" i="1"/>
  <c r="M8569" i="1" s="1"/>
  <c r="L7886" i="1"/>
  <c r="M7886" i="1" s="1"/>
  <c r="L8018" i="1"/>
  <c r="M8018" i="1" s="1"/>
  <c r="L8026" i="1"/>
  <c r="M8026" i="1" s="1"/>
  <c r="L8154" i="1"/>
  <c r="M8154" i="1" s="1"/>
  <c r="L8162" i="1"/>
  <c r="M8162" i="1" s="1"/>
  <c r="L8290" i="1"/>
  <c r="M8290" i="1" s="1"/>
  <c r="L8298" i="1"/>
  <c r="M8298" i="1" s="1"/>
  <c r="L8426" i="1"/>
  <c r="M8426" i="1" s="1"/>
  <c r="L8434" i="1"/>
  <c r="M8434" i="1" s="1"/>
  <c r="L8562" i="1"/>
  <c r="M8562" i="1" s="1"/>
  <c r="L8570" i="1"/>
  <c r="M8570" i="1" s="1"/>
  <c r="L7889" i="1"/>
  <c r="M7889" i="1" s="1"/>
  <c r="L8019" i="1"/>
  <c r="M8019" i="1" s="1"/>
  <c r="L8027" i="1"/>
  <c r="M8027" i="1" s="1"/>
  <c r="L8155" i="1"/>
  <c r="M8155" i="1" s="1"/>
  <c r="L8163" i="1"/>
  <c r="M8163" i="1" s="1"/>
  <c r="L8291" i="1"/>
  <c r="M8291" i="1" s="1"/>
  <c r="L8299" i="1"/>
  <c r="M8299" i="1" s="1"/>
  <c r="L8427" i="1"/>
  <c r="M8427" i="1" s="1"/>
  <c r="L8435" i="1"/>
  <c r="M8435" i="1" s="1"/>
  <c r="L8563" i="1"/>
  <c r="M8563" i="1" s="1"/>
  <c r="L8571" i="1"/>
  <c r="M8571" i="1" s="1"/>
  <c r="L7890" i="1"/>
  <c r="M7890" i="1" s="1"/>
  <c r="L8020" i="1"/>
  <c r="M8020" i="1" s="1"/>
  <c r="L8028" i="1"/>
  <c r="M8028" i="1" s="1"/>
  <c r="L8156" i="1"/>
  <c r="M8156" i="1" s="1"/>
  <c r="L8164" i="1"/>
  <c r="M8164" i="1" s="1"/>
  <c r="L8292" i="1"/>
  <c r="M8292" i="1" s="1"/>
  <c r="L8300" i="1"/>
  <c r="M8300" i="1" s="1"/>
  <c r="L8428" i="1"/>
  <c r="M8428" i="1" s="1"/>
  <c r="L8436" i="1"/>
  <c r="M8436" i="1" s="1"/>
  <c r="L8564" i="1"/>
  <c r="M8564" i="1" s="1"/>
  <c r="L8572" i="1"/>
  <c r="M8572" i="1" s="1"/>
  <c r="L8700" i="1"/>
  <c r="M8700" i="1" s="1"/>
  <c r="L8708" i="1"/>
  <c r="M8708" i="1" s="1"/>
  <c r="L7892" i="1"/>
  <c r="M7892" i="1" s="1"/>
  <c r="L8021" i="1"/>
  <c r="M8021" i="1" s="1"/>
  <c r="L8029" i="1"/>
  <c r="M8029" i="1" s="1"/>
  <c r="L8157" i="1"/>
  <c r="M8157" i="1" s="1"/>
  <c r="L8165" i="1"/>
  <c r="M8165" i="1" s="1"/>
  <c r="L8293" i="1"/>
  <c r="M8293" i="1" s="1"/>
  <c r="L8301" i="1"/>
  <c r="M8301" i="1" s="1"/>
  <c r="L8429" i="1"/>
  <c r="M8429" i="1" s="1"/>
  <c r="L8437" i="1"/>
  <c r="M8437" i="1" s="1"/>
  <c r="L8565" i="1"/>
  <c r="M8565" i="1" s="1"/>
  <c r="L8573" i="1"/>
  <c r="M8573" i="1" s="1"/>
  <c r="L7893" i="1"/>
  <c r="M7893" i="1" s="1"/>
  <c r="L8022" i="1"/>
  <c r="M8022" i="1" s="1"/>
  <c r="L8030" i="1"/>
  <c r="M8030" i="1" s="1"/>
  <c r="L8158" i="1"/>
  <c r="M8158" i="1" s="1"/>
  <c r="L8166" i="1"/>
  <c r="M8166" i="1" s="1"/>
  <c r="L8294" i="1"/>
  <c r="M8294" i="1" s="1"/>
  <c r="L8302" i="1"/>
  <c r="M8302" i="1" s="1"/>
  <c r="L8430" i="1"/>
  <c r="M8430" i="1" s="1"/>
  <c r="L8438" i="1"/>
  <c r="M8438" i="1" s="1"/>
  <c r="L8566" i="1"/>
  <c r="M8566" i="1" s="1"/>
  <c r="L8574" i="1"/>
  <c r="M8574" i="1" s="1"/>
  <c r="L7881" i="1"/>
  <c r="M7881" i="1" s="1"/>
  <c r="L7894" i="1"/>
  <c r="M7894" i="1" s="1"/>
  <c r="L8023" i="1"/>
  <c r="M8023" i="1" s="1"/>
  <c r="L8031" i="1"/>
  <c r="M8031" i="1" s="1"/>
  <c r="L8159" i="1"/>
  <c r="M8159" i="1" s="1"/>
  <c r="L8167" i="1"/>
  <c r="M8167" i="1" s="1"/>
  <c r="L8295" i="1"/>
  <c r="M8295" i="1" s="1"/>
  <c r="L8303" i="1"/>
  <c r="M8303" i="1" s="1"/>
  <c r="L8431" i="1"/>
  <c r="M8431" i="1" s="1"/>
  <c r="L8439" i="1"/>
  <c r="M8439" i="1" s="1"/>
  <c r="L8567" i="1"/>
  <c r="M8567" i="1" s="1"/>
  <c r="L8575" i="1"/>
  <c r="M8575" i="1" s="1"/>
  <c r="L7882" i="1"/>
  <c r="M7882" i="1" s="1"/>
  <c r="L7896" i="1"/>
  <c r="M7896" i="1" s="1"/>
  <c r="L8024" i="1"/>
  <c r="M8024" i="1" s="1"/>
  <c r="L8032" i="1"/>
  <c r="M8032" i="1" s="1"/>
  <c r="L8160" i="1"/>
  <c r="M8160" i="1" s="1"/>
  <c r="L8168" i="1"/>
  <c r="M8168" i="1" s="1"/>
  <c r="L8296" i="1"/>
  <c r="M8296" i="1" s="1"/>
  <c r="L8304" i="1"/>
  <c r="M8304" i="1" s="1"/>
  <c r="L8432" i="1"/>
  <c r="M8432" i="1" s="1"/>
  <c r="L8440" i="1"/>
  <c r="M8440" i="1" s="1"/>
  <c r="L8568" i="1"/>
  <c r="M8568" i="1" s="1"/>
  <c r="L8576" i="1"/>
  <c r="M8576" i="1" s="1"/>
  <c r="L8704" i="1"/>
  <c r="M8704" i="1" s="1"/>
  <c r="L8712" i="1"/>
  <c r="M8712" i="1" s="1"/>
  <c r="L8703" i="1"/>
  <c r="M8703" i="1" s="1"/>
  <c r="L8839" i="1"/>
  <c r="M8839" i="1" s="1"/>
  <c r="L8847" i="1"/>
  <c r="M8847" i="1" s="1"/>
  <c r="L8975" i="1"/>
  <c r="M8975" i="1" s="1"/>
  <c r="L8983" i="1"/>
  <c r="M8983" i="1" s="1"/>
  <c r="L9111" i="1"/>
  <c r="M9111" i="1" s="1"/>
  <c r="L9119" i="1"/>
  <c r="M9119" i="1" s="1"/>
  <c r="L9247" i="1"/>
  <c r="M9247" i="1" s="1"/>
  <c r="L9255" i="1"/>
  <c r="M9255" i="1" s="1"/>
  <c r="L8705" i="1"/>
  <c r="M8705" i="1" s="1"/>
  <c r="L8840" i="1"/>
  <c r="M8840" i="1" s="1"/>
  <c r="L8848" i="1"/>
  <c r="M8848" i="1" s="1"/>
  <c r="L8976" i="1"/>
  <c r="M8976" i="1" s="1"/>
  <c r="L8984" i="1"/>
  <c r="M8984" i="1" s="1"/>
  <c r="L9112" i="1"/>
  <c r="M9112" i="1" s="1"/>
  <c r="L9120" i="1"/>
  <c r="M9120" i="1" s="1"/>
  <c r="L8706" i="1"/>
  <c r="M8706" i="1" s="1"/>
  <c r="L8833" i="1"/>
  <c r="M8833" i="1" s="1"/>
  <c r="L8841" i="1"/>
  <c r="M8841" i="1" s="1"/>
  <c r="L8969" i="1"/>
  <c r="M8969" i="1" s="1"/>
  <c r="L8977" i="1"/>
  <c r="M8977" i="1" s="1"/>
  <c r="L9105" i="1"/>
  <c r="M9105" i="1" s="1"/>
  <c r="L9113" i="1"/>
  <c r="M9113" i="1" s="1"/>
  <c r="L9241" i="1"/>
  <c r="M9241" i="1" s="1"/>
  <c r="L8697" i="1"/>
  <c r="M8697" i="1" s="1"/>
  <c r="L8707" i="1"/>
  <c r="M8707" i="1" s="1"/>
  <c r="L8834" i="1"/>
  <c r="M8834" i="1" s="1"/>
  <c r="L8842" i="1"/>
  <c r="M8842" i="1" s="1"/>
  <c r="L8970" i="1"/>
  <c r="M8970" i="1" s="1"/>
  <c r="L8978" i="1"/>
  <c r="M8978" i="1" s="1"/>
  <c r="L9106" i="1"/>
  <c r="M9106" i="1" s="1"/>
  <c r="L9114" i="1"/>
  <c r="M9114" i="1" s="1"/>
  <c r="L9242" i="1"/>
  <c r="M9242" i="1" s="1"/>
  <c r="L9250" i="1"/>
  <c r="M9250" i="1" s="1"/>
  <c r="L9378" i="1"/>
  <c r="M9378" i="1" s="1"/>
  <c r="L9386" i="1"/>
  <c r="M9386" i="1" s="1"/>
  <c r="L8698" i="1"/>
  <c r="M8698" i="1" s="1"/>
  <c r="L8709" i="1"/>
  <c r="M8709" i="1" s="1"/>
  <c r="L8835" i="1"/>
  <c r="M8835" i="1" s="1"/>
  <c r="L8843" i="1"/>
  <c r="M8843" i="1" s="1"/>
  <c r="L8971" i="1"/>
  <c r="M8971" i="1" s="1"/>
  <c r="L8979" i="1"/>
  <c r="M8979" i="1" s="1"/>
  <c r="L9107" i="1"/>
  <c r="M9107" i="1" s="1"/>
  <c r="L9115" i="1"/>
  <c r="M9115" i="1" s="1"/>
  <c r="L9243" i="1"/>
  <c r="M9243" i="1" s="1"/>
  <c r="L9251" i="1"/>
  <c r="M9251" i="1" s="1"/>
  <c r="L8699" i="1"/>
  <c r="M8699" i="1" s="1"/>
  <c r="L8710" i="1"/>
  <c r="M8710" i="1" s="1"/>
  <c r="L8836" i="1"/>
  <c r="M8836" i="1" s="1"/>
  <c r="L8844" i="1"/>
  <c r="M8844" i="1" s="1"/>
  <c r="L8972" i="1"/>
  <c r="M8972" i="1" s="1"/>
  <c r="L8980" i="1"/>
  <c r="M8980" i="1" s="1"/>
  <c r="L9108" i="1"/>
  <c r="M9108" i="1" s="1"/>
  <c r="L9116" i="1"/>
  <c r="M9116" i="1" s="1"/>
  <c r="L8701" i="1"/>
  <c r="M8701" i="1" s="1"/>
  <c r="L8711" i="1"/>
  <c r="M8711" i="1" s="1"/>
  <c r="L8837" i="1"/>
  <c r="M8837" i="1" s="1"/>
  <c r="L8845" i="1"/>
  <c r="M8845" i="1" s="1"/>
  <c r="L8973" i="1"/>
  <c r="M8973" i="1" s="1"/>
  <c r="L8981" i="1"/>
  <c r="M8981" i="1" s="1"/>
  <c r="L9109" i="1"/>
  <c r="M9109" i="1" s="1"/>
  <c r="L9117" i="1"/>
  <c r="M9117" i="1" s="1"/>
  <c r="L9245" i="1"/>
  <c r="M9245" i="1" s="1"/>
  <c r="L8702" i="1"/>
  <c r="M8702" i="1" s="1"/>
  <c r="L8838" i="1"/>
  <c r="M8838" i="1" s="1"/>
  <c r="L8846" i="1"/>
  <c r="M8846" i="1" s="1"/>
  <c r="L8974" i="1"/>
  <c r="M8974" i="1" s="1"/>
  <c r="L8982" i="1"/>
  <c r="M8982" i="1" s="1"/>
  <c r="L9110" i="1"/>
  <c r="M9110" i="1" s="1"/>
  <c r="L9118" i="1"/>
  <c r="M9118" i="1" s="1"/>
  <c r="L9246" i="1"/>
  <c r="M9246" i="1" s="1"/>
  <c r="L9254" i="1"/>
  <c r="M9254" i="1" s="1"/>
  <c r="L9382" i="1"/>
  <c r="M9382" i="1" s="1"/>
  <c r="L9390" i="1"/>
  <c r="M9390" i="1" s="1"/>
  <c r="L9385" i="1"/>
  <c r="M9385" i="1" s="1"/>
  <c r="L9520" i="1"/>
  <c r="M9520" i="1" s="1"/>
  <c r="L9528" i="1"/>
  <c r="M9528" i="1" s="1"/>
  <c r="L9656" i="1"/>
  <c r="M9656" i="1" s="1"/>
  <c r="L9664" i="1"/>
  <c r="M9664" i="1" s="1"/>
  <c r="L9792" i="1"/>
  <c r="M9792" i="1" s="1"/>
  <c r="L9800" i="1"/>
  <c r="M9800" i="1" s="1"/>
  <c r="L9928" i="1"/>
  <c r="M9928" i="1" s="1"/>
  <c r="L9936" i="1"/>
  <c r="M9936" i="1" s="1"/>
  <c r="L10064" i="1"/>
  <c r="M10064" i="1" s="1"/>
  <c r="L9387" i="1"/>
  <c r="M9387" i="1" s="1"/>
  <c r="L9513" i="1"/>
  <c r="M9513" i="1" s="1"/>
  <c r="L9521" i="1"/>
  <c r="M9521" i="1" s="1"/>
  <c r="L9649" i="1"/>
  <c r="M9649" i="1" s="1"/>
  <c r="L9657" i="1"/>
  <c r="M9657" i="1" s="1"/>
  <c r="L9785" i="1"/>
  <c r="M9785" i="1" s="1"/>
  <c r="L9793" i="1"/>
  <c r="M9793" i="1" s="1"/>
  <c r="L9921" i="1"/>
  <c r="M9921" i="1" s="1"/>
  <c r="L9929" i="1"/>
  <c r="M9929" i="1" s="1"/>
  <c r="L9244" i="1"/>
  <c r="M9244" i="1" s="1"/>
  <c r="L9377" i="1"/>
  <c r="M9377" i="1" s="1"/>
  <c r="L9388" i="1"/>
  <c r="M9388" i="1" s="1"/>
  <c r="L9514" i="1"/>
  <c r="M9514" i="1" s="1"/>
  <c r="L9522" i="1"/>
  <c r="M9522" i="1" s="1"/>
  <c r="L9650" i="1"/>
  <c r="M9650" i="1" s="1"/>
  <c r="L9658" i="1"/>
  <c r="M9658" i="1" s="1"/>
  <c r="L9786" i="1"/>
  <c r="M9786" i="1" s="1"/>
  <c r="L9794" i="1"/>
  <c r="M9794" i="1" s="1"/>
  <c r="L9922" i="1"/>
  <c r="M9922" i="1" s="1"/>
  <c r="L9930" i="1"/>
  <c r="M9930" i="1" s="1"/>
  <c r="L9248" i="1"/>
  <c r="M9248" i="1" s="1"/>
  <c r="L9379" i="1"/>
  <c r="M9379" i="1" s="1"/>
  <c r="L9389" i="1"/>
  <c r="M9389" i="1" s="1"/>
  <c r="L9515" i="1"/>
  <c r="M9515" i="1" s="1"/>
  <c r="L9523" i="1"/>
  <c r="M9523" i="1" s="1"/>
  <c r="L9651" i="1"/>
  <c r="M9651" i="1" s="1"/>
  <c r="L9659" i="1"/>
  <c r="M9659" i="1" s="1"/>
  <c r="L9787" i="1"/>
  <c r="M9787" i="1" s="1"/>
  <c r="L9795" i="1"/>
  <c r="M9795" i="1" s="1"/>
  <c r="L9923" i="1"/>
  <c r="M9923" i="1" s="1"/>
  <c r="L9931" i="1"/>
  <c r="M9931" i="1" s="1"/>
  <c r="L10059" i="1"/>
  <c r="M10059" i="1" s="1"/>
  <c r="L10067" i="1"/>
  <c r="M10067" i="1" s="1"/>
  <c r="L10195" i="1"/>
  <c r="M10195" i="1" s="1"/>
  <c r="L10203" i="1"/>
  <c r="M10203" i="1" s="1"/>
  <c r="L9249" i="1"/>
  <c r="M9249" i="1" s="1"/>
  <c r="L9380" i="1"/>
  <c r="M9380" i="1" s="1"/>
  <c r="L9391" i="1"/>
  <c r="M9391" i="1" s="1"/>
  <c r="L9516" i="1"/>
  <c r="M9516" i="1" s="1"/>
  <c r="L9524" i="1"/>
  <c r="M9524" i="1" s="1"/>
  <c r="L9652" i="1"/>
  <c r="M9652" i="1" s="1"/>
  <c r="L9660" i="1"/>
  <c r="M9660" i="1" s="1"/>
  <c r="L9788" i="1"/>
  <c r="M9788" i="1" s="1"/>
  <c r="L9796" i="1"/>
  <c r="M9796" i="1" s="1"/>
  <c r="L9924" i="1"/>
  <c r="M9924" i="1" s="1"/>
  <c r="L9932" i="1"/>
  <c r="M9932" i="1" s="1"/>
  <c r="L10060" i="1"/>
  <c r="M10060" i="1" s="1"/>
  <c r="L10068" i="1"/>
  <c r="M10068" i="1" s="1"/>
  <c r="L9252" i="1"/>
  <c r="M9252" i="1" s="1"/>
  <c r="L9381" i="1"/>
  <c r="M9381" i="1" s="1"/>
  <c r="L9392" i="1"/>
  <c r="M9392" i="1" s="1"/>
  <c r="L9517" i="1"/>
  <c r="M9517" i="1" s="1"/>
  <c r="L9525" i="1"/>
  <c r="M9525" i="1" s="1"/>
  <c r="L9653" i="1"/>
  <c r="M9653" i="1" s="1"/>
  <c r="L9661" i="1"/>
  <c r="M9661" i="1" s="1"/>
  <c r="L9789" i="1"/>
  <c r="M9789" i="1" s="1"/>
  <c r="L9797" i="1"/>
  <c r="M9797" i="1" s="1"/>
  <c r="L9925" i="1"/>
  <c r="M9925" i="1" s="1"/>
  <c r="L9933" i="1"/>
  <c r="M9933" i="1" s="1"/>
  <c r="L9253" i="1"/>
  <c r="M9253" i="1" s="1"/>
  <c r="L9383" i="1"/>
  <c r="M9383" i="1" s="1"/>
  <c r="L9518" i="1"/>
  <c r="M9518" i="1" s="1"/>
  <c r="L9526" i="1"/>
  <c r="M9526" i="1" s="1"/>
  <c r="L9654" i="1"/>
  <c r="M9654" i="1" s="1"/>
  <c r="L9662" i="1"/>
  <c r="M9662" i="1" s="1"/>
  <c r="L9790" i="1"/>
  <c r="M9790" i="1" s="1"/>
  <c r="L9798" i="1"/>
  <c r="M9798" i="1" s="1"/>
  <c r="L9926" i="1"/>
  <c r="M9926" i="1" s="1"/>
  <c r="L9934" i="1"/>
  <c r="M9934" i="1" s="1"/>
  <c r="L9256" i="1"/>
  <c r="M9256" i="1" s="1"/>
  <c r="L9384" i="1"/>
  <c r="M9384" i="1" s="1"/>
  <c r="L9519" i="1"/>
  <c r="M9519" i="1" s="1"/>
  <c r="L9527" i="1"/>
  <c r="M9527" i="1" s="1"/>
  <c r="L9655" i="1"/>
  <c r="M9655" i="1" s="1"/>
  <c r="L9663" i="1"/>
  <c r="M9663" i="1" s="1"/>
  <c r="L9791" i="1"/>
  <c r="M9791" i="1" s="1"/>
  <c r="L9799" i="1"/>
  <c r="M9799" i="1" s="1"/>
  <c r="L9927" i="1"/>
  <c r="M9927" i="1" s="1"/>
  <c r="L9935" i="1"/>
  <c r="M9935" i="1" s="1"/>
  <c r="L10063" i="1"/>
  <c r="M10063" i="1" s="1"/>
  <c r="L10071" i="1"/>
  <c r="M10071" i="1" s="1"/>
  <c r="L10199" i="1"/>
  <c r="M10199" i="1" s="1"/>
  <c r="L10207" i="1"/>
  <c r="M10207" i="1" s="1"/>
  <c r="L10062" i="1"/>
  <c r="M10062" i="1" s="1"/>
  <c r="L10201" i="1"/>
  <c r="M10201" i="1" s="1"/>
  <c r="L10329" i="1"/>
  <c r="M10329" i="1" s="1"/>
  <c r="L10337" i="1"/>
  <c r="M10337" i="1" s="1"/>
  <c r="L10485" i="1"/>
  <c r="M10485" i="1" s="1"/>
  <c r="L10493" i="1"/>
  <c r="M10493" i="1" s="1"/>
  <c r="L10605" i="1"/>
  <c r="M10605" i="1" s="1"/>
  <c r="L10613" i="1"/>
  <c r="M10613" i="1" s="1"/>
  <c r="L10741" i="1"/>
  <c r="M10741" i="1" s="1"/>
  <c r="L10749" i="1"/>
  <c r="M10749" i="1" s="1"/>
  <c r="L10877" i="1"/>
  <c r="M10877" i="1" s="1"/>
  <c r="L10885" i="1"/>
  <c r="M10885" i="1" s="1"/>
  <c r="L11013" i="1"/>
  <c r="M11013" i="1" s="1"/>
  <c r="L11021" i="1"/>
  <c r="M11021" i="1" s="1"/>
  <c r="L11149" i="1"/>
  <c r="M11149" i="1" s="1"/>
  <c r="L11157" i="1"/>
  <c r="M11157" i="1" s="1"/>
  <c r="L11285" i="1"/>
  <c r="M11285" i="1" s="1"/>
  <c r="L11293" i="1"/>
  <c r="M11293" i="1" s="1"/>
  <c r="L11421" i="1"/>
  <c r="M11421" i="1" s="1"/>
  <c r="L11429" i="1"/>
  <c r="M11429" i="1" s="1"/>
  <c r="L10065" i="1"/>
  <c r="M10065" i="1" s="1"/>
  <c r="L10202" i="1"/>
  <c r="M10202" i="1" s="1"/>
  <c r="L10330" i="1"/>
  <c r="M10330" i="1" s="1"/>
  <c r="L10338" i="1"/>
  <c r="M10338" i="1" s="1"/>
  <c r="L10486" i="1"/>
  <c r="M10486" i="1" s="1"/>
  <c r="L10494" i="1"/>
  <c r="M10494" i="1" s="1"/>
  <c r="L10606" i="1"/>
  <c r="M10606" i="1" s="1"/>
  <c r="L10614" i="1"/>
  <c r="M10614" i="1" s="1"/>
  <c r="L10742" i="1"/>
  <c r="M10742" i="1" s="1"/>
  <c r="L10750" i="1"/>
  <c r="M10750" i="1" s="1"/>
  <c r="L10878" i="1"/>
  <c r="M10878" i="1" s="1"/>
  <c r="L10886" i="1"/>
  <c r="M10886" i="1" s="1"/>
  <c r="L11014" i="1"/>
  <c r="M11014" i="1" s="1"/>
  <c r="L11022" i="1"/>
  <c r="M11022" i="1" s="1"/>
  <c r="L11150" i="1"/>
  <c r="M11150" i="1" s="1"/>
  <c r="L11158" i="1"/>
  <c r="M11158" i="1" s="1"/>
  <c r="L11286" i="1"/>
  <c r="M11286" i="1" s="1"/>
  <c r="L11294" i="1"/>
  <c r="M11294" i="1" s="1"/>
  <c r="L11422" i="1"/>
  <c r="M11422" i="1" s="1"/>
  <c r="L11430" i="1"/>
  <c r="M11430" i="1" s="1"/>
  <c r="L10066" i="1"/>
  <c r="M10066" i="1" s="1"/>
  <c r="L10193" i="1"/>
  <c r="M10193" i="1" s="1"/>
  <c r="L10204" i="1"/>
  <c r="M10204" i="1" s="1"/>
  <c r="L10331" i="1"/>
  <c r="M10331" i="1" s="1"/>
  <c r="L10339" i="1"/>
  <c r="M10339" i="1" s="1"/>
  <c r="L10487" i="1"/>
  <c r="M10487" i="1" s="1"/>
  <c r="L10495" i="1"/>
  <c r="M10495" i="1" s="1"/>
  <c r="L10607" i="1"/>
  <c r="M10607" i="1" s="1"/>
  <c r="L10615" i="1"/>
  <c r="M10615" i="1" s="1"/>
  <c r="L10743" i="1"/>
  <c r="M10743" i="1" s="1"/>
  <c r="L10751" i="1"/>
  <c r="M10751" i="1" s="1"/>
  <c r="L10879" i="1"/>
  <c r="M10879" i="1" s="1"/>
  <c r="L10887" i="1"/>
  <c r="M10887" i="1" s="1"/>
  <c r="L11015" i="1"/>
  <c r="M11015" i="1" s="1"/>
  <c r="L11023" i="1"/>
  <c r="M11023" i="1" s="1"/>
  <c r="L11151" i="1"/>
  <c r="M11151" i="1" s="1"/>
  <c r="L11159" i="1"/>
  <c r="M11159" i="1" s="1"/>
  <c r="L11287" i="1"/>
  <c r="M11287" i="1" s="1"/>
  <c r="L11295" i="1"/>
  <c r="M11295" i="1" s="1"/>
  <c r="L11423" i="1"/>
  <c r="M11423" i="1" s="1"/>
  <c r="L11431" i="1"/>
  <c r="M11431" i="1" s="1"/>
  <c r="L10069" i="1"/>
  <c r="M10069" i="1" s="1"/>
  <c r="L10194" i="1"/>
  <c r="M10194" i="1" s="1"/>
  <c r="L10205" i="1"/>
  <c r="M10205" i="1" s="1"/>
  <c r="L10332" i="1"/>
  <c r="M10332" i="1" s="1"/>
  <c r="L10340" i="1"/>
  <c r="M10340" i="1" s="1"/>
  <c r="L10488" i="1"/>
  <c r="M10488" i="1" s="1"/>
  <c r="L10496" i="1"/>
  <c r="M10496" i="1" s="1"/>
  <c r="L10608" i="1"/>
  <c r="M10608" i="1" s="1"/>
  <c r="L10616" i="1"/>
  <c r="M10616" i="1" s="1"/>
  <c r="L10744" i="1"/>
  <c r="M10744" i="1" s="1"/>
  <c r="L10752" i="1"/>
  <c r="M10752" i="1" s="1"/>
  <c r="L10880" i="1"/>
  <c r="M10880" i="1" s="1"/>
  <c r="L10888" i="1"/>
  <c r="M10888" i="1" s="1"/>
  <c r="L11016" i="1"/>
  <c r="M11016" i="1" s="1"/>
  <c r="L11024" i="1"/>
  <c r="M11024" i="1" s="1"/>
  <c r="L11152" i="1"/>
  <c r="M11152" i="1" s="1"/>
  <c r="L11160" i="1"/>
  <c r="M11160" i="1" s="1"/>
  <c r="L11288" i="1"/>
  <c r="M11288" i="1" s="1"/>
  <c r="L11296" i="1"/>
  <c r="M11296" i="1" s="1"/>
  <c r="L11424" i="1"/>
  <c r="M11424" i="1" s="1"/>
  <c r="L11432" i="1"/>
  <c r="M11432" i="1" s="1"/>
  <c r="L11560" i="1"/>
  <c r="M11560" i="1" s="1"/>
  <c r="L11568" i="1"/>
  <c r="M11568" i="1" s="1"/>
  <c r="L10070" i="1"/>
  <c r="M10070" i="1" s="1"/>
  <c r="L10196" i="1"/>
  <c r="M10196" i="1" s="1"/>
  <c r="L10206" i="1"/>
  <c r="M10206" i="1" s="1"/>
  <c r="L10333" i="1"/>
  <c r="M10333" i="1" s="1"/>
  <c r="L10341" i="1"/>
  <c r="M10341" i="1" s="1"/>
  <c r="L10489" i="1"/>
  <c r="M10489" i="1" s="1"/>
  <c r="L10497" i="1"/>
  <c r="M10497" i="1" s="1"/>
  <c r="L10601" i="1"/>
  <c r="M10601" i="1" s="1"/>
  <c r="L10609" i="1"/>
  <c r="M10609" i="1" s="1"/>
  <c r="L10737" i="1"/>
  <c r="M10737" i="1" s="1"/>
  <c r="L10745" i="1"/>
  <c r="M10745" i="1" s="1"/>
  <c r="L10873" i="1"/>
  <c r="M10873" i="1" s="1"/>
  <c r="L10881" i="1"/>
  <c r="M10881" i="1" s="1"/>
  <c r="L11009" i="1"/>
  <c r="M11009" i="1" s="1"/>
  <c r="L11017" i="1"/>
  <c r="M11017" i="1" s="1"/>
  <c r="L11145" i="1"/>
  <c r="M11145" i="1" s="1"/>
  <c r="L11153" i="1"/>
  <c r="M11153" i="1" s="1"/>
  <c r="L11281" i="1"/>
  <c r="M11281" i="1" s="1"/>
  <c r="L11289" i="1"/>
  <c r="M11289" i="1" s="1"/>
  <c r="L11417" i="1"/>
  <c r="M11417" i="1" s="1"/>
  <c r="L11425" i="1"/>
  <c r="M11425" i="1" s="1"/>
  <c r="L10057" i="1"/>
  <c r="M10057" i="1" s="1"/>
  <c r="L10072" i="1"/>
  <c r="M10072" i="1" s="1"/>
  <c r="L10197" i="1"/>
  <c r="M10197" i="1" s="1"/>
  <c r="L10208" i="1"/>
  <c r="M10208" i="1" s="1"/>
  <c r="L10334" i="1"/>
  <c r="M10334" i="1" s="1"/>
  <c r="L10342" i="1"/>
  <c r="M10342" i="1" s="1"/>
  <c r="L10490" i="1"/>
  <c r="M10490" i="1" s="1"/>
  <c r="L10602" i="1"/>
  <c r="M10602" i="1" s="1"/>
  <c r="L10610" i="1"/>
  <c r="M10610" i="1" s="1"/>
  <c r="L10738" i="1"/>
  <c r="M10738" i="1" s="1"/>
  <c r="L10746" i="1"/>
  <c r="M10746" i="1" s="1"/>
  <c r="L10874" i="1"/>
  <c r="M10874" i="1" s="1"/>
  <c r="L10882" i="1"/>
  <c r="M10882" i="1" s="1"/>
  <c r="L11010" i="1"/>
  <c r="M11010" i="1" s="1"/>
  <c r="L11018" i="1"/>
  <c r="M11018" i="1" s="1"/>
  <c r="L11146" i="1"/>
  <c r="M11146" i="1" s="1"/>
  <c r="L11154" i="1"/>
  <c r="M11154" i="1" s="1"/>
  <c r="L11282" i="1"/>
  <c r="M11282" i="1" s="1"/>
  <c r="L11290" i="1"/>
  <c r="M11290" i="1" s="1"/>
  <c r="L11418" i="1"/>
  <c r="M11418" i="1" s="1"/>
  <c r="L11426" i="1"/>
  <c r="M11426" i="1" s="1"/>
  <c r="L10058" i="1"/>
  <c r="M10058" i="1" s="1"/>
  <c r="L10198" i="1"/>
  <c r="M10198" i="1" s="1"/>
  <c r="L10335" i="1"/>
  <c r="M10335" i="1" s="1"/>
  <c r="L10343" i="1"/>
  <c r="M10343" i="1" s="1"/>
  <c r="L10491" i="1"/>
  <c r="M10491" i="1" s="1"/>
  <c r="L10603" i="1"/>
  <c r="M10603" i="1" s="1"/>
  <c r="L10611" i="1"/>
  <c r="M10611" i="1" s="1"/>
  <c r="L10739" i="1"/>
  <c r="M10739" i="1" s="1"/>
  <c r="L10747" i="1"/>
  <c r="M10747" i="1" s="1"/>
  <c r="L10875" i="1"/>
  <c r="M10875" i="1" s="1"/>
  <c r="L10883" i="1"/>
  <c r="M10883" i="1" s="1"/>
  <c r="L11011" i="1"/>
  <c r="M11011" i="1" s="1"/>
  <c r="L11019" i="1"/>
  <c r="M11019" i="1" s="1"/>
  <c r="L11147" i="1"/>
  <c r="M11147" i="1" s="1"/>
  <c r="L11155" i="1"/>
  <c r="M11155" i="1" s="1"/>
  <c r="L11283" i="1"/>
  <c r="M11283" i="1" s="1"/>
  <c r="L11291" i="1"/>
  <c r="M11291" i="1" s="1"/>
  <c r="L11419" i="1"/>
  <c r="M11419" i="1" s="1"/>
  <c r="L11427" i="1"/>
  <c r="M11427" i="1" s="1"/>
  <c r="L10061" i="1"/>
  <c r="M10061" i="1" s="1"/>
  <c r="L10200" i="1"/>
  <c r="M10200" i="1" s="1"/>
  <c r="L10336" i="1"/>
  <c r="M10336" i="1" s="1"/>
  <c r="L10344" i="1"/>
  <c r="M10344" i="1" s="1"/>
  <c r="L10484" i="1"/>
  <c r="M10484" i="1" s="1"/>
  <c r="L10492" i="1"/>
  <c r="M10492" i="1" s="1"/>
  <c r="L10604" i="1"/>
  <c r="M10604" i="1" s="1"/>
  <c r="L10612" i="1"/>
  <c r="M10612" i="1" s="1"/>
  <c r="L10740" i="1"/>
  <c r="M10740" i="1" s="1"/>
  <c r="L10748" i="1"/>
  <c r="M10748" i="1" s="1"/>
  <c r="L10876" i="1"/>
  <c r="M10876" i="1" s="1"/>
  <c r="L10884" i="1"/>
  <c r="M10884" i="1" s="1"/>
  <c r="L11012" i="1"/>
  <c r="M11012" i="1" s="1"/>
  <c r="L11020" i="1"/>
  <c r="M11020" i="1" s="1"/>
  <c r="L11148" i="1"/>
  <c r="M11148" i="1" s="1"/>
  <c r="L11156" i="1"/>
  <c r="M11156" i="1" s="1"/>
  <c r="L11284" i="1"/>
  <c r="M11284" i="1" s="1"/>
  <c r="L11292" i="1"/>
  <c r="M11292" i="1" s="1"/>
  <c r="L11420" i="1"/>
  <c r="M11420" i="1" s="1"/>
  <c r="L11428" i="1"/>
  <c r="M11428" i="1" s="1"/>
  <c r="L11561" i="1"/>
  <c r="M11561" i="1" s="1"/>
  <c r="L11690" i="1"/>
  <c r="M11690" i="1" s="1"/>
  <c r="L11698" i="1"/>
  <c r="M11698" i="1" s="1"/>
  <c r="L11826" i="1"/>
  <c r="M11826" i="1" s="1"/>
  <c r="L11834" i="1"/>
  <c r="M11834" i="1" s="1"/>
  <c r="L11962" i="1"/>
  <c r="M11962" i="1" s="1"/>
  <c r="L11970" i="1"/>
  <c r="M11970" i="1" s="1"/>
  <c r="L12098" i="1"/>
  <c r="M12098" i="1" s="1"/>
  <c r="L12106" i="1"/>
  <c r="M12106" i="1" s="1"/>
  <c r="L12234" i="1"/>
  <c r="M12234" i="1" s="1"/>
  <c r="L12242" i="1"/>
  <c r="M12242" i="1" s="1"/>
  <c r="L12370" i="1"/>
  <c r="M12370" i="1" s="1"/>
  <c r="L12378" i="1"/>
  <c r="M12378" i="1" s="1"/>
  <c r="L12506" i="1"/>
  <c r="M12506" i="1" s="1"/>
  <c r="L12514" i="1"/>
  <c r="M12514" i="1" s="1"/>
  <c r="L12642" i="1"/>
  <c r="M12642" i="1" s="1"/>
  <c r="L12650" i="1"/>
  <c r="M12650" i="1" s="1"/>
  <c r="L12778" i="1"/>
  <c r="M12778" i="1" s="1"/>
  <c r="L12786" i="1"/>
  <c r="M12786" i="1" s="1"/>
  <c r="L12914" i="1"/>
  <c r="M12914" i="1" s="1"/>
  <c r="L12922" i="1"/>
  <c r="M12922" i="1" s="1"/>
  <c r="L11554" i="1"/>
  <c r="M11554" i="1" s="1"/>
  <c r="L11563" i="1"/>
  <c r="M11563" i="1" s="1"/>
  <c r="L11692" i="1"/>
  <c r="M11692" i="1" s="1"/>
  <c r="L11700" i="1"/>
  <c r="M11700" i="1" s="1"/>
  <c r="L11828" i="1"/>
  <c r="M11828" i="1" s="1"/>
  <c r="L11836" i="1"/>
  <c r="M11836" i="1" s="1"/>
  <c r="L11964" i="1"/>
  <c r="M11964" i="1" s="1"/>
  <c r="L11972" i="1"/>
  <c r="M11972" i="1" s="1"/>
  <c r="L12100" i="1"/>
  <c r="M12100" i="1" s="1"/>
  <c r="L12108" i="1"/>
  <c r="M12108" i="1" s="1"/>
  <c r="L12236" i="1"/>
  <c r="M12236" i="1" s="1"/>
  <c r="L12244" i="1"/>
  <c r="M12244" i="1" s="1"/>
  <c r="L12372" i="1"/>
  <c r="M12372" i="1" s="1"/>
  <c r="L12380" i="1"/>
  <c r="M12380" i="1" s="1"/>
  <c r="L12508" i="1"/>
  <c r="M12508" i="1" s="1"/>
  <c r="L12516" i="1"/>
  <c r="M12516" i="1" s="1"/>
  <c r="L12644" i="1"/>
  <c r="M12644" i="1" s="1"/>
  <c r="L12652" i="1"/>
  <c r="M12652" i="1" s="1"/>
  <c r="L12780" i="1"/>
  <c r="M12780" i="1" s="1"/>
  <c r="L12788" i="1"/>
  <c r="M12788" i="1" s="1"/>
  <c r="L11555" i="1"/>
  <c r="M11555" i="1" s="1"/>
  <c r="L11564" i="1"/>
  <c r="M11564" i="1" s="1"/>
  <c r="L11693" i="1"/>
  <c r="M11693" i="1" s="1"/>
  <c r="L11701" i="1"/>
  <c r="M11701" i="1" s="1"/>
  <c r="L11829" i="1"/>
  <c r="M11829" i="1" s="1"/>
  <c r="L11837" i="1"/>
  <c r="M11837" i="1" s="1"/>
  <c r="L11965" i="1"/>
  <c r="M11965" i="1" s="1"/>
  <c r="L11973" i="1"/>
  <c r="M11973" i="1" s="1"/>
  <c r="L12101" i="1"/>
  <c r="M12101" i="1" s="1"/>
  <c r="L12109" i="1"/>
  <c r="M12109" i="1" s="1"/>
  <c r="L12237" i="1"/>
  <c r="M12237" i="1" s="1"/>
  <c r="L12245" i="1"/>
  <c r="M12245" i="1" s="1"/>
  <c r="L12373" i="1"/>
  <c r="M12373" i="1" s="1"/>
  <c r="L12381" i="1"/>
  <c r="M12381" i="1" s="1"/>
  <c r="L12509" i="1"/>
  <c r="M12509" i="1" s="1"/>
  <c r="L12517" i="1"/>
  <c r="M12517" i="1" s="1"/>
  <c r="L12645" i="1"/>
  <c r="M12645" i="1" s="1"/>
  <c r="L12653" i="1"/>
  <c r="M12653" i="1" s="1"/>
  <c r="L12781" i="1"/>
  <c r="M12781" i="1" s="1"/>
  <c r="L12789" i="1"/>
  <c r="M12789" i="1" s="1"/>
  <c r="L12917" i="1"/>
  <c r="M12917" i="1" s="1"/>
  <c r="L12925" i="1"/>
  <c r="M12925" i="1" s="1"/>
  <c r="L11556" i="1"/>
  <c r="M11556" i="1" s="1"/>
  <c r="L11565" i="1"/>
  <c r="M11565" i="1" s="1"/>
  <c r="L11694" i="1"/>
  <c r="M11694" i="1" s="1"/>
  <c r="L11702" i="1"/>
  <c r="M11702" i="1" s="1"/>
  <c r="L11830" i="1"/>
  <c r="M11830" i="1" s="1"/>
  <c r="L11838" i="1"/>
  <c r="M11838" i="1" s="1"/>
  <c r="L11966" i="1"/>
  <c r="M11966" i="1" s="1"/>
  <c r="L11974" i="1"/>
  <c r="M11974" i="1" s="1"/>
  <c r="L12102" i="1"/>
  <c r="M12102" i="1" s="1"/>
  <c r="L12110" i="1"/>
  <c r="M12110" i="1" s="1"/>
  <c r="L12238" i="1"/>
  <c r="M12238" i="1" s="1"/>
  <c r="L12246" i="1"/>
  <c r="M12246" i="1" s="1"/>
  <c r="L12374" i="1"/>
  <c r="M12374" i="1" s="1"/>
  <c r="L12382" i="1"/>
  <c r="M12382" i="1" s="1"/>
  <c r="L12510" i="1"/>
  <c r="M12510" i="1" s="1"/>
  <c r="L12518" i="1"/>
  <c r="M12518" i="1" s="1"/>
  <c r="L12646" i="1"/>
  <c r="M12646" i="1" s="1"/>
  <c r="L12654" i="1"/>
  <c r="M12654" i="1" s="1"/>
  <c r="L12782" i="1"/>
  <c r="M12782" i="1" s="1"/>
  <c r="L12790" i="1"/>
  <c r="M12790" i="1" s="1"/>
  <c r="L12918" i="1"/>
  <c r="M12918" i="1" s="1"/>
  <c r="L12926" i="1"/>
  <c r="M12926" i="1" s="1"/>
  <c r="L11557" i="1"/>
  <c r="M11557" i="1" s="1"/>
  <c r="L11566" i="1"/>
  <c r="M11566" i="1" s="1"/>
  <c r="L11695" i="1"/>
  <c r="M11695" i="1" s="1"/>
  <c r="L11703" i="1"/>
  <c r="M11703" i="1" s="1"/>
  <c r="L11831" i="1"/>
  <c r="M11831" i="1" s="1"/>
  <c r="L11839" i="1"/>
  <c r="M11839" i="1" s="1"/>
  <c r="L11967" i="1"/>
  <c r="M11967" i="1" s="1"/>
  <c r="L11975" i="1"/>
  <c r="M11975" i="1" s="1"/>
  <c r="L12103" i="1"/>
  <c r="M12103" i="1" s="1"/>
  <c r="L12111" i="1"/>
  <c r="M12111" i="1" s="1"/>
  <c r="L12239" i="1"/>
  <c r="M12239" i="1" s="1"/>
  <c r="L12247" i="1"/>
  <c r="M12247" i="1" s="1"/>
  <c r="L12375" i="1"/>
  <c r="M12375" i="1" s="1"/>
  <c r="L12383" i="1"/>
  <c r="M12383" i="1" s="1"/>
  <c r="L12511" i="1"/>
  <c r="M12511" i="1" s="1"/>
  <c r="L12519" i="1"/>
  <c r="M12519" i="1" s="1"/>
  <c r="L12647" i="1"/>
  <c r="M12647" i="1" s="1"/>
  <c r="L12655" i="1"/>
  <c r="M12655" i="1" s="1"/>
  <c r="L12783" i="1"/>
  <c r="M12783" i="1" s="1"/>
  <c r="L12791" i="1"/>
  <c r="M12791" i="1" s="1"/>
  <c r="L12919" i="1"/>
  <c r="M12919" i="1" s="1"/>
  <c r="L12927" i="1"/>
  <c r="M12927" i="1" s="1"/>
  <c r="L11558" i="1"/>
  <c r="M11558" i="1" s="1"/>
  <c r="L11567" i="1"/>
  <c r="M11567" i="1" s="1"/>
  <c r="L11696" i="1"/>
  <c r="M11696" i="1" s="1"/>
  <c r="L11704" i="1"/>
  <c r="M11704" i="1" s="1"/>
  <c r="L11832" i="1"/>
  <c r="M11832" i="1" s="1"/>
  <c r="L11840" i="1"/>
  <c r="M11840" i="1" s="1"/>
  <c r="L11968" i="1"/>
  <c r="M11968" i="1" s="1"/>
  <c r="L11976" i="1"/>
  <c r="M11976" i="1" s="1"/>
  <c r="L12104" i="1"/>
  <c r="M12104" i="1" s="1"/>
  <c r="L12112" i="1"/>
  <c r="M12112" i="1" s="1"/>
  <c r="L12240" i="1"/>
  <c r="M12240" i="1" s="1"/>
  <c r="L12248" i="1"/>
  <c r="M12248" i="1" s="1"/>
  <c r="L12376" i="1"/>
  <c r="M12376" i="1" s="1"/>
  <c r="L12384" i="1"/>
  <c r="M12384" i="1" s="1"/>
  <c r="L12512" i="1"/>
  <c r="M12512" i="1" s="1"/>
  <c r="L12520" i="1"/>
  <c r="M12520" i="1" s="1"/>
  <c r="L12648" i="1"/>
  <c r="M12648" i="1" s="1"/>
  <c r="L12656" i="1"/>
  <c r="M12656" i="1" s="1"/>
  <c r="L12784" i="1"/>
  <c r="M12784" i="1" s="1"/>
  <c r="L12792" i="1"/>
  <c r="M12792" i="1" s="1"/>
  <c r="L11559" i="1"/>
  <c r="M11559" i="1" s="1"/>
  <c r="L11689" i="1"/>
  <c r="M11689" i="1" s="1"/>
  <c r="L11697" i="1"/>
  <c r="M11697" i="1" s="1"/>
  <c r="L11825" i="1"/>
  <c r="M11825" i="1" s="1"/>
  <c r="L11833" i="1"/>
  <c r="M11833" i="1" s="1"/>
  <c r="L11961" i="1"/>
  <c r="M11961" i="1" s="1"/>
  <c r="L11969" i="1"/>
  <c r="M11969" i="1" s="1"/>
  <c r="L12097" i="1"/>
  <c r="M12097" i="1" s="1"/>
  <c r="L12105" i="1"/>
  <c r="M12105" i="1" s="1"/>
  <c r="L12233" i="1"/>
  <c r="M12233" i="1" s="1"/>
  <c r="L12241" i="1"/>
  <c r="M12241" i="1" s="1"/>
  <c r="L12369" i="1"/>
  <c r="M12369" i="1" s="1"/>
  <c r="L12377" i="1"/>
  <c r="M12377" i="1" s="1"/>
  <c r="L12505" i="1"/>
  <c r="M12505" i="1" s="1"/>
  <c r="L12513" i="1"/>
  <c r="M12513" i="1" s="1"/>
  <c r="L12641" i="1"/>
  <c r="M12641" i="1" s="1"/>
  <c r="L12649" i="1"/>
  <c r="M12649" i="1" s="1"/>
  <c r="L12777" i="1"/>
  <c r="M12777" i="1" s="1"/>
  <c r="L12785" i="1"/>
  <c r="M12785" i="1" s="1"/>
  <c r="L12913" i="1"/>
  <c r="M12913" i="1" s="1"/>
  <c r="L12921" i="1"/>
  <c r="M12921" i="1" s="1"/>
  <c r="L12920" i="1"/>
  <c r="M12920" i="1" s="1"/>
  <c r="L13050" i="1"/>
  <c r="M13050" i="1" s="1"/>
  <c r="L13058" i="1"/>
  <c r="M13058" i="1" s="1"/>
  <c r="L13186" i="1"/>
  <c r="M13186" i="1" s="1"/>
  <c r="L13194" i="1"/>
  <c r="M13194" i="1" s="1"/>
  <c r="L13322" i="1"/>
  <c r="M13322" i="1" s="1"/>
  <c r="L13330" i="1"/>
  <c r="M13330" i="1" s="1"/>
  <c r="L13458" i="1"/>
  <c r="M13458" i="1" s="1"/>
  <c r="L13466" i="1"/>
  <c r="M13466" i="1" s="1"/>
  <c r="L13594" i="1"/>
  <c r="M13594" i="1" s="1"/>
  <c r="L13602" i="1"/>
  <c r="M13602" i="1" s="1"/>
  <c r="L13730" i="1"/>
  <c r="M13730" i="1" s="1"/>
  <c r="L13738" i="1"/>
  <c r="M13738" i="1" s="1"/>
  <c r="L13866" i="1"/>
  <c r="M13866" i="1" s="1"/>
  <c r="L13874" i="1"/>
  <c r="M13874" i="1" s="1"/>
  <c r="L14002" i="1"/>
  <c r="M14002" i="1" s="1"/>
  <c r="L14010" i="1"/>
  <c r="M14010" i="1" s="1"/>
  <c r="L14138" i="1"/>
  <c r="M14138" i="1" s="1"/>
  <c r="L14146" i="1"/>
  <c r="M14146" i="1" s="1"/>
  <c r="L12923" i="1"/>
  <c r="M12923" i="1" s="1"/>
  <c r="L13051" i="1"/>
  <c r="M13051" i="1" s="1"/>
  <c r="L13059" i="1"/>
  <c r="M13059" i="1" s="1"/>
  <c r="L13187" i="1"/>
  <c r="M13187" i="1" s="1"/>
  <c r="L13195" i="1"/>
  <c r="M13195" i="1" s="1"/>
  <c r="L12924" i="1"/>
  <c r="M12924" i="1" s="1"/>
  <c r="L13052" i="1"/>
  <c r="M13052" i="1" s="1"/>
  <c r="L13060" i="1"/>
  <c r="M13060" i="1" s="1"/>
  <c r="L13188" i="1"/>
  <c r="M13188" i="1" s="1"/>
  <c r="L13196" i="1"/>
  <c r="M13196" i="1" s="1"/>
  <c r="L13324" i="1"/>
  <c r="M13324" i="1" s="1"/>
  <c r="L13332" i="1"/>
  <c r="M13332" i="1" s="1"/>
  <c r="L13460" i="1"/>
  <c r="M13460" i="1" s="1"/>
  <c r="L13468" i="1"/>
  <c r="M13468" i="1" s="1"/>
  <c r="L13596" i="1"/>
  <c r="M13596" i="1" s="1"/>
  <c r="L13604" i="1"/>
  <c r="M13604" i="1" s="1"/>
  <c r="L13732" i="1"/>
  <c r="M13732" i="1" s="1"/>
  <c r="L13740" i="1"/>
  <c r="M13740" i="1" s="1"/>
  <c r="L13868" i="1"/>
  <c r="M13868" i="1" s="1"/>
  <c r="L13876" i="1"/>
  <c r="M13876" i="1" s="1"/>
  <c r="L14004" i="1"/>
  <c r="M14004" i="1" s="1"/>
  <c r="L14012" i="1"/>
  <c r="M14012" i="1" s="1"/>
  <c r="L12928" i="1"/>
  <c r="M12928" i="1" s="1"/>
  <c r="L13053" i="1"/>
  <c r="M13053" i="1" s="1"/>
  <c r="L13061" i="1"/>
  <c r="M13061" i="1" s="1"/>
  <c r="L13189" i="1"/>
  <c r="M13189" i="1" s="1"/>
  <c r="L13197" i="1"/>
  <c r="M13197" i="1" s="1"/>
  <c r="L13325" i="1"/>
  <c r="M13325" i="1" s="1"/>
  <c r="L13333" i="1"/>
  <c r="M13333" i="1" s="1"/>
  <c r="L13461" i="1"/>
  <c r="M13461" i="1" s="1"/>
  <c r="L13469" i="1"/>
  <c r="M13469" i="1" s="1"/>
  <c r="L13597" i="1"/>
  <c r="M13597" i="1" s="1"/>
  <c r="L13605" i="1"/>
  <c r="M13605" i="1" s="1"/>
  <c r="L13733" i="1"/>
  <c r="M13733" i="1" s="1"/>
  <c r="L13741" i="1"/>
  <c r="M13741" i="1" s="1"/>
  <c r="L13869" i="1"/>
  <c r="M13869" i="1" s="1"/>
  <c r="L13877" i="1"/>
  <c r="M13877" i="1" s="1"/>
  <c r="L11553" i="1"/>
  <c r="M11553" i="1" s="1"/>
  <c r="L11691" i="1"/>
  <c r="M11691" i="1" s="1"/>
  <c r="L11827" i="1"/>
  <c r="M11827" i="1" s="1"/>
  <c r="L11963" i="1"/>
  <c r="M11963" i="1" s="1"/>
  <c r="L12099" i="1"/>
  <c r="M12099" i="1" s="1"/>
  <c r="L12235" i="1"/>
  <c r="M12235" i="1" s="1"/>
  <c r="L12371" i="1"/>
  <c r="M12371" i="1" s="1"/>
  <c r="L12507" i="1"/>
  <c r="M12507" i="1" s="1"/>
  <c r="L12643" i="1"/>
  <c r="M12643" i="1" s="1"/>
  <c r="L12779" i="1"/>
  <c r="M12779" i="1" s="1"/>
  <c r="L13054" i="1"/>
  <c r="M13054" i="1" s="1"/>
  <c r="L13062" i="1"/>
  <c r="M13062" i="1" s="1"/>
  <c r="L13190" i="1"/>
  <c r="M13190" i="1" s="1"/>
  <c r="L13198" i="1"/>
  <c r="M13198" i="1" s="1"/>
  <c r="L13326" i="1"/>
  <c r="M13326" i="1" s="1"/>
  <c r="L13334" i="1"/>
  <c r="M13334" i="1" s="1"/>
  <c r="L13462" i="1"/>
  <c r="M13462" i="1" s="1"/>
  <c r="L13470" i="1"/>
  <c r="M13470" i="1" s="1"/>
  <c r="L13598" i="1"/>
  <c r="M13598" i="1" s="1"/>
  <c r="L13606" i="1"/>
  <c r="M13606" i="1" s="1"/>
  <c r="L13734" i="1"/>
  <c r="M13734" i="1" s="1"/>
  <c r="L13742" i="1"/>
  <c r="M13742" i="1" s="1"/>
  <c r="L13870" i="1"/>
  <c r="M13870" i="1" s="1"/>
  <c r="L13878" i="1"/>
  <c r="M13878" i="1" s="1"/>
  <c r="L14006" i="1"/>
  <c r="M14006" i="1" s="1"/>
  <c r="L14014" i="1"/>
  <c r="M14014" i="1" s="1"/>
  <c r="L14142" i="1"/>
  <c r="M14142" i="1" s="1"/>
  <c r="L14150" i="1"/>
  <c r="M14150" i="1" s="1"/>
  <c r="L11562" i="1"/>
  <c r="M11562" i="1" s="1"/>
  <c r="L11699" i="1"/>
  <c r="M11699" i="1" s="1"/>
  <c r="L11835" i="1"/>
  <c r="M11835" i="1" s="1"/>
  <c r="L11971" i="1"/>
  <c r="M11971" i="1" s="1"/>
  <c r="L12107" i="1"/>
  <c r="M12107" i="1" s="1"/>
  <c r="L12243" i="1"/>
  <c r="M12243" i="1" s="1"/>
  <c r="L12379" i="1"/>
  <c r="M12379" i="1" s="1"/>
  <c r="L12515" i="1"/>
  <c r="M12515" i="1" s="1"/>
  <c r="L12651" i="1"/>
  <c r="M12651" i="1" s="1"/>
  <c r="L12787" i="1"/>
  <c r="M12787" i="1" s="1"/>
  <c r="L13055" i="1"/>
  <c r="M13055" i="1" s="1"/>
  <c r="L13063" i="1"/>
  <c r="M13063" i="1" s="1"/>
  <c r="L13191" i="1"/>
  <c r="M13191" i="1" s="1"/>
  <c r="L13199" i="1"/>
  <c r="M13199" i="1" s="1"/>
  <c r="L13327" i="1"/>
  <c r="M13327" i="1" s="1"/>
  <c r="L13335" i="1"/>
  <c r="M13335" i="1" s="1"/>
  <c r="L13463" i="1"/>
  <c r="M13463" i="1" s="1"/>
  <c r="L13471" i="1"/>
  <c r="M13471" i="1" s="1"/>
  <c r="L13599" i="1"/>
  <c r="M13599" i="1" s="1"/>
  <c r="L13607" i="1"/>
  <c r="M13607" i="1" s="1"/>
  <c r="L13735" i="1"/>
  <c r="M13735" i="1" s="1"/>
  <c r="L13743" i="1"/>
  <c r="M13743" i="1" s="1"/>
  <c r="L13871" i="1"/>
  <c r="M13871" i="1" s="1"/>
  <c r="L13879" i="1"/>
  <c r="M13879" i="1" s="1"/>
  <c r="L14007" i="1"/>
  <c r="M14007" i="1" s="1"/>
  <c r="L14015" i="1"/>
  <c r="M14015" i="1" s="1"/>
  <c r="L12915" i="1"/>
  <c r="M12915" i="1" s="1"/>
  <c r="L13056" i="1"/>
  <c r="M13056" i="1" s="1"/>
  <c r="L13064" i="1"/>
  <c r="M13064" i="1" s="1"/>
  <c r="L13192" i="1"/>
  <c r="M13192" i="1" s="1"/>
  <c r="L13200" i="1"/>
  <c r="M13200" i="1" s="1"/>
  <c r="L13328" i="1"/>
  <c r="M13328" i="1" s="1"/>
  <c r="L13336" i="1"/>
  <c r="M13336" i="1" s="1"/>
  <c r="L13464" i="1"/>
  <c r="M13464" i="1" s="1"/>
  <c r="L13472" i="1"/>
  <c r="M13472" i="1" s="1"/>
  <c r="L13600" i="1"/>
  <c r="M13600" i="1" s="1"/>
  <c r="L13608" i="1"/>
  <c r="M13608" i="1" s="1"/>
  <c r="L13736" i="1"/>
  <c r="M13736" i="1" s="1"/>
  <c r="L13744" i="1"/>
  <c r="M13744" i="1" s="1"/>
  <c r="L13872" i="1"/>
  <c r="M13872" i="1" s="1"/>
  <c r="L13880" i="1"/>
  <c r="M13880" i="1" s="1"/>
  <c r="L14008" i="1"/>
  <c r="M14008" i="1" s="1"/>
  <c r="L14145" i="1"/>
  <c r="M14145" i="1" s="1"/>
  <c r="L14278" i="1"/>
  <c r="M14278" i="1" s="1"/>
  <c r="L14286" i="1"/>
  <c r="M14286" i="1" s="1"/>
  <c r="L14414" i="1"/>
  <c r="M14414" i="1" s="1"/>
  <c r="L13739" i="1"/>
  <c r="M13739" i="1" s="1"/>
  <c r="L14009" i="1"/>
  <c r="M14009" i="1" s="1"/>
  <c r="L14147" i="1"/>
  <c r="M14147" i="1" s="1"/>
  <c r="L14279" i="1"/>
  <c r="M14279" i="1" s="1"/>
  <c r="L14287" i="1"/>
  <c r="M14287" i="1" s="1"/>
  <c r="L14415" i="1"/>
  <c r="M14415" i="1" s="1"/>
  <c r="L13331" i="1"/>
  <c r="M13331" i="1" s="1"/>
  <c r="L14413" i="1"/>
  <c r="M14413" i="1" s="1"/>
  <c r="L14011" i="1"/>
  <c r="M14011" i="1" s="1"/>
  <c r="L14137" i="1"/>
  <c r="M14137" i="1" s="1"/>
  <c r="L14148" i="1"/>
  <c r="M14148" i="1" s="1"/>
  <c r="L14280" i="1"/>
  <c r="M14280" i="1" s="1"/>
  <c r="L14288" i="1"/>
  <c r="M14288" i="1" s="1"/>
  <c r="L13049" i="1"/>
  <c r="M13049" i="1" s="1"/>
  <c r="L13185" i="1"/>
  <c r="M13185" i="1" s="1"/>
  <c r="L14013" i="1"/>
  <c r="M14013" i="1" s="1"/>
  <c r="L14139" i="1"/>
  <c r="M14139" i="1" s="1"/>
  <c r="L14149" i="1"/>
  <c r="M14149" i="1" s="1"/>
  <c r="L14273" i="1"/>
  <c r="M14273" i="1" s="1"/>
  <c r="L14281" i="1"/>
  <c r="M14281" i="1" s="1"/>
  <c r="L14409" i="1"/>
  <c r="M14409" i="1" s="1"/>
  <c r="L13057" i="1"/>
  <c r="M13057" i="1" s="1"/>
  <c r="L13193" i="1"/>
  <c r="M13193" i="1" s="1"/>
  <c r="L13321" i="1"/>
  <c r="M13321" i="1" s="1"/>
  <c r="L13457" i="1"/>
  <c r="M13457" i="1" s="1"/>
  <c r="L13593" i="1"/>
  <c r="M13593" i="1" s="1"/>
  <c r="L13729" i="1"/>
  <c r="M13729" i="1" s="1"/>
  <c r="L13865" i="1"/>
  <c r="M13865" i="1" s="1"/>
  <c r="L14016" i="1"/>
  <c r="M14016" i="1" s="1"/>
  <c r="L14140" i="1"/>
  <c r="M14140" i="1" s="1"/>
  <c r="L14151" i="1"/>
  <c r="M14151" i="1" s="1"/>
  <c r="L14274" i="1"/>
  <c r="M14274" i="1" s="1"/>
  <c r="L14282" i="1"/>
  <c r="M14282" i="1" s="1"/>
  <c r="L14410" i="1"/>
  <c r="M14410" i="1" s="1"/>
  <c r="L13467" i="1"/>
  <c r="M13467" i="1" s="1"/>
  <c r="L13875" i="1"/>
  <c r="M13875" i="1" s="1"/>
  <c r="L14005" i="1"/>
  <c r="M14005" i="1" s="1"/>
  <c r="L14285" i="1"/>
  <c r="M14285" i="1" s="1"/>
  <c r="L12916" i="1"/>
  <c r="M12916" i="1" s="1"/>
  <c r="L13323" i="1"/>
  <c r="M13323" i="1" s="1"/>
  <c r="L13459" i="1"/>
  <c r="M13459" i="1" s="1"/>
  <c r="L13595" i="1"/>
  <c r="M13595" i="1" s="1"/>
  <c r="L13731" i="1"/>
  <c r="M13731" i="1" s="1"/>
  <c r="L13867" i="1"/>
  <c r="M13867" i="1" s="1"/>
  <c r="L14001" i="1"/>
  <c r="M14001" i="1" s="1"/>
  <c r="L14141" i="1"/>
  <c r="M14141" i="1" s="1"/>
  <c r="L14152" i="1"/>
  <c r="M14152" i="1" s="1"/>
  <c r="L14275" i="1"/>
  <c r="M14275" i="1" s="1"/>
  <c r="L14283" i="1"/>
  <c r="M14283" i="1" s="1"/>
  <c r="L14411" i="1"/>
  <c r="M14411" i="1" s="1"/>
  <c r="L14277" i="1"/>
  <c r="M14277" i="1" s="1"/>
  <c r="L13329" i="1"/>
  <c r="M13329" i="1" s="1"/>
  <c r="L13465" i="1"/>
  <c r="M13465" i="1" s="1"/>
  <c r="L13601" i="1"/>
  <c r="M13601" i="1" s="1"/>
  <c r="L13737" i="1"/>
  <c r="M13737" i="1" s="1"/>
  <c r="L13873" i="1"/>
  <c r="M13873" i="1" s="1"/>
  <c r="L14003" i="1"/>
  <c r="M14003" i="1" s="1"/>
  <c r="L14143" i="1"/>
  <c r="M14143" i="1" s="1"/>
  <c r="L14276" i="1"/>
  <c r="M14276" i="1" s="1"/>
  <c r="L14284" i="1"/>
  <c r="M14284" i="1" s="1"/>
  <c r="L14412" i="1"/>
  <c r="M14412" i="1" s="1"/>
  <c r="L13603" i="1"/>
  <c r="M13603" i="1" s="1"/>
  <c r="L14144" i="1"/>
  <c r="M14144" i="1" s="1"/>
  <c r="M1326" i="1"/>
  <c r="L4078" i="1"/>
  <c r="M4078" i="1" s="1"/>
  <c r="L4086" i="1"/>
  <c r="M4086" i="1" s="1"/>
  <c r="L4214" i="1"/>
  <c r="M4214" i="1" s="1"/>
  <c r="L4222" i="1"/>
  <c r="M4222" i="1" s="1"/>
  <c r="L4350" i="1"/>
  <c r="M4350" i="1" s="1"/>
  <c r="L4358" i="1"/>
  <c r="M4358" i="1" s="1"/>
  <c r="L4486" i="1"/>
  <c r="M4486" i="1" s="1"/>
  <c r="L4494" i="1"/>
  <c r="M4494" i="1" s="1"/>
  <c r="L4622" i="1"/>
  <c r="M4622" i="1" s="1"/>
  <c r="L4630" i="1"/>
  <c r="M4630" i="1" s="1"/>
  <c r="L4758" i="1"/>
  <c r="M4758" i="1" s="1"/>
  <c r="L4766" i="1"/>
  <c r="M4766" i="1" s="1"/>
  <c r="L4894" i="1"/>
  <c r="M4894" i="1" s="1"/>
  <c r="L4902" i="1"/>
  <c r="M4902" i="1" s="1"/>
  <c r="L5030" i="1"/>
  <c r="M5030" i="1" s="1"/>
  <c r="L5038" i="1"/>
  <c r="M5038" i="1" s="1"/>
  <c r="L1410" i="1"/>
  <c r="M1410" i="1" s="1"/>
  <c r="L1418" i="1"/>
  <c r="M1418" i="1" s="1"/>
  <c r="L1546" i="1"/>
  <c r="M1546" i="1" s="1"/>
  <c r="L1554" i="1"/>
  <c r="M1554" i="1" s="1"/>
  <c r="L1682" i="1"/>
  <c r="M1682" i="1" s="1"/>
  <c r="L1690" i="1"/>
  <c r="M1690" i="1" s="1"/>
  <c r="L4079" i="1"/>
  <c r="M4079" i="1" s="1"/>
  <c r="L4087" i="1"/>
  <c r="M4087" i="1" s="1"/>
  <c r="L4215" i="1"/>
  <c r="M4215" i="1" s="1"/>
  <c r="L4223" i="1"/>
  <c r="M4223" i="1" s="1"/>
  <c r="L4351" i="1"/>
  <c r="M4351" i="1" s="1"/>
  <c r="L4359" i="1"/>
  <c r="M4359" i="1" s="1"/>
  <c r="L4487" i="1"/>
  <c r="M4487" i="1" s="1"/>
  <c r="L4495" i="1"/>
  <c r="M4495" i="1" s="1"/>
  <c r="L4623" i="1"/>
  <c r="M4623" i="1" s="1"/>
  <c r="L4631" i="1"/>
  <c r="M4631" i="1" s="1"/>
  <c r="L4759" i="1"/>
  <c r="M4759" i="1" s="1"/>
  <c r="L4767" i="1"/>
  <c r="M4767" i="1" s="1"/>
  <c r="L4895" i="1"/>
  <c r="M4895" i="1" s="1"/>
  <c r="L4903" i="1"/>
  <c r="M4903" i="1" s="1"/>
  <c r="L5031" i="1"/>
  <c r="M5031" i="1" s="1"/>
  <c r="L5039" i="1"/>
  <c r="M5039" i="1" s="1"/>
  <c r="L1403" i="1"/>
  <c r="M1403" i="1" s="1"/>
  <c r="L1411" i="1"/>
  <c r="M1411" i="1" s="1"/>
  <c r="L1547" i="1"/>
  <c r="M1547" i="1" s="1"/>
  <c r="L1555" i="1"/>
  <c r="M1555" i="1" s="1"/>
  <c r="L1683" i="1"/>
  <c r="M1683" i="1" s="1"/>
  <c r="L1691" i="1"/>
  <c r="M1691" i="1" s="1"/>
  <c r="L4080" i="1"/>
  <c r="M4080" i="1" s="1"/>
  <c r="L4088" i="1"/>
  <c r="M4088" i="1" s="1"/>
  <c r="L4216" i="1"/>
  <c r="M4216" i="1" s="1"/>
  <c r="L4224" i="1"/>
  <c r="M4224" i="1" s="1"/>
  <c r="L4352" i="1"/>
  <c r="M4352" i="1" s="1"/>
  <c r="L4360" i="1"/>
  <c r="M4360" i="1" s="1"/>
  <c r="L4488" i="1"/>
  <c r="M4488" i="1" s="1"/>
  <c r="L4496" i="1"/>
  <c r="M4496" i="1" s="1"/>
  <c r="L4624" i="1"/>
  <c r="M4624" i="1" s="1"/>
  <c r="L4632" i="1"/>
  <c r="M4632" i="1" s="1"/>
  <c r="L4760" i="1"/>
  <c r="M4760" i="1" s="1"/>
  <c r="L4768" i="1"/>
  <c r="M4768" i="1" s="1"/>
  <c r="L4896" i="1"/>
  <c r="M4896" i="1" s="1"/>
  <c r="L4904" i="1"/>
  <c r="M4904" i="1" s="1"/>
  <c r="L5032" i="1"/>
  <c r="M5032" i="1" s="1"/>
  <c r="L5040" i="1"/>
  <c r="M5040" i="1" s="1"/>
  <c r="L1404" i="1"/>
  <c r="M1404" i="1" s="1"/>
  <c r="L1412" i="1"/>
  <c r="M1412" i="1" s="1"/>
  <c r="L1540" i="1"/>
  <c r="M1540" i="1" s="1"/>
  <c r="L1548" i="1"/>
  <c r="M1548" i="1" s="1"/>
  <c r="L1684" i="1"/>
  <c r="M1684" i="1" s="1"/>
  <c r="L1692" i="1"/>
  <c r="M1692" i="1" s="1"/>
  <c r="L4073" i="1"/>
  <c r="M4073" i="1" s="1"/>
  <c r="L4081" i="1"/>
  <c r="M4081" i="1" s="1"/>
  <c r="L4209" i="1"/>
  <c r="M4209" i="1" s="1"/>
  <c r="L4217" i="1"/>
  <c r="M4217" i="1" s="1"/>
  <c r="L4345" i="1"/>
  <c r="M4345" i="1" s="1"/>
  <c r="L4353" i="1"/>
  <c r="M4353" i="1" s="1"/>
  <c r="L4481" i="1"/>
  <c r="M4481" i="1" s="1"/>
  <c r="L4489" i="1"/>
  <c r="M4489" i="1" s="1"/>
  <c r="L4617" i="1"/>
  <c r="M4617" i="1" s="1"/>
  <c r="L4625" i="1"/>
  <c r="M4625" i="1" s="1"/>
  <c r="L4753" i="1"/>
  <c r="M4753" i="1" s="1"/>
  <c r="L4761" i="1"/>
  <c r="M4761" i="1" s="1"/>
  <c r="L4889" i="1"/>
  <c r="M4889" i="1" s="1"/>
  <c r="L4897" i="1"/>
  <c r="M4897" i="1" s="1"/>
  <c r="L5025" i="1"/>
  <c r="M5025" i="1" s="1"/>
  <c r="L5033" i="1"/>
  <c r="M5033" i="1" s="1"/>
  <c r="L1405" i="1"/>
  <c r="M1405" i="1" s="1"/>
  <c r="L1413" i="1"/>
  <c r="M1413" i="1" s="1"/>
  <c r="L1541" i="1"/>
  <c r="M1541" i="1" s="1"/>
  <c r="L1549" i="1"/>
  <c r="M1549" i="1" s="1"/>
  <c r="L1677" i="1"/>
  <c r="M1677" i="1" s="1"/>
  <c r="L1685" i="1"/>
  <c r="M1685" i="1" s="1"/>
  <c r="L4075" i="1"/>
  <c r="M4075" i="1" s="1"/>
  <c r="L4083" i="1"/>
  <c r="M4083" i="1" s="1"/>
  <c r="L4211" i="1"/>
  <c r="M4211" i="1" s="1"/>
  <c r="L4219" i="1"/>
  <c r="M4219" i="1" s="1"/>
  <c r="L4347" i="1"/>
  <c r="M4347" i="1" s="1"/>
  <c r="L4355" i="1"/>
  <c r="M4355" i="1" s="1"/>
  <c r="L4483" i="1"/>
  <c r="M4483" i="1" s="1"/>
  <c r="L4491" i="1"/>
  <c r="M4491" i="1" s="1"/>
  <c r="L4619" i="1"/>
  <c r="M4619" i="1" s="1"/>
  <c r="L4627" i="1"/>
  <c r="M4627" i="1" s="1"/>
  <c r="L4755" i="1"/>
  <c r="M4755" i="1" s="1"/>
  <c r="L4763" i="1"/>
  <c r="M4763" i="1" s="1"/>
  <c r="L4891" i="1"/>
  <c r="M4891" i="1" s="1"/>
  <c r="L4899" i="1"/>
  <c r="M4899" i="1" s="1"/>
  <c r="L5027" i="1"/>
  <c r="M5027" i="1" s="1"/>
  <c r="L5035" i="1"/>
  <c r="M5035" i="1" s="1"/>
  <c r="L1407" i="1"/>
  <c r="M1407" i="1" s="1"/>
  <c r="L1415" i="1"/>
  <c r="M1415" i="1" s="1"/>
  <c r="L1543" i="1"/>
  <c r="M1543" i="1" s="1"/>
  <c r="L1551" i="1"/>
  <c r="M1551" i="1" s="1"/>
  <c r="L1679" i="1"/>
  <c r="M1679" i="1" s="1"/>
  <c r="L1687" i="1"/>
  <c r="M1687" i="1" s="1"/>
  <c r="L4076" i="1"/>
  <c r="M4076" i="1" s="1"/>
  <c r="L4084" i="1"/>
  <c r="M4084" i="1" s="1"/>
  <c r="L4212" i="1"/>
  <c r="M4212" i="1" s="1"/>
  <c r="L4220" i="1"/>
  <c r="M4220" i="1" s="1"/>
  <c r="L4348" i="1"/>
  <c r="M4348" i="1" s="1"/>
  <c r="L4356" i="1"/>
  <c r="M4356" i="1" s="1"/>
  <c r="L4484" i="1"/>
  <c r="M4484" i="1" s="1"/>
  <c r="L4492" i="1"/>
  <c r="M4492" i="1" s="1"/>
  <c r="L4620" i="1"/>
  <c r="M4620" i="1" s="1"/>
  <c r="L4628" i="1"/>
  <c r="M4628" i="1" s="1"/>
  <c r="L4756" i="1"/>
  <c r="M4756" i="1" s="1"/>
  <c r="L4764" i="1"/>
  <c r="M4764" i="1" s="1"/>
  <c r="L4892" i="1"/>
  <c r="M4892" i="1" s="1"/>
  <c r="L4900" i="1"/>
  <c r="M4900" i="1" s="1"/>
  <c r="L5028" i="1"/>
  <c r="M5028" i="1" s="1"/>
  <c r="L5036" i="1"/>
  <c r="M5036" i="1" s="1"/>
  <c r="L1408" i="1"/>
  <c r="M1408" i="1" s="1"/>
  <c r="L1416" i="1"/>
  <c r="M1416" i="1" s="1"/>
  <c r="L1544" i="1"/>
  <c r="M1544" i="1" s="1"/>
  <c r="L1552" i="1"/>
  <c r="M1552" i="1" s="1"/>
  <c r="L1680" i="1"/>
  <c r="M1680" i="1" s="1"/>
  <c r="L1688" i="1"/>
  <c r="M1688" i="1" s="1"/>
  <c r="L4077" i="1"/>
  <c r="M4077" i="1" s="1"/>
  <c r="L4085" i="1"/>
  <c r="M4085" i="1" s="1"/>
  <c r="L4213" i="1"/>
  <c r="M4213" i="1" s="1"/>
  <c r="L4221" i="1"/>
  <c r="M4221" i="1" s="1"/>
  <c r="L4349" i="1"/>
  <c r="M4349" i="1" s="1"/>
  <c r="L4357" i="1"/>
  <c r="M4357" i="1" s="1"/>
  <c r="L4485" i="1"/>
  <c r="M4485" i="1" s="1"/>
  <c r="L4493" i="1"/>
  <c r="M4493" i="1" s="1"/>
  <c r="L4621" i="1"/>
  <c r="M4621" i="1" s="1"/>
  <c r="L4629" i="1"/>
  <c r="M4629" i="1" s="1"/>
  <c r="L4757" i="1"/>
  <c r="M4757" i="1" s="1"/>
  <c r="L4765" i="1"/>
  <c r="M4765" i="1" s="1"/>
  <c r="L4893" i="1"/>
  <c r="M4893" i="1" s="1"/>
  <c r="L4901" i="1"/>
  <c r="M4901" i="1" s="1"/>
  <c r="L5029" i="1"/>
  <c r="M5029" i="1" s="1"/>
  <c r="L5037" i="1"/>
  <c r="M5037" i="1" s="1"/>
  <c r="L1409" i="1"/>
  <c r="M1409" i="1" s="1"/>
  <c r="L1417" i="1"/>
  <c r="M1417" i="1" s="1"/>
  <c r="L1545" i="1"/>
  <c r="M1545" i="1" s="1"/>
  <c r="L1553" i="1"/>
  <c r="M1553" i="1" s="1"/>
  <c r="L1681" i="1"/>
  <c r="M1681" i="1" s="1"/>
  <c r="L1689" i="1"/>
  <c r="M1689" i="1" s="1"/>
  <c r="L4082" i="1"/>
  <c r="M4082" i="1" s="1"/>
  <c r="L4218" i="1"/>
  <c r="M4218" i="1" s="1"/>
  <c r="L4354" i="1"/>
  <c r="M4354" i="1" s="1"/>
  <c r="L4490" i="1"/>
  <c r="M4490" i="1" s="1"/>
  <c r="L4626" i="1"/>
  <c r="M4626" i="1" s="1"/>
  <c r="L4762" i="1"/>
  <c r="M4762" i="1" s="1"/>
  <c r="L4898" i="1"/>
  <c r="M4898" i="1" s="1"/>
  <c r="L5034" i="1"/>
  <c r="M5034" i="1" s="1"/>
  <c r="L1817" i="1"/>
  <c r="M1817" i="1" s="1"/>
  <c r="L1825" i="1"/>
  <c r="M1825" i="1" s="1"/>
  <c r="L1953" i="1"/>
  <c r="M1953" i="1" s="1"/>
  <c r="L1961" i="1"/>
  <c r="M1961" i="1" s="1"/>
  <c r="L2089" i="1"/>
  <c r="M2089" i="1" s="1"/>
  <c r="L2097" i="1"/>
  <c r="M2097" i="1" s="1"/>
  <c r="L2225" i="1"/>
  <c r="M2225" i="1" s="1"/>
  <c r="L2233" i="1"/>
  <c r="M2233" i="1" s="1"/>
  <c r="L2433" i="1"/>
  <c r="M2433" i="1" s="1"/>
  <c r="L2441" i="1"/>
  <c r="M2441" i="1" s="1"/>
  <c r="L2505" i="1"/>
  <c r="M2505" i="1" s="1"/>
  <c r="L2513" i="1"/>
  <c r="M2513" i="1" s="1"/>
  <c r="L2641" i="1"/>
  <c r="M2641" i="1" s="1"/>
  <c r="L2649" i="1"/>
  <c r="M2649" i="1" s="1"/>
  <c r="L2793" i="1"/>
  <c r="M2793" i="1" s="1"/>
  <c r="L2801" i="1"/>
  <c r="M2801" i="1" s="1"/>
  <c r="L2913" i="1"/>
  <c r="M2913" i="1" s="1"/>
  <c r="L2921" i="1"/>
  <c r="M2921" i="1" s="1"/>
  <c r="L3049" i="1"/>
  <c r="M3049" i="1" s="1"/>
  <c r="L3057" i="1"/>
  <c r="M3057" i="1" s="1"/>
  <c r="L3185" i="1"/>
  <c r="M3185" i="1" s="1"/>
  <c r="L3193" i="1"/>
  <c r="M3193" i="1" s="1"/>
  <c r="L3321" i="1"/>
  <c r="M3321" i="1" s="1"/>
  <c r="L3329" i="1"/>
  <c r="M3329" i="1" s="1"/>
  <c r="L3465" i="1"/>
  <c r="M3465" i="1" s="1"/>
  <c r="L3473" i="1"/>
  <c r="M3473" i="1" s="1"/>
  <c r="L3601" i="1"/>
  <c r="M3601" i="1" s="1"/>
  <c r="L3609" i="1"/>
  <c r="M3609" i="1" s="1"/>
  <c r="L3737" i="1"/>
  <c r="M3737" i="1" s="1"/>
  <c r="L3745" i="1"/>
  <c r="M3745" i="1" s="1"/>
  <c r="L3817" i="1"/>
  <c r="M3817" i="1" s="1"/>
  <c r="L3825" i="1"/>
  <c r="M3825" i="1" s="1"/>
  <c r="L3905" i="1"/>
  <c r="M3905" i="1" s="1"/>
  <c r="L3921" i="1"/>
  <c r="M3921" i="1" s="1"/>
  <c r="L3937" i="1"/>
  <c r="M3937" i="1" s="1"/>
  <c r="L3945" i="1"/>
  <c r="M3945" i="1" s="1"/>
  <c r="L851" i="1"/>
  <c r="M851" i="1" s="1"/>
  <c r="L963" i="1"/>
  <c r="M963" i="1" s="1"/>
  <c r="L971" i="1"/>
  <c r="M971" i="1" s="1"/>
  <c r="L1099" i="1"/>
  <c r="M1099" i="1" s="1"/>
  <c r="L1107" i="1"/>
  <c r="M1107" i="1" s="1"/>
  <c r="L1235" i="1"/>
  <c r="M1235" i="1" s="1"/>
  <c r="L1243" i="1"/>
  <c r="M1243" i="1" s="1"/>
  <c r="L1406" i="1"/>
  <c r="M1406" i="1" s="1"/>
  <c r="L1818" i="1"/>
  <c r="M1818" i="1" s="1"/>
  <c r="L1826" i="1"/>
  <c r="M1826" i="1" s="1"/>
  <c r="L1954" i="1"/>
  <c r="M1954" i="1" s="1"/>
  <c r="L1962" i="1"/>
  <c r="M1962" i="1" s="1"/>
  <c r="L2090" i="1"/>
  <c r="M2090" i="1" s="1"/>
  <c r="L2098" i="1"/>
  <c r="M2098" i="1" s="1"/>
  <c r="L2226" i="1"/>
  <c r="M2226" i="1" s="1"/>
  <c r="L2234" i="1"/>
  <c r="M2234" i="1" s="1"/>
  <c r="L2434" i="1"/>
  <c r="M2434" i="1" s="1"/>
  <c r="L2442" i="1"/>
  <c r="M2442" i="1" s="1"/>
  <c r="L2506" i="1"/>
  <c r="M2506" i="1" s="1"/>
  <c r="L2514" i="1"/>
  <c r="M2514" i="1" s="1"/>
  <c r="L2642" i="1"/>
  <c r="M2642" i="1" s="1"/>
  <c r="L2650" i="1"/>
  <c r="M2650" i="1" s="1"/>
  <c r="L2794" i="1"/>
  <c r="M2794" i="1" s="1"/>
  <c r="L2802" i="1"/>
  <c r="M2802" i="1" s="1"/>
  <c r="L2914" i="1"/>
  <c r="M2914" i="1" s="1"/>
  <c r="L2922" i="1"/>
  <c r="M2922" i="1" s="1"/>
  <c r="L3050" i="1"/>
  <c r="M3050" i="1" s="1"/>
  <c r="L3058" i="1"/>
  <c r="M3058" i="1" s="1"/>
  <c r="L3186" i="1"/>
  <c r="M3186" i="1" s="1"/>
  <c r="L3194" i="1"/>
  <c r="M3194" i="1" s="1"/>
  <c r="L3322" i="1"/>
  <c r="M3322" i="1" s="1"/>
  <c r="L3330" i="1"/>
  <c r="M3330" i="1" s="1"/>
  <c r="L3458" i="1"/>
  <c r="M3458" i="1" s="1"/>
  <c r="L3466" i="1"/>
  <c r="M3466" i="1" s="1"/>
  <c r="L3602" i="1"/>
  <c r="M3602" i="1" s="1"/>
  <c r="L3610" i="1"/>
  <c r="M3610" i="1" s="1"/>
  <c r="L3738" i="1"/>
  <c r="M3738" i="1" s="1"/>
  <c r="L3746" i="1"/>
  <c r="M3746" i="1" s="1"/>
  <c r="L3818" i="1"/>
  <c r="M3818" i="1" s="1"/>
  <c r="L3826" i="1"/>
  <c r="M3826" i="1" s="1"/>
  <c r="L3938" i="1"/>
  <c r="M3938" i="1" s="1"/>
  <c r="L3946" i="1"/>
  <c r="M3946" i="1" s="1"/>
  <c r="L852" i="1"/>
  <c r="M852" i="1" s="1"/>
  <c r="L964" i="1"/>
  <c r="M964" i="1" s="1"/>
  <c r="L972" i="1"/>
  <c r="M972" i="1" s="1"/>
  <c r="L1100" i="1"/>
  <c r="M1100" i="1" s="1"/>
  <c r="L1108" i="1"/>
  <c r="M1108" i="1" s="1"/>
  <c r="L1236" i="1"/>
  <c r="M1236" i="1" s="1"/>
  <c r="L1244" i="1"/>
  <c r="M1244" i="1" s="1"/>
  <c r="L1414" i="1"/>
  <c r="M1414" i="1" s="1"/>
  <c r="L1542" i="1"/>
  <c r="M1542" i="1" s="1"/>
  <c r="L1819" i="1"/>
  <c r="M1819" i="1" s="1"/>
  <c r="L1827" i="1"/>
  <c r="M1827" i="1" s="1"/>
  <c r="L1955" i="1"/>
  <c r="M1955" i="1" s="1"/>
  <c r="L1963" i="1"/>
  <c r="M1963" i="1" s="1"/>
  <c r="L2091" i="1"/>
  <c r="M2091" i="1" s="1"/>
  <c r="L2099" i="1"/>
  <c r="M2099" i="1" s="1"/>
  <c r="L2227" i="1"/>
  <c r="M2227" i="1" s="1"/>
  <c r="L2235" i="1"/>
  <c r="M2235" i="1" s="1"/>
  <c r="L2435" i="1"/>
  <c r="M2435" i="1" s="1"/>
  <c r="L2443" i="1"/>
  <c r="M2443" i="1" s="1"/>
  <c r="L2499" i="1"/>
  <c r="M2499" i="1" s="1"/>
  <c r="L2507" i="1"/>
  <c r="M2507" i="1" s="1"/>
  <c r="L2643" i="1"/>
  <c r="M2643" i="1" s="1"/>
  <c r="L2651" i="1"/>
  <c r="M2651" i="1" s="1"/>
  <c r="L2795" i="1"/>
  <c r="M2795" i="1" s="1"/>
  <c r="L2803" i="1"/>
  <c r="M2803" i="1" s="1"/>
  <c r="L2915" i="1"/>
  <c r="M2915" i="1" s="1"/>
  <c r="L2923" i="1"/>
  <c r="M2923" i="1" s="1"/>
  <c r="L3051" i="1"/>
  <c r="M3051" i="1" s="1"/>
  <c r="L3059" i="1"/>
  <c r="M3059" i="1" s="1"/>
  <c r="L3187" i="1"/>
  <c r="M3187" i="1" s="1"/>
  <c r="L3195" i="1"/>
  <c r="M3195" i="1" s="1"/>
  <c r="L3323" i="1"/>
  <c r="M3323" i="1" s="1"/>
  <c r="L3331" i="1"/>
  <c r="M3331" i="1" s="1"/>
  <c r="L3459" i="1"/>
  <c r="M3459" i="1" s="1"/>
  <c r="L3467" i="1"/>
  <c r="M3467" i="1" s="1"/>
  <c r="L3595" i="1"/>
  <c r="M3595" i="1" s="1"/>
  <c r="L3603" i="1"/>
  <c r="M3603" i="1" s="1"/>
  <c r="L3739" i="1"/>
  <c r="M3739" i="1" s="1"/>
  <c r="L3747" i="1"/>
  <c r="M3747" i="1" s="1"/>
  <c r="L3819" i="1"/>
  <c r="M3819" i="1" s="1"/>
  <c r="L3939" i="1"/>
  <c r="M3939" i="1" s="1"/>
  <c r="L3947" i="1"/>
  <c r="M3947" i="1" s="1"/>
  <c r="L853" i="1"/>
  <c r="M853" i="1" s="1"/>
  <c r="L965" i="1"/>
  <c r="M965" i="1" s="1"/>
  <c r="L973" i="1"/>
  <c r="M973" i="1" s="1"/>
  <c r="L1101" i="1"/>
  <c r="M1101" i="1" s="1"/>
  <c r="L1109" i="1"/>
  <c r="M1109" i="1" s="1"/>
  <c r="L1237" i="1"/>
  <c r="M1237" i="1" s="1"/>
  <c r="L1245" i="1"/>
  <c r="M1245" i="1" s="1"/>
  <c r="L1550" i="1"/>
  <c r="M1550" i="1" s="1"/>
  <c r="L1678" i="1"/>
  <c r="M1678" i="1" s="1"/>
  <c r="L1820" i="1"/>
  <c r="M1820" i="1" s="1"/>
  <c r="L1828" i="1"/>
  <c r="M1828" i="1" s="1"/>
  <c r="L1956" i="1"/>
  <c r="M1956" i="1" s="1"/>
  <c r="L1964" i="1"/>
  <c r="M1964" i="1" s="1"/>
  <c r="L2092" i="1"/>
  <c r="M2092" i="1" s="1"/>
  <c r="L2100" i="1"/>
  <c r="M2100" i="1" s="1"/>
  <c r="L2228" i="1"/>
  <c r="M2228" i="1" s="1"/>
  <c r="L2236" i="1"/>
  <c r="M2236" i="1" s="1"/>
  <c r="L2436" i="1"/>
  <c r="M2436" i="1" s="1"/>
  <c r="L2444" i="1"/>
  <c r="M2444" i="1" s="1"/>
  <c r="L2500" i="1"/>
  <c r="M2500" i="1" s="1"/>
  <c r="L2508" i="1"/>
  <c r="M2508" i="1" s="1"/>
  <c r="L2636" i="1"/>
  <c r="M2636" i="1" s="1"/>
  <c r="L2644" i="1"/>
  <c r="M2644" i="1" s="1"/>
  <c r="L2796" i="1"/>
  <c r="M2796" i="1" s="1"/>
  <c r="L2804" i="1"/>
  <c r="M2804" i="1" s="1"/>
  <c r="L2916" i="1"/>
  <c r="M2916" i="1" s="1"/>
  <c r="L2924" i="1"/>
  <c r="M2924" i="1" s="1"/>
  <c r="L3052" i="1"/>
  <c r="M3052" i="1" s="1"/>
  <c r="L3060" i="1"/>
  <c r="M3060" i="1" s="1"/>
  <c r="L3188" i="1"/>
  <c r="M3188" i="1" s="1"/>
  <c r="L3196" i="1"/>
  <c r="M3196" i="1" s="1"/>
  <c r="L3324" i="1"/>
  <c r="M3324" i="1" s="1"/>
  <c r="L3332" i="1"/>
  <c r="M3332" i="1" s="1"/>
  <c r="L3460" i="1"/>
  <c r="M3460" i="1" s="1"/>
  <c r="L3468" i="1"/>
  <c r="M3468" i="1" s="1"/>
  <c r="L3596" i="1"/>
  <c r="M3596" i="1" s="1"/>
  <c r="L3604" i="1"/>
  <c r="M3604" i="1" s="1"/>
  <c r="L3732" i="1"/>
  <c r="M3732" i="1" s="1"/>
  <c r="L3740" i="1"/>
  <c r="M3740" i="1" s="1"/>
  <c r="L3820" i="1"/>
  <c r="M3820" i="1" s="1"/>
  <c r="L3940" i="1"/>
  <c r="M3940" i="1" s="1"/>
  <c r="L3948" i="1"/>
  <c r="M3948" i="1" s="1"/>
  <c r="L854" i="1"/>
  <c r="M854" i="1" s="1"/>
  <c r="L966" i="1"/>
  <c r="M966" i="1" s="1"/>
  <c r="L974" i="1"/>
  <c r="M974" i="1" s="1"/>
  <c r="L1102" i="1"/>
  <c r="M1102" i="1" s="1"/>
  <c r="L1110" i="1"/>
  <c r="M1110" i="1" s="1"/>
  <c r="L1238" i="1"/>
  <c r="M1238" i="1" s="1"/>
  <c r="L1246" i="1"/>
  <c r="M1246" i="1" s="1"/>
  <c r="L1814" i="1"/>
  <c r="M1814" i="1" s="1"/>
  <c r="L1822" i="1"/>
  <c r="M1822" i="1" s="1"/>
  <c r="L1958" i="1"/>
  <c r="M1958" i="1" s="1"/>
  <c r="L1966" i="1"/>
  <c r="M1966" i="1" s="1"/>
  <c r="L2094" i="1"/>
  <c r="M2094" i="1" s="1"/>
  <c r="L2102" i="1"/>
  <c r="M2102" i="1" s="1"/>
  <c r="L2230" i="1"/>
  <c r="M2230" i="1" s="1"/>
  <c r="L2238" i="1"/>
  <c r="M2238" i="1" s="1"/>
  <c r="L2430" i="1"/>
  <c r="M2430" i="1" s="1"/>
  <c r="L2438" i="1"/>
  <c r="M2438" i="1" s="1"/>
  <c r="L2502" i="1"/>
  <c r="M2502" i="1" s="1"/>
  <c r="L2510" i="1"/>
  <c r="M2510" i="1" s="1"/>
  <c r="L2638" i="1"/>
  <c r="M2638" i="1" s="1"/>
  <c r="L2646" i="1"/>
  <c r="M2646" i="1" s="1"/>
  <c r="L2790" i="1"/>
  <c r="M2790" i="1" s="1"/>
  <c r="L2798" i="1"/>
  <c r="M2798" i="1" s="1"/>
  <c r="L2910" i="1"/>
  <c r="M2910" i="1" s="1"/>
  <c r="L2918" i="1"/>
  <c r="M2918" i="1" s="1"/>
  <c r="L3054" i="1"/>
  <c r="M3054" i="1" s="1"/>
  <c r="L3062" i="1"/>
  <c r="M3062" i="1" s="1"/>
  <c r="L3190" i="1"/>
  <c r="M3190" i="1" s="1"/>
  <c r="L3198" i="1"/>
  <c r="M3198" i="1" s="1"/>
  <c r="L3326" i="1"/>
  <c r="M3326" i="1" s="1"/>
  <c r="L3334" i="1"/>
  <c r="M3334" i="1" s="1"/>
  <c r="L3462" i="1"/>
  <c r="M3462" i="1" s="1"/>
  <c r="L3470" i="1"/>
  <c r="M3470" i="1" s="1"/>
  <c r="L3598" i="1"/>
  <c r="M3598" i="1" s="1"/>
  <c r="L3606" i="1"/>
  <c r="M3606" i="1" s="1"/>
  <c r="L3734" i="1"/>
  <c r="M3734" i="1" s="1"/>
  <c r="L3742" i="1"/>
  <c r="M3742" i="1" s="1"/>
  <c r="L3822" i="1"/>
  <c r="M3822" i="1" s="1"/>
  <c r="L3942" i="1"/>
  <c r="M3942" i="1" s="1"/>
  <c r="L3950" i="1"/>
  <c r="M3950" i="1" s="1"/>
  <c r="L848" i="1"/>
  <c r="M848" i="1" s="1"/>
  <c r="L856" i="1"/>
  <c r="M856" i="1" s="1"/>
  <c r="L968" i="1"/>
  <c r="M968" i="1" s="1"/>
  <c r="L976" i="1"/>
  <c r="M976" i="1" s="1"/>
  <c r="L1104" i="1"/>
  <c r="M1104" i="1" s="1"/>
  <c r="L1112" i="1"/>
  <c r="M1112" i="1" s="1"/>
  <c r="L1240" i="1"/>
  <c r="M1240" i="1" s="1"/>
  <c r="L1248" i="1"/>
  <c r="M1248" i="1" s="1"/>
  <c r="L1815" i="1"/>
  <c r="M1815" i="1" s="1"/>
  <c r="L1823" i="1"/>
  <c r="M1823" i="1" s="1"/>
  <c r="L1951" i="1"/>
  <c r="M1951" i="1" s="1"/>
  <c r="L1959" i="1"/>
  <c r="M1959" i="1" s="1"/>
  <c r="L2095" i="1"/>
  <c r="M2095" i="1" s="1"/>
  <c r="L2103" i="1"/>
  <c r="M2103" i="1" s="1"/>
  <c r="L2231" i="1"/>
  <c r="M2231" i="1" s="1"/>
  <c r="L2239" i="1"/>
  <c r="M2239" i="1" s="1"/>
  <c r="L2431" i="1"/>
  <c r="M2431" i="1" s="1"/>
  <c r="L2439" i="1"/>
  <c r="M2439" i="1" s="1"/>
  <c r="L2503" i="1"/>
  <c r="M2503" i="1" s="1"/>
  <c r="L2511" i="1"/>
  <c r="M2511" i="1" s="1"/>
  <c r="L2639" i="1"/>
  <c r="M2639" i="1" s="1"/>
  <c r="L2647" i="1"/>
  <c r="M2647" i="1" s="1"/>
  <c r="L2791" i="1"/>
  <c r="M2791" i="1" s="1"/>
  <c r="L2799" i="1"/>
  <c r="M2799" i="1" s="1"/>
  <c r="L2911" i="1"/>
  <c r="M2911" i="1" s="1"/>
  <c r="L2919" i="1"/>
  <c r="M2919" i="1" s="1"/>
  <c r="L3047" i="1"/>
  <c r="M3047" i="1" s="1"/>
  <c r="L3055" i="1"/>
  <c r="M3055" i="1" s="1"/>
  <c r="L3191" i="1"/>
  <c r="M3191" i="1" s="1"/>
  <c r="L3199" i="1"/>
  <c r="M3199" i="1" s="1"/>
  <c r="L3327" i="1"/>
  <c r="M3327" i="1" s="1"/>
  <c r="L3335" i="1"/>
  <c r="M3335" i="1" s="1"/>
  <c r="L3463" i="1"/>
  <c r="M3463" i="1" s="1"/>
  <c r="L3471" i="1"/>
  <c r="M3471" i="1" s="1"/>
  <c r="L3599" i="1"/>
  <c r="M3599" i="1" s="1"/>
  <c r="L3607" i="1"/>
  <c r="M3607" i="1" s="1"/>
  <c r="L3735" i="1"/>
  <c r="M3735" i="1" s="1"/>
  <c r="L3743" i="1"/>
  <c r="M3743" i="1" s="1"/>
  <c r="L3823" i="1"/>
  <c r="M3823" i="1" s="1"/>
  <c r="L3943" i="1"/>
  <c r="M3943" i="1" s="1"/>
  <c r="L3951" i="1"/>
  <c r="M3951" i="1" s="1"/>
  <c r="L849" i="1"/>
  <c r="M849" i="1" s="1"/>
  <c r="L857" i="1"/>
  <c r="M857" i="1" s="1"/>
  <c r="L969" i="1"/>
  <c r="M969" i="1" s="1"/>
  <c r="L977" i="1"/>
  <c r="M977" i="1" s="1"/>
  <c r="L1105" i="1"/>
  <c r="M1105" i="1" s="1"/>
  <c r="L1113" i="1"/>
  <c r="M1113" i="1" s="1"/>
  <c r="L1241" i="1"/>
  <c r="M1241" i="1" s="1"/>
  <c r="L1249" i="1"/>
  <c r="M1249" i="1" s="1"/>
  <c r="L4074" i="1"/>
  <c r="M4074" i="1" s="1"/>
  <c r="L4210" i="1"/>
  <c r="M4210" i="1" s="1"/>
  <c r="L4346" i="1"/>
  <c r="M4346" i="1" s="1"/>
  <c r="L4482" i="1"/>
  <c r="M4482" i="1" s="1"/>
  <c r="L4618" i="1"/>
  <c r="M4618" i="1" s="1"/>
  <c r="L4754" i="1"/>
  <c r="M4754" i="1" s="1"/>
  <c r="L4890" i="1"/>
  <c r="M4890" i="1" s="1"/>
  <c r="L5026" i="1"/>
  <c r="M5026" i="1" s="1"/>
  <c r="L1816" i="1"/>
  <c r="M1816" i="1" s="1"/>
  <c r="L1824" i="1"/>
  <c r="M1824" i="1" s="1"/>
  <c r="L1952" i="1"/>
  <c r="M1952" i="1" s="1"/>
  <c r="L1960" i="1"/>
  <c r="M1960" i="1" s="1"/>
  <c r="L2088" i="1"/>
  <c r="M2088" i="1" s="1"/>
  <c r="L2096" i="1"/>
  <c r="M2096" i="1" s="1"/>
  <c r="L2232" i="1"/>
  <c r="M2232" i="1" s="1"/>
  <c r="L2240" i="1"/>
  <c r="M2240" i="1" s="1"/>
  <c r="L2432" i="1"/>
  <c r="M2432" i="1" s="1"/>
  <c r="L2440" i="1"/>
  <c r="M2440" i="1" s="1"/>
  <c r="L2504" i="1"/>
  <c r="M2504" i="1" s="1"/>
  <c r="L2512" i="1"/>
  <c r="M2512" i="1" s="1"/>
  <c r="L2640" i="1"/>
  <c r="M2640" i="1" s="1"/>
  <c r="L2648" i="1"/>
  <c r="M2648" i="1" s="1"/>
  <c r="L2792" i="1"/>
  <c r="M2792" i="1" s="1"/>
  <c r="L2800" i="1"/>
  <c r="M2800" i="1" s="1"/>
  <c r="L2912" i="1"/>
  <c r="M2912" i="1" s="1"/>
  <c r="L2920" i="1"/>
  <c r="M2920" i="1" s="1"/>
  <c r="L3048" i="1"/>
  <c r="M3048" i="1" s="1"/>
  <c r="L3056" i="1"/>
  <c r="M3056" i="1" s="1"/>
  <c r="L3184" i="1"/>
  <c r="M3184" i="1" s="1"/>
  <c r="L3192" i="1"/>
  <c r="M3192" i="1" s="1"/>
  <c r="L3328" i="1"/>
  <c r="M3328" i="1" s="1"/>
  <c r="L3336" i="1"/>
  <c r="M3336" i="1" s="1"/>
  <c r="L3464" i="1"/>
  <c r="M3464" i="1" s="1"/>
  <c r="L3472" i="1"/>
  <c r="M3472" i="1" s="1"/>
  <c r="L3600" i="1"/>
  <c r="M3600" i="1" s="1"/>
  <c r="L3608" i="1"/>
  <c r="M3608" i="1" s="1"/>
  <c r="L3736" i="1"/>
  <c r="M3736" i="1" s="1"/>
  <c r="L3744" i="1"/>
  <c r="M3744" i="1" s="1"/>
  <c r="L3824" i="1"/>
  <c r="M3824" i="1" s="1"/>
  <c r="L3944" i="1"/>
  <c r="M3944" i="1" s="1"/>
  <c r="L3952" i="1"/>
  <c r="M3952" i="1" s="1"/>
  <c r="L850" i="1"/>
  <c r="M850" i="1" s="1"/>
  <c r="L858" i="1"/>
  <c r="M858" i="1" s="1"/>
  <c r="L962" i="1"/>
  <c r="M962" i="1" s="1"/>
  <c r="L970" i="1"/>
  <c r="M970" i="1" s="1"/>
  <c r="L1098" i="1"/>
  <c r="M1098" i="1" s="1"/>
  <c r="L1106" i="1"/>
  <c r="M1106" i="1" s="1"/>
  <c r="L1234" i="1"/>
  <c r="M1234" i="1" s="1"/>
  <c r="L1242" i="1"/>
  <c r="M1242" i="1" s="1"/>
  <c r="L1965" i="1"/>
  <c r="M1965" i="1" s="1"/>
  <c r="L2093" i="1"/>
  <c r="M2093" i="1" s="1"/>
  <c r="L2797" i="1"/>
  <c r="M2797" i="1" s="1"/>
  <c r="L3061" i="1"/>
  <c r="M3061" i="1" s="1"/>
  <c r="L3189" i="1"/>
  <c r="M3189" i="1" s="1"/>
  <c r="L847" i="1"/>
  <c r="M847" i="1" s="1"/>
  <c r="L130" i="1"/>
  <c r="M130" i="1" s="1"/>
  <c r="L138" i="1"/>
  <c r="M138" i="1" s="1"/>
  <c r="L266" i="1"/>
  <c r="M266" i="1" s="1"/>
  <c r="L274" i="1"/>
  <c r="M274" i="1" s="1"/>
  <c r="L402" i="1"/>
  <c r="M402" i="1" s="1"/>
  <c r="L410" i="1"/>
  <c r="M410" i="1" s="1"/>
  <c r="L538" i="1"/>
  <c r="M538" i="1" s="1"/>
  <c r="L546" i="1"/>
  <c r="M546" i="1" s="1"/>
  <c r="L690" i="1"/>
  <c r="M690" i="1" s="1"/>
  <c r="L698" i="1"/>
  <c r="M698" i="1" s="1"/>
  <c r="L11" i="1"/>
  <c r="M11" i="1" s="1"/>
  <c r="L414" i="1"/>
  <c r="M414" i="1" s="1"/>
  <c r="L7" i="1"/>
  <c r="L1686" i="1"/>
  <c r="M1686" i="1" s="1"/>
  <c r="L2101" i="1"/>
  <c r="M2101" i="1" s="1"/>
  <c r="L2229" i="1"/>
  <c r="M2229" i="1" s="1"/>
  <c r="L2805" i="1"/>
  <c r="M2805" i="1" s="1"/>
  <c r="L3197" i="1"/>
  <c r="M3197" i="1" s="1"/>
  <c r="L3325" i="1"/>
  <c r="M3325" i="1" s="1"/>
  <c r="L3941" i="1"/>
  <c r="M3941" i="1" s="1"/>
  <c r="L855" i="1"/>
  <c r="M855" i="1" s="1"/>
  <c r="L131" i="1"/>
  <c r="M131" i="1" s="1"/>
  <c r="L139" i="1"/>
  <c r="M139" i="1" s="1"/>
  <c r="L267" i="1"/>
  <c r="M267" i="1" s="1"/>
  <c r="L275" i="1"/>
  <c r="M275" i="1" s="1"/>
  <c r="L403" i="1"/>
  <c r="M403" i="1" s="1"/>
  <c r="L411" i="1"/>
  <c r="M411" i="1" s="1"/>
  <c r="L539" i="1"/>
  <c r="M539" i="1" s="1"/>
  <c r="L547" i="1"/>
  <c r="M547" i="1" s="1"/>
  <c r="L691" i="1"/>
  <c r="M691" i="1" s="1"/>
  <c r="L699" i="1"/>
  <c r="M699" i="1" s="1"/>
  <c r="L843" i="1"/>
  <c r="M843" i="1" s="1"/>
  <c r="L12" i="1"/>
  <c r="M12" i="1" s="1"/>
  <c r="L2509" i="1"/>
  <c r="M2509" i="1" s="1"/>
  <c r="L3605" i="1"/>
  <c r="M3605" i="1" s="1"/>
  <c r="L270" i="1"/>
  <c r="M270" i="1" s="1"/>
  <c r="L2237" i="1"/>
  <c r="M2237" i="1" s="1"/>
  <c r="L3333" i="1"/>
  <c r="M3333" i="1" s="1"/>
  <c r="L3461" i="1"/>
  <c r="M3461" i="1" s="1"/>
  <c r="L3949" i="1"/>
  <c r="M3949" i="1" s="1"/>
  <c r="L132" i="1"/>
  <c r="M132" i="1" s="1"/>
  <c r="L140" i="1"/>
  <c r="M140" i="1" s="1"/>
  <c r="L268" i="1"/>
  <c r="M268" i="1" s="1"/>
  <c r="L276" i="1"/>
  <c r="M276" i="1" s="1"/>
  <c r="L404" i="1"/>
  <c r="M404" i="1" s="1"/>
  <c r="L412" i="1"/>
  <c r="M412" i="1" s="1"/>
  <c r="L540" i="1"/>
  <c r="M540" i="1" s="1"/>
  <c r="L548" i="1"/>
  <c r="M548" i="1" s="1"/>
  <c r="L692" i="1"/>
  <c r="M692" i="1" s="1"/>
  <c r="L700" i="1"/>
  <c r="M700" i="1" s="1"/>
  <c r="L844" i="1"/>
  <c r="M844" i="1" s="1"/>
  <c r="L13" i="1"/>
  <c r="M13" i="1" s="1"/>
  <c r="L134" i="1"/>
  <c r="M134" i="1" s="1"/>
  <c r="L406" i="1"/>
  <c r="M406" i="1" s="1"/>
  <c r="L15" i="1"/>
  <c r="M15" i="1" s="1"/>
  <c r="L2501" i="1"/>
  <c r="M2501" i="1" s="1"/>
  <c r="L3469" i="1"/>
  <c r="M3469" i="1" s="1"/>
  <c r="L3597" i="1"/>
  <c r="M3597" i="1" s="1"/>
  <c r="L3821" i="1"/>
  <c r="M3821" i="1" s="1"/>
  <c r="L133" i="1"/>
  <c r="M133" i="1" s="1"/>
  <c r="L141" i="1"/>
  <c r="M141" i="1" s="1"/>
  <c r="L269" i="1"/>
  <c r="M269" i="1" s="1"/>
  <c r="L277" i="1"/>
  <c r="M277" i="1" s="1"/>
  <c r="L405" i="1"/>
  <c r="M405" i="1" s="1"/>
  <c r="L413" i="1"/>
  <c r="M413" i="1" s="1"/>
  <c r="L541" i="1"/>
  <c r="M541" i="1" s="1"/>
  <c r="L549" i="1"/>
  <c r="M549" i="1" s="1"/>
  <c r="L693" i="1"/>
  <c r="M693" i="1" s="1"/>
  <c r="L701" i="1"/>
  <c r="M701" i="1" s="1"/>
  <c r="L845" i="1"/>
  <c r="M845" i="1" s="1"/>
  <c r="L14" i="1"/>
  <c r="M14" i="1" s="1"/>
  <c r="L142" i="1"/>
  <c r="M142" i="1" s="1"/>
  <c r="L550" i="1"/>
  <c r="M550" i="1" s="1"/>
  <c r="L702" i="1"/>
  <c r="M702" i="1" s="1"/>
  <c r="L846" i="1"/>
  <c r="M846" i="1" s="1"/>
  <c r="L2645" i="1"/>
  <c r="M2645" i="1" s="1"/>
  <c r="L3741" i="1"/>
  <c r="M3741" i="1" s="1"/>
  <c r="L967" i="1"/>
  <c r="M967" i="1" s="1"/>
  <c r="L1103" i="1"/>
  <c r="M1103" i="1" s="1"/>
  <c r="L1239" i="1"/>
  <c r="M1239" i="1" s="1"/>
  <c r="L135" i="1"/>
  <c r="M135" i="1" s="1"/>
  <c r="L143" i="1"/>
  <c r="M143" i="1" s="1"/>
  <c r="L271" i="1"/>
  <c r="M271" i="1" s="1"/>
  <c r="L279" i="1"/>
  <c r="M279" i="1" s="1"/>
  <c r="L407" i="1"/>
  <c r="M407" i="1" s="1"/>
  <c r="L415" i="1"/>
  <c r="M415" i="1" s="1"/>
  <c r="L543" i="1"/>
  <c r="M543" i="1" s="1"/>
  <c r="L551" i="1"/>
  <c r="M551" i="1" s="1"/>
  <c r="L695" i="1"/>
  <c r="M695" i="1" s="1"/>
  <c r="L703" i="1"/>
  <c r="M703" i="1" s="1"/>
  <c r="L8" i="1"/>
  <c r="M8" i="1" s="1"/>
  <c r="L16" i="1"/>
  <c r="M16" i="1" s="1"/>
  <c r="L2637" i="1"/>
  <c r="M2637" i="1" s="1"/>
  <c r="L1821" i="1"/>
  <c r="M1821" i="1" s="1"/>
  <c r="L2437" i="1"/>
  <c r="M2437" i="1" s="1"/>
  <c r="L2917" i="1"/>
  <c r="M2917" i="1" s="1"/>
  <c r="L975" i="1"/>
  <c r="M975" i="1" s="1"/>
  <c r="L1111" i="1"/>
  <c r="M1111" i="1" s="1"/>
  <c r="L1247" i="1"/>
  <c r="M1247" i="1" s="1"/>
  <c r="L136" i="1"/>
  <c r="M136" i="1" s="1"/>
  <c r="L144" i="1"/>
  <c r="M144" i="1" s="1"/>
  <c r="L272" i="1"/>
  <c r="M272" i="1" s="1"/>
  <c r="L280" i="1"/>
  <c r="M280" i="1" s="1"/>
  <c r="L408" i="1"/>
  <c r="M408" i="1" s="1"/>
  <c r="L416" i="1"/>
  <c r="M416" i="1" s="1"/>
  <c r="L544" i="1"/>
  <c r="M544" i="1" s="1"/>
  <c r="L552" i="1"/>
  <c r="M552" i="1" s="1"/>
  <c r="L696" i="1"/>
  <c r="M696" i="1" s="1"/>
  <c r="L704" i="1"/>
  <c r="M704" i="1" s="1"/>
  <c r="L9" i="1"/>
  <c r="M9" i="1" s="1"/>
  <c r="L278" i="1"/>
  <c r="M278" i="1" s="1"/>
  <c r="L1829" i="1"/>
  <c r="M1829" i="1" s="1"/>
  <c r="L1957" i="1"/>
  <c r="M1957" i="1" s="1"/>
  <c r="L2445" i="1"/>
  <c r="M2445" i="1" s="1"/>
  <c r="L2925" i="1"/>
  <c r="M2925" i="1" s="1"/>
  <c r="L3053" i="1"/>
  <c r="M3053" i="1" s="1"/>
  <c r="L129" i="1"/>
  <c r="M129" i="1" s="1"/>
  <c r="L137" i="1"/>
  <c r="M137" i="1" s="1"/>
  <c r="L265" i="1"/>
  <c r="M265" i="1" s="1"/>
  <c r="L273" i="1"/>
  <c r="M273" i="1" s="1"/>
  <c r="L401" i="1"/>
  <c r="M401" i="1" s="1"/>
  <c r="L409" i="1"/>
  <c r="M409" i="1" s="1"/>
  <c r="L537" i="1"/>
  <c r="M537" i="1" s="1"/>
  <c r="L545" i="1"/>
  <c r="M545" i="1" s="1"/>
  <c r="L697" i="1"/>
  <c r="M697" i="1" s="1"/>
  <c r="L705" i="1"/>
  <c r="M705" i="1" s="1"/>
  <c r="L10" i="1"/>
  <c r="M10" i="1" s="1"/>
  <c r="L3733" i="1"/>
  <c r="M3733" i="1" s="1"/>
  <c r="L542" i="1"/>
  <c r="M542" i="1" s="1"/>
  <c r="L694" i="1"/>
  <c r="M694" i="1" s="1"/>
  <c r="G35" i="40"/>
  <c r="G62" i="40" s="1"/>
  <c r="L14511" i="1"/>
  <c r="M14511" i="1" s="1"/>
  <c r="L14519" i="1"/>
  <c r="M14519" i="1" s="1"/>
  <c r="L14647" i="1"/>
  <c r="M14647" i="1" s="1"/>
  <c r="L14655" i="1"/>
  <c r="M14655" i="1" s="1"/>
  <c r="L14783" i="1"/>
  <c r="M14783" i="1" s="1"/>
  <c r="L14791" i="1"/>
  <c r="M14791" i="1" s="1"/>
  <c r="L14919" i="1"/>
  <c r="M14919" i="1" s="1"/>
  <c r="L14927" i="1"/>
  <c r="M14927" i="1" s="1"/>
  <c r="L5130" i="1"/>
  <c r="M5130" i="1" s="1"/>
  <c r="L5138" i="1"/>
  <c r="M5138" i="1" s="1"/>
  <c r="L5266" i="1"/>
  <c r="M5266" i="1" s="1"/>
  <c r="L5274" i="1"/>
  <c r="M5274" i="1" s="1"/>
  <c r="L14512" i="1"/>
  <c r="M14512" i="1" s="1"/>
  <c r="L14520" i="1"/>
  <c r="M14520" i="1" s="1"/>
  <c r="L14648" i="1"/>
  <c r="M14648" i="1" s="1"/>
  <c r="L14656" i="1"/>
  <c r="M14656" i="1" s="1"/>
  <c r="L14784" i="1"/>
  <c r="M14784" i="1" s="1"/>
  <c r="L14792" i="1"/>
  <c r="M14792" i="1" s="1"/>
  <c r="L14920" i="1"/>
  <c r="M14920" i="1" s="1"/>
  <c r="L14928" i="1"/>
  <c r="M14928" i="1" s="1"/>
  <c r="L5131" i="1"/>
  <c r="M5131" i="1" s="1"/>
  <c r="L5139" i="1"/>
  <c r="M5139" i="1" s="1"/>
  <c r="L5267" i="1"/>
  <c r="M5267" i="1" s="1"/>
  <c r="L14513" i="1"/>
  <c r="M14513" i="1" s="1"/>
  <c r="L14521" i="1"/>
  <c r="M14521" i="1" s="1"/>
  <c r="L14649" i="1"/>
  <c r="M14649" i="1" s="1"/>
  <c r="L14657" i="1"/>
  <c r="M14657" i="1" s="1"/>
  <c r="L14785" i="1"/>
  <c r="M14785" i="1" s="1"/>
  <c r="L14793" i="1"/>
  <c r="M14793" i="1" s="1"/>
  <c r="L14921" i="1"/>
  <c r="M14921" i="1" s="1"/>
  <c r="L14929" i="1"/>
  <c r="M14929" i="1" s="1"/>
  <c r="L5132" i="1"/>
  <c r="M5132" i="1" s="1"/>
  <c r="L5140" i="1"/>
  <c r="M5140" i="1" s="1"/>
  <c r="L5268" i="1"/>
  <c r="M5268" i="1" s="1"/>
  <c r="L14514" i="1"/>
  <c r="M14514" i="1" s="1"/>
  <c r="L14522" i="1"/>
  <c r="M14522" i="1" s="1"/>
  <c r="L14650" i="1"/>
  <c r="M14650" i="1" s="1"/>
  <c r="L14658" i="1"/>
  <c r="M14658" i="1" s="1"/>
  <c r="L14786" i="1"/>
  <c r="M14786" i="1" s="1"/>
  <c r="L14794" i="1"/>
  <c r="M14794" i="1" s="1"/>
  <c r="L14922" i="1"/>
  <c r="M14922" i="1" s="1"/>
  <c r="L14930" i="1"/>
  <c r="M14930" i="1" s="1"/>
  <c r="L5133" i="1"/>
  <c r="M5133" i="1" s="1"/>
  <c r="L5141" i="1"/>
  <c r="M5141" i="1" s="1"/>
  <c r="L5269" i="1"/>
  <c r="M5269" i="1" s="1"/>
  <c r="L14515" i="1"/>
  <c r="M14515" i="1" s="1"/>
  <c r="L14523" i="1"/>
  <c r="M14523" i="1" s="1"/>
  <c r="L14651" i="1"/>
  <c r="M14651" i="1" s="1"/>
  <c r="L14659" i="1"/>
  <c r="M14659" i="1" s="1"/>
  <c r="L14787" i="1"/>
  <c r="M14787" i="1" s="1"/>
  <c r="L14795" i="1"/>
  <c r="M14795" i="1" s="1"/>
  <c r="L14923" i="1"/>
  <c r="M14923" i="1" s="1"/>
  <c r="L14931" i="1"/>
  <c r="M14931" i="1" s="1"/>
  <c r="L5134" i="1"/>
  <c r="M5134" i="1" s="1"/>
  <c r="L5142" i="1"/>
  <c r="M5142" i="1" s="1"/>
  <c r="L5270" i="1"/>
  <c r="M5270" i="1" s="1"/>
  <c r="L14516" i="1"/>
  <c r="M14516" i="1" s="1"/>
  <c r="L14524" i="1"/>
  <c r="M14524" i="1" s="1"/>
  <c r="L14652" i="1"/>
  <c r="M14652" i="1" s="1"/>
  <c r="L14660" i="1"/>
  <c r="M14660" i="1" s="1"/>
  <c r="L14788" i="1"/>
  <c r="M14788" i="1" s="1"/>
  <c r="L14796" i="1"/>
  <c r="M14796" i="1" s="1"/>
  <c r="L14924" i="1"/>
  <c r="M14924" i="1" s="1"/>
  <c r="L14932" i="1"/>
  <c r="M14932" i="1" s="1"/>
  <c r="L5127" i="1"/>
  <c r="M5127" i="1" s="1"/>
  <c r="L5135" i="1"/>
  <c r="M5135" i="1" s="1"/>
  <c r="L5263" i="1"/>
  <c r="M5263" i="1" s="1"/>
  <c r="L5271" i="1"/>
  <c r="M5271" i="1" s="1"/>
  <c r="L14517" i="1"/>
  <c r="M14517" i="1" s="1"/>
  <c r="L14525" i="1"/>
  <c r="M14525" i="1" s="1"/>
  <c r="L14653" i="1"/>
  <c r="M14653" i="1" s="1"/>
  <c r="L14661" i="1"/>
  <c r="M14661" i="1" s="1"/>
  <c r="L14789" i="1"/>
  <c r="M14789" i="1" s="1"/>
  <c r="L14797" i="1"/>
  <c r="M14797" i="1" s="1"/>
  <c r="L14925" i="1"/>
  <c r="M14925" i="1" s="1"/>
  <c r="L14933" i="1"/>
  <c r="M14933" i="1" s="1"/>
  <c r="L5128" i="1"/>
  <c r="M5128" i="1" s="1"/>
  <c r="L5136" i="1"/>
  <c r="M5136" i="1" s="1"/>
  <c r="L5264" i="1"/>
  <c r="M5264" i="1" s="1"/>
  <c r="L5272" i="1"/>
  <c r="M5272" i="1" s="1"/>
  <c r="L14518" i="1"/>
  <c r="M14518" i="1" s="1"/>
  <c r="L14526" i="1"/>
  <c r="M14526" i="1" s="1"/>
  <c r="L14654" i="1"/>
  <c r="M14654" i="1" s="1"/>
  <c r="L14662" i="1"/>
  <c r="M14662" i="1" s="1"/>
  <c r="L14790" i="1"/>
  <c r="M14790" i="1" s="1"/>
  <c r="L14798" i="1"/>
  <c r="M14798" i="1" s="1"/>
  <c r="L14926" i="1"/>
  <c r="M14926" i="1" s="1"/>
  <c r="L14934" i="1"/>
  <c r="M14934" i="1" s="1"/>
  <c r="L5129" i="1"/>
  <c r="M5129" i="1" s="1"/>
  <c r="L5137" i="1"/>
  <c r="M5137" i="1" s="1"/>
  <c r="L5265" i="1"/>
  <c r="M5265" i="1" s="1"/>
  <c r="L5273" i="1"/>
  <c r="M5273" i="1" s="1"/>
  <c r="L5275" i="1"/>
  <c r="M5275" i="1" s="1"/>
  <c r="L5403" i="1"/>
  <c r="M5403" i="1" s="1"/>
  <c r="L5411" i="1"/>
  <c r="M5411" i="1" s="1"/>
  <c r="L5539" i="1"/>
  <c r="M5539" i="1" s="1"/>
  <c r="L5547" i="1"/>
  <c r="M5547" i="1" s="1"/>
  <c r="L5675" i="1"/>
  <c r="M5675" i="1" s="1"/>
  <c r="L5683" i="1"/>
  <c r="M5683" i="1" s="1"/>
  <c r="L5811" i="1"/>
  <c r="M5811" i="1" s="1"/>
  <c r="L5819" i="1"/>
  <c r="M5819" i="1" s="1"/>
  <c r="L5276" i="1"/>
  <c r="M5276" i="1" s="1"/>
  <c r="L5404" i="1"/>
  <c r="M5404" i="1" s="1"/>
  <c r="L5412" i="1"/>
  <c r="M5412" i="1" s="1"/>
  <c r="L5540" i="1"/>
  <c r="M5540" i="1" s="1"/>
  <c r="L5548" i="1"/>
  <c r="M5548" i="1" s="1"/>
  <c r="L5676" i="1"/>
  <c r="M5676" i="1" s="1"/>
  <c r="L5684" i="1"/>
  <c r="M5684" i="1" s="1"/>
  <c r="L5812" i="1"/>
  <c r="M5812" i="1" s="1"/>
  <c r="L5820" i="1"/>
  <c r="M5820" i="1" s="1"/>
  <c r="L5277" i="1"/>
  <c r="M5277" i="1" s="1"/>
  <c r="L5405" i="1"/>
  <c r="M5405" i="1" s="1"/>
  <c r="L5413" i="1"/>
  <c r="M5413" i="1" s="1"/>
  <c r="L5541" i="1"/>
  <c r="M5541" i="1" s="1"/>
  <c r="L5549" i="1"/>
  <c r="M5549" i="1" s="1"/>
  <c r="L5677" i="1"/>
  <c r="M5677" i="1" s="1"/>
  <c r="L5685" i="1"/>
  <c r="M5685" i="1" s="1"/>
  <c r="L5813" i="1"/>
  <c r="M5813" i="1" s="1"/>
  <c r="L5821" i="1"/>
  <c r="M5821" i="1" s="1"/>
  <c r="L5278" i="1"/>
  <c r="M5278" i="1" s="1"/>
  <c r="L5406" i="1"/>
  <c r="M5406" i="1" s="1"/>
  <c r="L5414" i="1"/>
  <c r="M5414" i="1" s="1"/>
  <c r="L5542" i="1"/>
  <c r="M5542" i="1" s="1"/>
  <c r="L5550" i="1"/>
  <c r="M5550" i="1" s="1"/>
  <c r="L5678" i="1"/>
  <c r="M5678" i="1" s="1"/>
  <c r="L5686" i="1"/>
  <c r="M5686" i="1" s="1"/>
  <c r="L5814" i="1"/>
  <c r="M5814" i="1" s="1"/>
  <c r="L5822" i="1"/>
  <c r="M5822" i="1" s="1"/>
  <c r="L5950" i="1"/>
  <c r="M5950" i="1" s="1"/>
  <c r="L5958" i="1"/>
  <c r="M5958" i="1" s="1"/>
  <c r="L5399" i="1"/>
  <c r="M5399" i="1" s="1"/>
  <c r="L5407" i="1"/>
  <c r="M5407" i="1" s="1"/>
  <c r="L5535" i="1"/>
  <c r="M5535" i="1" s="1"/>
  <c r="L5543" i="1"/>
  <c r="M5543" i="1" s="1"/>
  <c r="L5671" i="1"/>
  <c r="M5671" i="1" s="1"/>
  <c r="L5679" i="1"/>
  <c r="M5679" i="1" s="1"/>
  <c r="L5807" i="1"/>
  <c r="M5807" i="1" s="1"/>
  <c r="L5815" i="1"/>
  <c r="M5815" i="1" s="1"/>
  <c r="L5400" i="1"/>
  <c r="M5400" i="1" s="1"/>
  <c r="L5408" i="1"/>
  <c r="M5408" i="1" s="1"/>
  <c r="L5536" i="1"/>
  <c r="M5536" i="1" s="1"/>
  <c r="L5544" i="1"/>
  <c r="M5544" i="1" s="1"/>
  <c r="L5672" i="1"/>
  <c r="M5672" i="1" s="1"/>
  <c r="L5680" i="1"/>
  <c r="M5680" i="1" s="1"/>
  <c r="L5808" i="1"/>
  <c r="M5808" i="1" s="1"/>
  <c r="L5816" i="1"/>
  <c r="M5816" i="1" s="1"/>
  <c r="L5401" i="1"/>
  <c r="M5401" i="1" s="1"/>
  <c r="L5409" i="1"/>
  <c r="M5409" i="1" s="1"/>
  <c r="L5537" i="1"/>
  <c r="M5537" i="1" s="1"/>
  <c r="L5545" i="1"/>
  <c r="M5545" i="1" s="1"/>
  <c r="L5673" i="1"/>
  <c r="M5673" i="1" s="1"/>
  <c r="L5681" i="1"/>
  <c r="M5681" i="1" s="1"/>
  <c r="L5809" i="1"/>
  <c r="M5809" i="1" s="1"/>
  <c r="L5817" i="1"/>
  <c r="M5817" i="1" s="1"/>
  <c r="L5402" i="1"/>
  <c r="M5402" i="1" s="1"/>
  <c r="L5410" i="1"/>
  <c r="M5410" i="1" s="1"/>
  <c r="L5538" i="1"/>
  <c r="M5538" i="1" s="1"/>
  <c r="L5546" i="1"/>
  <c r="M5546" i="1" s="1"/>
  <c r="L5674" i="1"/>
  <c r="M5674" i="1" s="1"/>
  <c r="L5682" i="1"/>
  <c r="M5682" i="1" s="1"/>
  <c r="L5810" i="1"/>
  <c r="M5810" i="1" s="1"/>
  <c r="L5818" i="1"/>
  <c r="M5818" i="1" s="1"/>
  <c r="L5946" i="1"/>
  <c r="M5946" i="1" s="1"/>
  <c r="L5954" i="1"/>
  <c r="M5954" i="1" s="1"/>
  <c r="L5944" i="1"/>
  <c r="M5944" i="1" s="1"/>
  <c r="L5955" i="1"/>
  <c r="M5955" i="1" s="1"/>
  <c r="L6085" i="1"/>
  <c r="M6085" i="1" s="1"/>
  <c r="L6093" i="1"/>
  <c r="M6093" i="1" s="1"/>
  <c r="L6221" i="1"/>
  <c r="M6221" i="1" s="1"/>
  <c r="L6229" i="1"/>
  <c r="M6229" i="1" s="1"/>
  <c r="L6357" i="1"/>
  <c r="M6357" i="1" s="1"/>
  <c r="L6365" i="1"/>
  <c r="M6365" i="1" s="1"/>
  <c r="L6493" i="1"/>
  <c r="M6493" i="1" s="1"/>
  <c r="L6501" i="1"/>
  <c r="M6501" i="1" s="1"/>
  <c r="L5945" i="1"/>
  <c r="M5945" i="1" s="1"/>
  <c r="L5956" i="1"/>
  <c r="M5956" i="1" s="1"/>
  <c r="L6086" i="1"/>
  <c r="M6086" i="1" s="1"/>
  <c r="L6094" i="1"/>
  <c r="M6094" i="1" s="1"/>
  <c r="L6222" i="1"/>
  <c r="M6222" i="1" s="1"/>
  <c r="L6230" i="1"/>
  <c r="M6230" i="1" s="1"/>
  <c r="L6358" i="1"/>
  <c r="M6358" i="1" s="1"/>
  <c r="L6366" i="1"/>
  <c r="M6366" i="1" s="1"/>
  <c r="L5947" i="1"/>
  <c r="M5947" i="1" s="1"/>
  <c r="L5957" i="1"/>
  <c r="M5957" i="1" s="1"/>
  <c r="L6079" i="1"/>
  <c r="M6079" i="1" s="1"/>
  <c r="L6087" i="1"/>
  <c r="M6087" i="1" s="1"/>
  <c r="L6215" i="1"/>
  <c r="M6215" i="1" s="1"/>
  <c r="L6223" i="1"/>
  <c r="M6223" i="1" s="1"/>
  <c r="L6351" i="1"/>
  <c r="M6351" i="1" s="1"/>
  <c r="L6359" i="1"/>
  <c r="M6359" i="1" s="1"/>
  <c r="L6487" i="1"/>
  <c r="M6487" i="1" s="1"/>
  <c r="L6495" i="1"/>
  <c r="M6495" i="1" s="1"/>
  <c r="L5948" i="1"/>
  <c r="M5948" i="1" s="1"/>
  <c r="L6080" i="1"/>
  <c r="M6080" i="1" s="1"/>
  <c r="L6088" i="1"/>
  <c r="M6088" i="1" s="1"/>
  <c r="L6216" i="1"/>
  <c r="M6216" i="1" s="1"/>
  <c r="L6224" i="1"/>
  <c r="M6224" i="1" s="1"/>
  <c r="L6352" i="1"/>
  <c r="M6352" i="1" s="1"/>
  <c r="L6360" i="1"/>
  <c r="M6360" i="1" s="1"/>
  <c r="L6488" i="1"/>
  <c r="M6488" i="1" s="1"/>
  <c r="L6496" i="1"/>
  <c r="M6496" i="1" s="1"/>
  <c r="L6624" i="1"/>
  <c r="M6624" i="1" s="1"/>
  <c r="L6632" i="1"/>
  <c r="M6632" i="1" s="1"/>
  <c r="L5949" i="1"/>
  <c r="M5949" i="1" s="1"/>
  <c r="L6081" i="1"/>
  <c r="M6081" i="1" s="1"/>
  <c r="L6089" i="1"/>
  <c r="M6089" i="1" s="1"/>
  <c r="L6217" i="1"/>
  <c r="M6217" i="1" s="1"/>
  <c r="L6225" i="1"/>
  <c r="M6225" i="1" s="1"/>
  <c r="L6353" i="1"/>
  <c r="M6353" i="1" s="1"/>
  <c r="L6361" i="1"/>
  <c r="M6361" i="1" s="1"/>
  <c r="L6489" i="1"/>
  <c r="M6489" i="1" s="1"/>
  <c r="L6497" i="1"/>
  <c r="M6497" i="1" s="1"/>
  <c r="L5951" i="1"/>
  <c r="M5951" i="1" s="1"/>
  <c r="L6082" i="1"/>
  <c r="M6082" i="1" s="1"/>
  <c r="L6090" i="1"/>
  <c r="M6090" i="1" s="1"/>
  <c r="L6218" i="1"/>
  <c r="M6218" i="1" s="1"/>
  <c r="L6226" i="1"/>
  <c r="M6226" i="1" s="1"/>
  <c r="L6354" i="1"/>
  <c r="M6354" i="1" s="1"/>
  <c r="L6362" i="1"/>
  <c r="M6362" i="1" s="1"/>
  <c r="L5952" i="1"/>
  <c r="M5952" i="1" s="1"/>
  <c r="L6083" i="1"/>
  <c r="M6083" i="1" s="1"/>
  <c r="L6091" i="1"/>
  <c r="M6091" i="1" s="1"/>
  <c r="L6219" i="1"/>
  <c r="M6219" i="1" s="1"/>
  <c r="L6227" i="1"/>
  <c r="M6227" i="1" s="1"/>
  <c r="L6355" i="1"/>
  <c r="M6355" i="1" s="1"/>
  <c r="L6363" i="1"/>
  <c r="M6363" i="1" s="1"/>
  <c r="L6491" i="1"/>
  <c r="M6491" i="1" s="1"/>
  <c r="L6499" i="1"/>
  <c r="M6499" i="1" s="1"/>
  <c r="L5943" i="1"/>
  <c r="M5943" i="1" s="1"/>
  <c r="L5953" i="1"/>
  <c r="M5953" i="1" s="1"/>
  <c r="L6084" i="1"/>
  <c r="M6084" i="1" s="1"/>
  <c r="L6092" i="1"/>
  <c r="M6092" i="1" s="1"/>
  <c r="L6220" i="1"/>
  <c r="M6220" i="1" s="1"/>
  <c r="L6228" i="1"/>
  <c r="M6228" i="1" s="1"/>
  <c r="L6356" i="1"/>
  <c r="M6356" i="1" s="1"/>
  <c r="L6364" i="1"/>
  <c r="M6364" i="1" s="1"/>
  <c r="L6492" i="1"/>
  <c r="M6492" i="1" s="1"/>
  <c r="L6500" i="1"/>
  <c r="M6500" i="1" s="1"/>
  <c r="L6628" i="1"/>
  <c r="M6628" i="1" s="1"/>
  <c r="L6633" i="1"/>
  <c r="M6633" i="1" s="1"/>
  <c r="L6761" i="1"/>
  <c r="M6761" i="1" s="1"/>
  <c r="L6769" i="1"/>
  <c r="M6769" i="1" s="1"/>
  <c r="L6897" i="1"/>
  <c r="M6897" i="1" s="1"/>
  <c r="L6905" i="1"/>
  <c r="M6905" i="1" s="1"/>
  <c r="L7033" i="1"/>
  <c r="M7033" i="1" s="1"/>
  <c r="L7041" i="1"/>
  <c r="M7041" i="1" s="1"/>
  <c r="L7169" i="1"/>
  <c r="M7169" i="1" s="1"/>
  <c r="L7177" i="1"/>
  <c r="M7177" i="1" s="1"/>
  <c r="L6623" i="1"/>
  <c r="M6623" i="1" s="1"/>
  <c r="L6634" i="1"/>
  <c r="M6634" i="1" s="1"/>
  <c r="L6762" i="1"/>
  <c r="M6762" i="1" s="1"/>
  <c r="L6770" i="1"/>
  <c r="M6770" i="1" s="1"/>
  <c r="L6898" i="1"/>
  <c r="M6898" i="1" s="1"/>
  <c r="L6906" i="1"/>
  <c r="M6906" i="1" s="1"/>
  <c r="L6490" i="1"/>
  <c r="M6490" i="1" s="1"/>
  <c r="L6625" i="1"/>
  <c r="M6625" i="1" s="1"/>
  <c r="L6635" i="1"/>
  <c r="M6635" i="1" s="1"/>
  <c r="L6763" i="1"/>
  <c r="M6763" i="1" s="1"/>
  <c r="L6771" i="1"/>
  <c r="M6771" i="1" s="1"/>
  <c r="L6494" i="1"/>
  <c r="M6494" i="1" s="1"/>
  <c r="L6626" i="1"/>
  <c r="M6626" i="1" s="1"/>
  <c r="L6636" i="1"/>
  <c r="M6636" i="1" s="1"/>
  <c r="L6764" i="1"/>
  <c r="M6764" i="1" s="1"/>
  <c r="L6772" i="1"/>
  <c r="M6772" i="1" s="1"/>
  <c r="L6900" i="1"/>
  <c r="M6900" i="1" s="1"/>
  <c r="L6908" i="1"/>
  <c r="M6908" i="1" s="1"/>
  <c r="L7036" i="1"/>
  <c r="M7036" i="1" s="1"/>
  <c r="L7044" i="1"/>
  <c r="M7044" i="1" s="1"/>
  <c r="L7172" i="1"/>
  <c r="M7172" i="1" s="1"/>
  <c r="L7180" i="1"/>
  <c r="M7180" i="1" s="1"/>
  <c r="L7308" i="1"/>
  <c r="M7308" i="1" s="1"/>
  <c r="L7316" i="1"/>
  <c r="M7316" i="1" s="1"/>
  <c r="L6498" i="1"/>
  <c r="M6498" i="1" s="1"/>
  <c r="L6627" i="1"/>
  <c r="M6627" i="1" s="1"/>
  <c r="L6637" i="1"/>
  <c r="M6637" i="1" s="1"/>
  <c r="L6765" i="1"/>
  <c r="M6765" i="1" s="1"/>
  <c r="L6773" i="1"/>
  <c r="M6773" i="1" s="1"/>
  <c r="L6901" i="1"/>
  <c r="M6901" i="1" s="1"/>
  <c r="L6909" i="1"/>
  <c r="M6909" i="1" s="1"/>
  <c r="L7037" i="1"/>
  <c r="M7037" i="1" s="1"/>
  <c r="L7045" i="1"/>
  <c r="M7045" i="1" s="1"/>
  <c r="L7173" i="1"/>
  <c r="M7173" i="1" s="1"/>
  <c r="L7181" i="1"/>
  <c r="M7181" i="1" s="1"/>
  <c r="L6502" i="1"/>
  <c r="M6502" i="1" s="1"/>
  <c r="L6629" i="1"/>
  <c r="M6629" i="1" s="1"/>
  <c r="L6638" i="1"/>
  <c r="M6638" i="1" s="1"/>
  <c r="L6766" i="1"/>
  <c r="M6766" i="1" s="1"/>
  <c r="L6774" i="1"/>
  <c r="M6774" i="1" s="1"/>
  <c r="L6902" i="1"/>
  <c r="M6902" i="1" s="1"/>
  <c r="L6910" i="1"/>
  <c r="M6910" i="1" s="1"/>
  <c r="L7038" i="1"/>
  <c r="M7038" i="1" s="1"/>
  <c r="L7046" i="1"/>
  <c r="M7046" i="1" s="1"/>
  <c r="L7174" i="1"/>
  <c r="M7174" i="1" s="1"/>
  <c r="L6630" i="1"/>
  <c r="M6630" i="1" s="1"/>
  <c r="L6759" i="1"/>
  <c r="M6759" i="1" s="1"/>
  <c r="L6767" i="1"/>
  <c r="M6767" i="1" s="1"/>
  <c r="L6895" i="1"/>
  <c r="M6895" i="1" s="1"/>
  <c r="L6903" i="1"/>
  <c r="M6903" i="1" s="1"/>
  <c r="L7031" i="1"/>
  <c r="M7031" i="1" s="1"/>
  <c r="L7039" i="1"/>
  <c r="M7039" i="1" s="1"/>
  <c r="L6631" i="1"/>
  <c r="M6631" i="1" s="1"/>
  <c r="L6760" i="1"/>
  <c r="M6760" i="1" s="1"/>
  <c r="L6768" i="1"/>
  <c r="M6768" i="1" s="1"/>
  <c r="L6896" i="1"/>
  <c r="M6896" i="1" s="1"/>
  <c r="L6904" i="1"/>
  <c r="M6904" i="1" s="1"/>
  <c r="L7032" i="1"/>
  <c r="M7032" i="1" s="1"/>
  <c r="L7040" i="1"/>
  <c r="M7040" i="1" s="1"/>
  <c r="L7168" i="1"/>
  <c r="M7168" i="1" s="1"/>
  <c r="L7176" i="1"/>
  <c r="M7176" i="1" s="1"/>
  <c r="L7304" i="1"/>
  <c r="M7304" i="1" s="1"/>
  <c r="L7312" i="1"/>
  <c r="M7312" i="1" s="1"/>
  <c r="L7043" i="1"/>
  <c r="M7043" i="1" s="1"/>
  <c r="L7309" i="1"/>
  <c r="M7309" i="1" s="1"/>
  <c r="L7444" i="1"/>
  <c r="M7444" i="1" s="1"/>
  <c r="L7452" i="1"/>
  <c r="M7452" i="1" s="1"/>
  <c r="L7580" i="1"/>
  <c r="M7580" i="1" s="1"/>
  <c r="L7588" i="1"/>
  <c r="M7588" i="1" s="1"/>
  <c r="L7716" i="1"/>
  <c r="M7716" i="1" s="1"/>
  <c r="L7724" i="1"/>
  <c r="M7724" i="1" s="1"/>
  <c r="L7836" i="1"/>
  <c r="M7836" i="1" s="1"/>
  <c r="L7844" i="1"/>
  <c r="M7844" i="1" s="1"/>
  <c r="L7167" i="1"/>
  <c r="M7167" i="1" s="1"/>
  <c r="L7310" i="1"/>
  <c r="M7310" i="1" s="1"/>
  <c r="L7445" i="1"/>
  <c r="M7445" i="1" s="1"/>
  <c r="L7453" i="1"/>
  <c r="M7453" i="1" s="1"/>
  <c r="L7581" i="1"/>
  <c r="M7581" i="1" s="1"/>
  <c r="L7589" i="1"/>
  <c r="M7589" i="1" s="1"/>
  <c r="L7717" i="1"/>
  <c r="M7717" i="1" s="1"/>
  <c r="L7725" i="1"/>
  <c r="M7725" i="1" s="1"/>
  <c r="L7837" i="1"/>
  <c r="M7837" i="1" s="1"/>
  <c r="L7845" i="1"/>
  <c r="M7845" i="1" s="1"/>
  <c r="L7170" i="1"/>
  <c r="M7170" i="1" s="1"/>
  <c r="L7311" i="1"/>
  <c r="M7311" i="1" s="1"/>
  <c r="L7446" i="1"/>
  <c r="M7446" i="1" s="1"/>
  <c r="L7454" i="1"/>
  <c r="M7454" i="1" s="1"/>
  <c r="L7582" i="1"/>
  <c r="M7582" i="1" s="1"/>
  <c r="L7590" i="1"/>
  <c r="M7590" i="1" s="1"/>
  <c r="L7718" i="1"/>
  <c r="M7718" i="1" s="1"/>
  <c r="L7726" i="1"/>
  <c r="M7726" i="1" s="1"/>
  <c r="L7830" i="1"/>
  <c r="M7830" i="1" s="1"/>
  <c r="L7838" i="1"/>
  <c r="M7838" i="1" s="1"/>
  <c r="L7171" i="1"/>
  <c r="M7171" i="1" s="1"/>
  <c r="L7313" i="1"/>
  <c r="M7313" i="1" s="1"/>
  <c r="L7439" i="1"/>
  <c r="M7439" i="1" s="1"/>
  <c r="L7447" i="1"/>
  <c r="M7447" i="1" s="1"/>
  <c r="L7575" i="1"/>
  <c r="M7575" i="1" s="1"/>
  <c r="L7583" i="1"/>
  <c r="M7583" i="1" s="1"/>
  <c r="L7711" i="1"/>
  <c r="M7711" i="1" s="1"/>
  <c r="L7719" i="1"/>
  <c r="M7719" i="1" s="1"/>
  <c r="L7831" i="1"/>
  <c r="M7831" i="1" s="1"/>
  <c r="L7839" i="1"/>
  <c r="M7839" i="1" s="1"/>
  <c r="L7983" i="1"/>
  <c r="M7983" i="1" s="1"/>
  <c r="L7991" i="1"/>
  <c r="M7991" i="1" s="1"/>
  <c r="L6899" i="1"/>
  <c r="M6899" i="1" s="1"/>
  <c r="L7175" i="1"/>
  <c r="M7175" i="1" s="1"/>
  <c r="L7303" i="1"/>
  <c r="M7303" i="1" s="1"/>
  <c r="L7314" i="1"/>
  <c r="M7314" i="1" s="1"/>
  <c r="L7440" i="1"/>
  <c r="M7440" i="1" s="1"/>
  <c r="L7448" i="1"/>
  <c r="M7448" i="1" s="1"/>
  <c r="L7576" i="1"/>
  <c r="M7576" i="1" s="1"/>
  <c r="L7584" i="1"/>
  <c r="M7584" i="1" s="1"/>
  <c r="L7712" i="1"/>
  <c r="M7712" i="1" s="1"/>
  <c r="L7720" i="1"/>
  <c r="M7720" i="1" s="1"/>
  <c r="L7832" i="1"/>
  <c r="M7832" i="1" s="1"/>
  <c r="L7840" i="1"/>
  <c r="M7840" i="1" s="1"/>
  <c r="L6907" i="1"/>
  <c r="M6907" i="1" s="1"/>
  <c r="L7034" i="1"/>
  <c r="M7034" i="1" s="1"/>
  <c r="L7178" i="1"/>
  <c r="M7178" i="1" s="1"/>
  <c r="L7305" i="1"/>
  <c r="M7305" i="1" s="1"/>
  <c r="L7315" i="1"/>
  <c r="M7315" i="1" s="1"/>
  <c r="L7441" i="1"/>
  <c r="M7441" i="1" s="1"/>
  <c r="L7449" i="1"/>
  <c r="M7449" i="1" s="1"/>
  <c r="L7577" i="1"/>
  <c r="M7577" i="1" s="1"/>
  <c r="L7585" i="1"/>
  <c r="M7585" i="1" s="1"/>
  <c r="L7713" i="1"/>
  <c r="M7713" i="1" s="1"/>
  <c r="L7721" i="1"/>
  <c r="M7721" i="1" s="1"/>
  <c r="L7833" i="1"/>
  <c r="M7833" i="1" s="1"/>
  <c r="L7841" i="1"/>
  <c r="M7841" i="1" s="1"/>
  <c r="L7035" i="1"/>
  <c r="M7035" i="1" s="1"/>
  <c r="L7179" i="1"/>
  <c r="M7179" i="1" s="1"/>
  <c r="L7306" i="1"/>
  <c r="M7306" i="1" s="1"/>
  <c r="L7317" i="1"/>
  <c r="M7317" i="1" s="1"/>
  <c r="L7442" i="1"/>
  <c r="M7442" i="1" s="1"/>
  <c r="L7450" i="1"/>
  <c r="M7450" i="1" s="1"/>
  <c r="L7578" i="1"/>
  <c r="M7578" i="1" s="1"/>
  <c r="L7586" i="1"/>
  <c r="M7586" i="1" s="1"/>
  <c r="L7714" i="1"/>
  <c r="M7714" i="1" s="1"/>
  <c r="L7722" i="1"/>
  <c r="M7722" i="1" s="1"/>
  <c r="L7834" i="1"/>
  <c r="M7834" i="1" s="1"/>
  <c r="L7842" i="1"/>
  <c r="M7842" i="1" s="1"/>
  <c r="L7042" i="1"/>
  <c r="M7042" i="1" s="1"/>
  <c r="L7182" i="1"/>
  <c r="M7182" i="1" s="1"/>
  <c r="L7307" i="1"/>
  <c r="M7307" i="1" s="1"/>
  <c r="L7318" i="1"/>
  <c r="M7318" i="1" s="1"/>
  <c r="L7443" i="1"/>
  <c r="M7443" i="1" s="1"/>
  <c r="L7451" i="1"/>
  <c r="M7451" i="1" s="1"/>
  <c r="L7579" i="1"/>
  <c r="M7579" i="1" s="1"/>
  <c r="L7587" i="1"/>
  <c r="M7587" i="1" s="1"/>
  <c r="L7715" i="1"/>
  <c r="M7715" i="1" s="1"/>
  <c r="L7723" i="1"/>
  <c r="M7723" i="1" s="1"/>
  <c r="L7835" i="1"/>
  <c r="M7835" i="1" s="1"/>
  <c r="L7843" i="1"/>
  <c r="M7843" i="1" s="1"/>
  <c r="L7987" i="1"/>
  <c r="M7987" i="1" s="1"/>
  <c r="L7995" i="1"/>
  <c r="M7995" i="1" s="1"/>
  <c r="L7992" i="1"/>
  <c r="M7992" i="1" s="1"/>
  <c r="L8121" i="1"/>
  <c r="M8121" i="1" s="1"/>
  <c r="L8129" i="1"/>
  <c r="M8129" i="1" s="1"/>
  <c r="L8257" i="1"/>
  <c r="M8257" i="1" s="1"/>
  <c r="L8265" i="1"/>
  <c r="M8265" i="1" s="1"/>
  <c r="L8393" i="1"/>
  <c r="M8393" i="1" s="1"/>
  <c r="L8401" i="1"/>
  <c r="M8401" i="1" s="1"/>
  <c r="L8529" i="1"/>
  <c r="M8529" i="1" s="1"/>
  <c r="L8537" i="1"/>
  <c r="M8537" i="1" s="1"/>
  <c r="L7993" i="1"/>
  <c r="M7993" i="1" s="1"/>
  <c r="L8122" i="1"/>
  <c r="M8122" i="1" s="1"/>
  <c r="L8130" i="1"/>
  <c r="M8130" i="1" s="1"/>
  <c r="L8258" i="1"/>
  <c r="M8258" i="1" s="1"/>
  <c r="L8266" i="1"/>
  <c r="M8266" i="1" s="1"/>
  <c r="L8394" i="1"/>
  <c r="M8394" i="1" s="1"/>
  <c r="L8402" i="1"/>
  <c r="M8402" i="1" s="1"/>
  <c r="L8530" i="1"/>
  <c r="M8530" i="1" s="1"/>
  <c r="L8538" i="1"/>
  <c r="M8538" i="1" s="1"/>
  <c r="L7984" i="1"/>
  <c r="M7984" i="1" s="1"/>
  <c r="L7994" i="1"/>
  <c r="M7994" i="1" s="1"/>
  <c r="L8123" i="1"/>
  <c r="M8123" i="1" s="1"/>
  <c r="L8131" i="1"/>
  <c r="M8131" i="1" s="1"/>
  <c r="L8259" i="1"/>
  <c r="M8259" i="1" s="1"/>
  <c r="L8267" i="1"/>
  <c r="M8267" i="1" s="1"/>
  <c r="L8395" i="1"/>
  <c r="M8395" i="1" s="1"/>
  <c r="L8403" i="1"/>
  <c r="M8403" i="1" s="1"/>
  <c r="L8531" i="1"/>
  <c r="M8531" i="1" s="1"/>
  <c r="L8539" i="1"/>
  <c r="M8539" i="1" s="1"/>
  <c r="L7985" i="1"/>
  <c r="M7985" i="1" s="1"/>
  <c r="L7996" i="1"/>
  <c r="M7996" i="1" s="1"/>
  <c r="L8124" i="1"/>
  <c r="M8124" i="1" s="1"/>
  <c r="L8132" i="1"/>
  <c r="M8132" i="1" s="1"/>
  <c r="L8260" i="1"/>
  <c r="M8260" i="1" s="1"/>
  <c r="L8268" i="1"/>
  <c r="M8268" i="1" s="1"/>
  <c r="L8396" i="1"/>
  <c r="M8396" i="1" s="1"/>
  <c r="L8404" i="1"/>
  <c r="M8404" i="1" s="1"/>
  <c r="L8532" i="1"/>
  <c r="M8532" i="1" s="1"/>
  <c r="L8540" i="1"/>
  <c r="M8540" i="1" s="1"/>
  <c r="L8668" i="1"/>
  <c r="M8668" i="1" s="1"/>
  <c r="L8676" i="1"/>
  <c r="M8676" i="1" s="1"/>
  <c r="L7986" i="1"/>
  <c r="M7986" i="1" s="1"/>
  <c r="L7997" i="1"/>
  <c r="M7997" i="1" s="1"/>
  <c r="L8125" i="1"/>
  <c r="M8125" i="1" s="1"/>
  <c r="L8133" i="1"/>
  <c r="M8133" i="1" s="1"/>
  <c r="L8261" i="1"/>
  <c r="M8261" i="1" s="1"/>
  <c r="L8269" i="1"/>
  <c r="M8269" i="1" s="1"/>
  <c r="L8397" i="1"/>
  <c r="M8397" i="1" s="1"/>
  <c r="L8405" i="1"/>
  <c r="M8405" i="1" s="1"/>
  <c r="L8533" i="1"/>
  <c r="M8533" i="1" s="1"/>
  <c r="L8541" i="1"/>
  <c r="M8541" i="1" s="1"/>
  <c r="L7988" i="1"/>
  <c r="M7988" i="1" s="1"/>
  <c r="L7998" i="1"/>
  <c r="M7998" i="1" s="1"/>
  <c r="L8126" i="1"/>
  <c r="M8126" i="1" s="1"/>
  <c r="L8134" i="1"/>
  <c r="M8134" i="1" s="1"/>
  <c r="L8262" i="1"/>
  <c r="M8262" i="1" s="1"/>
  <c r="L8270" i="1"/>
  <c r="M8270" i="1" s="1"/>
  <c r="L8398" i="1"/>
  <c r="M8398" i="1" s="1"/>
  <c r="L8406" i="1"/>
  <c r="M8406" i="1" s="1"/>
  <c r="L8534" i="1"/>
  <c r="M8534" i="1" s="1"/>
  <c r="L8542" i="1"/>
  <c r="M8542" i="1" s="1"/>
  <c r="L7989" i="1"/>
  <c r="M7989" i="1" s="1"/>
  <c r="L8119" i="1"/>
  <c r="M8119" i="1" s="1"/>
  <c r="L8127" i="1"/>
  <c r="M8127" i="1" s="1"/>
  <c r="L8255" i="1"/>
  <c r="M8255" i="1" s="1"/>
  <c r="L8263" i="1"/>
  <c r="M8263" i="1" s="1"/>
  <c r="L8391" i="1"/>
  <c r="M8391" i="1" s="1"/>
  <c r="L8399" i="1"/>
  <c r="M8399" i="1" s="1"/>
  <c r="L8527" i="1"/>
  <c r="M8527" i="1" s="1"/>
  <c r="L8535" i="1"/>
  <c r="M8535" i="1" s="1"/>
  <c r="L7990" i="1"/>
  <c r="M7990" i="1" s="1"/>
  <c r="L8120" i="1"/>
  <c r="M8120" i="1" s="1"/>
  <c r="L8128" i="1"/>
  <c r="M8128" i="1" s="1"/>
  <c r="L8256" i="1"/>
  <c r="M8256" i="1" s="1"/>
  <c r="L8264" i="1"/>
  <c r="M8264" i="1" s="1"/>
  <c r="L8392" i="1"/>
  <c r="M8392" i="1" s="1"/>
  <c r="L8400" i="1"/>
  <c r="M8400" i="1" s="1"/>
  <c r="L8528" i="1"/>
  <c r="M8528" i="1" s="1"/>
  <c r="L8536" i="1"/>
  <c r="M8536" i="1" s="1"/>
  <c r="L8664" i="1"/>
  <c r="M8664" i="1" s="1"/>
  <c r="L8672" i="1"/>
  <c r="M8672" i="1" s="1"/>
  <c r="L8673" i="1"/>
  <c r="M8673" i="1" s="1"/>
  <c r="L8799" i="1"/>
  <c r="M8799" i="1" s="1"/>
  <c r="L8807" i="1"/>
  <c r="M8807" i="1" s="1"/>
  <c r="L8935" i="1"/>
  <c r="M8935" i="1" s="1"/>
  <c r="L8943" i="1"/>
  <c r="M8943" i="1" s="1"/>
  <c r="L9071" i="1"/>
  <c r="M9071" i="1" s="1"/>
  <c r="L9079" i="1"/>
  <c r="M9079" i="1" s="1"/>
  <c r="L9207" i="1"/>
  <c r="M9207" i="1" s="1"/>
  <c r="L9215" i="1"/>
  <c r="M9215" i="1" s="1"/>
  <c r="L8663" i="1"/>
  <c r="M8663" i="1" s="1"/>
  <c r="L8674" i="1"/>
  <c r="M8674" i="1" s="1"/>
  <c r="L8800" i="1"/>
  <c r="M8800" i="1" s="1"/>
  <c r="L8808" i="1"/>
  <c r="M8808" i="1" s="1"/>
  <c r="L8936" i="1"/>
  <c r="M8936" i="1" s="1"/>
  <c r="L8944" i="1"/>
  <c r="M8944" i="1" s="1"/>
  <c r="L9072" i="1"/>
  <c r="M9072" i="1" s="1"/>
  <c r="L9080" i="1"/>
  <c r="M9080" i="1" s="1"/>
  <c r="L9208" i="1"/>
  <c r="M9208" i="1" s="1"/>
  <c r="L9216" i="1"/>
  <c r="M9216" i="1" s="1"/>
  <c r="L8665" i="1"/>
  <c r="M8665" i="1" s="1"/>
  <c r="L8675" i="1"/>
  <c r="M8675" i="1" s="1"/>
  <c r="L8801" i="1"/>
  <c r="M8801" i="1" s="1"/>
  <c r="L8809" i="1"/>
  <c r="M8809" i="1" s="1"/>
  <c r="L8937" i="1"/>
  <c r="M8937" i="1" s="1"/>
  <c r="L8945" i="1"/>
  <c r="M8945" i="1" s="1"/>
  <c r="L9073" i="1"/>
  <c r="M9073" i="1" s="1"/>
  <c r="L9081" i="1"/>
  <c r="M9081" i="1" s="1"/>
  <c r="L9209" i="1"/>
  <c r="M9209" i="1" s="1"/>
  <c r="L9217" i="1"/>
  <c r="M9217" i="1" s="1"/>
  <c r="L8666" i="1"/>
  <c r="M8666" i="1" s="1"/>
  <c r="L8677" i="1"/>
  <c r="M8677" i="1" s="1"/>
  <c r="L8802" i="1"/>
  <c r="M8802" i="1" s="1"/>
  <c r="L8810" i="1"/>
  <c r="M8810" i="1" s="1"/>
  <c r="L8938" i="1"/>
  <c r="M8938" i="1" s="1"/>
  <c r="L8946" i="1"/>
  <c r="M8946" i="1" s="1"/>
  <c r="L9074" i="1"/>
  <c r="M9074" i="1" s="1"/>
  <c r="L9082" i="1"/>
  <c r="M9082" i="1" s="1"/>
  <c r="L9210" i="1"/>
  <c r="M9210" i="1" s="1"/>
  <c r="L9218" i="1"/>
  <c r="M9218" i="1" s="1"/>
  <c r="L9346" i="1"/>
  <c r="M9346" i="1" s="1"/>
  <c r="L9354" i="1"/>
  <c r="M9354" i="1" s="1"/>
  <c r="L8667" i="1"/>
  <c r="M8667" i="1" s="1"/>
  <c r="L8678" i="1"/>
  <c r="M8678" i="1" s="1"/>
  <c r="L8803" i="1"/>
  <c r="M8803" i="1" s="1"/>
  <c r="L8811" i="1"/>
  <c r="M8811" i="1" s="1"/>
  <c r="L8939" i="1"/>
  <c r="M8939" i="1" s="1"/>
  <c r="L8947" i="1"/>
  <c r="M8947" i="1" s="1"/>
  <c r="L9075" i="1"/>
  <c r="M9075" i="1" s="1"/>
  <c r="L9083" i="1"/>
  <c r="M9083" i="1" s="1"/>
  <c r="L9211" i="1"/>
  <c r="M9211" i="1" s="1"/>
  <c r="L9219" i="1"/>
  <c r="M9219" i="1" s="1"/>
  <c r="L8669" i="1"/>
  <c r="M8669" i="1" s="1"/>
  <c r="L8804" i="1"/>
  <c r="M8804" i="1" s="1"/>
  <c r="L8812" i="1"/>
  <c r="M8812" i="1" s="1"/>
  <c r="L8940" i="1"/>
  <c r="M8940" i="1" s="1"/>
  <c r="L8948" i="1"/>
  <c r="M8948" i="1" s="1"/>
  <c r="L9076" i="1"/>
  <c r="M9076" i="1" s="1"/>
  <c r="L9084" i="1"/>
  <c r="M9084" i="1" s="1"/>
  <c r="L9212" i="1"/>
  <c r="M9212" i="1" s="1"/>
  <c r="L9220" i="1"/>
  <c r="M9220" i="1" s="1"/>
  <c r="L8670" i="1"/>
  <c r="M8670" i="1" s="1"/>
  <c r="L8805" i="1"/>
  <c r="M8805" i="1" s="1"/>
  <c r="L8813" i="1"/>
  <c r="M8813" i="1" s="1"/>
  <c r="L8941" i="1"/>
  <c r="M8941" i="1" s="1"/>
  <c r="L8949" i="1"/>
  <c r="M8949" i="1" s="1"/>
  <c r="L9077" i="1"/>
  <c r="M9077" i="1" s="1"/>
  <c r="L9085" i="1"/>
  <c r="M9085" i="1" s="1"/>
  <c r="L9213" i="1"/>
  <c r="M9213" i="1" s="1"/>
  <c r="L9221" i="1"/>
  <c r="M9221" i="1" s="1"/>
  <c r="L8671" i="1"/>
  <c r="M8671" i="1" s="1"/>
  <c r="L8806" i="1"/>
  <c r="M8806" i="1" s="1"/>
  <c r="L8814" i="1"/>
  <c r="M8814" i="1" s="1"/>
  <c r="L8942" i="1"/>
  <c r="M8942" i="1" s="1"/>
  <c r="L8950" i="1"/>
  <c r="M8950" i="1" s="1"/>
  <c r="L9078" i="1"/>
  <c r="M9078" i="1" s="1"/>
  <c r="L9086" i="1"/>
  <c r="M9086" i="1" s="1"/>
  <c r="L9214" i="1"/>
  <c r="M9214" i="1" s="1"/>
  <c r="L9222" i="1"/>
  <c r="M9222" i="1" s="1"/>
  <c r="L9350" i="1"/>
  <c r="M9350" i="1" s="1"/>
  <c r="L9358" i="1"/>
  <c r="M9358" i="1" s="1"/>
  <c r="L9343" i="1"/>
  <c r="M9343" i="1" s="1"/>
  <c r="L9353" i="1"/>
  <c r="M9353" i="1" s="1"/>
  <c r="L9480" i="1"/>
  <c r="M9480" i="1" s="1"/>
  <c r="L9488" i="1"/>
  <c r="M9488" i="1" s="1"/>
  <c r="L9616" i="1"/>
  <c r="M9616" i="1" s="1"/>
  <c r="L9624" i="1"/>
  <c r="M9624" i="1" s="1"/>
  <c r="L9752" i="1"/>
  <c r="M9752" i="1" s="1"/>
  <c r="L9760" i="1"/>
  <c r="M9760" i="1" s="1"/>
  <c r="L9888" i="1"/>
  <c r="M9888" i="1" s="1"/>
  <c r="L9896" i="1"/>
  <c r="M9896" i="1" s="1"/>
  <c r="L10024" i="1"/>
  <c r="M10024" i="1" s="1"/>
  <c r="L10032" i="1"/>
  <c r="M10032" i="1" s="1"/>
  <c r="L9344" i="1"/>
  <c r="M9344" i="1" s="1"/>
  <c r="L9355" i="1"/>
  <c r="M9355" i="1" s="1"/>
  <c r="L9481" i="1"/>
  <c r="M9481" i="1" s="1"/>
  <c r="L9489" i="1"/>
  <c r="M9489" i="1" s="1"/>
  <c r="L9617" i="1"/>
  <c r="M9617" i="1" s="1"/>
  <c r="L9625" i="1"/>
  <c r="M9625" i="1" s="1"/>
  <c r="L9753" i="1"/>
  <c r="M9753" i="1" s="1"/>
  <c r="L9761" i="1"/>
  <c r="M9761" i="1" s="1"/>
  <c r="L9889" i="1"/>
  <c r="M9889" i="1" s="1"/>
  <c r="L9897" i="1"/>
  <c r="M9897" i="1" s="1"/>
  <c r="L10025" i="1"/>
  <c r="M10025" i="1" s="1"/>
  <c r="L10033" i="1"/>
  <c r="M10033" i="1" s="1"/>
  <c r="L9345" i="1"/>
  <c r="M9345" i="1" s="1"/>
  <c r="L9356" i="1"/>
  <c r="M9356" i="1" s="1"/>
  <c r="L9482" i="1"/>
  <c r="M9482" i="1" s="1"/>
  <c r="L9490" i="1"/>
  <c r="M9490" i="1" s="1"/>
  <c r="L9618" i="1"/>
  <c r="M9618" i="1" s="1"/>
  <c r="L9626" i="1"/>
  <c r="M9626" i="1" s="1"/>
  <c r="L9754" i="1"/>
  <c r="M9754" i="1" s="1"/>
  <c r="L9762" i="1"/>
  <c r="M9762" i="1" s="1"/>
  <c r="L9890" i="1"/>
  <c r="M9890" i="1" s="1"/>
  <c r="L9898" i="1"/>
  <c r="M9898" i="1" s="1"/>
  <c r="L10026" i="1"/>
  <c r="M10026" i="1" s="1"/>
  <c r="L9347" i="1"/>
  <c r="M9347" i="1" s="1"/>
  <c r="L9357" i="1"/>
  <c r="M9357" i="1" s="1"/>
  <c r="L9483" i="1"/>
  <c r="M9483" i="1" s="1"/>
  <c r="L9491" i="1"/>
  <c r="M9491" i="1" s="1"/>
  <c r="L9619" i="1"/>
  <c r="M9619" i="1" s="1"/>
  <c r="L9627" i="1"/>
  <c r="M9627" i="1" s="1"/>
  <c r="L9755" i="1"/>
  <c r="M9755" i="1" s="1"/>
  <c r="L9763" i="1"/>
  <c r="M9763" i="1" s="1"/>
  <c r="L9891" i="1"/>
  <c r="M9891" i="1" s="1"/>
  <c r="L9899" i="1"/>
  <c r="M9899" i="1" s="1"/>
  <c r="L10027" i="1"/>
  <c r="M10027" i="1" s="1"/>
  <c r="L10035" i="1"/>
  <c r="M10035" i="1" s="1"/>
  <c r="L10163" i="1"/>
  <c r="M10163" i="1" s="1"/>
  <c r="L10171" i="1"/>
  <c r="M10171" i="1" s="1"/>
  <c r="L9348" i="1"/>
  <c r="M9348" i="1" s="1"/>
  <c r="L9484" i="1"/>
  <c r="M9484" i="1" s="1"/>
  <c r="L9492" i="1"/>
  <c r="M9492" i="1" s="1"/>
  <c r="L9620" i="1"/>
  <c r="M9620" i="1" s="1"/>
  <c r="L9628" i="1"/>
  <c r="M9628" i="1" s="1"/>
  <c r="L9756" i="1"/>
  <c r="M9756" i="1" s="1"/>
  <c r="L9764" i="1"/>
  <c r="M9764" i="1" s="1"/>
  <c r="L9892" i="1"/>
  <c r="M9892" i="1" s="1"/>
  <c r="L9900" i="1"/>
  <c r="M9900" i="1" s="1"/>
  <c r="L10028" i="1"/>
  <c r="M10028" i="1" s="1"/>
  <c r="L10036" i="1"/>
  <c r="M10036" i="1" s="1"/>
  <c r="L9349" i="1"/>
  <c r="M9349" i="1" s="1"/>
  <c r="L9485" i="1"/>
  <c r="M9485" i="1" s="1"/>
  <c r="L9493" i="1"/>
  <c r="M9493" i="1" s="1"/>
  <c r="L9621" i="1"/>
  <c r="M9621" i="1" s="1"/>
  <c r="L9629" i="1"/>
  <c r="M9629" i="1" s="1"/>
  <c r="L9757" i="1"/>
  <c r="M9757" i="1" s="1"/>
  <c r="L9765" i="1"/>
  <c r="M9765" i="1" s="1"/>
  <c r="L9893" i="1"/>
  <c r="M9893" i="1" s="1"/>
  <c r="L9901" i="1"/>
  <c r="M9901" i="1" s="1"/>
  <c r="L10029" i="1"/>
  <c r="M10029" i="1" s="1"/>
  <c r="L9351" i="1"/>
  <c r="M9351" i="1" s="1"/>
  <c r="L9486" i="1"/>
  <c r="M9486" i="1" s="1"/>
  <c r="L9494" i="1"/>
  <c r="M9494" i="1" s="1"/>
  <c r="L9622" i="1"/>
  <c r="M9622" i="1" s="1"/>
  <c r="L9630" i="1"/>
  <c r="M9630" i="1" s="1"/>
  <c r="L9758" i="1"/>
  <c r="M9758" i="1" s="1"/>
  <c r="L9766" i="1"/>
  <c r="M9766" i="1" s="1"/>
  <c r="L9894" i="1"/>
  <c r="M9894" i="1" s="1"/>
  <c r="L9902" i="1"/>
  <c r="M9902" i="1" s="1"/>
  <c r="L10030" i="1"/>
  <c r="M10030" i="1" s="1"/>
  <c r="L9352" i="1"/>
  <c r="M9352" i="1" s="1"/>
  <c r="L9479" i="1"/>
  <c r="M9479" i="1" s="1"/>
  <c r="L9487" i="1"/>
  <c r="M9487" i="1" s="1"/>
  <c r="L9615" i="1"/>
  <c r="M9615" i="1" s="1"/>
  <c r="L9623" i="1"/>
  <c r="M9623" i="1" s="1"/>
  <c r="L9751" i="1"/>
  <c r="M9751" i="1" s="1"/>
  <c r="L9759" i="1"/>
  <c r="M9759" i="1" s="1"/>
  <c r="L9887" i="1"/>
  <c r="M9887" i="1" s="1"/>
  <c r="L9895" i="1"/>
  <c r="M9895" i="1" s="1"/>
  <c r="L10023" i="1"/>
  <c r="M10023" i="1" s="1"/>
  <c r="L10031" i="1"/>
  <c r="M10031" i="1" s="1"/>
  <c r="L10159" i="1"/>
  <c r="M10159" i="1" s="1"/>
  <c r="L10167" i="1"/>
  <c r="M10167" i="1" s="1"/>
  <c r="L10034" i="1"/>
  <c r="M10034" i="1" s="1"/>
  <c r="L10160" i="1"/>
  <c r="M10160" i="1" s="1"/>
  <c r="L10170" i="1"/>
  <c r="M10170" i="1" s="1"/>
  <c r="L10297" i="1"/>
  <c r="M10297" i="1" s="1"/>
  <c r="L10305" i="1"/>
  <c r="M10305" i="1" s="1"/>
  <c r="L10433" i="1"/>
  <c r="M10433" i="1" s="1"/>
  <c r="L10441" i="1"/>
  <c r="M10441" i="1" s="1"/>
  <c r="L10573" i="1"/>
  <c r="M10573" i="1" s="1"/>
  <c r="L10581" i="1"/>
  <c r="M10581" i="1" s="1"/>
  <c r="L10709" i="1"/>
  <c r="M10709" i="1" s="1"/>
  <c r="L10717" i="1"/>
  <c r="M10717" i="1" s="1"/>
  <c r="L10845" i="1"/>
  <c r="M10845" i="1" s="1"/>
  <c r="L10853" i="1"/>
  <c r="M10853" i="1" s="1"/>
  <c r="L10981" i="1"/>
  <c r="M10981" i="1" s="1"/>
  <c r="L10989" i="1"/>
  <c r="M10989" i="1" s="1"/>
  <c r="L11117" i="1"/>
  <c r="M11117" i="1" s="1"/>
  <c r="L11125" i="1"/>
  <c r="M11125" i="1" s="1"/>
  <c r="L11253" i="1"/>
  <c r="M11253" i="1" s="1"/>
  <c r="L11261" i="1"/>
  <c r="M11261" i="1" s="1"/>
  <c r="L11389" i="1"/>
  <c r="M11389" i="1" s="1"/>
  <c r="L11397" i="1"/>
  <c r="M11397" i="1" s="1"/>
  <c r="L10037" i="1"/>
  <c r="M10037" i="1" s="1"/>
  <c r="L10161" i="1"/>
  <c r="M10161" i="1" s="1"/>
  <c r="L10172" i="1"/>
  <c r="M10172" i="1" s="1"/>
  <c r="L10298" i="1"/>
  <c r="M10298" i="1" s="1"/>
  <c r="L10306" i="1"/>
  <c r="M10306" i="1" s="1"/>
  <c r="L10434" i="1"/>
  <c r="M10434" i="1" s="1"/>
  <c r="L10442" i="1"/>
  <c r="M10442" i="1" s="1"/>
  <c r="L10574" i="1"/>
  <c r="M10574" i="1" s="1"/>
  <c r="L10582" i="1"/>
  <c r="M10582" i="1" s="1"/>
  <c r="L10710" i="1"/>
  <c r="M10710" i="1" s="1"/>
  <c r="L10718" i="1"/>
  <c r="M10718" i="1" s="1"/>
  <c r="L10846" i="1"/>
  <c r="M10846" i="1" s="1"/>
  <c r="L10854" i="1"/>
  <c r="M10854" i="1" s="1"/>
  <c r="L10982" i="1"/>
  <c r="M10982" i="1" s="1"/>
  <c r="L10990" i="1"/>
  <c r="M10990" i="1" s="1"/>
  <c r="L11118" i="1"/>
  <c r="M11118" i="1" s="1"/>
  <c r="L11126" i="1"/>
  <c r="M11126" i="1" s="1"/>
  <c r="L11254" i="1"/>
  <c r="M11254" i="1" s="1"/>
  <c r="L11262" i="1"/>
  <c r="M11262" i="1" s="1"/>
  <c r="L11390" i="1"/>
  <c r="M11390" i="1" s="1"/>
  <c r="L11398" i="1"/>
  <c r="M11398" i="1" s="1"/>
  <c r="L10038" i="1"/>
  <c r="M10038" i="1" s="1"/>
  <c r="L10162" i="1"/>
  <c r="M10162" i="1" s="1"/>
  <c r="L10173" i="1"/>
  <c r="M10173" i="1" s="1"/>
  <c r="L10299" i="1"/>
  <c r="M10299" i="1" s="1"/>
  <c r="L10307" i="1"/>
  <c r="M10307" i="1" s="1"/>
  <c r="L10435" i="1"/>
  <c r="M10435" i="1" s="1"/>
  <c r="L10443" i="1"/>
  <c r="M10443" i="1" s="1"/>
  <c r="L10567" i="1"/>
  <c r="M10567" i="1" s="1"/>
  <c r="L10575" i="1"/>
  <c r="M10575" i="1" s="1"/>
  <c r="L10703" i="1"/>
  <c r="M10703" i="1" s="1"/>
  <c r="L10711" i="1"/>
  <c r="M10711" i="1" s="1"/>
  <c r="L10839" i="1"/>
  <c r="M10839" i="1" s="1"/>
  <c r="L10847" i="1"/>
  <c r="M10847" i="1" s="1"/>
  <c r="L10975" i="1"/>
  <c r="M10975" i="1" s="1"/>
  <c r="L10983" i="1"/>
  <c r="M10983" i="1" s="1"/>
  <c r="L11111" i="1"/>
  <c r="M11111" i="1" s="1"/>
  <c r="L11119" i="1"/>
  <c r="M11119" i="1" s="1"/>
  <c r="L11247" i="1"/>
  <c r="M11247" i="1" s="1"/>
  <c r="L11255" i="1"/>
  <c r="M11255" i="1" s="1"/>
  <c r="L11383" i="1"/>
  <c r="M11383" i="1" s="1"/>
  <c r="L11391" i="1"/>
  <c r="M11391" i="1" s="1"/>
  <c r="L10164" i="1"/>
  <c r="M10164" i="1" s="1"/>
  <c r="L10174" i="1"/>
  <c r="M10174" i="1" s="1"/>
  <c r="L10300" i="1"/>
  <c r="M10300" i="1" s="1"/>
  <c r="L10308" i="1"/>
  <c r="M10308" i="1" s="1"/>
  <c r="L10436" i="1"/>
  <c r="M10436" i="1" s="1"/>
  <c r="L10444" i="1"/>
  <c r="M10444" i="1" s="1"/>
  <c r="L10568" i="1"/>
  <c r="M10568" i="1" s="1"/>
  <c r="L10576" i="1"/>
  <c r="M10576" i="1" s="1"/>
  <c r="L10704" i="1"/>
  <c r="M10704" i="1" s="1"/>
  <c r="L10712" i="1"/>
  <c r="M10712" i="1" s="1"/>
  <c r="L10840" i="1"/>
  <c r="M10840" i="1" s="1"/>
  <c r="L10848" i="1"/>
  <c r="M10848" i="1" s="1"/>
  <c r="L10976" i="1"/>
  <c r="M10976" i="1" s="1"/>
  <c r="L10984" i="1"/>
  <c r="M10984" i="1" s="1"/>
  <c r="L11112" i="1"/>
  <c r="M11112" i="1" s="1"/>
  <c r="L11120" i="1"/>
  <c r="M11120" i="1" s="1"/>
  <c r="L11248" i="1"/>
  <c r="M11248" i="1" s="1"/>
  <c r="L11256" i="1"/>
  <c r="M11256" i="1" s="1"/>
  <c r="L11384" i="1"/>
  <c r="M11384" i="1" s="1"/>
  <c r="L11392" i="1"/>
  <c r="M11392" i="1" s="1"/>
  <c r="L11520" i="1"/>
  <c r="M11520" i="1" s="1"/>
  <c r="L11528" i="1"/>
  <c r="M11528" i="1" s="1"/>
  <c r="L10165" i="1"/>
  <c r="M10165" i="1" s="1"/>
  <c r="L10301" i="1"/>
  <c r="M10301" i="1" s="1"/>
  <c r="L10309" i="1"/>
  <c r="M10309" i="1" s="1"/>
  <c r="L10437" i="1"/>
  <c r="M10437" i="1" s="1"/>
  <c r="L10445" i="1"/>
  <c r="M10445" i="1" s="1"/>
  <c r="L10569" i="1"/>
  <c r="M10569" i="1" s="1"/>
  <c r="L10577" i="1"/>
  <c r="M10577" i="1" s="1"/>
  <c r="L10705" i="1"/>
  <c r="M10705" i="1" s="1"/>
  <c r="L10713" i="1"/>
  <c r="M10713" i="1" s="1"/>
  <c r="L10841" i="1"/>
  <c r="M10841" i="1" s="1"/>
  <c r="L10849" i="1"/>
  <c r="M10849" i="1" s="1"/>
  <c r="L10977" i="1"/>
  <c r="M10977" i="1" s="1"/>
  <c r="L10985" i="1"/>
  <c r="M10985" i="1" s="1"/>
  <c r="L11113" i="1"/>
  <c r="M11113" i="1" s="1"/>
  <c r="L11121" i="1"/>
  <c r="M11121" i="1" s="1"/>
  <c r="L11249" i="1"/>
  <c r="M11249" i="1" s="1"/>
  <c r="L11257" i="1"/>
  <c r="M11257" i="1" s="1"/>
  <c r="L11385" i="1"/>
  <c r="M11385" i="1" s="1"/>
  <c r="L11393" i="1"/>
  <c r="M11393" i="1" s="1"/>
  <c r="L10166" i="1"/>
  <c r="M10166" i="1" s="1"/>
  <c r="L10302" i="1"/>
  <c r="M10302" i="1" s="1"/>
  <c r="L10310" i="1"/>
  <c r="M10310" i="1" s="1"/>
  <c r="L10438" i="1"/>
  <c r="M10438" i="1" s="1"/>
  <c r="L10446" i="1"/>
  <c r="M10446" i="1" s="1"/>
  <c r="L10570" i="1"/>
  <c r="M10570" i="1" s="1"/>
  <c r="L10578" i="1"/>
  <c r="M10578" i="1" s="1"/>
  <c r="L10706" i="1"/>
  <c r="M10706" i="1" s="1"/>
  <c r="L10714" i="1"/>
  <c r="M10714" i="1" s="1"/>
  <c r="L10842" i="1"/>
  <c r="M10842" i="1" s="1"/>
  <c r="L10850" i="1"/>
  <c r="M10850" i="1" s="1"/>
  <c r="L10978" i="1"/>
  <c r="M10978" i="1" s="1"/>
  <c r="L10986" i="1"/>
  <c r="M10986" i="1" s="1"/>
  <c r="L11114" i="1"/>
  <c r="M11114" i="1" s="1"/>
  <c r="L11122" i="1"/>
  <c r="M11122" i="1" s="1"/>
  <c r="L11250" i="1"/>
  <c r="M11250" i="1" s="1"/>
  <c r="L11258" i="1"/>
  <c r="M11258" i="1" s="1"/>
  <c r="L11386" i="1"/>
  <c r="M11386" i="1" s="1"/>
  <c r="L11394" i="1"/>
  <c r="M11394" i="1" s="1"/>
  <c r="L10168" i="1"/>
  <c r="M10168" i="1" s="1"/>
  <c r="L10295" i="1"/>
  <c r="M10295" i="1" s="1"/>
  <c r="L10303" i="1"/>
  <c r="M10303" i="1" s="1"/>
  <c r="L10431" i="1"/>
  <c r="M10431" i="1" s="1"/>
  <c r="L10439" i="1"/>
  <c r="M10439" i="1" s="1"/>
  <c r="L10571" i="1"/>
  <c r="M10571" i="1" s="1"/>
  <c r="L10579" i="1"/>
  <c r="M10579" i="1" s="1"/>
  <c r="L10707" i="1"/>
  <c r="M10707" i="1" s="1"/>
  <c r="L10715" i="1"/>
  <c r="M10715" i="1" s="1"/>
  <c r="L10843" i="1"/>
  <c r="M10843" i="1" s="1"/>
  <c r="L10851" i="1"/>
  <c r="M10851" i="1" s="1"/>
  <c r="L10979" i="1"/>
  <c r="M10979" i="1" s="1"/>
  <c r="L10987" i="1"/>
  <c r="M10987" i="1" s="1"/>
  <c r="L11115" i="1"/>
  <c r="M11115" i="1" s="1"/>
  <c r="L11123" i="1"/>
  <c r="M11123" i="1" s="1"/>
  <c r="L11251" i="1"/>
  <c r="M11251" i="1" s="1"/>
  <c r="L11259" i="1"/>
  <c r="M11259" i="1" s="1"/>
  <c r="L11387" i="1"/>
  <c r="M11387" i="1" s="1"/>
  <c r="L11395" i="1"/>
  <c r="M11395" i="1" s="1"/>
  <c r="L10169" i="1"/>
  <c r="M10169" i="1" s="1"/>
  <c r="L10296" i="1"/>
  <c r="M10296" i="1" s="1"/>
  <c r="L10304" i="1"/>
  <c r="M10304" i="1" s="1"/>
  <c r="L10432" i="1"/>
  <c r="M10432" i="1" s="1"/>
  <c r="L10440" i="1"/>
  <c r="M10440" i="1" s="1"/>
  <c r="L10572" i="1"/>
  <c r="M10572" i="1" s="1"/>
  <c r="L10580" i="1"/>
  <c r="M10580" i="1" s="1"/>
  <c r="L10708" i="1"/>
  <c r="M10708" i="1" s="1"/>
  <c r="L10716" i="1"/>
  <c r="M10716" i="1" s="1"/>
  <c r="L10844" i="1"/>
  <c r="M10844" i="1" s="1"/>
  <c r="L10852" i="1"/>
  <c r="M10852" i="1" s="1"/>
  <c r="L10980" i="1"/>
  <c r="M10980" i="1" s="1"/>
  <c r="L10988" i="1"/>
  <c r="M10988" i="1" s="1"/>
  <c r="L11116" i="1"/>
  <c r="M11116" i="1" s="1"/>
  <c r="L11124" i="1"/>
  <c r="M11124" i="1" s="1"/>
  <c r="L11252" i="1"/>
  <c r="M11252" i="1" s="1"/>
  <c r="L11260" i="1"/>
  <c r="M11260" i="1" s="1"/>
  <c r="L11388" i="1"/>
  <c r="M11388" i="1" s="1"/>
  <c r="L11396" i="1"/>
  <c r="M11396" i="1" s="1"/>
  <c r="L11524" i="1"/>
  <c r="M11524" i="1" s="1"/>
  <c r="L11532" i="1"/>
  <c r="M11532" i="1" s="1"/>
  <c r="L11521" i="1"/>
  <c r="M11521" i="1" s="1"/>
  <c r="L11531" i="1"/>
  <c r="M11531" i="1" s="1"/>
  <c r="L11658" i="1"/>
  <c r="M11658" i="1" s="1"/>
  <c r="L11666" i="1"/>
  <c r="M11666" i="1" s="1"/>
  <c r="L11794" i="1"/>
  <c r="M11794" i="1" s="1"/>
  <c r="L11802" i="1"/>
  <c r="M11802" i="1" s="1"/>
  <c r="L11930" i="1"/>
  <c r="M11930" i="1" s="1"/>
  <c r="L11938" i="1"/>
  <c r="M11938" i="1" s="1"/>
  <c r="L12066" i="1"/>
  <c r="M12066" i="1" s="1"/>
  <c r="L12074" i="1"/>
  <c r="M12074" i="1" s="1"/>
  <c r="L12202" i="1"/>
  <c r="M12202" i="1" s="1"/>
  <c r="L12210" i="1"/>
  <c r="M12210" i="1" s="1"/>
  <c r="L12338" i="1"/>
  <c r="M12338" i="1" s="1"/>
  <c r="L12346" i="1"/>
  <c r="M12346" i="1" s="1"/>
  <c r="L12474" i="1"/>
  <c r="M12474" i="1" s="1"/>
  <c r="L12482" i="1"/>
  <c r="M12482" i="1" s="1"/>
  <c r="L12610" i="1"/>
  <c r="M12610" i="1" s="1"/>
  <c r="L12618" i="1"/>
  <c r="M12618" i="1" s="1"/>
  <c r="L12746" i="1"/>
  <c r="M12746" i="1" s="1"/>
  <c r="L12754" i="1"/>
  <c r="M12754" i="1" s="1"/>
  <c r="L12882" i="1"/>
  <c r="M12882" i="1" s="1"/>
  <c r="L12890" i="1"/>
  <c r="M12890" i="1" s="1"/>
  <c r="L11523" i="1"/>
  <c r="M11523" i="1" s="1"/>
  <c r="L11534" i="1"/>
  <c r="M11534" i="1" s="1"/>
  <c r="L11660" i="1"/>
  <c r="M11660" i="1" s="1"/>
  <c r="L11668" i="1"/>
  <c r="M11668" i="1" s="1"/>
  <c r="L11796" i="1"/>
  <c r="M11796" i="1" s="1"/>
  <c r="L11804" i="1"/>
  <c r="M11804" i="1" s="1"/>
  <c r="L11932" i="1"/>
  <c r="M11932" i="1" s="1"/>
  <c r="L11940" i="1"/>
  <c r="M11940" i="1" s="1"/>
  <c r="L12068" i="1"/>
  <c r="M12068" i="1" s="1"/>
  <c r="L12076" i="1"/>
  <c r="M12076" i="1" s="1"/>
  <c r="L12204" i="1"/>
  <c r="M12204" i="1" s="1"/>
  <c r="L12212" i="1"/>
  <c r="M12212" i="1" s="1"/>
  <c r="L12340" i="1"/>
  <c r="M12340" i="1" s="1"/>
  <c r="L12348" i="1"/>
  <c r="M12348" i="1" s="1"/>
  <c r="L12476" i="1"/>
  <c r="M12476" i="1" s="1"/>
  <c r="L12484" i="1"/>
  <c r="M12484" i="1" s="1"/>
  <c r="L12612" i="1"/>
  <c r="M12612" i="1" s="1"/>
  <c r="L12620" i="1"/>
  <c r="M12620" i="1" s="1"/>
  <c r="L12748" i="1"/>
  <c r="M12748" i="1" s="1"/>
  <c r="L12756" i="1"/>
  <c r="M12756" i="1" s="1"/>
  <c r="L12884" i="1"/>
  <c r="M12884" i="1" s="1"/>
  <c r="L12892" i="1"/>
  <c r="M12892" i="1" s="1"/>
  <c r="L11525" i="1"/>
  <c r="M11525" i="1" s="1"/>
  <c r="L11661" i="1"/>
  <c r="M11661" i="1" s="1"/>
  <c r="L11669" i="1"/>
  <c r="M11669" i="1" s="1"/>
  <c r="L11797" i="1"/>
  <c r="M11797" i="1" s="1"/>
  <c r="L11805" i="1"/>
  <c r="M11805" i="1" s="1"/>
  <c r="L11933" i="1"/>
  <c r="M11933" i="1" s="1"/>
  <c r="L11941" i="1"/>
  <c r="M11941" i="1" s="1"/>
  <c r="L12069" i="1"/>
  <c r="M12069" i="1" s="1"/>
  <c r="L12077" i="1"/>
  <c r="M12077" i="1" s="1"/>
  <c r="L12205" i="1"/>
  <c r="M12205" i="1" s="1"/>
  <c r="L12213" i="1"/>
  <c r="M12213" i="1" s="1"/>
  <c r="L12341" i="1"/>
  <c r="M12341" i="1" s="1"/>
  <c r="L12349" i="1"/>
  <c r="M12349" i="1" s="1"/>
  <c r="L12477" i="1"/>
  <c r="M12477" i="1" s="1"/>
  <c r="L12485" i="1"/>
  <c r="M12485" i="1" s="1"/>
  <c r="L12613" i="1"/>
  <c r="M12613" i="1" s="1"/>
  <c r="L12621" i="1"/>
  <c r="M12621" i="1" s="1"/>
  <c r="L12749" i="1"/>
  <c r="M12749" i="1" s="1"/>
  <c r="L12757" i="1"/>
  <c r="M12757" i="1" s="1"/>
  <c r="L12885" i="1"/>
  <c r="M12885" i="1" s="1"/>
  <c r="L12893" i="1"/>
  <c r="M12893" i="1" s="1"/>
  <c r="L11526" i="1"/>
  <c r="M11526" i="1" s="1"/>
  <c r="L11662" i="1"/>
  <c r="M11662" i="1" s="1"/>
  <c r="L11670" i="1"/>
  <c r="M11670" i="1" s="1"/>
  <c r="L11798" i="1"/>
  <c r="M11798" i="1" s="1"/>
  <c r="L11806" i="1"/>
  <c r="M11806" i="1" s="1"/>
  <c r="L11934" i="1"/>
  <c r="M11934" i="1" s="1"/>
  <c r="L11942" i="1"/>
  <c r="M11942" i="1" s="1"/>
  <c r="L12070" i="1"/>
  <c r="M12070" i="1" s="1"/>
  <c r="L12078" i="1"/>
  <c r="M12078" i="1" s="1"/>
  <c r="L12206" i="1"/>
  <c r="M12206" i="1" s="1"/>
  <c r="L12214" i="1"/>
  <c r="M12214" i="1" s="1"/>
  <c r="L12342" i="1"/>
  <c r="M12342" i="1" s="1"/>
  <c r="L12350" i="1"/>
  <c r="M12350" i="1" s="1"/>
  <c r="L12478" i="1"/>
  <c r="M12478" i="1" s="1"/>
  <c r="L12486" i="1"/>
  <c r="M12486" i="1" s="1"/>
  <c r="L12614" i="1"/>
  <c r="M12614" i="1" s="1"/>
  <c r="L12622" i="1"/>
  <c r="M12622" i="1" s="1"/>
  <c r="L12750" i="1"/>
  <c r="M12750" i="1" s="1"/>
  <c r="L12758" i="1"/>
  <c r="M12758" i="1" s="1"/>
  <c r="L12886" i="1"/>
  <c r="M12886" i="1" s="1"/>
  <c r="L12894" i="1"/>
  <c r="M12894" i="1" s="1"/>
  <c r="L11527" i="1"/>
  <c r="M11527" i="1" s="1"/>
  <c r="L11655" i="1"/>
  <c r="M11655" i="1" s="1"/>
  <c r="L11663" i="1"/>
  <c r="M11663" i="1" s="1"/>
  <c r="L11791" i="1"/>
  <c r="M11791" i="1" s="1"/>
  <c r="L11799" i="1"/>
  <c r="M11799" i="1" s="1"/>
  <c r="L11927" i="1"/>
  <c r="M11927" i="1" s="1"/>
  <c r="L11935" i="1"/>
  <c r="M11935" i="1" s="1"/>
  <c r="L12063" i="1"/>
  <c r="M12063" i="1" s="1"/>
  <c r="L12071" i="1"/>
  <c r="M12071" i="1" s="1"/>
  <c r="L12199" i="1"/>
  <c r="M12199" i="1" s="1"/>
  <c r="L12207" i="1"/>
  <c r="M12207" i="1" s="1"/>
  <c r="L12335" i="1"/>
  <c r="M12335" i="1" s="1"/>
  <c r="L12343" i="1"/>
  <c r="M12343" i="1" s="1"/>
  <c r="L12471" i="1"/>
  <c r="M12471" i="1" s="1"/>
  <c r="L12479" i="1"/>
  <c r="M12479" i="1" s="1"/>
  <c r="L12607" i="1"/>
  <c r="M12607" i="1" s="1"/>
  <c r="L12615" i="1"/>
  <c r="M12615" i="1" s="1"/>
  <c r="L12743" i="1"/>
  <c r="M12743" i="1" s="1"/>
  <c r="L12751" i="1"/>
  <c r="M12751" i="1" s="1"/>
  <c r="L12879" i="1"/>
  <c r="M12879" i="1" s="1"/>
  <c r="L12887" i="1"/>
  <c r="M12887" i="1" s="1"/>
  <c r="L11529" i="1"/>
  <c r="M11529" i="1" s="1"/>
  <c r="L11656" i="1"/>
  <c r="M11656" i="1" s="1"/>
  <c r="L11664" i="1"/>
  <c r="M11664" i="1" s="1"/>
  <c r="L11792" i="1"/>
  <c r="M11792" i="1" s="1"/>
  <c r="L11800" i="1"/>
  <c r="M11800" i="1" s="1"/>
  <c r="L11928" i="1"/>
  <c r="M11928" i="1" s="1"/>
  <c r="L11936" i="1"/>
  <c r="M11936" i="1" s="1"/>
  <c r="L12064" i="1"/>
  <c r="M12064" i="1" s="1"/>
  <c r="L12072" i="1"/>
  <c r="M12072" i="1" s="1"/>
  <c r="L12200" i="1"/>
  <c r="M12200" i="1" s="1"/>
  <c r="L12208" i="1"/>
  <c r="M12208" i="1" s="1"/>
  <c r="L12336" i="1"/>
  <c r="M12336" i="1" s="1"/>
  <c r="L12344" i="1"/>
  <c r="M12344" i="1" s="1"/>
  <c r="L12472" i="1"/>
  <c r="M12472" i="1" s="1"/>
  <c r="L12480" i="1"/>
  <c r="M12480" i="1" s="1"/>
  <c r="L12608" i="1"/>
  <c r="M12608" i="1" s="1"/>
  <c r="L12616" i="1"/>
  <c r="M12616" i="1" s="1"/>
  <c r="L12744" i="1"/>
  <c r="M12744" i="1" s="1"/>
  <c r="L12752" i="1"/>
  <c r="M12752" i="1" s="1"/>
  <c r="L12880" i="1"/>
  <c r="M12880" i="1" s="1"/>
  <c r="L12888" i="1"/>
  <c r="M12888" i="1" s="1"/>
  <c r="L11519" i="1"/>
  <c r="M11519" i="1" s="1"/>
  <c r="L11530" i="1"/>
  <c r="M11530" i="1" s="1"/>
  <c r="L11657" i="1"/>
  <c r="M11657" i="1" s="1"/>
  <c r="L11665" i="1"/>
  <c r="M11665" i="1" s="1"/>
  <c r="L11793" i="1"/>
  <c r="M11793" i="1" s="1"/>
  <c r="L11801" i="1"/>
  <c r="M11801" i="1" s="1"/>
  <c r="L11929" i="1"/>
  <c r="M11929" i="1" s="1"/>
  <c r="L11937" i="1"/>
  <c r="M11937" i="1" s="1"/>
  <c r="L12065" i="1"/>
  <c r="M12065" i="1" s="1"/>
  <c r="L12073" i="1"/>
  <c r="M12073" i="1" s="1"/>
  <c r="L12201" i="1"/>
  <c r="M12201" i="1" s="1"/>
  <c r="L12209" i="1"/>
  <c r="M12209" i="1" s="1"/>
  <c r="L12337" i="1"/>
  <c r="M12337" i="1" s="1"/>
  <c r="L12345" i="1"/>
  <c r="M12345" i="1" s="1"/>
  <c r="L12473" i="1"/>
  <c r="M12473" i="1" s="1"/>
  <c r="L12481" i="1"/>
  <c r="M12481" i="1" s="1"/>
  <c r="L12609" i="1"/>
  <c r="M12609" i="1" s="1"/>
  <c r="L12617" i="1"/>
  <c r="M12617" i="1" s="1"/>
  <c r="L12745" i="1"/>
  <c r="M12745" i="1" s="1"/>
  <c r="L12753" i="1"/>
  <c r="M12753" i="1" s="1"/>
  <c r="L12881" i="1"/>
  <c r="M12881" i="1" s="1"/>
  <c r="L12889" i="1"/>
  <c r="M12889" i="1" s="1"/>
  <c r="L11533" i="1"/>
  <c r="M11533" i="1" s="1"/>
  <c r="L13018" i="1"/>
  <c r="M13018" i="1" s="1"/>
  <c r="L13026" i="1"/>
  <c r="M13026" i="1" s="1"/>
  <c r="L13154" i="1"/>
  <c r="M13154" i="1" s="1"/>
  <c r="L13162" i="1"/>
  <c r="M13162" i="1" s="1"/>
  <c r="L13290" i="1"/>
  <c r="M13290" i="1" s="1"/>
  <c r="L13298" i="1"/>
  <c r="M13298" i="1" s="1"/>
  <c r="L13426" i="1"/>
  <c r="M13426" i="1" s="1"/>
  <c r="L13434" i="1"/>
  <c r="M13434" i="1" s="1"/>
  <c r="L13562" i="1"/>
  <c r="M13562" i="1" s="1"/>
  <c r="L13570" i="1"/>
  <c r="M13570" i="1" s="1"/>
  <c r="L13698" i="1"/>
  <c r="M13698" i="1" s="1"/>
  <c r="L13706" i="1"/>
  <c r="M13706" i="1" s="1"/>
  <c r="L13834" i="1"/>
  <c r="M13834" i="1" s="1"/>
  <c r="L13842" i="1"/>
  <c r="M13842" i="1" s="1"/>
  <c r="L13970" i="1"/>
  <c r="M13970" i="1" s="1"/>
  <c r="L13978" i="1"/>
  <c r="M13978" i="1" s="1"/>
  <c r="L14106" i="1"/>
  <c r="M14106" i="1" s="1"/>
  <c r="L14114" i="1"/>
  <c r="M14114" i="1" s="1"/>
  <c r="L13019" i="1"/>
  <c r="M13019" i="1" s="1"/>
  <c r="L13027" i="1"/>
  <c r="M13027" i="1" s="1"/>
  <c r="L13155" i="1"/>
  <c r="M13155" i="1" s="1"/>
  <c r="L13163" i="1"/>
  <c r="M13163" i="1" s="1"/>
  <c r="L13291" i="1"/>
  <c r="M13291" i="1" s="1"/>
  <c r="L13299" i="1"/>
  <c r="M13299" i="1" s="1"/>
  <c r="L13020" i="1"/>
  <c r="M13020" i="1" s="1"/>
  <c r="L13028" i="1"/>
  <c r="M13028" i="1" s="1"/>
  <c r="L13156" i="1"/>
  <c r="M13156" i="1" s="1"/>
  <c r="L13164" i="1"/>
  <c r="M13164" i="1" s="1"/>
  <c r="L13292" i="1"/>
  <c r="M13292" i="1" s="1"/>
  <c r="L13300" i="1"/>
  <c r="M13300" i="1" s="1"/>
  <c r="L13428" i="1"/>
  <c r="M13428" i="1" s="1"/>
  <c r="L13436" i="1"/>
  <c r="M13436" i="1" s="1"/>
  <c r="L13564" i="1"/>
  <c r="M13564" i="1" s="1"/>
  <c r="L13572" i="1"/>
  <c r="M13572" i="1" s="1"/>
  <c r="L13700" i="1"/>
  <c r="M13700" i="1" s="1"/>
  <c r="L13708" i="1"/>
  <c r="M13708" i="1" s="1"/>
  <c r="L13836" i="1"/>
  <c r="M13836" i="1" s="1"/>
  <c r="L13844" i="1"/>
  <c r="M13844" i="1" s="1"/>
  <c r="L13972" i="1"/>
  <c r="M13972" i="1" s="1"/>
  <c r="L13980" i="1"/>
  <c r="M13980" i="1" s="1"/>
  <c r="L13021" i="1"/>
  <c r="M13021" i="1" s="1"/>
  <c r="L13029" i="1"/>
  <c r="M13029" i="1" s="1"/>
  <c r="L13157" i="1"/>
  <c r="M13157" i="1" s="1"/>
  <c r="L13165" i="1"/>
  <c r="M13165" i="1" s="1"/>
  <c r="L13293" i="1"/>
  <c r="M13293" i="1" s="1"/>
  <c r="L13301" i="1"/>
  <c r="M13301" i="1" s="1"/>
  <c r="L13429" i="1"/>
  <c r="M13429" i="1" s="1"/>
  <c r="L13437" i="1"/>
  <c r="M13437" i="1" s="1"/>
  <c r="L13565" i="1"/>
  <c r="M13565" i="1" s="1"/>
  <c r="L13573" i="1"/>
  <c r="M13573" i="1" s="1"/>
  <c r="L13701" i="1"/>
  <c r="M13701" i="1" s="1"/>
  <c r="L13709" i="1"/>
  <c r="M13709" i="1" s="1"/>
  <c r="L13837" i="1"/>
  <c r="M13837" i="1" s="1"/>
  <c r="L13845" i="1"/>
  <c r="M13845" i="1" s="1"/>
  <c r="L13022" i="1"/>
  <c r="M13022" i="1" s="1"/>
  <c r="L13030" i="1"/>
  <c r="M13030" i="1" s="1"/>
  <c r="L13158" i="1"/>
  <c r="M13158" i="1" s="1"/>
  <c r="L13166" i="1"/>
  <c r="M13166" i="1" s="1"/>
  <c r="L13294" i="1"/>
  <c r="M13294" i="1" s="1"/>
  <c r="L13302" i="1"/>
  <c r="M13302" i="1" s="1"/>
  <c r="L13430" i="1"/>
  <c r="M13430" i="1" s="1"/>
  <c r="L13438" i="1"/>
  <c r="M13438" i="1" s="1"/>
  <c r="L13566" i="1"/>
  <c r="M13566" i="1" s="1"/>
  <c r="L13574" i="1"/>
  <c r="M13574" i="1" s="1"/>
  <c r="L13702" i="1"/>
  <c r="M13702" i="1" s="1"/>
  <c r="L13710" i="1"/>
  <c r="M13710" i="1" s="1"/>
  <c r="L13838" i="1"/>
  <c r="M13838" i="1" s="1"/>
  <c r="L13846" i="1"/>
  <c r="M13846" i="1" s="1"/>
  <c r="L13974" i="1"/>
  <c r="M13974" i="1" s="1"/>
  <c r="L13982" i="1"/>
  <c r="M13982" i="1" s="1"/>
  <c r="L14110" i="1"/>
  <c r="M14110" i="1" s="1"/>
  <c r="L14118" i="1"/>
  <c r="M14118" i="1" s="1"/>
  <c r="L13015" i="1"/>
  <c r="M13015" i="1" s="1"/>
  <c r="L13023" i="1"/>
  <c r="M13023" i="1" s="1"/>
  <c r="L13151" i="1"/>
  <c r="M13151" i="1" s="1"/>
  <c r="L13159" i="1"/>
  <c r="M13159" i="1" s="1"/>
  <c r="L13287" i="1"/>
  <c r="M13287" i="1" s="1"/>
  <c r="L13295" i="1"/>
  <c r="M13295" i="1" s="1"/>
  <c r="L13423" i="1"/>
  <c r="M13423" i="1" s="1"/>
  <c r="L13431" i="1"/>
  <c r="M13431" i="1" s="1"/>
  <c r="L13559" i="1"/>
  <c r="M13559" i="1" s="1"/>
  <c r="L13567" i="1"/>
  <c r="M13567" i="1" s="1"/>
  <c r="L13695" i="1"/>
  <c r="M13695" i="1" s="1"/>
  <c r="L13703" i="1"/>
  <c r="M13703" i="1" s="1"/>
  <c r="L13831" i="1"/>
  <c r="M13831" i="1" s="1"/>
  <c r="L13839" i="1"/>
  <c r="M13839" i="1" s="1"/>
  <c r="L13967" i="1"/>
  <c r="M13967" i="1" s="1"/>
  <c r="L13975" i="1"/>
  <c r="M13975" i="1" s="1"/>
  <c r="L14103" i="1"/>
  <c r="M14103" i="1" s="1"/>
  <c r="L14111" i="1"/>
  <c r="M14111" i="1" s="1"/>
  <c r="L11659" i="1"/>
  <c r="M11659" i="1" s="1"/>
  <c r="L11795" i="1"/>
  <c r="M11795" i="1" s="1"/>
  <c r="L11931" i="1"/>
  <c r="M11931" i="1" s="1"/>
  <c r="L12067" i="1"/>
  <c r="M12067" i="1" s="1"/>
  <c r="L12203" i="1"/>
  <c r="M12203" i="1" s="1"/>
  <c r="L12339" i="1"/>
  <c r="M12339" i="1" s="1"/>
  <c r="L12475" i="1"/>
  <c r="M12475" i="1" s="1"/>
  <c r="L12611" i="1"/>
  <c r="M12611" i="1" s="1"/>
  <c r="L12747" i="1"/>
  <c r="M12747" i="1" s="1"/>
  <c r="L12883" i="1"/>
  <c r="M12883" i="1" s="1"/>
  <c r="L13016" i="1"/>
  <c r="M13016" i="1" s="1"/>
  <c r="L13024" i="1"/>
  <c r="M13024" i="1" s="1"/>
  <c r="L13152" i="1"/>
  <c r="M13152" i="1" s="1"/>
  <c r="L13160" i="1"/>
  <c r="M13160" i="1" s="1"/>
  <c r="L13288" i="1"/>
  <c r="M13288" i="1" s="1"/>
  <c r="L13296" i="1"/>
  <c r="M13296" i="1" s="1"/>
  <c r="L13424" i="1"/>
  <c r="M13424" i="1" s="1"/>
  <c r="L13432" i="1"/>
  <c r="M13432" i="1" s="1"/>
  <c r="L13560" i="1"/>
  <c r="M13560" i="1" s="1"/>
  <c r="L13568" i="1"/>
  <c r="M13568" i="1" s="1"/>
  <c r="L13696" i="1"/>
  <c r="M13696" i="1" s="1"/>
  <c r="L13704" i="1"/>
  <c r="M13704" i="1" s="1"/>
  <c r="L13832" i="1"/>
  <c r="M13832" i="1" s="1"/>
  <c r="L13840" i="1"/>
  <c r="M13840" i="1" s="1"/>
  <c r="L11667" i="1"/>
  <c r="M11667" i="1" s="1"/>
  <c r="L12211" i="1"/>
  <c r="M12211" i="1" s="1"/>
  <c r="L12755" i="1"/>
  <c r="M12755" i="1" s="1"/>
  <c r="L13977" i="1"/>
  <c r="M13977" i="1" s="1"/>
  <c r="L14112" i="1"/>
  <c r="M14112" i="1" s="1"/>
  <c r="L14246" i="1"/>
  <c r="M14246" i="1" s="1"/>
  <c r="L14254" i="1"/>
  <c r="M14254" i="1" s="1"/>
  <c r="L14382" i="1"/>
  <c r="M14382" i="1" s="1"/>
  <c r="L14390" i="1"/>
  <c r="M14390" i="1" s="1"/>
  <c r="L13979" i="1"/>
  <c r="M13979" i="1" s="1"/>
  <c r="L14113" i="1"/>
  <c r="M14113" i="1" s="1"/>
  <c r="L14239" i="1"/>
  <c r="M14239" i="1" s="1"/>
  <c r="L14247" i="1"/>
  <c r="M14247" i="1" s="1"/>
  <c r="L14375" i="1"/>
  <c r="M14375" i="1" s="1"/>
  <c r="L14383" i="1"/>
  <c r="M14383" i="1" s="1"/>
  <c r="L14109" i="1"/>
  <c r="M14109" i="1" s="1"/>
  <c r="L11803" i="1"/>
  <c r="M11803" i="1" s="1"/>
  <c r="L12347" i="1"/>
  <c r="M12347" i="1" s="1"/>
  <c r="L12891" i="1"/>
  <c r="M12891" i="1" s="1"/>
  <c r="L13425" i="1"/>
  <c r="M13425" i="1" s="1"/>
  <c r="L13561" i="1"/>
  <c r="M13561" i="1" s="1"/>
  <c r="L13697" i="1"/>
  <c r="M13697" i="1" s="1"/>
  <c r="L13833" i="1"/>
  <c r="M13833" i="1" s="1"/>
  <c r="L13981" i="1"/>
  <c r="M13981" i="1" s="1"/>
  <c r="L14115" i="1"/>
  <c r="M14115" i="1" s="1"/>
  <c r="L14240" i="1"/>
  <c r="M14240" i="1" s="1"/>
  <c r="L14248" i="1"/>
  <c r="M14248" i="1" s="1"/>
  <c r="L14376" i="1"/>
  <c r="M14376" i="1" s="1"/>
  <c r="L14384" i="1"/>
  <c r="M14384" i="1" s="1"/>
  <c r="L14253" i="1"/>
  <c r="M14253" i="1" s="1"/>
  <c r="L14389" i="1"/>
  <c r="M14389" i="1" s="1"/>
  <c r="L13427" i="1"/>
  <c r="M13427" i="1" s="1"/>
  <c r="L13563" i="1"/>
  <c r="M13563" i="1" s="1"/>
  <c r="L13699" i="1"/>
  <c r="M13699" i="1" s="1"/>
  <c r="L13835" i="1"/>
  <c r="M13835" i="1" s="1"/>
  <c r="L13968" i="1"/>
  <c r="M13968" i="1" s="1"/>
  <c r="L14104" i="1"/>
  <c r="M14104" i="1" s="1"/>
  <c r="L14116" i="1"/>
  <c r="M14116" i="1" s="1"/>
  <c r="L14241" i="1"/>
  <c r="M14241" i="1" s="1"/>
  <c r="L14249" i="1"/>
  <c r="M14249" i="1" s="1"/>
  <c r="L14377" i="1"/>
  <c r="M14377" i="1" s="1"/>
  <c r="L14385" i="1"/>
  <c r="M14385" i="1" s="1"/>
  <c r="L11939" i="1"/>
  <c r="M11939" i="1" s="1"/>
  <c r="L12483" i="1"/>
  <c r="M12483" i="1" s="1"/>
  <c r="L13433" i="1"/>
  <c r="M13433" i="1" s="1"/>
  <c r="L13569" i="1"/>
  <c r="M13569" i="1" s="1"/>
  <c r="L13705" i="1"/>
  <c r="M13705" i="1" s="1"/>
  <c r="L13841" i="1"/>
  <c r="M13841" i="1" s="1"/>
  <c r="L13969" i="1"/>
  <c r="M13969" i="1" s="1"/>
  <c r="L14105" i="1"/>
  <c r="M14105" i="1" s="1"/>
  <c r="L14117" i="1"/>
  <c r="M14117" i="1" s="1"/>
  <c r="L14242" i="1"/>
  <c r="M14242" i="1" s="1"/>
  <c r="L14250" i="1"/>
  <c r="M14250" i="1" s="1"/>
  <c r="L14378" i="1"/>
  <c r="M14378" i="1" s="1"/>
  <c r="L14386" i="1"/>
  <c r="M14386" i="1" s="1"/>
  <c r="L14245" i="1"/>
  <c r="M14245" i="1" s="1"/>
  <c r="L14381" i="1"/>
  <c r="M14381" i="1" s="1"/>
  <c r="L13017" i="1"/>
  <c r="M13017" i="1" s="1"/>
  <c r="L13153" i="1"/>
  <c r="M13153" i="1" s="1"/>
  <c r="L13289" i="1"/>
  <c r="M13289" i="1" s="1"/>
  <c r="L13435" i="1"/>
  <c r="M13435" i="1" s="1"/>
  <c r="L13571" i="1"/>
  <c r="M13571" i="1" s="1"/>
  <c r="L13707" i="1"/>
  <c r="M13707" i="1" s="1"/>
  <c r="L13843" i="1"/>
  <c r="M13843" i="1" s="1"/>
  <c r="L13971" i="1"/>
  <c r="M13971" i="1" s="1"/>
  <c r="L14107" i="1"/>
  <c r="M14107" i="1" s="1"/>
  <c r="L14243" i="1"/>
  <c r="M14243" i="1" s="1"/>
  <c r="L14251" i="1"/>
  <c r="M14251" i="1" s="1"/>
  <c r="L14379" i="1"/>
  <c r="M14379" i="1" s="1"/>
  <c r="L14387" i="1"/>
  <c r="M14387" i="1" s="1"/>
  <c r="L11522" i="1"/>
  <c r="M11522" i="1" s="1"/>
  <c r="L12075" i="1"/>
  <c r="M12075" i="1" s="1"/>
  <c r="L12619" i="1"/>
  <c r="M12619" i="1" s="1"/>
  <c r="L13025" i="1"/>
  <c r="M13025" i="1" s="1"/>
  <c r="L13161" i="1"/>
  <c r="M13161" i="1" s="1"/>
  <c r="L13297" i="1"/>
  <c r="M13297" i="1" s="1"/>
  <c r="L13973" i="1"/>
  <c r="M13973" i="1" s="1"/>
  <c r="L14108" i="1"/>
  <c r="M14108" i="1" s="1"/>
  <c r="L14244" i="1"/>
  <c r="M14244" i="1" s="1"/>
  <c r="L14252" i="1"/>
  <c r="M14252" i="1" s="1"/>
  <c r="L14380" i="1"/>
  <c r="M14380" i="1" s="1"/>
  <c r="L14388" i="1"/>
  <c r="M14388" i="1" s="1"/>
  <c r="L13976" i="1"/>
  <c r="M13976" i="1" s="1"/>
  <c r="L4046" i="1"/>
  <c r="M4046" i="1" s="1"/>
  <c r="L4054" i="1"/>
  <c r="M4054" i="1" s="1"/>
  <c r="L4182" i="1"/>
  <c r="M4182" i="1" s="1"/>
  <c r="L4190" i="1"/>
  <c r="M4190" i="1" s="1"/>
  <c r="L4318" i="1"/>
  <c r="M4318" i="1" s="1"/>
  <c r="L4326" i="1"/>
  <c r="M4326" i="1" s="1"/>
  <c r="L4454" i="1"/>
  <c r="M4454" i="1" s="1"/>
  <c r="L4462" i="1"/>
  <c r="M4462" i="1" s="1"/>
  <c r="L4590" i="1"/>
  <c r="M4590" i="1" s="1"/>
  <c r="L4598" i="1"/>
  <c r="M4598" i="1" s="1"/>
  <c r="L4726" i="1"/>
  <c r="M4726" i="1" s="1"/>
  <c r="L4734" i="1"/>
  <c r="M4734" i="1" s="1"/>
  <c r="L4862" i="1"/>
  <c r="M4862" i="1" s="1"/>
  <c r="L4870" i="1"/>
  <c r="M4870" i="1" s="1"/>
  <c r="L4998" i="1"/>
  <c r="M4998" i="1" s="1"/>
  <c r="L5006" i="1"/>
  <c r="M5006" i="1" s="1"/>
  <c r="L1458" i="1"/>
  <c r="M1458" i="1" s="1"/>
  <c r="L1466" i="1"/>
  <c r="M1466" i="1" s="1"/>
  <c r="L1594" i="1"/>
  <c r="M1594" i="1" s="1"/>
  <c r="L1602" i="1"/>
  <c r="M1602" i="1" s="1"/>
  <c r="L4039" i="1"/>
  <c r="M4039" i="1" s="1"/>
  <c r="L4047" i="1"/>
  <c r="M4047" i="1" s="1"/>
  <c r="L4175" i="1"/>
  <c r="M4175" i="1" s="1"/>
  <c r="L4183" i="1"/>
  <c r="M4183" i="1" s="1"/>
  <c r="L4311" i="1"/>
  <c r="M4311" i="1" s="1"/>
  <c r="L4319" i="1"/>
  <c r="M4319" i="1" s="1"/>
  <c r="L4447" i="1"/>
  <c r="M4447" i="1" s="1"/>
  <c r="L4455" i="1"/>
  <c r="M4455" i="1" s="1"/>
  <c r="L4583" i="1"/>
  <c r="M4583" i="1" s="1"/>
  <c r="L4591" i="1"/>
  <c r="M4591" i="1" s="1"/>
  <c r="L4719" i="1"/>
  <c r="M4719" i="1" s="1"/>
  <c r="L4727" i="1"/>
  <c r="M4727" i="1" s="1"/>
  <c r="L4855" i="1"/>
  <c r="M4855" i="1" s="1"/>
  <c r="L4863" i="1"/>
  <c r="M4863" i="1" s="1"/>
  <c r="L4991" i="1"/>
  <c r="M4991" i="1" s="1"/>
  <c r="L4999" i="1"/>
  <c r="M4999" i="1" s="1"/>
  <c r="L1459" i="1"/>
  <c r="M1459" i="1" s="1"/>
  <c r="L1467" i="1"/>
  <c r="M1467" i="1" s="1"/>
  <c r="L1595" i="1"/>
  <c r="M1595" i="1" s="1"/>
  <c r="L1603" i="1"/>
  <c r="M1603" i="1" s="1"/>
  <c r="L4040" i="1"/>
  <c r="M4040" i="1" s="1"/>
  <c r="L4048" i="1"/>
  <c r="M4048" i="1" s="1"/>
  <c r="L4176" i="1"/>
  <c r="M4176" i="1" s="1"/>
  <c r="L4184" i="1"/>
  <c r="M4184" i="1" s="1"/>
  <c r="L4312" i="1"/>
  <c r="M4312" i="1" s="1"/>
  <c r="L4320" i="1"/>
  <c r="M4320" i="1" s="1"/>
  <c r="L4448" i="1"/>
  <c r="M4448" i="1" s="1"/>
  <c r="L4456" i="1"/>
  <c r="M4456" i="1" s="1"/>
  <c r="L4584" i="1"/>
  <c r="M4584" i="1" s="1"/>
  <c r="L4592" i="1"/>
  <c r="M4592" i="1" s="1"/>
  <c r="L4720" i="1"/>
  <c r="M4720" i="1" s="1"/>
  <c r="L4728" i="1"/>
  <c r="M4728" i="1" s="1"/>
  <c r="L4856" i="1"/>
  <c r="M4856" i="1" s="1"/>
  <c r="L4864" i="1"/>
  <c r="M4864" i="1" s="1"/>
  <c r="L4992" i="1"/>
  <c r="M4992" i="1" s="1"/>
  <c r="L5000" i="1"/>
  <c r="M5000" i="1" s="1"/>
  <c r="L1460" i="1"/>
  <c r="M1460" i="1" s="1"/>
  <c r="L1468" i="1"/>
  <c r="M1468" i="1" s="1"/>
  <c r="L1596" i="1"/>
  <c r="M1596" i="1" s="1"/>
  <c r="L1604" i="1"/>
  <c r="M1604" i="1" s="1"/>
  <c r="L4041" i="1"/>
  <c r="M4041" i="1" s="1"/>
  <c r="L4049" i="1"/>
  <c r="M4049" i="1" s="1"/>
  <c r="L4177" i="1"/>
  <c r="M4177" i="1" s="1"/>
  <c r="L4185" i="1"/>
  <c r="M4185" i="1" s="1"/>
  <c r="L4313" i="1"/>
  <c r="M4313" i="1" s="1"/>
  <c r="L4321" i="1"/>
  <c r="M4321" i="1" s="1"/>
  <c r="L4449" i="1"/>
  <c r="M4449" i="1" s="1"/>
  <c r="L4457" i="1"/>
  <c r="M4457" i="1" s="1"/>
  <c r="L4585" i="1"/>
  <c r="M4585" i="1" s="1"/>
  <c r="L4593" i="1"/>
  <c r="M4593" i="1" s="1"/>
  <c r="L4721" i="1"/>
  <c r="M4721" i="1" s="1"/>
  <c r="L4729" i="1"/>
  <c r="M4729" i="1" s="1"/>
  <c r="L4857" i="1"/>
  <c r="M4857" i="1" s="1"/>
  <c r="L4865" i="1"/>
  <c r="M4865" i="1" s="1"/>
  <c r="L4993" i="1"/>
  <c r="M4993" i="1" s="1"/>
  <c r="L5001" i="1"/>
  <c r="M5001" i="1" s="1"/>
  <c r="L1461" i="1"/>
  <c r="M1461" i="1" s="1"/>
  <c r="L1469" i="1"/>
  <c r="M1469" i="1" s="1"/>
  <c r="L1597" i="1"/>
  <c r="M1597" i="1" s="1"/>
  <c r="L1605" i="1"/>
  <c r="M1605" i="1" s="1"/>
  <c r="L4043" i="1"/>
  <c r="M4043" i="1" s="1"/>
  <c r="L4051" i="1"/>
  <c r="M4051" i="1" s="1"/>
  <c r="L4179" i="1"/>
  <c r="M4179" i="1" s="1"/>
  <c r="L4187" i="1"/>
  <c r="M4187" i="1" s="1"/>
  <c r="L4315" i="1"/>
  <c r="M4315" i="1" s="1"/>
  <c r="L4323" i="1"/>
  <c r="M4323" i="1" s="1"/>
  <c r="L4451" i="1"/>
  <c r="M4451" i="1" s="1"/>
  <c r="L4459" i="1"/>
  <c r="M4459" i="1" s="1"/>
  <c r="L4587" i="1"/>
  <c r="M4587" i="1" s="1"/>
  <c r="L4595" i="1"/>
  <c r="M4595" i="1" s="1"/>
  <c r="L4723" i="1"/>
  <c r="M4723" i="1" s="1"/>
  <c r="L4731" i="1"/>
  <c r="M4731" i="1" s="1"/>
  <c r="L4859" i="1"/>
  <c r="M4859" i="1" s="1"/>
  <c r="L4867" i="1"/>
  <c r="M4867" i="1" s="1"/>
  <c r="L4995" i="1"/>
  <c r="M4995" i="1" s="1"/>
  <c r="L5003" i="1"/>
  <c r="M5003" i="1" s="1"/>
  <c r="L1455" i="1"/>
  <c r="M1455" i="1" s="1"/>
  <c r="L1463" i="1"/>
  <c r="M1463" i="1" s="1"/>
  <c r="L1591" i="1"/>
  <c r="M1591" i="1" s="1"/>
  <c r="L1599" i="1"/>
  <c r="M1599" i="1" s="1"/>
  <c r="L4044" i="1"/>
  <c r="M4044" i="1" s="1"/>
  <c r="L4052" i="1"/>
  <c r="M4052" i="1" s="1"/>
  <c r="L4180" i="1"/>
  <c r="M4180" i="1" s="1"/>
  <c r="L4188" i="1"/>
  <c r="M4188" i="1" s="1"/>
  <c r="L4316" i="1"/>
  <c r="M4316" i="1" s="1"/>
  <c r="L4324" i="1"/>
  <c r="M4324" i="1" s="1"/>
  <c r="L4452" i="1"/>
  <c r="M4452" i="1" s="1"/>
  <c r="L4460" i="1"/>
  <c r="M4460" i="1" s="1"/>
  <c r="L4588" i="1"/>
  <c r="M4588" i="1" s="1"/>
  <c r="L4596" i="1"/>
  <c r="M4596" i="1" s="1"/>
  <c r="L4724" i="1"/>
  <c r="M4724" i="1" s="1"/>
  <c r="L4732" i="1"/>
  <c r="M4732" i="1" s="1"/>
  <c r="L4860" i="1"/>
  <c r="M4860" i="1" s="1"/>
  <c r="L4868" i="1"/>
  <c r="M4868" i="1" s="1"/>
  <c r="L4996" i="1"/>
  <c r="M4996" i="1" s="1"/>
  <c r="L5004" i="1"/>
  <c r="M5004" i="1" s="1"/>
  <c r="L1456" i="1"/>
  <c r="M1456" i="1" s="1"/>
  <c r="L1464" i="1"/>
  <c r="M1464" i="1" s="1"/>
  <c r="L1592" i="1"/>
  <c r="M1592" i="1" s="1"/>
  <c r="L1600" i="1"/>
  <c r="M1600" i="1" s="1"/>
  <c r="L4045" i="1"/>
  <c r="M4045" i="1" s="1"/>
  <c r="L4053" i="1"/>
  <c r="M4053" i="1" s="1"/>
  <c r="L4181" i="1"/>
  <c r="M4181" i="1" s="1"/>
  <c r="L4189" i="1"/>
  <c r="M4189" i="1" s="1"/>
  <c r="L4317" i="1"/>
  <c r="M4317" i="1" s="1"/>
  <c r="L4325" i="1"/>
  <c r="M4325" i="1" s="1"/>
  <c r="L4453" i="1"/>
  <c r="M4453" i="1" s="1"/>
  <c r="L4461" i="1"/>
  <c r="M4461" i="1" s="1"/>
  <c r="L4589" i="1"/>
  <c r="M4589" i="1" s="1"/>
  <c r="L4597" i="1"/>
  <c r="M4597" i="1" s="1"/>
  <c r="L4725" i="1"/>
  <c r="M4725" i="1" s="1"/>
  <c r="L4733" i="1"/>
  <c r="M4733" i="1" s="1"/>
  <c r="L4861" i="1"/>
  <c r="M4861" i="1" s="1"/>
  <c r="L4869" i="1"/>
  <c r="M4869" i="1" s="1"/>
  <c r="L4997" i="1"/>
  <c r="M4997" i="1" s="1"/>
  <c r="L5005" i="1"/>
  <c r="M5005" i="1" s="1"/>
  <c r="L1457" i="1"/>
  <c r="M1457" i="1" s="1"/>
  <c r="L1465" i="1"/>
  <c r="M1465" i="1" s="1"/>
  <c r="L1593" i="1"/>
  <c r="M1593" i="1" s="1"/>
  <c r="L1601" i="1"/>
  <c r="M1601" i="1" s="1"/>
  <c r="L1729" i="1"/>
  <c r="M1729" i="1" s="1"/>
  <c r="L1737" i="1"/>
  <c r="M1737" i="1" s="1"/>
  <c r="L1865" i="1"/>
  <c r="M1865" i="1" s="1"/>
  <c r="L1873" i="1"/>
  <c r="M1873" i="1" s="1"/>
  <c r="L2009" i="1"/>
  <c r="M2009" i="1" s="1"/>
  <c r="L2017" i="1"/>
  <c r="M2017" i="1" s="1"/>
  <c r="L2145" i="1"/>
  <c r="M2145" i="1" s="1"/>
  <c r="L2153" i="1"/>
  <c r="M2153" i="1" s="1"/>
  <c r="L2281" i="1"/>
  <c r="M2281" i="1" s="1"/>
  <c r="L2289" i="1"/>
  <c r="M2289" i="1" s="1"/>
  <c r="L2401" i="1"/>
  <c r="M2401" i="1" s="1"/>
  <c r="L2409" i="1"/>
  <c r="M2409" i="1" s="1"/>
  <c r="L2553" i="1"/>
  <c r="M2553" i="1" s="1"/>
  <c r="L2561" i="1"/>
  <c r="M2561" i="1" s="1"/>
  <c r="L2689" i="1"/>
  <c r="M2689" i="1" s="1"/>
  <c r="L2697" i="1"/>
  <c r="M2697" i="1" s="1"/>
  <c r="L2825" i="1"/>
  <c r="M2825" i="1" s="1"/>
  <c r="L2833" i="1"/>
  <c r="M2833" i="1" s="1"/>
  <c r="L2961" i="1"/>
  <c r="M2961" i="1" s="1"/>
  <c r="L2969" i="1"/>
  <c r="M2969" i="1" s="1"/>
  <c r="L3105" i="1"/>
  <c r="M3105" i="1" s="1"/>
  <c r="L3113" i="1"/>
  <c r="M3113" i="1" s="1"/>
  <c r="L3241" i="1"/>
  <c r="M3241" i="1" s="1"/>
  <c r="L3249" i="1"/>
  <c r="M3249" i="1" s="1"/>
  <c r="L3377" i="1"/>
  <c r="M3377" i="1" s="1"/>
  <c r="L3385" i="1"/>
  <c r="M3385" i="1" s="1"/>
  <c r="L3513" i="1"/>
  <c r="M3513" i="1" s="1"/>
  <c r="L3521" i="1"/>
  <c r="M3521" i="1" s="1"/>
  <c r="L3649" i="1"/>
  <c r="M3649" i="1" s="1"/>
  <c r="L3657" i="1"/>
  <c r="M3657" i="1" s="1"/>
  <c r="L3785" i="1"/>
  <c r="M3785" i="1" s="1"/>
  <c r="L3793" i="1"/>
  <c r="M3793" i="1" s="1"/>
  <c r="L3889" i="1"/>
  <c r="M3889" i="1" s="1"/>
  <c r="L867" i="1"/>
  <c r="M867" i="1" s="1"/>
  <c r="L875" i="1"/>
  <c r="M875" i="1" s="1"/>
  <c r="L1003" i="1"/>
  <c r="M1003" i="1" s="1"/>
  <c r="L1011" i="1"/>
  <c r="M1011" i="1" s="1"/>
  <c r="L1139" i="1"/>
  <c r="M1139" i="1" s="1"/>
  <c r="L1147" i="1"/>
  <c r="M1147" i="1" s="1"/>
  <c r="L4042" i="1"/>
  <c r="M4042" i="1" s="1"/>
  <c r="L4178" i="1"/>
  <c r="M4178" i="1" s="1"/>
  <c r="L4314" i="1"/>
  <c r="M4314" i="1" s="1"/>
  <c r="L4450" i="1"/>
  <c r="M4450" i="1" s="1"/>
  <c r="L4586" i="1"/>
  <c r="M4586" i="1" s="1"/>
  <c r="L4722" i="1"/>
  <c r="M4722" i="1" s="1"/>
  <c r="L4858" i="1"/>
  <c r="M4858" i="1" s="1"/>
  <c r="L4994" i="1"/>
  <c r="M4994" i="1" s="1"/>
  <c r="L1730" i="1"/>
  <c r="M1730" i="1" s="1"/>
  <c r="L1738" i="1"/>
  <c r="M1738" i="1" s="1"/>
  <c r="L1866" i="1"/>
  <c r="M1866" i="1" s="1"/>
  <c r="L1874" i="1"/>
  <c r="M1874" i="1" s="1"/>
  <c r="L2002" i="1"/>
  <c r="M2002" i="1" s="1"/>
  <c r="L2010" i="1"/>
  <c r="M2010" i="1" s="1"/>
  <c r="L2146" i="1"/>
  <c r="M2146" i="1" s="1"/>
  <c r="L2154" i="1"/>
  <c r="M2154" i="1" s="1"/>
  <c r="L2282" i="1"/>
  <c r="M2282" i="1" s="1"/>
  <c r="L2290" i="1"/>
  <c r="M2290" i="1" s="1"/>
  <c r="L2402" i="1"/>
  <c r="M2402" i="1" s="1"/>
  <c r="L2410" i="1"/>
  <c r="M2410" i="1" s="1"/>
  <c r="L2554" i="1"/>
  <c r="M2554" i="1" s="1"/>
  <c r="L2562" i="1"/>
  <c r="M2562" i="1" s="1"/>
  <c r="L2690" i="1"/>
  <c r="M2690" i="1" s="1"/>
  <c r="L2698" i="1"/>
  <c r="M2698" i="1" s="1"/>
  <c r="L2826" i="1"/>
  <c r="M2826" i="1" s="1"/>
  <c r="L2834" i="1"/>
  <c r="M2834" i="1" s="1"/>
  <c r="L2962" i="1"/>
  <c r="M2962" i="1" s="1"/>
  <c r="L2970" i="1"/>
  <c r="M2970" i="1" s="1"/>
  <c r="L3098" i="1"/>
  <c r="M3098" i="1" s="1"/>
  <c r="L3106" i="1"/>
  <c r="M3106" i="1" s="1"/>
  <c r="L3242" i="1"/>
  <c r="M3242" i="1" s="1"/>
  <c r="L3250" i="1"/>
  <c r="M3250" i="1" s="1"/>
  <c r="L3378" i="1"/>
  <c r="M3378" i="1" s="1"/>
  <c r="L3386" i="1"/>
  <c r="M3386" i="1" s="1"/>
  <c r="L3514" i="1"/>
  <c r="M3514" i="1" s="1"/>
  <c r="L3522" i="1"/>
  <c r="M3522" i="1" s="1"/>
  <c r="L3650" i="1"/>
  <c r="M3650" i="1" s="1"/>
  <c r="L3658" i="1"/>
  <c r="M3658" i="1" s="1"/>
  <c r="L3786" i="1"/>
  <c r="M3786" i="1" s="1"/>
  <c r="L3794" i="1"/>
  <c r="M3794" i="1" s="1"/>
  <c r="L3890" i="1"/>
  <c r="M3890" i="1" s="1"/>
  <c r="L860" i="1"/>
  <c r="M860" i="1" s="1"/>
  <c r="L868" i="1"/>
  <c r="M868" i="1" s="1"/>
  <c r="L996" i="1"/>
  <c r="M996" i="1" s="1"/>
  <c r="L1004" i="1"/>
  <c r="M1004" i="1" s="1"/>
  <c r="L1132" i="1"/>
  <c r="M1132" i="1" s="1"/>
  <c r="L1140" i="1"/>
  <c r="M1140" i="1" s="1"/>
  <c r="L1268" i="1"/>
  <c r="M1268" i="1" s="1"/>
  <c r="L1276" i="1"/>
  <c r="M1276" i="1" s="1"/>
  <c r="L4050" i="1"/>
  <c r="M4050" i="1" s="1"/>
  <c r="L4186" i="1"/>
  <c r="M4186" i="1" s="1"/>
  <c r="L4322" i="1"/>
  <c r="M4322" i="1" s="1"/>
  <c r="L4458" i="1"/>
  <c r="M4458" i="1" s="1"/>
  <c r="L4594" i="1"/>
  <c r="M4594" i="1" s="1"/>
  <c r="L4730" i="1"/>
  <c r="M4730" i="1" s="1"/>
  <c r="L4866" i="1"/>
  <c r="M4866" i="1" s="1"/>
  <c r="L5002" i="1"/>
  <c r="M5002" i="1" s="1"/>
  <c r="L1454" i="1"/>
  <c r="M1454" i="1" s="1"/>
  <c r="L1731" i="1"/>
  <c r="M1731" i="1" s="1"/>
  <c r="L1739" i="1"/>
  <c r="M1739" i="1" s="1"/>
  <c r="L1867" i="1"/>
  <c r="M1867" i="1" s="1"/>
  <c r="L1875" i="1"/>
  <c r="M1875" i="1" s="1"/>
  <c r="L2003" i="1"/>
  <c r="M2003" i="1" s="1"/>
  <c r="L2011" i="1"/>
  <c r="M2011" i="1" s="1"/>
  <c r="L2139" i="1"/>
  <c r="M2139" i="1" s="1"/>
  <c r="L2147" i="1"/>
  <c r="M2147" i="1" s="1"/>
  <c r="L2283" i="1"/>
  <c r="M2283" i="1" s="1"/>
  <c r="L2291" i="1"/>
  <c r="M2291" i="1" s="1"/>
  <c r="L2403" i="1"/>
  <c r="M2403" i="1" s="1"/>
  <c r="L2411" i="1"/>
  <c r="M2411" i="1" s="1"/>
  <c r="L2555" i="1"/>
  <c r="M2555" i="1" s="1"/>
  <c r="L2563" i="1"/>
  <c r="M2563" i="1" s="1"/>
  <c r="L2691" i="1"/>
  <c r="M2691" i="1" s="1"/>
  <c r="L2699" i="1"/>
  <c r="M2699" i="1" s="1"/>
  <c r="L2827" i="1"/>
  <c r="M2827" i="1" s="1"/>
  <c r="L2835" i="1"/>
  <c r="M2835" i="1" s="1"/>
  <c r="L2963" i="1"/>
  <c r="M2963" i="1" s="1"/>
  <c r="L2971" i="1"/>
  <c r="M2971" i="1" s="1"/>
  <c r="L3099" i="1"/>
  <c r="M3099" i="1" s="1"/>
  <c r="L3107" i="1"/>
  <c r="M3107" i="1" s="1"/>
  <c r="L3235" i="1"/>
  <c r="M3235" i="1" s="1"/>
  <c r="L3243" i="1"/>
  <c r="M3243" i="1" s="1"/>
  <c r="L3379" i="1"/>
  <c r="M3379" i="1" s="1"/>
  <c r="L3387" i="1"/>
  <c r="M3387" i="1" s="1"/>
  <c r="L3515" i="1"/>
  <c r="M3515" i="1" s="1"/>
  <c r="L3523" i="1"/>
  <c r="M3523" i="1" s="1"/>
  <c r="L3651" i="1"/>
  <c r="M3651" i="1" s="1"/>
  <c r="L3659" i="1"/>
  <c r="M3659" i="1" s="1"/>
  <c r="L3787" i="1"/>
  <c r="M3787" i="1" s="1"/>
  <c r="L3795" i="1"/>
  <c r="M3795" i="1" s="1"/>
  <c r="L3883" i="1"/>
  <c r="M3883" i="1" s="1"/>
  <c r="L3891" i="1"/>
  <c r="M3891" i="1" s="1"/>
  <c r="L861" i="1"/>
  <c r="M861" i="1" s="1"/>
  <c r="L869" i="1"/>
  <c r="M869" i="1" s="1"/>
  <c r="L997" i="1"/>
  <c r="M997" i="1" s="1"/>
  <c r="L1005" i="1"/>
  <c r="M1005" i="1" s="1"/>
  <c r="L1133" i="1"/>
  <c r="M1133" i="1" s="1"/>
  <c r="L1141" i="1"/>
  <c r="M1141" i="1" s="1"/>
  <c r="L1269" i="1"/>
  <c r="M1269" i="1" s="1"/>
  <c r="L1462" i="1"/>
  <c r="M1462" i="1" s="1"/>
  <c r="L1598" i="1"/>
  <c r="M1598" i="1" s="1"/>
  <c r="L1732" i="1"/>
  <c r="M1732" i="1" s="1"/>
  <c r="L1740" i="1"/>
  <c r="M1740" i="1" s="1"/>
  <c r="L1868" i="1"/>
  <c r="M1868" i="1" s="1"/>
  <c r="L1876" i="1"/>
  <c r="M1876" i="1" s="1"/>
  <c r="L2004" i="1"/>
  <c r="M2004" i="1" s="1"/>
  <c r="L2012" i="1"/>
  <c r="M2012" i="1" s="1"/>
  <c r="L2140" i="1"/>
  <c r="M2140" i="1" s="1"/>
  <c r="L2148" i="1"/>
  <c r="M2148" i="1" s="1"/>
  <c r="L2276" i="1"/>
  <c r="M2276" i="1" s="1"/>
  <c r="L2284" i="1"/>
  <c r="M2284" i="1" s="1"/>
  <c r="L2396" i="1"/>
  <c r="M2396" i="1" s="1"/>
  <c r="L2404" i="1"/>
  <c r="M2404" i="1" s="1"/>
  <c r="L2556" i="1"/>
  <c r="M2556" i="1" s="1"/>
  <c r="L2564" i="1"/>
  <c r="M2564" i="1" s="1"/>
  <c r="L2692" i="1"/>
  <c r="M2692" i="1" s="1"/>
  <c r="L2700" i="1"/>
  <c r="M2700" i="1" s="1"/>
  <c r="L2828" i="1"/>
  <c r="M2828" i="1" s="1"/>
  <c r="L2836" i="1"/>
  <c r="M2836" i="1" s="1"/>
  <c r="L2964" i="1"/>
  <c r="M2964" i="1" s="1"/>
  <c r="L2972" i="1"/>
  <c r="M2972" i="1" s="1"/>
  <c r="L3100" i="1"/>
  <c r="M3100" i="1" s="1"/>
  <c r="L3108" i="1"/>
  <c r="M3108" i="1" s="1"/>
  <c r="L3236" i="1"/>
  <c r="M3236" i="1" s="1"/>
  <c r="L3244" i="1"/>
  <c r="M3244" i="1" s="1"/>
  <c r="L3372" i="1"/>
  <c r="M3372" i="1" s="1"/>
  <c r="L3380" i="1"/>
  <c r="M3380" i="1" s="1"/>
  <c r="L3516" i="1"/>
  <c r="M3516" i="1" s="1"/>
  <c r="L3524" i="1"/>
  <c r="M3524" i="1" s="1"/>
  <c r="L3652" i="1"/>
  <c r="M3652" i="1" s="1"/>
  <c r="L3660" i="1"/>
  <c r="M3660" i="1" s="1"/>
  <c r="L3788" i="1"/>
  <c r="M3788" i="1" s="1"/>
  <c r="L3796" i="1"/>
  <c r="M3796" i="1" s="1"/>
  <c r="L3884" i="1"/>
  <c r="M3884" i="1" s="1"/>
  <c r="L3892" i="1"/>
  <c r="M3892" i="1" s="1"/>
  <c r="L862" i="1"/>
  <c r="M862" i="1" s="1"/>
  <c r="L870" i="1"/>
  <c r="M870" i="1" s="1"/>
  <c r="L998" i="1"/>
  <c r="M998" i="1" s="1"/>
  <c r="L1006" i="1"/>
  <c r="M1006" i="1" s="1"/>
  <c r="L1134" i="1"/>
  <c r="M1134" i="1" s="1"/>
  <c r="L1142" i="1"/>
  <c r="M1142" i="1" s="1"/>
  <c r="L1270" i="1"/>
  <c r="M1270" i="1" s="1"/>
  <c r="L1278" i="1"/>
  <c r="M1278" i="1" s="1"/>
  <c r="L1734" i="1"/>
  <c r="M1734" i="1" s="1"/>
  <c r="L1742" i="1"/>
  <c r="M1742" i="1" s="1"/>
  <c r="L1870" i="1"/>
  <c r="M1870" i="1" s="1"/>
  <c r="L1878" i="1"/>
  <c r="M1878" i="1" s="1"/>
  <c r="L2006" i="1"/>
  <c r="M2006" i="1" s="1"/>
  <c r="L2014" i="1"/>
  <c r="M2014" i="1" s="1"/>
  <c r="L2142" i="1"/>
  <c r="M2142" i="1" s="1"/>
  <c r="L2150" i="1"/>
  <c r="M2150" i="1" s="1"/>
  <c r="L2278" i="1"/>
  <c r="M2278" i="1" s="1"/>
  <c r="L2286" i="1"/>
  <c r="M2286" i="1" s="1"/>
  <c r="L2398" i="1"/>
  <c r="M2398" i="1" s="1"/>
  <c r="L2406" i="1"/>
  <c r="M2406" i="1" s="1"/>
  <c r="L2550" i="1"/>
  <c r="M2550" i="1" s="1"/>
  <c r="L2558" i="1"/>
  <c r="M2558" i="1" s="1"/>
  <c r="L2694" i="1"/>
  <c r="M2694" i="1" s="1"/>
  <c r="L2702" i="1"/>
  <c r="M2702" i="1" s="1"/>
  <c r="L2830" i="1"/>
  <c r="M2830" i="1" s="1"/>
  <c r="L2838" i="1"/>
  <c r="M2838" i="1" s="1"/>
  <c r="L2966" i="1"/>
  <c r="M2966" i="1" s="1"/>
  <c r="L2974" i="1"/>
  <c r="M2974" i="1" s="1"/>
  <c r="L3102" i="1"/>
  <c r="M3102" i="1" s="1"/>
  <c r="L3110" i="1"/>
  <c r="M3110" i="1" s="1"/>
  <c r="L3238" i="1"/>
  <c r="M3238" i="1" s="1"/>
  <c r="L3246" i="1"/>
  <c r="M3246" i="1" s="1"/>
  <c r="L3374" i="1"/>
  <c r="M3374" i="1" s="1"/>
  <c r="L3382" i="1"/>
  <c r="M3382" i="1" s="1"/>
  <c r="L3510" i="1"/>
  <c r="M3510" i="1" s="1"/>
  <c r="L3518" i="1"/>
  <c r="M3518" i="1" s="1"/>
  <c r="L3646" i="1"/>
  <c r="M3646" i="1" s="1"/>
  <c r="L3654" i="1"/>
  <c r="M3654" i="1" s="1"/>
  <c r="L3790" i="1"/>
  <c r="M3790" i="1" s="1"/>
  <c r="L3798" i="1"/>
  <c r="M3798" i="1" s="1"/>
  <c r="L3886" i="1"/>
  <c r="M3886" i="1" s="1"/>
  <c r="L864" i="1"/>
  <c r="M864" i="1" s="1"/>
  <c r="L872" i="1"/>
  <c r="M872" i="1" s="1"/>
  <c r="L1000" i="1"/>
  <c r="M1000" i="1" s="1"/>
  <c r="L1008" i="1"/>
  <c r="M1008" i="1" s="1"/>
  <c r="L1136" i="1"/>
  <c r="M1136" i="1" s="1"/>
  <c r="L1144" i="1"/>
  <c r="M1144" i="1" s="1"/>
  <c r="L1735" i="1"/>
  <c r="M1735" i="1" s="1"/>
  <c r="L1743" i="1"/>
  <c r="M1743" i="1" s="1"/>
  <c r="L1871" i="1"/>
  <c r="M1871" i="1" s="1"/>
  <c r="L1879" i="1"/>
  <c r="M1879" i="1" s="1"/>
  <c r="L2007" i="1"/>
  <c r="M2007" i="1" s="1"/>
  <c r="L2015" i="1"/>
  <c r="M2015" i="1" s="1"/>
  <c r="L2143" i="1"/>
  <c r="M2143" i="1" s="1"/>
  <c r="L2151" i="1"/>
  <c r="M2151" i="1" s="1"/>
  <c r="L2279" i="1"/>
  <c r="M2279" i="1" s="1"/>
  <c r="L2287" i="1"/>
  <c r="M2287" i="1" s="1"/>
  <c r="L2399" i="1"/>
  <c r="M2399" i="1" s="1"/>
  <c r="L2407" i="1"/>
  <c r="M2407" i="1" s="1"/>
  <c r="L2551" i="1"/>
  <c r="M2551" i="1" s="1"/>
  <c r="L2559" i="1"/>
  <c r="M2559" i="1" s="1"/>
  <c r="L2687" i="1"/>
  <c r="M2687" i="1" s="1"/>
  <c r="L2695" i="1"/>
  <c r="M2695" i="1" s="1"/>
  <c r="L2831" i="1"/>
  <c r="M2831" i="1" s="1"/>
  <c r="L2839" i="1"/>
  <c r="M2839" i="1" s="1"/>
  <c r="L2967" i="1"/>
  <c r="M2967" i="1" s="1"/>
  <c r="L2975" i="1"/>
  <c r="M2975" i="1" s="1"/>
  <c r="L3103" i="1"/>
  <c r="M3103" i="1" s="1"/>
  <c r="L3111" i="1"/>
  <c r="M3111" i="1" s="1"/>
  <c r="L3239" i="1"/>
  <c r="M3239" i="1" s="1"/>
  <c r="L3247" i="1"/>
  <c r="M3247" i="1" s="1"/>
  <c r="L3375" i="1"/>
  <c r="M3375" i="1" s="1"/>
  <c r="L3383" i="1"/>
  <c r="M3383" i="1" s="1"/>
  <c r="L3511" i="1"/>
  <c r="M3511" i="1" s="1"/>
  <c r="L3519" i="1"/>
  <c r="M3519" i="1" s="1"/>
  <c r="L3647" i="1"/>
  <c r="M3647" i="1" s="1"/>
  <c r="L3655" i="1"/>
  <c r="M3655" i="1" s="1"/>
  <c r="L3783" i="1"/>
  <c r="M3783" i="1" s="1"/>
  <c r="L3791" i="1"/>
  <c r="M3791" i="1" s="1"/>
  <c r="L3887" i="1"/>
  <c r="M3887" i="1" s="1"/>
  <c r="L865" i="1"/>
  <c r="M865" i="1" s="1"/>
  <c r="L873" i="1"/>
  <c r="M873" i="1" s="1"/>
  <c r="L1001" i="1"/>
  <c r="M1001" i="1" s="1"/>
  <c r="L1009" i="1"/>
  <c r="M1009" i="1" s="1"/>
  <c r="L1137" i="1"/>
  <c r="M1137" i="1" s="1"/>
  <c r="L1145" i="1"/>
  <c r="M1145" i="1" s="1"/>
  <c r="L1728" i="1"/>
  <c r="M1728" i="1" s="1"/>
  <c r="L1736" i="1"/>
  <c r="M1736" i="1" s="1"/>
  <c r="L1872" i="1"/>
  <c r="M1872" i="1" s="1"/>
  <c r="L1880" i="1"/>
  <c r="M1880" i="1" s="1"/>
  <c r="L2008" i="1"/>
  <c r="M2008" i="1" s="1"/>
  <c r="L2016" i="1"/>
  <c r="M2016" i="1" s="1"/>
  <c r="L2144" i="1"/>
  <c r="M2144" i="1" s="1"/>
  <c r="L2152" i="1"/>
  <c r="M2152" i="1" s="1"/>
  <c r="L2280" i="1"/>
  <c r="M2280" i="1" s="1"/>
  <c r="L2288" i="1"/>
  <c r="M2288" i="1" s="1"/>
  <c r="L2400" i="1"/>
  <c r="M2400" i="1" s="1"/>
  <c r="L2408" i="1"/>
  <c r="M2408" i="1" s="1"/>
  <c r="L2552" i="1"/>
  <c r="M2552" i="1" s="1"/>
  <c r="L2560" i="1"/>
  <c r="M2560" i="1" s="1"/>
  <c r="L2688" i="1"/>
  <c r="M2688" i="1" s="1"/>
  <c r="L2696" i="1"/>
  <c r="M2696" i="1" s="1"/>
  <c r="L2824" i="1"/>
  <c r="M2824" i="1" s="1"/>
  <c r="L2832" i="1"/>
  <c r="M2832" i="1" s="1"/>
  <c r="L2968" i="1"/>
  <c r="M2968" i="1" s="1"/>
  <c r="L2976" i="1"/>
  <c r="M2976" i="1" s="1"/>
  <c r="L3104" i="1"/>
  <c r="M3104" i="1" s="1"/>
  <c r="L3112" i="1"/>
  <c r="M3112" i="1" s="1"/>
  <c r="L3240" i="1"/>
  <c r="M3240" i="1" s="1"/>
  <c r="L3248" i="1"/>
  <c r="M3248" i="1" s="1"/>
  <c r="L3376" i="1"/>
  <c r="M3376" i="1" s="1"/>
  <c r="L3384" i="1"/>
  <c r="M3384" i="1" s="1"/>
  <c r="L3512" i="1"/>
  <c r="M3512" i="1" s="1"/>
  <c r="L3520" i="1"/>
  <c r="M3520" i="1" s="1"/>
  <c r="L3648" i="1"/>
  <c r="M3648" i="1" s="1"/>
  <c r="L3656" i="1"/>
  <c r="M3656" i="1" s="1"/>
  <c r="L3784" i="1"/>
  <c r="M3784" i="1" s="1"/>
  <c r="L3792" i="1"/>
  <c r="M3792" i="1" s="1"/>
  <c r="L3888" i="1"/>
  <c r="M3888" i="1" s="1"/>
  <c r="L866" i="1"/>
  <c r="M866" i="1" s="1"/>
  <c r="L874" i="1"/>
  <c r="M874" i="1" s="1"/>
  <c r="L1002" i="1"/>
  <c r="M1002" i="1" s="1"/>
  <c r="L1010" i="1"/>
  <c r="M1010" i="1" s="1"/>
  <c r="L1138" i="1"/>
  <c r="M1138" i="1" s="1"/>
  <c r="L1146" i="1"/>
  <c r="M1146" i="1" s="1"/>
  <c r="L1274" i="1"/>
  <c r="M1274" i="1" s="1"/>
  <c r="L1877" i="1"/>
  <c r="M1877" i="1" s="1"/>
  <c r="L2005" i="1"/>
  <c r="M2005" i="1" s="1"/>
  <c r="L2397" i="1"/>
  <c r="M2397" i="1" s="1"/>
  <c r="L2973" i="1"/>
  <c r="M2973" i="1" s="1"/>
  <c r="L3101" i="1"/>
  <c r="M3101" i="1" s="1"/>
  <c r="L1279" i="1"/>
  <c r="M1279" i="1" s="1"/>
  <c r="L66" i="1"/>
  <c r="M66" i="1" s="1"/>
  <c r="L170" i="1"/>
  <c r="M170" i="1" s="1"/>
  <c r="L178" i="1"/>
  <c r="M178" i="1" s="1"/>
  <c r="L306" i="1"/>
  <c r="M306" i="1" s="1"/>
  <c r="L314" i="1"/>
  <c r="M314" i="1" s="1"/>
  <c r="L442" i="1"/>
  <c r="M442" i="1" s="1"/>
  <c r="L450" i="1"/>
  <c r="M450" i="1" s="1"/>
  <c r="L578" i="1"/>
  <c r="M578" i="1" s="1"/>
  <c r="L586" i="1"/>
  <c r="M586" i="1" s="1"/>
  <c r="L730" i="1"/>
  <c r="M730" i="1" s="1"/>
  <c r="L738" i="1"/>
  <c r="M738" i="1" s="1"/>
  <c r="L2557" i="1"/>
  <c r="M2557" i="1" s="1"/>
  <c r="L3517" i="1"/>
  <c r="M3517" i="1" s="1"/>
  <c r="L70" i="1"/>
  <c r="M70" i="1" s="1"/>
  <c r="L302" i="1"/>
  <c r="M302" i="1" s="1"/>
  <c r="L582" i="1"/>
  <c r="M582" i="1" s="1"/>
  <c r="L726" i="1"/>
  <c r="M726" i="1" s="1"/>
  <c r="L2013" i="1"/>
  <c r="M2013" i="1" s="1"/>
  <c r="L2141" i="1"/>
  <c r="M2141" i="1" s="1"/>
  <c r="L2405" i="1"/>
  <c r="M2405" i="1" s="1"/>
  <c r="L3109" i="1"/>
  <c r="M3109" i="1" s="1"/>
  <c r="L3237" i="1"/>
  <c r="M3237" i="1" s="1"/>
  <c r="L3885" i="1"/>
  <c r="M3885" i="1" s="1"/>
  <c r="L1280" i="1"/>
  <c r="M1280" i="1" s="1"/>
  <c r="M1332" i="1"/>
  <c r="L67" i="1"/>
  <c r="M67" i="1" s="1"/>
  <c r="L163" i="1"/>
  <c r="M163" i="1" s="1"/>
  <c r="L171" i="1"/>
  <c r="M171" i="1" s="1"/>
  <c r="L299" i="1"/>
  <c r="M299" i="1" s="1"/>
  <c r="L307" i="1"/>
  <c r="M307" i="1" s="1"/>
  <c r="L435" i="1"/>
  <c r="M435" i="1" s="1"/>
  <c r="L443" i="1"/>
  <c r="M443" i="1" s="1"/>
  <c r="L571" i="1"/>
  <c r="M571" i="1" s="1"/>
  <c r="L579" i="1"/>
  <c r="M579" i="1" s="1"/>
  <c r="L731" i="1"/>
  <c r="M731" i="1" s="1"/>
  <c r="L739" i="1"/>
  <c r="M739" i="1" s="1"/>
  <c r="L166" i="1"/>
  <c r="M166" i="1" s="1"/>
  <c r="L446" i="1"/>
  <c r="M446" i="1" s="1"/>
  <c r="L1606" i="1"/>
  <c r="M1606" i="1" s="1"/>
  <c r="L2149" i="1"/>
  <c r="M2149" i="1" s="1"/>
  <c r="L2277" i="1"/>
  <c r="M2277" i="1" s="1"/>
  <c r="L3245" i="1"/>
  <c r="M3245" i="1" s="1"/>
  <c r="L3373" i="1"/>
  <c r="M3373" i="1" s="1"/>
  <c r="L1281" i="1"/>
  <c r="M1281" i="1" s="1"/>
  <c r="L68" i="1"/>
  <c r="M68" i="1" s="1"/>
  <c r="L164" i="1"/>
  <c r="M164" i="1" s="1"/>
  <c r="L172" i="1"/>
  <c r="M172" i="1" s="1"/>
  <c r="L300" i="1"/>
  <c r="M300" i="1" s="1"/>
  <c r="L308" i="1"/>
  <c r="M308" i="1" s="1"/>
  <c r="L436" i="1"/>
  <c r="M436" i="1" s="1"/>
  <c r="L444" i="1"/>
  <c r="M444" i="1" s="1"/>
  <c r="L572" i="1"/>
  <c r="M572" i="1" s="1"/>
  <c r="L580" i="1"/>
  <c r="M580" i="1" s="1"/>
  <c r="L724" i="1"/>
  <c r="M724" i="1" s="1"/>
  <c r="L732" i="1"/>
  <c r="M732" i="1" s="1"/>
  <c r="L871" i="1"/>
  <c r="M871" i="1" s="1"/>
  <c r="L2285" i="1"/>
  <c r="M2285" i="1" s="1"/>
  <c r="L3381" i="1"/>
  <c r="M3381" i="1" s="1"/>
  <c r="L3509" i="1"/>
  <c r="M3509" i="1" s="1"/>
  <c r="L863" i="1"/>
  <c r="M863" i="1" s="1"/>
  <c r="L999" i="1"/>
  <c r="M999" i="1" s="1"/>
  <c r="L1135" i="1"/>
  <c r="M1135" i="1" s="1"/>
  <c r="L1271" i="1"/>
  <c r="M1271" i="1" s="1"/>
  <c r="L1282" i="1"/>
  <c r="M1282" i="1" s="1"/>
  <c r="L69" i="1"/>
  <c r="M69" i="1" s="1"/>
  <c r="L165" i="1"/>
  <c r="M165" i="1" s="1"/>
  <c r="L173" i="1"/>
  <c r="M173" i="1" s="1"/>
  <c r="L301" i="1"/>
  <c r="M301" i="1" s="1"/>
  <c r="L309" i="1"/>
  <c r="M309" i="1" s="1"/>
  <c r="L437" i="1"/>
  <c r="M437" i="1" s="1"/>
  <c r="L445" i="1"/>
  <c r="M445" i="1" s="1"/>
  <c r="L573" i="1"/>
  <c r="M573" i="1" s="1"/>
  <c r="L581" i="1"/>
  <c r="M581" i="1" s="1"/>
  <c r="L725" i="1"/>
  <c r="M725" i="1" s="1"/>
  <c r="L733" i="1"/>
  <c r="M733" i="1" s="1"/>
  <c r="L3653" i="1"/>
  <c r="M3653" i="1" s="1"/>
  <c r="L1272" i="1"/>
  <c r="M1272" i="1" s="1"/>
  <c r="L310" i="1"/>
  <c r="M310" i="1" s="1"/>
  <c r="L438" i="1"/>
  <c r="M438" i="1" s="1"/>
  <c r="L2565" i="1"/>
  <c r="M2565" i="1" s="1"/>
  <c r="L2693" i="1"/>
  <c r="M2693" i="1" s="1"/>
  <c r="L3661" i="1"/>
  <c r="M3661" i="1" s="1"/>
  <c r="L3789" i="1"/>
  <c r="M3789" i="1" s="1"/>
  <c r="L1273" i="1"/>
  <c r="M1273" i="1" s="1"/>
  <c r="L63" i="1"/>
  <c r="M63" i="1" s="1"/>
  <c r="L71" i="1"/>
  <c r="M71" i="1" s="1"/>
  <c r="L167" i="1"/>
  <c r="M167" i="1" s="1"/>
  <c r="L175" i="1"/>
  <c r="M175" i="1" s="1"/>
  <c r="L303" i="1"/>
  <c r="M303" i="1" s="1"/>
  <c r="L311" i="1"/>
  <c r="M311" i="1" s="1"/>
  <c r="L439" i="1"/>
  <c r="M439" i="1" s="1"/>
  <c r="L447" i="1"/>
  <c r="M447" i="1" s="1"/>
  <c r="L575" i="1"/>
  <c r="M575" i="1" s="1"/>
  <c r="L583" i="1"/>
  <c r="M583" i="1" s="1"/>
  <c r="L727" i="1"/>
  <c r="M727" i="1" s="1"/>
  <c r="L735" i="1"/>
  <c r="M735" i="1" s="1"/>
  <c r="L3917" i="1"/>
  <c r="M3917" i="1" s="1"/>
  <c r="L1283" i="1"/>
  <c r="M1283" i="1" s="1"/>
  <c r="L62" i="1"/>
  <c r="M62" i="1" s="1"/>
  <c r="L174" i="1"/>
  <c r="M174" i="1" s="1"/>
  <c r="L574" i="1"/>
  <c r="M574" i="1" s="1"/>
  <c r="L1733" i="1"/>
  <c r="M1733" i="1" s="1"/>
  <c r="L2701" i="1"/>
  <c r="M2701" i="1" s="1"/>
  <c r="L2829" i="1"/>
  <c r="M2829" i="1" s="1"/>
  <c r="L3797" i="1"/>
  <c r="M3797" i="1" s="1"/>
  <c r="L3933" i="1"/>
  <c r="M3933" i="1" s="1"/>
  <c r="L1275" i="1"/>
  <c r="M1275" i="1" s="1"/>
  <c r="L64" i="1"/>
  <c r="M64" i="1" s="1"/>
  <c r="L168" i="1"/>
  <c r="M168" i="1" s="1"/>
  <c r="L176" i="1"/>
  <c r="M176" i="1" s="1"/>
  <c r="L304" i="1"/>
  <c r="M304" i="1" s="1"/>
  <c r="L312" i="1"/>
  <c r="M312" i="1" s="1"/>
  <c r="L440" i="1"/>
  <c r="M440" i="1" s="1"/>
  <c r="L448" i="1"/>
  <c r="M448" i="1" s="1"/>
  <c r="L576" i="1"/>
  <c r="M576" i="1" s="1"/>
  <c r="L584" i="1"/>
  <c r="M584" i="1" s="1"/>
  <c r="L728" i="1"/>
  <c r="M728" i="1" s="1"/>
  <c r="L736" i="1"/>
  <c r="M736" i="1" s="1"/>
  <c r="L1007" i="1"/>
  <c r="M1007" i="1" s="1"/>
  <c r="L1741" i="1"/>
  <c r="M1741" i="1" s="1"/>
  <c r="L1869" i="1"/>
  <c r="M1869" i="1" s="1"/>
  <c r="L2837" i="1"/>
  <c r="M2837" i="1" s="1"/>
  <c r="L2965" i="1"/>
  <c r="M2965" i="1" s="1"/>
  <c r="L1277" i="1"/>
  <c r="M1277" i="1" s="1"/>
  <c r="L65" i="1"/>
  <c r="M65" i="1" s="1"/>
  <c r="L169" i="1"/>
  <c r="M169" i="1" s="1"/>
  <c r="L177" i="1"/>
  <c r="M177" i="1" s="1"/>
  <c r="L305" i="1"/>
  <c r="M305" i="1" s="1"/>
  <c r="L313" i="1"/>
  <c r="M313" i="1" s="1"/>
  <c r="L441" i="1"/>
  <c r="M441" i="1" s="1"/>
  <c r="L449" i="1"/>
  <c r="M449" i="1" s="1"/>
  <c r="L577" i="1"/>
  <c r="M577" i="1" s="1"/>
  <c r="L585" i="1"/>
  <c r="M585" i="1" s="1"/>
  <c r="L729" i="1"/>
  <c r="M729" i="1" s="1"/>
  <c r="L737" i="1"/>
  <c r="M737" i="1" s="1"/>
  <c r="L1143" i="1"/>
  <c r="M1143" i="1" s="1"/>
  <c r="L734" i="1"/>
  <c r="M734" i="1" s="1"/>
  <c r="D35" i="40"/>
  <c r="D62" i="40" s="1"/>
  <c r="B1" i="31"/>
  <c r="E75" i="31" s="1"/>
  <c r="K285" i="15"/>
  <c r="K256" i="15"/>
  <c r="K265" i="15"/>
  <c r="K278" i="15"/>
  <c r="K282" i="15"/>
  <c r="K288" i="15"/>
  <c r="K292" i="15"/>
  <c r="K261" i="15"/>
  <c r="K270" i="15"/>
  <c r="K274" i="15"/>
  <c r="K257" i="15"/>
  <c r="K262" i="15"/>
  <c r="K266" i="15"/>
  <c r="K275" i="15"/>
  <c r="K279" i="15"/>
  <c r="K283" i="15"/>
  <c r="K289" i="15"/>
  <c r="K271" i="15"/>
  <c r="K258" i="15"/>
  <c r="K263" i="15"/>
  <c r="K267" i="15"/>
  <c r="K276" i="15"/>
  <c r="K280" i="15"/>
  <c r="K284" i="15"/>
  <c r="K290" i="15"/>
  <c r="K259" i="15"/>
  <c r="K268" i="15"/>
  <c r="K272" i="15"/>
  <c r="K286" i="15"/>
  <c r="K264" i="15"/>
  <c r="K277" i="15"/>
  <c r="K281" i="15"/>
  <c r="K291" i="15"/>
  <c r="K260" i="15"/>
  <c r="K269" i="15"/>
  <c r="K273" i="15"/>
  <c r="K287" i="15"/>
  <c r="K196" i="15"/>
  <c r="K204" i="15"/>
  <c r="K212" i="15"/>
  <c r="K220" i="15"/>
  <c r="K228" i="15"/>
  <c r="K244" i="15"/>
  <c r="K197" i="15"/>
  <c r="K205" i="15"/>
  <c r="K213" i="15"/>
  <c r="K221" i="15"/>
  <c r="K198" i="15"/>
  <c r="K206" i="15"/>
  <c r="K214" i="15"/>
  <c r="K222" i="15"/>
  <c r="K230" i="15"/>
  <c r="K238" i="15"/>
  <c r="K246" i="15"/>
  <c r="K254" i="15"/>
  <c r="K199" i="15"/>
  <c r="K207" i="15"/>
  <c r="K215" i="15"/>
  <c r="K223" i="15"/>
  <c r="K231" i="15"/>
  <c r="K239" i="15"/>
  <c r="K247" i="15"/>
  <c r="K255" i="15"/>
  <c r="K229" i="15"/>
  <c r="K200" i="15"/>
  <c r="K208" i="15"/>
  <c r="K216" i="15"/>
  <c r="K224" i="15"/>
  <c r="K232" i="15"/>
  <c r="K240" i="15"/>
  <c r="K248" i="15"/>
  <c r="K253" i="15"/>
  <c r="K201" i="15"/>
  <c r="K209" i="15"/>
  <c r="K217" i="15"/>
  <c r="K225" i="15"/>
  <c r="K233" i="15"/>
  <c r="K241" i="15"/>
  <c r="K249" i="15"/>
  <c r="K237" i="15"/>
  <c r="K194" i="15"/>
  <c r="K202" i="15"/>
  <c r="K210" i="15"/>
  <c r="K218" i="15"/>
  <c r="K226" i="15"/>
  <c r="K234" i="15"/>
  <c r="K242" i="15"/>
  <c r="K250" i="15"/>
  <c r="K252" i="15"/>
  <c r="K195" i="15"/>
  <c r="K203" i="15"/>
  <c r="K211" i="15"/>
  <c r="K219" i="15"/>
  <c r="K227" i="15"/>
  <c r="K235" i="15"/>
  <c r="K243" i="15"/>
  <c r="K251" i="15"/>
  <c r="K236" i="15"/>
  <c r="K245" i="15"/>
  <c r="A2" i="31"/>
  <c r="E48" i="31"/>
  <c r="E58" i="31"/>
  <c r="E26" i="31"/>
  <c r="E56" i="31"/>
  <c r="E41" i="31"/>
  <c r="E19" i="31"/>
  <c r="E16" i="31"/>
  <c r="E108" i="31"/>
  <c r="E96" i="31"/>
  <c r="E97" i="31"/>
  <c r="E43" i="35"/>
  <c r="E105" i="35"/>
  <c r="E77" i="35"/>
  <c r="E19" i="35"/>
  <c r="E103" i="35"/>
  <c r="E101" i="35"/>
  <c r="E27" i="35"/>
  <c r="E111" i="35"/>
  <c r="E70" i="35"/>
  <c r="E49" i="35"/>
  <c r="E98" i="35"/>
  <c r="E104" i="35"/>
  <c r="E81" i="35"/>
  <c r="E55" i="35"/>
  <c r="E40" i="35"/>
  <c r="E97" i="35"/>
  <c r="E102" i="35"/>
  <c r="E72" i="35"/>
  <c r="E46" i="35"/>
  <c r="A2" i="35"/>
  <c r="E75" i="35"/>
  <c r="E59" i="35"/>
  <c r="E15" i="35"/>
  <c r="E106" i="35"/>
  <c r="E108" i="35"/>
  <c r="E66" i="35"/>
  <c r="E53" i="35"/>
  <c r="E29" i="35"/>
  <c r="E51" i="35"/>
  <c r="E17" i="35"/>
  <c r="E85" i="35"/>
  <c r="E73" i="35"/>
  <c r="E47" i="35"/>
  <c r="E18" i="35"/>
  <c r="E13" i="35"/>
  <c r="E79" i="35"/>
  <c r="E58" i="35"/>
  <c r="E14" i="35"/>
  <c r="E48" i="35"/>
  <c r="E56" i="35"/>
  <c r="E22" i="35"/>
  <c r="E20" i="35"/>
  <c r="E78" i="35"/>
  <c r="E52" i="35"/>
  <c r="E23" i="35"/>
  <c r="E26" i="35"/>
  <c r="E84" i="35"/>
  <c r="E60" i="35"/>
  <c r="E44" i="35"/>
  <c r="E50" i="35"/>
  <c r="E82" i="35"/>
  <c r="E67" i="35"/>
  <c r="E32" i="35"/>
  <c r="E25" i="35"/>
  <c r="E83" i="35"/>
  <c r="E57" i="35"/>
  <c r="E28" i="35"/>
  <c r="E31" i="35"/>
  <c r="E86" i="35"/>
  <c r="E69" i="35"/>
  <c r="E96" i="35"/>
  <c r="E76" i="35"/>
  <c r="E99" i="35"/>
  <c r="E80" i="35"/>
  <c r="E41" i="35"/>
  <c r="E30" i="35"/>
  <c r="E92" i="35"/>
  <c r="E68" i="35"/>
  <c r="E42" i="35"/>
  <c r="E33" i="35"/>
  <c r="E112" i="35"/>
  <c r="E74" i="35"/>
  <c r="B63" i="35"/>
  <c r="E95" i="35"/>
  <c r="E24" i="35"/>
  <c r="E107" i="35"/>
  <c r="E54" i="35"/>
  <c r="B37" i="35"/>
  <c r="E94" i="35"/>
  <c r="E100" i="35"/>
  <c r="E71" i="35"/>
  <c r="E45" i="35"/>
  <c r="E16" i="35"/>
  <c r="E93" i="35"/>
  <c r="E109" i="35"/>
  <c r="E21" i="35"/>
  <c r="E72" i="33"/>
  <c r="E22" i="33"/>
  <c r="E105" i="33"/>
  <c r="E59" i="33"/>
  <c r="E15" i="33"/>
  <c r="E77" i="33"/>
  <c r="E32" i="33"/>
  <c r="E25" i="33"/>
  <c r="E43" i="33"/>
  <c r="E19" i="33"/>
  <c r="E24" i="33"/>
  <c r="B1" i="32"/>
  <c r="E48" i="33"/>
  <c r="E92" i="33"/>
  <c r="E54" i="33"/>
  <c r="E41" i="33"/>
  <c r="E98" i="33"/>
  <c r="E44" i="33"/>
  <c r="E85" i="33"/>
  <c r="E27" i="33"/>
  <c r="E111" i="33"/>
  <c r="E106" i="33"/>
  <c r="E108" i="33"/>
  <c r="E79" i="33"/>
  <c r="E58" i="33"/>
  <c r="E99" i="33"/>
  <c r="E73" i="33"/>
  <c r="E70" i="33"/>
  <c r="E46" i="33"/>
  <c r="E47" i="33"/>
  <c r="E18" i="33"/>
  <c r="E26" i="33"/>
  <c r="E84" i="33"/>
  <c r="E60" i="33"/>
  <c r="E29" i="33"/>
  <c r="E78" i="33"/>
  <c r="E75" i="33"/>
  <c r="E51" i="33"/>
  <c r="E52" i="33"/>
  <c r="E23" i="33"/>
  <c r="E31" i="33"/>
  <c r="E86" i="33"/>
  <c r="E69" i="33"/>
  <c r="E49" i="33"/>
  <c r="E96" i="33"/>
  <c r="E94" i="33"/>
  <c r="E56" i="33"/>
  <c r="E57" i="33"/>
  <c r="E28" i="33"/>
  <c r="E33" i="33"/>
  <c r="E112" i="33"/>
  <c r="E74" i="33"/>
  <c r="E83" i="33"/>
  <c r="E103" i="33"/>
  <c r="E101" i="33"/>
  <c r="E67" i="33"/>
  <c r="E68" i="33"/>
  <c r="E42" i="33"/>
  <c r="E45" i="33"/>
  <c r="E16" i="33"/>
  <c r="E93" i="33"/>
  <c r="A2" i="33"/>
  <c r="E13" i="33"/>
  <c r="B63" i="33"/>
  <c r="E80" i="33"/>
  <c r="E100" i="33"/>
  <c r="E71" i="33"/>
  <c r="E50" i="33"/>
  <c r="E21" i="33"/>
  <c r="E95" i="33"/>
  <c r="E20" i="33"/>
  <c r="E17" i="33"/>
  <c r="E82" i="33"/>
  <c r="E107" i="33"/>
  <c r="E102" i="33"/>
  <c r="E76" i="33"/>
  <c r="E55" i="33"/>
  <c r="E40" i="33"/>
  <c r="E97" i="33"/>
  <c r="B37" i="33"/>
  <c r="E30" i="33"/>
  <c r="E14" i="33"/>
  <c r="E109" i="33"/>
  <c r="E104" i="33"/>
  <c r="E81" i="33"/>
  <c r="E66" i="33"/>
  <c r="E53" i="33"/>
  <c r="K79" i="15"/>
  <c r="K83" i="15"/>
  <c r="K87" i="15"/>
  <c r="K91" i="15"/>
  <c r="K95" i="15"/>
  <c r="K99" i="15"/>
  <c r="K103" i="15"/>
  <c r="K107" i="15"/>
  <c r="K111" i="15"/>
  <c r="K115" i="15"/>
  <c r="K119" i="15"/>
  <c r="K123" i="15"/>
  <c r="K96" i="15"/>
  <c r="K120" i="15"/>
  <c r="K88" i="15"/>
  <c r="K112" i="15"/>
  <c r="K81" i="15"/>
  <c r="K89" i="15"/>
  <c r="K97" i="15"/>
  <c r="K105" i="15"/>
  <c r="K113" i="15"/>
  <c r="K121" i="15"/>
  <c r="K129" i="15"/>
  <c r="K100" i="15"/>
  <c r="K128" i="15"/>
  <c r="K85" i="15"/>
  <c r="K93" i="15"/>
  <c r="K101" i="15"/>
  <c r="K109" i="15"/>
  <c r="K117" i="15"/>
  <c r="K125" i="15"/>
  <c r="K80" i="15"/>
  <c r="K104" i="15"/>
  <c r="K124" i="15"/>
  <c r="K82" i="15"/>
  <c r="K90" i="15"/>
  <c r="K98" i="15"/>
  <c r="K106" i="15"/>
  <c r="K114" i="15"/>
  <c r="K118" i="15"/>
  <c r="K126" i="15"/>
  <c r="K127" i="15"/>
  <c r="K92" i="15"/>
  <c r="K116" i="15"/>
  <c r="K78" i="15"/>
  <c r="K86" i="15"/>
  <c r="K94" i="15"/>
  <c r="K102" i="15"/>
  <c r="K110" i="15"/>
  <c r="K122" i="15"/>
  <c r="K84" i="15"/>
  <c r="K108" i="15"/>
  <c r="K9" i="15"/>
  <c r="K17" i="15"/>
  <c r="K25" i="15"/>
  <c r="K33" i="15"/>
  <c r="K41" i="15"/>
  <c r="K18" i="15"/>
  <c r="K66" i="15"/>
  <c r="K42" i="15"/>
  <c r="K35" i="15"/>
  <c r="K11" i="15"/>
  <c r="K51" i="15"/>
  <c r="K12" i="15"/>
  <c r="K20" i="15"/>
  <c r="K28" i="15"/>
  <c r="K36" i="15"/>
  <c r="K44" i="15"/>
  <c r="K52" i="15"/>
  <c r="K60" i="15"/>
  <c r="K14" i="15"/>
  <c r="K38" i="15"/>
  <c r="K62" i="15"/>
  <c r="K32" i="15"/>
  <c r="K64" i="15"/>
  <c r="K50" i="15"/>
  <c r="K43" i="15"/>
  <c r="K5" i="15"/>
  <c r="K13" i="15"/>
  <c r="K21" i="15"/>
  <c r="K29" i="15"/>
  <c r="K37" i="15"/>
  <c r="K45" i="15"/>
  <c r="K53" i="15"/>
  <c r="K61" i="15"/>
  <c r="K6" i="15"/>
  <c r="K30" i="15"/>
  <c r="K46" i="15"/>
  <c r="K16" i="15"/>
  <c r="K48" i="15"/>
  <c r="K65" i="15"/>
  <c r="K10" i="15"/>
  <c r="K27" i="15"/>
  <c r="K22" i="15"/>
  <c r="K54" i="15"/>
  <c r="K24" i="15"/>
  <c r="K56" i="15"/>
  <c r="K49" i="15"/>
  <c r="K26" i="15"/>
  <c r="K58" i="15"/>
  <c r="K59" i="15"/>
  <c r="K7" i="15"/>
  <c r="K15" i="15"/>
  <c r="K23" i="15"/>
  <c r="K31" i="15"/>
  <c r="K39" i="15"/>
  <c r="K47" i="15"/>
  <c r="K55" i="15"/>
  <c r="K63" i="15"/>
  <c r="K8" i="15"/>
  <c r="K40" i="15"/>
  <c r="K57" i="15"/>
  <c r="K34" i="15"/>
  <c r="K19" i="15"/>
  <c r="K131" i="15"/>
  <c r="K135" i="15"/>
  <c r="K139" i="15"/>
  <c r="K143" i="15"/>
  <c r="K147" i="15"/>
  <c r="K151" i="15"/>
  <c r="K155" i="15"/>
  <c r="K159" i="15"/>
  <c r="K163" i="15"/>
  <c r="K167" i="15"/>
  <c r="K132" i="15"/>
  <c r="K136" i="15"/>
  <c r="K140" i="15"/>
  <c r="K144" i="15"/>
  <c r="K148" i="15"/>
  <c r="K152" i="15"/>
  <c r="K164" i="15"/>
  <c r="K133" i="15"/>
  <c r="K141" i="15"/>
  <c r="K149" i="15"/>
  <c r="K157" i="15"/>
  <c r="K165" i="15"/>
  <c r="K137" i="15"/>
  <c r="K145" i="15"/>
  <c r="K153" i="15"/>
  <c r="K161" i="15"/>
  <c r="K156" i="15"/>
  <c r="K138" i="15"/>
  <c r="K142" i="15"/>
  <c r="K150" i="15"/>
  <c r="K158" i="15"/>
  <c r="K166" i="15"/>
  <c r="K134" i="15"/>
  <c r="K146" i="15"/>
  <c r="K154" i="15"/>
  <c r="K162" i="15"/>
  <c r="K160" i="15"/>
  <c r="B1" i="30"/>
  <c r="B1" i="27"/>
  <c r="C7" i="5"/>
  <c r="B1" i="28"/>
  <c r="C15" i="5"/>
  <c r="B1" i="12"/>
  <c r="C23" i="5"/>
  <c r="B23" i="5"/>
  <c r="B7" i="5"/>
  <c r="L7" i="5" s="1"/>
  <c r="B24" i="5"/>
  <c r="B8" i="5"/>
  <c r="B15" i="5"/>
  <c r="B16" i="5"/>
  <c r="D16" i="5"/>
  <c r="D15" i="5"/>
  <c r="Y20" i="44" l="1"/>
  <c r="K40" i="44"/>
  <c r="Z37" i="44"/>
  <c r="R35" i="44"/>
  <c r="S38" i="44"/>
  <c r="R30" i="44"/>
  <c r="R28" i="44"/>
  <c r="Z22" i="44"/>
  <c r="S32" i="44"/>
  <c r="Y37" i="44"/>
  <c r="K24" i="44"/>
  <c r="Y31" i="44"/>
  <c r="S35" i="44"/>
  <c r="S39" i="44"/>
  <c r="S37" i="44"/>
  <c r="K39" i="44"/>
  <c r="K32" i="44"/>
  <c r="L38" i="44"/>
  <c r="S24" i="44"/>
  <c r="Y30" i="44"/>
  <c r="Y28" i="44"/>
  <c r="L20" i="44"/>
  <c r="S22" i="44"/>
  <c r="R37" i="44"/>
  <c r="Y24" i="44"/>
  <c r="S31" i="44"/>
  <c r="Z34" i="44"/>
  <c r="L35" i="44"/>
  <c r="R34" i="44"/>
  <c r="Z39" i="44"/>
  <c r="L29" i="44"/>
  <c r="L37" i="44"/>
  <c r="Y39" i="44"/>
  <c r="R32" i="44"/>
  <c r="Z38" i="44"/>
  <c r="Y33" i="44"/>
  <c r="L24" i="44"/>
  <c r="K28" i="44"/>
  <c r="K38" i="44"/>
  <c r="Z20" i="44"/>
  <c r="K23" i="44"/>
  <c r="K37" i="44"/>
  <c r="K26" i="44"/>
  <c r="R24" i="44"/>
  <c r="L30" i="44"/>
  <c r="S27" i="44"/>
  <c r="L34" i="44"/>
  <c r="Z27" i="44"/>
  <c r="Z21" i="44"/>
  <c r="K21" i="44"/>
  <c r="Z35" i="44"/>
  <c r="K34" i="44"/>
  <c r="L39" i="44"/>
  <c r="S29" i="44"/>
  <c r="R39" i="44"/>
  <c r="Y32" i="44"/>
  <c r="R33" i="44"/>
  <c r="K25" i="44"/>
  <c r="Z24" i="44"/>
  <c r="R36" i="44"/>
  <c r="S20" i="44"/>
  <c r="Y23" i="44"/>
  <c r="S26" i="44"/>
  <c r="Y26" i="44"/>
  <c r="Z40" i="44"/>
  <c r="S30" i="44"/>
  <c r="R21" i="44"/>
  <c r="K27" i="44"/>
  <c r="Y34" i="44"/>
  <c r="Z29" i="44"/>
  <c r="K33" i="44"/>
  <c r="R25" i="44"/>
  <c r="R38" i="44"/>
  <c r="R23" i="44"/>
  <c r="Z26" i="44"/>
  <c r="K22" i="44"/>
  <c r="S33" i="44"/>
  <c r="R26" i="44"/>
  <c r="L40" i="44"/>
  <c r="Z30" i="44"/>
  <c r="L28" i="44"/>
  <c r="L27" i="44"/>
  <c r="L25" i="44"/>
  <c r="S28" i="44"/>
  <c r="L31" i="44"/>
  <c r="L21" i="44"/>
  <c r="Y21" i="44"/>
  <c r="R27" i="44"/>
  <c r="L36" i="44"/>
  <c r="L23" i="44"/>
  <c r="Y25" i="44"/>
  <c r="R29" i="44"/>
  <c r="Y38" i="44"/>
  <c r="L26" i="44"/>
  <c r="Y22" i="44"/>
  <c r="L33" i="44"/>
  <c r="S25" i="44"/>
  <c r="S40" i="44"/>
  <c r="Z28" i="44"/>
  <c r="S21" i="44"/>
  <c r="S34" i="44"/>
  <c r="K20" i="44"/>
  <c r="Y27" i="44"/>
  <c r="R40" i="44"/>
  <c r="K35" i="44"/>
  <c r="Z36" i="44"/>
  <c r="Z23" i="44"/>
  <c r="Y29" i="44"/>
  <c r="Y36" i="44"/>
  <c r="L32" i="44"/>
  <c r="R22" i="44"/>
  <c r="Z33" i="44"/>
  <c r="K31" i="44"/>
  <c r="R20" i="44"/>
  <c r="Y40" i="44"/>
  <c r="Y35" i="44"/>
  <c r="S36" i="44"/>
  <c r="S23" i="44"/>
  <c r="K30" i="44"/>
  <c r="K29" i="44"/>
  <c r="K36" i="44"/>
  <c r="L22" i="44"/>
  <c r="Z32" i="44"/>
  <c r="Z25" i="44"/>
  <c r="R31" i="44"/>
  <c r="Z31" i="44"/>
  <c r="M2722" i="1"/>
  <c r="Q25" i="44"/>
  <c r="J24" i="44"/>
  <c r="X20" i="44"/>
  <c r="Q20" i="44"/>
  <c r="J40" i="44"/>
  <c r="X31" i="44"/>
  <c r="J38" i="44"/>
  <c r="Q21" i="44"/>
  <c r="J32" i="44"/>
  <c r="Q23" i="44"/>
  <c r="J31" i="44"/>
  <c r="Q27" i="44"/>
  <c r="Q40" i="44"/>
  <c r="J29" i="44"/>
  <c r="J23" i="44"/>
  <c r="Q22" i="44"/>
  <c r="Q32" i="44"/>
  <c r="X32" i="44"/>
  <c r="X40" i="44"/>
  <c r="Q29" i="44"/>
  <c r="X23" i="44"/>
  <c r="X22" i="44"/>
  <c r="X35" i="44"/>
  <c r="X39" i="44"/>
  <c r="X27" i="44"/>
  <c r="J27" i="44"/>
  <c r="X29" i="44"/>
  <c r="J26" i="44"/>
  <c r="J30" i="44"/>
  <c r="J39" i="44"/>
  <c r="J35" i="44"/>
  <c r="Q39" i="44"/>
  <c r="X25" i="44"/>
  <c r="X38" i="44"/>
  <c r="X26" i="44"/>
  <c r="J21" i="44"/>
  <c r="X34" i="44"/>
  <c r="Q35" i="44"/>
  <c r="Q38" i="44"/>
  <c r="Q26" i="44"/>
  <c r="X30" i="44"/>
  <c r="J22" i="44"/>
  <c r="J34" i="44"/>
  <c r="X21" i="44"/>
  <c r="Q28" i="44"/>
  <c r="X33" i="44"/>
  <c r="X24" i="44"/>
  <c r="Q31" i="44"/>
  <c r="J28" i="44"/>
  <c r="J33" i="44"/>
  <c r="J25" i="44"/>
  <c r="Q24" i="44"/>
  <c r="Q30" i="44"/>
  <c r="J20" i="44"/>
  <c r="X28" i="44"/>
  <c r="Q33" i="44"/>
  <c r="Q34" i="44"/>
  <c r="M503" i="1"/>
  <c r="N34" i="44"/>
  <c r="N24" i="44"/>
  <c r="U21" i="44"/>
  <c r="AB32" i="44"/>
  <c r="U40" i="44"/>
  <c r="N27" i="44"/>
  <c r="U35" i="44"/>
  <c r="AB34" i="44"/>
  <c r="AB24" i="44"/>
  <c r="AB27" i="44"/>
  <c r="AB36" i="44"/>
  <c r="N26" i="44"/>
  <c r="U24" i="44"/>
  <c r="U30" i="44"/>
  <c r="N29" i="44"/>
  <c r="U27" i="44"/>
  <c r="U36" i="44"/>
  <c r="AB33" i="44"/>
  <c r="AB38" i="44"/>
  <c r="U26" i="44"/>
  <c r="AB30" i="44"/>
  <c r="AB29" i="44"/>
  <c r="N36" i="44"/>
  <c r="AB22" i="44"/>
  <c r="N22" i="44"/>
  <c r="N23" i="44"/>
  <c r="AB26" i="44"/>
  <c r="N20" i="44"/>
  <c r="N31" i="44"/>
  <c r="N30" i="44"/>
  <c r="U39" i="44"/>
  <c r="U29" i="44"/>
  <c r="U38" i="44"/>
  <c r="N33" i="44"/>
  <c r="U25" i="44"/>
  <c r="AB23" i="44"/>
  <c r="U20" i="44"/>
  <c r="AB31" i="44"/>
  <c r="N39" i="44"/>
  <c r="AB28" i="44"/>
  <c r="AB37" i="44"/>
  <c r="U22" i="44"/>
  <c r="N38" i="44"/>
  <c r="U33" i="44"/>
  <c r="U28" i="44"/>
  <c r="N35" i="44"/>
  <c r="U23" i="44"/>
  <c r="N21" i="44"/>
  <c r="AB20" i="44"/>
  <c r="N32" i="44"/>
  <c r="U31" i="44"/>
  <c r="AB39" i="44"/>
  <c r="N40" i="44"/>
  <c r="U37" i="44"/>
  <c r="N25" i="44"/>
  <c r="AB25" i="44"/>
  <c r="U34" i="44"/>
  <c r="AB21" i="44"/>
  <c r="U32" i="44"/>
  <c r="AB40" i="44"/>
  <c r="N28" i="44"/>
  <c r="AB35" i="44"/>
  <c r="N37" i="44"/>
  <c r="M7" i="1"/>
  <c r="W22" i="44"/>
  <c r="W34" i="44"/>
  <c r="P22" i="44"/>
  <c r="I28" i="44"/>
  <c r="P34" i="44"/>
  <c r="W31" i="44"/>
  <c r="P28" i="44"/>
  <c r="I34" i="44"/>
  <c r="P31" i="44"/>
  <c r="W24" i="44"/>
  <c r="W28" i="44"/>
  <c r="I35" i="44"/>
  <c r="I31" i="44"/>
  <c r="P24" i="44"/>
  <c r="W35" i="44"/>
  <c r="W39" i="44"/>
  <c r="W40" i="44"/>
  <c r="I39" i="44"/>
  <c r="I40" i="44"/>
  <c r="I24" i="44"/>
  <c r="I20" i="44"/>
  <c r="P35" i="44"/>
  <c r="P39" i="44"/>
  <c r="P40" i="44"/>
  <c r="W20" i="44"/>
  <c r="I22" i="44"/>
  <c r="P20" i="44"/>
  <c r="M231" i="1"/>
  <c r="M39" i="44"/>
  <c r="T38" i="44"/>
  <c r="M33" i="44"/>
  <c r="T25" i="44"/>
  <c r="T22" i="44"/>
  <c r="T34" i="44"/>
  <c r="M20" i="44"/>
  <c r="T39" i="44"/>
  <c r="AA38" i="44"/>
  <c r="T33" i="44"/>
  <c r="AA22" i="44"/>
  <c r="M31" i="44"/>
  <c r="M30" i="44"/>
  <c r="M27" i="44"/>
  <c r="AA34" i="44"/>
  <c r="M29" i="44"/>
  <c r="T20" i="44"/>
  <c r="M37" i="44"/>
  <c r="AA35" i="44"/>
  <c r="AA39" i="44"/>
  <c r="AA33" i="44"/>
  <c r="T31" i="44"/>
  <c r="T30" i="44"/>
  <c r="T27" i="44"/>
  <c r="AA29" i="44"/>
  <c r="AA20" i="44"/>
  <c r="T37" i="44"/>
  <c r="AA37" i="44"/>
  <c r="M35" i="44"/>
  <c r="M23" i="44"/>
  <c r="M32" i="44"/>
  <c r="AA31" i="44"/>
  <c r="AA30" i="44"/>
  <c r="M28" i="44"/>
  <c r="AA27" i="44"/>
  <c r="T29" i="44"/>
  <c r="M36" i="44"/>
  <c r="T23" i="44"/>
  <c r="M24" i="44"/>
  <c r="AA32" i="44"/>
  <c r="AA28" i="44"/>
  <c r="M40" i="44"/>
  <c r="AA21" i="44"/>
  <c r="T40" i="44"/>
  <c r="M38" i="44"/>
  <c r="AA23" i="44"/>
  <c r="AA24" i="44"/>
  <c r="M26" i="44"/>
  <c r="T32" i="44"/>
  <c r="M21" i="44"/>
  <c r="T28" i="44"/>
  <c r="AA40" i="44"/>
  <c r="T26" i="44"/>
  <c r="T36" i="44"/>
  <c r="M25" i="44"/>
  <c r="T24" i="44"/>
  <c r="AA36" i="44"/>
  <c r="AA25" i="44"/>
  <c r="M22" i="44"/>
  <c r="AA26" i="44"/>
  <c r="T21" i="44"/>
  <c r="M34" i="44"/>
  <c r="T35" i="44"/>
  <c r="C21" i="32"/>
  <c r="C28" i="32"/>
  <c r="C33" i="32"/>
  <c r="C27" i="32"/>
  <c r="C13" i="32"/>
  <c r="C15" i="32"/>
  <c r="C24" i="32"/>
  <c r="C17" i="32"/>
  <c r="C32" i="32"/>
  <c r="D23" i="32"/>
  <c r="D33" i="32"/>
  <c r="D26" i="32"/>
  <c r="D32" i="32"/>
  <c r="D14" i="32"/>
  <c r="D19" i="32"/>
  <c r="D22" i="32"/>
  <c r="D20" i="32"/>
  <c r="D13" i="32"/>
  <c r="D28" i="32"/>
  <c r="D21" i="32"/>
  <c r="D16" i="32"/>
  <c r="D25" i="32"/>
  <c r="D18" i="32"/>
  <c r="E104" i="31"/>
  <c r="E25" i="31"/>
  <c r="E23" i="31"/>
  <c r="AJ33" i="26"/>
  <c r="E105" i="31"/>
  <c r="E80" i="31"/>
  <c r="E43" i="31"/>
  <c r="E71" i="31"/>
  <c r="E53" i="31"/>
  <c r="E112" i="31"/>
  <c r="E54" i="31"/>
  <c r="E52" i="31"/>
  <c r="E13" i="31"/>
  <c r="E57" i="31"/>
  <c r="AJ34" i="26"/>
  <c r="AJ14" i="26"/>
  <c r="AT14" i="26"/>
  <c r="BD16" i="26"/>
  <c r="BX33" i="26"/>
  <c r="BN14" i="26"/>
  <c r="BN28" i="26"/>
  <c r="P22" i="26"/>
  <c r="Z29" i="26"/>
  <c r="E22" i="28"/>
  <c r="C28" i="28"/>
  <c r="C27" i="28"/>
  <c r="C21" i="28"/>
  <c r="C13" i="28"/>
  <c r="C15" i="28"/>
  <c r="C32" i="28"/>
  <c r="C24" i="28"/>
  <c r="C33" i="28"/>
  <c r="C112" i="28" s="1"/>
  <c r="C121" i="28" s="1"/>
  <c r="C17" i="28"/>
  <c r="D18" i="28"/>
  <c r="D26" i="28"/>
  <c r="D13" i="28"/>
  <c r="D20" i="28"/>
  <c r="D21" i="28"/>
  <c r="D23" i="28"/>
  <c r="D16" i="28"/>
  <c r="D25" i="28"/>
  <c r="D28" i="28"/>
  <c r="D32" i="28"/>
  <c r="D33" i="28"/>
  <c r="D14" i="28"/>
  <c r="D22" i="28"/>
  <c r="D19" i="28"/>
  <c r="E44" i="31"/>
  <c r="E45" i="31"/>
  <c r="E74" i="31"/>
  <c r="E79" i="31"/>
  <c r="AJ18" i="26"/>
  <c r="C27" i="27"/>
  <c r="D20" i="27"/>
  <c r="D22" i="27"/>
  <c r="C28" i="27"/>
  <c r="D28" i="27"/>
  <c r="C17" i="27"/>
  <c r="D18" i="27"/>
  <c r="D21" i="27"/>
  <c r="C24" i="27"/>
  <c r="D25" i="27"/>
  <c r="D26" i="27"/>
  <c r="C21" i="27"/>
  <c r="C15" i="27"/>
  <c r="D32" i="27"/>
  <c r="D23" i="27"/>
  <c r="D16" i="27"/>
  <c r="C32" i="27"/>
  <c r="D33" i="27"/>
  <c r="D19" i="27"/>
  <c r="D14" i="27"/>
  <c r="C33" i="27"/>
  <c r="D13" i="27"/>
  <c r="C13" i="27"/>
  <c r="E31" i="31"/>
  <c r="E95" i="31"/>
  <c r="E103" i="31"/>
  <c r="E40" i="31"/>
  <c r="E100" i="31"/>
  <c r="E106" i="31"/>
  <c r="E33" i="31"/>
  <c r="E86" i="31"/>
  <c r="E78" i="31"/>
  <c r="E18" i="31"/>
  <c r="E98" i="31"/>
  <c r="AJ16" i="26"/>
  <c r="AT29" i="26"/>
  <c r="BD18" i="26"/>
  <c r="BX25" i="26"/>
  <c r="BN25" i="26"/>
  <c r="P33" i="26"/>
  <c r="E109" i="31"/>
  <c r="AJ29" i="26"/>
  <c r="AT28" i="26"/>
  <c r="BD25" i="26"/>
  <c r="BX18" i="26"/>
  <c r="BN16" i="26"/>
  <c r="P28" i="26"/>
  <c r="F18" i="26"/>
  <c r="Z28" i="26"/>
  <c r="E24" i="31"/>
  <c r="E81" i="31"/>
  <c r="E77" i="31"/>
  <c r="E20" i="31"/>
  <c r="E17" i="31"/>
  <c r="E66" i="31"/>
  <c r="E50" i="31"/>
  <c r="E69" i="31"/>
  <c r="E107" i="31"/>
  <c r="B37" i="31"/>
  <c r="E70" i="31"/>
  <c r="E68" i="31"/>
  <c r="B63" i="31"/>
  <c r="E46" i="31"/>
  <c r="E73" i="31"/>
  <c r="E22" i="31"/>
  <c r="AJ28" i="26"/>
  <c r="BD33" i="26"/>
  <c r="BX34" i="26"/>
  <c r="P18" i="26"/>
  <c r="F29" i="26"/>
  <c r="Z18" i="26"/>
  <c r="C28" i="30"/>
  <c r="C13" i="30"/>
  <c r="C21" i="30"/>
  <c r="C24" i="30"/>
  <c r="C15" i="30"/>
  <c r="C32" i="30"/>
  <c r="C17" i="30"/>
  <c r="C33" i="30"/>
  <c r="C27" i="30"/>
  <c r="D25" i="30"/>
  <c r="D23" i="30"/>
  <c r="D16" i="30"/>
  <c r="D32" i="30"/>
  <c r="D33" i="30"/>
  <c r="D18" i="30"/>
  <c r="D26" i="30"/>
  <c r="D13" i="30"/>
  <c r="D19" i="30"/>
  <c r="D20" i="30"/>
  <c r="D21" i="30"/>
  <c r="D28" i="30"/>
  <c r="D22" i="30"/>
  <c r="D14" i="30"/>
  <c r="E51" i="31"/>
  <c r="E42" i="31"/>
  <c r="E15" i="31"/>
  <c r="E76" i="31"/>
  <c r="E83" i="31"/>
  <c r="E29" i="31"/>
  <c r="E67" i="31"/>
  <c r="E55" i="31"/>
  <c r="E92" i="31"/>
  <c r="E28" i="31"/>
  <c r="E72" i="31"/>
  <c r="E111" i="31"/>
  <c r="E99" i="31"/>
  <c r="AT34" i="26"/>
  <c r="BD29" i="26"/>
  <c r="BX29" i="26"/>
  <c r="BX16" i="26"/>
  <c r="BN18" i="26"/>
  <c r="P29" i="26"/>
  <c r="P16" i="26"/>
  <c r="M1489" i="1"/>
  <c r="Z34" i="26"/>
  <c r="E21" i="31"/>
  <c r="E94" i="31"/>
  <c r="E47" i="31"/>
  <c r="C13" i="12"/>
  <c r="E14" i="31"/>
  <c r="E102" i="31"/>
  <c r="E84" i="31"/>
  <c r="E93" i="31"/>
  <c r="E101" i="31"/>
  <c r="E49" i="31"/>
  <c r="E30" i="31"/>
  <c r="E60" i="31"/>
  <c r="E85" i="31"/>
  <c r="E27" i="31"/>
  <c r="AJ25" i="26"/>
  <c r="AT33" i="26"/>
  <c r="BD34" i="26"/>
  <c r="BD14" i="26"/>
  <c r="BX14" i="26"/>
  <c r="BN29" i="26"/>
  <c r="P34" i="26"/>
  <c r="F22" i="26"/>
  <c r="F34" i="26"/>
  <c r="F33" i="26"/>
  <c r="Z16" i="26"/>
  <c r="BD28" i="26"/>
  <c r="BX28" i="26"/>
  <c r="C32" i="33"/>
  <c r="C24" i="33"/>
  <c r="C17" i="33"/>
  <c r="C21" i="33"/>
  <c r="C27" i="33"/>
  <c r="C13" i="33"/>
  <c r="C15" i="33"/>
  <c r="C28" i="33"/>
  <c r="C33" i="33"/>
  <c r="C31" i="33"/>
  <c r="D16" i="33"/>
  <c r="D32" i="33"/>
  <c r="D23" i="33"/>
  <c r="D33" i="33"/>
  <c r="D25" i="33"/>
  <c r="D14" i="33"/>
  <c r="D22" i="33"/>
  <c r="D18" i="33"/>
  <c r="D20" i="33"/>
  <c r="D13" i="33"/>
  <c r="D26" i="33"/>
  <c r="D21" i="33"/>
  <c r="D19" i="33"/>
  <c r="D28" i="33"/>
  <c r="BN22" i="26"/>
  <c r="P14" i="26"/>
  <c r="F16" i="26"/>
  <c r="F14" i="26"/>
  <c r="M95" i="1"/>
  <c r="BA19" i="26" s="1"/>
  <c r="Z25" i="26"/>
  <c r="Z22" i="26"/>
  <c r="C33" i="31"/>
  <c r="C27" i="31"/>
  <c r="C13" i="31"/>
  <c r="C15" i="31"/>
  <c r="C21" i="31"/>
  <c r="C32" i="31"/>
  <c r="C24" i="31"/>
  <c r="C17" i="31"/>
  <c r="C28" i="31"/>
  <c r="C31" i="31"/>
  <c r="D30" i="31"/>
  <c r="D29" i="31"/>
  <c r="D14" i="31"/>
  <c r="D16" i="31"/>
  <c r="D13" i="31"/>
  <c r="D33" i="31"/>
  <c r="D23" i="31"/>
  <c r="D22" i="31"/>
  <c r="D32" i="31"/>
  <c r="D28" i="31"/>
  <c r="D18" i="31"/>
  <c r="D20" i="31"/>
  <c r="D19" i="31"/>
  <c r="D26" i="31"/>
  <c r="D25" i="31"/>
  <c r="D21" i="31"/>
  <c r="AW14" i="26"/>
  <c r="AV21" i="26"/>
  <c r="BB27" i="26"/>
  <c r="AZ26" i="26"/>
  <c r="E59" i="31"/>
  <c r="E82" i="31"/>
  <c r="E32" i="31"/>
  <c r="AM17" i="26"/>
  <c r="AN26" i="26"/>
  <c r="AP33" i="26"/>
  <c r="AM26" i="26"/>
  <c r="AN15" i="26"/>
  <c r="BB19" i="26"/>
  <c r="AW20" i="26"/>
  <c r="BA29" i="26"/>
  <c r="AU17" i="26"/>
  <c r="AZ24" i="26"/>
  <c r="AV15" i="26"/>
  <c r="AY29" i="26"/>
  <c r="BC33" i="26"/>
  <c r="AX31" i="26"/>
  <c r="BB14" i="26"/>
  <c r="AW24" i="26"/>
  <c r="BA23" i="26"/>
  <c r="AU26" i="26"/>
  <c r="AZ23" i="26"/>
  <c r="AV24" i="26"/>
  <c r="AY23" i="26"/>
  <c r="BC27" i="26"/>
  <c r="AX23" i="26"/>
  <c r="AT22" i="26"/>
  <c r="BM33" i="26"/>
  <c r="BG27" i="26"/>
  <c r="BK34" i="26"/>
  <c r="BE19" i="26"/>
  <c r="BJ29" i="26"/>
  <c r="BF15" i="26"/>
  <c r="BI24" i="26"/>
  <c r="BL15" i="26"/>
  <c r="BH30" i="26"/>
  <c r="BM14" i="26"/>
  <c r="BG21" i="26"/>
  <c r="BK22" i="26"/>
  <c r="BE34" i="26"/>
  <c r="BJ22" i="26"/>
  <c r="BF23" i="26"/>
  <c r="BI31" i="26"/>
  <c r="BL34" i="26"/>
  <c r="BH20" i="26"/>
  <c r="BD22" i="26"/>
  <c r="CG33" i="26"/>
  <c r="CB20" i="26"/>
  <c r="CF26" i="26"/>
  <c r="CA26" i="26"/>
  <c r="CE24" i="26"/>
  <c r="BY34" i="26"/>
  <c r="CD24" i="26"/>
  <c r="BZ33" i="26"/>
  <c r="CC29" i="26"/>
  <c r="CG20" i="26"/>
  <c r="CB22" i="26"/>
  <c r="CF14" i="26"/>
  <c r="CA21" i="26"/>
  <c r="CE29" i="26"/>
  <c r="BY14" i="26"/>
  <c r="CD23" i="26"/>
  <c r="BZ31" i="26"/>
  <c r="CC26" i="26"/>
  <c r="C21" i="35"/>
  <c r="C13" i="35"/>
  <c r="C15" i="35"/>
  <c r="C32" i="35"/>
  <c r="C17" i="35"/>
  <c r="C33" i="35"/>
  <c r="C28" i="35"/>
  <c r="C27" i="35"/>
  <c r="C24" i="35"/>
  <c r="C31" i="35"/>
  <c r="D30" i="35"/>
  <c r="D29" i="35"/>
  <c r="D23" i="35"/>
  <c r="D19" i="35"/>
  <c r="D32" i="35"/>
  <c r="D20" i="35"/>
  <c r="D28" i="35"/>
  <c r="D13" i="35"/>
  <c r="D25" i="35"/>
  <c r="D21" i="35"/>
  <c r="D33" i="35"/>
  <c r="D14" i="35"/>
  <c r="D26" i="35"/>
  <c r="D22" i="35"/>
  <c r="D16" i="35"/>
  <c r="D18" i="35"/>
  <c r="D97" i="35" s="1"/>
  <c r="BX22" i="26"/>
  <c r="BV21" i="26"/>
  <c r="BR22" i="26"/>
  <c r="BP14" i="26"/>
  <c r="BQ33" i="26"/>
  <c r="BU27" i="26"/>
  <c r="BO30" i="26"/>
  <c r="BS21" i="26"/>
  <c r="BW24" i="26"/>
  <c r="BT27" i="26"/>
  <c r="BV31" i="26"/>
  <c r="BR15" i="26"/>
  <c r="BP34" i="26"/>
  <c r="BQ19" i="26"/>
  <c r="BU15" i="26"/>
  <c r="BO22" i="26"/>
  <c r="BS29" i="26"/>
  <c r="BW23" i="26"/>
  <c r="BT30" i="26"/>
  <c r="BN33" i="26"/>
  <c r="BN34" i="26"/>
  <c r="T14" i="26"/>
  <c r="X20" i="26"/>
  <c r="U19" i="26"/>
  <c r="Y21" i="26"/>
  <c r="S24" i="26"/>
  <c r="W20" i="26"/>
  <c r="Q24" i="26"/>
  <c r="V26" i="26"/>
  <c r="R31" i="26"/>
  <c r="T34" i="26"/>
  <c r="X23" i="26"/>
  <c r="U23" i="26"/>
  <c r="Y22" i="26"/>
  <c r="S29" i="26"/>
  <c r="W34" i="26"/>
  <c r="Q17" i="26"/>
  <c r="V14" i="26"/>
  <c r="R22" i="26"/>
  <c r="P25" i="26"/>
  <c r="M17" i="26"/>
  <c r="G24" i="26"/>
  <c r="L20" i="26"/>
  <c r="H20" i="26"/>
  <c r="J27" i="26"/>
  <c r="O19" i="26"/>
  <c r="I27" i="26"/>
  <c r="N30" i="26"/>
  <c r="K15" i="26"/>
  <c r="M19" i="26"/>
  <c r="G17" i="26"/>
  <c r="L34" i="26"/>
  <c r="H26" i="26"/>
  <c r="J22" i="26"/>
  <c r="O14" i="26"/>
  <c r="I23" i="26"/>
  <c r="N34" i="26"/>
  <c r="K19" i="26"/>
  <c r="F68" i="41"/>
  <c r="Q65" i="41"/>
  <c r="X77" i="41"/>
  <c r="U60" i="41"/>
  <c r="W72" i="41"/>
  <c r="X68" i="41"/>
  <c r="U77" i="41"/>
  <c r="T75" i="41"/>
  <c r="P72" i="41"/>
  <c r="F28" i="26"/>
  <c r="O67" i="41"/>
  <c r="Q61" i="41"/>
  <c r="R70" i="41"/>
  <c r="U66" i="41"/>
  <c r="R68" i="41"/>
  <c r="W63" i="41"/>
  <c r="V75" i="41"/>
  <c r="G69" i="41"/>
  <c r="I80" i="41"/>
  <c r="P79" i="41"/>
  <c r="O61" i="41"/>
  <c r="H70" i="41"/>
  <c r="S69" i="41"/>
  <c r="F25" i="26"/>
  <c r="M63" i="41"/>
  <c r="L75" i="41"/>
  <c r="N69" i="41"/>
  <c r="K65" i="41"/>
  <c r="M67" i="41"/>
  <c r="R60" i="41"/>
  <c r="M73" i="41"/>
  <c r="K66" i="41"/>
  <c r="I68" i="41"/>
  <c r="Q63" i="41"/>
  <c r="W75" i="41"/>
  <c r="I72" i="41"/>
  <c r="U76" i="41"/>
  <c r="V76" i="41"/>
  <c r="AE17" i="26"/>
  <c r="AI22" i="26"/>
  <c r="AD21" i="26"/>
  <c r="AH24" i="26"/>
  <c r="AC22" i="26"/>
  <c r="AG29" i="26"/>
  <c r="AB19" i="26"/>
  <c r="AF26" i="26"/>
  <c r="AA17" i="26"/>
  <c r="AE22" i="26"/>
  <c r="AI14" i="26"/>
  <c r="AD30" i="26"/>
  <c r="AH33" i="26"/>
  <c r="AC17" i="26"/>
  <c r="AG27" i="26"/>
  <c r="AB22" i="26"/>
  <c r="AF23" i="26"/>
  <c r="AA27" i="26"/>
  <c r="Z33" i="26"/>
  <c r="E74" i="28"/>
  <c r="D30" i="12"/>
  <c r="D109" i="12" s="1"/>
  <c r="D123" i="12" s="1"/>
  <c r="C31" i="12"/>
  <c r="D32" i="12"/>
  <c r="D111" i="12" s="1"/>
  <c r="D124" i="12" s="1"/>
  <c r="D19" i="12"/>
  <c r="D98" i="12" s="1"/>
  <c r="D23" i="12"/>
  <c r="D102" i="12" s="1"/>
  <c r="D28" i="12"/>
  <c r="D107" i="12" s="1"/>
  <c r="D33" i="12"/>
  <c r="D112" i="12" s="1"/>
  <c r="D121" i="12" s="1"/>
  <c r="D21" i="12"/>
  <c r="D100" i="12" s="1"/>
  <c r="D13" i="12"/>
  <c r="D14" i="12"/>
  <c r="D18" i="12"/>
  <c r="D97" i="12" s="1"/>
  <c r="D20" i="12"/>
  <c r="D99" i="12" s="1"/>
  <c r="D16" i="12"/>
  <c r="D95" i="12" s="1"/>
  <c r="D25" i="12"/>
  <c r="D104" i="12" s="1"/>
  <c r="D26" i="12"/>
  <c r="D105" i="12" s="1"/>
  <c r="D22" i="12"/>
  <c r="D101" i="12" s="1"/>
  <c r="C27" i="12"/>
  <c r="C106" i="12" s="1"/>
  <c r="C28" i="12"/>
  <c r="C107" i="12" s="1"/>
  <c r="C32" i="12"/>
  <c r="C111" i="12" s="1"/>
  <c r="C124" i="12" s="1"/>
  <c r="C15" i="12"/>
  <c r="C94" i="12" s="1"/>
  <c r="C21" i="12"/>
  <c r="C100" i="12" s="1"/>
  <c r="C120" i="12" s="1"/>
  <c r="C17" i="12"/>
  <c r="C96" i="12" s="1"/>
  <c r="C33" i="12"/>
  <c r="C24" i="12"/>
  <c r="C103" i="12" s="1"/>
  <c r="D97" i="30"/>
  <c r="N8" i="5"/>
  <c r="E46" i="28"/>
  <c r="E67" i="28"/>
  <c r="E76" i="28"/>
  <c r="E40" i="28"/>
  <c r="E112" i="28"/>
  <c r="E92" i="28"/>
  <c r="E108" i="28"/>
  <c r="E82" i="28"/>
  <c r="E32" i="28"/>
  <c r="E83" i="28"/>
  <c r="E94" i="28"/>
  <c r="E59" i="28"/>
  <c r="E25" i="28"/>
  <c r="E85" i="28"/>
  <c r="E103" i="28"/>
  <c r="E72" i="28"/>
  <c r="E95" i="28"/>
  <c r="E75" i="28"/>
  <c r="E111" i="28"/>
  <c r="E106" i="28"/>
  <c r="E105" i="28"/>
  <c r="E33" i="28"/>
  <c r="E55" i="28"/>
  <c r="E70" i="28"/>
  <c r="E29" i="28"/>
  <c r="E53" i="28"/>
  <c r="B37" i="28"/>
  <c r="E50" i="28"/>
  <c r="E45" i="28"/>
  <c r="E79" i="28"/>
  <c r="E57" i="28"/>
  <c r="E17" i="28"/>
  <c r="E100" i="28"/>
  <c r="E109" i="28"/>
  <c r="E107" i="28"/>
  <c r="E31" i="28"/>
  <c r="E78" i="28"/>
  <c r="E20" i="28"/>
  <c r="E47" i="28"/>
  <c r="E51" i="28"/>
  <c r="E68" i="28"/>
  <c r="E96" i="28"/>
  <c r="E23" i="28"/>
  <c r="E30" i="28"/>
  <c r="E26" i="28"/>
  <c r="E77" i="28"/>
  <c r="E41" i="28"/>
  <c r="E97" i="28"/>
  <c r="E16" i="32"/>
  <c r="E99" i="32"/>
  <c r="E24" i="32"/>
  <c r="E103" i="32"/>
  <c r="E80" i="32"/>
  <c r="E70" i="32"/>
  <c r="E44" i="32"/>
  <c r="E96" i="32"/>
  <c r="E102" i="32"/>
  <c r="E42" i="32"/>
  <c r="E33" i="32"/>
  <c r="E112" i="32"/>
  <c r="E93" i="32"/>
  <c r="E29" i="32"/>
  <c r="E105" i="32"/>
  <c r="E107" i="32"/>
  <c r="E75" i="32"/>
  <c r="E49" i="32"/>
  <c r="E98" i="32"/>
  <c r="E104" i="32"/>
  <c r="E71" i="32"/>
  <c r="E45" i="32"/>
  <c r="E21" i="32"/>
  <c r="E95" i="32"/>
  <c r="E43" i="32"/>
  <c r="E14" i="32"/>
  <c r="E109" i="32"/>
  <c r="E85" i="32"/>
  <c r="E59" i="32"/>
  <c r="E15" i="32"/>
  <c r="E106" i="32"/>
  <c r="E76" i="32"/>
  <c r="E50" i="32"/>
  <c r="E40" i="32"/>
  <c r="E97" i="32"/>
  <c r="E48" i="32"/>
  <c r="E27" i="32"/>
  <c r="E111" i="32"/>
  <c r="A2" i="32"/>
  <c r="E73" i="32"/>
  <c r="E47" i="32"/>
  <c r="E17" i="32"/>
  <c r="E81" i="32"/>
  <c r="E55" i="32"/>
  <c r="E53" i="32"/>
  <c r="E72" i="32"/>
  <c r="E46" i="32"/>
  <c r="E32" i="32"/>
  <c r="E20" i="32"/>
  <c r="E78" i="32"/>
  <c r="E52" i="32"/>
  <c r="E22" i="32"/>
  <c r="E108" i="32"/>
  <c r="E66" i="32"/>
  <c r="E58" i="32"/>
  <c r="E77" i="32"/>
  <c r="E51" i="32"/>
  <c r="E41" i="32"/>
  <c r="E25" i="32"/>
  <c r="E83" i="32"/>
  <c r="E57" i="32"/>
  <c r="E18" i="32"/>
  <c r="E13" i="32"/>
  <c r="E79" i="32"/>
  <c r="E60" i="32"/>
  <c r="E82" i="32"/>
  <c r="E56" i="32"/>
  <c r="E54" i="32"/>
  <c r="E30" i="32"/>
  <c r="E92" i="32"/>
  <c r="E68" i="32"/>
  <c r="E23" i="32"/>
  <c r="E26" i="32"/>
  <c r="E84" i="32"/>
  <c r="E69" i="32"/>
  <c r="E19" i="32"/>
  <c r="E101" i="32"/>
  <c r="E67" i="32"/>
  <c r="B63" i="32"/>
  <c r="B37" i="32"/>
  <c r="E94" i="32"/>
  <c r="E100" i="32"/>
  <c r="E28" i="32"/>
  <c r="E31" i="32"/>
  <c r="E86" i="32"/>
  <c r="E74" i="32"/>
  <c r="P8" i="5"/>
  <c r="H8" i="5"/>
  <c r="G8" i="5"/>
  <c r="M8" i="5"/>
  <c r="I8" i="5"/>
  <c r="L8" i="5"/>
  <c r="F8" i="5"/>
  <c r="K8" i="5"/>
  <c r="O8" i="5"/>
  <c r="K7" i="5"/>
  <c r="K15" i="5"/>
  <c r="L15" i="5"/>
  <c r="I15" i="5"/>
  <c r="M15" i="5"/>
  <c r="J8" i="5"/>
  <c r="I7" i="5"/>
  <c r="M16" i="5"/>
  <c r="K16" i="5"/>
  <c r="I16" i="5"/>
  <c r="L16" i="5"/>
  <c r="J16" i="5"/>
  <c r="O16" i="5"/>
  <c r="N16" i="5"/>
  <c r="P16" i="5"/>
  <c r="E16" i="5"/>
  <c r="H16" i="5"/>
  <c r="G16" i="5"/>
  <c r="F16" i="5"/>
  <c r="E8" i="5"/>
  <c r="M7" i="5"/>
  <c r="N15" i="5"/>
  <c r="N7" i="5"/>
  <c r="P7" i="5"/>
  <c r="P15" i="5"/>
  <c r="F7" i="5"/>
  <c r="F15" i="5"/>
  <c r="G15" i="5"/>
  <c r="G7" i="5"/>
  <c r="J7" i="5"/>
  <c r="J15" i="5"/>
  <c r="O15" i="5"/>
  <c r="O7" i="5"/>
  <c r="E15" i="5"/>
  <c r="H7" i="5"/>
  <c r="H15" i="5"/>
  <c r="E28" i="28"/>
  <c r="E15" i="28"/>
  <c r="E54" i="28"/>
  <c r="E42" i="28"/>
  <c r="E27" i="28"/>
  <c r="E18" i="28"/>
  <c r="E98" i="28"/>
  <c r="E69" i="28"/>
  <c r="E81" i="28"/>
  <c r="E71" i="28"/>
  <c r="E14" i="28"/>
  <c r="E73" i="28"/>
  <c r="E52" i="28"/>
  <c r="E21" i="28"/>
  <c r="E16" i="28"/>
  <c r="E13" i="28"/>
  <c r="E80" i="28"/>
  <c r="E66" i="28"/>
  <c r="E56" i="28"/>
  <c r="E49" i="28"/>
  <c r="E44" i="28"/>
  <c r="E84" i="28"/>
  <c r="B63" i="28"/>
  <c r="E19" i="28"/>
  <c r="E60" i="28"/>
  <c r="E101" i="28"/>
  <c r="E48" i="28"/>
  <c r="E104" i="28"/>
  <c r="E102" i="28"/>
  <c r="E93" i="28"/>
  <c r="E86" i="28"/>
  <c r="A2" i="28"/>
  <c r="E75" i="30"/>
  <c r="E95" i="30"/>
  <c r="E25" i="30"/>
  <c r="E20" i="30"/>
  <c r="E42" i="30"/>
  <c r="E15" i="30"/>
  <c r="B63" i="30"/>
  <c r="E54" i="30"/>
  <c r="E28" i="30"/>
  <c r="E24" i="30"/>
  <c r="E19" i="30"/>
  <c r="E97" i="30"/>
  <c r="E70" i="30"/>
  <c r="E47" i="30"/>
  <c r="E27" i="30"/>
  <c r="E22" i="30"/>
  <c r="E17" i="30"/>
  <c r="A2" i="30"/>
  <c r="E56" i="30"/>
  <c r="E98" i="30"/>
  <c r="E67" i="30"/>
  <c r="E16" i="30"/>
  <c r="E21" i="30"/>
  <c r="E23" i="30"/>
  <c r="E100" i="30"/>
  <c r="E44" i="30"/>
  <c r="E14" i="30"/>
  <c r="E78" i="30"/>
  <c r="E57" i="30"/>
  <c r="E85" i="30"/>
  <c r="E92" i="30"/>
  <c r="E84" i="30"/>
  <c r="E32" i="30"/>
  <c r="E102" i="30"/>
  <c r="E49" i="30"/>
  <c r="E82" i="30"/>
  <c r="E68" i="30"/>
  <c r="E112" i="30"/>
  <c r="E94" i="30"/>
  <c r="E93" i="30"/>
  <c r="E41" i="30"/>
  <c r="E104" i="30"/>
  <c r="E72" i="30"/>
  <c r="E31" i="30"/>
  <c r="E101" i="30"/>
  <c r="E80" i="30"/>
  <c r="E46" i="30"/>
  <c r="E96" i="30"/>
  <c r="E99" i="30"/>
  <c r="E77" i="30"/>
  <c r="E33" i="30"/>
  <c r="E103" i="30"/>
  <c r="E108" i="30"/>
  <c r="E51" i="30"/>
  <c r="E29" i="30"/>
  <c r="E58" i="30"/>
  <c r="E13" i="30"/>
  <c r="E81" i="30"/>
  <c r="E45" i="30"/>
  <c r="E105" i="30"/>
  <c r="E43" i="30"/>
  <c r="E55" i="30"/>
  <c r="E86" i="30"/>
  <c r="E60" i="30"/>
  <c r="E26" i="30"/>
  <c r="E107" i="30"/>
  <c r="E50" i="30"/>
  <c r="E106" i="30"/>
  <c r="E48" i="30"/>
  <c r="E66" i="30"/>
  <c r="E52" i="30"/>
  <c r="E69" i="30"/>
  <c r="E30" i="30"/>
  <c r="E109" i="30"/>
  <c r="E59" i="30"/>
  <c r="E40" i="30"/>
  <c r="E71" i="30"/>
  <c r="E79" i="30"/>
  <c r="E18" i="30"/>
  <c r="E74" i="30"/>
  <c r="B37" i="30"/>
  <c r="E111" i="30"/>
  <c r="E73" i="30"/>
  <c r="E53" i="30"/>
  <c r="E76" i="30"/>
  <c r="E83" i="30"/>
  <c r="E58" i="28"/>
  <c r="E43" i="28"/>
  <c r="E99" i="28"/>
  <c r="E24" i="28"/>
  <c r="E102" i="27"/>
  <c r="E69" i="27"/>
  <c r="A2" i="27"/>
  <c r="E41" i="27"/>
  <c r="E17" i="27"/>
  <c r="E98" i="27"/>
  <c r="E104" i="27"/>
  <c r="E21" i="27"/>
  <c r="E32" i="27"/>
  <c r="E58" i="27"/>
  <c r="E77" i="27"/>
  <c r="E52" i="27"/>
  <c r="E24" i="27"/>
  <c r="E95" i="27"/>
  <c r="E33" i="27"/>
  <c r="E103" i="27"/>
  <c r="E53" i="27"/>
  <c r="E29" i="27"/>
  <c r="E112" i="27"/>
  <c r="E83" i="27"/>
  <c r="E18" i="27"/>
  <c r="E26" i="27"/>
  <c r="E81" i="27"/>
  <c r="E56" i="27"/>
  <c r="E28" i="27"/>
  <c r="E97" i="27"/>
  <c r="E45" i="27"/>
  <c r="E105" i="27"/>
  <c r="E57" i="27"/>
  <c r="E15" i="27"/>
  <c r="E92" i="27"/>
  <c r="E16" i="27"/>
  <c r="E107" i="27"/>
  <c r="E67" i="27"/>
  <c r="E42" i="27"/>
  <c r="E99" i="27"/>
  <c r="E50" i="27"/>
  <c r="E106" i="27"/>
  <c r="E68" i="27"/>
  <c r="E43" i="27"/>
  <c r="E27" i="27"/>
  <c r="E94" i="27"/>
  <c r="E60" i="27"/>
  <c r="E47" i="27"/>
  <c r="E31" i="27"/>
  <c r="E25" i="27"/>
  <c r="E30" i="27"/>
  <c r="E109" i="27"/>
  <c r="E54" i="27"/>
  <c r="E14" i="27"/>
  <c r="E59" i="27"/>
  <c r="E80" i="27"/>
  <c r="E48" i="27"/>
  <c r="E46" i="27"/>
  <c r="E96" i="27"/>
  <c r="E13" i="27"/>
  <c r="E19" i="27"/>
  <c r="E101" i="27"/>
  <c r="E74" i="27"/>
  <c r="B37" i="27"/>
  <c r="E111" i="27"/>
  <c r="E84" i="27"/>
  <c r="B63" i="27"/>
  <c r="E73" i="27"/>
  <c r="E22" i="27"/>
  <c r="E108" i="27"/>
  <c r="E71" i="27"/>
  <c r="E51" i="27"/>
  <c r="E100" i="27"/>
  <c r="E44" i="27"/>
  <c r="E86" i="27"/>
  <c r="E70" i="27"/>
  <c r="E78" i="27"/>
  <c r="E76" i="27"/>
  <c r="E55" i="27"/>
  <c r="E72" i="27"/>
  <c r="E93" i="27"/>
  <c r="E40" i="27"/>
  <c r="E79" i="27"/>
  <c r="E23" i="27"/>
  <c r="E49" i="27"/>
  <c r="E75" i="27"/>
  <c r="E82" i="27"/>
  <c r="E20" i="27"/>
  <c r="E85" i="27"/>
  <c r="E66" i="27"/>
  <c r="E84" i="12"/>
  <c r="E58" i="12"/>
  <c r="E31" i="12"/>
  <c r="E107" i="12"/>
  <c r="E103" i="12"/>
  <c r="E98" i="12"/>
  <c r="E100" i="12"/>
  <c r="E95" i="12"/>
  <c r="E112" i="12"/>
  <c r="E109" i="12"/>
  <c r="E105" i="12"/>
  <c r="E92" i="12"/>
  <c r="E99" i="12"/>
  <c r="E102" i="12"/>
  <c r="E97" i="12"/>
  <c r="E104" i="12"/>
  <c r="E106" i="12"/>
  <c r="E94" i="12"/>
  <c r="E108" i="12"/>
  <c r="E111" i="12"/>
  <c r="E101" i="12"/>
  <c r="E96" i="12"/>
  <c r="E93" i="12"/>
  <c r="E86" i="12"/>
  <c r="E83" i="12"/>
  <c r="E79" i="12"/>
  <c r="E66" i="12"/>
  <c r="E76" i="12"/>
  <c r="E71" i="12"/>
  <c r="E80" i="12"/>
  <c r="E68" i="12"/>
  <c r="E82" i="12"/>
  <c r="E78" i="12"/>
  <c r="E73" i="12"/>
  <c r="E85" i="12"/>
  <c r="E75" i="12"/>
  <c r="E70" i="12"/>
  <c r="E69" i="12"/>
  <c r="E67" i="12"/>
  <c r="E74" i="12"/>
  <c r="E81" i="12"/>
  <c r="E77" i="12"/>
  <c r="E72" i="12"/>
  <c r="E55" i="12"/>
  <c r="E51" i="12"/>
  <c r="E46" i="12"/>
  <c r="E17" i="12"/>
  <c r="E25" i="12"/>
  <c r="E33" i="12"/>
  <c r="E26" i="12"/>
  <c r="E32" i="12"/>
  <c r="E48" i="12"/>
  <c r="E43" i="12"/>
  <c r="E18" i="12"/>
  <c r="E13" i="12"/>
  <c r="E60" i="12"/>
  <c r="E57" i="12"/>
  <c r="E53" i="12"/>
  <c r="E40" i="12"/>
  <c r="E19" i="12"/>
  <c r="E41" i="12"/>
  <c r="E16" i="12"/>
  <c r="E50" i="12"/>
  <c r="E45" i="12"/>
  <c r="E20" i="12"/>
  <c r="E27" i="12"/>
  <c r="E42" i="12"/>
  <c r="E54" i="12"/>
  <c r="E21" i="12"/>
  <c r="E28" i="12"/>
  <c r="E56" i="12"/>
  <c r="E52" i="12"/>
  <c r="E47" i="12"/>
  <c r="B63" i="12"/>
  <c r="E22" i="12"/>
  <c r="E29" i="12"/>
  <c r="E15" i="12"/>
  <c r="E23" i="12"/>
  <c r="E30" i="12"/>
  <c r="E59" i="12"/>
  <c r="E49" i="12"/>
  <c r="E44" i="12"/>
  <c r="E24" i="12"/>
  <c r="E14" i="12"/>
  <c r="B37" i="12"/>
  <c r="A2" i="12"/>
  <c r="D24" i="5"/>
  <c r="D23" i="5"/>
  <c r="E7" i="5"/>
  <c r="R7" i="5" l="1"/>
  <c r="L9" i="5" s="1"/>
  <c r="G18" i="5"/>
  <c r="R8" i="5"/>
  <c r="I10" i="5" s="1"/>
  <c r="R15" i="5"/>
  <c r="F17" i="5" s="1"/>
  <c r="R16" i="5"/>
  <c r="I18" i="5" s="1"/>
  <c r="T65" i="41"/>
  <c r="I75" i="41"/>
  <c r="AB31" i="26"/>
  <c r="T33" i="26"/>
  <c r="AH17" i="26"/>
  <c r="AF29" i="26"/>
  <c r="AD20" i="26"/>
  <c r="R72" i="41"/>
  <c r="O75" i="41"/>
  <c r="K22" i="26"/>
  <c r="X21" i="26"/>
  <c r="AE26" i="26"/>
  <c r="N68" i="41"/>
  <c r="R77" i="41"/>
  <c r="J20" i="26"/>
  <c r="AA30" i="26"/>
  <c r="T66" i="41"/>
  <c r="T80" i="41"/>
  <c r="H14" i="26"/>
  <c r="AI31" i="26"/>
  <c r="AF33" i="26"/>
  <c r="T72" i="41"/>
  <c r="AA26" i="26"/>
  <c r="AC14" i="26"/>
  <c r="U72" i="41"/>
  <c r="S67" i="41"/>
  <c r="Q21" i="26"/>
  <c r="H24" i="26"/>
  <c r="V19" i="26"/>
  <c r="AH22" i="26"/>
  <c r="T76" i="41"/>
  <c r="X63" i="41"/>
  <c r="L14" i="26"/>
  <c r="S34" i="26"/>
  <c r="O15" i="26"/>
  <c r="W31" i="26"/>
  <c r="Z41" i="44"/>
  <c r="AG26" i="26"/>
  <c r="AB14" i="26"/>
  <c r="V60" i="41"/>
  <c r="W77" i="41"/>
  <c r="I70" i="41"/>
  <c r="F75" i="41"/>
  <c r="I34" i="26"/>
  <c r="S31" i="26"/>
  <c r="AA41" i="44"/>
  <c r="AC34" i="26"/>
  <c r="AG33" i="26"/>
  <c r="O77" i="41"/>
  <c r="U68" i="41"/>
  <c r="X79" i="41"/>
  <c r="K21" i="26"/>
  <c r="O33" i="26"/>
  <c r="Y19" i="26"/>
  <c r="T41" i="44"/>
  <c r="U41" i="44"/>
  <c r="K41" i="44"/>
  <c r="L41" i="44"/>
  <c r="N41" i="44"/>
  <c r="S41" i="44"/>
  <c r="M41" i="44"/>
  <c r="AE34" i="26"/>
  <c r="AI19" i="26"/>
  <c r="AD24" i="26"/>
  <c r="X66" i="41"/>
  <c r="T60" i="41"/>
  <c r="L26" i="26"/>
  <c r="Q33" i="26"/>
  <c r="W67" i="41"/>
  <c r="Q72" i="41"/>
  <c r="H72" i="41"/>
  <c r="H19" i="26"/>
  <c r="R19" i="26"/>
  <c r="W29" i="26"/>
  <c r="AB41" i="44"/>
  <c r="R41" i="44"/>
  <c r="Z14" i="26"/>
  <c r="X36" i="44"/>
  <c r="I38" i="44"/>
  <c r="I41" i="44" s="1"/>
  <c r="Q36" i="44"/>
  <c r="W38" i="44"/>
  <c r="W41" i="44" s="1"/>
  <c r="W42" i="44" s="1"/>
  <c r="X37" i="44"/>
  <c r="P38" i="44"/>
  <c r="P41" i="44" s="1"/>
  <c r="P42" i="44" s="1"/>
  <c r="J36" i="44"/>
  <c r="Q37" i="44"/>
  <c r="J37" i="44"/>
  <c r="AT18" i="26"/>
  <c r="AT25" i="26"/>
  <c r="AT16" i="26"/>
  <c r="AJ22" i="26"/>
  <c r="Y41" i="44"/>
  <c r="D30" i="33"/>
  <c r="D109" i="33" s="1"/>
  <c r="D123" i="33" s="1"/>
  <c r="BQ30" i="26"/>
  <c r="BU26" i="26"/>
  <c r="CG15" i="26"/>
  <c r="CB24" i="26"/>
  <c r="BG33" i="26"/>
  <c r="BK26" i="26"/>
  <c r="Z32" i="26"/>
  <c r="AH14" i="26"/>
  <c r="AC26" i="26"/>
  <c r="V65" i="41"/>
  <c r="T77" i="41"/>
  <c r="M60" i="41"/>
  <c r="V72" i="41"/>
  <c r="F64" i="41"/>
  <c r="H29" i="26"/>
  <c r="J17" i="26"/>
  <c r="Q20" i="26"/>
  <c r="V30" i="26"/>
  <c r="BR34" i="26"/>
  <c r="BP23" i="26"/>
  <c r="BQ23" i="26"/>
  <c r="BY26" i="26"/>
  <c r="CD31" i="26"/>
  <c r="BH15" i="26"/>
  <c r="BM34" i="26"/>
  <c r="AU33" i="26"/>
  <c r="AZ29" i="26"/>
  <c r="AP14" i="26"/>
  <c r="AL15" i="26"/>
  <c r="AQ21" i="26"/>
  <c r="AD17" i="26"/>
  <c r="AH20" i="26"/>
  <c r="G76" i="41"/>
  <c r="M70" i="41"/>
  <c r="X72" i="41"/>
  <c r="M65" i="41"/>
  <c r="J67" i="41"/>
  <c r="M27" i="26"/>
  <c r="H30" i="26"/>
  <c r="J29" i="26"/>
  <c r="W27" i="26"/>
  <c r="Q30" i="26"/>
  <c r="BV30" i="26"/>
  <c r="BR31" i="26"/>
  <c r="BZ24" i="26"/>
  <c r="CC14" i="26"/>
  <c r="BH23" i="26"/>
  <c r="BM26" i="26"/>
  <c r="AU23" i="26"/>
  <c r="AZ34" i="26"/>
  <c r="AP27" i="26"/>
  <c r="AL19" i="26"/>
  <c r="AK15" i="26"/>
  <c r="AC19" i="26"/>
  <c r="AG30" i="26"/>
  <c r="AB17" i="26"/>
  <c r="Q80" i="41"/>
  <c r="H67" i="41"/>
  <c r="W61" i="41"/>
  <c r="I73" i="41"/>
  <c r="F62" i="41"/>
  <c r="O34" i="26"/>
  <c r="I17" i="26"/>
  <c r="T19" i="26"/>
  <c r="X31" i="26"/>
  <c r="BU17" i="26"/>
  <c r="BO31" i="26"/>
  <c r="BS22" i="26"/>
  <c r="CG29" i="26"/>
  <c r="CB31" i="26"/>
  <c r="BE29" i="26"/>
  <c r="BJ31" i="26"/>
  <c r="BF30" i="26"/>
  <c r="AY19" i="26"/>
  <c r="BC19" i="26"/>
  <c r="AM23" i="26"/>
  <c r="AQ29" i="26"/>
  <c r="AL31" i="26"/>
  <c r="AE30" i="26"/>
  <c r="AI15" i="26"/>
  <c r="S61" i="41"/>
  <c r="G70" i="41"/>
  <c r="S66" i="41"/>
  <c r="R65" i="41"/>
  <c r="G79" i="41"/>
  <c r="N14" i="26"/>
  <c r="G33" i="26"/>
  <c r="X33" i="26"/>
  <c r="U24" i="26"/>
  <c r="BS30" i="26"/>
  <c r="BW27" i="26"/>
  <c r="CF23" i="26"/>
  <c r="CA23" i="26"/>
  <c r="BE24" i="26"/>
  <c r="BJ21" i="26"/>
  <c r="BF19" i="26"/>
  <c r="AC15" i="26"/>
  <c r="AG14" i="26"/>
  <c r="J76" i="41"/>
  <c r="S75" i="41"/>
  <c r="N70" i="41"/>
  <c r="I66" i="41"/>
  <c r="Q79" i="41"/>
  <c r="J19" i="26"/>
  <c r="O29" i="26"/>
  <c r="I21" i="26"/>
  <c r="T26" i="26"/>
  <c r="X15" i="26"/>
  <c r="BQ22" i="26"/>
  <c r="BU23" i="26"/>
  <c r="CD33" i="26"/>
  <c r="BZ22" i="26"/>
  <c r="CC19" i="26"/>
  <c r="BG14" i="26"/>
  <c r="BK24" i="26"/>
  <c r="AZ15" i="26"/>
  <c r="AV27" i="26"/>
  <c r="AL26" i="26"/>
  <c r="AO29" i="26"/>
  <c r="D30" i="28"/>
  <c r="AZ14" i="26"/>
  <c r="AH15" i="26"/>
  <c r="AC21" i="26"/>
  <c r="T69" i="41"/>
  <c r="G65" i="41"/>
  <c r="L67" i="41"/>
  <c r="K60" i="41"/>
  <c r="P75" i="41"/>
  <c r="L17" i="26"/>
  <c r="O30" i="26"/>
  <c r="W14" i="26"/>
  <c r="Q27" i="26"/>
  <c r="V24" i="26"/>
  <c r="BR27" i="26"/>
  <c r="BP19" i="26"/>
  <c r="CD27" i="26"/>
  <c r="BZ19" i="26"/>
  <c r="BH26" i="26"/>
  <c r="BM27" i="26"/>
  <c r="BA24" i="26"/>
  <c r="AU14" i="26"/>
  <c r="AK34" i="26"/>
  <c r="AP22" i="26"/>
  <c r="AL29" i="26"/>
  <c r="AO19" i="26"/>
  <c r="BP21" i="26"/>
  <c r="BQ31" i="26"/>
  <c r="CC27" i="26"/>
  <c r="CG34" i="26"/>
  <c r="BH22" i="26"/>
  <c r="BM20" i="26"/>
  <c r="BG31" i="26"/>
  <c r="AI33" i="26"/>
  <c r="AD26" i="26"/>
  <c r="AH21" i="26"/>
  <c r="U69" i="41"/>
  <c r="S68" i="41"/>
  <c r="S77" i="41"/>
  <c r="X60" i="41"/>
  <c r="G23" i="26"/>
  <c r="L23" i="26"/>
  <c r="H15" i="26"/>
  <c r="W24" i="26"/>
  <c r="Q29" i="26"/>
  <c r="BV17" i="26"/>
  <c r="BR21" i="26"/>
  <c r="CE22" i="26"/>
  <c r="BY22" i="26"/>
  <c r="BL14" i="26"/>
  <c r="BH21" i="26"/>
  <c r="AW33" i="26"/>
  <c r="BA22" i="26"/>
  <c r="AU20" i="26"/>
  <c r="AK14" i="26"/>
  <c r="AP29" i="26"/>
  <c r="D29" i="12"/>
  <c r="D108" i="12" s="1"/>
  <c r="D122" i="12" s="1"/>
  <c r="AL22" i="26"/>
  <c r="AI30" i="26"/>
  <c r="AD23" i="26"/>
  <c r="L76" i="41"/>
  <c r="I61" i="41"/>
  <c r="H75" i="41"/>
  <c r="M69" i="41"/>
  <c r="P65" i="41"/>
  <c r="K29" i="26"/>
  <c r="L31" i="26"/>
  <c r="S33" i="26"/>
  <c r="W26" i="26"/>
  <c r="BT21" i="26"/>
  <c r="BV33" i="26"/>
  <c r="CD22" i="26"/>
  <c r="BZ23" i="26"/>
  <c r="BL33" i="26"/>
  <c r="BH19" i="26"/>
  <c r="AW30" i="26"/>
  <c r="BA34" i="26"/>
  <c r="AU34" i="26"/>
  <c r="AK29" i="26"/>
  <c r="AP34" i="26"/>
  <c r="AU30" i="26"/>
  <c r="AM31" i="26"/>
  <c r="AH27" i="26"/>
  <c r="AC33" i="26"/>
  <c r="AG31" i="26"/>
  <c r="N72" i="41"/>
  <c r="X65" i="41"/>
  <c r="T67" i="41"/>
  <c r="G61" i="41"/>
  <c r="H31" i="26"/>
  <c r="J26" i="26"/>
  <c r="O31" i="26"/>
  <c r="R27" i="26"/>
  <c r="T23" i="26"/>
  <c r="BQ15" i="26"/>
  <c r="BU33" i="26"/>
  <c r="BO17" i="26"/>
  <c r="CC20" i="26"/>
  <c r="CG26" i="26"/>
  <c r="BK15" i="26"/>
  <c r="BE33" i="26"/>
  <c r="AT32" i="26"/>
  <c r="AV19" i="26"/>
  <c r="AY14" i="26"/>
  <c r="AO15" i="26"/>
  <c r="AM33" i="26"/>
  <c r="AP17" i="26"/>
  <c r="AA15" i="26"/>
  <c r="AE20" i="26"/>
  <c r="U67" i="41"/>
  <c r="H61" i="41"/>
  <c r="X70" i="41"/>
  <c r="X80" i="41"/>
  <c r="R66" i="41"/>
  <c r="I29" i="26"/>
  <c r="M34" i="26"/>
  <c r="T30" i="26"/>
  <c r="X22" i="26"/>
  <c r="BU24" i="26"/>
  <c r="BO26" i="26"/>
  <c r="BS31" i="26"/>
  <c r="CB29" i="26"/>
  <c r="CF31" i="26"/>
  <c r="BK29" i="26"/>
  <c r="BE31" i="26"/>
  <c r="AM22" i="26"/>
  <c r="AH34" i="26"/>
  <c r="AC23" i="26"/>
  <c r="P76" i="41"/>
  <c r="H77" i="41"/>
  <c r="W60" i="41"/>
  <c r="X73" i="41"/>
  <c r="I69" i="41"/>
  <c r="H21" i="26"/>
  <c r="J33" i="26"/>
  <c r="R17" i="26"/>
  <c r="T29" i="26"/>
  <c r="BP30" i="26"/>
  <c r="BQ20" i="26"/>
  <c r="BY27" i="26"/>
  <c r="CD34" i="26"/>
  <c r="BZ27" i="26"/>
  <c r="BM23" i="26"/>
  <c r="BG15" i="26"/>
  <c r="AU22" i="26"/>
  <c r="AZ30" i="26"/>
  <c r="AK23" i="26"/>
  <c r="AP15" i="26"/>
  <c r="AL21" i="26"/>
  <c r="AK31" i="26"/>
  <c r="C31" i="28"/>
  <c r="C110" i="28" s="1"/>
  <c r="C123" i="28" s="1"/>
  <c r="BB17" i="26"/>
  <c r="AD27" i="26"/>
  <c r="AH19" i="26"/>
  <c r="X75" i="41"/>
  <c r="V69" i="41"/>
  <c r="L80" i="41"/>
  <c r="X67" i="41"/>
  <c r="M77" i="41"/>
  <c r="G21" i="26"/>
  <c r="J30" i="26"/>
  <c r="S26" i="26"/>
  <c r="W17" i="26"/>
  <c r="BV20" i="26"/>
  <c r="BR14" i="26"/>
  <c r="BY17" i="26"/>
  <c r="CD14" i="26"/>
  <c r="BI29" i="26"/>
  <c r="BL17" i="26"/>
  <c r="BH24" i="26"/>
  <c r="AW22" i="26"/>
  <c r="BA21" i="26"/>
  <c r="AR31" i="26"/>
  <c r="AK19" i="26"/>
  <c r="AP31" i="26"/>
  <c r="AK26" i="26"/>
  <c r="AV29" i="26"/>
  <c r="BR33" i="26"/>
  <c r="BP20" i="26"/>
  <c r="BZ29" i="26"/>
  <c r="CC31" i="26"/>
  <c r="BL20" i="26"/>
  <c r="BH17" i="26"/>
  <c r="BM19" i="26"/>
  <c r="AE33" i="26"/>
  <c r="AI29" i="26"/>
  <c r="AD33" i="26"/>
  <c r="S72" i="41"/>
  <c r="L65" i="41"/>
  <c r="M23" i="26"/>
  <c r="G20" i="26"/>
  <c r="L24" i="26"/>
  <c r="S19" i="26"/>
  <c r="W19" i="26"/>
  <c r="BT34" i="26"/>
  <c r="BV23" i="26"/>
  <c r="CF22" i="26"/>
  <c r="CA33" i="26"/>
  <c r="CE21" i="26"/>
  <c r="BI33" i="26"/>
  <c r="BL22" i="26"/>
  <c r="BB34" i="26"/>
  <c r="AW17" i="26"/>
  <c r="BA27" i="26"/>
  <c r="AR34" i="26"/>
  <c r="AK24" i="26"/>
  <c r="BB26" i="26"/>
  <c r="AE14" i="26"/>
  <c r="AI23" i="26"/>
  <c r="M76" i="41"/>
  <c r="J79" i="41"/>
  <c r="L63" i="41"/>
  <c r="U75" i="41"/>
  <c r="W73" i="41"/>
  <c r="N33" i="26"/>
  <c r="G29" i="26"/>
  <c r="Y29" i="26"/>
  <c r="S14" i="26"/>
  <c r="BW22" i="26"/>
  <c r="BT20" i="26"/>
  <c r="CE27" i="26"/>
  <c r="BY29" i="26"/>
  <c r="CD29" i="26"/>
  <c r="BI27" i="26"/>
  <c r="BL30" i="26"/>
  <c r="BB33" i="26"/>
  <c r="AW19" i="26"/>
  <c r="BA30" i="26"/>
  <c r="AR30" i="26"/>
  <c r="AK20" i="26"/>
  <c r="AX21" i="26"/>
  <c r="AK22" i="26"/>
  <c r="AD34" i="26"/>
  <c r="AH23" i="26"/>
  <c r="S76" i="41"/>
  <c r="P70" i="41"/>
  <c r="Q73" i="41"/>
  <c r="V80" i="41"/>
  <c r="I67" i="41"/>
  <c r="L21" i="26"/>
  <c r="H33" i="26"/>
  <c r="J23" i="26"/>
  <c r="V33" i="26"/>
  <c r="R20" i="26"/>
  <c r="BP27" i="26"/>
  <c r="BQ27" i="26"/>
  <c r="BZ14" i="26"/>
  <c r="CC15" i="26"/>
  <c r="BG22" i="26"/>
  <c r="BK21" i="26"/>
  <c r="AU27" i="26"/>
  <c r="AZ27" i="26"/>
  <c r="AV20" i="26"/>
  <c r="AL17" i="26"/>
  <c r="AO27" i="26"/>
  <c r="AW34" i="26"/>
  <c r="AS30" i="26"/>
  <c r="AB33" i="26"/>
  <c r="AF22" i="26"/>
  <c r="AA29" i="26"/>
  <c r="K80" i="41"/>
  <c r="S79" i="41"/>
  <c r="K61" i="41"/>
  <c r="L70" i="41"/>
  <c r="F78" i="41"/>
  <c r="N21" i="26"/>
  <c r="K34" i="26"/>
  <c r="R29" i="26"/>
  <c r="T21" i="26"/>
  <c r="BQ14" i="26"/>
  <c r="BU19" i="26"/>
  <c r="BO19" i="26"/>
  <c r="CG14" i="26"/>
  <c r="CB27" i="26"/>
  <c r="BG19" i="26"/>
  <c r="BK30" i="26"/>
  <c r="AN33" i="26"/>
  <c r="AD31" i="26"/>
  <c r="AH31" i="26"/>
  <c r="Q69" i="41"/>
  <c r="V68" i="41"/>
  <c r="N67" i="41"/>
  <c r="G60" i="41"/>
  <c r="R75" i="41"/>
  <c r="L15" i="26"/>
  <c r="H23" i="26"/>
  <c r="Q14" i="26"/>
  <c r="V23" i="26"/>
  <c r="R34" i="26"/>
  <c r="BR20" i="26"/>
  <c r="BP22" i="26"/>
  <c r="CE33" i="26"/>
  <c r="BY20" i="26"/>
  <c r="BH29" i="26"/>
  <c r="BM15" i="26"/>
  <c r="BA20" i="26"/>
  <c r="AU24" i="26"/>
  <c r="AR21" i="26"/>
  <c r="AK33" i="26"/>
  <c r="AP30" i="26"/>
  <c r="C31" i="27"/>
  <c r="AQ15" i="26"/>
  <c r="D29" i="28"/>
  <c r="D108" i="28" s="1"/>
  <c r="AI20" i="26"/>
  <c r="AD14" i="26"/>
  <c r="G63" i="41"/>
  <c r="O70" i="41"/>
  <c r="O69" i="41"/>
  <c r="N65" i="41"/>
  <c r="Q68" i="41"/>
  <c r="M21" i="26"/>
  <c r="H27" i="26"/>
  <c r="Y15" i="26"/>
  <c r="S21" i="26"/>
  <c r="BT22" i="26"/>
  <c r="BV34" i="26"/>
  <c r="CE34" i="26"/>
  <c r="BY30" i="26"/>
  <c r="BF24" i="26"/>
  <c r="BI23" i="26"/>
  <c r="BL19" i="26"/>
  <c r="BB23" i="26"/>
  <c r="AW21" i="26"/>
  <c r="AN21" i="26"/>
  <c r="AR33" i="26"/>
  <c r="AS29" i="26"/>
  <c r="AW23" i="26"/>
  <c r="BT26" i="26"/>
  <c r="BV26" i="26"/>
  <c r="BR26" i="26"/>
  <c r="CD15" i="26"/>
  <c r="BZ17" i="26"/>
  <c r="BI30" i="26"/>
  <c r="BL21" i="26"/>
  <c r="AY20" i="26"/>
  <c r="AA23" i="26"/>
  <c r="AE23" i="26"/>
  <c r="K76" i="41"/>
  <c r="T61" i="41"/>
  <c r="J69" i="41"/>
  <c r="J65" i="41"/>
  <c r="K14" i="26"/>
  <c r="M33" i="26"/>
  <c r="Y33" i="26"/>
  <c r="S17" i="26"/>
  <c r="BW34" i="26"/>
  <c r="BT19" i="26"/>
  <c r="CB17" i="26"/>
  <c r="CF21" i="26"/>
  <c r="CA20" i="26"/>
  <c r="BF26" i="26"/>
  <c r="BI17" i="26"/>
  <c r="AX26" i="26"/>
  <c r="BB20" i="26"/>
  <c r="AN14" i="26"/>
  <c r="AR29" i="26"/>
  <c r="AV31" i="26"/>
  <c r="AA31" i="26"/>
  <c r="AE27" i="26"/>
  <c r="L73" i="41"/>
  <c r="O80" i="41"/>
  <c r="P68" i="41"/>
  <c r="V63" i="41"/>
  <c r="J61" i="41"/>
  <c r="I24" i="26"/>
  <c r="M26" i="26"/>
  <c r="X24" i="26"/>
  <c r="U30" i="26"/>
  <c r="Y17" i="26"/>
  <c r="BS14" i="26"/>
  <c r="BW21" i="26"/>
  <c r="CA34" i="26"/>
  <c r="CE30" i="26"/>
  <c r="BY23" i="26"/>
  <c r="BF31" i="26"/>
  <c r="BI22" i="26"/>
  <c r="AX14" i="26"/>
  <c r="BB15" i="26"/>
  <c r="AJ32" i="26"/>
  <c r="AJ35" i="26" s="1"/>
  <c r="AN20" i="26"/>
  <c r="AR22" i="26"/>
  <c r="AZ22" i="26"/>
  <c r="D29" i="30"/>
  <c r="D108" i="30" s="1"/>
  <c r="AI34" i="26"/>
  <c r="AD22" i="26"/>
  <c r="O76" i="41"/>
  <c r="U63" i="41"/>
  <c r="K75" i="41"/>
  <c r="M72" i="41"/>
  <c r="R80" i="41"/>
  <c r="G14" i="26"/>
  <c r="L27" i="26"/>
  <c r="Q31" i="26"/>
  <c r="V22" i="26"/>
  <c r="BR30" i="26"/>
  <c r="BP17" i="26"/>
  <c r="BX32" i="26"/>
  <c r="BX35" i="26" s="1"/>
  <c r="CD21" i="26"/>
  <c r="BZ21" i="26"/>
  <c r="BM17" i="26"/>
  <c r="BG17" i="26"/>
  <c r="BA33" i="26"/>
  <c r="AU15" i="26"/>
  <c r="AZ33" i="26"/>
  <c r="AP24" i="26"/>
  <c r="AL30" i="26"/>
  <c r="BC24" i="26"/>
  <c r="AP20" i="26"/>
  <c r="AG21" i="26"/>
  <c r="AB27" i="26"/>
  <c r="AF14" i="26"/>
  <c r="G72" i="41"/>
  <c r="N80" i="41"/>
  <c r="K79" i="41"/>
  <c r="I63" i="41"/>
  <c r="H34" i="26"/>
  <c r="I20" i="26"/>
  <c r="N20" i="26"/>
  <c r="V21" i="26"/>
  <c r="R15" i="26"/>
  <c r="BP29" i="26"/>
  <c r="BQ24" i="26"/>
  <c r="CC33" i="26"/>
  <c r="CG31" i="26"/>
  <c r="BM30" i="26"/>
  <c r="BG23" i="26"/>
  <c r="AO31" i="26"/>
  <c r="AI17" i="26"/>
  <c r="AD29" i="26"/>
  <c r="W70" i="41"/>
  <c r="G66" i="41"/>
  <c r="U65" i="41"/>
  <c r="J77" i="41"/>
  <c r="R63" i="41"/>
  <c r="G19" i="26"/>
  <c r="L33" i="26"/>
  <c r="W15" i="26"/>
  <c r="Q26" i="26"/>
  <c r="V20" i="26"/>
  <c r="BV15" i="26"/>
  <c r="BR23" i="26"/>
  <c r="CA29" i="26"/>
  <c r="CE14" i="26"/>
  <c r="BI26" i="26"/>
  <c r="BL31" i="26"/>
  <c r="BH14" i="26"/>
  <c r="AW26" i="26"/>
  <c r="BA14" i="26"/>
  <c r="AN17" i="26"/>
  <c r="AR26" i="26"/>
  <c r="AL14" i="26"/>
  <c r="AA22" i="26"/>
  <c r="AE24" i="26"/>
  <c r="AI27" i="26"/>
  <c r="M79" i="41"/>
  <c r="K63" i="41"/>
  <c r="N75" i="41"/>
  <c r="W69" i="41"/>
  <c r="F60" i="41"/>
  <c r="K30" i="26"/>
  <c r="L19" i="26"/>
  <c r="U21" i="26"/>
  <c r="Y14" i="26"/>
  <c r="BS23" i="26"/>
  <c r="BW29" i="26"/>
  <c r="BT15" i="26"/>
  <c r="CA30" i="26"/>
  <c r="CE17" i="26"/>
  <c r="BJ33" i="26"/>
  <c r="BF22" i="26"/>
  <c r="AX17" i="26"/>
  <c r="BB31" i="26"/>
  <c r="AS21" i="26"/>
  <c r="AN22" i="26"/>
  <c r="AO21" i="26"/>
  <c r="AY30" i="26"/>
  <c r="K69" i="41"/>
  <c r="T68" i="41"/>
  <c r="V77" i="41"/>
  <c r="N31" i="26"/>
  <c r="G30" i="26"/>
  <c r="L30" i="26"/>
  <c r="U34" i="26"/>
  <c r="Y31" i="26"/>
  <c r="BW14" i="26"/>
  <c r="BT23" i="26"/>
  <c r="BV27" i="26"/>
  <c r="BY31" i="26"/>
  <c r="CD20" i="26"/>
  <c r="BF27" i="26"/>
  <c r="BI19" i="26"/>
  <c r="BA15" i="26"/>
  <c r="AF20" i="26"/>
  <c r="AA24" i="26"/>
  <c r="X76" i="41"/>
  <c r="O79" i="41"/>
  <c r="T63" i="41"/>
  <c r="G75" i="41"/>
  <c r="V73" i="41"/>
  <c r="N27" i="26"/>
  <c r="K23" i="26"/>
  <c r="X30" i="26"/>
  <c r="U22" i="26"/>
  <c r="Y20" i="26"/>
  <c r="BS15" i="26"/>
  <c r="BW31" i="26"/>
  <c r="CG22" i="26"/>
  <c r="CB26" i="26"/>
  <c r="BJ15" i="26"/>
  <c r="BF14" i="26"/>
  <c r="BC23" i="26"/>
  <c r="AX30" i="26"/>
  <c r="AQ31" i="26"/>
  <c r="AS17" i="26"/>
  <c r="AN27" i="26"/>
  <c r="AW29" i="26"/>
  <c r="AF27" i="26"/>
  <c r="AA21" i="26"/>
  <c r="L60" i="41"/>
  <c r="G73" i="41"/>
  <c r="J66" i="41"/>
  <c r="K68" i="41"/>
  <c r="K67" i="41"/>
  <c r="O22" i="26"/>
  <c r="K24" i="26"/>
  <c r="T22" i="26"/>
  <c r="X27" i="26"/>
  <c r="U31" i="26"/>
  <c r="BO23" i="26"/>
  <c r="BS20" i="26"/>
  <c r="CF15" i="26"/>
  <c r="CA17" i="26"/>
  <c r="BD32" i="26"/>
  <c r="BD35" i="26" s="1"/>
  <c r="BJ26" i="26"/>
  <c r="BF17" i="26"/>
  <c r="BC21" i="26"/>
  <c r="AX34" i="26"/>
  <c r="AQ14" i="26"/>
  <c r="AS15" i="26"/>
  <c r="AN31" i="26"/>
  <c r="BB21" i="26"/>
  <c r="D30" i="30"/>
  <c r="AE15" i="26"/>
  <c r="AI24" i="26"/>
  <c r="R76" i="41"/>
  <c r="W79" i="41"/>
  <c r="L77" i="41"/>
  <c r="J75" i="41"/>
  <c r="J70" i="41"/>
  <c r="M22" i="26"/>
  <c r="G27" i="26"/>
  <c r="P32" i="26"/>
  <c r="P35" i="26" s="1"/>
  <c r="W23" i="26"/>
  <c r="Q34" i="26"/>
  <c r="BV29" i="26"/>
  <c r="BR19" i="26"/>
  <c r="CE31" i="26"/>
  <c r="BY15" i="26"/>
  <c r="CD17" i="26"/>
  <c r="BH31" i="26"/>
  <c r="BM31" i="26"/>
  <c r="AW15" i="26"/>
  <c r="BA26" i="26"/>
  <c r="AK27" i="26"/>
  <c r="AP21" i="26"/>
  <c r="AU31" i="26"/>
  <c r="AC24" i="26"/>
  <c r="AG20" i="26"/>
  <c r="W76" i="41"/>
  <c r="Q75" i="41"/>
  <c r="T73" i="41"/>
  <c r="G80" i="41"/>
  <c r="L79" i="41"/>
  <c r="L29" i="26"/>
  <c r="O20" i="26"/>
  <c r="I15" i="26"/>
  <c r="Q19" i="26"/>
  <c r="V34" i="26"/>
  <c r="BR24" i="26"/>
  <c r="BP15" i="26"/>
  <c r="CD30" i="26"/>
  <c r="BZ30" i="26"/>
  <c r="CC30" i="26"/>
  <c r="BH33" i="26"/>
  <c r="BM22" i="26"/>
  <c r="BA31" i="26"/>
  <c r="AR20" i="26"/>
  <c r="AE19" i="26"/>
  <c r="AI21" i="26"/>
  <c r="M61" i="41"/>
  <c r="U70" i="41"/>
  <c r="X69" i="41"/>
  <c r="O65" i="41"/>
  <c r="O68" i="41"/>
  <c r="M30" i="26"/>
  <c r="G26" i="26"/>
  <c r="S27" i="26"/>
  <c r="W22" i="26"/>
  <c r="BT29" i="26"/>
  <c r="BV19" i="26"/>
  <c r="CF24" i="26"/>
  <c r="CA19" i="26"/>
  <c r="BF21" i="26"/>
  <c r="BI14" i="26"/>
  <c r="BL27" i="26"/>
  <c r="BB29" i="26"/>
  <c r="AW31" i="26"/>
  <c r="AS22" i="26"/>
  <c r="AN24" i="26"/>
  <c r="AR17" i="26"/>
  <c r="AF19" i="26"/>
  <c r="AA19" i="26"/>
  <c r="AE31" i="26"/>
  <c r="P66" i="41"/>
  <c r="V79" i="41"/>
  <c r="N63" i="41"/>
  <c r="M75" i="41"/>
  <c r="F79" i="41"/>
  <c r="M15" i="26"/>
  <c r="G34" i="26"/>
  <c r="X17" i="26"/>
  <c r="U26" i="26"/>
  <c r="BO33" i="26"/>
  <c r="BS17" i="26"/>
  <c r="BW30" i="26"/>
  <c r="CF27" i="26"/>
  <c r="CA22" i="26"/>
  <c r="BE26" i="26"/>
  <c r="BJ14" i="26"/>
  <c r="AY33" i="26"/>
  <c r="BC22" i="26"/>
  <c r="AX29" i="26"/>
  <c r="AQ27" i="26"/>
  <c r="AS33" i="26"/>
  <c r="AN29" i="26"/>
  <c r="AO24" i="26"/>
  <c r="AM14" i="26"/>
  <c r="AL24" i="26"/>
  <c r="AS20" i="26"/>
  <c r="AM20" i="26"/>
  <c r="AQ17" i="26"/>
  <c r="AS34" i="26"/>
  <c r="AN23" i="26"/>
  <c r="AO22" i="26"/>
  <c r="AP23" i="26"/>
  <c r="AL34" i="26"/>
  <c r="AK30" i="26"/>
  <c r="AK17" i="26"/>
  <c r="AQ30" i="26"/>
  <c r="AR19" i="26"/>
  <c r="AR24" i="26"/>
  <c r="AP19" i="26"/>
  <c r="N61" i="41"/>
  <c r="L69" i="41"/>
  <c r="H65" i="41"/>
  <c r="I26" i="26"/>
  <c r="M31" i="26"/>
  <c r="X34" i="26"/>
  <c r="U20" i="26"/>
  <c r="BS34" i="26"/>
  <c r="BW15" i="26"/>
  <c r="CE23" i="26"/>
  <c r="BY21" i="26"/>
  <c r="BJ19" i="26"/>
  <c r="BF29" i="26"/>
  <c r="BC31" i="26"/>
  <c r="AB23" i="26"/>
  <c r="AF34" i="26"/>
  <c r="R73" i="41"/>
  <c r="W80" i="41"/>
  <c r="L68" i="41"/>
  <c r="H63" i="41"/>
  <c r="H60" i="41"/>
  <c r="I30" i="26"/>
  <c r="N29" i="26"/>
  <c r="T15" i="26"/>
  <c r="X29" i="26"/>
  <c r="U29" i="26"/>
  <c r="BO29" i="26"/>
  <c r="BS27" i="26"/>
  <c r="CC21" i="26"/>
  <c r="CG23" i="26"/>
  <c r="BE17" i="26"/>
  <c r="BJ34" i="26"/>
  <c r="AY15" i="26"/>
  <c r="BC29" i="26"/>
  <c r="AM24" i="26"/>
  <c r="AQ34" i="26"/>
  <c r="AS24" i="26"/>
  <c r="AY26" i="26"/>
  <c r="AB15" i="26"/>
  <c r="AF24" i="26"/>
  <c r="G67" i="41"/>
  <c r="Q60" i="41"/>
  <c r="O73" i="41"/>
  <c r="Q66" i="41"/>
  <c r="J80" i="41"/>
  <c r="J24" i="26"/>
  <c r="N22" i="26"/>
  <c r="R21" i="26"/>
  <c r="T20" i="26"/>
  <c r="BU30" i="26"/>
  <c r="BO14" i="26"/>
  <c r="CB30" i="26"/>
  <c r="CF17" i="26"/>
  <c r="BE30" i="26"/>
  <c r="BJ17" i="26"/>
  <c r="AY34" i="26"/>
  <c r="BC26" i="26"/>
  <c r="AM30" i="26"/>
  <c r="AQ24" i="26"/>
  <c r="AS27" i="26"/>
  <c r="AV23" i="26"/>
  <c r="C31" i="30"/>
  <c r="C34" i="30" s="1"/>
  <c r="C48" i="30" s="1"/>
  <c r="AA34" i="26"/>
  <c r="AE29" i="26"/>
  <c r="S73" i="41"/>
  <c r="N66" i="41"/>
  <c r="W68" i="41"/>
  <c r="G77" i="41"/>
  <c r="P61" i="41"/>
  <c r="K31" i="26"/>
  <c r="M14" i="26"/>
  <c r="Y23" i="26"/>
  <c r="S20" i="26"/>
  <c r="W30" i="26"/>
  <c r="BT17" i="26"/>
  <c r="BV24" i="26"/>
  <c r="CA31" i="26"/>
  <c r="CE19" i="26"/>
  <c r="BY24" i="26"/>
  <c r="BL24" i="26"/>
  <c r="BH34" i="26"/>
  <c r="BB30" i="26"/>
  <c r="AW27" i="26"/>
  <c r="AN19" i="26"/>
  <c r="AR14" i="26"/>
  <c r="AK21" i="26"/>
  <c r="AX33" i="26"/>
  <c r="AH30" i="26"/>
  <c r="AC20" i="26"/>
  <c r="N76" i="41"/>
  <c r="P63" i="41"/>
  <c r="I60" i="41"/>
  <c r="L72" i="41"/>
  <c r="P69" i="41"/>
  <c r="G22" i="26"/>
  <c r="J14" i="26"/>
  <c r="W33" i="26"/>
  <c r="Q15" i="26"/>
  <c r="BV14" i="26"/>
  <c r="BR17" i="26"/>
  <c r="BY33" i="26"/>
  <c r="CD19" i="26"/>
  <c r="BZ15" i="26"/>
  <c r="BL29" i="26"/>
  <c r="BH27" i="26"/>
  <c r="AY17" i="26"/>
  <c r="AA14" i="26"/>
  <c r="AE21" i="26"/>
  <c r="U79" i="41"/>
  <c r="V61" i="41"/>
  <c r="S70" i="41"/>
  <c r="H69" i="41"/>
  <c r="F74" i="41"/>
  <c r="K27" i="26"/>
  <c r="M24" i="26"/>
  <c r="Y27" i="26"/>
  <c r="S30" i="26"/>
  <c r="BS33" i="26"/>
  <c r="BW19" i="26"/>
  <c r="BT31" i="26"/>
  <c r="CB23" i="26"/>
  <c r="CF29" i="26"/>
  <c r="BJ20" i="26"/>
  <c r="BF20" i="26"/>
  <c r="AX15" i="26"/>
  <c r="BB22" i="26"/>
  <c r="AQ20" i="26"/>
  <c r="AS19" i="26"/>
  <c r="AQ19" i="26"/>
  <c r="BC17" i="26"/>
  <c r="AB30" i="26"/>
  <c r="AF30" i="26"/>
  <c r="G15" i="26"/>
  <c r="K73" i="41"/>
  <c r="H66" i="41"/>
  <c r="G68" i="41"/>
  <c r="K77" i="41"/>
  <c r="O27" i="26"/>
  <c r="K26" i="26"/>
  <c r="M20" i="26"/>
  <c r="T17" i="26"/>
  <c r="X14" i="26"/>
  <c r="BU22" i="26"/>
  <c r="BO15" i="26"/>
  <c r="CB33" i="26"/>
  <c r="CF30" i="26"/>
  <c r="BK23" i="26"/>
  <c r="BE20" i="26"/>
  <c r="AV26" i="26"/>
  <c r="AY21" i="26"/>
  <c r="BC20" i="26"/>
  <c r="AM27" i="26"/>
  <c r="AQ26" i="26"/>
  <c r="AL23" i="26"/>
  <c r="D30" i="32"/>
  <c r="D109" i="32" s="1"/>
  <c r="D123" i="32" s="1"/>
  <c r="BO21" i="26"/>
  <c r="BS24" i="26"/>
  <c r="CF33" i="26"/>
  <c r="CA14" i="26"/>
  <c r="CE26" i="26"/>
  <c r="BE14" i="26"/>
  <c r="BJ30" i="26"/>
  <c r="AU29" i="26"/>
  <c r="AG23" i="26"/>
  <c r="AB34" i="26"/>
  <c r="O60" i="41"/>
  <c r="O72" i="41"/>
  <c r="V66" i="41"/>
  <c r="I79" i="41"/>
  <c r="V67" i="41"/>
  <c r="O26" i="26"/>
  <c r="I22" i="26"/>
  <c r="R24" i="26"/>
  <c r="T27" i="26"/>
  <c r="BU34" i="26"/>
  <c r="BO34" i="26"/>
  <c r="BZ34" i="26"/>
  <c r="CC34" i="26"/>
  <c r="BG20" i="26"/>
  <c r="BK33" i="26"/>
  <c r="BE21" i="26"/>
  <c r="AV34" i="26"/>
  <c r="AY31" i="26"/>
  <c r="AO33" i="26"/>
  <c r="AM29" i="26"/>
  <c r="AO14" i="26"/>
  <c r="AC30" i="26"/>
  <c r="AG22" i="26"/>
  <c r="AB21" i="26"/>
  <c r="S65" i="41"/>
  <c r="Q67" i="41"/>
  <c r="N60" i="41"/>
  <c r="P73" i="41"/>
  <c r="F80" i="41"/>
  <c r="O23" i="26"/>
  <c r="I31" i="26"/>
  <c r="V15" i="26"/>
  <c r="R23" i="26"/>
  <c r="BP26" i="26"/>
  <c r="BQ21" i="26"/>
  <c r="BU20" i="26"/>
  <c r="CG21" i="26"/>
  <c r="CB21" i="26"/>
  <c r="BG26" i="26"/>
  <c r="BK14" i="26"/>
  <c r="BE27" i="26"/>
  <c r="AV30" i="26"/>
  <c r="AY27" i="26"/>
  <c r="AO34" i="26"/>
  <c r="AM19" i="26"/>
  <c r="AN30" i="26"/>
  <c r="AF21" i="26"/>
  <c r="AA20" i="26"/>
  <c r="U73" i="41"/>
  <c r="F32" i="26"/>
  <c r="H68" i="41"/>
  <c r="R79" i="41"/>
  <c r="N26" i="26"/>
  <c r="K20" i="26"/>
  <c r="U33" i="26"/>
  <c r="Y30" i="26"/>
  <c r="S15" i="26"/>
  <c r="BW20" i="26"/>
  <c r="BT14" i="26"/>
  <c r="CF34" i="26"/>
  <c r="CA15" i="26"/>
  <c r="BI34" i="26"/>
  <c r="BL23" i="26"/>
  <c r="AX20" i="26"/>
  <c r="BB24" i="26"/>
  <c r="AS26" i="26"/>
  <c r="AN34" i="26"/>
  <c r="AR27" i="26"/>
  <c r="AZ31" i="26"/>
  <c r="AD19" i="26"/>
  <c r="AH26" i="26"/>
  <c r="H76" i="41"/>
  <c r="J68" i="41"/>
  <c r="I77" i="41"/>
  <c r="V70" i="41"/>
  <c r="M29" i="26"/>
  <c r="H17" i="26"/>
  <c r="Y34" i="26"/>
  <c r="S22" i="26"/>
  <c r="W21" i="26"/>
  <c r="BT33" i="26"/>
  <c r="BV22" i="26"/>
  <c r="CE15" i="26"/>
  <c r="BY19" i="26"/>
  <c r="BI15" i="26"/>
  <c r="BL26" i="26"/>
  <c r="BA17" i="26"/>
  <c r="AB20" i="26"/>
  <c r="AF31" i="26"/>
  <c r="AA33" i="26"/>
  <c r="S80" i="41"/>
  <c r="N79" i="41"/>
  <c r="O63" i="41"/>
  <c r="T70" i="41"/>
  <c r="F71" i="41"/>
  <c r="N24" i="26"/>
  <c r="K17" i="26"/>
  <c r="U17" i="26"/>
  <c r="Y26" i="26"/>
  <c r="BO20" i="26"/>
  <c r="BS19" i="26"/>
  <c r="BW26" i="26"/>
  <c r="CG24" i="26"/>
  <c r="CB14" i="26"/>
  <c r="BE23" i="26"/>
  <c r="BJ23" i="26"/>
  <c r="AY22" i="26"/>
  <c r="BC14" i="26"/>
  <c r="AX24" i="26"/>
  <c r="AM15" i="26"/>
  <c r="AQ22" i="26"/>
  <c r="D30" i="27"/>
  <c r="AU21" i="26"/>
  <c r="AG17" i="26"/>
  <c r="AB24" i="26"/>
  <c r="Q76" i="41"/>
  <c r="S60" i="41"/>
  <c r="Q70" i="41"/>
  <c r="L66" i="41"/>
  <c r="M68" i="41"/>
  <c r="J21" i="26"/>
  <c r="N17" i="26"/>
  <c r="R14" i="26"/>
  <c r="T24" i="26"/>
  <c r="BQ17" i="26"/>
  <c r="BU29" i="26"/>
  <c r="CC17" i="26"/>
  <c r="CG27" i="26"/>
  <c r="CB15" i="26"/>
  <c r="BG29" i="26"/>
  <c r="BK20" i="26"/>
  <c r="AZ21" i="26"/>
  <c r="AV33" i="26"/>
  <c r="AO17" i="26"/>
  <c r="AM34" i="26"/>
  <c r="AR15" i="26"/>
  <c r="D29" i="32"/>
  <c r="AP26" i="26"/>
  <c r="M80" i="41"/>
  <c r="H79" i="41"/>
  <c r="U61" i="41"/>
  <c r="J60" i="41"/>
  <c r="J34" i="26"/>
  <c r="N19" i="26"/>
  <c r="V31" i="26"/>
  <c r="R26" i="26"/>
  <c r="T31" i="26"/>
  <c r="D29" i="33"/>
  <c r="BU14" i="26"/>
  <c r="BO27" i="26"/>
  <c r="CB34" i="26"/>
  <c r="CF19" i="26"/>
  <c r="CA27" i="26"/>
  <c r="BK19" i="26"/>
  <c r="BE22" i="26"/>
  <c r="AC29" i="26"/>
  <c r="AG24" i="26"/>
  <c r="P77" i="41"/>
  <c r="P60" i="41"/>
  <c r="K72" i="41"/>
  <c r="P80" i="41"/>
  <c r="U80" i="41"/>
  <c r="J31" i="26"/>
  <c r="O17" i="26"/>
  <c r="V17" i="26"/>
  <c r="R33" i="26"/>
  <c r="BP24" i="26"/>
  <c r="BQ29" i="26"/>
  <c r="BU31" i="26"/>
  <c r="CD26" i="26"/>
  <c r="BZ20" i="26"/>
  <c r="BM21" i="26"/>
  <c r="BG34" i="26"/>
  <c r="BK17" i="26"/>
  <c r="AZ19" i="26"/>
  <c r="AV17" i="26"/>
  <c r="AL33" i="26"/>
  <c r="AO23" i="26"/>
  <c r="AR23" i="26"/>
  <c r="AH29" i="26"/>
  <c r="AC31" i="26"/>
  <c r="AG15" i="26"/>
  <c r="R69" i="41"/>
  <c r="I65" i="41"/>
  <c r="P67" i="41"/>
  <c r="R61" i="41"/>
  <c r="G31" i="26"/>
  <c r="J15" i="26"/>
  <c r="O24" i="26"/>
  <c r="Q22" i="26"/>
  <c r="V29" i="26"/>
  <c r="BR29" i="26"/>
  <c r="BP31" i="26"/>
  <c r="BQ34" i="26"/>
  <c r="CC24" i="26"/>
  <c r="CG17" i="26"/>
  <c r="BM29" i="26"/>
  <c r="BG30" i="26"/>
  <c r="BK31" i="26"/>
  <c r="AZ17" i="26"/>
  <c r="AV14" i="26"/>
  <c r="AL27" i="26"/>
  <c r="AO30" i="26"/>
  <c r="AQ33" i="26"/>
  <c r="AB26" i="26"/>
  <c r="AF15" i="26"/>
  <c r="R67" i="41"/>
  <c r="L61" i="41"/>
  <c r="N73" i="41"/>
  <c r="M66" i="41"/>
  <c r="O66" i="41"/>
  <c r="I19" i="26"/>
  <c r="N15" i="26"/>
  <c r="X26" i="26"/>
  <c r="U15" i="26"/>
  <c r="BN32" i="26"/>
  <c r="BN35" i="26" s="1"/>
  <c r="BS26" i="26"/>
  <c r="BW17" i="26"/>
  <c r="CB19" i="26"/>
  <c r="CF20" i="26"/>
  <c r="BJ24" i="26"/>
  <c r="BF33" i="26"/>
  <c r="BI20" i="26"/>
  <c r="BC30" i="26"/>
  <c r="AX27" i="26"/>
  <c r="AQ23" i="26"/>
  <c r="AS14" i="26"/>
  <c r="AS31" i="26"/>
  <c r="AI26" i="26"/>
  <c r="AD15" i="26"/>
  <c r="K70" i="41"/>
  <c r="W66" i="41"/>
  <c r="W65" i="41"/>
  <c r="Q77" i="41"/>
  <c r="J63" i="41"/>
  <c r="K33" i="26"/>
  <c r="L22" i="26"/>
  <c r="U14" i="26"/>
  <c r="Y24" i="26"/>
  <c r="S23" i="26"/>
  <c r="BW33" i="26"/>
  <c r="BT24" i="26"/>
  <c r="CA24" i="26"/>
  <c r="CE20" i="26"/>
  <c r="BJ27" i="26"/>
  <c r="BF34" i="26"/>
  <c r="BI21" i="26"/>
  <c r="BC15" i="26"/>
  <c r="AG34" i="26"/>
  <c r="AB29" i="26"/>
  <c r="AF17" i="26"/>
  <c r="J73" i="41"/>
  <c r="H80" i="41"/>
  <c r="T79" i="41"/>
  <c r="S63" i="41"/>
  <c r="O21" i="26"/>
  <c r="I14" i="26"/>
  <c r="N23" i="26"/>
  <c r="X19" i="26"/>
  <c r="U27" i="26"/>
  <c r="BU21" i="26"/>
  <c r="BO24" i="26"/>
  <c r="CC22" i="26"/>
  <c r="CG19" i="26"/>
  <c r="BK27" i="26"/>
  <c r="BE15" i="26"/>
  <c r="AV22" i="26"/>
  <c r="AY24" i="26"/>
  <c r="BC34" i="26"/>
  <c r="AO26" i="26"/>
  <c r="AM21" i="26"/>
  <c r="D29" i="27"/>
  <c r="AX22" i="26"/>
  <c r="AC27" i="26"/>
  <c r="AG19" i="26"/>
  <c r="I76" i="41"/>
  <c r="N77" i="41"/>
  <c r="X61" i="41"/>
  <c r="H73" i="41"/>
  <c r="J72" i="41"/>
  <c r="H22" i="26"/>
  <c r="I33" i="26"/>
  <c r="Q23" i="26"/>
  <c r="V27" i="26"/>
  <c r="R30" i="26"/>
  <c r="BP33" i="26"/>
  <c r="BQ26" i="26"/>
  <c r="BZ26" i="26"/>
  <c r="CC23" i="26"/>
  <c r="CG30" i="26"/>
  <c r="BM24" i="26"/>
  <c r="BG24" i="26"/>
  <c r="AU19" i="26"/>
  <c r="AZ20" i="26"/>
  <c r="AL20" i="26"/>
  <c r="AO20" i="26"/>
  <c r="AS23" i="26"/>
  <c r="C31" i="32"/>
  <c r="C110" i="32" s="1"/>
  <c r="C123" i="32" s="1"/>
  <c r="AX19" i="26"/>
  <c r="D93" i="12"/>
  <c r="D34" i="35"/>
  <c r="D108" i="35"/>
  <c r="D109" i="35"/>
  <c r="D123" i="35" s="1"/>
  <c r="C34" i="35"/>
  <c r="C58" i="35" s="1"/>
  <c r="C34" i="33"/>
  <c r="C42" i="33" s="1"/>
  <c r="D109" i="31"/>
  <c r="D123" i="31" s="1"/>
  <c r="C110" i="12"/>
  <c r="C123" i="12" s="1"/>
  <c r="D108" i="31"/>
  <c r="C110" i="31"/>
  <c r="C123" i="31" s="1"/>
  <c r="L23" i="5"/>
  <c r="K23" i="5"/>
  <c r="M23" i="5"/>
  <c r="I23" i="5"/>
  <c r="J23" i="5"/>
  <c r="H23" i="5"/>
  <c r="G23" i="5"/>
  <c r="P23" i="5"/>
  <c r="E23" i="5"/>
  <c r="Q16" i="5"/>
  <c r="Q18" i="5" s="1"/>
  <c r="O23" i="5"/>
  <c r="N23" i="5"/>
  <c r="I24" i="5"/>
  <c r="K24" i="5"/>
  <c r="L24" i="5"/>
  <c r="M24" i="5"/>
  <c r="F24" i="5"/>
  <c r="H24" i="5"/>
  <c r="O24" i="5"/>
  <c r="N24" i="5"/>
  <c r="J24" i="5"/>
  <c r="E24" i="5"/>
  <c r="G24" i="5"/>
  <c r="P24" i="5"/>
  <c r="F23" i="5"/>
  <c r="Q15" i="5"/>
  <c r="P19" i="5" s="1"/>
  <c r="D99" i="35"/>
  <c r="D100" i="35"/>
  <c r="D102" i="35"/>
  <c r="D101" i="35"/>
  <c r="D98" i="35"/>
  <c r="D111" i="35"/>
  <c r="D124" i="35" s="1"/>
  <c r="D104" i="35"/>
  <c r="D93" i="35"/>
  <c r="D92" i="35"/>
  <c r="D112" i="35"/>
  <c r="D121" i="35" s="1"/>
  <c r="D107" i="35"/>
  <c r="D95" i="35"/>
  <c r="D105" i="35"/>
  <c r="C107" i="35"/>
  <c r="C96" i="35"/>
  <c r="C106" i="35"/>
  <c r="C94" i="35"/>
  <c r="C103" i="35"/>
  <c r="C111" i="35"/>
  <c r="C124" i="35" s="1"/>
  <c r="C100" i="35"/>
  <c r="C120" i="35" s="1"/>
  <c r="C112" i="35"/>
  <c r="C121" i="35" s="1"/>
  <c r="C92" i="35"/>
  <c r="D95" i="32"/>
  <c r="D99" i="33"/>
  <c r="D93" i="32"/>
  <c r="D101" i="32"/>
  <c r="D93" i="33"/>
  <c r="C96" i="31"/>
  <c r="C100" i="31"/>
  <c r="C120" i="31" s="1"/>
  <c r="D105" i="31"/>
  <c r="D102" i="31"/>
  <c r="D97" i="33"/>
  <c r="D111" i="33"/>
  <c r="D124" i="33" s="1"/>
  <c r="D92" i="32"/>
  <c r="D99" i="32"/>
  <c r="C103" i="31"/>
  <c r="C107" i="31"/>
  <c r="C100" i="33"/>
  <c r="C120" i="33" s="1"/>
  <c r="D92" i="31"/>
  <c r="D104" i="33"/>
  <c r="D104" i="31"/>
  <c r="D98" i="31"/>
  <c r="D112" i="33"/>
  <c r="D121" i="33" s="1"/>
  <c r="D101" i="33"/>
  <c r="C112" i="31"/>
  <c r="C121" i="31" s="1"/>
  <c r="C106" i="31"/>
  <c r="C106" i="32"/>
  <c r="C96" i="32"/>
  <c r="D102" i="33"/>
  <c r="D112" i="32"/>
  <c r="D121" i="32" s="1"/>
  <c r="D104" i="32"/>
  <c r="D111" i="31"/>
  <c r="D124" i="31" s="1"/>
  <c r="D97" i="32"/>
  <c r="C112" i="32"/>
  <c r="C121" i="32" s="1"/>
  <c r="C92" i="32"/>
  <c r="C94" i="32"/>
  <c r="C106" i="33"/>
  <c r="D98" i="33"/>
  <c r="D107" i="33"/>
  <c r="D112" i="31"/>
  <c r="D121" i="31" s="1"/>
  <c r="D95" i="31"/>
  <c r="D107" i="31"/>
  <c r="D100" i="32"/>
  <c r="C111" i="32"/>
  <c r="C124" i="32" s="1"/>
  <c r="C92" i="33"/>
  <c r="C111" i="31"/>
  <c r="C124" i="31" s="1"/>
  <c r="D99" i="31"/>
  <c r="D95" i="33"/>
  <c r="D100" i="31"/>
  <c r="D111" i="32"/>
  <c r="D124" i="32" s="1"/>
  <c r="D101" i="31"/>
  <c r="C112" i="33"/>
  <c r="C121" i="33" s="1"/>
  <c r="C94" i="33"/>
  <c r="C107" i="32"/>
  <c r="C103" i="32"/>
  <c r="D107" i="32"/>
  <c r="D100" i="33"/>
  <c r="D93" i="31"/>
  <c r="D105" i="32"/>
  <c r="D98" i="32"/>
  <c r="C96" i="33"/>
  <c r="C103" i="33"/>
  <c r="C92" i="31"/>
  <c r="D92" i="33"/>
  <c r="D102" i="32"/>
  <c r="D105" i="33"/>
  <c r="D97" i="31"/>
  <c r="C94" i="31"/>
  <c r="C107" i="33"/>
  <c r="C100" i="32"/>
  <c r="C120" i="32" s="1"/>
  <c r="C111" i="33"/>
  <c r="C124" i="33" s="1"/>
  <c r="D107" i="30"/>
  <c r="D95" i="30"/>
  <c r="D101" i="30"/>
  <c r="D93" i="30"/>
  <c r="D102" i="30"/>
  <c r="D98" i="30"/>
  <c r="D104" i="30"/>
  <c r="D111" i="30"/>
  <c r="D124" i="30" s="1"/>
  <c r="D92" i="30"/>
  <c r="D105" i="30"/>
  <c r="D99" i="30"/>
  <c r="D112" i="30"/>
  <c r="D121" i="30" s="1"/>
  <c r="D100" i="30"/>
  <c r="C103" i="30"/>
  <c r="C100" i="30"/>
  <c r="C120" i="30" s="1"/>
  <c r="C96" i="30"/>
  <c r="C112" i="30"/>
  <c r="C121" i="30" s="1"/>
  <c r="C111" i="30"/>
  <c r="C124" i="30" s="1"/>
  <c r="C107" i="30"/>
  <c r="C106" i="30"/>
  <c r="C92" i="30"/>
  <c r="C94" i="30"/>
  <c r="C106" i="28"/>
  <c r="C111" i="28"/>
  <c r="C124" i="28" s="1"/>
  <c r="C107" i="28"/>
  <c r="C100" i="28"/>
  <c r="C120" i="28" s="1"/>
  <c r="C92" i="28"/>
  <c r="C94" i="28"/>
  <c r="C103" i="28"/>
  <c r="C96" i="28"/>
  <c r="D98" i="28"/>
  <c r="D107" i="28"/>
  <c r="D105" i="28"/>
  <c r="D112" i="28"/>
  <c r="D121" i="28" s="1"/>
  <c r="D104" i="28"/>
  <c r="D111" i="28"/>
  <c r="D124" i="28" s="1"/>
  <c r="D102" i="28"/>
  <c r="D101" i="28"/>
  <c r="D100" i="28"/>
  <c r="D95" i="28"/>
  <c r="D92" i="28"/>
  <c r="D97" i="28"/>
  <c r="D93" i="28"/>
  <c r="D99" i="28"/>
  <c r="D120" i="12"/>
  <c r="C112" i="12"/>
  <c r="C121" i="12" s="1"/>
  <c r="C122" i="12"/>
  <c r="D92" i="12"/>
  <c r="C92" i="12"/>
  <c r="Q8" i="5"/>
  <c r="P12" i="5" s="1"/>
  <c r="Q7" i="5"/>
  <c r="L11" i="5" s="1"/>
  <c r="J19" i="5" l="1"/>
  <c r="G20" i="5"/>
  <c r="G19" i="5"/>
  <c r="P20" i="5"/>
  <c r="O19" i="5"/>
  <c r="E19" i="5"/>
  <c r="H19" i="5"/>
  <c r="J20" i="5"/>
  <c r="M20" i="5"/>
  <c r="L19" i="5"/>
  <c r="M19" i="5"/>
  <c r="E20" i="5"/>
  <c r="L20" i="5"/>
  <c r="O20" i="5"/>
  <c r="J27" i="5"/>
  <c r="K20" i="5"/>
  <c r="F20" i="5"/>
  <c r="N20" i="5"/>
  <c r="I20" i="5"/>
  <c r="H20" i="5"/>
  <c r="F19" i="5"/>
  <c r="N19" i="5"/>
  <c r="O27" i="5"/>
  <c r="K19" i="5"/>
  <c r="I19" i="5"/>
  <c r="P17" i="5"/>
  <c r="Q17" i="5"/>
  <c r="I17" i="5"/>
  <c r="I11" i="5"/>
  <c r="J18" i="5"/>
  <c r="N11" i="5"/>
  <c r="O11" i="5"/>
  <c r="N17" i="5"/>
  <c r="K11" i="5"/>
  <c r="J17" i="5"/>
  <c r="F11" i="5"/>
  <c r="P18" i="5"/>
  <c r="J11" i="5"/>
  <c r="E11" i="5"/>
  <c r="P11" i="5"/>
  <c r="H11" i="5"/>
  <c r="G11" i="5"/>
  <c r="M11" i="5"/>
  <c r="E18" i="5"/>
  <c r="E17" i="5"/>
  <c r="G17" i="5"/>
  <c r="M18" i="5"/>
  <c r="O17" i="5"/>
  <c r="H17" i="5"/>
  <c r="K18" i="5"/>
  <c r="L17" i="5"/>
  <c r="M17" i="5"/>
  <c r="H18" i="5"/>
  <c r="L18" i="5"/>
  <c r="O18" i="5"/>
  <c r="F18" i="5"/>
  <c r="K17" i="5"/>
  <c r="N18" i="5"/>
  <c r="R23" i="5"/>
  <c r="N25" i="5" s="1"/>
  <c r="R24" i="5"/>
  <c r="M26" i="5" s="1"/>
  <c r="J12" i="5"/>
  <c r="O12" i="5"/>
  <c r="G12" i="5"/>
  <c r="I12" i="5"/>
  <c r="P9" i="5"/>
  <c r="E10" i="5"/>
  <c r="K12" i="5"/>
  <c r="N10" i="5"/>
  <c r="F9" i="5"/>
  <c r="E12" i="5"/>
  <c r="O9" i="5"/>
  <c r="I9" i="5"/>
  <c r="N12" i="5"/>
  <c r="M10" i="5"/>
  <c r="L10" i="5"/>
  <c r="J9" i="5"/>
  <c r="G10" i="5"/>
  <c r="F10" i="5"/>
  <c r="N9" i="5"/>
  <c r="H10" i="5"/>
  <c r="M12" i="5"/>
  <c r="L12" i="5"/>
  <c r="O10" i="5"/>
  <c r="F12" i="5"/>
  <c r="P10" i="5"/>
  <c r="H12" i="5"/>
  <c r="H9" i="5"/>
  <c r="M9" i="5"/>
  <c r="K10" i="5"/>
  <c r="J10" i="5"/>
  <c r="K9" i="5"/>
  <c r="G9" i="5"/>
  <c r="E9" i="5"/>
  <c r="Z35" i="26"/>
  <c r="AF48" i="26" s="1"/>
  <c r="AT35" i="26"/>
  <c r="AZ63" i="26" s="1"/>
  <c r="X41" i="44"/>
  <c r="X42" i="44" s="1"/>
  <c r="Q41" i="44"/>
  <c r="Q42" i="44" s="1"/>
  <c r="J41" i="44"/>
  <c r="J42" i="44" s="1"/>
  <c r="R81" i="41"/>
  <c r="R42" i="44"/>
  <c r="U81" i="41"/>
  <c r="Y42" i="44"/>
  <c r="U42" i="44"/>
  <c r="AB42" i="44"/>
  <c r="T42" i="44"/>
  <c r="S42" i="44"/>
  <c r="AA42" i="44"/>
  <c r="Z42" i="44"/>
  <c r="T81" i="41"/>
  <c r="V81" i="41"/>
  <c r="D34" i="12"/>
  <c r="D59" i="12" s="1"/>
  <c r="I42" i="44"/>
  <c r="L42" i="44"/>
  <c r="N42" i="44"/>
  <c r="K42" i="44"/>
  <c r="M42" i="44"/>
  <c r="P81" i="41"/>
  <c r="J81" i="41"/>
  <c r="N81" i="41"/>
  <c r="F81" i="41"/>
  <c r="O81" i="41"/>
  <c r="H81" i="41"/>
  <c r="L81" i="41"/>
  <c r="X81" i="41"/>
  <c r="K81" i="41"/>
  <c r="I81" i="41"/>
  <c r="G81" i="41"/>
  <c r="S81" i="41"/>
  <c r="Q81" i="41"/>
  <c r="G35" i="26"/>
  <c r="W81" i="41"/>
  <c r="M81" i="41"/>
  <c r="D45" i="35"/>
  <c r="BI62" i="26"/>
  <c r="F35" i="26"/>
  <c r="I44" i="26" s="1"/>
  <c r="CE50" i="26"/>
  <c r="S56" i="26"/>
  <c r="D34" i="33"/>
  <c r="D41" i="33" s="1"/>
  <c r="AL63" i="26"/>
  <c r="BR43" i="26"/>
  <c r="BZ35" i="26"/>
  <c r="H35" i="26"/>
  <c r="AB35" i="26"/>
  <c r="BF35" i="26"/>
  <c r="C110" i="33"/>
  <c r="C123" i="33" s="1"/>
  <c r="R35" i="26"/>
  <c r="AL35" i="26"/>
  <c r="AV35" i="26"/>
  <c r="O35" i="26"/>
  <c r="X35" i="26"/>
  <c r="BK35" i="26"/>
  <c r="BP35" i="26"/>
  <c r="CA35" i="26"/>
  <c r="BH35" i="26"/>
  <c r="AF35" i="26"/>
  <c r="BB35" i="26"/>
  <c r="AG35" i="26"/>
  <c r="BQ35" i="26"/>
  <c r="AK35" i="26"/>
  <c r="BT35" i="26"/>
  <c r="I35" i="26"/>
  <c r="AI35" i="26"/>
  <c r="BC35" i="26"/>
  <c r="BV35" i="26"/>
  <c r="BL35" i="26"/>
  <c r="AE35" i="26"/>
  <c r="BS35" i="26"/>
  <c r="BJ35" i="26"/>
  <c r="CG35" i="26"/>
  <c r="AQ35" i="26"/>
  <c r="U35" i="26"/>
  <c r="S35" i="26"/>
  <c r="AX35" i="26"/>
  <c r="AN35" i="26"/>
  <c r="CC35" i="26"/>
  <c r="M35" i="26"/>
  <c r="BA35" i="26"/>
  <c r="AO35" i="26"/>
  <c r="K35" i="26"/>
  <c r="AU35" i="26"/>
  <c r="AC35" i="26"/>
  <c r="BI35" i="26"/>
  <c r="AZ35" i="26"/>
  <c r="BO35" i="26"/>
  <c r="AD35" i="26"/>
  <c r="CF35" i="26"/>
  <c r="N35" i="26"/>
  <c r="BG35" i="26"/>
  <c r="AM35" i="26"/>
  <c r="AS35" i="26"/>
  <c r="T35" i="26"/>
  <c r="CD35" i="26"/>
  <c r="BU35" i="26"/>
  <c r="V35" i="26"/>
  <c r="CB35" i="26"/>
  <c r="BR35" i="26"/>
  <c r="Y35" i="26"/>
  <c r="AP35" i="26"/>
  <c r="BY35" i="26"/>
  <c r="J35" i="26"/>
  <c r="L35" i="26"/>
  <c r="W35" i="26"/>
  <c r="AW35" i="26"/>
  <c r="BW35" i="26"/>
  <c r="BM35" i="26"/>
  <c r="AY35" i="26"/>
  <c r="BE35" i="26"/>
  <c r="CE35" i="26"/>
  <c r="AR35" i="26"/>
  <c r="AA35" i="26"/>
  <c r="AH35" i="26"/>
  <c r="Q35" i="26"/>
  <c r="C110" i="35"/>
  <c r="C123" i="35" s="1"/>
  <c r="D59" i="32"/>
  <c r="D34" i="30"/>
  <c r="D45" i="30" s="1"/>
  <c r="D34" i="31"/>
  <c r="D50" i="31" s="1"/>
  <c r="D109" i="30"/>
  <c r="D123" i="30" s="1"/>
  <c r="C34" i="32"/>
  <c r="C51" i="32" s="1"/>
  <c r="D108" i="33"/>
  <c r="D122" i="33" s="1"/>
  <c r="C34" i="28"/>
  <c r="C60" i="28" s="1"/>
  <c r="C34" i="31"/>
  <c r="C40" i="31" s="1"/>
  <c r="C34" i="12"/>
  <c r="C60" i="12" s="1"/>
  <c r="D34" i="28"/>
  <c r="D55" i="28" s="1"/>
  <c r="D108" i="32"/>
  <c r="D113" i="32" s="1"/>
  <c r="C110" i="30"/>
  <c r="C123" i="30" s="1"/>
  <c r="D109" i="28"/>
  <c r="D123" i="28" s="1"/>
  <c r="Q23" i="5"/>
  <c r="L27" i="5" s="1"/>
  <c r="Q24" i="5"/>
  <c r="P28" i="5" s="1"/>
  <c r="D55" i="35"/>
  <c r="D122" i="35"/>
  <c r="D113" i="35"/>
  <c r="D120" i="35"/>
  <c r="D53" i="35"/>
  <c r="D41" i="35"/>
  <c r="D49" i="35"/>
  <c r="D60" i="35"/>
  <c r="D52" i="35"/>
  <c r="D50" i="35"/>
  <c r="D43" i="35"/>
  <c r="D56" i="35"/>
  <c r="D59" i="35"/>
  <c r="D48" i="35"/>
  <c r="D57" i="35"/>
  <c r="D40" i="35"/>
  <c r="D46" i="35"/>
  <c r="D47" i="35"/>
  <c r="D119" i="35"/>
  <c r="C40" i="35"/>
  <c r="C122" i="35"/>
  <c r="C54" i="35"/>
  <c r="C48" i="35"/>
  <c r="C59" i="35"/>
  <c r="C55" i="35"/>
  <c r="C51" i="35"/>
  <c r="C42" i="35"/>
  <c r="C44" i="35"/>
  <c r="D35" i="35"/>
  <c r="C35" i="35"/>
  <c r="C119" i="35"/>
  <c r="C60" i="35"/>
  <c r="C51" i="33"/>
  <c r="C59" i="33"/>
  <c r="C60" i="33"/>
  <c r="C44" i="33"/>
  <c r="D120" i="32"/>
  <c r="D122" i="30"/>
  <c r="D120" i="31"/>
  <c r="C54" i="33"/>
  <c r="C55" i="33"/>
  <c r="D119" i="33"/>
  <c r="C58" i="33"/>
  <c r="C40" i="33"/>
  <c r="D113" i="31"/>
  <c r="D119" i="31"/>
  <c r="D119" i="32"/>
  <c r="D122" i="31"/>
  <c r="C122" i="31"/>
  <c r="C48" i="33"/>
  <c r="D120" i="33"/>
  <c r="C122" i="33"/>
  <c r="C122" i="32"/>
  <c r="C113" i="32"/>
  <c r="C119" i="32"/>
  <c r="C119" i="31"/>
  <c r="C113" i="31"/>
  <c r="C119" i="33"/>
  <c r="D120" i="30"/>
  <c r="D119" i="30"/>
  <c r="C60" i="30"/>
  <c r="C55" i="30"/>
  <c r="C122" i="30"/>
  <c r="C42" i="30"/>
  <c r="C54" i="30"/>
  <c r="C119" i="30"/>
  <c r="C59" i="30"/>
  <c r="C58" i="30"/>
  <c r="C40" i="30"/>
  <c r="C44" i="30"/>
  <c r="C51" i="30"/>
  <c r="C113" i="12"/>
  <c r="C122" i="28"/>
  <c r="D120" i="28"/>
  <c r="D122" i="28"/>
  <c r="C119" i="28"/>
  <c r="C113" i="28"/>
  <c r="D119" i="28"/>
  <c r="D113" i="12"/>
  <c r="D119" i="12"/>
  <c r="D125" i="12" s="1"/>
  <c r="C119" i="12"/>
  <c r="C125" i="12" s="1"/>
  <c r="Q20" i="5" l="1"/>
  <c r="F25" i="5"/>
  <c r="O28" i="5"/>
  <c r="H25" i="5"/>
  <c r="O26" i="5"/>
  <c r="N28" i="5"/>
  <c r="I28" i="5"/>
  <c r="H27" i="5"/>
  <c r="G25" i="5"/>
  <c r="K25" i="5"/>
  <c r="Q26" i="5"/>
  <c r="Q25" i="5"/>
  <c r="N27" i="5"/>
  <c r="F27" i="5"/>
  <c r="N26" i="5"/>
  <c r="I26" i="5"/>
  <c r="K26" i="5"/>
  <c r="G27" i="5"/>
  <c r="P26" i="5"/>
  <c r="L25" i="5"/>
  <c r="J25" i="5"/>
  <c r="M28" i="5"/>
  <c r="J26" i="5"/>
  <c r="K28" i="5"/>
  <c r="L26" i="5"/>
  <c r="Q19" i="5"/>
  <c r="E27" i="5"/>
  <c r="M25" i="5"/>
  <c r="J28" i="5"/>
  <c r="E26" i="5"/>
  <c r="L28" i="5"/>
  <c r="H28" i="5"/>
  <c r="E25" i="5"/>
  <c r="M27" i="5"/>
  <c r="I25" i="5"/>
  <c r="E28" i="5"/>
  <c r="G28" i="5"/>
  <c r="P25" i="5"/>
  <c r="H26" i="5"/>
  <c r="F26" i="5"/>
  <c r="O25" i="5"/>
  <c r="I27" i="5"/>
  <c r="G26" i="5"/>
  <c r="P27" i="5"/>
  <c r="F28" i="5"/>
  <c r="K27" i="5"/>
  <c r="Q9" i="5"/>
  <c r="Q10" i="5"/>
  <c r="Q11" i="5"/>
  <c r="Q12" i="5"/>
  <c r="U82" i="41"/>
  <c r="W82" i="41"/>
  <c r="Q82" i="41"/>
  <c r="N82" i="41"/>
  <c r="U83" i="41"/>
  <c r="H83" i="41"/>
  <c r="L82" i="41"/>
  <c r="I82" i="41"/>
  <c r="O82" i="41"/>
  <c r="Q83" i="41"/>
  <c r="R83" i="41"/>
  <c r="X82" i="41"/>
  <c r="W83" i="41"/>
  <c r="J82" i="41"/>
  <c r="R82" i="41"/>
  <c r="K82" i="41"/>
  <c r="P82" i="41"/>
  <c r="X83" i="41"/>
  <c r="K83" i="41"/>
  <c r="M82" i="41"/>
  <c r="O83" i="41"/>
  <c r="N83" i="41"/>
  <c r="G82" i="41"/>
  <c r="S83" i="41"/>
  <c r="I83" i="41"/>
  <c r="F83" i="41"/>
  <c r="H82" i="41"/>
  <c r="T82" i="41"/>
  <c r="S82" i="41"/>
  <c r="T83" i="41"/>
  <c r="M83" i="41"/>
  <c r="L83" i="41"/>
  <c r="P83" i="41"/>
  <c r="F82" i="41"/>
  <c r="V82" i="41"/>
  <c r="G83" i="41"/>
  <c r="V83" i="41"/>
  <c r="J83" i="41"/>
  <c r="L52" i="26"/>
  <c r="H36" i="26"/>
  <c r="G36" i="26"/>
  <c r="C113" i="33"/>
  <c r="CA53" i="26"/>
  <c r="AO60" i="26"/>
  <c r="AL58" i="26"/>
  <c r="BM43" i="26"/>
  <c r="AW52" i="26"/>
  <c r="BU46" i="26"/>
  <c r="BE59" i="26"/>
  <c r="AU49" i="26"/>
  <c r="BH55" i="26"/>
  <c r="BT50" i="26"/>
  <c r="BG49" i="26"/>
  <c r="BL50" i="26"/>
  <c r="AY48" i="26"/>
  <c r="BE55" i="26"/>
  <c r="BP62" i="26"/>
  <c r="AU60" i="26"/>
  <c r="BH60" i="26"/>
  <c r="AY55" i="26"/>
  <c r="BG53" i="26"/>
  <c r="BT49" i="26"/>
  <c r="BO58" i="26"/>
  <c r="BP53" i="26"/>
  <c r="BV63" i="26"/>
  <c r="BO51" i="26"/>
  <c r="BU48" i="26"/>
  <c r="BR56" i="26"/>
  <c r="BV44" i="26"/>
  <c r="BU43" i="26"/>
  <c r="BP59" i="26"/>
  <c r="BS62" i="26"/>
  <c r="BO52" i="26"/>
  <c r="BO53" i="26"/>
  <c r="BT52" i="26"/>
  <c r="BP55" i="26"/>
  <c r="BT56" i="26"/>
  <c r="BV59" i="26"/>
  <c r="BP49" i="26"/>
  <c r="BQ49" i="26"/>
  <c r="BU58" i="26"/>
  <c r="BQ51" i="26"/>
  <c r="BO56" i="26"/>
  <c r="BQ53" i="26"/>
  <c r="BR62" i="26"/>
  <c r="BO50" i="26"/>
  <c r="BQ60" i="26"/>
  <c r="BP56" i="26"/>
  <c r="BU62" i="26"/>
  <c r="BS44" i="26"/>
  <c r="BS58" i="26"/>
  <c r="BT62" i="26"/>
  <c r="BQ58" i="26"/>
  <c r="BR44" i="26"/>
  <c r="BO59" i="26"/>
  <c r="BU53" i="26"/>
  <c r="BS59" i="26"/>
  <c r="BU51" i="26"/>
  <c r="BR63" i="26"/>
  <c r="BV60" i="26"/>
  <c r="BR46" i="26"/>
  <c r="BO62" i="26"/>
  <c r="BO49" i="26"/>
  <c r="BR52" i="26"/>
  <c r="BR48" i="26"/>
  <c r="BU55" i="26"/>
  <c r="BV58" i="26"/>
  <c r="BV50" i="26"/>
  <c r="BS63" i="26"/>
  <c r="BT48" i="26"/>
  <c r="BV53" i="26"/>
  <c r="BW52" i="26"/>
  <c r="BT44" i="26"/>
  <c r="BQ63" i="26"/>
  <c r="BT46" i="26"/>
  <c r="BW58" i="26"/>
  <c r="BT59" i="26"/>
  <c r="BS49" i="26"/>
  <c r="BV46" i="26"/>
  <c r="BV43" i="26"/>
  <c r="BW49" i="26"/>
  <c r="BS48" i="26"/>
  <c r="BU63" i="26"/>
  <c r="BT53" i="26"/>
  <c r="BW62" i="26"/>
  <c r="BO43" i="26"/>
  <c r="BR59" i="26"/>
  <c r="BS53" i="26"/>
  <c r="BQ55" i="26"/>
  <c r="BR53" i="26"/>
  <c r="BS50" i="26"/>
  <c r="BV51" i="26"/>
  <c r="BP43" i="26"/>
  <c r="BU49" i="26"/>
  <c r="BR51" i="26"/>
  <c r="BS55" i="26"/>
  <c r="BQ52" i="26"/>
  <c r="BW50" i="26"/>
  <c r="BQ43" i="26"/>
  <c r="BV56" i="26"/>
  <c r="BV49" i="26"/>
  <c r="BW55" i="26"/>
  <c r="BW44" i="26"/>
  <c r="BQ44" i="26"/>
  <c r="BO48" i="26"/>
  <c r="BR50" i="26"/>
  <c r="BW60" i="26"/>
  <c r="BT60" i="26"/>
  <c r="BO55" i="26"/>
  <c r="BO46" i="26"/>
  <c r="BS43" i="26"/>
  <c r="BV62" i="26"/>
  <c r="BT43" i="26"/>
  <c r="BW63" i="26"/>
  <c r="BW59" i="26"/>
  <c r="BR60" i="26"/>
  <c r="BP50" i="26"/>
  <c r="BT63" i="26"/>
  <c r="BU44" i="26"/>
  <c r="BT58" i="26"/>
  <c r="BU50" i="26"/>
  <c r="BP63" i="26"/>
  <c r="BV55" i="26"/>
  <c r="BR49" i="26"/>
  <c r="BS60" i="26"/>
  <c r="BT55" i="26"/>
  <c r="BO44" i="26"/>
  <c r="BS46" i="26"/>
  <c r="BQ48" i="26"/>
  <c r="BW56" i="26"/>
  <c r="BU56" i="26"/>
  <c r="BO63" i="26"/>
  <c r="BD61" i="26"/>
  <c r="BJ55" i="26"/>
  <c r="BJ43" i="26"/>
  <c r="BH43" i="26"/>
  <c r="BE63" i="26"/>
  <c r="BH63" i="26"/>
  <c r="BJ58" i="26"/>
  <c r="BH62" i="26"/>
  <c r="BF58" i="26"/>
  <c r="BE52" i="26"/>
  <c r="BH50" i="26"/>
  <c r="BG60" i="26"/>
  <c r="BI63" i="26"/>
  <c r="BL55" i="26"/>
  <c r="BG56" i="26"/>
  <c r="BF56" i="26"/>
  <c r="BJ53" i="26"/>
  <c r="BH58" i="26"/>
  <c r="BI55" i="26"/>
  <c r="BJ46" i="26"/>
  <c r="BG62" i="26"/>
  <c r="BK59" i="26"/>
  <c r="BH49" i="26"/>
  <c r="BJ63" i="26"/>
  <c r="BE44" i="26"/>
  <c r="BM48" i="26"/>
  <c r="BL51" i="26"/>
  <c r="BF43" i="26"/>
  <c r="BM63" i="26"/>
  <c r="BI46" i="26"/>
  <c r="BM50" i="26"/>
  <c r="BF52" i="26"/>
  <c r="BI49" i="26"/>
  <c r="BI60" i="26"/>
  <c r="BJ52" i="26"/>
  <c r="BF59" i="26"/>
  <c r="BF44" i="26"/>
  <c r="BE56" i="26"/>
  <c r="BL62" i="26"/>
  <c r="BM58" i="26"/>
  <c r="BM62" i="26"/>
  <c r="BF49" i="26"/>
  <c r="BG59" i="26"/>
  <c r="BK49" i="26"/>
  <c r="BK56" i="26"/>
  <c r="BK43" i="26"/>
  <c r="BM53" i="26"/>
  <c r="BG48" i="26"/>
  <c r="BM59" i="26"/>
  <c r="BM56" i="26"/>
  <c r="BG55" i="26"/>
  <c r="BK44" i="26"/>
  <c r="BF46" i="26"/>
  <c r="BI59" i="26"/>
  <c r="BK58" i="26"/>
  <c r="BL63" i="26"/>
  <c r="BF55" i="26"/>
  <c r="BF51" i="26"/>
  <c r="BJ44" i="26"/>
  <c r="BH44" i="26"/>
  <c r="BM52" i="26"/>
  <c r="BI48" i="26"/>
  <c r="BL59" i="26"/>
  <c r="BK46" i="26"/>
  <c r="BL58" i="26"/>
  <c r="BK62" i="26"/>
  <c r="BK60" i="26"/>
  <c r="BE50" i="26"/>
  <c r="BK52" i="26"/>
  <c r="BM51" i="26"/>
  <c r="BL44" i="26"/>
  <c r="BJ56" i="26"/>
  <c r="BF48" i="26"/>
  <c r="BK48" i="26"/>
  <c r="BL56" i="26"/>
  <c r="BL43" i="26"/>
  <c r="BF60" i="26"/>
  <c r="BG63" i="26"/>
  <c r="BK50" i="26"/>
  <c r="BH51" i="26"/>
  <c r="BM55" i="26"/>
  <c r="BG52" i="26"/>
  <c r="BI51" i="26"/>
  <c r="BM60" i="26"/>
  <c r="BI44" i="26"/>
  <c r="BJ62" i="26"/>
  <c r="BH46" i="26"/>
  <c r="BE53" i="26"/>
  <c r="BL53" i="26"/>
  <c r="BH52" i="26"/>
  <c r="BH56" i="26"/>
  <c r="BL48" i="26"/>
  <c r="BK55" i="26"/>
  <c r="BH59" i="26"/>
  <c r="BI56" i="26"/>
  <c r="BJ48" i="26"/>
  <c r="BH48" i="26"/>
  <c r="BM44" i="26"/>
  <c r="BE48" i="26"/>
  <c r="BG43" i="26"/>
  <c r="BJ49" i="26"/>
  <c r="BH53" i="26"/>
  <c r="BJ50" i="26"/>
  <c r="BF50" i="26"/>
  <c r="BM46" i="26"/>
  <c r="BG44" i="26"/>
  <c r="BL49" i="26"/>
  <c r="BK53" i="26"/>
  <c r="BI52" i="26"/>
  <c r="AK60" i="26"/>
  <c r="AM55" i="26"/>
  <c r="CC62" i="26"/>
  <c r="BE51" i="26"/>
  <c r="AP62" i="26"/>
  <c r="BA50" i="26"/>
  <c r="BW43" i="26"/>
  <c r="BI53" i="26"/>
  <c r="BE46" i="26"/>
  <c r="AN55" i="26"/>
  <c r="BK63" i="26"/>
  <c r="AN49" i="26"/>
  <c r="CC53" i="26"/>
  <c r="BF63" i="26"/>
  <c r="CC52" i="26"/>
  <c r="BE58" i="26"/>
  <c r="BY55" i="26"/>
  <c r="AN63" i="26"/>
  <c r="AL51" i="26"/>
  <c r="AP52" i="26"/>
  <c r="AO55" i="26"/>
  <c r="AQ43" i="26"/>
  <c r="AP50" i="26"/>
  <c r="AP46" i="26"/>
  <c r="AS56" i="26"/>
  <c r="AK49" i="26"/>
  <c r="AO52" i="26"/>
  <c r="AM63" i="26"/>
  <c r="AQ59" i="26"/>
  <c r="AM51" i="26"/>
  <c r="AL53" i="26"/>
  <c r="AR60" i="26"/>
  <c r="AN43" i="26"/>
  <c r="AQ49" i="26"/>
  <c r="AN62" i="26"/>
  <c r="AP55" i="26"/>
  <c r="AN59" i="26"/>
  <c r="AQ55" i="26"/>
  <c r="AL43" i="26"/>
  <c r="AS46" i="26"/>
  <c r="AO58" i="26"/>
  <c r="AR53" i="26"/>
  <c r="AL48" i="26"/>
  <c r="AR48" i="26"/>
  <c r="AK52" i="26"/>
  <c r="AL49" i="26"/>
  <c r="AM44" i="26"/>
  <c r="AL60" i="26"/>
  <c r="AP51" i="26"/>
  <c r="AO53" i="26"/>
  <c r="AS59" i="26"/>
  <c r="AM43" i="26"/>
  <c r="AQ60" i="26"/>
  <c r="AM60" i="26"/>
  <c r="AP60" i="26"/>
  <c r="AO43" i="26"/>
  <c r="AN60" i="26"/>
  <c r="AN44" i="26"/>
  <c r="AP48" i="26"/>
  <c r="AS44" i="26"/>
  <c r="AQ62" i="26"/>
  <c r="AP58" i="26"/>
  <c r="AO59" i="26"/>
  <c r="AQ51" i="26"/>
  <c r="AR52" i="26"/>
  <c r="AO56" i="26"/>
  <c r="AR46" i="26"/>
  <c r="AS60" i="26"/>
  <c r="AM48" i="26"/>
  <c r="AK48" i="26"/>
  <c r="AQ48" i="26"/>
  <c r="AP49" i="26"/>
  <c r="AL52" i="26"/>
  <c r="AK44" i="26"/>
  <c r="AK46" i="26"/>
  <c r="AK50" i="26"/>
  <c r="AQ63" i="26"/>
  <c r="AM58" i="26"/>
  <c r="AS48" i="26"/>
  <c r="AP63" i="26"/>
  <c r="AR49" i="26"/>
  <c r="AS51" i="26"/>
  <c r="AM59" i="26"/>
  <c r="AO44" i="26"/>
  <c r="AO48" i="26"/>
  <c r="AM62" i="26"/>
  <c r="AK53" i="26"/>
  <c r="AL44" i="26"/>
  <c r="AS50" i="26"/>
  <c r="AS53" i="26"/>
  <c r="AS52" i="26"/>
  <c r="AO49" i="26"/>
  <c r="AL50" i="26"/>
  <c r="AO63" i="26"/>
  <c r="AL46" i="26"/>
  <c r="AQ58" i="26"/>
  <c r="AR44" i="26"/>
  <c r="AP56" i="26"/>
  <c r="AK59" i="26"/>
  <c r="AO51" i="26"/>
  <c r="AQ44" i="26"/>
  <c r="AN48" i="26"/>
  <c r="AN56" i="26"/>
  <c r="AR62" i="26"/>
  <c r="AL55" i="26"/>
  <c r="AK62" i="26"/>
  <c r="AK63" i="26"/>
  <c r="AR63" i="26"/>
  <c r="AP53" i="26"/>
  <c r="AK58" i="26"/>
  <c r="AR51" i="26"/>
  <c r="AN51" i="26"/>
  <c r="AS55" i="26"/>
  <c r="AK56" i="26"/>
  <c r="AR56" i="26"/>
  <c r="AS49" i="26"/>
  <c r="AN50" i="26"/>
  <c r="AK55" i="26"/>
  <c r="AO50" i="26"/>
  <c r="AS63" i="26"/>
  <c r="AR50" i="26"/>
  <c r="AN46" i="26"/>
  <c r="AP44" i="26"/>
  <c r="AL59" i="26"/>
  <c r="AS43" i="26"/>
  <c r="AL56" i="26"/>
  <c r="AP43" i="26"/>
  <c r="AK51" i="26"/>
  <c r="AM56" i="26"/>
  <c r="AY52" i="26"/>
  <c r="AU46" i="26"/>
  <c r="AV58" i="26"/>
  <c r="CE43" i="26"/>
  <c r="AR58" i="26"/>
  <c r="BJ59" i="26"/>
  <c r="BY60" i="26"/>
  <c r="BZ44" i="26"/>
  <c r="BO60" i="26"/>
  <c r="AU58" i="26"/>
  <c r="BJ60" i="26"/>
  <c r="BT51" i="26"/>
  <c r="CG58" i="26"/>
  <c r="CB43" i="26"/>
  <c r="BB59" i="26"/>
  <c r="CB55" i="26"/>
  <c r="BE62" i="26"/>
  <c r="CF58" i="26"/>
  <c r="AQ52" i="26"/>
  <c r="AZ46" i="26"/>
  <c r="BL52" i="26"/>
  <c r="BU52" i="26"/>
  <c r="AM49" i="26"/>
  <c r="CC44" i="26"/>
  <c r="BC51" i="26"/>
  <c r="AW44" i="26"/>
  <c r="BQ59" i="26"/>
  <c r="BS56" i="26"/>
  <c r="BF53" i="26"/>
  <c r="AO46" i="26"/>
  <c r="AZ55" i="26"/>
  <c r="CC60" i="26"/>
  <c r="AX58" i="26"/>
  <c r="AV43" i="26"/>
  <c r="AQ46" i="26"/>
  <c r="AM52" i="26"/>
  <c r="BP52" i="26"/>
  <c r="BY59" i="26"/>
  <c r="CF62" i="26"/>
  <c r="BQ56" i="26"/>
  <c r="CB63" i="26"/>
  <c r="BV48" i="26"/>
  <c r="BZ50" i="26"/>
  <c r="CG63" i="26"/>
  <c r="CE49" i="26"/>
  <c r="AR43" i="26"/>
  <c r="CB49" i="26"/>
  <c r="BG46" i="26"/>
  <c r="AY43" i="26"/>
  <c r="AS58" i="26"/>
  <c r="AQ50" i="26"/>
  <c r="AR59" i="26"/>
  <c r="AY63" i="26"/>
  <c r="AR55" i="26"/>
  <c r="AY58" i="26"/>
  <c r="AW63" i="26"/>
  <c r="CD50" i="26"/>
  <c r="BI50" i="26"/>
  <c r="AO62" i="26"/>
  <c r="CD52" i="26"/>
  <c r="BV52" i="26"/>
  <c r="BU59" i="26"/>
  <c r="CF48" i="26"/>
  <c r="BP60" i="26"/>
  <c r="AS62" i="26"/>
  <c r="AX50" i="26"/>
  <c r="AW50" i="26"/>
  <c r="BQ50" i="26"/>
  <c r="BJ51" i="26"/>
  <c r="BE43" i="26"/>
  <c r="AM53" i="26"/>
  <c r="BR55" i="26"/>
  <c r="BP48" i="26"/>
  <c r="BL60" i="26"/>
  <c r="AM50" i="26"/>
  <c r="BQ62" i="26"/>
  <c r="CE55" i="26"/>
  <c r="BE60" i="26"/>
  <c r="BY53" i="26"/>
  <c r="AN53" i="26"/>
  <c r="CF53" i="26"/>
  <c r="AQ53" i="26"/>
  <c r="BP46" i="26"/>
  <c r="BW51" i="26"/>
  <c r="AK43" i="26"/>
  <c r="BL46" i="26"/>
  <c r="AX56" i="26"/>
  <c r="BX61" i="26"/>
  <c r="CE56" i="26"/>
  <c r="CF44" i="26"/>
  <c r="CC63" i="26"/>
  <c r="CA43" i="26"/>
  <c r="BY50" i="26"/>
  <c r="CC51" i="26"/>
  <c r="CD60" i="26"/>
  <c r="CG53" i="26"/>
  <c r="CA44" i="26"/>
  <c r="CE53" i="26"/>
  <c r="BZ63" i="26"/>
  <c r="BZ62" i="26"/>
  <c r="CA52" i="26"/>
  <c r="CE60" i="26"/>
  <c r="CF52" i="26"/>
  <c r="CG46" i="26"/>
  <c r="CF60" i="26"/>
  <c r="CD51" i="26"/>
  <c r="BY51" i="26"/>
  <c r="BY58" i="26"/>
  <c r="BY63" i="26"/>
  <c r="CG59" i="26"/>
  <c r="CC50" i="26"/>
  <c r="CG55" i="26"/>
  <c r="CA59" i="26"/>
  <c r="CE48" i="26"/>
  <c r="CD55" i="26"/>
  <c r="BY48" i="26"/>
  <c r="CB60" i="26"/>
  <c r="BZ59" i="26"/>
  <c r="CC48" i="26"/>
  <c r="BZ55" i="26"/>
  <c r="CB53" i="26"/>
  <c r="CB44" i="26"/>
  <c r="CB58" i="26"/>
  <c r="CA62" i="26"/>
  <c r="CD46" i="26"/>
  <c r="CD44" i="26"/>
  <c r="BY44" i="26"/>
  <c r="CE58" i="26"/>
  <c r="CG48" i="26"/>
  <c r="CB56" i="26"/>
  <c r="CE62" i="26"/>
  <c r="BZ53" i="26"/>
  <c r="CA60" i="26"/>
  <c r="CB59" i="26"/>
  <c r="BY43" i="26"/>
  <c r="CB62" i="26"/>
  <c r="CA50" i="26"/>
  <c r="CG43" i="26"/>
  <c r="BY46" i="26"/>
  <c r="CG60" i="26"/>
  <c r="CG52" i="26"/>
  <c r="CB50" i="26"/>
  <c r="CA51" i="26"/>
  <c r="CA46" i="26"/>
  <c r="CB51" i="26"/>
  <c r="CD62" i="26"/>
  <c r="CG56" i="26"/>
  <c r="BZ60" i="26"/>
  <c r="CC43" i="26"/>
  <c r="BZ58" i="26"/>
  <c r="CC49" i="26"/>
  <c r="BY56" i="26"/>
  <c r="CD43" i="26"/>
  <c r="CB48" i="26"/>
  <c r="CE44" i="26"/>
  <c r="CB52" i="26"/>
  <c r="CG49" i="26"/>
  <c r="BZ52" i="26"/>
  <c r="BZ43" i="26"/>
  <c r="CG51" i="26"/>
  <c r="CD58" i="26"/>
  <c r="CA55" i="26"/>
  <c r="CC59" i="26"/>
  <c r="BY52" i="26"/>
  <c r="BZ48" i="26"/>
  <c r="CF43" i="26"/>
  <c r="CA49" i="26"/>
  <c r="CE52" i="26"/>
  <c r="CF49" i="26"/>
  <c r="BZ49" i="26"/>
  <c r="CD63" i="26"/>
  <c r="CF50" i="26"/>
  <c r="CE63" i="26"/>
  <c r="CG50" i="26"/>
  <c r="BZ56" i="26"/>
  <c r="CA48" i="26"/>
  <c r="CF46" i="26"/>
  <c r="CC46" i="26"/>
  <c r="CD59" i="26"/>
  <c r="CF63" i="26"/>
  <c r="CD53" i="26"/>
  <c r="CC55" i="26"/>
  <c r="CF51" i="26"/>
  <c r="CD48" i="26"/>
  <c r="CG44" i="26"/>
  <c r="CF56" i="26"/>
  <c r="BY62" i="26"/>
  <c r="CG62" i="26"/>
  <c r="CB46" i="26"/>
  <c r="CC56" i="26"/>
  <c r="CD49" i="26"/>
  <c r="CA56" i="26"/>
  <c r="CC58" i="26"/>
  <c r="CF55" i="26"/>
  <c r="CE46" i="26"/>
  <c r="CD56" i="26"/>
  <c r="BG51" i="26"/>
  <c r="AN58" i="26"/>
  <c r="AX48" i="26"/>
  <c r="BU60" i="26"/>
  <c r="CE51" i="26"/>
  <c r="BF62" i="26"/>
  <c r="BW46" i="26"/>
  <c r="AQ56" i="26"/>
  <c r="CE59" i="26"/>
  <c r="AM46" i="26"/>
  <c r="AW43" i="26"/>
  <c r="BQ46" i="26"/>
  <c r="BM49" i="26"/>
  <c r="AX53" i="26"/>
  <c r="BS52" i="26"/>
  <c r="BI43" i="26"/>
  <c r="AP59" i="26"/>
  <c r="BW48" i="26"/>
  <c r="BW53" i="26"/>
  <c r="CA58" i="26"/>
  <c r="BR58" i="26"/>
  <c r="AT61" i="26"/>
  <c r="AV50" i="26"/>
  <c r="BC53" i="26"/>
  <c r="BA43" i="26"/>
  <c r="AX60" i="26"/>
  <c r="BB48" i="26"/>
  <c r="AU43" i="26"/>
  <c r="AW49" i="26"/>
  <c r="BC49" i="26"/>
  <c r="AX49" i="26"/>
  <c r="BC46" i="26"/>
  <c r="AZ48" i="26"/>
  <c r="AY50" i="26"/>
  <c r="BB55" i="26"/>
  <c r="AZ52" i="26"/>
  <c r="BC48" i="26"/>
  <c r="AW62" i="26"/>
  <c r="BA59" i="26"/>
  <c r="BC58" i="26"/>
  <c r="BC50" i="26"/>
  <c r="BA48" i="26"/>
  <c r="AY53" i="26"/>
  <c r="AW59" i="26"/>
  <c r="AW55" i="26"/>
  <c r="BB51" i="26"/>
  <c r="AV51" i="26"/>
  <c r="BA55" i="26"/>
  <c r="BA63" i="26"/>
  <c r="AV48" i="26"/>
  <c r="BB49" i="26"/>
  <c r="AW46" i="26"/>
  <c r="AV49" i="26"/>
  <c r="AZ51" i="26"/>
  <c r="AV53" i="26"/>
  <c r="AZ53" i="26"/>
  <c r="AX52" i="26"/>
  <c r="AZ62" i="26"/>
  <c r="AU63" i="26"/>
  <c r="BB62" i="26"/>
  <c r="AZ60" i="26"/>
  <c r="AY44" i="26"/>
  <c r="BC60" i="26"/>
  <c r="AX51" i="26"/>
  <c r="BA62" i="26"/>
  <c r="AU50" i="26"/>
  <c r="AY46" i="26"/>
  <c r="AV52" i="26"/>
  <c r="AV56" i="26"/>
  <c r="AZ56" i="26"/>
  <c r="AY49" i="26"/>
  <c r="BB46" i="26"/>
  <c r="AV60" i="26"/>
  <c r="AZ58" i="26"/>
  <c r="BB50" i="26"/>
  <c r="BB63" i="26"/>
  <c r="BA49" i="26"/>
  <c r="BC62" i="26"/>
  <c r="AY51" i="26"/>
  <c r="BA46" i="26"/>
  <c r="BB60" i="26"/>
  <c r="AX55" i="26"/>
  <c r="BC56" i="26"/>
  <c r="AV62" i="26"/>
  <c r="AW58" i="26"/>
  <c r="BC55" i="26"/>
  <c r="AY59" i="26"/>
  <c r="AU56" i="26"/>
  <c r="AU51" i="26"/>
  <c r="AU53" i="26"/>
  <c r="AV55" i="26"/>
  <c r="BB44" i="26"/>
  <c r="BB43" i="26"/>
  <c r="BC63" i="26"/>
  <c r="BA53" i="26"/>
  <c r="AU44" i="26"/>
  <c r="AY62" i="26"/>
  <c r="BA58" i="26"/>
  <c r="AV63" i="26"/>
  <c r="AU52" i="26"/>
  <c r="AY56" i="26"/>
  <c r="AX59" i="26"/>
  <c r="AV59" i="26"/>
  <c r="AZ49" i="26"/>
  <c r="AU55" i="26"/>
  <c r="BC52" i="26"/>
  <c r="BC44" i="26"/>
  <c r="BB52" i="26"/>
  <c r="BC43" i="26"/>
  <c r="AZ43" i="26"/>
  <c r="BA60" i="26"/>
  <c r="AZ50" i="26"/>
  <c r="BB58" i="26"/>
  <c r="AU59" i="26"/>
  <c r="AX43" i="26"/>
  <c r="BA51" i="26"/>
  <c r="AZ59" i="26"/>
  <c r="AX62" i="26"/>
  <c r="BB53" i="26"/>
  <c r="AX46" i="26"/>
  <c r="AV46" i="26"/>
  <c r="BC59" i="26"/>
  <c r="BA56" i="26"/>
  <c r="AW56" i="26"/>
  <c r="BB56" i="26"/>
  <c r="AZ44" i="26"/>
  <c r="AW60" i="26"/>
  <c r="AV44" i="26"/>
  <c r="AU48" i="26"/>
  <c r="AY60" i="26"/>
  <c r="BA44" i="26"/>
  <c r="AX63" i="26"/>
  <c r="BE49" i="26"/>
  <c r="CF59" i="26"/>
  <c r="BS51" i="26"/>
  <c r="BI58" i="26"/>
  <c r="AW51" i="26"/>
  <c r="AL62" i="26"/>
  <c r="BK51" i="26"/>
  <c r="BP44" i="26"/>
  <c r="AW53" i="26"/>
  <c r="AW48" i="26"/>
  <c r="BG58" i="26"/>
  <c r="BA52" i="26"/>
  <c r="BZ51" i="26"/>
  <c r="AU62" i="26"/>
  <c r="AX44" i="26"/>
  <c r="BG50" i="26"/>
  <c r="CA63" i="26"/>
  <c r="BP58" i="26"/>
  <c r="AN52" i="26"/>
  <c r="BZ46" i="26"/>
  <c r="BP51" i="26"/>
  <c r="BY49" i="26"/>
  <c r="AF56" i="26"/>
  <c r="AB51" i="26"/>
  <c r="AD60" i="26"/>
  <c r="AF43" i="26"/>
  <c r="AC59" i="26"/>
  <c r="AF60" i="26"/>
  <c r="S58" i="26"/>
  <c r="AA53" i="26"/>
  <c r="AE51" i="26"/>
  <c r="AG56" i="26"/>
  <c r="AE53" i="26"/>
  <c r="AF52" i="26"/>
  <c r="AF63" i="26"/>
  <c r="AD49" i="26"/>
  <c r="AC43" i="26"/>
  <c r="AE50" i="26"/>
  <c r="Q60" i="26"/>
  <c r="AD62" i="26"/>
  <c r="AC63" i="26"/>
  <c r="AB58" i="26"/>
  <c r="AG62" i="26"/>
  <c r="AB59" i="26"/>
  <c r="AG52" i="26"/>
  <c r="Q46" i="26"/>
  <c r="AE44" i="26"/>
  <c r="AC56" i="26"/>
  <c r="Z61" i="26"/>
  <c r="V53" i="26"/>
  <c r="AA51" i="26"/>
  <c r="AB48" i="26"/>
  <c r="AD51" i="26"/>
  <c r="AI51" i="26"/>
  <c r="AB55" i="26"/>
  <c r="AC58" i="26"/>
  <c r="Y49" i="26"/>
  <c r="AI49" i="26"/>
  <c r="AC49" i="26"/>
  <c r="AD55" i="26"/>
  <c r="AE46" i="26"/>
  <c r="AH58" i="26"/>
  <c r="AG55" i="26"/>
  <c r="AE62" i="26"/>
  <c r="AG44" i="26"/>
  <c r="AF50" i="26"/>
  <c r="AC46" i="26"/>
  <c r="AI58" i="26"/>
  <c r="AD46" i="26"/>
  <c r="V63" i="26"/>
  <c r="S55" i="26"/>
  <c r="AG48" i="26"/>
  <c r="AD48" i="26"/>
  <c r="AH46" i="26"/>
  <c r="AB43" i="26"/>
  <c r="AA50" i="26"/>
  <c r="AF62" i="26"/>
  <c r="AA58" i="26"/>
  <c r="AB46" i="26"/>
  <c r="AI55" i="26"/>
  <c r="AA43" i="26"/>
  <c r="AC50" i="26"/>
  <c r="AH60" i="26"/>
  <c r="AB50" i="26"/>
  <c r="AD52" i="26"/>
  <c r="AG46" i="26"/>
  <c r="AB62" i="26"/>
  <c r="AH53" i="26"/>
  <c r="AB56" i="26"/>
  <c r="AH55" i="26"/>
  <c r="AG51" i="26"/>
  <c r="AE60" i="26"/>
  <c r="AH49" i="26"/>
  <c r="AI59" i="26"/>
  <c r="AA49" i="26"/>
  <c r="AE58" i="26"/>
  <c r="W50" i="26"/>
  <c r="AA56" i="26"/>
  <c r="AB63" i="26"/>
  <c r="AF49" i="26"/>
  <c r="AI62" i="26"/>
  <c r="AG49" i="26"/>
  <c r="AA63" i="26"/>
  <c r="AF53" i="26"/>
  <c r="AH50" i="26"/>
  <c r="AC53" i="26"/>
  <c r="AA59" i="26"/>
  <c r="AD50" i="26"/>
  <c r="AH51" i="26"/>
  <c r="AE55" i="26"/>
  <c r="AH62" i="26"/>
  <c r="AI50" i="26"/>
  <c r="Y51" i="26"/>
  <c r="AI52" i="26"/>
  <c r="AC48" i="26"/>
  <c r="AF59" i="26"/>
  <c r="AC44" i="26"/>
  <c r="AI46" i="26"/>
  <c r="AB49" i="26"/>
  <c r="AA48" i="26"/>
  <c r="AD59" i="26"/>
  <c r="AE49" i="26"/>
  <c r="Y62" i="26"/>
  <c r="AD53" i="26"/>
  <c r="AC55" i="26"/>
  <c r="S51" i="26"/>
  <c r="AG50" i="26"/>
  <c r="AF58" i="26"/>
  <c r="AH52" i="26"/>
  <c r="AI60" i="26"/>
  <c r="AB60" i="26"/>
  <c r="AD63" i="26"/>
  <c r="AE43" i="26"/>
  <c r="AI48" i="26"/>
  <c r="Q43" i="26"/>
  <c r="Q44" i="26"/>
  <c r="R55" i="26"/>
  <c r="U58" i="26"/>
  <c r="R63" i="26"/>
  <c r="V55" i="26"/>
  <c r="T44" i="26"/>
  <c r="S50" i="26"/>
  <c r="X44" i="26"/>
  <c r="V56" i="26"/>
  <c r="X53" i="26"/>
  <c r="W59" i="26"/>
  <c r="S46" i="26"/>
  <c r="W51" i="26"/>
  <c r="Q56" i="26"/>
  <c r="AH43" i="26"/>
  <c r="Y50" i="26"/>
  <c r="AH44" i="26"/>
  <c r="U55" i="26"/>
  <c r="T50" i="26"/>
  <c r="Y55" i="26"/>
  <c r="X63" i="26"/>
  <c r="V58" i="26"/>
  <c r="X43" i="26"/>
  <c r="AI56" i="26"/>
  <c r="W56" i="26"/>
  <c r="V43" i="26"/>
  <c r="W58" i="26"/>
  <c r="AD44" i="26"/>
  <c r="S48" i="26"/>
  <c r="Y53" i="26"/>
  <c r="AA55" i="26"/>
  <c r="R53" i="26"/>
  <c r="AD43" i="26"/>
  <c r="AF51" i="26"/>
  <c r="AG43" i="26"/>
  <c r="AA44" i="26"/>
  <c r="AB53" i="26"/>
  <c r="AC52" i="26"/>
  <c r="T56" i="26"/>
  <c r="AI63" i="26"/>
  <c r="Q62" i="26"/>
  <c r="AC60" i="26"/>
  <c r="X59" i="26"/>
  <c r="S60" i="26"/>
  <c r="U59" i="26"/>
  <c r="R43" i="26"/>
  <c r="AB52" i="26"/>
  <c r="AH56" i="26"/>
  <c r="U52" i="26"/>
  <c r="AI43" i="26"/>
  <c r="R51" i="26"/>
  <c r="S53" i="26"/>
  <c r="V50" i="26"/>
  <c r="Q49" i="26"/>
  <c r="V52" i="26"/>
  <c r="Q51" i="26"/>
  <c r="U46" i="26"/>
  <c r="T62" i="26"/>
  <c r="R44" i="26"/>
  <c r="R46" i="26"/>
  <c r="AF46" i="26"/>
  <c r="U50" i="26"/>
  <c r="AG53" i="26"/>
  <c r="X56" i="26"/>
  <c r="Y59" i="26"/>
  <c r="AD58" i="26"/>
  <c r="AI44" i="26"/>
  <c r="AF44" i="26"/>
  <c r="X52" i="26"/>
  <c r="W48" i="26"/>
  <c r="AA46" i="26"/>
  <c r="U44" i="26"/>
  <c r="T49" i="26"/>
  <c r="AH48" i="26"/>
  <c r="AA60" i="26"/>
  <c r="Q55" i="26"/>
  <c r="U43" i="26"/>
  <c r="W62" i="26"/>
  <c r="Y52" i="26"/>
  <c r="W46" i="26"/>
  <c r="V62" i="26"/>
  <c r="AF55" i="26"/>
  <c r="T46" i="26"/>
  <c r="R56" i="26"/>
  <c r="S49" i="26"/>
  <c r="W43" i="26"/>
  <c r="Y43" i="26"/>
  <c r="Y44" i="26"/>
  <c r="R60" i="26"/>
  <c r="T48" i="26"/>
  <c r="S59" i="26"/>
  <c r="Q52" i="26"/>
  <c r="X55" i="26"/>
  <c r="U48" i="26"/>
  <c r="V60" i="26"/>
  <c r="X60" i="26"/>
  <c r="Y63" i="26"/>
  <c r="R58" i="26"/>
  <c r="Y56" i="26"/>
  <c r="S44" i="26"/>
  <c r="Q53" i="26"/>
  <c r="W60" i="26"/>
  <c r="V44" i="26"/>
  <c r="T60" i="26"/>
  <c r="Q63" i="26"/>
  <c r="V48" i="26"/>
  <c r="S62" i="26"/>
  <c r="U49" i="26"/>
  <c r="X49" i="26"/>
  <c r="T43" i="26"/>
  <c r="Y60" i="26"/>
  <c r="S52" i="26"/>
  <c r="R48" i="26"/>
  <c r="V51" i="26"/>
  <c r="Y48" i="26"/>
  <c r="S63" i="26"/>
  <c r="T59" i="26"/>
  <c r="X51" i="26"/>
  <c r="AC51" i="26"/>
  <c r="AG58" i="26"/>
  <c r="AE63" i="26"/>
  <c r="AG63" i="26"/>
  <c r="AH63" i="26"/>
  <c r="R49" i="26"/>
  <c r="AH59" i="26"/>
  <c r="U62" i="26"/>
  <c r="AE59" i="26"/>
  <c r="AB44" i="26"/>
  <c r="R50" i="26"/>
  <c r="AC62" i="26"/>
  <c r="AE56" i="26"/>
  <c r="AI53" i="26"/>
  <c r="R52" i="26"/>
  <c r="AG60" i="26"/>
  <c r="W52" i="26"/>
  <c r="T51" i="26"/>
  <c r="W49" i="26"/>
  <c r="AE52" i="26"/>
  <c r="V49" i="26"/>
  <c r="X48" i="26"/>
  <c r="W63" i="26"/>
  <c r="U60" i="26"/>
  <c r="T53" i="26"/>
  <c r="AA52" i="26"/>
  <c r="Y46" i="26"/>
  <c r="AE48" i="26"/>
  <c r="T52" i="26"/>
  <c r="AD56" i="26"/>
  <c r="AA62" i="26"/>
  <c r="AG59" i="26"/>
  <c r="U51" i="26"/>
  <c r="T63" i="26"/>
  <c r="U53" i="26"/>
  <c r="U63" i="26"/>
  <c r="R62" i="26"/>
  <c r="Q58" i="26"/>
  <c r="X50" i="26"/>
  <c r="S43" i="26"/>
  <c r="V59" i="26"/>
  <c r="X62" i="26"/>
  <c r="W44" i="26"/>
  <c r="X46" i="26"/>
  <c r="Q59" i="26"/>
  <c r="R59" i="26"/>
  <c r="Q48" i="26"/>
  <c r="X58" i="26"/>
  <c r="T58" i="26"/>
  <c r="W55" i="26"/>
  <c r="Y58" i="26"/>
  <c r="V46" i="26"/>
  <c r="U56" i="26"/>
  <c r="Q50" i="26"/>
  <c r="W53" i="26"/>
  <c r="T55" i="26"/>
  <c r="J52" i="26"/>
  <c r="K59" i="26"/>
  <c r="M50" i="26"/>
  <c r="H60" i="26"/>
  <c r="AJ63" i="26"/>
  <c r="AJ45" i="26"/>
  <c r="AJ62" i="26"/>
  <c r="AJ43" i="26"/>
  <c r="AJ58" i="26"/>
  <c r="AJ57" i="26"/>
  <c r="AJ54" i="26"/>
  <c r="AJ47" i="26"/>
  <c r="AJ51" i="26"/>
  <c r="M53" i="26"/>
  <c r="L56" i="26"/>
  <c r="N49" i="26"/>
  <c r="K50" i="26"/>
  <c r="J46" i="26"/>
  <c r="G60" i="26"/>
  <c r="J56" i="26"/>
  <c r="O44" i="26"/>
  <c r="K48" i="26"/>
  <c r="N50" i="26"/>
  <c r="I62" i="26"/>
  <c r="H52" i="26"/>
  <c r="N62" i="26"/>
  <c r="H62" i="26"/>
  <c r="K62" i="26"/>
  <c r="L55" i="26"/>
  <c r="I58" i="26"/>
  <c r="O52" i="26"/>
  <c r="O55" i="26"/>
  <c r="I59" i="26"/>
  <c r="G44" i="26"/>
  <c r="H51" i="26"/>
  <c r="G63" i="26"/>
  <c r="M62" i="26"/>
  <c r="N43" i="26"/>
  <c r="H44" i="26"/>
  <c r="G55" i="26"/>
  <c r="H50" i="26"/>
  <c r="J44" i="26"/>
  <c r="M48" i="26"/>
  <c r="J50" i="26"/>
  <c r="H63" i="26"/>
  <c r="G43" i="26"/>
  <c r="H55" i="26"/>
  <c r="F61" i="26"/>
  <c r="I56" i="26"/>
  <c r="M58" i="26"/>
  <c r="K43" i="26"/>
  <c r="K53" i="26"/>
  <c r="M49" i="26"/>
  <c r="K49" i="26"/>
  <c r="J43" i="26"/>
  <c r="H48" i="26"/>
  <c r="J49" i="26"/>
  <c r="K60" i="26"/>
  <c r="J48" i="26"/>
  <c r="M60" i="26"/>
  <c r="I46" i="26"/>
  <c r="P57" i="26"/>
  <c r="P54" i="26"/>
  <c r="P51" i="26"/>
  <c r="P47" i="26"/>
  <c r="P63" i="26"/>
  <c r="P45" i="26"/>
  <c r="P58" i="26"/>
  <c r="P62" i="26"/>
  <c r="P43" i="26"/>
  <c r="N53" i="26"/>
  <c r="O60" i="26"/>
  <c r="L48" i="26"/>
  <c r="P61" i="26"/>
  <c r="G56" i="26"/>
  <c r="M44" i="26"/>
  <c r="J53" i="26"/>
  <c r="K44" i="26"/>
  <c r="N51" i="26"/>
  <c r="J60" i="26"/>
  <c r="L53" i="26"/>
  <c r="L50" i="26"/>
  <c r="Z51" i="26"/>
  <c r="Z47" i="26"/>
  <c r="Z63" i="26"/>
  <c r="Z45" i="26"/>
  <c r="Z62" i="26"/>
  <c r="Z43" i="26"/>
  <c r="Z54" i="26"/>
  <c r="Z58" i="26"/>
  <c r="Z57" i="26"/>
  <c r="K46" i="26"/>
  <c r="G46" i="26"/>
  <c r="K58" i="26"/>
  <c r="N59" i="26"/>
  <c r="H53" i="26"/>
  <c r="O62" i="26"/>
  <c r="J63" i="26"/>
  <c r="G58" i="26"/>
  <c r="L51" i="26"/>
  <c r="N60" i="26"/>
  <c r="O56" i="26"/>
  <c r="K51" i="26"/>
  <c r="J58" i="26"/>
  <c r="M56" i="26"/>
  <c r="H46" i="26"/>
  <c r="AJ61" i="26"/>
  <c r="O58" i="26"/>
  <c r="I43" i="26"/>
  <c r="G48" i="26"/>
  <c r="O48" i="26"/>
  <c r="G59" i="26"/>
  <c r="K52" i="26"/>
  <c r="M59" i="26"/>
  <c r="BX63" i="26"/>
  <c r="BX45" i="26"/>
  <c r="BX62" i="26"/>
  <c r="BX43" i="26"/>
  <c r="BX58" i="26"/>
  <c r="BX47" i="26"/>
  <c r="BX57" i="26"/>
  <c r="BX54" i="26"/>
  <c r="BX51" i="26"/>
  <c r="L58" i="26"/>
  <c r="K56" i="26"/>
  <c r="I53" i="26"/>
  <c r="L43" i="26"/>
  <c r="J62" i="26"/>
  <c r="N44" i="26"/>
  <c r="I50" i="26"/>
  <c r="L59" i="26"/>
  <c r="I52" i="26"/>
  <c r="N58" i="26"/>
  <c r="H59" i="26"/>
  <c r="I49" i="26"/>
  <c r="G52" i="26"/>
  <c r="J51" i="26"/>
  <c r="L49" i="26"/>
  <c r="N63" i="26"/>
  <c r="O46" i="26"/>
  <c r="L46" i="26"/>
  <c r="AT58" i="26"/>
  <c r="AT57" i="26"/>
  <c r="AT43" i="26"/>
  <c r="AT54" i="26"/>
  <c r="AT51" i="26"/>
  <c r="AT47" i="26"/>
  <c r="AT63" i="26"/>
  <c r="AT45" i="26"/>
  <c r="AT62" i="26"/>
  <c r="G51" i="26"/>
  <c r="H49" i="26"/>
  <c r="O53" i="26"/>
  <c r="O59" i="26"/>
  <c r="K55" i="26"/>
  <c r="M46" i="26"/>
  <c r="N48" i="26"/>
  <c r="G62" i="26"/>
  <c r="K63" i="26"/>
  <c r="H56" i="26"/>
  <c r="M52" i="26"/>
  <c r="J55" i="26"/>
  <c r="M63" i="26"/>
  <c r="L44" i="26"/>
  <c r="G50" i="26"/>
  <c r="I51" i="26"/>
  <c r="M55" i="26"/>
  <c r="F58" i="26"/>
  <c r="F43" i="26"/>
  <c r="F57" i="26"/>
  <c r="F54" i="26"/>
  <c r="F51" i="26"/>
  <c r="F47" i="26"/>
  <c r="F63" i="26"/>
  <c r="F45" i="26"/>
  <c r="F62" i="26"/>
  <c r="O43" i="26"/>
  <c r="N56" i="26"/>
  <c r="I60" i="26"/>
  <c r="M43" i="26"/>
  <c r="G53" i="26"/>
  <c r="BN51" i="26"/>
  <c r="BN47" i="26"/>
  <c r="BN63" i="26"/>
  <c r="BN45" i="26"/>
  <c r="BN62" i="26"/>
  <c r="BN43" i="26"/>
  <c r="BN54" i="26"/>
  <c r="BN58" i="26"/>
  <c r="BN57" i="26"/>
  <c r="BD57" i="26"/>
  <c r="BD54" i="26"/>
  <c r="BD58" i="26"/>
  <c r="BD51" i="26"/>
  <c r="BD47" i="26"/>
  <c r="BD63" i="26"/>
  <c r="BD45" i="26"/>
  <c r="BD62" i="26"/>
  <c r="BD43" i="26"/>
  <c r="N46" i="26"/>
  <c r="N55" i="26"/>
  <c r="O50" i="26"/>
  <c r="M51" i="26"/>
  <c r="H43" i="26"/>
  <c r="L62" i="26"/>
  <c r="H58" i="26"/>
  <c r="G49" i="26"/>
  <c r="I48" i="26"/>
  <c r="O51" i="26"/>
  <c r="L63" i="26"/>
  <c r="I63" i="26"/>
  <c r="O63" i="26"/>
  <c r="N52" i="26"/>
  <c r="I55" i="26"/>
  <c r="O49" i="26"/>
  <c r="J59" i="26"/>
  <c r="BN61" i="26"/>
  <c r="L60" i="26"/>
  <c r="BF37" i="26"/>
  <c r="BL37" i="26"/>
  <c r="BP37" i="26"/>
  <c r="BR37" i="26"/>
  <c r="BW37" i="26"/>
  <c r="BV37" i="26"/>
  <c r="BQ37" i="26"/>
  <c r="BT37" i="26"/>
  <c r="BU37" i="26"/>
  <c r="BS37" i="26"/>
  <c r="BO37" i="26"/>
  <c r="BN37" i="26"/>
  <c r="BM37" i="26"/>
  <c r="BE37" i="26"/>
  <c r="AN37" i="26"/>
  <c r="AQ37" i="26"/>
  <c r="AR37" i="26"/>
  <c r="AL37" i="26"/>
  <c r="AP37" i="26"/>
  <c r="AJ37" i="26"/>
  <c r="AS37" i="26"/>
  <c r="AM37" i="26"/>
  <c r="AK37" i="26"/>
  <c r="AO37" i="26"/>
  <c r="BD37" i="26"/>
  <c r="BI37" i="26"/>
  <c r="P37" i="26"/>
  <c r="S37" i="26"/>
  <c r="X37" i="26"/>
  <c r="U37" i="26"/>
  <c r="W37" i="26"/>
  <c r="T37" i="26"/>
  <c r="Y37" i="26"/>
  <c r="Q37" i="26"/>
  <c r="V37" i="26"/>
  <c r="R37" i="26"/>
  <c r="BJ37" i="26"/>
  <c r="AI37" i="26"/>
  <c r="AG37" i="26"/>
  <c r="AB37" i="26"/>
  <c r="AH37" i="26"/>
  <c r="AC37" i="26"/>
  <c r="AD37" i="26"/>
  <c r="Z37" i="26"/>
  <c r="AE37" i="26"/>
  <c r="AA37" i="26"/>
  <c r="AF37" i="26"/>
  <c r="BG37" i="26"/>
  <c r="CA37" i="26"/>
  <c r="CF37" i="26"/>
  <c r="CE37" i="26"/>
  <c r="BZ37" i="26"/>
  <c r="BY37" i="26"/>
  <c r="CG37" i="26"/>
  <c r="CC37" i="26"/>
  <c r="CD37" i="26"/>
  <c r="BX37" i="26"/>
  <c r="CB37" i="26"/>
  <c r="BK37" i="26"/>
  <c r="AZ37" i="26"/>
  <c r="AW37" i="26"/>
  <c r="BB37" i="26"/>
  <c r="AT37" i="26"/>
  <c r="BA37" i="26"/>
  <c r="AU37" i="26"/>
  <c r="AX37" i="26"/>
  <c r="AV37" i="26"/>
  <c r="BC37" i="26"/>
  <c r="AY37" i="26"/>
  <c r="BH37" i="26"/>
  <c r="J37" i="26"/>
  <c r="M37" i="26"/>
  <c r="L37" i="26"/>
  <c r="K37" i="26"/>
  <c r="I37" i="26"/>
  <c r="H37" i="26"/>
  <c r="O37" i="26"/>
  <c r="F37" i="26"/>
  <c r="G37" i="26"/>
  <c r="F36" i="26"/>
  <c r="N37" i="26"/>
  <c r="D47" i="33"/>
  <c r="D113" i="30"/>
  <c r="D49" i="33"/>
  <c r="D48" i="33"/>
  <c r="C35" i="33"/>
  <c r="C70" i="33" s="1"/>
  <c r="D45" i="33"/>
  <c r="D56" i="33"/>
  <c r="D55" i="33"/>
  <c r="D35" i="33"/>
  <c r="D86" i="33" s="1"/>
  <c r="D59" i="33"/>
  <c r="D46" i="33"/>
  <c r="D43" i="33"/>
  <c r="D53" i="33"/>
  <c r="D50" i="33"/>
  <c r="D52" i="33"/>
  <c r="D60" i="33"/>
  <c r="D57" i="33"/>
  <c r="D40" i="33"/>
  <c r="AR36" i="26"/>
  <c r="BJ36" i="26"/>
  <c r="AY36" i="26"/>
  <c r="C58" i="32"/>
  <c r="I36" i="26"/>
  <c r="AS36" i="26"/>
  <c r="AV36" i="26"/>
  <c r="BV36" i="26"/>
  <c r="BH36" i="26"/>
  <c r="AQ36" i="26"/>
  <c r="BK36" i="26"/>
  <c r="AL36" i="26"/>
  <c r="Y36" i="26"/>
  <c r="Z36" i="26"/>
  <c r="C59" i="32"/>
  <c r="AK36" i="26"/>
  <c r="BL36" i="26"/>
  <c r="N36" i="26"/>
  <c r="C35" i="32"/>
  <c r="C85" i="32" s="1"/>
  <c r="BM36" i="26"/>
  <c r="AN36" i="26"/>
  <c r="AI36" i="26"/>
  <c r="BI36" i="26"/>
  <c r="CD36" i="26"/>
  <c r="BG36" i="26"/>
  <c r="AM36" i="26"/>
  <c r="BF36" i="26"/>
  <c r="BE36" i="26"/>
  <c r="AA36" i="26"/>
  <c r="AX36" i="26"/>
  <c r="BD36" i="26"/>
  <c r="AG36" i="26"/>
  <c r="CB36" i="26"/>
  <c r="M36" i="26"/>
  <c r="S36" i="26"/>
  <c r="BS36" i="26"/>
  <c r="AT36" i="26"/>
  <c r="BY36" i="26"/>
  <c r="CF36" i="26"/>
  <c r="R36" i="26"/>
  <c r="AH36" i="26"/>
  <c r="V36" i="26"/>
  <c r="BB36" i="26"/>
  <c r="CE36" i="26"/>
  <c r="AB36" i="26"/>
  <c r="X36" i="26"/>
  <c r="AJ36" i="26"/>
  <c r="J36" i="26"/>
  <c r="CA36" i="26"/>
  <c r="O36" i="26"/>
  <c r="BA36" i="26"/>
  <c r="CC36" i="26"/>
  <c r="AP36" i="26"/>
  <c r="BU36" i="26"/>
  <c r="U36" i="26"/>
  <c r="AW36" i="26"/>
  <c r="BR36" i="26"/>
  <c r="K36" i="26"/>
  <c r="CG36" i="26"/>
  <c r="L36" i="26"/>
  <c r="AU36" i="26"/>
  <c r="BX36" i="26"/>
  <c r="BT36" i="26"/>
  <c r="AZ36" i="26"/>
  <c r="BZ36" i="26"/>
  <c r="AF36" i="26"/>
  <c r="BO36" i="26"/>
  <c r="BW36" i="26"/>
  <c r="BC36" i="26"/>
  <c r="AC36" i="26"/>
  <c r="BN36" i="26"/>
  <c r="W36" i="26"/>
  <c r="Q36" i="26"/>
  <c r="AO36" i="26"/>
  <c r="AD36" i="26"/>
  <c r="BP36" i="26"/>
  <c r="T36" i="26"/>
  <c r="AE36" i="26"/>
  <c r="BQ36" i="26"/>
  <c r="P36" i="26"/>
  <c r="D113" i="28"/>
  <c r="D113" i="33"/>
  <c r="D50" i="32"/>
  <c r="D35" i="32"/>
  <c r="D76" i="32" s="1"/>
  <c r="D45" i="32"/>
  <c r="D47" i="32"/>
  <c r="D53" i="32"/>
  <c r="D40" i="32"/>
  <c r="D60" i="32"/>
  <c r="D41" i="32"/>
  <c r="D57" i="32"/>
  <c r="D52" i="32"/>
  <c r="D43" i="32"/>
  <c r="D49" i="32"/>
  <c r="D59" i="31"/>
  <c r="C48" i="32"/>
  <c r="D56" i="32"/>
  <c r="D48" i="32"/>
  <c r="D55" i="32"/>
  <c r="D46" i="32"/>
  <c r="C58" i="28"/>
  <c r="C113" i="35"/>
  <c r="C44" i="28"/>
  <c r="C58" i="12"/>
  <c r="C42" i="12"/>
  <c r="C48" i="12"/>
  <c r="C40" i="12"/>
  <c r="D49" i="30"/>
  <c r="D53" i="30"/>
  <c r="D43" i="30"/>
  <c r="D59" i="30"/>
  <c r="C35" i="30"/>
  <c r="C68" i="30" s="1"/>
  <c r="D40" i="30"/>
  <c r="D53" i="28"/>
  <c r="D50" i="30"/>
  <c r="D57" i="30"/>
  <c r="D35" i="30"/>
  <c r="D75" i="30" s="1"/>
  <c r="D41" i="30"/>
  <c r="D52" i="30"/>
  <c r="D55" i="30"/>
  <c r="D56" i="30"/>
  <c r="D60" i="30"/>
  <c r="D46" i="30"/>
  <c r="D47" i="30"/>
  <c r="D41" i="28"/>
  <c r="D48" i="30"/>
  <c r="C58" i="31"/>
  <c r="C60" i="31"/>
  <c r="D48" i="31"/>
  <c r="D53" i="31"/>
  <c r="D41" i="31"/>
  <c r="D45" i="31"/>
  <c r="D40" i="31"/>
  <c r="D43" i="31"/>
  <c r="D52" i="31"/>
  <c r="D47" i="31"/>
  <c r="C35" i="31"/>
  <c r="C81" i="31" s="1"/>
  <c r="D46" i="31"/>
  <c r="D57" i="31"/>
  <c r="D49" i="31"/>
  <c r="D55" i="12"/>
  <c r="C42" i="28"/>
  <c r="C40" i="28"/>
  <c r="C51" i="28"/>
  <c r="C55" i="28"/>
  <c r="C48" i="28"/>
  <c r="C54" i="28"/>
  <c r="C59" i="28"/>
  <c r="D52" i="28"/>
  <c r="D35" i="28"/>
  <c r="D69" i="28" s="1"/>
  <c r="D57" i="28"/>
  <c r="D47" i="28"/>
  <c r="C35" i="28"/>
  <c r="C74" i="28" s="1"/>
  <c r="D48" i="28"/>
  <c r="D60" i="28"/>
  <c r="D45" i="28"/>
  <c r="C55" i="12"/>
  <c r="C54" i="12"/>
  <c r="C59" i="12"/>
  <c r="C51" i="12"/>
  <c r="C44" i="12"/>
  <c r="C60" i="32"/>
  <c r="C54" i="32"/>
  <c r="D60" i="31"/>
  <c r="D56" i="28"/>
  <c r="D50" i="28"/>
  <c r="D49" i="28"/>
  <c r="D46" i="28"/>
  <c r="D43" i="28"/>
  <c r="D40" i="28"/>
  <c r="D59" i="28"/>
  <c r="C40" i="32"/>
  <c r="C55" i="32"/>
  <c r="C55" i="31"/>
  <c r="C44" i="32"/>
  <c r="C48" i="31"/>
  <c r="D55" i="31"/>
  <c r="C42" i="32"/>
  <c r="D56" i="31"/>
  <c r="C59" i="31"/>
  <c r="C113" i="30"/>
  <c r="D35" i="31"/>
  <c r="D69" i="31" s="1"/>
  <c r="C44" i="31"/>
  <c r="C54" i="31"/>
  <c r="C51" i="31"/>
  <c r="C42" i="31"/>
  <c r="D122" i="32"/>
  <c r="D125" i="32" s="1"/>
  <c r="C35" i="12"/>
  <c r="C68" i="12" s="1"/>
  <c r="D49" i="12"/>
  <c r="D35" i="12"/>
  <c r="D74" i="12" s="1"/>
  <c r="D43" i="12"/>
  <c r="D45" i="12"/>
  <c r="D56" i="12"/>
  <c r="D60" i="12"/>
  <c r="D53" i="12"/>
  <c r="D41" i="12"/>
  <c r="D52" i="12"/>
  <c r="D57" i="12"/>
  <c r="D46" i="12"/>
  <c r="D47" i="12"/>
  <c r="D48" i="12"/>
  <c r="D40" i="12"/>
  <c r="D50" i="12"/>
  <c r="D125" i="35"/>
  <c r="D61" i="35"/>
  <c r="C125" i="35"/>
  <c r="C61" i="35"/>
  <c r="C77" i="35"/>
  <c r="C86" i="35"/>
  <c r="C81" i="35"/>
  <c r="C80" i="35"/>
  <c r="C85" i="35"/>
  <c r="C84" i="35"/>
  <c r="C68" i="35"/>
  <c r="C66" i="35"/>
  <c r="C74" i="35"/>
  <c r="C70" i="35"/>
  <c r="D78" i="35"/>
  <c r="D72" i="35"/>
  <c r="D67" i="35"/>
  <c r="D85" i="35"/>
  <c r="D73" i="35"/>
  <c r="D74" i="35"/>
  <c r="D71" i="35"/>
  <c r="D79" i="35"/>
  <c r="D86" i="35"/>
  <c r="D75" i="35"/>
  <c r="D81" i="35"/>
  <c r="D82" i="35"/>
  <c r="D66" i="35"/>
  <c r="D83" i="35"/>
  <c r="D69" i="35"/>
  <c r="D76" i="35"/>
  <c r="D125" i="30"/>
  <c r="C125" i="33"/>
  <c r="D125" i="33"/>
  <c r="C125" i="31"/>
  <c r="D125" i="31"/>
  <c r="C125" i="32"/>
  <c r="C61" i="33"/>
  <c r="C125" i="30"/>
  <c r="C61" i="30"/>
  <c r="C125" i="28"/>
  <c r="D125" i="28"/>
  <c r="Q28" i="5" l="1"/>
  <c r="Q27" i="5"/>
  <c r="I64" i="26"/>
  <c r="C74" i="33"/>
  <c r="C66" i="32"/>
  <c r="C70" i="32"/>
  <c r="C84" i="32"/>
  <c r="C74" i="32"/>
  <c r="C81" i="32"/>
  <c r="C86" i="32"/>
  <c r="C80" i="32"/>
  <c r="C68" i="32"/>
  <c r="C77" i="32"/>
  <c r="C77" i="33"/>
  <c r="C86" i="33"/>
  <c r="C81" i="33"/>
  <c r="C85" i="33"/>
  <c r="C66" i="33"/>
  <c r="C84" i="33"/>
  <c r="C80" i="33"/>
  <c r="C68" i="33"/>
  <c r="D75" i="33"/>
  <c r="D69" i="33"/>
  <c r="D83" i="33"/>
  <c r="D79" i="33"/>
  <c r="D76" i="33"/>
  <c r="D78" i="33"/>
  <c r="D85" i="33"/>
  <c r="D74" i="33"/>
  <c r="D71" i="33"/>
  <c r="D73" i="33"/>
  <c r="D72" i="33"/>
  <c r="D67" i="33"/>
  <c r="D66" i="33"/>
  <c r="D82" i="33"/>
  <c r="D81" i="33"/>
  <c r="D61" i="33"/>
  <c r="D71" i="32"/>
  <c r="D79" i="32"/>
  <c r="D82" i="32"/>
  <c r="D66" i="32"/>
  <c r="D83" i="32"/>
  <c r="D78" i="32"/>
  <c r="D72" i="32"/>
  <c r="D75" i="32"/>
  <c r="D85" i="32"/>
  <c r="D69" i="32"/>
  <c r="D73" i="32"/>
  <c r="D86" i="32"/>
  <c r="D74" i="32"/>
  <c r="D67" i="32"/>
  <c r="D81" i="32"/>
  <c r="C85" i="28"/>
  <c r="C84" i="31"/>
  <c r="D61" i="32"/>
  <c r="C68" i="31"/>
  <c r="C81" i="28"/>
  <c r="C74" i="12"/>
  <c r="D86" i="30"/>
  <c r="D66" i="30"/>
  <c r="D82" i="30"/>
  <c r="D79" i="30"/>
  <c r="D83" i="30"/>
  <c r="D72" i="30"/>
  <c r="D67" i="30"/>
  <c r="D71" i="30"/>
  <c r="D76" i="30"/>
  <c r="D81" i="30"/>
  <c r="C86" i="30"/>
  <c r="C81" i="30"/>
  <c r="C66" i="30"/>
  <c r="C84" i="30"/>
  <c r="C70" i="30"/>
  <c r="C74" i="30"/>
  <c r="C77" i="30"/>
  <c r="C80" i="30"/>
  <c r="C85" i="30"/>
  <c r="D85" i="30"/>
  <c r="D69" i="30"/>
  <c r="D78" i="30"/>
  <c r="D74" i="30"/>
  <c r="D73" i="30"/>
  <c r="D61" i="30"/>
  <c r="C68" i="28"/>
  <c r="C74" i="31"/>
  <c r="C77" i="31"/>
  <c r="C84" i="28"/>
  <c r="C80" i="31"/>
  <c r="C80" i="28"/>
  <c r="C85" i="31"/>
  <c r="C77" i="28"/>
  <c r="C70" i="31"/>
  <c r="C66" i="28"/>
  <c r="C66" i="31"/>
  <c r="C70" i="28"/>
  <c r="C86" i="31"/>
  <c r="C86" i="28"/>
  <c r="D75" i="28"/>
  <c r="D83" i="31"/>
  <c r="D74" i="28"/>
  <c r="D86" i="31"/>
  <c r="D85" i="12"/>
  <c r="D72" i="12"/>
  <c r="D78" i="12"/>
  <c r="D73" i="28"/>
  <c r="D76" i="31"/>
  <c r="D79" i="31"/>
  <c r="D82" i="12"/>
  <c r="D79" i="28"/>
  <c r="D66" i="12"/>
  <c r="D69" i="12"/>
  <c r="D81" i="28"/>
  <c r="D72" i="28"/>
  <c r="D82" i="31"/>
  <c r="D73" i="31"/>
  <c r="D73" i="12"/>
  <c r="D75" i="12"/>
  <c r="D86" i="28"/>
  <c r="D83" i="28"/>
  <c r="D71" i="31"/>
  <c r="D72" i="31"/>
  <c r="D81" i="12"/>
  <c r="D67" i="12"/>
  <c r="D85" i="28"/>
  <c r="D78" i="28"/>
  <c r="D78" i="31"/>
  <c r="D66" i="31"/>
  <c r="D79" i="12"/>
  <c r="D71" i="12"/>
  <c r="D67" i="28"/>
  <c r="D71" i="28"/>
  <c r="D67" i="31"/>
  <c r="D85" i="31"/>
  <c r="D86" i="12"/>
  <c r="D76" i="12"/>
  <c r="D66" i="28"/>
  <c r="D82" i="28"/>
  <c r="D74" i="31"/>
  <c r="D75" i="31"/>
  <c r="D83" i="12"/>
  <c r="D76" i="28"/>
  <c r="D81" i="31"/>
  <c r="C61" i="28"/>
  <c r="C61" i="12"/>
  <c r="D61" i="31"/>
  <c r="D61" i="28"/>
  <c r="C61" i="32"/>
  <c r="C86" i="12"/>
  <c r="C81" i="12"/>
  <c r="C70" i="12"/>
  <c r="C66" i="12"/>
  <c r="C85" i="12"/>
  <c r="C84" i="12"/>
  <c r="C77" i="12"/>
  <c r="C80" i="12"/>
  <c r="C61" i="31"/>
  <c r="D61" i="12"/>
  <c r="N64" i="26"/>
  <c r="AK64" i="26" l="1"/>
  <c r="AR64" i="26"/>
  <c r="CD64" i="26"/>
  <c r="AM64" i="26"/>
  <c r="AQ64" i="26"/>
  <c r="BJ64" i="26"/>
  <c r="BF64" i="26"/>
  <c r="S64" i="26"/>
  <c r="AL64" i="26"/>
  <c r="Y64" i="26"/>
  <c r="Z64" i="26"/>
  <c r="AS64" i="26"/>
  <c r="BS64" i="26"/>
  <c r="BB64" i="26"/>
  <c r="BE64" i="26"/>
  <c r="BM64" i="26"/>
  <c r="AG64" i="26"/>
  <c r="R64" i="26"/>
  <c r="BK64" i="26"/>
  <c r="BL64" i="26"/>
  <c r="AW64" i="26"/>
  <c r="AY64" i="26"/>
  <c r="BG64" i="26"/>
  <c r="J64" i="26"/>
  <c r="CA64" i="26"/>
  <c r="CF64" i="26"/>
  <c r="AV64" i="26"/>
  <c r="CG64" i="26"/>
  <c r="BT64" i="26"/>
  <c r="BR64" i="26"/>
  <c r="M64" i="26"/>
  <c r="AH64" i="26"/>
  <c r="U64" i="26"/>
  <c r="CB64" i="26"/>
  <c r="AJ64" i="26"/>
  <c r="W64" i="26"/>
  <c r="AZ64" i="26"/>
  <c r="BV64" i="26"/>
  <c r="BA64" i="26"/>
  <c r="BI64" i="26"/>
  <c r="BD64" i="26"/>
  <c r="AI64" i="26"/>
  <c r="AU64" i="26"/>
  <c r="AX64" i="26"/>
  <c r="AP64" i="26"/>
  <c r="AB64" i="26"/>
  <c r="BC64" i="26"/>
  <c r="BH64" i="26"/>
  <c r="X64" i="26"/>
  <c r="F64" i="26"/>
  <c r="BU64" i="26"/>
  <c r="BY64" i="26"/>
  <c r="BO64" i="26"/>
  <c r="AA64" i="26"/>
  <c r="AT64" i="26"/>
  <c r="BZ64" i="26"/>
  <c r="G64" i="26"/>
  <c r="BX64" i="26"/>
  <c r="AN64" i="26"/>
  <c r="CC64" i="26"/>
  <c r="H64" i="26"/>
  <c r="BW64" i="26"/>
  <c r="P64" i="26"/>
  <c r="V64" i="26"/>
  <c r="K64" i="26"/>
  <c r="AF64" i="26"/>
  <c r="CE64" i="26"/>
  <c r="L64" i="26"/>
  <c r="O64" i="26"/>
  <c r="AO64" i="26"/>
  <c r="AD64" i="26"/>
  <c r="BQ64" i="26"/>
  <c r="BN64" i="26"/>
  <c r="Q64" i="26"/>
  <c r="BP64" i="26"/>
  <c r="AC64" i="26"/>
  <c r="T64" i="26"/>
  <c r="AE64" i="26"/>
  <c r="D102" i="27"/>
  <c r="C107" i="27"/>
  <c r="D100" i="27"/>
  <c r="C94" i="27"/>
  <c r="D101" i="27"/>
  <c r="D95" i="27"/>
  <c r="D105" i="27"/>
  <c r="D107" i="27"/>
  <c r="D98" i="27"/>
  <c r="D93" i="27"/>
  <c r="D111" i="27"/>
  <c r="D124" i="27" s="1"/>
  <c r="C96" i="27"/>
  <c r="C100" i="27"/>
  <c r="C120" i="27" s="1"/>
  <c r="C106" i="27"/>
  <c r="D104" i="27"/>
  <c r="C110" i="27"/>
  <c r="C123" i="27" s="1"/>
  <c r="D108" i="27"/>
  <c r="D99" i="27"/>
  <c r="C103" i="27"/>
  <c r="D97" i="27"/>
  <c r="D109" i="27"/>
  <c r="D123" i="27" s="1"/>
  <c r="D112" i="27"/>
  <c r="D121" i="27" s="1"/>
  <c r="C111" i="27"/>
  <c r="C124" i="27" s="1"/>
  <c r="C112" i="27"/>
  <c r="C121" i="27" s="1"/>
  <c r="C34" i="27"/>
  <c r="C42" i="27" s="1"/>
  <c r="C92" i="27"/>
  <c r="D120" i="27" l="1"/>
  <c r="D122" i="27"/>
  <c r="C122" i="27"/>
  <c r="C119" i="27"/>
  <c r="C113" i="27"/>
  <c r="C58" i="27"/>
  <c r="C51" i="27"/>
  <c r="C59" i="27"/>
  <c r="C44" i="27"/>
  <c r="C60" i="27"/>
  <c r="C54" i="27"/>
  <c r="C40" i="27"/>
  <c r="C55" i="27"/>
  <c r="C48" i="27"/>
  <c r="D34" i="27"/>
  <c r="D41" i="27" s="1"/>
  <c r="D92" i="27"/>
  <c r="D113" i="27" s="1"/>
  <c r="D119" i="27" l="1"/>
  <c r="D125" i="27" s="1"/>
  <c r="C125" i="27"/>
  <c r="C61" i="27"/>
  <c r="D53" i="27"/>
  <c r="D55" i="27"/>
  <c r="D40" i="27"/>
  <c r="D57" i="27"/>
  <c r="D50" i="27"/>
  <c r="D43" i="27"/>
  <c r="C35" i="27"/>
  <c r="D48" i="27"/>
  <c r="D47" i="27"/>
  <c r="D60" i="27"/>
  <c r="D35" i="27"/>
  <c r="D45" i="27"/>
  <c r="D59" i="27"/>
  <c r="D49" i="27"/>
  <c r="D46" i="27"/>
  <c r="D52" i="27"/>
  <c r="D56" i="27"/>
  <c r="C66" i="27" l="1"/>
  <c r="C84" i="27"/>
  <c r="C81" i="27"/>
  <c r="C86" i="27"/>
  <c r="C80" i="27"/>
  <c r="C70" i="27"/>
  <c r="C68" i="27"/>
  <c r="C85" i="27"/>
  <c r="C77" i="27"/>
  <c r="C74" i="27"/>
  <c r="D61" i="27"/>
  <c r="D78" i="27"/>
  <c r="D71" i="27"/>
  <c r="D79" i="27"/>
  <c r="D72" i="27"/>
  <c r="D81" i="27"/>
  <c r="D85" i="27"/>
  <c r="D76" i="27"/>
  <c r="D75" i="27"/>
  <c r="D69" i="27"/>
  <c r="D73" i="27"/>
  <c r="D67" i="27"/>
  <c r="D83" i="27"/>
  <c r="D66" i="27"/>
  <c r="D86" i="27"/>
  <c r="D74" i="27"/>
  <c r="D82" i="27"/>
  <c r="X93" i="41" l="1"/>
  <c r="V99" i="41"/>
  <c r="O93" i="41"/>
  <c r="M107" i="41"/>
  <c r="G109" i="41"/>
  <c r="Q109" i="41"/>
  <c r="K95" i="41"/>
  <c r="G95" i="41"/>
  <c r="R99" i="41"/>
  <c r="H105" i="41"/>
  <c r="R109" i="41"/>
  <c r="M109" i="41"/>
  <c r="T91" i="41"/>
  <c r="J97" i="41"/>
  <c r="W97" i="41"/>
  <c r="S110" i="41"/>
  <c r="H106" i="41"/>
  <c r="R91" i="41"/>
  <c r="N93" i="41"/>
  <c r="X105" i="41"/>
  <c r="S109" i="41"/>
  <c r="Q105" i="41"/>
  <c r="J96" i="41"/>
  <c r="K96" i="41"/>
  <c r="U91" i="41"/>
  <c r="X95" i="41"/>
  <c r="V103" i="41"/>
  <c r="L91" i="41"/>
  <c r="V95" i="41"/>
  <c r="S91" i="41"/>
  <c r="P95" i="41"/>
  <c r="O91" i="41"/>
  <c r="M95" i="41"/>
  <c r="J102" i="41"/>
  <c r="U109" i="41"/>
  <c r="T106" i="41"/>
  <c r="S97" i="41"/>
  <c r="F101" i="41"/>
  <c r="H102" i="41"/>
  <c r="G106" i="41"/>
  <c r="F110" i="41"/>
  <c r="Q110" i="41"/>
  <c r="T107" i="41"/>
  <c r="L99" i="41"/>
  <c r="Q103" i="41"/>
  <c r="T100" i="41"/>
  <c r="L93" i="41"/>
  <c r="K106" i="41"/>
  <c r="I107" i="41"/>
  <c r="O98" i="41"/>
  <c r="O103" i="41"/>
  <c r="W98" i="41"/>
  <c r="V96" i="41"/>
  <c r="N91" i="41"/>
  <c r="J109" i="41"/>
  <c r="J99" i="41"/>
  <c r="O107" i="41"/>
  <c r="R105" i="41"/>
  <c r="G93" i="41"/>
  <c r="V91" i="41"/>
  <c r="P109" i="41"/>
  <c r="P93" i="41"/>
  <c r="W105" i="41"/>
  <c r="H93" i="41"/>
  <c r="V106" i="41"/>
  <c r="R106" i="41"/>
  <c r="W100" i="41"/>
  <c r="J93" i="41"/>
  <c r="K109" i="41"/>
  <c r="M102" i="41"/>
  <c r="J110" i="41"/>
  <c r="W96" i="41"/>
  <c r="Q99" i="41"/>
  <c r="G110" i="41"/>
  <c r="O102" i="41"/>
  <c r="S107" i="41"/>
  <c r="N95" i="41"/>
  <c r="U98" i="41"/>
  <c r="V93" i="41"/>
  <c r="I106" i="41"/>
  <c r="L110" i="41"/>
  <c r="H97" i="41"/>
  <c r="R102" i="41"/>
  <c r="G102" i="41"/>
  <c r="G96" i="41"/>
  <c r="K110" i="41"/>
  <c r="T93" i="41"/>
  <c r="J91" i="41"/>
  <c r="G97" i="41"/>
  <c r="I95" i="41"/>
  <c r="V107" i="41"/>
  <c r="N105" i="41"/>
  <c r="M93" i="41"/>
  <c r="M105" i="41"/>
  <c r="T99" i="41"/>
  <c r="M96" i="41"/>
  <c r="M91" i="41"/>
  <c r="I97" i="41"/>
  <c r="R93" i="41"/>
  <c r="Q100" i="41"/>
  <c r="O110" i="41"/>
  <c r="H96" i="41"/>
  <c r="P110" i="41"/>
  <c r="F94" i="41"/>
  <c r="U100" i="41"/>
  <c r="J98" i="41"/>
  <c r="J100" i="41"/>
  <c r="T109" i="41"/>
  <c r="W99" i="41"/>
  <c r="M98" i="41"/>
  <c r="Q93" i="41"/>
  <c r="T110" i="41"/>
  <c r="F92" i="41"/>
  <c r="X91" i="41"/>
  <c r="P96" i="41"/>
  <c r="K103" i="41"/>
  <c r="X109" i="41"/>
  <c r="I96" i="41"/>
  <c r="O99" i="41"/>
  <c r="Q95" i="41"/>
  <c r="G107" i="41"/>
  <c r="U102" i="41"/>
  <c r="N100" i="41"/>
  <c r="R95" i="41"/>
  <c r="I110" i="41"/>
  <c r="V98" i="41"/>
  <c r="G99" i="41"/>
  <c r="P103" i="41"/>
  <c r="T103" i="41"/>
  <c r="X102" i="41"/>
  <c r="H110" i="41"/>
  <c r="N106" i="41"/>
  <c r="L105" i="41"/>
  <c r="N103" i="41"/>
  <c r="I109" i="41"/>
  <c r="P98" i="41"/>
  <c r="N109" i="41"/>
  <c r="M97" i="41"/>
  <c r="N96" i="41"/>
  <c r="N107" i="41"/>
  <c r="W103" i="41"/>
  <c r="K93" i="41"/>
  <c r="W110" i="41"/>
  <c r="P99" i="41"/>
  <c r="U95" i="41"/>
  <c r="H98" i="41"/>
  <c r="I91" i="41"/>
  <c r="H100" i="41"/>
  <c r="X99" i="41"/>
  <c r="K100" i="41"/>
  <c r="N110" i="41"/>
  <c r="W109" i="41"/>
  <c r="I99" i="41"/>
  <c r="U105" i="41"/>
  <c r="H91" i="41"/>
  <c r="X110" i="41"/>
  <c r="M103" i="41"/>
  <c r="J95" i="41"/>
  <c r="R96" i="41"/>
  <c r="L95" i="41"/>
  <c r="U96" i="41"/>
  <c r="P102" i="41"/>
  <c r="X107" i="41"/>
  <c r="O105" i="41"/>
  <c r="L102" i="41"/>
  <c r="H103" i="41"/>
  <c r="W106" i="41"/>
  <c r="M99" i="41"/>
  <c r="N97" i="41"/>
  <c r="Q107" i="41"/>
  <c r="X97" i="41"/>
  <c r="S95" i="41"/>
  <c r="O97" i="41"/>
  <c r="L98" i="41"/>
  <c r="M110" i="41"/>
  <c r="K105" i="41"/>
  <c r="H109" i="41"/>
  <c r="L96" i="41"/>
  <c r="W102" i="41"/>
  <c r="S99" i="41"/>
  <c r="S106" i="41"/>
  <c r="U110" i="41"/>
  <c r="S98" i="41"/>
  <c r="K98" i="41"/>
  <c r="H95" i="41"/>
  <c r="Q102" i="41"/>
  <c r="F109" i="41"/>
  <c r="P107" i="41"/>
  <c r="O95" i="41"/>
  <c r="V97" i="41"/>
  <c r="S102" i="41"/>
  <c r="S96" i="41"/>
  <c r="K91" i="41"/>
  <c r="P106" i="41"/>
  <c r="T95" i="41"/>
  <c r="J103" i="41"/>
  <c r="Q96" i="41"/>
  <c r="I103" i="41"/>
  <c r="P91" i="41"/>
  <c r="M100" i="41"/>
  <c r="G100" i="41"/>
  <c r="L100" i="41"/>
  <c r="V109" i="41"/>
  <c r="F105" i="41"/>
  <c r="T98" i="41"/>
  <c r="I102" i="41"/>
  <c r="W95" i="41"/>
  <c r="X106" i="41"/>
  <c r="U99" i="41"/>
  <c r="G91" i="41"/>
  <c r="V110" i="41"/>
  <c r="Q97" i="41"/>
  <c r="U93" i="41"/>
  <c r="I105" i="41"/>
  <c r="O109" i="41"/>
  <c r="T102" i="41"/>
  <c r="K99" i="41"/>
  <c r="V100" i="41"/>
  <c r="Q91" i="41"/>
  <c r="K102" i="41"/>
  <c r="S103" i="41"/>
  <c r="F108" i="41"/>
  <c r="G98" i="41"/>
  <c r="L107" i="41"/>
  <c r="K107" i="41"/>
  <c r="R103" i="41"/>
  <c r="L106" i="41"/>
  <c r="W107" i="41"/>
  <c r="N102" i="41"/>
  <c r="X96" i="41"/>
  <c r="R107" i="41"/>
  <c r="P105" i="41"/>
  <c r="G105" i="41"/>
  <c r="V102" i="41"/>
  <c r="K97" i="41"/>
  <c r="N99" i="41"/>
  <c r="O100" i="41"/>
  <c r="T97" i="41"/>
  <c r="U103" i="41"/>
  <c r="I93" i="41"/>
  <c r="T105" i="41"/>
  <c r="X98" i="41"/>
  <c r="X100" i="41"/>
  <c r="S93" i="41"/>
  <c r="G103" i="41"/>
  <c r="I100" i="41"/>
  <c r="V105" i="41"/>
  <c r="P100" i="41"/>
  <c r="W91" i="41"/>
  <c r="H107" i="41"/>
  <c r="W93" i="41"/>
  <c r="L103" i="41"/>
  <c r="H99" i="41"/>
  <c r="U97" i="41"/>
  <c r="O106" i="41"/>
  <c r="F104" i="41"/>
  <c r="I98" i="41"/>
  <c r="Q98" i="41"/>
  <c r="R100" i="41"/>
  <c r="S105" i="41"/>
  <c r="N98" i="41"/>
  <c r="T96" i="41"/>
  <c r="O96" i="41"/>
  <c r="F98" i="41"/>
  <c r="Q106" i="41"/>
  <c r="U107" i="41"/>
  <c r="J105" i="41"/>
  <c r="R110" i="41"/>
  <c r="P97" i="41"/>
  <c r="X103" i="41"/>
  <c r="M106" i="41"/>
  <c r="L97" i="41"/>
  <c r="S100" i="41"/>
  <c r="U106" i="41"/>
  <c r="J106" i="41"/>
  <c r="R98" i="41"/>
  <c r="J107" i="41"/>
  <c r="R97" i="41"/>
  <c r="L109" i="41"/>
  <c r="Q90" i="41"/>
  <c r="H90" i="41"/>
  <c r="S90" i="41"/>
  <c r="F90" i="41"/>
  <c r="K90" i="41"/>
  <c r="X90" i="41"/>
  <c r="T90" i="41"/>
  <c r="N90" i="41"/>
  <c r="R90" i="41"/>
  <c r="W90" i="41"/>
  <c r="M90" i="41"/>
  <c r="O90" i="41"/>
  <c r="I90" i="41"/>
  <c r="V90" i="41"/>
  <c r="U90" i="41"/>
  <c r="L90" i="41"/>
  <c r="G90" i="41"/>
  <c r="P90" i="41"/>
  <c r="J90" i="41"/>
  <c r="R111" i="41" l="1"/>
  <c r="S111" i="41"/>
  <c r="M111" i="41"/>
  <c r="J111" i="41"/>
  <c r="W111" i="41"/>
  <c r="U111" i="41"/>
  <c r="V111" i="41"/>
  <c r="H111" i="41"/>
  <c r="K111" i="41"/>
  <c r="I111" i="41"/>
  <c r="Q111" i="41"/>
  <c r="F111" i="41"/>
  <c r="T111" i="41"/>
  <c r="N111" i="41"/>
  <c r="O111" i="41"/>
  <c r="P111" i="41"/>
  <c r="X111" i="41"/>
  <c r="G111" i="41"/>
  <c r="L111" i="41"/>
  <c r="D37" i="40"/>
  <c r="D68" i="40" s="1"/>
  <c r="D65" i="40" l="1"/>
  <c r="D69" i="40"/>
  <c r="D70" i="40"/>
  <c r="D73" i="40"/>
  <c r="D71" i="40"/>
  <c r="D67" i="40"/>
  <c r="D72" i="40"/>
  <c r="D66" i="40"/>
</calcChain>
</file>

<file path=xl/comments1.xml><?xml version="1.0" encoding="utf-8"?>
<comments xmlns="http://schemas.openxmlformats.org/spreadsheetml/2006/main">
  <authors>
    <author>Ben Morelli</author>
  </authors>
  <commentList>
    <comment ref="I430" authorId="0" shapeId="0">
      <text>
        <r>
          <rPr>
            <b/>
            <sz val="9"/>
            <color indexed="81"/>
            <rFont val="Tahoma"/>
            <family val="2"/>
          </rPr>
          <t>Ben Morelli:</t>
        </r>
        <r>
          <rPr>
            <sz val="9"/>
            <color indexed="81"/>
            <rFont val="Tahoma"/>
            <family val="2"/>
          </rPr>
          <t xml:space="preserve">
What is leading to this. Shifted from a lower value previously.
</t>
        </r>
      </text>
    </comment>
  </commentList>
</comments>
</file>

<file path=xl/sharedStrings.xml><?xml version="1.0" encoding="utf-8"?>
<sst xmlns="http://schemas.openxmlformats.org/spreadsheetml/2006/main" count="47090" uniqueCount="531">
  <si>
    <t>Summary</t>
  </si>
  <si>
    <t>Sheet</t>
  </si>
  <si>
    <t>Description</t>
  </si>
  <si>
    <t>Drivers</t>
  </si>
  <si>
    <t>Aggregated process contribution results for eutrophication, global warming, and cumulative energy demand</t>
  </si>
  <si>
    <t>Cost</t>
  </si>
  <si>
    <t>EP</t>
  </si>
  <si>
    <t>GWP</t>
  </si>
  <si>
    <t>CED</t>
  </si>
  <si>
    <t>AP</t>
  </si>
  <si>
    <t>This workbook contains the life cycle impact assessment (LCIA) and cost results for the LCA of both the existing legacy and proposed upgraded wastewater treatment systems for the community of Bath NY. Plant upgrades are intended to achieve greater nutrient removal to meet enhanced regulatory standards, while allowing for the recovery of energy and nutrients for reuse.</t>
  </si>
  <si>
    <t>Life-Cycle Assessment and Cost Analysis of Water and Wastewater Treatment Options for Sustainability</t>
  </si>
  <si>
    <t>Evaluation of legacy and upgraded wastewater treatment plants for the community of Bath, NY</t>
  </si>
  <si>
    <t>kg N eq</t>
  </si>
  <si>
    <t>kg oil eq</t>
  </si>
  <si>
    <t>MJ</t>
  </si>
  <si>
    <t>$</t>
  </si>
  <si>
    <t>Eutrophication Potential</t>
  </si>
  <si>
    <t>Global Warming Potential</t>
  </si>
  <si>
    <t>Acidification Potential</t>
  </si>
  <si>
    <t>Smog Formation Potential</t>
  </si>
  <si>
    <t>Cumulative Energy Demand</t>
  </si>
  <si>
    <t>Max</t>
  </si>
  <si>
    <t>kg CO2 eq</t>
  </si>
  <si>
    <t>kg SO2 eq</t>
  </si>
  <si>
    <t>kg O3 eq</t>
  </si>
  <si>
    <t>m3 H2O</t>
  </si>
  <si>
    <t>Unit</t>
  </si>
  <si>
    <t>Aggregated Process Contribution Results</t>
  </si>
  <si>
    <t>Electricity</t>
  </si>
  <si>
    <t>Natural Gas</t>
  </si>
  <si>
    <t>Infrastructure</t>
  </si>
  <si>
    <t>Chemicals</t>
  </si>
  <si>
    <t>Effluent Release</t>
  </si>
  <si>
    <t>Total</t>
  </si>
  <si>
    <t>Lookups and Correspondences used throughout the workbook</t>
  </si>
  <si>
    <t>Impact Category</t>
  </si>
  <si>
    <t>Particulate Matter Formation Potential</t>
  </si>
  <si>
    <t>Abbreviation</t>
  </si>
  <si>
    <t>PMFP</t>
  </si>
  <si>
    <t>SFP</t>
  </si>
  <si>
    <t>Fossil Depletion Potential</t>
  </si>
  <si>
    <t>FDP</t>
  </si>
  <si>
    <t>Units</t>
  </si>
  <si>
    <t xml:space="preserve">Long Name </t>
  </si>
  <si>
    <t>Legacy</t>
  </si>
  <si>
    <t>Upgraded</t>
  </si>
  <si>
    <t>Process</t>
  </si>
  <si>
    <t>Effluent release; wastewater treatment unit; at surface water; m3 wastewater - US</t>
  </si>
  <si>
    <t>Biological Treatment</t>
  </si>
  <si>
    <t>Summary Stages for Charts</t>
  </si>
  <si>
    <t>Contribution</t>
  </si>
  <si>
    <t>Amount</t>
  </si>
  <si>
    <t>Wet Well and Sump Station; wastewater treatment unit; at updated plant - US</t>
  </si>
  <si>
    <t>Clear Cove Primary Clarification; wastewater treatment unit; at updated plant - US</t>
  </si>
  <si>
    <t>Aeration Tanks; wastewater treatment unit; at updated plant - US</t>
  </si>
  <si>
    <t>Control Building; at wastewater treatment plant - US</t>
  </si>
  <si>
    <t>Gravity Belt Thickener; wastewater treatment unit; at updated plant - US</t>
  </si>
  <si>
    <t>Pre-Anoxic &amp; Swing tank; wastewater treatment unit; at updated plant - US</t>
  </si>
  <si>
    <t>Blend Tank; wastewater treatment unit; at updated plant - US</t>
  </si>
  <si>
    <t>Belt filter press; wastewater treatment unit; at updated plant - US</t>
  </si>
  <si>
    <t>Biosolids composting; wastewater treatment unit; at updated plant - US</t>
  </si>
  <si>
    <t>Land application of compost; wastewater treatment unit; at updated plant - US</t>
  </si>
  <si>
    <t>Unit Process Grouping</t>
  </si>
  <si>
    <t>Preliminary/Primary</t>
  </si>
  <si>
    <t>Other</t>
  </si>
  <si>
    <t>Sludge Handling and Treatment</t>
  </si>
  <si>
    <t>Category Names</t>
  </si>
  <si>
    <t>LCIA Category</t>
  </si>
  <si>
    <t>Treatment System</t>
  </si>
  <si>
    <t>Chart by life cycle stage</t>
  </si>
  <si>
    <t>electricity, Bath NY, at user - US</t>
  </si>
  <si>
    <t>steel, low-alloyed, at plant - RER</t>
  </si>
  <si>
    <t>steel product manufacturing, average metal working - RER</t>
  </si>
  <si>
    <t>ready mixed concrete, 20 MPa, at NY plant - US</t>
  </si>
  <si>
    <t>gravel, crushed, at WWTP, NY - US</t>
  </si>
  <si>
    <t>excavation, hydraulic digger - RER</t>
  </si>
  <si>
    <t>polyacrylamide production S| polyacrylamide | cut-off, S - GLO</t>
  </si>
  <si>
    <t>Aggregated Unit Process Categories</t>
  </si>
  <si>
    <t>Composting</t>
  </si>
  <si>
    <t>Land Application</t>
  </si>
  <si>
    <t>Avoided Products</t>
  </si>
  <si>
    <t>Unit Process Category</t>
  </si>
  <si>
    <t>Adjusted Amount</t>
  </si>
  <si>
    <t>Detailed Results Export for Primary Impact Categories</t>
  </si>
  <si>
    <t>LCIA Lookup</t>
  </si>
  <si>
    <t>System Labels</t>
  </si>
  <si>
    <t>Cumulative Energy Demand Drivers Chart</t>
  </si>
  <si>
    <t>Eutrophication Potential Demand Drivers Chart</t>
  </si>
  <si>
    <t>Global Climate Change Potential Demand Drivers Chart</t>
  </si>
  <si>
    <t>System</t>
  </si>
  <si>
    <t>(Paste into this column)</t>
  </si>
  <si>
    <t>(Assign Values Manually)</t>
  </si>
  <si>
    <t>(Fill the indicated cells)</t>
  </si>
  <si>
    <t>Construction ($)</t>
  </si>
  <si>
    <t>Operation ($/yr)</t>
  </si>
  <si>
    <t>Material ($/yr)</t>
  </si>
  <si>
    <t>Chemical ($/yr)</t>
  </si>
  <si>
    <t>Energy ($/yr)</t>
  </si>
  <si>
    <t>Amortized Construction ($/yr)</t>
  </si>
  <si>
    <t>Total Cost/Year</t>
  </si>
  <si>
    <t>Cost/m3</t>
  </si>
  <si>
    <t>Life Cycle Cost Assessment Summary Results</t>
  </si>
  <si>
    <t>Summary Table showing the LCCA results for the Base-Base Anaerobic Digester Scenario and comparing these results to the nine anaerobic digester scenarios.</t>
  </si>
  <si>
    <t>Base-Low</t>
  </si>
  <si>
    <t>Base-High</t>
  </si>
  <si>
    <t>Medium-Low</t>
  </si>
  <si>
    <t>Medium-Base</t>
  </si>
  <si>
    <t>Medium-High</t>
  </si>
  <si>
    <t>High-Low</t>
  </si>
  <si>
    <t>High-Base</t>
  </si>
  <si>
    <t>High-High</t>
  </si>
  <si>
    <t>Scenario (Feedstock Scenario-Anaerobic Digester Scenario)</t>
  </si>
  <si>
    <t>Values and Conversions</t>
  </si>
  <si>
    <t>m3 treated per year</t>
  </si>
  <si>
    <t>Value</t>
  </si>
  <si>
    <t>System Name</t>
  </si>
  <si>
    <t>Sludge Disposal</t>
  </si>
  <si>
    <t>Treatment Process Groups</t>
  </si>
  <si>
    <t>Facilities</t>
  </si>
  <si>
    <t>Treatment Processes</t>
  </si>
  <si>
    <t>Upgraded Treatment Process Names</t>
  </si>
  <si>
    <t>Legacy Treatment Process Names</t>
  </si>
  <si>
    <t>Belt filter press; wastewater treatment unit - US</t>
  </si>
  <si>
    <t>Aeration Tanks; wastewater treatment unit - US</t>
  </si>
  <si>
    <t>Aerobic Digester; wastewater treatment unit - US</t>
  </si>
  <si>
    <t>Primary Clarifier; wastewater treatment unit - US</t>
  </si>
  <si>
    <t>Sludge Thickener; wastewater treatment unit - US</t>
  </si>
  <si>
    <t>Wastewater collection; operation and infrastructure; m3 wastewater</t>
  </si>
  <si>
    <t>Lookup Key</t>
  </si>
  <si>
    <t>Base</t>
  </si>
  <si>
    <t>Scenario Number</t>
  </si>
  <si>
    <t>Scenario Name</t>
  </si>
  <si>
    <t>Base_Low</t>
  </si>
  <si>
    <t>Base_High</t>
  </si>
  <si>
    <t>Medium_Low</t>
  </si>
  <si>
    <t>Medium_Base</t>
  </si>
  <si>
    <t>Medium_High</t>
  </si>
  <si>
    <t>High_Low</t>
  </si>
  <si>
    <t>High_Base</t>
  </si>
  <si>
    <t>High_High</t>
  </si>
  <si>
    <t>Choose the Scenario to display results for:</t>
  </si>
  <si>
    <t>Unit Process</t>
  </si>
  <si>
    <t>Summary Table and Chart Showing Results for Anaerobic Digester (AD) Scenarios</t>
  </si>
  <si>
    <t>Maximum</t>
  </si>
  <si>
    <t>kg PM2.5 eq</t>
  </si>
  <si>
    <t>Cost ($)</t>
  </si>
  <si>
    <t>Influent Pump Station; wastewater treatment unit; at updated plant - US</t>
  </si>
  <si>
    <t>Control Building; at upgraded wastewater treatment plant - US</t>
  </si>
  <si>
    <t>Anaerobic Digestion; wastewater treatment unit; at updated plant - US</t>
  </si>
  <si>
    <t>Screening and Grit Removal - US</t>
  </si>
  <si>
    <t>Sludge Disposal; wastewater treatment unit - US</t>
  </si>
  <si>
    <t>polyvinylchloride, bulk polymerised, at plant - RER</t>
  </si>
  <si>
    <t>extrusion, plastic pipes - RER</t>
  </si>
  <si>
    <t>Polyaluminum Chloride - U.S.</t>
  </si>
  <si>
    <t>Diesel, dispensed at pump - US</t>
  </si>
  <si>
    <t>Truck transport, class 8, heavy heavy-duty (HHD), diesel, long-haul, load factor 0.5 - US</t>
  </si>
  <si>
    <t>Wastewater collection sewer pipe mix; infrastructure; m3 wastewater - U.S.</t>
  </si>
  <si>
    <t>Natural gas, burned in industrial furnace &gt;100 kW - US</t>
  </si>
  <si>
    <t>Drinking Water Treatment; Bath, NY - US</t>
  </si>
  <si>
    <t>(Leave Blank - Paste into this column)</t>
  </si>
  <si>
    <t>Unit Process Emissions</t>
  </si>
  <si>
    <t>avoided products</t>
  </si>
  <si>
    <t>chemicals</t>
  </si>
  <si>
    <t>Transport</t>
  </si>
  <si>
    <t>Diesel</t>
  </si>
  <si>
    <t>natural gas</t>
  </si>
  <si>
    <t>Waste Receiving and Holding; wastewater treatment unit; at updated plant - US</t>
  </si>
  <si>
    <t>ClearCove SCP; wastewater treatment unit; at updated plant - US</t>
  </si>
  <si>
    <t>extrusion, plastic pipes - US</t>
  </si>
  <si>
    <t>Truck transport, class 8, heavy heavy-duty (HHD), diesel, short-haul, load factor 0.5 - US</t>
  </si>
  <si>
    <t>steel, low-alloyed, at plant - US</t>
  </si>
  <si>
    <t>Diesel, combusted in industrial equipment - US</t>
  </si>
  <si>
    <t>Heat, natural gas at industrial furnace &gt;100 kW - US</t>
  </si>
  <si>
    <t>Heat, natural gas at industrial furnace &gt;100 kW, avoided - US</t>
  </si>
  <si>
    <t>electricity, Bath NY, at user, avoided - US</t>
  </si>
  <si>
    <t>potassium sulphate, as K2O, at regional storehouse, avoided - RER</t>
  </si>
  <si>
    <t>urea, as N, at regional storehouse, avoided - US</t>
  </si>
  <si>
    <t>single superphosphate, as P2O5, at regional storehouse, avoided - RER</t>
  </si>
  <si>
    <t>Emissions Scenario</t>
  </si>
  <si>
    <t>Low</t>
  </si>
  <si>
    <t>High</t>
  </si>
  <si>
    <t>Emissions Lookup</t>
  </si>
  <si>
    <t>iron (III) chloride, 40% in H2O, at plant - US</t>
  </si>
  <si>
    <t>Landfill</t>
  </si>
  <si>
    <t>Lookup for Upgraded System</t>
  </si>
  <si>
    <t>Lookup for Legacy System</t>
  </si>
  <si>
    <t>Minimum</t>
  </si>
  <si>
    <t>Low Emissions</t>
  </si>
  <si>
    <t>Base Emissions</t>
  </si>
  <si>
    <t>High Emissions</t>
  </si>
  <si>
    <t>Global Warming Potential -Relative Results</t>
  </si>
  <si>
    <t>Relative Results - Sensitivity Analysis</t>
  </si>
  <si>
    <t>Table 1. LCA Impact Scores by feedstock scenario and selected emissions scenario</t>
  </si>
  <si>
    <t>Table 2. Relative LCIA Scores by feedstock scenario and selected emissions scenario</t>
  </si>
  <si>
    <t>Values are pasted from 'AD Scenarios' Table 2, totals row.</t>
  </si>
  <si>
    <t>Eutrophication Potential -Relative Results</t>
  </si>
  <si>
    <t>PMFP -Relative Results</t>
  </si>
  <si>
    <t>Upgraded - Base_Low</t>
  </si>
  <si>
    <t>Upgraded - Base</t>
  </si>
  <si>
    <t>Upgraded - Base_High</t>
  </si>
  <si>
    <t>Upgraded - Medium_Low</t>
  </si>
  <si>
    <t>Upgraded - Medium_Base</t>
  </si>
  <si>
    <t>Upgraded - Medium_High</t>
  </si>
  <si>
    <t>Upgraded - High_Low</t>
  </si>
  <si>
    <t>Upgraded - High_Base</t>
  </si>
  <si>
    <t>Upgraded - High_High</t>
  </si>
  <si>
    <t>Cumulative Energy Demand - Relative Results</t>
  </si>
  <si>
    <t>Copy exported basic (unexpanded) results here</t>
  </si>
  <si>
    <t>Process Category Assignment Lookup</t>
  </si>
  <si>
    <t>* The Base scenario includes base feedstock and base AD operational parameters</t>
  </si>
  <si>
    <t>Feedstock-AD Scenario Displayed</t>
  </si>
  <si>
    <t>Emissions Scenario Displayed</t>
  </si>
  <si>
    <t>*Feedstock-AD scenario does not apply to legacy system</t>
  </si>
  <si>
    <t>Feedstock-AD Scenario Selection</t>
  </si>
  <si>
    <t>Feedstock-AD Scenario</t>
  </si>
  <si>
    <t>Anaerobic Digester</t>
  </si>
  <si>
    <t>Composting Facility</t>
  </si>
  <si>
    <t>None</t>
  </si>
  <si>
    <t>Total NPV</t>
  </si>
  <si>
    <t>Base Cost Assumptions - LCCA Summary Results for the Anaerobic Digester and Compost Scenarios</t>
  </si>
  <si>
    <t>Low Cost Assumptions - LCCA Summary Results for the Anaerobic Digester and Compost Scenarios</t>
  </si>
  <si>
    <t>High Cost Assumptions - LCCA Summary Results for the Anaerobic Digester and Compost Scenarios</t>
  </si>
  <si>
    <t>Low Cost</t>
  </si>
  <si>
    <t>Base Cost</t>
  </si>
  <si>
    <t>High Cost</t>
  </si>
  <si>
    <t>Base Feed-Low AD</t>
  </si>
  <si>
    <t>Base Feed-Base AD</t>
  </si>
  <si>
    <t>Base Feed-High AD</t>
  </si>
  <si>
    <t>Medium Feed-Low AD</t>
  </si>
  <si>
    <t>Medium Feed-Base AD</t>
  </si>
  <si>
    <t>Medium Feed-High AD</t>
  </si>
  <si>
    <t>High Feed-Low AD</t>
  </si>
  <si>
    <t>High Feed-Base AD</t>
  </si>
  <si>
    <t>High Feed-High AD</t>
  </si>
  <si>
    <t>Cost ($/m3)</t>
  </si>
  <si>
    <t>Annual Wastewater Treated</t>
  </si>
  <si>
    <t>m3/yr</t>
  </si>
  <si>
    <t>LCCA</t>
  </si>
  <si>
    <t>Annual Results</t>
  </si>
  <si>
    <t>EOL Emissions</t>
  </si>
  <si>
    <t>AD Scenarios</t>
  </si>
  <si>
    <t>ADCharts</t>
  </si>
  <si>
    <t>OpenLCAbasic</t>
  </si>
  <si>
    <t>OpenLCAdetail</t>
  </si>
  <si>
    <t>Lookups</t>
  </si>
  <si>
    <t>Table Lookup</t>
  </si>
  <si>
    <r>
      <t>(</t>
    </r>
    <r>
      <rPr>
        <i/>
        <sz val="11"/>
        <color theme="1"/>
        <rFont val="Calibri"/>
        <family val="2"/>
        <scheme val="minor"/>
      </rPr>
      <t>Hidden</t>
    </r>
    <r>
      <rPr>
        <sz val="11"/>
        <color theme="1"/>
        <rFont val="Calibri"/>
        <family val="2"/>
        <scheme val="minor"/>
      </rPr>
      <t>)</t>
    </r>
    <r>
      <rPr>
        <sz val="11"/>
        <color theme="1"/>
        <rFont val="Calibri"/>
        <family val="2"/>
        <scheme val="minor"/>
      </rPr>
      <t xml:space="preserve"> containing lookup lists used throughout the workbook</t>
    </r>
  </si>
  <si>
    <r>
      <t>(</t>
    </r>
    <r>
      <rPr>
        <i/>
        <sz val="11"/>
        <color theme="1"/>
        <rFont val="Calibri"/>
        <family val="2"/>
        <scheme val="minor"/>
      </rPr>
      <t>Hidden</t>
    </r>
    <r>
      <rPr>
        <sz val="11"/>
        <color theme="1"/>
        <rFont val="Calibri"/>
        <family val="2"/>
        <scheme val="minor"/>
      </rPr>
      <t>) D</t>
    </r>
    <r>
      <rPr>
        <sz val="11"/>
        <color theme="1"/>
        <rFont val="Calibri"/>
        <family val="2"/>
        <scheme val="minor"/>
      </rPr>
      <t>etailed exported LCIA results</t>
    </r>
  </si>
  <si>
    <t>Global Warming Potential Drivers Chart</t>
  </si>
  <si>
    <t>Results are only available in this format for the GWP, EP, and CED impact categories and the Base-Base scenario</t>
  </si>
  <si>
    <t xml:space="preserve"> </t>
  </si>
  <si>
    <t>Values are copied from the LCCA tab of the 'Bath LCI_Upgraded' Workbook</t>
  </si>
  <si>
    <t>LCCA Sensitivity Summary Figure</t>
  </si>
  <si>
    <t>Annual LCIA Scores - Report Figure</t>
  </si>
  <si>
    <t>Eutrophication potential (kg N eq) treatment stage contribution analysis results</t>
  </si>
  <si>
    <t>Global warming potential (kg CO2 eq) treatment stage contribution analysis results</t>
  </si>
  <si>
    <t>Cumulative energy demand (MJ) treatment stage contribution analysis results</t>
  </si>
  <si>
    <t>Acidification potential (kg SO2 eq) treatment stage contribution analysis results</t>
  </si>
  <si>
    <t>Smog formation potential (kg O3 eq) treatment stage contribution analysis results</t>
  </si>
  <si>
    <t>Fossil depletion (kg oil eq) treatment stage contribution analysis results</t>
  </si>
  <si>
    <t>Process Contribution</t>
  </si>
  <si>
    <t>Figure Showing the effects of Landfill and Compost Low, Base, and High emission scenarios on GWP results</t>
  </si>
  <si>
    <r>
      <t>(</t>
    </r>
    <r>
      <rPr>
        <i/>
        <sz val="11"/>
        <color theme="1"/>
        <rFont val="Calibri"/>
        <family val="2"/>
        <scheme val="minor"/>
      </rPr>
      <t>Hidden</t>
    </r>
    <r>
      <rPr>
        <sz val="11"/>
        <color theme="1"/>
        <rFont val="Calibri"/>
        <family val="2"/>
        <scheme val="minor"/>
      </rPr>
      <t>)</t>
    </r>
    <r>
      <rPr>
        <sz val="11"/>
        <color theme="1"/>
        <rFont val="Calibri"/>
        <family val="2"/>
        <scheme val="minor"/>
      </rPr>
      <t xml:space="preserve"> Basic exported LCIA results</t>
    </r>
  </si>
  <si>
    <t>Summary figure showing the effect of Feedstock-AD Operational Scenarios on all LCIA categories. Allows the user to toggle the assumed EOL emissions scenario</t>
  </si>
  <si>
    <t>Summary table including the percent change in impact scores between the upgraded and legacy system, relative to legacy</t>
  </si>
  <si>
    <t>Worksheet showing LCCA results in both table and figure format for all Feedstock-AD Operational scenarios according to the low, base, and high cost scenarios</t>
  </si>
  <si>
    <t>Summary table presenting LCIA results on an annual basis</t>
  </si>
  <si>
    <t>Figure isolating the effects of the EOL emission scenario on relative GWP impacts</t>
  </si>
  <si>
    <t>SELECT DESIRED EOL EMISSIONS SCENARIO BEFORE INTERPRETING RESULTS</t>
  </si>
  <si>
    <r>
      <rPr>
        <b/>
        <sz val="12"/>
        <color theme="1"/>
        <rFont val="Calibri"/>
        <family val="2"/>
        <scheme val="minor"/>
      </rPr>
      <t xml:space="preserve">Scenario Name: </t>
    </r>
    <r>
      <rPr>
        <sz val="12"/>
        <color theme="1"/>
        <rFont val="Calibri"/>
        <family val="2"/>
        <scheme val="minor"/>
      </rPr>
      <t>Feedstock-AD Scenario</t>
    </r>
  </si>
  <si>
    <t>Biosolids composting; windrow composting; wastewater treatment unit; at updated plant - US</t>
  </si>
  <si>
    <t>Describes the model parameters used in the OpenLCA Model</t>
  </si>
  <si>
    <t>Base_Base</t>
  </si>
  <si>
    <t>Parameter Number</t>
  </si>
  <si>
    <r>
      <t xml:space="preserve">Feedstock-AD Performance Scenarios: </t>
    </r>
    <r>
      <rPr>
        <b/>
        <sz val="12"/>
        <color rgb="FFFF0000"/>
        <rFont val="Times New Roman"/>
        <family val="1"/>
      </rPr>
      <t>scenario_select</t>
    </r>
  </si>
  <si>
    <r>
      <t xml:space="preserve">Compost Scenarios: </t>
    </r>
    <r>
      <rPr>
        <b/>
        <sz val="12"/>
        <color rgb="FFFF0000"/>
        <rFont val="Times New Roman"/>
        <family val="1"/>
      </rPr>
      <t>compost_scenario</t>
    </r>
  </si>
  <si>
    <t>Full Name</t>
  </si>
  <si>
    <t>W_B_L_B</t>
  </si>
  <si>
    <t>W_B_B_B</t>
  </si>
  <si>
    <t>W_B_H_B</t>
  </si>
  <si>
    <t>W_M_L_B</t>
  </si>
  <si>
    <t>W_M_B_B</t>
  </si>
  <si>
    <t>W_M_H_B</t>
  </si>
  <si>
    <t>W_H_L_B</t>
  </si>
  <si>
    <t>W_H_B_B</t>
  </si>
  <si>
    <t>W_H_H_B</t>
  </si>
  <si>
    <t>W_B_L_L</t>
  </si>
  <si>
    <t>W_B_B_L</t>
  </si>
  <si>
    <t>W_B_H_L</t>
  </si>
  <si>
    <t>W_M_L_L</t>
  </si>
  <si>
    <t>W_M_B_L</t>
  </si>
  <si>
    <t>W_M_H_L</t>
  </si>
  <si>
    <t>W_H_L_L</t>
  </si>
  <si>
    <t>W_H_B_L</t>
  </si>
  <si>
    <t>W_H_H_L</t>
  </si>
  <si>
    <t>W_B_L_H</t>
  </si>
  <si>
    <t>W_B_B_H</t>
  </si>
  <si>
    <t>W_B_H_H</t>
  </si>
  <si>
    <t>W_M_L_H</t>
  </si>
  <si>
    <t>W_M_B_H</t>
  </si>
  <si>
    <t>W_M_H_H</t>
  </si>
  <si>
    <t>W_H_L_H</t>
  </si>
  <si>
    <t>W_H_B_H</t>
  </si>
  <si>
    <t>W_H_H_H</t>
  </si>
  <si>
    <t>Wo_B_L_B</t>
  </si>
  <si>
    <t>Wo_B_B_B</t>
  </si>
  <si>
    <t>Wo_B_H_B</t>
  </si>
  <si>
    <t>Wo_M_L_B</t>
  </si>
  <si>
    <t>Wo_M_B_B</t>
  </si>
  <si>
    <t>Wo_M_H_B</t>
  </si>
  <si>
    <t>Wo_H_L_B</t>
  </si>
  <si>
    <t>Wo_H_B_B</t>
  </si>
  <si>
    <t>Wo_H_H_B</t>
  </si>
  <si>
    <t>Wo_B_L_L</t>
  </si>
  <si>
    <t>Wo_B_B_L</t>
  </si>
  <si>
    <t>Wo_B_H_L</t>
  </si>
  <si>
    <t>Wo_M_L_L</t>
  </si>
  <si>
    <t>Wo_M_B_L</t>
  </si>
  <si>
    <t>Wo_M_H_L</t>
  </si>
  <si>
    <t>Wo_H_L_L</t>
  </si>
  <si>
    <t>Wo_H_B_L</t>
  </si>
  <si>
    <t>Wo_H_H_L</t>
  </si>
  <si>
    <t>Wo_B_L_H</t>
  </si>
  <si>
    <t>Wo_B_B_H</t>
  </si>
  <si>
    <t>Wo_B_H_H</t>
  </si>
  <si>
    <t>Wo_M_L_H</t>
  </si>
  <si>
    <t>Wo_M_B_H</t>
  </si>
  <si>
    <t>Wo_M_H_H</t>
  </si>
  <si>
    <t>Wo_H_L_H</t>
  </si>
  <si>
    <t>Wo_H_B_H</t>
  </si>
  <si>
    <t>Wo_H_H_H</t>
  </si>
  <si>
    <t>With_Base_Base_Base</t>
  </si>
  <si>
    <t>Without_Base_Base_Base</t>
  </si>
  <si>
    <t>With_Base_Low_Base</t>
  </si>
  <si>
    <t>With_Base_Low_Low</t>
  </si>
  <si>
    <t>With_Base_Base_Low</t>
  </si>
  <si>
    <t>Without_Base_Low_Base</t>
  </si>
  <si>
    <t>Without_Base_Low_Low</t>
  </si>
  <si>
    <t>Without_Base_Base_Low</t>
  </si>
  <si>
    <t>With_Medium_Low_Base</t>
  </si>
  <si>
    <t>With_Medium_Base_Base</t>
  </si>
  <si>
    <t>With_Medium_Low_Low</t>
  </si>
  <si>
    <t>With_Medium_Base_Low</t>
  </si>
  <si>
    <t>Without_Medium_Low_Base</t>
  </si>
  <si>
    <t>Without_Medium_Base_Base</t>
  </si>
  <si>
    <t>Without_Medium_Low_Low</t>
  </si>
  <si>
    <t>Without_Medium_Base_Low</t>
  </si>
  <si>
    <t>With_Base_High_Base</t>
  </si>
  <si>
    <t>With_Medium_High_Base</t>
  </si>
  <si>
    <t>With_High_Low_Base</t>
  </si>
  <si>
    <t>With_High_Base_Base</t>
  </si>
  <si>
    <t>With_High_High_Base</t>
  </si>
  <si>
    <t>With_Base_High_Low</t>
  </si>
  <si>
    <t>With_Medium_High_Low</t>
  </si>
  <si>
    <t>With_High_Low_Low</t>
  </si>
  <si>
    <t>With_High_Base_Low</t>
  </si>
  <si>
    <t>With_High_High_Low</t>
  </si>
  <si>
    <t>With_Base_Low_High</t>
  </si>
  <si>
    <t>With_Base_Base_High</t>
  </si>
  <si>
    <t>With_Base_High_High</t>
  </si>
  <si>
    <t>With_Medium_Low_High</t>
  </si>
  <si>
    <t>With_Medium_Base_High</t>
  </si>
  <si>
    <t>With_Medium_High_High</t>
  </si>
  <si>
    <t>With_High_Low_High</t>
  </si>
  <si>
    <t>With_High_Base_High</t>
  </si>
  <si>
    <t>With_High_High_High</t>
  </si>
  <si>
    <t>Without_Base_High_Base</t>
  </si>
  <si>
    <t>Without_Medium_High_Base</t>
  </si>
  <si>
    <t>Without_High_Low_Base</t>
  </si>
  <si>
    <t>Without_High_Base_Base</t>
  </si>
  <si>
    <t>Without_High_High_Base</t>
  </si>
  <si>
    <t>Without_Base_High_Low</t>
  </si>
  <si>
    <t>Without_Medium_High_Low</t>
  </si>
  <si>
    <t>Without_High_Low_Low</t>
  </si>
  <si>
    <t>Without_High_Base_Low</t>
  </si>
  <si>
    <t>Without_High_High_Low</t>
  </si>
  <si>
    <t>Without_Base_Low_High</t>
  </si>
  <si>
    <t>Without_Base_Base_High</t>
  </si>
  <si>
    <t>Without_Base_High_High</t>
  </si>
  <si>
    <t>Without_Medium_Low_High</t>
  </si>
  <si>
    <t>Without_Medium_Base_High</t>
  </si>
  <si>
    <t>Without_Medium_High_High</t>
  </si>
  <si>
    <t>Without_High_Low_High</t>
  </si>
  <si>
    <t>Without_High_Base_High</t>
  </si>
  <si>
    <t>Without_High_High_High</t>
  </si>
  <si>
    <t>With = includes compost bulking material in calculation</t>
  </si>
  <si>
    <t>Without = excludes compost bulking material from calculation</t>
  </si>
  <si>
    <t>Key to Scenario Names:</t>
  </si>
  <si>
    <t>First_Second_Third</t>
  </si>
  <si>
    <r>
      <rPr>
        <u/>
        <sz val="12"/>
        <color theme="1"/>
        <rFont val="Times New Roman"/>
        <family val="1"/>
      </rPr>
      <t>First</t>
    </r>
    <r>
      <rPr>
        <sz val="12"/>
        <color theme="1"/>
        <rFont val="Times New Roman"/>
        <family val="2"/>
      </rPr>
      <t xml:space="preserve"> refers to the feedstock scenario</t>
    </r>
  </si>
  <si>
    <r>
      <rPr>
        <u/>
        <sz val="12"/>
        <color theme="1"/>
        <rFont val="Times New Roman"/>
        <family val="1"/>
      </rPr>
      <t>Second</t>
    </r>
    <r>
      <rPr>
        <sz val="12"/>
        <color theme="1"/>
        <rFont val="Times New Roman"/>
        <family val="2"/>
      </rPr>
      <t xml:space="preserve"> refers to the anaerobic digester performance scenario</t>
    </r>
  </si>
  <si>
    <r>
      <rPr>
        <u/>
        <sz val="12"/>
        <color theme="1"/>
        <rFont val="Times New Roman"/>
        <family val="1"/>
      </rPr>
      <t>Third</t>
    </r>
    <r>
      <rPr>
        <sz val="12"/>
        <color theme="1"/>
        <rFont val="Times New Roman"/>
        <family val="2"/>
      </rPr>
      <t xml:space="preserve"> refers to the composting emissions scenario</t>
    </r>
  </si>
  <si>
    <t>e.g. Base_Low_High = Base Feedstock_Low AD_High Compost emission scenario</t>
  </si>
  <si>
    <t>Unit Processes using this parameter</t>
  </si>
  <si>
    <t>Upgraded Plant</t>
  </si>
  <si>
    <t>Legacy Plant</t>
  </si>
  <si>
    <t>Bath Landfill</t>
  </si>
  <si>
    <r>
      <t xml:space="preserve">Emission Scenarios for Legacy Plant: </t>
    </r>
    <r>
      <rPr>
        <sz val="12"/>
        <color rgb="FFFF0000"/>
        <rFont val="Times New Roman"/>
        <family val="1"/>
      </rPr>
      <t>legacy_emissions</t>
    </r>
  </si>
  <si>
    <t>Medium</t>
  </si>
  <si>
    <t>Used to select LCI values only dependent on initial feedstock quantity and not AD or compost emission performance</t>
  </si>
  <si>
    <t>Blend Tank</t>
  </si>
  <si>
    <t>Anox/Swing Tank</t>
  </si>
  <si>
    <t>Waste Receiving</t>
  </si>
  <si>
    <t>Aeration Basins</t>
  </si>
  <si>
    <t>Belt Filter Press</t>
  </si>
  <si>
    <r>
      <t xml:space="preserve">Treatment System Selection: </t>
    </r>
    <r>
      <rPr>
        <b/>
        <sz val="12"/>
        <color rgb="FFFF0000"/>
        <rFont val="Times New Roman"/>
        <family val="1"/>
      </rPr>
      <t>level_select</t>
    </r>
  </si>
  <si>
    <t>Used to select parameters that vary between treatment systems</t>
  </si>
  <si>
    <t>First_Second</t>
  </si>
  <si>
    <t>e.g. Base_Low = Base Feedstock and Low Anaerobic Digester performance scenario</t>
  </si>
  <si>
    <t>OpenLCA Model Parameter Key</t>
  </si>
  <si>
    <t>Scenario Run 
(Feedstock_AD Performance, upgraded system)</t>
  </si>
  <si>
    <t>Landfill (legacy)
Compost Amendment Scenario (upgraded)</t>
  </si>
  <si>
    <t>Compost and Landfill Emissions Scenario</t>
  </si>
  <si>
    <t>Bath Landfill_Low</t>
  </si>
  <si>
    <t>Bath Landfill_Base</t>
  </si>
  <si>
    <t>Bath Landfill_High</t>
  </si>
  <si>
    <t>National Landfill_Low</t>
  </si>
  <si>
    <t>National Landfill_Base</t>
  </si>
  <si>
    <t>National Landfill_High</t>
  </si>
  <si>
    <t>Selects low, base, or high N2O, CH4, and avoided electricity emission factor to match the low,base, and high composting emission scenario for the legacy landfill scenario.</t>
  </si>
  <si>
    <t>Amendment Scenario</t>
  </si>
  <si>
    <t>Landfill and Compost Emissions Scenario Selection</t>
  </si>
  <si>
    <t>Without Amendment</t>
  </si>
  <si>
    <t>Base_With Amendment</t>
  </si>
  <si>
    <t>____Process</t>
  </si>
  <si>
    <t>Legacy Landfill Selection</t>
  </si>
  <si>
    <t>Landfill Selector</t>
  </si>
  <si>
    <t>Landfill National</t>
  </si>
  <si>
    <t>Composting Method Selection</t>
  </si>
  <si>
    <t>Windrow</t>
  </si>
  <si>
    <t>Aerated Static Pile</t>
  </si>
  <si>
    <t>Composting Method</t>
  </si>
  <si>
    <t>X</t>
  </si>
  <si>
    <t>ASP</t>
  </si>
  <si>
    <t>Biosolids composting; aerated static pile; wastewater treatment unit; at updated plant - US</t>
  </si>
  <si>
    <t>Compost Method</t>
  </si>
  <si>
    <t>Emission Scenario</t>
  </si>
  <si>
    <t>Compost System</t>
  </si>
  <si>
    <t>Amendment</t>
  </si>
  <si>
    <t>Chart Scenario 1</t>
  </si>
  <si>
    <t>With Amendment</t>
  </si>
  <si>
    <t>Percent Change in Annual LCIA Scores Relative to the Legacy System - Report Figure</t>
  </si>
  <si>
    <t>Upgraded, Base-Low</t>
  </si>
  <si>
    <t>Upgraded, Base-High</t>
  </si>
  <si>
    <t>Upgraded, Medium-Low</t>
  </si>
  <si>
    <t>Upgraded, Medium-Base</t>
  </si>
  <si>
    <t>Upgraded, Medium-High</t>
  </si>
  <si>
    <t>Upgraded, High-Low</t>
  </si>
  <si>
    <t>Upgraded, High-Base</t>
  </si>
  <si>
    <t>Upgraded, High-High</t>
  </si>
  <si>
    <t>Upgraded, Base</t>
  </si>
  <si>
    <t>Treatment System Option</t>
  </si>
  <si>
    <t>National Avg. Landfill</t>
  </si>
  <si>
    <t>Scenario 1</t>
  </si>
  <si>
    <t>Scenario 2</t>
  </si>
  <si>
    <t>Scenario 3</t>
  </si>
  <si>
    <t>Scenario 4</t>
  </si>
  <si>
    <t>Scenario 5</t>
  </si>
  <si>
    <t>Scenario 6</t>
  </si>
  <si>
    <t>Treatment Process</t>
  </si>
  <si>
    <t>Global Warming Potential (GWP) - kg CO2 eq</t>
  </si>
  <si>
    <t>Percent Change from Base</t>
  </si>
  <si>
    <t>Eutrophication Potential (EP) - kg N eq</t>
  </si>
  <si>
    <t>Cumulative Energy Demand (CED) - MJ</t>
  </si>
  <si>
    <t>Select Impact Category 1</t>
  </si>
  <si>
    <t>Select Impact Category 2</t>
  </si>
  <si>
    <t>Select Impact Category 3</t>
  </si>
  <si>
    <t>………………………………………………………………………………………………………………..…..Impact Score per unit……………………………………………………………………………………………………………………</t>
  </si>
  <si>
    <t>Net System Impact Score</t>
  </si>
  <si>
    <t>-</t>
  </si>
  <si>
    <t>EOL Option</t>
  </si>
  <si>
    <t>Mitigation Options and the Effect on Impacts per Cubic Meter of Wastewater</t>
  </si>
  <si>
    <t>This tab allows the user to select a variety of interventions to see how they affect treatment system impact. Three impact categories can be viewed simultaneously. The user selects treatment plant options in the light green cells (columns I through N).</t>
  </si>
  <si>
    <t>Cost per gallon treated</t>
  </si>
  <si>
    <t>No Payback</t>
  </si>
  <si>
    <t>AD and Composting Payback Period (years)</t>
  </si>
  <si>
    <t>Life Cycle Cost Assessment Summary Figure, showing results for each feedstock-AD scenario by cost scenario (million $s)</t>
  </si>
  <si>
    <t>Mitigation</t>
  </si>
  <si>
    <t>Allows the user to select parameter combinations and display the resulting effect on treatment plant impacts for up to 3 impact categories</t>
  </si>
  <si>
    <t>WU</t>
  </si>
  <si>
    <t>Water use (m3) treatment stage contribution analysis results</t>
  </si>
  <si>
    <t>Baseline Scenario (specific to this figure)</t>
  </si>
  <si>
    <t>n.a. (legacy)</t>
  </si>
  <si>
    <t>n.a. (upgraded)</t>
  </si>
  <si>
    <r>
      <t>Amendment Scenario</t>
    </r>
    <r>
      <rPr>
        <b/>
        <i/>
        <vertAlign val="superscript"/>
        <sz val="12"/>
        <rFont val="Calibri"/>
        <family val="2"/>
        <scheme val="minor"/>
      </rPr>
      <t>2</t>
    </r>
  </si>
  <si>
    <r>
      <t>Legacy Landfill Selection</t>
    </r>
    <r>
      <rPr>
        <b/>
        <i/>
        <vertAlign val="superscript"/>
        <sz val="12"/>
        <rFont val="Calibri"/>
        <family val="2"/>
        <scheme val="minor"/>
      </rPr>
      <t>3</t>
    </r>
  </si>
  <si>
    <r>
      <t>Composting Method Selection</t>
    </r>
    <r>
      <rPr>
        <b/>
        <i/>
        <vertAlign val="superscript"/>
        <sz val="12"/>
        <rFont val="Calibri"/>
        <family val="2"/>
        <scheme val="minor"/>
      </rPr>
      <t>2</t>
    </r>
  </si>
  <si>
    <r>
      <t>Feedstock-AD Scenario Selection</t>
    </r>
    <r>
      <rPr>
        <b/>
        <i/>
        <vertAlign val="superscript"/>
        <sz val="12"/>
        <color rgb="FFFF0000"/>
        <rFont val="Calibri"/>
        <family val="2"/>
        <scheme val="minor"/>
      </rPr>
      <t>1</t>
    </r>
  </si>
  <si>
    <r>
      <rPr>
        <b/>
        <i/>
        <vertAlign val="superscript"/>
        <sz val="12"/>
        <color rgb="FFFF0000"/>
        <rFont val="Calibri"/>
        <family val="2"/>
        <scheme val="minor"/>
      </rPr>
      <t>1</t>
    </r>
    <r>
      <rPr>
        <b/>
        <i/>
        <sz val="12"/>
        <color rgb="FFFF0000"/>
        <rFont val="Calibri"/>
        <family val="2"/>
        <scheme val="minor"/>
      </rPr>
      <t>Must select 'Base' for Legacy System.</t>
    </r>
  </si>
  <si>
    <r>
      <rPr>
        <i/>
        <vertAlign val="superscript"/>
        <sz val="12"/>
        <rFont val="Calibri"/>
        <family val="2"/>
        <scheme val="minor"/>
      </rPr>
      <t>2</t>
    </r>
    <r>
      <rPr>
        <i/>
        <sz val="12"/>
        <rFont val="Calibri"/>
        <family val="2"/>
        <scheme val="minor"/>
      </rPr>
      <t xml:space="preserve"> Only applies to upgraded treatment system, selection will not affect legacy system.</t>
    </r>
  </si>
  <si>
    <r>
      <rPr>
        <i/>
        <vertAlign val="superscript"/>
        <sz val="12"/>
        <rFont val="Calibri"/>
        <family val="2"/>
        <scheme val="minor"/>
      </rPr>
      <t>3</t>
    </r>
    <r>
      <rPr>
        <i/>
        <sz val="12"/>
        <rFont val="Calibri"/>
        <family val="2"/>
        <scheme val="minor"/>
      </rPr>
      <t xml:space="preserve"> Only applies to legacy treatment system, selection will not affect upgraded treatment plant</t>
    </r>
  </si>
  <si>
    <t>SELECT EOL EMISSION SCENARIO</t>
  </si>
  <si>
    <t>FIGURE BELOW</t>
  </si>
  <si>
    <t>Effect of End of Life Amendment Assmption on Global Warming Potential Impact</t>
  </si>
  <si>
    <t>Compost Amendment</t>
  </si>
  <si>
    <t>Water Use</t>
  </si>
  <si>
    <t>Water Use - Relative Results</t>
  </si>
  <si>
    <t>Figures showing the effect of feedstock, AD operational, and EOL emission scenarios on EP, CED, GWP, PMFP, and WU</t>
  </si>
  <si>
    <t>Effect of End-of-Life Scenarios on Global Warming Potential</t>
  </si>
  <si>
    <t>OpenLCA Parameters</t>
  </si>
  <si>
    <t>Lists OpenLCA parameter values used to generate results</t>
  </si>
  <si>
    <t>Readme</t>
  </si>
  <si>
    <t>Introduction to Workbook Contents</t>
  </si>
  <si>
    <t>Particulate matter formation potential (kg PM2.5 eq) treatment stage contribution analysis results</t>
  </si>
  <si>
    <t>Choose the Scenario to display on GWP sheet</t>
  </si>
  <si>
    <t>LCIA Impact Results Presented Annually</t>
  </si>
  <si>
    <r>
      <rPr>
        <b/>
        <sz val="12"/>
        <color theme="1"/>
        <rFont val="Calibri"/>
        <family val="2"/>
        <scheme val="minor"/>
      </rPr>
      <t xml:space="preserve">System Level Impact Results, values </t>
    </r>
    <r>
      <rPr>
        <i/>
        <sz val="12"/>
        <color theme="1"/>
        <rFont val="Calibri"/>
        <family val="2"/>
        <scheme val="minor"/>
      </rPr>
      <t>copied from AD Scenarios Tab</t>
    </r>
  </si>
  <si>
    <t>kg CO2 eq/year</t>
  </si>
  <si>
    <t>kg N eq/year</t>
  </si>
  <si>
    <t>kg PM2.5 eq/year</t>
  </si>
  <si>
    <t>kg O3 eq/year</t>
  </si>
  <si>
    <t>kg SO2 eq/year</t>
  </si>
  <si>
    <t>m3 H2O/year</t>
  </si>
  <si>
    <t>kg oil eq/year</t>
  </si>
  <si>
    <t>MJ/year</t>
  </si>
  <si>
    <t xml:space="preserve">Contacts: </t>
  </si>
  <si>
    <t>Ben Morelli (ERG), ben.morelli@erg.com, 781-674-7223</t>
  </si>
  <si>
    <t>Sarah Cashman (ERG), sarah.cashman@erg.com, 781-674-7233</t>
  </si>
  <si>
    <r>
      <t xml:space="preserve">Feedstock Scenario: </t>
    </r>
    <r>
      <rPr>
        <b/>
        <sz val="12"/>
        <color rgb="FFFF0000"/>
        <rFont val="Times New Roman"/>
        <family val="1"/>
      </rPr>
      <t>Scenario</t>
    </r>
  </si>
  <si>
    <t>Percent of Net</t>
  </si>
  <si>
    <t>Percent of Total Positive Impact (exclude negative impact scores)</t>
  </si>
  <si>
    <t>f</t>
  </si>
  <si>
    <t>Windrow + Land Apply</t>
  </si>
  <si>
    <t>ASP + Land Apply</t>
  </si>
  <si>
    <t>Net Impact</t>
  </si>
  <si>
    <t>Postive Impact</t>
  </si>
  <si>
    <t>Replacement Labor ($/yr)</t>
  </si>
  <si>
    <t>Net EOL Emissions</t>
  </si>
  <si>
    <t>not shown in figure</t>
  </si>
  <si>
    <t>Version 3, 5/30/2017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</si>
</sst>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0.000"/>
    <numFmt numFmtId="165" formatCode="0.0000"/>
    <numFmt numFmtId="166" formatCode="0.0E+00"/>
    <numFmt numFmtId="167" formatCode="_(* #,##0_);_(* \(#,##0\);_(* &quot;-&quot;??_);_(@_)"/>
    <numFmt numFmtId="168" formatCode="0.00000"/>
    <numFmt numFmtId="169" formatCode="0.00000000"/>
    <numFmt numFmtId="170" formatCode="0.000000000"/>
    <numFmt numFmtId="171" formatCode="0.0"/>
    <numFmt numFmtId="172" formatCode="_(* #,##0.0000_);_(* \(#,##0.0000\);_(* &quot;-&quot;??_);_(@_)"/>
    <numFmt numFmtId="173" formatCode="0.00E+0"/>
    <numFmt numFmtId="174" formatCode="0;0;&quot;-&quot;"/>
    <numFmt numFmtId="175" formatCode="00.0"/>
    <numFmt numFmtId="176" formatCode="0.00000000000"/>
    <numFmt numFmtId="177" formatCode="0.0000000000"/>
  </numFmts>
  <fonts count="50" x14ac:knownFonts="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4"/>
      <color theme="1"/>
      <name val="Calibri"/>
      <family val="2"/>
      <scheme val="minor"/>
    </font>
    <font>
      <i/>
      <sz val="11"/>
      <color theme="1"/>
      <name val="Calibri"/>
      <family val="2"/>
      <scheme val="minor"/>
    </font>
    <font>
      <b/>
      <i/>
      <sz val="11"/>
      <color theme="1"/>
      <name val="Calibri"/>
      <family val="2"/>
      <scheme val="minor"/>
    </font>
    <font>
      <b/>
      <i/>
      <sz val="12"/>
      <color theme="1"/>
      <name val="Calibri"/>
      <family val="2"/>
      <scheme val="minor"/>
    </font>
    <font>
      <sz val="12"/>
      <color theme="1"/>
      <name val="Times New Roman"/>
      <family val="2"/>
    </font>
    <font>
      <b/>
      <sz val="12"/>
      <color theme="1"/>
      <name val="Calibri"/>
      <family val="2"/>
      <scheme val="minor"/>
    </font>
    <font>
      <sz val="12"/>
      <color theme="1"/>
      <name val="Calibri"/>
      <family val="2"/>
      <scheme val="minor"/>
    </font>
    <font>
      <b/>
      <sz val="12"/>
      <color theme="0"/>
      <name val="Calibri"/>
      <family val="2"/>
      <scheme val="minor"/>
    </font>
    <font>
      <sz val="12"/>
      <color rgb="FFFF0000"/>
      <name val="Calibri"/>
      <family val="2"/>
      <scheme val="minor"/>
    </font>
    <font>
      <i/>
      <sz val="12"/>
      <color theme="1"/>
      <name val="Calibri"/>
      <family val="2"/>
      <scheme val="minor"/>
    </font>
    <font>
      <sz val="12"/>
      <color rgb="FF000000"/>
      <name val="Calibri"/>
      <family val="2"/>
    </font>
    <font>
      <b/>
      <sz val="16"/>
      <color theme="1"/>
      <name val="Calibri"/>
      <family val="2"/>
      <scheme val="minor"/>
    </font>
    <font>
      <i/>
      <sz val="12"/>
      <name val="Calibri"/>
      <family val="2"/>
      <scheme val="minor"/>
    </font>
    <font>
      <i/>
      <sz val="12"/>
      <color rgb="FFFF0000"/>
      <name val="Calibri"/>
      <family val="2"/>
      <scheme val="minor"/>
    </font>
    <font>
      <b/>
      <sz val="12"/>
      <color rgb="FFFF0000"/>
      <name val="Calibri"/>
      <family val="2"/>
      <scheme val="minor"/>
    </font>
    <font>
      <sz val="12"/>
      <color theme="0"/>
      <name val="Calibri"/>
      <family val="2"/>
      <scheme val="minor"/>
    </font>
    <font>
      <sz val="12"/>
      <name val="Calibri"/>
      <family val="2"/>
      <scheme val="minor"/>
    </font>
    <font>
      <b/>
      <i/>
      <sz val="12"/>
      <name val="Calibri"/>
      <family val="2"/>
      <scheme val="minor"/>
    </font>
    <font>
      <sz val="12"/>
      <color rgb="FFFF0000"/>
      <name val="Times New Roman"/>
      <family val="2"/>
    </font>
    <font>
      <sz val="12"/>
      <color theme="1"/>
      <name val="Times New Roman"/>
      <family val="1"/>
    </font>
    <font>
      <b/>
      <sz val="12"/>
      <color rgb="FFFF0000"/>
      <name val="Times New Roman"/>
      <family val="1"/>
    </font>
    <font>
      <b/>
      <sz val="12"/>
      <color theme="0"/>
      <name val="Times New Roman"/>
      <family val="1"/>
    </font>
    <font>
      <i/>
      <sz val="10"/>
      <name val="Calibri"/>
      <family val="2"/>
      <scheme val="minor"/>
    </font>
    <font>
      <b/>
      <i/>
      <sz val="12"/>
      <color rgb="FFFF0000"/>
      <name val="Calibri"/>
      <family val="2"/>
      <scheme val="minor"/>
    </font>
    <font>
      <i/>
      <sz val="10"/>
      <color theme="1"/>
      <name val="Calibri"/>
      <family val="2"/>
      <scheme val="minor"/>
    </font>
    <font>
      <b/>
      <sz val="11"/>
      <color theme="1"/>
      <name val="Calibri"/>
      <family val="2"/>
      <scheme val="minor"/>
    </font>
    <font>
      <b/>
      <u/>
      <sz val="11"/>
      <color theme="1"/>
      <name val="Calibri"/>
      <family val="2"/>
      <scheme val="minor"/>
    </font>
    <font>
      <i/>
      <sz val="10"/>
      <color rgb="FFFF0000"/>
      <name val="Calibri"/>
      <family val="2"/>
      <scheme val="minor"/>
    </font>
    <font>
      <sz val="8"/>
      <color theme="1"/>
      <name val="Calibri"/>
      <family val="2"/>
      <scheme val="minor"/>
    </font>
    <font>
      <b/>
      <sz val="12"/>
      <color theme="1"/>
      <name val="Times New Roman"/>
      <family val="1"/>
    </font>
    <font>
      <i/>
      <sz val="12"/>
      <color theme="1"/>
      <name val="Times New Roman"/>
      <family val="1"/>
    </font>
    <font>
      <u/>
      <sz val="12"/>
      <color theme="1"/>
      <name val="Times New Roman"/>
      <family val="1"/>
    </font>
    <font>
      <b/>
      <u/>
      <sz val="12"/>
      <color theme="1"/>
      <name val="Times New Roman"/>
      <family val="1"/>
    </font>
    <font>
      <sz val="12"/>
      <name val="Times New Roman"/>
      <family val="2"/>
    </font>
    <font>
      <sz val="12"/>
      <color rgb="FFFF0000"/>
      <name val="Times New Roman"/>
      <family val="1"/>
    </font>
    <font>
      <sz val="9"/>
      <color indexed="81"/>
      <name val="Tahoma"/>
      <family val="2"/>
    </font>
    <font>
      <b/>
      <sz val="9"/>
      <color indexed="81"/>
      <name val="Tahoma"/>
      <family val="2"/>
    </font>
    <font>
      <sz val="8"/>
      <name val="Calibri"/>
      <family val="2"/>
      <scheme val="minor"/>
    </font>
    <font>
      <b/>
      <sz val="8"/>
      <name val="Calibri"/>
      <family val="2"/>
      <scheme val="minor"/>
    </font>
    <font>
      <b/>
      <i/>
      <vertAlign val="superscript"/>
      <sz val="12"/>
      <name val="Calibri"/>
      <family val="2"/>
      <scheme val="minor"/>
    </font>
    <font>
      <b/>
      <i/>
      <vertAlign val="superscript"/>
      <sz val="12"/>
      <color rgb="FFFF0000"/>
      <name val="Calibri"/>
      <family val="2"/>
      <scheme val="minor"/>
    </font>
    <font>
      <i/>
      <vertAlign val="superscript"/>
      <sz val="12"/>
      <name val="Calibri"/>
      <family val="2"/>
      <scheme val="minor"/>
    </font>
    <font>
      <b/>
      <u/>
      <sz val="12"/>
      <color rgb="FFFF0000"/>
      <name val="Calibri"/>
      <family val="2"/>
      <scheme val="minor"/>
    </font>
    <font>
      <u/>
      <sz val="11"/>
      <color theme="1"/>
      <name val="Calibri"/>
      <family val="2"/>
      <scheme val="minor"/>
    </font>
  </fonts>
  <fills count="16">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9" tint="-0.249977111117893"/>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2F2F2"/>
        <bgColor indexed="64"/>
      </patternFill>
    </fill>
    <fill>
      <patternFill patternType="solid">
        <fgColor theme="0" tint="-0.34998626667073579"/>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style="medium">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top style="thin">
        <color indexed="64"/>
      </top>
      <bottom/>
      <diagonal/>
    </border>
  </borders>
  <cellStyleXfs count="5">
    <xf numFmtId="0" fontId="0" fillId="0" borderId="0"/>
    <xf numFmtId="0" fontId="4" fillId="0" borderId="0"/>
    <xf numFmtId="43"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cellStyleXfs>
  <cellXfs count="369">
    <xf numFmtId="0" fontId="0" fillId="0" borderId="0" xfId="0"/>
    <xf numFmtId="0" fontId="11" fillId="0" borderId="0" xfId="1" applyFont="1"/>
    <xf numFmtId="0" fontId="11" fillId="3" borderId="0" xfId="0" applyFont="1" applyFill="1"/>
    <xf numFmtId="0" fontId="12" fillId="3" borderId="0" xfId="0" applyFont="1" applyFill="1"/>
    <xf numFmtId="0" fontId="12" fillId="0" borderId="1" xfId="0" applyFont="1" applyBorder="1"/>
    <xf numFmtId="0" fontId="13" fillId="4" borderId="1" xfId="0" applyFont="1" applyFill="1" applyBorder="1"/>
    <xf numFmtId="0" fontId="12" fillId="3" borderId="1" xfId="0" applyFont="1" applyFill="1" applyBorder="1"/>
    <xf numFmtId="0" fontId="12" fillId="3" borderId="0" xfId="0" applyFont="1" applyFill="1" applyAlignment="1">
      <alignment horizontal="centerContinuous"/>
    </xf>
    <xf numFmtId="0" fontId="14" fillId="0" borderId="0" xfId="1" applyFont="1"/>
    <xf numFmtId="0" fontId="12" fillId="0" borderId="0" xfId="1" applyFont="1"/>
    <xf numFmtId="0" fontId="15" fillId="0" borderId="0" xfId="1" applyFont="1"/>
    <xf numFmtId="0" fontId="12" fillId="0" borderId="0" xfId="1" applyFont="1" applyAlignment="1">
      <alignment horizontal="right"/>
    </xf>
    <xf numFmtId="164" fontId="12" fillId="0" borderId="0" xfId="1" applyNumberFormat="1" applyFont="1"/>
    <xf numFmtId="9" fontId="10" fillId="0" borderId="1" xfId="3" applyFont="1" applyBorder="1"/>
    <xf numFmtId="0" fontId="11" fillId="0" borderId="0" xfId="1" applyFont="1" applyAlignment="1">
      <alignment horizontal="right"/>
    </xf>
    <xf numFmtId="164" fontId="12" fillId="0" borderId="1" xfId="1" applyNumberFormat="1" applyFont="1" applyBorder="1"/>
    <xf numFmtId="0" fontId="11" fillId="0" borderId="0" xfId="1" applyFont="1" applyBorder="1"/>
    <xf numFmtId="0" fontId="11" fillId="0" borderId="0" xfId="1" applyFont="1" applyBorder="1" applyAlignment="1">
      <alignment horizontal="right"/>
    </xf>
    <xf numFmtId="0" fontId="16" fillId="0" borderId="0" xfId="1" applyFont="1" applyBorder="1" applyAlignment="1">
      <alignment vertical="center"/>
    </xf>
    <xf numFmtId="0" fontId="10" fillId="0" borderId="0" xfId="0" applyFont="1"/>
    <xf numFmtId="0" fontId="12" fillId="0" borderId="0" xfId="1" applyFont="1" applyBorder="1"/>
    <xf numFmtId="0" fontId="12" fillId="0" borderId="0" xfId="1" applyFont="1" applyBorder="1" applyAlignment="1">
      <alignment horizontal="right"/>
    </xf>
    <xf numFmtId="166" fontId="12" fillId="2" borderId="1" xfId="1" applyNumberFormat="1" applyFont="1" applyFill="1" applyBorder="1"/>
    <xf numFmtId="0" fontId="17" fillId="0" borderId="0" xfId="1" applyFont="1"/>
    <xf numFmtId="0" fontId="18" fillId="0" borderId="0" xfId="1" applyFont="1"/>
    <xf numFmtId="0" fontId="13" fillId="4" borderId="0" xfId="0" applyFont="1" applyFill="1"/>
    <xf numFmtId="10" fontId="12" fillId="6" borderId="1" xfId="0" applyNumberFormat="1" applyFont="1" applyFill="1" applyBorder="1"/>
    <xf numFmtId="10" fontId="12" fillId="0" borderId="1" xfId="0" applyNumberFormat="1" applyFont="1" applyBorder="1"/>
    <xf numFmtId="11" fontId="12" fillId="0" borderId="1" xfId="0" applyNumberFormat="1" applyFont="1" applyBorder="1"/>
    <xf numFmtId="0" fontId="12" fillId="6" borderId="1" xfId="0" applyFont="1" applyFill="1" applyBorder="1"/>
    <xf numFmtId="0" fontId="12" fillId="0" borderId="1" xfId="1" applyFont="1" applyBorder="1"/>
    <xf numFmtId="10" fontId="12" fillId="0" borderId="0" xfId="1" applyNumberFormat="1" applyFont="1"/>
    <xf numFmtId="2" fontId="12" fillId="0" borderId="0" xfId="1" applyNumberFormat="1" applyFont="1"/>
    <xf numFmtId="2" fontId="12" fillId="0" borderId="1" xfId="1" applyNumberFormat="1" applyFont="1" applyFill="1" applyBorder="1"/>
    <xf numFmtId="0" fontId="19" fillId="0" borderId="0" xfId="1" applyFont="1"/>
    <xf numFmtId="11" fontId="12" fillId="0" borderId="1" xfId="1" applyNumberFormat="1" applyFont="1" applyFill="1" applyBorder="1"/>
    <xf numFmtId="0" fontId="13" fillId="4" borderId="1" xfId="1" applyFont="1" applyFill="1" applyBorder="1"/>
    <xf numFmtId="0" fontId="14" fillId="3" borderId="0" xfId="0" applyFont="1" applyFill="1"/>
    <xf numFmtId="0" fontId="14" fillId="3" borderId="0" xfId="0" applyFont="1" applyFill="1" applyAlignment="1">
      <alignment horizontal="centerContinuous"/>
    </xf>
    <xf numFmtId="0" fontId="13" fillId="4" borderId="1" xfId="0" applyFont="1" applyFill="1" applyBorder="1" applyAlignment="1"/>
    <xf numFmtId="0" fontId="12" fillId="7" borderId="1" xfId="0" applyFont="1" applyFill="1" applyBorder="1"/>
    <xf numFmtId="167" fontId="12" fillId="3" borderId="1" xfId="2" applyNumberFormat="1" applyFont="1" applyFill="1" applyBorder="1"/>
    <xf numFmtId="0" fontId="15" fillId="3" borderId="0" xfId="0" applyFont="1" applyFill="1"/>
    <xf numFmtId="0" fontId="20" fillId="3" borderId="0" xfId="0" applyFont="1" applyFill="1"/>
    <xf numFmtId="0" fontId="12" fillId="3" borderId="0" xfId="0" applyFont="1" applyFill="1" applyAlignment="1">
      <alignment horizontal="left"/>
    </xf>
    <xf numFmtId="0" fontId="12" fillId="3" borderId="0" xfId="0" applyFont="1" applyFill="1" applyAlignment="1">
      <alignment vertical="top" wrapText="1"/>
    </xf>
    <xf numFmtId="0" fontId="13" fillId="4" borderId="1" xfId="0" applyFont="1" applyFill="1" applyBorder="1" applyAlignment="1">
      <alignment vertical="top" wrapText="1"/>
    </xf>
    <xf numFmtId="2" fontId="12" fillId="0" borderId="1" xfId="1" applyNumberFormat="1" applyFont="1" applyBorder="1"/>
    <xf numFmtId="0" fontId="21" fillId="4" borderId="5" xfId="0" applyFont="1" applyFill="1" applyBorder="1" applyAlignment="1">
      <alignment horizontal="centerContinuous"/>
    </xf>
    <xf numFmtId="0" fontId="13" fillId="4" borderId="3" xfId="0" applyFont="1" applyFill="1" applyBorder="1" applyAlignment="1">
      <alignment horizontal="centerContinuous"/>
    </xf>
    <xf numFmtId="0" fontId="13" fillId="4" borderId="4" xfId="0" applyFont="1" applyFill="1" applyBorder="1" applyAlignment="1">
      <alignment horizontal="centerContinuous"/>
    </xf>
    <xf numFmtId="166" fontId="12" fillId="0" borderId="0" xfId="1" applyNumberFormat="1" applyFont="1" applyBorder="1"/>
    <xf numFmtId="10" fontId="12" fillId="3" borderId="0" xfId="0" applyNumberFormat="1" applyFont="1" applyFill="1"/>
    <xf numFmtId="11" fontId="12" fillId="3" borderId="0" xfId="0" applyNumberFormat="1" applyFont="1" applyFill="1"/>
    <xf numFmtId="0" fontId="22" fillId="3" borderId="1" xfId="0" applyFont="1" applyFill="1" applyBorder="1"/>
    <xf numFmtId="0" fontId="21" fillId="4" borderId="1" xfId="0" applyFont="1" applyFill="1" applyBorder="1" applyAlignment="1">
      <alignment horizontal="centerContinuous"/>
    </xf>
    <xf numFmtId="0" fontId="11" fillId="0" borderId="0" xfId="1" applyFont="1" applyFill="1"/>
    <xf numFmtId="0" fontId="22" fillId="0" borderId="0" xfId="0" applyFont="1" applyFill="1" applyBorder="1"/>
    <xf numFmtId="0" fontId="12" fillId="0" borderId="0" xfId="1" applyFont="1" applyFill="1"/>
    <xf numFmtId="2" fontId="12" fillId="8" borderId="1" xfId="1" applyNumberFormat="1" applyFont="1" applyFill="1" applyBorder="1"/>
    <xf numFmtId="9" fontId="10" fillId="0" borderId="1" xfId="4" applyFont="1" applyBorder="1"/>
    <xf numFmtId="9" fontId="12" fillId="8" borderId="1" xfId="4" applyFont="1" applyFill="1" applyBorder="1"/>
    <xf numFmtId="9" fontId="12" fillId="0" borderId="1" xfId="4" applyFont="1" applyBorder="1"/>
    <xf numFmtId="9" fontId="12" fillId="0" borderId="0" xfId="4" applyFont="1"/>
    <xf numFmtId="0" fontId="23" fillId="0" borderId="0" xfId="1" applyFont="1"/>
    <xf numFmtId="10" fontId="12" fillId="3" borderId="1" xfId="0" applyNumberFormat="1" applyFont="1" applyFill="1" applyBorder="1"/>
    <xf numFmtId="0" fontId="23" fillId="0" borderId="1" xfId="1" applyFont="1" applyBorder="1" applyAlignment="1">
      <alignment horizontal="right"/>
    </xf>
    <xf numFmtId="0" fontId="11" fillId="2" borderId="1" xfId="1" applyFont="1" applyFill="1" applyBorder="1"/>
    <xf numFmtId="9" fontId="12" fillId="0" borderId="14" xfId="4" applyFont="1" applyBorder="1"/>
    <xf numFmtId="9" fontId="12" fillId="0" borderId="15" xfId="4" applyFont="1" applyBorder="1"/>
    <xf numFmtId="164" fontId="12" fillId="0" borderId="14" xfId="0" applyNumberFormat="1" applyFont="1" applyBorder="1"/>
    <xf numFmtId="2" fontId="12" fillId="0" borderId="6" xfId="1" applyNumberFormat="1" applyFont="1" applyBorder="1"/>
    <xf numFmtId="0" fontId="12" fillId="3" borderId="0" xfId="0" applyFont="1" applyFill="1" applyBorder="1" applyAlignment="1">
      <alignment horizontal="right"/>
    </xf>
    <xf numFmtId="164" fontId="12" fillId="3" borderId="0" xfId="0" applyNumberFormat="1" applyFont="1" applyFill="1" applyBorder="1"/>
    <xf numFmtId="0" fontId="13" fillId="4" borderId="7" xfId="0" applyFont="1" applyFill="1" applyBorder="1" applyAlignment="1">
      <alignment horizontal="right"/>
    </xf>
    <xf numFmtId="0" fontId="13" fillId="4" borderId="7" xfId="1" applyFont="1" applyFill="1" applyBorder="1" applyAlignment="1">
      <alignment horizontal="right"/>
    </xf>
    <xf numFmtId="0" fontId="12" fillId="7" borderId="8" xfId="0" applyFont="1" applyFill="1" applyBorder="1"/>
    <xf numFmtId="0" fontId="12" fillId="7" borderId="9" xfId="0" applyFont="1" applyFill="1" applyBorder="1"/>
    <xf numFmtId="0" fontId="12" fillId="7" borderId="8" xfId="1" applyFont="1" applyFill="1" applyBorder="1"/>
    <xf numFmtId="0" fontId="12" fillId="7" borderId="9" xfId="1" applyFont="1" applyFill="1" applyBorder="1"/>
    <xf numFmtId="0" fontId="22" fillId="7" borderId="10" xfId="0" applyFont="1" applyFill="1" applyBorder="1"/>
    <xf numFmtId="0" fontId="12" fillId="7" borderId="11" xfId="1" applyFont="1" applyFill="1" applyBorder="1"/>
    <xf numFmtId="0" fontId="22" fillId="7" borderId="16" xfId="0" applyFont="1" applyFill="1" applyBorder="1"/>
    <xf numFmtId="0" fontId="13" fillId="4" borderId="11" xfId="1" applyFont="1" applyFill="1" applyBorder="1" applyAlignment="1">
      <alignment horizontal="right"/>
    </xf>
    <xf numFmtId="0" fontId="13" fillId="4" borderId="13" xfId="0" applyFont="1" applyFill="1" applyBorder="1" applyAlignment="1">
      <alignment horizontal="right"/>
    </xf>
    <xf numFmtId="0" fontId="13" fillId="4" borderId="13" xfId="1" applyFont="1" applyFill="1" applyBorder="1" applyAlignment="1">
      <alignment horizontal="right"/>
    </xf>
    <xf numFmtId="168" fontId="12" fillId="0" borderId="0" xfId="1" applyNumberFormat="1" applyFont="1"/>
    <xf numFmtId="165" fontId="12" fillId="0" borderId="1" xfId="1" applyNumberFormat="1" applyFont="1" applyBorder="1"/>
    <xf numFmtId="10" fontId="12" fillId="9" borderId="1" xfId="0" applyNumberFormat="1" applyFont="1" applyFill="1" applyBorder="1"/>
    <xf numFmtId="0" fontId="12" fillId="9" borderId="1" xfId="0" applyFont="1" applyFill="1" applyBorder="1"/>
    <xf numFmtId="0" fontId="12" fillId="0" borderId="1" xfId="0" applyFont="1" applyFill="1" applyBorder="1"/>
    <xf numFmtId="170" fontId="12" fillId="0" borderId="0" xfId="1" applyNumberFormat="1" applyFont="1"/>
    <xf numFmtId="0" fontId="12" fillId="7" borderId="17" xfId="0" applyFont="1" applyFill="1" applyBorder="1"/>
    <xf numFmtId="0" fontId="12" fillId="10" borderId="1" xfId="0" applyFont="1" applyFill="1" applyBorder="1"/>
    <xf numFmtId="10" fontId="12" fillId="10" borderId="1" xfId="0" applyNumberFormat="1" applyFont="1" applyFill="1" applyBorder="1"/>
    <xf numFmtId="165" fontId="12" fillId="3" borderId="0" xfId="0" applyNumberFormat="1" applyFont="1" applyFill="1"/>
    <xf numFmtId="168" fontId="12" fillId="3" borderId="0" xfId="0" applyNumberFormat="1" applyFont="1" applyFill="1"/>
    <xf numFmtId="0" fontId="12" fillId="12" borderId="0" xfId="0" applyFont="1" applyFill="1"/>
    <xf numFmtId="169" fontId="12" fillId="3" borderId="0" xfId="0" applyNumberFormat="1" applyFont="1" applyFill="1"/>
    <xf numFmtId="0" fontId="19" fillId="3" borderId="0" xfId="0" applyFont="1" applyFill="1"/>
    <xf numFmtId="171" fontId="12" fillId="0" borderId="1" xfId="1" applyNumberFormat="1" applyFont="1" applyBorder="1"/>
    <xf numFmtId="0" fontId="13" fillId="0" borderId="1" xfId="0" applyFont="1" applyFill="1" applyBorder="1"/>
    <xf numFmtId="9" fontId="12" fillId="0" borderId="1" xfId="4" applyFont="1" applyFill="1" applyBorder="1"/>
    <xf numFmtId="0" fontId="12" fillId="3" borderId="0" xfId="0" applyFont="1" applyFill="1" applyBorder="1"/>
    <xf numFmtId="0" fontId="22" fillId="0" borderId="19" xfId="0" applyFont="1" applyFill="1" applyBorder="1"/>
    <xf numFmtId="0" fontId="13" fillId="0" borderId="5" xfId="1" applyFont="1" applyFill="1" applyBorder="1" applyAlignment="1">
      <alignment horizontal="right"/>
    </xf>
    <xf numFmtId="0" fontId="13" fillId="0" borderId="20" xfId="0" applyFont="1" applyFill="1" applyBorder="1" applyAlignment="1">
      <alignment horizontal="right"/>
    </xf>
    <xf numFmtId="0" fontId="22" fillId="8" borderId="19" xfId="0" applyFont="1" applyFill="1" applyBorder="1"/>
    <xf numFmtId="0" fontId="13" fillId="8" borderId="18" xfId="0" applyFont="1" applyFill="1" applyBorder="1" applyAlignment="1">
      <alignment horizontal="right"/>
    </xf>
    <xf numFmtId="0" fontId="13" fillId="8" borderId="21" xfId="1" applyFont="1" applyFill="1" applyBorder="1" applyAlignment="1">
      <alignment horizontal="right"/>
    </xf>
    <xf numFmtId="0" fontId="12" fillId="8" borderId="5" xfId="1" applyFont="1" applyFill="1" applyBorder="1"/>
    <xf numFmtId="0" fontId="13" fillId="8" borderId="20" xfId="1" applyFont="1" applyFill="1" applyBorder="1" applyAlignment="1">
      <alignment horizontal="right"/>
    </xf>
    <xf numFmtId="0" fontId="13" fillId="0" borderId="17" xfId="0" applyFont="1" applyFill="1" applyBorder="1" applyAlignment="1">
      <alignment horizontal="right"/>
    </xf>
    <xf numFmtId="0" fontId="13" fillId="0" borderId="22" xfId="0" applyFont="1" applyFill="1" applyBorder="1" applyAlignment="1">
      <alignment horizontal="right"/>
    </xf>
    <xf numFmtId="0" fontId="20" fillId="0" borderId="23" xfId="1" applyFont="1" applyFill="1" applyBorder="1" applyAlignment="1">
      <alignment horizontal="center"/>
    </xf>
    <xf numFmtId="0" fontId="22" fillId="0" borderId="19" xfId="0" applyFont="1" applyFill="1" applyBorder="1" applyAlignment="1">
      <alignment horizontal="fill"/>
    </xf>
    <xf numFmtId="0" fontId="22" fillId="8" borderId="19" xfId="0" applyFont="1" applyFill="1" applyBorder="1" applyAlignment="1">
      <alignment horizontal="fill"/>
    </xf>
    <xf numFmtId="0" fontId="13" fillId="3" borderId="0" xfId="0" applyFont="1" applyFill="1" applyBorder="1"/>
    <xf numFmtId="0" fontId="0" fillId="0" borderId="1" xfId="0" applyBorder="1"/>
    <xf numFmtId="0" fontId="0" fillId="3" borderId="0" xfId="0" applyFill="1"/>
    <xf numFmtId="0" fontId="25" fillId="3" borderId="0" xfId="0" applyFont="1" applyFill="1"/>
    <xf numFmtId="0" fontId="27" fillId="4" borderId="1" xfId="0" applyFont="1" applyFill="1" applyBorder="1"/>
    <xf numFmtId="0" fontId="11" fillId="0" borderId="0" xfId="1" applyFont="1" applyFill="1" applyBorder="1"/>
    <xf numFmtId="0" fontId="28" fillId="0" borderId="0" xfId="1" applyFont="1" applyFill="1" applyBorder="1" applyAlignment="1">
      <alignment horizontal="left"/>
    </xf>
    <xf numFmtId="0" fontId="12" fillId="0" borderId="0" xfId="1" applyFont="1" applyFill="1" applyBorder="1"/>
    <xf numFmtId="0" fontId="29" fillId="0" borderId="0" xfId="1" applyFont="1"/>
    <xf numFmtId="0" fontId="30" fillId="0" borderId="0" xfId="1" applyFont="1"/>
    <xf numFmtId="0" fontId="23" fillId="0" borderId="1" xfId="1" applyFont="1" applyFill="1" applyBorder="1" applyAlignment="1">
      <alignment horizontal="right"/>
    </xf>
    <xf numFmtId="0" fontId="23" fillId="0" borderId="1" xfId="1" applyFont="1" applyFill="1" applyBorder="1" applyAlignment="1">
      <alignment horizontal="left"/>
    </xf>
    <xf numFmtId="0" fontId="11" fillId="13" borderId="1" xfId="1" applyFont="1" applyFill="1" applyBorder="1"/>
    <xf numFmtId="0" fontId="20" fillId="0" borderId="0" xfId="1" applyFont="1"/>
    <xf numFmtId="43" fontId="12" fillId="3" borderId="1" xfId="2" applyNumberFormat="1" applyFont="1" applyFill="1" applyBorder="1"/>
    <xf numFmtId="0" fontId="13" fillId="4" borderId="1" xfId="0" applyFont="1" applyFill="1" applyBorder="1" applyAlignment="1">
      <alignment horizontal="center"/>
    </xf>
    <xf numFmtId="0" fontId="12" fillId="3" borderId="1" xfId="0" applyFont="1" applyFill="1" applyBorder="1" applyAlignment="1">
      <alignment horizontal="right"/>
    </xf>
    <xf numFmtId="167" fontId="12" fillId="3" borderId="1" xfId="0" applyNumberFormat="1" applyFont="1" applyFill="1" applyBorder="1"/>
    <xf numFmtId="172" fontId="12" fillId="3" borderId="1" xfId="0" applyNumberFormat="1" applyFont="1" applyFill="1" applyBorder="1"/>
    <xf numFmtId="172" fontId="11" fillId="0" borderId="0" xfId="2" applyNumberFormat="1" applyFont="1"/>
    <xf numFmtId="164" fontId="11" fillId="0" borderId="0" xfId="2" applyNumberFormat="1" applyFont="1"/>
    <xf numFmtId="0" fontId="0" fillId="3" borderId="1" xfId="0" applyFill="1" applyBorder="1"/>
    <xf numFmtId="0" fontId="26" fillId="3" borderId="0" xfId="0" applyFont="1" applyFill="1"/>
    <xf numFmtId="0" fontId="12" fillId="3" borderId="1" xfId="0" applyFont="1" applyFill="1" applyBorder="1" applyAlignment="1">
      <alignment horizontal="fill"/>
    </xf>
    <xf numFmtId="0" fontId="4" fillId="7" borderId="1" xfId="1" applyFill="1" applyBorder="1"/>
    <xf numFmtId="0" fontId="5" fillId="3" borderId="0" xfId="1" applyFont="1" applyFill="1"/>
    <xf numFmtId="0" fontId="4" fillId="3" borderId="0" xfId="1" applyFill="1"/>
    <xf numFmtId="0" fontId="7" fillId="3" borderId="0" xfId="1" applyFont="1" applyFill="1"/>
    <xf numFmtId="0" fontId="6" fillId="3" borderId="0" xfId="1" applyFont="1" applyFill="1" applyAlignment="1">
      <alignment horizontal="left" wrapText="1"/>
    </xf>
    <xf numFmtId="0" fontId="8" fillId="3" borderId="0" xfId="1" applyFont="1" applyFill="1"/>
    <xf numFmtId="0" fontId="4" fillId="3" borderId="0" xfId="1" applyFont="1" applyFill="1" applyAlignment="1">
      <alignment vertical="top" wrapText="1"/>
    </xf>
    <xf numFmtId="0" fontId="4" fillId="3" borderId="0" xfId="1" applyFont="1" applyFill="1"/>
    <xf numFmtId="0" fontId="4" fillId="3" borderId="0" xfId="1" applyFont="1" applyFill="1" applyAlignment="1">
      <alignment horizontal="left" vertical="top" wrapText="1"/>
    </xf>
    <xf numFmtId="0" fontId="3" fillId="3" borderId="0" xfId="1" applyFont="1" applyFill="1"/>
    <xf numFmtId="0" fontId="31" fillId="3" borderId="0" xfId="1" applyFont="1" applyFill="1"/>
    <xf numFmtId="0" fontId="32" fillId="3" borderId="0" xfId="1" applyFont="1" applyFill="1"/>
    <xf numFmtId="0" fontId="0" fillId="8" borderId="1" xfId="0" applyFill="1" applyBorder="1"/>
    <xf numFmtId="0" fontId="25" fillId="0" borderId="1" xfId="0" applyFont="1" applyFill="1" applyBorder="1"/>
    <xf numFmtId="10" fontId="25" fillId="0" borderId="1" xfId="0" applyNumberFormat="1" applyFont="1" applyFill="1" applyBorder="1"/>
    <xf numFmtId="11" fontId="25" fillId="0" borderId="1" xfId="0" applyNumberFormat="1" applyFont="1" applyFill="1" applyBorder="1"/>
    <xf numFmtId="2" fontId="25" fillId="0" borderId="1" xfId="0" applyNumberFormat="1" applyFont="1" applyFill="1" applyBorder="1"/>
    <xf numFmtId="168" fontId="25" fillId="0" borderId="1" xfId="0" applyNumberFormat="1" applyFont="1" applyFill="1" applyBorder="1"/>
    <xf numFmtId="0" fontId="25" fillId="8" borderId="1" xfId="0" applyFont="1" applyFill="1" applyBorder="1"/>
    <xf numFmtId="0" fontId="25" fillId="3" borderId="1" xfId="0" applyFont="1" applyFill="1" applyBorder="1"/>
    <xf numFmtId="0" fontId="24" fillId="3" borderId="0" xfId="0" applyFont="1" applyFill="1"/>
    <xf numFmtId="0" fontId="3" fillId="7" borderId="1" xfId="1" applyFont="1" applyFill="1" applyBorder="1"/>
    <xf numFmtId="0" fontId="11" fillId="3" borderId="0" xfId="0" applyFont="1" applyFill="1" applyAlignment="1">
      <alignment horizontal="left"/>
    </xf>
    <xf numFmtId="0" fontId="12" fillId="3" borderId="0" xfId="0" applyFont="1" applyFill="1" applyAlignment="1">
      <alignment horizontal="center"/>
    </xf>
    <xf numFmtId="0" fontId="12" fillId="3" borderId="0" xfId="0" applyFont="1" applyFill="1" applyAlignment="1">
      <alignment horizontal="center" vertical="top"/>
    </xf>
    <xf numFmtId="0" fontId="13" fillId="4" borderId="1" xfId="0" applyFont="1" applyFill="1" applyBorder="1" applyAlignment="1">
      <alignment horizontal="left" vertical="top"/>
    </xf>
    <xf numFmtId="0" fontId="13" fillId="4" borderId="1" xfId="0" applyFont="1" applyFill="1" applyBorder="1" applyAlignment="1">
      <alignment horizontal="left" vertical="top" wrapText="1"/>
    </xf>
    <xf numFmtId="0" fontId="12" fillId="3" borderId="0" xfId="0" applyFont="1" applyFill="1" applyAlignment="1">
      <alignment horizontal="left" vertical="top"/>
    </xf>
    <xf numFmtId="2" fontId="12" fillId="0" borderId="1" xfId="0" applyNumberFormat="1" applyFont="1" applyBorder="1"/>
    <xf numFmtId="3" fontId="12" fillId="0" borderId="1" xfId="0" applyNumberFormat="1" applyFont="1" applyBorder="1"/>
    <xf numFmtId="0" fontId="33" fillId="0" borderId="0" xfId="0" applyFont="1"/>
    <xf numFmtId="167" fontId="12" fillId="0" borderId="1" xfId="2" applyNumberFormat="1" applyFont="1" applyBorder="1"/>
    <xf numFmtId="0" fontId="33" fillId="3" borderId="0" xfId="0" applyFont="1" applyFill="1" applyAlignment="1">
      <alignment horizontal="center"/>
    </xf>
    <xf numFmtId="167" fontId="12" fillId="3" borderId="0" xfId="2" applyNumberFormat="1" applyFont="1" applyFill="1" applyBorder="1"/>
    <xf numFmtId="0" fontId="12" fillId="3" borderId="0" xfId="0" applyFont="1" applyFill="1" applyAlignment="1">
      <alignment horizontal="center" wrapText="1"/>
    </xf>
    <xf numFmtId="0" fontId="12" fillId="3" borderId="0" xfId="0" applyFont="1" applyFill="1" applyAlignment="1">
      <alignment wrapText="1"/>
    </xf>
    <xf numFmtId="0" fontId="34" fillId="0" borderId="25" xfId="0" applyFont="1" applyBorder="1"/>
    <xf numFmtId="167" fontId="34" fillId="0" borderId="1" xfId="2" applyNumberFormat="1" applyFont="1" applyBorder="1"/>
    <xf numFmtId="167" fontId="34" fillId="0" borderId="26" xfId="2" applyNumberFormat="1" applyFont="1" applyBorder="1"/>
    <xf numFmtId="2" fontId="12" fillId="3" borderId="0" xfId="0" applyNumberFormat="1" applyFont="1" applyFill="1"/>
    <xf numFmtId="0" fontId="34" fillId="0" borderId="27" xfId="0" applyFont="1" applyBorder="1"/>
    <xf numFmtId="167" fontId="34" fillId="0" borderId="28" xfId="2" applyNumberFormat="1" applyFont="1" applyBorder="1"/>
    <xf numFmtId="167" fontId="34" fillId="0" borderId="29" xfId="2" applyNumberFormat="1" applyFont="1" applyBorder="1"/>
    <xf numFmtId="0" fontId="18" fillId="3" borderId="0" xfId="0" applyFont="1" applyFill="1"/>
    <xf numFmtId="9" fontId="12" fillId="3" borderId="1" xfId="4" applyFont="1" applyFill="1" applyBorder="1"/>
    <xf numFmtId="0" fontId="12" fillId="3" borderId="1" xfId="1" applyFont="1" applyFill="1" applyBorder="1"/>
    <xf numFmtId="0" fontId="19" fillId="3" borderId="0" xfId="1" applyFont="1" applyFill="1"/>
    <xf numFmtId="0" fontId="12" fillId="3" borderId="0" xfId="1" applyFont="1" applyFill="1" applyBorder="1" applyAlignment="1">
      <alignment horizontal="center" vertical="center" wrapText="1"/>
    </xf>
    <xf numFmtId="0" fontId="12" fillId="3" borderId="0" xfId="1" applyFont="1" applyFill="1" applyBorder="1"/>
    <xf numFmtId="9" fontId="12" fillId="3" borderId="0" xfId="4" applyFont="1" applyFill="1" applyBorder="1"/>
    <xf numFmtId="0" fontId="12" fillId="3" borderId="0" xfId="1" applyFont="1" applyFill="1"/>
    <xf numFmtId="0" fontId="11" fillId="3" borderId="0" xfId="1" applyFont="1" applyFill="1"/>
    <xf numFmtId="0" fontId="18" fillId="3" borderId="0" xfId="1" applyFont="1" applyFill="1"/>
    <xf numFmtId="2" fontId="15" fillId="3" borderId="0" xfId="1" applyNumberFormat="1" applyFont="1" applyFill="1" applyAlignment="1">
      <alignment horizontal="left"/>
    </xf>
    <xf numFmtId="0" fontId="35" fillId="3" borderId="0" xfId="0" applyFont="1" applyFill="1"/>
    <xf numFmtId="0" fontId="36" fillId="3" borderId="0" xfId="0" applyFont="1" applyFill="1"/>
    <xf numFmtId="0" fontId="38" fillId="3" borderId="0" xfId="0" applyFont="1" applyFill="1"/>
    <xf numFmtId="0" fontId="39" fillId="3" borderId="0" xfId="0" applyFont="1" applyFill="1"/>
    <xf numFmtId="0" fontId="0" fillId="3" borderId="0" xfId="0" applyFill="1" applyBorder="1" applyAlignment="1">
      <alignment horizontal="left"/>
    </xf>
    <xf numFmtId="0" fontId="0" fillId="3" borderId="0" xfId="0" applyFill="1" applyBorder="1" applyAlignment="1">
      <alignment horizontal="left" vertical="top" wrapText="1"/>
    </xf>
    <xf numFmtId="0" fontId="0" fillId="3" borderId="0" xfId="0" applyFill="1" applyAlignment="1">
      <alignment vertical="top"/>
    </xf>
    <xf numFmtId="0" fontId="0" fillId="3" borderId="0" xfId="0" applyFill="1" applyBorder="1"/>
    <xf numFmtId="164" fontId="25" fillId="0" borderId="1" xfId="0" applyNumberFormat="1" applyFont="1" applyFill="1" applyBorder="1"/>
    <xf numFmtId="173" fontId="25" fillId="0" borderId="1" xfId="0" applyNumberFormat="1" applyFont="1" applyFill="1" applyBorder="1"/>
    <xf numFmtId="174" fontId="25" fillId="0" borderId="1" xfId="0" applyNumberFormat="1" applyFont="1" applyFill="1" applyBorder="1"/>
    <xf numFmtId="175" fontId="25" fillId="0" borderId="1" xfId="0" applyNumberFormat="1" applyFont="1" applyFill="1" applyBorder="1"/>
    <xf numFmtId="174" fontId="25" fillId="3" borderId="1" xfId="0" applyNumberFormat="1" applyFont="1" applyFill="1" applyBorder="1"/>
    <xf numFmtId="0" fontId="25" fillId="5" borderId="1" xfId="0" applyFont="1" applyFill="1" applyBorder="1"/>
    <xf numFmtId="0" fontId="27" fillId="4" borderId="1" xfId="0" applyFont="1" applyFill="1" applyBorder="1" applyAlignment="1">
      <alignment wrapText="1"/>
    </xf>
    <xf numFmtId="10" fontId="25" fillId="3" borderId="1" xfId="0" applyNumberFormat="1" applyFont="1" applyFill="1" applyBorder="1"/>
    <xf numFmtId="11" fontId="25" fillId="3" borderId="1" xfId="0" applyNumberFormat="1" applyFont="1" applyFill="1" applyBorder="1"/>
    <xf numFmtId="10" fontId="25" fillId="5" borderId="1" xfId="0" applyNumberFormat="1" applyFont="1" applyFill="1" applyBorder="1"/>
    <xf numFmtId="0" fontId="0" fillId="2" borderId="0" xfId="0" applyFill="1"/>
    <xf numFmtId="0" fontId="13" fillId="4" borderId="1" xfId="0" applyFont="1" applyFill="1" applyBorder="1" applyAlignment="1">
      <alignment horizontal="right"/>
    </xf>
    <xf numFmtId="0" fontId="11" fillId="11" borderId="1" xfId="0" applyFont="1" applyFill="1" applyBorder="1" applyAlignment="1"/>
    <xf numFmtId="0" fontId="25" fillId="3" borderId="0" xfId="0" applyFont="1" applyFill="1" applyBorder="1"/>
    <xf numFmtId="2" fontId="12" fillId="0" borderId="37" xfId="1" applyNumberFormat="1" applyFont="1" applyBorder="1"/>
    <xf numFmtId="164" fontId="12" fillId="0" borderId="15" xfId="0" applyNumberFormat="1" applyFont="1" applyBorder="1"/>
    <xf numFmtId="0" fontId="13" fillId="3" borderId="0" xfId="0" applyFont="1" applyFill="1" applyBorder="1" applyAlignment="1">
      <alignment horizontal="right"/>
    </xf>
    <xf numFmtId="0" fontId="11" fillId="3" borderId="0" xfId="0" applyFont="1" applyFill="1" applyBorder="1" applyAlignment="1"/>
    <xf numFmtId="9" fontId="12" fillId="0" borderId="6" xfId="4" applyFont="1" applyBorder="1"/>
    <xf numFmtId="0" fontId="13" fillId="4" borderId="38" xfId="0" applyFont="1" applyFill="1" applyBorder="1" applyAlignment="1">
      <alignment horizontal="right"/>
    </xf>
    <xf numFmtId="0" fontId="13" fillId="8" borderId="39" xfId="0" applyFont="1" applyFill="1" applyBorder="1" applyAlignment="1">
      <alignment horizontal="right"/>
    </xf>
    <xf numFmtId="0" fontId="12" fillId="7" borderId="39" xfId="0" applyFont="1" applyFill="1" applyBorder="1"/>
    <xf numFmtId="0" fontId="12" fillId="7" borderId="40" xfId="0" applyFont="1" applyFill="1" applyBorder="1"/>
    <xf numFmtId="0" fontId="13" fillId="4" borderId="41" xfId="0" applyFont="1" applyFill="1" applyBorder="1" applyAlignment="1">
      <alignment horizontal="right"/>
    </xf>
    <xf numFmtId="0" fontId="13" fillId="0" borderId="42" xfId="0" applyFont="1" applyFill="1" applyBorder="1" applyAlignment="1">
      <alignment horizontal="right"/>
    </xf>
    <xf numFmtId="0" fontId="12" fillId="7" borderId="42" xfId="0" applyFont="1" applyFill="1" applyBorder="1"/>
    <xf numFmtId="0" fontId="12" fillId="7" borderId="43" xfId="0" applyFont="1" applyFill="1" applyBorder="1"/>
    <xf numFmtId="0" fontId="13" fillId="8" borderId="42" xfId="0" applyFont="1" applyFill="1" applyBorder="1" applyAlignment="1">
      <alignment horizontal="right"/>
    </xf>
    <xf numFmtId="0" fontId="12" fillId="7" borderId="42" xfId="1" applyFont="1" applyFill="1" applyBorder="1"/>
    <xf numFmtId="0" fontId="12" fillId="7" borderId="43" xfId="1" applyFont="1" applyFill="1" applyBorder="1"/>
    <xf numFmtId="0" fontId="13" fillId="4" borderId="41" xfId="1" applyFont="1" applyFill="1" applyBorder="1" applyAlignment="1">
      <alignment horizontal="right"/>
    </xf>
    <xf numFmtId="0" fontId="13" fillId="8" borderId="42" xfId="1" applyFont="1" applyFill="1" applyBorder="1" applyAlignment="1">
      <alignment horizontal="right"/>
    </xf>
    <xf numFmtId="9" fontId="34" fillId="0" borderId="1" xfId="4" applyFont="1" applyBorder="1"/>
    <xf numFmtId="9" fontId="34" fillId="0" borderId="26" xfId="4" applyFont="1" applyBorder="1"/>
    <xf numFmtId="9" fontId="43" fillId="0" borderId="1" xfId="4" applyFont="1" applyBorder="1"/>
    <xf numFmtId="9" fontId="34" fillId="0" borderId="28" xfId="4" applyFont="1" applyBorder="1"/>
    <xf numFmtId="9" fontId="34" fillId="0" borderId="29" xfId="4" applyFont="1" applyBorder="1"/>
    <xf numFmtId="0" fontId="44" fillId="14" borderId="25" xfId="0" applyFont="1" applyFill="1" applyBorder="1" applyAlignment="1">
      <alignment horizontal="center" vertical="center"/>
    </xf>
    <xf numFmtId="0" fontId="44" fillId="14" borderId="24" xfId="0" applyFont="1" applyFill="1" applyBorder="1" applyAlignment="1">
      <alignment horizontal="center" vertical="center" wrapText="1"/>
    </xf>
    <xf numFmtId="0" fontId="44" fillId="14" borderId="25" xfId="0" applyFont="1" applyFill="1" applyBorder="1" applyAlignment="1">
      <alignment horizontal="center" vertical="center" wrapText="1"/>
    </xf>
    <xf numFmtId="0" fontId="44" fillId="14" borderId="1" xfId="0" applyFont="1" applyFill="1" applyBorder="1" applyAlignment="1">
      <alignment horizontal="center" vertical="center" wrapText="1"/>
    </xf>
    <xf numFmtId="0" fontId="44" fillId="14" borderId="26" xfId="0" applyFont="1" applyFill="1" applyBorder="1" applyAlignment="1">
      <alignment horizontal="center" vertical="center" wrapText="1"/>
    </xf>
    <xf numFmtId="0" fontId="44" fillId="14" borderId="1" xfId="0" applyFont="1" applyFill="1" applyBorder="1" applyAlignment="1">
      <alignment horizontal="center" vertical="center"/>
    </xf>
    <xf numFmtId="0" fontId="44" fillId="14" borderId="26" xfId="0" applyFont="1" applyFill="1" applyBorder="1" applyAlignment="1">
      <alignment horizontal="center" vertical="center"/>
    </xf>
    <xf numFmtId="0" fontId="43" fillId="14" borderId="1" xfId="0" applyFont="1" applyFill="1" applyBorder="1" applyAlignment="1">
      <alignment horizontal="center"/>
    </xf>
    <xf numFmtId="0" fontId="43" fillId="14" borderId="26" xfId="0" applyFont="1" applyFill="1" applyBorder="1" applyAlignment="1">
      <alignment horizontal="center"/>
    </xf>
    <xf numFmtId="0" fontId="44" fillId="14" borderId="25" xfId="0" applyFont="1" applyFill="1" applyBorder="1" applyAlignment="1">
      <alignment horizontal="center"/>
    </xf>
    <xf numFmtId="0" fontId="43" fillId="3" borderId="25" xfId="0" applyFont="1" applyFill="1" applyBorder="1" applyAlignment="1">
      <alignment horizontal="left" vertical="center" wrapText="1"/>
    </xf>
    <xf numFmtId="0" fontId="44" fillId="14" borderId="25" xfId="0" applyFont="1" applyFill="1" applyBorder="1" applyAlignment="1">
      <alignment horizontal="left" vertical="center"/>
    </xf>
    <xf numFmtId="0" fontId="43" fillId="3" borderId="25" xfId="0" applyFont="1" applyFill="1" applyBorder="1" applyAlignment="1">
      <alignment horizontal="left" vertical="center"/>
    </xf>
    <xf numFmtId="0" fontId="43" fillId="3" borderId="27" xfId="0" applyFont="1" applyFill="1" applyBorder="1" applyAlignment="1">
      <alignment horizontal="left" vertical="center"/>
    </xf>
    <xf numFmtId="0" fontId="19" fillId="3" borderId="0" xfId="0" applyFont="1" applyFill="1" applyAlignment="1">
      <alignment horizontal="center"/>
    </xf>
    <xf numFmtId="9" fontId="12" fillId="3" borderId="0" xfId="1" applyNumberFormat="1" applyFont="1" applyFill="1"/>
    <xf numFmtId="164" fontId="12" fillId="0" borderId="6" xfId="1" applyNumberFormat="1" applyFont="1" applyBorder="1"/>
    <xf numFmtId="173" fontId="12" fillId="0" borderId="6" xfId="1" applyNumberFormat="1" applyFont="1" applyBorder="1"/>
    <xf numFmtId="174" fontId="12" fillId="8" borderId="1" xfId="1" applyNumberFormat="1" applyFont="1" applyFill="1" applyBorder="1"/>
    <xf numFmtId="175" fontId="12" fillId="0" borderId="6" xfId="1" applyNumberFormat="1" applyFont="1" applyBorder="1"/>
    <xf numFmtId="173" fontId="12" fillId="0" borderId="1" xfId="1" applyNumberFormat="1" applyFont="1" applyBorder="1"/>
    <xf numFmtId="175" fontId="12" fillId="0" borderId="1" xfId="1" applyNumberFormat="1" applyFont="1" applyBorder="1"/>
    <xf numFmtId="2" fontId="12" fillId="0" borderId="12" xfId="1" applyNumberFormat="1" applyFont="1" applyBorder="1"/>
    <xf numFmtId="2" fontId="12" fillId="0" borderId="14" xfId="0" applyNumberFormat="1" applyFont="1" applyBorder="1"/>
    <xf numFmtId="173" fontId="12" fillId="0" borderId="14" xfId="0" applyNumberFormat="1" applyFont="1" applyBorder="1"/>
    <xf numFmtId="175" fontId="12" fillId="0" borderId="14" xfId="0" applyNumberFormat="1" applyFont="1" applyBorder="1"/>
    <xf numFmtId="0" fontId="12" fillId="0" borderId="1" xfId="1" applyFont="1" applyFill="1" applyBorder="1"/>
    <xf numFmtId="0" fontId="12" fillId="0" borderId="1" xfId="0" applyFont="1" applyBorder="1" applyAlignment="1">
      <alignment vertical="center"/>
    </xf>
    <xf numFmtId="0" fontId="23" fillId="3" borderId="0" xfId="1" applyFont="1" applyFill="1" applyBorder="1" applyAlignment="1">
      <alignment horizontal="right"/>
    </xf>
    <xf numFmtId="0" fontId="11" fillId="3" borderId="0" xfId="1" applyFont="1" applyFill="1" applyBorder="1"/>
    <xf numFmtId="0" fontId="19" fillId="0" borderId="0" xfId="1" applyFont="1" applyFill="1"/>
    <xf numFmtId="0" fontId="22" fillId="0" borderId="1" xfId="0" applyFont="1" applyFill="1" applyBorder="1"/>
    <xf numFmtId="164" fontId="9" fillId="3" borderId="1" xfId="0" applyNumberFormat="1" applyFont="1" applyFill="1" applyBorder="1"/>
    <xf numFmtId="9" fontId="9" fillId="3" borderId="1" xfId="4" applyFont="1" applyFill="1" applyBorder="1"/>
    <xf numFmtId="43" fontId="12" fillId="3" borderId="1" xfId="2" applyFont="1" applyFill="1" applyBorder="1" applyAlignment="1">
      <alignment horizontal="right"/>
    </xf>
    <xf numFmtId="9" fontId="34" fillId="0" borderId="1" xfId="4" applyFont="1" applyBorder="1" applyAlignment="1">
      <alignment horizontal="right"/>
    </xf>
    <xf numFmtId="9" fontId="34" fillId="0" borderId="26" xfId="4" applyFont="1" applyBorder="1" applyAlignment="1">
      <alignment horizontal="right"/>
    </xf>
    <xf numFmtId="167" fontId="34" fillId="0" borderId="1" xfId="2" applyNumberFormat="1" applyFont="1" applyBorder="1" applyAlignment="1">
      <alignment horizontal="right"/>
    </xf>
    <xf numFmtId="167" fontId="34" fillId="0" borderId="1" xfId="2" applyNumberFormat="1" applyFont="1" applyBorder="1" applyAlignment="1">
      <alignment horizontal="right" vertical="top"/>
    </xf>
    <xf numFmtId="167" fontId="34" fillId="0" borderId="26" xfId="2" applyNumberFormat="1" applyFont="1" applyBorder="1" applyAlignment="1">
      <alignment horizontal="right" vertical="top"/>
    </xf>
    <xf numFmtId="0" fontId="33" fillId="3" borderId="0" xfId="0" applyFont="1" applyFill="1"/>
    <xf numFmtId="1" fontId="12" fillId="3" borderId="1" xfId="0" applyNumberFormat="1" applyFont="1" applyFill="1" applyBorder="1"/>
    <xf numFmtId="1" fontId="12" fillId="3" borderId="1" xfId="0" applyNumberFormat="1" applyFont="1" applyFill="1" applyBorder="1" applyAlignment="1">
      <alignment horizontal="right"/>
    </xf>
    <xf numFmtId="173" fontId="12" fillId="3" borderId="1" xfId="1" applyNumberFormat="1" applyFont="1" applyFill="1" applyBorder="1"/>
    <xf numFmtId="173" fontId="12" fillId="0" borderId="1" xfId="1" applyNumberFormat="1" applyFont="1" applyFill="1" applyBorder="1"/>
    <xf numFmtId="174" fontId="12" fillId="0" borderId="0" xfId="1" applyNumberFormat="1" applyFont="1"/>
    <xf numFmtId="174" fontId="12" fillId="0" borderId="0" xfId="1" applyNumberFormat="1" applyFont="1" applyBorder="1"/>
    <xf numFmtId="164" fontId="12" fillId="2" borderId="1" xfId="1" applyNumberFormat="1" applyFont="1" applyFill="1" applyBorder="1"/>
    <xf numFmtId="173" fontId="12" fillId="2" borderId="1" xfId="1" applyNumberFormat="1" applyFont="1" applyFill="1" applyBorder="1"/>
    <xf numFmtId="164" fontId="12" fillId="3" borderId="1" xfId="1" applyNumberFormat="1" applyFont="1" applyFill="1" applyBorder="1"/>
    <xf numFmtId="164" fontId="12" fillId="0" borderId="1" xfId="1" applyNumberFormat="1" applyFont="1" applyFill="1" applyBorder="1"/>
    <xf numFmtId="175" fontId="12" fillId="0" borderId="0" xfId="1" applyNumberFormat="1" applyFont="1"/>
    <xf numFmtId="2" fontId="12" fillId="2" borderId="1" xfId="1" applyNumberFormat="1" applyFont="1" applyFill="1" applyBorder="1"/>
    <xf numFmtId="2" fontId="11" fillId="0" borderId="0" xfId="2" applyNumberFormat="1" applyFont="1" applyAlignment="1">
      <alignment horizontal="right" indent="1"/>
    </xf>
    <xf numFmtId="175" fontId="11" fillId="0" borderId="0" xfId="2" applyNumberFormat="1" applyFont="1" applyAlignment="1">
      <alignment horizontal="right" indent="1"/>
    </xf>
    <xf numFmtId="173" fontId="12" fillId="0" borderId="0" xfId="1" applyNumberFormat="1" applyFont="1"/>
    <xf numFmtId="173" fontId="11" fillId="0" borderId="0" xfId="2" applyNumberFormat="1" applyFont="1"/>
    <xf numFmtId="0" fontId="11" fillId="12" borderId="1" xfId="0" applyFont="1" applyFill="1" applyBorder="1"/>
    <xf numFmtId="0" fontId="12" fillId="15" borderId="0" xfId="0" applyFont="1" applyFill="1"/>
    <xf numFmtId="0" fontId="9" fillId="15" borderId="0" xfId="0" applyFont="1" applyFill="1"/>
    <xf numFmtId="0" fontId="12" fillId="3" borderId="0" xfId="0" applyFont="1" applyFill="1" applyAlignment="1">
      <alignment horizontal="right"/>
    </xf>
    <xf numFmtId="164" fontId="12" fillId="3" borderId="1" xfId="2" applyNumberFormat="1" applyFont="1" applyFill="1" applyBorder="1" applyAlignment="1">
      <alignment horizontal="right"/>
    </xf>
    <xf numFmtId="174" fontId="12" fillId="15" borderId="0" xfId="0" applyNumberFormat="1" applyFont="1" applyFill="1"/>
    <xf numFmtId="173" fontId="12" fillId="3" borderId="1" xfId="2" applyNumberFormat="1" applyFont="1" applyFill="1" applyBorder="1" applyAlignment="1">
      <alignment horizontal="right"/>
    </xf>
    <xf numFmtId="174" fontId="12" fillId="3" borderId="1" xfId="2" applyNumberFormat="1" applyFont="1" applyFill="1" applyBorder="1" applyAlignment="1">
      <alignment horizontal="right"/>
    </xf>
    <xf numFmtId="2" fontId="12" fillId="3" borderId="1" xfId="2" applyNumberFormat="1" applyFont="1" applyFill="1" applyBorder="1" applyAlignment="1">
      <alignment horizontal="right"/>
    </xf>
    <xf numFmtId="175" fontId="12" fillId="3" borderId="1" xfId="2" applyNumberFormat="1" applyFont="1" applyFill="1" applyBorder="1" applyAlignment="1">
      <alignment horizontal="right"/>
    </xf>
    <xf numFmtId="2" fontId="9" fillId="3" borderId="1" xfId="0" applyNumberFormat="1" applyFont="1" applyFill="1" applyBorder="1"/>
    <xf numFmtId="175" fontId="9" fillId="3" borderId="1" xfId="0" applyNumberFormat="1" applyFont="1" applyFill="1" applyBorder="1"/>
    <xf numFmtId="174" fontId="9" fillId="15" borderId="0" xfId="0" applyNumberFormat="1" applyFont="1" applyFill="1"/>
    <xf numFmtId="0" fontId="29" fillId="3" borderId="0" xfId="1" applyFont="1" applyFill="1" applyBorder="1" applyAlignment="1">
      <alignment horizontal="left"/>
    </xf>
    <xf numFmtId="0" fontId="18" fillId="3" borderId="0" xfId="1" applyFont="1" applyFill="1" applyBorder="1" applyAlignment="1">
      <alignment horizontal="left"/>
    </xf>
    <xf numFmtId="164" fontId="12" fillId="0" borderId="1" xfId="0" applyNumberFormat="1" applyFont="1" applyBorder="1"/>
    <xf numFmtId="173" fontId="12" fillId="0" borderId="1" xfId="0" applyNumberFormat="1" applyFont="1" applyBorder="1"/>
    <xf numFmtId="175" fontId="12" fillId="0" borderId="1" xfId="0" applyNumberFormat="1" applyFont="1" applyBorder="1"/>
    <xf numFmtId="0" fontId="48" fillId="3" borderId="0" xfId="0" applyFont="1" applyFill="1"/>
    <xf numFmtId="164" fontId="12" fillId="0" borderId="37" xfId="1" applyNumberFormat="1" applyFont="1" applyBorder="1"/>
    <xf numFmtId="174" fontId="12" fillId="8" borderId="12" xfId="1" applyNumberFormat="1" applyFont="1" applyFill="1" applyBorder="1"/>
    <xf numFmtId="173" fontId="12" fillId="0" borderId="37" xfId="1" applyNumberFormat="1" applyFont="1" applyBorder="1"/>
    <xf numFmtId="2" fontId="12" fillId="0" borderId="15" xfId="0" applyNumberFormat="1" applyFont="1" applyBorder="1"/>
    <xf numFmtId="0" fontId="0" fillId="3" borderId="46" xfId="0" applyFill="1" applyBorder="1"/>
    <xf numFmtId="0" fontId="25" fillId="3" borderId="46" xfId="0" applyFont="1" applyFill="1" applyBorder="1"/>
    <xf numFmtId="0" fontId="2" fillId="3" borderId="0" xfId="1" applyFont="1" applyFill="1"/>
    <xf numFmtId="0" fontId="49" fillId="3" borderId="0" xfId="0" applyFont="1" applyFill="1"/>
    <xf numFmtId="176" fontId="12" fillId="3" borderId="0" xfId="0" applyNumberFormat="1" applyFont="1" applyFill="1"/>
    <xf numFmtId="176" fontId="13" fillId="4" borderId="1" xfId="0" applyNumberFormat="1" applyFont="1" applyFill="1" applyBorder="1"/>
    <xf numFmtId="176" fontId="13" fillId="0" borderId="1" xfId="0" applyNumberFormat="1" applyFont="1" applyFill="1" applyBorder="1"/>
    <xf numFmtId="176" fontId="12" fillId="0" borderId="1" xfId="0" applyNumberFormat="1" applyFont="1" applyBorder="1"/>
    <xf numFmtId="176" fontId="12" fillId="9" borderId="1" xfId="0" applyNumberFormat="1" applyFont="1" applyFill="1" applyBorder="1"/>
    <xf numFmtId="176" fontId="12" fillId="10" borderId="1" xfId="0" applyNumberFormat="1" applyFont="1" applyFill="1" applyBorder="1"/>
    <xf numFmtId="177" fontId="12" fillId="0" borderId="0" xfId="1" applyNumberFormat="1" applyFont="1"/>
    <xf numFmtId="165" fontId="12" fillId="0" borderId="0" xfId="1" applyNumberFormat="1" applyFont="1"/>
    <xf numFmtId="2" fontId="12" fillId="3" borderId="1" xfId="0" applyNumberFormat="1" applyFont="1" applyFill="1" applyBorder="1"/>
    <xf numFmtId="174" fontId="12" fillId="3" borderId="1" xfId="1" applyNumberFormat="1" applyFont="1" applyFill="1" applyBorder="1"/>
    <xf numFmtId="164" fontId="12" fillId="3" borderId="1" xfId="0" applyNumberFormat="1" applyFont="1" applyFill="1" applyBorder="1"/>
    <xf numFmtId="0" fontId="6" fillId="3" borderId="0" xfId="1" applyFont="1" applyFill="1" applyAlignment="1">
      <alignment horizontal="left" wrapText="1"/>
    </xf>
    <xf numFmtId="0" fontId="9" fillId="3" borderId="0" xfId="1" applyFont="1" applyFill="1" applyAlignment="1">
      <alignment horizontal="left" vertical="top" wrapText="1"/>
    </xf>
    <xf numFmtId="0" fontId="4" fillId="3" borderId="0" xfId="1" applyFont="1" applyFill="1" applyAlignment="1">
      <alignment horizontal="left" vertical="top" wrapText="1"/>
    </xf>
    <xf numFmtId="0" fontId="12" fillId="3" borderId="2" xfId="1" applyFont="1" applyFill="1" applyBorder="1" applyAlignment="1">
      <alignment horizontal="center" vertical="center" wrapText="1"/>
    </xf>
    <xf numFmtId="0" fontId="12" fillId="3" borderId="6" xfId="1" applyFont="1" applyFill="1" applyBorder="1" applyAlignment="1">
      <alignment horizontal="center" vertical="center" wrapText="1"/>
    </xf>
    <xf numFmtId="0" fontId="12" fillId="0" borderId="2" xfId="1" applyFont="1" applyBorder="1" applyAlignment="1">
      <alignment horizontal="center" vertical="center" wrapText="1"/>
    </xf>
    <xf numFmtId="0" fontId="12" fillId="0" borderId="6" xfId="1" applyFont="1" applyBorder="1" applyAlignment="1">
      <alignment horizontal="center" vertical="center" wrapText="1"/>
    </xf>
    <xf numFmtId="0" fontId="11" fillId="5" borderId="0" xfId="1" applyFont="1" applyFill="1" applyBorder="1" applyAlignment="1">
      <alignment horizontal="center" vertical="center" wrapText="1"/>
    </xf>
    <xf numFmtId="0" fontId="13" fillId="4" borderId="3" xfId="0" applyFont="1" applyFill="1" applyBorder="1" applyAlignment="1">
      <alignment horizontal="center"/>
    </xf>
    <xf numFmtId="0" fontId="13" fillId="4" borderId="4" xfId="0" applyFont="1" applyFill="1" applyBorder="1" applyAlignment="1">
      <alignment horizontal="center"/>
    </xf>
    <xf numFmtId="0" fontId="13" fillId="4" borderId="5" xfId="0" applyFont="1" applyFill="1" applyBorder="1" applyAlignment="1">
      <alignment horizontal="center"/>
    </xf>
    <xf numFmtId="0" fontId="44" fillId="14" borderId="44" xfId="0" applyFont="1" applyFill="1" applyBorder="1" applyAlignment="1">
      <alignment horizontal="center" vertical="top" wrapText="1"/>
    </xf>
    <xf numFmtId="0" fontId="44" fillId="14" borderId="45" xfId="0" applyFont="1" applyFill="1" applyBorder="1" applyAlignment="1">
      <alignment horizontal="center" vertical="top" wrapText="1"/>
    </xf>
    <xf numFmtId="0" fontId="44" fillId="14" borderId="1" xfId="0" applyFont="1" applyFill="1" applyBorder="1" applyAlignment="1">
      <alignment horizontal="center" vertical="top" wrapText="1"/>
    </xf>
    <xf numFmtId="0" fontId="44" fillId="14" borderId="26" xfId="0" applyFont="1" applyFill="1" applyBorder="1" applyAlignment="1">
      <alignment horizontal="center" vertical="top" wrapText="1"/>
    </xf>
    <xf numFmtId="0" fontId="44" fillId="14" borderId="30" xfId="0" applyFont="1" applyFill="1" applyBorder="1" applyAlignment="1">
      <alignment horizontal="center" vertical="center" wrapText="1"/>
    </xf>
    <xf numFmtId="0" fontId="44" fillId="14" borderId="31" xfId="0" applyFont="1" applyFill="1" applyBorder="1" applyAlignment="1">
      <alignment horizontal="center" vertical="center" wrapText="1"/>
    </xf>
    <xf numFmtId="0" fontId="44" fillId="14" borderId="32" xfId="0" applyFont="1" applyFill="1" applyBorder="1" applyAlignment="1">
      <alignment horizontal="center" vertical="center" wrapText="1"/>
    </xf>
    <xf numFmtId="0" fontId="44" fillId="14" borderId="33" xfId="0" applyFont="1" applyFill="1" applyBorder="1" applyAlignment="1">
      <alignment horizontal="center" vertical="center" wrapText="1"/>
    </xf>
    <xf numFmtId="0" fontId="44" fillId="14" borderId="3" xfId="0" applyFont="1" applyFill="1" applyBorder="1" applyAlignment="1">
      <alignment horizontal="center" vertical="center"/>
    </xf>
    <xf numFmtId="0" fontId="44" fillId="14" borderId="4" xfId="0" applyFont="1" applyFill="1" applyBorder="1" applyAlignment="1">
      <alignment horizontal="center" vertical="center"/>
    </xf>
    <xf numFmtId="0" fontId="44" fillId="14" borderId="5" xfId="0" applyFont="1" applyFill="1" applyBorder="1" applyAlignment="1">
      <alignment horizontal="center" vertical="center"/>
    </xf>
    <xf numFmtId="0" fontId="44" fillId="14" borderId="3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22" xfId="0" applyFont="1" applyFill="1" applyBorder="1" applyAlignment="1">
      <alignment horizontal="center" vertical="center"/>
    </xf>
    <xf numFmtId="0" fontId="12" fillId="3" borderId="6" xfId="0" applyFont="1" applyFill="1" applyBorder="1" applyAlignment="1">
      <alignment horizontal="center" vertical="center"/>
    </xf>
    <xf numFmtId="0" fontId="12" fillId="3" borderId="1" xfId="0" applyFont="1" applyFill="1" applyBorder="1" applyAlignment="1">
      <alignment horizontal="center" vertical="center"/>
    </xf>
    <xf numFmtId="0" fontId="13" fillId="4" borderId="3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0" fillId="3" borderId="1" xfId="0" applyFill="1" applyBorder="1" applyAlignment="1">
      <alignment horizontal="left" vertical="top" wrapText="1"/>
    </xf>
    <xf numFmtId="0" fontId="0" fillId="3" borderId="3" xfId="0" applyFill="1" applyBorder="1" applyAlignment="1">
      <alignment horizontal="left"/>
    </xf>
    <xf numFmtId="0" fontId="0" fillId="3" borderId="5" xfId="0" applyFill="1" applyBorder="1" applyAlignment="1">
      <alignment horizontal="left"/>
    </xf>
    <xf numFmtId="0" fontId="0" fillId="3" borderId="1" xfId="0" applyFill="1" applyBorder="1" applyAlignment="1">
      <alignment horizontal="left"/>
    </xf>
  </cellXfs>
  <cellStyles count="5">
    <cellStyle name="Comma" xfId="2" builtinId="3"/>
    <cellStyle name="Normal" xfId="0" builtinId="0"/>
    <cellStyle name="Normal 2" xfId="1"/>
    <cellStyle name="Percent" xfId="4" builtinId="5"/>
    <cellStyle name="Percent 2" xfId="3"/>
  </cellStyles>
  <dxfs count="0"/>
  <tableStyles count="0" defaultTableStyle="TableStyleMedium2" defaultPivotStyle="PivotStyleLight16"/>
  <colors>
    <mruColors>
      <color rgb="FFFE685C"/>
      <color rgb="FFF2F2F2"/>
      <color rgb="FFFF0000"/>
      <color rgb="FFF39C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66607243751219E-2"/>
          <c:y val="5.8856895567741062E-2"/>
          <c:w val="0.8685957073599101"/>
          <c:h val="0.72827939593142887"/>
        </c:manualLayout>
      </c:layout>
      <c:barChart>
        <c:barDir val="col"/>
        <c:grouping val="stacked"/>
        <c:varyColors val="0"/>
        <c:ser>
          <c:idx val="0"/>
          <c:order val="0"/>
          <c:tx>
            <c:strRef>
              <c:f>Drivers!$E$6</c:f>
              <c:strCache>
                <c:ptCount val="1"/>
                <c:pt idx="0">
                  <c:v>Electricity</c:v>
                </c:pt>
              </c:strCache>
            </c:strRef>
          </c:tx>
          <c:spPr>
            <a:solidFill>
              <a:schemeClr val="accent1"/>
            </a:solidFill>
            <a:ln>
              <a:noFill/>
            </a:ln>
            <a:effectLst/>
          </c:spPr>
          <c:invertIfNegative val="0"/>
          <c:cat>
            <c:strRef>
              <c:f>Drivers!$D$7:$D$8</c:f>
              <c:strCache>
                <c:ptCount val="2"/>
                <c:pt idx="0">
                  <c:v>Legacy</c:v>
                </c:pt>
                <c:pt idx="1">
                  <c:v>Upgraded</c:v>
                </c:pt>
              </c:strCache>
            </c:strRef>
          </c:cat>
          <c:val>
            <c:numRef>
              <c:f>Drivers!$E$7:$E$8</c:f>
              <c:numCache>
                <c:formatCode>0.00</c:formatCode>
                <c:ptCount val="2"/>
                <c:pt idx="0">
                  <c:v>0.30665163820000002</c:v>
                </c:pt>
                <c:pt idx="1">
                  <c:v>0.45132000000000005</c:v>
                </c:pt>
              </c:numCache>
            </c:numRef>
          </c:val>
          <c:extLst>
            <c:ext xmlns:c16="http://schemas.microsoft.com/office/drawing/2014/chart" uri="{C3380CC4-5D6E-409C-BE32-E72D297353CC}">
              <c16:uniqueId val="{00000000-7987-4130-ADED-077C9F61C957}"/>
            </c:ext>
          </c:extLst>
        </c:ser>
        <c:ser>
          <c:idx val="1"/>
          <c:order val="1"/>
          <c:tx>
            <c:strRef>
              <c:f>Drivers!$F$6</c:f>
              <c:strCache>
                <c:ptCount val="1"/>
                <c:pt idx="0">
                  <c:v>Natural Gas</c:v>
                </c:pt>
              </c:strCache>
            </c:strRef>
          </c:tx>
          <c:spPr>
            <a:solidFill>
              <a:schemeClr val="accent2"/>
            </a:solidFill>
            <a:ln>
              <a:noFill/>
            </a:ln>
            <a:effectLst/>
          </c:spPr>
          <c:invertIfNegative val="0"/>
          <c:cat>
            <c:strRef>
              <c:f>Drivers!$D$7:$D$8</c:f>
              <c:strCache>
                <c:ptCount val="2"/>
                <c:pt idx="0">
                  <c:v>Legacy</c:v>
                </c:pt>
                <c:pt idx="1">
                  <c:v>Upgraded</c:v>
                </c:pt>
              </c:strCache>
            </c:strRef>
          </c:cat>
          <c:val>
            <c:numRef>
              <c:f>Drivers!$F$7:$F$8</c:f>
              <c:numCache>
                <c:formatCode>0.00</c:formatCode>
                <c:ptCount val="2"/>
                <c:pt idx="0">
                  <c:v>4.648E-2</c:v>
                </c:pt>
                <c:pt idx="1">
                  <c:v>0.11232</c:v>
                </c:pt>
              </c:numCache>
            </c:numRef>
          </c:val>
          <c:extLst>
            <c:ext xmlns:c16="http://schemas.microsoft.com/office/drawing/2014/chart" uri="{C3380CC4-5D6E-409C-BE32-E72D297353CC}">
              <c16:uniqueId val="{00000001-7987-4130-ADED-077C9F61C957}"/>
            </c:ext>
          </c:extLst>
        </c:ser>
        <c:ser>
          <c:idx val="2"/>
          <c:order val="2"/>
          <c:tx>
            <c:strRef>
              <c:f>Drivers!$G$6</c:f>
              <c:strCache>
                <c:ptCount val="1"/>
                <c:pt idx="0">
                  <c:v>Chemicals</c:v>
                </c:pt>
              </c:strCache>
            </c:strRef>
          </c:tx>
          <c:spPr>
            <a:solidFill>
              <a:schemeClr val="tx1"/>
            </a:solidFill>
            <a:ln>
              <a:noFill/>
            </a:ln>
            <a:effectLst/>
          </c:spPr>
          <c:invertIfNegative val="0"/>
          <c:cat>
            <c:strRef>
              <c:f>Drivers!$D$7:$D$8</c:f>
              <c:strCache>
                <c:ptCount val="2"/>
                <c:pt idx="0">
                  <c:v>Legacy</c:v>
                </c:pt>
                <c:pt idx="1">
                  <c:v>Upgraded</c:v>
                </c:pt>
              </c:strCache>
            </c:strRef>
          </c:cat>
          <c:val>
            <c:numRef>
              <c:f>Drivers!$G$7:$G$8</c:f>
              <c:numCache>
                <c:formatCode>0.00</c:formatCode>
                <c:ptCount val="2"/>
                <c:pt idx="0">
                  <c:v>8.1939999999999999E-2</c:v>
                </c:pt>
                <c:pt idx="1">
                  <c:v>4.777E-2</c:v>
                </c:pt>
              </c:numCache>
            </c:numRef>
          </c:val>
          <c:extLst>
            <c:ext xmlns:c16="http://schemas.microsoft.com/office/drawing/2014/chart" uri="{C3380CC4-5D6E-409C-BE32-E72D297353CC}">
              <c16:uniqueId val="{00000002-7987-4130-ADED-077C9F61C957}"/>
            </c:ext>
          </c:extLst>
        </c:ser>
        <c:ser>
          <c:idx val="3"/>
          <c:order val="3"/>
          <c:tx>
            <c:strRef>
              <c:f>Drivers!$H$6</c:f>
              <c:strCache>
                <c:ptCount val="1"/>
                <c:pt idx="0">
                  <c:v>Unit Process Emissions</c:v>
                </c:pt>
              </c:strCache>
            </c:strRef>
          </c:tx>
          <c:spPr>
            <a:solidFill>
              <a:schemeClr val="accent4"/>
            </a:solidFill>
            <a:ln>
              <a:noFill/>
            </a:ln>
            <a:effectLst/>
          </c:spPr>
          <c:invertIfNegative val="0"/>
          <c:cat>
            <c:strRef>
              <c:f>Drivers!$D$7:$D$8</c:f>
              <c:strCache>
                <c:ptCount val="2"/>
                <c:pt idx="0">
                  <c:v>Legacy</c:v>
                </c:pt>
                <c:pt idx="1">
                  <c:v>Upgraded</c:v>
                </c:pt>
              </c:strCache>
            </c:strRef>
          </c:cat>
          <c:val>
            <c:numRef>
              <c:f>Drivers!$H$7:$H$8</c:f>
              <c:numCache>
                <c:formatCode>0.00</c:formatCode>
                <c:ptCount val="2"/>
                <c:pt idx="0">
                  <c:v>0.12460560021199997</c:v>
                </c:pt>
                <c:pt idx="1">
                  <c:v>0.24572555478330002</c:v>
                </c:pt>
              </c:numCache>
            </c:numRef>
          </c:val>
          <c:extLst>
            <c:ext xmlns:c16="http://schemas.microsoft.com/office/drawing/2014/chart" uri="{C3380CC4-5D6E-409C-BE32-E72D297353CC}">
              <c16:uniqueId val="{00000003-7987-4130-ADED-077C9F61C957}"/>
            </c:ext>
          </c:extLst>
        </c:ser>
        <c:ser>
          <c:idx val="4"/>
          <c:order val="4"/>
          <c:tx>
            <c:strRef>
              <c:f>Drivers!$I$6</c:f>
              <c:strCache>
                <c:ptCount val="1"/>
                <c:pt idx="0">
                  <c:v>Effluent Release</c:v>
                </c:pt>
              </c:strCache>
            </c:strRef>
          </c:tx>
          <c:spPr>
            <a:solidFill>
              <a:schemeClr val="bg1">
                <a:lumMod val="65000"/>
              </a:schemeClr>
            </a:solidFill>
            <a:ln>
              <a:noFill/>
            </a:ln>
            <a:effectLst/>
          </c:spPr>
          <c:invertIfNegative val="0"/>
          <c:cat>
            <c:strRef>
              <c:f>Drivers!$D$7:$D$8</c:f>
              <c:strCache>
                <c:ptCount val="2"/>
                <c:pt idx="0">
                  <c:v>Legacy</c:v>
                </c:pt>
                <c:pt idx="1">
                  <c:v>Upgraded</c:v>
                </c:pt>
              </c:strCache>
            </c:strRef>
          </c:cat>
          <c:val>
            <c:numRef>
              <c:f>Drivers!$I$7:$I$8</c:f>
              <c:numCache>
                <c:formatCode>0.00</c:formatCode>
                <c:ptCount val="2"/>
                <c:pt idx="0">
                  <c:v>7.3900090599999996E-2</c:v>
                </c:pt>
                <c:pt idx="1">
                  <c:v>4.5600000000000002E-2</c:v>
                </c:pt>
              </c:numCache>
            </c:numRef>
          </c:val>
          <c:extLst>
            <c:ext xmlns:c16="http://schemas.microsoft.com/office/drawing/2014/chart" uri="{C3380CC4-5D6E-409C-BE32-E72D297353CC}">
              <c16:uniqueId val="{00000004-7987-4130-ADED-077C9F61C957}"/>
            </c:ext>
          </c:extLst>
        </c:ser>
        <c:ser>
          <c:idx val="5"/>
          <c:order val="5"/>
          <c:tx>
            <c:strRef>
              <c:f>Drivers!$J$6</c:f>
              <c:strCache>
                <c:ptCount val="1"/>
                <c:pt idx="0">
                  <c:v>Transport</c:v>
                </c:pt>
              </c:strCache>
            </c:strRef>
          </c:tx>
          <c:spPr>
            <a:solidFill>
              <a:schemeClr val="accent6"/>
            </a:solidFill>
            <a:ln>
              <a:noFill/>
            </a:ln>
            <a:effectLst/>
          </c:spPr>
          <c:invertIfNegative val="0"/>
          <c:cat>
            <c:strRef>
              <c:f>Drivers!$D$7:$D$8</c:f>
              <c:strCache>
                <c:ptCount val="2"/>
                <c:pt idx="0">
                  <c:v>Legacy</c:v>
                </c:pt>
                <c:pt idx="1">
                  <c:v>Upgraded</c:v>
                </c:pt>
              </c:strCache>
            </c:strRef>
          </c:cat>
          <c:val>
            <c:numRef>
              <c:f>Drivers!$J$7:$J$8</c:f>
              <c:numCache>
                <c:formatCode>0.00</c:formatCode>
                <c:ptCount val="2"/>
                <c:pt idx="0">
                  <c:v>9.75E-3</c:v>
                </c:pt>
                <c:pt idx="1">
                  <c:v>9.5890000000000003E-2</c:v>
                </c:pt>
              </c:numCache>
            </c:numRef>
          </c:val>
          <c:extLst>
            <c:ext xmlns:c16="http://schemas.microsoft.com/office/drawing/2014/chart" uri="{C3380CC4-5D6E-409C-BE32-E72D297353CC}">
              <c16:uniqueId val="{00000005-7987-4130-ADED-077C9F61C957}"/>
            </c:ext>
          </c:extLst>
        </c:ser>
        <c:ser>
          <c:idx val="6"/>
          <c:order val="6"/>
          <c:tx>
            <c:strRef>
              <c:f>Drivers!$K$6</c:f>
              <c:strCache>
                <c:ptCount val="1"/>
                <c:pt idx="0">
                  <c:v>Landfill</c:v>
                </c:pt>
              </c:strCache>
            </c:strRef>
          </c:tx>
          <c:spPr>
            <a:solidFill>
              <a:schemeClr val="accent1">
                <a:lumMod val="60000"/>
              </a:schemeClr>
            </a:solidFill>
            <a:ln>
              <a:noFill/>
            </a:ln>
            <a:effectLst/>
          </c:spPr>
          <c:invertIfNegative val="0"/>
          <c:cat>
            <c:strRef>
              <c:f>Drivers!$D$7:$D$8</c:f>
              <c:strCache>
                <c:ptCount val="2"/>
                <c:pt idx="0">
                  <c:v>Legacy</c:v>
                </c:pt>
                <c:pt idx="1">
                  <c:v>Upgraded</c:v>
                </c:pt>
              </c:strCache>
            </c:strRef>
          </c:cat>
          <c:val>
            <c:numRef>
              <c:f>Drivers!$K$7:$K$8</c:f>
              <c:numCache>
                <c:formatCode>0.00</c:formatCode>
                <c:ptCount val="2"/>
                <c:pt idx="0">
                  <c:v>0.13897000000000001</c:v>
                </c:pt>
                <c:pt idx="1">
                  <c:v>0</c:v>
                </c:pt>
              </c:numCache>
            </c:numRef>
          </c:val>
          <c:extLst>
            <c:ext xmlns:c16="http://schemas.microsoft.com/office/drawing/2014/chart" uri="{C3380CC4-5D6E-409C-BE32-E72D297353CC}">
              <c16:uniqueId val="{00000006-7987-4130-ADED-077C9F61C957}"/>
            </c:ext>
          </c:extLst>
        </c:ser>
        <c:ser>
          <c:idx val="7"/>
          <c:order val="7"/>
          <c:tx>
            <c:strRef>
              <c:f>Drivers!$L$6</c:f>
              <c:strCache>
                <c:ptCount val="1"/>
                <c:pt idx="0">
                  <c:v>Composting</c:v>
                </c:pt>
              </c:strCache>
            </c:strRef>
          </c:tx>
          <c:spPr>
            <a:solidFill>
              <a:schemeClr val="accent2">
                <a:lumMod val="60000"/>
              </a:schemeClr>
            </a:solidFill>
            <a:ln>
              <a:noFill/>
            </a:ln>
            <a:effectLst/>
          </c:spPr>
          <c:invertIfNegative val="0"/>
          <c:cat>
            <c:strRef>
              <c:f>Drivers!$D$7:$D$8</c:f>
              <c:strCache>
                <c:ptCount val="2"/>
                <c:pt idx="0">
                  <c:v>Legacy</c:v>
                </c:pt>
                <c:pt idx="1">
                  <c:v>Upgraded</c:v>
                </c:pt>
              </c:strCache>
            </c:strRef>
          </c:cat>
          <c:val>
            <c:numRef>
              <c:f>Drivers!$L$7:$L$8</c:f>
              <c:numCache>
                <c:formatCode>0.00</c:formatCode>
                <c:ptCount val="2"/>
                <c:pt idx="0">
                  <c:v>0</c:v>
                </c:pt>
                <c:pt idx="1">
                  <c:v>0.73365559652000001</c:v>
                </c:pt>
              </c:numCache>
            </c:numRef>
          </c:val>
          <c:extLst>
            <c:ext xmlns:c16="http://schemas.microsoft.com/office/drawing/2014/chart" uri="{C3380CC4-5D6E-409C-BE32-E72D297353CC}">
              <c16:uniqueId val="{00000007-7987-4130-ADED-077C9F61C957}"/>
            </c:ext>
          </c:extLst>
        </c:ser>
        <c:ser>
          <c:idx val="8"/>
          <c:order val="8"/>
          <c:tx>
            <c:strRef>
              <c:f>Drivers!$M$6</c:f>
              <c:strCache>
                <c:ptCount val="1"/>
                <c:pt idx="0">
                  <c:v>Land Application</c:v>
                </c:pt>
              </c:strCache>
            </c:strRef>
          </c:tx>
          <c:spPr>
            <a:solidFill>
              <a:schemeClr val="accent3">
                <a:lumMod val="60000"/>
              </a:schemeClr>
            </a:solidFill>
            <a:ln>
              <a:noFill/>
            </a:ln>
            <a:effectLst/>
          </c:spPr>
          <c:invertIfNegative val="0"/>
          <c:cat>
            <c:strRef>
              <c:f>Drivers!$D$7:$D$8</c:f>
              <c:strCache>
                <c:ptCount val="2"/>
                <c:pt idx="0">
                  <c:v>Legacy</c:v>
                </c:pt>
                <c:pt idx="1">
                  <c:v>Upgraded</c:v>
                </c:pt>
              </c:strCache>
            </c:strRef>
          </c:cat>
          <c:val>
            <c:numRef>
              <c:f>Drivers!$M$7:$M$8</c:f>
              <c:numCache>
                <c:formatCode>0.00</c:formatCode>
                <c:ptCount val="2"/>
                <c:pt idx="0">
                  <c:v>0</c:v>
                </c:pt>
                <c:pt idx="1">
                  <c:v>-0.42958641220999999</c:v>
                </c:pt>
              </c:numCache>
            </c:numRef>
          </c:val>
          <c:extLst>
            <c:ext xmlns:c16="http://schemas.microsoft.com/office/drawing/2014/chart" uri="{C3380CC4-5D6E-409C-BE32-E72D297353CC}">
              <c16:uniqueId val="{00000000-B563-4A95-8D74-EFFCF92AAB7F}"/>
            </c:ext>
          </c:extLst>
        </c:ser>
        <c:ser>
          <c:idx val="9"/>
          <c:order val="9"/>
          <c:tx>
            <c:strRef>
              <c:f>Drivers!$N$6</c:f>
              <c:strCache>
                <c:ptCount val="1"/>
                <c:pt idx="0">
                  <c:v>Avoided Products</c:v>
                </c:pt>
              </c:strCache>
            </c:strRef>
          </c:tx>
          <c:spPr>
            <a:solidFill>
              <a:schemeClr val="accent4">
                <a:lumMod val="60000"/>
              </a:schemeClr>
            </a:solidFill>
            <a:ln>
              <a:noFill/>
            </a:ln>
            <a:effectLst/>
          </c:spPr>
          <c:invertIfNegative val="0"/>
          <c:cat>
            <c:strRef>
              <c:f>Drivers!$D$7:$D$8</c:f>
              <c:strCache>
                <c:ptCount val="2"/>
                <c:pt idx="0">
                  <c:v>Legacy</c:v>
                </c:pt>
                <c:pt idx="1">
                  <c:v>Upgraded</c:v>
                </c:pt>
              </c:strCache>
            </c:strRef>
          </c:cat>
          <c:val>
            <c:numRef>
              <c:f>Drivers!$N$7:$N$8</c:f>
              <c:numCache>
                <c:formatCode>0.00</c:formatCode>
                <c:ptCount val="2"/>
                <c:pt idx="0">
                  <c:v>-3.1980000000000001E-2</c:v>
                </c:pt>
                <c:pt idx="1">
                  <c:v>-0.36641886161999998</c:v>
                </c:pt>
              </c:numCache>
            </c:numRef>
          </c:val>
          <c:extLst>
            <c:ext xmlns:c16="http://schemas.microsoft.com/office/drawing/2014/chart" uri="{C3380CC4-5D6E-409C-BE32-E72D297353CC}">
              <c16:uniqueId val="{00000001-B563-4A95-8D74-EFFCF92AAB7F}"/>
            </c:ext>
          </c:extLst>
        </c:ser>
        <c:ser>
          <c:idx val="10"/>
          <c:order val="10"/>
          <c:tx>
            <c:strRef>
              <c:f>Drivers!$O$6</c:f>
              <c:strCache>
                <c:ptCount val="1"/>
                <c:pt idx="0">
                  <c:v>Infrastructure</c:v>
                </c:pt>
              </c:strCache>
            </c:strRef>
          </c:tx>
          <c:spPr>
            <a:solidFill>
              <a:schemeClr val="accent5">
                <a:lumMod val="60000"/>
              </a:schemeClr>
            </a:solidFill>
            <a:ln>
              <a:noFill/>
            </a:ln>
            <a:effectLst/>
          </c:spPr>
          <c:invertIfNegative val="0"/>
          <c:cat>
            <c:strRef>
              <c:f>Drivers!$D$7:$D$8</c:f>
              <c:strCache>
                <c:ptCount val="2"/>
                <c:pt idx="0">
                  <c:v>Legacy</c:v>
                </c:pt>
                <c:pt idx="1">
                  <c:v>Upgraded</c:v>
                </c:pt>
              </c:strCache>
            </c:strRef>
          </c:cat>
          <c:val>
            <c:numRef>
              <c:f>Drivers!$O$7:$O$8</c:f>
              <c:numCache>
                <c:formatCode>0.00</c:formatCode>
                <c:ptCount val="2"/>
                <c:pt idx="0">
                  <c:v>1.7892670988000001E-2</c:v>
                </c:pt>
                <c:pt idx="1">
                  <c:v>3.5334445216700018E-2</c:v>
                </c:pt>
              </c:numCache>
            </c:numRef>
          </c:val>
          <c:extLst>
            <c:ext xmlns:c16="http://schemas.microsoft.com/office/drawing/2014/chart" uri="{C3380CC4-5D6E-409C-BE32-E72D297353CC}">
              <c16:uniqueId val="{00000002-B563-4A95-8D74-EFFCF92AAB7F}"/>
            </c:ext>
          </c:extLst>
        </c:ser>
        <c:ser>
          <c:idx val="11"/>
          <c:order val="11"/>
          <c:tx>
            <c:strRef>
              <c:f>Drivers!$P$6</c:f>
              <c:strCache>
                <c:ptCount val="1"/>
                <c:pt idx="0">
                  <c:v>Diesel</c:v>
                </c:pt>
              </c:strCache>
            </c:strRef>
          </c:tx>
          <c:spPr>
            <a:solidFill>
              <a:schemeClr val="accent6">
                <a:lumMod val="60000"/>
              </a:schemeClr>
            </a:solidFill>
            <a:ln>
              <a:noFill/>
            </a:ln>
            <a:effectLst/>
          </c:spPr>
          <c:invertIfNegative val="0"/>
          <c:cat>
            <c:strRef>
              <c:f>Drivers!$D$7:$D$8</c:f>
              <c:strCache>
                <c:ptCount val="2"/>
                <c:pt idx="0">
                  <c:v>Legacy</c:v>
                </c:pt>
                <c:pt idx="1">
                  <c:v>Upgraded</c:v>
                </c:pt>
              </c:strCache>
            </c:strRef>
          </c:cat>
          <c:val>
            <c:numRef>
              <c:f>Drivers!$P$7:$P$8</c:f>
              <c:numCache>
                <c:formatCode>0.00</c:formatCode>
                <c:ptCount val="2"/>
                <c:pt idx="0">
                  <c:v>6.94E-3</c:v>
                </c:pt>
                <c:pt idx="1">
                  <c:v>6.9677310000000012E-5</c:v>
                </c:pt>
              </c:numCache>
            </c:numRef>
          </c:val>
          <c:extLst>
            <c:ext xmlns:c16="http://schemas.microsoft.com/office/drawing/2014/chart" uri="{C3380CC4-5D6E-409C-BE32-E72D297353CC}">
              <c16:uniqueId val="{00000003-B563-4A95-8D74-EFFCF92AAB7F}"/>
            </c:ext>
          </c:extLst>
        </c:ser>
        <c:dLbls>
          <c:showLegendKey val="0"/>
          <c:showVal val="0"/>
          <c:showCatName val="0"/>
          <c:showSerName val="0"/>
          <c:showPercent val="0"/>
          <c:showBubbleSize val="0"/>
        </c:dLbls>
        <c:gapWidth val="75"/>
        <c:overlap val="100"/>
        <c:axId val="162033648"/>
        <c:axId val="309619048"/>
      </c:barChart>
      <c:scatterChart>
        <c:scatterStyle val="lineMarker"/>
        <c:varyColors val="0"/>
        <c:ser>
          <c:idx val="12"/>
          <c:order val="12"/>
          <c:tx>
            <c:strRef>
              <c:f>Drivers!$Q$6</c:f>
              <c:strCache>
                <c:ptCount val="1"/>
                <c:pt idx="0">
                  <c:v>Total</c:v>
                </c:pt>
              </c:strCache>
            </c:strRef>
          </c:tx>
          <c:spPr>
            <a:ln w="25400" cap="rnd">
              <a:no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dLbls>
            <c:dLbl>
              <c:idx val="0"/>
              <c:layout>
                <c:manualLayout>
                  <c:x val="7.3148430356598151E-3"/>
                  <c:y val="-7.1105694451769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63-4A95-8D74-EFFCF92AAB7F}"/>
                </c:ext>
              </c:extLst>
            </c:dLbl>
            <c:dLbl>
              <c:idx val="1"/>
              <c:layout>
                <c:manualLayout>
                  <c:x val="0.12800975312404755"/>
                  <c:y val="-2.0643588711803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63-4A95-8D74-EFFCF92AAB7F}"/>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Drivers!$Q$7:$Q$8</c:f>
              <c:numCache>
                <c:formatCode>0.00</c:formatCode>
                <c:ptCount val="2"/>
                <c:pt idx="0" formatCode="0.000">
                  <c:v>0.77515000000000001</c:v>
                </c:pt>
                <c:pt idx="1">
                  <c:v>0.97168000000000021</c:v>
                </c:pt>
              </c:numCache>
            </c:numRef>
          </c:yVal>
          <c:smooth val="0"/>
          <c:extLst>
            <c:ext xmlns:c16="http://schemas.microsoft.com/office/drawing/2014/chart" uri="{C3380CC4-5D6E-409C-BE32-E72D297353CC}">
              <c16:uniqueId val="{00000004-B563-4A95-8D74-EFFCF92AAB7F}"/>
            </c:ext>
          </c:extLst>
        </c:ser>
        <c:dLbls>
          <c:showLegendKey val="0"/>
          <c:showVal val="0"/>
          <c:showCatName val="0"/>
          <c:showSerName val="0"/>
          <c:showPercent val="0"/>
          <c:showBubbleSize val="0"/>
        </c:dLbls>
        <c:axId val="162033648"/>
        <c:axId val="309619048"/>
      </c:scatterChart>
      <c:catAx>
        <c:axId val="1620336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9619048"/>
        <c:crosses val="autoZero"/>
        <c:auto val="1"/>
        <c:lblAlgn val="ctr"/>
        <c:lblOffset val="100"/>
        <c:noMultiLvlLbl val="0"/>
      </c:catAx>
      <c:valAx>
        <c:axId val="309619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kg CO2 eq/m3 wastewater treated</a:t>
                </a:r>
              </a:p>
            </c:rich>
          </c:tx>
          <c:layout>
            <c:manualLayout>
              <c:xMode val="edge"/>
              <c:yMode val="edge"/>
              <c:x val="2.2871187038016005E-2"/>
              <c:y val="0.2061305273588733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62033648"/>
        <c:crosses val="autoZero"/>
        <c:crossBetween val="between"/>
      </c:valAx>
      <c:spPr>
        <a:noFill/>
        <a:ln>
          <a:noFill/>
        </a:ln>
        <a:effectLst/>
      </c:spPr>
    </c:plotArea>
    <c:legend>
      <c:legendPos val="b"/>
      <c:layout>
        <c:manualLayout>
          <c:xMode val="edge"/>
          <c:yMode val="edge"/>
          <c:x val="6.4163953887389519E-2"/>
          <c:y val="0.87724106988728523"/>
          <c:w val="0.91562236257570273"/>
          <c:h val="0.113811435667311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72004232297934"/>
          <c:y val="5.8560209047498563E-2"/>
          <c:w val="0.85856892212225255"/>
          <c:h val="0.6813977898701814"/>
        </c:manualLayout>
      </c:layout>
      <c:barChart>
        <c:barDir val="col"/>
        <c:grouping val="stacked"/>
        <c:varyColors val="0"/>
        <c:ser>
          <c:idx val="0"/>
          <c:order val="0"/>
          <c:tx>
            <c:strRef>
              <c:f>WU!$B$119</c:f>
              <c:strCache>
                <c:ptCount val="1"/>
                <c:pt idx="0">
                  <c:v>Preliminary/Primary</c:v>
                </c:pt>
              </c:strCache>
            </c:strRef>
          </c:tx>
          <c:spPr>
            <a:solidFill>
              <a:schemeClr val="accent1"/>
            </a:solidFill>
            <a:ln>
              <a:noFill/>
            </a:ln>
            <a:effectLst/>
          </c:spPr>
          <c:invertIfNegative val="0"/>
          <c:cat>
            <c:strRef>
              <c:f>WU!$C$118:$D$118</c:f>
              <c:strCache>
                <c:ptCount val="2"/>
                <c:pt idx="0">
                  <c:v>Legacy</c:v>
                </c:pt>
                <c:pt idx="1">
                  <c:v>Upgraded</c:v>
                </c:pt>
              </c:strCache>
            </c:strRef>
          </c:cat>
          <c:val>
            <c:numRef>
              <c:f>WU!$C$119:$D$119</c:f>
              <c:numCache>
                <c:formatCode>0.00E+0</c:formatCode>
                <c:ptCount val="2"/>
                <c:pt idx="0">
                  <c:v>7.7504936000000006E-4</c:v>
                </c:pt>
                <c:pt idx="1">
                  <c:v>3.8256779000000004E-4</c:v>
                </c:pt>
              </c:numCache>
            </c:numRef>
          </c:val>
          <c:extLst>
            <c:ext xmlns:c16="http://schemas.microsoft.com/office/drawing/2014/chart" uri="{C3380CC4-5D6E-409C-BE32-E72D297353CC}">
              <c16:uniqueId val="{00000000-BDB0-4851-A2E7-DB9D353C4468}"/>
            </c:ext>
          </c:extLst>
        </c:ser>
        <c:ser>
          <c:idx val="1"/>
          <c:order val="1"/>
          <c:tx>
            <c:strRef>
              <c:f>WU!$B$120</c:f>
              <c:strCache>
                <c:ptCount val="1"/>
                <c:pt idx="0">
                  <c:v>Biological Treatment</c:v>
                </c:pt>
              </c:strCache>
            </c:strRef>
          </c:tx>
          <c:spPr>
            <a:solidFill>
              <a:schemeClr val="accent2"/>
            </a:solidFill>
            <a:ln>
              <a:noFill/>
            </a:ln>
            <a:effectLst/>
          </c:spPr>
          <c:invertIfNegative val="0"/>
          <c:cat>
            <c:strRef>
              <c:f>WU!$C$118:$D$118</c:f>
              <c:strCache>
                <c:ptCount val="2"/>
                <c:pt idx="0">
                  <c:v>Legacy</c:v>
                </c:pt>
                <c:pt idx="1">
                  <c:v>Upgraded</c:v>
                </c:pt>
              </c:strCache>
            </c:strRef>
          </c:cat>
          <c:val>
            <c:numRef>
              <c:f>WU!$C$120:$D$120</c:f>
              <c:numCache>
                <c:formatCode>0.00E+0</c:formatCode>
                <c:ptCount val="2"/>
                <c:pt idx="0">
                  <c:v>1.4999999999999999E-4</c:v>
                </c:pt>
                <c:pt idx="1">
                  <c:v>2.0319210000000002E-4</c:v>
                </c:pt>
              </c:numCache>
            </c:numRef>
          </c:val>
          <c:extLst>
            <c:ext xmlns:c16="http://schemas.microsoft.com/office/drawing/2014/chart" uri="{C3380CC4-5D6E-409C-BE32-E72D297353CC}">
              <c16:uniqueId val="{00000001-BDB0-4851-A2E7-DB9D353C4468}"/>
            </c:ext>
          </c:extLst>
        </c:ser>
        <c:ser>
          <c:idx val="2"/>
          <c:order val="2"/>
          <c:tx>
            <c:strRef>
              <c:f>WU!$B$121</c:f>
              <c:strCache>
                <c:ptCount val="1"/>
                <c:pt idx="0">
                  <c:v>Facilities</c:v>
                </c:pt>
              </c:strCache>
            </c:strRef>
          </c:tx>
          <c:spPr>
            <a:solidFill>
              <a:schemeClr val="accent3"/>
            </a:solidFill>
            <a:ln>
              <a:noFill/>
            </a:ln>
            <a:effectLst/>
          </c:spPr>
          <c:invertIfNegative val="0"/>
          <c:cat>
            <c:strRef>
              <c:f>WU!$C$118:$D$118</c:f>
              <c:strCache>
                <c:ptCount val="2"/>
                <c:pt idx="0">
                  <c:v>Legacy</c:v>
                </c:pt>
                <c:pt idx="1">
                  <c:v>Upgraded</c:v>
                </c:pt>
              </c:strCache>
            </c:strRef>
          </c:cat>
          <c:val>
            <c:numRef>
              <c:f>WU!$C$121:$D$121</c:f>
              <c:numCache>
                <c:formatCode>0.00E+0</c:formatCode>
                <c:ptCount val="2"/>
                <c:pt idx="0">
                  <c:v>1.2E-4</c:v>
                </c:pt>
                <c:pt idx="1">
                  <c:v>1.4999999999999999E-4</c:v>
                </c:pt>
              </c:numCache>
            </c:numRef>
          </c:val>
          <c:extLst>
            <c:ext xmlns:c16="http://schemas.microsoft.com/office/drawing/2014/chart" uri="{C3380CC4-5D6E-409C-BE32-E72D297353CC}">
              <c16:uniqueId val="{00000002-BDB0-4851-A2E7-DB9D353C4468}"/>
            </c:ext>
          </c:extLst>
        </c:ser>
        <c:ser>
          <c:idx val="3"/>
          <c:order val="3"/>
          <c:tx>
            <c:strRef>
              <c:f>WU!$B$122</c:f>
              <c:strCache>
                <c:ptCount val="1"/>
                <c:pt idx="0">
                  <c:v>Sludge Handling and Treatment</c:v>
                </c:pt>
              </c:strCache>
            </c:strRef>
          </c:tx>
          <c:spPr>
            <a:solidFill>
              <a:schemeClr val="accent4"/>
            </a:solidFill>
            <a:ln>
              <a:noFill/>
            </a:ln>
            <a:effectLst/>
          </c:spPr>
          <c:invertIfNegative val="0"/>
          <c:cat>
            <c:strRef>
              <c:f>WU!$C$118:$D$118</c:f>
              <c:strCache>
                <c:ptCount val="2"/>
                <c:pt idx="0">
                  <c:v>Legacy</c:v>
                </c:pt>
                <c:pt idx="1">
                  <c:v>Upgraded</c:v>
                </c:pt>
              </c:strCache>
            </c:strRef>
          </c:cat>
          <c:val>
            <c:numRef>
              <c:f>WU!$C$122:$D$122</c:f>
              <c:numCache>
                <c:formatCode>0.00E+0</c:formatCode>
                <c:ptCount val="2"/>
                <c:pt idx="0">
                  <c:v>1.8375014999999999E-4</c:v>
                </c:pt>
                <c:pt idx="1">
                  <c:v>3.0330794000000004E-4</c:v>
                </c:pt>
              </c:numCache>
            </c:numRef>
          </c:val>
          <c:extLst>
            <c:ext xmlns:c16="http://schemas.microsoft.com/office/drawing/2014/chart" uri="{C3380CC4-5D6E-409C-BE32-E72D297353CC}">
              <c16:uniqueId val="{00000003-BDB0-4851-A2E7-DB9D353C4468}"/>
            </c:ext>
          </c:extLst>
        </c:ser>
        <c:ser>
          <c:idx val="4"/>
          <c:order val="4"/>
          <c:tx>
            <c:strRef>
              <c:f>WU!$B$123</c:f>
              <c:strCache>
                <c:ptCount val="1"/>
                <c:pt idx="0">
                  <c:v>Sludge Disposal</c:v>
                </c:pt>
              </c:strCache>
            </c:strRef>
          </c:tx>
          <c:spPr>
            <a:solidFill>
              <a:schemeClr val="accent5"/>
            </a:solidFill>
            <a:ln>
              <a:noFill/>
            </a:ln>
            <a:effectLst/>
          </c:spPr>
          <c:invertIfNegative val="0"/>
          <c:cat>
            <c:strRef>
              <c:f>WU!$C$118:$D$118</c:f>
              <c:strCache>
                <c:ptCount val="2"/>
                <c:pt idx="0">
                  <c:v>Legacy</c:v>
                </c:pt>
                <c:pt idx="1">
                  <c:v>Upgraded</c:v>
                </c:pt>
              </c:strCache>
            </c:strRef>
          </c:cat>
          <c:val>
            <c:numRef>
              <c:f>WU!$C$123:$D$123</c:f>
              <c:numCache>
                <c:formatCode>0.00E+0</c:formatCode>
                <c:ptCount val="2"/>
                <c:pt idx="0">
                  <c:v>1.5656200000000001E-5</c:v>
                </c:pt>
                <c:pt idx="1">
                  <c:v>-1.15E-3</c:v>
                </c:pt>
              </c:numCache>
            </c:numRef>
          </c:val>
          <c:extLst>
            <c:ext xmlns:c16="http://schemas.microsoft.com/office/drawing/2014/chart" uri="{C3380CC4-5D6E-409C-BE32-E72D297353CC}">
              <c16:uniqueId val="{00000004-BDB0-4851-A2E7-DB9D353C4468}"/>
            </c:ext>
          </c:extLst>
        </c:ser>
        <c:ser>
          <c:idx val="5"/>
          <c:order val="5"/>
          <c:tx>
            <c:strRef>
              <c:f>WU!$B$124</c:f>
              <c:strCache>
                <c:ptCount val="1"/>
                <c:pt idx="0">
                  <c:v>Effluent Release</c:v>
                </c:pt>
              </c:strCache>
            </c:strRef>
          </c:tx>
          <c:spPr>
            <a:solidFill>
              <a:schemeClr val="accent6"/>
            </a:solidFill>
            <a:ln>
              <a:noFill/>
            </a:ln>
            <a:effectLst/>
          </c:spPr>
          <c:invertIfNegative val="0"/>
          <c:cat>
            <c:strRef>
              <c:f>WU!$C$118:$D$118</c:f>
              <c:strCache>
                <c:ptCount val="2"/>
                <c:pt idx="0">
                  <c:v>Legacy</c:v>
                </c:pt>
                <c:pt idx="1">
                  <c:v>Upgraded</c:v>
                </c:pt>
              </c:strCache>
            </c:strRef>
          </c:cat>
          <c:val>
            <c:numRef>
              <c:f>WU!$C$124:$D$124</c:f>
              <c:numCache>
                <c:formatCode>0.00E+0</c:formatCode>
                <c:ptCount val="2"/>
                <c:pt idx="0">
                  <c:v>2.14447E-6</c:v>
                </c:pt>
                <c:pt idx="1">
                  <c:v>6.8836400000000004E-5</c:v>
                </c:pt>
              </c:numCache>
            </c:numRef>
          </c:val>
          <c:extLst>
            <c:ext xmlns:c16="http://schemas.microsoft.com/office/drawing/2014/chart" uri="{C3380CC4-5D6E-409C-BE32-E72D297353CC}">
              <c16:uniqueId val="{00000005-BDB0-4851-A2E7-DB9D353C4468}"/>
            </c:ext>
          </c:extLst>
        </c:ser>
        <c:dLbls>
          <c:showLegendKey val="0"/>
          <c:showVal val="0"/>
          <c:showCatName val="0"/>
          <c:showSerName val="0"/>
          <c:showPercent val="0"/>
          <c:showBubbleSize val="0"/>
        </c:dLbls>
        <c:gapWidth val="150"/>
        <c:overlap val="100"/>
        <c:axId val="310036856"/>
        <c:axId val="306096360"/>
      </c:barChart>
      <c:lineChart>
        <c:grouping val="standard"/>
        <c:varyColors val="0"/>
        <c:ser>
          <c:idx val="6"/>
          <c:order val="6"/>
          <c:tx>
            <c:strRef>
              <c:f>WU!$B$125</c:f>
              <c:strCache>
                <c:ptCount val="1"/>
                <c:pt idx="0">
                  <c:v>Total</c:v>
                </c:pt>
              </c:strCache>
            </c:strRef>
          </c:tx>
          <c:spPr>
            <a:ln w="28575" cap="rnd">
              <a:noFill/>
              <a:round/>
            </a:ln>
            <a:effectLst/>
          </c:spPr>
          <c:marker>
            <c:symbol val="circle"/>
            <c:size val="5"/>
            <c:spPr>
              <a:solidFill>
                <a:schemeClr val="accent1">
                  <a:lumMod val="60000"/>
                </a:schemeClr>
              </a:solidFill>
              <a:ln w="9525">
                <a:solidFill>
                  <a:schemeClr val="tx2">
                    <a:lumMod val="75000"/>
                  </a:schemeClr>
                </a:solidFill>
              </a:ln>
              <a:effectLst/>
            </c:spPr>
          </c:marker>
          <c:dLbls>
            <c:dLbl>
              <c:idx val="0"/>
              <c:layout>
                <c:manualLayout>
                  <c:x val="2.431636037270235E-2"/>
                  <c:y val="-0.177115920854760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B0-4851-A2E7-DB9D353C4468}"/>
                </c:ext>
              </c:extLst>
            </c:dLbl>
            <c:dLbl>
              <c:idx val="1"/>
              <c:layout>
                <c:manualLayout>
                  <c:x val="9.8441447905243909E-2"/>
                  <c:y val="-0.166751808725623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B0-4851-A2E7-DB9D353C4468}"/>
                </c:ext>
              </c:extLst>
            </c:dLbl>
            <c:numFmt formatCode="0.00E+00" sourceLinked="0"/>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WU!$C$118:$D$118</c:f>
              <c:strCache>
                <c:ptCount val="2"/>
                <c:pt idx="0">
                  <c:v>Legacy</c:v>
                </c:pt>
                <c:pt idx="1">
                  <c:v>Upgraded</c:v>
                </c:pt>
              </c:strCache>
            </c:strRef>
          </c:cat>
          <c:val>
            <c:numRef>
              <c:f>WU!$C$125:$D$125</c:f>
              <c:numCache>
                <c:formatCode>0.00E+0</c:formatCode>
                <c:ptCount val="2"/>
                <c:pt idx="0">
                  <c:v>1.24660018E-3</c:v>
                </c:pt>
                <c:pt idx="1">
                  <c:v>-4.2095769999999968E-5</c:v>
                </c:pt>
              </c:numCache>
            </c:numRef>
          </c:val>
          <c:smooth val="0"/>
          <c:extLst>
            <c:ext xmlns:c16="http://schemas.microsoft.com/office/drawing/2014/chart" uri="{C3380CC4-5D6E-409C-BE32-E72D297353CC}">
              <c16:uniqueId val="{00000008-BDB0-4851-A2E7-DB9D353C4468}"/>
            </c:ext>
          </c:extLst>
        </c:ser>
        <c:dLbls>
          <c:showLegendKey val="0"/>
          <c:showVal val="0"/>
          <c:showCatName val="0"/>
          <c:showSerName val="0"/>
          <c:showPercent val="0"/>
          <c:showBubbleSize val="0"/>
        </c:dLbls>
        <c:marker val="1"/>
        <c:smooth val="0"/>
        <c:axId val="310036856"/>
        <c:axId val="306096360"/>
      </c:lineChart>
      <c:catAx>
        <c:axId val="310036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6096360"/>
        <c:crosses val="autoZero"/>
        <c:auto val="1"/>
        <c:lblAlgn val="ctr"/>
        <c:lblOffset val="100"/>
        <c:noMultiLvlLbl val="0"/>
      </c:catAx>
      <c:valAx>
        <c:axId val="306096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kg H2O-eq/m3 wastewater treated</a:t>
                </a:r>
              </a:p>
            </c:rich>
          </c:tx>
          <c:layout>
            <c:manualLayout>
              <c:xMode val="edge"/>
              <c:yMode val="edge"/>
              <c:x val="1.5561197676765752E-2"/>
              <c:y val="9.2348830076989283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10036856"/>
        <c:crosses val="autoZero"/>
        <c:crossBetween val="between"/>
      </c:valAx>
      <c:spPr>
        <a:noFill/>
        <a:ln>
          <a:noFill/>
        </a:ln>
        <a:effectLst/>
      </c:spPr>
    </c:plotArea>
    <c:legend>
      <c:legendPos val="b"/>
      <c:layout>
        <c:manualLayout>
          <c:xMode val="edge"/>
          <c:yMode val="edge"/>
          <c:x val="0.17826405684565297"/>
          <c:y val="0.81628993850307552"/>
          <c:w val="0.70525443253838949"/>
          <c:h val="0.1499404573143029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72004232297934"/>
          <c:y val="5.8560209047498563E-2"/>
          <c:w val="0.85856892212225255"/>
          <c:h val="0.65383556182068692"/>
        </c:manualLayout>
      </c:layout>
      <c:barChart>
        <c:barDir val="col"/>
        <c:grouping val="stacked"/>
        <c:varyColors val="0"/>
        <c:ser>
          <c:idx val="0"/>
          <c:order val="0"/>
          <c:tx>
            <c:strRef>
              <c:f>FDP!$B$119</c:f>
              <c:strCache>
                <c:ptCount val="1"/>
                <c:pt idx="0">
                  <c:v>Preliminary/Primary</c:v>
                </c:pt>
              </c:strCache>
            </c:strRef>
          </c:tx>
          <c:spPr>
            <a:solidFill>
              <a:schemeClr val="accent1"/>
            </a:solidFill>
            <a:ln>
              <a:noFill/>
            </a:ln>
            <a:effectLst/>
          </c:spPr>
          <c:invertIfNegative val="0"/>
          <c:cat>
            <c:strRef>
              <c:f>FDP!$C$118:$D$118</c:f>
              <c:strCache>
                <c:ptCount val="2"/>
                <c:pt idx="0">
                  <c:v>Legacy</c:v>
                </c:pt>
                <c:pt idx="1">
                  <c:v>Upgraded</c:v>
                </c:pt>
              </c:strCache>
            </c:strRef>
          </c:cat>
          <c:val>
            <c:numRef>
              <c:f>FDP!$C$119:$D$119</c:f>
              <c:numCache>
                <c:formatCode>0.000</c:formatCode>
                <c:ptCount val="2"/>
                <c:pt idx="0">
                  <c:v>3.6879999999999996E-2</c:v>
                </c:pt>
                <c:pt idx="1">
                  <c:v>5.3129999999999997E-2</c:v>
                </c:pt>
              </c:numCache>
            </c:numRef>
          </c:val>
          <c:extLst>
            <c:ext xmlns:c16="http://schemas.microsoft.com/office/drawing/2014/chart" uri="{C3380CC4-5D6E-409C-BE32-E72D297353CC}">
              <c16:uniqueId val="{00000000-9424-4CFF-9B2F-A3FFDA07D53C}"/>
            </c:ext>
          </c:extLst>
        </c:ser>
        <c:ser>
          <c:idx val="1"/>
          <c:order val="1"/>
          <c:tx>
            <c:strRef>
              <c:f>FDP!$B$120</c:f>
              <c:strCache>
                <c:ptCount val="1"/>
                <c:pt idx="0">
                  <c:v>Biological Treatment</c:v>
                </c:pt>
              </c:strCache>
            </c:strRef>
          </c:tx>
          <c:spPr>
            <a:solidFill>
              <a:schemeClr val="accent2"/>
            </a:solidFill>
            <a:ln>
              <a:noFill/>
            </a:ln>
            <a:effectLst/>
          </c:spPr>
          <c:invertIfNegative val="0"/>
          <c:cat>
            <c:strRef>
              <c:f>FDP!$C$118:$D$118</c:f>
              <c:strCache>
                <c:ptCount val="2"/>
                <c:pt idx="0">
                  <c:v>Legacy</c:v>
                </c:pt>
                <c:pt idx="1">
                  <c:v>Upgraded</c:v>
                </c:pt>
              </c:strCache>
            </c:strRef>
          </c:cat>
          <c:val>
            <c:numRef>
              <c:f>FDP!$C$120:$D$120</c:f>
              <c:numCache>
                <c:formatCode>0.000</c:formatCode>
                <c:ptCount val="2"/>
                <c:pt idx="0">
                  <c:v>4.8860000000000001E-2</c:v>
                </c:pt>
                <c:pt idx="1">
                  <c:v>7.9509999999999997E-2</c:v>
                </c:pt>
              </c:numCache>
            </c:numRef>
          </c:val>
          <c:extLst>
            <c:ext xmlns:c16="http://schemas.microsoft.com/office/drawing/2014/chart" uri="{C3380CC4-5D6E-409C-BE32-E72D297353CC}">
              <c16:uniqueId val="{00000001-9424-4CFF-9B2F-A3FFDA07D53C}"/>
            </c:ext>
          </c:extLst>
        </c:ser>
        <c:ser>
          <c:idx val="2"/>
          <c:order val="2"/>
          <c:tx>
            <c:strRef>
              <c:f>FDP!$B$121</c:f>
              <c:strCache>
                <c:ptCount val="1"/>
                <c:pt idx="0">
                  <c:v>Facilities</c:v>
                </c:pt>
              </c:strCache>
            </c:strRef>
          </c:tx>
          <c:spPr>
            <a:solidFill>
              <a:schemeClr val="accent3"/>
            </a:solidFill>
            <a:ln>
              <a:noFill/>
            </a:ln>
            <a:effectLst/>
          </c:spPr>
          <c:invertIfNegative val="0"/>
          <c:cat>
            <c:strRef>
              <c:f>FDP!$C$118:$D$118</c:f>
              <c:strCache>
                <c:ptCount val="2"/>
                <c:pt idx="0">
                  <c:v>Legacy</c:v>
                </c:pt>
                <c:pt idx="1">
                  <c:v>Upgraded</c:v>
                </c:pt>
              </c:strCache>
            </c:strRef>
          </c:cat>
          <c:val>
            <c:numRef>
              <c:f>FDP!$C$121:$D$121</c:f>
              <c:numCache>
                <c:formatCode>0.00E+0</c:formatCode>
                <c:ptCount val="2"/>
                <c:pt idx="0">
                  <c:v>2.1430000000000001E-2</c:v>
                </c:pt>
                <c:pt idx="1">
                  <c:v>2.8E-3</c:v>
                </c:pt>
              </c:numCache>
            </c:numRef>
          </c:val>
          <c:extLst>
            <c:ext xmlns:c16="http://schemas.microsoft.com/office/drawing/2014/chart" uri="{C3380CC4-5D6E-409C-BE32-E72D297353CC}">
              <c16:uniqueId val="{00000002-9424-4CFF-9B2F-A3FFDA07D53C}"/>
            </c:ext>
          </c:extLst>
        </c:ser>
        <c:ser>
          <c:idx val="3"/>
          <c:order val="3"/>
          <c:tx>
            <c:strRef>
              <c:f>FDP!$B$122</c:f>
              <c:strCache>
                <c:ptCount val="1"/>
                <c:pt idx="0">
                  <c:v>Sludge Handling and Treatment</c:v>
                </c:pt>
              </c:strCache>
            </c:strRef>
          </c:tx>
          <c:spPr>
            <a:solidFill>
              <a:schemeClr val="accent4"/>
            </a:solidFill>
            <a:ln>
              <a:noFill/>
            </a:ln>
            <a:effectLst/>
          </c:spPr>
          <c:invertIfNegative val="0"/>
          <c:cat>
            <c:strRef>
              <c:f>FDP!$C$118:$D$118</c:f>
              <c:strCache>
                <c:ptCount val="2"/>
                <c:pt idx="0">
                  <c:v>Legacy</c:v>
                </c:pt>
                <c:pt idx="1">
                  <c:v>Upgraded</c:v>
                </c:pt>
              </c:strCache>
            </c:strRef>
          </c:cat>
          <c:val>
            <c:numRef>
              <c:f>FDP!$C$122:$D$122</c:f>
              <c:numCache>
                <c:formatCode>0.000</c:formatCode>
                <c:ptCount val="2"/>
                <c:pt idx="0">
                  <c:v>5.237E-2</c:v>
                </c:pt>
                <c:pt idx="1">
                  <c:v>5.5140000000000002E-2</c:v>
                </c:pt>
              </c:numCache>
            </c:numRef>
          </c:val>
          <c:extLst>
            <c:ext xmlns:c16="http://schemas.microsoft.com/office/drawing/2014/chart" uri="{C3380CC4-5D6E-409C-BE32-E72D297353CC}">
              <c16:uniqueId val="{00000003-9424-4CFF-9B2F-A3FFDA07D53C}"/>
            </c:ext>
          </c:extLst>
        </c:ser>
        <c:ser>
          <c:idx val="4"/>
          <c:order val="4"/>
          <c:tx>
            <c:strRef>
              <c:f>FDP!$B$123</c:f>
              <c:strCache>
                <c:ptCount val="1"/>
                <c:pt idx="0">
                  <c:v>Sludge Disposal</c:v>
                </c:pt>
              </c:strCache>
            </c:strRef>
          </c:tx>
          <c:spPr>
            <a:solidFill>
              <a:schemeClr val="accent5"/>
            </a:solidFill>
            <a:ln>
              <a:noFill/>
            </a:ln>
            <a:effectLst/>
          </c:spPr>
          <c:invertIfNegative val="0"/>
          <c:cat>
            <c:strRef>
              <c:f>FDP!$C$118:$D$118</c:f>
              <c:strCache>
                <c:ptCount val="2"/>
                <c:pt idx="0">
                  <c:v>Legacy</c:v>
                </c:pt>
                <c:pt idx="1">
                  <c:v>Upgraded</c:v>
                </c:pt>
              </c:strCache>
            </c:strRef>
          </c:cat>
          <c:val>
            <c:numRef>
              <c:f>FDP!$C$123:$D$123</c:f>
              <c:numCache>
                <c:formatCode>0.00E+0</c:formatCode>
                <c:ptCount val="2"/>
                <c:pt idx="0" formatCode="0.000">
                  <c:v>1.191E-2</c:v>
                </c:pt>
                <c:pt idx="1">
                  <c:v>-6.1700000000000001E-3</c:v>
                </c:pt>
              </c:numCache>
            </c:numRef>
          </c:val>
          <c:extLst>
            <c:ext xmlns:c16="http://schemas.microsoft.com/office/drawing/2014/chart" uri="{C3380CC4-5D6E-409C-BE32-E72D297353CC}">
              <c16:uniqueId val="{00000004-9424-4CFF-9B2F-A3FFDA07D53C}"/>
            </c:ext>
          </c:extLst>
        </c:ser>
        <c:ser>
          <c:idx val="5"/>
          <c:order val="5"/>
          <c:tx>
            <c:strRef>
              <c:f>FDP!$B$124</c:f>
              <c:strCache>
                <c:ptCount val="1"/>
                <c:pt idx="0">
                  <c:v>Effluent Release</c:v>
                </c:pt>
              </c:strCache>
            </c:strRef>
          </c:tx>
          <c:spPr>
            <a:solidFill>
              <a:schemeClr val="accent6"/>
            </a:solidFill>
            <a:ln>
              <a:noFill/>
            </a:ln>
            <a:effectLst/>
          </c:spPr>
          <c:invertIfNegative val="0"/>
          <c:cat>
            <c:strRef>
              <c:f>FDP!$C$118:$D$118</c:f>
              <c:strCache>
                <c:ptCount val="2"/>
                <c:pt idx="0">
                  <c:v>Legacy</c:v>
                </c:pt>
                <c:pt idx="1">
                  <c:v>Upgraded</c:v>
                </c:pt>
              </c:strCache>
            </c:strRef>
          </c:cat>
          <c:val>
            <c:numRef>
              <c:f>FDP!$C$124:$D$124</c:f>
              <c:numCache>
                <c:formatCode>0.00E+0</c:formatCode>
                <c:ptCount val="2"/>
                <c:pt idx="0">
                  <c:v>6.4186199999999999E-5</c:v>
                </c:pt>
                <c:pt idx="1">
                  <c:v>2.3600000000000001E-3</c:v>
                </c:pt>
              </c:numCache>
            </c:numRef>
          </c:val>
          <c:extLst>
            <c:ext xmlns:c16="http://schemas.microsoft.com/office/drawing/2014/chart" uri="{C3380CC4-5D6E-409C-BE32-E72D297353CC}">
              <c16:uniqueId val="{00000005-9424-4CFF-9B2F-A3FFDA07D53C}"/>
            </c:ext>
          </c:extLst>
        </c:ser>
        <c:dLbls>
          <c:showLegendKey val="0"/>
          <c:showVal val="0"/>
          <c:showCatName val="0"/>
          <c:showSerName val="0"/>
          <c:showPercent val="0"/>
          <c:showBubbleSize val="0"/>
        </c:dLbls>
        <c:gapWidth val="150"/>
        <c:overlap val="100"/>
        <c:axId val="310036856"/>
        <c:axId val="306096360"/>
      </c:barChart>
      <c:lineChart>
        <c:grouping val="standard"/>
        <c:varyColors val="0"/>
        <c:ser>
          <c:idx val="6"/>
          <c:order val="6"/>
          <c:tx>
            <c:strRef>
              <c:f>FDP!$B$125</c:f>
              <c:strCache>
                <c:ptCount val="1"/>
                <c:pt idx="0">
                  <c:v>Total</c:v>
                </c:pt>
              </c:strCache>
            </c:strRef>
          </c:tx>
          <c:spPr>
            <a:ln w="28575" cap="rnd">
              <a:noFill/>
              <a:round/>
            </a:ln>
            <a:effectLst/>
          </c:spPr>
          <c:marker>
            <c:symbol val="circle"/>
            <c:size val="5"/>
            <c:spPr>
              <a:solidFill>
                <a:schemeClr val="accent1">
                  <a:lumMod val="60000"/>
                </a:schemeClr>
              </a:solidFill>
              <a:ln w="9525">
                <a:solidFill>
                  <a:schemeClr val="tx2">
                    <a:lumMod val="75000"/>
                  </a:schemeClr>
                </a:solidFill>
              </a:ln>
              <a:effectLst/>
            </c:spPr>
          </c:marker>
          <c:dLbls>
            <c:dLbl>
              <c:idx val="0"/>
              <c:layout>
                <c:manualLayout>
                  <c:x val="2.431636037270235E-2"/>
                  <c:y val="-0.177115920854760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24-4CFF-9B2F-A3FFDA07D53C}"/>
                </c:ext>
              </c:extLst>
            </c:dLbl>
            <c:dLbl>
              <c:idx val="1"/>
              <c:layout>
                <c:manualLayout>
                  <c:x val="2.6604524387017062E-2"/>
                  <c:y val="-0.13591138364762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24-4CFF-9B2F-A3FFDA07D53C}"/>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FDP!$C$118:$D$118</c:f>
              <c:strCache>
                <c:ptCount val="2"/>
                <c:pt idx="0">
                  <c:v>Legacy</c:v>
                </c:pt>
                <c:pt idx="1">
                  <c:v>Upgraded</c:v>
                </c:pt>
              </c:strCache>
            </c:strRef>
          </c:cat>
          <c:val>
            <c:numRef>
              <c:f>FDP!$C$125:$D$125</c:f>
              <c:numCache>
                <c:formatCode>0.000</c:formatCode>
                <c:ptCount val="2"/>
                <c:pt idx="0">
                  <c:v>0.17151418620000003</c:v>
                </c:pt>
                <c:pt idx="1">
                  <c:v>0.18676999999999996</c:v>
                </c:pt>
              </c:numCache>
            </c:numRef>
          </c:val>
          <c:smooth val="0"/>
          <c:extLst>
            <c:ext xmlns:c16="http://schemas.microsoft.com/office/drawing/2014/chart" uri="{C3380CC4-5D6E-409C-BE32-E72D297353CC}">
              <c16:uniqueId val="{00000008-9424-4CFF-9B2F-A3FFDA07D53C}"/>
            </c:ext>
          </c:extLst>
        </c:ser>
        <c:dLbls>
          <c:showLegendKey val="0"/>
          <c:showVal val="0"/>
          <c:showCatName val="0"/>
          <c:showSerName val="0"/>
          <c:showPercent val="0"/>
          <c:showBubbleSize val="0"/>
        </c:dLbls>
        <c:marker val="1"/>
        <c:smooth val="0"/>
        <c:axId val="310036856"/>
        <c:axId val="306096360"/>
      </c:lineChart>
      <c:catAx>
        <c:axId val="310036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6096360"/>
        <c:crosses val="autoZero"/>
        <c:auto val="1"/>
        <c:lblAlgn val="ctr"/>
        <c:lblOffset val="100"/>
        <c:noMultiLvlLbl val="0"/>
      </c:catAx>
      <c:valAx>
        <c:axId val="306096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kg oil-eq/m3 wastewater treated</a:t>
                </a:r>
              </a:p>
            </c:rich>
          </c:tx>
          <c:layout>
            <c:manualLayout>
              <c:xMode val="edge"/>
              <c:yMode val="edge"/>
              <c:x val="2.1188513676357573E-2"/>
              <c:y val="0.1099435372625307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10036856"/>
        <c:crosses val="autoZero"/>
        <c:crossBetween val="between"/>
      </c:valAx>
      <c:spPr>
        <a:noFill/>
        <a:ln>
          <a:noFill/>
        </a:ln>
        <a:effectLst/>
      </c:spPr>
    </c:plotArea>
    <c:legend>
      <c:legendPos val="b"/>
      <c:layout>
        <c:manualLayout>
          <c:xMode val="edge"/>
          <c:yMode val="edge"/>
          <c:x val="0.12769517448101778"/>
          <c:y val="0.8083722963585559"/>
          <c:w val="0.83625115666119842"/>
          <c:h val="0.1601144043298416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LCCA!$D$80</c:f>
              <c:strCache>
                <c:ptCount val="1"/>
                <c:pt idx="0">
                  <c:v>Construction ($)</c:v>
                </c:pt>
              </c:strCache>
            </c:strRef>
          </c:tx>
          <c:spPr>
            <a:solidFill>
              <a:schemeClr val="accent1"/>
            </a:solidFill>
            <a:ln>
              <a:noFill/>
            </a:ln>
            <a:effectLst/>
          </c:spPr>
          <c:invertIfNegative val="0"/>
          <c:cat>
            <c:multiLvlStrRef>
              <c:f>LCCA!$B$81:$C$107</c:f>
              <c:multiLvlStrCache>
                <c:ptCount val="27"/>
                <c:lvl>
                  <c:pt idx="0">
                    <c:v>Base Feed-Low AD</c:v>
                  </c:pt>
                  <c:pt idx="1">
                    <c:v>Base Feed-Low AD</c:v>
                  </c:pt>
                  <c:pt idx="2">
                    <c:v>Base Feed-Low AD</c:v>
                  </c:pt>
                  <c:pt idx="3">
                    <c:v>Base Feed-Base AD</c:v>
                  </c:pt>
                  <c:pt idx="4">
                    <c:v>Base Feed-Base AD</c:v>
                  </c:pt>
                  <c:pt idx="5">
                    <c:v>Base Feed-Base AD</c:v>
                  </c:pt>
                  <c:pt idx="6">
                    <c:v>Base Feed-High AD</c:v>
                  </c:pt>
                  <c:pt idx="7">
                    <c:v>Base Feed-High AD</c:v>
                  </c:pt>
                  <c:pt idx="8">
                    <c:v>Base Feed-High AD</c:v>
                  </c:pt>
                  <c:pt idx="9">
                    <c:v>Medium Feed-Low AD</c:v>
                  </c:pt>
                  <c:pt idx="10">
                    <c:v>Medium Feed-Low AD</c:v>
                  </c:pt>
                  <c:pt idx="11">
                    <c:v>Medium Feed-Low AD</c:v>
                  </c:pt>
                  <c:pt idx="12">
                    <c:v>Medium Feed-Base AD</c:v>
                  </c:pt>
                  <c:pt idx="13">
                    <c:v>Medium Feed-Base AD</c:v>
                  </c:pt>
                  <c:pt idx="14">
                    <c:v>Medium Feed-Base AD</c:v>
                  </c:pt>
                  <c:pt idx="15">
                    <c:v>Medium Feed-High AD</c:v>
                  </c:pt>
                  <c:pt idx="16">
                    <c:v>Medium Feed-High AD</c:v>
                  </c:pt>
                  <c:pt idx="17">
                    <c:v>Medium Feed-High AD</c:v>
                  </c:pt>
                  <c:pt idx="18">
                    <c:v>High Feed-Low AD</c:v>
                  </c:pt>
                  <c:pt idx="19">
                    <c:v>High Feed-Low AD</c:v>
                  </c:pt>
                  <c:pt idx="20">
                    <c:v>High Feed-Low AD</c:v>
                  </c:pt>
                  <c:pt idx="21">
                    <c:v>High Feed-Base AD</c:v>
                  </c:pt>
                  <c:pt idx="22">
                    <c:v>High Feed-Base AD</c:v>
                  </c:pt>
                  <c:pt idx="23">
                    <c:v>High Feed-Base AD</c:v>
                  </c:pt>
                  <c:pt idx="24">
                    <c:v>High Feed-High AD</c:v>
                  </c:pt>
                  <c:pt idx="25">
                    <c:v>High Feed-High AD</c:v>
                  </c:pt>
                  <c:pt idx="26">
                    <c:v>High Feed-High AD</c:v>
                  </c:pt>
                </c:lvl>
                <c:lvl>
                  <c:pt idx="0">
                    <c:v>Low Cost</c:v>
                  </c:pt>
                  <c:pt idx="1">
                    <c:v>Base Cost</c:v>
                  </c:pt>
                  <c:pt idx="2">
                    <c:v>High Cost</c:v>
                  </c:pt>
                  <c:pt idx="3">
                    <c:v>Low Cost</c:v>
                  </c:pt>
                  <c:pt idx="4">
                    <c:v>Base Cost</c:v>
                  </c:pt>
                  <c:pt idx="5">
                    <c:v>High Cost</c:v>
                  </c:pt>
                  <c:pt idx="6">
                    <c:v>Low Cost</c:v>
                  </c:pt>
                  <c:pt idx="7">
                    <c:v>Base Cost</c:v>
                  </c:pt>
                  <c:pt idx="8">
                    <c:v>High Cost</c:v>
                  </c:pt>
                  <c:pt idx="9">
                    <c:v>Low Cost</c:v>
                  </c:pt>
                  <c:pt idx="10">
                    <c:v>Base Cost</c:v>
                  </c:pt>
                  <c:pt idx="11">
                    <c:v>High Cost</c:v>
                  </c:pt>
                  <c:pt idx="12">
                    <c:v>Low Cost</c:v>
                  </c:pt>
                  <c:pt idx="13">
                    <c:v>Base Cost</c:v>
                  </c:pt>
                  <c:pt idx="14">
                    <c:v>High Cost</c:v>
                  </c:pt>
                  <c:pt idx="15">
                    <c:v>Low Cost</c:v>
                  </c:pt>
                  <c:pt idx="16">
                    <c:v>Base Cost</c:v>
                  </c:pt>
                  <c:pt idx="17">
                    <c:v>High Cost</c:v>
                  </c:pt>
                  <c:pt idx="18">
                    <c:v>Low Cost</c:v>
                  </c:pt>
                  <c:pt idx="19">
                    <c:v>Base Cost</c:v>
                  </c:pt>
                  <c:pt idx="20">
                    <c:v>High Cost</c:v>
                  </c:pt>
                  <c:pt idx="21">
                    <c:v>Low Cost</c:v>
                  </c:pt>
                  <c:pt idx="22">
                    <c:v>Base Cost</c:v>
                  </c:pt>
                  <c:pt idx="23">
                    <c:v>High Cost</c:v>
                  </c:pt>
                  <c:pt idx="24">
                    <c:v>Low Cost</c:v>
                  </c:pt>
                  <c:pt idx="25">
                    <c:v>Base Cost</c:v>
                  </c:pt>
                  <c:pt idx="26">
                    <c:v>High Cost</c:v>
                  </c:pt>
                </c:lvl>
              </c:multiLvlStrCache>
            </c:multiLvlStrRef>
          </c:cat>
          <c:val>
            <c:numRef>
              <c:f>LCCA!$D$81:$D$107</c:f>
              <c:numCache>
                <c:formatCode>_(* #,##0_);_(* \(#,##0\);_(* "-"??_);_(@_)</c:formatCode>
                <c:ptCount val="27"/>
                <c:pt idx="0">
                  <c:v>17110127.721004393</c:v>
                </c:pt>
                <c:pt idx="1">
                  <c:v>17110127.721004393</c:v>
                </c:pt>
                <c:pt idx="2">
                  <c:v>17110127.721004393</c:v>
                </c:pt>
                <c:pt idx="3">
                  <c:v>17110127.721004393</c:v>
                </c:pt>
                <c:pt idx="4">
                  <c:v>17110127.721004393</c:v>
                </c:pt>
                <c:pt idx="5">
                  <c:v>17110127.721004393</c:v>
                </c:pt>
                <c:pt idx="6">
                  <c:v>17110127.721004393</c:v>
                </c:pt>
                <c:pt idx="7">
                  <c:v>17110127.721004393</c:v>
                </c:pt>
                <c:pt idx="8">
                  <c:v>17110127.721004393</c:v>
                </c:pt>
                <c:pt idx="9">
                  <c:v>17110127.721004393</c:v>
                </c:pt>
                <c:pt idx="10">
                  <c:v>17110127.721004393</c:v>
                </c:pt>
                <c:pt idx="11">
                  <c:v>17110127.721004393</c:v>
                </c:pt>
                <c:pt idx="12">
                  <c:v>17110127.721004393</c:v>
                </c:pt>
                <c:pt idx="13">
                  <c:v>17110127.721004393</c:v>
                </c:pt>
                <c:pt idx="14">
                  <c:v>17110127.721004393</c:v>
                </c:pt>
                <c:pt idx="15">
                  <c:v>17110127.721004393</c:v>
                </c:pt>
                <c:pt idx="16">
                  <c:v>17110127.721004393</c:v>
                </c:pt>
                <c:pt idx="17">
                  <c:v>17110127.721004393</c:v>
                </c:pt>
                <c:pt idx="18">
                  <c:v>17110127.721004393</c:v>
                </c:pt>
                <c:pt idx="19">
                  <c:v>17110127.721004393</c:v>
                </c:pt>
                <c:pt idx="20">
                  <c:v>17110127.721004393</c:v>
                </c:pt>
                <c:pt idx="21">
                  <c:v>17110127.721004393</c:v>
                </c:pt>
                <c:pt idx="22">
                  <c:v>17110127.721004393</c:v>
                </c:pt>
                <c:pt idx="23">
                  <c:v>17110127.721004393</c:v>
                </c:pt>
                <c:pt idx="24">
                  <c:v>17110127.721004393</c:v>
                </c:pt>
                <c:pt idx="25">
                  <c:v>17110127.721004393</c:v>
                </c:pt>
                <c:pt idx="26">
                  <c:v>17110127.721004393</c:v>
                </c:pt>
              </c:numCache>
            </c:numRef>
          </c:val>
          <c:extLst>
            <c:ext xmlns:c16="http://schemas.microsoft.com/office/drawing/2014/chart" uri="{C3380CC4-5D6E-409C-BE32-E72D297353CC}">
              <c16:uniqueId val="{00000000-372B-4700-9E29-BF8F2AC8CC4A}"/>
            </c:ext>
          </c:extLst>
        </c:ser>
        <c:ser>
          <c:idx val="1"/>
          <c:order val="1"/>
          <c:tx>
            <c:strRef>
              <c:f>LCCA!$E$80</c:f>
              <c:strCache>
                <c:ptCount val="1"/>
                <c:pt idx="0">
                  <c:v>Operation ($/yr)</c:v>
                </c:pt>
              </c:strCache>
            </c:strRef>
          </c:tx>
          <c:spPr>
            <a:solidFill>
              <a:schemeClr val="accent2"/>
            </a:solidFill>
            <a:ln>
              <a:noFill/>
            </a:ln>
            <a:effectLst/>
          </c:spPr>
          <c:invertIfNegative val="0"/>
          <c:cat>
            <c:multiLvlStrRef>
              <c:f>LCCA!$B$81:$C$107</c:f>
              <c:multiLvlStrCache>
                <c:ptCount val="27"/>
                <c:lvl>
                  <c:pt idx="0">
                    <c:v>Base Feed-Low AD</c:v>
                  </c:pt>
                  <c:pt idx="1">
                    <c:v>Base Feed-Low AD</c:v>
                  </c:pt>
                  <c:pt idx="2">
                    <c:v>Base Feed-Low AD</c:v>
                  </c:pt>
                  <c:pt idx="3">
                    <c:v>Base Feed-Base AD</c:v>
                  </c:pt>
                  <c:pt idx="4">
                    <c:v>Base Feed-Base AD</c:v>
                  </c:pt>
                  <c:pt idx="5">
                    <c:v>Base Feed-Base AD</c:v>
                  </c:pt>
                  <c:pt idx="6">
                    <c:v>Base Feed-High AD</c:v>
                  </c:pt>
                  <c:pt idx="7">
                    <c:v>Base Feed-High AD</c:v>
                  </c:pt>
                  <c:pt idx="8">
                    <c:v>Base Feed-High AD</c:v>
                  </c:pt>
                  <c:pt idx="9">
                    <c:v>Medium Feed-Low AD</c:v>
                  </c:pt>
                  <c:pt idx="10">
                    <c:v>Medium Feed-Low AD</c:v>
                  </c:pt>
                  <c:pt idx="11">
                    <c:v>Medium Feed-Low AD</c:v>
                  </c:pt>
                  <c:pt idx="12">
                    <c:v>Medium Feed-Base AD</c:v>
                  </c:pt>
                  <c:pt idx="13">
                    <c:v>Medium Feed-Base AD</c:v>
                  </c:pt>
                  <c:pt idx="14">
                    <c:v>Medium Feed-Base AD</c:v>
                  </c:pt>
                  <c:pt idx="15">
                    <c:v>Medium Feed-High AD</c:v>
                  </c:pt>
                  <c:pt idx="16">
                    <c:v>Medium Feed-High AD</c:v>
                  </c:pt>
                  <c:pt idx="17">
                    <c:v>Medium Feed-High AD</c:v>
                  </c:pt>
                  <c:pt idx="18">
                    <c:v>High Feed-Low AD</c:v>
                  </c:pt>
                  <c:pt idx="19">
                    <c:v>High Feed-Low AD</c:v>
                  </c:pt>
                  <c:pt idx="20">
                    <c:v>High Feed-Low AD</c:v>
                  </c:pt>
                  <c:pt idx="21">
                    <c:v>High Feed-Base AD</c:v>
                  </c:pt>
                  <c:pt idx="22">
                    <c:v>High Feed-Base AD</c:v>
                  </c:pt>
                  <c:pt idx="23">
                    <c:v>High Feed-Base AD</c:v>
                  </c:pt>
                  <c:pt idx="24">
                    <c:v>High Feed-High AD</c:v>
                  </c:pt>
                  <c:pt idx="25">
                    <c:v>High Feed-High AD</c:v>
                  </c:pt>
                  <c:pt idx="26">
                    <c:v>High Feed-High AD</c:v>
                  </c:pt>
                </c:lvl>
                <c:lvl>
                  <c:pt idx="0">
                    <c:v>Low Cost</c:v>
                  </c:pt>
                  <c:pt idx="1">
                    <c:v>Base Cost</c:v>
                  </c:pt>
                  <c:pt idx="2">
                    <c:v>High Cost</c:v>
                  </c:pt>
                  <c:pt idx="3">
                    <c:v>Low Cost</c:v>
                  </c:pt>
                  <c:pt idx="4">
                    <c:v>Base Cost</c:v>
                  </c:pt>
                  <c:pt idx="5">
                    <c:v>High Cost</c:v>
                  </c:pt>
                  <c:pt idx="6">
                    <c:v>Low Cost</c:v>
                  </c:pt>
                  <c:pt idx="7">
                    <c:v>Base Cost</c:v>
                  </c:pt>
                  <c:pt idx="8">
                    <c:v>High Cost</c:v>
                  </c:pt>
                  <c:pt idx="9">
                    <c:v>Low Cost</c:v>
                  </c:pt>
                  <c:pt idx="10">
                    <c:v>Base Cost</c:v>
                  </c:pt>
                  <c:pt idx="11">
                    <c:v>High Cost</c:v>
                  </c:pt>
                  <c:pt idx="12">
                    <c:v>Low Cost</c:v>
                  </c:pt>
                  <c:pt idx="13">
                    <c:v>Base Cost</c:v>
                  </c:pt>
                  <c:pt idx="14">
                    <c:v>High Cost</c:v>
                  </c:pt>
                  <c:pt idx="15">
                    <c:v>Low Cost</c:v>
                  </c:pt>
                  <c:pt idx="16">
                    <c:v>Base Cost</c:v>
                  </c:pt>
                  <c:pt idx="17">
                    <c:v>High Cost</c:v>
                  </c:pt>
                  <c:pt idx="18">
                    <c:v>Low Cost</c:v>
                  </c:pt>
                  <c:pt idx="19">
                    <c:v>Base Cost</c:v>
                  </c:pt>
                  <c:pt idx="20">
                    <c:v>High Cost</c:v>
                  </c:pt>
                  <c:pt idx="21">
                    <c:v>Low Cost</c:v>
                  </c:pt>
                  <c:pt idx="22">
                    <c:v>Base Cost</c:v>
                  </c:pt>
                  <c:pt idx="23">
                    <c:v>High Cost</c:v>
                  </c:pt>
                  <c:pt idx="24">
                    <c:v>Low Cost</c:v>
                  </c:pt>
                  <c:pt idx="25">
                    <c:v>Base Cost</c:v>
                  </c:pt>
                  <c:pt idx="26">
                    <c:v>High Cost</c:v>
                  </c:pt>
                </c:lvl>
              </c:multiLvlStrCache>
            </c:multiLvlStrRef>
          </c:cat>
          <c:val>
            <c:numRef>
              <c:f>LCCA!$E$81:$E$107</c:f>
              <c:numCache>
                <c:formatCode>_(* #,##0_);_(* \(#,##0\);_(* "-"??_);_(@_)</c:formatCode>
                <c:ptCount val="27"/>
                <c:pt idx="0">
                  <c:v>10525143.658884462</c:v>
                </c:pt>
                <c:pt idx="1">
                  <c:v>14611788.226650797</c:v>
                </c:pt>
                <c:pt idx="2">
                  <c:v>23331650.129285671</c:v>
                </c:pt>
                <c:pt idx="3">
                  <c:v>10724170.079926899</c:v>
                </c:pt>
                <c:pt idx="4">
                  <c:v>14772578.086443868</c:v>
                </c:pt>
                <c:pt idx="5">
                  <c:v>23436301.555587701</c:v>
                </c:pt>
                <c:pt idx="6">
                  <c:v>10988086.635938928</c:v>
                </c:pt>
                <c:pt idx="7">
                  <c:v>15068733.571658226</c:v>
                </c:pt>
                <c:pt idx="8">
                  <c:v>23824093.948789321</c:v>
                </c:pt>
                <c:pt idx="9">
                  <c:v>6402515.1120180544</c:v>
                </c:pt>
                <c:pt idx="10">
                  <c:v>12478850.207022183</c:v>
                </c:pt>
                <c:pt idx="11">
                  <c:v>22228517.469736658</c:v>
                </c:pt>
                <c:pt idx="12">
                  <c:v>6714491.3204254126</c:v>
                </c:pt>
                <c:pt idx="13">
                  <c:v>12741558.479421539</c:v>
                </c:pt>
                <c:pt idx="14">
                  <c:v>22424589.744643584</c:v>
                </c:pt>
                <c:pt idx="15">
                  <c:v>7024569.5311074452</c:v>
                </c:pt>
                <c:pt idx="16">
                  <c:v>13092392.933340304</c:v>
                </c:pt>
                <c:pt idx="17">
                  <c:v>22888852.874303997</c:v>
                </c:pt>
                <c:pt idx="18">
                  <c:v>2083034.9315711614</c:v>
                </c:pt>
                <c:pt idx="19">
                  <c:v>10241272.697133629</c:v>
                </c:pt>
                <c:pt idx="20">
                  <c:v>21185184.659589048</c:v>
                </c:pt>
                <c:pt idx="21">
                  <c:v>2599507.0660299966</c:v>
                </c:pt>
                <c:pt idx="22">
                  <c:v>10693058.158486417</c:v>
                </c:pt>
                <c:pt idx="23">
                  <c:v>21560446.129368104</c:v>
                </c:pt>
                <c:pt idx="24">
                  <c:v>3072225.6056589428</c:v>
                </c:pt>
                <c:pt idx="25">
                  <c:v>11202701.219762608</c:v>
                </c:pt>
                <c:pt idx="26">
                  <c:v>22192535.797642231</c:v>
                </c:pt>
              </c:numCache>
            </c:numRef>
          </c:val>
          <c:extLst>
            <c:ext xmlns:c16="http://schemas.microsoft.com/office/drawing/2014/chart" uri="{C3380CC4-5D6E-409C-BE32-E72D297353CC}">
              <c16:uniqueId val="{00000001-372B-4700-9E29-BF8F2AC8CC4A}"/>
            </c:ext>
          </c:extLst>
        </c:ser>
        <c:ser>
          <c:idx val="2"/>
          <c:order val="2"/>
          <c:tx>
            <c:strRef>
              <c:f>LCCA!$F$80</c:f>
              <c:strCache>
                <c:ptCount val="1"/>
                <c:pt idx="0">
                  <c:v>Replacement Labor ($/yr)</c:v>
                </c:pt>
              </c:strCache>
            </c:strRef>
          </c:tx>
          <c:spPr>
            <a:solidFill>
              <a:schemeClr val="accent3"/>
            </a:solidFill>
            <a:ln>
              <a:noFill/>
            </a:ln>
            <a:effectLst/>
          </c:spPr>
          <c:invertIfNegative val="0"/>
          <c:cat>
            <c:multiLvlStrRef>
              <c:f>LCCA!$B$81:$C$107</c:f>
              <c:multiLvlStrCache>
                <c:ptCount val="27"/>
                <c:lvl>
                  <c:pt idx="0">
                    <c:v>Base Feed-Low AD</c:v>
                  </c:pt>
                  <c:pt idx="1">
                    <c:v>Base Feed-Low AD</c:v>
                  </c:pt>
                  <c:pt idx="2">
                    <c:v>Base Feed-Low AD</c:v>
                  </c:pt>
                  <c:pt idx="3">
                    <c:v>Base Feed-Base AD</c:v>
                  </c:pt>
                  <c:pt idx="4">
                    <c:v>Base Feed-Base AD</c:v>
                  </c:pt>
                  <c:pt idx="5">
                    <c:v>Base Feed-Base AD</c:v>
                  </c:pt>
                  <c:pt idx="6">
                    <c:v>Base Feed-High AD</c:v>
                  </c:pt>
                  <c:pt idx="7">
                    <c:v>Base Feed-High AD</c:v>
                  </c:pt>
                  <c:pt idx="8">
                    <c:v>Base Feed-High AD</c:v>
                  </c:pt>
                  <c:pt idx="9">
                    <c:v>Medium Feed-Low AD</c:v>
                  </c:pt>
                  <c:pt idx="10">
                    <c:v>Medium Feed-Low AD</c:v>
                  </c:pt>
                  <c:pt idx="11">
                    <c:v>Medium Feed-Low AD</c:v>
                  </c:pt>
                  <c:pt idx="12">
                    <c:v>Medium Feed-Base AD</c:v>
                  </c:pt>
                  <c:pt idx="13">
                    <c:v>Medium Feed-Base AD</c:v>
                  </c:pt>
                  <c:pt idx="14">
                    <c:v>Medium Feed-Base AD</c:v>
                  </c:pt>
                  <c:pt idx="15">
                    <c:v>Medium Feed-High AD</c:v>
                  </c:pt>
                  <c:pt idx="16">
                    <c:v>Medium Feed-High AD</c:v>
                  </c:pt>
                  <c:pt idx="17">
                    <c:v>Medium Feed-High AD</c:v>
                  </c:pt>
                  <c:pt idx="18">
                    <c:v>High Feed-Low AD</c:v>
                  </c:pt>
                  <c:pt idx="19">
                    <c:v>High Feed-Low AD</c:v>
                  </c:pt>
                  <c:pt idx="20">
                    <c:v>High Feed-Low AD</c:v>
                  </c:pt>
                  <c:pt idx="21">
                    <c:v>High Feed-Base AD</c:v>
                  </c:pt>
                  <c:pt idx="22">
                    <c:v>High Feed-Base AD</c:v>
                  </c:pt>
                  <c:pt idx="23">
                    <c:v>High Feed-Base AD</c:v>
                  </c:pt>
                  <c:pt idx="24">
                    <c:v>High Feed-High AD</c:v>
                  </c:pt>
                  <c:pt idx="25">
                    <c:v>High Feed-High AD</c:v>
                  </c:pt>
                  <c:pt idx="26">
                    <c:v>High Feed-High AD</c:v>
                  </c:pt>
                </c:lvl>
                <c:lvl>
                  <c:pt idx="0">
                    <c:v>Low Cost</c:v>
                  </c:pt>
                  <c:pt idx="1">
                    <c:v>Base Cost</c:v>
                  </c:pt>
                  <c:pt idx="2">
                    <c:v>High Cost</c:v>
                  </c:pt>
                  <c:pt idx="3">
                    <c:v>Low Cost</c:v>
                  </c:pt>
                  <c:pt idx="4">
                    <c:v>Base Cost</c:v>
                  </c:pt>
                  <c:pt idx="5">
                    <c:v>High Cost</c:v>
                  </c:pt>
                  <c:pt idx="6">
                    <c:v>Low Cost</c:v>
                  </c:pt>
                  <c:pt idx="7">
                    <c:v>Base Cost</c:v>
                  </c:pt>
                  <c:pt idx="8">
                    <c:v>High Cost</c:v>
                  </c:pt>
                  <c:pt idx="9">
                    <c:v>Low Cost</c:v>
                  </c:pt>
                  <c:pt idx="10">
                    <c:v>Base Cost</c:v>
                  </c:pt>
                  <c:pt idx="11">
                    <c:v>High Cost</c:v>
                  </c:pt>
                  <c:pt idx="12">
                    <c:v>Low Cost</c:v>
                  </c:pt>
                  <c:pt idx="13">
                    <c:v>Base Cost</c:v>
                  </c:pt>
                  <c:pt idx="14">
                    <c:v>High Cost</c:v>
                  </c:pt>
                  <c:pt idx="15">
                    <c:v>Low Cost</c:v>
                  </c:pt>
                  <c:pt idx="16">
                    <c:v>Base Cost</c:v>
                  </c:pt>
                  <c:pt idx="17">
                    <c:v>High Cost</c:v>
                  </c:pt>
                  <c:pt idx="18">
                    <c:v>Low Cost</c:v>
                  </c:pt>
                  <c:pt idx="19">
                    <c:v>Base Cost</c:v>
                  </c:pt>
                  <c:pt idx="20">
                    <c:v>High Cost</c:v>
                  </c:pt>
                  <c:pt idx="21">
                    <c:v>Low Cost</c:v>
                  </c:pt>
                  <c:pt idx="22">
                    <c:v>Base Cost</c:v>
                  </c:pt>
                  <c:pt idx="23">
                    <c:v>High Cost</c:v>
                  </c:pt>
                  <c:pt idx="24">
                    <c:v>Low Cost</c:v>
                  </c:pt>
                  <c:pt idx="25">
                    <c:v>Base Cost</c:v>
                  </c:pt>
                  <c:pt idx="26">
                    <c:v>High Cost</c:v>
                  </c:pt>
                </c:lvl>
              </c:multiLvlStrCache>
            </c:multiLvlStrRef>
          </c:cat>
          <c:val>
            <c:numRef>
              <c:f>LCCA!$F$81:$F$107</c:f>
              <c:numCache>
                <c:formatCode>_(* #,##0_);_(* \(#,##0\);_(* "-"??_);_(@_)</c:formatCode>
                <c:ptCount val="27"/>
                <c:pt idx="0">
                  <c:v>152386.4130527245</c:v>
                </c:pt>
                <c:pt idx="1">
                  <c:v>201286.45221115209</c:v>
                </c:pt>
                <c:pt idx="2">
                  <c:v>304513.05672514054</c:v>
                </c:pt>
                <c:pt idx="3">
                  <c:v>152386.4130527245</c:v>
                </c:pt>
                <c:pt idx="4">
                  <c:v>201286.45221115209</c:v>
                </c:pt>
                <c:pt idx="5">
                  <c:v>304513.05672514054</c:v>
                </c:pt>
                <c:pt idx="6">
                  <c:v>152386.4130527245</c:v>
                </c:pt>
                <c:pt idx="7">
                  <c:v>201286.45221115209</c:v>
                </c:pt>
                <c:pt idx="8">
                  <c:v>304513.05672514054</c:v>
                </c:pt>
                <c:pt idx="9">
                  <c:v>152386.4130527245</c:v>
                </c:pt>
                <c:pt idx="10">
                  <c:v>201286.45221115209</c:v>
                </c:pt>
                <c:pt idx="11">
                  <c:v>304513.05672514054</c:v>
                </c:pt>
                <c:pt idx="12">
                  <c:v>152386.4130527245</c:v>
                </c:pt>
                <c:pt idx="13">
                  <c:v>201286.45221115209</c:v>
                </c:pt>
                <c:pt idx="14">
                  <c:v>304513.05672514054</c:v>
                </c:pt>
                <c:pt idx="15">
                  <c:v>152386.4130527245</c:v>
                </c:pt>
                <c:pt idx="16">
                  <c:v>201286.45221115209</c:v>
                </c:pt>
                <c:pt idx="17">
                  <c:v>304513.05672514054</c:v>
                </c:pt>
                <c:pt idx="18">
                  <c:v>152386.4130527245</c:v>
                </c:pt>
                <c:pt idx="19">
                  <c:v>201286.45221115209</c:v>
                </c:pt>
                <c:pt idx="20">
                  <c:v>304513.05672514054</c:v>
                </c:pt>
                <c:pt idx="21">
                  <c:v>152386.4130527245</c:v>
                </c:pt>
                <c:pt idx="22">
                  <c:v>201286.45221115209</c:v>
                </c:pt>
                <c:pt idx="23">
                  <c:v>304513.05672514054</c:v>
                </c:pt>
                <c:pt idx="24">
                  <c:v>152386.4130527245</c:v>
                </c:pt>
                <c:pt idx="25">
                  <c:v>201286.45221115209</c:v>
                </c:pt>
                <c:pt idx="26">
                  <c:v>304513.05672514054</c:v>
                </c:pt>
              </c:numCache>
            </c:numRef>
          </c:val>
          <c:extLst>
            <c:ext xmlns:c16="http://schemas.microsoft.com/office/drawing/2014/chart" uri="{C3380CC4-5D6E-409C-BE32-E72D297353CC}">
              <c16:uniqueId val="{00000002-372B-4700-9E29-BF8F2AC8CC4A}"/>
            </c:ext>
          </c:extLst>
        </c:ser>
        <c:ser>
          <c:idx val="3"/>
          <c:order val="3"/>
          <c:tx>
            <c:strRef>
              <c:f>LCCA!$G$80</c:f>
              <c:strCache>
                <c:ptCount val="1"/>
                <c:pt idx="0">
                  <c:v>Material ($/yr)</c:v>
                </c:pt>
              </c:strCache>
            </c:strRef>
          </c:tx>
          <c:spPr>
            <a:solidFill>
              <a:schemeClr val="accent4"/>
            </a:solidFill>
            <a:ln>
              <a:noFill/>
            </a:ln>
            <a:effectLst/>
          </c:spPr>
          <c:invertIfNegative val="0"/>
          <c:cat>
            <c:multiLvlStrRef>
              <c:f>LCCA!$B$81:$C$107</c:f>
              <c:multiLvlStrCache>
                <c:ptCount val="27"/>
                <c:lvl>
                  <c:pt idx="0">
                    <c:v>Base Feed-Low AD</c:v>
                  </c:pt>
                  <c:pt idx="1">
                    <c:v>Base Feed-Low AD</c:v>
                  </c:pt>
                  <c:pt idx="2">
                    <c:v>Base Feed-Low AD</c:v>
                  </c:pt>
                  <c:pt idx="3">
                    <c:v>Base Feed-Base AD</c:v>
                  </c:pt>
                  <c:pt idx="4">
                    <c:v>Base Feed-Base AD</c:v>
                  </c:pt>
                  <c:pt idx="5">
                    <c:v>Base Feed-Base AD</c:v>
                  </c:pt>
                  <c:pt idx="6">
                    <c:v>Base Feed-High AD</c:v>
                  </c:pt>
                  <c:pt idx="7">
                    <c:v>Base Feed-High AD</c:v>
                  </c:pt>
                  <c:pt idx="8">
                    <c:v>Base Feed-High AD</c:v>
                  </c:pt>
                  <c:pt idx="9">
                    <c:v>Medium Feed-Low AD</c:v>
                  </c:pt>
                  <c:pt idx="10">
                    <c:v>Medium Feed-Low AD</c:v>
                  </c:pt>
                  <c:pt idx="11">
                    <c:v>Medium Feed-Low AD</c:v>
                  </c:pt>
                  <c:pt idx="12">
                    <c:v>Medium Feed-Base AD</c:v>
                  </c:pt>
                  <c:pt idx="13">
                    <c:v>Medium Feed-Base AD</c:v>
                  </c:pt>
                  <c:pt idx="14">
                    <c:v>Medium Feed-Base AD</c:v>
                  </c:pt>
                  <c:pt idx="15">
                    <c:v>Medium Feed-High AD</c:v>
                  </c:pt>
                  <c:pt idx="16">
                    <c:v>Medium Feed-High AD</c:v>
                  </c:pt>
                  <c:pt idx="17">
                    <c:v>Medium Feed-High AD</c:v>
                  </c:pt>
                  <c:pt idx="18">
                    <c:v>High Feed-Low AD</c:v>
                  </c:pt>
                  <c:pt idx="19">
                    <c:v>High Feed-Low AD</c:v>
                  </c:pt>
                  <c:pt idx="20">
                    <c:v>High Feed-Low AD</c:v>
                  </c:pt>
                  <c:pt idx="21">
                    <c:v>High Feed-Base AD</c:v>
                  </c:pt>
                  <c:pt idx="22">
                    <c:v>High Feed-Base AD</c:v>
                  </c:pt>
                  <c:pt idx="23">
                    <c:v>High Feed-Base AD</c:v>
                  </c:pt>
                  <c:pt idx="24">
                    <c:v>High Feed-High AD</c:v>
                  </c:pt>
                  <c:pt idx="25">
                    <c:v>High Feed-High AD</c:v>
                  </c:pt>
                  <c:pt idx="26">
                    <c:v>High Feed-High AD</c:v>
                  </c:pt>
                </c:lvl>
                <c:lvl>
                  <c:pt idx="0">
                    <c:v>Low Cost</c:v>
                  </c:pt>
                  <c:pt idx="1">
                    <c:v>Base Cost</c:v>
                  </c:pt>
                  <c:pt idx="2">
                    <c:v>High Cost</c:v>
                  </c:pt>
                  <c:pt idx="3">
                    <c:v>Low Cost</c:v>
                  </c:pt>
                  <c:pt idx="4">
                    <c:v>Base Cost</c:v>
                  </c:pt>
                  <c:pt idx="5">
                    <c:v>High Cost</c:v>
                  </c:pt>
                  <c:pt idx="6">
                    <c:v>Low Cost</c:v>
                  </c:pt>
                  <c:pt idx="7">
                    <c:v>Base Cost</c:v>
                  </c:pt>
                  <c:pt idx="8">
                    <c:v>High Cost</c:v>
                  </c:pt>
                  <c:pt idx="9">
                    <c:v>Low Cost</c:v>
                  </c:pt>
                  <c:pt idx="10">
                    <c:v>Base Cost</c:v>
                  </c:pt>
                  <c:pt idx="11">
                    <c:v>High Cost</c:v>
                  </c:pt>
                  <c:pt idx="12">
                    <c:v>Low Cost</c:v>
                  </c:pt>
                  <c:pt idx="13">
                    <c:v>Base Cost</c:v>
                  </c:pt>
                  <c:pt idx="14">
                    <c:v>High Cost</c:v>
                  </c:pt>
                  <c:pt idx="15">
                    <c:v>Low Cost</c:v>
                  </c:pt>
                  <c:pt idx="16">
                    <c:v>Base Cost</c:v>
                  </c:pt>
                  <c:pt idx="17">
                    <c:v>High Cost</c:v>
                  </c:pt>
                  <c:pt idx="18">
                    <c:v>Low Cost</c:v>
                  </c:pt>
                  <c:pt idx="19">
                    <c:v>Base Cost</c:v>
                  </c:pt>
                  <c:pt idx="20">
                    <c:v>High Cost</c:v>
                  </c:pt>
                  <c:pt idx="21">
                    <c:v>Low Cost</c:v>
                  </c:pt>
                  <c:pt idx="22">
                    <c:v>Base Cost</c:v>
                  </c:pt>
                  <c:pt idx="23">
                    <c:v>High Cost</c:v>
                  </c:pt>
                  <c:pt idx="24">
                    <c:v>Low Cost</c:v>
                  </c:pt>
                  <c:pt idx="25">
                    <c:v>Base Cost</c:v>
                  </c:pt>
                  <c:pt idx="26">
                    <c:v>High Cost</c:v>
                  </c:pt>
                </c:lvl>
              </c:multiLvlStrCache>
            </c:multiLvlStrRef>
          </c:cat>
          <c:val>
            <c:numRef>
              <c:f>LCCA!$G$81:$G$107</c:f>
              <c:numCache>
                <c:formatCode>_(* #,##0_);_(* \(#,##0\);_(* "-"??_);_(@_)</c:formatCode>
                <c:ptCount val="27"/>
                <c:pt idx="0">
                  <c:v>1713124.3018298836</c:v>
                </c:pt>
                <c:pt idx="1">
                  <c:v>2217611.2715849974</c:v>
                </c:pt>
                <c:pt idx="2">
                  <c:v>3364534.3521294766</c:v>
                </c:pt>
                <c:pt idx="3">
                  <c:v>1766892.7144461868</c:v>
                </c:pt>
                <c:pt idx="4">
                  <c:v>2286489.617634031</c:v>
                </c:pt>
                <c:pt idx="5">
                  <c:v>3469185.7784315078</c:v>
                </c:pt>
                <c:pt idx="6">
                  <c:v>1966134.9239785329</c:v>
                </c:pt>
                <c:pt idx="7">
                  <c:v>2541722.6287640994</c:v>
                </c:pt>
                <c:pt idx="8">
                  <c:v>3856978.1716331239</c:v>
                </c:pt>
                <c:pt idx="9">
                  <c:v>1746262.6012318891</c:v>
                </c:pt>
                <c:pt idx="10">
                  <c:v>2260062.0552816647</c:v>
                </c:pt>
                <c:pt idx="11">
                  <c:v>3429032.6352086407</c:v>
                </c:pt>
                <c:pt idx="12">
                  <c:v>1847001.7440447775</c:v>
                </c:pt>
                <c:pt idx="13">
                  <c:v>2389110.7885754057</c:v>
                </c:pt>
                <c:pt idx="14">
                  <c:v>3625104.9101155661</c:v>
                </c:pt>
                <c:pt idx="15">
                  <c:v>2085533.5290399801</c:v>
                </c:pt>
                <c:pt idx="16">
                  <c:v>2694674.4835246522</c:v>
                </c:pt>
                <c:pt idx="17">
                  <c:v>4089368.0397759811</c:v>
                </c:pt>
                <c:pt idx="18">
                  <c:v>1810125.2117171267</c:v>
                </c:pt>
                <c:pt idx="19">
                  <c:v>2341871.258316665</c:v>
                </c:pt>
                <c:pt idx="20">
                  <c:v>3553330.7676892099</c:v>
                </c:pt>
                <c:pt idx="21">
                  <c:v>2002929.2112330797</c:v>
                </c:pt>
                <c:pt idx="22">
                  <c:v>2588856.8015400646</c:v>
                </c:pt>
                <c:pt idx="23">
                  <c:v>3928592.2374682655</c:v>
                </c:pt>
                <c:pt idx="24">
                  <c:v>2327687.8819479737</c:v>
                </c:pt>
                <c:pt idx="25">
                  <c:v>3004878.7559829256</c:v>
                </c:pt>
                <c:pt idx="26">
                  <c:v>4560681.905742391</c:v>
                </c:pt>
              </c:numCache>
            </c:numRef>
          </c:val>
          <c:extLst>
            <c:ext xmlns:c16="http://schemas.microsoft.com/office/drawing/2014/chart" uri="{C3380CC4-5D6E-409C-BE32-E72D297353CC}">
              <c16:uniqueId val="{00000003-372B-4700-9E29-BF8F2AC8CC4A}"/>
            </c:ext>
          </c:extLst>
        </c:ser>
        <c:ser>
          <c:idx val="4"/>
          <c:order val="4"/>
          <c:tx>
            <c:strRef>
              <c:f>LCCA!$H$80</c:f>
              <c:strCache>
                <c:ptCount val="1"/>
                <c:pt idx="0">
                  <c:v>Chemical ($/yr)</c:v>
                </c:pt>
              </c:strCache>
            </c:strRef>
          </c:tx>
          <c:spPr>
            <a:solidFill>
              <a:schemeClr val="accent5"/>
            </a:solidFill>
            <a:ln>
              <a:noFill/>
            </a:ln>
            <a:effectLst/>
          </c:spPr>
          <c:invertIfNegative val="0"/>
          <c:cat>
            <c:multiLvlStrRef>
              <c:f>LCCA!$B$81:$C$107</c:f>
              <c:multiLvlStrCache>
                <c:ptCount val="27"/>
                <c:lvl>
                  <c:pt idx="0">
                    <c:v>Base Feed-Low AD</c:v>
                  </c:pt>
                  <c:pt idx="1">
                    <c:v>Base Feed-Low AD</c:v>
                  </c:pt>
                  <c:pt idx="2">
                    <c:v>Base Feed-Low AD</c:v>
                  </c:pt>
                  <c:pt idx="3">
                    <c:v>Base Feed-Base AD</c:v>
                  </c:pt>
                  <c:pt idx="4">
                    <c:v>Base Feed-Base AD</c:v>
                  </c:pt>
                  <c:pt idx="5">
                    <c:v>Base Feed-Base AD</c:v>
                  </c:pt>
                  <c:pt idx="6">
                    <c:v>Base Feed-High AD</c:v>
                  </c:pt>
                  <c:pt idx="7">
                    <c:v>Base Feed-High AD</c:v>
                  </c:pt>
                  <c:pt idx="8">
                    <c:v>Base Feed-High AD</c:v>
                  </c:pt>
                  <c:pt idx="9">
                    <c:v>Medium Feed-Low AD</c:v>
                  </c:pt>
                  <c:pt idx="10">
                    <c:v>Medium Feed-Low AD</c:v>
                  </c:pt>
                  <c:pt idx="11">
                    <c:v>Medium Feed-Low AD</c:v>
                  </c:pt>
                  <c:pt idx="12">
                    <c:v>Medium Feed-Base AD</c:v>
                  </c:pt>
                  <c:pt idx="13">
                    <c:v>Medium Feed-Base AD</c:v>
                  </c:pt>
                  <c:pt idx="14">
                    <c:v>Medium Feed-Base AD</c:v>
                  </c:pt>
                  <c:pt idx="15">
                    <c:v>Medium Feed-High AD</c:v>
                  </c:pt>
                  <c:pt idx="16">
                    <c:v>Medium Feed-High AD</c:v>
                  </c:pt>
                  <c:pt idx="17">
                    <c:v>Medium Feed-High AD</c:v>
                  </c:pt>
                  <c:pt idx="18">
                    <c:v>High Feed-Low AD</c:v>
                  </c:pt>
                  <c:pt idx="19">
                    <c:v>High Feed-Low AD</c:v>
                  </c:pt>
                  <c:pt idx="20">
                    <c:v>High Feed-Low AD</c:v>
                  </c:pt>
                  <c:pt idx="21">
                    <c:v>High Feed-Base AD</c:v>
                  </c:pt>
                  <c:pt idx="22">
                    <c:v>High Feed-Base AD</c:v>
                  </c:pt>
                  <c:pt idx="23">
                    <c:v>High Feed-Base AD</c:v>
                  </c:pt>
                  <c:pt idx="24">
                    <c:v>High Feed-High AD</c:v>
                  </c:pt>
                  <c:pt idx="25">
                    <c:v>High Feed-High AD</c:v>
                  </c:pt>
                  <c:pt idx="26">
                    <c:v>High Feed-High AD</c:v>
                  </c:pt>
                </c:lvl>
                <c:lvl>
                  <c:pt idx="0">
                    <c:v>Low Cost</c:v>
                  </c:pt>
                  <c:pt idx="1">
                    <c:v>Base Cost</c:v>
                  </c:pt>
                  <c:pt idx="2">
                    <c:v>High Cost</c:v>
                  </c:pt>
                  <c:pt idx="3">
                    <c:v>Low Cost</c:v>
                  </c:pt>
                  <c:pt idx="4">
                    <c:v>Base Cost</c:v>
                  </c:pt>
                  <c:pt idx="5">
                    <c:v>High Cost</c:v>
                  </c:pt>
                  <c:pt idx="6">
                    <c:v>Low Cost</c:v>
                  </c:pt>
                  <c:pt idx="7">
                    <c:v>Base Cost</c:v>
                  </c:pt>
                  <c:pt idx="8">
                    <c:v>High Cost</c:v>
                  </c:pt>
                  <c:pt idx="9">
                    <c:v>Low Cost</c:v>
                  </c:pt>
                  <c:pt idx="10">
                    <c:v>Base Cost</c:v>
                  </c:pt>
                  <c:pt idx="11">
                    <c:v>High Cost</c:v>
                  </c:pt>
                  <c:pt idx="12">
                    <c:v>Low Cost</c:v>
                  </c:pt>
                  <c:pt idx="13">
                    <c:v>Base Cost</c:v>
                  </c:pt>
                  <c:pt idx="14">
                    <c:v>High Cost</c:v>
                  </c:pt>
                  <c:pt idx="15">
                    <c:v>Low Cost</c:v>
                  </c:pt>
                  <c:pt idx="16">
                    <c:v>Base Cost</c:v>
                  </c:pt>
                  <c:pt idx="17">
                    <c:v>High Cost</c:v>
                  </c:pt>
                  <c:pt idx="18">
                    <c:v>Low Cost</c:v>
                  </c:pt>
                  <c:pt idx="19">
                    <c:v>Base Cost</c:v>
                  </c:pt>
                  <c:pt idx="20">
                    <c:v>High Cost</c:v>
                  </c:pt>
                  <c:pt idx="21">
                    <c:v>Low Cost</c:v>
                  </c:pt>
                  <c:pt idx="22">
                    <c:v>Base Cost</c:v>
                  </c:pt>
                  <c:pt idx="23">
                    <c:v>High Cost</c:v>
                  </c:pt>
                  <c:pt idx="24">
                    <c:v>Low Cost</c:v>
                  </c:pt>
                  <c:pt idx="25">
                    <c:v>Base Cost</c:v>
                  </c:pt>
                  <c:pt idx="26">
                    <c:v>High Cost</c:v>
                  </c:pt>
                </c:lvl>
              </c:multiLvlStrCache>
            </c:multiLvlStrRef>
          </c:cat>
          <c:val>
            <c:numRef>
              <c:f>LCCA!$H$81:$H$107</c:f>
              <c:numCache>
                <c:formatCode>_(* #,##0_);_(* \(#,##0\);_(* "-"??_);_(@_)</c:formatCode>
                <c:ptCount val="27"/>
                <c:pt idx="0">
                  <c:v>881023.54950240545</c:v>
                </c:pt>
                <c:pt idx="1">
                  <c:v>1128607.7078938112</c:v>
                </c:pt>
                <c:pt idx="2">
                  <c:v>1714768.3291127856</c:v>
                </c:pt>
                <c:pt idx="3">
                  <c:v>860133.63534333091</c:v>
                </c:pt>
                <c:pt idx="4">
                  <c:v>1101847.335653492</c:v>
                </c:pt>
                <c:pt idx="5">
                  <c:v>1674109.5258173489</c:v>
                </c:pt>
                <c:pt idx="6">
                  <c:v>853170.33062363951</c:v>
                </c:pt>
                <c:pt idx="7">
                  <c:v>1092927.2115733856</c:v>
                </c:pt>
                <c:pt idx="8">
                  <c:v>1660556.5913855366</c:v>
                </c:pt>
                <c:pt idx="9">
                  <c:v>966083.68455306208</c:v>
                </c:pt>
                <c:pt idx="10">
                  <c:v>1237571.3378749611</c:v>
                </c:pt>
                <c:pt idx="11">
                  <c:v>1880323.9782634829</c:v>
                </c:pt>
                <c:pt idx="12">
                  <c:v>932304.63776629721</c:v>
                </c:pt>
                <c:pt idx="13">
                  <c:v>1194299.7447485572</c:v>
                </c:pt>
                <c:pt idx="14">
                  <c:v>1814578.5851349137</c:v>
                </c:pt>
                <c:pt idx="15">
                  <c:v>921044.95550404245</c:v>
                </c:pt>
                <c:pt idx="16">
                  <c:v>1179875.8803730893</c:v>
                </c:pt>
                <c:pt idx="17">
                  <c:v>1792663.4540920572</c:v>
                </c:pt>
                <c:pt idx="18">
                  <c:v>1083426.6697442099</c:v>
                </c:pt>
                <c:pt idx="19">
                  <c:v>1387889.9049879475</c:v>
                </c:pt>
                <c:pt idx="20">
                  <c:v>2108712.918335489</c:v>
                </c:pt>
                <c:pt idx="21">
                  <c:v>1028475.76807446</c:v>
                </c:pt>
                <c:pt idx="22">
                  <c:v>1317496.7682605335</c:v>
                </c:pt>
                <c:pt idx="23">
                  <c:v>2001759.9703777449</c:v>
                </c:pt>
                <c:pt idx="24">
                  <c:v>1010158.80085121</c:v>
                </c:pt>
                <c:pt idx="25">
                  <c:v>1294032.3893513952</c:v>
                </c:pt>
                <c:pt idx="26">
                  <c:v>1966108.9877251629</c:v>
                </c:pt>
              </c:numCache>
            </c:numRef>
          </c:val>
          <c:extLst>
            <c:ext xmlns:c16="http://schemas.microsoft.com/office/drawing/2014/chart" uri="{C3380CC4-5D6E-409C-BE32-E72D297353CC}">
              <c16:uniqueId val="{00000004-372B-4700-9E29-BF8F2AC8CC4A}"/>
            </c:ext>
          </c:extLst>
        </c:ser>
        <c:ser>
          <c:idx val="5"/>
          <c:order val="5"/>
          <c:tx>
            <c:strRef>
              <c:f>LCCA!$I$80</c:f>
              <c:strCache>
                <c:ptCount val="1"/>
                <c:pt idx="0">
                  <c:v>Energy ($/yr)</c:v>
                </c:pt>
              </c:strCache>
            </c:strRef>
          </c:tx>
          <c:spPr>
            <a:solidFill>
              <a:schemeClr val="accent6"/>
            </a:solidFill>
            <a:ln>
              <a:noFill/>
            </a:ln>
            <a:effectLst/>
          </c:spPr>
          <c:invertIfNegative val="0"/>
          <c:cat>
            <c:multiLvlStrRef>
              <c:f>LCCA!$B$81:$C$107</c:f>
              <c:multiLvlStrCache>
                <c:ptCount val="27"/>
                <c:lvl>
                  <c:pt idx="0">
                    <c:v>Base Feed-Low AD</c:v>
                  </c:pt>
                  <c:pt idx="1">
                    <c:v>Base Feed-Low AD</c:v>
                  </c:pt>
                  <c:pt idx="2">
                    <c:v>Base Feed-Low AD</c:v>
                  </c:pt>
                  <c:pt idx="3">
                    <c:v>Base Feed-Base AD</c:v>
                  </c:pt>
                  <c:pt idx="4">
                    <c:v>Base Feed-Base AD</c:v>
                  </c:pt>
                  <c:pt idx="5">
                    <c:v>Base Feed-Base AD</c:v>
                  </c:pt>
                  <c:pt idx="6">
                    <c:v>Base Feed-High AD</c:v>
                  </c:pt>
                  <c:pt idx="7">
                    <c:v>Base Feed-High AD</c:v>
                  </c:pt>
                  <c:pt idx="8">
                    <c:v>Base Feed-High AD</c:v>
                  </c:pt>
                  <c:pt idx="9">
                    <c:v>Medium Feed-Low AD</c:v>
                  </c:pt>
                  <c:pt idx="10">
                    <c:v>Medium Feed-Low AD</c:v>
                  </c:pt>
                  <c:pt idx="11">
                    <c:v>Medium Feed-Low AD</c:v>
                  </c:pt>
                  <c:pt idx="12">
                    <c:v>Medium Feed-Base AD</c:v>
                  </c:pt>
                  <c:pt idx="13">
                    <c:v>Medium Feed-Base AD</c:v>
                  </c:pt>
                  <c:pt idx="14">
                    <c:v>Medium Feed-Base AD</c:v>
                  </c:pt>
                  <c:pt idx="15">
                    <c:v>Medium Feed-High AD</c:v>
                  </c:pt>
                  <c:pt idx="16">
                    <c:v>Medium Feed-High AD</c:v>
                  </c:pt>
                  <c:pt idx="17">
                    <c:v>Medium Feed-High AD</c:v>
                  </c:pt>
                  <c:pt idx="18">
                    <c:v>High Feed-Low AD</c:v>
                  </c:pt>
                  <c:pt idx="19">
                    <c:v>High Feed-Low AD</c:v>
                  </c:pt>
                  <c:pt idx="20">
                    <c:v>High Feed-Low AD</c:v>
                  </c:pt>
                  <c:pt idx="21">
                    <c:v>High Feed-Base AD</c:v>
                  </c:pt>
                  <c:pt idx="22">
                    <c:v>High Feed-Base AD</c:v>
                  </c:pt>
                  <c:pt idx="23">
                    <c:v>High Feed-Base AD</c:v>
                  </c:pt>
                  <c:pt idx="24">
                    <c:v>High Feed-High AD</c:v>
                  </c:pt>
                  <c:pt idx="25">
                    <c:v>High Feed-High AD</c:v>
                  </c:pt>
                  <c:pt idx="26">
                    <c:v>High Feed-High AD</c:v>
                  </c:pt>
                </c:lvl>
                <c:lvl>
                  <c:pt idx="0">
                    <c:v>Low Cost</c:v>
                  </c:pt>
                  <c:pt idx="1">
                    <c:v>Base Cost</c:v>
                  </c:pt>
                  <c:pt idx="2">
                    <c:v>High Cost</c:v>
                  </c:pt>
                  <c:pt idx="3">
                    <c:v>Low Cost</c:v>
                  </c:pt>
                  <c:pt idx="4">
                    <c:v>Base Cost</c:v>
                  </c:pt>
                  <c:pt idx="5">
                    <c:v>High Cost</c:v>
                  </c:pt>
                  <c:pt idx="6">
                    <c:v>Low Cost</c:v>
                  </c:pt>
                  <c:pt idx="7">
                    <c:v>Base Cost</c:v>
                  </c:pt>
                  <c:pt idx="8">
                    <c:v>High Cost</c:v>
                  </c:pt>
                  <c:pt idx="9">
                    <c:v>Low Cost</c:v>
                  </c:pt>
                  <c:pt idx="10">
                    <c:v>Base Cost</c:v>
                  </c:pt>
                  <c:pt idx="11">
                    <c:v>High Cost</c:v>
                  </c:pt>
                  <c:pt idx="12">
                    <c:v>Low Cost</c:v>
                  </c:pt>
                  <c:pt idx="13">
                    <c:v>Base Cost</c:v>
                  </c:pt>
                  <c:pt idx="14">
                    <c:v>High Cost</c:v>
                  </c:pt>
                  <c:pt idx="15">
                    <c:v>Low Cost</c:v>
                  </c:pt>
                  <c:pt idx="16">
                    <c:v>Base Cost</c:v>
                  </c:pt>
                  <c:pt idx="17">
                    <c:v>High Cost</c:v>
                  </c:pt>
                  <c:pt idx="18">
                    <c:v>Low Cost</c:v>
                  </c:pt>
                  <c:pt idx="19">
                    <c:v>Base Cost</c:v>
                  </c:pt>
                  <c:pt idx="20">
                    <c:v>High Cost</c:v>
                  </c:pt>
                  <c:pt idx="21">
                    <c:v>Low Cost</c:v>
                  </c:pt>
                  <c:pt idx="22">
                    <c:v>Base Cost</c:v>
                  </c:pt>
                  <c:pt idx="23">
                    <c:v>High Cost</c:v>
                  </c:pt>
                  <c:pt idx="24">
                    <c:v>Low Cost</c:v>
                  </c:pt>
                  <c:pt idx="25">
                    <c:v>Base Cost</c:v>
                  </c:pt>
                  <c:pt idx="26">
                    <c:v>High Cost</c:v>
                  </c:pt>
                </c:lvl>
              </c:multiLvlStrCache>
            </c:multiLvlStrRef>
          </c:cat>
          <c:val>
            <c:numRef>
              <c:f>LCCA!$I$81:$I$107</c:f>
              <c:numCache>
                <c:formatCode>_(* #,##0_);_(* \(#,##0\);_(* "-"??_);_(@_)</c:formatCode>
                <c:ptCount val="27"/>
                <c:pt idx="0">
                  <c:v>2709507.5972999446</c:v>
                </c:pt>
                <c:pt idx="1">
                  <c:v>2325262.001765837</c:v>
                </c:pt>
                <c:pt idx="2">
                  <c:v>3685870.2999645039</c:v>
                </c:pt>
                <c:pt idx="3">
                  <c:v>1940624.06749589</c:v>
                </c:pt>
                <c:pt idx="4">
                  <c:v>1672998.5877437466</c:v>
                </c:pt>
                <c:pt idx="5">
                  <c:v>2692021.9634068143</c:v>
                </c:pt>
                <c:pt idx="6">
                  <c:v>-285732.59347883239</c:v>
                </c:pt>
                <c:pt idx="7">
                  <c:v>105424.64628575265</c:v>
                </c:pt>
                <c:pt idx="8">
                  <c:v>346621.50601183344</c:v>
                </c:pt>
                <c:pt idx="9">
                  <c:v>2422429.5500744185</c:v>
                </c:pt>
                <c:pt idx="10">
                  <c:v>2184597.3021419346</c:v>
                </c:pt>
                <c:pt idx="11">
                  <c:v>3562130.2222703947</c:v>
                </c:pt>
                <c:pt idx="12">
                  <c:v>996250.46826320596</c:v>
                </c:pt>
                <c:pt idx="13">
                  <c:v>983818.3776034147</c:v>
                </c:pt>
                <c:pt idx="14">
                  <c:v>1740848.7581236251</c:v>
                </c:pt>
                <c:pt idx="15">
                  <c:v>-1433669.4489899084</c:v>
                </c:pt>
                <c:pt idx="16">
                  <c:v>-534557.9791906852</c:v>
                </c:pt>
                <c:pt idx="17">
                  <c:v>-532436.50564789434</c:v>
                </c:pt>
                <c:pt idx="18">
                  <c:v>1773242.4997156225</c:v>
                </c:pt>
                <c:pt idx="19">
                  <c:v>1784124.9936452513</c:v>
                </c:pt>
                <c:pt idx="20">
                  <c:v>3085636.5562612968</c:v>
                </c:pt>
                <c:pt idx="21">
                  <c:v>-606744.2675733642</c:v>
                </c:pt>
                <c:pt idx="22">
                  <c:v>146316.0164488983</c:v>
                </c:pt>
                <c:pt idx="23">
                  <c:v>595945.27007790084</c:v>
                </c:pt>
                <c:pt idx="24">
                  <c:v>-3851278.5001914031</c:v>
                </c:pt>
                <c:pt idx="25">
                  <c:v>-1937901.461972835</c:v>
                </c:pt>
                <c:pt idx="26">
                  <c:v>-2531828.5434568846</c:v>
                </c:pt>
              </c:numCache>
            </c:numRef>
          </c:val>
          <c:extLst>
            <c:ext xmlns:c16="http://schemas.microsoft.com/office/drawing/2014/chart" uri="{C3380CC4-5D6E-409C-BE32-E72D297353CC}">
              <c16:uniqueId val="{00000005-372B-4700-9E29-BF8F2AC8CC4A}"/>
            </c:ext>
          </c:extLst>
        </c:ser>
        <c:dLbls>
          <c:showLegendKey val="0"/>
          <c:showVal val="0"/>
          <c:showCatName val="0"/>
          <c:showSerName val="0"/>
          <c:showPercent val="0"/>
          <c:showBubbleSize val="0"/>
        </c:dLbls>
        <c:gapWidth val="219"/>
        <c:overlap val="100"/>
        <c:axId val="302255216"/>
        <c:axId val="2028199856"/>
      </c:barChart>
      <c:scatterChart>
        <c:scatterStyle val="lineMarker"/>
        <c:varyColors val="0"/>
        <c:ser>
          <c:idx val="6"/>
          <c:order val="6"/>
          <c:tx>
            <c:strRef>
              <c:f>LCCA!$J$80</c:f>
              <c:strCache>
                <c:ptCount val="1"/>
                <c:pt idx="0">
                  <c:v>Total NPV</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dLbls>
            <c:dLbl>
              <c:idx val="0"/>
              <c:layout>
                <c:manualLayout>
                  <c:x val="-2.3713072568786114E-2"/>
                  <c:y val="-2.1554259400632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14-4756-80D2-0D8930BBB0F6}"/>
                </c:ext>
              </c:extLst>
            </c:dLbl>
            <c:dLbl>
              <c:idx val="1"/>
              <c:layout>
                <c:manualLayout>
                  <c:x val="-2.4503508321078987E-2"/>
                  <c:y val="-1.7512835763013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14-4756-80D2-0D8930BBB0F6}"/>
                </c:ext>
              </c:extLst>
            </c:dLbl>
            <c:dLbl>
              <c:idx val="2"/>
              <c:layout>
                <c:manualLayout>
                  <c:x val="-2.3713072568786114E-2"/>
                  <c:y val="-2.0207118188092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14-4756-80D2-0D8930BBB0F6}"/>
                </c:ext>
              </c:extLst>
            </c:dLbl>
            <c:dLbl>
              <c:idx val="3"/>
              <c:layout>
                <c:manualLayout>
                  <c:x val="-2.3713072568786145E-2"/>
                  <c:y val="-2.4248541825711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14-4756-80D2-0D8930BBB0F6}"/>
                </c:ext>
              </c:extLst>
            </c:dLbl>
            <c:dLbl>
              <c:idx val="4"/>
              <c:layout>
                <c:manualLayout>
                  <c:x val="-2.6874815577957598E-2"/>
                  <c:y val="-2.02071181880929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14-4756-80D2-0D8930BBB0F6}"/>
                </c:ext>
              </c:extLst>
            </c:dLbl>
            <c:dLbl>
              <c:idx val="5"/>
              <c:layout>
                <c:manualLayout>
                  <c:x val="-3.0036558587129052E-2"/>
                  <c:y val="-2.0207118188092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14-4756-80D2-0D8930BBB0F6}"/>
                </c:ext>
              </c:extLst>
            </c:dLbl>
            <c:dLbl>
              <c:idx val="6"/>
              <c:layout>
                <c:manualLayout>
                  <c:x val="-2.5293944073371856E-2"/>
                  <c:y val="-3.2331389100948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14-4756-80D2-0D8930BBB0F6}"/>
                </c:ext>
              </c:extLst>
            </c:dLbl>
            <c:dLbl>
              <c:idx val="7"/>
              <c:layout>
                <c:manualLayout>
                  <c:x val="-2.5293944073371856E-2"/>
                  <c:y val="-2.0207118188092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14-4756-80D2-0D8930BBB0F6}"/>
                </c:ext>
              </c:extLst>
            </c:dLbl>
            <c:dLbl>
              <c:idx val="8"/>
              <c:layout>
                <c:manualLayout>
                  <c:x val="-2.6874815577957598E-2"/>
                  <c:y val="-2.6942824250790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14-4756-80D2-0D8930BBB0F6}"/>
                </c:ext>
              </c:extLst>
            </c:dLbl>
            <c:dLbl>
              <c:idx val="9"/>
              <c:layout>
                <c:manualLayout>
                  <c:x val="-2.6084379825664725E-2"/>
                  <c:y val="-2.1554259400632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14-4756-80D2-0D8930BBB0F6}"/>
                </c:ext>
              </c:extLst>
            </c:dLbl>
            <c:dLbl>
              <c:idx val="10"/>
              <c:layout>
                <c:manualLayout>
                  <c:x val="-2.5293944073371856E-2"/>
                  <c:y val="-2.1554259400632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14-4756-80D2-0D8930BBB0F6}"/>
                </c:ext>
              </c:extLst>
            </c:dLbl>
            <c:dLbl>
              <c:idx val="11"/>
              <c:layout>
                <c:manualLayout>
                  <c:x val="-3.0036558587129138E-2"/>
                  <c:y val="-2.0207118188092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14-4756-80D2-0D8930BBB0F6}"/>
                </c:ext>
              </c:extLst>
            </c:dLbl>
            <c:dLbl>
              <c:idx val="12"/>
              <c:layout>
                <c:manualLayout>
                  <c:x val="-2.3713072568786173E-2"/>
                  <c:y val="-1.8859976975553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14-4756-80D2-0D8930BBB0F6}"/>
                </c:ext>
              </c:extLst>
            </c:dLbl>
            <c:dLbl>
              <c:idx val="13"/>
              <c:layout>
                <c:manualLayout>
                  <c:x val="-2.6874815577957598E-2"/>
                  <c:y val="-2.2901400613172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14-4756-80D2-0D8930BBB0F6}"/>
                </c:ext>
              </c:extLst>
            </c:dLbl>
            <c:dLbl>
              <c:idx val="14"/>
              <c:layout>
                <c:manualLayout>
                  <c:x val="-2.4503508321079101E-2"/>
                  <c:y val="-2.1554259400632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14-4756-80D2-0D8930BBB0F6}"/>
                </c:ext>
              </c:extLst>
            </c:dLbl>
            <c:dLbl>
              <c:idx val="15"/>
              <c:layout>
                <c:manualLayout>
                  <c:x val="-1.9760893807321763E-2"/>
                  <c:y val="-4.5802801226344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14-4756-80D2-0D8930BBB0F6}"/>
                </c:ext>
              </c:extLst>
            </c:dLbl>
            <c:dLbl>
              <c:idx val="16"/>
              <c:layout>
                <c:manualLayout>
                  <c:x val="-2.055132955961475E-2"/>
                  <c:y val="-3.2331389100948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14-4756-80D2-0D8930BBB0F6}"/>
                </c:ext>
              </c:extLst>
            </c:dLbl>
            <c:dLbl>
              <c:idx val="17"/>
              <c:layout>
                <c:manualLayout>
                  <c:x val="-2.2132201064200375E-2"/>
                  <c:y val="-2.0207118188092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F14-4756-80D2-0D8930BBB0F6}"/>
                </c:ext>
              </c:extLst>
            </c:dLbl>
            <c:dLbl>
              <c:idx val="18"/>
              <c:layout>
                <c:manualLayout>
                  <c:x val="-2.0551329559614633E-2"/>
                  <c:y val="-1.8859976975553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F14-4756-80D2-0D8930BBB0F6}"/>
                </c:ext>
              </c:extLst>
            </c:dLbl>
            <c:dLbl>
              <c:idx val="19"/>
              <c:layout>
                <c:manualLayout>
                  <c:x val="-2.3713072568786114E-2"/>
                  <c:y val="-2.82899654633301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F14-4756-80D2-0D8930BBB0F6}"/>
                </c:ext>
              </c:extLst>
            </c:dLbl>
            <c:dLbl>
              <c:idx val="20"/>
              <c:layout>
                <c:manualLayout>
                  <c:x val="-1.1066100532100187E-2"/>
                  <c:y val="-2.2901400613172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F14-4756-80D2-0D8930BBB0F6}"/>
                </c:ext>
              </c:extLst>
            </c:dLbl>
            <c:dLbl>
              <c:idx val="21"/>
              <c:layout>
                <c:manualLayout>
                  <c:x val="-1.7389586550443151E-2"/>
                  <c:y val="-2.9637106675869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F14-4756-80D2-0D8930BBB0F6}"/>
                </c:ext>
              </c:extLst>
            </c:dLbl>
            <c:dLbl>
              <c:idx val="22"/>
              <c:layout>
                <c:manualLayout>
                  <c:x val="-1.6599150798150396E-2"/>
                  <c:y val="-1.8859976975553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F14-4756-80D2-0D8930BBB0F6}"/>
                </c:ext>
              </c:extLst>
            </c:dLbl>
            <c:dLbl>
              <c:idx val="23"/>
              <c:layout>
                <c:manualLayout>
                  <c:x val="-1.1066100532100187E-2"/>
                  <c:y val="-1.8859976975553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F14-4756-80D2-0D8930BBB0F6}"/>
                </c:ext>
              </c:extLst>
            </c:dLbl>
            <c:dLbl>
              <c:idx val="24"/>
              <c:layout>
                <c:manualLayout>
                  <c:x val="-1.6599150798150282E-2"/>
                  <c:y val="-6.735706062697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F14-4756-80D2-0D8930BBB0F6}"/>
                </c:ext>
              </c:extLst>
            </c:dLbl>
            <c:dLbl>
              <c:idx val="25"/>
              <c:layout>
                <c:manualLayout>
                  <c:x val="-1.5808715045857409E-2"/>
                  <c:y val="-4.4455660013804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F14-4756-80D2-0D8930BBB0F6}"/>
                </c:ext>
              </c:extLst>
            </c:dLbl>
            <c:dLbl>
              <c:idx val="26"/>
              <c:layout>
                <c:manualLayout>
                  <c:x val="-6.323486018342964E-3"/>
                  <c:y val="-4.1761377588725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F14-4756-80D2-0D8930BBB0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multiLvlStrRef>
              <c:f>LCCA!$B$81:$C$107</c:f>
              <c:multiLvlStrCache>
                <c:ptCount val="27"/>
                <c:lvl>
                  <c:pt idx="0">
                    <c:v>Base Feed-Low AD</c:v>
                  </c:pt>
                  <c:pt idx="1">
                    <c:v>Base Feed-Low AD</c:v>
                  </c:pt>
                  <c:pt idx="2">
                    <c:v>Base Feed-Low AD</c:v>
                  </c:pt>
                  <c:pt idx="3">
                    <c:v>Base Feed-Base AD</c:v>
                  </c:pt>
                  <c:pt idx="4">
                    <c:v>Base Feed-Base AD</c:v>
                  </c:pt>
                  <c:pt idx="5">
                    <c:v>Base Feed-Base AD</c:v>
                  </c:pt>
                  <c:pt idx="6">
                    <c:v>Base Feed-High AD</c:v>
                  </c:pt>
                  <c:pt idx="7">
                    <c:v>Base Feed-High AD</c:v>
                  </c:pt>
                  <c:pt idx="8">
                    <c:v>Base Feed-High AD</c:v>
                  </c:pt>
                  <c:pt idx="9">
                    <c:v>Medium Feed-Low AD</c:v>
                  </c:pt>
                  <c:pt idx="10">
                    <c:v>Medium Feed-Low AD</c:v>
                  </c:pt>
                  <c:pt idx="11">
                    <c:v>Medium Feed-Low AD</c:v>
                  </c:pt>
                  <c:pt idx="12">
                    <c:v>Medium Feed-Base AD</c:v>
                  </c:pt>
                  <c:pt idx="13">
                    <c:v>Medium Feed-Base AD</c:v>
                  </c:pt>
                  <c:pt idx="14">
                    <c:v>Medium Feed-Base AD</c:v>
                  </c:pt>
                  <c:pt idx="15">
                    <c:v>Medium Feed-High AD</c:v>
                  </c:pt>
                  <c:pt idx="16">
                    <c:v>Medium Feed-High AD</c:v>
                  </c:pt>
                  <c:pt idx="17">
                    <c:v>Medium Feed-High AD</c:v>
                  </c:pt>
                  <c:pt idx="18">
                    <c:v>High Feed-Low AD</c:v>
                  </c:pt>
                  <c:pt idx="19">
                    <c:v>High Feed-Low AD</c:v>
                  </c:pt>
                  <c:pt idx="20">
                    <c:v>High Feed-Low AD</c:v>
                  </c:pt>
                  <c:pt idx="21">
                    <c:v>High Feed-Base AD</c:v>
                  </c:pt>
                  <c:pt idx="22">
                    <c:v>High Feed-Base AD</c:v>
                  </c:pt>
                  <c:pt idx="23">
                    <c:v>High Feed-Base AD</c:v>
                  </c:pt>
                  <c:pt idx="24">
                    <c:v>High Feed-High AD</c:v>
                  </c:pt>
                  <c:pt idx="25">
                    <c:v>High Feed-High AD</c:v>
                  </c:pt>
                  <c:pt idx="26">
                    <c:v>High Feed-High AD</c:v>
                  </c:pt>
                </c:lvl>
                <c:lvl>
                  <c:pt idx="0">
                    <c:v>Low Cost</c:v>
                  </c:pt>
                  <c:pt idx="1">
                    <c:v>Base Cost</c:v>
                  </c:pt>
                  <c:pt idx="2">
                    <c:v>High Cost</c:v>
                  </c:pt>
                  <c:pt idx="3">
                    <c:v>Low Cost</c:v>
                  </c:pt>
                  <c:pt idx="4">
                    <c:v>Base Cost</c:v>
                  </c:pt>
                  <c:pt idx="5">
                    <c:v>High Cost</c:v>
                  </c:pt>
                  <c:pt idx="6">
                    <c:v>Low Cost</c:v>
                  </c:pt>
                  <c:pt idx="7">
                    <c:v>Base Cost</c:v>
                  </c:pt>
                  <c:pt idx="8">
                    <c:v>High Cost</c:v>
                  </c:pt>
                  <c:pt idx="9">
                    <c:v>Low Cost</c:v>
                  </c:pt>
                  <c:pt idx="10">
                    <c:v>Base Cost</c:v>
                  </c:pt>
                  <c:pt idx="11">
                    <c:v>High Cost</c:v>
                  </c:pt>
                  <c:pt idx="12">
                    <c:v>Low Cost</c:v>
                  </c:pt>
                  <c:pt idx="13">
                    <c:v>Base Cost</c:v>
                  </c:pt>
                  <c:pt idx="14">
                    <c:v>High Cost</c:v>
                  </c:pt>
                  <c:pt idx="15">
                    <c:v>Low Cost</c:v>
                  </c:pt>
                  <c:pt idx="16">
                    <c:v>Base Cost</c:v>
                  </c:pt>
                  <c:pt idx="17">
                    <c:v>High Cost</c:v>
                  </c:pt>
                  <c:pt idx="18">
                    <c:v>Low Cost</c:v>
                  </c:pt>
                  <c:pt idx="19">
                    <c:v>Base Cost</c:v>
                  </c:pt>
                  <c:pt idx="20">
                    <c:v>High Cost</c:v>
                  </c:pt>
                  <c:pt idx="21">
                    <c:v>Low Cost</c:v>
                  </c:pt>
                  <c:pt idx="22">
                    <c:v>Base Cost</c:v>
                  </c:pt>
                  <c:pt idx="23">
                    <c:v>High Cost</c:v>
                  </c:pt>
                  <c:pt idx="24">
                    <c:v>Low Cost</c:v>
                  </c:pt>
                  <c:pt idx="25">
                    <c:v>Base Cost</c:v>
                  </c:pt>
                  <c:pt idx="26">
                    <c:v>High Cost</c:v>
                  </c:pt>
                </c:lvl>
              </c:multiLvlStrCache>
            </c:multiLvlStrRef>
          </c:xVal>
          <c:yVal>
            <c:numRef>
              <c:f>LCCA!$J$81:$J$107</c:f>
              <c:numCache>
                <c:formatCode>_(* #,##0_);_(* \(#,##0\);_(* "-"??_);_(@_)</c:formatCode>
                <c:ptCount val="27"/>
                <c:pt idx="0">
                  <c:v>33100000</c:v>
                </c:pt>
                <c:pt idx="1">
                  <c:v>37600000</c:v>
                </c:pt>
                <c:pt idx="2">
                  <c:v>49500000</c:v>
                </c:pt>
                <c:pt idx="3">
                  <c:v>32600000</c:v>
                </c:pt>
                <c:pt idx="4">
                  <c:v>37100000</c:v>
                </c:pt>
                <c:pt idx="5">
                  <c:v>48700000</c:v>
                </c:pt>
                <c:pt idx="6">
                  <c:v>30800000</c:v>
                </c:pt>
                <c:pt idx="7">
                  <c:v>36100000</c:v>
                </c:pt>
                <c:pt idx="8">
                  <c:v>47100000</c:v>
                </c:pt>
                <c:pt idx="9">
                  <c:v>28800000</c:v>
                </c:pt>
                <c:pt idx="10">
                  <c:v>35500000</c:v>
                </c:pt>
                <c:pt idx="11">
                  <c:v>48500000</c:v>
                </c:pt>
                <c:pt idx="12">
                  <c:v>27800000</c:v>
                </c:pt>
                <c:pt idx="13">
                  <c:v>34600000</c:v>
                </c:pt>
                <c:pt idx="14">
                  <c:v>47000000</c:v>
                </c:pt>
                <c:pt idx="15">
                  <c:v>25900000</c:v>
                </c:pt>
                <c:pt idx="16">
                  <c:v>33700000</c:v>
                </c:pt>
                <c:pt idx="17">
                  <c:v>45700000</c:v>
                </c:pt>
                <c:pt idx="18">
                  <c:v>24000000</c:v>
                </c:pt>
                <c:pt idx="19">
                  <c:v>33100000</c:v>
                </c:pt>
                <c:pt idx="20">
                  <c:v>47300000</c:v>
                </c:pt>
                <c:pt idx="21">
                  <c:v>22300000</c:v>
                </c:pt>
                <c:pt idx="22">
                  <c:v>32100000</c:v>
                </c:pt>
                <c:pt idx="23">
                  <c:v>45500000</c:v>
                </c:pt>
                <c:pt idx="24">
                  <c:v>19800000</c:v>
                </c:pt>
                <c:pt idx="25">
                  <c:v>30900000</c:v>
                </c:pt>
                <c:pt idx="26">
                  <c:v>43600000</c:v>
                </c:pt>
              </c:numCache>
            </c:numRef>
          </c:yVal>
          <c:smooth val="0"/>
          <c:extLst>
            <c:ext xmlns:c16="http://schemas.microsoft.com/office/drawing/2014/chart" uri="{C3380CC4-5D6E-409C-BE32-E72D297353CC}">
              <c16:uniqueId val="{00000006-372B-4700-9E29-BF8F2AC8CC4A}"/>
            </c:ext>
          </c:extLst>
        </c:ser>
        <c:dLbls>
          <c:showLegendKey val="0"/>
          <c:showVal val="0"/>
          <c:showCatName val="0"/>
          <c:showSerName val="0"/>
          <c:showPercent val="0"/>
          <c:showBubbleSize val="0"/>
        </c:dLbls>
        <c:axId val="302255216"/>
        <c:axId val="2028199856"/>
      </c:scatterChart>
      <c:catAx>
        <c:axId val="3022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540000" spcFirstLastPara="1" vertOverflow="ellipsis" wrap="square" anchor="ctr" anchorCtr="1"/>
          <a:lstStyle/>
          <a:p>
            <a:pPr>
              <a:defRPr sz="11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2028199856"/>
        <c:crosses val="autoZero"/>
        <c:auto val="1"/>
        <c:lblAlgn val="ctr"/>
        <c:lblOffset val="100"/>
        <c:noMultiLvlLbl val="0"/>
      </c:catAx>
      <c:valAx>
        <c:axId val="202819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1200"/>
                  <a:t>2014 Dollars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2255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1600"/>
              <a:t>Total NPV:</a:t>
            </a:r>
          </a:p>
          <a:p>
            <a:pPr>
              <a:defRPr sz="1600"/>
            </a:pPr>
            <a:r>
              <a:rPr lang="en-US" sz="1600"/>
              <a:t>$37,145,000</a:t>
            </a:r>
          </a:p>
        </c:rich>
      </c:tx>
      <c:layout>
        <c:manualLayout>
          <c:xMode val="edge"/>
          <c:yMode val="edge"/>
          <c:x val="0.80705536969359071"/>
          <c:y val="0.86584929152068724"/>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F48-4AFA-96AC-8BECD029C3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F48-4AFA-96AC-8BECD029C3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17D8-43B0-B78C-73318F4CC5E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17D8-43B0-B78C-73318F4CC5E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17D8-43B0-B78C-73318F4CC5E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1-17D8-43B0-B78C-73318F4CC5E4}"/>
              </c:ext>
            </c:extLst>
          </c:dPt>
          <c:dLbls>
            <c:dLbl>
              <c:idx val="2"/>
              <c:layout>
                <c:manualLayout>
                  <c:x val="-5.5081097825330869E-2"/>
                  <c:y val="0.1042454950959338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7D8-43B0-B78C-73318F4CC5E4}"/>
                </c:ext>
              </c:extLst>
            </c:dLbl>
            <c:dLbl>
              <c:idx val="3"/>
              <c:layout>
                <c:manualLayout>
                  <c:x val="-6.5673616637894519E-2"/>
                  <c:y val="4.03530948758453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7D8-43B0-B78C-73318F4CC5E4}"/>
                </c:ext>
              </c:extLst>
            </c:dLbl>
            <c:dLbl>
              <c:idx val="4"/>
              <c:layout>
                <c:manualLayout>
                  <c:x val="6.9910624162919904E-2"/>
                  <c:y val="-2.35393053442431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7D8-43B0-B78C-73318F4CC5E4}"/>
                </c:ext>
              </c:extLst>
            </c:dLbl>
            <c:dLbl>
              <c:idx val="5"/>
              <c:layout>
                <c:manualLayout>
                  <c:x val="0.1588877821884544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7D8-43B0-B78C-73318F4CC5E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chemeClr val="dk1">
                        <a:lumMod val="65000"/>
                        <a:lumOff val="35000"/>
                      </a:schemeClr>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LCCA!$C$6:$H$6</c:f>
              <c:strCache>
                <c:ptCount val="6"/>
                <c:pt idx="0">
                  <c:v>Construction ($)</c:v>
                </c:pt>
                <c:pt idx="1">
                  <c:v>Operation ($/yr)</c:v>
                </c:pt>
                <c:pt idx="2">
                  <c:v>Replacement Labor ($/yr)</c:v>
                </c:pt>
                <c:pt idx="3">
                  <c:v>Material ($/yr)</c:v>
                </c:pt>
                <c:pt idx="4">
                  <c:v>Chemical ($/yr)</c:v>
                </c:pt>
                <c:pt idx="5">
                  <c:v>Energy ($/yr)</c:v>
                </c:pt>
              </c:strCache>
            </c:strRef>
          </c:cat>
          <c:val>
            <c:numRef>
              <c:f>LCCA!$C$8:$H$8</c:f>
              <c:numCache>
                <c:formatCode>_(* #,##0_);_(* \(#,##0\);_(* "-"??_);_(@_)</c:formatCode>
                <c:ptCount val="6"/>
                <c:pt idx="0">
                  <c:v>17110127.721004393</c:v>
                </c:pt>
                <c:pt idx="1">
                  <c:v>14772578.086443868</c:v>
                </c:pt>
                <c:pt idx="2">
                  <c:v>201286.45221115209</c:v>
                </c:pt>
                <c:pt idx="3">
                  <c:v>2286489.617634031</c:v>
                </c:pt>
                <c:pt idx="4">
                  <c:v>1101847.335653492</c:v>
                </c:pt>
                <c:pt idx="5">
                  <c:v>1672998.5877437466</c:v>
                </c:pt>
              </c:numCache>
            </c:numRef>
          </c:val>
          <c:extLst>
            <c:ext xmlns:c16="http://schemas.microsoft.com/office/drawing/2014/chart" uri="{C3380CC4-5D6E-409C-BE32-E72D297353CC}">
              <c16:uniqueId val="{00000000-17D8-43B0-B78C-73318F4CC5E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18699156927396E-2"/>
          <c:y val="2.2686338596317007E-2"/>
          <c:w val="0.92350116557230555"/>
          <c:h val="0.65191799467753786"/>
        </c:manualLayout>
      </c:layout>
      <c:lineChart>
        <c:grouping val="standard"/>
        <c:varyColors val="0"/>
        <c:ser>
          <c:idx val="0"/>
          <c:order val="0"/>
          <c:tx>
            <c:strRef>
              <c:f>Mitigation!$I$4</c:f>
              <c:strCache>
                <c:ptCount val="1"/>
                <c:pt idx="0">
                  <c:v>Cumulative Energy Demand (CED) - MJ</c:v>
                </c:pt>
              </c:strCache>
            </c:strRef>
          </c:tx>
          <c:spPr>
            <a:ln w="28575" cap="rnd">
              <a:solidFill>
                <a:schemeClr val="accent1"/>
              </a:solidFill>
              <a:round/>
            </a:ln>
            <a:effectLst/>
          </c:spPr>
          <c:marker>
            <c:symbol val="none"/>
          </c:marker>
          <c:dLbls>
            <c:dLbl>
              <c:idx val="5"/>
              <c:layout>
                <c:manualLayout>
                  <c:x val="3.599947722882598E-3"/>
                  <c:y val="-1.9036815092471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EC-4EDB-850C-BCB60F689C6C}"/>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Mitigation!$I$9:$N$14</c:f>
              <c:multiLvlStrCache>
                <c:ptCount val="6"/>
                <c:lvl>
                  <c:pt idx="0">
                    <c:v>n.a. (legacy)</c:v>
                  </c:pt>
                  <c:pt idx="1">
                    <c:v>Windrow</c:v>
                  </c:pt>
                  <c:pt idx="2">
                    <c:v>Windrow</c:v>
                  </c:pt>
                  <c:pt idx="3">
                    <c:v>Aerated Static Pile</c:v>
                  </c:pt>
                  <c:pt idx="4">
                    <c:v>Aerated Static Pile</c:v>
                  </c:pt>
                  <c:pt idx="5">
                    <c:v>Aerated Static Pile</c:v>
                  </c:pt>
                </c:lvl>
                <c:lvl>
                  <c:pt idx="0">
                    <c:v>Landfill National</c:v>
                  </c:pt>
                  <c:pt idx="1">
                    <c:v>n.a. (upgraded)</c:v>
                  </c:pt>
                  <c:pt idx="2">
                    <c:v>n.a. (upgraded)</c:v>
                  </c:pt>
                  <c:pt idx="3">
                    <c:v>n.a. (upgraded)</c:v>
                  </c:pt>
                  <c:pt idx="4">
                    <c:v>n.a. (upgraded)</c:v>
                  </c:pt>
                  <c:pt idx="5">
                    <c:v>n.a. (upgraded)</c:v>
                  </c:pt>
                </c:lvl>
                <c:lvl>
                  <c:pt idx="0">
                    <c:v>n.a. (legacy)</c:v>
                  </c:pt>
                  <c:pt idx="1">
                    <c:v>Base_With Amendment</c:v>
                  </c:pt>
                  <c:pt idx="2">
                    <c:v>Base_With Amendment</c:v>
                  </c:pt>
                  <c:pt idx="3">
                    <c:v>Base_With Amendment</c:v>
                  </c:pt>
                  <c:pt idx="4">
                    <c:v>Base_With Amendment</c:v>
                  </c:pt>
                  <c:pt idx="5">
                    <c:v>Base_With Amendment</c:v>
                  </c:pt>
                </c:lvl>
                <c:lvl>
                  <c:pt idx="0">
                    <c:v>High</c:v>
                  </c:pt>
                  <c:pt idx="1">
                    <c:v>High</c:v>
                  </c:pt>
                  <c:pt idx="2">
                    <c:v>Base</c:v>
                  </c:pt>
                  <c:pt idx="3">
                    <c:v>Base</c:v>
                  </c:pt>
                  <c:pt idx="4">
                    <c:v>Base</c:v>
                  </c:pt>
                  <c:pt idx="5">
                    <c:v>Base</c:v>
                  </c:pt>
                </c:lvl>
                <c:lvl>
                  <c:pt idx="0">
                    <c:v>Base</c:v>
                  </c:pt>
                  <c:pt idx="1">
                    <c:v>Base</c:v>
                  </c:pt>
                  <c:pt idx="2">
                    <c:v>Base</c:v>
                  </c:pt>
                  <c:pt idx="3">
                    <c:v>Base</c:v>
                  </c:pt>
                  <c:pt idx="4">
                    <c:v>Medium_Base</c:v>
                  </c:pt>
                  <c:pt idx="5">
                    <c:v>High_High</c:v>
                  </c:pt>
                </c:lvl>
                <c:lvl>
                  <c:pt idx="0">
                    <c:v>Legacy</c:v>
                  </c:pt>
                  <c:pt idx="1">
                    <c:v>Upgraded</c:v>
                  </c:pt>
                  <c:pt idx="2">
                    <c:v>Upgraded</c:v>
                  </c:pt>
                  <c:pt idx="3">
                    <c:v>Upgraded</c:v>
                  </c:pt>
                  <c:pt idx="4">
                    <c:v>Upgraded</c:v>
                  </c:pt>
                  <c:pt idx="5">
                    <c:v>Upgraded</c:v>
                  </c:pt>
                </c:lvl>
              </c:multiLvlStrCache>
            </c:multiLvlStrRef>
          </c:cat>
          <c:val>
            <c:numRef>
              <c:f>Mitigation!$I$42:$N$42</c:f>
              <c:numCache>
                <c:formatCode>0%</c:formatCode>
                <c:ptCount val="6"/>
                <c:pt idx="0">
                  <c:v>1</c:v>
                </c:pt>
                <c:pt idx="1">
                  <c:v>1.0252164312277201</c:v>
                </c:pt>
                <c:pt idx="2">
                  <c:v>1.0219769168553172</c:v>
                </c:pt>
                <c:pt idx="3">
                  <c:v>1.1533954989151689</c:v>
                </c:pt>
                <c:pt idx="4">
                  <c:v>0.5776274515677623</c:v>
                </c:pt>
                <c:pt idx="5">
                  <c:v>-0.88651643079977915</c:v>
                </c:pt>
              </c:numCache>
            </c:numRef>
          </c:val>
          <c:smooth val="0"/>
          <c:extLst>
            <c:ext xmlns:c16="http://schemas.microsoft.com/office/drawing/2014/chart" uri="{C3380CC4-5D6E-409C-BE32-E72D297353CC}">
              <c16:uniqueId val="{00000000-45EC-4EDB-850C-BCB60F689C6C}"/>
            </c:ext>
          </c:extLst>
        </c:ser>
        <c:ser>
          <c:idx val="1"/>
          <c:order val="1"/>
          <c:tx>
            <c:strRef>
              <c:f>Mitigation!$I$5</c:f>
              <c:strCache>
                <c:ptCount val="1"/>
                <c:pt idx="0">
                  <c:v>Global Warming Potential (GWP) - kg CO2 eq</c:v>
                </c:pt>
              </c:strCache>
            </c:strRef>
          </c:tx>
          <c:spPr>
            <a:ln w="28575" cap="rnd">
              <a:solidFill>
                <a:schemeClr val="accent2"/>
              </a:solidFill>
              <a:round/>
            </a:ln>
            <a:effectLst/>
          </c:spPr>
          <c:marker>
            <c:symbol val="none"/>
          </c:marker>
          <c:dLbls>
            <c:dLbl>
              <c:idx val="2"/>
              <c:layout>
                <c:manualLayout>
                  <c:x val="-2.5671234741811301E-2"/>
                  <c:y val="3.18756781264437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EC-4EDB-850C-BCB60F689C6C}"/>
                </c:ext>
              </c:extLst>
            </c:dLbl>
            <c:dLbl>
              <c:idx val="4"/>
              <c:layout>
                <c:manualLayout>
                  <c:x val="-1.1648317657873884E-2"/>
                  <c:y val="4.02401790993623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EC-4EDB-850C-BCB60F689C6C}"/>
                </c:ext>
              </c:extLst>
            </c:dLbl>
            <c:dLbl>
              <c:idx val="5"/>
              <c:layout>
                <c:manualLayout>
                  <c:x val="-8.7123837806529127E-3"/>
                  <c:y val="4.8859208661106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EC-4EDB-850C-BCB60F689C6C}"/>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Mitigation!$I$9:$N$14</c:f>
              <c:multiLvlStrCache>
                <c:ptCount val="6"/>
                <c:lvl>
                  <c:pt idx="0">
                    <c:v>n.a. (legacy)</c:v>
                  </c:pt>
                  <c:pt idx="1">
                    <c:v>Windrow</c:v>
                  </c:pt>
                  <c:pt idx="2">
                    <c:v>Windrow</c:v>
                  </c:pt>
                  <c:pt idx="3">
                    <c:v>Aerated Static Pile</c:v>
                  </c:pt>
                  <c:pt idx="4">
                    <c:v>Aerated Static Pile</c:v>
                  </c:pt>
                  <c:pt idx="5">
                    <c:v>Aerated Static Pile</c:v>
                  </c:pt>
                </c:lvl>
                <c:lvl>
                  <c:pt idx="0">
                    <c:v>Landfill National</c:v>
                  </c:pt>
                  <c:pt idx="1">
                    <c:v>n.a. (upgraded)</c:v>
                  </c:pt>
                  <c:pt idx="2">
                    <c:v>n.a. (upgraded)</c:v>
                  </c:pt>
                  <c:pt idx="3">
                    <c:v>n.a. (upgraded)</c:v>
                  </c:pt>
                  <c:pt idx="4">
                    <c:v>n.a. (upgraded)</c:v>
                  </c:pt>
                  <c:pt idx="5">
                    <c:v>n.a. (upgraded)</c:v>
                  </c:pt>
                </c:lvl>
                <c:lvl>
                  <c:pt idx="0">
                    <c:v>n.a. (legacy)</c:v>
                  </c:pt>
                  <c:pt idx="1">
                    <c:v>Base_With Amendment</c:v>
                  </c:pt>
                  <c:pt idx="2">
                    <c:v>Base_With Amendment</c:v>
                  </c:pt>
                  <c:pt idx="3">
                    <c:v>Base_With Amendment</c:v>
                  </c:pt>
                  <c:pt idx="4">
                    <c:v>Base_With Amendment</c:v>
                  </c:pt>
                  <c:pt idx="5">
                    <c:v>Base_With Amendment</c:v>
                  </c:pt>
                </c:lvl>
                <c:lvl>
                  <c:pt idx="0">
                    <c:v>High</c:v>
                  </c:pt>
                  <c:pt idx="1">
                    <c:v>High</c:v>
                  </c:pt>
                  <c:pt idx="2">
                    <c:v>Base</c:v>
                  </c:pt>
                  <c:pt idx="3">
                    <c:v>Base</c:v>
                  </c:pt>
                  <c:pt idx="4">
                    <c:v>Base</c:v>
                  </c:pt>
                  <c:pt idx="5">
                    <c:v>Base</c:v>
                  </c:pt>
                </c:lvl>
                <c:lvl>
                  <c:pt idx="0">
                    <c:v>Base</c:v>
                  </c:pt>
                  <c:pt idx="1">
                    <c:v>Base</c:v>
                  </c:pt>
                  <c:pt idx="2">
                    <c:v>Base</c:v>
                  </c:pt>
                  <c:pt idx="3">
                    <c:v>Base</c:v>
                  </c:pt>
                  <c:pt idx="4">
                    <c:v>Medium_Base</c:v>
                  </c:pt>
                  <c:pt idx="5">
                    <c:v>High_High</c:v>
                  </c:pt>
                </c:lvl>
                <c:lvl>
                  <c:pt idx="0">
                    <c:v>Legacy</c:v>
                  </c:pt>
                  <c:pt idx="1">
                    <c:v>Upgraded</c:v>
                  </c:pt>
                  <c:pt idx="2">
                    <c:v>Upgraded</c:v>
                  </c:pt>
                  <c:pt idx="3">
                    <c:v>Upgraded</c:v>
                  </c:pt>
                  <c:pt idx="4">
                    <c:v>Upgraded</c:v>
                  </c:pt>
                  <c:pt idx="5">
                    <c:v>Upgraded</c:v>
                  </c:pt>
                </c:lvl>
              </c:multiLvlStrCache>
            </c:multiLvlStrRef>
          </c:cat>
          <c:val>
            <c:numRef>
              <c:f>Mitigation!$P$42:$U$42</c:f>
              <c:numCache>
                <c:formatCode>0%</c:formatCode>
                <c:ptCount val="6"/>
                <c:pt idx="0">
                  <c:v>1</c:v>
                </c:pt>
                <c:pt idx="1">
                  <c:v>1.9897663312297458</c:v>
                </c:pt>
                <c:pt idx="2">
                  <c:v>1.0358178406958898</c:v>
                </c:pt>
                <c:pt idx="3">
                  <c:v>0.80941923929728832</c:v>
                </c:pt>
                <c:pt idx="4">
                  <c:v>0.53243859798737847</c:v>
                </c:pt>
                <c:pt idx="5">
                  <c:v>2.2908493945079326E-2</c:v>
                </c:pt>
              </c:numCache>
            </c:numRef>
          </c:val>
          <c:smooth val="0"/>
          <c:extLst>
            <c:ext xmlns:c16="http://schemas.microsoft.com/office/drawing/2014/chart" uri="{C3380CC4-5D6E-409C-BE32-E72D297353CC}">
              <c16:uniqueId val="{00000003-45EC-4EDB-850C-BCB60F689C6C}"/>
            </c:ext>
          </c:extLst>
        </c:ser>
        <c:ser>
          <c:idx val="2"/>
          <c:order val="2"/>
          <c:tx>
            <c:strRef>
              <c:f>Mitigation!$I$6</c:f>
              <c:strCache>
                <c:ptCount val="1"/>
                <c:pt idx="0">
                  <c:v>Eutrophication Potential (EP) - kg N eq</c:v>
                </c:pt>
              </c:strCache>
            </c:strRef>
          </c:tx>
          <c:spPr>
            <a:ln w="28575" cap="rnd">
              <a:solidFill>
                <a:schemeClr val="accent3"/>
              </a:solidFill>
              <a:round/>
            </a:ln>
            <a:effectLst/>
          </c:spPr>
          <c:marker>
            <c:symbol val="none"/>
          </c:marker>
          <c:dLbls>
            <c:dLbl>
              <c:idx val="4"/>
              <c:layout>
                <c:manualLayout>
                  <c:x val="-2.7061970513283309E-2"/>
                  <c:y val="-4.670428160473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EC-4EDB-850C-BCB60F689C6C}"/>
                </c:ext>
              </c:extLst>
            </c:dLbl>
            <c:dLbl>
              <c:idx val="5"/>
              <c:layout>
                <c:manualLayout>
                  <c:x val="-5.0424664341268332E-3"/>
                  <c:y val="-3.808525204298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EC-4EDB-850C-BCB60F689C6C}"/>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Mitigation!$I$9:$N$14</c:f>
              <c:multiLvlStrCache>
                <c:ptCount val="6"/>
                <c:lvl>
                  <c:pt idx="0">
                    <c:v>n.a. (legacy)</c:v>
                  </c:pt>
                  <c:pt idx="1">
                    <c:v>Windrow</c:v>
                  </c:pt>
                  <c:pt idx="2">
                    <c:v>Windrow</c:v>
                  </c:pt>
                  <c:pt idx="3">
                    <c:v>Aerated Static Pile</c:v>
                  </c:pt>
                  <c:pt idx="4">
                    <c:v>Aerated Static Pile</c:v>
                  </c:pt>
                  <c:pt idx="5">
                    <c:v>Aerated Static Pile</c:v>
                  </c:pt>
                </c:lvl>
                <c:lvl>
                  <c:pt idx="0">
                    <c:v>Landfill National</c:v>
                  </c:pt>
                  <c:pt idx="1">
                    <c:v>n.a. (upgraded)</c:v>
                  </c:pt>
                  <c:pt idx="2">
                    <c:v>n.a. (upgraded)</c:v>
                  </c:pt>
                  <c:pt idx="3">
                    <c:v>n.a. (upgraded)</c:v>
                  </c:pt>
                  <c:pt idx="4">
                    <c:v>n.a. (upgraded)</c:v>
                  </c:pt>
                  <c:pt idx="5">
                    <c:v>n.a. (upgraded)</c:v>
                  </c:pt>
                </c:lvl>
                <c:lvl>
                  <c:pt idx="0">
                    <c:v>n.a. (legacy)</c:v>
                  </c:pt>
                  <c:pt idx="1">
                    <c:v>Base_With Amendment</c:v>
                  </c:pt>
                  <c:pt idx="2">
                    <c:v>Base_With Amendment</c:v>
                  </c:pt>
                  <c:pt idx="3">
                    <c:v>Base_With Amendment</c:v>
                  </c:pt>
                  <c:pt idx="4">
                    <c:v>Base_With Amendment</c:v>
                  </c:pt>
                  <c:pt idx="5">
                    <c:v>Base_With Amendment</c:v>
                  </c:pt>
                </c:lvl>
                <c:lvl>
                  <c:pt idx="0">
                    <c:v>High</c:v>
                  </c:pt>
                  <c:pt idx="1">
                    <c:v>High</c:v>
                  </c:pt>
                  <c:pt idx="2">
                    <c:v>Base</c:v>
                  </c:pt>
                  <c:pt idx="3">
                    <c:v>Base</c:v>
                  </c:pt>
                  <c:pt idx="4">
                    <c:v>Base</c:v>
                  </c:pt>
                  <c:pt idx="5">
                    <c:v>Base</c:v>
                  </c:pt>
                </c:lvl>
                <c:lvl>
                  <c:pt idx="0">
                    <c:v>Base</c:v>
                  </c:pt>
                  <c:pt idx="1">
                    <c:v>Base</c:v>
                  </c:pt>
                  <c:pt idx="2">
                    <c:v>Base</c:v>
                  </c:pt>
                  <c:pt idx="3">
                    <c:v>Base</c:v>
                  </c:pt>
                  <c:pt idx="4">
                    <c:v>Medium_Base</c:v>
                  </c:pt>
                  <c:pt idx="5">
                    <c:v>High_High</c:v>
                  </c:pt>
                </c:lvl>
                <c:lvl>
                  <c:pt idx="0">
                    <c:v>Legacy</c:v>
                  </c:pt>
                  <c:pt idx="1">
                    <c:v>Upgraded</c:v>
                  </c:pt>
                  <c:pt idx="2">
                    <c:v>Upgraded</c:v>
                  </c:pt>
                  <c:pt idx="3">
                    <c:v>Upgraded</c:v>
                  </c:pt>
                  <c:pt idx="4">
                    <c:v>Upgraded</c:v>
                  </c:pt>
                  <c:pt idx="5">
                    <c:v>Upgraded</c:v>
                  </c:pt>
                </c:lvl>
              </c:multiLvlStrCache>
            </c:multiLvlStrRef>
          </c:cat>
          <c:val>
            <c:numRef>
              <c:f>Mitigation!$W$42:$AB$42</c:f>
              <c:numCache>
                <c:formatCode>0%</c:formatCode>
                <c:ptCount val="6"/>
                <c:pt idx="0">
                  <c:v>1</c:v>
                </c:pt>
                <c:pt idx="1">
                  <c:v>0.64108367121981724</c:v>
                </c:pt>
                <c:pt idx="2">
                  <c:v>0.63127094571234577</c:v>
                </c:pt>
                <c:pt idx="3">
                  <c:v>0.62513799227017608</c:v>
                </c:pt>
                <c:pt idx="4">
                  <c:v>0.64473364939729694</c:v>
                </c:pt>
                <c:pt idx="5">
                  <c:v>0.58875158836134622</c:v>
                </c:pt>
              </c:numCache>
            </c:numRef>
          </c:val>
          <c:smooth val="0"/>
          <c:extLst>
            <c:ext xmlns:c16="http://schemas.microsoft.com/office/drawing/2014/chart" uri="{C3380CC4-5D6E-409C-BE32-E72D297353CC}">
              <c16:uniqueId val="{00000004-45EC-4EDB-850C-BCB60F689C6C}"/>
            </c:ext>
          </c:extLst>
        </c:ser>
        <c:dLbls>
          <c:showLegendKey val="0"/>
          <c:showVal val="0"/>
          <c:showCatName val="0"/>
          <c:showSerName val="0"/>
          <c:showPercent val="0"/>
          <c:showBubbleSize val="0"/>
        </c:dLbls>
        <c:smooth val="0"/>
        <c:axId val="824193567"/>
        <c:axId val="466101615"/>
      </c:lineChart>
      <c:catAx>
        <c:axId val="82419356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466101615"/>
        <c:crosses val="autoZero"/>
        <c:auto val="1"/>
        <c:lblAlgn val="ctr"/>
        <c:lblOffset val="100"/>
        <c:noMultiLvlLbl val="0"/>
      </c:catAx>
      <c:valAx>
        <c:axId val="4661016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Percentage of Baseline Scenario Impacts</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824193567"/>
        <c:crosses val="autoZero"/>
        <c:crossBetween val="between"/>
      </c:valAx>
      <c:spPr>
        <a:noFill/>
        <a:ln>
          <a:noFill/>
        </a:ln>
        <a:effectLst/>
      </c:spPr>
    </c:plotArea>
    <c:legend>
      <c:legendPos val="b"/>
      <c:layout>
        <c:manualLayout>
          <c:xMode val="edge"/>
          <c:yMode val="edge"/>
          <c:x val="2.7061109209174941E-2"/>
          <c:y val="0.91860097863291834"/>
          <c:w val="0.95590827462356665"/>
          <c:h val="7.75452967572601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'EOL Emissions'!$E$5</c:f>
              <c:strCache>
                <c:ptCount val="1"/>
                <c:pt idx="0">
                  <c:v>Landfill</c:v>
                </c:pt>
              </c:strCache>
            </c:strRef>
          </c:tx>
          <c:spPr>
            <a:solidFill>
              <a:schemeClr val="accent1"/>
            </a:solidFill>
            <a:ln>
              <a:noFill/>
            </a:ln>
            <a:effectLst/>
          </c:spPr>
          <c:invertIfNegative val="0"/>
          <c:cat>
            <c:multiLvlStrRef>
              <c:f>'EOL Emissions'!$B$6:$D$17</c:f>
              <c:multiLvlStrCache>
                <c:ptCount val="12"/>
                <c:lvl>
                  <c:pt idx="0">
                    <c:v>Bath Landfill</c:v>
                  </c:pt>
                  <c:pt idx="1">
                    <c:v>National Avg. Landfill</c:v>
                  </c:pt>
                  <c:pt idx="2">
                    <c:v>Windrow + Land Apply</c:v>
                  </c:pt>
                  <c:pt idx="3">
                    <c:v>ASP + Land Apply</c:v>
                  </c:pt>
                  <c:pt idx="4">
                    <c:v>Bath Landfill</c:v>
                  </c:pt>
                  <c:pt idx="5">
                    <c:v>National Avg. Landfill</c:v>
                  </c:pt>
                  <c:pt idx="6">
                    <c:v>Windrow + Land Apply</c:v>
                  </c:pt>
                  <c:pt idx="7">
                    <c:v>ASP + Land Apply</c:v>
                  </c:pt>
                  <c:pt idx="8">
                    <c:v>Bath Landfill</c:v>
                  </c:pt>
                  <c:pt idx="9">
                    <c:v>National Avg. Landfill</c:v>
                  </c:pt>
                  <c:pt idx="10">
                    <c:v>Windrow + Land Apply</c:v>
                  </c:pt>
                  <c:pt idx="11">
                    <c:v>ASP + Land Apply</c:v>
                  </c:pt>
                </c:lvl>
                <c:lvl>
                  <c:pt idx="0">
                    <c:v>Legacy</c:v>
                  </c:pt>
                  <c:pt idx="2">
                    <c:v>Upgraded</c:v>
                  </c:pt>
                  <c:pt idx="4">
                    <c:v>Legacy</c:v>
                  </c:pt>
                  <c:pt idx="6">
                    <c:v>Upgraded</c:v>
                  </c:pt>
                  <c:pt idx="8">
                    <c:v>Legacy</c:v>
                  </c:pt>
                  <c:pt idx="10">
                    <c:v>Upgraded</c:v>
                  </c:pt>
                </c:lvl>
                <c:lvl>
                  <c:pt idx="0">
                    <c:v>Low Emissions</c:v>
                  </c:pt>
                  <c:pt idx="4">
                    <c:v>Base Emissions</c:v>
                  </c:pt>
                  <c:pt idx="8">
                    <c:v>High Emissions</c:v>
                  </c:pt>
                </c:lvl>
              </c:multiLvlStrCache>
            </c:multiLvlStrRef>
          </c:cat>
          <c:val>
            <c:numRef>
              <c:f>'EOL Emissions'!$E$6:$E$17</c:f>
              <c:numCache>
                <c:formatCode>0.000</c:formatCode>
                <c:ptCount val="12"/>
                <c:pt idx="0">
                  <c:v>-0.19137999999999999</c:v>
                </c:pt>
                <c:pt idx="1">
                  <c:v>-6.0170000000000001E-2</c:v>
                </c:pt>
                <c:pt idx="2" formatCode="0;0;&quot;-&quot;">
                  <c:v>0</c:v>
                </c:pt>
                <c:pt idx="3" formatCode="0;0;&quot;-&quot;">
                  <c:v>0</c:v>
                </c:pt>
                <c:pt idx="4">
                  <c:v>0.12368</c:v>
                </c:pt>
                <c:pt idx="5">
                  <c:v>0.28660999999999998</c:v>
                </c:pt>
                <c:pt idx="6" formatCode="0;0;&quot;-&quot;">
                  <c:v>0</c:v>
                </c:pt>
                <c:pt idx="7" formatCode="0;0;&quot;-&quot;">
                  <c:v>0</c:v>
                </c:pt>
                <c:pt idx="8">
                  <c:v>0.46127000000000001</c:v>
                </c:pt>
                <c:pt idx="9">
                  <c:v>0.70089999999999997</c:v>
                </c:pt>
                <c:pt idx="10" formatCode="0;0;&quot;-&quot;">
                  <c:v>0</c:v>
                </c:pt>
                <c:pt idx="11" formatCode="0;0;&quot;-&quot;">
                  <c:v>0</c:v>
                </c:pt>
              </c:numCache>
            </c:numRef>
          </c:val>
          <c:extLst>
            <c:ext xmlns:c16="http://schemas.microsoft.com/office/drawing/2014/chart" uri="{C3380CC4-5D6E-409C-BE32-E72D297353CC}">
              <c16:uniqueId val="{00000000-6876-4152-A873-4389E2D39817}"/>
            </c:ext>
          </c:extLst>
        </c:ser>
        <c:ser>
          <c:idx val="1"/>
          <c:order val="1"/>
          <c:tx>
            <c:strRef>
              <c:f>'EOL Emissions'!$F$5</c:f>
              <c:strCache>
                <c:ptCount val="1"/>
                <c:pt idx="0">
                  <c:v>Land Application</c:v>
                </c:pt>
              </c:strCache>
            </c:strRef>
          </c:tx>
          <c:spPr>
            <a:solidFill>
              <a:schemeClr val="accent2"/>
            </a:solidFill>
            <a:ln>
              <a:noFill/>
            </a:ln>
            <a:effectLst/>
          </c:spPr>
          <c:invertIfNegative val="0"/>
          <c:cat>
            <c:multiLvlStrRef>
              <c:f>'EOL Emissions'!$B$6:$D$17</c:f>
              <c:multiLvlStrCache>
                <c:ptCount val="12"/>
                <c:lvl>
                  <c:pt idx="0">
                    <c:v>Bath Landfill</c:v>
                  </c:pt>
                  <c:pt idx="1">
                    <c:v>National Avg. Landfill</c:v>
                  </c:pt>
                  <c:pt idx="2">
                    <c:v>Windrow + Land Apply</c:v>
                  </c:pt>
                  <c:pt idx="3">
                    <c:v>ASP + Land Apply</c:v>
                  </c:pt>
                  <c:pt idx="4">
                    <c:v>Bath Landfill</c:v>
                  </c:pt>
                  <c:pt idx="5">
                    <c:v>National Avg. Landfill</c:v>
                  </c:pt>
                  <c:pt idx="6">
                    <c:v>Windrow + Land Apply</c:v>
                  </c:pt>
                  <c:pt idx="7">
                    <c:v>ASP + Land Apply</c:v>
                  </c:pt>
                  <c:pt idx="8">
                    <c:v>Bath Landfill</c:v>
                  </c:pt>
                  <c:pt idx="9">
                    <c:v>National Avg. Landfill</c:v>
                  </c:pt>
                  <c:pt idx="10">
                    <c:v>Windrow + Land Apply</c:v>
                  </c:pt>
                  <c:pt idx="11">
                    <c:v>ASP + Land Apply</c:v>
                  </c:pt>
                </c:lvl>
                <c:lvl>
                  <c:pt idx="0">
                    <c:v>Legacy</c:v>
                  </c:pt>
                  <c:pt idx="2">
                    <c:v>Upgraded</c:v>
                  </c:pt>
                  <c:pt idx="4">
                    <c:v>Legacy</c:v>
                  </c:pt>
                  <c:pt idx="6">
                    <c:v>Upgraded</c:v>
                  </c:pt>
                  <c:pt idx="8">
                    <c:v>Legacy</c:v>
                  </c:pt>
                  <c:pt idx="10">
                    <c:v>Upgraded</c:v>
                  </c:pt>
                </c:lvl>
                <c:lvl>
                  <c:pt idx="0">
                    <c:v>Low Emissions</c:v>
                  </c:pt>
                  <c:pt idx="4">
                    <c:v>Base Emissions</c:v>
                  </c:pt>
                  <c:pt idx="8">
                    <c:v>High Emissions</c:v>
                  </c:pt>
                </c:lvl>
              </c:multiLvlStrCache>
            </c:multiLvlStrRef>
          </c:cat>
          <c:val>
            <c:numRef>
              <c:f>'EOL Emissions'!$F$6:$F$17</c:f>
              <c:numCache>
                <c:formatCode>0;0;"-"</c:formatCode>
                <c:ptCount val="12"/>
                <c:pt idx="0">
                  <c:v>0</c:v>
                </c:pt>
                <c:pt idx="1">
                  <c:v>0</c:v>
                </c:pt>
                <c:pt idx="2" formatCode="0.000">
                  <c:v>-0.46745999999999999</c:v>
                </c:pt>
                <c:pt idx="3" formatCode="0.000">
                  <c:v>-0.46745999999999999</c:v>
                </c:pt>
                <c:pt idx="4">
                  <c:v>0</c:v>
                </c:pt>
                <c:pt idx="5">
                  <c:v>0</c:v>
                </c:pt>
                <c:pt idx="6" formatCode="0.000">
                  <c:v>-0.46950999999999998</c:v>
                </c:pt>
                <c:pt idx="7" formatCode="0.000">
                  <c:v>-0.46950999999999998</c:v>
                </c:pt>
                <c:pt idx="8">
                  <c:v>0</c:v>
                </c:pt>
                <c:pt idx="9">
                  <c:v>0</c:v>
                </c:pt>
                <c:pt idx="10" formatCode="0.000">
                  <c:v>-0.47161999999999998</c:v>
                </c:pt>
                <c:pt idx="11" formatCode="0.000">
                  <c:v>-0.47161999999999998</c:v>
                </c:pt>
              </c:numCache>
            </c:numRef>
          </c:val>
          <c:extLst>
            <c:ext xmlns:c16="http://schemas.microsoft.com/office/drawing/2014/chart" uri="{C3380CC4-5D6E-409C-BE32-E72D297353CC}">
              <c16:uniqueId val="{00000001-6876-4152-A873-4389E2D39817}"/>
            </c:ext>
          </c:extLst>
        </c:ser>
        <c:ser>
          <c:idx val="2"/>
          <c:order val="2"/>
          <c:tx>
            <c:strRef>
              <c:f>'EOL Emissions'!$G$5</c:f>
              <c:strCache>
                <c:ptCount val="1"/>
                <c:pt idx="0">
                  <c:v>Composting</c:v>
                </c:pt>
              </c:strCache>
            </c:strRef>
          </c:tx>
          <c:spPr>
            <a:solidFill>
              <a:schemeClr val="accent3"/>
            </a:solidFill>
            <a:ln>
              <a:noFill/>
            </a:ln>
            <a:effectLst/>
          </c:spPr>
          <c:invertIfNegative val="0"/>
          <c:cat>
            <c:multiLvlStrRef>
              <c:f>'EOL Emissions'!$B$6:$D$17</c:f>
              <c:multiLvlStrCache>
                <c:ptCount val="12"/>
                <c:lvl>
                  <c:pt idx="0">
                    <c:v>Bath Landfill</c:v>
                  </c:pt>
                  <c:pt idx="1">
                    <c:v>National Avg. Landfill</c:v>
                  </c:pt>
                  <c:pt idx="2">
                    <c:v>Windrow + Land Apply</c:v>
                  </c:pt>
                  <c:pt idx="3">
                    <c:v>ASP + Land Apply</c:v>
                  </c:pt>
                  <c:pt idx="4">
                    <c:v>Bath Landfill</c:v>
                  </c:pt>
                  <c:pt idx="5">
                    <c:v>National Avg. Landfill</c:v>
                  </c:pt>
                  <c:pt idx="6">
                    <c:v>Windrow + Land Apply</c:v>
                  </c:pt>
                  <c:pt idx="7">
                    <c:v>ASP + Land Apply</c:v>
                  </c:pt>
                  <c:pt idx="8">
                    <c:v>Bath Landfill</c:v>
                  </c:pt>
                  <c:pt idx="9">
                    <c:v>National Avg. Landfill</c:v>
                  </c:pt>
                  <c:pt idx="10">
                    <c:v>Windrow + Land Apply</c:v>
                  </c:pt>
                  <c:pt idx="11">
                    <c:v>ASP + Land Apply</c:v>
                  </c:pt>
                </c:lvl>
                <c:lvl>
                  <c:pt idx="0">
                    <c:v>Legacy</c:v>
                  </c:pt>
                  <c:pt idx="2">
                    <c:v>Upgraded</c:v>
                  </c:pt>
                  <c:pt idx="4">
                    <c:v>Legacy</c:v>
                  </c:pt>
                  <c:pt idx="6">
                    <c:v>Upgraded</c:v>
                  </c:pt>
                  <c:pt idx="8">
                    <c:v>Legacy</c:v>
                  </c:pt>
                  <c:pt idx="10">
                    <c:v>Upgraded</c:v>
                  </c:pt>
                </c:lvl>
                <c:lvl>
                  <c:pt idx="0">
                    <c:v>Low Emissions</c:v>
                  </c:pt>
                  <c:pt idx="4">
                    <c:v>Base Emissions</c:v>
                  </c:pt>
                  <c:pt idx="8">
                    <c:v>High Emissions</c:v>
                  </c:pt>
                </c:lvl>
              </c:multiLvlStrCache>
            </c:multiLvlStrRef>
          </c:cat>
          <c:val>
            <c:numRef>
              <c:f>'EOL Emissions'!$G$6:$G$17</c:f>
              <c:numCache>
                <c:formatCode>0;0;"-"</c:formatCode>
                <c:ptCount val="12"/>
                <c:pt idx="0">
                  <c:v>0</c:v>
                </c:pt>
                <c:pt idx="1">
                  <c:v>0</c:v>
                </c:pt>
                <c:pt idx="2" formatCode="0.000">
                  <c:v>9.5269999999999994E-2</c:v>
                </c:pt>
                <c:pt idx="3" formatCode="0.000">
                  <c:v>0.11806</c:v>
                </c:pt>
                <c:pt idx="4">
                  <c:v>0</c:v>
                </c:pt>
                <c:pt idx="5">
                  <c:v>0</c:v>
                </c:pt>
                <c:pt idx="6" formatCode="0.000">
                  <c:v>0.73433000000000004</c:v>
                </c:pt>
                <c:pt idx="7" formatCode="0.000">
                  <c:v>0.52195000000000003</c:v>
                </c:pt>
                <c:pt idx="8">
                  <c:v>0</c:v>
                </c:pt>
                <c:pt idx="9">
                  <c:v>0</c:v>
                </c:pt>
                <c:pt idx="10" formatCode="0.00">
                  <c:v>1.6313200000000001</c:v>
                </c:pt>
                <c:pt idx="11" formatCode="0.000">
                  <c:v>0.86414000000000002</c:v>
                </c:pt>
              </c:numCache>
            </c:numRef>
          </c:val>
          <c:extLst>
            <c:ext xmlns:c16="http://schemas.microsoft.com/office/drawing/2014/chart" uri="{C3380CC4-5D6E-409C-BE32-E72D297353CC}">
              <c16:uniqueId val="{00000002-6876-4152-A873-4389E2D39817}"/>
            </c:ext>
          </c:extLst>
        </c:ser>
        <c:ser>
          <c:idx val="3"/>
          <c:order val="3"/>
          <c:tx>
            <c:strRef>
              <c:f>'EOL Emissions'!$H$5</c:f>
              <c:strCache>
                <c:ptCount val="1"/>
                <c:pt idx="0">
                  <c:v>Other</c:v>
                </c:pt>
              </c:strCache>
            </c:strRef>
          </c:tx>
          <c:spPr>
            <a:solidFill>
              <a:schemeClr val="accent4"/>
            </a:solidFill>
            <a:ln>
              <a:noFill/>
            </a:ln>
            <a:effectLst/>
          </c:spPr>
          <c:invertIfNegative val="0"/>
          <c:cat>
            <c:multiLvlStrRef>
              <c:f>'EOL Emissions'!$B$6:$D$17</c:f>
              <c:multiLvlStrCache>
                <c:ptCount val="12"/>
                <c:lvl>
                  <c:pt idx="0">
                    <c:v>Bath Landfill</c:v>
                  </c:pt>
                  <c:pt idx="1">
                    <c:v>National Avg. Landfill</c:v>
                  </c:pt>
                  <c:pt idx="2">
                    <c:v>Windrow + Land Apply</c:v>
                  </c:pt>
                  <c:pt idx="3">
                    <c:v>ASP + Land Apply</c:v>
                  </c:pt>
                  <c:pt idx="4">
                    <c:v>Bath Landfill</c:v>
                  </c:pt>
                  <c:pt idx="5">
                    <c:v>National Avg. Landfill</c:v>
                  </c:pt>
                  <c:pt idx="6">
                    <c:v>Windrow + Land Apply</c:v>
                  </c:pt>
                  <c:pt idx="7">
                    <c:v>ASP + Land Apply</c:v>
                  </c:pt>
                  <c:pt idx="8">
                    <c:v>Bath Landfill</c:v>
                  </c:pt>
                  <c:pt idx="9">
                    <c:v>National Avg. Landfill</c:v>
                  </c:pt>
                  <c:pt idx="10">
                    <c:v>Windrow + Land Apply</c:v>
                  </c:pt>
                  <c:pt idx="11">
                    <c:v>ASP + Land Apply</c:v>
                  </c:pt>
                </c:lvl>
                <c:lvl>
                  <c:pt idx="0">
                    <c:v>Legacy</c:v>
                  </c:pt>
                  <c:pt idx="2">
                    <c:v>Upgraded</c:v>
                  </c:pt>
                  <c:pt idx="4">
                    <c:v>Legacy</c:v>
                  </c:pt>
                  <c:pt idx="6">
                    <c:v>Upgraded</c:v>
                  </c:pt>
                  <c:pt idx="8">
                    <c:v>Legacy</c:v>
                  </c:pt>
                  <c:pt idx="10">
                    <c:v>Upgraded</c:v>
                  </c:pt>
                </c:lvl>
                <c:lvl>
                  <c:pt idx="0">
                    <c:v>Low Emissions</c:v>
                  </c:pt>
                  <c:pt idx="4">
                    <c:v>Base Emissions</c:v>
                  </c:pt>
                  <c:pt idx="8">
                    <c:v>High Emissions</c:v>
                  </c:pt>
                </c:lvl>
              </c:multiLvlStrCache>
            </c:multiLvlStrRef>
          </c:cat>
          <c:val>
            <c:numRef>
              <c:f>'EOL Emissions'!$H$6:$H$17</c:f>
              <c:numCache>
                <c:formatCode>0.000</c:formatCode>
                <c:ptCount val="12"/>
                <c:pt idx="0">
                  <c:v>0.65146999999999999</c:v>
                </c:pt>
                <c:pt idx="1">
                  <c:v>0.65146999999999999</c:v>
                </c:pt>
                <c:pt idx="2">
                  <c:v>0.70686000000000004</c:v>
                </c:pt>
                <c:pt idx="3">
                  <c:v>0.70686000000000004</c:v>
                </c:pt>
                <c:pt idx="4">
                  <c:v>0.65146999999999999</c:v>
                </c:pt>
                <c:pt idx="5">
                  <c:v>0.65146999999999999</c:v>
                </c:pt>
                <c:pt idx="6">
                  <c:v>0.70686000000000015</c:v>
                </c:pt>
                <c:pt idx="7">
                  <c:v>0.70686000000000015</c:v>
                </c:pt>
                <c:pt idx="8">
                  <c:v>0.65146999999999999</c:v>
                </c:pt>
                <c:pt idx="9">
                  <c:v>0.6514700000000001</c:v>
                </c:pt>
                <c:pt idx="10">
                  <c:v>0.70685999999999982</c:v>
                </c:pt>
                <c:pt idx="11">
                  <c:v>0.70686000000000027</c:v>
                </c:pt>
              </c:numCache>
            </c:numRef>
          </c:val>
          <c:extLst>
            <c:ext xmlns:c16="http://schemas.microsoft.com/office/drawing/2014/chart" uri="{C3380CC4-5D6E-409C-BE32-E72D297353CC}">
              <c16:uniqueId val="{00000003-6876-4152-A873-4389E2D39817}"/>
            </c:ext>
          </c:extLst>
        </c:ser>
        <c:dLbls>
          <c:showLegendKey val="0"/>
          <c:showVal val="0"/>
          <c:showCatName val="0"/>
          <c:showSerName val="0"/>
          <c:showPercent val="0"/>
          <c:showBubbleSize val="0"/>
        </c:dLbls>
        <c:gapWidth val="150"/>
        <c:overlap val="100"/>
        <c:axId val="906057104"/>
        <c:axId val="701180384"/>
      </c:barChart>
      <c:scatterChart>
        <c:scatterStyle val="lineMarker"/>
        <c:varyColors val="0"/>
        <c:ser>
          <c:idx val="4"/>
          <c:order val="4"/>
          <c:tx>
            <c:strRef>
              <c:f>'EOL Emissions'!$I$5</c:f>
              <c:strCache>
                <c:ptCount val="1"/>
                <c:pt idx="0">
                  <c:v>Net Impact</c:v>
                </c:pt>
              </c:strCache>
            </c:strRef>
          </c:tx>
          <c:spPr>
            <a:ln w="25400" cap="rnd">
              <a:noFill/>
              <a:round/>
            </a:ln>
            <a:effectLst/>
          </c:spPr>
          <c:marker>
            <c:symbol val="circle"/>
            <c:size val="4"/>
            <c:spPr>
              <a:solidFill>
                <a:schemeClr val="tx1"/>
              </a:solidFill>
              <a:ln w="19050">
                <a:solidFill>
                  <a:schemeClr val="tx1"/>
                </a:solidFill>
              </a:ln>
              <a:effectLst/>
            </c:spPr>
          </c:marker>
          <c:dLbls>
            <c:dLbl>
              <c:idx val="0"/>
              <c:layout>
                <c:manualLayout>
                  <c:x val="5.1113426748492967E-3"/>
                  <c:y val="-2.8802637059713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5B-477F-9934-F372EABFD708}"/>
                </c:ext>
              </c:extLst>
            </c:dLbl>
            <c:dLbl>
              <c:idx val="1"/>
              <c:layout>
                <c:manualLayout>
                  <c:x val="6.9015598005350513E-3"/>
                  <c:y val="-2.5508331774451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5B-477F-9934-F372EABFD708}"/>
                </c:ext>
              </c:extLst>
            </c:dLbl>
            <c:dLbl>
              <c:idx val="2"/>
              <c:layout>
                <c:manualLayout>
                  <c:x val="2.2169293367779773E-4"/>
                  <c:y val="-4.9097723836065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5B-477F-9934-F372EABFD708}"/>
                </c:ext>
              </c:extLst>
            </c:dLbl>
            <c:dLbl>
              <c:idx val="3"/>
              <c:layout>
                <c:manualLayout>
                  <c:x val="1.5307750342276815E-3"/>
                  <c:y val="-5.3760602311723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5B-477F-9934-F372EABFD708}"/>
                </c:ext>
              </c:extLst>
            </c:dLbl>
            <c:dLbl>
              <c:idx val="4"/>
              <c:layout>
                <c:manualLayout>
                  <c:x val="-8.6596301169456445E-4"/>
                  <c:y val="-2.0982953140457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5B-477F-9934-F372EABFD708}"/>
                </c:ext>
              </c:extLst>
            </c:dLbl>
            <c:dLbl>
              <c:idx val="5"/>
              <c:layout>
                <c:manualLayout>
                  <c:x val="-1.761004879912326E-3"/>
                  <c:y val="-3.52467718286505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5B-477F-9934-F372EABFD708}"/>
                </c:ext>
              </c:extLst>
            </c:dLbl>
            <c:dLbl>
              <c:idx val="6"/>
              <c:layout>
                <c:manualLayout>
                  <c:x val="3.1092703649030101E-3"/>
                  <c:y val="2.002008709302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5B-477F-9934-F372EABFD708}"/>
                </c:ext>
              </c:extLst>
            </c:dLbl>
            <c:dLbl>
              <c:idx val="7"/>
              <c:layout>
                <c:manualLayout>
                  <c:x val="5.5184350800348047E-3"/>
                  <c:y val="-2.4132782624132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5B-477F-9934-F372EABFD708}"/>
                </c:ext>
              </c:extLst>
            </c:dLbl>
            <c:dLbl>
              <c:idx val="8"/>
              <c:layout>
                <c:manualLayout>
                  <c:x val="7.9891573923767719E-3"/>
                  <c:y val="-2.4132733141722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5B-477F-9934-F372EABFD708}"/>
                </c:ext>
              </c:extLst>
            </c:dLbl>
            <c:dLbl>
              <c:idx val="9"/>
              <c:layout>
                <c:manualLayout>
                  <c:x val="5.7178635950857265E-3"/>
                  <c:y val="-6.5816346106009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5B-477F-9934-F372EABFD708}"/>
                </c:ext>
              </c:extLst>
            </c:dLbl>
            <c:dLbl>
              <c:idx val="10"/>
              <c:layout>
                <c:manualLayout>
                  <c:x val="1.6777230523991101E-2"/>
                  <c:y val="-2.1938848310657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5B-477F-9934-F372EABFD708}"/>
                </c:ext>
              </c:extLst>
            </c:dLbl>
            <c:dLbl>
              <c:idx val="11"/>
              <c:layout>
                <c:manualLayout>
                  <c:x val="1.4380483306278072E-2"/>
                  <c:y val="-2.4132733141722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5B-477F-9934-F372EABFD70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multiLvlStrRef>
              <c:f>'EOL Emissions'!$B$6:$D$17</c:f>
              <c:multiLvlStrCache>
                <c:ptCount val="12"/>
                <c:lvl>
                  <c:pt idx="0">
                    <c:v>Bath Landfill</c:v>
                  </c:pt>
                  <c:pt idx="1">
                    <c:v>National Avg. Landfill</c:v>
                  </c:pt>
                  <c:pt idx="2">
                    <c:v>Windrow + Land Apply</c:v>
                  </c:pt>
                  <c:pt idx="3">
                    <c:v>ASP + Land Apply</c:v>
                  </c:pt>
                  <c:pt idx="4">
                    <c:v>Bath Landfill</c:v>
                  </c:pt>
                  <c:pt idx="5">
                    <c:v>National Avg. Landfill</c:v>
                  </c:pt>
                  <c:pt idx="6">
                    <c:v>Windrow + Land Apply</c:v>
                  </c:pt>
                  <c:pt idx="7">
                    <c:v>ASP + Land Apply</c:v>
                  </c:pt>
                  <c:pt idx="8">
                    <c:v>Bath Landfill</c:v>
                  </c:pt>
                  <c:pt idx="9">
                    <c:v>National Avg. Landfill</c:v>
                  </c:pt>
                  <c:pt idx="10">
                    <c:v>Windrow + Land Apply</c:v>
                  </c:pt>
                  <c:pt idx="11">
                    <c:v>ASP + Land Apply</c:v>
                  </c:pt>
                </c:lvl>
                <c:lvl>
                  <c:pt idx="0">
                    <c:v>Legacy</c:v>
                  </c:pt>
                  <c:pt idx="2">
                    <c:v>Upgraded</c:v>
                  </c:pt>
                  <c:pt idx="4">
                    <c:v>Legacy</c:v>
                  </c:pt>
                  <c:pt idx="6">
                    <c:v>Upgraded</c:v>
                  </c:pt>
                  <c:pt idx="8">
                    <c:v>Legacy</c:v>
                  </c:pt>
                  <c:pt idx="10">
                    <c:v>Upgraded</c:v>
                  </c:pt>
                </c:lvl>
                <c:lvl>
                  <c:pt idx="0">
                    <c:v>Low Emissions</c:v>
                  </c:pt>
                  <c:pt idx="4">
                    <c:v>Base Emissions</c:v>
                  </c:pt>
                  <c:pt idx="8">
                    <c:v>High Emissions</c:v>
                  </c:pt>
                </c:lvl>
              </c:multiLvlStrCache>
            </c:multiLvlStrRef>
          </c:xVal>
          <c:yVal>
            <c:numRef>
              <c:f>'EOL Emissions'!$I$6:$I$17</c:f>
              <c:numCache>
                <c:formatCode>0.000</c:formatCode>
                <c:ptCount val="12"/>
                <c:pt idx="0">
                  <c:v>0.46009000000000005</c:v>
                </c:pt>
                <c:pt idx="1">
                  <c:v>0.59130000000000005</c:v>
                </c:pt>
                <c:pt idx="2">
                  <c:v>0.33467000000000002</c:v>
                </c:pt>
                <c:pt idx="3">
                  <c:v>0.35746000000000011</c:v>
                </c:pt>
                <c:pt idx="4">
                  <c:v>0.77515000000000001</c:v>
                </c:pt>
                <c:pt idx="5">
                  <c:v>0.93808000000000002</c:v>
                </c:pt>
                <c:pt idx="6">
                  <c:v>0.97168000000000021</c:v>
                </c:pt>
                <c:pt idx="7">
                  <c:v>0.7593000000000002</c:v>
                </c:pt>
                <c:pt idx="8" formatCode="0.00">
                  <c:v>1.1127400000000001</c:v>
                </c:pt>
                <c:pt idx="9" formatCode="0.00">
                  <c:v>1.3523700000000001</c:v>
                </c:pt>
                <c:pt idx="10" formatCode="0.00">
                  <c:v>1.86656</c:v>
                </c:pt>
                <c:pt idx="11" formatCode="0.00">
                  <c:v>1.0993800000000002</c:v>
                </c:pt>
              </c:numCache>
            </c:numRef>
          </c:yVal>
          <c:smooth val="0"/>
          <c:extLst>
            <c:ext xmlns:c16="http://schemas.microsoft.com/office/drawing/2014/chart" uri="{C3380CC4-5D6E-409C-BE32-E72D297353CC}">
              <c16:uniqueId val="{00000005-6876-4152-A873-4389E2D39817}"/>
            </c:ext>
          </c:extLst>
        </c:ser>
        <c:dLbls>
          <c:showLegendKey val="0"/>
          <c:showVal val="0"/>
          <c:showCatName val="0"/>
          <c:showSerName val="0"/>
          <c:showPercent val="0"/>
          <c:showBubbleSize val="0"/>
        </c:dLbls>
        <c:axId val="906057104"/>
        <c:axId val="701180384"/>
        <c:extLst>
          <c:ext xmlns:c15="http://schemas.microsoft.com/office/drawing/2012/chart" uri="{02D57815-91ED-43cb-92C2-25804820EDAC}">
            <c15:filteredScatterSeries>
              <c15:ser>
                <c:idx val="5"/>
                <c:order val="5"/>
                <c:tx>
                  <c:strRef>
                    <c:extLst>
                      <c:ext uri="{02D57815-91ED-43cb-92C2-25804820EDAC}">
                        <c15:formulaRef>
                          <c15:sqref>'EOL Emissions'!$I$5</c15:sqref>
                        </c15:formulaRef>
                      </c:ext>
                    </c:extLst>
                    <c:strCache>
                      <c:ptCount val="1"/>
                      <c:pt idx="0">
                        <c:v>Net Impact</c:v>
                      </c:pt>
                    </c:strCache>
                  </c:strRef>
                </c:tx>
                <c:spPr>
                  <a:ln w="25400" cap="rnd">
                    <a:noFill/>
                    <a:round/>
                  </a:ln>
                  <a:effectLst/>
                </c:spPr>
                <c:marker>
                  <c:symbol val="plus"/>
                  <c:size val="9"/>
                  <c:spPr>
                    <a:noFill/>
                    <a:ln w="19050">
                      <a:solidFill>
                        <a:schemeClr val="tx1"/>
                      </a:solidFill>
                    </a:ln>
                    <a:effectLst/>
                  </c:spPr>
                </c:marker>
                <c:dLbls>
                  <c:dLbl>
                    <c:idx val="0"/>
                    <c:layout>
                      <c:manualLayout>
                        <c:x val="1.136363636363634E-2"/>
                        <c:y val="1.62037037037036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C-535B-477F-9934-F372EABFD708}"/>
                      </c:ext>
                    </c:extLst>
                  </c:dLbl>
                  <c:dLbl>
                    <c:idx val="1"/>
                    <c:layout>
                      <c:manualLayout>
                        <c:x val="3.7878787878787646E-3"/>
                        <c:y val="2.546296296296296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D-535B-477F-9934-F372EABFD708}"/>
                      </c:ext>
                    </c:extLst>
                  </c:dLbl>
                  <c:dLbl>
                    <c:idx val="4"/>
                    <c:layout>
                      <c:manualLayout>
                        <c:x val="6.313131313131313E-3"/>
                        <c:y val="-6.944444444444444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E-535B-477F-9934-F372EABFD708}"/>
                      </c:ext>
                    </c:extLst>
                  </c:dLbl>
                  <c:dLbl>
                    <c:idx val="5"/>
                    <c:layout>
                      <c:manualLayout>
                        <c:x val="1.1363636363636364E-2"/>
                        <c:y val="-2.3148148148148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F-535B-477F-9934-F372EABFD708}"/>
                      </c:ext>
                    </c:extLst>
                  </c:dLbl>
                  <c:dLbl>
                    <c:idx val="6"/>
                    <c:layout>
                      <c:manualLayout>
                        <c:x val="5.0505050505050509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0-535B-477F-9934-F372EABFD708}"/>
                      </c:ext>
                    </c:extLst>
                  </c:dLbl>
                  <c:dLbl>
                    <c:idx val="7"/>
                    <c:layout>
                      <c:manualLayout>
                        <c:x val="3.7878787878786952E-3"/>
                        <c:y val="4.629629629629629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535B-477F-9934-F372EABFD708}"/>
                      </c:ext>
                    </c:extLst>
                  </c:dLbl>
                  <c:dLbl>
                    <c:idx val="8"/>
                    <c:layout>
                      <c:manualLayout>
                        <c:x val="1.0101010101010008E-2"/>
                        <c:y val="-3.935185185185185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535B-477F-9934-F372EABFD708}"/>
                      </c:ext>
                    </c:extLst>
                  </c:dLbl>
                  <c:dLbl>
                    <c:idx val="9"/>
                    <c:layout>
                      <c:manualLayout>
                        <c:x val="1.0101010101010102E-2"/>
                        <c:y val="-1.157407407407415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535B-477F-9934-F372EABFD708}"/>
                      </c:ext>
                    </c:extLst>
                  </c:dLbl>
                  <c:dLbl>
                    <c:idx val="10"/>
                    <c:layout>
                      <c:manualLayout>
                        <c:x val="8.8383838383838381E-3"/>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535B-477F-9934-F372EABFD708}"/>
                      </c:ext>
                    </c:extLst>
                  </c:dLbl>
                  <c:dLbl>
                    <c:idx val="11"/>
                    <c:layout>
                      <c:manualLayout>
                        <c:x val="5.0505050505050509E-3"/>
                        <c:y val="6.944444444444444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535B-477F-9934-F372EABFD70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xVal>
                  <c:multiLvlStrRef>
                    <c:extLst>
                      <c:ext uri="{02D57815-91ED-43cb-92C2-25804820EDAC}">
                        <c15:formulaRef>
                          <c15:sqref>'EOL Emissions'!$B$6:$D$17</c15:sqref>
                        </c15:formulaRef>
                      </c:ext>
                    </c:extLst>
                    <c:multiLvlStrCache>
                      <c:ptCount val="12"/>
                      <c:lvl>
                        <c:pt idx="0">
                          <c:v>Bath Landfill</c:v>
                        </c:pt>
                        <c:pt idx="1">
                          <c:v>National Avg. Landfill</c:v>
                        </c:pt>
                        <c:pt idx="2">
                          <c:v>Windrow + Land Apply</c:v>
                        </c:pt>
                        <c:pt idx="3">
                          <c:v>ASP + Land Apply</c:v>
                        </c:pt>
                        <c:pt idx="4">
                          <c:v>Bath Landfill</c:v>
                        </c:pt>
                        <c:pt idx="5">
                          <c:v>National Avg. Landfill</c:v>
                        </c:pt>
                        <c:pt idx="6">
                          <c:v>Windrow + Land Apply</c:v>
                        </c:pt>
                        <c:pt idx="7">
                          <c:v>ASP + Land Apply</c:v>
                        </c:pt>
                        <c:pt idx="8">
                          <c:v>Bath Landfill</c:v>
                        </c:pt>
                        <c:pt idx="9">
                          <c:v>National Avg. Landfill</c:v>
                        </c:pt>
                        <c:pt idx="10">
                          <c:v>Windrow + Land Apply</c:v>
                        </c:pt>
                        <c:pt idx="11">
                          <c:v>ASP + Land Apply</c:v>
                        </c:pt>
                      </c:lvl>
                      <c:lvl>
                        <c:pt idx="0">
                          <c:v>Legacy</c:v>
                        </c:pt>
                        <c:pt idx="2">
                          <c:v>Upgraded</c:v>
                        </c:pt>
                        <c:pt idx="4">
                          <c:v>Legacy</c:v>
                        </c:pt>
                        <c:pt idx="6">
                          <c:v>Upgraded</c:v>
                        </c:pt>
                        <c:pt idx="8">
                          <c:v>Legacy</c:v>
                        </c:pt>
                        <c:pt idx="10">
                          <c:v>Upgraded</c:v>
                        </c:pt>
                      </c:lvl>
                      <c:lvl>
                        <c:pt idx="0">
                          <c:v>Low Emissions</c:v>
                        </c:pt>
                        <c:pt idx="4">
                          <c:v>Base Emissions</c:v>
                        </c:pt>
                        <c:pt idx="8">
                          <c:v>High Emissions</c:v>
                        </c:pt>
                      </c:lvl>
                    </c:multiLvlStrCache>
                  </c:multiLvlStrRef>
                </c:xVal>
                <c:yVal>
                  <c:numRef>
                    <c:extLst>
                      <c:ext uri="{02D57815-91ED-43cb-92C2-25804820EDAC}">
                        <c15:formulaRef>
                          <c15:sqref>'EOL Emissions'!$J$6:$J$17</c15:sqref>
                        </c15:formulaRef>
                      </c:ext>
                    </c:extLst>
                    <c:numCache>
                      <c:formatCode>0.00</c:formatCode>
                      <c:ptCount val="12"/>
                      <c:pt idx="0">
                        <c:v>-0.19137999999999999</c:v>
                      </c:pt>
                      <c:pt idx="1">
                        <c:v>-6.0170000000000001E-2</c:v>
                      </c:pt>
                      <c:pt idx="2">
                        <c:v>-0.37219000000000002</c:v>
                      </c:pt>
                      <c:pt idx="3">
                        <c:v>-0.34939999999999999</c:v>
                      </c:pt>
                      <c:pt idx="4">
                        <c:v>0.12368</c:v>
                      </c:pt>
                      <c:pt idx="5">
                        <c:v>0.28660999999999998</c:v>
                      </c:pt>
                      <c:pt idx="6">
                        <c:v>0.26482000000000006</c:v>
                      </c:pt>
                      <c:pt idx="7">
                        <c:v>5.2440000000000042E-2</c:v>
                      </c:pt>
                      <c:pt idx="8">
                        <c:v>0.46127000000000001</c:v>
                      </c:pt>
                      <c:pt idx="9">
                        <c:v>0.70089999999999997</c:v>
                      </c:pt>
                      <c:pt idx="10">
                        <c:v>1.1597000000000002</c:v>
                      </c:pt>
                      <c:pt idx="11">
                        <c:v>0.39252000000000004</c:v>
                      </c:pt>
                    </c:numCache>
                  </c:numRef>
                </c:yVal>
                <c:smooth val="0"/>
                <c:extLst>
                  <c:ext xmlns:c16="http://schemas.microsoft.com/office/drawing/2014/chart" uri="{C3380CC4-5D6E-409C-BE32-E72D297353CC}">
                    <c16:uniqueId val="{00000006-6876-4152-A873-4389E2D39817}"/>
                  </c:ext>
                </c:extLst>
              </c15:ser>
            </c15:filteredScatterSeries>
          </c:ext>
        </c:extLst>
      </c:scatterChart>
      <c:catAx>
        <c:axId val="9060571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01180384"/>
        <c:crosses val="autoZero"/>
        <c:auto val="1"/>
        <c:lblAlgn val="ctr"/>
        <c:lblOffset val="100"/>
        <c:noMultiLvlLbl val="0"/>
      </c:catAx>
      <c:valAx>
        <c:axId val="701180384"/>
        <c:scaling>
          <c:orientation val="minMax"/>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kg CO2-eq/m3 wastewater treated</a:t>
                </a:r>
              </a:p>
            </c:rich>
          </c:tx>
          <c:layout>
            <c:manualLayout>
              <c:xMode val="edge"/>
              <c:yMode val="edge"/>
              <c:x val="1.0158729481566172E-2"/>
              <c:y val="9.6474722239785357E-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0605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'AD Scenarios'!$C$64</c:f>
              <c:strCache>
                <c:ptCount val="1"/>
                <c:pt idx="0">
                  <c:v>Total</c:v>
                </c:pt>
              </c:strCache>
            </c:strRef>
          </c:tx>
          <c:spPr>
            <a:solidFill>
              <a:schemeClr val="accent1"/>
            </a:solidFill>
            <a:ln w="25400">
              <a:noFill/>
            </a:ln>
            <a:effectLst/>
          </c:spPr>
          <c:invertIfNegative val="0"/>
          <c:cat>
            <c:multiLvlStrRef>
              <c:f>'AD Scenarios'!$F$40:$CG$41</c:f>
              <c:multiLvlStrCache>
                <c:ptCount val="80"/>
                <c:lvl>
                  <c:pt idx="0">
                    <c:v>Legacy</c:v>
                  </c:pt>
                  <c:pt idx="1">
                    <c:v>Upgraded - Base_Low</c:v>
                  </c:pt>
                  <c:pt idx="2">
                    <c:v>Upgraded - Base</c:v>
                  </c:pt>
                  <c:pt idx="3">
                    <c:v>Upgraded - Base_High</c:v>
                  </c:pt>
                  <c:pt idx="4">
                    <c:v>Upgraded - Medium_Low</c:v>
                  </c:pt>
                  <c:pt idx="5">
                    <c:v>Upgraded - Medium_Base</c:v>
                  </c:pt>
                  <c:pt idx="6">
                    <c:v>Upgraded - Medium_High</c:v>
                  </c:pt>
                  <c:pt idx="7">
                    <c:v>Upgraded - High_Low</c:v>
                  </c:pt>
                  <c:pt idx="8">
                    <c:v>Upgraded - High_Base</c:v>
                  </c:pt>
                  <c:pt idx="9">
                    <c:v>Upgraded - High_High</c:v>
                  </c:pt>
                  <c:pt idx="10">
                    <c:v>Legacy</c:v>
                  </c:pt>
                  <c:pt idx="11">
                    <c:v>Upgraded - Base_Low</c:v>
                  </c:pt>
                  <c:pt idx="12">
                    <c:v>Upgraded - Base</c:v>
                  </c:pt>
                  <c:pt idx="13">
                    <c:v>Upgraded - Base_High</c:v>
                  </c:pt>
                  <c:pt idx="14">
                    <c:v>Upgraded - Medium_Low</c:v>
                  </c:pt>
                  <c:pt idx="15">
                    <c:v>Upgraded - Medium_Base</c:v>
                  </c:pt>
                  <c:pt idx="16">
                    <c:v>Upgraded - Medium_High</c:v>
                  </c:pt>
                  <c:pt idx="17">
                    <c:v>Upgraded - High_Low</c:v>
                  </c:pt>
                  <c:pt idx="18">
                    <c:v>Upgraded - High_Base</c:v>
                  </c:pt>
                  <c:pt idx="19">
                    <c:v>Upgraded - High_High</c:v>
                  </c:pt>
                  <c:pt idx="20">
                    <c:v>Legacy</c:v>
                  </c:pt>
                  <c:pt idx="21">
                    <c:v>Upgraded - Base_Low</c:v>
                  </c:pt>
                  <c:pt idx="22">
                    <c:v>Upgraded - Base</c:v>
                  </c:pt>
                  <c:pt idx="23">
                    <c:v>Upgraded - Base_High</c:v>
                  </c:pt>
                  <c:pt idx="24">
                    <c:v>Upgraded - Medium_Low</c:v>
                  </c:pt>
                  <c:pt idx="25">
                    <c:v>Upgraded - Medium_Base</c:v>
                  </c:pt>
                  <c:pt idx="26">
                    <c:v>Upgraded - Medium_High</c:v>
                  </c:pt>
                  <c:pt idx="27">
                    <c:v>Upgraded - High_Low</c:v>
                  </c:pt>
                  <c:pt idx="28">
                    <c:v>Upgraded - High_Base</c:v>
                  </c:pt>
                  <c:pt idx="29">
                    <c:v>Upgraded - High_High</c:v>
                  </c:pt>
                  <c:pt idx="30">
                    <c:v>Legacy</c:v>
                  </c:pt>
                  <c:pt idx="31">
                    <c:v>Upgraded - Base_Low</c:v>
                  </c:pt>
                  <c:pt idx="32">
                    <c:v>Upgraded - Base</c:v>
                  </c:pt>
                  <c:pt idx="33">
                    <c:v>Upgraded - Base_High</c:v>
                  </c:pt>
                  <c:pt idx="34">
                    <c:v>Upgraded - Medium_Low</c:v>
                  </c:pt>
                  <c:pt idx="35">
                    <c:v>Upgraded - Medium_Base</c:v>
                  </c:pt>
                  <c:pt idx="36">
                    <c:v>Upgraded - Medium_High</c:v>
                  </c:pt>
                  <c:pt idx="37">
                    <c:v>Upgraded - High_Low</c:v>
                  </c:pt>
                  <c:pt idx="38">
                    <c:v>Upgraded - High_Base</c:v>
                  </c:pt>
                  <c:pt idx="39">
                    <c:v>Upgraded - High_High</c:v>
                  </c:pt>
                  <c:pt idx="40">
                    <c:v>Legacy</c:v>
                  </c:pt>
                  <c:pt idx="41">
                    <c:v>Upgraded - Base_Low</c:v>
                  </c:pt>
                  <c:pt idx="42">
                    <c:v>Upgraded - Base</c:v>
                  </c:pt>
                  <c:pt idx="43">
                    <c:v>Upgraded - Base_High</c:v>
                  </c:pt>
                  <c:pt idx="44">
                    <c:v>Upgraded - Medium_Low</c:v>
                  </c:pt>
                  <c:pt idx="45">
                    <c:v>Upgraded - Medium_Base</c:v>
                  </c:pt>
                  <c:pt idx="46">
                    <c:v>Upgraded - Medium_High</c:v>
                  </c:pt>
                  <c:pt idx="47">
                    <c:v>Upgraded - High_Low</c:v>
                  </c:pt>
                  <c:pt idx="48">
                    <c:v>Upgraded - High_Base</c:v>
                  </c:pt>
                  <c:pt idx="49">
                    <c:v>Upgraded - High_High</c:v>
                  </c:pt>
                  <c:pt idx="50">
                    <c:v>Legacy</c:v>
                  </c:pt>
                  <c:pt idx="51">
                    <c:v>Upgraded - Base_Low</c:v>
                  </c:pt>
                  <c:pt idx="52">
                    <c:v>Upgraded - Base</c:v>
                  </c:pt>
                  <c:pt idx="53">
                    <c:v>Upgraded - Base_High</c:v>
                  </c:pt>
                  <c:pt idx="54">
                    <c:v>Upgraded - Medium_Low</c:v>
                  </c:pt>
                  <c:pt idx="55">
                    <c:v>Upgraded - Medium_Base</c:v>
                  </c:pt>
                  <c:pt idx="56">
                    <c:v>Upgraded - Medium_High</c:v>
                  </c:pt>
                  <c:pt idx="57">
                    <c:v>Upgraded - High_Low</c:v>
                  </c:pt>
                  <c:pt idx="58">
                    <c:v>Upgraded - High_Base</c:v>
                  </c:pt>
                  <c:pt idx="59">
                    <c:v>Upgraded - High_High</c:v>
                  </c:pt>
                  <c:pt idx="60">
                    <c:v>Legacy</c:v>
                  </c:pt>
                  <c:pt idx="61">
                    <c:v>Upgraded - Base_Low</c:v>
                  </c:pt>
                  <c:pt idx="62">
                    <c:v>Upgraded - Base</c:v>
                  </c:pt>
                  <c:pt idx="63">
                    <c:v>Upgraded - Base_High</c:v>
                  </c:pt>
                  <c:pt idx="64">
                    <c:v>Upgraded - Medium_Low</c:v>
                  </c:pt>
                  <c:pt idx="65">
                    <c:v>Upgraded - Medium_Base</c:v>
                  </c:pt>
                  <c:pt idx="66">
                    <c:v>Upgraded - Medium_High</c:v>
                  </c:pt>
                  <c:pt idx="67">
                    <c:v>Upgraded - High_Low</c:v>
                  </c:pt>
                  <c:pt idx="68">
                    <c:v>Upgraded - High_Base</c:v>
                  </c:pt>
                  <c:pt idx="69">
                    <c:v>Upgraded - High_High</c:v>
                  </c:pt>
                  <c:pt idx="70">
                    <c:v>Legacy</c:v>
                  </c:pt>
                  <c:pt idx="71">
                    <c:v>Upgraded - Base_Low</c:v>
                  </c:pt>
                  <c:pt idx="72">
                    <c:v>Upgraded - Base</c:v>
                  </c:pt>
                  <c:pt idx="73">
                    <c:v>Upgraded - Base_High</c:v>
                  </c:pt>
                  <c:pt idx="74">
                    <c:v>Upgraded - Medium_Low</c:v>
                  </c:pt>
                  <c:pt idx="75">
                    <c:v>Upgraded - Medium_Base</c:v>
                  </c:pt>
                  <c:pt idx="76">
                    <c:v>Upgraded - Medium_High</c:v>
                  </c:pt>
                  <c:pt idx="77">
                    <c:v>Upgraded - High_Low</c:v>
                  </c:pt>
                  <c:pt idx="78">
                    <c:v>Upgraded - High_Base</c:v>
                  </c:pt>
                  <c:pt idx="79">
                    <c:v>Upgraded - High_High</c:v>
                  </c:pt>
                </c:lvl>
                <c:lvl>
                  <c:pt idx="0">
                    <c:v>GWP</c:v>
                  </c:pt>
                  <c:pt idx="1">
                    <c:v>GWP</c:v>
                  </c:pt>
                  <c:pt idx="2">
                    <c:v>GWP</c:v>
                  </c:pt>
                  <c:pt idx="3">
                    <c:v>GWP</c:v>
                  </c:pt>
                  <c:pt idx="4">
                    <c:v>GWP</c:v>
                  </c:pt>
                  <c:pt idx="5">
                    <c:v>GWP</c:v>
                  </c:pt>
                  <c:pt idx="6">
                    <c:v>GWP</c:v>
                  </c:pt>
                  <c:pt idx="7">
                    <c:v>GWP</c:v>
                  </c:pt>
                  <c:pt idx="8">
                    <c:v>GWP</c:v>
                  </c:pt>
                  <c:pt idx="9">
                    <c:v>GWP</c:v>
                  </c:pt>
                  <c:pt idx="10">
                    <c:v>EP</c:v>
                  </c:pt>
                  <c:pt idx="11">
                    <c:v>EP</c:v>
                  </c:pt>
                  <c:pt idx="12">
                    <c:v>EP</c:v>
                  </c:pt>
                  <c:pt idx="13">
                    <c:v>EP</c:v>
                  </c:pt>
                  <c:pt idx="14">
                    <c:v>EP</c:v>
                  </c:pt>
                  <c:pt idx="15">
                    <c:v>EP</c:v>
                  </c:pt>
                  <c:pt idx="16">
                    <c:v>EP</c:v>
                  </c:pt>
                  <c:pt idx="17">
                    <c:v>EP</c:v>
                  </c:pt>
                  <c:pt idx="18">
                    <c:v>EP</c:v>
                  </c:pt>
                  <c:pt idx="19">
                    <c:v>EP</c:v>
                  </c:pt>
                  <c:pt idx="20">
                    <c:v>PMFP</c:v>
                  </c:pt>
                  <c:pt idx="21">
                    <c:v>PMFP</c:v>
                  </c:pt>
                  <c:pt idx="22">
                    <c:v>PMFP</c:v>
                  </c:pt>
                  <c:pt idx="23">
                    <c:v>PMFP</c:v>
                  </c:pt>
                  <c:pt idx="24">
                    <c:v>PMFP</c:v>
                  </c:pt>
                  <c:pt idx="25">
                    <c:v>PMFP</c:v>
                  </c:pt>
                  <c:pt idx="26">
                    <c:v>PMFP</c:v>
                  </c:pt>
                  <c:pt idx="27">
                    <c:v>PMFP</c:v>
                  </c:pt>
                  <c:pt idx="28">
                    <c:v>PMFP</c:v>
                  </c:pt>
                  <c:pt idx="29">
                    <c:v>PMFP</c:v>
                  </c:pt>
                  <c:pt idx="30">
                    <c:v>SFP</c:v>
                  </c:pt>
                  <c:pt idx="31">
                    <c:v>SFP</c:v>
                  </c:pt>
                  <c:pt idx="32">
                    <c:v>SFP</c:v>
                  </c:pt>
                  <c:pt idx="33">
                    <c:v>SFP</c:v>
                  </c:pt>
                  <c:pt idx="34">
                    <c:v>SFP</c:v>
                  </c:pt>
                  <c:pt idx="35">
                    <c:v>SFP</c:v>
                  </c:pt>
                  <c:pt idx="36">
                    <c:v>SFP</c:v>
                  </c:pt>
                  <c:pt idx="37">
                    <c:v>SFP</c:v>
                  </c:pt>
                  <c:pt idx="38">
                    <c:v>SFP</c:v>
                  </c:pt>
                  <c:pt idx="39">
                    <c:v>SFP</c:v>
                  </c:pt>
                  <c:pt idx="40">
                    <c:v>AP</c:v>
                  </c:pt>
                  <c:pt idx="41">
                    <c:v>AP</c:v>
                  </c:pt>
                  <c:pt idx="42">
                    <c:v>AP</c:v>
                  </c:pt>
                  <c:pt idx="43">
                    <c:v>AP</c:v>
                  </c:pt>
                  <c:pt idx="44">
                    <c:v>AP</c:v>
                  </c:pt>
                  <c:pt idx="45">
                    <c:v>AP</c:v>
                  </c:pt>
                  <c:pt idx="46">
                    <c:v>AP</c:v>
                  </c:pt>
                  <c:pt idx="47">
                    <c:v>AP</c:v>
                  </c:pt>
                  <c:pt idx="48">
                    <c:v>AP</c:v>
                  </c:pt>
                  <c:pt idx="49">
                    <c:v>AP</c:v>
                  </c:pt>
                  <c:pt idx="50">
                    <c:v>WU</c:v>
                  </c:pt>
                  <c:pt idx="51">
                    <c:v>WU</c:v>
                  </c:pt>
                  <c:pt idx="52">
                    <c:v>WU</c:v>
                  </c:pt>
                  <c:pt idx="53">
                    <c:v>WU</c:v>
                  </c:pt>
                  <c:pt idx="54">
                    <c:v>WU</c:v>
                  </c:pt>
                  <c:pt idx="55">
                    <c:v>WU</c:v>
                  </c:pt>
                  <c:pt idx="56">
                    <c:v>WU</c:v>
                  </c:pt>
                  <c:pt idx="57">
                    <c:v>WU</c:v>
                  </c:pt>
                  <c:pt idx="58">
                    <c:v>WU</c:v>
                  </c:pt>
                  <c:pt idx="59">
                    <c:v>WU</c:v>
                  </c:pt>
                  <c:pt idx="60">
                    <c:v>FDP</c:v>
                  </c:pt>
                  <c:pt idx="61">
                    <c:v>FDP</c:v>
                  </c:pt>
                  <c:pt idx="62">
                    <c:v>FDP</c:v>
                  </c:pt>
                  <c:pt idx="63">
                    <c:v>FDP</c:v>
                  </c:pt>
                  <c:pt idx="64">
                    <c:v>FDP</c:v>
                  </c:pt>
                  <c:pt idx="65">
                    <c:v>FDP</c:v>
                  </c:pt>
                  <c:pt idx="66">
                    <c:v>FDP</c:v>
                  </c:pt>
                  <c:pt idx="67">
                    <c:v>FDP</c:v>
                  </c:pt>
                  <c:pt idx="68">
                    <c:v>FDP</c:v>
                  </c:pt>
                  <c:pt idx="69">
                    <c:v>FDP</c:v>
                  </c:pt>
                  <c:pt idx="70">
                    <c:v>CED</c:v>
                  </c:pt>
                  <c:pt idx="71">
                    <c:v>CED</c:v>
                  </c:pt>
                  <c:pt idx="72">
                    <c:v>CED</c:v>
                  </c:pt>
                  <c:pt idx="73">
                    <c:v>CED</c:v>
                  </c:pt>
                  <c:pt idx="74">
                    <c:v>CED</c:v>
                  </c:pt>
                  <c:pt idx="75">
                    <c:v>CED</c:v>
                  </c:pt>
                  <c:pt idx="76">
                    <c:v>CED</c:v>
                  </c:pt>
                  <c:pt idx="77">
                    <c:v>CED</c:v>
                  </c:pt>
                  <c:pt idx="78">
                    <c:v>CED</c:v>
                  </c:pt>
                  <c:pt idx="79">
                    <c:v>CED</c:v>
                  </c:pt>
                </c:lvl>
              </c:multiLvlStrCache>
            </c:multiLvlStrRef>
          </c:cat>
          <c:val>
            <c:numRef>
              <c:f>'AD Scenarios'!$F$64:$CG$64</c:f>
              <c:numCache>
                <c:formatCode>0%</c:formatCode>
                <c:ptCount val="80"/>
                <c:pt idx="0">
                  <c:v>0.99999999999999989</c:v>
                </c:pt>
                <c:pt idx="1">
                  <c:v>1.9724374067616872</c:v>
                </c:pt>
                <c:pt idx="2">
                  <c:v>1.6774448658266981</c:v>
                </c:pt>
                <c:pt idx="3">
                  <c:v>1.2495910994482089</c:v>
                </c:pt>
                <c:pt idx="4">
                  <c:v>2.3386415514855221</c:v>
                </c:pt>
                <c:pt idx="5">
                  <c:v>1.8294570160145225</c:v>
                </c:pt>
                <c:pt idx="6">
                  <c:v>1.5284972230709779</c:v>
                </c:pt>
                <c:pt idx="7">
                  <c:v>2.7815123029638551</c:v>
                </c:pt>
                <c:pt idx="8">
                  <c:v>2.2444146880672928</c:v>
                </c:pt>
                <c:pt idx="9">
                  <c:v>1.7790229523518517</c:v>
                </c:pt>
                <c:pt idx="10">
                  <c:v>1</c:v>
                </c:pt>
                <c:pt idx="11">
                  <c:v>0.66623916937170358</c:v>
                </c:pt>
                <c:pt idx="12">
                  <c:v>0.64257734998956817</c:v>
                </c:pt>
                <c:pt idx="13">
                  <c:v>0.59578210772401707</c:v>
                </c:pt>
                <c:pt idx="14">
                  <c:v>0.7081483863624578</c:v>
                </c:pt>
                <c:pt idx="15">
                  <c:v>0.66877572255343276</c:v>
                </c:pt>
                <c:pt idx="16">
                  <c:v>0.61455677073868387</c:v>
                </c:pt>
                <c:pt idx="17">
                  <c:v>0.7622170053058952</c:v>
                </c:pt>
                <c:pt idx="18">
                  <c:v>0.69687598646341742</c:v>
                </c:pt>
                <c:pt idx="19">
                  <c:v>0.61840065394467081</c:v>
                </c:pt>
                <c:pt idx="20">
                  <c:v>0.99999999999999989</c:v>
                </c:pt>
                <c:pt idx="21">
                  <c:v>1.488644999805252</c:v>
                </c:pt>
                <c:pt idx="22">
                  <c:v>1.1718933133414609</c:v>
                </c:pt>
                <c:pt idx="23">
                  <c:v>7.9861743944811117E-2</c:v>
                </c:pt>
                <c:pt idx="24">
                  <c:v>1.3655127083371155</c:v>
                </c:pt>
                <c:pt idx="25">
                  <c:v>0.7847068928645714</c:v>
                </c:pt>
                <c:pt idx="26">
                  <c:v>-0.51380031484805722</c:v>
                </c:pt>
                <c:pt idx="27">
                  <c:v>1.1021122533195911</c:v>
                </c:pt>
                <c:pt idx="28">
                  <c:v>2.0698317002979125E-2</c:v>
                </c:pt>
                <c:pt idx="29">
                  <c:v>-1.7556887417632008</c:v>
                </c:pt>
                <c:pt idx="30">
                  <c:v>1.0000000000000002</c:v>
                </c:pt>
                <c:pt idx="31">
                  <c:v>1.3985847381781034</c:v>
                </c:pt>
                <c:pt idx="32">
                  <c:v>1.0909143843687674</c:v>
                </c:pt>
                <c:pt idx="33">
                  <c:v>-6.260324986061036E-3</c:v>
                </c:pt>
                <c:pt idx="34">
                  <c:v>1.2368713994932239</c:v>
                </c:pt>
                <c:pt idx="35">
                  <c:v>0.66113252296615155</c:v>
                </c:pt>
                <c:pt idx="36">
                  <c:v>-0.63573951937100559</c:v>
                </c:pt>
                <c:pt idx="37">
                  <c:v>0.90795814516938889</c:v>
                </c:pt>
                <c:pt idx="38">
                  <c:v>-0.16181884978015015</c:v>
                </c:pt>
                <c:pt idx="39">
                  <c:v>-1.9281097549766124</c:v>
                </c:pt>
                <c:pt idx="40">
                  <c:v>1</c:v>
                </c:pt>
                <c:pt idx="41">
                  <c:v>1.8242932405336667</c:v>
                </c:pt>
                <c:pt idx="42">
                  <c:v>1.4846540696438979</c:v>
                </c:pt>
                <c:pt idx="43">
                  <c:v>0.38586028937952466</c:v>
                </c:pt>
                <c:pt idx="44">
                  <c:v>1.8483881477007738</c:v>
                </c:pt>
                <c:pt idx="45">
                  <c:v>1.2305023091141392</c:v>
                </c:pt>
                <c:pt idx="46">
                  <c:v>-7.0952745131106734E-2</c:v>
                </c:pt>
                <c:pt idx="47">
                  <c:v>1.7850152411790674</c:v>
                </c:pt>
                <c:pt idx="48">
                  <c:v>0.65618534376117732</c:v>
                </c:pt>
                <c:pt idx="49">
                  <c:v>-1.1340992654770203</c:v>
                </c:pt>
                <c:pt idx="50">
                  <c:v>0.99999999999999989</c:v>
                </c:pt>
                <c:pt idx="51">
                  <c:v>-9.9858983311908914E-2</c:v>
                </c:pt>
                <c:pt idx="52">
                  <c:v>-3.3809509551575925E-2</c:v>
                </c:pt>
                <c:pt idx="53">
                  <c:v>-7.0842505519374668E-2</c:v>
                </c:pt>
                <c:pt idx="54">
                  <c:v>-0.46898852054220025</c:v>
                </c:pt>
                <c:pt idx="55">
                  <c:v>-0.3726595243955223</c:v>
                </c:pt>
                <c:pt idx="56">
                  <c:v>-0.41504700700837954</c:v>
                </c:pt>
                <c:pt idx="57">
                  <c:v>-0.9953584034807923</c:v>
                </c:pt>
                <c:pt idx="58">
                  <c:v>-0.86233763258956397</c:v>
                </c:pt>
                <c:pt idx="59">
                  <c:v>-0.8801811051420132</c:v>
                </c:pt>
                <c:pt idx="60">
                  <c:v>1</c:v>
                </c:pt>
                <c:pt idx="61">
                  <c:v>1.7046132242081369</c:v>
                </c:pt>
                <c:pt idx="62">
                  <c:v>1.1040976901959298</c:v>
                </c:pt>
                <c:pt idx="63">
                  <c:v>2.1861570318764338E-2</c:v>
                </c:pt>
                <c:pt idx="64">
                  <c:v>1.5066805700282722</c:v>
                </c:pt>
                <c:pt idx="65">
                  <c:v>0.38243016541450503</c:v>
                </c:pt>
                <c:pt idx="66">
                  <c:v>-0.32197202216099502</c:v>
                </c:pt>
                <c:pt idx="67">
                  <c:v>0.98925078844047953</c:v>
                </c:pt>
                <c:pt idx="68">
                  <c:v>-0.11166489421579208</c:v>
                </c:pt>
                <c:pt idx="69">
                  <c:v>-1.0703919807017706</c:v>
                </c:pt>
                <c:pt idx="70">
                  <c:v>0.99999999999999978</c:v>
                </c:pt>
                <c:pt idx="71">
                  <c:v>1.5937493383494334</c:v>
                </c:pt>
                <c:pt idx="72">
                  <c:v>1.0678655682060043</c:v>
                </c:pt>
                <c:pt idx="73">
                  <c:v>3.0780820101250592E-2</c:v>
                </c:pt>
                <c:pt idx="74">
                  <c:v>1.4026980856429345</c:v>
                </c:pt>
                <c:pt idx="75">
                  <c:v>0.41740205064315222</c:v>
                </c:pt>
                <c:pt idx="76">
                  <c:v>-0.3502697305591741</c:v>
                </c:pt>
                <c:pt idx="77">
                  <c:v>0.92727805593412771</c:v>
                </c:pt>
                <c:pt idx="78">
                  <c:v>-0.11680486573647432</c:v>
                </c:pt>
                <c:pt idx="79">
                  <c:v>-1.1611073161001453</c:v>
                </c:pt>
              </c:numCache>
            </c:numRef>
          </c:val>
          <c:extLst>
            <c:ext xmlns:c16="http://schemas.microsoft.com/office/drawing/2014/chart" uri="{C3380CC4-5D6E-409C-BE32-E72D297353CC}">
              <c16:uniqueId val="{00000000-AEC1-4D31-A511-4F747E28BB31}"/>
            </c:ext>
          </c:extLst>
        </c:ser>
        <c:dLbls>
          <c:showLegendKey val="0"/>
          <c:showVal val="0"/>
          <c:showCatName val="0"/>
          <c:showSerName val="0"/>
          <c:showPercent val="0"/>
          <c:showBubbleSize val="0"/>
        </c:dLbls>
        <c:gapWidth val="150"/>
        <c:overlap val="100"/>
        <c:axId val="1725858127"/>
        <c:axId val="1725866031"/>
      </c:barChart>
      <c:catAx>
        <c:axId val="1725858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1725866031"/>
        <c:crosses val="autoZero"/>
        <c:auto val="1"/>
        <c:lblAlgn val="ctr"/>
        <c:lblOffset val="100"/>
        <c:noMultiLvlLbl val="0"/>
      </c:catAx>
      <c:valAx>
        <c:axId val="17258660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Percentage of Legacy System Impact</a:t>
                </a:r>
              </a:p>
            </c:rich>
          </c:tx>
          <c:layout>
            <c:manualLayout>
              <c:xMode val="edge"/>
              <c:yMode val="edge"/>
              <c:x val="1.1438784586204746E-3"/>
              <c:y val="0.17584304973411174"/>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25858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ADCharts!$B$8</c:f>
              <c:strCache>
                <c:ptCount val="1"/>
                <c:pt idx="0">
                  <c:v>Low Emissions</c:v>
                </c:pt>
              </c:strCache>
            </c:strRef>
          </c:tx>
          <c:spPr>
            <a:solidFill>
              <a:schemeClr val="accent1"/>
            </a:solidFill>
            <a:ln>
              <a:noFill/>
            </a:ln>
            <a:effectLst/>
          </c:spPr>
          <c:invertIfNegative val="0"/>
          <c:cat>
            <c:strRef>
              <c:f>ADCharts!$C$7:$L$7</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ADCharts!$C$8:$L$8</c:f>
              <c:numCache>
                <c:formatCode>0%</c:formatCode>
                <c:ptCount val="10"/>
                <c:pt idx="0">
                  <c:v>0.99999999999999978</c:v>
                </c:pt>
                <c:pt idx="1">
                  <c:v>1.1432763155034884</c:v>
                </c:pt>
                <c:pt idx="2">
                  <c:v>0.72740116064248317</c:v>
                </c:pt>
                <c:pt idx="3">
                  <c:v>-7.9419244060944583E-2</c:v>
                </c:pt>
                <c:pt idx="4">
                  <c:v>0.62976808885218072</c:v>
                </c:pt>
                <c:pt idx="5">
                  <c:v>-0.19737442674259378</c:v>
                </c:pt>
                <c:pt idx="6">
                  <c:v>-0.66397878675911226</c:v>
                </c:pt>
                <c:pt idx="7">
                  <c:v>-0.27888021908756977</c:v>
                </c:pt>
                <c:pt idx="8">
                  <c:v>-0.98500293420852436</c:v>
                </c:pt>
                <c:pt idx="9">
                  <c:v>-1.5829511617292269</c:v>
                </c:pt>
              </c:numCache>
            </c:numRef>
          </c:val>
          <c:extLst>
            <c:ext xmlns:c16="http://schemas.microsoft.com/office/drawing/2014/chart" uri="{C3380CC4-5D6E-409C-BE32-E72D297353CC}">
              <c16:uniqueId val="{00000000-B08F-483F-B4D6-D18A83FBEEB8}"/>
            </c:ext>
          </c:extLst>
        </c:ser>
        <c:ser>
          <c:idx val="1"/>
          <c:order val="1"/>
          <c:tx>
            <c:strRef>
              <c:f>ADCharts!$B$9</c:f>
              <c:strCache>
                <c:ptCount val="1"/>
                <c:pt idx="0">
                  <c:v>Base Emissions</c:v>
                </c:pt>
              </c:strCache>
            </c:strRef>
          </c:tx>
          <c:spPr>
            <a:solidFill>
              <a:schemeClr val="accent2"/>
            </a:solidFill>
            <a:ln>
              <a:noFill/>
            </a:ln>
            <a:effectLst/>
          </c:spPr>
          <c:invertIfNegative val="0"/>
          <c:cat>
            <c:strRef>
              <c:f>ADCharts!$C$7:$L$7</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ADCharts!$C$9:$L$9</c:f>
              <c:numCache>
                <c:formatCode>0%</c:formatCode>
                <c:ptCount val="10"/>
                <c:pt idx="0">
                  <c:v>1</c:v>
                </c:pt>
                <c:pt idx="1">
                  <c:v>1.5716829000838548</c:v>
                </c:pt>
                <c:pt idx="2">
                  <c:v>1.2535380248984067</c:v>
                </c:pt>
                <c:pt idx="3">
                  <c:v>0.71842869122105413</c:v>
                </c:pt>
                <c:pt idx="4">
                  <c:v>1.6140617944913889</c:v>
                </c:pt>
                <c:pt idx="5">
                  <c:v>1.0244468812487904</c:v>
                </c:pt>
                <c:pt idx="6">
                  <c:v>0.6797394052763982</c:v>
                </c:pt>
                <c:pt idx="7">
                  <c:v>1.5650390247048958</c:v>
                </c:pt>
                <c:pt idx="8">
                  <c:v>0.99940656647100556</c:v>
                </c:pt>
                <c:pt idx="9">
                  <c:v>0.51214603625104826</c:v>
                </c:pt>
              </c:numCache>
            </c:numRef>
          </c:val>
          <c:extLst>
            <c:ext xmlns:c16="http://schemas.microsoft.com/office/drawing/2014/chart" uri="{C3380CC4-5D6E-409C-BE32-E72D297353CC}">
              <c16:uniqueId val="{00000001-B08F-483F-B4D6-D18A83FBEEB8}"/>
            </c:ext>
          </c:extLst>
        </c:ser>
        <c:ser>
          <c:idx val="2"/>
          <c:order val="2"/>
          <c:tx>
            <c:strRef>
              <c:f>ADCharts!$B$10</c:f>
              <c:strCache>
                <c:ptCount val="1"/>
                <c:pt idx="0">
                  <c:v>High Emissions</c:v>
                </c:pt>
              </c:strCache>
            </c:strRef>
          </c:tx>
          <c:spPr>
            <a:solidFill>
              <a:schemeClr val="accent3"/>
            </a:solidFill>
            <a:ln>
              <a:noFill/>
            </a:ln>
            <a:effectLst/>
          </c:spPr>
          <c:invertIfNegative val="0"/>
          <c:cat>
            <c:strRef>
              <c:f>ADCharts!$C$7:$L$7</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ADCharts!$C$10:$L$10</c:f>
              <c:numCache>
                <c:formatCode>0%</c:formatCode>
                <c:ptCount val="10"/>
                <c:pt idx="0">
                  <c:v>0.99999999999999989</c:v>
                </c:pt>
                <c:pt idx="1">
                  <c:v>1.9724374067616872</c:v>
                </c:pt>
                <c:pt idx="2">
                  <c:v>1.6774448658266981</c:v>
                </c:pt>
                <c:pt idx="3">
                  <c:v>1.2495910994482089</c:v>
                </c:pt>
                <c:pt idx="4">
                  <c:v>2.3386415514855221</c:v>
                </c:pt>
                <c:pt idx="5">
                  <c:v>1.8294570160145225</c:v>
                </c:pt>
                <c:pt idx="6">
                  <c:v>1.5284972230709779</c:v>
                </c:pt>
                <c:pt idx="7">
                  <c:v>2.7815123029638551</c:v>
                </c:pt>
                <c:pt idx="8">
                  <c:v>2.2444146880672928</c:v>
                </c:pt>
                <c:pt idx="9">
                  <c:v>1.7790229523518517</c:v>
                </c:pt>
              </c:numCache>
            </c:numRef>
          </c:val>
          <c:extLst>
            <c:ext xmlns:c16="http://schemas.microsoft.com/office/drawing/2014/chart" uri="{C3380CC4-5D6E-409C-BE32-E72D297353CC}">
              <c16:uniqueId val="{00000002-B08F-483F-B4D6-D18A83FBEEB8}"/>
            </c:ext>
          </c:extLst>
        </c:ser>
        <c:dLbls>
          <c:showLegendKey val="0"/>
          <c:showVal val="0"/>
          <c:showCatName val="0"/>
          <c:showSerName val="0"/>
          <c:showPercent val="0"/>
          <c:showBubbleSize val="0"/>
        </c:dLbls>
        <c:gapWidth val="219"/>
        <c:overlap val="-27"/>
        <c:axId val="1662587168"/>
        <c:axId val="1662579264"/>
      </c:barChart>
      <c:catAx>
        <c:axId val="166258716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Scenario Names: Feedstock-AD Scenario</a:t>
                </a:r>
              </a:p>
            </c:rich>
          </c:tx>
          <c:layout>
            <c:manualLayout>
              <c:xMode val="edge"/>
              <c:yMode val="edge"/>
              <c:x val="0.60944663600218285"/>
              <c:y val="0.909764028391137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1662579264"/>
        <c:crosses val="autoZero"/>
        <c:auto val="1"/>
        <c:lblAlgn val="ctr"/>
        <c:lblOffset val="100"/>
        <c:noMultiLvlLbl val="0"/>
      </c:catAx>
      <c:valAx>
        <c:axId val="166257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Relative Percent of Legacy System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1662587168"/>
        <c:crosses val="autoZero"/>
        <c:crossBetween val="between"/>
      </c:valAx>
      <c:spPr>
        <a:noFill/>
        <a:ln>
          <a:noFill/>
        </a:ln>
        <a:effectLst/>
      </c:spPr>
    </c:plotArea>
    <c:legend>
      <c:legendPos val="b"/>
      <c:layout>
        <c:manualLayout>
          <c:xMode val="edge"/>
          <c:yMode val="edge"/>
          <c:x val="7.7279384631376527E-2"/>
          <c:y val="0.89542679044712603"/>
          <c:w val="0.41639822249941527"/>
          <c:h val="7.512208408559842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mn-lt"/>
          <a:cs typeface="Times New Roman" panose="02020603050405020304" pitchFamily="18"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67013049928284"/>
          <c:y val="4.0847145488029465E-2"/>
          <c:w val="0.87002495555748383"/>
          <c:h val="0.65014442566406949"/>
        </c:manualLayout>
      </c:layout>
      <c:barChart>
        <c:barDir val="col"/>
        <c:grouping val="clustered"/>
        <c:varyColors val="0"/>
        <c:ser>
          <c:idx val="0"/>
          <c:order val="0"/>
          <c:tx>
            <c:strRef>
              <c:f>ADCharts!$B$41</c:f>
              <c:strCache>
                <c:ptCount val="1"/>
                <c:pt idx="0">
                  <c:v>Low Emissions</c:v>
                </c:pt>
              </c:strCache>
            </c:strRef>
          </c:tx>
          <c:spPr>
            <a:solidFill>
              <a:schemeClr val="accent1"/>
            </a:solidFill>
            <a:ln>
              <a:noFill/>
            </a:ln>
            <a:effectLst/>
          </c:spPr>
          <c:invertIfNegative val="0"/>
          <c:cat>
            <c:strRef>
              <c:f>ADCharts!$C$40:$L$40</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ADCharts!$C$41:$L$41</c:f>
              <c:numCache>
                <c:formatCode>0%</c:formatCode>
                <c:ptCount val="10"/>
                <c:pt idx="0">
                  <c:v>1</c:v>
                </c:pt>
                <c:pt idx="1">
                  <c:v>0.64481487293734396</c:v>
                </c:pt>
                <c:pt idx="2">
                  <c:v>0.62301236214033306</c:v>
                </c:pt>
                <c:pt idx="3">
                  <c:v>0.57733584427896978</c:v>
                </c:pt>
                <c:pt idx="4">
                  <c:v>0.67879662797464202</c:v>
                </c:pt>
                <c:pt idx="5">
                  <c:v>0.64202681525783811</c:v>
                </c:pt>
                <c:pt idx="6">
                  <c:v>0.58929005104673049</c:v>
                </c:pt>
                <c:pt idx="7">
                  <c:v>0.72180738090042051</c:v>
                </c:pt>
                <c:pt idx="8">
                  <c:v>0.65983652218629929</c:v>
                </c:pt>
                <c:pt idx="9">
                  <c:v>0.58434153050976811</c:v>
                </c:pt>
              </c:numCache>
            </c:numRef>
          </c:val>
          <c:extLst>
            <c:ext xmlns:c16="http://schemas.microsoft.com/office/drawing/2014/chart" uri="{C3380CC4-5D6E-409C-BE32-E72D297353CC}">
              <c16:uniqueId val="{00000000-F20D-42A3-A9ED-81E511E7DD3B}"/>
            </c:ext>
          </c:extLst>
        </c:ser>
        <c:ser>
          <c:idx val="1"/>
          <c:order val="1"/>
          <c:tx>
            <c:strRef>
              <c:f>ADCharts!$B$42</c:f>
              <c:strCache>
                <c:ptCount val="1"/>
                <c:pt idx="0">
                  <c:v>Base Emissions</c:v>
                </c:pt>
              </c:strCache>
            </c:strRef>
          </c:tx>
          <c:spPr>
            <a:solidFill>
              <a:schemeClr val="accent2"/>
            </a:solidFill>
            <a:ln>
              <a:noFill/>
            </a:ln>
            <a:effectLst/>
          </c:spPr>
          <c:invertIfNegative val="0"/>
          <c:cat>
            <c:strRef>
              <c:f>ADCharts!$C$40:$L$40</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ADCharts!$C$42:$L$42</c:f>
              <c:numCache>
                <c:formatCode>0%</c:formatCode>
                <c:ptCount val="10"/>
                <c:pt idx="0">
                  <c:v>1</c:v>
                </c:pt>
                <c:pt idx="1">
                  <c:v>0.65517296559654925</c:v>
                </c:pt>
                <c:pt idx="2">
                  <c:v>0.63234509826093666</c:v>
                </c:pt>
                <c:pt idx="3">
                  <c:v>0.58598875101878689</c:v>
                </c:pt>
                <c:pt idx="4">
                  <c:v>0.69255075786027465</c:v>
                </c:pt>
                <c:pt idx="5">
                  <c:v>0.65484101370992132</c:v>
                </c:pt>
                <c:pt idx="6">
                  <c:v>0.60147517008570683</c:v>
                </c:pt>
                <c:pt idx="7">
                  <c:v>0.74085165157627508</c:v>
                </c:pt>
                <c:pt idx="8">
                  <c:v>0.67718983185029624</c:v>
                </c:pt>
                <c:pt idx="9">
                  <c:v>0.60040193229671979</c:v>
                </c:pt>
              </c:numCache>
            </c:numRef>
          </c:val>
          <c:extLst>
            <c:ext xmlns:c16="http://schemas.microsoft.com/office/drawing/2014/chart" uri="{C3380CC4-5D6E-409C-BE32-E72D297353CC}">
              <c16:uniqueId val="{00000001-F20D-42A3-A9ED-81E511E7DD3B}"/>
            </c:ext>
          </c:extLst>
        </c:ser>
        <c:ser>
          <c:idx val="2"/>
          <c:order val="2"/>
          <c:tx>
            <c:strRef>
              <c:f>ADCharts!$B$43</c:f>
              <c:strCache>
                <c:ptCount val="1"/>
                <c:pt idx="0">
                  <c:v>High Emissions</c:v>
                </c:pt>
              </c:strCache>
            </c:strRef>
          </c:tx>
          <c:spPr>
            <a:solidFill>
              <a:schemeClr val="accent3"/>
            </a:solidFill>
            <a:ln>
              <a:noFill/>
            </a:ln>
            <a:effectLst/>
          </c:spPr>
          <c:invertIfNegative val="0"/>
          <c:cat>
            <c:strRef>
              <c:f>ADCharts!$C$40:$L$40</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ADCharts!$C$43:$L$43</c:f>
              <c:numCache>
                <c:formatCode>0%</c:formatCode>
                <c:ptCount val="10"/>
                <c:pt idx="0">
                  <c:v>1</c:v>
                </c:pt>
                <c:pt idx="1">
                  <c:v>0.66623916937170358</c:v>
                </c:pt>
                <c:pt idx="2">
                  <c:v>0.64257734998956817</c:v>
                </c:pt>
                <c:pt idx="3">
                  <c:v>0.59578210772401707</c:v>
                </c:pt>
                <c:pt idx="4">
                  <c:v>0.7081483863624578</c:v>
                </c:pt>
                <c:pt idx="5">
                  <c:v>0.66877572255343276</c:v>
                </c:pt>
                <c:pt idx="6">
                  <c:v>0.61455677073868387</c:v>
                </c:pt>
                <c:pt idx="7">
                  <c:v>0.7622170053058952</c:v>
                </c:pt>
                <c:pt idx="8">
                  <c:v>0.69687598646341742</c:v>
                </c:pt>
                <c:pt idx="9">
                  <c:v>0.61840065394467081</c:v>
                </c:pt>
              </c:numCache>
            </c:numRef>
          </c:val>
          <c:extLst>
            <c:ext xmlns:c16="http://schemas.microsoft.com/office/drawing/2014/chart" uri="{C3380CC4-5D6E-409C-BE32-E72D297353CC}">
              <c16:uniqueId val="{00000002-F20D-42A3-A9ED-81E511E7DD3B}"/>
            </c:ext>
          </c:extLst>
        </c:ser>
        <c:dLbls>
          <c:showLegendKey val="0"/>
          <c:showVal val="0"/>
          <c:showCatName val="0"/>
          <c:showSerName val="0"/>
          <c:showPercent val="0"/>
          <c:showBubbleSize val="0"/>
        </c:dLbls>
        <c:gapWidth val="219"/>
        <c:overlap val="-27"/>
        <c:axId val="1662585920"/>
        <c:axId val="1662582176"/>
      </c:barChart>
      <c:catAx>
        <c:axId val="166258592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Scenario Names: Feedstock-AD Scenario</a:t>
                </a:r>
              </a:p>
            </c:rich>
          </c:tx>
          <c:layout>
            <c:manualLayout>
              <c:xMode val="edge"/>
              <c:yMode val="edge"/>
              <c:x val="0.58584997780736803"/>
              <c:y val="0.8942793752990821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1662582176"/>
        <c:crosses val="autoZero"/>
        <c:auto val="1"/>
        <c:lblAlgn val="ctr"/>
        <c:lblOffset val="100"/>
        <c:noMultiLvlLbl val="0"/>
      </c:catAx>
      <c:valAx>
        <c:axId val="166258217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Relative Percent of Legacy System</a:t>
                </a:r>
              </a:p>
            </c:rich>
          </c:tx>
          <c:layout>
            <c:manualLayout>
              <c:xMode val="edge"/>
              <c:yMode val="edge"/>
              <c:x val="1.6851845750710776E-2"/>
              <c:y val="0.1257445960616179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1662585920"/>
        <c:crosses val="autoZero"/>
        <c:crossBetween val="between"/>
      </c:valAx>
      <c:spPr>
        <a:noFill/>
        <a:ln>
          <a:noFill/>
        </a:ln>
        <a:effectLst/>
      </c:spPr>
    </c:plotArea>
    <c:legend>
      <c:legendPos val="b"/>
      <c:layout>
        <c:manualLayout>
          <c:xMode val="edge"/>
          <c:yMode val="edge"/>
          <c:x val="2.0264843725426491E-2"/>
          <c:y val="0.89665521091631506"/>
          <c:w val="0.51206685049854783"/>
          <c:h val="6.651237656066472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mn-lt"/>
          <a:cs typeface="Times New Roman" panose="02020603050405020304" pitchFamily="18"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ADCharts!$B$72</c:f>
              <c:strCache>
                <c:ptCount val="1"/>
                <c:pt idx="0">
                  <c:v>Low Emissions</c:v>
                </c:pt>
              </c:strCache>
            </c:strRef>
          </c:tx>
          <c:spPr>
            <a:solidFill>
              <a:schemeClr val="accent1"/>
            </a:solidFill>
            <a:ln>
              <a:noFill/>
            </a:ln>
            <a:effectLst/>
          </c:spPr>
          <c:invertIfNegative val="0"/>
          <c:cat>
            <c:strRef>
              <c:f>ADCharts!$C$71:$L$71</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ADCharts!$C$72:$L$72</c:f>
              <c:numCache>
                <c:formatCode>0%</c:formatCode>
                <c:ptCount val="10"/>
                <c:pt idx="0">
                  <c:v>1</c:v>
                </c:pt>
                <c:pt idx="1">
                  <c:v>1.3461206444046412</c:v>
                </c:pt>
                <c:pt idx="2">
                  <c:v>1.0497918517858875</c:v>
                </c:pt>
                <c:pt idx="3">
                  <c:v>3.5306396800373254E-3</c:v>
                </c:pt>
                <c:pt idx="4">
                  <c:v>1.1953027498797208</c:v>
                </c:pt>
                <c:pt idx="5">
                  <c:v>0.64681184534297642</c:v>
                </c:pt>
                <c:pt idx="6">
                  <c:v>-0.59588304177202012</c:v>
                </c:pt>
                <c:pt idx="7">
                  <c:v>0.8947497499605741</c:v>
                </c:pt>
                <c:pt idx="8">
                  <c:v>-0.13098716021325971</c:v>
                </c:pt>
                <c:pt idx="9">
                  <c:v>-1.8269762580429436</c:v>
                </c:pt>
              </c:numCache>
            </c:numRef>
          </c:val>
          <c:extLst>
            <c:ext xmlns:c16="http://schemas.microsoft.com/office/drawing/2014/chart" uri="{C3380CC4-5D6E-409C-BE32-E72D297353CC}">
              <c16:uniqueId val="{00000000-8065-45F1-AF0B-0ED894BA937E}"/>
            </c:ext>
          </c:extLst>
        </c:ser>
        <c:ser>
          <c:idx val="1"/>
          <c:order val="1"/>
          <c:tx>
            <c:strRef>
              <c:f>ADCharts!$B$73</c:f>
              <c:strCache>
                <c:ptCount val="1"/>
                <c:pt idx="0">
                  <c:v>Base Emissions</c:v>
                </c:pt>
              </c:strCache>
            </c:strRef>
          </c:tx>
          <c:spPr>
            <a:solidFill>
              <a:schemeClr val="accent2"/>
            </a:solidFill>
            <a:ln>
              <a:noFill/>
            </a:ln>
            <a:effectLst/>
          </c:spPr>
          <c:invertIfNegative val="0"/>
          <c:cat>
            <c:strRef>
              <c:f>ADCharts!$C$71:$L$71</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ADCharts!$C$73:$L$73</c:f>
              <c:numCache>
                <c:formatCode>0%</c:formatCode>
                <c:ptCount val="10"/>
                <c:pt idx="0">
                  <c:v>1</c:v>
                </c:pt>
                <c:pt idx="1">
                  <c:v>1.4167350289969747</c:v>
                </c:pt>
                <c:pt idx="2">
                  <c:v>1.1100486944278074</c:v>
                </c:pt>
                <c:pt idx="3">
                  <c:v>3.9040934528984578E-2</c:v>
                </c:pt>
                <c:pt idx="4">
                  <c:v>1.2795500396071557</c:v>
                </c:pt>
                <c:pt idx="5">
                  <c:v>0.71321278403045218</c:v>
                </c:pt>
                <c:pt idx="6">
                  <c:v>-0.55831024507976523</c:v>
                </c:pt>
                <c:pt idx="7">
                  <c:v>0.99510036626061149</c:v>
                </c:pt>
                <c:pt idx="8">
                  <c:v>-6.1030029108618863E-2</c:v>
                </c:pt>
                <c:pt idx="9">
                  <c:v>-1.7999341210718161</c:v>
                </c:pt>
              </c:numCache>
            </c:numRef>
          </c:val>
          <c:extLst>
            <c:ext xmlns:c16="http://schemas.microsoft.com/office/drawing/2014/chart" uri="{C3380CC4-5D6E-409C-BE32-E72D297353CC}">
              <c16:uniqueId val="{00000001-8065-45F1-AF0B-0ED894BA937E}"/>
            </c:ext>
          </c:extLst>
        </c:ser>
        <c:ser>
          <c:idx val="2"/>
          <c:order val="2"/>
          <c:tx>
            <c:strRef>
              <c:f>ADCharts!$B$74</c:f>
              <c:strCache>
                <c:ptCount val="1"/>
                <c:pt idx="0">
                  <c:v>High Emissions</c:v>
                </c:pt>
              </c:strCache>
            </c:strRef>
          </c:tx>
          <c:spPr>
            <a:solidFill>
              <a:schemeClr val="accent3"/>
            </a:solidFill>
            <a:ln>
              <a:noFill/>
            </a:ln>
            <a:effectLst/>
          </c:spPr>
          <c:invertIfNegative val="0"/>
          <c:cat>
            <c:strRef>
              <c:f>ADCharts!$C$71:$L$71</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ADCharts!$C$74:$L$74</c:f>
              <c:numCache>
                <c:formatCode>0%</c:formatCode>
                <c:ptCount val="10"/>
                <c:pt idx="0">
                  <c:v>0.99999999999999989</c:v>
                </c:pt>
                <c:pt idx="1">
                  <c:v>1.488644999805252</c:v>
                </c:pt>
                <c:pt idx="2">
                  <c:v>1.1718933133414609</c:v>
                </c:pt>
                <c:pt idx="3">
                  <c:v>7.9861743944811117E-2</c:v>
                </c:pt>
                <c:pt idx="4">
                  <c:v>1.3655127083371155</c:v>
                </c:pt>
                <c:pt idx="5">
                  <c:v>0.7847068928645714</c:v>
                </c:pt>
                <c:pt idx="6">
                  <c:v>-0.51380031484805722</c:v>
                </c:pt>
                <c:pt idx="7">
                  <c:v>1.1021122533195911</c:v>
                </c:pt>
                <c:pt idx="8">
                  <c:v>2.0698317002979125E-2</c:v>
                </c:pt>
                <c:pt idx="9">
                  <c:v>-1.7556887417632008</c:v>
                </c:pt>
              </c:numCache>
            </c:numRef>
          </c:val>
          <c:extLst>
            <c:ext xmlns:c16="http://schemas.microsoft.com/office/drawing/2014/chart" uri="{C3380CC4-5D6E-409C-BE32-E72D297353CC}">
              <c16:uniqueId val="{00000002-8065-45F1-AF0B-0ED894BA937E}"/>
            </c:ext>
          </c:extLst>
        </c:ser>
        <c:dLbls>
          <c:showLegendKey val="0"/>
          <c:showVal val="0"/>
          <c:showCatName val="0"/>
          <c:showSerName val="0"/>
          <c:showPercent val="0"/>
          <c:showBubbleSize val="0"/>
        </c:dLbls>
        <c:gapWidth val="219"/>
        <c:overlap val="-27"/>
        <c:axId val="140745440"/>
        <c:axId val="140752512"/>
      </c:barChart>
      <c:catAx>
        <c:axId val="14074544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Scenario Names: Feedstock-AD Scenario</a:t>
                </a:r>
              </a:p>
            </c:rich>
          </c:tx>
          <c:layout>
            <c:manualLayout>
              <c:xMode val="edge"/>
              <c:yMode val="edge"/>
              <c:x val="0.58689880294661789"/>
              <c:y val="0.8901282816420563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140752512"/>
        <c:crosses val="autoZero"/>
        <c:auto val="1"/>
        <c:lblAlgn val="ctr"/>
        <c:lblOffset val="100"/>
        <c:noMultiLvlLbl val="0"/>
      </c:catAx>
      <c:valAx>
        <c:axId val="140752512"/>
        <c:scaling>
          <c:orientation val="minMax"/>
          <c:max val="1.5"/>
          <c:min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Percent of Legacy System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140745440"/>
        <c:crosses val="autoZero"/>
        <c:crossBetween val="between"/>
      </c:valAx>
      <c:spPr>
        <a:noFill/>
        <a:ln>
          <a:noFill/>
        </a:ln>
        <a:effectLst/>
      </c:spPr>
    </c:plotArea>
    <c:legend>
      <c:legendPos val="b"/>
      <c:layout>
        <c:manualLayout>
          <c:xMode val="edge"/>
          <c:yMode val="edge"/>
          <c:x val="2.166628444496671E-2"/>
          <c:y val="0.89223109947442392"/>
          <c:w val="0.49588933422756065"/>
          <c:h val="5.886914502435362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mn-lt"/>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02843088669858E-2"/>
          <c:y val="6.302157431559445E-2"/>
          <c:w val="0.88168061597195457"/>
          <c:h val="0.68742097949830572"/>
        </c:manualLayout>
      </c:layout>
      <c:barChart>
        <c:barDir val="col"/>
        <c:grouping val="stacked"/>
        <c:varyColors val="0"/>
        <c:ser>
          <c:idx val="0"/>
          <c:order val="0"/>
          <c:tx>
            <c:strRef>
              <c:f>Drivers!$E$14</c:f>
              <c:strCache>
                <c:ptCount val="1"/>
                <c:pt idx="0">
                  <c:v>Electricity</c:v>
                </c:pt>
              </c:strCache>
            </c:strRef>
          </c:tx>
          <c:spPr>
            <a:solidFill>
              <a:schemeClr val="accent1"/>
            </a:solidFill>
            <a:ln>
              <a:noFill/>
            </a:ln>
            <a:effectLst/>
          </c:spPr>
          <c:invertIfNegative val="0"/>
          <c:cat>
            <c:strRef>
              <c:f>Drivers!$D$15:$D$16</c:f>
              <c:strCache>
                <c:ptCount val="2"/>
                <c:pt idx="0">
                  <c:v>Legacy</c:v>
                </c:pt>
                <c:pt idx="1">
                  <c:v>Upgraded</c:v>
                </c:pt>
              </c:strCache>
            </c:strRef>
          </c:cat>
          <c:val>
            <c:numRef>
              <c:f>Drivers!$E$15:$E$16</c:f>
              <c:numCache>
                <c:formatCode>0.00E+00</c:formatCode>
                <c:ptCount val="2"/>
                <c:pt idx="0">
                  <c:v>9.9019414900000007E-4</c:v>
                </c:pt>
                <c:pt idx="1">
                  <c:v>1.4384576159999999E-3</c:v>
                </c:pt>
              </c:numCache>
            </c:numRef>
          </c:val>
          <c:extLst>
            <c:ext xmlns:c16="http://schemas.microsoft.com/office/drawing/2014/chart" uri="{C3380CC4-5D6E-409C-BE32-E72D297353CC}">
              <c16:uniqueId val="{00000000-5455-423B-A3B4-5A3119C3DF2F}"/>
            </c:ext>
          </c:extLst>
        </c:ser>
        <c:ser>
          <c:idx val="1"/>
          <c:order val="1"/>
          <c:tx>
            <c:strRef>
              <c:f>Drivers!$F$14</c:f>
              <c:strCache>
                <c:ptCount val="1"/>
                <c:pt idx="0">
                  <c:v>Natural Gas</c:v>
                </c:pt>
              </c:strCache>
            </c:strRef>
          </c:tx>
          <c:spPr>
            <a:solidFill>
              <a:schemeClr val="accent2"/>
            </a:solidFill>
            <a:ln>
              <a:noFill/>
            </a:ln>
            <a:effectLst/>
          </c:spPr>
          <c:invertIfNegative val="0"/>
          <c:cat>
            <c:strRef>
              <c:f>Drivers!$D$15:$D$16</c:f>
              <c:strCache>
                <c:ptCount val="2"/>
                <c:pt idx="0">
                  <c:v>Legacy</c:v>
                </c:pt>
                <c:pt idx="1">
                  <c:v>Upgraded</c:v>
                </c:pt>
              </c:strCache>
            </c:strRef>
          </c:cat>
          <c:val>
            <c:numRef>
              <c:f>Drivers!$F$15:$F$16</c:f>
              <c:numCache>
                <c:formatCode>0.00E+00</c:formatCode>
                <c:ptCount val="2"/>
                <c:pt idx="0">
                  <c:v>7.0193599999999998E-6</c:v>
                </c:pt>
                <c:pt idx="1">
                  <c:v>1.6962299999999999E-5</c:v>
                </c:pt>
              </c:numCache>
            </c:numRef>
          </c:val>
          <c:extLst>
            <c:ext xmlns:c16="http://schemas.microsoft.com/office/drawing/2014/chart" uri="{C3380CC4-5D6E-409C-BE32-E72D297353CC}">
              <c16:uniqueId val="{00000001-5455-423B-A3B4-5A3119C3DF2F}"/>
            </c:ext>
          </c:extLst>
        </c:ser>
        <c:ser>
          <c:idx val="2"/>
          <c:order val="2"/>
          <c:tx>
            <c:strRef>
              <c:f>Drivers!$G$14</c:f>
              <c:strCache>
                <c:ptCount val="1"/>
                <c:pt idx="0">
                  <c:v>Chemicals</c:v>
                </c:pt>
              </c:strCache>
            </c:strRef>
          </c:tx>
          <c:spPr>
            <a:solidFill>
              <a:schemeClr val="tx1"/>
            </a:solidFill>
            <a:ln>
              <a:noFill/>
            </a:ln>
            <a:effectLst/>
          </c:spPr>
          <c:invertIfNegative val="0"/>
          <c:cat>
            <c:strRef>
              <c:f>Drivers!$D$15:$D$16</c:f>
              <c:strCache>
                <c:ptCount val="2"/>
                <c:pt idx="0">
                  <c:v>Legacy</c:v>
                </c:pt>
                <c:pt idx="1">
                  <c:v>Upgraded</c:v>
                </c:pt>
              </c:strCache>
            </c:strRef>
          </c:cat>
          <c:val>
            <c:numRef>
              <c:f>Drivers!$G$15:$G$16</c:f>
              <c:numCache>
                <c:formatCode>0.00E+00</c:formatCode>
                <c:ptCount val="2"/>
                <c:pt idx="0">
                  <c:v>3.2734517000000002E-4</c:v>
                </c:pt>
                <c:pt idx="1">
                  <c:v>2.6153153000000001E-4</c:v>
                </c:pt>
              </c:numCache>
            </c:numRef>
          </c:val>
          <c:extLst>
            <c:ext xmlns:c16="http://schemas.microsoft.com/office/drawing/2014/chart" uri="{C3380CC4-5D6E-409C-BE32-E72D297353CC}">
              <c16:uniqueId val="{00000002-5455-423B-A3B4-5A3119C3DF2F}"/>
            </c:ext>
          </c:extLst>
        </c:ser>
        <c:ser>
          <c:idx val="3"/>
          <c:order val="3"/>
          <c:tx>
            <c:strRef>
              <c:f>Drivers!$H$14</c:f>
              <c:strCache>
                <c:ptCount val="1"/>
                <c:pt idx="0">
                  <c:v>Unit Process Emissions</c:v>
                </c:pt>
              </c:strCache>
            </c:strRef>
          </c:tx>
          <c:spPr>
            <a:solidFill>
              <a:schemeClr val="accent4"/>
            </a:solidFill>
            <a:ln>
              <a:noFill/>
            </a:ln>
            <a:effectLst/>
          </c:spPr>
          <c:invertIfNegative val="0"/>
          <c:cat>
            <c:strRef>
              <c:f>Drivers!$D$15:$D$16</c:f>
              <c:strCache>
                <c:ptCount val="2"/>
                <c:pt idx="0">
                  <c:v>Legacy</c:v>
                </c:pt>
                <c:pt idx="1">
                  <c:v>Upgraded</c:v>
                </c:pt>
              </c:strCache>
            </c:strRef>
          </c:cat>
          <c:val>
            <c:numRef>
              <c:f>Drivers!$H$15:$H$16</c:f>
              <c:numCache>
                <c:formatCode>0.00E+00</c:formatCode>
                <c:ptCount val="2"/>
                <c:pt idx="0">
                  <c:v>3.7376856439998444E-6</c:v>
                </c:pt>
                <c:pt idx="1">
                  <c:v>2.1914655190200238E-5</c:v>
                </c:pt>
              </c:numCache>
            </c:numRef>
          </c:val>
          <c:extLst>
            <c:ext xmlns:c16="http://schemas.microsoft.com/office/drawing/2014/chart" uri="{C3380CC4-5D6E-409C-BE32-E72D297353CC}">
              <c16:uniqueId val="{00000003-5455-423B-A3B4-5A3119C3DF2F}"/>
            </c:ext>
          </c:extLst>
        </c:ser>
        <c:ser>
          <c:idx val="4"/>
          <c:order val="4"/>
          <c:tx>
            <c:strRef>
              <c:f>Drivers!$I$14</c:f>
              <c:strCache>
                <c:ptCount val="1"/>
                <c:pt idx="0">
                  <c:v>Effluent Release</c:v>
                </c:pt>
              </c:strCache>
            </c:strRef>
          </c:tx>
          <c:spPr>
            <a:solidFill>
              <a:schemeClr val="bg1">
                <a:lumMod val="75000"/>
              </a:schemeClr>
            </a:solidFill>
            <a:ln>
              <a:noFill/>
            </a:ln>
            <a:effectLst/>
          </c:spPr>
          <c:invertIfNegative val="0"/>
          <c:cat>
            <c:strRef>
              <c:f>Drivers!$D$15:$D$16</c:f>
              <c:strCache>
                <c:ptCount val="2"/>
                <c:pt idx="0">
                  <c:v>Legacy</c:v>
                </c:pt>
                <c:pt idx="1">
                  <c:v>Upgraded</c:v>
                </c:pt>
              </c:strCache>
            </c:strRef>
          </c:cat>
          <c:val>
            <c:numRef>
              <c:f>Drivers!$I$15:$I$16</c:f>
              <c:numCache>
                <c:formatCode>0.00E+00</c:formatCode>
                <c:ptCount val="2"/>
                <c:pt idx="0">
                  <c:v>2.3099070082E-2</c:v>
                </c:pt>
                <c:pt idx="1">
                  <c:v>1.15916618E-2</c:v>
                </c:pt>
              </c:numCache>
            </c:numRef>
          </c:val>
          <c:extLst>
            <c:ext xmlns:c16="http://schemas.microsoft.com/office/drawing/2014/chart" uri="{C3380CC4-5D6E-409C-BE32-E72D297353CC}">
              <c16:uniqueId val="{00000004-5455-423B-A3B4-5A3119C3DF2F}"/>
            </c:ext>
          </c:extLst>
        </c:ser>
        <c:ser>
          <c:idx val="5"/>
          <c:order val="5"/>
          <c:tx>
            <c:strRef>
              <c:f>Drivers!$J$14</c:f>
              <c:strCache>
                <c:ptCount val="1"/>
                <c:pt idx="0">
                  <c:v>Transport</c:v>
                </c:pt>
              </c:strCache>
            </c:strRef>
          </c:tx>
          <c:spPr>
            <a:solidFill>
              <a:schemeClr val="accent6"/>
            </a:solidFill>
            <a:ln>
              <a:noFill/>
            </a:ln>
            <a:effectLst/>
          </c:spPr>
          <c:invertIfNegative val="0"/>
          <c:cat>
            <c:strRef>
              <c:f>Drivers!$D$15:$D$16</c:f>
              <c:strCache>
                <c:ptCount val="2"/>
                <c:pt idx="0">
                  <c:v>Legacy</c:v>
                </c:pt>
                <c:pt idx="1">
                  <c:v>Upgraded</c:v>
                </c:pt>
              </c:strCache>
            </c:strRef>
          </c:cat>
          <c:val>
            <c:numRef>
              <c:f>Drivers!$J$15:$J$16</c:f>
              <c:numCache>
                <c:formatCode>0.00E+00</c:formatCode>
                <c:ptCount val="2"/>
                <c:pt idx="0">
                  <c:v>1.2667799999999999E-5</c:v>
                </c:pt>
                <c:pt idx="1">
                  <c:v>1.2444930699999999E-4</c:v>
                </c:pt>
              </c:numCache>
            </c:numRef>
          </c:val>
          <c:extLst>
            <c:ext xmlns:c16="http://schemas.microsoft.com/office/drawing/2014/chart" uri="{C3380CC4-5D6E-409C-BE32-E72D297353CC}">
              <c16:uniqueId val="{00000005-5455-423B-A3B4-5A3119C3DF2F}"/>
            </c:ext>
          </c:extLst>
        </c:ser>
        <c:ser>
          <c:idx val="6"/>
          <c:order val="6"/>
          <c:tx>
            <c:strRef>
              <c:f>Drivers!$K$14</c:f>
              <c:strCache>
                <c:ptCount val="1"/>
                <c:pt idx="0">
                  <c:v>Landfill</c:v>
                </c:pt>
              </c:strCache>
            </c:strRef>
          </c:tx>
          <c:spPr>
            <a:solidFill>
              <a:schemeClr val="accent1">
                <a:lumMod val="60000"/>
              </a:schemeClr>
            </a:solidFill>
            <a:ln>
              <a:noFill/>
            </a:ln>
            <a:effectLst/>
          </c:spPr>
          <c:invertIfNegative val="0"/>
          <c:cat>
            <c:strRef>
              <c:f>Drivers!$D$15:$D$16</c:f>
              <c:strCache>
                <c:ptCount val="2"/>
                <c:pt idx="0">
                  <c:v>Legacy</c:v>
                </c:pt>
                <c:pt idx="1">
                  <c:v>Upgraded</c:v>
                </c:pt>
              </c:strCache>
            </c:strRef>
          </c:cat>
          <c:val>
            <c:numRef>
              <c:f>Drivers!$K$15:$K$16</c:f>
              <c:numCache>
                <c:formatCode>0.00E+00</c:formatCode>
                <c:ptCount val="2"/>
                <c:pt idx="0">
                  <c:v>-2.7727999999999949E-6</c:v>
                </c:pt>
                <c:pt idx="1">
                  <c:v>0</c:v>
                </c:pt>
              </c:numCache>
            </c:numRef>
          </c:val>
          <c:extLst>
            <c:ext xmlns:c16="http://schemas.microsoft.com/office/drawing/2014/chart" uri="{C3380CC4-5D6E-409C-BE32-E72D297353CC}">
              <c16:uniqueId val="{00000006-5455-423B-A3B4-5A3119C3DF2F}"/>
            </c:ext>
          </c:extLst>
        </c:ser>
        <c:ser>
          <c:idx val="7"/>
          <c:order val="7"/>
          <c:tx>
            <c:strRef>
              <c:f>Drivers!$L$14</c:f>
              <c:strCache>
                <c:ptCount val="1"/>
                <c:pt idx="0">
                  <c:v>Composting</c:v>
                </c:pt>
              </c:strCache>
            </c:strRef>
          </c:tx>
          <c:spPr>
            <a:solidFill>
              <a:schemeClr val="accent2">
                <a:lumMod val="60000"/>
              </a:schemeClr>
            </a:solidFill>
            <a:ln>
              <a:noFill/>
            </a:ln>
            <a:effectLst/>
          </c:spPr>
          <c:invertIfNegative val="0"/>
          <c:cat>
            <c:strRef>
              <c:f>Drivers!$D$15:$D$16</c:f>
              <c:strCache>
                <c:ptCount val="2"/>
                <c:pt idx="0">
                  <c:v>Legacy</c:v>
                </c:pt>
                <c:pt idx="1">
                  <c:v>Upgraded</c:v>
                </c:pt>
              </c:strCache>
            </c:strRef>
          </c:cat>
          <c:val>
            <c:numRef>
              <c:f>Drivers!$L$15:$L$16</c:f>
              <c:numCache>
                <c:formatCode>0.00E+00</c:formatCode>
                <c:ptCount val="2"/>
                <c:pt idx="0">
                  <c:v>0</c:v>
                </c:pt>
                <c:pt idx="1">
                  <c:v>3.5884013580000002E-4</c:v>
                </c:pt>
              </c:numCache>
            </c:numRef>
          </c:val>
          <c:extLst>
            <c:ext xmlns:c16="http://schemas.microsoft.com/office/drawing/2014/chart" uri="{C3380CC4-5D6E-409C-BE32-E72D297353CC}">
              <c16:uniqueId val="{00000007-5455-423B-A3B4-5A3119C3DF2F}"/>
            </c:ext>
          </c:extLst>
        </c:ser>
        <c:ser>
          <c:idx val="8"/>
          <c:order val="8"/>
          <c:tx>
            <c:strRef>
              <c:f>Drivers!$M$14</c:f>
              <c:strCache>
                <c:ptCount val="1"/>
                <c:pt idx="0">
                  <c:v>Land Application</c:v>
                </c:pt>
              </c:strCache>
            </c:strRef>
          </c:tx>
          <c:spPr>
            <a:solidFill>
              <a:schemeClr val="accent3">
                <a:lumMod val="60000"/>
              </a:schemeClr>
            </a:solidFill>
            <a:ln>
              <a:noFill/>
            </a:ln>
            <a:effectLst/>
          </c:spPr>
          <c:invertIfNegative val="0"/>
          <c:cat>
            <c:strRef>
              <c:f>Drivers!$D$15:$D$16</c:f>
              <c:strCache>
                <c:ptCount val="2"/>
                <c:pt idx="0">
                  <c:v>Legacy</c:v>
                </c:pt>
                <c:pt idx="1">
                  <c:v>Upgraded</c:v>
                </c:pt>
              </c:strCache>
            </c:strRef>
          </c:cat>
          <c:val>
            <c:numRef>
              <c:f>Drivers!$M$15:$M$16</c:f>
              <c:numCache>
                <c:formatCode>0.00E+00</c:formatCode>
                <c:ptCount val="2"/>
                <c:pt idx="0">
                  <c:v>0</c:v>
                </c:pt>
                <c:pt idx="1">
                  <c:v>2.3614871965400002E-3</c:v>
                </c:pt>
              </c:numCache>
            </c:numRef>
          </c:val>
          <c:extLst>
            <c:ext xmlns:c16="http://schemas.microsoft.com/office/drawing/2014/chart" uri="{C3380CC4-5D6E-409C-BE32-E72D297353CC}">
              <c16:uniqueId val="{00000000-8E9E-47E8-BAFE-9708505C4D22}"/>
            </c:ext>
          </c:extLst>
        </c:ser>
        <c:ser>
          <c:idx val="9"/>
          <c:order val="9"/>
          <c:tx>
            <c:strRef>
              <c:f>Drivers!$N$14</c:f>
              <c:strCache>
                <c:ptCount val="1"/>
                <c:pt idx="0">
                  <c:v>Avoided Products</c:v>
                </c:pt>
              </c:strCache>
            </c:strRef>
          </c:tx>
          <c:spPr>
            <a:solidFill>
              <a:schemeClr val="accent4">
                <a:lumMod val="60000"/>
              </a:schemeClr>
            </a:solidFill>
            <a:ln>
              <a:noFill/>
            </a:ln>
            <a:effectLst/>
          </c:spPr>
          <c:invertIfNegative val="0"/>
          <c:cat>
            <c:strRef>
              <c:f>Drivers!$D$15:$D$16</c:f>
              <c:strCache>
                <c:ptCount val="2"/>
                <c:pt idx="0">
                  <c:v>Legacy</c:v>
                </c:pt>
                <c:pt idx="1">
                  <c:v>Upgraded</c:v>
                </c:pt>
              </c:strCache>
            </c:strRef>
          </c:cat>
          <c:val>
            <c:numRef>
              <c:f>Drivers!$N$15:$N$16</c:f>
              <c:numCache>
                <c:formatCode>0.00E+00</c:formatCode>
                <c:ptCount val="2"/>
                <c:pt idx="0">
                  <c:v>-1E-4</c:v>
                </c:pt>
                <c:pt idx="1">
                  <c:v>-8.8339633860000009E-4</c:v>
                </c:pt>
              </c:numCache>
            </c:numRef>
          </c:val>
          <c:extLst>
            <c:ext xmlns:c16="http://schemas.microsoft.com/office/drawing/2014/chart" uri="{C3380CC4-5D6E-409C-BE32-E72D297353CC}">
              <c16:uniqueId val="{00000001-8E9E-47E8-BAFE-9708505C4D22}"/>
            </c:ext>
          </c:extLst>
        </c:ser>
        <c:ser>
          <c:idx val="10"/>
          <c:order val="10"/>
          <c:tx>
            <c:strRef>
              <c:f>Drivers!$O$14</c:f>
              <c:strCache>
                <c:ptCount val="1"/>
                <c:pt idx="0">
                  <c:v>Infrastructure</c:v>
                </c:pt>
              </c:strCache>
            </c:strRef>
          </c:tx>
          <c:spPr>
            <a:solidFill>
              <a:schemeClr val="accent5">
                <a:lumMod val="60000"/>
              </a:schemeClr>
            </a:solidFill>
            <a:ln>
              <a:noFill/>
            </a:ln>
            <a:effectLst/>
          </c:spPr>
          <c:invertIfNegative val="0"/>
          <c:cat>
            <c:strRef>
              <c:f>Drivers!$D$15:$D$16</c:f>
              <c:strCache>
                <c:ptCount val="2"/>
                <c:pt idx="0">
                  <c:v>Legacy</c:v>
                </c:pt>
                <c:pt idx="1">
                  <c:v>Upgraded</c:v>
                </c:pt>
              </c:strCache>
            </c:strRef>
          </c:cat>
          <c:val>
            <c:numRef>
              <c:f>Drivers!$O$15:$O$16</c:f>
              <c:numCache>
                <c:formatCode>0.00E+00</c:formatCode>
                <c:ptCount val="2"/>
                <c:pt idx="0">
                  <c:v>6.734349335600001E-5</c:v>
                </c:pt>
                <c:pt idx="1">
                  <c:v>1.4768241480979995E-4</c:v>
                </c:pt>
              </c:numCache>
            </c:numRef>
          </c:val>
          <c:extLst>
            <c:ext xmlns:c16="http://schemas.microsoft.com/office/drawing/2014/chart" uri="{C3380CC4-5D6E-409C-BE32-E72D297353CC}">
              <c16:uniqueId val="{00000002-8E9E-47E8-BAFE-9708505C4D22}"/>
            </c:ext>
          </c:extLst>
        </c:ser>
        <c:ser>
          <c:idx val="11"/>
          <c:order val="11"/>
          <c:tx>
            <c:strRef>
              <c:f>Drivers!$P$14</c:f>
              <c:strCache>
                <c:ptCount val="1"/>
                <c:pt idx="0">
                  <c:v>Diesel</c:v>
                </c:pt>
              </c:strCache>
            </c:strRef>
          </c:tx>
          <c:spPr>
            <a:solidFill>
              <a:schemeClr val="accent6">
                <a:lumMod val="60000"/>
              </a:schemeClr>
            </a:solidFill>
            <a:ln>
              <a:noFill/>
            </a:ln>
            <a:effectLst/>
          </c:spPr>
          <c:invertIfNegative val="0"/>
          <c:cat>
            <c:strRef>
              <c:f>Drivers!$D$15:$D$16</c:f>
              <c:strCache>
                <c:ptCount val="2"/>
                <c:pt idx="0">
                  <c:v>Legacy</c:v>
                </c:pt>
                <c:pt idx="1">
                  <c:v>Upgraded</c:v>
                </c:pt>
              </c:strCache>
            </c:strRef>
          </c:cat>
          <c:val>
            <c:numRef>
              <c:f>Drivers!$P$15:$P$16</c:f>
              <c:numCache>
                <c:formatCode>0.00E+00</c:formatCode>
                <c:ptCount val="2"/>
                <c:pt idx="0">
                  <c:v>1.18853E-5</c:v>
                </c:pt>
                <c:pt idx="1">
                  <c:v>5.7303259999999997E-8</c:v>
                </c:pt>
              </c:numCache>
            </c:numRef>
          </c:val>
          <c:extLst>
            <c:ext xmlns:c16="http://schemas.microsoft.com/office/drawing/2014/chart" uri="{C3380CC4-5D6E-409C-BE32-E72D297353CC}">
              <c16:uniqueId val="{00000003-8E9E-47E8-BAFE-9708505C4D22}"/>
            </c:ext>
          </c:extLst>
        </c:ser>
        <c:dLbls>
          <c:showLegendKey val="0"/>
          <c:showVal val="0"/>
          <c:showCatName val="0"/>
          <c:showSerName val="0"/>
          <c:showPercent val="0"/>
          <c:showBubbleSize val="0"/>
        </c:dLbls>
        <c:gapWidth val="150"/>
        <c:overlap val="100"/>
        <c:axId val="309618656"/>
        <c:axId val="309620616"/>
      </c:barChart>
      <c:scatterChart>
        <c:scatterStyle val="lineMarker"/>
        <c:varyColors val="0"/>
        <c:ser>
          <c:idx val="12"/>
          <c:order val="12"/>
          <c:tx>
            <c:strRef>
              <c:f>Drivers!$Q$14</c:f>
              <c:strCache>
                <c:ptCount val="1"/>
                <c:pt idx="0">
                  <c:v>Total</c:v>
                </c:pt>
              </c:strCache>
            </c:strRef>
          </c:tx>
          <c:spPr>
            <a:ln w="25400" cap="rnd">
              <a:no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dLbls>
            <c:dLbl>
              <c:idx val="0"/>
              <c:layout>
                <c:manualLayout>
                  <c:x val="0"/>
                  <c:y val="-6.1457199129721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9E-47E8-BAFE-9708505C4D22}"/>
                </c:ext>
              </c:extLst>
            </c:dLbl>
            <c:dLbl>
              <c:idx val="1"/>
              <c:layout>
                <c:manualLayout>
                  <c:x val="6.6901688846215408E-3"/>
                  <c:y val="-6.5853658536585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9E-47E8-BAFE-9708505C4D2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Drivers!$D$15:$D$16</c:f>
              <c:strCache>
                <c:ptCount val="2"/>
                <c:pt idx="0">
                  <c:v>Legacy</c:v>
                </c:pt>
                <c:pt idx="1">
                  <c:v>Upgraded</c:v>
                </c:pt>
              </c:strCache>
            </c:strRef>
          </c:xVal>
          <c:yVal>
            <c:numRef>
              <c:f>Drivers!$Q$15:$Q$16</c:f>
              <c:numCache>
                <c:formatCode>0.0000</c:formatCode>
                <c:ptCount val="2"/>
                <c:pt idx="0">
                  <c:v>2.4416490240000002E-2</c:v>
                </c:pt>
                <c:pt idx="1">
                  <c:v>1.5439647920000002E-2</c:v>
                </c:pt>
              </c:numCache>
            </c:numRef>
          </c:yVal>
          <c:smooth val="0"/>
          <c:extLst>
            <c:ext xmlns:c16="http://schemas.microsoft.com/office/drawing/2014/chart" uri="{C3380CC4-5D6E-409C-BE32-E72D297353CC}">
              <c16:uniqueId val="{00000004-8E9E-47E8-BAFE-9708505C4D22}"/>
            </c:ext>
          </c:extLst>
        </c:ser>
        <c:dLbls>
          <c:showLegendKey val="0"/>
          <c:showVal val="0"/>
          <c:showCatName val="0"/>
          <c:showSerName val="0"/>
          <c:showPercent val="0"/>
          <c:showBubbleSize val="0"/>
        </c:dLbls>
        <c:axId val="309618656"/>
        <c:axId val="309620616"/>
      </c:scatterChart>
      <c:catAx>
        <c:axId val="3096186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9620616"/>
        <c:crosses val="autoZero"/>
        <c:auto val="1"/>
        <c:lblAlgn val="ctr"/>
        <c:lblOffset val="100"/>
        <c:noMultiLvlLbl val="0"/>
      </c:catAx>
      <c:valAx>
        <c:axId val="309620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1200"/>
                  <a:t>kg N eq/m</a:t>
                </a:r>
                <a:r>
                  <a:rPr lang="en-US" sz="1200" baseline="30000"/>
                  <a:t>3</a:t>
                </a:r>
                <a:r>
                  <a:rPr lang="en-US" sz="1200"/>
                  <a:t> wastewater treated</a:t>
                </a:r>
              </a:p>
            </c:rich>
          </c:tx>
          <c:layout>
            <c:manualLayout>
              <c:xMode val="edge"/>
              <c:yMode val="edge"/>
              <c:x val="1.2074959161573334E-2"/>
              <c:y val="9.2563257707252933E-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9618656"/>
        <c:crosses val="autoZero"/>
        <c:crossBetween val="between"/>
      </c:valAx>
      <c:spPr>
        <a:noFill/>
        <a:ln>
          <a:noFill/>
        </a:ln>
        <a:effectLst/>
      </c:spPr>
    </c:plotArea>
    <c:legend>
      <c:legendPos val="b"/>
      <c:layout>
        <c:manualLayout>
          <c:xMode val="edge"/>
          <c:yMode val="edge"/>
          <c:x val="7.922802864032169E-2"/>
          <c:y val="0.85700606844409077"/>
          <c:w val="0.89035375102053604"/>
          <c:h val="0.1154977722400892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ADCharts!$B$103</c:f>
              <c:strCache>
                <c:ptCount val="1"/>
                <c:pt idx="0">
                  <c:v>Low Emissions</c:v>
                </c:pt>
              </c:strCache>
            </c:strRef>
          </c:tx>
          <c:spPr>
            <a:solidFill>
              <a:schemeClr val="accent1"/>
            </a:solidFill>
            <a:ln>
              <a:noFill/>
            </a:ln>
            <a:effectLst/>
          </c:spPr>
          <c:invertIfNegative val="0"/>
          <c:cat>
            <c:strRef>
              <c:f>ADCharts!$C$102:$L$102</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ADCharts!$C$103:$L$103</c:f>
              <c:numCache>
                <c:formatCode>0%</c:formatCode>
                <c:ptCount val="10"/>
                <c:pt idx="0">
                  <c:v>1.0000000000000002</c:v>
                </c:pt>
                <c:pt idx="1">
                  <c:v>-0.10758230113000553</c:v>
                </c:pt>
                <c:pt idx="2">
                  <c:v>-4.1721535741785359E-2</c:v>
                </c:pt>
                <c:pt idx="3">
                  <c:v>-7.8648725622333576E-2</c:v>
                </c:pt>
                <c:pt idx="4">
                  <c:v>-0.47565720718605997</c:v>
                </c:pt>
                <c:pt idx="5">
                  <c:v>-0.38761205284236511</c:v>
                </c:pt>
                <c:pt idx="6">
                  <c:v>-0.42186980866071333</c:v>
                </c:pt>
                <c:pt idx="7">
                  <c:v>-1.0085318338501057</c:v>
                </c:pt>
                <c:pt idx="8">
                  <c:v>-0.8678824908911128</c:v>
                </c:pt>
                <c:pt idx="9">
                  <c:v>-0.88567498328480365</c:v>
                </c:pt>
              </c:numCache>
            </c:numRef>
          </c:val>
          <c:extLst>
            <c:ext xmlns:c16="http://schemas.microsoft.com/office/drawing/2014/chart" uri="{C3380CC4-5D6E-409C-BE32-E72D297353CC}">
              <c16:uniqueId val="{00000000-9E94-4D12-99DC-6EAACA3F4731}"/>
            </c:ext>
          </c:extLst>
        </c:ser>
        <c:ser>
          <c:idx val="1"/>
          <c:order val="1"/>
          <c:tx>
            <c:strRef>
              <c:f>ADCharts!$B$104</c:f>
              <c:strCache>
                <c:ptCount val="1"/>
                <c:pt idx="0">
                  <c:v>Base Emissions</c:v>
                </c:pt>
              </c:strCache>
            </c:strRef>
          </c:tx>
          <c:spPr>
            <a:solidFill>
              <a:schemeClr val="accent2"/>
            </a:solidFill>
            <a:ln>
              <a:noFill/>
            </a:ln>
            <a:effectLst/>
          </c:spPr>
          <c:invertIfNegative val="0"/>
          <c:cat>
            <c:strRef>
              <c:f>ADCharts!$C$102:$L$102</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ADCharts!$C$104:$L$104</c:f>
              <c:numCache>
                <c:formatCode>0%</c:formatCode>
                <c:ptCount val="10"/>
                <c:pt idx="0">
                  <c:v>1.0000000000000002</c:v>
                </c:pt>
                <c:pt idx="1">
                  <c:v>-0.10775956249260284</c:v>
                </c:pt>
                <c:pt idx="2">
                  <c:v>-3.3768461352219517E-2</c:v>
                </c:pt>
                <c:pt idx="3">
                  <c:v>-7.8778313669102887E-2</c:v>
                </c:pt>
                <c:pt idx="4">
                  <c:v>-0.4684191205555579</c:v>
                </c:pt>
                <c:pt idx="5">
                  <c:v>-0.38022889584373409</c:v>
                </c:pt>
                <c:pt idx="6">
                  <c:v>-0.42256491572141419</c:v>
                </c:pt>
                <c:pt idx="7">
                  <c:v>-1.0021717548604878</c:v>
                </c:pt>
                <c:pt idx="8">
                  <c:v>-0.86931248477759748</c:v>
                </c:pt>
                <c:pt idx="9">
                  <c:v>-0.88713429353106621</c:v>
                </c:pt>
              </c:numCache>
            </c:numRef>
          </c:val>
          <c:extLst>
            <c:ext xmlns:c16="http://schemas.microsoft.com/office/drawing/2014/chart" uri="{C3380CC4-5D6E-409C-BE32-E72D297353CC}">
              <c16:uniqueId val="{00000001-9E94-4D12-99DC-6EAACA3F4731}"/>
            </c:ext>
          </c:extLst>
        </c:ser>
        <c:ser>
          <c:idx val="2"/>
          <c:order val="2"/>
          <c:tx>
            <c:strRef>
              <c:f>ADCharts!$B$105</c:f>
              <c:strCache>
                <c:ptCount val="1"/>
                <c:pt idx="0">
                  <c:v>High Emissions</c:v>
                </c:pt>
              </c:strCache>
            </c:strRef>
          </c:tx>
          <c:spPr>
            <a:solidFill>
              <a:schemeClr val="accent3"/>
            </a:solidFill>
            <a:ln>
              <a:noFill/>
            </a:ln>
            <a:effectLst/>
          </c:spPr>
          <c:invertIfNegative val="0"/>
          <c:cat>
            <c:strRef>
              <c:f>ADCharts!$C$102:$L$102</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ADCharts!$C$105:$L$105</c:f>
              <c:numCache>
                <c:formatCode>0%</c:formatCode>
                <c:ptCount val="10"/>
                <c:pt idx="0">
                  <c:v>0.99999999999999989</c:v>
                </c:pt>
                <c:pt idx="1">
                  <c:v>-9.9858983311908914E-2</c:v>
                </c:pt>
                <c:pt idx="2">
                  <c:v>-3.3809509551575925E-2</c:v>
                </c:pt>
                <c:pt idx="3">
                  <c:v>-7.0842505519374668E-2</c:v>
                </c:pt>
                <c:pt idx="4">
                  <c:v>-0.46898852054220025</c:v>
                </c:pt>
                <c:pt idx="5">
                  <c:v>-0.3726595243955223</c:v>
                </c:pt>
                <c:pt idx="6">
                  <c:v>-0.41504700700837954</c:v>
                </c:pt>
                <c:pt idx="7">
                  <c:v>-0.9953584034807923</c:v>
                </c:pt>
                <c:pt idx="8">
                  <c:v>-0.86233763258956397</c:v>
                </c:pt>
                <c:pt idx="9">
                  <c:v>-0.8801811051420132</c:v>
                </c:pt>
              </c:numCache>
            </c:numRef>
          </c:val>
          <c:extLst>
            <c:ext xmlns:c16="http://schemas.microsoft.com/office/drawing/2014/chart" uri="{C3380CC4-5D6E-409C-BE32-E72D297353CC}">
              <c16:uniqueId val="{00000002-9E94-4D12-99DC-6EAACA3F4731}"/>
            </c:ext>
          </c:extLst>
        </c:ser>
        <c:dLbls>
          <c:showLegendKey val="0"/>
          <c:showVal val="0"/>
          <c:showCatName val="0"/>
          <c:showSerName val="0"/>
          <c:showPercent val="0"/>
          <c:showBubbleSize val="0"/>
        </c:dLbls>
        <c:gapWidth val="219"/>
        <c:overlap val="-27"/>
        <c:axId val="950975967"/>
        <c:axId val="950992191"/>
      </c:barChart>
      <c:catAx>
        <c:axId val="950975967"/>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Scenario Names: Feedstock-AD Scenario</a:t>
                </a:r>
              </a:p>
            </c:rich>
          </c:tx>
          <c:layout>
            <c:manualLayout>
              <c:xMode val="edge"/>
              <c:yMode val="edge"/>
              <c:x val="0.57242966530010186"/>
              <c:y val="0.8849578407603682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950992191"/>
        <c:crosses val="autoZero"/>
        <c:auto val="1"/>
        <c:lblAlgn val="ctr"/>
        <c:lblOffset val="100"/>
        <c:noMultiLvlLbl val="0"/>
      </c:catAx>
      <c:valAx>
        <c:axId val="9509921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Relattive Percent of Legacy System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950975967"/>
        <c:crosses val="autoZero"/>
        <c:crossBetween val="between"/>
      </c:valAx>
      <c:spPr>
        <a:noFill/>
        <a:ln>
          <a:noFill/>
        </a:ln>
        <a:effectLst/>
      </c:spPr>
    </c:plotArea>
    <c:legend>
      <c:legendPos val="b"/>
      <c:layout>
        <c:manualLayout>
          <c:xMode val="edge"/>
          <c:yMode val="edge"/>
          <c:x val="6.6592481724908351E-2"/>
          <c:y val="0.88786428944338358"/>
          <c:w val="0.43338973124227242"/>
          <c:h val="5.763979775007688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mn-lt"/>
          <a:cs typeface="Times New Roman" panose="02020603050405020304" pitchFamily="18"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ADCharts!$B$136</c:f>
              <c:strCache>
                <c:ptCount val="1"/>
                <c:pt idx="0">
                  <c:v>Low Emissions</c:v>
                </c:pt>
              </c:strCache>
            </c:strRef>
          </c:tx>
          <c:spPr>
            <a:solidFill>
              <a:schemeClr val="accent1"/>
            </a:solidFill>
            <a:ln>
              <a:noFill/>
            </a:ln>
            <a:effectLst/>
          </c:spPr>
          <c:invertIfNegative val="0"/>
          <c:cat>
            <c:strRef>
              <c:f>ADCharts!$C$135:$L$135</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ADCharts!$C$136:$L$136</c:f>
              <c:numCache>
                <c:formatCode>0%</c:formatCode>
                <c:ptCount val="10"/>
                <c:pt idx="0">
                  <c:v>0.99999999999999989</c:v>
                </c:pt>
                <c:pt idx="1">
                  <c:v>1.5455438686394487</c:v>
                </c:pt>
                <c:pt idx="2">
                  <c:v>1.0339019486074859</c:v>
                </c:pt>
                <c:pt idx="3">
                  <c:v>2.3800631440892506E-2</c:v>
                </c:pt>
                <c:pt idx="4">
                  <c:v>1.3566023355496009</c:v>
                </c:pt>
                <c:pt idx="5">
                  <c:v>0.39770244976483821</c:v>
                </c:pt>
                <c:pt idx="6">
                  <c:v>-0.34986884790265216</c:v>
                </c:pt>
                <c:pt idx="7">
                  <c:v>0.88948372975719481</c:v>
                </c:pt>
                <c:pt idx="8">
                  <c:v>-0.12611989559945638</c:v>
                </c:pt>
                <c:pt idx="9">
                  <c:v>-1.1428461307959885</c:v>
                </c:pt>
              </c:numCache>
            </c:numRef>
          </c:val>
          <c:extLst>
            <c:ext xmlns:c16="http://schemas.microsoft.com/office/drawing/2014/chart" uri="{C3380CC4-5D6E-409C-BE32-E72D297353CC}">
              <c16:uniqueId val="{00000000-B983-42F3-9539-1FC3864D631A}"/>
            </c:ext>
          </c:extLst>
        </c:ser>
        <c:ser>
          <c:idx val="1"/>
          <c:order val="1"/>
          <c:tx>
            <c:strRef>
              <c:f>ADCharts!$B$137</c:f>
              <c:strCache>
                <c:ptCount val="1"/>
                <c:pt idx="0">
                  <c:v>Base Emissions</c:v>
                </c:pt>
              </c:strCache>
            </c:strRef>
          </c:tx>
          <c:spPr>
            <a:solidFill>
              <a:schemeClr val="accent2"/>
            </a:solidFill>
            <a:ln>
              <a:noFill/>
            </a:ln>
            <a:effectLst/>
          </c:spPr>
          <c:invertIfNegative val="0"/>
          <c:cat>
            <c:strRef>
              <c:f>ADCharts!$C$135:$L$135</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ADCharts!$C$137:$L$137</c:f>
              <c:numCache>
                <c:formatCode>0%</c:formatCode>
                <c:ptCount val="10"/>
                <c:pt idx="0">
                  <c:v>0.99999999999999989</c:v>
                </c:pt>
                <c:pt idx="1">
                  <c:v>1.5723925203983125</c:v>
                </c:pt>
                <c:pt idx="2">
                  <c:v>1.0527005999374055</c:v>
                </c:pt>
                <c:pt idx="3">
                  <c:v>2.7260565025544858E-2</c:v>
                </c:pt>
                <c:pt idx="4">
                  <c:v>1.3820170856530762</c:v>
                </c:pt>
                <c:pt idx="5">
                  <c:v>0.40817563487130631</c:v>
                </c:pt>
                <c:pt idx="6">
                  <c:v>-0.35081130403734545</c:v>
                </c:pt>
                <c:pt idx="7">
                  <c:v>0.90984518881938803</c:v>
                </c:pt>
                <c:pt idx="8">
                  <c:v>-0.12183776564091039</c:v>
                </c:pt>
                <c:pt idx="9">
                  <c:v>-1.1542072759491664</c:v>
                </c:pt>
              </c:numCache>
            </c:numRef>
          </c:val>
          <c:extLst>
            <c:ext xmlns:c16="http://schemas.microsoft.com/office/drawing/2014/chart" uri="{C3380CC4-5D6E-409C-BE32-E72D297353CC}">
              <c16:uniqueId val="{00000001-B983-42F3-9539-1FC3864D631A}"/>
            </c:ext>
          </c:extLst>
        </c:ser>
        <c:ser>
          <c:idx val="2"/>
          <c:order val="2"/>
          <c:tx>
            <c:strRef>
              <c:f>ADCharts!$B$138</c:f>
              <c:strCache>
                <c:ptCount val="1"/>
                <c:pt idx="0">
                  <c:v>High Emissions</c:v>
                </c:pt>
              </c:strCache>
            </c:strRef>
          </c:tx>
          <c:spPr>
            <a:solidFill>
              <a:schemeClr val="accent3"/>
            </a:solidFill>
            <a:ln>
              <a:noFill/>
            </a:ln>
            <a:effectLst/>
          </c:spPr>
          <c:invertIfNegative val="0"/>
          <c:cat>
            <c:strRef>
              <c:f>ADCharts!$C$135:$L$135</c:f>
              <c:strCache>
                <c:ptCount val="10"/>
                <c:pt idx="0">
                  <c:v>Legacy</c:v>
                </c:pt>
                <c:pt idx="1">
                  <c:v>Base-Low</c:v>
                </c:pt>
                <c:pt idx="2">
                  <c:v>Base</c:v>
                </c:pt>
                <c:pt idx="3">
                  <c:v>Base-High</c:v>
                </c:pt>
                <c:pt idx="4">
                  <c:v>Medium-Low</c:v>
                </c:pt>
                <c:pt idx="5">
                  <c:v>Medium-Base</c:v>
                </c:pt>
                <c:pt idx="6">
                  <c:v>Medium-High</c:v>
                </c:pt>
                <c:pt idx="7">
                  <c:v>High-Low</c:v>
                </c:pt>
                <c:pt idx="8">
                  <c:v>High-Base</c:v>
                </c:pt>
                <c:pt idx="9">
                  <c:v>High-High</c:v>
                </c:pt>
              </c:strCache>
            </c:strRef>
          </c:cat>
          <c:val>
            <c:numRef>
              <c:f>ADCharts!$C$138:$L$138</c:f>
              <c:numCache>
                <c:formatCode>0%</c:formatCode>
                <c:ptCount val="10"/>
                <c:pt idx="0">
                  <c:v>0.99999999999999978</c:v>
                </c:pt>
                <c:pt idx="1">
                  <c:v>1.5937493383494334</c:v>
                </c:pt>
                <c:pt idx="2">
                  <c:v>1.0678655682060043</c:v>
                </c:pt>
                <c:pt idx="3">
                  <c:v>3.0780820101250592E-2</c:v>
                </c:pt>
                <c:pt idx="4">
                  <c:v>1.4026980856429345</c:v>
                </c:pt>
                <c:pt idx="5">
                  <c:v>0.41740205064315222</c:v>
                </c:pt>
                <c:pt idx="6">
                  <c:v>-0.3502697305591741</c:v>
                </c:pt>
                <c:pt idx="7">
                  <c:v>0.92727805593412771</c:v>
                </c:pt>
                <c:pt idx="8">
                  <c:v>-0.11680486573647432</c:v>
                </c:pt>
                <c:pt idx="9">
                  <c:v>-1.1611073161001453</c:v>
                </c:pt>
              </c:numCache>
            </c:numRef>
          </c:val>
          <c:extLst>
            <c:ext xmlns:c16="http://schemas.microsoft.com/office/drawing/2014/chart" uri="{C3380CC4-5D6E-409C-BE32-E72D297353CC}">
              <c16:uniqueId val="{00000002-B983-42F3-9539-1FC3864D631A}"/>
            </c:ext>
          </c:extLst>
        </c:ser>
        <c:dLbls>
          <c:showLegendKey val="0"/>
          <c:showVal val="0"/>
          <c:showCatName val="0"/>
          <c:showSerName val="0"/>
          <c:showPercent val="0"/>
          <c:showBubbleSize val="0"/>
        </c:dLbls>
        <c:gapWidth val="219"/>
        <c:overlap val="-27"/>
        <c:axId val="1339508160"/>
        <c:axId val="1339508992"/>
      </c:barChart>
      <c:catAx>
        <c:axId val="133950816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Scenario Names: Feedstock-AD Scenario</a:t>
                </a:r>
              </a:p>
            </c:rich>
          </c:tx>
          <c:layout>
            <c:manualLayout>
              <c:xMode val="edge"/>
              <c:yMode val="edge"/>
              <c:x val="0.57597392943331749"/>
              <c:y val="0.9009882588205886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1339508992"/>
        <c:crosses val="autoZero"/>
        <c:auto val="1"/>
        <c:lblAlgn val="ctr"/>
        <c:lblOffset val="100"/>
        <c:noMultiLvlLbl val="0"/>
      </c:catAx>
      <c:valAx>
        <c:axId val="133950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r>
                  <a:rPr lang="en-US"/>
                  <a:t>Relative Percent of Legacy System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crossAx val="1339508160"/>
        <c:crosses val="autoZero"/>
        <c:crossBetween val="between"/>
      </c:valAx>
      <c:spPr>
        <a:noFill/>
        <a:ln>
          <a:noFill/>
        </a:ln>
        <a:effectLst/>
      </c:spPr>
    </c:plotArea>
    <c:legend>
      <c:legendPos val="b"/>
      <c:layout>
        <c:manualLayout>
          <c:xMode val="edge"/>
          <c:yMode val="edge"/>
          <c:x val="6.8697352428261887E-2"/>
          <c:y val="0.91460185123918336"/>
          <c:w val="0.42233683876763728"/>
          <c:h val="5.92543579111434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mn-lt"/>
          <a:cs typeface="Times New Roman" panose="02020603050405020304" pitchFamily="18"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Compost_Amendment!$F$111</c:f>
              <c:strCache>
                <c:ptCount val="1"/>
                <c:pt idx="0">
                  <c:v>44%</c:v>
                </c:pt>
              </c:strCache>
            </c:strRef>
          </c:tx>
          <c:spPr>
            <a:solidFill>
              <a:schemeClr val="accent2"/>
            </a:solidFill>
            <a:ln>
              <a:noFill/>
            </a:ln>
            <a:effectLst/>
          </c:spPr>
          <c:invertIfNegative val="0"/>
          <c:cat>
            <c:multiLvlStrRef>
              <c:f>Compost_Amendment!$F$87:$X$88</c:f>
              <c:multiLvlStrCache>
                <c:ptCount val="19"/>
                <c:lvl>
                  <c:pt idx="0">
                    <c:v>Legacy</c:v>
                  </c:pt>
                  <c:pt idx="1">
                    <c:v>Base_Low</c:v>
                  </c:pt>
                  <c:pt idx="2">
                    <c:v>Base_Low</c:v>
                  </c:pt>
                  <c:pt idx="3">
                    <c:v>Base</c:v>
                  </c:pt>
                  <c:pt idx="4">
                    <c:v>Base</c:v>
                  </c:pt>
                  <c:pt idx="5">
                    <c:v>Base_High</c:v>
                  </c:pt>
                  <c:pt idx="6">
                    <c:v>Base_High</c:v>
                  </c:pt>
                  <c:pt idx="7">
                    <c:v>Medium_Low</c:v>
                  </c:pt>
                  <c:pt idx="8">
                    <c:v>Medium_Low</c:v>
                  </c:pt>
                  <c:pt idx="9">
                    <c:v>Medium_Base</c:v>
                  </c:pt>
                  <c:pt idx="10">
                    <c:v>Medium_Base</c:v>
                  </c:pt>
                  <c:pt idx="11">
                    <c:v>Medium_High</c:v>
                  </c:pt>
                  <c:pt idx="12">
                    <c:v>Medium_High</c:v>
                  </c:pt>
                  <c:pt idx="13">
                    <c:v>High_Low</c:v>
                  </c:pt>
                  <c:pt idx="14">
                    <c:v>High_Low</c:v>
                  </c:pt>
                  <c:pt idx="15">
                    <c:v>High_Base</c:v>
                  </c:pt>
                  <c:pt idx="16">
                    <c:v>High_Base</c:v>
                  </c:pt>
                  <c:pt idx="17">
                    <c:v>High_High</c:v>
                  </c:pt>
                  <c:pt idx="18">
                    <c:v>High_High</c:v>
                  </c:pt>
                </c:lvl>
                <c:lvl>
                  <c:pt idx="1">
                    <c:v>With Amendment</c:v>
                  </c:pt>
                  <c:pt idx="2">
                    <c:v>Without Amendment</c:v>
                  </c:pt>
                  <c:pt idx="3">
                    <c:v>With Amendment</c:v>
                  </c:pt>
                  <c:pt idx="4">
                    <c:v>Without Amendment</c:v>
                  </c:pt>
                  <c:pt idx="5">
                    <c:v>With Amendment</c:v>
                  </c:pt>
                  <c:pt idx="6">
                    <c:v>Without Amendment</c:v>
                  </c:pt>
                  <c:pt idx="7">
                    <c:v>With Amendment</c:v>
                  </c:pt>
                  <c:pt idx="8">
                    <c:v>Without Amendment</c:v>
                  </c:pt>
                  <c:pt idx="9">
                    <c:v>With Amendment</c:v>
                  </c:pt>
                  <c:pt idx="10">
                    <c:v>Without Amendment</c:v>
                  </c:pt>
                  <c:pt idx="11">
                    <c:v>With Amendment</c:v>
                  </c:pt>
                  <c:pt idx="12">
                    <c:v>Without Amendment</c:v>
                  </c:pt>
                  <c:pt idx="13">
                    <c:v>With Amendment</c:v>
                  </c:pt>
                  <c:pt idx="14">
                    <c:v>Without Amendment</c:v>
                  </c:pt>
                  <c:pt idx="15">
                    <c:v>With Amendment</c:v>
                  </c:pt>
                  <c:pt idx="16">
                    <c:v>Without Amendment</c:v>
                  </c:pt>
                  <c:pt idx="17">
                    <c:v>With Amendment</c:v>
                  </c:pt>
                  <c:pt idx="18">
                    <c:v>Without Amendment</c:v>
                  </c:pt>
                </c:lvl>
              </c:multiLvlStrCache>
            </c:multiLvlStrRef>
          </c:cat>
          <c:val>
            <c:numRef>
              <c:f>Compost_Amendment!$F$111:$X$111</c:f>
              <c:numCache>
                <c:formatCode>0%</c:formatCode>
                <c:ptCount val="19"/>
                <c:pt idx="0">
                  <c:v>0.43693903266453432</c:v>
                </c:pt>
                <c:pt idx="1">
                  <c:v>0.70912409938289545</c:v>
                </c:pt>
                <c:pt idx="2">
                  <c:v>0.52398953184065122</c:v>
                </c:pt>
                <c:pt idx="3">
                  <c:v>0.60306936771025166</c:v>
                </c:pt>
                <c:pt idx="4">
                  <c:v>0.43185357500565413</c:v>
                </c:pt>
                <c:pt idx="5">
                  <c:v>0.44924881263933319</c:v>
                </c:pt>
                <c:pt idx="6">
                  <c:v>0.29319569642337889</c:v>
                </c:pt>
                <c:pt idx="7">
                  <c:v>0.84078058867241767</c:v>
                </c:pt>
                <c:pt idx="8">
                  <c:v>0.58760621627734155</c:v>
                </c:pt>
                <c:pt idx="9">
                  <c:v>0.65772026751962775</c:v>
                </c:pt>
                <c:pt idx="10">
                  <c:v>0.41960518238506028</c:v>
                </c:pt>
                <c:pt idx="11">
                  <c:v>0.54952020936318702</c:v>
                </c:pt>
                <c:pt idx="12">
                  <c:v>0.32553713934929401</c:v>
                </c:pt>
                <c:pt idx="13">
                  <c:v>1.0000000000000002</c:v>
                </c:pt>
                <c:pt idx="14">
                  <c:v>0.64838292785370422</c:v>
                </c:pt>
                <c:pt idx="15">
                  <c:v>0.80690446189137666</c:v>
                </c:pt>
                <c:pt idx="16">
                  <c:v>0.4733643501017738</c:v>
                </c:pt>
                <c:pt idx="17">
                  <c:v>0.63958838163548826</c:v>
                </c:pt>
                <c:pt idx="18">
                  <c:v>0.33908435914833129</c:v>
                </c:pt>
              </c:numCache>
            </c:numRef>
          </c:val>
          <c:extLst>
            <c:ext xmlns:c16="http://schemas.microsoft.com/office/drawing/2014/chart" uri="{C3380CC4-5D6E-409C-BE32-E72D297353CC}">
              <c16:uniqueId val="{00000001-70CD-474D-A4A2-C903B4CD4D6B}"/>
            </c:ext>
          </c:extLst>
        </c:ser>
        <c:dLbls>
          <c:showLegendKey val="0"/>
          <c:showVal val="0"/>
          <c:showCatName val="0"/>
          <c:showSerName val="0"/>
          <c:showPercent val="0"/>
          <c:showBubbleSize val="0"/>
        </c:dLbls>
        <c:gapWidth val="219"/>
        <c:overlap val="-27"/>
        <c:axId val="794338544"/>
        <c:axId val="738592528"/>
      </c:barChart>
      <c:catAx>
        <c:axId val="7943385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38592528"/>
        <c:crosses val="autoZero"/>
        <c:auto val="1"/>
        <c:lblAlgn val="ctr"/>
        <c:lblOffset val="100"/>
        <c:noMultiLvlLbl val="0"/>
      </c:catAx>
      <c:valAx>
        <c:axId val="738592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a:t>Percentage</a:t>
                </a:r>
                <a:r>
                  <a:rPr lang="en-US" baseline="0"/>
                  <a:t> of Legacy System Impact</a:t>
                </a:r>
                <a:endParaRPr lang="en-US"/>
              </a:p>
            </c:rich>
          </c:tx>
          <c:layout>
            <c:manualLayout>
              <c:xMode val="edge"/>
              <c:yMode val="edge"/>
              <c:x val="4.1237113402061857E-3"/>
              <c:y val="8.6713387391663829E-2"/>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794338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30626217249872E-2"/>
          <c:y val="7.3399916706943555E-2"/>
          <c:w val="0.89269821713340181"/>
          <c:h val="0.6386167781187192"/>
        </c:manualLayout>
      </c:layout>
      <c:barChart>
        <c:barDir val="col"/>
        <c:grouping val="stacked"/>
        <c:varyColors val="0"/>
        <c:ser>
          <c:idx val="0"/>
          <c:order val="0"/>
          <c:tx>
            <c:strRef>
              <c:f>Drivers!$E$22</c:f>
              <c:strCache>
                <c:ptCount val="1"/>
                <c:pt idx="0">
                  <c:v>Electricity</c:v>
                </c:pt>
              </c:strCache>
            </c:strRef>
          </c:tx>
          <c:spPr>
            <a:solidFill>
              <a:schemeClr val="accent1"/>
            </a:solidFill>
            <a:ln>
              <a:noFill/>
            </a:ln>
            <a:effectLst/>
          </c:spPr>
          <c:invertIfNegative val="0"/>
          <c:cat>
            <c:strRef>
              <c:f>Drivers!$D$23:$D$24</c:f>
              <c:strCache>
                <c:ptCount val="2"/>
                <c:pt idx="0">
                  <c:v>Legacy</c:v>
                </c:pt>
                <c:pt idx="1">
                  <c:v>Upgraded</c:v>
                </c:pt>
              </c:strCache>
            </c:strRef>
          </c:cat>
          <c:val>
            <c:numRef>
              <c:f>Drivers!$E$23:$E$24</c:f>
              <c:numCache>
                <c:formatCode>0.00</c:formatCode>
                <c:ptCount val="2"/>
                <c:pt idx="0">
                  <c:v>6.4712200000000006</c:v>
                </c:pt>
                <c:pt idx="1">
                  <c:v>9.524189999999999</c:v>
                </c:pt>
              </c:numCache>
            </c:numRef>
          </c:val>
          <c:extLst>
            <c:ext xmlns:c16="http://schemas.microsoft.com/office/drawing/2014/chart" uri="{C3380CC4-5D6E-409C-BE32-E72D297353CC}">
              <c16:uniqueId val="{00000000-26E1-49E1-96E3-E6164B84B90F}"/>
            </c:ext>
          </c:extLst>
        </c:ser>
        <c:ser>
          <c:idx val="1"/>
          <c:order val="1"/>
          <c:tx>
            <c:strRef>
              <c:f>Drivers!$F$22</c:f>
              <c:strCache>
                <c:ptCount val="1"/>
                <c:pt idx="0">
                  <c:v>Natural Gas</c:v>
                </c:pt>
              </c:strCache>
            </c:strRef>
          </c:tx>
          <c:spPr>
            <a:solidFill>
              <a:schemeClr val="accent2"/>
            </a:solidFill>
            <a:ln>
              <a:noFill/>
            </a:ln>
            <a:effectLst/>
          </c:spPr>
          <c:invertIfNegative val="0"/>
          <c:cat>
            <c:strRef>
              <c:f>Drivers!$D$23:$D$24</c:f>
              <c:strCache>
                <c:ptCount val="2"/>
                <c:pt idx="0">
                  <c:v>Legacy</c:v>
                </c:pt>
                <c:pt idx="1">
                  <c:v>Upgraded</c:v>
                </c:pt>
              </c:strCache>
            </c:strRef>
          </c:cat>
          <c:val>
            <c:numRef>
              <c:f>Drivers!$F$23:$F$24</c:f>
              <c:numCache>
                <c:formatCode>0.00</c:formatCode>
                <c:ptCount val="2"/>
                <c:pt idx="0">
                  <c:v>0.81969999999999998</c:v>
                </c:pt>
                <c:pt idx="1">
                  <c:v>1.98082</c:v>
                </c:pt>
              </c:numCache>
            </c:numRef>
          </c:val>
          <c:extLst>
            <c:ext xmlns:c16="http://schemas.microsoft.com/office/drawing/2014/chart" uri="{C3380CC4-5D6E-409C-BE32-E72D297353CC}">
              <c16:uniqueId val="{00000001-26E1-49E1-96E3-E6164B84B90F}"/>
            </c:ext>
          </c:extLst>
        </c:ser>
        <c:ser>
          <c:idx val="2"/>
          <c:order val="2"/>
          <c:tx>
            <c:strRef>
              <c:f>Drivers!$G$22</c:f>
              <c:strCache>
                <c:ptCount val="1"/>
                <c:pt idx="0">
                  <c:v>Chemicals</c:v>
                </c:pt>
              </c:strCache>
            </c:strRef>
          </c:tx>
          <c:spPr>
            <a:solidFill>
              <a:schemeClr val="tx1"/>
            </a:solidFill>
            <a:ln>
              <a:noFill/>
            </a:ln>
            <a:effectLst/>
          </c:spPr>
          <c:invertIfNegative val="0"/>
          <c:cat>
            <c:strRef>
              <c:f>Drivers!$D$23:$D$24</c:f>
              <c:strCache>
                <c:ptCount val="2"/>
                <c:pt idx="0">
                  <c:v>Legacy</c:v>
                </c:pt>
                <c:pt idx="1">
                  <c:v>Upgraded</c:v>
                </c:pt>
              </c:strCache>
            </c:strRef>
          </c:cat>
          <c:val>
            <c:numRef>
              <c:f>Drivers!$G$23:$G$24</c:f>
              <c:numCache>
                <c:formatCode>0.00</c:formatCode>
                <c:ptCount val="2"/>
                <c:pt idx="0">
                  <c:v>1.1334600000000001</c:v>
                </c:pt>
                <c:pt idx="1">
                  <c:v>0.86721000000000004</c:v>
                </c:pt>
              </c:numCache>
            </c:numRef>
          </c:val>
          <c:extLst>
            <c:ext xmlns:c16="http://schemas.microsoft.com/office/drawing/2014/chart" uri="{C3380CC4-5D6E-409C-BE32-E72D297353CC}">
              <c16:uniqueId val="{00000002-26E1-49E1-96E3-E6164B84B90F}"/>
            </c:ext>
          </c:extLst>
        </c:ser>
        <c:ser>
          <c:idx val="3"/>
          <c:order val="3"/>
          <c:tx>
            <c:strRef>
              <c:f>Drivers!$H$22</c:f>
              <c:strCache>
                <c:ptCount val="1"/>
                <c:pt idx="0">
                  <c:v>Unit Process Emissions</c:v>
                </c:pt>
              </c:strCache>
            </c:strRef>
          </c:tx>
          <c:spPr>
            <a:solidFill>
              <a:schemeClr val="accent4"/>
            </a:solidFill>
            <a:ln>
              <a:noFill/>
            </a:ln>
            <a:effectLst/>
          </c:spPr>
          <c:invertIfNegative val="0"/>
          <c:cat>
            <c:strRef>
              <c:f>Drivers!$D$23:$D$24</c:f>
              <c:strCache>
                <c:ptCount val="2"/>
                <c:pt idx="0">
                  <c:v>Legacy</c:v>
                </c:pt>
                <c:pt idx="1">
                  <c:v>Upgraded</c:v>
                </c:pt>
              </c:strCache>
            </c:strRef>
          </c:cat>
          <c:val>
            <c:numRef>
              <c:f>Drivers!$H$23:$H$24</c:f>
              <c:numCache>
                <c:formatCode>0.00</c:formatCode>
                <c:ptCount val="2"/>
                <c:pt idx="0">
                  <c:v>-1.5693799995594726E-6</c:v>
                </c:pt>
                <c:pt idx="1">
                  <c:v>-1.7757429999529228E-5</c:v>
                </c:pt>
              </c:numCache>
            </c:numRef>
          </c:val>
          <c:extLst>
            <c:ext xmlns:c16="http://schemas.microsoft.com/office/drawing/2014/chart" uri="{C3380CC4-5D6E-409C-BE32-E72D297353CC}">
              <c16:uniqueId val="{00000003-26E1-49E1-96E3-E6164B84B90F}"/>
            </c:ext>
          </c:extLst>
        </c:ser>
        <c:ser>
          <c:idx val="4"/>
          <c:order val="4"/>
          <c:tx>
            <c:strRef>
              <c:f>Drivers!$I$22</c:f>
              <c:strCache>
                <c:ptCount val="1"/>
                <c:pt idx="0">
                  <c:v>Effluent Release</c:v>
                </c:pt>
              </c:strCache>
            </c:strRef>
          </c:tx>
          <c:spPr>
            <a:solidFill>
              <a:schemeClr val="bg1">
                <a:lumMod val="75000"/>
              </a:schemeClr>
            </a:solidFill>
            <a:ln>
              <a:noFill/>
            </a:ln>
            <a:effectLst/>
          </c:spPr>
          <c:invertIfNegative val="0"/>
          <c:cat>
            <c:strRef>
              <c:f>Drivers!$D$23:$D$24</c:f>
              <c:strCache>
                <c:ptCount val="2"/>
                <c:pt idx="0">
                  <c:v>Legacy</c:v>
                </c:pt>
                <c:pt idx="1">
                  <c:v>Upgraded</c:v>
                </c:pt>
              </c:strCache>
            </c:strRef>
          </c:cat>
          <c:val>
            <c:numRef>
              <c:f>Drivers!$I$23:$I$24</c:f>
              <c:numCache>
                <c:formatCode>0.00</c:formatCode>
                <c:ptCount val="2"/>
                <c:pt idx="0">
                  <c:v>-1.0000000000000026E-5</c:v>
                </c:pt>
                <c:pt idx="1">
                  <c:v>-9.9999999999822453E-6</c:v>
                </c:pt>
              </c:numCache>
            </c:numRef>
          </c:val>
          <c:extLst>
            <c:ext xmlns:c16="http://schemas.microsoft.com/office/drawing/2014/chart" uri="{C3380CC4-5D6E-409C-BE32-E72D297353CC}">
              <c16:uniqueId val="{00000004-26E1-49E1-96E3-E6164B84B90F}"/>
            </c:ext>
          </c:extLst>
        </c:ser>
        <c:ser>
          <c:idx val="5"/>
          <c:order val="5"/>
          <c:tx>
            <c:strRef>
              <c:f>Drivers!$J$22</c:f>
              <c:strCache>
                <c:ptCount val="1"/>
                <c:pt idx="0">
                  <c:v>Transport</c:v>
                </c:pt>
              </c:strCache>
            </c:strRef>
          </c:tx>
          <c:spPr>
            <a:solidFill>
              <a:schemeClr val="accent6"/>
            </a:solidFill>
            <a:ln>
              <a:noFill/>
            </a:ln>
            <a:effectLst/>
          </c:spPr>
          <c:invertIfNegative val="0"/>
          <c:cat>
            <c:strRef>
              <c:f>Drivers!$D$23:$D$24</c:f>
              <c:strCache>
                <c:ptCount val="2"/>
                <c:pt idx="0">
                  <c:v>Legacy</c:v>
                </c:pt>
                <c:pt idx="1">
                  <c:v>Upgraded</c:v>
                </c:pt>
              </c:strCache>
            </c:strRef>
          </c:cat>
          <c:val>
            <c:numRef>
              <c:f>Drivers!$J$23:$J$24</c:f>
              <c:numCache>
                <c:formatCode>0.00</c:formatCode>
                <c:ptCount val="2"/>
                <c:pt idx="0">
                  <c:v>0.35979</c:v>
                </c:pt>
                <c:pt idx="1">
                  <c:v>3.5409199999999998</c:v>
                </c:pt>
              </c:numCache>
            </c:numRef>
          </c:val>
          <c:extLst>
            <c:ext xmlns:c16="http://schemas.microsoft.com/office/drawing/2014/chart" uri="{C3380CC4-5D6E-409C-BE32-E72D297353CC}">
              <c16:uniqueId val="{00000005-26E1-49E1-96E3-E6164B84B90F}"/>
            </c:ext>
          </c:extLst>
        </c:ser>
        <c:ser>
          <c:idx val="6"/>
          <c:order val="6"/>
          <c:tx>
            <c:strRef>
              <c:f>Drivers!$K$22</c:f>
              <c:strCache>
                <c:ptCount val="1"/>
                <c:pt idx="0">
                  <c:v>Landfill</c:v>
                </c:pt>
              </c:strCache>
            </c:strRef>
          </c:tx>
          <c:spPr>
            <a:solidFill>
              <a:schemeClr val="accent1">
                <a:lumMod val="60000"/>
              </a:schemeClr>
            </a:solidFill>
            <a:ln>
              <a:noFill/>
            </a:ln>
            <a:effectLst/>
          </c:spPr>
          <c:invertIfNegative val="0"/>
          <c:cat>
            <c:strRef>
              <c:f>Drivers!$D$23:$D$24</c:f>
              <c:strCache>
                <c:ptCount val="2"/>
                <c:pt idx="0">
                  <c:v>Legacy</c:v>
                </c:pt>
                <c:pt idx="1">
                  <c:v>Upgraded</c:v>
                </c:pt>
              </c:strCache>
            </c:strRef>
          </c:cat>
          <c:val>
            <c:numRef>
              <c:f>Drivers!$K$23:$K$24</c:f>
              <c:numCache>
                <c:formatCode>0.00</c:formatCode>
                <c:ptCount val="2"/>
                <c:pt idx="0">
                  <c:v>1.0000000000121023E-5</c:v>
                </c:pt>
                <c:pt idx="1">
                  <c:v>0</c:v>
                </c:pt>
              </c:numCache>
            </c:numRef>
          </c:val>
          <c:extLst>
            <c:ext xmlns:c16="http://schemas.microsoft.com/office/drawing/2014/chart" uri="{C3380CC4-5D6E-409C-BE32-E72D297353CC}">
              <c16:uniqueId val="{00000006-26E1-49E1-96E3-E6164B84B90F}"/>
            </c:ext>
          </c:extLst>
        </c:ser>
        <c:ser>
          <c:idx val="7"/>
          <c:order val="7"/>
          <c:tx>
            <c:strRef>
              <c:f>Drivers!$L$22</c:f>
              <c:strCache>
                <c:ptCount val="1"/>
                <c:pt idx="0">
                  <c:v>Composting</c:v>
                </c:pt>
              </c:strCache>
            </c:strRef>
          </c:tx>
          <c:spPr>
            <a:solidFill>
              <a:schemeClr val="accent2">
                <a:lumMod val="60000"/>
              </a:schemeClr>
            </a:solidFill>
            <a:ln>
              <a:noFill/>
            </a:ln>
            <a:effectLst/>
          </c:spPr>
          <c:invertIfNegative val="0"/>
          <c:cat>
            <c:strRef>
              <c:f>Drivers!$D$23:$D$24</c:f>
              <c:strCache>
                <c:ptCount val="2"/>
                <c:pt idx="0">
                  <c:v>Legacy</c:v>
                </c:pt>
                <c:pt idx="1">
                  <c:v>Upgraded</c:v>
                </c:pt>
              </c:strCache>
            </c:strRef>
          </c:cat>
          <c:val>
            <c:numRef>
              <c:f>Drivers!$L$23:$L$24</c:f>
              <c:numCache>
                <c:formatCode>0.00</c:formatCode>
                <c:ptCount val="2"/>
                <c:pt idx="0">
                  <c:v>0</c:v>
                </c:pt>
                <c:pt idx="1">
                  <c:v>0</c:v>
                </c:pt>
              </c:numCache>
            </c:numRef>
          </c:val>
          <c:extLst>
            <c:ext xmlns:c16="http://schemas.microsoft.com/office/drawing/2014/chart" uri="{C3380CC4-5D6E-409C-BE32-E72D297353CC}">
              <c16:uniqueId val="{00000007-26E1-49E1-96E3-E6164B84B90F}"/>
            </c:ext>
          </c:extLst>
        </c:ser>
        <c:ser>
          <c:idx val="8"/>
          <c:order val="8"/>
          <c:tx>
            <c:strRef>
              <c:f>Drivers!$M$22</c:f>
              <c:strCache>
                <c:ptCount val="1"/>
                <c:pt idx="0">
                  <c:v>Land Application</c:v>
                </c:pt>
              </c:strCache>
            </c:strRef>
          </c:tx>
          <c:spPr>
            <a:solidFill>
              <a:schemeClr val="accent3">
                <a:lumMod val="60000"/>
              </a:schemeClr>
            </a:solidFill>
            <a:ln w="25400">
              <a:noFill/>
            </a:ln>
            <a:effectLst/>
          </c:spPr>
          <c:invertIfNegative val="0"/>
          <c:cat>
            <c:strRef>
              <c:f>Drivers!$D$23:$D$24</c:f>
              <c:strCache>
                <c:ptCount val="2"/>
                <c:pt idx="0">
                  <c:v>Legacy</c:v>
                </c:pt>
                <c:pt idx="1">
                  <c:v>Upgraded</c:v>
                </c:pt>
              </c:strCache>
            </c:strRef>
          </c:cat>
          <c:val>
            <c:numRef>
              <c:f>Drivers!$M$23:$M$24</c:f>
              <c:numCache>
                <c:formatCode>0.00</c:formatCode>
                <c:ptCount val="2"/>
                <c:pt idx="0">
                  <c:v>0</c:v>
                </c:pt>
                <c:pt idx="1">
                  <c:v>-6.0994999999675059E-6</c:v>
                </c:pt>
              </c:numCache>
            </c:numRef>
          </c:val>
          <c:extLst>
            <c:ext xmlns:c16="http://schemas.microsoft.com/office/drawing/2014/chart" uri="{C3380CC4-5D6E-409C-BE32-E72D297353CC}">
              <c16:uniqueId val="{00000000-D36D-4EA2-BF88-E5500A39837E}"/>
            </c:ext>
          </c:extLst>
        </c:ser>
        <c:ser>
          <c:idx val="9"/>
          <c:order val="9"/>
          <c:tx>
            <c:strRef>
              <c:f>Drivers!$N$22</c:f>
              <c:strCache>
                <c:ptCount val="1"/>
                <c:pt idx="0">
                  <c:v>Avoided Products</c:v>
                </c:pt>
              </c:strCache>
            </c:strRef>
          </c:tx>
          <c:spPr>
            <a:solidFill>
              <a:schemeClr val="accent4">
                <a:lumMod val="60000"/>
              </a:schemeClr>
            </a:solidFill>
            <a:ln w="25400">
              <a:noFill/>
            </a:ln>
            <a:effectLst/>
          </c:spPr>
          <c:invertIfNegative val="0"/>
          <c:cat>
            <c:strRef>
              <c:f>Drivers!$D$23:$D$24</c:f>
              <c:strCache>
                <c:ptCount val="2"/>
                <c:pt idx="0">
                  <c:v>Legacy</c:v>
                </c:pt>
                <c:pt idx="1">
                  <c:v>Upgraded</c:v>
                </c:pt>
              </c:strCache>
            </c:strRef>
          </c:cat>
          <c:val>
            <c:numRef>
              <c:f>Drivers!$N$23:$N$24</c:f>
              <c:numCache>
                <c:formatCode>0.00</c:formatCode>
                <c:ptCount val="2"/>
                <c:pt idx="0">
                  <c:v>-0.67484</c:v>
                </c:pt>
                <c:pt idx="1">
                  <c:v>-6.9582200000000007</c:v>
                </c:pt>
              </c:numCache>
            </c:numRef>
          </c:val>
          <c:extLst>
            <c:ext xmlns:c16="http://schemas.microsoft.com/office/drawing/2014/chart" uri="{C3380CC4-5D6E-409C-BE32-E72D297353CC}">
              <c16:uniqueId val="{00000002-D36D-4EA2-BF88-E5500A39837E}"/>
            </c:ext>
          </c:extLst>
        </c:ser>
        <c:ser>
          <c:idx val="10"/>
          <c:order val="10"/>
          <c:tx>
            <c:strRef>
              <c:f>Drivers!$O$22</c:f>
              <c:strCache>
                <c:ptCount val="1"/>
                <c:pt idx="0">
                  <c:v>Infrastructure</c:v>
                </c:pt>
              </c:strCache>
            </c:strRef>
          </c:tx>
          <c:spPr>
            <a:solidFill>
              <a:schemeClr val="accent5">
                <a:lumMod val="60000"/>
              </a:schemeClr>
            </a:solidFill>
            <a:ln w="25400">
              <a:noFill/>
            </a:ln>
            <a:effectLst/>
          </c:spPr>
          <c:invertIfNegative val="0"/>
          <c:cat>
            <c:strRef>
              <c:f>Drivers!$D$23:$D$24</c:f>
              <c:strCache>
                <c:ptCount val="2"/>
                <c:pt idx="0">
                  <c:v>Legacy</c:v>
                </c:pt>
                <c:pt idx="1">
                  <c:v>Upgraded</c:v>
                </c:pt>
              </c:strCache>
            </c:strRef>
          </c:cat>
          <c:val>
            <c:numRef>
              <c:f>Drivers!$O$23:$O$24</c:f>
              <c:numCache>
                <c:formatCode>0.00</c:formatCode>
                <c:ptCount val="2"/>
                <c:pt idx="0">
                  <c:v>0.30164156938000009</c:v>
                </c:pt>
                <c:pt idx="1">
                  <c:v>0.59667775743000007</c:v>
                </c:pt>
              </c:numCache>
            </c:numRef>
          </c:val>
          <c:extLst>
            <c:ext xmlns:c16="http://schemas.microsoft.com/office/drawing/2014/chart" uri="{C3380CC4-5D6E-409C-BE32-E72D297353CC}">
              <c16:uniqueId val="{00000003-D36D-4EA2-BF88-E5500A39837E}"/>
            </c:ext>
          </c:extLst>
        </c:ser>
        <c:ser>
          <c:idx val="11"/>
          <c:order val="11"/>
          <c:tx>
            <c:strRef>
              <c:f>Drivers!$P$22</c:f>
              <c:strCache>
                <c:ptCount val="1"/>
                <c:pt idx="0">
                  <c:v>Diesel</c:v>
                </c:pt>
              </c:strCache>
            </c:strRef>
          </c:tx>
          <c:spPr>
            <a:solidFill>
              <a:schemeClr val="accent6">
                <a:lumMod val="60000"/>
              </a:schemeClr>
            </a:solidFill>
            <a:ln w="25400">
              <a:noFill/>
            </a:ln>
            <a:effectLst/>
          </c:spPr>
          <c:invertIfNegative val="0"/>
          <c:cat>
            <c:strRef>
              <c:f>Drivers!$D$23:$D$24</c:f>
              <c:strCache>
                <c:ptCount val="2"/>
                <c:pt idx="0">
                  <c:v>Legacy</c:v>
                </c:pt>
                <c:pt idx="1">
                  <c:v>Upgraded</c:v>
                </c:pt>
              </c:strCache>
            </c:strRef>
          </c:cat>
          <c:val>
            <c:numRef>
              <c:f>Drivers!$P$23:$P$24</c:f>
              <c:numCache>
                <c:formatCode>0.00</c:formatCode>
                <c:ptCount val="2"/>
                <c:pt idx="0">
                  <c:v>0.66330999999999996</c:v>
                </c:pt>
                <c:pt idx="1">
                  <c:v>9.3609949999999998E-4</c:v>
                </c:pt>
              </c:numCache>
            </c:numRef>
          </c:val>
          <c:extLst>
            <c:ext xmlns:c16="http://schemas.microsoft.com/office/drawing/2014/chart" uri="{C3380CC4-5D6E-409C-BE32-E72D297353CC}">
              <c16:uniqueId val="{00000004-D36D-4EA2-BF88-E5500A39837E}"/>
            </c:ext>
          </c:extLst>
        </c:ser>
        <c:dLbls>
          <c:showLegendKey val="0"/>
          <c:showVal val="0"/>
          <c:showCatName val="0"/>
          <c:showSerName val="0"/>
          <c:showPercent val="0"/>
          <c:showBubbleSize val="0"/>
        </c:dLbls>
        <c:gapWidth val="150"/>
        <c:overlap val="100"/>
        <c:axId val="310037248"/>
        <c:axId val="310037640"/>
      </c:barChart>
      <c:scatterChart>
        <c:scatterStyle val="lineMarker"/>
        <c:varyColors val="0"/>
        <c:ser>
          <c:idx val="12"/>
          <c:order val="12"/>
          <c:tx>
            <c:strRef>
              <c:f>Drivers!$Q$22</c:f>
              <c:strCache>
                <c:ptCount val="1"/>
                <c:pt idx="0">
                  <c:v>Total</c:v>
                </c:pt>
              </c:strCache>
            </c:strRef>
          </c:tx>
          <c:spPr>
            <a:ln w="25400" cap="rnd">
              <a:no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dLbls>
            <c:dLbl>
              <c:idx val="0"/>
              <c:layout>
                <c:manualLayout>
                  <c:x val="1.1500252735653164E-2"/>
                  <c:y val="-5.795510274199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6D-4EA2-BF88-E5500A39837E}"/>
                </c:ext>
              </c:extLst>
            </c:dLbl>
            <c:dLbl>
              <c:idx val="1"/>
              <c:layout>
                <c:manualLayout>
                  <c:x val="0.11372517927587758"/>
                  <c:y val="-3.9559912011719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6D-4EA2-BF88-E5500A39837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Drivers!$D$23:$D$24</c:f>
              <c:strCache>
                <c:ptCount val="2"/>
                <c:pt idx="0">
                  <c:v>Legacy</c:v>
                </c:pt>
                <c:pt idx="1">
                  <c:v>Upgraded</c:v>
                </c:pt>
              </c:strCache>
            </c:strRef>
          </c:xVal>
          <c:yVal>
            <c:numRef>
              <c:f>Drivers!$Q$23:$Q$24</c:f>
              <c:numCache>
                <c:formatCode>0.0</c:formatCode>
                <c:ptCount val="2"/>
                <c:pt idx="0" formatCode="0.00">
                  <c:v>9.0742800000000017</c:v>
                </c:pt>
                <c:pt idx="1">
                  <c:v>9.5524999999999984</c:v>
                </c:pt>
              </c:numCache>
            </c:numRef>
          </c:yVal>
          <c:smooth val="0"/>
          <c:extLst>
            <c:ext xmlns:c16="http://schemas.microsoft.com/office/drawing/2014/chart" uri="{C3380CC4-5D6E-409C-BE32-E72D297353CC}">
              <c16:uniqueId val="{00000005-D36D-4EA2-BF88-E5500A39837E}"/>
            </c:ext>
          </c:extLst>
        </c:ser>
        <c:dLbls>
          <c:showLegendKey val="0"/>
          <c:showVal val="0"/>
          <c:showCatName val="0"/>
          <c:showSerName val="0"/>
          <c:showPercent val="0"/>
          <c:showBubbleSize val="0"/>
        </c:dLbls>
        <c:axId val="310037248"/>
        <c:axId val="310037640"/>
      </c:scatterChart>
      <c:catAx>
        <c:axId val="3100372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10037640"/>
        <c:crosses val="autoZero"/>
        <c:auto val="1"/>
        <c:lblAlgn val="ctr"/>
        <c:lblOffset val="100"/>
        <c:noMultiLvlLbl val="0"/>
      </c:catAx>
      <c:valAx>
        <c:axId val="310037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sz="1200"/>
                  <a:t>MJ/m</a:t>
                </a:r>
                <a:r>
                  <a:rPr lang="en-US" sz="1200" baseline="30000"/>
                  <a:t>3</a:t>
                </a:r>
                <a:r>
                  <a:rPr lang="en-US" sz="1200"/>
                  <a:t> wastewater treated</a:t>
                </a:r>
              </a:p>
            </c:rich>
          </c:tx>
          <c:layout>
            <c:manualLayout>
              <c:xMode val="edge"/>
              <c:yMode val="edge"/>
              <c:x val="9.8266280753407063E-3"/>
              <c:y val="0.2237918422540185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10037248"/>
        <c:crosses val="autoZero"/>
        <c:crossBetween val="between"/>
      </c:valAx>
      <c:spPr>
        <a:noFill/>
        <a:ln>
          <a:noFill/>
        </a:ln>
        <a:effectLst/>
      </c:spPr>
    </c:plotArea>
    <c:legend>
      <c:legendPos val="b"/>
      <c:layout>
        <c:manualLayout>
          <c:xMode val="edge"/>
          <c:yMode val="edge"/>
          <c:x val="9.930692356946224E-3"/>
          <c:y val="0.83037297296778534"/>
          <c:w val="0.9848562619051543"/>
          <c:h val="0.1267372950894403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8778862500745"/>
          <c:y val="4.2439998265600638E-2"/>
          <c:w val="0.87513911800381594"/>
          <c:h val="0.72215608898448236"/>
        </c:manualLayout>
      </c:layout>
      <c:barChart>
        <c:barDir val="col"/>
        <c:grouping val="stacked"/>
        <c:varyColors val="0"/>
        <c:ser>
          <c:idx val="0"/>
          <c:order val="0"/>
          <c:tx>
            <c:strRef>
              <c:f>EP!$B$119</c:f>
              <c:strCache>
                <c:ptCount val="1"/>
                <c:pt idx="0">
                  <c:v>Preliminary/Primary</c:v>
                </c:pt>
              </c:strCache>
            </c:strRef>
          </c:tx>
          <c:spPr>
            <a:solidFill>
              <a:schemeClr val="accent1"/>
            </a:solidFill>
            <a:ln>
              <a:noFill/>
            </a:ln>
            <a:effectLst/>
          </c:spPr>
          <c:invertIfNegative val="0"/>
          <c:cat>
            <c:strRef>
              <c:f>EP!$C$118:$D$118</c:f>
              <c:strCache>
                <c:ptCount val="2"/>
                <c:pt idx="0">
                  <c:v>Legacy</c:v>
                </c:pt>
                <c:pt idx="1">
                  <c:v>Upgraded</c:v>
                </c:pt>
              </c:strCache>
            </c:strRef>
          </c:cat>
          <c:val>
            <c:numRef>
              <c:f>EP!$C$119:$D$119</c:f>
              <c:numCache>
                <c:formatCode>0.0E+00</c:formatCode>
                <c:ptCount val="2"/>
                <c:pt idx="0">
                  <c:v>4.9186140000000004E-4</c:v>
                </c:pt>
                <c:pt idx="1">
                  <c:v>5.9755979999999995E-4</c:v>
                </c:pt>
              </c:numCache>
            </c:numRef>
          </c:val>
          <c:extLst>
            <c:ext xmlns:c16="http://schemas.microsoft.com/office/drawing/2014/chart" uri="{C3380CC4-5D6E-409C-BE32-E72D297353CC}">
              <c16:uniqueId val="{00000000-66A1-4EE9-A0FC-24A8330F4988}"/>
            </c:ext>
          </c:extLst>
        </c:ser>
        <c:ser>
          <c:idx val="1"/>
          <c:order val="1"/>
          <c:tx>
            <c:strRef>
              <c:f>EP!$B$120</c:f>
              <c:strCache>
                <c:ptCount val="1"/>
                <c:pt idx="0">
                  <c:v>Biological Treatment</c:v>
                </c:pt>
              </c:strCache>
            </c:strRef>
          </c:tx>
          <c:spPr>
            <a:solidFill>
              <a:schemeClr val="accent2"/>
            </a:solidFill>
            <a:ln>
              <a:noFill/>
            </a:ln>
            <a:effectLst/>
          </c:spPr>
          <c:invertIfNegative val="0"/>
          <c:cat>
            <c:strRef>
              <c:f>EP!$C$118:$D$118</c:f>
              <c:strCache>
                <c:ptCount val="2"/>
                <c:pt idx="0">
                  <c:v>Legacy</c:v>
                </c:pt>
                <c:pt idx="1">
                  <c:v>Upgraded</c:v>
                </c:pt>
              </c:strCache>
            </c:strRef>
          </c:cat>
          <c:val>
            <c:numRef>
              <c:f>EP!$C$120:$D$120</c:f>
              <c:numCache>
                <c:formatCode>0.0E+00</c:formatCode>
                <c:ptCount val="2"/>
                <c:pt idx="0">
                  <c:v>4.2000000000000002E-4</c:v>
                </c:pt>
                <c:pt idx="1">
                  <c:v>6.9000000000000008E-4</c:v>
                </c:pt>
              </c:numCache>
            </c:numRef>
          </c:val>
          <c:extLst>
            <c:ext xmlns:c16="http://schemas.microsoft.com/office/drawing/2014/chart" uri="{C3380CC4-5D6E-409C-BE32-E72D297353CC}">
              <c16:uniqueId val="{00000001-66A1-4EE9-A0FC-24A8330F4988}"/>
            </c:ext>
          </c:extLst>
        </c:ser>
        <c:ser>
          <c:idx val="2"/>
          <c:order val="2"/>
          <c:tx>
            <c:strRef>
              <c:f>EP!$B$121</c:f>
              <c:strCache>
                <c:ptCount val="1"/>
                <c:pt idx="0">
                  <c:v>Facilities</c:v>
                </c:pt>
              </c:strCache>
            </c:strRef>
          </c:tx>
          <c:spPr>
            <a:solidFill>
              <a:schemeClr val="accent3"/>
            </a:solidFill>
            <a:ln>
              <a:noFill/>
            </a:ln>
            <a:effectLst/>
          </c:spPr>
          <c:invertIfNegative val="0"/>
          <c:cat>
            <c:strRef>
              <c:f>EP!$C$118:$D$118</c:f>
              <c:strCache>
                <c:ptCount val="2"/>
                <c:pt idx="0">
                  <c:v>Legacy</c:v>
                </c:pt>
                <c:pt idx="1">
                  <c:v>Upgraded</c:v>
                </c:pt>
              </c:strCache>
            </c:strRef>
          </c:cat>
          <c:val>
            <c:numRef>
              <c:f>EP!$C$121:$D$121</c:f>
              <c:numCache>
                <c:formatCode>0.0E+00</c:formatCode>
                <c:ptCount val="2"/>
                <c:pt idx="0">
                  <c:v>3.3376800000000002E-5</c:v>
                </c:pt>
                <c:pt idx="1">
                  <c:v>3.6874600000000001E-5</c:v>
                </c:pt>
              </c:numCache>
            </c:numRef>
          </c:val>
          <c:extLst>
            <c:ext xmlns:c16="http://schemas.microsoft.com/office/drawing/2014/chart" uri="{C3380CC4-5D6E-409C-BE32-E72D297353CC}">
              <c16:uniqueId val="{00000002-66A1-4EE9-A0FC-24A8330F4988}"/>
            </c:ext>
          </c:extLst>
        </c:ser>
        <c:ser>
          <c:idx val="3"/>
          <c:order val="3"/>
          <c:tx>
            <c:strRef>
              <c:f>EP!$B$122</c:f>
              <c:strCache>
                <c:ptCount val="1"/>
                <c:pt idx="0">
                  <c:v>Sludge Handling and Treatment</c:v>
                </c:pt>
              </c:strCache>
            </c:strRef>
          </c:tx>
          <c:spPr>
            <a:solidFill>
              <a:schemeClr val="accent4"/>
            </a:solidFill>
            <a:ln>
              <a:noFill/>
            </a:ln>
            <a:effectLst/>
          </c:spPr>
          <c:invertIfNegative val="0"/>
          <c:cat>
            <c:strRef>
              <c:f>EP!$C$118:$D$118</c:f>
              <c:strCache>
                <c:ptCount val="2"/>
                <c:pt idx="0">
                  <c:v>Legacy</c:v>
                </c:pt>
                <c:pt idx="1">
                  <c:v>Upgraded</c:v>
                </c:pt>
              </c:strCache>
            </c:strRef>
          </c:cat>
          <c:val>
            <c:numRef>
              <c:f>EP!$C$122:$D$122</c:f>
              <c:numCache>
                <c:formatCode>0.0E+00</c:formatCode>
                <c:ptCount val="2"/>
                <c:pt idx="0">
                  <c:v>4.4947174000000003E-4</c:v>
                </c:pt>
                <c:pt idx="1">
                  <c:v>4.5521352000000003E-4</c:v>
                </c:pt>
              </c:numCache>
            </c:numRef>
          </c:val>
          <c:extLst>
            <c:ext xmlns:c16="http://schemas.microsoft.com/office/drawing/2014/chart" uri="{C3380CC4-5D6E-409C-BE32-E72D297353CC}">
              <c16:uniqueId val="{00000003-66A1-4EE9-A0FC-24A8330F4988}"/>
            </c:ext>
          </c:extLst>
        </c:ser>
        <c:ser>
          <c:idx val="4"/>
          <c:order val="4"/>
          <c:tx>
            <c:strRef>
              <c:f>EP!$B$123</c:f>
              <c:strCache>
                <c:ptCount val="1"/>
                <c:pt idx="0">
                  <c:v>Sludge Disposal</c:v>
                </c:pt>
              </c:strCache>
            </c:strRef>
          </c:tx>
          <c:spPr>
            <a:solidFill>
              <a:schemeClr val="accent5"/>
            </a:solidFill>
            <a:ln>
              <a:noFill/>
            </a:ln>
            <a:effectLst/>
          </c:spPr>
          <c:invertIfNegative val="0"/>
          <c:cat>
            <c:strRef>
              <c:f>EP!$C$118:$D$118</c:f>
              <c:strCache>
                <c:ptCount val="2"/>
                <c:pt idx="0">
                  <c:v>Legacy</c:v>
                </c:pt>
                <c:pt idx="1">
                  <c:v>Upgraded</c:v>
                </c:pt>
              </c:strCache>
            </c:strRef>
          </c:cat>
          <c:val>
            <c:numRef>
              <c:f>EP!$C$123:$D$123</c:f>
              <c:numCache>
                <c:formatCode>0.0E+00</c:formatCode>
                <c:ptCount val="2"/>
                <c:pt idx="0">
                  <c:v>-7.8219699999999999E-5</c:v>
                </c:pt>
                <c:pt idx="1">
                  <c:v>2.0500000000000002E-3</c:v>
                </c:pt>
              </c:numCache>
            </c:numRef>
          </c:val>
          <c:extLst>
            <c:ext xmlns:c16="http://schemas.microsoft.com/office/drawing/2014/chart" uri="{C3380CC4-5D6E-409C-BE32-E72D297353CC}">
              <c16:uniqueId val="{00000004-66A1-4EE9-A0FC-24A8330F4988}"/>
            </c:ext>
          </c:extLst>
        </c:ser>
        <c:ser>
          <c:idx val="5"/>
          <c:order val="5"/>
          <c:tx>
            <c:strRef>
              <c:f>EP!$B$124</c:f>
              <c:strCache>
                <c:ptCount val="1"/>
                <c:pt idx="0">
                  <c:v>Effluent Release</c:v>
                </c:pt>
              </c:strCache>
            </c:strRef>
          </c:tx>
          <c:spPr>
            <a:solidFill>
              <a:schemeClr val="accent6"/>
            </a:solidFill>
            <a:ln>
              <a:noFill/>
            </a:ln>
            <a:effectLst/>
          </c:spPr>
          <c:invertIfNegative val="0"/>
          <c:cat>
            <c:strRef>
              <c:f>EP!$C$118:$D$118</c:f>
              <c:strCache>
                <c:ptCount val="2"/>
                <c:pt idx="0">
                  <c:v>Legacy</c:v>
                </c:pt>
                <c:pt idx="1">
                  <c:v>Upgraded</c:v>
                </c:pt>
              </c:strCache>
            </c:strRef>
          </c:cat>
          <c:val>
            <c:numRef>
              <c:f>EP!$C$124:$D$124</c:f>
              <c:numCache>
                <c:formatCode>0.0E+00</c:formatCode>
                <c:ptCount val="2"/>
                <c:pt idx="0">
                  <c:v>2.3099999999999999E-2</c:v>
                </c:pt>
                <c:pt idx="1">
                  <c:v>1.1610000000000001E-2</c:v>
                </c:pt>
              </c:numCache>
            </c:numRef>
          </c:val>
          <c:extLst>
            <c:ext xmlns:c16="http://schemas.microsoft.com/office/drawing/2014/chart" uri="{C3380CC4-5D6E-409C-BE32-E72D297353CC}">
              <c16:uniqueId val="{00000005-66A1-4EE9-A0FC-24A8330F4988}"/>
            </c:ext>
          </c:extLst>
        </c:ser>
        <c:dLbls>
          <c:showLegendKey val="0"/>
          <c:showVal val="0"/>
          <c:showCatName val="0"/>
          <c:showSerName val="0"/>
          <c:showPercent val="0"/>
          <c:showBubbleSize val="0"/>
        </c:dLbls>
        <c:gapWidth val="150"/>
        <c:overlap val="100"/>
        <c:axId val="310036856"/>
        <c:axId val="306096360"/>
      </c:barChart>
      <c:lineChart>
        <c:grouping val="standard"/>
        <c:varyColors val="0"/>
        <c:ser>
          <c:idx val="6"/>
          <c:order val="6"/>
          <c:tx>
            <c:strRef>
              <c:f>EP!$B$125</c:f>
              <c:strCache>
                <c:ptCount val="1"/>
                <c:pt idx="0">
                  <c:v>Total</c:v>
                </c:pt>
              </c:strCache>
            </c:strRef>
          </c:tx>
          <c:spPr>
            <a:ln w="28575" cap="rnd">
              <a:noFill/>
              <a:round/>
            </a:ln>
            <a:effectLst/>
          </c:spPr>
          <c:marker>
            <c:symbol val="circle"/>
            <c:size val="5"/>
            <c:spPr>
              <a:solidFill>
                <a:schemeClr val="accent1">
                  <a:lumMod val="60000"/>
                </a:schemeClr>
              </a:solidFill>
              <a:ln w="9525">
                <a:solidFill>
                  <a:schemeClr val="tx2">
                    <a:lumMod val="75000"/>
                  </a:schemeClr>
                </a:solidFill>
              </a:ln>
              <a:effectLst/>
            </c:spPr>
          </c:marker>
          <c:dLbls>
            <c:dLbl>
              <c:idx val="0"/>
              <c:layout>
                <c:manualLayout>
                  <c:x val="2.431636037270235E-2"/>
                  <c:y val="-0.177115920854760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A1-4EE9-A0FC-24A8330F4988}"/>
                </c:ext>
              </c:extLst>
            </c:dLbl>
            <c:dLbl>
              <c:idx val="1"/>
              <c:layout>
                <c:manualLayout>
                  <c:x val="2.6604524387017062E-2"/>
                  <c:y val="-0.13591138364762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A1-4EE9-A0FC-24A8330F4988}"/>
                </c:ext>
              </c:extLst>
            </c:dLbl>
            <c:numFmt formatCode="#,##0.000" sourceLinked="0"/>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EP!$C$118:$D$118</c:f>
              <c:strCache>
                <c:ptCount val="2"/>
                <c:pt idx="0">
                  <c:v>Legacy</c:v>
                </c:pt>
                <c:pt idx="1">
                  <c:v>Upgraded</c:v>
                </c:pt>
              </c:strCache>
            </c:strRef>
          </c:cat>
          <c:val>
            <c:numRef>
              <c:f>EP!$C$125:$D$125</c:f>
              <c:numCache>
                <c:formatCode>_(* #,##0.0000_);_(* \(#,##0.0000\);_(* "-"??_);_(@_)</c:formatCode>
                <c:ptCount val="2"/>
                <c:pt idx="0">
                  <c:v>2.4416490239999998E-2</c:v>
                </c:pt>
                <c:pt idx="1">
                  <c:v>1.5439647920000001E-2</c:v>
                </c:pt>
              </c:numCache>
            </c:numRef>
          </c:val>
          <c:smooth val="0"/>
          <c:extLst>
            <c:ext xmlns:c16="http://schemas.microsoft.com/office/drawing/2014/chart" uri="{C3380CC4-5D6E-409C-BE32-E72D297353CC}">
              <c16:uniqueId val="{00000008-66A1-4EE9-A0FC-24A8330F4988}"/>
            </c:ext>
          </c:extLst>
        </c:ser>
        <c:dLbls>
          <c:showLegendKey val="0"/>
          <c:showVal val="0"/>
          <c:showCatName val="0"/>
          <c:showSerName val="0"/>
          <c:showPercent val="0"/>
          <c:showBubbleSize val="0"/>
        </c:dLbls>
        <c:marker val="1"/>
        <c:smooth val="0"/>
        <c:axId val="310036856"/>
        <c:axId val="306096360"/>
      </c:lineChart>
      <c:catAx>
        <c:axId val="310036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6096360"/>
        <c:crosses val="autoZero"/>
        <c:auto val="1"/>
        <c:lblAlgn val="ctr"/>
        <c:lblOffset val="100"/>
        <c:noMultiLvlLbl val="0"/>
      </c:catAx>
      <c:valAx>
        <c:axId val="306096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kg N-eq/m3 wastewater treated</a:t>
                </a:r>
              </a:p>
            </c:rich>
          </c:tx>
          <c:layout>
            <c:manualLayout>
              <c:xMode val="edge"/>
              <c:yMode val="edge"/>
              <c:x val="1.1134550540662903E-2"/>
              <c:y val="6.7333742359819176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10036856"/>
        <c:crosses val="autoZero"/>
        <c:crossBetween val="between"/>
      </c:valAx>
      <c:spPr>
        <a:noFill/>
        <a:ln>
          <a:noFill/>
        </a:ln>
        <a:effectLst/>
      </c:spPr>
    </c:plotArea>
    <c:legend>
      <c:legendPos val="b"/>
      <c:layout>
        <c:manualLayout>
          <c:xMode val="edge"/>
          <c:yMode val="edge"/>
          <c:x val="0.13891326821516223"/>
          <c:y val="0.79745242778457948"/>
          <c:w val="0.83091187910096387"/>
          <c:h val="0.1606928476574079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72004232297934"/>
          <c:y val="5.8560209047498563E-2"/>
          <c:w val="0.85856892212225255"/>
          <c:h val="0.70190938991788721"/>
        </c:manualLayout>
      </c:layout>
      <c:barChart>
        <c:barDir val="col"/>
        <c:grouping val="stacked"/>
        <c:varyColors val="0"/>
        <c:ser>
          <c:idx val="0"/>
          <c:order val="0"/>
          <c:tx>
            <c:strRef>
              <c:f>GWP!$B$119</c:f>
              <c:strCache>
                <c:ptCount val="1"/>
                <c:pt idx="0">
                  <c:v>Preliminary/Primary</c:v>
                </c:pt>
              </c:strCache>
            </c:strRef>
          </c:tx>
          <c:spPr>
            <a:solidFill>
              <a:schemeClr val="accent1"/>
            </a:solidFill>
            <a:ln>
              <a:noFill/>
            </a:ln>
            <a:effectLst/>
          </c:spPr>
          <c:invertIfNegative val="0"/>
          <c:cat>
            <c:strRef>
              <c:f>GWP!$C$118:$D$118</c:f>
              <c:strCache>
                <c:ptCount val="2"/>
                <c:pt idx="0">
                  <c:v>Legacy</c:v>
                </c:pt>
                <c:pt idx="1">
                  <c:v>Upgraded</c:v>
                </c:pt>
              </c:strCache>
            </c:strRef>
          </c:cat>
          <c:val>
            <c:numRef>
              <c:f>GWP!$C$119:$D$119</c:f>
              <c:numCache>
                <c:formatCode>0.000</c:formatCode>
                <c:ptCount val="2"/>
                <c:pt idx="0">
                  <c:v>0.13346</c:v>
                </c:pt>
                <c:pt idx="1">
                  <c:v>0.15434999999999999</c:v>
                </c:pt>
              </c:numCache>
            </c:numRef>
          </c:val>
          <c:extLst>
            <c:ext xmlns:c16="http://schemas.microsoft.com/office/drawing/2014/chart" uri="{C3380CC4-5D6E-409C-BE32-E72D297353CC}">
              <c16:uniqueId val="{00000000-A966-486F-A5FB-AF6815A1B29B}"/>
            </c:ext>
          </c:extLst>
        </c:ser>
        <c:ser>
          <c:idx val="1"/>
          <c:order val="1"/>
          <c:tx>
            <c:strRef>
              <c:f>GWP!$B$120</c:f>
              <c:strCache>
                <c:ptCount val="1"/>
                <c:pt idx="0">
                  <c:v>Biological Treatment</c:v>
                </c:pt>
              </c:strCache>
            </c:strRef>
          </c:tx>
          <c:spPr>
            <a:solidFill>
              <a:schemeClr val="accent2"/>
            </a:solidFill>
            <a:ln>
              <a:noFill/>
            </a:ln>
            <a:effectLst/>
          </c:spPr>
          <c:invertIfNegative val="0"/>
          <c:cat>
            <c:strRef>
              <c:f>GWP!$C$118:$D$118</c:f>
              <c:strCache>
                <c:ptCount val="2"/>
                <c:pt idx="0">
                  <c:v>Legacy</c:v>
                </c:pt>
                <c:pt idx="1">
                  <c:v>Upgraded</c:v>
                </c:pt>
              </c:strCache>
            </c:strRef>
          </c:cat>
          <c:val>
            <c:numRef>
              <c:f>GWP!$C$120:$D$120</c:f>
              <c:numCache>
                <c:formatCode>0.000</c:formatCode>
                <c:ptCount val="2"/>
                <c:pt idx="0">
                  <c:v>0.15987000000000001</c:v>
                </c:pt>
                <c:pt idx="1">
                  <c:v>0.41102</c:v>
                </c:pt>
              </c:numCache>
            </c:numRef>
          </c:val>
          <c:extLst>
            <c:ext xmlns:c16="http://schemas.microsoft.com/office/drawing/2014/chart" uri="{C3380CC4-5D6E-409C-BE32-E72D297353CC}">
              <c16:uniqueId val="{00000001-A966-486F-A5FB-AF6815A1B29B}"/>
            </c:ext>
          </c:extLst>
        </c:ser>
        <c:ser>
          <c:idx val="2"/>
          <c:order val="2"/>
          <c:tx>
            <c:strRef>
              <c:f>GWP!$B$121</c:f>
              <c:strCache>
                <c:ptCount val="1"/>
                <c:pt idx="0">
                  <c:v>Facilities</c:v>
                </c:pt>
              </c:strCache>
            </c:strRef>
          </c:tx>
          <c:spPr>
            <a:solidFill>
              <a:schemeClr val="accent3"/>
            </a:solidFill>
            <a:ln>
              <a:noFill/>
            </a:ln>
            <a:effectLst/>
          </c:spPr>
          <c:invertIfNegative val="0"/>
          <c:cat>
            <c:strRef>
              <c:f>GWP!$C$118:$D$118</c:f>
              <c:strCache>
                <c:ptCount val="2"/>
                <c:pt idx="0">
                  <c:v>Legacy</c:v>
                </c:pt>
                <c:pt idx="1">
                  <c:v>Upgraded</c:v>
                </c:pt>
              </c:strCache>
            </c:strRef>
          </c:cat>
          <c:val>
            <c:numRef>
              <c:f>GWP!$C$121:$D$121</c:f>
              <c:numCache>
                <c:formatCode>0.00E+0</c:formatCode>
                <c:ptCount val="2"/>
                <c:pt idx="0" formatCode="0.000">
                  <c:v>5.2569999999999999E-2</c:v>
                </c:pt>
                <c:pt idx="1">
                  <c:v>8.3000000000000001E-3</c:v>
                </c:pt>
              </c:numCache>
            </c:numRef>
          </c:val>
          <c:extLst>
            <c:ext xmlns:c16="http://schemas.microsoft.com/office/drawing/2014/chart" uri="{C3380CC4-5D6E-409C-BE32-E72D297353CC}">
              <c16:uniqueId val="{00000002-A966-486F-A5FB-AF6815A1B29B}"/>
            </c:ext>
          </c:extLst>
        </c:ser>
        <c:ser>
          <c:idx val="3"/>
          <c:order val="3"/>
          <c:tx>
            <c:strRef>
              <c:f>GWP!$B$122</c:f>
              <c:strCache>
                <c:ptCount val="1"/>
                <c:pt idx="0">
                  <c:v>Sludge Handling and Treatment</c:v>
                </c:pt>
              </c:strCache>
            </c:strRef>
          </c:tx>
          <c:spPr>
            <a:solidFill>
              <a:schemeClr val="accent4"/>
            </a:solidFill>
            <a:ln>
              <a:noFill/>
            </a:ln>
            <a:effectLst/>
          </c:spPr>
          <c:invertIfNegative val="0"/>
          <c:cat>
            <c:strRef>
              <c:f>GWP!$C$118:$D$118</c:f>
              <c:strCache>
                <c:ptCount val="2"/>
                <c:pt idx="0">
                  <c:v>Legacy</c:v>
                </c:pt>
                <c:pt idx="1">
                  <c:v>Upgraded</c:v>
                </c:pt>
              </c:strCache>
            </c:strRef>
          </c:cat>
          <c:val>
            <c:numRef>
              <c:f>GWP!$C$122:$D$122</c:f>
              <c:numCache>
                <c:formatCode>0.000</c:formatCode>
                <c:ptCount val="2"/>
                <c:pt idx="0">
                  <c:v>0.23147000000000001</c:v>
                </c:pt>
                <c:pt idx="1">
                  <c:v>0.81488000000000005</c:v>
                </c:pt>
              </c:numCache>
            </c:numRef>
          </c:val>
          <c:extLst>
            <c:ext xmlns:c16="http://schemas.microsoft.com/office/drawing/2014/chart" uri="{C3380CC4-5D6E-409C-BE32-E72D297353CC}">
              <c16:uniqueId val="{00000003-A966-486F-A5FB-AF6815A1B29B}"/>
            </c:ext>
          </c:extLst>
        </c:ser>
        <c:ser>
          <c:idx val="4"/>
          <c:order val="4"/>
          <c:tx>
            <c:strRef>
              <c:f>GWP!$B$123</c:f>
              <c:strCache>
                <c:ptCount val="1"/>
                <c:pt idx="0">
                  <c:v>Sludge Disposal</c:v>
                </c:pt>
              </c:strCache>
            </c:strRef>
          </c:tx>
          <c:spPr>
            <a:solidFill>
              <a:schemeClr val="accent5"/>
            </a:solidFill>
            <a:ln>
              <a:noFill/>
            </a:ln>
            <a:effectLst/>
          </c:spPr>
          <c:invertIfNegative val="0"/>
          <c:cat>
            <c:strRef>
              <c:f>GWP!$C$118:$D$118</c:f>
              <c:strCache>
                <c:ptCount val="2"/>
                <c:pt idx="0">
                  <c:v>Legacy</c:v>
                </c:pt>
                <c:pt idx="1">
                  <c:v>Upgraded</c:v>
                </c:pt>
              </c:strCache>
            </c:strRef>
          </c:cat>
          <c:val>
            <c:numRef>
              <c:f>GWP!$C$123:$D$123</c:f>
              <c:numCache>
                <c:formatCode>0.000</c:formatCode>
                <c:ptCount val="2"/>
                <c:pt idx="0">
                  <c:v>0.12368</c:v>
                </c:pt>
                <c:pt idx="1">
                  <c:v>-0.46950999999999998</c:v>
                </c:pt>
              </c:numCache>
            </c:numRef>
          </c:val>
          <c:extLst>
            <c:ext xmlns:c16="http://schemas.microsoft.com/office/drawing/2014/chart" uri="{C3380CC4-5D6E-409C-BE32-E72D297353CC}">
              <c16:uniqueId val="{00000004-A966-486F-A5FB-AF6815A1B29B}"/>
            </c:ext>
          </c:extLst>
        </c:ser>
        <c:ser>
          <c:idx val="5"/>
          <c:order val="5"/>
          <c:tx>
            <c:strRef>
              <c:f>GWP!$B$124</c:f>
              <c:strCache>
                <c:ptCount val="1"/>
                <c:pt idx="0">
                  <c:v>Effluent Release</c:v>
                </c:pt>
              </c:strCache>
            </c:strRef>
          </c:tx>
          <c:spPr>
            <a:solidFill>
              <a:schemeClr val="accent6"/>
            </a:solidFill>
            <a:ln>
              <a:noFill/>
            </a:ln>
            <a:effectLst/>
          </c:spPr>
          <c:invertIfNegative val="0"/>
          <c:cat>
            <c:strRef>
              <c:f>GWP!$C$118:$D$118</c:f>
              <c:strCache>
                <c:ptCount val="2"/>
                <c:pt idx="0">
                  <c:v>Legacy</c:v>
                </c:pt>
                <c:pt idx="1">
                  <c:v>Upgraded</c:v>
                </c:pt>
              </c:strCache>
            </c:strRef>
          </c:cat>
          <c:val>
            <c:numRef>
              <c:f>GWP!$C$124:$D$124</c:f>
              <c:numCache>
                <c:formatCode>0.000</c:formatCode>
                <c:ptCount val="2"/>
                <c:pt idx="0">
                  <c:v>7.4099999999999999E-2</c:v>
                </c:pt>
                <c:pt idx="1">
                  <c:v>5.2639999999999999E-2</c:v>
                </c:pt>
              </c:numCache>
            </c:numRef>
          </c:val>
          <c:extLst>
            <c:ext xmlns:c16="http://schemas.microsoft.com/office/drawing/2014/chart" uri="{C3380CC4-5D6E-409C-BE32-E72D297353CC}">
              <c16:uniqueId val="{00000007-A966-486F-A5FB-AF6815A1B29B}"/>
            </c:ext>
          </c:extLst>
        </c:ser>
        <c:dLbls>
          <c:showLegendKey val="0"/>
          <c:showVal val="0"/>
          <c:showCatName val="0"/>
          <c:showSerName val="0"/>
          <c:showPercent val="0"/>
          <c:showBubbleSize val="0"/>
        </c:dLbls>
        <c:gapWidth val="150"/>
        <c:overlap val="100"/>
        <c:axId val="310036856"/>
        <c:axId val="306096360"/>
      </c:barChart>
      <c:lineChart>
        <c:grouping val="standard"/>
        <c:varyColors val="0"/>
        <c:ser>
          <c:idx val="6"/>
          <c:order val="6"/>
          <c:tx>
            <c:strRef>
              <c:f>GWP!$B$125</c:f>
              <c:strCache>
                <c:ptCount val="1"/>
                <c:pt idx="0">
                  <c:v>Total</c:v>
                </c:pt>
              </c:strCache>
            </c:strRef>
          </c:tx>
          <c:spPr>
            <a:ln w="28575" cap="rnd">
              <a:noFill/>
              <a:round/>
            </a:ln>
            <a:effectLst/>
          </c:spPr>
          <c:marker>
            <c:symbol val="circle"/>
            <c:size val="5"/>
            <c:spPr>
              <a:solidFill>
                <a:schemeClr val="accent1">
                  <a:lumMod val="60000"/>
                </a:schemeClr>
              </a:solidFill>
              <a:ln w="9525">
                <a:solidFill>
                  <a:schemeClr val="tx2">
                    <a:lumMod val="75000"/>
                  </a:schemeClr>
                </a:solidFill>
              </a:ln>
              <a:effectLst/>
            </c:spPr>
          </c:marker>
          <c:dLbls>
            <c:dLbl>
              <c:idx val="0"/>
              <c:layout>
                <c:manualLayout>
                  <c:x val="2.431636037270235E-2"/>
                  <c:y val="-0.177115920854760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83-4914-822E-59ED65984C68}"/>
                </c:ext>
              </c:extLst>
            </c:dLbl>
            <c:dLbl>
              <c:idx val="1"/>
              <c:layout>
                <c:manualLayout>
                  <c:x val="9.4215745720533803E-2"/>
                  <c:y val="-0.127316887316156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83-4914-822E-59ED65984C68}"/>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GWP!$C$118:$D$118</c:f>
              <c:strCache>
                <c:ptCount val="2"/>
                <c:pt idx="0">
                  <c:v>Legacy</c:v>
                </c:pt>
                <c:pt idx="1">
                  <c:v>Upgraded</c:v>
                </c:pt>
              </c:strCache>
            </c:strRef>
          </c:cat>
          <c:val>
            <c:numRef>
              <c:f>GWP!$C$125:$D$125</c:f>
              <c:numCache>
                <c:formatCode>0.000</c:formatCode>
                <c:ptCount val="2"/>
                <c:pt idx="0">
                  <c:v>0.77515000000000001</c:v>
                </c:pt>
                <c:pt idx="1">
                  <c:v>0.97167999999999999</c:v>
                </c:pt>
              </c:numCache>
            </c:numRef>
          </c:val>
          <c:smooth val="0"/>
          <c:extLst>
            <c:ext xmlns:c16="http://schemas.microsoft.com/office/drawing/2014/chart" uri="{C3380CC4-5D6E-409C-BE32-E72D297353CC}">
              <c16:uniqueId val="{00000008-A966-486F-A5FB-AF6815A1B29B}"/>
            </c:ext>
          </c:extLst>
        </c:ser>
        <c:dLbls>
          <c:showLegendKey val="0"/>
          <c:showVal val="0"/>
          <c:showCatName val="0"/>
          <c:showSerName val="0"/>
          <c:showPercent val="0"/>
          <c:showBubbleSize val="0"/>
        </c:dLbls>
        <c:marker val="1"/>
        <c:smooth val="0"/>
        <c:axId val="310036856"/>
        <c:axId val="306096360"/>
      </c:lineChart>
      <c:catAx>
        <c:axId val="310036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6096360"/>
        <c:crosses val="autoZero"/>
        <c:auto val="1"/>
        <c:lblAlgn val="ctr"/>
        <c:lblOffset val="100"/>
        <c:noMultiLvlLbl val="0"/>
      </c:catAx>
      <c:valAx>
        <c:axId val="306096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kg CO2-eq/m3 wastewater treated</a:t>
                </a:r>
              </a:p>
            </c:rich>
          </c:tx>
          <c:layout>
            <c:manualLayout>
              <c:xMode val="edge"/>
              <c:yMode val="edge"/>
              <c:x val="2.2452993258770551E-2"/>
              <c:y val="5.5750433179739926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10036856"/>
        <c:crosses val="autoZero"/>
        <c:crossBetween val="between"/>
      </c:valAx>
      <c:spPr>
        <a:noFill/>
        <a:ln>
          <a:noFill/>
        </a:ln>
        <a:effectLst/>
      </c:spPr>
    </c:plotArea>
    <c:legend>
      <c:legendPos val="b"/>
      <c:layout>
        <c:manualLayout>
          <c:xMode val="edge"/>
          <c:yMode val="edge"/>
          <c:x val="0.13603487048318685"/>
          <c:y val="0.84035379384439024"/>
          <c:w val="0.8373008166474476"/>
          <c:h val="0.1595791356737672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72004232297934"/>
          <c:y val="5.8560209047498563E-2"/>
          <c:w val="0.85856892212225255"/>
          <c:h val="0.69850669311760416"/>
        </c:manualLayout>
      </c:layout>
      <c:barChart>
        <c:barDir val="col"/>
        <c:grouping val="stacked"/>
        <c:varyColors val="0"/>
        <c:ser>
          <c:idx val="0"/>
          <c:order val="0"/>
          <c:tx>
            <c:strRef>
              <c:f>CED!$B$119</c:f>
              <c:strCache>
                <c:ptCount val="1"/>
                <c:pt idx="0">
                  <c:v>Preliminary/Primary</c:v>
                </c:pt>
              </c:strCache>
            </c:strRef>
          </c:tx>
          <c:spPr>
            <a:solidFill>
              <a:schemeClr val="accent1"/>
            </a:solidFill>
            <a:ln>
              <a:noFill/>
            </a:ln>
            <a:effectLst/>
          </c:spPr>
          <c:invertIfNegative val="0"/>
          <c:cat>
            <c:strRef>
              <c:f>CED!$C$118:$D$118</c:f>
              <c:strCache>
                <c:ptCount val="2"/>
                <c:pt idx="0">
                  <c:v>Legacy</c:v>
                </c:pt>
                <c:pt idx="1">
                  <c:v>Upgraded</c:v>
                </c:pt>
              </c:strCache>
            </c:strRef>
          </c:cat>
          <c:val>
            <c:numRef>
              <c:f>CED!$C$119:$D$119</c:f>
              <c:numCache>
                <c:formatCode>0.00</c:formatCode>
                <c:ptCount val="2"/>
                <c:pt idx="0">
                  <c:v>2.1806400000000004</c:v>
                </c:pt>
                <c:pt idx="1">
                  <c:v>2.99837</c:v>
                </c:pt>
              </c:numCache>
            </c:numRef>
          </c:val>
          <c:extLst>
            <c:ext xmlns:c16="http://schemas.microsoft.com/office/drawing/2014/chart" uri="{C3380CC4-5D6E-409C-BE32-E72D297353CC}">
              <c16:uniqueId val="{00000000-5B91-4A43-9AA9-1E08FBE9C7C0}"/>
            </c:ext>
          </c:extLst>
        </c:ser>
        <c:ser>
          <c:idx val="1"/>
          <c:order val="1"/>
          <c:tx>
            <c:strRef>
              <c:f>CED!$B$120</c:f>
              <c:strCache>
                <c:ptCount val="1"/>
                <c:pt idx="0">
                  <c:v>Biological Treatment</c:v>
                </c:pt>
              </c:strCache>
            </c:strRef>
          </c:tx>
          <c:spPr>
            <a:solidFill>
              <a:schemeClr val="accent2"/>
            </a:solidFill>
            <a:ln>
              <a:noFill/>
            </a:ln>
            <a:effectLst/>
          </c:spPr>
          <c:invertIfNegative val="0"/>
          <c:cat>
            <c:strRef>
              <c:f>CED!$C$118:$D$118</c:f>
              <c:strCache>
                <c:ptCount val="2"/>
                <c:pt idx="0">
                  <c:v>Legacy</c:v>
                </c:pt>
                <c:pt idx="1">
                  <c:v>Upgraded</c:v>
                </c:pt>
              </c:strCache>
            </c:strRef>
          </c:cat>
          <c:val>
            <c:numRef>
              <c:f>CED!$C$120:$D$120</c:f>
              <c:numCache>
                <c:formatCode>0.00</c:formatCode>
                <c:ptCount val="2"/>
                <c:pt idx="0">
                  <c:v>2.7128199999999998</c:v>
                </c:pt>
                <c:pt idx="1">
                  <c:v>4.4172199999999995</c:v>
                </c:pt>
              </c:numCache>
            </c:numRef>
          </c:val>
          <c:extLst>
            <c:ext xmlns:c16="http://schemas.microsoft.com/office/drawing/2014/chart" uri="{C3380CC4-5D6E-409C-BE32-E72D297353CC}">
              <c16:uniqueId val="{00000001-5B91-4A43-9AA9-1E08FBE9C7C0}"/>
            </c:ext>
          </c:extLst>
        </c:ser>
        <c:ser>
          <c:idx val="2"/>
          <c:order val="2"/>
          <c:tx>
            <c:strRef>
              <c:f>CED!$B$121</c:f>
              <c:strCache>
                <c:ptCount val="1"/>
                <c:pt idx="0">
                  <c:v>Facilities</c:v>
                </c:pt>
              </c:strCache>
            </c:strRef>
          </c:tx>
          <c:spPr>
            <a:solidFill>
              <a:schemeClr val="accent3"/>
            </a:solidFill>
            <a:ln>
              <a:noFill/>
            </a:ln>
            <a:effectLst/>
          </c:spPr>
          <c:invertIfNegative val="0"/>
          <c:cat>
            <c:strRef>
              <c:f>CED!$C$118:$D$118</c:f>
              <c:strCache>
                <c:ptCount val="2"/>
                <c:pt idx="0">
                  <c:v>Legacy</c:v>
                </c:pt>
                <c:pt idx="1">
                  <c:v>Upgraded</c:v>
                </c:pt>
              </c:strCache>
            </c:strRef>
          </c:cat>
          <c:val>
            <c:numRef>
              <c:f>CED!$C$121:$D$121</c:f>
              <c:numCache>
                <c:formatCode>0.000</c:formatCode>
                <c:ptCount val="2"/>
                <c:pt idx="0">
                  <c:v>0.92825000000000002</c:v>
                </c:pt>
                <c:pt idx="1">
                  <c:v>0.14599000000000001</c:v>
                </c:pt>
              </c:numCache>
            </c:numRef>
          </c:val>
          <c:extLst>
            <c:ext xmlns:c16="http://schemas.microsoft.com/office/drawing/2014/chart" uri="{C3380CC4-5D6E-409C-BE32-E72D297353CC}">
              <c16:uniqueId val="{00000002-5B91-4A43-9AA9-1E08FBE9C7C0}"/>
            </c:ext>
          </c:extLst>
        </c:ser>
        <c:ser>
          <c:idx val="3"/>
          <c:order val="3"/>
          <c:tx>
            <c:strRef>
              <c:f>CED!$B$122</c:f>
              <c:strCache>
                <c:ptCount val="1"/>
                <c:pt idx="0">
                  <c:v>Sludge Handling and Treatment</c:v>
                </c:pt>
              </c:strCache>
            </c:strRef>
          </c:tx>
          <c:spPr>
            <a:solidFill>
              <a:schemeClr val="accent4"/>
            </a:solidFill>
            <a:ln>
              <a:noFill/>
            </a:ln>
            <a:effectLst/>
          </c:spPr>
          <c:invertIfNegative val="0"/>
          <c:cat>
            <c:strRef>
              <c:f>CED!$C$118:$D$118</c:f>
              <c:strCache>
                <c:ptCount val="2"/>
                <c:pt idx="0">
                  <c:v>Legacy</c:v>
                </c:pt>
                <c:pt idx="1">
                  <c:v>Upgraded</c:v>
                </c:pt>
              </c:strCache>
            </c:strRef>
          </c:cat>
          <c:val>
            <c:numRef>
              <c:f>CED!$C$122:$D$122</c:f>
              <c:numCache>
                <c:formatCode>0.00</c:formatCode>
                <c:ptCount val="2"/>
                <c:pt idx="0">
                  <c:v>2.90083</c:v>
                </c:pt>
                <c:pt idx="1">
                  <c:v>2.3010900000000003</c:v>
                </c:pt>
              </c:numCache>
            </c:numRef>
          </c:val>
          <c:extLst>
            <c:ext xmlns:c16="http://schemas.microsoft.com/office/drawing/2014/chart" uri="{C3380CC4-5D6E-409C-BE32-E72D297353CC}">
              <c16:uniqueId val="{00000003-5B91-4A43-9AA9-1E08FBE9C7C0}"/>
            </c:ext>
          </c:extLst>
        </c:ser>
        <c:ser>
          <c:idx val="4"/>
          <c:order val="4"/>
          <c:tx>
            <c:strRef>
              <c:f>CED!$B$123</c:f>
              <c:strCache>
                <c:ptCount val="1"/>
                <c:pt idx="0">
                  <c:v>Sludge Disposal</c:v>
                </c:pt>
              </c:strCache>
            </c:strRef>
          </c:tx>
          <c:spPr>
            <a:solidFill>
              <a:schemeClr val="accent5"/>
            </a:solidFill>
            <a:ln>
              <a:noFill/>
            </a:ln>
            <a:effectLst/>
          </c:spPr>
          <c:invertIfNegative val="0"/>
          <c:cat>
            <c:strRef>
              <c:f>CED!$C$118:$D$118</c:f>
              <c:strCache>
                <c:ptCount val="2"/>
                <c:pt idx="0">
                  <c:v>Legacy</c:v>
                </c:pt>
                <c:pt idx="1">
                  <c:v>Upgraded</c:v>
                </c:pt>
              </c:strCache>
            </c:strRef>
          </c:cat>
          <c:val>
            <c:numRef>
              <c:f>CED!$C$123:$D$123</c:f>
              <c:numCache>
                <c:formatCode>0.000</c:formatCode>
                <c:ptCount val="2"/>
                <c:pt idx="0">
                  <c:v>0.34827000000000002</c:v>
                </c:pt>
                <c:pt idx="1">
                  <c:v>-0.44338</c:v>
                </c:pt>
              </c:numCache>
            </c:numRef>
          </c:val>
          <c:extLst>
            <c:ext xmlns:c16="http://schemas.microsoft.com/office/drawing/2014/chart" uri="{C3380CC4-5D6E-409C-BE32-E72D297353CC}">
              <c16:uniqueId val="{00000004-5B91-4A43-9AA9-1E08FBE9C7C0}"/>
            </c:ext>
          </c:extLst>
        </c:ser>
        <c:ser>
          <c:idx val="5"/>
          <c:order val="5"/>
          <c:tx>
            <c:strRef>
              <c:f>CED!$B$124</c:f>
              <c:strCache>
                <c:ptCount val="1"/>
                <c:pt idx="0">
                  <c:v>Effluent Release</c:v>
                </c:pt>
              </c:strCache>
            </c:strRef>
          </c:tx>
          <c:spPr>
            <a:solidFill>
              <a:schemeClr val="accent6"/>
            </a:solidFill>
            <a:ln>
              <a:noFill/>
            </a:ln>
            <a:effectLst/>
          </c:spPr>
          <c:invertIfNegative val="0"/>
          <c:cat>
            <c:strRef>
              <c:f>CED!$C$118:$D$118</c:f>
              <c:strCache>
                <c:ptCount val="2"/>
                <c:pt idx="0">
                  <c:v>Legacy</c:v>
                </c:pt>
                <c:pt idx="1">
                  <c:v>Upgraded</c:v>
                </c:pt>
              </c:strCache>
            </c:strRef>
          </c:cat>
          <c:val>
            <c:numRef>
              <c:f>CED!$C$124:$D$124</c:f>
              <c:numCache>
                <c:formatCode>0.000</c:formatCode>
                <c:ptCount val="2"/>
                <c:pt idx="0" formatCode="0.00E+0">
                  <c:v>3.47E-3</c:v>
                </c:pt>
                <c:pt idx="1">
                  <c:v>0.13321</c:v>
                </c:pt>
              </c:numCache>
            </c:numRef>
          </c:val>
          <c:extLst>
            <c:ext xmlns:c16="http://schemas.microsoft.com/office/drawing/2014/chart" uri="{C3380CC4-5D6E-409C-BE32-E72D297353CC}">
              <c16:uniqueId val="{00000005-5B91-4A43-9AA9-1E08FBE9C7C0}"/>
            </c:ext>
          </c:extLst>
        </c:ser>
        <c:dLbls>
          <c:showLegendKey val="0"/>
          <c:showVal val="0"/>
          <c:showCatName val="0"/>
          <c:showSerName val="0"/>
          <c:showPercent val="0"/>
          <c:showBubbleSize val="0"/>
        </c:dLbls>
        <c:gapWidth val="150"/>
        <c:overlap val="100"/>
        <c:axId val="310036856"/>
        <c:axId val="306096360"/>
      </c:barChart>
      <c:lineChart>
        <c:grouping val="standard"/>
        <c:varyColors val="0"/>
        <c:ser>
          <c:idx val="6"/>
          <c:order val="6"/>
          <c:tx>
            <c:strRef>
              <c:f>CED!$B$125</c:f>
              <c:strCache>
                <c:ptCount val="1"/>
                <c:pt idx="0">
                  <c:v>Total</c:v>
                </c:pt>
              </c:strCache>
            </c:strRef>
          </c:tx>
          <c:spPr>
            <a:ln w="28575" cap="rnd">
              <a:noFill/>
              <a:round/>
            </a:ln>
            <a:effectLst/>
          </c:spPr>
          <c:marker>
            <c:symbol val="circle"/>
            <c:size val="5"/>
            <c:spPr>
              <a:solidFill>
                <a:schemeClr val="accent1">
                  <a:lumMod val="60000"/>
                </a:schemeClr>
              </a:solidFill>
              <a:ln w="9525">
                <a:solidFill>
                  <a:schemeClr val="tx2">
                    <a:lumMod val="75000"/>
                  </a:schemeClr>
                </a:solidFill>
              </a:ln>
              <a:effectLst/>
            </c:spPr>
          </c:marker>
          <c:dLbls>
            <c:dLbl>
              <c:idx val="0"/>
              <c:layout>
                <c:manualLayout>
                  <c:x val="2.431636037270235E-2"/>
                  <c:y val="-0.177115920854760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91-4A43-9AA9-1E08FBE9C7C0}"/>
                </c:ext>
              </c:extLst>
            </c:dLbl>
            <c:dLbl>
              <c:idx val="1"/>
              <c:layout>
                <c:manualLayout>
                  <c:x val="2.6604524387017062E-2"/>
                  <c:y val="-0.13591138364762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91-4A43-9AA9-1E08FBE9C7C0}"/>
                </c:ext>
              </c:extLst>
            </c:dLbl>
            <c:numFmt formatCode="#,##0.0" sourceLinked="0"/>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CED!$C$118:$D$118</c:f>
              <c:strCache>
                <c:ptCount val="2"/>
                <c:pt idx="0">
                  <c:v>Legacy</c:v>
                </c:pt>
                <c:pt idx="1">
                  <c:v>Upgraded</c:v>
                </c:pt>
              </c:strCache>
            </c:strRef>
          </c:cat>
          <c:val>
            <c:numRef>
              <c:f>CED!$C$125:$D$125</c:f>
              <c:numCache>
                <c:formatCode>00.0</c:formatCode>
                <c:ptCount val="2"/>
                <c:pt idx="0" formatCode="0.00">
                  <c:v>9.0742799999999999</c:v>
                </c:pt>
                <c:pt idx="1">
                  <c:v>9.552500000000002</c:v>
                </c:pt>
              </c:numCache>
            </c:numRef>
          </c:val>
          <c:smooth val="0"/>
          <c:extLst>
            <c:ext xmlns:c16="http://schemas.microsoft.com/office/drawing/2014/chart" uri="{C3380CC4-5D6E-409C-BE32-E72D297353CC}">
              <c16:uniqueId val="{00000008-5B91-4A43-9AA9-1E08FBE9C7C0}"/>
            </c:ext>
          </c:extLst>
        </c:ser>
        <c:dLbls>
          <c:showLegendKey val="0"/>
          <c:showVal val="0"/>
          <c:showCatName val="0"/>
          <c:showSerName val="0"/>
          <c:showPercent val="0"/>
          <c:showBubbleSize val="0"/>
        </c:dLbls>
        <c:marker val="1"/>
        <c:smooth val="0"/>
        <c:axId val="310036856"/>
        <c:axId val="306096360"/>
      </c:lineChart>
      <c:catAx>
        <c:axId val="310036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6096360"/>
        <c:crosses val="autoZero"/>
        <c:auto val="1"/>
        <c:lblAlgn val="ctr"/>
        <c:lblOffset val="100"/>
        <c:noMultiLvlLbl val="0"/>
      </c:catAx>
      <c:valAx>
        <c:axId val="306096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MJ/m3 wastewater treated</a:t>
                </a:r>
              </a:p>
            </c:rich>
          </c:tx>
          <c:layout>
            <c:manualLayout>
              <c:xMode val="edge"/>
              <c:yMode val="edge"/>
              <c:x val="2.9447798156588014E-2"/>
              <c:y val="0.1746686386786033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10036856"/>
        <c:crosses val="autoZero"/>
        <c:crossBetween val="between"/>
      </c:valAx>
      <c:spPr>
        <a:noFill/>
        <a:ln>
          <a:noFill/>
        </a:ln>
        <a:effectLst/>
      </c:spPr>
    </c:plotArea>
    <c:legend>
      <c:legendPos val="b"/>
      <c:layout>
        <c:manualLayout>
          <c:xMode val="edge"/>
          <c:yMode val="edge"/>
          <c:x val="0.12543525564333655"/>
          <c:y val="0.8435198889071609"/>
          <c:w val="0.83815574643600921"/>
          <c:h val="0.1425908206025010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65800551003607"/>
          <c:y val="4.2439998265600638E-2"/>
          <c:w val="0.85856892212225255"/>
          <c:h val="0.69587897951190314"/>
        </c:manualLayout>
      </c:layout>
      <c:barChart>
        <c:barDir val="col"/>
        <c:grouping val="stacked"/>
        <c:varyColors val="0"/>
        <c:ser>
          <c:idx val="0"/>
          <c:order val="0"/>
          <c:tx>
            <c:strRef>
              <c:f>AP!$B$119</c:f>
              <c:strCache>
                <c:ptCount val="1"/>
                <c:pt idx="0">
                  <c:v>Preliminary/Primary</c:v>
                </c:pt>
              </c:strCache>
            </c:strRef>
          </c:tx>
          <c:spPr>
            <a:solidFill>
              <a:schemeClr val="accent1"/>
            </a:solidFill>
            <a:ln>
              <a:noFill/>
            </a:ln>
            <a:effectLst/>
          </c:spPr>
          <c:invertIfNegative val="0"/>
          <c:cat>
            <c:strRef>
              <c:f>AP!$C$118:$D$118</c:f>
              <c:strCache>
                <c:ptCount val="2"/>
                <c:pt idx="0">
                  <c:v>Legacy</c:v>
                </c:pt>
                <c:pt idx="1">
                  <c:v>Upgraded</c:v>
                </c:pt>
              </c:strCache>
            </c:strRef>
          </c:cat>
          <c:val>
            <c:numRef>
              <c:f>AP!$C$119:$D$119</c:f>
              <c:numCache>
                <c:formatCode>0.000</c:formatCode>
                <c:ptCount val="2"/>
                <c:pt idx="0" formatCode="0.00E+0">
                  <c:v>6.6099999999999996E-3</c:v>
                </c:pt>
                <c:pt idx="1">
                  <c:v>1.1729999999999999E-2</c:v>
                </c:pt>
              </c:numCache>
            </c:numRef>
          </c:val>
          <c:extLst>
            <c:ext xmlns:c16="http://schemas.microsoft.com/office/drawing/2014/chart" uri="{C3380CC4-5D6E-409C-BE32-E72D297353CC}">
              <c16:uniqueId val="{00000000-017B-47E6-8F42-298D682D5979}"/>
            </c:ext>
          </c:extLst>
        </c:ser>
        <c:ser>
          <c:idx val="1"/>
          <c:order val="1"/>
          <c:tx>
            <c:strRef>
              <c:f>AP!$B$120</c:f>
              <c:strCache>
                <c:ptCount val="1"/>
                <c:pt idx="0">
                  <c:v>Biological Treatment</c:v>
                </c:pt>
              </c:strCache>
            </c:strRef>
          </c:tx>
          <c:spPr>
            <a:solidFill>
              <a:schemeClr val="accent2"/>
            </a:solidFill>
            <a:ln>
              <a:noFill/>
            </a:ln>
            <a:effectLst/>
          </c:spPr>
          <c:invertIfNegative val="0"/>
          <c:cat>
            <c:strRef>
              <c:f>AP!$C$118:$D$118</c:f>
              <c:strCache>
                <c:ptCount val="2"/>
                <c:pt idx="0">
                  <c:v>Legacy</c:v>
                </c:pt>
                <c:pt idx="1">
                  <c:v>Upgraded</c:v>
                </c:pt>
              </c:strCache>
            </c:strRef>
          </c:cat>
          <c:val>
            <c:numRef>
              <c:f>AP!$C$120:$D$120</c:f>
              <c:numCache>
                <c:formatCode>0.000</c:formatCode>
                <c:ptCount val="2"/>
                <c:pt idx="0">
                  <c:v>1.312E-2</c:v>
                </c:pt>
                <c:pt idx="1">
                  <c:v>2.155E-2</c:v>
                </c:pt>
              </c:numCache>
            </c:numRef>
          </c:val>
          <c:extLst>
            <c:ext xmlns:c16="http://schemas.microsoft.com/office/drawing/2014/chart" uri="{C3380CC4-5D6E-409C-BE32-E72D297353CC}">
              <c16:uniqueId val="{00000001-017B-47E6-8F42-298D682D5979}"/>
            </c:ext>
          </c:extLst>
        </c:ser>
        <c:ser>
          <c:idx val="2"/>
          <c:order val="2"/>
          <c:tx>
            <c:strRef>
              <c:f>AP!$B$121</c:f>
              <c:strCache>
                <c:ptCount val="1"/>
                <c:pt idx="0">
                  <c:v>Facilities</c:v>
                </c:pt>
              </c:strCache>
            </c:strRef>
          </c:tx>
          <c:spPr>
            <a:solidFill>
              <a:schemeClr val="accent3"/>
            </a:solidFill>
            <a:ln>
              <a:noFill/>
            </a:ln>
            <a:effectLst/>
          </c:spPr>
          <c:invertIfNegative val="0"/>
          <c:cat>
            <c:strRef>
              <c:f>AP!$C$118:$D$118</c:f>
              <c:strCache>
                <c:ptCount val="2"/>
                <c:pt idx="0">
                  <c:v>Legacy</c:v>
                </c:pt>
                <c:pt idx="1">
                  <c:v>Upgraded</c:v>
                </c:pt>
              </c:strCache>
            </c:strRef>
          </c:cat>
          <c:val>
            <c:numRef>
              <c:f>AP!$C$121:$D$121</c:f>
              <c:numCache>
                <c:formatCode>0.00E+0</c:formatCode>
                <c:ptCount val="2"/>
                <c:pt idx="0">
                  <c:v>1.2999999999999999E-4</c:v>
                </c:pt>
                <c:pt idx="1">
                  <c:v>4.0354700000000002E-5</c:v>
                </c:pt>
              </c:numCache>
            </c:numRef>
          </c:val>
          <c:extLst>
            <c:ext xmlns:c16="http://schemas.microsoft.com/office/drawing/2014/chart" uri="{C3380CC4-5D6E-409C-BE32-E72D297353CC}">
              <c16:uniqueId val="{00000002-017B-47E6-8F42-298D682D5979}"/>
            </c:ext>
          </c:extLst>
        </c:ser>
        <c:ser>
          <c:idx val="3"/>
          <c:order val="3"/>
          <c:tx>
            <c:strRef>
              <c:f>AP!$B$122</c:f>
              <c:strCache>
                <c:ptCount val="1"/>
                <c:pt idx="0">
                  <c:v>Sludge Handling and Treatment</c:v>
                </c:pt>
              </c:strCache>
            </c:strRef>
          </c:tx>
          <c:spPr>
            <a:solidFill>
              <a:schemeClr val="accent4"/>
            </a:solidFill>
            <a:ln>
              <a:noFill/>
            </a:ln>
            <a:effectLst/>
          </c:spPr>
          <c:invertIfNegative val="0"/>
          <c:cat>
            <c:strRef>
              <c:f>AP!$C$118:$D$118</c:f>
              <c:strCache>
                <c:ptCount val="2"/>
                <c:pt idx="0">
                  <c:v>Legacy</c:v>
                </c:pt>
                <c:pt idx="1">
                  <c:v>Upgraded</c:v>
                </c:pt>
              </c:strCache>
            </c:strRef>
          </c:cat>
          <c:val>
            <c:numRef>
              <c:f>AP!$C$122:$D$122</c:f>
              <c:numCache>
                <c:formatCode>0.00E+0</c:formatCode>
                <c:ptCount val="2"/>
                <c:pt idx="0" formatCode="0.000">
                  <c:v>1.41528769E-2</c:v>
                </c:pt>
                <c:pt idx="1">
                  <c:v>3.8600000000000001E-3</c:v>
                </c:pt>
              </c:numCache>
            </c:numRef>
          </c:val>
          <c:extLst>
            <c:ext xmlns:c16="http://schemas.microsoft.com/office/drawing/2014/chart" uri="{C3380CC4-5D6E-409C-BE32-E72D297353CC}">
              <c16:uniqueId val="{00000003-017B-47E6-8F42-298D682D5979}"/>
            </c:ext>
          </c:extLst>
        </c:ser>
        <c:ser>
          <c:idx val="4"/>
          <c:order val="4"/>
          <c:tx>
            <c:strRef>
              <c:f>AP!$B$123</c:f>
              <c:strCache>
                <c:ptCount val="1"/>
                <c:pt idx="0">
                  <c:v>Sludge Disposal</c:v>
                </c:pt>
              </c:strCache>
            </c:strRef>
          </c:tx>
          <c:spPr>
            <a:solidFill>
              <a:schemeClr val="accent5"/>
            </a:solidFill>
            <a:ln>
              <a:noFill/>
            </a:ln>
            <a:effectLst/>
          </c:spPr>
          <c:invertIfNegative val="0"/>
          <c:cat>
            <c:strRef>
              <c:f>AP!$C$118:$D$118</c:f>
              <c:strCache>
                <c:ptCount val="2"/>
                <c:pt idx="0">
                  <c:v>Legacy</c:v>
                </c:pt>
                <c:pt idx="1">
                  <c:v>Upgraded</c:v>
                </c:pt>
              </c:strCache>
            </c:strRef>
          </c:cat>
          <c:val>
            <c:numRef>
              <c:f>AP!$C$123:$D$123</c:f>
              <c:numCache>
                <c:formatCode>0.00E+0</c:formatCode>
                <c:ptCount val="2"/>
                <c:pt idx="0">
                  <c:v>-3.2200000000000002E-3</c:v>
                </c:pt>
                <c:pt idx="1">
                  <c:v>2.6700000000000001E-3</c:v>
                </c:pt>
              </c:numCache>
            </c:numRef>
          </c:val>
          <c:extLst>
            <c:ext xmlns:c16="http://schemas.microsoft.com/office/drawing/2014/chart" uri="{C3380CC4-5D6E-409C-BE32-E72D297353CC}">
              <c16:uniqueId val="{00000004-017B-47E6-8F42-298D682D5979}"/>
            </c:ext>
          </c:extLst>
        </c:ser>
        <c:ser>
          <c:idx val="5"/>
          <c:order val="5"/>
          <c:tx>
            <c:strRef>
              <c:f>AP!$B$124</c:f>
              <c:strCache>
                <c:ptCount val="1"/>
                <c:pt idx="0">
                  <c:v>Effluent Release</c:v>
                </c:pt>
              </c:strCache>
            </c:strRef>
          </c:tx>
          <c:spPr>
            <a:solidFill>
              <a:schemeClr val="accent6"/>
            </a:solidFill>
            <a:ln>
              <a:noFill/>
            </a:ln>
            <a:effectLst/>
          </c:spPr>
          <c:invertIfNegative val="0"/>
          <c:cat>
            <c:strRef>
              <c:f>AP!$C$118:$D$118</c:f>
              <c:strCache>
                <c:ptCount val="2"/>
                <c:pt idx="0">
                  <c:v>Legacy</c:v>
                </c:pt>
                <c:pt idx="1">
                  <c:v>Upgraded</c:v>
                </c:pt>
              </c:strCache>
            </c:strRef>
          </c:cat>
          <c:val>
            <c:numRef>
              <c:f>AP!$C$124:$D$124</c:f>
              <c:numCache>
                <c:formatCode>0.00E+0</c:formatCode>
                <c:ptCount val="2"/>
                <c:pt idx="0">
                  <c:v>3.9818900000000001E-6</c:v>
                </c:pt>
                <c:pt idx="1">
                  <c:v>3.5E-4</c:v>
                </c:pt>
              </c:numCache>
            </c:numRef>
          </c:val>
          <c:extLst>
            <c:ext xmlns:c16="http://schemas.microsoft.com/office/drawing/2014/chart" uri="{C3380CC4-5D6E-409C-BE32-E72D297353CC}">
              <c16:uniqueId val="{00000005-017B-47E6-8F42-298D682D5979}"/>
            </c:ext>
          </c:extLst>
        </c:ser>
        <c:dLbls>
          <c:showLegendKey val="0"/>
          <c:showVal val="0"/>
          <c:showCatName val="0"/>
          <c:showSerName val="0"/>
          <c:showPercent val="0"/>
          <c:showBubbleSize val="0"/>
        </c:dLbls>
        <c:gapWidth val="150"/>
        <c:overlap val="100"/>
        <c:axId val="310036856"/>
        <c:axId val="306096360"/>
      </c:barChart>
      <c:lineChart>
        <c:grouping val="standard"/>
        <c:varyColors val="0"/>
        <c:ser>
          <c:idx val="6"/>
          <c:order val="6"/>
          <c:tx>
            <c:strRef>
              <c:f>AP!$B$125</c:f>
              <c:strCache>
                <c:ptCount val="1"/>
                <c:pt idx="0">
                  <c:v>Total</c:v>
                </c:pt>
              </c:strCache>
            </c:strRef>
          </c:tx>
          <c:spPr>
            <a:ln w="28575" cap="rnd">
              <a:noFill/>
              <a:round/>
            </a:ln>
            <a:effectLst/>
          </c:spPr>
          <c:marker>
            <c:symbol val="circle"/>
            <c:size val="5"/>
            <c:spPr>
              <a:solidFill>
                <a:schemeClr val="accent1">
                  <a:lumMod val="60000"/>
                </a:schemeClr>
              </a:solidFill>
              <a:ln w="9525">
                <a:solidFill>
                  <a:schemeClr val="tx2">
                    <a:lumMod val="75000"/>
                  </a:schemeClr>
                </a:solidFill>
              </a:ln>
              <a:effectLst/>
            </c:spPr>
          </c:marker>
          <c:dLbls>
            <c:dLbl>
              <c:idx val="0"/>
              <c:layout>
                <c:manualLayout>
                  <c:x val="-1.0379034394887173E-3"/>
                  <c:y val="-8.2518276575753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7B-47E6-8F42-298D682D5979}"/>
                </c:ext>
              </c:extLst>
            </c:dLbl>
            <c:dLbl>
              <c:idx val="1"/>
              <c:layout>
                <c:manualLayout>
                  <c:x val="1.1110269421232966E-2"/>
                  <c:y val="-2.867228666327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7B-47E6-8F42-298D682D5979}"/>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AP!$C$118:$D$118</c:f>
              <c:strCache>
                <c:ptCount val="2"/>
                <c:pt idx="0">
                  <c:v>Legacy</c:v>
                </c:pt>
                <c:pt idx="1">
                  <c:v>Upgraded</c:v>
                </c:pt>
              </c:strCache>
            </c:strRef>
          </c:cat>
          <c:val>
            <c:numRef>
              <c:f>AP!$C$125:$D$125</c:f>
              <c:numCache>
                <c:formatCode>0.000</c:formatCode>
                <c:ptCount val="2"/>
                <c:pt idx="0">
                  <c:v>3.0796858790000003E-2</c:v>
                </c:pt>
                <c:pt idx="1">
                  <c:v>4.0200354700000003E-2</c:v>
                </c:pt>
              </c:numCache>
            </c:numRef>
          </c:val>
          <c:smooth val="0"/>
          <c:extLst>
            <c:ext xmlns:c16="http://schemas.microsoft.com/office/drawing/2014/chart" uri="{C3380CC4-5D6E-409C-BE32-E72D297353CC}">
              <c16:uniqueId val="{00000008-017B-47E6-8F42-298D682D5979}"/>
            </c:ext>
          </c:extLst>
        </c:ser>
        <c:dLbls>
          <c:showLegendKey val="0"/>
          <c:showVal val="0"/>
          <c:showCatName val="0"/>
          <c:showSerName val="0"/>
          <c:showPercent val="0"/>
          <c:showBubbleSize val="0"/>
        </c:dLbls>
        <c:marker val="1"/>
        <c:smooth val="0"/>
        <c:axId val="310036856"/>
        <c:axId val="306096360"/>
      </c:lineChart>
      <c:catAx>
        <c:axId val="310036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6096360"/>
        <c:crosses val="autoZero"/>
        <c:auto val="1"/>
        <c:lblAlgn val="ctr"/>
        <c:lblOffset val="100"/>
        <c:noMultiLvlLbl val="0"/>
      </c:catAx>
      <c:valAx>
        <c:axId val="306096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kg SO2-eq/m3 wastewater treated</a:t>
                </a:r>
              </a:p>
            </c:rich>
          </c:tx>
          <c:layout>
            <c:manualLayout>
              <c:xMode val="edge"/>
              <c:yMode val="edge"/>
              <c:x val="2.5414215861067783E-2"/>
              <c:y val="8.3409837042444201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10036856"/>
        <c:crosses val="autoZero"/>
        <c:crossBetween val="between"/>
      </c:valAx>
      <c:spPr>
        <a:noFill/>
        <a:ln>
          <a:noFill/>
        </a:ln>
        <a:effectLst/>
      </c:spPr>
    </c:plotArea>
    <c:legend>
      <c:legendPos val="b"/>
      <c:layout>
        <c:manualLayout>
          <c:xMode val="edge"/>
          <c:yMode val="edge"/>
          <c:x val="0.15164082019437564"/>
          <c:y val="0.79977776018266433"/>
          <c:w val="0.81089694355293718"/>
          <c:h val="0.1601144043298416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72004232297934"/>
          <c:y val="5.8560209047498563E-2"/>
          <c:w val="0.85856892212225255"/>
          <c:h val="0.6906235523005011"/>
        </c:manualLayout>
      </c:layout>
      <c:barChart>
        <c:barDir val="col"/>
        <c:grouping val="stacked"/>
        <c:varyColors val="0"/>
        <c:ser>
          <c:idx val="0"/>
          <c:order val="0"/>
          <c:tx>
            <c:strRef>
              <c:f>PMFP!$B$119</c:f>
              <c:strCache>
                <c:ptCount val="1"/>
                <c:pt idx="0">
                  <c:v>Preliminary/Primary</c:v>
                </c:pt>
              </c:strCache>
            </c:strRef>
          </c:tx>
          <c:spPr>
            <a:solidFill>
              <a:schemeClr val="accent1"/>
            </a:solidFill>
            <a:ln>
              <a:noFill/>
            </a:ln>
            <a:effectLst/>
          </c:spPr>
          <c:invertIfNegative val="0"/>
          <c:cat>
            <c:strRef>
              <c:f>PMFP!$C$118:$D$118</c:f>
              <c:strCache>
                <c:ptCount val="2"/>
                <c:pt idx="0">
                  <c:v>Legacy</c:v>
                </c:pt>
                <c:pt idx="1">
                  <c:v>Upgraded</c:v>
                </c:pt>
              </c:strCache>
            </c:strRef>
          </c:cat>
          <c:val>
            <c:numRef>
              <c:f>PMFP!$C$119:$D$119</c:f>
              <c:numCache>
                <c:formatCode>0.00E+0</c:formatCode>
                <c:ptCount val="2"/>
                <c:pt idx="0">
                  <c:v>8.1798330000000009E-4</c:v>
                </c:pt>
                <c:pt idx="1">
                  <c:v>1.5900000000000001E-3</c:v>
                </c:pt>
              </c:numCache>
            </c:numRef>
          </c:val>
          <c:extLst>
            <c:ext xmlns:c16="http://schemas.microsoft.com/office/drawing/2014/chart" uri="{C3380CC4-5D6E-409C-BE32-E72D297353CC}">
              <c16:uniqueId val="{00000000-3464-4A84-9307-34FA3676680A}"/>
            </c:ext>
          </c:extLst>
        </c:ser>
        <c:ser>
          <c:idx val="1"/>
          <c:order val="1"/>
          <c:tx>
            <c:strRef>
              <c:f>PMFP!$B$120</c:f>
              <c:strCache>
                <c:ptCount val="1"/>
                <c:pt idx="0">
                  <c:v>Biological Treatment</c:v>
                </c:pt>
              </c:strCache>
            </c:strRef>
          </c:tx>
          <c:spPr>
            <a:solidFill>
              <a:schemeClr val="accent2"/>
            </a:solidFill>
            <a:ln>
              <a:noFill/>
            </a:ln>
            <a:effectLst/>
          </c:spPr>
          <c:invertIfNegative val="0"/>
          <c:cat>
            <c:strRef>
              <c:f>PMFP!$C$118:$D$118</c:f>
              <c:strCache>
                <c:ptCount val="2"/>
                <c:pt idx="0">
                  <c:v>Legacy</c:v>
                </c:pt>
                <c:pt idx="1">
                  <c:v>Upgraded</c:v>
                </c:pt>
              </c:strCache>
            </c:strRef>
          </c:cat>
          <c:val>
            <c:numRef>
              <c:f>PMFP!$C$120:$D$120</c:f>
              <c:numCache>
                <c:formatCode>0.00E+0</c:formatCode>
                <c:ptCount val="2"/>
                <c:pt idx="0">
                  <c:v>1.7799999999999999E-3</c:v>
                </c:pt>
                <c:pt idx="1">
                  <c:v>2.9199999999999999E-3</c:v>
                </c:pt>
              </c:numCache>
            </c:numRef>
          </c:val>
          <c:extLst>
            <c:ext xmlns:c16="http://schemas.microsoft.com/office/drawing/2014/chart" uri="{C3380CC4-5D6E-409C-BE32-E72D297353CC}">
              <c16:uniqueId val="{00000001-3464-4A84-9307-34FA3676680A}"/>
            </c:ext>
          </c:extLst>
        </c:ser>
        <c:ser>
          <c:idx val="2"/>
          <c:order val="2"/>
          <c:tx>
            <c:strRef>
              <c:f>PMFP!$B$121</c:f>
              <c:strCache>
                <c:ptCount val="1"/>
                <c:pt idx="0">
                  <c:v>Facilities</c:v>
                </c:pt>
              </c:strCache>
            </c:strRef>
          </c:tx>
          <c:spPr>
            <a:solidFill>
              <a:schemeClr val="accent3"/>
            </a:solidFill>
            <a:ln>
              <a:noFill/>
            </a:ln>
            <a:effectLst/>
          </c:spPr>
          <c:invertIfNegative val="0"/>
          <c:cat>
            <c:strRef>
              <c:f>PMFP!$C$118:$D$118</c:f>
              <c:strCache>
                <c:ptCount val="2"/>
                <c:pt idx="0">
                  <c:v>Legacy</c:v>
                </c:pt>
                <c:pt idx="1">
                  <c:v>Upgraded</c:v>
                </c:pt>
              </c:strCache>
            </c:strRef>
          </c:cat>
          <c:val>
            <c:numRef>
              <c:f>PMFP!$C$121:$D$121</c:f>
              <c:numCache>
                <c:formatCode>0.00E+0</c:formatCode>
                <c:ptCount val="2"/>
                <c:pt idx="0">
                  <c:v>1.5461800000000002E-5</c:v>
                </c:pt>
                <c:pt idx="1">
                  <c:v>8.8212999999999997E-6</c:v>
                </c:pt>
              </c:numCache>
            </c:numRef>
          </c:val>
          <c:extLst>
            <c:ext xmlns:c16="http://schemas.microsoft.com/office/drawing/2014/chart" uri="{C3380CC4-5D6E-409C-BE32-E72D297353CC}">
              <c16:uniqueId val="{00000002-3464-4A84-9307-34FA3676680A}"/>
            </c:ext>
          </c:extLst>
        </c:ser>
        <c:ser>
          <c:idx val="3"/>
          <c:order val="3"/>
          <c:tx>
            <c:strRef>
              <c:f>PMFP!$B$122</c:f>
              <c:strCache>
                <c:ptCount val="1"/>
                <c:pt idx="0">
                  <c:v>Sludge Handling and Treatment</c:v>
                </c:pt>
              </c:strCache>
            </c:strRef>
          </c:tx>
          <c:spPr>
            <a:solidFill>
              <a:schemeClr val="accent4"/>
            </a:solidFill>
            <a:ln>
              <a:noFill/>
            </a:ln>
            <a:effectLst/>
          </c:spPr>
          <c:invertIfNegative val="0"/>
          <c:cat>
            <c:strRef>
              <c:f>PMFP!$C$118:$D$118</c:f>
              <c:strCache>
                <c:ptCount val="2"/>
                <c:pt idx="0">
                  <c:v>Legacy</c:v>
                </c:pt>
                <c:pt idx="1">
                  <c:v>Upgraded</c:v>
                </c:pt>
              </c:strCache>
            </c:strRef>
          </c:cat>
          <c:val>
            <c:numRef>
              <c:f>PMFP!$C$122:$D$122</c:f>
              <c:numCache>
                <c:formatCode>0.00E+0</c:formatCode>
                <c:ptCount val="2"/>
                <c:pt idx="0">
                  <c:v>1.9173510000000001E-3</c:v>
                </c:pt>
                <c:pt idx="1">
                  <c:v>-7.0341799999999998E-5</c:v>
                </c:pt>
              </c:numCache>
            </c:numRef>
          </c:val>
          <c:extLst>
            <c:ext xmlns:c16="http://schemas.microsoft.com/office/drawing/2014/chart" uri="{C3380CC4-5D6E-409C-BE32-E72D297353CC}">
              <c16:uniqueId val="{00000003-3464-4A84-9307-34FA3676680A}"/>
            </c:ext>
          </c:extLst>
        </c:ser>
        <c:ser>
          <c:idx val="4"/>
          <c:order val="4"/>
          <c:tx>
            <c:strRef>
              <c:f>PMFP!$B$123</c:f>
              <c:strCache>
                <c:ptCount val="1"/>
                <c:pt idx="0">
                  <c:v>Sludge Disposal</c:v>
                </c:pt>
              </c:strCache>
            </c:strRef>
          </c:tx>
          <c:spPr>
            <a:solidFill>
              <a:schemeClr val="accent5"/>
            </a:solidFill>
            <a:ln>
              <a:noFill/>
            </a:ln>
            <a:effectLst/>
          </c:spPr>
          <c:invertIfNegative val="0"/>
          <c:cat>
            <c:strRef>
              <c:f>PMFP!$C$118:$D$118</c:f>
              <c:strCache>
                <c:ptCount val="2"/>
                <c:pt idx="0">
                  <c:v>Legacy</c:v>
                </c:pt>
                <c:pt idx="1">
                  <c:v>Upgraded</c:v>
                </c:pt>
              </c:strCache>
            </c:strRef>
          </c:cat>
          <c:val>
            <c:numRef>
              <c:f>PMFP!$C$123:$D$123</c:f>
              <c:numCache>
                <c:formatCode>0.00E+0</c:formatCode>
                <c:ptCount val="2"/>
                <c:pt idx="0">
                  <c:v>-4.4000000000000002E-4</c:v>
                </c:pt>
                <c:pt idx="1">
                  <c:v>4.3225800000000002E-5</c:v>
                </c:pt>
              </c:numCache>
            </c:numRef>
          </c:val>
          <c:extLst>
            <c:ext xmlns:c16="http://schemas.microsoft.com/office/drawing/2014/chart" uri="{C3380CC4-5D6E-409C-BE32-E72D297353CC}">
              <c16:uniqueId val="{00000004-3464-4A84-9307-34FA3676680A}"/>
            </c:ext>
          </c:extLst>
        </c:ser>
        <c:ser>
          <c:idx val="5"/>
          <c:order val="5"/>
          <c:tx>
            <c:strRef>
              <c:f>PMFP!$B$124</c:f>
              <c:strCache>
                <c:ptCount val="1"/>
                <c:pt idx="0">
                  <c:v>Effluent Release</c:v>
                </c:pt>
              </c:strCache>
            </c:strRef>
          </c:tx>
          <c:spPr>
            <a:solidFill>
              <a:schemeClr val="accent6"/>
            </a:solidFill>
            <a:ln>
              <a:noFill/>
            </a:ln>
            <a:effectLst/>
          </c:spPr>
          <c:invertIfNegative val="0"/>
          <c:cat>
            <c:strRef>
              <c:f>PMFP!$C$118:$D$118</c:f>
              <c:strCache>
                <c:ptCount val="2"/>
                <c:pt idx="0">
                  <c:v>Legacy</c:v>
                </c:pt>
                <c:pt idx="1">
                  <c:v>Upgraded</c:v>
                </c:pt>
              </c:strCache>
            </c:strRef>
          </c:cat>
          <c:val>
            <c:numRef>
              <c:f>PMFP!$C$124:$D$124</c:f>
              <c:numCache>
                <c:formatCode>0.00E+0</c:formatCode>
                <c:ptCount val="2"/>
                <c:pt idx="0">
                  <c:v>6.2747700000000003E-7</c:v>
                </c:pt>
                <c:pt idx="1">
                  <c:v>4.99741E-5</c:v>
                </c:pt>
              </c:numCache>
            </c:numRef>
          </c:val>
          <c:extLst>
            <c:ext xmlns:c16="http://schemas.microsoft.com/office/drawing/2014/chart" uri="{C3380CC4-5D6E-409C-BE32-E72D297353CC}">
              <c16:uniqueId val="{00000005-3464-4A84-9307-34FA3676680A}"/>
            </c:ext>
          </c:extLst>
        </c:ser>
        <c:dLbls>
          <c:showLegendKey val="0"/>
          <c:showVal val="0"/>
          <c:showCatName val="0"/>
          <c:showSerName val="0"/>
          <c:showPercent val="0"/>
          <c:showBubbleSize val="0"/>
        </c:dLbls>
        <c:gapWidth val="150"/>
        <c:overlap val="100"/>
        <c:axId val="310036856"/>
        <c:axId val="306096360"/>
      </c:barChart>
      <c:lineChart>
        <c:grouping val="standard"/>
        <c:varyColors val="0"/>
        <c:ser>
          <c:idx val="6"/>
          <c:order val="6"/>
          <c:tx>
            <c:strRef>
              <c:f>PMFP!$B$125</c:f>
              <c:strCache>
                <c:ptCount val="1"/>
                <c:pt idx="0">
                  <c:v>Total</c:v>
                </c:pt>
              </c:strCache>
            </c:strRef>
          </c:tx>
          <c:spPr>
            <a:ln w="28575" cap="rnd">
              <a:noFill/>
              <a:round/>
            </a:ln>
            <a:effectLst/>
          </c:spPr>
          <c:marker>
            <c:symbol val="circle"/>
            <c:size val="5"/>
            <c:spPr>
              <a:solidFill>
                <a:schemeClr val="accent1">
                  <a:lumMod val="60000"/>
                </a:schemeClr>
              </a:solidFill>
              <a:ln w="9525">
                <a:solidFill>
                  <a:schemeClr val="tx2">
                    <a:lumMod val="75000"/>
                  </a:schemeClr>
                </a:solidFill>
              </a:ln>
              <a:effectLst/>
            </c:spPr>
          </c:marker>
          <c:dLbls>
            <c:dLbl>
              <c:idx val="0"/>
              <c:layout>
                <c:manualLayout>
                  <c:x val="2.431636037270235E-2"/>
                  <c:y val="-0.177115920854760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64-4A84-9307-34FA3676680A}"/>
                </c:ext>
              </c:extLst>
            </c:dLbl>
            <c:dLbl>
              <c:idx val="1"/>
              <c:layout>
                <c:manualLayout>
                  <c:x val="2.6604524387017062E-2"/>
                  <c:y val="-0.13591138364762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64-4A84-9307-34FA3676680A}"/>
                </c:ext>
              </c:extLst>
            </c:dLbl>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PMFP!$C$118:$D$118</c:f>
              <c:strCache>
                <c:ptCount val="2"/>
                <c:pt idx="0">
                  <c:v>Legacy</c:v>
                </c:pt>
                <c:pt idx="1">
                  <c:v>Upgraded</c:v>
                </c:pt>
              </c:strCache>
            </c:strRef>
          </c:cat>
          <c:val>
            <c:numRef>
              <c:f>PMFP!$C$125:$D$125</c:f>
              <c:numCache>
                <c:formatCode>0.00E+0</c:formatCode>
                <c:ptCount val="2"/>
                <c:pt idx="0">
                  <c:v>4.0914235769999993E-3</c:v>
                </c:pt>
                <c:pt idx="1">
                  <c:v>4.5416794E-3</c:v>
                </c:pt>
              </c:numCache>
            </c:numRef>
          </c:val>
          <c:smooth val="0"/>
          <c:extLst>
            <c:ext xmlns:c16="http://schemas.microsoft.com/office/drawing/2014/chart" uri="{C3380CC4-5D6E-409C-BE32-E72D297353CC}">
              <c16:uniqueId val="{00000008-3464-4A84-9307-34FA3676680A}"/>
            </c:ext>
          </c:extLst>
        </c:ser>
        <c:dLbls>
          <c:showLegendKey val="0"/>
          <c:showVal val="0"/>
          <c:showCatName val="0"/>
          <c:showSerName val="0"/>
          <c:showPercent val="0"/>
          <c:showBubbleSize val="0"/>
        </c:dLbls>
        <c:marker val="1"/>
        <c:smooth val="0"/>
        <c:axId val="310036856"/>
        <c:axId val="306096360"/>
      </c:lineChart>
      <c:catAx>
        <c:axId val="310036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6096360"/>
        <c:crosses val="autoZero"/>
        <c:auto val="1"/>
        <c:lblAlgn val="ctr"/>
        <c:lblOffset val="100"/>
        <c:noMultiLvlLbl val="0"/>
      </c:catAx>
      <c:valAx>
        <c:axId val="306096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kg PM2.5-eq/m3 wastewater treated</a:t>
                </a:r>
              </a:p>
            </c:rich>
          </c:tx>
          <c:layout>
            <c:manualLayout>
              <c:xMode val="edge"/>
              <c:yMode val="edge"/>
              <c:x val="2.2597081071260978E-2"/>
              <c:y val="0.1063479146609659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10036856"/>
        <c:crosses val="autoZero"/>
        <c:crossBetween val="between"/>
      </c:valAx>
      <c:spPr>
        <a:noFill/>
        <a:ln>
          <a:noFill/>
        </a:ln>
        <a:effectLst/>
      </c:spPr>
    </c:plotArea>
    <c:legend>
      <c:legendPos val="b"/>
      <c:layout>
        <c:manualLayout>
          <c:xMode val="edge"/>
          <c:yMode val="edge"/>
          <c:x val="3.7546861207199925E-2"/>
          <c:y val="0.83054102554075548"/>
          <c:w val="0.87428247632359035"/>
          <c:h val="0.1458095520079352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72004232297934"/>
          <c:y val="5.8560209047498563E-2"/>
          <c:w val="0.85856892212225255"/>
          <c:h val="0.69618602242953276"/>
        </c:manualLayout>
      </c:layout>
      <c:barChart>
        <c:barDir val="col"/>
        <c:grouping val="stacked"/>
        <c:varyColors val="0"/>
        <c:ser>
          <c:idx val="0"/>
          <c:order val="0"/>
          <c:tx>
            <c:strRef>
              <c:f>SFP!$B$119</c:f>
              <c:strCache>
                <c:ptCount val="1"/>
                <c:pt idx="0">
                  <c:v>Preliminary/Primary</c:v>
                </c:pt>
              </c:strCache>
            </c:strRef>
          </c:tx>
          <c:spPr>
            <a:solidFill>
              <a:schemeClr val="accent1"/>
            </a:solidFill>
            <a:ln>
              <a:noFill/>
            </a:ln>
            <a:effectLst/>
          </c:spPr>
          <c:invertIfNegative val="0"/>
          <c:cat>
            <c:strRef>
              <c:f>SFP!$C$118:$D$118</c:f>
              <c:strCache>
                <c:ptCount val="2"/>
                <c:pt idx="0">
                  <c:v>Legacy</c:v>
                </c:pt>
                <c:pt idx="1">
                  <c:v>Upgraded</c:v>
                </c:pt>
              </c:strCache>
            </c:strRef>
          </c:cat>
          <c:val>
            <c:numRef>
              <c:f>SFP!$C$119:$D$119</c:f>
              <c:numCache>
                <c:formatCode>0.000</c:formatCode>
                <c:ptCount val="2"/>
                <c:pt idx="0">
                  <c:v>5.534E-2</c:v>
                </c:pt>
                <c:pt idx="1">
                  <c:v>0.11252000000000001</c:v>
                </c:pt>
              </c:numCache>
            </c:numRef>
          </c:val>
          <c:extLst>
            <c:ext xmlns:c16="http://schemas.microsoft.com/office/drawing/2014/chart" uri="{C3380CC4-5D6E-409C-BE32-E72D297353CC}">
              <c16:uniqueId val="{00000000-7647-4EEA-8AEA-22C5D32B679C}"/>
            </c:ext>
          </c:extLst>
        </c:ser>
        <c:ser>
          <c:idx val="1"/>
          <c:order val="1"/>
          <c:tx>
            <c:strRef>
              <c:f>SFP!$B$120</c:f>
              <c:strCache>
                <c:ptCount val="1"/>
                <c:pt idx="0">
                  <c:v>Biological Treatment</c:v>
                </c:pt>
              </c:strCache>
            </c:strRef>
          </c:tx>
          <c:spPr>
            <a:solidFill>
              <a:schemeClr val="accent2"/>
            </a:solidFill>
            <a:ln>
              <a:noFill/>
            </a:ln>
            <a:effectLst/>
          </c:spPr>
          <c:invertIfNegative val="0"/>
          <c:cat>
            <c:strRef>
              <c:f>SFP!$C$118:$D$118</c:f>
              <c:strCache>
                <c:ptCount val="2"/>
                <c:pt idx="0">
                  <c:v>Legacy</c:v>
                </c:pt>
                <c:pt idx="1">
                  <c:v>Upgraded</c:v>
                </c:pt>
              </c:strCache>
            </c:strRef>
          </c:cat>
          <c:val>
            <c:numRef>
              <c:f>SFP!$C$120:$D$120</c:f>
              <c:numCache>
                <c:formatCode>0.000</c:formatCode>
                <c:ptCount val="2"/>
                <c:pt idx="0">
                  <c:v>0.12629000000000001</c:v>
                </c:pt>
                <c:pt idx="1">
                  <c:v>0.20755000000000001</c:v>
                </c:pt>
              </c:numCache>
            </c:numRef>
          </c:val>
          <c:extLst>
            <c:ext xmlns:c16="http://schemas.microsoft.com/office/drawing/2014/chart" uri="{C3380CC4-5D6E-409C-BE32-E72D297353CC}">
              <c16:uniqueId val="{00000001-7647-4EEA-8AEA-22C5D32B679C}"/>
            </c:ext>
          </c:extLst>
        </c:ser>
        <c:ser>
          <c:idx val="2"/>
          <c:order val="2"/>
          <c:tx>
            <c:strRef>
              <c:f>SFP!$B$121</c:f>
              <c:strCache>
                <c:ptCount val="1"/>
                <c:pt idx="0">
                  <c:v>Facilities</c:v>
                </c:pt>
              </c:strCache>
            </c:strRef>
          </c:tx>
          <c:spPr>
            <a:solidFill>
              <a:schemeClr val="accent3"/>
            </a:solidFill>
            <a:ln>
              <a:noFill/>
            </a:ln>
            <a:effectLst/>
          </c:spPr>
          <c:invertIfNegative val="0"/>
          <c:cat>
            <c:strRef>
              <c:f>SFP!$C$118:$D$118</c:f>
              <c:strCache>
                <c:ptCount val="2"/>
                <c:pt idx="0">
                  <c:v>Legacy</c:v>
                </c:pt>
                <c:pt idx="1">
                  <c:v>Upgraded</c:v>
                </c:pt>
              </c:strCache>
            </c:strRef>
          </c:cat>
          <c:val>
            <c:numRef>
              <c:f>SFP!$C$121:$D$121</c:f>
              <c:numCache>
                <c:formatCode>0.00E+0</c:formatCode>
                <c:ptCount val="2"/>
                <c:pt idx="0">
                  <c:v>1.3699999999999999E-3</c:v>
                </c:pt>
                <c:pt idx="1">
                  <c:v>5.4000000000000001E-4</c:v>
                </c:pt>
              </c:numCache>
            </c:numRef>
          </c:val>
          <c:extLst>
            <c:ext xmlns:c16="http://schemas.microsoft.com/office/drawing/2014/chart" uri="{C3380CC4-5D6E-409C-BE32-E72D297353CC}">
              <c16:uniqueId val="{00000002-7647-4EEA-8AEA-22C5D32B679C}"/>
            </c:ext>
          </c:extLst>
        </c:ser>
        <c:ser>
          <c:idx val="3"/>
          <c:order val="3"/>
          <c:tx>
            <c:strRef>
              <c:f>SFP!$B$122</c:f>
              <c:strCache>
                <c:ptCount val="1"/>
                <c:pt idx="0">
                  <c:v>Sludge Handling and Treatment</c:v>
                </c:pt>
              </c:strCache>
            </c:strRef>
          </c:tx>
          <c:spPr>
            <a:solidFill>
              <a:schemeClr val="accent4"/>
            </a:solidFill>
            <a:ln>
              <a:noFill/>
            </a:ln>
            <a:effectLst/>
          </c:spPr>
          <c:invertIfNegative val="0"/>
          <c:cat>
            <c:strRef>
              <c:f>SFP!$C$118:$D$118</c:f>
              <c:strCache>
                <c:ptCount val="2"/>
                <c:pt idx="0">
                  <c:v>Legacy</c:v>
                </c:pt>
                <c:pt idx="1">
                  <c:v>Upgraded</c:v>
                </c:pt>
              </c:strCache>
            </c:strRef>
          </c:cat>
          <c:val>
            <c:numRef>
              <c:f>SFP!$C$122:$D$122</c:f>
              <c:numCache>
                <c:formatCode>0.000</c:formatCode>
                <c:ptCount val="2"/>
                <c:pt idx="0">
                  <c:v>0.13616</c:v>
                </c:pt>
                <c:pt idx="1">
                  <c:v>-1.1450000000000005E-2</c:v>
                </c:pt>
              </c:numCache>
            </c:numRef>
          </c:val>
          <c:extLst>
            <c:ext xmlns:c16="http://schemas.microsoft.com/office/drawing/2014/chart" uri="{C3380CC4-5D6E-409C-BE32-E72D297353CC}">
              <c16:uniqueId val="{00000003-7647-4EEA-8AEA-22C5D32B679C}"/>
            </c:ext>
          </c:extLst>
        </c:ser>
        <c:ser>
          <c:idx val="4"/>
          <c:order val="4"/>
          <c:tx>
            <c:strRef>
              <c:f>SFP!$B$123</c:f>
              <c:strCache>
                <c:ptCount val="1"/>
                <c:pt idx="0">
                  <c:v>Sludge Disposal</c:v>
                </c:pt>
              </c:strCache>
            </c:strRef>
          </c:tx>
          <c:spPr>
            <a:solidFill>
              <a:schemeClr val="accent5"/>
            </a:solidFill>
            <a:ln>
              <a:noFill/>
            </a:ln>
            <a:effectLst/>
          </c:spPr>
          <c:invertIfNegative val="0"/>
          <c:cat>
            <c:strRef>
              <c:f>SFP!$C$118:$D$118</c:f>
              <c:strCache>
                <c:ptCount val="2"/>
                <c:pt idx="0">
                  <c:v>Legacy</c:v>
                </c:pt>
                <c:pt idx="1">
                  <c:v>Upgraded</c:v>
                </c:pt>
              </c:strCache>
            </c:strRef>
          </c:cat>
          <c:val>
            <c:numRef>
              <c:f>SFP!$C$123:$D$123</c:f>
              <c:numCache>
                <c:formatCode>0.00E+0</c:formatCode>
                <c:ptCount val="2"/>
                <c:pt idx="0" formatCode="0.000">
                  <c:v>-3.014E-2</c:v>
                </c:pt>
                <c:pt idx="1">
                  <c:v>-2.7799999999999999E-3</c:v>
                </c:pt>
              </c:numCache>
            </c:numRef>
          </c:val>
          <c:extLst>
            <c:ext xmlns:c16="http://schemas.microsoft.com/office/drawing/2014/chart" uri="{C3380CC4-5D6E-409C-BE32-E72D297353CC}">
              <c16:uniqueId val="{00000004-7647-4EEA-8AEA-22C5D32B679C}"/>
            </c:ext>
          </c:extLst>
        </c:ser>
        <c:ser>
          <c:idx val="5"/>
          <c:order val="5"/>
          <c:tx>
            <c:strRef>
              <c:f>SFP!$B$124</c:f>
              <c:strCache>
                <c:ptCount val="1"/>
                <c:pt idx="0">
                  <c:v>Effluent Release</c:v>
                </c:pt>
              </c:strCache>
            </c:strRef>
          </c:tx>
          <c:spPr>
            <a:solidFill>
              <a:schemeClr val="accent6"/>
            </a:solidFill>
            <a:ln>
              <a:noFill/>
            </a:ln>
            <a:effectLst/>
          </c:spPr>
          <c:invertIfNegative val="0"/>
          <c:cat>
            <c:strRef>
              <c:f>SFP!$C$118:$D$118</c:f>
              <c:strCache>
                <c:ptCount val="2"/>
                <c:pt idx="0">
                  <c:v>Legacy</c:v>
                </c:pt>
                <c:pt idx="1">
                  <c:v>Upgraded</c:v>
                </c:pt>
              </c:strCache>
            </c:strRef>
          </c:cat>
          <c:val>
            <c:numRef>
              <c:f>SFP!$C$124:$D$124</c:f>
              <c:numCache>
                <c:formatCode>0.00E+0</c:formatCode>
                <c:ptCount val="2"/>
                <c:pt idx="0">
                  <c:v>4.0287000000000002E-5</c:v>
                </c:pt>
                <c:pt idx="1">
                  <c:v>3.3899999999999998E-3</c:v>
                </c:pt>
              </c:numCache>
            </c:numRef>
          </c:val>
          <c:extLst>
            <c:ext xmlns:c16="http://schemas.microsoft.com/office/drawing/2014/chart" uri="{C3380CC4-5D6E-409C-BE32-E72D297353CC}">
              <c16:uniqueId val="{00000005-7647-4EEA-8AEA-22C5D32B679C}"/>
            </c:ext>
          </c:extLst>
        </c:ser>
        <c:dLbls>
          <c:showLegendKey val="0"/>
          <c:showVal val="0"/>
          <c:showCatName val="0"/>
          <c:showSerName val="0"/>
          <c:showPercent val="0"/>
          <c:showBubbleSize val="0"/>
        </c:dLbls>
        <c:gapWidth val="150"/>
        <c:overlap val="100"/>
        <c:axId val="310036856"/>
        <c:axId val="306096360"/>
      </c:barChart>
      <c:lineChart>
        <c:grouping val="standard"/>
        <c:varyColors val="0"/>
        <c:ser>
          <c:idx val="6"/>
          <c:order val="6"/>
          <c:tx>
            <c:strRef>
              <c:f>SFP!$B$125</c:f>
              <c:strCache>
                <c:ptCount val="1"/>
                <c:pt idx="0">
                  <c:v>Total</c:v>
                </c:pt>
              </c:strCache>
            </c:strRef>
          </c:tx>
          <c:spPr>
            <a:ln w="28575" cap="rnd">
              <a:noFill/>
              <a:round/>
            </a:ln>
            <a:effectLst/>
          </c:spPr>
          <c:marker>
            <c:symbol val="circle"/>
            <c:size val="5"/>
            <c:spPr>
              <a:solidFill>
                <a:schemeClr val="accent1">
                  <a:lumMod val="60000"/>
                </a:schemeClr>
              </a:solidFill>
              <a:ln w="9525">
                <a:solidFill>
                  <a:schemeClr val="tx2">
                    <a:lumMod val="75000"/>
                  </a:schemeClr>
                </a:solidFill>
              </a:ln>
              <a:effectLst/>
            </c:spPr>
          </c:marker>
          <c:dLbls>
            <c:dLbl>
              <c:idx val="0"/>
              <c:layout>
                <c:manualLayout>
                  <c:x val="2.431636037270235E-2"/>
                  <c:y val="-0.177115920854760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47-4EEA-8AEA-22C5D32B679C}"/>
                </c:ext>
              </c:extLst>
            </c:dLbl>
            <c:dLbl>
              <c:idx val="1"/>
              <c:layout>
                <c:manualLayout>
                  <c:x val="2.6604524387017062E-2"/>
                  <c:y val="-0.135911383647625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47-4EEA-8AEA-22C5D32B679C}"/>
                </c:ext>
              </c:extLst>
            </c:dLbl>
            <c:numFmt formatCode="#,##0.00" sourceLinked="0"/>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SFP!$C$118:$D$118</c:f>
              <c:strCache>
                <c:ptCount val="2"/>
                <c:pt idx="0">
                  <c:v>Legacy</c:v>
                </c:pt>
                <c:pt idx="1">
                  <c:v>Upgraded</c:v>
                </c:pt>
              </c:strCache>
            </c:strRef>
          </c:cat>
          <c:val>
            <c:numRef>
              <c:f>SFP!$C$125:$D$125</c:f>
              <c:numCache>
                <c:formatCode>0.000</c:formatCode>
                <c:ptCount val="2"/>
                <c:pt idx="0">
                  <c:v>0.28906028700000003</c:v>
                </c:pt>
                <c:pt idx="1">
                  <c:v>0.30976999999999999</c:v>
                </c:pt>
              </c:numCache>
            </c:numRef>
          </c:val>
          <c:smooth val="0"/>
          <c:extLst>
            <c:ext xmlns:c16="http://schemas.microsoft.com/office/drawing/2014/chart" uri="{C3380CC4-5D6E-409C-BE32-E72D297353CC}">
              <c16:uniqueId val="{00000008-7647-4EEA-8AEA-22C5D32B679C}"/>
            </c:ext>
          </c:extLst>
        </c:ser>
        <c:dLbls>
          <c:showLegendKey val="0"/>
          <c:showVal val="0"/>
          <c:showCatName val="0"/>
          <c:showSerName val="0"/>
          <c:showPercent val="0"/>
          <c:showBubbleSize val="0"/>
        </c:dLbls>
        <c:marker val="1"/>
        <c:smooth val="0"/>
        <c:axId val="310036856"/>
        <c:axId val="306096360"/>
      </c:lineChart>
      <c:catAx>
        <c:axId val="310036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06096360"/>
        <c:crosses val="autoZero"/>
        <c:auto val="1"/>
        <c:lblAlgn val="ctr"/>
        <c:lblOffset val="100"/>
        <c:noMultiLvlLbl val="0"/>
      </c:catAx>
      <c:valAx>
        <c:axId val="306096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kg O3-eq/m3 wastewater treated</a:t>
                </a:r>
              </a:p>
            </c:rich>
          </c:tx>
          <c:layout>
            <c:manualLayout>
              <c:xMode val="edge"/>
              <c:yMode val="edge"/>
              <c:x val="1.8371378886550764E-2"/>
              <c:y val="0.1299973371122751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310036856"/>
        <c:crosses val="autoZero"/>
        <c:crossBetween val="between"/>
      </c:valAx>
      <c:spPr>
        <a:noFill/>
        <a:ln>
          <a:noFill/>
        </a:ln>
        <a:effectLst/>
      </c:spPr>
    </c:plotArea>
    <c:legend>
      <c:legendPos val="b"/>
      <c:layout>
        <c:manualLayout>
          <c:xMode val="edge"/>
          <c:yMode val="edge"/>
          <c:x val="7.7414824175205038E-2"/>
          <c:y val="0.82791331193505446"/>
          <c:w val="0.83018884587282804"/>
          <c:h val="0.1142769439327229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GWP!A4"/><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hyperlink" Target="#GWP!A4"/><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GWP!A4"/><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hyperlink" Target="#GWP!A4"/><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hyperlink" Target="#GWP!A4"/><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hyperlink" Target="#GWP!A4"/><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hyperlink" Target="#GWP!A4"/><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hyperlink" Target="#GWP!A4"/><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2</xdr:col>
      <xdr:colOff>7000875</xdr:colOff>
      <xdr:row>0</xdr:row>
      <xdr:rowOff>133350</xdr:rowOff>
    </xdr:from>
    <xdr:to>
      <xdr:col>7</xdr:col>
      <xdr:colOff>38100</xdr:colOff>
      <xdr:row>4</xdr:row>
      <xdr:rowOff>84163</xdr:rowOff>
    </xdr:to>
    <xdr:pic>
      <xdr:nvPicPr>
        <xdr:cNvPr id="2" name="Picture 1" descr="K:\ERG Proposals.gs.lex\EPA_ORD_STREAMS III.rs.cha\Tech proposal input for RTI prime\ERG-Quals-to-RTI_082715\ERG logo.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05800" y="323850"/>
          <a:ext cx="1895475" cy="884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38100</xdr:colOff>
      <xdr:row>8</xdr:row>
      <xdr:rowOff>104775</xdr:rowOff>
    </xdr:from>
    <xdr:to>
      <xdr:col>7</xdr:col>
      <xdr:colOff>266700</xdr:colOff>
      <xdr:row>12</xdr:row>
      <xdr:rowOff>209550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9144000" y="2381250"/>
          <a:ext cx="1285875" cy="676275"/>
        </a:xfrm>
        <a:prstGeom prst="rect">
          <a:avLst/>
        </a:prstGeom>
        <a:solidFill>
          <a:schemeClr val="accent2">
            <a:lumMod val="75000"/>
          </a:schemeClr>
        </a:solidFill>
        <a:ln w="222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Click</a:t>
          </a:r>
          <a:r>
            <a:rPr lang="en-US" sz="1200" baseline="0"/>
            <a:t> to Jump to Scenario Selector</a:t>
          </a:r>
        </a:p>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38020</xdr:colOff>
      <xdr:row>10</xdr:row>
      <xdr:rowOff>18249</xdr:rowOff>
    </xdr:from>
    <xdr:to>
      <xdr:col>21</xdr:col>
      <xdr:colOff>138873</xdr:colOff>
      <xdr:row>34</xdr:row>
      <xdr:rowOff>50748</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xdr:colOff>
      <xdr:row>2</xdr:row>
      <xdr:rowOff>104775</xdr:rowOff>
    </xdr:from>
    <xdr:to>
      <xdr:col>4</xdr:col>
      <xdr:colOff>381000</xdr:colOff>
      <xdr:row>5</xdr:row>
      <xdr:rowOff>180975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10372725" y="571500"/>
          <a:ext cx="1285875" cy="676275"/>
        </a:xfrm>
        <a:prstGeom prst="rect">
          <a:avLst/>
        </a:prstGeom>
        <a:solidFill>
          <a:schemeClr val="accent2">
            <a:lumMod val="75000"/>
          </a:schemeClr>
        </a:solidFill>
        <a:ln w="222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Click</a:t>
          </a:r>
          <a:r>
            <a:rPr lang="en-US" sz="1200" baseline="0"/>
            <a:t> to Return to Scenario Selector</a:t>
          </a:r>
        </a:p>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64293</xdr:colOff>
      <xdr:row>109</xdr:row>
      <xdr:rowOff>80961</xdr:rowOff>
    </xdr:from>
    <xdr:to>
      <xdr:col>10</xdr:col>
      <xdr:colOff>117474</xdr:colOff>
      <xdr:row>155</xdr:row>
      <xdr:rowOff>190500</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482202</xdr:colOff>
      <xdr:row>3</xdr:row>
      <xdr:rowOff>0</xdr:rowOff>
    </xdr:from>
    <xdr:to>
      <xdr:col>21</xdr:col>
      <xdr:colOff>666750</xdr:colOff>
      <xdr:row>23</xdr:row>
      <xdr:rowOff>23813</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266700</xdr:colOff>
      <xdr:row>43</xdr:row>
      <xdr:rowOff>152398</xdr:rowOff>
    </xdr:from>
    <xdr:to>
      <xdr:col>13</xdr:col>
      <xdr:colOff>1123950</xdr:colOff>
      <xdr:row>81</xdr:row>
      <xdr:rowOff>171449</xdr:rowOff>
    </xdr:to>
    <xdr:graphicFrame macro="">
      <xdr:nvGraphicFramePr>
        <xdr:cNvPr id="2" name="Chart 1">
          <a:extLst>
            <a:ext uri="{FF2B5EF4-FFF2-40B4-BE49-F238E27FC236}">
              <a16:creationId xmlns:a16="http://schemas.microsoft.com/office/drawing/2014/main" id="{19C4383B-A531-4679-B333-95C1747F71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311939</xdr:colOff>
      <xdr:row>69</xdr:row>
      <xdr:rowOff>152398</xdr:rowOff>
    </xdr:from>
    <xdr:to>
      <xdr:col>7</xdr:col>
      <xdr:colOff>2205035</xdr:colOff>
      <xdr:row>80</xdr:row>
      <xdr:rowOff>164304</xdr:rowOff>
    </xdr:to>
    <xdr:sp macro="" textlink="">
      <xdr:nvSpPr>
        <xdr:cNvPr id="3" name="TextBox 2">
          <a:extLst>
            <a:ext uri="{FF2B5EF4-FFF2-40B4-BE49-F238E27FC236}">
              <a16:creationId xmlns:a16="http://schemas.microsoft.com/office/drawing/2014/main" id="{7E5A3B5F-27A1-4405-BDD9-7EDF9693A787}"/>
            </a:ext>
          </a:extLst>
        </xdr:cNvPr>
        <xdr:cNvSpPr txBox="1"/>
      </xdr:nvSpPr>
      <xdr:spPr>
        <a:xfrm>
          <a:off x="997739" y="14744698"/>
          <a:ext cx="1893096" cy="23169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Compost System Selection:</a:t>
          </a:r>
        </a:p>
        <a:p>
          <a:endParaRPr lang="en-US" sz="700"/>
        </a:p>
        <a:p>
          <a:r>
            <a:rPr lang="en-US" sz="1200"/>
            <a:t>Landfill</a:t>
          </a:r>
          <a:r>
            <a:rPr lang="en-US" sz="1200" baseline="0"/>
            <a:t> Scenario:</a:t>
          </a:r>
          <a:endParaRPr lang="en-US" sz="1200"/>
        </a:p>
        <a:p>
          <a:endParaRPr lang="en-US" sz="900"/>
        </a:p>
        <a:p>
          <a:r>
            <a:rPr lang="en-US" sz="1200"/>
            <a:t>Amendment</a:t>
          </a:r>
          <a:r>
            <a:rPr lang="en-US" sz="1200" baseline="0"/>
            <a:t> Scenario:</a:t>
          </a:r>
        </a:p>
        <a:p>
          <a:endParaRPr lang="en-US" sz="400" baseline="0"/>
        </a:p>
        <a:p>
          <a:r>
            <a:rPr lang="en-US" sz="1200" baseline="0"/>
            <a:t>Landfill/Compost Emission Scenario:</a:t>
          </a:r>
        </a:p>
        <a:p>
          <a:endParaRPr lang="en-US" sz="400" baseline="0"/>
        </a:p>
        <a:p>
          <a:r>
            <a:rPr lang="en-US" sz="1200" baseline="0"/>
            <a:t>Feedstock Scenario:</a:t>
          </a:r>
        </a:p>
        <a:p>
          <a:endParaRPr lang="en-US" sz="500" baseline="0"/>
        </a:p>
        <a:p>
          <a:r>
            <a:rPr lang="en-US" sz="1200" baseline="0"/>
            <a:t>System Selection:</a:t>
          </a:r>
        </a:p>
        <a:p>
          <a:endParaRPr lang="en-US" sz="1200" baseline="0"/>
        </a:p>
        <a:p>
          <a:endParaRPr lang="en-US" sz="12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44223</xdr:colOff>
      <xdr:row>20</xdr:row>
      <xdr:rowOff>62251</xdr:rowOff>
    </xdr:from>
    <xdr:to>
      <xdr:col>5</xdr:col>
      <xdr:colOff>2530929</xdr:colOff>
      <xdr:row>47</xdr:row>
      <xdr:rowOff>108855</xdr:rowOff>
    </xdr:to>
    <xdr:graphicFrame macro="">
      <xdr:nvGraphicFramePr>
        <xdr:cNvPr id="7" name="Chart 6">
          <a:extLst>
            <a:ext uri="{FF2B5EF4-FFF2-40B4-BE49-F238E27FC236}">
              <a16:creationId xmlns:a16="http://schemas.microsoft.com/office/drawing/2014/main" id="{55B6D351-C813-42C4-9A07-0A8374769D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1452562</xdr:colOff>
      <xdr:row>67</xdr:row>
      <xdr:rowOff>115829</xdr:rowOff>
    </xdr:from>
    <xdr:to>
      <xdr:col>67</xdr:col>
      <xdr:colOff>952500</xdr:colOff>
      <xdr:row>153</xdr:row>
      <xdr:rowOff>149678</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447675</xdr:colOff>
      <xdr:row>10</xdr:row>
      <xdr:rowOff>104773</xdr:rowOff>
    </xdr:from>
    <xdr:to>
      <xdr:col>15</xdr:col>
      <xdr:colOff>28575</xdr:colOff>
      <xdr:row>33</xdr:row>
      <xdr:rowOff>171450</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533399</xdr:colOff>
      <xdr:row>43</xdr:row>
      <xdr:rowOff>152400</xdr:rowOff>
    </xdr:from>
    <xdr:to>
      <xdr:col>14</xdr:col>
      <xdr:colOff>647699</xdr:colOff>
      <xdr:row>66</xdr:row>
      <xdr:rowOff>66675</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528637</xdr:colOff>
      <xdr:row>74</xdr:row>
      <xdr:rowOff>104774</xdr:rowOff>
    </xdr:from>
    <xdr:to>
      <xdr:col>14</xdr:col>
      <xdr:colOff>571500</xdr:colOff>
      <xdr:row>97</xdr:row>
      <xdr:rowOff>152400</xdr:rowOff>
    </xdr:to>
    <xdr:graphicFrame macro="">
      <xdr:nvGraphicFramePr>
        <xdr:cNvPr id="5" name="Chart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523874</xdr:colOff>
      <xdr:row>105</xdr:row>
      <xdr:rowOff>142874</xdr:rowOff>
    </xdr:from>
    <xdr:to>
      <xdr:col>13</xdr:col>
      <xdr:colOff>419100</xdr:colOff>
      <xdr:row>129</xdr:row>
      <xdr:rowOff>57150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533398</xdr:colOff>
      <xdr:row>139</xdr:row>
      <xdr:rowOff>47624</xdr:rowOff>
    </xdr:from>
    <xdr:to>
      <xdr:col>12</xdr:col>
      <xdr:colOff>638174</xdr:colOff>
      <xdr:row>161</xdr:row>
      <xdr:rowOff>0</xdr:rowOff>
    </xdr:to>
    <xdr:graphicFrame macro="">
      <xdr:nvGraphicFramePr>
        <xdr:cNvPr id="6" name="Chart 5">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266700</xdr:colOff>
      <xdr:row>6</xdr:row>
      <xdr:rowOff>171450</xdr:rowOff>
    </xdr:from>
    <xdr:to>
      <xdr:col>21</xdr:col>
      <xdr:colOff>552450</xdr:colOff>
      <xdr:row>53</xdr:row>
      <xdr:rowOff>57150</xdr:rowOff>
    </xdr:to>
    <xdr:graphicFrame macro="">
      <xdr:nvGraphicFramePr>
        <xdr:cNvPr id="2" name="Chart 1">
          <a:extLst>
            <a:ext uri="{FF2B5EF4-FFF2-40B4-BE49-F238E27FC236}">
              <a16:creationId xmlns:a16="http://schemas.microsoft.com/office/drawing/2014/main" id="{DC989582-1D9F-4E54-9E7F-7A8E375D7F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58</xdr:row>
      <xdr:rowOff>53552</xdr:rowOff>
    </xdr:from>
    <xdr:to>
      <xdr:col>9</xdr:col>
      <xdr:colOff>204787</xdr:colOff>
      <xdr:row>89</xdr:row>
      <xdr:rowOff>138112</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342899</xdr:colOff>
      <xdr:row>30</xdr:row>
      <xdr:rowOff>142875</xdr:rowOff>
    </xdr:from>
    <xdr:to>
      <xdr:col>17</xdr:col>
      <xdr:colOff>63499</xdr:colOff>
      <xdr:row>55</xdr:row>
      <xdr:rowOff>47626</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24279</xdr:colOff>
      <xdr:row>30</xdr:row>
      <xdr:rowOff>124105</xdr:rowOff>
    </xdr:from>
    <xdr:to>
      <xdr:col>8</xdr:col>
      <xdr:colOff>800101</xdr:colOff>
      <xdr:row>56</xdr:row>
      <xdr:rowOff>133350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676648</xdr:colOff>
      <xdr:row>5</xdr:row>
      <xdr:rowOff>22784</xdr:rowOff>
    </xdr:from>
    <xdr:to>
      <xdr:col>22</xdr:col>
      <xdr:colOff>91701</xdr:colOff>
      <xdr:row>32</xdr:row>
      <xdr:rowOff>55283</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4000499</xdr:colOff>
      <xdr:row>0</xdr:row>
      <xdr:rowOff>95250</xdr:rowOff>
    </xdr:from>
    <xdr:to>
      <xdr:col>1</xdr:col>
      <xdr:colOff>5286374</xdr:colOff>
      <xdr:row>3</xdr:row>
      <xdr:rowOff>104775</xdr:rowOff>
    </xdr:to>
    <xdr:sp macro="" textlink="">
      <xdr:nvSpPr>
        <xdr:cNvPr id="2" name="Rectangle 1">
          <a:hlinkClick xmlns:r="http://schemas.openxmlformats.org/officeDocument/2006/relationships" r:id="rId2"/>
          <a:extLst>
            <a:ext uri="{FF2B5EF4-FFF2-40B4-BE49-F238E27FC236}">
              <a16:creationId xmlns:a16="http://schemas.microsoft.com/office/drawing/2014/main" id="{00000000-0008-0000-0200-000002000000}"/>
            </a:ext>
          </a:extLst>
        </xdr:cNvPr>
        <xdr:cNvSpPr/>
      </xdr:nvSpPr>
      <xdr:spPr>
        <a:xfrm>
          <a:off x="6124574" y="95250"/>
          <a:ext cx="1285875" cy="676275"/>
        </a:xfrm>
        <a:prstGeom prst="rect">
          <a:avLst/>
        </a:prstGeom>
        <a:solidFill>
          <a:schemeClr val="accent2">
            <a:lumMod val="75000"/>
          </a:schemeClr>
        </a:solidFill>
        <a:ln w="222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Click</a:t>
          </a:r>
          <a:r>
            <a:rPr lang="en-US" sz="1200" baseline="0"/>
            <a:t> to Return to Scenario Selector</a:t>
          </a:r>
        </a:p>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628571</xdr:colOff>
      <xdr:row>7</xdr:row>
      <xdr:rowOff>30155</xdr:rowOff>
    </xdr:from>
    <xdr:to>
      <xdr:col>21</xdr:col>
      <xdr:colOff>166688</xdr:colOff>
      <xdr:row>31</xdr:row>
      <xdr:rowOff>166687</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9445</xdr:colOff>
      <xdr:row>11</xdr:row>
      <xdr:rowOff>37299</xdr:rowOff>
    </xdr:from>
    <xdr:to>
      <xdr:col>21</xdr:col>
      <xdr:colOff>110298</xdr:colOff>
      <xdr:row>35</xdr:row>
      <xdr:rowOff>69798</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xdr:colOff>
      <xdr:row>2</xdr:row>
      <xdr:rowOff>123825</xdr:rowOff>
    </xdr:from>
    <xdr:to>
      <xdr:col>3</xdr:col>
      <xdr:colOff>1304925</xdr:colOff>
      <xdr:row>6</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0363200" y="590550"/>
          <a:ext cx="1285875" cy="676275"/>
        </a:xfrm>
        <a:prstGeom prst="rect">
          <a:avLst/>
        </a:prstGeom>
        <a:solidFill>
          <a:schemeClr val="accent2">
            <a:lumMod val="75000"/>
          </a:schemeClr>
        </a:solidFill>
        <a:ln w="222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Click</a:t>
          </a:r>
          <a:r>
            <a:rPr lang="en-US" sz="1200" baseline="0"/>
            <a:t> to Return to Scenario Selector</a:t>
          </a:r>
        </a:p>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51173</xdr:colOff>
      <xdr:row>11</xdr:row>
      <xdr:rowOff>35484</xdr:rowOff>
    </xdr:from>
    <xdr:to>
      <xdr:col>21</xdr:col>
      <xdr:colOff>152026</xdr:colOff>
      <xdr:row>35</xdr:row>
      <xdr:rowOff>67983</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28575</xdr:colOff>
      <xdr:row>2</xdr:row>
      <xdr:rowOff>123825</xdr:rowOff>
    </xdr:from>
    <xdr:to>
      <xdr:col>4</xdr:col>
      <xdr:colOff>390525</xdr:colOff>
      <xdr:row>6</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10363200" y="590550"/>
          <a:ext cx="1285875" cy="676275"/>
        </a:xfrm>
        <a:prstGeom prst="rect">
          <a:avLst/>
        </a:prstGeom>
        <a:solidFill>
          <a:schemeClr val="accent2">
            <a:lumMod val="75000"/>
          </a:schemeClr>
        </a:solidFill>
        <a:ln w="222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Click</a:t>
          </a:r>
          <a:r>
            <a:rPr lang="en-US" sz="1200" baseline="0"/>
            <a:t> to Return to Scenario Selector</a:t>
          </a:r>
        </a:p>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18970</xdr:colOff>
      <xdr:row>11</xdr:row>
      <xdr:rowOff>37299</xdr:rowOff>
    </xdr:from>
    <xdr:to>
      <xdr:col>21</xdr:col>
      <xdr:colOff>119823</xdr:colOff>
      <xdr:row>35</xdr:row>
      <xdr:rowOff>69798</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xdr:colOff>
      <xdr:row>2</xdr:row>
      <xdr:rowOff>114300</xdr:rowOff>
    </xdr:from>
    <xdr:to>
      <xdr:col>4</xdr:col>
      <xdr:colOff>371475</xdr:colOff>
      <xdr:row>5</xdr:row>
      <xdr:rowOff>190500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10363200" y="581025"/>
          <a:ext cx="1285875" cy="676275"/>
        </a:xfrm>
        <a:prstGeom prst="rect">
          <a:avLst/>
        </a:prstGeom>
        <a:solidFill>
          <a:schemeClr val="accent2">
            <a:lumMod val="75000"/>
          </a:schemeClr>
        </a:solidFill>
        <a:ln w="222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Click</a:t>
          </a:r>
          <a:r>
            <a:rPr lang="en-US" sz="1200" baseline="0"/>
            <a:t> to Return to Scenario Selector</a:t>
          </a:r>
        </a:p>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38020</xdr:colOff>
      <xdr:row>10</xdr:row>
      <xdr:rowOff>37299</xdr:rowOff>
    </xdr:from>
    <xdr:to>
      <xdr:col>21</xdr:col>
      <xdr:colOff>138873</xdr:colOff>
      <xdr:row>34</xdr:row>
      <xdr:rowOff>69798</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xdr:colOff>
      <xdr:row>2</xdr:row>
      <xdr:rowOff>104775</xdr:rowOff>
    </xdr:from>
    <xdr:to>
      <xdr:col>4</xdr:col>
      <xdr:colOff>371475</xdr:colOff>
      <xdr:row>5</xdr:row>
      <xdr:rowOff>180975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10363200" y="571500"/>
          <a:ext cx="1285875" cy="676275"/>
        </a:xfrm>
        <a:prstGeom prst="rect">
          <a:avLst/>
        </a:prstGeom>
        <a:solidFill>
          <a:schemeClr val="accent2">
            <a:lumMod val="75000"/>
          </a:schemeClr>
        </a:solidFill>
        <a:ln w="222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Click</a:t>
          </a:r>
          <a:r>
            <a:rPr lang="en-US" sz="1200" baseline="0"/>
            <a:t> to Return to Scenario Selector</a:t>
          </a:r>
        </a:p>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676195</xdr:colOff>
      <xdr:row>10</xdr:row>
      <xdr:rowOff>37299</xdr:rowOff>
    </xdr:from>
    <xdr:to>
      <xdr:col>21</xdr:col>
      <xdr:colOff>91248</xdr:colOff>
      <xdr:row>34</xdr:row>
      <xdr:rowOff>69798</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38100</xdr:colOff>
      <xdr:row>2</xdr:row>
      <xdr:rowOff>95250</xdr:rowOff>
    </xdr:from>
    <xdr:to>
      <xdr:col>4</xdr:col>
      <xdr:colOff>390525</xdr:colOff>
      <xdr:row>5</xdr:row>
      <xdr:rowOff>171450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10382250" y="561975"/>
          <a:ext cx="1285875" cy="676275"/>
        </a:xfrm>
        <a:prstGeom prst="rect">
          <a:avLst/>
        </a:prstGeom>
        <a:solidFill>
          <a:schemeClr val="accent2">
            <a:lumMod val="75000"/>
          </a:schemeClr>
        </a:solidFill>
        <a:ln w="222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Click</a:t>
          </a:r>
          <a:r>
            <a:rPr lang="en-US" sz="1200" baseline="0"/>
            <a:t> to Return to Scenario Selector</a:t>
          </a:r>
        </a:p>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WWT%20Nutrient%20Removal%20LCA.sc.lex\Task%203%20LCA%20Model\Results\Draft_WWT_NutrientRemoval_LCIAResults_Template_5_2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heet1"/>
      <sheetName val="Summary LCIA"/>
      <sheetName val="Normalization"/>
      <sheetName val="Drivers"/>
      <sheetName val="Cost"/>
      <sheetName val="EP"/>
      <sheetName val="CED"/>
      <sheetName val="GWP"/>
      <sheetName val="AP"/>
      <sheetName val="FD"/>
      <sheetName val="Smog"/>
      <sheetName val="Crit"/>
      <sheetName val="ODP"/>
      <sheetName val="H2O"/>
      <sheetName val="HH_Canc"/>
      <sheetName val="HH_NonCanc"/>
      <sheetName val="Ecotox"/>
      <sheetName val="GWP_Export"/>
      <sheetName val="EP_Export"/>
      <sheetName val="AP_Export"/>
      <sheetName val="FD_Export"/>
      <sheetName val="Smog_Export"/>
      <sheetName val="Crit_Export"/>
      <sheetName val="ODP_Export"/>
      <sheetName val="CED_Export"/>
      <sheetName val="H2O_Export"/>
      <sheetName val="HH_Canc_Export"/>
      <sheetName val="HH_NonCanc_Export"/>
      <sheetName val="Ecotox_Export"/>
      <sheetName val="master"/>
    </sheetNames>
    <sheetDataSet>
      <sheetData sheetId="0"/>
      <sheetData sheetId="1"/>
      <sheetData sheetId="2">
        <row r="5">
          <cell r="D5">
            <v>6.6410808339999988E-2</v>
          </cell>
        </row>
      </sheetData>
      <sheetData sheetId="3"/>
      <sheetData sheetId="4"/>
      <sheetData sheetId="5"/>
      <sheetData sheetId="6"/>
      <sheetData sheetId="7"/>
      <sheetData sheetId="8">
        <row r="4">
          <cell r="B4" t="str">
            <v>Activated sludge; wastewater treatment unit, solids reduction; at plant; m3 wastewater - US</v>
          </cell>
        </row>
        <row r="5">
          <cell r="B5" t="str">
            <v>Anaerobic digester; wastewater treatment unit, solids reduction; at plant; m3 wastewater - US</v>
          </cell>
        </row>
        <row r="6">
          <cell r="B6" t="str">
            <v>Biological nutrient removal-3-stage; wastewater treatment unit, solids reduction; at plant; m3 wastewater - US</v>
          </cell>
        </row>
        <row r="7">
          <cell r="B7" t="str">
            <v>Biological nutrient removal-4-stage; wastewater treatment unit, solids reduction; at plant; m3 wastewater - US</v>
          </cell>
        </row>
        <row r="8">
          <cell r="B8" t="str">
            <v>Biological nutrient removal-5-stage; wastewater treatment unit, solids reduction; at plant; m3 wastewater - US</v>
          </cell>
        </row>
        <row r="9">
          <cell r="B9" t="str">
            <v>Centrifuge; wastewater treatment unit, solids reduction; at plant; m3 wastewater - US</v>
          </cell>
        </row>
        <row r="10">
          <cell r="B10" t="str">
            <v>Chemical phosphorus removal; wastewater treatment unit, solids reduction; at plant; m3 wastewater - US</v>
          </cell>
        </row>
        <row r="11">
          <cell r="B11" t="str">
            <v>Chlorination; wastewater treatment unit, solids reduction; at plant; m3 wastewater - US</v>
          </cell>
        </row>
        <row r="12">
          <cell r="B12" t="str">
            <v>Dechlorination; wastewater treatment unit, solids reduction; at plant; m3 wastewater - US</v>
          </cell>
        </row>
        <row r="13">
          <cell r="B13" t="str">
            <v>Denitrification, attached growth; wastewater treatment unit, solids reduction; at plant; m3 wastewater - US</v>
          </cell>
        </row>
        <row r="14">
          <cell r="B14" t="str">
            <v>Denitrification, suspended growth; wastewater treatment unit, solids reduction; at plant; m3 wastewater - US</v>
          </cell>
        </row>
        <row r="15">
          <cell r="B15" t="str">
            <v>Effluent release; wastewater treatment unit; at surface water; m3 wastewater - US</v>
          </cell>
        </row>
        <row r="16">
          <cell r="B16" t="str">
            <v>Fermentation; wastewater treatment unit, solids reduction; at plant; m3 - US</v>
          </cell>
        </row>
        <row r="17">
          <cell r="B17" t="str">
            <v>Filtration, sand filter; wastewater treatment unit, solids reduction; at plant; m3 wastewater - US</v>
          </cell>
        </row>
        <row r="18">
          <cell r="B18" t="str">
            <v>Gravity thickener; wastewater treatment unit, solids reduction; at plant; m3 wastewater - US</v>
          </cell>
        </row>
        <row r="19">
          <cell r="B19" t="str">
            <v>Membrane filter; wastewater treatment unit, solids reduction; at plant; m3 wastewater - US</v>
          </cell>
        </row>
        <row r="20">
          <cell r="B20" t="str">
            <v>Ultrafilter; wastewater treatment unit, solids reduction; at plant; m3 wastewater - US</v>
          </cell>
        </row>
        <row r="21">
          <cell r="B21" t="str">
            <v>Nitrification, suspended growth; wastewater treatment unit, solids reduction; at plant; m3 wastewater - US</v>
          </cell>
        </row>
        <row r="22">
          <cell r="B22" t="str">
            <v>Primary clarifier; wastewater treatment unit, solids reduction; at plant; m3 wastewater - US</v>
          </cell>
        </row>
        <row r="23">
          <cell r="B23" t="str">
            <v>Reverse osmosis; wastewater treatment unit, solids reduction; at plant; m3 wastewater - US</v>
          </cell>
        </row>
        <row r="24">
          <cell r="B24" t="str">
            <v>Screening and grit removal; wastewater treatment unit, solids reduction; at plant; m3 wastewater - US</v>
          </cell>
        </row>
        <row r="25">
          <cell r="B25" t="str">
            <v>Secondary clarifier; wastewater treatment unit, solids reduction; at plant; m3 wastewater - US</v>
          </cell>
        </row>
        <row r="26">
          <cell r="B26" t="str">
            <v>Sludge hauling and landfill; wastewater treatment unit, solids reduction; at plant; m3 wastewater - US</v>
          </cell>
        </row>
        <row r="27">
          <cell r="B27" t="str">
            <v>Tertiary clarification, denitrification; wastewater treatment unit, solids reduction; at plant; m3 wastewater - US</v>
          </cell>
        </row>
        <row r="28">
          <cell r="B28" t="str">
            <v>Tertiary clarification, nitrification; wastewater treatment unit, solids reduction; at plant; m3 wastewater - US</v>
          </cell>
        </row>
        <row r="29">
          <cell r="B29" t="str">
            <v>Underground injection of brine; wastewater treatment unit, solids reduction; at injection site; m3 wastewater - US</v>
          </cell>
        </row>
      </sheetData>
      <sheetData sheetId="9"/>
      <sheetData sheetId="10"/>
      <sheetData sheetId="11"/>
      <sheetData sheetId="12"/>
      <sheetData sheetId="13"/>
      <sheetData sheetId="14"/>
      <sheetData sheetId="15"/>
      <sheetData sheetId="16"/>
      <sheetData sheetId="17"/>
      <sheetData sheetId="18">
        <row r="5">
          <cell r="C5" t="str">
            <v>Activated sludge; wastewater treatment unit, solids reduction; at plant; m3 wastewater - US</v>
          </cell>
          <cell r="D5">
            <v>0.13813</v>
          </cell>
        </row>
        <row r="6">
          <cell r="C6" t="str">
            <v>Anaerobic digester; wastewater treatment unit, solids reduction; at plant; m3 wastewater - US</v>
          </cell>
          <cell r="D6">
            <v>9.6100000000000005E-2</v>
          </cell>
        </row>
        <row r="7">
          <cell r="C7" t="str">
            <v>Effluent release; wastewater treatment unit; at surface water; m3 wastewater - US</v>
          </cell>
          <cell r="D7">
            <v>6.9680000000000006E-2</v>
          </cell>
        </row>
        <row r="8">
          <cell r="C8" t="str">
            <v>Sludge hauling and landfill; wastewater treatment unit, solids reduction; at plant; m3 wastewater - US</v>
          </cell>
          <cell r="D8">
            <v>6.8479999999999999E-2</v>
          </cell>
        </row>
        <row r="9">
          <cell r="C9" t="str">
            <v>Centrifuge; wastewater treatment unit, solids reduction; at plant; m3 wastewater - US</v>
          </cell>
          <cell r="D9">
            <v>1.951E-2</v>
          </cell>
        </row>
        <row r="10">
          <cell r="C10" t="str">
            <v>Chlorination; wastewater treatment unit, solids reduction; at plant; m3 wastewater - US</v>
          </cell>
          <cell r="D10">
            <v>1.7850000000000001E-2</v>
          </cell>
        </row>
        <row r="11">
          <cell r="C11" t="str">
            <v>Screening and grit removal; wastewater treatment unit, solids reduction; at plant; m3 wastewater - US</v>
          </cell>
          <cell r="D11">
            <v>2.6800000000000001E-3</v>
          </cell>
        </row>
        <row r="12">
          <cell r="C12" t="str">
            <v>Dechlorination; wastewater treatment unit, solids reduction; at plant; m3 wastewater - US</v>
          </cell>
          <cell r="D12">
            <v>1.89E-3</v>
          </cell>
        </row>
        <row r="13">
          <cell r="C13" t="str">
            <v>Secondary clarifier; wastewater treatment unit, solids reduction; at plant; m3 wastewater - US</v>
          </cell>
          <cell r="D13">
            <v>1.4300000000000001E-3</v>
          </cell>
        </row>
        <row r="14">
          <cell r="C14" t="str">
            <v>Primary clarifier; wastewater treatment unit, solids reduction; at plant; m3 wastewater - US</v>
          </cell>
          <cell r="D14">
            <v>9.6000000000000002E-4</v>
          </cell>
        </row>
        <row r="15">
          <cell r="C15" t="str">
            <v>Gravity thickener; wastewater treatment unit, solids reduction; at plant; m3 wastewater - US</v>
          </cell>
          <cell r="D15">
            <v>6.4000000000000005E-4</v>
          </cell>
        </row>
        <row r="19">
          <cell r="C19" t="str">
            <v>Biological nutrient removal-3-stage; wastewater treatment unit, solids reduction; at plant; m3 wastewater - US</v>
          </cell>
          <cell r="D19">
            <v>0.48620999999999998</v>
          </cell>
        </row>
        <row r="20">
          <cell r="C20" t="str">
            <v>Anaerobic digester; wastewater treatment unit, solids reduction; at plant; m3 wastewater - US</v>
          </cell>
          <cell r="D20">
            <v>8.3650000000000002E-2</v>
          </cell>
        </row>
        <row r="21">
          <cell r="C21" t="str">
            <v>Sludge hauling and landfill; wastewater treatment unit, solids reduction; at plant; m3 wastewater - US</v>
          </cell>
          <cell r="D21">
            <v>5.7049999999999997E-2</v>
          </cell>
        </row>
        <row r="22">
          <cell r="C22" t="str">
            <v>Effluent release; wastewater treatment unit; at surface water; m3 wastewater - US</v>
          </cell>
          <cell r="D22">
            <v>1.8700000000000001E-2</v>
          </cell>
        </row>
        <row r="23">
          <cell r="C23" t="str">
            <v>Chlorination; wastewater treatment unit, solids reduction; at plant; m3 wastewater - US</v>
          </cell>
          <cell r="D23">
            <v>1.6840000000000001E-2</v>
          </cell>
        </row>
        <row r="24">
          <cell r="C24" t="str">
            <v>Centrifuge; wastewater treatment unit, solids reduction; at plant; m3 wastewater - US</v>
          </cell>
          <cell r="D24">
            <v>1.6650000000000002E-2</v>
          </cell>
        </row>
        <row r="25">
          <cell r="C25" t="str">
            <v>Screening and grit removal; wastewater treatment unit, solids reduction; at plant; m3 wastewater - US</v>
          </cell>
          <cell r="D25">
            <v>2.6700000000000001E-3</v>
          </cell>
        </row>
        <row r="26">
          <cell r="C26" t="str">
            <v>Dechlorination; wastewater treatment unit, solids reduction; at plant; m3 wastewater - US</v>
          </cell>
          <cell r="D26">
            <v>1.89E-3</v>
          </cell>
        </row>
        <row r="27">
          <cell r="C27" t="str">
            <v>Secondary clarifier; wastewater treatment unit, solids reduction; at plant; m3 wastewater - US</v>
          </cell>
          <cell r="D27">
            <v>1.33E-3</v>
          </cell>
        </row>
        <row r="28">
          <cell r="C28" t="str">
            <v>Primary clarifier; wastewater treatment unit, solids reduction; at plant; m3 wastewater - US</v>
          </cell>
          <cell r="D28">
            <v>9.5E-4</v>
          </cell>
        </row>
        <row r="29">
          <cell r="C29" t="str">
            <v>Gravity thickener; wastewater treatment unit, solids reduction; at plant; m3 wastewater - US</v>
          </cell>
          <cell r="D29">
            <v>5.9999999999999995E-4</v>
          </cell>
        </row>
        <row r="33">
          <cell r="C33" t="str">
            <v>Activated sludge; wastewater treatment unit, solids reduction; at plant; m3 wastewater - US</v>
          </cell>
          <cell r="D33">
            <v>0.20652000000000001</v>
          </cell>
        </row>
        <row r="34">
          <cell r="C34" t="str">
            <v>Denitrification, suspended growth; wastewater treatment unit, solids reduction; at plant; m3 wastewater - US</v>
          </cell>
          <cell r="D34">
            <v>0.13289000000000001</v>
          </cell>
        </row>
        <row r="35">
          <cell r="C35" t="str">
            <v>Nitrification, suspended growth; wastewater treatment unit, solids reduction; at plant; m3 wastewater - US</v>
          </cell>
          <cell r="D35">
            <v>0.12834000000000001</v>
          </cell>
        </row>
        <row r="36">
          <cell r="C36" t="str">
            <v>Anaerobic digester; wastewater treatment unit, solids reduction; at plant; m3 wastewater - US</v>
          </cell>
          <cell r="D36">
            <v>0.12470000000000001</v>
          </cell>
        </row>
        <row r="37">
          <cell r="C37" t="str">
            <v>Sludge hauling and landfill; wastewater treatment unit, solids reduction; at plant; m3 wastewater - US</v>
          </cell>
          <cell r="D37">
            <v>8.4540000000000004E-2</v>
          </cell>
        </row>
        <row r="38">
          <cell r="C38" t="str">
            <v>Chemical phosphorus removal; wastewater treatment unit, solids reduction; at plant; m3 wastewater - US</v>
          </cell>
          <cell r="D38">
            <v>4.0329999999999998E-2</v>
          </cell>
        </row>
        <row r="39">
          <cell r="C39" t="str">
            <v>Centrifuge; wastewater treatment unit, solids reduction; at plant; m3 wastewater - US</v>
          </cell>
          <cell r="D39">
            <v>2.8309999999999998E-2</v>
          </cell>
        </row>
        <row r="40">
          <cell r="C40" t="str">
            <v>Effluent release; wastewater treatment unit; at surface water; m3 wastewater - US</v>
          </cell>
          <cell r="D40">
            <v>1.8169999999999999E-2</v>
          </cell>
        </row>
        <row r="41">
          <cell r="C41" t="str">
            <v>Chlorination; wastewater treatment unit, solids reduction; at plant; m3 wastewater - US</v>
          </cell>
          <cell r="D41">
            <v>1.6830000000000001E-2</v>
          </cell>
        </row>
        <row r="42">
          <cell r="C42" t="str">
            <v>Screening and grit removal; wastewater treatment unit, solids reduction; at plant; m3 wastewater - US</v>
          </cell>
          <cell r="D42">
            <v>2.7000000000000001E-3</v>
          </cell>
        </row>
        <row r="43">
          <cell r="C43" t="str">
            <v>Dechlorination; wastewater treatment unit, solids reduction; at plant; m3 wastewater - US</v>
          </cell>
          <cell r="D43">
            <v>1.89E-3</v>
          </cell>
        </row>
        <row r="44">
          <cell r="C44" t="str">
            <v>Secondary clarifier; wastewater treatment unit, solids reduction; at plant; m3 wastewater - US</v>
          </cell>
          <cell r="D44">
            <v>1.4599999999999999E-3</v>
          </cell>
        </row>
        <row r="45">
          <cell r="C45" t="str">
            <v>Tertiary clarification, denitrification; wastewater treatment unit, solids reduction; at plant; m3 wastewater - US</v>
          </cell>
          <cell r="D45">
            <v>1.2199999999999999E-3</v>
          </cell>
        </row>
        <row r="46">
          <cell r="C46" t="str">
            <v>Tertiary clarification, nitrification; wastewater treatment unit, solids reduction; at plant; m3 wastewater - US</v>
          </cell>
          <cell r="D46">
            <v>1.08E-3</v>
          </cell>
        </row>
        <row r="47">
          <cell r="C47" t="str">
            <v>Primary clarifier; wastewater treatment unit, solids reduction; at plant; m3 wastewater - US</v>
          </cell>
          <cell r="D47">
            <v>9.7000000000000005E-4</v>
          </cell>
        </row>
        <row r="48">
          <cell r="C48" t="str">
            <v>Gravity thickener; wastewater treatment unit, solids reduction; at plant; m3 wastewater - US</v>
          </cell>
          <cell r="D48">
            <v>6.9999999999999999E-4</v>
          </cell>
        </row>
        <row r="52">
          <cell r="C52" t="str">
            <v>Biological nutrient removal-5-stage; wastewater treatment unit, solids reduction; at plant; m3 wastewater - US</v>
          </cell>
          <cell r="D52">
            <v>0.79303999999999997</v>
          </cell>
        </row>
        <row r="53">
          <cell r="C53" t="str">
            <v>Anaerobic digester; wastewater treatment unit, solids reduction; at plant; m3 wastewater - US</v>
          </cell>
          <cell r="D53">
            <v>0.11493</v>
          </cell>
        </row>
        <row r="54">
          <cell r="C54" t="str">
            <v>Sludge hauling and landfill; wastewater treatment unit, solids reduction; at plant; m3 wastewater - US</v>
          </cell>
          <cell r="D54">
            <v>5.9889999999999999E-2</v>
          </cell>
        </row>
        <row r="55">
          <cell r="C55" t="str">
            <v>Centrifuge; wastewater treatment unit, solids reduction; at plant; m3 wastewater - US</v>
          </cell>
          <cell r="D55">
            <v>2.002E-2</v>
          </cell>
        </row>
        <row r="56">
          <cell r="C56" t="str">
            <v>Chlorination; wastewater treatment unit, solids reduction; at plant; m3 wastewater - US</v>
          </cell>
          <cell r="D56">
            <v>1.499E-2</v>
          </cell>
        </row>
        <row r="57">
          <cell r="C57" t="str">
            <v>Effluent release; wastewater treatment unit; at surface water; m3 wastewater - US</v>
          </cell>
          <cell r="D57">
            <v>1.401E-2</v>
          </cell>
        </row>
        <row r="58">
          <cell r="C58" t="str">
            <v>Filtration, sand filter; wastewater treatment unit, solids reduction; at plant; m3 wastewater - US</v>
          </cell>
          <cell r="D58">
            <v>4.4400000000000004E-3</v>
          </cell>
        </row>
        <row r="59">
          <cell r="C59" t="str">
            <v>Screening and grit removal; wastewater treatment unit, solids reduction; at plant; m3 wastewater - US</v>
          </cell>
          <cell r="D59">
            <v>2.6800000000000001E-3</v>
          </cell>
        </row>
        <row r="60">
          <cell r="C60" t="str">
            <v>Chemical phosphorus removal; wastewater treatment unit, solids reduction; at plant; m3 wastewater - US</v>
          </cell>
          <cell r="D60">
            <v>2.0200000000000001E-3</v>
          </cell>
        </row>
        <row r="61">
          <cell r="C61" t="str">
            <v>Dechlorination; wastewater treatment unit, solids reduction; at plant; m3 wastewater - US</v>
          </cell>
          <cell r="D61">
            <v>1.89E-3</v>
          </cell>
        </row>
        <row r="62">
          <cell r="C62" t="str">
            <v>Secondary clarifier; wastewater treatment unit, solids reduction; at plant; m3 wastewater - US</v>
          </cell>
          <cell r="D62">
            <v>1.4499999999999999E-3</v>
          </cell>
        </row>
        <row r="63">
          <cell r="C63" t="str">
            <v>Primary clarifier; wastewater treatment unit, solids reduction; at plant; m3 wastewater - US</v>
          </cell>
          <cell r="D63">
            <v>9.5E-4</v>
          </cell>
        </row>
        <row r="64">
          <cell r="C64" t="str">
            <v>Fermentation; wastewater treatment unit, solids reduction; at plant; m3 - US</v>
          </cell>
          <cell r="D64">
            <v>7.3999999999999999E-4</v>
          </cell>
        </row>
        <row r="65">
          <cell r="C65" t="str">
            <v>Gravity thickener; wastewater treatment unit, solids reduction; at plant; m3 wastewater - US</v>
          </cell>
          <cell r="D65">
            <v>6.2E-4</v>
          </cell>
        </row>
        <row r="69">
          <cell r="C69" t="str">
            <v>Biological nutrient removal-4-stage; wastewater treatment unit, solids reduction; at plant; m3 wastewater - US</v>
          </cell>
          <cell r="D69">
            <v>0.71804000000000001</v>
          </cell>
        </row>
        <row r="70">
          <cell r="C70" t="str">
            <v>Anaerobic digester; wastewater treatment unit, solids reduction; at plant; m3 wastewater - US</v>
          </cell>
          <cell r="D70">
            <v>8.7709999999999996E-2</v>
          </cell>
        </row>
        <row r="71">
          <cell r="C71" t="str">
            <v>Sludge hauling and landfill; wastewater treatment unit, solids reduction; at plant; m3 wastewater - US</v>
          </cell>
          <cell r="D71">
            <v>5.9909999999999998E-2</v>
          </cell>
        </row>
        <row r="72">
          <cell r="C72" t="str">
            <v>Centrifuge; wastewater treatment unit, solids reduction; at plant; m3 wastewater - US</v>
          </cell>
          <cell r="D72">
            <v>2.002E-2</v>
          </cell>
        </row>
        <row r="73">
          <cell r="C73" t="str">
            <v>Chlorination; wastewater treatment unit, solids reduction; at plant; m3 wastewater - US</v>
          </cell>
          <cell r="D73">
            <v>1.499E-2</v>
          </cell>
        </row>
        <row r="74">
          <cell r="C74" t="str">
            <v>Effluent release; wastewater treatment unit; at surface water; m3 wastewater - US</v>
          </cell>
          <cell r="D74">
            <v>1.401E-2</v>
          </cell>
        </row>
        <row r="75">
          <cell r="C75" t="str">
            <v>Filtration, sand filter; wastewater treatment unit, solids reduction; at plant; m3 wastewater - US</v>
          </cell>
          <cell r="D75">
            <v>4.4400000000000004E-3</v>
          </cell>
        </row>
        <row r="76">
          <cell r="C76" t="str">
            <v>Screening and grit removal; wastewater treatment unit, solids reduction; at plant; m3 wastewater - US</v>
          </cell>
          <cell r="D76">
            <v>2.6800000000000001E-3</v>
          </cell>
        </row>
        <row r="77">
          <cell r="C77" t="str">
            <v>Chemical phosphorus removal; wastewater treatment unit, solids reduction; at plant; m3 wastewater - US</v>
          </cell>
          <cell r="D77">
            <v>2.0200000000000001E-3</v>
          </cell>
        </row>
        <row r="78">
          <cell r="C78" t="str">
            <v>Dechlorination; wastewater treatment unit, solids reduction; at plant; m3 wastewater - US</v>
          </cell>
          <cell r="D78">
            <v>1.89E-3</v>
          </cell>
        </row>
        <row r="79">
          <cell r="C79" t="str">
            <v>Secondary clarifier; wastewater treatment unit, solids reduction; at plant; m3 wastewater - US</v>
          </cell>
          <cell r="D79">
            <v>1.4499999999999999E-3</v>
          </cell>
        </row>
        <row r="80">
          <cell r="C80" t="str">
            <v>Primary clarifier; wastewater treatment unit, solids reduction; at plant; m3 wastewater - US</v>
          </cell>
          <cell r="D80">
            <v>9.5E-4</v>
          </cell>
        </row>
        <row r="81">
          <cell r="C81" t="str">
            <v>Fermentation; wastewater treatment unit, solids reduction; at plant; m3 - US</v>
          </cell>
          <cell r="D81">
            <v>7.3999999999999999E-4</v>
          </cell>
        </row>
        <row r="82">
          <cell r="C82" t="str">
            <v>Gravity thickener; wastewater treatment unit, solids reduction; at plant; m3 wastewater - US</v>
          </cell>
          <cell r="D82">
            <v>6.2E-4</v>
          </cell>
        </row>
        <row r="87">
          <cell r="C87" t="str">
            <v>Biological nutrient removal-5-stage; wastewater treatment unit, solids reduction; at plant; m3 wastewater - US</v>
          </cell>
          <cell r="D87">
            <v>0.80039000000000005</v>
          </cell>
        </row>
        <row r="88">
          <cell r="C88" t="str">
            <v>Denitrification, attached growth; wastewater treatment unit, solids reduction; at plant; m3 wastewater - US</v>
          </cell>
          <cell r="D88">
            <v>0.11701</v>
          </cell>
        </row>
        <row r="89">
          <cell r="C89" t="str">
            <v>Anaerobic digester; wastewater treatment unit, solids reduction; at plant; m3 wastewater - US</v>
          </cell>
          <cell r="D89">
            <v>8.8099999999999998E-2</v>
          </cell>
        </row>
        <row r="90">
          <cell r="C90" t="str">
            <v>Sludge hauling and landfill; wastewater treatment unit, solids reduction; at plant; m3 wastewater - US</v>
          </cell>
          <cell r="D90">
            <v>6.0040000000000003E-2</v>
          </cell>
        </row>
        <row r="91">
          <cell r="C91" t="str">
            <v>Centrifuge; wastewater treatment unit, solids reduction; at plant; m3 wastewater - US</v>
          </cell>
          <cell r="D91">
            <v>2.018E-2</v>
          </cell>
        </row>
        <row r="92">
          <cell r="C92" t="str">
            <v>Chlorination; wastewater treatment unit, solids reduction; at plant; m3 wastewater - US</v>
          </cell>
          <cell r="D92">
            <v>1.499E-2</v>
          </cell>
        </row>
        <row r="93">
          <cell r="C93" t="str">
            <v>Effluent release; wastewater treatment unit; at surface water; m3 wastewater - US</v>
          </cell>
          <cell r="D93">
            <v>7.0000000000000001E-3</v>
          </cell>
        </row>
        <row r="94">
          <cell r="C94" t="str">
            <v>Chemical phosphorus removal; wastewater treatment unit, solids reduction; at plant; m3 wastewater - US</v>
          </cell>
          <cell r="D94">
            <v>6.0600000000000003E-3</v>
          </cell>
        </row>
        <row r="95">
          <cell r="C95" t="str">
            <v>Filtration, sand filter; wastewater treatment unit, solids reduction; at plant; m3 wastewater - US</v>
          </cell>
          <cell r="D95">
            <v>4.4400000000000004E-3</v>
          </cell>
        </row>
        <row r="96">
          <cell r="C96" t="str">
            <v>Screening and grit removal; wastewater treatment unit, solids reduction; at plant; m3 wastewater - US</v>
          </cell>
          <cell r="D96">
            <v>2.6800000000000001E-3</v>
          </cell>
        </row>
        <row r="97">
          <cell r="C97" t="str">
            <v>Dechlorination; wastewater treatment unit, solids reduction; at plant; m3 wastewater - US</v>
          </cell>
          <cell r="D97">
            <v>1.89E-3</v>
          </cell>
        </row>
        <row r="98">
          <cell r="C98" t="str">
            <v>Secondary clarifier; wastewater treatment unit, solids reduction; at plant; m3 wastewater - US</v>
          </cell>
          <cell r="D98">
            <v>1.4499999999999999E-3</v>
          </cell>
        </row>
        <row r="99">
          <cell r="C99" t="str">
            <v>Primary clarifier; wastewater treatment unit, solids reduction; at plant; m3 wastewater - US</v>
          </cell>
          <cell r="D99">
            <v>9.6000000000000002E-4</v>
          </cell>
        </row>
        <row r="100">
          <cell r="C100" t="str">
            <v>Fermentation; wastewater treatment unit, solids reduction; at plant; m3 - US</v>
          </cell>
          <cell r="D100">
            <v>7.3999999999999999E-4</v>
          </cell>
        </row>
        <row r="101">
          <cell r="C101" t="str">
            <v>Gravity thickener; wastewater treatment unit, solids reduction; at plant; m3 wastewater - US</v>
          </cell>
          <cell r="D101">
            <v>6.2E-4</v>
          </cell>
        </row>
        <row r="105">
          <cell r="C105" t="str">
            <v>Biological nutrient removal-4-stage; wastewater treatment unit, solids reduction; at plant; m3 wastewater - US</v>
          </cell>
          <cell r="D105">
            <v>0.65693000000000001</v>
          </cell>
        </row>
        <row r="106">
          <cell r="C106" t="str">
            <v>Membrane filter; wastewater treatment unit, solids reduction; at plant; m3 wastewater - US</v>
          </cell>
          <cell r="D106">
            <v>0.14226</v>
          </cell>
        </row>
        <row r="107">
          <cell r="C107" t="str">
            <v>Anaerobic digester; wastewater treatment unit, solids reduction; at plant; m3 wastewater - US</v>
          </cell>
          <cell r="D107">
            <v>8.9349999999999999E-2</v>
          </cell>
        </row>
        <row r="108">
          <cell r="C108" t="str">
            <v>Sludge hauling and landfill; wastewater treatment unit, solids reduction; at plant; m3 wastewater - US</v>
          </cell>
          <cell r="D108">
            <v>6.1289999999999997E-2</v>
          </cell>
        </row>
        <row r="109">
          <cell r="C109" t="str">
            <v>Centrifuge; wastewater treatment unit, solids reduction; at plant; m3 wastewater - US</v>
          </cell>
          <cell r="D109">
            <v>2.026E-2</v>
          </cell>
        </row>
        <row r="110">
          <cell r="C110" t="str">
            <v>Chlorination; wastewater treatment unit, solids reduction; at plant; m3 wastewater - US</v>
          </cell>
          <cell r="D110">
            <v>1.499E-2</v>
          </cell>
        </row>
        <row r="111">
          <cell r="C111" t="str">
            <v>Effluent release; wastewater treatment unit; at surface water; m3 wastewater - US</v>
          </cell>
          <cell r="D111">
            <v>7.0099999999999997E-3</v>
          </cell>
        </row>
        <row r="112">
          <cell r="C112" t="str">
            <v>Screening and grit removal; wastewater treatment unit, solids reduction; at plant; m3 wastewater - US</v>
          </cell>
          <cell r="D112">
            <v>2.6700000000000001E-3</v>
          </cell>
        </row>
        <row r="113">
          <cell r="C113" t="str">
            <v>Dechlorination; wastewater treatment unit, solids reduction; at plant; m3 wastewater - US</v>
          </cell>
          <cell r="D113">
            <v>1.89E-3</v>
          </cell>
        </row>
        <row r="114">
          <cell r="C114" t="str">
            <v>Chemical phosphorus removal; wastewater treatment unit, solids reduction; at plant; m3 wastewater - US</v>
          </cell>
          <cell r="D114">
            <v>1.0399999999999999E-3</v>
          </cell>
        </row>
        <row r="115">
          <cell r="C115" t="str">
            <v>Primary clarifier; wastewater treatment unit, solids reduction; at plant; m3 wastewater - US</v>
          </cell>
          <cell r="D115">
            <v>9.5E-4</v>
          </cell>
        </row>
        <row r="116">
          <cell r="C116" t="str">
            <v>Gravity thickener; wastewater treatment unit, solids reduction; at plant; m3 wastewater - US</v>
          </cell>
          <cell r="D116">
            <v>6.3000000000000003E-4</v>
          </cell>
        </row>
        <row r="120">
          <cell r="C120" t="str">
            <v>Biological nutrient removal-5-stage; wastewater treatment unit, solids reduction; at plant; m3 wastewater - US</v>
          </cell>
          <cell r="D120">
            <v>0.83877000000000002</v>
          </cell>
        </row>
        <row r="121">
          <cell r="C121" t="str">
            <v>Reverse osmosis; wastewater treatment unit, solids reduction; at plant; m3 wastewater - US</v>
          </cell>
          <cell r="D121">
            <v>0.37292999999999998</v>
          </cell>
        </row>
        <row r="122">
          <cell r="C122" t="str">
            <v>Underground injection of brine; wastewater treatment unit, solids reduction; at injection site; m3 wastewater - US</v>
          </cell>
          <cell r="D122">
            <v>0.26123000000000002</v>
          </cell>
        </row>
        <row r="123">
          <cell r="C123" t="str">
            <v>Ultrafilter; wastewater treatment unit, solids reduction; at plant; m3 wastewater - US</v>
          </cell>
          <cell r="D123">
            <v>0.14662</v>
          </cell>
        </row>
        <row r="124">
          <cell r="C124" t="str">
            <v>Anaerobic digester; wastewater treatment unit, solids reduction; at plant; m3 wastewater - US</v>
          </cell>
          <cell r="D124">
            <v>8.8099999999999998E-2</v>
          </cell>
        </row>
        <row r="125">
          <cell r="C125" t="str">
            <v>Sludge hauling and landfill; wastewater treatment unit, solids reduction; at plant; m3 wastewater - US</v>
          </cell>
          <cell r="D125">
            <v>6.0019999999999997E-2</v>
          </cell>
        </row>
        <row r="126">
          <cell r="C126" t="str">
            <v>Centrifuge; wastewater treatment unit, solids reduction; at plant; m3 wastewater - US</v>
          </cell>
          <cell r="D126">
            <v>2.018E-2</v>
          </cell>
        </row>
        <row r="127">
          <cell r="C127" t="str">
            <v>Denitrification, attached growth; wastewater treatment unit, solids reduction; at plant; m3 wastewater - US</v>
          </cell>
          <cell r="D127">
            <v>1.3390000000000001E-2</v>
          </cell>
        </row>
        <row r="128">
          <cell r="C128" t="str">
            <v>Chlorination; wastewater treatment unit, solids reduction; at plant; m3 wastewater - US</v>
          </cell>
          <cell r="D128">
            <v>1.184E-2</v>
          </cell>
        </row>
        <row r="129">
          <cell r="C129" t="str">
            <v>Filtration, sand filter; wastewater treatment unit, solids reduction; at plant; m3 wastewater - US</v>
          </cell>
          <cell r="D129">
            <v>4.4400000000000004E-3</v>
          </cell>
        </row>
        <row r="130">
          <cell r="C130" t="str">
            <v>Screening and grit removal; wastewater treatment unit, solids reduction; at plant; m3 wastewater - US</v>
          </cell>
          <cell r="D130">
            <v>2.6800000000000001E-3</v>
          </cell>
        </row>
        <row r="131">
          <cell r="C131" t="str">
            <v>Chemical phosphorus removal; wastewater treatment unit, solids reduction; at plant; m3 wastewater - US</v>
          </cell>
          <cell r="D131">
            <v>2.0799999999999998E-3</v>
          </cell>
        </row>
        <row r="132">
          <cell r="C132" t="str">
            <v>Dechlorination; wastewater treatment unit, solids reduction; at plant; m3 wastewater - US</v>
          </cell>
          <cell r="D132">
            <v>1.8799999999999999E-3</v>
          </cell>
        </row>
        <row r="133">
          <cell r="C133" t="str">
            <v>Effluent release; wastewater treatment unit; at surface water; m3 wastewater - US</v>
          </cell>
          <cell r="D133">
            <v>1.5E-3</v>
          </cell>
        </row>
        <row r="134">
          <cell r="C134" t="str">
            <v>Secondary clarifier; wastewater treatment unit, solids reduction; at plant; m3 wastewater - US</v>
          </cell>
          <cell r="D134">
            <v>1.4499999999999999E-3</v>
          </cell>
        </row>
        <row r="135">
          <cell r="C135" t="str">
            <v>Primary clarifier; wastewater treatment unit, solids reduction; at plant; m3 wastewater - US</v>
          </cell>
          <cell r="D135">
            <v>9.6000000000000002E-4</v>
          </cell>
        </row>
        <row r="136">
          <cell r="C136" t="str">
            <v>Fermentation; wastewater treatment unit, solids reduction; at plant; m3 - US</v>
          </cell>
          <cell r="D136">
            <v>7.3999999999999999E-4</v>
          </cell>
        </row>
        <row r="137">
          <cell r="C137" t="str">
            <v>Gravity thickener; wastewater treatment unit, solids reduction; at plant; m3 wastewater - US</v>
          </cell>
          <cell r="D137">
            <v>6.2E-4</v>
          </cell>
        </row>
        <row r="141">
          <cell r="C141" t="str">
            <v>Biological nutrient removal-5-stage; wastewater treatment unit, solids reduction; at plant; m3 wastewater - US</v>
          </cell>
          <cell r="D141">
            <v>0.70162999999999998</v>
          </cell>
        </row>
        <row r="142">
          <cell r="C142" t="str">
            <v>Reverse osmosis; wastewater treatment unit, solids reduction; at plant; m3 wastewater - US</v>
          </cell>
          <cell r="D142">
            <v>0.35260000000000002</v>
          </cell>
        </row>
        <row r="143">
          <cell r="C143" t="str">
            <v>Underground injection of brine; wastewater treatment unit, solids reduction; at injection site; m3 wastewater - US</v>
          </cell>
          <cell r="D143">
            <v>0.26123000000000002</v>
          </cell>
        </row>
        <row r="144">
          <cell r="C144" t="str">
            <v>Membrane filter; wastewater treatment unit, solids reduction; at plant; m3 wastewater - US</v>
          </cell>
          <cell r="D144">
            <v>0.14226</v>
          </cell>
        </row>
        <row r="145">
          <cell r="C145" t="str">
            <v>Anaerobic digester; wastewater treatment unit, solids reduction; at plant; m3 wastewater - US</v>
          </cell>
          <cell r="D145">
            <v>8.5769999999999999E-2</v>
          </cell>
        </row>
        <row r="146">
          <cell r="C146" t="str">
            <v>Sludge hauling and landfill; wastewater treatment unit, solids reduction; at plant; m3 wastewater - US</v>
          </cell>
          <cell r="D146">
            <v>5.8020000000000002E-2</v>
          </cell>
        </row>
        <row r="147">
          <cell r="C147" t="str">
            <v>Centrifuge; wastewater treatment unit, solids reduction; at plant; m3 wastewater - US</v>
          </cell>
          <cell r="D147">
            <v>1.959E-2</v>
          </cell>
        </row>
        <row r="148">
          <cell r="C148" t="str">
            <v>Chlorination; wastewater treatment unit, solids reduction; at plant; m3 wastewater - US</v>
          </cell>
          <cell r="D148">
            <v>1.191E-2</v>
          </cell>
        </row>
        <row r="149">
          <cell r="C149" t="str">
            <v>Effluent release; wastewater treatment unit; at surface water; m3 wastewater - US</v>
          </cell>
          <cell r="D149">
            <v>3.7499999999999999E-3</v>
          </cell>
        </row>
        <row r="150">
          <cell r="C150" t="str">
            <v>Screening and grit removal; wastewater treatment unit, solids reduction; at plant; m3 wastewater - US</v>
          </cell>
          <cell r="D150">
            <v>2.6700000000000001E-3</v>
          </cell>
        </row>
        <row r="151">
          <cell r="C151" t="str">
            <v>Dechlorination; wastewater treatment unit, solids reduction; at plant; m3 wastewater - US</v>
          </cell>
          <cell r="D151">
            <v>1.8799999999999999E-3</v>
          </cell>
        </row>
        <row r="152">
          <cell r="C152" t="str">
            <v>Primary clarifier; wastewater treatment unit, solids reduction; at plant; m3 wastewater - US</v>
          </cell>
          <cell r="D152">
            <v>9.5E-4</v>
          </cell>
        </row>
        <row r="153">
          <cell r="C153" t="str">
            <v>Fermentation; wastewater treatment unit, solids reduction; at plant; m3 - US</v>
          </cell>
          <cell r="D153">
            <v>7.3999999999999999E-4</v>
          </cell>
        </row>
        <row r="154">
          <cell r="C154" t="str">
            <v>Gravity thickener; wastewater treatment unit, solids reduction; at plant; m3 wastewater - US</v>
          </cell>
          <cell r="D154">
            <v>6.0999999999999997E-4</v>
          </cell>
        </row>
        <row r="155">
          <cell r="C155" t="str">
            <v>Chemical phosphorus removal; wastewater treatment unit, solids reduction; at plant; m3 wastewater - US</v>
          </cell>
          <cell r="D155">
            <v>1.2E-4</v>
          </cell>
        </row>
      </sheetData>
      <sheetData sheetId="19">
        <row r="5">
          <cell r="C5" t="str">
            <v>Effluent release; wastewater treatment unit; at surface water; m3 wastewater - US</v>
          </cell>
          <cell r="D5">
            <v>6.3869999999999996E-2</v>
          </cell>
        </row>
        <row r="6">
          <cell r="C6" t="str">
            <v>Sludge hauling and landfill; wastewater treatment unit, solids reduction; at plant; m3 wastewater - US</v>
          </cell>
          <cell r="D6">
            <v>1.6999999999999999E-3</v>
          </cell>
        </row>
        <row r="7">
          <cell r="C7" t="str">
            <v>Activated sludge; wastewater treatment unit, solids reduction; at plant; m3 wastewater - US</v>
          </cell>
          <cell r="D7">
            <v>5.0000000000000001E-4</v>
          </cell>
        </row>
        <row r="8">
          <cell r="C8" t="str">
            <v>Anaerobic digester; wastewater treatment unit, solids reduction; at plant; m3 wastewater - US</v>
          </cell>
          <cell r="D8">
            <v>1.2999999999999999E-4</v>
          </cell>
        </row>
        <row r="9">
          <cell r="C9" t="str">
            <v>Chlorination; wastewater treatment unit, solids reduction; at plant; m3 wastewater - US</v>
          </cell>
          <cell r="D9">
            <v>1.1E-4</v>
          </cell>
        </row>
        <row r="10">
          <cell r="C10" t="str">
            <v>Centrifuge; wastewater treatment unit, solids reduction; at plant; m3 wastewater - US</v>
          </cell>
          <cell r="D10">
            <v>6.83805E-5</v>
          </cell>
        </row>
        <row r="11">
          <cell r="C11" t="str">
            <v>Screening and grit removal; wastewater treatment unit, solids reduction; at plant; m3 wastewater - US</v>
          </cell>
          <cell r="D11">
            <v>1.17341E-5</v>
          </cell>
        </row>
        <row r="12">
          <cell r="C12" t="str">
            <v>Dechlorination; wastewater treatment unit, solids reduction; at plant; m3 wastewater - US</v>
          </cell>
          <cell r="D12">
            <v>9.9202899999999998E-6</v>
          </cell>
        </row>
        <row r="13">
          <cell r="C13" t="str">
            <v>Secondary clarifier; wastewater treatment unit, solids reduction; at plant; m3 wastewater - US</v>
          </cell>
          <cell r="D13">
            <v>4.8925600000000001E-6</v>
          </cell>
        </row>
        <row r="14">
          <cell r="C14" t="str">
            <v>Primary clarifier; wastewater treatment unit, solids reduction; at plant; m3 wastewater - US</v>
          </cell>
          <cell r="D14">
            <v>3.2505399999999999E-6</v>
          </cell>
        </row>
        <row r="15">
          <cell r="C15" t="str">
            <v>Gravity thickener; wastewater treatment unit, solids reduction; at plant; m3 wastewater - US</v>
          </cell>
          <cell r="D15">
            <v>2.6303500000000002E-6</v>
          </cell>
        </row>
        <row r="19">
          <cell r="C19" t="str">
            <v>Effluent release; wastewater treatment unit; at surface water; m3 wastewater - US</v>
          </cell>
          <cell r="D19">
            <v>6.4999999999999997E-3</v>
          </cell>
        </row>
        <row r="20">
          <cell r="C20" t="str">
            <v>Biological nutrient removal-3-stage; wastewater treatment unit, solids reduction; at plant; m3 wastewater - US</v>
          </cell>
          <cell r="D20">
            <v>1.48E-3</v>
          </cell>
        </row>
        <row r="21">
          <cell r="C21" t="str">
            <v>Sludge hauling and landfill; wastewater treatment unit, solids reduction; at plant; m3 wastewater - US</v>
          </cell>
          <cell r="D21">
            <v>1.4400000000000001E-3</v>
          </cell>
        </row>
        <row r="22">
          <cell r="C22" t="str">
            <v>Anaerobic digester; wastewater treatment unit, solids reduction; at plant; m3 wastewater - US</v>
          </cell>
          <cell r="D22">
            <v>1.1E-4</v>
          </cell>
        </row>
        <row r="23">
          <cell r="C23" t="str">
            <v>Chlorination; wastewater treatment unit, solids reduction; at plant; m3 wastewater - US</v>
          </cell>
          <cell r="D23">
            <v>1E-4</v>
          </cell>
        </row>
        <row r="24">
          <cell r="C24" t="str">
            <v>Centrifuge; wastewater treatment unit, solids reduction; at plant; m3 wastewater - US</v>
          </cell>
          <cell r="D24">
            <v>5.8487699999999999E-5</v>
          </cell>
        </row>
        <row r="25">
          <cell r="C25" t="str">
            <v>Screening and grit removal; wastewater treatment unit, solids reduction; at plant; m3 wastewater - US</v>
          </cell>
          <cell r="D25">
            <v>1.1709099999999999E-5</v>
          </cell>
        </row>
        <row r="26">
          <cell r="C26" t="str">
            <v>Dechlorination; wastewater treatment unit, solids reduction; at plant; m3 wastewater - US</v>
          </cell>
          <cell r="D26">
            <v>9.9202899999999998E-6</v>
          </cell>
        </row>
        <row r="27">
          <cell r="C27" t="str">
            <v>Secondary clarifier; wastewater treatment unit, solids reduction; at plant; m3 wastewater - US</v>
          </cell>
          <cell r="D27">
            <v>4.4545700000000001E-6</v>
          </cell>
        </row>
        <row r="28">
          <cell r="C28" t="str">
            <v>Primary clarifier; wastewater treatment unit, solids reduction; at plant; m3 wastewater - US</v>
          </cell>
          <cell r="D28">
            <v>3.2256399999999999E-6</v>
          </cell>
        </row>
        <row r="29">
          <cell r="C29" t="str">
            <v>Gravity thickener; wastewater treatment unit, solids reduction; at plant; m3 wastewater - US</v>
          </cell>
          <cell r="D29">
            <v>2.48528E-6</v>
          </cell>
        </row>
        <row r="33">
          <cell r="C33" t="str">
            <v>Effluent release; wastewater treatment unit; at surface water; m3 wastewater - US</v>
          </cell>
          <cell r="D33">
            <v>1.082E-2</v>
          </cell>
        </row>
        <row r="34">
          <cell r="C34" t="str">
            <v>Sludge hauling and landfill; wastewater treatment unit, solids reduction; at plant; m3 wastewater - US</v>
          </cell>
          <cell r="D34">
            <v>2.5500000000000002E-3</v>
          </cell>
        </row>
        <row r="35">
          <cell r="C35" t="str">
            <v>Nitrification, suspended growth; wastewater treatment unit, solids reduction; at plant; m3 wastewater - US</v>
          </cell>
          <cell r="D35">
            <v>5.5000000000000003E-4</v>
          </cell>
        </row>
        <row r="36">
          <cell r="C36" t="str">
            <v>Activated sludge; wastewater treatment unit, solids reduction; at plant; m3 wastewater - US</v>
          </cell>
          <cell r="D36">
            <v>5.0000000000000001E-4</v>
          </cell>
        </row>
        <row r="37">
          <cell r="C37" t="str">
            <v>Denitrification, suspended growth; wastewater treatment unit, solids reduction; at plant; m3 wastewater - US</v>
          </cell>
          <cell r="D37">
            <v>4.4000000000000002E-4</v>
          </cell>
        </row>
        <row r="38">
          <cell r="C38" t="str">
            <v>Chemical phosphorus removal; wastewater treatment unit, solids reduction; at plant; m3 wastewater - US</v>
          </cell>
          <cell r="D38">
            <v>2.5000000000000001E-4</v>
          </cell>
        </row>
        <row r="39">
          <cell r="C39" t="str">
            <v>Anaerobic digester; wastewater treatment unit, solids reduction; at plant; m3 wastewater - US</v>
          </cell>
          <cell r="D39">
            <v>1.6000000000000001E-4</v>
          </cell>
        </row>
        <row r="40">
          <cell r="C40" t="str">
            <v>Chlorination; wastewater treatment unit, solids reduction; at plant; m3 wastewater - US</v>
          </cell>
          <cell r="D40">
            <v>1E-4</v>
          </cell>
        </row>
        <row r="41">
          <cell r="C41" t="str">
            <v>Centrifuge; wastewater treatment unit, solids reduction; at plant; m3 wastewater - US</v>
          </cell>
          <cell r="D41">
            <v>9.8740900000000002E-5</v>
          </cell>
        </row>
        <row r="42">
          <cell r="C42" t="str">
            <v>Screening and grit removal; wastewater treatment unit, solids reduction; at plant; m3 wastewater - US</v>
          </cell>
          <cell r="D42">
            <v>1.18092E-5</v>
          </cell>
        </row>
        <row r="43">
          <cell r="C43" t="str">
            <v>Dechlorination; wastewater treatment unit, solids reduction; at plant; m3 wastewater - US</v>
          </cell>
          <cell r="D43">
            <v>9.9202899999999998E-6</v>
          </cell>
        </row>
        <row r="44">
          <cell r="C44" t="str">
            <v>Secondary clarifier; wastewater treatment unit, solids reduction; at plant; m3 wastewater - US</v>
          </cell>
          <cell r="D44">
            <v>5.0151499999999997E-6</v>
          </cell>
        </row>
        <row r="45">
          <cell r="C45" t="str">
            <v>Tertiary clarification, denitrification; wastewater treatment unit, solids reduction; at plant; m3 wastewater - US</v>
          </cell>
          <cell r="D45">
            <v>3.9690600000000004E-6</v>
          </cell>
        </row>
        <row r="46">
          <cell r="C46" t="str">
            <v>Tertiary clarification, nitrification; wastewater treatment unit, solids reduction; at plant; m3 wastewater - US</v>
          </cell>
          <cell r="D46">
            <v>3.3472899999999998E-6</v>
          </cell>
        </row>
        <row r="47">
          <cell r="C47" t="str">
            <v>Primary clarifier; wastewater treatment unit, solids reduction; at plant; m3 wastewater - US</v>
          </cell>
          <cell r="D47">
            <v>3.3130899999999998E-6</v>
          </cell>
        </row>
        <row r="48">
          <cell r="C48" t="str">
            <v>Gravity thickener; wastewater treatment unit, solids reduction; at plant; m3 wastewater - US</v>
          </cell>
          <cell r="D48">
            <v>2.86581E-6</v>
          </cell>
        </row>
        <row r="52">
          <cell r="C52" t="str">
            <v>Effluent release; wastewater treatment unit; at surface water; m3 wastewater - US</v>
          </cell>
          <cell r="D52">
            <v>3.49E-3</v>
          </cell>
        </row>
        <row r="53">
          <cell r="C53" t="str">
            <v>Biological nutrient removal-5-stage; wastewater treatment unit, solids reduction; at plant; m3 wastewater - US</v>
          </cell>
          <cell r="D53">
            <v>1.8E-3</v>
          </cell>
        </row>
        <row r="54">
          <cell r="C54" t="str">
            <v>Sludge hauling and landfill; wastewater treatment unit, solids reduction; at plant; m3 wastewater - US</v>
          </cell>
          <cell r="D54">
            <v>1.7700000000000001E-3</v>
          </cell>
        </row>
        <row r="55">
          <cell r="C55" t="str">
            <v>Anaerobic digester; wastewater treatment unit, solids reduction; at plant; m3 wastewater - US</v>
          </cell>
          <cell r="D55">
            <v>1.2E-4</v>
          </cell>
        </row>
        <row r="56">
          <cell r="C56" t="str">
            <v>Chlorination; wastewater treatment unit, solids reduction; at plant; m3 wastewater - US</v>
          </cell>
          <cell r="D56">
            <v>8.9896900000000003E-5</v>
          </cell>
        </row>
        <row r="57">
          <cell r="C57" t="str">
            <v>Centrifuge; wastewater treatment unit, solids reduction; at plant; m3 wastewater - US</v>
          </cell>
          <cell r="D57">
            <v>7.0137100000000003E-5</v>
          </cell>
        </row>
        <row r="58">
          <cell r="C58" t="str">
            <v>Filtration, sand filter; wastewater treatment unit, solids reduction; at plant; m3 wastewater - US</v>
          </cell>
          <cell r="D58">
            <v>2.0375300000000001E-5</v>
          </cell>
        </row>
        <row r="59">
          <cell r="C59" t="str">
            <v>Chemical phosphorus removal; wastewater treatment unit, solids reduction; at plant; m3 wastewater - US</v>
          </cell>
          <cell r="D59">
            <v>1.24155E-5</v>
          </cell>
        </row>
        <row r="60">
          <cell r="C60" t="str">
            <v>Screening and grit removal; wastewater treatment unit, solids reduction; at plant; m3 wastewater - US</v>
          </cell>
          <cell r="D60">
            <v>1.17341E-5</v>
          </cell>
        </row>
        <row r="61">
          <cell r="C61" t="str">
            <v>Dechlorination; wastewater treatment unit, solids reduction; at plant; m3 wastewater - US</v>
          </cell>
          <cell r="D61">
            <v>9.9202899999999998E-6</v>
          </cell>
        </row>
        <row r="62">
          <cell r="C62" t="str">
            <v>Secondary clarifier; wastewater treatment unit, solids reduction; at plant; m3 wastewater - US</v>
          </cell>
          <cell r="D62">
            <v>4.9501000000000003E-6</v>
          </cell>
        </row>
        <row r="63">
          <cell r="C63" t="str">
            <v>Primary clarifier; wastewater treatment unit, solids reduction; at plant; m3 wastewater - US</v>
          </cell>
          <cell r="D63">
            <v>3.21814E-6</v>
          </cell>
        </row>
        <row r="64">
          <cell r="C64" t="str">
            <v>Fermentation; wastewater treatment unit, solids reduction; at plant; m3 - US</v>
          </cell>
          <cell r="D64">
            <v>3.1152700000000001E-6</v>
          </cell>
        </row>
        <row r="65">
          <cell r="C65" t="str">
            <v>Gravity thickener; wastewater treatment unit, solids reduction; at plant; m3 wastewater - US</v>
          </cell>
          <cell r="D65">
            <v>2.57775E-6</v>
          </cell>
        </row>
        <row r="69">
          <cell r="C69" t="str">
            <v>Effluent release; wastewater treatment unit; at surface water; m3 wastewater - US</v>
          </cell>
          <cell r="D69">
            <v>3.49E-3</v>
          </cell>
        </row>
        <row r="70">
          <cell r="C70" t="str">
            <v>Biological nutrient removal-4-stage; wastewater treatment unit, solids reduction; at plant; m3 wastewater - US</v>
          </cell>
          <cell r="D70">
            <v>1.9300000000000001E-3</v>
          </cell>
        </row>
        <row r="71">
          <cell r="C71" t="str">
            <v>Sludge hauling and landfill; wastewater treatment unit, solids reduction; at plant; m3 wastewater - US</v>
          </cell>
          <cell r="D71">
            <v>1.7700000000000001E-3</v>
          </cell>
        </row>
        <row r="72">
          <cell r="C72" t="str">
            <v>Anaerobic digester; wastewater treatment unit, solids reduction; at plant; m3 wastewater - US</v>
          </cell>
          <cell r="D72">
            <v>1.2E-4</v>
          </cell>
        </row>
        <row r="73">
          <cell r="C73" t="str">
            <v>Chlorination; wastewater treatment unit, solids reduction; at plant; m3 wastewater - US</v>
          </cell>
          <cell r="D73">
            <v>8.9896900000000003E-5</v>
          </cell>
        </row>
        <row r="74">
          <cell r="C74" t="str">
            <v>Centrifuge; wastewater treatment unit, solids reduction; at plant; m3 wastewater - US</v>
          </cell>
          <cell r="D74">
            <v>7.0137100000000003E-5</v>
          </cell>
        </row>
        <row r="75">
          <cell r="C75" t="str">
            <v>Filtration, sand filter; wastewater treatment unit, solids reduction; at plant; m3 wastewater - US</v>
          </cell>
          <cell r="D75">
            <v>2.0375300000000001E-5</v>
          </cell>
        </row>
        <row r="76">
          <cell r="C76" t="str">
            <v>Chemical phosphorus removal; wastewater treatment unit, solids reduction; at plant; m3 wastewater - US</v>
          </cell>
          <cell r="D76">
            <v>1.24155E-5</v>
          </cell>
        </row>
        <row r="77">
          <cell r="C77" t="str">
            <v>Screening and grit removal; wastewater treatment unit, solids reduction; at plant; m3 wastewater - US</v>
          </cell>
          <cell r="D77">
            <v>1.17341E-5</v>
          </cell>
        </row>
        <row r="78">
          <cell r="C78" t="str">
            <v>Dechlorination; wastewater treatment unit, solids reduction; at plant; m3 wastewater - US</v>
          </cell>
          <cell r="D78">
            <v>9.9202899999999998E-6</v>
          </cell>
        </row>
        <row r="79">
          <cell r="C79" t="str">
            <v>Secondary clarifier; wastewater treatment unit, solids reduction; at plant; m3 wastewater - US</v>
          </cell>
          <cell r="D79">
            <v>4.9513499999999996E-6</v>
          </cell>
        </row>
        <row r="80">
          <cell r="C80" t="str">
            <v>Primary clarifier; wastewater treatment unit, solids reduction; at plant; m3 wastewater - US</v>
          </cell>
          <cell r="D80">
            <v>3.2381500000000001E-6</v>
          </cell>
        </row>
        <row r="81">
          <cell r="C81" t="str">
            <v>Fermentation; wastewater treatment unit, solids reduction; at plant; m3 - US</v>
          </cell>
          <cell r="D81">
            <v>3.1152700000000001E-6</v>
          </cell>
        </row>
        <row r="82">
          <cell r="C82" t="str">
            <v>Gravity thickener; wastewater treatment unit, solids reduction; at plant; m3 wastewater - US</v>
          </cell>
          <cell r="D82">
            <v>2.57775E-6</v>
          </cell>
        </row>
        <row r="86">
          <cell r="C86" t="str">
            <v>Effluent release; wastewater treatment unit; at surface water; m3 wastewater - US</v>
          </cell>
          <cell r="D86">
            <v>2.2499999999999998E-3</v>
          </cell>
        </row>
        <row r="87">
          <cell r="C87" t="str">
            <v>Biological nutrient removal-5-stage; wastewater treatment unit, solids reduction; at plant; m3 wastewater - US</v>
          </cell>
          <cell r="D87">
            <v>1.8E-3</v>
          </cell>
        </row>
        <row r="88">
          <cell r="C88" t="str">
            <v>Sludge hauling and landfill; wastewater treatment unit, solids reduction; at plant; m3 wastewater - US</v>
          </cell>
          <cell r="D88">
            <v>1.7799999999999999E-3</v>
          </cell>
        </row>
        <row r="89">
          <cell r="C89" t="str">
            <v>Denitrification, attached growth; wastewater treatment unit, solids reduction; at plant; m3 wastewater - US</v>
          </cell>
          <cell r="D89">
            <v>4.4999999999999999E-4</v>
          </cell>
        </row>
        <row r="90">
          <cell r="C90" t="str">
            <v>Anaerobic digester; wastewater treatment unit, solids reduction; at plant; m3 wastewater - US</v>
          </cell>
          <cell r="D90">
            <v>1.2E-4</v>
          </cell>
        </row>
        <row r="91">
          <cell r="C91" t="str">
            <v>Chlorination; wastewater treatment unit, solids reduction; at plant; m3 wastewater - US</v>
          </cell>
          <cell r="D91">
            <v>8.9896900000000003E-5</v>
          </cell>
        </row>
        <row r="92">
          <cell r="C92" t="str">
            <v>Centrifuge; wastewater treatment unit, solids reduction; at plant; m3 wastewater - US</v>
          </cell>
          <cell r="D92">
            <v>7.0706999999999999E-5</v>
          </cell>
        </row>
        <row r="93">
          <cell r="C93" t="str">
            <v>Chemical phosphorus removal; wastewater treatment unit, solids reduction; at plant; m3 wastewater - US</v>
          </cell>
          <cell r="D93">
            <v>3.7329100000000001E-5</v>
          </cell>
        </row>
        <row r="94">
          <cell r="C94" t="str">
            <v>Filtration, sand filter; wastewater treatment unit, solids reduction; at plant; m3 wastewater - US</v>
          </cell>
          <cell r="D94">
            <v>2.0375300000000001E-5</v>
          </cell>
        </row>
        <row r="95">
          <cell r="C95" t="str">
            <v>Screening and grit removal; wastewater treatment unit, solids reduction; at plant; m3 wastewater - US</v>
          </cell>
          <cell r="D95">
            <v>1.17341E-5</v>
          </cell>
        </row>
        <row r="96">
          <cell r="C96" t="str">
            <v>Dechlorination; wastewater treatment unit, solids reduction; at plant; m3 wastewater - US</v>
          </cell>
          <cell r="D96">
            <v>9.9202899999999998E-6</v>
          </cell>
        </row>
        <row r="97">
          <cell r="C97" t="str">
            <v>Secondary clarifier; wastewater treatment unit, solids reduction; at plant; m3 wastewater - US</v>
          </cell>
          <cell r="D97">
            <v>4.9626100000000004E-6</v>
          </cell>
        </row>
        <row r="98">
          <cell r="C98" t="str">
            <v>Primary clarifier; wastewater treatment unit, solids reduction; at plant; m3 wastewater - US</v>
          </cell>
          <cell r="D98">
            <v>3.2455300000000001E-6</v>
          </cell>
        </row>
        <row r="99">
          <cell r="C99" t="str">
            <v>Fermentation; wastewater treatment unit, solids reduction; at plant; m3 - US</v>
          </cell>
          <cell r="D99">
            <v>3.1152700000000001E-6</v>
          </cell>
        </row>
        <row r="100">
          <cell r="C100" t="str">
            <v>Gravity thickener; wastewater treatment unit, solids reduction; at plant; m3 wastewater - US</v>
          </cell>
          <cell r="D100">
            <v>2.57775E-6</v>
          </cell>
        </row>
        <row r="104">
          <cell r="C104" t="str">
            <v>Effluent release; wastewater treatment unit; at surface water; m3 wastewater - US</v>
          </cell>
          <cell r="D104">
            <v>2.63E-3</v>
          </cell>
        </row>
        <row r="105">
          <cell r="C105" t="str">
            <v>Sludge hauling and landfill; wastewater treatment unit, solids reduction; at plant; m3 wastewater - US</v>
          </cell>
          <cell r="D105">
            <v>1.7799999999999999E-3</v>
          </cell>
        </row>
        <row r="106">
          <cell r="C106" t="str">
            <v>Biological nutrient removal-4-stage; wastewater treatment unit, solids reduction; at plant; m3 wastewater - US</v>
          </cell>
          <cell r="D106">
            <v>1.2199999999999999E-3</v>
          </cell>
        </row>
        <row r="107">
          <cell r="C107" t="str">
            <v>Membrane filter; wastewater treatment unit, solids reduction; at plant; m3 wastewater - US</v>
          </cell>
          <cell r="D107">
            <v>6.2E-4</v>
          </cell>
        </row>
        <row r="108">
          <cell r="C108" t="str">
            <v>Anaerobic digester; wastewater treatment unit, solids reduction; at plant; m3 wastewater - US</v>
          </cell>
          <cell r="D108">
            <v>1.2E-4</v>
          </cell>
        </row>
        <row r="109">
          <cell r="C109" t="str">
            <v>Chlorination; wastewater treatment unit, solids reduction; at plant; m3 wastewater - US</v>
          </cell>
          <cell r="D109">
            <v>8.9896900000000003E-5</v>
          </cell>
        </row>
        <row r="110">
          <cell r="C110" t="str">
            <v>Centrifuge; wastewater treatment unit, solids reduction; at plant; m3 wastewater - US</v>
          </cell>
          <cell r="D110">
            <v>7.0997100000000005E-5</v>
          </cell>
        </row>
        <row r="111">
          <cell r="C111" t="str">
            <v>Screening and grit removal; wastewater treatment unit, solids reduction; at plant; m3 wastewater - US</v>
          </cell>
          <cell r="D111">
            <v>1.1709099999999999E-5</v>
          </cell>
        </row>
        <row r="112">
          <cell r="C112" t="str">
            <v>Dechlorination; wastewater treatment unit, solids reduction; at plant; m3 wastewater - US</v>
          </cell>
          <cell r="D112">
            <v>9.9202899999999998E-6</v>
          </cell>
        </row>
        <row r="113">
          <cell r="C113" t="str">
            <v>Chemical phosphorus removal; wastewater treatment unit, solids reduction; at plant; m3 wastewater - US</v>
          </cell>
          <cell r="D113">
            <v>6.3958400000000001E-6</v>
          </cell>
        </row>
        <row r="114">
          <cell r="C114" t="str">
            <v>Primary clarifier; wastewater treatment unit, solids reduction; at plant; m3 wastewater - US</v>
          </cell>
          <cell r="D114">
            <v>3.2381500000000001E-6</v>
          </cell>
        </row>
        <row r="115">
          <cell r="C115" t="str">
            <v>Gravity thickener; wastewater treatment unit, solids reduction; at plant; m3 wastewater - US</v>
          </cell>
          <cell r="D115">
            <v>2.5803199999999998E-6</v>
          </cell>
        </row>
        <row r="119">
          <cell r="C119" t="str">
            <v>Biological nutrient removal-5-stage; wastewater treatment unit, solids reduction; at plant; m3 wastewater - US</v>
          </cell>
          <cell r="D119">
            <v>2E-3</v>
          </cell>
        </row>
        <row r="120">
          <cell r="C120" t="str">
            <v>Sludge hauling and landfill; wastewater treatment unit, solids reduction; at plant; m3 wastewater - US</v>
          </cell>
          <cell r="D120">
            <v>1.7799999999999999E-3</v>
          </cell>
        </row>
        <row r="121">
          <cell r="C121" t="str">
            <v>Reverse osmosis; wastewater treatment unit, solids reduction; at plant; m3 wastewater - US</v>
          </cell>
          <cell r="D121">
            <v>1.6199999999999999E-3</v>
          </cell>
        </row>
        <row r="122">
          <cell r="C122" t="str">
            <v>Underground injection of brine; wastewater treatment unit, solids reduction; at injection site; m3 wastewater - US</v>
          </cell>
          <cell r="D122">
            <v>1.14E-3</v>
          </cell>
        </row>
        <row r="123">
          <cell r="C123" t="str">
            <v>Ultrafilter; wastewater treatment unit, solids reduction; at plant; m3 wastewater - US</v>
          </cell>
          <cell r="D123">
            <v>6.4999999999999997E-4</v>
          </cell>
        </row>
        <row r="124">
          <cell r="C124" t="str">
            <v>Effluent release; wastewater treatment unit; at surface water; m3 wastewater - US</v>
          </cell>
          <cell r="D124">
            <v>4.8000000000000001E-4</v>
          </cell>
        </row>
        <row r="125">
          <cell r="C125" t="str">
            <v>Anaerobic digester; wastewater treatment unit, solids reduction; at plant; m3 wastewater - US</v>
          </cell>
          <cell r="D125">
            <v>1.2E-4</v>
          </cell>
        </row>
        <row r="126">
          <cell r="C126" t="str">
            <v>Centrifuge; wastewater treatment unit, solids reduction; at plant; m3 wastewater - US</v>
          </cell>
          <cell r="D126">
            <v>7.0710400000000007E-5</v>
          </cell>
        </row>
        <row r="127">
          <cell r="C127" t="str">
            <v>Chlorination; wastewater treatment unit, solids reduction; at plant; m3 wastewater - US</v>
          </cell>
          <cell r="D127">
            <v>6.6665499999999994E-5</v>
          </cell>
        </row>
        <row r="128">
          <cell r="C128" t="str">
            <v>Denitrification, attached growth; wastewater treatment unit, solids reduction; at plant; m3 wastewater - US</v>
          </cell>
          <cell r="D128">
            <v>5.2527800000000002E-5</v>
          </cell>
        </row>
        <row r="129">
          <cell r="C129" t="str">
            <v>Filtration, sand filter; wastewater treatment unit, solids reduction; at plant; m3 wastewater - US</v>
          </cell>
          <cell r="D129">
            <v>2.0375300000000001E-5</v>
          </cell>
        </row>
        <row r="130">
          <cell r="C130" t="str">
            <v>Chemical phosphorus removal; wastewater treatment unit, solids reduction; at plant; m3 wastewater - US</v>
          </cell>
          <cell r="D130">
            <v>1.27917E-5</v>
          </cell>
        </row>
        <row r="131">
          <cell r="C131" t="str">
            <v>Screening and grit removal; wastewater treatment unit, solids reduction; at plant; m3 wastewater - US</v>
          </cell>
          <cell r="D131">
            <v>1.17341E-5</v>
          </cell>
        </row>
        <row r="132">
          <cell r="C132" t="str">
            <v>Dechlorination; wastewater treatment unit, solids reduction; at plant; m3 wastewater - US</v>
          </cell>
          <cell r="D132">
            <v>9.8972200000000004E-6</v>
          </cell>
        </row>
        <row r="133">
          <cell r="C133" t="str">
            <v>Secondary clarifier; wastewater treatment unit, solids reduction; at plant; m3 wastewater - US</v>
          </cell>
          <cell r="D133">
            <v>4.9626100000000004E-6</v>
          </cell>
        </row>
        <row r="134">
          <cell r="C134" t="str">
            <v>Primary clarifier; wastewater treatment unit, solids reduction; at plant; m3 wastewater - US</v>
          </cell>
          <cell r="D134">
            <v>3.2455300000000001E-6</v>
          </cell>
        </row>
        <row r="135">
          <cell r="C135" t="str">
            <v>Fermentation; wastewater treatment unit, solids reduction; at plant; m3 - US</v>
          </cell>
          <cell r="D135">
            <v>3.1152700000000001E-6</v>
          </cell>
        </row>
        <row r="136">
          <cell r="C136" t="str">
            <v>Gravity thickener; wastewater treatment unit, solids reduction; at plant; m3 wastewater - US</v>
          </cell>
          <cell r="D136">
            <v>2.57775E-6</v>
          </cell>
        </row>
        <row r="140">
          <cell r="C140" t="str">
            <v>Sludge hauling and landfill; wastewater treatment unit, solids reduction; at plant; m3 wastewater - US</v>
          </cell>
          <cell r="D140">
            <v>1.72E-3</v>
          </cell>
        </row>
        <row r="141">
          <cell r="C141" t="str">
            <v>Reverse osmosis; wastewater treatment unit, solids reduction; at plant; m3 wastewater - US</v>
          </cell>
          <cell r="D141">
            <v>1.5299999999999999E-3</v>
          </cell>
        </row>
        <row r="142">
          <cell r="C142" t="str">
            <v>Biological nutrient removal-5-stage; wastewater treatment unit, solids reduction; at plant; m3 wastewater - US</v>
          </cell>
          <cell r="D142">
            <v>1.41E-3</v>
          </cell>
        </row>
        <row r="143">
          <cell r="C143" t="str">
            <v>Underground injection of brine; wastewater treatment unit, solids reduction; at injection site; m3 wastewater - US</v>
          </cell>
          <cell r="D143">
            <v>1.14E-3</v>
          </cell>
        </row>
        <row r="144">
          <cell r="C144" t="str">
            <v>Effluent release; wastewater treatment unit; at surface water; m3 wastewater - US</v>
          </cell>
          <cell r="D144">
            <v>8.1999999999999998E-4</v>
          </cell>
        </row>
        <row r="145">
          <cell r="C145" t="str">
            <v>Membrane filter; wastewater treatment unit, solids reduction; at plant; m3 wastewater - US</v>
          </cell>
          <cell r="D145">
            <v>6.2E-4</v>
          </cell>
        </row>
        <row r="146">
          <cell r="C146" t="str">
            <v>Anaerobic digester; wastewater treatment unit, solids reduction; at plant; m3 wastewater - US</v>
          </cell>
          <cell r="D146">
            <v>1.1E-4</v>
          </cell>
        </row>
        <row r="147">
          <cell r="C147" t="str">
            <v>Centrifuge; wastewater treatment unit, solids reduction; at plant; m3 wastewater - US</v>
          </cell>
          <cell r="D147">
            <v>6.8667199999999999E-5</v>
          </cell>
        </row>
        <row r="148">
          <cell r="C148" t="str">
            <v>Chlorination; wastewater treatment unit, solids reduction; at plant; m3 wastewater - US</v>
          </cell>
          <cell r="D148">
            <v>6.7177900000000006E-5</v>
          </cell>
        </row>
        <row r="149">
          <cell r="C149" t="str">
            <v>Screening and grit removal; wastewater treatment unit, solids reduction; at plant; m3 wastewater - US</v>
          </cell>
          <cell r="D149">
            <v>1.1709099999999999E-5</v>
          </cell>
        </row>
        <row r="150">
          <cell r="C150" t="str">
            <v>Dechlorination; wastewater treatment unit, solids reduction; at plant; m3 wastewater - US</v>
          </cell>
          <cell r="D150">
            <v>9.89748E-6</v>
          </cell>
        </row>
        <row r="151">
          <cell r="C151" t="str">
            <v>Primary clarifier; wastewater treatment unit, solids reduction; at plant; m3 wastewater - US</v>
          </cell>
          <cell r="D151">
            <v>3.2331500000000001E-6</v>
          </cell>
        </row>
        <row r="152">
          <cell r="C152" t="str">
            <v>Fermentation; wastewater treatment unit, solids reduction; at plant; m3 - US</v>
          </cell>
          <cell r="D152">
            <v>3.1077700000000001E-6</v>
          </cell>
        </row>
        <row r="153">
          <cell r="C153" t="str">
            <v>Gravity thickener; wastewater treatment unit, solids reduction; at plant; m3 wastewater - US</v>
          </cell>
          <cell r="D153">
            <v>2.5479300000000002E-6</v>
          </cell>
        </row>
        <row r="154">
          <cell r="C154" t="str">
            <v>Chemical phosphorus removal; wastewater treatment unit, solids reduction; at plant; m3 wastewater - US</v>
          </cell>
          <cell r="D154">
            <v>7.5245200000000005E-7</v>
          </cell>
        </row>
      </sheetData>
      <sheetData sheetId="20">
        <row r="5">
          <cell r="C5" t="str">
            <v>Activated sludge; wastewater treatment unit, solids reduction; at plant; m3 wastewater - US</v>
          </cell>
          <cell r="D5">
            <v>9.0100000000000006E-3</v>
          </cell>
        </row>
        <row r="6">
          <cell r="C6" t="str">
            <v>Anaerobic digester; wastewater treatment unit, solids reduction; at plant; m3 wastewater - US</v>
          </cell>
          <cell r="D6">
            <v>2.33E-3</v>
          </cell>
        </row>
        <row r="7">
          <cell r="C7" t="str">
            <v>Centrifuge; wastewater treatment unit, solids reduction; at plant; m3 wastewater - US</v>
          </cell>
          <cell r="D7">
            <v>1.1000000000000001E-3</v>
          </cell>
        </row>
        <row r="8">
          <cell r="C8" t="str">
            <v>Chlorination; wastewater treatment unit, solids reduction; at plant; m3 wastewater - US</v>
          </cell>
          <cell r="D8">
            <v>6.4999999999999997E-4</v>
          </cell>
        </row>
        <row r="9">
          <cell r="C9" t="str">
            <v>Screening and grit removal; wastewater treatment unit, solids reduction; at plant; m3 wastewater - US</v>
          </cell>
          <cell r="D9">
            <v>2.1000000000000001E-4</v>
          </cell>
        </row>
        <row r="10">
          <cell r="C10" t="str">
            <v>Secondary clarifier; wastewater treatment unit, solids reduction; at plant; m3 wastewater - US</v>
          </cell>
          <cell r="D10">
            <v>8.4104799999999995E-5</v>
          </cell>
        </row>
        <row r="11">
          <cell r="C11" t="str">
            <v>Primary clarifier; wastewater treatment unit, solids reduction; at plant; m3 wastewater - US</v>
          </cell>
          <cell r="D11">
            <v>5.5649300000000003E-5</v>
          </cell>
        </row>
        <row r="12">
          <cell r="C12" t="str">
            <v>Gravity thickener; wastewater treatment unit, solids reduction; at plant; m3 wastewater - US</v>
          </cell>
          <cell r="D12">
            <v>4.6985399999999999E-5</v>
          </cell>
        </row>
        <row r="13">
          <cell r="C13" t="str">
            <v>Dechlorination; wastewater treatment unit, solids reduction; at plant; m3 wastewater - US</v>
          </cell>
          <cell r="D13">
            <v>1.3407900000000001E-5</v>
          </cell>
        </row>
        <row r="14">
          <cell r="C14" t="str">
            <v>Effluent release; wastewater treatment unit; at surface water; m3 wastewater - US</v>
          </cell>
          <cell r="D14">
            <v>0</v>
          </cell>
        </row>
        <row r="19">
          <cell r="C19" t="str">
            <v>Biological nutrient removal-3-stage; wastewater treatment unit, solids reduction; at plant; m3 wastewater - US</v>
          </cell>
          <cell r="D19">
            <v>2.6679999999999999E-2</v>
          </cell>
        </row>
        <row r="20">
          <cell r="C20" t="str">
            <v>Anaerobic digester; wastewater treatment unit, solids reduction; at plant; m3 wastewater - US</v>
          </cell>
          <cell r="D20">
            <v>1.98E-3</v>
          </cell>
        </row>
        <row r="21">
          <cell r="C21" t="str">
            <v>Centrifuge; wastewater treatment unit, solids reduction; at plant; m3 wastewater - US</v>
          </cell>
          <cell r="D21">
            <v>9.3999999999999997E-4</v>
          </cell>
        </row>
        <row r="22">
          <cell r="C22" t="str">
            <v>Chlorination; wastewater treatment unit, solids reduction; at plant; m3 wastewater - US</v>
          </cell>
          <cell r="D22">
            <v>6.4000000000000005E-4</v>
          </cell>
        </row>
        <row r="23">
          <cell r="C23" t="str">
            <v>Screening and grit removal; wastewater treatment unit, solids reduction; at plant; m3 wastewater - US</v>
          </cell>
          <cell r="D23">
            <v>2.1000000000000001E-4</v>
          </cell>
        </row>
        <row r="24">
          <cell r="C24" t="str">
            <v>Secondary clarifier; wastewater treatment unit, solids reduction; at plant; m3 wastewater - US</v>
          </cell>
          <cell r="D24">
            <v>7.6213100000000004E-5</v>
          </cell>
        </row>
        <row r="25">
          <cell r="C25" t="str">
            <v>Primary clarifier; wastewater treatment unit, solids reduction; at plant; m3 wastewater - US</v>
          </cell>
          <cell r="D25">
            <v>5.5259100000000001E-5</v>
          </cell>
        </row>
        <row r="26">
          <cell r="C26" t="str">
            <v>Gravity thickener; wastewater treatment unit, solids reduction; at plant; m3 wastewater - US</v>
          </cell>
          <cell r="D26">
            <v>4.4409999999999997E-5</v>
          </cell>
        </row>
        <row r="27">
          <cell r="C27" t="str">
            <v>Dechlorination; wastewater treatment unit, solids reduction; at plant; m3 wastewater - US</v>
          </cell>
          <cell r="D27">
            <v>1.3407900000000001E-5</v>
          </cell>
        </row>
        <row r="28">
          <cell r="C28" t="str">
            <v>Effluent release; wastewater treatment unit; at surface water; m3 wastewater - US</v>
          </cell>
          <cell r="D28">
            <v>0</v>
          </cell>
        </row>
        <row r="33">
          <cell r="C33" t="str">
            <v>Nitrification, suspended growth; wastewater treatment unit, solids reduction; at plant; m3 wastewater - US</v>
          </cell>
          <cell r="D33">
            <v>9.8300000000000002E-3</v>
          </cell>
        </row>
        <row r="34">
          <cell r="C34" t="str">
            <v>Activated sludge; wastewater treatment unit, solids reduction; at plant; m3 wastewater - US</v>
          </cell>
          <cell r="D34">
            <v>9.0100000000000006E-3</v>
          </cell>
        </row>
        <row r="35">
          <cell r="C35" t="str">
            <v>Denitrification, suspended growth; wastewater treatment unit, solids reduction; at plant; m3 wastewater - US</v>
          </cell>
          <cell r="D35">
            <v>7.4599999999999996E-3</v>
          </cell>
        </row>
        <row r="36">
          <cell r="C36" t="str">
            <v>Anaerobic digester; wastewater treatment unit, solids reduction; at plant; m3 wastewater - US</v>
          </cell>
          <cell r="D36">
            <v>2.8E-3</v>
          </cell>
        </row>
        <row r="37">
          <cell r="C37" t="str">
            <v>Centrifuge; wastewater treatment unit, solids reduction; at plant; m3 wastewater - US</v>
          </cell>
          <cell r="D37">
            <v>1.5900000000000001E-3</v>
          </cell>
        </row>
        <row r="38">
          <cell r="C38" t="str">
            <v>Chemical phosphorus removal; wastewater treatment unit, solids reduction; at plant; m3 wastewater - US</v>
          </cell>
          <cell r="D38">
            <v>7.3999999999999999E-4</v>
          </cell>
        </row>
        <row r="39">
          <cell r="C39" t="str">
            <v>Chlorination; wastewater treatment unit, solids reduction; at plant; m3 wastewater - US</v>
          </cell>
          <cell r="D39">
            <v>6.4000000000000005E-4</v>
          </cell>
        </row>
        <row r="40">
          <cell r="C40" t="str">
            <v>Screening and grit removal; wastewater treatment unit, solids reduction; at plant; m3 wastewater - US</v>
          </cell>
          <cell r="D40">
            <v>2.1000000000000001E-4</v>
          </cell>
        </row>
        <row r="41">
          <cell r="C41" t="str">
            <v>Secondary clarifier; wastewater treatment unit, solids reduction; at plant; m3 wastewater - US</v>
          </cell>
          <cell r="D41">
            <v>8.6314400000000002E-5</v>
          </cell>
        </row>
        <row r="42">
          <cell r="C42" t="str">
            <v>Tertiary clarification, denitrification; wastewater treatment unit, solids reduction; at plant; m3 wastewater - US</v>
          </cell>
          <cell r="D42">
            <v>6.7464499999999998E-5</v>
          </cell>
        </row>
        <row r="43">
          <cell r="C43" t="str">
            <v>Primary clarifier; wastewater treatment unit, solids reduction; at plant; m3 wastewater - US</v>
          </cell>
          <cell r="D43">
            <v>5.6776600000000001E-5</v>
          </cell>
        </row>
        <row r="44">
          <cell r="C44" t="str">
            <v>Tertiary clarification, nitrification; wastewater treatment unit, solids reduction; at plant; m3 wastewater - US</v>
          </cell>
          <cell r="D44">
            <v>5.6262399999999999E-5</v>
          </cell>
        </row>
        <row r="45">
          <cell r="C45" t="str">
            <v>Gravity thickener; wastewater treatment unit, solids reduction; at plant; m3 wastewater - US</v>
          </cell>
          <cell r="D45">
            <v>5.1147699999999998E-5</v>
          </cell>
        </row>
        <row r="46">
          <cell r="C46" t="str">
            <v>Dechlorination; wastewater treatment unit, solids reduction; at plant; m3 wastewater - US</v>
          </cell>
          <cell r="D46">
            <v>1.3407900000000001E-5</v>
          </cell>
        </row>
        <row r="47">
          <cell r="C47" t="str">
            <v>Effluent release; wastewater treatment unit; at surface water; m3 wastewater - US</v>
          </cell>
          <cell r="D47">
            <v>0</v>
          </cell>
        </row>
        <row r="52">
          <cell r="C52" t="str">
            <v>Biological nutrient removal-5-stage; wastewater treatment unit, solids reduction; at plant; m3 wastewater - US</v>
          </cell>
          <cell r="D52">
            <v>3.2300000000000002E-2</v>
          </cell>
        </row>
        <row r="53">
          <cell r="C53" t="str">
            <v>Anaerobic digester; wastewater treatment unit, solids reduction; at plant; m3 wastewater - US</v>
          </cell>
          <cell r="D53">
            <v>2.1199999999999999E-3</v>
          </cell>
        </row>
        <row r="54">
          <cell r="C54" t="str">
            <v>Centrifuge; wastewater treatment unit, solids reduction; at plant; m3 wastewater - US</v>
          </cell>
          <cell r="D54">
            <v>1.1299999999999999E-3</v>
          </cell>
        </row>
        <row r="55">
          <cell r="C55" t="str">
            <v>Chlorination; wastewater treatment unit, solids reduction; at plant; m3 wastewater - US</v>
          </cell>
          <cell r="D55">
            <v>6.3000000000000003E-4</v>
          </cell>
        </row>
        <row r="56">
          <cell r="C56" t="str">
            <v>Filtration, sand filter; wastewater treatment unit, solids reduction; at plant; m3 wastewater - US</v>
          </cell>
          <cell r="D56">
            <v>3.5E-4</v>
          </cell>
        </row>
        <row r="57">
          <cell r="C57" t="str">
            <v>Screening and grit removal; wastewater treatment unit, solids reduction; at plant; m3 wastewater - US</v>
          </cell>
          <cell r="D57">
            <v>2.1000000000000001E-4</v>
          </cell>
        </row>
        <row r="58">
          <cell r="C58" t="str">
            <v>Secondary clarifier; wastewater treatment unit, solids reduction; at plant; m3 wastewater - US</v>
          </cell>
          <cell r="D58">
            <v>8.5142000000000006E-5</v>
          </cell>
        </row>
        <row r="59">
          <cell r="C59" t="str">
            <v>Primary clarifier; wastewater treatment unit, solids reduction; at plant; m3 wastewater - US</v>
          </cell>
          <cell r="D59">
            <v>5.5123800000000002E-5</v>
          </cell>
        </row>
        <row r="60">
          <cell r="C60" t="str">
            <v>Gravity thickener; wastewater treatment unit, solids reduction; at plant; m3 wastewater - US</v>
          </cell>
          <cell r="D60">
            <v>4.6057599999999998E-5</v>
          </cell>
        </row>
        <row r="61">
          <cell r="C61" t="str">
            <v>Fermentation; wastewater treatment unit, solids reduction; at plant; m3 - US</v>
          </cell>
          <cell r="D61">
            <v>5.5847699999999997E-5</v>
          </cell>
        </row>
        <row r="62">
          <cell r="C62" t="str">
            <v>Chemical phosphorus removal; wastewater treatment unit, solids reduction; at plant; m3 wastewater - US</v>
          </cell>
          <cell r="D62">
            <v>3.6979900000000001E-5</v>
          </cell>
        </row>
        <row r="63">
          <cell r="C63" t="str">
            <v>Dechlorination; wastewater treatment unit, solids reduction; at plant; m3 wastewater - US</v>
          </cell>
          <cell r="D63">
            <v>1.3407900000000001E-5</v>
          </cell>
        </row>
        <row r="64">
          <cell r="C64" t="str">
            <v>Effluent release; wastewater treatment unit; at surface water; m3 wastewater - US</v>
          </cell>
          <cell r="D64">
            <v>0</v>
          </cell>
        </row>
        <row r="65">
          <cell r="C65" t="str">
            <v>Sludge hauling and landfill; wastewater treatment unit, solids reduction; at plant; m3 wastewater - US</v>
          </cell>
          <cell r="D65">
            <v>-1.23E-3</v>
          </cell>
        </row>
        <row r="70">
          <cell r="C70" t="str">
            <v>Biological nutrient removal-4-stage; wastewater treatment unit, solids reduction; at plant; m3 wastewater - US</v>
          </cell>
          <cell r="D70">
            <v>3.465E-2</v>
          </cell>
        </row>
        <row r="71">
          <cell r="C71" t="str">
            <v>Anaerobic digester; wastewater treatment unit, solids reduction; at plant; m3 wastewater - US</v>
          </cell>
          <cell r="D71">
            <v>2.0600000000000002E-3</v>
          </cell>
        </row>
        <row r="72">
          <cell r="C72" t="str">
            <v>Centrifuge; wastewater treatment unit, solids reduction; at plant; m3 wastewater - US</v>
          </cell>
          <cell r="D72">
            <v>1.1299999999999999E-3</v>
          </cell>
        </row>
        <row r="73">
          <cell r="C73" t="str">
            <v>Chlorination; wastewater treatment unit, solids reduction; at plant; m3 wastewater - US</v>
          </cell>
          <cell r="D73">
            <v>6.3000000000000003E-4</v>
          </cell>
        </row>
        <row r="74">
          <cell r="C74" t="str">
            <v>Filtration, sand filter; wastewater treatment unit, solids reduction; at plant; m3 wastewater - US</v>
          </cell>
          <cell r="D74">
            <v>3.5E-4</v>
          </cell>
        </row>
        <row r="75">
          <cell r="C75" t="str">
            <v>Screening and grit removal; wastewater treatment unit, solids reduction; at plant; m3 wastewater - US</v>
          </cell>
          <cell r="D75">
            <v>2.1000000000000001E-4</v>
          </cell>
        </row>
        <row r="76">
          <cell r="C76" t="str">
            <v>Secondary clarifier; wastewater treatment unit, solids reduction; at plant; m3 wastewater - US</v>
          </cell>
          <cell r="D76">
            <v>8.5164499999999994E-5</v>
          </cell>
        </row>
        <row r="77">
          <cell r="C77" t="str">
            <v>Fermentation; wastewater treatment unit, solids reduction; at plant; m3 - US</v>
          </cell>
          <cell r="D77">
            <v>5.5847699999999997E-5</v>
          </cell>
        </row>
        <row r="78">
          <cell r="C78" t="str">
            <v>Primary clarifier; wastewater treatment unit, solids reduction; at plant; m3 wastewater - US</v>
          </cell>
          <cell r="D78">
            <v>5.5484600000000001E-5</v>
          </cell>
        </row>
        <row r="79">
          <cell r="C79" t="str">
            <v>Gravity thickener; wastewater treatment unit, solids reduction; at plant; m3 wastewater - US</v>
          </cell>
          <cell r="D79">
            <v>4.6057599999999998E-5</v>
          </cell>
        </row>
        <row r="80">
          <cell r="C80" t="str">
            <v>Chemical phosphorus removal; wastewater treatment unit, solids reduction; at plant; m3 wastewater - US</v>
          </cell>
          <cell r="D80">
            <v>3.6979900000000001E-5</v>
          </cell>
        </row>
        <row r="81">
          <cell r="C81" t="str">
            <v>Dechlorination; wastewater treatment unit, solids reduction; at plant; m3 wastewater - US</v>
          </cell>
          <cell r="D81">
            <v>1.3407900000000001E-5</v>
          </cell>
        </row>
        <row r="82">
          <cell r="C82" t="str">
            <v>Effluent release; wastewater treatment unit; at surface water; m3 wastewater - US</v>
          </cell>
          <cell r="D82">
            <v>0</v>
          </cell>
        </row>
        <row r="83">
          <cell r="C83" t="str">
            <v>Sludge hauling and landfill; wastewater treatment unit, solids reduction; at plant; m3 wastewater - US</v>
          </cell>
          <cell r="D83">
            <v>-1.23E-3</v>
          </cell>
        </row>
        <row r="88">
          <cell r="C88" t="str">
            <v>Biological nutrient removal-5-stage; wastewater treatment unit, solids reduction; at plant; m3 wastewater - US</v>
          </cell>
          <cell r="D88">
            <v>3.2300000000000002E-2</v>
          </cell>
        </row>
        <row r="89">
          <cell r="C89" t="str">
            <v>Denitrification, attached growth; wastewater treatment unit, solids reduction; at plant; m3 wastewater - US</v>
          </cell>
          <cell r="D89">
            <v>7.8899999999999994E-3</v>
          </cell>
        </row>
        <row r="90">
          <cell r="C90" t="str">
            <v>Anaerobic digester; wastewater treatment unit, solids reduction; at plant; m3 wastewater - US</v>
          </cell>
          <cell r="D90">
            <v>2.0600000000000002E-3</v>
          </cell>
        </row>
        <row r="91">
          <cell r="C91" t="str">
            <v>Centrifuge; wastewater treatment unit, solids reduction; at plant; m3 wastewater - US</v>
          </cell>
          <cell r="D91">
            <v>1.14E-3</v>
          </cell>
        </row>
        <row r="92">
          <cell r="C92" t="str">
            <v>Chlorination; wastewater treatment unit, solids reduction; at plant; m3 wastewater - US</v>
          </cell>
          <cell r="D92">
            <v>6.3000000000000003E-4</v>
          </cell>
        </row>
        <row r="93">
          <cell r="C93" t="str">
            <v>Filtration, sand filter; wastewater treatment unit, solids reduction; at plant; m3 wastewater - US</v>
          </cell>
          <cell r="D93">
            <v>3.5E-4</v>
          </cell>
        </row>
        <row r="94">
          <cell r="C94" t="str">
            <v>Screening and grit removal; wastewater treatment unit, solids reduction; at plant; m3 wastewater - US</v>
          </cell>
          <cell r="D94">
            <v>2.1000000000000001E-4</v>
          </cell>
        </row>
        <row r="95">
          <cell r="C95" t="str">
            <v>Chemical phosphorus removal; wastewater treatment unit, solids reduction; at plant; m3 wastewater - US</v>
          </cell>
          <cell r="D95">
            <v>1.1E-4</v>
          </cell>
        </row>
        <row r="96">
          <cell r="C96" t="str">
            <v>Secondary clarifier; wastewater treatment unit, solids reduction; at plant; m3 wastewater - US</v>
          </cell>
          <cell r="D96">
            <v>8.5367500000000006E-5</v>
          </cell>
        </row>
        <row r="97">
          <cell r="C97" t="str">
            <v>Primary clarifier; wastewater treatment unit, solids reduction; at plant; m3 wastewater - US</v>
          </cell>
          <cell r="D97">
            <v>5.5559100000000001E-5</v>
          </cell>
        </row>
        <row r="98">
          <cell r="C98" t="str">
            <v>Gravity thickener; wastewater treatment unit, solids reduction; at plant; m3 wastewater - US</v>
          </cell>
          <cell r="D98">
            <v>4.6057599999999998E-5</v>
          </cell>
        </row>
        <row r="99">
          <cell r="C99" t="str">
            <v>Fermentation; wastewater treatment unit, solids reduction; at plant; m3 - US</v>
          </cell>
          <cell r="D99">
            <v>5.5847699999999997E-5</v>
          </cell>
        </row>
        <row r="100">
          <cell r="C100" t="str">
            <v>Dechlorination; wastewater treatment unit, solids reduction; at plant; m3 wastewater - US</v>
          </cell>
          <cell r="D100">
            <v>1.3407900000000001E-5</v>
          </cell>
        </row>
        <row r="101">
          <cell r="C101" t="str">
            <v>Effluent release; wastewater treatment unit; at surface water; m3 wastewater - US</v>
          </cell>
          <cell r="D101">
            <v>0</v>
          </cell>
        </row>
        <row r="102">
          <cell r="C102" t="str">
            <v>Sludge hauling and landfill; wastewater treatment unit, solids reduction; at plant; m3 wastewater - US</v>
          </cell>
          <cell r="D102">
            <v>-1.23E-3</v>
          </cell>
        </row>
        <row r="107">
          <cell r="C107" t="str">
            <v>Biological nutrient removal-4-stage; wastewater treatment unit, solids reduction; at plant; m3 wastewater - US</v>
          </cell>
          <cell r="D107">
            <v>2.1950000000000001E-2</v>
          </cell>
        </row>
        <row r="108">
          <cell r="C108" t="str">
            <v>Membrane filter; wastewater treatment unit, solids reduction; at plant; m3 wastewater - US</v>
          </cell>
          <cell r="D108">
            <v>1.123E-2</v>
          </cell>
        </row>
        <row r="109">
          <cell r="C109" t="str">
            <v>Anaerobic digester; wastewater treatment unit, solids reduction; at plant; m3 wastewater - US</v>
          </cell>
          <cell r="D109">
            <v>2.0999999999999999E-3</v>
          </cell>
        </row>
        <row r="110">
          <cell r="C110" t="str">
            <v>Centrifuge; wastewater treatment unit, solids reduction; at plant; m3 wastewater - US</v>
          </cell>
          <cell r="D110">
            <v>1.14E-3</v>
          </cell>
        </row>
        <row r="111">
          <cell r="C111" t="str">
            <v>Chlorination; wastewater treatment unit, solids reduction; at plant; m3 wastewater - US</v>
          </cell>
          <cell r="D111">
            <v>6.3000000000000003E-4</v>
          </cell>
        </row>
        <row r="112">
          <cell r="C112" t="str">
            <v>Screening and grit removal; wastewater treatment unit, solids reduction; at plant; m3 wastewater - US</v>
          </cell>
          <cell r="D112">
            <v>2.1000000000000001E-4</v>
          </cell>
        </row>
        <row r="113">
          <cell r="C113" t="str">
            <v>Primary clarifier; wastewater treatment unit, solids reduction; at plant; m3 wastewater - US</v>
          </cell>
          <cell r="D113">
            <v>5.5484600000000001E-5</v>
          </cell>
        </row>
        <row r="114">
          <cell r="C114" t="str">
            <v>Gravity thickener; wastewater treatment unit, solids reduction; at plant; m3 wastewater - US</v>
          </cell>
          <cell r="D114">
            <v>4.60836E-5</v>
          </cell>
        </row>
        <row r="115">
          <cell r="C115" t="str">
            <v>Chemical phosphorus removal; wastewater treatment unit, solids reduction; at plant; m3 wastewater - US</v>
          </cell>
          <cell r="D115">
            <v>1.90503E-5</v>
          </cell>
        </row>
        <row r="116">
          <cell r="C116" t="str">
            <v>Dechlorination; wastewater treatment unit, solids reduction; at plant; m3 wastewater - US</v>
          </cell>
          <cell r="D116">
            <v>1.3407900000000001E-5</v>
          </cell>
        </row>
        <row r="117">
          <cell r="C117" t="str">
            <v>Effluent release; wastewater treatment unit; at surface water; m3 wastewater - US</v>
          </cell>
          <cell r="D117">
            <v>0</v>
          </cell>
        </row>
        <row r="118">
          <cell r="C118" t="str">
            <v>Sludge hauling and landfill; wastewater treatment unit, solids reduction; at plant; m3 wastewater - US</v>
          </cell>
          <cell r="D118">
            <v>-9.6000000000000002E-4</v>
          </cell>
        </row>
        <row r="123">
          <cell r="C123" t="str">
            <v>Biological nutrient removal-5-stage; wastewater treatment unit, solids reduction; at plant; m3 wastewater - US</v>
          </cell>
          <cell r="D123">
            <v>3.5909999999999997E-2</v>
          </cell>
        </row>
        <row r="124">
          <cell r="C124" t="str">
            <v>Reverse osmosis; wastewater treatment unit, solids reduction; at plant; m3 wastewater - US</v>
          </cell>
          <cell r="D124">
            <v>2.894E-2</v>
          </cell>
        </row>
        <row r="125">
          <cell r="C125" t="str">
            <v>Underground injection of brine; wastewater treatment unit, solids reduction; at injection site; m3 wastewater - US</v>
          </cell>
          <cell r="D125">
            <v>2.0619999999999999E-2</v>
          </cell>
        </row>
        <row r="126">
          <cell r="C126" t="str">
            <v>Ultrafilter; wastewater treatment unit, solids reduction; at plant; m3 wastewater - US</v>
          </cell>
          <cell r="D126">
            <v>1.0659999999999999E-2</v>
          </cell>
        </row>
        <row r="127">
          <cell r="C127" t="str">
            <v>Anaerobic digester; wastewater treatment unit, solids reduction; at plant; m3 wastewater - US</v>
          </cell>
          <cell r="D127">
            <v>2.0600000000000002E-3</v>
          </cell>
        </row>
        <row r="128">
          <cell r="C128" t="str">
            <v>Centrifuge; wastewater treatment unit, solids reduction; at plant; m3 wastewater - US</v>
          </cell>
          <cell r="D128">
            <v>1.14E-3</v>
          </cell>
        </row>
        <row r="129">
          <cell r="C129" t="str">
            <v>Denitrification, attached growth; wastewater treatment unit, solids reduction; at plant; m3 wastewater - US</v>
          </cell>
          <cell r="D129">
            <v>9.2000000000000003E-4</v>
          </cell>
        </row>
        <row r="130">
          <cell r="C130" t="str">
            <v>Chlorination; wastewater treatment unit, solids reduction; at plant; m3 wastewater - US</v>
          </cell>
          <cell r="D130">
            <v>5.9000000000000003E-4</v>
          </cell>
        </row>
        <row r="131">
          <cell r="C131" t="str">
            <v>Filtration, sand filter; wastewater treatment unit, solids reduction; at plant; m3 wastewater - US</v>
          </cell>
          <cell r="D131">
            <v>3.5E-4</v>
          </cell>
        </row>
        <row r="132">
          <cell r="C132" t="str">
            <v>Screening and grit removal; wastewater treatment unit, solids reduction; at plant; m3 wastewater - US</v>
          </cell>
          <cell r="D132">
            <v>2.1000000000000001E-4</v>
          </cell>
        </row>
        <row r="133">
          <cell r="C133" t="str">
            <v>Secondary clarifier; wastewater treatment unit, solids reduction; at plant; m3 wastewater - US</v>
          </cell>
          <cell r="D133">
            <v>8.5367500000000006E-5</v>
          </cell>
        </row>
        <row r="134">
          <cell r="C134" t="str">
            <v>Primary clarifier; wastewater treatment unit, solids reduction; at plant; m3 wastewater - US</v>
          </cell>
          <cell r="D134">
            <v>5.5559100000000001E-5</v>
          </cell>
        </row>
        <row r="135">
          <cell r="C135" t="str">
            <v>Gravity thickener; wastewater treatment unit, solids reduction; at plant; m3 wastewater - US</v>
          </cell>
          <cell r="D135">
            <v>4.6057599999999998E-5</v>
          </cell>
        </row>
        <row r="136">
          <cell r="C136" t="str">
            <v>Chemical phosphorus removal; wastewater treatment unit, solids reduction; at plant; m3 wastewater - US</v>
          </cell>
          <cell r="D136">
            <v>3.8100499999999999E-5</v>
          </cell>
        </row>
        <row r="137">
          <cell r="C137" t="str">
            <v>Fermentation; wastewater treatment unit, solids reduction; at plant; m3 - US</v>
          </cell>
          <cell r="D137">
            <v>5.5847699999999997E-5</v>
          </cell>
        </row>
        <row r="138">
          <cell r="C138" t="str">
            <v>Dechlorination; wastewater treatment unit, solids reduction; at plant; m3 wastewater - US</v>
          </cell>
          <cell r="D138">
            <v>1.33126E-5</v>
          </cell>
        </row>
        <row r="139">
          <cell r="C139" t="str">
            <v>Effluent release; wastewater treatment unit; at surface water; m3 wastewater - US</v>
          </cell>
          <cell r="D139">
            <v>0</v>
          </cell>
        </row>
        <row r="140">
          <cell r="C140" t="str">
            <v>Sludge hauling and landfill; wastewater treatment unit, solids reduction; at plant; m3 wastewater - US</v>
          </cell>
          <cell r="D140">
            <v>-9.3000000000000005E-4</v>
          </cell>
        </row>
        <row r="145">
          <cell r="C145" t="str">
            <v>Reverse osmosis; wastewater treatment unit, solids reduction; at plant; m3 wastewater - US</v>
          </cell>
          <cell r="D145">
            <v>2.734E-2</v>
          </cell>
        </row>
        <row r="146">
          <cell r="C146" t="str">
            <v>Biological nutrient removal-5-stage; wastewater treatment unit, solids reduction; at plant; m3 wastewater - US</v>
          </cell>
          <cell r="D146">
            <v>2.545E-2</v>
          </cell>
        </row>
        <row r="147">
          <cell r="C147" t="str">
            <v>Underground injection of brine; wastewater treatment unit, solids reduction; at injection site; m3 wastewater - US</v>
          </cell>
          <cell r="D147">
            <v>2.0619999999999999E-2</v>
          </cell>
        </row>
        <row r="148">
          <cell r="C148" t="str">
            <v>Membrane filter; wastewater treatment unit, solids reduction; at plant; m3 wastewater - US</v>
          </cell>
          <cell r="D148">
            <v>1.123E-2</v>
          </cell>
        </row>
        <row r="149">
          <cell r="C149" t="str">
            <v>Anaerobic digester; wastewater treatment unit, solids reduction; at plant; m3 wastewater - US</v>
          </cell>
          <cell r="D149">
            <v>2E-3</v>
          </cell>
        </row>
        <row r="150">
          <cell r="C150" t="str">
            <v>Centrifuge; wastewater treatment unit, solids reduction; at plant; m3 wastewater - US</v>
          </cell>
          <cell r="D150">
            <v>1.1100000000000001E-3</v>
          </cell>
        </row>
        <row r="151">
          <cell r="C151" t="str">
            <v>Chlorination; wastewater treatment unit, solids reduction; at plant; m3 wastewater - US</v>
          </cell>
          <cell r="D151">
            <v>5.9000000000000003E-4</v>
          </cell>
        </row>
        <row r="152">
          <cell r="C152" t="str">
            <v>Screening and grit removal; wastewater treatment unit, solids reduction; at plant; m3 wastewater - US</v>
          </cell>
          <cell r="D152">
            <v>2.1000000000000001E-4</v>
          </cell>
        </row>
        <row r="153">
          <cell r="C153" t="str">
            <v>Primary clarifier; wastewater treatment unit, solids reduction; at plant; m3 wastewater - US</v>
          </cell>
          <cell r="D153">
            <v>5.5394399999999999E-5</v>
          </cell>
        </row>
        <row r="154">
          <cell r="C154" t="str">
            <v>Gravity thickener; wastewater treatment unit, solids reduction; at plant; m3 wastewater - US</v>
          </cell>
          <cell r="D154">
            <v>4.55582E-5</v>
          </cell>
        </row>
        <row r="155">
          <cell r="C155" t="str">
            <v>Fermentation; wastewater treatment unit, solids reduction; at plant; m3 - US</v>
          </cell>
          <cell r="D155">
            <v>3.7141599999999997E-5</v>
          </cell>
        </row>
        <row r="156">
          <cell r="C156" t="str">
            <v>Dechlorination; wastewater treatment unit, solids reduction; at plant; m3 wastewater - US</v>
          </cell>
          <cell r="D156">
            <v>1.3315199999999999E-5</v>
          </cell>
        </row>
        <row r="157">
          <cell r="C157" t="str">
            <v>Chemical phosphorus removal; wastewater treatment unit, solids reduction; at plant; m3 wastewater - US</v>
          </cell>
          <cell r="D157">
            <v>2.2412100000000001E-6</v>
          </cell>
        </row>
        <row r="158">
          <cell r="C158" t="str">
            <v>Effluent release; wastewater treatment unit; at surface water; m3 wastewater - US</v>
          </cell>
          <cell r="D158">
            <v>0</v>
          </cell>
        </row>
        <row r="159">
          <cell r="C159" t="str">
            <v>Sludge hauling and landfill; wastewater treatment unit, solids reduction; at plant; m3 wastewater - US</v>
          </cell>
          <cell r="D159">
            <v>-8.8999999999999995E-4</v>
          </cell>
        </row>
      </sheetData>
      <sheetData sheetId="21">
        <row r="5">
          <cell r="C5" t="str">
            <v>Activated sludge; wastewater treatment unit, solids reduction; at plant; m3 wastewater - US</v>
          </cell>
          <cell r="D5">
            <v>4.6359999999999998E-2</v>
          </cell>
        </row>
        <row r="6">
          <cell r="C6" t="str">
            <v>Anaerobic digester; wastewater treatment unit, solids reduction; at plant; m3 wastewater - US</v>
          </cell>
          <cell r="D6">
            <v>2.741E-2</v>
          </cell>
        </row>
        <row r="7">
          <cell r="C7" t="str">
            <v>Sludge hauling and landfill; wastewater treatment unit, solids reduction; at plant; m3 wastewater - US</v>
          </cell>
          <cell r="D7">
            <v>1.102E-2</v>
          </cell>
        </row>
        <row r="8">
          <cell r="C8" t="str">
            <v>Centrifuge; wastewater treatment unit, solids reduction; at plant; m3 wastewater - US</v>
          </cell>
          <cell r="D8">
            <v>8.8400000000000006E-3</v>
          </cell>
        </row>
        <row r="9">
          <cell r="C9" t="str">
            <v>Chlorination; wastewater treatment unit, solids reduction; at plant; m3 wastewater - US</v>
          </cell>
          <cell r="D9">
            <v>6.0600000000000003E-3</v>
          </cell>
        </row>
        <row r="10">
          <cell r="C10" t="str">
            <v>Screening and grit removal; wastewater treatment unit, solids reduction; at plant; m3 wastewater - US</v>
          </cell>
          <cell r="D10">
            <v>1.09E-3</v>
          </cell>
        </row>
        <row r="11">
          <cell r="C11" t="str">
            <v>Dechlorination; wastewater treatment unit, solids reduction; at plant; m3 wastewater - US</v>
          </cell>
          <cell r="D11">
            <v>6.3000000000000003E-4</v>
          </cell>
        </row>
        <row r="12">
          <cell r="C12" t="str">
            <v>Secondary clarifier; wastewater treatment unit, solids reduction; at plant; m3 wastewater - US</v>
          </cell>
          <cell r="D12">
            <v>4.4999999999999999E-4</v>
          </cell>
        </row>
        <row r="13">
          <cell r="C13" t="str">
            <v>Primary clarifier; wastewater treatment unit, solids reduction; at plant; m3 wastewater - US</v>
          </cell>
          <cell r="D13">
            <v>2.9999999999999997E-4</v>
          </cell>
        </row>
        <row r="14">
          <cell r="C14" t="str">
            <v>Gravity thickener; wastewater treatment unit, solids reduction; at plant; m3 wastewater - US</v>
          </cell>
          <cell r="D14">
            <v>2.4000000000000001E-4</v>
          </cell>
        </row>
        <row r="19">
          <cell r="C19" t="str">
            <v>Biological nutrient removal-3-stage; wastewater treatment unit, solids reduction; at plant; m3 wastewater - US</v>
          </cell>
          <cell r="D19">
            <v>0.13725000000000001</v>
          </cell>
        </row>
        <row r="20">
          <cell r="C20" t="str">
            <v>Anaerobic digester; wastewater treatment unit, solids reduction; at plant; m3 wastewater - US</v>
          </cell>
          <cell r="D20">
            <v>2.4420000000000001E-2</v>
          </cell>
        </row>
        <row r="21">
          <cell r="C21" t="str">
            <v>Sludge hauling and landfill; wastewater treatment unit, solids reduction; at plant; m3 wastewater - US</v>
          </cell>
          <cell r="D21">
            <v>1.102E-2</v>
          </cell>
        </row>
        <row r="22">
          <cell r="C22" t="str">
            <v>Centrifuge; wastewater treatment unit, solids reduction; at plant; m3 wastewater - US</v>
          </cell>
          <cell r="D22">
            <v>7.5399999999999998E-3</v>
          </cell>
        </row>
        <row r="23">
          <cell r="C23" t="str">
            <v>Chlorination; wastewater treatment unit, solids reduction; at plant; m3 wastewater - US</v>
          </cell>
          <cell r="D23">
            <v>5.77E-3</v>
          </cell>
        </row>
        <row r="24">
          <cell r="C24" t="str">
            <v>Screening and grit removal; wastewater treatment unit, solids reduction; at plant; m3 wastewater - US</v>
          </cell>
          <cell r="D24">
            <v>1.08E-3</v>
          </cell>
        </row>
        <row r="25">
          <cell r="C25" t="str">
            <v>Dechlorination; wastewater treatment unit, solids reduction; at plant; m3 wastewater - US</v>
          </cell>
          <cell r="D25">
            <v>6.3000000000000003E-4</v>
          </cell>
        </row>
        <row r="26">
          <cell r="C26" t="str">
            <v>Secondary clarifier; wastewater treatment unit, solids reduction; at plant; m3 wastewater - US</v>
          </cell>
          <cell r="D26">
            <v>4.0999999999999999E-4</v>
          </cell>
        </row>
        <row r="27">
          <cell r="C27" t="str">
            <v>Primary clarifier; wastewater treatment unit, solids reduction; at plant; m3 wastewater - US</v>
          </cell>
          <cell r="D27">
            <v>2.9999999999999997E-4</v>
          </cell>
        </row>
        <row r="28">
          <cell r="C28" t="str">
            <v>Gravity thickener; wastewater treatment unit, solids reduction; at plant; m3 wastewater - US</v>
          </cell>
          <cell r="D28">
            <v>2.3000000000000001E-4</v>
          </cell>
        </row>
        <row r="33">
          <cell r="C33" t="str">
            <v>Denitrification, suspended growth; wastewater treatment unit, solids reduction; at plant; m3 wastewater - US</v>
          </cell>
          <cell r="D33">
            <v>8.4570000000000006E-2</v>
          </cell>
        </row>
        <row r="34">
          <cell r="C34" t="str">
            <v>Nitrification, suspended growth; wastewater treatment unit, solids reduction; at plant; m3 wastewater - US</v>
          </cell>
          <cell r="D34">
            <v>5.1429999999999997E-2</v>
          </cell>
        </row>
        <row r="35">
          <cell r="C35" t="str">
            <v>Activated sludge; wastewater treatment unit, solids reduction; at plant; m3 wastewater - US</v>
          </cell>
          <cell r="D35">
            <v>4.6390000000000001E-2</v>
          </cell>
        </row>
        <row r="36">
          <cell r="C36" t="str">
            <v>Anaerobic digester; wastewater treatment unit, solids reduction; at plant; m3 wastewater - US</v>
          </cell>
          <cell r="D36">
            <v>3.7749999999999999E-2</v>
          </cell>
        </row>
        <row r="37">
          <cell r="C37" t="str">
            <v>Centrifuge; wastewater treatment unit, solids reduction; at plant; m3 wastewater - US</v>
          </cell>
          <cell r="D37">
            <v>1.286E-2</v>
          </cell>
        </row>
        <row r="38">
          <cell r="C38" t="str">
            <v>Chemical phosphorus removal; wastewater treatment unit, solids reduction; at plant; m3 wastewater - US</v>
          </cell>
          <cell r="D38">
            <v>1.2619999999999999E-2</v>
          </cell>
        </row>
        <row r="39">
          <cell r="C39" t="str">
            <v>Sludge hauling and landfill; wastewater treatment unit, solids reduction; at plant; m3 wastewater - US</v>
          </cell>
          <cell r="D39">
            <v>1.102E-2</v>
          </cell>
        </row>
        <row r="40">
          <cell r="C40" t="str">
            <v>Chlorination; wastewater treatment unit, solids reduction; at plant; m3 wastewater - US</v>
          </cell>
          <cell r="D40">
            <v>5.77E-3</v>
          </cell>
        </row>
        <row r="41">
          <cell r="C41" t="str">
            <v>Screening and grit removal; wastewater treatment unit, solids reduction; at plant; m3 wastewater - US</v>
          </cell>
          <cell r="D41">
            <v>1.09E-3</v>
          </cell>
        </row>
        <row r="42">
          <cell r="C42" t="str">
            <v>Dechlorination; wastewater treatment unit, solids reduction; at plant; m3 wastewater - US</v>
          </cell>
          <cell r="D42">
            <v>6.3000000000000003E-4</v>
          </cell>
        </row>
        <row r="43">
          <cell r="C43" t="str">
            <v>Secondary clarifier; wastewater treatment unit, solids reduction; at plant; m3 wastewater - US</v>
          </cell>
          <cell r="D43">
            <v>4.6000000000000001E-4</v>
          </cell>
        </row>
        <row r="44">
          <cell r="C44" t="str">
            <v>Tertiary clarification, denitrification; wastewater treatment unit, solids reduction; at plant; m3 wastewater - US</v>
          </cell>
          <cell r="D44">
            <v>3.6000000000000002E-4</v>
          </cell>
        </row>
        <row r="45">
          <cell r="C45" t="str">
            <v>Tertiary clarification, nitrification; wastewater treatment unit, solids reduction; at plant; m3 wastewater - US</v>
          </cell>
          <cell r="D45">
            <v>3.1E-4</v>
          </cell>
        </row>
        <row r="46">
          <cell r="C46" t="str">
            <v>Primary clarifier; wastewater treatment unit, solids reduction; at plant; m3 wastewater - US</v>
          </cell>
          <cell r="D46">
            <v>2.9999999999999997E-4</v>
          </cell>
        </row>
        <row r="47">
          <cell r="C47" t="str">
            <v>Gravity thickener; wastewater treatment unit, solids reduction; at plant; m3 wastewater - US</v>
          </cell>
          <cell r="D47">
            <v>2.5999999999999998E-4</v>
          </cell>
        </row>
        <row r="48">
          <cell r="C48" t="str">
            <v>Effluent release; wastewater treatment unit; at surface water; m3 wastewater - US</v>
          </cell>
          <cell r="D48">
            <v>0</v>
          </cell>
        </row>
        <row r="53">
          <cell r="C53" t="str">
            <v>Biological nutrient removal-5-stage; wastewater treatment unit, solids reduction; at plant; m3 wastewater - US</v>
          </cell>
          <cell r="D53">
            <v>0.16622000000000001</v>
          </cell>
        </row>
        <row r="54">
          <cell r="C54" t="str">
            <v>Anaerobic digester; wastewater treatment unit, solids reduction; at plant; m3 wastewater - US</v>
          </cell>
          <cell r="D54">
            <v>3.737E-2</v>
          </cell>
        </row>
        <row r="55">
          <cell r="C55" t="str">
            <v>Sludge hauling and landfill; wastewater treatment unit, solids reduction; at plant; m3 wastewater - US</v>
          </cell>
          <cell r="D55">
            <v>1.102E-2</v>
          </cell>
        </row>
        <row r="56">
          <cell r="C56" t="str">
            <v>Centrifuge; wastewater treatment unit, solids reduction; at plant; m3 wastewater - US</v>
          </cell>
          <cell r="D56">
            <v>9.0699999999999999E-3</v>
          </cell>
        </row>
        <row r="57">
          <cell r="C57" t="str">
            <v>Chlorination; wastewater treatment unit, solids reduction; at plant; m3 wastewater - US</v>
          </cell>
          <cell r="D57">
            <v>5.2300000000000003E-3</v>
          </cell>
        </row>
        <row r="58">
          <cell r="C58" t="str">
            <v>Filtration, sand filter; wastewater treatment unit, solids reduction; at plant; m3 wastewater - US</v>
          </cell>
          <cell r="D58">
            <v>1.8699999999999999E-3</v>
          </cell>
        </row>
        <row r="59">
          <cell r="C59" t="str">
            <v>Screening and grit removal; wastewater treatment unit, solids reduction; at plant; m3 wastewater - US</v>
          </cell>
          <cell r="D59">
            <v>1.09E-3</v>
          </cell>
        </row>
        <row r="60">
          <cell r="C60" t="str">
            <v>Chemical phosphorus removal; wastewater treatment unit, solids reduction; at plant; m3 wastewater - US</v>
          </cell>
          <cell r="D60">
            <v>6.3000000000000003E-4</v>
          </cell>
        </row>
        <row r="61">
          <cell r="C61" t="str">
            <v>Dechlorination; wastewater treatment unit, solids reduction; at plant; m3 wastewater - US</v>
          </cell>
          <cell r="D61">
            <v>6.3000000000000003E-4</v>
          </cell>
        </row>
        <row r="62">
          <cell r="C62" t="str">
            <v>Secondary clarifier; wastewater treatment unit, solids reduction; at plant; m3 wastewater - US</v>
          </cell>
          <cell r="D62">
            <v>4.4999999999999999E-4</v>
          </cell>
        </row>
        <row r="63">
          <cell r="C63" t="str">
            <v>Primary clarifier; wastewater treatment unit, solids reduction; at plant; m3 wastewater - US</v>
          </cell>
          <cell r="D63">
            <v>2.9999999999999997E-4</v>
          </cell>
        </row>
        <row r="64">
          <cell r="C64" t="str">
            <v>Gravity thickener; wastewater treatment unit, solids reduction; at plant; m3 wastewater - US</v>
          </cell>
          <cell r="D64">
            <v>2.4000000000000001E-4</v>
          </cell>
        </row>
        <row r="65">
          <cell r="C65" t="str">
            <v>Fermentation; wastewater treatment unit, solids reduction; at plant; m3 - US</v>
          </cell>
          <cell r="D65">
            <v>2.7999999999999998E-4</v>
          </cell>
        </row>
        <row r="66">
          <cell r="C66" t="str">
            <v>Effluent release; wastewater treatment unit; at surface water; m3 wastewater - US</v>
          </cell>
          <cell r="D66">
            <v>0</v>
          </cell>
        </row>
        <row r="71">
          <cell r="C71" t="str">
            <v>Biological nutrient removal-4-stage; wastewater treatment unit, solids reduction; at plant; m3 wastewater - US</v>
          </cell>
          <cell r="D71">
            <v>0.17813000000000001</v>
          </cell>
        </row>
        <row r="72">
          <cell r="C72" t="str">
            <v>Anaerobic digester; wastewater treatment unit, solids reduction; at plant; m3 wastewater - US</v>
          </cell>
          <cell r="D72">
            <v>2.6360000000000001E-2</v>
          </cell>
        </row>
        <row r="73">
          <cell r="C73" t="str">
            <v>Sludge hauling and landfill; wastewater treatment unit, solids reduction; at plant; m3 wastewater - US</v>
          </cell>
          <cell r="D73">
            <v>1.102E-2</v>
          </cell>
        </row>
        <row r="74">
          <cell r="C74" t="str">
            <v>Centrifuge; wastewater treatment unit, solids reduction; at plant; m3 wastewater - US</v>
          </cell>
          <cell r="D74">
            <v>9.0699999999999999E-3</v>
          </cell>
        </row>
        <row r="75">
          <cell r="C75" t="str">
            <v>Chlorination; wastewater treatment unit, solids reduction; at plant; m3 wastewater - US</v>
          </cell>
          <cell r="D75">
            <v>5.2300000000000003E-3</v>
          </cell>
        </row>
        <row r="76">
          <cell r="C76" t="str">
            <v>Filtration, sand filter; wastewater treatment unit, solids reduction; at plant; m3 wastewater - US</v>
          </cell>
          <cell r="D76">
            <v>1.8699999999999999E-3</v>
          </cell>
        </row>
        <row r="77">
          <cell r="C77" t="str">
            <v>Screening and grit removal; wastewater treatment unit, solids reduction; at plant; m3 wastewater - US</v>
          </cell>
          <cell r="D77">
            <v>1.09E-3</v>
          </cell>
        </row>
        <row r="78">
          <cell r="C78" t="str">
            <v>Chemical phosphorus removal; wastewater treatment unit, solids reduction; at plant; m3 wastewater - US</v>
          </cell>
          <cell r="D78">
            <v>6.3000000000000003E-4</v>
          </cell>
        </row>
        <row r="79">
          <cell r="C79" t="str">
            <v>Dechlorination; wastewater treatment unit, solids reduction; at plant; m3 wastewater - US</v>
          </cell>
          <cell r="D79">
            <v>6.3000000000000003E-4</v>
          </cell>
        </row>
        <row r="80">
          <cell r="C80" t="str">
            <v>Secondary clarifier; wastewater treatment unit, solids reduction; at plant; m3 wastewater - US</v>
          </cell>
          <cell r="D80">
            <v>4.4999999999999999E-4</v>
          </cell>
        </row>
        <row r="81">
          <cell r="C81" t="str">
            <v>Primary clarifier; wastewater treatment unit, solids reduction; at plant; m3 wastewater - US</v>
          </cell>
          <cell r="D81">
            <v>2.9999999999999997E-4</v>
          </cell>
        </row>
        <row r="82">
          <cell r="C82" t="str">
            <v>Fermentation; wastewater treatment unit, solids reduction; at plant; m3 - US</v>
          </cell>
          <cell r="D82">
            <v>2.9E-4</v>
          </cell>
        </row>
        <row r="83">
          <cell r="C83" t="str">
            <v>Gravity thickener; wastewater treatment unit, solids reduction; at plant; m3 wastewater - US</v>
          </cell>
          <cell r="D83">
            <v>2.4000000000000001E-4</v>
          </cell>
        </row>
        <row r="84">
          <cell r="C84" t="str">
            <v>Effluent release; wastewater treatment unit; at surface water; m3 wastewater - US</v>
          </cell>
          <cell r="D84">
            <v>0</v>
          </cell>
        </row>
        <row r="90">
          <cell r="C90" t="str">
            <v>Biological nutrient removal-5-stage; wastewater treatment unit, solids reduction; at plant; m3 wastewater - US</v>
          </cell>
          <cell r="D90">
            <v>0.16622999999999999</v>
          </cell>
        </row>
        <row r="91">
          <cell r="C91" t="str">
            <v>Denitrification, attached growth; wastewater treatment unit, solids reduction; at plant; m3 wastewater - US</v>
          </cell>
          <cell r="D91">
            <v>6.1089999999999998E-2</v>
          </cell>
        </row>
        <row r="92">
          <cell r="C92" t="str">
            <v>Anaerobic digester; wastewater treatment unit, solids reduction; at plant; m3 wastewater - US</v>
          </cell>
          <cell r="D92">
            <v>2.6519999999999998E-2</v>
          </cell>
        </row>
        <row r="93">
          <cell r="C93" t="str">
            <v>Sludge hauling and landfill; wastewater treatment unit, solids reduction; at plant; m3 wastewater - US</v>
          </cell>
          <cell r="D93">
            <v>1.102E-2</v>
          </cell>
        </row>
        <row r="94">
          <cell r="C94" t="str">
            <v>Centrifuge; wastewater treatment unit, solids reduction; at plant; m3 wastewater - US</v>
          </cell>
          <cell r="D94">
            <v>9.1500000000000001E-3</v>
          </cell>
        </row>
        <row r="95">
          <cell r="C95" t="str">
            <v>Chlorination; wastewater treatment unit, solids reduction; at plant; m3 wastewater - US</v>
          </cell>
          <cell r="D95">
            <v>5.2300000000000003E-3</v>
          </cell>
        </row>
        <row r="96">
          <cell r="C96" t="str">
            <v>Chemical phosphorus removal; wastewater treatment unit, solids reduction; at plant; m3 wastewater - US</v>
          </cell>
          <cell r="D96">
            <v>1.9E-3</v>
          </cell>
        </row>
        <row r="97">
          <cell r="C97" t="str">
            <v>Filtration, sand filter; wastewater treatment unit, solids reduction; at plant; m3 wastewater - US</v>
          </cell>
          <cell r="D97">
            <v>1.8699999999999999E-3</v>
          </cell>
        </row>
        <row r="98">
          <cell r="C98" t="str">
            <v>Screening and grit removal; wastewater treatment unit, solids reduction; at plant; m3 wastewater - US</v>
          </cell>
          <cell r="D98">
            <v>1.09E-3</v>
          </cell>
        </row>
        <row r="99">
          <cell r="C99" t="str">
            <v>Dechlorination; wastewater treatment unit, solids reduction; at plant; m3 wastewater - US</v>
          </cell>
          <cell r="D99">
            <v>6.3000000000000003E-4</v>
          </cell>
        </row>
        <row r="100">
          <cell r="C100" t="str">
            <v>Secondary clarifier; wastewater treatment unit, solids reduction; at plant; m3 wastewater - US</v>
          </cell>
          <cell r="D100">
            <v>4.6000000000000001E-4</v>
          </cell>
        </row>
        <row r="101">
          <cell r="C101" t="str">
            <v>Primary clarifier; wastewater treatment unit, solids reduction; at plant; m3 wastewater - US</v>
          </cell>
          <cell r="D101">
            <v>2.9999999999999997E-4</v>
          </cell>
        </row>
        <row r="102">
          <cell r="C102" t="str">
            <v>Gravity thickener; wastewater treatment unit, solids reduction; at plant; m3 wastewater - US</v>
          </cell>
          <cell r="D102">
            <v>2.4000000000000001E-4</v>
          </cell>
        </row>
        <row r="103">
          <cell r="C103" t="str">
            <v>Fermentation; wastewater treatment unit, solids reduction; at plant; m3 - US</v>
          </cell>
          <cell r="D103">
            <v>2.7999999999999998E-4</v>
          </cell>
        </row>
        <row r="104">
          <cell r="C104" t="str">
            <v>Effluent release; wastewater treatment unit; at surface water; m3 wastewater - US</v>
          </cell>
          <cell r="D104">
            <v>0</v>
          </cell>
        </row>
        <row r="109">
          <cell r="C109" t="str">
            <v>Biological nutrient removal-4-stage; wastewater treatment unit, solids reduction; at plant; m3 wastewater - US</v>
          </cell>
          <cell r="D109">
            <v>0.11280999999999999</v>
          </cell>
        </row>
        <row r="110">
          <cell r="C110" t="str">
            <v>Membrane filter; wastewater treatment unit, solids reduction; at plant; m3 wastewater - US</v>
          </cell>
          <cell r="D110">
            <v>5.772E-2</v>
          </cell>
        </row>
        <row r="111">
          <cell r="C111" t="str">
            <v>Anaerobic digester; wastewater treatment unit, solids reduction; at plant; m3 wastewater - US</v>
          </cell>
          <cell r="D111">
            <v>2.6749999999999999E-2</v>
          </cell>
        </row>
        <row r="112">
          <cell r="C112" t="str">
            <v>Sludge hauling and landfill; wastewater treatment unit, solids reduction; at plant; m3 wastewater - US</v>
          </cell>
          <cell r="D112">
            <v>1.3129999999999999E-2</v>
          </cell>
        </row>
        <row r="113">
          <cell r="C113" t="str">
            <v>Centrifuge; wastewater treatment unit, solids reduction; at plant; m3 wastewater - US</v>
          </cell>
          <cell r="D113">
            <v>9.1800000000000007E-3</v>
          </cell>
        </row>
        <row r="114">
          <cell r="C114" t="str">
            <v>Chlorination; wastewater treatment unit, solids reduction; at plant; m3 wastewater - US</v>
          </cell>
          <cell r="D114">
            <v>5.2300000000000003E-3</v>
          </cell>
        </row>
        <row r="115">
          <cell r="C115" t="str">
            <v>Screening and grit removal; wastewater treatment unit, solids reduction; at plant; m3 wastewater - US</v>
          </cell>
          <cell r="D115">
            <v>1.08E-3</v>
          </cell>
        </row>
        <row r="116">
          <cell r="C116" t="str">
            <v>Dechlorination; wastewater treatment unit, solids reduction; at plant; m3 wastewater - US</v>
          </cell>
          <cell r="D116">
            <v>6.3000000000000003E-4</v>
          </cell>
        </row>
        <row r="117">
          <cell r="C117" t="str">
            <v>Chemical phosphorus removal; wastewater treatment unit, solids reduction; at plant; m3 wastewater - US</v>
          </cell>
          <cell r="D117">
            <v>3.3E-4</v>
          </cell>
        </row>
        <row r="118">
          <cell r="C118" t="str">
            <v>Primary clarifier; wastewater treatment unit, solids reduction; at plant; m3 wastewater - US</v>
          </cell>
          <cell r="D118">
            <v>2.9999999999999997E-4</v>
          </cell>
        </row>
        <row r="119">
          <cell r="C119" t="str">
            <v>Gravity thickener; wastewater treatment unit, solids reduction; at plant; m3 wastewater - US</v>
          </cell>
          <cell r="D119">
            <v>2.4000000000000001E-4</v>
          </cell>
        </row>
        <row r="120">
          <cell r="C120" t="str">
            <v>Effluent release; wastewater treatment unit; at surface water; m3 wastewater - US</v>
          </cell>
          <cell r="D120">
            <v>0</v>
          </cell>
        </row>
        <row r="125">
          <cell r="C125" t="str">
            <v>Biological nutrient removal-5-stage; wastewater treatment unit, solids reduction; at plant; m3 wastewater - US</v>
          </cell>
          <cell r="D125">
            <v>0.18476999999999999</v>
          </cell>
        </row>
        <row r="126">
          <cell r="C126" t="str">
            <v>Reverse osmosis; wastewater treatment unit, solids reduction; at plant; m3 wastewater - US</v>
          </cell>
          <cell r="D126">
            <v>0.15148</v>
          </cell>
        </row>
        <row r="127">
          <cell r="C127" t="str">
            <v>Underground injection of brine; wastewater treatment unit, solids reduction; at injection site; m3 wastewater - US</v>
          </cell>
          <cell r="D127">
            <v>0.10599</v>
          </cell>
        </row>
        <row r="128">
          <cell r="C128" t="str">
            <v>Ultrafilter; wastewater treatment unit, solids reduction; at plant; m3 wastewater - US</v>
          </cell>
          <cell r="D128">
            <v>5.8360000000000002E-2</v>
          </cell>
        </row>
        <row r="129">
          <cell r="C129" t="str">
            <v>Anaerobic digester; wastewater treatment unit, solids reduction; at plant; m3 wastewater - US</v>
          </cell>
          <cell r="D129">
            <v>2.6519999999999998E-2</v>
          </cell>
        </row>
        <row r="130">
          <cell r="C130" t="str">
            <v>Sludge hauling and landfill; wastewater treatment unit, solids reduction; at plant; m3 wastewater - US</v>
          </cell>
          <cell r="D130">
            <v>1.324E-2</v>
          </cell>
        </row>
        <row r="131">
          <cell r="C131" t="str">
            <v>Centrifuge; wastewater treatment unit, solids reduction; at plant; m3 wastewater - US</v>
          </cell>
          <cell r="D131">
            <v>9.1500000000000001E-3</v>
          </cell>
        </row>
        <row r="132">
          <cell r="C132" t="str">
            <v>Denitrification, attached growth; wastewater treatment unit, solids reduction; at plant; m3 wastewater - US</v>
          </cell>
          <cell r="D132">
            <v>6.79E-3</v>
          </cell>
        </row>
        <row r="133">
          <cell r="C133" t="str">
            <v>Chlorination; wastewater treatment unit, solids reduction; at plant; m3 wastewater - US</v>
          </cell>
          <cell r="D133">
            <v>4.2700000000000004E-3</v>
          </cell>
        </row>
        <row r="134">
          <cell r="C134" t="str">
            <v>Filtration, sand filter; wastewater treatment unit, solids reduction; at plant; m3 wastewater - US</v>
          </cell>
          <cell r="D134">
            <v>1.8699999999999999E-3</v>
          </cell>
        </row>
        <row r="135">
          <cell r="C135" t="str">
            <v>Screening and grit removal; wastewater treatment unit, solids reduction; at plant; m3 wastewater - US</v>
          </cell>
          <cell r="D135">
            <v>1.09E-3</v>
          </cell>
        </row>
        <row r="136">
          <cell r="C136" t="str">
            <v>Chemical phosphorus removal; wastewater treatment unit, solids reduction; at plant; m3 wastewater - US</v>
          </cell>
          <cell r="D136">
            <v>6.4999999999999997E-4</v>
          </cell>
        </row>
        <row r="137">
          <cell r="C137" t="str">
            <v>Dechlorination; wastewater treatment unit, solids reduction; at plant; m3 wastewater - US</v>
          </cell>
          <cell r="D137">
            <v>6.3000000000000003E-4</v>
          </cell>
        </row>
        <row r="138">
          <cell r="C138" t="str">
            <v>Secondary clarifier; wastewater treatment unit, solids reduction; at plant; m3 wastewater - US</v>
          </cell>
          <cell r="D138">
            <v>4.6000000000000001E-4</v>
          </cell>
        </row>
        <row r="139">
          <cell r="C139" t="str">
            <v>Primary clarifier; wastewater treatment unit, solids reduction; at plant; m3 wastewater - US</v>
          </cell>
          <cell r="D139">
            <v>2.9999999999999997E-4</v>
          </cell>
        </row>
        <row r="140">
          <cell r="C140" t="str">
            <v>Gravity thickener; wastewater treatment unit, solids reduction; at plant; m3 wastewater - US</v>
          </cell>
          <cell r="D140">
            <v>2.4000000000000001E-4</v>
          </cell>
        </row>
        <row r="141">
          <cell r="C141" t="str">
            <v>Fermentation; wastewater treatment unit, solids reduction; at plant; m3 - US</v>
          </cell>
          <cell r="D141">
            <v>2.7999999999999998E-4</v>
          </cell>
        </row>
        <row r="142">
          <cell r="C142" t="str">
            <v>Effluent release; wastewater treatment unit; at surface water; m3 wastewater - US</v>
          </cell>
          <cell r="D142">
            <v>0</v>
          </cell>
        </row>
        <row r="147">
          <cell r="C147" t="str">
            <v>Reverse osmosis; wastewater treatment unit, solids reduction; at plant; m3 wastewater - US</v>
          </cell>
          <cell r="D147">
            <v>0.14323</v>
          </cell>
        </row>
        <row r="148">
          <cell r="C148" t="str">
            <v>Biological nutrient removal-5-stage; wastewater treatment unit, solids reduction; at plant; m3 wastewater - US</v>
          </cell>
          <cell r="D148">
            <v>0.13092000000000001</v>
          </cell>
        </row>
        <row r="149">
          <cell r="C149" t="str">
            <v>Underground injection of brine; wastewater treatment unit, solids reduction; at injection site; m3 wastewater - US</v>
          </cell>
          <cell r="D149">
            <v>0.10599</v>
          </cell>
        </row>
        <row r="150">
          <cell r="C150" t="str">
            <v>Membrane filter; wastewater treatment unit, solids reduction; at plant; m3 wastewater - US</v>
          </cell>
          <cell r="D150">
            <v>5.772E-2</v>
          </cell>
        </row>
        <row r="151">
          <cell r="C151" t="str">
            <v>Anaerobic digester; wastewater treatment unit, solids reduction; at plant; m3 wastewater - US</v>
          </cell>
          <cell r="D151">
            <v>2.5899999999999999E-2</v>
          </cell>
        </row>
        <row r="152">
          <cell r="C152" t="str">
            <v>Sludge hauling and landfill; wastewater treatment unit, solids reduction; at plant; m3 wastewater - US</v>
          </cell>
          <cell r="D152">
            <v>1.2880000000000001E-2</v>
          </cell>
        </row>
        <row r="153">
          <cell r="C153" t="str">
            <v>Centrifuge; wastewater treatment unit, solids reduction; at plant; m3 wastewater - US</v>
          </cell>
          <cell r="D153">
            <v>8.8800000000000007E-3</v>
          </cell>
        </row>
        <row r="154">
          <cell r="C154" t="str">
            <v>Chlorination; wastewater treatment unit, solids reduction; at plant; m3 wastewater - US</v>
          </cell>
          <cell r="D154">
            <v>4.2900000000000004E-3</v>
          </cell>
        </row>
        <row r="155">
          <cell r="C155" t="str">
            <v>Screening and grit removal; wastewater treatment unit, solids reduction; at plant; m3 wastewater - US</v>
          </cell>
          <cell r="D155">
            <v>1.08E-3</v>
          </cell>
        </row>
        <row r="156">
          <cell r="C156" t="str">
            <v>Dechlorination; wastewater treatment unit, solids reduction; at plant; m3 wastewater - US</v>
          </cell>
          <cell r="D156">
            <v>6.3000000000000003E-4</v>
          </cell>
        </row>
        <row r="157">
          <cell r="C157" t="str">
            <v>Primary clarifier; wastewater treatment unit, solids reduction; at plant; m3 wastewater - US</v>
          </cell>
          <cell r="D157">
            <v>2.9999999999999997E-4</v>
          </cell>
        </row>
        <row r="158">
          <cell r="C158" t="str">
            <v>Gravity thickener; wastewater treatment unit, solids reduction; at plant; m3 wastewater - US</v>
          </cell>
          <cell r="D158">
            <v>2.4000000000000001E-4</v>
          </cell>
        </row>
        <row r="159">
          <cell r="C159" t="str">
            <v>Fermentation; wastewater treatment unit, solids reduction; at plant; m3 - US</v>
          </cell>
          <cell r="D159">
            <v>1.9000000000000001E-4</v>
          </cell>
        </row>
        <row r="160">
          <cell r="C160" t="str">
            <v>Chemical phosphorus removal; wastewater treatment unit, solids reduction; at plant; m3 wastewater - US</v>
          </cell>
          <cell r="D160">
            <v>3.8238699999999997E-5</v>
          </cell>
        </row>
        <row r="161">
          <cell r="C161" t="str">
            <v>Effluent release; wastewater treatment unit; at surface water; m3 wastewater - US</v>
          </cell>
          <cell r="D161">
            <v>0</v>
          </cell>
        </row>
      </sheetData>
      <sheetData sheetId="22">
        <row r="5">
          <cell r="C5" t="str">
            <v>Activated sludge; wastewater treatment unit, solids reduction; at plant; m3 wastewater - US</v>
          </cell>
          <cell r="D5">
            <v>6.9580000000000003E-2</v>
          </cell>
        </row>
        <row r="6">
          <cell r="C6" t="str">
            <v>Anaerobic digester; wastewater treatment unit, solids reduction; at plant; m3 wastewater - US</v>
          </cell>
          <cell r="D6">
            <v>4.5420000000000002E-2</v>
          </cell>
        </row>
        <row r="7">
          <cell r="C7" t="str">
            <v>Centrifuge; wastewater treatment unit, solids reduction; at plant; m3 wastewater - US</v>
          </cell>
          <cell r="D7">
            <v>8.4799999999999997E-3</v>
          </cell>
        </row>
        <row r="8">
          <cell r="C8" t="str">
            <v>Chlorination; wastewater treatment unit, solids reduction; at plant; m3 wastewater - US</v>
          </cell>
          <cell r="D8">
            <v>5.1000000000000004E-3</v>
          </cell>
        </row>
        <row r="9">
          <cell r="C9" t="str">
            <v>Screening and grit removal; wastewater treatment unit, solids reduction; at plant; m3 wastewater - US</v>
          </cell>
          <cell r="D9">
            <v>1.6299999999999999E-3</v>
          </cell>
        </row>
        <row r="10">
          <cell r="C10" t="str">
            <v>Secondary clarifier; wastewater treatment unit, solids reduction; at plant; m3 wastewater - US</v>
          </cell>
          <cell r="D10">
            <v>6.6E-4</v>
          </cell>
        </row>
        <row r="11">
          <cell r="C11" t="str">
            <v>Dechlorination; wastewater treatment unit, solids reduction; at plant; m3 wastewater - US</v>
          </cell>
          <cell r="D11">
            <v>4.6000000000000001E-4</v>
          </cell>
        </row>
        <row r="12">
          <cell r="C12" t="str">
            <v>Primary clarifier; wastewater treatment unit, solids reduction; at plant; m3 wastewater - US</v>
          </cell>
          <cell r="D12">
            <v>4.4000000000000002E-4</v>
          </cell>
        </row>
        <row r="13">
          <cell r="C13" t="str">
            <v>Gravity thickener; wastewater treatment unit, solids reduction; at plant; m3 wastewater - US</v>
          </cell>
          <cell r="D13">
            <v>3.6000000000000002E-4</v>
          </cell>
        </row>
        <row r="14">
          <cell r="C14" t="str">
            <v>Effluent release; wastewater treatment unit; at surface water; m3 wastewater - US</v>
          </cell>
          <cell r="D14">
            <v>0</v>
          </cell>
        </row>
        <row r="19">
          <cell r="C19" t="str">
            <v>Biological nutrient removal-3-stage; wastewater treatment unit, solids reduction; at plant; m3 wastewater - US</v>
          </cell>
          <cell r="D19">
            <v>0.20608000000000001</v>
          </cell>
        </row>
        <row r="20">
          <cell r="C20" t="str">
            <v>Anaerobic digester; wastewater treatment unit, solids reduction; at plant; m3 wastewater - US</v>
          </cell>
          <cell r="D20">
            <v>3.7769999999999998E-2</v>
          </cell>
        </row>
        <row r="21">
          <cell r="C21" t="str">
            <v>Centrifuge; wastewater treatment unit, solids reduction; at plant; m3 wastewater - US</v>
          </cell>
          <cell r="D21">
            <v>7.26E-3</v>
          </cell>
        </row>
        <row r="22">
          <cell r="C22" t="str">
            <v>Chlorination; wastewater treatment unit, solids reduction; at plant; m3 wastewater - US</v>
          </cell>
          <cell r="D22">
            <v>5.0099999999999997E-3</v>
          </cell>
        </row>
        <row r="23">
          <cell r="C23" t="str">
            <v>Screening and grit removal; wastewater treatment unit, solids reduction; at plant; m3 wastewater - US</v>
          </cell>
          <cell r="D23">
            <v>1.6299999999999999E-3</v>
          </cell>
        </row>
        <row r="24">
          <cell r="C24" t="str">
            <v>Secondary clarifier; wastewater treatment unit, solids reduction; at plant; m3 wastewater - US</v>
          </cell>
          <cell r="D24">
            <v>5.9999999999999995E-4</v>
          </cell>
        </row>
        <row r="25">
          <cell r="C25" t="str">
            <v>Dechlorination; wastewater treatment unit, solids reduction; at plant; m3 wastewater - US</v>
          </cell>
          <cell r="D25">
            <v>4.6000000000000001E-4</v>
          </cell>
        </row>
        <row r="26">
          <cell r="C26" t="str">
            <v>Primary clarifier; wastewater treatment unit, solids reduction; at plant; m3 wastewater - US</v>
          </cell>
          <cell r="D26">
            <v>4.4000000000000002E-4</v>
          </cell>
        </row>
        <row r="27">
          <cell r="C27" t="str">
            <v>Gravity thickener; wastewater treatment unit, solids reduction; at plant; m3 wastewater - US</v>
          </cell>
          <cell r="D27">
            <v>3.4000000000000002E-4</v>
          </cell>
        </row>
        <row r="28">
          <cell r="C28" t="str">
            <v>Effluent release; wastewater treatment unit; at surface water; m3 wastewater - US</v>
          </cell>
          <cell r="D28">
            <v>0</v>
          </cell>
        </row>
        <row r="33">
          <cell r="C33" t="str">
            <v>Nitrification, suspended growth; wastewater treatment unit, solids reduction; at plant; m3 wastewater - US</v>
          </cell>
          <cell r="D33">
            <v>7.6340000000000005E-2</v>
          </cell>
        </row>
        <row r="34">
          <cell r="C34" t="str">
            <v>Activated sludge; wastewater treatment unit, solids reduction; at plant; m3 wastewater - US</v>
          </cell>
          <cell r="D34">
            <v>6.966E-2</v>
          </cell>
        </row>
        <row r="35">
          <cell r="C35" t="str">
            <v>Denitrification, suspended growth; wastewater treatment unit, solids reduction; at plant; m3 wastewater - US</v>
          </cell>
          <cell r="D35">
            <v>5.8369999999999998E-2</v>
          </cell>
        </row>
        <row r="36">
          <cell r="C36" t="str">
            <v>Anaerobic digester; wastewater treatment unit, solids reduction; at plant; m3 wastewater - US</v>
          </cell>
          <cell r="D36">
            <v>5.212E-2</v>
          </cell>
        </row>
        <row r="37">
          <cell r="C37" t="str">
            <v>Centrifuge; wastewater treatment unit, solids reduction; at plant; m3 wastewater - US</v>
          </cell>
          <cell r="D37">
            <v>1.2200000000000001E-2</v>
          </cell>
        </row>
        <row r="38">
          <cell r="C38" t="str">
            <v>Chlorination; wastewater treatment unit, solids reduction; at plant; m3 wastewater - US</v>
          </cell>
          <cell r="D38">
            <v>5.0099999999999997E-3</v>
          </cell>
        </row>
        <row r="39">
          <cell r="C39" t="str">
            <v>Chemical phosphorus removal; wastewater treatment unit, solids reduction; at plant; m3 wastewater - US</v>
          </cell>
          <cell r="D39">
            <v>2.96E-3</v>
          </cell>
        </row>
        <row r="40">
          <cell r="C40" t="str">
            <v>Screening and grit removal; wastewater treatment unit, solids reduction; at plant; m3 wastewater - US</v>
          </cell>
          <cell r="D40">
            <v>1.64E-3</v>
          </cell>
        </row>
        <row r="41">
          <cell r="C41" t="str">
            <v>Secondary clarifier; wastewater treatment unit, solids reduction; at plant; m3 wastewater - US</v>
          </cell>
          <cell r="D41">
            <v>6.8000000000000005E-4</v>
          </cell>
        </row>
        <row r="42">
          <cell r="C42" t="str">
            <v>Tertiary clarification, denitrification; wastewater treatment unit, solids reduction; at plant; m3 wastewater - US</v>
          </cell>
          <cell r="D42">
            <v>5.2999999999999998E-4</v>
          </cell>
        </row>
        <row r="43">
          <cell r="C43" t="str">
            <v>Dechlorination; wastewater treatment unit, solids reduction; at plant; m3 wastewater - US</v>
          </cell>
          <cell r="D43">
            <v>4.6000000000000001E-4</v>
          </cell>
        </row>
        <row r="44">
          <cell r="C44" t="str">
            <v>Tertiary clarification, nitrification; wastewater treatment unit, solids reduction; at plant; m3 wastewater - US</v>
          </cell>
          <cell r="D44">
            <v>4.4999999999999999E-4</v>
          </cell>
        </row>
        <row r="45">
          <cell r="C45" t="str">
            <v>Primary clarifier; wastewater treatment unit, solids reduction; at plant; m3 wastewater - US</v>
          </cell>
          <cell r="D45">
            <v>4.4999999999999999E-4</v>
          </cell>
        </row>
        <row r="46">
          <cell r="C46" t="str">
            <v>Gravity thickener; wastewater treatment unit, solids reduction; at plant; m3 wastewater - US</v>
          </cell>
          <cell r="D46">
            <v>4.0000000000000002E-4</v>
          </cell>
        </row>
        <row r="47">
          <cell r="C47" t="str">
            <v>Effluent release; wastewater treatment unit; at surface water; m3 wastewater - US</v>
          </cell>
          <cell r="D47">
            <v>0</v>
          </cell>
        </row>
        <row r="48">
          <cell r="C48" t="str">
            <v>Sludge hauling and landfill; wastewater treatment unit, solids reduction; at plant; m3 wastewater - US</v>
          </cell>
          <cell r="D48">
            <v>-7.6400000000000001E-3</v>
          </cell>
        </row>
        <row r="53">
          <cell r="C53" t="str">
            <v>Biological nutrient removal-5-stage; wastewater treatment unit, solids reduction; at plant; m3 wastewater - US</v>
          </cell>
          <cell r="D53">
            <v>0.24961</v>
          </cell>
        </row>
        <row r="54">
          <cell r="C54" t="str">
            <v>Anaerobic digester; wastewater treatment unit, solids reduction; at plant; m3 wastewater - US</v>
          </cell>
          <cell r="D54">
            <v>3.8580000000000003E-2</v>
          </cell>
        </row>
        <row r="55">
          <cell r="C55" t="str">
            <v>Centrifuge; wastewater treatment unit, solids reduction; at plant; m3 wastewater - US</v>
          </cell>
          <cell r="D55">
            <v>8.6899999999999998E-3</v>
          </cell>
        </row>
        <row r="56">
          <cell r="C56" t="str">
            <v>Chlorination; wastewater treatment unit, solids reduction; at plant; m3 wastewater - US</v>
          </cell>
          <cell r="D56">
            <v>4.9199999999999999E-3</v>
          </cell>
        </row>
        <row r="57">
          <cell r="C57" t="str">
            <v>Filtration, sand filter; wastewater treatment unit, solids reduction; at plant; m3 wastewater - US</v>
          </cell>
          <cell r="D57">
            <v>2.6800000000000001E-3</v>
          </cell>
        </row>
        <row r="58">
          <cell r="C58" t="str">
            <v>Screening and grit removal; wastewater treatment unit, solids reduction; at plant; m3 wastewater - US</v>
          </cell>
          <cell r="D58">
            <v>1.6299999999999999E-3</v>
          </cell>
        </row>
        <row r="59">
          <cell r="C59" t="str">
            <v>Secondary clarifier; wastewater treatment unit, solids reduction; at plant; m3 wastewater - US</v>
          </cell>
          <cell r="D59">
            <v>6.7000000000000002E-4</v>
          </cell>
        </row>
        <row r="60">
          <cell r="C60" t="str">
            <v>Dechlorination; wastewater treatment unit, solids reduction; at plant; m3 wastewater - US</v>
          </cell>
          <cell r="D60">
            <v>4.6000000000000001E-4</v>
          </cell>
        </row>
        <row r="61">
          <cell r="C61" t="str">
            <v>Primary clarifier; wastewater treatment unit, solids reduction; at plant; m3 wastewater - US</v>
          </cell>
          <cell r="D61">
            <v>4.2999999999999999E-4</v>
          </cell>
        </row>
        <row r="62">
          <cell r="C62" t="str">
            <v>Gravity thickener; wastewater treatment unit, solids reduction; at plant; m3 wastewater - US</v>
          </cell>
          <cell r="D62">
            <v>3.6000000000000002E-4</v>
          </cell>
        </row>
        <row r="63">
          <cell r="C63" t="str">
            <v>Fermentation; wastewater treatment unit, solids reduction; at plant; m3 - US</v>
          </cell>
          <cell r="D63">
            <v>4.2999999999999999E-4</v>
          </cell>
        </row>
        <row r="64">
          <cell r="C64" t="str">
            <v>Chemical phosphorus removal; wastewater treatment unit, solids reduction; at plant; m3 wastewater - US</v>
          </cell>
          <cell r="D64">
            <v>1.4999999999999999E-4</v>
          </cell>
        </row>
        <row r="65">
          <cell r="C65" t="str">
            <v>Effluent release; wastewater treatment unit; at surface water; m3 wastewater - US</v>
          </cell>
          <cell r="D65">
            <v>0</v>
          </cell>
        </row>
        <row r="66">
          <cell r="C66" t="str">
            <v>Sludge hauling and landfill; wastewater treatment unit, solids reduction; at plant; m3 wastewater - US</v>
          </cell>
          <cell r="D66">
            <v>-7.6400000000000001E-3</v>
          </cell>
        </row>
        <row r="71">
          <cell r="C71" t="str">
            <v>Biological nutrient removal-4-stage; wastewater treatment unit, solids reduction; at plant; m3 wastewater - US</v>
          </cell>
          <cell r="D71">
            <v>0.26762000000000002</v>
          </cell>
        </row>
        <row r="72">
          <cell r="C72" t="str">
            <v>Anaerobic digester; wastewater treatment unit, solids reduction; at plant; m3 wastewater - US</v>
          </cell>
          <cell r="D72">
            <v>3.773E-2</v>
          </cell>
        </row>
        <row r="73">
          <cell r="C73" t="str">
            <v>Centrifuge; wastewater treatment unit, solids reduction; at plant; m3 wastewater - US</v>
          </cell>
          <cell r="D73">
            <v>8.6899999999999998E-3</v>
          </cell>
        </row>
        <row r="74">
          <cell r="C74" t="str">
            <v>Chlorination; wastewater treatment unit, solids reduction; at plant; m3 wastewater - US</v>
          </cell>
          <cell r="D74">
            <v>4.9199999999999999E-3</v>
          </cell>
        </row>
        <row r="75">
          <cell r="C75" t="str">
            <v>Filtration, sand filter; wastewater treatment unit, solids reduction; at plant; m3 wastewater - US</v>
          </cell>
          <cell r="D75">
            <v>2.6800000000000001E-3</v>
          </cell>
        </row>
        <row r="76">
          <cell r="C76" t="str">
            <v>Screening and grit removal; wastewater treatment unit, solids reduction; at plant; m3 wastewater - US</v>
          </cell>
          <cell r="D76">
            <v>1.6299999999999999E-3</v>
          </cell>
        </row>
        <row r="77">
          <cell r="C77" t="str">
            <v>Secondary clarifier; wastewater treatment unit, solids reduction; at plant; m3 wastewater - US</v>
          </cell>
          <cell r="D77">
            <v>6.7000000000000002E-4</v>
          </cell>
        </row>
        <row r="78">
          <cell r="C78" t="str">
            <v>Dechlorination; wastewater treatment unit, solids reduction; at plant; m3 wastewater - US</v>
          </cell>
          <cell r="D78">
            <v>4.6000000000000001E-4</v>
          </cell>
        </row>
        <row r="79">
          <cell r="C79" t="str">
            <v>Primary clarifier; wastewater treatment unit, solids reduction; at plant; m3 wastewater - US</v>
          </cell>
          <cell r="D79">
            <v>4.4000000000000002E-4</v>
          </cell>
        </row>
        <row r="80">
          <cell r="C80" t="str">
            <v>Fermentation; wastewater treatment unit, solids reduction; at plant; m3 - US</v>
          </cell>
          <cell r="D80">
            <v>4.2999999999999999E-4</v>
          </cell>
        </row>
        <row r="81">
          <cell r="C81" t="str">
            <v>Gravity thickener; wastewater treatment unit, solids reduction; at plant; m3 wastewater - US</v>
          </cell>
          <cell r="D81">
            <v>3.6000000000000002E-4</v>
          </cell>
        </row>
        <row r="82">
          <cell r="C82" t="str">
            <v>Chemical phosphorus removal; wastewater treatment unit, solids reduction; at plant; m3 wastewater - US</v>
          </cell>
          <cell r="D82">
            <v>1.4999999999999999E-4</v>
          </cell>
        </row>
        <row r="83">
          <cell r="C83" t="str">
            <v>Effluent release; wastewater treatment unit; at surface water; m3 wastewater - US</v>
          </cell>
          <cell r="D83">
            <v>0</v>
          </cell>
        </row>
        <row r="84">
          <cell r="C84" t="str">
            <v>Sludge hauling and landfill; wastewater treatment unit, solids reduction; at plant; m3 wastewater - US</v>
          </cell>
          <cell r="D84">
            <v>-7.6400000000000001E-3</v>
          </cell>
        </row>
        <row r="89">
          <cell r="C89" t="str">
            <v>Biological nutrient removal-5-stage; wastewater treatment unit, solids reduction; at plant; m3 wastewater - US</v>
          </cell>
          <cell r="D89">
            <v>0.24962000000000001</v>
          </cell>
        </row>
        <row r="90">
          <cell r="C90" t="str">
            <v>Denitrification, attached growth; wastewater treatment unit, solids reduction; at plant; m3 wastewater - US</v>
          </cell>
          <cell r="D90">
            <v>6.1240000000000003E-2</v>
          </cell>
        </row>
        <row r="91">
          <cell r="C91" t="str">
            <v>Anaerobic digester; wastewater treatment unit, solids reduction; at plant; m3 wastewater - US</v>
          </cell>
          <cell r="D91">
            <v>3.7749999999999999E-2</v>
          </cell>
        </row>
        <row r="92">
          <cell r="C92" t="str">
            <v>Centrifuge; wastewater treatment unit, solids reduction; at plant; m3 wastewater - US</v>
          </cell>
          <cell r="D92">
            <v>8.7600000000000004E-3</v>
          </cell>
        </row>
        <row r="93">
          <cell r="C93" t="str">
            <v>Chlorination; wastewater treatment unit, solids reduction; at plant; m3 wastewater - US</v>
          </cell>
          <cell r="D93">
            <v>4.9199999999999999E-3</v>
          </cell>
        </row>
        <row r="94">
          <cell r="C94" t="str">
            <v>Filtration, sand filter; wastewater treatment unit, solids reduction; at plant; m3 wastewater - US</v>
          </cell>
          <cell r="D94">
            <v>2.6800000000000001E-3</v>
          </cell>
        </row>
        <row r="95">
          <cell r="C95" t="str">
            <v>Screening and grit removal; wastewater treatment unit, solids reduction; at plant; m3 wastewater - US</v>
          </cell>
          <cell r="D95">
            <v>1.6299999999999999E-3</v>
          </cell>
        </row>
        <row r="96">
          <cell r="C96" t="str">
            <v>Secondary clarifier; wastewater treatment unit, solids reduction; at plant; m3 wastewater - US</v>
          </cell>
          <cell r="D96">
            <v>6.7000000000000002E-4</v>
          </cell>
        </row>
        <row r="97">
          <cell r="C97" t="str">
            <v>Dechlorination; wastewater treatment unit, solids reduction; at plant; m3 wastewater - US</v>
          </cell>
          <cell r="D97">
            <v>4.6000000000000001E-4</v>
          </cell>
        </row>
        <row r="98">
          <cell r="C98" t="str">
            <v>Chemical phosphorus removal; wastewater treatment unit, solids reduction; at plant; m3 wastewater - US</v>
          </cell>
          <cell r="D98">
            <v>4.4000000000000002E-4</v>
          </cell>
        </row>
        <row r="99">
          <cell r="C99" t="str">
            <v>Primary clarifier; wastewater treatment unit, solids reduction; at plant; m3 wastewater - US</v>
          </cell>
          <cell r="D99">
            <v>4.4000000000000002E-4</v>
          </cell>
        </row>
        <row r="100">
          <cell r="C100" t="str">
            <v>Gravity thickener; wastewater treatment unit, solids reduction; at plant; m3 wastewater - US</v>
          </cell>
          <cell r="D100">
            <v>3.6000000000000002E-4</v>
          </cell>
        </row>
        <row r="101">
          <cell r="C101" t="str">
            <v>Fermentation; wastewater treatment unit, solids reduction; at plant; m3 - US</v>
          </cell>
          <cell r="D101">
            <v>4.2999999999999999E-4</v>
          </cell>
        </row>
        <row r="102">
          <cell r="C102" t="str">
            <v>Effluent release; wastewater treatment unit; at surface water; m3 wastewater - US</v>
          </cell>
          <cell r="D102">
            <v>0</v>
          </cell>
        </row>
        <row r="103">
          <cell r="C103" t="str">
            <v>Sludge hauling and landfill; wastewater treatment unit, solids reduction; at plant; m3 wastewater - US</v>
          </cell>
          <cell r="D103">
            <v>-7.6400000000000001E-3</v>
          </cell>
        </row>
        <row r="108">
          <cell r="C108" t="str">
            <v>Biological nutrient removal-4-stage; wastewater treatment unit, solids reduction; at plant; m3 wastewater - US</v>
          </cell>
          <cell r="D108">
            <v>0.16952999999999999</v>
          </cell>
        </row>
        <row r="109">
          <cell r="C109" t="str">
            <v>Membrane filter; wastewater treatment unit, solids reduction; at plant; m3 wastewater - US</v>
          </cell>
          <cell r="D109">
            <v>8.6669999999999997E-2</v>
          </cell>
        </row>
        <row r="110">
          <cell r="C110" t="str">
            <v>Anaerobic digester; wastewater treatment unit, solids reduction; at plant; m3 wastewater - US</v>
          </cell>
          <cell r="D110">
            <v>3.8710000000000001E-2</v>
          </cell>
        </row>
        <row r="111">
          <cell r="C111" t="str">
            <v>Centrifuge; wastewater treatment unit, solids reduction; at plant; m3 wastewater - US</v>
          </cell>
          <cell r="D111">
            <v>8.8000000000000005E-3</v>
          </cell>
        </row>
        <row r="112">
          <cell r="C112" t="str">
            <v>Chlorination; wastewater treatment unit, solids reduction; at plant; m3 wastewater - US</v>
          </cell>
          <cell r="D112">
            <v>4.9199999999999999E-3</v>
          </cell>
        </row>
        <row r="113">
          <cell r="C113" t="str">
            <v>Screening and grit removal; wastewater treatment unit, solids reduction; at plant; m3 wastewater - US</v>
          </cell>
          <cell r="D113">
            <v>1.6299999999999999E-3</v>
          </cell>
        </row>
        <row r="114">
          <cell r="C114" t="str">
            <v>Dechlorination; wastewater treatment unit, solids reduction; at plant; m3 wastewater - US</v>
          </cell>
          <cell r="D114">
            <v>4.6000000000000001E-4</v>
          </cell>
        </row>
        <row r="115">
          <cell r="C115" t="str">
            <v>Primary clarifier; wastewater treatment unit, solids reduction; at plant; m3 wastewater - US</v>
          </cell>
          <cell r="D115">
            <v>4.4000000000000002E-4</v>
          </cell>
        </row>
        <row r="116">
          <cell r="C116" t="str">
            <v>Gravity thickener; wastewater treatment unit, solids reduction; at plant; m3 wastewater - US</v>
          </cell>
          <cell r="D116">
            <v>3.6000000000000002E-4</v>
          </cell>
        </row>
        <row r="117">
          <cell r="C117" t="str">
            <v>Chemical phosphorus removal; wastewater treatment unit, solids reduction; at plant; m3 wastewater - US</v>
          </cell>
          <cell r="D117">
            <v>7.6157399999999997E-5</v>
          </cell>
        </row>
        <row r="118">
          <cell r="C118" t="str">
            <v>Effluent release; wastewater treatment unit; at surface water; m3 wastewater - US</v>
          </cell>
          <cell r="D118">
            <v>0</v>
          </cell>
        </row>
        <row r="119">
          <cell r="C119" t="str">
            <v>Sludge hauling and landfill; wastewater treatment unit, solids reduction; at plant; m3 wastewater - US</v>
          </cell>
          <cell r="D119">
            <v>-5.5100000000000001E-3</v>
          </cell>
        </row>
        <row r="124">
          <cell r="C124" t="str">
            <v>Biological nutrient removal-5-stage; wastewater treatment unit, solids reduction; at plant; m3 wastewater - US</v>
          </cell>
          <cell r="D124">
            <v>0.27746999999999999</v>
          </cell>
        </row>
        <row r="125">
          <cell r="C125" t="str">
            <v>Reverse osmosis; wastewater treatment unit, solids reduction; at plant; m3 wastewater - US</v>
          </cell>
          <cell r="D125">
            <v>0.22352</v>
          </cell>
        </row>
        <row r="126">
          <cell r="C126" t="str">
            <v>Underground injection of brine; wastewater treatment unit, solids reduction; at injection site; m3 wastewater - US</v>
          </cell>
          <cell r="D126">
            <v>0.15914</v>
          </cell>
        </row>
        <row r="127">
          <cell r="C127" t="str">
            <v>Ultrafilter; wastewater treatment unit, solids reduction; at plant; m3 wastewater - US</v>
          </cell>
          <cell r="D127">
            <v>8.2460000000000006E-2</v>
          </cell>
        </row>
        <row r="128">
          <cell r="C128" t="str">
            <v>Anaerobic digester; wastewater treatment unit, solids reduction; at plant; m3 wastewater - US</v>
          </cell>
          <cell r="D128">
            <v>3.7749999999999999E-2</v>
          </cell>
        </row>
        <row r="129">
          <cell r="C129" t="str">
            <v>Centrifuge; wastewater treatment unit, solids reduction; at plant; m3 wastewater - US</v>
          </cell>
          <cell r="D129">
            <v>8.7600000000000004E-3</v>
          </cell>
        </row>
        <row r="130">
          <cell r="C130" t="str">
            <v>Denitrification, attached growth; wastewater treatment unit, solids reduction; at plant; m3 wastewater - US</v>
          </cell>
          <cell r="D130">
            <v>7.1399999999999996E-3</v>
          </cell>
        </row>
        <row r="131">
          <cell r="C131" t="str">
            <v>Chlorination; wastewater treatment unit, solids reduction; at plant; m3 wastewater - US</v>
          </cell>
          <cell r="D131">
            <v>4.6100000000000004E-3</v>
          </cell>
        </row>
        <row r="132">
          <cell r="C132" t="str">
            <v>Filtration, sand filter; wastewater treatment unit, solids reduction; at plant; m3 wastewater - US</v>
          </cell>
          <cell r="D132">
            <v>2.6800000000000001E-3</v>
          </cell>
        </row>
        <row r="133">
          <cell r="C133" t="str">
            <v>Screening and grit removal; wastewater treatment unit, solids reduction; at plant; m3 wastewater - US</v>
          </cell>
          <cell r="D133">
            <v>1.6299999999999999E-3</v>
          </cell>
        </row>
        <row r="134">
          <cell r="C134" t="str">
            <v>Secondary clarifier; wastewater treatment unit, solids reduction; at plant; m3 wastewater - US</v>
          </cell>
          <cell r="D134">
            <v>6.7000000000000002E-4</v>
          </cell>
        </row>
        <row r="135">
          <cell r="C135" t="str">
            <v>Dechlorination; wastewater treatment unit, solids reduction; at plant; m3 wastewater - US</v>
          </cell>
          <cell r="D135">
            <v>4.6000000000000001E-4</v>
          </cell>
        </row>
        <row r="136">
          <cell r="C136" t="str">
            <v>Primary clarifier; wastewater treatment unit, solids reduction; at plant; m3 wastewater - US</v>
          </cell>
          <cell r="D136">
            <v>4.4000000000000002E-4</v>
          </cell>
        </row>
        <row r="137">
          <cell r="C137" t="str">
            <v>Gravity thickener; wastewater treatment unit, solids reduction; at plant; m3 wastewater - US</v>
          </cell>
          <cell r="D137">
            <v>3.6000000000000002E-4</v>
          </cell>
        </row>
        <row r="138">
          <cell r="C138" t="str">
            <v>Fermentation; wastewater treatment unit, solids reduction; at plant; m3 - US</v>
          </cell>
          <cell r="D138">
            <v>4.2999999999999999E-4</v>
          </cell>
        </row>
        <row r="139">
          <cell r="C139" t="str">
            <v>Chemical phosphorus removal; wastewater treatment unit, solids reduction; at plant; m3 wastewater - US</v>
          </cell>
          <cell r="D139">
            <v>1.4999999999999999E-4</v>
          </cell>
        </row>
        <row r="140">
          <cell r="C140" t="str">
            <v>Effluent release; wastewater treatment unit; at surface water; m3 wastewater - US</v>
          </cell>
          <cell r="D140">
            <v>0</v>
          </cell>
        </row>
        <row r="141">
          <cell r="C141" t="str">
            <v>Sludge hauling and landfill; wastewater treatment unit, solids reduction; at plant; m3 wastewater - US</v>
          </cell>
          <cell r="D141">
            <v>-5.2500000000000003E-3</v>
          </cell>
        </row>
        <row r="146">
          <cell r="C146" t="str">
            <v>Reverse osmosis; wastewater treatment unit, solids reduction; at plant; m3 wastewater - US</v>
          </cell>
          <cell r="D146">
            <v>0.21113000000000001</v>
          </cell>
        </row>
        <row r="147">
          <cell r="C147" t="str">
            <v>Biological nutrient removal-5-stage; wastewater treatment unit, solids reduction; at plant; m3 wastewater - US</v>
          </cell>
          <cell r="D147">
            <v>0.19667000000000001</v>
          </cell>
        </row>
        <row r="148">
          <cell r="C148" t="str">
            <v>Underground injection of brine; wastewater treatment unit, solids reduction; at injection site; m3 wastewater - US</v>
          </cell>
          <cell r="D148">
            <v>0.15914</v>
          </cell>
        </row>
        <row r="149">
          <cell r="C149" t="str">
            <v>Membrane filter; wastewater treatment unit, solids reduction; at plant; m3 wastewater - US</v>
          </cell>
          <cell r="D149">
            <v>8.6679999999999993E-2</v>
          </cell>
        </row>
        <row r="150">
          <cell r="C150" t="str">
            <v>Anaerobic digester; wastewater treatment unit, solids reduction; at plant; m3 wastewater - US</v>
          </cell>
          <cell r="D150">
            <v>3.6490000000000002E-2</v>
          </cell>
        </row>
        <row r="151">
          <cell r="C151" t="str">
            <v>Centrifuge; wastewater treatment unit, solids reduction; at plant; m3 wastewater - US</v>
          </cell>
          <cell r="D151">
            <v>8.5100000000000002E-3</v>
          </cell>
        </row>
        <row r="152">
          <cell r="C152" t="str">
            <v>Chlorination; wastewater treatment unit, solids reduction; at plant; m3 wastewater - US</v>
          </cell>
          <cell r="D152">
            <v>4.62E-3</v>
          </cell>
        </row>
        <row r="153">
          <cell r="C153" t="str">
            <v>Screening and grit removal; wastewater treatment unit, solids reduction; at plant; m3 wastewater - US</v>
          </cell>
          <cell r="D153">
            <v>1.6299999999999999E-3</v>
          </cell>
        </row>
        <row r="154">
          <cell r="C154" t="str">
            <v>Dechlorination; wastewater treatment unit, solids reduction; at plant; m3 wastewater - US</v>
          </cell>
          <cell r="D154">
            <v>4.6000000000000001E-4</v>
          </cell>
        </row>
        <row r="155">
          <cell r="C155" t="str">
            <v>Primary clarifier; wastewater treatment unit, solids reduction; at plant; m3 wastewater - US</v>
          </cell>
          <cell r="D155">
            <v>4.4000000000000002E-4</v>
          </cell>
        </row>
        <row r="156">
          <cell r="C156" t="str">
            <v>Gravity thickener; wastewater treatment unit, solids reduction; at plant; m3 wastewater - US</v>
          </cell>
          <cell r="D156">
            <v>3.5E-4</v>
          </cell>
        </row>
        <row r="157">
          <cell r="C157" t="str">
            <v>Fermentation; wastewater treatment unit, solids reduction; at plant; m3 - US</v>
          </cell>
          <cell r="D157">
            <v>2.9E-4</v>
          </cell>
        </row>
        <row r="158">
          <cell r="C158" t="str">
            <v>Chemical phosphorus removal; wastewater treatment unit, solids reduction; at plant; m3 wastewater - US</v>
          </cell>
          <cell r="D158">
            <v>8.9596899999999993E-6</v>
          </cell>
        </row>
        <row r="159">
          <cell r="C159" t="str">
            <v>Effluent release; wastewater treatment unit; at surface water; m3 wastewater - US</v>
          </cell>
          <cell r="D159">
            <v>0</v>
          </cell>
        </row>
        <row r="160">
          <cell r="C160" t="str">
            <v>Sludge hauling and landfill; wastewater treatment unit, solids reduction; at plant; m3 wastewater - US</v>
          </cell>
          <cell r="D160">
            <v>-5.0400000000000002E-3</v>
          </cell>
        </row>
      </sheetData>
      <sheetData sheetId="23">
        <row r="5">
          <cell r="C5" t="str">
            <v>Activated sludge; wastewater treatment unit, solids reduction; at plant; m3 wastewater - US</v>
          </cell>
          <cell r="D5">
            <v>1.01E-3</v>
          </cell>
        </row>
        <row r="6">
          <cell r="C6" t="str">
            <v>Anaerobic digester; wastewater treatment unit, solids reduction; at plant; m3 wastewater - US</v>
          </cell>
          <cell r="D6">
            <v>1.8000000000000001E-4</v>
          </cell>
        </row>
        <row r="7">
          <cell r="C7" t="str">
            <v>Centrifuge; wastewater treatment unit, solids reduction; at plant; m3 wastewater - US</v>
          </cell>
          <cell r="D7">
            <v>1.2E-4</v>
          </cell>
        </row>
        <row r="8">
          <cell r="C8" t="str">
            <v>Chlorination; wastewater treatment unit, solids reduction; at plant; m3 wastewater - US</v>
          </cell>
          <cell r="D8">
            <v>7.2097500000000006E-5</v>
          </cell>
        </row>
        <row r="9">
          <cell r="C9" t="str">
            <v>Screening and grit removal; wastewater treatment unit, solids reduction; at plant; m3 wastewater - US</v>
          </cell>
          <cell r="D9">
            <v>2.36368E-5</v>
          </cell>
        </row>
        <row r="10">
          <cell r="C10" t="str">
            <v>Secondary clarifier; wastewater treatment unit, solids reduction; at plant; m3 wastewater - US</v>
          </cell>
          <cell r="D10">
            <v>9.3235600000000006E-6</v>
          </cell>
        </row>
        <row r="11">
          <cell r="C11" t="str">
            <v>Primary clarifier; wastewater treatment unit, solids reduction; at plant; m3 wastewater - US</v>
          </cell>
          <cell r="D11">
            <v>6.1668199999999997E-6</v>
          </cell>
        </row>
        <row r="12">
          <cell r="C12" t="str">
            <v>Gravity thickener; wastewater treatment unit, solids reduction; at plant; m3 wastewater - US</v>
          </cell>
          <cell r="D12">
            <v>5.2424199999999997E-6</v>
          </cell>
        </row>
        <row r="13">
          <cell r="C13" t="str">
            <v>Dechlorination; wastewater treatment unit, solids reduction; at plant; m3 wastewater - US</v>
          </cell>
          <cell r="D13">
            <v>3.7074700000000001E-6</v>
          </cell>
        </row>
        <row r="14">
          <cell r="C14" t="str">
            <v>Effluent release; wastewater treatment unit; at surface water; m3 wastewater - US</v>
          </cell>
          <cell r="D14">
            <v>0</v>
          </cell>
        </row>
        <row r="19">
          <cell r="C19" t="str">
            <v>Biological nutrient removal-3-stage; wastewater treatment unit, solids reduction; at plant; m3 wastewater - US</v>
          </cell>
          <cell r="D19">
            <v>2.98E-3</v>
          </cell>
        </row>
        <row r="20">
          <cell r="C20" t="str">
            <v>Anaerobic digester; wastewater treatment unit, solids reduction; at plant; m3 wastewater - US</v>
          </cell>
          <cell r="D20">
            <v>1.4999999999999999E-4</v>
          </cell>
        </row>
        <row r="21">
          <cell r="C21" t="str">
            <v>Centrifuge; wastewater treatment unit, solids reduction; at plant; m3 wastewater - US</v>
          </cell>
          <cell r="D21">
            <v>1.1E-4</v>
          </cell>
        </row>
        <row r="22">
          <cell r="C22" t="str">
            <v>Chlorination; wastewater treatment unit, solids reduction; at plant; m3 wastewater - US</v>
          </cell>
          <cell r="D22">
            <v>7.1096899999999993E-5</v>
          </cell>
        </row>
        <row r="23">
          <cell r="C23" t="str">
            <v>Screening and grit removal; wastewater treatment unit, solids reduction; at plant; m3 wastewater - US</v>
          </cell>
          <cell r="D23">
            <v>2.3586399999999998E-5</v>
          </cell>
        </row>
        <row r="24">
          <cell r="C24" t="str">
            <v>Secondary clarifier; wastewater treatment unit, solids reduction; at plant; m3 wastewater - US</v>
          </cell>
          <cell r="D24">
            <v>8.4415399999999998E-6</v>
          </cell>
        </row>
        <row r="25">
          <cell r="C25" t="str">
            <v>Primary clarifier; wastewater treatment unit, solids reduction; at plant; m3 wastewater - US</v>
          </cell>
          <cell r="D25">
            <v>6.1244299999999997E-6</v>
          </cell>
        </row>
        <row r="26">
          <cell r="C26" t="str">
            <v>Gravity thickener; wastewater treatment unit, solids reduction; at plant; m3 wastewater - US</v>
          </cell>
          <cell r="D26">
            <v>4.9554099999999999E-6</v>
          </cell>
        </row>
        <row r="27">
          <cell r="C27" t="str">
            <v>Dechlorination; wastewater treatment unit, solids reduction; at plant; m3 wastewater - US</v>
          </cell>
          <cell r="D27">
            <v>3.7074700000000001E-6</v>
          </cell>
        </row>
        <row r="28">
          <cell r="C28" t="str">
            <v>Effluent release; wastewater treatment unit; at surface water; m3 wastewater - US</v>
          </cell>
          <cell r="D28">
            <v>0</v>
          </cell>
        </row>
        <row r="33">
          <cell r="C33" t="str">
            <v>Nitrification, suspended growth; wastewater treatment unit, solids reduction; at plant; m3 wastewater - US</v>
          </cell>
          <cell r="D33">
            <v>1.1000000000000001E-3</v>
          </cell>
        </row>
        <row r="34">
          <cell r="C34" t="str">
            <v>Activated sludge; wastewater treatment unit, solids reduction; at plant; m3 wastewater - US</v>
          </cell>
          <cell r="D34">
            <v>1.01E-3</v>
          </cell>
        </row>
        <row r="35">
          <cell r="C35" t="str">
            <v>Denitrification, suspended growth; wastewater treatment unit, solids reduction; at plant; m3 wastewater - US</v>
          </cell>
          <cell r="D35">
            <v>8.3000000000000001E-4</v>
          </cell>
        </row>
        <row r="36">
          <cell r="C36" t="str">
            <v>Anaerobic digester; wastewater treatment unit, solids reduction; at plant; m3 wastewater - US</v>
          </cell>
          <cell r="D36">
            <v>2.2000000000000001E-4</v>
          </cell>
        </row>
        <row r="37">
          <cell r="C37" t="str">
            <v>Centrifuge; wastewater treatment unit, solids reduction; at plant; m3 wastewater - US</v>
          </cell>
          <cell r="D37">
            <v>1.8000000000000001E-4</v>
          </cell>
        </row>
        <row r="38">
          <cell r="C38" t="str">
            <v>Chlorination; wastewater treatment unit, solids reduction; at plant; m3 wastewater - US</v>
          </cell>
          <cell r="D38">
            <v>7.1090899999999994E-5</v>
          </cell>
        </row>
        <row r="39">
          <cell r="C39" t="str">
            <v>Chemical phosphorus removal; wastewater treatment unit, solids reduction; at plant; m3 wastewater - US</v>
          </cell>
          <cell r="D39">
            <v>6.5692700000000002E-5</v>
          </cell>
        </row>
        <row r="40">
          <cell r="C40" t="str">
            <v>Screening and grit removal; wastewater treatment unit, solids reduction; at plant; m3 wastewater - US</v>
          </cell>
          <cell r="D40">
            <v>2.3788E-5</v>
          </cell>
        </row>
        <row r="41">
          <cell r="C41" t="str">
            <v>Secondary clarifier; wastewater treatment unit, solids reduction; at plant; m3 wastewater - US</v>
          </cell>
          <cell r="D41">
            <v>9.57051E-6</v>
          </cell>
        </row>
        <row r="42">
          <cell r="C42" t="str">
            <v>Tertiary clarification, denitrification; wastewater treatment unit, solids reduction; at plant; m3 wastewater - US</v>
          </cell>
          <cell r="D42">
            <v>7.4637600000000002E-6</v>
          </cell>
        </row>
        <row r="43">
          <cell r="C43" t="str">
            <v>Primary clarifier; wastewater treatment unit, solids reduction; at plant; m3 wastewater - US</v>
          </cell>
          <cell r="D43">
            <v>6.2928199999999998E-6</v>
          </cell>
        </row>
        <row r="44">
          <cell r="C44" t="str">
            <v>Tertiary clarification, nitrification; wastewater treatment unit, solids reduction; at plant; m3 wastewater - US</v>
          </cell>
          <cell r="D44">
            <v>6.2117600000000001E-6</v>
          </cell>
        </row>
        <row r="45">
          <cell r="C45" t="str">
            <v>Gravity thickener; wastewater treatment unit, solids reduction; at plant; m3 wastewater - US</v>
          </cell>
          <cell r="D45">
            <v>5.7059099999999997E-6</v>
          </cell>
        </row>
        <row r="46">
          <cell r="C46" t="str">
            <v>Dechlorination; wastewater treatment unit, solids reduction; at plant; m3 wastewater - US</v>
          </cell>
          <cell r="D46">
            <v>3.7074700000000001E-6</v>
          </cell>
        </row>
        <row r="47">
          <cell r="C47" t="str">
            <v>Effluent release; wastewater treatment unit; at surface water; m3 wastewater - US</v>
          </cell>
          <cell r="D47">
            <v>0</v>
          </cell>
        </row>
        <row r="48">
          <cell r="C48" t="str">
            <v>Sludge hauling and landfill; wastewater treatment unit, solids reduction; at plant; m3 wastewater - US</v>
          </cell>
          <cell r="D48">
            <v>-1.3999999999999999E-4</v>
          </cell>
        </row>
        <row r="53">
          <cell r="C53" t="str">
            <v>Biological nutrient removal-5-stage; wastewater treatment unit, solids reduction; at plant; m3 wastewater - US</v>
          </cell>
          <cell r="D53">
            <v>3.6099999999999999E-3</v>
          </cell>
        </row>
        <row r="54">
          <cell r="C54" t="str">
            <v>Anaerobic digester; wastewater treatment unit, solids reduction; at plant; m3 wastewater - US</v>
          </cell>
          <cell r="D54">
            <v>1.7000000000000001E-4</v>
          </cell>
        </row>
        <row r="55">
          <cell r="C55" t="str">
            <v>Centrifuge; wastewater treatment unit, solids reduction; at plant; m3 wastewater - US</v>
          </cell>
          <cell r="D55">
            <v>1.2999999999999999E-4</v>
          </cell>
        </row>
        <row r="56">
          <cell r="C56" t="str">
            <v>Chlorination; wastewater treatment unit, solids reduction; at plant; m3 wastewater - US</v>
          </cell>
          <cell r="D56">
            <v>7.0104499999999999E-5</v>
          </cell>
        </row>
        <row r="57">
          <cell r="C57" t="str">
            <v>Filtration, sand filter; wastewater treatment unit, solids reduction; at plant; m3 wastewater - US</v>
          </cell>
          <cell r="D57">
            <v>3.8726200000000002E-5</v>
          </cell>
        </row>
        <row r="58">
          <cell r="C58" t="str">
            <v>Screening and grit removal; wastewater treatment unit, solids reduction; at plant; m3 wastewater - US</v>
          </cell>
          <cell r="D58">
            <v>2.36368E-5</v>
          </cell>
        </row>
        <row r="59">
          <cell r="C59" t="str">
            <v>Secondary clarifier; wastewater treatment unit, solids reduction; at plant; m3 wastewater - US</v>
          </cell>
          <cell r="D59">
            <v>9.4394699999999996E-6</v>
          </cell>
        </row>
        <row r="60">
          <cell r="C60" t="str">
            <v>Primary clarifier; wastewater treatment unit, solids reduction; at plant; m3 wastewater - US</v>
          </cell>
          <cell r="D60">
            <v>6.1093199999999998E-6</v>
          </cell>
        </row>
        <row r="61">
          <cell r="C61" t="str">
            <v>Gravity thickener; wastewater treatment unit, solids reduction; at plant; m3 wastewater - US</v>
          </cell>
          <cell r="D61">
            <v>5.1391499999999997E-6</v>
          </cell>
        </row>
        <row r="62">
          <cell r="C62" t="str">
            <v>Fermentation; wastewater treatment unit, solids reduction; at plant; m3 - US</v>
          </cell>
          <cell r="D62">
            <v>6.23549E-6</v>
          </cell>
        </row>
        <row r="63">
          <cell r="C63" t="str">
            <v>Dechlorination; wastewater treatment unit, solids reduction; at plant; m3 wastewater - US</v>
          </cell>
          <cell r="D63">
            <v>3.7074700000000001E-6</v>
          </cell>
        </row>
        <row r="64">
          <cell r="C64" t="str">
            <v>Chemical phosphorus removal; wastewater treatment unit, solids reduction; at plant; m3 wastewater - US</v>
          </cell>
          <cell r="D64">
            <v>3.2846299999999998E-6</v>
          </cell>
        </row>
        <row r="65">
          <cell r="C65" t="str">
            <v>Effluent release; wastewater treatment unit; at surface water; m3 wastewater - US</v>
          </cell>
          <cell r="D65">
            <v>0</v>
          </cell>
        </row>
        <row r="66">
          <cell r="C66" t="str">
            <v>Sludge hauling and landfill; wastewater treatment unit, solids reduction; at plant; m3 wastewater - US</v>
          </cell>
          <cell r="D66">
            <v>-1.3999999999999999E-4</v>
          </cell>
        </row>
        <row r="71">
          <cell r="C71" t="str">
            <v>Biological nutrient removal-4-stage; wastewater treatment unit, solids reduction; at plant; m3 wastewater - US</v>
          </cell>
          <cell r="D71">
            <v>3.8700000000000002E-3</v>
          </cell>
        </row>
        <row r="72">
          <cell r="C72" t="str">
            <v>Anaerobic digester; wastewater treatment unit, solids reduction; at plant; m3 wastewater - US</v>
          </cell>
          <cell r="D72">
            <v>1.6000000000000001E-4</v>
          </cell>
        </row>
        <row r="73">
          <cell r="C73" t="str">
            <v>Centrifuge; wastewater treatment unit, solids reduction; at plant; m3 wastewater - US</v>
          </cell>
          <cell r="D73">
            <v>1.2999999999999999E-4</v>
          </cell>
        </row>
        <row r="74">
          <cell r="C74" t="str">
            <v>Chlorination; wastewater treatment unit, solids reduction; at plant; m3 wastewater - US</v>
          </cell>
          <cell r="D74">
            <v>7.0104499999999999E-5</v>
          </cell>
        </row>
        <row r="75">
          <cell r="C75" t="str">
            <v>Filtration, sand filter; wastewater treatment unit, solids reduction; at plant; m3 wastewater - US</v>
          </cell>
          <cell r="D75">
            <v>3.8726200000000002E-5</v>
          </cell>
        </row>
        <row r="76">
          <cell r="C76" t="str">
            <v>Screening and grit removal; wastewater treatment unit, solids reduction; at plant; m3 wastewater - US</v>
          </cell>
          <cell r="D76">
            <v>2.36368E-5</v>
          </cell>
        </row>
        <row r="77">
          <cell r="C77" t="str">
            <v>Secondary clarifier; wastewater treatment unit, solids reduction; at plant; m3 wastewater - US</v>
          </cell>
          <cell r="D77">
            <v>9.4419899999999997E-6</v>
          </cell>
        </row>
        <row r="78">
          <cell r="C78" t="str">
            <v>Fermentation; wastewater treatment unit, solids reduction; at plant; m3 - US</v>
          </cell>
          <cell r="D78">
            <v>6.23549E-6</v>
          </cell>
        </row>
        <row r="79">
          <cell r="C79" t="str">
            <v>Primary clarifier; wastewater treatment unit, solids reduction; at plant; m3 wastewater - US</v>
          </cell>
          <cell r="D79">
            <v>6.1496299999999999E-6</v>
          </cell>
        </row>
        <row r="80">
          <cell r="C80" t="str">
            <v>Gravity thickener; wastewater treatment unit, solids reduction; at plant; m3 wastewater - US</v>
          </cell>
          <cell r="D80">
            <v>5.1391499999999997E-6</v>
          </cell>
        </row>
        <row r="81">
          <cell r="C81" t="str">
            <v>Dechlorination; wastewater treatment unit, solids reduction; at plant; m3 wastewater - US</v>
          </cell>
          <cell r="D81">
            <v>3.7074700000000001E-6</v>
          </cell>
        </row>
        <row r="82">
          <cell r="C82" t="str">
            <v>Chemical phosphorus removal; wastewater treatment unit, solids reduction; at plant; m3 wastewater - US</v>
          </cell>
          <cell r="D82">
            <v>3.2846299999999998E-6</v>
          </cell>
        </row>
        <row r="83">
          <cell r="C83" t="str">
            <v>Effluent release; wastewater treatment unit; at surface water; m3 wastewater - US</v>
          </cell>
          <cell r="D83">
            <v>0</v>
          </cell>
        </row>
        <row r="84">
          <cell r="C84" t="str">
            <v>Sludge hauling and landfill; wastewater treatment unit, solids reduction; at plant; m3 wastewater - US</v>
          </cell>
          <cell r="D84">
            <v>-1.3999999999999999E-4</v>
          </cell>
        </row>
        <row r="89">
          <cell r="C89" t="str">
            <v>Biological nutrient removal-5-stage; wastewater treatment unit, solids reduction; at plant; m3 wastewater - US</v>
          </cell>
          <cell r="D89">
            <v>3.6099999999999999E-3</v>
          </cell>
        </row>
        <row r="90">
          <cell r="C90" t="str">
            <v>Denitrification, attached growth; wastewater treatment unit, solids reduction; at plant; m3 wastewater - US</v>
          </cell>
          <cell r="D90">
            <v>8.8000000000000003E-4</v>
          </cell>
        </row>
        <row r="91">
          <cell r="C91" t="str">
            <v>Anaerobic digester; wastewater treatment unit, solids reduction; at plant; m3 wastewater - US</v>
          </cell>
          <cell r="D91">
            <v>1.6000000000000001E-4</v>
          </cell>
        </row>
        <row r="92">
          <cell r="C92" t="str">
            <v>Centrifuge; wastewater treatment unit, solids reduction; at plant; m3 wastewater - US</v>
          </cell>
          <cell r="D92">
            <v>1.2999999999999999E-4</v>
          </cell>
        </row>
        <row r="93">
          <cell r="C93" t="str">
            <v>Chlorination; wastewater treatment unit, solids reduction; at plant; m3 wastewater - US</v>
          </cell>
          <cell r="D93">
            <v>7.0104499999999999E-5</v>
          </cell>
        </row>
        <row r="94">
          <cell r="C94" t="str">
            <v>Filtration, sand filter; wastewater treatment unit, solids reduction; at plant; m3 wastewater - US</v>
          </cell>
          <cell r="D94">
            <v>3.8726200000000002E-5</v>
          </cell>
        </row>
        <row r="95">
          <cell r="C95" t="str">
            <v>Screening and grit removal; wastewater treatment unit, solids reduction; at plant; m3 wastewater - US</v>
          </cell>
          <cell r="D95">
            <v>2.36368E-5</v>
          </cell>
        </row>
        <row r="96">
          <cell r="C96" t="str">
            <v>Chemical phosphorus removal; wastewater treatment unit, solids reduction; at plant; m3 wastewater - US</v>
          </cell>
          <cell r="D96">
            <v>9.8757999999999995E-6</v>
          </cell>
        </row>
        <row r="97">
          <cell r="C97" t="str">
            <v>Secondary clarifier; wastewater treatment unit, solids reduction; at plant; m3 wastewater - US</v>
          </cell>
          <cell r="D97">
            <v>9.4646700000000006E-6</v>
          </cell>
        </row>
        <row r="98">
          <cell r="C98" t="str">
            <v>Primary clarifier; wastewater treatment unit, solids reduction; at plant; m3 wastewater - US</v>
          </cell>
          <cell r="D98">
            <v>6.1567400000000001E-6</v>
          </cell>
        </row>
        <row r="99">
          <cell r="C99" t="str">
            <v>Gravity thickener; wastewater treatment unit, solids reduction; at plant; m3 wastewater - US</v>
          </cell>
          <cell r="D99">
            <v>5.1391499999999997E-6</v>
          </cell>
        </row>
        <row r="100">
          <cell r="C100" t="str">
            <v>Fermentation; wastewater treatment unit, solids reduction; at plant; m3 - US</v>
          </cell>
          <cell r="D100">
            <v>6.23549E-6</v>
          </cell>
        </row>
        <row r="101">
          <cell r="C101" t="str">
            <v>Dechlorination; wastewater treatment unit, solids reduction; at plant; m3 wastewater - US</v>
          </cell>
          <cell r="D101">
            <v>3.7074700000000001E-6</v>
          </cell>
        </row>
        <row r="102">
          <cell r="C102" t="str">
            <v>Effluent release; wastewater treatment unit; at surface water; m3 wastewater - US</v>
          </cell>
          <cell r="D102">
            <v>0</v>
          </cell>
        </row>
        <row r="103">
          <cell r="C103" t="str">
            <v>Sludge hauling and landfill; wastewater treatment unit, solids reduction; at plant; m3 wastewater - US</v>
          </cell>
          <cell r="D103">
            <v>-1.3999999999999999E-4</v>
          </cell>
        </row>
        <row r="108">
          <cell r="C108" t="str">
            <v>Biological nutrient removal-4-stage; wastewater treatment unit, solids reduction; at plant; m3 wastewater - US</v>
          </cell>
          <cell r="D108">
            <v>2.4499999999999999E-3</v>
          </cell>
        </row>
        <row r="109">
          <cell r="C109" t="str">
            <v>Membrane filter; wastewater treatment unit, solids reduction; at plant; m3 wastewater - US</v>
          </cell>
          <cell r="D109">
            <v>1.25E-3</v>
          </cell>
        </row>
        <row r="110">
          <cell r="C110" t="str">
            <v>Anaerobic digester; wastewater treatment unit, solids reduction; at plant; m3 wastewater - US</v>
          </cell>
          <cell r="D110">
            <v>1.6000000000000001E-4</v>
          </cell>
        </row>
        <row r="111">
          <cell r="C111" t="str">
            <v>Centrifuge; wastewater treatment unit, solids reduction; at plant; m3 wastewater - US</v>
          </cell>
          <cell r="D111">
            <v>1.2999999999999999E-4</v>
          </cell>
        </row>
        <row r="112">
          <cell r="C112" t="str">
            <v>Chlorination; wastewater treatment unit, solids reduction; at plant; m3 wastewater - US</v>
          </cell>
          <cell r="D112">
            <v>7.0104499999999999E-5</v>
          </cell>
        </row>
        <row r="113">
          <cell r="C113" t="str">
            <v>Screening and grit removal; wastewater treatment unit, solids reduction; at plant; m3 wastewater - US</v>
          </cell>
          <cell r="D113">
            <v>2.3586399999999998E-5</v>
          </cell>
        </row>
        <row r="114">
          <cell r="C114" t="str">
            <v>Primary clarifier; wastewater treatment unit, solids reduction; at plant; m3 wastewater - US</v>
          </cell>
          <cell r="D114">
            <v>6.1496299999999999E-6</v>
          </cell>
        </row>
        <row r="115">
          <cell r="C115" t="str">
            <v>Gravity thickener; wastewater treatment unit, solids reduction; at plant; m3 wastewater - US</v>
          </cell>
          <cell r="D115">
            <v>5.1416299999999996E-6</v>
          </cell>
        </row>
        <row r="116">
          <cell r="C116" t="str">
            <v>Dechlorination; wastewater treatment unit, solids reduction; at plant; m3 wastewater - US</v>
          </cell>
          <cell r="D116">
            <v>3.7074700000000001E-6</v>
          </cell>
        </row>
        <row r="117">
          <cell r="C117" t="str">
            <v>Chemical phosphorus removal; wastewater treatment unit, solids reduction; at plant; m3 wastewater - US</v>
          </cell>
          <cell r="D117">
            <v>1.6920799999999999E-6</v>
          </cell>
        </row>
        <row r="118">
          <cell r="C118" t="str">
            <v>Effluent release; wastewater treatment unit; at surface water; m3 wastewater - US</v>
          </cell>
          <cell r="D118">
            <v>0</v>
          </cell>
        </row>
        <row r="119">
          <cell r="C119" t="str">
            <v>Sludge hauling and landfill; wastewater treatment unit, solids reduction; at plant; m3 wastewater - US</v>
          </cell>
          <cell r="D119">
            <v>-1.1E-4</v>
          </cell>
        </row>
        <row r="124">
          <cell r="C124" t="str">
            <v>Biological nutrient removal-5-stage; wastewater treatment unit, solids reduction; at plant; m3 wastewater - US</v>
          </cell>
          <cell r="D124">
            <v>4.0099999999999997E-3</v>
          </cell>
        </row>
        <row r="125">
          <cell r="C125" t="str">
            <v>Reverse osmosis; wastewater treatment unit, solids reduction; at plant; m3 wastewater - US</v>
          </cell>
          <cell r="D125">
            <v>3.2399999999999998E-3</v>
          </cell>
        </row>
        <row r="126">
          <cell r="C126" t="str">
            <v>Underground injection of brine; wastewater treatment unit, solids reduction; at injection site; m3 wastewater - US</v>
          </cell>
          <cell r="D126">
            <v>2.3E-3</v>
          </cell>
        </row>
        <row r="127">
          <cell r="C127" t="str">
            <v>Ultrafilter; wastewater treatment unit, solids reduction; at plant; m3 wastewater - US</v>
          </cell>
          <cell r="D127">
            <v>1.1900000000000001E-3</v>
          </cell>
        </row>
        <row r="128">
          <cell r="C128" t="str">
            <v>Anaerobic digester; wastewater treatment unit, solids reduction; at plant; m3 wastewater - US</v>
          </cell>
          <cell r="D128">
            <v>1.6000000000000001E-4</v>
          </cell>
        </row>
        <row r="129">
          <cell r="C129" t="str">
            <v>Centrifuge; wastewater treatment unit, solids reduction; at plant; m3 wastewater - US</v>
          </cell>
          <cell r="D129">
            <v>1.2999999999999999E-4</v>
          </cell>
        </row>
        <row r="130">
          <cell r="C130" t="str">
            <v>Denitrification, attached growth; wastewater treatment unit, solids reduction; at plant; m3 wastewater - US</v>
          </cell>
          <cell r="D130">
            <v>1E-4</v>
          </cell>
        </row>
        <row r="131">
          <cell r="C131" t="str">
            <v>Chlorination; wastewater treatment unit, solids reduction; at plant; m3 wastewater - US</v>
          </cell>
          <cell r="D131">
            <v>6.6050900000000001E-5</v>
          </cell>
        </row>
        <row r="132">
          <cell r="C132" t="str">
            <v>Filtration, sand filter; wastewater treatment unit, solids reduction; at plant; m3 wastewater - US</v>
          </cell>
          <cell r="D132">
            <v>3.8726200000000002E-5</v>
          </cell>
        </row>
        <row r="133">
          <cell r="C133" t="str">
            <v>Screening and grit removal; wastewater treatment unit, solids reduction; at plant; m3 wastewater - US</v>
          </cell>
          <cell r="D133">
            <v>2.36368E-5</v>
          </cell>
        </row>
        <row r="134">
          <cell r="C134" t="str">
            <v>Secondary clarifier; wastewater treatment unit, solids reduction; at plant; m3 wastewater - US</v>
          </cell>
          <cell r="D134">
            <v>9.4646700000000006E-6</v>
          </cell>
        </row>
        <row r="135">
          <cell r="C135" t="str">
            <v>Primary clarifier; wastewater treatment unit, solids reduction; at plant; m3 wastewater - US</v>
          </cell>
          <cell r="D135">
            <v>6.1567400000000001E-6</v>
          </cell>
        </row>
        <row r="136">
          <cell r="C136" t="str">
            <v>Gravity thickener; wastewater treatment unit, solids reduction; at plant; m3 wastewater - US</v>
          </cell>
          <cell r="D136">
            <v>5.1391499999999997E-6</v>
          </cell>
        </row>
        <row r="137">
          <cell r="C137" t="str">
            <v>Fermentation; wastewater treatment unit, solids reduction; at plant; m3 - US</v>
          </cell>
          <cell r="D137">
            <v>4.1569900000000003E-6</v>
          </cell>
        </row>
        <row r="138">
          <cell r="C138" t="str">
            <v>Dechlorination; wastewater treatment unit, solids reduction; at plant; m3 wastewater - US</v>
          </cell>
          <cell r="D138">
            <v>3.6974599999999999E-6</v>
          </cell>
        </row>
        <row r="139">
          <cell r="C139" t="str">
            <v>Chemical phosphorus removal; wastewater treatment unit, solids reduction; at plant; m3 wastewater - US</v>
          </cell>
          <cell r="D139">
            <v>3.3841700000000002E-6</v>
          </cell>
        </row>
        <row r="140">
          <cell r="C140" t="str">
            <v>Effluent release; wastewater treatment unit; at surface water; m3 wastewater - US</v>
          </cell>
          <cell r="D140">
            <v>0</v>
          </cell>
        </row>
        <row r="141">
          <cell r="C141" t="str">
            <v>Sludge hauling and landfill; wastewater treatment unit, solids reduction; at plant; m3 wastewater - US</v>
          </cell>
          <cell r="D141">
            <v>-1.1E-4</v>
          </cell>
        </row>
        <row r="146">
          <cell r="C146" t="str">
            <v>Reverse osmosis; wastewater treatment unit, solids reduction; at plant; m3 wastewater - US</v>
          </cell>
          <cell r="D146">
            <v>3.0599999999999998E-3</v>
          </cell>
        </row>
        <row r="147">
          <cell r="C147" t="str">
            <v>Biological nutrient removal-5-stage; wastewater treatment unit, solids reduction; at plant; m3 wastewater - US</v>
          </cell>
          <cell r="D147">
            <v>2.8400000000000001E-3</v>
          </cell>
        </row>
        <row r="148">
          <cell r="C148" t="str">
            <v>Underground injection of brine; wastewater treatment unit, solids reduction; at injection site; m3 wastewater - US</v>
          </cell>
          <cell r="D148">
            <v>2.3E-3</v>
          </cell>
        </row>
        <row r="149">
          <cell r="C149" t="str">
            <v>Membrane filter; wastewater treatment unit, solids reduction; at plant; m3 wastewater - US</v>
          </cell>
          <cell r="D149">
            <v>1.2600000000000001E-3</v>
          </cell>
        </row>
        <row r="150">
          <cell r="C150" t="str">
            <v>Anaerobic digester; wastewater treatment unit, solids reduction; at plant; m3 wastewater - US</v>
          </cell>
          <cell r="D150">
            <v>1.6000000000000001E-4</v>
          </cell>
        </row>
        <row r="151">
          <cell r="C151" t="str">
            <v>Centrifuge; wastewater treatment unit, solids reduction; at plant; m3 wastewater - US</v>
          </cell>
          <cell r="D151">
            <v>1.2E-4</v>
          </cell>
        </row>
        <row r="152">
          <cell r="C152" t="str">
            <v>Chlorination; wastewater treatment unit, solids reduction; at plant; m3 wastewater - US</v>
          </cell>
          <cell r="D152">
            <v>6.6086800000000006E-5</v>
          </cell>
        </row>
        <row r="153">
          <cell r="C153" t="str">
            <v>Screening and grit removal; wastewater treatment unit, solids reduction; at plant; m3 wastewater - US</v>
          </cell>
          <cell r="D153">
            <v>2.3586399999999998E-5</v>
          </cell>
        </row>
        <row r="154">
          <cell r="C154" t="str">
            <v>Primary clarifier; wastewater treatment unit, solids reduction; at plant; m3 wastewater - US</v>
          </cell>
          <cell r="D154">
            <v>6.1395500000000004E-6</v>
          </cell>
        </row>
        <row r="155">
          <cell r="C155" t="str">
            <v>Gravity thickener; wastewater treatment unit, solids reduction; at plant; m3 wastewater - US</v>
          </cell>
          <cell r="D155">
            <v>5.0841400000000004E-6</v>
          </cell>
        </row>
        <row r="156">
          <cell r="C156" t="str">
            <v>Fermentation; wastewater treatment unit, solids reduction; at plant; m3 - US</v>
          </cell>
          <cell r="D156">
            <v>4.1469199999999998E-6</v>
          </cell>
        </row>
        <row r="157">
          <cell r="C157" t="str">
            <v>Dechlorination; wastewater treatment unit, solids reduction; at plant; m3 wastewater - US</v>
          </cell>
          <cell r="D157">
            <v>3.69771E-6</v>
          </cell>
        </row>
        <row r="158">
          <cell r="C158" t="str">
            <v>Chemical phosphorus removal; wastewater treatment unit, solids reduction; at plant; m3 wastewater - US</v>
          </cell>
          <cell r="D158">
            <v>1.9906899999999999E-7</v>
          </cell>
        </row>
        <row r="159">
          <cell r="C159" t="str">
            <v>Effluent release; wastewater treatment unit; at surface water; m3 wastewater - US</v>
          </cell>
          <cell r="D159">
            <v>0</v>
          </cell>
        </row>
        <row r="160">
          <cell r="C160" t="str">
            <v>Sludge hauling and landfill; wastewater treatment unit, solids reduction; at plant; m3 wastewater - US</v>
          </cell>
          <cell r="D160">
            <v>-1E-4</v>
          </cell>
        </row>
      </sheetData>
      <sheetData sheetId="24">
        <row r="5">
          <cell r="C5" t="str">
            <v>Activated sludge; wastewater treatment unit, solids reduction; at plant; m3 wastewater - US</v>
          </cell>
          <cell r="D5">
            <v>5.6301100000000001E-8</v>
          </cell>
        </row>
        <row r="6">
          <cell r="C6" t="str">
            <v>Chlorination; wastewater treatment unit, solids reduction; at plant; m3 wastewater - US</v>
          </cell>
          <cell r="D6">
            <v>2.0909900000000001E-8</v>
          </cell>
        </row>
        <row r="7">
          <cell r="C7" t="str">
            <v>Anaerobic digester; wastewater treatment unit, solids reduction; at plant; m3 wastewater - US</v>
          </cell>
          <cell r="D7">
            <v>7.5959499999999996E-9</v>
          </cell>
        </row>
        <row r="8">
          <cell r="C8" t="str">
            <v>Centrifuge; wastewater treatment unit, solids reduction; at plant; m3 wastewater - US</v>
          </cell>
          <cell r="D8">
            <v>7.1390600000000004E-9</v>
          </cell>
        </row>
        <row r="9">
          <cell r="C9" t="str">
            <v>Screening and grit removal; wastewater treatment unit, solids reduction; at plant; m3 wastewater - US</v>
          </cell>
          <cell r="D9">
            <v>1.32287E-9</v>
          </cell>
        </row>
        <row r="10">
          <cell r="C10" t="str">
            <v>Secondary clarifier; wastewater treatment unit, solids reduction; at plant; m3 wastewater - US</v>
          </cell>
          <cell r="D10">
            <v>5.1720100000000004E-10</v>
          </cell>
        </row>
        <row r="11">
          <cell r="C11" t="str">
            <v>Dechlorination; wastewater treatment unit, solids reduction; at plant; m3 wastewater - US</v>
          </cell>
          <cell r="D11">
            <v>4.52911E-10</v>
          </cell>
        </row>
        <row r="12">
          <cell r="C12" t="str">
            <v>Primary clarifier; wastewater treatment unit, solids reduction; at plant; m3 wastewater - US</v>
          </cell>
          <cell r="D12">
            <v>3.4205400000000001E-10</v>
          </cell>
        </row>
        <row r="13">
          <cell r="C13" t="str">
            <v>Gravity thickener; wastewater treatment unit, solids reduction; at plant; m3 wastewater - US</v>
          </cell>
          <cell r="D13">
            <v>2.9280799999999998E-10</v>
          </cell>
        </row>
        <row r="14">
          <cell r="C14" t="str">
            <v>Effluent release; wastewater treatment unit; at surface water; m3 wastewater - US</v>
          </cell>
          <cell r="D14">
            <v>0</v>
          </cell>
        </row>
        <row r="19">
          <cell r="C19" t="str">
            <v>Biological nutrient removal-3-stage; wastewater treatment unit, solids reduction; at plant; m3 wastewater - US</v>
          </cell>
          <cell r="D19">
            <v>1.66793E-7</v>
          </cell>
        </row>
        <row r="20">
          <cell r="C20" t="str">
            <v>Chlorination; wastewater treatment unit, solids reduction; at plant; m3 wastewater - US</v>
          </cell>
          <cell r="D20">
            <v>2.0800500000000002E-8</v>
          </cell>
        </row>
        <row r="21">
          <cell r="C21" t="str">
            <v>Anaerobic digester; wastewater treatment unit, solids reduction; at plant; m3 wastewater - US</v>
          </cell>
          <cell r="D21">
            <v>6.6212700000000002E-9</v>
          </cell>
        </row>
        <row r="22">
          <cell r="C22" t="str">
            <v>Centrifuge; wastewater treatment unit, solids reduction; at plant; m3 wastewater - US</v>
          </cell>
          <cell r="D22">
            <v>6.1106400000000003E-9</v>
          </cell>
        </row>
        <row r="23">
          <cell r="C23" t="str">
            <v>Screening and grit removal; wastewater treatment unit, solids reduction; at plant; m3 wastewater - US</v>
          </cell>
          <cell r="D23">
            <v>1.32005E-9</v>
          </cell>
        </row>
        <row r="24">
          <cell r="C24" t="str">
            <v>Secondary clarifier; wastewater treatment unit, solids reduction; at plant; m3 wastewater - US</v>
          </cell>
          <cell r="D24">
            <v>4.6783499999999997E-10</v>
          </cell>
        </row>
        <row r="25">
          <cell r="C25" t="str">
            <v>Dechlorination; wastewater treatment unit, solids reduction; at plant; m3 wastewater - US</v>
          </cell>
          <cell r="D25">
            <v>4.52911E-10</v>
          </cell>
        </row>
        <row r="26">
          <cell r="C26" t="str">
            <v>Primary clarifier; wastewater treatment unit, solids reduction; at plant; m3 wastewater - US</v>
          </cell>
          <cell r="D26">
            <v>3.3976199999999999E-10</v>
          </cell>
        </row>
        <row r="27">
          <cell r="C27" t="str">
            <v>Gravity thickener; wastewater treatment unit, solids reduction; at plant; m3 wastewater - US</v>
          </cell>
          <cell r="D27">
            <v>2.7680000000000002E-10</v>
          </cell>
        </row>
        <row r="28">
          <cell r="C28" t="str">
            <v>Effluent release; wastewater treatment unit; at surface water; m3 wastewater - US</v>
          </cell>
          <cell r="D28">
            <v>0</v>
          </cell>
        </row>
        <row r="33">
          <cell r="C33" t="str">
            <v>Nitrification, suspended growth; wastewater treatment unit, solids reduction; at plant; m3 wastewater - US</v>
          </cell>
          <cell r="D33">
            <v>6.1876099999999996E-8</v>
          </cell>
        </row>
        <row r="34">
          <cell r="C34" t="str">
            <v>Denitrification, suspended growth; wastewater treatment unit, solids reduction; at plant; m3 wastewater - US</v>
          </cell>
          <cell r="D34">
            <v>5.6451299999999997E-8</v>
          </cell>
        </row>
        <row r="35">
          <cell r="C35" t="str">
            <v>Activated sludge; wastewater treatment unit, solids reduction; at plant; m3 wastewater - US</v>
          </cell>
          <cell r="D35">
            <v>5.6330799999999999E-8</v>
          </cell>
        </row>
        <row r="36">
          <cell r="C36" t="str">
            <v>Chlorination; wastewater treatment unit, solids reduction; at plant; m3 wastewater - US</v>
          </cell>
          <cell r="D36">
            <v>2.0780000000000001E-8</v>
          </cell>
        </row>
        <row r="37">
          <cell r="C37" t="str">
            <v>Centrifuge; wastewater treatment unit, solids reduction; at plant; m3 wastewater - US</v>
          </cell>
          <cell r="D37">
            <v>1.0289800000000001E-8</v>
          </cell>
        </row>
        <row r="38">
          <cell r="C38" t="str">
            <v>Anaerobic digester; wastewater treatment unit, solids reduction; at plant; m3 wastewater - US</v>
          </cell>
          <cell r="D38">
            <v>9.6980499999999996E-9</v>
          </cell>
        </row>
        <row r="39">
          <cell r="C39" t="str">
            <v>Chemical phosphorus removal; wastewater treatment unit, solids reduction; at plant; m3 wastewater - US</v>
          </cell>
          <cell r="D39">
            <v>4.1622399999999999E-9</v>
          </cell>
        </row>
        <row r="40">
          <cell r="C40" t="str">
            <v>Screening and grit removal; wastewater treatment unit, solids reduction; at plant; m3 wastewater - US</v>
          </cell>
          <cell r="D40">
            <v>1.33133E-9</v>
          </cell>
        </row>
        <row r="41">
          <cell r="C41" t="str">
            <v>Secondary clarifier; wastewater treatment unit, solids reduction; at plant; m3 wastewater - US</v>
          </cell>
          <cell r="D41">
            <v>5.3102200000000001E-10</v>
          </cell>
        </row>
        <row r="42">
          <cell r="C42" t="str">
            <v>Dechlorination; wastewater treatment unit, solids reduction; at plant; m3 wastewater - US</v>
          </cell>
          <cell r="D42">
            <v>4.52911E-10</v>
          </cell>
        </row>
        <row r="43">
          <cell r="C43" t="str">
            <v>Tertiary clarification, denitrification; wastewater treatment unit, solids reduction; at plant; m3 wastewater - US</v>
          </cell>
          <cell r="D43">
            <v>4.1310999999999998E-10</v>
          </cell>
        </row>
        <row r="44">
          <cell r="C44" t="str">
            <v>Primary clarifier; wastewater treatment unit, solids reduction; at plant; m3 wastewater - US</v>
          </cell>
          <cell r="D44">
            <v>3.4910600000000001E-10</v>
          </cell>
        </row>
        <row r="45">
          <cell r="C45" t="str">
            <v>Tertiary clarification, nitrification; wastewater treatment unit, solids reduction; at plant; m3 wastewater - US</v>
          </cell>
          <cell r="D45">
            <v>3.43036E-10</v>
          </cell>
        </row>
        <row r="46">
          <cell r="C46" t="str">
            <v>Gravity thickener; wastewater treatment unit, solids reduction; at plant; m3 wastewater - US</v>
          </cell>
          <cell r="D46">
            <v>3.1863500000000001E-10</v>
          </cell>
        </row>
        <row r="47">
          <cell r="C47" t="str">
            <v>Effluent release; wastewater treatment unit; at surface water; m3 wastewater - US</v>
          </cell>
          <cell r="D47">
            <v>0</v>
          </cell>
        </row>
        <row r="48">
          <cell r="C48" t="str">
            <v>Sludge hauling and landfill; wastewater treatment unit, solids reduction; at plant; m3 wastewater - US</v>
          </cell>
          <cell r="D48">
            <v>-6.2680499999999997E-9</v>
          </cell>
        </row>
        <row r="53">
          <cell r="C53" t="str">
            <v>Biological nutrient removal-5-stage; wastewater treatment unit, solids reduction; at plant; m3 wastewater - US</v>
          </cell>
          <cell r="D53">
            <v>2.0192E-7</v>
          </cell>
        </row>
        <row r="54">
          <cell r="C54" t="str">
            <v>Chlorination; wastewater treatment unit, solids reduction; at plant; m3 wastewater - US</v>
          </cell>
          <cell r="D54">
            <v>1.7372300000000001E-8</v>
          </cell>
        </row>
        <row r="55">
          <cell r="C55" t="str">
            <v>Anaerobic digester; wastewater treatment unit, solids reduction; at plant; m3 wastewater - US</v>
          </cell>
          <cell r="D55">
            <v>7.4871900000000005E-9</v>
          </cell>
        </row>
        <row r="56">
          <cell r="C56" t="str">
            <v>Centrifuge; wastewater treatment unit, solids reduction; at plant; m3 wastewater - US</v>
          </cell>
          <cell r="D56">
            <v>7.3210799999999997E-9</v>
          </cell>
        </row>
        <row r="57">
          <cell r="C57" t="str">
            <v>Filtration, sand filter; wastewater treatment unit, solids reduction; at plant; m3 wastewater - US</v>
          </cell>
          <cell r="D57">
            <v>2.17039E-9</v>
          </cell>
        </row>
        <row r="58">
          <cell r="C58" t="str">
            <v>Screening and grit removal; wastewater treatment unit, solids reduction; at plant; m3 wastewater - US</v>
          </cell>
          <cell r="D58">
            <v>1.32287E-9</v>
          </cell>
        </row>
        <row r="59">
          <cell r="C59" t="str">
            <v>Secondary clarifier; wastewater treatment unit, solids reduction; at plant; m3 wastewater - US</v>
          </cell>
          <cell r="D59">
            <v>5.2368799999999996E-10</v>
          </cell>
        </row>
        <row r="60">
          <cell r="C60" t="str">
            <v>Dechlorination; wastewater treatment unit, solids reduction; at plant; m3 wastewater - US</v>
          </cell>
          <cell r="D60">
            <v>4.52911E-10</v>
          </cell>
        </row>
        <row r="61">
          <cell r="C61" t="str">
            <v>Primary clarifier; wastewater treatment unit, solids reduction; at plant; m3 wastewater - US</v>
          </cell>
          <cell r="D61">
            <v>3.3891500000000001E-10</v>
          </cell>
        </row>
        <row r="62">
          <cell r="C62" t="str">
            <v>Gravity thickener; wastewater treatment unit, solids reduction; at plant; m3 wastewater - US</v>
          </cell>
          <cell r="D62">
            <v>2.8705700000000001E-10</v>
          </cell>
        </row>
        <row r="63">
          <cell r="C63" t="str">
            <v>Fermentation; wastewater treatment unit, solids reduction; at plant; m3 - US</v>
          </cell>
          <cell r="D63">
            <v>3.4855800000000002E-10</v>
          </cell>
        </row>
        <row r="64">
          <cell r="C64" t="str">
            <v>Chemical phosphorus removal; wastewater treatment unit, solids reduction; at plant; m3 wastewater - US</v>
          </cell>
          <cell r="D64">
            <v>2.0811200000000001E-10</v>
          </cell>
        </row>
        <row r="65">
          <cell r="C65" t="str">
            <v>Effluent release; wastewater treatment unit; at surface water; m3 wastewater - US</v>
          </cell>
          <cell r="D65">
            <v>0</v>
          </cell>
        </row>
        <row r="66">
          <cell r="C66" t="str">
            <v>Sludge hauling and landfill; wastewater treatment unit, solids reduction; at plant; m3 wastewater - US</v>
          </cell>
          <cell r="D66">
            <v>-6.2680499999999997E-9</v>
          </cell>
        </row>
        <row r="71">
          <cell r="C71" t="str">
            <v>Biological nutrient removal-4-stage; wastewater treatment unit, solids reduction; at plant; m3 wastewater - US</v>
          </cell>
          <cell r="D71">
            <v>2.1677500000000001E-7</v>
          </cell>
        </row>
        <row r="72">
          <cell r="C72" t="str">
            <v>Chlorination; wastewater treatment unit, solids reduction; at plant; m3 wastewater - US</v>
          </cell>
          <cell r="D72">
            <v>1.7372300000000001E-8</v>
          </cell>
        </row>
        <row r="73">
          <cell r="C73" t="str">
            <v>Centrifuge; wastewater treatment unit, solids reduction; at plant; m3 wastewater - US</v>
          </cell>
          <cell r="D73">
            <v>7.3210799999999997E-9</v>
          </cell>
        </row>
        <row r="74">
          <cell r="C74" t="str">
            <v>Anaerobic digester; wastewater treatment unit, solids reduction; at plant; m3 wastewater - US</v>
          </cell>
          <cell r="D74">
            <v>7.2700099999999998E-9</v>
          </cell>
        </row>
        <row r="75">
          <cell r="C75" t="str">
            <v>Filtration, sand filter; wastewater treatment unit, solids reduction; at plant; m3 wastewater - US</v>
          </cell>
          <cell r="D75">
            <v>2.17039E-9</v>
          </cell>
        </row>
        <row r="76">
          <cell r="C76" t="str">
            <v>Screening and grit removal; wastewater treatment unit, solids reduction; at plant; m3 wastewater - US</v>
          </cell>
          <cell r="D76">
            <v>1.32287E-9</v>
          </cell>
        </row>
        <row r="77">
          <cell r="C77" t="str">
            <v>Secondary clarifier; wastewater treatment unit, solids reduction; at plant; m3 wastewater - US</v>
          </cell>
          <cell r="D77">
            <v>5.2382900000000003E-10</v>
          </cell>
        </row>
        <row r="78">
          <cell r="C78" t="str">
            <v>Dechlorination; wastewater treatment unit, solids reduction; at plant; m3 wastewater - US</v>
          </cell>
          <cell r="D78">
            <v>4.52911E-10</v>
          </cell>
        </row>
        <row r="79">
          <cell r="C79" t="str">
            <v>Fermentation; wastewater treatment unit, solids reduction; at plant; m3 - US</v>
          </cell>
          <cell r="D79">
            <v>3.4855800000000002E-10</v>
          </cell>
        </row>
        <row r="80">
          <cell r="C80" t="str">
            <v>Primary clarifier; wastewater treatment unit, solids reduction; at plant; m3 wastewater - US</v>
          </cell>
          <cell r="D80">
            <v>3.4117199999999999E-10</v>
          </cell>
        </row>
        <row r="81">
          <cell r="C81" t="str">
            <v>Gravity thickener; wastewater treatment unit, solids reduction; at plant; m3 wastewater - US</v>
          </cell>
          <cell r="D81">
            <v>2.8705700000000001E-10</v>
          </cell>
        </row>
        <row r="82">
          <cell r="C82" t="str">
            <v>Chemical phosphorus removal; wastewater treatment unit, solids reduction; at plant; m3 wastewater - US</v>
          </cell>
          <cell r="D82">
            <v>2.0811200000000001E-10</v>
          </cell>
        </row>
        <row r="83">
          <cell r="C83" t="str">
            <v>Effluent release; wastewater treatment unit; at surface water; m3 wastewater - US</v>
          </cell>
          <cell r="D83">
            <v>0</v>
          </cell>
        </row>
        <row r="84">
          <cell r="C84" t="str">
            <v>Sludge hauling and landfill; wastewater treatment unit, solids reduction; at plant; m3 wastewater - US</v>
          </cell>
          <cell r="D84">
            <v>-6.2680499999999997E-9</v>
          </cell>
        </row>
        <row r="89">
          <cell r="C89" t="str">
            <v>Biological nutrient removal-5-stage; wastewater treatment unit, solids reduction; at plant; m3 wastewater - US</v>
          </cell>
          <cell r="D89">
            <v>2.01922E-7</v>
          </cell>
        </row>
        <row r="90">
          <cell r="C90" t="str">
            <v>Denitrification, attached growth; wastewater treatment unit, solids reduction; at plant; m3 wastewater - US</v>
          </cell>
          <cell r="D90">
            <v>5.3691400000000003E-8</v>
          </cell>
        </row>
        <row r="91">
          <cell r="C91" t="str">
            <v>Chlorination; wastewater treatment unit, solids reduction; at plant; m3 wastewater - US</v>
          </cell>
          <cell r="D91">
            <v>1.7372300000000001E-8</v>
          </cell>
        </row>
        <row r="92">
          <cell r="C92" t="str">
            <v>Centrifuge; wastewater treatment unit, solids reduction; at plant; m3 wastewater - US</v>
          </cell>
          <cell r="D92">
            <v>7.3810299999999997E-9</v>
          </cell>
        </row>
        <row r="93">
          <cell r="C93" t="str">
            <v>Anaerobic digester; wastewater treatment unit, solids reduction; at plant; m3 wastewater - US</v>
          </cell>
          <cell r="D93">
            <v>7.27314E-9</v>
          </cell>
        </row>
        <row r="94">
          <cell r="C94" t="str">
            <v>Filtration, sand filter; wastewater treatment unit, solids reduction; at plant; m3 wastewater - US</v>
          </cell>
          <cell r="D94">
            <v>2.17039E-9</v>
          </cell>
        </row>
        <row r="95">
          <cell r="C95" t="str">
            <v>Screening and grit removal; wastewater treatment unit, solids reduction; at plant; m3 wastewater - US</v>
          </cell>
          <cell r="D95">
            <v>1.32287E-9</v>
          </cell>
        </row>
        <row r="96">
          <cell r="C96" t="str">
            <v>Chemical phosphorus removal; wastewater treatment unit, solids reduction; at plant; m3 wastewater - US</v>
          </cell>
          <cell r="D96">
            <v>6.2572300000000001E-10</v>
          </cell>
        </row>
        <row r="97">
          <cell r="C97" t="str">
            <v>Secondary clarifier; wastewater treatment unit, solids reduction; at plant; m3 wastewater - US</v>
          </cell>
          <cell r="D97">
            <v>5.2509799999999996E-10</v>
          </cell>
        </row>
        <row r="98">
          <cell r="C98" t="str">
            <v>Dechlorination; wastewater treatment unit, solids reduction; at plant; m3 wastewater - US</v>
          </cell>
          <cell r="D98">
            <v>4.52911E-10</v>
          </cell>
        </row>
        <row r="99">
          <cell r="C99" t="str">
            <v>Primary clarifier; wastewater treatment unit, solids reduction; at plant; m3 wastewater - US</v>
          </cell>
          <cell r="D99">
            <v>3.4148999999999998E-10</v>
          </cell>
        </row>
        <row r="100">
          <cell r="C100" t="str">
            <v>Gravity thickener; wastewater treatment unit, solids reduction; at plant; m3 wastewater - US</v>
          </cell>
          <cell r="D100">
            <v>2.8705700000000001E-10</v>
          </cell>
        </row>
        <row r="101">
          <cell r="C101" t="str">
            <v>Fermentation; wastewater treatment unit, solids reduction; at plant; m3 - US</v>
          </cell>
          <cell r="D101">
            <v>3.4855800000000002E-10</v>
          </cell>
        </row>
        <row r="102">
          <cell r="C102" t="str">
            <v>Effluent release; wastewater treatment unit; at surface water; m3 wastewater - US</v>
          </cell>
          <cell r="D102">
            <v>0</v>
          </cell>
        </row>
        <row r="103">
          <cell r="C103" t="str">
            <v>Sludge hauling and landfill; wastewater treatment unit, solids reduction; at plant; m3 wastewater - US</v>
          </cell>
          <cell r="D103">
            <v>-6.2680499999999997E-9</v>
          </cell>
        </row>
        <row r="108">
          <cell r="C108" t="str">
            <v>Biological nutrient removal-4-stage; wastewater treatment unit, solids reduction; at plant; m3 wastewater - US</v>
          </cell>
          <cell r="D108">
            <v>1.37286E-7</v>
          </cell>
        </row>
        <row r="109">
          <cell r="C109" t="str">
            <v>Membrane filter; wastewater treatment unit, solids reduction; at plant; m3 wastewater - US</v>
          </cell>
          <cell r="D109">
            <v>7.02383E-8</v>
          </cell>
        </row>
        <row r="110">
          <cell r="C110" t="str">
            <v>Chlorination; wastewater treatment unit, solids reduction; at plant; m3 wastewater - US</v>
          </cell>
          <cell r="D110">
            <v>1.7372300000000001E-8</v>
          </cell>
        </row>
        <row r="111">
          <cell r="C111" t="str">
            <v>Centrifuge; wastewater treatment unit, solids reduction; at plant; m3 wastewater - US</v>
          </cell>
          <cell r="D111">
            <v>7.4111799999999996E-9</v>
          </cell>
        </row>
        <row r="112">
          <cell r="C112" t="str">
            <v>Anaerobic digester; wastewater treatment unit, solids reduction; at plant; m3 wastewater - US</v>
          </cell>
          <cell r="D112">
            <v>7.3608900000000002E-9</v>
          </cell>
        </row>
        <row r="113">
          <cell r="C113" t="str">
            <v>Screening and grit removal; wastewater treatment unit, solids reduction; at plant; m3 wastewater - US</v>
          </cell>
          <cell r="D113">
            <v>1.32005E-9</v>
          </cell>
        </row>
        <row r="114">
          <cell r="C114" t="str">
            <v>Dechlorination; wastewater treatment unit, solids reduction; at plant; m3 wastewater - US</v>
          </cell>
          <cell r="D114">
            <v>4.52911E-10</v>
          </cell>
        </row>
        <row r="115">
          <cell r="C115" t="str">
            <v>Primary clarifier; wastewater treatment unit, solids reduction; at plant; m3 wastewater - US</v>
          </cell>
          <cell r="D115">
            <v>3.4117199999999999E-10</v>
          </cell>
        </row>
        <row r="116">
          <cell r="C116" t="str">
            <v>Gravity thickener; wastewater treatment unit, solids reduction; at plant; m3 wastewater - US</v>
          </cell>
          <cell r="D116">
            <v>2.8716699999999998E-10</v>
          </cell>
        </row>
        <row r="117">
          <cell r="C117" t="str">
            <v>Chemical phosphorus removal; wastewater treatment unit, solids reduction; at plant; m3 wastewater - US</v>
          </cell>
          <cell r="D117">
            <v>1.07209E-10</v>
          </cell>
        </row>
        <row r="118">
          <cell r="C118" t="str">
            <v>Effluent release; wastewater treatment unit; at surface water; m3 wastewater - US</v>
          </cell>
          <cell r="D118">
            <v>0</v>
          </cell>
        </row>
        <row r="119">
          <cell r="C119" t="str">
            <v>Sludge hauling and landfill; wastewater treatment unit, solids reduction; at plant; m3 wastewater - US</v>
          </cell>
          <cell r="D119">
            <v>-4.5278400000000004E-9</v>
          </cell>
        </row>
        <row r="124">
          <cell r="C124" t="str">
            <v>Biological nutrient removal-5-stage; wastewater treatment unit, solids reduction; at plant; m3 wastewater - US</v>
          </cell>
          <cell r="D124">
            <v>2.2448699999999999E-7</v>
          </cell>
        </row>
        <row r="125">
          <cell r="C125" t="str">
            <v>Reverse osmosis; wastewater treatment unit, solids reduction; at plant; m3 wastewater - US</v>
          </cell>
          <cell r="D125">
            <v>1.8201500000000001E-7</v>
          </cell>
        </row>
        <row r="126">
          <cell r="C126" t="str">
            <v>Underground injection of brine; wastewater treatment unit, solids reduction; at injection site; m3 wastewater - US</v>
          </cell>
          <cell r="D126">
            <v>1.2896699999999999E-7</v>
          </cell>
        </row>
        <row r="127">
          <cell r="C127" t="str">
            <v>Ultrafilter; wastewater treatment unit, solids reduction; at plant; m3 wastewater - US</v>
          </cell>
          <cell r="D127">
            <v>6.8376800000000006E-8</v>
          </cell>
        </row>
        <row r="128">
          <cell r="C128" t="str">
            <v>Chlorination; wastewater treatment unit, solids reduction; at plant; m3 wastewater - US</v>
          </cell>
          <cell r="D128">
            <v>1.19557E-8</v>
          </cell>
        </row>
        <row r="129">
          <cell r="C129" t="str">
            <v>Centrifuge; wastewater treatment unit, solids reduction; at plant; m3 wastewater - US</v>
          </cell>
          <cell r="D129">
            <v>7.38114E-9</v>
          </cell>
        </row>
        <row r="130">
          <cell r="C130" t="str">
            <v>Anaerobic digester; wastewater treatment unit, solids reduction; at plant; m3 wastewater - US</v>
          </cell>
          <cell r="D130">
            <v>7.27314E-9</v>
          </cell>
        </row>
        <row r="131">
          <cell r="C131" t="str">
            <v>Denitrification, attached growth; wastewater treatment unit, solids reduction; at plant; m3 wastewater - US</v>
          </cell>
          <cell r="D131">
            <v>6.1967800000000002E-9</v>
          </cell>
        </row>
        <row r="132">
          <cell r="C132" t="str">
            <v>Filtration, sand filter; wastewater treatment unit, solids reduction; at plant; m3 wastewater - US</v>
          </cell>
          <cell r="D132">
            <v>2.17039E-9</v>
          </cell>
        </row>
        <row r="133">
          <cell r="C133" t="str">
            <v>Screening and grit removal; wastewater treatment unit, solids reduction; at plant; m3 wastewater - US</v>
          </cell>
          <cell r="D133">
            <v>1.32287E-9</v>
          </cell>
        </row>
        <row r="134">
          <cell r="C134" t="str">
            <v>Secondary clarifier; wastewater treatment unit, solids reduction; at plant; m3 wastewater - US</v>
          </cell>
          <cell r="D134">
            <v>5.2509799999999996E-10</v>
          </cell>
        </row>
        <row r="135">
          <cell r="C135" t="str">
            <v>Dechlorination; wastewater treatment unit, solids reduction; at plant; m3 wastewater - US</v>
          </cell>
          <cell r="D135">
            <v>4.52116E-10</v>
          </cell>
        </row>
        <row r="136">
          <cell r="C136" t="str">
            <v>Primary clarifier; wastewater treatment unit, solids reduction; at plant; m3 wastewater - US</v>
          </cell>
          <cell r="D136">
            <v>3.4148999999999998E-10</v>
          </cell>
        </row>
        <row r="137">
          <cell r="C137" t="str">
            <v>Gravity thickener; wastewater treatment unit, solids reduction; at plant; m3 wastewater - US</v>
          </cell>
          <cell r="D137">
            <v>2.8705700000000001E-10</v>
          </cell>
        </row>
        <row r="138">
          <cell r="C138" t="str">
            <v>Fermentation; wastewater treatment unit, solids reduction; at plant; m3 - US</v>
          </cell>
          <cell r="D138">
            <v>3.4855800000000002E-10</v>
          </cell>
        </row>
        <row r="139">
          <cell r="C139" t="str">
            <v>Chemical phosphorus removal; wastewater treatment unit, solids reduction; at plant; m3 wastewater - US</v>
          </cell>
          <cell r="D139">
            <v>2.14418E-10</v>
          </cell>
        </row>
        <row r="140">
          <cell r="C140" t="str">
            <v>Effluent release; wastewater treatment unit; at surface water; m3 wastewater - US</v>
          </cell>
          <cell r="D140">
            <v>0</v>
          </cell>
        </row>
        <row r="141">
          <cell r="C141" t="str">
            <v>Sludge hauling and landfill; wastewater treatment unit, solids reduction; at plant; m3 wastewater - US</v>
          </cell>
          <cell r="D141">
            <v>-4.3135199999999998E-9</v>
          </cell>
        </row>
        <row r="146">
          <cell r="C146" t="str">
            <v>Reverse osmosis; wastewater treatment unit, solids reduction; at plant; m3 wastewater - US</v>
          </cell>
          <cell r="D146">
            <v>1.7197700000000001E-7</v>
          </cell>
        </row>
        <row r="147">
          <cell r="C147" t="str">
            <v>Biological nutrient removal-5-stage; wastewater treatment unit, solids reduction; at plant; m3 wastewater - US</v>
          </cell>
          <cell r="D147">
            <v>1.59156E-7</v>
          </cell>
        </row>
        <row r="148">
          <cell r="C148" t="str">
            <v>Underground injection of brine; wastewater treatment unit, solids reduction; at injection site; m3 wastewater - US</v>
          </cell>
          <cell r="D148">
            <v>1.2896699999999999E-7</v>
          </cell>
        </row>
        <row r="149">
          <cell r="C149" t="str">
            <v>Membrane filter; wastewater treatment unit, solids reduction; at plant; m3 wastewater - US</v>
          </cell>
          <cell r="D149">
            <v>7.0246200000000003E-8</v>
          </cell>
        </row>
        <row r="150">
          <cell r="C150" t="str">
            <v>Chlorination; wastewater treatment unit, solids reduction; at plant; m3 wastewater - US</v>
          </cell>
          <cell r="D150">
            <v>1.20789E-8</v>
          </cell>
        </row>
        <row r="151">
          <cell r="C151" t="str">
            <v>Centrifuge; wastewater treatment unit, solids reduction; at plant; m3 wastewater - US</v>
          </cell>
          <cell r="D151">
            <v>7.1690900000000001E-9</v>
          </cell>
        </row>
        <row r="152">
          <cell r="C152" t="str">
            <v>Anaerobic digester; wastewater treatment unit, solids reduction; at plant; m3 wastewater - US</v>
          </cell>
          <cell r="D152">
            <v>7.0945000000000003E-9</v>
          </cell>
        </row>
        <row r="153">
          <cell r="C153" t="str">
            <v>Screening and grit removal; wastewater treatment unit, solids reduction; at plant; m3 wastewater - US</v>
          </cell>
          <cell r="D153">
            <v>1.32005E-9</v>
          </cell>
        </row>
        <row r="154">
          <cell r="C154" t="str">
            <v>Dechlorination; wastewater treatment unit, solids reduction; at plant; m3 wastewater - US</v>
          </cell>
          <cell r="D154">
            <v>4.5212699999999999E-10</v>
          </cell>
        </row>
        <row r="155">
          <cell r="C155" t="str">
            <v>Primary clarifier; wastewater treatment unit, solids reduction; at plant; m3 wastewater - US</v>
          </cell>
          <cell r="D155">
            <v>3.4060800000000001E-10</v>
          </cell>
        </row>
        <row r="156">
          <cell r="C156" t="str">
            <v>Gravity thickener; wastewater treatment unit, solids reduction; at plant; m3 wastewater - US</v>
          </cell>
          <cell r="D156">
            <v>2.8403E-10</v>
          </cell>
        </row>
        <row r="157">
          <cell r="C157" t="str">
            <v>Fermentation; wastewater treatment unit, solids reduction; at plant; m3 - US</v>
          </cell>
          <cell r="D157">
            <v>3.4855800000000002E-10</v>
          </cell>
        </row>
        <row r="158">
          <cell r="C158" t="str">
            <v>Chemical phosphorus removal; wastewater treatment unit, solids reduction; at plant; m3 wastewater - US</v>
          </cell>
          <cell r="D158">
            <v>1.26128E-11</v>
          </cell>
        </row>
        <row r="159">
          <cell r="C159" t="str">
            <v>Effluent release; wastewater treatment unit; at surface water; m3 wastewater - US</v>
          </cell>
          <cell r="D159">
            <v>0</v>
          </cell>
        </row>
        <row r="160">
          <cell r="C160" t="str">
            <v>Sludge hauling and landfill; wastewater treatment unit, solids reduction; at plant; m3 wastewater - US</v>
          </cell>
          <cell r="D160">
            <v>-4.1440900000000003E-9</v>
          </cell>
        </row>
      </sheetData>
      <sheetData sheetId="25">
        <row r="5">
          <cell r="C5" t="str">
            <v>Activated sludge; wastewater treatment unit, solids reduction; at plant; m3 wastewater - US</v>
          </cell>
          <cell r="D5">
            <v>2.0426600000000001</v>
          </cell>
        </row>
        <row r="6">
          <cell r="C6" t="str">
            <v>Anaerobic digester; wastewater treatment unit, solids reduction; at plant; m3 wastewater - US</v>
          </cell>
          <cell r="D6">
            <v>1.16882</v>
          </cell>
        </row>
        <row r="7">
          <cell r="C7" t="str">
            <v>Sludge hauling and landfill; wastewater treatment unit, solids reduction; at plant; m3 wastewater - US</v>
          </cell>
          <cell r="D7">
            <v>0.49524000000000001</v>
          </cell>
        </row>
        <row r="8">
          <cell r="C8" t="str">
            <v>Centrifuge; wastewater treatment unit, solids reduction; at plant; m3 wastewater - US</v>
          </cell>
          <cell r="D8">
            <v>0.38524999999999998</v>
          </cell>
        </row>
        <row r="9">
          <cell r="C9" t="str">
            <v>Chlorination; wastewater treatment unit, solids reduction; at plant; m3 wastewater - US</v>
          </cell>
          <cell r="D9">
            <v>0.34532000000000002</v>
          </cell>
        </row>
        <row r="10">
          <cell r="C10" t="str">
            <v>Screening and grit removal; wastewater treatment unit, solids reduction; at plant; m3 wastewater - US</v>
          </cell>
          <cell r="D10">
            <v>4.7870000000000003E-2</v>
          </cell>
        </row>
        <row r="11">
          <cell r="C11" t="str">
            <v>Dechlorination; wastewater treatment unit, solids reduction; at plant; m3 wastewater - US</v>
          </cell>
          <cell r="D11">
            <v>3.4099999999999998E-2</v>
          </cell>
        </row>
        <row r="12">
          <cell r="C12" t="str">
            <v>Secondary clarifier; wastewater treatment unit, solids reduction; at plant; m3 wastewater - US</v>
          </cell>
          <cell r="D12">
            <v>1.9949999999999999E-2</v>
          </cell>
        </row>
        <row r="13">
          <cell r="C13" t="str">
            <v>Primary clarifier; wastewater treatment unit, solids reduction; at plant; m3 wastewater - US</v>
          </cell>
          <cell r="D13">
            <v>1.3259999999999999E-2</v>
          </cell>
        </row>
        <row r="14">
          <cell r="C14" t="str">
            <v>Gravity thickener; wastewater treatment unit, solids reduction; at plant; m3 wastewater - US</v>
          </cell>
          <cell r="D14">
            <v>1.072E-2</v>
          </cell>
        </row>
        <row r="19">
          <cell r="C19" t="str">
            <v>Biological nutrient removal-3-stage; wastewater treatment unit, solids reduction; at plant; m3 wastewater - US</v>
          </cell>
          <cell r="D19">
            <v>6.0470899999999999</v>
          </cell>
        </row>
        <row r="20">
          <cell r="C20" t="str">
            <v>Anaerobic digester; wastewater treatment unit, solids reduction; at plant; m3 wastewater - US</v>
          </cell>
          <cell r="D20">
            <v>1.0411699999999999</v>
          </cell>
        </row>
        <row r="21">
          <cell r="C21" t="str">
            <v>Sludge hauling and landfill; wastewater treatment unit, solids reduction; at plant; m3 wastewater - US</v>
          </cell>
          <cell r="D21">
            <v>0.49524000000000001</v>
          </cell>
        </row>
        <row r="22">
          <cell r="C22" t="str">
            <v>Chlorination; wastewater treatment unit, solids reduction; at plant; m3 wastewater - US</v>
          </cell>
          <cell r="D22">
            <v>0.33002999999999999</v>
          </cell>
        </row>
        <row r="23">
          <cell r="C23" t="str">
            <v>Centrifuge; wastewater treatment unit, solids reduction; at plant; m3 wastewater - US</v>
          </cell>
          <cell r="D23">
            <v>0.32861000000000001</v>
          </cell>
        </row>
        <row r="24">
          <cell r="C24" t="str">
            <v>Screening and grit removal; wastewater treatment unit, solids reduction; at plant; m3 wastewater - US</v>
          </cell>
          <cell r="D24">
            <v>4.777E-2</v>
          </cell>
        </row>
        <row r="25">
          <cell r="C25" t="str">
            <v>Dechlorination; wastewater treatment unit, solids reduction; at plant; m3 wastewater - US</v>
          </cell>
          <cell r="D25">
            <v>3.4099999999999998E-2</v>
          </cell>
        </row>
        <row r="26">
          <cell r="C26" t="str">
            <v>Secondary clarifier; wastewater treatment unit, solids reduction; at plant; m3 wastewater - US</v>
          </cell>
          <cell r="D26">
            <v>1.8159999999999999E-2</v>
          </cell>
        </row>
        <row r="27">
          <cell r="C27" t="str">
            <v>Primary clarifier; wastewater treatment unit, solids reduction; at plant; m3 wastewater - US</v>
          </cell>
          <cell r="D27">
            <v>1.316E-2</v>
          </cell>
        </row>
        <row r="28">
          <cell r="C28" t="str">
            <v>Gravity thickener; wastewater treatment unit, solids reduction; at plant; m3 wastewater - US</v>
          </cell>
          <cell r="D28">
            <v>1.013E-2</v>
          </cell>
        </row>
        <row r="33">
          <cell r="C33" t="str">
            <v>Denitrification, suspended growth; wastewater treatment unit, solids reduction; at plant; m3 wastewater - US</v>
          </cell>
          <cell r="D33">
            <v>3.6659700000000002</v>
          </cell>
        </row>
        <row r="34">
          <cell r="C34" t="str">
            <v>Nitrification, suspended growth; wastewater treatment unit, solids reduction; at plant; m3 wastewater - US</v>
          </cell>
          <cell r="D34">
            <v>2.2666200000000001</v>
          </cell>
        </row>
        <row r="35">
          <cell r="C35" t="str">
            <v>Activated sludge; wastewater treatment unit, solids reduction; at plant; m3 wastewater - US</v>
          </cell>
          <cell r="D35">
            <v>2.0438299999999998</v>
          </cell>
        </row>
        <row r="36">
          <cell r="C36" t="str">
            <v>Anaerobic digester; wastewater treatment unit, solids reduction; at plant; m3 wastewater - US</v>
          </cell>
          <cell r="D36">
            <v>1.6087899999999999</v>
          </cell>
        </row>
        <row r="37">
          <cell r="C37" t="str">
            <v>Chemical phosphorus removal; wastewater treatment unit, solids reduction; at plant; m3 wastewater - US</v>
          </cell>
          <cell r="D37">
            <v>0.78403</v>
          </cell>
        </row>
        <row r="38">
          <cell r="C38" t="str">
            <v>Centrifuge; wastewater treatment unit, solids reduction; at plant; m3 wastewater - US</v>
          </cell>
          <cell r="D38">
            <v>0.56008000000000002</v>
          </cell>
        </row>
        <row r="39">
          <cell r="C39" t="str">
            <v>Sludge hauling and landfill; wastewater treatment unit, solids reduction; at plant; m3 wastewater - US</v>
          </cell>
          <cell r="D39">
            <v>0.49524000000000001</v>
          </cell>
        </row>
        <row r="40">
          <cell r="C40" t="str">
            <v>Chlorination; wastewater treatment unit, solids reduction; at plant; m3 wastewater - US</v>
          </cell>
          <cell r="D40">
            <v>0.32979000000000003</v>
          </cell>
        </row>
        <row r="41">
          <cell r="C41" t="str">
            <v>Screening and grit removal; wastewater treatment unit, solids reduction; at plant; m3 wastewater - US</v>
          </cell>
          <cell r="D41">
            <v>4.8180000000000001E-2</v>
          </cell>
        </row>
        <row r="42">
          <cell r="C42" t="str">
            <v>Dechlorination; wastewater treatment unit, solids reduction; at plant; m3 wastewater - US</v>
          </cell>
          <cell r="D42">
            <v>3.4099999999999998E-2</v>
          </cell>
        </row>
        <row r="43">
          <cell r="C43" t="str">
            <v>Secondary clarifier; wastewater treatment unit, solids reduction; at plant; m3 wastewater - US</v>
          </cell>
          <cell r="D43">
            <v>2.0449999999999999E-2</v>
          </cell>
        </row>
        <row r="44">
          <cell r="C44" t="str">
            <v>Tertiary clarification, denitrification; wastewater treatment unit, solids reduction; at plant; m3 wastewater - US</v>
          </cell>
          <cell r="D44">
            <v>1.618E-2</v>
          </cell>
        </row>
        <row r="45">
          <cell r="C45" t="str">
            <v>Tertiary clarification, nitrification; wastewater treatment unit, solids reduction; at plant; m3 wastewater - US</v>
          </cell>
          <cell r="D45">
            <v>1.3639999999999999E-2</v>
          </cell>
        </row>
        <row r="46">
          <cell r="C46" t="str">
            <v>Primary clarifier; wastewater treatment unit, solids reduction; at plant; m3 wastewater - US</v>
          </cell>
          <cell r="D46">
            <v>1.3520000000000001E-2</v>
          </cell>
        </row>
        <row r="47">
          <cell r="C47" t="str">
            <v>Gravity thickener; wastewater treatment unit, solids reduction; at plant; m3 wastewater - US</v>
          </cell>
          <cell r="D47">
            <v>1.1679999999999999E-2</v>
          </cell>
        </row>
        <row r="48">
          <cell r="C48" t="str">
            <v>Effluent release; wastewater treatment unit; at surface water; m3 wastewater - US</v>
          </cell>
          <cell r="D48">
            <v>0</v>
          </cell>
        </row>
        <row r="53">
          <cell r="C53" t="str">
            <v>Biological nutrient removal-5-stage; wastewater treatment unit, solids reduction; at plant; m3 wastewater - US</v>
          </cell>
          <cell r="D53">
            <v>7.3237100000000002</v>
          </cell>
        </row>
        <row r="54">
          <cell r="C54" t="str">
            <v>Anaerobic digester; wastewater treatment unit, solids reduction; at plant; m3 wastewater - US</v>
          </cell>
          <cell r="D54">
            <v>1.58914</v>
          </cell>
        </row>
        <row r="55">
          <cell r="C55" t="str">
            <v>Sludge hauling and landfill; wastewater treatment unit, solids reduction; at plant; m3 wastewater - US</v>
          </cell>
          <cell r="D55">
            <v>0.49524000000000001</v>
          </cell>
        </row>
        <row r="56">
          <cell r="C56" t="str">
            <v>Centrifuge; wastewater treatment unit, solids reduction; at plant; m3 wastewater - US</v>
          </cell>
          <cell r="D56">
            <v>0.39541999999999999</v>
          </cell>
        </row>
        <row r="57">
          <cell r="C57" t="str">
            <v>Chlorination; wastewater treatment unit, solids reduction; at plant; m3 wastewater - US</v>
          </cell>
          <cell r="D57">
            <v>0.29076999999999997</v>
          </cell>
        </row>
        <row r="58">
          <cell r="C58" t="str">
            <v>Filtration, sand filter; wastewater treatment unit, solids reduction; at plant; m3 wastewater - US</v>
          </cell>
          <cell r="D58">
            <v>8.2379999999999995E-2</v>
          </cell>
        </row>
        <row r="59">
          <cell r="C59" t="str">
            <v>Screening and grit removal; wastewater treatment unit, solids reduction; at plant; m3 wastewater - US</v>
          </cell>
          <cell r="D59">
            <v>4.7870000000000003E-2</v>
          </cell>
        </row>
        <row r="60">
          <cell r="C60" t="str">
            <v>Chemical phosphorus removal; wastewater treatment unit, solids reduction; at plant; m3 wastewater - US</v>
          </cell>
          <cell r="D60">
            <v>3.9199999999999999E-2</v>
          </cell>
        </row>
        <row r="61">
          <cell r="C61" t="str">
            <v>Dechlorination; wastewater treatment unit, solids reduction; at plant; m3 wastewater - US</v>
          </cell>
          <cell r="D61">
            <v>3.4099999999999998E-2</v>
          </cell>
        </row>
        <row r="62">
          <cell r="C62" t="str">
            <v>Secondary clarifier; wastewater treatment unit, solids reduction; at plant; m3 wastewater - US</v>
          </cell>
          <cell r="D62">
            <v>2.018E-2</v>
          </cell>
        </row>
        <row r="63">
          <cell r="C63" t="str">
            <v>Primary clarifier; wastewater treatment unit, solids reduction; at plant; m3 wastewater - US</v>
          </cell>
          <cell r="D63">
            <v>1.3129999999999999E-2</v>
          </cell>
        </row>
        <row r="64">
          <cell r="C64" t="str">
            <v>Gravity thickener; wastewater treatment unit, solids reduction; at plant; m3 wastewater - US</v>
          </cell>
          <cell r="D64">
            <v>1.051E-2</v>
          </cell>
        </row>
        <row r="65">
          <cell r="C65" t="str">
            <v>Fermentation; wastewater treatment unit, solids reduction; at plant; m3 - US</v>
          </cell>
          <cell r="D65">
            <v>1.256E-2</v>
          </cell>
        </row>
        <row r="66">
          <cell r="C66" t="str">
            <v>Effluent release; wastewater treatment unit; at surface water; m3 wastewater - US</v>
          </cell>
          <cell r="D66">
            <v>0</v>
          </cell>
        </row>
        <row r="71">
          <cell r="C71" t="str">
            <v>Biological nutrient removal-4-stage; wastewater treatment unit, solids reduction; at plant; m3 wastewater - US</v>
          </cell>
          <cell r="D71">
            <v>7.8466399999999998</v>
          </cell>
        </row>
        <row r="72">
          <cell r="C72" t="str">
            <v>Anaerobic digester; wastewater treatment unit, solids reduction; at plant; m3 wastewater - US</v>
          </cell>
          <cell r="D72">
            <v>1.1240300000000001</v>
          </cell>
        </row>
        <row r="73">
          <cell r="C73" t="str">
            <v>Sludge hauling and landfill; wastewater treatment unit, solids reduction; at plant; m3 wastewater - US</v>
          </cell>
          <cell r="D73">
            <v>0.49524000000000001</v>
          </cell>
        </row>
        <row r="74">
          <cell r="C74" t="str">
            <v>Centrifuge; wastewater treatment unit, solids reduction; at plant; m3 wastewater - US</v>
          </cell>
          <cell r="D74">
            <v>0.39541999999999999</v>
          </cell>
        </row>
        <row r="75">
          <cell r="C75" t="str">
            <v>Chlorination; wastewater treatment unit, solids reduction; at plant; m3 wastewater - US</v>
          </cell>
          <cell r="D75">
            <v>0.29076999999999997</v>
          </cell>
        </row>
        <row r="76">
          <cell r="C76" t="str">
            <v>Filtration, sand filter; wastewater treatment unit, solids reduction; at plant; m3 wastewater - US</v>
          </cell>
          <cell r="D76">
            <v>8.2379999999999995E-2</v>
          </cell>
        </row>
        <row r="77">
          <cell r="C77" t="str">
            <v>Screening and grit removal; wastewater treatment unit, solids reduction; at plant; m3 wastewater - US</v>
          </cell>
          <cell r="D77">
            <v>4.7870000000000003E-2</v>
          </cell>
        </row>
        <row r="78">
          <cell r="C78" t="str">
            <v>Chemical phosphorus removal; wastewater treatment unit, solids reduction; at plant; m3 wastewater - US</v>
          </cell>
          <cell r="D78">
            <v>3.9199999999999999E-2</v>
          </cell>
        </row>
        <row r="79">
          <cell r="C79" t="str">
            <v>Dechlorination; wastewater treatment unit, solids reduction; at plant; m3 wastewater - US</v>
          </cell>
          <cell r="D79">
            <v>3.4099999999999998E-2</v>
          </cell>
        </row>
        <row r="80">
          <cell r="C80" t="str">
            <v>Secondary clarifier; wastewater treatment unit, solids reduction; at plant; m3 wastewater - US</v>
          </cell>
          <cell r="D80">
            <v>2.019E-2</v>
          </cell>
        </row>
        <row r="81">
          <cell r="C81" t="str">
            <v>Primary clarifier; wastewater treatment unit, solids reduction; at plant; m3 wastewater - US</v>
          </cell>
          <cell r="D81">
            <v>1.321E-2</v>
          </cell>
        </row>
        <row r="82">
          <cell r="C82" t="str">
            <v>Fermentation; wastewater treatment unit, solids reduction; at plant; m3 - US</v>
          </cell>
          <cell r="D82">
            <v>1.2710000000000001E-2</v>
          </cell>
        </row>
        <row r="83">
          <cell r="C83" t="str">
            <v>Gravity thickener; wastewater treatment unit, solids reduction; at plant; m3 wastewater - US</v>
          </cell>
          <cell r="D83">
            <v>1.051E-2</v>
          </cell>
        </row>
        <row r="84">
          <cell r="C84" t="str">
            <v>Effluent release; wastewater treatment unit; at surface water; m3 wastewater - US</v>
          </cell>
          <cell r="D84">
            <v>0</v>
          </cell>
        </row>
        <row r="89">
          <cell r="C89" t="str">
            <v>Biological nutrient removal-5-stage; wastewater treatment unit, solids reduction; at plant; m3 wastewater - US</v>
          </cell>
          <cell r="D89">
            <v>7.3240499999999997</v>
          </cell>
        </row>
        <row r="90">
          <cell r="C90" t="str">
            <v>Denitrification, attached growth; wastewater treatment unit, solids reduction; at plant; m3 wastewater - US</v>
          </cell>
          <cell r="D90">
            <v>2.66493</v>
          </cell>
        </row>
        <row r="91">
          <cell r="C91" t="str">
            <v>Anaerobic digester; wastewater treatment unit, solids reduction; at plant; m3 wastewater - US</v>
          </cell>
          <cell r="D91">
            <v>1.1307400000000001</v>
          </cell>
        </row>
        <row r="92">
          <cell r="C92" t="str">
            <v>Sludge hauling and landfill; wastewater treatment unit, solids reduction; at plant; m3 wastewater - US</v>
          </cell>
          <cell r="D92">
            <v>0.49524000000000001</v>
          </cell>
        </row>
        <row r="93">
          <cell r="C93" t="str">
            <v>Centrifuge; wastewater treatment unit, solids reduction; at plant; m3 wastewater - US</v>
          </cell>
          <cell r="D93">
            <v>0.39859</v>
          </cell>
        </row>
        <row r="94">
          <cell r="C94" t="str">
            <v>Chlorination; wastewater treatment unit, solids reduction; at plant; m3 wastewater - US</v>
          </cell>
          <cell r="D94">
            <v>0.29076999999999997</v>
          </cell>
        </row>
        <row r="95">
          <cell r="C95" t="str">
            <v>Chemical phosphorus removal; wastewater treatment unit, solids reduction; at plant; m3 wastewater - US</v>
          </cell>
          <cell r="D95">
            <v>0.11787</v>
          </cell>
        </row>
        <row r="96">
          <cell r="C96" t="str">
            <v>Filtration, sand filter; wastewater treatment unit, solids reduction; at plant; m3 wastewater - US</v>
          </cell>
          <cell r="D96">
            <v>8.2379999999999995E-2</v>
          </cell>
        </row>
        <row r="97">
          <cell r="C97" t="str">
            <v>Screening and grit removal; wastewater treatment unit, solids reduction; at plant; m3 wastewater - US</v>
          </cell>
          <cell r="D97">
            <v>4.7870000000000003E-2</v>
          </cell>
        </row>
        <row r="98">
          <cell r="C98" t="str">
            <v>Dechlorination; wastewater treatment unit, solids reduction; at plant; m3 wastewater - US</v>
          </cell>
          <cell r="D98">
            <v>3.4099999999999998E-2</v>
          </cell>
        </row>
        <row r="99">
          <cell r="C99" t="str">
            <v>Secondary clarifier; wastewater treatment unit, solids reduction; at plant; m3 wastewater - US</v>
          </cell>
          <cell r="D99">
            <v>2.0240000000000001E-2</v>
          </cell>
        </row>
        <row r="100">
          <cell r="C100" t="str">
            <v>Primary clarifier; wastewater treatment unit, solids reduction; at plant; m3 wastewater - US</v>
          </cell>
          <cell r="D100">
            <v>1.324E-2</v>
          </cell>
        </row>
        <row r="101">
          <cell r="C101" t="str">
            <v>Gravity thickener; wastewater treatment unit, solids reduction; at plant; m3 wastewater - US</v>
          </cell>
          <cell r="D101">
            <v>1.051E-2</v>
          </cell>
        </row>
        <row r="102">
          <cell r="C102" t="str">
            <v>Fermentation; wastewater treatment unit, solids reduction; at plant; m3 - US</v>
          </cell>
          <cell r="D102">
            <v>1.256E-2</v>
          </cell>
        </row>
        <row r="103">
          <cell r="C103" t="str">
            <v>Effluent release; wastewater treatment unit; at surface water; m3 wastewater - US</v>
          </cell>
          <cell r="D103">
            <v>0</v>
          </cell>
        </row>
        <row r="108">
          <cell r="C108" t="str">
            <v>Biological nutrient removal-4-stage; wastewater treatment unit, solids reduction; at plant; m3 wastewater - US</v>
          </cell>
          <cell r="D108">
            <v>4.9692299999999996</v>
          </cell>
        </row>
        <row r="109">
          <cell r="C109" t="str">
            <v>Membrane filter; wastewater treatment unit, solids reduction; at plant; m3 wastewater - US</v>
          </cell>
          <cell r="D109">
            <v>2.5424000000000002</v>
          </cell>
        </row>
        <row r="110">
          <cell r="C110" t="str">
            <v>Anaerobic digester; wastewater treatment unit, solids reduction; at plant; m3 wastewater - US</v>
          </cell>
          <cell r="D110">
            <v>1.14052</v>
          </cell>
        </row>
        <row r="111">
          <cell r="C111" t="str">
            <v>Sludge hauling and landfill; wastewater treatment unit, solids reduction; at plant; m3 wastewater - US</v>
          </cell>
          <cell r="D111">
            <v>0.58969000000000005</v>
          </cell>
        </row>
        <row r="112">
          <cell r="C112" t="str">
            <v>Centrifuge; wastewater treatment unit, solids reduction; at plant; m3 wastewater - US</v>
          </cell>
          <cell r="D112">
            <v>0.40021000000000001</v>
          </cell>
        </row>
        <row r="113">
          <cell r="C113" t="str">
            <v>Chlorination; wastewater treatment unit, solids reduction; at plant; m3 wastewater - US</v>
          </cell>
          <cell r="D113">
            <v>0.29076999999999997</v>
          </cell>
        </row>
        <row r="114">
          <cell r="C114" t="str">
            <v>Screening and grit removal; wastewater treatment unit, solids reduction; at plant; m3 wastewater - US</v>
          </cell>
          <cell r="D114">
            <v>4.777E-2</v>
          </cell>
        </row>
        <row r="115">
          <cell r="C115" t="str">
            <v>Dechlorination; wastewater treatment unit, solids reduction; at plant; m3 wastewater - US</v>
          </cell>
          <cell r="D115">
            <v>3.4099999999999998E-2</v>
          </cell>
        </row>
        <row r="116">
          <cell r="C116" t="str">
            <v>Chemical phosphorus removal; wastewater treatment unit, solids reduction; at plant; m3 wastewater - US</v>
          </cell>
          <cell r="D116">
            <v>2.019E-2</v>
          </cell>
        </row>
        <row r="117">
          <cell r="C117" t="str">
            <v>Primary clarifier; wastewater treatment unit, solids reduction; at plant; m3 wastewater - US</v>
          </cell>
          <cell r="D117">
            <v>1.321E-2</v>
          </cell>
        </row>
        <row r="118">
          <cell r="C118" t="str">
            <v>Gravity thickener; wastewater treatment unit, solids reduction; at plant; m3 wastewater - US</v>
          </cell>
          <cell r="D118">
            <v>1.052E-2</v>
          </cell>
        </row>
        <row r="119">
          <cell r="C119" t="str">
            <v>Effluent release; wastewater treatment unit; at surface water; m3 wastewater - US</v>
          </cell>
          <cell r="D119">
            <v>0</v>
          </cell>
        </row>
        <row r="124">
          <cell r="C124" t="str">
            <v>Biological nutrient removal-5-stage; wastewater treatment unit, solids reduction; at plant; m3 wastewater - US</v>
          </cell>
          <cell r="D124">
            <v>8.1406700000000001</v>
          </cell>
        </row>
        <row r="125">
          <cell r="C125" t="str">
            <v>Reverse osmosis; wastewater treatment unit, solids reduction; at plant; m3 wastewater - US</v>
          </cell>
          <cell r="D125">
            <v>6.6879400000000002</v>
          </cell>
        </row>
        <row r="126">
          <cell r="C126" t="str">
            <v>Underground injection of brine; wastewater treatment unit, solids reduction; at injection site; m3 wastewater - US</v>
          </cell>
          <cell r="D126">
            <v>4.6688099999999997</v>
          </cell>
        </row>
        <row r="127">
          <cell r="C127" t="str">
            <v>Ultrafilter; wastewater treatment unit, solids reduction; at plant; m3 wastewater - US</v>
          </cell>
          <cell r="D127">
            <v>2.6534900000000001</v>
          </cell>
        </row>
        <row r="128">
          <cell r="C128" t="str">
            <v>Anaerobic digester; wastewater treatment unit, solids reduction; at plant; m3 wastewater - US</v>
          </cell>
          <cell r="D128">
            <v>1.1307400000000001</v>
          </cell>
        </row>
        <row r="129">
          <cell r="C129" t="str">
            <v>Sludge hauling and landfill; wastewater treatment unit, solids reduction; at plant; m3 wastewater - US</v>
          </cell>
          <cell r="D129">
            <v>0.59428999999999998</v>
          </cell>
        </row>
        <row r="130">
          <cell r="C130" t="str">
            <v>Centrifuge; wastewater treatment unit, solids reduction; at plant; m3 wastewater - US</v>
          </cell>
          <cell r="D130">
            <v>0.39861000000000002</v>
          </cell>
        </row>
        <row r="131">
          <cell r="C131" t="str">
            <v>Denitrification, attached growth; wastewater treatment unit, solids reduction; at plant; m3 wastewater - US</v>
          </cell>
          <cell r="D131">
            <v>0.29668</v>
          </cell>
        </row>
        <row r="132">
          <cell r="C132" t="str">
            <v>Chlorination; wastewater treatment unit, solids reduction; at plant; m3 wastewater - US</v>
          </cell>
          <cell r="D132">
            <v>0.22534999999999999</v>
          </cell>
        </row>
        <row r="133">
          <cell r="C133" t="str">
            <v>Filtration, sand filter; wastewater treatment unit, solids reduction; at plant; m3 wastewater - US</v>
          </cell>
          <cell r="D133">
            <v>8.2379999999999995E-2</v>
          </cell>
        </row>
        <row r="134">
          <cell r="C134" t="str">
            <v>Screening and grit removal; wastewater treatment unit, solids reduction; at plant; m3 wastewater - US</v>
          </cell>
          <cell r="D134">
            <v>4.7870000000000003E-2</v>
          </cell>
        </row>
        <row r="135">
          <cell r="C135" t="str">
            <v>Chemical phosphorus removal; wastewater treatment unit, solids reduction; at plant; m3 wastewater - US</v>
          </cell>
          <cell r="D135">
            <v>4.0390000000000002E-2</v>
          </cell>
        </row>
        <row r="136">
          <cell r="C136" t="str">
            <v>Dechlorination; wastewater treatment unit, solids reduction; at plant; m3 wastewater - US</v>
          </cell>
          <cell r="D136">
            <v>3.3980000000000003E-2</v>
          </cell>
        </row>
        <row r="137">
          <cell r="C137" t="str">
            <v>Secondary clarifier; wastewater treatment unit, solids reduction; at plant; m3 wastewater - US</v>
          </cell>
          <cell r="D137">
            <v>2.0240000000000001E-2</v>
          </cell>
        </row>
        <row r="138">
          <cell r="C138" t="str">
            <v>Primary clarifier; wastewater treatment unit, solids reduction; at plant; m3 wastewater - US</v>
          </cell>
          <cell r="D138">
            <v>1.324E-2</v>
          </cell>
        </row>
        <row r="139">
          <cell r="C139" t="str">
            <v>Gravity thickener; wastewater treatment unit, solids reduction; at plant; m3 wastewater - US</v>
          </cell>
          <cell r="D139">
            <v>1.051E-2</v>
          </cell>
        </row>
        <row r="140">
          <cell r="C140" t="str">
            <v>Fermentation; wastewater treatment unit, solids reduction; at plant; m3 - US</v>
          </cell>
          <cell r="D140">
            <v>1.2710000000000001E-2</v>
          </cell>
        </row>
        <row r="141">
          <cell r="C141" t="str">
            <v>Effluent release; wastewater treatment unit; at surface water; m3 wastewater - US</v>
          </cell>
          <cell r="D141">
            <v>0</v>
          </cell>
        </row>
        <row r="146">
          <cell r="C146" t="str">
            <v>Reverse osmosis; wastewater treatment unit, solids reduction; at plant; m3 wastewater - US</v>
          </cell>
          <cell r="D146">
            <v>6.3246700000000002</v>
          </cell>
        </row>
        <row r="147">
          <cell r="C147" t="str">
            <v>Biological nutrient removal-5-stage; wastewater treatment unit, solids reduction; at plant; m3 wastewater - US</v>
          </cell>
          <cell r="D147">
            <v>5.7676999999999996</v>
          </cell>
        </row>
        <row r="148">
          <cell r="C148" t="str">
            <v>Underground injection of brine; wastewater treatment unit, solids reduction; at injection site; m3 wastewater - US</v>
          </cell>
          <cell r="D148">
            <v>4.6688200000000002</v>
          </cell>
        </row>
        <row r="149">
          <cell r="C149" t="str">
            <v>Membrane filter; wastewater treatment unit, solids reduction; at plant; m3 wastewater - US</v>
          </cell>
          <cell r="D149">
            <v>2.5424699999999998</v>
          </cell>
        </row>
        <row r="150">
          <cell r="C150" t="str">
            <v>Anaerobic digester; wastewater treatment unit, solids reduction; at plant; m3 wastewater - US</v>
          </cell>
          <cell r="D150">
            <v>1.1044799999999999</v>
          </cell>
        </row>
        <row r="151">
          <cell r="C151" t="str">
            <v>Sludge hauling and landfill; wastewater treatment unit, solids reduction; at plant; m3 wastewater - US</v>
          </cell>
          <cell r="D151">
            <v>0.57821</v>
          </cell>
        </row>
        <row r="152">
          <cell r="C152" t="str">
            <v>Centrifuge; wastewater treatment unit, solids reduction; at plant; m3 wastewater - US</v>
          </cell>
          <cell r="D152">
            <v>0.38685000000000003</v>
          </cell>
        </row>
        <row r="153">
          <cell r="C153" t="str">
            <v>Chlorination; wastewater treatment unit, solids reduction; at plant; m3 wastewater - US</v>
          </cell>
          <cell r="D153">
            <v>0.22675000000000001</v>
          </cell>
        </row>
        <row r="154">
          <cell r="C154" t="str">
            <v>Screening and grit removal; wastewater treatment unit, solids reduction; at plant; m3 wastewater - US</v>
          </cell>
          <cell r="D154">
            <v>4.777E-2</v>
          </cell>
        </row>
        <row r="155">
          <cell r="C155" t="str">
            <v>Dechlorination; wastewater treatment unit, solids reduction; at plant; m3 wastewater - US</v>
          </cell>
          <cell r="D155">
            <v>3.3980000000000003E-2</v>
          </cell>
        </row>
        <row r="156">
          <cell r="C156" t="str">
            <v>Primary clarifier; wastewater treatment unit, solids reduction; at plant; m3 wastewater - US</v>
          </cell>
          <cell r="D156">
            <v>1.319E-2</v>
          </cell>
        </row>
        <row r="157">
          <cell r="C157" t="str">
            <v>Gravity thickener; wastewater treatment unit, solids reduction; at plant; m3 wastewater - US</v>
          </cell>
          <cell r="D157">
            <v>1.039E-2</v>
          </cell>
        </row>
        <row r="158">
          <cell r="C158" t="str">
            <v>Fermentation; wastewater treatment unit, solids reduction; at plant; m3 - US</v>
          </cell>
          <cell r="D158">
            <v>1.2710000000000001E-2</v>
          </cell>
        </row>
        <row r="159">
          <cell r="C159" t="str">
            <v>Chemical phosphorus removal; wastewater treatment unit, solids reduction; at plant; m3 wastewater - US</v>
          </cell>
          <cell r="D159">
            <v>2.3800000000000002E-3</v>
          </cell>
        </row>
        <row r="160">
          <cell r="C160" t="str">
            <v>Effluent release; wastewater treatment unit; at surface water; m3 wastewater - US</v>
          </cell>
          <cell r="D160">
            <v>0</v>
          </cell>
        </row>
      </sheetData>
      <sheetData sheetId="26">
        <row r="5">
          <cell r="C5" t="str">
            <v>Activated sludge; wastewater treatment unit, solids reduction; at plant; m3 wastewater - US</v>
          </cell>
          <cell r="D5">
            <v>3.6999999999999999E-4</v>
          </cell>
        </row>
        <row r="6">
          <cell r="C6" t="str">
            <v>Chlorination; wastewater treatment unit, solids reduction; at plant; m3 wastewater - US</v>
          </cell>
          <cell r="D6">
            <v>1.7000000000000001E-4</v>
          </cell>
        </row>
        <row r="7">
          <cell r="C7" t="str">
            <v>Sludge hauling and landfill; wastewater treatment unit, solids reduction; at plant; m3 wastewater - US</v>
          </cell>
          <cell r="D7">
            <v>8.5320299999999997E-5</v>
          </cell>
        </row>
        <row r="8">
          <cell r="C8" t="str">
            <v>Centrifuge; wastewater treatment unit, solids reduction; at plant; m3 wastewater - US</v>
          </cell>
          <cell r="D8">
            <v>6.1804799999999995E-5</v>
          </cell>
        </row>
        <row r="9">
          <cell r="C9" t="str">
            <v>Anaerobic digester; wastewater treatment unit, solids reduction; at plant; m3 wastewater - US</v>
          </cell>
          <cell r="D9">
            <v>5.3897999999999998E-5</v>
          </cell>
        </row>
        <row r="10">
          <cell r="C10" t="str">
            <v>Dechlorination; wastewater treatment unit, solids reduction; at plant; m3 wastewater - US</v>
          </cell>
          <cell r="D10">
            <v>1.39524E-5</v>
          </cell>
        </row>
        <row r="11">
          <cell r="C11" t="str">
            <v>Screening and grit removal; wastewater treatment unit, solids reduction; at plant; m3 wastewater - US</v>
          </cell>
          <cell r="D11">
            <v>8.16073E-6</v>
          </cell>
        </row>
        <row r="12">
          <cell r="C12" t="str">
            <v>Secondary clarifier; wastewater treatment unit, solids reduction; at plant; m3 wastewater - US</v>
          </cell>
          <cell r="D12">
            <v>7.6144700000000001E-6</v>
          </cell>
        </row>
        <row r="13">
          <cell r="C13" t="str">
            <v>Primary clarifier; wastewater treatment unit, solids reduction; at plant; m3 wastewater - US</v>
          </cell>
          <cell r="D13">
            <v>5.1916499999999997E-6</v>
          </cell>
        </row>
        <row r="14">
          <cell r="C14" t="str">
            <v>Gravity thickener; wastewater treatment unit, solids reduction; at plant; m3 wastewater - US</v>
          </cell>
          <cell r="D14">
            <v>2.3089999999999998E-6</v>
          </cell>
        </row>
        <row r="19">
          <cell r="C19" t="str">
            <v>Biological nutrient removal-3-stage; wastewater treatment unit, solids reduction; at plant; m3 wastewater - US</v>
          </cell>
          <cell r="D19">
            <v>1.07E-3</v>
          </cell>
        </row>
        <row r="20">
          <cell r="C20" t="str">
            <v>Chlorination; wastewater treatment unit, solids reduction; at plant; m3 wastewater - US</v>
          </cell>
          <cell r="D20">
            <v>1.6000000000000001E-4</v>
          </cell>
        </row>
        <row r="21">
          <cell r="C21" t="str">
            <v>Sludge hauling and landfill; wastewater treatment unit, solids reduction; at plant; m3 wastewater - US</v>
          </cell>
          <cell r="D21">
            <v>7.6503999999999998E-5</v>
          </cell>
        </row>
        <row r="22">
          <cell r="C22" t="str">
            <v>Centrifuge; wastewater treatment unit, solids reduction; at plant; m3 wastewater - US</v>
          </cell>
          <cell r="D22">
            <v>5.27585E-5</v>
          </cell>
        </row>
        <row r="23">
          <cell r="C23" t="str">
            <v>Anaerobic digester; wastewater treatment unit, solids reduction; at plant; m3 wastewater - US</v>
          </cell>
          <cell r="D23">
            <v>4.7884699999999999E-5</v>
          </cell>
        </row>
        <row r="24">
          <cell r="C24" t="str">
            <v>Dechlorination; wastewater treatment unit, solids reduction; at plant; m3 wastewater - US</v>
          </cell>
          <cell r="D24">
            <v>1.39524E-5</v>
          </cell>
        </row>
        <row r="25">
          <cell r="C25" t="str">
            <v>Screening and grit removal; wastewater treatment unit, solids reduction; at plant; m3 wastewater - US</v>
          </cell>
          <cell r="D25">
            <v>8.1433299999999992E-6</v>
          </cell>
        </row>
        <row r="26">
          <cell r="C26" t="str">
            <v>Secondary clarifier; wastewater treatment unit, solids reduction; at plant; m3 wastewater - US</v>
          </cell>
          <cell r="D26">
            <v>7.30945E-6</v>
          </cell>
        </row>
        <row r="27">
          <cell r="C27" t="str">
            <v>Primary clarifier; wastewater treatment unit, solids reduction; at plant; m3 wastewater - US</v>
          </cell>
          <cell r="D27">
            <v>5.1082100000000003E-6</v>
          </cell>
        </row>
        <row r="28">
          <cell r="C28" t="str">
            <v>Gravity thickener; wastewater treatment unit, solids reduction; at plant; m3 wastewater - US</v>
          </cell>
          <cell r="D28">
            <v>2.16351E-6</v>
          </cell>
        </row>
        <row r="33">
          <cell r="C33" t="str">
            <v>Chemical phosphorus removal; wastewater treatment unit, solids reduction; at plant; m3 wastewater - US</v>
          </cell>
          <cell r="D33">
            <v>2.3400000000000001E-3</v>
          </cell>
        </row>
        <row r="34">
          <cell r="C34" t="str">
            <v>Nitrification, suspended growth; wastewater treatment unit, solids reduction; at plant; m3 wastewater - US</v>
          </cell>
          <cell r="D34">
            <v>4.0999999999999999E-4</v>
          </cell>
        </row>
        <row r="35">
          <cell r="C35" t="str">
            <v>Denitrification, suspended growth; wastewater treatment unit, solids reduction; at plant; m3 wastewater - US</v>
          </cell>
          <cell r="D35">
            <v>3.8000000000000002E-4</v>
          </cell>
        </row>
        <row r="36">
          <cell r="C36" t="str">
            <v>Activated sludge; wastewater treatment unit, solids reduction; at plant; m3 wastewater - US</v>
          </cell>
          <cell r="D36">
            <v>3.6999999999999999E-4</v>
          </cell>
        </row>
        <row r="37">
          <cell r="C37" t="str">
            <v>Chlorination; wastewater treatment unit, solids reduction; at plant; m3 wastewater - US</v>
          </cell>
          <cell r="D37">
            <v>1.6000000000000001E-4</v>
          </cell>
        </row>
        <row r="38">
          <cell r="C38" t="str">
            <v>Sludge hauling and landfill; wastewater treatment unit, solids reduction; at plant; m3 wastewater - US</v>
          </cell>
          <cell r="D38">
            <v>1.4999999999999999E-4</v>
          </cell>
        </row>
        <row r="39">
          <cell r="C39" t="str">
            <v>Centrifuge; wastewater treatment unit, solids reduction; at plant; m3 wastewater - US</v>
          </cell>
          <cell r="D39">
            <v>8.9700500000000006E-5</v>
          </cell>
        </row>
        <row r="40">
          <cell r="C40" t="str">
            <v>Anaerobic digester; wastewater treatment unit, solids reduction; at plant; m3 wastewater - US</v>
          </cell>
          <cell r="D40">
            <v>6.9150299999999994E-5</v>
          </cell>
        </row>
        <row r="41">
          <cell r="C41" t="str">
            <v>Dechlorination; wastewater treatment unit, solids reduction; at plant; m3 wastewater - US</v>
          </cell>
          <cell r="D41">
            <v>1.39524E-5</v>
          </cell>
        </row>
        <row r="42">
          <cell r="C42" t="str">
            <v>Screening and grit removal; wastewater treatment unit, solids reduction; at plant; m3 wastewater - US</v>
          </cell>
          <cell r="D42">
            <v>8.2129299999999993E-6</v>
          </cell>
        </row>
        <row r="43">
          <cell r="C43" t="str">
            <v>Secondary clarifier; wastewater treatment unit, solids reduction; at plant; m3 wastewater - US</v>
          </cell>
          <cell r="D43">
            <v>7.6997300000000006E-6</v>
          </cell>
        </row>
        <row r="44">
          <cell r="C44" t="str">
            <v>Tertiary clarification, denitrification; wastewater treatment unit, solids reduction; at plant; m3 wastewater - US</v>
          </cell>
          <cell r="D44">
            <v>6.9713599999999996E-6</v>
          </cell>
        </row>
        <row r="45">
          <cell r="C45" t="str">
            <v>Tertiary clarification, nitrification; wastewater treatment unit, solids reduction; at plant; m3 wastewater - US</v>
          </cell>
          <cell r="D45">
            <v>6.5380900000000003E-6</v>
          </cell>
        </row>
        <row r="46">
          <cell r="C46" t="str">
            <v>Primary clarifier; wastewater treatment unit, solids reduction; at plant; m3 wastewater - US</v>
          </cell>
          <cell r="D46">
            <v>5.2351500000000002E-6</v>
          </cell>
        </row>
        <row r="47">
          <cell r="C47" t="str">
            <v>Gravity thickener; wastewater treatment unit, solids reduction; at plant; m3 wastewater - US</v>
          </cell>
          <cell r="D47">
            <v>2.565E-6</v>
          </cell>
        </row>
        <row r="48">
          <cell r="C48" t="str">
            <v>Effluent release; wastewater treatment unit; at surface water; m3 wastewater - US</v>
          </cell>
          <cell r="D48">
            <v>0</v>
          </cell>
        </row>
        <row r="53">
          <cell r="C53" t="str">
            <v>Biological nutrient removal-5-stage; wastewater treatment unit, solids reduction; at plant; m3 wastewater - US</v>
          </cell>
          <cell r="D53">
            <v>1.31E-3</v>
          </cell>
        </row>
        <row r="54">
          <cell r="C54" t="str">
            <v>Chlorination; wastewater treatment unit, solids reduction; at plant; m3 wastewater - US</v>
          </cell>
          <cell r="D54">
            <v>1.2999999999999999E-4</v>
          </cell>
        </row>
        <row r="55">
          <cell r="C55" t="str">
            <v>Chemical phosphorus removal; wastewater treatment unit, solids reduction; at plant; m3 wastewater - US</v>
          </cell>
          <cell r="D55">
            <v>1.2E-4</v>
          </cell>
        </row>
        <row r="56">
          <cell r="C56" t="str">
            <v>Sludge hauling and landfill; wastewater treatment unit, solids reduction; at plant; m3 wastewater - US</v>
          </cell>
          <cell r="D56">
            <v>1E-4</v>
          </cell>
        </row>
        <row r="57">
          <cell r="C57" t="str">
            <v>Centrifuge; wastewater treatment unit, solids reduction; at plant; m3 wastewater - US</v>
          </cell>
          <cell r="D57">
            <v>6.3425799999999998E-5</v>
          </cell>
        </row>
        <row r="58">
          <cell r="C58" t="str">
            <v>Anaerobic digester; wastewater treatment unit, solids reduction; at plant; m3 wastewater - US</v>
          </cell>
          <cell r="D58">
            <v>5.3229700000000003E-5</v>
          </cell>
        </row>
        <row r="59">
          <cell r="C59" t="str">
            <v>Filtration, sand filter; wastewater treatment unit, solids reduction; at plant; m3 wastewater - US</v>
          </cell>
          <cell r="D59">
            <v>1.4821700000000001E-5</v>
          </cell>
        </row>
        <row r="60">
          <cell r="C60" t="str">
            <v>Dechlorination; wastewater treatment unit, solids reduction; at plant; m3 wastewater - US</v>
          </cell>
          <cell r="D60">
            <v>1.39524E-5</v>
          </cell>
        </row>
        <row r="61">
          <cell r="C61" t="str">
            <v>Screening and grit removal; wastewater treatment unit, solids reduction; at plant; m3 wastewater - US</v>
          </cell>
          <cell r="D61">
            <v>8.16073E-6</v>
          </cell>
        </row>
        <row r="62">
          <cell r="C62" t="str">
            <v>Secondary clarifier; wastewater treatment unit, solids reduction; at plant; m3 wastewater - US</v>
          </cell>
          <cell r="D62">
            <v>7.6544900000000003E-6</v>
          </cell>
        </row>
        <row r="63">
          <cell r="C63" t="str">
            <v>Primary clarifier; wastewater treatment unit, solids reduction; at plant; m3 wastewater - US</v>
          </cell>
          <cell r="D63">
            <v>5.1029900000000002E-6</v>
          </cell>
        </row>
        <row r="64">
          <cell r="C64" t="str">
            <v>Gravity thickener; wastewater treatment unit, solids reduction; at plant; m3 wastewater - US</v>
          </cell>
          <cell r="D64">
            <v>2.2493499999999999E-6</v>
          </cell>
        </row>
        <row r="65">
          <cell r="C65" t="str">
            <v>Fermentation; wastewater treatment unit, solids reduction; at plant; m3 - US</v>
          </cell>
          <cell r="D65">
            <v>2.50719E-6</v>
          </cell>
        </row>
        <row r="66">
          <cell r="C66" t="str">
            <v>Effluent release; wastewater treatment unit; at surface water; m3 wastewater - US</v>
          </cell>
          <cell r="D66">
            <v>0</v>
          </cell>
        </row>
        <row r="71">
          <cell r="C71" t="str">
            <v>Biological nutrient removal-4-stage; wastewater treatment unit, solids reduction; at plant; m3 wastewater - US</v>
          </cell>
          <cell r="D71">
            <v>1.4E-3</v>
          </cell>
        </row>
        <row r="72">
          <cell r="C72" t="str">
            <v>Chlorination; wastewater treatment unit, solids reduction; at plant; m3 wastewater - US</v>
          </cell>
          <cell r="D72">
            <v>1.2999999999999999E-4</v>
          </cell>
        </row>
        <row r="73">
          <cell r="C73" t="str">
            <v>Chemical phosphorus removal; wastewater treatment unit, solids reduction; at plant; m3 wastewater - US</v>
          </cell>
          <cell r="D73">
            <v>1.2E-4</v>
          </cell>
        </row>
        <row r="74">
          <cell r="C74" t="str">
            <v>Sludge hauling and landfill; wastewater treatment unit, solids reduction; at plant; m3 wastewater - US</v>
          </cell>
          <cell r="D74">
            <v>1E-4</v>
          </cell>
        </row>
        <row r="75">
          <cell r="C75" t="str">
            <v>Centrifuge; wastewater treatment unit, solids reduction; at plant; m3 wastewater - US</v>
          </cell>
          <cell r="D75">
            <v>6.3425799999999998E-5</v>
          </cell>
        </row>
        <row r="76">
          <cell r="C76" t="str">
            <v>Anaerobic digester; wastewater treatment unit, solids reduction; at plant; m3 wastewater - US</v>
          </cell>
          <cell r="D76">
            <v>5.18871E-5</v>
          </cell>
        </row>
        <row r="77">
          <cell r="C77" t="str">
            <v>Filtration, sand filter; wastewater treatment unit, solids reduction; at plant; m3 wastewater - US</v>
          </cell>
          <cell r="D77">
            <v>1.4821700000000001E-5</v>
          </cell>
        </row>
        <row r="78">
          <cell r="C78" t="str">
            <v>Dechlorination; wastewater treatment unit, solids reduction; at plant; m3 wastewater - US</v>
          </cell>
          <cell r="D78">
            <v>1.39524E-5</v>
          </cell>
        </row>
        <row r="79">
          <cell r="C79" t="str">
            <v>Screening and grit removal; wastewater treatment unit, solids reduction; at plant; m3 wastewater - US</v>
          </cell>
          <cell r="D79">
            <v>8.16073E-6</v>
          </cell>
        </row>
        <row r="80">
          <cell r="C80" t="str">
            <v>Secondary clarifier; wastewater treatment unit, solids reduction; at plant; m3 wastewater - US</v>
          </cell>
          <cell r="D80">
            <v>7.6553600000000002E-6</v>
          </cell>
        </row>
        <row r="81">
          <cell r="C81" t="str">
            <v>Primary clarifier; wastewater treatment unit, solids reduction; at plant; m3 wastewater - US</v>
          </cell>
          <cell r="D81">
            <v>5.1169099999999999E-6</v>
          </cell>
        </row>
        <row r="82">
          <cell r="C82" t="str">
            <v>Fermentation; wastewater treatment unit, solids reduction; at plant; m3 - US</v>
          </cell>
          <cell r="D82">
            <v>2.50719E-6</v>
          </cell>
        </row>
        <row r="83">
          <cell r="C83" t="str">
            <v>Gravity thickener; wastewater treatment unit, solids reduction; at plant; m3 wastewater - US</v>
          </cell>
          <cell r="D83">
            <v>2.2493499999999999E-6</v>
          </cell>
        </row>
        <row r="84">
          <cell r="C84" t="str">
            <v>Effluent release; wastewater treatment unit; at surface water; m3 wastewater - US</v>
          </cell>
          <cell r="D84">
            <v>0</v>
          </cell>
        </row>
        <row r="89">
          <cell r="C89" t="str">
            <v>Biological nutrient removal-5-stage; wastewater treatment unit, solids reduction; at plant; m3 wastewater - US</v>
          </cell>
          <cell r="D89">
            <v>1.31E-3</v>
          </cell>
        </row>
        <row r="90">
          <cell r="C90" t="str">
            <v>Chemical phosphorus removal; wastewater treatment unit, solids reduction; at plant; m3 wastewater - US</v>
          </cell>
          <cell r="D90">
            <v>3.5E-4</v>
          </cell>
        </row>
        <row r="91">
          <cell r="C91" t="str">
            <v>Denitrification, attached growth; wastewater treatment unit, solids reduction; at plant; m3 wastewater - US</v>
          </cell>
          <cell r="D91">
            <v>3.5E-4</v>
          </cell>
        </row>
        <row r="92">
          <cell r="C92" t="str">
            <v>Chlorination; wastewater treatment unit, solids reduction; at plant; m3 wastewater - US</v>
          </cell>
          <cell r="D92">
            <v>1.2999999999999999E-4</v>
          </cell>
        </row>
        <row r="93">
          <cell r="C93" t="str">
            <v>Sludge hauling and landfill; wastewater treatment unit, solids reduction; at plant; m3 wastewater - US</v>
          </cell>
          <cell r="D93">
            <v>1E-4</v>
          </cell>
        </row>
        <row r="94">
          <cell r="C94" t="str">
            <v>Centrifuge; wastewater treatment unit, solids reduction; at plant; m3 wastewater - US</v>
          </cell>
          <cell r="D94">
            <v>6.3925799999999997E-5</v>
          </cell>
        </row>
        <row r="95">
          <cell r="C95" t="str">
            <v>Anaerobic digester; wastewater treatment unit, solids reduction; at plant; m3 wastewater - US</v>
          </cell>
          <cell r="D95">
            <v>5.1906500000000002E-5</v>
          </cell>
        </row>
        <row r="96">
          <cell r="C96" t="str">
            <v>Filtration, sand filter; wastewater treatment unit, solids reduction; at plant; m3 wastewater - US</v>
          </cell>
          <cell r="D96">
            <v>1.4821700000000001E-5</v>
          </cell>
        </row>
        <row r="97">
          <cell r="C97" t="str">
            <v>Dechlorination; wastewater treatment unit, solids reduction; at plant; m3 wastewater - US</v>
          </cell>
          <cell r="D97">
            <v>1.39524E-5</v>
          </cell>
        </row>
        <row r="98">
          <cell r="C98" t="str">
            <v>Screening and grit removal; wastewater treatment unit, solids reduction; at plant; m3 wastewater - US</v>
          </cell>
          <cell r="D98">
            <v>8.16073E-6</v>
          </cell>
        </row>
        <row r="99">
          <cell r="C99" t="str">
            <v>Secondary clarifier; wastewater treatment unit, solids reduction; at plant; m3 wastewater - US</v>
          </cell>
          <cell r="D99">
            <v>7.6631900000000007E-6</v>
          </cell>
        </row>
        <row r="100">
          <cell r="C100" t="str">
            <v>Primary clarifier; wastewater treatment unit, solids reduction; at plant; m3 wastewater - US</v>
          </cell>
          <cell r="D100">
            <v>5.1881700000000002E-6</v>
          </cell>
        </row>
        <row r="101">
          <cell r="C101" t="str">
            <v>Gravity thickener; wastewater treatment unit, solids reduction; at plant; m3 wastewater - US</v>
          </cell>
          <cell r="D101">
            <v>2.2493499999999999E-6</v>
          </cell>
        </row>
        <row r="102">
          <cell r="C102" t="str">
            <v>Fermentation; wastewater treatment unit, solids reduction; at plant; m3 - US</v>
          </cell>
          <cell r="D102">
            <v>2.50719E-6</v>
          </cell>
        </row>
        <row r="103">
          <cell r="C103" t="str">
            <v>Effluent release; wastewater treatment unit; at surface water; m3 wastewater - US</v>
          </cell>
          <cell r="D103">
            <v>0</v>
          </cell>
        </row>
        <row r="108">
          <cell r="C108" t="str">
            <v>Biological nutrient removal-4-stage; wastewater treatment unit, solids reduction; at plant; m3 wastewater - US</v>
          </cell>
          <cell r="D108">
            <v>8.7000000000000001E-4</v>
          </cell>
        </row>
        <row r="109">
          <cell r="C109" t="str">
            <v>Membrane filter; wastewater treatment unit, solids reduction; at plant; m3 wastewater - US</v>
          </cell>
          <cell r="D109">
            <v>4.2999999999999999E-4</v>
          </cell>
        </row>
        <row r="110">
          <cell r="C110" t="str">
            <v>Chlorination; wastewater treatment unit, solids reduction; at plant; m3 wastewater - US</v>
          </cell>
          <cell r="D110">
            <v>1.2999999999999999E-4</v>
          </cell>
        </row>
        <row r="111">
          <cell r="C111" t="str">
            <v>Sludge hauling and landfill; wastewater treatment unit, solids reduction; at plant; m3 wastewater - US</v>
          </cell>
          <cell r="D111">
            <v>1E-4</v>
          </cell>
        </row>
        <row r="112">
          <cell r="C112" t="str">
            <v>Centrifuge; wastewater treatment unit, solids reduction; at plant; m3 wastewater - US</v>
          </cell>
          <cell r="D112">
            <v>6.4194800000000004E-5</v>
          </cell>
        </row>
        <row r="113">
          <cell r="C113" t="str">
            <v>Chemical phosphorus removal; wastewater treatment unit, solids reduction; at plant; m3 wastewater - US</v>
          </cell>
          <cell r="D113">
            <v>6.0365899999999997E-5</v>
          </cell>
        </row>
        <row r="114">
          <cell r="C114" t="str">
            <v>Anaerobic digester; wastewater treatment unit, solids reduction; at plant; m3 wastewater - US</v>
          </cell>
          <cell r="D114">
            <v>5.2447900000000003E-5</v>
          </cell>
        </row>
        <row r="115">
          <cell r="C115" t="str">
            <v>Dechlorination; wastewater treatment unit, solids reduction; at plant; m3 wastewater - US</v>
          </cell>
          <cell r="D115">
            <v>1.39524E-5</v>
          </cell>
        </row>
        <row r="116">
          <cell r="C116" t="str">
            <v>Screening and grit removal; wastewater treatment unit, solids reduction; at plant; m3 wastewater - US</v>
          </cell>
          <cell r="D116">
            <v>8.1433299999999992E-6</v>
          </cell>
        </row>
        <row r="117">
          <cell r="C117" t="str">
            <v>Primary clarifier; wastewater treatment unit, solids reduction; at plant; m3 wastewater - US</v>
          </cell>
          <cell r="D117">
            <v>5.1169099999999999E-6</v>
          </cell>
        </row>
        <row r="118">
          <cell r="C118" t="str">
            <v>Gravity thickener; wastewater treatment unit, solids reduction; at plant; m3 wastewater - US</v>
          </cell>
          <cell r="D118">
            <v>2.2742000000000002E-6</v>
          </cell>
        </row>
        <row r="119">
          <cell r="C119" t="str">
            <v>Effluent release; wastewater treatment unit; at surface water; m3 wastewater - US</v>
          </cell>
          <cell r="D119">
            <v>0</v>
          </cell>
        </row>
        <row r="124">
          <cell r="C124" t="str">
            <v>Underground injection of brine; wastewater treatment unit, solids reduction; at injection site; m3 wastewater - US</v>
          </cell>
          <cell r="D124">
            <v>0.1804</v>
          </cell>
        </row>
        <row r="125">
          <cell r="C125" t="str">
            <v>Biological nutrient removal-5-stage; wastewater treatment unit, solids reduction; at plant; m3 wastewater - US</v>
          </cell>
          <cell r="D125">
            <v>1.4499999999999999E-3</v>
          </cell>
        </row>
        <row r="126">
          <cell r="C126" t="str">
            <v>Reverse osmosis; wastewater treatment unit, solids reduction; at plant; m3 wastewater - US</v>
          </cell>
          <cell r="D126">
            <v>1.39E-3</v>
          </cell>
        </row>
        <row r="127">
          <cell r="C127" t="str">
            <v>Ultrafilter; wastewater treatment unit, solids reduction; at plant; m3 wastewater - US</v>
          </cell>
          <cell r="D127">
            <v>1.2800000000000001E-3</v>
          </cell>
        </row>
        <row r="128">
          <cell r="C128" t="str">
            <v>Chemical phosphorus removal; wastewater treatment unit, solids reduction; at plant; m3 wastewater - US</v>
          </cell>
          <cell r="D128">
            <v>1.2E-4</v>
          </cell>
        </row>
        <row r="129">
          <cell r="C129" t="str">
            <v>Sludge hauling and landfill; wastewater treatment unit, solids reduction; at plant; m3 wastewater - US</v>
          </cell>
          <cell r="D129">
            <v>1E-4</v>
          </cell>
        </row>
        <row r="130">
          <cell r="C130" t="str">
            <v>Chlorination; wastewater treatment unit, solids reduction; at plant; m3 wastewater - US</v>
          </cell>
          <cell r="D130">
            <v>8.9035299999999998E-5</v>
          </cell>
        </row>
        <row r="131">
          <cell r="C131" t="str">
            <v>Centrifuge; wastewater treatment unit, solids reduction; at plant; m3 wastewater - US</v>
          </cell>
          <cell r="D131">
            <v>6.3938300000000004E-5</v>
          </cell>
        </row>
        <row r="132">
          <cell r="C132" t="str">
            <v>Anaerobic digester; wastewater treatment unit, solids reduction; at plant; m3 wastewater - US</v>
          </cell>
          <cell r="D132">
            <v>5.1906500000000002E-5</v>
          </cell>
        </row>
        <row r="133">
          <cell r="C133" t="str">
            <v>Denitrification, attached growth; wastewater treatment unit, solids reduction; at plant; m3 wastewater - US</v>
          </cell>
          <cell r="D133">
            <v>4.0037100000000003E-5</v>
          </cell>
        </row>
        <row r="134">
          <cell r="C134" t="str">
            <v>Filtration, sand filter; wastewater treatment unit, solids reduction; at plant; m3 wastewater - US</v>
          </cell>
          <cell r="D134">
            <v>1.4821700000000001E-5</v>
          </cell>
        </row>
        <row r="135">
          <cell r="C135" t="str">
            <v>Dechlorination; wastewater treatment unit, solids reduction; at plant; m3 wastewater - US</v>
          </cell>
          <cell r="D135">
            <v>1.3849099999999999E-5</v>
          </cell>
        </row>
        <row r="136">
          <cell r="C136" t="str">
            <v>Screening and grit removal; wastewater treatment unit, solids reduction; at plant; m3 wastewater - US</v>
          </cell>
          <cell r="D136">
            <v>8.16073E-6</v>
          </cell>
        </row>
        <row r="137">
          <cell r="C137" t="str">
            <v>Secondary clarifier; wastewater treatment unit, solids reduction; at plant; m3 wastewater - US</v>
          </cell>
          <cell r="D137">
            <v>7.6631900000000007E-6</v>
          </cell>
        </row>
        <row r="138">
          <cell r="C138" t="str">
            <v>Primary clarifier; wastewater treatment unit, solids reduction; at plant; m3 wastewater - US</v>
          </cell>
          <cell r="D138">
            <v>5.1881700000000002E-6</v>
          </cell>
        </row>
        <row r="139">
          <cell r="C139" t="str">
            <v>Gravity thickener; wastewater treatment unit, solids reduction; at plant; m3 wastewater - US</v>
          </cell>
          <cell r="D139">
            <v>2.2493499999999999E-6</v>
          </cell>
        </row>
        <row r="140">
          <cell r="C140" t="str">
            <v>Fermentation; wastewater treatment unit, solids reduction; at plant; m3 - US</v>
          </cell>
          <cell r="D140">
            <v>2.50719E-6</v>
          </cell>
        </row>
        <row r="141">
          <cell r="C141" t="str">
            <v>Effluent release; wastewater treatment unit; at surface water; m3 wastewater - US</v>
          </cell>
          <cell r="D141">
            <v>0</v>
          </cell>
        </row>
        <row r="146">
          <cell r="C146" t="str">
            <v>Underground injection of brine; wastewater treatment unit, solids reduction; at injection site; m3 wastewater - US</v>
          </cell>
          <cell r="D146">
            <v>0.1696</v>
          </cell>
        </row>
        <row r="147">
          <cell r="C147" t="str">
            <v>Reverse osmosis; wastewater treatment unit, solids reduction; at plant; m3 wastewater - US</v>
          </cell>
          <cell r="D147">
            <v>1.33E-3</v>
          </cell>
        </row>
        <row r="148">
          <cell r="C148" t="str">
            <v>Biological nutrient removal-5-stage; wastewater treatment unit, solids reduction; at plant; m3 wastewater - US</v>
          </cell>
          <cell r="D148">
            <v>1.01E-3</v>
          </cell>
        </row>
        <row r="149">
          <cell r="C149" t="str">
            <v>Membrane filter; wastewater treatment unit, solids reduction; at plant; m3 wastewater - US</v>
          </cell>
          <cell r="D149">
            <v>4.2999999999999999E-4</v>
          </cell>
        </row>
        <row r="150">
          <cell r="C150" t="str">
            <v>Sludge hauling and landfill; wastewater treatment unit, solids reduction; at plant; m3 wastewater - US</v>
          </cell>
          <cell r="D150">
            <v>1E-4</v>
          </cell>
        </row>
        <row r="151">
          <cell r="C151" t="str">
            <v>Chlorination; wastewater treatment unit, solids reduction; at plant; m3 wastewater - US</v>
          </cell>
          <cell r="D151">
            <v>9.0004400000000002E-5</v>
          </cell>
        </row>
        <row r="152">
          <cell r="C152" t="str">
            <v>Centrifuge; wastewater treatment unit, solids reduction; at plant; m3 wastewater - US</v>
          </cell>
          <cell r="D152">
            <v>6.2061299999999995E-5</v>
          </cell>
        </row>
        <row r="153">
          <cell r="C153" t="str">
            <v>Anaerobic digester; wastewater treatment unit, solids reduction; at plant; m3 wastewater - US</v>
          </cell>
          <cell r="D153">
            <v>5.0804399999999998E-5</v>
          </cell>
        </row>
        <row r="154">
          <cell r="C154" t="str">
            <v>Dechlorination; wastewater treatment unit, solids reduction; at plant; m3 wastewater - US</v>
          </cell>
          <cell r="D154">
            <v>1.38516E-5</v>
          </cell>
        </row>
        <row r="155">
          <cell r="C155" t="str">
            <v>Screening and grit removal; wastewater treatment unit, solids reduction; at plant; m3 wastewater - US</v>
          </cell>
          <cell r="D155">
            <v>8.1433299999999992E-6</v>
          </cell>
        </row>
        <row r="156">
          <cell r="C156" t="str">
            <v>Chemical phosphorus removal; wastewater treatment unit, solids reduction; at plant; m3 wastewater - US</v>
          </cell>
          <cell r="D156">
            <v>7.1018700000000002E-6</v>
          </cell>
        </row>
        <row r="157">
          <cell r="C157" t="str">
            <v>Primary clarifier; wastewater treatment unit, solids reduction; at plant; m3 wastewater - US</v>
          </cell>
          <cell r="D157">
            <v>5.1134299999999996E-6</v>
          </cell>
        </row>
        <row r="158">
          <cell r="C158" t="str">
            <v>Gravity thickener; wastewater treatment unit, solids reduction; at plant; m3 wastewater - US</v>
          </cell>
          <cell r="D158">
            <v>2.18556E-6</v>
          </cell>
        </row>
        <row r="159">
          <cell r="C159" t="str">
            <v>Fermentation; wastewater treatment unit, solids reduction; at plant; m3 - US</v>
          </cell>
          <cell r="D159">
            <v>2.50719E-6</v>
          </cell>
        </row>
        <row r="160">
          <cell r="C160" t="str">
            <v>Effluent release; wastewater treatment unit; at surface water; m3 wastewater - US</v>
          </cell>
          <cell r="D160">
            <v>0</v>
          </cell>
        </row>
      </sheetData>
      <sheetData sheetId="27">
        <row r="5">
          <cell r="C5" t="str">
            <v>Activated sludge; wastewater treatment unit, solids reduction; at plant; m3 wastewater - US</v>
          </cell>
          <cell r="D5">
            <v>6.4239100000000004E-9</v>
          </cell>
        </row>
        <row r="6">
          <cell r="C6" t="str">
            <v>Sludge hauling and landfill; wastewater treatment unit, solids reduction; at plant; m3 wastewater - US</v>
          </cell>
          <cell r="D6">
            <v>5.9179500000000002E-9</v>
          </cell>
        </row>
        <row r="7">
          <cell r="C7" t="str">
            <v>Chlorination; wastewater treatment unit, solids reduction; at plant; m3 wastewater - US</v>
          </cell>
          <cell r="D7">
            <v>1.57557E-9</v>
          </cell>
        </row>
        <row r="8">
          <cell r="C8" t="str">
            <v>Centrifuge; wastewater treatment unit, solids reduction; at plant; m3 wastewater - US</v>
          </cell>
          <cell r="D8">
            <v>9.4908600000000005E-10</v>
          </cell>
        </row>
        <row r="9">
          <cell r="C9" t="str">
            <v>Anaerobic digester; wastewater treatment unit, solids reduction; at plant; m3 wastewater - US</v>
          </cell>
          <cell r="D9">
            <v>9.2852599999999996E-10</v>
          </cell>
        </row>
        <row r="10">
          <cell r="C10" t="str">
            <v>Dechlorination; wastewater treatment unit, solids reduction; at plant; m3 wastewater - US</v>
          </cell>
          <cell r="D10">
            <v>1.5234899999999999E-10</v>
          </cell>
        </row>
        <row r="11">
          <cell r="C11" t="str">
            <v>Screening and grit removal; wastewater treatment unit, solids reduction; at plant; m3 wastewater - US</v>
          </cell>
          <cell r="D11">
            <v>1.4999500000000001E-10</v>
          </cell>
        </row>
        <row r="12">
          <cell r="C12" t="str">
            <v>Secondary clarifier; wastewater treatment unit, solids reduction; at plant; m3 wastewater - US</v>
          </cell>
          <cell r="D12">
            <v>6.7068299999999995E-11</v>
          </cell>
        </row>
        <row r="13">
          <cell r="C13" t="str">
            <v>Primary clarifier; wastewater treatment unit, solids reduction; at plant; m3 wastewater - US</v>
          </cell>
          <cell r="D13">
            <v>4.5249300000000002E-11</v>
          </cell>
        </row>
        <row r="14">
          <cell r="C14" t="str">
            <v>Gravity thickener; wastewater treatment unit, solids reduction; at plant; m3 wastewater - US</v>
          </cell>
          <cell r="D14">
            <v>3.39164E-11</v>
          </cell>
        </row>
        <row r="15">
          <cell r="C15" t="str">
            <v>Effluent release; wastewater treatment unit; at surface water; m3 wastewater - US</v>
          </cell>
          <cell r="D15">
            <v>0</v>
          </cell>
        </row>
        <row r="20">
          <cell r="C20" t="str">
            <v>Biological nutrient removal-3-stage; wastewater treatment unit, solids reduction; at plant; m3 wastewater - US</v>
          </cell>
          <cell r="D20">
            <v>1.9005899999999999E-8</v>
          </cell>
        </row>
        <row r="21">
          <cell r="C21" t="str">
            <v>Sludge hauling and landfill; wastewater treatment unit, solids reduction; at plant; m3 wastewater - US</v>
          </cell>
          <cell r="D21">
            <v>5.1050199999999998E-9</v>
          </cell>
        </row>
        <row r="22">
          <cell r="C22" t="str">
            <v>Chlorination; wastewater treatment unit, solids reduction; at plant; m3 wastewater - US</v>
          </cell>
          <cell r="D22">
            <v>1.34603E-9</v>
          </cell>
        </row>
        <row r="23">
          <cell r="C23" t="str">
            <v>Anaerobic digester; wastewater treatment unit, solids reduction; at plant; m3 wastewater - US</v>
          </cell>
          <cell r="D23">
            <v>8.1735999999999996E-10</v>
          </cell>
        </row>
        <row r="24">
          <cell r="C24" t="str">
            <v>Centrifuge; wastewater treatment unit, solids reduction; at plant; m3 wastewater - US</v>
          </cell>
          <cell r="D24">
            <v>8.1152699999999996E-10</v>
          </cell>
        </row>
        <row r="25">
          <cell r="C25" t="str">
            <v>Dechlorination; wastewater treatment unit, solids reduction; at plant; m3 wastewater - US</v>
          </cell>
          <cell r="D25">
            <v>1.5234899999999999E-10</v>
          </cell>
        </row>
        <row r="26">
          <cell r="C26" t="str">
            <v>Screening and grit removal; wastewater treatment unit, solids reduction; at plant; m3 wastewater - US</v>
          </cell>
          <cell r="D26">
            <v>1.49675E-10</v>
          </cell>
        </row>
        <row r="27">
          <cell r="C27" t="str">
            <v>Secondary clarifier; wastewater treatment unit, solids reduction; at plant; m3 wastewater - US</v>
          </cell>
          <cell r="D27">
            <v>6.146E-11</v>
          </cell>
        </row>
        <row r="28">
          <cell r="C28" t="str">
            <v>Primary clarifier; wastewater treatment unit, solids reduction; at plant; m3 wastewater - US</v>
          </cell>
          <cell r="D28">
            <v>4.48899E-11</v>
          </cell>
        </row>
        <row r="29">
          <cell r="C29" t="str">
            <v>Gravity thickener; wastewater treatment unit, solids reduction; at plant; m3 wastewater - US</v>
          </cell>
          <cell r="D29">
            <v>3.2034499999999998E-11</v>
          </cell>
        </row>
        <row r="30">
          <cell r="C30" t="str">
            <v>Effluent release; wastewater treatment unit; at surface water; m3 wastewater - US</v>
          </cell>
          <cell r="D30">
            <v>0</v>
          </cell>
        </row>
        <row r="35">
          <cell r="C35" t="str">
            <v>Chemical phosphorus removal; wastewater treatment unit, solids reduction; at plant; m3 wastewater - US</v>
          </cell>
          <cell r="D35">
            <v>2.32002E-8</v>
          </cell>
        </row>
        <row r="36">
          <cell r="C36" t="str">
            <v>Sludge hauling and landfill; wastewater treatment unit, solids reduction; at plant; m3 wastewater - US</v>
          </cell>
          <cell r="D36">
            <v>9.2538899999999994E-9</v>
          </cell>
        </row>
        <row r="37">
          <cell r="C37" t="str">
            <v>Nitrification, suspended growth; wastewater treatment unit, solids reduction; at plant; m3 wastewater - US</v>
          </cell>
          <cell r="D37">
            <v>7.1326199999999997E-9</v>
          </cell>
        </row>
        <row r="38">
          <cell r="C38" t="str">
            <v>Activated sludge; wastewater treatment unit, solids reduction; at plant; m3 wastewater - US</v>
          </cell>
          <cell r="D38">
            <v>6.4280200000000003E-9</v>
          </cell>
        </row>
        <row r="39">
          <cell r="C39" t="str">
            <v>Denitrification, suspended growth; wastewater treatment unit, solids reduction; at plant; m3 wastewater - US</v>
          </cell>
          <cell r="D39">
            <v>6.0466299999999998E-9</v>
          </cell>
        </row>
        <row r="40">
          <cell r="C40" t="str">
            <v>Centrifuge; wastewater treatment unit, solids reduction; at plant; m3 wastewater - US</v>
          </cell>
          <cell r="D40">
            <v>1.37188E-9</v>
          </cell>
        </row>
        <row r="41">
          <cell r="C41" t="str">
            <v>Chlorination; wastewater treatment unit, solids reduction; at plant; m3 wastewater - US</v>
          </cell>
          <cell r="D41">
            <v>1.3449399999999999E-9</v>
          </cell>
        </row>
        <row r="42">
          <cell r="C42" t="str">
            <v>Anaerobic digester; wastewater treatment unit, solids reduction; at plant; m3 wastewater - US</v>
          </cell>
          <cell r="D42">
            <v>1.1886800000000001E-9</v>
          </cell>
        </row>
        <row r="43">
          <cell r="C43" t="str">
            <v>Dechlorination; wastewater treatment unit, solids reduction; at plant; m3 wastewater - US</v>
          </cell>
          <cell r="D43">
            <v>1.5234899999999999E-10</v>
          </cell>
        </row>
        <row r="44">
          <cell r="C44" t="str">
            <v>Screening and grit removal; wastewater treatment unit, solids reduction; at plant; m3 wastewater - US</v>
          </cell>
          <cell r="D44">
            <v>1.5095399999999999E-10</v>
          </cell>
        </row>
        <row r="45">
          <cell r="C45" t="str">
            <v>Secondary clarifier; wastewater treatment unit, solids reduction; at plant; m3 wastewater - US</v>
          </cell>
          <cell r="D45">
            <v>6.8635400000000002E-11</v>
          </cell>
        </row>
        <row r="46">
          <cell r="C46" t="str">
            <v>Tertiary clarification, denitrification; wastewater treatment unit, solids reduction; at plant; m3 wastewater - US</v>
          </cell>
          <cell r="D46">
            <v>5.5243999999999997E-11</v>
          </cell>
        </row>
        <row r="47">
          <cell r="C47" t="str">
            <v>Tertiary clarification, nitrification; wastewater treatment unit, solids reduction; at plant; m3 wastewater - US</v>
          </cell>
          <cell r="D47">
            <v>4.7276699999999999E-11</v>
          </cell>
        </row>
        <row r="48">
          <cell r="C48" t="str">
            <v>Primary clarifier; wastewater treatment unit, solids reduction; at plant; m3 wastewater - US</v>
          </cell>
          <cell r="D48">
            <v>4.6048799999999997E-11</v>
          </cell>
        </row>
        <row r="49">
          <cell r="C49" t="str">
            <v>Gravity thickener; wastewater treatment unit, solids reduction; at plant; m3 wastewater - US</v>
          </cell>
          <cell r="D49">
            <v>3.6982899999999998E-11</v>
          </cell>
        </row>
        <row r="50">
          <cell r="C50" t="str">
            <v>Effluent release; wastewater treatment unit; at surface water; m3 wastewater - US</v>
          </cell>
          <cell r="D50">
            <v>0</v>
          </cell>
        </row>
        <row r="55">
          <cell r="C55" t="str">
            <v>Biological nutrient removal-5-stage; wastewater treatment unit, solids reduction; at plant; m3 wastewater - US</v>
          </cell>
          <cell r="D55">
            <v>2.3029000000000001E-8</v>
          </cell>
        </row>
        <row r="56">
          <cell r="C56" t="str">
            <v>Sludge hauling and landfill; wastewater treatment unit, solids reduction; at plant; m3 wastewater - US</v>
          </cell>
          <cell r="D56">
            <v>6.4007899999999998E-9</v>
          </cell>
        </row>
        <row r="57">
          <cell r="C57" t="str">
            <v>Chlorination; wastewater treatment unit, solids reduction; at plant; m3 wastewater - US</v>
          </cell>
          <cell r="D57">
            <v>1.1605299999999999E-9</v>
          </cell>
        </row>
        <row r="58">
          <cell r="C58" t="str">
            <v>Chemical phosphorus removal; wastewater treatment unit, solids reduction; at plant; m3 wastewater - US</v>
          </cell>
          <cell r="D58">
            <v>1.16001E-9</v>
          </cell>
        </row>
        <row r="59">
          <cell r="C59" t="str">
            <v>Centrifuge; wastewater treatment unit, solids reduction; at plant; m3 wastewater - US</v>
          </cell>
          <cell r="D59">
            <v>9.7359100000000006E-10</v>
          </cell>
        </row>
        <row r="60">
          <cell r="C60" t="str">
            <v>Anaerobic digester; wastewater treatment unit, solids reduction; at plant; m3 wastewater - US</v>
          </cell>
          <cell r="D60">
            <v>9.19189E-10</v>
          </cell>
        </row>
        <row r="61">
          <cell r="C61" t="str">
            <v>Filtration, sand filter; wastewater treatment unit, solids reduction; at plant; m3 wastewater - US</v>
          </cell>
          <cell r="D61">
            <v>2.6050300000000001E-10</v>
          </cell>
        </row>
        <row r="62">
          <cell r="C62" t="str">
            <v>Dechlorination; wastewater treatment unit, solids reduction; at plant; m3 wastewater - US</v>
          </cell>
          <cell r="D62">
            <v>1.5234899999999999E-10</v>
          </cell>
        </row>
        <row r="63">
          <cell r="C63" t="str">
            <v>Screening and grit removal; wastewater treatment unit, solids reduction; at plant; m3 wastewater - US</v>
          </cell>
          <cell r="D63">
            <v>1.4999500000000001E-10</v>
          </cell>
        </row>
        <row r="64">
          <cell r="C64" t="str">
            <v>Secondary clarifier; wastewater treatment unit, solids reduction; at plant; m3 wastewater - US</v>
          </cell>
          <cell r="D64">
            <v>6.7803900000000004E-11</v>
          </cell>
        </row>
        <row r="65">
          <cell r="C65" t="str">
            <v>Primary clarifier; wastewater treatment unit, solids reduction; at plant; m3 wastewater - US</v>
          </cell>
          <cell r="D65">
            <v>4.4793899999999997E-11</v>
          </cell>
        </row>
        <row r="66">
          <cell r="C66" t="str">
            <v>Gravity thickener; wastewater treatment unit, solids reduction; at plant; m3 wastewater - US</v>
          </cell>
          <cell r="D66">
            <v>3.3229699999999999E-11</v>
          </cell>
        </row>
        <row r="67">
          <cell r="C67" t="str">
            <v>Fermentation; wastewater treatment unit, solids reduction; at plant; m3 - US</v>
          </cell>
          <cell r="D67">
            <v>4.0030000000000003E-11</v>
          </cell>
        </row>
        <row r="68">
          <cell r="C68" t="str">
            <v>Effluent release; wastewater treatment unit; at surface water; m3 wastewater - US</v>
          </cell>
          <cell r="D68">
            <v>0</v>
          </cell>
        </row>
        <row r="73">
          <cell r="C73" t="str">
            <v>Biological nutrient removal-4-stage; wastewater treatment unit, solids reduction; at plant; m3 wastewater - US</v>
          </cell>
          <cell r="D73">
            <v>2.4627899999999998E-8</v>
          </cell>
        </row>
        <row r="74">
          <cell r="C74" t="str">
            <v>Sludge hauling and landfill; wastewater treatment unit, solids reduction; at plant; m3 wastewater - US</v>
          </cell>
          <cell r="D74">
            <v>6.4011899999999999E-9</v>
          </cell>
        </row>
        <row r="75">
          <cell r="C75" t="str">
            <v>Chlorination; wastewater treatment unit, solids reduction; at plant; m3 wastewater - US</v>
          </cell>
          <cell r="D75">
            <v>1.1605299999999999E-9</v>
          </cell>
        </row>
        <row r="76">
          <cell r="C76" t="str">
            <v>Chemical phosphorus removal; wastewater treatment unit, solids reduction; at plant; m3 wastewater - US</v>
          </cell>
          <cell r="D76">
            <v>1.16001E-9</v>
          </cell>
        </row>
        <row r="77">
          <cell r="C77" t="str">
            <v>Centrifuge; wastewater treatment unit, solids reduction; at plant; m3 wastewater - US</v>
          </cell>
          <cell r="D77">
            <v>9.7359100000000006E-10</v>
          </cell>
        </row>
        <row r="78">
          <cell r="C78" t="str">
            <v>Anaerobic digester; wastewater treatment unit, solids reduction; at plant; m3 wastewater - US</v>
          </cell>
          <cell r="D78">
            <v>8.9133700000000002E-10</v>
          </cell>
        </row>
        <row r="79">
          <cell r="C79" t="str">
            <v>Filtration, sand filter; wastewater treatment unit, solids reduction; at plant; m3 wastewater - US</v>
          </cell>
          <cell r="D79">
            <v>2.6050300000000001E-10</v>
          </cell>
        </row>
        <row r="80">
          <cell r="C80" t="str">
            <v>Dechlorination; wastewater treatment unit, solids reduction; at plant; m3 wastewater - US</v>
          </cell>
          <cell r="D80">
            <v>1.5234899999999999E-10</v>
          </cell>
        </row>
        <row r="81">
          <cell r="C81" t="str">
            <v>Screening and grit removal; wastewater treatment unit, solids reduction; at plant; m3 wastewater - US</v>
          </cell>
          <cell r="D81">
            <v>1.4999500000000001E-10</v>
          </cell>
        </row>
        <row r="82">
          <cell r="C82" t="str">
            <v>Secondary clarifier; wastewater treatment unit, solids reduction; at plant; m3 wastewater - US</v>
          </cell>
          <cell r="D82">
            <v>6.7819800000000006E-11</v>
          </cell>
        </row>
        <row r="83">
          <cell r="C83" t="str">
            <v>Primary clarifier; wastewater treatment unit, solids reduction; at plant; m3 wastewater - US</v>
          </cell>
          <cell r="D83">
            <v>4.5049800000000003E-11</v>
          </cell>
        </row>
        <row r="84">
          <cell r="C84" t="str">
            <v>Fermentation; wastewater treatment unit, solids reduction; at plant; m3 - US</v>
          </cell>
          <cell r="D84">
            <v>4.0030000000000003E-11</v>
          </cell>
        </row>
        <row r="85">
          <cell r="C85" t="str">
            <v>Gravity thickener; wastewater treatment unit, solids reduction; at plant; m3 wastewater - US</v>
          </cell>
          <cell r="D85">
            <v>3.3229699999999999E-11</v>
          </cell>
        </row>
        <row r="86">
          <cell r="C86" t="str">
            <v>Effluent release; wastewater treatment unit; at surface water; m3 wastewater - US</v>
          </cell>
          <cell r="D86">
            <v>0</v>
          </cell>
        </row>
        <row r="91">
          <cell r="C91" t="str">
            <v>Biological nutrient removal-5-stage; wastewater treatment unit, solids reduction; at plant; m3 wastewater - US</v>
          </cell>
          <cell r="D91">
            <v>2.30304E-8</v>
          </cell>
        </row>
        <row r="92">
          <cell r="C92" t="str">
            <v>Sludge hauling and landfill; wastewater treatment unit, solids reduction; at plant; m3 wastewater - US</v>
          </cell>
          <cell r="D92">
            <v>6.4447999999999999E-9</v>
          </cell>
        </row>
        <row r="93">
          <cell r="C93" t="str">
            <v>Denitrification, attached growth; wastewater treatment unit, solids reduction; at plant; m3 wastewater - US</v>
          </cell>
          <cell r="D93">
            <v>5.9390299999999999E-9</v>
          </cell>
        </row>
        <row r="94">
          <cell r="C94" t="str">
            <v>Chemical phosphorus removal; wastewater treatment unit, solids reduction; at plant; m3 wastewater - US</v>
          </cell>
          <cell r="D94">
            <v>3.48776E-9</v>
          </cell>
        </row>
        <row r="95">
          <cell r="C95" t="str">
            <v>Chlorination; wastewater treatment unit, solids reduction; at plant; m3 wastewater - US</v>
          </cell>
          <cell r="D95">
            <v>1.1605299999999999E-9</v>
          </cell>
        </row>
        <row r="96">
          <cell r="C96" t="str">
            <v>Centrifuge; wastewater treatment unit, solids reduction; at plant; m3 wastewater - US</v>
          </cell>
          <cell r="D96">
            <v>9.8122299999999997E-10</v>
          </cell>
        </row>
        <row r="97">
          <cell r="C97" t="str">
            <v>Anaerobic digester; wastewater treatment unit, solids reduction; at plant; m3 wastewater - US</v>
          </cell>
          <cell r="D97">
            <v>8.9173899999999995E-10</v>
          </cell>
        </row>
        <row r="98">
          <cell r="C98" t="str">
            <v>Filtration, sand filter; wastewater treatment unit, solids reduction; at plant; m3 wastewater - US</v>
          </cell>
          <cell r="D98">
            <v>2.6050300000000001E-10</v>
          </cell>
        </row>
        <row r="99">
          <cell r="C99" t="str">
            <v>Dechlorination; wastewater treatment unit, solids reduction; at plant; m3 wastewater - US</v>
          </cell>
          <cell r="D99">
            <v>1.5234899999999999E-10</v>
          </cell>
        </row>
        <row r="100">
          <cell r="C100" t="str">
            <v>Screening and grit removal; wastewater treatment unit, solids reduction; at plant; m3 wastewater - US</v>
          </cell>
          <cell r="D100">
            <v>1.4999500000000001E-10</v>
          </cell>
        </row>
        <row r="101">
          <cell r="C101" t="str">
            <v>Secondary clarifier; wastewater treatment unit, solids reduction; at plant; m3 wastewater - US</v>
          </cell>
          <cell r="D101">
            <v>6.79638E-11</v>
          </cell>
        </row>
        <row r="102">
          <cell r="C102" t="str">
            <v>Primary clarifier; wastewater treatment unit, solids reduction; at plant; m3 wastewater - US</v>
          </cell>
          <cell r="D102">
            <v>4.5185300000000002E-11</v>
          </cell>
        </row>
        <row r="103">
          <cell r="C103" t="str">
            <v>Gravity thickener; wastewater treatment unit, solids reduction; at plant; m3 wastewater - US</v>
          </cell>
          <cell r="D103">
            <v>3.3229699999999999E-11</v>
          </cell>
        </row>
        <row r="104">
          <cell r="C104" t="str">
            <v>Fermentation; wastewater treatment unit, solids reduction; at plant; m3 - US</v>
          </cell>
          <cell r="D104">
            <v>4.0030000000000003E-11</v>
          </cell>
        </row>
        <row r="105">
          <cell r="C105" t="str">
            <v>Effluent release; wastewater treatment unit; at surface water; m3 wastewater - US</v>
          </cell>
          <cell r="D105">
            <v>0</v>
          </cell>
        </row>
        <row r="110">
          <cell r="C110" t="str">
            <v>Biological nutrient removal-4-stage; wastewater treatment unit, solids reduction; at plant; m3 wastewater - US</v>
          </cell>
          <cell r="D110">
            <v>1.55897E-8</v>
          </cell>
        </row>
        <row r="111">
          <cell r="C111" t="str">
            <v>Membrane filter; wastewater treatment unit, solids reduction; at plant; m3 wastewater - US</v>
          </cell>
          <cell r="D111">
            <v>7.9767199999999993E-9</v>
          </cell>
        </row>
        <row r="112">
          <cell r="C112" t="str">
            <v>Sludge hauling and landfill; wastewater treatment unit, solids reduction; at plant; m3 wastewater - US</v>
          </cell>
          <cell r="D112">
            <v>6.4432299999999999E-9</v>
          </cell>
        </row>
        <row r="113">
          <cell r="C113" t="str">
            <v>Chlorination; wastewater treatment unit, solids reduction; at plant; m3 wastewater - US</v>
          </cell>
          <cell r="D113">
            <v>1.1605299999999999E-9</v>
          </cell>
        </row>
        <row r="114">
          <cell r="C114" t="str">
            <v>Centrifuge; wastewater treatment unit, solids reduction; at plant; m3 wastewater - US</v>
          </cell>
          <cell r="D114">
            <v>9.8545800000000001E-10</v>
          </cell>
        </row>
        <row r="115">
          <cell r="C115" t="str">
            <v>Anaerobic digester; wastewater treatment unit, solids reduction; at plant; m3 wastewater - US</v>
          </cell>
          <cell r="D115">
            <v>9.0173499999999999E-10</v>
          </cell>
        </row>
        <row r="116">
          <cell r="C116" t="str">
            <v>Chemical phosphorus removal; wastewater treatment unit, solids reduction; at plant; m3 wastewater - US</v>
          </cell>
          <cell r="D116">
            <v>5.9758000000000002E-10</v>
          </cell>
        </row>
        <row r="117">
          <cell r="C117" t="str">
            <v>Dechlorination; wastewater treatment unit, solids reduction; at plant; m3 wastewater - US</v>
          </cell>
          <cell r="D117">
            <v>1.5234899999999999E-10</v>
          </cell>
        </row>
        <row r="118">
          <cell r="C118" t="str">
            <v>Screening and grit removal; wastewater treatment unit, solids reduction; at plant; m3 wastewater - US</v>
          </cell>
          <cell r="D118">
            <v>1.49675E-10</v>
          </cell>
        </row>
        <row r="119">
          <cell r="C119" t="str">
            <v>Primary clarifier; wastewater treatment unit, solids reduction; at plant; m3 wastewater - US</v>
          </cell>
          <cell r="D119">
            <v>4.5049800000000003E-11</v>
          </cell>
        </row>
        <row r="120">
          <cell r="C120" t="str">
            <v>Gravity thickener; wastewater treatment unit, solids reduction; at plant; m3 wastewater - US</v>
          </cell>
          <cell r="D120">
            <v>3.3276700000000002E-11</v>
          </cell>
        </row>
        <row r="121">
          <cell r="C121" t="str">
            <v>Effluent release; wastewater treatment unit; at surface water; m3 wastewater - US</v>
          </cell>
          <cell r="D121">
            <v>0</v>
          </cell>
        </row>
        <row r="126">
          <cell r="C126" t="str">
            <v>Biological nutrient removal-5-stage; wastewater treatment unit, solids reduction; at plant; m3 wastewater - US</v>
          </cell>
          <cell r="D126">
            <v>2.5588800000000001E-8</v>
          </cell>
        </row>
        <row r="127">
          <cell r="C127" t="str">
            <v>Reverse osmosis; wastewater treatment unit, solids reduction; at plant; m3 wastewater - US</v>
          </cell>
          <cell r="D127">
            <v>2.0888300000000001E-8</v>
          </cell>
        </row>
        <row r="128">
          <cell r="C128" t="str">
            <v>Underground injection of brine; wastewater treatment unit, solids reduction; at injection site; m3 wastewater - US</v>
          </cell>
          <cell r="D128">
            <v>1.4669800000000001E-8</v>
          </cell>
        </row>
        <row r="129">
          <cell r="C129" t="str">
            <v>Ultrafilter; wastewater treatment unit, solids reduction; at plant; m3 wastewater - US</v>
          </cell>
          <cell r="D129">
            <v>8.3696199999999995E-9</v>
          </cell>
        </row>
        <row r="130">
          <cell r="C130" t="str">
            <v>Sludge hauling and landfill; wastewater treatment unit, solids reduction; at plant; m3 wastewater - US</v>
          </cell>
          <cell r="D130">
            <v>6.4438200000000002E-9</v>
          </cell>
        </row>
        <row r="131">
          <cell r="C131" t="str">
            <v>Chemical phosphorus removal; wastewater treatment unit, solids reduction; at plant; m3 wastewater - US</v>
          </cell>
          <cell r="D131">
            <v>1.19516E-9</v>
          </cell>
        </row>
        <row r="132">
          <cell r="C132" t="str">
            <v>Centrifuge; wastewater treatment unit, solids reduction; at plant; m3 wastewater - US</v>
          </cell>
          <cell r="D132">
            <v>9.8149799999999995E-10</v>
          </cell>
        </row>
        <row r="133">
          <cell r="C133" t="str">
            <v>Anaerobic digester; wastewater treatment unit, solids reduction; at plant; m3 wastewater - US</v>
          </cell>
          <cell r="D133">
            <v>8.9173899999999995E-10</v>
          </cell>
        </row>
        <row r="134">
          <cell r="C134" t="str">
            <v>Chlorination; wastewater treatment unit, solids reduction; at plant; m3 wastewater - US</v>
          </cell>
          <cell r="D134">
            <v>8.6132800000000005E-10</v>
          </cell>
        </row>
        <row r="135">
          <cell r="C135" t="str">
            <v>Denitrification, attached growth; wastewater treatment unit, solids reduction; at plant; m3 wastewater - US</v>
          </cell>
          <cell r="D135">
            <v>6.9205699999999996E-10</v>
          </cell>
        </row>
        <row r="136">
          <cell r="C136" t="str">
            <v>Filtration, sand filter; wastewater treatment unit, solids reduction; at plant; m3 wastewater - US</v>
          </cell>
          <cell r="D136">
            <v>2.6050300000000001E-10</v>
          </cell>
        </row>
        <row r="137">
          <cell r="C137" t="str">
            <v>Dechlorination; wastewater treatment unit, solids reduction; at plant; m3 wastewater - US</v>
          </cell>
          <cell r="D137">
            <v>1.50684E-10</v>
          </cell>
        </row>
        <row r="138">
          <cell r="C138" t="str">
            <v>Screening and grit removal; wastewater treatment unit, solids reduction; at plant; m3 wastewater - US</v>
          </cell>
          <cell r="D138">
            <v>1.4999500000000001E-10</v>
          </cell>
        </row>
        <row r="139">
          <cell r="C139" t="str">
            <v>Secondary clarifier; wastewater treatment unit, solids reduction; at plant; m3 wastewater - US</v>
          </cell>
          <cell r="D139">
            <v>6.79638E-11</v>
          </cell>
        </row>
        <row r="140">
          <cell r="C140" t="str">
            <v>Primary clarifier; wastewater treatment unit, solids reduction; at plant; m3 wastewater - US</v>
          </cell>
          <cell r="D140">
            <v>4.5185300000000002E-11</v>
          </cell>
        </row>
        <row r="141">
          <cell r="C141" t="str">
            <v>Gravity thickener; wastewater treatment unit, solids reduction; at plant; m3 wastewater - US</v>
          </cell>
          <cell r="D141">
            <v>3.3229699999999999E-11</v>
          </cell>
        </row>
        <row r="142">
          <cell r="C142" t="str">
            <v>Fermentation; wastewater treatment unit, solids reduction; at plant; m3 - US</v>
          </cell>
          <cell r="D142">
            <v>4.0030000000000003E-11</v>
          </cell>
        </row>
        <row r="143">
          <cell r="C143" t="str">
            <v>Effluent release; wastewater treatment unit; at surface water; m3 wastewater - US</v>
          </cell>
          <cell r="D143">
            <v>0</v>
          </cell>
        </row>
        <row r="148">
          <cell r="C148" t="str">
            <v>Reverse osmosis; wastewater treatment unit, solids reduction; at plant; m3 wastewater - US</v>
          </cell>
          <cell r="D148">
            <v>1.9750199999999999E-8</v>
          </cell>
        </row>
        <row r="149">
          <cell r="C149" t="str">
            <v>Biological nutrient removal-5-stage; wastewater treatment unit, solids reduction; at plant; m3 wastewater - US</v>
          </cell>
          <cell r="D149">
            <v>1.81139E-8</v>
          </cell>
        </row>
        <row r="150">
          <cell r="C150" t="str">
            <v>Underground injection of brine; wastewater treatment unit, solids reduction; at injection site; m3 wastewater - US</v>
          </cell>
          <cell r="D150">
            <v>1.4669800000000001E-8</v>
          </cell>
        </row>
        <row r="151">
          <cell r="C151" t="str">
            <v>Membrane filter; wastewater treatment unit, solids reduction; at plant; m3 wastewater - US</v>
          </cell>
          <cell r="D151">
            <v>7.9698499999999997E-9</v>
          </cell>
        </row>
        <row r="152">
          <cell r="C152" t="str">
            <v>Sludge hauling and landfill; wastewater treatment unit, solids reduction; at plant; m3 wastewater - US</v>
          </cell>
          <cell r="D152">
            <v>6.2502400000000001E-9</v>
          </cell>
        </row>
        <row r="153">
          <cell r="C153" t="str">
            <v>Centrifuge; wastewater treatment unit, solids reduction; at plant; m3 wastewater - US</v>
          </cell>
          <cell r="D153">
            <v>9.5304499999999999E-10</v>
          </cell>
        </row>
        <row r="154">
          <cell r="C154" t="str">
            <v>Anaerobic digester; wastewater treatment unit, solids reduction; at plant; m3 wastewater - US</v>
          </cell>
          <cell r="D154">
            <v>8.7134400000000005E-10</v>
          </cell>
        </row>
        <row r="155">
          <cell r="C155" t="str">
            <v>Chlorination; wastewater treatment unit, solids reduction; at plant; m3 wastewater - US</v>
          </cell>
          <cell r="D155">
            <v>8.6783799999999996E-10</v>
          </cell>
        </row>
        <row r="156">
          <cell r="C156" t="str">
            <v>Dechlorination; wastewater treatment unit, solids reduction; at plant; m3 wastewater - US</v>
          </cell>
          <cell r="D156">
            <v>1.5068899999999999E-10</v>
          </cell>
        </row>
        <row r="157">
          <cell r="C157" t="str">
            <v>Screening and grit removal; wastewater treatment unit, solids reduction; at plant; m3 wastewater - US</v>
          </cell>
          <cell r="D157">
            <v>1.49675E-10</v>
          </cell>
        </row>
        <row r="158">
          <cell r="C158" t="str">
            <v>Chemical phosphorus removal; wastewater treatment unit, solids reduction; at plant; m3 wastewater - US</v>
          </cell>
          <cell r="D158">
            <v>7.0303600000000003E-11</v>
          </cell>
        </row>
        <row r="159">
          <cell r="C159" t="str">
            <v>Primary clarifier; wastewater treatment unit, solids reduction; at plant; m3 wastewater - US</v>
          </cell>
          <cell r="D159">
            <v>4.4985799999999997E-11</v>
          </cell>
        </row>
        <row r="160">
          <cell r="C160" t="str">
            <v>Gravity thickener; wastewater treatment unit, solids reduction; at plant; m3 wastewater - US</v>
          </cell>
          <cell r="D160">
            <v>3.28222E-11</v>
          </cell>
        </row>
        <row r="161">
          <cell r="C161" t="str">
            <v>Fermentation; wastewater treatment unit, solids reduction; at plant; m3 - US</v>
          </cell>
          <cell r="D161">
            <v>4.0030000000000003E-11</v>
          </cell>
        </row>
        <row r="162">
          <cell r="C162" t="str">
            <v>Effluent release; wastewater treatment unit; at surface water; m3 wastewater - US</v>
          </cell>
          <cell r="D162">
            <v>0</v>
          </cell>
        </row>
      </sheetData>
      <sheetData sheetId="28">
        <row r="5">
          <cell r="C5" t="str">
            <v>Sludge hauling and landfill; wastewater treatment unit, solids reduction; at plant; m3 wastewater - US</v>
          </cell>
          <cell r="D5">
            <v>3.6045199999999998E-7</v>
          </cell>
        </row>
        <row r="6">
          <cell r="C6" t="str">
            <v>Activated sludge; wastewater treatment unit, solids reduction; at plant; m3 wastewater - US</v>
          </cell>
          <cell r="D6">
            <v>4.0346000000000003E-8</v>
          </cell>
        </row>
        <row r="7">
          <cell r="C7" t="str">
            <v>Chlorination; wastewater treatment unit, solids reduction; at plant; m3 wastewater - US</v>
          </cell>
          <cell r="D7">
            <v>6.0753000000000003E-9</v>
          </cell>
        </row>
        <row r="8">
          <cell r="C8" t="str">
            <v>Centrifuge; wastewater treatment unit, solids reduction; at plant; m3 wastewater - US</v>
          </cell>
          <cell r="D8">
            <v>5.5318299999999999E-9</v>
          </cell>
        </row>
        <row r="9">
          <cell r="C9" t="str">
            <v>Anaerobic digester; wastewater treatment unit, solids reduction; at plant; m3 wastewater - US</v>
          </cell>
          <cell r="D9">
            <v>5.5007299999999999E-9</v>
          </cell>
        </row>
        <row r="10">
          <cell r="C10" t="str">
            <v>Screening and grit removal; wastewater treatment unit, solids reduction; at plant; m3 wastewater - US</v>
          </cell>
          <cell r="D10">
            <v>9.464419999999999E-10</v>
          </cell>
        </row>
        <row r="11">
          <cell r="C11" t="str">
            <v>Dechlorination; wastewater treatment unit, solids reduction; at plant; m3 wastewater - US</v>
          </cell>
          <cell r="D11">
            <v>6.9750100000000003E-10</v>
          </cell>
        </row>
        <row r="12">
          <cell r="C12" t="str">
            <v>Secondary clarifier; wastewater treatment unit, solids reduction; at plant; m3 wastewater - US</v>
          </cell>
          <cell r="D12">
            <v>3.8530800000000002E-10</v>
          </cell>
        </row>
        <row r="13">
          <cell r="C13" t="str">
            <v>Primary clarifier; wastewater treatment unit, solids reduction; at plant; m3 wastewater - US</v>
          </cell>
          <cell r="D13">
            <v>2.5574599999999999E-10</v>
          </cell>
        </row>
        <row r="14">
          <cell r="C14" t="str">
            <v>Gravity thickener; wastewater treatment unit, solids reduction; at plant; m3 wastewater - US</v>
          </cell>
          <cell r="D14">
            <v>2.1109299999999999E-10</v>
          </cell>
        </row>
        <row r="15">
          <cell r="C15" t="str">
            <v>Effluent release; wastewater treatment unit; at surface water; m3 wastewater - US</v>
          </cell>
          <cell r="D15">
            <v>0</v>
          </cell>
        </row>
        <row r="20">
          <cell r="C20" t="str">
            <v>Sludge hauling and landfill; wastewater treatment unit, solids reduction; at plant; m3 wastewater - US</v>
          </cell>
          <cell r="D20">
            <v>3.0595099999999998E-7</v>
          </cell>
        </row>
        <row r="21">
          <cell r="C21" t="str">
            <v>Biological nutrient removal-3-stage; wastewater treatment unit, solids reduction; at plant; m3 wastewater - US</v>
          </cell>
          <cell r="D21">
            <v>1.19471E-7</v>
          </cell>
        </row>
        <row r="22">
          <cell r="C22" t="str">
            <v>Chlorination; wastewater treatment unit, solids reduction; at plant; m3 wastewater - US</v>
          </cell>
          <cell r="D22">
            <v>5.85187E-9</v>
          </cell>
        </row>
        <row r="23">
          <cell r="C23" t="str">
            <v>Anaerobic digester; wastewater treatment unit, solids reduction; at plant; m3 wastewater - US</v>
          </cell>
          <cell r="D23">
            <v>4.8009199999999996E-9</v>
          </cell>
        </row>
        <row r="24">
          <cell r="C24" t="str">
            <v>Centrifuge; wastewater treatment unit, solids reduction; at plant; m3 wastewater - US</v>
          </cell>
          <cell r="D24">
            <v>4.73137E-9</v>
          </cell>
        </row>
        <row r="25">
          <cell r="C25" t="str">
            <v>Screening and grit removal; wastewater treatment unit, solids reduction; at plant; m3 wastewater - US</v>
          </cell>
          <cell r="D25">
            <v>9.4442300000000006E-10</v>
          </cell>
        </row>
        <row r="26">
          <cell r="C26" t="str">
            <v>Dechlorination; wastewater treatment unit, solids reduction; at plant; m3 wastewater - US</v>
          </cell>
          <cell r="D26">
            <v>6.9750100000000003E-10</v>
          </cell>
        </row>
        <row r="27">
          <cell r="C27" t="str">
            <v>Secondary clarifier; wastewater treatment unit, solids reduction; at plant; m3 wastewater - US</v>
          </cell>
          <cell r="D27">
            <v>3.4998199999999998E-10</v>
          </cell>
        </row>
        <row r="28">
          <cell r="C28" t="str">
            <v>Primary clarifier; wastewater treatment unit, solids reduction; at plant; m3 wastewater - US</v>
          </cell>
          <cell r="D28">
            <v>2.5388600000000001E-10</v>
          </cell>
        </row>
        <row r="29">
          <cell r="C29" t="str">
            <v>Gravity thickener; wastewater treatment unit, solids reduction; at plant; m3 wastewater - US</v>
          </cell>
          <cell r="D29">
            <v>1.9949100000000001E-10</v>
          </cell>
        </row>
        <row r="30">
          <cell r="C30" t="str">
            <v>Effluent release; wastewater treatment unit; at surface water; m3 wastewater - US</v>
          </cell>
          <cell r="D30">
            <v>0</v>
          </cell>
        </row>
        <row r="35">
          <cell r="C35" t="str">
            <v>Activated sludge, 3-sludge system aggregate; wastewater treatment unit level 2-2, solids reduction; at plant; m3 wastewater - US</v>
          </cell>
          <cell r="D35">
            <v>6.9724800000000002E-7</v>
          </cell>
        </row>
        <row r="36">
          <cell r="C36" t="str">
            <v>Sludge hauling and landfill; wastewater treatment unit, solids reduction; at plant; m3 wastewater - US</v>
          </cell>
          <cell r="D36">
            <v>5.3696300000000004E-7</v>
          </cell>
        </row>
        <row r="37">
          <cell r="C37" t="str">
            <v>Nitrification, suspended growth; wastewater treatment unit, solids reduction; at plant; m3 wastewater - US</v>
          </cell>
          <cell r="D37">
            <v>4.4181700000000002E-8</v>
          </cell>
        </row>
        <row r="38">
          <cell r="C38" t="str">
            <v>Activated sludge; wastewater treatment unit, solids reduction; at plant; m3 wastewater - US</v>
          </cell>
          <cell r="D38">
            <v>4.0368500000000002E-8</v>
          </cell>
        </row>
        <row r="39">
          <cell r="C39" t="str">
            <v>Denitrification, suspended growth; wastewater treatment unit, solids reduction; at plant; m3 wastewater - US</v>
          </cell>
          <cell r="D39">
            <v>3.5042899999999999E-8</v>
          </cell>
        </row>
        <row r="40">
          <cell r="C40" t="str">
            <v>Chemical phosphorus removal; wastewater treatment unit, solids reduction; at plant; m3 wastewater - US</v>
          </cell>
          <cell r="D40">
            <v>1.6719900000000001E-8</v>
          </cell>
        </row>
        <row r="41">
          <cell r="C41" t="str">
            <v>Centrifuge; wastewater treatment unit, solids reduction; at plant; m3 wastewater - US</v>
          </cell>
          <cell r="D41">
            <v>7.9885699999999998E-9</v>
          </cell>
        </row>
        <row r="42">
          <cell r="C42" t="str">
            <v>Anaerobic digester; wastewater treatment unit, solids reduction; at plant; m3 wastewater - US</v>
          </cell>
          <cell r="D42">
            <v>7.0277499999999998E-9</v>
          </cell>
        </row>
        <row r="43">
          <cell r="C43" t="str">
            <v>Chlorination; wastewater treatment unit, solids reduction; at plant; m3 wastewater - US</v>
          </cell>
          <cell r="D43">
            <v>5.84804E-9</v>
          </cell>
        </row>
        <row r="44">
          <cell r="C44" t="str">
            <v>Screening and grit removal; wastewater treatment unit, solids reduction; at plant; m3 wastewater - US</v>
          </cell>
          <cell r="D44">
            <v>9.5249599999999993E-10</v>
          </cell>
        </row>
        <row r="45">
          <cell r="C45" t="str">
            <v>Dechlorination; wastewater treatment unit, solids reduction; at plant; m3 wastewater - US</v>
          </cell>
          <cell r="D45">
            <v>6.9750100000000003E-10</v>
          </cell>
        </row>
        <row r="46">
          <cell r="C46" t="str">
            <v>Secondary clarifier; wastewater treatment unit, solids reduction; at plant; m3 wastewater - US</v>
          </cell>
          <cell r="D46">
            <v>3.9519600000000001E-10</v>
          </cell>
        </row>
        <row r="47">
          <cell r="C47" t="str">
            <v>Tertiary clarification, denitrification; wastewater treatment unit, solids reduction; at plant; m3 wastewater - US</v>
          </cell>
          <cell r="D47">
            <v>3.1082199999999998E-10</v>
          </cell>
        </row>
        <row r="48">
          <cell r="C48" t="str">
            <v>Primary clarifier; wastewater treatment unit, solids reduction; at plant; m3 wastewater - US</v>
          </cell>
          <cell r="D48">
            <v>2.6079099999999999E-10</v>
          </cell>
        </row>
        <row r="49">
          <cell r="C49" t="str">
            <v>Tertiary clarification, nitrification; wastewater treatment unit, solids reduction; at plant; m3 wastewater - US</v>
          </cell>
          <cell r="D49">
            <v>2.6067300000000002E-10</v>
          </cell>
        </row>
        <row r="50">
          <cell r="C50" t="str">
            <v>Gravity thickener; wastewater treatment unit, solids reduction; at plant; m3 wastewater - US</v>
          </cell>
          <cell r="D50">
            <v>2.29879E-10</v>
          </cell>
        </row>
        <row r="55">
          <cell r="C55" t="str">
            <v>Sludge hauling and landfill; wastewater treatment unit, solids reduction; at plant; m3 wastewater - US</v>
          </cell>
          <cell r="D55">
            <v>3.7270499999999997E-7</v>
          </cell>
        </row>
        <row r="56">
          <cell r="C56" t="str">
            <v>Biological nutrient removal-5-stage; wastewater treatment unit, solids reduction; at plant; m3 wastewater - US</v>
          </cell>
          <cell r="D56">
            <v>1.4467199999999999E-7</v>
          </cell>
        </row>
        <row r="57">
          <cell r="C57" t="str">
            <v>Centrifuge; wastewater treatment unit, solids reduction; at plant; m3 wastewater - US</v>
          </cell>
          <cell r="D57">
            <v>5.6739800000000003E-9</v>
          </cell>
        </row>
        <row r="58">
          <cell r="C58" t="str">
            <v>Anaerobic digester; wastewater treatment unit, solids reduction; at plant; m3 wastewater - US</v>
          </cell>
          <cell r="D58">
            <v>5.4343200000000003E-9</v>
          </cell>
        </row>
        <row r="59">
          <cell r="C59" t="str">
            <v>Chlorination; wastewater treatment unit, solids reduction; at plant; m3 wastewater - US</v>
          </cell>
          <cell r="D59">
            <v>5.2101599999999997E-9</v>
          </cell>
        </row>
        <row r="60">
          <cell r="C60" t="str">
            <v>Filtration, sand filter; wastewater treatment unit, solids reduction; at plant; m3 wastewater - US</v>
          </cell>
          <cell r="D60">
            <v>1.58825E-9</v>
          </cell>
        </row>
        <row r="61">
          <cell r="C61" t="str">
            <v>Screening and grit removal; wastewater treatment unit, solids reduction; at plant; m3 wastewater - US</v>
          </cell>
          <cell r="D61">
            <v>9.464419999999999E-10</v>
          </cell>
        </row>
        <row r="62">
          <cell r="C62" t="str">
            <v>Chemical phosphorus removal; wastewater treatment unit, solids reduction; at plant; m3 wastewater - US</v>
          </cell>
          <cell r="D62">
            <v>8.3599300000000005E-10</v>
          </cell>
        </row>
        <row r="63">
          <cell r="C63" t="str">
            <v>Dechlorination; wastewater treatment unit, solids reduction; at plant; m3 wastewater - US</v>
          </cell>
          <cell r="D63">
            <v>6.9750100000000003E-10</v>
          </cell>
        </row>
        <row r="64">
          <cell r="C64" t="str">
            <v>Secondary clarifier; wastewater treatment unit, solids reduction; at plant; m3 wastewater - US</v>
          </cell>
          <cell r="D64">
            <v>3.8994999999999998E-10</v>
          </cell>
        </row>
        <row r="65">
          <cell r="C65" t="str">
            <v>Primary clarifier; wastewater treatment unit, solids reduction; at plant; m3 wastewater - US</v>
          </cell>
          <cell r="D65">
            <v>2.5328099999999999E-10</v>
          </cell>
        </row>
        <row r="66">
          <cell r="C66" t="str">
            <v>Gravity thickener; wastewater treatment unit, solids reduction; at plant; m3 wastewater - US</v>
          </cell>
          <cell r="D66">
            <v>2.06902E-10</v>
          </cell>
        </row>
        <row r="67">
          <cell r="C67" t="str">
            <v>Fermentation; wastewater treatment unit, solids reduction; at plant; m3 - US</v>
          </cell>
          <cell r="D67">
            <v>2.5051399999999998E-10</v>
          </cell>
        </row>
        <row r="68">
          <cell r="C68" t="str">
            <v>Effluent release; wastewater treatment unit; at surface water; m3 wastewater - US</v>
          </cell>
          <cell r="D68">
            <v>0</v>
          </cell>
        </row>
        <row r="73">
          <cell r="C73" t="str">
            <v>Sludge hauling and landfill; wastewater treatment unit, solids reduction; at plant; m3 wastewater - US</v>
          </cell>
          <cell r="D73">
            <v>3.7270699999999998E-7</v>
          </cell>
        </row>
        <row r="74">
          <cell r="C74" t="str">
            <v>Biological nutrient removal-4-stage; wastewater treatment unit, solids reduction; at plant; m3 wastewater - US</v>
          </cell>
          <cell r="D74">
            <v>1.5511099999999999E-7</v>
          </cell>
        </row>
        <row r="75">
          <cell r="C75" t="str">
            <v>Centrifuge; wastewater treatment unit, solids reduction; at plant; m3 wastewater - US</v>
          </cell>
          <cell r="D75">
            <v>5.6739800000000003E-9</v>
          </cell>
        </row>
        <row r="76">
          <cell r="C76" t="str">
            <v>Anaerobic digester; wastewater treatment unit, solids reduction; at plant; m3 wastewater - US</v>
          </cell>
          <cell r="D76">
            <v>5.2666600000000001E-9</v>
          </cell>
        </row>
        <row r="77">
          <cell r="C77" t="str">
            <v>Chlorination; wastewater treatment unit, solids reduction; at plant; m3 wastewater - US</v>
          </cell>
          <cell r="D77">
            <v>5.2101599999999997E-9</v>
          </cell>
        </row>
        <row r="78">
          <cell r="C78" t="str">
            <v>Filtration, sand filter; wastewater treatment unit, solids reduction; at plant; m3 wastewater - US</v>
          </cell>
          <cell r="D78">
            <v>1.58825E-9</v>
          </cell>
        </row>
        <row r="79">
          <cell r="C79" t="str">
            <v>Screening and grit removal; wastewater treatment unit, solids reduction; at plant; m3 wastewater - US</v>
          </cell>
          <cell r="D79">
            <v>9.46441E-10</v>
          </cell>
        </row>
        <row r="80">
          <cell r="C80" t="str">
            <v>Chemical phosphorus removal; wastewater treatment unit, solids reduction; at plant; m3 wastewater - US</v>
          </cell>
          <cell r="D80">
            <v>8.3599300000000005E-10</v>
          </cell>
        </row>
        <row r="81">
          <cell r="C81" t="str">
            <v>Dechlorination; wastewater treatment unit, solids reduction; at plant; m3 wastewater - US</v>
          </cell>
          <cell r="D81">
            <v>6.9750100000000003E-10</v>
          </cell>
        </row>
        <row r="82">
          <cell r="C82" t="str">
            <v>Secondary clarifier; wastewater treatment unit, solids reduction; at plant; m3 wastewater - US</v>
          </cell>
          <cell r="D82">
            <v>3.9005000000000001E-10</v>
          </cell>
        </row>
        <row r="83">
          <cell r="C83" t="str">
            <v>Primary clarifier; wastewater treatment unit, solids reduction; at plant; m3 wastewater - US</v>
          </cell>
          <cell r="D83">
            <v>2.5489499999999998E-10</v>
          </cell>
        </row>
        <row r="84">
          <cell r="C84" t="str">
            <v>Fermentation; wastewater treatment unit, solids reduction; at plant; m3 - US</v>
          </cell>
          <cell r="D84">
            <v>2.5051399999999998E-10</v>
          </cell>
        </row>
        <row r="85">
          <cell r="C85" t="str">
            <v>Gravity thickener; wastewater treatment unit, solids reduction; at plant; m3 wastewater - US</v>
          </cell>
          <cell r="D85">
            <v>2.06902E-10</v>
          </cell>
        </row>
        <row r="86">
          <cell r="C86" t="str">
            <v>Effluent release; wastewater treatment unit; at surface water; m3 wastewater - US</v>
          </cell>
          <cell r="D86">
            <v>0</v>
          </cell>
        </row>
        <row r="91">
          <cell r="C91" t="str">
            <v>Sludge hauling and landfill; wastewater treatment unit, solids reduction; at plant; m3 wastewater - US</v>
          </cell>
          <cell r="D91">
            <v>3.7488700000000001E-7</v>
          </cell>
        </row>
        <row r="92">
          <cell r="C92" t="str">
            <v>Biological nutrient removal-5-stage; wastewater treatment unit, solids reduction; at plant; m3 wastewater - US</v>
          </cell>
          <cell r="D92">
            <v>1.4467499999999999E-7</v>
          </cell>
        </row>
        <row r="93">
          <cell r="C93" t="str">
            <v>Denitrification, attached growth; wastewater treatment unit, solids reduction; at plant; m3 wastewater - US</v>
          </cell>
          <cell r="D93">
            <v>3.6043299999999997E-8</v>
          </cell>
        </row>
        <row r="94">
          <cell r="C94" t="str">
            <v>Centrifuge; wastewater treatment unit, solids reduction; at plant; m3 wastewater - US</v>
          </cell>
          <cell r="D94">
            <v>5.7200899999999998E-9</v>
          </cell>
        </row>
        <row r="95">
          <cell r="C95" t="str">
            <v>Anaerobic digester; wastewater treatment unit, solids reduction; at plant; m3 wastewater - US</v>
          </cell>
          <cell r="D95">
            <v>5.2690799999999998E-9</v>
          </cell>
        </row>
        <row r="96">
          <cell r="C96" t="str">
            <v>Chlorination; wastewater treatment unit, solids reduction; at plant; m3 wastewater - US</v>
          </cell>
          <cell r="D96">
            <v>5.2101599999999997E-9</v>
          </cell>
        </row>
        <row r="97">
          <cell r="C97" t="str">
            <v>Chemical phosphorus removal; wastewater treatment unit, solids reduction; at plant; m3 wastewater - US</v>
          </cell>
          <cell r="D97">
            <v>2.5135499999999999E-9</v>
          </cell>
        </row>
        <row r="98">
          <cell r="C98" t="str">
            <v>Filtration, sand filter; wastewater treatment unit, solids reduction; at plant; m3 wastewater - US</v>
          </cell>
          <cell r="D98">
            <v>1.58825E-9</v>
          </cell>
        </row>
        <row r="99">
          <cell r="C99" t="str">
            <v>Screening and grit removal; wastewater treatment unit, solids reduction; at plant; m3 wastewater - US</v>
          </cell>
          <cell r="D99">
            <v>9.46441E-10</v>
          </cell>
        </row>
        <row r="100">
          <cell r="C100" t="str">
            <v>Dechlorination; wastewater treatment unit, solids reduction; at plant; m3 wastewater - US</v>
          </cell>
          <cell r="D100">
            <v>6.9750100000000003E-10</v>
          </cell>
        </row>
        <row r="101">
          <cell r="C101" t="str">
            <v>Secondary clarifier; wastewater treatment unit, solids reduction; at plant; m3 wastewater - US</v>
          </cell>
          <cell r="D101">
            <v>3.90959E-10</v>
          </cell>
        </row>
        <row r="102">
          <cell r="C102" t="str">
            <v>Primary clarifier; wastewater treatment unit, solids reduction; at plant; m3 wastewater - US</v>
          </cell>
          <cell r="D102">
            <v>2.5534199999999999E-10</v>
          </cell>
        </row>
        <row r="103">
          <cell r="C103" t="str">
            <v>Gravity thickener; wastewater treatment unit, solids reduction; at plant; m3 wastewater - US</v>
          </cell>
          <cell r="D103">
            <v>2.06902E-10</v>
          </cell>
        </row>
        <row r="104">
          <cell r="C104" t="str">
            <v>Fermentation; wastewater treatment unit, solids reduction; at plant; m3 - US</v>
          </cell>
          <cell r="D104">
            <v>2.5051399999999998E-10</v>
          </cell>
        </row>
        <row r="105">
          <cell r="C105" t="str">
            <v>Effluent release; wastewater treatment unit; at surface water; m3 wastewater - US</v>
          </cell>
          <cell r="D105">
            <v>0</v>
          </cell>
        </row>
        <row r="110">
          <cell r="C110" t="str">
            <v>Sludge hauling and landfill; wastewater treatment unit, solids reduction; at plant; m3 wastewater - US</v>
          </cell>
          <cell r="D110">
            <v>3.7603099999999999E-7</v>
          </cell>
        </row>
        <row r="111">
          <cell r="C111" t="str">
            <v>Biological nutrient removal-4-stage; wastewater treatment unit, solids reduction; at plant; m3 wastewater - US</v>
          </cell>
          <cell r="D111">
            <v>9.8231800000000005E-8</v>
          </cell>
        </row>
        <row r="112">
          <cell r="C112" t="str">
            <v>Membrane filter; wastewater treatment unit, solids reduction; at plant; m3 wastewater - US</v>
          </cell>
          <cell r="D112">
            <v>5.0257999999999999E-8</v>
          </cell>
        </row>
        <row r="113">
          <cell r="C113" t="str">
            <v>Centrifuge; wastewater treatment unit, solids reduction; at plant; m3 wastewater - US</v>
          </cell>
          <cell r="D113">
            <v>5.7435499999999997E-9</v>
          </cell>
        </row>
        <row r="114">
          <cell r="C114" t="str">
            <v>Anaerobic digester; wastewater treatment unit, solids reduction; at plant; m3 wastewater - US</v>
          </cell>
          <cell r="D114">
            <v>5.3320399999999997E-9</v>
          </cell>
        </row>
        <row r="115">
          <cell r="C115" t="str">
            <v>Chlorination; wastewater treatment unit, solids reduction; at plant; m3 wastewater - US</v>
          </cell>
          <cell r="D115">
            <v>5.2101599999999997E-9</v>
          </cell>
        </row>
        <row r="116">
          <cell r="C116" t="str">
            <v>Screening and grit removal; wastewater treatment unit, solids reduction; at plant; m3 wastewater - US</v>
          </cell>
          <cell r="D116">
            <v>9.4442399999999996E-10</v>
          </cell>
        </row>
        <row r="117">
          <cell r="C117" t="str">
            <v>Dechlorination; wastewater treatment unit, solids reduction; at plant; m3 wastewater - US</v>
          </cell>
          <cell r="D117">
            <v>6.9750100000000003E-10</v>
          </cell>
        </row>
        <row r="118">
          <cell r="C118" t="str">
            <v>Chemical phosphorus removal; wastewater treatment unit, solids reduction; at plant; m3 wastewater - US</v>
          </cell>
          <cell r="D118">
            <v>4.3066300000000002E-10</v>
          </cell>
        </row>
        <row r="119">
          <cell r="C119" t="str">
            <v>Primary clarifier; wastewater treatment unit, solids reduction; at plant; m3 wastewater - US</v>
          </cell>
          <cell r="D119">
            <v>2.5489499999999998E-10</v>
          </cell>
        </row>
        <row r="120">
          <cell r="C120" t="str">
            <v>Gravity thickener; wastewater treatment unit, solids reduction; at plant; m3 wastewater - US</v>
          </cell>
          <cell r="D120">
            <v>2.0705700000000001E-10</v>
          </cell>
        </row>
        <row r="121">
          <cell r="C121" t="str">
            <v>Effluent release; wastewater treatment unit; at surface water; m3 wastewater - US</v>
          </cell>
          <cell r="D121">
            <v>0</v>
          </cell>
        </row>
        <row r="126">
          <cell r="C126" t="str">
            <v>Sludge hauling and landfill; wastewater treatment unit, solids reduction; at plant; m3 wastewater - US</v>
          </cell>
          <cell r="D126">
            <v>3.7488599999999999E-7</v>
          </cell>
        </row>
        <row r="127">
          <cell r="C127" t="str">
            <v>Biological nutrient removal-5-stage; wastewater treatment unit, solids reduction; at plant; m3 wastewater - US</v>
          </cell>
          <cell r="D127">
            <v>1.6081900000000001E-7</v>
          </cell>
        </row>
        <row r="128">
          <cell r="C128" t="str">
            <v>Reverse osmosis; wastewater treatment unit, solids reduction; at plant; m3 wastewater - US</v>
          </cell>
          <cell r="D128">
            <v>1.3064200000000001E-7</v>
          </cell>
        </row>
        <row r="129">
          <cell r="C129" t="str">
            <v>Underground injection of brine; wastewater treatment unit, solids reduction; at injection site; m3 wastewater - US</v>
          </cell>
          <cell r="D129">
            <v>9.2287800000000001E-8</v>
          </cell>
        </row>
        <row r="130">
          <cell r="C130" t="str">
            <v>Ultrafilter; wastewater treatment unit, solids reduction; at plant; m3 wastewater - US</v>
          </cell>
          <cell r="D130">
            <v>5.0046200000000001E-8</v>
          </cell>
        </row>
        <row r="131">
          <cell r="C131" t="str">
            <v>Centrifuge; wastewater treatment unit, solids reduction; at plant; m3 wastewater - US</v>
          </cell>
          <cell r="D131">
            <v>5.7203599999999999E-9</v>
          </cell>
        </row>
        <row r="132">
          <cell r="C132" t="str">
            <v>Anaerobic digester; wastewater treatment unit, solids reduction; at plant; m3 wastewater - US</v>
          </cell>
          <cell r="D132">
            <v>5.2690799999999998E-9</v>
          </cell>
        </row>
        <row r="133">
          <cell r="C133" t="str">
            <v>Denitrification, attached growth; wastewater treatment unit, solids reduction; at plant; m3 wastewater - US</v>
          </cell>
          <cell r="D133">
            <v>4.1994899999999999E-9</v>
          </cell>
        </row>
        <row r="134">
          <cell r="C134" t="str">
            <v>Chlorination; wastewater treatment unit, solids reduction; at plant; m3 wastewater - US</v>
          </cell>
          <cell r="D134">
            <v>4.1231200000000001E-9</v>
          </cell>
        </row>
        <row r="135">
          <cell r="C135" t="str">
            <v>Filtration, sand filter; wastewater treatment unit, solids reduction; at plant; m3 wastewater - US</v>
          </cell>
          <cell r="D135">
            <v>1.58825E-9</v>
          </cell>
        </row>
        <row r="136">
          <cell r="C136" t="str">
            <v>Screening and grit removal; wastewater treatment unit, solids reduction; at plant; m3 wastewater - US</v>
          </cell>
          <cell r="D136">
            <v>9.464419999999999E-10</v>
          </cell>
        </row>
        <row r="137">
          <cell r="C137" t="str">
            <v>Chemical phosphorus removal; wastewater treatment unit, solids reduction; at plant; m3 wastewater - US</v>
          </cell>
          <cell r="D137">
            <v>8.6132600000000003E-10</v>
          </cell>
        </row>
        <row r="138">
          <cell r="C138" t="str">
            <v>Dechlorination; wastewater treatment unit, solids reduction; at plant; m3 wastewater - US</v>
          </cell>
          <cell r="D138">
            <v>6.9576099999999999E-10</v>
          </cell>
        </row>
        <row r="139">
          <cell r="C139" t="str">
            <v>Secondary clarifier; wastewater treatment unit, solids reduction; at plant; m3 wastewater - US</v>
          </cell>
          <cell r="D139">
            <v>3.90958E-10</v>
          </cell>
        </row>
        <row r="140">
          <cell r="C140" t="str">
            <v>Primary clarifier; wastewater treatment unit, solids reduction; at plant; m3 wastewater - US</v>
          </cell>
          <cell r="D140">
            <v>2.5534199999999999E-10</v>
          </cell>
        </row>
        <row r="141">
          <cell r="C141" t="str">
            <v>Gravity thickener; wastewater treatment unit, solids reduction; at plant; m3 wastewater - US</v>
          </cell>
          <cell r="D141">
            <v>2.06902E-10</v>
          </cell>
        </row>
        <row r="142">
          <cell r="C142" t="str">
            <v>Fermentation; wastewater treatment unit, solids reduction; at plant; m3 - US</v>
          </cell>
          <cell r="D142">
            <v>2.5051399999999998E-10</v>
          </cell>
        </row>
        <row r="143">
          <cell r="C143" t="str">
            <v>Effluent release; wastewater treatment unit; at surface water; m3 wastewater - US</v>
          </cell>
          <cell r="D143">
            <v>0</v>
          </cell>
        </row>
        <row r="148">
          <cell r="C148" t="str">
            <v>Sludge hauling and landfill; wastewater treatment unit, solids reduction; at plant; m3 wastewater - US</v>
          </cell>
          <cell r="D148">
            <v>3.63318E-7</v>
          </cell>
        </row>
        <row r="149">
          <cell r="C149" t="str">
            <v>Reverse osmosis; wastewater treatment unit, solids reduction; at plant; m3 wastewater - US</v>
          </cell>
          <cell r="D149">
            <v>1.2346E-7</v>
          </cell>
        </row>
        <row r="150">
          <cell r="C150" t="str">
            <v>Biological nutrient removal-5-stage; wastewater treatment unit, solids reduction; at plant; m3 wastewater - US</v>
          </cell>
          <cell r="D150">
            <v>1.1396800000000001E-7</v>
          </cell>
        </row>
        <row r="151">
          <cell r="C151" t="str">
            <v>Underground injection of brine; wastewater treatment unit, solids reduction; at injection site; m3 wastewater - US</v>
          </cell>
          <cell r="D151">
            <v>9.2287800000000001E-8</v>
          </cell>
        </row>
        <row r="152">
          <cell r="C152" t="str">
            <v>Membrane filter; wastewater treatment unit, solids reduction; at plant; m3 wastewater - US</v>
          </cell>
          <cell r="D152">
            <v>5.0260600000000001E-8</v>
          </cell>
        </row>
        <row r="153">
          <cell r="C153" t="str">
            <v>Centrifuge; wastewater treatment unit, solids reduction; at plant; m3 wastewater - US</v>
          </cell>
          <cell r="D153">
            <v>5.5550300000000004E-9</v>
          </cell>
        </row>
        <row r="154">
          <cell r="C154" t="str">
            <v>Anaerobic digester; wastewater treatment unit, solids reduction; at plant; m3 wastewater - US</v>
          </cell>
          <cell r="D154">
            <v>5.1407400000000002E-9</v>
          </cell>
        </row>
        <row r="155">
          <cell r="C155" t="str">
            <v>Chlorination; wastewater treatment unit, solids reduction; at plant; m3 wastewater - US</v>
          </cell>
          <cell r="D155">
            <v>4.1460700000000003E-9</v>
          </cell>
        </row>
        <row r="156">
          <cell r="C156" t="str">
            <v>Screening and grit removal; wastewater treatment unit, solids reduction; at plant; m3 wastewater - US</v>
          </cell>
          <cell r="D156">
            <v>9.4442399999999996E-10</v>
          </cell>
        </row>
        <row r="157">
          <cell r="C157" t="str">
            <v>Dechlorination; wastewater treatment unit, solids reduction; at plant; m3 wastewater - US</v>
          </cell>
          <cell r="D157">
            <v>6.9577600000000002E-10</v>
          </cell>
        </row>
        <row r="158">
          <cell r="C158" t="str">
            <v>Primary clarifier; wastewater treatment unit, solids reduction; at plant; m3 wastewater - US</v>
          </cell>
          <cell r="D158">
            <v>2.5449199999999998E-10</v>
          </cell>
        </row>
        <row r="159">
          <cell r="C159" t="str">
            <v>Gravity thickener; wastewater treatment unit, solids reduction; at plant; m3 wastewater - US</v>
          </cell>
          <cell r="D159">
            <v>2.0459299999999999E-10</v>
          </cell>
        </row>
        <row r="160">
          <cell r="C160" t="str">
            <v>Fermentation; wastewater treatment unit, solids reduction; at plant; m3 - US</v>
          </cell>
          <cell r="D160">
            <v>2.5051399999999998E-10</v>
          </cell>
        </row>
        <row r="161">
          <cell r="C161" t="str">
            <v>Chemical phosphorus removal; wastewater treatment unit, solids reduction; at plant; m3 wastewater - US</v>
          </cell>
          <cell r="D161">
            <v>5.0666200000000002E-11</v>
          </cell>
        </row>
        <row r="162">
          <cell r="C162" t="str">
            <v>Effluent release; wastewater treatment unit; at surface water; m3 wastewater - US</v>
          </cell>
          <cell r="D162">
            <v>0</v>
          </cell>
        </row>
      </sheetData>
      <sheetData sheetId="29">
        <row r="5">
          <cell r="C5" t="str">
            <v>Sludge hauling and landfill; wastewater treatment unit, solids reduction; at plant; m3 wastewater - US</v>
          </cell>
          <cell r="D5">
            <v>11.252359999999999</v>
          </cell>
        </row>
        <row r="6">
          <cell r="C6" t="str">
            <v>Activated sludge; wastewater treatment unit, solids reduction; at plant; m3 wastewater - US</v>
          </cell>
          <cell r="D6">
            <v>0.36513000000000001</v>
          </cell>
        </row>
        <row r="7">
          <cell r="C7" t="str">
            <v>Chlorination; wastewater treatment unit, solids reduction; at plant; m3 wastewater - US</v>
          </cell>
          <cell r="D7">
            <v>0.10312</v>
          </cell>
        </row>
        <row r="8">
          <cell r="C8" t="str">
            <v>Centrifuge; wastewater treatment unit, solids reduction; at plant; m3 wastewater - US</v>
          </cell>
          <cell r="D8">
            <v>5.9729999999999998E-2</v>
          </cell>
        </row>
        <row r="9">
          <cell r="C9" t="str">
            <v>Anaerobic digester; wastewater treatment unit, solids reduction; at plant; m3 wastewater - US</v>
          </cell>
          <cell r="D9">
            <v>5.0799999999999998E-2</v>
          </cell>
        </row>
        <row r="10">
          <cell r="C10" t="str">
            <v>Dechlorination; wastewater treatment unit, solids reduction; at plant; m3 wastewater - US</v>
          </cell>
          <cell r="D10">
            <v>1.247E-2</v>
          </cell>
        </row>
        <row r="11">
          <cell r="C11" t="str">
            <v>Screening and grit removal; wastewater treatment unit, solids reduction; at plant; m3 wastewater - US</v>
          </cell>
          <cell r="D11">
            <v>8.5400000000000007E-3</v>
          </cell>
        </row>
        <row r="12">
          <cell r="C12" t="str">
            <v>Secondary clarifier; wastewater treatment unit, solids reduction; at plant; m3 wastewater - US</v>
          </cell>
          <cell r="D12">
            <v>3.7000000000000002E-3</v>
          </cell>
        </row>
        <row r="13">
          <cell r="C13" t="str">
            <v>Primary clarifier; wastewater treatment unit, solids reduction; at plant; m3 wastewater - US</v>
          </cell>
          <cell r="D13">
            <v>2.48E-3</v>
          </cell>
        </row>
        <row r="14">
          <cell r="C14" t="str">
            <v>Gravity thickener; wastewater treatment unit, solids reduction; at plant; m3 wastewater - US</v>
          </cell>
          <cell r="D14">
            <v>1.9300000000000001E-3</v>
          </cell>
        </row>
        <row r="15">
          <cell r="C15" t="str">
            <v>Effluent release; wastewater treatment unit; at surface water; m3 wastewater - US</v>
          </cell>
          <cell r="D15">
            <v>0</v>
          </cell>
        </row>
        <row r="20">
          <cell r="C20" t="str">
            <v>Sludge hauling and landfill; wastewater treatment unit, solids reduction; at plant; m3 wastewater - US</v>
          </cell>
          <cell r="D20">
            <v>9.5469899999999992</v>
          </cell>
        </row>
        <row r="21">
          <cell r="C21" t="str">
            <v>Biological nutrient removal-3-stage; wastewater treatment unit, solids reduction; at plant; m3 wastewater - US</v>
          </cell>
          <cell r="D21">
            <v>1.08047</v>
          </cell>
        </row>
        <row r="22">
          <cell r="C22" t="str">
            <v>Chlorination; wastewater treatment unit, solids reduction; at plant; m3 wastewater - US</v>
          </cell>
          <cell r="D22">
            <v>9.6750000000000003E-2</v>
          </cell>
        </row>
        <row r="23">
          <cell r="C23" t="str">
            <v>Centrifuge; wastewater treatment unit, solids reduction; at plant; m3 wastewater - US</v>
          </cell>
          <cell r="D23">
            <v>5.101E-2</v>
          </cell>
        </row>
        <row r="24">
          <cell r="C24" t="str">
            <v>Anaerobic digester; wastewater treatment unit, solids reduction; at plant; m3 wastewater - US</v>
          </cell>
          <cell r="D24">
            <v>4.4490000000000002E-2</v>
          </cell>
        </row>
        <row r="25">
          <cell r="C25" t="str">
            <v>Dechlorination; wastewater treatment unit, solids reduction; at plant; m3 wastewater - US</v>
          </cell>
          <cell r="D25">
            <v>1.247E-2</v>
          </cell>
        </row>
        <row r="26">
          <cell r="C26" t="str">
            <v>Screening and grit removal; wastewater treatment unit, solids reduction; at plant; m3 wastewater - US</v>
          </cell>
          <cell r="D26">
            <v>8.5199999999999998E-3</v>
          </cell>
        </row>
        <row r="27">
          <cell r="C27" t="str">
            <v>Secondary clarifier; wastewater treatment unit, solids reduction; at plant; m3 wastewater - US</v>
          </cell>
          <cell r="D27">
            <v>3.3800000000000002E-3</v>
          </cell>
        </row>
        <row r="28">
          <cell r="C28" t="str">
            <v>Primary clarifier; wastewater treatment unit, solids reduction; at plant; m3 wastewater - US</v>
          </cell>
          <cell r="D28">
            <v>2.4599999999999999E-3</v>
          </cell>
        </row>
        <row r="29">
          <cell r="C29" t="str">
            <v>Gravity thickener; wastewater treatment unit, solids reduction; at plant; m3 wastewater - US</v>
          </cell>
          <cell r="D29">
            <v>1.82E-3</v>
          </cell>
        </row>
        <row r="30">
          <cell r="C30" t="str">
            <v>Effluent release; wastewater treatment unit; at surface water; m3 wastewater - US</v>
          </cell>
          <cell r="D30">
            <v>0</v>
          </cell>
        </row>
        <row r="35">
          <cell r="C35" t="str">
            <v>Sludge hauling and landfill; wastewater treatment unit, solids reduction; at plant; m3 wastewater - US</v>
          </cell>
          <cell r="D35">
            <v>16.709299999999999</v>
          </cell>
        </row>
        <row r="36">
          <cell r="C36" t="str">
            <v>Chemical phosphorus removal; wastewater treatment unit, solids reduction; at plant; m3 wastewater - US</v>
          </cell>
          <cell r="D36">
            <v>0.40539999999999998</v>
          </cell>
        </row>
        <row r="37">
          <cell r="C37" t="str">
            <v>Nitrification, suspended growth; wastewater treatment unit, solids reduction; at plant; m3 wastewater - US</v>
          </cell>
          <cell r="D37">
            <v>0.40432000000000001</v>
          </cell>
        </row>
        <row r="38">
          <cell r="C38" t="str">
            <v>Activated sludge; wastewater treatment unit, solids reduction; at plant; m3 wastewater - US</v>
          </cell>
          <cell r="D38">
            <v>0.36535000000000001</v>
          </cell>
        </row>
        <row r="39">
          <cell r="C39" t="str">
            <v>Denitrification, suspended growth; wastewater treatment unit, solids reduction; at plant; m3 wastewater - US</v>
          </cell>
          <cell r="D39">
            <v>0.34570000000000001</v>
          </cell>
        </row>
        <row r="40">
          <cell r="C40" t="str">
            <v>Chlorination; wastewater treatment unit, solids reduction; at plant; m3 wastewater - US</v>
          </cell>
          <cell r="D40">
            <v>9.6659999999999996E-2</v>
          </cell>
        </row>
        <row r="41">
          <cell r="C41" t="str">
            <v>Centrifuge; wastewater treatment unit, solids reduction; at plant; m3 wastewater - US</v>
          </cell>
          <cell r="D41">
            <v>8.6580000000000004E-2</v>
          </cell>
        </row>
        <row r="42">
          <cell r="C42" t="str">
            <v>Anaerobic digester; wastewater treatment unit, solids reduction; at plant; m3 wastewater - US</v>
          </cell>
          <cell r="D42">
            <v>6.4939999999999998E-2</v>
          </cell>
        </row>
        <row r="43">
          <cell r="C43" t="str">
            <v>Dechlorination; wastewater treatment unit, solids reduction; at plant; m3 wastewater - US</v>
          </cell>
          <cell r="D43">
            <v>1.247E-2</v>
          </cell>
        </row>
        <row r="44">
          <cell r="C44" t="str">
            <v>Screening and grit removal; wastewater treatment unit, solids reduction; at plant; m3 wastewater - US</v>
          </cell>
          <cell r="D44">
            <v>8.6E-3</v>
          </cell>
        </row>
        <row r="45">
          <cell r="C45" t="str">
            <v>Secondary clarifier; wastewater treatment unit, solids reduction; at plant; m3 wastewater - US</v>
          </cell>
          <cell r="D45">
            <v>3.79E-3</v>
          </cell>
        </row>
        <row r="46">
          <cell r="C46" t="str">
            <v>Tertiary clarification, denitrification; wastewater treatment unit, solids reduction; at plant; m3 wastewater - US</v>
          </cell>
          <cell r="D46">
            <v>3.0300000000000001E-3</v>
          </cell>
        </row>
        <row r="47">
          <cell r="C47" t="str">
            <v>Tertiary clarification, nitrification; wastewater treatment unit, solids reduction; at plant; m3 wastewater - US</v>
          </cell>
          <cell r="D47">
            <v>2.5799999999999998E-3</v>
          </cell>
        </row>
        <row r="48">
          <cell r="C48" t="str">
            <v>Primary clarifier; wastewater treatment unit, solids reduction; at plant; m3 wastewater - US</v>
          </cell>
          <cell r="D48">
            <v>2.5200000000000001E-3</v>
          </cell>
        </row>
        <row r="49">
          <cell r="C49" t="str">
            <v>Gravity thickener; wastewater treatment unit, solids reduction; at plant; m3 wastewater - US</v>
          </cell>
          <cell r="D49">
            <v>2.0999999999999999E-3</v>
          </cell>
        </row>
        <row r="50">
          <cell r="C50" t="str">
            <v>Effluent release; wastewater treatment unit; at surface water; m3 wastewater - US</v>
          </cell>
          <cell r="D50">
            <v>0</v>
          </cell>
        </row>
        <row r="55">
          <cell r="C55" t="str">
            <v>Sludge hauling and landfill; wastewater treatment unit, solids reduction; at plant; m3 wastewater - US</v>
          </cell>
          <cell r="D55">
            <v>11.60149</v>
          </cell>
        </row>
        <row r="56">
          <cell r="C56" t="str">
            <v>Biological nutrient removal-5-stage; wastewater treatment unit, solids reduction; at plant; m3 wastewater - US</v>
          </cell>
          <cell r="D56">
            <v>1.3089599999999999</v>
          </cell>
        </row>
        <row r="57">
          <cell r="C57" t="str">
            <v>Chlorination; wastewater treatment unit, solids reduction; at plant; m3 wastewater - US</v>
          </cell>
          <cell r="D57">
            <v>8.2159999999999997E-2</v>
          </cell>
        </row>
        <row r="58">
          <cell r="C58" t="str">
            <v>Centrifuge; wastewater treatment unit, solids reduction; at plant; m3 wastewater - US</v>
          </cell>
          <cell r="D58">
            <v>6.1289999999999997E-2</v>
          </cell>
        </row>
        <row r="59">
          <cell r="C59" t="str">
            <v>Anaerobic digester; wastewater treatment unit, solids reduction; at plant; m3 wastewater - US</v>
          </cell>
          <cell r="D59">
            <v>5.0180000000000002E-2</v>
          </cell>
        </row>
        <row r="60">
          <cell r="C60" t="str">
            <v>Chemical phosphorus removal; wastewater treatment unit, solids reduction; at plant; m3 wastewater - US</v>
          </cell>
          <cell r="D60">
            <v>2.027E-2</v>
          </cell>
        </row>
        <row r="61">
          <cell r="C61" t="str">
            <v>Filtration, sand filter; wastewater treatment unit, solids reduction; at plant; m3 wastewater - US</v>
          </cell>
          <cell r="D61">
            <v>1.498E-2</v>
          </cell>
        </row>
        <row r="62">
          <cell r="C62" t="str">
            <v>Dechlorination; wastewater treatment unit, solids reduction; at plant; m3 wastewater - US</v>
          </cell>
          <cell r="D62">
            <v>1.247E-2</v>
          </cell>
        </row>
        <row r="63">
          <cell r="C63" t="str">
            <v>Screening and grit removal; wastewater treatment unit, solids reduction; at plant; m3 wastewater - US</v>
          </cell>
          <cell r="D63">
            <v>8.5400000000000007E-3</v>
          </cell>
        </row>
        <row r="64">
          <cell r="C64" t="str">
            <v>Secondary clarifier; wastewater treatment unit, solids reduction; at plant; m3 wastewater - US</v>
          </cell>
          <cell r="D64">
            <v>3.7499999999999999E-3</v>
          </cell>
        </row>
        <row r="65">
          <cell r="C65" t="str">
            <v>Primary clarifier; wastewater treatment unit, solids reduction; at plant; m3 wastewater - US</v>
          </cell>
          <cell r="D65">
            <v>2.4499999999999999E-3</v>
          </cell>
        </row>
        <row r="66">
          <cell r="C66" t="str">
            <v>Gravity thickener; wastewater treatment unit, solids reduction; at plant; m3 wastewater - US</v>
          </cell>
          <cell r="D66">
            <v>1.89E-3</v>
          </cell>
        </row>
        <row r="67">
          <cell r="C67" t="str">
            <v>Fermentation; wastewater treatment unit, solids reduction; at plant; m3 - US</v>
          </cell>
          <cell r="D67">
            <v>2.2799999999999999E-3</v>
          </cell>
        </row>
        <row r="68">
          <cell r="C68" t="str">
            <v>Effluent release; wastewater treatment unit; at surface water; m3 wastewater - US</v>
          </cell>
          <cell r="D68">
            <v>0</v>
          </cell>
        </row>
        <row r="73">
          <cell r="C73" t="str">
            <v>Sludge hauling and landfill; wastewater treatment unit, solids reduction; at plant; m3 wastewater - US</v>
          </cell>
          <cell r="D73">
            <v>11.601509999999999</v>
          </cell>
        </row>
        <row r="74">
          <cell r="C74" t="str">
            <v>Biological nutrient removal-4-stage; wastewater treatment unit, solids reduction; at plant; m3 wastewater - US</v>
          </cell>
          <cell r="D74">
            <v>1.4006799999999999</v>
          </cell>
        </row>
        <row r="75">
          <cell r="C75" t="str">
            <v>Chlorination; wastewater treatment unit, solids reduction; at plant; m3 wastewater - US</v>
          </cell>
          <cell r="D75">
            <v>8.2159999999999997E-2</v>
          </cell>
        </row>
        <row r="76">
          <cell r="C76" t="str">
            <v>Centrifuge; wastewater treatment unit, solids reduction; at plant; m3 wastewater - US</v>
          </cell>
          <cell r="D76">
            <v>6.1289999999999997E-2</v>
          </cell>
        </row>
        <row r="77">
          <cell r="C77" t="str">
            <v>Anaerobic digester; wastewater treatment unit, solids reduction; at plant; m3 wastewater - US</v>
          </cell>
          <cell r="D77">
            <v>4.8689999999999997E-2</v>
          </cell>
        </row>
        <row r="78">
          <cell r="C78" t="str">
            <v>Chemical phosphorus removal; wastewater treatment unit, solids reduction; at plant; m3 wastewater - US</v>
          </cell>
          <cell r="D78">
            <v>2.027E-2</v>
          </cell>
        </row>
        <row r="79">
          <cell r="C79" t="str">
            <v>Filtration, sand filter; wastewater treatment unit, solids reduction; at plant; m3 wastewater - US</v>
          </cell>
          <cell r="D79">
            <v>1.498E-2</v>
          </cell>
        </row>
        <row r="80">
          <cell r="C80" t="str">
            <v>Dechlorination; wastewater treatment unit, solids reduction; at plant; m3 wastewater - US</v>
          </cell>
          <cell r="D80">
            <v>1.247E-2</v>
          </cell>
        </row>
        <row r="81">
          <cell r="C81" t="str">
            <v>Screening and grit removal; wastewater treatment unit, solids reduction; at plant; m3 wastewater - US</v>
          </cell>
          <cell r="D81">
            <v>8.5400000000000007E-3</v>
          </cell>
        </row>
        <row r="82">
          <cell r="C82" t="str">
            <v>Secondary clarifier; wastewater treatment unit, solids reduction; at plant; m3 wastewater - US</v>
          </cell>
          <cell r="D82">
            <v>3.7499999999999999E-3</v>
          </cell>
        </row>
        <row r="83">
          <cell r="C83" t="str">
            <v>Primary clarifier; wastewater treatment unit, solids reduction; at plant; m3 wastewater - US</v>
          </cell>
          <cell r="D83">
            <v>2.47E-3</v>
          </cell>
        </row>
        <row r="84">
          <cell r="C84" t="str">
            <v>Fermentation; wastewater treatment unit, solids reduction; at plant; m3 - US</v>
          </cell>
          <cell r="D84">
            <v>2.2799999999999999E-3</v>
          </cell>
        </row>
        <row r="85">
          <cell r="C85" t="str">
            <v>Gravity thickener; wastewater treatment unit, solids reduction; at plant; m3 wastewater - US</v>
          </cell>
          <cell r="D85">
            <v>1.89E-3</v>
          </cell>
        </row>
        <row r="86">
          <cell r="C86" t="str">
            <v>Effluent release; wastewater treatment unit; at surface water; m3 wastewater - US</v>
          </cell>
          <cell r="D86">
            <v>0</v>
          </cell>
        </row>
        <row r="91">
          <cell r="C91" t="str">
            <v>Sludge hauling and landfill; wastewater treatment unit, solids reduction; at plant; m3 wastewater - US</v>
          </cell>
          <cell r="D91">
            <v>11.668670000000001</v>
          </cell>
        </row>
        <row r="92">
          <cell r="C92" t="str">
            <v>Biological nutrient removal-5-stage; wastewater treatment unit, solids reduction; at plant; m3 wastewater - US</v>
          </cell>
          <cell r="D92">
            <v>1.3090200000000001</v>
          </cell>
        </row>
        <row r="93">
          <cell r="C93" t="str">
            <v>Denitrification, attached growth; wastewater treatment unit, solids reduction; at plant; m3 wastewater - US</v>
          </cell>
          <cell r="D93">
            <v>0.33854000000000001</v>
          </cell>
        </row>
        <row r="94">
          <cell r="C94" t="str">
            <v>Chlorination; wastewater treatment unit, solids reduction; at plant; m3 wastewater - US</v>
          </cell>
          <cell r="D94">
            <v>8.2159999999999997E-2</v>
          </cell>
        </row>
        <row r="95">
          <cell r="C95" t="str">
            <v>Centrifuge; wastewater treatment unit, solids reduction; at plant; m3 wastewater - US</v>
          </cell>
          <cell r="D95">
            <v>6.1780000000000002E-2</v>
          </cell>
        </row>
        <row r="96">
          <cell r="C96" t="str">
            <v>Chemical phosphorus removal; wastewater treatment unit, solids reduction; at plant; m3 wastewater - US</v>
          </cell>
          <cell r="D96">
            <v>6.0940000000000001E-2</v>
          </cell>
        </row>
        <row r="97">
          <cell r="C97" t="str">
            <v>Anaerobic digester; wastewater treatment unit, solids reduction; at plant; m3 wastewater - US</v>
          </cell>
          <cell r="D97">
            <v>4.8710000000000003E-2</v>
          </cell>
        </row>
        <row r="98">
          <cell r="C98" t="str">
            <v>Filtration, sand filter; wastewater treatment unit, solids reduction; at plant; m3 wastewater - US</v>
          </cell>
          <cell r="D98">
            <v>1.498E-2</v>
          </cell>
        </row>
        <row r="99">
          <cell r="C99" t="str">
            <v>Dechlorination; wastewater treatment unit, solids reduction; at plant; m3 wastewater - US</v>
          </cell>
          <cell r="D99">
            <v>1.247E-2</v>
          </cell>
        </row>
        <row r="100">
          <cell r="C100" t="str">
            <v>Screening and grit removal; wastewater treatment unit, solids reduction; at plant; m3 wastewater - US</v>
          </cell>
          <cell r="D100">
            <v>8.5400000000000007E-3</v>
          </cell>
        </row>
        <row r="101">
          <cell r="C101" t="str">
            <v>Secondary clarifier; wastewater treatment unit, solids reduction; at plant; m3 wastewater - US</v>
          </cell>
          <cell r="D101">
            <v>3.7499999999999999E-3</v>
          </cell>
        </row>
        <row r="102">
          <cell r="C102" t="str">
            <v>Primary clarifier; wastewater treatment unit, solids reduction; at plant; m3 wastewater - US</v>
          </cell>
          <cell r="D102">
            <v>2.47E-3</v>
          </cell>
        </row>
        <row r="103">
          <cell r="C103" t="str">
            <v>Gravity thickener; wastewater treatment unit, solids reduction; at plant; m3 wastewater - US</v>
          </cell>
          <cell r="D103">
            <v>1.89E-3</v>
          </cell>
        </row>
        <row r="104">
          <cell r="C104" t="str">
            <v>Fermentation; wastewater treatment unit, solids reduction; at plant; m3 - US</v>
          </cell>
          <cell r="D104">
            <v>2.2799999999999999E-3</v>
          </cell>
        </row>
        <row r="105">
          <cell r="C105" t="str">
            <v>Effluent release; wastewater treatment unit; at surface water; m3 wastewater - US</v>
          </cell>
          <cell r="D105">
            <v>0</v>
          </cell>
        </row>
        <row r="110">
          <cell r="C110" t="str">
            <v>Sludge hauling and landfill; wastewater treatment unit, solids reduction; at plant; m3 wastewater - US</v>
          </cell>
          <cell r="D110">
            <v>11.70745</v>
          </cell>
        </row>
        <row r="111">
          <cell r="C111" t="str">
            <v>Biological nutrient removal-4-stage; wastewater treatment unit, solids reduction; at plant; m3 wastewater - US</v>
          </cell>
          <cell r="D111">
            <v>0.88693</v>
          </cell>
        </row>
        <row r="112">
          <cell r="C112" t="str">
            <v>Membrane filter; wastewater treatment unit, solids reduction; at plant; m3 wastewater - US</v>
          </cell>
          <cell r="D112">
            <v>0.45379000000000003</v>
          </cell>
        </row>
        <row r="113">
          <cell r="C113" t="str">
            <v>Chlorination; wastewater treatment unit, solids reduction; at plant; m3 wastewater - US</v>
          </cell>
          <cell r="D113">
            <v>8.2159999999999997E-2</v>
          </cell>
        </row>
        <row r="114">
          <cell r="C114" t="str">
            <v>Centrifuge; wastewater treatment unit, solids reduction; at plant; m3 wastewater - US</v>
          </cell>
          <cell r="D114">
            <v>6.2039999999999998E-2</v>
          </cell>
        </row>
        <row r="115">
          <cell r="C115" t="str">
            <v>Anaerobic digester; wastewater treatment unit, solids reduction; at plant; m3 wastewater - US</v>
          </cell>
          <cell r="D115">
            <v>4.9279999999999997E-2</v>
          </cell>
        </row>
        <row r="116">
          <cell r="C116" t="str">
            <v>Dechlorination; wastewater treatment unit, solids reduction; at plant; m3 wastewater - US</v>
          </cell>
          <cell r="D116">
            <v>1.247E-2</v>
          </cell>
        </row>
        <row r="117">
          <cell r="C117" t="str">
            <v>Chemical phosphorus removal; wastewater treatment unit, solids reduction; at plant; m3 wastewater - US</v>
          </cell>
          <cell r="D117">
            <v>1.044E-2</v>
          </cell>
        </row>
        <row r="118">
          <cell r="C118" t="str">
            <v>Screening and grit removal; wastewater treatment unit, solids reduction; at plant; m3 wastewater - US</v>
          </cell>
          <cell r="D118">
            <v>8.5199999999999998E-3</v>
          </cell>
        </row>
        <row r="119">
          <cell r="C119" t="str">
            <v>Primary clarifier; wastewater treatment unit, solids reduction; at plant; m3 wastewater - US</v>
          </cell>
          <cell r="D119">
            <v>2.47E-3</v>
          </cell>
        </row>
        <row r="120">
          <cell r="C120" t="str">
            <v>Gravity thickener; wastewater treatment unit, solids reduction; at plant; m3 wastewater - US</v>
          </cell>
          <cell r="D120">
            <v>1.89E-3</v>
          </cell>
        </row>
        <row r="121">
          <cell r="C121" t="str">
            <v>Effluent release; wastewater treatment unit; at surface water; m3 wastewater - US</v>
          </cell>
          <cell r="D121">
            <v>0</v>
          </cell>
        </row>
        <row r="126">
          <cell r="C126" t="str">
            <v>Sludge hauling and landfill; wastewater treatment unit, solids reduction; at plant; m3 wastewater - US</v>
          </cell>
          <cell r="D126">
            <v>11.66864</v>
          </cell>
        </row>
        <row r="127">
          <cell r="C127" t="str">
            <v>Biological nutrient removal-5-stage; wastewater treatment unit, solids reduction; at plant; m3 wastewater - US</v>
          </cell>
          <cell r="D127">
            <v>1.4547099999999999</v>
          </cell>
        </row>
        <row r="128">
          <cell r="C128" t="str">
            <v>Reverse osmosis; wastewater treatment unit, solids reduction; at plant; m3 wastewater - US</v>
          </cell>
          <cell r="D128">
            <v>1.1988000000000001</v>
          </cell>
        </row>
        <row r="129">
          <cell r="C129" t="str">
            <v>Underground injection of brine; wastewater treatment unit, solids reduction; at injection site; m3 wastewater - US</v>
          </cell>
          <cell r="D129">
            <v>0.83367999999999998</v>
          </cell>
        </row>
        <row r="130">
          <cell r="C130" t="str">
            <v>Ultrafilter; wastewater treatment unit, solids reduction; at plant; m3 wastewater - US</v>
          </cell>
          <cell r="D130">
            <v>0.49647999999999998</v>
          </cell>
        </row>
        <row r="131">
          <cell r="C131" t="str">
            <v>Centrifuge; wastewater treatment unit, solids reduction; at plant; m3 wastewater - US</v>
          </cell>
          <cell r="D131">
            <v>6.1789999999999998E-2</v>
          </cell>
        </row>
        <row r="132">
          <cell r="C132" t="str">
            <v>Chlorination; wastewater treatment unit, solids reduction; at plant; m3 wastewater - US</v>
          </cell>
          <cell r="D132">
            <v>5.8840000000000003E-2</v>
          </cell>
        </row>
        <row r="133">
          <cell r="C133" t="str">
            <v>Anaerobic digester; wastewater treatment unit, solids reduction; at plant; m3 wastewater - US</v>
          </cell>
          <cell r="D133">
            <v>4.8710000000000003E-2</v>
          </cell>
        </row>
        <row r="134">
          <cell r="C134" t="str">
            <v>Denitrification, attached growth; wastewater treatment unit, solids reduction; at plant; m3 wastewater - US</v>
          </cell>
          <cell r="D134">
            <v>3.9309999999999998E-2</v>
          </cell>
        </row>
        <row r="135">
          <cell r="C135" t="str">
            <v>Chemical phosphorus removal; wastewater treatment unit, solids reduction; at plant; m3 wastewater - US</v>
          </cell>
          <cell r="D135">
            <v>2.0879999999999999E-2</v>
          </cell>
        </row>
        <row r="136">
          <cell r="C136" t="str">
            <v>Filtration, sand filter; wastewater treatment unit, solids reduction; at plant; m3 wastewater - US</v>
          </cell>
          <cell r="D136">
            <v>1.498E-2</v>
          </cell>
        </row>
        <row r="137">
          <cell r="C137" t="str">
            <v>Dechlorination; wastewater treatment unit, solids reduction; at plant; m3 wastewater - US</v>
          </cell>
          <cell r="D137">
            <v>1.242E-2</v>
          </cell>
        </row>
        <row r="138">
          <cell r="C138" t="str">
            <v>Screening and grit removal; wastewater treatment unit, solids reduction; at plant; m3 wastewater - US</v>
          </cell>
          <cell r="D138">
            <v>8.5400000000000007E-3</v>
          </cell>
        </row>
        <row r="139">
          <cell r="C139" t="str">
            <v>Secondary clarifier; wastewater treatment unit, solids reduction; at plant; m3 wastewater - US</v>
          </cell>
          <cell r="D139">
            <v>3.7499999999999999E-3</v>
          </cell>
        </row>
        <row r="140">
          <cell r="C140" t="str">
            <v>Primary clarifier; wastewater treatment unit, solids reduction; at plant; m3 wastewater - US</v>
          </cell>
          <cell r="D140">
            <v>2.47E-3</v>
          </cell>
        </row>
        <row r="141">
          <cell r="C141" t="str">
            <v>Gravity thickener; wastewater treatment unit, solids reduction; at plant; m3 wastewater - US</v>
          </cell>
          <cell r="D141">
            <v>1.89E-3</v>
          </cell>
        </row>
        <row r="142">
          <cell r="C142" t="str">
            <v>Fermentation; wastewater treatment unit, solids reduction; at plant; m3 - US</v>
          </cell>
          <cell r="D142">
            <v>2.2799999999999999E-3</v>
          </cell>
        </row>
        <row r="143">
          <cell r="C143" t="str">
            <v>Effluent release; wastewater treatment unit; at surface water; m3 wastewater - US</v>
          </cell>
          <cell r="D143">
            <v>0</v>
          </cell>
        </row>
        <row r="148">
          <cell r="C148" t="str">
            <v>Sludge hauling and landfill; wastewater treatment unit, solids reduction; at plant; m3 wastewater - US</v>
          </cell>
          <cell r="D148">
            <v>11.30803</v>
          </cell>
        </row>
        <row r="149">
          <cell r="C149" t="str">
            <v>Reverse osmosis; wastewater treatment unit, solids reduction; at plant; m3 wastewater - US</v>
          </cell>
          <cell r="D149">
            <v>1.1339900000000001</v>
          </cell>
        </row>
        <row r="150">
          <cell r="C150" t="str">
            <v>Biological nutrient removal-5-stage; wastewater treatment unit, solids reduction; at plant; m3 wastewater - US</v>
          </cell>
          <cell r="D150">
            <v>1.0301800000000001</v>
          </cell>
        </row>
        <row r="151">
          <cell r="C151" t="str">
            <v>Underground injection of brine; wastewater treatment unit, solids reduction; at injection site; m3 wastewater - US</v>
          </cell>
          <cell r="D151">
            <v>0.83367999999999998</v>
          </cell>
        </row>
        <row r="152">
          <cell r="C152" t="str">
            <v>Membrane filter; wastewater treatment unit, solids reduction; at plant; m3 wastewater - US</v>
          </cell>
          <cell r="D152">
            <v>0.45368000000000003</v>
          </cell>
        </row>
        <row r="153">
          <cell r="C153" t="str">
            <v>Centrifuge; wastewater treatment unit, solids reduction; at plant; m3 wastewater - US</v>
          </cell>
          <cell r="D153">
            <v>5.9979999999999999E-2</v>
          </cell>
        </row>
        <row r="154">
          <cell r="C154" t="str">
            <v>Chlorination; wastewater treatment unit, solids reduction; at plant; m3 wastewater - US</v>
          </cell>
          <cell r="D154">
            <v>5.9360000000000003E-2</v>
          </cell>
        </row>
        <row r="155">
          <cell r="C155" t="str">
            <v>Anaerobic digester; wastewater treatment unit, solids reduction; at plant; m3 wastewater - US</v>
          </cell>
          <cell r="D155">
            <v>4.7550000000000002E-2</v>
          </cell>
        </row>
        <row r="156">
          <cell r="C156" t="str">
            <v>Dechlorination; wastewater treatment unit, solids reduction; at plant; m3 wastewater - US</v>
          </cell>
          <cell r="D156">
            <v>1.242E-2</v>
          </cell>
        </row>
        <row r="157">
          <cell r="C157" t="str">
            <v>Screening and grit removal; wastewater treatment unit, solids reduction; at plant; m3 wastewater - US</v>
          </cell>
          <cell r="D157">
            <v>8.5199999999999998E-3</v>
          </cell>
        </row>
        <row r="158">
          <cell r="C158" t="str">
            <v>Primary clarifier; wastewater treatment unit, solids reduction; at plant; m3 wastewater - US</v>
          </cell>
          <cell r="D158">
            <v>2.4599999999999999E-3</v>
          </cell>
        </row>
        <row r="159">
          <cell r="C159" t="str">
            <v>Gravity thickener; wastewater treatment unit, solids reduction; at plant; m3 wastewater - US</v>
          </cell>
          <cell r="D159">
            <v>1.8600000000000001E-3</v>
          </cell>
        </row>
        <row r="160">
          <cell r="C160" t="str">
            <v>Fermentation; wastewater treatment unit, solids reduction; at plant; m3 - US</v>
          </cell>
          <cell r="D160">
            <v>2.2799999999999999E-3</v>
          </cell>
        </row>
        <row r="161">
          <cell r="C161" t="str">
            <v>Chemical phosphorus removal; wastewater treatment unit, solids reduction; at plant; m3 wastewater - US</v>
          </cell>
          <cell r="D161">
            <v>1.23E-3</v>
          </cell>
        </row>
        <row r="162">
          <cell r="C162" t="str">
            <v>Effluent release; wastewater treatment unit; at surface water; m3 wastewater - US</v>
          </cell>
          <cell r="D162">
            <v>0</v>
          </cell>
        </row>
      </sheetData>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RO36"/>
  <sheetViews>
    <sheetView tabSelected="1" workbookViewId="0">
      <selection activeCell="R18" sqref="R18"/>
    </sheetView>
  </sheetViews>
  <sheetFormatPr defaultColWidth="0" defaultRowHeight="15" zeroHeight="1" x14ac:dyDescent="0.25"/>
  <cols>
    <col min="1" max="1" width="4.625" style="143" customWidth="1"/>
    <col min="2" max="2" width="18.125" style="143" bestFit="1" customWidth="1"/>
    <col min="3" max="3" width="97.75" style="143" bestFit="1" customWidth="1"/>
    <col min="4" max="32" width="4.625" style="143" customWidth="1"/>
    <col min="33" max="1159" width="0" style="143" hidden="1" customWidth="1"/>
    <col min="1160" max="16384" width="4.625" style="143" hidden="1"/>
  </cols>
  <sheetData>
    <row r="1" spans="1:28" ht="21.75" customHeight="1" x14ac:dyDescent="0.3">
      <c r="A1" s="335" t="s">
        <v>11</v>
      </c>
      <c r="B1" s="335"/>
      <c r="C1" s="335"/>
      <c r="D1" s="335"/>
      <c r="E1" s="335"/>
      <c r="F1" s="335"/>
      <c r="G1" s="335"/>
      <c r="H1" s="335"/>
      <c r="I1" s="335"/>
      <c r="J1" s="335"/>
      <c r="K1" s="335"/>
      <c r="L1" s="335"/>
      <c r="M1" s="335"/>
      <c r="N1" s="335"/>
    </row>
    <row r="2" spans="1:28" ht="21.75" customHeight="1" x14ac:dyDescent="0.3">
      <c r="A2" s="336" t="s">
        <v>12</v>
      </c>
      <c r="B2" s="336"/>
      <c r="C2" s="336"/>
      <c r="D2" s="336"/>
      <c r="E2" s="336"/>
      <c r="F2" s="145"/>
      <c r="G2" s="145"/>
      <c r="H2" s="145"/>
      <c r="I2" s="145"/>
      <c r="J2" s="145"/>
      <c r="K2" s="145"/>
      <c r="L2" s="145"/>
      <c r="M2" s="145"/>
      <c r="N2" s="145"/>
    </row>
    <row r="3" spans="1:28" x14ac:dyDescent="0.25">
      <c r="A3" s="144" t="s">
        <v>530</v>
      </c>
    </row>
    <row r="4" spans="1:28" x14ac:dyDescent="0.25">
      <c r="A4" s="144"/>
    </row>
    <row r="5" spans="1:28" x14ac:dyDescent="0.25">
      <c r="B5" s="152" t="s">
        <v>0</v>
      </c>
    </row>
    <row r="6" spans="1:28" ht="23.25" customHeight="1" x14ac:dyDescent="0.25">
      <c r="B6" s="337" t="s">
        <v>10</v>
      </c>
      <c r="C6" s="337"/>
      <c r="D6" s="337"/>
      <c r="E6" s="337"/>
      <c r="F6" s="337"/>
      <c r="G6" s="149"/>
      <c r="H6" s="149"/>
      <c r="I6" s="149"/>
      <c r="J6" s="149"/>
      <c r="K6" s="147"/>
      <c r="L6" s="147"/>
      <c r="M6" s="147"/>
      <c r="N6" s="147"/>
      <c r="O6" s="147"/>
      <c r="P6" s="147"/>
      <c r="Q6" s="147"/>
      <c r="R6" s="147"/>
      <c r="S6" s="147"/>
      <c r="T6" s="147"/>
      <c r="U6" s="147"/>
      <c r="V6" s="147"/>
      <c r="W6" s="147"/>
      <c r="X6" s="147"/>
      <c r="Y6" s="147"/>
      <c r="Z6" s="147"/>
      <c r="AA6" s="147"/>
      <c r="AB6" s="147"/>
    </row>
    <row r="7" spans="1:28" ht="22.5" customHeight="1" x14ac:dyDescent="0.25">
      <c r="B7" s="337"/>
      <c r="C7" s="337"/>
      <c r="D7" s="337"/>
      <c r="E7" s="337"/>
      <c r="F7" s="337"/>
      <c r="G7" s="149"/>
      <c r="H7" s="149"/>
      <c r="I7" s="149"/>
      <c r="J7" s="149"/>
      <c r="K7" s="147"/>
      <c r="L7" s="147"/>
      <c r="M7" s="147"/>
      <c r="N7" s="147"/>
      <c r="O7" s="147"/>
      <c r="P7" s="147"/>
      <c r="Q7" s="147"/>
      <c r="R7" s="147"/>
      <c r="S7" s="147"/>
      <c r="T7" s="147"/>
      <c r="U7" s="147"/>
      <c r="V7" s="147"/>
      <c r="W7" s="147"/>
      <c r="X7" s="147"/>
      <c r="Y7" s="147"/>
      <c r="Z7" s="147"/>
      <c r="AA7" s="147"/>
      <c r="AB7" s="147"/>
    </row>
    <row r="8" spans="1:28" x14ac:dyDescent="0.25">
      <c r="F8" s="151"/>
    </row>
    <row r="9" spans="1:28" x14ac:dyDescent="0.25">
      <c r="B9" s="146" t="s">
        <v>1</v>
      </c>
      <c r="C9" s="146" t="s">
        <v>2</v>
      </c>
    </row>
    <row r="10" spans="1:28" x14ac:dyDescent="0.25">
      <c r="B10" s="162" t="s">
        <v>502</v>
      </c>
      <c r="C10" s="150" t="s">
        <v>503</v>
      </c>
    </row>
    <row r="11" spans="1:28" x14ac:dyDescent="0.25">
      <c r="B11" s="141" t="s">
        <v>3</v>
      </c>
      <c r="C11" s="148" t="s">
        <v>4</v>
      </c>
    </row>
    <row r="12" spans="1:28" x14ac:dyDescent="0.25">
      <c r="B12" s="141" t="s">
        <v>6</v>
      </c>
      <c r="C12" s="150" t="s">
        <v>255</v>
      </c>
    </row>
    <row r="13" spans="1:28" x14ac:dyDescent="0.25">
      <c r="B13" s="141" t="s">
        <v>7</v>
      </c>
      <c r="C13" s="148" t="s">
        <v>256</v>
      </c>
    </row>
    <row r="14" spans="1:28" x14ac:dyDescent="0.25">
      <c r="B14" s="141" t="s">
        <v>8</v>
      </c>
      <c r="C14" s="148" t="s">
        <v>257</v>
      </c>
    </row>
    <row r="15" spans="1:28" x14ac:dyDescent="0.25">
      <c r="B15" s="141" t="s">
        <v>9</v>
      </c>
      <c r="C15" s="148" t="s">
        <v>258</v>
      </c>
    </row>
    <row r="16" spans="1:28" x14ac:dyDescent="0.25">
      <c r="B16" s="162" t="s">
        <v>39</v>
      </c>
      <c r="C16" s="322" t="s">
        <v>504</v>
      </c>
    </row>
    <row r="17" spans="1:3" x14ac:dyDescent="0.25">
      <c r="B17" s="141" t="s">
        <v>40</v>
      </c>
      <c r="C17" s="148" t="s">
        <v>259</v>
      </c>
    </row>
    <row r="18" spans="1:3" x14ac:dyDescent="0.25">
      <c r="B18" s="141" t="s">
        <v>480</v>
      </c>
      <c r="C18" s="150" t="s">
        <v>481</v>
      </c>
    </row>
    <row r="19" spans="1:3" x14ac:dyDescent="0.25">
      <c r="B19" s="141" t="s">
        <v>42</v>
      </c>
      <c r="C19" s="148" t="s">
        <v>260</v>
      </c>
    </row>
    <row r="20" spans="1:3" x14ac:dyDescent="0.25">
      <c r="B20" s="141" t="s">
        <v>238</v>
      </c>
      <c r="C20" s="150" t="s">
        <v>266</v>
      </c>
    </row>
    <row r="21" spans="1:3" x14ac:dyDescent="0.25">
      <c r="B21" s="162" t="s">
        <v>478</v>
      </c>
      <c r="C21" s="150" t="s">
        <v>479</v>
      </c>
    </row>
    <row r="22" spans="1:3" x14ac:dyDescent="0.25">
      <c r="B22" s="141" t="s">
        <v>239</v>
      </c>
      <c r="C22" s="150" t="s">
        <v>267</v>
      </c>
    </row>
    <row r="23" spans="1:3" x14ac:dyDescent="0.25">
      <c r="B23" s="141" t="s">
        <v>240</v>
      </c>
      <c r="C23" s="150" t="s">
        <v>268</v>
      </c>
    </row>
    <row r="24" spans="1:3" x14ac:dyDescent="0.25">
      <c r="B24" s="141" t="s">
        <v>241</v>
      </c>
      <c r="C24" s="150" t="s">
        <v>264</v>
      </c>
    </row>
    <row r="25" spans="1:3" x14ac:dyDescent="0.25">
      <c r="B25" s="141" t="s">
        <v>242</v>
      </c>
      <c r="C25" s="150" t="s">
        <v>498</v>
      </c>
    </row>
    <row r="26" spans="1:3" x14ac:dyDescent="0.25">
      <c r="B26" s="162" t="s">
        <v>495</v>
      </c>
      <c r="C26" s="150" t="s">
        <v>265</v>
      </c>
    </row>
    <row r="27" spans="1:3" x14ac:dyDescent="0.25">
      <c r="B27" s="162" t="s">
        <v>500</v>
      </c>
      <c r="C27" s="150" t="s">
        <v>501</v>
      </c>
    </row>
    <row r="28" spans="1:3" x14ac:dyDescent="0.25">
      <c r="A28" s="142"/>
      <c r="B28" s="141" t="s">
        <v>243</v>
      </c>
      <c r="C28" s="150" t="s">
        <v>263</v>
      </c>
    </row>
    <row r="29" spans="1:3" x14ac:dyDescent="0.25">
      <c r="B29" s="141" t="s">
        <v>244</v>
      </c>
      <c r="C29" s="150" t="s">
        <v>248</v>
      </c>
    </row>
    <row r="30" spans="1:3" x14ac:dyDescent="0.25">
      <c r="B30" s="141" t="s">
        <v>245</v>
      </c>
      <c r="C30" s="150" t="s">
        <v>247</v>
      </c>
    </row>
    <row r="31" spans="1:3" x14ac:dyDescent="0.25"/>
    <row r="32" spans="1:3" x14ac:dyDescent="0.25">
      <c r="B32" s="323" t="s">
        <v>516</v>
      </c>
    </row>
    <row r="33" spans="2:3" ht="15.75" x14ac:dyDescent="0.25">
      <c r="B33" s="3" t="s">
        <v>517</v>
      </c>
      <c r="C33" s="322"/>
    </row>
    <row r="34" spans="2:3" ht="15.75" x14ac:dyDescent="0.25">
      <c r="B34" s="3" t="s">
        <v>518</v>
      </c>
      <c r="C34" s="322"/>
    </row>
    <row r="35" spans="2:3" x14ac:dyDescent="0.25"/>
    <row r="36" spans="2:3" x14ac:dyDescent="0.25"/>
  </sheetData>
  <mergeCells count="3">
    <mergeCell ref="A1:N1"/>
    <mergeCell ref="A2:E2"/>
    <mergeCell ref="B6:F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3"/>
  <sheetViews>
    <sheetView zoomScale="70" zoomScaleNormal="70" workbookViewId="0">
      <selection activeCell="B25" sqref="B25"/>
    </sheetView>
  </sheetViews>
  <sheetFormatPr defaultColWidth="0" defaultRowHeight="15.75" zeroHeight="1" x14ac:dyDescent="0.25"/>
  <cols>
    <col min="1" max="1" width="27.875" style="9" bestFit="1" customWidth="1"/>
    <col min="2" max="2" width="95.625" style="9" bestFit="1" customWidth="1"/>
    <col min="3" max="4" width="12.25" style="9" customWidth="1"/>
    <col min="5" max="24" width="9" style="9" customWidth="1"/>
    <col min="25" max="16384" width="9" style="9" hidden="1"/>
  </cols>
  <sheetData>
    <row r="1" spans="1:9" ht="21" x14ac:dyDescent="0.35">
      <c r="A1" s="8"/>
      <c r="B1" s="23" t="str">
        <f>LookUps!E11</f>
        <v>Fossil Depletion Potential (FDP) - kg oil eq</v>
      </c>
    </row>
    <row r="2" spans="1:9" x14ac:dyDescent="0.25">
      <c r="A2" s="24" t="str">
        <f>CONCATENATE("LCIA Results File for ", INDEX(LookUps!$B$5:$B$12,MATCH(FDP!$B$1,LookUps!$E$5:$E$12,0)), " units are in ", INDEX(LookUps!$D$5:$D$12, MATCH(FDP!$B$1,LookUps!$E$5:$E$12,0)))</f>
        <v>LCIA Results File for Fossil Depletion Potential units are in kg oil eq</v>
      </c>
      <c r="B2" s="1"/>
    </row>
    <row r="3" spans="1:9" x14ac:dyDescent="0.25">
      <c r="A3" s="24"/>
      <c r="B3" s="1"/>
    </row>
    <row r="4" spans="1:9" x14ac:dyDescent="0.25">
      <c r="A4" s="125" t="s">
        <v>505</v>
      </c>
      <c r="B4" s="1"/>
    </row>
    <row r="5" spans="1:9" s="124" customFormat="1" x14ac:dyDescent="0.25">
      <c r="A5" s="127" t="s">
        <v>211</v>
      </c>
      <c r="B5" s="129" t="str">
        <f>GWP!$B$5</f>
        <v>Base</v>
      </c>
    </row>
    <row r="6" spans="1:9" s="124" customFormat="1" x14ac:dyDescent="0.25">
      <c r="A6" s="128" t="s">
        <v>212</v>
      </c>
      <c r="B6" s="129" t="str">
        <f>GWP!$B$6</f>
        <v>Base</v>
      </c>
    </row>
    <row r="7" spans="1:9" ht="15" customHeight="1" x14ac:dyDescent="0.25">
      <c r="A7" s="66" t="s">
        <v>421</v>
      </c>
      <c r="B7" s="129" t="str">
        <f>GWP!$B$7</f>
        <v>Base_With Amendment</v>
      </c>
    </row>
    <row r="8" spans="1:9" ht="17.25" customHeight="1" x14ac:dyDescent="0.25">
      <c r="A8" s="66" t="s">
        <v>426</v>
      </c>
      <c r="B8" s="129" t="str">
        <f>GWP!$B$8</f>
        <v>Bath Landfill</v>
      </c>
    </row>
    <row r="9" spans="1:9" ht="17.25" customHeight="1" x14ac:dyDescent="0.25">
      <c r="A9" s="66" t="s">
        <v>429</v>
      </c>
      <c r="B9" s="129" t="str">
        <f>GWP!$B$9</f>
        <v>Windrow</v>
      </c>
    </row>
    <row r="10" spans="1:9" x14ac:dyDescent="0.25">
      <c r="A10" s="126" t="s">
        <v>213</v>
      </c>
      <c r="B10" s="1"/>
      <c r="I10" s="130" t="str">
        <f>CONCATENATE("Figure is presenting results for the ", GWP!$B$5, " Feedstock-AD scenario and the ", GWP!$B$6, " GHG emissions scenario")</f>
        <v>Figure is presenting results for the Base Feedstock-AD scenario and the Base GHG emissions scenario</v>
      </c>
    </row>
    <row r="11" spans="1:9" x14ac:dyDescent="0.25">
      <c r="B11" s="1"/>
    </row>
    <row r="12" spans="1:9" x14ac:dyDescent="0.25">
      <c r="B12" s="56" t="s">
        <v>47</v>
      </c>
      <c r="C12" s="1" t="s">
        <v>45</v>
      </c>
      <c r="D12" s="1" t="s">
        <v>46</v>
      </c>
      <c r="E12" s="10" t="s">
        <v>27</v>
      </c>
    </row>
    <row r="13" spans="1:9" x14ac:dyDescent="0.25">
      <c r="B13" s="57" t="str">
        <f>LookUps!$G$5</f>
        <v>Wastewater collection; operation and infrastructure; m3 wastewater</v>
      </c>
      <c r="C13" s="260">
        <f>IF(C$12="Legacy",
SUMIFS(OpenLCAbasic!$J:$J,OpenLCAbasic!$D:$D, "Base", OpenLCAbasic!$F:$F,C$12,OpenLCAbasic!$L:$L,$B$1,OpenLCAbasic!$I:$I,$B13, OpenLCAbasic!$C:$C, $B$8),
IF(AND(NOT(ISERROR(MATCH($B13, LookUps!$J$5:$J$20,0))), C$12="Upgraded"),
SUMIFS(OpenLCAbasic!$J:$J,OpenLCAbasic!$D:$D, GWP!$B$5, OpenLCAbasic!$F:$F,C$12,OpenLCAbasic!$L:$L,$B$1,OpenLCAbasic!$I:$I,INDEX(LookUps!$G$5:$G$20,MATCH($B13, LookUps!$J$5:$J$20,0))),
SUMIFS(OpenLCAbasic!$J:$J,OpenLCAbasic!$D:$D, GWP!$B$5, OpenLCAbasic!$F:$F,C$12,OpenLCAbasic!$L:$L,$B$1,OpenLCAbasic!$I:$I,$B13)))</f>
        <v>4.4999999999999997E-3</v>
      </c>
      <c r="D13" s="260">
        <f>IF(AND(NOT(ISERROR(MATCH($B13, LookUps!$J$5:$J$20,0))), D$12="Upgraded"),
SUMIFS(OpenLCAbasic!$J:$J,OpenLCAbasic!$E:$E, "Base", OpenLCAbasic!$D:$D, GWP!$B$5, OpenLCAbasic!$F:$F,D$12,OpenLCAbasic!$L:$L,$B$1,OpenLCAbasic!$C:$C,$B$7,OpenLCAbasic!$I:$I,INDEX(LookUps!$G$5:$G$20,MATCH($B13, LookUps!$J$5:$J$20,0)), OpenLCAbasic!$B:$B, $B$9),
SUMIFS(OpenLCAbasic!$J:$J,OpenLCAbasic!$E:$E, "Base", OpenLCAbasic!$D:$D, GWP!$B$5, OpenLCAbasic!$F:$F,D$12,OpenLCAbasic!$L:$L,$B$1,OpenLCAbasic!$I:$I,$B13, OpenLCAbasic!$C:$C,$B$7, OpenLCAbasic!$B:$B, $B$9))</f>
        <v>4.4999999999999997E-3</v>
      </c>
      <c r="E13" s="9" t="str">
        <f>CONCATENATE("(",INDEX(LookUps!$D$5:$D$12,MATCH(FDP!$B$1,LookUps!$E$5:$E$12,0)), "/m3 wastewater treated")</f>
        <v>(kg oil eq/m3 wastewater treated</v>
      </c>
    </row>
    <row r="14" spans="1:9" x14ac:dyDescent="0.25">
      <c r="B14" s="58" t="str">
        <f>LookUps!$G$6</f>
        <v>Influent Pump Station; wastewater treatment unit; at updated plant - US</v>
      </c>
      <c r="C14" s="258"/>
      <c r="D14" s="15">
        <f>IF(AND(NOT(ISERROR(MATCH($B14, LookUps!$J$5:$J$20,0))), D$12="Upgraded"),
SUMIFS(OpenLCAbasic!$J:$J,OpenLCAbasic!$E:$E, "Base", OpenLCAbasic!$D:$D, GWP!$B$5, OpenLCAbasic!$F:$F,D$12,OpenLCAbasic!$L:$L,$B$1,OpenLCAbasic!$C:$C,$B$7,OpenLCAbasic!$I:$I,INDEX(LookUps!$G$5:$G$20,MATCH($B14, LookUps!$J$5:$J$20,0)), OpenLCAbasic!$B:$B, $B$9),
SUMIFS(OpenLCAbasic!$J:$J,OpenLCAbasic!$E:$E, "Base", OpenLCAbasic!$D:$D, GWP!$B$5, OpenLCAbasic!$F:$F,D$12,OpenLCAbasic!$L:$L,$B$1,OpenLCAbasic!$I:$I,$B14, OpenLCAbasic!$C:$C,$B$7, OpenLCAbasic!$B:$B, $B$9))</f>
        <v>1.5089999999999999E-2</v>
      </c>
      <c r="E14" s="9" t="str">
        <f>CONCATENATE("(",INDEX(LookUps!$D$5:$D$12,MATCH(FDP!$B$1,LookUps!$E$5:$E$12,0)), "/m3 wastewater treated")</f>
        <v>(kg oil eq/m3 wastewater treated</v>
      </c>
    </row>
    <row r="15" spans="1:9" x14ac:dyDescent="0.25">
      <c r="B15" s="58" t="str">
        <f>LookUps!$H$6</f>
        <v>Screening and Grit Removal - US</v>
      </c>
      <c r="C15" s="260">
        <f>IF(C$12="Legacy",
SUMIFS(OpenLCAbasic!$J:$J,OpenLCAbasic!$D:$D, "Base", OpenLCAbasic!$F:$F,C$12,OpenLCAbasic!$L:$L,$B$1,OpenLCAbasic!$I:$I,$B15, OpenLCAbasic!$C:$C, $B$8),
IF(AND(NOT(ISERROR(MATCH($B15, LookUps!$J$5:$J$20,0))), C$12="Upgraded"),
SUMIFS(OpenLCAbasic!$J:$J,OpenLCAbasic!$D:$D, GWP!$B$5, OpenLCAbasic!$F:$F,C$12,OpenLCAbasic!$L:$L,$B$1,OpenLCAbasic!$I:$I,INDEX(LookUps!$G$5:$G$20,MATCH($B15, LookUps!$J$5:$J$20,0))),
SUMIFS(OpenLCAbasic!$J:$J,OpenLCAbasic!$D:$D, GWP!$B$5, OpenLCAbasic!$F:$F,C$12,OpenLCAbasic!$L:$L,$B$1,OpenLCAbasic!$I:$I,$B15)))</f>
        <v>2.7499999999999998E-3</v>
      </c>
      <c r="D15" s="258"/>
      <c r="E15" s="9" t="str">
        <f>CONCATENATE("(",INDEX(LookUps!$D$5:$D$12,MATCH(FDP!$B$1,LookUps!$E$5:$E$12,0)), "/m3 wastewater treated")</f>
        <v>(kg oil eq/m3 wastewater treated</v>
      </c>
    </row>
    <row r="16" spans="1:9" x14ac:dyDescent="0.25">
      <c r="B16" s="58" t="str">
        <f>LookUps!$G$8</f>
        <v>Clear Cove Primary Clarification; wastewater treatment unit; at updated plant - US</v>
      </c>
      <c r="C16" s="258"/>
      <c r="D16" s="15">
        <f>IF(AND(NOT(ISERROR(MATCH($B16, LookUps!$J$5:$J$20,0))), D$12="Upgraded"),
SUMIFS(OpenLCAbasic!$J:$J,OpenLCAbasic!$E:$E, "Base", OpenLCAbasic!$D:$D, GWP!$B$5, OpenLCAbasic!$F:$F,D$12,OpenLCAbasic!$L:$L,$B$1,OpenLCAbasic!$C:$C,$B$7,OpenLCAbasic!$I:$I,INDEX(LookUps!$G$5:$G$20,MATCH($B16, LookUps!$J$5:$J$20,0)), OpenLCAbasic!$B:$B, $B$9),
SUMIFS(OpenLCAbasic!$J:$J,OpenLCAbasic!$E:$E, "Base", OpenLCAbasic!$D:$D, GWP!$B$5, OpenLCAbasic!$F:$F,D$12,OpenLCAbasic!$L:$L,$B$1,OpenLCAbasic!$I:$I,$B16, OpenLCAbasic!$C:$C,$B$7, OpenLCAbasic!$B:$B, $B$9))</f>
        <v>2.1049999999999999E-2</v>
      </c>
      <c r="E16" s="9" t="str">
        <f>CONCATENATE("(",INDEX(LookUps!$D$5:$D$12,MATCH(FDP!$B$1,LookUps!$E$5:$E$12,0)), "/m3 wastewater treated")</f>
        <v>(kg oil eq/m3 wastewater treated</v>
      </c>
    </row>
    <row r="17" spans="2:5" x14ac:dyDescent="0.25">
      <c r="B17" s="58" t="str">
        <f>LookUps!$H$8</f>
        <v>Primary Clarifier; wastewater treatment unit - US</v>
      </c>
      <c r="C17" s="15">
        <f>IF(C$12="Legacy",
SUMIFS(OpenLCAbasic!$J:$J,OpenLCAbasic!$D:$D, "Base", OpenLCAbasic!$F:$F,C$12,OpenLCAbasic!$L:$L,$B$1,OpenLCAbasic!$I:$I,$B17, OpenLCAbasic!$C:$C, $B$8),
IF(AND(NOT(ISERROR(MATCH($B17, LookUps!$J$5:$J$20,0))), C$12="Upgraded"),
SUMIFS(OpenLCAbasic!$J:$J,OpenLCAbasic!$D:$D, GWP!$B$5, OpenLCAbasic!$F:$F,C$12,OpenLCAbasic!$L:$L,$B$1,OpenLCAbasic!$I:$I,INDEX(LookUps!$G$5:$G$20,MATCH($B17, LookUps!$J$5:$J$20,0))),
SUMIFS(OpenLCAbasic!$J:$J,OpenLCAbasic!$D:$D, GWP!$B$5, OpenLCAbasic!$F:$F,C$12,OpenLCAbasic!$L:$L,$B$1,OpenLCAbasic!$I:$I,$B17)))</f>
        <v>2.963E-2</v>
      </c>
      <c r="D17" s="258"/>
      <c r="E17" s="9" t="str">
        <f>CONCATENATE("(",INDEX(LookUps!$D$5:$D$12,MATCH(FDP!$B$1,LookUps!$E$5:$E$12,0)), "/m3 wastewater treated")</f>
        <v>(kg oil eq/m3 wastewater treated</v>
      </c>
    </row>
    <row r="18" spans="2:5" x14ac:dyDescent="0.25">
      <c r="B18" s="58" t="str">
        <f>LookUps!$G$17</f>
        <v>ClearCove SCP; wastewater treatment unit; at updated plant - US</v>
      </c>
      <c r="C18" s="258"/>
      <c r="D18" s="260">
        <f>IF(AND(NOT(ISERROR(MATCH($B18, LookUps!$J$5:$J$20,0))), D$12="Upgraded"),
SUMIFS(OpenLCAbasic!$J:$J,OpenLCAbasic!$E:$E, "Base", OpenLCAbasic!$D:$D, GWP!$B$5, OpenLCAbasic!$F:$F,D$12,OpenLCAbasic!$L:$L,$B$1,OpenLCAbasic!$C:$C,$B$7,OpenLCAbasic!$I:$I,INDEX(LookUps!$G$5:$G$20,MATCH($B18, LookUps!$J$5:$J$20,0)), OpenLCAbasic!$B:$B, $B$9),
SUMIFS(OpenLCAbasic!$J:$J,OpenLCAbasic!$E:$E, "Base", OpenLCAbasic!$D:$D, GWP!$B$5, OpenLCAbasic!$F:$F,D$12,OpenLCAbasic!$L:$L,$B$1,OpenLCAbasic!$I:$I,$B18, OpenLCAbasic!$C:$C,$B$7, OpenLCAbasic!$B:$B, $B$9))</f>
        <v>9.1E-4</v>
      </c>
      <c r="E18" s="9" t="str">
        <f>CONCATENATE("(",INDEX(LookUps!$D$5:$D$12,MATCH(FDP!$B$1,LookUps!$E$5:$E$12,0)), "/m3 wastewater treated")</f>
        <v>(kg oil eq/m3 wastewater treated</v>
      </c>
    </row>
    <row r="19" spans="2:5" x14ac:dyDescent="0.25">
      <c r="B19" s="58" t="str">
        <f>LookUps!$G$7</f>
        <v>Wet Well and Sump Station; wastewater treatment unit; at updated plant - US</v>
      </c>
      <c r="C19" s="258"/>
      <c r="D19" s="15">
        <f>IF(AND(NOT(ISERROR(MATCH($B19, LookUps!$J$5:$J$20,0))), D$12="Upgraded"),
SUMIFS(OpenLCAbasic!$J:$J,OpenLCAbasic!$E:$E, "Base", OpenLCAbasic!$D:$D, GWP!$B$5, OpenLCAbasic!$F:$F,D$12,OpenLCAbasic!$L:$L,$B$1,OpenLCAbasic!$C:$C,$B$7,OpenLCAbasic!$I:$I,INDEX(LookUps!$G$5:$G$20,MATCH($B19, LookUps!$J$5:$J$20,0)), OpenLCAbasic!$B:$B, $B$9),
SUMIFS(OpenLCAbasic!$J:$J,OpenLCAbasic!$E:$E, "Base", OpenLCAbasic!$D:$D, GWP!$B$5, OpenLCAbasic!$F:$F,D$12,OpenLCAbasic!$L:$L,$B$1,OpenLCAbasic!$I:$I,$B19, OpenLCAbasic!$C:$C,$B$7, OpenLCAbasic!$B:$B, $B$9))</f>
        <v>1.2489999999999999E-2</v>
      </c>
      <c r="E19" s="9" t="str">
        <f>CONCATENATE("(",INDEX(LookUps!$D$5:$D$12,MATCH(FDP!$B$1,LookUps!$E$5:$E$12,0)), "/m3 wastewater treated")</f>
        <v>(kg oil eq/m3 wastewater treated</v>
      </c>
    </row>
    <row r="20" spans="2:5" x14ac:dyDescent="0.25">
      <c r="B20" s="58" t="str">
        <f>LookUps!$G$13</f>
        <v>Pre-Anoxic &amp; Swing tank; wastewater treatment unit; at updated plant - US</v>
      </c>
      <c r="C20" s="258"/>
      <c r="D20" s="15">
        <f>IF(AND(NOT(ISERROR(MATCH($B20, LookUps!$J$5:$J$20,0))), D$12="Upgraded"),
SUMIFS(OpenLCAbasic!$J:$J,OpenLCAbasic!$E:$E, "Base", OpenLCAbasic!$D:$D, GWP!$B$5, OpenLCAbasic!$F:$F,D$12,OpenLCAbasic!$L:$L,$B$1,OpenLCAbasic!$C:$C,$B$7,OpenLCAbasic!$I:$I,INDEX(LookUps!$G$5:$G$20,MATCH($B20, LookUps!$J$5:$J$20,0)), OpenLCAbasic!$B:$B, $B$9),
SUMIFS(OpenLCAbasic!$J:$J,OpenLCAbasic!$E:$E, "Base", OpenLCAbasic!$D:$D, GWP!$B$5, OpenLCAbasic!$F:$F,D$12,OpenLCAbasic!$L:$L,$B$1,OpenLCAbasic!$I:$I,$B20, OpenLCAbasic!$C:$C,$B$7, OpenLCAbasic!$B:$B, $B$9))</f>
        <v>1.592E-2</v>
      </c>
      <c r="E20" s="9" t="str">
        <f>CONCATENATE("(",INDEX(LookUps!$D$5:$D$12,MATCH(FDP!$B$1,LookUps!$E$5:$E$12,0)), "/m3 wastewater treated")</f>
        <v>(kg oil eq/m3 wastewater treated</v>
      </c>
    </row>
    <row r="21" spans="2:5" x14ac:dyDescent="0.25">
      <c r="B21" s="58" t="str">
        <f>LookUps!$J$9</f>
        <v>Aeration Tanks; wastewater treatment unit - US</v>
      </c>
      <c r="C21" s="15">
        <f>IF(C$12="Legacy",
SUMIFS(OpenLCAbasic!$J:$J,OpenLCAbasic!$D:$D, "Base", OpenLCAbasic!$F:$F,C$12,OpenLCAbasic!$L:$L,$B$1,OpenLCAbasic!$I:$I,$B21, OpenLCAbasic!$C:$C, $B$8),
IF(AND(NOT(ISERROR(MATCH($B21, LookUps!$J$5:$J$20,0))), C$12="Upgraded"),
SUMIFS(OpenLCAbasic!$J:$J,OpenLCAbasic!$D:$D, GWP!$B$5, OpenLCAbasic!$F:$F,C$12,OpenLCAbasic!$L:$L,$B$1,OpenLCAbasic!$I:$I,INDEX(LookUps!$G$5:$G$20,MATCH($B21, LookUps!$J$5:$J$20,0))),
SUMIFS(OpenLCAbasic!$J:$J,OpenLCAbasic!$D:$D, GWP!$B$5, OpenLCAbasic!$F:$F,C$12,OpenLCAbasic!$L:$L,$B$1,OpenLCAbasic!$I:$I,$B21)))</f>
        <v>4.8860000000000001E-2</v>
      </c>
      <c r="D21" s="15">
        <f>IF(AND(NOT(ISERROR(MATCH($B21, LookUps!$J$5:$J$20,0))), D$12="Upgraded"),
SUMIFS(OpenLCAbasic!$J:$J,OpenLCAbasic!$E:$E, "Base", OpenLCAbasic!$D:$D, GWP!$B$5, OpenLCAbasic!$F:$F,D$12,OpenLCAbasic!$L:$L,$B$1,OpenLCAbasic!$C:$C,$B$7,OpenLCAbasic!$I:$I,INDEX(LookUps!$G$5:$G$20,MATCH($B21, LookUps!$J$5:$J$20,0)), OpenLCAbasic!$B:$B, $B$9),
SUMIFS(OpenLCAbasic!$J:$J,OpenLCAbasic!$E:$E, "Base", OpenLCAbasic!$D:$D, GWP!$B$5, OpenLCAbasic!$F:$F,D$12,OpenLCAbasic!$L:$L,$B$1,OpenLCAbasic!$I:$I,$B21, OpenLCAbasic!$C:$C,$B$7, OpenLCAbasic!$B:$B, $B$9))</f>
        <v>6.3589999999999994E-2</v>
      </c>
      <c r="E21" s="9" t="str">
        <f>CONCATENATE("(",INDEX(LookUps!$D$5:$D$12,MATCH(FDP!$B$1,LookUps!$E$5:$E$12,0)), "/m3 wastewater treated")</f>
        <v>(kg oil eq/m3 wastewater treated</v>
      </c>
    </row>
    <row r="22" spans="2:5" x14ac:dyDescent="0.25">
      <c r="B22" s="58" t="str">
        <f>LookUps!$G$12</f>
        <v>Waste Receiving and Holding; wastewater treatment unit; at updated plant - US</v>
      </c>
      <c r="C22" s="258"/>
      <c r="D22" s="15">
        <f>IF(AND(NOT(ISERROR(MATCH($B22, LookUps!$J$5:$J$20,0))), D$12="Upgraded"),
SUMIFS(OpenLCAbasic!$J:$J,OpenLCAbasic!$E:$E, "Base", OpenLCAbasic!$D:$D, GWP!$B$5, OpenLCAbasic!$F:$F,D$12,OpenLCAbasic!$L:$L,$B$1,OpenLCAbasic!$C:$C,$B$7,OpenLCAbasic!$I:$I,INDEX(LookUps!$G$5:$G$20,MATCH($B22, LookUps!$J$5:$J$20,0)), OpenLCAbasic!$B:$B, $B$9),
SUMIFS(OpenLCAbasic!$J:$J,OpenLCAbasic!$E:$E, "Base", OpenLCAbasic!$D:$D, GWP!$B$5, OpenLCAbasic!$F:$F,D$12,OpenLCAbasic!$L:$L,$B$1,OpenLCAbasic!$I:$I,$B22, OpenLCAbasic!$C:$C,$B$7, OpenLCAbasic!$B:$B, $B$9))</f>
        <v>7.9170000000000004E-2</v>
      </c>
      <c r="E22" s="9" t="str">
        <f>CONCATENATE("(",INDEX(LookUps!$D$5:$D$12,MATCH(FDP!$B$1,LookUps!$E$5:$E$12,0)), "/m3 wastewater treated")</f>
        <v>(kg oil eq/m3 wastewater treated</v>
      </c>
    </row>
    <row r="23" spans="2:5" x14ac:dyDescent="0.25">
      <c r="B23" s="58" t="str">
        <f>LookUps!$G$11</f>
        <v>Gravity Belt Thickener; wastewater treatment unit; at updated plant - US</v>
      </c>
      <c r="C23" s="258"/>
      <c r="D23" s="260">
        <f>IF(AND(NOT(ISERROR(MATCH($B23, LookUps!$J$5:$J$20,0))), D$12="Upgraded"),
SUMIFS(OpenLCAbasic!$J:$J,OpenLCAbasic!$E:$E, "Base", OpenLCAbasic!$D:$D, GWP!$B$5, OpenLCAbasic!$F:$F,D$12,OpenLCAbasic!$L:$L,$B$1,OpenLCAbasic!$C:$C,$B$7,OpenLCAbasic!$I:$I,INDEX(LookUps!$G$5:$G$20,MATCH($B23, LookUps!$J$5:$J$20,0)), OpenLCAbasic!$B:$B, $B$9),
SUMIFS(OpenLCAbasic!$J:$J,OpenLCAbasic!$E:$E, "Base", OpenLCAbasic!$D:$D, GWP!$B$5, OpenLCAbasic!$F:$F,D$12,OpenLCAbasic!$L:$L,$B$1,OpenLCAbasic!$I:$I,$B23, OpenLCAbasic!$C:$C,$B$7, OpenLCAbasic!$B:$B, $B$9))</f>
        <v>6.9199999999999999E-3</v>
      </c>
      <c r="E23" s="9" t="str">
        <f>CONCATENATE("(",INDEX(LookUps!$D$5:$D$12,MATCH(FDP!$B$1,LookUps!$E$5:$E$12,0)), "/m3 wastewater treated")</f>
        <v>(kg oil eq/m3 wastewater treated</v>
      </c>
    </row>
    <row r="24" spans="2:5" x14ac:dyDescent="0.25">
      <c r="B24" s="58" t="str">
        <f>LookUps!$H$11</f>
        <v>Sludge Thickener; wastewater treatment unit - US</v>
      </c>
      <c r="C24" s="260">
        <f>IF(C$12="Legacy",
SUMIFS(OpenLCAbasic!$J:$J,OpenLCAbasic!$D:$D, "Base", OpenLCAbasic!$F:$F,C$12,OpenLCAbasic!$L:$L,$B$1,OpenLCAbasic!$I:$I,$B24, OpenLCAbasic!$C:$C, $B$8),
IF(AND(NOT(ISERROR(MATCH($B24, LookUps!$J$5:$J$20,0))), C$12="Upgraded"),
SUMIFS(OpenLCAbasic!$J:$J,OpenLCAbasic!$D:$D, GWP!$B$5, OpenLCAbasic!$F:$F,C$12,OpenLCAbasic!$L:$L,$B$1,OpenLCAbasic!$I:$I,INDEX(LookUps!$G$5:$G$20,MATCH($B24, LookUps!$J$5:$J$20,0))),
SUMIFS(OpenLCAbasic!$J:$J,OpenLCAbasic!$D:$D, GWP!$B$5, OpenLCAbasic!$F:$F,C$12,OpenLCAbasic!$L:$L,$B$1,OpenLCAbasic!$I:$I,$B24)))</f>
        <v>3.6999999999999999E-4</v>
      </c>
      <c r="D24" s="258"/>
      <c r="E24" s="9" t="str">
        <f>CONCATENATE("(",INDEX(LookUps!$D$5:$D$12,MATCH(FDP!$B$1,LookUps!$E$5:$E$12,0)), "/m3 wastewater treated")</f>
        <v>(kg oil eq/m3 wastewater treated</v>
      </c>
    </row>
    <row r="25" spans="2:5" x14ac:dyDescent="0.25">
      <c r="B25" s="58" t="str">
        <f>LookUps!$G$14</f>
        <v>Blend Tank; wastewater treatment unit; at updated plant - US</v>
      </c>
      <c r="C25" s="258"/>
      <c r="D25" s="260">
        <f>IF(AND(NOT(ISERROR(MATCH($B25, LookUps!$J$5:$J$20,0))), D$12="Upgraded"),
SUMIFS(OpenLCAbasic!$J:$J,OpenLCAbasic!$E:$E, "Base", OpenLCAbasic!$D:$D, GWP!$B$5, OpenLCAbasic!$F:$F,D$12,OpenLCAbasic!$L:$L,$B$1,OpenLCAbasic!$C:$C,$B$7,OpenLCAbasic!$I:$I,INDEX(LookUps!$G$5:$G$20,MATCH($B25, LookUps!$J$5:$J$20,0)), OpenLCAbasic!$B:$B, $B$9),
SUMIFS(OpenLCAbasic!$J:$J,OpenLCAbasic!$E:$E, "Base", OpenLCAbasic!$D:$D, GWP!$B$5, OpenLCAbasic!$F:$F,D$12,OpenLCAbasic!$L:$L,$B$1,OpenLCAbasic!$I:$I,$B25, OpenLCAbasic!$C:$C,$B$7, OpenLCAbasic!$B:$B, $B$9))</f>
        <v>1.92E-3</v>
      </c>
      <c r="E25" s="9" t="str">
        <f>CONCATENATE("(",INDEX(LookUps!$D$5:$D$12,MATCH(FDP!$B$1,LookUps!$E$5:$E$12,0)), "/m3 wastewater treated")</f>
        <v>(kg oil eq/m3 wastewater treated</v>
      </c>
    </row>
    <row r="26" spans="2:5" x14ac:dyDescent="0.25">
      <c r="B26" s="58" t="str">
        <f>LookUps!$G$19</f>
        <v>Anaerobic Digestion; wastewater treatment unit; at updated plant - US</v>
      </c>
      <c r="C26" s="258"/>
      <c r="D26" s="15">
        <f>IF(AND(NOT(ISERROR(MATCH($B26, LookUps!$J$5:$J$20,0))), D$12="Upgraded"),
SUMIFS(OpenLCAbasic!$J:$J,OpenLCAbasic!$E:$E, "Base", OpenLCAbasic!$D:$D, GWP!$B$5, OpenLCAbasic!$F:$F,D$12,OpenLCAbasic!$L:$L,$B$1,OpenLCAbasic!$C:$C,$B$7,OpenLCAbasic!$I:$I,INDEX(LookUps!$G$5:$G$20,MATCH($B26, LookUps!$J$5:$J$20,0)), OpenLCAbasic!$B:$B, $B$9),
SUMIFS(OpenLCAbasic!$J:$J,OpenLCAbasic!$E:$E, "Base", OpenLCAbasic!$D:$D, GWP!$B$5, OpenLCAbasic!$F:$F,D$12,OpenLCAbasic!$L:$L,$B$1,OpenLCAbasic!$I:$I,$B26, OpenLCAbasic!$C:$C,$B$7, OpenLCAbasic!$B:$B, $B$9))</f>
        <v>-4.0030000000000003E-2</v>
      </c>
      <c r="E26" s="9" t="str">
        <f>CONCATENATE("(",INDEX(LookUps!$D$5:$D$12,MATCH(FDP!$B$1,LookUps!$E$5:$E$12,0)), "/m3 wastewater treated")</f>
        <v>(kg oil eq/m3 wastewater treated</v>
      </c>
    </row>
    <row r="27" spans="2:5" x14ac:dyDescent="0.25">
      <c r="B27" s="58" t="str">
        <f>LookUps!$H$19</f>
        <v>Aerobic Digester; wastewater treatment unit - US</v>
      </c>
      <c r="C27" s="15">
        <f>IF(C$12="Legacy",
SUMIFS(OpenLCAbasic!$J:$J,OpenLCAbasic!$D:$D, "Base", OpenLCAbasic!$F:$F,C$12,OpenLCAbasic!$L:$L,$B$1,OpenLCAbasic!$I:$I,$B27, OpenLCAbasic!$C:$C, $B$8),
IF(AND(NOT(ISERROR(MATCH($B27, LookUps!$J$5:$J$20,0))), C$12="Upgraded"),
SUMIFS(OpenLCAbasic!$J:$J,OpenLCAbasic!$D:$D, GWP!$B$5, OpenLCAbasic!$F:$F,C$12,OpenLCAbasic!$L:$L,$B$1,OpenLCAbasic!$I:$I,INDEX(LookUps!$G$5:$G$20,MATCH($B27, LookUps!$J$5:$J$20,0))),
SUMIFS(OpenLCAbasic!$J:$J,OpenLCAbasic!$D:$D, GWP!$B$5, OpenLCAbasic!$F:$F,C$12,OpenLCAbasic!$L:$L,$B$1,OpenLCAbasic!$I:$I,$B27)))</f>
        <v>4.8919999999999998E-2</v>
      </c>
      <c r="D27" s="258"/>
      <c r="E27" s="9" t="str">
        <f>CONCATENATE("(",INDEX(LookUps!$D$5:$D$12,MATCH(FDP!$B$1,LookUps!$E$5:$E$12,0)), "/m3 wastewater treated")</f>
        <v>(kg oil eq/m3 wastewater treated</v>
      </c>
    </row>
    <row r="28" spans="2:5" x14ac:dyDescent="0.25">
      <c r="B28" s="58" t="str">
        <f>LookUps!$J$15</f>
        <v>Belt filter press; wastewater treatment unit - US</v>
      </c>
      <c r="C28" s="260">
        <f>IF(C$12="Legacy",
SUMIFS(OpenLCAbasic!$J:$J,OpenLCAbasic!$D:$D, "Base", OpenLCAbasic!$F:$F,C$12,OpenLCAbasic!$L:$L,$B$1,OpenLCAbasic!$I:$I,$B28, OpenLCAbasic!$C:$C, $B$8),
IF(AND(NOT(ISERROR(MATCH($B28, LookUps!$J$5:$J$20,0))), C$12="Upgraded"),
SUMIFS(OpenLCAbasic!$J:$J,OpenLCAbasic!$D:$D, GWP!$B$5, OpenLCAbasic!$F:$F,C$12,OpenLCAbasic!$L:$L,$B$1,OpenLCAbasic!$I:$I,INDEX(LookUps!$G$5:$G$20,MATCH($B28, LookUps!$J$5:$J$20,0))),
SUMIFS(OpenLCAbasic!$J:$J,OpenLCAbasic!$D:$D, GWP!$B$5, OpenLCAbasic!$F:$F,C$12,OpenLCAbasic!$L:$L,$B$1,OpenLCAbasic!$I:$I,$B28)))</f>
        <v>3.0799999999999998E-3</v>
      </c>
      <c r="D28" s="260">
        <f>IF(AND(NOT(ISERROR(MATCH($B28, LookUps!$J$5:$J$20,0))), D$12="Upgraded"),
SUMIFS(OpenLCAbasic!$J:$J,OpenLCAbasic!$E:$E, "Base", OpenLCAbasic!$D:$D, GWP!$B$5, OpenLCAbasic!$F:$F,D$12,OpenLCAbasic!$L:$L,$B$1,OpenLCAbasic!$C:$C,$B$7,OpenLCAbasic!$I:$I,INDEX(LookUps!$G$5:$G$20,MATCH($B28, LookUps!$J$5:$J$20,0)), OpenLCAbasic!$B:$B, $B$9),
SUMIFS(OpenLCAbasic!$J:$J,OpenLCAbasic!$E:$E, "Base", OpenLCAbasic!$D:$D, GWP!$B$5, OpenLCAbasic!$F:$F,D$12,OpenLCAbasic!$L:$L,$B$1,OpenLCAbasic!$I:$I,$B28, OpenLCAbasic!$C:$C,$B$7, OpenLCAbasic!$B:$B, $B$9))</f>
        <v>5.8100000000000001E-3</v>
      </c>
      <c r="E28" s="9" t="str">
        <f>CONCATENATE("(",INDEX(LookUps!$D$5:$D$12,MATCH(FDP!$B$1,LookUps!$E$5:$E$12,0)), "/m3 wastewater treated")</f>
        <v>(kg oil eq/m3 wastewater treated</v>
      </c>
    </row>
    <row r="29" spans="2:5" x14ac:dyDescent="0.25">
      <c r="B29"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29" s="258"/>
      <c r="D29" s="283">
        <f>IF(OR(GWP!$B$6="Low", GWP!$B$6="High"),
INDEX(OpenLCAbasic!$J:$J, MATCH(CONCATENATE(GWP!$B$6, "_", GWP!$B$5, "_", "Upgraded_",$B$1,"_",B29, "_", $B$7, "_", $B$9), OpenLCAbasic!$M:$M,0)),
IF(AND(NOT(ISERROR(MATCH($B29, LookUps!$J$5:$J$20,0))), D$12="Upgraded"),
SUMIFS(OpenLCAbasic!$J:$J,OpenLCAbasic!$E:$E, GWP!$B$6, OpenLCAbasic!$D:$D, GWP!$B$5, OpenLCAbasic!$F:$F,D$12,OpenLCAbasic!$L:$L,$B$1,OpenLCAbasic!$I:$I,INDEX(LookUps!$G$5:$G$20,MATCH($B29, LookUps!$J$5:$J$20,0)), OpenLCAbasic!$B:$B, $B$9, OpenLCAbasic!$C:$C, $B$7),
SUMIFS(OpenLCAbasic!$J:$J,OpenLCAbasic!$E:$E, GWP!$B$6, OpenLCAbasic!$D:$D, GWP!$B$5, OpenLCAbasic!$F:$F,D$12,OpenLCAbasic!$L:$L,$B$1,OpenLCAbasic!$I:$I,$B29, OpenLCAbasic!$B:$B, $B$9, OpenLCAbasic!$C:$C, $B$7)))</f>
        <v>4.4000000000000002E-4</v>
      </c>
      <c r="E29" s="9" t="str">
        <f>CONCATENATE("(",INDEX(LookUps!$D$5:$D$12,MATCH(FDP!$B$1,LookUps!$E$5:$E$12,0)), "/m3 wastewater treated")</f>
        <v>(kg oil eq/m3 wastewater treated</v>
      </c>
    </row>
    <row r="30" spans="2:5" x14ac:dyDescent="0.25">
      <c r="B30" s="58" t="str">
        <f>LookUps!$G$18</f>
        <v>Land application of compost; wastewater treatment unit; at updated plant - US</v>
      </c>
      <c r="C30" s="258"/>
      <c r="D30" s="283">
        <f>IF(OR(GWP!$B$6="Low", GWP!$B$6="High"),
INDEX(OpenLCAbasic!$J:$J, MATCH(CONCATENATE(GWP!$B$6, "_", GWP!$B$5, "_", "Upgraded_",$B$1,"_",B30, "_", $B$7, "_", $B$9), OpenLCAbasic!$M:$M,0)),
IF(AND(NOT(ISERROR(MATCH($B30, LookUps!$J$5:$J$20,0))), D$12="Upgraded"),
SUMIFS(OpenLCAbasic!$J:$J,OpenLCAbasic!$E:$E, GWP!$B$6, OpenLCAbasic!$D:$D, GWP!$B$5, OpenLCAbasic!$F:$F,D$12,OpenLCAbasic!$L:$L,$B$1,OpenLCAbasic!$I:$I,INDEX(LookUps!$G$5:$G$20,MATCH($B30, LookUps!$J$5:$J$20,0)), OpenLCAbasic!$B:$B, $B$9, OpenLCAbasic!$C:$C, $B$7),
SUMIFS(OpenLCAbasic!$J:$J,OpenLCAbasic!$E:$E, GWP!$B$6, OpenLCAbasic!$D:$D, GWP!$B$5, OpenLCAbasic!$F:$F,D$12,OpenLCAbasic!$L:$L,$B$1,OpenLCAbasic!$I:$I,$B30, OpenLCAbasic!$B:$B, $B$9, OpenLCAbasic!$C:$C, $B$7)))</f>
        <v>-6.1700000000000001E-3</v>
      </c>
      <c r="E30" s="9" t="str">
        <f>CONCATENATE("(",INDEX(LookUps!$D$5:$D$12,MATCH(FDP!$B$1,LookUps!$E$5:$E$12,0)), "/m3 wastewater treated")</f>
        <v>(kg oil eq/m3 wastewater treated</v>
      </c>
    </row>
    <row r="31" spans="2:5" x14ac:dyDescent="0.25">
      <c r="B31" s="58" t="str">
        <f>LookUps!$H$18</f>
        <v>Sludge Disposal; wastewater treatment unit - US</v>
      </c>
      <c r="C31" s="290">
        <f>IF(OR(GWP!$B$6="Low", GWP!$B$6="High"),
 INDEX(OpenLCAbasic!$J:$J, MATCH(CONCATENATE(GWP!$B$6, "_", "Base", "_", "Legacy_",$B$1, "_",B31, "_", $B$8,"_n.a."), OpenLCAbasic!$M:$M,0)),
IF(C$12="Legacy", SUMIFS(OpenLCAbasic!$J:$J,OpenLCAbasic!$E:$E, "Base", OpenLCAbasic!$D:$D, "Base", OpenLCAbasic!$F:$F,C$12,OpenLCAbasic!$L:$L,$B$1,OpenLCAbasic!$I:$I,$B31, OpenLCAbasic!$C:$C, $B$8),
IF(AND(NOT(ISERROR(MATCH($B31, LookUps!$J$5:$J$20,0))), C$12="Upgraded"), SUMIFS(OpenLCAbasic!$J:$J,OpenLCAbasic!$E:$E, "Base", OpenLCAbasic!$D:$D, "Base", OpenLCAbasic!$F:$F,C$12,OpenLCAbasic!$L:$L,$B$1,OpenLCAbasic!$I:$I,INDEX(LookUps!$G$5:$G$20,MATCH($B31, LookUps!$J$5:$J$20,0))),
SUMIFS(OpenLCAbasic!$J:$J,OpenLCAbasic!$E:$E, "Base", OpenLCAbasic!$D:$D, "Base", OpenLCAbasic!$F:$F,C$12,OpenLCAbasic!$L:$L,$B$1,OpenLCAbasic!$I:$I,$B31))))</f>
        <v>1.191E-2</v>
      </c>
      <c r="D31" s="258"/>
      <c r="E31" s="9" t="str">
        <f>CONCATENATE("(",INDEX(LookUps!$D$5:$D$12,MATCH(FDP!$B$1,LookUps!$E$5:$E$12,0)), "/m3 wastewater treated")</f>
        <v>(kg oil eq/m3 wastewater treated</v>
      </c>
    </row>
    <row r="32" spans="2:5" x14ac:dyDescent="0.25">
      <c r="B32" s="58" t="str">
        <f>LookUps!$G$20</f>
        <v>Effluent release; wastewater treatment unit; at surface water; m3 wastewater - US</v>
      </c>
      <c r="C32" s="260">
        <f>IF(C$12="Legacy",
SUMIFS(OpenLCAbasic!$J:$J,OpenLCAbasic!$D:$D, "Base", OpenLCAbasic!$F:$F,C$12,OpenLCAbasic!$L:$L,$B$1,OpenLCAbasic!$I:$I,$B32, OpenLCAbasic!$C:$C, $B$8),
IF(AND(NOT(ISERROR(MATCH($B32, LookUps!$J$5:$J$20,0))), C$12="Upgraded"),
SUMIFS(OpenLCAbasic!$J:$J,OpenLCAbasic!$D:$D, GWP!$B$5, OpenLCAbasic!$F:$F,C$12,OpenLCAbasic!$L:$L,$B$1,OpenLCAbasic!$I:$I,INDEX(LookUps!$G$5:$G$20,MATCH($B32, LookUps!$J$5:$J$20,0))),
SUMIFS(OpenLCAbasic!$J:$J,OpenLCAbasic!$D:$D, GWP!$B$5, OpenLCAbasic!$F:$F,C$12,OpenLCAbasic!$L:$L,$B$1,OpenLCAbasic!$I:$I,$B32)))</f>
        <v>6.4186199999999999E-5</v>
      </c>
      <c r="D32" s="260">
        <f>IF(AND(NOT(ISERROR(MATCH($B32, LookUps!$J$5:$J$20,0))), D$12="Upgraded"),
SUMIFS(OpenLCAbasic!$J:$J,OpenLCAbasic!$E:$E, "Base", OpenLCAbasic!$D:$D, GWP!$B$5, OpenLCAbasic!$F:$F,D$12,OpenLCAbasic!$L:$L,$B$1,OpenLCAbasic!$C:$C,$B$7,OpenLCAbasic!$I:$I,INDEX(LookUps!$G$5:$G$20,MATCH($B32, LookUps!$J$5:$J$20,0)), OpenLCAbasic!$B:$B, $B$9),
SUMIFS(OpenLCAbasic!$J:$J,OpenLCAbasic!$E:$E, "Base", OpenLCAbasic!$D:$D, GWP!$B$5, OpenLCAbasic!$F:$F,D$12,OpenLCAbasic!$L:$L,$B$1,OpenLCAbasic!$I:$I,$B32, OpenLCAbasic!$C:$C,$B$7, OpenLCAbasic!$B:$B, $B$9))</f>
        <v>2.3600000000000001E-3</v>
      </c>
      <c r="E32" s="9" t="str">
        <f>CONCATENATE("(",INDEX(LookUps!$D$5:$D$12,MATCH(FDP!$B$1,LookUps!$E$5:$E$12,0)), "/m3 wastewater treated")</f>
        <v>(kg oil eq/m3 wastewater treated</v>
      </c>
    </row>
    <row r="33" spans="2:9" x14ac:dyDescent="0.25">
      <c r="B33" s="58" t="str">
        <f>LookUps!$J$10</f>
        <v>Control Building; at wastewater treatment plant - US</v>
      </c>
      <c r="C33" s="260">
        <f>IF(C$12="Legacy",
SUMIFS(OpenLCAbasic!$J:$J,OpenLCAbasic!$D:$D, "Base", OpenLCAbasic!$F:$F,C$12,OpenLCAbasic!$L:$L,$B$1,OpenLCAbasic!$I:$I,$B33, OpenLCAbasic!$C:$C, $B$8),
IF(AND(NOT(ISERROR(MATCH($B33, LookUps!$J$5:$J$20,0))), C$12="Upgraded"),
SUMIFS(OpenLCAbasic!$J:$J,OpenLCAbasic!$D:$D, GWP!$B$5, OpenLCAbasic!$F:$F,C$12,OpenLCAbasic!$L:$L,$B$1,OpenLCAbasic!$I:$I,INDEX(LookUps!$G$5:$G$20,MATCH($B33, LookUps!$J$5:$J$20,0))),
SUMIFS(OpenLCAbasic!$J:$J,OpenLCAbasic!$D:$D, GWP!$B$5, OpenLCAbasic!$F:$F,C$12,OpenLCAbasic!$L:$L,$B$1,OpenLCAbasic!$I:$I,$B33)))</f>
        <v>2.1430000000000001E-2</v>
      </c>
      <c r="D33" s="260">
        <f>IF(AND(NOT(ISERROR(MATCH($B33, LookUps!$J$5:$J$20,0))), D$12="Upgraded"),
SUMIFS(OpenLCAbasic!$J:$J,OpenLCAbasic!$E:$E, "Base", OpenLCAbasic!$D:$D, GWP!$B$5, OpenLCAbasic!$F:$F,D$12,OpenLCAbasic!$L:$L,$B$1,OpenLCAbasic!$C:$C,$B$7,OpenLCAbasic!$I:$I,INDEX(LookUps!$G$5:$G$20,MATCH($B33, LookUps!$J$5:$J$20,0)), OpenLCAbasic!$B:$B, $B$9),
SUMIFS(OpenLCAbasic!$J:$J,OpenLCAbasic!$E:$E, "Base", OpenLCAbasic!$D:$D, GWP!$B$5, OpenLCAbasic!$F:$F,D$12,OpenLCAbasic!$L:$L,$B$1,OpenLCAbasic!$I:$I,$B33, OpenLCAbasic!$C:$C,$B$7, OpenLCAbasic!$B:$B, $B$9))</f>
        <v>2.8E-3</v>
      </c>
      <c r="E33" s="9" t="str">
        <f>CONCATENATE("(",INDEX(LookUps!$D$5:$D$12,MATCH(FDP!$B$1,LookUps!$E$5:$E$12,0)), "/m3 wastewater treated")</f>
        <v>(kg oil eq/m3 wastewater treated</v>
      </c>
    </row>
    <row r="34" spans="2:9" x14ac:dyDescent="0.25">
      <c r="B34" s="11" t="s">
        <v>34</v>
      </c>
      <c r="C34" s="12">
        <f>SUM(C13:C33)</f>
        <v>0.1715141862</v>
      </c>
      <c r="D34" s="12">
        <f>SUM(D13:D33)</f>
        <v>0.18677000000000002</v>
      </c>
    </row>
    <row r="35" spans="2:9" x14ac:dyDescent="0.25">
      <c r="B35" s="11" t="s">
        <v>22</v>
      </c>
      <c r="C35" s="12">
        <f>MAX($C$34:$D$34)</f>
        <v>0.18677000000000002</v>
      </c>
      <c r="D35" s="12">
        <f>MAX($C$34:$D$34)</f>
        <v>0.18677000000000002</v>
      </c>
    </row>
    <row r="36" spans="2:9" x14ac:dyDescent="0.25">
      <c r="C36" s="330"/>
    </row>
    <row r="37" spans="2:9" x14ac:dyDescent="0.25">
      <c r="B37" s="1" t="str">
        <f>CONCATENATE(INDEX(LookUps!$B$5:$B$12,MATCH(FDP!$B$1,LookUps!$E$5:$E$12,0))," (Contribution %)")</f>
        <v>Fossil Depletion Potential (Contribution %)</v>
      </c>
    </row>
    <row r="38" spans="2:9" x14ac:dyDescent="0.25"/>
    <row r="39" spans="2:9" x14ac:dyDescent="0.25">
      <c r="B39" s="56" t="s">
        <v>47</v>
      </c>
      <c r="C39" s="1" t="s">
        <v>45</v>
      </c>
      <c r="D39" s="1" t="s">
        <v>46</v>
      </c>
      <c r="E39" s="10" t="s">
        <v>27</v>
      </c>
    </row>
    <row r="40" spans="2:9" x14ac:dyDescent="0.25">
      <c r="B40" s="57" t="str">
        <f>LookUps!$G$5</f>
        <v>Wastewater collection; operation and infrastructure; m3 wastewater</v>
      </c>
      <c r="C40" s="60">
        <f>IF(ISERROR(C13/C$34), "",C13/ C$34)</f>
        <v>2.6236896782127515E-2</v>
      </c>
      <c r="D40" s="60">
        <f>IF(ISERROR(D13/D$34), "",D13/ D$34)</f>
        <v>2.4093805214970281E-2</v>
      </c>
      <c r="E40" s="9" t="str">
        <f>CONCATENATE("(",INDEX(LookUps!$D$5:$D$12,MATCH(FDP!$B$1,LookUps!$E$5:$E$12,0)), "/m3 wastewater treated")</f>
        <v>(kg oil eq/m3 wastewater treated</v>
      </c>
      <c r="I40" s="86"/>
    </row>
    <row r="41" spans="2:9" x14ac:dyDescent="0.25">
      <c r="B41" s="58" t="str">
        <f>LookUps!$G$6</f>
        <v>Influent Pump Station; wastewater treatment unit; at updated plant - US</v>
      </c>
      <c r="C41" s="61"/>
      <c r="D41" s="62">
        <f>IF(ISERROR(D14/D$34), "",D14/ D$34)</f>
        <v>8.0794560154200334E-2</v>
      </c>
      <c r="E41" s="9" t="str">
        <f>CONCATENATE("(",INDEX(LookUps!$D$5:$D$12,MATCH(FDP!$B$1,LookUps!$E$5:$E$12,0)), "/m3 wastewater treated")</f>
        <v>(kg oil eq/m3 wastewater treated</v>
      </c>
    </row>
    <row r="42" spans="2:9" x14ac:dyDescent="0.25">
      <c r="B42" s="58" t="str">
        <f>LookUps!$H$6</f>
        <v>Screening and Grit Removal - US</v>
      </c>
      <c r="C42" s="62">
        <f>IF(ISERROR(C15/C$34), "",C15/ C$34)</f>
        <v>1.6033659144633481E-2</v>
      </c>
      <c r="D42" s="61"/>
      <c r="E42" s="9" t="str">
        <f>CONCATENATE("(",INDEX(LookUps!$D$5:$D$12,MATCH(FDP!$B$1,LookUps!$E$5:$E$12,0)), "/m3 wastewater treated")</f>
        <v>(kg oil eq/m3 wastewater treated</v>
      </c>
    </row>
    <row r="43" spans="2:9" x14ac:dyDescent="0.25">
      <c r="B43" s="58" t="str">
        <f>LookUps!$G$8</f>
        <v>Clear Cove Primary Clarification; wastewater treatment unit; at updated plant - US</v>
      </c>
      <c r="C43" s="61"/>
      <c r="D43" s="62">
        <f>IF(ISERROR(D16/D$34), "",D16/ D$34)</f>
        <v>0.11270546661669431</v>
      </c>
      <c r="E43" s="9" t="str">
        <f>CONCATENATE("(",INDEX(LookUps!$D$5:$D$12,MATCH(FDP!$B$1,LookUps!$E$5:$E$12,0)), "/m3 wastewater treated")</f>
        <v>(kg oil eq/m3 wastewater treated</v>
      </c>
    </row>
    <row r="44" spans="2:9" x14ac:dyDescent="0.25">
      <c r="B44" s="58" t="str">
        <f>LookUps!$H$8</f>
        <v>Primary Clarifier; wastewater treatment unit - US</v>
      </c>
      <c r="C44" s="62">
        <f>IF(ISERROR(C17/C$34), "",C17/ C$34)</f>
        <v>0.17275538925654185</v>
      </c>
      <c r="D44" s="61"/>
      <c r="E44" s="9" t="str">
        <f>CONCATENATE("(",INDEX(LookUps!$D$5:$D$12,MATCH(FDP!$B$1,LookUps!$E$5:$E$12,0)), "/m3 wastewater treated")</f>
        <v>(kg oil eq/m3 wastewater treated</v>
      </c>
    </row>
    <row r="45" spans="2:9" x14ac:dyDescent="0.25">
      <c r="B45" s="58" t="str">
        <f>LookUps!$G$17</f>
        <v>ClearCove SCP; wastewater treatment unit; at updated plant - US</v>
      </c>
      <c r="C45" s="61"/>
      <c r="D45" s="62">
        <f t="shared" ref="D45:D50" si="0">IF(ISERROR(D18/D$34), "",D18/ D$34)</f>
        <v>4.8723028323606572E-3</v>
      </c>
      <c r="E45" s="9" t="str">
        <f>CONCATENATE("(",INDEX(LookUps!$D$5:$D$12,MATCH(FDP!$B$1,LookUps!$E$5:$E$12,0)), "/m3 wastewater treated")</f>
        <v>(kg oil eq/m3 wastewater treated</v>
      </c>
    </row>
    <row r="46" spans="2:9" x14ac:dyDescent="0.25">
      <c r="B46" s="58" t="str">
        <f>LookUps!$G$7</f>
        <v>Wet Well and Sump Station; wastewater treatment unit; at updated plant - US</v>
      </c>
      <c r="C46" s="61"/>
      <c r="D46" s="62">
        <f t="shared" si="0"/>
        <v>6.6873694918884174E-2</v>
      </c>
      <c r="E46" s="9" t="str">
        <f>CONCATENATE("(",INDEX(LookUps!$D$5:$D$12,MATCH(FDP!$B$1,LookUps!$E$5:$E$12,0)), "/m3 wastewater treated")</f>
        <v>(kg oil eq/m3 wastewater treated</v>
      </c>
    </row>
    <row r="47" spans="2:9" x14ac:dyDescent="0.25">
      <c r="B47" s="58" t="str">
        <f>LookUps!$G$13</f>
        <v>Pre-Anoxic &amp; Swing tank; wastewater treatment unit; at updated plant - US</v>
      </c>
      <c r="C47" s="61"/>
      <c r="D47" s="62">
        <f t="shared" si="0"/>
        <v>8.5238528671628191E-2</v>
      </c>
      <c r="E47" s="9" t="str">
        <f>CONCATENATE("(",INDEX(LookUps!$D$5:$D$12,MATCH(FDP!$B$1,LookUps!$E$5:$E$12,0)), "/m3 wastewater treated")</f>
        <v>(kg oil eq/m3 wastewater treated</v>
      </c>
    </row>
    <row r="48" spans="2:9" x14ac:dyDescent="0.25">
      <c r="B48" s="58" t="str">
        <f>LookUps!$J$9</f>
        <v>Aeration Tanks; wastewater treatment unit - US</v>
      </c>
      <c r="C48" s="62">
        <f>IF(ISERROR(C21/C$34), "",C21/ C$34)</f>
        <v>0.28487439483883348</v>
      </c>
      <c r="D48" s="62">
        <f t="shared" si="0"/>
        <v>0.34047223858221337</v>
      </c>
      <c r="E48" s="9" t="str">
        <f>CONCATENATE("(",INDEX(LookUps!$D$5:$D$12,MATCH(FDP!$B$1,LookUps!$E$5:$E$12,0)), "/m3 wastewater treated")</f>
        <v>(kg oil eq/m3 wastewater treated</v>
      </c>
    </row>
    <row r="49" spans="2:5" x14ac:dyDescent="0.25">
      <c r="B49" s="58" t="str">
        <f>LookUps!$G$12</f>
        <v>Waste Receiving and Holding; wastewater treatment unit; at updated plant - US</v>
      </c>
      <c r="C49" s="61"/>
      <c r="D49" s="62">
        <f t="shared" si="0"/>
        <v>0.42389034641537721</v>
      </c>
      <c r="E49" s="9" t="str">
        <f>CONCATENATE("(",INDEX(LookUps!$D$5:$D$12,MATCH(FDP!$B$1,LookUps!$E$5:$E$12,0)), "/m3 wastewater treated")</f>
        <v>(kg oil eq/m3 wastewater treated</v>
      </c>
    </row>
    <row r="50" spans="2:5" x14ac:dyDescent="0.25">
      <c r="B50" s="58" t="str">
        <f>LookUps!$G$11</f>
        <v>Gravity Belt Thickener; wastewater treatment unit; at updated plant - US</v>
      </c>
      <c r="C50" s="61"/>
      <c r="D50" s="62">
        <f t="shared" si="0"/>
        <v>3.705091824168763E-2</v>
      </c>
      <c r="E50" s="9" t="str">
        <f>CONCATENATE("(",INDEX(LookUps!$D$5:$D$12,MATCH(FDP!$B$1,LookUps!$E$5:$E$12,0)), "/m3 wastewater treated")</f>
        <v>(kg oil eq/m3 wastewater treated</v>
      </c>
    </row>
    <row r="51" spans="2:5" x14ac:dyDescent="0.25">
      <c r="B51" s="58" t="str">
        <f>LookUps!$H$11</f>
        <v>Sludge Thickener; wastewater treatment unit - US</v>
      </c>
      <c r="C51" s="62">
        <f>IF(ISERROR(C24/C$34), "",C24/ C$34)</f>
        <v>2.1572559576415961E-3</v>
      </c>
      <c r="D51" s="61"/>
      <c r="E51" s="9" t="str">
        <f>CONCATENATE("(",INDEX(LookUps!$D$5:$D$12,MATCH(FDP!$B$1,LookUps!$E$5:$E$12,0)), "/m3 wastewater treated")</f>
        <v>(kg oil eq/m3 wastewater treated</v>
      </c>
    </row>
    <row r="52" spans="2:5" x14ac:dyDescent="0.25">
      <c r="B52" s="58" t="str">
        <f>LookUps!$G$14</f>
        <v>Blend Tank; wastewater treatment unit; at updated plant - US</v>
      </c>
      <c r="C52" s="61"/>
      <c r="D52" s="62">
        <f>IF(ISERROR(D25/D$34), "",D25/ D$34)</f>
        <v>1.028002355838732E-2</v>
      </c>
      <c r="E52" s="9" t="str">
        <f>CONCATENATE("(",INDEX(LookUps!$D$5:$D$12,MATCH(FDP!$B$1,LookUps!$E$5:$E$12,0)), "/m3 wastewater treated")</f>
        <v>(kg oil eq/m3 wastewater treated</v>
      </c>
    </row>
    <row r="53" spans="2:5" x14ac:dyDescent="0.25">
      <c r="B53" s="58" t="str">
        <f>LookUps!$G$19</f>
        <v>Anaerobic Digestion; wastewater treatment unit; at updated plant - US</v>
      </c>
      <c r="C53" s="61"/>
      <c r="D53" s="62">
        <f>IF(ISERROR(D26/D$34), "",D26/ D$34)</f>
        <v>-0.21432778283450232</v>
      </c>
      <c r="E53" s="9" t="str">
        <f>CONCATENATE("(",INDEX(LookUps!$D$5:$D$12,MATCH(FDP!$B$1,LookUps!$E$5:$E$12,0)), "/m3 wastewater treated")</f>
        <v>(kg oil eq/m3 wastewater treated</v>
      </c>
    </row>
    <row r="54" spans="2:5" x14ac:dyDescent="0.25">
      <c r="B54" s="58" t="str">
        <f>LookUps!$H$19</f>
        <v>Aerobic Digester; wastewater treatment unit - US</v>
      </c>
      <c r="C54" s="62">
        <f>IF(ISERROR(C27/C$34), "",C27/ C$34)</f>
        <v>0.2852242201292618</v>
      </c>
      <c r="D54" s="61"/>
      <c r="E54" s="9" t="str">
        <f>CONCATENATE("(",INDEX(LookUps!$D$5:$D$12,MATCH(FDP!$B$1,LookUps!$E$5:$E$12,0)), "/m3 wastewater treated")</f>
        <v>(kg oil eq/m3 wastewater treated</v>
      </c>
    </row>
    <row r="55" spans="2:5" x14ac:dyDescent="0.25">
      <c r="B55" s="58" t="str">
        <f>LookUps!$J$15</f>
        <v>Belt filter press; wastewater treatment unit - US</v>
      </c>
      <c r="C55" s="62">
        <f t="shared" ref="C55:D55" si="1">IF(ISERROR(C28/C$34), "",C28/ C$34)</f>
        <v>1.7957698241989499E-2</v>
      </c>
      <c r="D55" s="62">
        <f t="shared" si="1"/>
        <v>3.1107779621994965E-2</v>
      </c>
      <c r="E55" s="9" t="str">
        <f>CONCATENATE("(",INDEX(LookUps!$D$5:$D$12,MATCH(FDP!$B$1,LookUps!$E$5:$E$12,0)), "/m3 wastewater treated")</f>
        <v>(kg oil eq/m3 wastewater treated</v>
      </c>
    </row>
    <row r="56" spans="2:5" x14ac:dyDescent="0.25">
      <c r="B56"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56" s="61"/>
      <c r="D56" s="62">
        <f>IF(ISERROR(D29/D$34), "",D29/ D$34)</f>
        <v>2.3558387321304278E-3</v>
      </c>
      <c r="E56" s="9" t="str">
        <f>CONCATENATE("(",INDEX(LookUps!$D$5:$D$12,MATCH(FDP!$B$1,LookUps!$E$5:$E$12,0)), "/m3 wastewater treated")</f>
        <v>(kg oil eq/m3 wastewater treated</v>
      </c>
    </row>
    <row r="57" spans="2:5" x14ac:dyDescent="0.25">
      <c r="B57" s="58" t="str">
        <f>LookUps!$G$18</f>
        <v>Land application of compost; wastewater treatment unit; at updated plant - US</v>
      </c>
      <c r="C57" s="61"/>
      <c r="D57" s="62">
        <f>IF(ISERROR(D30/D$34), "",D30/ D$34)</f>
        <v>-3.3035284039192585E-2</v>
      </c>
      <c r="E57" s="9" t="str">
        <f>CONCATENATE("(",INDEX(LookUps!$D$5:$D$12,MATCH(FDP!$B$1,LookUps!$E$5:$E$12,0)), "/m3 wastewater treated")</f>
        <v>(kg oil eq/m3 wastewater treated</v>
      </c>
    </row>
    <row r="58" spans="2:5" x14ac:dyDescent="0.25">
      <c r="B58" s="58" t="str">
        <f>LookUps!$H$18</f>
        <v>Sludge Disposal; wastewater treatment unit - US</v>
      </c>
      <c r="C58" s="62">
        <f>IF(ISERROR(C31/C$34), "",C31/ C$34)</f>
        <v>6.9440320150030835E-2</v>
      </c>
      <c r="D58" s="59"/>
      <c r="E58" s="9" t="str">
        <f>CONCATENATE("(",INDEX(LookUps!$D$5:$D$12,MATCH(FDP!$B$1,LookUps!$E$5:$E$12,0)), "/m3 wastewater treated")</f>
        <v>(kg oil eq/m3 wastewater treated</v>
      </c>
    </row>
    <row r="59" spans="2:5" x14ac:dyDescent="0.25">
      <c r="B59" s="58" t="str">
        <f>LookUps!$G$20</f>
        <v>Effluent release; wastewater treatment unit; at surface water; m3 wastewater - US</v>
      </c>
      <c r="C59" s="62">
        <f t="shared" ref="C59:D60" si="2">IF(ISERROR(C32/C$34), "",C32/ C$34)</f>
        <v>3.7423260094155406E-4</v>
      </c>
      <c r="D59" s="62">
        <f t="shared" si="2"/>
        <v>1.2635862290517748E-2</v>
      </c>
      <c r="E59" s="9" t="str">
        <f>CONCATENATE("(",INDEX(LookUps!$D$5:$D$12,MATCH(FDP!$B$1,LookUps!$E$5:$E$12,0)), "/m3 wastewater treated")</f>
        <v>(kg oil eq/m3 wastewater treated</v>
      </c>
    </row>
    <row r="60" spans="2:5" x14ac:dyDescent="0.25">
      <c r="B60" s="58" t="str">
        <f>LookUps!$J$10</f>
        <v>Control Building; at wastewater treatment plant - US</v>
      </c>
      <c r="C60" s="62">
        <f>IF(ISERROR(C33/C$34), "",C33/ C$34)</f>
        <v>0.12494593289799839</v>
      </c>
      <c r="D60" s="62">
        <f t="shared" si="2"/>
        <v>1.4991701022648175E-2</v>
      </c>
      <c r="E60" s="9" t="str">
        <f>CONCATENATE("(",INDEX(LookUps!$D$5:$D$12,MATCH(FDP!$B$1,LookUps!$E$5:$E$12,0)), "/m3 wastewater treated")</f>
        <v>(kg oil eq/m3 wastewater treated</v>
      </c>
    </row>
    <row r="61" spans="2:5" x14ac:dyDescent="0.25">
      <c r="B61" s="11" t="s">
        <v>34</v>
      </c>
      <c r="C61" s="63">
        <f>SUM(C40:C60)</f>
        <v>1.0000000000000002</v>
      </c>
      <c r="D61" s="63">
        <f>SUM(D40:D60)</f>
        <v>0.99999999999999989</v>
      </c>
    </row>
    <row r="62" spans="2:5" x14ac:dyDescent="0.25"/>
    <row r="63" spans="2:5" x14ac:dyDescent="0.25">
      <c r="B63" s="1" t="str">
        <f>CONCATENATE(INDEX(LookUps!$B$5:$B$12,MATCH(FDP!$B$1,LookUps!$E$5:$E$12,0))," (% of Maximum)")</f>
        <v>Fossil Depletion Potential (% of Maximum)</v>
      </c>
    </row>
    <row r="64" spans="2:5" x14ac:dyDescent="0.25"/>
    <row r="65" spans="2:5" x14ac:dyDescent="0.25">
      <c r="B65" s="56" t="s">
        <v>47</v>
      </c>
      <c r="C65" s="1" t="s">
        <v>45</v>
      </c>
      <c r="D65" s="1" t="s">
        <v>46</v>
      </c>
      <c r="E65" s="10" t="s">
        <v>27</v>
      </c>
    </row>
    <row r="66" spans="2:5" x14ac:dyDescent="0.25">
      <c r="B66" s="57" t="str">
        <f>LookUps!$G$5</f>
        <v>Wastewater collection; operation and infrastructure; m3 wastewater</v>
      </c>
      <c r="C66" s="13">
        <f>IF(ISERROR(C13/C$35),"",C13/C$35)</f>
        <v>2.4093805214970281E-2</v>
      </c>
      <c r="D66" s="60">
        <f>IF(ISERROR(D13/D$35),"",D13/D$35)</f>
        <v>2.4093805214970281E-2</v>
      </c>
      <c r="E66" s="9" t="str">
        <f>CONCATENATE("(",INDEX(LookUps!$D$5:$D$12,MATCH(FDP!$B$1,LookUps!$E$5:$E$12,0)), "/m3 wastewater treated")</f>
        <v>(kg oil eq/m3 wastewater treated</v>
      </c>
    </row>
    <row r="67" spans="2:5" x14ac:dyDescent="0.25">
      <c r="B67" s="58" t="str">
        <f>LookUps!$G$6</f>
        <v>Influent Pump Station; wastewater treatment unit; at updated plant - US</v>
      </c>
      <c r="C67" s="61"/>
      <c r="D67" s="62">
        <f>IF(ISERROR(D14/D$35),"",D14/D$35)</f>
        <v>8.0794560154200334E-2</v>
      </c>
      <c r="E67" s="9" t="str">
        <f>CONCATENATE("(",INDEX(LookUps!$D$5:$D$12,MATCH(FDP!$B$1,LookUps!$E$5:$E$12,0)), "/m3 wastewater treated")</f>
        <v>(kg oil eq/m3 wastewater treated</v>
      </c>
    </row>
    <row r="68" spans="2:5" x14ac:dyDescent="0.25">
      <c r="B68" s="58" t="str">
        <f>LookUps!$H$6</f>
        <v>Screening and Grit Removal - US</v>
      </c>
      <c r="C68" s="62">
        <f>IF(ISERROR(C15/C$35),"",C15/C$35)</f>
        <v>1.4723992075815172E-2</v>
      </c>
      <c r="D68" s="61"/>
      <c r="E68" s="9" t="str">
        <f>CONCATENATE("(",INDEX(LookUps!$D$5:$D$12,MATCH(FDP!$B$1,LookUps!$E$5:$E$12,0)), "/m3 wastewater treated")</f>
        <v>(kg oil eq/m3 wastewater treated</v>
      </c>
    </row>
    <row r="69" spans="2:5" x14ac:dyDescent="0.25">
      <c r="B69" s="58" t="str">
        <f>LookUps!$G$8</f>
        <v>Clear Cove Primary Clarification; wastewater treatment unit; at updated plant - US</v>
      </c>
      <c r="C69" s="61"/>
      <c r="D69" s="62">
        <f>IF(ISERROR(D16/D$35),"",D16/D$35)</f>
        <v>0.11270546661669431</v>
      </c>
      <c r="E69" s="9" t="str">
        <f>CONCATENATE("(",INDEX(LookUps!$D$5:$D$12,MATCH(FDP!$B$1,LookUps!$E$5:$E$12,0)), "/m3 wastewater treated")</f>
        <v>(kg oil eq/m3 wastewater treated</v>
      </c>
    </row>
    <row r="70" spans="2:5" x14ac:dyDescent="0.25">
      <c r="B70" s="58" t="str">
        <f>LookUps!$H$8</f>
        <v>Primary Clarifier; wastewater treatment unit - US</v>
      </c>
      <c r="C70" s="62">
        <f>IF(ISERROR(C17/C$35),"",C17/C$35)</f>
        <v>0.15864432189323766</v>
      </c>
      <c r="D70" s="61"/>
      <c r="E70" s="9" t="str">
        <f>CONCATENATE("(",INDEX(LookUps!$D$5:$D$12,MATCH(FDP!$B$1,LookUps!$E$5:$E$12,0)), "/m3 wastewater treated")</f>
        <v>(kg oil eq/m3 wastewater treated</v>
      </c>
    </row>
    <row r="71" spans="2:5" x14ac:dyDescent="0.25">
      <c r="B71" s="58" t="str">
        <f>LookUps!$G$17</f>
        <v>ClearCove SCP; wastewater treatment unit; at updated plant - US</v>
      </c>
      <c r="C71" s="61"/>
      <c r="D71" s="62">
        <f t="shared" ref="D71:D76" si="3">IF(ISERROR(D18/D$35),"",D18/D$35)</f>
        <v>4.8723028323606572E-3</v>
      </c>
      <c r="E71" s="9" t="str">
        <f>CONCATENATE("(",INDEX(LookUps!$D$5:$D$12,MATCH(FDP!$B$1,LookUps!$E$5:$E$12,0)), "/m3 wastewater treated")</f>
        <v>(kg oil eq/m3 wastewater treated</v>
      </c>
    </row>
    <row r="72" spans="2:5" x14ac:dyDescent="0.25">
      <c r="B72" s="58" t="str">
        <f>LookUps!$G$7</f>
        <v>Wet Well and Sump Station; wastewater treatment unit; at updated plant - US</v>
      </c>
      <c r="C72" s="61"/>
      <c r="D72" s="62">
        <f t="shared" si="3"/>
        <v>6.6873694918884174E-2</v>
      </c>
      <c r="E72" s="9" t="str">
        <f>CONCATENATE("(",INDEX(LookUps!$D$5:$D$12,MATCH(FDP!$B$1,LookUps!$E$5:$E$12,0)), "/m3 wastewater treated")</f>
        <v>(kg oil eq/m3 wastewater treated</v>
      </c>
    </row>
    <row r="73" spans="2:5" x14ac:dyDescent="0.25">
      <c r="B73" s="58" t="str">
        <f>LookUps!$G$13</f>
        <v>Pre-Anoxic &amp; Swing tank; wastewater treatment unit; at updated plant - US</v>
      </c>
      <c r="C73" s="61"/>
      <c r="D73" s="62">
        <f t="shared" si="3"/>
        <v>8.5238528671628191E-2</v>
      </c>
      <c r="E73" s="9" t="str">
        <f>CONCATENATE("(",INDEX(LookUps!$D$5:$D$12,MATCH(FDP!$B$1,LookUps!$E$5:$E$12,0)), "/m3 wastewater treated")</f>
        <v>(kg oil eq/m3 wastewater treated</v>
      </c>
    </row>
    <row r="74" spans="2:5" x14ac:dyDescent="0.25">
      <c r="B74" s="58" t="str">
        <f>LookUps!$J$9</f>
        <v>Aeration Tanks; wastewater treatment unit - US</v>
      </c>
      <c r="C74" s="62">
        <f>IF(ISERROR(C21/C$35),"",C21/C$35)</f>
        <v>0.26160518284521067</v>
      </c>
      <c r="D74" s="62">
        <f t="shared" si="3"/>
        <v>0.34047223858221337</v>
      </c>
      <c r="E74" s="9" t="str">
        <f>CONCATENATE("(",INDEX(LookUps!$D$5:$D$12,MATCH(FDP!$B$1,LookUps!$E$5:$E$12,0)), "/m3 wastewater treated")</f>
        <v>(kg oil eq/m3 wastewater treated</v>
      </c>
    </row>
    <row r="75" spans="2:5" x14ac:dyDescent="0.25">
      <c r="B75" s="58" t="str">
        <f>LookUps!$G$12</f>
        <v>Waste Receiving and Holding; wastewater treatment unit; at updated plant - US</v>
      </c>
      <c r="C75" s="61"/>
      <c r="D75" s="62">
        <f t="shared" si="3"/>
        <v>0.42389034641537721</v>
      </c>
      <c r="E75" s="9" t="str">
        <f>CONCATENATE("(",INDEX(LookUps!$D$5:$D$12,MATCH(FDP!$B$1,LookUps!$E$5:$E$12,0)), "/m3 wastewater treated")</f>
        <v>(kg oil eq/m3 wastewater treated</v>
      </c>
    </row>
    <row r="76" spans="2:5" x14ac:dyDescent="0.25">
      <c r="B76" s="58" t="str">
        <f>LookUps!$G$11</f>
        <v>Gravity Belt Thickener; wastewater treatment unit; at updated plant - US</v>
      </c>
      <c r="C76" s="61"/>
      <c r="D76" s="62">
        <f t="shared" si="3"/>
        <v>3.705091824168763E-2</v>
      </c>
      <c r="E76" s="9" t="str">
        <f>CONCATENATE("(",INDEX(LookUps!$D$5:$D$12,MATCH(FDP!$B$1,LookUps!$E$5:$E$12,0)), "/m3 wastewater treated")</f>
        <v>(kg oil eq/m3 wastewater treated</v>
      </c>
    </row>
    <row r="77" spans="2:5" x14ac:dyDescent="0.25">
      <c r="B77" s="58" t="str">
        <f>LookUps!$H$11</f>
        <v>Sludge Thickener; wastewater treatment unit - US</v>
      </c>
      <c r="C77" s="62">
        <f>IF(ISERROR(C24/C$35),"",C24/C$35)</f>
        <v>1.981046206564223E-3</v>
      </c>
      <c r="D77" s="61"/>
      <c r="E77" s="9" t="str">
        <f>CONCATENATE("(",INDEX(LookUps!$D$5:$D$12,MATCH(FDP!$B$1,LookUps!$E$5:$E$12,0)), "/m3 wastewater treated")</f>
        <v>(kg oil eq/m3 wastewater treated</v>
      </c>
    </row>
    <row r="78" spans="2:5" x14ac:dyDescent="0.25">
      <c r="B78" s="58" t="str">
        <f>LookUps!$G$14</f>
        <v>Blend Tank; wastewater treatment unit; at updated plant - US</v>
      </c>
      <c r="C78" s="61"/>
      <c r="D78" s="62">
        <f>IF(ISERROR(D25/D$35),"",D25/D$35)</f>
        <v>1.028002355838732E-2</v>
      </c>
      <c r="E78" s="9" t="str">
        <f>CONCATENATE("(",INDEX(LookUps!$D$5:$D$12,MATCH(FDP!$B$1,LookUps!$E$5:$E$12,0)), "/m3 wastewater treated")</f>
        <v>(kg oil eq/m3 wastewater treated</v>
      </c>
    </row>
    <row r="79" spans="2:5" x14ac:dyDescent="0.25">
      <c r="B79" s="58" t="str">
        <f>LookUps!$G$19</f>
        <v>Anaerobic Digestion; wastewater treatment unit; at updated plant - US</v>
      </c>
      <c r="C79" s="61"/>
      <c r="D79" s="62">
        <f>IF(ISERROR(D26/D$35),"",D26/D$35)</f>
        <v>-0.21432778283450232</v>
      </c>
      <c r="E79" s="9" t="str">
        <f>CONCATENATE("(",INDEX(LookUps!$D$5:$D$12,MATCH(FDP!$B$1,LookUps!$E$5:$E$12,0)), "/m3 wastewater treated")</f>
        <v>(kg oil eq/m3 wastewater treated</v>
      </c>
    </row>
    <row r="80" spans="2:5" x14ac:dyDescent="0.25">
      <c r="B80" s="58" t="str">
        <f>LookUps!$H$19</f>
        <v>Aerobic Digester; wastewater treatment unit - US</v>
      </c>
      <c r="C80" s="62">
        <f t="shared" ref="C80:D86" si="4">IF(ISERROR(C27/C$35),"",C27/C$35)</f>
        <v>0.26192643358141027</v>
      </c>
      <c r="D80" s="61"/>
      <c r="E80" s="9" t="str">
        <f>CONCATENATE("(",INDEX(LookUps!$D$5:$D$12,MATCH(FDP!$B$1,LookUps!$E$5:$E$12,0)), "/m3 wastewater treated")</f>
        <v>(kg oil eq/m3 wastewater treated</v>
      </c>
    </row>
    <row r="81" spans="1:5" x14ac:dyDescent="0.25">
      <c r="B81" s="58" t="str">
        <f>LookUps!$J$15</f>
        <v>Belt filter press; wastewater treatment unit - US</v>
      </c>
      <c r="C81" s="62">
        <f t="shared" si="4"/>
        <v>1.649087112491299E-2</v>
      </c>
      <c r="D81" s="62">
        <f t="shared" si="4"/>
        <v>3.1107779621994965E-2</v>
      </c>
      <c r="E81" s="9" t="str">
        <f>CONCATENATE("(",INDEX(LookUps!$D$5:$D$12,MATCH(FDP!$B$1,LookUps!$E$5:$E$12,0)), "/m3 wastewater treated")</f>
        <v>(kg oil eq/m3 wastewater treated</v>
      </c>
    </row>
    <row r="82" spans="1:5" x14ac:dyDescent="0.25">
      <c r="B82"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82" s="61"/>
      <c r="D82" s="62">
        <f t="shared" si="4"/>
        <v>2.3558387321304278E-3</v>
      </c>
      <c r="E82" s="9" t="str">
        <f>CONCATENATE("(",INDEX(LookUps!$D$5:$D$12,MATCH(FDP!$B$1,LookUps!$E$5:$E$12,0)), "/m3 wastewater treated")</f>
        <v>(kg oil eq/m3 wastewater treated</v>
      </c>
    </row>
    <row r="83" spans="1:5" x14ac:dyDescent="0.25">
      <c r="B83" s="58" t="str">
        <f>LookUps!$G$18</f>
        <v>Land application of compost; wastewater treatment unit; at updated plant - US</v>
      </c>
      <c r="C83" s="61"/>
      <c r="D83" s="62">
        <f t="shared" si="4"/>
        <v>-3.3035284039192585E-2</v>
      </c>
      <c r="E83" s="9" t="str">
        <f>CONCATENATE("(",INDEX(LookUps!$D$5:$D$12,MATCH(FDP!$B$1,LookUps!$E$5:$E$12,0)), "/m3 wastewater treated")</f>
        <v>(kg oil eq/m3 wastewater treated</v>
      </c>
    </row>
    <row r="84" spans="1:5" x14ac:dyDescent="0.25">
      <c r="B84" s="58" t="str">
        <f>LookUps!$H$18</f>
        <v>Sludge Disposal; wastewater treatment unit - US</v>
      </c>
      <c r="C84" s="62">
        <f t="shared" si="4"/>
        <v>6.3768271135621349E-2</v>
      </c>
      <c r="D84" s="59"/>
      <c r="E84" s="9" t="str">
        <f>CONCATENATE("(",INDEX(LookUps!$D$5:$D$12,MATCH(FDP!$B$1,LookUps!$E$5:$E$12,0)), "/m3 wastewater treated")</f>
        <v>(kg oil eq/m3 wastewater treated</v>
      </c>
    </row>
    <row r="85" spans="1:5" x14ac:dyDescent="0.25">
      <c r="B85" s="58" t="str">
        <f>LookUps!$G$20</f>
        <v>Effluent release; wastewater treatment unit; at surface water; m3 wastewater - US</v>
      </c>
      <c r="C85" s="62">
        <f t="shared" si="4"/>
        <v>3.436644000642501E-4</v>
      </c>
      <c r="D85" s="62">
        <f t="shared" si="4"/>
        <v>1.2635862290517748E-2</v>
      </c>
      <c r="E85" s="9" t="str">
        <f>CONCATENATE("(",INDEX(LookUps!$D$5:$D$12,MATCH(FDP!$B$1,LookUps!$E$5:$E$12,0)), "/m3 wastewater treated")</f>
        <v>(kg oil eq/m3 wastewater treated</v>
      </c>
    </row>
    <row r="86" spans="1:5" x14ac:dyDescent="0.25">
      <c r="B86" s="58" t="str">
        <f>LookUps!$J$10</f>
        <v>Control Building; at wastewater treatment plant - US</v>
      </c>
      <c r="C86" s="62">
        <f t="shared" si="4"/>
        <v>0.11474005461262515</v>
      </c>
      <c r="D86" s="62">
        <f t="shared" si="4"/>
        <v>1.4991701022648175E-2</v>
      </c>
      <c r="E86" s="9" t="str">
        <f>CONCATENATE("(",INDEX(LookUps!$D$5:$D$12,MATCH(FDP!$B$1,LookUps!$E$5:$E$12,0)), "/m3 wastewater treated")</f>
        <v>(kg oil eq/m3 wastewater treated</v>
      </c>
    </row>
    <row r="87" spans="1:5" x14ac:dyDescent="0.25"/>
    <row r="88" spans="1:5" x14ac:dyDescent="0.25"/>
    <row r="89" spans="1:5" x14ac:dyDescent="0.25">
      <c r="B89" s="1" t="s">
        <v>70</v>
      </c>
    </row>
    <row r="90" spans="1:5" x14ac:dyDescent="0.25"/>
    <row r="91" spans="1:5" x14ac:dyDescent="0.25">
      <c r="A91" s="16" t="s">
        <v>67</v>
      </c>
      <c r="B91" s="56" t="s">
        <v>47</v>
      </c>
      <c r="C91" s="1" t="s">
        <v>45</v>
      </c>
      <c r="D91" s="1" t="s">
        <v>46</v>
      </c>
      <c r="E91" s="10" t="s">
        <v>27</v>
      </c>
    </row>
    <row r="92" spans="1:5" x14ac:dyDescent="0.25">
      <c r="A92" s="18" t="str">
        <f>GWP!A92</f>
        <v>Preliminary/Primary</v>
      </c>
      <c r="B92" s="57" t="str">
        <f>LookUps!$G$5</f>
        <v>Wastewater collection; operation and infrastructure; m3 wastewater</v>
      </c>
      <c r="C92" s="260">
        <f>C13</f>
        <v>4.4999999999999997E-3</v>
      </c>
      <c r="D92" s="260">
        <f>D13</f>
        <v>4.4999999999999997E-3</v>
      </c>
      <c r="E92" s="9" t="str">
        <f>CONCATENATE("(",INDEX(LookUps!$D$5:$D$12,MATCH(FDP!$B$1,LookUps!$E$5:$E$12,0)), "/m3 wastewater treated")</f>
        <v>(kg oil eq/m3 wastewater treated</v>
      </c>
    </row>
    <row r="93" spans="1:5" x14ac:dyDescent="0.25">
      <c r="A93" s="18" t="str">
        <f>GWP!A93</f>
        <v>Preliminary/Primary</v>
      </c>
      <c r="B93" s="58" t="str">
        <f>LookUps!$G$6</f>
        <v>Influent Pump Station; wastewater treatment unit; at updated plant - US</v>
      </c>
      <c r="C93" s="258"/>
      <c r="D93" s="15">
        <f t="shared" ref="D93" si="5">D14</f>
        <v>1.5089999999999999E-2</v>
      </c>
      <c r="E93" s="9" t="str">
        <f>CONCATENATE("(",INDEX(LookUps!$D$5:$D$12,MATCH(FDP!$B$1,LookUps!$E$5:$E$12,0)), "/m3 wastewater treated")</f>
        <v>(kg oil eq/m3 wastewater treated</v>
      </c>
    </row>
    <row r="94" spans="1:5" x14ac:dyDescent="0.25">
      <c r="A94" s="18" t="str">
        <f>GWP!A94</f>
        <v>Preliminary/Primary</v>
      </c>
      <c r="B94" s="58" t="str">
        <f>LookUps!$H$6</f>
        <v>Screening and Grit Removal - US</v>
      </c>
      <c r="C94" s="260">
        <f t="shared" ref="C94" si="6">C15</f>
        <v>2.7499999999999998E-3</v>
      </c>
      <c r="D94" s="258"/>
      <c r="E94" s="9" t="str">
        <f>CONCATENATE("(",INDEX(LookUps!$D$5:$D$12,MATCH(FDP!$B$1,LookUps!$E$5:$E$12,0)), "/m3 wastewater treated")</f>
        <v>(kg oil eq/m3 wastewater treated</v>
      </c>
    </row>
    <row r="95" spans="1:5" x14ac:dyDescent="0.25">
      <c r="A95" s="18" t="str">
        <f>GWP!A95</f>
        <v>Preliminary/Primary</v>
      </c>
      <c r="B95" s="58" t="str">
        <f>LookUps!$G$8</f>
        <v>Clear Cove Primary Clarification; wastewater treatment unit; at updated plant - US</v>
      </c>
      <c r="C95" s="258"/>
      <c r="D95" s="15">
        <f t="shared" ref="D95" si="7">D16</f>
        <v>2.1049999999999999E-2</v>
      </c>
      <c r="E95" s="9" t="str">
        <f>CONCATENATE("(",INDEX(LookUps!$D$5:$D$12,MATCH(FDP!$B$1,LookUps!$E$5:$E$12,0)), "/m3 wastewater treated")</f>
        <v>(kg oil eq/m3 wastewater treated</v>
      </c>
    </row>
    <row r="96" spans="1:5" x14ac:dyDescent="0.25">
      <c r="A96" s="18" t="str">
        <f>GWP!A96</f>
        <v>Preliminary/Primary</v>
      </c>
      <c r="B96" s="58" t="str">
        <f>LookUps!$H$8</f>
        <v>Primary Clarifier; wastewater treatment unit - US</v>
      </c>
      <c r="C96" s="15">
        <f t="shared" ref="C96" si="8">C17</f>
        <v>2.963E-2</v>
      </c>
      <c r="D96" s="258"/>
      <c r="E96" s="9" t="str">
        <f>CONCATENATE("(",INDEX(LookUps!$D$5:$D$12,MATCH(FDP!$B$1,LookUps!$E$5:$E$12,0)), "/m3 wastewater treated")</f>
        <v>(kg oil eq/m3 wastewater treated</v>
      </c>
    </row>
    <row r="97" spans="1:5" x14ac:dyDescent="0.25">
      <c r="A97" s="18" t="str">
        <f>GWP!A97</f>
        <v>Sludge Handling and Treatment</v>
      </c>
      <c r="B97" s="58" t="str">
        <f>LookUps!$G$17</f>
        <v>ClearCove SCP; wastewater treatment unit; at updated plant - US</v>
      </c>
      <c r="C97" s="258"/>
      <c r="D97" s="260">
        <f t="shared" ref="D97:D99" si="9">D18</f>
        <v>9.1E-4</v>
      </c>
      <c r="E97" s="9" t="str">
        <f>CONCATENATE("(",INDEX(LookUps!$D$5:$D$12,MATCH(FDP!$B$1,LookUps!$E$5:$E$12,0)), "/m3 wastewater treated")</f>
        <v>(kg oil eq/m3 wastewater treated</v>
      </c>
    </row>
    <row r="98" spans="1:5" x14ac:dyDescent="0.25">
      <c r="A98" s="18" t="str">
        <f>GWP!A98</f>
        <v>Preliminary/Primary</v>
      </c>
      <c r="B98" s="58" t="str">
        <f>LookUps!$G$7</f>
        <v>Wet Well and Sump Station; wastewater treatment unit; at updated plant - US</v>
      </c>
      <c r="C98" s="258"/>
      <c r="D98" s="15">
        <f t="shared" si="9"/>
        <v>1.2489999999999999E-2</v>
      </c>
      <c r="E98" s="9" t="str">
        <f>CONCATENATE("(",INDEX(LookUps!$D$5:$D$12,MATCH(FDP!$B$1,LookUps!$E$5:$E$12,0)), "/m3 wastewater treated")</f>
        <v>(kg oil eq/m3 wastewater treated</v>
      </c>
    </row>
    <row r="99" spans="1:5" x14ac:dyDescent="0.25">
      <c r="A99" s="18" t="str">
        <f>GWP!A99</f>
        <v>Biological Treatment</v>
      </c>
      <c r="B99" s="58" t="str">
        <f>LookUps!$G$13</f>
        <v>Pre-Anoxic &amp; Swing tank; wastewater treatment unit; at updated plant - US</v>
      </c>
      <c r="C99" s="258"/>
      <c r="D99" s="15">
        <f t="shared" si="9"/>
        <v>1.592E-2</v>
      </c>
      <c r="E99" s="9" t="str">
        <f>CONCATENATE("(",INDEX(LookUps!$D$5:$D$12,MATCH(FDP!$B$1,LookUps!$E$5:$E$12,0)), "/m3 wastewater treated")</f>
        <v>(kg oil eq/m3 wastewater treated</v>
      </c>
    </row>
    <row r="100" spans="1:5" x14ac:dyDescent="0.25">
      <c r="A100" s="18" t="str">
        <f>GWP!A100</f>
        <v>Biological Treatment</v>
      </c>
      <c r="B100" s="58" t="str">
        <f>LookUps!$J$9</f>
        <v>Aeration Tanks; wastewater treatment unit - US</v>
      </c>
      <c r="C100" s="15">
        <f t="shared" ref="C100:D102" si="10">C21</f>
        <v>4.8860000000000001E-2</v>
      </c>
      <c r="D100" s="15">
        <f t="shared" si="10"/>
        <v>6.3589999999999994E-2</v>
      </c>
      <c r="E100" s="9" t="str">
        <f>CONCATENATE("(",INDEX(LookUps!$D$5:$D$12,MATCH(FDP!$B$1,LookUps!$E$5:$E$12,0)), "/m3 wastewater treated")</f>
        <v>(kg oil eq/m3 wastewater treated</v>
      </c>
    </row>
    <row r="101" spans="1:5" x14ac:dyDescent="0.25">
      <c r="A101" s="18" t="str">
        <f>GWP!A101</f>
        <v>Sludge Handling and Treatment</v>
      </c>
      <c r="B101" s="58" t="str">
        <f>LookUps!$G$12</f>
        <v>Waste Receiving and Holding; wastewater treatment unit; at updated plant - US</v>
      </c>
      <c r="C101" s="258"/>
      <c r="D101" s="15">
        <f t="shared" si="10"/>
        <v>7.9170000000000004E-2</v>
      </c>
      <c r="E101" s="9" t="str">
        <f>CONCATENATE("(",INDEX(LookUps!$D$5:$D$12,MATCH(FDP!$B$1,LookUps!$E$5:$E$12,0)), "/m3 wastewater treated")</f>
        <v>(kg oil eq/m3 wastewater treated</v>
      </c>
    </row>
    <row r="102" spans="1:5" x14ac:dyDescent="0.25">
      <c r="A102" s="18" t="str">
        <f>GWP!A102</f>
        <v>Sludge Handling and Treatment</v>
      </c>
      <c r="B102" s="58" t="str">
        <f>LookUps!$G$11</f>
        <v>Gravity Belt Thickener; wastewater treatment unit; at updated plant - US</v>
      </c>
      <c r="C102" s="258"/>
      <c r="D102" s="260">
        <f t="shared" si="10"/>
        <v>6.9199999999999999E-3</v>
      </c>
      <c r="E102" s="9" t="str">
        <f>CONCATENATE("(",INDEX(LookUps!$D$5:$D$12,MATCH(FDP!$B$1,LookUps!$E$5:$E$12,0)), "/m3 wastewater treated")</f>
        <v>(kg oil eq/m3 wastewater treated</v>
      </c>
    </row>
    <row r="103" spans="1:5" x14ac:dyDescent="0.25">
      <c r="A103" s="18" t="str">
        <f>GWP!A103</f>
        <v>Sludge Handling and Treatment</v>
      </c>
      <c r="B103" s="58" t="str">
        <f>LookUps!$H$11</f>
        <v>Sludge Thickener; wastewater treatment unit - US</v>
      </c>
      <c r="C103" s="260">
        <f t="shared" ref="C103" si="11">C24</f>
        <v>3.6999999999999999E-4</v>
      </c>
      <c r="D103" s="258"/>
      <c r="E103" s="9" t="str">
        <f>CONCATENATE("(",INDEX(LookUps!$D$5:$D$12,MATCH(FDP!$B$1,LookUps!$E$5:$E$12,0)), "/m3 wastewater treated")</f>
        <v>(kg oil eq/m3 wastewater treated</v>
      </c>
    </row>
    <row r="104" spans="1:5" x14ac:dyDescent="0.25">
      <c r="A104" s="18" t="str">
        <f>GWP!A104</f>
        <v>Sludge Handling and Treatment</v>
      </c>
      <c r="B104" s="58" t="str">
        <f>LookUps!$G$14</f>
        <v>Blend Tank; wastewater treatment unit; at updated plant - US</v>
      </c>
      <c r="C104" s="258"/>
      <c r="D104" s="260">
        <f>D25</f>
        <v>1.92E-3</v>
      </c>
      <c r="E104" s="9" t="str">
        <f>CONCATENATE("(",INDEX(LookUps!$D$5:$D$12,MATCH(FDP!$B$1,LookUps!$E$5:$E$12,0)), "/m3 wastewater treated")</f>
        <v>(kg oil eq/m3 wastewater treated</v>
      </c>
    </row>
    <row r="105" spans="1:5" x14ac:dyDescent="0.25">
      <c r="A105" s="18" t="str">
        <f>GWP!A105</f>
        <v>Sludge Handling and Treatment</v>
      </c>
      <c r="B105" s="58" t="str">
        <f>LookUps!$G$19</f>
        <v>Anaerobic Digestion; wastewater treatment unit; at updated plant - US</v>
      </c>
      <c r="C105" s="258"/>
      <c r="D105" s="15">
        <f>D26</f>
        <v>-4.0030000000000003E-2</v>
      </c>
      <c r="E105" s="9" t="str">
        <f>CONCATENATE("(",INDEX(LookUps!$D$5:$D$12,MATCH(FDP!$B$1,LookUps!$E$5:$E$12,0)), "/m3 wastewater treated")</f>
        <v>(kg oil eq/m3 wastewater treated</v>
      </c>
    </row>
    <row r="106" spans="1:5" x14ac:dyDescent="0.25">
      <c r="A106" s="18" t="str">
        <f>GWP!A106</f>
        <v>Sludge Handling and Treatment</v>
      </c>
      <c r="B106" s="58" t="str">
        <f>LookUps!$H$19</f>
        <v>Aerobic Digester; wastewater treatment unit - US</v>
      </c>
      <c r="C106" s="15">
        <f>C27</f>
        <v>4.8919999999999998E-2</v>
      </c>
      <c r="D106" s="258"/>
      <c r="E106" s="9" t="str">
        <f>CONCATENATE("(",INDEX(LookUps!$D$5:$D$12,MATCH(FDP!$B$1,LookUps!$E$5:$E$12,0)), "/m3 wastewater treated")</f>
        <v>(kg oil eq/m3 wastewater treated</v>
      </c>
    </row>
    <row r="107" spans="1:5" x14ac:dyDescent="0.25">
      <c r="A107" s="18" t="str">
        <f>GWP!A107</f>
        <v>Sludge Handling and Treatment</v>
      </c>
      <c r="B107" s="58" t="str">
        <f>LookUps!$J$15</f>
        <v>Belt filter press; wastewater treatment unit - US</v>
      </c>
      <c r="C107" s="260">
        <f>C28</f>
        <v>3.0799999999999998E-3</v>
      </c>
      <c r="D107" s="260">
        <f>D28</f>
        <v>5.8100000000000001E-3</v>
      </c>
      <c r="E107" s="9" t="str">
        <f>CONCATENATE("(",INDEX(LookUps!$D$5:$D$12,MATCH(FDP!$B$1,LookUps!$E$5:$E$12,0)), "/m3 wastewater treated")</f>
        <v>(kg oil eq/m3 wastewater treated</v>
      </c>
    </row>
    <row r="108" spans="1:5" x14ac:dyDescent="0.25">
      <c r="A108" s="18" t="str">
        <f>GWP!A108</f>
        <v>Sludge Handling and Treatment</v>
      </c>
      <c r="B108"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108" s="258"/>
      <c r="D108" s="260">
        <f>D29</f>
        <v>4.4000000000000002E-4</v>
      </c>
      <c r="E108" s="9" t="str">
        <f>CONCATENATE("(",INDEX(LookUps!$D$5:$D$12,MATCH(FDP!$B$1,LookUps!$E$5:$E$12,0)), "/m3 wastewater treated")</f>
        <v>(kg oil eq/m3 wastewater treated</v>
      </c>
    </row>
    <row r="109" spans="1:5" x14ac:dyDescent="0.25">
      <c r="A109" s="18" t="str">
        <f>GWP!A109</f>
        <v>Sludge Disposal</v>
      </c>
      <c r="B109" s="58" t="str">
        <f>LookUps!$G$18</f>
        <v>Land application of compost; wastewater treatment unit; at updated plant - US</v>
      </c>
      <c r="C109" s="258"/>
      <c r="D109" s="260">
        <f>D30</f>
        <v>-6.1700000000000001E-3</v>
      </c>
      <c r="E109" s="9" t="str">
        <f>CONCATENATE("(",INDEX(LookUps!$D$5:$D$12,MATCH(FDP!$B$1,LookUps!$E$5:$E$12,0)), "/m3 wastewater treated")</f>
        <v>(kg oil eq/m3 wastewater treated</v>
      </c>
    </row>
    <row r="110" spans="1:5" x14ac:dyDescent="0.25">
      <c r="A110" s="18" t="str">
        <f>GWP!A110</f>
        <v>Sludge Disposal</v>
      </c>
      <c r="B110" s="58" t="str">
        <f>LookUps!$H$18</f>
        <v>Sludge Disposal; wastewater treatment unit - US</v>
      </c>
      <c r="C110" s="15">
        <f>C31</f>
        <v>1.191E-2</v>
      </c>
      <c r="D110" s="258"/>
    </row>
    <row r="111" spans="1:5" x14ac:dyDescent="0.25">
      <c r="A111" s="18" t="str">
        <f>GWP!A111</f>
        <v>Effluent Release</v>
      </c>
      <c r="B111" s="58" t="str">
        <f>LookUps!$G$20</f>
        <v>Effluent release; wastewater treatment unit; at surface water; m3 wastewater - US</v>
      </c>
      <c r="C111" s="260">
        <f>C32</f>
        <v>6.4186199999999999E-5</v>
      </c>
      <c r="D111" s="260">
        <f>D32</f>
        <v>2.3600000000000001E-3</v>
      </c>
      <c r="E111" s="9" t="str">
        <f>CONCATENATE("(",INDEX(LookUps!$D$5:$D$12,MATCH(FDP!$B$1,LookUps!$E$5:$E$12,0)), "/m3 wastewater treated")</f>
        <v>(kg oil eq/m3 wastewater treated</v>
      </c>
    </row>
    <row r="112" spans="1:5" x14ac:dyDescent="0.25">
      <c r="A112" s="18" t="str">
        <f>GWP!A112</f>
        <v>Facilities</v>
      </c>
      <c r="B112" s="58" t="str">
        <f>LookUps!$J$10</f>
        <v>Control Building; at wastewater treatment plant - US</v>
      </c>
      <c r="C112" s="260">
        <f>C33</f>
        <v>2.1430000000000001E-2</v>
      </c>
      <c r="D112" s="260">
        <f>D33</f>
        <v>2.8E-3</v>
      </c>
      <c r="E112" s="9" t="str">
        <f>CONCATENATE("(",INDEX(LookUps!$D$5:$D$12,MATCH(FDP!$B$1,LookUps!$E$5:$E$12,0)), "/m3 wastewater treated")</f>
        <v>(kg oil eq/m3 wastewater treated</v>
      </c>
    </row>
    <row r="113" spans="1:8" x14ac:dyDescent="0.25">
      <c r="B113" s="11" t="s">
        <v>34</v>
      </c>
      <c r="C113" s="12">
        <f>SUM(C92:C112)</f>
        <v>0.1715141862</v>
      </c>
      <c r="D113" s="12">
        <f>SUM(D92:D112)</f>
        <v>0.18677000000000002</v>
      </c>
    </row>
    <row r="114" spans="1:8" ht="13.5" customHeight="1" x14ac:dyDescent="0.25">
      <c r="C114" s="285"/>
      <c r="D114" s="285"/>
    </row>
    <row r="115" spans="1:8" x14ac:dyDescent="0.25">
      <c r="A115" s="18"/>
      <c r="B115" s="11"/>
      <c r="C115" s="286"/>
      <c r="D115" s="286"/>
      <c r="F115" s="19"/>
    </row>
    <row r="116" spans="1:8" x14ac:dyDescent="0.25">
      <c r="A116" s="18"/>
      <c r="B116" s="11"/>
      <c r="C116" s="286"/>
      <c r="D116" s="286"/>
      <c r="F116" s="19"/>
    </row>
    <row r="117" spans="1:8" x14ac:dyDescent="0.25">
      <c r="A117" s="20"/>
      <c r="B117" s="20"/>
      <c r="C117" s="285"/>
      <c r="D117" s="285"/>
      <c r="F117" s="19"/>
    </row>
    <row r="118" spans="1:8" x14ac:dyDescent="0.25">
      <c r="A118" s="342" t="s">
        <v>50</v>
      </c>
      <c r="B118" s="17" t="s">
        <v>47</v>
      </c>
      <c r="C118" s="1" t="s">
        <v>45</v>
      </c>
      <c r="D118" s="1" t="s">
        <v>46</v>
      </c>
      <c r="F118" s="19"/>
    </row>
    <row r="119" spans="1:8" x14ac:dyDescent="0.25">
      <c r="A119" s="342"/>
      <c r="B119" s="21" t="s">
        <v>64</v>
      </c>
      <c r="C119" s="287">
        <f t="shared" ref="C119:C124" si="12">SUMIF($A$92:$A$112,$B119,$C$92:$C$112)</f>
        <v>3.6879999999999996E-2</v>
      </c>
      <c r="D119" s="287">
        <f t="shared" ref="D119:D124" si="13">SUMIF($A$92:$A$112,$B119,$D$92:$D$112)</f>
        <v>5.3129999999999997E-2</v>
      </c>
      <c r="F119" s="19"/>
    </row>
    <row r="120" spans="1:8" x14ac:dyDescent="0.25">
      <c r="A120" s="342"/>
      <c r="B120" s="21" t="s">
        <v>49</v>
      </c>
      <c r="C120" s="287">
        <f t="shared" si="12"/>
        <v>4.8860000000000001E-2</v>
      </c>
      <c r="D120" s="287">
        <f t="shared" si="13"/>
        <v>7.9509999999999997E-2</v>
      </c>
      <c r="F120" s="19"/>
    </row>
    <row r="121" spans="1:8" x14ac:dyDescent="0.25">
      <c r="A121" s="342"/>
      <c r="B121" s="21" t="s">
        <v>119</v>
      </c>
      <c r="C121" s="288">
        <f t="shared" si="12"/>
        <v>2.1430000000000001E-2</v>
      </c>
      <c r="D121" s="288">
        <f t="shared" si="13"/>
        <v>2.8E-3</v>
      </c>
      <c r="F121" s="19"/>
    </row>
    <row r="122" spans="1:8" x14ac:dyDescent="0.25">
      <c r="A122" s="342"/>
      <c r="B122" s="21" t="s">
        <v>66</v>
      </c>
      <c r="C122" s="287">
        <f t="shared" si="12"/>
        <v>5.237E-2</v>
      </c>
      <c r="D122" s="287">
        <f t="shared" si="13"/>
        <v>5.5140000000000002E-2</v>
      </c>
      <c r="F122" s="19"/>
    </row>
    <row r="123" spans="1:8" x14ac:dyDescent="0.25">
      <c r="A123" s="342"/>
      <c r="B123" s="11" t="str">
        <f>LookUps!I18</f>
        <v>Sludge Disposal</v>
      </c>
      <c r="C123" s="287">
        <f t="shared" si="12"/>
        <v>1.191E-2</v>
      </c>
      <c r="D123" s="288">
        <f t="shared" si="13"/>
        <v>-6.1700000000000001E-3</v>
      </c>
      <c r="F123" s="19"/>
    </row>
    <row r="124" spans="1:8" x14ac:dyDescent="0.25">
      <c r="A124" s="342"/>
      <c r="B124" s="21" t="s">
        <v>33</v>
      </c>
      <c r="C124" s="288">
        <f t="shared" si="12"/>
        <v>6.4186199999999999E-5</v>
      </c>
      <c r="D124" s="288">
        <f t="shared" si="13"/>
        <v>2.3600000000000001E-3</v>
      </c>
      <c r="F124" s="19"/>
    </row>
    <row r="125" spans="1:8" x14ac:dyDescent="0.25">
      <c r="B125" s="14" t="s">
        <v>34</v>
      </c>
      <c r="C125" s="137">
        <f>SUM(C119:C124)</f>
        <v>0.17151418620000003</v>
      </c>
      <c r="D125" s="137">
        <f>SUM(D119:D124)</f>
        <v>0.18676999999999996</v>
      </c>
      <c r="F125" s="19"/>
    </row>
    <row r="126" spans="1:8" x14ac:dyDescent="0.25"/>
    <row r="127" spans="1:8" x14ac:dyDescent="0.25">
      <c r="C127" s="12"/>
      <c r="D127" s="12"/>
    </row>
    <row r="128" spans="1:8" x14ac:dyDescent="0.25">
      <c r="H128"/>
    </row>
    <row r="129" spans="8:8" x14ac:dyDescent="0.25">
      <c r="H129"/>
    </row>
    <row r="130" spans="8:8" hidden="1" x14ac:dyDescent="0.25">
      <c r="H130"/>
    </row>
    <row r="131" spans="8:8" hidden="1" x14ac:dyDescent="0.25">
      <c r="H131"/>
    </row>
    <row r="132" spans="8:8" hidden="1" x14ac:dyDescent="0.25">
      <c r="H132"/>
    </row>
    <row r="133" spans="8:8" hidden="1" x14ac:dyDescent="0.25">
      <c r="H133"/>
    </row>
    <row r="134" spans="8:8" hidden="1" x14ac:dyDescent="0.25">
      <c r="H134"/>
    </row>
    <row r="135" spans="8:8" hidden="1" x14ac:dyDescent="0.25">
      <c r="H135"/>
    </row>
    <row r="136" spans="8:8" hidden="1" x14ac:dyDescent="0.25">
      <c r="H136"/>
    </row>
    <row r="137" spans="8:8" hidden="1" x14ac:dyDescent="0.25">
      <c r="H137"/>
    </row>
    <row r="138" spans="8:8" hidden="1" x14ac:dyDescent="0.25">
      <c r="H138"/>
    </row>
    <row r="139" spans="8:8" hidden="1" x14ac:dyDescent="0.25">
      <c r="H139"/>
    </row>
    <row r="140" spans="8:8" hidden="1" x14ac:dyDescent="0.25">
      <c r="H140"/>
    </row>
    <row r="141" spans="8:8" hidden="1" x14ac:dyDescent="0.25">
      <c r="H141"/>
    </row>
    <row r="142" spans="8:8" hidden="1" x14ac:dyDescent="0.25">
      <c r="H142"/>
    </row>
    <row r="143" spans="8:8" hidden="1" x14ac:dyDescent="0.25">
      <c r="H143"/>
    </row>
  </sheetData>
  <mergeCells count="1">
    <mergeCell ref="A118:A12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6"/>
  <sheetViews>
    <sheetView zoomScale="60" zoomScaleNormal="60" workbookViewId="0">
      <selection activeCell="K106" sqref="K106"/>
    </sheetView>
  </sheetViews>
  <sheetFormatPr defaultColWidth="0" defaultRowHeight="15.75" zeroHeight="1" x14ac:dyDescent="0.25"/>
  <cols>
    <col min="1" max="1" width="9" style="3" customWidth="1"/>
    <col min="2" max="2" width="30.5" style="3" customWidth="1"/>
    <col min="3" max="3" width="24.875" style="3" customWidth="1"/>
    <col min="4" max="4" width="24.75" style="3" bestFit="1" customWidth="1"/>
    <col min="5" max="5" width="22.75" style="3" customWidth="1"/>
    <col min="6" max="6" width="23.875" style="3" bestFit="1" customWidth="1"/>
    <col min="7" max="8" width="19.25" style="3" bestFit="1" customWidth="1"/>
    <col min="9" max="9" width="17.75" style="3" customWidth="1"/>
    <col min="10" max="10" width="27.25" style="3" bestFit="1" customWidth="1"/>
    <col min="11" max="11" width="28.625" style="3" bestFit="1" customWidth="1"/>
    <col min="12" max="12" width="14.875" style="3" bestFit="1" customWidth="1"/>
    <col min="13" max="24" width="9" style="3" customWidth="1"/>
    <col min="25" max="16384" width="9" style="3" hidden="1"/>
  </cols>
  <sheetData>
    <row r="1" spans="1:12" x14ac:dyDescent="0.25">
      <c r="A1" s="2" t="s">
        <v>102</v>
      </c>
    </row>
    <row r="2" spans="1:12" x14ac:dyDescent="0.25">
      <c r="A2" s="42" t="s">
        <v>103</v>
      </c>
    </row>
    <row r="3" spans="1:12" x14ac:dyDescent="0.25">
      <c r="A3" s="42" t="s">
        <v>252</v>
      </c>
    </row>
    <row r="4" spans="1:12" x14ac:dyDescent="0.25">
      <c r="A4" s="3" t="s">
        <v>251</v>
      </c>
      <c r="B4" s="44"/>
      <c r="C4" s="44"/>
      <c r="D4" s="44"/>
      <c r="E4" s="44"/>
    </row>
    <row r="5" spans="1:12" x14ac:dyDescent="0.25">
      <c r="B5" s="43" t="s">
        <v>220</v>
      </c>
    </row>
    <row r="6" spans="1:12" s="45" customFormat="1" ht="31.5" x14ac:dyDescent="0.25">
      <c r="B6" s="46" t="s">
        <v>112</v>
      </c>
      <c r="C6" s="5" t="s">
        <v>94</v>
      </c>
      <c r="D6" s="5" t="s">
        <v>95</v>
      </c>
      <c r="E6" s="5" t="s">
        <v>527</v>
      </c>
      <c r="F6" s="5" t="s">
        <v>96</v>
      </c>
      <c r="G6" s="5" t="s">
        <v>97</v>
      </c>
      <c r="H6" s="5" t="s">
        <v>98</v>
      </c>
      <c r="I6" s="5" t="s">
        <v>99</v>
      </c>
      <c r="J6" s="5" t="s">
        <v>100</v>
      </c>
      <c r="K6" s="39" t="s">
        <v>235</v>
      </c>
      <c r="L6" s="46" t="s">
        <v>219</v>
      </c>
    </row>
    <row r="7" spans="1:12" x14ac:dyDescent="0.25">
      <c r="B7" s="40" t="s">
        <v>226</v>
      </c>
      <c r="C7" s="41">
        <v>17110127.721004393</v>
      </c>
      <c r="D7" s="41">
        <v>14611788.226650797</v>
      </c>
      <c r="E7" s="41">
        <v>201286.45221115209</v>
      </c>
      <c r="F7" s="41">
        <v>2217611.2715849974</v>
      </c>
      <c r="G7" s="41">
        <v>1128607.7078938112</v>
      </c>
      <c r="H7" s="41">
        <v>2325262.001765837</v>
      </c>
      <c r="I7" s="41">
        <v>1102210.3839761487</v>
      </c>
      <c r="J7" s="41">
        <v>1785028.9059797018</v>
      </c>
      <c r="K7" s="131">
        <v>0.90819840048786205</v>
      </c>
      <c r="L7" s="41">
        <f>SUM(C7:H7)</f>
        <v>37594683.381110989</v>
      </c>
    </row>
    <row r="8" spans="1:12" x14ac:dyDescent="0.25">
      <c r="B8" s="40" t="s">
        <v>227</v>
      </c>
      <c r="C8" s="41">
        <v>17110127.721004393</v>
      </c>
      <c r="D8" s="41">
        <v>14772578.086443868</v>
      </c>
      <c r="E8" s="41">
        <v>201286.45221115209</v>
      </c>
      <c r="F8" s="41">
        <v>2286489.617634031</v>
      </c>
      <c r="G8" s="41">
        <v>1101847.335653492</v>
      </c>
      <c r="H8" s="41">
        <v>1672998.5877437466</v>
      </c>
      <c r="I8" s="41">
        <v>1102210.3839761487</v>
      </c>
      <c r="J8" s="41">
        <v>1770050.3866323582</v>
      </c>
      <c r="K8" s="131">
        <v>0.89878188706136819</v>
      </c>
      <c r="L8" s="41">
        <f>SUM(C8:H8)</f>
        <v>37145327.800690681</v>
      </c>
    </row>
    <row r="9" spans="1:12" x14ac:dyDescent="0.25">
      <c r="B9" s="40" t="s">
        <v>228</v>
      </c>
      <c r="C9" s="41">
        <v>17110127.721004393</v>
      </c>
      <c r="D9" s="41">
        <v>15068733.571658226</v>
      </c>
      <c r="E9" s="41">
        <v>201286.45221115209</v>
      </c>
      <c r="F9" s="41">
        <v>2541722.6287640994</v>
      </c>
      <c r="G9" s="41">
        <v>1092927.2115733856</v>
      </c>
      <c r="H9" s="41">
        <v>105424.64628575265</v>
      </c>
      <c r="I9" s="41">
        <v>1102210.3839761487</v>
      </c>
      <c r="J9" s="41">
        <v>1735880.2009925689</v>
      </c>
      <c r="K9" s="131">
        <v>0.87932882993315276</v>
      </c>
      <c r="L9" s="41">
        <f t="shared" ref="L9:L15" si="0">SUM(C9:H9)</f>
        <v>36120222.231497005</v>
      </c>
    </row>
    <row r="10" spans="1:12" x14ac:dyDescent="0.25">
      <c r="B10" s="40" t="s">
        <v>229</v>
      </c>
      <c r="C10" s="41">
        <v>17110127.721004393</v>
      </c>
      <c r="D10" s="41">
        <v>12478850.207022183</v>
      </c>
      <c r="E10" s="41">
        <v>201286.45221115209</v>
      </c>
      <c r="F10" s="41">
        <v>2260062.0552816647</v>
      </c>
      <c r="G10" s="41">
        <v>1237571.3378749611</v>
      </c>
      <c r="H10" s="41">
        <v>2184597.3021419346</v>
      </c>
      <c r="I10" s="41">
        <v>1102210.3839761487</v>
      </c>
      <c r="J10" s="41">
        <v>1714289.2957938784</v>
      </c>
      <c r="K10" s="131">
        <v>0.85787781010511366</v>
      </c>
      <c r="L10" s="41">
        <f t="shared" si="0"/>
        <v>35472495.075536288</v>
      </c>
    </row>
    <row r="11" spans="1:12" x14ac:dyDescent="0.25">
      <c r="B11" s="40" t="s">
        <v>230</v>
      </c>
      <c r="C11" s="41">
        <v>17110127.721004393</v>
      </c>
      <c r="D11" s="41">
        <v>12741558.479421539</v>
      </c>
      <c r="E11" s="41">
        <v>201286.45221115209</v>
      </c>
      <c r="F11" s="41">
        <v>2389110.7885754057</v>
      </c>
      <c r="G11" s="41">
        <v>1194299.7447485572</v>
      </c>
      <c r="H11" s="41">
        <v>983818.3776034147</v>
      </c>
      <c r="I11" s="41">
        <v>1102210.3839761487</v>
      </c>
      <c r="J11" s="41">
        <v>1685879.5120614842</v>
      </c>
      <c r="K11" s="131">
        <v>0.83998455244454873</v>
      </c>
      <c r="L11" s="41">
        <f t="shared" si="0"/>
        <v>34620201.563564457</v>
      </c>
    </row>
    <row r="12" spans="1:12" x14ac:dyDescent="0.25">
      <c r="B12" s="40" t="s">
        <v>231</v>
      </c>
      <c r="C12" s="41">
        <v>17110127.721004393</v>
      </c>
      <c r="D12" s="41">
        <v>13092392.933340304</v>
      </c>
      <c r="E12" s="41">
        <v>201286.45221115209</v>
      </c>
      <c r="F12" s="41">
        <v>2694674.4835246522</v>
      </c>
      <c r="G12" s="41">
        <v>1179875.8803730893</v>
      </c>
      <c r="H12" s="41">
        <v>-534557.9791906852</v>
      </c>
      <c r="I12" s="41">
        <v>1102210.3839761487</v>
      </c>
      <c r="J12" s="41">
        <v>1656666.1096514321</v>
      </c>
      <c r="K12" s="131">
        <v>0.82515979075928403</v>
      </c>
      <c r="L12" s="41">
        <f t="shared" si="0"/>
        <v>33743799.491262905</v>
      </c>
    </row>
    <row r="13" spans="1:12" x14ac:dyDescent="0.25">
      <c r="B13" s="40" t="s">
        <v>232</v>
      </c>
      <c r="C13" s="41">
        <v>17110127.721004393</v>
      </c>
      <c r="D13" s="41">
        <v>10241272.697133629</v>
      </c>
      <c r="E13" s="41">
        <v>201286.45221115209</v>
      </c>
      <c r="F13" s="41">
        <v>2341871.258316665</v>
      </c>
      <c r="G13" s="41">
        <v>1387889.9049879475</v>
      </c>
      <c r="H13" s="41">
        <v>1784124.9936452513</v>
      </c>
      <c r="I13" s="41">
        <v>1102210.3839761487</v>
      </c>
      <c r="J13" s="41">
        <v>1634091.8941859701</v>
      </c>
      <c r="K13" s="131">
        <v>0.80152594486592832</v>
      </c>
      <c r="L13" s="41">
        <f t="shared" si="0"/>
        <v>33066573.027299035</v>
      </c>
    </row>
    <row r="14" spans="1:12" x14ac:dyDescent="0.25">
      <c r="B14" s="40" t="s">
        <v>233</v>
      </c>
      <c r="C14" s="41">
        <v>17110127.721004393</v>
      </c>
      <c r="D14" s="41">
        <v>10693058.158486417</v>
      </c>
      <c r="E14" s="41">
        <v>201286.45221115209</v>
      </c>
      <c r="F14" s="41">
        <v>2588856.8015400646</v>
      </c>
      <c r="G14" s="41">
        <v>1317496.7682605335</v>
      </c>
      <c r="H14" s="41">
        <v>146316.0164488983</v>
      </c>
      <c r="I14" s="41">
        <v>1102210.3839761487</v>
      </c>
      <c r="J14" s="41">
        <v>1600444.1905410506</v>
      </c>
      <c r="K14" s="131">
        <v>0.78228049078134254</v>
      </c>
      <c r="L14" s="41">
        <f t="shared" si="0"/>
        <v>32057141.917951461</v>
      </c>
    </row>
    <row r="15" spans="1:12" x14ac:dyDescent="0.25">
      <c r="B15" s="40" t="s">
        <v>234</v>
      </c>
      <c r="C15" s="41">
        <v>17110127.721004393</v>
      </c>
      <c r="D15" s="41">
        <v>11202701.219762608</v>
      </c>
      <c r="E15" s="41">
        <v>201286.45221115209</v>
      </c>
      <c r="F15" s="41">
        <v>3004878.7559829256</v>
      </c>
      <c r="G15" s="41">
        <v>1294032.3893513952</v>
      </c>
      <c r="H15" s="41">
        <v>-1937901.461972835</v>
      </c>
      <c r="I15" s="41">
        <v>1102210.3839761487</v>
      </c>
      <c r="J15" s="41">
        <v>1561043.6291539902</v>
      </c>
      <c r="K15" s="131">
        <v>0.76236682918862941</v>
      </c>
      <c r="L15" s="41">
        <f t="shared" si="0"/>
        <v>30875125.076339636</v>
      </c>
    </row>
    <row r="16" spans="1:12" x14ac:dyDescent="0.25"/>
    <row r="17" spans="2:13" x14ac:dyDescent="0.25">
      <c r="B17" s="43" t="s">
        <v>476</v>
      </c>
      <c r="K17" s="5" t="s">
        <v>474</v>
      </c>
    </row>
    <row r="18" spans="2:13" ht="31.5" x14ac:dyDescent="0.25">
      <c r="B18" s="46" t="s">
        <v>112</v>
      </c>
      <c r="C18" s="132" t="s">
        <v>216</v>
      </c>
      <c r="D18" s="132" t="s">
        <v>217</v>
      </c>
      <c r="K18" s="135">
        <f>K7/264</f>
        <v>3.4401454563934169E-3</v>
      </c>
    </row>
    <row r="19" spans="2:13" x14ac:dyDescent="0.25">
      <c r="B19" s="40" t="str">
        <f>B7</f>
        <v>Base Feed-Low AD</v>
      </c>
      <c r="C19" s="133" t="s">
        <v>475</v>
      </c>
      <c r="D19" s="133" t="s">
        <v>475</v>
      </c>
    </row>
    <row r="20" spans="2:13" x14ac:dyDescent="0.25">
      <c r="B20" s="40" t="str">
        <f t="shared" ref="B20:B27" si="1">B8</f>
        <v>Base Feed-Base AD</v>
      </c>
      <c r="C20" s="133" t="s">
        <v>475</v>
      </c>
      <c r="D20" s="133" t="s">
        <v>475</v>
      </c>
    </row>
    <row r="21" spans="2:13" x14ac:dyDescent="0.25">
      <c r="B21" s="40" t="str">
        <f t="shared" si="1"/>
        <v>Base Feed-High AD</v>
      </c>
      <c r="C21" s="133" t="s">
        <v>475</v>
      </c>
      <c r="D21" s="133" t="s">
        <v>475</v>
      </c>
    </row>
    <row r="22" spans="2:13" x14ac:dyDescent="0.25">
      <c r="B22" s="40" t="str">
        <f t="shared" si="1"/>
        <v>Medium Feed-Low AD</v>
      </c>
      <c r="C22" s="133" t="s">
        <v>475</v>
      </c>
      <c r="D22" s="133" t="s">
        <v>475</v>
      </c>
    </row>
    <row r="23" spans="2:13" x14ac:dyDescent="0.25">
      <c r="B23" s="40" t="str">
        <f t="shared" si="1"/>
        <v>Medium Feed-Base AD</v>
      </c>
      <c r="C23" s="282">
        <v>846.96517292008082</v>
      </c>
      <c r="D23" s="133" t="s">
        <v>475</v>
      </c>
    </row>
    <row r="24" spans="2:13" x14ac:dyDescent="0.25">
      <c r="B24" s="40" t="str">
        <f t="shared" si="1"/>
        <v>Medium Feed-High AD</v>
      </c>
      <c r="C24" s="282">
        <v>162.28950681324551</v>
      </c>
      <c r="D24" s="133" t="s">
        <v>475</v>
      </c>
    </row>
    <row r="25" spans="2:13" x14ac:dyDescent="0.25">
      <c r="B25" s="40" t="str">
        <f t="shared" si="1"/>
        <v>High Feed-Low AD</v>
      </c>
      <c r="C25" s="282">
        <v>97.987046497401238</v>
      </c>
      <c r="D25" s="133" t="s">
        <v>475</v>
      </c>
    </row>
    <row r="26" spans="2:13" x14ac:dyDescent="0.25">
      <c r="B26" s="40" t="str">
        <f t="shared" si="1"/>
        <v>High Feed-Base AD</v>
      </c>
      <c r="C26" s="282">
        <v>65.16939943715164</v>
      </c>
      <c r="D26" s="133" t="s">
        <v>475</v>
      </c>
    </row>
    <row r="27" spans="2:13" x14ac:dyDescent="0.25">
      <c r="B27" s="40" t="str">
        <f t="shared" si="1"/>
        <v>High Feed-High AD</v>
      </c>
      <c r="C27" s="282">
        <v>45.010571135472411</v>
      </c>
      <c r="D27" s="133" t="s">
        <v>475</v>
      </c>
    </row>
    <row r="28" spans="2:13" x14ac:dyDescent="0.25"/>
    <row r="29" spans="2:13" x14ac:dyDescent="0.25"/>
    <row r="30" spans="2:13" x14ac:dyDescent="0.25">
      <c r="B30" s="43" t="s">
        <v>221</v>
      </c>
    </row>
    <row r="31" spans="2:13" ht="31.5" x14ac:dyDescent="0.25">
      <c r="B31" s="46" t="s">
        <v>112</v>
      </c>
      <c r="C31" s="5" t="s">
        <v>94</v>
      </c>
      <c r="D31" s="5" t="s">
        <v>95</v>
      </c>
      <c r="E31" s="5" t="s">
        <v>527</v>
      </c>
      <c r="F31" s="5" t="s">
        <v>96</v>
      </c>
      <c r="G31" s="5" t="s">
        <v>97</v>
      </c>
      <c r="H31" s="5" t="s">
        <v>98</v>
      </c>
      <c r="I31" s="5" t="s">
        <v>99</v>
      </c>
      <c r="J31" s="5" t="s">
        <v>100</v>
      </c>
      <c r="K31" s="39" t="s">
        <v>101</v>
      </c>
      <c r="L31" s="46" t="s">
        <v>219</v>
      </c>
      <c r="M31" s="45"/>
    </row>
    <row r="32" spans="2:13" x14ac:dyDescent="0.25">
      <c r="B32" s="40" t="str">
        <f>B7</f>
        <v>Base Feed-Low AD</v>
      </c>
      <c r="C32" s="41">
        <v>17110127.721004393</v>
      </c>
      <c r="D32" s="41">
        <v>10525143.658884462</v>
      </c>
      <c r="E32" s="41">
        <v>152386.4130527245</v>
      </c>
      <c r="F32" s="41">
        <v>1713124.3018298836</v>
      </c>
      <c r="G32" s="41">
        <v>881023.54950240545</v>
      </c>
      <c r="H32" s="41">
        <v>2709507.5972999446</v>
      </c>
      <c r="I32" s="41">
        <v>1231006.3272670619</v>
      </c>
      <c r="J32" s="41">
        <v>1763712.5112860426</v>
      </c>
      <c r="K32" s="131">
        <v>0.77347756797941258</v>
      </c>
      <c r="L32" s="41">
        <f>SUM(C32:H32)</f>
        <v>33091313.241573811</v>
      </c>
    </row>
    <row r="33" spans="2:12" x14ac:dyDescent="0.25">
      <c r="B33" s="40" t="str">
        <f t="shared" ref="B33:B40" si="2">B8</f>
        <v>Base Feed-Base AD</v>
      </c>
      <c r="C33" s="41">
        <v>17110127.721004393</v>
      </c>
      <c r="D33" s="41">
        <v>10724170.079926899</v>
      </c>
      <c r="E33" s="41">
        <v>152386.4130527245</v>
      </c>
      <c r="F33" s="41">
        <v>1766892.7144461868</v>
      </c>
      <c r="G33" s="41">
        <v>860133.63534333091</v>
      </c>
      <c r="H33" s="41">
        <v>1940624.06749589</v>
      </c>
      <c r="I33" s="41">
        <v>1231006.3272670619</v>
      </c>
      <c r="J33" s="41">
        <v>1745813.2242758963</v>
      </c>
      <c r="K33" s="131">
        <v>0.76375879745109565</v>
      </c>
      <c r="L33" s="41">
        <f>SUM(C33:H33)</f>
        <v>32554334.631269421</v>
      </c>
    </row>
    <row r="34" spans="2:12" x14ac:dyDescent="0.25">
      <c r="B34" s="40" t="str">
        <f t="shared" si="2"/>
        <v>Base Feed-High AD</v>
      </c>
      <c r="C34" s="41">
        <v>17110127.721004393</v>
      </c>
      <c r="D34" s="41">
        <v>10988086.635938928</v>
      </c>
      <c r="E34" s="41">
        <v>152386.4130527245</v>
      </c>
      <c r="F34" s="41">
        <v>1966134.9239785329</v>
      </c>
      <c r="G34" s="41">
        <v>853170.33062363951</v>
      </c>
      <c r="H34" s="41">
        <v>-285732.59347883239</v>
      </c>
      <c r="I34" s="41">
        <v>1231006.3272670619</v>
      </c>
      <c r="J34" s="41">
        <v>1686807.8509375616</v>
      </c>
      <c r="K34" s="131">
        <v>0.73132170033690813</v>
      </c>
      <c r="L34" s="41">
        <f t="shared" ref="L34:L40" si="3">SUM(C34:H34)</f>
        <v>30784173.431119382</v>
      </c>
    </row>
    <row r="35" spans="2:12" x14ac:dyDescent="0.25">
      <c r="B35" s="40" t="str">
        <f t="shared" si="2"/>
        <v>Medium Feed-Low AD</v>
      </c>
      <c r="C35" s="41">
        <v>17110127.721004393</v>
      </c>
      <c r="D35" s="41">
        <v>6402515.1120180544</v>
      </c>
      <c r="E35" s="41">
        <v>152386.4130527245</v>
      </c>
      <c r="F35" s="41">
        <v>1746262.6012318891</v>
      </c>
      <c r="G35" s="41">
        <v>966083.68455306208</v>
      </c>
      <c r="H35" s="41">
        <v>2422429.5500744185</v>
      </c>
      <c r="I35" s="41">
        <v>1231006.3272670619</v>
      </c>
      <c r="J35" s="41">
        <v>1620662.2392980671</v>
      </c>
      <c r="K35" s="131">
        <v>0.67141834764955344</v>
      </c>
      <c r="L35" s="41">
        <f t="shared" si="3"/>
        <v>28799805.081934534</v>
      </c>
    </row>
    <row r="36" spans="2:12" x14ac:dyDescent="0.25">
      <c r="B36" s="40" t="str">
        <f t="shared" si="2"/>
        <v>Medium Feed-Base AD</v>
      </c>
      <c r="C36" s="41">
        <v>17110127.721004393</v>
      </c>
      <c r="D36" s="41">
        <v>6714491.3204254126</v>
      </c>
      <c r="E36" s="41">
        <v>152386.4130527245</v>
      </c>
      <c r="F36" s="41">
        <v>1847001.7440447775</v>
      </c>
      <c r="G36" s="41">
        <v>932304.63776629721</v>
      </c>
      <c r="H36" s="41">
        <v>996250.46826320596</v>
      </c>
      <c r="I36" s="41">
        <v>1231006.3272670619</v>
      </c>
      <c r="J36" s="41">
        <v>1585754.1467188094</v>
      </c>
      <c r="K36" s="131">
        <v>0.65217611473671533</v>
      </c>
      <c r="L36" s="41">
        <f t="shared" si="3"/>
        <v>27752562.304556809</v>
      </c>
    </row>
    <row r="37" spans="2:12" x14ac:dyDescent="0.25">
      <c r="B37" s="40" t="str">
        <f t="shared" si="2"/>
        <v>Medium Feed-High AD</v>
      </c>
      <c r="C37" s="41">
        <v>17110127.721004393</v>
      </c>
      <c r="D37" s="41">
        <v>7024569.5311074452</v>
      </c>
      <c r="E37" s="41">
        <v>152386.4130527245</v>
      </c>
      <c r="F37" s="41">
        <v>2085533.5290399801</v>
      </c>
      <c r="G37" s="41">
        <v>921044.95550404245</v>
      </c>
      <c r="H37" s="41">
        <v>-1433669.4489899084</v>
      </c>
      <c r="I37" s="41">
        <v>1231006.3272670619</v>
      </c>
      <c r="J37" s="41">
        <v>1522668.4932575379</v>
      </c>
      <c r="K37" s="131">
        <v>0.61816052192973781</v>
      </c>
      <c r="L37" s="41">
        <f t="shared" si="3"/>
        <v>25859992.700718671</v>
      </c>
    </row>
    <row r="38" spans="2:12" x14ac:dyDescent="0.25">
      <c r="B38" s="40" t="str">
        <f t="shared" si="2"/>
        <v>High Feed-Low AD</v>
      </c>
      <c r="C38" s="41">
        <v>17110127.721004393</v>
      </c>
      <c r="D38" s="41">
        <v>2083034.9315711614</v>
      </c>
      <c r="E38" s="41">
        <v>152386.4130527245</v>
      </c>
      <c r="F38" s="41">
        <v>1810125.2117171267</v>
      </c>
      <c r="G38" s="41">
        <v>1083426.6697442099</v>
      </c>
      <c r="H38" s="41">
        <v>1773242.4997156225</v>
      </c>
      <c r="I38" s="41">
        <v>1231006.3272670619</v>
      </c>
      <c r="J38" s="41">
        <v>1461080.1847937568</v>
      </c>
      <c r="K38" s="131">
        <v>0.55902806965035934</v>
      </c>
      <c r="L38" s="41">
        <f t="shared" si="3"/>
        <v>24012343.446805231</v>
      </c>
    </row>
    <row r="39" spans="2:12" x14ac:dyDescent="0.25">
      <c r="B39" s="40" t="str">
        <f t="shared" si="2"/>
        <v>High Feed-Base AD</v>
      </c>
      <c r="C39" s="41">
        <v>17110127.721004393</v>
      </c>
      <c r="D39" s="41">
        <v>2599507.0660299966</v>
      </c>
      <c r="E39" s="41">
        <v>152386.4130527245</v>
      </c>
      <c r="F39" s="41">
        <v>2002929.2112330797</v>
      </c>
      <c r="G39" s="41">
        <v>1028475.76807446</v>
      </c>
      <c r="H39" s="41">
        <v>-606744.2675733642</v>
      </c>
      <c r="I39" s="41">
        <v>1231006.3272670619</v>
      </c>
      <c r="J39" s="41">
        <v>1403558.1336276252</v>
      </c>
      <c r="K39" s="131">
        <v>0.52795718143928405</v>
      </c>
      <c r="L39" s="41">
        <f t="shared" si="3"/>
        <v>22286681.911821287</v>
      </c>
    </row>
    <row r="40" spans="2:12" x14ac:dyDescent="0.25">
      <c r="B40" s="40" t="str">
        <f t="shared" si="2"/>
        <v>High Feed-High AD</v>
      </c>
      <c r="C40" s="41">
        <v>17110127.721004393</v>
      </c>
      <c r="D40" s="41">
        <v>3072225.6056589428</v>
      </c>
      <c r="E40" s="41">
        <v>152386.4130527245</v>
      </c>
      <c r="F40" s="41">
        <v>2327687.8819479737</v>
      </c>
      <c r="G40" s="41">
        <v>1010158.80085121</v>
      </c>
      <c r="H40" s="41">
        <v>-3851278.5001914031</v>
      </c>
      <c r="I40" s="41">
        <v>1231006.3272670619</v>
      </c>
      <c r="J40" s="41">
        <v>1321379.000644377</v>
      </c>
      <c r="K40" s="131">
        <v>0.48415559387221108</v>
      </c>
      <c r="L40" s="41">
        <f t="shared" si="3"/>
        <v>19821307.922323842</v>
      </c>
    </row>
    <row r="41" spans="2:12" x14ac:dyDescent="0.25"/>
    <row r="42" spans="2:12" x14ac:dyDescent="0.25">
      <c r="B42" s="43" t="s">
        <v>476</v>
      </c>
      <c r="K42" s="5" t="s">
        <v>474</v>
      </c>
    </row>
    <row r="43" spans="2:12" ht="31.5" x14ac:dyDescent="0.25">
      <c r="B43" s="46" t="s">
        <v>112</v>
      </c>
      <c r="C43" s="132" t="s">
        <v>216</v>
      </c>
      <c r="D43" s="132" t="s">
        <v>217</v>
      </c>
      <c r="K43" s="135">
        <f>K32/264</f>
        <v>2.9298392726492899E-3</v>
      </c>
    </row>
    <row r="44" spans="2:12" x14ac:dyDescent="0.25">
      <c r="B44" s="40" t="str">
        <f>B32</f>
        <v>Base Feed-Low AD</v>
      </c>
      <c r="C44" s="133" t="s">
        <v>475</v>
      </c>
      <c r="D44" s="133" t="s">
        <v>475</v>
      </c>
    </row>
    <row r="45" spans="2:12" x14ac:dyDescent="0.25">
      <c r="B45" s="40" t="str">
        <f t="shared" ref="B45:B52" si="4">B33</f>
        <v>Base Feed-Base AD</v>
      </c>
      <c r="C45" s="133" t="s">
        <v>475</v>
      </c>
      <c r="D45" s="133" t="s">
        <v>475</v>
      </c>
    </row>
    <row r="46" spans="2:12" x14ac:dyDescent="0.25">
      <c r="B46" s="40" t="str">
        <f t="shared" si="4"/>
        <v>Base Feed-High AD</v>
      </c>
      <c r="C46" s="282">
        <v>377.58695326855957</v>
      </c>
      <c r="D46" s="133" t="s">
        <v>475</v>
      </c>
    </row>
    <row r="47" spans="2:12" x14ac:dyDescent="0.25">
      <c r="B47" s="40" t="str">
        <f t="shared" si="4"/>
        <v>Medium Feed-Low AD</v>
      </c>
      <c r="C47" s="282">
        <v>78.844369946820478</v>
      </c>
      <c r="D47" s="133" t="s">
        <v>475</v>
      </c>
    </row>
    <row r="48" spans="2:12" x14ac:dyDescent="0.25">
      <c r="B48" s="40" t="str">
        <f t="shared" si="4"/>
        <v>Medium Feed-Base AD</v>
      </c>
      <c r="C48" s="281">
        <v>55.537225536520758</v>
      </c>
      <c r="D48" s="133" t="s">
        <v>475</v>
      </c>
    </row>
    <row r="49" spans="2:12" x14ac:dyDescent="0.25">
      <c r="B49" s="40" t="str">
        <f t="shared" si="4"/>
        <v>Medium Feed-High AD</v>
      </c>
      <c r="C49" s="281">
        <v>34.469489895809282</v>
      </c>
      <c r="D49" s="133" t="s">
        <v>475</v>
      </c>
    </row>
    <row r="50" spans="2:12" x14ac:dyDescent="0.25">
      <c r="B50" s="40" t="str">
        <f t="shared" si="4"/>
        <v>High Feed-Low AD</v>
      </c>
      <c r="C50" s="281">
        <v>27.364176463649439</v>
      </c>
      <c r="D50" s="133" t="s">
        <v>475</v>
      </c>
    </row>
    <row r="51" spans="2:12" x14ac:dyDescent="0.25">
      <c r="B51" s="40" t="str">
        <f t="shared" si="4"/>
        <v>High Feed-Base AD</v>
      </c>
      <c r="C51" s="281">
        <v>21.400179053678368</v>
      </c>
      <c r="D51" s="133" t="s">
        <v>475</v>
      </c>
    </row>
    <row r="52" spans="2:12" x14ac:dyDescent="0.25">
      <c r="B52" s="40" t="str">
        <f t="shared" si="4"/>
        <v>High Feed-High AD</v>
      </c>
      <c r="C52" s="281">
        <v>16.292562749881494</v>
      </c>
      <c r="D52" s="133" t="s">
        <v>475</v>
      </c>
    </row>
    <row r="53" spans="2:12" x14ac:dyDescent="0.25"/>
    <row r="54" spans="2:12" x14ac:dyDescent="0.25">
      <c r="B54" s="43" t="s">
        <v>222</v>
      </c>
    </row>
    <row r="55" spans="2:12" ht="31.5" x14ac:dyDescent="0.25">
      <c r="B55" s="46" t="s">
        <v>112</v>
      </c>
      <c r="C55" s="5" t="s">
        <v>94</v>
      </c>
      <c r="D55" s="5" t="s">
        <v>95</v>
      </c>
      <c r="E55" s="5" t="s">
        <v>527</v>
      </c>
      <c r="F55" s="5" t="s">
        <v>96</v>
      </c>
      <c r="G55" s="5" t="s">
        <v>97</v>
      </c>
      <c r="H55" s="5" t="s">
        <v>98</v>
      </c>
      <c r="I55" s="5" t="s">
        <v>99</v>
      </c>
      <c r="J55" s="5" t="s">
        <v>100</v>
      </c>
      <c r="K55" s="39" t="s">
        <v>101</v>
      </c>
      <c r="L55" s="46" t="s">
        <v>219</v>
      </c>
    </row>
    <row r="56" spans="2:12" x14ac:dyDescent="0.25">
      <c r="B56" s="40" t="str">
        <f>B44</f>
        <v>Base Feed-Low AD</v>
      </c>
      <c r="C56" s="41">
        <v>17110127.721004393</v>
      </c>
      <c r="D56" s="41">
        <v>23331650.129285671</v>
      </c>
      <c r="E56" s="41">
        <v>304513.05672514054</v>
      </c>
      <c r="F56" s="41">
        <v>3364534.3521294766</v>
      </c>
      <c r="G56" s="41">
        <v>1714768.3291127856</v>
      </c>
      <c r="H56" s="41">
        <v>3685870.2999645039</v>
      </c>
      <c r="I56" s="41">
        <v>865643.86377618543</v>
      </c>
      <c r="J56" s="41">
        <v>1945688.4026834376</v>
      </c>
      <c r="K56" s="131">
        <v>1.2308828630027639</v>
      </c>
      <c r="L56" s="41">
        <f>SUM(C56:H56)</f>
        <v>49511463.888221957</v>
      </c>
    </row>
    <row r="57" spans="2:12" x14ac:dyDescent="0.25">
      <c r="B57" s="40" t="str">
        <f t="shared" ref="B57:B64" si="5">B45</f>
        <v>Base Feed-Base AD</v>
      </c>
      <c r="C57" s="41">
        <v>17110127.721004393</v>
      </c>
      <c r="D57" s="41">
        <v>23436301.555587701</v>
      </c>
      <c r="E57" s="41">
        <v>304513.05672514054</v>
      </c>
      <c r="F57" s="41">
        <v>3469185.7784315078</v>
      </c>
      <c r="G57" s="41">
        <v>1674109.5258173489</v>
      </c>
      <c r="H57" s="41">
        <v>2692021.9634068143</v>
      </c>
      <c r="I57" s="41">
        <v>865643.86377618543</v>
      </c>
      <c r="J57" s="41">
        <v>1918181.5931084689</v>
      </c>
      <c r="K57" s="131">
        <v>1.2131370195843585</v>
      </c>
      <c r="L57" s="41">
        <f>SUM(C57:H57)</f>
        <v>48686259.600972898</v>
      </c>
    </row>
    <row r="58" spans="2:12" x14ac:dyDescent="0.25">
      <c r="B58" s="40" t="str">
        <f t="shared" si="5"/>
        <v>Base Feed-High AD</v>
      </c>
      <c r="C58" s="41">
        <v>17110127.721004393</v>
      </c>
      <c r="D58" s="41">
        <v>23824093.948789321</v>
      </c>
      <c r="E58" s="41">
        <v>304513.05672514054</v>
      </c>
      <c r="F58" s="41">
        <v>3856978.1716331239</v>
      </c>
      <c r="G58" s="41">
        <v>1660556.5913855366</v>
      </c>
      <c r="H58" s="41">
        <v>346621.50601183344</v>
      </c>
      <c r="I58" s="41">
        <v>865643.86377618543</v>
      </c>
      <c r="J58" s="41">
        <v>1865402.6395943502</v>
      </c>
      <c r="K58" s="131">
        <v>1.1829561549145033</v>
      </c>
      <c r="L58" s="41">
        <f t="shared" ref="L58:L64" si="6">SUM(C58:H58)</f>
        <v>47102890.995549344</v>
      </c>
    </row>
    <row r="59" spans="2:12" x14ac:dyDescent="0.25">
      <c r="B59" s="40" t="str">
        <f t="shared" si="5"/>
        <v>Medium Feed-Low AD</v>
      </c>
      <c r="C59" s="41">
        <v>17110127.721004393</v>
      </c>
      <c r="D59" s="41">
        <v>22228517.469736658</v>
      </c>
      <c r="E59" s="41">
        <v>304513.05672514054</v>
      </c>
      <c r="F59" s="41">
        <v>3429032.6352086407</v>
      </c>
      <c r="G59" s="41">
        <v>1880323.9782634829</v>
      </c>
      <c r="H59" s="41">
        <v>3562130.2222703947</v>
      </c>
      <c r="I59" s="41">
        <v>865643.86377618543</v>
      </c>
      <c r="J59" s="41">
        <v>1912461.109182996</v>
      </c>
      <c r="K59" s="131">
        <v>1.2081743608529749</v>
      </c>
      <c r="L59" s="41">
        <f t="shared" si="6"/>
        <v>48514645.083208703</v>
      </c>
    </row>
    <row r="60" spans="2:12" x14ac:dyDescent="0.25">
      <c r="B60" s="40" t="str">
        <f t="shared" si="5"/>
        <v>Medium Feed-Base AD</v>
      </c>
      <c r="C60" s="41">
        <v>17110127.721004393</v>
      </c>
      <c r="D60" s="41">
        <v>22424589.744643584</v>
      </c>
      <c r="E60" s="41">
        <v>304513.05672514054</v>
      </c>
      <c r="F60" s="41">
        <v>3625104.9101155661</v>
      </c>
      <c r="G60" s="41">
        <v>1814578.5851349137</v>
      </c>
      <c r="H60" s="41">
        <v>1740848.7581236251</v>
      </c>
      <c r="I60" s="41">
        <v>865643.86377618543</v>
      </c>
      <c r="J60" s="41">
        <v>1862631.6989342794</v>
      </c>
      <c r="K60" s="131">
        <v>1.1761620792733163</v>
      </c>
      <c r="L60" s="41">
        <f t="shared" si="6"/>
        <v>47019762.775747225</v>
      </c>
    </row>
    <row r="61" spans="2:12" x14ac:dyDescent="0.25">
      <c r="B61" s="40" t="str">
        <f t="shared" si="5"/>
        <v>Medium Feed-High AD</v>
      </c>
      <c r="C61" s="41">
        <v>17110127.721004393</v>
      </c>
      <c r="D61" s="41">
        <v>22888852.874303997</v>
      </c>
      <c r="E61" s="41">
        <v>304513.05672514054</v>
      </c>
      <c r="F61" s="41">
        <v>4089368.0397759811</v>
      </c>
      <c r="G61" s="41">
        <v>1792663.4540920572</v>
      </c>
      <c r="H61" s="41">
        <v>-532436.50564789434</v>
      </c>
      <c r="I61" s="41">
        <v>865643.86377618543</v>
      </c>
      <c r="J61" s="41">
        <v>1817075.8944178277</v>
      </c>
      <c r="K61" s="131">
        <v>1.152790281704229</v>
      </c>
      <c r="L61" s="41">
        <f t="shared" si="6"/>
        <v>45653088.640253671</v>
      </c>
    </row>
    <row r="62" spans="2:12" x14ac:dyDescent="0.25">
      <c r="B62" s="40" t="str">
        <f t="shared" si="5"/>
        <v>High Feed-Low AD</v>
      </c>
      <c r="C62" s="41">
        <v>17110127.721004393</v>
      </c>
      <c r="D62" s="41">
        <v>21185184.659589048</v>
      </c>
      <c r="E62" s="41">
        <v>304513.05672514054</v>
      </c>
      <c r="F62" s="41">
        <v>3553330.7676892099</v>
      </c>
      <c r="G62" s="41">
        <v>2108712.918335489</v>
      </c>
      <c r="H62" s="41">
        <v>3085636.5562612968</v>
      </c>
      <c r="I62" s="41">
        <v>865643.86377618543</v>
      </c>
      <c r="J62" s="41">
        <v>1873556.4623961912</v>
      </c>
      <c r="K62" s="131">
        <v>1.1825959425396524</v>
      </c>
      <c r="L62" s="41">
        <f t="shared" si="6"/>
        <v>47347505.679604575</v>
      </c>
    </row>
    <row r="63" spans="2:12" x14ac:dyDescent="0.25">
      <c r="B63" s="40" t="str">
        <f t="shared" si="5"/>
        <v>High Feed-Base AD</v>
      </c>
      <c r="C63" s="41">
        <v>17110127.721004393</v>
      </c>
      <c r="D63" s="41">
        <v>21560446.129368104</v>
      </c>
      <c r="E63" s="41">
        <v>304513.05672514054</v>
      </c>
      <c r="F63" s="41">
        <v>3928592.2374682655</v>
      </c>
      <c r="G63" s="41">
        <v>2001759.9703777449</v>
      </c>
      <c r="H63" s="41">
        <v>595945.27007790084</v>
      </c>
      <c r="I63" s="41">
        <v>865643.86377618543</v>
      </c>
      <c r="J63" s="41">
        <v>1812019.08591009</v>
      </c>
      <c r="K63" s="131">
        <v>1.1458140892929392</v>
      </c>
      <c r="L63" s="41">
        <f t="shared" si="6"/>
        <v>45501384.385021538</v>
      </c>
    </row>
    <row r="64" spans="2:12" x14ac:dyDescent="0.25">
      <c r="B64" s="40" t="str">
        <f t="shared" si="5"/>
        <v>High Feed-High AD</v>
      </c>
      <c r="C64" s="41">
        <v>17110127.721004393</v>
      </c>
      <c r="D64" s="41">
        <v>22192535.797642231</v>
      </c>
      <c r="E64" s="41">
        <v>304513.05672514054</v>
      </c>
      <c r="F64" s="41">
        <v>4560681.905742391</v>
      </c>
      <c r="G64" s="41">
        <v>1966108.9877251629</v>
      </c>
      <c r="H64" s="41">
        <v>-2531828.5434568846</v>
      </c>
      <c r="I64" s="41">
        <v>865643.86377618543</v>
      </c>
      <c r="J64" s="41">
        <v>1748710.9039221199</v>
      </c>
      <c r="K64" s="131">
        <v>1.1130634573388241</v>
      </c>
      <c r="L64" s="41">
        <f t="shared" si="6"/>
        <v>43602138.925382435</v>
      </c>
    </row>
    <row r="65" spans="2:11" x14ac:dyDescent="0.25"/>
    <row r="66" spans="2:11" x14ac:dyDescent="0.25">
      <c r="B66" s="43" t="s">
        <v>476</v>
      </c>
      <c r="K66" s="5" t="s">
        <v>474</v>
      </c>
    </row>
    <row r="67" spans="2:11" ht="31.5" x14ac:dyDescent="0.25">
      <c r="B67" s="46" t="s">
        <v>112</v>
      </c>
      <c r="C67" s="132" t="s">
        <v>216</v>
      </c>
      <c r="D67" s="132" t="s">
        <v>217</v>
      </c>
      <c r="K67" s="135">
        <f>K56/264</f>
        <v>4.6624350871316816E-3</v>
      </c>
    </row>
    <row r="68" spans="2:11" x14ac:dyDescent="0.25">
      <c r="B68" s="40" t="str">
        <f>B56</f>
        <v>Base Feed-Low AD</v>
      </c>
      <c r="C68" s="133" t="s">
        <v>475</v>
      </c>
      <c r="D68" s="133" t="s">
        <v>475</v>
      </c>
    </row>
    <row r="69" spans="2:11" x14ac:dyDescent="0.25">
      <c r="B69" s="40" t="str">
        <f t="shared" ref="B69:B76" si="7">B57</f>
        <v>Base Feed-Base AD</v>
      </c>
      <c r="C69" s="133" t="s">
        <v>475</v>
      </c>
      <c r="D69" s="133" t="s">
        <v>475</v>
      </c>
    </row>
    <row r="70" spans="2:11" x14ac:dyDescent="0.25">
      <c r="B70" s="40" t="str">
        <f t="shared" si="7"/>
        <v>Base Feed-High AD</v>
      </c>
      <c r="C70" s="133" t="s">
        <v>475</v>
      </c>
      <c r="D70" s="133" t="s">
        <v>475</v>
      </c>
    </row>
    <row r="71" spans="2:11" x14ac:dyDescent="0.25">
      <c r="B71" s="40" t="str">
        <f t="shared" si="7"/>
        <v>Medium Feed-Low AD</v>
      </c>
      <c r="C71" s="133" t="s">
        <v>475</v>
      </c>
      <c r="D71" s="133" t="s">
        <v>475</v>
      </c>
    </row>
    <row r="72" spans="2:11" x14ac:dyDescent="0.25">
      <c r="B72" s="40" t="str">
        <f t="shared" si="7"/>
        <v>Medium Feed-Base AD</v>
      </c>
      <c r="C72" s="133" t="s">
        <v>475</v>
      </c>
      <c r="D72" s="133" t="s">
        <v>475</v>
      </c>
    </row>
    <row r="73" spans="2:11" x14ac:dyDescent="0.25">
      <c r="B73" s="40" t="str">
        <f t="shared" si="7"/>
        <v>Medium Feed-High AD</v>
      </c>
      <c r="C73" s="282" t="s">
        <v>475</v>
      </c>
      <c r="D73" s="133" t="s">
        <v>475</v>
      </c>
    </row>
    <row r="74" spans="2:11" x14ac:dyDescent="0.25">
      <c r="B74" s="40" t="str">
        <f t="shared" si="7"/>
        <v>High Feed-Low AD</v>
      </c>
      <c r="C74" s="282" t="s">
        <v>475</v>
      </c>
      <c r="D74" s="133" t="s">
        <v>475</v>
      </c>
    </row>
    <row r="75" spans="2:11" x14ac:dyDescent="0.25">
      <c r="B75" s="40" t="str">
        <f t="shared" si="7"/>
        <v>High Feed-Base AD</v>
      </c>
      <c r="C75" s="282">
        <v>242.51335200526643</v>
      </c>
      <c r="D75" s="133" t="s">
        <v>475</v>
      </c>
    </row>
    <row r="76" spans="2:11" x14ac:dyDescent="0.25">
      <c r="B76" s="40" t="str">
        <f t="shared" si="7"/>
        <v>High Feed-High AD</v>
      </c>
      <c r="C76" s="282">
        <v>70.3039728373777</v>
      </c>
      <c r="D76" s="133" t="s">
        <v>475</v>
      </c>
    </row>
    <row r="77" spans="2:11" x14ac:dyDescent="0.25"/>
    <row r="78" spans="2:11" x14ac:dyDescent="0.25"/>
    <row r="79" spans="2:11" x14ac:dyDescent="0.25">
      <c r="B79" s="2" t="s">
        <v>477</v>
      </c>
    </row>
    <row r="80" spans="2:11" ht="47.25" x14ac:dyDescent="0.25">
      <c r="C80" s="46" t="s">
        <v>112</v>
      </c>
      <c r="D80" s="5" t="s">
        <v>94</v>
      </c>
      <c r="E80" s="5" t="s">
        <v>95</v>
      </c>
      <c r="F80" s="5" t="s">
        <v>527</v>
      </c>
      <c r="G80" s="5" t="s">
        <v>96</v>
      </c>
      <c r="H80" s="5" t="s">
        <v>97</v>
      </c>
      <c r="I80" s="5" t="s">
        <v>98</v>
      </c>
      <c r="J80" s="5" t="s">
        <v>219</v>
      </c>
    </row>
    <row r="81" spans="2:10" x14ac:dyDescent="0.25">
      <c r="B81" s="40" t="s">
        <v>223</v>
      </c>
      <c r="C81" s="40" t="s">
        <v>226</v>
      </c>
      <c r="D81" s="41">
        <f>IF($B81="Low Cost", INDEX($C$32:$H$40, MATCH($C81, $B$32:$B$40,0), MATCH(D$80, $C$31:$H$31,0)), IF($B81= "Base Cost", INDEX($C$7:$H$15, MATCH($C81, $B$7:$B$15,0), MATCH(D$80, $C$6:$H$6,0)),INDEX($C$56:$H$64, MATCH($C81, $B$56:$B$64,0), MATCH(D$80, $C$55:$H$55,0))))</f>
        <v>17110127.721004393</v>
      </c>
      <c r="E81" s="41">
        <f t="shared" ref="E81:I96" si="8">IF($B81="Low Cost", INDEX($C$32:$H$40, MATCH($C81, $B$32:$B$40,0), MATCH(E$80, $C$31:$H$31,0)), IF($B81= "Base Cost", INDEX($C$7:$H$15, MATCH($C81, $B$7:$B$15,0), MATCH(E$80, $C$6:$H$6,0)),INDEX($C$56:$H$64, MATCH($C81, $B$56:$B$64,0), MATCH(E$80, $C$55:$H$55,0))))</f>
        <v>10525143.658884462</v>
      </c>
      <c r="F81" s="41">
        <f t="shared" si="8"/>
        <v>152386.4130527245</v>
      </c>
      <c r="G81" s="41">
        <f t="shared" si="8"/>
        <v>1713124.3018298836</v>
      </c>
      <c r="H81" s="41">
        <f t="shared" si="8"/>
        <v>881023.54950240545</v>
      </c>
      <c r="I81" s="41">
        <f t="shared" si="8"/>
        <v>2709507.5972999446</v>
      </c>
      <c r="J81" s="134">
        <f>ROUND(SUM(D81:I81),3-(1+INT(LOG10(ABS(SUM(D81:I81))))))</f>
        <v>33100000</v>
      </c>
    </row>
    <row r="82" spans="2:10" x14ac:dyDescent="0.25">
      <c r="B82" s="40" t="s">
        <v>224</v>
      </c>
      <c r="C82" s="40" t="s">
        <v>226</v>
      </c>
      <c r="D82" s="41">
        <f t="shared" ref="D82:I107" si="9">IF($B82="Low Cost", INDEX($C$32:$H$40, MATCH($C82, $B$32:$B$40,0), MATCH(D$80, $C$31:$H$31,0)), IF($B82= "Base Cost", INDEX($C$7:$H$15, MATCH($C82, $B$7:$B$15,0), MATCH(D$80, $C$6:$H$6,0)),INDEX($C$56:$H$64, MATCH($C82, $B$56:$B$64,0), MATCH(D$80, $C$55:$H$55,0))))</f>
        <v>17110127.721004393</v>
      </c>
      <c r="E82" s="41">
        <f t="shared" si="8"/>
        <v>14611788.226650797</v>
      </c>
      <c r="F82" s="41">
        <f t="shared" si="8"/>
        <v>201286.45221115209</v>
      </c>
      <c r="G82" s="41">
        <f t="shared" si="8"/>
        <v>2217611.2715849974</v>
      </c>
      <c r="H82" s="41">
        <f t="shared" si="8"/>
        <v>1128607.7078938112</v>
      </c>
      <c r="I82" s="41">
        <f t="shared" si="8"/>
        <v>2325262.001765837</v>
      </c>
      <c r="J82" s="134">
        <f t="shared" ref="J82:J107" si="10">ROUND(SUM(D82:I82),3-(1+INT(LOG10(ABS(SUM(D82:I82))))))</f>
        <v>37600000</v>
      </c>
    </row>
    <row r="83" spans="2:10" x14ac:dyDescent="0.25">
      <c r="B83" s="40" t="s">
        <v>225</v>
      </c>
      <c r="C83" s="40" t="s">
        <v>226</v>
      </c>
      <c r="D83" s="41">
        <f t="shared" si="9"/>
        <v>17110127.721004393</v>
      </c>
      <c r="E83" s="41">
        <f t="shared" si="8"/>
        <v>23331650.129285671</v>
      </c>
      <c r="F83" s="41">
        <f t="shared" si="8"/>
        <v>304513.05672514054</v>
      </c>
      <c r="G83" s="41">
        <f t="shared" si="8"/>
        <v>3364534.3521294766</v>
      </c>
      <c r="H83" s="41">
        <f t="shared" si="8"/>
        <v>1714768.3291127856</v>
      </c>
      <c r="I83" s="41">
        <f t="shared" si="8"/>
        <v>3685870.2999645039</v>
      </c>
      <c r="J83" s="134">
        <f t="shared" si="10"/>
        <v>49500000</v>
      </c>
    </row>
    <row r="84" spans="2:10" x14ac:dyDescent="0.25">
      <c r="B84" s="40" t="s">
        <v>223</v>
      </c>
      <c r="C84" s="40" t="s">
        <v>227</v>
      </c>
      <c r="D84" s="41">
        <f t="shared" si="9"/>
        <v>17110127.721004393</v>
      </c>
      <c r="E84" s="41">
        <f t="shared" si="8"/>
        <v>10724170.079926899</v>
      </c>
      <c r="F84" s="41">
        <f t="shared" si="8"/>
        <v>152386.4130527245</v>
      </c>
      <c r="G84" s="41">
        <f t="shared" si="8"/>
        <v>1766892.7144461868</v>
      </c>
      <c r="H84" s="41">
        <f t="shared" si="8"/>
        <v>860133.63534333091</v>
      </c>
      <c r="I84" s="41">
        <f t="shared" si="8"/>
        <v>1940624.06749589</v>
      </c>
      <c r="J84" s="134">
        <f t="shared" si="10"/>
        <v>32600000</v>
      </c>
    </row>
    <row r="85" spans="2:10" x14ac:dyDescent="0.25">
      <c r="B85" s="40" t="s">
        <v>224</v>
      </c>
      <c r="C85" s="40" t="s">
        <v>227</v>
      </c>
      <c r="D85" s="41">
        <f t="shared" si="9"/>
        <v>17110127.721004393</v>
      </c>
      <c r="E85" s="41">
        <f t="shared" si="8"/>
        <v>14772578.086443868</v>
      </c>
      <c r="F85" s="41">
        <f t="shared" si="8"/>
        <v>201286.45221115209</v>
      </c>
      <c r="G85" s="41">
        <f t="shared" si="8"/>
        <v>2286489.617634031</v>
      </c>
      <c r="H85" s="41">
        <f t="shared" si="8"/>
        <v>1101847.335653492</v>
      </c>
      <c r="I85" s="41">
        <f t="shared" si="8"/>
        <v>1672998.5877437466</v>
      </c>
      <c r="J85" s="134">
        <f t="shared" si="10"/>
        <v>37100000</v>
      </c>
    </row>
    <row r="86" spans="2:10" x14ac:dyDescent="0.25">
      <c r="B86" s="40" t="s">
        <v>225</v>
      </c>
      <c r="C86" s="40" t="s">
        <v>227</v>
      </c>
      <c r="D86" s="41">
        <f t="shared" si="9"/>
        <v>17110127.721004393</v>
      </c>
      <c r="E86" s="41">
        <f t="shared" si="8"/>
        <v>23436301.555587701</v>
      </c>
      <c r="F86" s="41">
        <f t="shared" si="8"/>
        <v>304513.05672514054</v>
      </c>
      <c r="G86" s="41">
        <f t="shared" si="8"/>
        <v>3469185.7784315078</v>
      </c>
      <c r="H86" s="41">
        <f t="shared" si="8"/>
        <v>1674109.5258173489</v>
      </c>
      <c r="I86" s="41">
        <f t="shared" si="8"/>
        <v>2692021.9634068143</v>
      </c>
      <c r="J86" s="134">
        <f t="shared" si="10"/>
        <v>48700000</v>
      </c>
    </row>
    <row r="87" spans="2:10" x14ac:dyDescent="0.25">
      <c r="B87" s="40" t="s">
        <v>223</v>
      </c>
      <c r="C87" s="40" t="s">
        <v>228</v>
      </c>
      <c r="D87" s="41">
        <f t="shared" si="9"/>
        <v>17110127.721004393</v>
      </c>
      <c r="E87" s="41">
        <f t="shared" si="8"/>
        <v>10988086.635938928</v>
      </c>
      <c r="F87" s="41">
        <f t="shared" si="8"/>
        <v>152386.4130527245</v>
      </c>
      <c r="G87" s="41">
        <f t="shared" si="8"/>
        <v>1966134.9239785329</v>
      </c>
      <c r="H87" s="41">
        <f t="shared" si="8"/>
        <v>853170.33062363951</v>
      </c>
      <c r="I87" s="41">
        <f t="shared" si="8"/>
        <v>-285732.59347883239</v>
      </c>
      <c r="J87" s="134">
        <f t="shared" si="10"/>
        <v>30800000</v>
      </c>
    </row>
    <row r="88" spans="2:10" x14ac:dyDescent="0.25">
      <c r="B88" s="40" t="s">
        <v>224</v>
      </c>
      <c r="C88" s="40" t="s">
        <v>228</v>
      </c>
      <c r="D88" s="41">
        <f t="shared" si="9"/>
        <v>17110127.721004393</v>
      </c>
      <c r="E88" s="41">
        <f t="shared" si="8"/>
        <v>15068733.571658226</v>
      </c>
      <c r="F88" s="41">
        <f t="shared" si="8"/>
        <v>201286.45221115209</v>
      </c>
      <c r="G88" s="41">
        <f t="shared" si="8"/>
        <v>2541722.6287640994</v>
      </c>
      <c r="H88" s="41">
        <f t="shared" si="8"/>
        <v>1092927.2115733856</v>
      </c>
      <c r="I88" s="41">
        <f t="shared" si="8"/>
        <v>105424.64628575265</v>
      </c>
      <c r="J88" s="134">
        <f t="shared" si="10"/>
        <v>36100000</v>
      </c>
    </row>
    <row r="89" spans="2:10" x14ac:dyDescent="0.25">
      <c r="B89" s="40" t="s">
        <v>225</v>
      </c>
      <c r="C89" s="40" t="s">
        <v>228</v>
      </c>
      <c r="D89" s="41">
        <f t="shared" si="9"/>
        <v>17110127.721004393</v>
      </c>
      <c r="E89" s="41">
        <f t="shared" si="8"/>
        <v>23824093.948789321</v>
      </c>
      <c r="F89" s="41">
        <f t="shared" si="8"/>
        <v>304513.05672514054</v>
      </c>
      <c r="G89" s="41">
        <f t="shared" si="8"/>
        <v>3856978.1716331239</v>
      </c>
      <c r="H89" s="41">
        <f t="shared" si="8"/>
        <v>1660556.5913855366</v>
      </c>
      <c r="I89" s="41">
        <f t="shared" si="8"/>
        <v>346621.50601183344</v>
      </c>
      <c r="J89" s="134">
        <f t="shared" si="10"/>
        <v>47100000</v>
      </c>
    </row>
    <row r="90" spans="2:10" x14ac:dyDescent="0.25">
      <c r="B90" s="40" t="s">
        <v>223</v>
      </c>
      <c r="C90" s="40" t="s">
        <v>229</v>
      </c>
      <c r="D90" s="41">
        <f t="shared" si="9"/>
        <v>17110127.721004393</v>
      </c>
      <c r="E90" s="41">
        <f t="shared" si="8"/>
        <v>6402515.1120180544</v>
      </c>
      <c r="F90" s="41">
        <f t="shared" si="8"/>
        <v>152386.4130527245</v>
      </c>
      <c r="G90" s="41">
        <f t="shared" si="8"/>
        <v>1746262.6012318891</v>
      </c>
      <c r="H90" s="41">
        <f t="shared" si="8"/>
        <v>966083.68455306208</v>
      </c>
      <c r="I90" s="41">
        <f t="shared" si="8"/>
        <v>2422429.5500744185</v>
      </c>
      <c r="J90" s="134">
        <f t="shared" si="10"/>
        <v>28800000</v>
      </c>
    </row>
    <row r="91" spans="2:10" x14ac:dyDescent="0.25">
      <c r="B91" s="40" t="s">
        <v>224</v>
      </c>
      <c r="C91" s="40" t="s">
        <v>229</v>
      </c>
      <c r="D91" s="41">
        <f t="shared" si="9"/>
        <v>17110127.721004393</v>
      </c>
      <c r="E91" s="41">
        <f t="shared" si="8"/>
        <v>12478850.207022183</v>
      </c>
      <c r="F91" s="41">
        <f t="shared" si="8"/>
        <v>201286.45221115209</v>
      </c>
      <c r="G91" s="41">
        <f t="shared" si="8"/>
        <v>2260062.0552816647</v>
      </c>
      <c r="H91" s="41">
        <f t="shared" si="8"/>
        <v>1237571.3378749611</v>
      </c>
      <c r="I91" s="41">
        <f t="shared" si="8"/>
        <v>2184597.3021419346</v>
      </c>
      <c r="J91" s="134">
        <f t="shared" si="10"/>
        <v>35500000</v>
      </c>
    </row>
    <row r="92" spans="2:10" x14ac:dyDescent="0.25">
      <c r="B92" s="40" t="s">
        <v>225</v>
      </c>
      <c r="C92" s="40" t="s">
        <v>229</v>
      </c>
      <c r="D92" s="41">
        <f t="shared" si="9"/>
        <v>17110127.721004393</v>
      </c>
      <c r="E92" s="41">
        <f t="shared" si="8"/>
        <v>22228517.469736658</v>
      </c>
      <c r="F92" s="41">
        <f t="shared" si="8"/>
        <v>304513.05672514054</v>
      </c>
      <c r="G92" s="41">
        <f t="shared" si="8"/>
        <v>3429032.6352086407</v>
      </c>
      <c r="H92" s="41">
        <f t="shared" si="8"/>
        <v>1880323.9782634829</v>
      </c>
      <c r="I92" s="41">
        <f t="shared" si="8"/>
        <v>3562130.2222703947</v>
      </c>
      <c r="J92" s="134">
        <f t="shared" si="10"/>
        <v>48500000</v>
      </c>
    </row>
    <row r="93" spans="2:10" x14ac:dyDescent="0.25">
      <c r="B93" s="40" t="s">
        <v>223</v>
      </c>
      <c r="C93" s="40" t="s">
        <v>230</v>
      </c>
      <c r="D93" s="41">
        <f t="shared" si="9"/>
        <v>17110127.721004393</v>
      </c>
      <c r="E93" s="41">
        <f t="shared" si="8"/>
        <v>6714491.3204254126</v>
      </c>
      <c r="F93" s="41">
        <f t="shared" si="8"/>
        <v>152386.4130527245</v>
      </c>
      <c r="G93" s="41">
        <f t="shared" si="8"/>
        <v>1847001.7440447775</v>
      </c>
      <c r="H93" s="41">
        <f t="shared" si="8"/>
        <v>932304.63776629721</v>
      </c>
      <c r="I93" s="41">
        <f t="shared" si="8"/>
        <v>996250.46826320596</v>
      </c>
      <c r="J93" s="134">
        <f t="shared" si="10"/>
        <v>27800000</v>
      </c>
    </row>
    <row r="94" spans="2:10" x14ac:dyDescent="0.25">
      <c r="B94" s="40" t="s">
        <v>224</v>
      </c>
      <c r="C94" s="40" t="s">
        <v>230</v>
      </c>
      <c r="D94" s="41">
        <f t="shared" si="9"/>
        <v>17110127.721004393</v>
      </c>
      <c r="E94" s="41">
        <f t="shared" si="8"/>
        <v>12741558.479421539</v>
      </c>
      <c r="F94" s="41">
        <f t="shared" si="8"/>
        <v>201286.45221115209</v>
      </c>
      <c r="G94" s="41">
        <f t="shared" si="8"/>
        <v>2389110.7885754057</v>
      </c>
      <c r="H94" s="41">
        <f t="shared" si="8"/>
        <v>1194299.7447485572</v>
      </c>
      <c r="I94" s="41">
        <f t="shared" si="8"/>
        <v>983818.3776034147</v>
      </c>
      <c r="J94" s="134">
        <f t="shared" si="10"/>
        <v>34600000</v>
      </c>
    </row>
    <row r="95" spans="2:10" x14ac:dyDescent="0.25">
      <c r="B95" s="40" t="s">
        <v>225</v>
      </c>
      <c r="C95" s="40" t="s">
        <v>230</v>
      </c>
      <c r="D95" s="41">
        <f t="shared" si="9"/>
        <v>17110127.721004393</v>
      </c>
      <c r="E95" s="41">
        <f t="shared" si="8"/>
        <v>22424589.744643584</v>
      </c>
      <c r="F95" s="41">
        <f t="shared" si="8"/>
        <v>304513.05672514054</v>
      </c>
      <c r="G95" s="41">
        <f t="shared" si="8"/>
        <v>3625104.9101155661</v>
      </c>
      <c r="H95" s="41">
        <f t="shared" si="8"/>
        <v>1814578.5851349137</v>
      </c>
      <c r="I95" s="41">
        <f t="shared" si="8"/>
        <v>1740848.7581236251</v>
      </c>
      <c r="J95" s="134">
        <f t="shared" si="10"/>
        <v>47000000</v>
      </c>
    </row>
    <row r="96" spans="2:10" x14ac:dyDescent="0.25">
      <c r="B96" s="40" t="s">
        <v>223</v>
      </c>
      <c r="C96" s="40" t="s">
        <v>231</v>
      </c>
      <c r="D96" s="41">
        <f t="shared" si="9"/>
        <v>17110127.721004393</v>
      </c>
      <c r="E96" s="41">
        <f t="shared" si="8"/>
        <v>7024569.5311074452</v>
      </c>
      <c r="F96" s="41">
        <f t="shared" si="8"/>
        <v>152386.4130527245</v>
      </c>
      <c r="G96" s="41">
        <f t="shared" si="8"/>
        <v>2085533.5290399801</v>
      </c>
      <c r="H96" s="41">
        <f t="shared" si="8"/>
        <v>921044.95550404245</v>
      </c>
      <c r="I96" s="41">
        <f t="shared" si="8"/>
        <v>-1433669.4489899084</v>
      </c>
      <c r="J96" s="134">
        <f t="shared" si="10"/>
        <v>25900000</v>
      </c>
    </row>
    <row r="97" spans="2:10" x14ac:dyDescent="0.25">
      <c r="B97" s="40" t="s">
        <v>224</v>
      </c>
      <c r="C97" s="40" t="s">
        <v>231</v>
      </c>
      <c r="D97" s="41">
        <f t="shared" si="9"/>
        <v>17110127.721004393</v>
      </c>
      <c r="E97" s="41">
        <f t="shared" si="9"/>
        <v>13092392.933340304</v>
      </c>
      <c r="F97" s="41">
        <f t="shared" si="9"/>
        <v>201286.45221115209</v>
      </c>
      <c r="G97" s="41">
        <f t="shared" si="9"/>
        <v>2694674.4835246522</v>
      </c>
      <c r="H97" s="41">
        <f t="shared" si="9"/>
        <v>1179875.8803730893</v>
      </c>
      <c r="I97" s="41">
        <f t="shared" si="9"/>
        <v>-534557.9791906852</v>
      </c>
      <c r="J97" s="134">
        <f t="shared" si="10"/>
        <v>33700000</v>
      </c>
    </row>
    <row r="98" spans="2:10" x14ac:dyDescent="0.25">
      <c r="B98" s="40" t="s">
        <v>225</v>
      </c>
      <c r="C98" s="40" t="s">
        <v>231</v>
      </c>
      <c r="D98" s="41">
        <f t="shared" si="9"/>
        <v>17110127.721004393</v>
      </c>
      <c r="E98" s="41">
        <f t="shared" si="9"/>
        <v>22888852.874303997</v>
      </c>
      <c r="F98" s="41">
        <f t="shared" si="9"/>
        <v>304513.05672514054</v>
      </c>
      <c r="G98" s="41">
        <f t="shared" si="9"/>
        <v>4089368.0397759811</v>
      </c>
      <c r="H98" s="41">
        <f t="shared" si="9"/>
        <v>1792663.4540920572</v>
      </c>
      <c r="I98" s="41">
        <f t="shared" si="9"/>
        <v>-532436.50564789434</v>
      </c>
      <c r="J98" s="134">
        <f t="shared" si="10"/>
        <v>45700000</v>
      </c>
    </row>
    <row r="99" spans="2:10" x14ac:dyDescent="0.25">
      <c r="B99" s="40" t="s">
        <v>223</v>
      </c>
      <c r="C99" s="40" t="s">
        <v>232</v>
      </c>
      <c r="D99" s="41">
        <f t="shared" si="9"/>
        <v>17110127.721004393</v>
      </c>
      <c r="E99" s="41">
        <f t="shared" si="9"/>
        <v>2083034.9315711614</v>
      </c>
      <c r="F99" s="41">
        <f t="shared" si="9"/>
        <v>152386.4130527245</v>
      </c>
      <c r="G99" s="41">
        <f t="shared" si="9"/>
        <v>1810125.2117171267</v>
      </c>
      <c r="H99" s="41">
        <f t="shared" si="9"/>
        <v>1083426.6697442099</v>
      </c>
      <c r="I99" s="41">
        <f t="shared" si="9"/>
        <v>1773242.4997156225</v>
      </c>
      <c r="J99" s="134">
        <f t="shared" si="10"/>
        <v>24000000</v>
      </c>
    </row>
    <row r="100" spans="2:10" x14ac:dyDescent="0.25">
      <c r="B100" s="40" t="s">
        <v>224</v>
      </c>
      <c r="C100" s="40" t="s">
        <v>232</v>
      </c>
      <c r="D100" s="41">
        <f t="shared" si="9"/>
        <v>17110127.721004393</v>
      </c>
      <c r="E100" s="41">
        <f t="shared" si="9"/>
        <v>10241272.697133629</v>
      </c>
      <c r="F100" s="41">
        <f t="shared" si="9"/>
        <v>201286.45221115209</v>
      </c>
      <c r="G100" s="41">
        <f t="shared" si="9"/>
        <v>2341871.258316665</v>
      </c>
      <c r="H100" s="41">
        <f t="shared" si="9"/>
        <v>1387889.9049879475</v>
      </c>
      <c r="I100" s="41">
        <f t="shared" si="9"/>
        <v>1784124.9936452513</v>
      </c>
      <c r="J100" s="134">
        <f t="shared" si="10"/>
        <v>33100000</v>
      </c>
    </row>
    <row r="101" spans="2:10" x14ac:dyDescent="0.25">
      <c r="B101" s="40" t="s">
        <v>225</v>
      </c>
      <c r="C101" s="40" t="s">
        <v>232</v>
      </c>
      <c r="D101" s="41">
        <f t="shared" si="9"/>
        <v>17110127.721004393</v>
      </c>
      <c r="E101" s="41">
        <f t="shared" si="9"/>
        <v>21185184.659589048</v>
      </c>
      <c r="F101" s="41">
        <f t="shared" si="9"/>
        <v>304513.05672514054</v>
      </c>
      <c r="G101" s="41">
        <f t="shared" si="9"/>
        <v>3553330.7676892099</v>
      </c>
      <c r="H101" s="41">
        <f t="shared" si="9"/>
        <v>2108712.918335489</v>
      </c>
      <c r="I101" s="41">
        <f t="shared" si="9"/>
        <v>3085636.5562612968</v>
      </c>
      <c r="J101" s="134">
        <f t="shared" si="10"/>
        <v>47300000</v>
      </c>
    </row>
    <row r="102" spans="2:10" x14ac:dyDescent="0.25">
      <c r="B102" s="40" t="s">
        <v>223</v>
      </c>
      <c r="C102" s="40" t="s">
        <v>233</v>
      </c>
      <c r="D102" s="41">
        <f t="shared" si="9"/>
        <v>17110127.721004393</v>
      </c>
      <c r="E102" s="41">
        <f t="shared" si="9"/>
        <v>2599507.0660299966</v>
      </c>
      <c r="F102" s="41">
        <f t="shared" si="9"/>
        <v>152386.4130527245</v>
      </c>
      <c r="G102" s="41">
        <f t="shared" si="9"/>
        <v>2002929.2112330797</v>
      </c>
      <c r="H102" s="41">
        <f t="shared" si="9"/>
        <v>1028475.76807446</v>
      </c>
      <c r="I102" s="41">
        <f t="shared" si="9"/>
        <v>-606744.2675733642</v>
      </c>
      <c r="J102" s="134">
        <f t="shared" si="10"/>
        <v>22300000</v>
      </c>
    </row>
    <row r="103" spans="2:10" x14ac:dyDescent="0.25">
      <c r="B103" s="40" t="s">
        <v>224</v>
      </c>
      <c r="C103" s="40" t="s">
        <v>233</v>
      </c>
      <c r="D103" s="41">
        <f t="shared" si="9"/>
        <v>17110127.721004393</v>
      </c>
      <c r="E103" s="41">
        <f t="shared" si="9"/>
        <v>10693058.158486417</v>
      </c>
      <c r="F103" s="41">
        <f t="shared" si="9"/>
        <v>201286.45221115209</v>
      </c>
      <c r="G103" s="41">
        <f t="shared" si="9"/>
        <v>2588856.8015400646</v>
      </c>
      <c r="H103" s="41">
        <f t="shared" si="9"/>
        <v>1317496.7682605335</v>
      </c>
      <c r="I103" s="41">
        <f t="shared" si="9"/>
        <v>146316.0164488983</v>
      </c>
      <c r="J103" s="134">
        <f t="shared" si="10"/>
        <v>32100000</v>
      </c>
    </row>
    <row r="104" spans="2:10" x14ac:dyDescent="0.25">
      <c r="B104" s="40" t="s">
        <v>225</v>
      </c>
      <c r="C104" s="40" t="s">
        <v>233</v>
      </c>
      <c r="D104" s="41">
        <f t="shared" si="9"/>
        <v>17110127.721004393</v>
      </c>
      <c r="E104" s="41">
        <f t="shared" si="9"/>
        <v>21560446.129368104</v>
      </c>
      <c r="F104" s="41">
        <f t="shared" si="9"/>
        <v>304513.05672514054</v>
      </c>
      <c r="G104" s="41">
        <f t="shared" si="9"/>
        <v>3928592.2374682655</v>
      </c>
      <c r="H104" s="41">
        <f t="shared" si="9"/>
        <v>2001759.9703777449</v>
      </c>
      <c r="I104" s="41">
        <f t="shared" si="9"/>
        <v>595945.27007790084</v>
      </c>
      <c r="J104" s="134">
        <f t="shared" si="10"/>
        <v>45500000</v>
      </c>
    </row>
    <row r="105" spans="2:10" x14ac:dyDescent="0.25">
      <c r="B105" s="40" t="s">
        <v>223</v>
      </c>
      <c r="C105" s="40" t="s">
        <v>234</v>
      </c>
      <c r="D105" s="41">
        <f t="shared" si="9"/>
        <v>17110127.721004393</v>
      </c>
      <c r="E105" s="41">
        <f t="shared" si="9"/>
        <v>3072225.6056589428</v>
      </c>
      <c r="F105" s="41">
        <f t="shared" si="9"/>
        <v>152386.4130527245</v>
      </c>
      <c r="G105" s="41">
        <f t="shared" si="9"/>
        <v>2327687.8819479737</v>
      </c>
      <c r="H105" s="41">
        <f t="shared" si="9"/>
        <v>1010158.80085121</v>
      </c>
      <c r="I105" s="41">
        <f t="shared" si="9"/>
        <v>-3851278.5001914031</v>
      </c>
      <c r="J105" s="134">
        <f t="shared" si="10"/>
        <v>19800000</v>
      </c>
    </row>
    <row r="106" spans="2:10" x14ac:dyDescent="0.25">
      <c r="B106" s="40" t="s">
        <v>224</v>
      </c>
      <c r="C106" s="40" t="s">
        <v>234</v>
      </c>
      <c r="D106" s="41">
        <f t="shared" si="9"/>
        <v>17110127.721004393</v>
      </c>
      <c r="E106" s="41">
        <f t="shared" si="9"/>
        <v>11202701.219762608</v>
      </c>
      <c r="F106" s="41">
        <f t="shared" si="9"/>
        <v>201286.45221115209</v>
      </c>
      <c r="G106" s="41">
        <f t="shared" si="9"/>
        <v>3004878.7559829256</v>
      </c>
      <c r="H106" s="41">
        <f t="shared" si="9"/>
        <v>1294032.3893513952</v>
      </c>
      <c r="I106" s="41">
        <f t="shared" si="9"/>
        <v>-1937901.461972835</v>
      </c>
      <c r="J106" s="134">
        <f t="shared" si="10"/>
        <v>30900000</v>
      </c>
    </row>
    <row r="107" spans="2:10" x14ac:dyDescent="0.25">
      <c r="B107" s="40" t="s">
        <v>225</v>
      </c>
      <c r="C107" s="40" t="s">
        <v>234</v>
      </c>
      <c r="D107" s="41">
        <f t="shared" si="9"/>
        <v>17110127.721004393</v>
      </c>
      <c r="E107" s="41">
        <f t="shared" si="9"/>
        <v>22192535.797642231</v>
      </c>
      <c r="F107" s="41">
        <f t="shared" si="9"/>
        <v>304513.05672514054</v>
      </c>
      <c r="G107" s="41">
        <f t="shared" si="9"/>
        <v>4560681.905742391</v>
      </c>
      <c r="H107" s="41">
        <f t="shared" si="9"/>
        <v>1966108.9877251629</v>
      </c>
      <c r="I107" s="41">
        <f t="shared" si="9"/>
        <v>-2531828.5434568846</v>
      </c>
      <c r="J107" s="134">
        <f t="shared" si="10"/>
        <v>43600000</v>
      </c>
    </row>
    <row r="108" spans="2:10" x14ac:dyDescent="0.25"/>
    <row r="109" spans="2:10" x14ac:dyDescent="0.25">
      <c r="B109" s="2" t="s">
        <v>253</v>
      </c>
    </row>
    <row r="110" spans="2:10" x14ac:dyDescent="0.25"/>
    <row r="111" spans="2:10" x14ac:dyDescent="0.25"/>
    <row r="112" spans="2:10"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sheetData>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5"/>
  <sheetViews>
    <sheetView zoomScale="50" zoomScaleNormal="50" workbookViewId="0">
      <selection activeCell="R76" sqref="R76"/>
    </sheetView>
  </sheetViews>
  <sheetFormatPr defaultRowHeight="15.75" x14ac:dyDescent="0.25"/>
  <cols>
    <col min="1" max="1" width="9" style="3"/>
    <col min="2" max="7" width="0" style="3" hidden="1" customWidth="1"/>
    <col min="8" max="8" width="76.625" style="3" bestFit="1" customWidth="1"/>
    <col min="9" max="9" width="55.875" style="3" bestFit="1" customWidth="1"/>
    <col min="10" max="14" width="21.5" style="3" bestFit="1" customWidth="1"/>
    <col min="15" max="15" width="3.25" style="3" customWidth="1"/>
    <col min="16" max="21" width="21.5" style="3" bestFit="1" customWidth="1"/>
    <col min="22" max="22" width="3.25" style="3" customWidth="1"/>
    <col min="23" max="28" width="21.5" style="3" bestFit="1" customWidth="1"/>
    <col min="29" max="16384" width="9" style="3"/>
  </cols>
  <sheetData>
    <row r="1" spans="1:28" x14ac:dyDescent="0.25">
      <c r="A1" s="2" t="s">
        <v>472</v>
      </c>
    </row>
    <row r="2" spans="1:28" x14ac:dyDescent="0.25">
      <c r="A2" s="42" t="s">
        <v>473</v>
      </c>
    </row>
    <row r="4" spans="1:28" x14ac:dyDescent="0.25">
      <c r="H4" s="66" t="s">
        <v>465</v>
      </c>
      <c r="I4" s="67" t="s">
        <v>464</v>
      </c>
    </row>
    <row r="5" spans="1:28" x14ac:dyDescent="0.25">
      <c r="H5" s="66" t="s">
        <v>466</v>
      </c>
      <c r="I5" s="67" t="s">
        <v>461</v>
      </c>
    </row>
    <row r="6" spans="1:28" x14ac:dyDescent="0.25">
      <c r="H6" s="66" t="s">
        <v>467</v>
      </c>
      <c r="I6" s="67" t="s">
        <v>463</v>
      </c>
    </row>
    <row r="8" spans="1:28" x14ac:dyDescent="0.25">
      <c r="I8" s="297" t="s">
        <v>482</v>
      </c>
      <c r="J8" s="297" t="s">
        <v>455</v>
      </c>
      <c r="K8" s="297" t="s">
        <v>456</v>
      </c>
      <c r="L8" s="297" t="s">
        <v>457</v>
      </c>
      <c r="M8" s="297" t="s">
        <v>458</v>
      </c>
      <c r="N8" s="297" t="s">
        <v>459</v>
      </c>
      <c r="O8" s="298"/>
      <c r="P8" s="297" t="s">
        <v>454</v>
      </c>
      <c r="Q8" s="297" t="s">
        <v>455</v>
      </c>
      <c r="R8" s="297" t="s">
        <v>456</v>
      </c>
      <c r="S8" s="297" t="s">
        <v>457</v>
      </c>
      <c r="T8" s="297" t="s">
        <v>458</v>
      </c>
      <c r="U8" s="297" t="s">
        <v>459</v>
      </c>
      <c r="V8" s="298"/>
      <c r="W8" s="297" t="s">
        <v>454</v>
      </c>
      <c r="X8" s="297" t="s">
        <v>455</v>
      </c>
      <c r="Y8" s="297" t="s">
        <v>456</v>
      </c>
      <c r="Z8" s="297" t="s">
        <v>457</v>
      </c>
      <c r="AA8" s="297" t="s">
        <v>458</v>
      </c>
      <c r="AB8" s="297" t="s">
        <v>459</v>
      </c>
    </row>
    <row r="9" spans="1:28" x14ac:dyDescent="0.25">
      <c r="H9" s="66" t="s">
        <v>90</v>
      </c>
      <c r="I9" s="67" t="s">
        <v>45</v>
      </c>
      <c r="J9" s="67" t="s">
        <v>46</v>
      </c>
      <c r="K9" s="67" t="s">
        <v>46</v>
      </c>
      <c r="L9" s="67" t="s">
        <v>46</v>
      </c>
      <c r="M9" s="67" t="s">
        <v>46</v>
      </c>
      <c r="N9" s="67" t="s">
        <v>46</v>
      </c>
      <c r="O9" s="298"/>
      <c r="P9" s="129" t="str">
        <f>I9</f>
        <v>Legacy</v>
      </c>
      <c r="Q9" s="129" t="str">
        <f t="shared" ref="Q9:U9" si="0">J9</f>
        <v>Upgraded</v>
      </c>
      <c r="R9" s="129" t="str">
        <f t="shared" si="0"/>
        <v>Upgraded</v>
      </c>
      <c r="S9" s="129" t="str">
        <f t="shared" si="0"/>
        <v>Upgraded</v>
      </c>
      <c r="T9" s="129" t="str">
        <f t="shared" si="0"/>
        <v>Upgraded</v>
      </c>
      <c r="U9" s="129" t="str">
        <f t="shared" si="0"/>
        <v>Upgraded</v>
      </c>
      <c r="V9" s="298"/>
      <c r="W9" s="129" t="str">
        <f>I9</f>
        <v>Legacy</v>
      </c>
      <c r="X9" s="129" t="str">
        <f t="shared" ref="X9:AB9" si="1">J9</f>
        <v>Upgraded</v>
      </c>
      <c r="Y9" s="129" t="str">
        <f t="shared" si="1"/>
        <v>Upgraded</v>
      </c>
      <c r="Z9" s="129" t="str">
        <f t="shared" si="1"/>
        <v>Upgraded</v>
      </c>
      <c r="AA9" s="129" t="str">
        <f t="shared" si="1"/>
        <v>Upgraded</v>
      </c>
      <c r="AB9" s="129" t="str">
        <f t="shared" si="1"/>
        <v>Upgraded</v>
      </c>
    </row>
    <row r="10" spans="1:28" ht="18" x14ac:dyDescent="0.25">
      <c r="H10" s="66" t="s">
        <v>488</v>
      </c>
      <c r="I10" s="67" t="s">
        <v>130</v>
      </c>
      <c r="J10" s="67" t="s">
        <v>130</v>
      </c>
      <c r="K10" s="67" t="s">
        <v>130</v>
      </c>
      <c r="L10" s="67" t="s">
        <v>130</v>
      </c>
      <c r="M10" s="67" t="s">
        <v>136</v>
      </c>
      <c r="N10" s="67" t="s">
        <v>140</v>
      </c>
      <c r="O10" s="298"/>
      <c r="P10" s="129" t="str">
        <f t="shared" ref="P10:P14" si="2">I10</f>
        <v>Base</v>
      </c>
      <c r="Q10" s="129" t="str">
        <f t="shared" ref="Q10:Q14" si="3">J10</f>
        <v>Base</v>
      </c>
      <c r="R10" s="129" t="str">
        <f t="shared" ref="R10:R14" si="4">K10</f>
        <v>Base</v>
      </c>
      <c r="S10" s="129" t="str">
        <f t="shared" ref="S10:S14" si="5">L10</f>
        <v>Base</v>
      </c>
      <c r="T10" s="129" t="str">
        <f t="shared" ref="T10:T14" si="6">M10</f>
        <v>Medium_Base</v>
      </c>
      <c r="U10" s="129" t="str">
        <f t="shared" ref="U10:U14" si="7">N10</f>
        <v>High_High</v>
      </c>
      <c r="V10" s="298"/>
      <c r="W10" s="129" t="str">
        <f t="shared" ref="W10:W14" si="8">I10</f>
        <v>Base</v>
      </c>
      <c r="X10" s="129" t="str">
        <f t="shared" ref="X10:X14" si="9">J10</f>
        <v>Base</v>
      </c>
      <c r="Y10" s="129" t="str">
        <f t="shared" ref="Y10:Y14" si="10">K10</f>
        <v>Base</v>
      </c>
      <c r="Z10" s="129" t="str">
        <f t="shared" ref="Z10:Z14" si="11">L10</f>
        <v>Base</v>
      </c>
      <c r="AA10" s="129" t="str">
        <f t="shared" ref="AA10:AA14" si="12">M10</f>
        <v>Medium_Base</v>
      </c>
      <c r="AB10" s="129" t="str">
        <f t="shared" ref="AB10:AB14" si="13">N10</f>
        <v>High_High</v>
      </c>
    </row>
    <row r="11" spans="1:28" x14ac:dyDescent="0.25">
      <c r="H11" s="66" t="s">
        <v>422</v>
      </c>
      <c r="I11" s="67" t="s">
        <v>181</v>
      </c>
      <c r="J11" s="67" t="s">
        <v>181</v>
      </c>
      <c r="K11" s="67" t="s">
        <v>130</v>
      </c>
      <c r="L11" s="67" t="s">
        <v>130</v>
      </c>
      <c r="M11" s="67" t="s">
        <v>130</v>
      </c>
      <c r="N11" s="67" t="s">
        <v>130</v>
      </c>
      <c r="O11" s="298"/>
      <c r="P11" s="129" t="str">
        <f t="shared" si="2"/>
        <v>High</v>
      </c>
      <c r="Q11" s="129" t="str">
        <f t="shared" si="3"/>
        <v>High</v>
      </c>
      <c r="R11" s="129" t="str">
        <f t="shared" si="4"/>
        <v>Base</v>
      </c>
      <c r="S11" s="129" t="str">
        <f t="shared" si="5"/>
        <v>Base</v>
      </c>
      <c r="T11" s="129" t="str">
        <f t="shared" si="6"/>
        <v>Base</v>
      </c>
      <c r="U11" s="129" t="str">
        <f t="shared" si="7"/>
        <v>Base</v>
      </c>
      <c r="V11" s="298"/>
      <c r="W11" s="129" t="str">
        <f t="shared" si="8"/>
        <v>High</v>
      </c>
      <c r="X11" s="129" t="str">
        <f t="shared" si="9"/>
        <v>High</v>
      </c>
      <c r="Y11" s="129" t="str">
        <f t="shared" si="10"/>
        <v>Base</v>
      </c>
      <c r="Z11" s="129" t="str">
        <f t="shared" si="11"/>
        <v>Base</v>
      </c>
      <c r="AA11" s="129" t="str">
        <f t="shared" si="12"/>
        <v>Base</v>
      </c>
      <c r="AB11" s="129" t="str">
        <f t="shared" si="13"/>
        <v>Base</v>
      </c>
    </row>
    <row r="12" spans="1:28" ht="18" x14ac:dyDescent="0.25">
      <c r="H12" s="66" t="s">
        <v>485</v>
      </c>
      <c r="I12" s="67" t="s">
        <v>483</v>
      </c>
      <c r="J12" s="67" t="s">
        <v>424</v>
      </c>
      <c r="K12" s="67" t="s">
        <v>424</v>
      </c>
      <c r="L12" s="67" t="s">
        <v>424</v>
      </c>
      <c r="M12" s="67" t="s">
        <v>424</v>
      </c>
      <c r="N12" s="67" t="s">
        <v>424</v>
      </c>
      <c r="O12" s="298"/>
      <c r="P12" s="129" t="str">
        <f t="shared" si="2"/>
        <v>n.a. (legacy)</v>
      </c>
      <c r="Q12" s="129" t="str">
        <f t="shared" si="3"/>
        <v>Base_With Amendment</v>
      </c>
      <c r="R12" s="129" t="str">
        <f t="shared" si="4"/>
        <v>Base_With Amendment</v>
      </c>
      <c r="S12" s="129" t="str">
        <f t="shared" si="5"/>
        <v>Base_With Amendment</v>
      </c>
      <c r="T12" s="129" t="str">
        <f t="shared" si="6"/>
        <v>Base_With Amendment</v>
      </c>
      <c r="U12" s="129" t="str">
        <f t="shared" si="7"/>
        <v>Base_With Amendment</v>
      </c>
      <c r="V12" s="298"/>
      <c r="W12" s="129" t="str">
        <f t="shared" si="8"/>
        <v>n.a. (legacy)</v>
      </c>
      <c r="X12" s="129" t="str">
        <f t="shared" si="9"/>
        <v>Base_With Amendment</v>
      </c>
      <c r="Y12" s="129" t="str">
        <f t="shared" si="10"/>
        <v>Base_With Amendment</v>
      </c>
      <c r="Z12" s="129" t="str">
        <f t="shared" si="11"/>
        <v>Base_With Amendment</v>
      </c>
      <c r="AA12" s="129" t="str">
        <f t="shared" si="12"/>
        <v>Base_With Amendment</v>
      </c>
      <c r="AB12" s="129" t="str">
        <f t="shared" si="13"/>
        <v>Base_With Amendment</v>
      </c>
    </row>
    <row r="13" spans="1:28" ht="18" x14ac:dyDescent="0.25">
      <c r="H13" s="66" t="s">
        <v>486</v>
      </c>
      <c r="I13" s="67" t="s">
        <v>428</v>
      </c>
      <c r="J13" s="67" t="s">
        <v>484</v>
      </c>
      <c r="K13" s="67" t="s">
        <v>484</v>
      </c>
      <c r="L13" s="67" t="s">
        <v>484</v>
      </c>
      <c r="M13" s="67" t="s">
        <v>484</v>
      </c>
      <c r="N13" s="67" t="s">
        <v>484</v>
      </c>
      <c r="O13" s="298"/>
      <c r="P13" s="129" t="str">
        <f t="shared" si="2"/>
        <v>Landfill National</v>
      </c>
      <c r="Q13" s="129" t="str">
        <f t="shared" si="3"/>
        <v>n.a. (upgraded)</v>
      </c>
      <c r="R13" s="129" t="str">
        <f t="shared" si="4"/>
        <v>n.a. (upgraded)</v>
      </c>
      <c r="S13" s="129" t="str">
        <f t="shared" si="5"/>
        <v>n.a. (upgraded)</v>
      </c>
      <c r="T13" s="129" t="str">
        <f t="shared" si="6"/>
        <v>n.a. (upgraded)</v>
      </c>
      <c r="U13" s="129" t="str">
        <f t="shared" si="7"/>
        <v>n.a. (upgraded)</v>
      </c>
      <c r="V13" s="298"/>
      <c r="W13" s="129" t="str">
        <f t="shared" si="8"/>
        <v>Landfill National</v>
      </c>
      <c r="X13" s="129" t="str">
        <f t="shared" si="9"/>
        <v>n.a. (upgraded)</v>
      </c>
      <c r="Y13" s="129" t="str">
        <f t="shared" si="10"/>
        <v>n.a. (upgraded)</v>
      </c>
      <c r="Z13" s="129" t="str">
        <f t="shared" si="11"/>
        <v>n.a. (upgraded)</v>
      </c>
      <c r="AA13" s="129" t="str">
        <f t="shared" si="12"/>
        <v>n.a. (upgraded)</v>
      </c>
      <c r="AB13" s="129" t="str">
        <f t="shared" si="13"/>
        <v>n.a. (upgraded)</v>
      </c>
    </row>
    <row r="14" spans="1:28" ht="18" x14ac:dyDescent="0.25">
      <c r="H14" s="66" t="s">
        <v>487</v>
      </c>
      <c r="I14" s="67" t="s">
        <v>483</v>
      </c>
      <c r="J14" s="67" t="s">
        <v>430</v>
      </c>
      <c r="K14" s="67" t="s">
        <v>430</v>
      </c>
      <c r="L14" s="67" t="s">
        <v>431</v>
      </c>
      <c r="M14" s="67" t="s">
        <v>431</v>
      </c>
      <c r="N14" s="67" t="s">
        <v>431</v>
      </c>
      <c r="O14" s="298"/>
      <c r="P14" s="129" t="str">
        <f t="shared" si="2"/>
        <v>n.a. (legacy)</v>
      </c>
      <c r="Q14" s="129" t="str">
        <f t="shared" si="3"/>
        <v>Windrow</v>
      </c>
      <c r="R14" s="129" t="str">
        <f t="shared" si="4"/>
        <v>Windrow</v>
      </c>
      <c r="S14" s="129" t="str">
        <f t="shared" si="5"/>
        <v>Aerated Static Pile</v>
      </c>
      <c r="T14" s="129" t="str">
        <f t="shared" si="6"/>
        <v>Aerated Static Pile</v>
      </c>
      <c r="U14" s="129" t="str">
        <f t="shared" si="7"/>
        <v>Aerated Static Pile</v>
      </c>
      <c r="V14" s="298"/>
      <c r="W14" s="129" t="str">
        <f t="shared" si="8"/>
        <v>n.a. (legacy)</v>
      </c>
      <c r="X14" s="129" t="str">
        <f t="shared" si="9"/>
        <v>Windrow</v>
      </c>
      <c r="Y14" s="129" t="str">
        <f t="shared" si="10"/>
        <v>Windrow</v>
      </c>
      <c r="Z14" s="129" t="str">
        <f t="shared" si="11"/>
        <v>Aerated Static Pile</v>
      </c>
      <c r="AA14" s="129" t="str">
        <f t="shared" si="12"/>
        <v>Aerated Static Pile</v>
      </c>
      <c r="AB14" s="129" t="str">
        <f t="shared" si="13"/>
        <v>Aerated Static Pile</v>
      </c>
    </row>
    <row r="15" spans="1:28" ht="18" x14ac:dyDescent="0.25">
      <c r="H15" s="310" t="s">
        <v>489</v>
      </c>
      <c r="I15" s="269"/>
      <c r="J15" s="269"/>
      <c r="K15" s="269"/>
      <c r="L15" s="269"/>
      <c r="M15" s="269"/>
      <c r="N15" s="269"/>
      <c r="P15" s="269"/>
      <c r="Q15" s="269"/>
      <c r="R15" s="269"/>
      <c r="S15" s="269"/>
      <c r="T15" s="269"/>
      <c r="U15" s="269"/>
      <c r="W15" s="269"/>
      <c r="X15" s="269"/>
      <c r="Y15" s="269"/>
      <c r="Z15" s="269"/>
      <c r="AA15" s="269"/>
      <c r="AB15" s="269"/>
    </row>
    <row r="16" spans="1:28" ht="18" x14ac:dyDescent="0.25">
      <c r="H16" s="311" t="s">
        <v>490</v>
      </c>
      <c r="I16" s="269"/>
      <c r="J16" s="269"/>
      <c r="K16" s="269"/>
      <c r="L16" s="269"/>
      <c r="M16" s="269"/>
      <c r="N16" s="269"/>
      <c r="P16" s="269"/>
      <c r="Q16" s="269"/>
      <c r="R16" s="269"/>
      <c r="S16" s="269"/>
      <c r="T16" s="269"/>
      <c r="U16" s="269"/>
      <c r="W16" s="269"/>
      <c r="X16" s="269"/>
      <c r="Y16" s="269"/>
      <c r="Z16" s="269"/>
      <c r="AA16" s="269"/>
      <c r="AB16" s="269"/>
    </row>
    <row r="17" spans="2:28" ht="18" x14ac:dyDescent="0.25">
      <c r="H17" s="311" t="s">
        <v>491</v>
      </c>
      <c r="I17" s="269"/>
      <c r="J17" s="269"/>
      <c r="K17" s="269"/>
      <c r="L17" s="269"/>
      <c r="M17" s="269"/>
      <c r="N17" s="269"/>
      <c r="P17" s="269"/>
      <c r="Q17" s="269"/>
      <c r="R17" s="269"/>
      <c r="S17" s="269"/>
      <c r="T17" s="269"/>
      <c r="U17" s="269"/>
      <c r="W17" s="269"/>
      <c r="X17" s="269"/>
      <c r="Y17" s="269"/>
      <c r="Z17" s="269"/>
      <c r="AA17" s="269"/>
      <c r="AB17" s="269"/>
    </row>
    <row r="18" spans="2:28" x14ac:dyDescent="0.25">
      <c r="H18" s="268"/>
      <c r="I18" s="269"/>
      <c r="J18" s="269"/>
      <c r="K18" s="269"/>
      <c r="L18" s="269"/>
      <c r="M18" s="269"/>
      <c r="N18" s="269"/>
    </row>
    <row r="19" spans="2:28" x14ac:dyDescent="0.25">
      <c r="H19" s="5" t="s">
        <v>460</v>
      </c>
      <c r="I19" s="343" t="s">
        <v>468</v>
      </c>
      <c r="J19" s="344"/>
      <c r="K19" s="344"/>
      <c r="L19" s="344"/>
      <c r="M19" s="344"/>
      <c r="N19" s="345"/>
      <c r="O19" s="298"/>
      <c r="P19" s="343" t="s">
        <v>468</v>
      </c>
      <c r="Q19" s="344"/>
      <c r="R19" s="344"/>
      <c r="S19" s="344"/>
      <c r="T19" s="344"/>
      <c r="U19" s="345"/>
      <c r="V19" s="298"/>
      <c r="W19" s="343" t="s">
        <v>468</v>
      </c>
      <c r="X19" s="344"/>
      <c r="Y19" s="344"/>
      <c r="Z19" s="344"/>
      <c r="AA19" s="344"/>
      <c r="AB19" s="345"/>
    </row>
    <row r="20" spans="2:28" x14ac:dyDescent="0.25">
      <c r="B20" s="99" t="str">
        <f>$H20</f>
        <v>Wastewater collection; operation and infrastructure; m3 wastewater</v>
      </c>
      <c r="C20" s="99" t="str">
        <f t="shared" ref="C20:G35" si="14">$H20</f>
        <v>Wastewater collection; operation and infrastructure; m3 wastewater</v>
      </c>
      <c r="D20" s="99" t="str">
        <f t="shared" si="14"/>
        <v>Wastewater collection; operation and infrastructure; m3 wastewater</v>
      </c>
      <c r="E20" s="99" t="str">
        <f t="shared" si="14"/>
        <v>Wastewater collection; operation and infrastructure; m3 wastewater</v>
      </c>
      <c r="F20" s="99" t="str">
        <f t="shared" si="14"/>
        <v>Wastewater collection; operation and infrastructure; m3 wastewater</v>
      </c>
      <c r="G20" s="99" t="str">
        <f t="shared" si="14"/>
        <v>Wastewater collection; operation and infrastructure; m3 wastewater</v>
      </c>
      <c r="H20" s="271" t="str">
        <f>LookUps!$G$5</f>
        <v>Wastewater collection; operation and infrastructure; m3 wastewater</v>
      </c>
      <c r="I20" s="301">
        <f>IF(AND(I$9="Legacy",B20=B$38,OR(I$11="Low",I$11="High")),
INDEX(OpenLCAbasic!$J:$J,MATCH(CONCATENATE(I$10,"_","Base","_","Legacy_",$I$4,"_",B20,"_",I$13,"_n.a."),OpenLCAbasic!$M:$M,0)),
IF(AND(I$9="Legacy",ISERROR(MATCH(B20,LookUps!$H$5:$H$20,0))),"--",
IF(I$9="Legacy",SUMIFS(OpenLCAbasic!$J:$J,OpenLCAbasic!$E:$E,"Base",OpenLCAbasic!$D:$D,"Base",OpenLCAbasic!$F:$F,I$9,OpenLCAbasic!$L:$L,$I$4,OpenLCAbasic!$I:$I,B20,OpenLCAbasic!$C:$C,I$13),
IF(AND(I$9="Upgraded", OR(I$11="Low", I$11="High"), OR(B20=B$37, B20=B$36)),
INDEX(OpenLCAbasic!$J:$J, MATCH(CONCATENATE(I$11, "_", I$10, "_", "Upgraded_",$I$4,"_",B20, "_", I$12, "_", I$14), OpenLCAbasic!$M:$M,0)),
IF(AND(ISERROR(MATCH(B20, LookUps!$G$5:$G$21,0)), I$9="Upgraded"),
SUMIFS(OpenLCAbasic!$J:$J,OpenLCAbasic!$E:$E, I$11, OpenLCAbasic!$D:$D, I$10, OpenLCAbasic!$F:$F,I$9,OpenLCAbasic!$L:$L,$I$4,OpenLCAbasic!$I:$I,INDEX(LookUps!$G$5:$G$21,MATCH(B20, LookUps!$J$5:$J$21,0)), OpenLCAbasic!$B:$B, I$14, OpenLCAbasic!$C:$C, I$12),
SUMIFS(OpenLCAbasic!$J:$J,OpenLCAbasic!$E:$E, I$11, OpenLCAbasic!$D:$D, I$10, OpenLCAbasic!$F:$F,I$9,OpenLCAbasic!$L:$L,$I$4,OpenLCAbasic!$I:$I,B20, OpenLCAbasic!$B:$B, I$14, OpenLCAbasic!$C:$C, I$12)
)))))</f>
        <v>0.25606000000000001</v>
      </c>
      <c r="J20" s="301">
        <f>IF(AND(J$9="Legacy",C20=C$38,OR(J$11="Low",J$11="High")),
INDEX(OpenLCAbasic!$J:$J,MATCH(CONCATENATE(J$10,"_","Base","_","Legacy_",$I$4,"_",C20,"_",J$13,"_n.a."),OpenLCAbasic!$M:$M,0)),
IF(AND(J$9="Legacy",ISERROR(MATCH(C20,LookUps!$H$5:$H$20,0))),"--",
IF(J$9="Legacy",SUMIFS(OpenLCAbasic!$J:$J,OpenLCAbasic!$E:$E,"Base",OpenLCAbasic!$D:$D,"Base",OpenLCAbasic!$F:$F,J$9,OpenLCAbasic!$L:$L,$I$4,OpenLCAbasic!$I:$I,C20,OpenLCAbasic!$C:$C,J$13),
IF(AND(J$9="Upgraded", OR(J$11="Low", J$11="High"), OR(C20=C$37, C20=C$36)),
INDEX(OpenLCAbasic!$J:$J, MATCH(CONCATENATE(J$11, "_", J$10, "_", "Upgraded_",$I$4,"_",C20, "_", J$12, "_", J$14), OpenLCAbasic!$M:$M,0)),
IF(AND(ISERROR(MATCH(C20, LookUps!$G$5:$G$21,0)), J$9="Upgraded"),
SUMIFS(OpenLCAbasic!$J:$J,OpenLCAbasic!$E:$E, J$11, OpenLCAbasic!$D:$D, J$10, OpenLCAbasic!$F:$F,J$9,OpenLCAbasic!$L:$L,$I$4,OpenLCAbasic!$I:$I,INDEX(LookUps!$G$5:$G$21,MATCH(C20, LookUps!$J$5:$J$21,0)), OpenLCAbasic!$B:$B, J$14, OpenLCAbasic!$C:$C, J$12),
SUMIFS(OpenLCAbasic!$J:$J,OpenLCAbasic!$E:$E, J$11, OpenLCAbasic!$D:$D, J$10, OpenLCAbasic!$F:$F,J$9,OpenLCAbasic!$L:$L,$I$4,OpenLCAbasic!$I:$I,C20, OpenLCAbasic!$B:$B, J$14, OpenLCAbasic!$C:$C, J$12)
)))))</f>
        <v>0.25606000000000001</v>
      </c>
      <c r="K20" s="301">
        <f>IF(AND(K$9="Legacy",D20=D$38,OR(K$11="Low",K$11="High")),
INDEX(OpenLCAbasic!$J:$J,MATCH(CONCATENATE(K$10,"_","Base","_","Legacy_",$I$4,"_",D20,"_",K$13,"_n.a."),OpenLCAbasic!$M:$M,0)),
IF(AND(K$9="Legacy",ISERROR(MATCH(D20,LookUps!$H$5:$H$20,0))),"--",
IF(K$9="Legacy",SUMIFS(OpenLCAbasic!$J:$J,OpenLCAbasic!$E:$E,"Base",OpenLCAbasic!$D:$D,"Base",OpenLCAbasic!$F:$F,K$9,OpenLCAbasic!$L:$L,$I$4,OpenLCAbasic!$I:$I,D20,OpenLCAbasic!$C:$C,K$13),
IF(AND(K$9="Upgraded", OR(K$11="Low", K$11="High"), OR(D20=D$37, D20=D$36)),
INDEX(OpenLCAbasic!$J:$J, MATCH(CONCATENATE(K$11, "_", K$10, "_", "Upgraded_",$I$4,"_",D20, "_", K$12, "_", K$14), OpenLCAbasic!$M:$M,0)),
IF(AND(ISERROR(MATCH(D20, LookUps!$G$5:$G$21,0)), K$9="Upgraded"),
SUMIFS(OpenLCAbasic!$J:$J,OpenLCAbasic!$E:$E, K$11, OpenLCAbasic!$D:$D, K$10, OpenLCAbasic!$F:$F,K$9,OpenLCAbasic!$L:$L,$I$4,OpenLCAbasic!$I:$I,INDEX(LookUps!$G$5:$G$21,MATCH(D20, LookUps!$J$5:$J$21,0)), OpenLCAbasic!$B:$B, K$14, OpenLCAbasic!$C:$C, K$12),
SUMIFS(OpenLCAbasic!$J:$J,OpenLCAbasic!$E:$E, K$11, OpenLCAbasic!$D:$D, K$10, OpenLCAbasic!$F:$F,K$9,OpenLCAbasic!$L:$L,$I$4,OpenLCAbasic!$I:$I,D20, OpenLCAbasic!$B:$B, K$14, OpenLCAbasic!$C:$C, K$12)
)))))</f>
        <v>0.25606000000000001</v>
      </c>
      <c r="L20" s="301">
        <f>IF(AND(L$9="Legacy",E20=E$38,OR(L$11="Low",L$11="High")),
INDEX(OpenLCAbasic!$J:$J,MATCH(CONCATENATE(L$10,"_","Base","_","Legacy_",$I$4,"_",E20,"_",L$13,"_n.a."),OpenLCAbasic!$M:$M,0)),
IF(AND(L$9="Legacy",ISERROR(MATCH(E20,LookUps!$H$5:$H$20,0))),"--",
IF(L$9="Legacy",SUMIFS(OpenLCAbasic!$J:$J,OpenLCAbasic!$E:$E,"Base",OpenLCAbasic!$D:$D,"Base",OpenLCAbasic!$F:$F,L$9,OpenLCAbasic!$L:$L,$I$4,OpenLCAbasic!$I:$I,E20,OpenLCAbasic!$C:$C,L$13),
IF(AND(L$9="Upgraded", OR(L$11="Low", L$11="High"), OR(E20=E$37, E20=E$36)),
INDEX(OpenLCAbasic!$J:$J, MATCH(CONCATENATE(L$11, "_", L$10, "_", "Upgraded_",$I$4,"_",E20, "_", L$12, "_", L$14), OpenLCAbasic!$M:$M,0)),
IF(AND(ISERROR(MATCH(E20, LookUps!$G$5:$G$21,0)), L$9="Upgraded"),
SUMIFS(OpenLCAbasic!$J:$J,OpenLCAbasic!$E:$E, L$11, OpenLCAbasic!$D:$D, L$10, OpenLCAbasic!$F:$F,L$9,OpenLCAbasic!$L:$L,$I$4,OpenLCAbasic!$I:$I,INDEX(LookUps!$G$5:$G$21,MATCH(E20, LookUps!$J$5:$J$21,0)), OpenLCAbasic!$B:$B, L$14, OpenLCAbasic!$C:$C, L$12),
SUMIFS(OpenLCAbasic!$J:$J,OpenLCAbasic!$E:$E, L$11, OpenLCAbasic!$D:$D, L$10, OpenLCAbasic!$F:$F,L$9,OpenLCAbasic!$L:$L,$I$4,OpenLCAbasic!$I:$I,E20, OpenLCAbasic!$B:$B, L$14, OpenLCAbasic!$C:$C, L$12)
)))))</f>
        <v>0.25606000000000001</v>
      </c>
      <c r="M20" s="301">
        <f>IF(AND(M$9="Legacy",F20=F$38,OR(M$11="Low",M$11="High")),
INDEX(OpenLCAbasic!$J:$J,MATCH(CONCATENATE(M$10,"_","Base","_","Legacy_",$I$4,"_",F20,"_",M$13,"_n.a."),OpenLCAbasic!$M:$M,0)),
IF(AND(M$9="Legacy",ISERROR(MATCH(F20,LookUps!$H$5:$H$20,0))),"--",
IF(M$9="Legacy",SUMIFS(OpenLCAbasic!$J:$J,OpenLCAbasic!$E:$E,"Base",OpenLCAbasic!$D:$D,"Base",OpenLCAbasic!$F:$F,M$9,OpenLCAbasic!$L:$L,$I$4,OpenLCAbasic!$I:$I,F20,OpenLCAbasic!$C:$C,M$13),
IF(AND(M$9="Upgraded", OR(M$11="Low", M$11="High"), OR(F20=F$37, F20=F$36)),
INDEX(OpenLCAbasic!$J:$J, MATCH(CONCATENATE(M$11, "_", M$10, "_", "Upgraded_",$I$4,"_",F20, "_", M$12, "_", M$14), OpenLCAbasic!$M:$M,0)),
IF(AND(ISERROR(MATCH(F20, LookUps!$G$5:$G$21,0)), M$9="Upgraded"),
SUMIFS(OpenLCAbasic!$J:$J,OpenLCAbasic!$E:$E, M$11, OpenLCAbasic!$D:$D, M$10, OpenLCAbasic!$F:$F,M$9,OpenLCAbasic!$L:$L,$I$4,OpenLCAbasic!$I:$I,INDEX(LookUps!$G$5:$G$21,MATCH(F20, LookUps!$J$5:$J$21,0)), OpenLCAbasic!$B:$B, M$14, OpenLCAbasic!$C:$C, M$12),
SUMIFS(OpenLCAbasic!$J:$J,OpenLCAbasic!$E:$E, M$11, OpenLCAbasic!$D:$D, M$10, OpenLCAbasic!$F:$F,M$9,OpenLCAbasic!$L:$L,$I$4,OpenLCAbasic!$I:$I,F20, OpenLCAbasic!$B:$B, M$14, OpenLCAbasic!$C:$C, M$12)
)))))</f>
        <v>0.25606000000000001</v>
      </c>
      <c r="N20" s="301">
        <f>IF(AND(N$9="Legacy",G20=G$38,OR(N$11="Low",N$11="High")),
INDEX(OpenLCAbasic!$J:$J,MATCH(CONCATENATE(N$10,"_","Base","_","Legacy_",$I$4,"_",G20,"_",N$13,"_n.a."),OpenLCAbasic!$M:$M,0)),
IF(AND(N$9="Legacy",ISERROR(MATCH(G20,LookUps!$H$5:$H$20,0))),"--",
IF(N$9="Legacy",SUMIFS(OpenLCAbasic!$J:$J,OpenLCAbasic!$E:$E,"Base",OpenLCAbasic!$D:$D,"Base",OpenLCAbasic!$F:$F,N$9,OpenLCAbasic!$L:$L,$I$4,OpenLCAbasic!$I:$I,G20,OpenLCAbasic!$C:$C,N$13),
IF(AND(N$9="Upgraded", OR(N$11="Low", N$11="High"), OR(G20=G$37, G20=G$36)),
INDEX(OpenLCAbasic!$J:$J, MATCH(CONCATENATE(N$11, "_", N$10, "_", "Upgraded_",$I$4,"_",G20, "_", N$12, "_", N$14), OpenLCAbasic!$M:$M,0)),
IF(AND(ISERROR(MATCH(G20, LookUps!$G$5:$G$21,0)), N$9="Upgraded"),
SUMIFS(OpenLCAbasic!$J:$J,OpenLCAbasic!$E:$E, N$11, OpenLCAbasic!$D:$D, N$10, OpenLCAbasic!$F:$F,N$9,OpenLCAbasic!$L:$L,$I$4,OpenLCAbasic!$I:$I,INDEX(LookUps!$G$5:$G$21,MATCH(G20, LookUps!$J$5:$J$21,0)), OpenLCAbasic!$B:$B, N$14, OpenLCAbasic!$C:$C, N$12),
SUMIFS(OpenLCAbasic!$J:$J,OpenLCAbasic!$E:$E, N$11, OpenLCAbasic!$D:$D, N$10, OpenLCAbasic!$F:$F,N$9,OpenLCAbasic!$L:$L,$I$4,OpenLCAbasic!$I:$I,G20, OpenLCAbasic!$B:$B, N$14, OpenLCAbasic!$C:$C, N$12)
)))))</f>
        <v>0.25606000000000001</v>
      </c>
      <c r="O20" s="302"/>
      <c r="P20" s="301">
        <f>IF(AND(P$9="Legacy",B20=B$38,OR(P$11="Low",P$11="High")),
INDEX(OpenLCAbasic!$J:$J,MATCH(CONCATENATE(P$10,"_","Base","_","Legacy_",$I$5,"_",B20,"_",P$13,"_n.a."),OpenLCAbasic!$M:$M,0)),
IF(AND(P$9="Legacy",ISERROR(MATCH(B20,LookUps!$H$5:$H$20,0))),"--",
IF(P$9="Legacy",SUMIFS(OpenLCAbasic!$J:$J,OpenLCAbasic!$E:$E,"Base",OpenLCAbasic!$D:$D,"Base",OpenLCAbasic!$F:$F,P$9,OpenLCAbasic!$L:$L,$I$5,OpenLCAbasic!$I:$I,B20,OpenLCAbasic!$C:$C,P$13),
IF(AND(P$9="Upgraded", OR(P$11="Low", P$11="High"), OR(B20=B$37, B20=B$36)),
INDEX(OpenLCAbasic!$J:$J, MATCH(CONCATENATE(P$11, "_", P$10, "_", "Upgraded_",$I$5,"_",B20, "_", P$12, "_", P$14), OpenLCAbasic!$M:$M,0)),
IF(AND(ISERROR(MATCH(B20, LookUps!$G$5:$G$21,0)), P$9="Upgraded"),
SUMIFS(OpenLCAbasic!$J:$J,OpenLCAbasic!$E:$E, P$11, OpenLCAbasic!$D:$D, P$10, OpenLCAbasic!$F:$F,P$9,OpenLCAbasic!$L:$L,$I$5,OpenLCAbasic!$I:$I,INDEX(LookUps!$G$5:$G$21,MATCH(B20, LookUps!$J$5:$J$21,0)), OpenLCAbasic!$B:$B, P$14, OpenLCAbasic!$C:$C, P$12),
SUMIFS(OpenLCAbasic!$J:$J,OpenLCAbasic!$E:$E, P$11, OpenLCAbasic!$D:$D, P$10, OpenLCAbasic!$F:$F,P$9,OpenLCAbasic!$L:$L,$I$5,OpenLCAbasic!$I:$I,B20, OpenLCAbasic!$B:$B, P$14, OpenLCAbasic!$C:$C, P$12)
)))))</f>
        <v>1.3509999999999999E-2</v>
      </c>
      <c r="Q20" s="301">
        <f>IF(AND(Q$9="Legacy",C20=C$38,OR(Q$11="Low",Q$11="High")),
INDEX(OpenLCAbasic!$J:$J,MATCH(CONCATENATE(Q$10,"_","Base","_","Legacy_",$I$5,"_",C20,"_",Q$13,"_n.a."),OpenLCAbasic!$M:$M,0)),
IF(AND(Q$9="Legacy",ISERROR(MATCH(C20,LookUps!$H$5:$H$20,0))),"--",
IF(Q$9="Legacy",SUMIFS(OpenLCAbasic!$J:$J,OpenLCAbasic!$E:$E,"Base",OpenLCAbasic!$D:$D,"Base",OpenLCAbasic!$F:$F,Q$9,OpenLCAbasic!$L:$L,$I$5,OpenLCAbasic!$I:$I,C20,OpenLCAbasic!$C:$C,Q$13),
IF(AND(Q$9="Upgraded", OR(Q$11="Low", Q$11="High"), OR(C20=C$37, C20=C$36)),
INDEX(OpenLCAbasic!$J:$J, MATCH(CONCATENATE(Q$11, "_", Q$10, "_", "Upgraded_",$I$5,"_",C20, "_", Q$12, "_", Q$14), OpenLCAbasic!$M:$M,0)),
IF(AND(ISERROR(MATCH(C20, LookUps!$G$5:$G$21,0)), Q$9="Upgraded"),
SUMIFS(OpenLCAbasic!$J:$J,OpenLCAbasic!$E:$E, Q$11, OpenLCAbasic!$D:$D, Q$10, OpenLCAbasic!$F:$F,Q$9,OpenLCAbasic!$L:$L,$I$5,OpenLCAbasic!$I:$I,INDEX(LookUps!$G$5:$G$21,MATCH(C20, LookUps!$J$5:$J$21,0)), OpenLCAbasic!$B:$B, Q$14, OpenLCAbasic!$C:$C, Q$12),
SUMIFS(OpenLCAbasic!$J:$J,OpenLCAbasic!$E:$E, Q$11, OpenLCAbasic!$D:$D, Q$10, OpenLCAbasic!$F:$F,Q$9,OpenLCAbasic!$L:$L,$I$5,OpenLCAbasic!$I:$I,C20, OpenLCAbasic!$B:$B, Q$14, OpenLCAbasic!$C:$C, Q$12)
)))))</f>
        <v>1.3509999999999999E-2</v>
      </c>
      <c r="R20" s="301">
        <f>IF(AND(R$9="Legacy",D20=D$38,OR(R$11="Low",R$11="High")),
INDEX(OpenLCAbasic!$J:$J,MATCH(CONCATENATE(R$10,"_","Base","_","Legacy_",$I$5,"_",D20,"_",R$13,"_n.a."),OpenLCAbasic!$M:$M,0)),
IF(AND(R$9="Legacy",ISERROR(MATCH(D20,LookUps!$H$5:$H$20,0))),"--",
IF(R$9="Legacy",SUMIFS(OpenLCAbasic!$J:$J,OpenLCAbasic!$E:$E,"Base",OpenLCAbasic!$D:$D,"Base",OpenLCAbasic!$F:$F,R$9,OpenLCAbasic!$L:$L,$I$5,OpenLCAbasic!$I:$I,D20,OpenLCAbasic!$C:$C,R$13),
IF(AND(R$9="Upgraded", OR(R$11="Low", R$11="High"), OR(D20=D$37, D20=D$36)),
INDEX(OpenLCAbasic!$J:$J, MATCH(CONCATENATE(R$11, "_", R$10, "_", "Upgraded_",$I$5,"_",D20, "_", R$12, "_", R$14), OpenLCAbasic!$M:$M,0)),
IF(AND(ISERROR(MATCH(D20, LookUps!$G$5:$G$21,0)), R$9="Upgraded"),
SUMIFS(OpenLCAbasic!$J:$J,OpenLCAbasic!$E:$E, R$11, OpenLCAbasic!$D:$D, R$10, OpenLCAbasic!$F:$F,R$9,OpenLCAbasic!$L:$L,$I$5,OpenLCAbasic!$I:$I,INDEX(LookUps!$G$5:$G$21,MATCH(D20, LookUps!$J$5:$J$21,0)), OpenLCAbasic!$B:$B, R$14, OpenLCAbasic!$C:$C, R$12),
SUMIFS(OpenLCAbasic!$J:$J,OpenLCAbasic!$E:$E, R$11, OpenLCAbasic!$D:$D, R$10, OpenLCAbasic!$F:$F,R$9,OpenLCAbasic!$L:$L,$I$5,OpenLCAbasic!$I:$I,D20, OpenLCAbasic!$B:$B, R$14, OpenLCAbasic!$C:$C, R$12)
)))))</f>
        <v>1.3509999999999999E-2</v>
      </c>
      <c r="S20" s="301">
        <f>IF(AND(S$9="Legacy",E20=E$38,OR(S$11="Low",S$11="High")),
INDEX(OpenLCAbasic!$J:$J,MATCH(CONCATENATE(S$10,"_","Base","_","Legacy_",$I$5,"_",E20,"_",S$13,"_n.a."),OpenLCAbasic!$M:$M,0)),
IF(AND(S$9="Legacy",ISERROR(MATCH(E20,LookUps!$H$5:$H$20,0))),"--",
IF(S$9="Legacy",SUMIFS(OpenLCAbasic!$J:$J,OpenLCAbasic!$E:$E,"Base",OpenLCAbasic!$D:$D,"Base",OpenLCAbasic!$F:$F,S$9,OpenLCAbasic!$L:$L,$I$5,OpenLCAbasic!$I:$I,E20,OpenLCAbasic!$C:$C,S$13),
IF(AND(S$9="Upgraded", OR(S$11="Low", S$11="High"), OR(E20=E$37, E20=E$36)),
INDEX(OpenLCAbasic!$J:$J, MATCH(CONCATENATE(S$11, "_", S$10, "_", "Upgraded_",$I$5,"_",E20, "_", S$12, "_", S$14), OpenLCAbasic!$M:$M,0)),
IF(AND(ISERROR(MATCH(E20, LookUps!$G$5:$G$21,0)), S$9="Upgraded"),
SUMIFS(OpenLCAbasic!$J:$J,OpenLCAbasic!$E:$E, S$11, OpenLCAbasic!$D:$D, S$10, OpenLCAbasic!$F:$F,S$9,OpenLCAbasic!$L:$L,$I$5,OpenLCAbasic!$I:$I,INDEX(LookUps!$G$5:$G$21,MATCH(E20, LookUps!$J$5:$J$21,0)), OpenLCAbasic!$B:$B, S$14, OpenLCAbasic!$C:$C, S$12),
SUMIFS(OpenLCAbasic!$J:$J,OpenLCAbasic!$E:$E, S$11, OpenLCAbasic!$D:$D, S$10, OpenLCAbasic!$F:$F,S$9,OpenLCAbasic!$L:$L,$I$5,OpenLCAbasic!$I:$I,E20, OpenLCAbasic!$B:$B, S$14, OpenLCAbasic!$C:$C, S$12)
)))))</f>
        <v>1.3509999999999999E-2</v>
      </c>
      <c r="T20" s="301">
        <f>IF(AND(T$9="Legacy",F20=F$38,OR(T$11="Low",T$11="High")),
INDEX(OpenLCAbasic!$J:$J,MATCH(CONCATENATE(T$10,"_","Base","_","Legacy_",$I$5,"_",F20,"_",T$13,"_n.a."),OpenLCAbasic!$M:$M,0)),
IF(AND(T$9="Legacy",ISERROR(MATCH(F20,LookUps!$H$5:$H$20,0))),"--",
IF(T$9="Legacy",SUMIFS(OpenLCAbasic!$J:$J,OpenLCAbasic!$E:$E,"Base",OpenLCAbasic!$D:$D,"Base",OpenLCAbasic!$F:$F,T$9,OpenLCAbasic!$L:$L,$I$5,OpenLCAbasic!$I:$I,F20,OpenLCAbasic!$C:$C,T$13),
IF(AND(T$9="Upgraded", OR(T$11="Low", T$11="High"), OR(F20=F$37, F20=F$36)),
INDEX(OpenLCAbasic!$J:$J, MATCH(CONCATENATE(T$11, "_", T$10, "_", "Upgraded_",$I$5,"_",F20, "_", T$12, "_", T$14), OpenLCAbasic!$M:$M,0)),
IF(AND(ISERROR(MATCH(F20, LookUps!$G$5:$G$21,0)), T$9="Upgraded"),
SUMIFS(OpenLCAbasic!$J:$J,OpenLCAbasic!$E:$E, T$11, OpenLCAbasic!$D:$D, T$10, OpenLCAbasic!$F:$F,T$9,OpenLCAbasic!$L:$L,$I$5,OpenLCAbasic!$I:$I,INDEX(LookUps!$G$5:$G$21,MATCH(F20, LookUps!$J$5:$J$21,0)), OpenLCAbasic!$B:$B, T$14, OpenLCAbasic!$C:$C, T$12),
SUMIFS(OpenLCAbasic!$J:$J,OpenLCAbasic!$E:$E, T$11, OpenLCAbasic!$D:$D, T$10, OpenLCAbasic!$F:$F,T$9,OpenLCAbasic!$L:$L,$I$5,OpenLCAbasic!$I:$I,F20, OpenLCAbasic!$B:$B, T$14, OpenLCAbasic!$C:$C, T$12)
)))))</f>
        <v>1.3509999999999999E-2</v>
      </c>
      <c r="U20" s="301">
        <f>IF(AND(U$9="Legacy",G20=G$38,OR(U$11="Low",U$11="High")),
INDEX(OpenLCAbasic!$J:$J,MATCH(CONCATENATE(U$10,"_","Base","_","Legacy_",$I$5,"_",G20,"_",U$13,"_n.a."),OpenLCAbasic!$M:$M,0)),
IF(AND(U$9="Legacy",ISERROR(MATCH(G20,LookUps!$H$5:$H$20,0))),"--",
IF(U$9="Legacy",SUMIFS(OpenLCAbasic!$J:$J,OpenLCAbasic!$E:$E,"Base",OpenLCAbasic!$D:$D,"Base",OpenLCAbasic!$F:$F,U$9,OpenLCAbasic!$L:$L,$I$5,OpenLCAbasic!$I:$I,G20,OpenLCAbasic!$C:$C,U$13),
IF(AND(U$9="Upgraded", OR(U$11="Low", U$11="High"), OR(G20=G$37, G20=G$36)),
INDEX(OpenLCAbasic!$J:$J, MATCH(CONCATENATE(U$11, "_", U$10, "_", "Upgraded_",$I$5,"_",G20, "_", U$12, "_", U$14), OpenLCAbasic!$M:$M,0)),
IF(AND(ISERROR(MATCH(G20, LookUps!$G$5:$G$21,0)), U$9="Upgraded"),
SUMIFS(OpenLCAbasic!$J:$J,OpenLCAbasic!$E:$E, U$11, OpenLCAbasic!$D:$D, U$10, OpenLCAbasic!$F:$F,U$9,OpenLCAbasic!$L:$L,$I$5,OpenLCAbasic!$I:$I,INDEX(LookUps!$G$5:$G$21,MATCH(G20, LookUps!$J$5:$J$21,0)), OpenLCAbasic!$B:$B, U$14, OpenLCAbasic!$C:$C, U$12),
SUMIFS(OpenLCAbasic!$J:$J,OpenLCAbasic!$E:$E, U$11, OpenLCAbasic!$D:$D, U$10, OpenLCAbasic!$F:$F,U$9,OpenLCAbasic!$L:$L,$I$5,OpenLCAbasic!$I:$I,G20, OpenLCAbasic!$B:$B, U$14, OpenLCAbasic!$C:$C, U$12)
)))))</f>
        <v>1.3509999999999999E-2</v>
      </c>
      <c r="V20" s="302"/>
      <c r="W20" s="303">
        <f>IF(AND(W$9="Legacy",B20=B$38,OR(W$11="Low",W$11="High")),
INDEX(OpenLCAbasic!$J:$J,MATCH(CONCATENATE(W$10,"_","Base","_","Legacy_",$I$6,"_",B20,"_",W$13,"_n.a."),OpenLCAbasic!$M:$M,0)),
IF(AND(W$9="Legacy",ISERROR(MATCH(B20,LookUps!$H$5:$H$20,0))),"--",
IF(W$9="Legacy",SUMIFS(OpenLCAbasic!$J:$J,OpenLCAbasic!$E:$E,"Base",OpenLCAbasic!$D:$D,"Base",OpenLCAbasic!$F:$F,W$9,OpenLCAbasic!$L:$L,$I$6,OpenLCAbasic!$I:$I,B20,OpenLCAbasic!$C:$C,W$13),
IF(AND(W$9="Upgraded", OR(W$11="Low", W$11="High"), OR(B20=B$37, B20=B$36)),
INDEX(OpenLCAbasic!$J:$J, MATCH(CONCATENATE(W$11, "_", W$10, "_", "Upgraded_",$I$6,"_",B20, "_", W$12, "_", W$14), OpenLCAbasic!$M:$M,0)),
IF(AND(ISERROR(MATCH(B20, LookUps!$G$5:$G$21,0)), W$9="Upgraded"),
SUMIFS(OpenLCAbasic!$J:$J,OpenLCAbasic!$E:$E, W$11, OpenLCAbasic!$D:$D, W$10, OpenLCAbasic!$F:$F,W$9,OpenLCAbasic!$L:$L,$I$6,OpenLCAbasic!$I:$I,INDEX(LookUps!$G$5:$G$21,MATCH(B20, LookUps!$J$5:$J$21,0)), OpenLCAbasic!$B:$B, W$14, OpenLCAbasic!$C:$C, W$12),
SUMIFS(OpenLCAbasic!$J:$J,OpenLCAbasic!$E:$E, W$11, OpenLCAbasic!$D:$D, W$10, OpenLCAbasic!$F:$F,W$9,OpenLCAbasic!$L:$L,$I$6,OpenLCAbasic!$I:$I,B20, OpenLCAbasic!$B:$B, W$14, OpenLCAbasic!$C:$C, W$12)
)))))</f>
        <v>3.7559799999999999E-5</v>
      </c>
      <c r="X20" s="303">
        <f>IF(AND(X$9="Legacy",C20=C$38,OR(X$11="Low",X$11="High")),
INDEX(OpenLCAbasic!$J:$J,MATCH(CONCATENATE(X$10,"_","Base","_","Legacy_",$I$6,"_",C20,"_",X$13,"_n.a."),OpenLCAbasic!$M:$M,0)),
IF(AND(X$9="Legacy",ISERROR(MATCH(C20,LookUps!$H$5:$H$20,0))),"--",
IF(X$9="Legacy",SUMIFS(OpenLCAbasic!$J:$J,OpenLCAbasic!$E:$E,"Base",OpenLCAbasic!$D:$D,"Base",OpenLCAbasic!$F:$F,X$9,OpenLCAbasic!$L:$L,$I$6,OpenLCAbasic!$I:$I,C20,OpenLCAbasic!$C:$C,X$13),
IF(AND(X$9="Upgraded", OR(X$11="Low", X$11="High"), OR(C20=C$37, C20=C$36)),
INDEX(OpenLCAbasic!$J:$J, MATCH(CONCATENATE(X$11, "_", X$10, "_", "Upgraded_",$I$6,"_",C20, "_", X$12, "_", X$14), OpenLCAbasic!$M:$M,0)),
IF(AND(ISERROR(MATCH(C20, LookUps!$G$5:$G$21,0)), X$9="Upgraded"),
SUMIFS(OpenLCAbasic!$J:$J,OpenLCAbasic!$E:$E, X$11, OpenLCAbasic!$D:$D, X$10, OpenLCAbasic!$F:$F,X$9,OpenLCAbasic!$L:$L,$I$6,OpenLCAbasic!$I:$I,INDEX(LookUps!$G$5:$G$21,MATCH(C20, LookUps!$J$5:$J$21,0)), OpenLCAbasic!$B:$B, X$14, OpenLCAbasic!$C:$C, X$12),
SUMIFS(OpenLCAbasic!$J:$J,OpenLCAbasic!$E:$E, X$11, OpenLCAbasic!$D:$D, X$10, OpenLCAbasic!$F:$F,X$9,OpenLCAbasic!$L:$L,$I$6,OpenLCAbasic!$I:$I,C20, OpenLCAbasic!$B:$B, X$14, OpenLCAbasic!$C:$C, X$12)
)))))</f>
        <v>3.7559799999999999E-5</v>
      </c>
      <c r="Y20" s="303">
        <f>IF(AND(Y$9="Legacy",D20=D$38,OR(Y$11="Low",Y$11="High")),
INDEX(OpenLCAbasic!$J:$J,MATCH(CONCATENATE(Y$10,"_","Base","_","Legacy_",$I$6,"_",D20,"_",Y$13,"_n.a."),OpenLCAbasic!$M:$M,0)),
IF(AND(Y$9="Legacy",ISERROR(MATCH(D20,LookUps!$H$5:$H$20,0))),"--",
IF(Y$9="Legacy",SUMIFS(OpenLCAbasic!$J:$J,OpenLCAbasic!$E:$E,"Base",OpenLCAbasic!$D:$D,"Base",OpenLCAbasic!$F:$F,Y$9,OpenLCAbasic!$L:$L,$I$6,OpenLCAbasic!$I:$I,D20,OpenLCAbasic!$C:$C,Y$13),
IF(AND(Y$9="Upgraded", OR(Y$11="Low", Y$11="High"), OR(D20=D$37, D20=D$36)),
INDEX(OpenLCAbasic!$J:$J, MATCH(CONCATENATE(Y$11, "_", Y$10, "_", "Upgraded_",$I$6,"_",D20, "_", Y$12, "_", Y$14), OpenLCAbasic!$M:$M,0)),
IF(AND(ISERROR(MATCH(D20, LookUps!$G$5:$G$21,0)), Y$9="Upgraded"),
SUMIFS(OpenLCAbasic!$J:$J,OpenLCAbasic!$E:$E, Y$11, OpenLCAbasic!$D:$D, Y$10, OpenLCAbasic!$F:$F,Y$9,OpenLCAbasic!$L:$L,$I$6,OpenLCAbasic!$I:$I,INDEX(LookUps!$G$5:$G$21,MATCH(D20, LookUps!$J$5:$J$21,0)), OpenLCAbasic!$B:$B, Y$14, OpenLCAbasic!$C:$C, Y$12),
SUMIFS(OpenLCAbasic!$J:$J,OpenLCAbasic!$E:$E, Y$11, OpenLCAbasic!$D:$D, Y$10, OpenLCAbasic!$F:$F,Y$9,OpenLCAbasic!$L:$L,$I$6,OpenLCAbasic!$I:$I,D20, OpenLCAbasic!$B:$B, Y$14, OpenLCAbasic!$C:$C, Y$12)
)))))</f>
        <v>3.7559799999999999E-5</v>
      </c>
      <c r="Z20" s="303">
        <f>IF(AND(Z$9="Legacy",E20=E$38,OR(Z$11="Low",Z$11="High")),
INDEX(OpenLCAbasic!$J:$J,MATCH(CONCATENATE(Z$10,"_","Base","_","Legacy_",$I$6,"_",E20,"_",Z$13,"_n.a."),OpenLCAbasic!$M:$M,0)),
IF(AND(Z$9="Legacy",ISERROR(MATCH(E20,LookUps!$H$5:$H$20,0))),"--",
IF(Z$9="Legacy",SUMIFS(OpenLCAbasic!$J:$J,OpenLCAbasic!$E:$E,"Base",OpenLCAbasic!$D:$D,"Base",OpenLCAbasic!$F:$F,Z$9,OpenLCAbasic!$L:$L,$I$6,OpenLCAbasic!$I:$I,E20,OpenLCAbasic!$C:$C,Z$13),
IF(AND(Z$9="Upgraded", OR(Z$11="Low", Z$11="High"), OR(E20=E$37, E20=E$36)),
INDEX(OpenLCAbasic!$J:$J, MATCH(CONCATENATE(Z$11, "_", Z$10, "_", "Upgraded_",$I$6,"_",E20, "_", Z$12, "_", Z$14), OpenLCAbasic!$M:$M,0)),
IF(AND(ISERROR(MATCH(E20, LookUps!$G$5:$G$21,0)), Z$9="Upgraded"),
SUMIFS(OpenLCAbasic!$J:$J,OpenLCAbasic!$E:$E, Z$11, OpenLCAbasic!$D:$D, Z$10, OpenLCAbasic!$F:$F,Z$9,OpenLCAbasic!$L:$L,$I$6,OpenLCAbasic!$I:$I,INDEX(LookUps!$G$5:$G$21,MATCH(E20, LookUps!$J$5:$J$21,0)), OpenLCAbasic!$B:$B, Z$14, OpenLCAbasic!$C:$C, Z$12),
SUMIFS(OpenLCAbasic!$J:$J,OpenLCAbasic!$E:$E, Z$11, OpenLCAbasic!$D:$D, Z$10, OpenLCAbasic!$F:$F,Z$9,OpenLCAbasic!$L:$L,$I$6,OpenLCAbasic!$I:$I,E20, OpenLCAbasic!$B:$B, Z$14, OpenLCAbasic!$C:$C, Z$12)
)))))</f>
        <v>3.7559799999999999E-5</v>
      </c>
      <c r="AA20" s="303">
        <f>IF(AND(AA$9="Legacy",F20=F$38,OR(AA$11="Low",AA$11="High")),
INDEX(OpenLCAbasic!$J:$J,MATCH(CONCATENATE(AA$10,"_","Base","_","Legacy_",$I$6,"_",F20,"_",AA$13,"_n.a."),OpenLCAbasic!$M:$M,0)),
IF(AND(AA$9="Legacy",ISERROR(MATCH(F20,LookUps!$H$5:$H$20,0))),"--",
IF(AA$9="Legacy",SUMIFS(OpenLCAbasic!$J:$J,OpenLCAbasic!$E:$E,"Base",OpenLCAbasic!$D:$D,"Base",OpenLCAbasic!$F:$F,AA$9,OpenLCAbasic!$L:$L,$I$6,OpenLCAbasic!$I:$I,F20,OpenLCAbasic!$C:$C,AA$13),
IF(AND(AA$9="Upgraded", OR(AA$11="Low", AA$11="High"), OR(F20=F$37, F20=F$36)),
INDEX(OpenLCAbasic!$J:$J, MATCH(CONCATENATE(AA$11, "_", AA$10, "_", "Upgraded_",$I$6,"_",F20, "_", AA$12, "_", AA$14), OpenLCAbasic!$M:$M,0)),
IF(AND(ISERROR(MATCH(F20, LookUps!$G$5:$G$21,0)), AA$9="Upgraded"),
SUMIFS(OpenLCAbasic!$J:$J,OpenLCAbasic!$E:$E, AA$11, OpenLCAbasic!$D:$D, AA$10, OpenLCAbasic!$F:$F,AA$9,OpenLCAbasic!$L:$L,$I$6,OpenLCAbasic!$I:$I,INDEX(LookUps!$G$5:$G$21,MATCH(F20, LookUps!$J$5:$J$21,0)), OpenLCAbasic!$B:$B, AA$14, OpenLCAbasic!$C:$C, AA$12),
SUMIFS(OpenLCAbasic!$J:$J,OpenLCAbasic!$E:$E, AA$11, OpenLCAbasic!$D:$D, AA$10, OpenLCAbasic!$F:$F,AA$9,OpenLCAbasic!$L:$L,$I$6,OpenLCAbasic!$I:$I,F20, OpenLCAbasic!$B:$B, AA$14, OpenLCAbasic!$C:$C, AA$12)
)))))</f>
        <v>3.7559799999999999E-5</v>
      </c>
      <c r="AB20" s="303">
        <f>IF(AND(AB$9="Legacy",G20=G$38,OR(AB$11="Low",AB$11="High")),
INDEX(OpenLCAbasic!$J:$J,MATCH(CONCATENATE(AB$10,"_","Base","_","Legacy_",$I$6,"_",G20,"_",AB$13,"_n.a."),OpenLCAbasic!$M:$M,0)),
IF(AND(AB$9="Legacy",ISERROR(MATCH(G20,LookUps!$H$5:$H$20,0))),"--",
IF(AB$9="Legacy",SUMIFS(OpenLCAbasic!$J:$J,OpenLCAbasic!$E:$E,"Base",OpenLCAbasic!$D:$D,"Base",OpenLCAbasic!$F:$F,AB$9,OpenLCAbasic!$L:$L,$I$6,OpenLCAbasic!$I:$I,G20,OpenLCAbasic!$C:$C,AB$13),
IF(AND(AB$9="Upgraded", OR(AB$11="Low", AB$11="High"), OR(G20=G$37, G20=G$36)),
INDEX(OpenLCAbasic!$J:$J, MATCH(CONCATENATE(AB$11, "_", AB$10, "_", "Upgraded_",$I$6,"_",G20, "_", AB$12, "_", AB$14), OpenLCAbasic!$M:$M,0)),
IF(AND(ISERROR(MATCH(G20, LookUps!$G$5:$G$21,0)), AB$9="Upgraded"),
SUMIFS(OpenLCAbasic!$J:$J,OpenLCAbasic!$E:$E, AB$11, OpenLCAbasic!$D:$D, AB$10, OpenLCAbasic!$F:$F,AB$9,OpenLCAbasic!$L:$L,$I$6,OpenLCAbasic!$I:$I,INDEX(LookUps!$G$5:$G$21,MATCH(G20, LookUps!$J$5:$J$21,0)), OpenLCAbasic!$B:$B, AB$14, OpenLCAbasic!$C:$C, AB$12),
SUMIFS(OpenLCAbasic!$J:$J,OpenLCAbasic!$E:$E, AB$11, OpenLCAbasic!$D:$D, AB$10, OpenLCAbasic!$F:$F,AB$9,OpenLCAbasic!$L:$L,$I$6,OpenLCAbasic!$I:$I,G20, OpenLCAbasic!$B:$B, AB$14, OpenLCAbasic!$C:$C, AB$12)
)))))</f>
        <v>3.7559799999999999E-5</v>
      </c>
    </row>
    <row r="21" spans="2:28" x14ac:dyDescent="0.25">
      <c r="B21" s="99" t="str">
        <f t="shared" ref="B21:G40" si="15">$H21</f>
        <v>Influent Pump Station; wastewater treatment unit; at updated plant - US</v>
      </c>
      <c r="C21" s="99" t="str">
        <f t="shared" si="14"/>
        <v>Influent Pump Station; wastewater treatment unit; at updated plant - US</v>
      </c>
      <c r="D21" s="99" t="str">
        <f t="shared" si="14"/>
        <v>Influent Pump Station; wastewater treatment unit; at updated plant - US</v>
      </c>
      <c r="E21" s="99" t="str">
        <f t="shared" si="14"/>
        <v>Influent Pump Station; wastewater treatment unit; at updated plant - US</v>
      </c>
      <c r="F21" s="99" t="str">
        <f t="shared" si="14"/>
        <v>Influent Pump Station; wastewater treatment unit; at updated plant - US</v>
      </c>
      <c r="G21" s="99" t="str">
        <f t="shared" si="14"/>
        <v>Influent Pump Station; wastewater treatment unit; at updated plant - US</v>
      </c>
      <c r="H21" s="266" t="str">
        <f>LookUps!$G$6</f>
        <v>Influent Pump Station; wastewater treatment unit; at updated plant - US</v>
      </c>
      <c r="I21" s="274" t="str">
        <f>IF(AND(I$9="Legacy",B21=B$38,OR(I$11="Low",I$11="High")),
INDEX(OpenLCAbasic!$J:$J,MATCH(CONCATENATE(I$10,"_","Base","_","Legacy_",$I$4,"_",B21,"_",I$13,"_n.a."),OpenLCAbasic!$M:$M,0)),
IF(AND(I$9="Legacy",ISERROR(MATCH(B21,LookUps!$H$5:$H$20,0))),"--",
IF(I$9="Legacy",SUMIFS(OpenLCAbasic!$J:$J,OpenLCAbasic!$E:$E,"Base",OpenLCAbasic!$D:$D,"Base",OpenLCAbasic!$F:$F,I$9,OpenLCAbasic!$L:$L,$I$4,OpenLCAbasic!$I:$I,B21,OpenLCAbasic!$C:$C,I$13),
IF(AND(I$9="Upgraded", OR(I$11="Low", I$11="High"), OR(B21=B$37, B21=B$36)),
INDEX(OpenLCAbasic!$J:$J, MATCH(CONCATENATE(I$11, "_", I$10, "_", "Upgraded_",$I$4,"_",B21, "_", I$12, "_", I$14), OpenLCAbasic!$M:$M,0)),
IF(AND(ISERROR(MATCH(B21, LookUps!$G$5:$G$21,0)), I$9="Upgraded"),
SUMIFS(OpenLCAbasic!$J:$J,OpenLCAbasic!$E:$E, I$11, OpenLCAbasic!$D:$D, I$10, OpenLCAbasic!$F:$F,I$9,OpenLCAbasic!$L:$L,$I$4,OpenLCAbasic!$I:$I,INDEX(LookUps!$G$5:$G$21,MATCH(B21, LookUps!$J$5:$J$21,0)), OpenLCAbasic!$B:$B, I$14, OpenLCAbasic!$C:$C, I$12),
SUMIFS(OpenLCAbasic!$J:$J,OpenLCAbasic!$E:$E, I$11, OpenLCAbasic!$D:$D, I$10, OpenLCAbasic!$F:$F,I$9,OpenLCAbasic!$L:$L,$I$4,OpenLCAbasic!$I:$I,B21, OpenLCAbasic!$B:$B, I$14, OpenLCAbasic!$C:$C, I$12)
)))))</f>
        <v>--</v>
      </c>
      <c r="J21" s="301">
        <f>IF(AND(J$9="Legacy",C21=C$38,OR(J$11="Low",J$11="High")),
INDEX(OpenLCAbasic!$J:$J,MATCH(CONCATENATE(J$10,"_","Base","_","Legacy_",$I$4,"_",C21,"_",J$13,"_n.a."),OpenLCAbasic!$M:$M,0)),
IF(AND(J$9="Legacy",ISERROR(MATCH(C21,LookUps!$H$5:$H$20,0))),"--",
IF(J$9="Legacy",SUMIFS(OpenLCAbasic!$J:$J,OpenLCAbasic!$E:$E,"Base",OpenLCAbasic!$D:$D,"Base",OpenLCAbasic!$F:$F,J$9,OpenLCAbasic!$L:$L,$I$4,OpenLCAbasic!$I:$I,C21,OpenLCAbasic!$C:$C,J$13),
IF(AND(J$9="Upgraded", OR(J$11="Low", J$11="High"), OR(C21=C$37, C21=C$36)),
INDEX(OpenLCAbasic!$J:$J, MATCH(CONCATENATE(J$11, "_", J$10, "_", "Upgraded_",$I$4,"_",C21, "_", J$12, "_", J$14), OpenLCAbasic!$M:$M,0)),
IF(AND(ISERROR(MATCH(C21, LookUps!$G$5:$G$21,0)), J$9="Upgraded"),
SUMIFS(OpenLCAbasic!$J:$J,OpenLCAbasic!$E:$E, J$11, OpenLCAbasic!$D:$D, J$10, OpenLCAbasic!$F:$F,J$9,OpenLCAbasic!$L:$L,$I$4,OpenLCAbasic!$I:$I,INDEX(LookUps!$G$5:$G$21,MATCH(C21, LookUps!$J$5:$J$21,0)), OpenLCAbasic!$B:$B, J$14, OpenLCAbasic!$C:$C, J$12),
SUMIFS(OpenLCAbasic!$J:$J,OpenLCAbasic!$E:$E, J$11, OpenLCAbasic!$D:$D, J$10, OpenLCAbasic!$F:$F,J$9,OpenLCAbasic!$L:$L,$I$4,OpenLCAbasic!$I:$I,C21, OpenLCAbasic!$B:$B, J$14, OpenLCAbasic!$C:$C, J$12)
)))))</f>
        <v>0.88297000000000003</v>
      </c>
      <c r="K21" s="301">
        <f>IF(AND(K$9="Legacy",D21=D$38,OR(K$11="Low",K$11="High")),
INDEX(OpenLCAbasic!$J:$J,MATCH(CONCATENATE(K$10,"_","Base","_","Legacy_",$I$4,"_",D21,"_",K$13,"_n.a."),OpenLCAbasic!$M:$M,0)),
IF(AND(K$9="Legacy",ISERROR(MATCH(D21,LookUps!$H$5:$H$20,0))),"--",
IF(K$9="Legacy",SUMIFS(OpenLCAbasic!$J:$J,OpenLCAbasic!$E:$E,"Base",OpenLCAbasic!$D:$D,"Base",OpenLCAbasic!$F:$F,K$9,OpenLCAbasic!$L:$L,$I$4,OpenLCAbasic!$I:$I,D21,OpenLCAbasic!$C:$C,K$13),
IF(AND(K$9="Upgraded", OR(K$11="Low", K$11="High"), OR(D21=D$37, D21=D$36)),
INDEX(OpenLCAbasic!$J:$J, MATCH(CONCATENATE(K$11, "_", K$10, "_", "Upgraded_",$I$4,"_",D21, "_", K$12, "_", K$14), OpenLCAbasic!$M:$M,0)),
IF(AND(ISERROR(MATCH(D21, LookUps!$G$5:$G$21,0)), K$9="Upgraded"),
SUMIFS(OpenLCAbasic!$J:$J,OpenLCAbasic!$E:$E, K$11, OpenLCAbasic!$D:$D, K$10, OpenLCAbasic!$F:$F,K$9,OpenLCAbasic!$L:$L,$I$4,OpenLCAbasic!$I:$I,INDEX(LookUps!$G$5:$G$21,MATCH(D21, LookUps!$J$5:$J$21,0)), OpenLCAbasic!$B:$B, K$14, OpenLCAbasic!$C:$C, K$12),
SUMIFS(OpenLCAbasic!$J:$J,OpenLCAbasic!$E:$E, K$11, OpenLCAbasic!$D:$D, K$10, OpenLCAbasic!$F:$F,K$9,OpenLCAbasic!$L:$L,$I$4,OpenLCAbasic!$I:$I,D21, OpenLCAbasic!$B:$B, K$14, OpenLCAbasic!$C:$C, K$12)
)))))</f>
        <v>0.88297000000000003</v>
      </c>
      <c r="L21" s="301">
        <f>IF(AND(L$9="Legacy",E21=E$38,OR(L$11="Low",L$11="High")),
INDEX(OpenLCAbasic!$J:$J,MATCH(CONCATENATE(L$10,"_","Base","_","Legacy_",$I$4,"_",E21,"_",L$13,"_n.a."),OpenLCAbasic!$M:$M,0)),
IF(AND(L$9="Legacy",ISERROR(MATCH(E21,LookUps!$H$5:$H$20,0))),"--",
IF(L$9="Legacy",SUMIFS(OpenLCAbasic!$J:$J,OpenLCAbasic!$E:$E,"Base",OpenLCAbasic!$D:$D,"Base",OpenLCAbasic!$F:$F,L$9,OpenLCAbasic!$L:$L,$I$4,OpenLCAbasic!$I:$I,E21,OpenLCAbasic!$C:$C,L$13),
IF(AND(L$9="Upgraded", OR(L$11="Low", L$11="High"), OR(E21=E$37, E21=E$36)),
INDEX(OpenLCAbasic!$J:$J, MATCH(CONCATENATE(L$11, "_", L$10, "_", "Upgraded_",$I$4,"_",E21, "_", L$12, "_", L$14), OpenLCAbasic!$M:$M,0)),
IF(AND(ISERROR(MATCH(E21, LookUps!$G$5:$G$21,0)), L$9="Upgraded"),
SUMIFS(OpenLCAbasic!$J:$J,OpenLCAbasic!$E:$E, L$11, OpenLCAbasic!$D:$D, L$10, OpenLCAbasic!$F:$F,L$9,OpenLCAbasic!$L:$L,$I$4,OpenLCAbasic!$I:$I,INDEX(LookUps!$G$5:$G$21,MATCH(E21, LookUps!$J$5:$J$21,0)), OpenLCAbasic!$B:$B, L$14, OpenLCAbasic!$C:$C, L$12),
SUMIFS(OpenLCAbasic!$J:$J,OpenLCAbasic!$E:$E, L$11, OpenLCAbasic!$D:$D, L$10, OpenLCAbasic!$F:$F,L$9,OpenLCAbasic!$L:$L,$I$4,OpenLCAbasic!$I:$I,E21, OpenLCAbasic!$B:$B, L$14, OpenLCAbasic!$C:$C, L$12)
)))))</f>
        <v>0.88297000000000003</v>
      </c>
      <c r="M21" s="301">
        <f>IF(AND(M$9="Legacy",F21=F$38,OR(M$11="Low",M$11="High")),
INDEX(OpenLCAbasic!$J:$J,MATCH(CONCATENATE(M$10,"_","Base","_","Legacy_",$I$4,"_",F21,"_",M$13,"_n.a."),OpenLCAbasic!$M:$M,0)),
IF(AND(M$9="Legacy",ISERROR(MATCH(F21,LookUps!$H$5:$H$20,0))),"--",
IF(M$9="Legacy",SUMIFS(OpenLCAbasic!$J:$J,OpenLCAbasic!$E:$E,"Base",OpenLCAbasic!$D:$D,"Base",OpenLCAbasic!$F:$F,M$9,OpenLCAbasic!$L:$L,$I$4,OpenLCAbasic!$I:$I,F21,OpenLCAbasic!$C:$C,M$13),
IF(AND(M$9="Upgraded", OR(M$11="Low", M$11="High"), OR(F21=F$37, F21=F$36)),
INDEX(OpenLCAbasic!$J:$J, MATCH(CONCATENATE(M$11, "_", M$10, "_", "Upgraded_",$I$4,"_",F21, "_", M$12, "_", M$14), OpenLCAbasic!$M:$M,0)),
IF(AND(ISERROR(MATCH(F21, LookUps!$G$5:$G$21,0)), M$9="Upgraded"),
SUMIFS(OpenLCAbasic!$J:$J,OpenLCAbasic!$E:$E, M$11, OpenLCAbasic!$D:$D, M$10, OpenLCAbasic!$F:$F,M$9,OpenLCAbasic!$L:$L,$I$4,OpenLCAbasic!$I:$I,INDEX(LookUps!$G$5:$G$21,MATCH(F21, LookUps!$J$5:$J$21,0)), OpenLCAbasic!$B:$B, M$14, OpenLCAbasic!$C:$C, M$12),
SUMIFS(OpenLCAbasic!$J:$J,OpenLCAbasic!$E:$E, M$11, OpenLCAbasic!$D:$D, M$10, OpenLCAbasic!$F:$F,M$9,OpenLCAbasic!$L:$L,$I$4,OpenLCAbasic!$I:$I,F21, OpenLCAbasic!$B:$B, M$14, OpenLCAbasic!$C:$C, M$12)
)))))</f>
        <v>0.88297000000000003</v>
      </c>
      <c r="N21" s="301">
        <f>IF(AND(N$9="Legacy",G21=G$38,OR(N$11="Low",N$11="High")),
INDEX(OpenLCAbasic!$J:$J,MATCH(CONCATENATE(N$10,"_","Base","_","Legacy_",$I$4,"_",G21,"_",N$13,"_n.a."),OpenLCAbasic!$M:$M,0)),
IF(AND(N$9="Legacy",ISERROR(MATCH(G21,LookUps!$H$5:$H$20,0))),"--",
IF(N$9="Legacy",SUMIFS(OpenLCAbasic!$J:$J,OpenLCAbasic!$E:$E,"Base",OpenLCAbasic!$D:$D,"Base",OpenLCAbasic!$F:$F,N$9,OpenLCAbasic!$L:$L,$I$4,OpenLCAbasic!$I:$I,G21,OpenLCAbasic!$C:$C,N$13),
IF(AND(N$9="Upgraded", OR(N$11="Low", N$11="High"), OR(G21=G$37, G21=G$36)),
INDEX(OpenLCAbasic!$J:$J, MATCH(CONCATENATE(N$11, "_", N$10, "_", "Upgraded_",$I$4,"_",G21, "_", N$12, "_", N$14), OpenLCAbasic!$M:$M,0)),
IF(AND(ISERROR(MATCH(G21, LookUps!$G$5:$G$21,0)), N$9="Upgraded"),
SUMIFS(OpenLCAbasic!$J:$J,OpenLCAbasic!$E:$E, N$11, OpenLCAbasic!$D:$D, N$10, OpenLCAbasic!$F:$F,N$9,OpenLCAbasic!$L:$L,$I$4,OpenLCAbasic!$I:$I,INDEX(LookUps!$G$5:$G$21,MATCH(G21, LookUps!$J$5:$J$21,0)), OpenLCAbasic!$B:$B, N$14, OpenLCAbasic!$C:$C, N$12),
SUMIFS(OpenLCAbasic!$J:$J,OpenLCAbasic!$E:$E, N$11, OpenLCAbasic!$D:$D, N$10, OpenLCAbasic!$F:$F,N$9,OpenLCAbasic!$L:$L,$I$4,OpenLCAbasic!$I:$I,G21, OpenLCAbasic!$B:$B, N$14, OpenLCAbasic!$C:$C, N$12)
)))))</f>
        <v>0.88297000000000003</v>
      </c>
      <c r="O21" s="302"/>
      <c r="P21" s="274" t="str">
        <f>IF(AND(P$9="Legacy",B21=B$38,OR(P$11="Low",P$11="High")),
INDEX(OpenLCAbasic!$J:$J,MATCH(CONCATENATE(P$10,"_","Base","_","Legacy_",$I$5,"_",B21,"_",P$13,"_n.a."),OpenLCAbasic!$M:$M,0)),
IF(AND(P$9="Legacy",ISERROR(MATCH(B21,LookUps!$H$5:$H$20,0))),"--",
IF(P$9="Legacy",SUMIFS(OpenLCAbasic!$J:$J,OpenLCAbasic!$E:$E,"Base",OpenLCAbasic!$D:$D,"Base",OpenLCAbasic!$F:$F,P$9,OpenLCAbasic!$L:$L,$I$5,OpenLCAbasic!$I:$I,B21,OpenLCAbasic!$C:$C,P$13),
IF(AND(P$9="Upgraded", OR(P$11="Low", P$11="High"), OR(B21=B$37, B21=B$36)),
INDEX(OpenLCAbasic!$J:$J, MATCH(CONCATENATE(P$11, "_", P$10, "_", "Upgraded_",$I$5,"_",B21, "_", P$12, "_", P$14), OpenLCAbasic!$M:$M,0)),
IF(AND(ISERROR(MATCH(B21, LookUps!$G$5:$G$21,0)), P$9="Upgraded"),
SUMIFS(OpenLCAbasic!$J:$J,OpenLCAbasic!$E:$E, P$11, OpenLCAbasic!$D:$D, P$10, OpenLCAbasic!$F:$F,P$9,OpenLCAbasic!$L:$L,$I$5,OpenLCAbasic!$I:$I,INDEX(LookUps!$G$5:$G$21,MATCH(B21, LookUps!$J$5:$J$21,0)), OpenLCAbasic!$B:$B, P$14, OpenLCAbasic!$C:$C, P$12),
SUMIFS(OpenLCAbasic!$J:$J,OpenLCAbasic!$E:$E, P$11, OpenLCAbasic!$D:$D, P$10, OpenLCAbasic!$F:$F,P$9,OpenLCAbasic!$L:$L,$I$5,OpenLCAbasic!$I:$I,B21, OpenLCAbasic!$B:$B, P$14, OpenLCAbasic!$C:$C, P$12)
)))))</f>
        <v>--</v>
      </c>
      <c r="Q21" s="301">
        <f>IF(AND(Q$9="Legacy",C21=C$38,OR(Q$11="Low",Q$11="High")),
INDEX(OpenLCAbasic!$J:$J,MATCH(CONCATENATE(Q$10,"_","Base","_","Legacy_",$I$5,"_",C21,"_",Q$13,"_n.a."),OpenLCAbasic!$M:$M,0)),
IF(AND(Q$9="Legacy",ISERROR(MATCH(C21,LookUps!$H$5:$H$20,0))),"--",
IF(Q$9="Legacy",SUMIFS(OpenLCAbasic!$J:$J,OpenLCAbasic!$E:$E,"Base",OpenLCAbasic!$D:$D,"Base",OpenLCAbasic!$F:$F,Q$9,OpenLCAbasic!$L:$L,$I$5,OpenLCAbasic!$I:$I,C21,OpenLCAbasic!$C:$C,Q$13),
IF(AND(Q$9="Upgraded", OR(Q$11="Low", Q$11="High"), OR(C21=C$37, C21=C$36)),
INDEX(OpenLCAbasic!$J:$J, MATCH(CONCATENATE(Q$11, "_", Q$10, "_", "Upgraded_",$I$5,"_",C21, "_", Q$12, "_", Q$14), OpenLCAbasic!$M:$M,0)),
IF(AND(ISERROR(MATCH(C21, LookUps!$G$5:$G$21,0)), Q$9="Upgraded"),
SUMIFS(OpenLCAbasic!$J:$J,OpenLCAbasic!$E:$E, Q$11, OpenLCAbasic!$D:$D, Q$10, OpenLCAbasic!$F:$F,Q$9,OpenLCAbasic!$L:$L,$I$5,OpenLCAbasic!$I:$I,INDEX(LookUps!$G$5:$G$21,MATCH(C21, LookUps!$J$5:$J$21,0)), OpenLCAbasic!$B:$B, Q$14, OpenLCAbasic!$C:$C, Q$12),
SUMIFS(OpenLCAbasic!$J:$J,OpenLCAbasic!$E:$E, Q$11, OpenLCAbasic!$D:$D, Q$10, OpenLCAbasic!$F:$F,Q$9,OpenLCAbasic!$L:$L,$I$5,OpenLCAbasic!$I:$I,C21, OpenLCAbasic!$B:$B, Q$14, OpenLCAbasic!$C:$C, Q$12)
)))))</f>
        <v>5.0500000000000003E-2</v>
      </c>
      <c r="R21" s="301">
        <f>IF(AND(R$9="Legacy",D21=D$38,OR(R$11="Low",R$11="High")),
INDEX(OpenLCAbasic!$J:$J,MATCH(CONCATENATE(R$10,"_","Base","_","Legacy_",$I$5,"_",D21,"_",R$13,"_n.a."),OpenLCAbasic!$M:$M,0)),
IF(AND(R$9="Legacy",ISERROR(MATCH(D21,LookUps!$H$5:$H$20,0))),"--",
IF(R$9="Legacy",SUMIFS(OpenLCAbasic!$J:$J,OpenLCAbasic!$E:$E,"Base",OpenLCAbasic!$D:$D,"Base",OpenLCAbasic!$F:$F,R$9,OpenLCAbasic!$L:$L,$I$5,OpenLCAbasic!$I:$I,D21,OpenLCAbasic!$C:$C,R$13),
IF(AND(R$9="Upgraded", OR(R$11="Low", R$11="High"), OR(D21=D$37, D21=D$36)),
INDEX(OpenLCAbasic!$J:$J, MATCH(CONCATENATE(R$11, "_", R$10, "_", "Upgraded_",$I$5,"_",D21, "_", R$12, "_", R$14), OpenLCAbasic!$M:$M,0)),
IF(AND(ISERROR(MATCH(D21, LookUps!$G$5:$G$21,0)), R$9="Upgraded"),
SUMIFS(OpenLCAbasic!$J:$J,OpenLCAbasic!$E:$E, R$11, OpenLCAbasic!$D:$D, R$10, OpenLCAbasic!$F:$F,R$9,OpenLCAbasic!$L:$L,$I$5,OpenLCAbasic!$I:$I,INDEX(LookUps!$G$5:$G$21,MATCH(D21, LookUps!$J$5:$J$21,0)), OpenLCAbasic!$B:$B, R$14, OpenLCAbasic!$C:$C, R$12),
SUMIFS(OpenLCAbasic!$J:$J,OpenLCAbasic!$E:$E, R$11, OpenLCAbasic!$D:$D, R$10, OpenLCAbasic!$F:$F,R$9,OpenLCAbasic!$L:$L,$I$5,OpenLCAbasic!$I:$I,D21, OpenLCAbasic!$B:$B, R$14, OpenLCAbasic!$C:$C, R$12)
)))))</f>
        <v>5.0500000000000003E-2</v>
      </c>
      <c r="S21" s="301">
        <f>IF(AND(S$9="Legacy",E21=E$38,OR(S$11="Low",S$11="High")),
INDEX(OpenLCAbasic!$J:$J,MATCH(CONCATENATE(S$10,"_","Base","_","Legacy_",$I$5,"_",E21,"_",S$13,"_n.a."),OpenLCAbasic!$M:$M,0)),
IF(AND(S$9="Legacy",ISERROR(MATCH(E21,LookUps!$H$5:$H$20,0))),"--",
IF(S$9="Legacy",SUMIFS(OpenLCAbasic!$J:$J,OpenLCAbasic!$E:$E,"Base",OpenLCAbasic!$D:$D,"Base",OpenLCAbasic!$F:$F,S$9,OpenLCAbasic!$L:$L,$I$5,OpenLCAbasic!$I:$I,E21,OpenLCAbasic!$C:$C,S$13),
IF(AND(S$9="Upgraded", OR(S$11="Low", S$11="High"), OR(E21=E$37, E21=E$36)),
INDEX(OpenLCAbasic!$J:$J, MATCH(CONCATENATE(S$11, "_", S$10, "_", "Upgraded_",$I$5,"_",E21, "_", S$12, "_", S$14), OpenLCAbasic!$M:$M,0)),
IF(AND(ISERROR(MATCH(E21, LookUps!$G$5:$G$21,0)), S$9="Upgraded"),
SUMIFS(OpenLCAbasic!$J:$J,OpenLCAbasic!$E:$E, S$11, OpenLCAbasic!$D:$D, S$10, OpenLCAbasic!$F:$F,S$9,OpenLCAbasic!$L:$L,$I$5,OpenLCAbasic!$I:$I,INDEX(LookUps!$G$5:$G$21,MATCH(E21, LookUps!$J$5:$J$21,0)), OpenLCAbasic!$B:$B, S$14, OpenLCAbasic!$C:$C, S$12),
SUMIFS(OpenLCAbasic!$J:$J,OpenLCAbasic!$E:$E, S$11, OpenLCAbasic!$D:$D, S$10, OpenLCAbasic!$F:$F,S$9,OpenLCAbasic!$L:$L,$I$5,OpenLCAbasic!$I:$I,E21, OpenLCAbasic!$B:$B, S$14, OpenLCAbasic!$C:$C, S$12)
)))))</f>
        <v>5.0500000000000003E-2</v>
      </c>
      <c r="T21" s="301">
        <f>IF(AND(T$9="Legacy",F21=F$38,OR(T$11="Low",T$11="High")),
INDEX(OpenLCAbasic!$J:$J,MATCH(CONCATENATE(T$10,"_","Base","_","Legacy_",$I$5,"_",F21,"_",T$13,"_n.a."),OpenLCAbasic!$M:$M,0)),
IF(AND(T$9="Legacy",ISERROR(MATCH(F21,LookUps!$H$5:$H$20,0))),"--",
IF(T$9="Legacy",SUMIFS(OpenLCAbasic!$J:$J,OpenLCAbasic!$E:$E,"Base",OpenLCAbasic!$D:$D,"Base",OpenLCAbasic!$F:$F,T$9,OpenLCAbasic!$L:$L,$I$5,OpenLCAbasic!$I:$I,F21,OpenLCAbasic!$C:$C,T$13),
IF(AND(T$9="Upgraded", OR(T$11="Low", T$11="High"), OR(F21=F$37, F21=F$36)),
INDEX(OpenLCAbasic!$J:$J, MATCH(CONCATENATE(T$11, "_", T$10, "_", "Upgraded_",$I$5,"_",F21, "_", T$12, "_", T$14), OpenLCAbasic!$M:$M,0)),
IF(AND(ISERROR(MATCH(F21, LookUps!$G$5:$G$21,0)), T$9="Upgraded"),
SUMIFS(OpenLCAbasic!$J:$J,OpenLCAbasic!$E:$E, T$11, OpenLCAbasic!$D:$D, T$10, OpenLCAbasic!$F:$F,T$9,OpenLCAbasic!$L:$L,$I$5,OpenLCAbasic!$I:$I,INDEX(LookUps!$G$5:$G$21,MATCH(F21, LookUps!$J$5:$J$21,0)), OpenLCAbasic!$B:$B, T$14, OpenLCAbasic!$C:$C, T$12),
SUMIFS(OpenLCAbasic!$J:$J,OpenLCAbasic!$E:$E, T$11, OpenLCAbasic!$D:$D, T$10, OpenLCAbasic!$F:$F,T$9,OpenLCAbasic!$L:$L,$I$5,OpenLCAbasic!$I:$I,F21, OpenLCAbasic!$B:$B, T$14, OpenLCAbasic!$C:$C, T$12)
)))))</f>
        <v>5.0500000000000003E-2</v>
      </c>
      <c r="U21" s="301">
        <f>IF(AND(U$9="Legacy",G21=G$38,OR(U$11="Low",U$11="High")),
INDEX(OpenLCAbasic!$J:$J,MATCH(CONCATENATE(U$10,"_","Base","_","Legacy_",$I$5,"_",G21,"_",U$13,"_n.a."),OpenLCAbasic!$M:$M,0)),
IF(AND(U$9="Legacy",ISERROR(MATCH(G21,LookUps!$H$5:$H$20,0))),"--",
IF(U$9="Legacy",SUMIFS(OpenLCAbasic!$J:$J,OpenLCAbasic!$E:$E,"Base",OpenLCAbasic!$D:$D,"Base",OpenLCAbasic!$F:$F,U$9,OpenLCAbasic!$L:$L,$I$5,OpenLCAbasic!$I:$I,G21,OpenLCAbasic!$C:$C,U$13),
IF(AND(U$9="Upgraded", OR(U$11="Low", U$11="High"), OR(G21=G$37, G21=G$36)),
INDEX(OpenLCAbasic!$J:$J, MATCH(CONCATENATE(U$11, "_", U$10, "_", "Upgraded_",$I$5,"_",G21, "_", U$12, "_", U$14), OpenLCAbasic!$M:$M,0)),
IF(AND(ISERROR(MATCH(G21, LookUps!$G$5:$G$21,0)), U$9="Upgraded"),
SUMIFS(OpenLCAbasic!$J:$J,OpenLCAbasic!$E:$E, U$11, OpenLCAbasic!$D:$D, U$10, OpenLCAbasic!$F:$F,U$9,OpenLCAbasic!$L:$L,$I$5,OpenLCAbasic!$I:$I,INDEX(LookUps!$G$5:$G$21,MATCH(G21, LookUps!$J$5:$J$21,0)), OpenLCAbasic!$B:$B, U$14, OpenLCAbasic!$C:$C, U$12),
SUMIFS(OpenLCAbasic!$J:$J,OpenLCAbasic!$E:$E, U$11, OpenLCAbasic!$D:$D, U$10, OpenLCAbasic!$F:$F,U$9,OpenLCAbasic!$L:$L,$I$5,OpenLCAbasic!$I:$I,G21, OpenLCAbasic!$B:$B, U$14, OpenLCAbasic!$C:$C, U$12)
)))))</f>
        <v>5.0500000000000003E-2</v>
      </c>
      <c r="V21" s="302"/>
      <c r="W21" s="274" t="str">
        <f>IF(AND(W$9="Legacy",B21=B$38,OR(W$11="Low",W$11="High")),
INDEX(OpenLCAbasic!$J:$J,MATCH(CONCATENATE(W$10,"_","Base","_","Legacy_",$I$6,"_",B21,"_",W$13,"_n.a."),OpenLCAbasic!$M:$M,0)),
IF(AND(W$9="Legacy",ISERROR(MATCH(B21,LookUps!$H$5:$H$20,0))),"--",
IF(W$9="Legacy",SUMIFS(OpenLCAbasic!$J:$J,OpenLCAbasic!$E:$E,"Base",OpenLCAbasic!$D:$D,"Base",OpenLCAbasic!$F:$F,W$9,OpenLCAbasic!$L:$L,$I$6,OpenLCAbasic!$I:$I,B21,OpenLCAbasic!$C:$C,W$13),
IF(AND(W$9="Upgraded", OR(W$11="Low", W$11="High"), OR(B21=B$37, B21=B$36)),
INDEX(OpenLCAbasic!$J:$J, MATCH(CONCATENATE(W$11, "_", W$10, "_", "Upgraded_",$I$6,"_",B21, "_", W$12, "_", W$14), OpenLCAbasic!$M:$M,0)),
IF(AND(ISERROR(MATCH(B21, LookUps!$G$5:$G$21,0)), W$9="Upgraded"),
SUMIFS(OpenLCAbasic!$J:$J,OpenLCAbasic!$E:$E, W$11, OpenLCAbasic!$D:$D, W$10, OpenLCAbasic!$F:$F,W$9,OpenLCAbasic!$L:$L,$I$6,OpenLCAbasic!$I:$I,INDEX(LookUps!$G$5:$G$21,MATCH(B21, LookUps!$J$5:$J$21,0)), OpenLCAbasic!$B:$B, W$14, OpenLCAbasic!$C:$C, W$12),
SUMIFS(OpenLCAbasic!$J:$J,OpenLCAbasic!$E:$E, W$11, OpenLCAbasic!$D:$D, W$10, OpenLCAbasic!$F:$F,W$9,OpenLCAbasic!$L:$L,$I$6,OpenLCAbasic!$I:$I,B21, OpenLCAbasic!$B:$B, W$14, OpenLCAbasic!$C:$C, W$12)
)))))</f>
        <v>--</v>
      </c>
      <c r="X21" s="303">
        <f>IF(AND(X$9="Legacy",C21=C$38,OR(X$11="Low",X$11="High")),
INDEX(OpenLCAbasic!$J:$J,MATCH(CONCATENATE(X$10,"_","Base","_","Legacy_",$I$6,"_",C21,"_",X$13,"_n.a."),OpenLCAbasic!$M:$M,0)),
IF(AND(X$9="Legacy",ISERROR(MATCH(C21,LookUps!$H$5:$H$20,0))),"--",
IF(X$9="Legacy",SUMIFS(OpenLCAbasic!$J:$J,OpenLCAbasic!$E:$E,"Base",OpenLCAbasic!$D:$D,"Base",OpenLCAbasic!$F:$F,X$9,OpenLCAbasic!$L:$L,$I$6,OpenLCAbasic!$I:$I,C21,OpenLCAbasic!$C:$C,X$13),
IF(AND(X$9="Upgraded", OR(X$11="Low", X$11="High"), OR(C21=C$37, C21=C$36)),
INDEX(OpenLCAbasic!$J:$J, MATCH(CONCATENATE(X$11, "_", X$10, "_", "Upgraded_",$I$6,"_",C21, "_", X$12, "_", X$14), OpenLCAbasic!$M:$M,0)),
IF(AND(ISERROR(MATCH(C21, LookUps!$G$5:$G$21,0)), X$9="Upgraded"),
SUMIFS(OpenLCAbasic!$J:$J,OpenLCAbasic!$E:$E, X$11, OpenLCAbasic!$D:$D, X$10, OpenLCAbasic!$F:$F,X$9,OpenLCAbasic!$L:$L,$I$6,OpenLCAbasic!$I:$I,INDEX(LookUps!$G$5:$G$21,MATCH(C21, LookUps!$J$5:$J$21,0)), OpenLCAbasic!$B:$B, X$14, OpenLCAbasic!$C:$C, X$12),
SUMIFS(OpenLCAbasic!$J:$J,OpenLCAbasic!$E:$E, X$11, OpenLCAbasic!$D:$D, X$10, OpenLCAbasic!$F:$F,X$9,OpenLCAbasic!$L:$L,$I$6,OpenLCAbasic!$I:$I,C21, OpenLCAbasic!$B:$B, X$14, OpenLCAbasic!$C:$C, X$12)
)))))</f>
        <v>2.5000000000000001E-4</v>
      </c>
      <c r="Y21" s="303">
        <f>IF(AND(Y$9="Legacy",D21=D$38,OR(Y$11="Low",Y$11="High")),
INDEX(OpenLCAbasic!$J:$J,MATCH(CONCATENATE(Y$10,"_","Base","_","Legacy_",$I$6,"_",D21,"_",Y$13,"_n.a."),OpenLCAbasic!$M:$M,0)),
IF(AND(Y$9="Legacy",ISERROR(MATCH(D21,LookUps!$H$5:$H$20,0))),"--",
IF(Y$9="Legacy",SUMIFS(OpenLCAbasic!$J:$J,OpenLCAbasic!$E:$E,"Base",OpenLCAbasic!$D:$D,"Base",OpenLCAbasic!$F:$F,Y$9,OpenLCAbasic!$L:$L,$I$6,OpenLCAbasic!$I:$I,D21,OpenLCAbasic!$C:$C,Y$13),
IF(AND(Y$9="Upgraded", OR(Y$11="Low", Y$11="High"), OR(D21=D$37, D21=D$36)),
INDEX(OpenLCAbasic!$J:$J, MATCH(CONCATENATE(Y$11, "_", Y$10, "_", "Upgraded_",$I$6,"_",D21, "_", Y$12, "_", Y$14), OpenLCAbasic!$M:$M,0)),
IF(AND(ISERROR(MATCH(D21, LookUps!$G$5:$G$21,0)), Y$9="Upgraded"),
SUMIFS(OpenLCAbasic!$J:$J,OpenLCAbasic!$E:$E, Y$11, OpenLCAbasic!$D:$D, Y$10, OpenLCAbasic!$F:$F,Y$9,OpenLCAbasic!$L:$L,$I$6,OpenLCAbasic!$I:$I,INDEX(LookUps!$G$5:$G$21,MATCH(D21, LookUps!$J$5:$J$21,0)), OpenLCAbasic!$B:$B, Y$14, OpenLCAbasic!$C:$C, Y$12),
SUMIFS(OpenLCAbasic!$J:$J,OpenLCAbasic!$E:$E, Y$11, OpenLCAbasic!$D:$D, Y$10, OpenLCAbasic!$F:$F,Y$9,OpenLCAbasic!$L:$L,$I$6,OpenLCAbasic!$I:$I,D21, OpenLCAbasic!$B:$B, Y$14, OpenLCAbasic!$C:$C, Y$12)
)))))</f>
        <v>2.5000000000000001E-4</v>
      </c>
      <c r="Z21" s="303">
        <f>IF(AND(Z$9="Legacy",E21=E$38,OR(Z$11="Low",Z$11="High")),
INDEX(OpenLCAbasic!$J:$J,MATCH(CONCATENATE(Z$10,"_","Base","_","Legacy_",$I$6,"_",E21,"_",Z$13,"_n.a."),OpenLCAbasic!$M:$M,0)),
IF(AND(Z$9="Legacy",ISERROR(MATCH(E21,LookUps!$H$5:$H$20,0))),"--",
IF(Z$9="Legacy",SUMIFS(OpenLCAbasic!$J:$J,OpenLCAbasic!$E:$E,"Base",OpenLCAbasic!$D:$D,"Base",OpenLCAbasic!$F:$F,Z$9,OpenLCAbasic!$L:$L,$I$6,OpenLCAbasic!$I:$I,E21,OpenLCAbasic!$C:$C,Z$13),
IF(AND(Z$9="Upgraded", OR(Z$11="Low", Z$11="High"), OR(E21=E$37, E21=E$36)),
INDEX(OpenLCAbasic!$J:$J, MATCH(CONCATENATE(Z$11, "_", Z$10, "_", "Upgraded_",$I$6,"_",E21, "_", Z$12, "_", Z$14), OpenLCAbasic!$M:$M,0)),
IF(AND(ISERROR(MATCH(E21, LookUps!$G$5:$G$21,0)), Z$9="Upgraded"),
SUMIFS(OpenLCAbasic!$J:$J,OpenLCAbasic!$E:$E, Z$11, OpenLCAbasic!$D:$D, Z$10, OpenLCAbasic!$F:$F,Z$9,OpenLCAbasic!$L:$L,$I$6,OpenLCAbasic!$I:$I,INDEX(LookUps!$G$5:$G$21,MATCH(E21, LookUps!$J$5:$J$21,0)), OpenLCAbasic!$B:$B, Z$14, OpenLCAbasic!$C:$C, Z$12),
SUMIFS(OpenLCAbasic!$J:$J,OpenLCAbasic!$E:$E, Z$11, OpenLCAbasic!$D:$D, Z$10, OpenLCAbasic!$F:$F,Z$9,OpenLCAbasic!$L:$L,$I$6,OpenLCAbasic!$I:$I,E21, OpenLCAbasic!$B:$B, Z$14, OpenLCAbasic!$C:$C, Z$12)
)))))</f>
        <v>2.5000000000000001E-4</v>
      </c>
      <c r="AA21" s="303">
        <f>IF(AND(AA$9="Legacy",F21=F$38,OR(AA$11="Low",AA$11="High")),
INDEX(OpenLCAbasic!$J:$J,MATCH(CONCATENATE(AA$10,"_","Base","_","Legacy_",$I$6,"_",F21,"_",AA$13,"_n.a."),OpenLCAbasic!$M:$M,0)),
IF(AND(AA$9="Legacy",ISERROR(MATCH(F21,LookUps!$H$5:$H$20,0))),"--",
IF(AA$9="Legacy",SUMIFS(OpenLCAbasic!$J:$J,OpenLCAbasic!$E:$E,"Base",OpenLCAbasic!$D:$D,"Base",OpenLCAbasic!$F:$F,AA$9,OpenLCAbasic!$L:$L,$I$6,OpenLCAbasic!$I:$I,F21,OpenLCAbasic!$C:$C,AA$13),
IF(AND(AA$9="Upgraded", OR(AA$11="Low", AA$11="High"), OR(F21=F$37, F21=F$36)),
INDEX(OpenLCAbasic!$J:$J, MATCH(CONCATENATE(AA$11, "_", AA$10, "_", "Upgraded_",$I$6,"_",F21, "_", AA$12, "_", AA$14), OpenLCAbasic!$M:$M,0)),
IF(AND(ISERROR(MATCH(F21, LookUps!$G$5:$G$21,0)), AA$9="Upgraded"),
SUMIFS(OpenLCAbasic!$J:$J,OpenLCAbasic!$E:$E, AA$11, OpenLCAbasic!$D:$D, AA$10, OpenLCAbasic!$F:$F,AA$9,OpenLCAbasic!$L:$L,$I$6,OpenLCAbasic!$I:$I,INDEX(LookUps!$G$5:$G$21,MATCH(F21, LookUps!$J$5:$J$21,0)), OpenLCAbasic!$B:$B, AA$14, OpenLCAbasic!$C:$C, AA$12),
SUMIFS(OpenLCAbasic!$J:$J,OpenLCAbasic!$E:$E, AA$11, OpenLCAbasic!$D:$D, AA$10, OpenLCAbasic!$F:$F,AA$9,OpenLCAbasic!$L:$L,$I$6,OpenLCAbasic!$I:$I,F21, OpenLCAbasic!$B:$B, AA$14, OpenLCAbasic!$C:$C, AA$12)
)))))</f>
        <v>2.5000000000000001E-4</v>
      </c>
      <c r="AB21" s="303">
        <f>IF(AND(AB$9="Legacy",G21=G$38,OR(AB$11="Low",AB$11="High")),
INDEX(OpenLCAbasic!$J:$J,MATCH(CONCATENATE(AB$10,"_","Base","_","Legacy_",$I$6,"_",G21,"_",AB$13,"_n.a."),OpenLCAbasic!$M:$M,0)),
IF(AND(AB$9="Legacy",ISERROR(MATCH(G21,LookUps!$H$5:$H$20,0))),"--",
IF(AB$9="Legacy",SUMIFS(OpenLCAbasic!$J:$J,OpenLCAbasic!$E:$E,"Base",OpenLCAbasic!$D:$D,"Base",OpenLCAbasic!$F:$F,AB$9,OpenLCAbasic!$L:$L,$I$6,OpenLCAbasic!$I:$I,G21,OpenLCAbasic!$C:$C,AB$13),
IF(AND(AB$9="Upgraded", OR(AB$11="Low", AB$11="High"), OR(G21=G$37, G21=G$36)),
INDEX(OpenLCAbasic!$J:$J, MATCH(CONCATENATE(AB$11, "_", AB$10, "_", "Upgraded_",$I$6,"_",G21, "_", AB$12, "_", AB$14), OpenLCAbasic!$M:$M,0)),
IF(AND(ISERROR(MATCH(G21, LookUps!$G$5:$G$21,0)), AB$9="Upgraded"),
SUMIFS(OpenLCAbasic!$J:$J,OpenLCAbasic!$E:$E, AB$11, OpenLCAbasic!$D:$D, AB$10, OpenLCAbasic!$F:$F,AB$9,OpenLCAbasic!$L:$L,$I$6,OpenLCAbasic!$I:$I,INDEX(LookUps!$G$5:$G$21,MATCH(G21, LookUps!$J$5:$J$21,0)), OpenLCAbasic!$B:$B, AB$14, OpenLCAbasic!$C:$C, AB$12),
SUMIFS(OpenLCAbasic!$J:$J,OpenLCAbasic!$E:$E, AB$11, OpenLCAbasic!$D:$D, AB$10, OpenLCAbasic!$F:$F,AB$9,OpenLCAbasic!$L:$L,$I$6,OpenLCAbasic!$I:$I,G21, OpenLCAbasic!$B:$B, AB$14, OpenLCAbasic!$C:$C, AB$12)
)))))</f>
        <v>2.5000000000000001E-4</v>
      </c>
    </row>
    <row r="22" spans="2:28" x14ac:dyDescent="0.25">
      <c r="B22" s="99" t="str">
        <f t="shared" si="15"/>
        <v>Screening and Grit Removal - US</v>
      </c>
      <c r="C22" s="99" t="str">
        <f t="shared" si="14"/>
        <v>Screening and Grit Removal - US</v>
      </c>
      <c r="D22" s="99" t="str">
        <f t="shared" si="14"/>
        <v>Screening and Grit Removal - US</v>
      </c>
      <c r="E22" s="99" t="str">
        <f t="shared" si="14"/>
        <v>Screening and Grit Removal - US</v>
      </c>
      <c r="F22" s="99" t="str">
        <f t="shared" si="14"/>
        <v>Screening and Grit Removal - US</v>
      </c>
      <c r="G22" s="99" t="str">
        <f t="shared" si="14"/>
        <v>Screening and Grit Removal - US</v>
      </c>
      <c r="H22" s="266" t="str">
        <f>LookUps!$H$6</f>
        <v>Screening and Grit Removal - US</v>
      </c>
      <c r="I22" s="301">
        <f>IF(AND(I$9="Legacy",B22=B$38,OR(I$11="Low",I$11="High")),
INDEX(OpenLCAbasic!$J:$J,MATCH(CONCATENATE(I$10,"_","Base","_","Legacy_",$I$4,"_",B22,"_",I$13,"_n.a."),OpenLCAbasic!$M:$M,0)),
IF(AND(I$9="Legacy",ISERROR(MATCH(B22,LookUps!$H$5:$H$20,0))),"--",
IF(I$9="Legacy",SUMIFS(OpenLCAbasic!$J:$J,OpenLCAbasic!$E:$E,"Base",OpenLCAbasic!$D:$D,"Base",OpenLCAbasic!$F:$F,I$9,OpenLCAbasic!$L:$L,$I$4,OpenLCAbasic!$I:$I,B22,OpenLCAbasic!$C:$C,I$13),
IF(AND(I$9="Upgraded", OR(I$11="Low", I$11="High"), OR(B22=B$37, B22=B$36)),
INDEX(OpenLCAbasic!$J:$J, MATCH(CONCATENATE(I$11, "_", I$10, "_", "Upgraded_",$I$4,"_",B22, "_", I$12, "_", I$14), OpenLCAbasic!$M:$M,0)),
IF(AND(ISERROR(MATCH(B22, LookUps!$G$5:$G$21,0)), I$9="Upgraded"),
SUMIFS(OpenLCAbasic!$J:$J,OpenLCAbasic!$E:$E, I$11, OpenLCAbasic!$D:$D, I$10, OpenLCAbasic!$F:$F,I$9,OpenLCAbasic!$L:$L,$I$4,OpenLCAbasic!$I:$I,INDEX(LookUps!$G$5:$G$21,MATCH(B22, LookUps!$J$5:$J$21,0)), OpenLCAbasic!$B:$B, I$14, OpenLCAbasic!$C:$C, I$12),
SUMIFS(OpenLCAbasic!$J:$J,OpenLCAbasic!$E:$E, I$11, OpenLCAbasic!$D:$D, I$10, OpenLCAbasic!$F:$F,I$9,OpenLCAbasic!$L:$L,$I$4,OpenLCAbasic!$I:$I,B22, OpenLCAbasic!$B:$B, I$14, OpenLCAbasic!$C:$C, I$12)
)))))</f>
        <v>0.1525</v>
      </c>
      <c r="J22" s="304">
        <f>IF(AND(J$9="Legacy",C22=C$38,OR(J$11="Low",J$11="High")),
INDEX(OpenLCAbasic!$J:$J,MATCH(CONCATENATE(J$10,"_","Base","_","Legacy_",$I$4,"_",C22,"_",J$13,"_n.a."),OpenLCAbasic!$M:$M,0)),
IF(AND(J$9="Legacy",ISERROR(MATCH(C22,LookUps!$H$5:$H$20,0))),"--",
IF(J$9="Legacy",SUMIFS(OpenLCAbasic!$J:$J,OpenLCAbasic!$E:$E,"Base",OpenLCAbasic!$D:$D,"Base",OpenLCAbasic!$F:$F,J$9,OpenLCAbasic!$L:$L,$I$4,OpenLCAbasic!$I:$I,C22,OpenLCAbasic!$C:$C,J$13),
IF(AND(J$9="Upgraded", OR(J$11="Low", J$11="High"), OR(C22=C$37, C22=C$36)),
INDEX(OpenLCAbasic!$J:$J, MATCH(CONCATENATE(J$11, "_", J$10, "_", "Upgraded_",$I$4,"_",C22, "_", J$12, "_", J$14), OpenLCAbasic!$M:$M,0)),
IF(AND(ISERROR(MATCH(C22, LookUps!$G$5:$G$21,0)), J$9="Upgraded"),
SUMIFS(OpenLCAbasic!$J:$J,OpenLCAbasic!$E:$E, J$11, OpenLCAbasic!$D:$D, J$10, OpenLCAbasic!$F:$F,J$9,OpenLCAbasic!$L:$L,$I$4,OpenLCAbasic!$I:$I,INDEX(LookUps!$G$5:$G$21,MATCH(C22, LookUps!$J$5:$J$21,0)), OpenLCAbasic!$B:$B, J$14, OpenLCAbasic!$C:$C, J$12),
SUMIFS(OpenLCAbasic!$J:$J,OpenLCAbasic!$E:$E, J$11, OpenLCAbasic!$D:$D, J$10, OpenLCAbasic!$F:$F,J$9,OpenLCAbasic!$L:$L,$I$4,OpenLCAbasic!$I:$I,C22, OpenLCAbasic!$B:$B, J$14, OpenLCAbasic!$C:$C, J$12)
)))))</f>
        <v>0</v>
      </c>
      <c r="K22" s="304">
        <f>IF(AND(K$9="Legacy",D22=D$38,OR(K$11="Low",K$11="High")),
INDEX(OpenLCAbasic!$J:$J,MATCH(CONCATENATE(K$10,"_","Base","_","Legacy_",$I$4,"_",D22,"_",K$13,"_n.a."),OpenLCAbasic!$M:$M,0)),
IF(AND(K$9="Legacy",ISERROR(MATCH(D22,LookUps!$H$5:$H$20,0))),"--",
IF(K$9="Legacy",SUMIFS(OpenLCAbasic!$J:$J,OpenLCAbasic!$E:$E,"Base",OpenLCAbasic!$D:$D,"Base",OpenLCAbasic!$F:$F,K$9,OpenLCAbasic!$L:$L,$I$4,OpenLCAbasic!$I:$I,D22,OpenLCAbasic!$C:$C,K$13),
IF(AND(K$9="Upgraded", OR(K$11="Low", K$11="High"), OR(D22=D$37, D22=D$36)),
INDEX(OpenLCAbasic!$J:$J, MATCH(CONCATENATE(K$11, "_", K$10, "_", "Upgraded_",$I$4,"_",D22, "_", K$12, "_", K$14), OpenLCAbasic!$M:$M,0)),
IF(AND(ISERROR(MATCH(D22, LookUps!$G$5:$G$21,0)), K$9="Upgraded"),
SUMIFS(OpenLCAbasic!$J:$J,OpenLCAbasic!$E:$E, K$11, OpenLCAbasic!$D:$D, K$10, OpenLCAbasic!$F:$F,K$9,OpenLCAbasic!$L:$L,$I$4,OpenLCAbasic!$I:$I,INDEX(LookUps!$G$5:$G$21,MATCH(D22, LookUps!$J$5:$J$21,0)), OpenLCAbasic!$B:$B, K$14, OpenLCAbasic!$C:$C, K$12),
SUMIFS(OpenLCAbasic!$J:$J,OpenLCAbasic!$E:$E, K$11, OpenLCAbasic!$D:$D, K$10, OpenLCAbasic!$F:$F,K$9,OpenLCAbasic!$L:$L,$I$4,OpenLCAbasic!$I:$I,D22, OpenLCAbasic!$B:$B, K$14, OpenLCAbasic!$C:$C, K$12)
)))))</f>
        <v>0</v>
      </c>
      <c r="L22" s="304">
        <f>IF(AND(L$9="Legacy",E22=E$38,OR(L$11="Low",L$11="High")),
INDEX(OpenLCAbasic!$J:$J,MATCH(CONCATENATE(L$10,"_","Base","_","Legacy_",$I$4,"_",E22,"_",L$13,"_n.a."),OpenLCAbasic!$M:$M,0)),
IF(AND(L$9="Legacy",ISERROR(MATCH(E22,LookUps!$H$5:$H$20,0))),"--",
IF(L$9="Legacy",SUMIFS(OpenLCAbasic!$J:$J,OpenLCAbasic!$E:$E,"Base",OpenLCAbasic!$D:$D,"Base",OpenLCAbasic!$F:$F,L$9,OpenLCAbasic!$L:$L,$I$4,OpenLCAbasic!$I:$I,E22,OpenLCAbasic!$C:$C,L$13),
IF(AND(L$9="Upgraded", OR(L$11="Low", L$11="High"), OR(E22=E$37, E22=E$36)),
INDEX(OpenLCAbasic!$J:$J, MATCH(CONCATENATE(L$11, "_", L$10, "_", "Upgraded_",$I$4,"_",E22, "_", L$12, "_", L$14), OpenLCAbasic!$M:$M,0)),
IF(AND(ISERROR(MATCH(E22, LookUps!$G$5:$G$21,0)), L$9="Upgraded"),
SUMIFS(OpenLCAbasic!$J:$J,OpenLCAbasic!$E:$E, L$11, OpenLCAbasic!$D:$D, L$10, OpenLCAbasic!$F:$F,L$9,OpenLCAbasic!$L:$L,$I$4,OpenLCAbasic!$I:$I,INDEX(LookUps!$G$5:$G$21,MATCH(E22, LookUps!$J$5:$J$21,0)), OpenLCAbasic!$B:$B, L$14, OpenLCAbasic!$C:$C, L$12),
SUMIFS(OpenLCAbasic!$J:$J,OpenLCAbasic!$E:$E, L$11, OpenLCAbasic!$D:$D, L$10, OpenLCAbasic!$F:$F,L$9,OpenLCAbasic!$L:$L,$I$4,OpenLCAbasic!$I:$I,E22, OpenLCAbasic!$B:$B, L$14, OpenLCAbasic!$C:$C, L$12)
)))))</f>
        <v>0</v>
      </c>
      <c r="M22" s="304">
        <f>IF(AND(M$9="Legacy",F22=F$38,OR(M$11="Low",M$11="High")),
INDEX(OpenLCAbasic!$J:$J,MATCH(CONCATENATE(M$10,"_","Base","_","Legacy_",$I$4,"_",F22,"_",M$13,"_n.a."),OpenLCAbasic!$M:$M,0)),
IF(AND(M$9="Legacy",ISERROR(MATCH(F22,LookUps!$H$5:$H$20,0))),"--",
IF(M$9="Legacy",SUMIFS(OpenLCAbasic!$J:$J,OpenLCAbasic!$E:$E,"Base",OpenLCAbasic!$D:$D,"Base",OpenLCAbasic!$F:$F,M$9,OpenLCAbasic!$L:$L,$I$4,OpenLCAbasic!$I:$I,F22,OpenLCAbasic!$C:$C,M$13),
IF(AND(M$9="Upgraded", OR(M$11="Low", M$11="High"), OR(F22=F$37, F22=F$36)),
INDEX(OpenLCAbasic!$J:$J, MATCH(CONCATENATE(M$11, "_", M$10, "_", "Upgraded_",$I$4,"_",F22, "_", M$12, "_", M$14), OpenLCAbasic!$M:$M,0)),
IF(AND(ISERROR(MATCH(F22, LookUps!$G$5:$G$21,0)), M$9="Upgraded"),
SUMIFS(OpenLCAbasic!$J:$J,OpenLCAbasic!$E:$E, M$11, OpenLCAbasic!$D:$D, M$10, OpenLCAbasic!$F:$F,M$9,OpenLCAbasic!$L:$L,$I$4,OpenLCAbasic!$I:$I,INDEX(LookUps!$G$5:$G$21,MATCH(F22, LookUps!$J$5:$J$21,0)), OpenLCAbasic!$B:$B, M$14, OpenLCAbasic!$C:$C, M$12),
SUMIFS(OpenLCAbasic!$J:$J,OpenLCAbasic!$E:$E, M$11, OpenLCAbasic!$D:$D, M$10, OpenLCAbasic!$F:$F,M$9,OpenLCAbasic!$L:$L,$I$4,OpenLCAbasic!$I:$I,F22, OpenLCAbasic!$B:$B, M$14, OpenLCAbasic!$C:$C, M$12)
)))))</f>
        <v>0</v>
      </c>
      <c r="N22" s="304">
        <f>IF(AND(N$9="Legacy",G22=G$38,OR(N$11="Low",N$11="High")),
INDEX(OpenLCAbasic!$J:$J,MATCH(CONCATENATE(N$10,"_","Base","_","Legacy_",$I$4,"_",G22,"_",N$13,"_n.a."),OpenLCAbasic!$M:$M,0)),
IF(AND(N$9="Legacy",ISERROR(MATCH(G22,LookUps!$H$5:$H$20,0))),"--",
IF(N$9="Legacy",SUMIFS(OpenLCAbasic!$J:$J,OpenLCAbasic!$E:$E,"Base",OpenLCAbasic!$D:$D,"Base",OpenLCAbasic!$F:$F,N$9,OpenLCAbasic!$L:$L,$I$4,OpenLCAbasic!$I:$I,G22,OpenLCAbasic!$C:$C,N$13),
IF(AND(N$9="Upgraded", OR(N$11="Low", N$11="High"), OR(G22=G$37, G22=G$36)),
INDEX(OpenLCAbasic!$J:$J, MATCH(CONCATENATE(N$11, "_", N$10, "_", "Upgraded_",$I$4,"_",G22, "_", N$12, "_", N$14), OpenLCAbasic!$M:$M,0)),
IF(AND(ISERROR(MATCH(G22, LookUps!$G$5:$G$21,0)), N$9="Upgraded"),
SUMIFS(OpenLCAbasic!$J:$J,OpenLCAbasic!$E:$E, N$11, OpenLCAbasic!$D:$D, N$10, OpenLCAbasic!$F:$F,N$9,OpenLCAbasic!$L:$L,$I$4,OpenLCAbasic!$I:$I,INDEX(LookUps!$G$5:$G$21,MATCH(G22, LookUps!$J$5:$J$21,0)), OpenLCAbasic!$B:$B, N$14, OpenLCAbasic!$C:$C, N$12),
SUMIFS(OpenLCAbasic!$J:$J,OpenLCAbasic!$E:$E, N$11, OpenLCAbasic!$D:$D, N$10, OpenLCAbasic!$F:$F,N$9,OpenLCAbasic!$L:$L,$I$4,OpenLCAbasic!$I:$I,G22, OpenLCAbasic!$B:$B, N$14, OpenLCAbasic!$C:$C, N$12)
)))))</f>
        <v>0</v>
      </c>
      <c r="O22" s="302"/>
      <c r="P22" s="303">
        <f>IF(AND(P$9="Legacy",B22=B$38,OR(P$11="Low",P$11="High")),
INDEX(OpenLCAbasic!$J:$J,MATCH(CONCATENATE(P$10,"_","Base","_","Legacy_",$I$5,"_",B22,"_",P$13,"_n.a."),OpenLCAbasic!$M:$M,0)),
IF(AND(P$9="Legacy",ISERROR(MATCH(B22,LookUps!$H$5:$H$20,0))),"--",
IF(P$9="Legacy",SUMIFS(OpenLCAbasic!$J:$J,OpenLCAbasic!$E:$E,"Base",OpenLCAbasic!$D:$D,"Base",OpenLCAbasic!$F:$F,P$9,OpenLCAbasic!$L:$L,$I$5,OpenLCAbasic!$I:$I,B22,OpenLCAbasic!$C:$C,P$13),
IF(AND(P$9="Upgraded", OR(P$11="Low", P$11="High"), OR(B22=B$37, B22=B$36)),
INDEX(OpenLCAbasic!$J:$J, MATCH(CONCATENATE(P$11, "_", P$10, "_", "Upgraded_",$I$5,"_",B22, "_", P$12, "_", P$14), OpenLCAbasic!$M:$M,0)),
IF(AND(ISERROR(MATCH(B22, LookUps!$G$5:$G$21,0)), P$9="Upgraded"),
SUMIFS(OpenLCAbasic!$J:$J,OpenLCAbasic!$E:$E, P$11, OpenLCAbasic!$D:$D, P$10, OpenLCAbasic!$F:$F,P$9,OpenLCAbasic!$L:$L,$I$5,OpenLCAbasic!$I:$I,INDEX(LookUps!$G$5:$G$21,MATCH(B22, LookUps!$J$5:$J$21,0)), OpenLCAbasic!$B:$B, P$14, OpenLCAbasic!$C:$C, P$12),
SUMIFS(OpenLCAbasic!$J:$J,OpenLCAbasic!$E:$E, P$11, OpenLCAbasic!$D:$D, P$10, OpenLCAbasic!$F:$F,P$9,OpenLCAbasic!$L:$L,$I$5,OpenLCAbasic!$I:$I,B22, OpenLCAbasic!$B:$B, P$14, OpenLCAbasic!$C:$C, P$12)
)))))</f>
        <v>7.3200000000000001E-3</v>
      </c>
      <c r="Q22" s="304">
        <f>IF(AND(Q$9="Legacy",C22=C$38,OR(Q$11="Low",Q$11="High")),
INDEX(OpenLCAbasic!$J:$J,MATCH(CONCATENATE(Q$10,"_","Base","_","Legacy_",$I$5,"_",C22,"_",Q$13,"_n.a."),OpenLCAbasic!$M:$M,0)),
IF(AND(Q$9="Legacy",ISERROR(MATCH(C22,LookUps!$H$5:$H$20,0))),"--",
IF(Q$9="Legacy",SUMIFS(OpenLCAbasic!$J:$J,OpenLCAbasic!$E:$E,"Base",OpenLCAbasic!$D:$D,"Base",OpenLCAbasic!$F:$F,Q$9,OpenLCAbasic!$L:$L,$I$5,OpenLCAbasic!$I:$I,C22,OpenLCAbasic!$C:$C,Q$13),
IF(AND(Q$9="Upgraded", OR(Q$11="Low", Q$11="High"), OR(C22=C$37, C22=C$36)),
INDEX(OpenLCAbasic!$J:$J, MATCH(CONCATENATE(Q$11, "_", Q$10, "_", "Upgraded_",$I$5,"_",C22, "_", Q$12, "_", Q$14), OpenLCAbasic!$M:$M,0)),
IF(AND(ISERROR(MATCH(C22, LookUps!$G$5:$G$21,0)), Q$9="Upgraded"),
SUMIFS(OpenLCAbasic!$J:$J,OpenLCAbasic!$E:$E, Q$11, OpenLCAbasic!$D:$D, Q$10, OpenLCAbasic!$F:$F,Q$9,OpenLCAbasic!$L:$L,$I$5,OpenLCAbasic!$I:$I,INDEX(LookUps!$G$5:$G$21,MATCH(C22, LookUps!$J$5:$J$21,0)), OpenLCAbasic!$B:$B, Q$14, OpenLCAbasic!$C:$C, Q$12),
SUMIFS(OpenLCAbasic!$J:$J,OpenLCAbasic!$E:$E, Q$11, OpenLCAbasic!$D:$D, Q$10, OpenLCAbasic!$F:$F,Q$9,OpenLCAbasic!$L:$L,$I$5,OpenLCAbasic!$I:$I,C22, OpenLCAbasic!$B:$B, Q$14, OpenLCAbasic!$C:$C, Q$12)
)))))</f>
        <v>0</v>
      </c>
      <c r="R22" s="304">
        <f>IF(AND(R$9="Legacy",D22=D$38,OR(R$11="Low",R$11="High")),
INDEX(OpenLCAbasic!$J:$J,MATCH(CONCATENATE(R$10,"_","Base","_","Legacy_",$I$5,"_",D22,"_",R$13,"_n.a."),OpenLCAbasic!$M:$M,0)),
IF(AND(R$9="Legacy",ISERROR(MATCH(D22,LookUps!$H$5:$H$20,0))),"--",
IF(R$9="Legacy",SUMIFS(OpenLCAbasic!$J:$J,OpenLCAbasic!$E:$E,"Base",OpenLCAbasic!$D:$D,"Base",OpenLCAbasic!$F:$F,R$9,OpenLCAbasic!$L:$L,$I$5,OpenLCAbasic!$I:$I,D22,OpenLCAbasic!$C:$C,R$13),
IF(AND(R$9="Upgraded", OR(R$11="Low", R$11="High"), OR(D22=D$37, D22=D$36)),
INDEX(OpenLCAbasic!$J:$J, MATCH(CONCATENATE(R$11, "_", R$10, "_", "Upgraded_",$I$5,"_",D22, "_", R$12, "_", R$14), OpenLCAbasic!$M:$M,0)),
IF(AND(ISERROR(MATCH(D22, LookUps!$G$5:$G$21,0)), R$9="Upgraded"),
SUMIFS(OpenLCAbasic!$J:$J,OpenLCAbasic!$E:$E, R$11, OpenLCAbasic!$D:$D, R$10, OpenLCAbasic!$F:$F,R$9,OpenLCAbasic!$L:$L,$I$5,OpenLCAbasic!$I:$I,INDEX(LookUps!$G$5:$G$21,MATCH(D22, LookUps!$J$5:$J$21,0)), OpenLCAbasic!$B:$B, R$14, OpenLCAbasic!$C:$C, R$12),
SUMIFS(OpenLCAbasic!$J:$J,OpenLCAbasic!$E:$E, R$11, OpenLCAbasic!$D:$D, R$10, OpenLCAbasic!$F:$F,R$9,OpenLCAbasic!$L:$L,$I$5,OpenLCAbasic!$I:$I,D22, OpenLCAbasic!$B:$B, R$14, OpenLCAbasic!$C:$C, R$12)
)))))</f>
        <v>0</v>
      </c>
      <c r="S22" s="304">
        <f>IF(AND(S$9="Legacy",E22=E$38,OR(S$11="Low",S$11="High")),
INDEX(OpenLCAbasic!$J:$J,MATCH(CONCATENATE(S$10,"_","Base","_","Legacy_",$I$5,"_",E22,"_",S$13,"_n.a."),OpenLCAbasic!$M:$M,0)),
IF(AND(S$9="Legacy",ISERROR(MATCH(E22,LookUps!$H$5:$H$20,0))),"--",
IF(S$9="Legacy",SUMIFS(OpenLCAbasic!$J:$J,OpenLCAbasic!$E:$E,"Base",OpenLCAbasic!$D:$D,"Base",OpenLCAbasic!$F:$F,S$9,OpenLCAbasic!$L:$L,$I$5,OpenLCAbasic!$I:$I,E22,OpenLCAbasic!$C:$C,S$13),
IF(AND(S$9="Upgraded", OR(S$11="Low", S$11="High"), OR(E22=E$37, E22=E$36)),
INDEX(OpenLCAbasic!$J:$J, MATCH(CONCATENATE(S$11, "_", S$10, "_", "Upgraded_",$I$5,"_",E22, "_", S$12, "_", S$14), OpenLCAbasic!$M:$M,0)),
IF(AND(ISERROR(MATCH(E22, LookUps!$G$5:$G$21,0)), S$9="Upgraded"),
SUMIFS(OpenLCAbasic!$J:$J,OpenLCAbasic!$E:$E, S$11, OpenLCAbasic!$D:$D, S$10, OpenLCAbasic!$F:$F,S$9,OpenLCAbasic!$L:$L,$I$5,OpenLCAbasic!$I:$I,INDEX(LookUps!$G$5:$G$21,MATCH(E22, LookUps!$J$5:$J$21,0)), OpenLCAbasic!$B:$B, S$14, OpenLCAbasic!$C:$C, S$12),
SUMIFS(OpenLCAbasic!$J:$J,OpenLCAbasic!$E:$E, S$11, OpenLCAbasic!$D:$D, S$10, OpenLCAbasic!$F:$F,S$9,OpenLCAbasic!$L:$L,$I$5,OpenLCAbasic!$I:$I,E22, OpenLCAbasic!$B:$B, S$14, OpenLCAbasic!$C:$C, S$12)
)))))</f>
        <v>0</v>
      </c>
      <c r="T22" s="304">
        <f>IF(AND(T$9="Legacy",F22=F$38,OR(T$11="Low",T$11="High")),
INDEX(OpenLCAbasic!$J:$J,MATCH(CONCATENATE(T$10,"_","Base","_","Legacy_",$I$5,"_",F22,"_",T$13,"_n.a."),OpenLCAbasic!$M:$M,0)),
IF(AND(T$9="Legacy",ISERROR(MATCH(F22,LookUps!$H$5:$H$20,0))),"--",
IF(T$9="Legacy",SUMIFS(OpenLCAbasic!$J:$J,OpenLCAbasic!$E:$E,"Base",OpenLCAbasic!$D:$D,"Base",OpenLCAbasic!$F:$F,T$9,OpenLCAbasic!$L:$L,$I$5,OpenLCAbasic!$I:$I,F22,OpenLCAbasic!$C:$C,T$13),
IF(AND(T$9="Upgraded", OR(T$11="Low", T$11="High"), OR(F22=F$37, F22=F$36)),
INDEX(OpenLCAbasic!$J:$J, MATCH(CONCATENATE(T$11, "_", T$10, "_", "Upgraded_",$I$5,"_",F22, "_", T$12, "_", T$14), OpenLCAbasic!$M:$M,0)),
IF(AND(ISERROR(MATCH(F22, LookUps!$G$5:$G$21,0)), T$9="Upgraded"),
SUMIFS(OpenLCAbasic!$J:$J,OpenLCAbasic!$E:$E, T$11, OpenLCAbasic!$D:$D, T$10, OpenLCAbasic!$F:$F,T$9,OpenLCAbasic!$L:$L,$I$5,OpenLCAbasic!$I:$I,INDEX(LookUps!$G$5:$G$21,MATCH(F22, LookUps!$J$5:$J$21,0)), OpenLCAbasic!$B:$B, T$14, OpenLCAbasic!$C:$C, T$12),
SUMIFS(OpenLCAbasic!$J:$J,OpenLCAbasic!$E:$E, T$11, OpenLCAbasic!$D:$D, T$10, OpenLCAbasic!$F:$F,T$9,OpenLCAbasic!$L:$L,$I$5,OpenLCAbasic!$I:$I,F22, OpenLCAbasic!$B:$B, T$14, OpenLCAbasic!$C:$C, T$12)
)))))</f>
        <v>0</v>
      </c>
      <c r="U22" s="304">
        <f>IF(AND(U$9="Legacy",G22=G$38,OR(U$11="Low",U$11="High")),
INDEX(OpenLCAbasic!$J:$J,MATCH(CONCATENATE(U$10,"_","Base","_","Legacy_",$I$5,"_",G22,"_",U$13,"_n.a."),OpenLCAbasic!$M:$M,0)),
IF(AND(U$9="Legacy",ISERROR(MATCH(G22,LookUps!$H$5:$H$20,0))),"--",
IF(U$9="Legacy",SUMIFS(OpenLCAbasic!$J:$J,OpenLCAbasic!$E:$E,"Base",OpenLCAbasic!$D:$D,"Base",OpenLCAbasic!$F:$F,U$9,OpenLCAbasic!$L:$L,$I$5,OpenLCAbasic!$I:$I,G22,OpenLCAbasic!$C:$C,U$13),
IF(AND(U$9="Upgraded", OR(U$11="Low", U$11="High"), OR(G22=G$37, G22=G$36)),
INDEX(OpenLCAbasic!$J:$J, MATCH(CONCATENATE(U$11, "_", U$10, "_", "Upgraded_",$I$5,"_",G22, "_", U$12, "_", U$14), OpenLCAbasic!$M:$M,0)),
IF(AND(ISERROR(MATCH(G22, LookUps!$G$5:$G$21,0)), U$9="Upgraded"),
SUMIFS(OpenLCAbasic!$J:$J,OpenLCAbasic!$E:$E, U$11, OpenLCAbasic!$D:$D, U$10, OpenLCAbasic!$F:$F,U$9,OpenLCAbasic!$L:$L,$I$5,OpenLCAbasic!$I:$I,INDEX(LookUps!$G$5:$G$21,MATCH(G22, LookUps!$J$5:$J$21,0)), OpenLCAbasic!$B:$B, U$14, OpenLCAbasic!$C:$C, U$12),
SUMIFS(OpenLCAbasic!$J:$J,OpenLCAbasic!$E:$E, U$11, OpenLCAbasic!$D:$D, U$10, OpenLCAbasic!$F:$F,U$9,OpenLCAbasic!$L:$L,$I$5,OpenLCAbasic!$I:$I,G22, OpenLCAbasic!$B:$B, U$14, OpenLCAbasic!$C:$C, U$12)
)))))</f>
        <v>0</v>
      </c>
      <c r="V22" s="302"/>
      <c r="W22" s="303">
        <f>IF(AND(W$9="Legacy",B22=B$38,OR(W$11="Low",W$11="High")),
INDEX(OpenLCAbasic!$J:$J,MATCH(CONCATENATE(W$10,"_","Base","_","Legacy_",$I$6,"_",B22,"_",W$13,"_n.a."),OpenLCAbasic!$M:$M,0)),
IF(AND(W$9="Legacy",ISERROR(MATCH(B22,LookUps!$H$5:$H$20,0))),"--",
IF(W$9="Legacy",SUMIFS(OpenLCAbasic!$J:$J,OpenLCAbasic!$E:$E,"Base",OpenLCAbasic!$D:$D,"Base",OpenLCAbasic!$F:$F,W$9,OpenLCAbasic!$L:$L,$I$6,OpenLCAbasic!$I:$I,B22,OpenLCAbasic!$C:$C,W$13),
IF(AND(W$9="Upgraded", OR(W$11="Low", W$11="High"), OR(B22=B$37, B22=B$36)),
INDEX(OpenLCAbasic!$J:$J, MATCH(CONCATENATE(W$11, "_", W$10, "_", "Upgraded_",$I$6,"_",B22, "_", W$12, "_", W$14), OpenLCAbasic!$M:$M,0)),
IF(AND(ISERROR(MATCH(B22, LookUps!$G$5:$G$21,0)), W$9="Upgraded"),
SUMIFS(OpenLCAbasic!$J:$J,OpenLCAbasic!$E:$E, W$11, OpenLCAbasic!$D:$D, W$10, OpenLCAbasic!$F:$F,W$9,OpenLCAbasic!$L:$L,$I$6,OpenLCAbasic!$I:$I,INDEX(LookUps!$G$5:$G$21,MATCH(B22, LookUps!$J$5:$J$21,0)), OpenLCAbasic!$B:$B, W$14, OpenLCAbasic!$C:$C, W$12),
SUMIFS(OpenLCAbasic!$J:$J,OpenLCAbasic!$E:$E, W$11, OpenLCAbasic!$D:$D, W$10, OpenLCAbasic!$F:$F,W$9,OpenLCAbasic!$L:$L,$I$6,OpenLCAbasic!$I:$I,B22, OpenLCAbasic!$B:$B, W$14, OpenLCAbasic!$C:$C, W$12)
)))))</f>
        <v>2.4301600000000001E-5</v>
      </c>
      <c r="X22" s="304">
        <f>IF(AND(X$9="Legacy",C22=C$38,OR(X$11="Low",X$11="High")),
INDEX(OpenLCAbasic!$J:$J,MATCH(CONCATENATE(X$10,"_","Base","_","Legacy_",$I$6,"_",C22,"_",X$13,"_n.a."),OpenLCAbasic!$M:$M,0)),
IF(AND(X$9="Legacy",ISERROR(MATCH(C22,LookUps!$H$5:$H$20,0))),"--",
IF(X$9="Legacy",SUMIFS(OpenLCAbasic!$J:$J,OpenLCAbasic!$E:$E,"Base",OpenLCAbasic!$D:$D,"Base",OpenLCAbasic!$F:$F,X$9,OpenLCAbasic!$L:$L,$I$6,OpenLCAbasic!$I:$I,C22,OpenLCAbasic!$C:$C,X$13),
IF(AND(X$9="Upgraded", OR(X$11="Low", X$11="High"), OR(C22=C$37, C22=C$36)),
INDEX(OpenLCAbasic!$J:$J, MATCH(CONCATENATE(X$11, "_", X$10, "_", "Upgraded_",$I$6,"_",C22, "_", X$12, "_", X$14), OpenLCAbasic!$M:$M,0)),
IF(AND(ISERROR(MATCH(C22, LookUps!$G$5:$G$21,0)), X$9="Upgraded"),
SUMIFS(OpenLCAbasic!$J:$J,OpenLCAbasic!$E:$E, X$11, OpenLCAbasic!$D:$D, X$10, OpenLCAbasic!$F:$F,X$9,OpenLCAbasic!$L:$L,$I$6,OpenLCAbasic!$I:$I,INDEX(LookUps!$G$5:$G$21,MATCH(C22, LookUps!$J$5:$J$21,0)), OpenLCAbasic!$B:$B, X$14, OpenLCAbasic!$C:$C, X$12),
SUMIFS(OpenLCAbasic!$J:$J,OpenLCAbasic!$E:$E, X$11, OpenLCAbasic!$D:$D, X$10, OpenLCAbasic!$F:$F,X$9,OpenLCAbasic!$L:$L,$I$6,OpenLCAbasic!$I:$I,C22, OpenLCAbasic!$B:$B, X$14, OpenLCAbasic!$C:$C, X$12)
)))))</f>
        <v>0</v>
      </c>
      <c r="Y22" s="304">
        <f>IF(AND(Y$9="Legacy",D22=D$38,OR(Y$11="Low",Y$11="High")),
INDEX(OpenLCAbasic!$J:$J,MATCH(CONCATENATE(Y$10,"_","Base","_","Legacy_",$I$6,"_",D22,"_",Y$13,"_n.a."),OpenLCAbasic!$M:$M,0)),
IF(AND(Y$9="Legacy",ISERROR(MATCH(D22,LookUps!$H$5:$H$20,0))),"--",
IF(Y$9="Legacy",SUMIFS(OpenLCAbasic!$J:$J,OpenLCAbasic!$E:$E,"Base",OpenLCAbasic!$D:$D,"Base",OpenLCAbasic!$F:$F,Y$9,OpenLCAbasic!$L:$L,$I$6,OpenLCAbasic!$I:$I,D22,OpenLCAbasic!$C:$C,Y$13),
IF(AND(Y$9="Upgraded", OR(Y$11="Low", Y$11="High"), OR(D22=D$37, D22=D$36)),
INDEX(OpenLCAbasic!$J:$J, MATCH(CONCATENATE(Y$11, "_", Y$10, "_", "Upgraded_",$I$6,"_",D22, "_", Y$12, "_", Y$14), OpenLCAbasic!$M:$M,0)),
IF(AND(ISERROR(MATCH(D22, LookUps!$G$5:$G$21,0)), Y$9="Upgraded"),
SUMIFS(OpenLCAbasic!$J:$J,OpenLCAbasic!$E:$E, Y$11, OpenLCAbasic!$D:$D, Y$10, OpenLCAbasic!$F:$F,Y$9,OpenLCAbasic!$L:$L,$I$6,OpenLCAbasic!$I:$I,INDEX(LookUps!$G$5:$G$21,MATCH(D22, LookUps!$J$5:$J$21,0)), OpenLCAbasic!$B:$B, Y$14, OpenLCAbasic!$C:$C, Y$12),
SUMIFS(OpenLCAbasic!$J:$J,OpenLCAbasic!$E:$E, Y$11, OpenLCAbasic!$D:$D, Y$10, OpenLCAbasic!$F:$F,Y$9,OpenLCAbasic!$L:$L,$I$6,OpenLCAbasic!$I:$I,D22, OpenLCAbasic!$B:$B, Y$14, OpenLCAbasic!$C:$C, Y$12)
)))))</f>
        <v>0</v>
      </c>
      <c r="Z22" s="304">
        <f>IF(AND(Z$9="Legacy",E22=E$38,OR(Z$11="Low",Z$11="High")),
INDEX(OpenLCAbasic!$J:$J,MATCH(CONCATENATE(Z$10,"_","Base","_","Legacy_",$I$6,"_",E22,"_",Z$13,"_n.a."),OpenLCAbasic!$M:$M,0)),
IF(AND(Z$9="Legacy",ISERROR(MATCH(E22,LookUps!$H$5:$H$20,0))),"--",
IF(Z$9="Legacy",SUMIFS(OpenLCAbasic!$J:$J,OpenLCAbasic!$E:$E,"Base",OpenLCAbasic!$D:$D,"Base",OpenLCAbasic!$F:$F,Z$9,OpenLCAbasic!$L:$L,$I$6,OpenLCAbasic!$I:$I,E22,OpenLCAbasic!$C:$C,Z$13),
IF(AND(Z$9="Upgraded", OR(Z$11="Low", Z$11="High"), OR(E22=E$37, E22=E$36)),
INDEX(OpenLCAbasic!$J:$J, MATCH(CONCATENATE(Z$11, "_", Z$10, "_", "Upgraded_",$I$6,"_",E22, "_", Z$12, "_", Z$14), OpenLCAbasic!$M:$M,0)),
IF(AND(ISERROR(MATCH(E22, LookUps!$G$5:$G$21,0)), Z$9="Upgraded"),
SUMIFS(OpenLCAbasic!$J:$J,OpenLCAbasic!$E:$E, Z$11, OpenLCAbasic!$D:$D, Z$10, OpenLCAbasic!$F:$F,Z$9,OpenLCAbasic!$L:$L,$I$6,OpenLCAbasic!$I:$I,INDEX(LookUps!$G$5:$G$21,MATCH(E22, LookUps!$J$5:$J$21,0)), OpenLCAbasic!$B:$B, Z$14, OpenLCAbasic!$C:$C, Z$12),
SUMIFS(OpenLCAbasic!$J:$J,OpenLCAbasic!$E:$E, Z$11, OpenLCAbasic!$D:$D, Z$10, OpenLCAbasic!$F:$F,Z$9,OpenLCAbasic!$L:$L,$I$6,OpenLCAbasic!$I:$I,E22, OpenLCAbasic!$B:$B, Z$14, OpenLCAbasic!$C:$C, Z$12)
)))))</f>
        <v>0</v>
      </c>
      <c r="AA22" s="304">
        <f>IF(AND(AA$9="Legacy",F22=F$38,OR(AA$11="Low",AA$11="High")),
INDEX(OpenLCAbasic!$J:$J,MATCH(CONCATENATE(AA$10,"_","Base","_","Legacy_",$I$6,"_",F22,"_",AA$13,"_n.a."),OpenLCAbasic!$M:$M,0)),
IF(AND(AA$9="Legacy",ISERROR(MATCH(F22,LookUps!$H$5:$H$20,0))),"--",
IF(AA$9="Legacy",SUMIFS(OpenLCAbasic!$J:$J,OpenLCAbasic!$E:$E,"Base",OpenLCAbasic!$D:$D,"Base",OpenLCAbasic!$F:$F,AA$9,OpenLCAbasic!$L:$L,$I$6,OpenLCAbasic!$I:$I,F22,OpenLCAbasic!$C:$C,AA$13),
IF(AND(AA$9="Upgraded", OR(AA$11="Low", AA$11="High"), OR(F22=F$37, F22=F$36)),
INDEX(OpenLCAbasic!$J:$J, MATCH(CONCATENATE(AA$11, "_", AA$10, "_", "Upgraded_",$I$6,"_",F22, "_", AA$12, "_", AA$14), OpenLCAbasic!$M:$M,0)),
IF(AND(ISERROR(MATCH(F22, LookUps!$G$5:$G$21,0)), AA$9="Upgraded"),
SUMIFS(OpenLCAbasic!$J:$J,OpenLCAbasic!$E:$E, AA$11, OpenLCAbasic!$D:$D, AA$10, OpenLCAbasic!$F:$F,AA$9,OpenLCAbasic!$L:$L,$I$6,OpenLCAbasic!$I:$I,INDEX(LookUps!$G$5:$G$21,MATCH(F22, LookUps!$J$5:$J$21,0)), OpenLCAbasic!$B:$B, AA$14, OpenLCAbasic!$C:$C, AA$12),
SUMIFS(OpenLCAbasic!$J:$J,OpenLCAbasic!$E:$E, AA$11, OpenLCAbasic!$D:$D, AA$10, OpenLCAbasic!$F:$F,AA$9,OpenLCAbasic!$L:$L,$I$6,OpenLCAbasic!$I:$I,F22, OpenLCAbasic!$B:$B, AA$14, OpenLCAbasic!$C:$C, AA$12)
)))))</f>
        <v>0</v>
      </c>
      <c r="AB22" s="304">
        <f>IF(AND(AB$9="Legacy",G22=G$38,OR(AB$11="Low",AB$11="High")),
INDEX(OpenLCAbasic!$J:$J,MATCH(CONCATENATE(AB$10,"_","Base","_","Legacy_",$I$6,"_",G22,"_",AB$13,"_n.a."),OpenLCAbasic!$M:$M,0)),
IF(AND(AB$9="Legacy",ISERROR(MATCH(G22,LookUps!$H$5:$H$20,0))),"--",
IF(AB$9="Legacy",SUMIFS(OpenLCAbasic!$J:$J,OpenLCAbasic!$E:$E,"Base",OpenLCAbasic!$D:$D,"Base",OpenLCAbasic!$F:$F,AB$9,OpenLCAbasic!$L:$L,$I$6,OpenLCAbasic!$I:$I,G22,OpenLCAbasic!$C:$C,AB$13),
IF(AND(AB$9="Upgraded", OR(AB$11="Low", AB$11="High"), OR(G22=G$37, G22=G$36)),
INDEX(OpenLCAbasic!$J:$J, MATCH(CONCATENATE(AB$11, "_", AB$10, "_", "Upgraded_",$I$6,"_",G22, "_", AB$12, "_", AB$14), OpenLCAbasic!$M:$M,0)),
IF(AND(ISERROR(MATCH(G22, LookUps!$G$5:$G$21,0)), AB$9="Upgraded"),
SUMIFS(OpenLCAbasic!$J:$J,OpenLCAbasic!$E:$E, AB$11, OpenLCAbasic!$D:$D, AB$10, OpenLCAbasic!$F:$F,AB$9,OpenLCAbasic!$L:$L,$I$6,OpenLCAbasic!$I:$I,INDEX(LookUps!$G$5:$G$21,MATCH(G22, LookUps!$J$5:$J$21,0)), OpenLCAbasic!$B:$B, AB$14, OpenLCAbasic!$C:$C, AB$12),
SUMIFS(OpenLCAbasic!$J:$J,OpenLCAbasic!$E:$E, AB$11, OpenLCAbasic!$D:$D, AB$10, OpenLCAbasic!$F:$F,AB$9,OpenLCAbasic!$L:$L,$I$6,OpenLCAbasic!$I:$I,G22, OpenLCAbasic!$B:$B, AB$14, OpenLCAbasic!$C:$C, AB$12)
)))))</f>
        <v>0</v>
      </c>
    </row>
    <row r="23" spans="2:28" x14ac:dyDescent="0.25">
      <c r="B23" s="99" t="str">
        <f t="shared" si="15"/>
        <v>Clear Cove Primary Clarification; wastewater treatment unit; at updated plant - US</v>
      </c>
      <c r="C23" s="99" t="str">
        <f t="shared" si="14"/>
        <v>Clear Cove Primary Clarification; wastewater treatment unit; at updated plant - US</v>
      </c>
      <c r="D23" s="99" t="str">
        <f t="shared" si="14"/>
        <v>Clear Cove Primary Clarification; wastewater treatment unit; at updated plant - US</v>
      </c>
      <c r="E23" s="99" t="str">
        <f t="shared" si="14"/>
        <v>Clear Cove Primary Clarification; wastewater treatment unit; at updated plant - US</v>
      </c>
      <c r="F23" s="99" t="str">
        <f t="shared" si="14"/>
        <v>Clear Cove Primary Clarification; wastewater treatment unit; at updated plant - US</v>
      </c>
      <c r="G23" s="99" t="str">
        <f t="shared" si="14"/>
        <v>Clear Cove Primary Clarification; wastewater treatment unit; at updated plant - US</v>
      </c>
      <c r="H23" s="266" t="str">
        <f>LookUps!$G$8</f>
        <v>Clear Cove Primary Clarification; wastewater treatment unit; at updated plant - US</v>
      </c>
      <c r="I23" s="274" t="str">
        <f>IF(AND(I$9="Legacy",B23=B$38,OR(I$11="Low",I$11="High")),
INDEX(OpenLCAbasic!$J:$J,MATCH(CONCATENATE(I$10,"_","Base","_","Legacy_",$I$4,"_",B23,"_",I$13,"_n.a."),OpenLCAbasic!$M:$M,0)),
IF(AND(I$9="Legacy",ISERROR(MATCH(B23,LookUps!$H$5:$H$20,0))),"--",
IF(I$9="Legacy",SUMIFS(OpenLCAbasic!$J:$J,OpenLCAbasic!$E:$E,"Base",OpenLCAbasic!$D:$D,"Base",OpenLCAbasic!$F:$F,I$9,OpenLCAbasic!$L:$L,$I$4,OpenLCAbasic!$I:$I,B23,OpenLCAbasic!$C:$C,I$13),
IF(AND(I$9="Upgraded", OR(I$11="Low", I$11="High"), OR(B23=B$37, B23=B$36)),
INDEX(OpenLCAbasic!$J:$J, MATCH(CONCATENATE(I$11, "_", I$10, "_", "Upgraded_",$I$4,"_",B23, "_", I$12, "_", I$14), OpenLCAbasic!$M:$M,0)),
IF(AND(ISERROR(MATCH(B23, LookUps!$G$5:$G$21,0)), I$9="Upgraded"),
SUMIFS(OpenLCAbasic!$J:$J,OpenLCAbasic!$E:$E, I$11, OpenLCAbasic!$D:$D, I$10, OpenLCAbasic!$F:$F,I$9,OpenLCAbasic!$L:$L,$I$4,OpenLCAbasic!$I:$I,INDEX(LookUps!$G$5:$G$21,MATCH(B23, LookUps!$J$5:$J$21,0)), OpenLCAbasic!$B:$B, I$14, OpenLCAbasic!$C:$C, I$12),
SUMIFS(OpenLCAbasic!$J:$J,OpenLCAbasic!$E:$E, I$11, OpenLCAbasic!$D:$D, I$10, OpenLCAbasic!$F:$F,I$9,OpenLCAbasic!$L:$L,$I$4,OpenLCAbasic!$I:$I,B23, OpenLCAbasic!$B:$B, I$14, OpenLCAbasic!$C:$C, I$12)
)))))</f>
        <v>--</v>
      </c>
      <c r="J23" s="305">
        <f>IF(AND(J$9="Legacy",C23=C$38,OR(J$11="Low",J$11="High")),
INDEX(OpenLCAbasic!$J:$J,MATCH(CONCATENATE(J$10,"_","Base","_","Legacy_",$I$4,"_",C23,"_",J$13,"_n.a."),OpenLCAbasic!$M:$M,0)),
IF(AND(J$9="Legacy",ISERROR(MATCH(C23,LookUps!$H$5:$H$20,0))),"--",
IF(J$9="Legacy",SUMIFS(OpenLCAbasic!$J:$J,OpenLCAbasic!$E:$E,"Base",OpenLCAbasic!$D:$D,"Base",OpenLCAbasic!$F:$F,J$9,OpenLCAbasic!$L:$L,$I$4,OpenLCAbasic!$I:$I,C23,OpenLCAbasic!$C:$C,J$13),
IF(AND(J$9="Upgraded", OR(J$11="Low", J$11="High"), OR(C23=C$37, C23=C$36)),
INDEX(OpenLCAbasic!$J:$J, MATCH(CONCATENATE(J$11, "_", J$10, "_", "Upgraded_",$I$4,"_",C23, "_", J$12, "_", J$14), OpenLCAbasic!$M:$M,0)),
IF(AND(ISERROR(MATCH(C23, LookUps!$G$5:$G$21,0)), J$9="Upgraded"),
SUMIFS(OpenLCAbasic!$J:$J,OpenLCAbasic!$E:$E, J$11, OpenLCAbasic!$D:$D, J$10, OpenLCAbasic!$F:$F,J$9,OpenLCAbasic!$L:$L,$I$4,OpenLCAbasic!$I:$I,INDEX(LookUps!$G$5:$G$21,MATCH(C23, LookUps!$J$5:$J$21,0)), OpenLCAbasic!$B:$B, J$14, OpenLCAbasic!$C:$C, J$12),
SUMIFS(OpenLCAbasic!$J:$J,OpenLCAbasic!$E:$E, J$11, OpenLCAbasic!$D:$D, J$10, OpenLCAbasic!$F:$F,J$9,OpenLCAbasic!$L:$L,$I$4,OpenLCAbasic!$I:$I,C23, OpenLCAbasic!$B:$B, J$14, OpenLCAbasic!$C:$C, J$12)
)))))</f>
        <v>1.16289</v>
      </c>
      <c r="K23" s="305">
        <f>IF(AND(K$9="Legacy",D23=D$38,OR(K$11="Low",K$11="High")),
INDEX(OpenLCAbasic!$J:$J,MATCH(CONCATENATE(K$10,"_","Base","_","Legacy_",$I$4,"_",D23,"_",K$13,"_n.a."),OpenLCAbasic!$M:$M,0)),
IF(AND(K$9="Legacy",ISERROR(MATCH(D23,LookUps!$H$5:$H$20,0))),"--",
IF(K$9="Legacy",SUMIFS(OpenLCAbasic!$J:$J,OpenLCAbasic!$E:$E,"Base",OpenLCAbasic!$D:$D,"Base",OpenLCAbasic!$F:$F,K$9,OpenLCAbasic!$L:$L,$I$4,OpenLCAbasic!$I:$I,D23,OpenLCAbasic!$C:$C,K$13),
IF(AND(K$9="Upgraded", OR(K$11="Low", K$11="High"), OR(D23=D$37, D23=D$36)),
INDEX(OpenLCAbasic!$J:$J, MATCH(CONCATENATE(K$11, "_", K$10, "_", "Upgraded_",$I$4,"_",D23, "_", K$12, "_", K$14), OpenLCAbasic!$M:$M,0)),
IF(AND(ISERROR(MATCH(D23, LookUps!$G$5:$G$21,0)), K$9="Upgraded"),
SUMIFS(OpenLCAbasic!$J:$J,OpenLCAbasic!$E:$E, K$11, OpenLCAbasic!$D:$D, K$10, OpenLCAbasic!$F:$F,K$9,OpenLCAbasic!$L:$L,$I$4,OpenLCAbasic!$I:$I,INDEX(LookUps!$G$5:$G$21,MATCH(D23, LookUps!$J$5:$J$21,0)), OpenLCAbasic!$B:$B, K$14, OpenLCAbasic!$C:$C, K$12),
SUMIFS(OpenLCAbasic!$J:$J,OpenLCAbasic!$E:$E, K$11, OpenLCAbasic!$D:$D, K$10, OpenLCAbasic!$F:$F,K$9,OpenLCAbasic!$L:$L,$I$4,OpenLCAbasic!$I:$I,D23, OpenLCAbasic!$B:$B, K$14, OpenLCAbasic!$C:$C, K$12)
)))))</f>
        <v>1.16289</v>
      </c>
      <c r="L23" s="305">
        <f>IF(AND(L$9="Legacy",E23=E$38,OR(L$11="Low",L$11="High")),
INDEX(OpenLCAbasic!$J:$J,MATCH(CONCATENATE(L$10,"_","Base","_","Legacy_",$I$4,"_",E23,"_",L$13,"_n.a."),OpenLCAbasic!$M:$M,0)),
IF(AND(L$9="Legacy",ISERROR(MATCH(E23,LookUps!$H$5:$H$20,0))),"--",
IF(L$9="Legacy",SUMIFS(OpenLCAbasic!$J:$J,OpenLCAbasic!$E:$E,"Base",OpenLCAbasic!$D:$D,"Base",OpenLCAbasic!$F:$F,L$9,OpenLCAbasic!$L:$L,$I$4,OpenLCAbasic!$I:$I,E23,OpenLCAbasic!$C:$C,L$13),
IF(AND(L$9="Upgraded", OR(L$11="Low", L$11="High"), OR(E23=E$37, E23=E$36)),
INDEX(OpenLCAbasic!$J:$J, MATCH(CONCATENATE(L$11, "_", L$10, "_", "Upgraded_",$I$4,"_",E23, "_", L$12, "_", L$14), OpenLCAbasic!$M:$M,0)),
IF(AND(ISERROR(MATCH(E23, LookUps!$G$5:$G$21,0)), L$9="Upgraded"),
SUMIFS(OpenLCAbasic!$J:$J,OpenLCAbasic!$E:$E, L$11, OpenLCAbasic!$D:$D, L$10, OpenLCAbasic!$F:$F,L$9,OpenLCAbasic!$L:$L,$I$4,OpenLCAbasic!$I:$I,INDEX(LookUps!$G$5:$G$21,MATCH(E23, LookUps!$J$5:$J$21,0)), OpenLCAbasic!$B:$B, L$14, OpenLCAbasic!$C:$C, L$12),
SUMIFS(OpenLCAbasic!$J:$J,OpenLCAbasic!$E:$E, L$11, OpenLCAbasic!$D:$D, L$10, OpenLCAbasic!$F:$F,L$9,OpenLCAbasic!$L:$L,$I$4,OpenLCAbasic!$I:$I,E23, OpenLCAbasic!$B:$B, L$14, OpenLCAbasic!$C:$C, L$12)
)))))</f>
        <v>1.16289</v>
      </c>
      <c r="M23" s="305">
        <f>IF(AND(M$9="Legacy",F23=F$38,OR(M$11="Low",M$11="High")),
INDEX(OpenLCAbasic!$J:$J,MATCH(CONCATENATE(M$10,"_","Base","_","Legacy_",$I$4,"_",F23,"_",M$13,"_n.a."),OpenLCAbasic!$M:$M,0)),
IF(AND(M$9="Legacy",ISERROR(MATCH(F23,LookUps!$H$5:$H$20,0))),"--",
IF(M$9="Legacy",SUMIFS(OpenLCAbasic!$J:$J,OpenLCAbasic!$E:$E,"Base",OpenLCAbasic!$D:$D,"Base",OpenLCAbasic!$F:$F,M$9,OpenLCAbasic!$L:$L,$I$4,OpenLCAbasic!$I:$I,F23,OpenLCAbasic!$C:$C,M$13),
IF(AND(M$9="Upgraded", OR(M$11="Low", M$11="High"), OR(F23=F$37, F23=F$36)),
INDEX(OpenLCAbasic!$J:$J, MATCH(CONCATENATE(M$11, "_", M$10, "_", "Upgraded_",$I$4,"_",F23, "_", M$12, "_", M$14), OpenLCAbasic!$M:$M,0)),
IF(AND(ISERROR(MATCH(F23, LookUps!$G$5:$G$21,0)), M$9="Upgraded"),
SUMIFS(OpenLCAbasic!$J:$J,OpenLCAbasic!$E:$E, M$11, OpenLCAbasic!$D:$D, M$10, OpenLCAbasic!$F:$F,M$9,OpenLCAbasic!$L:$L,$I$4,OpenLCAbasic!$I:$I,INDEX(LookUps!$G$5:$G$21,MATCH(F23, LookUps!$J$5:$J$21,0)), OpenLCAbasic!$B:$B, M$14, OpenLCAbasic!$C:$C, M$12),
SUMIFS(OpenLCAbasic!$J:$J,OpenLCAbasic!$E:$E, M$11, OpenLCAbasic!$D:$D, M$10, OpenLCAbasic!$F:$F,M$9,OpenLCAbasic!$L:$L,$I$4,OpenLCAbasic!$I:$I,F23, OpenLCAbasic!$B:$B, M$14, OpenLCAbasic!$C:$C, M$12)
)))))</f>
        <v>1.16289</v>
      </c>
      <c r="N23" s="305">
        <f>IF(AND(N$9="Legacy",G23=G$38,OR(N$11="Low",N$11="High")),
INDEX(OpenLCAbasic!$J:$J,MATCH(CONCATENATE(N$10,"_","Base","_","Legacy_",$I$4,"_",G23,"_",N$13,"_n.a."),OpenLCAbasic!$M:$M,0)),
IF(AND(N$9="Legacy",ISERROR(MATCH(G23,LookUps!$H$5:$H$20,0))),"--",
IF(N$9="Legacy",SUMIFS(OpenLCAbasic!$J:$J,OpenLCAbasic!$E:$E,"Base",OpenLCAbasic!$D:$D,"Base",OpenLCAbasic!$F:$F,N$9,OpenLCAbasic!$L:$L,$I$4,OpenLCAbasic!$I:$I,G23,OpenLCAbasic!$C:$C,N$13),
IF(AND(N$9="Upgraded", OR(N$11="Low", N$11="High"), OR(G23=G$37, G23=G$36)),
INDEX(OpenLCAbasic!$J:$J, MATCH(CONCATENATE(N$11, "_", N$10, "_", "Upgraded_",$I$4,"_",G23, "_", N$12, "_", N$14), OpenLCAbasic!$M:$M,0)),
IF(AND(ISERROR(MATCH(G23, LookUps!$G$5:$G$21,0)), N$9="Upgraded"),
SUMIFS(OpenLCAbasic!$J:$J,OpenLCAbasic!$E:$E, N$11, OpenLCAbasic!$D:$D, N$10, OpenLCAbasic!$F:$F,N$9,OpenLCAbasic!$L:$L,$I$4,OpenLCAbasic!$I:$I,INDEX(LookUps!$G$5:$G$21,MATCH(G23, LookUps!$J$5:$J$21,0)), OpenLCAbasic!$B:$B, N$14, OpenLCAbasic!$C:$C, N$12),
SUMIFS(OpenLCAbasic!$J:$J,OpenLCAbasic!$E:$E, N$11, OpenLCAbasic!$D:$D, N$10, OpenLCAbasic!$F:$F,N$9,OpenLCAbasic!$L:$L,$I$4,OpenLCAbasic!$I:$I,G23, OpenLCAbasic!$B:$B, N$14, OpenLCAbasic!$C:$C, N$12)
)))))</f>
        <v>1.16289</v>
      </c>
      <c r="O23" s="302"/>
      <c r="P23" s="274" t="str">
        <f>IF(AND(P$9="Legacy",B23=B$38,OR(P$11="Low",P$11="High")),
INDEX(OpenLCAbasic!$J:$J,MATCH(CONCATENATE(P$10,"_","Base","_","Legacy_",$I$5,"_",B23,"_",P$13,"_n.a."),OpenLCAbasic!$M:$M,0)),
IF(AND(P$9="Legacy",ISERROR(MATCH(B23,LookUps!$H$5:$H$20,0))),"--",
IF(P$9="Legacy",SUMIFS(OpenLCAbasic!$J:$J,OpenLCAbasic!$E:$E,"Base",OpenLCAbasic!$D:$D,"Base",OpenLCAbasic!$F:$F,P$9,OpenLCAbasic!$L:$L,$I$5,OpenLCAbasic!$I:$I,B23,OpenLCAbasic!$C:$C,P$13),
IF(AND(P$9="Upgraded", OR(P$11="Low", P$11="High"), OR(B23=B$37, B23=B$36)),
INDEX(OpenLCAbasic!$J:$J, MATCH(CONCATENATE(P$11, "_", P$10, "_", "Upgraded_",$I$5,"_",B23, "_", P$12, "_", P$14), OpenLCAbasic!$M:$M,0)),
IF(AND(ISERROR(MATCH(B23, LookUps!$G$5:$G$21,0)), P$9="Upgraded"),
SUMIFS(OpenLCAbasic!$J:$J,OpenLCAbasic!$E:$E, P$11, OpenLCAbasic!$D:$D, P$10, OpenLCAbasic!$F:$F,P$9,OpenLCAbasic!$L:$L,$I$5,OpenLCAbasic!$I:$I,INDEX(LookUps!$G$5:$G$21,MATCH(B23, LookUps!$J$5:$J$21,0)), OpenLCAbasic!$B:$B, P$14, OpenLCAbasic!$C:$C, P$12),
SUMIFS(OpenLCAbasic!$J:$J,OpenLCAbasic!$E:$E, P$11, OpenLCAbasic!$D:$D, P$10, OpenLCAbasic!$F:$F,P$9,OpenLCAbasic!$L:$L,$I$5,OpenLCAbasic!$I:$I,B23, OpenLCAbasic!$B:$B, P$14, OpenLCAbasic!$C:$C, P$12)
)))))</f>
        <v>--</v>
      </c>
      <c r="Q23" s="301">
        <f>IF(AND(Q$9="Legacy",C23=C$38,OR(Q$11="Low",Q$11="High")),
INDEX(OpenLCAbasic!$J:$J,MATCH(CONCATENATE(Q$10,"_","Base","_","Legacy_",$I$5,"_",C23,"_",Q$13,"_n.a."),OpenLCAbasic!$M:$M,0)),
IF(AND(Q$9="Legacy",ISERROR(MATCH(C23,LookUps!$H$5:$H$20,0))),"--",
IF(Q$9="Legacy",SUMIFS(OpenLCAbasic!$J:$J,OpenLCAbasic!$E:$E,"Base",OpenLCAbasic!$D:$D,"Base",OpenLCAbasic!$F:$F,Q$9,OpenLCAbasic!$L:$L,$I$5,OpenLCAbasic!$I:$I,C23,OpenLCAbasic!$C:$C,Q$13),
IF(AND(Q$9="Upgraded", OR(Q$11="Low", Q$11="High"), OR(C23=C$37, C23=C$36)),
INDEX(OpenLCAbasic!$J:$J, MATCH(CONCATENATE(Q$11, "_", Q$10, "_", "Upgraded_",$I$5,"_",C23, "_", Q$12, "_", Q$14), OpenLCAbasic!$M:$M,0)),
IF(AND(ISERROR(MATCH(C23, LookUps!$G$5:$G$21,0)), Q$9="Upgraded"),
SUMIFS(OpenLCAbasic!$J:$J,OpenLCAbasic!$E:$E, Q$11, OpenLCAbasic!$D:$D, Q$10, OpenLCAbasic!$F:$F,Q$9,OpenLCAbasic!$L:$L,$I$5,OpenLCAbasic!$I:$I,INDEX(LookUps!$G$5:$G$21,MATCH(C23, LookUps!$J$5:$J$21,0)), OpenLCAbasic!$B:$B, Q$14, OpenLCAbasic!$C:$C, Q$12),
SUMIFS(OpenLCAbasic!$J:$J,OpenLCAbasic!$E:$E, Q$11, OpenLCAbasic!$D:$D, Q$10, OpenLCAbasic!$F:$F,Q$9,OpenLCAbasic!$L:$L,$I$5,OpenLCAbasic!$I:$I,C23, OpenLCAbasic!$B:$B, Q$14, OpenLCAbasic!$C:$C, Q$12)
)))))</f>
        <v>5.7079999999999999E-2</v>
      </c>
      <c r="R23" s="301">
        <f>IF(AND(R$9="Legacy",D23=D$38,OR(R$11="Low",R$11="High")),
INDEX(OpenLCAbasic!$J:$J,MATCH(CONCATENATE(R$10,"_","Base","_","Legacy_",$I$5,"_",D23,"_",R$13,"_n.a."),OpenLCAbasic!$M:$M,0)),
IF(AND(R$9="Legacy",ISERROR(MATCH(D23,LookUps!$H$5:$H$20,0))),"--",
IF(R$9="Legacy",SUMIFS(OpenLCAbasic!$J:$J,OpenLCAbasic!$E:$E,"Base",OpenLCAbasic!$D:$D,"Base",OpenLCAbasic!$F:$F,R$9,OpenLCAbasic!$L:$L,$I$5,OpenLCAbasic!$I:$I,D23,OpenLCAbasic!$C:$C,R$13),
IF(AND(R$9="Upgraded", OR(R$11="Low", R$11="High"), OR(D23=D$37, D23=D$36)),
INDEX(OpenLCAbasic!$J:$J, MATCH(CONCATENATE(R$11, "_", R$10, "_", "Upgraded_",$I$5,"_",D23, "_", R$12, "_", R$14), OpenLCAbasic!$M:$M,0)),
IF(AND(ISERROR(MATCH(D23, LookUps!$G$5:$G$21,0)), R$9="Upgraded"),
SUMIFS(OpenLCAbasic!$J:$J,OpenLCAbasic!$E:$E, R$11, OpenLCAbasic!$D:$D, R$10, OpenLCAbasic!$F:$F,R$9,OpenLCAbasic!$L:$L,$I$5,OpenLCAbasic!$I:$I,INDEX(LookUps!$G$5:$G$21,MATCH(D23, LookUps!$J$5:$J$21,0)), OpenLCAbasic!$B:$B, R$14, OpenLCAbasic!$C:$C, R$12),
SUMIFS(OpenLCAbasic!$J:$J,OpenLCAbasic!$E:$E, R$11, OpenLCAbasic!$D:$D, R$10, OpenLCAbasic!$F:$F,R$9,OpenLCAbasic!$L:$L,$I$5,OpenLCAbasic!$I:$I,D23, OpenLCAbasic!$B:$B, R$14, OpenLCAbasic!$C:$C, R$12)
)))))</f>
        <v>5.7079999999999999E-2</v>
      </c>
      <c r="S23" s="301">
        <f>IF(AND(S$9="Legacy",E23=E$38,OR(S$11="Low",S$11="High")),
INDEX(OpenLCAbasic!$J:$J,MATCH(CONCATENATE(S$10,"_","Base","_","Legacy_",$I$5,"_",E23,"_",S$13,"_n.a."),OpenLCAbasic!$M:$M,0)),
IF(AND(S$9="Legacy",ISERROR(MATCH(E23,LookUps!$H$5:$H$20,0))),"--",
IF(S$9="Legacy",SUMIFS(OpenLCAbasic!$J:$J,OpenLCAbasic!$E:$E,"Base",OpenLCAbasic!$D:$D,"Base",OpenLCAbasic!$F:$F,S$9,OpenLCAbasic!$L:$L,$I$5,OpenLCAbasic!$I:$I,E23,OpenLCAbasic!$C:$C,S$13),
IF(AND(S$9="Upgraded", OR(S$11="Low", S$11="High"), OR(E23=E$37, E23=E$36)),
INDEX(OpenLCAbasic!$J:$J, MATCH(CONCATENATE(S$11, "_", S$10, "_", "Upgraded_",$I$5,"_",E23, "_", S$12, "_", S$14), OpenLCAbasic!$M:$M,0)),
IF(AND(ISERROR(MATCH(E23, LookUps!$G$5:$G$21,0)), S$9="Upgraded"),
SUMIFS(OpenLCAbasic!$J:$J,OpenLCAbasic!$E:$E, S$11, OpenLCAbasic!$D:$D, S$10, OpenLCAbasic!$F:$F,S$9,OpenLCAbasic!$L:$L,$I$5,OpenLCAbasic!$I:$I,INDEX(LookUps!$G$5:$G$21,MATCH(E23, LookUps!$J$5:$J$21,0)), OpenLCAbasic!$B:$B, S$14, OpenLCAbasic!$C:$C, S$12),
SUMIFS(OpenLCAbasic!$J:$J,OpenLCAbasic!$E:$E, S$11, OpenLCAbasic!$D:$D, S$10, OpenLCAbasic!$F:$F,S$9,OpenLCAbasic!$L:$L,$I$5,OpenLCAbasic!$I:$I,E23, OpenLCAbasic!$B:$B, S$14, OpenLCAbasic!$C:$C, S$12)
)))))</f>
        <v>5.7079999999999999E-2</v>
      </c>
      <c r="T23" s="301">
        <f>IF(AND(T$9="Legacy",F23=F$38,OR(T$11="Low",T$11="High")),
INDEX(OpenLCAbasic!$J:$J,MATCH(CONCATENATE(T$10,"_","Base","_","Legacy_",$I$5,"_",F23,"_",T$13,"_n.a."),OpenLCAbasic!$M:$M,0)),
IF(AND(T$9="Legacy",ISERROR(MATCH(F23,LookUps!$H$5:$H$20,0))),"--",
IF(T$9="Legacy",SUMIFS(OpenLCAbasic!$J:$J,OpenLCAbasic!$E:$E,"Base",OpenLCAbasic!$D:$D,"Base",OpenLCAbasic!$F:$F,T$9,OpenLCAbasic!$L:$L,$I$5,OpenLCAbasic!$I:$I,F23,OpenLCAbasic!$C:$C,T$13),
IF(AND(T$9="Upgraded", OR(T$11="Low", T$11="High"), OR(F23=F$37, F23=F$36)),
INDEX(OpenLCAbasic!$J:$J, MATCH(CONCATENATE(T$11, "_", T$10, "_", "Upgraded_",$I$5,"_",F23, "_", T$12, "_", T$14), OpenLCAbasic!$M:$M,0)),
IF(AND(ISERROR(MATCH(F23, LookUps!$G$5:$G$21,0)), T$9="Upgraded"),
SUMIFS(OpenLCAbasic!$J:$J,OpenLCAbasic!$E:$E, T$11, OpenLCAbasic!$D:$D, T$10, OpenLCAbasic!$F:$F,T$9,OpenLCAbasic!$L:$L,$I$5,OpenLCAbasic!$I:$I,INDEX(LookUps!$G$5:$G$21,MATCH(F23, LookUps!$J$5:$J$21,0)), OpenLCAbasic!$B:$B, T$14, OpenLCAbasic!$C:$C, T$12),
SUMIFS(OpenLCAbasic!$J:$J,OpenLCAbasic!$E:$E, T$11, OpenLCAbasic!$D:$D, T$10, OpenLCAbasic!$F:$F,T$9,OpenLCAbasic!$L:$L,$I$5,OpenLCAbasic!$I:$I,F23, OpenLCAbasic!$B:$B, T$14, OpenLCAbasic!$C:$C, T$12)
)))))</f>
        <v>5.7079999999999999E-2</v>
      </c>
      <c r="U23" s="301">
        <f>IF(AND(U$9="Legacy",G23=G$38,OR(U$11="Low",U$11="High")),
INDEX(OpenLCAbasic!$J:$J,MATCH(CONCATENATE(U$10,"_","Base","_","Legacy_",$I$5,"_",G23,"_",U$13,"_n.a."),OpenLCAbasic!$M:$M,0)),
IF(AND(U$9="Legacy",ISERROR(MATCH(G23,LookUps!$H$5:$H$20,0))),"--",
IF(U$9="Legacy",SUMIFS(OpenLCAbasic!$J:$J,OpenLCAbasic!$E:$E,"Base",OpenLCAbasic!$D:$D,"Base",OpenLCAbasic!$F:$F,U$9,OpenLCAbasic!$L:$L,$I$5,OpenLCAbasic!$I:$I,G23,OpenLCAbasic!$C:$C,U$13),
IF(AND(U$9="Upgraded", OR(U$11="Low", U$11="High"), OR(G23=G$37, G23=G$36)),
INDEX(OpenLCAbasic!$J:$J, MATCH(CONCATENATE(U$11, "_", U$10, "_", "Upgraded_",$I$5,"_",G23, "_", U$12, "_", U$14), OpenLCAbasic!$M:$M,0)),
IF(AND(ISERROR(MATCH(G23, LookUps!$G$5:$G$21,0)), U$9="Upgraded"),
SUMIFS(OpenLCAbasic!$J:$J,OpenLCAbasic!$E:$E, U$11, OpenLCAbasic!$D:$D, U$10, OpenLCAbasic!$F:$F,U$9,OpenLCAbasic!$L:$L,$I$5,OpenLCAbasic!$I:$I,INDEX(LookUps!$G$5:$G$21,MATCH(G23, LookUps!$J$5:$J$21,0)), OpenLCAbasic!$B:$B, U$14, OpenLCAbasic!$C:$C, U$12),
SUMIFS(OpenLCAbasic!$J:$J,OpenLCAbasic!$E:$E, U$11, OpenLCAbasic!$D:$D, U$10, OpenLCAbasic!$F:$F,U$9,OpenLCAbasic!$L:$L,$I$5,OpenLCAbasic!$I:$I,G23, OpenLCAbasic!$B:$B, U$14, OpenLCAbasic!$C:$C, U$12)
)))))</f>
        <v>5.7079999999999999E-2</v>
      </c>
      <c r="V23" s="302"/>
      <c r="W23" s="274" t="str">
        <f>IF(AND(W$9="Legacy",B23=B$38,OR(W$11="Low",W$11="High")),
INDEX(OpenLCAbasic!$J:$J,MATCH(CONCATENATE(W$10,"_","Base","_","Legacy_",$I$6,"_",B23,"_",W$13,"_n.a."),OpenLCAbasic!$M:$M,0)),
IF(AND(W$9="Legacy",ISERROR(MATCH(B23,LookUps!$H$5:$H$20,0))),"--",
IF(W$9="Legacy",SUMIFS(OpenLCAbasic!$J:$J,OpenLCAbasic!$E:$E,"Base",OpenLCAbasic!$D:$D,"Base",OpenLCAbasic!$F:$F,W$9,OpenLCAbasic!$L:$L,$I$6,OpenLCAbasic!$I:$I,B23,OpenLCAbasic!$C:$C,W$13),
IF(AND(W$9="Upgraded", OR(W$11="Low", W$11="High"), OR(B23=B$37, B23=B$36)),
INDEX(OpenLCAbasic!$J:$J, MATCH(CONCATENATE(W$11, "_", W$10, "_", "Upgraded_",$I$6,"_",B23, "_", W$12, "_", W$14), OpenLCAbasic!$M:$M,0)),
IF(AND(ISERROR(MATCH(B23, LookUps!$G$5:$G$21,0)), W$9="Upgraded"),
SUMIFS(OpenLCAbasic!$J:$J,OpenLCAbasic!$E:$E, W$11, OpenLCAbasic!$D:$D, W$10, OpenLCAbasic!$F:$F,W$9,OpenLCAbasic!$L:$L,$I$6,OpenLCAbasic!$I:$I,INDEX(LookUps!$G$5:$G$21,MATCH(B23, LookUps!$J$5:$J$21,0)), OpenLCAbasic!$B:$B, W$14, OpenLCAbasic!$C:$C, W$12),
SUMIFS(OpenLCAbasic!$J:$J,OpenLCAbasic!$E:$E, W$11, OpenLCAbasic!$D:$D, W$10, OpenLCAbasic!$F:$F,W$9,OpenLCAbasic!$L:$L,$I$6,OpenLCAbasic!$I:$I,B23, OpenLCAbasic!$B:$B, W$14, OpenLCAbasic!$C:$C, W$12)
)))))</f>
        <v>--</v>
      </c>
      <c r="X23" s="303">
        <f>IF(AND(X$9="Legacy",C23=C$38,OR(X$11="Low",X$11="High")),
INDEX(OpenLCAbasic!$J:$J,MATCH(CONCATENATE(X$10,"_","Base","_","Legacy_",$I$6,"_",C23,"_",X$13,"_n.a."),OpenLCAbasic!$M:$M,0)),
IF(AND(X$9="Legacy",ISERROR(MATCH(C23,LookUps!$H$5:$H$20,0))),"--",
IF(X$9="Legacy",SUMIFS(OpenLCAbasic!$J:$J,OpenLCAbasic!$E:$E,"Base",OpenLCAbasic!$D:$D,"Base",OpenLCAbasic!$F:$F,X$9,OpenLCAbasic!$L:$L,$I$6,OpenLCAbasic!$I:$I,C23,OpenLCAbasic!$C:$C,X$13),
IF(AND(X$9="Upgraded", OR(X$11="Low", X$11="High"), OR(C23=C$37, C23=C$36)),
INDEX(OpenLCAbasic!$J:$J, MATCH(CONCATENATE(X$11, "_", X$10, "_", "Upgraded_",$I$6,"_",C23, "_", X$12, "_", X$14), OpenLCAbasic!$M:$M,0)),
IF(AND(ISERROR(MATCH(C23, LookUps!$G$5:$G$21,0)), X$9="Upgraded"),
SUMIFS(OpenLCAbasic!$J:$J,OpenLCAbasic!$E:$E, X$11, OpenLCAbasic!$D:$D, X$10, OpenLCAbasic!$F:$F,X$9,OpenLCAbasic!$L:$L,$I$6,OpenLCAbasic!$I:$I,INDEX(LookUps!$G$5:$G$21,MATCH(C23, LookUps!$J$5:$J$21,0)), OpenLCAbasic!$B:$B, X$14, OpenLCAbasic!$C:$C, X$12),
SUMIFS(OpenLCAbasic!$J:$J,OpenLCAbasic!$E:$E, X$11, OpenLCAbasic!$D:$D, X$10, OpenLCAbasic!$F:$F,X$9,OpenLCAbasic!$L:$L,$I$6,OpenLCAbasic!$I:$I,C23, OpenLCAbasic!$B:$B, X$14, OpenLCAbasic!$C:$C, X$12)
)))))</f>
        <v>2.0000000000000001E-4</v>
      </c>
      <c r="Y23" s="303">
        <f>IF(AND(Y$9="Legacy",D23=D$38,OR(Y$11="Low",Y$11="High")),
INDEX(OpenLCAbasic!$J:$J,MATCH(CONCATENATE(Y$10,"_","Base","_","Legacy_",$I$6,"_",D23,"_",Y$13,"_n.a."),OpenLCAbasic!$M:$M,0)),
IF(AND(Y$9="Legacy",ISERROR(MATCH(D23,LookUps!$H$5:$H$20,0))),"--",
IF(Y$9="Legacy",SUMIFS(OpenLCAbasic!$J:$J,OpenLCAbasic!$E:$E,"Base",OpenLCAbasic!$D:$D,"Base",OpenLCAbasic!$F:$F,Y$9,OpenLCAbasic!$L:$L,$I$6,OpenLCAbasic!$I:$I,D23,OpenLCAbasic!$C:$C,Y$13),
IF(AND(Y$9="Upgraded", OR(Y$11="Low", Y$11="High"), OR(D23=D$37, D23=D$36)),
INDEX(OpenLCAbasic!$J:$J, MATCH(CONCATENATE(Y$11, "_", Y$10, "_", "Upgraded_",$I$6,"_",D23, "_", Y$12, "_", Y$14), OpenLCAbasic!$M:$M,0)),
IF(AND(ISERROR(MATCH(D23, LookUps!$G$5:$G$21,0)), Y$9="Upgraded"),
SUMIFS(OpenLCAbasic!$J:$J,OpenLCAbasic!$E:$E, Y$11, OpenLCAbasic!$D:$D, Y$10, OpenLCAbasic!$F:$F,Y$9,OpenLCAbasic!$L:$L,$I$6,OpenLCAbasic!$I:$I,INDEX(LookUps!$G$5:$G$21,MATCH(D23, LookUps!$J$5:$J$21,0)), OpenLCAbasic!$B:$B, Y$14, OpenLCAbasic!$C:$C, Y$12),
SUMIFS(OpenLCAbasic!$J:$J,OpenLCAbasic!$E:$E, Y$11, OpenLCAbasic!$D:$D, Y$10, OpenLCAbasic!$F:$F,Y$9,OpenLCAbasic!$L:$L,$I$6,OpenLCAbasic!$I:$I,D23, OpenLCAbasic!$B:$B, Y$14, OpenLCAbasic!$C:$C, Y$12)
)))))</f>
        <v>2.0000000000000001E-4</v>
      </c>
      <c r="Z23" s="303">
        <f>IF(AND(Z$9="Legacy",E23=E$38,OR(Z$11="Low",Z$11="High")),
INDEX(OpenLCAbasic!$J:$J,MATCH(CONCATENATE(Z$10,"_","Base","_","Legacy_",$I$6,"_",E23,"_",Z$13,"_n.a."),OpenLCAbasic!$M:$M,0)),
IF(AND(Z$9="Legacy",ISERROR(MATCH(E23,LookUps!$H$5:$H$20,0))),"--",
IF(Z$9="Legacy",SUMIFS(OpenLCAbasic!$J:$J,OpenLCAbasic!$E:$E,"Base",OpenLCAbasic!$D:$D,"Base",OpenLCAbasic!$F:$F,Z$9,OpenLCAbasic!$L:$L,$I$6,OpenLCAbasic!$I:$I,E23,OpenLCAbasic!$C:$C,Z$13),
IF(AND(Z$9="Upgraded", OR(Z$11="Low", Z$11="High"), OR(E23=E$37, E23=E$36)),
INDEX(OpenLCAbasic!$J:$J, MATCH(CONCATENATE(Z$11, "_", Z$10, "_", "Upgraded_",$I$6,"_",E23, "_", Z$12, "_", Z$14), OpenLCAbasic!$M:$M,0)),
IF(AND(ISERROR(MATCH(E23, LookUps!$G$5:$G$21,0)), Z$9="Upgraded"),
SUMIFS(OpenLCAbasic!$J:$J,OpenLCAbasic!$E:$E, Z$11, OpenLCAbasic!$D:$D, Z$10, OpenLCAbasic!$F:$F,Z$9,OpenLCAbasic!$L:$L,$I$6,OpenLCAbasic!$I:$I,INDEX(LookUps!$G$5:$G$21,MATCH(E23, LookUps!$J$5:$J$21,0)), OpenLCAbasic!$B:$B, Z$14, OpenLCAbasic!$C:$C, Z$12),
SUMIFS(OpenLCAbasic!$J:$J,OpenLCAbasic!$E:$E, Z$11, OpenLCAbasic!$D:$D, Z$10, OpenLCAbasic!$F:$F,Z$9,OpenLCAbasic!$L:$L,$I$6,OpenLCAbasic!$I:$I,E23, OpenLCAbasic!$B:$B, Z$14, OpenLCAbasic!$C:$C, Z$12)
)))))</f>
        <v>2.0000000000000001E-4</v>
      </c>
      <c r="AA23" s="303">
        <f>IF(AND(AA$9="Legacy",F23=F$38,OR(AA$11="Low",AA$11="High")),
INDEX(OpenLCAbasic!$J:$J,MATCH(CONCATENATE(AA$10,"_","Base","_","Legacy_",$I$6,"_",F23,"_",AA$13,"_n.a."),OpenLCAbasic!$M:$M,0)),
IF(AND(AA$9="Legacy",ISERROR(MATCH(F23,LookUps!$H$5:$H$20,0))),"--",
IF(AA$9="Legacy",SUMIFS(OpenLCAbasic!$J:$J,OpenLCAbasic!$E:$E,"Base",OpenLCAbasic!$D:$D,"Base",OpenLCAbasic!$F:$F,AA$9,OpenLCAbasic!$L:$L,$I$6,OpenLCAbasic!$I:$I,F23,OpenLCAbasic!$C:$C,AA$13),
IF(AND(AA$9="Upgraded", OR(AA$11="Low", AA$11="High"), OR(F23=F$37, F23=F$36)),
INDEX(OpenLCAbasic!$J:$J, MATCH(CONCATENATE(AA$11, "_", AA$10, "_", "Upgraded_",$I$6,"_",F23, "_", AA$12, "_", AA$14), OpenLCAbasic!$M:$M,0)),
IF(AND(ISERROR(MATCH(F23, LookUps!$G$5:$G$21,0)), AA$9="Upgraded"),
SUMIFS(OpenLCAbasic!$J:$J,OpenLCAbasic!$E:$E, AA$11, OpenLCAbasic!$D:$D, AA$10, OpenLCAbasic!$F:$F,AA$9,OpenLCAbasic!$L:$L,$I$6,OpenLCAbasic!$I:$I,INDEX(LookUps!$G$5:$G$21,MATCH(F23, LookUps!$J$5:$J$21,0)), OpenLCAbasic!$B:$B, AA$14, OpenLCAbasic!$C:$C, AA$12),
SUMIFS(OpenLCAbasic!$J:$J,OpenLCAbasic!$E:$E, AA$11, OpenLCAbasic!$D:$D, AA$10, OpenLCAbasic!$F:$F,AA$9,OpenLCAbasic!$L:$L,$I$6,OpenLCAbasic!$I:$I,F23, OpenLCAbasic!$B:$B, AA$14, OpenLCAbasic!$C:$C, AA$12)
)))))</f>
        <v>2.0000000000000001E-4</v>
      </c>
      <c r="AB23" s="303">
        <f>IF(AND(AB$9="Legacy",G23=G$38,OR(AB$11="Low",AB$11="High")),
INDEX(OpenLCAbasic!$J:$J,MATCH(CONCATENATE(AB$10,"_","Base","_","Legacy_",$I$6,"_",G23,"_",AB$13,"_n.a."),OpenLCAbasic!$M:$M,0)),
IF(AND(AB$9="Legacy",ISERROR(MATCH(G23,LookUps!$H$5:$H$20,0))),"--",
IF(AB$9="Legacy",SUMIFS(OpenLCAbasic!$J:$J,OpenLCAbasic!$E:$E,"Base",OpenLCAbasic!$D:$D,"Base",OpenLCAbasic!$F:$F,AB$9,OpenLCAbasic!$L:$L,$I$6,OpenLCAbasic!$I:$I,G23,OpenLCAbasic!$C:$C,AB$13),
IF(AND(AB$9="Upgraded", OR(AB$11="Low", AB$11="High"), OR(G23=G$37, G23=G$36)),
INDEX(OpenLCAbasic!$J:$J, MATCH(CONCATENATE(AB$11, "_", AB$10, "_", "Upgraded_",$I$6,"_",G23, "_", AB$12, "_", AB$14), OpenLCAbasic!$M:$M,0)),
IF(AND(ISERROR(MATCH(G23, LookUps!$G$5:$G$21,0)), AB$9="Upgraded"),
SUMIFS(OpenLCAbasic!$J:$J,OpenLCAbasic!$E:$E, AB$11, OpenLCAbasic!$D:$D, AB$10, OpenLCAbasic!$F:$F,AB$9,OpenLCAbasic!$L:$L,$I$6,OpenLCAbasic!$I:$I,INDEX(LookUps!$G$5:$G$21,MATCH(G23, LookUps!$J$5:$J$21,0)), OpenLCAbasic!$B:$B, AB$14, OpenLCAbasic!$C:$C, AB$12),
SUMIFS(OpenLCAbasic!$J:$J,OpenLCAbasic!$E:$E, AB$11, OpenLCAbasic!$D:$D, AB$10, OpenLCAbasic!$F:$F,AB$9,OpenLCAbasic!$L:$L,$I$6,OpenLCAbasic!$I:$I,G23, OpenLCAbasic!$B:$B, AB$14, OpenLCAbasic!$C:$C, AB$12)
)))))</f>
        <v>2.0000000000000001E-4</v>
      </c>
    </row>
    <row r="24" spans="2:28" x14ac:dyDescent="0.25">
      <c r="B24" s="99" t="str">
        <f t="shared" si="15"/>
        <v>Primary Clarifier; wastewater treatment unit - US</v>
      </c>
      <c r="C24" s="99" t="str">
        <f t="shared" si="14"/>
        <v>Primary Clarifier; wastewater treatment unit - US</v>
      </c>
      <c r="D24" s="99" t="str">
        <f t="shared" si="14"/>
        <v>Primary Clarifier; wastewater treatment unit - US</v>
      </c>
      <c r="E24" s="99" t="str">
        <f t="shared" si="14"/>
        <v>Primary Clarifier; wastewater treatment unit - US</v>
      </c>
      <c r="F24" s="99" t="str">
        <f t="shared" si="14"/>
        <v>Primary Clarifier; wastewater treatment unit - US</v>
      </c>
      <c r="G24" s="99" t="str">
        <f t="shared" si="14"/>
        <v>Primary Clarifier; wastewater treatment unit - US</v>
      </c>
      <c r="H24" s="266" t="str">
        <f>LookUps!$H$8</f>
        <v>Primary Clarifier; wastewater treatment unit - US</v>
      </c>
      <c r="I24" s="305">
        <f>IF(AND(I$9="Legacy",B24=B$38,OR(I$11="Low",I$11="High")),
INDEX(OpenLCAbasic!$J:$J,MATCH(CONCATENATE(I$10,"_","Base","_","Legacy_",$I$4,"_",B24,"_",I$13,"_n.a."),OpenLCAbasic!$M:$M,0)),
IF(AND(I$9="Legacy",ISERROR(MATCH(B24,LookUps!$H$5:$H$20,0))),"--",
IF(I$9="Legacy",SUMIFS(OpenLCAbasic!$J:$J,OpenLCAbasic!$E:$E,"Base",OpenLCAbasic!$D:$D,"Base",OpenLCAbasic!$F:$F,I$9,OpenLCAbasic!$L:$L,$I$4,OpenLCAbasic!$I:$I,B24,OpenLCAbasic!$C:$C,I$13),
IF(AND(I$9="Upgraded", OR(I$11="Low", I$11="High"), OR(B24=B$37, B24=B$36)),
INDEX(OpenLCAbasic!$J:$J, MATCH(CONCATENATE(I$11, "_", I$10, "_", "Upgraded_",$I$4,"_",B24, "_", I$12, "_", I$14), OpenLCAbasic!$M:$M,0)),
IF(AND(ISERROR(MATCH(B24, LookUps!$G$5:$G$21,0)), I$9="Upgraded"),
SUMIFS(OpenLCAbasic!$J:$J,OpenLCAbasic!$E:$E, I$11, OpenLCAbasic!$D:$D, I$10, OpenLCAbasic!$F:$F,I$9,OpenLCAbasic!$L:$L,$I$4,OpenLCAbasic!$I:$I,INDEX(LookUps!$G$5:$G$21,MATCH(B24, LookUps!$J$5:$J$21,0)), OpenLCAbasic!$B:$B, I$14, OpenLCAbasic!$C:$C, I$12),
SUMIFS(OpenLCAbasic!$J:$J,OpenLCAbasic!$E:$E, I$11, OpenLCAbasic!$D:$D, I$10, OpenLCAbasic!$F:$F,I$9,OpenLCAbasic!$L:$L,$I$4,OpenLCAbasic!$I:$I,B24, OpenLCAbasic!$B:$B, I$14, OpenLCAbasic!$C:$C, I$12)
)))))</f>
        <v>1.7720800000000001</v>
      </c>
      <c r="J24" s="304">
        <f>IF(AND(J$9="Legacy",C24=C$38,OR(J$11="Low",J$11="High")),
INDEX(OpenLCAbasic!$J:$J,MATCH(CONCATENATE(J$10,"_","Base","_","Legacy_",$I$4,"_",C24,"_",J$13,"_n.a."),OpenLCAbasic!$M:$M,0)),
IF(AND(J$9="Legacy",ISERROR(MATCH(C24,LookUps!$H$5:$H$20,0))),"--",
IF(J$9="Legacy",SUMIFS(OpenLCAbasic!$J:$J,OpenLCAbasic!$E:$E,"Base",OpenLCAbasic!$D:$D,"Base",OpenLCAbasic!$F:$F,J$9,OpenLCAbasic!$L:$L,$I$4,OpenLCAbasic!$I:$I,C24,OpenLCAbasic!$C:$C,J$13),
IF(AND(J$9="Upgraded", OR(J$11="Low", J$11="High"), OR(C24=C$37, C24=C$36)),
INDEX(OpenLCAbasic!$J:$J, MATCH(CONCATENATE(J$11, "_", J$10, "_", "Upgraded_",$I$4,"_",C24, "_", J$12, "_", J$14), OpenLCAbasic!$M:$M,0)),
IF(AND(ISERROR(MATCH(C24, LookUps!$G$5:$G$21,0)), J$9="Upgraded"),
SUMIFS(OpenLCAbasic!$J:$J,OpenLCAbasic!$E:$E, J$11, OpenLCAbasic!$D:$D, J$10, OpenLCAbasic!$F:$F,J$9,OpenLCAbasic!$L:$L,$I$4,OpenLCAbasic!$I:$I,INDEX(LookUps!$G$5:$G$21,MATCH(C24, LookUps!$J$5:$J$21,0)), OpenLCAbasic!$B:$B, J$14, OpenLCAbasic!$C:$C, J$12),
SUMIFS(OpenLCAbasic!$J:$J,OpenLCAbasic!$E:$E, J$11, OpenLCAbasic!$D:$D, J$10, OpenLCAbasic!$F:$F,J$9,OpenLCAbasic!$L:$L,$I$4,OpenLCAbasic!$I:$I,C24, OpenLCAbasic!$B:$B, J$14, OpenLCAbasic!$C:$C, J$12)
)))))</f>
        <v>0</v>
      </c>
      <c r="K24" s="304">
        <f>IF(AND(K$9="Legacy",D24=D$38,OR(K$11="Low",K$11="High")),
INDEX(OpenLCAbasic!$J:$J,MATCH(CONCATENATE(K$10,"_","Base","_","Legacy_",$I$4,"_",D24,"_",K$13,"_n.a."),OpenLCAbasic!$M:$M,0)),
IF(AND(K$9="Legacy",ISERROR(MATCH(D24,LookUps!$H$5:$H$20,0))),"--",
IF(K$9="Legacy",SUMIFS(OpenLCAbasic!$J:$J,OpenLCAbasic!$E:$E,"Base",OpenLCAbasic!$D:$D,"Base",OpenLCAbasic!$F:$F,K$9,OpenLCAbasic!$L:$L,$I$4,OpenLCAbasic!$I:$I,D24,OpenLCAbasic!$C:$C,K$13),
IF(AND(K$9="Upgraded", OR(K$11="Low", K$11="High"), OR(D24=D$37, D24=D$36)),
INDEX(OpenLCAbasic!$J:$J, MATCH(CONCATENATE(K$11, "_", K$10, "_", "Upgraded_",$I$4,"_",D24, "_", K$12, "_", K$14), OpenLCAbasic!$M:$M,0)),
IF(AND(ISERROR(MATCH(D24, LookUps!$G$5:$G$21,0)), K$9="Upgraded"),
SUMIFS(OpenLCAbasic!$J:$J,OpenLCAbasic!$E:$E, K$11, OpenLCAbasic!$D:$D, K$10, OpenLCAbasic!$F:$F,K$9,OpenLCAbasic!$L:$L,$I$4,OpenLCAbasic!$I:$I,INDEX(LookUps!$G$5:$G$21,MATCH(D24, LookUps!$J$5:$J$21,0)), OpenLCAbasic!$B:$B, K$14, OpenLCAbasic!$C:$C, K$12),
SUMIFS(OpenLCAbasic!$J:$J,OpenLCAbasic!$E:$E, K$11, OpenLCAbasic!$D:$D, K$10, OpenLCAbasic!$F:$F,K$9,OpenLCAbasic!$L:$L,$I$4,OpenLCAbasic!$I:$I,D24, OpenLCAbasic!$B:$B, K$14, OpenLCAbasic!$C:$C, K$12)
)))))</f>
        <v>0</v>
      </c>
      <c r="L24" s="304">
        <f>IF(AND(L$9="Legacy",E24=E$38,OR(L$11="Low",L$11="High")),
INDEX(OpenLCAbasic!$J:$J,MATCH(CONCATENATE(L$10,"_","Base","_","Legacy_",$I$4,"_",E24,"_",L$13,"_n.a."),OpenLCAbasic!$M:$M,0)),
IF(AND(L$9="Legacy",ISERROR(MATCH(E24,LookUps!$H$5:$H$20,0))),"--",
IF(L$9="Legacy",SUMIFS(OpenLCAbasic!$J:$J,OpenLCAbasic!$E:$E,"Base",OpenLCAbasic!$D:$D,"Base",OpenLCAbasic!$F:$F,L$9,OpenLCAbasic!$L:$L,$I$4,OpenLCAbasic!$I:$I,E24,OpenLCAbasic!$C:$C,L$13),
IF(AND(L$9="Upgraded", OR(L$11="Low", L$11="High"), OR(E24=E$37, E24=E$36)),
INDEX(OpenLCAbasic!$J:$J, MATCH(CONCATENATE(L$11, "_", L$10, "_", "Upgraded_",$I$4,"_",E24, "_", L$12, "_", L$14), OpenLCAbasic!$M:$M,0)),
IF(AND(ISERROR(MATCH(E24, LookUps!$G$5:$G$21,0)), L$9="Upgraded"),
SUMIFS(OpenLCAbasic!$J:$J,OpenLCAbasic!$E:$E, L$11, OpenLCAbasic!$D:$D, L$10, OpenLCAbasic!$F:$F,L$9,OpenLCAbasic!$L:$L,$I$4,OpenLCAbasic!$I:$I,INDEX(LookUps!$G$5:$G$21,MATCH(E24, LookUps!$J$5:$J$21,0)), OpenLCAbasic!$B:$B, L$14, OpenLCAbasic!$C:$C, L$12),
SUMIFS(OpenLCAbasic!$J:$J,OpenLCAbasic!$E:$E, L$11, OpenLCAbasic!$D:$D, L$10, OpenLCAbasic!$F:$F,L$9,OpenLCAbasic!$L:$L,$I$4,OpenLCAbasic!$I:$I,E24, OpenLCAbasic!$B:$B, L$14, OpenLCAbasic!$C:$C, L$12)
)))))</f>
        <v>0</v>
      </c>
      <c r="M24" s="304">
        <f>IF(AND(M$9="Legacy",F24=F$38,OR(M$11="Low",M$11="High")),
INDEX(OpenLCAbasic!$J:$J,MATCH(CONCATENATE(M$10,"_","Base","_","Legacy_",$I$4,"_",F24,"_",M$13,"_n.a."),OpenLCAbasic!$M:$M,0)),
IF(AND(M$9="Legacy",ISERROR(MATCH(F24,LookUps!$H$5:$H$20,0))),"--",
IF(M$9="Legacy",SUMIFS(OpenLCAbasic!$J:$J,OpenLCAbasic!$E:$E,"Base",OpenLCAbasic!$D:$D,"Base",OpenLCAbasic!$F:$F,M$9,OpenLCAbasic!$L:$L,$I$4,OpenLCAbasic!$I:$I,F24,OpenLCAbasic!$C:$C,M$13),
IF(AND(M$9="Upgraded", OR(M$11="Low", M$11="High"), OR(F24=F$37, F24=F$36)),
INDEX(OpenLCAbasic!$J:$J, MATCH(CONCATENATE(M$11, "_", M$10, "_", "Upgraded_",$I$4,"_",F24, "_", M$12, "_", M$14), OpenLCAbasic!$M:$M,0)),
IF(AND(ISERROR(MATCH(F24, LookUps!$G$5:$G$21,0)), M$9="Upgraded"),
SUMIFS(OpenLCAbasic!$J:$J,OpenLCAbasic!$E:$E, M$11, OpenLCAbasic!$D:$D, M$10, OpenLCAbasic!$F:$F,M$9,OpenLCAbasic!$L:$L,$I$4,OpenLCAbasic!$I:$I,INDEX(LookUps!$G$5:$G$21,MATCH(F24, LookUps!$J$5:$J$21,0)), OpenLCAbasic!$B:$B, M$14, OpenLCAbasic!$C:$C, M$12),
SUMIFS(OpenLCAbasic!$J:$J,OpenLCAbasic!$E:$E, M$11, OpenLCAbasic!$D:$D, M$10, OpenLCAbasic!$F:$F,M$9,OpenLCAbasic!$L:$L,$I$4,OpenLCAbasic!$I:$I,F24, OpenLCAbasic!$B:$B, M$14, OpenLCAbasic!$C:$C, M$12)
)))))</f>
        <v>0</v>
      </c>
      <c r="N24" s="304">
        <f>IF(AND(N$9="Legacy",G24=G$38,OR(N$11="Low",N$11="High")),
INDEX(OpenLCAbasic!$J:$J,MATCH(CONCATENATE(N$10,"_","Base","_","Legacy_",$I$4,"_",G24,"_",N$13,"_n.a."),OpenLCAbasic!$M:$M,0)),
IF(AND(N$9="Legacy",ISERROR(MATCH(G24,LookUps!$H$5:$H$20,0))),"--",
IF(N$9="Legacy",SUMIFS(OpenLCAbasic!$J:$J,OpenLCAbasic!$E:$E,"Base",OpenLCAbasic!$D:$D,"Base",OpenLCAbasic!$F:$F,N$9,OpenLCAbasic!$L:$L,$I$4,OpenLCAbasic!$I:$I,G24,OpenLCAbasic!$C:$C,N$13),
IF(AND(N$9="Upgraded", OR(N$11="Low", N$11="High"), OR(G24=G$37, G24=G$36)),
INDEX(OpenLCAbasic!$J:$J, MATCH(CONCATENATE(N$11, "_", N$10, "_", "Upgraded_",$I$4,"_",G24, "_", N$12, "_", N$14), OpenLCAbasic!$M:$M,0)),
IF(AND(ISERROR(MATCH(G24, LookUps!$G$5:$G$21,0)), N$9="Upgraded"),
SUMIFS(OpenLCAbasic!$J:$J,OpenLCAbasic!$E:$E, N$11, OpenLCAbasic!$D:$D, N$10, OpenLCAbasic!$F:$F,N$9,OpenLCAbasic!$L:$L,$I$4,OpenLCAbasic!$I:$I,INDEX(LookUps!$G$5:$G$21,MATCH(G24, LookUps!$J$5:$J$21,0)), OpenLCAbasic!$B:$B, N$14, OpenLCAbasic!$C:$C, N$12),
SUMIFS(OpenLCAbasic!$J:$J,OpenLCAbasic!$E:$E, N$11, OpenLCAbasic!$D:$D, N$10, OpenLCAbasic!$F:$F,N$9,OpenLCAbasic!$L:$L,$I$4,OpenLCAbasic!$I:$I,G24, OpenLCAbasic!$B:$B, N$14, OpenLCAbasic!$C:$C, N$12)
)))))</f>
        <v>0</v>
      </c>
      <c r="O24" s="302"/>
      <c r="P24" s="301">
        <f>IF(AND(P$9="Legacy",B24=B$38,OR(P$11="Low",P$11="High")),
INDEX(OpenLCAbasic!$J:$J,MATCH(CONCATENATE(P$10,"_","Base","_","Legacy_",$I$5,"_",B24,"_",P$13,"_n.a."),OpenLCAbasic!$M:$M,0)),
IF(AND(P$9="Legacy",ISERROR(MATCH(B24,LookUps!$H$5:$H$20,0))),"--",
IF(P$9="Legacy",SUMIFS(OpenLCAbasic!$J:$J,OpenLCAbasic!$E:$E,"Base",OpenLCAbasic!$D:$D,"Base",OpenLCAbasic!$F:$F,P$9,OpenLCAbasic!$L:$L,$I$5,OpenLCAbasic!$I:$I,B24,OpenLCAbasic!$C:$C,P$13),
IF(AND(P$9="Upgraded", OR(P$11="Low", P$11="High"), OR(B24=B$37, B24=B$36)),
INDEX(OpenLCAbasic!$J:$J, MATCH(CONCATENATE(P$11, "_", P$10, "_", "Upgraded_",$I$5,"_",B24, "_", P$12, "_", P$14), OpenLCAbasic!$M:$M,0)),
IF(AND(ISERROR(MATCH(B24, LookUps!$G$5:$G$21,0)), P$9="Upgraded"),
SUMIFS(OpenLCAbasic!$J:$J,OpenLCAbasic!$E:$E, P$11, OpenLCAbasic!$D:$D, P$10, OpenLCAbasic!$F:$F,P$9,OpenLCAbasic!$L:$L,$I$5,OpenLCAbasic!$I:$I,INDEX(LookUps!$G$5:$G$21,MATCH(B24, LookUps!$J$5:$J$21,0)), OpenLCAbasic!$B:$B, P$14, OpenLCAbasic!$C:$C, P$12),
SUMIFS(OpenLCAbasic!$J:$J,OpenLCAbasic!$E:$E, P$11, OpenLCAbasic!$D:$D, P$10, OpenLCAbasic!$F:$F,P$9,OpenLCAbasic!$L:$L,$I$5,OpenLCAbasic!$I:$I,B24, OpenLCAbasic!$B:$B, P$14, OpenLCAbasic!$C:$C, P$12)
)))))</f>
        <v>0.11262999999999999</v>
      </c>
      <c r="Q24" s="304">
        <f>IF(AND(Q$9="Legacy",C24=C$38,OR(Q$11="Low",Q$11="High")),
INDEX(OpenLCAbasic!$J:$J,MATCH(CONCATENATE(Q$10,"_","Base","_","Legacy_",$I$5,"_",C24,"_",Q$13,"_n.a."),OpenLCAbasic!$M:$M,0)),
IF(AND(Q$9="Legacy",ISERROR(MATCH(C24,LookUps!$H$5:$H$20,0))),"--",
IF(Q$9="Legacy",SUMIFS(OpenLCAbasic!$J:$J,OpenLCAbasic!$E:$E,"Base",OpenLCAbasic!$D:$D,"Base",OpenLCAbasic!$F:$F,Q$9,OpenLCAbasic!$L:$L,$I$5,OpenLCAbasic!$I:$I,C24,OpenLCAbasic!$C:$C,Q$13),
IF(AND(Q$9="Upgraded", OR(Q$11="Low", Q$11="High"), OR(C24=C$37, C24=C$36)),
INDEX(OpenLCAbasic!$J:$J, MATCH(CONCATENATE(Q$11, "_", Q$10, "_", "Upgraded_",$I$5,"_",C24, "_", Q$12, "_", Q$14), OpenLCAbasic!$M:$M,0)),
IF(AND(ISERROR(MATCH(C24, LookUps!$G$5:$G$21,0)), Q$9="Upgraded"),
SUMIFS(OpenLCAbasic!$J:$J,OpenLCAbasic!$E:$E, Q$11, OpenLCAbasic!$D:$D, Q$10, OpenLCAbasic!$F:$F,Q$9,OpenLCAbasic!$L:$L,$I$5,OpenLCAbasic!$I:$I,INDEX(LookUps!$G$5:$G$21,MATCH(C24, LookUps!$J$5:$J$21,0)), OpenLCAbasic!$B:$B, Q$14, OpenLCAbasic!$C:$C, Q$12),
SUMIFS(OpenLCAbasic!$J:$J,OpenLCAbasic!$E:$E, Q$11, OpenLCAbasic!$D:$D, Q$10, OpenLCAbasic!$F:$F,Q$9,OpenLCAbasic!$L:$L,$I$5,OpenLCAbasic!$I:$I,C24, OpenLCAbasic!$B:$B, Q$14, OpenLCAbasic!$C:$C, Q$12)
)))))</f>
        <v>0</v>
      </c>
      <c r="R24" s="304">
        <f>IF(AND(R$9="Legacy",D24=D$38,OR(R$11="Low",R$11="High")),
INDEX(OpenLCAbasic!$J:$J,MATCH(CONCATENATE(R$10,"_","Base","_","Legacy_",$I$5,"_",D24,"_",R$13,"_n.a."),OpenLCAbasic!$M:$M,0)),
IF(AND(R$9="Legacy",ISERROR(MATCH(D24,LookUps!$H$5:$H$20,0))),"--",
IF(R$9="Legacy",SUMIFS(OpenLCAbasic!$J:$J,OpenLCAbasic!$E:$E,"Base",OpenLCAbasic!$D:$D,"Base",OpenLCAbasic!$F:$F,R$9,OpenLCAbasic!$L:$L,$I$5,OpenLCAbasic!$I:$I,D24,OpenLCAbasic!$C:$C,R$13),
IF(AND(R$9="Upgraded", OR(R$11="Low", R$11="High"), OR(D24=D$37, D24=D$36)),
INDEX(OpenLCAbasic!$J:$J, MATCH(CONCATENATE(R$11, "_", R$10, "_", "Upgraded_",$I$5,"_",D24, "_", R$12, "_", R$14), OpenLCAbasic!$M:$M,0)),
IF(AND(ISERROR(MATCH(D24, LookUps!$G$5:$G$21,0)), R$9="Upgraded"),
SUMIFS(OpenLCAbasic!$J:$J,OpenLCAbasic!$E:$E, R$11, OpenLCAbasic!$D:$D, R$10, OpenLCAbasic!$F:$F,R$9,OpenLCAbasic!$L:$L,$I$5,OpenLCAbasic!$I:$I,INDEX(LookUps!$G$5:$G$21,MATCH(D24, LookUps!$J$5:$J$21,0)), OpenLCAbasic!$B:$B, R$14, OpenLCAbasic!$C:$C, R$12),
SUMIFS(OpenLCAbasic!$J:$J,OpenLCAbasic!$E:$E, R$11, OpenLCAbasic!$D:$D, R$10, OpenLCAbasic!$F:$F,R$9,OpenLCAbasic!$L:$L,$I$5,OpenLCAbasic!$I:$I,D24, OpenLCAbasic!$B:$B, R$14, OpenLCAbasic!$C:$C, R$12)
)))))</f>
        <v>0</v>
      </c>
      <c r="S24" s="304">
        <f>IF(AND(S$9="Legacy",E24=E$38,OR(S$11="Low",S$11="High")),
INDEX(OpenLCAbasic!$J:$J,MATCH(CONCATENATE(S$10,"_","Base","_","Legacy_",$I$5,"_",E24,"_",S$13,"_n.a."),OpenLCAbasic!$M:$M,0)),
IF(AND(S$9="Legacy",ISERROR(MATCH(E24,LookUps!$H$5:$H$20,0))),"--",
IF(S$9="Legacy",SUMIFS(OpenLCAbasic!$J:$J,OpenLCAbasic!$E:$E,"Base",OpenLCAbasic!$D:$D,"Base",OpenLCAbasic!$F:$F,S$9,OpenLCAbasic!$L:$L,$I$5,OpenLCAbasic!$I:$I,E24,OpenLCAbasic!$C:$C,S$13),
IF(AND(S$9="Upgraded", OR(S$11="Low", S$11="High"), OR(E24=E$37, E24=E$36)),
INDEX(OpenLCAbasic!$J:$J, MATCH(CONCATENATE(S$11, "_", S$10, "_", "Upgraded_",$I$5,"_",E24, "_", S$12, "_", S$14), OpenLCAbasic!$M:$M,0)),
IF(AND(ISERROR(MATCH(E24, LookUps!$G$5:$G$21,0)), S$9="Upgraded"),
SUMIFS(OpenLCAbasic!$J:$J,OpenLCAbasic!$E:$E, S$11, OpenLCAbasic!$D:$D, S$10, OpenLCAbasic!$F:$F,S$9,OpenLCAbasic!$L:$L,$I$5,OpenLCAbasic!$I:$I,INDEX(LookUps!$G$5:$G$21,MATCH(E24, LookUps!$J$5:$J$21,0)), OpenLCAbasic!$B:$B, S$14, OpenLCAbasic!$C:$C, S$12),
SUMIFS(OpenLCAbasic!$J:$J,OpenLCAbasic!$E:$E, S$11, OpenLCAbasic!$D:$D, S$10, OpenLCAbasic!$F:$F,S$9,OpenLCAbasic!$L:$L,$I$5,OpenLCAbasic!$I:$I,E24, OpenLCAbasic!$B:$B, S$14, OpenLCAbasic!$C:$C, S$12)
)))))</f>
        <v>0</v>
      </c>
      <c r="T24" s="304">
        <f>IF(AND(T$9="Legacy",F24=F$38,OR(T$11="Low",T$11="High")),
INDEX(OpenLCAbasic!$J:$J,MATCH(CONCATENATE(T$10,"_","Base","_","Legacy_",$I$5,"_",F24,"_",T$13,"_n.a."),OpenLCAbasic!$M:$M,0)),
IF(AND(T$9="Legacy",ISERROR(MATCH(F24,LookUps!$H$5:$H$20,0))),"--",
IF(T$9="Legacy",SUMIFS(OpenLCAbasic!$J:$J,OpenLCAbasic!$E:$E,"Base",OpenLCAbasic!$D:$D,"Base",OpenLCAbasic!$F:$F,T$9,OpenLCAbasic!$L:$L,$I$5,OpenLCAbasic!$I:$I,F24,OpenLCAbasic!$C:$C,T$13),
IF(AND(T$9="Upgraded", OR(T$11="Low", T$11="High"), OR(F24=F$37, F24=F$36)),
INDEX(OpenLCAbasic!$J:$J, MATCH(CONCATENATE(T$11, "_", T$10, "_", "Upgraded_",$I$5,"_",F24, "_", T$12, "_", T$14), OpenLCAbasic!$M:$M,0)),
IF(AND(ISERROR(MATCH(F24, LookUps!$G$5:$G$21,0)), T$9="Upgraded"),
SUMIFS(OpenLCAbasic!$J:$J,OpenLCAbasic!$E:$E, T$11, OpenLCAbasic!$D:$D, T$10, OpenLCAbasic!$F:$F,T$9,OpenLCAbasic!$L:$L,$I$5,OpenLCAbasic!$I:$I,INDEX(LookUps!$G$5:$G$21,MATCH(F24, LookUps!$J$5:$J$21,0)), OpenLCAbasic!$B:$B, T$14, OpenLCAbasic!$C:$C, T$12),
SUMIFS(OpenLCAbasic!$J:$J,OpenLCAbasic!$E:$E, T$11, OpenLCAbasic!$D:$D, T$10, OpenLCAbasic!$F:$F,T$9,OpenLCAbasic!$L:$L,$I$5,OpenLCAbasic!$I:$I,F24, OpenLCAbasic!$B:$B, T$14, OpenLCAbasic!$C:$C, T$12)
)))))</f>
        <v>0</v>
      </c>
      <c r="U24" s="304">
        <f>IF(AND(U$9="Legacy",G24=G$38,OR(U$11="Low",U$11="High")),
INDEX(OpenLCAbasic!$J:$J,MATCH(CONCATENATE(U$10,"_","Base","_","Legacy_",$I$5,"_",G24,"_",U$13,"_n.a."),OpenLCAbasic!$M:$M,0)),
IF(AND(U$9="Legacy",ISERROR(MATCH(G24,LookUps!$H$5:$H$20,0))),"--",
IF(U$9="Legacy",SUMIFS(OpenLCAbasic!$J:$J,OpenLCAbasic!$E:$E,"Base",OpenLCAbasic!$D:$D,"Base",OpenLCAbasic!$F:$F,U$9,OpenLCAbasic!$L:$L,$I$5,OpenLCAbasic!$I:$I,G24,OpenLCAbasic!$C:$C,U$13),
IF(AND(U$9="Upgraded", OR(U$11="Low", U$11="High"), OR(G24=G$37, G24=G$36)),
INDEX(OpenLCAbasic!$J:$J, MATCH(CONCATENATE(U$11, "_", U$10, "_", "Upgraded_",$I$5,"_",G24, "_", U$12, "_", U$14), OpenLCAbasic!$M:$M,0)),
IF(AND(ISERROR(MATCH(G24, LookUps!$G$5:$G$21,0)), U$9="Upgraded"),
SUMIFS(OpenLCAbasic!$J:$J,OpenLCAbasic!$E:$E, U$11, OpenLCAbasic!$D:$D, U$10, OpenLCAbasic!$F:$F,U$9,OpenLCAbasic!$L:$L,$I$5,OpenLCAbasic!$I:$I,INDEX(LookUps!$G$5:$G$21,MATCH(G24, LookUps!$J$5:$J$21,0)), OpenLCAbasic!$B:$B, U$14, OpenLCAbasic!$C:$C, U$12),
SUMIFS(OpenLCAbasic!$J:$J,OpenLCAbasic!$E:$E, U$11, OpenLCAbasic!$D:$D, U$10, OpenLCAbasic!$F:$F,U$9,OpenLCAbasic!$L:$L,$I$5,OpenLCAbasic!$I:$I,G24, OpenLCAbasic!$B:$B, U$14, OpenLCAbasic!$C:$C, U$12)
)))))</f>
        <v>0</v>
      </c>
      <c r="V24" s="302"/>
      <c r="W24" s="303">
        <f>IF(AND(W$9="Legacy",B24=B$38,OR(W$11="Low",W$11="High")),
INDEX(OpenLCAbasic!$J:$J,MATCH(CONCATENATE(W$10,"_","Base","_","Legacy_",$I$6,"_",B24,"_",W$13,"_n.a."),OpenLCAbasic!$M:$M,0)),
IF(AND(W$9="Legacy",ISERROR(MATCH(B24,LookUps!$H$5:$H$20,0))),"--",
IF(W$9="Legacy",SUMIFS(OpenLCAbasic!$J:$J,OpenLCAbasic!$E:$E,"Base",OpenLCAbasic!$D:$D,"Base",OpenLCAbasic!$F:$F,W$9,OpenLCAbasic!$L:$L,$I$6,OpenLCAbasic!$I:$I,B24,OpenLCAbasic!$C:$C,W$13),
IF(AND(W$9="Upgraded", OR(W$11="Low", W$11="High"), OR(B24=B$37, B24=B$36)),
INDEX(OpenLCAbasic!$J:$J, MATCH(CONCATENATE(W$11, "_", W$10, "_", "Upgraded_",$I$6,"_",B24, "_", W$12, "_", W$14), OpenLCAbasic!$M:$M,0)),
IF(AND(ISERROR(MATCH(B24, LookUps!$G$5:$G$21,0)), W$9="Upgraded"),
SUMIFS(OpenLCAbasic!$J:$J,OpenLCAbasic!$E:$E, W$11, OpenLCAbasic!$D:$D, W$10, OpenLCAbasic!$F:$F,W$9,OpenLCAbasic!$L:$L,$I$6,OpenLCAbasic!$I:$I,INDEX(LookUps!$G$5:$G$21,MATCH(B24, LookUps!$J$5:$J$21,0)), OpenLCAbasic!$B:$B, W$14, OpenLCAbasic!$C:$C, W$12),
SUMIFS(OpenLCAbasic!$J:$J,OpenLCAbasic!$E:$E, W$11, OpenLCAbasic!$D:$D, W$10, OpenLCAbasic!$F:$F,W$9,OpenLCAbasic!$L:$L,$I$6,OpenLCAbasic!$I:$I,B24, OpenLCAbasic!$B:$B, W$14, OpenLCAbasic!$C:$C, W$12)
)))))</f>
        <v>4.2999999999999999E-4</v>
      </c>
      <c r="X24" s="304">
        <f>IF(AND(X$9="Legacy",C24=C$38,OR(X$11="Low",X$11="High")),
INDEX(OpenLCAbasic!$J:$J,MATCH(CONCATENATE(X$10,"_","Base","_","Legacy_",$I$6,"_",C24,"_",X$13,"_n.a."),OpenLCAbasic!$M:$M,0)),
IF(AND(X$9="Legacy",ISERROR(MATCH(C24,LookUps!$H$5:$H$20,0))),"--",
IF(X$9="Legacy",SUMIFS(OpenLCAbasic!$J:$J,OpenLCAbasic!$E:$E,"Base",OpenLCAbasic!$D:$D,"Base",OpenLCAbasic!$F:$F,X$9,OpenLCAbasic!$L:$L,$I$6,OpenLCAbasic!$I:$I,C24,OpenLCAbasic!$C:$C,X$13),
IF(AND(X$9="Upgraded", OR(X$11="Low", X$11="High"), OR(C24=C$37, C24=C$36)),
INDEX(OpenLCAbasic!$J:$J, MATCH(CONCATENATE(X$11, "_", X$10, "_", "Upgraded_",$I$6,"_",C24, "_", X$12, "_", X$14), OpenLCAbasic!$M:$M,0)),
IF(AND(ISERROR(MATCH(C24, LookUps!$G$5:$G$21,0)), X$9="Upgraded"),
SUMIFS(OpenLCAbasic!$J:$J,OpenLCAbasic!$E:$E, X$11, OpenLCAbasic!$D:$D, X$10, OpenLCAbasic!$F:$F,X$9,OpenLCAbasic!$L:$L,$I$6,OpenLCAbasic!$I:$I,INDEX(LookUps!$G$5:$G$21,MATCH(C24, LookUps!$J$5:$J$21,0)), OpenLCAbasic!$B:$B, X$14, OpenLCAbasic!$C:$C, X$12),
SUMIFS(OpenLCAbasic!$J:$J,OpenLCAbasic!$E:$E, X$11, OpenLCAbasic!$D:$D, X$10, OpenLCAbasic!$F:$F,X$9,OpenLCAbasic!$L:$L,$I$6,OpenLCAbasic!$I:$I,C24, OpenLCAbasic!$B:$B, X$14, OpenLCAbasic!$C:$C, X$12)
)))))</f>
        <v>0</v>
      </c>
      <c r="Y24" s="304">
        <f>IF(AND(Y$9="Legacy",D24=D$38,OR(Y$11="Low",Y$11="High")),
INDEX(OpenLCAbasic!$J:$J,MATCH(CONCATENATE(Y$10,"_","Base","_","Legacy_",$I$6,"_",D24,"_",Y$13,"_n.a."),OpenLCAbasic!$M:$M,0)),
IF(AND(Y$9="Legacy",ISERROR(MATCH(D24,LookUps!$H$5:$H$20,0))),"--",
IF(Y$9="Legacy",SUMIFS(OpenLCAbasic!$J:$J,OpenLCAbasic!$E:$E,"Base",OpenLCAbasic!$D:$D,"Base",OpenLCAbasic!$F:$F,Y$9,OpenLCAbasic!$L:$L,$I$6,OpenLCAbasic!$I:$I,D24,OpenLCAbasic!$C:$C,Y$13),
IF(AND(Y$9="Upgraded", OR(Y$11="Low", Y$11="High"), OR(D24=D$37, D24=D$36)),
INDEX(OpenLCAbasic!$J:$J, MATCH(CONCATENATE(Y$11, "_", Y$10, "_", "Upgraded_",$I$6,"_",D24, "_", Y$12, "_", Y$14), OpenLCAbasic!$M:$M,0)),
IF(AND(ISERROR(MATCH(D24, LookUps!$G$5:$G$21,0)), Y$9="Upgraded"),
SUMIFS(OpenLCAbasic!$J:$J,OpenLCAbasic!$E:$E, Y$11, OpenLCAbasic!$D:$D, Y$10, OpenLCAbasic!$F:$F,Y$9,OpenLCAbasic!$L:$L,$I$6,OpenLCAbasic!$I:$I,INDEX(LookUps!$G$5:$G$21,MATCH(D24, LookUps!$J$5:$J$21,0)), OpenLCAbasic!$B:$B, Y$14, OpenLCAbasic!$C:$C, Y$12),
SUMIFS(OpenLCAbasic!$J:$J,OpenLCAbasic!$E:$E, Y$11, OpenLCAbasic!$D:$D, Y$10, OpenLCAbasic!$F:$F,Y$9,OpenLCAbasic!$L:$L,$I$6,OpenLCAbasic!$I:$I,D24, OpenLCAbasic!$B:$B, Y$14, OpenLCAbasic!$C:$C, Y$12)
)))))</f>
        <v>0</v>
      </c>
      <c r="Z24" s="304">
        <f>IF(AND(Z$9="Legacy",E24=E$38,OR(Z$11="Low",Z$11="High")),
INDEX(OpenLCAbasic!$J:$J,MATCH(CONCATENATE(Z$10,"_","Base","_","Legacy_",$I$6,"_",E24,"_",Z$13,"_n.a."),OpenLCAbasic!$M:$M,0)),
IF(AND(Z$9="Legacy",ISERROR(MATCH(E24,LookUps!$H$5:$H$20,0))),"--",
IF(Z$9="Legacy",SUMIFS(OpenLCAbasic!$J:$J,OpenLCAbasic!$E:$E,"Base",OpenLCAbasic!$D:$D,"Base",OpenLCAbasic!$F:$F,Z$9,OpenLCAbasic!$L:$L,$I$6,OpenLCAbasic!$I:$I,E24,OpenLCAbasic!$C:$C,Z$13),
IF(AND(Z$9="Upgraded", OR(Z$11="Low", Z$11="High"), OR(E24=E$37, E24=E$36)),
INDEX(OpenLCAbasic!$J:$J, MATCH(CONCATENATE(Z$11, "_", Z$10, "_", "Upgraded_",$I$6,"_",E24, "_", Z$12, "_", Z$14), OpenLCAbasic!$M:$M,0)),
IF(AND(ISERROR(MATCH(E24, LookUps!$G$5:$G$21,0)), Z$9="Upgraded"),
SUMIFS(OpenLCAbasic!$J:$J,OpenLCAbasic!$E:$E, Z$11, OpenLCAbasic!$D:$D, Z$10, OpenLCAbasic!$F:$F,Z$9,OpenLCAbasic!$L:$L,$I$6,OpenLCAbasic!$I:$I,INDEX(LookUps!$G$5:$G$21,MATCH(E24, LookUps!$J$5:$J$21,0)), OpenLCAbasic!$B:$B, Z$14, OpenLCAbasic!$C:$C, Z$12),
SUMIFS(OpenLCAbasic!$J:$J,OpenLCAbasic!$E:$E, Z$11, OpenLCAbasic!$D:$D, Z$10, OpenLCAbasic!$F:$F,Z$9,OpenLCAbasic!$L:$L,$I$6,OpenLCAbasic!$I:$I,E24, OpenLCAbasic!$B:$B, Z$14, OpenLCAbasic!$C:$C, Z$12)
)))))</f>
        <v>0</v>
      </c>
      <c r="AA24" s="304">
        <f>IF(AND(AA$9="Legacy",F24=F$38,OR(AA$11="Low",AA$11="High")),
INDEX(OpenLCAbasic!$J:$J,MATCH(CONCATENATE(AA$10,"_","Base","_","Legacy_",$I$6,"_",F24,"_",AA$13,"_n.a."),OpenLCAbasic!$M:$M,0)),
IF(AND(AA$9="Legacy",ISERROR(MATCH(F24,LookUps!$H$5:$H$20,0))),"--",
IF(AA$9="Legacy",SUMIFS(OpenLCAbasic!$J:$J,OpenLCAbasic!$E:$E,"Base",OpenLCAbasic!$D:$D,"Base",OpenLCAbasic!$F:$F,AA$9,OpenLCAbasic!$L:$L,$I$6,OpenLCAbasic!$I:$I,F24,OpenLCAbasic!$C:$C,AA$13),
IF(AND(AA$9="Upgraded", OR(AA$11="Low", AA$11="High"), OR(F24=F$37, F24=F$36)),
INDEX(OpenLCAbasic!$J:$J, MATCH(CONCATENATE(AA$11, "_", AA$10, "_", "Upgraded_",$I$6,"_",F24, "_", AA$12, "_", AA$14), OpenLCAbasic!$M:$M,0)),
IF(AND(ISERROR(MATCH(F24, LookUps!$G$5:$G$21,0)), AA$9="Upgraded"),
SUMIFS(OpenLCAbasic!$J:$J,OpenLCAbasic!$E:$E, AA$11, OpenLCAbasic!$D:$D, AA$10, OpenLCAbasic!$F:$F,AA$9,OpenLCAbasic!$L:$L,$I$6,OpenLCAbasic!$I:$I,INDEX(LookUps!$G$5:$G$21,MATCH(F24, LookUps!$J$5:$J$21,0)), OpenLCAbasic!$B:$B, AA$14, OpenLCAbasic!$C:$C, AA$12),
SUMIFS(OpenLCAbasic!$J:$J,OpenLCAbasic!$E:$E, AA$11, OpenLCAbasic!$D:$D, AA$10, OpenLCAbasic!$F:$F,AA$9,OpenLCAbasic!$L:$L,$I$6,OpenLCAbasic!$I:$I,F24, OpenLCAbasic!$B:$B, AA$14, OpenLCAbasic!$C:$C, AA$12)
)))))</f>
        <v>0</v>
      </c>
      <c r="AB24" s="304">
        <f>IF(AND(AB$9="Legacy",G24=G$38,OR(AB$11="Low",AB$11="High")),
INDEX(OpenLCAbasic!$J:$J,MATCH(CONCATENATE(AB$10,"_","Base","_","Legacy_",$I$6,"_",G24,"_",AB$13,"_n.a."),OpenLCAbasic!$M:$M,0)),
IF(AND(AB$9="Legacy",ISERROR(MATCH(G24,LookUps!$H$5:$H$20,0))),"--",
IF(AB$9="Legacy",SUMIFS(OpenLCAbasic!$J:$J,OpenLCAbasic!$E:$E,"Base",OpenLCAbasic!$D:$D,"Base",OpenLCAbasic!$F:$F,AB$9,OpenLCAbasic!$L:$L,$I$6,OpenLCAbasic!$I:$I,G24,OpenLCAbasic!$C:$C,AB$13),
IF(AND(AB$9="Upgraded", OR(AB$11="Low", AB$11="High"), OR(G24=G$37, G24=G$36)),
INDEX(OpenLCAbasic!$J:$J, MATCH(CONCATENATE(AB$11, "_", AB$10, "_", "Upgraded_",$I$6,"_",G24, "_", AB$12, "_", AB$14), OpenLCAbasic!$M:$M,0)),
IF(AND(ISERROR(MATCH(G24, LookUps!$G$5:$G$21,0)), AB$9="Upgraded"),
SUMIFS(OpenLCAbasic!$J:$J,OpenLCAbasic!$E:$E, AB$11, OpenLCAbasic!$D:$D, AB$10, OpenLCAbasic!$F:$F,AB$9,OpenLCAbasic!$L:$L,$I$6,OpenLCAbasic!$I:$I,INDEX(LookUps!$G$5:$G$21,MATCH(G24, LookUps!$J$5:$J$21,0)), OpenLCAbasic!$B:$B, AB$14, OpenLCAbasic!$C:$C, AB$12),
SUMIFS(OpenLCAbasic!$J:$J,OpenLCAbasic!$E:$E, AB$11, OpenLCAbasic!$D:$D, AB$10, OpenLCAbasic!$F:$F,AB$9,OpenLCAbasic!$L:$L,$I$6,OpenLCAbasic!$I:$I,G24, OpenLCAbasic!$B:$B, AB$14, OpenLCAbasic!$C:$C, AB$12)
)))))</f>
        <v>0</v>
      </c>
    </row>
    <row r="25" spans="2:28" x14ac:dyDescent="0.25">
      <c r="B25" s="99" t="str">
        <f t="shared" si="15"/>
        <v>ClearCove SCP; wastewater treatment unit; at updated plant - US</v>
      </c>
      <c r="C25" s="99" t="str">
        <f t="shared" si="14"/>
        <v>ClearCove SCP; wastewater treatment unit; at updated plant - US</v>
      </c>
      <c r="D25" s="99" t="str">
        <f t="shared" si="14"/>
        <v>ClearCove SCP; wastewater treatment unit; at updated plant - US</v>
      </c>
      <c r="E25" s="99" t="str">
        <f t="shared" si="14"/>
        <v>ClearCove SCP; wastewater treatment unit; at updated plant - US</v>
      </c>
      <c r="F25" s="99" t="str">
        <f t="shared" si="14"/>
        <v>ClearCove SCP; wastewater treatment unit; at updated plant - US</v>
      </c>
      <c r="G25" s="99" t="str">
        <f t="shared" si="14"/>
        <v>ClearCove SCP; wastewater treatment unit; at updated plant - US</v>
      </c>
      <c r="H25" s="266" t="str">
        <f>LookUps!$G$17</f>
        <v>ClearCove SCP; wastewater treatment unit; at updated plant - US</v>
      </c>
      <c r="I25" s="274" t="str">
        <f>IF(AND(I$9="Legacy",B25=B$38,OR(I$11="Low",I$11="High")),
INDEX(OpenLCAbasic!$J:$J,MATCH(CONCATENATE(I$10,"_","Base","_","Legacy_",$I$4,"_",B25,"_",I$13,"_n.a."),OpenLCAbasic!$M:$M,0)),
IF(AND(I$9="Legacy",ISERROR(MATCH(B25,LookUps!$H$5:$H$20,0))),"--",
IF(I$9="Legacy",SUMIFS(OpenLCAbasic!$J:$J,OpenLCAbasic!$E:$E,"Base",OpenLCAbasic!$D:$D,"Base",OpenLCAbasic!$F:$F,I$9,OpenLCAbasic!$L:$L,$I$4,OpenLCAbasic!$I:$I,B25,OpenLCAbasic!$C:$C,I$13),
IF(AND(I$9="Upgraded", OR(I$11="Low", I$11="High"), OR(B25=B$37, B25=B$36)),
INDEX(OpenLCAbasic!$J:$J, MATCH(CONCATENATE(I$11, "_", I$10, "_", "Upgraded_",$I$4,"_",B25, "_", I$12, "_", I$14), OpenLCAbasic!$M:$M,0)),
IF(AND(ISERROR(MATCH(B25, LookUps!$G$5:$G$21,0)), I$9="Upgraded"),
SUMIFS(OpenLCAbasic!$J:$J,OpenLCAbasic!$E:$E, I$11, OpenLCAbasic!$D:$D, I$10, OpenLCAbasic!$F:$F,I$9,OpenLCAbasic!$L:$L,$I$4,OpenLCAbasic!$I:$I,INDEX(LookUps!$G$5:$G$21,MATCH(B25, LookUps!$J$5:$J$21,0)), OpenLCAbasic!$B:$B, I$14, OpenLCAbasic!$C:$C, I$12),
SUMIFS(OpenLCAbasic!$J:$J,OpenLCAbasic!$E:$E, I$11, OpenLCAbasic!$D:$D, I$10, OpenLCAbasic!$F:$F,I$9,OpenLCAbasic!$L:$L,$I$4,OpenLCAbasic!$I:$I,B25, OpenLCAbasic!$B:$B, I$14, OpenLCAbasic!$C:$C, I$12)
)))))</f>
        <v>--</v>
      </c>
      <c r="J25" s="301">
        <f>IF(AND(J$9="Legacy",C25=C$38,OR(J$11="Low",J$11="High")),
INDEX(OpenLCAbasic!$J:$J,MATCH(CONCATENATE(J$10,"_","Base","_","Legacy_",$I$4,"_",C25,"_",J$13,"_n.a."),OpenLCAbasic!$M:$M,0)),
IF(AND(J$9="Legacy",ISERROR(MATCH(C25,LookUps!$H$5:$H$20,0))),"--",
IF(J$9="Legacy",SUMIFS(OpenLCAbasic!$J:$J,OpenLCAbasic!$E:$E,"Base",OpenLCAbasic!$D:$D,"Base",OpenLCAbasic!$F:$F,J$9,OpenLCAbasic!$L:$L,$I$4,OpenLCAbasic!$I:$I,C25,OpenLCAbasic!$C:$C,J$13),
IF(AND(J$9="Upgraded", OR(J$11="Low", J$11="High"), OR(C25=C$37, C25=C$36)),
INDEX(OpenLCAbasic!$J:$J, MATCH(CONCATENATE(J$11, "_", J$10, "_", "Upgraded_",$I$4,"_",C25, "_", J$12, "_", J$14), OpenLCAbasic!$M:$M,0)),
IF(AND(ISERROR(MATCH(C25, LookUps!$G$5:$G$21,0)), J$9="Upgraded"),
SUMIFS(OpenLCAbasic!$J:$J,OpenLCAbasic!$E:$E, J$11, OpenLCAbasic!$D:$D, J$10, OpenLCAbasic!$F:$F,J$9,OpenLCAbasic!$L:$L,$I$4,OpenLCAbasic!$I:$I,INDEX(LookUps!$G$5:$G$21,MATCH(C25, LookUps!$J$5:$J$21,0)), OpenLCAbasic!$B:$B, J$14, OpenLCAbasic!$C:$C, J$12),
SUMIFS(OpenLCAbasic!$J:$J,OpenLCAbasic!$E:$E, J$11, OpenLCAbasic!$D:$D, J$10, OpenLCAbasic!$F:$F,J$9,OpenLCAbasic!$L:$L,$I$4,OpenLCAbasic!$I:$I,C25, OpenLCAbasic!$B:$B, J$14, OpenLCAbasic!$C:$C, J$12)
)))))</f>
        <v>5.0930000000000003E-2</v>
      </c>
      <c r="K25" s="301">
        <f>IF(AND(K$9="Legacy",D25=D$38,OR(K$11="Low",K$11="High")),
INDEX(OpenLCAbasic!$J:$J,MATCH(CONCATENATE(K$10,"_","Base","_","Legacy_",$I$4,"_",D25,"_",K$13,"_n.a."),OpenLCAbasic!$M:$M,0)),
IF(AND(K$9="Legacy",ISERROR(MATCH(D25,LookUps!$H$5:$H$20,0))),"--",
IF(K$9="Legacy",SUMIFS(OpenLCAbasic!$J:$J,OpenLCAbasic!$E:$E,"Base",OpenLCAbasic!$D:$D,"Base",OpenLCAbasic!$F:$F,K$9,OpenLCAbasic!$L:$L,$I$4,OpenLCAbasic!$I:$I,D25,OpenLCAbasic!$C:$C,K$13),
IF(AND(K$9="Upgraded", OR(K$11="Low", K$11="High"), OR(D25=D$37, D25=D$36)),
INDEX(OpenLCAbasic!$J:$J, MATCH(CONCATENATE(K$11, "_", K$10, "_", "Upgraded_",$I$4,"_",D25, "_", K$12, "_", K$14), OpenLCAbasic!$M:$M,0)),
IF(AND(ISERROR(MATCH(D25, LookUps!$G$5:$G$21,0)), K$9="Upgraded"),
SUMIFS(OpenLCAbasic!$J:$J,OpenLCAbasic!$E:$E, K$11, OpenLCAbasic!$D:$D, K$10, OpenLCAbasic!$F:$F,K$9,OpenLCAbasic!$L:$L,$I$4,OpenLCAbasic!$I:$I,INDEX(LookUps!$G$5:$G$21,MATCH(D25, LookUps!$J$5:$J$21,0)), OpenLCAbasic!$B:$B, K$14, OpenLCAbasic!$C:$C, K$12),
SUMIFS(OpenLCAbasic!$J:$J,OpenLCAbasic!$E:$E, K$11, OpenLCAbasic!$D:$D, K$10, OpenLCAbasic!$F:$F,K$9,OpenLCAbasic!$L:$L,$I$4,OpenLCAbasic!$I:$I,D25, OpenLCAbasic!$B:$B, K$14, OpenLCAbasic!$C:$C, K$12)
)))))</f>
        <v>5.0930000000000003E-2</v>
      </c>
      <c r="L25" s="301">
        <f>IF(AND(L$9="Legacy",E25=E$38,OR(L$11="Low",L$11="High")),
INDEX(OpenLCAbasic!$J:$J,MATCH(CONCATENATE(L$10,"_","Base","_","Legacy_",$I$4,"_",E25,"_",L$13,"_n.a."),OpenLCAbasic!$M:$M,0)),
IF(AND(L$9="Legacy",ISERROR(MATCH(E25,LookUps!$H$5:$H$20,0))),"--",
IF(L$9="Legacy",SUMIFS(OpenLCAbasic!$J:$J,OpenLCAbasic!$E:$E,"Base",OpenLCAbasic!$D:$D,"Base",OpenLCAbasic!$F:$F,L$9,OpenLCAbasic!$L:$L,$I$4,OpenLCAbasic!$I:$I,E25,OpenLCAbasic!$C:$C,L$13),
IF(AND(L$9="Upgraded", OR(L$11="Low", L$11="High"), OR(E25=E$37, E25=E$36)),
INDEX(OpenLCAbasic!$J:$J, MATCH(CONCATENATE(L$11, "_", L$10, "_", "Upgraded_",$I$4,"_",E25, "_", L$12, "_", L$14), OpenLCAbasic!$M:$M,0)),
IF(AND(ISERROR(MATCH(E25, LookUps!$G$5:$G$21,0)), L$9="Upgraded"),
SUMIFS(OpenLCAbasic!$J:$J,OpenLCAbasic!$E:$E, L$11, OpenLCAbasic!$D:$D, L$10, OpenLCAbasic!$F:$F,L$9,OpenLCAbasic!$L:$L,$I$4,OpenLCAbasic!$I:$I,INDEX(LookUps!$G$5:$G$21,MATCH(E25, LookUps!$J$5:$J$21,0)), OpenLCAbasic!$B:$B, L$14, OpenLCAbasic!$C:$C, L$12),
SUMIFS(OpenLCAbasic!$J:$J,OpenLCAbasic!$E:$E, L$11, OpenLCAbasic!$D:$D, L$10, OpenLCAbasic!$F:$F,L$9,OpenLCAbasic!$L:$L,$I$4,OpenLCAbasic!$I:$I,E25, OpenLCAbasic!$B:$B, L$14, OpenLCAbasic!$C:$C, L$12)
)))))</f>
        <v>5.0930000000000003E-2</v>
      </c>
      <c r="M25" s="301">
        <f>IF(AND(M$9="Legacy",F25=F$38,OR(M$11="Low",M$11="High")),
INDEX(OpenLCAbasic!$J:$J,MATCH(CONCATENATE(M$10,"_","Base","_","Legacy_",$I$4,"_",F25,"_",M$13,"_n.a."),OpenLCAbasic!$M:$M,0)),
IF(AND(M$9="Legacy",ISERROR(MATCH(F25,LookUps!$H$5:$H$20,0))),"--",
IF(M$9="Legacy",SUMIFS(OpenLCAbasic!$J:$J,OpenLCAbasic!$E:$E,"Base",OpenLCAbasic!$D:$D,"Base",OpenLCAbasic!$F:$F,M$9,OpenLCAbasic!$L:$L,$I$4,OpenLCAbasic!$I:$I,F25,OpenLCAbasic!$C:$C,M$13),
IF(AND(M$9="Upgraded", OR(M$11="Low", M$11="High"), OR(F25=F$37, F25=F$36)),
INDEX(OpenLCAbasic!$J:$J, MATCH(CONCATENATE(M$11, "_", M$10, "_", "Upgraded_",$I$4,"_",F25, "_", M$12, "_", M$14), OpenLCAbasic!$M:$M,0)),
IF(AND(ISERROR(MATCH(F25, LookUps!$G$5:$G$21,0)), M$9="Upgraded"),
SUMIFS(OpenLCAbasic!$J:$J,OpenLCAbasic!$E:$E, M$11, OpenLCAbasic!$D:$D, M$10, OpenLCAbasic!$F:$F,M$9,OpenLCAbasic!$L:$L,$I$4,OpenLCAbasic!$I:$I,INDEX(LookUps!$G$5:$G$21,MATCH(F25, LookUps!$J$5:$J$21,0)), OpenLCAbasic!$B:$B, M$14, OpenLCAbasic!$C:$C, M$12),
SUMIFS(OpenLCAbasic!$J:$J,OpenLCAbasic!$E:$E, M$11, OpenLCAbasic!$D:$D, M$10, OpenLCAbasic!$F:$F,M$9,OpenLCAbasic!$L:$L,$I$4,OpenLCAbasic!$I:$I,F25, OpenLCAbasic!$B:$B, M$14, OpenLCAbasic!$C:$C, M$12)
)))))</f>
        <v>5.0930000000000003E-2</v>
      </c>
      <c r="N25" s="301">
        <f>IF(AND(N$9="Legacy",G25=G$38,OR(N$11="Low",N$11="High")),
INDEX(OpenLCAbasic!$J:$J,MATCH(CONCATENATE(N$10,"_","Base","_","Legacy_",$I$4,"_",G25,"_",N$13,"_n.a."),OpenLCAbasic!$M:$M,0)),
IF(AND(N$9="Legacy",ISERROR(MATCH(G25,LookUps!$H$5:$H$20,0))),"--",
IF(N$9="Legacy",SUMIFS(OpenLCAbasic!$J:$J,OpenLCAbasic!$E:$E,"Base",OpenLCAbasic!$D:$D,"Base",OpenLCAbasic!$F:$F,N$9,OpenLCAbasic!$L:$L,$I$4,OpenLCAbasic!$I:$I,G25,OpenLCAbasic!$C:$C,N$13),
IF(AND(N$9="Upgraded", OR(N$11="Low", N$11="High"), OR(G25=G$37, G25=G$36)),
INDEX(OpenLCAbasic!$J:$J, MATCH(CONCATENATE(N$11, "_", N$10, "_", "Upgraded_",$I$4,"_",G25, "_", N$12, "_", N$14), OpenLCAbasic!$M:$M,0)),
IF(AND(ISERROR(MATCH(G25, LookUps!$G$5:$G$21,0)), N$9="Upgraded"),
SUMIFS(OpenLCAbasic!$J:$J,OpenLCAbasic!$E:$E, N$11, OpenLCAbasic!$D:$D, N$10, OpenLCAbasic!$F:$F,N$9,OpenLCAbasic!$L:$L,$I$4,OpenLCAbasic!$I:$I,INDEX(LookUps!$G$5:$G$21,MATCH(G25, LookUps!$J$5:$J$21,0)), OpenLCAbasic!$B:$B, N$14, OpenLCAbasic!$C:$C, N$12),
SUMIFS(OpenLCAbasic!$J:$J,OpenLCAbasic!$E:$E, N$11, OpenLCAbasic!$D:$D, N$10, OpenLCAbasic!$F:$F,N$9,OpenLCAbasic!$L:$L,$I$4,OpenLCAbasic!$I:$I,G25, OpenLCAbasic!$B:$B, N$14, OpenLCAbasic!$C:$C, N$12)
)))))</f>
        <v>5.0930000000000003E-2</v>
      </c>
      <c r="O25" s="302"/>
      <c r="P25" s="274" t="str">
        <f>IF(AND(P$9="Legacy",B25=B$38,OR(P$11="Low",P$11="High")),
INDEX(OpenLCAbasic!$J:$J,MATCH(CONCATENATE(P$10,"_","Base","_","Legacy_",$I$5,"_",B25,"_",P$13,"_n.a."),OpenLCAbasic!$M:$M,0)),
IF(AND(P$9="Legacy",ISERROR(MATCH(B25,LookUps!$H$5:$H$20,0))),"--",
IF(P$9="Legacy",SUMIFS(OpenLCAbasic!$J:$J,OpenLCAbasic!$E:$E,"Base",OpenLCAbasic!$D:$D,"Base",OpenLCAbasic!$F:$F,P$9,OpenLCAbasic!$L:$L,$I$5,OpenLCAbasic!$I:$I,B25,OpenLCAbasic!$C:$C,P$13),
IF(AND(P$9="Upgraded", OR(P$11="Low", P$11="High"), OR(B25=B$37, B25=B$36)),
INDEX(OpenLCAbasic!$J:$J, MATCH(CONCATENATE(P$11, "_", P$10, "_", "Upgraded_",$I$5,"_",B25, "_", P$12, "_", P$14), OpenLCAbasic!$M:$M,0)),
IF(AND(ISERROR(MATCH(B25, LookUps!$G$5:$G$21,0)), P$9="Upgraded"),
SUMIFS(OpenLCAbasic!$J:$J,OpenLCAbasic!$E:$E, P$11, OpenLCAbasic!$D:$D, P$10, OpenLCAbasic!$F:$F,P$9,OpenLCAbasic!$L:$L,$I$5,OpenLCAbasic!$I:$I,INDEX(LookUps!$G$5:$G$21,MATCH(B25, LookUps!$J$5:$J$21,0)), OpenLCAbasic!$B:$B, P$14, OpenLCAbasic!$C:$C, P$12),
SUMIFS(OpenLCAbasic!$J:$J,OpenLCAbasic!$E:$E, P$11, OpenLCAbasic!$D:$D, P$10, OpenLCAbasic!$F:$F,P$9,OpenLCAbasic!$L:$L,$I$5,OpenLCAbasic!$I:$I,B25, OpenLCAbasic!$B:$B, P$14, OpenLCAbasic!$C:$C, P$12)
)))))</f>
        <v>--</v>
      </c>
      <c r="Q25" s="303">
        <f>IF(AND(Q$9="Legacy",C25=C$38,OR(Q$11="Low",Q$11="High")),
INDEX(OpenLCAbasic!$J:$J,MATCH(CONCATENATE(Q$10,"_","Base","_","Legacy_",$I$5,"_",C25,"_",Q$13,"_n.a."),OpenLCAbasic!$M:$M,0)),
IF(AND(Q$9="Legacy",ISERROR(MATCH(C25,LookUps!$H$5:$H$20,0))),"--",
IF(Q$9="Legacy",SUMIFS(OpenLCAbasic!$J:$J,OpenLCAbasic!$E:$E,"Base",OpenLCAbasic!$D:$D,"Base",OpenLCAbasic!$F:$F,Q$9,OpenLCAbasic!$L:$L,$I$5,OpenLCAbasic!$I:$I,C25,OpenLCAbasic!$C:$C,Q$13),
IF(AND(Q$9="Upgraded", OR(Q$11="Low", Q$11="High"), OR(C25=C$37, C25=C$36)),
INDEX(OpenLCAbasic!$J:$J, MATCH(CONCATENATE(Q$11, "_", Q$10, "_", "Upgraded_",$I$5,"_",C25, "_", Q$12, "_", Q$14), OpenLCAbasic!$M:$M,0)),
IF(AND(ISERROR(MATCH(C25, LookUps!$G$5:$G$21,0)), Q$9="Upgraded"),
SUMIFS(OpenLCAbasic!$J:$J,OpenLCAbasic!$E:$E, Q$11, OpenLCAbasic!$D:$D, Q$10, OpenLCAbasic!$F:$F,Q$9,OpenLCAbasic!$L:$L,$I$5,OpenLCAbasic!$I:$I,INDEX(LookUps!$G$5:$G$21,MATCH(C25, LookUps!$J$5:$J$21,0)), OpenLCAbasic!$B:$B, Q$14, OpenLCAbasic!$C:$C, Q$12),
SUMIFS(OpenLCAbasic!$J:$J,OpenLCAbasic!$E:$E, Q$11, OpenLCAbasic!$D:$D, Q$10, OpenLCAbasic!$F:$F,Q$9,OpenLCAbasic!$L:$L,$I$5,OpenLCAbasic!$I:$I,C25, OpenLCAbasic!$B:$B, Q$14, OpenLCAbasic!$C:$C, Q$12)
)))))</f>
        <v>2.4099999999999998E-3</v>
      </c>
      <c r="R25" s="303">
        <f>IF(AND(R$9="Legacy",D25=D$38,OR(R$11="Low",R$11="High")),
INDEX(OpenLCAbasic!$J:$J,MATCH(CONCATENATE(R$10,"_","Base","_","Legacy_",$I$5,"_",D25,"_",R$13,"_n.a."),OpenLCAbasic!$M:$M,0)),
IF(AND(R$9="Legacy",ISERROR(MATCH(D25,LookUps!$H$5:$H$20,0))),"--",
IF(R$9="Legacy",SUMIFS(OpenLCAbasic!$J:$J,OpenLCAbasic!$E:$E,"Base",OpenLCAbasic!$D:$D,"Base",OpenLCAbasic!$F:$F,R$9,OpenLCAbasic!$L:$L,$I$5,OpenLCAbasic!$I:$I,D25,OpenLCAbasic!$C:$C,R$13),
IF(AND(R$9="Upgraded", OR(R$11="Low", R$11="High"), OR(D25=D$37, D25=D$36)),
INDEX(OpenLCAbasic!$J:$J, MATCH(CONCATENATE(R$11, "_", R$10, "_", "Upgraded_",$I$5,"_",D25, "_", R$12, "_", R$14), OpenLCAbasic!$M:$M,0)),
IF(AND(ISERROR(MATCH(D25, LookUps!$G$5:$G$21,0)), R$9="Upgraded"),
SUMIFS(OpenLCAbasic!$J:$J,OpenLCAbasic!$E:$E, R$11, OpenLCAbasic!$D:$D, R$10, OpenLCAbasic!$F:$F,R$9,OpenLCAbasic!$L:$L,$I$5,OpenLCAbasic!$I:$I,INDEX(LookUps!$G$5:$G$21,MATCH(D25, LookUps!$J$5:$J$21,0)), OpenLCAbasic!$B:$B, R$14, OpenLCAbasic!$C:$C, R$12),
SUMIFS(OpenLCAbasic!$J:$J,OpenLCAbasic!$E:$E, R$11, OpenLCAbasic!$D:$D, R$10, OpenLCAbasic!$F:$F,R$9,OpenLCAbasic!$L:$L,$I$5,OpenLCAbasic!$I:$I,D25, OpenLCAbasic!$B:$B, R$14, OpenLCAbasic!$C:$C, R$12)
)))))</f>
        <v>2.4099999999999998E-3</v>
      </c>
      <c r="S25" s="303">
        <f>IF(AND(S$9="Legacy",E25=E$38,OR(S$11="Low",S$11="High")),
INDEX(OpenLCAbasic!$J:$J,MATCH(CONCATENATE(S$10,"_","Base","_","Legacy_",$I$5,"_",E25,"_",S$13,"_n.a."),OpenLCAbasic!$M:$M,0)),
IF(AND(S$9="Legacy",ISERROR(MATCH(E25,LookUps!$H$5:$H$20,0))),"--",
IF(S$9="Legacy",SUMIFS(OpenLCAbasic!$J:$J,OpenLCAbasic!$E:$E,"Base",OpenLCAbasic!$D:$D,"Base",OpenLCAbasic!$F:$F,S$9,OpenLCAbasic!$L:$L,$I$5,OpenLCAbasic!$I:$I,E25,OpenLCAbasic!$C:$C,S$13),
IF(AND(S$9="Upgraded", OR(S$11="Low", S$11="High"), OR(E25=E$37, E25=E$36)),
INDEX(OpenLCAbasic!$J:$J, MATCH(CONCATENATE(S$11, "_", S$10, "_", "Upgraded_",$I$5,"_",E25, "_", S$12, "_", S$14), OpenLCAbasic!$M:$M,0)),
IF(AND(ISERROR(MATCH(E25, LookUps!$G$5:$G$21,0)), S$9="Upgraded"),
SUMIFS(OpenLCAbasic!$J:$J,OpenLCAbasic!$E:$E, S$11, OpenLCAbasic!$D:$D, S$10, OpenLCAbasic!$F:$F,S$9,OpenLCAbasic!$L:$L,$I$5,OpenLCAbasic!$I:$I,INDEX(LookUps!$G$5:$G$21,MATCH(E25, LookUps!$J$5:$J$21,0)), OpenLCAbasic!$B:$B, S$14, OpenLCAbasic!$C:$C, S$12),
SUMIFS(OpenLCAbasic!$J:$J,OpenLCAbasic!$E:$E, S$11, OpenLCAbasic!$D:$D, S$10, OpenLCAbasic!$F:$F,S$9,OpenLCAbasic!$L:$L,$I$5,OpenLCAbasic!$I:$I,E25, OpenLCAbasic!$B:$B, S$14, OpenLCAbasic!$C:$C, S$12)
)))))</f>
        <v>2.4099999999999998E-3</v>
      </c>
      <c r="T25" s="303">
        <f>IF(AND(T$9="Legacy",F25=F$38,OR(T$11="Low",T$11="High")),
INDEX(OpenLCAbasic!$J:$J,MATCH(CONCATENATE(T$10,"_","Base","_","Legacy_",$I$5,"_",F25,"_",T$13,"_n.a."),OpenLCAbasic!$M:$M,0)),
IF(AND(T$9="Legacy",ISERROR(MATCH(F25,LookUps!$H$5:$H$20,0))),"--",
IF(T$9="Legacy",SUMIFS(OpenLCAbasic!$J:$J,OpenLCAbasic!$E:$E,"Base",OpenLCAbasic!$D:$D,"Base",OpenLCAbasic!$F:$F,T$9,OpenLCAbasic!$L:$L,$I$5,OpenLCAbasic!$I:$I,F25,OpenLCAbasic!$C:$C,T$13),
IF(AND(T$9="Upgraded", OR(T$11="Low", T$11="High"), OR(F25=F$37, F25=F$36)),
INDEX(OpenLCAbasic!$J:$J, MATCH(CONCATENATE(T$11, "_", T$10, "_", "Upgraded_",$I$5,"_",F25, "_", T$12, "_", T$14), OpenLCAbasic!$M:$M,0)),
IF(AND(ISERROR(MATCH(F25, LookUps!$G$5:$G$21,0)), T$9="Upgraded"),
SUMIFS(OpenLCAbasic!$J:$J,OpenLCAbasic!$E:$E, T$11, OpenLCAbasic!$D:$D, T$10, OpenLCAbasic!$F:$F,T$9,OpenLCAbasic!$L:$L,$I$5,OpenLCAbasic!$I:$I,INDEX(LookUps!$G$5:$G$21,MATCH(F25, LookUps!$J$5:$J$21,0)), OpenLCAbasic!$B:$B, T$14, OpenLCAbasic!$C:$C, T$12),
SUMIFS(OpenLCAbasic!$J:$J,OpenLCAbasic!$E:$E, T$11, OpenLCAbasic!$D:$D, T$10, OpenLCAbasic!$F:$F,T$9,OpenLCAbasic!$L:$L,$I$5,OpenLCAbasic!$I:$I,F25, OpenLCAbasic!$B:$B, T$14, OpenLCAbasic!$C:$C, T$12)
)))))</f>
        <v>2.4099999999999998E-3</v>
      </c>
      <c r="U25" s="303">
        <f>IF(AND(U$9="Legacy",G25=G$38,OR(U$11="Low",U$11="High")),
INDEX(OpenLCAbasic!$J:$J,MATCH(CONCATENATE(U$10,"_","Base","_","Legacy_",$I$5,"_",G25,"_",U$13,"_n.a."),OpenLCAbasic!$M:$M,0)),
IF(AND(U$9="Legacy",ISERROR(MATCH(G25,LookUps!$H$5:$H$20,0))),"--",
IF(U$9="Legacy",SUMIFS(OpenLCAbasic!$J:$J,OpenLCAbasic!$E:$E,"Base",OpenLCAbasic!$D:$D,"Base",OpenLCAbasic!$F:$F,U$9,OpenLCAbasic!$L:$L,$I$5,OpenLCAbasic!$I:$I,G25,OpenLCAbasic!$C:$C,U$13),
IF(AND(U$9="Upgraded", OR(U$11="Low", U$11="High"), OR(G25=G$37, G25=G$36)),
INDEX(OpenLCAbasic!$J:$J, MATCH(CONCATENATE(U$11, "_", U$10, "_", "Upgraded_",$I$5,"_",G25, "_", U$12, "_", U$14), OpenLCAbasic!$M:$M,0)),
IF(AND(ISERROR(MATCH(G25, LookUps!$G$5:$G$21,0)), U$9="Upgraded"),
SUMIFS(OpenLCAbasic!$J:$J,OpenLCAbasic!$E:$E, U$11, OpenLCAbasic!$D:$D, U$10, OpenLCAbasic!$F:$F,U$9,OpenLCAbasic!$L:$L,$I$5,OpenLCAbasic!$I:$I,INDEX(LookUps!$G$5:$G$21,MATCH(G25, LookUps!$J$5:$J$21,0)), OpenLCAbasic!$B:$B, U$14, OpenLCAbasic!$C:$C, U$12),
SUMIFS(OpenLCAbasic!$J:$J,OpenLCAbasic!$E:$E, U$11, OpenLCAbasic!$D:$D, U$10, OpenLCAbasic!$F:$F,U$9,OpenLCAbasic!$L:$L,$I$5,OpenLCAbasic!$I:$I,G25, OpenLCAbasic!$B:$B, U$14, OpenLCAbasic!$C:$C, U$12)
)))))</f>
        <v>2.4099999999999998E-3</v>
      </c>
      <c r="V25" s="302"/>
      <c r="W25" s="274" t="str">
        <f>IF(AND(W$9="Legacy",B25=B$38,OR(W$11="Low",W$11="High")),
INDEX(OpenLCAbasic!$J:$J,MATCH(CONCATENATE(W$10,"_","Base","_","Legacy_",$I$6,"_",B25,"_",W$13,"_n.a."),OpenLCAbasic!$M:$M,0)),
IF(AND(W$9="Legacy",ISERROR(MATCH(B25,LookUps!$H$5:$H$20,0))),"--",
IF(W$9="Legacy",SUMIFS(OpenLCAbasic!$J:$J,OpenLCAbasic!$E:$E,"Base",OpenLCAbasic!$D:$D,"Base",OpenLCAbasic!$F:$F,W$9,OpenLCAbasic!$L:$L,$I$6,OpenLCAbasic!$I:$I,B25,OpenLCAbasic!$C:$C,W$13),
IF(AND(W$9="Upgraded", OR(W$11="Low", W$11="High"), OR(B25=B$37, B25=B$36)),
INDEX(OpenLCAbasic!$J:$J, MATCH(CONCATENATE(W$11, "_", W$10, "_", "Upgraded_",$I$6,"_",B25, "_", W$12, "_", W$14), OpenLCAbasic!$M:$M,0)),
IF(AND(ISERROR(MATCH(B25, LookUps!$G$5:$G$21,0)), W$9="Upgraded"),
SUMIFS(OpenLCAbasic!$J:$J,OpenLCAbasic!$E:$E, W$11, OpenLCAbasic!$D:$D, W$10, OpenLCAbasic!$F:$F,W$9,OpenLCAbasic!$L:$L,$I$6,OpenLCAbasic!$I:$I,INDEX(LookUps!$G$5:$G$21,MATCH(B25, LookUps!$J$5:$J$21,0)), OpenLCAbasic!$B:$B, W$14, OpenLCAbasic!$C:$C, W$12),
SUMIFS(OpenLCAbasic!$J:$J,OpenLCAbasic!$E:$E, W$11, OpenLCAbasic!$D:$D, W$10, OpenLCAbasic!$F:$F,W$9,OpenLCAbasic!$L:$L,$I$6,OpenLCAbasic!$I:$I,B25, OpenLCAbasic!$B:$B, W$14, OpenLCAbasic!$C:$C, W$12)
)))))</f>
        <v>--</v>
      </c>
      <c r="X25" s="303">
        <f>IF(AND(X$9="Legacy",C25=C$38,OR(X$11="Low",X$11="High")),
INDEX(OpenLCAbasic!$J:$J,MATCH(CONCATENATE(X$10,"_","Base","_","Legacy_",$I$6,"_",C25,"_",X$13,"_n.a."),OpenLCAbasic!$M:$M,0)),
IF(AND(X$9="Legacy",ISERROR(MATCH(C25,LookUps!$H$5:$H$20,0))),"--",
IF(X$9="Legacy",SUMIFS(OpenLCAbasic!$J:$J,OpenLCAbasic!$E:$E,"Base",OpenLCAbasic!$D:$D,"Base",OpenLCAbasic!$F:$F,X$9,OpenLCAbasic!$L:$L,$I$6,OpenLCAbasic!$I:$I,C25,OpenLCAbasic!$C:$C,X$13),
IF(AND(X$9="Upgraded", OR(X$11="Low", X$11="High"), OR(C25=C$37, C25=C$36)),
INDEX(OpenLCAbasic!$J:$J, MATCH(CONCATENATE(X$11, "_", X$10, "_", "Upgraded_",$I$6,"_",C25, "_", X$12, "_", X$14), OpenLCAbasic!$M:$M,0)),
IF(AND(ISERROR(MATCH(C25, LookUps!$G$5:$G$21,0)), X$9="Upgraded"),
SUMIFS(OpenLCAbasic!$J:$J,OpenLCAbasic!$E:$E, X$11, OpenLCAbasic!$D:$D, X$10, OpenLCAbasic!$F:$F,X$9,OpenLCAbasic!$L:$L,$I$6,OpenLCAbasic!$I:$I,INDEX(LookUps!$G$5:$G$21,MATCH(C25, LookUps!$J$5:$J$21,0)), OpenLCAbasic!$B:$B, X$14, OpenLCAbasic!$C:$C, X$12),
SUMIFS(OpenLCAbasic!$J:$J,OpenLCAbasic!$E:$E, X$11, OpenLCAbasic!$D:$D, X$10, OpenLCAbasic!$F:$F,X$9,OpenLCAbasic!$L:$L,$I$6,OpenLCAbasic!$I:$I,C25, OpenLCAbasic!$B:$B, X$14, OpenLCAbasic!$C:$C, X$12)
)))))</f>
        <v>7.7567199999999995E-6</v>
      </c>
      <c r="Y25" s="303">
        <f>IF(AND(Y$9="Legacy",D25=D$38,OR(Y$11="Low",Y$11="High")),
INDEX(OpenLCAbasic!$J:$J,MATCH(CONCATENATE(Y$10,"_","Base","_","Legacy_",$I$6,"_",D25,"_",Y$13,"_n.a."),OpenLCAbasic!$M:$M,0)),
IF(AND(Y$9="Legacy",ISERROR(MATCH(D25,LookUps!$H$5:$H$20,0))),"--",
IF(Y$9="Legacy",SUMIFS(OpenLCAbasic!$J:$J,OpenLCAbasic!$E:$E,"Base",OpenLCAbasic!$D:$D,"Base",OpenLCAbasic!$F:$F,Y$9,OpenLCAbasic!$L:$L,$I$6,OpenLCAbasic!$I:$I,D25,OpenLCAbasic!$C:$C,Y$13),
IF(AND(Y$9="Upgraded", OR(Y$11="Low", Y$11="High"), OR(D25=D$37, D25=D$36)),
INDEX(OpenLCAbasic!$J:$J, MATCH(CONCATENATE(Y$11, "_", Y$10, "_", "Upgraded_",$I$6,"_",D25, "_", Y$12, "_", Y$14), OpenLCAbasic!$M:$M,0)),
IF(AND(ISERROR(MATCH(D25, LookUps!$G$5:$G$21,0)), Y$9="Upgraded"),
SUMIFS(OpenLCAbasic!$J:$J,OpenLCAbasic!$E:$E, Y$11, OpenLCAbasic!$D:$D, Y$10, OpenLCAbasic!$F:$F,Y$9,OpenLCAbasic!$L:$L,$I$6,OpenLCAbasic!$I:$I,INDEX(LookUps!$G$5:$G$21,MATCH(D25, LookUps!$J$5:$J$21,0)), OpenLCAbasic!$B:$B, Y$14, OpenLCAbasic!$C:$C, Y$12),
SUMIFS(OpenLCAbasic!$J:$J,OpenLCAbasic!$E:$E, Y$11, OpenLCAbasic!$D:$D, Y$10, OpenLCAbasic!$F:$F,Y$9,OpenLCAbasic!$L:$L,$I$6,OpenLCAbasic!$I:$I,D25, OpenLCAbasic!$B:$B, Y$14, OpenLCAbasic!$C:$C, Y$12)
)))))</f>
        <v>7.7567199999999995E-6</v>
      </c>
      <c r="Z25" s="303">
        <f>IF(AND(Z$9="Legacy",E25=E$38,OR(Z$11="Low",Z$11="High")),
INDEX(OpenLCAbasic!$J:$J,MATCH(CONCATENATE(Z$10,"_","Base","_","Legacy_",$I$6,"_",E25,"_",Z$13,"_n.a."),OpenLCAbasic!$M:$M,0)),
IF(AND(Z$9="Legacy",ISERROR(MATCH(E25,LookUps!$H$5:$H$20,0))),"--",
IF(Z$9="Legacy",SUMIFS(OpenLCAbasic!$J:$J,OpenLCAbasic!$E:$E,"Base",OpenLCAbasic!$D:$D,"Base",OpenLCAbasic!$F:$F,Z$9,OpenLCAbasic!$L:$L,$I$6,OpenLCAbasic!$I:$I,E25,OpenLCAbasic!$C:$C,Z$13),
IF(AND(Z$9="Upgraded", OR(Z$11="Low", Z$11="High"), OR(E25=E$37, E25=E$36)),
INDEX(OpenLCAbasic!$J:$J, MATCH(CONCATENATE(Z$11, "_", Z$10, "_", "Upgraded_",$I$6,"_",E25, "_", Z$12, "_", Z$14), OpenLCAbasic!$M:$M,0)),
IF(AND(ISERROR(MATCH(E25, LookUps!$G$5:$G$21,0)), Z$9="Upgraded"),
SUMIFS(OpenLCAbasic!$J:$J,OpenLCAbasic!$E:$E, Z$11, OpenLCAbasic!$D:$D, Z$10, OpenLCAbasic!$F:$F,Z$9,OpenLCAbasic!$L:$L,$I$6,OpenLCAbasic!$I:$I,INDEX(LookUps!$G$5:$G$21,MATCH(E25, LookUps!$J$5:$J$21,0)), OpenLCAbasic!$B:$B, Z$14, OpenLCAbasic!$C:$C, Z$12),
SUMIFS(OpenLCAbasic!$J:$J,OpenLCAbasic!$E:$E, Z$11, OpenLCAbasic!$D:$D, Z$10, OpenLCAbasic!$F:$F,Z$9,OpenLCAbasic!$L:$L,$I$6,OpenLCAbasic!$I:$I,E25, OpenLCAbasic!$B:$B, Z$14, OpenLCAbasic!$C:$C, Z$12)
)))))</f>
        <v>7.7567199999999995E-6</v>
      </c>
      <c r="AA25" s="303">
        <f>IF(AND(AA$9="Legacy",F25=F$38,OR(AA$11="Low",AA$11="High")),
INDEX(OpenLCAbasic!$J:$J,MATCH(CONCATENATE(AA$10,"_","Base","_","Legacy_",$I$6,"_",F25,"_",AA$13,"_n.a."),OpenLCAbasic!$M:$M,0)),
IF(AND(AA$9="Legacy",ISERROR(MATCH(F25,LookUps!$H$5:$H$20,0))),"--",
IF(AA$9="Legacy",SUMIFS(OpenLCAbasic!$J:$J,OpenLCAbasic!$E:$E,"Base",OpenLCAbasic!$D:$D,"Base",OpenLCAbasic!$F:$F,AA$9,OpenLCAbasic!$L:$L,$I$6,OpenLCAbasic!$I:$I,F25,OpenLCAbasic!$C:$C,AA$13),
IF(AND(AA$9="Upgraded", OR(AA$11="Low", AA$11="High"), OR(F25=F$37, F25=F$36)),
INDEX(OpenLCAbasic!$J:$J, MATCH(CONCATENATE(AA$11, "_", AA$10, "_", "Upgraded_",$I$6,"_",F25, "_", AA$12, "_", AA$14), OpenLCAbasic!$M:$M,0)),
IF(AND(ISERROR(MATCH(F25, LookUps!$G$5:$G$21,0)), AA$9="Upgraded"),
SUMIFS(OpenLCAbasic!$J:$J,OpenLCAbasic!$E:$E, AA$11, OpenLCAbasic!$D:$D, AA$10, OpenLCAbasic!$F:$F,AA$9,OpenLCAbasic!$L:$L,$I$6,OpenLCAbasic!$I:$I,INDEX(LookUps!$G$5:$G$21,MATCH(F25, LookUps!$J$5:$J$21,0)), OpenLCAbasic!$B:$B, AA$14, OpenLCAbasic!$C:$C, AA$12),
SUMIFS(OpenLCAbasic!$J:$J,OpenLCAbasic!$E:$E, AA$11, OpenLCAbasic!$D:$D, AA$10, OpenLCAbasic!$F:$F,AA$9,OpenLCAbasic!$L:$L,$I$6,OpenLCAbasic!$I:$I,F25, OpenLCAbasic!$B:$B, AA$14, OpenLCAbasic!$C:$C, AA$12)
)))))</f>
        <v>7.7567199999999995E-6</v>
      </c>
      <c r="AB25" s="303">
        <f>IF(AND(AB$9="Legacy",G25=G$38,OR(AB$11="Low",AB$11="High")),
INDEX(OpenLCAbasic!$J:$J,MATCH(CONCATENATE(AB$10,"_","Base","_","Legacy_",$I$6,"_",G25,"_",AB$13,"_n.a."),OpenLCAbasic!$M:$M,0)),
IF(AND(AB$9="Legacy",ISERROR(MATCH(G25,LookUps!$H$5:$H$20,0))),"--",
IF(AB$9="Legacy",SUMIFS(OpenLCAbasic!$J:$J,OpenLCAbasic!$E:$E,"Base",OpenLCAbasic!$D:$D,"Base",OpenLCAbasic!$F:$F,AB$9,OpenLCAbasic!$L:$L,$I$6,OpenLCAbasic!$I:$I,G25,OpenLCAbasic!$C:$C,AB$13),
IF(AND(AB$9="Upgraded", OR(AB$11="Low", AB$11="High"), OR(G25=G$37, G25=G$36)),
INDEX(OpenLCAbasic!$J:$J, MATCH(CONCATENATE(AB$11, "_", AB$10, "_", "Upgraded_",$I$6,"_",G25, "_", AB$12, "_", AB$14), OpenLCAbasic!$M:$M,0)),
IF(AND(ISERROR(MATCH(G25, LookUps!$G$5:$G$21,0)), AB$9="Upgraded"),
SUMIFS(OpenLCAbasic!$J:$J,OpenLCAbasic!$E:$E, AB$11, OpenLCAbasic!$D:$D, AB$10, OpenLCAbasic!$F:$F,AB$9,OpenLCAbasic!$L:$L,$I$6,OpenLCAbasic!$I:$I,INDEX(LookUps!$G$5:$G$21,MATCH(G25, LookUps!$J$5:$J$21,0)), OpenLCAbasic!$B:$B, AB$14, OpenLCAbasic!$C:$C, AB$12),
SUMIFS(OpenLCAbasic!$J:$J,OpenLCAbasic!$E:$E, AB$11, OpenLCAbasic!$D:$D, AB$10, OpenLCAbasic!$F:$F,AB$9,OpenLCAbasic!$L:$L,$I$6,OpenLCAbasic!$I:$I,G25, OpenLCAbasic!$B:$B, AB$14, OpenLCAbasic!$C:$C, AB$12)
)))))</f>
        <v>7.7567199999999995E-6</v>
      </c>
    </row>
    <row r="26" spans="2:28" x14ac:dyDescent="0.25">
      <c r="B26" s="99" t="str">
        <f t="shared" si="15"/>
        <v>Wet Well and Sump Station; wastewater treatment unit; at updated plant - US</v>
      </c>
      <c r="C26" s="99" t="str">
        <f t="shared" si="14"/>
        <v>Wet Well and Sump Station; wastewater treatment unit; at updated plant - US</v>
      </c>
      <c r="D26" s="99" t="str">
        <f t="shared" si="14"/>
        <v>Wet Well and Sump Station; wastewater treatment unit; at updated plant - US</v>
      </c>
      <c r="E26" s="99" t="str">
        <f t="shared" si="14"/>
        <v>Wet Well and Sump Station; wastewater treatment unit; at updated plant - US</v>
      </c>
      <c r="F26" s="99" t="str">
        <f t="shared" si="14"/>
        <v>Wet Well and Sump Station; wastewater treatment unit; at updated plant - US</v>
      </c>
      <c r="G26" s="99" t="str">
        <f t="shared" si="14"/>
        <v>Wet Well and Sump Station; wastewater treatment unit; at updated plant - US</v>
      </c>
      <c r="H26" s="266" t="str">
        <f>LookUps!$G$7</f>
        <v>Wet Well and Sump Station; wastewater treatment unit; at updated plant - US</v>
      </c>
      <c r="I26" s="274" t="str">
        <f>IF(AND(I$9="Legacy",B26=B$38,OR(I$11="Low",I$11="High")),
INDEX(OpenLCAbasic!$J:$J,MATCH(CONCATENATE(I$10,"_","Base","_","Legacy_",$I$4,"_",B26,"_",I$13,"_n.a."),OpenLCAbasic!$M:$M,0)),
IF(AND(I$9="Legacy",ISERROR(MATCH(B26,LookUps!$H$5:$H$20,0))),"--",
IF(I$9="Legacy",SUMIFS(OpenLCAbasic!$J:$J,OpenLCAbasic!$E:$E,"Base",OpenLCAbasic!$D:$D,"Base",OpenLCAbasic!$F:$F,I$9,OpenLCAbasic!$L:$L,$I$4,OpenLCAbasic!$I:$I,B26,OpenLCAbasic!$C:$C,I$13),
IF(AND(I$9="Upgraded", OR(I$11="Low", I$11="High"), OR(B26=B$37, B26=B$36)),
INDEX(OpenLCAbasic!$J:$J, MATCH(CONCATENATE(I$11, "_", I$10, "_", "Upgraded_",$I$4,"_",B26, "_", I$12, "_", I$14), OpenLCAbasic!$M:$M,0)),
IF(AND(ISERROR(MATCH(B26, LookUps!$G$5:$G$21,0)), I$9="Upgraded"),
SUMIFS(OpenLCAbasic!$J:$J,OpenLCAbasic!$E:$E, I$11, OpenLCAbasic!$D:$D, I$10, OpenLCAbasic!$F:$F,I$9,OpenLCAbasic!$L:$L,$I$4,OpenLCAbasic!$I:$I,INDEX(LookUps!$G$5:$G$21,MATCH(B26, LookUps!$J$5:$J$21,0)), OpenLCAbasic!$B:$B, I$14, OpenLCAbasic!$C:$C, I$12),
SUMIFS(OpenLCAbasic!$J:$J,OpenLCAbasic!$E:$E, I$11, OpenLCAbasic!$D:$D, I$10, OpenLCAbasic!$F:$F,I$9,OpenLCAbasic!$L:$L,$I$4,OpenLCAbasic!$I:$I,B26, OpenLCAbasic!$B:$B, I$14, OpenLCAbasic!$C:$C, I$12)
)))))</f>
        <v>--</v>
      </c>
      <c r="J26" s="301">
        <f>IF(AND(J$9="Legacy",C26=C$38,OR(J$11="Low",J$11="High")),
INDEX(OpenLCAbasic!$J:$J,MATCH(CONCATENATE(J$10,"_","Base","_","Legacy_",$I$4,"_",C26,"_",J$13,"_n.a."),OpenLCAbasic!$M:$M,0)),
IF(AND(J$9="Legacy",ISERROR(MATCH(C26,LookUps!$H$5:$H$20,0))),"--",
IF(J$9="Legacy",SUMIFS(OpenLCAbasic!$J:$J,OpenLCAbasic!$E:$E,"Base",OpenLCAbasic!$D:$D,"Base",OpenLCAbasic!$F:$F,J$9,OpenLCAbasic!$L:$L,$I$4,OpenLCAbasic!$I:$I,C26,OpenLCAbasic!$C:$C,J$13),
IF(AND(J$9="Upgraded", OR(J$11="Low", J$11="High"), OR(C26=C$37, C26=C$36)),
INDEX(OpenLCAbasic!$J:$J, MATCH(CONCATENATE(J$11, "_", J$10, "_", "Upgraded_",$I$4,"_",C26, "_", J$12, "_", J$14), OpenLCAbasic!$M:$M,0)),
IF(AND(ISERROR(MATCH(C26, LookUps!$G$5:$G$21,0)), J$9="Upgraded"),
SUMIFS(OpenLCAbasic!$J:$J,OpenLCAbasic!$E:$E, J$11, OpenLCAbasic!$D:$D, J$10, OpenLCAbasic!$F:$F,J$9,OpenLCAbasic!$L:$L,$I$4,OpenLCAbasic!$I:$I,INDEX(LookUps!$G$5:$G$21,MATCH(C26, LookUps!$J$5:$J$21,0)), OpenLCAbasic!$B:$B, J$14, OpenLCAbasic!$C:$C, J$12),
SUMIFS(OpenLCAbasic!$J:$J,OpenLCAbasic!$E:$E, J$11, OpenLCAbasic!$D:$D, J$10, OpenLCAbasic!$F:$F,J$9,OpenLCAbasic!$L:$L,$I$4,OpenLCAbasic!$I:$I,C26, OpenLCAbasic!$B:$B, J$14, OpenLCAbasic!$C:$C, J$12)
)))))</f>
        <v>0.69645000000000001</v>
      </c>
      <c r="K26" s="301">
        <f>IF(AND(K$9="Legacy",D26=D$38,OR(K$11="Low",K$11="High")),
INDEX(OpenLCAbasic!$J:$J,MATCH(CONCATENATE(K$10,"_","Base","_","Legacy_",$I$4,"_",D26,"_",K$13,"_n.a."),OpenLCAbasic!$M:$M,0)),
IF(AND(K$9="Legacy",ISERROR(MATCH(D26,LookUps!$H$5:$H$20,0))),"--",
IF(K$9="Legacy",SUMIFS(OpenLCAbasic!$J:$J,OpenLCAbasic!$E:$E,"Base",OpenLCAbasic!$D:$D,"Base",OpenLCAbasic!$F:$F,K$9,OpenLCAbasic!$L:$L,$I$4,OpenLCAbasic!$I:$I,D26,OpenLCAbasic!$C:$C,K$13),
IF(AND(K$9="Upgraded", OR(K$11="Low", K$11="High"), OR(D26=D$37, D26=D$36)),
INDEX(OpenLCAbasic!$J:$J, MATCH(CONCATENATE(K$11, "_", K$10, "_", "Upgraded_",$I$4,"_",D26, "_", K$12, "_", K$14), OpenLCAbasic!$M:$M,0)),
IF(AND(ISERROR(MATCH(D26, LookUps!$G$5:$G$21,0)), K$9="Upgraded"),
SUMIFS(OpenLCAbasic!$J:$J,OpenLCAbasic!$E:$E, K$11, OpenLCAbasic!$D:$D, K$10, OpenLCAbasic!$F:$F,K$9,OpenLCAbasic!$L:$L,$I$4,OpenLCAbasic!$I:$I,INDEX(LookUps!$G$5:$G$21,MATCH(D26, LookUps!$J$5:$J$21,0)), OpenLCAbasic!$B:$B, K$14, OpenLCAbasic!$C:$C, K$12),
SUMIFS(OpenLCAbasic!$J:$J,OpenLCAbasic!$E:$E, K$11, OpenLCAbasic!$D:$D, K$10, OpenLCAbasic!$F:$F,K$9,OpenLCAbasic!$L:$L,$I$4,OpenLCAbasic!$I:$I,D26, OpenLCAbasic!$B:$B, K$14, OpenLCAbasic!$C:$C, K$12)
)))))</f>
        <v>0.69645000000000001</v>
      </c>
      <c r="L26" s="301">
        <f>IF(AND(L$9="Legacy",E26=E$38,OR(L$11="Low",L$11="High")),
INDEX(OpenLCAbasic!$J:$J,MATCH(CONCATENATE(L$10,"_","Base","_","Legacy_",$I$4,"_",E26,"_",L$13,"_n.a."),OpenLCAbasic!$M:$M,0)),
IF(AND(L$9="Legacy",ISERROR(MATCH(E26,LookUps!$H$5:$H$20,0))),"--",
IF(L$9="Legacy",SUMIFS(OpenLCAbasic!$J:$J,OpenLCAbasic!$E:$E,"Base",OpenLCAbasic!$D:$D,"Base",OpenLCAbasic!$F:$F,L$9,OpenLCAbasic!$L:$L,$I$4,OpenLCAbasic!$I:$I,E26,OpenLCAbasic!$C:$C,L$13),
IF(AND(L$9="Upgraded", OR(L$11="Low", L$11="High"), OR(E26=E$37, E26=E$36)),
INDEX(OpenLCAbasic!$J:$J, MATCH(CONCATENATE(L$11, "_", L$10, "_", "Upgraded_",$I$4,"_",E26, "_", L$12, "_", L$14), OpenLCAbasic!$M:$M,0)),
IF(AND(ISERROR(MATCH(E26, LookUps!$G$5:$G$21,0)), L$9="Upgraded"),
SUMIFS(OpenLCAbasic!$J:$J,OpenLCAbasic!$E:$E, L$11, OpenLCAbasic!$D:$D, L$10, OpenLCAbasic!$F:$F,L$9,OpenLCAbasic!$L:$L,$I$4,OpenLCAbasic!$I:$I,INDEX(LookUps!$G$5:$G$21,MATCH(E26, LookUps!$J$5:$J$21,0)), OpenLCAbasic!$B:$B, L$14, OpenLCAbasic!$C:$C, L$12),
SUMIFS(OpenLCAbasic!$J:$J,OpenLCAbasic!$E:$E, L$11, OpenLCAbasic!$D:$D, L$10, OpenLCAbasic!$F:$F,L$9,OpenLCAbasic!$L:$L,$I$4,OpenLCAbasic!$I:$I,E26, OpenLCAbasic!$B:$B, L$14, OpenLCAbasic!$C:$C, L$12)
)))))</f>
        <v>0.69645000000000001</v>
      </c>
      <c r="M26" s="301">
        <f>IF(AND(M$9="Legacy",F26=F$38,OR(M$11="Low",M$11="High")),
INDEX(OpenLCAbasic!$J:$J,MATCH(CONCATENATE(M$10,"_","Base","_","Legacy_",$I$4,"_",F26,"_",M$13,"_n.a."),OpenLCAbasic!$M:$M,0)),
IF(AND(M$9="Legacy",ISERROR(MATCH(F26,LookUps!$H$5:$H$20,0))),"--",
IF(M$9="Legacy",SUMIFS(OpenLCAbasic!$J:$J,OpenLCAbasic!$E:$E,"Base",OpenLCAbasic!$D:$D,"Base",OpenLCAbasic!$F:$F,M$9,OpenLCAbasic!$L:$L,$I$4,OpenLCAbasic!$I:$I,F26,OpenLCAbasic!$C:$C,M$13),
IF(AND(M$9="Upgraded", OR(M$11="Low", M$11="High"), OR(F26=F$37, F26=F$36)),
INDEX(OpenLCAbasic!$J:$J, MATCH(CONCATENATE(M$11, "_", M$10, "_", "Upgraded_",$I$4,"_",F26, "_", M$12, "_", M$14), OpenLCAbasic!$M:$M,0)),
IF(AND(ISERROR(MATCH(F26, LookUps!$G$5:$G$21,0)), M$9="Upgraded"),
SUMIFS(OpenLCAbasic!$J:$J,OpenLCAbasic!$E:$E, M$11, OpenLCAbasic!$D:$D, M$10, OpenLCAbasic!$F:$F,M$9,OpenLCAbasic!$L:$L,$I$4,OpenLCAbasic!$I:$I,INDEX(LookUps!$G$5:$G$21,MATCH(F26, LookUps!$J$5:$J$21,0)), OpenLCAbasic!$B:$B, M$14, OpenLCAbasic!$C:$C, M$12),
SUMIFS(OpenLCAbasic!$J:$J,OpenLCAbasic!$E:$E, M$11, OpenLCAbasic!$D:$D, M$10, OpenLCAbasic!$F:$F,M$9,OpenLCAbasic!$L:$L,$I$4,OpenLCAbasic!$I:$I,F26, OpenLCAbasic!$B:$B, M$14, OpenLCAbasic!$C:$C, M$12)
)))))</f>
        <v>0.69645000000000001</v>
      </c>
      <c r="N26" s="301">
        <f>IF(AND(N$9="Legacy",G26=G$38,OR(N$11="Low",N$11="High")),
INDEX(OpenLCAbasic!$J:$J,MATCH(CONCATENATE(N$10,"_","Base","_","Legacy_",$I$4,"_",G26,"_",N$13,"_n.a."),OpenLCAbasic!$M:$M,0)),
IF(AND(N$9="Legacy",ISERROR(MATCH(G26,LookUps!$H$5:$H$20,0))),"--",
IF(N$9="Legacy",SUMIFS(OpenLCAbasic!$J:$J,OpenLCAbasic!$E:$E,"Base",OpenLCAbasic!$D:$D,"Base",OpenLCAbasic!$F:$F,N$9,OpenLCAbasic!$L:$L,$I$4,OpenLCAbasic!$I:$I,G26,OpenLCAbasic!$C:$C,N$13),
IF(AND(N$9="Upgraded", OR(N$11="Low", N$11="High"), OR(G26=G$37, G26=G$36)),
INDEX(OpenLCAbasic!$J:$J, MATCH(CONCATENATE(N$11, "_", N$10, "_", "Upgraded_",$I$4,"_",G26, "_", N$12, "_", N$14), OpenLCAbasic!$M:$M,0)),
IF(AND(ISERROR(MATCH(G26, LookUps!$G$5:$G$21,0)), N$9="Upgraded"),
SUMIFS(OpenLCAbasic!$J:$J,OpenLCAbasic!$E:$E, N$11, OpenLCAbasic!$D:$D, N$10, OpenLCAbasic!$F:$F,N$9,OpenLCAbasic!$L:$L,$I$4,OpenLCAbasic!$I:$I,INDEX(LookUps!$G$5:$G$21,MATCH(G26, LookUps!$J$5:$J$21,0)), OpenLCAbasic!$B:$B, N$14, OpenLCAbasic!$C:$C, N$12),
SUMIFS(OpenLCAbasic!$J:$J,OpenLCAbasic!$E:$E, N$11, OpenLCAbasic!$D:$D, N$10, OpenLCAbasic!$F:$F,N$9,OpenLCAbasic!$L:$L,$I$4,OpenLCAbasic!$I:$I,G26, OpenLCAbasic!$B:$B, N$14, OpenLCAbasic!$C:$C, N$12)
)))))</f>
        <v>0.69645000000000001</v>
      </c>
      <c r="O26" s="302"/>
      <c r="P26" s="274" t="str">
        <f>IF(AND(P$9="Legacy",B26=B$38,OR(P$11="Low",P$11="High")),
INDEX(OpenLCAbasic!$J:$J,MATCH(CONCATENATE(P$10,"_","Base","_","Legacy_",$I$5,"_",B26,"_",P$13,"_n.a."),OpenLCAbasic!$M:$M,0)),
IF(AND(P$9="Legacy",ISERROR(MATCH(B26,LookUps!$H$5:$H$20,0))),"--",
IF(P$9="Legacy",SUMIFS(OpenLCAbasic!$J:$J,OpenLCAbasic!$E:$E,"Base",OpenLCAbasic!$D:$D,"Base",OpenLCAbasic!$F:$F,P$9,OpenLCAbasic!$L:$L,$I$5,OpenLCAbasic!$I:$I,B26,OpenLCAbasic!$C:$C,P$13),
IF(AND(P$9="Upgraded", OR(P$11="Low", P$11="High"), OR(B26=B$37, B26=B$36)),
INDEX(OpenLCAbasic!$J:$J, MATCH(CONCATENATE(P$11, "_", P$10, "_", "Upgraded_",$I$5,"_",B26, "_", P$12, "_", P$14), OpenLCAbasic!$M:$M,0)),
IF(AND(ISERROR(MATCH(B26, LookUps!$G$5:$G$21,0)), P$9="Upgraded"),
SUMIFS(OpenLCAbasic!$J:$J,OpenLCAbasic!$E:$E, P$11, OpenLCAbasic!$D:$D, P$10, OpenLCAbasic!$F:$F,P$9,OpenLCAbasic!$L:$L,$I$5,OpenLCAbasic!$I:$I,INDEX(LookUps!$G$5:$G$21,MATCH(B26, LookUps!$J$5:$J$21,0)), OpenLCAbasic!$B:$B, P$14, OpenLCAbasic!$C:$C, P$12),
SUMIFS(OpenLCAbasic!$J:$J,OpenLCAbasic!$E:$E, P$11, OpenLCAbasic!$D:$D, P$10, OpenLCAbasic!$F:$F,P$9,OpenLCAbasic!$L:$L,$I$5,OpenLCAbasic!$I:$I,B26, OpenLCAbasic!$B:$B, P$14, OpenLCAbasic!$C:$C, P$12)
)))))</f>
        <v>--</v>
      </c>
      <c r="Q26" s="301">
        <f>IF(AND(Q$9="Legacy",C26=C$38,OR(Q$11="Low",Q$11="High")),
INDEX(OpenLCAbasic!$J:$J,MATCH(CONCATENATE(Q$10,"_","Base","_","Legacy_",$I$5,"_",C26,"_",Q$13,"_n.a."),OpenLCAbasic!$M:$M,0)),
IF(AND(Q$9="Legacy",ISERROR(MATCH(C26,LookUps!$H$5:$H$20,0))),"--",
IF(Q$9="Legacy",SUMIFS(OpenLCAbasic!$J:$J,OpenLCAbasic!$E:$E,"Base",OpenLCAbasic!$D:$D,"Base",OpenLCAbasic!$F:$F,Q$9,OpenLCAbasic!$L:$L,$I$5,OpenLCAbasic!$I:$I,C26,OpenLCAbasic!$C:$C,Q$13),
IF(AND(Q$9="Upgraded", OR(Q$11="Low", Q$11="High"), OR(C26=C$37, C26=C$36)),
INDEX(OpenLCAbasic!$J:$J, MATCH(CONCATENATE(Q$11, "_", Q$10, "_", "Upgraded_",$I$5,"_",C26, "_", Q$12, "_", Q$14), OpenLCAbasic!$M:$M,0)),
IF(AND(ISERROR(MATCH(C26, LookUps!$G$5:$G$21,0)), Q$9="Upgraded"),
SUMIFS(OpenLCAbasic!$J:$J,OpenLCAbasic!$E:$E, Q$11, OpenLCAbasic!$D:$D, Q$10, OpenLCAbasic!$F:$F,Q$9,OpenLCAbasic!$L:$L,$I$5,OpenLCAbasic!$I:$I,INDEX(LookUps!$G$5:$G$21,MATCH(C26, LookUps!$J$5:$J$21,0)), OpenLCAbasic!$B:$B, Q$14, OpenLCAbasic!$C:$C, Q$12),
SUMIFS(OpenLCAbasic!$J:$J,OpenLCAbasic!$E:$E, Q$11, OpenLCAbasic!$D:$D, Q$10, OpenLCAbasic!$F:$F,Q$9,OpenLCAbasic!$L:$L,$I$5,OpenLCAbasic!$I:$I,C26, OpenLCAbasic!$B:$B, Q$14, OpenLCAbasic!$C:$C, Q$12)
)))))</f>
        <v>3.3259999999999998E-2</v>
      </c>
      <c r="R26" s="301">
        <f>IF(AND(R$9="Legacy",D26=D$38,OR(R$11="Low",R$11="High")),
INDEX(OpenLCAbasic!$J:$J,MATCH(CONCATENATE(R$10,"_","Base","_","Legacy_",$I$5,"_",D26,"_",R$13,"_n.a."),OpenLCAbasic!$M:$M,0)),
IF(AND(R$9="Legacy",ISERROR(MATCH(D26,LookUps!$H$5:$H$20,0))),"--",
IF(R$9="Legacy",SUMIFS(OpenLCAbasic!$J:$J,OpenLCAbasic!$E:$E,"Base",OpenLCAbasic!$D:$D,"Base",OpenLCAbasic!$F:$F,R$9,OpenLCAbasic!$L:$L,$I$5,OpenLCAbasic!$I:$I,D26,OpenLCAbasic!$C:$C,R$13),
IF(AND(R$9="Upgraded", OR(R$11="Low", R$11="High"), OR(D26=D$37, D26=D$36)),
INDEX(OpenLCAbasic!$J:$J, MATCH(CONCATENATE(R$11, "_", R$10, "_", "Upgraded_",$I$5,"_",D26, "_", R$12, "_", R$14), OpenLCAbasic!$M:$M,0)),
IF(AND(ISERROR(MATCH(D26, LookUps!$G$5:$G$21,0)), R$9="Upgraded"),
SUMIFS(OpenLCAbasic!$J:$J,OpenLCAbasic!$E:$E, R$11, OpenLCAbasic!$D:$D, R$10, OpenLCAbasic!$F:$F,R$9,OpenLCAbasic!$L:$L,$I$5,OpenLCAbasic!$I:$I,INDEX(LookUps!$G$5:$G$21,MATCH(D26, LookUps!$J$5:$J$21,0)), OpenLCAbasic!$B:$B, R$14, OpenLCAbasic!$C:$C, R$12),
SUMIFS(OpenLCAbasic!$J:$J,OpenLCAbasic!$E:$E, R$11, OpenLCAbasic!$D:$D, R$10, OpenLCAbasic!$F:$F,R$9,OpenLCAbasic!$L:$L,$I$5,OpenLCAbasic!$I:$I,D26, OpenLCAbasic!$B:$B, R$14, OpenLCAbasic!$C:$C, R$12)
)))))</f>
        <v>3.3259999999999998E-2</v>
      </c>
      <c r="S26" s="301">
        <f>IF(AND(S$9="Legacy",E26=E$38,OR(S$11="Low",S$11="High")),
INDEX(OpenLCAbasic!$J:$J,MATCH(CONCATENATE(S$10,"_","Base","_","Legacy_",$I$5,"_",E26,"_",S$13,"_n.a."),OpenLCAbasic!$M:$M,0)),
IF(AND(S$9="Legacy",ISERROR(MATCH(E26,LookUps!$H$5:$H$20,0))),"--",
IF(S$9="Legacy",SUMIFS(OpenLCAbasic!$J:$J,OpenLCAbasic!$E:$E,"Base",OpenLCAbasic!$D:$D,"Base",OpenLCAbasic!$F:$F,S$9,OpenLCAbasic!$L:$L,$I$5,OpenLCAbasic!$I:$I,E26,OpenLCAbasic!$C:$C,S$13),
IF(AND(S$9="Upgraded", OR(S$11="Low", S$11="High"), OR(E26=E$37, E26=E$36)),
INDEX(OpenLCAbasic!$J:$J, MATCH(CONCATENATE(S$11, "_", S$10, "_", "Upgraded_",$I$5,"_",E26, "_", S$12, "_", S$14), OpenLCAbasic!$M:$M,0)),
IF(AND(ISERROR(MATCH(E26, LookUps!$G$5:$G$21,0)), S$9="Upgraded"),
SUMIFS(OpenLCAbasic!$J:$J,OpenLCAbasic!$E:$E, S$11, OpenLCAbasic!$D:$D, S$10, OpenLCAbasic!$F:$F,S$9,OpenLCAbasic!$L:$L,$I$5,OpenLCAbasic!$I:$I,INDEX(LookUps!$G$5:$G$21,MATCH(E26, LookUps!$J$5:$J$21,0)), OpenLCAbasic!$B:$B, S$14, OpenLCAbasic!$C:$C, S$12),
SUMIFS(OpenLCAbasic!$J:$J,OpenLCAbasic!$E:$E, S$11, OpenLCAbasic!$D:$D, S$10, OpenLCAbasic!$F:$F,S$9,OpenLCAbasic!$L:$L,$I$5,OpenLCAbasic!$I:$I,E26, OpenLCAbasic!$B:$B, S$14, OpenLCAbasic!$C:$C, S$12)
)))))</f>
        <v>3.3259999999999998E-2</v>
      </c>
      <c r="T26" s="301">
        <f>IF(AND(T$9="Legacy",F26=F$38,OR(T$11="Low",T$11="High")),
INDEX(OpenLCAbasic!$J:$J,MATCH(CONCATENATE(T$10,"_","Base","_","Legacy_",$I$5,"_",F26,"_",T$13,"_n.a."),OpenLCAbasic!$M:$M,0)),
IF(AND(T$9="Legacy",ISERROR(MATCH(F26,LookUps!$H$5:$H$20,0))),"--",
IF(T$9="Legacy",SUMIFS(OpenLCAbasic!$J:$J,OpenLCAbasic!$E:$E,"Base",OpenLCAbasic!$D:$D,"Base",OpenLCAbasic!$F:$F,T$9,OpenLCAbasic!$L:$L,$I$5,OpenLCAbasic!$I:$I,F26,OpenLCAbasic!$C:$C,T$13),
IF(AND(T$9="Upgraded", OR(T$11="Low", T$11="High"), OR(F26=F$37, F26=F$36)),
INDEX(OpenLCAbasic!$J:$J, MATCH(CONCATENATE(T$11, "_", T$10, "_", "Upgraded_",$I$5,"_",F26, "_", T$12, "_", T$14), OpenLCAbasic!$M:$M,0)),
IF(AND(ISERROR(MATCH(F26, LookUps!$G$5:$G$21,0)), T$9="Upgraded"),
SUMIFS(OpenLCAbasic!$J:$J,OpenLCAbasic!$E:$E, T$11, OpenLCAbasic!$D:$D, T$10, OpenLCAbasic!$F:$F,T$9,OpenLCAbasic!$L:$L,$I$5,OpenLCAbasic!$I:$I,INDEX(LookUps!$G$5:$G$21,MATCH(F26, LookUps!$J$5:$J$21,0)), OpenLCAbasic!$B:$B, T$14, OpenLCAbasic!$C:$C, T$12),
SUMIFS(OpenLCAbasic!$J:$J,OpenLCAbasic!$E:$E, T$11, OpenLCAbasic!$D:$D, T$10, OpenLCAbasic!$F:$F,T$9,OpenLCAbasic!$L:$L,$I$5,OpenLCAbasic!$I:$I,F26, OpenLCAbasic!$B:$B, T$14, OpenLCAbasic!$C:$C, T$12)
)))))</f>
        <v>3.3259999999999998E-2</v>
      </c>
      <c r="U26" s="301">
        <f>IF(AND(U$9="Legacy",G26=G$38,OR(U$11="Low",U$11="High")),
INDEX(OpenLCAbasic!$J:$J,MATCH(CONCATENATE(U$10,"_","Base","_","Legacy_",$I$5,"_",G26,"_",U$13,"_n.a."),OpenLCAbasic!$M:$M,0)),
IF(AND(U$9="Legacy",ISERROR(MATCH(G26,LookUps!$H$5:$H$20,0))),"--",
IF(U$9="Legacy",SUMIFS(OpenLCAbasic!$J:$J,OpenLCAbasic!$E:$E,"Base",OpenLCAbasic!$D:$D,"Base",OpenLCAbasic!$F:$F,U$9,OpenLCAbasic!$L:$L,$I$5,OpenLCAbasic!$I:$I,G26,OpenLCAbasic!$C:$C,U$13),
IF(AND(U$9="Upgraded", OR(U$11="Low", U$11="High"), OR(G26=G$37, G26=G$36)),
INDEX(OpenLCAbasic!$J:$J, MATCH(CONCATENATE(U$11, "_", U$10, "_", "Upgraded_",$I$5,"_",G26, "_", U$12, "_", U$14), OpenLCAbasic!$M:$M,0)),
IF(AND(ISERROR(MATCH(G26, LookUps!$G$5:$G$21,0)), U$9="Upgraded"),
SUMIFS(OpenLCAbasic!$J:$J,OpenLCAbasic!$E:$E, U$11, OpenLCAbasic!$D:$D, U$10, OpenLCAbasic!$F:$F,U$9,OpenLCAbasic!$L:$L,$I$5,OpenLCAbasic!$I:$I,INDEX(LookUps!$G$5:$G$21,MATCH(G26, LookUps!$J$5:$J$21,0)), OpenLCAbasic!$B:$B, U$14, OpenLCAbasic!$C:$C, U$12),
SUMIFS(OpenLCAbasic!$J:$J,OpenLCAbasic!$E:$E, U$11, OpenLCAbasic!$D:$D, U$10, OpenLCAbasic!$F:$F,U$9,OpenLCAbasic!$L:$L,$I$5,OpenLCAbasic!$I:$I,G26, OpenLCAbasic!$B:$B, U$14, OpenLCAbasic!$C:$C, U$12)
)))))</f>
        <v>3.3259999999999998E-2</v>
      </c>
      <c r="V26" s="302"/>
      <c r="W26" s="274" t="str">
        <f>IF(AND(W$9="Legacy",B26=B$38,OR(W$11="Low",W$11="High")),
INDEX(OpenLCAbasic!$J:$J,MATCH(CONCATENATE(W$10,"_","Base","_","Legacy_",$I$6,"_",B26,"_",W$13,"_n.a."),OpenLCAbasic!$M:$M,0)),
IF(AND(W$9="Legacy",ISERROR(MATCH(B26,LookUps!$H$5:$H$20,0))),"--",
IF(W$9="Legacy",SUMIFS(OpenLCAbasic!$J:$J,OpenLCAbasic!$E:$E,"Base",OpenLCAbasic!$D:$D,"Base",OpenLCAbasic!$F:$F,W$9,OpenLCAbasic!$L:$L,$I$6,OpenLCAbasic!$I:$I,B26,OpenLCAbasic!$C:$C,W$13),
IF(AND(W$9="Upgraded", OR(W$11="Low", W$11="High"), OR(B26=B$37, B26=B$36)),
INDEX(OpenLCAbasic!$J:$J, MATCH(CONCATENATE(W$11, "_", W$10, "_", "Upgraded_",$I$6,"_",B26, "_", W$12, "_", W$14), OpenLCAbasic!$M:$M,0)),
IF(AND(ISERROR(MATCH(B26, LookUps!$G$5:$G$21,0)), W$9="Upgraded"),
SUMIFS(OpenLCAbasic!$J:$J,OpenLCAbasic!$E:$E, W$11, OpenLCAbasic!$D:$D, W$10, OpenLCAbasic!$F:$F,W$9,OpenLCAbasic!$L:$L,$I$6,OpenLCAbasic!$I:$I,INDEX(LookUps!$G$5:$G$21,MATCH(B26, LookUps!$J$5:$J$21,0)), OpenLCAbasic!$B:$B, W$14, OpenLCAbasic!$C:$C, W$12),
SUMIFS(OpenLCAbasic!$J:$J,OpenLCAbasic!$E:$E, W$11, OpenLCAbasic!$D:$D, W$10, OpenLCAbasic!$F:$F,W$9,OpenLCAbasic!$L:$L,$I$6,OpenLCAbasic!$I:$I,B26, OpenLCAbasic!$B:$B, W$14, OpenLCAbasic!$C:$C, W$12)
)))))</f>
        <v>--</v>
      </c>
      <c r="X26" s="303">
        <f>IF(AND(X$9="Legacy",C26=C$38,OR(X$11="Low",X$11="High")),
INDEX(OpenLCAbasic!$J:$J,MATCH(CONCATENATE(X$10,"_","Base","_","Legacy_",$I$6,"_",C26,"_",X$13,"_n.a."),OpenLCAbasic!$M:$M,0)),
IF(AND(X$9="Legacy",ISERROR(MATCH(C26,LookUps!$H$5:$H$20,0))),"--",
IF(X$9="Legacy",SUMIFS(OpenLCAbasic!$J:$J,OpenLCAbasic!$E:$E,"Base",OpenLCAbasic!$D:$D,"Base",OpenLCAbasic!$F:$F,X$9,OpenLCAbasic!$L:$L,$I$6,OpenLCAbasic!$I:$I,C26,OpenLCAbasic!$C:$C,X$13),
IF(AND(X$9="Upgraded", OR(X$11="Low", X$11="High"), OR(C26=C$37, C26=C$36)),
INDEX(OpenLCAbasic!$J:$J, MATCH(CONCATENATE(X$11, "_", X$10, "_", "Upgraded_",$I$6,"_",C26, "_", X$12, "_", X$14), OpenLCAbasic!$M:$M,0)),
IF(AND(ISERROR(MATCH(C26, LookUps!$G$5:$G$21,0)), X$9="Upgraded"),
SUMIFS(OpenLCAbasic!$J:$J,OpenLCAbasic!$E:$E, X$11, OpenLCAbasic!$D:$D, X$10, OpenLCAbasic!$F:$F,X$9,OpenLCAbasic!$L:$L,$I$6,OpenLCAbasic!$I:$I,INDEX(LookUps!$G$5:$G$21,MATCH(C26, LookUps!$J$5:$J$21,0)), OpenLCAbasic!$B:$B, X$14, OpenLCAbasic!$C:$C, X$12),
SUMIFS(OpenLCAbasic!$J:$J,OpenLCAbasic!$E:$E, X$11, OpenLCAbasic!$D:$D, X$10, OpenLCAbasic!$F:$F,X$9,OpenLCAbasic!$L:$L,$I$6,OpenLCAbasic!$I:$I,C26, OpenLCAbasic!$B:$B, X$14, OpenLCAbasic!$C:$C, X$12)
)))))</f>
        <v>1.1E-4</v>
      </c>
      <c r="Y26" s="303">
        <f>IF(AND(Y$9="Legacy",D26=D$38,OR(Y$11="Low",Y$11="High")),
INDEX(OpenLCAbasic!$J:$J,MATCH(CONCATENATE(Y$10,"_","Base","_","Legacy_",$I$6,"_",D26,"_",Y$13,"_n.a."),OpenLCAbasic!$M:$M,0)),
IF(AND(Y$9="Legacy",ISERROR(MATCH(D26,LookUps!$H$5:$H$20,0))),"--",
IF(Y$9="Legacy",SUMIFS(OpenLCAbasic!$J:$J,OpenLCAbasic!$E:$E,"Base",OpenLCAbasic!$D:$D,"Base",OpenLCAbasic!$F:$F,Y$9,OpenLCAbasic!$L:$L,$I$6,OpenLCAbasic!$I:$I,D26,OpenLCAbasic!$C:$C,Y$13),
IF(AND(Y$9="Upgraded", OR(Y$11="Low", Y$11="High"), OR(D26=D$37, D26=D$36)),
INDEX(OpenLCAbasic!$J:$J, MATCH(CONCATENATE(Y$11, "_", Y$10, "_", "Upgraded_",$I$6,"_",D26, "_", Y$12, "_", Y$14), OpenLCAbasic!$M:$M,0)),
IF(AND(ISERROR(MATCH(D26, LookUps!$G$5:$G$21,0)), Y$9="Upgraded"),
SUMIFS(OpenLCAbasic!$J:$J,OpenLCAbasic!$E:$E, Y$11, OpenLCAbasic!$D:$D, Y$10, OpenLCAbasic!$F:$F,Y$9,OpenLCAbasic!$L:$L,$I$6,OpenLCAbasic!$I:$I,INDEX(LookUps!$G$5:$G$21,MATCH(D26, LookUps!$J$5:$J$21,0)), OpenLCAbasic!$B:$B, Y$14, OpenLCAbasic!$C:$C, Y$12),
SUMIFS(OpenLCAbasic!$J:$J,OpenLCAbasic!$E:$E, Y$11, OpenLCAbasic!$D:$D, Y$10, OpenLCAbasic!$F:$F,Y$9,OpenLCAbasic!$L:$L,$I$6,OpenLCAbasic!$I:$I,D26, OpenLCAbasic!$B:$B, Y$14, OpenLCAbasic!$C:$C, Y$12)
)))))</f>
        <v>1.1E-4</v>
      </c>
      <c r="Z26" s="303">
        <f>IF(AND(Z$9="Legacy",E26=E$38,OR(Z$11="Low",Z$11="High")),
INDEX(OpenLCAbasic!$J:$J,MATCH(CONCATENATE(Z$10,"_","Base","_","Legacy_",$I$6,"_",E26,"_",Z$13,"_n.a."),OpenLCAbasic!$M:$M,0)),
IF(AND(Z$9="Legacy",ISERROR(MATCH(E26,LookUps!$H$5:$H$20,0))),"--",
IF(Z$9="Legacy",SUMIFS(OpenLCAbasic!$J:$J,OpenLCAbasic!$E:$E,"Base",OpenLCAbasic!$D:$D,"Base",OpenLCAbasic!$F:$F,Z$9,OpenLCAbasic!$L:$L,$I$6,OpenLCAbasic!$I:$I,E26,OpenLCAbasic!$C:$C,Z$13),
IF(AND(Z$9="Upgraded", OR(Z$11="Low", Z$11="High"), OR(E26=E$37, E26=E$36)),
INDEX(OpenLCAbasic!$J:$J, MATCH(CONCATENATE(Z$11, "_", Z$10, "_", "Upgraded_",$I$6,"_",E26, "_", Z$12, "_", Z$14), OpenLCAbasic!$M:$M,0)),
IF(AND(ISERROR(MATCH(E26, LookUps!$G$5:$G$21,0)), Z$9="Upgraded"),
SUMIFS(OpenLCAbasic!$J:$J,OpenLCAbasic!$E:$E, Z$11, OpenLCAbasic!$D:$D, Z$10, OpenLCAbasic!$F:$F,Z$9,OpenLCAbasic!$L:$L,$I$6,OpenLCAbasic!$I:$I,INDEX(LookUps!$G$5:$G$21,MATCH(E26, LookUps!$J$5:$J$21,0)), OpenLCAbasic!$B:$B, Z$14, OpenLCAbasic!$C:$C, Z$12),
SUMIFS(OpenLCAbasic!$J:$J,OpenLCAbasic!$E:$E, Z$11, OpenLCAbasic!$D:$D, Z$10, OpenLCAbasic!$F:$F,Z$9,OpenLCAbasic!$L:$L,$I$6,OpenLCAbasic!$I:$I,E26, OpenLCAbasic!$B:$B, Z$14, OpenLCAbasic!$C:$C, Z$12)
)))))</f>
        <v>1.1E-4</v>
      </c>
      <c r="AA26" s="303">
        <f>IF(AND(AA$9="Legacy",F26=F$38,OR(AA$11="Low",AA$11="High")),
INDEX(OpenLCAbasic!$J:$J,MATCH(CONCATENATE(AA$10,"_","Base","_","Legacy_",$I$6,"_",F26,"_",AA$13,"_n.a."),OpenLCAbasic!$M:$M,0)),
IF(AND(AA$9="Legacy",ISERROR(MATCH(F26,LookUps!$H$5:$H$20,0))),"--",
IF(AA$9="Legacy",SUMIFS(OpenLCAbasic!$J:$J,OpenLCAbasic!$E:$E,"Base",OpenLCAbasic!$D:$D,"Base",OpenLCAbasic!$F:$F,AA$9,OpenLCAbasic!$L:$L,$I$6,OpenLCAbasic!$I:$I,F26,OpenLCAbasic!$C:$C,AA$13),
IF(AND(AA$9="Upgraded", OR(AA$11="Low", AA$11="High"), OR(F26=F$37, F26=F$36)),
INDEX(OpenLCAbasic!$J:$J, MATCH(CONCATENATE(AA$11, "_", AA$10, "_", "Upgraded_",$I$6,"_",F26, "_", AA$12, "_", AA$14), OpenLCAbasic!$M:$M,0)),
IF(AND(ISERROR(MATCH(F26, LookUps!$G$5:$G$21,0)), AA$9="Upgraded"),
SUMIFS(OpenLCAbasic!$J:$J,OpenLCAbasic!$E:$E, AA$11, OpenLCAbasic!$D:$D, AA$10, OpenLCAbasic!$F:$F,AA$9,OpenLCAbasic!$L:$L,$I$6,OpenLCAbasic!$I:$I,INDEX(LookUps!$G$5:$G$21,MATCH(F26, LookUps!$J$5:$J$21,0)), OpenLCAbasic!$B:$B, AA$14, OpenLCAbasic!$C:$C, AA$12),
SUMIFS(OpenLCAbasic!$J:$J,OpenLCAbasic!$E:$E, AA$11, OpenLCAbasic!$D:$D, AA$10, OpenLCAbasic!$F:$F,AA$9,OpenLCAbasic!$L:$L,$I$6,OpenLCAbasic!$I:$I,F26, OpenLCAbasic!$B:$B, AA$14, OpenLCAbasic!$C:$C, AA$12)
)))))</f>
        <v>1.1E-4</v>
      </c>
      <c r="AB26" s="303">
        <f>IF(AND(AB$9="Legacy",G26=G$38,OR(AB$11="Low",AB$11="High")),
INDEX(OpenLCAbasic!$J:$J,MATCH(CONCATENATE(AB$10,"_","Base","_","Legacy_",$I$6,"_",G26,"_",AB$13,"_n.a."),OpenLCAbasic!$M:$M,0)),
IF(AND(AB$9="Legacy",ISERROR(MATCH(G26,LookUps!$H$5:$H$20,0))),"--",
IF(AB$9="Legacy",SUMIFS(OpenLCAbasic!$J:$J,OpenLCAbasic!$E:$E,"Base",OpenLCAbasic!$D:$D,"Base",OpenLCAbasic!$F:$F,AB$9,OpenLCAbasic!$L:$L,$I$6,OpenLCAbasic!$I:$I,G26,OpenLCAbasic!$C:$C,AB$13),
IF(AND(AB$9="Upgraded", OR(AB$11="Low", AB$11="High"), OR(G26=G$37, G26=G$36)),
INDEX(OpenLCAbasic!$J:$J, MATCH(CONCATENATE(AB$11, "_", AB$10, "_", "Upgraded_",$I$6,"_",G26, "_", AB$12, "_", AB$14), OpenLCAbasic!$M:$M,0)),
IF(AND(ISERROR(MATCH(G26, LookUps!$G$5:$G$21,0)), AB$9="Upgraded"),
SUMIFS(OpenLCAbasic!$J:$J,OpenLCAbasic!$E:$E, AB$11, OpenLCAbasic!$D:$D, AB$10, OpenLCAbasic!$F:$F,AB$9,OpenLCAbasic!$L:$L,$I$6,OpenLCAbasic!$I:$I,INDEX(LookUps!$G$5:$G$21,MATCH(G26, LookUps!$J$5:$J$21,0)), OpenLCAbasic!$B:$B, AB$14, OpenLCAbasic!$C:$C, AB$12),
SUMIFS(OpenLCAbasic!$J:$J,OpenLCAbasic!$E:$E, AB$11, OpenLCAbasic!$D:$D, AB$10, OpenLCAbasic!$F:$F,AB$9,OpenLCAbasic!$L:$L,$I$6,OpenLCAbasic!$I:$I,G26, OpenLCAbasic!$B:$B, AB$14, OpenLCAbasic!$C:$C, AB$12)
)))))</f>
        <v>1.1E-4</v>
      </c>
    </row>
    <row r="27" spans="2:28" x14ac:dyDescent="0.25">
      <c r="B27" s="99" t="str">
        <f t="shared" si="15"/>
        <v>Pre-Anoxic &amp; Swing tank; wastewater treatment unit; at updated plant - US</v>
      </c>
      <c r="C27" s="99" t="str">
        <f t="shared" si="14"/>
        <v>Pre-Anoxic &amp; Swing tank; wastewater treatment unit; at updated plant - US</v>
      </c>
      <c r="D27" s="99" t="str">
        <f t="shared" si="14"/>
        <v>Pre-Anoxic &amp; Swing tank; wastewater treatment unit; at updated plant - US</v>
      </c>
      <c r="E27" s="99" t="str">
        <f t="shared" si="14"/>
        <v>Pre-Anoxic &amp; Swing tank; wastewater treatment unit; at updated plant - US</v>
      </c>
      <c r="F27" s="99" t="str">
        <f t="shared" si="14"/>
        <v>Pre-Anoxic &amp; Swing tank; wastewater treatment unit; at updated plant - US</v>
      </c>
      <c r="G27" s="99" t="str">
        <f t="shared" si="14"/>
        <v>Pre-Anoxic &amp; Swing tank; wastewater treatment unit; at updated plant - US</v>
      </c>
      <c r="H27" s="266" t="str">
        <f>LookUps!$G$13</f>
        <v>Pre-Anoxic &amp; Swing tank; wastewater treatment unit; at updated plant - US</v>
      </c>
      <c r="I27" s="274" t="str">
        <f>IF(AND(I$9="Legacy",B27=B$38,OR(I$11="Low",I$11="High")),
INDEX(OpenLCAbasic!$J:$J,MATCH(CONCATENATE(I$10,"_","Base","_","Legacy_",$I$4,"_",B27,"_",I$13,"_n.a."),OpenLCAbasic!$M:$M,0)),
IF(AND(I$9="Legacy",ISERROR(MATCH(B27,LookUps!$H$5:$H$20,0))),"--",
IF(I$9="Legacy",SUMIFS(OpenLCAbasic!$J:$J,OpenLCAbasic!$E:$E,"Base",OpenLCAbasic!$D:$D,"Base",OpenLCAbasic!$F:$F,I$9,OpenLCAbasic!$L:$L,$I$4,OpenLCAbasic!$I:$I,B27,OpenLCAbasic!$C:$C,I$13),
IF(AND(I$9="Upgraded", OR(I$11="Low", I$11="High"), OR(B27=B$37, B27=B$36)),
INDEX(OpenLCAbasic!$J:$J, MATCH(CONCATENATE(I$11, "_", I$10, "_", "Upgraded_",$I$4,"_",B27, "_", I$12, "_", I$14), OpenLCAbasic!$M:$M,0)),
IF(AND(ISERROR(MATCH(B27, LookUps!$G$5:$G$21,0)), I$9="Upgraded"),
SUMIFS(OpenLCAbasic!$J:$J,OpenLCAbasic!$E:$E, I$11, OpenLCAbasic!$D:$D, I$10, OpenLCAbasic!$F:$F,I$9,OpenLCAbasic!$L:$L,$I$4,OpenLCAbasic!$I:$I,INDEX(LookUps!$G$5:$G$21,MATCH(B27, LookUps!$J$5:$J$21,0)), OpenLCAbasic!$B:$B, I$14, OpenLCAbasic!$C:$C, I$12),
SUMIFS(OpenLCAbasic!$J:$J,OpenLCAbasic!$E:$E, I$11, OpenLCAbasic!$D:$D, I$10, OpenLCAbasic!$F:$F,I$9,OpenLCAbasic!$L:$L,$I$4,OpenLCAbasic!$I:$I,B27, OpenLCAbasic!$B:$B, I$14, OpenLCAbasic!$C:$C, I$12)
)))))</f>
        <v>--</v>
      </c>
      <c r="J27" s="301">
        <f>IF(AND(J$9="Legacy",C27=C$38,OR(J$11="Low",J$11="High")),
INDEX(OpenLCAbasic!$J:$J,MATCH(CONCATENATE(J$10,"_","Base","_","Legacy_",$I$4,"_",C27,"_",J$13,"_n.a."),OpenLCAbasic!$M:$M,0)),
IF(AND(J$9="Legacy",ISERROR(MATCH(C27,LookUps!$H$5:$H$20,0))),"--",
IF(J$9="Legacy",SUMIFS(OpenLCAbasic!$J:$J,OpenLCAbasic!$E:$E,"Base",OpenLCAbasic!$D:$D,"Base",OpenLCAbasic!$F:$F,J$9,OpenLCAbasic!$L:$L,$I$4,OpenLCAbasic!$I:$I,C27,OpenLCAbasic!$C:$C,J$13),
IF(AND(J$9="Upgraded", OR(J$11="Low", J$11="High"), OR(C27=C$37, C27=C$36)),
INDEX(OpenLCAbasic!$J:$J, MATCH(CONCATENATE(J$11, "_", J$10, "_", "Upgraded_",$I$4,"_",C27, "_", J$12, "_", J$14), OpenLCAbasic!$M:$M,0)),
IF(AND(ISERROR(MATCH(C27, LookUps!$G$5:$G$21,0)), J$9="Upgraded"),
SUMIFS(OpenLCAbasic!$J:$J,OpenLCAbasic!$E:$E, J$11, OpenLCAbasic!$D:$D, J$10, OpenLCAbasic!$F:$F,J$9,OpenLCAbasic!$L:$L,$I$4,OpenLCAbasic!$I:$I,INDEX(LookUps!$G$5:$G$21,MATCH(C27, LookUps!$J$5:$J$21,0)), OpenLCAbasic!$B:$B, J$14, OpenLCAbasic!$C:$C, J$12),
SUMIFS(OpenLCAbasic!$J:$J,OpenLCAbasic!$E:$E, J$11, OpenLCAbasic!$D:$D, J$10, OpenLCAbasic!$F:$F,J$9,OpenLCAbasic!$L:$L,$I$4,OpenLCAbasic!$I:$I,C27, OpenLCAbasic!$B:$B, J$14, OpenLCAbasic!$C:$C, J$12)
)))))</f>
        <v>0.88417000000000001</v>
      </c>
      <c r="K27" s="301">
        <f>IF(AND(K$9="Legacy",D27=D$38,OR(K$11="Low",K$11="High")),
INDEX(OpenLCAbasic!$J:$J,MATCH(CONCATENATE(K$10,"_","Base","_","Legacy_",$I$4,"_",D27,"_",K$13,"_n.a."),OpenLCAbasic!$M:$M,0)),
IF(AND(K$9="Legacy",ISERROR(MATCH(D27,LookUps!$H$5:$H$20,0))),"--",
IF(K$9="Legacy",SUMIFS(OpenLCAbasic!$J:$J,OpenLCAbasic!$E:$E,"Base",OpenLCAbasic!$D:$D,"Base",OpenLCAbasic!$F:$F,K$9,OpenLCAbasic!$L:$L,$I$4,OpenLCAbasic!$I:$I,D27,OpenLCAbasic!$C:$C,K$13),
IF(AND(K$9="Upgraded", OR(K$11="Low", K$11="High"), OR(D27=D$37, D27=D$36)),
INDEX(OpenLCAbasic!$J:$J, MATCH(CONCATENATE(K$11, "_", K$10, "_", "Upgraded_",$I$4,"_",D27, "_", K$12, "_", K$14), OpenLCAbasic!$M:$M,0)),
IF(AND(ISERROR(MATCH(D27, LookUps!$G$5:$G$21,0)), K$9="Upgraded"),
SUMIFS(OpenLCAbasic!$J:$J,OpenLCAbasic!$E:$E, K$11, OpenLCAbasic!$D:$D, K$10, OpenLCAbasic!$F:$F,K$9,OpenLCAbasic!$L:$L,$I$4,OpenLCAbasic!$I:$I,INDEX(LookUps!$G$5:$G$21,MATCH(D27, LookUps!$J$5:$J$21,0)), OpenLCAbasic!$B:$B, K$14, OpenLCAbasic!$C:$C, K$12),
SUMIFS(OpenLCAbasic!$J:$J,OpenLCAbasic!$E:$E, K$11, OpenLCAbasic!$D:$D, K$10, OpenLCAbasic!$F:$F,K$9,OpenLCAbasic!$L:$L,$I$4,OpenLCAbasic!$I:$I,D27, OpenLCAbasic!$B:$B, K$14, OpenLCAbasic!$C:$C, K$12)
)))))</f>
        <v>0.88417000000000001</v>
      </c>
      <c r="L27" s="301">
        <f>IF(AND(L$9="Legacy",E27=E$38,OR(L$11="Low",L$11="High")),
INDEX(OpenLCAbasic!$J:$J,MATCH(CONCATENATE(L$10,"_","Base","_","Legacy_",$I$4,"_",E27,"_",L$13,"_n.a."),OpenLCAbasic!$M:$M,0)),
IF(AND(L$9="Legacy",ISERROR(MATCH(E27,LookUps!$H$5:$H$20,0))),"--",
IF(L$9="Legacy",SUMIFS(OpenLCAbasic!$J:$J,OpenLCAbasic!$E:$E,"Base",OpenLCAbasic!$D:$D,"Base",OpenLCAbasic!$F:$F,L$9,OpenLCAbasic!$L:$L,$I$4,OpenLCAbasic!$I:$I,E27,OpenLCAbasic!$C:$C,L$13),
IF(AND(L$9="Upgraded", OR(L$11="Low", L$11="High"), OR(E27=E$37, E27=E$36)),
INDEX(OpenLCAbasic!$J:$J, MATCH(CONCATENATE(L$11, "_", L$10, "_", "Upgraded_",$I$4,"_",E27, "_", L$12, "_", L$14), OpenLCAbasic!$M:$M,0)),
IF(AND(ISERROR(MATCH(E27, LookUps!$G$5:$G$21,0)), L$9="Upgraded"),
SUMIFS(OpenLCAbasic!$J:$J,OpenLCAbasic!$E:$E, L$11, OpenLCAbasic!$D:$D, L$10, OpenLCAbasic!$F:$F,L$9,OpenLCAbasic!$L:$L,$I$4,OpenLCAbasic!$I:$I,INDEX(LookUps!$G$5:$G$21,MATCH(E27, LookUps!$J$5:$J$21,0)), OpenLCAbasic!$B:$B, L$14, OpenLCAbasic!$C:$C, L$12),
SUMIFS(OpenLCAbasic!$J:$J,OpenLCAbasic!$E:$E, L$11, OpenLCAbasic!$D:$D, L$10, OpenLCAbasic!$F:$F,L$9,OpenLCAbasic!$L:$L,$I$4,OpenLCAbasic!$I:$I,E27, OpenLCAbasic!$B:$B, L$14, OpenLCAbasic!$C:$C, L$12)
)))))</f>
        <v>0.88417000000000001</v>
      </c>
      <c r="M27" s="301">
        <f>IF(AND(M$9="Legacy",F27=F$38,OR(M$11="Low",M$11="High")),
INDEX(OpenLCAbasic!$J:$J,MATCH(CONCATENATE(M$10,"_","Base","_","Legacy_",$I$4,"_",F27,"_",M$13,"_n.a."),OpenLCAbasic!$M:$M,0)),
IF(AND(M$9="Legacy",ISERROR(MATCH(F27,LookUps!$H$5:$H$20,0))),"--",
IF(M$9="Legacy",SUMIFS(OpenLCAbasic!$J:$J,OpenLCAbasic!$E:$E,"Base",OpenLCAbasic!$D:$D,"Base",OpenLCAbasic!$F:$F,M$9,OpenLCAbasic!$L:$L,$I$4,OpenLCAbasic!$I:$I,F27,OpenLCAbasic!$C:$C,M$13),
IF(AND(M$9="Upgraded", OR(M$11="Low", M$11="High"), OR(F27=F$37, F27=F$36)),
INDEX(OpenLCAbasic!$J:$J, MATCH(CONCATENATE(M$11, "_", M$10, "_", "Upgraded_",$I$4,"_",F27, "_", M$12, "_", M$14), OpenLCAbasic!$M:$M,0)),
IF(AND(ISERROR(MATCH(F27, LookUps!$G$5:$G$21,0)), M$9="Upgraded"),
SUMIFS(OpenLCAbasic!$J:$J,OpenLCAbasic!$E:$E, M$11, OpenLCAbasic!$D:$D, M$10, OpenLCAbasic!$F:$F,M$9,OpenLCAbasic!$L:$L,$I$4,OpenLCAbasic!$I:$I,INDEX(LookUps!$G$5:$G$21,MATCH(F27, LookUps!$J$5:$J$21,0)), OpenLCAbasic!$B:$B, M$14, OpenLCAbasic!$C:$C, M$12),
SUMIFS(OpenLCAbasic!$J:$J,OpenLCAbasic!$E:$E, M$11, OpenLCAbasic!$D:$D, M$10, OpenLCAbasic!$F:$F,M$9,OpenLCAbasic!$L:$L,$I$4,OpenLCAbasic!$I:$I,F27, OpenLCAbasic!$B:$B, M$14, OpenLCAbasic!$C:$C, M$12)
)))))</f>
        <v>0.88705000000000001</v>
      </c>
      <c r="N27" s="301">
        <f>IF(AND(N$9="Legacy",G27=G$38,OR(N$11="Low",N$11="High")),
INDEX(OpenLCAbasic!$J:$J,MATCH(CONCATENATE(N$10,"_","Base","_","Legacy_",$I$4,"_",G27,"_",N$13,"_n.a."),OpenLCAbasic!$M:$M,0)),
IF(AND(N$9="Legacy",ISERROR(MATCH(G27,LookUps!$H$5:$H$20,0))),"--",
IF(N$9="Legacy",SUMIFS(OpenLCAbasic!$J:$J,OpenLCAbasic!$E:$E,"Base",OpenLCAbasic!$D:$D,"Base",OpenLCAbasic!$F:$F,N$9,OpenLCAbasic!$L:$L,$I$4,OpenLCAbasic!$I:$I,G27,OpenLCAbasic!$C:$C,N$13),
IF(AND(N$9="Upgraded", OR(N$11="Low", N$11="High"), OR(G27=G$37, G27=G$36)),
INDEX(OpenLCAbasic!$J:$J, MATCH(CONCATENATE(N$11, "_", N$10, "_", "Upgraded_",$I$4,"_",G27, "_", N$12, "_", N$14), OpenLCAbasic!$M:$M,0)),
IF(AND(ISERROR(MATCH(G27, LookUps!$G$5:$G$21,0)), N$9="Upgraded"),
SUMIFS(OpenLCAbasic!$J:$J,OpenLCAbasic!$E:$E, N$11, OpenLCAbasic!$D:$D, N$10, OpenLCAbasic!$F:$F,N$9,OpenLCAbasic!$L:$L,$I$4,OpenLCAbasic!$I:$I,INDEX(LookUps!$G$5:$G$21,MATCH(G27, LookUps!$J$5:$J$21,0)), OpenLCAbasic!$B:$B, N$14, OpenLCAbasic!$C:$C, N$12),
SUMIFS(OpenLCAbasic!$J:$J,OpenLCAbasic!$E:$E, N$11, OpenLCAbasic!$D:$D, N$10, OpenLCAbasic!$F:$F,N$9,OpenLCAbasic!$L:$L,$I$4,OpenLCAbasic!$I:$I,G27, OpenLCAbasic!$B:$B, N$14, OpenLCAbasic!$C:$C, N$12)
)))))</f>
        <v>0.89063999999999999</v>
      </c>
      <c r="O27" s="302"/>
      <c r="P27" s="274" t="str">
        <f>IF(AND(P$9="Legacy",B27=B$38,OR(P$11="Low",P$11="High")),
INDEX(OpenLCAbasic!$J:$J,MATCH(CONCATENATE(P$10,"_","Base","_","Legacy_",$I$5,"_",B27,"_",P$13,"_n.a."),OpenLCAbasic!$M:$M,0)),
IF(AND(P$9="Legacy",ISERROR(MATCH(B27,LookUps!$H$5:$H$20,0))),"--",
IF(P$9="Legacy",SUMIFS(OpenLCAbasic!$J:$J,OpenLCAbasic!$E:$E,"Base",OpenLCAbasic!$D:$D,"Base",OpenLCAbasic!$F:$F,P$9,OpenLCAbasic!$L:$L,$I$5,OpenLCAbasic!$I:$I,B27,OpenLCAbasic!$C:$C,P$13),
IF(AND(P$9="Upgraded", OR(P$11="Low", P$11="High"), OR(B27=B$37, B27=B$36)),
INDEX(OpenLCAbasic!$J:$J, MATCH(CONCATENATE(P$11, "_", P$10, "_", "Upgraded_",$I$5,"_",B27, "_", P$12, "_", P$14), OpenLCAbasic!$M:$M,0)),
IF(AND(ISERROR(MATCH(B27, LookUps!$G$5:$G$21,0)), P$9="Upgraded"),
SUMIFS(OpenLCAbasic!$J:$J,OpenLCAbasic!$E:$E, P$11, OpenLCAbasic!$D:$D, P$10, OpenLCAbasic!$F:$F,P$9,OpenLCAbasic!$L:$L,$I$5,OpenLCAbasic!$I:$I,INDEX(LookUps!$G$5:$G$21,MATCH(B27, LookUps!$J$5:$J$21,0)), OpenLCAbasic!$B:$B, P$14, OpenLCAbasic!$C:$C, P$12),
SUMIFS(OpenLCAbasic!$J:$J,OpenLCAbasic!$E:$E, P$11, OpenLCAbasic!$D:$D, P$10, OpenLCAbasic!$F:$F,P$9,OpenLCAbasic!$L:$L,$I$5,OpenLCAbasic!$I:$I,B27, OpenLCAbasic!$B:$B, P$14, OpenLCAbasic!$C:$C, P$12)
)))))</f>
        <v>--</v>
      </c>
      <c r="Q27" s="301">
        <f>IF(AND(Q$9="Legacy",C27=C$38,OR(Q$11="Low",Q$11="High")),
INDEX(OpenLCAbasic!$J:$J,MATCH(CONCATENATE(Q$10,"_","Base","_","Legacy_",$I$5,"_",C27,"_",Q$13,"_n.a."),OpenLCAbasic!$M:$M,0)),
IF(AND(Q$9="Legacy",ISERROR(MATCH(C27,LookUps!$H$5:$H$20,0))),"--",
IF(Q$9="Legacy",SUMIFS(OpenLCAbasic!$J:$J,OpenLCAbasic!$E:$E,"Base",OpenLCAbasic!$D:$D,"Base",OpenLCAbasic!$F:$F,Q$9,OpenLCAbasic!$L:$L,$I$5,OpenLCAbasic!$I:$I,C27,OpenLCAbasic!$C:$C,Q$13),
IF(AND(Q$9="Upgraded", OR(Q$11="Low", Q$11="High"), OR(C27=C$37, C27=C$36)),
INDEX(OpenLCAbasic!$J:$J, MATCH(CONCATENATE(Q$11, "_", Q$10, "_", "Upgraded_",$I$5,"_",C27, "_", Q$12, "_", Q$14), OpenLCAbasic!$M:$M,0)),
IF(AND(ISERROR(MATCH(C27, LookUps!$G$5:$G$21,0)), Q$9="Upgraded"),
SUMIFS(OpenLCAbasic!$J:$J,OpenLCAbasic!$E:$E, Q$11, OpenLCAbasic!$D:$D, Q$10, OpenLCAbasic!$F:$F,Q$9,OpenLCAbasic!$L:$L,$I$5,OpenLCAbasic!$I:$I,INDEX(LookUps!$G$5:$G$21,MATCH(C27, LookUps!$J$5:$J$21,0)), OpenLCAbasic!$B:$B, Q$14, OpenLCAbasic!$C:$C, Q$12),
SUMIFS(OpenLCAbasic!$J:$J,OpenLCAbasic!$E:$E, Q$11, OpenLCAbasic!$D:$D, Q$10, OpenLCAbasic!$F:$F,Q$9,OpenLCAbasic!$L:$L,$I$5,OpenLCAbasic!$I:$I,C27, OpenLCAbasic!$B:$B, Q$14, OpenLCAbasic!$C:$C, Q$12)
)))))</f>
        <v>0.24279999999999999</v>
      </c>
      <c r="R27" s="301">
        <f>IF(AND(R$9="Legacy",D27=D$38,OR(R$11="Low",R$11="High")),
INDEX(OpenLCAbasic!$J:$J,MATCH(CONCATENATE(R$10,"_","Base","_","Legacy_",$I$5,"_",D27,"_",R$13,"_n.a."),OpenLCAbasic!$M:$M,0)),
IF(AND(R$9="Legacy",ISERROR(MATCH(D27,LookUps!$H$5:$H$20,0))),"--",
IF(R$9="Legacy",SUMIFS(OpenLCAbasic!$J:$J,OpenLCAbasic!$E:$E,"Base",OpenLCAbasic!$D:$D,"Base",OpenLCAbasic!$F:$F,R$9,OpenLCAbasic!$L:$L,$I$5,OpenLCAbasic!$I:$I,D27,OpenLCAbasic!$C:$C,R$13),
IF(AND(R$9="Upgraded", OR(R$11="Low", R$11="High"), OR(D27=D$37, D27=D$36)),
INDEX(OpenLCAbasic!$J:$J, MATCH(CONCATENATE(R$11, "_", R$10, "_", "Upgraded_",$I$5,"_",D27, "_", R$12, "_", R$14), OpenLCAbasic!$M:$M,0)),
IF(AND(ISERROR(MATCH(D27, LookUps!$G$5:$G$21,0)), R$9="Upgraded"),
SUMIFS(OpenLCAbasic!$J:$J,OpenLCAbasic!$E:$E, R$11, OpenLCAbasic!$D:$D, R$10, OpenLCAbasic!$F:$F,R$9,OpenLCAbasic!$L:$L,$I$5,OpenLCAbasic!$I:$I,INDEX(LookUps!$G$5:$G$21,MATCH(D27, LookUps!$J$5:$J$21,0)), OpenLCAbasic!$B:$B, R$14, OpenLCAbasic!$C:$C, R$12),
SUMIFS(OpenLCAbasic!$J:$J,OpenLCAbasic!$E:$E, R$11, OpenLCAbasic!$D:$D, R$10, OpenLCAbasic!$F:$F,R$9,OpenLCAbasic!$L:$L,$I$5,OpenLCAbasic!$I:$I,D27, OpenLCAbasic!$B:$B, R$14, OpenLCAbasic!$C:$C, R$12)
)))))</f>
        <v>0.24279999999999999</v>
      </c>
      <c r="S27" s="301">
        <f>IF(AND(S$9="Legacy",E27=E$38,OR(S$11="Low",S$11="High")),
INDEX(OpenLCAbasic!$J:$J,MATCH(CONCATENATE(S$10,"_","Base","_","Legacy_",$I$5,"_",E27,"_",S$13,"_n.a."),OpenLCAbasic!$M:$M,0)),
IF(AND(S$9="Legacy",ISERROR(MATCH(E27,LookUps!$H$5:$H$20,0))),"--",
IF(S$9="Legacy",SUMIFS(OpenLCAbasic!$J:$J,OpenLCAbasic!$E:$E,"Base",OpenLCAbasic!$D:$D,"Base",OpenLCAbasic!$F:$F,S$9,OpenLCAbasic!$L:$L,$I$5,OpenLCAbasic!$I:$I,E27,OpenLCAbasic!$C:$C,S$13),
IF(AND(S$9="Upgraded", OR(S$11="Low", S$11="High"), OR(E27=E$37, E27=E$36)),
INDEX(OpenLCAbasic!$J:$J, MATCH(CONCATENATE(S$11, "_", S$10, "_", "Upgraded_",$I$5,"_",E27, "_", S$12, "_", S$14), OpenLCAbasic!$M:$M,0)),
IF(AND(ISERROR(MATCH(E27, LookUps!$G$5:$G$21,0)), S$9="Upgraded"),
SUMIFS(OpenLCAbasic!$J:$J,OpenLCAbasic!$E:$E, S$11, OpenLCAbasic!$D:$D, S$10, OpenLCAbasic!$F:$F,S$9,OpenLCAbasic!$L:$L,$I$5,OpenLCAbasic!$I:$I,INDEX(LookUps!$G$5:$G$21,MATCH(E27, LookUps!$J$5:$J$21,0)), OpenLCAbasic!$B:$B, S$14, OpenLCAbasic!$C:$C, S$12),
SUMIFS(OpenLCAbasic!$J:$J,OpenLCAbasic!$E:$E, S$11, OpenLCAbasic!$D:$D, S$10, OpenLCAbasic!$F:$F,S$9,OpenLCAbasic!$L:$L,$I$5,OpenLCAbasic!$I:$I,E27, OpenLCAbasic!$B:$B, S$14, OpenLCAbasic!$C:$C, S$12)
)))))</f>
        <v>0.24279999999999999</v>
      </c>
      <c r="T27" s="301">
        <f>IF(AND(T$9="Legacy",F27=F$38,OR(T$11="Low",T$11="High")),
INDEX(OpenLCAbasic!$J:$J,MATCH(CONCATENATE(T$10,"_","Base","_","Legacy_",$I$5,"_",F27,"_",T$13,"_n.a."),OpenLCAbasic!$M:$M,0)),
IF(AND(T$9="Legacy",ISERROR(MATCH(F27,LookUps!$H$5:$H$20,0))),"--",
IF(T$9="Legacy",SUMIFS(OpenLCAbasic!$J:$J,OpenLCAbasic!$E:$E,"Base",OpenLCAbasic!$D:$D,"Base",OpenLCAbasic!$F:$F,T$9,OpenLCAbasic!$L:$L,$I$5,OpenLCAbasic!$I:$I,F27,OpenLCAbasic!$C:$C,T$13),
IF(AND(T$9="Upgraded", OR(T$11="Low", T$11="High"), OR(F27=F$37, F27=F$36)),
INDEX(OpenLCAbasic!$J:$J, MATCH(CONCATENATE(T$11, "_", T$10, "_", "Upgraded_",$I$5,"_",F27, "_", T$12, "_", T$14), OpenLCAbasic!$M:$M,0)),
IF(AND(ISERROR(MATCH(F27, LookUps!$G$5:$G$21,0)), T$9="Upgraded"),
SUMIFS(OpenLCAbasic!$J:$J,OpenLCAbasic!$E:$E, T$11, OpenLCAbasic!$D:$D, T$10, OpenLCAbasic!$F:$F,T$9,OpenLCAbasic!$L:$L,$I$5,OpenLCAbasic!$I:$I,INDEX(LookUps!$G$5:$G$21,MATCH(F27, LookUps!$J$5:$J$21,0)), OpenLCAbasic!$B:$B, T$14, OpenLCAbasic!$C:$C, T$12),
SUMIFS(OpenLCAbasic!$J:$J,OpenLCAbasic!$E:$E, T$11, OpenLCAbasic!$D:$D, T$10, OpenLCAbasic!$F:$F,T$9,OpenLCAbasic!$L:$L,$I$5,OpenLCAbasic!$I:$I,F27, OpenLCAbasic!$B:$B, T$14, OpenLCAbasic!$C:$C, T$12)
)))))</f>
        <v>0.24568999999999999</v>
      </c>
      <c r="U27" s="301">
        <f>IF(AND(U$9="Legacy",G27=G$38,OR(U$11="Low",U$11="High")),
INDEX(OpenLCAbasic!$J:$J,MATCH(CONCATENATE(U$10,"_","Base","_","Legacy_",$I$5,"_",G27,"_",U$13,"_n.a."),OpenLCAbasic!$M:$M,0)),
IF(AND(U$9="Legacy",ISERROR(MATCH(G27,LookUps!$H$5:$H$20,0))),"--",
IF(U$9="Legacy",SUMIFS(OpenLCAbasic!$J:$J,OpenLCAbasic!$E:$E,"Base",OpenLCAbasic!$D:$D,"Base",OpenLCAbasic!$F:$F,U$9,OpenLCAbasic!$L:$L,$I$5,OpenLCAbasic!$I:$I,G27,OpenLCAbasic!$C:$C,U$13),
IF(AND(U$9="Upgraded", OR(U$11="Low", U$11="High"), OR(G27=G$37, G27=G$36)),
INDEX(OpenLCAbasic!$J:$J, MATCH(CONCATENATE(U$11, "_", U$10, "_", "Upgraded_",$I$5,"_",G27, "_", U$12, "_", U$14), OpenLCAbasic!$M:$M,0)),
IF(AND(ISERROR(MATCH(G27, LookUps!$G$5:$G$21,0)), U$9="Upgraded"),
SUMIFS(OpenLCAbasic!$J:$J,OpenLCAbasic!$E:$E, U$11, OpenLCAbasic!$D:$D, U$10, OpenLCAbasic!$F:$F,U$9,OpenLCAbasic!$L:$L,$I$5,OpenLCAbasic!$I:$I,INDEX(LookUps!$G$5:$G$21,MATCH(G27, LookUps!$J$5:$J$21,0)), OpenLCAbasic!$B:$B, U$14, OpenLCAbasic!$C:$C, U$12),
SUMIFS(OpenLCAbasic!$J:$J,OpenLCAbasic!$E:$E, U$11, OpenLCAbasic!$D:$D, U$10, OpenLCAbasic!$F:$F,U$9,OpenLCAbasic!$L:$L,$I$5,OpenLCAbasic!$I:$I,G27, OpenLCAbasic!$B:$B, U$14, OpenLCAbasic!$C:$C, U$12)
)))))</f>
        <v>0.24992</v>
      </c>
      <c r="V27" s="302"/>
      <c r="W27" s="274" t="str">
        <f>IF(AND(W$9="Legacy",B27=B$38,OR(W$11="Low",W$11="High")),
INDEX(OpenLCAbasic!$J:$J,MATCH(CONCATENATE(W$10,"_","Base","_","Legacy_",$I$6,"_",B27,"_",W$13,"_n.a."),OpenLCAbasic!$M:$M,0)),
IF(AND(W$9="Legacy",ISERROR(MATCH(B27,LookUps!$H$5:$H$20,0))),"--",
IF(W$9="Legacy",SUMIFS(OpenLCAbasic!$J:$J,OpenLCAbasic!$E:$E,"Base",OpenLCAbasic!$D:$D,"Base",OpenLCAbasic!$F:$F,W$9,OpenLCAbasic!$L:$L,$I$6,OpenLCAbasic!$I:$I,B27,OpenLCAbasic!$C:$C,W$13),
IF(AND(W$9="Upgraded", OR(W$11="Low", W$11="High"), OR(B27=B$37, B27=B$36)),
INDEX(OpenLCAbasic!$J:$J, MATCH(CONCATENATE(W$11, "_", W$10, "_", "Upgraded_",$I$6,"_",B27, "_", W$12, "_", W$14), OpenLCAbasic!$M:$M,0)),
IF(AND(ISERROR(MATCH(B27, LookUps!$G$5:$G$21,0)), W$9="Upgraded"),
SUMIFS(OpenLCAbasic!$J:$J,OpenLCAbasic!$E:$E, W$11, OpenLCAbasic!$D:$D, W$10, OpenLCAbasic!$F:$F,W$9,OpenLCAbasic!$L:$L,$I$6,OpenLCAbasic!$I:$I,INDEX(LookUps!$G$5:$G$21,MATCH(B27, LookUps!$J$5:$J$21,0)), OpenLCAbasic!$B:$B, W$14, OpenLCAbasic!$C:$C, W$12),
SUMIFS(OpenLCAbasic!$J:$J,OpenLCAbasic!$E:$E, W$11, OpenLCAbasic!$D:$D, W$10, OpenLCAbasic!$F:$F,W$9,OpenLCAbasic!$L:$L,$I$6,OpenLCAbasic!$I:$I,B27, OpenLCAbasic!$B:$B, W$14, OpenLCAbasic!$C:$C, W$12)
)))))</f>
        <v>--</v>
      </c>
      <c r="X27" s="303">
        <f>IF(AND(X$9="Legacy",C27=C$38,OR(X$11="Low",X$11="High")),
INDEX(OpenLCAbasic!$J:$J,MATCH(CONCATENATE(X$10,"_","Base","_","Legacy_",$I$6,"_",C27,"_",X$13,"_n.a."),OpenLCAbasic!$M:$M,0)),
IF(AND(X$9="Legacy",ISERROR(MATCH(C27,LookUps!$H$5:$H$20,0))),"--",
IF(X$9="Legacy",SUMIFS(OpenLCAbasic!$J:$J,OpenLCAbasic!$E:$E,"Base",OpenLCAbasic!$D:$D,"Base",OpenLCAbasic!$F:$F,X$9,OpenLCAbasic!$L:$L,$I$6,OpenLCAbasic!$I:$I,C27,OpenLCAbasic!$C:$C,X$13),
IF(AND(X$9="Upgraded", OR(X$11="Low", X$11="High"), OR(C27=C$37, C27=C$36)),
INDEX(OpenLCAbasic!$J:$J, MATCH(CONCATENATE(X$11, "_", X$10, "_", "Upgraded_",$I$6,"_",C27, "_", X$12, "_", X$14), OpenLCAbasic!$M:$M,0)),
IF(AND(ISERROR(MATCH(C27, LookUps!$G$5:$G$21,0)), X$9="Upgraded"),
SUMIFS(OpenLCAbasic!$J:$J,OpenLCAbasic!$E:$E, X$11, OpenLCAbasic!$D:$D, X$10, OpenLCAbasic!$F:$F,X$9,OpenLCAbasic!$L:$L,$I$6,OpenLCAbasic!$I:$I,INDEX(LookUps!$G$5:$G$21,MATCH(C27, LookUps!$J$5:$J$21,0)), OpenLCAbasic!$B:$B, X$14, OpenLCAbasic!$C:$C, X$12),
SUMIFS(OpenLCAbasic!$J:$J,OpenLCAbasic!$E:$E, X$11, OpenLCAbasic!$D:$D, X$10, OpenLCAbasic!$F:$F,X$9,OpenLCAbasic!$L:$L,$I$6,OpenLCAbasic!$I:$I,C27, OpenLCAbasic!$B:$B, X$14, OpenLCAbasic!$C:$C, X$12)
)))))</f>
        <v>1.3999999999999999E-4</v>
      </c>
      <c r="Y27" s="303">
        <f>IF(AND(Y$9="Legacy",D27=D$38,OR(Y$11="Low",Y$11="High")),
INDEX(OpenLCAbasic!$J:$J,MATCH(CONCATENATE(Y$10,"_","Base","_","Legacy_",$I$6,"_",D27,"_",Y$13,"_n.a."),OpenLCAbasic!$M:$M,0)),
IF(AND(Y$9="Legacy",ISERROR(MATCH(D27,LookUps!$H$5:$H$20,0))),"--",
IF(Y$9="Legacy",SUMIFS(OpenLCAbasic!$J:$J,OpenLCAbasic!$E:$E,"Base",OpenLCAbasic!$D:$D,"Base",OpenLCAbasic!$F:$F,Y$9,OpenLCAbasic!$L:$L,$I$6,OpenLCAbasic!$I:$I,D27,OpenLCAbasic!$C:$C,Y$13),
IF(AND(Y$9="Upgraded", OR(Y$11="Low", Y$11="High"), OR(D27=D$37, D27=D$36)),
INDEX(OpenLCAbasic!$J:$J, MATCH(CONCATENATE(Y$11, "_", Y$10, "_", "Upgraded_",$I$6,"_",D27, "_", Y$12, "_", Y$14), OpenLCAbasic!$M:$M,0)),
IF(AND(ISERROR(MATCH(D27, LookUps!$G$5:$G$21,0)), Y$9="Upgraded"),
SUMIFS(OpenLCAbasic!$J:$J,OpenLCAbasic!$E:$E, Y$11, OpenLCAbasic!$D:$D, Y$10, OpenLCAbasic!$F:$F,Y$9,OpenLCAbasic!$L:$L,$I$6,OpenLCAbasic!$I:$I,INDEX(LookUps!$G$5:$G$21,MATCH(D27, LookUps!$J$5:$J$21,0)), OpenLCAbasic!$B:$B, Y$14, OpenLCAbasic!$C:$C, Y$12),
SUMIFS(OpenLCAbasic!$J:$J,OpenLCAbasic!$E:$E, Y$11, OpenLCAbasic!$D:$D, Y$10, OpenLCAbasic!$F:$F,Y$9,OpenLCAbasic!$L:$L,$I$6,OpenLCAbasic!$I:$I,D27, OpenLCAbasic!$B:$B, Y$14, OpenLCAbasic!$C:$C, Y$12)
)))))</f>
        <v>1.3999999999999999E-4</v>
      </c>
      <c r="Z27" s="303">
        <f>IF(AND(Z$9="Legacy",E27=E$38,OR(Z$11="Low",Z$11="High")),
INDEX(OpenLCAbasic!$J:$J,MATCH(CONCATENATE(Z$10,"_","Base","_","Legacy_",$I$6,"_",E27,"_",Z$13,"_n.a."),OpenLCAbasic!$M:$M,0)),
IF(AND(Z$9="Legacy",ISERROR(MATCH(E27,LookUps!$H$5:$H$20,0))),"--",
IF(Z$9="Legacy",SUMIFS(OpenLCAbasic!$J:$J,OpenLCAbasic!$E:$E,"Base",OpenLCAbasic!$D:$D,"Base",OpenLCAbasic!$F:$F,Z$9,OpenLCAbasic!$L:$L,$I$6,OpenLCAbasic!$I:$I,E27,OpenLCAbasic!$C:$C,Z$13),
IF(AND(Z$9="Upgraded", OR(Z$11="Low", Z$11="High"), OR(E27=E$37, E27=E$36)),
INDEX(OpenLCAbasic!$J:$J, MATCH(CONCATENATE(Z$11, "_", Z$10, "_", "Upgraded_",$I$6,"_",E27, "_", Z$12, "_", Z$14), OpenLCAbasic!$M:$M,0)),
IF(AND(ISERROR(MATCH(E27, LookUps!$G$5:$G$21,0)), Z$9="Upgraded"),
SUMIFS(OpenLCAbasic!$J:$J,OpenLCAbasic!$E:$E, Z$11, OpenLCAbasic!$D:$D, Z$10, OpenLCAbasic!$F:$F,Z$9,OpenLCAbasic!$L:$L,$I$6,OpenLCAbasic!$I:$I,INDEX(LookUps!$G$5:$G$21,MATCH(E27, LookUps!$J$5:$J$21,0)), OpenLCAbasic!$B:$B, Z$14, OpenLCAbasic!$C:$C, Z$12),
SUMIFS(OpenLCAbasic!$J:$J,OpenLCAbasic!$E:$E, Z$11, OpenLCAbasic!$D:$D, Z$10, OpenLCAbasic!$F:$F,Z$9,OpenLCAbasic!$L:$L,$I$6,OpenLCAbasic!$I:$I,E27, OpenLCAbasic!$B:$B, Z$14, OpenLCAbasic!$C:$C, Z$12)
)))))</f>
        <v>1.3999999999999999E-4</v>
      </c>
      <c r="AA27" s="303">
        <f>IF(AND(AA$9="Legacy",F27=F$38,OR(AA$11="Low",AA$11="High")),
INDEX(OpenLCAbasic!$J:$J,MATCH(CONCATENATE(AA$10,"_","Base","_","Legacy_",$I$6,"_",F27,"_",AA$13,"_n.a."),OpenLCAbasic!$M:$M,0)),
IF(AND(AA$9="Legacy",ISERROR(MATCH(F27,LookUps!$H$5:$H$20,0))),"--",
IF(AA$9="Legacy",SUMIFS(OpenLCAbasic!$J:$J,OpenLCAbasic!$E:$E,"Base",OpenLCAbasic!$D:$D,"Base",OpenLCAbasic!$F:$F,AA$9,OpenLCAbasic!$L:$L,$I$6,OpenLCAbasic!$I:$I,F27,OpenLCAbasic!$C:$C,AA$13),
IF(AND(AA$9="Upgraded", OR(AA$11="Low", AA$11="High"), OR(F27=F$37, F27=F$36)),
INDEX(OpenLCAbasic!$J:$J, MATCH(CONCATENATE(AA$11, "_", AA$10, "_", "Upgraded_",$I$6,"_",F27, "_", AA$12, "_", AA$14), OpenLCAbasic!$M:$M,0)),
IF(AND(ISERROR(MATCH(F27, LookUps!$G$5:$G$21,0)), AA$9="Upgraded"),
SUMIFS(OpenLCAbasic!$J:$J,OpenLCAbasic!$E:$E, AA$11, OpenLCAbasic!$D:$D, AA$10, OpenLCAbasic!$F:$F,AA$9,OpenLCAbasic!$L:$L,$I$6,OpenLCAbasic!$I:$I,INDEX(LookUps!$G$5:$G$21,MATCH(F27, LookUps!$J$5:$J$21,0)), OpenLCAbasic!$B:$B, AA$14, OpenLCAbasic!$C:$C, AA$12),
SUMIFS(OpenLCAbasic!$J:$J,OpenLCAbasic!$E:$E, AA$11, OpenLCAbasic!$D:$D, AA$10, OpenLCAbasic!$F:$F,AA$9,OpenLCAbasic!$L:$L,$I$6,OpenLCAbasic!$I:$I,F27, OpenLCAbasic!$B:$B, AA$14, OpenLCAbasic!$C:$C, AA$12)
)))))</f>
        <v>1.3999999999999999E-4</v>
      </c>
      <c r="AB27" s="303">
        <f>IF(AND(AB$9="Legacy",G27=G$38,OR(AB$11="Low",AB$11="High")),
INDEX(OpenLCAbasic!$J:$J,MATCH(CONCATENATE(AB$10,"_","Base","_","Legacy_",$I$6,"_",G27,"_",AB$13,"_n.a."),OpenLCAbasic!$M:$M,0)),
IF(AND(AB$9="Legacy",ISERROR(MATCH(G27,LookUps!$H$5:$H$20,0))),"--",
IF(AB$9="Legacy",SUMIFS(OpenLCAbasic!$J:$J,OpenLCAbasic!$E:$E,"Base",OpenLCAbasic!$D:$D,"Base",OpenLCAbasic!$F:$F,AB$9,OpenLCAbasic!$L:$L,$I$6,OpenLCAbasic!$I:$I,G27,OpenLCAbasic!$C:$C,AB$13),
IF(AND(AB$9="Upgraded", OR(AB$11="Low", AB$11="High"), OR(G27=G$37, G27=G$36)),
INDEX(OpenLCAbasic!$J:$J, MATCH(CONCATENATE(AB$11, "_", AB$10, "_", "Upgraded_",$I$6,"_",G27, "_", AB$12, "_", AB$14), OpenLCAbasic!$M:$M,0)),
IF(AND(ISERROR(MATCH(G27, LookUps!$G$5:$G$21,0)), AB$9="Upgraded"),
SUMIFS(OpenLCAbasic!$J:$J,OpenLCAbasic!$E:$E, AB$11, OpenLCAbasic!$D:$D, AB$10, OpenLCAbasic!$F:$F,AB$9,OpenLCAbasic!$L:$L,$I$6,OpenLCAbasic!$I:$I,INDEX(LookUps!$G$5:$G$21,MATCH(G27, LookUps!$J$5:$J$21,0)), OpenLCAbasic!$B:$B, AB$14, OpenLCAbasic!$C:$C, AB$12),
SUMIFS(OpenLCAbasic!$J:$J,OpenLCAbasic!$E:$E, AB$11, OpenLCAbasic!$D:$D, AB$10, OpenLCAbasic!$F:$F,AB$9,OpenLCAbasic!$L:$L,$I$6,OpenLCAbasic!$I:$I,G27, OpenLCAbasic!$B:$B, AB$14, OpenLCAbasic!$C:$C, AB$12)
)))))</f>
        <v>1.3999999999999999E-4</v>
      </c>
    </row>
    <row r="28" spans="2:28" x14ac:dyDescent="0.25">
      <c r="B28" s="99" t="str">
        <f t="shared" si="15"/>
        <v>Aeration Tanks; wastewater treatment unit - US</v>
      </c>
      <c r="C28" s="99" t="str">
        <f t="shared" si="14"/>
        <v>Aeration Tanks; wastewater treatment unit - US</v>
      </c>
      <c r="D28" s="99" t="str">
        <f t="shared" si="14"/>
        <v>Aeration Tanks; wastewater treatment unit - US</v>
      </c>
      <c r="E28" s="99" t="str">
        <f t="shared" si="14"/>
        <v>Aeration Tanks; wastewater treatment unit - US</v>
      </c>
      <c r="F28" s="99" t="str">
        <f t="shared" si="14"/>
        <v>Aeration Tanks; wastewater treatment unit - US</v>
      </c>
      <c r="G28" s="99" t="str">
        <f t="shared" si="14"/>
        <v>Aeration Tanks; wastewater treatment unit - US</v>
      </c>
      <c r="H28" s="266" t="str">
        <f>LookUps!$J$9</f>
        <v>Aeration Tanks; wastewater treatment unit - US</v>
      </c>
      <c r="I28" s="305">
        <f>IF(AND(I$9="Legacy",B28=B$38,OR(I$11="Low",I$11="High")),
INDEX(OpenLCAbasic!$J:$J,MATCH(CONCATENATE(I$10,"_","Base","_","Legacy_",$I$4,"_",B28,"_",I$13,"_n.a."),OpenLCAbasic!$M:$M,0)),
IF(AND(I$9="Legacy",ISERROR(MATCH(B28,LookUps!$H$5:$H$20,0))),"--",
IF(I$9="Legacy",SUMIFS(OpenLCAbasic!$J:$J,OpenLCAbasic!$E:$E,"Base",OpenLCAbasic!$D:$D,"Base",OpenLCAbasic!$F:$F,I$9,OpenLCAbasic!$L:$L,$I$4,OpenLCAbasic!$I:$I,B28,OpenLCAbasic!$C:$C,I$13),
IF(AND(I$9="Upgraded", OR(I$11="Low", I$11="High"), OR(B28=B$37, B28=B$36)),
INDEX(OpenLCAbasic!$J:$J, MATCH(CONCATENATE(I$11, "_", I$10, "_", "Upgraded_",$I$4,"_",B28, "_", I$12, "_", I$14), OpenLCAbasic!$M:$M,0)),
IF(AND(ISERROR(MATCH(B28, LookUps!$G$5:$G$21,0)), I$9="Upgraded"),
SUMIFS(OpenLCAbasic!$J:$J,OpenLCAbasic!$E:$E, I$11, OpenLCAbasic!$D:$D, I$10, OpenLCAbasic!$F:$F,I$9,OpenLCAbasic!$L:$L,$I$4,OpenLCAbasic!$I:$I,INDEX(LookUps!$G$5:$G$21,MATCH(B28, LookUps!$J$5:$J$21,0)), OpenLCAbasic!$B:$B, I$14, OpenLCAbasic!$C:$C, I$12),
SUMIFS(OpenLCAbasic!$J:$J,OpenLCAbasic!$E:$E, I$11, OpenLCAbasic!$D:$D, I$10, OpenLCAbasic!$F:$F,I$9,OpenLCAbasic!$L:$L,$I$4,OpenLCAbasic!$I:$I,B28, OpenLCAbasic!$B:$B, I$14, OpenLCAbasic!$C:$C, I$12)
)))))</f>
        <v>2.7128199999999998</v>
      </c>
      <c r="J28" s="305">
        <f>IF(AND(J$9="Legacy",C28=C$38,OR(J$11="Low",J$11="High")),
INDEX(OpenLCAbasic!$J:$J,MATCH(CONCATENATE(J$10,"_","Base","_","Legacy_",$I$4,"_",C28,"_",J$13,"_n.a."),OpenLCAbasic!$M:$M,0)),
IF(AND(J$9="Legacy",ISERROR(MATCH(C28,LookUps!$H$5:$H$20,0))),"--",
IF(J$9="Legacy",SUMIFS(OpenLCAbasic!$J:$J,OpenLCAbasic!$E:$E,"Base",OpenLCAbasic!$D:$D,"Base",OpenLCAbasic!$F:$F,J$9,OpenLCAbasic!$L:$L,$I$4,OpenLCAbasic!$I:$I,C28,OpenLCAbasic!$C:$C,J$13),
IF(AND(J$9="Upgraded", OR(J$11="Low", J$11="High"), OR(C28=C$37, C28=C$36)),
INDEX(OpenLCAbasic!$J:$J, MATCH(CONCATENATE(J$11, "_", J$10, "_", "Upgraded_",$I$4,"_",C28, "_", J$12, "_", J$14), OpenLCAbasic!$M:$M,0)),
IF(AND(ISERROR(MATCH(C28, LookUps!$G$5:$G$21,0)), J$9="Upgraded"),
SUMIFS(OpenLCAbasic!$J:$J,OpenLCAbasic!$E:$E, J$11, OpenLCAbasic!$D:$D, J$10, OpenLCAbasic!$F:$F,J$9,OpenLCAbasic!$L:$L,$I$4,OpenLCAbasic!$I:$I,INDEX(LookUps!$G$5:$G$21,MATCH(C28, LookUps!$J$5:$J$21,0)), OpenLCAbasic!$B:$B, J$14, OpenLCAbasic!$C:$C, J$12),
SUMIFS(OpenLCAbasic!$J:$J,OpenLCAbasic!$E:$E, J$11, OpenLCAbasic!$D:$D, J$10, OpenLCAbasic!$F:$F,J$9,OpenLCAbasic!$L:$L,$I$4,OpenLCAbasic!$I:$I,C28, OpenLCAbasic!$B:$B, J$14, OpenLCAbasic!$C:$C, J$12)
)))))</f>
        <v>3.5330499999999998</v>
      </c>
      <c r="K28" s="305">
        <f>IF(AND(K$9="Legacy",D28=D$38,OR(K$11="Low",K$11="High")),
INDEX(OpenLCAbasic!$J:$J,MATCH(CONCATENATE(K$10,"_","Base","_","Legacy_",$I$4,"_",D28,"_",K$13,"_n.a."),OpenLCAbasic!$M:$M,0)),
IF(AND(K$9="Legacy",ISERROR(MATCH(D28,LookUps!$H$5:$H$20,0))),"--",
IF(K$9="Legacy",SUMIFS(OpenLCAbasic!$J:$J,OpenLCAbasic!$E:$E,"Base",OpenLCAbasic!$D:$D,"Base",OpenLCAbasic!$F:$F,K$9,OpenLCAbasic!$L:$L,$I$4,OpenLCAbasic!$I:$I,D28,OpenLCAbasic!$C:$C,K$13),
IF(AND(K$9="Upgraded", OR(K$11="Low", K$11="High"), OR(D28=D$37, D28=D$36)),
INDEX(OpenLCAbasic!$J:$J, MATCH(CONCATENATE(K$11, "_", K$10, "_", "Upgraded_",$I$4,"_",D28, "_", K$12, "_", K$14), OpenLCAbasic!$M:$M,0)),
IF(AND(ISERROR(MATCH(D28, LookUps!$G$5:$G$21,0)), K$9="Upgraded"),
SUMIFS(OpenLCAbasic!$J:$J,OpenLCAbasic!$E:$E, K$11, OpenLCAbasic!$D:$D, K$10, OpenLCAbasic!$F:$F,K$9,OpenLCAbasic!$L:$L,$I$4,OpenLCAbasic!$I:$I,INDEX(LookUps!$G$5:$G$21,MATCH(D28, LookUps!$J$5:$J$21,0)), OpenLCAbasic!$B:$B, K$14, OpenLCAbasic!$C:$C, K$12),
SUMIFS(OpenLCAbasic!$J:$J,OpenLCAbasic!$E:$E, K$11, OpenLCAbasic!$D:$D, K$10, OpenLCAbasic!$F:$F,K$9,OpenLCAbasic!$L:$L,$I$4,OpenLCAbasic!$I:$I,D28, OpenLCAbasic!$B:$B, K$14, OpenLCAbasic!$C:$C, K$12)
)))))</f>
        <v>3.5330499999999998</v>
      </c>
      <c r="L28" s="305">
        <f>IF(AND(L$9="Legacy",E28=E$38,OR(L$11="Low",L$11="High")),
INDEX(OpenLCAbasic!$J:$J,MATCH(CONCATENATE(L$10,"_","Base","_","Legacy_",$I$4,"_",E28,"_",L$13,"_n.a."),OpenLCAbasic!$M:$M,0)),
IF(AND(L$9="Legacy",ISERROR(MATCH(E28,LookUps!$H$5:$H$20,0))),"--",
IF(L$9="Legacy",SUMIFS(OpenLCAbasic!$J:$J,OpenLCAbasic!$E:$E,"Base",OpenLCAbasic!$D:$D,"Base",OpenLCAbasic!$F:$F,L$9,OpenLCAbasic!$L:$L,$I$4,OpenLCAbasic!$I:$I,E28,OpenLCAbasic!$C:$C,L$13),
IF(AND(L$9="Upgraded", OR(L$11="Low", L$11="High"), OR(E28=E$37, E28=E$36)),
INDEX(OpenLCAbasic!$J:$J, MATCH(CONCATENATE(L$11, "_", L$10, "_", "Upgraded_",$I$4,"_",E28, "_", L$12, "_", L$14), OpenLCAbasic!$M:$M,0)),
IF(AND(ISERROR(MATCH(E28, LookUps!$G$5:$G$21,0)), L$9="Upgraded"),
SUMIFS(OpenLCAbasic!$J:$J,OpenLCAbasic!$E:$E, L$11, OpenLCAbasic!$D:$D, L$10, OpenLCAbasic!$F:$F,L$9,OpenLCAbasic!$L:$L,$I$4,OpenLCAbasic!$I:$I,INDEX(LookUps!$G$5:$G$21,MATCH(E28, LookUps!$J$5:$J$21,0)), OpenLCAbasic!$B:$B, L$14, OpenLCAbasic!$C:$C, L$12),
SUMIFS(OpenLCAbasic!$J:$J,OpenLCAbasic!$E:$E, L$11, OpenLCAbasic!$D:$D, L$10, OpenLCAbasic!$F:$F,L$9,OpenLCAbasic!$L:$L,$I$4,OpenLCAbasic!$I:$I,E28, OpenLCAbasic!$B:$B, L$14, OpenLCAbasic!$C:$C, L$12)
)))))</f>
        <v>3.5330499999999998</v>
      </c>
      <c r="M28" s="305">
        <f>IF(AND(M$9="Legacy",F28=F$38,OR(M$11="Low",M$11="High")),
INDEX(OpenLCAbasic!$J:$J,MATCH(CONCATENATE(M$10,"_","Base","_","Legacy_",$I$4,"_",F28,"_",M$13,"_n.a."),OpenLCAbasic!$M:$M,0)),
IF(AND(M$9="Legacy",ISERROR(MATCH(F28,LookUps!$H$5:$H$20,0))),"--",
IF(M$9="Legacy",SUMIFS(OpenLCAbasic!$J:$J,OpenLCAbasic!$E:$E,"Base",OpenLCAbasic!$D:$D,"Base",OpenLCAbasic!$F:$F,M$9,OpenLCAbasic!$L:$L,$I$4,OpenLCAbasic!$I:$I,F28,OpenLCAbasic!$C:$C,M$13),
IF(AND(M$9="Upgraded", OR(M$11="Low", M$11="High"), OR(F28=F$37, F28=F$36)),
INDEX(OpenLCAbasic!$J:$J, MATCH(CONCATENATE(M$11, "_", M$10, "_", "Upgraded_",$I$4,"_",F28, "_", M$12, "_", M$14), OpenLCAbasic!$M:$M,0)),
IF(AND(ISERROR(MATCH(F28, LookUps!$G$5:$G$21,0)), M$9="Upgraded"),
SUMIFS(OpenLCAbasic!$J:$J,OpenLCAbasic!$E:$E, M$11, OpenLCAbasic!$D:$D, M$10, OpenLCAbasic!$F:$F,M$9,OpenLCAbasic!$L:$L,$I$4,OpenLCAbasic!$I:$I,INDEX(LookUps!$G$5:$G$21,MATCH(F28, LookUps!$J$5:$J$21,0)), OpenLCAbasic!$B:$B, M$14, OpenLCAbasic!$C:$C, M$12),
SUMIFS(OpenLCAbasic!$J:$J,OpenLCAbasic!$E:$E, M$11, OpenLCAbasic!$D:$D, M$10, OpenLCAbasic!$F:$F,M$9,OpenLCAbasic!$L:$L,$I$4,OpenLCAbasic!$I:$I,F28, OpenLCAbasic!$B:$B, M$14, OpenLCAbasic!$C:$C, M$12)
)))))</f>
        <v>3.5330499999999998</v>
      </c>
      <c r="N28" s="305">
        <f>IF(AND(N$9="Legacy",G28=G$38,OR(N$11="Low",N$11="High")),
INDEX(OpenLCAbasic!$J:$J,MATCH(CONCATENATE(N$10,"_","Base","_","Legacy_",$I$4,"_",G28,"_",N$13,"_n.a."),OpenLCAbasic!$M:$M,0)),
IF(AND(N$9="Legacy",ISERROR(MATCH(G28,LookUps!$H$5:$H$20,0))),"--",
IF(N$9="Legacy",SUMIFS(OpenLCAbasic!$J:$J,OpenLCAbasic!$E:$E,"Base",OpenLCAbasic!$D:$D,"Base",OpenLCAbasic!$F:$F,N$9,OpenLCAbasic!$L:$L,$I$4,OpenLCAbasic!$I:$I,G28,OpenLCAbasic!$C:$C,N$13),
IF(AND(N$9="Upgraded", OR(N$11="Low", N$11="High"), OR(G28=G$37, G28=G$36)),
INDEX(OpenLCAbasic!$J:$J, MATCH(CONCATENATE(N$11, "_", N$10, "_", "Upgraded_",$I$4,"_",G28, "_", N$12, "_", N$14), OpenLCAbasic!$M:$M,0)),
IF(AND(ISERROR(MATCH(G28, LookUps!$G$5:$G$21,0)), N$9="Upgraded"),
SUMIFS(OpenLCAbasic!$J:$J,OpenLCAbasic!$E:$E, N$11, OpenLCAbasic!$D:$D, N$10, OpenLCAbasic!$F:$F,N$9,OpenLCAbasic!$L:$L,$I$4,OpenLCAbasic!$I:$I,INDEX(LookUps!$G$5:$G$21,MATCH(G28, LookUps!$J$5:$J$21,0)), OpenLCAbasic!$B:$B, N$14, OpenLCAbasic!$C:$C, N$12),
SUMIFS(OpenLCAbasic!$J:$J,OpenLCAbasic!$E:$E, N$11, OpenLCAbasic!$D:$D, N$10, OpenLCAbasic!$F:$F,N$9,OpenLCAbasic!$L:$L,$I$4,OpenLCAbasic!$I:$I,G28, OpenLCAbasic!$B:$B, N$14, OpenLCAbasic!$C:$C, N$12)
)))))</f>
        <v>3.5330499999999998</v>
      </c>
      <c r="O28" s="302"/>
      <c r="P28" s="301">
        <f>IF(AND(P$9="Legacy",B28=B$38,OR(P$11="Low",P$11="High")),
INDEX(OpenLCAbasic!$J:$J,MATCH(CONCATENATE(P$10,"_","Base","_","Legacy_",$I$5,"_",B28,"_",P$13,"_n.a."),OpenLCAbasic!$M:$M,0)),
IF(AND(P$9="Legacy",ISERROR(MATCH(B28,LookUps!$H$5:$H$20,0))),"--",
IF(P$9="Legacy",SUMIFS(OpenLCAbasic!$J:$J,OpenLCAbasic!$E:$E,"Base",OpenLCAbasic!$D:$D,"Base",OpenLCAbasic!$F:$F,P$9,OpenLCAbasic!$L:$L,$I$5,OpenLCAbasic!$I:$I,B28,OpenLCAbasic!$C:$C,P$13),
IF(AND(P$9="Upgraded", OR(P$11="Low", P$11="High"), OR(B28=B$37, B28=B$36)),
INDEX(OpenLCAbasic!$J:$J, MATCH(CONCATENATE(P$11, "_", P$10, "_", "Upgraded_",$I$5,"_",B28, "_", P$12, "_", P$14), OpenLCAbasic!$M:$M,0)),
IF(AND(ISERROR(MATCH(B28, LookUps!$G$5:$G$21,0)), P$9="Upgraded"),
SUMIFS(OpenLCAbasic!$J:$J,OpenLCAbasic!$E:$E, P$11, OpenLCAbasic!$D:$D, P$10, OpenLCAbasic!$F:$F,P$9,OpenLCAbasic!$L:$L,$I$5,OpenLCAbasic!$I:$I,INDEX(LookUps!$G$5:$G$21,MATCH(B28, LookUps!$J$5:$J$21,0)), OpenLCAbasic!$B:$B, P$14, OpenLCAbasic!$C:$C, P$12),
SUMIFS(OpenLCAbasic!$J:$J,OpenLCAbasic!$E:$E, P$11, OpenLCAbasic!$D:$D, P$10, OpenLCAbasic!$F:$F,P$9,OpenLCAbasic!$L:$L,$I$5,OpenLCAbasic!$I:$I,B28, OpenLCAbasic!$B:$B, P$14, OpenLCAbasic!$C:$C, P$12)
)))))</f>
        <v>0.15987000000000001</v>
      </c>
      <c r="Q28" s="301">
        <f>IF(AND(Q$9="Legacy",C28=C$38,OR(Q$11="Low",Q$11="High")),
INDEX(OpenLCAbasic!$J:$J,MATCH(CONCATENATE(Q$10,"_","Base","_","Legacy_",$I$5,"_",C28,"_",Q$13,"_n.a."),OpenLCAbasic!$M:$M,0)),
IF(AND(Q$9="Legacy",ISERROR(MATCH(C28,LookUps!$H$5:$H$20,0))),"--",
IF(Q$9="Legacy",SUMIFS(OpenLCAbasic!$J:$J,OpenLCAbasic!$E:$E,"Base",OpenLCAbasic!$D:$D,"Base",OpenLCAbasic!$F:$F,Q$9,OpenLCAbasic!$L:$L,$I$5,OpenLCAbasic!$I:$I,C28,OpenLCAbasic!$C:$C,Q$13),
IF(AND(Q$9="Upgraded", OR(Q$11="Low", Q$11="High"), OR(C28=C$37, C28=C$36)),
INDEX(OpenLCAbasic!$J:$J, MATCH(CONCATENATE(Q$11, "_", Q$10, "_", "Upgraded_",$I$5,"_",C28, "_", Q$12, "_", Q$14), OpenLCAbasic!$M:$M,0)),
IF(AND(ISERROR(MATCH(C28, LookUps!$G$5:$G$21,0)), Q$9="Upgraded"),
SUMIFS(OpenLCAbasic!$J:$J,OpenLCAbasic!$E:$E, Q$11, OpenLCAbasic!$D:$D, Q$10, OpenLCAbasic!$F:$F,Q$9,OpenLCAbasic!$L:$L,$I$5,OpenLCAbasic!$I:$I,INDEX(LookUps!$G$5:$G$21,MATCH(C28, LookUps!$J$5:$J$21,0)), OpenLCAbasic!$B:$B, Q$14, OpenLCAbasic!$C:$C, Q$12),
SUMIFS(OpenLCAbasic!$J:$J,OpenLCAbasic!$E:$E, Q$11, OpenLCAbasic!$D:$D, Q$10, OpenLCAbasic!$F:$F,Q$9,OpenLCAbasic!$L:$L,$I$5,OpenLCAbasic!$I:$I,C28, OpenLCAbasic!$B:$B, Q$14, OpenLCAbasic!$C:$C, Q$12)
)))))</f>
        <v>0.16822000000000001</v>
      </c>
      <c r="R28" s="301">
        <f>IF(AND(R$9="Legacy",D28=D$38,OR(R$11="Low",R$11="High")),
INDEX(OpenLCAbasic!$J:$J,MATCH(CONCATENATE(R$10,"_","Base","_","Legacy_",$I$5,"_",D28,"_",R$13,"_n.a."),OpenLCAbasic!$M:$M,0)),
IF(AND(R$9="Legacy",ISERROR(MATCH(D28,LookUps!$H$5:$H$20,0))),"--",
IF(R$9="Legacy",SUMIFS(OpenLCAbasic!$J:$J,OpenLCAbasic!$E:$E,"Base",OpenLCAbasic!$D:$D,"Base",OpenLCAbasic!$F:$F,R$9,OpenLCAbasic!$L:$L,$I$5,OpenLCAbasic!$I:$I,D28,OpenLCAbasic!$C:$C,R$13),
IF(AND(R$9="Upgraded", OR(R$11="Low", R$11="High"), OR(D28=D$37, D28=D$36)),
INDEX(OpenLCAbasic!$J:$J, MATCH(CONCATENATE(R$11, "_", R$10, "_", "Upgraded_",$I$5,"_",D28, "_", R$12, "_", R$14), OpenLCAbasic!$M:$M,0)),
IF(AND(ISERROR(MATCH(D28, LookUps!$G$5:$G$21,0)), R$9="Upgraded"),
SUMIFS(OpenLCAbasic!$J:$J,OpenLCAbasic!$E:$E, R$11, OpenLCAbasic!$D:$D, R$10, OpenLCAbasic!$F:$F,R$9,OpenLCAbasic!$L:$L,$I$5,OpenLCAbasic!$I:$I,INDEX(LookUps!$G$5:$G$21,MATCH(D28, LookUps!$J$5:$J$21,0)), OpenLCAbasic!$B:$B, R$14, OpenLCAbasic!$C:$C, R$12),
SUMIFS(OpenLCAbasic!$J:$J,OpenLCAbasic!$E:$E, R$11, OpenLCAbasic!$D:$D, R$10, OpenLCAbasic!$F:$F,R$9,OpenLCAbasic!$L:$L,$I$5,OpenLCAbasic!$I:$I,D28, OpenLCAbasic!$B:$B, R$14, OpenLCAbasic!$C:$C, R$12)
)))))</f>
        <v>0.16822000000000001</v>
      </c>
      <c r="S28" s="301">
        <f>IF(AND(S$9="Legacy",E28=E$38,OR(S$11="Low",S$11="High")),
INDEX(OpenLCAbasic!$J:$J,MATCH(CONCATENATE(S$10,"_","Base","_","Legacy_",$I$5,"_",E28,"_",S$13,"_n.a."),OpenLCAbasic!$M:$M,0)),
IF(AND(S$9="Legacy",ISERROR(MATCH(E28,LookUps!$H$5:$H$20,0))),"--",
IF(S$9="Legacy",SUMIFS(OpenLCAbasic!$J:$J,OpenLCAbasic!$E:$E,"Base",OpenLCAbasic!$D:$D,"Base",OpenLCAbasic!$F:$F,S$9,OpenLCAbasic!$L:$L,$I$5,OpenLCAbasic!$I:$I,E28,OpenLCAbasic!$C:$C,S$13),
IF(AND(S$9="Upgraded", OR(S$11="Low", S$11="High"), OR(E28=E$37, E28=E$36)),
INDEX(OpenLCAbasic!$J:$J, MATCH(CONCATENATE(S$11, "_", S$10, "_", "Upgraded_",$I$5,"_",E28, "_", S$12, "_", S$14), OpenLCAbasic!$M:$M,0)),
IF(AND(ISERROR(MATCH(E28, LookUps!$G$5:$G$21,0)), S$9="Upgraded"),
SUMIFS(OpenLCAbasic!$J:$J,OpenLCAbasic!$E:$E, S$11, OpenLCAbasic!$D:$D, S$10, OpenLCAbasic!$F:$F,S$9,OpenLCAbasic!$L:$L,$I$5,OpenLCAbasic!$I:$I,INDEX(LookUps!$G$5:$G$21,MATCH(E28, LookUps!$J$5:$J$21,0)), OpenLCAbasic!$B:$B, S$14, OpenLCAbasic!$C:$C, S$12),
SUMIFS(OpenLCAbasic!$J:$J,OpenLCAbasic!$E:$E, S$11, OpenLCAbasic!$D:$D, S$10, OpenLCAbasic!$F:$F,S$9,OpenLCAbasic!$L:$L,$I$5,OpenLCAbasic!$I:$I,E28, OpenLCAbasic!$B:$B, S$14, OpenLCAbasic!$C:$C, S$12)
)))))</f>
        <v>0.16822000000000001</v>
      </c>
      <c r="T28" s="301">
        <f>IF(AND(T$9="Legacy",F28=F$38,OR(T$11="Low",T$11="High")),
INDEX(OpenLCAbasic!$J:$J,MATCH(CONCATENATE(T$10,"_","Base","_","Legacy_",$I$5,"_",F28,"_",T$13,"_n.a."),OpenLCAbasic!$M:$M,0)),
IF(AND(T$9="Legacy",ISERROR(MATCH(F28,LookUps!$H$5:$H$20,0))),"--",
IF(T$9="Legacy",SUMIFS(OpenLCAbasic!$J:$J,OpenLCAbasic!$E:$E,"Base",OpenLCAbasic!$D:$D,"Base",OpenLCAbasic!$F:$F,T$9,OpenLCAbasic!$L:$L,$I$5,OpenLCAbasic!$I:$I,F28,OpenLCAbasic!$C:$C,T$13),
IF(AND(T$9="Upgraded", OR(T$11="Low", T$11="High"), OR(F28=F$37, F28=F$36)),
INDEX(OpenLCAbasic!$J:$J, MATCH(CONCATENATE(T$11, "_", T$10, "_", "Upgraded_",$I$5,"_",F28, "_", T$12, "_", T$14), OpenLCAbasic!$M:$M,0)),
IF(AND(ISERROR(MATCH(F28, LookUps!$G$5:$G$21,0)), T$9="Upgraded"),
SUMIFS(OpenLCAbasic!$J:$J,OpenLCAbasic!$E:$E, T$11, OpenLCAbasic!$D:$D, T$10, OpenLCAbasic!$F:$F,T$9,OpenLCAbasic!$L:$L,$I$5,OpenLCAbasic!$I:$I,INDEX(LookUps!$G$5:$G$21,MATCH(F28, LookUps!$J$5:$J$21,0)), OpenLCAbasic!$B:$B, T$14, OpenLCAbasic!$C:$C, T$12),
SUMIFS(OpenLCAbasic!$J:$J,OpenLCAbasic!$E:$E, T$11, OpenLCAbasic!$D:$D, T$10, OpenLCAbasic!$F:$F,T$9,OpenLCAbasic!$L:$L,$I$5,OpenLCAbasic!$I:$I,F28, OpenLCAbasic!$B:$B, T$14, OpenLCAbasic!$C:$C, T$12)
)))))</f>
        <v>0.16822000000000001</v>
      </c>
      <c r="U28" s="301">
        <f>IF(AND(U$9="Legacy",G28=G$38,OR(U$11="Low",U$11="High")),
INDEX(OpenLCAbasic!$J:$J,MATCH(CONCATENATE(U$10,"_","Base","_","Legacy_",$I$5,"_",G28,"_",U$13,"_n.a."),OpenLCAbasic!$M:$M,0)),
IF(AND(U$9="Legacy",ISERROR(MATCH(G28,LookUps!$H$5:$H$20,0))),"--",
IF(U$9="Legacy",SUMIFS(OpenLCAbasic!$J:$J,OpenLCAbasic!$E:$E,"Base",OpenLCAbasic!$D:$D,"Base",OpenLCAbasic!$F:$F,U$9,OpenLCAbasic!$L:$L,$I$5,OpenLCAbasic!$I:$I,G28,OpenLCAbasic!$C:$C,U$13),
IF(AND(U$9="Upgraded", OR(U$11="Low", U$11="High"), OR(G28=G$37, G28=G$36)),
INDEX(OpenLCAbasic!$J:$J, MATCH(CONCATENATE(U$11, "_", U$10, "_", "Upgraded_",$I$5,"_",G28, "_", U$12, "_", U$14), OpenLCAbasic!$M:$M,0)),
IF(AND(ISERROR(MATCH(G28, LookUps!$G$5:$G$21,0)), U$9="Upgraded"),
SUMIFS(OpenLCAbasic!$J:$J,OpenLCAbasic!$E:$E, U$11, OpenLCAbasic!$D:$D, U$10, OpenLCAbasic!$F:$F,U$9,OpenLCAbasic!$L:$L,$I$5,OpenLCAbasic!$I:$I,INDEX(LookUps!$G$5:$G$21,MATCH(G28, LookUps!$J$5:$J$21,0)), OpenLCAbasic!$B:$B, U$14, OpenLCAbasic!$C:$C, U$12),
SUMIFS(OpenLCAbasic!$J:$J,OpenLCAbasic!$E:$E, U$11, OpenLCAbasic!$D:$D, U$10, OpenLCAbasic!$F:$F,U$9,OpenLCAbasic!$L:$L,$I$5,OpenLCAbasic!$I:$I,G28, OpenLCAbasic!$B:$B, U$14, OpenLCAbasic!$C:$C, U$12)
)))))</f>
        <v>0.16822000000000001</v>
      </c>
      <c r="V28" s="302"/>
      <c r="W28" s="303">
        <f>IF(AND(W$9="Legacy",B28=B$38,OR(W$11="Low",W$11="High")),
INDEX(OpenLCAbasic!$J:$J,MATCH(CONCATENATE(W$10,"_","Base","_","Legacy_",$I$6,"_",B28,"_",W$13,"_n.a."),OpenLCAbasic!$M:$M,0)),
IF(AND(W$9="Legacy",ISERROR(MATCH(B28,LookUps!$H$5:$H$20,0))),"--",
IF(W$9="Legacy",SUMIFS(OpenLCAbasic!$J:$J,OpenLCAbasic!$E:$E,"Base",OpenLCAbasic!$D:$D,"Base",OpenLCAbasic!$F:$F,W$9,OpenLCAbasic!$L:$L,$I$6,OpenLCAbasic!$I:$I,B28,OpenLCAbasic!$C:$C,W$13),
IF(AND(W$9="Upgraded", OR(W$11="Low", W$11="High"), OR(B28=B$37, B28=B$36)),
INDEX(OpenLCAbasic!$J:$J, MATCH(CONCATENATE(W$11, "_", W$10, "_", "Upgraded_",$I$6,"_",B28, "_", W$12, "_", W$14), OpenLCAbasic!$M:$M,0)),
IF(AND(ISERROR(MATCH(B28, LookUps!$G$5:$G$21,0)), W$9="Upgraded"),
SUMIFS(OpenLCAbasic!$J:$J,OpenLCAbasic!$E:$E, W$11, OpenLCAbasic!$D:$D, W$10, OpenLCAbasic!$F:$F,W$9,OpenLCAbasic!$L:$L,$I$6,OpenLCAbasic!$I:$I,INDEX(LookUps!$G$5:$G$21,MATCH(B28, LookUps!$J$5:$J$21,0)), OpenLCAbasic!$B:$B, W$14, OpenLCAbasic!$C:$C, W$12),
SUMIFS(OpenLCAbasic!$J:$J,OpenLCAbasic!$E:$E, W$11, OpenLCAbasic!$D:$D, W$10, OpenLCAbasic!$F:$F,W$9,OpenLCAbasic!$L:$L,$I$6,OpenLCAbasic!$I:$I,B28, OpenLCAbasic!$B:$B, W$14, OpenLCAbasic!$C:$C, W$12)
)))))</f>
        <v>4.2000000000000002E-4</v>
      </c>
      <c r="X28" s="303">
        <f>IF(AND(X$9="Legacy",C28=C$38,OR(X$11="Low",X$11="High")),
INDEX(OpenLCAbasic!$J:$J,MATCH(CONCATENATE(X$10,"_","Base","_","Legacy_",$I$6,"_",C28,"_",X$13,"_n.a."),OpenLCAbasic!$M:$M,0)),
IF(AND(X$9="Legacy",ISERROR(MATCH(C28,LookUps!$H$5:$H$20,0))),"--",
IF(X$9="Legacy",SUMIFS(OpenLCAbasic!$J:$J,OpenLCAbasic!$E:$E,"Base",OpenLCAbasic!$D:$D,"Base",OpenLCAbasic!$F:$F,X$9,OpenLCAbasic!$L:$L,$I$6,OpenLCAbasic!$I:$I,C28,OpenLCAbasic!$C:$C,X$13),
IF(AND(X$9="Upgraded", OR(X$11="Low", X$11="High"), OR(C28=C$37, C28=C$36)),
INDEX(OpenLCAbasic!$J:$J, MATCH(CONCATENATE(X$11, "_", X$10, "_", "Upgraded_",$I$6,"_",C28, "_", X$12, "_", X$14), OpenLCAbasic!$M:$M,0)),
IF(AND(ISERROR(MATCH(C28, LookUps!$G$5:$G$21,0)), X$9="Upgraded"),
SUMIFS(OpenLCAbasic!$J:$J,OpenLCAbasic!$E:$E, X$11, OpenLCAbasic!$D:$D, X$10, OpenLCAbasic!$F:$F,X$9,OpenLCAbasic!$L:$L,$I$6,OpenLCAbasic!$I:$I,INDEX(LookUps!$G$5:$G$21,MATCH(C28, LookUps!$J$5:$J$21,0)), OpenLCAbasic!$B:$B, X$14, OpenLCAbasic!$C:$C, X$12),
SUMIFS(OpenLCAbasic!$J:$J,OpenLCAbasic!$E:$E, X$11, OpenLCAbasic!$D:$D, X$10, OpenLCAbasic!$F:$F,X$9,OpenLCAbasic!$L:$L,$I$6,OpenLCAbasic!$I:$I,C28, OpenLCAbasic!$B:$B, X$14, OpenLCAbasic!$C:$C, X$12)
)))))</f>
        <v>5.5000000000000003E-4</v>
      </c>
      <c r="Y28" s="303">
        <f>IF(AND(Y$9="Legacy",D28=D$38,OR(Y$11="Low",Y$11="High")),
INDEX(OpenLCAbasic!$J:$J,MATCH(CONCATENATE(Y$10,"_","Base","_","Legacy_",$I$6,"_",D28,"_",Y$13,"_n.a."),OpenLCAbasic!$M:$M,0)),
IF(AND(Y$9="Legacy",ISERROR(MATCH(D28,LookUps!$H$5:$H$20,0))),"--",
IF(Y$9="Legacy",SUMIFS(OpenLCAbasic!$J:$J,OpenLCAbasic!$E:$E,"Base",OpenLCAbasic!$D:$D,"Base",OpenLCAbasic!$F:$F,Y$9,OpenLCAbasic!$L:$L,$I$6,OpenLCAbasic!$I:$I,D28,OpenLCAbasic!$C:$C,Y$13),
IF(AND(Y$9="Upgraded", OR(Y$11="Low", Y$11="High"), OR(D28=D$37, D28=D$36)),
INDEX(OpenLCAbasic!$J:$J, MATCH(CONCATENATE(Y$11, "_", Y$10, "_", "Upgraded_",$I$6,"_",D28, "_", Y$12, "_", Y$14), OpenLCAbasic!$M:$M,0)),
IF(AND(ISERROR(MATCH(D28, LookUps!$G$5:$G$21,0)), Y$9="Upgraded"),
SUMIFS(OpenLCAbasic!$J:$J,OpenLCAbasic!$E:$E, Y$11, OpenLCAbasic!$D:$D, Y$10, OpenLCAbasic!$F:$F,Y$9,OpenLCAbasic!$L:$L,$I$6,OpenLCAbasic!$I:$I,INDEX(LookUps!$G$5:$G$21,MATCH(D28, LookUps!$J$5:$J$21,0)), OpenLCAbasic!$B:$B, Y$14, OpenLCAbasic!$C:$C, Y$12),
SUMIFS(OpenLCAbasic!$J:$J,OpenLCAbasic!$E:$E, Y$11, OpenLCAbasic!$D:$D, Y$10, OpenLCAbasic!$F:$F,Y$9,OpenLCAbasic!$L:$L,$I$6,OpenLCAbasic!$I:$I,D28, OpenLCAbasic!$B:$B, Y$14, OpenLCAbasic!$C:$C, Y$12)
)))))</f>
        <v>5.5000000000000003E-4</v>
      </c>
      <c r="Z28" s="303">
        <f>IF(AND(Z$9="Legacy",E28=E$38,OR(Z$11="Low",Z$11="High")),
INDEX(OpenLCAbasic!$J:$J,MATCH(CONCATENATE(Z$10,"_","Base","_","Legacy_",$I$6,"_",E28,"_",Z$13,"_n.a."),OpenLCAbasic!$M:$M,0)),
IF(AND(Z$9="Legacy",ISERROR(MATCH(E28,LookUps!$H$5:$H$20,0))),"--",
IF(Z$9="Legacy",SUMIFS(OpenLCAbasic!$J:$J,OpenLCAbasic!$E:$E,"Base",OpenLCAbasic!$D:$D,"Base",OpenLCAbasic!$F:$F,Z$9,OpenLCAbasic!$L:$L,$I$6,OpenLCAbasic!$I:$I,E28,OpenLCAbasic!$C:$C,Z$13),
IF(AND(Z$9="Upgraded", OR(Z$11="Low", Z$11="High"), OR(E28=E$37, E28=E$36)),
INDEX(OpenLCAbasic!$J:$J, MATCH(CONCATENATE(Z$11, "_", Z$10, "_", "Upgraded_",$I$6,"_",E28, "_", Z$12, "_", Z$14), OpenLCAbasic!$M:$M,0)),
IF(AND(ISERROR(MATCH(E28, LookUps!$G$5:$G$21,0)), Z$9="Upgraded"),
SUMIFS(OpenLCAbasic!$J:$J,OpenLCAbasic!$E:$E, Z$11, OpenLCAbasic!$D:$D, Z$10, OpenLCAbasic!$F:$F,Z$9,OpenLCAbasic!$L:$L,$I$6,OpenLCAbasic!$I:$I,INDEX(LookUps!$G$5:$G$21,MATCH(E28, LookUps!$J$5:$J$21,0)), OpenLCAbasic!$B:$B, Z$14, OpenLCAbasic!$C:$C, Z$12),
SUMIFS(OpenLCAbasic!$J:$J,OpenLCAbasic!$E:$E, Z$11, OpenLCAbasic!$D:$D, Z$10, OpenLCAbasic!$F:$F,Z$9,OpenLCAbasic!$L:$L,$I$6,OpenLCAbasic!$I:$I,E28, OpenLCAbasic!$B:$B, Z$14, OpenLCAbasic!$C:$C, Z$12)
)))))</f>
        <v>5.5000000000000003E-4</v>
      </c>
      <c r="AA28" s="303">
        <f>IF(AND(AA$9="Legacy",F28=F$38,OR(AA$11="Low",AA$11="High")),
INDEX(OpenLCAbasic!$J:$J,MATCH(CONCATENATE(AA$10,"_","Base","_","Legacy_",$I$6,"_",F28,"_",AA$13,"_n.a."),OpenLCAbasic!$M:$M,0)),
IF(AND(AA$9="Legacy",ISERROR(MATCH(F28,LookUps!$H$5:$H$20,0))),"--",
IF(AA$9="Legacy",SUMIFS(OpenLCAbasic!$J:$J,OpenLCAbasic!$E:$E,"Base",OpenLCAbasic!$D:$D,"Base",OpenLCAbasic!$F:$F,AA$9,OpenLCAbasic!$L:$L,$I$6,OpenLCAbasic!$I:$I,F28,OpenLCAbasic!$C:$C,AA$13),
IF(AND(AA$9="Upgraded", OR(AA$11="Low", AA$11="High"), OR(F28=F$37, F28=F$36)),
INDEX(OpenLCAbasic!$J:$J, MATCH(CONCATENATE(AA$11, "_", AA$10, "_", "Upgraded_",$I$6,"_",F28, "_", AA$12, "_", AA$14), OpenLCAbasic!$M:$M,0)),
IF(AND(ISERROR(MATCH(F28, LookUps!$G$5:$G$21,0)), AA$9="Upgraded"),
SUMIFS(OpenLCAbasic!$J:$J,OpenLCAbasic!$E:$E, AA$11, OpenLCAbasic!$D:$D, AA$10, OpenLCAbasic!$F:$F,AA$9,OpenLCAbasic!$L:$L,$I$6,OpenLCAbasic!$I:$I,INDEX(LookUps!$G$5:$G$21,MATCH(F28, LookUps!$J$5:$J$21,0)), OpenLCAbasic!$B:$B, AA$14, OpenLCAbasic!$C:$C, AA$12),
SUMIFS(OpenLCAbasic!$J:$J,OpenLCAbasic!$E:$E, AA$11, OpenLCAbasic!$D:$D, AA$10, OpenLCAbasic!$F:$F,AA$9,OpenLCAbasic!$L:$L,$I$6,OpenLCAbasic!$I:$I,F28, OpenLCAbasic!$B:$B, AA$14, OpenLCAbasic!$C:$C, AA$12)
)))))</f>
        <v>5.5000000000000003E-4</v>
      </c>
      <c r="AB28" s="303">
        <f>IF(AND(AB$9="Legacy",G28=G$38,OR(AB$11="Low",AB$11="High")),
INDEX(OpenLCAbasic!$J:$J,MATCH(CONCATENATE(AB$10,"_","Base","_","Legacy_",$I$6,"_",G28,"_",AB$13,"_n.a."),OpenLCAbasic!$M:$M,0)),
IF(AND(AB$9="Legacy",ISERROR(MATCH(G28,LookUps!$H$5:$H$20,0))),"--",
IF(AB$9="Legacy",SUMIFS(OpenLCAbasic!$J:$J,OpenLCAbasic!$E:$E,"Base",OpenLCAbasic!$D:$D,"Base",OpenLCAbasic!$F:$F,AB$9,OpenLCAbasic!$L:$L,$I$6,OpenLCAbasic!$I:$I,G28,OpenLCAbasic!$C:$C,AB$13),
IF(AND(AB$9="Upgraded", OR(AB$11="Low", AB$11="High"), OR(G28=G$37, G28=G$36)),
INDEX(OpenLCAbasic!$J:$J, MATCH(CONCATENATE(AB$11, "_", AB$10, "_", "Upgraded_",$I$6,"_",G28, "_", AB$12, "_", AB$14), OpenLCAbasic!$M:$M,0)),
IF(AND(ISERROR(MATCH(G28, LookUps!$G$5:$G$21,0)), AB$9="Upgraded"),
SUMIFS(OpenLCAbasic!$J:$J,OpenLCAbasic!$E:$E, AB$11, OpenLCAbasic!$D:$D, AB$10, OpenLCAbasic!$F:$F,AB$9,OpenLCAbasic!$L:$L,$I$6,OpenLCAbasic!$I:$I,INDEX(LookUps!$G$5:$G$21,MATCH(G28, LookUps!$J$5:$J$21,0)), OpenLCAbasic!$B:$B, AB$14, OpenLCAbasic!$C:$C, AB$12),
SUMIFS(OpenLCAbasic!$J:$J,OpenLCAbasic!$E:$E, AB$11, OpenLCAbasic!$D:$D, AB$10, OpenLCAbasic!$F:$F,AB$9,OpenLCAbasic!$L:$L,$I$6,OpenLCAbasic!$I:$I,G28, OpenLCAbasic!$B:$B, AB$14, OpenLCAbasic!$C:$C, AB$12)
)))))</f>
        <v>5.5000000000000003E-4</v>
      </c>
    </row>
    <row r="29" spans="2:28" x14ac:dyDescent="0.25">
      <c r="B29" s="99" t="str">
        <f t="shared" si="15"/>
        <v>Waste Receiving and Holding; wastewater treatment unit; at updated plant - US</v>
      </c>
      <c r="C29" s="99" t="str">
        <f t="shared" si="14"/>
        <v>Waste Receiving and Holding; wastewater treatment unit; at updated plant - US</v>
      </c>
      <c r="D29" s="99" t="str">
        <f t="shared" si="14"/>
        <v>Waste Receiving and Holding; wastewater treatment unit; at updated plant - US</v>
      </c>
      <c r="E29" s="99" t="str">
        <f t="shared" si="14"/>
        <v>Waste Receiving and Holding; wastewater treatment unit; at updated plant - US</v>
      </c>
      <c r="F29" s="99" t="str">
        <f t="shared" si="14"/>
        <v>Waste Receiving and Holding; wastewater treatment unit; at updated plant - US</v>
      </c>
      <c r="G29" s="99" t="str">
        <f t="shared" si="14"/>
        <v>Waste Receiving and Holding; wastewater treatment unit; at updated plant - US</v>
      </c>
      <c r="H29" s="266" t="str">
        <f>LookUps!$G$12</f>
        <v>Waste Receiving and Holding; wastewater treatment unit; at updated plant - US</v>
      </c>
      <c r="I29" s="274" t="str">
        <f>IF(AND(I$9="Legacy",B29=B$38,OR(I$11="Low",I$11="High")),
INDEX(OpenLCAbasic!$J:$J,MATCH(CONCATENATE(I$10,"_","Base","_","Legacy_",$I$4,"_",B29,"_",I$13,"_n.a."),OpenLCAbasic!$M:$M,0)),
IF(AND(I$9="Legacy",ISERROR(MATCH(B29,LookUps!$H$5:$H$20,0))),"--",
IF(I$9="Legacy",SUMIFS(OpenLCAbasic!$J:$J,OpenLCAbasic!$E:$E,"Base",OpenLCAbasic!$D:$D,"Base",OpenLCAbasic!$F:$F,I$9,OpenLCAbasic!$L:$L,$I$4,OpenLCAbasic!$I:$I,B29,OpenLCAbasic!$C:$C,I$13),
IF(AND(I$9="Upgraded", OR(I$11="Low", I$11="High"), OR(B29=B$37, B29=B$36)),
INDEX(OpenLCAbasic!$J:$J, MATCH(CONCATENATE(I$11, "_", I$10, "_", "Upgraded_",$I$4,"_",B29, "_", I$12, "_", I$14), OpenLCAbasic!$M:$M,0)),
IF(AND(ISERROR(MATCH(B29, LookUps!$G$5:$G$21,0)), I$9="Upgraded"),
SUMIFS(OpenLCAbasic!$J:$J,OpenLCAbasic!$E:$E, I$11, OpenLCAbasic!$D:$D, I$10, OpenLCAbasic!$F:$F,I$9,OpenLCAbasic!$L:$L,$I$4,OpenLCAbasic!$I:$I,INDEX(LookUps!$G$5:$G$21,MATCH(B29, LookUps!$J$5:$J$21,0)), OpenLCAbasic!$B:$B, I$14, OpenLCAbasic!$C:$C, I$12),
SUMIFS(OpenLCAbasic!$J:$J,OpenLCAbasic!$E:$E, I$11, OpenLCAbasic!$D:$D, I$10, OpenLCAbasic!$F:$F,I$9,OpenLCAbasic!$L:$L,$I$4,OpenLCAbasic!$I:$I,B29, OpenLCAbasic!$B:$B, I$14, OpenLCAbasic!$C:$C, I$12)
)))))</f>
        <v>--</v>
      </c>
      <c r="J29" s="305">
        <f>IF(AND(J$9="Legacy",C29=C$38,OR(J$11="Low",J$11="High")),
INDEX(OpenLCAbasic!$J:$J,MATCH(CONCATENATE(J$10,"_","Base","_","Legacy_",$I$4,"_",C29,"_",J$13,"_n.a."),OpenLCAbasic!$M:$M,0)),
IF(AND(J$9="Legacy",ISERROR(MATCH(C29,LookUps!$H$5:$H$20,0))),"--",
IF(J$9="Legacy",SUMIFS(OpenLCAbasic!$J:$J,OpenLCAbasic!$E:$E,"Base",OpenLCAbasic!$D:$D,"Base",OpenLCAbasic!$F:$F,J$9,OpenLCAbasic!$L:$L,$I$4,OpenLCAbasic!$I:$I,C29,OpenLCAbasic!$C:$C,J$13),
IF(AND(J$9="Upgraded", OR(J$11="Low", J$11="High"), OR(C29=C$37, C29=C$36)),
INDEX(OpenLCAbasic!$J:$J, MATCH(CONCATENATE(J$11, "_", J$10, "_", "Upgraded_",$I$4,"_",C29, "_", J$12, "_", J$14), OpenLCAbasic!$M:$M,0)),
IF(AND(ISERROR(MATCH(C29, LookUps!$G$5:$G$21,0)), J$9="Upgraded"),
SUMIFS(OpenLCAbasic!$J:$J,OpenLCAbasic!$E:$E, J$11, OpenLCAbasic!$D:$D, J$10, OpenLCAbasic!$F:$F,J$9,OpenLCAbasic!$L:$L,$I$4,OpenLCAbasic!$I:$I,INDEX(LookUps!$G$5:$G$21,MATCH(C29, LookUps!$J$5:$J$21,0)), OpenLCAbasic!$B:$B, J$14, OpenLCAbasic!$C:$C, J$12),
SUMIFS(OpenLCAbasic!$J:$J,OpenLCAbasic!$E:$E, J$11, OpenLCAbasic!$D:$D, J$10, OpenLCAbasic!$F:$F,J$9,OpenLCAbasic!$L:$L,$I$4,OpenLCAbasic!$I:$I,C29, OpenLCAbasic!$B:$B, J$14, OpenLCAbasic!$C:$C, J$12)
)))))</f>
        <v>3.4982700000000002</v>
      </c>
      <c r="K29" s="305">
        <f>IF(AND(K$9="Legacy",D29=D$38,OR(K$11="Low",K$11="High")),
INDEX(OpenLCAbasic!$J:$J,MATCH(CONCATENATE(K$10,"_","Base","_","Legacy_",$I$4,"_",D29,"_",K$13,"_n.a."),OpenLCAbasic!$M:$M,0)),
IF(AND(K$9="Legacy",ISERROR(MATCH(D29,LookUps!$H$5:$H$20,0))),"--",
IF(K$9="Legacy",SUMIFS(OpenLCAbasic!$J:$J,OpenLCAbasic!$E:$E,"Base",OpenLCAbasic!$D:$D,"Base",OpenLCAbasic!$F:$F,K$9,OpenLCAbasic!$L:$L,$I$4,OpenLCAbasic!$I:$I,D29,OpenLCAbasic!$C:$C,K$13),
IF(AND(K$9="Upgraded", OR(K$11="Low", K$11="High"), OR(D29=D$37, D29=D$36)),
INDEX(OpenLCAbasic!$J:$J, MATCH(CONCATENATE(K$11, "_", K$10, "_", "Upgraded_",$I$4,"_",D29, "_", K$12, "_", K$14), OpenLCAbasic!$M:$M,0)),
IF(AND(ISERROR(MATCH(D29, LookUps!$G$5:$G$21,0)), K$9="Upgraded"),
SUMIFS(OpenLCAbasic!$J:$J,OpenLCAbasic!$E:$E, K$11, OpenLCAbasic!$D:$D, K$10, OpenLCAbasic!$F:$F,K$9,OpenLCAbasic!$L:$L,$I$4,OpenLCAbasic!$I:$I,INDEX(LookUps!$G$5:$G$21,MATCH(D29, LookUps!$J$5:$J$21,0)), OpenLCAbasic!$B:$B, K$14, OpenLCAbasic!$C:$C, K$12),
SUMIFS(OpenLCAbasic!$J:$J,OpenLCAbasic!$E:$E, K$11, OpenLCAbasic!$D:$D, K$10, OpenLCAbasic!$F:$F,K$9,OpenLCAbasic!$L:$L,$I$4,OpenLCAbasic!$I:$I,D29, OpenLCAbasic!$B:$B, K$14, OpenLCAbasic!$C:$C, K$12)
)))))</f>
        <v>3.4982700000000002</v>
      </c>
      <c r="L29" s="305">
        <f>IF(AND(L$9="Legacy",E29=E$38,OR(L$11="Low",L$11="High")),
INDEX(OpenLCAbasic!$J:$J,MATCH(CONCATENATE(L$10,"_","Base","_","Legacy_",$I$4,"_",E29,"_",L$13,"_n.a."),OpenLCAbasic!$M:$M,0)),
IF(AND(L$9="Legacy",ISERROR(MATCH(E29,LookUps!$H$5:$H$20,0))),"--",
IF(L$9="Legacy",SUMIFS(OpenLCAbasic!$J:$J,OpenLCAbasic!$E:$E,"Base",OpenLCAbasic!$D:$D,"Base",OpenLCAbasic!$F:$F,L$9,OpenLCAbasic!$L:$L,$I$4,OpenLCAbasic!$I:$I,E29,OpenLCAbasic!$C:$C,L$13),
IF(AND(L$9="Upgraded", OR(L$11="Low", L$11="High"), OR(E29=E$37, E29=E$36)),
INDEX(OpenLCAbasic!$J:$J, MATCH(CONCATENATE(L$11, "_", L$10, "_", "Upgraded_",$I$4,"_",E29, "_", L$12, "_", L$14), OpenLCAbasic!$M:$M,0)),
IF(AND(ISERROR(MATCH(E29, LookUps!$G$5:$G$21,0)), L$9="Upgraded"),
SUMIFS(OpenLCAbasic!$J:$J,OpenLCAbasic!$E:$E, L$11, OpenLCAbasic!$D:$D, L$10, OpenLCAbasic!$F:$F,L$9,OpenLCAbasic!$L:$L,$I$4,OpenLCAbasic!$I:$I,INDEX(LookUps!$G$5:$G$21,MATCH(E29, LookUps!$J$5:$J$21,0)), OpenLCAbasic!$B:$B, L$14, OpenLCAbasic!$C:$C, L$12),
SUMIFS(OpenLCAbasic!$J:$J,OpenLCAbasic!$E:$E, L$11, OpenLCAbasic!$D:$D, L$10, OpenLCAbasic!$F:$F,L$9,OpenLCAbasic!$L:$L,$I$4,OpenLCAbasic!$I:$I,E29, OpenLCAbasic!$B:$B, L$14, OpenLCAbasic!$C:$C, L$12)
)))))</f>
        <v>3.4982700000000002</v>
      </c>
      <c r="M29" s="305">
        <f>IF(AND(M$9="Legacy",F29=F$38,OR(M$11="Low",M$11="High")),
INDEX(OpenLCAbasic!$J:$J,MATCH(CONCATENATE(M$10,"_","Base","_","Legacy_",$I$4,"_",F29,"_",M$13,"_n.a."),OpenLCAbasic!$M:$M,0)),
IF(AND(M$9="Legacy",ISERROR(MATCH(F29,LookUps!$H$5:$H$20,0))),"--",
IF(M$9="Legacy",SUMIFS(OpenLCAbasic!$J:$J,OpenLCAbasic!$E:$E,"Base",OpenLCAbasic!$D:$D,"Base",OpenLCAbasic!$F:$F,M$9,OpenLCAbasic!$L:$L,$I$4,OpenLCAbasic!$I:$I,F29,OpenLCAbasic!$C:$C,M$13),
IF(AND(M$9="Upgraded", OR(M$11="Low", M$11="High"), OR(F29=F$37, F29=F$36)),
INDEX(OpenLCAbasic!$J:$J, MATCH(CONCATENATE(M$11, "_", M$10, "_", "Upgraded_",$I$4,"_",F29, "_", M$12, "_", M$14), OpenLCAbasic!$M:$M,0)),
IF(AND(ISERROR(MATCH(F29, LookUps!$G$5:$G$21,0)), M$9="Upgraded"),
SUMIFS(OpenLCAbasic!$J:$J,OpenLCAbasic!$E:$E, M$11, OpenLCAbasic!$D:$D, M$10, OpenLCAbasic!$F:$F,M$9,OpenLCAbasic!$L:$L,$I$4,OpenLCAbasic!$I:$I,INDEX(LookUps!$G$5:$G$21,MATCH(F29, LookUps!$J$5:$J$21,0)), OpenLCAbasic!$B:$B, M$14, OpenLCAbasic!$C:$C, M$12),
SUMIFS(OpenLCAbasic!$J:$J,OpenLCAbasic!$E:$E, M$11, OpenLCAbasic!$D:$D, M$10, OpenLCAbasic!$F:$F,M$9,OpenLCAbasic!$L:$L,$I$4,OpenLCAbasic!$I:$I,F29, OpenLCAbasic!$B:$B, M$14, OpenLCAbasic!$C:$C, M$12)
)))))</f>
        <v>4.2789599999999997</v>
      </c>
      <c r="N29" s="305">
        <f>IF(AND(N$9="Legacy",G29=G$38,OR(N$11="Low",N$11="High")),
INDEX(OpenLCAbasic!$J:$J,MATCH(CONCATENATE(N$10,"_","Base","_","Legacy_",$I$4,"_",G29,"_",N$13,"_n.a."),OpenLCAbasic!$M:$M,0)),
IF(AND(N$9="Legacy",ISERROR(MATCH(G29,LookUps!$H$5:$H$20,0))),"--",
IF(N$9="Legacy",SUMIFS(OpenLCAbasic!$J:$J,OpenLCAbasic!$E:$E,"Base",OpenLCAbasic!$D:$D,"Base",OpenLCAbasic!$F:$F,N$9,OpenLCAbasic!$L:$L,$I$4,OpenLCAbasic!$I:$I,G29,OpenLCAbasic!$C:$C,N$13),
IF(AND(N$9="Upgraded", OR(N$11="Low", N$11="High"), OR(G29=G$37, G29=G$36)),
INDEX(OpenLCAbasic!$J:$J, MATCH(CONCATENATE(N$11, "_", N$10, "_", "Upgraded_",$I$4,"_",G29, "_", N$12, "_", N$14), OpenLCAbasic!$M:$M,0)),
IF(AND(ISERROR(MATCH(G29, LookUps!$G$5:$G$21,0)), N$9="Upgraded"),
SUMIFS(OpenLCAbasic!$J:$J,OpenLCAbasic!$E:$E, N$11, OpenLCAbasic!$D:$D, N$10, OpenLCAbasic!$F:$F,N$9,OpenLCAbasic!$L:$L,$I$4,OpenLCAbasic!$I:$I,INDEX(LookUps!$G$5:$G$21,MATCH(G29, LookUps!$J$5:$J$21,0)), OpenLCAbasic!$B:$B, N$14, OpenLCAbasic!$C:$C, N$12),
SUMIFS(OpenLCAbasic!$J:$J,OpenLCAbasic!$E:$E, N$11, OpenLCAbasic!$D:$D, N$10, OpenLCAbasic!$F:$F,N$9,OpenLCAbasic!$L:$L,$I$4,OpenLCAbasic!$I:$I,G29, OpenLCAbasic!$B:$B, N$14, OpenLCAbasic!$C:$C, N$12)
)))))</f>
        <v>5.1393399999999998</v>
      </c>
      <c r="O29" s="302"/>
      <c r="P29" s="274" t="str">
        <f>IF(AND(P$9="Legacy",B29=B$38,OR(P$11="Low",P$11="High")),
INDEX(OpenLCAbasic!$J:$J,MATCH(CONCATENATE(P$10,"_","Base","_","Legacy_",$I$5,"_",B29,"_",P$13,"_n.a."),OpenLCAbasic!$M:$M,0)),
IF(AND(P$9="Legacy",ISERROR(MATCH(B29,LookUps!$H$5:$H$20,0))),"--",
IF(P$9="Legacy",SUMIFS(OpenLCAbasic!$J:$J,OpenLCAbasic!$E:$E,"Base",OpenLCAbasic!$D:$D,"Base",OpenLCAbasic!$F:$F,P$9,OpenLCAbasic!$L:$L,$I$5,OpenLCAbasic!$I:$I,B29,OpenLCAbasic!$C:$C,P$13),
IF(AND(P$9="Upgraded", OR(P$11="Low", P$11="High"), OR(B29=B$37, B29=B$36)),
INDEX(OpenLCAbasic!$J:$J, MATCH(CONCATENATE(P$11, "_", P$10, "_", "Upgraded_",$I$5,"_",B29, "_", P$12, "_", P$14), OpenLCAbasic!$M:$M,0)),
IF(AND(ISERROR(MATCH(B29, LookUps!$G$5:$G$21,0)), P$9="Upgraded"),
SUMIFS(OpenLCAbasic!$J:$J,OpenLCAbasic!$E:$E, P$11, OpenLCAbasic!$D:$D, P$10, OpenLCAbasic!$F:$F,P$9,OpenLCAbasic!$L:$L,$I$5,OpenLCAbasic!$I:$I,INDEX(LookUps!$G$5:$G$21,MATCH(B29, LookUps!$J$5:$J$21,0)), OpenLCAbasic!$B:$B, P$14, OpenLCAbasic!$C:$C, P$12),
SUMIFS(OpenLCAbasic!$J:$J,OpenLCAbasic!$E:$E, P$11, OpenLCAbasic!$D:$D, P$10, OpenLCAbasic!$F:$F,P$9,OpenLCAbasic!$L:$L,$I$5,OpenLCAbasic!$I:$I,B29, OpenLCAbasic!$B:$B, P$14, OpenLCAbasic!$C:$C, P$12)
)))))</f>
        <v>--</v>
      </c>
      <c r="Q29" s="301">
        <f>IF(AND(Q$9="Legacy",C29=C$38,OR(Q$11="Low",Q$11="High")),
INDEX(OpenLCAbasic!$J:$J,MATCH(CONCATENATE(Q$10,"_","Base","_","Legacy_",$I$5,"_",C29,"_",Q$13,"_n.a."),OpenLCAbasic!$M:$M,0)),
IF(AND(Q$9="Legacy",ISERROR(MATCH(C29,LookUps!$H$5:$H$20,0))),"--",
IF(Q$9="Legacy",SUMIFS(OpenLCAbasic!$J:$J,OpenLCAbasic!$E:$E,"Base",OpenLCAbasic!$D:$D,"Base",OpenLCAbasic!$F:$F,Q$9,OpenLCAbasic!$L:$L,$I$5,OpenLCAbasic!$I:$I,C29,OpenLCAbasic!$C:$C,Q$13),
IF(AND(Q$9="Upgraded", OR(Q$11="Low", Q$11="High"), OR(C29=C$37, C29=C$36)),
INDEX(OpenLCAbasic!$J:$J, MATCH(CONCATENATE(Q$11, "_", Q$10, "_", "Upgraded_",$I$5,"_",C29, "_", Q$12, "_", Q$14), OpenLCAbasic!$M:$M,0)),
IF(AND(ISERROR(MATCH(C29, LookUps!$G$5:$G$21,0)), Q$9="Upgraded"),
SUMIFS(OpenLCAbasic!$J:$J,OpenLCAbasic!$E:$E, Q$11, OpenLCAbasic!$D:$D, Q$10, OpenLCAbasic!$F:$F,Q$9,OpenLCAbasic!$L:$L,$I$5,OpenLCAbasic!$I:$I,INDEX(LookUps!$G$5:$G$21,MATCH(C29, LookUps!$J$5:$J$21,0)), OpenLCAbasic!$B:$B, Q$14, OpenLCAbasic!$C:$C, Q$12),
SUMIFS(OpenLCAbasic!$J:$J,OpenLCAbasic!$E:$E, Q$11, OpenLCAbasic!$D:$D, Q$10, OpenLCAbasic!$F:$F,Q$9,OpenLCAbasic!$L:$L,$I$5,OpenLCAbasic!$I:$I,C29, OpenLCAbasic!$B:$B, Q$14, OpenLCAbasic!$C:$C, Q$12)
)))))</f>
        <v>0.10241</v>
      </c>
      <c r="R29" s="301">
        <f>IF(AND(R$9="Legacy",D29=D$38,OR(R$11="Low",R$11="High")),
INDEX(OpenLCAbasic!$J:$J,MATCH(CONCATENATE(R$10,"_","Base","_","Legacy_",$I$5,"_",D29,"_",R$13,"_n.a."),OpenLCAbasic!$M:$M,0)),
IF(AND(R$9="Legacy",ISERROR(MATCH(D29,LookUps!$H$5:$H$20,0))),"--",
IF(R$9="Legacy",SUMIFS(OpenLCAbasic!$J:$J,OpenLCAbasic!$E:$E,"Base",OpenLCAbasic!$D:$D,"Base",OpenLCAbasic!$F:$F,R$9,OpenLCAbasic!$L:$L,$I$5,OpenLCAbasic!$I:$I,D29,OpenLCAbasic!$C:$C,R$13),
IF(AND(R$9="Upgraded", OR(R$11="Low", R$11="High"), OR(D29=D$37, D29=D$36)),
INDEX(OpenLCAbasic!$J:$J, MATCH(CONCATENATE(R$11, "_", R$10, "_", "Upgraded_",$I$5,"_",D29, "_", R$12, "_", R$14), OpenLCAbasic!$M:$M,0)),
IF(AND(ISERROR(MATCH(D29, LookUps!$G$5:$G$21,0)), R$9="Upgraded"),
SUMIFS(OpenLCAbasic!$J:$J,OpenLCAbasic!$E:$E, R$11, OpenLCAbasic!$D:$D, R$10, OpenLCAbasic!$F:$F,R$9,OpenLCAbasic!$L:$L,$I$5,OpenLCAbasic!$I:$I,INDEX(LookUps!$G$5:$G$21,MATCH(D29, LookUps!$J$5:$J$21,0)), OpenLCAbasic!$B:$B, R$14, OpenLCAbasic!$C:$C, R$12),
SUMIFS(OpenLCAbasic!$J:$J,OpenLCAbasic!$E:$E, R$11, OpenLCAbasic!$D:$D, R$10, OpenLCAbasic!$F:$F,R$9,OpenLCAbasic!$L:$L,$I$5,OpenLCAbasic!$I:$I,D29, OpenLCAbasic!$B:$B, R$14, OpenLCAbasic!$C:$C, R$12)
)))))</f>
        <v>0.10241</v>
      </c>
      <c r="S29" s="301">
        <f>IF(AND(S$9="Legacy",E29=E$38,OR(S$11="Low",S$11="High")),
INDEX(OpenLCAbasic!$J:$J,MATCH(CONCATENATE(S$10,"_","Base","_","Legacy_",$I$5,"_",E29,"_",S$13,"_n.a."),OpenLCAbasic!$M:$M,0)),
IF(AND(S$9="Legacy",ISERROR(MATCH(E29,LookUps!$H$5:$H$20,0))),"--",
IF(S$9="Legacy",SUMIFS(OpenLCAbasic!$J:$J,OpenLCAbasic!$E:$E,"Base",OpenLCAbasic!$D:$D,"Base",OpenLCAbasic!$F:$F,S$9,OpenLCAbasic!$L:$L,$I$5,OpenLCAbasic!$I:$I,E29,OpenLCAbasic!$C:$C,S$13),
IF(AND(S$9="Upgraded", OR(S$11="Low", S$11="High"), OR(E29=E$37, E29=E$36)),
INDEX(OpenLCAbasic!$J:$J, MATCH(CONCATENATE(S$11, "_", S$10, "_", "Upgraded_",$I$5,"_",E29, "_", S$12, "_", S$14), OpenLCAbasic!$M:$M,0)),
IF(AND(ISERROR(MATCH(E29, LookUps!$G$5:$G$21,0)), S$9="Upgraded"),
SUMIFS(OpenLCAbasic!$J:$J,OpenLCAbasic!$E:$E, S$11, OpenLCAbasic!$D:$D, S$10, OpenLCAbasic!$F:$F,S$9,OpenLCAbasic!$L:$L,$I$5,OpenLCAbasic!$I:$I,INDEX(LookUps!$G$5:$G$21,MATCH(E29, LookUps!$J$5:$J$21,0)), OpenLCAbasic!$B:$B, S$14, OpenLCAbasic!$C:$C, S$12),
SUMIFS(OpenLCAbasic!$J:$J,OpenLCAbasic!$E:$E, S$11, OpenLCAbasic!$D:$D, S$10, OpenLCAbasic!$F:$F,S$9,OpenLCAbasic!$L:$L,$I$5,OpenLCAbasic!$I:$I,E29, OpenLCAbasic!$B:$B, S$14, OpenLCAbasic!$C:$C, S$12)
)))))</f>
        <v>0.10241</v>
      </c>
      <c r="T29" s="301">
        <f>IF(AND(T$9="Legacy",F29=F$38,OR(T$11="Low",T$11="High")),
INDEX(OpenLCAbasic!$J:$J,MATCH(CONCATENATE(T$10,"_","Base","_","Legacy_",$I$5,"_",F29,"_",T$13,"_n.a."),OpenLCAbasic!$M:$M,0)),
IF(AND(T$9="Legacy",ISERROR(MATCH(F29,LookUps!$H$5:$H$20,0))),"--",
IF(T$9="Legacy",SUMIFS(OpenLCAbasic!$J:$J,OpenLCAbasic!$E:$E,"Base",OpenLCAbasic!$D:$D,"Base",OpenLCAbasic!$F:$F,T$9,OpenLCAbasic!$L:$L,$I$5,OpenLCAbasic!$I:$I,F29,OpenLCAbasic!$C:$C,T$13),
IF(AND(T$9="Upgraded", OR(T$11="Low", T$11="High"), OR(F29=F$37, F29=F$36)),
INDEX(OpenLCAbasic!$J:$J, MATCH(CONCATENATE(T$11, "_", T$10, "_", "Upgraded_",$I$5,"_",F29, "_", T$12, "_", T$14), OpenLCAbasic!$M:$M,0)),
IF(AND(ISERROR(MATCH(F29, LookUps!$G$5:$G$21,0)), T$9="Upgraded"),
SUMIFS(OpenLCAbasic!$J:$J,OpenLCAbasic!$E:$E, T$11, OpenLCAbasic!$D:$D, T$10, OpenLCAbasic!$F:$F,T$9,OpenLCAbasic!$L:$L,$I$5,OpenLCAbasic!$I:$I,INDEX(LookUps!$G$5:$G$21,MATCH(F29, LookUps!$J$5:$J$21,0)), OpenLCAbasic!$B:$B, T$14, OpenLCAbasic!$C:$C, T$12),
SUMIFS(OpenLCAbasic!$J:$J,OpenLCAbasic!$E:$E, T$11, OpenLCAbasic!$D:$D, T$10, OpenLCAbasic!$F:$F,T$9,OpenLCAbasic!$L:$L,$I$5,OpenLCAbasic!$I:$I,F29, OpenLCAbasic!$B:$B, T$14, OpenLCAbasic!$C:$C, T$12)
)))))</f>
        <v>0.12354999999999999</v>
      </c>
      <c r="U29" s="301">
        <f>IF(AND(U$9="Legacy",G29=G$38,OR(U$11="Low",U$11="High")),
INDEX(OpenLCAbasic!$J:$J,MATCH(CONCATENATE(U$10,"_","Base","_","Legacy_",$I$5,"_",G29,"_",U$13,"_n.a."),OpenLCAbasic!$M:$M,0)),
IF(AND(U$9="Legacy",ISERROR(MATCH(G29,LookUps!$H$5:$H$20,0))),"--",
IF(U$9="Legacy",SUMIFS(OpenLCAbasic!$J:$J,OpenLCAbasic!$E:$E,"Base",OpenLCAbasic!$D:$D,"Base",OpenLCAbasic!$F:$F,U$9,OpenLCAbasic!$L:$L,$I$5,OpenLCAbasic!$I:$I,G29,OpenLCAbasic!$C:$C,U$13),
IF(AND(U$9="Upgraded", OR(U$11="Low", U$11="High"), OR(G29=G$37, G29=G$36)),
INDEX(OpenLCAbasic!$J:$J, MATCH(CONCATENATE(U$11, "_", U$10, "_", "Upgraded_",$I$5,"_",G29, "_", U$12, "_", U$14), OpenLCAbasic!$M:$M,0)),
IF(AND(ISERROR(MATCH(G29, LookUps!$G$5:$G$21,0)), U$9="Upgraded"),
SUMIFS(OpenLCAbasic!$J:$J,OpenLCAbasic!$E:$E, U$11, OpenLCAbasic!$D:$D, U$10, OpenLCAbasic!$F:$F,U$9,OpenLCAbasic!$L:$L,$I$5,OpenLCAbasic!$I:$I,INDEX(LookUps!$G$5:$G$21,MATCH(G29, LookUps!$J$5:$J$21,0)), OpenLCAbasic!$B:$B, U$14, OpenLCAbasic!$C:$C, U$12),
SUMIFS(OpenLCAbasic!$J:$J,OpenLCAbasic!$E:$E, U$11, OpenLCAbasic!$D:$D, U$10, OpenLCAbasic!$F:$F,U$9,OpenLCAbasic!$L:$L,$I$5,OpenLCAbasic!$I:$I,G29, OpenLCAbasic!$B:$B, U$14, OpenLCAbasic!$C:$C, U$12)
)))))</f>
        <v>0.14685000000000001</v>
      </c>
      <c r="V29" s="302"/>
      <c r="W29" s="274" t="str">
        <f>IF(AND(W$9="Legacy",B29=B$38,OR(W$11="Low",W$11="High")),
INDEX(OpenLCAbasic!$J:$J,MATCH(CONCATENATE(W$10,"_","Base","_","Legacy_",$I$6,"_",B29,"_",W$13,"_n.a."),OpenLCAbasic!$M:$M,0)),
IF(AND(W$9="Legacy",ISERROR(MATCH(B29,LookUps!$H$5:$H$20,0))),"--",
IF(W$9="Legacy",SUMIFS(OpenLCAbasic!$J:$J,OpenLCAbasic!$E:$E,"Base",OpenLCAbasic!$D:$D,"Base",OpenLCAbasic!$F:$F,W$9,OpenLCAbasic!$L:$L,$I$6,OpenLCAbasic!$I:$I,B29,OpenLCAbasic!$C:$C,W$13),
IF(AND(W$9="Upgraded", OR(W$11="Low", W$11="High"), OR(B29=B$37, B29=B$36)),
INDEX(OpenLCAbasic!$J:$J, MATCH(CONCATENATE(W$11, "_", W$10, "_", "Upgraded_",$I$6,"_",B29, "_", W$12, "_", W$14), OpenLCAbasic!$M:$M,0)),
IF(AND(ISERROR(MATCH(B29, LookUps!$G$5:$G$21,0)), W$9="Upgraded"),
SUMIFS(OpenLCAbasic!$J:$J,OpenLCAbasic!$E:$E, W$11, OpenLCAbasic!$D:$D, W$10, OpenLCAbasic!$F:$F,W$9,OpenLCAbasic!$L:$L,$I$6,OpenLCAbasic!$I:$I,INDEX(LookUps!$G$5:$G$21,MATCH(B29, LookUps!$J$5:$J$21,0)), OpenLCAbasic!$B:$B, W$14, OpenLCAbasic!$C:$C, W$12),
SUMIFS(OpenLCAbasic!$J:$J,OpenLCAbasic!$E:$E, W$11, OpenLCAbasic!$D:$D, W$10, OpenLCAbasic!$F:$F,W$9,OpenLCAbasic!$L:$L,$I$6,OpenLCAbasic!$I:$I,B29, OpenLCAbasic!$B:$B, W$14, OpenLCAbasic!$C:$C, W$12)
)))))</f>
        <v>--</v>
      </c>
      <c r="X29" s="303">
        <f>IF(AND(X$9="Legacy",C29=C$38,OR(X$11="Low",X$11="High")),
INDEX(OpenLCAbasic!$J:$J,MATCH(CONCATENATE(X$10,"_","Base","_","Legacy_",$I$6,"_",C29,"_",X$13,"_n.a."),OpenLCAbasic!$M:$M,0)),
IF(AND(X$9="Legacy",ISERROR(MATCH(C29,LookUps!$H$5:$H$20,0))),"--",
IF(X$9="Legacy",SUMIFS(OpenLCAbasic!$J:$J,OpenLCAbasic!$E:$E,"Base",OpenLCAbasic!$D:$D,"Base",OpenLCAbasic!$F:$F,X$9,OpenLCAbasic!$L:$L,$I$6,OpenLCAbasic!$I:$I,C29,OpenLCAbasic!$C:$C,X$13),
IF(AND(X$9="Upgraded", OR(X$11="Low", X$11="High"), OR(C29=C$37, C29=C$36)),
INDEX(OpenLCAbasic!$J:$J, MATCH(CONCATENATE(X$11, "_", X$10, "_", "Upgraded_",$I$6,"_",C29, "_", X$12, "_", X$14), OpenLCAbasic!$M:$M,0)),
IF(AND(ISERROR(MATCH(C29, LookUps!$G$5:$G$21,0)), X$9="Upgraded"),
SUMIFS(OpenLCAbasic!$J:$J,OpenLCAbasic!$E:$E, X$11, OpenLCAbasic!$D:$D, X$10, OpenLCAbasic!$F:$F,X$9,OpenLCAbasic!$L:$L,$I$6,OpenLCAbasic!$I:$I,INDEX(LookUps!$G$5:$G$21,MATCH(C29, LookUps!$J$5:$J$21,0)), OpenLCAbasic!$B:$B, X$14, OpenLCAbasic!$C:$C, X$12),
SUMIFS(OpenLCAbasic!$J:$J,OpenLCAbasic!$E:$E, X$11, OpenLCAbasic!$D:$D, X$10, OpenLCAbasic!$F:$F,X$9,OpenLCAbasic!$L:$L,$I$6,OpenLCAbasic!$I:$I,C29, OpenLCAbasic!$B:$B, X$14, OpenLCAbasic!$C:$C, X$12)
)))))</f>
        <v>1.6000000000000001E-4</v>
      </c>
      <c r="Y29" s="303">
        <f>IF(AND(Y$9="Legacy",D29=D$38,OR(Y$11="Low",Y$11="High")),
INDEX(OpenLCAbasic!$J:$J,MATCH(CONCATENATE(Y$10,"_","Base","_","Legacy_",$I$6,"_",D29,"_",Y$13,"_n.a."),OpenLCAbasic!$M:$M,0)),
IF(AND(Y$9="Legacy",ISERROR(MATCH(D29,LookUps!$H$5:$H$20,0))),"--",
IF(Y$9="Legacy",SUMIFS(OpenLCAbasic!$J:$J,OpenLCAbasic!$E:$E,"Base",OpenLCAbasic!$D:$D,"Base",OpenLCAbasic!$F:$F,Y$9,OpenLCAbasic!$L:$L,$I$6,OpenLCAbasic!$I:$I,D29,OpenLCAbasic!$C:$C,Y$13),
IF(AND(Y$9="Upgraded", OR(Y$11="Low", Y$11="High"), OR(D29=D$37, D29=D$36)),
INDEX(OpenLCAbasic!$J:$J, MATCH(CONCATENATE(Y$11, "_", Y$10, "_", "Upgraded_",$I$6,"_",D29, "_", Y$12, "_", Y$14), OpenLCAbasic!$M:$M,0)),
IF(AND(ISERROR(MATCH(D29, LookUps!$G$5:$G$21,0)), Y$9="Upgraded"),
SUMIFS(OpenLCAbasic!$J:$J,OpenLCAbasic!$E:$E, Y$11, OpenLCAbasic!$D:$D, Y$10, OpenLCAbasic!$F:$F,Y$9,OpenLCAbasic!$L:$L,$I$6,OpenLCAbasic!$I:$I,INDEX(LookUps!$G$5:$G$21,MATCH(D29, LookUps!$J$5:$J$21,0)), OpenLCAbasic!$B:$B, Y$14, OpenLCAbasic!$C:$C, Y$12),
SUMIFS(OpenLCAbasic!$J:$J,OpenLCAbasic!$E:$E, Y$11, OpenLCAbasic!$D:$D, Y$10, OpenLCAbasic!$F:$F,Y$9,OpenLCAbasic!$L:$L,$I$6,OpenLCAbasic!$I:$I,D29, OpenLCAbasic!$B:$B, Y$14, OpenLCAbasic!$C:$C, Y$12)
)))))</f>
        <v>1.6000000000000001E-4</v>
      </c>
      <c r="Z29" s="303">
        <f>IF(AND(Z$9="Legacy",E29=E$38,OR(Z$11="Low",Z$11="High")),
INDEX(OpenLCAbasic!$J:$J,MATCH(CONCATENATE(Z$10,"_","Base","_","Legacy_",$I$6,"_",E29,"_",Z$13,"_n.a."),OpenLCAbasic!$M:$M,0)),
IF(AND(Z$9="Legacy",ISERROR(MATCH(E29,LookUps!$H$5:$H$20,0))),"--",
IF(Z$9="Legacy",SUMIFS(OpenLCAbasic!$J:$J,OpenLCAbasic!$E:$E,"Base",OpenLCAbasic!$D:$D,"Base",OpenLCAbasic!$F:$F,Z$9,OpenLCAbasic!$L:$L,$I$6,OpenLCAbasic!$I:$I,E29,OpenLCAbasic!$C:$C,Z$13),
IF(AND(Z$9="Upgraded", OR(Z$11="Low", Z$11="High"), OR(E29=E$37, E29=E$36)),
INDEX(OpenLCAbasic!$J:$J, MATCH(CONCATENATE(Z$11, "_", Z$10, "_", "Upgraded_",$I$6,"_",E29, "_", Z$12, "_", Z$14), OpenLCAbasic!$M:$M,0)),
IF(AND(ISERROR(MATCH(E29, LookUps!$G$5:$G$21,0)), Z$9="Upgraded"),
SUMIFS(OpenLCAbasic!$J:$J,OpenLCAbasic!$E:$E, Z$11, OpenLCAbasic!$D:$D, Z$10, OpenLCAbasic!$F:$F,Z$9,OpenLCAbasic!$L:$L,$I$6,OpenLCAbasic!$I:$I,INDEX(LookUps!$G$5:$G$21,MATCH(E29, LookUps!$J$5:$J$21,0)), OpenLCAbasic!$B:$B, Z$14, OpenLCAbasic!$C:$C, Z$12),
SUMIFS(OpenLCAbasic!$J:$J,OpenLCAbasic!$E:$E, Z$11, OpenLCAbasic!$D:$D, Z$10, OpenLCAbasic!$F:$F,Z$9,OpenLCAbasic!$L:$L,$I$6,OpenLCAbasic!$I:$I,E29, OpenLCAbasic!$B:$B, Z$14, OpenLCAbasic!$C:$C, Z$12)
)))))</f>
        <v>1.6000000000000001E-4</v>
      </c>
      <c r="AA29" s="303">
        <f>IF(AND(AA$9="Legacy",F29=F$38,OR(AA$11="Low",AA$11="High")),
INDEX(OpenLCAbasic!$J:$J,MATCH(CONCATENATE(AA$10,"_","Base","_","Legacy_",$I$6,"_",F29,"_",AA$13,"_n.a."),OpenLCAbasic!$M:$M,0)),
IF(AND(AA$9="Legacy",ISERROR(MATCH(F29,LookUps!$H$5:$H$20,0))),"--",
IF(AA$9="Legacy",SUMIFS(OpenLCAbasic!$J:$J,OpenLCAbasic!$E:$E,"Base",OpenLCAbasic!$D:$D,"Base",OpenLCAbasic!$F:$F,AA$9,OpenLCAbasic!$L:$L,$I$6,OpenLCAbasic!$I:$I,F29,OpenLCAbasic!$C:$C,AA$13),
IF(AND(AA$9="Upgraded", OR(AA$11="Low", AA$11="High"), OR(F29=F$37, F29=F$36)),
INDEX(OpenLCAbasic!$J:$J, MATCH(CONCATENATE(AA$11, "_", AA$10, "_", "Upgraded_",$I$6,"_",F29, "_", AA$12, "_", AA$14), OpenLCAbasic!$M:$M,0)),
IF(AND(ISERROR(MATCH(F29, LookUps!$G$5:$G$21,0)), AA$9="Upgraded"),
SUMIFS(OpenLCAbasic!$J:$J,OpenLCAbasic!$E:$E, AA$11, OpenLCAbasic!$D:$D, AA$10, OpenLCAbasic!$F:$F,AA$9,OpenLCAbasic!$L:$L,$I$6,OpenLCAbasic!$I:$I,INDEX(LookUps!$G$5:$G$21,MATCH(F29, LookUps!$J$5:$J$21,0)), OpenLCAbasic!$B:$B, AA$14, OpenLCAbasic!$C:$C, AA$12),
SUMIFS(OpenLCAbasic!$J:$J,OpenLCAbasic!$E:$E, AA$11, OpenLCAbasic!$D:$D, AA$10, OpenLCAbasic!$F:$F,AA$9,OpenLCAbasic!$L:$L,$I$6,OpenLCAbasic!$I:$I,F29, OpenLCAbasic!$B:$B, AA$14, OpenLCAbasic!$C:$C, AA$12)
)))))</f>
        <v>1.9000000000000001E-4</v>
      </c>
      <c r="AB29" s="303">
        <f>IF(AND(AB$9="Legacy",G29=G$38,OR(AB$11="Low",AB$11="High")),
INDEX(OpenLCAbasic!$J:$J,MATCH(CONCATENATE(AB$10,"_","Base","_","Legacy_",$I$6,"_",G29,"_",AB$13,"_n.a."),OpenLCAbasic!$M:$M,0)),
IF(AND(AB$9="Legacy",ISERROR(MATCH(G29,LookUps!$H$5:$H$20,0))),"--",
IF(AB$9="Legacy",SUMIFS(OpenLCAbasic!$J:$J,OpenLCAbasic!$E:$E,"Base",OpenLCAbasic!$D:$D,"Base",OpenLCAbasic!$F:$F,AB$9,OpenLCAbasic!$L:$L,$I$6,OpenLCAbasic!$I:$I,G29,OpenLCAbasic!$C:$C,AB$13),
IF(AND(AB$9="Upgraded", OR(AB$11="Low", AB$11="High"), OR(G29=G$37, G29=G$36)),
INDEX(OpenLCAbasic!$J:$J, MATCH(CONCATENATE(AB$11, "_", AB$10, "_", "Upgraded_",$I$6,"_",G29, "_", AB$12, "_", AB$14), OpenLCAbasic!$M:$M,0)),
IF(AND(ISERROR(MATCH(G29, LookUps!$G$5:$G$21,0)), AB$9="Upgraded"),
SUMIFS(OpenLCAbasic!$J:$J,OpenLCAbasic!$E:$E, AB$11, OpenLCAbasic!$D:$D, AB$10, OpenLCAbasic!$F:$F,AB$9,OpenLCAbasic!$L:$L,$I$6,OpenLCAbasic!$I:$I,INDEX(LookUps!$G$5:$G$21,MATCH(G29, LookUps!$J$5:$J$21,0)), OpenLCAbasic!$B:$B, AB$14, OpenLCAbasic!$C:$C, AB$12),
SUMIFS(OpenLCAbasic!$J:$J,OpenLCAbasic!$E:$E, AB$11, OpenLCAbasic!$D:$D, AB$10, OpenLCAbasic!$F:$F,AB$9,OpenLCAbasic!$L:$L,$I$6,OpenLCAbasic!$I:$I,G29, OpenLCAbasic!$B:$B, AB$14, OpenLCAbasic!$C:$C, AB$12)
)))))</f>
        <v>2.2000000000000001E-4</v>
      </c>
    </row>
    <row r="30" spans="2:28" x14ac:dyDescent="0.25">
      <c r="B30" s="99" t="str">
        <f t="shared" si="15"/>
        <v>Gravity Belt Thickener; wastewater treatment unit; at updated plant - US</v>
      </c>
      <c r="C30" s="99" t="str">
        <f t="shared" si="14"/>
        <v>Gravity Belt Thickener; wastewater treatment unit; at updated plant - US</v>
      </c>
      <c r="D30" s="99" t="str">
        <f t="shared" si="14"/>
        <v>Gravity Belt Thickener; wastewater treatment unit; at updated plant - US</v>
      </c>
      <c r="E30" s="99" t="str">
        <f t="shared" si="14"/>
        <v>Gravity Belt Thickener; wastewater treatment unit; at updated plant - US</v>
      </c>
      <c r="F30" s="99" t="str">
        <f t="shared" si="14"/>
        <v>Gravity Belt Thickener; wastewater treatment unit; at updated plant - US</v>
      </c>
      <c r="G30" s="99" t="str">
        <f t="shared" si="14"/>
        <v>Gravity Belt Thickener; wastewater treatment unit; at updated plant - US</v>
      </c>
      <c r="H30" s="266" t="str">
        <f>LookUps!$G$11</f>
        <v>Gravity Belt Thickener; wastewater treatment unit; at updated plant - US</v>
      </c>
      <c r="I30" s="274" t="str">
        <f>IF(AND(I$9="Legacy",B30=B$38,OR(I$11="Low",I$11="High")),
INDEX(OpenLCAbasic!$J:$J,MATCH(CONCATENATE(I$10,"_","Base","_","Legacy_",$I$4,"_",B30,"_",I$13,"_n.a."),OpenLCAbasic!$M:$M,0)),
IF(AND(I$9="Legacy",ISERROR(MATCH(B30,LookUps!$H$5:$H$20,0))),"--",
IF(I$9="Legacy",SUMIFS(OpenLCAbasic!$J:$J,OpenLCAbasic!$E:$E,"Base",OpenLCAbasic!$D:$D,"Base",OpenLCAbasic!$F:$F,I$9,OpenLCAbasic!$L:$L,$I$4,OpenLCAbasic!$I:$I,B30,OpenLCAbasic!$C:$C,I$13),
IF(AND(I$9="Upgraded", OR(I$11="Low", I$11="High"), OR(B30=B$37, B30=B$36)),
INDEX(OpenLCAbasic!$J:$J, MATCH(CONCATENATE(I$11, "_", I$10, "_", "Upgraded_",$I$4,"_",B30, "_", I$12, "_", I$14), OpenLCAbasic!$M:$M,0)),
IF(AND(ISERROR(MATCH(B30, LookUps!$G$5:$G$21,0)), I$9="Upgraded"),
SUMIFS(OpenLCAbasic!$J:$J,OpenLCAbasic!$E:$E, I$11, OpenLCAbasic!$D:$D, I$10, OpenLCAbasic!$F:$F,I$9,OpenLCAbasic!$L:$L,$I$4,OpenLCAbasic!$I:$I,INDEX(LookUps!$G$5:$G$21,MATCH(B30, LookUps!$J$5:$J$21,0)), OpenLCAbasic!$B:$B, I$14, OpenLCAbasic!$C:$C, I$12),
SUMIFS(OpenLCAbasic!$J:$J,OpenLCAbasic!$E:$E, I$11, OpenLCAbasic!$D:$D, I$10, OpenLCAbasic!$F:$F,I$9,OpenLCAbasic!$L:$L,$I$4,OpenLCAbasic!$I:$I,B30, OpenLCAbasic!$B:$B, I$14, OpenLCAbasic!$C:$C, I$12)
)))))</f>
        <v>--</v>
      </c>
      <c r="J30" s="301">
        <f>IF(AND(J$9="Legacy",C30=C$38,OR(J$11="Low",J$11="High")),
INDEX(OpenLCAbasic!$J:$J,MATCH(CONCATENATE(J$10,"_","Base","_","Legacy_",$I$4,"_",C30,"_",J$13,"_n.a."),OpenLCAbasic!$M:$M,0)),
IF(AND(J$9="Legacy",ISERROR(MATCH(C30,LookUps!$H$5:$H$20,0))),"--",
IF(J$9="Legacy",SUMIFS(OpenLCAbasic!$J:$J,OpenLCAbasic!$E:$E,"Base",OpenLCAbasic!$D:$D,"Base",OpenLCAbasic!$F:$F,J$9,OpenLCAbasic!$L:$L,$I$4,OpenLCAbasic!$I:$I,C30,OpenLCAbasic!$C:$C,J$13),
IF(AND(J$9="Upgraded", OR(J$11="Low", J$11="High"), OR(C30=C$37, C30=C$36)),
INDEX(OpenLCAbasic!$J:$J, MATCH(CONCATENATE(J$11, "_", J$10, "_", "Upgraded_",$I$4,"_",C30, "_", J$12, "_", J$14), OpenLCAbasic!$M:$M,0)),
IF(AND(ISERROR(MATCH(C30, LookUps!$G$5:$G$21,0)), J$9="Upgraded"),
SUMIFS(OpenLCAbasic!$J:$J,OpenLCAbasic!$E:$E, J$11, OpenLCAbasic!$D:$D, J$10, OpenLCAbasic!$F:$F,J$9,OpenLCAbasic!$L:$L,$I$4,OpenLCAbasic!$I:$I,INDEX(LookUps!$G$5:$G$21,MATCH(C30, LookUps!$J$5:$J$21,0)), OpenLCAbasic!$B:$B, J$14, OpenLCAbasic!$C:$C, J$12),
SUMIFS(OpenLCAbasic!$J:$J,OpenLCAbasic!$E:$E, J$11, OpenLCAbasic!$D:$D, J$10, OpenLCAbasic!$F:$F,J$9,OpenLCAbasic!$L:$L,$I$4,OpenLCAbasic!$I:$I,C30, OpenLCAbasic!$B:$B, J$14, OpenLCAbasic!$C:$C, J$12)
)))))</f>
        <v>0.33404</v>
      </c>
      <c r="K30" s="301">
        <f>IF(AND(K$9="Legacy",D30=D$38,OR(K$11="Low",K$11="High")),
INDEX(OpenLCAbasic!$J:$J,MATCH(CONCATENATE(K$10,"_","Base","_","Legacy_",$I$4,"_",D30,"_",K$13,"_n.a."),OpenLCAbasic!$M:$M,0)),
IF(AND(K$9="Legacy",ISERROR(MATCH(D30,LookUps!$H$5:$H$20,0))),"--",
IF(K$9="Legacy",SUMIFS(OpenLCAbasic!$J:$J,OpenLCAbasic!$E:$E,"Base",OpenLCAbasic!$D:$D,"Base",OpenLCAbasic!$F:$F,K$9,OpenLCAbasic!$L:$L,$I$4,OpenLCAbasic!$I:$I,D30,OpenLCAbasic!$C:$C,K$13),
IF(AND(K$9="Upgraded", OR(K$11="Low", K$11="High"), OR(D30=D$37, D30=D$36)),
INDEX(OpenLCAbasic!$J:$J, MATCH(CONCATENATE(K$11, "_", K$10, "_", "Upgraded_",$I$4,"_",D30, "_", K$12, "_", K$14), OpenLCAbasic!$M:$M,0)),
IF(AND(ISERROR(MATCH(D30, LookUps!$G$5:$G$21,0)), K$9="Upgraded"),
SUMIFS(OpenLCAbasic!$J:$J,OpenLCAbasic!$E:$E, K$11, OpenLCAbasic!$D:$D, K$10, OpenLCAbasic!$F:$F,K$9,OpenLCAbasic!$L:$L,$I$4,OpenLCAbasic!$I:$I,INDEX(LookUps!$G$5:$G$21,MATCH(D30, LookUps!$J$5:$J$21,0)), OpenLCAbasic!$B:$B, K$14, OpenLCAbasic!$C:$C, K$12),
SUMIFS(OpenLCAbasic!$J:$J,OpenLCAbasic!$E:$E, K$11, OpenLCAbasic!$D:$D, K$10, OpenLCAbasic!$F:$F,K$9,OpenLCAbasic!$L:$L,$I$4,OpenLCAbasic!$I:$I,D30, OpenLCAbasic!$B:$B, K$14, OpenLCAbasic!$C:$C, K$12)
)))))</f>
        <v>0.33404</v>
      </c>
      <c r="L30" s="301">
        <f>IF(AND(L$9="Legacy",E30=E$38,OR(L$11="Low",L$11="High")),
INDEX(OpenLCAbasic!$J:$J,MATCH(CONCATENATE(L$10,"_","Base","_","Legacy_",$I$4,"_",E30,"_",L$13,"_n.a."),OpenLCAbasic!$M:$M,0)),
IF(AND(L$9="Legacy",ISERROR(MATCH(E30,LookUps!$H$5:$H$20,0))),"--",
IF(L$9="Legacy",SUMIFS(OpenLCAbasic!$J:$J,OpenLCAbasic!$E:$E,"Base",OpenLCAbasic!$D:$D,"Base",OpenLCAbasic!$F:$F,L$9,OpenLCAbasic!$L:$L,$I$4,OpenLCAbasic!$I:$I,E30,OpenLCAbasic!$C:$C,L$13),
IF(AND(L$9="Upgraded", OR(L$11="Low", L$11="High"), OR(E30=E$37, E30=E$36)),
INDEX(OpenLCAbasic!$J:$J, MATCH(CONCATENATE(L$11, "_", L$10, "_", "Upgraded_",$I$4,"_",E30, "_", L$12, "_", L$14), OpenLCAbasic!$M:$M,0)),
IF(AND(ISERROR(MATCH(E30, LookUps!$G$5:$G$21,0)), L$9="Upgraded"),
SUMIFS(OpenLCAbasic!$J:$J,OpenLCAbasic!$E:$E, L$11, OpenLCAbasic!$D:$D, L$10, OpenLCAbasic!$F:$F,L$9,OpenLCAbasic!$L:$L,$I$4,OpenLCAbasic!$I:$I,INDEX(LookUps!$G$5:$G$21,MATCH(E30, LookUps!$J$5:$J$21,0)), OpenLCAbasic!$B:$B, L$14, OpenLCAbasic!$C:$C, L$12),
SUMIFS(OpenLCAbasic!$J:$J,OpenLCAbasic!$E:$E, L$11, OpenLCAbasic!$D:$D, L$10, OpenLCAbasic!$F:$F,L$9,OpenLCAbasic!$L:$L,$I$4,OpenLCAbasic!$I:$I,E30, OpenLCAbasic!$B:$B, L$14, OpenLCAbasic!$C:$C, L$12)
)))))</f>
        <v>0.33404</v>
      </c>
      <c r="M30" s="301">
        <f>IF(AND(M$9="Legacy",F30=F$38,OR(M$11="Low",M$11="High")),
INDEX(OpenLCAbasic!$J:$J,MATCH(CONCATENATE(M$10,"_","Base","_","Legacy_",$I$4,"_",F30,"_",M$13,"_n.a."),OpenLCAbasic!$M:$M,0)),
IF(AND(M$9="Legacy",ISERROR(MATCH(F30,LookUps!$H$5:$H$20,0))),"--",
IF(M$9="Legacy",SUMIFS(OpenLCAbasic!$J:$J,OpenLCAbasic!$E:$E,"Base",OpenLCAbasic!$D:$D,"Base",OpenLCAbasic!$F:$F,M$9,OpenLCAbasic!$L:$L,$I$4,OpenLCAbasic!$I:$I,F30,OpenLCAbasic!$C:$C,M$13),
IF(AND(M$9="Upgraded", OR(M$11="Low", M$11="High"), OR(F30=F$37, F30=F$36)),
INDEX(OpenLCAbasic!$J:$J, MATCH(CONCATENATE(M$11, "_", M$10, "_", "Upgraded_",$I$4,"_",F30, "_", M$12, "_", M$14), OpenLCAbasic!$M:$M,0)),
IF(AND(ISERROR(MATCH(F30, LookUps!$G$5:$G$21,0)), M$9="Upgraded"),
SUMIFS(OpenLCAbasic!$J:$J,OpenLCAbasic!$E:$E, M$11, OpenLCAbasic!$D:$D, M$10, OpenLCAbasic!$F:$F,M$9,OpenLCAbasic!$L:$L,$I$4,OpenLCAbasic!$I:$I,INDEX(LookUps!$G$5:$G$21,MATCH(F30, LookUps!$J$5:$J$21,0)), OpenLCAbasic!$B:$B, M$14, OpenLCAbasic!$C:$C, M$12),
SUMIFS(OpenLCAbasic!$J:$J,OpenLCAbasic!$E:$E, M$11, OpenLCAbasic!$D:$D, M$10, OpenLCAbasic!$F:$F,M$9,OpenLCAbasic!$L:$L,$I$4,OpenLCAbasic!$I:$I,F30, OpenLCAbasic!$B:$B, M$14, OpenLCAbasic!$C:$C, M$12)
)))))</f>
        <v>0.33404</v>
      </c>
      <c r="N30" s="301">
        <f>IF(AND(N$9="Legacy",G30=G$38,OR(N$11="Low",N$11="High")),
INDEX(OpenLCAbasic!$J:$J,MATCH(CONCATENATE(N$10,"_","Base","_","Legacy_",$I$4,"_",G30,"_",N$13,"_n.a."),OpenLCAbasic!$M:$M,0)),
IF(AND(N$9="Legacy",ISERROR(MATCH(G30,LookUps!$H$5:$H$20,0))),"--",
IF(N$9="Legacy",SUMIFS(OpenLCAbasic!$J:$J,OpenLCAbasic!$E:$E,"Base",OpenLCAbasic!$D:$D,"Base",OpenLCAbasic!$F:$F,N$9,OpenLCAbasic!$L:$L,$I$4,OpenLCAbasic!$I:$I,G30,OpenLCAbasic!$C:$C,N$13),
IF(AND(N$9="Upgraded", OR(N$11="Low", N$11="High"), OR(G30=G$37, G30=G$36)),
INDEX(OpenLCAbasic!$J:$J, MATCH(CONCATENATE(N$11, "_", N$10, "_", "Upgraded_",$I$4,"_",G30, "_", N$12, "_", N$14), OpenLCAbasic!$M:$M,0)),
IF(AND(ISERROR(MATCH(G30, LookUps!$G$5:$G$21,0)), N$9="Upgraded"),
SUMIFS(OpenLCAbasic!$J:$J,OpenLCAbasic!$E:$E, N$11, OpenLCAbasic!$D:$D, N$10, OpenLCAbasic!$F:$F,N$9,OpenLCAbasic!$L:$L,$I$4,OpenLCAbasic!$I:$I,INDEX(LookUps!$G$5:$G$21,MATCH(G30, LookUps!$J$5:$J$21,0)), OpenLCAbasic!$B:$B, N$14, OpenLCAbasic!$C:$C, N$12),
SUMIFS(OpenLCAbasic!$J:$J,OpenLCAbasic!$E:$E, N$11, OpenLCAbasic!$D:$D, N$10, OpenLCAbasic!$F:$F,N$9,OpenLCAbasic!$L:$L,$I$4,OpenLCAbasic!$I:$I,G30, OpenLCAbasic!$B:$B, N$14, OpenLCAbasic!$C:$C, N$12)
)))))</f>
        <v>0.33404</v>
      </c>
      <c r="O30" s="302"/>
      <c r="P30" s="274" t="str">
        <f>IF(AND(P$9="Legacy",B30=B$38,OR(P$11="Low",P$11="High")),
INDEX(OpenLCAbasic!$J:$J,MATCH(CONCATENATE(P$10,"_","Base","_","Legacy_",$I$5,"_",B30,"_",P$13,"_n.a."),OpenLCAbasic!$M:$M,0)),
IF(AND(P$9="Legacy",ISERROR(MATCH(B30,LookUps!$H$5:$H$20,0))),"--",
IF(P$9="Legacy",SUMIFS(OpenLCAbasic!$J:$J,OpenLCAbasic!$E:$E,"Base",OpenLCAbasic!$D:$D,"Base",OpenLCAbasic!$F:$F,P$9,OpenLCAbasic!$L:$L,$I$5,OpenLCAbasic!$I:$I,B30,OpenLCAbasic!$C:$C,P$13),
IF(AND(P$9="Upgraded", OR(P$11="Low", P$11="High"), OR(B30=B$37, B30=B$36)),
INDEX(OpenLCAbasic!$J:$J, MATCH(CONCATENATE(P$11, "_", P$10, "_", "Upgraded_",$I$5,"_",B30, "_", P$12, "_", P$14), OpenLCAbasic!$M:$M,0)),
IF(AND(ISERROR(MATCH(B30, LookUps!$G$5:$G$21,0)), P$9="Upgraded"),
SUMIFS(OpenLCAbasic!$J:$J,OpenLCAbasic!$E:$E, P$11, OpenLCAbasic!$D:$D, P$10, OpenLCAbasic!$F:$F,P$9,OpenLCAbasic!$L:$L,$I$5,OpenLCAbasic!$I:$I,INDEX(LookUps!$G$5:$G$21,MATCH(B30, LookUps!$J$5:$J$21,0)), OpenLCAbasic!$B:$B, P$14, OpenLCAbasic!$C:$C, P$12),
SUMIFS(OpenLCAbasic!$J:$J,OpenLCAbasic!$E:$E, P$11, OpenLCAbasic!$D:$D, P$10, OpenLCAbasic!$F:$F,P$9,OpenLCAbasic!$L:$L,$I$5,OpenLCAbasic!$I:$I,B30, OpenLCAbasic!$B:$B, P$14, OpenLCAbasic!$C:$C, P$12)
)))))</f>
        <v>--</v>
      </c>
      <c r="Q30" s="301">
        <f>IF(AND(Q$9="Legacy",C30=C$38,OR(Q$11="Low",Q$11="High")),
INDEX(OpenLCAbasic!$J:$J,MATCH(CONCATENATE(Q$10,"_","Base","_","Legacy_",$I$5,"_",C30,"_",Q$13,"_n.a."),OpenLCAbasic!$M:$M,0)),
IF(AND(Q$9="Legacy",ISERROR(MATCH(C30,LookUps!$H$5:$H$20,0))),"--",
IF(Q$9="Legacy",SUMIFS(OpenLCAbasic!$J:$J,OpenLCAbasic!$E:$E,"Base",OpenLCAbasic!$D:$D,"Base",OpenLCAbasic!$F:$F,Q$9,OpenLCAbasic!$L:$L,$I$5,OpenLCAbasic!$I:$I,C30,OpenLCAbasic!$C:$C,Q$13),
IF(AND(Q$9="Upgraded", OR(Q$11="Low", Q$11="High"), OR(C30=C$37, C30=C$36)),
INDEX(OpenLCAbasic!$J:$J, MATCH(CONCATENATE(Q$11, "_", Q$10, "_", "Upgraded_",$I$5,"_",C30, "_", Q$12, "_", Q$14), OpenLCAbasic!$M:$M,0)),
IF(AND(ISERROR(MATCH(C30, LookUps!$G$5:$G$21,0)), Q$9="Upgraded"),
SUMIFS(OpenLCAbasic!$J:$J,OpenLCAbasic!$E:$E, Q$11, OpenLCAbasic!$D:$D, Q$10, OpenLCAbasic!$F:$F,Q$9,OpenLCAbasic!$L:$L,$I$5,OpenLCAbasic!$I:$I,INDEX(LookUps!$G$5:$G$21,MATCH(C30, LookUps!$J$5:$J$21,0)), OpenLCAbasic!$B:$B, Q$14, OpenLCAbasic!$C:$C, Q$12),
SUMIFS(OpenLCAbasic!$J:$J,OpenLCAbasic!$E:$E, Q$11, OpenLCAbasic!$D:$D, Q$10, OpenLCAbasic!$F:$F,Q$9,OpenLCAbasic!$L:$L,$I$5,OpenLCAbasic!$I:$I,C30, OpenLCAbasic!$B:$B, Q$14, OpenLCAbasic!$C:$C, Q$12)
)))))</f>
        <v>1.455E-2</v>
      </c>
      <c r="R30" s="301">
        <f>IF(AND(R$9="Legacy",D30=D$38,OR(R$11="Low",R$11="High")),
INDEX(OpenLCAbasic!$J:$J,MATCH(CONCATENATE(R$10,"_","Base","_","Legacy_",$I$5,"_",D30,"_",R$13,"_n.a."),OpenLCAbasic!$M:$M,0)),
IF(AND(R$9="Legacy",ISERROR(MATCH(D30,LookUps!$H$5:$H$20,0))),"--",
IF(R$9="Legacy",SUMIFS(OpenLCAbasic!$J:$J,OpenLCAbasic!$E:$E,"Base",OpenLCAbasic!$D:$D,"Base",OpenLCAbasic!$F:$F,R$9,OpenLCAbasic!$L:$L,$I$5,OpenLCAbasic!$I:$I,D30,OpenLCAbasic!$C:$C,R$13),
IF(AND(R$9="Upgraded", OR(R$11="Low", R$11="High"), OR(D30=D$37, D30=D$36)),
INDEX(OpenLCAbasic!$J:$J, MATCH(CONCATENATE(R$11, "_", R$10, "_", "Upgraded_",$I$5,"_",D30, "_", R$12, "_", R$14), OpenLCAbasic!$M:$M,0)),
IF(AND(ISERROR(MATCH(D30, LookUps!$G$5:$G$21,0)), R$9="Upgraded"),
SUMIFS(OpenLCAbasic!$J:$J,OpenLCAbasic!$E:$E, R$11, OpenLCAbasic!$D:$D, R$10, OpenLCAbasic!$F:$F,R$9,OpenLCAbasic!$L:$L,$I$5,OpenLCAbasic!$I:$I,INDEX(LookUps!$G$5:$G$21,MATCH(D30, LookUps!$J$5:$J$21,0)), OpenLCAbasic!$B:$B, R$14, OpenLCAbasic!$C:$C, R$12),
SUMIFS(OpenLCAbasic!$J:$J,OpenLCAbasic!$E:$E, R$11, OpenLCAbasic!$D:$D, R$10, OpenLCAbasic!$F:$F,R$9,OpenLCAbasic!$L:$L,$I$5,OpenLCAbasic!$I:$I,D30, OpenLCAbasic!$B:$B, R$14, OpenLCAbasic!$C:$C, R$12)
)))))</f>
        <v>1.455E-2</v>
      </c>
      <c r="S30" s="301">
        <f>IF(AND(S$9="Legacy",E30=E$38,OR(S$11="Low",S$11="High")),
INDEX(OpenLCAbasic!$J:$J,MATCH(CONCATENATE(S$10,"_","Base","_","Legacy_",$I$5,"_",E30,"_",S$13,"_n.a."),OpenLCAbasic!$M:$M,0)),
IF(AND(S$9="Legacy",ISERROR(MATCH(E30,LookUps!$H$5:$H$20,0))),"--",
IF(S$9="Legacy",SUMIFS(OpenLCAbasic!$J:$J,OpenLCAbasic!$E:$E,"Base",OpenLCAbasic!$D:$D,"Base",OpenLCAbasic!$F:$F,S$9,OpenLCAbasic!$L:$L,$I$5,OpenLCAbasic!$I:$I,E30,OpenLCAbasic!$C:$C,S$13),
IF(AND(S$9="Upgraded", OR(S$11="Low", S$11="High"), OR(E30=E$37, E30=E$36)),
INDEX(OpenLCAbasic!$J:$J, MATCH(CONCATENATE(S$11, "_", S$10, "_", "Upgraded_",$I$5,"_",E30, "_", S$12, "_", S$14), OpenLCAbasic!$M:$M,0)),
IF(AND(ISERROR(MATCH(E30, LookUps!$G$5:$G$21,0)), S$9="Upgraded"),
SUMIFS(OpenLCAbasic!$J:$J,OpenLCAbasic!$E:$E, S$11, OpenLCAbasic!$D:$D, S$10, OpenLCAbasic!$F:$F,S$9,OpenLCAbasic!$L:$L,$I$5,OpenLCAbasic!$I:$I,INDEX(LookUps!$G$5:$G$21,MATCH(E30, LookUps!$J$5:$J$21,0)), OpenLCAbasic!$B:$B, S$14, OpenLCAbasic!$C:$C, S$12),
SUMIFS(OpenLCAbasic!$J:$J,OpenLCAbasic!$E:$E, S$11, OpenLCAbasic!$D:$D, S$10, OpenLCAbasic!$F:$F,S$9,OpenLCAbasic!$L:$L,$I$5,OpenLCAbasic!$I:$I,E30, OpenLCAbasic!$B:$B, S$14, OpenLCAbasic!$C:$C, S$12)
)))))</f>
        <v>1.455E-2</v>
      </c>
      <c r="T30" s="301">
        <f>IF(AND(T$9="Legacy",F30=F$38,OR(T$11="Low",T$11="High")),
INDEX(OpenLCAbasic!$J:$J,MATCH(CONCATENATE(T$10,"_","Base","_","Legacy_",$I$5,"_",F30,"_",T$13,"_n.a."),OpenLCAbasic!$M:$M,0)),
IF(AND(T$9="Legacy",ISERROR(MATCH(F30,LookUps!$H$5:$H$20,0))),"--",
IF(T$9="Legacy",SUMIFS(OpenLCAbasic!$J:$J,OpenLCAbasic!$E:$E,"Base",OpenLCAbasic!$D:$D,"Base",OpenLCAbasic!$F:$F,T$9,OpenLCAbasic!$L:$L,$I$5,OpenLCAbasic!$I:$I,F30,OpenLCAbasic!$C:$C,T$13),
IF(AND(T$9="Upgraded", OR(T$11="Low", T$11="High"), OR(F30=F$37, F30=F$36)),
INDEX(OpenLCAbasic!$J:$J, MATCH(CONCATENATE(T$11, "_", T$10, "_", "Upgraded_",$I$5,"_",F30, "_", T$12, "_", T$14), OpenLCAbasic!$M:$M,0)),
IF(AND(ISERROR(MATCH(F30, LookUps!$G$5:$G$21,0)), T$9="Upgraded"),
SUMIFS(OpenLCAbasic!$J:$J,OpenLCAbasic!$E:$E, T$11, OpenLCAbasic!$D:$D, T$10, OpenLCAbasic!$F:$F,T$9,OpenLCAbasic!$L:$L,$I$5,OpenLCAbasic!$I:$I,INDEX(LookUps!$G$5:$G$21,MATCH(F30, LookUps!$J$5:$J$21,0)), OpenLCAbasic!$B:$B, T$14, OpenLCAbasic!$C:$C, T$12),
SUMIFS(OpenLCAbasic!$J:$J,OpenLCAbasic!$E:$E, T$11, OpenLCAbasic!$D:$D, T$10, OpenLCAbasic!$F:$F,T$9,OpenLCAbasic!$L:$L,$I$5,OpenLCAbasic!$I:$I,F30, OpenLCAbasic!$B:$B, T$14, OpenLCAbasic!$C:$C, T$12)
)))))</f>
        <v>1.455E-2</v>
      </c>
      <c r="U30" s="301">
        <f>IF(AND(U$9="Legacy",G30=G$38,OR(U$11="Low",U$11="High")),
INDEX(OpenLCAbasic!$J:$J,MATCH(CONCATENATE(U$10,"_","Base","_","Legacy_",$I$5,"_",G30,"_",U$13,"_n.a."),OpenLCAbasic!$M:$M,0)),
IF(AND(U$9="Legacy",ISERROR(MATCH(G30,LookUps!$H$5:$H$20,0))),"--",
IF(U$9="Legacy",SUMIFS(OpenLCAbasic!$J:$J,OpenLCAbasic!$E:$E,"Base",OpenLCAbasic!$D:$D,"Base",OpenLCAbasic!$F:$F,U$9,OpenLCAbasic!$L:$L,$I$5,OpenLCAbasic!$I:$I,G30,OpenLCAbasic!$C:$C,U$13),
IF(AND(U$9="Upgraded", OR(U$11="Low", U$11="High"), OR(G30=G$37, G30=G$36)),
INDEX(OpenLCAbasic!$J:$J, MATCH(CONCATENATE(U$11, "_", U$10, "_", "Upgraded_",$I$5,"_",G30, "_", U$12, "_", U$14), OpenLCAbasic!$M:$M,0)),
IF(AND(ISERROR(MATCH(G30, LookUps!$G$5:$G$21,0)), U$9="Upgraded"),
SUMIFS(OpenLCAbasic!$J:$J,OpenLCAbasic!$E:$E, U$11, OpenLCAbasic!$D:$D, U$10, OpenLCAbasic!$F:$F,U$9,OpenLCAbasic!$L:$L,$I$5,OpenLCAbasic!$I:$I,INDEX(LookUps!$G$5:$G$21,MATCH(G30, LookUps!$J$5:$J$21,0)), OpenLCAbasic!$B:$B, U$14, OpenLCAbasic!$C:$C, U$12),
SUMIFS(OpenLCAbasic!$J:$J,OpenLCAbasic!$E:$E, U$11, OpenLCAbasic!$D:$D, U$10, OpenLCAbasic!$F:$F,U$9,OpenLCAbasic!$L:$L,$I$5,OpenLCAbasic!$I:$I,G30, OpenLCAbasic!$B:$B, U$14, OpenLCAbasic!$C:$C, U$12)
)))))</f>
        <v>1.455E-2</v>
      </c>
      <c r="V30" s="302"/>
      <c r="W30" s="274" t="str">
        <f>IF(AND(W$9="Legacy",B30=B$38,OR(W$11="Low",W$11="High")),
INDEX(OpenLCAbasic!$J:$J,MATCH(CONCATENATE(W$10,"_","Base","_","Legacy_",$I$6,"_",B30,"_",W$13,"_n.a."),OpenLCAbasic!$M:$M,0)),
IF(AND(W$9="Legacy",ISERROR(MATCH(B30,LookUps!$H$5:$H$20,0))),"--",
IF(W$9="Legacy",SUMIFS(OpenLCAbasic!$J:$J,OpenLCAbasic!$E:$E,"Base",OpenLCAbasic!$D:$D,"Base",OpenLCAbasic!$F:$F,W$9,OpenLCAbasic!$L:$L,$I$6,OpenLCAbasic!$I:$I,B30,OpenLCAbasic!$C:$C,W$13),
IF(AND(W$9="Upgraded", OR(W$11="Low", W$11="High"), OR(B30=B$37, B30=B$36)),
INDEX(OpenLCAbasic!$J:$J, MATCH(CONCATENATE(W$11, "_", W$10, "_", "Upgraded_",$I$6,"_",B30, "_", W$12, "_", W$14), OpenLCAbasic!$M:$M,0)),
IF(AND(ISERROR(MATCH(B30, LookUps!$G$5:$G$21,0)), W$9="Upgraded"),
SUMIFS(OpenLCAbasic!$J:$J,OpenLCAbasic!$E:$E, W$11, OpenLCAbasic!$D:$D, W$10, OpenLCAbasic!$F:$F,W$9,OpenLCAbasic!$L:$L,$I$6,OpenLCAbasic!$I:$I,INDEX(LookUps!$G$5:$G$21,MATCH(B30, LookUps!$J$5:$J$21,0)), OpenLCAbasic!$B:$B, W$14, OpenLCAbasic!$C:$C, W$12),
SUMIFS(OpenLCAbasic!$J:$J,OpenLCAbasic!$E:$E, W$11, OpenLCAbasic!$D:$D, W$10, OpenLCAbasic!$F:$F,W$9,OpenLCAbasic!$L:$L,$I$6,OpenLCAbasic!$I:$I,B30, OpenLCAbasic!$B:$B, W$14, OpenLCAbasic!$C:$C, W$12)
)))))</f>
        <v>--</v>
      </c>
      <c r="X30" s="303">
        <f>IF(AND(X$9="Legacy",C30=C$38,OR(X$11="Low",X$11="High")),
INDEX(OpenLCAbasic!$J:$J,MATCH(CONCATENATE(X$10,"_","Base","_","Legacy_",$I$6,"_",C30,"_",X$13,"_n.a."),OpenLCAbasic!$M:$M,0)),
IF(AND(X$9="Legacy",ISERROR(MATCH(C30,LookUps!$H$5:$H$20,0))),"--",
IF(X$9="Legacy",SUMIFS(OpenLCAbasic!$J:$J,OpenLCAbasic!$E:$E,"Base",OpenLCAbasic!$D:$D,"Base",OpenLCAbasic!$F:$F,X$9,OpenLCAbasic!$L:$L,$I$6,OpenLCAbasic!$I:$I,C30,OpenLCAbasic!$C:$C,X$13),
IF(AND(X$9="Upgraded", OR(X$11="Low", X$11="High"), OR(C30=C$37, C30=C$36)),
INDEX(OpenLCAbasic!$J:$J, MATCH(CONCATENATE(X$11, "_", X$10, "_", "Upgraded_",$I$6,"_",C30, "_", X$12, "_", X$14), OpenLCAbasic!$M:$M,0)),
IF(AND(ISERROR(MATCH(C30, LookUps!$G$5:$G$21,0)), X$9="Upgraded"),
SUMIFS(OpenLCAbasic!$J:$J,OpenLCAbasic!$E:$E, X$11, OpenLCAbasic!$D:$D, X$10, OpenLCAbasic!$F:$F,X$9,OpenLCAbasic!$L:$L,$I$6,OpenLCAbasic!$I:$I,INDEX(LookUps!$G$5:$G$21,MATCH(C30, LookUps!$J$5:$J$21,0)), OpenLCAbasic!$B:$B, X$14, OpenLCAbasic!$C:$C, X$12),
SUMIFS(OpenLCAbasic!$J:$J,OpenLCAbasic!$E:$E, X$11, OpenLCAbasic!$D:$D, X$10, OpenLCAbasic!$F:$F,X$9,OpenLCAbasic!$L:$L,$I$6,OpenLCAbasic!$I:$I,C30, OpenLCAbasic!$B:$B, X$14, OpenLCAbasic!$C:$C, X$12)
)))))</f>
        <v>6.0590300000000002E-5</v>
      </c>
      <c r="Y30" s="303">
        <f>IF(AND(Y$9="Legacy",D30=D$38,OR(Y$11="Low",Y$11="High")),
INDEX(OpenLCAbasic!$J:$J,MATCH(CONCATENATE(Y$10,"_","Base","_","Legacy_",$I$6,"_",D30,"_",Y$13,"_n.a."),OpenLCAbasic!$M:$M,0)),
IF(AND(Y$9="Legacy",ISERROR(MATCH(D30,LookUps!$H$5:$H$20,0))),"--",
IF(Y$9="Legacy",SUMIFS(OpenLCAbasic!$J:$J,OpenLCAbasic!$E:$E,"Base",OpenLCAbasic!$D:$D,"Base",OpenLCAbasic!$F:$F,Y$9,OpenLCAbasic!$L:$L,$I$6,OpenLCAbasic!$I:$I,D30,OpenLCAbasic!$C:$C,Y$13),
IF(AND(Y$9="Upgraded", OR(Y$11="Low", Y$11="High"), OR(D30=D$37, D30=D$36)),
INDEX(OpenLCAbasic!$J:$J, MATCH(CONCATENATE(Y$11, "_", Y$10, "_", "Upgraded_",$I$6,"_",D30, "_", Y$12, "_", Y$14), OpenLCAbasic!$M:$M,0)),
IF(AND(ISERROR(MATCH(D30, LookUps!$G$5:$G$21,0)), Y$9="Upgraded"),
SUMIFS(OpenLCAbasic!$J:$J,OpenLCAbasic!$E:$E, Y$11, OpenLCAbasic!$D:$D, Y$10, OpenLCAbasic!$F:$F,Y$9,OpenLCAbasic!$L:$L,$I$6,OpenLCAbasic!$I:$I,INDEX(LookUps!$G$5:$G$21,MATCH(D30, LookUps!$J$5:$J$21,0)), OpenLCAbasic!$B:$B, Y$14, OpenLCAbasic!$C:$C, Y$12),
SUMIFS(OpenLCAbasic!$J:$J,OpenLCAbasic!$E:$E, Y$11, OpenLCAbasic!$D:$D, Y$10, OpenLCAbasic!$F:$F,Y$9,OpenLCAbasic!$L:$L,$I$6,OpenLCAbasic!$I:$I,D30, OpenLCAbasic!$B:$B, Y$14, OpenLCAbasic!$C:$C, Y$12)
)))))</f>
        <v>6.0590300000000002E-5</v>
      </c>
      <c r="Z30" s="303">
        <f>IF(AND(Z$9="Legacy",E30=E$38,OR(Z$11="Low",Z$11="High")),
INDEX(OpenLCAbasic!$J:$J,MATCH(CONCATENATE(Z$10,"_","Base","_","Legacy_",$I$6,"_",E30,"_",Z$13,"_n.a."),OpenLCAbasic!$M:$M,0)),
IF(AND(Z$9="Legacy",ISERROR(MATCH(E30,LookUps!$H$5:$H$20,0))),"--",
IF(Z$9="Legacy",SUMIFS(OpenLCAbasic!$J:$J,OpenLCAbasic!$E:$E,"Base",OpenLCAbasic!$D:$D,"Base",OpenLCAbasic!$F:$F,Z$9,OpenLCAbasic!$L:$L,$I$6,OpenLCAbasic!$I:$I,E30,OpenLCAbasic!$C:$C,Z$13),
IF(AND(Z$9="Upgraded", OR(Z$11="Low", Z$11="High"), OR(E30=E$37, E30=E$36)),
INDEX(OpenLCAbasic!$J:$J, MATCH(CONCATENATE(Z$11, "_", Z$10, "_", "Upgraded_",$I$6,"_",E30, "_", Z$12, "_", Z$14), OpenLCAbasic!$M:$M,0)),
IF(AND(ISERROR(MATCH(E30, LookUps!$G$5:$G$21,0)), Z$9="Upgraded"),
SUMIFS(OpenLCAbasic!$J:$J,OpenLCAbasic!$E:$E, Z$11, OpenLCAbasic!$D:$D, Z$10, OpenLCAbasic!$F:$F,Z$9,OpenLCAbasic!$L:$L,$I$6,OpenLCAbasic!$I:$I,INDEX(LookUps!$G$5:$G$21,MATCH(E30, LookUps!$J$5:$J$21,0)), OpenLCAbasic!$B:$B, Z$14, OpenLCAbasic!$C:$C, Z$12),
SUMIFS(OpenLCAbasic!$J:$J,OpenLCAbasic!$E:$E, Z$11, OpenLCAbasic!$D:$D, Z$10, OpenLCAbasic!$F:$F,Z$9,OpenLCAbasic!$L:$L,$I$6,OpenLCAbasic!$I:$I,E30, OpenLCAbasic!$B:$B, Z$14, OpenLCAbasic!$C:$C, Z$12)
)))))</f>
        <v>6.0590300000000002E-5</v>
      </c>
      <c r="AA30" s="303">
        <f>IF(AND(AA$9="Legacy",F30=F$38,OR(AA$11="Low",AA$11="High")),
INDEX(OpenLCAbasic!$J:$J,MATCH(CONCATENATE(AA$10,"_","Base","_","Legacy_",$I$6,"_",F30,"_",AA$13,"_n.a."),OpenLCAbasic!$M:$M,0)),
IF(AND(AA$9="Legacy",ISERROR(MATCH(F30,LookUps!$H$5:$H$20,0))),"--",
IF(AA$9="Legacy",SUMIFS(OpenLCAbasic!$J:$J,OpenLCAbasic!$E:$E,"Base",OpenLCAbasic!$D:$D,"Base",OpenLCAbasic!$F:$F,AA$9,OpenLCAbasic!$L:$L,$I$6,OpenLCAbasic!$I:$I,F30,OpenLCAbasic!$C:$C,AA$13),
IF(AND(AA$9="Upgraded", OR(AA$11="Low", AA$11="High"), OR(F30=F$37, F30=F$36)),
INDEX(OpenLCAbasic!$J:$J, MATCH(CONCATENATE(AA$11, "_", AA$10, "_", "Upgraded_",$I$6,"_",F30, "_", AA$12, "_", AA$14), OpenLCAbasic!$M:$M,0)),
IF(AND(ISERROR(MATCH(F30, LookUps!$G$5:$G$21,0)), AA$9="Upgraded"),
SUMIFS(OpenLCAbasic!$J:$J,OpenLCAbasic!$E:$E, AA$11, OpenLCAbasic!$D:$D, AA$10, OpenLCAbasic!$F:$F,AA$9,OpenLCAbasic!$L:$L,$I$6,OpenLCAbasic!$I:$I,INDEX(LookUps!$G$5:$G$21,MATCH(F30, LookUps!$J$5:$J$21,0)), OpenLCAbasic!$B:$B, AA$14, OpenLCAbasic!$C:$C, AA$12),
SUMIFS(OpenLCAbasic!$J:$J,OpenLCAbasic!$E:$E, AA$11, OpenLCAbasic!$D:$D, AA$10, OpenLCAbasic!$F:$F,AA$9,OpenLCAbasic!$L:$L,$I$6,OpenLCAbasic!$I:$I,F30, OpenLCAbasic!$B:$B, AA$14, OpenLCAbasic!$C:$C, AA$12)
)))))</f>
        <v>6.0590300000000002E-5</v>
      </c>
      <c r="AB30" s="303">
        <f>IF(AND(AB$9="Legacy",G30=G$38,OR(AB$11="Low",AB$11="High")),
INDEX(OpenLCAbasic!$J:$J,MATCH(CONCATENATE(AB$10,"_","Base","_","Legacy_",$I$6,"_",G30,"_",AB$13,"_n.a."),OpenLCAbasic!$M:$M,0)),
IF(AND(AB$9="Legacy",ISERROR(MATCH(G30,LookUps!$H$5:$H$20,0))),"--",
IF(AB$9="Legacy",SUMIFS(OpenLCAbasic!$J:$J,OpenLCAbasic!$E:$E,"Base",OpenLCAbasic!$D:$D,"Base",OpenLCAbasic!$F:$F,AB$9,OpenLCAbasic!$L:$L,$I$6,OpenLCAbasic!$I:$I,G30,OpenLCAbasic!$C:$C,AB$13),
IF(AND(AB$9="Upgraded", OR(AB$11="Low", AB$11="High"), OR(G30=G$37, G30=G$36)),
INDEX(OpenLCAbasic!$J:$J, MATCH(CONCATENATE(AB$11, "_", AB$10, "_", "Upgraded_",$I$6,"_",G30, "_", AB$12, "_", AB$14), OpenLCAbasic!$M:$M,0)),
IF(AND(ISERROR(MATCH(G30, LookUps!$G$5:$G$21,0)), AB$9="Upgraded"),
SUMIFS(OpenLCAbasic!$J:$J,OpenLCAbasic!$E:$E, AB$11, OpenLCAbasic!$D:$D, AB$10, OpenLCAbasic!$F:$F,AB$9,OpenLCAbasic!$L:$L,$I$6,OpenLCAbasic!$I:$I,INDEX(LookUps!$G$5:$G$21,MATCH(G30, LookUps!$J$5:$J$21,0)), OpenLCAbasic!$B:$B, AB$14, OpenLCAbasic!$C:$C, AB$12),
SUMIFS(OpenLCAbasic!$J:$J,OpenLCAbasic!$E:$E, AB$11, OpenLCAbasic!$D:$D, AB$10, OpenLCAbasic!$F:$F,AB$9,OpenLCAbasic!$L:$L,$I$6,OpenLCAbasic!$I:$I,G30, OpenLCAbasic!$B:$B, AB$14, OpenLCAbasic!$C:$C, AB$12)
)))))</f>
        <v>6.0590300000000002E-5</v>
      </c>
    </row>
    <row r="31" spans="2:28" x14ac:dyDescent="0.25">
      <c r="B31" s="99" t="str">
        <f t="shared" si="15"/>
        <v>Sludge Thickener; wastewater treatment unit - US</v>
      </c>
      <c r="C31" s="99" t="str">
        <f t="shared" si="14"/>
        <v>Sludge Thickener; wastewater treatment unit - US</v>
      </c>
      <c r="D31" s="99" t="str">
        <f t="shared" si="14"/>
        <v>Sludge Thickener; wastewater treatment unit - US</v>
      </c>
      <c r="E31" s="99" t="str">
        <f t="shared" si="14"/>
        <v>Sludge Thickener; wastewater treatment unit - US</v>
      </c>
      <c r="F31" s="99" t="str">
        <f t="shared" si="14"/>
        <v>Sludge Thickener; wastewater treatment unit - US</v>
      </c>
      <c r="G31" s="99" t="str">
        <f t="shared" si="14"/>
        <v>Sludge Thickener; wastewater treatment unit - US</v>
      </c>
      <c r="H31" s="266" t="str">
        <f>LookUps!$H$11</f>
        <v>Sludge Thickener; wastewater treatment unit - US</v>
      </c>
      <c r="I31" s="301">
        <f>IF(AND(I$9="Legacy",B31=B$38,OR(I$11="Low",I$11="High")),
INDEX(OpenLCAbasic!$J:$J,MATCH(CONCATENATE(I$10,"_","Base","_","Legacy_",$I$4,"_",B31,"_",I$13,"_n.a."),OpenLCAbasic!$M:$M,0)),
IF(AND(I$9="Legacy",ISERROR(MATCH(B31,LookUps!$H$5:$H$20,0))),"--",
IF(I$9="Legacy",SUMIFS(OpenLCAbasic!$J:$J,OpenLCAbasic!$E:$E,"Base",OpenLCAbasic!$D:$D,"Base",OpenLCAbasic!$F:$F,I$9,OpenLCAbasic!$L:$L,$I$4,OpenLCAbasic!$I:$I,B31,OpenLCAbasic!$C:$C,I$13),
IF(AND(I$9="Upgraded", OR(I$11="Low", I$11="High"), OR(B31=B$37, B31=B$36)),
INDEX(OpenLCAbasic!$J:$J, MATCH(CONCATENATE(I$11, "_", I$10, "_", "Upgraded_",$I$4,"_",B31, "_", I$12, "_", I$14), OpenLCAbasic!$M:$M,0)),
IF(AND(ISERROR(MATCH(B31, LookUps!$G$5:$G$21,0)), I$9="Upgraded"),
SUMIFS(OpenLCAbasic!$J:$J,OpenLCAbasic!$E:$E, I$11, OpenLCAbasic!$D:$D, I$10, OpenLCAbasic!$F:$F,I$9,OpenLCAbasic!$L:$L,$I$4,OpenLCAbasic!$I:$I,INDEX(LookUps!$G$5:$G$21,MATCH(B31, LookUps!$J$5:$J$21,0)), OpenLCAbasic!$B:$B, I$14, OpenLCAbasic!$C:$C, I$12),
SUMIFS(OpenLCAbasic!$J:$J,OpenLCAbasic!$E:$E, I$11, OpenLCAbasic!$D:$D, I$10, OpenLCAbasic!$F:$F,I$9,OpenLCAbasic!$L:$L,$I$4,OpenLCAbasic!$I:$I,B31, OpenLCAbasic!$B:$B, I$14, OpenLCAbasic!$C:$C, I$12)
)))))</f>
        <v>1.9869999999999999E-2</v>
      </c>
      <c r="J31" s="304">
        <f>IF(AND(J$9="Legacy",C31=C$38,OR(J$11="Low",J$11="High")),
INDEX(OpenLCAbasic!$J:$J,MATCH(CONCATENATE(J$10,"_","Base","_","Legacy_",$I$4,"_",C31,"_",J$13,"_n.a."),OpenLCAbasic!$M:$M,0)),
IF(AND(J$9="Legacy",ISERROR(MATCH(C31,LookUps!$H$5:$H$20,0))),"--",
IF(J$9="Legacy",SUMIFS(OpenLCAbasic!$J:$J,OpenLCAbasic!$E:$E,"Base",OpenLCAbasic!$D:$D,"Base",OpenLCAbasic!$F:$F,J$9,OpenLCAbasic!$L:$L,$I$4,OpenLCAbasic!$I:$I,C31,OpenLCAbasic!$C:$C,J$13),
IF(AND(J$9="Upgraded", OR(J$11="Low", J$11="High"), OR(C31=C$37, C31=C$36)),
INDEX(OpenLCAbasic!$J:$J, MATCH(CONCATENATE(J$11, "_", J$10, "_", "Upgraded_",$I$4,"_",C31, "_", J$12, "_", J$14), OpenLCAbasic!$M:$M,0)),
IF(AND(ISERROR(MATCH(C31, LookUps!$G$5:$G$21,0)), J$9="Upgraded"),
SUMIFS(OpenLCAbasic!$J:$J,OpenLCAbasic!$E:$E, J$11, OpenLCAbasic!$D:$D, J$10, OpenLCAbasic!$F:$F,J$9,OpenLCAbasic!$L:$L,$I$4,OpenLCAbasic!$I:$I,INDEX(LookUps!$G$5:$G$21,MATCH(C31, LookUps!$J$5:$J$21,0)), OpenLCAbasic!$B:$B, J$14, OpenLCAbasic!$C:$C, J$12),
SUMIFS(OpenLCAbasic!$J:$J,OpenLCAbasic!$E:$E, J$11, OpenLCAbasic!$D:$D, J$10, OpenLCAbasic!$F:$F,J$9,OpenLCAbasic!$L:$L,$I$4,OpenLCAbasic!$I:$I,C31, OpenLCAbasic!$B:$B, J$14, OpenLCAbasic!$C:$C, J$12)
)))))</f>
        <v>0</v>
      </c>
      <c r="K31" s="304">
        <f>IF(AND(K$9="Legacy",D31=D$38,OR(K$11="Low",K$11="High")),
INDEX(OpenLCAbasic!$J:$J,MATCH(CONCATENATE(K$10,"_","Base","_","Legacy_",$I$4,"_",D31,"_",K$13,"_n.a."),OpenLCAbasic!$M:$M,0)),
IF(AND(K$9="Legacy",ISERROR(MATCH(D31,LookUps!$H$5:$H$20,0))),"--",
IF(K$9="Legacy",SUMIFS(OpenLCAbasic!$J:$J,OpenLCAbasic!$E:$E,"Base",OpenLCAbasic!$D:$D,"Base",OpenLCAbasic!$F:$F,K$9,OpenLCAbasic!$L:$L,$I$4,OpenLCAbasic!$I:$I,D31,OpenLCAbasic!$C:$C,K$13),
IF(AND(K$9="Upgraded", OR(K$11="Low", K$11="High"), OR(D31=D$37, D31=D$36)),
INDEX(OpenLCAbasic!$J:$J, MATCH(CONCATENATE(K$11, "_", K$10, "_", "Upgraded_",$I$4,"_",D31, "_", K$12, "_", K$14), OpenLCAbasic!$M:$M,0)),
IF(AND(ISERROR(MATCH(D31, LookUps!$G$5:$G$21,0)), K$9="Upgraded"),
SUMIFS(OpenLCAbasic!$J:$J,OpenLCAbasic!$E:$E, K$11, OpenLCAbasic!$D:$D, K$10, OpenLCAbasic!$F:$F,K$9,OpenLCAbasic!$L:$L,$I$4,OpenLCAbasic!$I:$I,INDEX(LookUps!$G$5:$G$21,MATCH(D31, LookUps!$J$5:$J$21,0)), OpenLCAbasic!$B:$B, K$14, OpenLCAbasic!$C:$C, K$12),
SUMIFS(OpenLCAbasic!$J:$J,OpenLCAbasic!$E:$E, K$11, OpenLCAbasic!$D:$D, K$10, OpenLCAbasic!$F:$F,K$9,OpenLCAbasic!$L:$L,$I$4,OpenLCAbasic!$I:$I,D31, OpenLCAbasic!$B:$B, K$14, OpenLCAbasic!$C:$C, K$12)
)))))</f>
        <v>0</v>
      </c>
      <c r="L31" s="304">
        <f>IF(AND(L$9="Legacy",E31=E$38,OR(L$11="Low",L$11="High")),
INDEX(OpenLCAbasic!$J:$J,MATCH(CONCATENATE(L$10,"_","Base","_","Legacy_",$I$4,"_",E31,"_",L$13,"_n.a."),OpenLCAbasic!$M:$M,0)),
IF(AND(L$9="Legacy",ISERROR(MATCH(E31,LookUps!$H$5:$H$20,0))),"--",
IF(L$9="Legacy",SUMIFS(OpenLCAbasic!$J:$J,OpenLCAbasic!$E:$E,"Base",OpenLCAbasic!$D:$D,"Base",OpenLCAbasic!$F:$F,L$9,OpenLCAbasic!$L:$L,$I$4,OpenLCAbasic!$I:$I,E31,OpenLCAbasic!$C:$C,L$13),
IF(AND(L$9="Upgraded", OR(L$11="Low", L$11="High"), OR(E31=E$37, E31=E$36)),
INDEX(OpenLCAbasic!$J:$J, MATCH(CONCATENATE(L$11, "_", L$10, "_", "Upgraded_",$I$4,"_",E31, "_", L$12, "_", L$14), OpenLCAbasic!$M:$M,0)),
IF(AND(ISERROR(MATCH(E31, LookUps!$G$5:$G$21,0)), L$9="Upgraded"),
SUMIFS(OpenLCAbasic!$J:$J,OpenLCAbasic!$E:$E, L$11, OpenLCAbasic!$D:$D, L$10, OpenLCAbasic!$F:$F,L$9,OpenLCAbasic!$L:$L,$I$4,OpenLCAbasic!$I:$I,INDEX(LookUps!$G$5:$G$21,MATCH(E31, LookUps!$J$5:$J$21,0)), OpenLCAbasic!$B:$B, L$14, OpenLCAbasic!$C:$C, L$12),
SUMIFS(OpenLCAbasic!$J:$J,OpenLCAbasic!$E:$E, L$11, OpenLCAbasic!$D:$D, L$10, OpenLCAbasic!$F:$F,L$9,OpenLCAbasic!$L:$L,$I$4,OpenLCAbasic!$I:$I,E31, OpenLCAbasic!$B:$B, L$14, OpenLCAbasic!$C:$C, L$12)
)))))</f>
        <v>0</v>
      </c>
      <c r="M31" s="304">
        <f>IF(AND(M$9="Legacy",F31=F$38,OR(M$11="Low",M$11="High")),
INDEX(OpenLCAbasic!$J:$J,MATCH(CONCATENATE(M$10,"_","Base","_","Legacy_",$I$4,"_",F31,"_",M$13,"_n.a."),OpenLCAbasic!$M:$M,0)),
IF(AND(M$9="Legacy",ISERROR(MATCH(F31,LookUps!$H$5:$H$20,0))),"--",
IF(M$9="Legacy",SUMIFS(OpenLCAbasic!$J:$J,OpenLCAbasic!$E:$E,"Base",OpenLCAbasic!$D:$D,"Base",OpenLCAbasic!$F:$F,M$9,OpenLCAbasic!$L:$L,$I$4,OpenLCAbasic!$I:$I,F31,OpenLCAbasic!$C:$C,M$13),
IF(AND(M$9="Upgraded", OR(M$11="Low", M$11="High"), OR(F31=F$37, F31=F$36)),
INDEX(OpenLCAbasic!$J:$J, MATCH(CONCATENATE(M$11, "_", M$10, "_", "Upgraded_",$I$4,"_",F31, "_", M$12, "_", M$14), OpenLCAbasic!$M:$M,0)),
IF(AND(ISERROR(MATCH(F31, LookUps!$G$5:$G$21,0)), M$9="Upgraded"),
SUMIFS(OpenLCAbasic!$J:$J,OpenLCAbasic!$E:$E, M$11, OpenLCAbasic!$D:$D, M$10, OpenLCAbasic!$F:$F,M$9,OpenLCAbasic!$L:$L,$I$4,OpenLCAbasic!$I:$I,INDEX(LookUps!$G$5:$G$21,MATCH(F31, LookUps!$J$5:$J$21,0)), OpenLCAbasic!$B:$B, M$14, OpenLCAbasic!$C:$C, M$12),
SUMIFS(OpenLCAbasic!$J:$J,OpenLCAbasic!$E:$E, M$11, OpenLCAbasic!$D:$D, M$10, OpenLCAbasic!$F:$F,M$9,OpenLCAbasic!$L:$L,$I$4,OpenLCAbasic!$I:$I,F31, OpenLCAbasic!$B:$B, M$14, OpenLCAbasic!$C:$C, M$12)
)))))</f>
        <v>0</v>
      </c>
      <c r="N31" s="304">
        <f>IF(AND(N$9="Legacy",G31=G$38,OR(N$11="Low",N$11="High")),
INDEX(OpenLCAbasic!$J:$J,MATCH(CONCATENATE(N$10,"_","Base","_","Legacy_",$I$4,"_",G31,"_",N$13,"_n.a."),OpenLCAbasic!$M:$M,0)),
IF(AND(N$9="Legacy",ISERROR(MATCH(G31,LookUps!$H$5:$H$20,0))),"--",
IF(N$9="Legacy",SUMIFS(OpenLCAbasic!$J:$J,OpenLCAbasic!$E:$E,"Base",OpenLCAbasic!$D:$D,"Base",OpenLCAbasic!$F:$F,N$9,OpenLCAbasic!$L:$L,$I$4,OpenLCAbasic!$I:$I,G31,OpenLCAbasic!$C:$C,N$13),
IF(AND(N$9="Upgraded", OR(N$11="Low", N$11="High"), OR(G31=G$37, G31=G$36)),
INDEX(OpenLCAbasic!$J:$J, MATCH(CONCATENATE(N$11, "_", N$10, "_", "Upgraded_",$I$4,"_",G31, "_", N$12, "_", N$14), OpenLCAbasic!$M:$M,0)),
IF(AND(ISERROR(MATCH(G31, LookUps!$G$5:$G$21,0)), N$9="Upgraded"),
SUMIFS(OpenLCAbasic!$J:$J,OpenLCAbasic!$E:$E, N$11, OpenLCAbasic!$D:$D, N$10, OpenLCAbasic!$F:$F,N$9,OpenLCAbasic!$L:$L,$I$4,OpenLCAbasic!$I:$I,INDEX(LookUps!$G$5:$G$21,MATCH(G31, LookUps!$J$5:$J$21,0)), OpenLCAbasic!$B:$B, N$14, OpenLCAbasic!$C:$C, N$12),
SUMIFS(OpenLCAbasic!$J:$J,OpenLCAbasic!$E:$E, N$11, OpenLCAbasic!$D:$D, N$10, OpenLCAbasic!$F:$F,N$9,OpenLCAbasic!$L:$L,$I$4,OpenLCAbasic!$I:$I,G31, OpenLCAbasic!$B:$B, N$14, OpenLCAbasic!$C:$C, N$12)
)))))</f>
        <v>0</v>
      </c>
      <c r="O31" s="302"/>
      <c r="P31" s="303">
        <f>IF(AND(P$9="Legacy",B31=B$38,OR(P$11="Low",P$11="High")),
INDEX(OpenLCAbasic!$J:$J,MATCH(CONCATENATE(P$10,"_","Base","_","Legacy_",$I$5,"_",B31,"_",P$13,"_n.a."),OpenLCAbasic!$M:$M,0)),
IF(AND(P$9="Legacy",ISERROR(MATCH(B31,LookUps!$H$5:$H$20,0))),"--",
IF(P$9="Legacy",SUMIFS(OpenLCAbasic!$J:$J,OpenLCAbasic!$E:$E,"Base",OpenLCAbasic!$D:$D,"Base",OpenLCAbasic!$F:$F,P$9,OpenLCAbasic!$L:$L,$I$5,OpenLCAbasic!$I:$I,B31,OpenLCAbasic!$C:$C,P$13),
IF(AND(P$9="Upgraded", OR(P$11="Low", P$11="High"), OR(B31=B$37, B31=B$36)),
INDEX(OpenLCAbasic!$J:$J, MATCH(CONCATENATE(P$11, "_", P$10, "_", "Upgraded_",$I$5,"_",B31, "_", P$12, "_", P$14), OpenLCAbasic!$M:$M,0)),
IF(AND(ISERROR(MATCH(B31, LookUps!$G$5:$G$21,0)), P$9="Upgraded"),
SUMIFS(OpenLCAbasic!$J:$J,OpenLCAbasic!$E:$E, P$11, OpenLCAbasic!$D:$D, P$10, OpenLCAbasic!$F:$F,P$9,OpenLCAbasic!$L:$L,$I$5,OpenLCAbasic!$I:$I,INDEX(LookUps!$G$5:$G$21,MATCH(B31, LookUps!$J$5:$J$21,0)), OpenLCAbasic!$B:$B, P$14, OpenLCAbasic!$C:$C, P$12),
SUMIFS(OpenLCAbasic!$J:$J,OpenLCAbasic!$E:$E, P$11, OpenLCAbasic!$D:$D, P$10, OpenLCAbasic!$F:$F,P$9,OpenLCAbasic!$L:$L,$I$5,OpenLCAbasic!$I:$I,B31, OpenLCAbasic!$B:$B, P$14, OpenLCAbasic!$C:$C, P$12)
)))))</f>
        <v>9.3999999999999997E-4</v>
      </c>
      <c r="Q31" s="304">
        <f>IF(AND(Q$9="Legacy",C31=C$38,OR(Q$11="Low",Q$11="High")),
INDEX(OpenLCAbasic!$J:$J,MATCH(CONCATENATE(Q$10,"_","Base","_","Legacy_",$I$5,"_",C31,"_",Q$13,"_n.a."),OpenLCAbasic!$M:$M,0)),
IF(AND(Q$9="Legacy",ISERROR(MATCH(C31,LookUps!$H$5:$H$20,0))),"--",
IF(Q$9="Legacy",SUMIFS(OpenLCAbasic!$J:$J,OpenLCAbasic!$E:$E,"Base",OpenLCAbasic!$D:$D,"Base",OpenLCAbasic!$F:$F,Q$9,OpenLCAbasic!$L:$L,$I$5,OpenLCAbasic!$I:$I,C31,OpenLCAbasic!$C:$C,Q$13),
IF(AND(Q$9="Upgraded", OR(Q$11="Low", Q$11="High"), OR(C31=C$37, C31=C$36)),
INDEX(OpenLCAbasic!$J:$J, MATCH(CONCATENATE(Q$11, "_", Q$10, "_", "Upgraded_",$I$5,"_",C31, "_", Q$12, "_", Q$14), OpenLCAbasic!$M:$M,0)),
IF(AND(ISERROR(MATCH(C31, LookUps!$G$5:$G$21,0)), Q$9="Upgraded"),
SUMIFS(OpenLCAbasic!$J:$J,OpenLCAbasic!$E:$E, Q$11, OpenLCAbasic!$D:$D, Q$10, OpenLCAbasic!$F:$F,Q$9,OpenLCAbasic!$L:$L,$I$5,OpenLCAbasic!$I:$I,INDEX(LookUps!$G$5:$G$21,MATCH(C31, LookUps!$J$5:$J$21,0)), OpenLCAbasic!$B:$B, Q$14, OpenLCAbasic!$C:$C, Q$12),
SUMIFS(OpenLCAbasic!$J:$J,OpenLCAbasic!$E:$E, Q$11, OpenLCAbasic!$D:$D, Q$10, OpenLCAbasic!$F:$F,Q$9,OpenLCAbasic!$L:$L,$I$5,OpenLCAbasic!$I:$I,C31, OpenLCAbasic!$B:$B, Q$14, OpenLCAbasic!$C:$C, Q$12)
)))))</f>
        <v>0</v>
      </c>
      <c r="R31" s="304">
        <f>IF(AND(R$9="Legacy",D31=D$38,OR(R$11="Low",R$11="High")),
INDEX(OpenLCAbasic!$J:$J,MATCH(CONCATENATE(R$10,"_","Base","_","Legacy_",$I$5,"_",D31,"_",R$13,"_n.a."),OpenLCAbasic!$M:$M,0)),
IF(AND(R$9="Legacy",ISERROR(MATCH(D31,LookUps!$H$5:$H$20,0))),"--",
IF(R$9="Legacy",SUMIFS(OpenLCAbasic!$J:$J,OpenLCAbasic!$E:$E,"Base",OpenLCAbasic!$D:$D,"Base",OpenLCAbasic!$F:$F,R$9,OpenLCAbasic!$L:$L,$I$5,OpenLCAbasic!$I:$I,D31,OpenLCAbasic!$C:$C,R$13),
IF(AND(R$9="Upgraded", OR(R$11="Low", R$11="High"), OR(D31=D$37, D31=D$36)),
INDEX(OpenLCAbasic!$J:$J, MATCH(CONCATENATE(R$11, "_", R$10, "_", "Upgraded_",$I$5,"_",D31, "_", R$12, "_", R$14), OpenLCAbasic!$M:$M,0)),
IF(AND(ISERROR(MATCH(D31, LookUps!$G$5:$G$21,0)), R$9="Upgraded"),
SUMIFS(OpenLCAbasic!$J:$J,OpenLCAbasic!$E:$E, R$11, OpenLCAbasic!$D:$D, R$10, OpenLCAbasic!$F:$F,R$9,OpenLCAbasic!$L:$L,$I$5,OpenLCAbasic!$I:$I,INDEX(LookUps!$G$5:$G$21,MATCH(D31, LookUps!$J$5:$J$21,0)), OpenLCAbasic!$B:$B, R$14, OpenLCAbasic!$C:$C, R$12),
SUMIFS(OpenLCAbasic!$J:$J,OpenLCAbasic!$E:$E, R$11, OpenLCAbasic!$D:$D, R$10, OpenLCAbasic!$F:$F,R$9,OpenLCAbasic!$L:$L,$I$5,OpenLCAbasic!$I:$I,D31, OpenLCAbasic!$B:$B, R$14, OpenLCAbasic!$C:$C, R$12)
)))))</f>
        <v>0</v>
      </c>
      <c r="S31" s="304">
        <f>IF(AND(S$9="Legacy",E31=E$38,OR(S$11="Low",S$11="High")),
INDEX(OpenLCAbasic!$J:$J,MATCH(CONCATENATE(S$10,"_","Base","_","Legacy_",$I$5,"_",E31,"_",S$13,"_n.a."),OpenLCAbasic!$M:$M,0)),
IF(AND(S$9="Legacy",ISERROR(MATCH(E31,LookUps!$H$5:$H$20,0))),"--",
IF(S$9="Legacy",SUMIFS(OpenLCAbasic!$J:$J,OpenLCAbasic!$E:$E,"Base",OpenLCAbasic!$D:$D,"Base",OpenLCAbasic!$F:$F,S$9,OpenLCAbasic!$L:$L,$I$5,OpenLCAbasic!$I:$I,E31,OpenLCAbasic!$C:$C,S$13),
IF(AND(S$9="Upgraded", OR(S$11="Low", S$11="High"), OR(E31=E$37, E31=E$36)),
INDEX(OpenLCAbasic!$J:$J, MATCH(CONCATENATE(S$11, "_", S$10, "_", "Upgraded_",$I$5,"_",E31, "_", S$12, "_", S$14), OpenLCAbasic!$M:$M,0)),
IF(AND(ISERROR(MATCH(E31, LookUps!$G$5:$G$21,0)), S$9="Upgraded"),
SUMIFS(OpenLCAbasic!$J:$J,OpenLCAbasic!$E:$E, S$11, OpenLCAbasic!$D:$D, S$10, OpenLCAbasic!$F:$F,S$9,OpenLCAbasic!$L:$L,$I$5,OpenLCAbasic!$I:$I,INDEX(LookUps!$G$5:$G$21,MATCH(E31, LookUps!$J$5:$J$21,0)), OpenLCAbasic!$B:$B, S$14, OpenLCAbasic!$C:$C, S$12),
SUMIFS(OpenLCAbasic!$J:$J,OpenLCAbasic!$E:$E, S$11, OpenLCAbasic!$D:$D, S$10, OpenLCAbasic!$F:$F,S$9,OpenLCAbasic!$L:$L,$I$5,OpenLCAbasic!$I:$I,E31, OpenLCAbasic!$B:$B, S$14, OpenLCAbasic!$C:$C, S$12)
)))))</f>
        <v>0</v>
      </c>
      <c r="T31" s="304">
        <f>IF(AND(T$9="Legacy",F31=F$38,OR(T$11="Low",T$11="High")),
INDEX(OpenLCAbasic!$J:$J,MATCH(CONCATENATE(T$10,"_","Base","_","Legacy_",$I$5,"_",F31,"_",T$13,"_n.a."),OpenLCAbasic!$M:$M,0)),
IF(AND(T$9="Legacy",ISERROR(MATCH(F31,LookUps!$H$5:$H$20,0))),"--",
IF(T$9="Legacy",SUMIFS(OpenLCAbasic!$J:$J,OpenLCAbasic!$E:$E,"Base",OpenLCAbasic!$D:$D,"Base",OpenLCAbasic!$F:$F,T$9,OpenLCAbasic!$L:$L,$I$5,OpenLCAbasic!$I:$I,F31,OpenLCAbasic!$C:$C,T$13),
IF(AND(T$9="Upgraded", OR(T$11="Low", T$11="High"), OR(F31=F$37, F31=F$36)),
INDEX(OpenLCAbasic!$J:$J, MATCH(CONCATENATE(T$11, "_", T$10, "_", "Upgraded_",$I$5,"_",F31, "_", T$12, "_", T$14), OpenLCAbasic!$M:$M,0)),
IF(AND(ISERROR(MATCH(F31, LookUps!$G$5:$G$21,0)), T$9="Upgraded"),
SUMIFS(OpenLCAbasic!$J:$J,OpenLCAbasic!$E:$E, T$11, OpenLCAbasic!$D:$D, T$10, OpenLCAbasic!$F:$F,T$9,OpenLCAbasic!$L:$L,$I$5,OpenLCAbasic!$I:$I,INDEX(LookUps!$G$5:$G$21,MATCH(F31, LookUps!$J$5:$J$21,0)), OpenLCAbasic!$B:$B, T$14, OpenLCAbasic!$C:$C, T$12),
SUMIFS(OpenLCAbasic!$J:$J,OpenLCAbasic!$E:$E, T$11, OpenLCAbasic!$D:$D, T$10, OpenLCAbasic!$F:$F,T$9,OpenLCAbasic!$L:$L,$I$5,OpenLCAbasic!$I:$I,F31, OpenLCAbasic!$B:$B, T$14, OpenLCAbasic!$C:$C, T$12)
)))))</f>
        <v>0</v>
      </c>
      <c r="U31" s="304">
        <f>IF(AND(U$9="Legacy",G31=G$38,OR(U$11="Low",U$11="High")),
INDEX(OpenLCAbasic!$J:$J,MATCH(CONCATENATE(U$10,"_","Base","_","Legacy_",$I$5,"_",G31,"_",U$13,"_n.a."),OpenLCAbasic!$M:$M,0)),
IF(AND(U$9="Legacy",ISERROR(MATCH(G31,LookUps!$H$5:$H$20,0))),"--",
IF(U$9="Legacy",SUMIFS(OpenLCAbasic!$J:$J,OpenLCAbasic!$E:$E,"Base",OpenLCAbasic!$D:$D,"Base",OpenLCAbasic!$F:$F,U$9,OpenLCAbasic!$L:$L,$I$5,OpenLCAbasic!$I:$I,G31,OpenLCAbasic!$C:$C,U$13),
IF(AND(U$9="Upgraded", OR(U$11="Low", U$11="High"), OR(G31=G$37, G31=G$36)),
INDEX(OpenLCAbasic!$J:$J, MATCH(CONCATENATE(U$11, "_", U$10, "_", "Upgraded_",$I$5,"_",G31, "_", U$12, "_", U$14), OpenLCAbasic!$M:$M,0)),
IF(AND(ISERROR(MATCH(G31, LookUps!$G$5:$G$21,0)), U$9="Upgraded"),
SUMIFS(OpenLCAbasic!$J:$J,OpenLCAbasic!$E:$E, U$11, OpenLCAbasic!$D:$D, U$10, OpenLCAbasic!$F:$F,U$9,OpenLCAbasic!$L:$L,$I$5,OpenLCAbasic!$I:$I,INDEX(LookUps!$G$5:$G$21,MATCH(G31, LookUps!$J$5:$J$21,0)), OpenLCAbasic!$B:$B, U$14, OpenLCAbasic!$C:$C, U$12),
SUMIFS(OpenLCAbasic!$J:$J,OpenLCAbasic!$E:$E, U$11, OpenLCAbasic!$D:$D, U$10, OpenLCAbasic!$F:$F,U$9,OpenLCAbasic!$L:$L,$I$5,OpenLCAbasic!$I:$I,G31, OpenLCAbasic!$B:$B, U$14, OpenLCAbasic!$C:$C, U$12)
)))))</f>
        <v>0</v>
      </c>
      <c r="V31" s="302"/>
      <c r="W31" s="303">
        <f>IF(AND(W$9="Legacy",B31=B$38,OR(W$11="Low",W$11="High")),
INDEX(OpenLCAbasic!$J:$J,MATCH(CONCATENATE(W$10,"_","Base","_","Legacy_",$I$6,"_",B31,"_",W$13,"_n.a."),OpenLCAbasic!$M:$M,0)),
IF(AND(W$9="Legacy",ISERROR(MATCH(B31,LookUps!$H$5:$H$20,0))),"--",
IF(W$9="Legacy",SUMIFS(OpenLCAbasic!$J:$J,OpenLCAbasic!$E:$E,"Base",OpenLCAbasic!$D:$D,"Base",OpenLCAbasic!$F:$F,W$9,OpenLCAbasic!$L:$L,$I$6,OpenLCAbasic!$I:$I,B31,OpenLCAbasic!$C:$C,W$13),
IF(AND(W$9="Upgraded", OR(W$11="Low", W$11="High"), OR(B31=B$37, B31=B$36)),
INDEX(OpenLCAbasic!$J:$J, MATCH(CONCATENATE(W$11, "_", W$10, "_", "Upgraded_",$I$6,"_",B31, "_", W$12, "_", W$14), OpenLCAbasic!$M:$M,0)),
IF(AND(ISERROR(MATCH(B31, LookUps!$G$5:$G$21,0)), W$9="Upgraded"),
SUMIFS(OpenLCAbasic!$J:$J,OpenLCAbasic!$E:$E, W$11, OpenLCAbasic!$D:$D, W$10, OpenLCAbasic!$F:$F,W$9,OpenLCAbasic!$L:$L,$I$6,OpenLCAbasic!$I:$I,INDEX(LookUps!$G$5:$G$21,MATCH(B31, LookUps!$J$5:$J$21,0)), OpenLCAbasic!$B:$B, W$14, OpenLCAbasic!$C:$C, W$12),
SUMIFS(OpenLCAbasic!$J:$J,OpenLCAbasic!$E:$E, W$11, OpenLCAbasic!$D:$D, W$10, OpenLCAbasic!$F:$F,W$9,OpenLCAbasic!$L:$L,$I$6,OpenLCAbasic!$I:$I,B31, OpenLCAbasic!$B:$B, W$14, OpenLCAbasic!$C:$C, W$12)
)))))</f>
        <v>3.0418400000000001E-6</v>
      </c>
      <c r="X31" s="304">
        <f>IF(AND(X$9="Legacy",C31=C$38,OR(X$11="Low",X$11="High")),
INDEX(OpenLCAbasic!$J:$J,MATCH(CONCATENATE(X$10,"_","Base","_","Legacy_",$I$6,"_",C31,"_",X$13,"_n.a."),OpenLCAbasic!$M:$M,0)),
IF(AND(X$9="Legacy",ISERROR(MATCH(C31,LookUps!$H$5:$H$20,0))),"--",
IF(X$9="Legacy",SUMIFS(OpenLCAbasic!$J:$J,OpenLCAbasic!$E:$E,"Base",OpenLCAbasic!$D:$D,"Base",OpenLCAbasic!$F:$F,X$9,OpenLCAbasic!$L:$L,$I$6,OpenLCAbasic!$I:$I,C31,OpenLCAbasic!$C:$C,X$13),
IF(AND(X$9="Upgraded", OR(X$11="Low", X$11="High"), OR(C31=C$37, C31=C$36)),
INDEX(OpenLCAbasic!$J:$J, MATCH(CONCATENATE(X$11, "_", X$10, "_", "Upgraded_",$I$6,"_",C31, "_", X$12, "_", X$14), OpenLCAbasic!$M:$M,0)),
IF(AND(ISERROR(MATCH(C31, LookUps!$G$5:$G$21,0)), X$9="Upgraded"),
SUMIFS(OpenLCAbasic!$J:$J,OpenLCAbasic!$E:$E, X$11, OpenLCAbasic!$D:$D, X$10, OpenLCAbasic!$F:$F,X$9,OpenLCAbasic!$L:$L,$I$6,OpenLCAbasic!$I:$I,INDEX(LookUps!$G$5:$G$21,MATCH(C31, LookUps!$J$5:$J$21,0)), OpenLCAbasic!$B:$B, X$14, OpenLCAbasic!$C:$C, X$12),
SUMIFS(OpenLCAbasic!$J:$J,OpenLCAbasic!$E:$E, X$11, OpenLCAbasic!$D:$D, X$10, OpenLCAbasic!$F:$F,X$9,OpenLCAbasic!$L:$L,$I$6,OpenLCAbasic!$I:$I,C31, OpenLCAbasic!$B:$B, X$14, OpenLCAbasic!$C:$C, X$12)
)))))</f>
        <v>0</v>
      </c>
      <c r="Y31" s="304">
        <f>IF(AND(Y$9="Legacy",D31=D$38,OR(Y$11="Low",Y$11="High")),
INDEX(OpenLCAbasic!$J:$J,MATCH(CONCATENATE(Y$10,"_","Base","_","Legacy_",$I$6,"_",D31,"_",Y$13,"_n.a."),OpenLCAbasic!$M:$M,0)),
IF(AND(Y$9="Legacy",ISERROR(MATCH(D31,LookUps!$H$5:$H$20,0))),"--",
IF(Y$9="Legacy",SUMIFS(OpenLCAbasic!$J:$J,OpenLCAbasic!$E:$E,"Base",OpenLCAbasic!$D:$D,"Base",OpenLCAbasic!$F:$F,Y$9,OpenLCAbasic!$L:$L,$I$6,OpenLCAbasic!$I:$I,D31,OpenLCAbasic!$C:$C,Y$13),
IF(AND(Y$9="Upgraded", OR(Y$11="Low", Y$11="High"), OR(D31=D$37, D31=D$36)),
INDEX(OpenLCAbasic!$J:$J, MATCH(CONCATENATE(Y$11, "_", Y$10, "_", "Upgraded_",$I$6,"_",D31, "_", Y$12, "_", Y$14), OpenLCAbasic!$M:$M,0)),
IF(AND(ISERROR(MATCH(D31, LookUps!$G$5:$G$21,0)), Y$9="Upgraded"),
SUMIFS(OpenLCAbasic!$J:$J,OpenLCAbasic!$E:$E, Y$11, OpenLCAbasic!$D:$D, Y$10, OpenLCAbasic!$F:$F,Y$9,OpenLCAbasic!$L:$L,$I$6,OpenLCAbasic!$I:$I,INDEX(LookUps!$G$5:$G$21,MATCH(D31, LookUps!$J$5:$J$21,0)), OpenLCAbasic!$B:$B, Y$14, OpenLCAbasic!$C:$C, Y$12),
SUMIFS(OpenLCAbasic!$J:$J,OpenLCAbasic!$E:$E, Y$11, OpenLCAbasic!$D:$D, Y$10, OpenLCAbasic!$F:$F,Y$9,OpenLCAbasic!$L:$L,$I$6,OpenLCAbasic!$I:$I,D31, OpenLCAbasic!$B:$B, Y$14, OpenLCAbasic!$C:$C, Y$12)
)))))</f>
        <v>0</v>
      </c>
      <c r="Z31" s="304">
        <f>IF(AND(Z$9="Legacy",E31=E$38,OR(Z$11="Low",Z$11="High")),
INDEX(OpenLCAbasic!$J:$J,MATCH(CONCATENATE(Z$10,"_","Base","_","Legacy_",$I$6,"_",E31,"_",Z$13,"_n.a."),OpenLCAbasic!$M:$M,0)),
IF(AND(Z$9="Legacy",ISERROR(MATCH(E31,LookUps!$H$5:$H$20,0))),"--",
IF(Z$9="Legacy",SUMIFS(OpenLCAbasic!$J:$J,OpenLCAbasic!$E:$E,"Base",OpenLCAbasic!$D:$D,"Base",OpenLCAbasic!$F:$F,Z$9,OpenLCAbasic!$L:$L,$I$6,OpenLCAbasic!$I:$I,E31,OpenLCAbasic!$C:$C,Z$13),
IF(AND(Z$9="Upgraded", OR(Z$11="Low", Z$11="High"), OR(E31=E$37, E31=E$36)),
INDEX(OpenLCAbasic!$J:$J, MATCH(CONCATENATE(Z$11, "_", Z$10, "_", "Upgraded_",$I$6,"_",E31, "_", Z$12, "_", Z$14), OpenLCAbasic!$M:$M,0)),
IF(AND(ISERROR(MATCH(E31, LookUps!$G$5:$G$21,0)), Z$9="Upgraded"),
SUMIFS(OpenLCAbasic!$J:$J,OpenLCAbasic!$E:$E, Z$11, OpenLCAbasic!$D:$D, Z$10, OpenLCAbasic!$F:$F,Z$9,OpenLCAbasic!$L:$L,$I$6,OpenLCAbasic!$I:$I,INDEX(LookUps!$G$5:$G$21,MATCH(E31, LookUps!$J$5:$J$21,0)), OpenLCAbasic!$B:$B, Z$14, OpenLCAbasic!$C:$C, Z$12),
SUMIFS(OpenLCAbasic!$J:$J,OpenLCAbasic!$E:$E, Z$11, OpenLCAbasic!$D:$D, Z$10, OpenLCAbasic!$F:$F,Z$9,OpenLCAbasic!$L:$L,$I$6,OpenLCAbasic!$I:$I,E31, OpenLCAbasic!$B:$B, Z$14, OpenLCAbasic!$C:$C, Z$12)
)))))</f>
        <v>0</v>
      </c>
      <c r="AA31" s="304">
        <f>IF(AND(AA$9="Legacy",F31=F$38,OR(AA$11="Low",AA$11="High")),
INDEX(OpenLCAbasic!$J:$J,MATCH(CONCATENATE(AA$10,"_","Base","_","Legacy_",$I$6,"_",F31,"_",AA$13,"_n.a."),OpenLCAbasic!$M:$M,0)),
IF(AND(AA$9="Legacy",ISERROR(MATCH(F31,LookUps!$H$5:$H$20,0))),"--",
IF(AA$9="Legacy",SUMIFS(OpenLCAbasic!$J:$J,OpenLCAbasic!$E:$E,"Base",OpenLCAbasic!$D:$D,"Base",OpenLCAbasic!$F:$F,AA$9,OpenLCAbasic!$L:$L,$I$6,OpenLCAbasic!$I:$I,F31,OpenLCAbasic!$C:$C,AA$13),
IF(AND(AA$9="Upgraded", OR(AA$11="Low", AA$11="High"), OR(F31=F$37, F31=F$36)),
INDEX(OpenLCAbasic!$J:$J, MATCH(CONCATENATE(AA$11, "_", AA$10, "_", "Upgraded_",$I$6,"_",F31, "_", AA$12, "_", AA$14), OpenLCAbasic!$M:$M,0)),
IF(AND(ISERROR(MATCH(F31, LookUps!$G$5:$G$21,0)), AA$9="Upgraded"),
SUMIFS(OpenLCAbasic!$J:$J,OpenLCAbasic!$E:$E, AA$11, OpenLCAbasic!$D:$D, AA$10, OpenLCAbasic!$F:$F,AA$9,OpenLCAbasic!$L:$L,$I$6,OpenLCAbasic!$I:$I,INDEX(LookUps!$G$5:$G$21,MATCH(F31, LookUps!$J$5:$J$21,0)), OpenLCAbasic!$B:$B, AA$14, OpenLCAbasic!$C:$C, AA$12),
SUMIFS(OpenLCAbasic!$J:$J,OpenLCAbasic!$E:$E, AA$11, OpenLCAbasic!$D:$D, AA$10, OpenLCAbasic!$F:$F,AA$9,OpenLCAbasic!$L:$L,$I$6,OpenLCAbasic!$I:$I,F31, OpenLCAbasic!$B:$B, AA$14, OpenLCAbasic!$C:$C, AA$12)
)))))</f>
        <v>0</v>
      </c>
      <c r="AB31" s="304">
        <f>IF(AND(AB$9="Legacy",G31=G$38,OR(AB$11="Low",AB$11="High")),
INDEX(OpenLCAbasic!$J:$J,MATCH(CONCATENATE(AB$10,"_","Base","_","Legacy_",$I$6,"_",G31,"_",AB$13,"_n.a."),OpenLCAbasic!$M:$M,0)),
IF(AND(AB$9="Legacy",ISERROR(MATCH(G31,LookUps!$H$5:$H$20,0))),"--",
IF(AB$9="Legacy",SUMIFS(OpenLCAbasic!$J:$J,OpenLCAbasic!$E:$E,"Base",OpenLCAbasic!$D:$D,"Base",OpenLCAbasic!$F:$F,AB$9,OpenLCAbasic!$L:$L,$I$6,OpenLCAbasic!$I:$I,G31,OpenLCAbasic!$C:$C,AB$13),
IF(AND(AB$9="Upgraded", OR(AB$11="Low", AB$11="High"), OR(G31=G$37, G31=G$36)),
INDEX(OpenLCAbasic!$J:$J, MATCH(CONCATENATE(AB$11, "_", AB$10, "_", "Upgraded_",$I$6,"_",G31, "_", AB$12, "_", AB$14), OpenLCAbasic!$M:$M,0)),
IF(AND(ISERROR(MATCH(G31, LookUps!$G$5:$G$21,0)), AB$9="Upgraded"),
SUMIFS(OpenLCAbasic!$J:$J,OpenLCAbasic!$E:$E, AB$11, OpenLCAbasic!$D:$D, AB$10, OpenLCAbasic!$F:$F,AB$9,OpenLCAbasic!$L:$L,$I$6,OpenLCAbasic!$I:$I,INDEX(LookUps!$G$5:$G$21,MATCH(G31, LookUps!$J$5:$J$21,0)), OpenLCAbasic!$B:$B, AB$14, OpenLCAbasic!$C:$C, AB$12),
SUMIFS(OpenLCAbasic!$J:$J,OpenLCAbasic!$E:$E, AB$11, OpenLCAbasic!$D:$D, AB$10, OpenLCAbasic!$F:$F,AB$9,OpenLCAbasic!$L:$L,$I$6,OpenLCAbasic!$I:$I,G31, OpenLCAbasic!$B:$B, AB$14, OpenLCAbasic!$C:$C, AB$12)
)))))</f>
        <v>0</v>
      </c>
    </row>
    <row r="32" spans="2:28" x14ac:dyDescent="0.25">
      <c r="B32" s="99" t="str">
        <f t="shared" si="15"/>
        <v>Blend Tank; wastewater treatment unit; at updated plant - US</v>
      </c>
      <c r="C32" s="99" t="str">
        <f t="shared" si="14"/>
        <v>Blend Tank; wastewater treatment unit; at updated plant - US</v>
      </c>
      <c r="D32" s="99" t="str">
        <f t="shared" si="14"/>
        <v>Blend Tank; wastewater treatment unit; at updated plant - US</v>
      </c>
      <c r="E32" s="99" t="str">
        <f t="shared" si="14"/>
        <v>Blend Tank; wastewater treatment unit; at updated plant - US</v>
      </c>
      <c r="F32" s="99" t="str">
        <f t="shared" si="14"/>
        <v>Blend Tank; wastewater treatment unit; at updated plant - US</v>
      </c>
      <c r="G32" s="99" t="str">
        <f t="shared" si="14"/>
        <v>Blend Tank; wastewater treatment unit; at updated plant - US</v>
      </c>
      <c r="H32" s="266" t="str">
        <f>LookUps!$G$14</f>
        <v>Blend Tank; wastewater treatment unit; at updated plant - US</v>
      </c>
      <c r="I32" s="274" t="str">
        <f>IF(AND(I$9="Legacy",B32=B$38,OR(I$11="Low",I$11="High")),
INDEX(OpenLCAbasic!$J:$J,MATCH(CONCATENATE(I$10,"_","Base","_","Legacy_",$I$4,"_",B32,"_",I$13,"_n.a."),OpenLCAbasic!$M:$M,0)),
IF(AND(I$9="Legacy",ISERROR(MATCH(B32,LookUps!$H$5:$H$20,0))),"--",
IF(I$9="Legacy",SUMIFS(OpenLCAbasic!$J:$J,OpenLCAbasic!$E:$E,"Base",OpenLCAbasic!$D:$D,"Base",OpenLCAbasic!$F:$F,I$9,OpenLCAbasic!$L:$L,$I$4,OpenLCAbasic!$I:$I,B32,OpenLCAbasic!$C:$C,I$13),
IF(AND(I$9="Upgraded", OR(I$11="Low", I$11="High"), OR(B32=B$37, B32=B$36)),
INDEX(OpenLCAbasic!$J:$J, MATCH(CONCATENATE(I$11, "_", I$10, "_", "Upgraded_",$I$4,"_",B32, "_", I$12, "_", I$14), OpenLCAbasic!$M:$M,0)),
IF(AND(ISERROR(MATCH(B32, LookUps!$G$5:$G$21,0)), I$9="Upgraded"),
SUMIFS(OpenLCAbasic!$J:$J,OpenLCAbasic!$E:$E, I$11, OpenLCAbasic!$D:$D, I$10, OpenLCAbasic!$F:$F,I$9,OpenLCAbasic!$L:$L,$I$4,OpenLCAbasic!$I:$I,INDEX(LookUps!$G$5:$G$21,MATCH(B32, LookUps!$J$5:$J$21,0)), OpenLCAbasic!$B:$B, I$14, OpenLCAbasic!$C:$C, I$12),
SUMIFS(OpenLCAbasic!$J:$J,OpenLCAbasic!$E:$E, I$11, OpenLCAbasic!$D:$D, I$10, OpenLCAbasic!$F:$F,I$9,OpenLCAbasic!$L:$L,$I$4,OpenLCAbasic!$I:$I,B32, OpenLCAbasic!$B:$B, I$14, OpenLCAbasic!$C:$C, I$12)
)))))</f>
        <v>--</v>
      </c>
      <c r="J32" s="301">
        <f>IF(AND(J$9="Legacy",C32=C$38,OR(J$11="Low",J$11="High")),
INDEX(OpenLCAbasic!$J:$J,MATCH(CONCATENATE(J$10,"_","Base","_","Legacy_",$I$4,"_",C32,"_",J$13,"_n.a."),OpenLCAbasic!$M:$M,0)),
IF(AND(J$9="Legacy",ISERROR(MATCH(C32,LookUps!$H$5:$H$20,0))),"--",
IF(J$9="Legacy",SUMIFS(OpenLCAbasic!$J:$J,OpenLCAbasic!$E:$E,"Base",OpenLCAbasic!$D:$D,"Base",OpenLCAbasic!$F:$F,J$9,OpenLCAbasic!$L:$L,$I$4,OpenLCAbasic!$I:$I,C32,OpenLCAbasic!$C:$C,J$13),
IF(AND(J$9="Upgraded", OR(J$11="Low", J$11="High"), OR(C32=C$37, C32=C$36)),
INDEX(OpenLCAbasic!$J:$J, MATCH(CONCATENATE(J$11, "_", J$10, "_", "Upgraded_",$I$4,"_",C32, "_", J$12, "_", J$14), OpenLCAbasic!$M:$M,0)),
IF(AND(ISERROR(MATCH(C32, LookUps!$G$5:$G$21,0)), J$9="Upgraded"),
SUMIFS(OpenLCAbasic!$J:$J,OpenLCAbasic!$E:$E, J$11, OpenLCAbasic!$D:$D, J$10, OpenLCAbasic!$F:$F,J$9,OpenLCAbasic!$L:$L,$I$4,OpenLCAbasic!$I:$I,INDEX(LookUps!$G$5:$G$21,MATCH(C32, LookUps!$J$5:$J$21,0)), OpenLCAbasic!$B:$B, J$14, OpenLCAbasic!$C:$C, J$12),
SUMIFS(OpenLCAbasic!$J:$J,OpenLCAbasic!$E:$E, J$11, OpenLCAbasic!$D:$D, J$10, OpenLCAbasic!$F:$F,J$9,OpenLCAbasic!$L:$L,$I$4,OpenLCAbasic!$I:$I,C32, OpenLCAbasic!$B:$B, J$14, OpenLCAbasic!$C:$C, J$12)
)))))</f>
        <v>0.10638</v>
      </c>
      <c r="K32" s="301">
        <f>IF(AND(K$9="Legacy",D32=D$38,OR(K$11="Low",K$11="High")),
INDEX(OpenLCAbasic!$J:$J,MATCH(CONCATENATE(K$10,"_","Base","_","Legacy_",$I$4,"_",D32,"_",K$13,"_n.a."),OpenLCAbasic!$M:$M,0)),
IF(AND(K$9="Legacy",ISERROR(MATCH(D32,LookUps!$H$5:$H$20,0))),"--",
IF(K$9="Legacy",SUMIFS(OpenLCAbasic!$J:$J,OpenLCAbasic!$E:$E,"Base",OpenLCAbasic!$D:$D,"Base",OpenLCAbasic!$F:$F,K$9,OpenLCAbasic!$L:$L,$I$4,OpenLCAbasic!$I:$I,D32,OpenLCAbasic!$C:$C,K$13),
IF(AND(K$9="Upgraded", OR(K$11="Low", K$11="High"), OR(D32=D$37, D32=D$36)),
INDEX(OpenLCAbasic!$J:$J, MATCH(CONCATENATE(K$11, "_", K$10, "_", "Upgraded_",$I$4,"_",D32, "_", K$12, "_", K$14), OpenLCAbasic!$M:$M,0)),
IF(AND(ISERROR(MATCH(D32, LookUps!$G$5:$G$21,0)), K$9="Upgraded"),
SUMIFS(OpenLCAbasic!$J:$J,OpenLCAbasic!$E:$E, K$11, OpenLCAbasic!$D:$D, K$10, OpenLCAbasic!$F:$F,K$9,OpenLCAbasic!$L:$L,$I$4,OpenLCAbasic!$I:$I,INDEX(LookUps!$G$5:$G$21,MATCH(D32, LookUps!$J$5:$J$21,0)), OpenLCAbasic!$B:$B, K$14, OpenLCAbasic!$C:$C, K$12),
SUMIFS(OpenLCAbasic!$J:$J,OpenLCAbasic!$E:$E, K$11, OpenLCAbasic!$D:$D, K$10, OpenLCAbasic!$F:$F,K$9,OpenLCAbasic!$L:$L,$I$4,OpenLCAbasic!$I:$I,D32, OpenLCAbasic!$B:$B, K$14, OpenLCAbasic!$C:$C, K$12)
)))))</f>
        <v>0.10638</v>
      </c>
      <c r="L32" s="301">
        <f>IF(AND(L$9="Legacy",E32=E$38,OR(L$11="Low",L$11="High")),
INDEX(OpenLCAbasic!$J:$J,MATCH(CONCATENATE(L$10,"_","Base","_","Legacy_",$I$4,"_",E32,"_",L$13,"_n.a."),OpenLCAbasic!$M:$M,0)),
IF(AND(L$9="Legacy",ISERROR(MATCH(E32,LookUps!$H$5:$H$20,0))),"--",
IF(L$9="Legacy",SUMIFS(OpenLCAbasic!$J:$J,OpenLCAbasic!$E:$E,"Base",OpenLCAbasic!$D:$D,"Base",OpenLCAbasic!$F:$F,L$9,OpenLCAbasic!$L:$L,$I$4,OpenLCAbasic!$I:$I,E32,OpenLCAbasic!$C:$C,L$13),
IF(AND(L$9="Upgraded", OR(L$11="Low", L$11="High"), OR(E32=E$37, E32=E$36)),
INDEX(OpenLCAbasic!$J:$J, MATCH(CONCATENATE(L$11, "_", L$10, "_", "Upgraded_",$I$4,"_",E32, "_", L$12, "_", L$14), OpenLCAbasic!$M:$M,0)),
IF(AND(ISERROR(MATCH(E32, LookUps!$G$5:$G$21,0)), L$9="Upgraded"),
SUMIFS(OpenLCAbasic!$J:$J,OpenLCAbasic!$E:$E, L$11, OpenLCAbasic!$D:$D, L$10, OpenLCAbasic!$F:$F,L$9,OpenLCAbasic!$L:$L,$I$4,OpenLCAbasic!$I:$I,INDEX(LookUps!$G$5:$G$21,MATCH(E32, LookUps!$J$5:$J$21,0)), OpenLCAbasic!$B:$B, L$14, OpenLCAbasic!$C:$C, L$12),
SUMIFS(OpenLCAbasic!$J:$J,OpenLCAbasic!$E:$E, L$11, OpenLCAbasic!$D:$D, L$10, OpenLCAbasic!$F:$F,L$9,OpenLCAbasic!$L:$L,$I$4,OpenLCAbasic!$I:$I,E32, OpenLCAbasic!$B:$B, L$14, OpenLCAbasic!$C:$C, L$12)
)))))</f>
        <v>0.10638</v>
      </c>
      <c r="M32" s="301">
        <f>IF(AND(M$9="Legacy",F32=F$38,OR(M$11="Low",M$11="High")),
INDEX(OpenLCAbasic!$J:$J,MATCH(CONCATENATE(M$10,"_","Base","_","Legacy_",$I$4,"_",F32,"_",M$13,"_n.a."),OpenLCAbasic!$M:$M,0)),
IF(AND(M$9="Legacy",ISERROR(MATCH(F32,LookUps!$H$5:$H$20,0))),"--",
IF(M$9="Legacy",SUMIFS(OpenLCAbasic!$J:$J,OpenLCAbasic!$E:$E,"Base",OpenLCAbasic!$D:$D,"Base",OpenLCAbasic!$F:$F,M$9,OpenLCAbasic!$L:$L,$I$4,OpenLCAbasic!$I:$I,F32,OpenLCAbasic!$C:$C,M$13),
IF(AND(M$9="Upgraded", OR(M$11="Low", M$11="High"), OR(F32=F$37, F32=F$36)),
INDEX(OpenLCAbasic!$J:$J, MATCH(CONCATENATE(M$11, "_", M$10, "_", "Upgraded_",$I$4,"_",F32, "_", M$12, "_", M$14), OpenLCAbasic!$M:$M,0)),
IF(AND(ISERROR(MATCH(F32, LookUps!$G$5:$G$21,0)), M$9="Upgraded"),
SUMIFS(OpenLCAbasic!$J:$J,OpenLCAbasic!$E:$E, M$11, OpenLCAbasic!$D:$D, M$10, OpenLCAbasic!$F:$F,M$9,OpenLCAbasic!$L:$L,$I$4,OpenLCAbasic!$I:$I,INDEX(LookUps!$G$5:$G$21,MATCH(F32, LookUps!$J$5:$J$21,0)), OpenLCAbasic!$B:$B, M$14, OpenLCAbasic!$C:$C, M$12),
SUMIFS(OpenLCAbasic!$J:$J,OpenLCAbasic!$E:$E, M$11, OpenLCAbasic!$D:$D, M$10, OpenLCAbasic!$F:$F,M$9,OpenLCAbasic!$L:$L,$I$4,OpenLCAbasic!$I:$I,F32, OpenLCAbasic!$B:$B, M$14, OpenLCAbasic!$C:$C, M$12)
)))))</f>
        <v>0.10638</v>
      </c>
      <c r="N32" s="301">
        <f>IF(AND(N$9="Legacy",G32=G$38,OR(N$11="Low",N$11="High")),
INDEX(OpenLCAbasic!$J:$J,MATCH(CONCATENATE(N$10,"_","Base","_","Legacy_",$I$4,"_",G32,"_",N$13,"_n.a."),OpenLCAbasic!$M:$M,0)),
IF(AND(N$9="Legacy",ISERROR(MATCH(G32,LookUps!$H$5:$H$20,0))),"--",
IF(N$9="Legacy",SUMIFS(OpenLCAbasic!$J:$J,OpenLCAbasic!$E:$E,"Base",OpenLCAbasic!$D:$D,"Base",OpenLCAbasic!$F:$F,N$9,OpenLCAbasic!$L:$L,$I$4,OpenLCAbasic!$I:$I,G32,OpenLCAbasic!$C:$C,N$13),
IF(AND(N$9="Upgraded", OR(N$11="Low", N$11="High"), OR(G32=G$37, G32=G$36)),
INDEX(OpenLCAbasic!$J:$J, MATCH(CONCATENATE(N$11, "_", N$10, "_", "Upgraded_",$I$4,"_",G32, "_", N$12, "_", N$14), OpenLCAbasic!$M:$M,0)),
IF(AND(ISERROR(MATCH(G32, LookUps!$G$5:$G$21,0)), N$9="Upgraded"),
SUMIFS(OpenLCAbasic!$J:$J,OpenLCAbasic!$E:$E, N$11, OpenLCAbasic!$D:$D, N$10, OpenLCAbasic!$F:$F,N$9,OpenLCAbasic!$L:$L,$I$4,OpenLCAbasic!$I:$I,INDEX(LookUps!$G$5:$G$21,MATCH(G32, LookUps!$J$5:$J$21,0)), OpenLCAbasic!$B:$B, N$14, OpenLCAbasic!$C:$C, N$12),
SUMIFS(OpenLCAbasic!$J:$J,OpenLCAbasic!$E:$E, N$11, OpenLCAbasic!$D:$D, N$10, OpenLCAbasic!$F:$F,N$9,OpenLCAbasic!$L:$L,$I$4,OpenLCAbasic!$I:$I,G32, OpenLCAbasic!$B:$B, N$14, OpenLCAbasic!$C:$C, N$12)
)))))</f>
        <v>0.10638</v>
      </c>
      <c r="O32" s="302"/>
      <c r="P32" s="274" t="str">
        <f>IF(AND(P$9="Legacy",B32=B$38,OR(P$11="Low",P$11="High")),
INDEX(OpenLCAbasic!$J:$J,MATCH(CONCATENATE(P$10,"_","Base","_","Legacy_",$I$5,"_",B32,"_",P$13,"_n.a."),OpenLCAbasic!$M:$M,0)),
IF(AND(P$9="Legacy",ISERROR(MATCH(B32,LookUps!$H$5:$H$20,0))),"--",
IF(P$9="Legacy",SUMIFS(OpenLCAbasic!$J:$J,OpenLCAbasic!$E:$E,"Base",OpenLCAbasic!$D:$D,"Base",OpenLCAbasic!$F:$F,P$9,OpenLCAbasic!$L:$L,$I$5,OpenLCAbasic!$I:$I,B32,OpenLCAbasic!$C:$C,P$13),
IF(AND(P$9="Upgraded", OR(P$11="Low", P$11="High"), OR(B32=B$37, B32=B$36)),
INDEX(OpenLCAbasic!$J:$J, MATCH(CONCATENATE(P$11, "_", P$10, "_", "Upgraded_",$I$5,"_",B32, "_", P$12, "_", P$14), OpenLCAbasic!$M:$M,0)),
IF(AND(ISERROR(MATCH(B32, LookUps!$G$5:$G$21,0)), P$9="Upgraded"),
SUMIFS(OpenLCAbasic!$J:$J,OpenLCAbasic!$E:$E, P$11, OpenLCAbasic!$D:$D, P$10, OpenLCAbasic!$F:$F,P$9,OpenLCAbasic!$L:$L,$I$5,OpenLCAbasic!$I:$I,INDEX(LookUps!$G$5:$G$21,MATCH(B32, LookUps!$J$5:$J$21,0)), OpenLCAbasic!$B:$B, P$14, OpenLCAbasic!$C:$C, P$12),
SUMIFS(OpenLCAbasic!$J:$J,OpenLCAbasic!$E:$E, P$11, OpenLCAbasic!$D:$D, P$10, OpenLCAbasic!$F:$F,P$9,OpenLCAbasic!$L:$L,$I$5,OpenLCAbasic!$I:$I,B32, OpenLCAbasic!$B:$B, P$14, OpenLCAbasic!$C:$C, P$12)
)))))</f>
        <v>--</v>
      </c>
      <c r="Q32" s="303">
        <f>IF(AND(Q$9="Legacy",C32=C$38,OR(Q$11="Low",Q$11="High")),
INDEX(OpenLCAbasic!$J:$J,MATCH(CONCATENATE(Q$10,"_","Base","_","Legacy_",$I$5,"_",C32,"_",Q$13,"_n.a."),OpenLCAbasic!$M:$M,0)),
IF(AND(Q$9="Legacy",ISERROR(MATCH(C32,LookUps!$H$5:$H$20,0))),"--",
IF(Q$9="Legacy",SUMIFS(OpenLCAbasic!$J:$J,OpenLCAbasic!$E:$E,"Base",OpenLCAbasic!$D:$D,"Base",OpenLCAbasic!$F:$F,Q$9,OpenLCAbasic!$L:$L,$I$5,OpenLCAbasic!$I:$I,C32,OpenLCAbasic!$C:$C,Q$13),
IF(AND(Q$9="Upgraded", OR(Q$11="Low", Q$11="High"), OR(C32=C$37, C32=C$36)),
INDEX(OpenLCAbasic!$J:$J, MATCH(CONCATENATE(Q$11, "_", Q$10, "_", "Upgraded_",$I$5,"_",C32, "_", Q$12, "_", Q$14), OpenLCAbasic!$M:$M,0)),
IF(AND(ISERROR(MATCH(C32, LookUps!$G$5:$G$21,0)), Q$9="Upgraded"),
SUMIFS(OpenLCAbasic!$J:$J,OpenLCAbasic!$E:$E, Q$11, OpenLCAbasic!$D:$D, Q$10, OpenLCAbasic!$F:$F,Q$9,OpenLCAbasic!$L:$L,$I$5,OpenLCAbasic!$I:$I,INDEX(LookUps!$G$5:$G$21,MATCH(C32, LookUps!$J$5:$J$21,0)), OpenLCAbasic!$B:$B, Q$14, OpenLCAbasic!$C:$C, Q$12),
SUMIFS(OpenLCAbasic!$J:$J,OpenLCAbasic!$E:$E, Q$11, OpenLCAbasic!$D:$D, Q$10, OpenLCAbasic!$F:$F,Q$9,OpenLCAbasic!$L:$L,$I$5,OpenLCAbasic!$I:$I,C32, OpenLCAbasic!$B:$B, Q$14, OpenLCAbasic!$C:$C, Q$12)
)))))</f>
        <v>5.0400000000000002E-3</v>
      </c>
      <c r="R32" s="303">
        <f>IF(AND(R$9="Legacy",D32=D$38,OR(R$11="Low",R$11="High")),
INDEX(OpenLCAbasic!$J:$J,MATCH(CONCATENATE(R$10,"_","Base","_","Legacy_",$I$5,"_",D32,"_",R$13,"_n.a."),OpenLCAbasic!$M:$M,0)),
IF(AND(R$9="Legacy",ISERROR(MATCH(D32,LookUps!$H$5:$H$20,0))),"--",
IF(R$9="Legacy",SUMIFS(OpenLCAbasic!$J:$J,OpenLCAbasic!$E:$E,"Base",OpenLCAbasic!$D:$D,"Base",OpenLCAbasic!$F:$F,R$9,OpenLCAbasic!$L:$L,$I$5,OpenLCAbasic!$I:$I,D32,OpenLCAbasic!$C:$C,R$13),
IF(AND(R$9="Upgraded", OR(R$11="Low", R$11="High"), OR(D32=D$37, D32=D$36)),
INDEX(OpenLCAbasic!$J:$J, MATCH(CONCATENATE(R$11, "_", R$10, "_", "Upgraded_",$I$5,"_",D32, "_", R$12, "_", R$14), OpenLCAbasic!$M:$M,0)),
IF(AND(ISERROR(MATCH(D32, LookUps!$G$5:$G$21,0)), R$9="Upgraded"),
SUMIFS(OpenLCAbasic!$J:$J,OpenLCAbasic!$E:$E, R$11, OpenLCAbasic!$D:$D, R$10, OpenLCAbasic!$F:$F,R$9,OpenLCAbasic!$L:$L,$I$5,OpenLCAbasic!$I:$I,INDEX(LookUps!$G$5:$G$21,MATCH(D32, LookUps!$J$5:$J$21,0)), OpenLCAbasic!$B:$B, R$14, OpenLCAbasic!$C:$C, R$12),
SUMIFS(OpenLCAbasic!$J:$J,OpenLCAbasic!$E:$E, R$11, OpenLCAbasic!$D:$D, R$10, OpenLCAbasic!$F:$F,R$9,OpenLCAbasic!$L:$L,$I$5,OpenLCAbasic!$I:$I,D32, OpenLCAbasic!$B:$B, R$14, OpenLCAbasic!$C:$C, R$12)
)))))</f>
        <v>5.0400000000000002E-3</v>
      </c>
      <c r="S32" s="303">
        <f>IF(AND(S$9="Legacy",E32=E$38,OR(S$11="Low",S$11="High")),
INDEX(OpenLCAbasic!$J:$J,MATCH(CONCATENATE(S$10,"_","Base","_","Legacy_",$I$5,"_",E32,"_",S$13,"_n.a."),OpenLCAbasic!$M:$M,0)),
IF(AND(S$9="Legacy",ISERROR(MATCH(E32,LookUps!$H$5:$H$20,0))),"--",
IF(S$9="Legacy",SUMIFS(OpenLCAbasic!$J:$J,OpenLCAbasic!$E:$E,"Base",OpenLCAbasic!$D:$D,"Base",OpenLCAbasic!$F:$F,S$9,OpenLCAbasic!$L:$L,$I$5,OpenLCAbasic!$I:$I,E32,OpenLCAbasic!$C:$C,S$13),
IF(AND(S$9="Upgraded", OR(S$11="Low", S$11="High"), OR(E32=E$37, E32=E$36)),
INDEX(OpenLCAbasic!$J:$J, MATCH(CONCATENATE(S$11, "_", S$10, "_", "Upgraded_",$I$5,"_",E32, "_", S$12, "_", S$14), OpenLCAbasic!$M:$M,0)),
IF(AND(ISERROR(MATCH(E32, LookUps!$G$5:$G$21,0)), S$9="Upgraded"),
SUMIFS(OpenLCAbasic!$J:$J,OpenLCAbasic!$E:$E, S$11, OpenLCAbasic!$D:$D, S$10, OpenLCAbasic!$F:$F,S$9,OpenLCAbasic!$L:$L,$I$5,OpenLCAbasic!$I:$I,INDEX(LookUps!$G$5:$G$21,MATCH(E32, LookUps!$J$5:$J$21,0)), OpenLCAbasic!$B:$B, S$14, OpenLCAbasic!$C:$C, S$12),
SUMIFS(OpenLCAbasic!$J:$J,OpenLCAbasic!$E:$E, S$11, OpenLCAbasic!$D:$D, S$10, OpenLCAbasic!$F:$F,S$9,OpenLCAbasic!$L:$L,$I$5,OpenLCAbasic!$I:$I,E32, OpenLCAbasic!$B:$B, S$14, OpenLCAbasic!$C:$C, S$12)
)))))</f>
        <v>5.0400000000000002E-3</v>
      </c>
      <c r="T32" s="303">
        <f>IF(AND(T$9="Legacy",F32=F$38,OR(T$11="Low",T$11="High")),
INDEX(OpenLCAbasic!$J:$J,MATCH(CONCATENATE(T$10,"_","Base","_","Legacy_",$I$5,"_",F32,"_",T$13,"_n.a."),OpenLCAbasic!$M:$M,0)),
IF(AND(T$9="Legacy",ISERROR(MATCH(F32,LookUps!$H$5:$H$20,0))),"--",
IF(T$9="Legacy",SUMIFS(OpenLCAbasic!$J:$J,OpenLCAbasic!$E:$E,"Base",OpenLCAbasic!$D:$D,"Base",OpenLCAbasic!$F:$F,T$9,OpenLCAbasic!$L:$L,$I$5,OpenLCAbasic!$I:$I,F32,OpenLCAbasic!$C:$C,T$13),
IF(AND(T$9="Upgraded", OR(T$11="Low", T$11="High"), OR(F32=F$37, F32=F$36)),
INDEX(OpenLCAbasic!$J:$J, MATCH(CONCATENATE(T$11, "_", T$10, "_", "Upgraded_",$I$5,"_",F32, "_", T$12, "_", T$14), OpenLCAbasic!$M:$M,0)),
IF(AND(ISERROR(MATCH(F32, LookUps!$G$5:$G$21,0)), T$9="Upgraded"),
SUMIFS(OpenLCAbasic!$J:$J,OpenLCAbasic!$E:$E, T$11, OpenLCAbasic!$D:$D, T$10, OpenLCAbasic!$F:$F,T$9,OpenLCAbasic!$L:$L,$I$5,OpenLCAbasic!$I:$I,INDEX(LookUps!$G$5:$G$21,MATCH(F32, LookUps!$J$5:$J$21,0)), OpenLCAbasic!$B:$B, T$14, OpenLCAbasic!$C:$C, T$12),
SUMIFS(OpenLCAbasic!$J:$J,OpenLCAbasic!$E:$E, T$11, OpenLCAbasic!$D:$D, T$10, OpenLCAbasic!$F:$F,T$9,OpenLCAbasic!$L:$L,$I$5,OpenLCAbasic!$I:$I,F32, OpenLCAbasic!$B:$B, T$14, OpenLCAbasic!$C:$C, T$12)
)))))</f>
        <v>5.0400000000000002E-3</v>
      </c>
      <c r="U32" s="303">
        <f>IF(AND(U$9="Legacy",G32=G$38,OR(U$11="Low",U$11="High")),
INDEX(OpenLCAbasic!$J:$J,MATCH(CONCATENATE(U$10,"_","Base","_","Legacy_",$I$5,"_",G32,"_",U$13,"_n.a."),OpenLCAbasic!$M:$M,0)),
IF(AND(U$9="Legacy",ISERROR(MATCH(G32,LookUps!$H$5:$H$20,0))),"--",
IF(U$9="Legacy",SUMIFS(OpenLCAbasic!$J:$J,OpenLCAbasic!$E:$E,"Base",OpenLCAbasic!$D:$D,"Base",OpenLCAbasic!$F:$F,U$9,OpenLCAbasic!$L:$L,$I$5,OpenLCAbasic!$I:$I,G32,OpenLCAbasic!$C:$C,U$13),
IF(AND(U$9="Upgraded", OR(U$11="Low", U$11="High"), OR(G32=G$37, G32=G$36)),
INDEX(OpenLCAbasic!$J:$J, MATCH(CONCATENATE(U$11, "_", U$10, "_", "Upgraded_",$I$5,"_",G32, "_", U$12, "_", U$14), OpenLCAbasic!$M:$M,0)),
IF(AND(ISERROR(MATCH(G32, LookUps!$G$5:$G$21,0)), U$9="Upgraded"),
SUMIFS(OpenLCAbasic!$J:$J,OpenLCAbasic!$E:$E, U$11, OpenLCAbasic!$D:$D, U$10, OpenLCAbasic!$F:$F,U$9,OpenLCAbasic!$L:$L,$I$5,OpenLCAbasic!$I:$I,INDEX(LookUps!$G$5:$G$21,MATCH(G32, LookUps!$J$5:$J$21,0)), OpenLCAbasic!$B:$B, U$14, OpenLCAbasic!$C:$C, U$12),
SUMIFS(OpenLCAbasic!$J:$J,OpenLCAbasic!$E:$E, U$11, OpenLCAbasic!$D:$D, U$10, OpenLCAbasic!$F:$F,U$9,OpenLCAbasic!$L:$L,$I$5,OpenLCAbasic!$I:$I,G32, OpenLCAbasic!$B:$B, U$14, OpenLCAbasic!$C:$C, U$12)
)))))</f>
        <v>5.0400000000000002E-3</v>
      </c>
      <c r="V32" s="302"/>
      <c r="W32" s="274" t="str">
        <f>IF(AND(W$9="Legacy",B32=B$38,OR(W$11="Low",W$11="High")),
INDEX(OpenLCAbasic!$J:$J,MATCH(CONCATENATE(W$10,"_","Base","_","Legacy_",$I$6,"_",B32,"_",W$13,"_n.a."),OpenLCAbasic!$M:$M,0)),
IF(AND(W$9="Legacy",ISERROR(MATCH(B32,LookUps!$H$5:$H$20,0))),"--",
IF(W$9="Legacy",SUMIFS(OpenLCAbasic!$J:$J,OpenLCAbasic!$E:$E,"Base",OpenLCAbasic!$D:$D,"Base",OpenLCAbasic!$F:$F,W$9,OpenLCAbasic!$L:$L,$I$6,OpenLCAbasic!$I:$I,B32,OpenLCAbasic!$C:$C,W$13),
IF(AND(W$9="Upgraded", OR(W$11="Low", W$11="High"), OR(B32=B$37, B32=B$36)),
INDEX(OpenLCAbasic!$J:$J, MATCH(CONCATENATE(W$11, "_", W$10, "_", "Upgraded_",$I$6,"_",B32, "_", W$12, "_", W$14), OpenLCAbasic!$M:$M,0)),
IF(AND(ISERROR(MATCH(B32, LookUps!$G$5:$G$21,0)), W$9="Upgraded"),
SUMIFS(OpenLCAbasic!$J:$J,OpenLCAbasic!$E:$E, W$11, OpenLCAbasic!$D:$D, W$10, OpenLCAbasic!$F:$F,W$9,OpenLCAbasic!$L:$L,$I$6,OpenLCAbasic!$I:$I,INDEX(LookUps!$G$5:$G$21,MATCH(B32, LookUps!$J$5:$J$21,0)), OpenLCAbasic!$B:$B, W$14, OpenLCAbasic!$C:$C, W$12),
SUMIFS(OpenLCAbasic!$J:$J,OpenLCAbasic!$E:$E, W$11, OpenLCAbasic!$D:$D, W$10, OpenLCAbasic!$F:$F,W$9,OpenLCAbasic!$L:$L,$I$6,OpenLCAbasic!$I:$I,B32, OpenLCAbasic!$B:$B, W$14, OpenLCAbasic!$C:$C, W$12)
)))))</f>
        <v>--</v>
      </c>
      <c r="X32" s="303">
        <f>IF(AND(X$9="Legacy",C32=C$38,OR(X$11="Low",X$11="High")),
INDEX(OpenLCAbasic!$J:$J,MATCH(CONCATENATE(X$10,"_","Base","_","Legacy_",$I$6,"_",C32,"_",X$13,"_n.a."),OpenLCAbasic!$M:$M,0)),
IF(AND(X$9="Legacy",ISERROR(MATCH(C32,LookUps!$H$5:$H$20,0))),"--",
IF(X$9="Legacy",SUMIFS(OpenLCAbasic!$J:$J,OpenLCAbasic!$E:$E,"Base",OpenLCAbasic!$D:$D,"Base",OpenLCAbasic!$F:$F,X$9,OpenLCAbasic!$L:$L,$I$6,OpenLCAbasic!$I:$I,C32,OpenLCAbasic!$C:$C,X$13),
IF(AND(X$9="Upgraded", OR(X$11="Low", X$11="High"), OR(C32=C$37, C32=C$36)),
INDEX(OpenLCAbasic!$J:$J, MATCH(CONCATENATE(X$11, "_", X$10, "_", "Upgraded_",$I$6,"_",C32, "_", X$12, "_", X$14), OpenLCAbasic!$M:$M,0)),
IF(AND(ISERROR(MATCH(C32, LookUps!$G$5:$G$21,0)), X$9="Upgraded"),
SUMIFS(OpenLCAbasic!$J:$J,OpenLCAbasic!$E:$E, X$11, OpenLCAbasic!$D:$D, X$10, OpenLCAbasic!$F:$F,X$9,OpenLCAbasic!$L:$L,$I$6,OpenLCAbasic!$I:$I,INDEX(LookUps!$G$5:$G$21,MATCH(C32, LookUps!$J$5:$J$21,0)), OpenLCAbasic!$B:$B, X$14, OpenLCAbasic!$C:$C, X$12),
SUMIFS(OpenLCAbasic!$J:$J,OpenLCAbasic!$E:$E, X$11, OpenLCAbasic!$D:$D, X$10, OpenLCAbasic!$F:$F,X$9,OpenLCAbasic!$L:$L,$I$6,OpenLCAbasic!$I:$I,C32, OpenLCAbasic!$B:$B, X$14, OpenLCAbasic!$C:$C, X$12)
)))))</f>
        <v>1.6215700000000001E-5</v>
      </c>
      <c r="Y32" s="303">
        <f>IF(AND(Y$9="Legacy",D32=D$38,OR(Y$11="Low",Y$11="High")),
INDEX(OpenLCAbasic!$J:$J,MATCH(CONCATENATE(Y$10,"_","Base","_","Legacy_",$I$6,"_",D32,"_",Y$13,"_n.a."),OpenLCAbasic!$M:$M,0)),
IF(AND(Y$9="Legacy",ISERROR(MATCH(D32,LookUps!$H$5:$H$20,0))),"--",
IF(Y$9="Legacy",SUMIFS(OpenLCAbasic!$J:$J,OpenLCAbasic!$E:$E,"Base",OpenLCAbasic!$D:$D,"Base",OpenLCAbasic!$F:$F,Y$9,OpenLCAbasic!$L:$L,$I$6,OpenLCAbasic!$I:$I,D32,OpenLCAbasic!$C:$C,Y$13),
IF(AND(Y$9="Upgraded", OR(Y$11="Low", Y$11="High"), OR(D32=D$37, D32=D$36)),
INDEX(OpenLCAbasic!$J:$J, MATCH(CONCATENATE(Y$11, "_", Y$10, "_", "Upgraded_",$I$6,"_",D32, "_", Y$12, "_", Y$14), OpenLCAbasic!$M:$M,0)),
IF(AND(ISERROR(MATCH(D32, LookUps!$G$5:$G$21,0)), Y$9="Upgraded"),
SUMIFS(OpenLCAbasic!$J:$J,OpenLCAbasic!$E:$E, Y$11, OpenLCAbasic!$D:$D, Y$10, OpenLCAbasic!$F:$F,Y$9,OpenLCAbasic!$L:$L,$I$6,OpenLCAbasic!$I:$I,INDEX(LookUps!$G$5:$G$21,MATCH(D32, LookUps!$J$5:$J$21,0)), OpenLCAbasic!$B:$B, Y$14, OpenLCAbasic!$C:$C, Y$12),
SUMIFS(OpenLCAbasic!$J:$J,OpenLCAbasic!$E:$E, Y$11, OpenLCAbasic!$D:$D, Y$10, OpenLCAbasic!$F:$F,Y$9,OpenLCAbasic!$L:$L,$I$6,OpenLCAbasic!$I:$I,D32, OpenLCAbasic!$B:$B, Y$14, OpenLCAbasic!$C:$C, Y$12)
)))))</f>
        <v>1.6215700000000001E-5</v>
      </c>
      <c r="Z32" s="303">
        <f>IF(AND(Z$9="Legacy",E32=E$38,OR(Z$11="Low",Z$11="High")),
INDEX(OpenLCAbasic!$J:$J,MATCH(CONCATENATE(Z$10,"_","Base","_","Legacy_",$I$6,"_",E32,"_",Z$13,"_n.a."),OpenLCAbasic!$M:$M,0)),
IF(AND(Z$9="Legacy",ISERROR(MATCH(E32,LookUps!$H$5:$H$20,0))),"--",
IF(Z$9="Legacy",SUMIFS(OpenLCAbasic!$J:$J,OpenLCAbasic!$E:$E,"Base",OpenLCAbasic!$D:$D,"Base",OpenLCAbasic!$F:$F,Z$9,OpenLCAbasic!$L:$L,$I$6,OpenLCAbasic!$I:$I,E32,OpenLCAbasic!$C:$C,Z$13),
IF(AND(Z$9="Upgraded", OR(Z$11="Low", Z$11="High"), OR(E32=E$37, E32=E$36)),
INDEX(OpenLCAbasic!$J:$J, MATCH(CONCATENATE(Z$11, "_", Z$10, "_", "Upgraded_",$I$6,"_",E32, "_", Z$12, "_", Z$14), OpenLCAbasic!$M:$M,0)),
IF(AND(ISERROR(MATCH(E32, LookUps!$G$5:$G$21,0)), Z$9="Upgraded"),
SUMIFS(OpenLCAbasic!$J:$J,OpenLCAbasic!$E:$E, Z$11, OpenLCAbasic!$D:$D, Z$10, OpenLCAbasic!$F:$F,Z$9,OpenLCAbasic!$L:$L,$I$6,OpenLCAbasic!$I:$I,INDEX(LookUps!$G$5:$G$21,MATCH(E32, LookUps!$J$5:$J$21,0)), OpenLCAbasic!$B:$B, Z$14, OpenLCAbasic!$C:$C, Z$12),
SUMIFS(OpenLCAbasic!$J:$J,OpenLCAbasic!$E:$E, Z$11, OpenLCAbasic!$D:$D, Z$10, OpenLCAbasic!$F:$F,Z$9,OpenLCAbasic!$L:$L,$I$6,OpenLCAbasic!$I:$I,E32, OpenLCAbasic!$B:$B, Z$14, OpenLCAbasic!$C:$C, Z$12)
)))))</f>
        <v>1.6215700000000001E-5</v>
      </c>
      <c r="AA32" s="303">
        <f>IF(AND(AA$9="Legacy",F32=F$38,OR(AA$11="Low",AA$11="High")),
INDEX(OpenLCAbasic!$J:$J,MATCH(CONCATENATE(AA$10,"_","Base","_","Legacy_",$I$6,"_",F32,"_",AA$13,"_n.a."),OpenLCAbasic!$M:$M,0)),
IF(AND(AA$9="Legacy",ISERROR(MATCH(F32,LookUps!$H$5:$H$20,0))),"--",
IF(AA$9="Legacy",SUMIFS(OpenLCAbasic!$J:$J,OpenLCAbasic!$E:$E,"Base",OpenLCAbasic!$D:$D,"Base",OpenLCAbasic!$F:$F,AA$9,OpenLCAbasic!$L:$L,$I$6,OpenLCAbasic!$I:$I,F32,OpenLCAbasic!$C:$C,AA$13),
IF(AND(AA$9="Upgraded", OR(AA$11="Low", AA$11="High"), OR(F32=F$37, F32=F$36)),
INDEX(OpenLCAbasic!$J:$J, MATCH(CONCATENATE(AA$11, "_", AA$10, "_", "Upgraded_",$I$6,"_",F32, "_", AA$12, "_", AA$14), OpenLCAbasic!$M:$M,0)),
IF(AND(ISERROR(MATCH(F32, LookUps!$G$5:$G$21,0)), AA$9="Upgraded"),
SUMIFS(OpenLCAbasic!$J:$J,OpenLCAbasic!$E:$E, AA$11, OpenLCAbasic!$D:$D, AA$10, OpenLCAbasic!$F:$F,AA$9,OpenLCAbasic!$L:$L,$I$6,OpenLCAbasic!$I:$I,INDEX(LookUps!$G$5:$G$21,MATCH(F32, LookUps!$J$5:$J$21,0)), OpenLCAbasic!$B:$B, AA$14, OpenLCAbasic!$C:$C, AA$12),
SUMIFS(OpenLCAbasic!$J:$J,OpenLCAbasic!$E:$E, AA$11, OpenLCAbasic!$D:$D, AA$10, OpenLCAbasic!$F:$F,AA$9,OpenLCAbasic!$L:$L,$I$6,OpenLCAbasic!$I:$I,F32, OpenLCAbasic!$B:$B, AA$14, OpenLCAbasic!$C:$C, AA$12)
)))))</f>
        <v>1.6215700000000001E-5</v>
      </c>
      <c r="AB32" s="303">
        <f>IF(AND(AB$9="Legacy",G32=G$38,OR(AB$11="Low",AB$11="High")),
INDEX(OpenLCAbasic!$J:$J,MATCH(CONCATENATE(AB$10,"_","Base","_","Legacy_",$I$6,"_",G32,"_",AB$13,"_n.a."),OpenLCAbasic!$M:$M,0)),
IF(AND(AB$9="Legacy",ISERROR(MATCH(G32,LookUps!$H$5:$H$20,0))),"--",
IF(AB$9="Legacy",SUMIFS(OpenLCAbasic!$J:$J,OpenLCAbasic!$E:$E,"Base",OpenLCAbasic!$D:$D,"Base",OpenLCAbasic!$F:$F,AB$9,OpenLCAbasic!$L:$L,$I$6,OpenLCAbasic!$I:$I,G32,OpenLCAbasic!$C:$C,AB$13),
IF(AND(AB$9="Upgraded", OR(AB$11="Low", AB$11="High"), OR(G32=G$37, G32=G$36)),
INDEX(OpenLCAbasic!$J:$J, MATCH(CONCATENATE(AB$11, "_", AB$10, "_", "Upgraded_",$I$6,"_",G32, "_", AB$12, "_", AB$14), OpenLCAbasic!$M:$M,0)),
IF(AND(ISERROR(MATCH(G32, LookUps!$G$5:$G$21,0)), AB$9="Upgraded"),
SUMIFS(OpenLCAbasic!$J:$J,OpenLCAbasic!$E:$E, AB$11, OpenLCAbasic!$D:$D, AB$10, OpenLCAbasic!$F:$F,AB$9,OpenLCAbasic!$L:$L,$I$6,OpenLCAbasic!$I:$I,INDEX(LookUps!$G$5:$G$21,MATCH(G32, LookUps!$J$5:$J$21,0)), OpenLCAbasic!$B:$B, AB$14, OpenLCAbasic!$C:$C, AB$12),
SUMIFS(OpenLCAbasic!$J:$J,OpenLCAbasic!$E:$E, AB$11, OpenLCAbasic!$D:$D, AB$10, OpenLCAbasic!$F:$F,AB$9,OpenLCAbasic!$L:$L,$I$6,OpenLCAbasic!$I:$I,G32, OpenLCAbasic!$B:$B, AB$14, OpenLCAbasic!$C:$C, AB$12)
)))))</f>
        <v>1.6215700000000001E-5</v>
      </c>
    </row>
    <row r="33" spans="2:28" x14ac:dyDescent="0.25">
      <c r="B33" s="99" t="str">
        <f t="shared" si="15"/>
        <v>Anaerobic Digestion; wastewater treatment unit; at updated plant - US</v>
      </c>
      <c r="C33" s="99" t="str">
        <f t="shared" si="14"/>
        <v>Anaerobic Digestion; wastewater treatment unit; at updated plant - US</v>
      </c>
      <c r="D33" s="99" t="str">
        <f t="shared" si="14"/>
        <v>Anaerobic Digestion; wastewater treatment unit; at updated plant - US</v>
      </c>
      <c r="E33" s="99" t="str">
        <f t="shared" si="14"/>
        <v>Anaerobic Digestion; wastewater treatment unit; at updated plant - US</v>
      </c>
      <c r="F33" s="99" t="str">
        <f t="shared" si="14"/>
        <v>Anaerobic Digestion; wastewater treatment unit; at updated plant - US</v>
      </c>
      <c r="G33" s="99" t="str">
        <f t="shared" si="14"/>
        <v>Anaerobic Digestion; wastewater treatment unit; at updated plant - US</v>
      </c>
      <c r="H33" s="266" t="str">
        <f>LookUps!$G$19</f>
        <v>Anaerobic Digestion; wastewater treatment unit; at updated plant - US</v>
      </c>
      <c r="I33" s="274" t="str">
        <f>IF(AND(I$9="Legacy",B33=B$38,OR(I$11="Low",I$11="High")),
INDEX(OpenLCAbasic!$J:$J,MATCH(CONCATENATE(I$10,"_","Base","_","Legacy_",$I$4,"_",B33,"_",I$13,"_n.a."),OpenLCAbasic!$M:$M,0)),
IF(AND(I$9="Legacy",ISERROR(MATCH(B33,LookUps!$H$5:$H$20,0))),"--",
IF(I$9="Legacy",SUMIFS(OpenLCAbasic!$J:$J,OpenLCAbasic!$E:$E,"Base",OpenLCAbasic!$D:$D,"Base",OpenLCAbasic!$F:$F,I$9,OpenLCAbasic!$L:$L,$I$4,OpenLCAbasic!$I:$I,B33,OpenLCAbasic!$C:$C,I$13),
IF(AND(I$9="Upgraded", OR(I$11="Low", I$11="High"), OR(B33=B$37, B33=B$36)),
INDEX(OpenLCAbasic!$J:$J, MATCH(CONCATENATE(I$11, "_", I$10, "_", "Upgraded_",$I$4,"_",B33, "_", I$12, "_", I$14), OpenLCAbasic!$M:$M,0)),
IF(AND(ISERROR(MATCH(B33, LookUps!$G$5:$G$21,0)), I$9="Upgraded"),
SUMIFS(OpenLCAbasic!$J:$J,OpenLCAbasic!$E:$E, I$11, OpenLCAbasic!$D:$D, I$10, OpenLCAbasic!$F:$F,I$9,OpenLCAbasic!$L:$L,$I$4,OpenLCAbasic!$I:$I,INDEX(LookUps!$G$5:$G$21,MATCH(B33, LookUps!$J$5:$J$21,0)), OpenLCAbasic!$B:$B, I$14, OpenLCAbasic!$C:$C, I$12),
SUMIFS(OpenLCAbasic!$J:$J,OpenLCAbasic!$E:$E, I$11, OpenLCAbasic!$D:$D, I$10, OpenLCAbasic!$F:$F,I$9,OpenLCAbasic!$L:$L,$I$4,OpenLCAbasic!$I:$I,B33, OpenLCAbasic!$B:$B, I$14, OpenLCAbasic!$C:$C, I$12)
)))))</f>
        <v>--</v>
      </c>
      <c r="J33" s="305">
        <f>IF(AND(J$9="Legacy",C33=C$38,OR(J$11="Low",J$11="High")),
INDEX(OpenLCAbasic!$J:$J,MATCH(CONCATENATE(J$10,"_","Base","_","Legacy_",$I$4,"_",C33,"_",J$13,"_n.a."),OpenLCAbasic!$M:$M,0)),
IF(AND(J$9="Legacy",ISERROR(MATCH(C33,LookUps!$H$5:$H$20,0))),"--",
IF(J$9="Legacy",SUMIFS(OpenLCAbasic!$J:$J,OpenLCAbasic!$E:$E,"Base",OpenLCAbasic!$D:$D,"Base",OpenLCAbasic!$F:$F,J$9,OpenLCAbasic!$L:$L,$I$4,OpenLCAbasic!$I:$I,C33,OpenLCAbasic!$C:$C,J$13),
IF(AND(J$9="Upgraded", OR(J$11="Low", J$11="High"), OR(C33=C$37, C33=C$36)),
INDEX(OpenLCAbasic!$J:$J, MATCH(CONCATENATE(J$11, "_", J$10, "_", "Upgraded_",$I$4,"_",C33, "_", J$12, "_", J$14), OpenLCAbasic!$M:$M,0)),
IF(AND(ISERROR(MATCH(C33, LookUps!$G$5:$G$21,0)), J$9="Upgraded"),
SUMIFS(OpenLCAbasic!$J:$J,OpenLCAbasic!$E:$E, J$11, OpenLCAbasic!$D:$D, J$10, OpenLCAbasic!$F:$F,J$9,OpenLCAbasic!$L:$L,$I$4,OpenLCAbasic!$I:$I,INDEX(LookUps!$G$5:$G$21,MATCH(C33, LookUps!$J$5:$J$21,0)), OpenLCAbasic!$B:$B, J$14, OpenLCAbasic!$C:$C, J$12),
SUMIFS(OpenLCAbasic!$J:$J,OpenLCAbasic!$E:$E, J$11, OpenLCAbasic!$D:$D, J$10, OpenLCAbasic!$F:$F,J$9,OpenLCAbasic!$L:$L,$I$4,OpenLCAbasic!$I:$I,C33, OpenLCAbasic!$B:$B, J$14, OpenLCAbasic!$C:$C, J$12)
)))))</f>
        <v>-1.99752</v>
      </c>
      <c r="K33" s="305">
        <f>IF(AND(K$9="Legacy",D33=D$38,OR(K$11="Low",K$11="High")),
INDEX(OpenLCAbasic!$J:$J,MATCH(CONCATENATE(K$10,"_","Base","_","Legacy_",$I$4,"_",D33,"_",K$13,"_n.a."),OpenLCAbasic!$M:$M,0)),
IF(AND(K$9="Legacy",ISERROR(MATCH(D33,LookUps!$H$5:$H$20,0))),"--",
IF(K$9="Legacy",SUMIFS(OpenLCAbasic!$J:$J,OpenLCAbasic!$E:$E,"Base",OpenLCAbasic!$D:$D,"Base",OpenLCAbasic!$F:$F,K$9,OpenLCAbasic!$L:$L,$I$4,OpenLCAbasic!$I:$I,D33,OpenLCAbasic!$C:$C,K$13),
IF(AND(K$9="Upgraded", OR(K$11="Low", K$11="High"), OR(D33=D$37, D33=D$36)),
INDEX(OpenLCAbasic!$J:$J, MATCH(CONCATENATE(K$11, "_", K$10, "_", "Upgraded_",$I$4,"_",D33, "_", K$12, "_", K$14), OpenLCAbasic!$M:$M,0)),
IF(AND(ISERROR(MATCH(D33, LookUps!$G$5:$G$21,0)), K$9="Upgraded"),
SUMIFS(OpenLCAbasic!$J:$J,OpenLCAbasic!$E:$E, K$11, OpenLCAbasic!$D:$D, K$10, OpenLCAbasic!$F:$F,K$9,OpenLCAbasic!$L:$L,$I$4,OpenLCAbasic!$I:$I,INDEX(LookUps!$G$5:$G$21,MATCH(D33, LookUps!$J$5:$J$21,0)), OpenLCAbasic!$B:$B, K$14, OpenLCAbasic!$C:$C, K$12),
SUMIFS(OpenLCAbasic!$J:$J,OpenLCAbasic!$E:$E, K$11, OpenLCAbasic!$D:$D, K$10, OpenLCAbasic!$F:$F,K$9,OpenLCAbasic!$L:$L,$I$4,OpenLCAbasic!$I:$I,D33, OpenLCAbasic!$B:$B, K$14, OpenLCAbasic!$C:$C, K$12)
)))))</f>
        <v>-1.99752</v>
      </c>
      <c r="L33" s="305">
        <f>IF(AND(L$9="Legacy",E33=E$38,OR(L$11="Low",L$11="High")),
INDEX(OpenLCAbasic!$J:$J,MATCH(CONCATENATE(L$10,"_","Base","_","Legacy_",$I$4,"_",E33,"_",L$13,"_n.a."),OpenLCAbasic!$M:$M,0)),
IF(AND(L$9="Legacy",ISERROR(MATCH(E33,LookUps!$H$5:$H$20,0))),"--",
IF(L$9="Legacy",SUMIFS(OpenLCAbasic!$J:$J,OpenLCAbasic!$E:$E,"Base",OpenLCAbasic!$D:$D,"Base",OpenLCAbasic!$F:$F,L$9,OpenLCAbasic!$L:$L,$I$4,OpenLCAbasic!$I:$I,E33,OpenLCAbasic!$C:$C,L$13),
IF(AND(L$9="Upgraded", OR(L$11="Low", L$11="High"), OR(E33=E$37, E33=E$36)),
INDEX(OpenLCAbasic!$J:$J, MATCH(CONCATENATE(L$11, "_", L$10, "_", "Upgraded_",$I$4,"_",E33, "_", L$12, "_", L$14), OpenLCAbasic!$M:$M,0)),
IF(AND(ISERROR(MATCH(E33, LookUps!$G$5:$G$21,0)), L$9="Upgraded"),
SUMIFS(OpenLCAbasic!$J:$J,OpenLCAbasic!$E:$E, L$11, OpenLCAbasic!$D:$D, L$10, OpenLCAbasic!$F:$F,L$9,OpenLCAbasic!$L:$L,$I$4,OpenLCAbasic!$I:$I,INDEX(LookUps!$G$5:$G$21,MATCH(E33, LookUps!$J$5:$J$21,0)), OpenLCAbasic!$B:$B, L$14, OpenLCAbasic!$C:$C, L$12),
SUMIFS(OpenLCAbasic!$J:$J,OpenLCAbasic!$E:$E, L$11, OpenLCAbasic!$D:$D, L$10, OpenLCAbasic!$F:$F,L$9,OpenLCAbasic!$L:$L,$I$4,OpenLCAbasic!$I:$I,E33, OpenLCAbasic!$B:$B, L$14, OpenLCAbasic!$C:$C, L$12)
)))))</f>
        <v>-1.99752</v>
      </c>
      <c r="M33" s="305">
        <f>IF(AND(M$9="Legacy",F33=F$38,OR(M$11="Low",M$11="High")),
INDEX(OpenLCAbasic!$J:$J,MATCH(CONCATENATE(M$10,"_","Base","_","Legacy_",$I$4,"_",F33,"_",M$13,"_n.a."),OpenLCAbasic!$M:$M,0)),
IF(AND(M$9="Legacy",ISERROR(MATCH(F33,LookUps!$H$5:$H$20,0))),"--",
IF(M$9="Legacy",SUMIFS(OpenLCAbasic!$J:$J,OpenLCAbasic!$E:$E,"Base",OpenLCAbasic!$D:$D,"Base",OpenLCAbasic!$F:$F,M$9,OpenLCAbasic!$L:$L,$I$4,OpenLCAbasic!$I:$I,F33,OpenLCAbasic!$C:$C,M$13),
IF(AND(M$9="Upgraded", OR(M$11="Low", M$11="High"), OR(F33=F$37, F33=F$36)),
INDEX(OpenLCAbasic!$J:$J, MATCH(CONCATENATE(M$11, "_", M$10, "_", "Upgraded_",$I$4,"_",F33, "_", M$12, "_", M$14), OpenLCAbasic!$M:$M,0)),
IF(AND(ISERROR(MATCH(F33, LookUps!$G$5:$G$21,0)), M$9="Upgraded"),
SUMIFS(OpenLCAbasic!$J:$J,OpenLCAbasic!$E:$E, M$11, OpenLCAbasic!$D:$D, M$10, OpenLCAbasic!$F:$F,M$9,OpenLCAbasic!$L:$L,$I$4,OpenLCAbasic!$I:$I,INDEX(LookUps!$G$5:$G$21,MATCH(F33, LookUps!$J$5:$J$21,0)), OpenLCAbasic!$B:$B, M$14, OpenLCAbasic!$C:$C, M$12),
SUMIFS(OpenLCAbasic!$J:$J,OpenLCAbasic!$E:$E, M$11, OpenLCAbasic!$D:$D, M$10, OpenLCAbasic!$F:$F,M$9,OpenLCAbasic!$L:$L,$I$4,OpenLCAbasic!$I:$I,F33, OpenLCAbasic!$B:$B, M$14, OpenLCAbasic!$C:$C, M$12)
)))))</f>
        <v>-8.5788899999999995</v>
      </c>
      <c r="N33" s="306">
        <f>IF(AND(N$9="Legacy",G33=G$38,OR(N$11="Low",N$11="High")),
INDEX(OpenLCAbasic!$J:$J,MATCH(CONCATENATE(N$10,"_","Base","_","Legacy_",$I$4,"_",G33,"_",N$13,"_n.a."),OpenLCAbasic!$M:$M,0)),
IF(AND(N$9="Legacy",ISERROR(MATCH(G33,LookUps!$H$5:$H$20,0))),"--",
IF(N$9="Legacy",SUMIFS(OpenLCAbasic!$J:$J,OpenLCAbasic!$E:$E,"Base",OpenLCAbasic!$D:$D,"Base",OpenLCAbasic!$F:$F,N$9,OpenLCAbasic!$L:$L,$I$4,OpenLCAbasic!$I:$I,G33,OpenLCAbasic!$C:$C,N$13),
IF(AND(N$9="Upgraded", OR(N$11="Low", N$11="High"), OR(G33=G$37, G33=G$36)),
INDEX(OpenLCAbasic!$J:$J, MATCH(CONCATENATE(N$11, "_", N$10, "_", "Upgraded_",$I$4,"_",G33, "_", N$12, "_", N$14), OpenLCAbasic!$M:$M,0)),
IF(AND(ISERROR(MATCH(G33, LookUps!$G$5:$G$21,0)), N$9="Upgraded"),
SUMIFS(OpenLCAbasic!$J:$J,OpenLCAbasic!$E:$E, N$11, OpenLCAbasic!$D:$D, N$10, OpenLCAbasic!$F:$F,N$9,OpenLCAbasic!$L:$L,$I$4,OpenLCAbasic!$I:$I,INDEX(LookUps!$G$5:$G$21,MATCH(G33, LookUps!$J$5:$J$21,0)), OpenLCAbasic!$B:$B, N$14, OpenLCAbasic!$C:$C, N$12),
SUMIFS(OpenLCAbasic!$J:$J,OpenLCAbasic!$E:$E, N$11, OpenLCAbasic!$D:$D, N$10, OpenLCAbasic!$F:$F,N$9,OpenLCAbasic!$L:$L,$I$4,OpenLCAbasic!$I:$I,G33, OpenLCAbasic!$B:$B, N$14, OpenLCAbasic!$C:$C, N$12)
)))))</f>
        <v>-23.56711</v>
      </c>
      <c r="O33" s="302"/>
      <c r="P33" s="274" t="str">
        <f>IF(AND(P$9="Legacy",B33=B$38,OR(P$11="Low",P$11="High")),
INDEX(OpenLCAbasic!$J:$J,MATCH(CONCATENATE(P$10,"_","Base","_","Legacy_",$I$5,"_",B33,"_",P$13,"_n.a."),OpenLCAbasic!$M:$M,0)),
IF(AND(P$9="Legacy",ISERROR(MATCH(B33,LookUps!$H$5:$H$20,0))),"--",
IF(P$9="Legacy",SUMIFS(OpenLCAbasic!$J:$J,OpenLCAbasic!$E:$E,"Base",OpenLCAbasic!$D:$D,"Base",OpenLCAbasic!$F:$F,P$9,OpenLCAbasic!$L:$L,$I$5,OpenLCAbasic!$I:$I,B33,OpenLCAbasic!$C:$C,P$13),
IF(AND(P$9="Upgraded", OR(P$11="Low", P$11="High"), OR(B33=B$37, B33=B$36)),
INDEX(OpenLCAbasic!$J:$J, MATCH(CONCATENATE(P$11, "_", P$10, "_", "Upgraded_",$I$5,"_",B33, "_", P$12, "_", P$14), OpenLCAbasic!$M:$M,0)),
IF(AND(ISERROR(MATCH(B33, LookUps!$G$5:$G$21,0)), P$9="Upgraded"),
SUMIFS(OpenLCAbasic!$J:$J,OpenLCAbasic!$E:$E, P$11, OpenLCAbasic!$D:$D, P$10, OpenLCAbasic!$F:$F,P$9,OpenLCAbasic!$L:$L,$I$5,OpenLCAbasic!$I:$I,INDEX(LookUps!$G$5:$G$21,MATCH(B33, LookUps!$J$5:$J$21,0)), OpenLCAbasic!$B:$B, P$14, OpenLCAbasic!$C:$C, P$12),
SUMIFS(OpenLCAbasic!$J:$J,OpenLCAbasic!$E:$E, P$11, OpenLCAbasic!$D:$D, P$10, OpenLCAbasic!$F:$F,P$9,OpenLCAbasic!$L:$L,$I$5,OpenLCAbasic!$I:$I,B33, OpenLCAbasic!$B:$B, P$14, OpenLCAbasic!$C:$C, P$12)
)))))</f>
        <v>--</v>
      </c>
      <c r="Q33" s="301">
        <f>IF(AND(Q$9="Legacy",C33=C$38,OR(Q$11="Low",Q$11="High")),
INDEX(OpenLCAbasic!$J:$J,MATCH(CONCATENATE(Q$10,"_","Base","_","Legacy_",$I$5,"_",C33,"_",Q$13,"_n.a."),OpenLCAbasic!$M:$M,0)),
IF(AND(Q$9="Legacy",ISERROR(MATCH(C33,LookUps!$H$5:$H$20,0))),"--",
IF(Q$9="Legacy",SUMIFS(OpenLCAbasic!$J:$J,OpenLCAbasic!$E:$E,"Base",OpenLCAbasic!$D:$D,"Base",OpenLCAbasic!$F:$F,Q$9,OpenLCAbasic!$L:$L,$I$5,OpenLCAbasic!$I:$I,C33,OpenLCAbasic!$C:$C,Q$13),
IF(AND(Q$9="Upgraded", OR(Q$11="Low", Q$11="High"), OR(C33=C$37, C33=C$36)),
INDEX(OpenLCAbasic!$J:$J, MATCH(CONCATENATE(Q$11, "_", Q$10, "_", "Upgraded_",$I$5,"_",C33, "_", Q$12, "_", Q$14), OpenLCAbasic!$M:$M,0)),
IF(AND(ISERROR(MATCH(C33, LookUps!$G$5:$G$21,0)), Q$9="Upgraded"),
SUMIFS(OpenLCAbasic!$J:$J,OpenLCAbasic!$E:$E, Q$11, OpenLCAbasic!$D:$D, Q$10, OpenLCAbasic!$F:$F,Q$9,OpenLCAbasic!$L:$L,$I$5,OpenLCAbasic!$I:$I,INDEX(LookUps!$G$5:$G$21,MATCH(C33, LookUps!$J$5:$J$21,0)), OpenLCAbasic!$B:$B, Q$14, OpenLCAbasic!$C:$C, Q$12),
SUMIFS(OpenLCAbasic!$J:$J,OpenLCAbasic!$E:$E, Q$11, OpenLCAbasic!$D:$D, Q$10, OpenLCAbasic!$F:$F,Q$9,OpenLCAbasic!$L:$L,$I$5,OpenLCAbasic!$I:$I,C33, OpenLCAbasic!$B:$B, Q$14, OpenLCAbasic!$C:$C, Q$12)
)))))</f>
        <v>-5.6640000000000003E-2</v>
      </c>
      <c r="R33" s="301">
        <f>IF(AND(R$9="Legacy",D33=D$38,OR(R$11="Low",R$11="High")),
INDEX(OpenLCAbasic!$J:$J,MATCH(CONCATENATE(R$10,"_","Base","_","Legacy_",$I$5,"_",D33,"_",R$13,"_n.a."),OpenLCAbasic!$M:$M,0)),
IF(AND(R$9="Legacy",ISERROR(MATCH(D33,LookUps!$H$5:$H$20,0))),"--",
IF(R$9="Legacy",SUMIFS(OpenLCAbasic!$J:$J,OpenLCAbasic!$E:$E,"Base",OpenLCAbasic!$D:$D,"Base",OpenLCAbasic!$F:$F,R$9,OpenLCAbasic!$L:$L,$I$5,OpenLCAbasic!$I:$I,D33,OpenLCAbasic!$C:$C,R$13),
IF(AND(R$9="Upgraded", OR(R$11="Low", R$11="High"), OR(D33=D$37, D33=D$36)),
INDEX(OpenLCAbasic!$J:$J, MATCH(CONCATENATE(R$11, "_", R$10, "_", "Upgraded_",$I$5,"_",D33, "_", R$12, "_", R$14), OpenLCAbasic!$M:$M,0)),
IF(AND(ISERROR(MATCH(D33, LookUps!$G$5:$G$21,0)), R$9="Upgraded"),
SUMIFS(OpenLCAbasic!$J:$J,OpenLCAbasic!$E:$E, R$11, OpenLCAbasic!$D:$D, R$10, OpenLCAbasic!$F:$F,R$9,OpenLCAbasic!$L:$L,$I$5,OpenLCAbasic!$I:$I,INDEX(LookUps!$G$5:$G$21,MATCH(D33, LookUps!$J$5:$J$21,0)), OpenLCAbasic!$B:$B, R$14, OpenLCAbasic!$C:$C, R$12),
SUMIFS(OpenLCAbasic!$J:$J,OpenLCAbasic!$E:$E, R$11, OpenLCAbasic!$D:$D, R$10, OpenLCAbasic!$F:$F,R$9,OpenLCAbasic!$L:$L,$I$5,OpenLCAbasic!$I:$I,D33, OpenLCAbasic!$B:$B, R$14, OpenLCAbasic!$C:$C, R$12)
)))))</f>
        <v>-5.6640000000000003E-2</v>
      </c>
      <c r="S33" s="301">
        <f>IF(AND(S$9="Legacy",E33=E$38,OR(S$11="Low",S$11="High")),
INDEX(OpenLCAbasic!$J:$J,MATCH(CONCATENATE(S$10,"_","Base","_","Legacy_",$I$5,"_",E33,"_",S$13,"_n.a."),OpenLCAbasic!$M:$M,0)),
IF(AND(S$9="Legacy",ISERROR(MATCH(E33,LookUps!$H$5:$H$20,0))),"--",
IF(S$9="Legacy",SUMIFS(OpenLCAbasic!$J:$J,OpenLCAbasic!$E:$E,"Base",OpenLCAbasic!$D:$D,"Base",OpenLCAbasic!$F:$F,S$9,OpenLCAbasic!$L:$L,$I$5,OpenLCAbasic!$I:$I,E33,OpenLCAbasic!$C:$C,S$13),
IF(AND(S$9="Upgraded", OR(S$11="Low", S$11="High"), OR(E33=E$37, E33=E$36)),
INDEX(OpenLCAbasic!$J:$J, MATCH(CONCATENATE(S$11, "_", S$10, "_", "Upgraded_",$I$5,"_",E33, "_", S$12, "_", S$14), OpenLCAbasic!$M:$M,0)),
IF(AND(ISERROR(MATCH(E33, LookUps!$G$5:$G$21,0)), S$9="Upgraded"),
SUMIFS(OpenLCAbasic!$J:$J,OpenLCAbasic!$E:$E, S$11, OpenLCAbasic!$D:$D, S$10, OpenLCAbasic!$F:$F,S$9,OpenLCAbasic!$L:$L,$I$5,OpenLCAbasic!$I:$I,INDEX(LookUps!$G$5:$G$21,MATCH(E33, LookUps!$J$5:$J$21,0)), OpenLCAbasic!$B:$B, S$14, OpenLCAbasic!$C:$C, S$12),
SUMIFS(OpenLCAbasic!$J:$J,OpenLCAbasic!$E:$E, S$11, OpenLCAbasic!$D:$D, S$10, OpenLCAbasic!$F:$F,S$9,OpenLCAbasic!$L:$L,$I$5,OpenLCAbasic!$I:$I,E33, OpenLCAbasic!$B:$B, S$14, OpenLCAbasic!$C:$C, S$12)
)))))</f>
        <v>-5.6640000000000003E-2</v>
      </c>
      <c r="T33" s="301">
        <f>IF(AND(T$9="Legacy",F33=F$38,OR(T$11="Low",T$11="High")),
INDEX(OpenLCAbasic!$J:$J,MATCH(CONCATENATE(T$10,"_","Base","_","Legacy_",$I$5,"_",F33,"_",T$13,"_n.a."),OpenLCAbasic!$M:$M,0)),
IF(AND(T$9="Legacy",ISERROR(MATCH(F33,LookUps!$H$5:$H$20,0))),"--",
IF(T$9="Legacy",SUMIFS(OpenLCAbasic!$J:$J,OpenLCAbasic!$E:$E,"Base",OpenLCAbasic!$D:$D,"Base",OpenLCAbasic!$F:$F,T$9,OpenLCAbasic!$L:$L,$I$5,OpenLCAbasic!$I:$I,F33,OpenLCAbasic!$C:$C,T$13),
IF(AND(T$9="Upgraded", OR(T$11="Low", T$11="High"), OR(F33=F$37, F33=F$36)),
INDEX(OpenLCAbasic!$J:$J, MATCH(CONCATENATE(T$11, "_", T$10, "_", "Upgraded_",$I$5,"_",F33, "_", T$12, "_", T$14), OpenLCAbasic!$M:$M,0)),
IF(AND(ISERROR(MATCH(F33, LookUps!$G$5:$G$21,0)), T$9="Upgraded"),
SUMIFS(OpenLCAbasic!$J:$J,OpenLCAbasic!$E:$E, T$11, OpenLCAbasic!$D:$D, T$10, OpenLCAbasic!$F:$F,T$9,OpenLCAbasic!$L:$L,$I$5,OpenLCAbasic!$I:$I,INDEX(LookUps!$G$5:$G$21,MATCH(F33, LookUps!$J$5:$J$21,0)), OpenLCAbasic!$B:$B, T$14, OpenLCAbasic!$C:$C, T$12),
SUMIFS(OpenLCAbasic!$J:$J,OpenLCAbasic!$E:$E, T$11, OpenLCAbasic!$D:$D, T$10, OpenLCAbasic!$F:$F,T$9,OpenLCAbasic!$L:$L,$I$5,OpenLCAbasic!$I:$I,F33, OpenLCAbasic!$B:$B, T$14, OpenLCAbasic!$C:$C, T$12)
)))))</f>
        <v>-0.36997999999999998</v>
      </c>
      <c r="U33" s="301">
        <f>IF(AND(U$9="Legacy",G33=G$38,OR(U$11="Low",U$11="High")),
INDEX(OpenLCAbasic!$J:$J,MATCH(CONCATENATE(U$10,"_","Base","_","Legacy_",$I$5,"_",G33,"_",U$13,"_n.a."),OpenLCAbasic!$M:$M,0)),
IF(AND(U$9="Legacy",ISERROR(MATCH(G33,LookUps!$H$5:$H$20,0))),"--",
IF(U$9="Legacy",SUMIFS(OpenLCAbasic!$J:$J,OpenLCAbasic!$E:$E,"Base",OpenLCAbasic!$D:$D,"Base",OpenLCAbasic!$F:$F,U$9,OpenLCAbasic!$L:$L,$I$5,OpenLCAbasic!$I:$I,G33,OpenLCAbasic!$C:$C,U$13),
IF(AND(U$9="Upgraded", OR(U$11="Low", U$11="High"), OR(G33=G$37, G33=G$36)),
INDEX(OpenLCAbasic!$J:$J, MATCH(CONCATENATE(U$11, "_", U$10, "_", "Upgraded_",$I$5,"_",G33, "_", U$12, "_", U$14), OpenLCAbasic!$M:$M,0)),
IF(AND(ISERROR(MATCH(G33, LookUps!$G$5:$G$21,0)), U$9="Upgraded"),
SUMIFS(OpenLCAbasic!$J:$J,OpenLCAbasic!$E:$E, U$11, OpenLCAbasic!$D:$D, U$10, OpenLCAbasic!$F:$F,U$9,OpenLCAbasic!$L:$L,$I$5,OpenLCAbasic!$I:$I,INDEX(LookUps!$G$5:$G$21,MATCH(G33, LookUps!$J$5:$J$21,0)), OpenLCAbasic!$B:$B, U$14, OpenLCAbasic!$C:$C, U$12),
SUMIFS(OpenLCAbasic!$J:$J,OpenLCAbasic!$E:$E, U$11, OpenLCAbasic!$D:$D, U$10, OpenLCAbasic!$F:$F,U$9,OpenLCAbasic!$L:$L,$I$5,OpenLCAbasic!$I:$I,G33, OpenLCAbasic!$B:$B, U$14, OpenLCAbasic!$C:$C, U$12)
)))))</f>
        <v>-0.88992000000000004</v>
      </c>
      <c r="V33" s="302"/>
      <c r="W33" s="274" t="str">
        <f>IF(AND(W$9="Legacy",B33=B$38,OR(W$11="Low",W$11="High")),
INDEX(OpenLCAbasic!$J:$J,MATCH(CONCATENATE(W$10,"_","Base","_","Legacy_",$I$6,"_",B33,"_",W$13,"_n.a."),OpenLCAbasic!$M:$M,0)),
IF(AND(W$9="Legacy",ISERROR(MATCH(B33,LookUps!$H$5:$H$20,0))),"--",
IF(W$9="Legacy",SUMIFS(OpenLCAbasic!$J:$J,OpenLCAbasic!$E:$E,"Base",OpenLCAbasic!$D:$D,"Base",OpenLCAbasic!$F:$F,W$9,OpenLCAbasic!$L:$L,$I$6,OpenLCAbasic!$I:$I,B33,OpenLCAbasic!$C:$C,W$13),
IF(AND(W$9="Upgraded", OR(W$11="Low", W$11="High"), OR(B33=B$37, B33=B$36)),
INDEX(OpenLCAbasic!$J:$J, MATCH(CONCATENATE(W$11, "_", W$10, "_", "Upgraded_",$I$6,"_",B33, "_", W$12, "_", W$14), OpenLCAbasic!$M:$M,0)),
IF(AND(ISERROR(MATCH(B33, LookUps!$G$5:$G$21,0)), W$9="Upgraded"),
SUMIFS(OpenLCAbasic!$J:$J,OpenLCAbasic!$E:$E, W$11, OpenLCAbasic!$D:$D, W$10, OpenLCAbasic!$F:$F,W$9,OpenLCAbasic!$L:$L,$I$6,OpenLCAbasic!$I:$I,INDEX(LookUps!$G$5:$G$21,MATCH(B33, LookUps!$J$5:$J$21,0)), OpenLCAbasic!$B:$B, W$14, OpenLCAbasic!$C:$C, W$12),
SUMIFS(OpenLCAbasic!$J:$J,OpenLCAbasic!$E:$E, W$11, OpenLCAbasic!$D:$D, W$10, OpenLCAbasic!$F:$F,W$9,OpenLCAbasic!$L:$L,$I$6,OpenLCAbasic!$I:$I,B33, OpenLCAbasic!$B:$B, W$14, OpenLCAbasic!$C:$C, W$12)
)))))</f>
        <v>--</v>
      </c>
      <c r="X33" s="303">
        <f>IF(AND(X$9="Legacy",C33=C$38,OR(X$11="Low",X$11="High")),
INDEX(OpenLCAbasic!$J:$J,MATCH(CONCATENATE(X$10,"_","Base","_","Legacy_",$I$6,"_",C33,"_",X$13,"_n.a."),OpenLCAbasic!$M:$M,0)),
IF(AND(X$9="Legacy",ISERROR(MATCH(C33,LookUps!$H$5:$H$20,0))),"--",
IF(X$9="Legacy",SUMIFS(OpenLCAbasic!$J:$J,OpenLCAbasic!$E:$E,"Base",OpenLCAbasic!$D:$D,"Base",OpenLCAbasic!$F:$F,X$9,OpenLCAbasic!$L:$L,$I$6,OpenLCAbasic!$I:$I,C33,OpenLCAbasic!$C:$C,X$13),
IF(AND(X$9="Upgraded", OR(X$11="Low", X$11="High"), OR(C33=C$37, C33=C$36)),
INDEX(OpenLCAbasic!$J:$J, MATCH(CONCATENATE(X$11, "_", X$10, "_", "Upgraded_",$I$6,"_",C33, "_", X$12, "_", X$14), OpenLCAbasic!$M:$M,0)),
IF(AND(ISERROR(MATCH(C33, LookUps!$G$5:$G$21,0)), X$9="Upgraded"),
SUMIFS(OpenLCAbasic!$J:$J,OpenLCAbasic!$E:$E, X$11, OpenLCAbasic!$D:$D, X$10, OpenLCAbasic!$F:$F,X$9,OpenLCAbasic!$L:$L,$I$6,OpenLCAbasic!$I:$I,INDEX(LookUps!$G$5:$G$21,MATCH(C33, LookUps!$J$5:$J$21,0)), OpenLCAbasic!$B:$B, X$14, OpenLCAbasic!$C:$C, X$12),
SUMIFS(OpenLCAbasic!$J:$J,OpenLCAbasic!$E:$E, X$11, OpenLCAbasic!$D:$D, X$10, OpenLCAbasic!$F:$F,X$9,OpenLCAbasic!$L:$L,$I$6,OpenLCAbasic!$I:$I,C33, OpenLCAbasic!$B:$B, X$14, OpenLCAbasic!$C:$C, X$12)
)))))</f>
        <v>-2.0000000000000001E-4</v>
      </c>
      <c r="Y33" s="303">
        <f>IF(AND(Y$9="Legacy",D33=D$38,OR(Y$11="Low",Y$11="High")),
INDEX(OpenLCAbasic!$J:$J,MATCH(CONCATENATE(Y$10,"_","Base","_","Legacy_",$I$6,"_",D33,"_",Y$13,"_n.a."),OpenLCAbasic!$M:$M,0)),
IF(AND(Y$9="Legacy",ISERROR(MATCH(D33,LookUps!$H$5:$H$20,0))),"--",
IF(Y$9="Legacy",SUMIFS(OpenLCAbasic!$J:$J,OpenLCAbasic!$E:$E,"Base",OpenLCAbasic!$D:$D,"Base",OpenLCAbasic!$F:$F,Y$9,OpenLCAbasic!$L:$L,$I$6,OpenLCAbasic!$I:$I,D33,OpenLCAbasic!$C:$C,Y$13),
IF(AND(Y$9="Upgraded", OR(Y$11="Low", Y$11="High"), OR(D33=D$37, D33=D$36)),
INDEX(OpenLCAbasic!$J:$J, MATCH(CONCATENATE(Y$11, "_", Y$10, "_", "Upgraded_",$I$6,"_",D33, "_", Y$12, "_", Y$14), OpenLCAbasic!$M:$M,0)),
IF(AND(ISERROR(MATCH(D33, LookUps!$G$5:$G$21,0)), Y$9="Upgraded"),
SUMIFS(OpenLCAbasic!$J:$J,OpenLCAbasic!$E:$E, Y$11, OpenLCAbasic!$D:$D, Y$10, OpenLCAbasic!$F:$F,Y$9,OpenLCAbasic!$L:$L,$I$6,OpenLCAbasic!$I:$I,INDEX(LookUps!$G$5:$G$21,MATCH(D33, LookUps!$J$5:$J$21,0)), OpenLCAbasic!$B:$B, Y$14, OpenLCAbasic!$C:$C, Y$12),
SUMIFS(OpenLCAbasic!$J:$J,OpenLCAbasic!$E:$E, Y$11, OpenLCAbasic!$D:$D, Y$10, OpenLCAbasic!$F:$F,Y$9,OpenLCAbasic!$L:$L,$I$6,OpenLCAbasic!$I:$I,D33, OpenLCAbasic!$B:$B, Y$14, OpenLCAbasic!$C:$C, Y$12)
)))))</f>
        <v>-2.0000000000000001E-4</v>
      </c>
      <c r="Z33" s="303">
        <f>IF(AND(Z$9="Legacy",E33=E$38,OR(Z$11="Low",Z$11="High")),
INDEX(OpenLCAbasic!$J:$J,MATCH(CONCATENATE(Z$10,"_","Base","_","Legacy_",$I$6,"_",E33,"_",Z$13,"_n.a."),OpenLCAbasic!$M:$M,0)),
IF(AND(Z$9="Legacy",ISERROR(MATCH(E33,LookUps!$H$5:$H$20,0))),"--",
IF(Z$9="Legacy",SUMIFS(OpenLCAbasic!$J:$J,OpenLCAbasic!$E:$E,"Base",OpenLCAbasic!$D:$D,"Base",OpenLCAbasic!$F:$F,Z$9,OpenLCAbasic!$L:$L,$I$6,OpenLCAbasic!$I:$I,E33,OpenLCAbasic!$C:$C,Z$13),
IF(AND(Z$9="Upgraded", OR(Z$11="Low", Z$11="High"), OR(E33=E$37, E33=E$36)),
INDEX(OpenLCAbasic!$J:$J, MATCH(CONCATENATE(Z$11, "_", Z$10, "_", "Upgraded_",$I$6,"_",E33, "_", Z$12, "_", Z$14), OpenLCAbasic!$M:$M,0)),
IF(AND(ISERROR(MATCH(E33, LookUps!$G$5:$G$21,0)), Z$9="Upgraded"),
SUMIFS(OpenLCAbasic!$J:$J,OpenLCAbasic!$E:$E, Z$11, OpenLCAbasic!$D:$D, Z$10, OpenLCAbasic!$F:$F,Z$9,OpenLCAbasic!$L:$L,$I$6,OpenLCAbasic!$I:$I,INDEX(LookUps!$G$5:$G$21,MATCH(E33, LookUps!$J$5:$J$21,0)), OpenLCAbasic!$B:$B, Z$14, OpenLCAbasic!$C:$C, Z$12),
SUMIFS(OpenLCAbasic!$J:$J,OpenLCAbasic!$E:$E, Z$11, OpenLCAbasic!$D:$D, Z$10, OpenLCAbasic!$F:$F,Z$9,OpenLCAbasic!$L:$L,$I$6,OpenLCAbasic!$I:$I,E33, OpenLCAbasic!$B:$B, Z$14, OpenLCAbasic!$C:$C, Z$12)
)))))</f>
        <v>-2.0000000000000001E-4</v>
      </c>
      <c r="AA33" s="303">
        <f>IF(AND(AA$9="Legacy",F33=F$38,OR(AA$11="Low",AA$11="High")),
INDEX(OpenLCAbasic!$J:$J,MATCH(CONCATENATE(AA$10,"_","Base","_","Legacy_",$I$6,"_",F33,"_",AA$13,"_n.a."),OpenLCAbasic!$M:$M,0)),
IF(AND(AA$9="Legacy",ISERROR(MATCH(F33,LookUps!$H$5:$H$20,0))),"--",
IF(AA$9="Legacy",SUMIFS(OpenLCAbasic!$J:$J,OpenLCAbasic!$E:$E,"Base",OpenLCAbasic!$D:$D,"Base",OpenLCAbasic!$F:$F,AA$9,OpenLCAbasic!$L:$L,$I$6,OpenLCAbasic!$I:$I,F33,OpenLCAbasic!$C:$C,AA$13),
IF(AND(AA$9="Upgraded", OR(AA$11="Low", AA$11="High"), OR(F33=F$37, F33=F$36)),
INDEX(OpenLCAbasic!$J:$J, MATCH(CONCATENATE(AA$11, "_", AA$10, "_", "Upgraded_",$I$6,"_",F33, "_", AA$12, "_", AA$14), OpenLCAbasic!$M:$M,0)),
IF(AND(ISERROR(MATCH(F33, LookUps!$G$5:$G$21,0)), AA$9="Upgraded"),
SUMIFS(OpenLCAbasic!$J:$J,OpenLCAbasic!$E:$E, AA$11, OpenLCAbasic!$D:$D, AA$10, OpenLCAbasic!$F:$F,AA$9,OpenLCAbasic!$L:$L,$I$6,OpenLCAbasic!$I:$I,INDEX(LookUps!$G$5:$G$21,MATCH(F33, LookUps!$J$5:$J$21,0)), OpenLCAbasic!$B:$B, AA$14, OpenLCAbasic!$C:$C, AA$12),
SUMIFS(OpenLCAbasic!$J:$J,OpenLCAbasic!$E:$E, AA$11, OpenLCAbasic!$D:$D, AA$10, OpenLCAbasic!$F:$F,AA$9,OpenLCAbasic!$L:$L,$I$6,OpenLCAbasic!$I:$I,F33, OpenLCAbasic!$B:$B, AA$14, OpenLCAbasic!$C:$C, AA$12)
)))))</f>
        <v>-6.2E-4</v>
      </c>
      <c r="AB33" s="303">
        <f>IF(AND(AB$9="Legacy",G33=G$38,OR(AB$11="Low",AB$11="High")),
INDEX(OpenLCAbasic!$J:$J,MATCH(CONCATENATE(AB$10,"_","Base","_","Legacy_",$I$6,"_",G33,"_",AB$13,"_n.a."),OpenLCAbasic!$M:$M,0)),
IF(AND(AB$9="Legacy",ISERROR(MATCH(G33,LookUps!$H$5:$H$20,0))),"--",
IF(AB$9="Legacy",SUMIFS(OpenLCAbasic!$J:$J,OpenLCAbasic!$E:$E,"Base",OpenLCAbasic!$D:$D,"Base",OpenLCAbasic!$F:$F,AB$9,OpenLCAbasic!$L:$L,$I$6,OpenLCAbasic!$I:$I,G33,OpenLCAbasic!$C:$C,AB$13),
IF(AND(AB$9="Upgraded", OR(AB$11="Low", AB$11="High"), OR(G33=G$37, G33=G$36)),
INDEX(OpenLCAbasic!$J:$J, MATCH(CONCATENATE(AB$11, "_", AB$10, "_", "Upgraded_",$I$6,"_",G33, "_", AB$12, "_", AB$14), OpenLCAbasic!$M:$M,0)),
IF(AND(ISERROR(MATCH(G33, LookUps!$G$5:$G$21,0)), AB$9="Upgraded"),
SUMIFS(OpenLCAbasic!$J:$J,OpenLCAbasic!$E:$E, AB$11, OpenLCAbasic!$D:$D, AB$10, OpenLCAbasic!$F:$F,AB$9,OpenLCAbasic!$L:$L,$I$6,OpenLCAbasic!$I:$I,INDEX(LookUps!$G$5:$G$21,MATCH(G33, LookUps!$J$5:$J$21,0)), OpenLCAbasic!$B:$B, AB$14, OpenLCAbasic!$C:$C, AB$12),
SUMIFS(OpenLCAbasic!$J:$J,OpenLCAbasic!$E:$E, AB$11, OpenLCAbasic!$D:$D, AB$10, OpenLCAbasic!$F:$F,AB$9,OpenLCAbasic!$L:$L,$I$6,OpenLCAbasic!$I:$I,G33, OpenLCAbasic!$B:$B, AB$14, OpenLCAbasic!$C:$C, AB$12)
)))))</f>
        <v>-2.96E-3</v>
      </c>
    </row>
    <row r="34" spans="2:28" x14ac:dyDescent="0.25">
      <c r="B34" s="99" t="str">
        <f t="shared" si="15"/>
        <v>Aerobic Digester; wastewater treatment unit - US</v>
      </c>
      <c r="C34" s="99" t="str">
        <f t="shared" si="14"/>
        <v>Aerobic Digester; wastewater treatment unit - US</v>
      </c>
      <c r="D34" s="99" t="str">
        <f t="shared" si="14"/>
        <v>Aerobic Digester; wastewater treatment unit - US</v>
      </c>
      <c r="E34" s="99" t="str">
        <f t="shared" si="14"/>
        <v>Aerobic Digester; wastewater treatment unit - US</v>
      </c>
      <c r="F34" s="99" t="str">
        <f t="shared" si="14"/>
        <v>Aerobic Digester; wastewater treatment unit - US</v>
      </c>
      <c r="G34" s="99" t="str">
        <f t="shared" si="14"/>
        <v>Aerobic Digester; wastewater treatment unit - US</v>
      </c>
      <c r="H34" s="266" t="str">
        <f>LookUps!$H$19</f>
        <v>Aerobic Digester; wastewater treatment unit - US</v>
      </c>
      <c r="I34" s="305">
        <f>IF(AND(I$9="Legacy",B34=B$38,OR(I$11="Low",I$11="High")),
INDEX(OpenLCAbasic!$J:$J,MATCH(CONCATENATE(I$10,"_","Base","_","Legacy_",$I$4,"_",B34,"_",I$13,"_n.a."),OpenLCAbasic!$M:$M,0)),
IF(AND(I$9="Legacy",ISERROR(MATCH(B34,LookUps!$H$5:$H$20,0))),"--",
IF(I$9="Legacy",SUMIFS(OpenLCAbasic!$J:$J,OpenLCAbasic!$E:$E,"Base",OpenLCAbasic!$D:$D,"Base",OpenLCAbasic!$F:$F,I$9,OpenLCAbasic!$L:$L,$I$4,OpenLCAbasic!$I:$I,B34,OpenLCAbasic!$C:$C,I$13),
IF(AND(I$9="Upgraded", OR(I$11="Low", I$11="High"), OR(B34=B$37, B34=B$36)),
INDEX(OpenLCAbasic!$J:$J, MATCH(CONCATENATE(I$11, "_", I$10, "_", "Upgraded_",$I$4,"_",B34, "_", I$12, "_", I$14), OpenLCAbasic!$M:$M,0)),
IF(AND(ISERROR(MATCH(B34, LookUps!$G$5:$G$21,0)), I$9="Upgraded"),
SUMIFS(OpenLCAbasic!$J:$J,OpenLCAbasic!$E:$E, I$11, OpenLCAbasic!$D:$D, I$10, OpenLCAbasic!$F:$F,I$9,OpenLCAbasic!$L:$L,$I$4,OpenLCAbasic!$I:$I,INDEX(LookUps!$G$5:$G$21,MATCH(B34, LookUps!$J$5:$J$21,0)), OpenLCAbasic!$B:$B, I$14, OpenLCAbasic!$C:$C, I$12),
SUMIFS(OpenLCAbasic!$J:$J,OpenLCAbasic!$E:$E, I$11, OpenLCAbasic!$D:$D, I$10, OpenLCAbasic!$F:$F,I$9,OpenLCAbasic!$L:$L,$I$4,OpenLCAbasic!$I:$I,B34, OpenLCAbasic!$B:$B, I$14, OpenLCAbasic!$C:$C, I$12)
)))))</f>
        <v>2.7189700000000001</v>
      </c>
      <c r="J34" s="304">
        <f>IF(AND(J$9="Legacy",C34=C$38,OR(J$11="Low",J$11="High")),
INDEX(OpenLCAbasic!$J:$J,MATCH(CONCATENATE(J$10,"_","Base","_","Legacy_",$I$4,"_",C34,"_",J$13,"_n.a."),OpenLCAbasic!$M:$M,0)),
IF(AND(J$9="Legacy",ISERROR(MATCH(C34,LookUps!$H$5:$H$20,0))),"--",
IF(J$9="Legacy",SUMIFS(OpenLCAbasic!$J:$J,OpenLCAbasic!$E:$E,"Base",OpenLCAbasic!$D:$D,"Base",OpenLCAbasic!$F:$F,J$9,OpenLCAbasic!$L:$L,$I$4,OpenLCAbasic!$I:$I,C34,OpenLCAbasic!$C:$C,J$13),
IF(AND(J$9="Upgraded", OR(J$11="Low", J$11="High"), OR(C34=C$37, C34=C$36)),
INDEX(OpenLCAbasic!$J:$J, MATCH(CONCATENATE(J$11, "_", J$10, "_", "Upgraded_",$I$4,"_",C34, "_", J$12, "_", J$14), OpenLCAbasic!$M:$M,0)),
IF(AND(ISERROR(MATCH(C34, LookUps!$G$5:$G$21,0)), J$9="Upgraded"),
SUMIFS(OpenLCAbasic!$J:$J,OpenLCAbasic!$E:$E, J$11, OpenLCAbasic!$D:$D, J$10, OpenLCAbasic!$F:$F,J$9,OpenLCAbasic!$L:$L,$I$4,OpenLCAbasic!$I:$I,INDEX(LookUps!$G$5:$G$21,MATCH(C34, LookUps!$J$5:$J$21,0)), OpenLCAbasic!$B:$B, J$14, OpenLCAbasic!$C:$C, J$12),
SUMIFS(OpenLCAbasic!$J:$J,OpenLCAbasic!$E:$E, J$11, OpenLCAbasic!$D:$D, J$10, OpenLCAbasic!$F:$F,J$9,OpenLCAbasic!$L:$L,$I$4,OpenLCAbasic!$I:$I,C34, OpenLCAbasic!$B:$B, J$14, OpenLCAbasic!$C:$C, J$12)
)))))</f>
        <v>0</v>
      </c>
      <c r="K34" s="304">
        <f>IF(AND(K$9="Legacy",D34=D$38,OR(K$11="Low",K$11="High")),
INDEX(OpenLCAbasic!$J:$J,MATCH(CONCATENATE(K$10,"_","Base","_","Legacy_",$I$4,"_",D34,"_",K$13,"_n.a."),OpenLCAbasic!$M:$M,0)),
IF(AND(K$9="Legacy",ISERROR(MATCH(D34,LookUps!$H$5:$H$20,0))),"--",
IF(K$9="Legacy",SUMIFS(OpenLCAbasic!$J:$J,OpenLCAbasic!$E:$E,"Base",OpenLCAbasic!$D:$D,"Base",OpenLCAbasic!$F:$F,K$9,OpenLCAbasic!$L:$L,$I$4,OpenLCAbasic!$I:$I,D34,OpenLCAbasic!$C:$C,K$13),
IF(AND(K$9="Upgraded", OR(K$11="Low", K$11="High"), OR(D34=D$37, D34=D$36)),
INDEX(OpenLCAbasic!$J:$J, MATCH(CONCATENATE(K$11, "_", K$10, "_", "Upgraded_",$I$4,"_",D34, "_", K$12, "_", K$14), OpenLCAbasic!$M:$M,0)),
IF(AND(ISERROR(MATCH(D34, LookUps!$G$5:$G$21,0)), K$9="Upgraded"),
SUMIFS(OpenLCAbasic!$J:$J,OpenLCAbasic!$E:$E, K$11, OpenLCAbasic!$D:$D, K$10, OpenLCAbasic!$F:$F,K$9,OpenLCAbasic!$L:$L,$I$4,OpenLCAbasic!$I:$I,INDEX(LookUps!$G$5:$G$21,MATCH(D34, LookUps!$J$5:$J$21,0)), OpenLCAbasic!$B:$B, K$14, OpenLCAbasic!$C:$C, K$12),
SUMIFS(OpenLCAbasic!$J:$J,OpenLCAbasic!$E:$E, K$11, OpenLCAbasic!$D:$D, K$10, OpenLCAbasic!$F:$F,K$9,OpenLCAbasic!$L:$L,$I$4,OpenLCAbasic!$I:$I,D34, OpenLCAbasic!$B:$B, K$14, OpenLCAbasic!$C:$C, K$12)
)))))</f>
        <v>0</v>
      </c>
      <c r="L34" s="304">
        <f>IF(AND(L$9="Legacy",E34=E$38,OR(L$11="Low",L$11="High")),
INDEX(OpenLCAbasic!$J:$J,MATCH(CONCATENATE(L$10,"_","Base","_","Legacy_",$I$4,"_",E34,"_",L$13,"_n.a."),OpenLCAbasic!$M:$M,0)),
IF(AND(L$9="Legacy",ISERROR(MATCH(E34,LookUps!$H$5:$H$20,0))),"--",
IF(L$9="Legacy",SUMIFS(OpenLCAbasic!$J:$J,OpenLCAbasic!$E:$E,"Base",OpenLCAbasic!$D:$D,"Base",OpenLCAbasic!$F:$F,L$9,OpenLCAbasic!$L:$L,$I$4,OpenLCAbasic!$I:$I,E34,OpenLCAbasic!$C:$C,L$13),
IF(AND(L$9="Upgraded", OR(L$11="Low", L$11="High"), OR(E34=E$37, E34=E$36)),
INDEX(OpenLCAbasic!$J:$J, MATCH(CONCATENATE(L$11, "_", L$10, "_", "Upgraded_",$I$4,"_",E34, "_", L$12, "_", L$14), OpenLCAbasic!$M:$M,0)),
IF(AND(ISERROR(MATCH(E34, LookUps!$G$5:$G$21,0)), L$9="Upgraded"),
SUMIFS(OpenLCAbasic!$J:$J,OpenLCAbasic!$E:$E, L$11, OpenLCAbasic!$D:$D, L$10, OpenLCAbasic!$F:$F,L$9,OpenLCAbasic!$L:$L,$I$4,OpenLCAbasic!$I:$I,INDEX(LookUps!$G$5:$G$21,MATCH(E34, LookUps!$J$5:$J$21,0)), OpenLCAbasic!$B:$B, L$14, OpenLCAbasic!$C:$C, L$12),
SUMIFS(OpenLCAbasic!$J:$J,OpenLCAbasic!$E:$E, L$11, OpenLCAbasic!$D:$D, L$10, OpenLCAbasic!$F:$F,L$9,OpenLCAbasic!$L:$L,$I$4,OpenLCAbasic!$I:$I,E34, OpenLCAbasic!$B:$B, L$14, OpenLCAbasic!$C:$C, L$12)
)))))</f>
        <v>0</v>
      </c>
      <c r="M34" s="304">
        <f>IF(AND(M$9="Legacy",F34=F$38,OR(M$11="Low",M$11="High")),
INDEX(OpenLCAbasic!$J:$J,MATCH(CONCATENATE(M$10,"_","Base","_","Legacy_",$I$4,"_",F34,"_",M$13,"_n.a."),OpenLCAbasic!$M:$M,0)),
IF(AND(M$9="Legacy",ISERROR(MATCH(F34,LookUps!$H$5:$H$20,0))),"--",
IF(M$9="Legacy",SUMIFS(OpenLCAbasic!$J:$J,OpenLCAbasic!$E:$E,"Base",OpenLCAbasic!$D:$D,"Base",OpenLCAbasic!$F:$F,M$9,OpenLCAbasic!$L:$L,$I$4,OpenLCAbasic!$I:$I,F34,OpenLCAbasic!$C:$C,M$13),
IF(AND(M$9="Upgraded", OR(M$11="Low", M$11="High"), OR(F34=F$37, F34=F$36)),
INDEX(OpenLCAbasic!$J:$J, MATCH(CONCATENATE(M$11, "_", M$10, "_", "Upgraded_",$I$4,"_",F34, "_", M$12, "_", M$14), OpenLCAbasic!$M:$M,0)),
IF(AND(ISERROR(MATCH(F34, LookUps!$G$5:$G$21,0)), M$9="Upgraded"),
SUMIFS(OpenLCAbasic!$J:$J,OpenLCAbasic!$E:$E, M$11, OpenLCAbasic!$D:$D, M$10, OpenLCAbasic!$F:$F,M$9,OpenLCAbasic!$L:$L,$I$4,OpenLCAbasic!$I:$I,INDEX(LookUps!$G$5:$G$21,MATCH(F34, LookUps!$J$5:$J$21,0)), OpenLCAbasic!$B:$B, M$14, OpenLCAbasic!$C:$C, M$12),
SUMIFS(OpenLCAbasic!$J:$J,OpenLCAbasic!$E:$E, M$11, OpenLCAbasic!$D:$D, M$10, OpenLCAbasic!$F:$F,M$9,OpenLCAbasic!$L:$L,$I$4,OpenLCAbasic!$I:$I,F34, OpenLCAbasic!$B:$B, M$14, OpenLCAbasic!$C:$C, M$12)
)))))</f>
        <v>0</v>
      </c>
      <c r="N34" s="304">
        <f>IF(AND(N$9="Legacy",G34=G$38,OR(N$11="Low",N$11="High")),
INDEX(OpenLCAbasic!$J:$J,MATCH(CONCATENATE(N$10,"_","Base","_","Legacy_",$I$4,"_",G34,"_",N$13,"_n.a."),OpenLCAbasic!$M:$M,0)),
IF(AND(N$9="Legacy",ISERROR(MATCH(G34,LookUps!$H$5:$H$20,0))),"--",
IF(N$9="Legacy",SUMIFS(OpenLCAbasic!$J:$J,OpenLCAbasic!$E:$E,"Base",OpenLCAbasic!$D:$D,"Base",OpenLCAbasic!$F:$F,N$9,OpenLCAbasic!$L:$L,$I$4,OpenLCAbasic!$I:$I,G34,OpenLCAbasic!$C:$C,N$13),
IF(AND(N$9="Upgraded", OR(N$11="Low", N$11="High"), OR(G34=G$37, G34=G$36)),
INDEX(OpenLCAbasic!$J:$J, MATCH(CONCATENATE(N$11, "_", N$10, "_", "Upgraded_",$I$4,"_",G34, "_", N$12, "_", N$14), OpenLCAbasic!$M:$M,0)),
IF(AND(ISERROR(MATCH(G34, LookUps!$G$5:$G$21,0)), N$9="Upgraded"),
SUMIFS(OpenLCAbasic!$J:$J,OpenLCAbasic!$E:$E, N$11, OpenLCAbasic!$D:$D, N$10, OpenLCAbasic!$F:$F,N$9,OpenLCAbasic!$L:$L,$I$4,OpenLCAbasic!$I:$I,INDEX(LookUps!$G$5:$G$21,MATCH(G34, LookUps!$J$5:$J$21,0)), OpenLCAbasic!$B:$B, N$14, OpenLCAbasic!$C:$C, N$12),
SUMIFS(OpenLCAbasic!$J:$J,OpenLCAbasic!$E:$E, N$11, OpenLCAbasic!$D:$D, N$10, OpenLCAbasic!$F:$F,N$9,OpenLCAbasic!$L:$L,$I$4,OpenLCAbasic!$I:$I,G34, OpenLCAbasic!$B:$B, N$14, OpenLCAbasic!$C:$C, N$12)
)))))</f>
        <v>0</v>
      </c>
      <c r="O34" s="302"/>
      <c r="P34" s="301">
        <f>IF(AND(P$9="Legacy",B34=B$38,OR(P$11="Low",P$11="High")),
INDEX(OpenLCAbasic!$J:$J,MATCH(CONCATENATE(P$10,"_","Base","_","Legacy_",$I$5,"_",B34,"_",P$13,"_n.a."),OpenLCAbasic!$M:$M,0)),
IF(AND(P$9="Legacy",ISERROR(MATCH(B34,LookUps!$H$5:$H$20,0))),"--",
IF(P$9="Legacy",SUMIFS(OpenLCAbasic!$J:$J,OpenLCAbasic!$E:$E,"Base",OpenLCAbasic!$D:$D,"Base",OpenLCAbasic!$F:$F,P$9,OpenLCAbasic!$L:$L,$I$5,OpenLCAbasic!$I:$I,B34,OpenLCAbasic!$C:$C,P$13),
IF(AND(P$9="Upgraded", OR(P$11="Low", P$11="High"), OR(B34=B$37, B34=B$36)),
INDEX(OpenLCAbasic!$J:$J, MATCH(CONCATENATE(P$11, "_", P$10, "_", "Upgraded_",$I$5,"_",B34, "_", P$12, "_", P$14), OpenLCAbasic!$M:$M,0)),
IF(AND(ISERROR(MATCH(B34, LookUps!$G$5:$G$21,0)), P$9="Upgraded"),
SUMIFS(OpenLCAbasic!$J:$J,OpenLCAbasic!$E:$E, P$11, OpenLCAbasic!$D:$D, P$10, OpenLCAbasic!$F:$F,P$9,OpenLCAbasic!$L:$L,$I$5,OpenLCAbasic!$I:$I,INDEX(LookUps!$G$5:$G$21,MATCH(B34, LookUps!$J$5:$J$21,0)), OpenLCAbasic!$B:$B, P$14, OpenLCAbasic!$C:$C, P$12),
SUMIFS(OpenLCAbasic!$J:$J,OpenLCAbasic!$E:$E, P$11, OpenLCAbasic!$D:$D, P$10, OpenLCAbasic!$F:$F,P$9,OpenLCAbasic!$L:$L,$I$5,OpenLCAbasic!$I:$I,B34, OpenLCAbasic!$B:$B, P$14, OpenLCAbasic!$C:$C, P$12)
)))))</f>
        <v>0.22309000000000001</v>
      </c>
      <c r="Q34" s="304">
        <f>IF(AND(Q$9="Legacy",C34=C$38,OR(Q$11="Low",Q$11="High")),
INDEX(OpenLCAbasic!$J:$J,MATCH(CONCATENATE(Q$10,"_","Base","_","Legacy_",$I$5,"_",C34,"_",Q$13,"_n.a."),OpenLCAbasic!$M:$M,0)),
IF(AND(Q$9="Legacy",ISERROR(MATCH(C34,LookUps!$H$5:$H$20,0))),"--",
IF(Q$9="Legacy",SUMIFS(OpenLCAbasic!$J:$J,OpenLCAbasic!$E:$E,"Base",OpenLCAbasic!$D:$D,"Base",OpenLCAbasic!$F:$F,Q$9,OpenLCAbasic!$L:$L,$I$5,OpenLCAbasic!$I:$I,C34,OpenLCAbasic!$C:$C,Q$13),
IF(AND(Q$9="Upgraded", OR(Q$11="Low", Q$11="High"), OR(C34=C$37, C34=C$36)),
INDEX(OpenLCAbasic!$J:$J, MATCH(CONCATENATE(Q$11, "_", Q$10, "_", "Upgraded_",$I$5,"_",C34, "_", Q$12, "_", Q$14), OpenLCAbasic!$M:$M,0)),
IF(AND(ISERROR(MATCH(C34, LookUps!$G$5:$G$21,0)), Q$9="Upgraded"),
SUMIFS(OpenLCAbasic!$J:$J,OpenLCAbasic!$E:$E, Q$11, OpenLCAbasic!$D:$D, Q$10, OpenLCAbasic!$F:$F,Q$9,OpenLCAbasic!$L:$L,$I$5,OpenLCAbasic!$I:$I,INDEX(LookUps!$G$5:$G$21,MATCH(C34, LookUps!$J$5:$J$21,0)), OpenLCAbasic!$B:$B, Q$14, OpenLCAbasic!$C:$C, Q$12),
SUMIFS(OpenLCAbasic!$J:$J,OpenLCAbasic!$E:$E, Q$11, OpenLCAbasic!$D:$D, Q$10, OpenLCAbasic!$F:$F,Q$9,OpenLCAbasic!$L:$L,$I$5,OpenLCAbasic!$I:$I,C34, OpenLCAbasic!$B:$B, Q$14, OpenLCAbasic!$C:$C, Q$12)
)))))</f>
        <v>0</v>
      </c>
      <c r="R34" s="304">
        <f>IF(AND(R$9="Legacy",D34=D$38,OR(R$11="Low",R$11="High")),
INDEX(OpenLCAbasic!$J:$J,MATCH(CONCATENATE(R$10,"_","Base","_","Legacy_",$I$5,"_",D34,"_",R$13,"_n.a."),OpenLCAbasic!$M:$M,0)),
IF(AND(R$9="Legacy",ISERROR(MATCH(D34,LookUps!$H$5:$H$20,0))),"--",
IF(R$9="Legacy",SUMIFS(OpenLCAbasic!$J:$J,OpenLCAbasic!$E:$E,"Base",OpenLCAbasic!$D:$D,"Base",OpenLCAbasic!$F:$F,R$9,OpenLCAbasic!$L:$L,$I$5,OpenLCAbasic!$I:$I,D34,OpenLCAbasic!$C:$C,R$13),
IF(AND(R$9="Upgraded", OR(R$11="Low", R$11="High"), OR(D34=D$37, D34=D$36)),
INDEX(OpenLCAbasic!$J:$J, MATCH(CONCATENATE(R$11, "_", R$10, "_", "Upgraded_",$I$5,"_",D34, "_", R$12, "_", R$14), OpenLCAbasic!$M:$M,0)),
IF(AND(ISERROR(MATCH(D34, LookUps!$G$5:$G$21,0)), R$9="Upgraded"),
SUMIFS(OpenLCAbasic!$J:$J,OpenLCAbasic!$E:$E, R$11, OpenLCAbasic!$D:$D, R$10, OpenLCAbasic!$F:$F,R$9,OpenLCAbasic!$L:$L,$I$5,OpenLCAbasic!$I:$I,INDEX(LookUps!$G$5:$G$21,MATCH(D34, LookUps!$J$5:$J$21,0)), OpenLCAbasic!$B:$B, R$14, OpenLCAbasic!$C:$C, R$12),
SUMIFS(OpenLCAbasic!$J:$J,OpenLCAbasic!$E:$E, R$11, OpenLCAbasic!$D:$D, R$10, OpenLCAbasic!$F:$F,R$9,OpenLCAbasic!$L:$L,$I$5,OpenLCAbasic!$I:$I,D34, OpenLCAbasic!$B:$B, R$14, OpenLCAbasic!$C:$C, R$12)
)))))</f>
        <v>0</v>
      </c>
      <c r="S34" s="304">
        <f>IF(AND(S$9="Legacy",E34=E$38,OR(S$11="Low",S$11="High")),
INDEX(OpenLCAbasic!$J:$J,MATCH(CONCATENATE(S$10,"_","Base","_","Legacy_",$I$5,"_",E34,"_",S$13,"_n.a."),OpenLCAbasic!$M:$M,0)),
IF(AND(S$9="Legacy",ISERROR(MATCH(E34,LookUps!$H$5:$H$20,0))),"--",
IF(S$9="Legacy",SUMIFS(OpenLCAbasic!$J:$J,OpenLCAbasic!$E:$E,"Base",OpenLCAbasic!$D:$D,"Base",OpenLCAbasic!$F:$F,S$9,OpenLCAbasic!$L:$L,$I$5,OpenLCAbasic!$I:$I,E34,OpenLCAbasic!$C:$C,S$13),
IF(AND(S$9="Upgraded", OR(S$11="Low", S$11="High"), OR(E34=E$37, E34=E$36)),
INDEX(OpenLCAbasic!$J:$J, MATCH(CONCATENATE(S$11, "_", S$10, "_", "Upgraded_",$I$5,"_",E34, "_", S$12, "_", S$14), OpenLCAbasic!$M:$M,0)),
IF(AND(ISERROR(MATCH(E34, LookUps!$G$5:$G$21,0)), S$9="Upgraded"),
SUMIFS(OpenLCAbasic!$J:$J,OpenLCAbasic!$E:$E, S$11, OpenLCAbasic!$D:$D, S$10, OpenLCAbasic!$F:$F,S$9,OpenLCAbasic!$L:$L,$I$5,OpenLCAbasic!$I:$I,INDEX(LookUps!$G$5:$G$21,MATCH(E34, LookUps!$J$5:$J$21,0)), OpenLCAbasic!$B:$B, S$14, OpenLCAbasic!$C:$C, S$12),
SUMIFS(OpenLCAbasic!$J:$J,OpenLCAbasic!$E:$E, S$11, OpenLCAbasic!$D:$D, S$10, OpenLCAbasic!$F:$F,S$9,OpenLCAbasic!$L:$L,$I$5,OpenLCAbasic!$I:$I,E34, OpenLCAbasic!$B:$B, S$14, OpenLCAbasic!$C:$C, S$12)
)))))</f>
        <v>0</v>
      </c>
      <c r="T34" s="304">
        <f>IF(AND(T$9="Legacy",F34=F$38,OR(T$11="Low",T$11="High")),
INDEX(OpenLCAbasic!$J:$J,MATCH(CONCATENATE(T$10,"_","Base","_","Legacy_",$I$5,"_",F34,"_",T$13,"_n.a."),OpenLCAbasic!$M:$M,0)),
IF(AND(T$9="Legacy",ISERROR(MATCH(F34,LookUps!$H$5:$H$20,0))),"--",
IF(T$9="Legacy",SUMIFS(OpenLCAbasic!$J:$J,OpenLCAbasic!$E:$E,"Base",OpenLCAbasic!$D:$D,"Base",OpenLCAbasic!$F:$F,T$9,OpenLCAbasic!$L:$L,$I$5,OpenLCAbasic!$I:$I,F34,OpenLCAbasic!$C:$C,T$13),
IF(AND(T$9="Upgraded", OR(T$11="Low", T$11="High"), OR(F34=F$37, F34=F$36)),
INDEX(OpenLCAbasic!$J:$J, MATCH(CONCATENATE(T$11, "_", T$10, "_", "Upgraded_",$I$5,"_",F34, "_", T$12, "_", T$14), OpenLCAbasic!$M:$M,0)),
IF(AND(ISERROR(MATCH(F34, LookUps!$G$5:$G$21,0)), T$9="Upgraded"),
SUMIFS(OpenLCAbasic!$J:$J,OpenLCAbasic!$E:$E, T$11, OpenLCAbasic!$D:$D, T$10, OpenLCAbasic!$F:$F,T$9,OpenLCAbasic!$L:$L,$I$5,OpenLCAbasic!$I:$I,INDEX(LookUps!$G$5:$G$21,MATCH(F34, LookUps!$J$5:$J$21,0)), OpenLCAbasic!$B:$B, T$14, OpenLCAbasic!$C:$C, T$12),
SUMIFS(OpenLCAbasic!$J:$J,OpenLCAbasic!$E:$E, T$11, OpenLCAbasic!$D:$D, T$10, OpenLCAbasic!$F:$F,T$9,OpenLCAbasic!$L:$L,$I$5,OpenLCAbasic!$I:$I,F34, OpenLCAbasic!$B:$B, T$14, OpenLCAbasic!$C:$C, T$12)
)))))</f>
        <v>0</v>
      </c>
      <c r="U34" s="304">
        <f>IF(AND(U$9="Legacy",G34=G$38,OR(U$11="Low",U$11="High")),
INDEX(OpenLCAbasic!$J:$J,MATCH(CONCATENATE(U$10,"_","Base","_","Legacy_",$I$5,"_",G34,"_",U$13,"_n.a."),OpenLCAbasic!$M:$M,0)),
IF(AND(U$9="Legacy",ISERROR(MATCH(G34,LookUps!$H$5:$H$20,0))),"--",
IF(U$9="Legacy",SUMIFS(OpenLCAbasic!$J:$J,OpenLCAbasic!$E:$E,"Base",OpenLCAbasic!$D:$D,"Base",OpenLCAbasic!$F:$F,U$9,OpenLCAbasic!$L:$L,$I$5,OpenLCAbasic!$I:$I,G34,OpenLCAbasic!$C:$C,U$13),
IF(AND(U$9="Upgraded", OR(U$11="Low", U$11="High"), OR(G34=G$37, G34=G$36)),
INDEX(OpenLCAbasic!$J:$J, MATCH(CONCATENATE(U$11, "_", U$10, "_", "Upgraded_",$I$5,"_",G34, "_", U$12, "_", U$14), OpenLCAbasic!$M:$M,0)),
IF(AND(ISERROR(MATCH(G34, LookUps!$G$5:$G$21,0)), U$9="Upgraded"),
SUMIFS(OpenLCAbasic!$J:$J,OpenLCAbasic!$E:$E, U$11, OpenLCAbasic!$D:$D, U$10, OpenLCAbasic!$F:$F,U$9,OpenLCAbasic!$L:$L,$I$5,OpenLCAbasic!$I:$I,INDEX(LookUps!$G$5:$G$21,MATCH(G34, LookUps!$J$5:$J$21,0)), OpenLCAbasic!$B:$B, U$14, OpenLCAbasic!$C:$C, U$12),
SUMIFS(OpenLCAbasic!$J:$J,OpenLCAbasic!$E:$E, U$11, OpenLCAbasic!$D:$D, U$10, OpenLCAbasic!$F:$F,U$9,OpenLCAbasic!$L:$L,$I$5,OpenLCAbasic!$I:$I,G34, OpenLCAbasic!$B:$B, U$14, OpenLCAbasic!$C:$C, U$12)
)))))</f>
        <v>0</v>
      </c>
      <c r="V34" s="302"/>
      <c r="W34" s="303">
        <f>IF(AND(W$9="Legacy",B34=B$38,OR(W$11="Low",W$11="High")),
INDEX(OpenLCAbasic!$J:$J,MATCH(CONCATENATE(W$10,"_","Base","_","Legacy_",$I$6,"_",B34,"_",W$13,"_n.a."),OpenLCAbasic!$M:$M,0)),
IF(AND(W$9="Legacy",ISERROR(MATCH(B34,LookUps!$H$5:$H$20,0))),"--",
IF(W$9="Legacy",SUMIFS(OpenLCAbasic!$J:$J,OpenLCAbasic!$E:$E,"Base",OpenLCAbasic!$D:$D,"Base",OpenLCAbasic!$F:$F,W$9,OpenLCAbasic!$L:$L,$I$6,OpenLCAbasic!$I:$I,B34,OpenLCAbasic!$C:$C,W$13),
IF(AND(W$9="Upgraded", OR(W$11="Low", W$11="High"), OR(B34=B$37, B34=B$36)),
INDEX(OpenLCAbasic!$J:$J, MATCH(CONCATENATE(W$11, "_", W$10, "_", "Upgraded_",$I$6,"_",B34, "_", W$12, "_", W$14), OpenLCAbasic!$M:$M,0)),
IF(AND(ISERROR(MATCH(B34, LookUps!$G$5:$G$21,0)), W$9="Upgraded"),
SUMIFS(OpenLCAbasic!$J:$J,OpenLCAbasic!$E:$E, W$11, OpenLCAbasic!$D:$D, W$10, OpenLCAbasic!$F:$F,W$9,OpenLCAbasic!$L:$L,$I$6,OpenLCAbasic!$I:$I,INDEX(LookUps!$G$5:$G$21,MATCH(B34, LookUps!$J$5:$J$21,0)), OpenLCAbasic!$B:$B, W$14, OpenLCAbasic!$C:$C, W$12),
SUMIFS(OpenLCAbasic!$J:$J,OpenLCAbasic!$E:$E, W$11, OpenLCAbasic!$D:$D, W$10, OpenLCAbasic!$F:$F,W$9,OpenLCAbasic!$L:$L,$I$6,OpenLCAbasic!$I:$I,B34, OpenLCAbasic!$B:$B, W$14, OpenLCAbasic!$C:$C, W$12)
)))))</f>
        <v>4.2000000000000002E-4</v>
      </c>
      <c r="X34" s="304">
        <f>IF(AND(X$9="Legacy",C34=C$38,OR(X$11="Low",X$11="High")),
INDEX(OpenLCAbasic!$J:$J,MATCH(CONCATENATE(X$10,"_","Base","_","Legacy_",$I$6,"_",C34,"_",X$13,"_n.a."),OpenLCAbasic!$M:$M,0)),
IF(AND(X$9="Legacy",ISERROR(MATCH(C34,LookUps!$H$5:$H$20,0))),"--",
IF(X$9="Legacy",SUMIFS(OpenLCAbasic!$J:$J,OpenLCAbasic!$E:$E,"Base",OpenLCAbasic!$D:$D,"Base",OpenLCAbasic!$F:$F,X$9,OpenLCAbasic!$L:$L,$I$6,OpenLCAbasic!$I:$I,C34,OpenLCAbasic!$C:$C,X$13),
IF(AND(X$9="Upgraded", OR(X$11="Low", X$11="High"), OR(C34=C$37, C34=C$36)),
INDEX(OpenLCAbasic!$J:$J, MATCH(CONCATENATE(X$11, "_", X$10, "_", "Upgraded_",$I$6,"_",C34, "_", X$12, "_", X$14), OpenLCAbasic!$M:$M,0)),
IF(AND(ISERROR(MATCH(C34, LookUps!$G$5:$G$21,0)), X$9="Upgraded"),
SUMIFS(OpenLCAbasic!$J:$J,OpenLCAbasic!$E:$E, X$11, OpenLCAbasic!$D:$D, X$10, OpenLCAbasic!$F:$F,X$9,OpenLCAbasic!$L:$L,$I$6,OpenLCAbasic!$I:$I,INDEX(LookUps!$G$5:$G$21,MATCH(C34, LookUps!$J$5:$J$21,0)), OpenLCAbasic!$B:$B, X$14, OpenLCAbasic!$C:$C, X$12),
SUMIFS(OpenLCAbasic!$J:$J,OpenLCAbasic!$E:$E, X$11, OpenLCAbasic!$D:$D, X$10, OpenLCAbasic!$F:$F,X$9,OpenLCAbasic!$L:$L,$I$6,OpenLCAbasic!$I:$I,C34, OpenLCAbasic!$B:$B, X$14, OpenLCAbasic!$C:$C, X$12)
)))))</f>
        <v>0</v>
      </c>
      <c r="Y34" s="304">
        <f>IF(AND(Y$9="Legacy",D34=D$38,OR(Y$11="Low",Y$11="High")),
INDEX(OpenLCAbasic!$J:$J,MATCH(CONCATENATE(Y$10,"_","Base","_","Legacy_",$I$6,"_",D34,"_",Y$13,"_n.a."),OpenLCAbasic!$M:$M,0)),
IF(AND(Y$9="Legacy",ISERROR(MATCH(D34,LookUps!$H$5:$H$20,0))),"--",
IF(Y$9="Legacy",SUMIFS(OpenLCAbasic!$J:$J,OpenLCAbasic!$E:$E,"Base",OpenLCAbasic!$D:$D,"Base",OpenLCAbasic!$F:$F,Y$9,OpenLCAbasic!$L:$L,$I$6,OpenLCAbasic!$I:$I,D34,OpenLCAbasic!$C:$C,Y$13),
IF(AND(Y$9="Upgraded", OR(Y$11="Low", Y$11="High"), OR(D34=D$37, D34=D$36)),
INDEX(OpenLCAbasic!$J:$J, MATCH(CONCATENATE(Y$11, "_", Y$10, "_", "Upgraded_",$I$6,"_",D34, "_", Y$12, "_", Y$14), OpenLCAbasic!$M:$M,0)),
IF(AND(ISERROR(MATCH(D34, LookUps!$G$5:$G$21,0)), Y$9="Upgraded"),
SUMIFS(OpenLCAbasic!$J:$J,OpenLCAbasic!$E:$E, Y$11, OpenLCAbasic!$D:$D, Y$10, OpenLCAbasic!$F:$F,Y$9,OpenLCAbasic!$L:$L,$I$6,OpenLCAbasic!$I:$I,INDEX(LookUps!$G$5:$G$21,MATCH(D34, LookUps!$J$5:$J$21,0)), OpenLCAbasic!$B:$B, Y$14, OpenLCAbasic!$C:$C, Y$12),
SUMIFS(OpenLCAbasic!$J:$J,OpenLCAbasic!$E:$E, Y$11, OpenLCAbasic!$D:$D, Y$10, OpenLCAbasic!$F:$F,Y$9,OpenLCAbasic!$L:$L,$I$6,OpenLCAbasic!$I:$I,D34, OpenLCAbasic!$B:$B, Y$14, OpenLCAbasic!$C:$C, Y$12)
)))))</f>
        <v>0</v>
      </c>
      <c r="Z34" s="304">
        <f>IF(AND(Z$9="Legacy",E34=E$38,OR(Z$11="Low",Z$11="High")),
INDEX(OpenLCAbasic!$J:$J,MATCH(CONCATENATE(Z$10,"_","Base","_","Legacy_",$I$6,"_",E34,"_",Z$13,"_n.a."),OpenLCAbasic!$M:$M,0)),
IF(AND(Z$9="Legacy",ISERROR(MATCH(E34,LookUps!$H$5:$H$20,0))),"--",
IF(Z$9="Legacy",SUMIFS(OpenLCAbasic!$J:$J,OpenLCAbasic!$E:$E,"Base",OpenLCAbasic!$D:$D,"Base",OpenLCAbasic!$F:$F,Z$9,OpenLCAbasic!$L:$L,$I$6,OpenLCAbasic!$I:$I,E34,OpenLCAbasic!$C:$C,Z$13),
IF(AND(Z$9="Upgraded", OR(Z$11="Low", Z$11="High"), OR(E34=E$37, E34=E$36)),
INDEX(OpenLCAbasic!$J:$J, MATCH(CONCATENATE(Z$11, "_", Z$10, "_", "Upgraded_",$I$6,"_",E34, "_", Z$12, "_", Z$14), OpenLCAbasic!$M:$M,0)),
IF(AND(ISERROR(MATCH(E34, LookUps!$G$5:$G$21,0)), Z$9="Upgraded"),
SUMIFS(OpenLCAbasic!$J:$J,OpenLCAbasic!$E:$E, Z$11, OpenLCAbasic!$D:$D, Z$10, OpenLCAbasic!$F:$F,Z$9,OpenLCAbasic!$L:$L,$I$6,OpenLCAbasic!$I:$I,INDEX(LookUps!$G$5:$G$21,MATCH(E34, LookUps!$J$5:$J$21,0)), OpenLCAbasic!$B:$B, Z$14, OpenLCAbasic!$C:$C, Z$12),
SUMIFS(OpenLCAbasic!$J:$J,OpenLCAbasic!$E:$E, Z$11, OpenLCAbasic!$D:$D, Z$10, OpenLCAbasic!$F:$F,Z$9,OpenLCAbasic!$L:$L,$I$6,OpenLCAbasic!$I:$I,E34, OpenLCAbasic!$B:$B, Z$14, OpenLCAbasic!$C:$C, Z$12)
)))))</f>
        <v>0</v>
      </c>
      <c r="AA34" s="304">
        <f>IF(AND(AA$9="Legacy",F34=F$38,OR(AA$11="Low",AA$11="High")),
INDEX(OpenLCAbasic!$J:$J,MATCH(CONCATENATE(AA$10,"_","Base","_","Legacy_",$I$6,"_",F34,"_",AA$13,"_n.a."),OpenLCAbasic!$M:$M,0)),
IF(AND(AA$9="Legacy",ISERROR(MATCH(F34,LookUps!$H$5:$H$20,0))),"--",
IF(AA$9="Legacy",SUMIFS(OpenLCAbasic!$J:$J,OpenLCAbasic!$E:$E,"Base",OpenLCAbasic!$D:$D,"Base",OpenLCAbasic!$F:$F,AA$9,OpenLCAbasic!$L:$L,$I$6,OpenLCAbasic!$I:$I,F34,OpenLCAbasic!$C:$C,AA$13),
IF(AND(AA$9="Upgraded", OR(AA$11="Low", AA$11="High"), OR(F34=F$37, F34=F$36)),
INDEX(OpenLCAbasic!$J:$J, MATCH(CONCATENATE(AA$11, "_", AA$10, "_", "Upgraded_",$I$6,"_",F34, "_", AA$12, "_", AA$14), OpenLCAbasic!$M:$M,0)),
IF(AND(ISERROR(MATCH(F34, LookUps!$G$5:$G$21,0)), AA$9="Upgraded"),
SUMIFS(OpenLCAbasic!$J:$J,OpenLCAbasic!$E:$E, AA$11, OpenLCAbasic!$D:$D, AA$10, OpenLCAbasic!$F:$F,AA$9,OpenLCAbasic!$L:$L,$I$6,OpenLCAbasic!$I:$I,INDEX(LookUps!$G$5:$G$21,MATCH(F34, LookUps!$J$5:$J$21,0)), OpenLCAbasic!$B:$B, AA$14, OpenLCAbasic!$C:$C, AA$12),
SUMIFS(OpenLCAbasic!$J:$J,OpenLCAbasic!$E:$E, AA$11, OpenLCAbasic!$D:$D, AA$10, OpenLCAbasic!$F:$F,AA$9,OpenLCAbasic!$L:$L,$I$6,OpenLCAbasic!$I:$I,F34, OpenLCAbasic!$B:$B, AA$14, OpenLCAbasic!$C:$C, AA$12)
)))))</f>
        <v>0</v>
      </c>
      <c r="AB34" s="304">
        <f>IF(AND(AB$9="Legacy",G34=G$38,OR(AB$11="Low",AB$11="High")),
INDEX(OpenLCAbasic!$J:$J,MATCH(CONCATENATE(AB$10,"_","Base","_","Legacy_",$I$6,"_",G34,"_",AB$13,"_n.a."),OpenLCAbasic!$M:$M,0)),
IF(AND(AB$9="Legacy",ISERROR(MATCH(G34,LookUps!$H$5:$H$20,0))),"--",
IF(AB$9="Legacy",SUMIFS(OpenLCAbasic!$J:$J,OpenLCAbasic!$E:$E,"Base",OpenLCAbasic!$D:$D,"Base",OpenLCAbasic!$F:$F,AB$9,OpenLCAbasic!$L:$L,$I$6,OpenLCAbasic!$I:$I,G34,OpenLCAbasic!$C:$C,AB$13),
IF(AND(AB$9="Upgraded", OR(AB$11="Low", AB$11="High"), OR(G34=G$37, G34=G$36)),
INDEX(OpenLCAbasic!$J:$J, MATCH(CONCATENATE(AB$11, "_", AB$10, "_", "Upgraded_",$I$6,"_",G34, "_", AB$12, "_", AB$14), OpenLCAbasic!$M:$M,0)),
IF(AND(ISERROR(MATCH(G34, LookUps!$G$5:$G$21,0)), AB$9="Upgraded"),
SUMIFS(OpenLCAbasic!$J:$J,OpenLCAbasic!$E:$E, AB$11, OpenLCAbasic!$D:$D, AB$10, OpenLCAbasic!$F:$F,AB$9,OpenLCAbasic!$L:$L,$I$6,OpenLCAbasic!$I:$I,INDEX(LookUps!$G$5:$G$21,MATCH(G34, LookUps!$J$5:$J$21,0)), OpenLCAbasic!$B:$B, AB$14, OpenLCAbasic!$C:$C, AB$12),
SUMIFS(OpenLCAbasic!$J:$J,OpenLCAbasic!$E:$E, AB$11, OpenLCAbasic!$D:$D, AB$10, OpenLCAbasic!$F:$F,AB$9,OpenLCAbasic!$L:$L,$I$6,OpenLCAbasic!$I:$I,G34, OpenLCAbasic!$B:$B, AB$14, OpenLCAbasic!$C:$C, AB$12)
)))))</f>
        <v>0</v>
      </c>
    </row>
    <row r="35" spans="2:28" x14ac:dyDescent="0.25">
      <c r="B35" s="99" t="str">
        <f t="shared" si="15"/>
        <v>Belt filter press; wastewater treatment unit - US</v>
      </c>
      <c r="C35" s="99" t="str">
        <f t="shared" si="14"/>
        <v>Belt filter press; wastewater treatment unit - US</v>
      </c>
      <c r="D35" s="99" t="str">
        <f t="shared" si="14"/>
        <v>Belt filter press; wastewater treatment unit - US</v>
      </c>
      <c r="E35" s="99" t="str">
        <f t="shared" si="14"/>
        <v>Belt filter press; wastewater treatment unit - US</v>
      </c>
      <c r="F35" s="99" t="str">
        <f t="shared" si="14"/>
        <v>Belt filter press; wastewater treatment unit - US</v>
      </c>
      <c r="G35" s="99" t="str">
        <f t="shared" si="14"/>
        <v>Belt filter press; wastewater treatment unit - US</v>
      </c>
      <c r="H35" s="266" t="str">
        <f>LookUps!$J$15</f>
        <v>Belt filter press; wastewater treatment unit - US</v>
      </c>
      <c r="I35" s="301">
        <f>IF(AND(I$9="Legacy",B35=B$38,OR(I$11="Low",I$11="High")),
INDEX(OpenLCAbasic!$J:$J,MATCH(CONCATENATE(I$10,"_","Base","_","Legacy_",$I$4,"_",B35,"_",I$13,"_n.a."),OpenLCAbasic!$M:$M,0)),
IF(AND(I$9="Legacy",ISERROR(MATCH(B35,LookUps!$H$5:$H$20,0))),"--",
IF(I$9="Legacy",SUMIFS(OpenLCAbasic!$J:$J,OpenLCAbasic!$E:$E,"Base",OpenLCAbasic!$D:$D,"Base",OpenLCAbasic!$F:$F,I$9,OpenLCAbasic!$L:$L,$I$4,OpenLCAbasic!$I:$I,B35,OpenLCAbasic!$C:$C,I$13),
IF(AND(I$9="Upgraded", OR(I$11="Low", I$11="High"), OR(B35=B$37, B35=B$36)),
INDEX(OpenLCAbasic!$J:$J, MATCH(CONCATENATE(I$11, "_", I$10, "_", "Upgraded_",$I$4,"_",B35, "_", I$12, "_", I$14), OpenLCAbasic!$M:$M,0)),
IF(AND(ISERROR(MATCH(B35, LookUps!$G$5:$G$21,0)), I$9="Upgraded"),
SUMIFS(OpenLCAbasic!$J:$J,OpenLCAbasic!$E:$E, I$11, OpenLCAbasic!$D:$D, I$10, OpenLCAbasic!$F:$F,I$9,OpenLCAbasic!$L:$L,$I$4,OpenLCAbasic!$I:$I,INDEX(LookUps!$G$5:$G$21,MATCH(B35, LookUps!$J$5:$J$21,0)), OpenLCAbasic!$B:$B, I$14, OpenLCAbasic!$C:$C, I$12),
SUMIFS(OpenLCAbasic!$J:$J,OpenLCAbasic!$E:$E, I$11, OpenLCAbasic!$D:$D, I$10, OpenLCAbasic!$F:$F,I$9,OpenLCAbasic!$L:$L,$I$4,OpenLCAbasic!$I:$I,B35, OpenLCAbasic!$B:$B, I$14, OpenLCAbasic!$C:$C, I$12)
)))))</f>
        <v>0.16199</v>
      </c>
      <c r="J35" s="301">
        <f>IF(AND(J$9="Legacy",C35=C$38,OR(J$11="Low",J$11="High")),
INDEX(OpenLCAbasic!$J:$J,MATCH(CONCATENATE(J$10,"_","Base","_","Legacy_",$I$4,"_",C35,"_",J$13,"_n.a."),OpenLCAbasic!$M:$M,0)),
IF(AND(J$9="Legacy",ISERROR(MATCH(C35,LookUps!$H$5:$H$20,0))),"--",
IF(J$9="Legacy",SUMIFS(OpenLCAbasic!$J:$J,OpenLCAbasic!$E:$E,"Base",OpenLCAbasic!$D:$D,"Base",OpenLCAbasic!$F:$F,J$9,OpenLCAbasic!$L:$L,$I$4,OpenLCAbasic!$I:$I,C35,OpenLCAbasic!$C:$C,J$13),
IF(AND(J$9="Upgraded", OR(J$11="Low", J$11="High"), OR(C35=C$37, C35=C$36)),
INDEX(OpenLCAbasic!$J:$J, MATCH(CONCATENATE(J$11, "_", J$10, "_", "Upgraded_",$I$4,"_",C35, "_", J$12, "_", J$14), OpenLCAbasic!$M:$M,0)),
IF(AND(ISERROR(MATCH(C35, LookUps!$G$5:$G$21,0)), J$9="Upgraded"),
SUMIFS(OpenLCAbasic!$J:$J,OpenLCAbasic!$E:$E, J$11, OpenLCAbasic!$D:$D, J$10, OpenLCAbasic!$F:$F,J$9,OpenLCAbasic!$L:$L,$I$4,OpenLCAbasic!$I:$I,INDEX(LookUps!$G$5:$G$21,MATCH(C35, LookUps!$J$5:$J$21,0)), OpenLCAbasic!$B:$B, J$14, OpenLCAbasic!$C:$C, J$12),
SUMIFS(OpenLCAbasic!$J:$J,OpenLCAbasic!$E:$E, J$11, OpenLCAbasic!$D:$D, J$10, OpenLCAbasic!$F:$F,J$9,OpenLCAbasic!$L:$L,$I$4,OpenLCAbasic!$I:$I,C35, OpenLCAbasic!$B:$B, J$14, OpenLCAbasic!$C:$C, J$12)
)))))</f>
        <v>0.28833999999999999</v>
      </c>
      <c r="K35" s="301">
        <f>IF(AND(K$9="Legacy",D35=D$38,OR(K$11="Low",K$11="High")),
INDEX(OpenLCAbasic!$J:$J,MATCH(CONCATENATE(K$10,"_","Base","_","Legacy_",$I$4,"_",D35,"_",K$13,"_n.a."),OpenLCAbasic!$M:$M,0)),
IF(AND(K$9="Legacy",ISERROR(MATCH(D35,LookUps!$H$5:$H$20,0))),"--",
IF(K$9="Legacy",SUMIFS(OpenLCAbasic!$J:$J,OpenLCAbasic!$E:$E,"Base",OpenLCAbasic!$D:$D,"Base",OpenLCAbasic!$F:$F,K$9,OpenLCAbasic!$L:$L,$I$4,OpenLCAbasic!$I:$I,D35,OpenLCAbasic!$C:$C,K$13),
IF(AND(K$9="Upgraded", OR(K$11="Low", K$11="High"), OR(D35=D$37, D35=D$36)),
INDEX(OpenLCAbasic!$J:$J, MATCH(CONCATENATE(K$11, "_", K$10, "_", "Upgraded_",$I$4,"_",D35, "_", K$12, "_", K$14), OpenLCAbasic!$M:$M,0)),
IF(AND(ISERROR(MATCH(D35, LookUps!$G$5:$G$21,0)), K$9="Upgraded"),
SUMIFS(OpenLCAbasic!$J:$J,OpenLCAbasic!$E:$E, K$11, OpenLCAbasic!$D:$D, K$10, OpenLCAbasic!$F:$F,K$9,OpenLCAbasic!$L:$L,$I$4,OpenLCAbasic!$I:$I,INDEX(LookUps!$G$5:$G$21,MATCH(D35, LookUps!$J$5:$J$21,0)), OpenLCAbasic!$B:$B, K$14, OpenLCAbasic!$C:$C, K$12),
SUMIFS(OpenLCAbasic!$J:$J,OpenLCAbasic!$E:$E, K$11, OpenLCAbasic!$D:$D, K$10, OpenLCAbasic!$F:$F,K$9,OpenLCAbasic!$L:$L,$I$4,OpenLCAbasic!$I:$I,D35, OpenLCAbasic!$B:$B, K$14, OpenLCAbasic!$C:$C, K$12)
)))))</f>
        <v>0.28833999999999999</v>
      </c>
      <c r="L35" s="301">
        <f>IF(AND(L$9="Legacy",E35=E$38,OR(L$11="Low",L$11="High")),
INDEX(OpenLCAbasic!$J:$J,MATCH(CONCATENATE(L$10,"_","Base","_","Legacy_",$I$4,"_",E35,"_",L$13,"_n.a."),OpenLCAbasic!$M:$M,0)),
IF(AND(L$9="Legacy",ISERROR(MATCH(E35,LookUps!$H$5:$H$20,0))),"--",
IF(L$9="Legacy",SUMIFS(OpenLCAbasic!$J:$J,OpenLCAbasic!$E:$E,"Base",OpenLCAbasic!$D:$D,"Base",OpenLCAbasic!$F:$F,L$9,OpenLCAbasic!$L:$L,$I$4,OpenLCAbasic!$I:$I,E35,OpenLCAbasic!$C:$C,L$13),
IF(AND(L$9="Upgraded", OR(L$11="Low", L$11="High"), OR(E35=E$37, E35=E$36)),
INDEX(OpenLCAbasic!$J:$J, MATCH(CONCATENATE(L$11, "_", L$10, "_", "Upgraded_",$I$4,"_",E35, "_", L$12, "_", L$14), OpenLCAbasic!$M:$M,0)),
IF(AND(ISERROR(MATCH(E35, LookUps!$G$5:$G$21,0)), L$9="Upgraded"),
SUMIFS(OpenLCAbasic!$J:$J,OpenLCAbasic!$E:$E, L$11, OpenLCAbasic!$D:$D, L$10, OpenLCAbasic!$F:$F,L$9,OpenLCAbasic!$L:$L,$I$4,OpenLCAbasic!$I:$I,INDEX(LookUps!$G$5:$G$21,MATCH(E35, LookUps!$J$5:$J$21,0)), OpenLCAbasic!$B:$B, L$14, OpenLCAbasic!$C:$C, L$12),
SUMIFS(OpenLCAbasic!$J:$J,OpenLCAbasic!$E:$E, L$11, OpenLCAbasic!$D:$D, L$10, OpenLCAbasic!$F:$F,L$9,OpenLCAbasic!$L:$L,$I$4,OpenLCAbasic!$I:$I,E35, OpenLCAbasic!$B:$B, L$14, OpenLCAbasic!$C:$C, L$12)
)))))</f>
        <v>0.28833999999999999</v>
      </c>
      <c r="M35" s="301">
        <f>IF(AND(M$9="Legacy",F35=F$38,OR(M$11="Low",M$11="High")),
INDEX(OpenLCAbasic!$J:$J,MATCH(CONCATENATE(M$10,"_","Base","_","Legacy_",$I$4,"_",F35,"_",M$13,"_n.a."),OpenLCAbasic!$M:$M,0)),
IF(AND(M$9="Legacy",ISERROR(MATCH(F35,LookUps!$H$5:$H$20,0))),"--",
IF(M$9="Legacy",SUMIFS(OpenLCAbasic!$J:$J,OpenLCAbasic!$E:$E,"Base",OpenLCAbasic!$D:$D,"Base",OpenLCAbasic!$F:$F,M$9,OpenLCAbasic!$L:$L,$I$4,OpenLCAbasic!$I:$I,F35,OpenLCAbasic!$C:$C,M$13),
IF(AND(M$9="Upgraded", OR(M$11="Low", M$11="High"), OR(F35=F$37, F35=F$36)),
INDEX(OpenLCAbasic!$J:$J, MATCH(CONCATENATE(M$11, "_", M$10, "_", "Upgraded_",$I$4,"_",F35, "_", M$12, "_", M$14), OpenLCAbasic!$M:$M,0)),
IF(AND(ISERROR(MATCH(F35, LookUps!$G$5:$G$21,0)), M$9="Upgraded"),
SUMIFS(OpenLCAbasic!$J:$J,OpenLCAbasic!$E:$E, M$11, OpenLCAbasic!$D:$D, M$10, OpenLCAbasic!$F:$F,M$9,OpenLCAbasic!$L:$L,$I$4,OpenLCAbasic!$I:$I,INDEX(LookUps!$G$5:$G$21,MATCH(F35, LookUps!$J$5:$J$21,0)), OpenLCAbasic!$B:$B, M$14, OpenLCAbasic!$C:$C, M$12),
SUMIFS(OpenLCAbasic!$J:$J,OpenLCAbasic!$E:$E, M$11, OpenLCAbasic!$D:$D, M$10, OpenLCAbasic!$F:$F,M$9,OpenLCAbasic!$L:$L,$I$4,OpenLCAbasic!$I:$I,F35, OpenLCAbasic!$B:$B, M$14, OpenLCAbasic!$C:$C, M$12)
)))))</f>
        <v>0.39804</v>
      </c>
      <c r="N35" s="301">
        <f>IF(AND(N$9="Legacy",G35=G$38,OR(N$11="Low",N$11="High")),
INDEX(OpenLCAbasic!$J:$J,MATCH(CONCATENATE(N$10,"_","Base","_","Legacy_",$I$4,"_",G35,"_",N$13,"_n.a."),OpenLCAbasic!$M:$M,0)),
IF(AND(N$9="Legacy",ISERROR(MATCH(G35,LookUps!$H$5:$H$20,0))),"--",
IF(N$9="Legacy",SUMIFS(OpenLCAbasic!$J:$J,OpenLCAbasic!$E:$E,"Base",OpenLCAbasic!$D:$D,"Base",OpenLCAbasic!$F:$F,N$9,OpenLCAbasic!$L:$L,$I$4,OpenLCAbasic!$I:$I,G35,OpenLCAbasic!$C:$C,N$13),
IF(AND(N$9="Upgraded", OR(N$11="Low", N$11="High"), OR(G35=G$37, G35=G$36)),
INDEX(OpenLCAbasic!$J:$J, MATCH(CONCATENATE(N$11, "_", N$10, "_", "Upgraded_",$I$4,"_",G35, "_", N$12, "_", N$14), OpenLCAbasic!$M:$M,0)),
IF(AND(ISERROR(MATCH(G35, LookUps!$G$5:$G$21,0)), N$9="Upgraded"),
SUMIFS(OpenLCAbasic!$J:$J,OpenLCAbasic!$E:$E, N$11, OpenLCAbasic!$D:$D, N$10, OpenLCAbasic!$F:$F,N$9,OpenLCAbasic!$L:$L,$I$4,OpenLCAbasic!$I:$I,INDEX(LookUps!$G$5:$G$21,MATCH(G35, LookUps!$J$5:$J$21,0)), OpenLCAbasic!$B:$B, N$14, OpenLCAbasic!$C:$C, N$12),
SUMIFS(OpenLCAbasic!$J:$J,OpenLCAbasic!$E:$E, N$11, OpenLCAbasic!$D:$D, N$10, OpenLCAbasic!$F:$F,N$9,OpenLCAbasic!$L:$L,$I$4,OpenLCAbasic!$I:$I,G35, OpenLCAbasic!$B:$B, N$14, OpenLCAbasic!$C:$C, N$12)
)))))</f>
        <v>0.51639000000000002</v>
      </c>
      <c r="O35" s="302"/>
      <c r="P35" s="303">
        <f>IF(AND(P$9="Legacy",B35=B$38,OR(P$11="Low",P$11="High")),
INDEX(OpenLCAbasic!$J:$J,MATCH(CONCATENATE(P$10,"_","Base","_","Legacy_",$I$5,"_",B35,"_",P$13,"_n.a."),OpenLCAbasic!$M:$M,0)),
IF(AND(P$9="Legacy",ISERROR(MATCH(B35,LookUps!$H$5:$H$20,0))),"--",
IF(P$9="Legacy",SUMIFS(OpenLCAbasic!$J:$J,OpenLCAbasic!$E:$E,"Base",OpenLCAbasic!$D:$D,"Base",OpenLCAbasic!$F:$F,P$9,OpenLCAbasic!$L:$L,$I$5,OpenLCAbasic!$I:$I,B35,OpenLCAbasic!$C:$C,P$13),
IF(AND(P$9="Upgraded", OR(P$11="Low", P$11="High"), OR(B35=B$37, B35=B$36)),
INDEX(OpenLCAbasic!$J:$J, MATCH(CONCATENATE(P$11, "_", P$10, "_", "Upgraded_",$I$5,"_",B35, "_", P$12, "_", P$14), OpenLCAbasic!$M:$M,0)),
IF(AND(ISERROR(MATCH(B35, LookUps!$G$5:$G$21,0)), P$9="Upgraded"),
SUMIFS(OpenLCAbasic!$J:$J,OpenLCAbasic!$E:$E, P$11, OpenLCAbasic!$D:$D, P$10, OpenLCAbasic!$F:$F,P$9,OpenLCAbasic!$L:$L,$I$5,OpenLCAbasic!$I:$I,INDEX(LookUps!$G$5:$G$21,MATCH(B35, LookUps!$J$5:$J$21,0)), OpenLCAbasic!$B:$B, P$14, OpenLCAbasic!$C:$C, P$12),
SUMIFS(OpenLCAbasic!$J:$J,OpenLCAbasic!$E:$E, P$11, OpenLCAbasic!$D:$D, P$10, OpenLCAbasic!$F:$F,P$9,OpenLCAbasic!$L:$L,$I$5,OpenLCAbasic!$I:$I,B35, OpenLCAbasic!$B:$B, P$14, OpenLCAbasic!$C:$C, P$12)
)))))</f>
        <v>7.4400000000000004E-3</v>
      </c>
      <c r="Q35" s="301">
        <f>IF(AND(Q$9="Legacy",C35=C$38,OR(Q$11="Low",Q$11="High")),
INDEX(OpenLCAbasic!$J:$J,MATCH(CONCATENATE(Q$10,"_","Base","_","Legacy_",$I$5,"_",C35,"_",Q$13,"_n.a."),OpenLCAbasic!$M:$M,0)),
IF(AND(Q$9="Legacy",ISERROR(MATCH(C35,LookUps!$H$5:$H$20,0))),"--",
IF(Q$9="Legacy",SUMIFS(OpenLCAbasic!$J:$J,OpenLCAbasic!$E:$E,"Base",OpenLCAbasic!$D:$D,"Base",OpenLCAbasic!$F:$F,Q$9,OpenLCAbasic!$L:$L,$I$5,OpenLCAbasic!$I:$I,C35,OpenLCAbasic!$C:$C,Q$13),
IF(AND(Q$9="Upgraded", OR(Q$11="Low", Q$11="High"), OR(C35=C$37, C35=C$36)),
INDEX(OpenLCAbasic!$J:$J, MATCH(CONCATENATE(Q$11, "_", Q$10, "_", "Upgraded_",$I$5,"_",C35, "_", Q$12, "_", Q$14), OpenLCAbasic!$M:$M,0)),
IF(AND(ISERROR(MATCH(C35, LookUps!$G$5:$G$21,0)), Q$9="Upgraded"),
SUMIFS(OpenLCAbasic!$J:$J,OpenLCAbasic!$E:$E, Q$11, OpenLCAbasic!$D:$D, Q$10, OpenLCAbasic!$F:$F,Q$9,OpenLCAbasic!$L:$L,$I$5,OpenLCAbasic!$I:$I,INDEX(LookUps!$G$5:$G$21,MATCH(C35, LookUps!$J$5:$J$21,0)), OpenLCAbasic!$B:$B, Q$14, OpenLCAbasic!$C:$C, Q$12),
SUMIFS(OpenLCAbasic!$J:$J,OpenLCAbasic!$E:$E, Q$11, OpenLCAbasic!$D:$D, Q$10, OpenLCAbasic!$F:$F,Q$9,OpenLCAbasic!$L:$L,$I$5,OpenLCAbasic!$I:$I,C35, OpenLCAbasic!$B:$B, Q$14, OpenLCAbasic!$C:$C, Q$12)
)))))</f>
        <v>1.278E-2</v>
      </c>
      <c r="R35" s="301">
        <f>IF(AND(R$9="Legacy",D35=D$38,OR(R$11="Low",R$11="High")),
INDEX(OpenLCAbasic!$J:$J,MATCH(CONCATENATE(R$10,"_","Base","_","Legacy_",$I$5,"_",D35,"_",R$13,"_n.a."),OpenLCAbasic!$M:$M,0)),
IF(AND(R$9="Legacy",ISERROR(MATCH(D35,LookUps!$H$5:$H$20,0))),"--",
IF(R$9="Legacy",SUMIFS(OpenLCAbasic!$J:$J,OpenLCAbasic!$E:$E,"Base",OpenLCAbasic!$D:$D,"Base",OpenLCAbasic!$F:$F,R$9,OpenLCAbasic!$L:$L,$I$5,OpenLCAbasic!$I:$I,D35,OpenLCAbasic!$C:$C,R$13),
IF(AND(R$9="Upgraded", OR(R$11="Low", R$11="High"), OR(D35=D$37, D35=D$36)),
INDEX(OpenLCAbasic!$J:$J, MATCH(CONCATENATE(R$11, "_", R$10, "_", "Upgraded_",$I$5,"_",D35, "_", R$12, "_", R$14), OpenLCAbasic!$M:$M,0)),
IF(AND(ISERROR(MATCH(D35, LookUps!$G$5:$G$21,0)), R$9="Upgraded"),
SUMIFS(OpenLCAbasic!$J:$J,OpenLCAbasic!$E:$E, R$11, OpenLCAbasic!$D:$D, R$10, OpenLCAbasic!$F:$F,R$9,OpenLCAbasic!$L:$L,$I$5,OpenLCAbasic!$I:$I,INDEX(LookUps!$G$5:$G$21,MATCH(D35, LookUps!$J$5:$J$21,0)), OpenLCAbasic!$B:$B, R$14, OpenLCAbasic!$C:$C, R$12),
SUMIFS(OpenLCAbasic!$J:$J,OpenLCAbasic!$E:$E, R$11, OpenLCAbasic!$D:$D, R$10, OpenLCAbasic!$F:$F,R$9,OpenLCAbasic!$L:$L,$I$5,OpenLCAbasic!$I:$I,D35, OpenLCAbasic!$B:$B, R$14, OpenLCAbasic!$C:$C, R$12)
)))))</f>
        <v>1.278E-2</v>
      </c>
      <c r="S35" s="301">
        <f>IF(AND(S$9="Legacy",E35=E$38,OR(S$11="Low",S$11="High")),
INDEX(OpenLCAbasic!$J:$J,MATCH(CONCATENATE(S$10,"_","Base","_","Legacy_",$I$5,"_",E35,"_",S$13,"_n.a."),OpenLCAbasic!$M:$M,0)),
IF(AND(S$9="Legacy",ISERROR(MATCH(E35,LookUps!$H$5:$H$20,0))),"--",
IF(S$9="Legacy",SUMIFS(OpenLCAbasic!$J:$J,OpenLCAbasic!$E:$E,"Base",OpenLCAbasic!$D:$D,"Base",OpenLCAbasic!$F:$F,S$9,OpenLCAbasic!$L:$L,$I$5,OpenLCAbasic!$I:$I,E35,OpenLCAbasic!$C:$C,S$13),
IF(AND(S$9="Upgraded", OR(S$11="Low", S$11="High"), OR(E35=E$37, E35=E$36)),
INDEX(OpenLCAbasic!$J:$J, MATCH(CONCATENATE(S$11, "_", S$10, "_", "Upgraded_",$I$5,"_",E35, "_", S$12, "_", S$14), OpenLCAbasic!$M:$M,0)),
IF(AND(ISERROR(MATCH(E35, LookUps!$G$5:$G$21,0)), S$9="Upgraded"),
SUMIFS(OpenLCAbasic!$J:$J,OpenLCAbasic!$E:$E, S$11, OpenLCAbasic!$D:$D, S$10, OpenLCAbasic!$F:$F,S$9,OpenLCAbasic!$L:$L,$I$5,OpenLCAbasic!$I:$I,INDEX(LookUps!$G$5:$G$21,MATCH(E35, LookUps!$J$5:$J$21,0)), OpenLCAbasic!$B:$B, S$14, OpenLCAbasic!$C:$C, S$12),
SUMIFS(OpenLCAbasic!$J:$J,OpenLCAbasic!$E:$E, S$11, OpenLCAbasic!$D:$D, S$10, OpenLCAbasic!$F:$F,S$9,OpenLCAbasic!$L:$L,$I$5,OpenLCAbasic!$I:$I,E35, OpenLCAbasic!$B:$B, S$14, OpenLCAbasic!$C:$C, S$12)
)))))</f>
        <v>1.278E-2</v>
      </c>
      <c r="T35" s="301">
        <f>IF(AND(T$9="Legacy",F35=F$38,OR(T$11="Low",T$11="High")),
INDEX(OpenLCAbasic!$J:$J,MATCH(CONCATENATE(T$10,"_","Base","_","Legacy_",$I$5,"_",F35,"_",T$13,"_n.a."),OpenLCAbasic!$M:$M,0)),
IF(AND(T$9="Legacy",ISERROR(MATCH(F35,LookUps!$H$5:$H$20,0))),"--",
IF(T$9="Legacy",SUMIFS(OpenLCAbasic!$J:$J,OpenLCAbasic!$E:$E,"Base",OpenLCAbasic!$D:$D,"Base",OpenLCAbasic!$F:$F,T$9,OpenLCAbasic!$L:$L,$I$5,OpenLCAbasic!$I:$I,F35,OpenLCAbasic!$C:$C,T$13),
IF(AND(T$9="Upgraded", OR(T$11="Low", T$11="High"), OR(F35=F$37, F35=F$36)),
INDEX(OpenLCAbasic!$J:$J, MATCH(CONCATENATE(T$11, "_", T$10, "_", "Upgraded_",$I$5,"_",F35, "_", T$12, "_", T$14), OpenLCAbasic!$M:$M,0)),
IF(AND(ISERROR(MATCH(F35, LookUps!$G$5:$G$21,0)), T$9="Upgraded"),
SUMIFS(OpenLCAbasic!$J:$J,OpenLCAbasic!$E:$E, T$11, OpenLCAbasic!$D:$D, T$10, OpenLCAbasic!$F:$F,T$9,OpenLCAbasic!$L:$L,$I$5,OpenLCAbasic!$I:$I,INDEX(LookUps!$G$5:$G$21,MATCH(F35, LookUps!$J$5:$J$21,0)), OpenLCAbasic!$B:$B, T$14, OpenLCAbasic!$C:$C, T$12),
SUMIFS(OpenLCAbasic!$J:$J,OpenLCAbasic!$E:$E, T$11, OpenLCAbasic!$D:$D, T$10, OpenLCAbasic!$F:$F,T$9,OpenLCAbasic!$L:$L,$I$5,OpenLCAbasic!$I:$I,F35, OpenLCAbasic!$B:$B, T$14, OpenLCAbasic!$C:$C, T$12)
)))))</f>
        <v>1.7639999999999999E-2</v>
      </c>
      <c r="U35" s="301">
        <f>IF(AND(U$9="Legacy",G35=G$38,OR(U$11="Low",U$11="High")),
INDEX(OpenLCAbasic!$J:$J,MATCH(CONCATENATE(U$10,"_","Base","_","Legacy_",$I$5,"_",G35,"_",U$13,"_n.a."),OpenLCAbasic!$M:$M,0)),
IF(AND(U$9="Legacy",ISERROR(MATCH(G35,LookUps!$H$5:$H$20,0))),"--",
IF(U$9="Legacy",SUMIFS(OpenLCAbasic!$J:$J,OpenLCAbasic!$E:$E,"Base",OpenLCAbasic!$D:$D,"Base",OpenLCAbasic!$F:$F,U$9,OpenLCAbasic!$L:$L,$I$5,OpenLCAbasic!$I:$I,G35,OpenLCAbasic!$C:$C,U$13),
IF(AND(U$9="Upgraded", OR(U$11="Low", U$11="High"), OR(G35=G$37, G35=G$36)),
INDEX(OpenLCAbasic!$J:$J, MATCH(CONCATENATE(U$11, "_", U$10, "_", "Upgraded_",$I$5,"_",G35, "_", U$12, "_", U$14), OpenLCAbasic!$M:$M,0)),
IF(AND(ISERROR(MATCH(G35, LookUps!$G$5:$G$21,0)), U$9="Upgraded"),
SUMIFS(OpenLCAbasic!$J:$J,OpenLCAbasic!$E:$E, U$11, OpenLCAbasic!$D:$D, U$10, OpenLCAbasic!$F:$F,U$9,OpenLCAbasic!$L:$L,$I$5,OpenLCAbasic!$I:$I,INDEX(LookUps!$G$5:$G$21,MATCH(G35, LookUps!$J$5:$J$21,0)), OpenLCAbasic!$B:$B, U$14, OpenLCAbasic!$C:$C, U$12),
SUMIFS(OpenLCAbasic!$J:$J,OpenLCAbasic!$E:$E, U$11, OpenLCAbasic!$D:$D, U$10, OpenLCAbasic!$F:$F,U$9,OpenLCAbasic!$L:$L,$I$5,OpenLCAbasic!$I:$I,G35, OpenLCAbasic!$B:$B, U$14, OpenLCAbasic!$C:$C, U$12)
)))))</f>
        <v>2.2880000000000001E-2</v>
      </c>
      <c r="V35" s="302"/>
      <c r="W35" s="303">
        <f>IF(AND(W$9="Legacy",B35=B$38,OR(W$11="Low",W$11="High")),
INDEX(OpenLCAbasic!$J:$J,MATCH(CONCATENATE(W$10,"_","Base","_","Legacy_",$I$6,"_",B35,"_",W$13,"_n.a."),OpenLCAbasic!$M:$M,0)),
IF(AND(W$9="Legacy",ISERROR(MATCH(B35,LookUps!$H$5:$H$20,0))),"--",
IF(W$9="Legacy",SUMIFS(OpenLCAbasic!$J:$J,OpenLCAbasic!$E:$E,"Base",OpenLCAbasic!$D:$D,"Base",OpenLCAbasic!$F:$F,W$9,OpenLCAbasic!$L:$L,$I$6,OpenLCAbasic!$I:$I,B35,OpenLCAbasic!$C:$C,W$13),
IF(AND(W$9="Upgraded", OR(W$11="Low", W$11="High"), OR(B35=B$37, B35=B$36)),
INDEX(OpenLCAbasic!$J:$J, MATCH(CONCATENATE(W$11, "_", W$10, "_", "Upgraded_",$I$6,"_",B35, "_", W$12, "_", W$14), OpenLCAbasic!$M:$M,0)),
IF(AND(ISERROR(MATCH(B35, LookUps!$G$5:$G$21,0)), W$9="Upgraded"),
SUMIFS(OpenLCAbasic!$J:$J,OpenLCAbasic!$E:$E, W$11, OpenLCAbasic!$D:$D, W$10, OpenLCAbasic!$F:$F,W$9,OpenLCAbasic!$L:$L,$I$6,OpenLCAbasic!$I:$I,INDEX(LookUps!$G$5:$G$21,MATCH(B35, LookUps!$J$5:$J$21,0)), OpenLCAbasic!$B:$B, W$14, OpenLCAbasic!$C:$C, W$12),
SUMIFS(OpenLCAbasic!$J:$J,OpenLCAbasic!$E:$E, W$11, OpenLCAbasic!$D:$D, W$10, OpenLCAbasic!$F:$F,W$9,OpenLCAbasic!$L:$L,$I$6,OpenLCAbasic!$I:$I,B35, OpenLCAbasic!$B:$B, W$14, OpenLCAbasic!$C:$C, W$12)
)))))</f>
        <v>2.6429899999999999E-5</v>
      </c>
      <c r="X35" s="303">
        <f>IF(AND(X$9="Legacy",C35=C$38,OR(X$11="Low",X$11="High")),
INDEX(OpenLCAbasic!$J:$J,MATCH(CONCATENATE(X$10,"_","Base","_","Legacy_",$I$6,"_",C35,"_",X$13,"_n.a."),OpenLCAbasic!$M:$M,0)),
IF(AND(X$9="Legacy",ISERROR(MATCH(C35,LookUps!$H$5:$H$20,0))),"--",
IF(X$9="Legacy",SUMIFS(OpenLCAbasic!$J:$J,OpenLCAbasic!$E:$E,"Base",OpenLCAbasic!$D:$D,"Base",OpenLCAbasic!$F:$F,X$9,OpenLCAbasic!$L:$L,$I$6,OpenLCAbasic!$I:$I,C35,OpenLCAbasic!$C:$C,X$13),
IF(AND(X$9="Upgraded", OR(X$11="Low", X$11="High"), OR(C35=C$37, C35=C$36)),
INDEX(OpenLCAbasic!$J:$J, MATCH(CONCATENATE(X$11, "_", X$10, "_", "Upgraded_",$I$6,"_",C35, "_", X$12, "_", X$14), OpenLCAbasic!$M:$M,0)),
IF(AND(ISERROR(MATCH(C35, LookUps!$G$5:$G$21,0)), X$9="Upgraded"),
SUMIFS(OpenLCAbasic!$J:$J,OpenLCAbasic!$E:$E, X$11, OpenLCAbasic!$D:$D, X$10, OpenLCAbasic!$F:$F,X$9,OpenLCAbasic!$L:$L,$I$6,OpenLCAbasic!$I:$I,INDEX(LookUps!$G$5:$G$21,MATCH(C35, LookUps!$J$5:$J$21,0)), OpenLCAbasic!$B:$B, X$14, OpenLCAbasic!$C:$C, X$12),
SUMIFS(OpenLCAbasic!$J:$J,OpenLCAbasic!$E:$E, X$11, OpenLCAbasic!$D:$D, X$10, OpenLCAbasic!$F:$F,X$9,OpenLCAbasic!$L:$L,$I$6,OpenLCAbasic!$I:$I,C35, OpenLCAbasic!$B:$B, X$14, OpenLCAbasic!$C:$C, X$12)
)))))</f>
        <v>5.06508E-5</v>
      </c>
      <c r="Y35" s="303">
        <f>IF(AND(Y$9="Legacy",D35=D$38,OR(Y$11="Low",Y$11="High")),
INDEX(OpenLCAbasic!$J:$J,MATCH(CONCATENATE(Y$10,"_","Base","_","Legacy_",$I$6,"_",D35,"_",Y$13,"_n.a."),OpenLCAbasic!$M:$M,0)),
IF(AND(Y$9="Legacy",ISERROR(MATCH(D35,LookUps!$H$5:$H$20,0))),"--",
IF(Y$9="Legacy",SUMIFS(OpenLCAbasic!$J:$J,OpenLCAbasic!$E:$E,"Base",OpenLCAbasic!$D:$D,"Base",OpenLCAbasic!$F:$F,Y$9,OpenLCAbasic!$L:$L,$I$6,OpenLCAbasic!$I:$I,D35,OpenLCAbasic!$C:$C,Y$13),
IF(AND(Y$9="Upgraded", OR(Y$11="Low", Y$11="High"), OR(D35=D$37, D35=D$36)),
INDEX(OpenLCAbasic!$J:$J, MATCH(CONCATENATE(Y$11, "_", Y$10, "_", "Upgraded_",$I$6,"_",D35, "_", Y$12, "_", Y$14), OpenLCAbasic!$M:$M,0)),
IF(AND(ISERROR(MATCH(D35, LookUps!$G$5:$G$21,0)), Y$9="Upgraded"),
SUMIFS(OpenLCAbasic!$J:$J,OpenLCAbasic!$E:$E, Y$11, OpenLCAbasic!$D:$D, Y$10, OpenLCAbasic!$F:$F,Y$9,OpenLCAbasic!$L:$L,$I$6,OpenLCAbasic!$I:$I,INDEX(LookUps!$G$5:$G$21,MATCH(D35, LookUps!$J$5:$J$21,0)), OpenLCAbasic!$B:$B, Y$14, OpenLCAbasic!$C:$C, Y$12),
SUMIFS(OpenLCAbasic!$J:$J,OpenLCAbasic!$E:$E, Y$11, OpenLCAbasic!$D:$D, Y$10, OpenLCAbasic!$F:$F,Y$9,OpenLCAbasic!$L:$L,$I$6,OpenLCAbasic!$I:$I,D35, OpenLCAbasic!$B:$B, Y$14, OpenLCAbasic!$C:$C, Y$12)
)))))</f>
        <v>5.06508E-5</v>
      </c>
      <c r="Z35" s="303">
        <f>IF(AND(Z$9="Legacy",E35=E$38,OR(Z$11="Low",Z$11="High")),
INDEX(OpenLCAbasic!$J:$J,MATCH(CONCATENATE(Z$10,"_","Base","_","Legacy_",$I$6,"_",E35,"_",Z$13,"_n.a."),OpenLCAbasic!$M:$M,0)),
IF(AND(Z$9="Legacy",ISERROR(MATCH(E35,LookUps!$H$5:$H$20,0))),"--",
IF(Z$9="Legacy",SUMIFS(OpenLCAbasic!$J:$J,OpenLCAbasic!$E:$E,"Base",OpenLCAbasic!$D:$D,"Base",OpenLCAbasic!$F:$F,Z$9,OpenLCAbasic!$L:$L,$I$6,OpenLCAbasic!$I:$I,E35,OpenLCAbasic!$C:$C,Z$13),
IF(AND(Z$9="Upgraded", OR(Z$11="Low", Z$11="High"), OR(E35=E$37, E35=E$36)),
INDEX(OpenLCAbasic!$J:$J, MATCH(CONCATENATE(Z$11, "_", Z$10, "_", "Upgraded_",$I$6,"_",E35, "_", Z$12, "_", Z$14), OpenLCAbasic!$M:$M,0)),
IF(AND(ISERROR(MATCH(E35, LookUps!$G$5:$G$21,0)), Z$9="Upgraded"),
SUMIFS(OpenLCAbasic!$J:$J,OpenLCAbasic!$E:$E, Z$11, OpenLCAbasic!$D:$D, Z$10, OpenLCAbasic!$F:$F,Z$9,OpenLCAbasic!$L:$L,$I$6,OpenLCAbasic!$I:$I,INDEX(LookUps!$G$5:$G$21,MATCH(E35, LookUps!$J$5:$J$21,0)), OpenLCAbasic!$B:$B, Z$14, OpenLCAbasic!$C:$C, Z$12),
SUMIFS(OpenLCAbasic!$J:$J,OpenLCAbasic!$E:$E, Z$11, OpenLCAbasic!$D:$D, Z$10, OpenLCAbasic!$F:$F,Z$9,OpenLCAbasic!$L:$L,$I$6,OpenLCAbasic!$I:$I,E35, OpenLCAbasic!$B:$B, Z$14, OpenLCAbasic!$C:$C, Z$12)
)))))</f>
        <v>5.06508E-5</v>
      </c>
      <c r="AA35" s="303">
        <f>IF(AND(AA$9="Legacy",F35=F$38,OR(AA$11="Low",AA$11="High")),
INDEX(OpenLCAbasic!$J:$J,MATCH(CONCATENATE(AA$10,"_","Base","_","Legacy_",$I$6,"_",F35,"_",AA$13,"_n.a."),OpenLCAbasic!$M:$M,0)),
IF(AND(AA$9="Legacy",ISERROR(MATCH(F35,LookUps!$H$5:$H$20,0))),"--",
IF(AA$9="Legacy",SUMIFS(OpenLCAbasic!$J:$J,OpenLCAbasic!$E:$E,"Base",OpenLCAbasic!$D:$D,"Base",OpenLCAbasic!$F:$F,AA$9,OpenLCAbasic!$L:$L,$I$6,OpenLCAbasic!$I:$I,F35,OpenLCAbasic!$C:$C,AA$13),
IF(AND(AA$9="Upgraded", OR(AA$11="Low", AA$11="High"), OR(F35=F$37, F35=F$36)),
INDEX(OpenLCAbasic!$J:$J, MATCH(CONCATENATE(AA$11, "_", AA$10, "_", "Upgraded_",$I$6,"_",F35, "_", AA$12, "_", AA$14), OpenLCAbasic!$M:$M,0)),
IF(AND(ISERROR(MATCH(F35, LookUps!$G$5:$G$21,0)), AA$9="Upgraded"),
SUMIFS(OpenLCAbasic!$J:$J,OpenLCAbasic!$E:$E, AA$11, OpenLCAbasic!$D:$D, AA$10, OpenLCAbasic!$F:$F,AA$9,OpenLCAbasic!$L:$L,$I$6,OpenLCAbasic!$I:$I,INDEX(LookUps!$G$5:$G$21,MATCH(F35, LookUps!$J$5:$J$21,0)), OpenLCAbasic!$B:$B, AA$14, OpenLCAbasic!$C:$C, AA$12),
SUMIFS(OpenLCAbasic!$J:$J,OpenLCAbasic!$E:$E, AA$11, OpenLCAbasic!$D:$D, AA$10, OpenLCAbasic!$F:$F,AA$9,OpenLCAbasic!$L:$L,$I$6,OpenLCAbasic!$I:$I,F35, OpenLCAbasic!$B:$B, AA$14, OpenLCAbasic!$C:$C, AA$12)
)))))</f>
        <v>6.9922100000000006E-5</v>
      </c>
      <c r="AB35" s="303">
        <f>IF(AND(AB$9="Legacy",G35=G$38,OR(AB$11="Low",AB$11="High")),
INDEX(OpenLCAbasic!$J:$J,MATCH(CONCATENATE(AB$10,"_","Base","_","Legacy_",$I$6,"_",G35,"_",AB$13,"_n.a."),OpenLCAbasic!$M:$M,0)),
IF(AND(AB$9="Legacy",ISERROR(MATCH(G35,LookUps!$H$5:$H$20,0))),"--",
IF(AB$9="Legacy",SUMIFS(OpenLCAbasic!$J:$J,OpenLCAbasic!$E:$E,"Base",OpenLCAbasic!$D:$D,"Base",OpenLCAbasic!$F:$F,AB$9,OpenLCAbasic!$L:$L,$I$6,OpenLCAbasic!$I:$I,G35,OpenLCAbasic!$C:$C,AB$13),
IF(AND(AB$9="Upgraded", OR(AB$11="Low", AB$11="High"), OR(G35=G$37, G35=G$36)),
INDEX(OpenLCAbasic!$J:$J, MATCH(CONCATENATE(AB$11, "_", AB$10, "_", "Upgraded_",$I$6,"_",G35, "_", AB$12, "_", AB$14), OpenLCAbasic!$M:$M,0)),
IF(AND(ISERROR(MATCH(G35, LookUps!$G$5:$G$21,0)), AB$9="Upgraded"),
SUMIFS(OpenLCAbasic!$J:$J,OpenLCAbasic!$E:$E, AB$11, OpenLCAbasic!$D:$D, AB$10, OpenLCAbasic!$F:$F,AB$9,OpenLCAbasic!$L:$L,$I$6,OpenLCAbasic!$I:$I,INDEX(LookUps!$G$5:$G$21,MATCH(G35, LookUps!$J$5:$J$21,0)), OpenLCAbasic!$B:$B, AB$14, OpenLCAbasic!$C:$C, AB$12),
SUMIFS(OpenLCAbasic!$J:$J,OpenLCAbasic!$E:$E, AB$11, OpenLCAbasic!$D:$D, AB$10, OpenLCAbasic!$F:$F,AB$9,OpenLCAbasic!$L:$L,$I$6,OpenLCAbasic!$I:$I,G35, OpenLCAbasic!$B:$B, AB$14, OpenLCAbasic!$C:$C, AB$12)
)))))</f>
        <v>9.0710800000000006E-5</v>
      </c>
    </row>
    <row r="36" spans="2:28" x14ac:dyDescent="0.25">
      <c r="B36" s="270" t="str">
        <f>IF(I$14="Windrow", "Biosolids composting; windrow composting; wastewater treatment unit; at updated plant - US", "Biosolids composting; aerated static pile; wastewater treatment unit; at updated plant - US")</f>
        <v>Biosolids composting; aerated static pile; wastewater treatment unit; at updated plant - US</v>
      </c>
      <c r="C36" s="270" t="str">
        <f t="shared" ref="C36:G36" si="16">IF(J$14="Windrow", "Biosolids composting; windrow composting; wastewater treatment unit; at updated plant - US", "Biosolids composting; aerated static pile; wastewater treatment unit; at updated plant - US")</f>
        <v>Biosolids composting; windrow composting; wastewater treatment unit; at updated plant - US</v>
      </c>
      <c r="D36" s="270" t="str">
        <f t="shared" si="16"/>
        <v>Biosolids composting; windrow composting; wastewater treatment unit; at updated plant - US</v>
      </c>
      <c r="E36" s="270" t="str">
        <f t="shared" si="16"/>
        <v>Biosolids composting; aerated static pile; wastewater treatment unit; at updated plant - US</v>
      </c>
      <c r="F36" s="270" t="str">
        <f t="shared" si="16"/>
        <v>Biosolids composting; aerated static pile; wastewater treatment unit; at updated plant - US</v>
      </c>
      <c r="G36" s="270" t="str">
        <f t="shared" si="16"/>
        <v>Biosolids composting; aerated static pile; wastewater treatment unit; at updated plant - US</v>
      </c>
      <c r="H36" s="266" t="str">
        <f>IF($I$14="Windrow", "Biosolids composting; windrow composting; wastewater treatment unit; at updated plant - US", "Biosolids composting; aerated static pile; wastewater treatment unit; at updated plant - US")</f>
        <v>Biosolids composting; aerated static pile; wastewater treatment unit; at updated plant - US</v>
      </c>
      <c r="I36" s="274" t="str">
        <f>IF(AND(I$9="Legacy",B36=B$38,OR(I$11="Low",I$11="High")),
INDEX(OpenLCAbasic!$J:$J,MATCH(CONCATENATE(I$10,"_","Base","_","Legacy_",$I$4,"_",B36,"_",I$13,"_n.a."),OpenLCAbasic!$M:$M,0)),
IF(AND(I$9="Legacy",ISERROR(MATCH(B36,LookUps!$H$5:$H$20,0))),"--",
IF(I$9="Legacy",SUMIFS(OpenLCAbasic!$J:$J,OpenLCAbasic!$E:$E,"Base",OpenLCAbasic!$D:$D,"Base",OpenLCAbasic!$F:$F,I$9,OpenLCAbasic!$L:$L,$I$4,OpenLCAbasic!$I:$I,B36,OpenLCAbasic!$C:$C,I$13),
IF(AND(I$9="Upgraded", OR(I$11="Low", I$11="High"), OR(B36=B$37, B36=B$36)),
INDEX(OpenLCAbasic!$J:$J, MATCH(CONCATENATE(I$11, "_", I$10, "_", "Upgraded_",$I$4,"_",B36, "_", I$12, "_", I$14), OpenLCAbasic!$M:$M,0)),
IF(AND(ISERROR(MATCH(B36, LookUps!$G$5:$G$21,0)), I$9="Upgraded"),
SUMIFS(OpenLCAbasic!$J:$J,OpenLCAbasic!$E:$E, I$11, OpenLCAbasic!$D:$D, I$10, OpenLCAbasic!$F:$F,I$9,OpenLCAbasic!$L:$L,$I$4,OpenLCAbasic!$I:$I,INDEX(LookUps!$G$5:$G$21,MATCH(B36, LookUps!$J$5:$J$21,0)), OpenLCAbasic!$B:$B, I$14, OpenLCAbasic!$C:$C, I$12),
SUMIFS(OpenLCAbasic!$J:$J,OpenLCAbasic!$E:$E, I$11, OpenLCAbasic!$D:$D, I$10, OpenLCAbasic!$F:$F,I$9,OpenLCAbasic!$L:$L,$I$4,OpenLCAbasic!$I:$I,B36, OpenLCAbasic!$B:$B, I$14, OpenLCAbasic!$C:$C, I$12)
)))))</f>
        <v>--</v>
      </c>
      <c r="J36" s="301">
        <f>IF(AND(J$9="Legacy",C36=C$38,OR(J$11="Low",J$11="High")),
INDEX(OpenLCAbasic!$J:$J,MATCH(CONCATENATE(J$10,"_","Base","_","Legacy_",$I$4,"_",C36,"_",J$13,"_n.a."),OpenLCAbasic!$M:$M,0)),
IF(AND(J$9="Legacy",ISERROR(MATCH(C36,LookUps!$H$5:$H$20,0))),"--",
IF(J$9="Legacy",SUMIFS(OpenLCAbasic!$J:$J,OpenLCAbasic!$E:$E,"Base",OpenLCAbasic!$D:$D,"Base",OpenLCAbasic!$F:$F,J$9,OpenLCAbasic!$L:$L,$I$4,OpenLCAbasic!$I:$I,C36,OpenLCAbasic!$C:$C,J$13),
IF(AND(J$9="Upgraded", OR(J$11="Low", J$11="High"), OR(C36=C$37, C36=C$36)),
INDEX(OpenLCAbasic!$J:$J, MATCH(CONCATENATE(J$11, "_", J$10, "_", "Upgraded_",$I$4,"_",C36, "_", J$12, "_", J$14), OpenLCAbasic!$M:$M,0)),
IF(AND(ISERROR(MATCH(C36, LookUps!$G$5:$G$21,0)), J$9="Upgraded"),
SUMIFS(OpenLCAbasic!$J:$J,OpenLCAbasic!$E:$E, J$11, OpenLCAbasic!$D:$D, J$10, OpenLCAbasic!$F:$F,J$9,OpenLCAbasic!$L:$L,$I$4,OpenLCAbasic!$I:$I,INDEX(LookUps!$G$5:$G$21,MATCH(C36, LookUps!$J$5:$J$21,0)), OpenLCAbasic!$B:$B, J$14, OpenLCAbasic!$C:$C, J$12),
SUMIFS(OpenLCAbasic!$J:$J,OpenLCAbasic!$E:$E, J$11, OpenLCAbasic!$D:$D, J$10, OpenLCAbasic!$F:$F,J$9,OpenLCAbasic!$L:$L,$I$4,OpenLCAbasic!$I:$I,C36, OpenLCAbasic!$B:$B, J$14, OpenLCAbasic!$C:$C, J$12)
)))))</f>
        <v>2.0650000000000002E-2</v>
      </c>
      <c r="K36" s="301">
        <f>IF(AND(K$9="Legacy",D36=D$38,OR(K$11="Low",K$11="High")),
INDEX(OpenLCAbasic!$J:$J,MATCH(CONCATENATE(K$10,"_","Base","_","Legacy_",$I$4,"_",D36,"_",K$13,"_n.a."),OpenLCAbasic!$M:$M,0)),
IF(AND(K$9="Legacy",ISERROR(MATCH(D36,LookUps!$H$5:$H$20,0))),"--",
IF(K$9="Legacy",SUMIFS(OpenLCAbasic!$J:$J,OpenLCAbasic!$E:$E,"Base",OpenLCAbasic!$D:$D,"Base",OpenLCAbasic!$F:$F,K$9,OpenLCAbasic!$L:$L,$I$4,OpenLCAbasic!$I:$I,D36,OpenLCAbasic!$C:$C,K$13),
IF(AND(K$9="Upgraded", OR(K$11="Low", K$11="High"), OR(D36=D$37, D36=D$36)),
INDEX(OpenLCAbasic!$J:$J, MATCH(CONCATENATE(K$11, "_", K$10, "_", "Upgraded_",$I$4,"_",D36, "_", K$12, "_", K$14), OpenLCAbasic!$M:$M,0)),
IF(AND(ISERROR(MATCH(D36, LookUps!$G$5:$G$21,0)), K$9="Upgraded"),
SUMIFS(OpenLCAbasic!$J:$J,OpenLCAbasic!$E:$E, K$11, OpenLCAbasic!$D:$D, K$10, OpenLCAbasic!$F:$F,K$9,OpenLCAbasic!$L:$L,$I$4,OpenLCAbasic!$I:$I,INDEX(LookUps!$G$5:$G$21,MATCH(D36, LookUps!$J$5:$J$21,0)), OpenLCAbasic!$B:$B, K$14, OpenLCAbasic!$C:$C, K$12),
SUMIFS(OpenLCAbasic!$J:$J,OpenLCAbasic!$E:$E, K$11, OpenLCAbasic!$D:$D, K$10, OpenLCAbasic!$F:$F,K$9,OpenLCAbasic!$L:$L,$I$4,OpenLCAbasic!$I:$I,D36, OpenLCAbasic!$B:$B, K$14, OpenLCAbasic!$C:$C, K$12)
)))))</f>
        <v>2.0650000000000002E-2</v>
      </c>
      <c r="L36" s="305">
        <f>IF(AND(L$9="Legacy",E36=E$38,OR(L$11="Low",L$11="High")),
INDEX(OpenLCAbasic!$J:$J,MATCH(CONCATENATE(L$10,"_","Base","_","Legacy_",$I$4,"_",E36,"_",L$13,"_n.a."),OpenLCAbasic!$M:$M,0)),
IF(AND(L$9="Legacy",ISERROR(MATCH(E36,LookUps!$H$5:$H$20,0))),"--",
IF(L$9="Legacy",SUMIFS(OpenLCAbasic!$J:$J,OpenLCAbasic!$E:$E,"Base",OpenLCAbasic!$D:$D,"Base",OpenLCAbasic!$F:$F,L$9,OpenLCAbasic!$L:$L,$I$4,OpenLCAbasic!$I:$I,E36,OpenLCAbasic!$C:$C,L$13),
IF(AND(L$9="Upgraded", OR(L$11="Low", L$11="High"), OR(E36=E$37, E36=E$36)),
INDEX(OpenLCAbasic!$J:$J, MATCH(CONCATENATE(L$11, "_", L$10, "_", "Upgraded_",$I$4,"_",E36, "_", L$12, "_", L$14), OpenLCAbasic!$M:$M,0)),
IF(AND(ISERROR(MATCH(E36, LookUps!$G$5:$G$21,0)), L$9="Upgraded"),
SUMIFS(OpenLCAbasic!$J:$J,OpenLCAbasic!$E:$E, L$11, OpenLCAbasic!$D:$D, L$10, OpenLCAbasic!$F:$F,L$9,OpenLCAbasic!$L:$L,$I$4,OpenLCAbasic!$I:$I,INDEX(LookUps!$G$5:$G$21,MATCH(E36, LookUps!$J$5:$J$21,0)), OpenLCAbasic!$B:$B, L$14, OpenLCAbasic!$C:$C, L$12),
SUMIFS(OpenLCAbasic!$J:$J,OpenLCAbasic!$E:$E, L$11, OpenLCAbasic!$D:$D, L$10, OpenLCAbasic!$F:$F,L$9,OpenLCAbasic!$L:$L,$I$4,OpenLCAbasic!$I:$I,E36, OpenLCAbasic!$B:$B, L$14, OpenLCAbasic!$C:$C, L$12)
)))))</f>
        <v>1.2490300000000001</v>
      </c>
      <c r="M36" s="305">
        <f>IF(AND(M$9="Legacy",F36=F$38,OR(M$11="Low",M$11="High")),
INDEX(OpenLCAbasic!$J:$J,MATCH(CONCATENATE(M$10,"_","Base","_","Legacy_",$I$4,"_",F36,"_",M$13,"_n.a."),OpenLCAbasic!$M:$M,0)),
IF(AND(M$9="Legacy",ISERROR(MATCH(F36,LookUps!$H$5:$H$20,0))),"--",
IF(M$9="Legacy",SUMIFS(OpenLCAbasic!$J:$J,OpenLCAbasic!$E:$E,"Base",OpenLCAbasic!$D:$D,"Base",OpenLCAbasic!$F:$F,M$9,OpenLCAbasic!$L:$L,$I$4,OpenLCAbasic!$I:$I,F36,OpenLCAbasic!$C:$C,M$13),
IF(AND(M$9="Upgraded", OR(M$11="Low", M$11="High"), OR(F36=F$37, F36=F$36)),
INDEX(OpenLCAbasic!$J:$J, MATCH(CONCATENATE(M$11, "_", M$10, "_", "Upgraded_",$I$4,"_",F36, "_", M$12, "_", M$14), OpenLCAbasic!$M:$M,0)),
IF(AND(ISERROR(MATCH(F36, LookUps!$G$5:$G$21,0)), M$9="Upgraded"),
SUMIFS(OpenLCAbasic!$J:$J,OpenLCAbasic!$E:$E, M$11, OpenLCAbasic!$D:$D, M$10, OpenLCAbasic!$F:$F,M$9,OpenLCAbasic!$L:$L,$I$4,OpenLCAbasic!$I:$I,INDEX(LookUps!$G$5:$G$21,MATCH(F36, LookUps!$J$5:$J$21,0)), OpenLCAbasic!$B:$B, M$14, OpenLCAbasic!$C:$C, M$12),
SUMIFS(OpenLCAbasic!$J:$J,OpenLCAbasic!$E:$E, M$11, OpenLCAbasic!$D:$D, M$10, OpenLCAbasic!$F:$F,M$9,OpenLCAbasic!$L:$L,$I$4,OpenLCAbasic!$I:$I,F36, OpenLCAbasic!$B:$B, M$14, OpenLCAbasic!$C:$C, M$12)
)))))</f>
        <v>1.72374</v>
      </c>
      <c r="N36" s="305">
        <f>IF(AND(N$9="Legacy",G36=G$38,OR(N$11="Low",N$11="High")),
INDEX(OpenLCAbasic!$J:$J,MATCH(CONCATENATE(N$10,"_","Base","_","Legacy_",$I$4,"_",G36,"_",N$13,"_n.a."),OpenLCAbasic!$M:$M,0)),
IF(AND(N$9="Legacy",ISERROR(MATCH(G36,LookUps!$H$5:$H$20,0))),"--",
IF(N$9="Legacy",SUMIFS(OpenLCAbasic!$J:$J,OpenLCAbasic!$E:$E,"Base",OpenLCAbasic!$D:$D,"Base",OpenLCAbasic!$F:$F,N$9,OpenLCAbasic!$L:$L,$I$4,OpenLCAbasic!$I:$I,G36,OpenLCAbasic!$C:$C,N$13),
IF(AND(N$9="Upgraded", OR(N$11="Low", N$11="High"), OR(G36=G$37, G36=G$36)),
INDEX(OpenLCAbasic!$J:$J, MATCH(CONCATENATE(N$11, "_", N$10, "_", "Upgraded_",$I$4,"_",G36, "_", N$12, "_", N$14), OpenLCAbasic!$M:$M,0)),
IF(AND(ISERROR(MATCH(G36, LookUps!$G$5:$G$21,0)), N$9="Upgraded"),
SUMIFS(OpenLCAbasic!$J:$J,OpenLCAbasic!$E:$E, N$11, OpenLCAbasic!$D:$D, N$10, OpenLCAbasic!$F:$F,N$9,OpenLCAbasic!$L:$L,$I$4,OpenLCAbasic!$I:$I,INDEX(LookUps!$G$5:$G$21,MATCH(G36, LookUps!$J$5:$J$21,0)), OpenLCAbasic!$B:$B, N$14, OpenLCAbasic!$C:$C, N$12),
SUMIFS(OpenLCAbasic!$J:$J,OpenLCAbasic!$E:$E, N$11, OpenLCAbasic!$D:$D, N$10, OpenLCAbasic!$F:$F,N$9,OpenLCAbasic!$L:$L,$I$4,OpenLCAbasic!$I:$I,G36, OpenLCAbasic!$B:$B, N$14, OpenLCAbasic!$C:$C, N$12)
)))))</f>
        <v>2.2243300000000001</v>
      </c>
      <c r="O36" s="302"/>
      <c r="P36" s="274" t="str">
        <f>IF(AND(P$9="Legacy",B36=B$38,OR(P$11="Low",P$11="High")),
INDEX(OpenLCAbasic!$J:$J,MATCH(CONCATENATE(P$10,"_","Base","_","Legacy_",$I$5,"_",B36,"_",P$13,"_n.a."),OpenLCAbasic!$M:$M,0)),
IF(AND(P$9="Legacy",ISERROR(MATCH(B36,LookUps!$H$5:$H$20,0))),"--",
IF(P$9="Legacy",SUMIFS(OpenLCAbasic!$J:$J,OpenLCAbasic!$E:$E,"Base",OpenLCAbasic!$D:$D,"Base",OpenLCAbasic!$F:$F,P$9,OpenLCAbasic!$L:$L,$I$5,OpenLCAbasic!$I:$I,B36,OpenLCAbasic!$C:$C,P$13),
IF(AND(P$9="Upgraded", OR(P$11="Low", P$11="High"), OR(B36=B$37, B36=B$36)),
INDEX(OpenLCAbasic!$J:$J, MATCH(CONCATENATE(P$11, "_", P$10, "_", "Upgraded_",$I$5,"_",B36, "_", P$12, "_", P$14), OpenLCAbasic!$M:$M,0)),
IF(AND(ISERROR(MATCH(B36, LookUps!$G$5:$G$21,0)), P$9="Upgraded"),
SUMIFS(OpenLCAbasic!$J:$J,OpenLCAbasic!$E:$E, P$11, OpenLCAbasic!$D:$D, P$10, OpenLCAbasic!$F:$F,P$9,OpenLCAbasic!$L:$L,$I$5,OpenLCAbasic!$I:$I,INDEX(LookUps!$G$5:$G$21,MATCH(B36, LookUps!$J$5:$J$21,0)), OpenLCAbasic!$B:$B, P$14, OpenLCAbasic!$C:$C, P$12),
SUMIFS(OpenLCAbasic!$J:$J,OpenLCAbasic!$E:$E, P$11, OpenLCAbasic!$D:$D, P$10, OpenLCAbasic!$F:$F,P$9,OpenLCAbasic!$L:$L,$I$5,OpenLCAbasic!$I:$I,B36, OpenLCAbasic!$B:$B, P$14, OpenLCAbasic!$C:$C, P$12)
)))))</f>
        <v>--</v>
      </c>
      <c r="Q36" s="305">
        <f>IF(AND(Q$9="Legacy",C36=C$38,OR(Q$11="Low",Q$11="High")),
INDEX(OpenLCAbasic!$J:$J,MATCH(CONCATENATE(Q$10,"_","Base","_","Legacy_",$I$5,"_",C36,"_",Q$13,"_n.a."),OpenLCAbasic!$M:$M,0)),
IF(AND(Q$9="Legacy",ISERROR(MATCH(C36,LookUps!$H$5:$H$20,0))),"--",
IF(Q$9="Legacy",SUMIFS(OpenLCAbasic!$J:$J,OpenLCAbasic!$E:$E,"Base",OpenLCAbasic!$D:$D,"Base",OpenLCAbasic!$F:$F,Q$9,OpenLCAbasic!$L:$L,$I$5,OpenLCAbasic!$I:$I,C36,OpenLCAbasic!$C:$C,Q$13),
IF(AND(Q$9="Upgraded", OR(Q$11="Low", Q$11="High"), OR(C36=C$37, C36=C$36)),
INDEX(OpenLCAbasic!$J:$J, MATCH(CONCATENATE(Q$11, "_", Q$10, "_", "Upgraded_",$I$5,"_",C36, "_", Q$12, "_", Q$14), OpenLCAbasic!$M:$M,0)),
IF(AND(ISERROR(MATCH(C36, LookUps!$G$5:$G$21,0)), Q$9="Upgraded"),
SUMIFS(OpenLCAbasic!$J:$J,OpenLCAbasic!$E:$E, Q$11, OpenLCAbasic!$D:$D, Q$10, OpenLCAbasic!$F:$F,Q$9,OpenLCAbasic!$L:$L,$I$5,OpenLCAbasic!$I:$I,INDEX(LookUps!$G$5:$G$21,MATCH(C36, LookUps!$J$5:$J$21,0)), OpenLCAbasic!$B:$B, Q$14, OpenLCAbasic!$C:$C, Q$12),
SUMIFS(OpenLCAbasic!$J:$J,OpenLCAbasic!$E:$E, Q$11, OpenLCAbasic!$D:$D, Q$10, OpenLCAbasic!$F:$F,Q$9,OpenLCAbasic!$L:$L,$I$5,OpenLCAbasic!$I:$I,C36, OpenLCAbasic!$B:$B, Q$14, OpenLCAbasic!$C:$C, Q$12)
)))))</f>
        <v>1.6313200000000001</v>
      </c>
      <c r="R36" s="301">
        <f>IF(AND(R$9="Legacy",D36=D$38,OR(R$11="Low",R$11="High")),
INDEX(OpenLCAbasic!$J:$J,MATCH(CONCATENATE(R$10,"_","Base","_","Legacy_",$I$5,"_",D36,"_",R$13,"_n.a."),OpenLCAbasic!$M:$M,0)),
IF(AND(R$9="Legacy",ISERROR(MATCH(D36,LookUps!$H$5:$H$20,0))),"--",
IF(R$9="Legacy",SUMIFS(OpenLCAbasic!$J:$J,OpenLCAbasic!$E:$E,"Base",OpenLCAbasic!$D:$D,"Base",OpenLCAbasic!$F:$F,R$9,OpenLCAbasic!$L:$L,$I$5,OpenLCAbasic!$I:$I,D36,OpenLCAbasic!$C:$C,R$13),
IF(AND(R$9="Upgraded", OR(R$11="Low", R$11="High"), OR(D36=D$37, D36=D$36)),
INDEX(OpenLCAbasic!$J:$J, MATCH(CONCATENATE(R$11, "_", R$10, "_", "Upgraded_",$I$5,"_",D36, "_", R$12, "_", R$14), OpenLCAbasic!$M:$M,0)),
IF(AND(ISERROR(MATCH(D36, LookUps!$G$5:$G$21,0)), R$9="Upgraded"),
SUMIFS(OpenLCAbasic!$J:$J,OpenLCAbasic!$E:$E, R$11, OpenLCAbasic!$D:$D, R$10, OpenLCAbasic!$F:$F,R$9,OpenLCAbasic!$L:$L,$I$5,OpenLCAbasic!$I:$I,INDEX(LookUps!$G$5:$G$21,MATCH(D36, LookUps!$J$5:$J$21,0)), OpenLCAbasic!$B:$B, R$14, OpenLCAbasic!$C:$C, R$12),
SUMIFS(OpenLCAbasic!$J:$J,OpenLCAbasic!$E:$E, R$11, OpenLCAbasic!$D:$D, R$10, OpenLCAbasic!$F:$F,R$9,OpenLCAbasic!$L:$L,$I$5,OpenLCAbasic!$I:$I,D36, OpenLCAbasic!$B:$B, R$14, OpenLCAbasic!$C:$C, R$12)
)))))</f>
        <v>0.73433000000000004</v>
      </c>
      <c r="S36" s="301">
        <f>IF(AND(S$9="Legacy",E36=E$38,OR(S$11="Low",S$11="High")),
INDEX(OpenLCAbasic!$J:$J,MATCH(CONCATENATE(S$10,"_","Base","_","Legacy_",$I$5,"_",E36,"_",S$13,"_n.a."),OpenLCAbasic!$M:$M,0)),
IF(AND(S$9="Legacy",ISERROR(MATCH(E36,LookUps!$H$5:$H$20,0))),"--",
IF(S$9="Legacy",SUMIFS(OpenLCAbasic!$J:$J,OpenLCAbasic!$E:$E,"Base",OpenLCAbasic!$D:$D,"Base",OpenLCAbasic!$F:$F,S$9,OpenLCAbasic!$L:$L,$I$5,OpenLCAbasic!$I:$I,E36,OpenLCAbasic!$C:$C,S$13),
IF(AND(S$9="Upgraded", OR(S$11="Low", S$11="High"), OR(E36=E$37, E36=E$36)),
INDEX(OpenLCAbasic!$J:$J, MATCH(CONCATENATE(S$11, "_", S$10, "_", "Upgraded_",$I$5,"_",E36, "_", S$12, "_", S$14), OpenLCAbasic!$M:$M,0)),
IF(AND(ISERROR(MATCH(E36, LookUps!$G$5:$G$21,0)), S$9="Upgraded"),
SUMIFS(OpenLCAbasic!$J:$J,OpenLCAbasic!$E:$E, S$11, OpenLCAbasic!$D:$D, S$10, OpenLCAbasic!$F:$F,S$9,OpenLCAbasic!$L:$L,$I$5,OpenLCAbasic!$I:$I,INDEX(LookUps!$G$5:$G$21,MATCH(E36, LookUps!$J$5:$J$21,0)), OpenLCAbasic!$B:$B, S$14, OpenLCAbasic!$C:$C, S$12),
SUMIFS(OpenLCAbasic!$J:$J,OpenLCAbasic!$E:$E, S$11, OpenLCAbasic!$D:$D, S$10, OpenLCAbasic!$F:$F,S$9,OpenLCAbasic!$L:$L,$I$5,OpenLCAbasic!$I:$I,E36, OpenLCAbasic!$B:$B, S$14, OpenLCAbasic!$C:$C, S$12)
)))))</f>
        <v>0.52195000000000003</v>
      </c>
      <c r="T36" s="301">
        <f>IF(AND(T$9="Legacy",F36=F$38,OR(T$11="Low",T$11="High")),
INDEX(OpenLCAbasic!$J:$J,MATCH(CONCATENATE(T$10,"_","Base","_","Legacy_",$I$5,"_",F36,"_",T$13,"_n.a."),OpenLCAbasic!$M:$M,0)),
IF(AND(T$9="Legacy",ISERROR(MATCH(F36,LookUps!$H$5:$H$20,0))),"--",
IF(T$9="Legacy",SUMIFS(OpenLCAbasic!$J:$J,OpenLCAbasic!$E:$E,"Base",OpenLCAbasic!$D:$D,"Base",OpenLCAbasic!$F:$F,T$9,OpenLCAbasic!$L:$L,$I$5,OpenLCAbasic!$I:$I,F36,OpenLCAbasic!$C:$C,T$13),
IF(AND(T$9="Upgraded", OR(T$11="Low", T$11="High"), OR(F36=F$37, F36=F$36)),
INDEX(OpenLCAbasic!$J:$J, MATCH(CONCATENATE(T$11, "_", T$10, "_", "Upgraded_",$I$5,"_",F36, "_", T$12, "_", T$14), OpenLCAbasic!$M:$M,0)),
IF(AND(ISERROR(MATCH(F36, LookUps!$G$5:$G$21,0)), T$9="Upgraded"),
SUMIFS(OpenLCAbasic!$J:$J,OpenLCAbasic!$E:$E, T$11, OpenLCAbasic!$D:$D, T$10, OpenLCAbasic!$F:$F,T$9,OpenLCAbasic!$L:$L,$I$5,OpenLCAbasic!$I:$I,INDEX(LookUps!$G$5:$G$21,MATCH(F36, LookUps!$J$5:$J$21,0)), OpenLCAbasic!$B:$B, T$14, OpenLCAbasic!$C:$C, T$12),
SUMIFS(OpenLCAbasic!$J:$J,OpenLCAbasic!$E:$E, T$11, OpenLCAbasic!$D:$D, T$10, OpenLCAbasic!$F:$F,T$9,OpenLCAbasic!$L:$L,$I$5,OpenLCAbasic!$I:$I,F36, OpenLCAbasic!$B:$B, T$14, OpenLCAbasic!$C:$C, T$12)
)))))</f>
        <v>0.72502</v>
      </c>
      <c r="U36" s="301">
        <f>IF(AND(U$9="Legacy",G36=G$38,OR(U$11="Low",U$11="High")),
INDEX(OpenLCAbasic!$J:$J,MATCH(CONCATENATE(U$10,"_","Base","_","Legacy_",$I$5,"_",G36,"_",U$13,"_n.a."),OpenLCAbasic!$M:$M,0)),
IF(AND(U$9="Legacy",ISERROR(MATCH(G36,LookUps!$H$5:$H$20,0))),"--",
IF(U$9="Legacy",SUMIFS(OpenLCAbasic!$J:$J,OpenLCAbasic!$E:$E,"Base",OpenLCAbasic!$D:$D,"Base",OpenLCAbasic!$F:$F,U$9,OpenLCAbasic!$L:$L,$I$5,OpenLCAbasic!$I:$I,G36,OpenLCAbasic!$C:$C,U$13),
IF(AND(U$9="Upgraded", OR(U$11="Low", U$11="High"), OR(G36=G$37, G36=G$36)),
INDEX(OpenLCAbasic!$J:$J, MATCH(CONCATENATE(U$11, "_", U$10, "_", "Upgraded_",$I$5,"_",G36, "_", U$12, "_", U$14), OpenLCAbasic!$M:$M,0)),
IF(AND(ISERROR(MATCH(G36, LookUps!$G$5:$G$21,0)), U$9="Upgraded"),
SUMIFS(OpenLCAbasic!$J:$J,OpenLCAbasic!$E:$E, U$11, OpenLCAbasic!$D:$D, U$10, OpenLCAbasic!$F:$F,U$9,OpenLCAbasic!$L:$L,$I$5,OpenLCAbasic!$I:$I,INDEX(LookUps!$G$5:$G$21,MATCH(G36, LookUps!$J$5:$J$21,0)), OpenLCAbasic!$B:$B, U$14, OpenLCAbasic!$C:$C, U$12),
SUMIFS(OpenLCAbasic!$J:$J,OpenLCAbasic!$E:$E, U$11, OpenLCAbasic!$D:$D, U$10, OpenLCAbasic!$F:$F,U$9,OpenLCAbasic!$L:$L,$I$5,OpenLCAbasic!$I:$I,G36, OpenLCAbasic!$B:$B, U$14, OpenLCAbasic!$C:$C, U$12)
)))))</f>
        <v>0.92225999999999997</v>
      </c>
      <c r="V36" s="302"/>
      <c r="W36" s="274" t="str">
        <f>IF(AND(W$9="Legacy",B36=B$38,OR(W$11="Low",W$11="High")),
INDEX(OpenLCAbasic!$J:$J,MATCH(CONCATENATE(W$10,"_","Base","_","Legacy_",$I$6,"_",B36,"_",W$13,"_n.a."),OpenLCAbasic!$M:$M,0)),
IF(AND(W$9="Legacy",ISERROR(MATCH(B36,LookUps!$H$5:$H$20,0))),"--",
IF(W$9="Legacy",SUMIFS(OpenLCAbasic!$J:$J,OpenLCAbasic!$E:$E,"Base",OpenLCAbasic!$D:$D,"Base",OpenLCAbasic!$F:$F,W$9,OpenLCAbasic!$L:$L,$I$6,OpenLCAbasic!$I:$I,B36,OpenLCAbasic!$C:$C,W$13),
IF(AND(W$9="Upgraded", OR(W$11="Low", W$11="High"), OR(B36=B$37, B36=B$36)),
INDEX(OpenLCAbasic!$J:$J, MATCH(CONCATENATE(W$11, "_", W$10, "_", "Upgraded_",$I$6,"_",B36, "_", W$12, "_", W$14), OpenLCAbasic!$M:$M,0)),
IF(AND(ISERROR(MATCH(B36, LookUps!$G$5:$G$21,0)), W$9="Upgraded"),
SUMIFS(OpenLCAbasic!$J:$J,OpenLCAbasic!$E:$E, W$11, OpenLCAbasic!$D:$D, W$10, OpenLCAbasic!$F:$F,W$9,OpenLCAbasic!$L:$L,$I$6,OpenLCAbasic!$I:$I,INDEX(LookUps!$G$5:$G$21,MATCH(B36, LookUps!$J$5:$J$21,0)), OpenLCAbasic!$B:$B, W$14, OpenLCAbasic!$C:$C, W$12),
SUMIFS(OpenLCAbasic!$J:$J,OpenLCAbasic!$E:$E, W$11, OpenLCAbasic!$D:$D, W$10, OpenLCAbasic!$F:$F,W$9,OpenLCAbasic!$L:$L,$I$6,OpenLCAbasic!$I:$I,B36, OpenLCAbasic!$B:$B, W$14, OpenLCAbasic!$C:$C, W$12)
)))))</f>
        <v>--</v>
      </c>
      <c r="X36" s="303">
        <f>IF(AND(X$9="Legacy",C36=C$38,OR(X$11="Low",X$11="High")),
INDEX(OpenLCAbasic!$J:$J,MATCH(CONCATENATE(X$10,"_","Base","_","Legacy_",$I$6,"_",C36,"_",X$13,"_n.a."),OpenLCAbasic!$M:$M,0)),
IF(AND(X$9="Legacy",ISERROR(MATCH(C36,LookUps!$H$5:$H$20,0))),"--",
IF(X$9="Legacy",SUMIFS(OpenLCAbasic!$J:$J,OpenLCAbasic!$E:$E,"Base",OpenLCAbasic!$D:$D,"Base",OpenLCAbasic!$F:$F,X$9,OpenLCAbasic!$L:$L,$I$6,OpenLCAbasic!$I:$I,C36,OpenLCAbasic!$C:$C,X$13),
IF(AND(X$9="Upgraded", OR(X$11="Low", X$11="High"), OR(C36=C$37, C36=C$36)),
INDEX(OpenLCAbasic!$J:$J, MATCH(CONCATENATE(X$11, "_", X$10, "_", "Upgraded_",$I$6,"_",C36, "_", X$12, "_", X$14), OpenLCAbasic!$M:$M,0)),
IF(AND(ISERROR(MATCH(C36, LookUps!$G$5:$G$21,0)), X$9="Upgraded"),
SUMIFS(OpenLCAbasic!$J:$J,OpenLCAbasic!$E:$E, X$11, OpenLCAbasic!$D:$D, X$10, OpenLCAbasic!$F:$F,X$9,OpenLCAbasic!$L:$L,$I$6,OpenLCAbasic!$I:$I,INDEX(LookUps!$G$5:$G$21,MATCH(C36, LookUps!$J$5:$J$21,0)), OpenLCAbasic!$B:$B, X$14, OpenLCAbasic!$C:$C, X$12),
SUMIFS(OpenLCAbasic!$J:$J,OpenLCAbasic!$E:$E, X$11, OpenLCAbasic!$D:$D, X$10, OpenLCAbasic!$F:$F,X$9,OpenLCAbasic!$L:$L,$I$6,OpenLCAbasic!$I:$I,C36, OpenLCAbasic!$B:$B, X$14, OpenLCAbasic!$C:$C, X$12)
)))))</f>
        <v>6.8000000000000005E-4</v>
      </c>
      <c r="Y36" s="303">
        <f>IF(AND(Y$9="Legacy",D36=D$38,OR(Y$11="Low",Y$11="High")),
INDEX(OpenLCAbasic!$J:$J,MATCH(CONCATENATE(Y$10,"_","Base","_","Legacy_",$I$6,"_",D36,"_",Y$13,"_n.a."),OpenLCAbasic!$M:$M,0)),
IF(AND(Y$9="Legacy",ISERROR(MATCH(D36,LookUps!$H$5:$H$20,0))),"--",
IF(Y$9="Legacy",SUMIFS(OpenLCAbasic!$J:$J,OpenLCAbasic!$E:$E,"Base",OpenLCAbasic!$D:$D,"Base",OpenLCAbasic!$F:$F,Y$9,OpenLCAbasic!$L:$L,$I$6,OpenLCAbasic!$I:$I,D36,OpenLCAbasic!$C:$C,Y$13),
IF(AND(Y$9="Upgraded", OR(Y$11="Low", Y$11="High"), OR(D36=D$37, D36=D$36)),
INDEX(OpenLCAbasic!$J:$J, MATCH(CONCATENATE(Y$11, "_", Y$10, "_", "Upgraded_",$I$6,"_",D36, "_", Y$12, "_", Y$14), OpenLCAbasic!$M:$M,0)),
IF(AND(ISERROR(MATCH(D36, LookUps!$G$5:$G$21,0)), Y$9="Upgraded"),
SUMIFS(OpenLCAbasic!$J:$J,OpenLCAbasic!$E:$E, Y$11, OpenLCAbasic!$D:$D, Y$10, OpenLCAbasic!$F:$F,Y$9,OpenLCAbasic!$L:$L,$I$6,OpenLCAbasic!$I:$I,INDEX(LookUps!$G$5:$G$21,MATCH(D36, LookUps!$J$5:$J$21,0)), OpenLCAbasic!$B:$B, Y$14, OpenLCAbasic!$C:$C, Y$12),
SUMIFS(OpenLCAbasic!$J:$J,OpenLCAbasic!$E:$E, Y$11, OpenLCAbasic!$D:$D, Y$10, OpenLCAbasic!$F:$F,Y$9,OpenLCAbasic!$L:$L,$I$6,OpenLCAbasic!$I:$I,D36, OpenLCAbasic!$B:$B, Y$14, OpenLCAbasic!$C:$C, Y$12)
)))))</f>
        <v>3.6000000000000002E-4</v>
      </c>
      <c r="Z36" s="303">
        <f>IF(AND(Z$9="Legacy",E36=E$38,OR(Z$11="Low",Z$11="High")),
INDEX(OpenLCAbasic!$J:$J,MATCH(CONCATENATE(Z$10,"_","Base","_","Legacy_",$I$6,"_",E36,"_",Z$13,"_n.a."),OpenLCAbasic!$M:$M,0)),
IF(AND(Z$9="Legacy",ISERROR(MATCH(E36,LookUps!$H$5:$H$20,0))),"--",
IF(Z$9="Legacy",SUMIFS(OpenLCAbasic!$J:$J,OpenLCAbasic!$E:$E,"Base",OpenLCAbasic!$D:$D,"Base",OpenLCAbasic!$F:$F,Z$9,OpenLCAbasic!$L:$L,$I$6,OpenLCAbasic!$I:$I,E36,OpenLCAbasic!$C:$C,Z$13),
IF(AND(Z$9="Upgraded", OR(Z$11="Low", Z$11="High"), OR(E36=E$37, E36=E$36)),
INDEX(OpenLCAbasic!$J:$J, MATCH(CONCATENATE(Z$11, "_", Z$10, "_", "Upgraded_",$I$6,"_",E36, "_", Z$12, "_", Z$14), OpenLCAbasic!$M:$M,0)),
IF(AND(ISERROR(MATCH(E36, LookUps!$G$5:$G$21,0)), Z$9="Upgraded"),
SUMIFS(OpenLCAbasic!$J:$J,OpenLCAbasic!$E:$E, Z$11, OpenLCAbasic!$D:$D, Z$10, OpenLCAbasic!$F:$F,Z$9,OpenLCAbasic!$L:$L,$I$6,OpenLCAbasic!$I:$I,INDEX(LookUps!$G$5:$G$21,MATCH(E36, LookUps!$J$5:$J$21,0)), OpenLCAbasic!$B:$B, Z$14, OpenLCAbasic!$C:$C, Z$12),
SUMIFS(OpenLCAbasic!$J:$J,OpenLCAbasic!$E:$E, Z$11, OpenLCAbasic!$D:$D, Z$10, OpenLCAbasic!$F:$F,Z$9,OpenLCAbasic!$L:$L,$I$6,OpenLCAbasic!$I:$I,E36, OpenLCAbasic!$B:$B, Z$14, OpenLCAbasic!$C:$C, Z$12)
)))))</f>
        <v>2.1000000000000001E-4</v>
      </c>
      <c r="AA36" s="303">
        <f>IF(AND(AA$9="Legacy",F36=F$38,OR(AA$11="Low",AA$11="High")),
INDEX(OpenLCAbasic!$J:$J,MATCH(CONCATENATE(AA$10,"_","Base","_","Legacy_",$I$6,"_",F36,"_",AA$13,"_n.a."),OpenLCAbasic!$M:$M,0)),
IF(AND(AA$9="Legacy",ISERROR(MATCH(F36,LookUps!$H$5:$H$20,0))),"--",
IF(AA$9="Legacy",SUMIFS(OpenLCAbasic!$J:$J,OpenLCAbasic!$E:$E,"Base",OpenLCAbasic!$D:$D,"Base",OpenLCAbasic!$F:$F,AA$9,OpenLCAbasic!$L:$L,$I$6,OpenLCAbasic!$I:$I,F36,OpenLCAbasic!$C:$C,AA$13),
IF(AND(AA$9="Upgraded", OR(AA$11="Low", AA$11="High"), OR(F36=F$37, F36=F$36)),
INDEX(OpenLCAbasic!$J:$J, MATCH(CONCATENATE(AA$11, "_", AA$10, "_", "Upgraded_",$I$6,"_",F36, "_", AA$12, "_", AA$14), OpenLCAbasic!$M:$M,0)),
IF(AND(ISERROR(MATCH(F36, LookUps!$G$5:$G$21,0)), AA$9="Upgraded"),
SUMIFS(OpenLCAbasic!$J:$J,OpenLCAbasic!$E:$E, AA$11, OpenLCAbasic!$D:$D, AA$10, OpenLCAbasic!$F:$F,AA$9,OpenLCAbasic!$L:$L,$I$6,OpenLCAbasic!$I:$I,INDEX(LookUps!$G$5:$G$21,MATCH(F36, LookUps!$J$5:$J$21,0)), OpenLCAbasic!$B:$B, AA$14, OpenLCAbasic!$C:$C, AA$12),
SUMIFS(OpenLCAbasic!$J:$J,OpenLCAbasic!$E:$E, AA$11, OpenLCAbasic!$D:$D, AA$10, OpenLCAbasic!$F:$F,AA$9,OpenLCAbasic!$L:$L,$I$6,OpenLCAbasic!$I:$I,F36, OpenLCAbasic!$B:$B, AA$14, OpenLCAbasic!$C:$C, AA$12)
)))))</f>
        <v>2.7999999999999998E-4</v>
      </c>
      <c r="AB36" s="303">
        <f>IF(AND(AB$9="Legacy",G36=G$38,OR(AB$11="Low",AB$11="High")),
INDEX(OpenLCAbasic!$J:$J,MATCH(CONCATENATE(AB$10,"_","Base","_","Legacy_",$I$6,"_",G36,"_",AB$13,"_n.a."),OpenLCAbasic!$M:$M,0)),
IF(AND(AB$9="Legacy",ISERROR(MATCH(G36,LookUps!$H$5:$H$20,0))),"--",
IF(AB$9="Legacy",SUMIFS(OpenLCAbasic!$J:$J,OpenLCAbasic!$E:$E,"Base",OpenLCAbasic!$D:$D,"Base",OpenLCAbasic!$F:$F,AB$9,OpenLCAbasic!$L:$L,$I$6,OpenLCAbasic!$I:$I,G36,OpenLCAbasic!$C:$C,AB$13),
IF(AND(AB$9="Upgraded", OR(AB$11="Low", AB$11="High"), OR(G36=G$37, G36=G$36)),
INDEX(OpenLCAbasic!$J:$J, MATCH(CONCATENATE(AB$11, "_", AB$10, "_", "Upgraded_",$I$6,"_",G36, "_", AB$12, "_", AB$14), OpenLCAbasic!$M:$M,0)),
IF(AND(ISERROR(MATCH(G36, LookUps!$G$5:$G$21,0)), AB$9="Upgraded"),
SUMIFS(OpenLCAbasic!$J:$J,OpenLCAbasic!$E:$E, AB$11, OpenLCAbasic!$D:$D, AB$10, OpenLCAbasic!$F:$F,AB$9,OpenLCAbasic!$L:$L,$I$6,OpenLCAbasic!$I:$I,INDEX(LookUps!$G$5:$G$21,MATCH(G36, LookUps!$J$5:$J$21,0)), OpenLCAbasic!$B:$B, AB$14, OpenLCAbasic!$C:$C, AB$12),
SUMIFS(OpenLCAbasic!$J:$J,OpenLCAbasic!$E:$E, AB$11, OpenLCAbasic!$D:$D, AB$10, OpenLCAbasic!$F:$F,AB$9,OpenLCAbasic!$L:$L,$I$6,OpenLCAbasic!$I:$I,G36, OpenLCAbasic!$B:$B, AB$14, OpenLCAbasic!$C:$C, AB$12)
)))))</f>
        <v>3.6999999999999999E-4</v>
      </c>
    </row>
    <row r="37" spans="2:28" x14ac:dyDescent="0.25">
      <c r="B37" s="99" t="str">
        <f t="shared" si="15"/>
        <v>Land application of compost; wastewater treatment unit; at updated plant - US</v>
      </c>
      <c r="C37" s="99" t="str">
        <f t="shared" si="15"/>
        <v>Land application of compost; wastewater treatment unit; at updated plant - US</v>
      </c>
      <c r="D37" s="99" t="str">
        <f t="shared" si="15"/>
        <v>Land application of compost; wastewater treatment unit; at updated plant - US</v>
      </c>
      <c r="E37" s="99" t="str">
        <f t="shared" si="15"/>
        <v>Land application of compost; wastewater treatment unit; at updated plant - US</v>
      </c>
      <c r="F37" s="99" t="str">
        <f t="shared" si="15"/>
        <v>Land application of compost; wastewater treatment unit; at updated plant - US</v>
      </c>
      <c r="G37" s="99" t="str">
        <f t="shared" si="15"/>
        <v>Land application of compost; wastewater treatment unit; at updated plant - US</v>
      </c>
      <c r="H37" s="266" t="str">
        <f>LookUps!$G$18</f>
        <v>Land application of compost; wastewater treatment unit; at updated plant - US</v>
      </c>
      <c r="I37" s="274" t="str">
        <f>IF(AND(I$9="Legacy",B37=B$38,OR(I$11="Low",I$11="High")),
INDEX(OpenLCAbasic!$J:$J,MATCH(CONCATENATE(I$10,"_","Base","_","Legacy_",$I$4,"_",B37,"_",I$13,"_n.a."),OpenLCAbasic!$M:$M,0)),
IF(AND(I$9="Legacy",ISERROR(MATCH(B37,LookUps!$H$5:$H$20,0))),"--",
IF(I$9="Legacy",SUMIFS(OpenLCAbasic!$J:$J,OpenLCAbasic!$E:$E,"Base",OpenLCAbasic!$D:$D,"Base",OpenLCAbasic!$F:$F,I$9,OpenLCAbasic!$L:$L,$I$4,OpenLCAbasic!$I:$I,B37,OpenLCAbasic!$C:$C,I$13),
IF(AND(I$9="Upgraded", OR(I$11="Low", I$11="High"), OR(B37=B$37, B37=B$36)),
INDEX(OpenLCAbasic!$J:$J, MATCH(CONCATENATE(I$11, "_", I$10, "_", "Upgraded_",$I$4,"_",B37, "_", I$12, "_", I$14), OpenLCAbasic!$M:$M,0)),
IF(AND(ISERROR(MATCH(B37, LookUps!$G$5:$G$21,0)), I$9="Upgraded"),
SUMIFS(OpenLCAbasic!$J:$J,OpenLCAbasic!$E:$E, I$11, OpenLCAbasic!$D:$D, I$10, OpenLCAbasic!$F:$F,I$9,OpenLCAbasic!$L:$L,$I$4,OpenLCAbasic!$I:$I,INDEX(LookUps!$G$5:$G$21,MATCH(B37, LookUps!$J$5:$J$21,0)), OpenLCAbasic!$B:$B, I$14, OpenLCAbasic!$C:$C, I$12),
SUMIFS(OpenLCAbasic!$J:$J,OpenLCAbasic!$E:$E, I$11, OpenLCAbasic!$D:$D, I$10, OpenLCAbasic!$F:$F,I$9,OpenLCAbasic!$L:$L,$I$4,OpenLCAbasic!$I:$I,B37, OpenLCAbasic!$B:$B, I$14, OpenLCAbasic!$C:$C, I$12)
)))))</f>
        <v>--</v>
      </c>
      <c r="J37" s="301">
        <f>IF(AND(J$9="Legacy",C37=C$38,OR(J$11="Low",J$11="High")),
INDEX(OpenLCAbasic!$J:$J,MATCH(CONCATENATE(J$10,"_","Base","_","Legacy_",$I$4,"_",C37,"_",J$13,"_n.a."),OpenLCAbasic!$M:$M,0)),
IF(AND(J$9="Legacy",ISERROR(MATCH(C37,LookUps!$H$5:$H$20,0))),"--",
IF(J$9="Legacy",SUMIFS(OpenLCAbasic!$J:$J,OpenLCAbasic!$E:$E,"Base",OpenLCAbasic!$D:$D,"Base",OpenLCAbasic!$F:$F,J$9,OpenLCAbasic!$L:$L,$I$4,OpenLCAbasic!$I:$I,C37,OpenLCAbasic!$C:$C,J$13),
IF(AND(J$9="Upgraded", OR(J$11="Low", J$11="High"), OR(C37=C$37, C37=C$36)),
INDEX(OpenLCAbasic!$J:$J, MATCH(CONCATENATE(J$11, "_", J$10, "_", "Upgraded_",$I$4,"_",C37, "_", J$12, "_", J$14), OpenLCAbasic!$M:$M,0)),
IF(AND(ISERROR(MATCH(C37, LookUps!$G$5:$G$21,0)), J$9="Upgraded"),
SUMIFS(OpenLCAbasic!$J:$J,OpenLCAbasic!$E:$E, J$11, OpenLCAbasic!$D:$D, J$10, OpenLCAbasic!$F:$F,J$9,OpenLCAbasic!$L:$L,$I$4,OpenLCAbasic!$I:$I,INDEX(LookUps!$G$5:$G$21,MATCH(C37, LookUps!$J$5:$J$21,0)), OpenLCAbasic!$B:$B, J$14, OpenLCAbasic!$C:$C, J$12),
SUMIFS(OpenLCAbasic!$J:$J,OpenLCAbasic!$E:$E, J$11, OpenLCAbasic!$D:$D, J$10, OpenLCAbasic!$F:$F,J$9,OpenLCAbasic!$L:$L,$I$4,OpenLCAbasic!$I:$I,C37, OpenLCAbasic!$B:$B, J$14, OpenLCAbasic!$C:$C, J$12)
)))))</f>
        <v>-0.41310000000000002</v>
      </c>
      <c r="K37" s="301">
        <f>IF(AND(K$9="Legacy",D37=D$38,OR(K$11="Low",K$11="High")),
INDEX(OpenLCAbasic!$J:$J,MATCH(CONCATENATE(K$10,"_","Base","_","Legacy_",$I$4,"_",D37,"_",K$13,"_n.a."),OpenLCAbasic!$M:$M,0)),
IF(AND(K$9="Legacy",ISERROR(MATCH(D37,LookUps!$H$5:$H$20,0))),"--",
IF(K$9="Legacy",SUMIFS(OpenLCAbasic!$J:$J,OpenLCAbasic!$E:$E,"Base",OpenLCAbasic!$D:$D,"Base",OpenLCAbasic!$F:$F,K$9,OpenLCAbasic!$L:$L,$I$4,OpenLCAbasic!$I:$I,D37,OpenLCAbasic!$C:$C,K$13),
IF(AND(K$9="Upgraded", OR(K$11="Low", K$11="High"), OR(D37=D$37, D37=D$36)),
INDEX(OpenLCAbasic!$J:$J, MATCH(CONCATENATE(K$11, "_", K$10, "_", "Upgraded_",$I$4,"_",D37, "_", K$12, "_", K$14), OpenLCAbasic!$M:$M,0)),
IF(AND(ISERROR(MATCH(D37, LookUps!$G$5:$G$21,0)), K$9="Upgraded"),
SUMIFS(OpenLCAbasic!$J:$J,OpenLCAbasic!$E:$E, K$11, OpenLCAbasic!$D:$D, K$10, OpenLCAbasic!$F:$F,K$9,OpenLCAbasic!$L:$L,$I$4,OpenLCAbasic!$I:$I,INDEX(LookUps!$G$5:$G$21,MATCH(D37, LookUps!$J$5:$J$21,0)), OpenLCAbasic!$B:$B, K$14, OpenLCAbasic!$C:$C, K$12),
SUMIFS(OpenLCAbasic!$J:$J,OpenLCAbasic!$E:$E, K$11, OpenLCAbasic!$D:$D, K$10, OpenLCAbasic!$F:$F,K$9,OpenLCAbasic!$L:$L,$I$4,OpenLCAbasic!$I:$I,D37, OpenLCAbasic!$B:$B, K$14, OpenLCAbasic!$C:$C, K$12)
)))))</f>
        <v>-0.44338</v>
      </c>
      <c r="L37" s="301">
        <f>IF(AND(L$9="Legacy",E37=E$38,OR(L$11="Low",L$11="High")),
INDEX(OpenLCAbasic!$J:$J,MATCH(CONCATENATE(L$10,"_","Base","_","Legacy_",$I$4,"_",E37,"_",L$13,"_n.a."),OpenLCAbasic!$M:$M,0)),
IF(AND(L$9="Legacy",ISERROR(MATCH(E37,LookUps!$H$5:$H$20,0))),"--",
IF(L$9="Legacy",SUMIFS(OpenLCAbasic!$J:$J,OpenLCAbasic!$E:$E,"Base",OpenLCAbasic!$D:$D,"Base",OpenLCAbasic!$F:$F,L$9,OpenLCAbasic!$L:$L,$I$4,OpenLCAbasic!$I:$I,E37,OpenLCAbasic!$C:$C,L$13),
IF(AND(L$9="Upgraded", OR(L$11="Low", L$11="High"), OR(E37=E$37, E37=E$36)),
INDEX(OpenLCAbasic!$J:$J, MATCH(CONCATENATE(L$11, "_", L$10, "_", "Upgraded_",$I$4,"_",E37, "_", L$12, "_", L$14), OpenLCAbasic!$M:$M,0)),
IF(AND(ISERROR(MATCH(E37, LookUps!$G$5:$G$21,0)), L$9="Upgraded"),
SUMIFS(OpenLCAbasic!$J:$J,OpenLCAbasic!$E:$E, L$11, OpenLCAbasic!$D:$D, L$10, OpenLCAbasic!$F:$F,L$9,OpenLCAbasic!$L:$L,$I$4,OpenLCAbasic!$I:$I,INDEX(LookUps!$G$5:$G$21,MATCH(E37, LookUps!$J$5:$J$21,0)), OpenLCAbasic!$B:$B, L$14, OpenLCAbasic!$C:$C, L$12),
SUMIFS(OpenLCAbasic!$J:$J,OpenLCAbasic!$E:$E, L$11, OpenLCAbasic!$D:$D, L$10, OpenLCAbasic!$F:$F,L$9,OpenLCAbasic!$L:$L,$I$4,OpenLCAbasic!$I:$I,E37, OpenLCAbasic!$B:$B, L$14, OpenLCAbasic!$C:$C, L$12)
)))))</f>
        <v>-0.44338</v>
      </c>
      <c r="M37" s="301">
        <f>IF(AND(M$9="Legacy",F37=F$38,OR(M$11="Low",M$11="High")),
INDEX(OpenLCAbasic!$J:$J,MATCH(CONCATENATE(M$10,"_","Base","_","Legacy_",$I$4,"_",F37,"_",M$13,"_n.a."),OpenLCAbasic!$M:$M,0)),
IF(AND(M$9="Legacy",ISERROR(MATCH(F37,LookUps!$H$5:$H$20,0))),"--",
IF(M$9="Legacy",SUMIFS(OpenLCAbasic!$J:$J,OpenLCAbasic!$E:$E,"Base",OpenLCAbasic!$D:$D,"Base",OpenLCAbasic!$F:$F,M$9,OpenLCAbasic!$L:$L,$I$4,OpenLCAbasic!$I:$I,F37,OpenLCAbasic!$C:$C,M$13),
IF(AND(M$9="Upgraded", OR(M$11="Low", M$11="High"), OR(F37=F$37, F37=F$36)),
INDEX(OpenLCAbasic!$J:$J, MATCH(CONCATENATE(M$11, "_", M$10, "_", "Upgraded_",$I$4,"_",F37, "_", M$12, "_", M$14), OpenLCAbasic!$M:$M,0)),
IF(AND(ISERROR(MATCH(F37, LookUps!$G$5:$G$21,0)), M$9="Upgraded"),
SUMIFS(OpenLCAbasic!$J:$J,OpenLCAbasic!$E:$E, M$11, OpenLCAbasic!$D:$D, M$10, OpenLCAbasic!$F:$F,M$9,OpenLCAbasic!$L:$L,$I$4,OpenLCAbasic!$I:$I,INDEX(LookUps!$G$5:$G$21,MATCH(F37, LookUps!$J$5:$J$21,0)), OpenLCAbasic!$B:$B, M$14, OpenLCAbasic!$C:$C, M$12),
SUMIFS(OpenLCAbasic!$J:$J,OpenLCAbasic!$E:$E, M$11, OpenLCAbasic!$D:$D, M$10, OpenLCAbasic!$F:$F,M$9,OpenLCAbasic!$L:$L,$I$4,OpenLCAbasic!$I:$I,F37, OpenLCAbasic!$B:$B, M$14, OpenLCAbasic!$C:$C, M$12)
)))))</f>
        <v>-0.61173999999999995</v>
      </c>
      <c r="N37" s="301">
        <f>IF(AND(N$9="Legacy",G37=G$38,OR(N$11="Low",N$11="High")),
INDEX(OpenLCAbasic!$J:$J,MATCH(CONCATENATE(N$10,"_","Base","_","Legacy_",$I$4,"_",G37,"_",N$13,"_n.a."),OpenLCAbasic!$M:$M,0)),
IF(AND(N$9="Legacy",ISERROR(MATCH(G37,LookUps!$H$5:$H$20,0))),"--",
IF(N$9="Legacy",SUMIFS(OpenLCAbasic!$J:$J,OpenLCAbasic!$E:$E,"Base",OpenLCAbasic!$D:$D,"Base",OpenLCAbasic!$F:$F,N$9,OpenLCAbasic!$L:$L,$I$4,OpenLCAbasic!$I:$I,G37,OpenLCAbasic!$C:$C,N$13),
IF(AND(N$9="Upgraded", OR(N$11="Low", N$11="High"), OR(G37=G$37, G37=G$36)),
INDEX(OpenLCAbasic!$J:$J, MATCH(CONCATENATE(N$11, "_", N$10, "_", "Upgraded_",$I$4,"_",G37, "_", N$12, "_", N$14), OpenLCAbasic!$M:$M,0)),
IF(AND(ISERROR(MATCH(G37, LookUps!$G$5:$G$21,0)), N$9="Upgraded"),
SUMIFS(OpenLCAbasic!$J:$J,OpenLCAbasic!$E:$E, N$11, OpenLCAbasic!$D:$D, N$10, OpenLCAbasic!$F:$F,N$9,OpenLCAbasic!$L:$L,$I$4,OpenLCAbasic!$I:$I,INDEX(LookUps!$G$5:$G$21,MATCH(G37, LookUps!$J$5:$J$21,0)), OpenLCAbasic!$B:$B, N$14, OpenLCAbasic!$C:$C, N$12),
SUMIFS(OpenLCAbasic!$J:$J,OpenLCAbasic!$E:$E, N$11, OpenLCAbasic!$D:$D, N$10, OpenLCAbasic!$F:$F,N$9,OpenLCAbasic!$L:$L,$I$4,OpenLCAbasic!$I:$I,G37, OpenLCAbasic!$B:$B, N$14, OpenLCAbasic!$C:$C, N$12)
)))))</f>
        <v>-0.79190000000000005</v>
      </c>
      <c r="O37" s="302"/>
      <c r="P37" s="274" t="str">
        <f>IF(AND(P$9="Legacy",B37=B$38,OR(P$11="Low",P$11="High")),
INDEX(OpenLCAbasic!$J:$J,MATCH(CONCATENATE(P$10,"_","Base","_","Legacy_",$I$5,"_",B37,"_",P$13,"_n.a."),OpenLCAbasic!$M:$M,0)),
IF(AND(P$9="Legacy",ISERROR(MATCH(B37,LookUps!$H$5:$H$20,0))),"--",
IF(P$9="Legacy",SUMIFS(OpenLCAbasic!$J:$J,OpenLCAbasic!$E:$E,"Base",OpenLCAbasic!$D:$D,"Base",OpenLCAbasic!$F:$F,P$9,OpenLCAbasic!$L:$L,$I$5,OpenLCAbasic!$I:$I,B37,OpenLCAbasic!$C:$C,P$13),
IF(AND(P$9="Upgraded", OR(P$11="Low", P$11="High"), OR(B37=B$37, B37=B$36)),
INDEX(OpenLCAbasic!$J:$J, MATCH(CONCATENATE(P$11, "_", P$10, "_", "Upgraded_",$I$5,"_",B37, "_", P$12, "_", P$14), OpenLCAbasic!$M:$M,0)),
IF(AND(ISERROR(MATCH(B37, LookUps!$G$5:$G$21,0)), P$9="Upgraded"),
SUMIFS(OpenLCAbasic!$J:$J,OpenLCAbasic!$E:$E, P$11, OpenLCAbasic!$D:$D, P$10, OpenLCAbasic!$F:$F,P$9,OpenLCAbasic!$L:$L,$I$5,OpenLCAbasic!$I:$I,INDEX(LookUps!$G$5:$G$21,MATCH(B37, LookUps!$J$5:$J$21,0)), OpenLCAbasic!$B:$B, P$14, OpenLCAbasic!$C:$C, P$12),
SUMIFS(OpenLCAbasic!$J:$J,OpenLCAbasic!$E:$E, P$11, OpenLCAbasic!$D:$D, P$10, OpenLCAbasic!$F:$F,P$9,OpenLCAbasic!$L:$L,$I$5,OpenLCAbasic!$I:$I,B37, OpenLCAbasic!$B:$B, P$14, OpenLCAbasic!$C:$C, P$12)
)))))</f>
        <v>--</v>
      </c>
      <c r="Q37" s="301">
        <f>IF(AND(Q$9="Legacy",C37=C$38,OR(Q$11="Low",Q$11="High")),
INDEX(OpenLCAbasic!$J:$J,MATCH(CONCATENATE(Q$10,"_","Base","_","Legacy_",$I$5,"_",C37,"_",Q$13,"_n.a."),OpenLCAbasic!$M:$M,0)),
IF(AND(Q$9="Legacy",ISERROR(MATCH(C37,LookUps!$H$5:$H$20,0))),"--",
IF(Q$9="Legacy",SUMIFS(OpenLCAbasic!$J:$J,OpenLCAbasic!$E:$E,"Base",OpenLCAbasic!$D:$D,"Base",OpenLCAbasic!$F:$F,Q$9,OpenLCAbasic!$L:$L,$I$5,OpenLCAbasic!$I:$I,C37,OpenLCAbasic!$C:$C,Q$13),
IF(AND(Q$9="Upgraded", OR(Q$11="Low", Q$11="High"), OR(C37=C$37, C37=C$36)),
INDEX(OpenLCAbasic!$J:$J, MATCH(CONCATENATE(Q$11, "_", Q$10, "_", "Upgraded_",$I$5,"_",C37, "_", Q$12, "_", Q$14), OpenLCAbasic!$M:$M,0)),
IF(AND(ISERROR(MATCH(C37, LookUps!$G$5:$G$21,0)), Q$9="Upgraded"),
SUMIFS(OpenLCAbasic!$J:$J,OpenLCAbasic!$E:$E, Q$11, OpenLCAbasic!$D:$D, Q$10, OpenLCAbasic!$F:$F,Q$9,OpenLCAbasic!$L:$L,$I$5,OpenLCAbasic!$I:$I,INDEX(LookUps!$G$5:$G$21,MATCH(C37, LookUps!$J$5:$J$21,0)), OpenLCAbasic!$B:$B, Q$14, OpenLCAbasic!$C:$C, Q$12),
SUMIFS(OpenLCAbasic!$J:$J,OpenLCAbasic!$E:$E, Q$11, OpenLCAbasic!$D:$D, Q$10, OpenLCAbasic!$F:$F,Q$9,OpenLCAbasic!$L:$L,$I$5,OpenLCAbasic!$I:$I,C37, OpenLCAbasic!$B:$B, Q$14, OpenLCAbasic!$C:$C, Q$12)
)))))</f>
        <v>-0.47161999999999998</v>
      </c>
      <c r="R37" s="301">
        <f>IF(AND(R$9="Legacy",D37=D$38,OR(R$11="Low",R$11="High")),
INDEX(OpenLCAbasic!$J:$J,MATCH(CONCATENATE(R$10,"_","Base","_","Legacy_",$I$5,"_",D37,"_",R$13,"_n.a."),OpenLCAbasic!$M:$M,0)),
IF(AND(R$9="Legacy",ISERROR(MATCH(D37,LookUps!$H$5:$H$20,0))),"--",
IF(R$9="Legacy",SUMIFS(OpenLCAbasic!$J:$J,OpenLCAbasic!$E:$E,"Base",OpenLCAbasic!$D:$D,"Base",OpenLCAbasic!$F:$F,R$9,OpenLCAbasic!$L:$L,$I$5,OpenLCAbasic!$I:$I,D37,OpenLCAbasic!$C:$C,R$13),
IF(AND(R$9="Upgraded", OR(R$11="Low", R$11="High"), OR(D37=D$37, D37=D$36)),
INDEX(OpenLCAbasic!$J:$J, MATCH(CONCATENATE(R$11, "_", R$10, "_", "Upgraded_",$I$5,"_",D37, "_", R$12, "_", R$14), OpenLCAbasic!$M:$M,0)),
IF(AND(ISERROR(MATCH(D37, LookUps!$G$5:$G$21,0)), R$9="Upgraded"),
SUMIFS(OpenLCAbasic!$J:$J,OpenLCAbasic!$E:$E, R$11, OpenLCAbasic!$D:$D, R$10, OpenLCAbasic!$F:$F,R$9,OpenLCAbasic!$L:$L,$I$5,OpenLCAbasic!$I:$I,INDEX(LookUps!$G$5:$G$21,MATCH(D37, LookUps!$J$5:$J$21,0)), OpenLCAbasic!$B:$B, R$14, OpenLCAbasic!$C:$C, R$12),
SUMIFS(OpenLCAbasic!$J:$J,OpenLCAbasic!$E:$E, R$11, OpenLCAbasic!$D:$D, R$10, OpenLCAbasic!$F:$F,R$9,OpenLCAbasic!$L:$L,$I$5,OpenLCAbasic!$I:$I,D37, OpenLCAbasic!$B:$B, R$14, OpenLCAbasic!$C:$C, R$12)
)))))</f>
        <v>-0.46950999999999998</v>
      </c>
      <c r="S37" s="301">
        <f>IF(AND(S$9="Legacy",E37=E$38,OR(S$11="Low",S$11="High")),
INDEX(OpenLCAbasic!$J:$J,MATCH(CONCATENATE(S$10,"_","Base","_","Legacy_",$I$5,"_",E37,"_",S$13,"_n.a."),OpenLCAbasic!$M:$M,0)),
IF(AND(S$9="Legacy",ISERROR(MATCH(E37,LookUps!$H$5:$H$20,0))),"--",
IF(S$9="Legacy",SUMIFS(OpenLCAbasic!$J:$J,OpenLCAbasic!$E:$E,"Base",OpenLCAbasic!$D:$D,"Base",OpenLCAbasic!$F:$F,S$9,OpenLCAbasic!$L:$L,$I$5,OpenLCAbasic!$I:$I,E37,OpenLCAbasic!$C:$C,S$13),
IF(AND(S$9="Upgraded", OR(S$11="Low", S$11="High"), OR(E37=E$37, E37=E$36)),
INDEX(OpenLCAbasic!$J:$J, MATCH(CONCATENATE(S$11, "_", S$10, "_", "Upgraded_",$I$5,"_",E37, "_", S$12, "_", S$14), OpenLCAbasic!$M:$M,0)),
IF(AND(ISERROR(MATCH(E37, LookUps!$G$5:$G$21,0)), S$9="Upgraded"),
SUMIFS(OpenLCAbasic!$J:$J,OpenLCAbasic!$E:$E, S$11, OpenLCAbasic!$D:$D, S$10, OpenLCAbasic!$F:$F,S$9,OpenLCAbasic!$L:$L,$I$5,OpenLCAbasic!$I:$I,INDEX(LookUps!$G$5:$G$21,MATCH(E37, LookUps!$J$5:$J$21,0)), OpenLCAbasic!$B:$B, S$14, OpenLCAbasic!$C:$C, S$12),
SUMIFS(OpenLCAbasic!$J:$J,OpenLCAbasic!$E:$E, S$11, OpenLCAbasic!$D:$D, S$10, OpenLCAbasic!$F:$F,S$9,OpenLCAbasic!$L:$L,$I$5,OpenLCAbasic!$I:$I,E37, OpenLCAbasic!$B:$B, S$14, OpenLCAbasic!$C:$C, S$12)
)))))</f>
        <v>-0.46950999999999998</v>
      </c>
      <c r="T37" s="301">
        <f>IF(AND(T$9="Legacy",F37=F$38,OR(T$11="Low",T$11="High")),
INDEX(OpenLCAbasic!$J:$J,MATCH(CONCATENATE(T$10,"_","Base","_","Legacy_",$I$5,"_",F37,"_",T$13,"_n.a."),OpenLCAbasic!$M:$M,0)),
IF(AND(T$9="Legacy",ISERROR(MATCH(F37,LookUps!$H$5:$H$20,0))),"--",
IF(T$9="Legacy",SUMIFS(OpenLCAbasic!$J:$J,OpenLCAbasic!$E:$E,"Base",OpenLCAbasic!$D:$D,"Base",OpenLCAbasic!$F:$F,T$9,OpenLCAbasic!$L:$L,$I$5,OpenLCAbasic!$I:$I,F37,OpenLCAbasic!$C:$C,T$13),
IF(AND(T$9="Upgraded", OR(T$11="Low", T$11="High"), OR(F37=F$37, F37=F$36)),
INDEX(OpenLCAbasic!$J:$J, MATCH(CONCATENATE(T$11, "_", T$10, "_", "Upgraded_",$I$5,"_",F37, "_", T$12, "_", T$14), OpenLCAbasic!$M:$M,0)),
IF(AND(ISERROR(MATCH(F37, LookUps!$G$5:$G$21,0)), T$9="Upgraded"),
SUMIFS(OpenLCAbasic!$J:$J,OpenLCAbasic!$E:$E, T$11, OpenLCAbasic!$D:$D, T$10, OpenLCAbasic!$F:$F,T$9,OpenLCAbasic!$L:$L,$I$5,OpenLCAbasic!$I:$I,INDEX(LookUps!$G$5:$G$21,MATCH(F37, LookUps!$J$5:$J$21,0)), OpenLCAbasic!$B:$B, T$14, OpenLCAbasic!$C:$C, T$12),
SUMIFS(OpenLCAbasic!$J:$J,OpenLCAbasic!$E:$E, T$11, OpenLCAbasic!$D:$D, T$10, OpenLCAbasic!$F:$F,T$9,OpenLCAbasic!$L:$L,$I$5,OpenLCAbasic!$I:$I,F37, OpenLCAbasic!$B:$B, T$14, OpenLCAbasic!$C:$C, T$12)
)))))</f>
        <v>-0.64795999999999998</v>
      </c>
      <c r="U37" s="301">
        <f>IF(AND(U$9="Legacy",G37=G$38,OR(U$11="Low",U$11="High")),
INDEX(OpenLCAbasic!$J:$J,MATCH(CONCATENATE(U$10,"_","Base","_","Legacy_",$I$5,"_",G37,"_",U$13,"_n.a."),OpenLCAbasic!$M:$M,0)),
IF(AND(U$9="Legacy",ISERROR(MATCH(G37,LookUps!$H$5:$H$20,0))),"--",
IF(U$9="Legacy",SUMIFS(OpenLCAbasic!$J:$J,OpenLCAbasic!$E:$E,"Base",OpenLCAbasic!$D:$D,"Base",OpenLCAbasic!$F:$F,U$9,OpenLCAbasic!$L:$L,$I$5,OpenLCAbasic!$I:$I,G37,OpenLCAbasic!$C:$C,U$13),
IF(AND(U$9="Upgraded", OR(U$11="Low", U$11="High"), OR(G37=G$37, G37=G$36)),
INDEX(OpenLCAbasic!$J:$J, MATCH(CONCATENATE(U$11, "_", U$10, "_", "Upgraded_",$I$5,"_",G37, "_", U$12, "_", U$14), OpenLCAbasic!$M:$M,0)),
IF(AND(ISERROR(MATCH(G37, LookUps!$G$5:$G$21,0)), U$9="Upgraded"),
SUMIFS(OpenLCAbasic!$J:$J,OpenLCAbasic!$E:$E, U$11, OpenLCAbasic!$D:$D, U$10, OpenLCAbasic!$F:$F,U$9,OpenLCAbasic!$L:$L,$I$5,OpenLCAbasic!$I:$I,INDEX(LookUps!$G$5:$G$21,MATCH(G37, LookUps!$J$5:$J$21,0)), OpenLCAbasic!$B:$B, U$14, OpenLCAbasic!$C:$C, U$12),
SUMIFS(OpenLCAbasic!$J:$J,OpenLCAbasic!$E:$E, U$11, OpenLCAbasic!$D:$D, U$10, OpenLCAbasic!$F:$F,U$9,OpenLCAbasic!$L:$L,$I$5,OpenLCAbasic!$I:$I,G37, OpenLCAbasic!$B:$B, U$14, OpenLCAbasic!$C:$C, U$12)
)))))</f>
        <v>-0.83601000000000003</v>
      </c>
      <c r="V37" s="302"/>
      <c r="W37" s="274" t="str">
        <f>IF(AND(W$9="Legacy",B37=B$38,OR(W$11="Low",W$11="High")),
INDEX(OpenLCAbasic!$J:$J,MATCH(CONCATENATE(W$10,"_","Base","_","Legacy_",$I$6,"_",B37,"_",W$13,"_n.a."),OpenLCAbasic!$M:$M,0)),
IF(AND(W$9="Legacy",ISERROR(MATCH(B37,LookUps!$H$5:$H$20,0))),"--",
IF(W$9="Legacy",SUMIFS(OpenLCAbasic!$J:$J,OpenLCAbasic!$E:$E,"Base",OpenLCAbasic!$D:$D,"Base",OpenLCAbasic!$F:$F,W$9,OpenLCAbasic!$L:$L,$I$6,OpenLCAbasic!$I:$I,B37,OpenLCAbasic!$C:$C,W$13),
IF(AND(W$9="Upgraded", OR(W$11="Low", W$11="High"), OR(B37=B$37, B37=B$36)),
INDEX(OpenLCAbasic!$J:$J, MATCH(CONCATENATE(W$11, "_", W$10, "_", "Upgraded_",$I$6,"_",B37, "_", W$12, "_", W$14), OpenLCAbasic!$M:$M,0)),
IF(AND(ISERROR(MATCH(B37, LookUps!$G$5:$G$21,0)), W$9="Upgraded"),
SUMIFS(OpenLCAbasic!$J:$J,OpenLCAbasic!$E:$E, W$11, OpenLCAbasic!$D:$D, W$10, OpenLCAbasic!$F:$F,W$9,OpenLCAbasic!$L:$L,$I$6,OpenLCAbasic!$I:$I,INDEX(LookUps!$G$5:$G$21,MATCH(B37, LookUps!$J$5:$J$21,0)), OpenLCAbasic!$B:$B, W$14, OpenLCAbasic!$C:$C, W$12),
SUMIFS(OpenLCAbasic!$J:$J,OpenLCAbasic!$E:$E, W$11, OpenLCAbasic!$D:$D, W$10, OpenLCAbasic!$F:$F,W$9,OpenLCAbasic!$L:$L,$I$6,OpenLCAbasic!$I:$I,B37, OpenLCAbasic!$B:$B, W$14, OpenLCAbasic!$C:$C, W$12)
)))))</f>
        <v>--</v>
      </c>
      <c r="X37" s="303">
        <f>IF(AND(X$9="Legacy",C37=C$38,OR(X$11="Low",X$11="High")),
INDEX(OpenLCAbasic!$J:$J,MATCH(CONCATENATE(X$10,"_","Base","_","Legacy_",$I$6,"_",C37,"_",X$13,"_n.a."),OpenLCAbasic!$M:$M,0)),
IF(AND(X$9="Legacy",ISERROR(MATCH(C37,LookUps!$H$5:$H$20,0))),"--",
IF(X$9="Legacy",SUMIFS(OpenLCAbasic!$J:$J,OpenLCAbasic!$E:$E,"Base",OpenLCAbasic!$D:$D,"Base",OpenLCAbasic!$F:$F,X$9,OpenLCAbasic!$L:$L,$I$6,OpenLCAbasic!$I:$I,C37,OpenLCAbasic!$C:$C,X$13),
IF(AND(X$9="Upgraded", OR(X$11="Low", X$11="High"), OR(C37=C$37, C37=C$36)),
INDEX(OpenLCAbasic!$J:$J, MATCH(CONCATENATE(X$11, "_", X$10, "_", "Upgraded_",$I$6,"_",C37, "_", X$12, "_", X$14), OpenLCAbasic!$M:$M,0)),
IF(AND(ISERROR(MATCH(C37, LookUps!$G$5:$G$21,0)), X$9="Upgraded"),
SUMIFS(OpenLCAbasic!$J:$J,OpenLCAbasic!$E:$E, X$11, OpenLCAbasic!$D:$D, X$10, OpenLCAbasic!$F:$F,X$9,OpenLCAbasic!$L:$L,$I$6,OpenLCAbasic!$I:$I,INDEX(LookUps!$G$5:$G$21,MATCH(C37, LookUps!$J$5:$J$21,0)), OpenLCAbasic!$B:$B, X$14, OpenLCAbasic!$C:$C, X$12),
SUMIFS(OpenLCAbasic!$J:$J,OpenLCAbasic!$E:$E, X$11, OpenLCAbasic!$D:$D, X$10, OpenLCAbasic!$F:$F,X$9,OpenLCAbasic!$L:$L,$I$6,OpenLCAbasic!$I:$I,C37, OpenLCAbasic!$B:$B, X$14, OpenLCAbasic!$C:$C, X$12)
)))))</f>
        <v>1.97E-3</v>
      </c>
      <c r="Y37" s="303">
        <f>IF(AND(Y$9="Legacy",D37=D$38,OR(Y$11="Low",Y$11="High")),
INDEX(OpenLCAbasic!$J:$J,MATCH(CONCATENATE(Y$10,"_","Base","_","Legacy_",$I$6,"_",D37,"_",Y$13,"_n.a."),OpenLCAbasic!$M:$M,0)),
IF(AND(Y$9="Legacy",ISERROR(MATCH(D37,LookUps!$H$5:$H$20,0))),"--",
IF(Y$9="Legacy",SUMIFS(OpenLCAbasic!$J:$J,OpenLCAbasic!$E:$E,"Base",OpenLCAbasic!$D:$D,"Base",OpenLCAbasic!$F:$F,Y$9,OpenLCAbasic!$L:$L,$I$6,OpenLCAbasic!$I:$I,D37,OpenLCAbasic!$C:$C,Y$13),
IF(AND(Y$9="Upgraded", OR(Y$11="Low", Y$11="High"), OR(D37=D$37, D37=D$36)),
INDEX(OpenLCAbasic!$J:$J, MATCH(CONCATENATE(Y$11, "_", Y$10, "_", "Upgraded_",$I$6,"_",D37, "_", Y$12, "_", Y$14), OpenLCAbasic!$M:$M,0)),
IF(AND(ISERROR(MATCH(D37, LookUps!$G$5:$G$21,0)), Y$9="Upgraded"),
SUMIFS(OpenLCAbasic!$J:$J,OpenLCAbasic!$E:$E, Y$11, OpenLCAbasic!$D:$D, Y$10, OpenLCAbasic!$F:$F,Y$9,OpenLCAbasic!$L:$L,$I$6,OpenLCAbasic!$I:$I,INDEX(LookUps!$G$5:$G$21,MATCH(D37, LookUps!$J$5:$J$21,0)), OpenLCAbasic!$B:$B, Y$14, OpenLCAbasic!$C:$C, Y$12),
SUMIFS(OpenLCAbasic!$J:$J,OpenLCAbasic!$E:$E, Y$11, OpenLCAbasic!$D:$D, Y$10, OpenLCAbasic!$F:$F,Y$9,OpenLCAbasic!$L:$L,$I$6,OpenLCAbasic!$I:$I,D37, OpenLCAbasic!$B:$B, Y$14, OpenLCAbasic!$C:$C, Y$12)
)))))</f>
        <v>2.0500000000000002E-3</v>
      </c>
      <c r="Z37" s="303">
        <f>IF(AND(Z$9="Legacy",E37=E$38,OR(Z$11="Low",Z$11="High")),
INDEX(OpenLCAbasic!$J:$J,MATCH(CONCATENATE(Z$10,"_","Base","_","Legacy_",$I$6,"_",E37,"_",Z$13,"_n.a."),OpenLCAbasic!$M:$M,0)),
IF(AND(Z$9="Legacy",ISERROR(MATCH(E37,LookUps!$H$5:$H$20,0))),"--",
IF(Z$9="Legacy",SUMIFS(OpenLCAbasic!$J:$J,OpenLCAbasic!$E:$E,"Base",OpenLCAbasic!$D:$D,"Base",OpenLCAbasic!$F:$F,Z$9,OpenLCAbasic!$L:$L,$I$6,OpenLCAbasic!$I:$I,E37,OpenLCAbasic!$C:$C,Z$13),
IF(AND(Z$9="Upgraded", OR(Z$11="Low", Z$11="High"), OR(E37=E$37, E37=E$36)),
INDEX(OpenLCAbasic!$J:$J, MATCH(CONCATENATE(Z$11, "_", Z$10, "_", "Upgraded_",$I$6,"_",E37, "_", Z$12, "_", Z$14), OpenLCAbasic!$M:$M,0)),
IF(AND(ISERROR(MATCH(E37, LookUps!$G$5:$G$21,0)), Z$9="Upgraded"),
SUMIFS(OpenLCAbasic!$J:$J,OpenLCAbasic!$E:$E, Z$11, OpenLCAbasic!$D:$D, Z$10, OpenLCAbasic!$F:$F,Z$9,OpenLCAbasic!$L:$L,$I$6,OpenLCAbasic!$I:$I,INDEX(LookUps!$G$5:$G$21,MATCH(E37, LookUps!$J$5:$J$21,0)), OpenLCAbasic!$B:$B, Z$14, OpenLCAbasic!$C:$C, Z$12),
SUMIFS(OpenLCAbasic!$J:$J,OpenLCAbasic!$E:$E, Z$11, OpenLCAbasic!$D:$D, Z$10, OpenLCAbasic!$F:$F,Z$9,OpenLCAbasic!$L:$L,$I$6,OpenLCAbasic!$I:$I,E37, OpenLCAbasic!$B:$B, Z$14, OpenLCAbasic!$C:$C, Z$12)
)))))</f>
        <v>2.0500000000000002E-3</v>
      </c>
      <c r="AA37" s="303">
        <f>IF(AND(AA$9="Legacy",F37=F$38,OR(AA$11="Low",AA$11="High")),
INDEX(OpenLCAbasic!$J:$J,MATCH(CONCATENATE(AA$10,"_","Base","_","Legacy_",$I$6,"_",F37,"_",AA$13,"_n.a."),OpenLCAbasic!$M:$M,0)),
IF(AND(AA$9="Legacy",ISERROR(MATCH(F37,LookUps!$H$5:$H$20,0))),"--",
IF(AA$9="Legacy",SUMIFS(OpenLCAbasic!$J:$J,OpenLCAbasic!$E:$E,"Base",OpenLCAbasic!$D:$D,"Base",OpenLCAbasic!$F:$F,AA$9,OpenLCAbasic!$L:$L,$I$6,OpenLCAbasic!$I:$I,F37,OpenLCAbasic!$C:$C,AA$13),
IF(AND(AA$9="Upgraded", OR(AA$11="Low", AA$11="High"), OR(F37=F$37, F37=F$36)),
INDEX(OpenLCAbasic!$J:$J, MATCH(CONCATENATE(AA$11, "_", AA$10, "_", "Upgraded_",$I$6,"_",F37, "_", AA$12, "_", AA$14), OpenLCAbasic!$M:$M,0)),
IF(AND(ISERROR(MATCH(F37, LookUps!$G$5:$G$21,0)), AA$9="Upgraded"),
SUMIFS(OpenLCAbasic!$J:$J,OpenLCAbasic!$E:$E, AA$11, OpenLCAbasic!$D:$D, AA$10, OpenLCAbasic!$F:$F,AA$9,OpenLCAbasic!$L:$L,$I$6,OpenLCAbasic!$I:$I,INDEX(LookUps!$G$5:$G$21,MATCH(F37, LookUps!$J$5:$J$21,0)), OpenLCAbasic!$B:$B, AA$14, OpenLCAbasic!$C:$C, AA$12),
SUMIFS(OpenLCAbasic!$J:$J,OpenLCAbasic!$E:$E, AA$11, OpenLCAbasic!$D:$D, AA$10, OpenLCAbasic!$F:$F,AA$9,OpenLCAbasic!$L:$L,$I$6,OpenLCAbasic!$I:$I,F37, OpenLCAbasic!$B:$B, AA$14, OpenLCAbasic!$C:$C, AA$12)
)))))</f>
        <v>2.8300000000000001E-3</v>
      </c>
      <c r="AB37" s="303">
        <f>IF(AND(AB$9="Legacy",G37=G$38,OR(AB$11="Low",AB$11="High")),
INDEX(OpenLCAbasic!$J:$J,MATCH(CONCATENATE(AB$10,"_","Base","_","Legacy_",$I$6,"_",G37,"_",AB$13,"_n.a."),OpenLCAbasic!$M:$M,0)),
IF(AND(AB$9="Legacy",ISERROR(MATCH(G37,LookUps!$H$5:$H$20,0))),"--",
IF(AB$9="Legacy",SUMIFS(OpenLCAbasic!$J:$J,OpenLCAbasic!$E:$E,"Base",OpenLCAbasic!$D:$D,"Base",OpenLCAbasic!$F:$F,AB$9,OpenLCAbasic!$L:$L,$I$6,OpenLCAbasic!$I:$I,G37,OpenLCAbasic!$C:$C,AB$13),
IF(AND(AB$9="Upgraded", OR(AB$11="Low", AB$11="High"), OR(G37=G$37, G37=G$36)),
INDEX(OpenLCAbasic!$J:$J, MATCH(CONCATENATE(AB$11, "_", AB$10, "_", "Upgraded_",$I$6,"_",G37, "_", AB$12, "_", AB$14), OpenLCAbasic!$M:$M,0)),
IF(AND(ISERROR(MATCH(G37, LookUps!$G$5:$G$21,0)), AB$9="Upgraded"),
SUMIFS(OpenLCAbasic!$J:$J,OpenLCAbasic!$E:$E, AB$11, OpenLCAbasic!$D:$D, AB$10, OpenLCAbasic!$F:$F,AB$9,OpenLCAbasic!$L:$L,$I$6,OpenLCAbasic!$I:$I,INDEX(LookUps!$G$5:$G$21,MATCH(G37, LookUps!$J$5:$J$21,0)), OpenLCAbasic!$B:$B, AB$14, OpenLCAbasic!$C:$C, AB$12),
SUMIFS(OpenLCAbasic!$J:$J,OpenLCAbasic!$E:$E, AB$11, OpenLCAbasic!$D:$D, AB$10, OpenLCAbasic!$F:$F,AB$9,OpenLCAbasic!$L:$L,$I$6,OpenLCAbasic!$I:$I,G37, OpenLCAbasic!$B:$B, AB$14, OpenLCAbasic!$C:$C, AB$12)
)))))</f>
        <v>3.6600000000000001E-3</v>
      </c>
    </row>
    <row r="38" spans="2:28" x14ac:dyDescent="0.25">
      <c r="B38" s="99" t="str">
        <f t="shared" si="15"/>
        <v>Sludge Disposal; wastewater treatment unit - US</v>
      </c>
      <c r="C38" s="99" t="str">
        <f t="shared" si="15"/>
        <v>Sludge Disposal; wastewater treatment unit - US</v>
      </c>
      <c r="D38" s="99" t="str">
        <f t="shared" si="15"/>
        <v>Sludge Disposal; wastewater treatment unit - US</v>
      </c>
      <c r="E38" s="99" t="str">
        <f t="shared" si="15"/>
        <v>Sludge Disposal; wastewater treatment unit - US</v>
      </c>
      <c r="F38" s="99" t="str">
        <f t="shared" si="15"/>
        <v>Sludge Disposal; wastewater treatment unit - US</v>
      </c>
      <c r="G38" s="99" t="str">
        <f t="shared" si="15"/>
        <v>Sludge Disposal; wastewater treatment unit - US</v>
      </c>
      <c r="H38" s="266" t="str">
        <f>LookUps!$H$18</f>
        <v>Sludge Disposal; wastewater treatment unit - US</v>
      </c>
      <c r="I38" s="301">
        <f>IF(AND(I$9="Legacy",B38=B$38,OR(I$11="Low",I$11="High")),
INDEX(OpenLCAbasic!$J:$J,MATCH(CONCATENATE(I$10,"_","Base","_","Legacy_",$I$4,"_",B38,"_",I$13,"_n.a."),OpenLCAbasic!$M:$M,0)),
IF(AND(I$9="Legacy",ISERROR(MATCH(B38,LookUps!$H$5:$H$20,0))),"--",
IF(I$9="Legacy",SUMIFS(OpenLCAbasic!$J:$J,OpenLCAbasic!$E:$E,"Base",OpenLCAbasic!$D:$D,"Base",OpenLCAbasic!$F:$F,I$9,OpenLCAbasic!$L:$L,$I$4,OpenLCAbasic!$I:$I,B38,OpenLCAbasic!$C:$C,I$13),
IF(AND(I$9="Upgraded", OR(I$11="Low", I$11="High"), OR(B38=B$37, B38=B$36)),
INDEX(OpenLCAbasic!$J:$J, MATCH(CONCATENATE(I$11, "_", I$10, "_", "Upgraded_",$I$4,"_",B38, "_", I$12, "_", I$14), OpenLCAbasic!$M:$M,0)),
IF(AND(ISERROR(MATCH(B38, LookUps!$G$5:$G$21,0)), I$9="Upgraded"),
SUMIFS(OpenLCAbasic!$J:$J,OpenLCAbasic!$E:$E, I$11, OpenLCAbasic!$D:$D, I$10, OpenLCAbasic!$F:$F,I$9,OpenLCAbasic!$L:$L,$I$4,OpenLCAbasic!$I:$I,INDEX(LookUps!$G$5:$G$21,MATCH(B38, LookUps!$J$5:$J$21,0)), OpenLCAbasic!$B:$B, I$14, OpenLCAbasic!$C:$C, I$12),
SUMIFS(OpenLCAbasic!$J:$J,OpenLCAbasic!$E:$E, I$11, OpenLCAbasic!$D:$D, I$10, OpenLCAbasic!$F:$F,I$9,OpenLCAbasic!$L:$L,$I$4,OpenLCAbasic!$I:$I,B38, OpenLCAbasic!$B:$B, I$14, OpenLCAbasic!$C:$C, I$12)
)))))</f>
        <v>0.62107000000000001</v>
      </c>
      <c r="J38" s="304">
        <f>IF(AND(J$9="Legacy",C38=C$38,OR(J$11="Low",J$11="High")),
INDEX(OpenLCAbasic!$J:$J,MATCH(CONCATENATE(J$10,"_","Base","_","Legacy_",$I$4,"_",C38,"_",J$13,"_n.a."),OpenLCAbasic!$M:$M,0)),
IF(AND(J$9="Legacy",ISERROR(MATCH(C38,LookUps!$H$5:$H$20,0))),"--",
IF(J$9="Legacy",SUMIFS(OpenLCAbasic!$J:$J,OpenLCAbasic!$E:$E,"Base",OpenLCAbasic!$D:$D,"Base",OpenLCAbasic!$F:$F,J$9,OpenLCAbasic!$L:$L,$I$4,OpenLCAbasic!$I:$I,C38,OpenLCAbasic!$C:$C,J$13),
IF(AND(J$9="Upgraded", OR(J$11="Low", J$11="High"), OR(C38=C$37, C38=C$36)),
INDEX(OpenLCAbasic!$J:$J, MATCH(CONCATENATE(J$11, "_", J$10, "_", "Upgraded_",$I$4,"_",C38, "_", J$12, "_", J$14), OpenLCAbasic!$M:$M,0)),
IF(AND(ISERROR(MATCH(C38, LookUps!$G$5:$G$21,0)), J$9="Upgraded"),
SUMIFS(OpenLCAbasic!$J:$J,OpenLCAbasic!$E:$E, J$11, OpenLCAbasic!$D:$D, J$10, OpenLCAbasic!$F:$F,J$9,OpenLCAbasic!$L:$L,$I$4,OpenLCAbasic!$I:$I,INDEX(LookUps!$G$5:$G$21,MATCH(C38, LookUps!$J$5:$J$21,0)), OpenLCAbasic!$B:$B, J$14, OpenLCAbasic!$C:$C, J$12),
SUMIFS(OpenLCAbasic!$J:$J,OpenLCAbasic!$E:$E, J$11, OpenLCAbasic!$D:$D, J$10, OpenLCAbasic!$F:$F,J$9,OpenLCAbasic!$L:$L,$I$4,OpenLCAbasic!$I:$I,C38, OpenLCAbasic!$B:$B, J$14, OpenLCAbasic!$C:$C, J$12)
)))))</f>
        <v>0</v>
      </c>
      <c r="K38" s="304">
        <f>IF(AND(K$9="Legacy",D38=D$38,OR(K$11="Low",K$11="High")),
INDEX(OpenLCAbasic!$J:$J,MATCH(CONCATENATE(K$10,"_","Base","_","Legacy_",$I$4,"_",D38,"_",K$13,"_n.a."),OpenLCAbasic!$M:$M,0)),
IF(AND(K$9="Legacy",ISERROR(MATCH(D38,LookUps!$H$5:$H$20,0))),"--",
IF(K$9="Legacy",SUMIFS(OpenLCAbasic!$J:$J,OpenLCAbasic!$E:$E,"Base",OpenLCAbasic!$D:$D,"Base",OpenLCAbasic!$F:$F,K$9,OpenLCAbasic!$L:$L,$I$4,OpenLCAbasic!$I:$I,D38,OpenLCAbasic!$C:$C,K$13),
IF(AND(K$9="Upgraded", OR(K$11="Low", K$11="High"), OR(D38=D$37, D38=D$36)),
INDEX(OpenLCAbasic!$J:$J, MATCH(CONCATENATE(K$11, "_", K$10, "_", "Upgraded_",$I$4,"_",D38, "_", K$12, "_", K$14), OpenLCAbasic!$M:$M,0)),
IF(AND(ISERROR(MATCH(D38, LookUps!$G$5:$G$21,0)), K$9="Upgraded"),
SUMIFS(OpenLCAbasic!$J:$J,OpenLCAbasic!$E:$E, K$11, OpenLCAbasic!$D:$D, K$10, OpenLCAbasic!$F:$F,K$9,OpenLCAbasic!$L:$L,$I$4,OpenLCAbasic!$I:$I,INDEX(LookUps!$G$5:$G$21,MATCH(D38, LookUps!$J$5:$J$21,0)), OpenLCAbasic!$B:$B, K$14, OpenLCAbasic!$C:$C, K$12),
SUMIFS(OpenLCAbasic!$J:$J,OpenLCAbasic!$E:$E, K$11, OpenLCAbasic!$D:$D, K$10, OpenLCAbasic!$F:$F,K$9,OpenLCAbasic!$L:$L,$I$4,OpenLCAbasic!$I:$I,D38, OpenLCAbasic!$B:$B, K$14, OpenLCAbasic!$C:$C, K$12)
)))))</f>
        <v>0</v>
      </c>
      <c r="L38" s="304">
        <f>IF(AND(L$9="Legacy",E38=E$38,OR(L$11="Low",L$11="High")),
INDEX(OpenLCAbasic!$J:$J,MATCH(CONCATENATE(L$10,"_","Base","_","Legacy_",$I$4,"_",E38,"_",L$13,"_n.a."),OpenLCAbasic!$M:$M,0)),
IF(AND(L$9="Legacy",ISERROR(MATCH(E38,LookUps!$H$5:$H$20,0))),"--",
IF(L$9="Legacy",SUMIFS(OpenLCAbasic!$J:$J,OpenLCAbasic!$E:$E,"Base",OpenLCAbasic!$D:$D,"Base",OpenLCAbasic!$F:$F,L$9,OpenLCAbasic!$L:$L,$I$4,OpenLCAbasic!$I:$I,E38,OpenLCAbasic!$C:$C,L$13),
IF(AND(L$9="Upgraded", OR(L$11="Low", L$11="High"), OR(E38=E$37, E38=E$36)),
INDEX(OpenLCAbasic!$J:$J, MATCH(CONCATENATE(L$11, "_", L$10, "_", "Upgraded_",$I$4,"_",E38, "_", L$12, "_", L$14), OpenLCAbasic!$M:$M,0)),
IF(AND(ISERROR(MATCH(E38, LookUps!$G$5:$G$21,0)), L$9="Upgraded"),
SUMIFS(OpenLCAbasic!$J:$J,OpenLCAbasic!$E:$E, L$11, OpenLCAbasic!$D:$D, L$10, OpenLCAbasic!$F:$F,L$9,OpenLCAbasic!$L:$L,$I$4,OpenLCAbasic!$I:$I,INDEX(LookUps!$G$5:$G$21,MATCH(E38, LookUps!$J$5:$J$21,0)), OpenLCAbasic!$B:$B, L$14, OpenLCAbasic!$C:$C, L$12),
SUMIFS(OpenLCAbasic!$J:$J,OpenLCAbasic!$E:$E, L$11, OpenLCAbasic!$D:$D, L$10, OpenLCAbasic!$F:$F,L$9,OpenLCAbasic!$L:$L,$I$4,OpenLCAbasic!$I:$I,E38, OpenLCAbasic!$B:$B, L$14, OpenLCAbasic!$C:$C, L$12)
)))))</f>
        <v>0</v>
      </c>
      <c r="M38" s="304">
        <f>IF(AND(M$9="Legacy",F38=F$38,OR(M$11="Low",M$11="High")),
INDEX(OpenLCAbasic!$J:$J,MATCH(CONCATENATE(M$10,"_","Base","_","Legacy_",$I$4,"_",F38,"_",M$13,"_n.a."),OpenLCAbasic!$M:$M,0)),
IF(AND(M$9="Legacy",ISERROR(MATCH(F38,LookUps!$H$5:$H$20,0))),"--",
IF(M$9="Legacy",SUMIFS(OpenLCAbasic!$J:$J,OpenLCAbasic!$E:$E,"Base",OpenLCAbasic!$D:$D,"Base",OpenLCAbasic!$F:$F,M$9,OpenLCAbasic!$L:$L,$I$4,OpenLCAbasic!$I:$I,F38,OpenLCAbasic!$C:$C,M$13),
IF(AND(M$9="Upgraded", OR(M$11="Low", M$11="High"), OR(F38=F$37, F38=F$36)),
INDEX(OpenLCAbasic!$J:$J, MATCH(CONCATENATE(M$11, "_", M$10, "_", "Upgraded_",$I$4,"_",F38, "_", M$12, "_", M$14), OpenLCAbasic!$M:$M,0)),
IF(AND(ISERROR(MATCH(F38, LookUps!$G$5:$G$21,0)), M$9="Upgraded"),
SUMIFS(OpenLCAbasic!$J:$J,OpenLCAbasic!$E:$E, M$11, OpenLCAbasic!$D:$D, M$10, OpenLCAbasic!$F:$F,M$9,OpenLCAbasic!$L:$L,$I$4,OpenLCAbasic!$I:$I,INDEX(LookUps!$G$5:$G$21,MATCH(F38, LookUps!$J$5:$J$21,0)), OpenLCAbasic!$B:$B, M$14, OpenLCAbasic!$C:$C, M$12),
SUMIFS(OpenLCAbasic!$J:$J,OpenLCAbasic!$E:$E, M$11, OpenLCAbasic!$D:$D, M$10, OpenLCAbasic!$F:$F,M$9,OpenLCAbasic!$L:$L,$I$4,OpenLCAbasic!$I:$I,F38, OpenLCAbasic!$B:$B, M$14, OpenLCAbasic!$C:$C, M$12)
)))))</f>
        <v>0</v>
      </c>
      <c r="N38" s="304">
        <f>IF(AND(N$9="Legacy",G38=G$38,OR(N$11="Low",N$11="High")),
INDEX(OpenLCAbasic!$J:$J,MATCH(CONCATENATE(N$10,"_","Base","_","Legacy_",$I$4,"_",G38,"_",N$13,"_n.a."),OpenLCAbasic!$M:$M,0)),
IF(AND(N$9="Legacy",ISERROR(MATCH(G38,LookUps!$H$5:$H$20,0))),"--",
IF(N$9="Legacy",SUMIFS(OpenLCAbasic!$J:$J,OpenLCAbasic!$E:$E,"Base",OpenLCAbasic!$D:$D,"Base",OpenLCAbasic!$F:$F,N$9,OpenLCAbasic!$L:$L,$I$4,OpenLCAbasic!$I:$I,G38,OpenLCAbasic!$C:$C,N$13),
IF(AND(N$9="Upgraded", OR(N$11="Low", N$11="High"), OR(G38=G$37, G38=G$36)),
INDEX(OpenLCAbasic!$J:$J, MATCH(CONCATENATE(N$11, "_", N$10, "_", "Upgraded_",$I$4,"_",G38, "_", N$12, "_", N$14), OpenLCAbasic!$M:$M,0)),
IF(AND(ISERROR(MATCH(G38, LookUps!$G$5:$G$21,0)), N$9="Upgraded"),
SUMIFS(OpenLCAbasic!$J:$J,OpenLCAbasic!$E:$E, N$11, OpenLCAbasic!$D:$D, N$10, OpenLCAbasic!$F:$F,N$9,OpenLCAbasic!$L:$L,$I$4,OpenLCAbasic!$I:$I,INDEX(LookUps!$G$5:$G$21,MATCH(G38, LookUps!$J$5:$J$21,0)), OpenLCAbasic!$B:$B, N$14, OpenLCAbasic!$C:$C, N$12),
SUMIFS(OpenLCAbasic!$J:$J,OpenLCAbasic!$E:$E, N$11, OpenLCAbasic!$D:$D, N$10, OpenLCAbasic!$F:$F,N$9,OpenLCAbasic!$L:$L,$I$4,OpenLCAbasic!$I:$I,G38, OpenLCAbasic!$B:$B, N$14, OpenLCAbasic!$C:$C, N$12)
)))))</f>
        <v>0</v>
      </c>
      <c r="O38" s="302"/>
      <c r="P38" s="301">
        <f>IF(AND(P$9="Legacy",B38=B$38,OR(P$11="Low",P$11="High")),
INDEX(OpenLCAbasic!$J:$J,MATCH(CONCATENATE(P$10,"_","Base","_","Legacy_",$I$5,"_",B38,"_",P$13,"_n.a."),OpenLCAbasic!$M:$M,0)),
IF(AND(P$9="Legacy",ISERROR(MATCH(B38,LookUps!$H$5:$H$20,0))),"--",
IF(P$9="Legacy",SUMIFS(OpenLCAbasic!$J:$J,OpenLCAbasic!$E:$E,"Base",OpenLCAbasic!$D:$D,"Base",OpenLCAbasic!$F:$F,P$9,OpenLCAbasic!$L:$L,$I$5,OpenLCAbasic!$I:$I,B38,OpenLCAbasic!$C:$C,P$13),
IF(AND(P$9="Upgraded", OR(P$11="Low", P$11="High"), OR(B38=B$37, B38=B$36)),
INDEX(OpenLCAbasic!$J:$J, MATCH(CONCATENATE(P$11, "_", P$10, "_", "Upgraded_",$I$5,"_",B38, "_", P$12, "_", P$14), OpenLCAbasic!$M:$M,0)),
IF(AND(ISERROR(MATCH(B38, LookUps!$G$5:$G$21,0)), P$9="Upgraded"),
SUMIFS(OpenLCAbasic!$J:$J,OpenLCAbasic!$E:$E, P$11, OpenLCAbasic!$D:$D, P$10, OpenLCAbasic!$F:$F,P$9,OpenLCAbasic!$L:$L,$I$5,OpenLCAbasic!$I:$I,INDEX(LookUps!$G$5:$G$21,MATCH(B38, LookUps!$J$5:$J$21,0)), OpenLCAbasic!$B:$B, P$14, OpenLCAbasic!$C:$C, P$12),
SUMIFS(OpenLCAbasic!$J:$J,OpenLCAbasic!$E:$E, P$11, OpenLCAbasic!$D:$D, P$10, OpenLCAbasic!$F:$F,P$9,OpenLCAbasic!$L:$L,$I$5,OpenLCAbasic!$I:$I,B38, OpenLCAbasic!$B:$B, P$14, OpenLCAbasic!$C:$C, P$12)
)))))</f>
        <v>0.28660999999999998</v>
      </c>
      <c r="Q38" s="304">
        <f>IF(AND(Q$9="Legacy",C38=C$38,OR(Q$11="Low",Q$11="High")),
INDEX(OpenLCAbasic!$J:$J,MATCH(CONCATENATE(Q$10,"_","Base","_","Legacy_",$I$5,"_",C38,"_",Q$13,"_n.a."),OpenLCAbasic!$M:$M,0)),
IF(AND(Q$9="Legacy",ISERROR(MATCH(C38,LookUps!$H$5:$H$20,0))),"--",
IF(Q$9="Legacy",SUMIFS(OpenLCAbasic!$J:$J,OpenLCAbasic!$E:$E,"Base",OpenLCAbasic!$D:$D,"Base",OpenLCAbasic!$F:$F,Q$9,OpenLCAbasic!$L:$L,$I$5,OpenLCAbasic!$I:$I,C38,OpenLCAbasic!$C:$C,Q$13),
IF(AND(Q$9="Upgraded", OR(Q$11="Low", Q$11="High"), OR(C38=C$37, C38=C$36)),
INDEX(OpenLCAbasic!$J:$J, MATCH(CONCATENATE(Q$11, "_", Q$10, "_", "Upgraded_",$I$5,"_",C38, "_", Q$12, "_", Q$14), OpenLCAbasic!$M:$M,0)),
IF(AND(ISERROR(MATCH(C38, LookUps!$G$5:$G$21,0)), Q$9="Upgraded"),
SUMIFS(OpenLCAbasic!$J:$J,OpenLCAbasic!$E:$E, Q$11, OpenLCAbasic!$D:$D, Q$10, OpenLCAbasic!$F:$F,Q$9,OpenLCAbasic!$L:$L,$I$5,OpenLCAbasic!$I:$I,INDEX(LookUps!$G$5:$G$21,MATCH(C38, LookUps!$J$5:$J$21,0)), OpenLCAbasic!$B:$B, Q$14, OpenLCAbasic!$C:$C, Q$12),
SUMIFS(OpenLCAbasic!$J:$J,OpenLCAbasic!$E:$E, Q$11, OpenLCAbasic!$D:$D, Q$10, OpenLCAbasic!$F:$F,Q$9,OpenLCAbasic!$L:$L,$I$5,OpenLCAbasic!$I:$I,C38, OpenLCAbasic!$B:$B, Q$14, OpenLCAbasic!$C:$C, Q$12)
)))))</f>
        <v>0</v>
      </c>
      <c r="R38" s="304">
        <f>IF(AND(R$9="Legacy",D38=D$38,OR(R$11="Low",R$11="High")),
INDEX(OpenLCAbasic!$J:$J,MATCH(CONCATENATE(R$10,"_","Base","_","Legacy_",$I$5,"_",D38,"_",R$13,"_n.a."),OpenLCAbasic!$M:$M,0)),
IF(AND(R$9="Legacy",ISERROR(MATCH(D38,LookUps!$H$5:$H$20,0))),"--",
IF(R$9="Legacy",SUMIFS(OpenLCAbasic!$J:$J,OpenLCAbasic!$E:$E,"Base",OpenLCAbasic!$D:$D,"Base",OpenLCAbasic!$F:$F,R$9,OpenLCAbasic!$L:$L,$I$5,OpenLCAbasic!$I:$I,D38,OpenLCAbasic!$C:$C,R$13),
IF(AND(R$9="Upgraded", OR(R$11="Low", R$11="High"), OR(D38=D$37, D38=D$36)),
INDEX(OpenLCAbasic!$J:$J, MATCH(CONCATENATE(R$11, "_", R$10, "_", "Upgraded_",$I$5,"_",D38, "_", R$12, "_", R$14), OpenLCAbasic!$M:$M,0)),
IF(AND(ISERROR(MATCH(D38, LookUps!$G$5:$G$21,0)), R$9="Upgraded"),
SUMIFS(OpenLCAbasic!$J:$J,OpenLCAbasic!$E:$E, R$11, OpenLCAbasic!$D:$D, R$10, OpenLCAbasic!$F:$F,R$9,OpenLCAbasic!$L:$L,$I$5,OpenLCAbasic!$I:$I,INDEX(LookUps!$G$5:$G$21,MATCH(D38, LookUps!$J$5:$J$21,0)), OpenLCAbasic!$B:$B, R$14, OpenLCAbasic!$C:$C, R$12),
SUMIFS(OpenLCAbasic!$J:$J,OpenLCAbasic!$E:$E, R$11, OpenLCAbasic!$D:$D, R$10, OpenLCAbasic!$F:$F,R$9,OpenLCAbasic!$L:$L,$I$5,OpenLCAbasic!$I:$I,D38, OpenLCAbasic!$B:$B, R$14, OpenLCAbasic!$C:$C, R$12)
)))))</f>
        <v>0</v>
      </c>
      <c r="S38" s="304">
        <f>IF(AND(S$9="Legacy",E38=E$38,OR(S$11="Low",S$11="High")),
INDEX(OpenLCAbasic!$J:$J,MATCH(CONCATENATE(S$10,"_","Base","_","Legacy_",$I$5,"_",E38,"_",S$13,"_n.a."),OpenLCAbasic!$M:$M,0)),
IF(AND(S$9="Legacy",ISERROR(MATCH(E38,LookUps!$H$5:$H$20,0))),"--",
IF(S$9="Legacy",SUMIFS(OpenLCAbasic!$J:$J,OpenLCAbasic!$E:$E,"Base",OpenLCAbasic!$D:$D,"Base",OpenLCAbasic!$F:$F,S$9,OpenLCAbasic!$L:$L,$I$5,OpenLCAbasic!$I:$I,E38,OpenLCAbasic!$C:$C,S$13),
IF(AND(S$9="Upgraded", OR(S$11="Low", S$11="High"), OR(E38=E$37, E38=E$36)),
INDEX(OpenLCAbasic!$J:$J, MATCH(CONCATENATE(S$11, "_", S$10, "_", "Upgraded_",$I$5,"_",E38, "_", S$12, "_", S$14), OpenLCAbasic!$M:$M,0)),
IF(AND(ISERROR(MATCH(E38, LookUps!$G$5:$G$21,0)), S$9="Upgraded"),
SUMIFS(OpenLCAbasic!$J:$J,OpenLCAbasic!$E:$E, S$11, OpenLCAbasic!$D:$D, S$10, OpenLCAbasic!$F:$F,S$9,OpenLCAbasic!$L:$L,$I$5,OpenLCAbasic!$I:$I,INDEX(LookUps!$G$5:$G$21,MATCH(E38, LookUps!$J$5:$J$21,0)), OpenLCAbasic!$B:$B, S$14, OpenLCAbasic!$C:$C, S$12),
SUMIFS(OpenLCAbasic!$J:$J,OpenLCAbasic!$E:$E, S$11, OpenLCAbasic!$D:$D, S$10, OpenLCAbasic!$F:$F,S$9,OpenLCAbasic!$L:$L,$I$5,OpenLCAbasic!$I:$I,E38, OpenLCAbasic!$B:$B, S$14, OpenLCAbasic!$C:$C, S$12)
)))))</f>
        <v>0</v>
      </c>
      <c r="T38" s="304">
        <f>IF(AND(T$9="Legacy",F38=F$38,OR(T$11="Low",T$11="High")),
INDEX(OpenLCAbasic!$J:$J,MATCH(CONCATENATE(T$10,"_","Base","_","Legacy_",$I$5,"_",F38,"_",T$13,"_n.a."),OpenLCAbasic!$M:$M,0)),
IF(AND(T$9="Legacy",ISERROR(MATCH(F38,LookUps!$H$5:$H$20,0))),"--",
IF(T$9="Legacy",SUMIFS(OpenLCAbasic!$J:$J,OpenLCAbasic!$E:$E,"Base",OpenLCAbasic!$D:$D,"Base",OpenLCAbasic!$F:$F,T$9,OpenLCAbasic!$L:$L,$I$5,OpenLCAbasic!$I:$I,F38,OpenLCAbasic!$C:$C,T$13),
IF(AND(T$9="Upgraded", OR(T$11="Low", T$11="High"), OR(F38=F$37, F38=F$36)),
INDEX(OpenLCAbasic!$J:$J, MATCH(CONCATENATE(T$11, "_", T$10, "_", "Upgraded_",$I$5,"_",F38, "_", T$12, "_", T$14), OpenLCAbasic!$M:$M,0)),
IF(AND(ISERROR(MATCH(F38, LookUps!$G$5:$G$21,0)), T$9="Upgraded"),
SUMIFS(OpenLCAbasic!$J:$J,OpenLCAbasic!$E:$E, T$11, OpenLCAbasic!$D:$D, T$10, OpenLCAbasic!$F:$F,T$9,OpenLCAbasic!$L:$L,$I$5,OpenLCAbasic!$I:$I,INDEX(LookUps!$G$5:$G$21,MATCH(F38, LookUps!$J$5:$J$21,0)), OpenLCAbasic!$B:$B, T$14, OpenLCAbasic!$C:$C, T$12),
SUMIFS(OpenLCAbasic!$J:$J,OpenLCAbasic!$E:$E, T$11, OpenLCAbasic!$D:$D, T$10, OpenLCAbasic!$F:$F,T$9,OpenLCAbasic!$L:$L,$I$5,OpenLCAbasic!$I:$I,F38, OpenLCAbasic!$B:$B, T$14, OpenLCAbasic!$C:$C, T$12)
)))))</f>
        <v>0</v>
      </c>
      <c r="U38" s="304">
        <f>IF(AND(U$9="Legacy",G38=G$38,OR(U$11="Low",U$11="High")),
INDEX(OpenLCAbasic!$J:$J,MATCH(CONCATENATE(U$10,"_","Base","_","Legacy_",$I$5,"_",G38,"_",U$13,"_n.a."),OpenLCAbasic!$M:$M,0)),
IF(AND(U$9="Legacy",ISERROR(MATCH(G38,LookUps!$H$5:$H$20,0))),"--",
IF(U$9="Legacy",SUMIFS(OpenLCAbasic!$J:$J,OpenLCAbasic!$E:$E,"Base",OpenLCAbasic!$D:$D,"Base",OpenLCAbasic!$F:$F,U$9,OpenLCAbasic!$L:$L,$I$5,OpenLCAbasic!$I:$I,G38,OpenLCAbasic!$C:$C,U$13),
IF(AND(U$9="Upgraded", OR(U$11="Low", U$11="High"), OR(G38=G$37, G38=G$36)),
INDEX(OpenLCAbasic!$J:$J, MATCH(CONCATENATE(U$11, "_", U$10, "_", "Upgraded_",$I$5,"_",G38, "_", U$12, "_", U$14), OpenLCAbasic!$M:$M,0)),
IF(AND(ISERROR(MATCH(G38, LookUps!$G$5:$G$21,0)), U$9="Upgraded"),
SUMIFS(OpenLCAbasic!$J:$J,OpenLCAbasic!$E:$E, U$11, OpenLCAbasic!$D:$D, U$10, OpenLCAbasic!$F:$F,U$9,OpenLCAbasic!$L:$L,$I$5,OpenLCAbasic!$I:$I,INDEX(LookUps!$G$5:$G$21,MATCH(G38, LookUps!$J$5:$J$21,0)), OpenLCAbasic!$B:$B, U$14, OpenLCAbasic!$C:$C, U$12),
SUMIFS(OpenLCAbasic!$J:$J,OpenLCAbasic!$E:$E, U$11, OpenLCAbasic!$D:$D, U$10, OpenLCAbasic!$F:$F,U$9,OpenLCAbasic!$L:$L,$I$5,OpenLCAbasic!$I:$I,G38, OpenLCAbasic!$B:$B, U$14, OpenLCAbasic!$C:$C, U$12)
)))))</f>
        <v>0</v>
      </c>
      <c r="V38" s="302"/>
      <c r="W38" s="303">
        <f>IF(AND(W$9="Legacy",B38=B$38,OR(W$11="Low",W$11="High")),
INDEX(OpenLCAbasic!$J:$J,MATCH(CONCATENATE(W$10,"_","Base","_","Legacy_",$I$6,"_",B38,"_",W$13,"_n.a."),OpenLCAbasic!$M:$M,0)),
IF(AND(W$9="Legacy",ISERROR(MATCH(B38,LookUps!$H$5:$H$20,0))),"--",
IF(W$9="Legacy",SUMIFS(OpenLCAbasic!$J:$J,OpenLCAbasic!$E:$E,"Base",OpenLCAbasic!$D:$D,"Base",OpenLCAbasic!$F:$F,W$9,OpenLCAbasic!$L:$L,$I$6,OpenLCAbasic!$I:$I,B38,OpenLCAbasic!$C:$C,W$13),
IF(AND(W$9="Upgraded", OR(W$11="Low", W$11="High"), OR(B38=B$37, B38=B$36)),
INDEX(OpenLCAbasic!$J:$J, MATCH(CONCATENATE(W$11, "_", W$10, "_", "Upgraded_",$I$6,"_",B38, "_", W$12, "_", W$14), OpenLCAbasic!$M:$M,0)),
IF(AND(ISERROR(MATCH(B38, LookUps!$G$5:$G$21,0)), W$9="Upgraded"),
SUMIFS(OpenLCAbasic!$J:$J,OpenLCAbasic!$E:$E, W$11, OpenLCAbasic!$D:$D, W$10, OpenLCAbasic!$F:$F,W$9,OpenLCAbasic!$L:$L,$I$6,OpenLCAbasic!$I:$I,INDEX(LookUps!$G$5:$G$21,MATCH(B38, LookUps!$J$5:$J$21,0)), OpenLCAbasic!$B:$B, W$14, OpenLCAbasic!$C:$C, W$12),
SUMIFS(OpenLCAbasic!$J:$J,OpenLCAbasic!$E:$E, W$11, OpenLCAbasic!$D:$D, W$10, OpenLCAbasic!$F:$F,W$9,OpenLCAbasic!$L:$L,$I$6,OpenLCAbasic!$I:$I,B38, OpenLCAbasic!$B:$B, W$14, OpenLCAbasic!$C:$C, W$12)
)))))</f>
        <v>-3.66733E-5</v>
      </c>
      <c r="X38" s="304">
        <f>IF(AND(X$9="Legacy",C38=C$38,OR(X$11="Low",X$11="High")),
INDEX(OpenLCAbasic!$J:$J,MATCH(CONCATENATE(X$10,"_","Base","_","Legacy_",$I$6,"_",C38,"_",X$13,"_n.a."),OpenLCAbasic!$M:$M,0)),
IF(AND(X$9="Legacy",ISERROR(MATCH(C38,LookUps!$H$5:$H$20,0))),"--",
IF(X$9="Legacy",SUMIFS(OpenLCAbasic!$J:$J,OpenLCAbasic!$E:$E,"Base",OpenLCAbasic!$D:$D,"Base",OpenLCAbasic!$F:$F,X$9,OpenLCAbasic!$L:$L,$I$6,OpenLCAbasic!$I:$I,C38,OpenLCAbasic!$C:$C,X$13),
IF(AND(X$9="Upgraded", OR(X$11="Low", X$11="High"), OR(C38=C$37, C38=C$36)),
INDEX(OpenLCAbasic!$J:$J, MATCH(CONCATENATE(X$11, "_", X$10, "_", "Upgraded_",$I$6,"_",C38, "_", X$12, "_", X$14), OpenLCAbasic!$M:$M,0)),
IF(AND(ISERROR(MATCH(C38, LookUps!$G$5:$G$21,0)), X$9="Upgraded"),
SUMIFS(OpenLCAbasic!$J:$J,OpenLCAbasic!$E:$E, X$11, OpenLCAbasic!$D:$D, X$10, OpenLCAbasic!$F:$F,X$9,OpenLCAbasic!$L:$L,$I$6,OpenLCAbasic!$I:$I,INDEX(LookUps!$G$5:$G$21,MATCH(C38, LookUps!$J$5:$J$21,0)), OpenLCAbasic!$B:$B, X$14, OpenLCAbasic!$C:$C, X$12),
SUMIFS(OpenLCAbasic!$J:$J,OpenLCAbasic!$E:$E, X$11, OpenLCAbasic!$D:$D, X$10, OpenLCAbasic!$F:$F,X$9,OpenLCAbasic!$L:$L,$I$6,OpenLCAbasic!$I:$I,C38, OpenLCAbasic!$B:$B, X$14, OpenLCAbasic!$C:$C, X$12)
)))))</f>
        <v>0</v>
      </c>
      <c r="Y38" s="304">
        <f>IF(AND(Y$9="Legacy",D38=D$38,OR(Y$11="Low",Y$11="High")),
INDEX(OpenLCAbasic!$J:$J,MATCH(CONCATENATE(Y$10,"_","Base","_","Legacy_",$I$6,"_",D38,"_",Y$13,"_n.a."),OpenLCAbasic!$M:$M,0)),
IF(AND(Y$9="Legacy",ISERROR(MATCH(D38,LookUps!$H$5:$H$20,0))),"--",
IF(Y$9="Legacy",SUMIFS(OpenLCAbasic!$J:$J,OpenLCAbasic!$E:$E,"Base",OpenLCAbasic!$D:$D,"Base",OpenLCAbasic!$F:$F,Y$9,OpenLCAbasic!$L:$L,$I$6,OpenLCAbasic!$I:$I,D38,OpenLCAbasic!$C:$C,Y$13),
IF(AND(Y$9="Upgraded", OR(Y$11="Low", Y$11="High"), OR(D38=D$37, D38=D$36)),
INDEX(OpenLCAbasic!$J:$J, MATCH(CONCATENATE(Y$11, "_", Y$10, "_", "Upgraded_",$I$6,"_",D38, "_", Y$12, "_", Y$14), OpenLCAbasic!$M:$M,0)),
IF(AND(ISERROR(MATCH(D38, LookUps!$G$5:$G$21,0)), Y$9="Upgraded"),
SUMIFS(OpenLCAbasic!$J:$J,OpenLCAbasic!$E:$E, Y$11, OpenLCAbasic!$D:$D, Y$10, OpenLCAbasic!$F:$F,Y$9,OpenLCAbasic!$L:$L,$I$6,OpenLCAbasic!$I:$I,INDEX(LookUps!$G$5:$G$21,MATCH(D38, LookUps!$J$5:$J$21,0)), OpenLCAbasic!$B:$B, Y$14, OpenLCAbasic!$C:$C, Y$12),
SUMIFS(OpenLCAbasic!$J:$J,OpenLCAbasic!$E:$E, Y$11, OpenLCAbasic!$D:$D, Y$10, OpenLCAbasic!$F:$F,Y$9,OpenLCAbasic!$L:$L,$I$6,OpenLCAbasic!$I:$I,D38, OpenLCAbasic!$B:$B, Y$14, OpenLCAbasic!$C:$C, Y$12)
)))))</f>
        <v>0</v>
      </c>
      <c r="Z38" s="304">
        <f>IF(AND(Z$9="Legacy",E38=E$38,OR(Z$11="Low",Z$11="High")),
INDEX(OpenLCAbasic!$J:$J,MATCH(CONCATENATE(Z$10,"_","Base","_","Legacy_",$I$6,"_",E38,"_",Z$13,"_n.a."),OpenLCAbasic!$M:$M,0)),
IF(AND(Z$9="Legacy",ISERROR(MATCH(E38,LookUps!$H$5:$H$20,0))),"--",
IF(Z$9="Legacy",SUMIFS(OpenLCAbasic!$J:$J,OpenLCAbasic!$E:$E,"Base",OpenLCAbasic!$D:$D,"Base",OpenLCAbasic!$F:$F,Z$9,OpenLCAbasic!$L:$L,$I$6,OpenLCAbasic!$I:$I,E38,OpenLCAbasic!$C:$C,Z$13),
IF(AND(Z$9="Upgraded", OR(Z$11="Low", Z$11="High"), OR(E38=E$37, E38=E$36)),
INDEX(OpenLCAbasic!$J:$J, MATCH(CONCATENATE(Z$11, "_", Z$10, "_", "Upgraded_",$I$6,"_",E38, "_", Z$12, "_", Z$14), OpenLCAbasic!$M:$M,0)),
IF(AND(ISERROR(MATCH(E38, LookUps!$G$5:$G$21,0)), Z$9="Upgraded"),
SUMIFS(OpenLCAbasic!$J:$J,OpenLCAbasic!$E:$E, Z$11, OpenLCAbasic!$D:$D, Z$10, OpenLCAbasic!$F:$F,Z$9,OpenLCAbasic!$L:$L,$I$6,OpenLCAbasic!$I:$I,INDEX(LookUps!$G$5:$G$21,MATCH(E38, LookUps!$J$5:$J$21,0)), OpenLCAbasic!$B:$B, Z$14, OpenLCAbasic!$C:$C, Z$12),
SUMIFS(OpenLCAbasic!$J:$J,OpenLCAbasic!$E:$E, Z$11, OpenLCAbasic!$D:$D, Z$10, OpenLCAbasic!$F:$F,Z$9,OpenLCAbasic!$L:$L,$I$6,OpenLCAbasic!$I:$I,E38, OpenLCAbasic!$B:$B, Z$14, OpenLCAbasic!$C:$C, Z$12)
)))))</f>
        <v>0</v>
      </c>
      <c r="AA38" s="304">
        <f>IF(AND(AA$9="Legacy",F38=F$38,OR(AA$11="Low",AA$11="High")),
INDEX(OpenLCAbasic!$J:$J,MATCH(CONCATENATE(AA$10,"_","Base","_","Legacy_",$I$6,"_",F38,"_",AA$13,"_n.a."),OpenLCAbasic!$M:$M,0)),
IF(AND(AA$9="Legacy",ISERROR(MATCH(F38,LookUps!$H$5:$H$20,0))),"--",
IF(AA$9="Legacy",SUMIFS(OpenLCAbasic!$J:$J,OpenLCAbasic!$E:$E,"Base",OpenLCAbasic!$D:$D,"Base",OpenLCAbasic!$F:$F,AA$9,OpenLCAbasic!$L:$L,$I$6,OpenLCAbasic!$I:$I,F38,OpenLCAbasic!$C:$C,AA$13),
IF(AND(AA$9="Upgraded", OR(AA$11="Low", AA$11="High"), OR(F38=F$37, F38=F$36)),
INDEX(OpenLCAbasic!$J:$J, MATCH(CONCATENATE(AA$11, "_", AA$10, "_", "Upgraded_",$I$6,"_",F38, "_", AA$12, "_", AA$14), OpenLCAbasic!$M:$M,0)),
IF(AND(ISERROR(MATCH(F38, LookUps!$G$5:$G$21,0)), AA$9="Upgraded"),
SUMIFS(OpenLCAbasic!$J:$J,OpenLCAbasic!$E:$E, AA$11, OpenLCAbasic!$D:$D, AA$10, OpenLCAbasic!$F:$F,AA$9,OpenLCAbasic!$L:$L,$I$6,OpenLCAbasic!$I:$I,INDEX(LookUps!$G$5:$G$21,MATCH(F38, LookUps!$J$5:$J$21,0)), OpenLCAbasic!$B:$B, AA$14, OpenLCAbasic!$C:$C, AA$12),
SUMIFS(OpenLCAbasic!$J:$J,OpenLCAbasic!$E:$E, AA$11, OpenLCAbasic!$D:$D, AA$10, OpenLCAbasic!$F:$F,AA$9,OpenLCAbasic!$L:$L,$I$6,OpenLCAbasic!$I:$I,F38, OpenLCAbasic!$B:$B, AA$14, OpenLCAbasic!$C:$C, AA$12)
)))))</f>
        <v>0</v>
      </c>
      <c r="AB38" s="304">
        <f>IF(AND(AB$9="Legacy",G38=G$38,OR(AB$11="Low",AB$11="High")),
INDEX(OpenLCAbasic!$J:$J,MATCH(CONCATENATE(AB$10,"_","Base","_","Legacy_",$I$6,"_",G38,"_",AB$13,"_n.a."),OpenLCAbasic!$M:$M,0)),
IF(AND(AB$9="Legacy",ISERROR(MATCH(G38,LookUps!$H$5:$H$20,0))),"--",
IF(AB$9="Legacy",SUMIFS(OpenLCAbasic!$J:$J,OpenLCAbasic!$E:$E,"Base",OpenLCAbasic!$D:$D,"Base",OpenLCAbasic!$F:$F,AB$9,OpenLCAbasic!$L:$L,$I$6,OpenLCAbasic!$I:$I,G38,OpenLCAbasic!$C:$C,AB$13),
IF(AND(AB$9="Upgraded", OR(AB$11="Low", AB$11="High"), OR(G38=G$37, G38=G$36)),
INDEX(OpenLCAbasic!$J:$J, MATCH(CONCATENATE(AB$11, "_", AB$10, "_", "Upgraded_",$I$6,"_",G38, "_", AB$12, "_", AB$14), OpenLCAbasic!$M:$M,0)),
IF(AND(ISERROR(MATCH(G38, LookUps!$G$5:$G$21,0)), AB$9="Upgraded"),
SUMIFS(OpenLCAbasic!$J:$J,OpenLCAbasic!$E:$E, AB$11, OpenLCAbasic!$D:$D, AB$10, OpenLCAbasic!$F:$F,AB$9,OpenLCAbasic!$L:$L,$I$6,OpenLCAbasic!$I:$I,INDEX(LookUps!$G$5:$G$21,MATCH(G38, LookUps!$J$5:$J$21,0)), OpenLCAbasic!$B:$B, AB$14, OpenLCAbasic!$C:$C, AB$12),
SUMIFS(OpenLCAbasic!$J:$J,OpenLCAbasic!$E:$E, AB$11, OpenLCAbasic!$D:$D, AB$10, OpenLCAbasic!$F:$F,AB$9,OpenLCAbasic!$L:$L,$I$6,OpenLCAbasic!$I:$I,G38, OpenLCAbasic!$B:$B, AB$14, OpenLCAbasic!$C:$C, AB$12)
)))))</f>
        <v>0</v>
      </c>
    </row>
    <row r="39" spans="2:28" x14ac:dyDescent="0.25">
      <c r="B39" s="99" t="str">
        <f t="shared" si="15"/>
        <v>Effluent release; wastewater treatment unit; at surface water; m3 wastewater - US</v>
      </c>
      <c r="C39" s="99" t="str">
        <f t="shared" si="15"/>
        <v>Effluent release; wastewater treatment unit; at surface water; m3 wastewater - US</v>
      </c>
      <c r="D39" s="99" t="str">
        <f t="shared" si="15"/>
        <v>Effluent release; wastewater treatment unit; at surface water; m3 wastewater - US</v>
      </c>
      <c r="E39" s="99" t="str">
        <f t="shared" si="15"/>
        <v>Effluent release; wastewater treatment unit; at surface water; m3 wastewater - US</v>
      </c>
      <c r="F39" s="99" t="str">
        <f t="shared" si="15"/>
        <v>Effluent release; wastewater treatment unit; at surface water; m3 wastewater - US</v>
      </c>
      <c r="G39" s="99" t="str">
        <f t="shared" si="15"/>
        <v>Effluent release; wastewater treatment unit; at surface water; m3 wastewater - US</v>
      </c>
      <c r="H39" s="266" t="str">
        <f>LookUps!$G$20</f>
        <v>Effluent release; wastewater treatment unit; at surface water; m3 wastewater - US</v>
      </c>
      <c r="I39" s="303">
        <f>IF(AND(I$9="Legacy",B39=B$38,OR(I$11="Low",I$11="High")),
INDEX(OpenLCAbasic!$J:$J,MATCH(CONCATENATE(I$10,"_","Base","_","Legacy_",$I$4,"_",B39,"_",I$13,"_n.a."),OpenLCAbasic!$M:$M,0)),
IF(AND(I$9="Legacy",ISERROR(MATCH(B39,LookUps!$H$5:$H$20,0))),"--",
IF(I$9="Legacy",SUMIFS(OpenLCAbasic!$J:$J,OpenLCAbasic!$E:$E,"Base",OpenLCAbasic!$D:$D,"Base",OpenLCAbasic!$F:$F,I$9,OpenLCAbasic!$L:$L,$I$4,OpenLCAbasic!$I:$I,B39,OpenLCAbasic!$C:$C,I$13),
IF(AND(I$9="Upgraded", OR(I$11="Low", I$11="High"), OR(B39=B$37, B39=B$36)),
INDEX(OpenLCAbasic!$J:$J, MATCH(CONCATENATE(I$11, "_", I$10, "_", "Upgraded_",$I$4,"_",B39, "_", I$12, "_", I$14), OpenLCAbasic!$M:$M,0)),
IF(AND(ISERROR(MATCH(B39, LookUps!$G$5:$G$21,0)), I$9="Upgraded"),
SUMIFS(OpenLCAbasic!$J:$J,OpenLCAbasic!$E:$E, I$11, OpenLCAbasic!$D:$D, I$10, OpenLCAbasic!$F:$F,I$9,OpenLCAbasic!$L:$L,$I$4,OpenLCAbasic!$I:$I,INDEX(LookUps!$G$5:$G$21,MATCH(B39, LookUps!$J$5:$J$21,0)), OpenLCAbasic!$B:$B, I$14, OpenLCAbasic!$C:$C, I$12),
SUMIFS(OpenLCAbasic!$J:$J,OpenLCAbasic!$E:$E, I$11, OpenLCAbasic!$D:$D, I$10, OpenLCAbasic!$F:$F,I$9,OpenLCAbasic!$L:$L,$I$4,OpenLCAbasic!$I:$I,B39, OpenLCAbasic!$B:$B, I$14, OpenLCAbasic!$C:$C, I$12)
)))))</f>
        <v>3.47E-3</v>
      </c>
      <c r="J39" s="301">
        <f>IF(AND(J$9="Legacy",C39=C$38,OR(J$11="Low",J$11="High")),
INDEX(OpenLCAbasic!$J:$J,MATCH(CONCATENATE(J$10,"_","Base","_","Legacy_",$I$4,"_",C39,"_",J$13,"_n.a."),OpenLCAbasic!$M:$M,0)),
IF(AND(J$9="Legacy",ISERROR(MATCH(C39,LookUps!$H$5:$H$20,0))),"--",
IF(J$9="Legacy",SUMIFS(OpenLCAbasic!$J:$J,OpenLCAbasic!$E:$E,"Base",OpenLCAbasic!$D:$D,"Base",OpenLCAbasic!$F:$F,J$9,OpenLCAbasic!$L:$L,$I$4,OpenLCAbasic!$I:$I,C39,OpenLCAbasic!$C:$C,J$13),
IF(AND(J$9="Upgraded", OR(J$11="Low", J$11="High"), OR(C39=C$37, C39=C$36)),
INDEX(OpenLCAbasic!$J:$J, MATCH(CONCATENATE(J$11, "_", J$10, "_", "Upgraded_",$I$4,"_",C39, "_", J$12, "_", J$14), OpenLCAbasic!$M:$M,0)),
IF(AND(ISERROR(MATCH(C39, LookUps!$G$5:$G$21,0)), J$9="Upgraded"),
SUMIFS(OpenLCAbasic!$J:$J,OpenLCAbasic!$E:$E, J$11, OpenLCAbasic!$D:$D, J$10, OpenLCAbasic!$F:$F,J$9,OpenLCAbasic!$L:$L,$I$4,OpenLCAbasic!$I:$I,INDEX(LookUps!$G$5:$G$21,MATCH(C39, LookUps!$J$5:$J$21,0)), OpenLCAbasic!$B:$B, J$14, OpenLCAbasic!$C:$C, J$12),
SUMIFS(OpenLCAbasic!$J:$J,OpenLCAbasic!$E:$E, J$11, OpenLCAbasic!$D:$D, J$10, OpenLCAbasic!$F:$F,J$9,OpenLCAbasic!$L:$L,$I$4,OpenLCAbasic!$I:$I,C39, OpenLCAbasic!$B:$B, J$14, OpenLCAbasic!$C:$C, J$12)
)))))</f>
        <v>0.13321</v>
      </c>
      <c r="K39" s="301">
        <f>IF(AND(K$9="Legacy",D39=D$38,OR(K$11="Low",K$11="High")),
INDEX(OpenLCAbasic!$J:$J,MATCH(CONCATENATE(K$10,"_","Base","_","Legacy_",$I$4,"_",D39,"_",K$13,"_n.a."),OpenLCAbasic!$M:$M,0)),
IF(AND(K$9="Legacy",ISERROR(MATCH(D39,LookUps!$H$5:$H$20,0))),"--",
IF(K$9="Legacy",SUMIFS(OpenLCAbasic!$J:$J,OpenLCAbasic!$E:$E,"Base",OpenLCAbasic!$D:$D,"Base",OpenLCAbasic!$F:$F,K$9,OpenLCAbasic!$L:$L,$I$4,OpenLCAbasic!$I:$I,D39,OpenLCAbasic!$C:$C,K$13),
IF(AND(K$9="Upgraded", OR(K$11="Low", K$11="High"), OR(D39=D$37, D39=D$36)),
INDEX(OpenLCAbasic!$J:$J, MATCH(CONCATENATE(K$11, "_", K$10, "_", "Upgraded_",$I$4,"_",D39, "_", K$12, "_", K$14), OpenLCAbasic!$M:$M,0)),
IF(AND(ISERROR(MATCH(D39, LookUps!$G$5:$G$21,0)), K$9="Upgraded"),
SUMIFS(OpenLCAbasic!$J:$J,OpenLCAbasic!$E:$E, K$11, OpenLCAbasic!$D:$D, K$10, OpenLCAbasic!$F:$F,K$9,OpenLCAbasic!$L:$L,$I$4,OpenLCAbasic!$I:$I,INDEX(LookUps!$G$5:$G$21,MATCH(D39, LookUps!$J$5:$J$21,0)), OpenLCAbasic!$B:$B, K$14, OpenLCAbasic!$C:$C, K$12),
SUMIFS(OpenLCAbasic!$J:$J,OpenLCAbasic!$E:$E, K$11, OpenLCAbasic!$D:$D, K$10, OpenLCAbasic!$F:$F,K$9,OpenLCAbasic!$L:$L,$I$4,OpenLCAbasic!$I:$I,D39, OpenLCAbasic!$B:$B, K$14, OpenLCAbasic!$C:$C, K$12)
)))))</f>
        <v>0.13321</v>
      </c>
      <c r="L39" s="301">
        <f>IF(AND(L$9="Legacy",E39=E$38,OR(L$11="Low",L$11="High")),
INDEX(OpenLCAbasic!$J:$J,MATCH(CONCATENATE(L$10,"_","Base","_","Legacy_",$I$4,"_",E39,"_",L$13,"_n.a."),OpenLCAbasic!$M:$M,0)),
IF(AND(L$9="Legacy",ISERROR(MATCH(E39,LookUps!$H$5:$H$20,0))),"--",
IF(L$9="Legacy",SUMIFS(OpenLCAbasic!$J:$J,OpenLCAbasic!$E:$E,"Base",OpenLCAbasic!$D:$D,"Base",OpenLCAbasic!$F:$F,L$9,OpenLCAbasic!$L:$L,$I$4,OpenLCAbasic!$I:$I,E39,OpenLCAbasic!$C:$C,L$13),
IF(AND(L$9="Upgraded", OR(L$11="Low", L$11="High"), OR(E39=E$37, E39=E$36)),
INDEX(OpenLCAbasic!$J:$J, MATCH(CONCATENATE(L$11, "_", L$10, "_", "Upgraded_",$I$4,"_",E39, "_", L$12, "_", L$14), OpenLCAbasic!$M:$M,0)),
IF(AND(ISERROR(MATCH(E39, LookUps!$G$5:$G$21,0)), L$9="Upgraded"),
SUMIFS(OpenLCAbasic!$J:$J,OpenLCAbasic!$E:$E, L$11, OpenLCAbasic!$D:$D, L$10, OpenLCAbasic!$F:$F,L$9,OpenLCAbasic!$L:$L,$I$4,OpenLCAbasic!$I:$I,INDEX(LookUps!$G$5:$G$21,MATCH(E39, LookUps!$J$5:$J$21,0)), OpenLCAbasic!$B:$B, L$14, OpenLCAbasic!$C:$C, L$12),
SUMIFS(OpenLCAbasic!$J:$J,OpenLCAbasic!$E:$E, L$11, OpenLCAbasic!$D:$D, L$10, OpenLCAbasic!$F:$F,L$9,OpenLCAbasic!$L:$L,$I$4,OpenLCAbasic!$I:$I,E39, OpenLCAbasic!$B:$B, L$14, OpenLCAbasic!$C:$C, L$12)
)))))</f>
        <v>0.13321</v>
      </c>
      <c r="M39" s="301">
        <f>IF(AND(M$9="Legacy",F39=F$38,OR(M$11="Low",M$11="High")),
INDEX(OpenLCAbasic!$J:$J,MATCH(CONCATENATE(M$10,"_","Base","_","Legacy_",$I$4,"_",F39,"_",M$13,"_n.a."),OpenLCAbasic!$M:$M,0)),
IF(AND(M$9="Legacy",ISERROR(MATCH(F39,LookUps!$H$5:$H$20,0))),"--",
IF(M$9="Legacy",SUMIFS(OpenLCAbasic!$J:$J,OpenLCAbasic!$E:$E,"Base",OpenLCAbasic!$D:$D,"Base",OpenLCAbasic!$F:$F,M$9,OpenLCAbasic!$L:$L,$I$4,OpenLCAbasic!$I:$I,F39,OpenLCAbasic!$C:$C,M$13),
IF(AND(M$9="Upgraded", OR(M$11="Low", M$11="High"), OR(F39=F$37, F39=F$36)),
INDEX(OpenLCAbasic!$J:$J, MATCH(CONCATENATE(M$11, "_", M$10, "_", "Upgraded_",$I$4,"_",F39, "_", M$12, "_", M$14), OpenLCAbasic!$M:$M,0)),
IF(AND(ISERROR(MATCH(F39, LookUps!$G$5:$G$21,0)), M$9="Upgraded"),
SUMIFS(OpenLCAbasic!$J:$J,OpenLCAbasic!$E:$E, M$11, OpenLCAbasic!$D:$D, M$10, OpenLCAbasic!$F:$F,M$9,OpenLCAbasic!$L:$L,$I$4,OpenLCAbasic!$I:$I,INDEX(LookUps!$G$5:$G$21,MATCH(F39, LookUps!$J$5:$J$21,0)), OpenLCAbasic!$B:$B, M$14, OpenLCAbasic!$C:$C, M$12),
SUMIFS(OpenLCAbasic!$J:$J,OpenLCAbasic!$E:$E, M$11, OpenLCAbasic!$D:$D, M$10, OpenLCAbasic!$F:$F,M$9,OpenLCAbasic!$L:$L,$I$4,OpenLCAbasic!$I:$I,F39, OpenLCAbasic!$B:$B, M$14, OpenLCAbasic!$C:$C, M$12)
)))))</f>
        <v>0.13321</v>
      </c>
      <c r="N39" s="301">
        <f>IF(AND(N$9="Legacy",G39=G$38,OR(N$11="Low",N$11="High")),
INDEX(OpenLCAbasic!$J:$J,MATCH(CONCATENATE(N$10,"_","Base","_","Legacy_",$I$4,"_",G39,"_",N$13,"_n.a."),OpenLCAbasic!$M:$M,0)),
IF(AND(N$9="Legacy",ISERROR(MATCH(G39,LookUps!$H$5:$H$20,0))),"--",
IF(N$9="Legacy",SUMIFS(OpenLCAbasic!$J:$J,OpenLCAbasic!$E:$E,"Base",OpenLCAbasic!$D:$D,"Base",OpenLCAbasic!$F:$F,N$9,OpenLCAbasic!$L:$L,$I$4,OpenLCAbasic!$I:$I,G39,OpenLCAbasic!$C:$C,N$13),
IF(AND(N$9="Upgraded", OR(N$11="Low", N$11="High"), OR(G39=G$37, G39=G$36)),
INDEX(OpenLCAbasic!$J:$J, MATCH(CONCATENATE(N$11, "_", N$10, "_", "Upgraded_",$I$4,"_",G39, "_", N$12, "_", N$14), OpenLCAbasic!$M:$M,0)),
IF(AND(ISERROR(MATCH(G39, LookUps!$G$5:$G$21,0)), N$9="Upgraded"),
SUMIFS(OpenLCAbasic!$J:$J,OpenLCAbasic!$E:$E, N$11, OpenLCAbasic!$D:$D, N$10, OpenLCAbasic!$F:$F,N$9,OpenLCAbasic!$L:$L,$I$4,OpenLCAbasic!$I:$I,INDEX(LookUps!$G$5:$G$21,MATCH(G39, LookUps!$J$5:$J$21,0)), OpenLCAbasic!$B:$B, N$14, OpenLCAbasic!$C:$C, N$12),
SUMIFS(OpenLCAbasic!$J:$J,OpenLCAbasic!$E:$E, N$11, OpenLCAbasic!$D:$D, N$10, OpenLCAbasic!$F:$F,N$9,OpenLCAbasic!$L:$L,$I$4,OpenLCAbasic!$I:$I,G39, OpenLCAbasic!$B:$B, N$14, OpenLCAbasic!$C:$C, N$12)
)))))</f>
        <v>0.13321</v>
      </c>
      <c r="O39" s="302"/>
      <c r="P39" s="301">
        <f>IF(AND(P$9="Legacy",B39=B$38,OR(P$11="Low",P$11="High")),
INDEX(OpenLCAbasic!$J:$J,MATCH(CONCATENATE(P$10,"_","Base","_","Legacy_",$I$5,"_",B39,"_",P$13,"_n.a."),OpenLCAbasic!$M:$M,0)),
IF(AND(P$9="Legacy",ISERROR(MATCH(B39,LookUps!$H$5:$H$20,0))),"--",
IF(P$9="Legacy",SUMIFS(OpenLCAbasic!$J:$J,OpenLCAbasic!$E:$E,"Base",OpenLCAbasic!$D:$D,"Base",OpenLCAbasic!$F:$F,P$9,OpenLCAbasic!$L:$L,$I$5,OpenLCAbasic!$I:$I,B39,OpenLCAbasic!$C:$C,P$13),
IF(AND(P$9="Upgraded", OR(P$11="Low", P$11="High"), OR(B39=B$37, B39=B$36)),
INDEX(OpenLCAbasic!$J:$J, MATCH(CONCATENATE(P$11, "_", P$10, "_", "Upgraded_",$I$5,"_",B39, "_", P$12, "_", P$14), OpenLCAbasic!$M:$M,0)),
IF(AND(ISERROR(MATCH(B39, LookUps!$G$5:$G$21,0)), P$9="Upgraded"),
SUMIFS(OpenLCAbasic!$J:$J,OpenLCAbasic!$E:$E, P$11, OpenLCAbasic!$D:$D, P$10, OpenLCAbasic!$F:$F,P$9,OpenLCAbasic!$L:$L,$I$5,OpenLCAbasic!$I:$I,INDEX(LookUps!$G$5:$G$21,MATCH(B39, LookUps!$J$5:$J$21,0)), OpenLCAbasic!$B:$B, P$14, OpenLCAbasic!$C:$C, P$12),
SUMIFS(OpenLCAbasic!$J:$J,OpenLCAbasic!$E:$E, P$11, OpenLCAbasic!$D:$D, P$10, OpenLCAbasic!$F:$F,P$9,OpenLCAbasic!$L:$L,$I$5,OpenLCAbasic!$I:$I,B39, OpenLCAbasic!$B:$B, P$14, OpenLCAbasic!$C:$C, P$12)
)))))</f>
        <v>7.4099999999999999E-2</v>
      </c>
      <c r="Q39" s="301">
        <f>IF(AND(Q$9="Legacy",C39=C$38,OR(Q$11="Low",Q$11="High")),
INDEX(OpenLCAbasic!$J:$J,MATCH(CONCATENATE(Q$10,"_","Base","_","Legacy_",$I$5,"_",C39,"_",Q$13,"_n.a."),OpenLCAbasic!$M:$M,0)),
IF(AND(Q$9="Legacy",ISERROR(MATCH(C39,LookUps!$H$5:$H$20,0))),"--",
IF(Q$9="Legacy",SUMIFS(OpenLCAbasic!$J:$J,OpenLCAbasic!$E:$E,"Base",OpenLCAbasic!$D:$D,"Base",OpenLCAbasic!$F:$F,Q$9,OpenLCAbasic!$L:$L,$I$5,OpenLCAbasic!$I:$I,C39,OpenLCAbasic!$C:$C,Q$13),
IF(AND(Q$9="Upgraded", OR(Q$11="Low", Q$11="High"), OR(C39=C$37, C39=C$36)),
INDEX(OpenLCAbasic!$J:$J, MATCH(CONCATENATE(Q$11, "_", Q$10, "_", "Upgraded_",$I$5,"_",C39, "_", Q$12, "_", Q$14), OpenLCAbasic!$M:$M,0)),
IF(AND(ISERROR(MATCH(C39, LookUps!$G$5:$G$21,0)), Q$9="Upgraded"),
SUMIFS(OpenLCAbasic!$J:$J,OpenLCAbasic!$E:$E, Q$11, OpenLCAbasic!$D:$D, Q$10, OpenLCAbasic!$F:$F,Q$9,OpenLCAbasic!$L:$L,$I$5,OpenLCAbasic!$I:$I,INDEX(LookUps!$G$5:$G$21,MATCH(C39, LookUps!$J$5:$J$21,0)), OpenLCAbasic!$B:$B, Q$14, OpenLCAbasic!$C:$C, Q$12),
SUMIFS(OpenLCAbasic!$J:$J,OpenLCAbasic!$E:$E, Q$11, OpenLCAbasic!$D:$D, Q$10, OpenLCAbasic!$F:$F,Q$9,OpenLCAbasic!$L:$L,$I$5,OpenLCAbasic!$I:$I,C39, OpenLCAbasic!$B:$B, Q$14, OpenLCAbasic!$C:$C, Q$12)
)))))</f>
        <v>5.2639999999999999E-2</v>
      </c>
      <c r="R39" s="301">
        <f>IF(AND(R$9="Legacy",D39=D$38,OR(R$11="Low",R$11="High")),
INDEX(OpenLCAbasic!$J:$J,MATCH(CONCATENATE(R$10,"_","Base","_","Legacy_",$I$5,"_",D39,"_",R$13,"_n.a."),OpenLCAbasic!$M:$M,0)),
IF(AND(R$9="Legacy",ISERROR(MATCH(D39,LookUps!$H$5:$H$20,0))),"--",
IF(R$9="Legacy",SUMIFS(OpenLCAbasic!$J:$J,OpenLCAbasic!$E:$E,"Base",OpenLCAbasic!$D:$D,"Base",OpenLCAbasic!$F:$F,R$9,OpenLCAbasic!$L:$L,$I$5,OpenLCAbasic!$I:$I,D39,OpenLCAbasic!$C:$C,R$13),
IF(AND(R$9="Upgraded", OR(R$11="Low", R$11="High"), OR(D39=D$37, D39=D$36)),
INDEX(OpenLCAbasic!$J:$J, MATCH(CONCATENATE(R$11, "_", R$10, "_", "Upgraded_",$I$5,"_",D39, "_", R$12, "_", R$14), OpenLCAbasic!$M:$M,0)),
IF(AND(ISERROR(MATCH(D39, LookUps!$G$5:$G$21,0)), R$9="Upgraded"),
SUMIFS(OpenLCAbasic!$J:$J,OpenLCAbasic!$E:$E, R$11, OpenLCAbasic!$D:$D, R$10, OpenLCAbasic!$F:$F,R$9,OpenLCAbasic!$L:$L,$I$5,OpenLCAbasic!$I:$I,INDEX(LookUps!$G$5:$G$21,MATCH(D39, LookUps!$J$5:$J$21,0)), OpenLCAbasic!$B:$B, R$14, OpenLCAbasic!$C:$C, R$12),
SUMIFS(OpenLCAbasic!$J:$J,OpenLCAbasic!$E:$E, R$11, OpenLCAbasic!$D:$D, R$10, OpenLCAbasic!$F:$F,R$9,OpenLCAbasic!$L:$L,$I$5,OpenLCAbasic!$I:$I,D39, OpenLCAbasic!$B:$B, R$14, OpenLCAbasic!$C:$C, R$12)
)))))</f>
        <v>5.2639999999999999E-2</v>
      </c>
      <c r="S39" s="301">
        <f>IF(AND(S$9="Legacy",E39=E$38,OR(S$11="Low",S$11="High")),
INDEX(OpenLCAbasic!$J:$J,MATCH(CONCATENATE(S$10,"_","Base","_","Legacy_",$I$5,"_",E39,"_",S$13,"_n.a."),OpenLCAbasic!$M:$M,0)),
IF(AND(S$9="Legacy",ISERROR(MATCH(E39,LookUps!$H$5:$H$20,0))),"--",
IF(S$9="Legacy",SUMIFS(OpenLCAbasic!$J:$J,OpenLCAbasic!$E:$E,"Base",OpenLCAbasic!$D:$D,"Base",OpenLCAbasic!$F:$F,S$9,OpenLCAbasic!$L:$L,$I$5,OpenLCAbasic!$I:$I,E39,OpenLCAbasic!$C:$C,S$13),
IF(AND(S$9="Upgraded", OR(S$11="Low", S$11="High"), OR(E39=E$37, E39=E$36)),
INDEX(OpenLCAbasic!$J:$J, MATCH(CONCATENATE(S$11, "_", S$10, "_", "Upgraded_",$I$5,"_",E39, "_", S$12, "_", S$14), OpenLCAbasic!$M:$M,0)),
IF(AND(ISERROR(MATCH(E39, LookUps!$G$5:$G$21,0)), S$9="Upgraded"),
SUMIFS(OpenLCAbasic!$J:$J,OpenLCAbasic!$E:$E, S$11, OpenLCAbasic!$D:$D, S$10, OpenLCAbasic!$F:$F,S$9,OpenLCAbasic!$L:$L,$I$5,OpenLCAbasic!$I:$I,INDEX(LookUps!$G$5:$G$21,MATCH(E39, LookUps!$J$5:$J$21,0)), OpenLCAbasic!$B:$B, S$14, OpenLCAbasic!$C:$C, S$12),
SUMIFS(OpenLCAbasic!$J:$J,OpenLCAbasic!$E:$E, S$11, OpenLCAbasic!$D:$D, S$10, OpenLCAbasic!$F:$F,S$9,OpenLCAbasic!$L:$L,$I$5,OpenLCAbasic!$I:$I,E39, OpenLCAbasic!$B:$B, S$14, OpenLCAbasic!$C:$C, S$12)
)))))</f>
        <v>5.2639999999999999E-2</v>
      </c>
      <c r="T39" s="301">
        <f>IF(AND(T$9="Legacy",F39=F$38,OR(T$11="Low",T$11="High")),
INDEX(OpenLCAbasic!$J:$J,MATCH(CONCATENATE(T$10,"_","Base","_","Legacy_",$I$5,"_",F39,"_",T$13,"_n.a."),OpenLCAbasic!$M:$M,0)),
IF(AND(T$9="Legacy",ISERROR(MATCH(F39,LookUps!$H$5:$H$20,0))),"--",
IF(T$9="Legacy",SUMIFS(OpenLCAbasic!$J:$J,OpenLCAbasic!$E:$E,"Base",OpenLCAbasic!$D:$D,"Base",OpenLCAbasic!$F:$F,T$9,OpenLCAbasic!$L:$L,$I$5,OpenLCAbasic!$I:$I,F39,OpenLCAbasic!$C:$C,T$13),
IF(AND(T$9="Upgraded", OR(T$11="Low", T$11="High"), OR(F39=F$37, F39=F$36)),
INDEX(OpenLCAbasic!$J:$J, MATCH(CONCATENATE(T$11, "_", T$10, "_", "Upgraded_",$I$5,"_",F39, "_", T$12, "_", T$14), OpenLCAbasic!$M:$M,0)),
IF(AND(ISERROR(MATCH(F39, LookUps!$G$5:$G$21,0)), T$9="Upgraded"),
SUMIFS(OpenLCAbasic!$J:$J,OpenLCAbasic!$E:$E, T$11, OpenLCAbasic!$D:$D, T$10, OpenLCAbasic!$F:$F,T$9,OpenLCAbasic!$L:$L,$I$5,OpenLCAbasic!$I:$I,INDEX(LookUps!$G$5:$G$21,MATCH(F39, LookUps!$J$5:$J$21,0)), OpenLCAbasic!$B:$B, T$14, OpenLCAbasic!$C:$C, T$12),
SUMIFS(OpenLCAbasic!$J:$J,OpenLCAbasic!$E:$E, T$11, OpenLCAbasic!$D:$D, T$10, OpenLCAbasic!$F:$F,T$9,OpenLCAbasic!$L:$L,$I$5,OpenLCAbasic!$I:$I,F39, OpenLCAbasic!$B:$B, T$14, OpenLCAbasic!$C:$C, T$12)
)))))</f>
        <v>5.2639999999999999E-2</v>
      </c>
      <c r="U39" s="301">
        <f>IF(AND(U$9="Legacy",G39=G$38,OR(U$11="Low",U$11="High")),
INDEX(OpenLCAbasic!$J:$J,MATCH(CONCATENATE(U$10,"_","Base","_","Legacy_",$I$5,"_",G39,"_",U$13,"_n.a."),OpenLCAbasic!$M:$M,0)),
IF(AND(U$9="Legacy",ISERROR(MATCH(G39,LookUps!$H$5:$H$20,0))),"--",
IF(U$9="Legacy",SUMIFS(OpenLCAbasic!$J:$J,OpenLCAbasic!$E:$E,"Base",OpenLCAbasic!$D:$D,"Base",OpenLCAbasic!$F:$F,U$9,OpenLCAbasic!$L:$L,$I$5,OpenLCAbasic!$I:$I,G39,OpenLCAbasic!$C:$C,U$13),
IF(AND(U$9="Upgraded", OR(U$11="Low", U$11="High"), OR(G39=G$37, G39=G$36)),
INDEX(OpenLCAbasic!$J:$J, MATCH(CONCATENATE(U$11, "_", U$10, "_", "Upgraded_",$I$5,"_",G39, "_", U$12, "_", U$14), OpenLCAbasic!$M:$M,0)),
IF(AND(ISERROR(MATCH(G39, LookUps!$G$5:$G$21,0)), U$9="Upgraded"),
SUMIFS(OpenLCAbasic!$J:$J,OpenLCAbasic!$E:$E, U$11, OpenLCAbasic!$D:$D, U$10, OpenLCAbasic!$F:$F,U$9,OpenLCAbasic!$L:$L,$I$5,OpenLCAbasic!$I:$I,INDEX(LookUps!$G$5:$G$21,MATCH(G39, LookUps!$J$5:$J$21,0)), OpenLCAbasic!$B:$B, U$14, OpenLCAbasic!$C:$C, U$12),
SUMIFS(OpenLCAbasic!$J:$J,OpenLCAbasic!$E:$E, U$11, OpenLCAbasic!$D:$D, U$10, OpenLCAbasic!$F:$F,U$9,OpenLCAbasic!$L:$L,$I$5,OpenLCAbasic!$I:$I,G39, OpenLCAbasic!$B:$B, U$14, OpenLCAbasic!$C:$C, U$12)
)))))</f>
        <v>5.2639999999999999E-2</v>
      </c>
      <c r="V39" s="302"/>
      <c r="W39" s="301">
        <f>IF(AND(W$9="Legacy",B39=B$38,OR(W$11="Low",W$11="High")),
INDEX(OpenLCAbasic!$J:$J,MATCH(CONCATENATE(W$10,"_","Base","_","Legacy_",$I$6,"_",B39,"_",W$13,"_n.a."),OpenLCAbasic!$M:$M,0)),
IF(AND(W$9="Legacy",ISERROR(MATCH(B39,LookUps!$H$5:$H$20,0))),"--",
IF(W$9="Legacy",SUMIFS(OpenLCAbasic!$J:$J,OpenLCAbasic!$E:$E,"Base",OpenLCAbasic!$D:$D,"Base",OpenLCAbasic!$F:$F,W$9,OpenLCAbasic!$L:$L,$I$6,OpenLCAbasic!$I:$I,B39,OpenLCAbasic!$C:$C,W$13),
IF(AND(W$9="Upgraded", OR(W$11="Low", W$11="High"), OR(B39=B$37, B39=B$36)),
INDEX(OpenLCAbasic!$J:$J, MATCH(CONCATENATE(W$11, "_", W$10, "_", "Upgraded_",$I$6,"_",B39, "_", W$12, "_", W$14), OpenLCAbasic!$M:$M,0)),
IF(AND(ISERROR(MATCH(B39, LookUps!$G$5:$G$21,0)), W$9="Upgraded"),
SUMIFS(OpenLCAbasic!$J:$J,OpenLCAbasic!$E:$E, W$11, OpenLCAbasic!$D:$D, W$10, OpenLCAbasic!$F:$F,W$9,OpenLCAbasic!$L:$L,$I$6,OpenLCAbasic!$I:$I,INDEX(LookUps!$G$5:$G$21,MATCH(B39, LookUps!$J$5:$J$21,0)), OpenLCAbasic!$B:$B, W$14, OpenLCAbasic!$C:$C, W$12),
SUMIFS(OpenLCAbasic!$J:$J,OpenLCAbasic!$E:$E, W$11, OpenLCAbasic!$D:$D, W$10, OpenLCAbasic!$F:$F,W$9,OpenLCAbasic!$L:$L,$I$6,OpenLCAbasic!$I:$I,B39, OpenLCAbasic!$B:$B, W$14, OpenLCAbasic!$C:$C, W$12)
)))))</f>
        <v>2.3099999999999999E-2</v>
      </c>
      <c r="X39" s="301">
        <f>IF(AND(X$9="Legacy",C39=C$38,OR(X$11="Low",X$11="High")),
INDEX(OpenLCAbasic!$J:$J,MATCH(CONCATENATE(X$10,"_","Base","_","Legacy_",$I$6,"_",C39,"_",X$13,"_n.a."),OpenLCAbasic!$M:$M,0)),
IF(AND(X$9="Legacy",ISERROR(MATCH(C39,LookUps!$H$5:$H$20,0))),"--",
IF(X$9="Legacy",SUMIFS(OpenLCAbasic!$J:$J,OpenLCAbasic!$E:$E,"Base",OpenLCAbasic!$D:$D,"Base",OpenLCAbasic!$F:$F,X$9,OpenLCAbasic!$L:$L,$I$6,OpenLCAbasic!$I:$I,C39,OpenLCAbasic!$C:$C,X$13),
IF(AND(X$9="Upgraded", OR(X$11="Low", X$11="High"), OR(C39=C$37, C39=C$36)),
INDEX(OpenLCAbasic!$J:$J, MATCH(CONCATENATE(X$11, "_", X$10, "_", "Upgraded_",$I$6,"_",C39, "_", X$12, "_", X$14), OpenLCAbasic!$M:$M,0)),
IF(AND(ISERROR(MATCH(C39, LookUps!$G$5:$G$21,0)), X$9="Upgraded"),
SUMIFS(OpenLCAbasic!$J:$J,OpenLCAbasic!$E:$E, X$11, OpenLCAbasic!$D:$D, X$10, OpenLCAbasic!$F:$F,X$9,OpenLCAbasic!$L:$L,$I$6,OpenLCAbasic!$I:$I,INDEX(LookUps!$G$5:$G$21,MATCH(C39, LookUps!$J$5:$J$21,0)), OpenLCAbasic!$B:$B, X$14, OpenLCAbasic!$C:$C, X$12),
SUMIFS(OpenLCAbasic!$J:$J,OpenLCAbasic!$E:$E, X$11, OpenLCAbasic!$D:$D, X$10, OpenLCAbasic!$F:$F,X$9,OpenLCAbasic!$L:$L,$I$6,OpenLCAbasic!$I:$I,C39, OpenLCAbasic!$B:$B, X$14, OpenLCAbasic!$C:$C, X$12)
)))))</f>
        <v>1.1610000000000001E-2</v>
      </c>
      <c r="Y39" s="301">
        <f>IF(AND(Y$9="Legacy",D39=D$38,OR(Y$11="Low",Y$11="High")),
INDEX(OpenLCAbasic!$J:$J,MATCH(CONCATENATE(Y$10,"_","Base","_","Legacy_",$I$6,"_",D39,"_",Y$13,"_n.a."),OpenLCAbasic!$M:$M,0)),
IF(AND(Y$9="Legacy",ISERROR(MATCH(D39,LookUps!$H$5:$H$20,0))),"--",
IF(Y$9="Legacy",SUMIFS(OpenLCAbasic!$J:$J,OpenLCAbasic!$E:$E,"Base",OpenLCAbasic!$D:$D,"Base",OpenLCAbasic!$F:$F,Y$9,OpenLCAbasic!$L:$L,$I$6,OpenLCAbasic!$I:$I,D39,OpenLCAbasic!$C:$C,Y$13),
IF(AND(Y$9="Upgraded", OR(Y$11="Low", Y$11="High"), OR(D39=D$37, D39=D$36)),
INDEX(OpenLCAbasic!$J:$J, MATCH(CONCATENATE(Y$11, "_", Y$10, "_", "Upgraded_",$I$6,"_",D39, "_", Y$12, "_", Y$14), OpenLCAbasic!$M:$M,0)),
IF(AND(ISERROR(MATCH(D39, LookUps!$G$5:$G$21,0)), Y$9="Upgraded"),
SUMIFS(OpenLCAbasic!$J:$J,OpenLCAbasic!$E:$E, Y$11, OpenLCAbasic!$D:$D, Y$10, OpenLCAbasic!$F:$F,Y$9,OpenLCAbasic!$L:$L,$I$6,OpenLCAbasic!$I:$I,INDEX(LookUps!$G$5:$G$21,MATCH(D39, LookUps!$J$5:$J$21,0)), OpenLCAbasic!$B:$B, Y$14, OpenLCAbasic!$C:$C, Y$12),
SUMIFS(OpenLCAbasic!$J:$J,OpenLCAbasic!$E:$E, Y$11, OpenLCAbasic!$D:$D, Y$10, OpenLCAbasic!$F:$F,Y$9,OpenLCAbasic!$L:$L,$I$6,OpenLCAbasic!$I:$I,D39, OpenLCAbasic!$B:$B, Y$14, OpenLCAbasic!$C:$C, Y$12)
)))))</f>
        <v>1.1610000000000001E-2</v>
      </c>
      <c r="Z39" s="301">
        <f>IF(AND(Z$9="Legacy",E39=E$38,OR(Z$11="Low",Z$11="High")),
INDEX(OpenLCAbasic!$J:$J,MATCH(CONCATENATE(Z$10,"_","Base","_","Legacy_",$I$6,"_",E39,"_",Z$13,"_n.a."),OpenLCAbasic!$M:$M,0)),
IF(AND(Z$9="Legacy",ISERROR(MATCH(E39,LookUps!$H$5:$H$20,0))),"--",
IF(Z$9="Legacy",SUMIFS(OpenLCAbasic!$J:$J,OpenLCAbasic!$E:$E,"Base",OpenLCAbasic!$D:$D,"Base",OpenLCAbasic!$F:$F,Z$9,OpenLCAbasic!$L:$L,$I$6,OpenLCAbasic!$I:$I,E39,OpenLCAbasic!$C:$C,Z$13),
IF(AND(Z$9="Upgraded", OR(Z$11="Low", Z$11="High"), OR(E39=E$37, E39=E$36)),
INDEX(OpenLCAbasic!$J:$J, MATCH(CONCATENATE(Z$11, "_", Z$10, "_", "Upgraded_",$I$6,"_",E39, "_", Z$12, "_", Z$14), OpenLCAbasic!$M:$M,0)),
IF(AND(ISERROR(MATCH(E39, LookUps!$G$5:$G$21,0)), Z$9="Upgraded"),
SUMIFS(OpenLCAbasic!$J:$J,OpenLCAbasic!$E:$E, Z$11, OpenLCAbasic!$D:$D, Z$10, OpenLCAbasic!$F:$F,Z$9,OpenLCAbasic!$L:$L,$I$6,OpenLCAbasic!$I:$I,INDEX(LookUps!$G$5:$G$21,MATCH(E39, LookUps!$J$5:$J$21,0)), OpenLCAbasic!$B:$B, Z$14, OpenLCAbasic!$C:$C, Z$12),
SUMIFS(OpenLCAbasic!$J:$J,OpenLCAbasic!$E:$E, Z$11, OpenLCAbasic!$D:$D, Z$10, OpenLCAbasic!$F:$F,Z$9,OpenLCAbasic!$L:$L,$I$6,OpenLCAbasic!$I:$I,E39, OpenLCAbasic!$B:$B, Z$14, OpenLCAbasic!$C:$C, Z$12)
)))))</f>
        <v>1.1610000000000001E-2</v>
      </c>
      <c r="AA39" s="301">
        <f>IF(AND(AA$9="Legacy",F39=F$38,OR(AA$11="Low",AA$11="High")),
INDEX(OpenLCAbasic!$J:$J,MATCH(CONCATENATE(AA$10,"_","Base","_","Legacy_",$I$6,"_",F39,"_",AA$13,"_n.a."),OpenLCAbasic!$M:$M,0)),
IF(AND(AA$9="Legacy",ISERROR(MATCH(F39,LookUps!$H$5:$H$20,0))),"--",
IF(AA$9="Legacy",SUMIFS(OpenLCAbasic!$J:$J,OpenLCAbasic!$E:$E,"Base",OpenLCAbasic!$D:$D,"Base",OpenLCAbasic!$F:$F,AA$9,OpenLCAbasic!$L:$L,$I$6,OpenLCAbasic!$I:$I,F39,OpenLCAbasic!$C:$C,AA$13),
IF(AND(AA$9="Upgraded", OR(AA$11="Low", AA$11="High"), OR(F39=F$37, F39=F$36)),
INDEX(OpenLCAbasic!$J:$J, MATCH(CONCATENATE(AA$11, "_", AA$10, "_", "Upgraded_",$I$6,"_",F39, "_", AA$12, "_", AA$14), OpenLCAbasic!$M:$M,0)),
IF(AND(ISERROR(MATCH(F39, LookUps!$G$5:$G$21,0)), AA$9="Upgraded"),
SUMIFS(OpenLCAbasic!$J:$J,OpenLCAbasic!$E:$E, AA$11, OpenLCAbasic!$D:$D, AA$10, OpenLCAbasic!$F:$F,AA$9,OpenLCAbasic!$L:$L,$I$6,OpenLCAbasic!$I:$I,INDEX(LookUps!$G$5:$G$21,MATCH(F39, LookUps!$J$5:$J$21,0)), OpenLCAbasic!$B:$B, AA$14, OpenLCAbasic!$C:$C, AA$12),
SUMIFS(OpenLCAbasic!$J:$J,OpenLCAbasic!$E:$E, AA$11, OpenLCAbasic!$D:$D, AA$10, OpenLCAbasic!$F:$F,AA$9,OpenLCAbasic!$L:$L,$I$6,OpenLCAbasic!$I:$I,F39, OpenLCAbasic!$B:$B, AA$14, OpenLCAbasic!$C:$C, AA$12)
)))))</f>
        <v>1.1610000000000001E-2</v>
      </c>
      <c r="AB39" s="301">
        <f>IF(AND(AB$9="Legacy",G39=G$38,OR(AB$11="Low",AB$11="High")),
INDEX(OpenLCAbasic!$J:$J,MATCH(CONCATENATE(AB$10,"_","Base","_","Legacy_",$I$6,"_",G39,"_",AB$13,"_n.a."),OpenLCAbasic!$M:$M,0)),
IF(AND(AB$9="Legacy",ISERROR(MATCH(G39,LookUps!$H$5:$H$20,0))),"--",
IF(AB$9="Legacy",SUMIFS(OpenLCAbasic!$J:$J,OpenLCAbasic!$E:$E,"Base",OpenLCAbasic!$D:$D,"Base",OpenLCAbasic!$F:$F,AB$9,OpenLCAbasic!$L:$L,$I$6,OpenLCAbasic!$I:$I,G39,OpenLCAbasic!$C:$C,AB$13),
IF(AND(AB$9="Upgraded", OR(AB$11="Low", AB$11="High"), OR(G39=G$37, G39=G$36)),
INDEX(OpenLCAbasic!$J:$J, MATCH(CONCATENATE(AB$11, "_", AB$10, "_", "Upgraded_",$I$6,"_",G39, "_", AB$12, "_", AB$14), OpenLCAbasic!$M:$M,0)),
IF(AND(ISERROR(MATCH(G39, LookUps!$G$5:$G$21,0)), AB$9="Upgraded"),
SUMIFS(OpenLCAbasic!$J:$J,OpenLCAbasic!$E:$E, AB$11, OpenLCAbasic!$D:$D, AB$10, OpenLCAbasic!$F:$F,AB$9,OpenLCAbasic!$L:$L,$I$6,OpenLCAbasic!$I:$I,INDEX(LookUps!$G$5:$G$21,MATCH(G39, LookUps!$J$5:$J$21,0)), OpenLCAbasic!$B:$B, AB$14, OpenLCAbasic!$C:$C, AB$12),
SUMIFS(OpenLCAbasic!$J:$J,OpenLCAbasic!$E:$E, AB$11, OpenLCAbasic!$D:$D, AB$10, OpenLCAbasic!$F:$F,AB$9,OpenLCAbasic!$L:$L,$I$6,OpenLCAbasic!$I:$I,G39, OpenLCAbasic!$B:$B, AB$14, OpenLCAbasic!$C:$C, AB$12)
)))))</f>
        <v>1.1610000000000001E-2</v>
      </c>
    </row>
    <row r="40" spans="2:28" x14ac:dyDescent="0.25">
      <c r="B40" s="99" t="str">
        <f t="shared" si="15"/>
        <v>Control Building; at wastewater treatment plant - US</v>
      </c>
      <c r="C40" s="99" t="str">
        <f t="shared" si="15"/>
        <v>Control Building; at wastewater treatment plant - US</v>
      </c>
      <c r="D40" s="99" t="str">
        <f t="shared" si="15"/>
        <v>Control Building; at wastewater treatment plant - US</v>
      </c>
      <c r="E40" s="99" t="str">
        <f t="shared" si="15"/>
        <v>Control Building; at wastewater treatment plant - US</v>
      </c>
      <c r="F40" s="99" t="str">
        <f t="shared" si="15"/>
        <v>Control Building; at wastewater treatment plant - US</v>
      </c>
      <c r="G40" s="99" t="str">
        <f t="shared" si="15"/>
        <v>Control Building; at wastewater treatment plant - US</v>
      </c>
      <c r="H40" s="266" t="str">
        <f>LookUps!$J$10</f>
        <v>Control Building; at wastewater treatment plant - US</v>
      </c>
      <c r="I40" s="301">
        <f>IF(AND(I$9="Legacy",B40=B$38,OR(I$11="Low",I$11="High")),
INDEX(OpenLCAbasic!$J:$J,MATCH(CONCATENATE(I$10,"_","Base","_","Legacy_",$I$4,"_",B40,"_",I$13,"_n.a."),OpenLCAbasic!$M:$M,0)),
IF(AND(I$9="Legacy",ISERROR(MATCH(B40,LookUps!$H$5:$H$20,0))),"--",
IF(I$9="Legacy",SUMIFS(OpenLCAbasic!$J:$J,OpenLCAbasic!$E:$E,"Base",OpenLCAbasic!$D:$D,"Base",OpenLCAbasic!$F:$F,I$9,OpenLCAbasic!$L:$L,$I$4,OpenLCAbasic!$I:$I,B40,OpenLCAbasic!$C:$C,I$13),
IF(AND(I$9="Upgraded", OR(I$11="Low", I$11="High"), OR(B40=B$37, B40=B$36)),
INDEX(OpenLCAbasic!$J:$J, MATCH(CONCATENATE(I$11, "_", I$10, "_", "Upgraded_",$I$4,"_",B40, "_", I$12, "_", I$14), OpenLCAbasic!$M:$M,0)),
IF(AND(ISERROR(MATCH(B40, LookUps!$G$5:$G$21,0)), I$9="Upgraded"),
SUMIFS(OpenLCAbasic!$J:$J,OpenLCAbasic!$E:$E, I$11, OpenLCAbasic!$D:$D, I$10, OpenLCAbasic!$F:$F,I$9,OpenLCAbasic!$L:$L,$I$4,OpenLCAbasic!$I:$I,INDEX(LookUps!$G$5:$G$21,MATCH(B40, LookUps!$J$5:$J$21,0)), OpenLCAbasic!$B:$B, I$14, OpenLCAbasic!$C:$C, I$12),
SUMIFS(OpenLCAbasic!$J:$J,OpenLCAbasic!$E:$E, I$11, OpenLCAbasic!$D:$D, I$10, OpenLCAbasic!$F:$F,I$9,OpenLCAbasic!$L:$L,$I$4,OpenLCAbasic!$I:$I,B40, OpenLCAbasic!$B:$B, I$14, OpenLCAbasic!$C:$C, I$12)
)))))</f>
        <v>0.92825000000000002</v>
      </c>
      <c r="J40" s="301">
        <f>IF(AND(J$9="Legacy",C40=C$38,OR(J$11="Low",J$11="High")),
INDEX(OpenLCAbasic!$J:$J,MATCH(CONCATENATE(J$10,"_","Base","_","Legacy_",$I$4,"_",C40,"_",J$13,"_n.a."),OpenLCAbasic!$M:$M,0)),
IF(AND(J$9="Legacy",ISERROR(MATCH(C40,LookUps!$H$5:$H$20,0))),"--",
IF(J$9="Legacy",SUMIFS(OpenLCAbasic!$J:$J,OpenLCAbasic!$E:$E,"Base",OpenLCAbasic!$D:$D,"Base",OpenLCAbasic!$F:$F,J$9,OpenLCAbasic!$L:$L,$I$4,OpenLCAbasic!$I:$I,C40,OpenLCAbasic!$C:$C,J$13),
IF(AND(J$9="Upgraded", OR(J$11="Low", J$11="High"), OR(C40=C$37, C40=C$36)),
INDEX(OpenLCAbasic!$J:$J, MATCH(CONCATENATE(J$11, "_", J$10, "_", "Upgraded_",$I$4,"_",C40, "_", J$12, "_", J$14), OpenLCAbasic!$M:$M,0)),
IF(AND(ISERROR(MATCH(C40, LookUps!$G$5:$G$21,0)), J$9="Upgraded"),
SUMIFS(OpenLCAbasic!$J:$J,OpenLCAbasic!$E:$E, J$11, OpenLCAbasic!$D:$D, J$10, OpenLCAbasic!$F:$F,J$9,OpenLCAbasic!$L:$L,$I$4,OpenLCAbasic!$I:$I,INDEX(LookUps!$G$5:$G$21,MATCH(C40, LookUps!$J$5:$J$21,0)), OpenLCAbasic!$B:$B, J$14, OpenLCAbasic!$C:$C, J$12),
SUMIFS(OpenLCAbasic!$J:$J,OpenLCAbasic!$E:$E, J$11, OpenLCAbasic!$D:$D, J$10, OpenLCAbasic!$F:$F,J$9,OpenLCAbasic!$L:$L,$I$4,OpenLCAbasic!$I:$I,C40, OpenLCAbasic!$B:$B, J$14, OpenLCAbasic!$C:$C, J$12)
)))))</f>
        <v>0.14599000000000001</v>
      </c>
      <c r="K40" s="301">
        <f>IF(AND(K$9="Legacy",D40=D$38,OR(K$11="Low",K$11="High")),
INDEX(OpenLCAbasic!$J:$J,MATCH(CONCATENATE(K$10,"_","Base","_","Legacy_",$I$4,"_",D40,"_",K$13,"_n.a."),OpenLCAbasic!$M:$M,0)),
IF(AND(K$9="Legacy",ISERROR(MATCH(D40,LookUps!$H$5:$H$20,0))),"--",
IF(K$9="Legacy",SUMIFS(OpenLCAbasic!$J:$J,OpenLCAbasic!$E:$E,"Base",OpenLCAbasic!$D:$D,"Base",OpenLCAbasic!$F:$F,K$9,OpenLCAbasic!$L:$L,$I$4,OpenLCAbasic!$I:$I,D40,OpenLCAbasic!$C:$C,K$13),
IF(AND(K$9="Upgraded", OR(K$11="Low", K$11="High"), OR(D40=D$37, D40=D$36)),
INDEX(OpenLCAbasic!$J:$J, MATCH(CONCATENATE(K$11, "_", K$10, "_", "Upgraded_",$I$4,"_",D40, "_", K$12, "_", K$14), OpenLCAbasic!$M:$M,0)),
IF(AND(ISERROR(MATCH(D40, LookUps!$G$5:$G$21,0)), K$9="Upgraded"),
SUMIFS(OpenLCAbasic!$J:$J,OpenLCAbasic!$E:$E, K$11, OpenLCAbasic!$D:$D, K$10, OpenLCAbasic!$F:$F,K$9,OpenLCAbasic!$L:$L,$I$4,OpenLCAbasic!$I:$I,INDEX(LookUps!$G$5:$G$21,MATCH(D40, LookUps!$J$5:$J$21,0)), OpenLCAbasic!$B:$B, K$14, OpenLCAbasic!$C:$C, K$12),
SUMIFS(OpenLCAbasic!$J:$J,OpenLCAbasic!$E:$E, K$11, OpenLCAbasic!$D:$D, K$10, OpenLCAbasic!$F:$F,K$9,OpenLCAbasic!$L:$L,$I$4,OpenLCAbasic!$I:$I,D40, OpenLCAbasic!$B:$B, K$14, OpenLCAbasic!$C:$C, K$12)
)))))</f>
        <v>0.14599000000000001</v>
      </c>
      <c r="L40" s="301">
        <f>IF(AND(L$9="Legacy",E40=E$38,OR(L$11="Low",L$11="High")),
INDEX(OpenLCAbasic!$J:$J,MATCH(CONCATENATE(L$10,"_","Base","_","Legacy_",$I$4,"_",E40,"_",L$13,"_n.a."),OpenLCAbasic!$M:$M,0)),
IF(AND(L$9="Legacy",ISERROR(MATCH(E40,LookUps!$H$5:$H$20,0))),"--",
IF(L$9="Legacy",SUMIFS(OpenLCAbasic!$J:$J,OpenLCAbasic!$E:$E,"Base",OpenLCAbasic!$D:$D,"Base",OpenLCAbasic!$F:$F,L$9,OpenLCAbasic!$L:$L,$I$4,OpenLCAbasic!$I:$I,E40,OpenLCAbasic!$C:$C,L$13),
IF(AND(L$9="Upgraded", OR(L$11="Low", L$11="High"), OR(E40=E$37, E40=E$36)),
INDEX(OpenLCAbasic!$J:$J, MATCH(CONCATENATE(L$11, "_", L$10, "_", "Upgraded_",$I$4,"_",E40, "_", L$12, "_", L$14), OpenLCAbasic!$M:$M,0)),
IF(AND(ISERROR(MATCH(E40, LookUps!$G$5:$G$21,0)), L$9="Upgraded"),
SUMIFS(OpenLCAbasic!$J:$J,OpenLCAbasic!$E:$E, L$11, OpenLCAbasic!$D:$D, L$10, OpenLCAbasic!$F:$F,L$9,OpenLCAbasic!$L:$L,$I$4,OpenLCAbasic!$I:$I,INDEX(LookUps!$G$5:$G$21,MATCH(E40, LookUps!$J$5:$J$21,0)), OpenLCAbasic!$B:$B, L$14, OpenLCAbasic!$C:$C, L$12),
SUMIFS(OpenLCAbasic!$J:$J,OpenLCAbasic!$E:$E, L$11, OpenLCAbasic!$D:$D, L$10, OpenLCAbasic!$F:$F,L$9,OpenLCAbasic!$L:$L,$I$4,OpenLCAbasic!$I:$I,E40, OpenLCAbasic!$B:$B, L$14, OpenLCAbasic!$C:$C, L$12)
)))))</f>
        <v>0.14599000000000001</v>
      </c>
      <c r="M40" s="301">
        <f>IF(AND(M$9="Legacy",F40=F$38,OR(M$11="Low",M$11="High")),
INDEX(OpenLCAbasic!$J:$J,MATCH(CONCATENATE(M$10,"_","Base","_","Legacy_",$I$4,"_",F40,"_",M$13,"_n.a."),OpenLCAbasic!$M:$M,0)),
IF(AND(M$9="Legacy",ISERROR(MATCH(F40,LookUps!$H$5:$H$20,0))),"--",
IF(M$9="Legacy",SUMIFS(OpenLCAbasic!$J:$J,OpenLCAbasic!$E:$E,"Base",OpenLCAbasic!$D:$D,"Base",OpenLCAbasic!$F:$F,M$9,OpenLCAbasic!$L:$L,$I$4,OpenLCAbasic!$I:$I,F40,OpenLCAbasic!$C:$C,M$13),
IF(AND(M$9="Upgraded", OR(M$11="Low", M$11="High"), OR(F40=F$37, F40=F$36)),
INDEX(OpenLCAbasic!$J:$J, MATCH(CONCATENATE(M$11, "_", M$10, "_", "Upgraded_",$I$4,"_",F40, "_", M$12, "_", M$14), OpenLCAbasic!$M:$M,0)),
IF(AND(ISERROR(MATCH(F40, LookUps!$G$5:$G$21,0)), M$9="Upgraded"),
SUMIFS(OpenLCAbasic!$J:$J,OpenLCAbasic!$E:$E, M$11, OpenLCAbasic!$D:$D, M$10, OpenLCAbasic!$F:$F,M$9,OpenLCAbasic!$L:$L,$I$4,OpenLCAbasic!$I:$I,INDEX(LookUps!$G$5:$G$21,MATCH(F40, LookUps!$J$5:$J$21,0)), OpenLCAbasic!$B:$B, M$14, OpenLCAbasic!$C:$C, M$12),
SUMIFS(OpenLCAbasic!$J:$J,OpenLCAbasic!$E:$E, M$11, OpenLCAbasic!$D:$D, M$10, OpenLCAbasic!$F:$F,M$9,OpenLCAbasic!$L:$L,$I$4,OpenLCAbasic!$I:$I,F40, OpenLCAbasic!$B:$B, M$14, OpenLCAbasic!$C:$C, M$12)
)))))</f>
        <v>0.14599000000000001</v>
      </c>
      <c r="N40" s="301">
        <f>IF(AND(N$9="Legacy",G40=G$38,OR(N$11="Low",N$11="High")),
INDEX(OpenLCAbasic!$J:$J,MATCH(CONCATENATE(N$10,"_","Base","_","Legacy_",$I$4,"_",G40,"_",N$13,"_n.a."),OpenLCAbasic!$M:$M,0)),
IF(AND(N$9="Legacy",ISERROR(MATCH(G40,LookUps!$H$5:$H$20,0))),"--",
IF(N$9="Legacy",SUMIFS(OpenLCAbasic!$J:$J,OpenLCAbasic!$E:$E,"Base",OpenLCAbasic!$D:$D,"Base",OpenLCAbasic!$F:$F,N$9,OpenLCAbasic!$L:$L,$I$4,OpenLCAbasic!$I:$I,G40,OpenLCAbasic!$C:$C,N$13),
IF(AND(N$9="Upgraded", OR(N$11="Low", N$11="High"), OR(G40=G$37, G40=G$36)),
INDEX(OpenLCAbasic!$J:$J, MATCH(CONCATENATE(N$11, "_", N$10, "_", "Upgraded_",$I$4,"_",G40, "_", N$12, "_", N$14), OpenLCAbasic!$M:$M,0)),
IF(AND(ISERROR(MATCH(G40, LookUps!$G$5:$G$21,0)), N$9="Upgraded"),
SUMIFS(OpenLCAbasic!$J:$J,OpenLCAbasic!$E:$E, N$11, OpenLCAbasic!$D:$D, N$10, OpenLCAbasic!$F:$F,N$9,OpenLCAbasic!$L:$L,$I$4,OpenLCAbasic!$I:$I,INDEX(LookUps!$G$5:$G$21,MATCH(G40, LookUps!$J$5:$J$21,0)), OpenLCAbasic!$B:$B, N$14, OpenLCAbasic!$C:$C, N$12),
SUMIFS(OpenLCAbasic!$J:$J,OpenLCAbasic!$E:$E, N$11, OpenLCAbasic!$D:$D, N$10, OpenLCAbasic!$F:$F,N$9,OpenLCAbasic!$L:$L,$I$4,OpenLCAbasic!$I:$I,G40, OpenLCAbasic!$B:$B, N$14, OpenLCAbasic!$C:$C, N$12)
)))))</f>
        <v>0.14599000000000001</v>
      </c>
      <c r="O40" s="302"/>
      <c r="P40" s="301">
        <f>IF(AND(P$9="Legacy",B40=B$38,OR(P$11="Low",P$11="High")),
INDEX(OpenLCAbasic!$J:$J,MATCH(CONCATENATE(P$10,"_","Base","_","Legacy_",$I$5,"_",B40,"_",P$13,"_n.a."),OpenLCAbasic!$M:$M,0)),
IF(AND(P$9="Legacy",ISERROR(MATCH(B40,LookUps!$H$5:$H$20,0))),"--",
IF(P$9="Legacy",SUMIFS(OpenLCAbasic!$J:$J,OpenLCAbasic!$E:$E,"Base",OpenLCAbasic!$D:$D,"Base",OpenLCAbasic!$F:$F,P$9,OpenLCAbasic!$L:$L,$I$5,OpenLCAbasic!$I:$I,B40,OpenLCAbasic!$C:$C,P$13),
IF(AND(P$9="Upgraded", OR(P$11="Low", P$11="High"), OR(B40=B$37, B40=B$36)),
INDEX(OpenLCAbasic!$J:$J, MATCH(CONCATENATE(P$11, "_", P$10, "_", "Upgraded_",$I$5,"_",B40, "_", P$12, "_", P$14), OpenLCAbasic!$M:$M,0)),
IF(AND(ISERROR(MATCH(B40, LookUps!$G$5:$G$21,0)), P$9="Upgraded"),
SUMIFS(OpenLCAbasic!$J:$J,OpenLCAbasic!$E:$E, P$11, OpenLCAbasic!$D:$D, P$10, OpenLCAbasic!$F:$F,P$9,OpenLCAbasic!$L:$L,$I$5,OpenLCAbasic!$I:$I,INDEX(LookUps!$G$5:$G$21,MATCH(B40, LookUps!$J$5:$J$21,0)), OpenLCAbasic!$B:$B, P$14, OpenLCAbasic!$C:$C, P$12),
SUMIFS(OpenLCAbasic!$J:$J,OpenLCAbasic!$E:$E, P$11, OpenLCAbasic!$D:$D, P$10, OpenLCAbasic!$F:$F,P$9,OpenLCAbasic!$L:$L,$I$5,OpenLCAbasic!$I:$I,B40, OpenLCAbasic!$B:$B, P$14, OpenLCAbasic!$C:$C, P$12)
)))))</f>
        <v>5.2569999999999999E-2</v>
      </c>
      <c r="Q40" s="303">
        <f>IF(AND(Q$9="Legacy",C40=C$38,OR(Q$11="Low",Q$11="High")),
INDEX(OpenLCAbasic!$J:$J,MATCH(CONCATENATE(Q$10,"_","Base","_","Legacy_",$I$5,"_",C40,"_",Q$13,"_n.a."),OpenLCAbasic!$M:$M,0)),
IF(AND(Q$9="Legacy",ISERROR(MATCH(C40,LookUps!$H$5:$H$20,0))),"--",
IF(Q$9="Legacy",SUMIFS(OpenLCAbasic!$J:$J,OpenLCAbasic!$E:$E,"Base",OpenLCAbasic!$D:$D,"Base",OpenLCAbasic!$F:$F,Q$9,OpenLCAbasic!$L:$L,$I$5,OpenLCAbasic!$I:$I,C40,OpenLCAbasic!$C:$C,Q$13),
IF(AND(Q$9="Upgraded", OR(Q$11="Low", Q$11="High"), OR(C40=C$37, C40=C$36)),
INDEX(OpenLCAbasic!$J:$J, MATCH(CONCATENATE(Q$11, "_", Q$10, "_", "Upgraded_",$I$5,"_",C40, "_", Q$12, "_", Q$14), OpenLCAbasic!$M:$M,0)),
IF(AND(ISERROR(MATCH(C40, LookUps!$G$5:$G$21,0)), Q$9="Upgraded"),
SUMIFS(OpenLCAbasic!$J:$J,OpenLCAbasic!$E:$E, Q$11, OpenLCAbasic!$D:$D, Q$10, OpenLCAbasic!$F:$F,Q$9,OpenLCAbasic!$L:$L,$I$5,OpenLCAbasic!$I:$I,INDEX(LookUps!$G$5:$G$21,MATCH(C40, LookUps!$J$5:$J$21,0)), OpenLCAbasic!$B:$B, Q$14, OpenLCAbasic!$C:$C, Q$12),
SUMIFS(OpenLCAbasic!$J:$J,OpenLCAbasic!$E:$E, Q$11, OpenLCAbasic!$D:$D, Q$10, OpenLCAbasic!$F:$F,Q$9,OpenLCAbasic!$L:$L,$I$5,OpenLCAbasic!$I:$I,C40, OpenLCAbasic!$B:$B, Q$14, OpenLCAbasic!$C:$C, Q$12)
)))))</f>
        <v>8.3000000000000001E-3</v>
      </c>
      <c r="R40" s="303">
        <f>IF(AND(R$9="Legacy",D40=D$38,OR(R$11="Low",R$11="High")),
INDEX(OpenLCAbasic!$J:$J,MATCH(CONCATENATE(R$10,"_","Base","_","Legacy_",$I$5,"_",D40,"_",R$13,"_n.a."),OpenLCAbasic!$M:$M,0)),
IF(AND(R$9="Legacy",ISERROR(MATCH(D40,LookUps!$H$5:$H$20,0))),"--",
IF(R$9="Legacy",SUMIFS(OpenLCAbasic!$J:$J,OpenLCAbasic!$E:$E,"Base",OpenLCAbasic!$D:$D,"Base",OpenLCAbasic!$F:$F,R$9,OpenLCAbasic!$L:$L,$I$5,OpenLCAbasic!$I:$I,D40,OpenLCAbasic!$C:$C,R$13),
IF(AND(R$9="Upgraded", OR(R$11="Low", R$11="High"), OR(D40=D$37, D40=D$36)),
INDEX(OpenLCAbasic!$J:$J, MATCH(CONCATENATE(R$11, "_", R$10, "_", "Upgraded_",$I$5,"_",D40, "_", R$12, "_", R$14), OpenLCAbasic!$M:$M,0)),
IF(AND(ISERROR(MATCH(D40, LookUps!$G$5:$G$21,0)), R$9="Upgraded"),
SUMIFS(OpenLCAbasic!$J:$J,OpenLCAbasic!$E:$E, R$11, OpenLCAbasic!$D:$D, R$10, OpenLCAbasic!$F:$F,R$9,OpenLCAbasic!$L:$L,$I$5,OpenLCAbasic!$I:$I,INDEX(LookUps!$G$5:$G$21,MATCH(D40, LookUps!$J$5:$J$21,0)), OpenLCAbasic!$B:$B, R$14, OpenLCAbasic!$C:$C, R$12),
SUMIFS(OpenLCAbasic!$J:$J,OpenLCAbasic!$E:$E, R$11, OpenLCAbasic!$D:$D, R$10, OpenLCAbasic!$F:$F,R$9,OpenLCAbasic!$L:$L,$I$5,OpenLCAbasic!$I:$I,D40, OpenLCAbasic!$B:$B, R$14, OpenLCAbasic!$C:$C, R$12)
)))))</f>
        <v>8.3000000000000001E-3</v>
      </c>
      <c r="S40" s="303">
        <f>IF(AND(S$9="Legacy",E40=E$38,OR(S$11="Low",S$11="High")),
INDEX(OpenLCAbasic!$J:$J,MATCH(CONCATENATE(S$10,"_","Base","_","Legacy_",$I$5,"_",E40,"_",S$13,"_n.a."),OpenLCAbasic!$M:$M,0)),
IF(AND(S$9="Legacy",ISERROR(MATCH(E40,LookUps!$H$5:$H$20,0))),"--",
IF(S$9="Legacy",SUMIFS(OpenLCAbasic!$J:$J,OpenLCAbasic!$E:$E,"Base",OpenLCAbasic!$D:$D,"Base",OpenLCAbasic!$F:$F,S$9,OpenLCAbasic!$L:$L,$I$5,OpenLCAbasic!$I:$I,E40,OpenLCAbasic!$C:$C,S$13),
IF(AND(S$9="Upgraded", OR(S$11="Low", S$11="High"), OR(E40=E$37, E40=E$36)),
INDEX(OpenLCAbasic!$J:$J, MATCH(CONCATENATE(S$11, "_", S$10, "_", "Upgraded_",$I$5,"_",E40, "_", S$12, "_", S$14), OpenLCAbasic!$M:$M,0)),
IF(AND(ISERROR(MATCH(E40, LookUps!$G$5:$G$21,0)), S$9="Upgraded"),
SUMIFS(OpenLCAbasic!$J:$J,OpenLCAbasic!$E:$E, S$11, OpenLCAbasic!$D:$D, S$10, OpenLCAbasic!$F:$F,S$9,OpenLCAbasic!$L:$L,$I$5,OpenLCAbasic!$I:$I,INDEX(LookUps!$G$5:$G$21,MATCH(E40, LookUps!$J$5:$J$21,0)), OpenLCAbasic!$B:$B, S$14, OpenLCAbasic!$C:$C, S$12),
SUMIFS(OpenLCAbasic!$J:$J,OpenLCAbasic!$E:$E, S$11, OpenLCAbasic!$D:$D, S$10, OpenLCAbasic!$F:$F,S$9,OpenLCAbasic!$L:$L,$I$5,OpenLCAbasic!$I:$I,E40, OpenLCAbasic!$B:$B, S$14, OpenLCAbasic!$C:$C, S$12)
)))))</f>
        <v>8.3000000000000001E-3</v>
      </c>
      <c r="T40" s="303">
        <f>IF(AND(T$9="Legacy",F40=F$38,OR(T$11="Low",T$11="High")),
INDEX(OpenLCAbasic!$J:$J,MATCH(CONCATENATE(T$10,"_","Base","_","Legacy_",$I$5,"_",F40,"_",T$13,"_n.a."),OpenLCAbasic!$M:$M,0)),
IF(AND(T$9="Legacy",ISERROR(MATCH(F40,LookUps!$H$5:$H$20,0))),"--",
IF(T$9="Legacy",SUMIFS(OpenLCAbasic!$J:$J,OpenLCAbasic!$E:$E,"Base",OpenLCAbasic!$D:$D,"Base",OpenLCAbasic!$F:$F,T$9,OpenLCAbasic!$L:$L,$I$5,OpenLCAbasic!$I:$I,F40,OpenLCAbasic!$C:$C,T$13),
IF(AND(T$9="Upgraded", OR(T$11="Low", T$11="High"), OR(F40=F$37, F40=F$36)),
INDEX(OpenLCAbasic!$J:$J, MATCH(CONCATENATE(T$11, "_", T$10, "_", "Upgraded_",$I$5,"_",F40, "_", T$12, "_", T$14), OpenLCAbasic!$M:$M,0)),
IF(AND(ISERROR(MATCH(F40, LookUps!$G$5:$G$21,0)), T$9="Upgraded"),
SUMIFS(OpenLCAbasic!$J:$J,OpenLCAbasic!$E:$E, T$11, OpenLCAbasic!$D:$D, T$10, OpenLCAbasic!$F:$F,T$9,OpenLCAbasic!$L:$L,$I$5,OpenLCAbasic!$I:$I,INDEX(LookUps!$G$5:$G$21,MATCH(F40, LookUps!$J$5:$J$21,0)), OpenLCAbasic!$B:$B, T$14, OpenLCAbasic!$C:$C, T$12),
SUMIFS(OpenLCAbasic!$J:$J,OpenLCAbasic!$E:$E, T$11, OpenLCAbasic!$D:$D, T$10, OpenLCAbasic!$F:$F,T$9,OpenLCAbasic!$L:$L,$I$5,OpenLCAbasic!$I:$I,F40, OpenLCAbasic!$B:$B, T$14, OpenLCAbasic!$C:$C, T$12)
)))))</f>
        <v>8.3000000000000001E-3</v>
      </c>
      <c r="U40" s="303">
        <f>IF(AND(U$9="Legacy",G40=G$38,OR(U$11="Low",U$11="High")),
INDEX(OpenLCAbasic!$J:$J,MATCH(CONCATENATE(U$10,"_","Base","_","Legacy_",$I$5,"_",G40,"_",U$13,"_n.a."),OpenLCAbasic!$M:$M,0)),
IF(AND(U$9="Legacy",ISERROR(MATCH(G40,LookUps!$H$5:$H$20,0))),"--",
IF(U$9="Legacy",SUMIFS(OpenLCAbasic!$J:$J,OpenLCAbasic!$E:$E,"Base",OpenLCAbasic!$D:$D,"Base",OpenLCAbasic!$F:$F,U$9,OpenLCAbasic!$L:$L,$I$5,OpenLCAbasic!$I:$I,G40,OpenLCAbasic!$C:$C,U$13),
IF(AND(U$9="Upgraded", OR(U$11="Low", U$11="High"), OR(G40=G$37, G40=G$36)),
INDEX(OpenLCAbasic!$J:$J, MATCH(CONCATENATE(U$11, "_", U$10, "_", "Upgraded_",$I$5,"_",G40, "_", U$12, "_", U$14), OpenLCAbasic!$M:$M,0)),
IF(AND(ISERROR(MATCH(G40, LookUps!$G$5:$G$21,0)), U$9="Upgraded"),
SUMIFS(OpenLCAbasic!$J:$J,OpenLCAbasic!$E:$E, U$11, OpenLCAbasic!$D:$D, U$10, OpenLCAbasic!$F:$F,U$9,OpenLCAbasic!$L:$L,$I$5,OpenLCAbasic!$I:$I,INDEX(LookUps!$G$5:$G$21,MATCH(G40, LookUps!$J$5:$J$21,0)), OpenLCAbasic!$B:$B, U$14, OpenLCAbasic!$C:$C, U$12),
SUMIFS(OpenLCAbasic!$J:$J,OpenLCAbasic!$E:$E, U$11, OpenLCAbasic!$D:$D, U$10, OpenLCAbasic!$F:$F,U$9,OpenLCAbasic!$L:$L,$I$5,OpenLCAbasic!$I:$I,G40, OpenLCAbasic!$B:$B, U$14, OpenLCAbasic!$C:$C, U$12)
)))))</f>
        <v>8.3000000000000001E-3</v>
      </c>
      <c r="V40" s="302"/>
      <c r="W40" s="303">
        <f>IF(AND(W$9="Legacy",B40=B$38,OR(W$11="Low",W$11="High")),
INDEX(OpenLCAbasic!$J:$J,MATCH(CONCATENATE(W$10,"_","Base","_","Legacy_",$I$6,"_",B40,"_",W$13,"_n.a."),OpenLCAbasic!$M:$M,0)),
IF(AND(W$9="Legacy",ISERROR(MATCH(B40,LookUps!$H$5:$H$20,0))),"--",
IF(W$9="Legacy",SUMIFS(OpenLCAbasic!$J:$J,OpenLCAbasic!$E:$E,"Base",OpenLCAbasic!$D:$D,"Base",OpenLCAbasic!$F:$F,W$9,OpenLCAbasic!$L:$L,$I$6,OpenLCAbasic!$I:$I,B40,OpenLCAbasic!$C:$C,W$13),
IF(AND(W$9="Upgraded", OR(W$11="Low", W$11="High"), OR(B40=B$37, B40=B$36)),
INDEX(OpenLCAbasic!$J:$J, MATCH(CONCATENATE(W$11, "_", W$10, "_", "Upgraded_",$I$6,"_",B40, "_", W$12, "_", W$14), OpenLCAbasic!$M:$M,0)),
IF(AND(ISERROR(MATCH(B40, LookUps!$G$5:$G$21,0)), W$9="Upgraded"),
SUMIFS(OpenLCAbasic!$J:$J,OpenLCAbasic!$E:$E, W$11, OpenLCAbasic!$D:$D, W$10, OpenLCAbasic!$F:$F,W$9,OpenLCAbasic!$L:$L,$I$6,OpenLCAbasic!$I:$I,INDEX(LookUps!$G$5:$G$21,MATCH(B40, LookUps!$J$5:$J$21,0)), OpenLCAbasic!$B:$B, W$14, OpenLCAbasic!$C:$C, W$12),
SUMIFS(OpenLCAbasic!$J:$J,OpenLCAbasic!$E:$E, W$11, OpenLCAbasic!$D:$D, W$10, OpenLCAbasic!$F:$F,W$9,OpenLCAbasic!$L:$L,$I$6,OpenLCAbasic!$I:$I,B40, OpenLCAbasic!$B:$B, W$14, OpenLCAbasic!$C:$C, W$12)
)))))</f>
        <v>3.3376800000000002E-5</v>
      </c>
      <c r="X40" s="303">
        <f>IF(AND(X$9="Legacy",C40=C$38,OR(X$11="Low",X$11="High")),
INDEX(OpenLCAbasic!$J:$J,MATCH(CONCATENATE(X$10,"_","Base","_","Legacy_",$I$6,"_",C40,"_",X$13,"_n.a."),OpenLCAbasic!$M:$M,0)),
IF(AND(X$9="Legacy",ISERROR(MATCH(C40,LookUps!$H$5:$H$20,0))),"--",
IF(X$9="Legacy",SUMIFS(OpenLCAbasic!$J:$J,OpenLCAbasic!$E:$E,"Base",OpenLCAbasic!$D:$D,"Base",OpenLCAbasic!$F:$F,X$9,OpenLCAbasic!$L:$L,$I$6,OpenLCAbasic!$I:$I,C40,OpenLCAbasic!$C:$C,X$13),
IF(AND(X$9="Upgraded", OR(X$11="Low", X$11="High"), OR(C40=C$37, C40=C$36)),
INDEX(OpenLCAbasic!$J:$J, MATCH(CONCATENATE(X$11, "_", X$10, "_", "Upgraded_",$I$6,"_",C40, "_", X$12, "_", X$14), OpenLCAbasic!$M:$M,0)),
IF(AND(ISERROR(MATCH(C40, LookUps!$G$5:$G$21,0)), X$9="Upgraded"),
SUMIFS(OpenLCAbasic!$J:$J,OpenLCAbasic!$E:$E, X$11, OpenLCAbasic!$D:$D, X$10, OpenLCAbasic!$F:$F,X$9,OpenLCAbasic!$L:$L,$I$6,OpenLCAbasic!$I:$I,INDEX(LookUps!$G$5:$G$21,MATCH(C40, LookUps!$J$5:$J$21,0)), OpenLCAbasic!$B:$B, X$14, OpenLCAbasic!$C:$C, X$12),
SUMIFS(OpenLCAbasic!$J:$J,OpenLCAbasic!$E:$E, X$11, OpenLCAbasic!$D:$D, X$10, OpenLCAbasic!$F:$F,X$9,OpenLCAbasic!$L:$L,$I$6,OpenLCAbasic!$I:$I,C40, OpenLCAbasic!$B:$B, X$14, OpenLCAbasic!$C:$C, X$12)
)))))</f>
        <v>3.6874600000000001E-5</v>
      </c>
      <c r="Y40" s="303">
        <f>IF(AND(Y$9="Legacy",D40=D$38,OR(Y$11="Low",Y$11="High")),
INDEX(OpenLCAbasic!$J:$J,MATCH(CONCATENATE(Y$10,"_","Base","_","Legacy_",$I$6,"_",D40,"_",Y$13,"_n.a."),OpenLCAbasic!$M:$M,0)),
IF(AND(Y$9="Legacy",ISERROR(MATCH(D40,LookUps!$H$5:$H$20,0))),"--",
IF(Y$9="Legacy",SUMIFS(OpenLCAbasic!$J:$J,OpenLCAbasic!$E:$E,"Base",OpenLCAbasic!$D:$D,"Base",OpenLCAbasic!$F:$F,Y$9,OpenLCAbasic!$L:$L,$I$6,OpenLCAbasic!$I:$I,D40,OpenLCAbasic!$C:$C,Y$13),
IF(AND(Y$9="Upgraded", OR(Y$11="Low", Y$11="High"), OR(D40=D$37, D40=D$36)),
INDEX(OpenLCAbasic!$J:$J, MATCH(CONCATENATE(Y$11, "_", Y$10, "_", "Upgraded_",$I$6,"_",D40, "_", Y$12, "_", Y$14), OpenLCAbasic!$M:$M,0)),
IF(AND(ISERROR(MATCH(D40, LookUps!$G$5:$G$21,0)), Y$9="Upgraded"),
SUMIFS(OpenLCAbasic!$J:$J,OpenLCAbasic!$E:$E, Y$11, OpenLCAbasic!$D:$D, Y$10, OpenLCAbasic!$F:$F,Y$9,OpenLCAbasic!$L:$L,$I$6,OpenLCAbasic!$I:$I,INDEX(LookUps!$G$5:$G$21,MATCH(D40, LookUps!$J$5:$J$21,0)), OpenLCAbasic!$B:$B, Y$14, OpenLCAbasic!$C:$C, Y$12),
SUMIFS(OpenLCAbasic!$J:$J,OpenLCAbasic!$E:$E, Y$11, OpenLCAbasic!$D:$D, Y$10, OpenLCAbasic!$F:$F,Y$9,OpenLCAbasic!$L:$L,$I$6,OpenLCAbasic!$I:$I,D40, OpenLCAbasic!$B:$B, Y$14, OpenLCAbasic!$C:$C, Y$12)
)))))</f>
        <v>3.6874600000000001E-5</v>
      </c>
      <c r="Z40" s="303">
        <f>IF(AND(Z$9="Legacy",E40=E$38,OR(Z$11="Low",Z$11="High")),
INDEX(OpenLCAbasic!$J:$J,MATCH(CONCATENATE(Z$10,"_","Base","_","Legacy_",$I$6,"_",E40,"_",Z$13,"_n.a."),OpenLCAbasic!$M:$M,0)),
IF(AND(Z$9="Legacy",ISERROR(MATCH(E40,LookUps!$H$5:$H$20,0))),"--",
IF(Z$9="Legacy",SUMIFS(OpenLCAbasic!$J:$J,OpenLCAbasic!$E:$E,"Base",OpenLCAbasic!$D:$D,"Base",OpenLCAbasic!$F:$F,Z$9,OpenLCAbasic!$L:$L,$I$6,OpenLCAbasic!$I:$I,E40,OpenLCAbasic!$C:$C,Z$13),
IF(AND(Z$9="Upgraded", OR(Z$11="Low", Z$11="High"), OR(E40=E$37, E40=E$36)),
INDEX(OpenLCAbasic!$J:$J, MATCH(CONCATENATE(Z$11, "_", Z$10, "_", "Upgraded_",$I$6,"_",E40, "_", Z$12, "_", Z$14), OpenLCAbasic!$M:$M,0)),
IF(AND(ISERROR(MATCH(E40, LookUps!$G$5:$G$21,0)), Z$9="Upgraded"),
SUMIFS(OpenLCAbasic!$J:$J,OpenLCAbasic!$E:$E, Z$11, OpenLCAbasic!$D:$D, Z$10, OpenLCAbasic!$F:$F,Z$9,OpenLCAbasic!$L:$L,$I$6,OpenLCAbasic!$I:$I,INDEX(LookUps!$G$5:$G$21,MATCH(E40, LookUps!$J$5:$J$21,0)), OpenLCAbasic!$B:$B, Z$14, OpenLCAbasic!$C:$C, Z$12),
SUMIFS(OpenLCAbasic!$J:$J,OpenLCAbasic!$E:$E, Z$11, OpenLCAbasic!$D:$D, Z$10, OpenLCAbasic!$F:$F,Z$9,OpenLCAbasic!$L:$L,$I$6,OpenLCAbasic!$I:$I,E40, OpenLCAbasic!$B:$B, Z$14, OpenLCAbasic!$C:$C, Z$12)
)))))</f>
        <v>3.6874600000000001E-5</v>
      </c>
      <c r="AA40" s="303">
        <f>IF(AND(AA$9="Legacy",F40=F$38,OR(AA$11="Low",AA$11="High")),
INDEX(OpenLCAbasic!$J:$J,MATCH(CONCATENATE(AA$10,"_","Base","_","Legacy_",$I$6,"_",F40,"_",AA$13,"_n.a."),OpenLCAbasic!$M:$M,0)),
IF(AND(AA$9="Legacy",ISERROR(MATCH(F40,LookUps!$H$5:$H$20,0))),"--",
IF(AA$9="Legacy",SUMIFS(OpenLCAbasic!$J:$J,OpenLCAbasic!$E:$E,"Base",OpenLCAbasic!$D:$D,"Base",OpenLCAbasic!$F:$F,AA$9,OpenLCAbasic!$L:$L,$I$6,OpenLCAbasic!$I:$I,F40,OpenLCAbasic!$C:$C,AA$13),
IF(AND(AA$9="Upgraded", OR(AA$11="Low", AA$11="High"), OR(F40=F$37, F40=F$36)),
INDEX(OpenLCAbasic!$J:$J, MATCH(CONCATENATE(AA$11, "_", AA$10, "_", "Upgraded_",$I$6,"_",F40, "_", AA$12, "_", AA$14), OpenLCAbasic!$M:$M,0)),
IF(AND(ISERROR(MATCH(F40, LookUps!$G$5:$G$21,0)), AA$9="Upgraded"),
SUMIFS(OpenLCAbasic!$J:$J,OpenLCAbasic!$E:$E, AA$11, OpenLCAbasic!$D:$D, AA$10, OpenLCAbasic!$F:$F,AA$9,OpenLCAbasic!$L:$L,$I$6,OpenLCAbasic!$I:$I,INDEX(LookUps!$G$5:$G$21,MATCH(F40, LookUps!$J$5:$J$21,0)), OpenLCAbasic!$B:$B, AA$14, OpenLCAbasic!$C:$C, AA$12),
SUMIFS(OpenLCAbasic!$J:$J,OpenLCAbasic!$E:$E, AA$11, OpenLCAbasic!$D:$D, AA$10, OpenLCAbasic!$F:$F,AA$9,OpenLCAbasic!$L:$L,$I$6,OpenLCAbasic!$I:$I,F40, OpenLCAbasic!$B:$B, AA$14, OpenLCAbasic!$C:$C, AA$12)
)))))</f>
        <v>3.6874600000000001E-5</v>
      </c>
      <c r="AB40" s="303">
        <f>IF(AND(AB$9="Legacy",G40=G$38,OR(AB$11="Low",AB$11="High")),
INDEX(OpenLCAbasic!$J:$J,MATCH(CONCATENATE(AB$10,"_","Base","_","Legacy_",$I$6,"_",G40,"_",AB$13,"_n.a."),OpenLCAbasic!$M:$M,0)),
IF(AND(AB$9="Legacy",ISERROR(MATCH(G40,LookUps!$H$5:$H$20,0))),"--",
IF(AB$9="Legacy",SUMIFS(OpenLCAbasic!$J:$J,OpenLCAbasic!$E:$E,"Base",OpenLCAbasic!$D:$D,"Base",OpenLCAbasic!$F:$F,AB$9,OpenLCAbasic!$L:$L,$I$6,OpenLCAbasic!$I:$I,G40,OpenLCAbasic!$C:$C,AB$13),
IF(AND(AB$9="Upgraded", OR(AB$11="Low", AB$11="High"), OR(G40=G$37, G40=G$36)),
INDEX(OpenLCAbasic!$J:$J, MATCH(CONCATENATE(AB$11, "_", AB$10, "_", "Upgraded_",$I$6,"_",G40, "_", AB$12, "_", AB$14), OpenLCAbasic!$M:$M,0)),
IF(AND(ISERROR(MATCH(G40, LookUps!$G$5:$G$21,0)), AB$9="Upgraded"),
SUMIFS(OpenLCAbasic!$J:$J,OpenLCAbasic!$E:$E, AB$11, OpenLCAbasic!$D:$D, AB$10, OpenLCAbasic!$F:$F,AB$9,OpenLCAbasic!$L:$L,$I$6,OpenLCAbasic!$I:$I,INDEX(LookUps!$G$5:$G$21,MATCH(G40, LookUps!$J$5:$J$21,0)), OpenLCAbasic!$B:$B, AB$14, OpenLCAbasic!$C:$C, AB$12),
SUMIFS(OpenLCAbasic!$J:$J,OpenLCAbasic!$E:$E, AB$11, OpenLCAbasic!$D:$D, AB$10, OpenLCAbasic!$F:$F,AB$9,OpenLCAbasic!$L:$L,$I$6,OpenLCAbasic!$I:$I,G40, OpenLCAbasic!$B:$B, AB$14, OpenLCAbasic!$C:$C, AB$12)
)))))</f>
        <v>3.6874600000000001E-5</v>
      </c>
    </row>
    <row r="41" spans="2:28" x14ac:dyDescent="0.25">
      <c r="H41" s="214" t="s">
        <v>469</v>
      </c>
      <c r="I41" s="307">
        <f>SUM(I20:I40)</f>
        <v>9.3470800000000018</v>
      </c>
      <c r="J41" s="308">
        <f t="shared" ref="J41" si="17">SUM(J20:J40)</f>
        <v>9.5827799999999996</v>
      </c>
      <c r="K41" s="308">
        <f t="shared" ref="K41" si="18">SUM(K20:K40)</f>
        <v>9.5525000000000002</v>
      </c>
      <c r="L41" s="308">
        <f t="shared" ref="L41" si="19">SUM(L20:L40)</f>
        <v>10.78088</v>
      </c>
      <c r="M41" s="308">
        <f t="shared" ref="M41" si="20">SUM(M20:M40)</f>
        <v>5.3991300000000004</v>
      </c>
      <c r="N41" s="307">
        <f t="shared" ref="N41" si="21">SUM(N20:N40)</f>
        <v>-8.2863400000000009</v>
      </c>
      <c r="O41" s="302"/>
      <c r="P41" s="272">
        <f t="shared" ref="P41" si="22">SUM(P20:P40)</f>
        <v>0.93808000000000002</v>
      </c>
      <c r="Q41" s="307">
        <f t="shared" ref="Q41" si="23">SUM(Q20:Q40)</f>
        <v>1.86656</v>
      </c>
      <c r="R41" s="272">
        <f t="shared" ref="R41" si="24">SUM(R20:R40)</f>
        <v>0.97168000000000021</v>
      </c>
      <c r="S41" s="272">
        <f t="shared" ref="S41" si="25">SUM(S20:S40)</f>
        <v>0.7593000000000002</v>
      </c>
      <c r="T41" s="272">
        <f t="shared" ref="T41" si="26">SUM(T20:T40)</f>
        <v>0.49946999999999997</v>
      </c>
      <c r="U41" s="272">
        <f>SUM(U20:U40)</f>
        <v>2.1490000000000016E-2</v>
      </c>
      <c r="V41" s="309"/>
      <c r="W41" s="272">
        <f t="shared" ref="W41" si="27">SUM(W20:W40)</f>
        <v>2.4458036639999996E-2</v>
      </c>
      <c r="X41" s="272">
        <f t="shared" ref="X41" si="28">SUM(X20:X40)</f>
        <v>1.5679647920000001E-2</v>
      </c>
      <c r="Y41" s="272">
        <f t="shared" ref="Y41" si="29">SUM(Y20:Y40)</f>
        <v>1.5439647920000001E-2</v>
      </c>
      <c r="Z41" s="272">
        <f t="shared" ref="Z41" si="30">SUM(Z20:Z40)</f>
        <v>1.5289647920000001E-2</v>
      </c>
      <c r="AA41" s="272">
        <f t="shared" ref="AA41" si="31">SUM(AA20:AA40)</f>
        <v>1.576891922E-2</v>
      </c>
      <c r="AB41" s="272">
        <f t="shared" ref="AB41" si="32">SUM(AB20:AB40)</f>
        <v>1.4399707920000001E-2</v>
      </c>
    </row>
    <row r="42" spans="2:28" x14ac:dyDescent="0.25">
      <c r="H42" s="214" t="s">
        <v>462</v>
      </c>
      <c r="I42" s="273">
        <f>I41/$I$41</f>
        <v>1</v>
      </c>
      <c r="J42" s="273">
        <f t="shared" ref="J42:N42" si="33">J41/$I$41</f>
        <v>1.0252164312277201</v>
      </c>
      <c r="K42" s="273">
        <f t="shared" si="33"/>
        <v>1.0219769168553172</v>
      </c>
      <c r="L42" s="273">
        <f t="shared" si="33"/>
        <v>1.1533954989151689</v>
      </c>
      <c r="M42" s="273">
        <f t="shared" si="33"/>
        <v>0.5776274515677623</v>
      </c>
      <c r="N42" s="273">
        <f t="shared" si="33"/>
        <v>-0.88651643079977915</v>
      </c>
      <c r="O42" s="298"/>
      <c r="P42" s="273">
        <f>P41/$P$41</f>
        <v>1</v>
      </c>
      <c r="Q42" s="273">
        <f t="shared" ref="Q42:U42" si="34">Q41/$P$41</f>
        <v>1.9897663312297458</v>
      </c>
      <c r="R42" s="273">
        <f t="shared" si="34"/>
        <v>1.0358178406958898</v>
      </c>
      <c r="S42" s="273">
        <f t="shared" si="34"/>
        <v>0.80941923929728832</v>
      </c>
      <c r="T42" s="273">
        <f t="shared" si="34"/>
        <v>0.53243859798737847</v>
      </c>
      <c r="U42" s="273">
        <f t="shared" si="34"/>
        <v>2.2908493945079326E-2</v>
      </c>
      <c r="V42" s="299"/>
      <c r="W42" s="273">
        <f>W41/$W$41</f>
        <v>1</v>
      </c>
      <c r="X42" s="273">
        <f t="shared" ref="X42:AB42" si="35">X41/$W$41</f>
        <v>0.64108367121981724</v>
      </c>
      <c r="Y42" s="273">
        <f t="shared" si="35"/>
        <v>0.63127094571234577</v>
      </c>
      <c r="Z42" s="273">
        <f t="shared" si="35"/>
        <v>0.62513799227017608</v>
      </c>
      <c r="AA42" s="273">
        <f t="shared" si="35"/>
        <v>0.64473364939729694</v>
      </c>
      <c r="AB42" s="273">
        <f t="shared" si="35"/>
        <v>0.58875158836134622</v>
      </c>
    </row>
    <row r="43" spans="2:28" x14ac:dyDescent="0.25">
      <c r="H43" s="300"/>
    </row>
    <row r="45" spans="2:28" x14ac:dyDescent="0.25">
      <c r="I45" s="176"/>
    </row>
  </sheetData>
  <mergeCells count="3">
    <mergeCell ref="I19:N19"/>
    <mergeCell ref="P19:U19"/>
    <mergeCell ref="W19:AB1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LookUps!$C$41:$C$42</xm:f>
          </x14:formula1>
          <xm:sqref>I18:N18</xm:sqref>
        </x14:dataValidation>
        <x14:dataValidation type="list" allowBlank="1" showInputMessage="1" showErrorMessage="1">
          <x14:formula1>
            <xm:f>LookUps!$D$37:$D$39</xm:f>
          </x14:formula1>
          <xm:sqref>I13:N13</xm:sqref>
        </x14:dataValidation>
        <x14:dataValidation type="list" allowBlank="1" showInputMessage="1" showErrorMessage="1">
          <x14:formula1>
            <xm:f>LookUps!$B$37:$B$39</xm:f>
          </x14:formula1>
          <xm:sqref>I12:N12</xm:sqref>
        </x14:dataValidation>
        <x14:dataValidation type="list" allowBlank="1" showInputMessage="1" showErrorMessage="1">
          <x14:formula1>
            <xm:f>LookUps!$D$21:$D$23</xm:f>
          </x14:formula1>
          <xm:sqref>I11:N11</xm:sqref>
        </x14:dataValidation>
        <x14:dataValidation type="list" allowBlank="1" showInputMessage="1" showErrorMessage="1">
          <x14:formula1>
            <xm:f>LookUps!$H$24:$H$32</xm:f>
          </x14:formula1>
          <xm:sqref>I10:N10</xm:sqref>
        </x14:dataValidation>
        <x14:dataValidation type="list" allowBlank="1" showInputMessage="1" showErrorMessage="1">
          <x14:formula1>
            <xm:f>LookUps!$D$16:$D$17</xm:f>
          </x14:formula1>
          <xm:sqref>I9:N9 P9:U17 W9:AB17</xm:sqref>
        </x14:dataValidation>
        <x14:dataValidation type="list" allowBlank="1" showInputMessage="1" showErrorMessage="1">
          <x14:formula1>
            <xm:f>LookUps!$E$5:$E$12</xm:f>
          </x14:formula1>
          <xm:sqref>I4:I6</xm:sqref>
        </x14:dataValidation>
        <x14:dataValidation type="list" allowBlank="1" showInputMessage="1" showErrorMessage="1">
          <x14:formula1>
            <xm:f>LookUps!$C$41:$C$43</xm:f>
          </x14:formula1>
          <xm:sqref>I14:N17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4"/>
  <sheetViews>
    <sheetView workbookViewId="0">
      <selection activeCell="P55" sqref="P55"/>
    </sheetView>
  </sheetViews>
  <sheetFormatPr defaultColWidth="0" defaultRowHeight="15.75" x14ac:dyDescent="0.25"/>
  <cols>
    <col min="1" max="1" width="8" style="164" customWidth="1"/>
    <col min="2" max="2" width="32.125" style="164" hidden="1" customWidth="1"/>
    <col min="3" max="3" width="15.875" style="3" customWidth="1"/>
    <col min="4" max="4" width="13.125" style="3" customWidth="1"/>
    <col min="5" max="13" width="10.875" style="3" customWidth="1"/>
    <col min="14" max="15" width="7.75" style="3" customWidth="1"/>
    <col min="16" max="16" width="15" style="3" bestFit="1" customWidth="1"/>
    <col min="17" max="17" width="20.125" style="3" bestFit="1" customWidth="1"/>
    <col min="18" max="18" width="22.5" style="3" bestFit="1" customWidth="1"/>
    <col min="19" max="19" width="23.25" style="3" bestFit="1" customWidth="1"/>
    <col min="20" max="20" width="23" style="3" bestFit="1" customWidth="1"/>
    <col min="21" max="21" width="19.375" style="3" bestFit="1" customWidth="1"/>
    <col min="22" max="22" width="20.125" style="3" bestFit="1" customWidth="1"/>
    <col min="23" max="23" width="19.875" style="3" bestFit="1" customWidth="1"/>
    <col min="24" max="24" width="14.75" style="3" bestFit="1" customWidth="1"/>
    <col min="25" max="25" width="19.625" style="3" bestFit="1" customWidth="1"/>
    <col min="26" max="26" width="15" style="3" bestFit="1" customWidth="1"/>
    <col min="27" max="27" width="20.125" style="3" bestFit="1" customWidth="1"/>
    <col min="28" max="28" width="22.5" style="3" bestFit="1" customWidth="1"/>
    <col min="29" max="29" width="23.25" style="3" bestFit="1" customWidth="1"/>
    <col min="30" max="30" width="23" style="3" bestFit="1" customWidth="1"/>
    <col min="31" max="31" width="19.375" style="3" bestFit="1" customWidth="1"/>
    <col min="32" max="32" width="20.125" style="3" bestFit="1" customWidth="1"/>
    <col min="33" max="33" width="19.875" style="3" bestFit="1" customWidth="1"/>
    <col min="34" max="34" width="11.875" style="3" bestFit="1" customWidth="1"/>
    <col min="35" max="35" width="19.625" style="3" bestFit="1" customWidth="1"/>
    <col min="36" max="36" width="15" style="3" bestFit="1" customWidth="1"/>
    <col min="37" max="37" width="20.125" style="3" bestFit="1" customWidth="1"/>
    <col min="38" max="38" width="22.5" style="3" bestFit="1" customWidth="1"/>
    <col min="39" max="39" width="23.25" style="3" bestFit="1" customWidth="1"/>
    <col min="40" max="40" width="23" style="3" bestFit="1" customWidth="1"/>
    <col min="41" max="41" width="19.375" style="3" bestFit="1" customWidth="1"/>
    <col min="42" max="42" width="20.125" style="3" bestFit="1" customWidth="1"/>
    <col min="43" max="43" width="19.875" style="3" bestFit="1" customWidth="1"/>
    <col min="44" max="44" width="12.625" style="3" bestFit="1" customWidth="1"/>
    <col min="45" max="45" width="19.625" style="3" bestFit="1" customWidth="1"/>
    <col min="46" max="46" width="15" style="3" bestFit="1" customWidth="1"/>
    <col min="47" max="47" width="20.125" style="3" bestFit="1" customWidth="1"/>
    <col min="48" max="48" width="22.5" style="3" bestFit="1" customWidth="1"/>
    <col min="49" max="49" width="23.25" style="3" bestFit="1" customWidth="1"/>
    <col min="50" max="50" width="23" style="3" bestFit="1" customWidth="1"/>
    <col min="51" max="51" width="19.375" style="3" bestFit="1" customWidth="1"/>
    <col min="52" max="52" width="20.125" style="3" bestFit="1" customWidth="1"/>
    <col min="53" max="53" width="19.875" style="3" bestFit="1" customWidth="1"/>
    <col min="54" max="54" width="10.875" style="3" bestFit="1" customWidth="1"/>
    <col min="55" max="55" width="19.625" style="3" bestFit="1" customWidth="1"/>
    <col min="56" max="56" width="15" style="3" bestFit="1" customWidth="1"/>
    <col min="57" max="57" width="20.125" style="3" bestFit="1" customWidth="1"/>
    <col min="58" max="58" width="22.5" style="3" bestFit="1" customWidth="1"/>
    <col min="59" max="59" width="23.25" style="3" bestFit="1" customWidth="1"/>
    <col min="60" max="60" width="23" style="3" bestFit="1" customWidth="1"/>
    <col min="61" max="61" width="19.375" style="3" bestFit="1" customWidth="1"/>
    <col min="62" max="62" width="20.125" style="3" bestFit="1" customWidth="1"/>
    <col min="63" max="63" width="19.875" style="3" bestFit="1" customWidth="1"/>
    <col min="64" max="64" width="11.875" style="3" bestFit="1" customWidth="1"/>
    <col min="65" max="65" width="19.625" style="3" bestFit="1" customWidth="1"/>
    <col min="66" max="66" width="15" style="3" bestFit="1" customWidth="1"/>
    <col min="67" max="67" width="20.125" style="3" bestFit="1" customWidth="1"/>
    <col min="68" max="68" width="22.5" style="3" bestFit="1" customWidth="1"/>
    <col min="69" max="69" width="23.25" style="3" bestFit="1" customWidth="1"/>
    <col min="70" max="70" width="23" style="3" bestFit="1" customWidth="1"/>
    <col min="71" max="71" width="19.375" style="3" bestFit="1" customWidth="1"/>
    <col min="72" max="72" width="20.125" style="3" bestFit="1" customWidth="1"/>
    <col min="73" max="73" width="19.875" style="3" bestFit="1" customWidth="1"/>
    <col min="74" max="74" width="16.875" style="3" bestFit="1" customWidth="1"/>
    <col min="75" max="75" width="19.625" style="3" bestFit="1" customWidth="1"/>
    <col min="76" max="76" width="15" style="3" bestFit="1" customWidth="1"/>
    <col min="77" max="77" width="20.125" style="3" bestFit="1" customWidth="1"/>
    <col min="78" max="78" width="22.5" style="3" bestFit="1" customWidth="1"/>
    <col min="79" max="79" width="23.25" style="3" bestFit="1" customWidth="1"/>
    <col min="80" max="80" width="23" style="3" bestFit="1" customWidth="1"/>
    <col min="81" max="81" width="19.375" style="3" bestFit="1" customWidth="1"/>
    <col min="82" max="82" width="20.125" style="3" bestFit="1" customWidth="1"/>
    <col min="83" max="83" width="19.875" style="3" bestFit="1" customWidth="1"/>
    <col min="84" max="88" width="9" style="3" customWidth="1"/>
    <col min="89" max="16384" width="9" style="3" hidden="1"/>
  </cols>
  <sheetData>
    <row r="1" spans="1:83" x14ac:dyDescent="0.25">
      <c r="A1" s="163" t="s">
        <v>506</v>
      </c>
    </row>
    <row r="3" spans="1:83" x14ac:dyDescent="0.25">
      <c r="C3" s="3" t="s">
        <v>507</v>
      </c>
    </row>
    <row r="4" spans="1:83" x14ac:dyDescent="0.25">
      <c r="C4" s="5" t="s">
        <v>36</v>
      </c>
      <c r="D4" s="5" t="str">
        <f>'AD Scenarios'!F11</f>
        <v>GWP</v>
      </c>
      <c r="E4" s="5" t="str">
        <f>'AD Scenarios'!G11</f>
        <v>GWP</v>
      </c>
      <c r="F4" s="5" t="str">
        <f>'AD Scenarios'!H11</f>
        <v>GWP</v>
      </c>
      <c r="G4" s="5" t="str">
        <f>'AD Scenarios'!I11</f>
        <v>GWP</v>
      </c>
      <c r="H4" s="5" t="str">
        <f>'AD Scenarios'!J11</f>
        <v>GWP</v>
      </c>
      <c r="I4" s="5" t="str">
        <f>'AD Scenarios'!K11</f>
        <v>GWP</v>
      </c>
      <c r="J4" s="5" t="str">
        <f>'AD Scenarios'!L11</f>
        <v>GWP</v>
      </c>
      <c r="K4" s="5" t="str">
        <f>'AD Scenarios'!M11</f>
        <v>GWP</v>
      </c>
      <c r="L4" s="5" t="str">
        <f>'AD Scenarios'!N11</f>
        <v>GWP</v>
      </c>
      <c r="M4" s="5" t="str">
        <f>'AD Scenarios'!O11</f>
        <v>GWP</v>
      </c>
      <c r="N4" s="5" t="str">
        <f>'AD Scenarios'!P11</f>
        <v>EP</v>
      </c>
      <c r="O4" s="5" t="str">
        <f>'AD Scenarios'!Q11</f>
        <v>EP</v>
      </c>
      <c r="P4" s="5" t="str">
        <f>'AD Scenarios'!R11</f>
        <v>EP</v>
      </c>
      <c r="Q4" s="5" t="str">
        <f>'AD Scenarios'!S11</f>
        <v>EP</v>
      </c>
      <c r="R4" s="5" t="str">
        <f>'AD Scenarios'!T11</f>
        <v>EP</v>
      </c>
      <c r="S4" s="5" t="str">
        <f>'AD Scenarios'!U11</f>
        <v>EP</v>
      </c>
      <c r="T4" s="5" t="str">
        <f>'AD Scenarios'!V11</f>
        <v>EP</v>
      </c>
      <c r="U4" s="5" t="str">
        <f>'AD Scenarios'!W11</f>
        <v>EP</v>
      </c>
      <c r="V4" s="5" t="str">
        <f>'AD Scenarios'!X11</f>
        <v>EP</v>
      </c>
      <c r="W4" s="5" t="str">
        <f>'AD Scenarios'!Y11</f>
        <v>EP</v>
      </c>
      <c r="X4" s="5" t="str">
        <f>'AD Scenarios'!Z11</f>
        <v>PMFP</v>
      </c>
      <c r="Y4" s="5" t="str">
        <f>'AD Scenarios'!AA11</f>
        <v>PMFP</v>
      </c>
      <c r="Z4" s="5" t="str">
        <f>'AD Scenarios'!AB11</f>
        <v>PMFP</v>
      </c>
      <c r="AA4" s="5" t="str">
        <f>'AD Scenarios'!AC11</f>
        <v>PMFP</v>
      </c>
      <c r="AB4" s="5" t="str">
        <f>'AD Scenarios'!AD11</f>
        <v>PMFP</v>
      </c>
      <c r="AC4" s="5" t="str">
        <f>'AD Scenarios'!AE11</f>
        <v>PMFP</v>
      </c>
      <c r="AD4" s="5" t="str">
        <f>'AD Scenarios'!AF11</f>
        <v>PMFP</v>
      </c>
      <c r="AE4" s="5" t="str">
        <f>'AD Scenarios'!AG11</f>
        <v>PMFP</v>
      </c>
      <c r="AF4" s="5" t="str">
        <f>'AD Scenarios'!AH11</f>
        <v>PMFP</v>
      </c>
      <c r="AG4" s="5" t="str">
        <f>'AD Scenarios'!AI11</f>
        <v>PMFP</v>
      </c>
      <c r="AH4" s="5" t="str">
        <f>'AD Scenarios'!AJ11</f>
        <v>SFP</v>
      </c>
      <c r="AI4" s="5" t="str">
        <f>'AD Scenarios'!AK11</f>
        <v>SFP</v>
      </c>
      <c r="AJ4" s="5" t="str">
        <f>'AD Scenarios'!AL11</f>
        <v>SFP</v>
      </c>
      <c r="AK4" s="5" t="str">
        <f>'AD Scenarios'!AM11</f>
        <v>SFP</v>
      </c>
      <c r="AL4" s="5" t="str">
        <f>'AD Scenarios'!AN11</f>
        <v>SFP</v>
      </c>
      <c r="AM4" s="5" t="str">
        <f>'AD Scenarios'!AO11</f>
        <v>SFP</v>
      </c>
      <c r="AN4" s="5" t="str">
        <f>'AD Scenarios'!AP11</f>
        <v>SFP</v>
      </c>
      <c r="AO4" s="5" t="str">
        <f>'AD Scenarios'!AQ11</f>
        <v>SFP</v>
      </c>
      <c r="AP4" s="5" t="str">
        <f>'AD Scenarios'!AR11</f>
        <v>SFP</v>
      </c>
      <c r="AQ4" s="5" t="str">
        <f>'AD Scenarios'!AS11</f>
        <v>SFP</v>
      </c>
      <c r="AR4" s="5" t="str">
        <f>'AD Scenarios'!AT11</f>
        <v>AP</v>
      </c>
      <c r="AS4" s="5" t="str">
        <f>'AD Scenarios'!AU11</f>
        <v>AP</v>
      </c>
      <c r="AT4" s="5" t="str">
        <f>'AD Scenarios'!AV11</f>
        <v>AP</v>
      </c>
      <c r="AU4" s="5" t="str">
        <f>'AD Scenarios'!AW11</f>
        <v>AP</v>
      </c>
      <c r="AV4" s="5" t="str">
        <f>'AD Scenarios'!AX11</f>
        <v>AP</v>
      </c>
      <c r="AW4" s="5" t="str">
        <f>'AD Scenarios'!AY11</f>
        <v>AP</v>
      </c>
      <c r="AX4" s="5" t="str">
        <f>'AD Scenarios'!AZ11</f>
        <v>AP</v>
      </c>
      <c r="AY4" s="5" t="str">
        <f>'AD Scenarios'!BA11</f>
        <v>AP</v>
      </c>
      <c r="AZ4" s="5" t="str">
        <f>'AD Scenarios'!BB11</f>
        <v>AP</v>
      </c>
      <c r="BA4" s="5" t="str">
        <f>'AD Scenarios'!BC11</f>
        <v>AP</v>
      </c>
      <c r="BB4" s="5" t="str">
        <f>'AD Scenarios'!BD11</f>
        <v>WU</v>
      </c>
      <c r="BC4" s="5" t="str">
        <f>'AD Scenarios'!BE11</f>
        <v>WU</v>
      </c>
      <c r="BD4" s="5" t="str">
        <f>'AD Scenarios'!BF11</f>
        <v>WU</v>
      </c>
      <c r="BE4" s="5" t="str">
        <f>'AD Scenarios'!BG11</f>
        <v>WU</v>
      </c>
      <c r="BF4" s="5" t="str">
        <f>'AD Scenarios'!BH11</f>
        <v>WU</v>
      </c>
      <c r="BG4" s="5" t="str">
        <f>'AD Scenarios'!BI11</f>
        <v>WU</v>
      </c>
      <c r="BH4" s="5" t="str">
        <f>'AD Scenarios'!BJ11</f>
        <v>WU</v>
      </c>
      <c r="BI4" s="5" t="str">
        <f>'AD Scenarios'!BK11</f>
        <v>WU</v>
      </c>
      <c r="BJ4" s="5" t="str">
        <f>'AD Scenarios'!BL11</f>
        <v>WU</v>
      </c>
      <c r="BK4" s="5" t="str">
        <f>'AD Scenarios'!BM11</f>
        <v>WU</v>
      </c>
      <c r="BL4" s="5" t="str">
        <f>'AD Scenarios'!BN11</f>
        <v>FDP</v>
      </c>
      <c r="BM4" s="5" t="str">
        <f>'AD Scenarios'!BO11</f>
        <v>FDP</v>
      </c>
      <c r="BN4" s="5" t="str">
        <f>'AD Scenarios'!BP11</f>
        <v>FDP</v>
      </c>
      <c r="BO4" s="5" t="str">
        <f>'AD Scenarios'!BQ11</f>
        <v>FDP</v>
      </c>
      <c r="BP4" s="5" t="str">
        <f>'AD Scenarios'!BR11</f>
        <v>FDP</v>
      </c>
      <c r="BQ4" s="5" t="str">
        <f>'AD Scenarios'!BS11</f>
        <v>FDP</v>
      </c>
      <c r="BR4" s="5" t="str">
        <f>'AD Scenarios'!BT11</f>
        <v>FDP</v>
      </c>
      <c r="BS4" s="5" t="str">
        <f>'AD Scenarios'!BU11</f>
        <v>FDP</v>
      </c>
      <c r="BT4" s="5" t="str">
        <f>'AD Scenarios'!BV11</f>
        <v>FDP</v>
      </c>
      <c r="BU4" s="5" t="str">
        <f>'AD Scenarios'!BW11</f>
        <v>FDP</v>
      </c>
      <c r="BV4" s="5" t="str">
        <f>'AD Scenarios'!BX11</f>
        <v>CED</v>
      </c>
      <c r="BW4" s="5" t="str">
        <f>'AD Scenarios'!BY11</f>
        <v>CED</v>
      </c>
      <c r="BX4" s="5" t="str">
        <f>'AD Scenarios'!BZ11</f>
        <v>CED</v>
      </c>
      <c r="BY4" s="5" t="str">
        <f>'AD Scenarios'!CA11</f>
        <v>CED</v>
      </c>
      <c r="BZ4" s="5" t="str">
        <f>'AD Scenarios'!CB11</f>
        <v>CED</v>
      </c>
      <c r="CA4" s="5" t="str">
        <f>'AD Scenarios'!CC11</f>
        <v>CED</v>
      </c>
      <c r="CB4" s="5" t="str">
        <f>'AD Scenarios'!CD11</f>
        <v>CED</v>
      </c>
      <c r="CC4" s="5" t="str">
        <f>'AD Scenarios'!CE11</f>
        <v>CED</v>
      </c>
      <c r="CD4" s="5" t="str">
        <f>'AD Scenarios'!CF11</f>
        <v>CED</v>
      </c>
      <c r="CE4" s="5" t="str">
        <f>'AD Scenarios'!CG11</f>
        <v>CED</v>
      </c>
    </row>
    <row r="5" spans="1:83" s="168" customFormat="1" ht="63" x14ac:dyDescent="0.25">
      <c r="A5" s="165"/>
      <c r="B5" s="165"/>
      <c r="C5" s="166" t="s">
        <v>43</v>
      </c>
      <c r="D5" s="167" t="str">
        <f>CONCATENATE(INDEX(LookUps!$D$5:$D$12,MATCH('Annual Results'!D4,LookUps!$C$5:$C$12,0)), "/m3 wastewater")</f>
        <v>kg CO2 eq/m3 wastewater</v>
      </c>
      <c r="E5" s="167" t="str">
        <f>CONCATENATE(INDEX(LookUps!$D$5:$D$12,MATCH('Annual Results'!E4,LookUps!$C$5:$C$12,0)), "/m3 wastewater")</f>
        <v>kg CO2 eq/m3 wastewater</v>
      </c>
      <c r="F5" s="167" t="str">
        <f>CONCATENATE(INDEX(LookUps!$D$5:$D$12,MATCH('Annual Results'!F4,LookUps!$C$5:$C$12,0)), "/m3 wastewater")</f>
        <v>kg CO2 eq/m3 wastewater</v>
      </c>
      <c r="G5" s="167" t="str">
        <f>CONCATENATE(INDEX(LookUps!$D$5:$D$12,MATCH('Annual Results'!G4,LookUps!$C$5:$C$12,0)), "/m3 wastewater")</f>
        <v>kg CO2 eq/m3 wastewater</v>
      </c>
      <c r="H5" s="167" t="str">
        <f>CONCATENATE(INDEX(LookUps!$D$5:$D$12,MATCH('Annual Results'!H4,LookUps!$C$5:$C$12,0)), "/m3 wastewater")</f>
        <v>kg CO2 eq/m3 wastewater</v>
      </c>
      <c r="I5" s="167" t="str">
        <f>CONCATENATE(INDEX(LookUps!$D$5:$D$12,MATCH('Annual Results'!I4,LookUps!$C$5:$C$12,0)), "/m3 wastewater")</f>
        <v>kg CO2 eq/m3 wastewater</v>
      </c>
      <c r="J5" s="167" t="str">
        <f>CONCATENATE(INDEX(LookUps!$D$5:$D$12,MATCH('Annual Results'!J4,LookUps!$C$5:$C$12,0)), "/m3 wastewater")</f>
        <v>kg CO2 eq/m3 wastewater</v>
      </c>
      <c r="K5" s="167" t="str">
        <f>CONCATENATE(INDEX(LookUps!$D$5:$D$12,MATCH('Annual Results'!K4,LookUps!$C$5:$C$12,0)), "/m3 wastewater")</f>
        <v>kg CO2 eq/m3 wastewater</v>
      </c>
      <c r="L5" s="167" t="str">
        <f>CONCATENATE(INDEX(LookUps!$D$5:$D$12,MATCH('Annual Results'!L4,LookUps!$C$5:$C$12,0)), "/m3 wastewater")</f>
        <v>kg CO2 eq/m3 wastewater</v>
      </c>
      <c r="M5" s="167" t="str">
        <f>CONCATENATE(INDEX(LookUps!$D$5:$D$12,MATCH('Annual Results'!M4,LookUps!$C$5:$C$12,0)), "/m3 wastewater")</f>
        <v>kg CO2 eq/m3 wastewater</v>
      </c>
      <c r="N5" s="167" t="str">
        <f>CONCATENATE(INDEX(LookUps!$D$5:$D$12,MATCH('Annual Results'!N4,LookUps!$C$5:$C$12,0)), "/m3 wastewater")</f>
        <v>kg N eq/m3 wastewater</v>
      </c>
      <c r="O5" s="167" t="str">
        <f>CONCATENATE(INDEX(LookUps!$D$5:$D$12,MATCH('Annual Results'!O4,LookUps!$C$5:$C$12,0)), "/m3 wastewater")</f>
        <v>kg N eq/m3 wastewater</v>
      </c>
      <c r="P5" s="167" t="str">
        <f>CONCATENATE(INDEX(LookUps!$D$5:$D$12,MATCH('Annual Results'!P4,LookUps!$C$5:$C$12,0)), "/m3 wastewater")</f>
        <v>kg N eq/m3 wastewater</v>
      </c>
      <c r="Q5" s="167" t="str">
        <f>CONCATENATE(INDEX(LookUps!$D$5:$D$12,MATCH('Annual Results'!Q4,LookUps!$C$5:$C$12,0)), "/m3 wastewater")</f>
        <v>kg N eq/m3 wastewater</v>
      </c>
      <c r="R5" s="167" t="str">
        <f>CONCATENATE(INDEX(LookUps!$D$5:$D$12,MATCH('Annual Results'!R4,LookUps!$C$5:$C$12,0)), "/m3 wastewater")</f>
        <v>kg N eq/m3 wastewater</v>
      </c>
      <c r="S5" s="167" t="str">
        <f>CONCATENATE(INDEX(LookUps!$D$5:$D$12,MATCH('Annual Results'!S4,LookUps!$C$5:$C$12,0)), "/m3 wastewater")</f>
        <v>kg N eq/m3 wastewater</v>
      </c>
      <c r="T5" s="167" t="str">
        <f>CONCATENATE(INDEX(LookUps!$D$5:$D$12,MATCH('Annual Results'!T4,LookUps!$C$5:$C$12,0)), "/m3 wastewater")</f>
        <v>kg N eq/m3 wastewater</v>
      </c>
      <c r="U5" s="167" t="str">
        <f>CONCATENATE(INDEX(LookUps!$D$5:$D$12,MATCH('Annual Results'!U4,LookUps!$C$5:$C$12,0)), "/m3 wastewater")</f>
        <v>kg N eq/m3 wastewater</v>
      </c>
      <c r="V5" s="167" t="str">
        <f>CONCATENATE(INDEX(LookUps!$D$5:$D$12,MATCH('Annual Results'!V4,LookUps!$C$5:$C$12,0)), "/m3 wastewater")</f>
        <v>kg N eq/m3 wastewater</v>
      </c>
      <c r="W5" s="167" t="str">
        <f>CONCATENATE(INDEX(LookUps!$D$5:$D$12,MATCH('Annual Results'!W4,LookUps!$C$5:$C$12,0)), "/m3 wastewater")</f>
        <v>kg N eq/m3 wastewater</v>
      </c>
      <c r="X5" s="167" t="str">
        <f>CONCATENATE(INDEX(LookUps!$D$5:$D$12,MATCH('Annual Results'!X4,LookUps!$C$5:$C$12,0)), "/m3 wastewater")</f>
        <v>kg PM2.5 eq/m3 wastewater</v>
      </c>
      <c r="Y5" s="167" t="str">
        <f>CONCATENATE(INDEX(LookUps!$D$5:$D$12,MATCH('Annual Results'!Y4,LookUps!$C$5:$C$12,0)), "/m3 wastewater")</f>
        <v>kg PM2.5 eq/m3 wastewater</v>
      </c>
      <c r="Z5" s="167" t="str">
        <f>CONCATENATE(INDEX(LookUps!$D$5:$D$12,MATCH('Annual Results'!Z4,LookUps!$C$5:$C$12,0)), "/m3 wastewater")</f>
        <v>kg PM2.5 eq/m3 wastewater</v>
      </c>
      <c r="AA5" s="167" t="str">
        <f>CONCATENATE(INDEX(LookUps!$D$5:$D$12,MATCH('Annual Results'!AA4,LookUps!$C$5:$C$12,0)), "/m3 wastewater")</f>
        <v>kg PM2.5 eq/m3 wastewater</v>
      </c>
      <c r="AB5" s="167" t="str">
        <f>CONCATENATE(INDEX(LookUps!$D$5:$D$12,MATCH('Annual Results'!AB4,LookUps!$C$5:$C$12,0)), "/m3 wastewater")</f>
        <v>kg PM2.5 eq/m3 wastewater</v>
      </c>
      <c r="AC5" s="167" t="str">
        <f>CONCATENATE(INDEX(LookUps!$D$5:$D$12,MATCH('Annual Results'!AC4,LookUps!$C$5:$C$12,0)), "/m3 wastewater")</f>
        <v>kg PM2.5 eq/m3 wastewater</v>
      </c>
      <c r="AD5" s="167" t="str">
        <f>CONCATENATE(INDEX(LookUps!$D$5:$D$12,MATCH('Annual Results'!AD4,LookUps!$C$5:$C$12,0)), "/m3 wastewater")</f>
        <v>kg PM2.5 eq/m3 wastewater</v>
      </c>
      <c r="AE5" s="167" t="str">
        <f>CONCATENATE(INDEX(LookUps!$D$5:$D$12,MATCH('Annual Results'!AE4,LookUps!$C$5:$C$12,0)), "/m3 wastewater")</f>
        <v>kg PM2.5 eq/m3 wastewater</v>
      </c>
      <c r="AF5" s="167" t="str">
        <f>CONCATENATE(INDEX(LookUps!$D$5:$D$12,MATCH('Annual Results'!AF4,LookUps!$C$5:$C$12,0)), "/m3 wastewater")</f>
        <v>kg PM2.5 eq/m3 wastewater</v>
      </c>
      <c r="AG5" s="167" t="str">
        <f>CONCATENATE(INDEX(LookUps!$D$5:$D$12,MATCH('Annual Results'!AG4,LookUps!$C$5:$C$12,0)), "/m3 wastewater")</f>
        <v>kg PM2.5 eq/m3 wastewater</v>
      </c>
      <c r="AH5" s="167" t="str">
        <f>CONCATENATE(INDEX(LookUps!$D$5:$D$12,MATCH('Annual Results'!AH4,LookUps!$C$5:$C$12,0)), "/m3 wastewater")</f>
        <v>kg O3 eq/m3 wastewater</v>
      </c>
      <c r="AI5" s="167" t="str">
        <f>CONCATENATE(INDEX(LookUps!$D$5:$D$12,MATCH('Annual Results'!AI4,LookUps!$C$5:$C$12,0)), "/m3 wastewater")</f>
        <v>kg O3 eq/m3 wastewater</v>
      </c>
      <c r="AJ5" s="167" t="str">
        <f>CONCATENATE(INDEX(LookUps!$D$5:$D$12,MATCH('Annual Results'!AJ4,LookUps!$C$5:$C$12,0)), "/m3 wastewater")</f>
        <v>kg O3 eq/m3 wastewater</v>
      </c>
      <c r="AK5" s="167" t="str">
        <f>CONCATENATE(INDEX(LookUps!$D$5:$D$12,MATCH('Annual Results'!AK4,LookUps!$C$5:$C$12,0)), "/m3 wastewater")</f>
        <v>kg O3 eq/m3 wastewater</v>
      </c>
      <c r="AL5" s="167" t="str">
        <f>CONCATENATE(INDEX(LookUps!$D$5:$D$12,MATCH('Annual Results'!AL4,LookUps!$C$5:$C$12,0)), "/m3 wastewater")</f>
        <v>kg O3 eq/m3 wastewater</v>
      </c>
      <c r="AM5" s="167" t="str">
        <f>CONCATENATE(INDEX(LookUps!$D$5:$D$12,MATCH('Annual Results'!AM4,LookUps!$C$5:$C$12,0)), "/m3 wastewater")</f>
        <v>kg O3 eq/m3 wastewater</v>
      </c>
      <c r="AN5" s="167" t="str">
        <f>CONCATENATE(INDEX(LookUps!$D$5:$D$12,MATCH('Annual Results'!AN4,LookUps!$C$5:$C$12,0)), "/m3 wastewater")</f>
        <v>kg O3 eq/m3 wastewater</v>
      </c>
      <c r="AO5" s="167" t="str">
        <f>CONCATENATE(INDEX(LookUps!$D$5:$D$12,MATCH('Annual Results'!AO4,LookUps!$C$5:$C$12,0)), "/m3 wastewater")</f>
        <v>kg O3 eq/m3 wastewater</v>
      </c>
      <c r="AP5" s="167" t="str">
        <f>CONCATENATE(INDEX(LookUps!$D$5:$D$12,MATCH('Annual Results'!AP4,LookUps!$C$5:$C$12,0)), "/m3 wastewater")</f>
        <v>kg O3 eq/m3 wastewater</v>
      </c>
      <c r="AQ5" s="167" t="str">
        <f>CONCATENATE(INDEX(LookUps!$D$5:$D$12,MATCH('Annual Results'!AQ4,LookUps!$C$5:$C$12,0)), "/m3 wastewater")</f>
        <v>kg O3 eq/m3 wastewater</v>
      </c>
      <c r="AR5" s="167" t="str">
        <f>CONCATENATE(INDEX(LookUps!$D$5:$D$12,MATCH('Annual Results'!AR4,LookUps!$C$5:$C$12,0)), "/m3 wastewater")</f>
        <v>kg SO2 eq/m3 wastewater</v>
      </c>
      <c r="AS5" s="167" t="str">
        <f>CONCATENATE(INDEX(LookUps!$D$5:$D$12,MATCH('Annual Results'!AS4,LookUps!$C$5:$C$12,0)), "/m3 wastewater")</f>
        <v>kg SO2 eq/m3 wastewater</v>
      </c>
      <c r="AT5" s="167" t="str">
        <f>CONCATENATE(INDEX(LookUps!$D$5:$D$12,MATCH('Annual Results'!AT4,LookUps!$C$5:$C$12,0)), "/m3 wastewater")</f>
        <v>kg SO2 eq/m3 wastewater</v>
      </c>
      <c r="AU5" s="167" t="str">
        <f>CONCATENATE(INDEX(LookUps!$D$5:$D$12,MATCH('Annual Results'!AU4,LookUps!$C$5:$C$12,0)), "/m3 wastewater")</f>
        <v>kg SO2 eq/m3 wastewater</v>
      </c>
      <c r="AV5" s="167" t="str">
        <f>CONCATENATE(INDEX(LookUps!$D$5:$D$12,MATCH('Annual Results'!AV4,LookUps!$C$5:$C$12,0)), "/m3 wastewater")</f>
        <v>kg SO2 eq/m3 wastewater</v>
      </c>
      <c r="AW5" s="167" t="str">
        <f>CONCATENATE(INDEX(LookUps!$D$5:$D$12,MATCH('Annual Results'!AW4,LookUps!$C$5:$C$12,0)), "/m3 wastewater")</f>
        <v>kg SO2 eq/m3 wastewater</v>
      </c>
      <c r="AX5" s="167" t="str">
        <f>CONCATENATE(INDEX(LookUps!$D$5:$D$12,MATCH('Annual Results'!AX4,LookUps!$C$5:$C$12,0)), "/m3 wastewater")</f>
        <v>kg SO2 eq/m3 wastewater</v>
      </c>
      <c r="AY5" s="167" t="str">
        <f>CONCATENATE(INDEX(LookUps!$D$5:$D$12,MATCH('Annual Results'!AY4,LookUps!$C$5:$C$12,0)), "/m3 wastewater")</f>
        <v>kg SO2 eq/m3 wastewater</v>
      </c>
      <c r="AZ5" s="167" t="str">
        <f>CONCATENATE(INDEX(LookUps!$D$5:$D$12,MATCH('Annual Results'!AZ4,LookUps!$C$5:$C$12,0)), "/m3 wastewater")</f>
        <v>kg SO2 eq/m3 wastewater</v>
      </c>
      <c r="BA5" s="167" t="str">
        <f>CONCATENATE(INDEX(LookUps!$D$5:$D$12,MATCH('Annual Results'!BA4,LookUps!$C$5:$C$12,0)), "/m3 wastewater")</f>
        <v>kg SO2 eq/m3 wastewater</v>
      </c>
      <c r="BB5" s="167" t="str">
        <f>CONCATENATE(INDEX(LookUps!$D$5:$D$12,MATCH('Annual Results'!BB4,LookUps!$C$5:$C$12,0)), "/m3 wastewater")</f>
        <v>m3 H2O/m3 wastewater</v>
      </c>
      <c r="BC5" s="167" t="str">
        <f>CONCATENATE(INDEX(LookUps!$D$5:$D$12,MATCH('Annual Results'!BC4,LookUps!$C$5:$C$12,0)), "/m3 wastewater")</f>
        <v>m3 H2O/m3 wastewater</v>
      </c>
      <c r="BD5" s="167" t="str">
        <f>CONCATENATE(INDEX(LookUps!$D$5:$D$12,MATCH('Annual Results'!BD4,LookUps!$C$5:$C$12,0)), "/m3 wastewater")</f>
        <v>m3 H2O/m3 wastewater</v>
      </c>
      <c r="BE5" s="167" t="str">
        <f>CONCATENATE(INDEX(LookUps!$D$5:$D$12,MATCH('Annual Results'!BE4,LookUps!$C$5:$C$12,0)), "/m3 wastewater")</f>
        <v>m3 H2O/m3 wastewater</v>
      </c>
      <c r="BF5" s="167" t="str">
        <f>CONCATENATE(INDEX(LookUps!$D$5:$D$12,MATCH('Annual Results'!BF4,LookUps!$C$5:$C$12,0)), "/m3 wastewater")</f>
        <v>m3 H2O/m3 wastewater</v>
      </c>
      <c r="BG5" s="167" t="str">
        <f>CONCATENATE(INDEX(LookUps!$D$5:$D$12,MATCH('Annual Results'!BG4,LookUps!$C$5:$C$12,0)), "/m3 wastewater")</f>
        <v>m3 H2O/m3 wastewater</v>
      </c>
      <c r="BH5" s="167" t="str">
        <f>CONCATENATE(INDEX(LookUps!$D$5:$D$12,MATCH('Annual Results'!BH4,LookUps!$C$5:$C$12,0)), "/m3 wastewater")</f>
        <v>m3 H2O/m3 wastewater</v>
      </c>
      <c r="BI5" s="167" t="str">
        <f>CONCATENATE(INDEX(LookUps!$D$5:$D$12,MATCH('Annual Results'!BI4,LookUps!$C$5:$C$12,0)), "/m3 wastewater")</f>
        <v>m3 H2O/m3 wastewater</v>
      </c>
      <c r="BJ5" s="167" t="str">
        <f>CONCATENATE(INDEX(LookUps!$D$5:$D$12,MATCH('Annual Results'!BJ4,LookUps!$C$5:$C$12,0)), "/m3 wastewater")</f>
        <v>m3 H2O/m3 wastewater</v>
      </c>
      <c r="BK5" s="167" t="str">
        <f>CONCATENATE(INDEX(LookUps!$D$5:$D$12,MATCH('Annual Results'!BK4,LookUps!$C$5:$C$12,0)), "/m3 wastewater")</f>
        <v>m3 H2O/m3 wastewater</v>
      </c>
      <c r="BL5" s="167" t="str">
        <f>CONCATENATE(INDEX(LookUps!$D$5:$D$12,MATCH('Annual Results'!BL4,LookUps!$C$5:$C$12,0)), "/m3 wastewater")</f>
        <v>kg oil eq/m3 wastewater</v>
      </c>
      <c r="BM5" s="167" t="str">
        <f>CONCATENATE(INDEX(LookUps!$D$5:$D$12,MATCH('Annual Results'!BM4,LookUps!$C$5:$C$12,0)), "/m3 wastewater")</f>
        <v>kg oil eq/m3 wastewater</v>
      </c>
      <c r="BN5" s="167" t="str">
        <f>CONCATENATE(INDEX(LookUps!$D$5:$D$12,MATCH('Annual Results'!BN4,LookUps!$C$5:$C$12,0)), "/m3 wastewater")</f>
        <v>kg oil eq/m3 wastewater</v>
      </c>
      <c r="BO5" s="167" t="str">
        <f>CONCATENATE(INDEX(LookUps!$D$5:$D$12,MATCH('Annual Results'!BO4,LookUps!$C$5:$C$12,0)), "/m3 wastewater")</f>
        <v>kg oil eq/m3 wastewater</v>
      </c>
      <c r="BP5" s="167" t="str">
        <f>CONCATENATE(INDEX(LookUps!$D$5:$D$12,MATCH('Annual Results'!BP4,LookUps!$C$5:$C$12,0)), "/m3 wastewater")</f>
        <v>kg oil eq/m3 wastewater</v>
      </c>
      <c r="BQ5" s="167" t="str">
        <f>CONCATENATE(INDEX(LookUps!$D$5:$D$12,MATCH('Annual Results'!BQ4,LookUps!$C$5:$C$12,0)), "/m3 wastewater")</f>
        <v>kg oil eq/m3 wastewater</v>
      </c>
      <c r="BR5" s="167" t="str">
        <f>CONCATENATE(INDEX(LookUps!$D$5:$D$12,MATCH('Annual Results'!BR4,LookUps!$C$5:$C$12,0)), "/m3 wastewater")</f>
        <v>kg oil eq/m3 wastewater</v>
      </c>
      <c r="BS5" s="167" t="str">
        <f>CONCATENATE(INDEX(LookUps!$D$5:$D$12,MATCH('Annual Results'!BS4,LookUps!$C$5:$C$12,0)), "/m3 wastewater")</f>
        <v>kg oil eq/m3 wastewater</v>
      </c>
      <c r="BT5" s="167" t="str">
        <f>CONCATENATE(INDEX(LookUps!$D$5:$D$12,MATCH('Annual Results'!BT4,LookUps!$C$5:$C$12,0)), "/m3 wastewater")</f>
        <v>kg oil eq/m3 wastewater</v>
      </c>
      <c r="BU5" s="167" t="str">
        <f>CONCATENATE(INDEX(LookUps!$D$5:$D$12,MATCH('Annual Results'!BU4,LookUps!$C$5:$C$12,0)), "/m3 wastewater")</f>
        <v>kg oil eq/m3 wastewater</v>
      </c>
      <c r="BV5" s="167" t="str">
        <f>CONCATENATE(INDEX(LookUps!$D$5:$D$12,MATCH('Annual Results'!BV4,LookUps!$C$5:$C$12,0)), "/m3 wastewater")</f>
        <v>MJ/m3 wastewater</v>
      </c>
      <c r="BW5" s="167" t="str">
        <f>CONCATENATE(INDEX(LookUps!$D$5:$D$12,MATCH('Annual Results'!BW4,LookUps!$C$5:$C$12,0)), "/m3 wastewater")</f>
        <v>MJ/m3 wastewater</v>
      </c>
      <c r="BX5" s="167" t="str">
        <f>CONCATENATE(INDEX(LookUps!$D$5:$D$12,MATCH('Annual Results'!BX4,LookUps!$C$5:$C$12,0)), "/m3 wastewater")</f>
        <v>MJ/m3 wastewater</v>
      </c>
      <c r="BY5" s="167" t="str">
        <f>CONCATENATE(INDEX(LookUps!$D$5:$D$12,MATCH('Annual Results'!BY4,LookUps!$C$5:$C$12,0)), "/m3 wastewater")</f>
        <v>MJ/m3 wastewater</v>
      </c>
      <c r="BZ5" s="167" t="str">
        <f>CONCATENATE(INDEX(LookUps!$D$5:$D$12,MATCH('Annual Results'!BZ4,LookUps!$C$5:$C$12,0)), "/m3 wastewater")</f>
        <v>MJ/m3 wastewater</v>
      </c>
      <c r="CA5" s="167" t="str">
        <f>CONCATENATE(INDEX(LookUps!$D$5:$D$12,MATCH('Annual Results'!CA4,LookUps!$C$5:$C$12,0)), "/m3 wastewater")</f>
        <v>MJ/m3 wastewater</v>
      </c>
      <c r="CB5" s="167" t="str">
        <f>CONCATENATE(INDEX(LookUps!$D$5:$D$12,MATCH('Annual Results'!CB4,LookUps!$C$5:$C$12,0)), "/m3 wastewater")</f>
        <v>MJ/m3 wastewater</v>
      </c>
      <c r="CC5" s="167" t="str">
        <f>CONCATENATE(INDEX(LookUps!$D$5:$D$12,MATCH('Annual Results'!CC4,LookUps!$C$5:$C$12,0)), "/m3 wastewater")</f>
        <v>MJ/m3 wastewater</v>
      </c>
      <c r="CD5" s="167" t="str">
        <f>CONCATENATE(INDEX(LookUps!$D$5:$D$12,MATCH('Annual Results'!CD4,LookUps!$C$5:$C$12,0)), "/m3 wastewater")</f>
        <v>MJ/m3 wastewater</v>
      </c>
      <c r="CE5" s="167" t="str">
        <f>CONCATENATE(INDEX(LookUps!$D$5:$D$12,MATCH('Annual Results'!CE4,LookUps!$C$5:$C$12,0)), "/m3 wastewater")</f>
        <v>MJ/m3 wastewater</v>
      </c>
    </row>
    <row r="6" spans="1:83" x14ac:dyDescent="0.25">
      <c r="C6" s="5" t="s">
        <v>116</v>
      </c>
      <c r="D6" s="5" t="s">
        <v>45</v>
      </c>
      <c r="E6" s="5" t="s">
        <v>198</v>
      </c>
      <c r="F6" s="5" t="s">
        <v>199</v>
      </c>
      <c r="G6" s="5" t="s">
        <v>200</v>
      </c>
      <c r="H6" s="5" t="s">
        <v>201</v>
      </c>
      <c r="I6" s="5" t="s">
        <v>202</v>
      </c>
      <c r="J6" s="5" t="s">
        <v>203</v>
      </c>
      <c r="K6" s="5" t="s">
        <v>204</v>
      </c>
      <c r="L6" s="5" t="s">
        <v>205</v>
      </c>
      <c r="M6" s="5" t="s">
        <v>206</v>
      </c>
      <c r="N6" s="5" t="s">
        <v>45</v>
      </c>
      <c r="O6" s="5" t="s">
        <v>198</v>
      </c>
      <c r="P6" s="5" t="s">
        <v>199</v>
      </c>
      <c r="Q6" s="5" t="s">
        <v>200</v>
      </c>
      <c r="R6" s="5" t="s">
        <v>201</v>
      </c>
      <c r="S6" s="5" t="s">
        <v>202</v>
      </c>
      <c r="T6" s="5" t="s">
        <v>203</v>
      </c>
      <c r="U6" s="5" t="s">
        <v>204</v>
      </c>
      <c r="V6" s="5" t="s">
        <v>205</v>
      </c>
      <c r="W6" s="5" t="s">
        <v>206</v>
      </c>
      <c r="X6" s="5" t="s">
        <v>45</v>
      </c>
      <c r="Y6" s="5" t="s">
        <v>198</v>
      </c>
      <c r="Z6" s="5" t="s">
        <v>199</v>
      </c>
      <c r="AA6" s="5" t="s">
        <v>200</v>
      </c>
      <c r="AB6" s="5" t="s">
        <v>201</v>
      </c>
      <c r="AC6" s="5" t="s">
        <v>202</v>
      </c>
      <c r="AD6" s="5" t="s">
        <v>203</v>
      </c>
      <c r="AE6" s="5" t="s">
        <v>204</v>
      </c>
      <c r="AF6" s="5" t="s">
        <v>205</v>
      </c>
      <c r="AG6" s="5" t="s">
        <v>206</v>
      </c>
      <c r="AH6" s="5" t="s">
        <v>45</v>
      </c>
      <c r="AI6" s="5" t="s">
        <v>198</v>
      </c>
      <c r="AJ6" s="5" t="s">
        <v>199</v>
      </c>
      <c r="AK6" s="5" t="s">
        <v>200</v>
      </c>
      <c r="AL6" s="5" t="s">
        <v>201</v>
      </c>
      <c r="AM6" s="5" t="s">
        <v>202</v>
      </c>
      <c r="AN6" s="5" t="s">
        <v>203</v>
      </c>
      <c r="AO6" s="5" t="s">
        <v>204</v>
      </c>
      <c r="AP6" s="5" t="s">
        <v>205</v>
      </c>
      <c r="AQ6" s="5" t="s">
        <v>206</v>
      </c>
      <c r="AR6" s="5" t="s">
        <v>45</v>
      </c>
      <c r="AS6" s="5" t="s">
        <v>198</v>
      </c>
      <c r="AT6" s="5" t="s">
        <v>199</v>
      </c>
      <c r="AU6" s="5" t="s">
        <v>200</v>
      </c>
      <c r="AV6" s="5" t="s">
        <v>201</v>
      </c>
      <c r="AW6" s="5" t="s">
        <v>202</v>
      </c>
      <c r="AX6" s="5" t="s">
        <v>203</v>
      </c>
      <c r="AY6" s="5" t="s">
        <v>204</v>
      </c>
      <c r="AZ6" s="5" t="s">
        <v>205</v>
      </c>
      <c r="BA6" s="5" t="s">
        <v>206</v>
      </c>
      <c r="BB6" s="5" t="s">
        <v>45</v>
      </c>
      <c r="BC6" s="5" t="s">
        <v>198</v>
      </c>
      <c r="BD6" s="5" t="s">
        <v>199</v>
      </c>
      <c r="BE6" s="5" t="s">
        <v>200</v>
      </c>
      <c r="BF6" s="5" t="s">
        <v>201</v>
      </c>
      <c r="BG6" s="5" t="s">
        <v>202</v>
      </c>
      <c r="BH6" s="5" t="s">
        <v>203</v>
      </c>
      <c r="BI6" s="5" t="s">
        <v>204</v>
      </c>
      <c r="BJ6" s="5" t="s">
        <v>205</v>
      </c>
      <c r="BK6" s="5" t="s">
        <v>206</v>
      </c>
      <c r="BL6" s="5" t="s">
        <v>45</v>
      </c>
      <c r="BM6" s="5" t="s">
        <v>198</v>
      </c>
      <c r="BN6" s="5" t="s">
        <v>199</v>
      </c>
      <c r="BO6" s="5" t="s">
        <v>200</v>
      </c>
      <c r="BP6" s="5" t="s">
        <v>201</v>
      </c>
      <c r="BQ6" s="5" t="s">
        <v>202</v>
      </c>
      <c r="BR6" s="5" t="s">
        <v>203</v>
      </c>
      <c r="BS6" s="5" t="s">
        <v>204</v>
      </c>
      <c r="BT6" s="5" t="s">
        <v>205</v>
      </c>
      <c r="BU6" s="5" t="s">
        <v>206</v>
      </c>
      <c r="BV6" s="5" t="s">
        <v>45</v>
      </c>
      <c r="BW6" s="5" t="s">
        <v>198</v>
      </c>
      <c r="BX6" s="5" t="s">
        <v>199</v>
      </c>
      <c r="BY6" s="5" t="s">
        <v>200</v>
      </c>
      <c r="BZ6" s="5" t="s">
        <v>201</v>
      </c>
      <c r="CA6" s="5" t="s">
        <v>202</v>
      </c>
      <c r="CB6" s="5" t="s">
        <v>203</v>
      </c>
      <c r="CC6" s="5" t="s">
        <v>204</v>
      </c>
      <c r="CD6" s="5" t="s">
        <v>205</v>
      </c>
      <c r="CE6" s="5" t="s">
        <v>206</v>
      </c>
    </row>
    <row r="7" spans="1:83" x14ac:dyDescent="0.25">
      <c r="C7" s="40" t="s">
        <v>188</v>
      </c>
      <c r="D7" s="312">
        <v>0.46009000000000005</v>
      </c>
      <c r="E7" s="312">
        <v>0.52601000000000009</v>
      </c>
      <c r="F7" s="312">
        <v>0.33467000000000002</v>
      </c>
      <c r="G7" s="313">
        <v>-3.6539999999999954E-2</v>
      </c>
      <c r="H7" s="312">
        <v>0.28975000000000006</v>
      </c>
      <c r="I7" s="312">
        <v>-9.0809999999999946E-2</v>
      </c>
      <c r="J7" s="312">
        <v>-0.30548999999999982</v>
      </c>
      <c r="K7" s="312">
        <v>-0.12830999999999992</v>
      </c>
      <c r="L7" s="312">
        <v>-0.45318999999999998</v>
      </c>
      <c r="M7" s="312">
        <v>-0.72829999999999995</v>
      </c>
      <c r="N7" s="312">
        <v>2.4437263439999999E-2</v>
      </c>
      <c r="O7" s="312">
        <v>1.5757510920000002E-2</v>
      </c>
      <c r="P7" s="312">
        <v>1.522471722E-2</v>
      </c>
      <c r="Q7" s="312">
        <v>1.4108508120000002E-2</v>
      </c>
      <c r="R7" s="312">
        <v>1.6587932020000001E-2</v>
      </c>
      <c r="S7" s="312">
        <v>1.568937842E-2</v>
      </c>
      <c r="T7" s="312">
        <v>1.4400636220000001E-2</v>
      </c>
      <c r="U7" s="312">
        <v>1.763899712E-2</v>
      </c>
      <c r="V7" s="312">
        <v>1.612459892E-2</v>
      </c>
      <c r="W7" s="312">
        <v>1.4279707920000001E-2</v>
      </c>
      <c r="X7" s="313">
        <v>4.1814235769999999E-3</v>
      </c>
      <c r="Y7" s="313">
        <v>5.6287005999999988E-3</v>
      </c>
      <c r="Z7" s="313">
        <v>4.3896243999999992E-3</v>
      </c>
      <c r="AA7" s="313">
        <v>1.4763099999999489E-5</v>
      </c>
      <c r="AB7" s="313">
        <v>4.9980670999999997E-3</v>
      </c>
      <c r="AC7" s="313">
        <v>2.7045942999999999E-3</v>
      </c>
      <c r="AD7" s="313">
        <v>-2.4916394000000005E-3</v>
      </c>
      <c r="AE7" s="313">
        <v>3.7413277000000003E-3</v>
      </c>
      <c r="AF7" s="313">
        <v>-5.4771280000000028E-4</v>
      </c>
      <c r="AG7" s="313">
        <v>-7.6393616000000001E-3</v>
      </c>
      <c r="AH7" s="312">
        <v>0.29550028700000003</v>
      </c>
      <c r="AI7" s="312">
        <v>0.39693999999999996</v>
      </c>
      <c r="AJ7" s="312">
        <v>0.30952999999999997</v>
      </c>
      <c r="AK7" s="313">
        <v>-2.3800000000000795E-3</v>
      </c>
      <c r="AL7" s="312">
        <v>0.35070000000000001</v>
      </c>
      <c r="AM7" s="312">
        <v>0.18708</v>
      </c>
      <c r="AN7" s="312">
        <v>-0.18162000000000003</v>
      </c>
      <c r="AO7" s="312">
        <v>0.25677999999999995</v>
      </c>
      <c r="AP7" s="312">
        <v>-4.7239999999999997E-2</v>
      </c>
      <c r="AQ7" s="312">
        <v>-0.54937000000000002</v>
      </c>
      <c r="AR7" s="312">
        <v>3.1486858789999995E-2</v>
      </c>
      <c r="AS7" s="312">
        <v>4.5410354700000002E-2</v>
      </c>
      <c r="AT7" s="312">
        <v>3.5860354700000006E-2</v>
      </c>
      <c r="AU7" s="313">
        <v>3.210354699999998E-3</v>
      </c>
      <c r="AV7" s="312">
        <v>4.2270354700000005E-2</v>
      </c>
      <c r="AW7" s="312">
        <v>2.4590354699999994E-2</v>
      </c>
      <c r="AX7" s="312">
        <v>-1.3999645300000004E-2</v>
      </c>
      <c r="AY7" s="312">
        <v>3.4890354700000008E-2</v>
      </c>
      <c r="AZ7" s="313">
        <v>2.2803547000000055E-3</v>
      </c>
      <c r="BA7" s="312">
        <v>-5.0439645299999988E-2</v>
      </c>
      <c r="BB7" s="313">
        <v>1.24865418E-3</v>
      </c>
      <c r="BC7" s="313">
        <v>-1.3433309000000009E-4</v>
      </c>
      <c r="BD7" s="313">
        <v>-5.209577000000009E-5</v>
      </c>
      <c r="BE7" s="313">
        <v>-9.8205060000000139E-5</v>
      </c>
      <c r="BF7" s="313">
        <v>-5.9393135999999988E-4</v>
      </c>
      <c r="BG7" s="313">
        <v>-4.8399341000000004E-4</v>
      </c>
      <c r="BH7" s="313">
        <v>-5.267694999999998E-4</v>
      </c>
      <c r="BI7" s="313">
        <v>-1.2593074900000001E-3</v>
      </c>
      <c r="BJ7" s="313">
        <v>-1.0836851000000003E-3</v>
      </c>
      <c r="BK7" s="313">
        <v>-1.10590177E-3</v>
      </c>
      <c r="BL7" s="312">
        <v>0.17396418620000001</v>
      </c>
      <c r="BM7" s="312">
        <v>0.28797</v>
      </c>
      <c r="BN7" s="312">
        <v>0.18618000000000004</v>
      </c>
      <c r="BO7" s="312">
        <v>2.5800000000000219E-3</v>
      </c>
      <c r="BP7" s="312">
        <v>0.25386000000000009</v>
      </c>
      <c r="BQ7" s="312">
        <v>6.3270000000000035E-2</v>
      </c>
      <c r="BR7" s="312">
        <v>-5.6209999999999961E-2</v>
      </c>
      <c r="BS7" s="312">
        <v>0.16533999999999996</v>
      </c>
      <c r="BT7" s="312">
        <v>-2.1200000000000035E-2</v>
      </c>
      <c r="BU7" s="312">
        <v>-0.18376999999999999</v>
      </c>
      <c r="BV7" s="169">
        <v>9.2106800000000018</v>
      </c>
      <c r="BW7" s="314">
        <v>14.235509999999998</v>
      </c>
      <c r="BX7" s="314">
        <v>9.5229400000000002</v>
      </c>
      <c r="BY7" s="169">
        <v>0.21922000000000019</v>
      </c>
      <c r="BZ7" s="314">
        <v>12.495229999999999</v>
      </c>
      <c r="CA7" s="169">
        <v>3.6631099999999996</v>
      </c>
      <c r="CB7" s="312">
        <v>-3.2225300000000012</v>
      </c>
      <c r="CC7" s="314">
        <v>8.1927499999999984</v>
      </c>
      <c r="CD7" s="169">
        <v>-1.161650000000001</v>
      </c>
      <c r="CE7" s="169">
        <v>-10.526390000000001</v>
      </c>
    </row>
    <row r="8" spans="1:83" x14ac:dyDescent="0.25">
      <c r="C8" s="40" t="s">
        <v>189</v>
      </c>
      <c r="D8" s="312">
        <v>0.77515000000000001</v>
      </c>
      <c r="E8" s="169">
        <v>1.2182900000000001</v>
      </c>
      <c r="F8" s="312">
        <v>0.97168000000000021</v>
      </c>
      <c r="G8" s="312">
        <v>0.55689000000000011</v>
      </c>
      <c r="H8" s="169">
        <v>1.2511399999999999</v>
      </c>
      <c r="I8" s="312">
        <v>0.79410000000000014</v>
      </c>
      <c r="J8" s="312">
        <v>0.52690000000000026</v>
      </c>
      <c r="K8" s="169">
        <v>1.2131400000000003</v>
      </c>
      <c r="L8" s="312">
        <v>0.7746900000000001</v>
      </c>
      <c r="M8" s="312">
        <v>0.39699000000000007</v>
      </c>
      <c r="N8" s="312">
        <v>2.4416490239999998E-2</v>
      </c>
      <c r="O8" s="312">
        <v>1.5997024320000001E-2</v>
      </c>
      <c r="P8" s="312">
        <v>1.5439647920000001E-2</v>
      </c>
      <c r="Q8" s="312">
        <v>1.4307788620000001E-2</v>
      </c>
      <c r="R8" s="312">
        <v>1.6909658819999999E-2</v>
      </c>
      <c r="S8" s="312">
        <v>1.5988919220000002E-2</v>
      </c>
      <c r="T8" s="312">
        <v>1.4685912620000002E-2</v>
      </c>
      <c r="U8" s="312">
        <v>1.8088997120000002E-2</v>
      </c>
      <c r="V8" s="312">
        <v>1.6534598920000001E-2</v>
      </c>
      <c r="W8" s="312">
        <v>1.4659707920000001E-2</v>
      </c>
      <c r="X8" s="313">
        <v>4.0914235769999993E-3</v>
      </c>
      <c r="Y8" s="313">
        <v>5.7964630999999987E-3</v>
      </c>
      <c r="Z8" s="313">
        <v>4.5416793999999991E-3</v>
      </c>
      <c r="AA8" s="313">
        <v>1.597329999999995E-4</v>
      </c>
      <c r="AB8" s="313">
        <v>5.2351812000000003E-3</v>
      </c>
      <c r="AC8" s="313">
        <v>2.9180555999999999E-3</v>
      </c>
      <c r="AD8" s="313">
        <v>-2.2842837000000005E-3</v>
      </c>
      <c r="AE8" s="313">
        <v>4.0713770999999998E-3</v>
      </c>
      <c r="AF8" s="313">
        <v>-2.4969970000000038E-4</v>
      </c>
      <c r="AG8" s="313">
        <v>-7.3642929000000005E-3</v>
      </c>
      <c r="AH8" s="312">
        <v>0.28906028700000003</v>
      </c>
      <c r="AI8" s="312">
        <v>0.39719999999999994</v>
      </c>
      <c r="AJ8" s="312">
        <v>0.30976999999999993</v>
      </c>
      <c r="AK8" s="313">
        <v>-2.1700000000000794E-3</v>
      </c>
      <c r="AL8" s="312">
        <v>0.35105000000000003</v>
      </c>
      <c r="AM8" s="312">
        <v>0.18740000000000001</v>
      </c>
      <c r="AN8" s="312">
        <v>-0.18131000000000003</v>
      </c>
      <c r="AO8" s="312">
        <v>0.25727999999999995</v>
      </c>
      <c r="AP8" s="312">
        <v>-4.6800000000000001E-2</v>
      </c>
      <c r="AQ8" s="312">
        <v>-0.54896000000000011</v>
      </c>
      <c r="AR8" s="312">
        <v>3.0796858789999999E-2</v>
      </c>
      <c r="AS8" s="312">
        <v>5.0100354700000002E-2</v>
      </c>
      <c r="AT8" s="312">
        <v>4.0200354700000003E-2</v>
      </c>
      <c r="AU8" s="313">
        <v>7.2303546999999985E-3</v>
      </c>
      <c r="AV8" s="312">
        <v>4.8800354700000007E-2</v>
      </c>
      <c r="AW8" s="312">
        <v>3.0620354699999994E-2</v>
      </c>
      <c r="AX8" s="313">
        <v>-8.3696453000000025E-3</v>
      </c>
      <c r="AY8" s="312">
        <v>4.4000354700000015E-2</v>
      </c>
      <c r="AZ8" s="312">
        <v>1.0640354700000005E-2</v>
      </c>
      <c r="BA8" s="312">
        <v>-4.2799645299999987E-2</v>
      </c>
      <c r="BB8" s="313">
        <v>1.24660018E-3</v>
      </c>
      <c r="BC8" s="313">
        <v>-1.3433309000000009E-4</v>
      </c>
      <c r="BD8" s="313">
        <v>-4.2095770000000063E-5</v>
      </c>
      <c r="BE8" s="313">
        <v>-9.8205060000000139E-5</v>
      </c>
      <c r="BF8" s="313">
        <v>-5.8393136000000007E-4</v>
      </c>
      <c r="BG8" s="313">
        <v>-4.7399341000000002E-4</v>
      </c>
      <c r="BH8" s="313">
        <v>-5.267694999999998E-4</v>
      </c>
      <c r="BI8" s="313">
        <v>-1.2493074900000001E-3</v>
      </c>
      <c r="BJ8" s="313">
        <v>-1.0836851000000003E-3</v>
      </c>
      <c r="BK8" s="313">
        <v>-1.10590177E-3</v>
      </c>
      <c r="BL8" s="312">
        <v>0.1715141862</v>
      </c>
      <c r="BM8" s="312">
        <v>0.28861999999999999</v>
      </c>
      <c r="BN8" s="312">
        <v>0.18677000000000002</v>
      </c>
      <c r="BO8" s="312">
        <v>3.1400000000000225E-3</v>
      </c>
      <c r="BP8" s="312">
        <v>0.2547600000000001</v>
      </c>
      <c r="BQ8" s="312">
        <v>6.4080000000000026E-2</v>
      </c>
      <c r="BR8" s="312">
        <v>-5.5439999999999962E-2</v>
      </c>
      <c r="BS8" s="312">
        <v>0.16659999999999997</v>
      </c>
      <c r="BT8" s="312">
        <v>-2.0090000000000035E-2</v>
      </c>
      <c r="BU8" s="312">
        <v>-0.18271999999999999</v>
      </c>
      <c r="BV8" s="169">
        <v>9.0742800000000017</v>
      </c>
      <c r="BW8" s="314">
        <v>14.268329999999999</v>
      </c>
      <c r="BX8" s="314">
        <v>9.5525000000000002</v>
      </c>
      <c r="BY8" s="169">
        <v>0.2473700000000002</v>
      </c>
      <c r="BZ8" s="314">
        <v>12.540809999999999</v>
      </c>
      <c r="CA8" s="169">
        <v>3.7038999999999995</v>
      </c>
      <c r="CB8" s="312">
        <v>-3.1833600000000009</v>
      </c>
      <c r="CC8" s="314">
        <v>8.2561899999999984</v>
      </c>
      <c r="CD8" s="169">
        <v>-1.105590000000001</v>
      </c>
      <c r="CE8" s="169">
        <v>-10.473600000000001</v>
      </c>
    </row>
    <row r="9" spans="1:83" x14ac:dyDescent="0.25">
      <c r="C9" s="40" t="s">
        <v>190</v>
      </c>
      <c r="D9" s="169">
        <v>1.1127400000000001</v>
      </c>
      <c r="E9" s="169">
        <v>2.1948099999999999</v>
      </c>
      <c r="F9" s="169">
        <v>1.86656</v>
      </c>
      <c r="G9" s="169">
        <v>1.3904700000000001</v>
      </c>
      <c r="H9" s="169">
        <v>2.6023000000000001</v>
      </c>
      <c r="I9" s="169">
        <v>2.0357100000000004</v>
      </c>
      <c r="J9" s="169">
        <v>1.7008200000000002</v>
      </c>
      <c r="K9" s="169">
        <v>3.0951</v>
      </c>
      <c r="L9" s="169">
        <v>2.4974499999999997</v>
      </c>
      <c r="M9" s="169">
        <v>1.97959</v>
      </c>
      <c r="N9" s="312">
        <v>2.4401183639999997E-2</v>
      </c>
      <c r="O9" s="312">
        <v>1.6257024320000001E-2</v>
      </c>
      <c r="P9" s="312">
        <v>1.5679647920000001E-2</v>
      </c>
      <c r="Q9" s="312">
        <v>1.4537788620000002E-2</v>
      </c>
      <c r="R9" s="312">
        <v>1.7279658820000002E-2</v>
      </c>
      <c r="S9" s="312">
        <v>1.6318919220000002E-2</v>
      </c>
      <c r="T9" s="312">
        <v>1.4995912620000001E-2</v>
      </c>
      <c r="U9" s="312">
        <v>1.8598997120000002E-2</v>
      </c>
      <c r="V9" s="312">
        <v>1.7004598920000003E-2</v>
      </c>
      <c r="W9" s="312">
        <v>1.5089707920000001E-2</v>
      </c>
      <c r="X9" s="313">
        <v>4.0214235769999995E-3</v>
      </c>
      <c r="Y9" s="313">
        <v>5.9864720999999992E-3</v>
      </c>
      <c r="Z9" s="313">
        <v>4.7126793999999993E-3</v>
      </c>
      <c r="AA9" s="313">
        <v>3.2115789999999952E-4</v>
      </c>
      <c r="AB9" s="313">
        <v>5.4913049999999993E-3</v>
      </c>
      <c r="AC9" s="313">
        <v>3.1556387999999999E-3</v>
      </c>
      <c r="AD9" s="313">
        <v>-2.0662087000000002E-3</v>
      </c>
      <c r="AE9" s="313">
        <v>4.4320601999999999E-3</v>
      </c>
      <c r="AF9" s="313">
        <v>8.323669999999967E-5</v>
      </c>
      <c r="AG9" s="313">
        <v>-7.0603681000000005E-3</v>
      </c>
      <c r="AH9" s="312">
        <v>0.28433028700000001</v>
      </c>
      <c r="AI9" s="312">
        <v>0.39765999999999996</v>
      </c>
      <c r="AJ9" s="312">
        <v>0.3101799999999999</v>
      </c>
      <c r="AK9" s="313">
        <v>-1.7800000000000797E-3</v>
      </c>
      <c r="AL9" s="312">
        <v>0.35168000000000005</v>
      </c>
      <c r="AM9" s="312">
        <v>0.18798000000000004</v>
      </c>
      <c r="AN9" s="312">
        <v>-0.18076000000000003</v>
      </c>
      <c r="AO9" s="312">
        <v>0.25815999999999995</v>
      </c>
      <c r="AP9" s="312">
        <v>-4.6009999999999995E-2</v>
      </c>
      <c r="AQ9" s="312">
        <v>-0.54822000000000004</v>
      </c>
      <c r="AR9" s="312">
        <v>3.0296858789999999E-2</v>
      </c>
      <c r="AS9" s="312">
        <v>5.5270354700000003E-2</v>
      </c>
      <c r="AT9" s="312">
        <v>4.4980354700000003E-2</v>
      </c>
      <c r="AU9" s="312">
        <v>1.1690354699999997E-2</v>
      </c>
      <c r="AV9" s="312">
        <v>5.6000354699999998E-2</v>
      </c>
      <c r="AW9" s="312">
        <v>3.7280354700000004E-2</v>
      </c>
      <c r="AX9" s="313">
        <v>-2.1496453000000022E-3</v>
      </c>
      <c r="AY9" s="312">
        <v>5.4080354700000013E-2</v>
      </c>
      <c r="AZ9" s="312">
        <v>1.9880354700000002E-2</v>
      </c>
      <c r="BA9" s="312">
        <v>-3.4359645299999991E-2</v>
      </c>
      <c r="BB9" s="313">
        <v>1.24508668E-3</v>
      </c>
      <c r="BC9" s="313">
        <v>-1.2433309000000006E-4</v>
      </c>
      <c r="BD9" s="313">
        <v>-4.2095770000000063E-5</v>
      </c>
      <c r="BE9" s="313">
        <v>-8.8205060000000113E-5</v>
      </c>
      <c r="BF9" s="313">
        <v>-5.8393136000000007E-4</v>
      </c>
      <c r="BG9" s="313">
        <v>-4.6399340999999999E-4</v>
      </c>
      <c r="BH9" s="313">
        <v>-5.1676949999999999E-4</v>
      </c>
      <c r="BI9" s="313">
        <v>-1.23930749E-3</v>
      </c>
      <c r="BJ9" s="313">
        <v>-1.0736851000000003E-3</v>
      </c>
      <c r="BK9" s="313">
        <v>-1.09590177E-3</v>
      </c>
      <c r="BL9" s="312">
        <v>0.1697041862</v>
      </c>
      <c r="BM9" s="312">
        <v>0.28928000000000004</v>
      </c>
      <c r="BN9" s="312">
        <v>0.18737000000000004</v>
      </c>
      <c r="BO9" s="312">
        <v>3.7100000000000227E-3</v>
      </c>
      <c r="BP9" s="312">
        <v>0.25569000000000008</v>
      </c>
      <c r="BQ9" s="312">
        <v>6.4900000000000027E-2</v>
      </c>
      <c r="BR9" s="312">
        <v>-5.4639999999999959E-2</v>
      </c>
      <c r="BS9" s="312">
        <v>0.16787999999999997</v>
      </c>
      <c r="BT9" s="312">
        <v>-1.8950000000000036E-2</v>
      </c>
      <c r="BU9" s="312">
        <v>-0.18164999999999998</v>
      </c>
      <c r="BV9" s="169">
        <v>8.9737700000000018</v>
      </c>
      <c r="BW9" s="314">
        <v>14.301939999999998</v>
      </c>
      <c r="BX9" s="314">
        <v>9.5827799999999996</v>
      </c>
      <c r="BY9" s="169">
        <v>0.27622000000000019</v>
      </c>
      <c r="BZ9" s="314">
        <v>12.587489999999999</v>
      </c>
      <c r="CA9" s="169">
        <v>3.7456699999999996</v>
      </c>
      <c r="CB9" s="312">
        <v>-3.1432400000000009</v>
      </c>
      <c r="CC9" s="314">
        <v>8.3211799999999982</v>
      </c>
      <c r="CD9" s="169">
        <v>-1.048180000000001</v>
      </c>
      <c r="CE9" s="169">
        <v>-10.419510000000001</v>
      </c>
    </row>
    <row r="11" spans="1:83" x14ac:dyDescent="0.25">
      <c r="C11" s="5" t="s">
        <v>236</v>
      </c>
      <c r="D11" s="170">
        <v>1381676</v>
      </c>
      <c r="E11" s="4" t="s">
        <v>237</v>
      </c>
    </row>
    <row r="13" spans="1:83" hidden="1" x14ac:dyDescent="0.25">
      <c r="C13" s="171" t="s">
        <v>246</v>
      </c>
      <c r="D13" s="171" t="str">
        <f>CONCATENATE(D14,"_", D16)</f>
        <v>GWP_Legacy</v>
      </c>
      <c r="E13" s="171" t="str">
        <f t="shared" ref="E13:BP13" si="0">CONCATENATE(E14,"_", E16)</f>
        <v>GWP_Upgraded - Base_Low</v>
      </c>
      <c r="F13" s="171" t="str">
        <f t="shared" si="0"/>
        <v>GWP_Upgraded - Base</v>
      </c>
      <c r="G13" s="171" t="str">
        <f t="shared" si="0"/>
        <v>GWP_Upgraded - Base_High</v>
      </c>
      <c r="H13" s="171" t="str">
        <f t="shared" si="0"/>
        <v>GWP_Upgraded - Medium_Low</v>
      </c>
      <c r="I13" s="171" t="str">
        <f t="shared" si="0"/>
        <v>GWP_Upgraded - Medium_Base</v>
      </c>
      <c r="J13" s="171" t="str">
        <f t="shared" si="0"/>
        <v>GWP_Upgraded - Medium_High</v>
      </c>
      <c r="K13" s="171" t="str">
        <f t="shared" si="0"/>
        <v>GWP_Upgraded - High_Low</v>
      </c>
      <c r="L13" s="171" t="str">
        <f t="shared" si="0"/>
        <v>GWP_Upgraded - High_Base</v>
      </c>
      <c r="M13" s="171" t="str">
        <f t="shared" si="0"/>
        <v>GWP_Upgraded - High_High</v>
      </c>
      <c r="N13" s="171" t="str">
        <f t="shared" si="0"/>
        <v>EP_Legacy</v>
      </c>
      <c r="O13" s="171" t="str">
        <f t="shared" si="0"/>
        <v>EP_Upgraded - Base_Low</v>
      </c>
      <c r="P13" s="171" t="str">
        <f t="shared" si="0"/>
        <v>EP_Upgraded - Base</v>
      </c>
      <c r="Q13" s="171" t="str">
        <f t="shared" si="0"/>
        <v>EP_Upgraded - Base_High</v>
      </c>
      <c r="R13" s="171" t="str">
        <f t="shared" si="0"/>
        <v>EP_Upgraded - Medium_Low</v>
      </c>
      <c r="S13" s="171" t="str">
        <f t="shared" si="0"/>
        <v>EP_Upgraded - Medium_Base</v>
      </c>
      <c r="T13" s="171" t="str">
        <f t="shared" si="0"/>
        <v>EP_Upgraded - Medium_High</v>
      </c>
      <c r="U13" s="171" t="str">
        <f t="shared" si="0"/>
        <v>EP_Upgraded - High_Low</v>
      </c>
      <c r="V13" s="171" t="str">
        <f t="shared" si="0"/>
        <v>EP_Upgraded - High_Base</v>
      </c>
      <c r="W13" s="171" t="str">
        <f t="shared" si="0"/>
        <v>EP_Upgraded - High_High</v>
      </c>
      <c r="X13" s="171" t="str">
        <f t="shared" si="0"/>
        <v>PMFP_Legacy</v>
      </c>
      <c r="Y13" s="171" t="str">
        <f t="shared" si="0"/>
        <v>PMFP_Upgraded - Base_Low</v>
      </c>
      <c r="Z13" s="171" t="str">
        <f t="shared" si="0"/>
        <v>PMFP_Upgraded - Base</v>
      </c>
      <c r="AA13" s="171" t="str">
        <f t="shared" si="0"/>
        <v>PMFP_Upgraded - Base_High</v>
      </c>
      <c r="AB13" s="171" t="str">
        <f t="shared" si="0"/>
        <v>PMFP_Upgraded - Medium_Low</v>
      </c>
      <c r="AC13" s="171" t="str">
        <f t="shared" si="0"/>
        <v>PMFP_Upgraded - Medium_Base</v>
      </c>
      <c r="AD13" s="171" t="str">
        <f t="shared" si="0"/>
        <v>PMFP_Upgraded - Medium_High</v>
      </c>
      <c r="AE13" s="171" t="str">
        <f t="shared" si="0"/>
        <v>PMFP_Upgraded - High_Low</v>
      </c>
      <c r="AF13" s="171" t="str">
        <f t="shared" si="0"/>
        <v>PMFP_Upgraded - High_Base</v>
      </c>
      <c r="AG13" s="171" t="str">
        <f t="shared" si="0"/>
        <v>PMFP_Upgraded - High_High</v>
      </c>
      <c r="AH13" s="171" t="str">
        <f t="shared" si="0"/>
        <v>SFP_Legacy</v>
      </c>
      <c r="AI13" s="171" t="str">
        <f t="shared" si="0"/>
        <v>SFP_Upgraded - Base_Low</v>
      </c>
      <c r="AJ13" s="171" t="str">
        <f t="shared" si="0"/>
        <v>SFP_Upgraded - Base</v>
      </c>
      <c r="AK13" s="171" t="str">
        <f t="shared" si="0"/>
        <v>SFP_Upgraded - Base_High</v>
      </c>
      <c r="AL13" s="171" t="str">
        <f t="shared" si="0"/>
        <v>SFP_Upgraded - Medium_Low</v>
      </c>
      <c r="AM13" s="171" t="str">
        <f t="shared" si="0"/>
        <v>SFP_Upgraded - Medium_Base</v>
      </c>
      <c r="AN13" s="171" t="str">
        <f t="shared" si="0"/>
        <v>SFP_Upgraded - Medium_High</v>
      </c>
      <c r="AO13" s="171" t="str">
        <f t="shared" si="0"/>
        <v>SFP_Upgraded - High_Low</v>
      </c>
      <c r="AP13" s="171" t="str">
        <f t="shared" si="0"/>
        <v>SFP_Upgraded - High_Base</v>
      </c>
      <c r="AQ13" s="171" t="str">
        <f t="shared" si="0"/>
        <v>SFP_Upgraded - High_High</v>
      </c>
      <c r="AR13" s="171" t="str">
        <f t="shared" si="0"/>
        <v>AP_Legacy</v>
      </c>
      <c r="AS13" s="171" t="str">
        <f t="shared" si="0"/>
        <v>AP_Upgraded - Base_Low</v>
      </c>
      <c r="AT13" s="171" t="str">
        <f t="shared" si="0"/>
        <v>AP_Upgraded - Base</v>
      </c>
      <c r="AU13" s="171" t="str">
        <f t="shared" si="0"/>
        <v>AP_Upgraded - Base_High</v>
      </c>
      <c r="AV13" s="171" t="str">
        <f t="shared" si="0"/>
        <v>AP_Upgraded - Medium_Low</v>
      </c>
      <c r="AW13" s="171" t="str">
        <f t="shared" si="0"/>
        <v>AP_Upgraded - Medium_Base</v>
      </c>
      <c r="AX13" s="171" t="str">
        <f t="shared" si="0"/>
        <v>AP_Upgraded - Medium_High</v>
      </c>
      <c r="AY13" s="171" t="str">
        <f t="shared" si="0"/>
        <v>AP_Upgraded - High_Low</v>
      </c>
      <c r="AZ13" s="171" t="str">
        <f t="shared" si="0"/>
        <v>AP_Upgraded - High_Base</v>
      </c>
      <c r="BA13" s="171" t="str">
        <f t="shared" si="0"/>
        <v>AP_Upgraded - High_High</v>
      </c>
      <c r="BB13" s="171" t="str">
        <f t="shared" si="0"/>
        <v>WU_Legacy</v>
      </c>
      <c r="BC13" s="171" t="str">
        <f t="shared" si="0"/>
        <v>WU_Upgraded - Base_Low</v>
      </c>
      <c r="BD13" s="171" t="str">
        <f t="shared" si="0"/>
        <v>WU_Upgraded - Base</v>
      </c>
      <c r="BE13" s="171" t="str">
        <f t="shared" si="0"/>
        <v>WU_Upgraded - Base_High</v>
      </c>
      <c r="BF13" s="171" t="str">
        <f t="shared" si="0"/>
        <v>WU_Upgraded - Medium_Low</v>
      </c>
      <c r="BG13" s="171" t="str">
        <f t="shared" si="0"/>
        <v>WU_Upgraded - Medium_Base</v>
      </c>
      <c r="BH13" s="171" t="str">
        <f t="shared" si="0"/>
        <v>WU_Upgraded - Medium_High</v>
      </c>
      <c r="BI13" s="171" t="str">
        <f t="shared" si="0"/>
        <v>WU_Upgraded - High_Low</v>
      </c>
      <c r="BJ13" s="171" t="str">
        <f t="shared" si="0"/>
        <v>WU_Upgraded - High_Base</v>
      </c>
      <c r="BK13" s="171" t="str">
        <f t="shared" si="0"/>
        <v>WU_Upgraded - High_High</v>
      </c>
      <c r="BL13" s="171" t="str">
        <f t="shared" si="0"/>
        <v>FDP_Legacy</v>
      </c>
      <c r="BM13" s="171" t="str">
        <f t="shared" si="0"/>
        <v>FDP_Upgraded - Base_Low</v>
      </c>
      <c r="BN13" s="171" t="str">
        <f t="shared" si="0"/>
        <v>FDP_Upgraded - Base</v>
      </c>
      <c r="BO13" s="171" t="str">
        <f t="shared" si="0"/>
        <v>FDP_Upgraded - Base_High</v>
      </c>
      <c r="BP13" s="171" t="str">
        <f t="shared" si="0"/>
        <v>FDP_Upgraded - Medium_Low</v>
      </c>
      <c r="BQ13" s="171" t="str">
        <f t="shared" ref="BQ13:CE13" si="1">CONCATENATE(BQ14,"_", BQ16)</f>
        <v>FDP_Upgraded - Medium_Base</v>
      </c>
      <c r="BR13" s="171" t="str">
        <f t="shared" si="1"/>
        <v>FDP_Upgraded - Medium_High</v>
      </c>
      <c r="BS13" s="171" t="str">
        <f t="shared" si="1"/>
        <v>FDP_Upgraded - High_Low</v>
      </c>
      <c r="BT13" s="171" t="str">
        <f t="shared" si="1"/>
        <v>FDP_Upgraded - High_Base</v>
      </c>
      <c r="BU13" s="171" t="str">
        <f t="shared" si="1"/>
        <v>FDP_Upgraded - High_High</v>
      </c>
      <c r="BV13" s="171" t="str">
        <f t="shared" si="1"/>
        <v>CED_Legacy</v>
      </c>
      <c r="BW13" s="171" t="str">
        <f t="shared" si="1"/>
        <v>CED_Upgraded - Base_Low</v>
      </c>
      <c r="BX13" s="171" t="str">
        <f t="shared" si="1"/>
        <v>CED_Upgraded - Base</v>
      </c>
      <c r="BY13" s="171" t="str">
        <f t="shared" si="1"/>
        <v>CED_Upgraded - Base_High</v>
      </c>
      <c r="BZ13" s="171" t="str">
        <f t="shared" si="1"/>
        <v>CED_Upgraded - Medium_Low</v>
      </c>
      <c r="CA13" s="171" t="str">
        <f t="shared" si="1"/>
        <v>CED_Upgraded - Medium_Base</v>
      </c>
      <c r="CB13" s="171" t="str">
        <f t="shared" si="1"/>
        <v>CED_Upgraded - Medium_High</v>
      </c>
      <c r="CC13" s="171" t="str">
        <f t="shared" si="1"/>
        <v>CED_Upgraded - High_Low</v>
      </c>
      <c r="CD13" s="171" t="str">
        <f t="shared" si="1"/>
        <v>CED_Upgraded - High_Base</v>
      </c>
      <c r="CE13" s="171" t="str">
        <f t="shared" si="1"/>
        <v>CED_Upgraded - High_High</v>
      </c>
    </row>
    <row r="14" spans="1:83" x14ac:dyDescent="0.25">
      <c r="C14" s="5" t="str">
        <f>C4</f>
        <v>Impact Category</v>
      </c>
      <c r="D14" s="5" t="str">
        <f t="shared" ref="D14:BO14" si="2">D4</f>
        <v>GWP</v>
      </c>
      <c r="E14" s="5" t="str">
        <f t="shared" si="2"/>
        <v>GWP</v>
      </c>
      <c r="F14" s="5" t="str">
        <f t="shared" si="2"/>
        <v>GWP</v>
      </c>
      <c r="G14" s="5" t="str">
        <f t="shared" si="2"/>
        <v>GWP</v>
      </c>
      <c r="H14" s="5" t="str">
        <f t="shared" si="2"/>
        <v>GWP</v>
      </c>
      <c r="I14" s="5" t="str">
        <f t="shared" si="2"/>
        <v>GWP</v>
      </c>
      <c r="J14" s="5" t="str">
        <f t="shared" si="2"/>
        <v>GWP</v>
      </c>
      <c r="K14" s="5" t="str">
        <f t="shared" si="2"/>
        <v>GWP</v>
      </c>
      <c r="L14" s="5" t="str">
        <f t="shared" si="2"/>
        <v>GWP</v>
      </c>
      <c r="M14" s="5" t="str">
        <f t="shared" si="2"/>
        <v>GWP</v>
      </c>
      <c r="N14" s="5" t="str">
        <f t="shared" si="2"/>
        <v>EP</v>
      </c>
      <c r="O14" s="5" t="str">
        <f t="shared" si="2"/>
        <v>EP</v>
      </c>
      <c r="P14" s="5" t="str">
        <f t="shared" si="2"/>
        <v>EP</v>
      </c>
      <c r="Q14" s="5" t="str">
        <f t="shared" si="2"/>
        <v>EP</v>
      </c>
      <c r="R14" s="5" t="str">
        <f t="shared" si="2"/>
        <v>EP</v>
      </c>
      <c r="S14" s="5" t="str">
        <f t="shared" si="2"/>
        <v>EP</v>
      </c>
      <c r="T14" s="5" t="str">
        <f t="shared" si="2"/>
        <v>EP</v>
      </c>
      <c r="U14" s="5" t="str">
        <f t="shared" si="2"/>
        <v>EP</v>
      </c>
      <c r="V14" s="5" t="str">
        <f t="shared" si="2"/>
        <v>EP</v>
      </c>
      <c r="W14" s="5" t="str">
        <f t="shared" si="2"/>
        <v>EP</v>
      </c>
      <c r="X14" s="5" t="str">
        <f t="shared" si="2"/>
        <v>PMFP</v>
      </c>
      <c r="Y14" s="5" t="str">
        <f t="shared" si="2"/>
        <v>PMFP</v>
      </c>
      <c r="Z14" s="5" t="str">
        <f t="shared" si="2"/>
        <v>PMFP</v>
      </c>
      <c r="AA14" s="5" t="str">
        <f t="shared" si="2"/>
        <v>PMFP</v>
      </c>
      <c r="AB14" s="5" t="str">
        <f t="shared" si="2"/>
        <v>PMFP</v>
      </c>
      <c r="AC14" s="5" t="str">
        <f t="shared" si="2"/>
        <v>PMFP</v>
      </c>
      <c r="AD14" s="5" t="str">
        <f t="shared" si="2"/>
        <v>PMFP</v>
      </c>
      <c r="AE14" s="5" t="str">
        <f t="shared" si="2"/>
        <v>PMFP</v>
      </c>
      <c r="AF14" s="5" t="str">
        <f t="shared" si="2"/>
        <v>PMFP</v>
      </c>
      <c r="AG14" s="5" t="str">
        <f t="shared" si="2"/>
        <v>PMFP</v>
      </c>
      <c r="AH14" s="5" t="str">
        <f t="shared" si="2"/>
        <v>SFP</v>
      </c>
      <c r="AI14" s="5" t="str">
        <f t="shared" si="2"/>
        <v>SFP</v>
      </c>
      <c r="AJ14" s="5" t="str">
        <f t="shared" si="2"/>
        <v>SFP</v>
      </c>
      <c r="AK14" s="5" t="str">
        <f t="shared" si="2"/>
        <v>SFP</v>
      </c>
      <c r="AL14" s="5" t="str">
        <f t="shared" si="2"/>
        <v>SFP</v>
      </c>
      <c r="AM14" s="5" t="str">
        <f t="shared" si="2"/>
        <v>SFP</v>
      </c>
      <c r="AN14" s="5" t="str">
        <f t="shared" si="2"/>
        <v>SFP</v>
      </c>
      <c r="AO14" s="5" t="str">
        <f t="shared" si="2"/>
        <v>SFP</v>
      </c>
      <c r="AP14" s="5" t="str">
        <f t="shared" si="2"/>
        <v>SFP</v>
      </c>
      <c r="AQ14" s="5" t="str">
        <f t="shared" si="2"/>
        <v>SFP</v>
      </c>
      <c r="AR14" s="5" t="str">
        <f t="shared" si="2"/>
        <v>AP</v>
      </c>
      <c r="AS14" s="5" t="str">
        <f t="shared" si="2"/>
        <v>AP</v>
      </c>
      <c r="AT14" s="5" t="str">
        <f t="shared" si="2"/>
        <v>AP</v>
      </c>
      <c r="AU14" s="5" t="str">
        <f t="shared" si="2"/>
        <v>AP</v>
      </c>
      <c r="AV14" s="5" t="str">
        <f t="shared" si="2"/>
        <v>AP</v>
      </c>
      <c r="AW14" s="5" t="str">
        <f t="shared" si="2"/>
        <v>AP</v>
      </c>
      <c r="AX14" s="5" t="str">
        <f t="shared" si="2"/>
        <v>AP</v>
      </c>
      <c r="AY14" s="5" t="str">
        <f t="shared" si="2"/>
        <v>AP</v>
      </c>
      <c r="AZ14" s="5" t="str">
        <f t="shared" si="2"/>
        <v>AP</v>
      </c>
      <c r="BA14" s="5" t="str">
        <f t="shared" si="2"/>
        <v>AP</v>
      </c>
      <c r="BB14" s="5" t="str">
        <f t="shared" si="2"/>
        <v>WU</v>
      </c>
      <c r="BC14" s="5" t="str">
        <f t="shared" si="2"/>
        <v>WU</v>
      </c>
      <c r="BD14" s="5" t="str">
        <f t="shared" si="2"/>
        <v>WU</v>
      </c>
      <c r="BE14" s="5" t="str">
        <f t="shared" si="2"/>
        <v>WU</v>
      </c>
      <c r="BF14" s="5" t="str">
        <f t="shared" si="2"/>
        <v>WU</v>
      </c>
      <c r="BG14" s="5" t="str">
        <f t="shared" si="2"/>
        <v>WU</v>
      </c>
      <c r="BH14" s="5" t="str">
        <f t="shared" si="2"/>
        <v>WU</v>
      </c>
      <c r="BI14" s="5" t="str">
        <f t="shared" si="2"/>
        <v>WU</v>
      </c>
      <c r="BJ14" s="5" t="str">
        <f t="shared" si="2"/>
        <v>WU</v>
      </c>
      <c r="BK14" s="5" t="str">
        <f t="shared" si="2"/>
        <v>WU</v>
      </c>
      <c r="BL14" s="5" t="str">
        <f t="shared" si="2"/>
        <v>FDP</v>
      </c>
      <c r="BM14" s="5" t="str">
        <f t="shared" si="2"/>
        <v>FDP</v>
      </c>
      <c r="BN14" s="5" t="str">
        <f t="shared" si="2"/>
        <v>FDP</v>
      </c>
      <c r="BO14" s="5" t="str">
        <f t="shared" si="2"/>
        <v>FDP</v>
      </c>
      <c r="BP14" s="5" t="str">
        <f t="shared" ref="BP14:CE16" si="3">BP4</f>
        <v>FDP</v>
      </c>
      <c r="BQ14" s="5" t="str">
        <f t="shared" si="3"/>
        <v>FDP</v>
      </c>
      <c r="BR14" s="5" t="str">
        <f t="shared" si="3"/>
        <v>FDP</v>
      </c>
      <c r="BS14" s="5" t="str">
        <f t="shared" si="3"/>
        <v>FDP</v>
      </c>
      <c r="BT14" s="5" t="str">
        <f t="shared" si="3"/>
        <v>FDP</v>
      </c>
      <c r="BU14" s="5" t="str">
        <f t="shared" si="3"/>
        <v>FDP</v>
      </c>
      <c r="BV14" s="5" t="str">
        <f t="shared" si="3"/>
        <v>CED</v>
      </c>
      <c r="BW14" s="5" t="str">
        <f t="shared" si="3"/>
        <v>CED</v>
      </c>
      <c r="BX14" s="5" t="str">
        <f t="shared" si="3"/>
        <v>CED</v>
      </c>
      <c r="BY14" s="5" t="str">
        <f t="shared" si="3"/>
        <v>CED</v>
      </c>
      <c r="BZ14" s="5" t="str">
        <f t="shared" si="3"/>
        <v>CED</v>
      </c>
      <c r="CA14" s="5" t="str">
        <f t="shared" si="3"/>
        <v>CED</v>
      </c>
      <c r="CB14" s="5" t="str">
        <f t="shared" si="3"/>
        <v>CED</v>
      </c>
      <c r="CC14" s="5" t="str">
        <f t="shared" si="3"/>
        <v>CED</v>
      </c>
      <c r="CD14" s="5" t="str">
        <f t="shared" si="3"/>
        <v>CED</v>
      </c>
      <c r="CE14" s="5" t="str">
        <f t="shared" si="3"/>
        <v>CED</v>
      </c>
    </row>
    <row r="15" spans="1:83" x14ac:dyDescent="0.25">
      <c r="C15" s="5" t="str">
        <f t="shared" ref="C15:C16" si="4">C5</f>
        <v>Units</v>
      </c>
      <c r="D15" s="5" t="s">
        <v>508</v>
      </c>
      <c r="E15" s="5" t="s">
        <v>508</v>
      </c>
      <c r="F15" s="5" t="s">
        <v>508</v>
      </c>
      <c r="G15" s="5" t="s">
        <v>508</v>
      </c>
      <c r="H15" s="5" t="s">
        <v>508</v>
      </c>
      <c r="I15" s="5" t="s">
        <v>508</v>
      </c>
      <c r="J15" s="5" t="s">
        <v>508</v>
      </c>
      <c r="K15" s="5" t="s">
        <v>508</v>
      </c>
      <c r="L15" s="5" t="s">
        <v>508</v>
      </c>
      <c r="M15" s="5" t="s">
        <v>508</v>
      </c>
      <c r="N15" s="5" t="s">
        <v>509</v>
      </c>
      <c r="O15" s="5" t="s">
        <v>509</v>
      </c>
      <c r="P15" s="5" t="s">
        <v>509</v>
      </c>
      <c r="Q15" s="5" t="s">
        <v>509</v>
      </c>
      <c r="R15" s="5" t="s">
        <v>509</v>
      </c>
      <c r="S15" s="5" t="s">
        <v>509</v>
      </c>
      <c r="T15" s="5" t="s">
        <v>509</v>
      </c>
      <c r="U15" s="5" t="s">
        <v>509</v>
      </c>
      <c r="V15" s="5" t="s">
        <v>509</v>
      </c>
      <c r="W15" s="5" t="s">
        <v>509</v>
      </c>
      <c r="X15" s="5" t="s">
        <v>510</v>
      </c>
      <c r="Y15" s="5" t="s">
        <v>510</v>
      </c>
      <c r="Z15" s="5" t="s">
        <v>510</v>
      </c>
      <c r="AA15" s="5" t="s">
        <v>510</v>
      </c>
      <c r="AB15" s="5" t="s">
        <v>510</v>
      </c>
      <c r="AC15" s="5" t="s">
        <v>510</v>
      </c>
      <c r="AD15" s="5" t="s">
        <v>510</v>
      </c>
      <c r="AE15" s="5" t="s">
        <v>510</v>
      </c>
      <c r="AF15" s="5" t="s">
        <v>510</v>
      </c>
      <c r="AG15" s="5" t="s">
        <v>510</v>
      </c>
      <c r="AH15" s="5" t="s">
        <v>511</v>
      </c>
      <c r="AI15" s="5" t="s">
        <v>511</v>
      </c>
      <c r="AJ15" s="5" t="s">
        <v>511</v>
      </c>
      <c r="AK15" s="5" t="s">
        <v>511</v>
      </c>
      <c r="AL15" s="5" t="s">
        <v>511</v>
      </c>
      <c r="AM15" s="5" t="s">
        <v>511</v>
      </c>
      <c r="AN15" s="5" t="s">
        <v>511</v>
      </c>
      <c r="AO15" s="5" t="s">
        <v>511</v>
      </c>
      <c r="AP15" s="5" t="s">
        <v>511</v>
      </c>
      <c r="AQ15" s="5" t="s">
        <v>511</v>
      </c>
      <c r="AR15" s="5" t="s">
        <v>512</v>
      </c>
      <c r="AS15" s="5" t="s">
        <v>512</v>
      </c>
      <c r="AT15" s="5" t="s">
        <v>512</v>
      </c>
      <c r="AU15" s="5" t="s">
        <v>512</v>
      </c>
      <c r="AV15" s="5" t="s">
        <v>512</v>
      </c>
      <c r="AW15" s="5" t="s">
        <v>512</v>
      </c>
      <c r="AX15" s="5" t="s">
        <v>512</v>
      </c>
      <c r="AY15" s="5" t="s">
        <v>512</v>
      </c>
      <c r="AZ15" s="5" t="s">
        <v>512</v>
      </c>
      <c r="BA15" s="5" t="s">
        <v>512</v>
      </c>
      <c r="BB15" s="5" t="s">
        <v>513</v>
      </c>
      <c r="BC15" s="5" t="s">
        <v>513</v>
      </c>
      <c r="BD15" s="5" t="s">
        <v>513</v>
      </c>
      <c r="BE15" s="5" t="s">
        <v>513</v>
      </c>
      <c r="BF15" s="5" t="s">
        <v>513</v>
      </c>
      <c r="BG15" s="5" t="s">
        <v>513</v>
      </c>
      <c r="BH15" s="5" t="s">
        <v>513</v>
      </c>
      <c r="BI15" s="5" t="s">
        <v>513</v>
      </c>
      <c r="BJ15" s="5" t="s">
        <v>513</v>
      </c>
      <c r="BK15" s="5" t="s">
        <v>513</v>
      </c>
      <c r="BL15" s="5" t="s">
        <v>514</v>
      </c>
      <c r="BM15" s="5" t="s">
        <v>514</v>
      </c>
      <c r="BN15" s="5" t="s">
        <v>514</v>
      </c>
      <c r="BO15" s="5" t="s">
        <v>514</v>
      </c>
      <c r="BP15" s="5" t="s">
        <v>514</v>
      </c>
      <c r="BQ15" s="5" t="s">
        <v>514</v>
      </c>
      <c r="BR15" s="5" t="s">
        <v>514</v>
      </c>
      <c r="BS15" s="5" t="s">
        <v>514</v>
      </c>
      <c r="BT15" s="5" t="s">
        <v>514</v>
      </c>
      <c r="BU15" s="5" t="s">
        <v>514</v>
      </c>
      <c r="BV15" s="5" t="s">
        <v>515</v>
      </c>
      <c r="BW15" s="5" t="s">
        <v>515</v>
      </c>
      <c r="BX15" s="5" t="s">
        <v>515</v>
      </c>
      <c r="BY15" s="5" t="s">
        <v>515</v>
      </c>
      <c r="BZ15" s="5" t="s">
        <v>515</v>
      </c>
      <c r="CA15" s="5" t="s">
        <v>515</v>
      </c>
      <c r="CB15" s="5" t="s">
        <v>515</v>
      </c>
      <c r="CC15" s="5" t="s">
        <v>515</v>
      </c>
      <c r="CD15" s="5" t="s">
        <v>515</v>
      </c>
      <c r="CE15" s="5" t="s">
        <v>515</v>
      </c>
    </row>
    <row r="16" spans="1:83" x14ac:dyDescent="0.25">
      <c r="B16" s="280" t="s">
        <v>246</v>
      </c>
      <c r="C16" s="5" t="str">
        <f t="shared" si="4"/>
        <v>System Name</v>
      </c>
      <c r="D16" s="5" t="str">
        <f t="shared" ref="D16:BO16" si="5">D6</f>
        <v>Legacy</v>
      </c>
      <c r="E16" s="5" t="str">
        <f t="shared" si="5"/>
        <v>Upgraded - Base_Low</v>
      </c>
      <c r="F16" s="5" t="str">
        <f t="shared" si="5"/>
        <v>Upgraded - Base</v>
      </c>
      <c r="G16" s="5" t="str">
        <f t="shared" si="5"/>
        <v>Upgraded - Base_High</v>
      </c>
      <c r="H16" s="5" t="str">
        <f t="shared" si="5"/>
        <v>Upgraded - Medium_Low</v>
      </c>
      <c r="I16" s="5" t="str">
        <f t="shared" si="5"/>
        <v>Upgraded - Medium_Base</v>
      </c>
      <c r="J16" s="5" t="str">
        <f t="shared" si="5"/>
        <v>Upgraded - Medium_High</v>
      </c>
      <c r="K16" s="5" t="str">
        <f t="shared" si="5"/>
        <v>Upgraded - High_Low</v>
      </c>
      <c r="L16" s="5" t="str">
        <f t="shared" si="5"/>
        <v>Upgraded - High_Base</v>
      </c>
      <c r="M16" s="5" t="str">
        <f t="shared" si="5"/>
        <v>Upgraded - High_High</v>
      </c>
      <c r="N16" s="5" t="str">
        <f t="shared" si="5"/>
        <v>Legacy</v>
      </c>
      <c r="O16" s="5" t="str">
        <f t="shared" si="5"/>
        <v>Upgraded - Base_Low</v>
      </c>
      <c r="P16" s="5" t="str">
        <f t="shared" si="5"/>
        <v>Upgraded - Base</v>
      </c>
      <c r="Q16" s="5" t="str">
        <f t="shared" si="5"/>
        <v>Upgraded - Base_High</v>
      </c>
      <c r="R16" s="5" t="str">
        <f t="shared" si="5"/>
        <v>Upgraded - Medium_Low</v>
      </c>
      <c r="S16" s="5" t="str">
        <f t="shared" si="5"/>
        <v>Upgraded - Medium_Base</v>
      </c>
      <c r="T16" s="5" t="str">
        <f t="shared" si="5"/>
        <v>Upgraded - Medium_High</v>
      </c>
      <c r="U16" s="5" t="str">
        <f t="shared" si="5"/>
        <v>Upgraded - High_Low</v>
      </c>
      <c r="V16" s="5" t="str">
        <f t="shared" si="5"/>
        <v>Upgraded - High_Base</v>
      </c>
      <c r="W16" s="5" t="str">
        <f t="shared" si="5"/>
        <v>Upgraded - High_High</v>
      </c>
      <c r="X16" s="5" t="str">
        <f t="shared" si="5"/>
        <v>Legacy</v>
      </c>
      <c r="Y16" s="5" t="str">
        <f t="shared" si="5"/>
        <v>Upgraded - Base_Low</v>
      </c>
      <c r="Z16" s="5" t="str">
        <f t="shared" si="5"/>
        <v>Upgraded - Base</v>
      </c>
      <c r="AA16" s="5" t="str">
        <f t="shared" si="5"/>
        <v>Upgraded - Base_High</v>
      </c>
      <c r="AB16" s="5" t="str">
        <f t="shared" si="5"/>
        <v>Upgraded - Medium_Low</v>
      </c>
      <c r="AC16" s="5" t="str">
        <f t="shared" si="5"/>
        <v>Upgraded - Medium_Base</v>
      </c>
      <c r="AD16" s="5" t="str">
        <f t="shared" si="5"/>
        <v>Upgraded - Medium_High</v>
      </c>
      <c r="AE16" s="5" t="str">
        <f t="shared" si="5"/>
        <v>Upgraded - High_Low</v>
      </c>
      <c r="AF16" s="5" t="str">
        <f t="shared" si="5"/>
        <v>Upgraded - High_Base</v>
      </c>
      <c r="AG16" s="5" t="str">
        <f t="shared" si="5"/>
        <v>Upgraded - High_High</v>
      </c>
      <c r="AH16" s="5" t="str">
        <f t="shared" si="5"/>
        <v>Legacy</v>
      </c>
      <c r="AI16" s="5" t="str">
        <f t="shared" si="5"/>
        <v>Upgraded - Base_Low</v>
      </c>
      <c r="AJ16" s="5" t="str">
        <f t="shared" si="5"/>
        <v>Upgraded - Base</v>
      </c>
      <c r="AK16" s="5" t="str">
        <f t="shared" si="5"/>
        <v>Upgraded - Base_High</v>
      </c>
      <c r="AL16" s="5" t="str">
        <f t="shared" si="5"/>
        <v>Upgraded - Medium_Low</v>
      </c>
      <c r="AM16" s="5" t="str">
        <f t="shared" si="5"/>
        <v>Upgraded - Medium_Base</v>
      </c>
      <c r="AN16" s="5" t="str">
        <f t="shared" si="5"/>
        <v>Upgraded - Medium_High</v>
      </c>
      <c r="AO16" s="5" t="str">
        <f t="shared" si="5"/>
        <v>Upgraded - High_Low</v>
      </c>
      <c r="AP16" s="5" t="str">
        <f t="shared" si="5"/>
        <v>Upgraded - High_Base</v>
      </c>
      <c r="AQ16" s="5" t="str">
        <f t="shared" si="5"/>
        <v>Upgraded - High_High</v>
      </c>
      <c r="AR16" s="5" t="str">
        <f t="shared" si="5"/>
        <v>Legacy</v>
      </c>
      <c r="AS16" s="5" t="str">
        <f t="shared" si="5"/>
        <v>Upgraded - Base_Low</v>
      </c>
      <c r="AT16" s="5" t="str">
        <f t="shared" si="5"/>
        <v>Upgraded - Base</v>
      </c>
      <c r="AU16" s="5" t="str">
        <f t="shared" si="5"/>
        <v>Upgraded - Base_High</v>
      </c>
      <c r="AV16" s="5" t="str">
        <f t="shared" si="5"/>
        <v>Upgraded - Medium_Low</v>
      </c>
      <c r="AW16" s="5" t="str">
        <f t="shared" si="5"/>
        <v>Upgraded - Medium_Base</v>
      </c>
      <c r="AX16" s="5" t="str">
        <f t="shared" si="5"/>
        <v>Upgraded - Medium_High</v>
      </c>
      <c r="AY16" s="5" t="str">
        <f t="shared" si="5"/>
        <v>Upgraded - High_Low</v>
      </c>
      <c r="AZ16" s="5" t="str">
        <f t="shared" si="5"/>
        <v>Upgraded - High_Base</v>
      </c>
      <c r="BA16" s="5" t="str">
        <f t="shared" si="5"/>
        <v>Upgraded - High_High</v>
      </c>
      <c r="BB16" s="5" t="str">
        <f t="shared" si="5"/>
        <v>Legacy</v>
      </c>
      <c r="BC16" s="5" t="str">
        <f t="shared" si="5"/>
        <v>Upgraded - Base_Low</v>
      </c>
      <c r="BD16" s="5" t="str">
        <f t="shared" si="5"/>
        <v>Upgraded - Base</v>
      </c>
      <c r="BE16" s="5" t="str">
        <f t="shared" si="5"/>
        <v>Upgraded - Base_High</v>
      </c>
      <c r="BF16" s="5" t="str">
        <f t="shared" si="5"/>
        <v>Upgraded - Medium_Low</v>
      </c>
      <c r="BG16" s="5" t="str">
        <f t="shared" si="5"/>
        <v>Upgraded - Medium_Base</v>
      </c>
      <c r="BH16" s="5" t="str">
        <f t="shared" si="5"/>
        <v>Upgraded - Medium_High</v>
      </c>
      <c r="BI16" s="5" t="str">
        <f t="shared" si="5"/>
        <v>Upgraded - High_Low</v>
      </c>
      <c r="BJ16" s="5" t="str">
        <f t="shared" si="5"/>
        <v>Upgraded - High_Base</v>
      </c>
      <c r="BK16" s="5" t="str">
        <f t="shared" si="5"/>
        <v>Upgraded - High_High</v>
      </c>
      <c r="BL16" s="5" t="str">
        <f t="shared" si="5"/>
        <v>Legacy</v>
      </c>
      <c r="BM16" s="5" t="str">
        <f t="shared" si="5"/>
        <v>Upgraded - Base_Low</v>
      </c>
      <c r="BN16" s="5" t="str">
        <f t="shared" si="5"/>
        <v>Upgraded - Base</v>
      </c>
      <c r="BO16" s="5" t="str">
        <f t="shared" si="5"/>
        <v>Upgraded - Base_High</v>
      </c>
      <c r="BP16" s="5" t="str">
        <f t="shared" si="3"/>
        <v>Upgraded - Medium_Low</v>
      </c>
      <c r="BQ16" s="5" t="str">
        <f t="shared" si="3"/>
        <v>Upgraded - Medium_Base</v>
      </c>
      <c r="BR16" s="5" t="str">
        <f t="shared" si="3"/>
        <v>Upgraded - Medium_High</v>
      </c>
      <c r="BS16" s="5" t="str">
        <f t="shared" si="3"/>
        <v>Upgraded - High_Low</v>
      </c>
      <c r="BT16" s="5" t="str">
        <f t="shared" si="3"/>
        <v>Upgraded - High_Base</v>
      </c>
      <c r="BU16" s="5" t="str">
        <f t="shared" si="3"/>
        <v>Upgraded - High_High</v>
      </c>
      <c r="BV16" s="5" t="str">
        <f t="shared" si="3"/>
        <v>Legacy</v>
      </c>
      <c r="BW16" s="5" t="str">
        <f t="shared" si="3"/>
        <v>Upgraded - Base_Low</v>
      </c>
      <c r="BX16" s="5" t="str">
        <f t="shared" si="3"/>
        <v>Upgraded - Base</v>
      </c>
      <c r="BY16" s="5" t="str">
        <f t="shared" si="3"/>
        <v>Upgraded - Base_High</v>
      </c>
      <c r="BZ16" s="5" t="str">
        <f t="shared" si="3"/>
        <v>Upgraded - Medium_Low</v>
      </c>
      <c r="CA16" s="5" t="str">
        <f t="shared" si="3"/>
        <v>Upgraded - Medium_Base</v>
      </c>
      <c r="CB16" s="5" t="str">
        <f t="shared" si="3"/>
        <v>Upgraded - Medium_High</v>
      </c>
      <c r="CC16" s="5" t="str">
        <f t="shared" si="3"/>
        <v>Upgraded - High_Low</v>
      </c>
      <c r="CD16" s="5" t="str">
        <f t="shared" si="3"/>
        <v>Upgraded - High_Base</v>
      </c>
      <c r="CE16" s="5" t="str">
        <f t="shared" si="3"/>
        <v>Upgraded - High_High</v>
      </c>
    </row>
    <row r="17" spans="1:83" x14ac:dyDescent="0.25">
      <c r="B17" s="173" t="s">
        <v>180</v>
      </c>
      <c r="C17" s="40" t="str">
        <f>C7</f>
        <v>Low Emissions</v>
      </c>
      <c r="D17" s="172">
        <f>D7*$D$11</f>
        <v>635695.31084000005</v>
      </c>
      <c r="E17" s="172">
        <f t="shared" ref="E17:BP18" si="6">E7*$D$11</f>
        <v>726775.39276000008</v>
      </c>
      <c r="F17" s="172">
        <f t="shared" si="6"/>
        <v>462405.50692000001</v>
      </c>
      <c r="G17" s="172">
        <f t="shared" si="6"/>
        <v>-50486.44103999994</v>
      </c>
      <c r="H17" s="172">
        <f t="shared" si="6"/>
        <v>400340.6210000001</v>
      </c>
      <c r="I17" s="172">
        <f t="shared" si="6"/>
        <v>-125469.99755999993</v>
      </c>
      <c r="J17" s="172">
        <f t="shared" si="6"/>
        <v>-422088.20123999973</v>
      </c>
      <c r="K17" s="172">
        <f t="shared" si="6"/>
        <v>-177282.84755999991</v>
      </c>
      <c r="L17" s="172">
        <f t="shared" si="6"/>
        <v>-626161.74644000002</v>
      </c>
      <c r="M17" s="172">
        <f t="shared" si="6"/>
        <v>-1006274.6307999999</v>
      </c>
      <c r="N17" s="172">
        <f t="shared" si="6"/>
        <v>33764.380400725437</v>
      </c>
      <c r="O17" s="172">
        <f t="shared" si="6"/>
        <v>21771.774657901922</v>
      </c>
      <c r="P17" s="172">
        <f t="shared" si="6"/>
        <v>21035.62638966072</v>
      </c>
      <c r="Q17" s="172">
        <f t="shared" si="6"/>
        <v>19493.387065209121</v>
      </c>
      <c r="R17" s="172">
        <f t="shared" si="6"/>
        <v>22919.147561665523</v>
      </c>
      <c r="S17" s="172">
        <f t="shared" si="6"/>
        <v>21677.637617831919</v>
      </c>
      <c r="T17" s="172">
        <f t="shared" si="6"/>
        <v>19897.01344990472</v>
      </c>
      <c r="U17" s="172">
        <f t="shared" si="6"/>
        <v>24371.37898477312</v>
      </c>
      <c r="V17" s="172">
        <f t="shared" si="6"/>
        <v>22278.971337389921</v>
      </c>
      <c r="W17" s="172">
        <f t="shared" si="6"/>
        <v>19729.92972007392</v>
      </c>
      <c r="X17" s="172">
        <f t="shared" si="6"/>
        <v>5777.3726021750517</v>
      </c>
      <c r="Y17" s="172">
        <f t="shared" si="6"/>
        <v>7777.0405302055988</v>
      </c>
      <c r="Z17" s="172">
        <f t="shared" si="6"/>
        <v>6065.0386824943989</v>
      </c>
      <c r="AA17" s="172">
        <f t="shared" si="6"/>
        <v>20.397820955599293</v>
      </c>
      <c r="AB17" s="172">
        <f t="shared" si="6"/>
        <v>6905.7093584595996</v>
      </c>
      <c r="AC17" s="172">
        <f t="shared" si="6"/>
        <v>3736.8730340468001</v>
      </c>
      <c r="AD17" s="172">
        <f t="shared" si="6"/>
        <v>-3442.6383596344008</v>
      </c>
      <c r="AE17" s="172">
        <f t="shared" si="6"/>
        <v>5169.3026912252008</v>
      </c>
      <c r="AF17" s="172">
        <f t="shared" si="6"/>
        <v>-756.76163065280036</v>
      </c>
      <c r="AG17" s="172">
        <f t="shared" si="6"/>
        <v>-10555.122578041601</v>
      </c>
      <c r="AH17" s="172">
        <f t="shared" si="6"/>
        <v>408285.65454101202</v>
      </c>
      <c r="AI17" s="172">
        <f t="shared" si="6"/>
        <v>548442.47143999999</v>
      </c>
      <c r="AJ17" s="172">
        <f t="shared" si="6"/>
        <v>427670.17227999994</v>
      </c>
      <c r="AK17" s="172">
        <f t="shared" si="6"/>
        <v>-3288.38888000011</v>
      </c>
      <c r="AL17" s="172">
        <f t="shared" si="6"/>
        <v>484553.7732</v>
      </c>
      <c r="AM17" s="172">
        <f t="shared" si="6"/>
        <v>258483.94607999999</v>
      </c>
      <c r="AN17" s="172">
        <f t="shared" si="6"/>
        <v>-250939.99512000004</v>
      </c>
      <c r="AO17" s="172">
        <f t="shared" si="6"/>
        <v>354786.76327999996</v>
      </c>
      <c r="AP17" s="172">
        <f t="shared" si="6"/>
        <v>-65270.374239999997</v>
      </c>
      <c r="AQ17" s="172">
        <f t="shared" si="6"/>
        <v>-759051.34412000002</v>
      </c>
      <c r="AR17" s="172">
        <f t="shared" si="6"/>
        <v>43504.637105532034</v>
      </c>
      <c r="AS17" s="172">
        <f t="shared" si="6"/>
        <v>62742.397240477207</v>
      </c>
      <c r="AT17" s="172">
        <f t="shared" si="6"/>
        <v>49547.391440477208</v>
      </c>
      <c r="AU17" s="172">
        <f t="shared" si="6"/>
        <v>4435.6700404771973</v>
      </c>
      <c r="AV17" s="172">
        <f t="shared" si="6"/>
        <v>58403.934600477209</v>
      </c>
      <c r="AW17" s="172">
        <f t="shared" si="6"/>
        <v>33975.902920477194</v>
      </c>
      <c r="AX17" s="172">
        <f t="shared" si="6"/>
        <v>-19342.973919522807</v>
      </c>
      <c r="AY17" s="172">
        <f t="shared" si="6"/>
        <v>48207.165720477213</v>
      </c>
      <c r="AZ17" s="172">
        <f t="shared" si="6"/>
        <v>3150.7113604772076</v>
      </c>
      <c r="BA17" s="172">
        <f t="shared" si="6"/>
        <v>-69691.247359522778</v>
      </c>
      <c r="BB17" s="172">
        <f t="shared" si="6"/>
        <v>1725.2355128056799</v>
      </c>
      <c r="BC17" s="172">
        <f t="shared" si="6"/>
        <v>-185.60480645884013</v>
      </c>
      <c r="BD17" s="172">
        <f t="shared" si="6"/>
        <v>-71.979475110520127</v>
      </c>
      <c r="BE17" s="172">
        <f t="shared" si="6"/>
        <v>-135.68757448056019</v>
      </c>
      <c r="BF17" s="172">
        <f t="shared" si="6"/>
        <v>-820.62070575935979</v>
      </c>
      <c r="BG17" s="172">
        <f t="shared" si="6"/>
        <v>-668.72207875516006</v>
      </c>
      <c r="BH17" s="172">
        <f t="shared" si="6"/>
        <v>-727.82477568199977</v>
      </c>
      <c r="BI17" s="172">
        <f t="shared" si="6"/>
        <v>-1739.9549355532401</v>
      </c>
      <c r="BJ17" s="172">
        <f t="shared" si="6"/>
        <v>-1497.3016942276004</v>
      </c>
      <c r="BK17" s="172">
        <f t="shared" si="6"/>
        <v>-1527.9979339665201</v>
      </c>
      <c r="BL17" s="172">
        <f t="shared" si="6"/>
        <v>240362.14093207123</v>
      </c>
      <c r="BM17" s="172">
        <f t="shared" si="6"/>
        <v>397881.23772000003</v>
      </c>
      <c r="BN17" s="172">
        <f t="shared" si="6"/>
        <v>257240.43768000006</v>
      </c>
      <c r="BO17" s="172">
        <f t="shared" si="6"/>
        <v>3564.7240800000304</v>
      </c>
      <c r="BP17" s="172">
        <f t="shared" si="6"/>
        <v>350752.26936000009</v>
      </c>
      <c r="BQ17" s="172">
        <f t="shared" ref="BQ17:CE19" si="7">BQ7*$D$11</f>
        <v>87418.640520000044</v>
      </c>
      <c r="BR17" s="172">
        <f t="shared" si="7"/>
        <v>-77664.007959999944</v>
      </c>
      <c r="BS17" s="172">
        <f t="shared" si="7"/>
        <v>228446.30983999994</v>
      </c>
      <c r="BT17" s="172">
        <f t="shared" si="7"/>
        <v>-29291.531200000049</v>
      </c>
      <c r="BU17" s="172">
        <f t="shared" si="7"/>
        <v>-253910.59851999997</v>
      </c>
      <c r="BV17" s="172">
        <f t="shared" si="7"/>
        <v>12726175.499680003</v>
      </c>
      <c r="BW17" s="172">
        <f t="shared" si="7"/>
        <v>19668862.514759999</v>
      </c>
      <c r="BX17" s="172">
        <f t="shared" si="7"/>
        <v>13157617.64744</v>
      </c>
      <c r="BY17" s="172">
        <f t="shared" si="7"/>
        <v>302891.01272000029</v>
      </c>
      <c r="BZ17" s="172">
        <f t="shared" si="7"/>
        <v>17264359.405479997</v>
      </c>
      <c r="CA17" s="172">
        <f t="shared" si="7"/>
        <v>5061231.1723599993</v>
      </c>
      <c r="CB17" s="172">
        <f t="shared" si="7"/>
        <v>-4452492.3602800015</v>
      </c>
      <c r="CC17" s="172">
        <f t="shared" si="7"/>
        <v>11319726.048999999</v>
      </c>
      <c r="CD17" s="172">
        <f t="shared" si="7"/>
        <v>-1605023.9254000012</v>
      </c>
      <c r="CE17" s="172">
        <f t="shared" si="7"/>
        <v>-14544060.429640001</v>
      </c>
    </row>
    <row r="18" spans="1:83" x14ac:dyDescent="0.25">
      <c r="B18" s="173" t="s">
        <v>130</v>
      </c>
      <c r="C18" s="40" t="str">
        <f t="shared" ref="C18:C19" si="8">C8</f>
        <v>Base Emissions</v>
      </c>
      <c r="D18" s="172">
        <f t="shared" ref="D18:S19" si="9">D8*$D$11</f>
        <v>1071006.1514000001</v>
      </c>
      <c r="E18" s="172">
        <f t="shared" si="9"/>
        <v>1683282.0540400001</v>
      </c>
      <c r="F18" s="172">
        <f t="shared" si="9"/>
        <v>1342546.9356800003</v>
      </c>
      <c r="G18" s="172">
        <f t="shared" si="9"/>
        <v>769441.54764000012</v>
      </c>
      <c r="H18" s="172">
        <f t="shared" si="9"/>
        <v>1728670.1106399999</v>
      </c>
      <c r="I18" s="172">
        <f t="shared" si="9"/>
        <v>1097188.9116000002</v>
      </c>
      <c r="J18" s="172">
        <f t="shared" si="9"/>
        <v>728005.0844000004</v>
      </c>
      <c r="K18" s="172">
        <f t="shared" si="9"/>
        <v>1676166.4226400005</v>
      </c>
      <c r="L18" s="172">
        <f t="shared" si="9"/>
        <v>1070370.5804400002</v>
      </c>
      <c r="M18" s="172">
        <f t="shared" si="9"/>
        <v>548511.55524000013</v>
      </c>
      <c r="N18" s="172">
        <f t="shared" si="9"/>
        <v>33735.678568842239</v>
      </c>
      <c r="O18" s="172">
        <f t="shared" si="9"/>
        <v>22102.704574360319</v>
      </c>
      <c r="P18" s="172">
        <f t="shared" si="9"/>
        <v>21332.59097951392</v>
      </c>
      <c r="Q18" s="172">
        <f t="shared" si="9"/>
        <v>19768.728149327122</v>
      </c>
      <c r="R18" s="172">
        <f t="shared" si="9"/>
        <v>23363.669759782319</v>
      </c>
      <c r="S18" s="172">
        <f t="shared" si="9"/>
        <v>22091.505952212723</v>
      </c>
      <c r="T18" s="172">
        <f t="shared" si="6"/>
        <v>20291.173005151122</v>
      </c>
      <c r="U18" s="172">
        <f t="shared" si="6"/>
        <v>24993.133184773124</v>
      </c>
      <c r="V18" s="172">
        <f t="shared" si="6"/>
        <v>22845.458497389922</v>
      </c>
      <c r="W18" s="172">
        <f t="shared" si="6"/>
        <v>20254.96660007392</v>
      </c>
      <c r="X18" s="172">
        <f t="shared" si="6"/>
        <v>5653.0217621750508</v>
      </c>
      <c r="Y18" s="172">
        <f t="shared" si="6"/>
        <v>8008.8339501555984</v>
      </c>
      <c r="Z18" s="172">
        <f t="shared" si="6"/>
        <v>6275.1294266743989</v>
      </c>
      <c r="AA18" s="172">
        <f t="shared" si="6"/>
        <v>220.69925250799929</v>
      </c>
      <c r="AB18" s="172">
        <f t="shared" si="6"/>
        <v>7233.3242196912006</v>
      </c>
      <c r="AC18" s="172">
        <f t="shared" si="6"/>
        <v>4031.8073891855997</v>
      </c>
      <c r="AD18" s="172">
        <f t="shared" si="6"/>
        <v>-3156.1399654812008</v>
      </c>
      <c r="AE18" s="172">
        <f t="shared" si="6"/>
        <v>5625.3240260195998</v>
      </c>
      <c r="AF18" s="172">
        <f t="shared" si="6"/>
        <v>-345.00408269720054</v>
      </c>
      <c r="AG18" s="172">
        <f t="shared" si="6"/>
        <v>-10175.0667569004</v>
      </c>
      <c r="AH18" s="172">
        <f t="shared" si="6"/>
        <v>399387.66110101203</v>
      </c>
      <c r="AI18" s="172">
        <f t="shared" si="6"/>
        <v>548801.70719999995</v>
      </c>
      <c r="AJ18" s="172">
        <f t="shared" si="6"/>
        <v>428001.77451999992</v>
      </c>
      <c r="AK18" s="172">
        <f t="shared" si="6"/>
        <v>-2998.2369200001099</v>
      </c>
      <c r="AL18" s="172">
        <f t="shared" si="6"/>
        <v>485037.35980000003</v>
      </c>
      <c r="AM18" s="172">
        <f t="shared" si="6"/>
        <v>258926.08240000001</v>
      </c>
      <c r="AN18" s="172">
        <f t="shared" si="6"/>
        <v>-250511.67556000003</v>
      </c>
      <c r="AO18" s="172">
        <f t="shared" si="6"/>
        <v>355477.60127999994</v>
      </c>
      <c r="AP18" s="172">
        <f t="shared" si="6"/>
        <v>-64662.436800000003</v>
      </c>
      <c r="AQ18" s="172">
        <f t="shared" si="6"/>
        <v>-758484.85696000012</v>
      </c>
      <c r="AR18" s="172">
        <f t="shared" si="6"/>
        <v>42551.280665532038</v>
      </c>
      <c r="AS18" s="172">
        <f t="shared" si="6"/>
        <v>69222.457680477208</v>
      </c>
      <c r="AT18" s="172">
        <f t="shared" si="6"/>
        <v>55543.865280477206</v>
      </c>
      <c r="AU18" s="172">
        <f t="shared" si="6"/>
        <v>9990.0075604771973</v>
      </c>
      <c r="AV18" s="172">
        <f t="shared" si="6"/>
        <v>67426.278880477214</v>
      </c>
      <c r="AW18" s="172">
        <f t="shared" si="6"/>
        <v>42307.409200477196</v>
      </c>
      <c r="AX18" s="172">
        <f t="shared" si="6"/>
        <v>-11564.138039522804</v>
      </c>
      <c r="AY18" s="172">
        <f t="shared" si="6"/>
        <v>60794.234080477218</v>
      </c>
      <c r="AZ18" s="172">
        <f t="shared" si="6"/>
        <v>14701.522720477207</v>
      </c>
      <c r="BA18" s="172">
        <f t="shared" si="6"/>
        <v>-59135.242719522779</v>
      </c>
      <c r="BB18" s="172">
        <f t="shared" si="6"/>
        <v>1722.39755030168</v>
      </c>
      <c r="BC18" s="172">
        <f t="shared" si="6"/>
        <v>-185.60480645884013</v>
      </c>
      <c r="BD18" s="172">
        <f t="shared" si="6"/>
        <v>-58.162715110520089</v>
      </c>
      <c r="BE18" s="172">
        <f t="shared" si="6"/>
        <v>-135.68757448056019</v>
      </c>
      <c r="BF18" s="172">
        <f t="shared" si="6"/>
        <v>-806.80394575936009</v>
      </c>
      <c r="BG18" s="172">
        <f t="shared" si="6"/>
        <v>-654.90531875516001</v>
      </c>
      <c r="BH18" s="172">
        <f t="shared" si="6"/>
        <v>-727.82477568199977</v>
      </c>
      <c r="BI18" s="172">
        <f t="shared" si="6"/>
        <v>-1726.13817555324</v>
      </c>
      <c r="BJ18" s="172">
        <f t="shared" si="6"/>
        <v>-1497.3016942276004</v>
      </c>
      <c r="BK18" s="172">
        <f t="shared" si="6"/>
        <v>-1527.9979339665201</v>
      </c>
      <c r="BL18" s="172">
        <f t="shared" si="6"/>
        <v>236977.03473207119</v>
      </c>
      <c r="BM18" s="172">
        <f t="shared" si="6"/>
        <v>398779.32711999997</v>
      </c>
      <c r="BN18" s="172">
        <f t="shared" si="6"/>
        <v>258055.62652000002</v>
      </c>
      <c r="BO18" s="172">
        <f t="shared" si="6"/>
        <v>4338.4626400000316</v>
      </c>
      <c r="BP18" s="172">
        <f t="shared" si="6"/>
        <v>351995.77776000014</v>
      </c>
      <c r="BQ18" s="172">
        <f t="shared" si="7"/>
        <v>88537.798080000037</v>
      </c>
      <c r="BR18" s="172">
        <f t="shared" si="7"/>
        <v>-76600.117439999944</v>
      </c>
      <c r="BS18" s="172">
        <f t="shared" si="7"/>
        <v>230187.22159999996</v>
      </c>
      <c r="BT18" s="172">
        <f t="shared" si="7"/>
        <v>-27757.870840000047</v>
      </c>
      <c r="BU18" s="172">
        <f t="shared" si="7"/>
        <v>-252459.83872</v>
      </c>
      <c r="BV18" s="172">
        <f t="shared" si="7"/>
        <v>12537714.893280003</v>
      </c>
      <c r="BW18" s="172">
        <f t="shared" si="7"/>
        <v>19714209.12108</v>
      </c>
      <c r="BX18" s="172">
        <f t="shared" si="7"/>
        <v>13198459.99</v>
      </c>
      <c r="BY18" s="172">
        <f t="shared" si="7"/>
        <v>341785.19212000025</v>
      </c>
      <c r="BZ18" s="172">
        <f t="shared" si="7"/>
        <v>17327336.197559997</v>
      </c>
      <c r="CA18" s="172">
        <f t="shared" si="7"/>
        <v>5117589.7363999989</v>
      </c>
      <c r="CB18" s="172">
        <f t="shared" si="7"/>
        <v>-4398372.1113600014</v>
      </c>
      <c r="CC18" s="172">
        <f t="shared" si="7"/>
        <v>11407379.574439997</v>
      </c>
      <c r="CD18" s="172">
        <f t="shared" si="7"/>
        <v>-1527567.1688400013</v>
      </c>
      <c r="CE18" s="172">
        <f t="shared" si="7"/>
        <v>-14471121.753600001</v>
      </c>
    </row>
    <row r="19" spans="1:83" x14ac:dyDescent="0.25">
      <c r="B19" s="173" t="s">
        <v>181</v>
      </c>
      <c r="C19" s="40" t="str">
        <f t="shared" si="8"/>
        <v>High Emissions</v>
      </c>
      <c r="D19" s="172">
        <f t="shared" si="9"/>
        <v>1537446.1522400002</v>
      </c>
      <c r="E19" s="172">
        <f t="shared" ref="E19:BP19" si="10">E9*$D$11</f>
        <v>3032516.3015600001</v>
      </c>
      <c r="F19" s="172">
        <f t="shared" si="10"/>
        <v>2578981.1545600002</v>
      </c>
      <c r="G19" s="172">
        <f t="shared" si="10"/>
        <v>1921179.0277200001</v>
      </c>
      <c r="H19" s="172">
        <f t="shared" si="10"/>
        <v>3595535.4547999999</v>
      </c>
      <c r="I19" s="172">
        <f t="shared" si="10"/>
        <v>2812691.6499600005</v>
      </c>
      <c r="J19" s="172">
        <f t="shared" si="10"/>
        <v>2349982.1743200002</v>
      </c>
      <c r="K19" s="172">
        <f t="shared" si="10"/>
        <v>4276425.3876</v>
      </c>
      <c r="L19" s="172">
        <f t="shared" si="10"/>
        <v>3450666.7261999995</v>
      </c>
      <c r="M19" s="172">
        <f t="shared" si="10"/>
        <v>2735151.99284</v>
      </c>
      <c r="N19" s="172">
        <f t="shared" si="10"/>
        <v>33714.529806980638</v>
      </c>
      <c r="O19" s="172">
        <f t="shared" si="10"/>
        <v>22461.940334360323</v>
      </c>
      <c r="P19" s="172">
        <f t="shared" si="10"/>
        <v>21664.193219513923</v>
      </c>
      <c r="Q19" s="172">
        <f t="shared" si="10"/>
        <v>20086.513629327124</v>
      </c>
      <c r="R19" s="172">
        <f t="shared" si="10"/>
        <v>23874.889879782324</v>
      </c>
      <c r="S19" s="172">
        <f t="shared" si="10"/>
        <v>22547.459032212722</v>
      </c>
      <c r="T19" s="172">
        <f t="shared" si="10"/>
        <v>20719.492565151122</v>
      </c>
      <c r="U19" s="172">
        <f t="shared" si="10"/>
        <v>25697.787944773121</v>
      </c>
      <c r="V19" s="172">
        <f t="shared" si="10"/>
        <v>23494.846217389924</v>
      </c>
      <c r="W19" s="172">
        <f t="shared" si="10"/>
        <v>20849.08728007392</v>
      </c>
      <c r="X19" s="172">
        <f t="shared" si="10"/>
        <v>5556.304442175051</v>
      </c>
      <c r="Y19" s="172">
        <f t="shared" si="10"/>
        <v>8271.3648252395997</v>
      </c>
      <c r="Z19" s="172">
        <f t="shared" si="10"/>
        <v>6511.3960226743993</v>
      </c>
      <c r="AA19" s="172">
        <f t="shared" si="10"/>
        <v>443.73616264039936</v>
      </c>
      <c r="AB19" s="172">
        <f t="shared" si="10"/>
        <v>7587.2043271799994</v>
      </c>
      <c r="AC19" s="172">
        <f t="shared" si="10"/>
        <v>4360.0703946287995</v>
      </c>
      <c r="AD19" s="172">
        <f t="shared" si="10"/>
        <v>-2854.8309717812003</v>
      </c>
      <c r="AE19" s="172">
        <f t="shared" si="10"/>
        <v>6123.6712088951999</v>
      </c>
      <c r="AF19" s="172">
        <f t="shared" si="10"/>
        <v>115.00615070919955</v>
      </c>
      <c r="AG19" s="172">
        <f t="shared" si="10"/>
        <v>-9755.1411549355998</v>
      </c>
      <c r="AH19" s="172">
        <f t="shared" si="10"/>
        <v>392852.33362101205</v>
      </c>
      <c r="AI19" s="172">
        <f t="shared" si="10"/>
        <v>549437.27815999999</v>
      </c>
      <c r="AJ19" s="172">
        <f t="shared" si="10"/>
        <v>428568.26167999988</v>
      </c>
      <c r="AK19" s="172">
        <f t="shared" si="10"/>
        <v>-2459.3832800001101</v>
      </c>
      <c r="AL19" s="172">
        <f t="shared" si="10"/>
        <v>485907.81568000006</v>
      </c>
      <c r="AM19" s="172">
        <f t="shared" si="10"/>
        <v>259727.45448000004</v>
      </c>
      <c r="AN19" s="172">
        <f t="shared" si="10"/>
        <v>-249751.75376000005</v>
      </c>
      <c r="AO19" s="172">
        <f t="shared" si="10"/>
        <v>356693.4761599999</v>
      </c>
      <c r="AP19" s="172">
        <f t="shared" si="10"/>
        <v>-63570.912759999992</v>
      </c>
      <c r="AQ19" s="172">
        <f t="shared" si="10"/>
        <v>-757462.4167200001</v>
      </c>
      <c r="AR19" s="172">
        <f t="shared" si="10"/>
        <v>41860.442665532035</v>
      </c>
      <c r="AS19" s="172">
        <f t="shared" si="10"/>
        <v>76365.722600477209</v>
      </c>
      <c r="AT19" s="172">
        <f t="shared" si="10"/>
        <v>62148.276560477207</v>
      </c>
      <c r="AU19" s="172">
        <f t="shared" si="10"/>
        <v>16152.282520477196</v>
      </c>
      <c r="AV19" s="172">
        <f t="shared" si="10"/>
        <v>77374.346080477204</v>
      </c>
      <c r="AW19" s="172">
        <f t="shared" si="10"/>
        <v>51509.371360477206</v>
      </c>
      <c r="AX19" s="172">
        <f t="shared" si="10"/>
        <v>-2970.1133195228031</v>
      </c>
      <c r="AY19" s="172">
        <f t="shared" si="10"/>
        <v>74721.528160477217</v>
      </c>
      <c r="AZ19" s="172">
        <f t="shared" si="10"/>
        <v>27468.208960477201</v>
      </c>
      <c r="BA19" s="172">
        <f t="shared" si="10"/>
        <v>-47473.897279522789</v>
      </c>
      <c r="BB19" s="172">
        <f t="shared" si="10"/>
        <v>1720.3063836756799</v>
      </c>
      <c r="BC19" s="172">
        <f t="shared" si="10"/>
        <v>-171.78804645884009</v>
      </c>
      <c r="BD19" s="172">
        <f t="shared" si="10"/>
        <v>-58.162715110520089</v>
      </c>
      <c r="BE19" s="172">
        <f t="shared" si="10"/>
        <v>-121.87081448056016</v>
      </c>
      <c r="BF19" s="172">
        <f t="shared" si="10"/>
        <v>-806.80394575936009</v>
      </c>
      <c r="BG19" s="172">
        <f t="shared" si="10"/>
        <v>-641.08855875515997</v>
      </c>
      <c r="BH19" s="172">
        <f t="shared" si="10"/>
        <v>-714.00801568199995</v>
      </c>
      <c r="BI19" s="172">
        <f t="shared" si="10"/>
        <v>-1712.3214155532401</v>
      </c>
      <c r="BJ19" s="172">
        <f t="shared" si="10"/>
        <v>-1483.4849342276004</v>
      </c>
      <c r="BK19" s="172">
        <f t="shared" si="10"/>
        <v>-1514.18117396652</v>
      </c>
      <c r="BL19" s="172">
        <f t="shared" si="10"/>
        <v>234476.20117207119</v>
      </c>
      <c r="BM19" s="172">
        <f t="shared" si="10"/>
        <v>399691.23328000004</v>
      </c>
      <c r="BN19" s="172">
        <f t="shared" si="10"/>
        <v>258884.63212000005</v>
      </c>
      <c r="BO19" s="172">
        <f t="shared" si="10"/>
        <v>5126.0179600000311</v>
      </c>
      <c r="BP19" s="172">
        <f t="shared" si="10"/>
        <v>353280.73644000012</v>
      </c>
      <c r="BQ19" s="172">
        <f t="shared" si="7"/>
        <v>89670.772400000031</v>
      </c>
      <c r="BR19" s="172">
        <f t="shared" si="7"/>
        <v>-75494.776639999938</v>
      </c>
      <c r="BS19" s="172">
        <f t="shared" si="7"/>
        <v>231955.76687999995</v>
      </c>
      <c r="BT19" s="172">
        <f t="shared" si="7"/>
        <v>-26182.760200000052</v>
      </c>
      <c r="BU19" s="172">
        <f t="shared" si="7"/>
        <v>-250981.44539999997</v>
      </c>
      <c r="BV19" s="172">
        <f t="shared" si="7"/>
        <v>12398842.638520002</v>
      </c>
      <c r="BW19" s="172">
        <f t="shared" si="7"/>
        <v>19760647.251439996</v>
      </c>
      <c r="BX19" s="172">
        <f t="shared" si="7"/>
        <v>13240297.139279999</v>
      </c>
      <c r="BY19" s="172">
        <f t="shared" si="7"/>
        <v>381646.54472000024</v>
      </c>
      <c r="BZ19" s="172">
        <f t="shared" si="7"/>
        <v>17391832.833239999</v>
      </c>
      <c r="CA19" s="172">
        <f t="shared" si="7"/>
        <v>5175302.3429199997</v>
      </c>
      <c r="CB19" s="172">
        <f t="shared" si="7"/>
        <v>-4342939.2702400014</v>
      </c>
      <c r="CC19" s="172">
        <f t="shared" si="7"/>
        <v>11497174.697679998</v>
      </c>
      <c r="CD19" s="172">
        <f t="shared" si="7"/>
        <v>-1448245.1496800014</v>
      </c>
      <c r="CE19" s="172">
        <f t="shared" si="7"/>
        <v>-14396386.89876</v>
      </c>
    </row>
    <row r="20" spans="1:83" x14ac:dyDescent="0.25">
      <c r="B20" s="173"/>
      <c r="C20" s="103"/>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4"/>
      <c r="BP20" s="174"/>
      <c r="BQ20" s="174"/>
      <c r="BR20" s="174"/>
      <c r="BS20" s="174"/>
      <c r="BT20" s="174"/>
      <c r="BU20" s="174"/>
      <c r="BV20" s="174"/>
      <c r="BW20" s="174"/>
      <c r="BX20" s="174"/>
      <c r="BY20" s="174"/>
      <c r="BZ20" s="174"/>
      <c r="CA20" s="174"/>
      <c r="CB20" s="174"/>
      <c r="CC20" s="174"/>
      <c r="CD20" s="174"/>
      <c r="CE20" s="174"/>
    </row>
    <row r="21" spans="1:83" ht="16.5" thickBot="1" x14ac:dyDescent="0.3">
      <c r="C21" s="2" t="s">
        <v>254</v>
      </c>
    </row>
    <row r="22" spans="1:83" ht="16.5" hidden="1" thickBot="1" x14ac:dyDescent="0.3">
      <c r="C22" s="171" t="s">
        <v>246</v>
      </c>
      <c r="D22" s="171" t="str">
        <f>D14</f>
        <v>GWP</v>
      </c>
      <c r="E22" s="171" t="str">
        <f t="shared" ref="E22:F22" si="11">E14</f>
        <v>GWP</v>
      </c>
      <c r="F22" s="171" t="str">
        <f t="shared" si="11"/>
        <v>GWP</v>
      </c>
      <c r="G22" s="171" t="s">
        <v>6</v>
      </c>
      <c r="H22" s="171" t="s">
        <v>6</v>
      </c>
      <c r="I22" s="171" t="s">
        <v>6</v>
      </c>
      <c r="J22" s="171" t="s">
        <v>8</v>
      </c>
      <c r="K22" s="171" t="s">
        <v>8</v>
      </c>
      <c r="L22" s="171" t="s">
        <v>8</v>
      </c>
      <c r="M22" s="171" t="s">
        <v>39</v>
      </c>
      <c r="N22" s="171" t="s">
        <v>39</v>
      </c>
      <c r="O22" s="171" t="s">
        <v>39</v>
      </c>
    </row>
    <row r="23" spans="1:83" s="176" customFormat="1" ht="25.5" customHeight="1" thickTop="1" x14ac:dyDescent="0.25">
      <c r="A23" s="175"/>
      <c r="B23" s="175"/>
      <c r="C23" s="241" t="s">
        <v>36</v>
      </c>
      <c r="D23" s="346" t="str">
        <f>LookUps!E5</f>
        <v>Global Warming Potential (GWP) - kg CO2 eq</v>
      </c>
      <c r="E23" s="346"/>
      <c r="F23" s="346"/>
      <c r="G23" s="346" t="str">
        <f>LookUps!E6</f>
        <v>Eutrophication Potential (EP) - kg N eq</v>
      </c>
      <c r="H23" s="346"/>
      <c r="I23" s="346"/>
      <c r="J23" s="346" t="str">
        <f>LookUps!E12</f>
        <v>Cumulative Energy Demand (CED) - MJ</v>
      </c>
      <c r="K23" s="346"/>
      <c r="L23" s="346"/>
      <c r="M23" s="346" t="str">
        <f>LookUps!E7</f>
        <v>Particulate Matter Formation Potential (PMFP) - kg PM2.5 eq</v>
      </c>
      <c r="N23" s="346"/>
      <c r="O23" s="347"/>
    </row>
    <row r="24" spans="1:83" x14ac:dyDescent="0.25">
      <c r="C24" s="240" t="s">
        <v>179</v>
      </c>
      <c r="D24" s="247" t="s">
        <v>180</v>
      </c>
      <c r="E24" s="247" t="s">
        <v>130</v>
      </c>
      <c r="F24" s="247" t="s">
        <v>181</v>
      </c>
      <c r="G24" s="247" t="s">
        <v>180</v>
      </c>
      <c r="H24" s="247" t="s">
        <v>130</v>
      </c>
      <c r="I24" s="247" t="s">
        <v>181</v>
      </c>
      <c r="J24" s="247" t="s">
        <v>180</v>
      </c>
      <c r="K24" s="247" t="s">
        <v>130</v>
      </c>
      <c r="L24" s="247" t="s">
        <v>181</v>
      </c>
      <c r="M24" s="247" t="s">
        <v>180</v>
      </c>
      <c r="N24" s="247" t="s">
        <v>130</v>
      </c>
      <c r="O24" s="248" t="s">
        <v>181</v>
      </c>
    </row>
    <row r="25" spans="1:83" s="180" customFormat="1" ht="13.5" customHeight="1" x14ac:dyDescent="0.25">
      <c r="A25" s="164"/>
      <c r="B25" s="254"/>
      <c r="C25" s="177" t="s">
        <v>45</v>
      </c>
      <c r="D25" s="277">
        <f t="shared" ref="D25:O25" si="12">INDEX($D$17:$CE$19,MATCH(D$24,$B$17:$B$19,0), MATCH(CONCATENATE(D$22,"_",$C25), $D$13:$CE$13,0))</f>
        <v>635695.31084000005</v>
      </c>
      <c r="E25" s="278">
        <f t="shared" si="12"/>
        <v>1071006.1514000001</v>
      </c>
      <c r="F25" s="278">
        <f t="shared" si="12"/>
        <v>1537446.1522400002</v>
      </c>
      <c r="G25" s="278">
        <f t="shared" si="12"/>
        <v>33764.380400725437</v>
      </c>
      <c r="H25" s="278">
        <f t="shared" si="12"/>
        <v>33735.678568842239</v>
      </c>
      <c r="I25" s="278">
        <f t="shared" si="12"/>
        <v>33714.529806980638</v>
      </c>
      <c r="J25" s="278">
        <f t="shared" si="12"/>
        <v>12726175.499680003</v>
      </c>
      <c r="K25" s="278">
        <f t="shared" si="12"/>
        <v>12537714.893280003</v>
      </c>
      <c r="L25" s="278">
        <f t="shared" si="12"/>
        <v>12398842.638520002</v>
      </c>
      <c r="M25" s="278">
        <f t="shared" si="12"/>
        <v>5777.3726021750517</v>
      </c>
      <c r="N25" s="278">
        <f t="shared" si="12"/>
        <v>5653.0217621750508</v>
      </c>
      <c r="O25" s="279">
        <f t="shared" si="12"/>
        <v>5556.304442175051</v>
      </c>
    </row>
    <row r="26" spans="1:83" s="180" customFormat="1" ht="13.5" customHeight="1" x14ac:dyDescent="0.25">
      <c r="B26" s="254" t="s">
        <v>198</v>
      </c>
      <c r="C26" s="177" t="s">
        <v>443</v>
      </c>
      <c r="D26" s="278">
        <f t="shared" ref="D26:O34" si="13">INDEX($D$17:$CE$19,MATCH(D$24,$B$17:$B$19,0), MATCH(CONCATENATE(D$22,"_",$B26), $D$13:$CE$13,0))</f>
        <v>726775.39276000008</v>
      </c>
      <c r="E26" s="278">
        <f t="shared" si="13"/>
        <v>1683282.0540400001</v>
      </c>
      <c r="F26" s="278">
        <f t="shared" si="13"/>
        <v>3032516.3015600001</v>
      </c>
      <c r="G26" s="278">
        <f t="shared" si="13"/>
        <v>21771.774657901922</v>
      </c>
      <c r="H26" s="278">
        <f t="shared" si="13"/>
        <v>22102.704574360319</v>
      </c>
      <c r="I26" s="278">
        <f t="shared" si="13"/>
        <v>22461.940334360323</v>
      </c>
      <c r="J26" s="278">
        <f t="shared" si="13"/>
        <v>19668862.514759999</v>
      </c>
      <c r="K26" s="278">
        <f t="shared" si="13"/>
        <v>19714209.12108</v>
      </c>
      <c r="L26" s="278">
        <f t="shared" si="13"/>
        <v>19760647.251439996</v>
      </c>
      <c r="M26" s="278">
        <f t="shared" si="13"/>
        <v>7777.0405302055988</v>
      </c>
      <c r="N26" s="278">
        <f t="shared" si="13"/>
        <v>8008.8339501555984</v>
      </c>
      <c r="O26" s="279">
        <f t="shared" si="13"/>
        <v>8271.3648252395997</v>
      </c>
    </row>
    <row r="27" spans="1:83" s="180" customFormat="1" ht="13.5" customHeight="1" x14ac:dyDescent="0.25">
      <c r="B27" s="254" t="s">
        <v>199</v>
      </c>
      <c r="C27" s="177" t="s">
        <v>451</v>
      </c>
      <c r="D27" s="278">
        <f t="shared" si="13"/>
        <v>462405.50692000001</v>
      </c>
      <c r="E27" s="278">
        <f t="shared" si="13"/>
        <v>1342546.9356800003</v>
      </c>
      <c r="F27" s="278">
        <f t="shared" si="13"/>
        <v>2578981.1545600002</v>
      </c>
      <c r="G27" s="278">
        <f t="shared" si="13"/>
        <v>21035.62638966072</v>
      </c>
      <c r="H27" s="278">
        <f t="shared" si="13"/>
        <v>21332.59097951392</v>
      </c>
      <c r="I27" s="278">
        <f t="shared" si="13"/>
        <v>21664.193219513923</v>
      </c>
      <c r="J27" s="278">
        <f t="shared" si="13"/>
        <v>13157617.64744</v>
      </c>
      <c r="K27" s="278">
        <f t="shared" si="13"/>
        <v>13198459.99</v>
      </c>
      <c r="L27" s="278">
        <f t="shared" si="13"/>
        <v>13240297.139279999</v>
      </c>
      <c r="M27" s="278">
        <f t="shared" si="13"/>
        <v>6065.0386824943989</v>
      </c>
      <c r="N27" s="278">
        <f t="shared" si="13"/>
        <v>6275.1294266743989</v>
      </c>
      <c r="O27" s="279">
        <f t="shared" si="13"/>
        <v>6511.3960226743993</v>
      </c>
    </row>
    <row r="28" spans="1:83" s="180" customFormat="1" ht="13.5" customHeight="1" x14ac:dyDescent="0.25">
      <c r="B28" s="254" t="s">
        <v>200</v>
      </c>
      <c r="C28" s="177" t="s">
        <v>444</v>
      </c>
      <c r="D28" s="278">
        <f t="shared" si="13"/>
        <v>-50486.44103999994</v>
      </c>
      <c r="E28" s="278">
        <f t="shared" si="13"/>
        <v>769441.54764000012</v>
      </c>
      <c r="F28" s="278">
        <f t="shared" si="13"/>
        <v>1921179.0277200001</v>
      </c>
      <c r="G28" s="278">
        <f t="shared" si="13"/>
        <v>19493.387065209121</v>
      </c>
      <c r="H28" s="278">
        <f t="shared" si="13"/>
        <v>19768.728149327122</v>
      </c>
      <c r="I28" s="278">
        <f t="shared" si="13"/>
        <v>20086.513629327124</v>
      </c>
      <c r="J28" s="278">
        <f t="shared" si="13"/>
        <v>302891.01272000029</v>
      </c>
      <c r="K28" s="278">
        <f t="shared" si="13"/>
        <v>341785.19212000025</v>
      </c>
      <c r="L28" s="278">
        <f t="shared" si="13"/>
        <v>381646.54472000024</v>
      </c>
      <c r="M28" s="278">
        <f t="shared" si="13"/>
        <v>20.397820955599293</v>
      </c>
      <c r="N28" s="278">
        <f t="shared" si="13"/>
        <v>220.69925250799929</v>
      </c>
      <c r="O28" s="279">
        <f t="shared" si="13"/>
        <v>443.73616264039936</v>
      </c>
    </row>
    <row r="29" spans="1:83" s="180" customFormat="1" ht="13.5" customHeight="1" x14ac:dyDescent="0.25">
      <c r="B29" s="254" t="s">
        <v>201</v>
      </c>
      <c r="C29" s="177" t="s">
        <v>445</v>
      </c>
      <c r="D29" s="278">
        <f t="shared" si="13"/>
        <v>400340.6210000001</v>
      </c>
      <c r="E29" s="278">
        <f t="shared" si="13"/>
        <v>1728670.1106399999</v>
      </c>
      <c r="F29" s="278">
        <f t="shared" si="13"/>
        <v>3595535.4547999999</v>
      </c>
      <c r="G29" s="278">
        <f t="shared" si="13"/>
        <v>22919.147561665523</v>
      </c>
      <c r="H29" s="278">
        <f t="shared" si="13"/>
        <v>23363.669759782319</v>
      </c>
      <c r="I29" s="278">
        <f t="shared" si="13"/>
        <v>23874.889879782324</v>
      </c>
      <c r="J29" s="278">
        <f t="shared" si="13"/>
        <v>17264359.405479997</v>
      </c>
      <c r="K29" s="278">
        <f t="shared" si="13"/>
        <v>17327336.197559997</v>
      </c>
      <c r="L29" s="278">
        <f t="shared" si="13"/>
        <v>17391832.833239999</v>
      </c>
      <c r="M29" s="278">
        <f t="shared" si="13"/>
        <v>6905.7093584595996</v>
      </c>
      <c r="N29" s="278">
        <f t="shared" si="13"/>
        <v>7233.3242196912006</v>
      </c>
      <c r="O29" s="279">
        <f t="shared" si="13"/>
        <v>7587.2043271799994</v>
      </c>
    </row>
    <row r="30" spans="1:83" s="180" customFormat="1" ht="13.5" customHeight="1" x14ac:dyDescent="0.25">
      <c r="B30" s="254" t="s">
        <v>202</v>
      </c>
      <c r="C30" s="177" t="s">
        <v>446</v>
      </c>
      <c r="D30" s="278">
        <f t="shared" si="13"/>
        <v>-125469.99755999993</v>
      </c>
      <c r="E30" s="278">
        <f t="shared" si="13"/>
        <v>1097188.9116000002</v>
      </c>
      <c r="F30" s="278">
        <f t="shared" si="13"/>
        <v>2812691.6499600005</v>
      </c>
      <c r="G30" s="278">
        <f t="shared" si="13"/>
        <v>21677.637617831919</v>
      </c>
      <c r="H30" s="278">
        <f t="shared" si="13"/>
        <v>22091.505952212723</v>
      </c>
      <c r="I30" s="278">
        <f t="shared" si="13"/>
        <v>22547.459032212722</v>
      </c>
      <c r="J30" s="278">
        <f t="shared" si="13"/>
        <v>5061231.1723599993</v>
      </c>
      <c r="K30" s="278">
        <f t="shared" si="13"/>
        <v>5117589.7363999989</v>
      </c>
      <c r="L30" s="278">
        <f t="shared" si="13"/>
        <v>5175302.3429199997</v>
      </c>
      <c r="M30" s="278">
        <f t="shared" si="13"/>
        <v>3736.8730340468001</v>
      </c>
      <c r="N30" s="278">
        <f t="shared" si="13"/>
        <v>4031.8073891855997</v>
      </c>
      <c r="O30" s="279">
        <f t="shared" si="13"/>
        <v>4360.0703946287995</v>
      </c>
    </row>
    <row r="31" spans="1:83" s="180" customFormat="1" ht="13.5" customHeight="1" x14ac:dyDescent="0.25">
      <c r="B31" s="254" t="s">
        <v>203</v>
      </c>
      <c r="C31" s="177" t="s">
        <v>447</v>
      </c>
      <c r="D31" s="278">
        <f t="shared" si="13"/>
        <v>-422088.20123999973</v>
      </c>
      <c r="E31" s="278">
        <f t="shared" si="13"/>
        <v>728005.0844000004</v>
      </c>
      <c r="F31" s="278">
        <f t="shared" si="13"/>
        <v>2349982.1743200002</v>
      </c>
      <c r="G31" s="278">
        <f t="shared" si="13"/>
        <v>19897.01344990472</v>
      </c>
      <c r="H31" s="278">
        <f t="shared" si="13"/>
        <v>20291.173005151122</v>
      </c>
      <c r="I31" s="278">
        <f t="shared" si="13"/>
        <v>20719.492565151122</v>
      </c>
      <c r="J31" s="278">
        <f t="shared" si="13"/>
        <v>-4452492.3602800015</v>
      </c>
      <c r="K31" s="278">
        <f t="shared" si="13"/>
        <v>-4398372.1113600014</v>
      </c>
      <c r="L31" s="278">
        <f t="shared" si="13"/>
        <v>-4342939.2702400014</v>
      </c>
      <c r="M31" s="278">
        <f t="shared" si="13"/>
        <v>-3442.6383596344008</v>
      </c>
      <c r="N31" s="278">
        <f t="shared" si="13"/>
        <v>-3156.1399654812008</v>
      </c>
      <c r="O31" s="279">
        <f t="shared" si="13"/>
        <v>-2854.8309717812003</v>
      </c>
    </row>
    <row r="32" spans="1:83" s="180" customFormat="1" ht="13.5" customHeight="1" x14ac:dyDescent="0.25">
      <c r="B32" s="254" t="s">
        <v>204</v>
      </c>
      <c r="C32" s="177" t="s">
        <v>448</v>
      </c>
      <c r="D32" s="278">
        <f t="shared" si="13"/>
        <v>-177282.84755999991</v>
      </c>
      <c r="E32" s="278">
        <f t="shared" si="13"/>
        <v>1676166.4226400005</v>
      </c>
      <c r="F32" s="278">
        <f t="shared" si="13"/>
        <v>4276425.3876</v>
      </c>
      <c r="G32" s="278">
        <f t="shared" si="13"/>
        <v>24371.37898477312</v>
      </c>
      <c r="H32" s="278">
        <f t="shared" si="13"/>
        <v>24993.133184773124</v>
      </c>
      <c r="I32" s="278">
        <f t="shared" si="13"/>
        <v>25697.787944773121</v>
      </c>
      <c r="J32" s="278">
        <f t="shared" si="13"/>
        <v>11319726.048999999</v>
      </c>
      <c r="K32" s="278">
        <f t="shared" si="13"/>
        <v>11407379.574439997</v>
      </c>
      <c r="L32" s="278">
        <f t="shared" si="13"/>
        <v>11497174.697679998</v>
      </c>
      <c r="M32" s="278">
        <f t="shared" si="13"/>
        <v>5169.3026912252008</v>
      </c>
      <c r="N32" s="278">
        <f t="shared" si="13"/>
        <v>5625.3240260195998</v>
      </c>
      <c r="O32" s="279">
        <f t="shared" si="13"/>
        <v>6123.6712088951999</v>
      </c>
    </row>
    <row r="33" spans="1:15" s="180" customFormat="1" ht="13.5" customHeight="1" x14ac:dyDescent="0.25">
      <c r="B33" s="254" t="s">
        <v>205</v>
      </c>
      <c r="C33" s="177" t="s">
        <v>449</v>
      </c>
      <c r="D33" s="278">
        <f t="shared" si="13"/>
        <v>-626161.74644000002</v>
      </c>
      <c r="E33" s="278">
        <f t="shared" si="13"/>
        <v>1070370.5804400002</v>
      </c>
      <c r="F33" s="278">
        <f t="shared" si="13"/>
        <v>3450666.7261999995</v>
      </c>
      <c r="G33" s="278">
        <f t="shared" si="13"/>
        <v>22278.971337389921</v>
      </c>
      <c r="H33" s="278">
        <f t="shared" si="13"/>
        <v>22845.458497389922</v>
      </c>
      <c r="I33" s="278">
        <f t="shared" si="13"/>
        <v>23494.846217389924</v>
      </c>
      <c r="J33" s="278">
        <f t="shared" si="13"/>
        <v>-1605023.9254000012</v>
      </c>
      <c r="K33" s="278">
        <f t="shared" si="13"/>
        <v>-1527567.1688400013</v>
      </c>
      <c r="L33" s="278">
        <f t="shared" si="13"/>
        <v>-1448245.1496800014</v>
      </c>
      <c r="M33" s="278">
        <f t="shared" si="13"/>
        <v>-756.76163065280036</v>
      </c>
      <c r="N33" s="278">
        <f t="shared" si="13"/>
        <v>-345.00408269720054</v>
      </c>
      <c r="O33" s="279">
        <f t="shared" si="13"/>
        <v>115.00615070919955</v>
      </c>
    </row>
    <row r="34" spans="1:15" s="180" customFormat="1" ht="13.5" customHeight="1" x14ac:dyDescent="0.25">
      <c r="B34" s="254" t="s">
        <v>206</v>
      </c>
      <c r="C34" s="177" t="s">
        <v>450</v>
      </c>
      <c r="D34" s="278">
        <f t="shared" si="13"/>
        <v>-1006274.6307999999</v>
      </c>
      <c r="E34" s="278">
        <f t="shared" si="13"/>
        <v>548511.55524000013</v>
      </c>
      <c r="F34" s="278">
        <f t="shared" si="13"/>
        <v>2735151.99284</v>
      </c>
      <c r="G34" s="278">
        <f t="shared" si="13"/>
        <v>19729.92972007392</v>
      </c>
      <c r="H34" s="278">
        <f t="shared" si="13"/>
        <v>20254.96660007392</v>
      </c>
      <c r="I34" s="278">
        <f t="shared" si="13"/>
        <v>20849.08728007392</v>
      </c>
      <c r="J34" s="278">
        <f t="shared" si="13"/>
        <v>-14544060.429640001</v>
      </c>
      <c r="K34" s="278">
        <f t="shared" si="13"/>
        <v>-14471121.753600001</v>
      </c>
      <c r="L34" s="278">
        <f t="shared" si="13"/>
        <v>-14396386.89876</v>
      </c>
      <c r="M34" s="278">
        <f t="shared" si="13"/>
        <v>-10555.122578041601</v>
      </c>
      <c r="N34" s="278">
        <f t="shared" si="13"/>
        <v>-10175.0667569004</v>
      </c>
      <c r="O34" s="279">
        <f t="shared" si="13"/>
        <v>-9755.1411549355998</v>
      </c>
    </row>
    <row r="35" spans="1:15" ht="26.25" customHeight="1" x14ac:dyDescent="0.25">
      <c r="B35" s="254"/>
      <c r="C35" s="240" t="str">
        <f t="shared" ref="C35:C46" si="14">C23</f>
        <v>Impact Category</v>
      </c>
      <c r="D35" s="348" t="str">
        <f>LookUps!E8</f>
        <v>Smog Formation Potential (SFP) - kg O3 eq</v>
      </c>
      <c r="E35" s="348"/>
      <c r="F35" s="348"/>
      <c r="G35" s="348" t="str">
        <f>LookUps!E9</f>
        <v>Acidification Potential (AP) - kg SO2 eq</v>
      </c>
      <c r="H35" s="348"/>
      <c r="I35" s="348"/>
      <c r="J35" s="348" t="str">
        <f>LookUps!E10</f>
        <v>Water Use (WU) - m3 H2O</v>
      </c>
      <c r="K35" s="348"/>
      <c r="L35" s="348"/>
      <c r="M35" s="348" t="str">
        <f>LookUps!E11</f>
        <v>Fossil Depletion Potential (FDP) - kg oil eq</v>
      </c>
      <c r="N35" s="348"/>
      <c r="O35" s="349"/>
    </row>
    <row r="36" spans="1:15" ht="20.25" customHeight="1" x14ac:dyDescent="0.25">
      <c r="B36" s="254"/>
      <c r="C36" s="249" t="str">
        <f t="shared" si="14"/>
        <v>Emissions Scenario</v>
      </c>
      <c r="D36" s="247" t="s">
        <v>180</v>
      </c>
      <c r="E36" s="247" t="s">
        <v>130</v>
      </c>
      <c r="F36" s="247" t="s">
        <v>181</v>
      </c>
      <c r="G36" s="247" t="s">
        <v>180</v>
      </c>
      <c r="H36" s="247" t="s">
        <v>130</v>
      </c>
      <c r="I36" s="247" t="s">
        <v>181</v>
      </c>
      <c r="J36" s="247" t="s">
        <v>180</v>
      </c>
      <c r="K36" s="247" t="s">
        <v>130</v>
      </c>
      <c r="L36" s="247" t="s">
        <v>181</v>
      </c>
      <c r="M36" s="247" t="s">
        <v>180</v>
      </c>
      <c r="N36" s="247" t="s">
        <v>130</v>
      </c>
      <c r="O36" s="248" t="s">
        <v>181</v>
      </c>
    </row>
    <row r="37" spans="1:15" ht="13.5" customHeight="1" x14ac:dyDescent="0.25">
      <c r="A37" s="3"/>
      <c r="B37" s="254"/>
      <c r="C37" s="177" t="str">
        <f t="shared" si="14"/>
        <v>Legacy</v>
      </c>
      <c r="D37" s="178">
        <f t="shared" ref="D37:O37" si="15">INDEX($D$17:$CE$19,MATCH(D$24,$B$17:$B$19,0), MATCH(CONCATENATE(D$47,"_",$C37), $D$13:$CE$13,0))</f>
        <v>408285.65454101202</v>
      </c>
      <c r="E37" s="178">
        <f t="shared" si="15"/>
        <v>399387.66110101203</v>
      </c>
      <c r="F37" s="178">
        <f t="shared" si="15"/>
        <v>392852.33362101205</v>
      </c>
      <c r="G37" s="178">
        <f t="shared" si="15"/>
        <v>43504.637105532034</v>
      </c>
      <c r="H37" s="178">
        <f t="shared" si="15"/>
        <v>42551.280665532038</v>
      </c>
      <c r="I37" s="178">
        <f t="shared" si="15"/>
        <v>41860.442665532035</v>
      </c>
      <c r="J37" s="178">
        <f t="shared" si="15"/>
        <v>1725.2355128056799</v>
      </c>
      <c r="K37" s="178">
        <f t="shared" si="15"/>
        <v>1722.39755030168</v>
      </c>
      <c r="L37" s="178">
        <f t="shared" si="15"/>
        <v>1720.3063836756799</v>
      </c>
      <c r="M37" s="178">
        <f t="shared" si="15"/>
        <v>240362.14093207123</v>
      </c>
      <c r="N37" s="178">
        <f t="shared" si="15"/>
        <v>236977.03473207119</v>
      </c>
      <c r="O37" s="179">
        <f t="shared" si="15"/>
        <v>234476.20117207119</v>
      </c>
    </row>
    <row r="38" spans="1:15" ht="13.5" customHeight="1" x14ac:dyDescent="0.25">
      <c r="A38" s="3"/>
      <c r="B38" s="254" t="s">
        <v>198</v>
      </c>
      <c r="C38" s="177" t="str">
        <f t="shared" si="14"/>
        <v>Upgraded, Base-Low</v>
      </c>
      <c r="D38" s="178">
        <f>INDEX($D$17:$CE$19,MATCH(D$24,$B$17:$B$19,0), MATCH(CONCATENATE(D$47,"_",$B38), $D$13:$CE$13,0))</f>
        <v>548442.47143999999</v>
      </c>
      <c r="E38" s="178">
        <f t="shared" ref="E38:O42" si="16">INDEX($D$17:$CE$19,MATCH(E$24,$B$17:$B$19,0), MATCH(CONCATENATE(E$47,"_",$B38), $D$13:$CE$13,0))</f>
        <v>548801.70719999995</v>
      </c>
      <c r="F38" s="178">
        <f t="shared" si="16"/>
        <v>549437.27815999999</v>
      </c>
      <c r="G38" s="178">
        <f t="shared" si="16"/>
        <v>62742.397240477207</v>
      </c>
      <c r="H38" s="178">
        <f t="shared" si="16"/>
        <v>69222.457680477208</v>
      </c>
      <c r="I38" s="178">
        <f t="shared" si="16"/>
        <v>76365.722600477209</v>
      </c>
      <c r="J38" s="178">
        <f t="shared" si="16"/>
        <v>-185.60480645884013</v>
      </c>
      <c r="K38" s="178">
        <f t="shared" si="16"/>
        <v>-185.60480645884013</v>
      </c>
      <c r="L38" s="178">
        <f t="shared" si="16"/>
        <v>-171.78804645884009</v>
      </c>
      <c r="M38" s="178">
        <f t="shared" si="16"/>
        <v>397881.23772000003</v>
      </c>
      <c r="N38" s="178">
        <f t="shared" si="16"/>
        <v>398779.32711999997</v>
      </c>
      <c r="O38" s="179">
        <f t="shared" si="16"/>
        <v>399691.23328000004</v>
      </c>
    </row>
    <row r="39" spans="1:15" ht="13.5" customHeight="1" x14ac:dyDescent="0.25">
      <c r="A39" s="3"/>
      <c r="B39" s="254" t="s">
        <v>199</v>
      </c>
      <c r="C39" s="177" t="str">
        <f t="shared" si="14"/>
        <v>Upgraded, Base</v>
      </c>
      <c r="D39" s="178">
        <f>INDEX($D$17:$CE$19,MATCH(D$24,$B$17:$B$19,0), MATCH(CONCATENATE(D$47,"_",$B39), $D$13:$CE$13,0))</f>
        <v>427670.17227999994</v>
      </c>
      <c r="E39" s="178">
        <f t="shared" si="16"/>
        <v>428001.77451999992</v>
      </c>
      <c r="F39" s="178">
        <f t="shared" si="16"/>
        <v>428568.26167999988</v>
      </c>
      <c r="G39" s="178">
        <f t="shared" si="16"/>
        <v>49547.391440477208</v>
      </c>
      <c r="H39" s="178">
        <f t="shared" si="16"/>
        <v>55543.865280477206</v>
      </c>
      <c r="I39" s="178">
        <f t="shared" si="16"/>
        <v>62148.276560477207</v>
      </c>
      <c r="J39" s="178">
        <f t="shared" si="16"/>
        <v>-71.979475110520127</v>
      </c>
      <c r="K39" s="178">
        <f t="shared" si="16"/>
        <v>-58.162715110520089</v>
      </c>
      <c r="L39" s="178">
        <f t="shared" si="16"/>
        <v>-58.162715110520089</v>
      </c>
      <c r="M39" s="178">
        <f t="shared" si="16"/>
        <v>257240.43768000006</v>
      </c>
      <c r="N39" s="178">
        <f t="shared" si="16"/>
        <v>258055.62652000002</v>
      </c>
      <c r="O39" s="179">
        <f t="shared" si="16"/>
        <v>258884.63212000005</v>
      </c>
    </row>
    <row r="40" spans="1:15" ht="13.5" customHeight="1" x14ac:dyDescent="0.25">
      <c r="A40" s="3"/>
      <c r="B40" s="254" t="s">
        <v>200</v>
      </c>
      <c r="C40" s="177" t="str">
        <f t="shared" si="14"/>
        <v>Upgraded, Base-High</v>
      </c>
      <c r="D40" s="178">
        <f>INDEX($D$17:$CE$19,MATCH(D$24,$B$17:$B$19,0), MATCH(CONCATENATE(D$47,"_",$B40), $D$13:$CE$13,0))</f>
        <v>-3288.38888000011</v>
      </c>
      <c r="E40" s="178">
        <f t="shared" si="16"/>
        <v>-2998.2369200001099</v>
      </c>
      <c r="F40" s="178">
        <f t="shared" si="16"/>
        <v>-2459.3832800001101</v>
      </c>
      <c r="G40" s="178">
        <f t="shared" si="16"/>
        <v>4435.6700404771973</v>
      </c>
      <c r="H40" s="178">
        <f t="shared" si="16"/>
        <v>9990.0075604771973</v>
      </c>
      <c r="I40" s="178">
        <f t="shared" si="16"/>
        <v>16152.282520477196</v>
      </c>
      <c r="J40" s="178">
        <f t="shared" si="16"/>
        <v>-135.68757448056019</v>
      </c>
      <c r="K40" s="178">
        <f t="shared" si="16"/>
        <v>-135.68757448056019</v>
      </c>
      <c r="L40" s="178">
        <f t="shared" si="16"/>
        <v>-121.87081448056016</v>
      </c>
      <c r="M40" s="178">
        <f t="shared" si="16"/>
        <v>3564.7240800000304</v>
      </c>
      <c r="N40" s="178">
        <f t="shared" si="16"/>
        <v>4338.4626400000316</v>
      </c>
      <c r="O40" s="179">
        <f t="shared" si="16"/>
        <v>5126.0179600000311</v>
      </c>
    </row>
    <row r="41" spans="1:15" ht="13.5" customHeight="1" x14ac:dyDescent="0.25">
      <c r="A41" s="3"/>
      <c r="B41" s="254" t="s">
        <v>201</v>
      </c>
      <c r="C41" s="177" t="str">
        <f t="shared" si="14"/>
        <v>Upgraded, Medium-Low</v>
      </c>
      <c r="D41" s="178">
        <f>INDEX($D$17:$CE$19,MATCH(D$24,$B$17:$B$19,0), MATCH(CONCATENATE(D$47,"_",$B41), $D$13:$CE$13,0))</f>
        <v>484553.7732</v>
      </c>
      <c r="E41" s="178">
        <f t="shared" si="16"/>
        <v>485037.35980000003</v>
      </c>
      <c r="F41" s="178">
        <f t="shared" si="16"/>
        <v>485907.81568000006</v>
      </c>
      <c r="G41" s="178">
        <f t="shared" si="16"/>
        <v>58403.934600477209</v>
      </c>
      <c r="H41" s="178">
        <f t="shared" si="16"/>
        <v>67426.278880477214</v>
      </c>
      <c r="I41" s="178">
        <f t="shared" si="16"/>
        <v>77374.346080477204</v>
      </c>
      <c r="J41" s="178">
        <f t="shared" si="16"/>
        <v>-820.62070575935979</v>
      </c>
      <c r="K41" s="178">
        <f t="shared" si="16"/>
        <v>-806.80394575936009</v>
      </c>
      <c r="L41" s="178">
        <f t="shared" si="16"/>
        <v>-806.80394575936009</v>
      </c>
      <c r="M41" s="178">
        <f t="shared" si="16"/>
        <v>350752.26936000009</v>
      </c>
      <c r="N41" s="178">
        <f t="shared" si="16"/>
        <v>351995.77776000014</v>
      </c>
      <c r="O41" s="179">
        <f t="shared" si="16"/>
        <v>353280.73644000012</v>
      </c>
    </row>
    <row r="42" spans="1:15" ht="13.5" customHeight="1" x14ac:dyDescent="0.25">
      <c r="A42" s="3"/>
      <c r="B42" s="254" t="s">
        <v>202</v>
      </c>
      <c r="C42" s="177" t="str">
        <f t="shared" si="14"/>
        <v>Upgraded, Medium-Base</v>
      </c>
      <c r="D42" s="178">
        <f>INDEX($D$17:$CE$19,MATCH(D$24,$B$17:$B$19,0), MATCH(CONCATENATE(D$47,"_",$B42), $D$13:$CE$13,0))</f>
        <v>258483.94607999999</v>
      </c>
      <c r="E42" s="178">
        <f t="shared" si="16"/>
        <v>258926.08240000001</v>
      </c>
      <c r="F42" s="178">
        <f t="shared" si="16"/>
        <v>259727.45448000004</v>
      </c>
      <c r="G42" s="178">
        <f t="shared" si="16"/>
        <v>33975.902920477194</v>
      </c>
      <c r="H42" s="178">
        <f t="shared" si="16"/>
        <v>42307.409200477196</v>
      </c>
      <c r="I42" s="178">
        <f t="shared" si="16"/>
        <v>51509.371360477206</v>
      </c>
      <c r="J42" s="178">
        <f t="shared" si="16"/>
        <v>-668.72207875516006</v>
      </c>
      <c r="K42" s="178">
        <f t="shared" si="16"/>
        <v>-654.90531875516001</v>
      </c>
      <c r="L42" s="178">
        <f t="shared" si="16"/>
        <v>-641.08855875515997</v>
      </c>
      <c r="M42" s="178">
        <f t="shared" si="16"/>
        <v>87418.640520000044</v>
      </c>
      <c r="N42" s="178">
        <f t="shared" si="16"/>
        <v>88537.798080000037</v>
      </c>
      <c r="O42" s="179">
        <f t="shared" si="16"/>
        <v>89670.772400000031</v>
      </c>
    </row>
    <row r="43" spans="1:15" ht="13.5" customHeight="1" x14ac:dyDescent="0.25">
      <c r="A43" s="3"/>
      <c r="B43" s="254" t="s">
        <v>203</v>
      </c>
      <c r="C43" s="177" t="str">
        <f t="shared" si="14"/>
        <v>Upgraded, Medium-High</v>
      </c>
      <c r="D43" s="178">
        <f t="shared" ref="D43:O46" si="17">INDEX($D$17:$CE$19,MATCH(D$24,$B$17:$B$19,0), MATCH(CONCATENATE(D$47,"_",$B43), $D$13:$CE$13,0))</f>
        <v>-250939.99512000004</v>
      </c>
      <c r="E43" s="178">
        <f t="shared" si="17"/>
        <v>-250511.67556000003</v>
      </c>
      <c r="F43" s="178">
        <f t="shared" si="17"/>
        <v>-249751.75376000005</v>
      </c>
      <c r="G43" s="178">
        <f t="shared" si="17"/>
        <v>-19342.973919522807</v>
      </c>
      <c r="H43" s="178">
        <f t="shared" si="17"/>
        <v>-11564.138039522804</v>
      </c>
      <c r="I43" s="178">
        <f t="shared" si="17"/>
        <v>-2970.1133195228031</v>
      </c>
      <c r="J43" s="178">
        <f t="shared" si="17"/>
        <v>-727.82477568199977</v>
      </c>
      <c r="K43" s="178">
        <f t="shared" si="17"/>
        <v>-727.82477568199977</v>
      </c>
      <c r="L43" s="178">
        <f t="shared" si="17"/>
        <v>-714.00801568199995</v>
      </c>
      <c r="M43" s="178">
        <f t="shared" si="17"/>
        <v>-77664.007959999944</v>
      </c>
      <c r="N43" s="178">
        <f t="shared" si="17"/>
        <v>-76600.117439999944</v>
      </c>
      <c r="O43" s="179">
        <f t="shared" si="17"/>
        <v>-75494.776639999938</v>
      </c>
    </row>
    <row r="44" spans="1:15" ht="13.5" customHeight="1" x14ac:dyDescent="0.25">
      <c r="A44" s="3"/>
      <c r="B44" s="254" t="s">
        <v>204</v>
      </c>
      <c r="C44" s="177" t="str">
        <f t="shared" si="14"/>
        <v>Upgraded, High-Low</v>
      </c>
      <c r="D44" s="178">
        <f t="shared" si="17"/>
        <v>354786.76327999996</v>
      </c>
      <c r="E44" s="178">
        <f t="shared" si="17"/>
        <v>355477.60127999994</v>
      </c>
      <c r="F44" s="178">
        <f t="shared" si="17"/>
        <v>356693.4761599999</v>
      </c>
      <c r="G44" s="178">
        <f t="shared" si="17"/>
        <v>48207.165720477213</v>
      </c>
      <c r="H44" s="178">
        <f t="shared" si="17"/>
        <v>60794.234080477218</v>
      </c>
      <c r="I44" s="178">
        <f t="shared" si="17"/>
        <v>74721.528160477217</v>
      </c>
      <c r="J44" s="178">
        <f t="shared" si="17"/>
        <v>-1739.9549355532401</v>
      </c>
      <c r="K44" s="178">
        <f t="shared" si="17"/>
        <v>-1726.13817555324</v>
      </c>
      <c r="L44" s="178">
        <f t="shared" si="17"/>
        <v>-1712.3214155532401</v>
      </c>
      <c r="M44" s="178">
        <f t="shared" si="17"/>
        <v>228446.30983999994</v>
      </c>
      <c r="N44" s="178">
        <f t="shared" si="17"/>
        <v>230187.22159999996</v>
      </c>
      <c r="O44" s="179">
        <f t="shared" si="17"/>
        <v>231955.76687999995</v>
      </c>
    </row>
    <row r="45" spans="1:15" ht="13.5" customHeight="1" x14ac:dyDescent="0.25">
      <c r="A45" s="3"/>
      <c r="B45" s="254" t="s">
        <v>205</v>
      </c>
      <c r="C45" s="177" t="str">
        <f t="shared" si="14"/>
        <v>Upgraded, High-Base</v>
      </c>
      <c r="D45" s="178">
        <f t="shared" si="17"/>
        <v>-65270.374239999997</v>
      </c>
      <c r="E45" s="178">
        <f t="shared" si="17"/>
        <v>-64662.436800000003</v>
      </c>
      <c r="F45" s="178">
        <f t="shared" si="17"/>
        <v>-63570.912759999992</v>
      </c>
      <c r="G45" s="178">
        <f t="shared" si="17"/>
        <v>3150.7113604772076</v>
      </c>
      <c r="H45" s="178">
        <f t="shared" si="17"/>
        <v>14701.522720477207</v>
      </c>
      <c r="I45" s="178">
        <f t="shared" si="17"/>
        <v>27468.208960477201</v>
      </c>
      <c r="J45" s="178">
        <f t="shared" si="17"/>
        <v>-1497.3016942276004</v>
      </c>
      <c r="K45" s="178">
        <f t="shared" si="17"/>
        <v>-1497.3016942276004</v>
      </c>
      <c r="L45" s="178">
        <f t="shared" si="17"/>
        <v>-1483.4849342276004</v>
      </c>
      <c r="M45" s="178">
        <f t="shared" si="17"/>
        <v>-29291.531200000049</v>
      </c>
      <c r="N45" s="178">
        <f t="shared" si="17"/>
        <v>-27757.870840000047</v>
      </c>
      <c r="O45" s="179">
        <f t="shared" si="17"/>
        <v>-26182.760200000052</v>
      </c>
    </row>
    <row r="46" spans="1:15" ht="13.5" customHeight="1" thickBot="1" x14ac:dyDescent="0.3">
      <c r="A46" s="3"/>
      <c r="B46" s="254" t="s">
        <v>206</v>
      </c>
      <c r="C46" s="181" t="str">
        <f t="shared" si="14"/>
        <v>Upgraded, High-High</v>
      </c>
      <c r="D46" s="182">
        <f t="shared" si="17"/>
        <v>-759051.34412000002</v>
      </c>
      <c r="E46" s="182">
        <f t="shared" si="17"/>
        <v>-758484.85696000012</v>
      </c>
      <c r="F46" s="182">
        <f t="shared" si="17"/>
        <v>-757462.4167200001</v>
      </c>
      <c r="G46" s="182">
        <f t="shared" si="17"/>
        <v>-69691.247359522778</v>
      </c>
      <c r="H46" s="182">
        <f t="shared" si="17"/>
        <v>-59135.242719522779</v>
      </c>
      <c r="I46" s="182">
        <f t="shared" si="17"/>
        <v>-47473.897279522789</v>
      </c>
      <c r="J46" s="182">
        <f t="shared" si="17"/>
        <v>-1527.9979339665201</v>
      </c>
      <c r="K46" s="182">
        <f t="shared" si="17"/>
        <v>-1527.9979339665201</v>
      </c>
      <c r="L46" s="182">
        <f t="shared" si="17"/>
        <v>-1514.18117396652</v>
      </c>
      <c r="M46" s="182">
        <f t="shared" si="17"/>
        <v>-253910.59851999997</v>
      </c>
      <c r="N46" s="182">
        <f t="shared" si="17"/>
        <v>-252459.83872</v>
      </c>
      <c r="O46" s="183">
        <f t="shared" si="17"/>
        <v>-250981.44539999997</v>
      </c>
    </row>
    <row r="47" spans="1:15" ht="16.5" hidden="1" thickTop="1" x14ac:dyDescent="0.25">
      <c r="C47" s="171" t="s">
        <v>246</v>
      </c>
      <c r="D47" s="171" t="s">
        <v>40</v>
      </c>
      <c r="E47" s="171" t="s">
        <v>40</v>
      </c>
      <c r="F47" s="171" t="s">
        <v>40</v>
      </c>
      <c r="G47" s="171" t="s">
        <v>9</v>
      </c>
      <c r="H47" s="171" t="s">
        <v>9</v>
      </c>
      <c r="I47" s="171" t="s">
        <v>9</v>
      </c>
      <c r="J47" s="171" t="s">
        <v>480</v>
      </c>
      <c r="K47" s="171" t="s">
        <v>480</v>
      </c>
      <c r="L47" s="171" t="s">
        <v>480</v>
      </c>
      <c r="M47" s="171" t="s">
        <v>42</v>
      </c>
      <c r="N47" s="171" t="s">
        <v>42</v>
      </c>
      <c r="O47" s="171" t="s">
        <v>42</v>
      </c>
    </row>
    <row r="48" spans="1:15" ht="16.5" thickTop="1" x14ac:dyDescent="0.25"/>
    <row r="49" spans="3:15" ht="16.5" thickBot="1" x14ac:dyDescent="0.3">
      <c r="C49" s="2" t="s">
        <v>442</v>
      </c>
    </row>
    <row r="50" spans="3:15" ht="24" customHeight="1" thickTop="1" x14ac:dyDescent="0.25">
      <c r="C50" s="241" t="str">
        <f>C23</f>
        <v>Impact Category</v>
      </c>
      <c r="D50" s="350" t="str">
        <f>D23</f>
        <v>Global Warming Potential (GWP) - kg CO2 eq</v>
      </c>
      <c r="E50" s="351"/>
      <c r="F50" s="352"/>
      <c r="G50" s="350" t="str">
        <f>G23</f>
        <v>Eutrophication Potential (EP) - kg N eq</v>
      </c>
      <c r="H50" s="351"/>
      <c r="I50" s="352"/>
      <c r="J50" s="350" t="str">
        <f>J23</f>
        <v>Cumulative Energy Demand (CED) - MJ</v>
      </c>
      <c r="K50" s="351"/>
      <c r="L50" s="352"/>
      <c r="M50" s="350" t="str">
        <f>M23</f>
        <v>Particulate Matter Formation Potential (PMFP) - kg PM2.5 eq</v>
      </c>
      <c r="N50" s="351"/>
      <c r="O50" s="353"/>
    </row>
    <row r="51" spans="3:15" x14ac:dyDescent="0.25">
      <c r="C51" s="242" t="str">
        <f>C24</f>
        <v>Emissions Scenario</v>
      </c>
      <c r="D51" s="243" t="str">
        <f>D24</f>
        <v>Low</v>
      </c>
      <c r="E51" s="243" t="str">
        <f>E24</f>
        <v>Base</v>
      </c>
      <c r="F51" s="243" t="str">
        <f>F24</f>
        <v>High</v>
      </c>
      <c r="G51" s="243" t="str">
        <f>G24</f>
        <v>Low</v>
      </c>
      <c r="H51" s="243" t="str">
        <f>H24</f>
        <v>Base</v>
      </c>
      <c r="I51" s="243" t="str">
        <f>I24</f>
        <v>High</v>
      </c>
      <c r="J51" s="243" t="str">
        <f>J24</f>
        <v>Low</v>
      </c>
      <c r="K51" s="243" t="str">
        <f>K24</f>
        <v>Base</v>
      </c>
      <c r="L51" s="243" t="str">
        <f>L24</f>
        <v>High</v>
      </c>
      <c r="M51" s="243" t="str">
        <f>M24</f>
        <v>Low</v>
      </c>
      <c r="N51" s="243" t="str">
        <f>N24</f>
        <v>Base</v>
      </c>
      <c r="O51" s="244" t="str">
        <f>O24</f>
        <v>High</v>
      </c>
    </row>
    <row r="52" spans="3:15" x14ac:dyDescent="0.25">
      <c r="C52" s="250" t="str">
        <f t="shared" ref="C52:C62" si="18">C25</f>
        <v>Legacy</v>
      </c>
      <c r="D52" s="275" t="s">
        <v>470</v>
      </c>
      <c r="E52" s="275" t="s">
        <v>470</v>
      </c>
      <c r="F52" s="275" t="s">
        <v>470</v>
      </c>
      <c r="G52" s="275" t="s">
        <v>470</v>
      </c>
      <c r="H52" s="275" t="s">
        <v>470</v>
      </c>
      <c r="I52" s="275" t="s">
        <v>470</v>
      </c>
      <c r="J52" s="275" t="s">
        <v>470</v>
      </c>
      <c r="K52" s="275" t="s">
        <v>470</v>
      </c>
      <c r="L52" s="275" t="s">
        <v>470</v>
      </c>
      <c r="M52" s="275" t="s">
        <v>470</v>
      </c>
      <c r="N52" s="275" t="s">
        <v>470</v>
      </c>
      <c r="O52" s="276" t="s">
        <v>470</v>
      </c>
    </row>
    <row r="53" spans="3:15" x14ac:dyDescent="0.25">
      <c r="C53" s="250" t="str">
        <f t="shared" si="18"/>
        <v>Upgraded, Base-Low</v>
      </c>
      <c r="D53" s="235">
        <f t="shared" ref="D53:O53" si="19">((D26/D$25)-1)</f>
        <v>0.14327631550348841</v>
      </c>
      <c r="E53" s="235">
        <f t="shared" si="19"/>
        <v>0.57168290008385458</v>
      </c>
      <c r="F53" s="235">
        <f t="shared" si="19"/>
        <v>0.97243740676168722</v>
      </c>
      <c r="G53" s="235">
        <f t="shared" si="19"/>
        <v>-0.35518512706265593</v>
      </c>
      <c r="H53" s="235">
        <f t="shared" si="19"/>
        <v>-0.34482703440345075</v>
      </c>
      <c r="I53" s="235">
        <f t="shared" si="19"/>
        <v>-0.33376083062829642</v>
      </c>
      <c r="J53" s="235">
        <f t="shared" si="19"/>
        <v>0.54554386863944848</v>
      </c>
      <c r="K53" s="235">
        <f t="shared" si="19"/>
        <v>0.57239252039831223</v>
      </c>
      <c r="L53" s="235">
        <f t="shared" si="19"/>
        <v>0.59374933834943344</v>
      </c>
      <c r="M53" s="235">
        <f t="shared" si="19"/>
        <v>0.34612064440464119</v>
      </c>
      <c r="N53" s="235">
        <f t="shared" si="19"/>
        <v>0.41673502899697445</v>
      </c>
      <c r="O53" s="236">
        <f t="shared" si="19"/>
        <v>0.488644999805252</v>
      </c>
    </row>
    <row r="54" spans="3:15" x14ac:dyDescent="0.25">
      <c r="C54" s="250" t="str">
        <f t="shared" si="18"/>
        <v>Upgraded, Base</v>
      </c>
      <c r="D54" s="235">
        <f t="shared" ref="D54:O54" si="20">((D27/D$25)-1)</f>
        <v>-0.27259883935751705</v>
      </c>
      <c r="E54" s="235">
        <f t="shared" si="20"/>
        <v>0.25353802489840693</v>
      </c>
      <c r="F54" s="235">
        <f t="shared" si="20"/>
        <v>0.67744486582669805</v>
      </c>
      <c r="G54" s="235">
        <f t="shared" si="20"/>
        <v>-0.37698763785966694</v>
      </c>
      <c r="H54" s="235">
        <f t="shared" si="20"/>
        <v>-0.36765490173906334</v>
      </c>
      <c r="I54" s="235">
        <f t="shared" si="20"/>
        <v>-0.35742265001043194</v>
      </c>
      <c r="J54" s="235">
        <f t="shared" si="20"/>
        <v>3.3901948607485854E-2</v>
      </c>
      <c r="K54" s="235">
        <f t="shared" si="20"/>
        <v>5.2700599937405279E-2</v>
      </c>
      <c r="L54" s="235">
        <f t="shared" si="20"/>
        <v>6.7865568206004534E-2</v>
      </c>
      <c r="M54" s="235">
        <f t="shared" si="20"/>
        <v>4.979185178588752E-2</v>
      </c>
      <c r="N54" s="235">
        <f t="shared" si="20"/>
        <v>0.11004869442780763</v>
      </c>
      <c r="O54" s="236">
        <f t="shared" si="20"/>
        <v>0.17189331334146107</v>
      </c>
    </row>
    <row r="55" spans="3:15" x14ac:dyDescent="0.25">
      <c r="C55" s="250" t="str">
        <f t="shared" si="18"/>
        <v>Upgraded, Base-High</v>
      </c>
      <c r="D55" s="235">
        <f t="shared" ref="D55:O55" si="21">((D28/D$25)-1)</f>
        <v>-1.0794192440609445</v>
      </c>
      <c r="E55" s="235">
        <f t="shared" si="21"/>
        <v>-0.28157130877894598</v>
      </c>
      <c r="F55" s="235">
        <f t="shared" si="21"/>
        <v>0.2495910994482089</v>
      </c>
      <c r="G55" s="235">
        <f t="shared" si="21"/>
        <v>-0.42266415572103022</v>
      </c>
      <c r="H55" s="235">
        <f t="shared" si="21"/>
        <v>-0.414011248981213</v>
      </c>
      <c r="I55" s="235">
        <f t="shared" si="21"/>
        <v>-0.40421789227598293</v>
      </c>
      <c r="J55" s="235">
        <f t="shared" si="21"/>
        <v>-0.97619936855910749</v>
      </c>
      <c r="K55" s="235">
        <f t="shared" si="21"/>
        <v>-0.97273943497445525</v>
      </c>
      <c r="L55" s="235">
        <f t="shared" si="21"/>
        <v>-0.96921917989874939</v>
      </c>
      <c r="M55" s="235">
        <f t="shared" si="21"/>
        <v>-0.9964693603199628</v>
      </c>
      <c r="N55" s="235">
        <f t="shared" si="21"/>
        <v>-0.96095906547101573</v>
      </c>
      <c r="O55" s="236">
        <f t="shared" si="21"/>
        <v>-0.92013825605518906</v>
      </c>
    </row>
    <row r="56" spans="3:15" x14ac:dyDescent="0.25">
      <c r="C56" s="250" t="str">
        <f t="shared" si="18"/>
        <v>Upgraded, Medium-Low</v>
      </c>
      <c r="D56" s="235">
        <f t="shared" ref="D56:O56" si="22">((D29/D$25)-1)</f>
        <v>-0.37023191114781884</v>
      </c>
      <c r="E56" s="235">
        <f t="shared" si="22"/>
        <v>0.61406179449138842</v>
      </c>
      <c r="F56" s="235">
        <f t="shared" si="22"/>
        <v>1.3386415514855221</v>
      </c>
      <c r="G56" s="235">
        <f t="shared" si="22"/>
        <v>-0.32120337202535787</v>
      </c>
      <c r="H56" s="235">
        <f t="shared" si="22"/>
        <v>-0.30744924213972535</v>
      </c>
      <c r="I56" s="235">
        <f t="shared" si="22"/>
        <v>-0.2918516136375422</v>
      </c>
      <c r="J56" s="235">
        <f t="shared" si="22"/>
        <v>0.35660233554960064</v>
      </c>
      <c r="K56" s="235">
        <f t="shared" si="22"/>
        <v>0.38201708565307602</v>
      </c>
      <c r="L56" s="235">
        <f t="shared" si="22"/>
        <v>0.40269808564293452</v>
      </c>
      <c r="M56" s="235">
        <f t="shared" si="22"/>
        <v>0.19530274987972107</v>
      </c>
      <c r="N56" s="235">
        <f t="shared" si="22"/>
        <v>0.27955003960715596</v>
      </c>
      <c r="O56" s="236">
        <f t="shared" si="22"/>
        <v>0.36551270833711547</v>
      </c>
    </row>
    <row r="57" spans="3:15" x14ac:dyDescent="0.25">
      <c r="C57" s="250" t="str">
        <f t="shared" si="18"/>
        <v>Upgraded, Medium-Base</v>
      </c>
      <c r="D57" s="235">
        <f t="shared" ref="D57:O57" si="23">((D30/D$25)-1)</f>
        <v>-1.1973744267425936</v>
      </c>
      <c r="E57" s="235">
        <f t="shared" si="23"/>
        <v>2.4446881248790575E-2</v>
      </c>
      <c r="F57" s="235">
        <f t="shared" si="23"/>
        <v>0.82945701601452293</v>
      </c>
      <c r="G57" s="237">
        <f t="shared" si="23"/>
        <v>-0.35797318474216189</v>
      </c>
      <c r="H57" s="235">
        <f t="shared" si="23"/>
        <v>-0.34515898629007857</v>
      </c>
      <c r="I57" s="235">
        <f t="shared" si="23"/>
        <v>-0.33122427744656724</v>
      </c>
      <c r="J57" s="235">
        <f t="shared" si="23"/>
        <v>-0.60229755023516196</v>
      </c>
      <c r="K57" s="235">
        <f t="shared" si="23"/>
        <v>-0.59182436512869363</v>
      </c>
      <c r="L57" s="235">
        <f t="shared" si="23"/>
        <v>-0.58259794935684783</v>
      </c>
      <c r="M57" s="235">
        <f t="shared" si="23"/>
        <v>-0.35318815465702336</v>
      </c>
      <c r="N57" s="235">
        <f t="shared" si="23"/>
        <v>-0.28678721596954804</v>
      </c>
      <c r="O57" s="236">
        <f t="shared" si="23"/>
        <v>-0.21529310713542871</v>
      </c>
    </row>
    <row r="58" spans="3:15" x14ac:dyDescent="0.25">
      <c r="C58" s="250" t="str">
        <f t="shared" si="18"/>
        <v>Upgraded, Medium-High</v>
      </c>
      <c r="D58" s="235">
        <f t="shared" ref="D58:O58" si="24">((D31/D$25)-1)</f>
        <v>-1.6639787867591118</v>
      </c>
      <c r="E58" s="235">
        <f t="shared" si="24"/>
        <v>-0.32026059472360158</v>
      </c>
      <c r="F58" s="235">
        <f t="shared" si="24"/>
        <v>0.52849722307097791</v>
      </c>
      <c r="G58" s="237">
        <f t="shared" si="24"/>
        <v>-0.41070994895326951</v>
      </c>
      <c r="H58" s="235">
        <f t="shared" si="24"/>
        <v>-0.39852482991429317</v>
      </c>
      <c r="I58" s="235">
        <f t="shared" si="24"/>
        <v>-0.38544322926131613</v>
      </c>
      <c r="J58" s="235">
        <f t="shared" si="24"/>
        <v>-1.3498688479026522</v>
      </c>
      <c r="K58" s="235">
        <f t="shared" si="24"/>
        <v>-1.3508113040373451</v>
      </c>
      <c r="L58" s="235">
        <f t="shared" si="24"/>
        <v>-1.3502697305591742</v>
      </c>
      <c r="M58" s="235">
        <f t="shared" si="24"/>
        <v>-1.5958830417720202</v>
      </c>
      <c r="N58" s="235">
        <f t="shared" si="24"/>
        <v>-1.5583102450797655</v>
      </c>
      <c r="O58" s="236">
        <f t="shared" si="24"/>
        <v>-1.5138003148480572</v>
      </c>
    </row>
    <row r="59" spans="3:15" x14ac:dyDescent="0.25">
      <c r="C59" s="250" t="str">
        <f t="shared" si="18"/>
        <v>Upgraded, High-Low</v>
      </c>
      <c r="D59" s="235">
        <f t="shared" ref="D59:O59" si="25">((D32/D$25)-1)</f>
        <v>-1.2788802190875697</v>
      </c>
      <c r="E59" s="235">
        <f t="shared" si="25"/>
        <v>0.5650390247048962</v>
      </c>
      <c r="F59" s="235">
        <f t="shared" si="25"/>
        <v>1.7815123029638547</v>
      </c>
      <c r="G59" s="235">
        <f t="shared" si="25"/>
        <v>-0.27819261909957937</v>
      </c>
      <c r="H59" s="235">
        <f t="shared" si="25"/>
        <v>-0.25914834842372481</v>
      </c>
      <c r="I59" s="235">
        <f t="shared" si="25"/>
        <v>-0.2377829946941048</v>
      </c>
      <c r="J59" s="235">
        <f t="shared" si="25"/>
        <v>-0.11051627024280541</v>
      </c>
      <c r="K59" s="235">
        <f t="shared" si="25"/>
        <v>-9.0154811180612082E-2</v>
      </c>
      <c r="L59" s="235">
        <f t="shared" si="25"/>
        <v>-7.272194406587229E-2</v>
      </c>
      <c r="M59" s="235">
        <f t="shared" si="25"/>
        <v>-0.10525025003942556</v>
      </c>
      <c r="N59" s="235">
        <f t="shared" si="25"/>
        <v>-4.8996337393886202E-3</v>
      </c>
      <c r="O59" s="236">
        <f t="shared" si="25"/>
        <v>0.10211225331959128</v>
      </c>
    </row>
    <row r="60" spans="3:15" x14ac:dyDescent="0.25">
      <c r="C60" s="250" t="str">
        <f t="shared" si="18"/>
        <v>Upgraded, High-Base</v>
      </c>
      <c r="D60" s="235">
        <f t="shared" ref="D60:O60" si="26">((D33/D$25)-1)</f>
        <v>-1.9850029342085245</v>
      </c>
      <c r="E60" s="235">
        <f t="shared" si="26"/>
        <v>-5.9343352899432489E-4</v>
      </c>
      <c r="F60" s="235">
        <f t="shared" si="26"/>
        <v>1.2444146880672928</v>
      </c>
      <c r="G60" s="235">
        <f t="shared" si="26"/>
        <v>-0.3401634778137006</v>
      </c>
      <c r="H60" s="235">
        <f t="shared" si="26"/>
        <v>-0.32281016814970365</v>
      </c>
      <c r="I60" s="235">
        <f t="shared" si="26"/>
        <v>-0.30312401353658247</v>
      </c>
      <c r="J60" s="235">
        <f t="shared" si="26"/>
        <v>-1.1261198955994565</v>
      </c>
      <c r="K60" s="235">
        <f t="shared" si="26"/>
        <v>-1.1218377656409104</v>
      </c>
      <c r="L60" s="235">
        <f t="shared" si="26"/>
        <v>-1.1168048657364742</v>
      </c>
      <c r="M60" s="235">
        <f t="shared" si="26"/>
        <v>-1.1309871602132597</v>
      </c>
      <c r="N60" s="235">
        <f t="shared" si="26"/>
        <v>-1.061030029108619</v>
      </c>
      <c r="O60" s="236">
        <f t="shared" si="26"/>
        <v>-0.97930168299702103</v>
      </c>
    </row>
    <row r="61" spans="3:15" x14ac:dyDescent="0.25">
      <c r="C61" s="250" t="str">
        <f t="shared" si="18"/>
        <v>Upgraded, High-High</v>
      </c>
      <c r="D61" s="235">
        <f t="shared" ref="D61:O61" si="27">((D34/D$25)-1)</f>
        <v>-2.5829511617292269</v>
      </c>
      <c r="E61" s="235">
        <f t="shared" si="27"/>
        <v>-0.48785396374895174</v>
      </c>
      <c r="F61" s="235">
        <f t="shared" si="27"/>
        <v>0.77902295235185193</v>
      </c>
      <c r="G61" s="235">
        <f t="shared" si="27"/>
        <v>-0.41565846949023189</v>
      </c>
      <c r="H61" s="235">
        <f t="shared" si="27"/>
        <v>-0.39959806770328021</v>
      </c>
      <c r="I61" s="235">
        <f t="shared" si="27"/>
        <v>-0.3815993460553293</v>
      </c>
      <c r="J61" s="235">
        <f t="shared" si="27"/>
        <v>-2.1428461307959887</v>
      </c>
      <c r="K61" s="235">
        <f t="shared" si="27"/>
        <v>-2.1542072759491662</v>
      </c>
      <c r="L61" s="235">
        <f t="shared" si="27"/>
        <v>-2.1611073161001451</v>
      </c>
      <c r="M61" s="235">
        <f t="shared" si="27"/>
        <v>-2.8269762580429436</v>
      </c>
      <c r="N61" s="235">
        <f t="shared" si="27"/>
        <v>-2.7999341210718161</v>
      </c>
      <c r="O61" s="236">
        <f t="shared" si="27"/>
        <v>-2.7556887417632012</v>
      </c>
    </row>
    <row r="62" spans="3:15" x14ac:dyDescent="0.25">
      <c r="C62" s="251" t="str">
        <f t="shared" si="18"/>
        <v>Impact Category</v>
      </c>
      <c r="D62" s="354" t="str">
        <f>D35</f>
        <v>Smog Formation Potential (SFP) - kg O3 eq</v>
      </c>
      <c r="E62" s="355"/>
      <c r="F62" s="356"/>
      <c r="G62" s="354" t="str">
        <f>G35</f>
        <v>Acidification Potential (AP) - kg SO2 eq</v>
      </c>
      <c r="H62" s="355"/>
      <c r="I62" s="356"/>
      <c r="J62" s="354" t="str">
        <f>J35</f>
        <v>Water Use (WU) - m3 H2O</v>
      </c>
      <c r="K62" s="355"/>
      <c r="L62" s="356"/>
      <c r="M62" s="354" t="str">
        <f>M35</f>
        <v>Fossil Depletion Potential (FDP) - kg oil eq</v>
      </c>
      <c r="N62" s="355"/>
      <c r="O62" s="357"/>
    </row>
    <row r="63" spans="3:15" x14ac:dyDescent="0.25">
      <c r="C63" s="251" t="str">
        <f t="shared" ref="C63:O73" si="28">C36</f>
        <v>Emissions Scenario</v>
      </c>
      <c r="D63" s="245" t="str">
        <f t="shared" si="28"/>
        <v>Low</v>
      </c>
      <c r="E63" s="245" t="str">
        <f t="shared" si="28"/>
        <v>Base</v>
      </c>
      <c r="F63" s="245" t="str">
        <f t="shared" si="28"/>
        <v>High</v>
      </c>
      <c r="G63" s="245" t="str">
        <f t="shared" si="28"/>
        <v>Low</v>
      </c>
      <c r="H63" s="245" t="str">
        <f t="shared" si="28"/>
        <v>Base</v>
      </c>
      <c r="I63" s="245" t="str">
        <f t="shared" si="28"/>
        <v>High</v>
      </c>
      <c r="J63" s="245" t="str">
        <f t="shared" si="28"/>
        <v>Low</v>
      </c>
      <c r="K63" s="245" t="str">
        <f t="shared" si="28"/>
        <v>Base</v>
      </c>
      <c r="L63" s="245" t="str">
        <f t="shared" si="28"/>
        <v>High</v>
      </c>
      <c r="M63" s="245" t="str">
        <f t="shared" si="28"/>
        <v>Low</v>
      </c>
      <c r="N63" s="245" t="str">
        <f t="shared" si="28"/>
        <v>Base</v>
      </c>
      <c r="O63" s="246" t="str">
        <f t="shared" si="28"/>
        <v>High</v>
      </c>
    </row>
    <row r="64" spans="3:15" x14ac:dyDescent="0.25">
      <c r="C64" s="252" t="str">
        <f t="shared" si="28"/>
        <v>Legacy</v>
      </c>
      <c r="D64" s="275" t="s">
        <v>470</v>
      </c>
      <c r="E64" s="275" t="s">
        <v>470</v>
      </c>
      <c r="F64" s="275" t="s">
        <v>470</v>
      </c>
      <c r="G64" s="275" t="s">
        <v>470</v>
      </c>
      <c r="H64" s="275" t="s">
        <v>470</v>
      </c>
      <c r="I64" s="275" t="s">
        <v>470</v>
      </c>
      <c r="J64" s="275" t="s">
        <v>470</v>
      </c>
      <c r="K64" s="275" t="s">
        <v>470</v>
      </c>
      <c r="L64" s="275" t="s">
        <v>470</v>
      </c>
      <c r="M64" s="275" t="s">
        <v>470</v>
      </c>
      <c r="N64" s="275" t="s">
        <v>470</v>
      </c>
      <c r="O64" s="276" t="s">
        <v>470</v>
      </c>
    </row>
    <row r="65" spans="3:15" x14ac:dyDescent="0.25">
      <c r="C65" s="252" t="str">
        <f t="shared" si="28"/>
        <v>Upgraded, Base-Low</v>
      </c>
      <c r="D65" s="235">
        <f t="shared" ref="D65:D73" si="29">((D38/D$37)-1)</f>
        <v>0.34328126726997055</v>
      </c>
      <c r="E65" s="235">
        <f t="shared" ref="E65:O65" si="30">((E38/E$37)-1)</f>
        <v>0.37410781716964103</v>
      </c>
      <c r="F65" s="235">
        <f t="shared" si="30"/>
        <v>0.39858473817810314</v>
      </c>
      <c r="G65" s="235">
        <f t="shared" si="30"/>
        <v>0.44220022082425103</v>
      </c>
      <c r="H65" s="235">
        <f t="shared" si="30"/>
        <v>0.6268008059402479</v>
      </c>
      <c r="I65" s="235">
        <f t="shared" si="30"/>
        <v>0.82429324053366693</v>
      </c>
      <c r="J65" s="235">
        <f t="shared" si="30"/>
        <v>-1.1075823011300054</v>
      </c>
      <c r="K65" s="235">
        <f t="shared" si="30"/>
        <v>-1.1077595624926029</v>
      </c>
      <c r="L65" s="235">
        <f t="shared" si="30"/>
        <v>-1.099858983311909</v>
      </c>
      <c r="M65" s="235">
        <f t="shared" si="30"/>
        <v>0.6553407128805917</v>
      </c>
      <c r="N65" s="235">
        <f t="shared" si="30"/>
        <v>0.68277625539058762</v>
      </c>
      <c r="O65" s="236">
        <f t="shared" si="30"/>
        <v>0.7046132242081371</v>
      </c>
    </row>
    <row r="66" spans="3:15" x14ac:dyDescent="0.25">
      <c r="C66" s="252" t="str">
        <f t="shared" si="28"/>
        <v>Upgraded, Base</v>
      </c>
      <c r="D66" s="235">
        <f t="shared" si="29"/>
        <v>4.74778320604472E-2</v>
      </c>
      <c r="E66" s="235">
        <f t="shared" ref="E66:O66" si="31">((E39/E$37)-1)</f>
        <v>7.1644961038871191E-2</v>
      </c>
      <c r="F66" s="235">
        <f t="shared" si="31"/>
        <v>9.0914384368767198E-2</v>
      </c>
      <c r="G66" s="235">
        <f t="shared" si="31"/>
        <v>0.13889908609711821</v>
      </c>
      <c r="H66" s="235">
        <f t="shared" si="31"/>
        <v>0.30533944952377423</v>
      </c>
      <c r="I66" s="235">
        <f t="shared" si="31"/>
        <v>0.48465406964389812</v>
      </c>
      <c r="J66" s="235">
        <f t="shared" si="31"/>
        <v>-1.0417215357417857</v>
      </c>
      <c r="K66" s="235">
        <f t="shared" si="31"/>
        <v>-1.0337684613522196</v>
      </c>
      <c r="L66" s="235">
        <f t="shared" si="31"/>
        <v>-1.033809509551576</v>
      </c>
      <c r="M66" s="235">
        <f t="shared" si="31"/>
        <v>7.0220279626727056E-2</v>
      </c>
      <c r="N66" s="235">
        <f t="shared" si="31"/>
        <v>8.8947824888435001E-2</v>
      </c>
      <c r="O66" s="236">
        <f t="shared" si="31"/>
        <v>0.10409769019593007</v>
      </c>
    </row>
    <row r="67" spans="3:15" x14ac:dyDescent="0.25">
      <c r="C67" s="252" t="str">
        <f t="shared" si="28"/>
        <v>Upgraded, Base-High</v>
      </c>
      <c r="D67" s="235">
        <f t="shared" si="29"/>
        <v>-1.0080541376936127</v>
      </c>
      <c r="E67" s="235">
        <f t="shared" ref="E67:O67" si="32">((E40/E$37)-1)</f>
        <v>-1.007507084499643</v>
      </c>
      <c r="F67" s="235">
        <f t="shared" si="32"/>
        <v>-1.0062603249860613</v>
      </c>
      <c r="G67" s="235">
        <f t="shared" si="32"/>
        <v>-0.8980414425773211</v>
      </c>
      <c r="H67" s="235">
        <f t="shared" si="32"/>
        <v>-0.76522427987533082</v>
      </c>
      <c r="I67" s="235">
        <f t="shared" si="32"/>
        <v>-0.61413971062047523</v>
      </c>
      <c r="J67" s="235">
        <f t="shared" si="32"/>
        <v>-1.0786487256223338</v>
      </c>
      <c r="K67" s="235">
        <f t="shared" si="32"/>
        <v>-1.0787783136691029</v>
      </c>
      <c r="L67" s="235">
        <f t="shared" si="32"/>
        <v>-1.0708425055193749</v>
      </c>
      <c r="M67" s="235">
        <f t="shared" si="32"/>
        <v>-0.98516936125557542</v>
      </c>
      <c r="N67" s="235">
        <f t="shared" si="32"/>
        <v>-0.98169247646758195</v>
      </c>
      <c r="O67" s="236">
        <f t="shared" si="32"/>
        <v>-0.97813842968123543</v>
      </c>
    </row>
    <row r="68" spans="3:15" x14ac:dyDescent="0.25">
      <c r="C68" s="252" t="str">
        <f t="shared" si="28"/>
        <v>Upgraded, Medium-Low</v>
      </c>
      <c r="D68" s="235">
        <f t="shared" si="29"/>
        <v>0.18680087779407129</v>
      </c>
      <c r="E68" s="235">
        <f t="shared" ref="E68:O68" si="33">((E41/E$37)-1)</f>
        <v>0.21445254082931142</v>
      </c>
      <c r="F68" s="235">
        <f t="shared" si="33"/>
        <v>0.23687139949322389</v>
      </c>
      <c r="G68" s="235">
        <f t="shared" si="33"/>
        <v>0.3424760780972147</v>
      </c>
      <c r="H68" s="235">
        <f t="shared" si="33"/>
        <v>0.58458870863303436</v>
      </c>
      <c r="I68" s="235">
        <f t="shared" si="33"/>
        <v>0.84838814770077398</v>
      </c>
      <c r="J68" s="235">
        <f t="shared" si="33"/>
        <v>-1.4756572071860601</v>
      </c>
      <c r="K68" s="235">
        <f t="shared" si="33"/>
        <v>-1.4684191205555579</v>
      </c>
      <c r="L68" s="235">
        <f t="shared" si="33"/>
        <v>-1.4689885205422004</v>
      </c>
      <c r="M68" s="235">
        <f t="shared" si="33"/>
        <v>0.45926587273628194</v>
      </c>
      <c r="N68" s="235">
        <f t="shared" si="33"/>
        <v>0.48535818315884649</v>
      </c>
      <c r="O68" s="236">
        <f t="shared" si="33"/>
        <v>0.5066805700282726</v>
      </c>
    </row>
    <row r="69" spans="3:15" x14ac:dyDescent="0.25">
      <c r="C69" s="252" t="str">
        <f t="shared" si="28"/>
        <v>Upgraded, Medium-Base</v>
      </c>
      <c r="D69" s="235">
        <f t="shared" si="29"/>
        <v>-0.36690416818444582</v>
      </c>
      <c r="E69" s="235">
        <f t="shared" ref="E69:O69" si="34">((E42/E$37)-1)</f>
        <v>-0.35169233399398103</v>
      </c>
      <c r="F69" s="235">
        <f t="shared" si="34"/>
        <v>-0.33886747703384823</v>
      </c>
      <c r="G69" s="235">
        <f t="shared" si="34"/>
        <v>-0.21902801216202239</v>
      </c>
      <c r="H69" s="235">
        <f t="shared" si="34"/>
        <v>-5.7312367863087132E-3</v>
      </c>
      <c r="I69" s="235">
        <f t="shared" si="34"/>
        <v>0.23050230911413938</v>
      </c>
      <c r="J69" s="235">
        <f t="shared" si="34"/>
        <v>-1.387612052842365</v>
      </c>
      <c r="K69" s="235">
        <f t="shared" si="34"/>
        <v>-1.3802288958437341</v>
      </c>
      <c r="L69" s="235">
        <f t="shared" si="34"/>
        <v>-1.3726595243955224</v>
      </c>
      <c r="M69" s="235">
        <f t="shared" si="34"/>
        <v>-0.63630445218614762</v>
      </c>
      <c r="N69" s="235">
        <f t="shared" si="34"/>
        <v>-0.62638658982250395</v>
      </c>
      <c r="O69" s="236">
        <f t="shared" si="34"/>
        <v>-0.61756983458549453</v>
      </c>
    </row>
    <row r="70" spans="3:15" x14ac:dyDescent="0.25">
      <c r="C70" s="252" t="str">
        <f t="shared" si="28"/>
        <v>Upgraded, Medium-High</v>
      </c>
      <c r="D70" s="235">
        <f t="shared" si="29"/>
        <v>-1.6146186924007964</v>
      </c>
      <c r="E70" s="235">
        <f t="shared" ref="E70:O70" si="35">((E43/E$37)-1)</f>
        <v>-1.6272393966037957</v>
      </c>
      <c r="F70" s="235">
        <f t="shared" si="35"/>
        <v>-1.6357395193710054</v>
      </c>
      <c r="G70" s="235">
        <f t="shared" si="35"/>
        <v>-1.4446186707086257</v>
      </c>
      <c r="H70" s="235">
        <f t="shared" si="35"/>
        <v>-1.2717694475618955</v>
      </c>
      <c r="I70" s="235">
        <f t="shared" si="35"/>
        <v>-1.0709527451311067</v>
      </c>
      <c r="J70" s="235">
        <f t="shared" si="35"/>
        <v>-1.4218698086607133</v>
      </c>
      <c r="K70" s="235">
        <f t="shared" si="35"/>
        <v>-1.4225649157214142</v>
      </c>
      <c r="L70" s="235">
        <f t="shared" si="35"/>
        <v>-1.4150470070083796</v>
      </c>
      <c r="M70" s="235">
        <f t="shared" si="35"/>
        <v>-1.3231124821023648</v>
      </c>
      <c r="N70" s="235">
        <f t="shared" si="35"/>
        <v>-1.3232385683558108</v>
      </c>
      <c r="O70" s="236">
        <f t="shared" si="35"/>
        <v>-1.3219720221609945</v>
      </c>
    </row>
    <row r="71" spans="3:15" x14ac:dyDescent="0.25">
      <c r="C71" s="252" t="str">
        <f t="shared" si="28"/>
        <v>Upgraded, High-Low</v>
      </c>
      <c r="D71" s="235">
        <f t="shared" si="29"/>
        <v>-0.1310329928715096</v>
      </c>
      <c r="E71" s="235">
        <f t="shared" ref="E71:O71" si="36">((E44/E$37)-1)</f>
        <v>-0.10994345618981571</v>
      </c>
      <c r="F71" s="235">
        <f t="shared" si="36"/>
        <v>-9.2041854830611447E-2</v>
      </c>
      <c r="G71" s="235">
        <f t="shared" si="36"/>
        <v>0.10809258340755612</v>
      </c>
      <c r="H71" s="235">
        <f t="shared" si="36"/>
        <v>0.42872865703716845</v>
      </c>
      <c r="I71" s="235">
        <f t="shared" si="36"/>
        <v>0.78501524117906807</v>
      </c>
      <c r="J71" s="235">
        <f t="shared" si="36"/>
        <v>-2.0085318338501059</v>
      </c>
      <c r="K71" s="235">
        <f t="shared" si="36"/>
        <v>-2.0021717548604876</v>
      </c>
      <c r="L71" s="235">
        <f t="shared" si="36"/>
        <v>-1.9953584034807923</v>
      </c>
      <c r="M71" s="235">
        <f t="shared" si="36"/>
        <v>-4.957449224684185E-2</v>
      </c>
      <c r="N71" s="235">
        <f t="shared" si="36"/>
        <v>-2.8651776910567972E-2</v>
      </c>
      <c r="O71" s="236">
        <f t="shared" si="36"/>
        <v>-1.0749211559520355E-2</v>
      </c>
    </row>
    <row r="72" spans="3:15" x14ac:dyDescent="0.25">
      <c r="C72" s="252" t="str">
        <f t="shared" si="28"/>
        <v>Upgraded, High-Base</v>
      </c>
      <c r="D72" s="235">
        <f t="shared" si="29"/>
        <v>-1.1598644809438037</v>
      </c>
      <c r="E72" s="235">
        <f t="shared" ref="E72:O72" si="37">((E45/E$37)-1)</f>
        <v>-1.1619039422042778</v>
      </c>
      <c r="F72" s="235">
        <f t="shared" si="37"/>
        <v>-1.1618188497801503</v>
      </c>
      <c r="G72" s="235">
        <f t="shared" si="37"/>
        <v>-0.92757757402195262</v>
      </c>
      <c r="H72" s="235">
        <f t="shared" si="37"/>
        <v>-0.65449870155410073</v>
      </c>
      <c r="I72" s="235">
        <f t="shared" si="37"/>
        <v>-0.34381465623882246</v>
      </c>
      <c r="J72" s="235">
        <f t="shared" si="37"/>
        <v>-1.8678824908911131</v>
      </c>
      <c r="K72" s="235">
        <f t="shared" si="37"/>
        <v>-1.8693124847775975</v>
      </c>
      <c r="L72" s="235">
        <f t="shared" si="37"/>
        <v>-1.8623376325895644</v>
      </c>
      <c r="M72" s="235">
        <f t="shared" si="37"/>
        <v>-1.1218641633262791</v>
      </c>
      <c r="N72" s="235">
        <f t="shared" si="37"/>
        <v>-1.1171331680784318</v>
      </c>
      <c r="O72" s="236">
        <f t="shared" si="37"/>
        <v>-1.1116648942157918</v>
      </c>
    </row>
    <row r="73" spans="3:15" ht="16.5" thickBot="1" x14ac:dyDescent="0.3">
      <c r="C73" s="253" t="str">
        <f t="shared" si="28"/>
        <v>Upgraded, High-High</v>
      </c>
      <c r="D73" s="238">
        <f t="shared" si="29"/>
        <v>-2.8591183297226372</v>
      </c>
      <c r="E73" s="238">
        <f t="shared" ref="E73:O73" si="38">((E46/E$37)-1)</f>
        <v>-2.8991194041124024</v>
      </c>
      <c r="F73" s="238">
        <f t="shared" si="38"/>
        <v>-2.9281097549766129</v>
      </c>
      <c r="G73" s="238">
        <f t="shared" si="38"/>
        <v>-2.6019268748402196</v>
      </c>
      <c r="H73" s="238">
        <f t="shared" si="38"/>
        <v>-2.3897406093214091</v>
      </c>
      <c r="I73" s="238">
        <f t="shared" si="38"/>
        <v>-2.1340992654770199</v>
      </c>
      <c r="J73" s="238">
        <f t="shared" si="38"/>
        <v>-1.8856749832848037</v>
      </c>
      <c r="K73" s="238">
        <f t="shared" si="38"/>
        <v>-1.8871342935310662</v>
      </c>
      <c r="L73" s="238">
        <f t="shared" si="38"/>
        <v>-1.8801811051420132</v>
      </c>
      <c r="M73" s="238">
        <f t="shared" si="38"/>
        <v>-2.0563668535127491</v>
      </c>
      <c r="N73" s="238">
        <f t="shared" si="38"/>
        <v>-2.06533461778452</v>
      </c>
      <c r="O73" s="239">
        <f t="shared" si="38"/>
        <v>-2.0703919807017703</v>
      </c>
    </row>
    <row r="74" spans="3:15" ht="16.5" thickTop="1" x14ac:dyDescent="0.25"/>
  </sheetData>
  <mergeCells count="16">
    <mergeCell ref="D50:F50"/>
    <mergeCell ref="G50:I50"/>
    <mergeCell ref="J50:L50"/>
    <mergeCell ref="M50:O50"/>
    <mergeCell ref="D62:F62"/>
    <mergeCell ref="G62:I62"/>
    <mergeCell ref="J62:L62"/>
    <mergeCell ref="M62:O62"/>
    <mergeCell ref="D23:F23"/>
    <mergeCell ref="G23:I23"/>
    <mergeCell ref="J23:L23"/>
    <mergeCell ref="M23:O23"/>
    <mergeCell ref="D35:F35"/>
    <mergeCell ref="G35:I35"/>
    <mergeCell ref="J35:L35"/>
    <mergeCell ref="M35:O35"/>
  </mergeCells>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workbookViewId="0">
      <selection activeCell="F19" sqref="F19"/>
    </sheetView>
  </sheetViews>
  <sheetFormatPr defaultColWidth="0" defaultRowHeight="15.75" zeroHeight="1" x14ac:dyDescent="0.25"/>
  <cols>
    <col min="1" max="1" width="9" style="3" customWidth="1"/>
    <col min="2" max="2" width="18.125" style="3" bestFit="1" customWidth="1"/>
    <col min="3" max="3" width="24.75" style="3" customWidth="1"/>
    <col min="4" max="4" width="23.5" style="3" customWidth="1"/>
    <col min="5" max="5" width="19.75" style="3" customWidth="1"/>
    <col min="6" max="6" width="12.875" style="3" customWidth="1"/>
    <col min="7" max="7" width="8.375" style="3" bestFit="1" customWidth="1"/>
    <col min="8" max="8" width="15.375" style="3" bestFit="1" customWidth="1"/>
    <col min="9" max="9" width="16.25" style="3" customWidth="1"/>
    <col min="10" max="10" width="16.5" style="3" bestFit="1" customWidth="1"/>
    <col min="11" max="13" width="9" style="3" customWidth="1"/>
    <col min="14" max="16384" width="9" style="3" hidden="1"/>
  </cols>
  <sheetData>
    <row r="1" spans="1:10" x14ac:dyDescent="0.25">
      <c r="A1" s="2" t="s">
        <v>262</v>
      </c>
      <c r="B1" s="2"/>
    </row>
    <row r="2" spans="1:10" x14ac:dyDescent="0.25"/>
    <row r="3" spans="1:10" x14ac:dyDescent="0.25"/>
    <row r="4" spans="1:10" x14ac:dyDescent="0.25">
      <c r="B4" s="2" t="s">
        <v>499</v>
      </c>
      <c r="J4" s="42" t="s">
        <v>529</v>
      </c>
    </row>
    <row r="5" spans="1:10" x14ac:dyDescent="0.25">
      <c r="B5" s="5" t="s">
        <v>179</v>
      </c>
      <c r="C5" s="5" t="s">
        <v>452</v>
      </c>
      <c r="D5" s="5" t="s">
        <v>471</v>
      </c>
      <c r="E5" s="5" t="s">
        <v>184</v>
      </c>
      <c r="F5" s="5" t="s">
        <v>80</v>
      </c>
      <c r="G5" s="5" t="s">
        <v>79</v>
      </c>
      <c r="H5" s="5" t="s">
        <v>65</v>
      </c>
      <c r="I5" s="5" t="s">
        <v>525</v>
      </c>
      <c r="J5" s="5" t="s">
        <v>528</v>
      </c>
    </row>
    <row r="6" spans="1:10" x14ac:dyDescent="0.25">
      <c r="B6" s="358" t="s">
        <v>188</v>
      </c>
      <c r="C6" s="361" t="s">
        <v>45</v>
      </c>
      <c r="D6" s="267" t="s">
        <v>397</v>
      </c>
      <c r="E6" s="289">
        <v>-0.19137999999999999</v>
      </c>
      <c r="F6" s="333">
        <v>0</v>
      </c>
      <c r="G6" s="333">
        <v>0</v>
      </c>
      <c r="H6" s="289">
        <f>I6-SUM(E6:G6)</f>
        <v>0.65146999999999999</v>
      </c>
      <c r="I6" s="289">
        <v>0.46009000000000005</v>
      </c>
      <c r="J6" s="332">
        <f>SUM(E6:G6)</f>
        <v>-0.19137999999999999</v>
      </c>
    </row>
    <row r="7" spans="1:10" x14ac:dyDescent="0.25">
      <c r="B7" s="359"/>
      <c r="C7" s="361"/>
      <c r="D7" s="267" t="s">
        <v>453</v>
      </c>
      <c r="E7" s="289">
        <v>-6.0170000000000001E-2</v>
      </c>
      <c r="F7" s="333">
        <v>0</v>
      </c>
      <c r="G7" s="333">
        <v>0</v>
      </c>
      <c r="H7" s="289">
        <f t="shared" ref="H7:H17" si="0">I7-SUM(E7:G7)</f>
        <v>0.65146999999999999</v>
      </c>
      <c r="I7" s="289">
        <v>0.59130000000000005</v>
      </c>
      <c r="J7" s="332">
        <f t="shared" ref="J7:J17" si="1">SUM(E7:G7)</f>
        <v>-6.0170000000000001E-2</v>
      </c>
    </row>
    <row r="8" spans="1:10" x14ac:dyDescent="0.25">
      <c r="B8" s="359"/>
      <c r="C8" s="361" t="s">
        <v>46</v>
      </c>
      <c r="D8" s="6" t="s">
        <v>523</v>
      </c>
      <c r="E8" s="333">
        <v>0</v>
      </c>
      <c r="F8" s="289">
        <v>-0.46745999999999999</v>
      </c>
      <c r="G8" s="289">
        <v>9.5269999999999994E-2</v>
      </c>
      <c r="H8" s="289">
        <f t="shared" si="0"/>
        <v>0.70686000000000004</v>
      </c>
      <c r="I8" s="289">
        <v>0.33467000000000002</v>
      </c>
      <c r="J8" s="332">
        <f t="shared" si="1"/>
        <v>-0.37219000000000002</v>
      </c>
    </row>
    <row r="9" spans="1:10" x14ac:dyDescent="0.25">
      <c r="B9" s="360"/>
      <c r="C9" s="361"/>
      <c r="D9" s="6" t="s">
        <v>524</v>
      </c>
      <c r="E9" s="333">
        <v>0</v>
      </c>
      <c r="F9" s="289">
        <v>-0.46745999999999999</v>
      </c>
      <c r="G9" s="289">
        <v>0.11806</v>
      </c>
      <c r="H9" s="289">
        <f t="shared" si="0"/>
        <v>0.70686000000000004</v>
      </c>
      <c r="I9" s="289">
        <v>0.35746000000000011</v>
      </c>
      <c r="J9" s="332">
        <f t="shared" si="1"/>
        <v>-0.34939999999999999</v>
      </c>
    </row>
    <row r="10" spans="1:10" x14ac:dyDescent="0.25">
      <c r="B10" s="358" t="s">
        <v>189</v>
      </c>
      <c r="C10" s="361" t="s">
        <v>45</v>
      </c>
      <c r="D10" s="267" t="s">
        <v>397</v>
      </c>
      <c r="E10" s="334">
        <v>0.12368</v>
      </c>
      <c r="F10" s="333">
        <v>0</v>
      </c>
      <c r="G10" s="333">
        <v>0</v>
      </c>
      <c r="H10" s="289">
        <f t="shared" si="0"/>
        <v>0.65146999999999999</v>
      </c>
      <c r="I10" s="334">
        <v>0.77515000000000001</v>
      </c>
      <c r="J10" s="332">
        <f t="shared" si="1"/>
        <v>0.12368</v>
      </c>
    </row>
    <row r="11" spans="1:10" x14ac:dyDescent="0.25">
      <c r="B11" s="359"/>
      <c r="C11" s="361"/>
      <c r="D11" s="267" t="s">
        <v>453</v>
      </c>
      <c r="E11" s="334">
        <v>0.28660999999999998</v>
      </c>
      <c r="F11" s="333">
        <v>0</v>
      </c>
      <c r="G11" s="333">
        <v>0</v>
      </c>
      <c r="H11" s="289">
        <f t="shared" si="0"/>
        <v>0.65146999999999999</v>
      </c>
      <c r="I11" s="334">
        <v>0.93808000000000002</v>
      </c>
      <c r="J11" s="332">
        <f t="shared" si="1"/>
        <v>0.28660999999999998</v>
      </c>
    </row>
    <row r="12" spans="1:10" x14ac:dyDescent="0.25">
      <c r="B12" s="359"/>
      <c r="C12" s="361" t="s">
        <v>46</v>
      </c>
      <c r="D12" s="6" t="s">
        <v>523</v>
      </c>
      <c r="E12" s="333">
        <v>0</v>
      </c>
      <c r="F12" s="334">
        <v>-0.46950999999999998</v>
      </c>
      <c r="G12" s="334">
        <v>0.73433000000000004</v>
      </c>
      <c r="H12" s="289">
        <f t="shared" si="0"/>
        <v>0.70686000000000015</v>
      </c>
      <c r="I12" s="334">
        <v>0.97168000000000021</v>
      </c>
      <c r="J12" s="332">
        <f t="shared" si="1"/>
        <v>0.26482000000000006</v>
      </c>
    </row>
    <row r="13" spans="1:10" x14ac:dyDescent="0.25">
      <c r="B13" s="360"/>
      <c r="C13" s="361"/>
      <c r="D13" s="6" t="s">
        <v>524</v>
      </c>
      <c r="E13" s="333">
        <v>0</v>
      </c>
      <c r="F13" s="334">
        <v>-0.46950999999999998</v>
      </c>
      <c r="G13" s="334">
        <v>0.52195000000000003</v>
      </c>
      <c r="H13" s="289">
        <f>I13-SUM(E13:G13)</f>
        <v>0.70686000000000015</v>
      </c>
      <c r="I13" s="289">
        <v>0.7593000000000002</v>
      </c>
      <c r="J13" s="332">
        <f t="shared" si="1"/>
        <v>5.2440000000000042E-2</v>
      </c>
    </row>
    <row r="14" spans="1:10" x14ac:dyDescent="0.25">
      <c r="B14" s="358" t="s">
        <v>190</v>
      </c>
      <c r="C14" s="361" t="s">
        <v>45</v>
      </c>
      <c r="D14" s="267" t="s">
        <v>397</v>
      </c>
      <c r="E14" s="334">
        <v>0.46127000000000001</v>
      </c>
      <c r="F14" s="333">
        <v>0</v>
      </c>
      <c r="G14" s="333">
        <v>0</v>
      </c>
      <c r="H14" s="289">
        <f t="shared" si="0"/>
        <v>0.65146999999999999</v>
      </c>
      <c r="I14" s="332">
        <v>1.1127400000000001</v>
      </c>
      <c r="J14" s="332">
        <f t="shared" si="1"/>
        <v>0.46127000000000001</v>
      </c>
    </row>
    <row r="15" spans="1:10" x14ac:dyDescent="0.25">
      <c r="B15" s="359"/>
      <c r="C15" s="361"/>
      <c r="D15" s="267" t="s">
        <v>453</v>
      </c>
      <c r="E15" s="334">
        <v>0.70089999999999997</v>
      </c>
      <c r="F15" s="333">
        <v>0</v>
      </c>
      <c r="G15" s="333">
        <v>0</v>
      </c>
      <c r="H15" s="289">
        <f t="shared" si="0"/>
        <v>0.6514700000000001</v>
      </c>
      <c r="I15" s="332">
        <v>1.3523700000000001</v>
      </c>
      <c r="J15" s="332">
        <f t="shared" si="1"/>
        <v>0.70089999999999997</v>
      </c>
    </row>
    <row r="16" spans="1:10" x14ac:dyDescent="0.25">
      <c r="B16" s="359"/>
      <c r="C16" s="361" t="s">
        <v>46</v>
      </c>
      <c r="D16" s="6" t="s">
        <v>523</v>
      </c>
      <c r="E16" s="333">
        <v>0</v>
      </c>
      <c r="F16" s="334">
        <v>-0.47161999999999998</v>
      </c>
      <c r="G16" s="332">
        <v>1.6313200000000001</v>
      </c>
      <c r="H16" s="289">
        <f t="shared" si="0"/>
        <v>0.70685999999999982</v>
      </c>
      <c r="I16" s="332">
        <v>1.86656</v>
      </c>
      <c r="J16" s="332">
        <f t="shared" si="1"/>
        <v>1.1597000000000002</v>
      </c>
    </row>
    <row r="17" spans="2:10" x14ac:dyDescent="0.25">
      <c r="B17" s="360"/>
      <c r="C17" s="361"/>
      <c r="D17" s="6" t="s">
        <v>524</v>
      </c>
      <c r="E17" s="333">
        <v>0</v>
      </c>
      <c r="F17" s="334">
        <v>-0.47161999999999998</v>
      </c>
      <c r="G17" s="334">
        <v>0.86414000000000002</v>
      </c>
      <c r="H17" s="289">
        <f t="shared" si="0"/>
        <v>0.70686000000000027</v>
      </c>
      <c r="I17" s="332">
        <v>1.0993800000000002</v>
      </c>
      <c r="J17" s="332">
        <f t="shared" si="1"/>
        <v>0.39252000000000004</v>
      </c>
    </row>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row r="27" spans="2:10" x14ac:dyDescent="0.25"/>
    <row r="28" spans="2:10" x14ac:dyDescent="0.25"/>
    <row r="29" spans="2:10" x14ac:dyDescent="0.25"/>
    <row r="30" spans="2:10" x14ac:dyDescent="0.25"/>
    <row r="31" spans="2:10" x14ac:dyDescent="0.25"/>
    <row r="32" spans="2:10"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sheetData>
  <mergeCells count="9">
    <mergeCell ref="B14:B17"/>
    <mergeCell ref="B10:B13"/>
    <mergeCell ref="B6:B9"/>
    <mergeCell ref="C8:C9"/>
    <mergeCell ref="C6:C7"/>
    <mergeCell ref="C10:C11"/>
    <mergeCell ref="C12:C13"/>
    <mergeCell ref="C14:C15"/>
    <mergeCell ref="C16:C17"/>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67"/>
  <sheetViews>
    <sheetView zoomScale="50" zoomScaleNormal="50" workbookViewId="0">
      <selection activeCell="I5" sqref="I5"/>
    </sheetView>
  </sheetViews>
  <sheetFormatPr defaultColWidth="0" defaultRowHeight="15.75" zeroHeight="1" x14ac:dyDescent="0.25"/>
  <cols>
    <col min="1" max="1" width="9" style="3" customWidth="1"/>
    <col min="2" max="2" width="36" style="3" bestFit="1" customWidth="1"/>
    <col min="3" max="3" width="81.125" style="3" bestFit="1" customWidth="1"/>
    <col min="4" max="4" width="7.25" style="3" hidden="1" customWidth="1"/>
    <col min="5" max="5" width="16.125" style="3" hidden="1" customWidth="1"/>
    <col min="6" max="6" width="26.375" style="3" bestFit="1" customWidth="1"/>
    <col min="7" max="7" width="10.375" style="3" bestFit="1" customWidth="1"/>
    <col min="8" max="8" width="24.375" style="3" bestFit="1" customWidth="1"/>
    <col min="9" max="10" width="17" style="3" customWidth="1"/>
    <col min="11" max="13" width="10.375" style="3" bestFit="1" customWidth="1"/>
    <col min="14" max="21" width="21.625" style="3" bestFit="1" customWidth="1"/>
    <col min="22" max="29" width="28" style="3" bestFit="1" customWidth="1"/>
    <col min="30" max="37" width="28.625" style="3" bestFit="1" customWidth="1"/>
    <col min="38" max="45" width="31" style="3" bestFit="1" customWidth="1"/>
    <col min="46" max="53" width="32.375" style="3" bestFit="1" customWidth="1"/>
    <col min="54" max="61" width="31.625" style="3" bestFit="1" customWidth="1"/>
    <col min="62" max="69" width="27.375" style="3" bestFit="1" customWidth="1"/>
    <col min="70" max="77" width="28.625" style="3" bestFit="1" customWidth="1"/>
    <col min="78" max="85" width="28" style="3" bestFit="1" customWidth="1"/>
    <col min="86" max="89" width="9" style="3" customWidth="1"/>
    <col min="90" max="16384" width="9" style="3" hidden="1"/>
  </cols>
  <sheetData>
    <row r="1" spans="1:85" x14ac:dyDescent="0.25">
      <c r="A1" s="2" t="s">
        <v>143</v>
      </c>
    </row>
    <row r="2" spans="1:85" x14ac:dyDescent="0.25">
      <c r="A2" s="43" t="s">
        <v>269</v>
      </c>
      <c r="B2" s="2"/>
    </row>
    <row r="3" spans="1:85" x14ac:dyDescent="0.25">
      <c r="B3" s="2"/>
    </row>
    <row r="4" spans="1:85" x14ac:dyDescent="0.25">
      <c r="B4" s="37" t="s">
        <v>492</v>
      </c>
      <c r="E4" s="117"/>
      <c r="F4" s="117"/>
      <c r="G4" s="315" t="s">
        <v>493</v>
      </c>
    </row>
    <row r="5" spans="1:85" x14ac:dyDescent="0.25">
      <c r="B5" s="214" t="s">
        <v>437</v>
      </c>
      <c r="C5" s="215" t="s">
        <v>181</v>
      </c>
      <c r="D5" s="103"/>
      <c r="E5" s="103"/>
    </row>
    <row r="6" spans="1:85" x14ac:dyDescent="0.25">
      <c r="B6" s="214" t="s">
        <v>438</v>
      </c>
      <c r="C6" s="215" t="s">
        <v>430</v>
      </c>
      <c r="D6" s="103"/>
      <c r="E6" s="103"/>
    </row>
    <row r="7" spans="1:85" x14ac:dyDescent="0.25">
      <c r="B7" s="214" t="s">
        <v>439</v>
      </c>
      <c r="C7" s="215" t="s">
        <v>424</v>
      </c>
      <c r="D7" s="103"/>
      <c r="E7" s="103"/>
    </row>
    <row r="8" spans="1:85" x14ac:dyDescent="0.25">
      <c r="B8" s="214" t="s">
        <v>184</v>
      </c>
      <c r="C8" s="215" t="s">
        <v>397</v>
      </c>
      <c r="E8" s="103"/>
      <c r="F8" s="103"/>
    </row>
    <row r="9" spans="1:85" x14ac:dyDescent="0.25">
      <c r="B9" s="2"/>
      <c r="C9" s="103"/>
      <c r="D9" s="103"/>
      <c r="E9" s="103"/>
      <c r="F9" s="103"/>
    </row>
    <row r="10" spans="1:85" ht="16.5" thickBot="1" x14ac:dyDescent="0.3">
      <c r="C10" s="2" t="s">
        <v>193</v>
      </c>
      <c r="D10" s="2"/>
      <c r="E10" s="2"/>
      <c r="H10" s="43" t="str">
        <f>CONCATENATE("Tables and charts are showing results for the ", $C$5, " emissions scenario.")</f>
        <v>Tables and charts are showing results for the High emissions scenario.</v>
      </c>
      <c r="P10" s="43" t="str">
        <f>CONCATENATE("Tables and charts are showing results for the ", $C$5, " emissions scenario.")</f>
        <v>Tables and charts are showing results for the High emissions scenario.</v>
      </c>
      <c r="Z10" s="43" t="str">
        <f>CONCATENATE("Tables and charts are showing results for the ", $C$5, " emissions scenario.")</f>
        <v>Tables and charts are showing results for the High emissions scenario.</v>
      </c>
      <c r="AJ10" s="43" t="str">
        <f>CONCATENATE("Tables and charts are showing results for the ", $C$5, " emissions scenario.")</f>
        <v>Tables and charts are showing results for the High emissions scenario.</v>
      </c>
      <c r="AT10" s="43" t="str">
        <f>CONCATENATE("Tables and charts are showing results for the ", $C$5, " emissions scenario.")</f>
        <v>Tables and charts are showing results for the High emissions scenario.</v>
      </c>
      <c r="BD10" s="43" t="str">
        <f>CONCATENATE("Tables and charts are showing results for the ", $C$5, " emissions scenario.")</f>
        <v>Tables and charts are showing results for the High emissions scenario.</v>
      </c>
      <c r="BN10" s="43" t="str">
        <f>CONCATENATE("Tables and charts are showing results for the ", $C$5, " emissions scenario.")</f>
        <v>Tables and charts are showing results for the High emissions scenario.</v>
      </c>
      <c r="BX10" s="43" t="str">
        <f>CONCATENATE("Tables and charts are showing results for the ", $C$5, " emissions scenario.")</f>
        <v>Tables and charts are showing results for the High emissions scenario.</v>
      </c>
    </row>
    <row r="11" spans="1:85" ht="16.5" thickBot="1" x14ac:dyDescent="0.3">
      <c r="C11" s="74" t="s">
        <v>36</v>
      </c>
      <c r="D11" s="112"/>
      <c r="E11" s="112"/>
      <c r="F11" s="76" t="str">
        <f>LookUps!$C$5</f>
        <v>GWP</v>
      </c>
      <c r="G11" s="76" t="str">
        <f>LookUps!$C$5</f>
        <v>GWP</v>
      </c>
      <c r="H11" s="76" t="str">
        <f>LookUps!$C$5</f>
        <v>GWP</v>
      </c>
      <c r="I11" s="76" t="str">
        <f>LookUps!$C$5</f>
        <v>GWP</v>
      </c>
      <c r="J11" s="76" t="str">
        <f>LookUps!$C$5</f>
        <v>GWP</v>
      </c>
      <c r="K11" s="76" t="str">
        <f>LookUps!$C$5</f>
        <v>GWP</v>
      </c>
      <c r="L11" s="76" t="str">
        <f>LookUps!$C$5</f>
        <v>GWP</v>
      </c>
      <c r="M11" s="76" t="str">
        <f>LookUps!$C$5</f>
        <v>GWP</v>
      </c>
      <c r="N11" s="76" t="str">
        <f>LookUps!$C$5</f>
        <v>GWP</v>
      </c>
      <c r="O11" s="76" t="str">
        <f>LookUps!$C$5</f>
        <v>GWP</v>
      </c>
      <c r="P11" s="76" t="s">
        <v>6</v>
      </c>
      <c r="Q11" s="76" t="str">
        <f>LookUps!$C$6</f>
        <v>EP</v>
      </c>
      <c r="R11" s="76" t="str">
        <f>LookUps!$C$6</f>
        <v>EP</v>
      </c>
      <c r="S11" s="76" t="str">
        <f>LookUps!$C$6</f>
        <v>EP</v>
      </c>
      <c r="T11" s="76" t="str">
        <f>LookUps!$C$6</f>
        <v>EP</v>
      </c>
      <c r="U11" s="76" t="str">
        <f>LookUps!$C$6</f>
        <v>EP</v>
      </c>
      <c r="V11" s="76" t="str">
        <f>LookUps!$C$6</f>
        <v>EP</v>
      </c>
      <c r="W11" s="76" t="str">
        <f>LookUps!$C$6</f>
        <v>EP</v>
      </c>
      <c r="X11" s="76" t="str">
        <f>LookUps!$C$6</f>
        <v>EP</v>
      </c>
      <c r="Y11" s="76" t="str">
        <f>LookUps!$C$6</f>
        <v>EP</v>
      </c>
      <c r="Z11" s="76" t="s">
        <v>39</v>
      </c>
      <c r="AA11" s="76" t="str">
        <f>LookUps!$C$7</f>
        <v>PMFP</v>
      </c>
      <c r="AB11" s="76" t="str">
        <f>LookUps!$C$7</f>
        <v>PMFP</v>
      </c>
      <c r="AC11" s="76" t="str">
        <f>LookUps!$C$7</f>
        <v>PMFP</v>
      </c>
      <c r="AD11" s="76" t="str">
        <f>LookUps!$C$7</f>
        <v>PMFP</v>
      </c>
      <c r="AE11" s="76" t="str">
        <f>LookUps!$C$7</f>
        <v>PMFP</v>
      </c>
      <c r="AF11" s="76" t="str">
        <f>LookUps!$C$7</f>
        <v>PMFP</v>
      </c>
      <c r="AG11" s="76" t="str">
        <f>LookUps!$C$7</f>
        <v>PMFP</v>
      </c>
      <c r="AH11" s="76" t="str">
        <f>LookUps!$C$7</f>
        <v>PMFP</v>
      </c>
      <c r="AI11" s="76" t="str">
        <f>LookUps!$C$7</f>
        <v>PMFP</v>
      </c>
      <c r="AJ11" s="76" t="s">
        <v>40</v>
      </c>
      <c r="AK11" s="76" t="str">
        <f>LookUps!$C$8</f>
        <v>SFP</v>
      </c>
      <c r="AL11" s="76" t="str">
        <f>LookUps!$C$8</f>
        <v>SFP</v>
      </c>
      <c r="AM11" s="76" t="str">
        <f>LookUps!$C$8</f>
        <v>SFP</v>
      </c>
      <c r="AN11" s="76" t="str">
        <f>LookUps!$C$8</f>
        <v>SFP</v>
      </c>
      <c r="AO11" s="76" t="str">
        <f>LookUps!$C$8</f>
        <v>SFP</v>
      </c>
      <c r="AP11" s="76" t="str">
        <f>LookUps!$C$8</f>
        <v>SFP</v>
      </c>
      <c r="AQ11" s="76" t="str">
        <f>LookUps!$C$8</f>
        <v>SFP</v>
      </c>
      <c r="AR11" s="76" t="str">
        <f>LookUps!$C$8</f>
        <v>SFP</v>
      </c>
      <c r="AS11" s="76" t="str">
        <f>LookUps!$C$8</f>
        <v>SFP</v>
      </c>
      <c r="AT11" s="76" t="s">
        <v>9</v>
      </c>
      <c r="AU11" s="76" t="str">
        <f>LookUps!$C$9</f>
        <v>AP</v>
      </c>
      <c r="AV11" s="76" t="str">
        <f>LookUps!$C$9</f>
        <v>AP</v>
      </c>
      <c r="AW11" s="76" t="str">
        <f>LookUps!$C$9</f>
        <v>AP</v>
      </c>
      <c r="AX11" s="76" t="str">
        <f>LookUps!$C$9</f>
        <v>AP</v>
      </c>
      <c r="AY11" s="76" t="str">
        <f>LookUps!$C$9</f>
        <v>AP</v>
      </c>
      <c r="AZ11" s="76" t="str">
        <f>LookUps!$C$9</f>
        <v>AP</v>
      </c>
      <c r="BA11" s="76" t="str">
        <f>LookUps!$C$9</f>
        <v>AP</v>
      </c>
      <c r="BB11" s="76" t="str">
        <f>LookUps!$C$9</f>
        <v>AP</v>
      </c>
      <c r="BC11" s="76" t="str">
        <f>LookUps!$C$9</f>
        <v>AP</v>
      </c>
      <c r="BD11" s="76" t="str">
        <f>LookUps!$C$10</f>
        <v>WU</v>
      </c>
      <c r="BE11" s="76" t="str">
        <f>LookUps!$C$10</f>
        <v>WU</v>
      </c>
      <c r="BF11" s="76" t="str">
        <f>LookUps!$C$10</f>
        <v>WU</v>
      </c>
      <c r="BG11" s="76" t="str">
        <f>LookUps!$C$10</f>
        <v>WU</v>
      </c>
      <c r="BH11" s="76" t="str">
        <f>LookUps!$C$10</f>
        <v>WU</v>
      </c>
      <c r="BI11" s="76" t="str">
        <f>LookUps!$C$10</f>
        <v>WU</v>
      </c>
      <c r="BJ11" s="76" t="str">
        <f>LookUps!$C$10</f>
        <v>WU</v>
      </c>
      <c r="BK11" s="76" t="str">
        <f>LookUps!$C$10</f>
        <v>WU</v>
      </c>
      <c r="BL11" s="76" t="str">
        <f>LookUps!$C$10</f>
        <v>WU</v>
      </c>
      <c r="BM11" s="76" t="str">
        <f>LookUps!$C$10</f>
        <v>WU</v>
      </c>
      <c r="BN11" s="76" t="s">
        <v>42</v>
      </c>
      <c r="BO11" s="76" t="str">
        <f>LookUps!$C$11</f>
        <v>FDP</v>
      </c>
      <c r="BP11" s="76" t="str">
        <f>LookUps!$C$11</f>
        <v>FDP</v>
      </c>
      <c r="BQ11" s="76" t="str">
        <f>LookUps!$C$11</f>
        <v>FDP</v>
      </c>
      <c r="BR11" s="76" t="str">
        <f>LookUps!$C$11</f>
        <v>FDP</v>
      </c>
      <c r="BS11" s="76" t="str">
        <f>LookUps!$C$11</f>
        <v>FDP</v>
      </c>
      <c r="BT11" s="76" t="str">
        <f>LookUps!$C$11</f>
        <v>FDP</v>
      </c>
      <c r="BU11" s="76" t="str">
        <f>LookUps!$C$11</f>
        <v>FDP</v>
      </c>
      <c r="BV11" s="76" t="str">
        <f>LookUps!$C$11</f>
        <v>FDP</v>
      </c>
      <c r="BW11" s="76" t="str">
        <f>LookUps!$C$11</f>
        <v>FDP</v>
      </c>
      <c r="BX11" s="76" t="s">
        <v>8</v>
      </c>
      <c r="BY11" s="76" t="str">
        <f>LookUps!$C$12</f>
        <v>CED</v>
      </c>
      <c r="BZ11" s="76" t="str">
        <f>LookUps!$C$12</f>
        <v>CED</v>
      </c>
      <c r="CA11" s="76" t="str">
        <f>LookUps!$C$12</f>
        <v>CED</v>
      </c>
      <c r="CB11" s="76" t="str">
        <f>LookUps!$C$12</f>
        <v>CED</v>
      </c>
      <c r="CC11" s="76" t="str">
        <f>LookUps!$C$12</f>
        <v>CED</v>
      </c>
      <c r="CD11" s="76" t="str">
        <f>LookUps!$C$12</f>
        <v>CED</v>
      </c>
      <c r="CE11" s="76" t="str">
        <f>LookUps!$C$12</f>
        <v>CED</v>
      </c>
      <c r="CF11" s="76" t="str">
        <f>LookUps!$C$12</f>
        <v>CED</v>
      </c>
      <c r="CG11" s="77" t="str">
        <f>LookUps!$C$12</f>
        <v>CED</v>
      </c>
    </row>
    <row r="12" spans="1:85" ht="16.5" thickBot="1" x14ac:dyDescent="0.3">
      <c r="C12" s="74" t="s">
        <v>215</v>
      </c>
      <c r="D12" s="113"/>
      <c r="E12" s="113"/>
      <c r="F12" s="76" t="s">
        <v>130</v>
      </c>
      <c r="G12" s="76" t="s">
        <v>133</v>
      </c>
      <c r="H12" s="76" t="s">
        <v>130</v>
      </c>
      <c r="I12" s="76" t="s">
        <v>134</v>
      </c>
      <c r="J12" s="76" t="s">
        <v>135</v>
      </c>
      <c r="K12" s="76" t="s">
        <v>136</v>
      </c>
      <c r="L12" s="76" t="s">
        <v>137</v>
      </c>
      <c r="M12" s="76" t="s">
        <v>138</v>
      </c>
      <c r="N12" s="76" t="s">
        <v>139</v>
      </c>
      <c r="O12" s="76" t="s">
        <v>140</v>
      </c>
      <c r="P12" s="76" t="s">
        <v>130</v>
      </c>
      <c r="Q12" s="76" t="s">
        <v>133</v>
      </c>
      <c r="R12" s="76" t="s">
        <v>130</v>
      </c>
      <c r="S12" s="76" t="s">
        <v>134</v>
      </c>
      <c r="T12" s="76" t="s">
        <v>135</v>
      </c>
      <c r="U12" s="76" t="s">
        <v>136</v>
      </c>
      <c r="V12" s="76" t="s">
        <v>137</v>
      </c>
      <c r="W12" s="76" t="s">
        <v>138</v>
      </c>
      <c r="X12" s="76" t="s">
        <v>139</v>
      </c>
      <c r="Y12" s="76" t="s">
        <v>140</v>
      </c>
      <c r="Z12" s="76" t="s">
        <v>130</v>
      </c>
      <c r="AA12" s="76" t="s">
        <v>133</v>
      </c>
      <c r="AB12" s="76" t="s">
        <v>130</v>
      </c>
      <c r="AC12" s="76" t="s">
        <v>134</v>
      </c>
      <c r="AD12" s="76" t="s">
        <v>135</v>
      </c>
      <c r="AE12" s="76" t="s">
        <v>136</v>
      </c>
      <c r="AF12" s="76" t="s">
        <v>137</v>
      </c>
      <c r="AG12" s="76" t="s">
        <v>138</v>
      </c>
      <c r="AH12" s="76" t="s">
        <v>139</v>
      </c>
      <c r="AI12" s="76" t="s">
        <v>140</v>
      </c>
      <c r="AJ12" s="76" t="s">
        <v>130</v>
      </c>
      <c r="AK12" s="76" t="s">
        <v>133</v>
      </c>
      <c r="AL12" s="76" t="s">
        <v>130</v>
      </c>
      <c r="AM12" s="76" t="s">
        <v>134</v>
      </c>
      <c r="AN12" s="76" t="s">
        <v>135</v>
      </c>
      <c r="AO12" s="76" t="s">
        <v>136</v>
      </c>
      <c r="AP12" s="76" t="s">
        <v>137</v>
      </c>
      <c r="AQ12" s="76" t="s">
        <v>138</v>
      </c>
      <c r="AR12" s="76" t="s">
        <v>139</v>
      </c>
      <c r="AS12" s="76" t="s">
        <v>140</v>
      </c>
      <c r="AT12" s="76" t="s">
        <v>130</v>
      </c>
      <c r="AU12" s="76" t="s">
        <v>133</v>
      </c>
      <c r="AV12" s="76" t="s">
        <v>130</v>
      </c>
      <c r="AW12" s="76" t="s">
        <v>134</v>
      </c>
      <c r="AX12" s="76" t="s">
        <v>135</v>
      </c>
      <c r="AY12" s="76" t="s">
        <v>136</v>
      </c>
      <c r="AZ12" s="76" t="s">
        <v>137</v>
      </c>
      <c r="BA12" s="76" t="s">
        <v>138</v>
      </c>
      <c r="BB12" s="76" t="s">
        <v>139</v>
      </c>
      <c r="BC12" s="76" t="s">
        <v>140</v>
      </c>
      <c r="BD12" s="76" t="s">
        <v>130</v>
      </c>
      <c r="BE12" s="76" t="s">
        <v>133</v>
      </c>
      <c r="BF12" s="76" t="s">
        <v>130</v>
      </c>
      <c r="BG12" s="76" t="s">
        <v>134</v>
      </c>
      <c r="BH12" s="76" t="s">
        <v>135</v>
      </c>
      <c r="BI12" s="76" t="s">
        <v>136</v>
      </c>
      <c r="BJ12" s="76" t="s">
        <v>137</v>
      </c>
      <c r="BK12" s="76" t="s">
        <v>138</v>
      </c>
      <c r="BL12" s="76" t="s">
        <v>139</v>
      </c>
      <c r="BM12" s="76" t="s">
        <v>140</v>
      </c>
      <c r="BN12" s="76" t="s">
        <v>130</v>
      </c>
      <c r="BO12" s="76" t="s">
        <v>133</v>
      </c>
      <c r="BP12" s="76" t="s">
        <v>130</v>
      </c>
      <c r="BQ12" s="76" t="s">
        <v>134</v>
      </c>
      <c r="BR12" s="76" t="s">
        <v>135</v>
      </c>
      <c r="BS12" s="76" t="s">
        <v>136</v>
      </c>
      <c r="BT12" s="76" t="s">
        <v>137</v>
      </c>
      <c r="BU12" s="76" t="s">
        <v>138</v>
      </c>
      <c r="BV12" s="76" t="s">
        <v>139</v>
      </c>
      <c r="BW12" s="76" t="s">
        <v>140</v>
      </c>
      <c r="BX12" s="76" t="s">
        <v>130</v>
      </c>
      <c r="BY12" s="76" t="s">
        <v>133</v>
      </c>
      <c r="BZ12" s="76" t="s">
        <v>130</v>
      </c>
      <c r="CA12" s="76" t="s">
        <v>134</v>
      </c>
      <c r="CB12" s="76" t="s">
        <v>135</v>
      </c>
      <c r="CC12" s="76" t="s">
        <v>136</v>
      </c>
      <c r="CD12" s="76" t="s">
        <v>137</v>
      </c>
      <c r="CE12" s="76" t="s">
        <v>138</v>
      </c>
      <c r="CF12" s="76" t="s">
        <v>139</v>
      </c>
      <c r="CG12" s="77" t="s">
        <v>140</v>
      </c>
    </row>
    <row r="13" spans="1:85" ht="16.5" thickBot="1" x14ac:dyDescent="0.3">
      <c r="C13" s="75" t="s">
        <v>116</v>
      </c>
      <c r="D13" s="114" t="s">
        <v>185</v>
      </c>
      <c r="E13" s="114" t="s">
        <v>186</v>
      </c>
      <c r="F13" s="78" t="s">
        <v>45</v>
      </c>
      <c r="G13" s="78" t="str">
        <f>CONCATENATE("Upgraded - ", G12)</f>
        <v>Upgraded - Base_Low</v>
      </c>
      <c r="H13" s="78" t="str">
        <f t="shared" ref="H13:N13" si="0">CONCATENATE("Upgraded - ", H12)</f>
        <v>Upgraded - Base</v>
      </c>
      <c r="I13" s="78" t="str">
        <f t="shared" si="0"/>
        <v>Upgraded - Base_High</v>
      </c>
      <c r="J13" s="78" t="str">
        <f t="shared" si="0"/>
        <v>Upgraded - Medium_Low</v>
      </c>
      <c r="K13" s="78" t="str">
        <f t="shared" si="0"/>
        <v>Upgraded - Medium_Base</v>
      </c>
      <c r="L13" s="78" t="str">
        <f t="shared" si="0"/>
        <v>Upgraded - Medium_High</v>
      </c>
      <c r="M13" s="78" t="str">
        <f t="shared" si="0"/>
        <v>Upgraded - High_Low</v>
      </c>
      <c r="N13" s="78" t="str">
        <f t="shared" si="0"/>
        <v>Upgraded - High_Base</v>
      </c>
      <c r="O13" s="78" t="str">
        <f t="shared" ref="O13" si="1">CONCATENATE("Upgraded - ", O12)</f>
        <v>Upgraded - High_High</v>
      </c>
      <c r="P13" s="78" t="s">
        <v>45</v>
      </c>
      <c r="Q13" s="78" t="str">
        <f t="shared" ref="Q13" si="2">CONCATENATE("Upgraded - ", Q12)</f>
        <v>Upgraded - Base_Low</v>
      </c>
      <c r="R13" s="78" t="str">
        <f t="shared" ref="R13" si="3">CONCATENATE("Upgraded - ", R12)</f>
        <v>Upgraded - Base</v>
      </c>
      <c r="S13" s="78" t="str">
        <f t="shared" ref="S13" si="4">CONCATENATE("Upgraded - ", S12)</f>
        <v>Upgraded - Base_High</v>
      </c>
      <c r="T13" s="78" t="str">
        <f t="shared" ref="T13" si="5">CONCATENATE("Upgraded - ", T12)</f>
        <v>Upgraded - Medium_Low</v>
      </c>
      <c r="U13" s="78" t="str">
        <f t="shared" ref="U13" si="6">CONCATENATE("Upgraded - ", U12)</f>
        <v>Upgraded - Medium_Base</v>
      </c>
      <c r="V13" s="78" t="str">
        <f t="shared" ref="V13" si="7">CONCATENATE("Upgraded - ", V12)</f>
        <v>Upgraded - Medium_High</v>
      </c>
      <c r="W13" s="78" t="str">
        <f t="shared" ref="W13" si="8">CONCATENATE("Upgraded - ", W12)</f>
        <v>Upgraded - High_Low</v>
      </c>
      <c r="X13" s="78" t="str">
        <f t="shared" ref="X13" si="9">CONCATENATE("Upgraded - ", X12)</f>
        <v>Upgraded - High_Base</v>
      </c>
      <c r="Y13" s="78" t="str">
        <f t="shared" ref="Y13" si="10">CONCATENATE("Upgraded - ", Y12)</f>
        <v>Upgraded - High_High</v>
      </c>
      <c r="Z13" s="78" t="s">
        <v>45</v>
      </c>
      <c r="AA13" s="78" t="str">
        <f t="shared" ref="AA13" si="11">CONCATENATE("Upgraded - ", AA12)</f>
        <v>Upgraded - Base_Low</v>
      </c>
      <c r="AB13" s="78" t="str">
        <f t="shared" ref="AB13" si="12">CONCATENATE("Upgraded - ", AB12)</f>
        <v>Upgraded - Base</v>
      </c>
      <c r="AC13" s="78" t="str">
        <f t="shared" ref="AC13" si="13">CONCATENATE("Upgraded - ", AC12)</f>
        <v>Upgraded - Base_High</v>
      </c>
      <c r="AD13" s="78" t="str">
        <f t="shared" ref="AD13" si="14">CONCATENATE("Upgraded - ", AD12)</f>
        <v>Upgraded - Medium_Low</v>
      </c>
      <c r="AE13" s="78" t="str">
        <f t="shared" ref="AE13" si="15">CONCATENATE("Upgraded - ", AE12)</f>
        <v>Upgraded - Medium_Base</v>
      </c>
      <c r="AF13" s="78" t="str">
        <f t="shared" ref="AF13" si="16">CONCATENATE("Upgraded - ", AF12)</f>
        <v>Upgraded - Medium_High</v>
      </c>
      <c r="AG13" s="78" t="str">
        <f t="shared" ref="AG13" si="17">CONCATENATE("Upgraded - ", AG12)</f>
        <v>Upgraded - High_Low</v>
      </c>
      <c r="AH13" s="78" t="str">
        <f t="shared" ref="AH13" si="18">CONCATENATE("Upgraded - ", AH12)</f>
        <v>Upgraded - High_Base</v>
      </c>
      <c r="AI13" s="78" t="str">
        <f t="shared" ref="AI13" si="19">CONCATENATE("Upgraded - ", AI12)</f>
        <v>Upgraded - High_High</v>
      </c>
      <c r="AJ13" s="78" t="s">
        <v>45</v>
      </c>
      <c r="AK13" s="78" t="str">
        <f t="shared" ref="AK13" si="20">CONCATENATE("Upgraded - ", AK12)</f>
        <v>Upgraded - Base_Low</v>
      </c>
      <c r="AL13" s="78" t="str">
        <f t="shared" ref="AL13" si="21">CONCATENATE("Upgraded - ", AL12)</f>
        <v>Upgraded - Base</v>
      </c>
      <c r="AM13" s="78" t="str">
        <f t="shared" ref="AM13" si="22">CONCATENATE("Upgraded - ", AM12)</f>
        <v>Upgraded - Base_High</v>
      </c>
      <c r="AN13" s="78" t="str">
        <f t="shared" ref="AN13" si="23">CONCATENATE("Upgraded - ", AN12)</f>
        <v>Upgraded - Medium_Low</v>
      </c>
      <c r="AO13" s="78" t="str">
        <f t="shared" ref="AO13" si="24">CONCATENATE("Upgraded - ", AO12)</f>
        <v>Upgraded - Medium_Base</v>
      </c>
      <c r="AP13" s="78" t="str">
        <f t="shared" ref="AP13" si="25">CONCATENATE("Upgraded - ", AP12)</f>
        <v>Upgraded - Medium_High</v>
      </c>
      <c r="AQ13" s="78" t="str">
        <f t="shared" ref="AQ13" si="26">CONCATENATE("Upgraded - ", AQ12)</f>
        <v>Upgraded - High_Low</v>
      </c>
      <c r="AR13" s="78" t="str">
        <f t="shared" ref="AR13" si="27">CONCATENATE("Upgraded - ", AR12)</f>
        <v>Upgraded - High_Base</v>
      </c>
      <c r="AS13" s="78" t="str">
        <f t="shared" ref="AS13" si="28">CONCATENATE("Upgraded - ", AS12)</f>
        <v>Upgraded - High_High</v>
      </c>
      <c r="AT13" s="78" t="s">
        <v>45</v>
      </c>
      <c r="AU13" s="78" t="str">
        <f t="shared" ref="AU13" si="29">CONCATENATE("Upgraded - ", AU12)</f>
        <v>Upgraded - Base_Low</v>
      </c>
      <c r="AV13" s="78" t="str">
        <f t="shared" ref="AV13" si="30">CONCATENATE("Upgraded - ", AV12)</f>
        <v>Upgraded - Base</v>
      </c>
      <c r="AW13" s="78" t="str">
        <f t="shared" ref="AW13" si="31">CONCATENATE("Upgraded - ", AW12)</f>
        <v>Upgraded - Base_High</v>
      </c>
      <c r="AX13" s="78" t="str">
        <f t="shared" ref="AX13" si="32">CONCATENATE("Upgraded - ", AX12)</f>
        <v>Upgraded - Medium_Low</v>
      </c>
      <c r="AY13" s="78" t="str">
        <f t="shared" ref="AY13" si="33">CONCATENATE("Upgraded - ", AY12)</f>
        <v>Upgraded - Medium_Base</v>
      </c>
      <c r="AZ13" s="78" t="str">
        <f t="shared" ref="AZ13" si="34">CONCATENATE("Upgraded - ", AZ12)</f>
        <v>Upgraded - Medium_High</v>
      </c>
      <c r="BA13" s="78" t="str">
        <f t="shared" ref="BA13" si="35">CONCATENATE("Upgraded - ", BA12)</f>
        <v>Upgraded - High_Low</v>
      </c>
      <c r="BB13" s="78" t="str">
        <f t="shared" ref="BB13" si="36">CONCATENATE("Upgraded - ", BB12)</f>
        <v>Upgraded - High_Base</v>
      </c>
      <c r="BC13" s="78" t="str">
        <f t="shared" ref="BC13" si="37">CONCATENATE("Upgraded - ", BC12)</f>
        <v>Upgraded - High_High</v>
      </c>
      <c r="BD13" s="78" t="s">
        <v>45</v>
      </c>
      <c r="BE13" s="78" t="str">
        <f t="shared" ref="BE13" si="38">CONCATENATE("Upgraded - ", BE12)</f>
        <v>Upgraded - Base_Low</v>
      </c>
      <c r="BF13" s="78" t="str">
        <f t="shared" ref="BF13" si="39">CONCATENATE("Upgraded - ", BF12)</f>
        <v>Upgraded - Base</v>
      </c>
      <c r="BG13" s="78" t="str">
        <f t="shared" ref="BG13" si="40">CONCATENATE("Upgraded - ", BG12)</f>
        <v>Upgraded - Base_High</v>
      </c>
      <c r="BH13" s="78" t="str">
        <f t="shared" ref="BH13" si="41">CONCATENATE("Upgraded - ", BH12)</f>
        <v>Upgraded - Medium_Low</v>
      </c>
      <c r="BI13" s="78" t="str">
        <f t="shared" ref="BI13" si="42">CONCATENATE("Upgraded - ", BI12)</f>
        <v>Upgraded - Medium_Base</v>
      </c>
      <c r="BJ13" s="78" t="str">
        <f t="shared" ref="BJ13" si="43">CONCATENATE("Upgraded - ", BJ12)</f>
        <v>Upgraded - Medium_High</v>
      </c>
      <c r="BK13" s="78" t="str">
        <f t="shared" ref="BK13" si="44">CONCATENATE("Upgraded - ", BK12)</f>
        <v>Upgraded - High_Low</v>
      </c>
      <c r="BL13" s="78" t="str">
        <f t="shared" ref="BL13" si="45">CONCATENATE("Upgraded - ", BL12)</f>
        <v>Upgraded - High_Base</v>
      </c>
      <c r="BM13" s="78" t="str">
        <f t="shared" ref="BM13" si="46">CONCATENATE("Upgraded - ", BM12)</f>
        <v>Upgraded - High_High</v>
      </c>
      <c r="BN13" s="78" t="s">
        <v>45</v>
      </c>
      <c r="BO13" s="78" t="str">
        <f t="shared" ref="BO13" si="47">CONCATENATE("Upgraded - ", BO12)</f>
        <v>Upgraded - Base_Low</v>
      </c>
      <c r="BP13" s="78" t="str">
        <f t="shared" ref="BP13" si="48">CONCATENATE("Upgraded - ", BP12)</f>
        <v>Upgraded - Base</v>
      </c>
      <c r="BQ13" s="78" t="str">
        <f t="shared" ref="BQ13" si="49">CONCATENATE("Upgraded - ", BQ12)</f>
        <v>Upgraded - Base_High</v>
      </c>
      <c r="BR13" s="78" t="str">
        <f t="shared" ref="BR13" si="50">CONCATENATE("Upgraded - ", BR12)</f>
        <v>Upgraded - Medium_Low</v>
      </c>
      <c r="BS13" s="78" t="str">
        <f t="shared" ref="BS13" si="51">CONCATENATE("Upgraded - ", BS12)</f>
        <v>Upgraded - Medium_Base</v>
      </c>
      <c r="BT13" s="78" t="str">
        <f t="shared" ref="BT13" si="52">CONCATENATE("Upgraded - ", BT12)</f>
        <v>Upgraded - Medium_High</v>
      </c>
      <c r="BU13" s="78" t="str">
        <f t="shared" ref="BU13" si="53">CONCATENATE("Upgraded - ", BU12)</f>
        <v>Upgraded - High_Low</v>
      </c>
      <c r="BV13" s="78" t="str">
        <f t="shared" ref="BV13" si="54">CONCATENATE("Upgraded - ", BV12)</f>
        <v>Upgraded - High_Base</v>
      </c>
      <c r="BW13" s="78" t="str">
        <f t="shared" ref="BW13" si="55">CONCATENATE("Upgraded - ", BW12)</f>
        <v>Upgraded - High_High</v>
      </c>
      <c r="BX13" s="78" t="s">
        <v>45</v>
      </c>
      <c r="BY13" s="78" t="str">
        <f t="shared" ref="BY13" si="56">CONCATENATE("Upgraded - ", BY12)</f>
        <v>Upgraded - Base_Low</v>
      </c>
      <c r="BZ13" s="78" t="str">
        <f t="shared" ref="BZ13" si="57">CONCATENATE("Upgraded - ", BZ12)</f>
        <v>Upgraded - Base</v>
      </c>
      <c r="CA13" s="78" t="str">
        <f t="shared" ref="CA13" si="58">CONCATENATE("Upgraded - ", CA12)</f>
        <v>Upgraded - Base_High</v>
      </c>
      <c r="CB13" s="78" t="str">
        <f t="shared" ref="CB13" si="59">CONCATENATE("Upgraded - ", CB12)</f>
        <v>Upgraded - Medium_Low</v>
      </c>
      <c r="CC13" s="78" t="str">
        <f t="shared" ref="CC13" si="60">CONCATENATE("Upgraded - ", CC12)</f>
        <v>Upgraded - Medium_Base</v>
      </c>
      <c r="CD13" s="78" t="str">
        <f t="shared" ref="CD13" si="61">CONCATENATE("Upgraded - ", CD12)</f>
        <v>Upgraded - Medium_High</v>
      </c>
      <c r="CE13" s="78" t="str">
        <f t="shared" ref="CE13" si="62">CONCATENATE("Upgraded - ", CE12)</f>
        <v>Upgraded - High_Low</v>
      </c>
      <c r="CF13" s="78" t="str">
        <f t="shared" ref="CF13" si="63">CONCATENATE("Upgraded - ", CF12)</f>
        <v>Upgraded - High_Base</v>
      </c>
      <c r="CG13" s="79" t="str">
        <f t="shared" ref="CG13" si="64">CONCATENATE("Upgraded - ", CG12)</f>
        <v>Upgraded - High_High</v>
      </c>
    </row>
    <row r="14" spans="1:85" x14ac:dyDescent="0.25">
      <c r="B14" s="362" t="s">
        <v>142</v>
      </c>
      <c r="C14" s="82" t="str">
        <f>LookUps!$G$5</f>
        <v>Wastewater collection; operation and infrastructure; m3 wastewater</v>
      </c>
      <c r="D14" s="115" t="str">
        <f>LookUps!G5</f>
        <v>Wastewater collection; operation and infrastructure; m3 wastewater</v>
      </c>
      <c r="E14" s="104" t="str">
        <f>LookUps!H5</f>
        <v>Wastewater collection; operation and infrastructure; m3 wastewater</v>
      </c>
      <c r="F14" s="256">
        <f>INDEX(OpenLCAbasic!$J:$J, MATCH(CONCATENATE("Base","_", 'AD Scenarios'!F$12,"_","Legacy_",INDEX(LookUps!$E$5:$E$12,MATCH('AD Scenarios'!F$11, LookUps!$C$5:$C$12,0)),"_", 'AD Scenarios'!$E14,"_", $C$8,"_","n.a." ), OpenLCAbasic!$M:$M,0))</f>
        <v>1.3509999999999999E-2</v>
      </c>
      <c r="G14" s="256">
        <f>INDEX(OpenLCAbasic!$J:$J, MATCH(CONCATENATE($C$5,"_", 'AD Scenarios'!G$12,"_","Upgraded_",INDEX(LookUps!$E$5:$E$12,MATCH('AD Scenarios'!G$11, LookUps!$C$5:$C$12,0)),"_", 'AD Scenarios'!$D14,"_", $C$7, "_", $C$6), OpenLCAbasic!$M:$M,0))</f>
        <v>1.3509999999999999E-2</v>
      </c>
      <c r="H14" s="256">
        <f>INDEX(OpenLCAbasic!$J:$J, MATCH(CONCATENATE($C$5,"_", 'AD Scenarios'!H$12,"_","Upgraded_",INDEX(LookUps!$E$5:$E$12,MATCH('AD Scenarios'!H$11, LookUps!$C$5:$C$12,0)),"_", 'AD Scenarios'!$D14,"_", $C$7, "_", $C$6), OpenLCAbasic!$M:$M,0))</f>
        <v>1.3509999999999999E-2</v>
      </c>
      <c r="I14" s="256">
        <f>INDEX(OpenLCAbasic!$J:$J, MATCH(CONCATENATE($C$5,"_", 'AD Scenarios'!I$12,"_","Upgraded_",INDEX(LookUps!$E$5:$E$12,MATCH('AD Scenarios'!I$11, LookUps!$C$5:$C$12,0)),"_", 'AD Scenarios'!$D14,"_", $C$7, "_", $C$6), OpenLCAbasic!$M:$M,0))</f>
        <v>1.3509999999999999E-2</v>
      </c>
      <c r="J14" s="256">
        <f>INDEX(OpenLCAbasic!$J:$J, MATCH(CONCATENATE($C$5,"_", 'AD Scenarios'!J$12,"_","Upgraded_",INDEX(LookUps!$E$5:$E$12,MATCH('AD Scenarios'!J$11, LookUps!$C$5:$C$12,0)),"_", 'AD Scenarios'!$D14,"_", $C$7, "_", $C$6), OpenLCAbasic!$M:$M,0))</f>
        <v>1.3509999999999999E-2</v>
      </c>
      <c r="K14" s="256">
        <f>INDEX(OpenLCAbasic!$J:$J, MATCH(CONCATENATE($C$5,"_", 'AD Scenarios'!K$12,"_","Upgraded_",INDEX(LookUps!$E$5:$E$12,MATCH('AD Scenarios'!K$11, LookUps!$C$5:$C$12,0)),"_", 'AD Scenarios'!$D14,"_", $C$7, "_", $C$6), OpenLCAbasic!$M:$M,0))</f>
        <v>1.3509999999999999E-2</v>
      </c>
      <c r="L14" s="256">
        <f>INDEX(OpenLCAbasic!$J:$J, MATCH(CONCATENATE($C$5,"_", 'AD Scenarios'!L$12,"_","Upgraded_",INDEX(LookUps!$E$5:$E$12,MATCH('AD Scenarios'!L$11, LookUps!$C$5:$C$12,0)),"_", 'AD Scenarios'!$D14,"_", $C$7, "_", $C$6), OpenLCAbasic!$M:$M,0))</f>
        <v>1.3509999999999999E-2</v>
      </c>
      <c r="M14" s="256">
        <f>INDEX(OpenLCAbasic!$J:$J, MATCH(CONCATENATE($C$5,"_", 'AD Scenarios'!M$12,"_","Upgraded_",INDEX(LookUps!$E$5:$E$12,MATCH('AD Scenarios'!M$11, LookUps!$C$5:$C$12,0)),"_", 'AD Scenarios'!$D14,"_", $C$7, "_", $C$6), OpenLCAbasic!$M:$M,0))</f>
        <v>1.3509999999999999E-2</v>
      </c>
      <c r="N14" s="256">
        <f>INDEX(OpenLCAbasic!$J:$J, MATCH(CONCATENATE($C$5,"_", 'AD Scenarios'!N$12,"_","Upgraded_",INDEX(LookUps!$E$5:$E$12,MATCH('AD Scenarios'!N$11, LookUps!$C$5:$C$12,0)),"_", 'AD Scenarios'!$D14,"_", $C$7, "_", $C$6), OpenLCAbasic!$M:$M,0))</f>
        <v>1.3509999999999999E-2</v>
      </c>
      <c r="O14" s="256">
        <f>INDEX(OpenLCAbasic!$J:$J, MATCH(CONCATENATE($C$5,"_", 'AD Scenarios'!O$12,"_","Upgraded_",INDEX(LookUps!$E$5:$E$12,MATCH('AD Scenarios'!O$11, LookUps!$C$5:$C$12,0)),"_", 'AD Scenarios'!$D14,"_", $C$7, "_", $C$6), OpenLCAbasic!$M:$M,0))</f>
        <v>1.3509999999999999E-2</v>
      </c>
      <c r="P14" s="257">
        <f>INDEX(OpenLCAbasic!$J:$J, MATCH(CONCATENATE("Base","_", 'AD Scenarios'!P$12,"_","Legacy_",INDEX(LookUps!$E$5:$E$12,MATCH('AD Scenarios'!P$11, LookUps!$C$5:$C$12,0)),"_", 'AD Scenarios'!$E14,"_", $C$8,"_","n.a." ), OpenLCAbasic!$M:$M,0))</f>
        <v>3.7559799999999999E-5</v>
      </c>
      <c r="Q14" s="257">
        <f>INDEX(OpenLCAbasic!$J:$J, MATCH(CONCATENATE($C$5,"_", 'AD Scenarios'!Q$12,"_","Upgraded_",INDEX(LookUps!$E$5:$E$12,MATCH('AD Scenarios'!Q$11, LookUps!$C$5:$C$12,0)),"_", 'AD Scenarios'!$D14,"_", $C$7, "_", $C$6), OpenLCAbasic!$M:$M,0))</f>
        <v>3.7559799999999999E-5</v>
      </c>
      <c r="R14" s="257">
        <f>INDEX(OpenLCAbasic!$J:$J, MATCH(CONCATENATE($C$5,"_", 'AD Scenarios'!R$12,"_","Upgraded_",INDEX(LookUps!$E$5:$E$12,MATCH('AD Scenarios'!R$11, LookUps!$C$5:$C$12,0)),"_", 'AD Scenarios'!$D14,"_", $C$7, "_", $C$6), OpenLCAbasic!$M:$M,0))</f>
        <v>3.7559799999999999E-5</v>
      </c>
      <c r="S14" s="257">
        <f>INDEX(OpenLCAbasic!$J:$J, MATCH(CONCATENATE($C$5,"_", 'AD Scenarios'!S$12,"_","Upgraded_",INDEX(LookUps!$E$5:$E$12,MATCH('AD Scenarios'!S$11, LookUps!$C$5:$C$12,0)),"_", 'AD Scenarios'!$D14,"_", $C$7, "_", $C$6), OpenLCAbasic!$M:$M,0))</f>
        <v>3.7559799999999999E-5</v>
      </c>
      <c r="T14" s="257">
        <f>INDEX(OpenLCAbasic!$J:$J, MATCH(CONCATENATE($C$5,"_", 'AD Scenarios'!T$12,"_","Upgraded_",INDEX(LookUps!$E$5:$E$12,MATCH('AD Scenarios'!T$11, LookUps!$C$5:$C$12,0)),"_", 'AD Scenarios'!$D14,"_", $C$7, "_", $C$6), OpenLCAbasic!$M:$M,0))</f>
        <v>3.7559799999999999E-5</v>
      </c>
      <c r="U14" s="257">
        <f>INDEX(OpenLCAbasic!$J:$J, MATCH(CONCATENATE($C$5,"_", 'AD Scenarios'!U$12,"_","Upgraded_",INDEX(LookUps!$E$5:$E$12,MATCH('AD Scenarios'!U$11, LookUps!$C$5:$C$12,0)),"_", 'AD Scenarios'!$D14,"_", $C$7, "_", $C$6), OpenLCAbasic!$M:$M,0))</f>
        <v>3.7559799999999999E-5</v>
      </c>
      <c r="V14" s="257">
        <f>INDEX(OpenLCAbasic!$J:$J, MATCH(CONCATENATE($C$5,"_", 'AD Scenarios'!V$12,"_","Upgraded_",INDEX(LookUps!$E$5:$E$12,MATCH('AD Scenarios'!V$11, LookUps!$C$5:$C$12,0)),"_", 'AD Scenarios'!$D14,"_", $C$7, "_", $C$6), OpenLCAbasic!$M:$M,0))</f>
        <v>3.7559799999999999E-5</v>
      </c>
      <c r="W14" s="257">
        <f>INDEX(OpenLCAbasic!$J:$J, MATCH(CONCATENATE($C$5,"_", 'AD Scenarios'!W$12,"_","Upgraded_",INDEX(LookUps!$E$5:$E$12,MATCH('AD Scenarios'!W$11, LookUps!$C$5:$C$12,0)),"_", 'AD Scenarios'!$D14,"_", $C$7, "_", $C$6), OpenLCAbasic!$M:$M,0))</f>
        <v>3.7559799999999999E-5</v>
      </c>
      <c r="X14" s="257">
        <f>INDEX(OpenLCAbasic!$J:$J, MATCH(CONCATENATE($C$5,"_", 'AD Scenarios'!X$12,"_","Upgraded_",INDEX(LookUps!$E$5:$E$12,MATCH('AD Scenarios'!X$11, LookUps!$C$5:$C$12,0)),"_", 'AD Scenarios'!$D14,"_", $C$7, "_", $C$6), OpenLCAbasic!$M:$M,0))</f>
        <v>3.7559799999999999E-5</v>
      </c>
      <c r="Y14" s="257">
        <f>INDEX(OpenLCAbasic!$J:$J, MATCH(CONCATENATE($C$5,"_", 'AD Scenarios'!Y$12,"_","Upgraded_",INDEX(LookUps!$E$5:$E$12,MATCH('AD Scenarios'!Y$11, LookUps!$C$5:$C$12,0)),"_", 'AD Scenarios'!$D14,"_", $C$7, "_", $C$6), OpenLCAbasic!$M:$M,0))</f>
        <v>3.7559799999999999E-5</v>
      </c>
      <c r="Z14" s="257">
        <f>INDEX(OpenLCAbasic!$J:$J, MATCH(CONCATENATE("Base","_", 'AD Scenarios'!Z$12,"_","Legacy_",INDEX(LookUps!$E$5:$E$12,MATCH('AD Scenarios'!Z$11, LookUps!$C$5:$C$12,0)),"_", 'AD Scenarios'!$E14,"_", $C$8,"_","n.a." ), OpenLCAbasic!$M:$M,0))</f>
        <v>1.7000000000000001E-4</v>
      </c>
      <c r="AA14" s="257">
        <f>INDEX(OpenLCAbasic!$J:$J, MATCH(CONCATENATE($C$5,"_", 'AD Scenarios'!AA$12,"_","Upgraded_",INDEX(LookUps!$E$5:$E$12,MATCH('AD Scenarios'!AA$11, LookUps!$C$5:$C$12,0)),"_", 'AD Scenarios'!$D14,"_", $C$7, "_", $C$6), OpenLCAbasic!$M:$M,0))</f>
        <v>1.7000000000000001E-4</v>
      </c>
      <c r="AB14" s="257">
        <f>INDEX(OpenLCAbasic!$J:$J, MATCH(CONCATENATE($C$5,"_", 'AD Scenarios'!AB$12,"_","Upgraded_",INDEX(LookUps!$E$5:$E$12,MATCH('AD Scenarios'!AB$11, LookUps!$C$5:$C$12,0)),"_", 'AD Scenarios'!$D14,"_", $C$7, "_", $C$6), OpenLCAbasic!$M:$M,0))</f>
        <v>1.7000000000000001E-4</v>
      </c>
      <c r="AC14" s="257">
        <f>INDEX(OpenLCAbasic!$J:$J, MATCH(CONCATENATE($C$5,"_", 'AD Scenarios'!AC$12,"_","Upgraded_",INDEX(LookUps!$E$5:$E$12,MATCH('AD Scenarios'!AC$11, LookUps!$C$5:$C$12,0)),"_", 'AD Scenarios'!$D14,"_", $C$7, "_", $C$6), OpenLCAbasic!$M:$M,0))</f>
        <v>1.7000000000000001E-4</v>
      </c>
      <c r="AD14" s="257">
        <f>INDEX(OpenLCAbasic!$J:$J, MATCH(CONCATENATE($C$5,"_", 'AD Scenarios'!AD$12,"_","Upgraded_",INDEX(LookUps!$E$5:$E$12,MATCH('AD Scenarios'!AD$11, LookUps!$C$5:$C$12,0)),"_", 'AD Scenarios'!$D14,"_", $C$7, "_", $C$6), OpenLCAbasic!$M:$M,0))</f>
        <v>1.7000000000000001E-4</v>
      </c>
      <c r="AE14" s="257">
        <f>INDEX(OpenLCAbasic!$J:$J, MATCH(CONCATENATE($C$5,"_", 'AD Scenarios'!AE$12,"_","Upgraded_",INDEX(LookUps!$E$5:$E$12,MATCH('AD Scenarios'!AE$11, LookUps!$C$5:$C$12,0)),"_", 'AD Scenarios'!$D14,"_", $C$7, "_", $C$6), OpenLCAbasic!$M:$M,0))</f>
        <v>1.7000000000000001E-4</v>
      </c>
      <c r="AF14" s="257">
        <f>INDEX(OpenLCAbasic!$J:$J, MATCH(CONCATENATE($C$5,"_", 'AD Scenarios'!AF$12,"_","Upgraded_",INDEX(LookUps!$E$5:$E$12,MATCH('AD Scenarios'!AF$11, LookUps!$C$5:$C$12,0)),"_", 'AD Scenarios'!$D14,"_", $C$7, "_", $C$6), OpenLCAbasic!$M:$M,0))</f>
        <v>1.7000000000000001E-4</v>
      </c>
      <c r="AG14" s="257">
        <f>INDEX(OpenLCAbasic!$J:$J, MATCH(CONCATENATE($C$5,"_", 'AD Scenarios'!AG$12,"_","Upgraded_",INDEX(LookUps!$E$5:$E$12,MATCH('AD Scenarios'!AG$11, LookUps!$C$5:$C$12,0)),"_", 'AD Scenarios'!$D14,"_", $C$7, "_", $C$6), OpenLCAbasic!$M:$M,0))</f>
        <v>1.7000000000000001E-4</v>
      </c>
      <c r="AH14" s="257">
        <f>INDEX(OpenLCAbasic!$J:$J, MATCH(CONCATENATE($C$5,"_", 'AD Scenarios'!AH$12,"_","Upgraded_",INDEX(LookUps!$E$5:$E$12,MATCH('AD Scenarios'!AH$11, LookUps!$C$5:$C$12,0)),"_", 'AD Scenarios'!$D14,"_", $C$7, "_", $C$6), OpenLCAbasic!$M:$M,0))</f>
        <v>1.7000000000000001E-4</v>
      </c>
      <c r="AI14" s="257">
        <f>INDEX(OpenLCAbasic!$J:$J, MATCH(CONCATENATE($C$5,"_", 'AD Scenarios'!AI$12,"_","Upgraded_",INDEX(LookUps!$E$5:$E$12,MATCH('AD Scenarios'!AI$11, LookUps!$C$5:$C$12,0)),"_", 'AD Scenarios'!$D14,"_", $C$7, "_", $C$6), OpenLCAbasic!$M:$M,0))</f>
        <v>1.7000000000000001E-4</v>
      </c>
      <c r="AJ14" s="256">
        <f>INDEX(OpenLCAbasic!$J:$J, MATCH(CONCATENATE("Base","_", 'AD Scenarios'!AJ$12,"_","Legacy_",INDEX(LookUps!$E$5:$E$12,MATCH('AD Scenarios'!AJ$11, LookUps!$C$5:$C$12,0)),"_", 'AD Scenarios'!$E14,"_", $C$8,"_","n.a." ), OpenLCAbasic!$M:$M,0))</f>
        <v>1.192E-2</v>
      </c>
      <c r="AK14" s="256">
        <f>INDEX(OpenLCAbasic!$J:$J, MATCH(CONCATENATE($C$5,"_", 'AD Scenarios'!AK$12,"_","Upgraded_",INDEX(LookUps!$E$5:$E$12,MATCH('AD Scenarios'!AK$11, LookUps!$C$5:$C$12,0)),"_", 'AD Scenarios'!$D14,"_", $C$7, "_", $C$6), OpenLCAbasic!$M:$M,0))</f>
        <v>1.192E-2</v>
      </c>
      <c r="AL14" s="256">
        <f>INDEX(OpenLCAbasic!$J:$J, MATCH(CONCATENATE($C$5,"_", 'AD Scenarios'!AL$12,"_","Upgraded_",INDEX(LookUps!$E$5:$E$12,MATCH('AD Scenarios'!AL$11, LookUps!$C$5:$C$12,0)),"_", 'AD Scenarios'!$D14,"_", $C$7, "_", $C$6), OpenLCAbasic!$M:$M,0))</f>
        <v>1.192E-2</v>
      </c>
      <c r="AM14" s="256">
        <f>INDEX(OpenLCAbasic!$J:$J, MATCH(CONCATENATE($C$5,"_", 'AD Scenarios'!AM$12,"_","Upgraded_",INDEX(LookUps!$E$5:$E$12,MATCH('AD Scenarios'!AM$11, LookUps!$C$5:$C$12,0)),"_", 'AD Scenarios'!$D14,"_", $C$7, "_", $C$6), OpenLCAbasic!$M:$M,0))</f>
        <v>1.192E-2</v>
      </c>
      <c r="AN14" s="256">
        <f>INDEX(OpenLCAbasic!$J:$J, MATCH(CONCATENATE($C$5,"_", 'AD Scenarios'!AN$12,"_","Upgraded_",INDEX(LookUps!$E$5:$E$12,MATCH('AD Scenarios'!AN$11, LookUps!$C$5:$C$12,0)),"_", 'AD Scenarios'!$D14,"_", $C$7, "_", $C$6), OpenLCAbasic!$M:$M,0))</f>
        <v>1.192E-2</v>
      </c>
      <c r="AO14" s="256">
        <f>INDEX(OpenLCAbasic!$J:$J, MATCH(CONCATENATE($C$5,"_", 'AD Scenarios'!AO$12,"_","Upgraded_",INDEX(LookUps!$E$5:$E$12,MATCH('AD Scenarios'!AO$11, LookUps!$C$5:$C$12,0)),"_", 'AD Scenarios'!$D14,"_", $C$7, "_", $C$6), OpenLCAbasic!$M:$M,0))</f>
        <v>1.192E-2</v>
      </c>
      <c r="AP14" s="256">
        <f>INDEX(OpenLCAbasic!$J:$J, MATCH(CONCATENATE($C$5,"_", 'AD Scenarios'!AP$12,"_","Upgraded_",INDEX(LookUps!$E$5:$E$12,MATCH('AD Scenarios'!AP$11, LookUps!$C$5:$C$12,0)),"_", 'AD Scenarios'!$D14,"_", $C$7, "_", $C$6), OpenLCAbasic!$M:$M,0))</f>
        <v>1.192E-2</v>
      </c>
      <c r="AQ14" s="256">
        <f>INDEX(OpenLCAbasic!$J:$J, MATCH(CONCATENATE($C$5,"_", 'AD Scenarios'!AQ$12,"_","Upgraded_",INDEX(LookUps!$E$5:$E$12,MATCH('AD Scenarios'!AQ$11, LookUps!$C$5:$C$12,0)),"_", 'AD Scenarios'!$D14,"_", $C$7, "_", $C$6), OpenLCAbasic!$M:$M,0))</f>
        <v>1.192E-2</v>
      </c>
      <c r="AR14" s="256">
        <f>INDEX(OpenLCAbasic!$J:$J, MATCH(CONCATENATE($C$5,"_", 'AD Scenarios'!AR$12,"_","Upgraded_",INDEX(LookUps!$E$5:$E$12,MATCH('AD Scenarios'!AR$11, LookUps!$C$5:$C$12,0)),"_", 'AD Scenarios'!$D14,"_", $C$7, "_", $C$6), OpenLCAbasic!$M:$M,0))</f>
        <v>1.192E-2</v>
      </c>
      <c r="AS14" s="256">
        <f>INDEX(OpenLCAbasic!$J:$J, MATCH(CONCATENATE($C$5,"_", 'AD Scenarios'!AS$12,"_","Upgraded_",INDEX(LookUps!$E$5:$E$12,MATCH('AD Scenarios'!AS$11, LookUps!$C$5:$C$12,0)),"_", 'AD Scenarios'!$D14,"_", $C$7, "_", $C$6), OpenLCAbasic!$M:$M,0))</f>
        <v>1.192E-2</v>
      </c>
      <c r="AT14" s="257">
        <f>INDEX(OpenLCAbasic!$J:$J, MATCH(CONCATENATE("Base","_", 'AD Scenarios'!AT$12,"_","Legacy_",INDEX(LookUps!$E$5:$E$12,MATCH('AD Scenarios'!AT$11, LookUps!$C$5:$C$12,0)),"_", 'AD Scenarios'!$E14,"_", $C$8,"_","n.a." ), OpenLCAbasic!$M:$M,0))</f>
        <v>1.23E-3</v>
      </c>
      <c r="AU14" s="257">
        <f>INDEX(OpenLCAbasic!$J:$J, MATCH(CONCATENATE($C$5,"_", 'AD Scenarios'!AU$12,"_","Upgraded_",INDEX(LookUps!$E$5:$E$12,MATCH('AD Scenarios'!AU$11, LookUps!$C$5:$C$12,0)),"_", 'AD Scenarios'!$D14,"_", $C$7, "_", $C$6), OpenLCAbasic!$M:$M,0))</f>
        <v>1.23E-3</v>
      </c>
      <c r="AV14" s="257">
        <f>INDEX(OpenLCAbasic!$J:$J, MATCH(CONCATENATE($C$5,"_", 'AD Scenarios'!AV$12,"_","Upgraded_",INDEX(LookUps!$E$5:$E$12,MATCH('AD Scenarios'!AV$11, LookUps!$C$5:$C$12,0)),"_", 'AD Scenarios'!$D14,"_", $C$7, "_", $C$6), OpenLCAbasic!$M:$M,0))</f>
        <v>1.23E-3</v>
      </c>
      <c r="AW14" s="257">
        <f>INDEX(OpenLCAbasic!$J:$J, MATCH(CONCATENATE($C$5,"_", 'AD Scenarios'!AW$12,"_","Upgraded_",INDEX(LookUps!$E$5:$E$12,MATCH('AD Scenarios'!AW$11, LookUps!$C$5:$C$12,0)),"_", 'AD Scenarios'!$D14,"_", $C$7, "_", $C$6), OpenLCAbasic!$M:$M,0))</f>
        <v>1.23E-3</v>
      </c>
      <c r="AX14" s="257">
        <f>INDEX(OpenLCAbasic!$J:$J, MATCH(CONCATENATE($C$5,"_", 'AD Scenarios'!AX$12,"_","Upgraded_",INDEX(LookUps!$E$5:$E$12,MATCH('AD Scenarios'!AX$11, LookUps!$C$5:$C$12,0)),"_", 'AD Scenarios'!$D14,"_", $C$7, "_", $C$6), OpenLCAbasic!$M:$M,0))</f>
        <v>1.23E-3</v>
      </c>
      <c r="AY14" s="257">
        <f>INDEX(OpenLCAbasic!$J:$J, MATCH(CONCATENATE($C$5,"_", 'AD Scenarios'!AY$12,"_","Upgraded_",INDEX(LookUps!$E$5:$E$12,MATCH('AD Scenarios'!AY$11, LookUps!$C$5:$C$12,0)),"_", 'AD Scenarios'!$D14,"_", $C$7, "_", $C$6), OpenLCAbasic!$M:$M,0))</f>
        <v>1.23E-3</v>
      </c>
      <c r="AZ14" s="257">
        <f>INDEX(OpenLCAbasic!$J:$J, MATCH(CONCATENATE($C$5,"_", 'AD Scenarios'!AZ$12,"_","Upgraded_",INDEX(LookUps!$E$5:$E$12,MATCH('AD Scenarios'!AZ$11, LookUps!$C$5:$C$12,0)),"_", 'AD Scenarios'!$D14,"_", $C$7, "_", $C$6), OpenLCAbasic!$M:$M,0))</f>
        <v>1.23E-3</v>
      </c>
      <c r="BA14" s="257">
        <f>INDEX(OpenLCAbasic!$J:$J, MATCH(CONCATENATE($C$5,"_", 'AD Scenarios'!BA$12,"_","Upgraded_",INDEX(LookUps!$E$5:$E$12,MATCH('AD Scenarios'!BA$11, LookUps!$C$5:$C$12,0)),"_", 'AD Scenarios'!$D14,"_", $C$7, "_", $C$6), OpenLCAbasic!$M:$M,0))</f>
        <v>1.23E-3</v>
      </c>
      <c r="BB14" s="257">
        <f>INDEX(OpenLCAbasic!$J:$J, MATCH(CONCATENATE($C$5,"_", 'AD Scenarios'!BB$12,"_","Upgraded_",INDEX(LookUps!$E$5:$E$12,MATCH('AD Scenarios'!BB$11, LookUps!$C$5:$C$12,0)),"_", 'AD Scenarios'!$D14,"_", $C$7, "_", $C$6), OpenLCAbasic!$M:$M,0))</f>
        <v>1.23E-3</v>
      </c>
      <c r="BC14" s="257">
        <f>INDEX(OpenLCAbasic!$J:$J, MATCH(CONCATENATE($C$5,"_", 'AD Scenarios'!BC$12,"_","Upgraded_",INDEX(LookUps!$E$5:$E$12,MATCH('AD Scenarios'!BC$11, LookUps!$C$5:$C$12,0)),"_", 'AD Scenarios'!$D14,"_", $C$7, "_", $C$6), OpenLCAbasic!$M:$M,0))</f>
        <v>1.23E-3</v>
      </c>
      <c r="BD14" s="257">
        <f>INDEX(OpenLCAbasic!$J:$J, MATCH(CONCATENATE("Base","_", 'AD Scenarios'!BD$12,"_","Legacy_",INDEX(LookUps!$E$5:$E$12,MATCH('AD Scenarios'!BD$11, LookUps!$C$5:$C$12,0)),"_", 'AD Scenarios'!$E14,"_", $C$8,"_","n.a." ), OpenLCAbasic!$M:$M,0))</f>
        <v>5.0608900000000003E-6</v>
      </c>
      <c r="BE14" s="257">
        <f>INDEX(OpenLCAbasic!$J:$J, MATCH(CONCATENATE($C$5,"_", 'AD Scenarios'!BE$12,"_","Upgraded_",INDEX(LookUps!$E$5:$E$12,MATCH('AD Scenarios'!BE$11, LookUps!$C$5:$C$12,0)),"_", 'AD Scenarios'!$D14,"_", $C$7, "_", $C$6), OpenLCAbasic!$M:$M,0))</f>
        <v>5.0608900000000003E-6</v>
      </c>
      <c r="BF14" s="257">
        <f>INDEX(OpenLCAbasic!$J:$J, MATCH(CONCATENATE($C$5,"_", 'AD Scenarios'!BF$12,"_","Upgraded_",INDEX(LookUps!$E$5:$E$12,MATCH('AD Scenarios'!BF$11, LookUps!$C$5:$C$12,0)),"_", 'AD Scenarios'!$D14,"_", $C$7, "_", $C$6), OpenLCAbasic!$M:$M,0))</f>
        <v>5.0608900000000003E-6</v>
      </c>
      <c r="BG14" s="257">
        <f>INDEX(OpenLCAbasic!$J:$J, MATCH(CONCATENATE($C$5,"_", 'AD Scenarios'!BG$12,"_","Upgraded_",INDEX(LookUps!$E$5:$E$12,MATCH('AD Scenarios'!BG$11, LookUps!$C$5:$C$12,0)),"_", 'AD Scenarios'!$D14,"_", $C$7, "_", $C$6), OpenLCAbasic!$M:$M,0))</f>
        <v>5.0608900000000003E-6</v>
      </c>
      <c r="BH14" s="257">
        <f>INDEX(OpenLCAbasic!$J:$J, MATCH(CONCATENATE($C$5,"_", 'AD Scenarios'!BH$12,"_","Upgraded_",INDEX(LookUps!$E$5:$E$12,MATCH('AD Scenarios'!BH$11, LookUps!$C$5:$C$12,0)),"_", 'AD Scenarios'!$D14,"_", $C$7, "_", $C$6), OpenLCAbasic!$M:$M,0))</f>
        <v>5.0608900000000003E-6</v>
      </c>
      <c r="BI14" s="257">
        <f>INDEX(OpenLCAbasic!$J:$J, MATCH(CONCATENATE($C$5,"_", 'AD Scenarios'!BI$12,"_","Upgraded_",INDEX(LookUps!$E$5:$E$12,MATCH('AD Scenarios'!BI$11, LookUps!$C$5:$C$12,0)),"_", 'AD Scenarios'!$D14,"_", $C$7, "_", $C$6), OpenLCAbasic!$M:$M,0))</f>
        <v>5.0608900000000003E-6</v>
      </c>
      <c r="BJ14" s="257">
        <f>INDEX(OpenLCAbasic!$J:$J, MATCH(CONCATENATE($C$5,"_", 'AD Scenarios'!BJ$12,"_","Upgraded_",INDEX(LookUps!$E$5:$E$12,MATCH('AD Scenarios'!BJ$11, LookUps!$C$5:$C$12,0)),"_", 'AD Scenarios'!$D14,"_", $C$7, "_", $C$6), OpenLCAbasic!$M:$M,0))</f>
        <v>5.0608900000000003E-6</v>
      </c>
      <c r="BK14" s="257">
        <f>INDEX(OpenLCAbasic!$J:$J, MATCH(CONCATENATE($C$5,"_", 'AD Scenarios'!BK$12,"_","Upgraded_",INDEX(LookUps!$E$5:$E$12,MATCH('AD Scenarios'!BK$11, LookUps!$C$5:$C$12,0)),"_", 'AD Scenarios'!$D14,"_", $C$7, "_", $C$6), OpenLCAbasic!$M:$M,0))</f>
        <v>5.0608900000000003E-6</v>
      </c>
      <c r="BL14" s="257">
        <f>INDEX(OpenLCAbasic!$J:$J, MATCH(CONCATENATE($C$5,"_", 'AD Scenarios'!BL$12,"_","Upgraded_",INDEX(LookUps!$E$5:$E$12,MATCH('AD Scenarios'!BL$11, LookUps!$C$5:$C$12,0)),"_", 'AD Scenarios'!$D14,"_", $C$7, "_", $C$6), OpenLCAbasic!$M:$M,0))</f>
        <v>5.0608900000000003E-6</v>
      </c>
      <c r="BM14" s="257">
        <f>INDEX(OpenLCAbasic!$J:$J, MATCH(CONCATENATE($C$5,"_", 'AD Scenarios'!BM$12,"_","Upgraded_",INDEX(LookUps!$E$5:$E$12,MATCH('AD Scenarios'!BM$11, LookUps!$C$5:$C$12,0)),"_", 'AD Scenarios'!$D14,"_", $C$7, "_", $C$6), OpenLCAbasic!$M:$M,0))</f>
        <v>5.0608900000000003E-6</v>
      </c>
      <c r="BN14" s="257">
        <f>INDEX(OpenLCAbasic!$J:$J, MATCH(CONCATENATE("Base","_", 'AD Scenarios'!BN$12,"_","Legacy_",INDEX(LookUps!$E$5:$E$12,MATCH('AD Scenarios'!BN$11, LookUps!$C$5:$C$12,0)),"_", 'AD Scenarios'!$E14,"_", $C$8,"_","n.a." ), OpenLCAbasic!$M:$M,0))</f>
        <v>4.4999999999999997E-3</v>
      </c>
      <c r="BO14" s="257">
        <f>INDEX(OpenLCAbasic!$J:$J, MATCH(CONCATENATE($C$5,"_", 'AD Scenarios'!BO$12,"_","Upgraded_",INDEX(LookUps!$E$5:$E$12,MATCH('AD Scenarios'!BO$11, LookUps!$C$5:$C$12,0)),"_", 'AD Scenarios'!$D14,"_", $C$7, "_", $C$6), OpenLCAbasic!$M:$M,0))</f>
        <v>4.4999999999999997E-3</v>
      </c>
      <c r="BP14" s="257">
        <f>INDEX(OpenLCAbasic!$J:$J, MATCH(CONCATENATE($C$5,"_", 'AD Scenarios'!BP$12,"_","Upgraded_",INDEX(LookUps!$E$5:$E$12,MATCH('AD Scenarios'!BP$11, LookUps!$C$5:$C$12,0)),"_", 'AD Scenarios'!$D14,"_", $C$7, "_", $C$6), OpenLCAbasic!$M:$M,0))</f>
        <v>4.4999999999999997E-3</v>
      </c>
      <c r="BQ14" s="257">
        <f>INDEX(OpenLCAbasic!$J:$J, MATCH(CONCATENATE($C$5,"_", 'AD Scenarios'!BQ$12,"_","Upgraded_",INDEX(LookUps!$E$5:$E$12,MATCH('AD Scenarios'!BQ$11, LookUps!$C$5:$C$12,0)),"_", 'AD Scenarios'!$D14,"_", $C$7, "_", $C$6), OpenLCAbasic!$M:$M,0))</f>
        <v>4.4999999999999997E-3</v>
      </c>
      <c r="BR14" s="257">
        <f>INDEX(OpenLCAbasic!$J:$J, MATCH(CONCATENATE($C$5,"_", 'AD Scenarios'!BR$12,"_","Upgraded_",INDEX(LookUps!$E$5:$E$12,MATCH('AD Scenarios'!BR$11, LookUps!$C$5:$C$12,0)),"_", 'AD Scenarios'!$D14,"_", $C$7, "_", $C$6), OpenLCAbasic!$M:$M,0))</f>
        <v>4.4999999999999997E-3</v>
      </c>
      <c r="BS14" s="257">
        <f>INDEX(OpenLCAbasic!$J:$J, MATCH(CONCATENATE($C$5,"_", 'AD Scenarios'!BS$12,"_","Upgraded_",INDEX(LookUps!$E$5:$E$12,MATCH('AD Scenarios'!BS$11, LookUps!$C$5:$C$12,0)),"_", 'AD Scenarios'!$D14,"_", $C$7, "_", $C$6), OpenLCAbasic!$M:$M,0))</f>
        <v>4.4999999999999997E-3</v>
      </c>
      <c r="BT14" s="257">
        <f>INDEX(OpenLCAbasic!$J:$J, MATCH(CONCATENATE($C$5,"_", 'AD Scenarios'!BT$12,"_","Upgraded_",INDEX(LookUps!$E$5:$E$12,MATCH('AD Scenarios'!BT$11, LookUps!$C$5:$C$12,0)),"_", 'AD Scenarios'!$D14,"_", $C$7, "_", $C$6), OpenLCAbasic!$M:$M,0))</f>
        <v>4.4999999999999997E-3</v>
      </c>
      <c r="BU14" s="257">
        <f>INDEX(OpenLCAbasic!$J:$J, MATCH(CONCATENATE($C$5,"_", 'AD Scenarios'!BU$12,"_","Upgraded_",INDEX(LookUps!$E$5:$E$12,MATCH('AD Scenarios'!BU$11, LookUps!$C$5:$C$12,0)),"_", 'AD Scenarios'!$D14,"_", $C$7, "_", $C$6), OpenLCAbasic!$M:$M,0))</f>
        <v>4.4999999999999997E-3</v>
      </c>
      <c r="BV14" s="257">
        <f>INDEX(OpenLCAbasic!$J:$J, MATCH(CONCATENATE($C$5,"_", 'AD Scenarios'!BV$12,"_","Upgraded_",INDEX(LookUps!$E$5:$E$12,MATCH('AD Scenarios'!BV$11, LookUps!$C$5:$C$12,0)),"_", 'AD Scenarios'!$D14,"_", $C$7, "_", $C$6), OpenLCAbasic!$M:$M,0))</f>
        <v>4.4999999999999997E-3</v>
      </c>
      <c r="BW14" s="257">
        <f>INDEX(OpenLCAbasic!$J:$J, MATCH(CONCATENATE($C$5,"_", 'AD Scenarios'!BW$12,"_","Upgraded_",INDEX(LookUps!$E$5:$E$12,MATCH('AD Scenarios'!BW$11, LookUps!$C$5:$C$12,0)),"_", 'AD Scenarios'!$D14,"_", $C$7, "_", $C$6), OpenLCAbasic!$M:$M,0))</f>
        <v>4.4999999999999997E-3</v>
      </c>
      <c r="BX14" s="256">
        <f>INDEX(OpenLCAbasic!$J:$J, MATCH(CONCATENATE("Base","_", 'AD Scenarios'!BX$12,"_","Legacy_",INDEX(LookUps!$E$5:$E$12,MATCH('AD Scenarios'!BX$11, LookUps!$C$5:$C$12,0)),"_", 'AD Scenarios'!$E14,"_", $C$8,"_","n.a." ), OpenLCAbasic!$M:$M,0))</f>
        <v>0.25606000000000001</v>
      </c>
      <c r="BY14" s="256">
        <f>INDEX(OpenLCAbasic!$J:$J, MATCH(CONCATENATE($C$5,"_", 'AD Scenarios'!BY$12,"_","Upgraded_",INDEX(LookUps!$E$5:$E$12,MATCH('AD Scenarios'!BY$11, LookUps!$C$5:$C$12,0)),"_", 'AD Scenarios'!$D14,"_", $C$7, "_", $C$6), OpenLCAbasic!$M:$M,0))</f>
        <v>0.25606000000000001</v>
      </c>
      <c r="BZ14" s="256">
        <f>INDEX(OpenLCAbasic!$J:$J, MATCH(CONCATENATE($C$5,"_", 'AD Scenarios'!BZ$12,"_","Upgraded_",INDEX(LookUps!$E$5:$E$12,MATCH('AD Scenarios'!BZ$11, LookUps!$C$5:$C$12,0)),"_", 'AD Scenarios'!$D14,"_", $C$7, "_", $C$6), OpenLCAbasic!$M:$M,0))</f>
        <v>0.25606000000000001</v>
      </c>
      <c r="CA14" s="256">
        <f>INDEX(OpenLCAbasic!$J:$J, MATCH(CONCATENATE($C$5,"_", 'AD Scenarios'!CA$12,"_","Upgraded_",INDEX(LookUps!$E$5:$E$12,MATCH('AD Scenarios'!CA$11, LookUps!$C$5:$C$12,0)),"_", 'AD Scenarios'!$D14,"_", $C$7, "_", $C$6), OpenLCAbasic!$M:$M,0))</f>
        <v>0.25606000000000001</v>
      </c>
      <c r="CB14" s="256">
        <f>INDEX(OpenLCAbasic!$J:$J, MATCH(CONCATENATE($C$5,"_", 'AD Scenarios'!CB$12,"_","Upgraded_",INDEX(LookUps!$E$5:$E$12,MATCH('AD Scenarios'!CB$11, LookUps!$C$5:$C$12,0)),"_", 'AD Scenarios'!$D14,"_", $C$7, "_", $C$6), OpenLCAbasic!$M:$M,0))</f>
        <v>0.25606000000000001</v>
      </c>
      <c r="CC14" s="256">
        <f>INDEX(OpenLCAbasic!$J:$J, MATCH(CONCATENATE($C$5,"_", 'AD Scenarios'!CC$12,"_","Upgraded_",INDEX(LookUps!$E$5:$E$12,MATCH('AD Scenarios'!CC$11, LookUps!$C$5:$C$12,0)),"_", 'AD Scenarios'!$D14,"_", $C$7, "_", $C$6), OpenLCAbasic!$M:$M,0))</f>
        <v>0.25606000000000001</v>
      </c>
      <c r="CD14" s="256">
        <f>INDEX(OpenLCAbasic!$J:$J, MATCH(CONCATENATE($C$5,"_", 'AD Scenarios'!CD$12,"_","Upgraded_",INDEX(LookUps!$E$5:$E$12,MATCH('AD Scenarios'!CD$11, LookUps!$C$5:$C$12,0)),"_", 'AD Scenarios'!$D14,"_", $C$7, "_", $C$6), OpenLCAbasic!$M:$M,0))</f>
        <v>0.25606000000000001</v>
      </c>
      <c r="CE14" s="256">
        <f>INDEX(OpenLCAbasic!$J:$J, MATCH(CONCATENATE($C$5,"_", 'AD Scenarios'!CE$12,"_","Upgraded_",INDEX(LookUps!$E$5:$E$12,MATCH('AD Scenarios'!CE$11, LookUps!$C$5:$C$12,0)),"_", 'AD Scenarios'!$D14,"_", $C$7, "_", $C$6), OpenLCAbasic!$M:$M,0))</f>
        <v>0.25606000000000001</v>
      </c>
      <c r="CF14" s="256">
        <f>INDEX(OpenLCAbasic!$J:$J, MATCH(CONCATENATE($C$5,"_", 'AD Scenarios'!CF$12,"_","Upgraded_",INDEX(LookUps!$E$5:$E$12,MATCH('AD Scenarios'!CF$11, LookUps!$C$5:$C$12,0)),"_", 'AD Scenarios'!$D14,"_", $C$7, "_", $C$6), OpenLCAbasic!$M:$M,0))</f>
        <v>0.25606000000000001</v>
      </c>
      <c r="CG14" s="256">
        <f>INDEX(OpenLCAbasic!$J:$J, MATCH(CONCATENATE($C$5,"_", 'AD Scenarios'!CG$12,"_","Upgraded_",INDEX(LookUps!$E$5:$E$12,MATCH('AD Scenarios'!CG$11, LookUps!$C$5:$C$12,0)),"_", 'AD Scenarios'!$D14,"_", $C$7, "_", $C$6), OpenLCAbasic!$M:$M,0))</f>
        <v>0.25606000000000001</v>
      </c>
    </row>
    <row r="15" spans="1:85" x14ac:dyDescent="0.25">
      <c r="B15" s="363"/>
      <c r="C15" s="81" t="str">
        <f>LookUps!$G$6</f>
        <v>Influent Pump Station; wastewater treatment unit; at updated plant - US</v>
      </c>
      <c r="D15" s="115" t="str">
        <f>LookUps!G6</f>
        <v>Influent Pump Station; wastewater treatment unit; at updated plant - US</v>
      </c>
      <c r="E15" s="107"/>
      <c r="F15" s="258"/>
      <c r="G15" s="256">
        <f>INDEX(OpenLCAbasic!$J:$J, MATCH(CONCATENATE($C$5,"_", 'AD Scenarios'!G$12,"_","Upgraded_",INDEX(LookUps!$E$5:$E$12,MATCH('AD Scenarios'!G$11, LookUps!$C$5:$C$12,0)),"_", 'AD Scenarios'!$D15,"_", $C$7, "_", $C$6), OpenLCAbasic!$M:$M,0))</f>
        <v>5.0500000000000003E-2</v>
      </c>
      <c r="H15" s="256">
        <f>INDEX(OpenLCAbasic!$J:$J, MATCH(CONCATENATE($C$5,"_", 'AD Scenarios'!H$12,"_","Upgraded_",INDEX(LookUps!$E$5:$E$12,MATCH('AD Scenarios'!H$11, LookUps!$C$5:$C$12,0)),"_", 'AD Scenarios'!$D15,"_", $C$7, "_", $C$6), OpenLCAbasic!$M:$M,0))</f>
        <v>5.0500000000000003E-2</v>
      </c>
      <c r="I15" s="256">
        <f>INDEX(OpenLCAbasic!$J:$J, MATCH(CONCATENATE($C$5,"_", 'AD Scenarios'!I$12,"_","Upgraded_",INDEX(LookUps!$E$5:$E$12,MATCH('AD Scenarios'!I$11, LookUps!$C$5:$C$12,0)),"_", 'AD Scenarios'!$D15,"_", $C$7, "_", $C$6), OpenLCAbasic!$M:$M,0))</f>
        <v>5.0500000000000003E-2</v>
      </c>
      <c r="J15" s="256">
        <f>INDEX(OpenLCAbasic!$J:$J, MATCH(CONCATENATE($C$5,"_", 'AD Scenarios'!J$12,"_","Upgraded_",INDEX(LookUps!$E$5:$E$12,MATCH('AD Scenarios'!J$11, LookUps!$C$5:$C$12,0)),"_", 'AD Scenarios'!$D15,"_", $C$7, "_", $C$6), OpenLCAbasic!$M:$M,0))</f>
        <v>5.0500000000000003E-2</v>
      </c>
      <c r="K15" s="256">
        <f>INDEX(OpenLCAbasic!$J:$J, MATCH(CONCATENATE($C$5,"_", 'AD Scenarios'!K$12,"_","Upgraded_",INDEX(LookUps!$E$5:$E$12,MATCH('AD Scenarios'!K$11, LookUps!$C$5:$C$12,0)),"_", 'AD Scenarios'!$D15,"_", $C$7, "_", $C$6), OpenLCAbasic!$M:$M,0))</f>
        <v>5.0500000000000003E-2</v>
      </c>
      <c r="L15" s="256">
        <f>INDEX(OpenLCAbasic!$J:$J, MATCH(CONCATENATE($C$5,"_", 'AD Scenarios'!L$12,"_","Upgraded_",INDEX(LookUps!$E$5:$E$12,MATCH('AD Scenarios'!L$11, LookUps!$C$5:$C$12,0)),"_", 'AD Scenarios'!$D15,"_", $C$7, "_", $C$6), OpenLCAbasic!$M:$M,0))</f>
        <v>5.0500000000000003E-2</v>
      </c>
      <c r="M15" s="256">
        <f>INDEX(OpenLCAbasic!$J:$J, MATCH(CONCATENATE($C$5,"_", 'AD Scenarios'!M$12,"_","Upgraded_",INDEX(LookUps!$E$5:$E$12,MATCH('AD Scenarios'!M$11, LookUps!$C$5:$C$12,0)),"_", 'AD Scenarios'!$D15,"_", $C$7, "_", $C$6), OpenLCAbasic!$M:$M,0))</f>
        <v>5.0500000000000003E-2</v>
      </c>
      <c r="N15" s="256">
        <f>INDEX(OpenLCAbasic!$J:$J, MATCH(CONCATENATE($C$5,"_", 'AD Scenarios'!N$12,"_","Upgraded_",INDEX(LookUps!$E$5:$E$12,MATCH('AD Scenarios'!N$11, LookUps!$C$5:$C$12,0)),"_", 'AD Scenarios'!$D15,"_", $C$7, "_", $C$6), OpenLCAbasic!$M:$M,0))</f>
        <v>5.0500000000000003E-2</v>
      </c>
      <c r="O15" s="256">
        <f>INDEX(OpenLCAbasic!$J:$J, MATCH(CONCATENATE($C$5,"_", 'AD Scenarios'!O$12,"_","Upgraded_",INDEX(LookUps!$E$5:$E$12,MATCH('AD Scenarios'!O$11, LookUps!$C$5:$C$12,0)),"_", 'AD Scenarios'!$D15,"_", $C$7, "_", $C$6), OpenLCAbasic!$M:$M,0))</f>
        <v>5.0500000000000003E-2</v>
      </c>
      <c r="P15" s="258"/>
      <c r="Q15" s="257">
        <f>INDEX(OpenLCAbasic!$J:$J, MATCH(CONCATENATE($C$5,"_", 'AD Scenarios'!Q$12,"_","Upgraded_",INDEX(LookUps!$E$5:$E$12,MATCH('AD Scenarios'!Q$11, LookUps!$C$5:$C$12,0)),"_", 'AD Scenarios'!$D15,"_", $C$7, "_", $C$6), OpenLCAbasic!$M:$M,0))</f>
        <v>2.5000000000000001E-4</v>
      </c>
      <c r="R15" s="257">
        <f>INDEX(OpenLCAbasic!$J:$J, MATCH(CONCATENATE($C$5,"_", 'AD Scenarios'!R$12,"_","Upgraded_",INDEX(LookUps!$E$5:$E$12,MATCH('AD Scenarios'!R$11, LookUps!$C$5:$C$12,0)),"_", 'AD Scenarios'!$D15,"_", $C$7, "_", $C$6), OpenLCAbasic!$M:$M,0))</f>
        <v>2.5000000000000001E-4</v>
      </c>
      <c r="S15" s="257">
        <f>INDEX(OpenLCAbasic!$J:$J, MATCH(CONCATENATE($C$5,"_", 'AD Scenarios'!S$12,"_","Upgraded_",INDEX(LookUps!$E$5:$E$12,MATCH('AD Scenarios'!S$11, LookUps!$C$5:$C$12,0)),"_", 'AD Scenarios'!$D15,"_", $C$7, "_", $C$6), OpenLCAbasic!$M:$M,0))</f>
        <v>2.5000000000000001E-4</v>
      </c>
      <c r="T15" s="257">
        <f>INDEX(OpenLCAbasic!$J:$J, MATCH(CONCATENATE($C$5,"_", 'AD Scenarios'!T$12,"_","Upgraded_",INDEX(LookUps!$E$5:$E$12,MATCH('AD Scenarios'!T$11, LookUps!$C$5:$C$12,0)),"_", 'AD Scenarios'!$D15,"_", $C$7, "_", $C$6), OpenLCAbasic!$M:$M,0))</f>
        <v>2.5000000000000001E-4</v>
      </c>
      <c r="U15" s="257">
        <f>INDEX(OpenLCAbasic!$J:$J, MATCH(CONCATENATE($C$5,"_", 'AD Scenarios'!U$12,"_","Upgraded_",INDEX(LookUps!$E$5:$E$12,MATCH('AD Scenarios'!U$11, LookUps!$C$5:$C$12,0)),"_", 'AD Scenarios'!$D15,"_", $C$7, "_", $C$6), OpenLCAbasic!$M:$M,0))</f>
        <v>2.5000000000000001E-4</v>
      </c>
      <c r="V15" s="257">
        <f>INDEX(OpenLCAbasic!$J:$J, MATCH(CONCATENATE($C$5,"_", 'AD Scenarios'!V$12,"_","Upgraded_",INDEX(LookUps!$E$5:$E$12,MATCH('AD Scenarios'!V$11, LookUps!$C$5:$C$12,0)),"_", 'AD Scenarios'!$D15,"_", $C$7, "_", $C$6), OpenLCAbasic!$M:$M,0))</f>
        <v>2.5000000000000001E-4</v>
      </c>
      <c r="W15" s="257">
        <f>INDEX(OpenLCAbasic!$J:$J, MATCH(CONCATENATE($C$5,"_", 'AD Scenarios'!W$12,"_","Upgraded_",INDEX(LookUps!$E$5:$E$12,MATCH('AD Scenarios'!W$11, LookUps!$C$5:$C$12,0)),"_", 'AD Scenarios'!$D15,"_", $C$7, "_", $C$6), OpenLCAbasic!$M:$M,0))</f>
        <v>2.5000000000000001E-4</v>
      </c>
      <c r="X15" s="257">
        <f>INDEX(OpenLCAbasic!$J:$J, MATCH(CONCATENATE($C$5,"_", 'AD Scenarios'!X$12,"_","Upgraded_",INDEX(LookUps!$E$5:$E$12,MATCH('AD Scenarios'!X$11, LookUps!$C$5:$C$12,0)),"_", 'AD Scenarios'!$D15,"_", $C$7, "_", $C$6), OpenLCAbasic!$M:$M,0))</f>
        <v>2.5000000000000001E-4</v>
      </c>
      <c r="Y15" s="257">
        <f>INDEX(OpenLCAbasic!$J:$J, MATCH(CONCATENATE($C$5,"_", 'AD Scenarios'!Y$12,"_","Upgraded_",INDEX(LookUps!$E$5:$E$12,MATCH('AD Scenarios'!Y$11, LookUps!$C$5:$C$12,0)),"_", 'AD Scenarios'!$D15,"_", $C$7, "_", $C$6), OpenLCAbasic!$M:$M,0))</f>
        <v>2.5000000000000001E-4</v>
      </c>
      <c r="Z15" s="258"/>
      <c r="AA15" s="257">
        <f>INDEX(OpenLCAbasic!$J:$J, MATCH(CONCATENATE($C$5,"_", 'AD Scenarios'!AA$12,"_","Upgraded_",INDEX(LookUps!$E$5:$E$12,MATCH('AD Scenarios'!AA$11, LookUps!$C$5:$C$12,0)),"_", 'AD Scenarios'!$D15,"_", $C$7, "_", $C$6), OpenLCAbasic!$M:$M,0))</f>
        <v>2.7E-4</v>
      </c>
      <c r="AB15" s="257">
        <f>INDEX(OpenLCAbasic!$J:$J, MATCH(CONCATENATE($C$5,"_", 'AD Scenarios'!AB$12,"_","Upgraded_",INDEX(LookUps!$E$5:$E$12,MATCH('AD Scenarios'!AB$11, LookUps!$C$5:$C$12,0)),"_", 'AD Scenarios'!$D15,"_", $C$7, "_", $C$6), OpenLCAbasic!$M:$M,0))</f>
        <v>2.7E-4</v>
      </c>
      <c r="AC15" s="257">
        <f>INDEX(OpenLCAbasic!$J:$J, MATCH(CONCATENATE($C$5,"_", 'AD Scenarios'!AC$12,"_","Upgraded_",INDEX(LookUps!$E$5:$E$12,MATCH('AD Scenarios'!AC$11, LookUps!$C$5:$C$12,0)),"_", 'AD Scenarios'!$D15,"_", $C$7, "_", $C$6), OpenLCAbasic!$M:$M,0))</f>
        <v>2.7E-4</v>
      </c>
      <c r="AD15" s="257">
        <f>INDEX(OpenLCAbasic!$J:$J, MATCH(CONCATENATE($C$5,"_", 'AD Scenarios'!AD$12,"_","Upgraded_",INDEX(LookUps!$E$5:$E$12,MATCH('AD Scenarios'!AD$11, LookUps!$C$5:$C$12,0)),"_", 'AD Scenarios'!$D15,"_", $C$7, "_", $C$6), OpenLCAbasic!$M:$M,0))</f>
        <v>2.7E-4</v>
      </c>
      <c r="AE15" s="257">
        <f>INDEX(OpenLCAbasic!$J:$J, MATCH(CONCATENATE($C$5,"_", 'AD Scenarios'!AE$12,"_","Upgraded_",INDEX(LookUps!$E$5:$E$12,MATCH('AD Scenarios'!AE$11, LookUps!$C$5:$C$12,0)),"_", 'AD Scenarios'!$D15,"_", $C$7, "_", $C$6), OpenLCAbasic!$M:$M,0))</f>
        <v>2.7E-4</v>
      </c>
      <c r="AF15" s="257">
        <f>INDEX(OpenLCAbasic!$J:$J, MATCH(CONCATENATE($C$5,"_", 'AD Scenarios'!AF$12,"_","Upgraded_",INDEX(LookUps!$E$5:$E$12,MATCH('AD Scenarios'!AF$11, LookUps!$C$5:$C$12,0)),"_", 'AD Scenarios'!$D15,"_", $C$7, "_", $C$6), OpenLCAbasic!$M:$M,0))</f>
        <v>2.7E-4</v>
      </c>
      <c r="AG15" s="257">
        <f>INDEX(OpenLCAbasic!$J:$J, MATCH(CONCATENATE($C$5,"_", 'AD Scenarios'!AG$12,"_","Upgraded_",INDEX(LookUps!$E$5:$E$12,MATCH('AD Scenarios'!AG$11, LookUps!$C$5:$C$12,0)),"_", 'AD Scenarios'!$D15,"_", $C$7, "_", $C$6), OpenLCAbasic!$M:$M,0))</f>
        <v>2.7E-4</v>
      </c>
      <c r="AH15" s="257">
        <f>INDEX(OpenLCAbasic!$J:$J, MATCH(CONCATENATE($C$5,"_", 'AD Scenarios'!AH$12,"_","Upgraded_",INDEX(LookUps!$E$5:$E$12,MATCH('AD Scenarios'!AH$11, LookUps!$C$5:$C$12,0)),"_", 'AD Scenarios'!$D15,"_", $C$7, "_", $C$6), OpenLCAbasic!$M:$M,0))</f>
        <v>2.7E-4</v>
      </c>
      <c r="AI15" s="257">
        <f>INDEX(OpenLCAbasic!$J:$J, MATCH(CONCATENATE($C$5,"_", 'AD Scenarios'!AI$12,"_","Upgraded_",INDEX(LookUps!$E$5:$E$12,MATCH('AD Scenarios'!AI$11, LookUps!$C$5:$C$12,0)),"_", 'AD Scenarios'!$D15,"_", $C$7, "_", $C$6), OpenLCAbasic!$M:$M,0))</f>
        <v>2.7E-4</v>
      </c>
      <c r="AJ15" s="258"/>
      <c r="AK15" s="256">
        <f>INDEX(OpenLCAbasic!$J:$J, MATCH(CONCATENATE($C$5,"_", 'AD Scenarios'!AK$12,"_","Upgraded_",INDEX(LookUps!$E$5:$E$12,MATCH('AD Scenarios'!AK$11, LookUps!$C$5:$C$12,0)),"_", 'AD Scenarios'!$D15,"_", $C$7, "_", $C$6), OpenLCAbasic!$M:$M,0))</f>
        <v>1.9400000000000001E-2</v>
      </c>
      <c r="AL15" s="256">
        <f>INDEX(OpenLCAbasic!$J:$J, MATCH(CONCATENATE($C$5,"_", 'AD Scenarios'!AL$12,"_","Upgraded_",INDEX(LookUps!$E$5:$E$12,MATCH('AD Scenarios'!AL$11, LookUps!$C$5:$C$12,0)),"_", 'AD Scenarios'!$D15,"_", $C$7, "_", $C$6), OpenLCAbasic!$M:$M,0))</f>
        <v>1.9400000000000001E-2</v>
      </c>
      <c r="AM15" s="256">
        <f>INDEX(OpenLCAbasic!$J:$J, MATCH(CONCATENATE($C$5,"_", 'AD Scenarios'!AM$12,"_","Upgraded_",INDEX(LookUps!$E$5:$E$12,MATCH('AD Scenarios'!AM$11, LookUps!$C$5:$C$12,0)),"_", 'AD Scenarios'!$D15,"_", $C$7, "_", $C$6), OpenLCAbasic!$M:$M,0))</f>
        <v>1.9400000000000001E-2</v>
      </c>
      <c r="AN15" s="256">
        <f>INDEX(OpenLCAbasic!$J:$J, MATCH(CONCATENATE($C$5,"_", 'AD Scenarios'!AN$12,"_","Upgraded_",INDEX(LookUps!$E$5:$E$12,MATCH('AD Scenarios'!AN$11, LookUps!$C$5:$C$12,0)),"_", 'AD Scenarios'!$D15,"_", $C$7, "_", $C$6), OpenLCAbasic!$M:$M,0))</f>
        <v>1.9400000000000001E-2</v>
      </c>
      <c r="AO15" s="256">
        <f>INDEX(OpenLCAbasic!$J:$J, MATCH(CONCATENATE($C$5,"_", 'AD Scenarios'!AO$12,"_","Upgraded_",INDEX(LookUps!$E$5:$E$12,MATCH('AD Scenarios'!AO$11, LookUps!$C$5:$C$12,0)),"_", 'AD Scenarios'!$D15,"_", $C$7, "_", $C$6), OpenLCAbasic!$M:$M,0))</f>
        <v>1.9400000000000001E-2</v>
      </c>
      <c r="AP15" s="256">
        <f>INDEX(OpenLCAbasic!$J:$J, MATCH(CONCATENATE($C$5,"_", 'AD Scenarios'!AP$12,"_","Upgraded_",INDEX(LookUps!$E$5:$E$12,MATCH('AD Scenarios'!AP$11, LookUps!$C$5:$C$12,0)),"_", 'AD Scenarios'!$D15,"_", $C$7, "_", $C$6), OpenLCAbasic!$M:$M,0))</f>
        <v>1.9400000000000001E-2</v>
      </c>
      <c r="AQ15" s="256">
        <f>INDEX(OpenLCAbasic!$J:$J, MATCH(CONCATENATE($C$5,"_", 'AD Scenarios'!AQ$12,"_","Upgraded_",INDEX(LookUps!$E$5:$E$12,MATCH('AD Scenarios'!AQ$11, LookUps!$C$5:$C$12,0)),"_", 'AD Scenarios'!$D15,"_", $C$7, "_", $C$6), OpenLCAbasic!$M:$M,0))</f>
        <v>1.9400000000000001E-2</v>
      </c>
      <c r="AR15" s="256">
        <f>INDEX(OpenLCAbasic!$J:$J, MATCH(CONCATENATE($C$5,"_", 'AD Scenarios'!AR$12,"_","Upgraded_",INDEX(LookUps!$E$5:$E$12,MATCH('AD Scenarios'!AR$11, LookUps!$C$5:$C$12,0)),"_", 'AD Scenarios'!$D15,"_", $C$7, "_", $C$6), OpenLCAbasic!$M:$M,0))</f>
        <v>1.9400000000000001E-2</v>
      </c>
      <c r="AS15" s="256">
        <f>INDEX(OpenLCAbasic!$J:$J, MATCH(CONCATENATE($C$5,"_", 'AD Scenarios'!AS$12,"_","Upgraded_",INDEX(LookUps!$E$5:$E$12,MATCH('AD Scenarios'!AS$11, LookUps!$C$5:$C$12,0)),"_", 'AD Scenarios'!$D15,"_", $C$7, "_", $C$6), OpenLCAbasic!$M:$M,0))</f>
        <v>1.9400000000000001E-2</v>
      </c>
      <c r="AT15" s="258"/>
      <c r="AU15" s="257">
        <f>INDEX(OpenLCAbasic!$J:$J, MATCH(CONCATENATE($C$5,"_", 'AD Scenarios'!AU$12,"_","Upgraded_",INDEX(LookUps!$E$5:$E$12,MATCH('AD Scenarios'!AU$11, LookUps!$C$5:$C$12,0)),"_", 'AD Scenarios'!$D15,"_", $C$7, "_", $C$6), OpenLCAbasic!$M:$M,0))</f>
        <v>2.0699999999999998E-3</v>
      </c>
      <c r="AV15" s="257">
        <f>INDEX(OpenLCAbasic!$J:$J, MATCH(CONCATENATE($C$5,"_", 'AD Scenarios'!AV$12,"_","Upgraded_",INDEX(LookUps!$E$5:$E$12,MATCH('AD Scenarios'!AV$11, LookUps!$C$5:$C$12,0)),"_", 'AD Scenarios'!$D15,"_", $C$7, "_", $C$6), OpenLCAbasic!$M:$M,0))</f>
        <v>2.0699999999999998E-3</v>
      </c>
      <c r="AW15" s="257">
        <f>INDEX(OpenLCAbasic!$J:$J, MATCH(CONCATENATE($C$5,"_", 'AD Scenarios'!AW$12,"_","Upgraded_",INDEX(LookUps!$E$5:$E$12,MATCH('AD Scenarios'!AW$11, LookUps!$C$5:$C$12,0)),"_", 'AD Scenarios'!$D15,"_", $C$7, "_", $C$6), OpenLCAbasic!$M:$M,0))</f>
        <v>2.0699999999999998E-3</v>
      </c>
      <c r="AX15" s="257">
        <f>INDEX(OpenLCAbasic!$J:$J, MATCH(CONCATENATE($C$5,"_", 'AD Scenarios'!AX$12,"_","Upgraded_",INDEX(LookUps!$E$5:$E$12,MATCH('AD Scenarios'!AX$11, LookUps!$C$5:$C$12,0)),"_", 'AD Scenarios'!$D15,"_", $C$7, "_", $C$6), OpenLCAbasic!$M:$M,0))</f>
        <v>2.0699999999999998E-3</v>
      </c>
      <c r="AY15" s="257">
        <f>INDEX(OpenLCAbasic!$J:$J, MATCH(CONCATENATE($C$5,"_", 'AD Scenarios'!AY$12,"_","Upgraded_",INDEX(LookUps!$E$5:$E$12,MATCH('AD Scenarios'!AY$11, LookUps!$C$5:$C$12,0)),"_", 'AD Scenarios'!$D15,"_", $C$7, "_", $C$6), OpenLCAbasic!$M:$M,0))</f>
        <v>2.0699999999999998E-3</v>
      </c>
      <c r="AZ15" s="257">
        <f>INDEX(OpenLCAbasic!$J:$J, MATCH(CONCATENATE($C$5,"_", 'AD Scenarios'!AZ$12,"_","Upgraded_",INDEX(LookUps!$E$5:$E$12,MATCH('AD Scenarios'!AZ$11, LookUps!$C$5:$C$12,0)),"_", 'AD Scenarios'!$D15,"_", $C$7, "_", $C$6), OpenLCAbasic!$M:$M,0))</f>
        <v>2.0699999999999998E-3</v>
      </c>
      <c r="BA15" s="257">
        <f>INDEX(OpenLCAbasic!$J:$J, MATCH(CONCATENATE($C$5,"_", 'AD Scenarios'!BA$12,"_","Upgraded_",INDEX(LookUps!$E$5:$E$12,MATCH('AD Scenarios'!BA$11, LookUps!$C$5:$C$12,0)),"_", 'AD Scenarios'!$D15,"_", $C$7, "_", $C$6), OpenLCAbasic!$M:$M,0))</f>
        <v>2.0699999999999998E-3</v>
      </c>
      <c r="BB15" s="257">
        <f>INDEX(OpenLCAbasic!$J:$J, MATCH(CONCATENATE($C$5,"_", 'AD Scenarios'!BB$12,"_","Upgraded_",INDEX(LookUps!$E$5:$E$12,MATCH('AD Scenarios'!BB$11, LookUps!$C$5:$C$12,0)),"_", 'AD Scenarios'!$D15,"_", $C$7, "_", $C$6), OpenLCAbasic!$M:$M,0))</f>
        <v>2.0699999999999998E-3</v>
      </c>
      <c r="BC15" s="257">
        <f>INDEX(OpenLCAbasic!$J:$J, MATCH(CONCATENATE($C$5,"_", 'AD Scenarios'!BC$12,"_","Upgraded_",INDEX(LookUps!$E$5:$E$12,MATCH('AD Scenarios'!BC$11, LookUps!$C$5:$C$12,0)),"_", 'AD Scenarios'!$D15,"_", $C$7, "_", $C$6), OpenLCAbasic!$M:$M,0))</f>
        <v>2.0699999999999998E-3</v>
      </c>
      <c r="BD15" s="258"/>
      <c r="BE15" s="257">
        <f>INDEX(OpenLCAbasic!$J:$J, MATCH(CONCATENATE($C$5,"_", 'AD Scenarios'!BE$12,"_","Upgraded_",INDEX(LookUps!$E$5:$E$12,MATCH('AD Scenarios'!BE$11, LookUps!$C$5:$C$12,0)),"_", 'AD Scenarios'!$D15,"_", $C$7, "_", $C$6), OpenLCAbasic!$M:$M,0))</f>
        <v>1.8000000000000001E-4</v>
      </c>
      <c r="BF15" s="257">
        <f>INDEX(OpenLCAbasic!$J:$J, MATCH(CONCATENATE($C$5,"_", 'AD Scenarios'!BF$12,"_","Upgraded_",INDEX(LookUps!$E$5:$E$12,MATCH('AD Scenarios'!BF$11, LookUps!$C$5:$C$12,0)),"_", 'AD Scenarios'!$D15,"_", $C$7, "_", $C$6), OpenLCAbasic!$M:$M,0))</f>
        <v>1.8000000000000001E-4</v>
      </c>
      <c r="BG15" s="257">
        <f>INDEX(OpenLCAbasic!$J:$J, MATCH(CONCATENATE($C$5,"_", 'AD Scenarios'!BG$12,"_","Upgraded_",INDEX(LookUps!$E$5:$E$12,MATCH('AD Scenarios'!BG$11, LookUps!$C$5:$C$12,0)),"_", 'AD Scenarios'!$D15,"_", $C$7, "_", $C$6), OpenLCAbasic!$M:$M,0))</f>
        <v>1.8000000000000001E-4</v>
      </c>
      <c r="BH15" s="257">
        <f>INDEX(OpenLCAbasic!$J:$J, MATCH(CONCATENATE($C$5,"_", 'AD Scenarios'!BH$12,"_","Upgraded_",INDEX(LookUps!$E$5:$E$12,MATCH('AD Scenarios'!BH$11, LookUps!$C$5:$C$12,0)),"_", 'AD Scenarios'!$D15,"_", $C$7, "_", $C$6), OpenLCAbasic!$M:$M,0))</f>
        <v>1.8000000000000001E-4</v>
      </c>
      <c r="BI15" s="257">
        <f>INDEX(OpenLCAbasic!$J:$J, MATCH(CONCATENATE($C$5,"_", 'AD Scenarios'!BI$12,"_","Upgraded_",INDEX(LookUps!$E$5:$E$12,MATCH('AD Scenarios'!BI$11, LookUps!$C$5:$C$12,0)),"_", 'AD Scenarios'!$D15,"_", $C$7, "_", $C$6), OpenLCAbasic!$M:$M,0))</f>
        <v>1.8000000000000001E-4</v>
      </c>
      <c r="BJ15" s="257">
        <f>INDEX(OpenLCAbasic!$J:$J, MATCH(CONCATENATE($C$5,"_", 'AD Scenarios'!BJ$12,"_","Upgraded_",INDEX(LookUps!$E$5:$E$12,MATCH('AD Scenarios'!BJ$11, LookUps!$C$5:$C$12,0)),"_", 'AD Scenarios'!$D15,"_", $C$7, "_", $C$6), OpenLCAbasic!$M:$M,0))</f>
        <v>1.8000000000000001E-4</v>
      </c>
      <c r="BK15" s="257">
        <f>INDEX(OpenLCAbasic!$J:$J, MATCH(CONCATENATE($C$5,"_", 'AD Scenarios'!BK$12,"_","Upgraded_",INDEX(LookUps!$E$5:$E$12,MATCH('AD Scenarios'!BK$11, LookUps!$C$5:$C$12,0)),"_", 'AD Scenarios'!$D15,"_", $C$7, "_", $C$6), OpenLCAbasic!$M:$M,0))</f>
        <v>1.8000000000000001E-4</v>
      </c>
      <c r="BL15" s="257">
        <f>INDEX(OpenLCAbasic!$J:$J, MATCH(CONCATENATE($C$5,"_", 'AD Scenarios'!BL$12,"_","Upgraded_",INDEX(LookUps!$E$5:$E$12,MATCH('AD Scenarios'!BL$11, LookUps!$C$5:$C$12,0)),"_", 'AD Scenarios'!$D15,"_", $C$7, "_", $C$6), OpenLCAbasic!$M:$M,0))</f>
        <v>1.8000000000000001E-4</v>
      </c>
      <c r="BM15" s="257">
        <f>INDEX(OpenLCAbasic!$J:$J, MATCH(CONCATENATE($C$5,"_", 'AD Scenarios'!BM$12,"_","Upgraded_",INDEX(LookUps!$E$5:$E$12,MATCH('AD Scenarios'!BM$11, LookUps!$C$5:$C$12,0)),"_", 'AD Scenarios'!$D15,"_", $C$7, "_", $C$6), OpenLCAbasic!$M:$M,0))</f>
        <v>1.8000000000000001E-4</v>
      </c>
      <c r="BN15" s="258"/>
      <c r="BO15" s="256">
        <f>INDEX(OpenLCAbasic!$J:$J, MATCH(CONCATENATE($C$5,"_", 'AD Scenarios'!BO$12,"_","Upgraded_",INDEX(LookUps!$E$5:$E$12,MATCH('AD Scenarios'!BO$11, LookUps!$C$5:$C$12,0)),"_", 'AD Scenarios'!$D15,"_", $C$7, "_", $C$6), OpenLCAbasic!$M:$M,0))</f>
        <v>1.5089999999999999E-2</v>
      </c>
      <c r="BP15" s="256">
        <f>INDEX(OpenLCAbasic!$J:$J, MATCH(CONCATENATE($C$5,"_", 'AD Scenarios'!BP$12,"_","Upgraded_",INDEX(LookUps!$E$5:$E$12,MATCH('AD Scenarios'!BP$11, LookUps!$C$5:$C$12,0)),"_", 'AD Scenarios'!$D15,"_", $C$7, "_", $C$6), OpenLCAbasic!$M:$M,0))</f>
        <v>1.5089999999999999E-2</v>
      </c>
      <c r="BQ15" s="256">
        <f>INDEX(OpenLCAbasic!$J:$J, MATCH(CONCATENATE($C$5,"_", 'AD Scenarios'!BQ$12,"_","Upgraded_",INDEX(LookUps!$E$5:$E$12,MATCH('AD Scenarios'!BQ$11, LookUps!$C$5:$C$12,0)),"_", 'AD Scenarios'!$D15,"_", $C$7, "_", $C$6), OpenLCAbasic!$M:$M,0))</f>
        <v>1.5089999999999999E-2</v>
      </c>
      <c r="BR15" s="256">
        <f>INDEX(OpenLCAbasic!$J:$J, MATCH(CONCATENATE($C$5,"_", 'AD Scenarios'!BR$12,"_","Upgraded_",INDEX(LookUps!$E$5:$E$12,MATCH('AD Scenarios'!BR$11, LookUps!$C$5:$C$12,0)),"_", 'AD Scenarios'!$D15,"_", $C$7, "_", $C$6), OpenLCAbasic!$M:$M,0))</f>
        <v>1.5089999999999999E-2</v>
      </c>
      <c r="BS15" s="256">
        <f>INDEX(OpenLCAbasic!$J:$J, MATCH(CONCATENATE($C$5,"_", 'AD Scenarios'!BS$12,"_","Upgraded_",INDEX(LookUps!$E$5:$E$12,MATCH('AD Scenarios'!BS$11, LookUps!$C$5:$C$12,0)),"_", 'AD Scenarios'!$D15,"_", $C$7, "_", $C$6), OpenLCAbasic!$M:$M,0))</f>
        <v>1.5089999999999999E-2</v>
      </c>
      <c r="BT15" s="256">
        <f>INDEX(OpenLCAbasic!$J:$J, MATCH(CONCATENATE($C$5,"_", 'AD Scenarios'!BT$12,"_","Upgraded_",INDEX(LookUps!$E$5:$E$12,MATCH('AD Scenarios'!BT$11, LookUps!$C$5:$C$12,0)),"_", 'AD Scenarios'!$D15,"_", $C$7, "_", $C$6), OpenLCAbasic!$M:$M,0))</f>
        <v>1.5089999999999999E-2</v>
      </c>
      <c r="BU15" s="256">
        <f>INDEX(OpenLCAbasic!$J:$J, MATCH(CONCATENATE($C$5,"_", 'AD Scenarios'!BU$12,"_","Upgraded_",INDEX(LookUps!$E$5:$E$12,MATCH('AD Scenarios'!BU$11, LookUps!$C$5:$C$12,0)),"_", 'AD Scenarios'!$D15,"_", $C$7, "_", $C$6), OpenLCAbasic!$M:$M,0))</f>
        <v>1.5089999999999999E-2</v>
      </c>
      <c r="BV15" s="256">
        <f>INDEX(OpenLCAbasic!$J:$J, MATCH(CONCATENATE($C$5,"_", 'AD Scenarios'!BV$12,"_","Upgraded_",INDEX(LookUps!$E$5:$E$12,MATCH('AD Scenarios'!BV$11, LookUps!$C$5:$C$12,0)),"_", 'AD Scenarios'!$D15,"_", $C$7, "_", $C$6), OpenLCAbasic!$M:$M,0))</f>
        <v>1.5089999999999999E-2</v>
      </c>
      <c r="BW15" s="256">
        <f>INDEX(OpenLCAbasic!$J:$J, MATCH(CONCATENATE($C$5,"_", 'AD Scenarios'!BW$12,"_","Upgraded_",INDEX(LookUps!$E$5:$E$12,MATCH('AD Scenarios'!BW$11, LookUps!$C$5:$C$12,0)),"_", 'AD Scenarios'!$D15,"_", $C$7, "_", $C$6), OpenLCAbasic!$M:$M,0))</f>
        <v>1.5089999999999999E-2</v>
      </c>
      <c r="BX15" s="258"/>
      <c r="BY15" s="256">
        <f>INDEX(OpenLCAbasic!$J:$J, MATCH(CONCATENATE($C$5,"_", 'AD Scenarios'!BY$12,"_","Upgraded_",INDEX(LookUps!$E$5:$E$12,MATCH('AD Scenarios'!BY$11, LookUps!$C$5:$C$12,0)),"_", 'AD Scenarios'!$D15,"_", $C$7, "_", $C$6), OpenLCAbasic!$M:$M,0))</f>
        <v>0.88297000000000003</v>
      </c>
      <c r="BZ15" s="256">
        <f>INDEX(OpenLCAbasic!$J:$J, MATCH(CONCATENATE($C$5,"_", 'AD Scenarios'!BZ$12,"_","Upgraded_",INDEX(LookUps!$E$5:$E$12,MATCH('AD Scenarios'!BZ$11, LookUps!$C$5:$C$12,0)),"_", 'AD Scenarios'!$D15,"_", $C$7, "_", $C$6), OpenLCAbasic!$M:$M,0))</f>
        <v>0.88297000000000003</v>
      </c>
      <c r="CA15" s="256">
        <f>INDEX(OpenLCAbasic!$J:$J, MATCH(CONCATENATE($C$5,"_", 'AD Scenarios'!CA$12,"_","Upgraded_",INDEX(LookUps!$E$5:$E$12,MATCH('AD Scenarios'!CA$11, LookUps!$C$5:$C$12,0)),"_", 'AD Scenarios'!$D15,"_", $C$7, "_", $C$6), OpenLCAbasic!$M:$M,0))</f>
        <v>0.88297000000000003</v>
      </c>
      <c r="CB15" s="256">
        <f>INDEX(OpenLCAbasic!$J:$J, MATCH(CONCATENATE($C$5,"_", 'AD Scenarios'!CB$12,"_","Upgraded_",INDEX(LookUps!$E$5:$E$12,MATCH('AD Scenarios'!CB$11, LookUps!$C$5:$C$12,0)),"_", 'AD Scenarios'!$D15,"_", $C$7, "_", $C$6), OpenLCAbasic!$M:$M,0))</f>
        <v>0.88297000000000003</v>
      </c>
      <c r="CC15" s="256">
        <f>INDEX(OpenLCAbasic!$J:$J, MATCH(CONCATENATE($C$5,"_", 'AD Scenarios'!CC$12,"_","Upgraded_",INDEX(LookUps!$E$5:$E$12,MATCH('AD Scenarios'!CC$11, LookUps!$C$5:$C$12,0)),"_", 'AD Scenarios'!$D15,"_", $C$7, "_", $C$6), OpenLCAbasic!$M:$M,0))</f>
        <v>0.88297000000000003</v>
      </c>
      <c r="CD15" s="256">
        <f>INDEX(OpenLCAbasic!$J:$J, MATCH(CONCATENATE($C$5,"_", 'AD Scenarios'!CD$12,"_","Upgraded_",INDEX(LookUps!$E$5:$E$12,MATCH('AD Scenarios'!CD$11, LookUps!$C$5:$C$12,0)),"_", 'AD Scenarios'!$D15,"_", $C$7, "_", $C$6), OpenLCAbasic!$M:$M,0))</f>
        <v>0.88297000000000003</v>
      </c>
      <c r="CE15" s="256">
        <f>INDEX(OpenLCAbasic!$J:$J, MATCH(CONCATENATE($C$5,"_", 'AD Scenarios'!CE$12,"_","Upgraded_",INDEX(LookUps!$E$5:$E$12,MATCH('AD Scenarios'!CE$11, LookUps!$C$5:$C$12,0)),"_", 'AD Scenarios'!$D15,"_", $C$7, "_", $C$6), OpenLCAbasic!$M:$M,0))</f>
        <v>0.88297000000000003</v>
      </c>
      <c r="CF15" s="256">
        <f>INDEX(OpenLCAbasic!$J:$J, MATCH(CONCATENATE($C$5,"_", 'AD Scenarios'!CF$12,"_","Upgraded_",INDEX(LookUps!$E$5:$E$12,MATCH('AD Scenarios'!CF$11, LookUps!$C$5:$C$12,0)),"_", 'AD Scenarios'!$D15,"_", $C$7, "_", $C$6), OpenLCAbasic!$M:$M,0))</f>
        <v>0.88297000000000003</v>
      </c>
      <c r="CG15" s="256">
        <f>INDEX(OpenLCAbasic!$J:$J, MATCH(CONCATENATE($C$5,"_", 'AD Scenarios'!CG$12,"_","Upgraded_",INDEX(LookUps!$E$5:$E$12,MATCH('AD Scenarios'!CG$11, LookUps!$C$5:$C$12,0)),"_", 'AD Scenarios'!$D15,"_", $C$7, "_", $C$6), OpenLCAbasic!$M:$M,0))</f>
        <v>0.88297000000000003</v>
      </c>
    </row>
    <row r="16" spans="1:85" x14ac:dyDescent="0.25">
      <c r="B16" s="363"/>
      <c r="C16" s="81" t="str">
        <f>LookUps!$H$6</f>
        <v>Screening and Grit Removal - US</v>
      </c>
      <c r="D16" s="116"/>
      <c r="E16" s="104" t="str">
        <f>LookUps!H6</f>
        <v>Screening and Grit Removal - US</v>
      </c>
      <c r="F16" s="257">
        <f>INDEX(OpenLCAbasic!$J:$J, MATCH(CONCATENATE("Base","_", 'AD Scenarios'!F$12,"_","Legacy_",INDEX(LookUps!$E$5:$E$12,MATCH('AD Scenarios'!F$11, LookUps!$C$5:$C$12,0)),"_", 'AD Scenarios'!$E16,"_", $C$8,"_","n.a." ), OpenLCAbasic!$M:$M,0))</f>
        <v>7.3200000000000001E-3</v>
      </c>
      <c r="G16" s="258"/>
      <c r="H16" s="258"/>
      <c r="I16" s="258"/>
      <c r="J16" s="258"/>
      <c r="K16" s="258"/>
      <c r="L16" s="258"/>
      <c r="M16" s="258"/>
      <c r="N16" s="258"/>
      <c r="O16" s="258"/>
      <c r="P16" s="257">
        <f>INDEX(OpenLCAbasic!$J:$J, MATCH(CONCATENATE("Base","_", 'AD Scenarios'!P$12,"_","Legacy_",INDEX(LookUps!$E$5:$E$12,MATCH('AD Scenarios'!P$11, LookUps!$C$5:$C$12,0)),"_", 'AD Scenarios'!$E16,"_", $C$8,"_","n.a." ), OpenLCAbasic!$M:$M,0))</f>
        <v>2.4301600000000001E-5</v>
      </c>
      <c r="Q16" s="258"/>
      <c r="R16" s="258"/>
      <c r="S16" s="258"/>
      <c r="T16" s="258"/>
      <c r="U16" s="258"/>
      <c r="V16" s="258"/>
      <c r="W16" s="258"/>
      <c r="X16" s="258"/>
      <c r="Y16" s="258"/>
      <c r="Z16" s="257">
        <f>INDEX(OpenLCAbasic!$J:$J, MATCH(CONCATENATE("Base","_", 'AD Scenarios'!Z$12,"_","Legacy_",INDEX(LookUps!$E$5:$E$12,MATCH('AD Scenarios'!Z$11, LookUps!$C$5:$C$12,0)),"_", 'AD Scenarios'!$E16,"_", $C$8,"_","n.a." ), OpenLCAbasic!$M:$M,0))</f>
        <v>9.7983299999999994E-5</v>
      </c>
      <c r="AA16" s="258"/>
      <c r="AB16" s="258"/>
      <c r="AC16" s="258"/>
      <c r="AD16" s="258"/>
      <c r="AE16" s="258"/>
      <c r="AF16" s="258"/>
      <c r="AG16" s="258"/>
      <c r="AH16" s="258"/>
      <c r="AI16" s="258"/>
      <c r="AJ16" s="257">
        <f>INDEX(OpenLCAbasic!$J:$J, MATCH(CONCATENATE("Base","_", 'AD Scenarios'!AJ$12,"_","Legacy_",INDEX(LookUps!$E$5:$E$12,MATCH('AD Scenarios'!AJ$11, LookUps!$C$5:$C$12,0)),"_", 'AD Scenarios'!$E16,"_", $C$8,"_","n.a." ), OpenLCAbasic!$M:$M,0))</f>
        <v>6.9499999999999996E-3</v>
      </c>
      <c r="AK16" s="258"/>
      <c r="AL16" s="258"/>
      <c r="AM16" s="258"/>
      <c r="AN16" s="258"/>
      <c r="AO16" s="258"/>
      <c r="AP16" s="258"/>
      <c r="AQ16" s="258"/>
      <c r="AR16" s="258"/>
      <c r="AS16" s="258"/>
      <c r="AT16" s="257">
        <f>INDEX(OpenLCAbasic!$J:$J, MATCH(CONCATENATE("Base","_", 'AD Scenarios'!AT$12,"_","Legacy_",INDEX(LookUps!$E$5:$E$12,MATCH('AD Scenarios'!AT$11, LookUps!$C$5:$C$12,0)),"_", 'AD Scenarios'!$E16,"_", $C$8,"_","n.a." ), OpenLCAbasic!$M:$M,0))</f>
        <v>7.2000000000000005E-4</v>
      </c>
      <c r="AU16" s="258"/>
      <c r="AV16" s="258"/>
      <c r="AW16" s="258"/>
      <c r="AX16" s="258"/>
      <c r="AY16" s="258"/>
      <c r="AZ16" s="258"/>
      <c r="BA16" s="258"/>
      <c r="BB16" s="258"/>
      <c r="BC16" s="258"/>
      <c r="BD16" s="257">
        <f>INDEX(OpenLCAbasic!$J:$J, MATCH(CONCATENATE("Base","_", 'AD Scenarios'!BD$12,"_","Legacy_",INDEX(LookUps!$E$5:$E$12,MATCH('AD Scenarios'!BD$11, LookUps!$C$5:$C$12,0)),"_", 'AD Scenarios'!$E16,"_", $C$8,"_","n.a." ), OpenLCAbasic!$M:$M,0))</f>
        <v>9.9884700000000006E-6</v>
      </c>
      <c r="BE16" s="258"/>
      <c r="BF16" s="258"/>
      <c r="BG16" s="258"/>
      <c r="BH16" s="258"/>
      <c r="BI16" s="258"/>
      <c r="BJ16" s="258"/>
      <c r="BK16" s="258"/>
      <c r="BL16" s="258"/>
      <c r="BM16" s="258"/>
      <c r="BN16" s="257">
        <f>INDEX(OpenLCAbasic!$J:$J, MATCH(CONCATENATE("Base","_", 'AD Scenarios'!BN$12,"_","Legacy_",INDEX(LookUps!$E$5:$E$12,MATCH('AD Scenarios'!BN$11, LookUps!$C$5:$C$12,0)),"_", 'AD Scenarios'!$E16,"_", $C$8,"_","n.a." ), OpenLCAbasic!$M:$M,0))</f>
        <v>2.7499999999999998E-3</v>
      </c>
      <c r="BO16" s="258"/>
      <c r="BP16" s="258"/>
      <c r="BQ16" s="258"/>
      <c r="BR16" s="258"/>
      <c r="BS16" s="258"/>
      <c r="BT16" s="258"/>
      <c r="BU16" s="258"/>
      <c r="BV16" s="258"/>
      <c r="BW16" s="258"/>
      <c r="BX16" s="256">
        <f>INDEX(OpenLCAbasic!$J:$J, MATCH(CONCATENATE("Base","_", 'AD Scenarios'!BX$12,"_","Legacy_",INDEX(LookUps!$E$5:$E$12,MATCH('AD Scenarios'!BX$11, LookUps!$C$5:$C$12,0)),"_", 'AD Scenarios'!$E16,"_", $C$8,"_","n.a." ), OpenLCAbasic!$M:$M,0))</f>
        <v>0.1525</v>
      </c>
      <c r="BY16" s="258"/>
      <c r="BZ16" s="258"/>
      <c r="CA16" s="258"/>
      <c r="CB16" s="258"/>
      <c r="CC16" s="258"/>
      <c r="CD16" s="258"/>
      <c r="CE16" s="258"/>
      <c r="CF16" s="258"/>
      <c r="CG16" s="258"/>
    </row>
    <row r="17" spans="2:85" x14ac:dyDescent="0.25">
      <c r="B17" s="363"/>
      <c r="C17" s="81" t="str">
        <f>LookUps!$G$8</f>
        <v>Clear Cove Primary Clarification; wastewater treatment unit; at updated plant - US</v>
      </c>
      <c r="D17" s="115" t="str">
        <f>LookUps!G8</f>
        <v>Clear Cove Primary Clarification; wastewater treatment unit; at updated plant - US</v>
      </c>
      <c r="E17" s="107"/>
      <c r="F17" s="258"/>
      <c r="G17" s="256">
        <f>INDEX(OpenLCAbasic!$J:$J, MATCH(CONCATENATE($C$5,"_", 'AD Scenarios'!G$12,"_","Upgraded_",INDEX(LookUps!$E$5:$E$12,MATCH('AD Scenarios'!G$11, LookUps!$C$5:$C$12,0)),"_", 'AD Scenarios'!$D17,"_", $C$7, "_", $C$6), OpenLCAbasic!$M:$M,0))</f>
        <v>5.7079999999999999E-2</v>
      </c>
      <c r="H17" s="256">
        <f>INDEX(OpenLCAbasic!$J:$J, MATCH(CONCATENATE($C$5,"_", 'AD Scenarios'!H$12,"_","Upgraded_",INDEX(LookUps!$E$5:$E$12,MATCH('AD Scenarios'!H$11, LookUps!$C$5:$C$12,0)),"_", 'AD Scenarios'!$D17,"_", $C$7, "_", $C$6), OpenLCAbasic!$M:$M,0))</f>
        <v>5.7079999999999999E-2</v>
      </c>
      <c r="I17" s="256">
        <f>INDEX(OpenLCAbasic!$J:$J, MATCH(CONCATENATE($C$5,"_", 'AD Scenarios'!I$12,"_","Upgraded_",INDEX(LookUps!$E$5:$E$12,MATCH('AD Scenarios'!I$11, LookUps!$C$5:$C$12,0)),"_", 'AD Scenarios'!$D17,"_", $C$7, "_", $C$6), OpenLCAbasic!$M:$M,0))</f>
        <v>5.7079999999999999E-2</v>
      </c>
      <c r="J17" s="256">
        <f>INDEX(OpenLCAbasic!$J:$J, MATCH(CONCATENATE($C$5,"_", 'AD Scenarios'!J$12,"_","Upgraded_",INDEX(LookUps!$E$5:$E$12,MATCH('AD Scenarios'!J$11, LookUps!$C$5:$C$12,0)),"_", 'AD Scenarios'!$D17,"_", $C$7, "_", $C$6), OpenLCAbasic!$M:$M,0))</f>
        <v>5.7079999999999999E-2</v>
      </c>
      <c r="K17" s="256">
        <f>INDEX(OpenLCAbasic!$J:$J, MATCH(CONCATENATE($C$5,"_", 'AD Scenarios'!K$12,"_","Upgraded_",INDEX(LookUps!$E$5:$E$12,MATCH('AD Scenarios'!K$11, LookUps!$C$5:$C$12,0)),"_", 'AD Scenarios'!$D17,"_", $C$7, "_", $C$6), OpenLCAbasic!$M:$M,0))</f>
        <v>5.7079999999999999E-2</v>
      </c>
      <c r="L17" s="256">
        <f>INDEX(OpenLCAbasic!$J:$J, MATCH(CONCATENATE($C$5,"_", 'AD Scenarios'!L$12,"_","Upgraded_",INDEX(LookUps!$E$5:$E$12,MATCH('AD Scenarios'!L$11, LookUps!$C$5:$C$12,0)),"_", 'AD Scenarios'!$D17,"_", $C$7, "_", $C$6), OpenLCAbasic!$M:$M,0))</f>
        <v>5.7079999999999999E-2</v>
      </c>
      <c r="M17" s="256">
        <f>INDEX(OpenLCAbasic!$J:$J, MATCH(CONCATENATE($C$5,"_", 'AD Scenarios'!M$12,"_","Upgraded_",INDEX(LookUps!$E$5:$E$12,MATCH('AD Scenarios'!M$11, LookUps!$C$5:$C$12,0)),"_", 'AD Scenarios'!$D17,"_", $C$7, "_", $C$6), OpenLCAbasic!$M:$M,0))</f>
        <v>5.7079999999999999E-2</v>
      </c>
      <c r="N17" s="256">
        <f>INDEX(OpenLCAbasic!$J:$J, MATCH(CONCATENATE($C$5,"_", 'AD Scenarios'!N$12,"_","Upgraded_",INDEX(LookUps!$E$5:$E$12,MATCH('AD Scenarios'!N$11, LookUps!$C$5:$C$12,0)),"_", 'AD Scenarios'!$D17,"_", $C$7, "_", $C$6), OpenLCAbasic!$M:$M,0))</f>
        <v>5.7079999999999999E-2</v>
      </c>
      <c r="O17" s="256">
        <f>INDEX(OpenLCAbasic!$J:$J, MATCH(CONCATENATE($C$5,"_", 'AD Scenarios'!O$12,"_","Upgraded_",INDEX(LookUps!$E$5:$E$12,MATCH('AD Scenarios'!O$11, LookUps!$C$5:$C$12,0)),"_", 'AD Scenarios'!$D17,"_", $C$7, "_", $C$6), OpenLCAbasic!$M:$M,0))</f>
        <v>5.7079999999999999E-2</v>
      </c>
      <c r="P17" s="258"/>
      <c r="Q17" s="257">
        <f>INDEX(OpenLCAbasic!$J:$J, MATCH(CONCATENATE($C$5,"_", 'AD Scenarios'!Q$12,"_","Upgraded_",INDEX(LookUps!$E$5:$E$12,MATCH('AD Scenarios'!Q$11, LookUps!$C$5:$C$12,0)),"_", 'AD Scenarios'!$D17,"_", $C$7, "_", $C$6), OpenLCAbasic!$M:$M,0))</f>
        <v>2.0000000000000001E-4</v>
      </c>
      <c r="R17" s="257">
        <f>INDEX(OpenLCAbasic!$J:$J, MATCH(CONCATENATE($C$5,"_", 'AD Scenarios'!R$12,"_","Upgraded_",INDEX(LookUps!$E$5:$E$12,MATCH('AD Scenarios'!R$11, LookUps!$C$5:$C$12,0)),"_", 'AD Scenarios'!$D17,"_", $C$7, "_", $C$6), OpenLCAbasic!$M:$M,0))</f>
        <v>2.0000000000000001E-4</v>
      </c>
      <c r="S17" s="257">
        <f>INDEX(OpenLCAbasic!$J:$J, MATCH(CONCATENATE($C$5,"_", 'AD Scenarios'!S$12,"_","Upgraded_",INDEX(LookUps!$E$5:$E$12,MATCH('AD Scenarios'!S$11, LookUps!$C$5:$C$12,0)),"_", 'AD Scenarios'!$D17,"_", $C$7, "_", $C$6), OpenLCAbasic!$M:$M,0))</f>
        <v>2.0000000000000001E-4</v>
      </c>
      <c r="T17" s="257">
        <f>INDEX(OpenLCAbasic!$J:$J, MATCH(CONCATENATE($C$5,"_", 'AD Scenarios'!T$12,"_","Upgraded_",INDEX(LookUps!$E$5:$E$12,MATCH('AD Scenarios'!T$11, LookUps!$C$5:$C$12,0)),"_", 'AD Scenarios'!$D17,"_", $C$7, "_", $C$6), OpenLCAbasic!$M:$M,0))</f>
        <v>2.0000000000000001E-4</v>
      </c>
      <c r="U17" s="257">
        <f>INDEX(OpenLCAbasic!$J:$J, MATCH(CONCATENATE($C$5,"_", 'AD Scenarios'!U$12,"_","Upgraded_",INDEX(LookUps!$E$5:$E$12,MATCH('AD Scenarios'!U$11, LookUps!$C$5:$C$12,0)),"_", 'AD Scenarios'!$D17,"_", $C$7, "_", $C$6), OpenLCAbasic!$M:$M,0))</f>
        <v>2.0000000000000001E-4</v>
      </c>
      <c r="V17" s="257">
        <f>INDEX(OpenLCAbasic!$J:$J, MATCH(CONCATENATE($C$5,"_", 'AD Scenarios'!V$12,"_","Upgraded_",INDEX(LookUps!$E$5:$E$12,MATCH('AD Scenarios'!V$11, LookUps!$C$5:$C$12,0)),"_", 'AD Scenarios'!$D17,"_", $C$7, "_", $C$6), OpenLCAbasic!$M:$M,0))</f>
        <v>2.0000000000000001E-4</v>
      </c>
      <c r="W17" s="257">
        <f>INDEX(OpenLCAbasic!$J:$J, MATCH(CONCATENATE($C$5,"_", 'AD Scenarios'!W$12,"_","Upgraded_",INDEX(LookUps!$E$5:$E$12,MATCH('AD Scenarios'!W$11, LookUps!$C$5:$C$12,0)),"_", 'AD Scenarios'!$D17,"_", $C$7, "_", $C$6), OpenLCAbasic!$M:$M,0))</f>
        <v>2.0000000000000001E-4</v>
      </c>
      <c r="X17" s="257">
        <f>INDEX(OpenLCAbasic!$J:$J, MATCH(CONCATENATE($C$5,"_", 'AD Scenarios'!X$12,"_","Upgraded_",INDEX(LookUps!$E$5:$E$12,MATCH('AD Scenarios'!X$11, LookUps!$C$5:$C$12,0)),"_", 'AD Scenarios'!$D17,"_", $C$7, "_", $C$6), OpenLCAbasic!$M:$M,0))</f>
        <v>2.0000000000000001E-4</v>
      </c>
      <c r="Y17" s="257">
        <f>INDEX(OpenLCAbasic!$J:$J, MATCH(CONCATENATE($C$5,"_", 'AD Scenarios'!Y$12,"_","Upgraded_",INDEX(LookUps!$E$5:$E$12,MATCH('AD Scenarios'!Y$11, LookUps!$C$5:$C$12,0)),"_", 'AD Scenarios'!$D17,"_", $C$7, "_", $C$6), OpenLCAbasic!$M:$M,0))</f>
        <v>2.0000000000000001E-4</v>
      </c>
      <c r="Z17" s="258"/>
      <c r="AA17" s="257">
        <f>INDEX(OpenLCAbasic!$J:$J, MATCH(CONCATENATE($C$5,"_", 'AD Scenarios'!AA$12,"_","Upgraded_",INDEX(LookUps!$E$5:$E$12,MATCH('AD Scenarios'!AA$11, LookUps!$C$5:$C$12,0)),"_", 'AD Scenarios'!$D17,"_", $C$7, "_", $C$6), OpenLCAbasic!$M:$M,0))</f>
        <v>6.8000000000000005E-4</v>
      </c>
      <c r="AB17" s="257">
        <f>INDEX(OpenLCAbasic!$J:$J, MATCH(CONCATENATE($C$5,"_", 'AD Scenarios'!AB$12,"_","Upgraded_",INDEX(LookUps!$E$5:$E$12,MATCH('AD Scenarios'!AB$11, LookUps!$C$5:$C$12,0)),"_", 'AD Scenarios'!$D17,"_", $C$7, "_", $C$6), OpenLCAbasic!$M:$M,0))</f>
        <v>6.8000000000000005E-4</v>
      </c>
      <c r="AC17" s="257">
        <f>INDEX(OpenLCAbasic!$J:$J, MATCH(CONCATENATE($C$5,"_", 'AD Scenarios'!AC$12,"_","Upgraded_",INDEX(LookUps!$E$5:$E$12,MATCH('AD Scenarios'!AC$11, LookUps!$C$5:$C$12,0)),"_", 'AD Scenarios'!$D17,"_", $C$7, "_", $C$6), OpenLCAbasic!$M:$M,0))</f>
        <v>6.8000000000000005E-4</v>
      </c>
      <c r="AD17" s="257">
        <f>INDEX(OpenLCAbasic!$J:$J, MATCH(CONCATENATE($C$5,"_", 'AD Scenarios'!AD$12,"_","Upgraded_",INDEX(LookUps!$E$5:$E$12,MATCH('AD Scenarios'!AD$11, LookUps!$C$5:$C$12,0)),"_", 'AD Scenarios'!$D17,"_", $C$7, "_", $C$6), OpenLCAbasic!$M:$M,0))</f>
        <v>6.8000000000000005E-4</v>
      </c>
      <c r="AE17" s="257">
        <f>INDEX(OpenLCAbasic!$J:$J, MATCH(CONCATENATE($C$5,"_", 'AD Scenarios'!AE$12,"_","Upgraded_",INDEX(LookUps!$E$5:$E$12,MATCH('AD Scenarios'!AE$11, LookUps!$C$5:$C$12,0)),"_", 'AD Scenarios'!$D17,"_", $C$7, "_", $C$6), OpenLCAbasic!$M:$M,0))</f>
        <v>6.8000000000000005E-4</v>
      </c>
      <c r="AF17" s="257">
        <f>INDEX(OpenLCAbasic!$J:$J, MATCH(CONCATENATE($C$5,"_", 'AD Scenarios'!AF$12,"_","Upgraded_",INDEX(LookUps!$E$5:$E$12,MATCH('AD Scenarios'!AF$11, LookUps!$C$5:$C$12,0)),"_", 'AD Scenarios'!$D17,"_", $C$7, "_", $C$6), OpenLCAbasic!$M:$M,0))</f>
        <v>6.8000000000000005E-4</v>
      </c>
      <c r="AG17" s="257">
        <f>INDEX(OpenLCAbasic!$J:$J, MATCH(CONCATENATE($C$5,"_", 'AD Scenarios'!AG$12,"_","Upgraded_",INDEX(LookUps!$E$5:$E$12,MATCH('AD Scenarios'!AG$11, LookUps!$C$5:$C$12,0)),"_", 'AD Scenarios'!$D17,"_", $C$7, "_", $C$6), OpenLCAbasic!$M:$M,0))</f>
        <v>6.8000000000000005E-4</v>
      </c>
      <c r="AH17" s="257">
        <f>INDEX(OpenLCAbasic!$J:$J, MATCH(CONCATENATE($C$5,"_", 'AD Scenarios'!AH$12,"_","Upgraded_",INDEX(LookUps!$E$5:$E$12,MATCH('AD Scenarios'!AH$11, LookUps!$C$5:$C$12,0)),"_", 'AD Scenarios'!$D17,"_", $C$7, "_", $C$6), OpenLCAbasic!$M:$M,0))</f>
        <v>6.8000000000000005E-4</v>
      </c>
      <c r="AI17" s="257">
        <f>INDEX(OpenLCAbasic!$J:$J, MATCH(CONCATENATE($C$5,"_", 'AD Scenarios'!AI$12,"_","Upgraded_",INDEX(LookUps!$E$5:$E$12,MATCH('AD Scenarios'!AI$11, LookUps!$C$5:$C$12,0)),"_", 'AD Scenarios'!$D17,"_", $C$7, "_", $C$6), OpenLCAbasic!$M:$M,0))</f>
        <v>6.8000000000000005E-4</v>
      </c>
      <c r="AJ17" s="258"/>
      <c r="AK17" s="256">
        <f>INDEX(OpenLCAbasic!$J:$J, MATCH(CONCATENATE($C$5,"_", 'AD Scenarios'!AK$12,"_","Upgraded_",INDEX(LookUps!$E$5:$E$12,MATCH('AD Scenarios'!AK$11, LookUps!$C$5:$C$12,0)),"_", 'AD Scenarios'!$D17,"_", $C$7, "_", $C$6), OpenLCAbasic!$M:$M,0))</f>
        <v>4.8070000000000002E-2</v>
      </c>
      <c r="AL17" s="256">
        <f>INDEX(OpenLCAbasic!$J:$J, MATCH(CONCATENATE($C$5,"_", 'AD Scenarios'!AL$12,"_","Upgraded_",INDEX(LookUps!$E$5:$E$12,MATCH('AD Scenarios'!AL$11, LookUps!$C$5:$C$12,0)),"_", 'AD Scenarios'!$D17,"_", $C$7, "_", $C$6), OpenLCAbasic!$M:$M,0))</f>
        <v>4.8070000000000002E-2</v>
      </c>
      <c r="AM17" s="256">
        <f>INDEX(OpenLCAbasic!$J:$J, MATCH(CONCATENATE($C$5,"_", 'AD Scenarios'!AM$12,"_","Upgraded_",INDEX(LookUps!$E$5:$E$12,MATCH('AD Scenarios'!AM$11, LookUps!$C$5:$C$12,0)),"_", 'AD Scenarios'!$D17,"_", $C$7, "_", $C$6), OpenLCAbasic!$M:$M,0))</f>
        <v>4.8070000000000002E-2</v>
      </c>
      <c r="AN17" s="256">
        <f>INDEX(OpenLCAbasic!$J:$J, MATCH(CONCATENATE($C$5,"_", 'AD Scenarios'!AN$12,"_","Upgraded_",INDEX(LookUps!$E$5:$E$12,MATCH('AD Scenarios'!AN$11, LookUps!$C$5:$C$12,0)),"_", 'AD Scenarios'!$D17,"_", $C$7, "_", $C$6), OpenLCAbasic!$M:$M,0))</f>
        <v>4.8070000000000002E-2</v>
      </c>
      <c r="AO17" s="256">
        <f>INDEX(OpenLCAbasic!$J:$J, MATCH(CONCATENATE($C$5,"_", 'AD Scenarios'!AO$12,"_","Upgraded_",INDEX(LookUps!$E$5:$E$12,MATCH('AD Scenarios'!AO$11, LookUps!$C$5:$C$12,0)),"_", 'AD Scenarios'!$D17,"_", $C$7, "_", $C$6), OpenLCAbasic!$M:$M,0))</f>
        <v>4.8070000000000002E-2</v>
      </c>
      <c r="AP17" s="256">
        <f>INDEX(OpenLCAbasic!$J:$J, MATCH(CONCATENATE($C$5,"_", 'AD Scenarios'!AP$12,"_","Upgraded_",INDEX(LookUps!$E$5:$E$12,MATCH('AD Scenarios'!AP$11, LookUps!$C$5:$C$12,0)),"_", 'AD Scenarios'!$D17,"_", $C$7, "_", $C$6), OpenLCAbasic!$M:$M,0))</f>
        <v>4.8070000000000002E-2</v>
      </c>
      <c r="AQ17" s="256">
        <f>INDEX(OpenLCAbasic!$J:$J, MATCH(CONCATENATE($C$5,"_", 'AD Scenarios'!AQ$12,"_","Upgraded_",INDEX(LookUps!$E$5:$E$12,MATCH('AD Scenarios'!AQ$11, LookUps!$C$5:$C$12,0)),"_", 'AD Scenarios'!$D17,"_", $C$7, "_", $C$6), OpenLCAbasic!$M:$M,0))</f>
        <v>4.8070000000000002E-2</v>
      </c>
      <c r="AR17" s="256">
        <f>INDEX(OpenLCAbasic!$J:$J, MATCH(CONCATENATE($C$5,"_", 'AD Scenarios'!AR$12,"_","Upgraded_",INDEX(LookUps!$E$5:$E$12,MATCH('AD Scenarios'!AR$11, LookUps!$C$5:$C$12,0)),"_", 'AD Scenarios'!$D17,"_", $C$7, "_", $C$6), OpenLCAbasic!$M:$M,0))</f>
        <v>4.8070000000000002E-2</v>
      </c>
      <c r="AS17" s="256">
        <f>INDEX(OpenLCAbasic!$J:$J, MATCH(CONCATENATE($C$5,"_", 'AD Scenarios'!AS$12,"_","Upgraded_",INDEX(LookUps!$E$5:$E$12,MATCH('AD Scenarios'!AS$11, LookUps!$C$5:$C$12,0)),"_", 'AD Scenarios'!$D17,"_", $C$7, "_", $C$6), OpenLCAbasic!$M:$M,0))</f>
        <v>4.8070000000000002E-2</v>
      </c>
      <c r="AT17" s="258"/>
      <c r="AU17" s="257">
        <f>INDEX(OpenLCAbasic!$J:$J, MATCH(CONCATENATE($C$5,"_", 'AD Scenarios'!AU$12,"_","Upgraded_",INDEX(LookUps!$E$5:$E$12,MATCH('AD Scenarios'!AU$11, LookUps!$C$5:$C$12,0)),"_", 'AD Scenarios'!$D17,"_", $C$7, "_", $C$6), OpenLCAbasic!$M:$M,0))</f>
        <v>4.9800000000000001E-3</v>
      </c>
      <c r="AV17" s="257">
        <f>INDEX(OpenLCAbasic!$J:$J, MATCH(CONCATENATE($C$5,"_", 'AD Scenarios'!AV$12,"_","Upgraded_",INDEX(LookUps!$E$5:$E$12,MATCH('AD Scenarios'!AV$11, LookUps!$C$5:$C$12,0)),"_", 'AD Scenarios'!$D17,"_", $C$7, "_", $C$6), OpenLCAbasic!$M:$M,0))</f>
        <v>4.9800000000000001E-3</v>
      </c>
      <c r="AW17" s="257">
        <f>INDEX(OpenLCAbasic!$J:$J, MATCH(CONCATENATE($C$5,"_", 'AD Scenarios'!AW$12,"_","Upgraded_",INDEX(LookUps!$E$5:$E$12,MATCH('AD Scenarios'!AW$11, LookUps!$C$5:$C$12,0)),"_", 'AD Scenarios'!$D17,"_", $C$7, "_", $C$6), OpenLCAbasic!$M:$M,0))</f>
        <v>4.9800000000000001E-3</v>
      </c>
      <c r="AX17" s="257">
        <f>INDEX(OpenLCAbasic!$J:$J, MATCH(CONCATENATE($C$5,"_", 'AD Scenarios'!AX$12,"_","Upgraded_",INDEX(LookUps!$E$5:$E$12,MATCH('AD Scenarios'!AX$11, LookUps!$C$5:$C$12,0)),"_", 'AD Scenarios'!$D17,"_", $C$7, "_", $C$6), OpenLCAbasic!$M:$M,0))</f>
        <v>4.9800000000000001E-3</v>
      </c>
      <c r="AY17" s="257">
        <f>INDEX(OpenLCAbasic!$J:$J, MATCH(CONCATENATE($C$5,"_", 'AD Scenarios'!AY$12,"_","Upgraded_",INDEX(LookUps!$E$5:$E$12,MATCH('AD Scenarios'!AY$11, LookUps!$C$5:$C$12,0)),"_", 'AD Scenarios'!$D17,"_", $C$7, "_", $C$6), OpenLCAbasic!$M:$M,0))</f>
        <v>4.9800000000000001E-3</v>
      </c>
      <c r="AZ17" s="257">
        <f>INDEX(OpenLCAbasic!$J:$J, MATCH(CONCATENATE($C$5,"_", 'AD Scenarios'!AZ$12,"_","Upgraded_",INDEX(LookUps!$E$5:$E$12,MATCH('AD Scenarios'!AZ$11, LookUps!$C$5:$C$12,0)),"_", 'AD Scenarios'!$D17,"_", $C$7, "_", $C$6), OpenLCAbasic!$M:$M,0))</f>
        <v>4.9800000000000001E-3</v>
      </c>
      <c r="BA17" s="257">
        <f>INDEX(OpenLCAbasic!$J:$J, MATCH(CONCATENATE($C$5,"_", 'AD Scenarios'!BA$12,"_","Upgraded_",INDEX(LookUps!$E$5:$E$12,MATCH('AD Scenarios'!BA$11, LookUps!$C$5:$C$12,0)),"_", 'AD Scenarios'!$D17,"_", $C$7, "_", $C$6), OpenLCAbasic!$M:$M,0))</f>
        <v>4.9800000000000001E-3</v>
      </c>
      <c r="BB17" s="257">
        <f>INDEX(OpenLCAbasic!$J:$J, MATCH(CONCATENATE($C$5,"_", 'AD Scenarios'!BB$12,"_","Upgraded_",INDEX(LookUps!$E$5:$E$12,MATCH('AD Scenarios'!BB$11, LookUps!$C$5:$C$12,0)),"_", 'AD Scenarios'!$D17,"_", $C$7, "_", $C$6), OpenLCAbasic!$M:$M,0))</f>
        <v>4.9800000000000001E-3</v>
      </c>
      <c r="BC17" s="257">
        <f>INDEX(OpenLCAbasic!$J:$J, MATCH(CONCATENATE($C$5,"_", 'AD Scenarios'!BC$12,"_","Upgraded_",INDEX(LookUps!$E$5:$E$12,MATCH('AD Scenarios'!BC$11, LookUps!$C$5:$C$12,0)),"_", 'AD Scenarios'!$D17,"_", $C$7, "_", $C$6), OpenLCAbasic!$M:$M,0))</f>
        <v>4.9800000000000001E-3</v>
      </c>
      <c r="BD17" s="258"/>
      <c r="BE17" s="257">
        <f>INDEX(OpenLCAbasic!$J:$J, MATCH(CONCATENATE($C$5,"_", 'AD Scenarios'!BE$12,"_","Upgraded_",INDEX(LookUps!$E$5:$E$12,MATCH('AD Scenarios'!BE$11, LookUps!$C$5:$C$12,0)),"_", 'AD Scenarios'!$D17,"_", $C$7, "_", $C$6), OpenLCAbasic!$M:$M,0))</f>
        <v>1.8000000000000001E-4</v>
      </c>
      <c r="BF17" s="257">
        <f>INDEX(OpenLCAbasic!$J:$J, MATCH(CONCATENATE($C$5,"_", 'AD Scenarios'!BF$12,"_","Upgraded_",INDEX(LookUps!$E$5:$E$12,MATCH('AD Scenarios'!BF$11, LookUps!$C$5:$C$12,0)),"_", 'AD Scenarios'!$D17,"_", $C$7, "_", $C$6), OpenLCAbasic!$M:$M,0))</f>
        <v>1.8000000000000001E-4</v>
      </c>
      <c r="BG17" s="257">
        <f>INDEX(OpenLCAbasic!$J:$J, MATCH(CONCATENATE($C$5,"_", 'AD Scenarios'!BG$12,"_","Upgraded_",INDEX(LookUps!$E$5:$E$12,MATCH('AD Scenarios'!BG$11, LookUps!$C$5:$C$12,0)),"_", 'AD Scenarios'!$D17,"_", $C$7, "_", $C$6), OpenLCAbasic!$M:$M,0))</f>
        <v>1.8000000000000001E-4</v>
      </c>
      <c r="BH17" s="257">
        <f>INDEX(OpenLCAbasic!$J:$J, MATCH(CONCATENATE($C$5,"_", 'AD Scenarios'!BH$12,"_","Upgraded_",INDEX(LookUps!$E$5:$E$12,MATCH('AD Scenarios'!BH$11, LookUps!$C$5:$C$12,0)),"_", 'AD Scenarios'!$D17,"_", $C$7, "_", $C$6), OpenLCAbasic!$M:$M,0))</f>
        <v>1.8000000000000001E-4</v>
      </c>
      <c r="BI17" s="257">
        <f>INDEX(OpenLCAbasic!$J:$J, MATCH(CONCATENATE($C$5,"_", 'AD Scenarios'!BI$12,"_","Upgraded_",INDEX(LookUps!$E$5:$E$12,MATCH('AD Scenarios'!BI$11, LookUps!$C$5:$C$12,0)),"_", 'AD Scenarios'!$D17,"_", $C$7, "_", $C$6), OpenLCAbasic!$M:$M,0))</f>
        <v>1.8000000000000001E-4</v>
      </c>
      <c r="BJ17" s="257">
        <f>INDEX(OpenLCAbasic!$J:$J, MATCH(CONCATENATE($C$5,"_", 'AD Scenarios'!BJ$12,"_","Upgraded_",INDEX(LookUps!$E$5:$E$12,MATCH('AD Scenarios'!BJ$11, LookUps!$C$5:$C$12,0)),"_", 'AD Scenarios'!$D17,"_", $C$7, "_", $C$6), OpenLCAbasic!$M:$M,0))</f>
        <v>1.8000000000000001E-4</v>
      </c>
      <c r="BK17" s="257">
        <f>INDEX(OpenLCAbasic!$J:$J, MATCH(CONCATENATE($C$5,"_", 'AD Scenarios'!BK$12,"_","Upgraded_",INDEX(LookUps!$E$5:$E$12,MATCH('AD Scenarios'!BK$11, LookUps!$C$5:$C$12,0)),"_", 'AD Scenarios'!$D17,"_", $C$7, "_", $C$6), OpenLCAbasic!$M:$M,0))</f>
        <v>1.8000000000000001E-4</v>
      </c>
      <c r="BL17" s="257">
        <f>INDEX(OpenLCAbasic!$J:$J, MATCH(CONCATENATE($C$5,"_", 'AD Scenarios'!BL$12,"_","Upgraded_",INDEX(LookUps!$E$5:$E$12,MATCH('AD Scenarios'!BL$11, LookUps!$C$5:$C$12,0)),"_", 'AD Scenarios'!$D17,"_", $C$7, "_", $C$6), OpenLCAbasic!$M:$M,0))</f>
        <v>1.8000000000000001E-4</v>
      </c>
      <c r="BM17" s="257">
        <f>INDEX(OpenLCAbasic!$J:$J, MATCH(CONCATENATE($C$5,"_", 'AD Scenarios'!BM$12,"_","Upgraded_",INDEX(LookUps!$E$5:$E$12,MATCH('AD Scenarios'!BM$11, LookUps!$C$5:$C$12,0)),"_", 'AD Scenarios'!$D17,"_", $C$7, "_", $C$6), OpenLCAbasic!$M:$M,0))</f>
        <v>1.8000000000000001E-4</v>
      </c>
      <c r="BN17" s="258"/>
      <c r="BO17" s="256">
        <f>INDEX(OpenLCAbasic!$J:$J, MATCH(CONCATENATE($C$5,"_", 'AD Scenarios'!BO$12,"_","Upgraded_",INDEX(LookUps!$E$5:$E$12,MATCH('AD Scenarios'!BO$11, LookUps!$C$5:$C$12,0)),"_", 'AD Scenarios'!$D17,"_", $C$7, "_", $C$6), OpenLCAbasic!$M:$M,0))</f>
        <v>2.1049999999999999E-2</v>
      </c>
      <c r="BP17" s="256">
        <f>INDEX(OpenLCAbasic!$J:$J, MATCH(CONCATENATE($C$5,"_", 'AD Scenarios'!BP$12,"_","Upgraded_",INDEX(LookUps!$E$5:$E$12,MATCH('AD Scenarios'!BP$11, LookUps!$C$5:$C$12,0)),"_", 'AD Scenarios'!$D17,"_", $C$7, "_", $C$6), OpenLCAbasic!$M:$M,0))</f>
        <v>2.1049999999999999E-2</v>
      </c>
      <c r="BQ17" s="256">
        <f>INDEX(OpenLCAbasic!$J:$J, MATCH(CONCATENATE($C$5,"_", 'AD Scenarios'!BQ$12,"_","Upgraded_",INDEX(LookUps!$E$5:$E$12,MATCH('AD Scenarios'!BQ$11, LookUps!$C$5:$C$12,0)),"_", 'AD Scenarios'!$D17,"_", $C$7, "_", $C$6), OpenLCAbasic!$M:$M,0))</f>
        <v>2.1049999999999999E-2</v>
      </c>
      <c r="BR17" s="256">
        <f>INDEX(OpenLCAbasic!$J:$J, MATCH(CONCATENATE($C$5,"_", 'AD Scenarios'!BR$12,"_","Upgraded_",INDEX(LookUps!$E$5:$E$12,MATCH('AD Scenarios'!BR$11, LookUps!$C$5:$C$12,0)),"_", 'AD Scenarios'!$D17,"_", $C$7, "_", $C$6), OpenLCAbasic!$M:$M,0))</f>
        <v>2.1049999999999999E-2</v>
      </c>
      <c r="BS17" s="256">
        <f>INDEX(OpenLCAbasic!$J:$J, MATCH(CONCATENATE($C$5,"_", 'AD Scenarios'!BS$12,"_","Upgraded_",INDEX(LookUps!$E$5:$E$12,MATCH('AD Scenarios'!BS$11, LookUps!$C$5:$C$12,0)),"_", 'AD Scenarios'!$D17,"_", $C$7, "_", $C$6), OpenLCAbasic!$M:$M,0))</f>
        <v>2.1049999999999999E-2</v>
      </c>
      <c r="BT17" s="256">
        <f>INDEX(OpenLCAbasic!$J:$J, MATCH(CONCATENATE($C$5,"_", 'AD Scenarios'!BT$12,"_","Upgraded_",INDEX(LookUps!$E$5:$E$12,MATCH('AD Scenarios'!BT$11, LookUps!$C$5:$C$12,0)),"_", 'AD Scenarios'!$D17,"_", $C$7, "_", $C$6), OpenLCAbasic!$M:$M,0))</f>
        <v>2.1049999999999999E-2</v>
      </c>
      <c r="BU17" s="256">
        <f>INDEX(OpenLCAbasic!$J:$J, MATCH(CONCATENATE($C$5,"_", 'AD Scenarios'!BU$12,"_","Upgraded_",INDEX(LookUps!$E$5:$E$12,MATCH('AD Scenarios'!BU$11, LookUps!$C$5:$C$12,0)),"_", 'AD Scenarios'!$D17,"_", $C$7, "_", $C$6), OpenLCAbasic!$M:$M,0))</f>
        <v>2.1049999999999999E-2</v>
      </c>
      <c r="BV17" s="256">
        <f>INDEX(OpenLCAbasic!$J:$J, MATCH(CONCATENATE($C$5,"_", 'AD Scenarios'!BV$12,"_","Upgraded_",INDEX(LookUps!$E$5:$E$12,MATCH('AD Scenarios'!BV$11, LookUps!$C$5:$C$12,0)),"_", 'AD Scenarios'!$D17,"_", $C$7, "_", $C$6), OpenLCAbasic!$M:$M,0))</f>
        <v>2.1049999999999999E-2</v>
      </c>
      <c r="BW17" s="256">
        <f>INDEX(OpenLCAbasic!$J:$J, MATCH(CONCATENATE($C$5,"_", 'AD Scenarios'!BW$12,"_","Upgraded_",INDEX(LookUps!$E$5:$E$12,MATCH('AD Scenarios'!BW$11, LookUps!$C$5:$C$12,0)),"_", 'AD Scenarios'!$D17,"_", $C$7, "_", $C$6), OpenLCAbasic!$M:$M,0))</f>
        <v>2.1049999999999999E-2</v>
      </c>
      <c r="BX17" s="258"/>
      <c r="BY17" s="71">
        <f>INDEX(OpenLCAbasic!$J:$J, MATCH(CONCATENATE($C$5,"_", 'AD Scenarios'!BY$12,"_","Upgraded_",INDEX(LookUps!$E$5:$E$12,MATCH('AD Scenarios'!BY$11, LookUps!$C$5:$C$12,0)),"_", 'AD Scenarios'!$D17,"_", $C$7, "_", $C$6), OpenLCAbasic!$M:$M,0))</f>
        <v>1.16289</v>
      </c>
      <c r="BZ17" s="71">
        <f>INDEX(OpenLCAbasic!$J:$J, MATCH(CONCATENATE($C$5,"_", 'AD Scenarios'!BZ$12,"_","Upgraded_",INDEX(LookUps!$E$5:$E$12,MATCH('AD Scenarios'!BZ$11, LookUps!$C$5:$C$12,0)),"_", 'AD Scenarios'!$D17,"_", $C$7, "_", $C$6), OpenLCAbasic!$M:$M,0))</f>
        <v>1.16289</v>
      </c>
      <c r="CA17" s="71">
        <f>INDEX(OpenLCAbasic!$J:$J, MATCH(CONCATENATE($C$5,"_", 'AD Scenarios'!CA$12,"_","Upgraded_",INDEX(LookUps!$E$5:$E$12,MATCH('AD Scenarios'!CA$11, LookUps!$C$5:$C$12,0)),"_", 'AD Scenarios'!$D17,"_", $C$7, "_", $C$6), OpenLCAbasic!$M:$M,0))</f>
        <v>1.16289</v>
      </c>
      <c r="CB17" s="71">
        <f>INDEX(OpenLCAbasic!$J:$J, MATCH(CONCATENATE($C$5,"_", 'AD Scenarios'!CB$12,"_","Upgraded_",INDEX(LookUps!$E$5:$E$12,MATCH('AD Scenarios'!CB$11, LookUps!$C$5:$C$12,0)),"_", 'AD Scenarios'!$D17,"_", $C$7, "_", $C$6), OpenLCAbasic!$M:$M,0))</f>
        <v>1.16289</v>
      </c>
      <c r="CC17" s="71">
        <f>INDEX(OpenLCAbasic!$J:$J, MATCH(CONCATENATE($C$5,"_", 'AD Scenarios'!CC$12,"_","Upgraded_",INDEX(LookUps!$E$5:$E$12,MATCH('AD Scenarios'!CC$11, LookUps!$C$5:$C$12,0)),"_", 'AD Scenarios'!$D17,"_", $C$7, "_", $C$6), OpenLCAbasic!$M:$M,0))</f>
        <v>1.16289</v>
      </c>
      <c r="CD17" s="71">
        <f>INDEX(OpenLCAbasic!$J:$J, MATCH(CONCATENATE($C$5,"_", 'AD Scenarios'!CD$12,"_","Upgraded_",INDEX(LookUps!$E$5:$E$12,MATCH('AD Scenarios'!CD$11, LookUps!$C$5:$C$12,0)),"_", 'AD Scenarios'!$D17,"_", $C$7, "_", $C$6), OpenLCAbasic!$M:$M,0))</f>
        <v>1.16289</v>
      </c>
      <c r="CE17" s="71">
        <f>INDEX(OpenLCAbasic!$J:$J, MATCH(CONCATENATE($C$5,"_", 'AD Scenarios'!CE$12,"_","Upgraded_",INDEX(LookUps!$E$5:$E$12,MATCH('AD Scenarios'!CE$11, LookUps!$C$5:$C$12,0)),"_", 'AD Scenarios'!$D17,"_", $C$7, "_", $C$6), OpenLCAbasic!$M:$M,0))</f>
        <v>1.16289</v>
      </c>
      <c r="CF17" s="71">
        <f>INDEX(OpenLCAbasic!$J:$J, MATCH(CONCATENATE($C$5,"_", 'AD Scenarios'!CF$12,"_","Upgraded_",INDEX(LookUps!$E$5:$E$12,MATCH('AD Scenarios'!CF$11, LookUps!$C$5:$C$12,0)),"_", 'AD Scenarios'!$D17,"_", $C$7, "_", $C$6), OpenLCAbasic!$M:$M,0))</f>
        <v>1.16289</v>
      </c>
      <c r="CG17" s="71">
        <f>INDEX(OpenLCAbasic!$J:$J, MATCH(CONCATENATE($C$5,"_", 'AD Scenarios'!CG$12,"_","Upgraded_",INDEX(LookUps!$E$5:$E$12,MATCH('AD Scenarios'!CG$11, LookUps!$C$5:$C$12,0)),"_", 'AD Scenarios'!$D17,"_", $C$7, "_", $C$6), OpenLCAbasic!$M:$M,0))</f>
        <v>1.16289</v>
      </c>
    </row>
    <row r="18" spans="2:85" x14ac:dyDescent="0.25">
      <c r="B18" s="363"/>
      <c r="C18" s="81" t="str">
        <f>LookUps!$H$8</f>
        <v>Primary Clarifier; wastewater treatment unit - US</v>
      </c>
      <c r="D18" s="116"/>
      <c r="E18" s="104" t="str">
        <f>LookUps!H8</f>
        <v>Primary Clarifier; wastewater treatment unit - US</v>
      </c>
      <c r="F18" s="256">
        <f>INDEX(OpenLCAbasic!$J:$J, MATCH(CONCATENATE("Base","_", 'AD Scenarios'!F$12,"_","Legacy_",INDEX(LookUps!$E$5:$E$12,MATCH('AD Scenarios'!F$11, LookUps!$C$5:$C$12,0)),"_", 'AD Scenarios'!$E18,"_", $C$8,"_","n.a." ), OpenLCAbasic!$M:$M,0))</f>
        <v>0.11262999999999999</v>
      </c>
      <c r="G18" s="258"/>
      <c r="H18" s="258"/>
      <c r="I18" s="258"/>
      <c r="J18" s="258"/>
      <c r="K18" s="258"/>
      <c r="L18" s="258"/>
      <c r="M18" s="258"/>
      <c r="N18" s="258"/>
      <c r="O18" s="258"/>
      <c r="P18" s="257">
        <f>INDEX(OpenLCAbasic!$J:$J, MATCH(CONCATENATE("Base","_", 'AD Scenarios'!P$12,"_","Legacy_",INDEX(LookUps!$E$5:$E$12,MATCH('AD Scenarios'!P$11, LookUps!$C$5:$C$12,0)),"_", 'AD Scenarios'!$E18,"_", $C$8,"_","n.a." ), OpenLCAbasic!$M:$M,0))</f>
        <v>4.2999999999999999E-4</v>
      </c>
      <c r="Q18" s="258"/>
      <c r="R18" s="258"/>
      <c r="S18" s="258"/>
      <c r="T18" s="258"/>
      <c r="U18" s="258"/>
      <c r="V18" s="258"/>
      <c r="W18" s="258"/>
      <c r="X18" s="258"/>
      <c r="Y18" s="258"/>
      <c r="Z18" s="257">
        <f>INDEX(OpenLCAbasic!$J:$J, MATCH(CONCATENATE("Base","_", 'AD Scenarios'!Z$12,"_","Legacy_",INDEX(LookUps!$E$5:$E$12,MATCH('AD Scenarios'!Z$11, LookUps!$C$5:$C$12,0)),"_", 'AD Scenarios'!$E18,"_", $C$8,"_","n.a." ), OpenLCAbasic!$M:$M,0))</f>
        <v>5.5000000000000003E-4</v>
      </c>
      <c r="AA18" s="258"/>
      <c r="AB18" s="258"/>
      <c r="AC18" s="258"/>
      <c r="AD18" s="258"/>
      <c r="AE18" s="258"/>
      <c r="AF18" s="258"/>
      <c r="AG18" s="258"/>
      <c r="AH18" s="258"/>
      <c r="AI18" s="258"/>
      <c r="AJ18" s="256">
        <f>INDEX(OpenLCAbasic!$J:$J, MATCH(CONCATENATE("Base","_", 'AD Scenarios'!AJ$12,"_","Legacy_",INDEX(LookUps!$E$5:$E$12,MATCH('AD Scenarios'!AJ$11, LookUps!$C$5:$C$12,0)),"_", 'AD Scenarios'!$E18,"_", $C$8,"_","n.a." ), OpenLCAbasic!$M:$M,0))</f>
        <v>3.6470000000000002E-2</v>
      </c>
      <c r="AK18" s="258"/>
      <c r="AL18" s="258"/>
      <c r="AM18" s="258"/>
      <c r="AN18" s="258"/>
      <c r="AO18" s="258"/>
      <c r="AP18" s="258"/>
      <c r="AQ18" s="258"/>
      <c r="AR18" s="258"/>
      <c r="AS18" s="258"/>
      <c r="AT18" s="257">
        <f>INDEX(OpenLCAbasic!$J:$J, MATCH(CONCATENATE("Base","_", 'AD Scenarios'!AT$12,"_","Legacy_",INDEX(LookUps!$E$5:$E$12,MATCH('AD Scenarios'!AT$11, LookUps!$C$5:$C$12,0)),"_", 'AD Scenarios'!$E18,"_", $C$8,"_","n.a." ), OpenLCAbasic!$M:$M,0))</f>
        <v>4.6600000000000001E-3</v>
      </c>
      <c r="AU18" s="258"/>
      <c r="AV18" s="258"/>
      <c r="AW18" s="258"/>
      <c r="AX18" s="258"/>
      <c r="AY18" s="258"/>
      <c r="AZ18" s="258"/>
      <c r="BA18" s="258"/>
      <c r="BB18" s="258"/>
      <c r="BC18" s="258"/>
      <c r="BD18" s="257">
        <f>INDEX(OpenLCAbasic!$J:$J, MATCH(CONCATENATE("Base","_", 'AD Scenarios'!BD$12,"_","Legacy_",INDEX(LookUps!$E$5:$E$12,MATCH('AD Scenarios'!BD$11, LookUps!$C$5:$C$12,0)),"_", 'AD Scenarios'!$E18,"_", $C$8,"_","n.a." ), OpenLCAbasic!$M:$M,0))</f>
        <v>7.6000000000000004E-4</v>
      </c>
      <c r="BE18" s="258"/>
      <c r="BF18" s="258"/>
      <c r="BG18" s="258"/>
      <c r="BH18" s="258"/>
      <c r="BI18" s="258"/>
      <c r="BJ18" s="258"/>
      <c r="BK18" s="258"/>
      <c r="BL18" s="258"/>
      <c r="BM18" s="258"/>
      <c r="BN18" s="256">
        <f>INDEX(OpenLCAbasic!$J:$J, MATCH(CONCATENATE("Base","_", 'AD Scenarios'!BN$12,"_","Legacy_",INDEX(LookUps!$E$5:$E$12,MATCH('AD Scenarios'!BN$11, LookUps!$C$5:$C$12,0)),"_", 'AD Scenarios'!$E18,"_", $C$8,"_","n.a." ), OpenLCAbasic!$M:$M,0))</f>
        <v>2.963E-2</v>
      </c>
      <c r="BO18" s="258"/>
      <c r="BP18" s="258"/>
      <c r="BQ18" s="258"/>
      <c r="BR18" s="258"/>
      <c r="BS18" s="258"/>
      <c r="BT18" s="258"/>
      <c r="BU18" s="258"/>
      <c r="BV18" s="258"/>
      <c r="BW18" s="258"/>
      <c r="BX18" s="71">
        <f>INDEX(OpenLCAbasic!$J:$J, MATCH(CONCATENATE("Base","_", 'AD Scenarios'!BX$12,"_","Legacy_",INDEX(LookUps!$E$5:$E$12,MATCH('AD Scenarios'!BX$11, LookUps!$C$5:$C$12,0)),"_", 'AD Scenarios'!$E18,"_", $C$8,"_","n.a." ), OpenLCAbasic!$M:$M,0))</f>
        <v>1.7720800000000001</v>
      </c>
      <c r="BY18" s="258"/>
      <c r="BZ18" s="258"/>
      <c r="CA18" s="258"/>
      <c r="CB18" s="258"/>
      <c r="CC18" s="258"/>
      <c r="CD18" s="258"/>
      <c r="CE18" s="258"/>
      <c r="CF18" s="258"/>
      <c r="CG18" s="258"/>
    </row>
    <row r="19" spans="2:85" x14ac:dyDescent="0.25">
      <c r="B19" s="363"/>
      <c r="C19" s="81" t="str">
        <f>LookUps!$G$17</f>
        <v>ClearCove SCP; wastewater treatment unit; at updated plant - US</v>
      </c>
      <c r="D19" s="115" t="str">
        <f>LookUps!G17</f>
        <v>ClearCove SCP; wastewater treatment unit; at updated plant - US</v>
      </c>
      <c r="E19" s="107"/>
      <c r="F19" s="258"/>
      <c r="G19" s="257">
        <f>INDEX(OpenLCAbasic!$J:$J, MATCH(CONCATENATE($C$5,"_", 'AD Scenarios'!G$12,"_","Upgraded_",INDEX(LookUps!$E$5:$E$12,MATCH('AD Scenarios'!G$11, LookUps!$C$5:$C$12,0)),"_", 'AD Scenarios'!$D19,"_", $C$7, "_", $C$6), OpenLCAbasic!$M:$M,0))</f>
        <v>2.4099999999999998E-3</v>
      </c>
      <c r="H19" s="257">
        <f>INDEX(OpenLCAbasic!$J:$J, MATCH(CONCATENATE($C$5,"_", 'AD Scenarios'!H$12,"_","Upgraded_",INDEX(LookUps!$E$5:$E$12,MATCH('AD Scenarios'!H$11, LookUps!$C$5:$C$12,0)),"_", 'AD Scenarios'!$D19,"_", $C$7, "_", $C$6), OpenLCAbasic!$M:$M,0))</f>
        <v>2.4099999999999998E-3</v>
      </c>
      <c r="I19" s="257">
        <f>INDEX(OpenLCAbasic!$J:$J, MATCH(CONCATENATE($C$5,"_", 'AD Scenarios'!I$12,"_","Upgraded_",INDEX(LookUps!$E$5:$E$12,MATCH('AD Scenarios'!I$11, LookUps!$C$5:$C$12,0)),"_", 'AD Scenarios'!$D19,"_", $C$7, "_", $C$6), OpenLCAbasic!$M:$M,0))</f>
        <v>2.4099999999999998E-3</v>
      </c>
      <c r="J19" s="257">
        <f>INDEX(OpenLCAbasic!$J:$J, MATCH(CONCATENATE($C$5,"_", 'AD Scenarios'!J$12,"_","Upgraded_",INDEX(LookUps!$E$5:$E$12,MATCH('AD Scenarios'!J$11, LookUps!$C$5:$C$12,0)),"_", 'AD Scenarios'!$D19,"_", $C$7, "_", $C$6), OpenLCAbasic!$M:$M,0))</f>
        <v>2.4099999999999998E-3</v>
      </c>
      <c r="K19" s="257">
        <f>INDEX(OpenLCAbasic!$J:$J, MATCH(CONCATENATE($C$5,"_", 'AD Scenarios'!K$12,"_","Upgraded_",INDEX(LookUps!$E$5:$E$12,MATCH('AD Scenarios'!K$11, LookUps!$C$5:$C$12,0)),"_", 'AD Scenarios'!$D19,"_", $C$7, "_", $C$6), OpenLCAbasic!$M:$M,0))</f>
        <v>2.4099999999999998E-3</v>
      </c>
      <c r="L19" s="257">
        <f>INDEX(OpenLCAbasic!$J:$J, MATCH(CONCATENATE($C$5,"_", 'AD Scenarios'!L$12,"_","Upgraded_",INDEX(LookUps!$E$5:$E$12,MATCH('AD Scenarios'!L$11, LookUps!$C$5:$C$12,0)),"_", 'AD Scenarios'!$D19,"_", $C$7, "_", $C$6), OpenLCAbasic!$M:$M,0))</f>
        <v>2.4099999999999998E-3</v>
      </c>
      <c r="M19" s="257">
        <f>INDEX(OpenLCAbasic!$J:$J, MATCH(CONCATENATE($C$5,"_", 'AD Scenarios'!M$12,"_","Upgraded_",INDEX(LookUps!$E$5:$E$12,MATCH('AD Scenarios'!M$11, LookUps!$C$5:$C$12,0)),"_", 'AD Scenarios'!$D19,"_", $C$7, "_", $C$6), OpenLCAbasic!$M:$M,0))</f>
        <v>2.4099999999999998E-3</v>
      </c>
      <c r="N19" s="257">
        <f>INDEX(OpenLCAbasic!$J:$J, MATCH(CONCATENATE($C$5,"_", 'AD Scenarios'!N$12,"_","Upgraded_",INDEX(LookUps!$E$5:$E$12,MATCH('AD Scenarios'!N$11, LookUps!$C$5:$C$12,0)),"_", 'AD Scenarios'!$D19,"_", $C$7, "_", $C$6), OpenLCAbasic!$M:$M,0))</f>
        <v>2.4099999999999998E-3</v>
      </c>
      <c r="O19" s="257">
        <f>INDEX(OpenLCAbasic!$J:$J, MATCH(CONCATENATE($C$5,"_", 'AD Scenarios'!O$12,"_","Upgraded_",INDEX(LookUps!$E$5:$E$12,MATCH('AD Scenarios'!O$11, LookUps!$C$5:$C$12,0)),"_", 'AD Scenarios'!$D19,"_", $C$7, "_", $C$6), OpenLCAbasic!$M:$M,0))</f>
        <v>2.4099999999999998E-3</v>
      </c>
      <c r="P19" s="258"/>
      <c r="Q19" s="257">
        <f>INDEX(OpenLCAbasic!$J:$J, MATCH(CONCATENATE($C$5,"_", 'AD Scenarios'!Q$12,"_","Upgraded_",INDEX(LookUps!$E$5:$E$12,MATCH('AD Scenarios'!Q$11, LookUps!$C$5:$C$12,0)),"_", 'AD Scenarios'!$D19,"_", $C$7, "_", $C$6), OpenLCAbasic!$M:$M,0))</f>
        <v>7.7567199999999995E-6</v>
      </c>
      <c r="R19" s="257">
        <f>INDEX(OpenLCAbasic!$J:$J, MATCH(CONCATENATE($C$5,"_", 'AD Scenarios'!R$12,"_","Upgraded_",INDEX(LookUps!$E$5:$E$12,MATCH('AD Scenarios'!R$11, LookUps!$C$5:$C$12,0)),"_", 'AD Scenarios'!$D19,"_", $C$7, "_", $C$6), OpenLCAbasic!$M:$M,0))</f>
        <v>7.7567199999999995E-6</v>
      </c>
      <c r="S19" s="257">
        <f>INDEX(OpenLCAbasic!$J:$J, MATCH(CONCATENATE($C$5,"_", 'AD Scenarios'!S$12,"_","Upgraded_",INDEX(LookUps!$E$5:$E$12,MATCH('AD Scenarios'!S$11, LookUps!$C$5:$C$12,0)),"_", 'AD Scenarios'!$D19,"_", $C$7, "_", $C$6), OpenLCAbasic!$M:$M,0))</f>
        <v>7.7567199999999995E-6</v>
      </c>
      <c r="T19" s="257">
        <f>INDEX(OpenLCAbasic!$J:$J, MATCH(CONCATENATE($C$5,"_", 'AD Scenarios'!T$12,"_","Upgraded_",INDEX(LookUps!$E$5:$E$12,MATCH('AD Scenarios'!T$11, LookUps!$C$5:$C$12,0)),"_", 'AD Scenarios'!$D19,"_", $C$7, "_", $C$6), OpenLCAbasic!$M:$M,0))</f>
        <v>7.7567199999999995E-6</v>
      </c>
      <c r="U19" s="257">
        <f>INDEX(OpenLCAbasic!$J:$J, MATCH(CONCATENATE($C$5,"_", 'AD Scenarios'!U$12,"_","Upgraded_",INDEX(LookUps!$E$5:$E$12,MATCH('AD Scenarios'!U$11, LookUps!$C$5:$C$12,0)),"_", 'AD Scenarios'!$D19,"_", $C$7, "_", $C$6), OpenLCAbasic!$M:$M,0))</f>
        <v>7.7567199999999995E-6</v>
      </c>
      <c r="V19" s="257">
        <f>INDEX(OpenLCAbasic!$J:$J, MATCH(CONCATENATE($C$5,"_", 'AD Scenarios'!V$12,"_","Upgraded_",INDEX(LookUps!$E$5:$E$12,MATCH('AD Scenarios'!V$11, LookUps!$C$5:$C$12,0)),"_", 'AD Scenarios'!$D19,"_", $C$7, "_", $C$6), OpenLCAbasic!$M:$M,0))</f>
        <v>7.7567199999999995E-6</v>
      </c>
      <c r="W19" s="257">
        <f>INDEX(OpenLCAbasic!$J:$J, MATCH(CONCATENATE($C$5,"_", 'AD Scenarios'!W$12,"_","Upgraded_",INDEX(LookUps!$E$5:$E$12,MATCH('AD Scenarios'!W$11, LookUps!$C$5:$C$12,0)),"_", 'AD Scenarios'!$D19,"_", $C$7, "_", $C$6), OpenLCAbasic!$M:$M,0))</f>
        <v>7.7567199999999995E-6</v>
      </c>
      <c r="X19" s="257">
        <f>INDEX(OpenLCAbasic!$J:$J, MATCH(CONCATENATE($C$5,"_", 'AD Scenarios'!X$12,"_","Upgraded_",INDEX(LookUps!$E$5:$E$12,MATCH('AD Scenarios'!X$11, LookUps!$C$5:$C$12,0)),"_", 'AD Scenarios'!$D19,"_", $C$7, "_", $C$6), OpenLCAbasic!$M:$M,0))</f>
        <v>7.7567199999999995E-6</v>
      </c>
      <c r="Y19" s="257">
        <f>INDEX(OpenLCAbasic!$J:$J, MATCH(CONCATENATE($C$5,"_", 'AD Scenarios'!Y$12,"_","Upgraded_",INDEX(LookUps!$E$5:$E$12,MATCH('AD Scenarios'!Y$11, LookUps!$C$5:$C$12,0)),"_", 'AD Scenarios'!$D19,"_", $C$7, "_", $C$6), OpenLCAbasic!$M:$M,0))</f>
        <v>7.7567199999999995E-6</v>
      </c>
      <c r="Z19" s="258"/>
      <c r="AA19" s="257">
        <f>INDEX(OpenLCAbasic!$J:$J, MATCH(CONCATENATE($C$5,"_", 'AD Scenarios'!AA$12,"_","Upgraded_",INDEX(LookUps!$E$5:$E$12,MATCH('AD Scenarios'!AA$11, LookUps!$C$5:$C$12,0)),"_", 'AD Scenarios'!$D19,"_", $C$7, "_", $C$6), OpenLCAbasic!$M:$M,0))</f>
        <v>3.4562199999999999E-5</v>
      </c>
      <c r="AB19" s="257">
        <f>INDEX(OpenLCAbasic!$J:$J, MATCH(CONCATENATE($C$5,"_", 'AD Scenarios'!AB$12,"_","Upgraded_",INDEX(LookUps!$E$5:$E$12,MATCH('AD Scenarios'!AB$11, LookUps!$C$5:$C$12,0)),"_", 'AD Scenarios'!$D19,"_", $C$7, "_", $C$6), OpenLCAbasic!$M:$M,0))</f>
        <v>3.4562199999999999E-5</v>
      </c>
      <c r="AC19" s="257">
        <f>INDEX(OpenLCAbasic!$J:$J, MATCH(CONCATENATE($C$5,"_", 'AD Scenarios'!AC$12,"_","Upgraded_",INDEX(LookUps!$E$5:$E$12,MATCH('AD Scenarios'!AC$11, LookUps!$C$5:$C$12,0)),"_", 'AD Scenarios'!$D19,"_", $C$7, "_", $C$6), OpenLCAbasic!$M:$M,0))</f>
        <v>3.4562199999999999E-5</v>
      </c>
      <c r="AD19" s="257">
        <f>INDEX(OpenLCAbasic!$J:$J, MATCH(CONCATENATE($C$5,"_", 'AD Scenarios'!AD$12,"_","Upgraded_",INDEX(LookUps!$E$5:$E$12,MATCH('AD Scenarios'!AD$11, LookUps!$C$5:$C$12,0)),"_", 'AD Scenarios'!$D19,"_", $C$7, "_", $C$6), OpenLCAbasic!$M:$M,0))</f>
        <v>3.4562199999999999E-5</v>
      </c>
      <c r="AE19" s="257">
        <f>INDEX(OpenLCAbasic!$J:$J, MATCH(CONCATENATE($C$5,"_", 'AD Scenarios'!AE$12,"_","Upgraded_",INDEX(LookUps!$E$5:$E$12,MATCH('AD Scenarios'!AE$11, LookUps!$C$5:$C$12,0)),"_", 'AD Scenarios'!$D19,"_", $C$7, "_", $C$6), OpenLCAbasic!$M:$M,0))</f>
        <v>3.4562199999999999E-5</v>
      </c>
      <c r="AF19" s="257">
        <f>INDEX(OpenLCAbasic!$J:$J, MATCH(CONCATENATE($C$5,"_", 'AD Scenarios'!AF$12,"_","Upgraded_",INDEX(LookUps!$E$5:$E$12,MATCH('AD Scenarios'!AF$11, LookUps!$C$5:$C$12,0)),"_", 'AD Scenarios'!$D19,"_", $C$7, "_", $C$6), OpenLCAbasic!$M:$M,0))</f>
        <v>3.4562199999999999E-5</v>
      </c>
      <c r="AG19" s="257">
        <f>INDEX(OpenLCAbasic!$J:$J, MATCH(CONCATENATE($C$5,"_", 'AD Scenarios'!AG$12,"_","Upgraded_",INDEX(LookUps!$E$5:$E$12,MATCH('AD Scenarios'!AG$11, LookUps!$C$5:$C$12,0)),"_", 'AD Scenarios'!$D19,"_", $C$7, "_", $C$6), OpenLCAbasic!$M:$M,0))</f>
        <v>3.4562199999999999E-5</v>
      </c>
      <c r="AH19" s="257">
        <f>INDEX(OpenLCAbasic!$J:$J, MATCH(CONCATENATE($C$5,"_", 'AD Scenarios'!AH$12,"_","Upgraded_",INDEX(LookUps!$E$5:$E$12,MATCH('AD Scenarios'!AH$11, LookUps!$C$5:$C$12,0)),"_", 'AD Scenarios'!$D19,"_", $C$7, "_", $C$6), OpenLCAbasic!$M:$M,0))</f>
        <v>3.4562199999999999E-5</v>
      </c>
      <c r="AI19" s="257">
        <f>INDEX(OpenLCAbasic!$J:$J, MATCH(CONCATENATE($C$5,"_", 'AD Scenarios'!AI$12,"_","Upgraded_",INDEX(LookUps!$E$5:$E$12,MATCH('AD Scenarios'!AI$11, LookUps!$C$5:$C$12,0)),"_", 'AD Scenarios'!$D19,"_", $C$7, "_", $C$6), OpenLCAbasic!$M:$M,0))</f>
        <v>3.4562199999999999E-5</v>
      </c>
      <c r="AJ19" s="258"/>
      <c r="AK19" s="257">
        <f>INDEX(OpenLCAbasic!$J:$J, MATCH(CONCATENATE($C$5,"_", 'AD Scenarios'!AK$12,"_","Upgraded_",INDEX(LookUps!$E$5:$E$12,MATCH('AD Scenarios'!AK$11, LookUps!$C$5:$C$12,0)),"_", 'AD Scenarios'!$D19,"_", $C$7, "_", $C$6), OpenLCAbasic!$M:$M,0))</f>
        <v>2.4599999999999999E-3</v>
      </c>
      <c r="AL19" s="257">
        <f>INDEX(OpenLCAbasic!$J:$J, MATCH(CONCATENATE($C$5,"_", 'AD Scenarios'!AL$12,"_","Upgraded_",INDEX(LookUps!$E$5:$E$12,MATCH('AD Scenarios'!AL$11, LookUps!$C$5:$C$12,0)),"_", 'AD Scenarios'!$D19,"_", $C$7, "_", $C$6), OpenLCAbasic!$M:$M,0))</f>
        <v>2.4599999999999999E-3</v>
      </c>
      <c r="AM19" s="257">
        <f>INDEX(OpenLCAbasic!$J:$J, MATCH(CONCATENATE($C$5,"_", 'AD Scenarios'!AM$12,"_","Upgraded_",INDEX(LookUps!$E$5:$E$12,MATCH('AD Scenarios'!AM$11, LookUps!$C$5:$C$12,0)),"_", 'AD Scenarios'!$D19,"_", $C$7, "_", $C$6), OpenLCAbasic!$M:$M,0))</f>
        <v>2.4599999999999999E-3</v>
      </c>
      <c r="AN19" s="257">
        <f>INDEX(OpenLCAbasic!$J:$J, MATCH(CONCATENATE($C$5,"_", 'AD Scenarios'!AN$12,"_","Upgraded_",INDEX(LookUps!$E$5:$E$12,MATCH('AD Scenarios'!AN$11, LookUps!$C$5:$C$12,0)),"_", 'AD Scenarios'!$D19,"_", $C$7, "_", $C$6), OpenLCAbasic!$M:$M,0))</f>
        <v>2.4599999999999999E-3</v>
      </c>
      <c r="AO19" s="257">
        <f>INDEX(OpenLCAbasic!$J:$J, MATCH(CONCATENATE($C$5,"_", 'AD Scenarios'!AO$12,"_","Upgraded_",INDEX(LookUps!$E$5:$E$12,MATCH('AD Scenarios'!AO$11, LookUps!$C$5:$C$12,0)),"_", 'AD Scenarios'!$D19,"_", $C$7, "_", $C$6), OpenLCAbasic!$M:$M,0))</f>
        <v>2.4599999999999999E-3</v>
      </c>
      <c r="AP19" s="257">
        <f>INDEX(OpenLCAbasic!$J:$J, MATCH(CONCATENATE($C$5,"_", 'AD Scenarios'!AP$12,"_","Upgraded_",INDEX(LookUps!$E$5:$E$12,MATCH('AD Scenarios'!AP$11, LookUps!$C$5:$C$12,0)),"_", 'AD Scenarios'!$D19,"_", $C$7, "_", $C$6), OpenLCAbasic!$M:$M,0))</f>
        <v>2.4599999999999999E-3</v>
      </c>
      <c r="AQ19" s="257">
        <f>INDEX(OpenLCAbasic!$J:$J, MATCH(CONCATENATE($C$5,"_", 'AD Scenarios'!AQ$12,"_","Upgraded_",INDEX(LookUps!$E$5:$E$12,MATCH('AD Scenarios'!AQ$11, LookUps!$C$5:$C$12,0)),"_", 'AD Scenarios'!$D19,"_", $C$7, "_", $C$6), OpenLCAbasic!$M:$M,0))</f>
        <v>2.4599999999999999E-3</v>
      </c>
      <c r="AR19" s="257">
        <f>INDEX(OpenLCAbasic!$J:$J, MATCH(CONCATENATE($C$5,"_", 'AD Scenarios'!AR$12,"_","Upgraded_",INDEX(LookUps!$E$5:$E$12,MATCH('AD Scenarios'!AR$11, LookUps!$C$5:$C$12,0)),"_", 'AD Scenarios'!$D19,"_", $C$7, "_", $C$6), OpenLCAbasic!$M:$M,0))</f>
        <v>2.4599999999999999E-3</v>
      </c>
      <c r="AS19" s="257">
        <f>INDEX(OpenLCAbasic!$J:$J, MATCH(CONCATENATE($C$5,"_", 'AD Scenarios'!AS$12,"_","Upgraded_",INDEX(LookUps!$E$5:$E$12,MATCH('AD Scenarios'!AS$11, LookUps!$C$5:$C$12,0)),"_", 'AD Scenarios'!$D19,"_", $C$7, "_", $C$6), OpenLCAbasic!$M:$M,0))</f>
        <v>2.4599999999999999E-3</v>
      </c>
      <c r="AT19" s="258"/>
      <c r="AU19" s="257">
        <f>INDEX(OpenLCAbasic!$J:$J, MATCH(CONCATENATE($C$5,"_", 'AD Scenarios'!AU$12,"_","Upgraded_",INDEX(LookUps!$E$5:$E$12,MATCH('AD Scenarios'!AU$11, LookUps!$C$5:$C$12,0)),"_", 'AD Scenarios'!$D19,"_", $C$7, "_", $C$6), OpenLCAbasic!$M:$M,0))</f>
        <v>2.5999999999999998E-4</v>
      </c>
      <c r="AV19" s="257">
        <f>INDEX(OpenLCAbasic!$J:$J, MATCH(CONCATENATE($C$5,"_", 'AD Scenarios'!AV$12,"_","Upgraded_",INDEX(LookUps!$E$5:$E$12,MATCH('AD Scenarios'!AV$11, LookUps!$C$5:$C$12,0)),"_", 'AD Scenarios'!$D19,"_", $C$7, "_", $C$6), OpenLCAbasic!$M:$M,0))</f>
        <v>2.5999999999999998E-4</v>
      </c>
      <c r="AW19" s="257">
        <f>INDEX(OpenLCAbasic!$J:$J, MATCH(CONCATENATE($C$5,"_", 'AD Scenarios'!AW$12,"_","Upgraded_",INDEX(LookUps!$E$5:$E$12,MATCH('AD Scenarios'!AW$11, LookUps!$C$5:$C$12,0)),"_", 'AD Scenarios'!$D19,"_", $C$7, "_", $C$6), OpenLCAbasic!$M:$M,0))</f>
        <v>2.5999999999999998E-4</v>
      </c>
      <c r="AX19" s="257">
        <f>INDEX(OpenLCAbasic!$J:$J, MATCH(CONCATENATE($C$5,"_", 'AD Scenarios'!AX$12,"_","Upgraded_",INDEX(LookUps!$E$5:$E$12,MATCH('AD Scenarios'!AX$11, LookUps!$C$5:$C$12,0)),"_", 'AD Scenarios'!$D19,"_", $C$7, "_", $C$6), OpenLCAbasic!$M:$M,0))</f>
        <v>2.5999999999999998E-4</v>
      </c>
      <c r="AY19" s="257">
        <f>INDEX(OpenLCAbasic!$J:$J, MATCH(CONCATENATE($C$5,"_", 'AD Scenarios'!AY$12,"_","Upgraded_",INDEX(LookUps!$E$5:$E$12,MATCH('AD Scenarios'!AY$11, LookUps!$C$5:$C$12,0)),"_", 'AD Scenarios'!$D19,"_", $C$7, "_", $C$6), OpenLCAbasic!$M:$M,0))</f>
        <v>2.5999999999999998E-4</v>
      </c>
      <c r="AZ19" s="257">
        <f>INDEX(OpenLCAbasic!$J:$J, MATCH(CONCATENATE($C$5,"_", 'AD Scenarios'!AZ$12,"_","Upgraded_",INDEX(LookUps!$E$5:$E$12,MATCH('AD Scenarios'!AZ$11, LookUps!$C$5:$C$12,0)),"_", 'AD Scenarios'!$D19,"_", $C$7, "_", $C$6), OpenLCAbasic!$M:$M,0))</f>
        <v>2.5999999999999998E-4</v>
      </c>
      <c r="BA19" s="257">
        <f>INDEX(OpenLCAbasic!$J:$J, MATCH(CONCATENATE($C$5,"_", 'AD Scenarios'!BA$12,"_","Upgraded_",INDEX(LookUps!$E$5:$E$12,MATCH('AD Scenarios'!BA$11, LookUps!$C$5:$C$12,0)),"_", 'AD Scenarios'!$D19,"_", $C$7, "_", $C$6), OpenLCAbasic!$M:$M,0))</f>
        <v>2.5999999999999998E-4</v>
      </c>
      <c r="BB19" s="257">
        <f>INDEX(OpenLCAbasic!$J:$J, MATCH(CONCATENATE($C$5,"_", 'AD Scenarios'!BB$12,"_","Upgraded_",INDEX(LookUps!$E$5:$E$12,MATCH('AD Scenarios'!BB$11, LookUps!$C$5:$C$12,0)),"_", 'AD Scenarios'!$D19,"_", $C$7, "_", $C$6), OpenLCAbasic!$M:$M,0))</f>
        <v>2.5999999999999998E-4</v>
      </c>
      <c r="BC19" s="257">
        <f>INDEX(OpenLCAbasic!$J:$J, MATCH(CONCATENATE($C$5,"_", 'AD Scenarios'!BC$12,"_","Upgraded_",INDEX(LookUps!$E$5:$E$12,MATCH('AD Scenarios'!BC$11, LookUps!$C$5:$C$12,0)),"_", 'AD Scenarios'!$D19,"_", $C$7, "_", $C$6), OpenLCAbasic!$M:$M,0))</f>
        <v>2.5999999999999998E-4</v>
      </c>
      <c r="BD19" s="258"/>
      <c r="BE19" s="257">
        <f>INDEX(OpenLCAbasic!$J:$J, MATCH(CONCATENATE($C$5,"_", 'AD Scenarios'!BE$12,"_","Upgraded_",INDEX(LookUps!$E$5:$E$12,MATCH('AD Scenarios'!BE$11, LookUps!$C$5:$C$12,0)),"_", 'AD Scenarios'!$D19,"_", $C$7, "_", $C$6), OpenLCAbasic!$M:$M,0))</f>
        <v>7.6697000000000004E-7</v>
      </c>
      <c r="BF19" s="257">
        <f>INDEX(OpenLCAbasic!$J:$J, MATCH(CONCATENATE($C$5,"_", 'AD Scenarios'!BF$12,"_","Upgraded_",INDEX(LookUps!$E$5:$E$12,MATCH('AD Scenarios'!BF$11, LookUps!$C$5:$C$12,0)),"_", 'AD Scenarios'!$D19,"_", $C$7, "_", $C$6), OpenLCAbasic!$M:$M,0))</f>
        <v>7.6697000000000004E-7</v>
      </c>
      <c r="BG19" s="257">
        <f>INDEX(OpenLCAbasic!$J:$J, MATCH(CONCATENATE($C$5,"_", 'AD Scenarios'!BG$12,"_","Upgraded_",INDEX(LookUps!$E$5:$E$12,MATCH('AD Scenarios'!BG$11, LookUps!$C$5:$C$12,0)),"_", 'AD Scenarios'!$D19,"_", $C$7, "_", $C$6), OpenLCAbasic!$M:$M,0))</f>
        <v>7.6697000000000004E-7</v>
      </c>
      <c r="BH19" s="257">
        <f>INDEX(OpenLCAbasic!$J:$J, MATCH(CONCATENATE($C$5,"_", 'AD Scenarios'!BH$12,"_","Upgraded_",INDEX(LookUps!$E$5:$E$12,MATCH('AD Scenarios'!BH$11, LookUps!$C$5:$C$12,0)),"_", 'AD Scenarios'!$D19,"_", $C$7, "_", $C$6), OpenLCAbasic!$M:$M,0))</f>
        <v>7.6697000000000004E-7</v>
      </c>
      <c r="BI19" s="257">
        <f>INDEX(OpenLCAbasic!$J:$J, MATCH(CONCATENATE($C$5,"_", 'AD Scenarios'!BI$12,"_","Upgraded_",INDEX(LookUps!$E$5:$E$12,MATCH('AD Scenarios'!BI$11, LookUps!$C$5:$C$12,0)),"_", 'AD Scenarios'!$D19,"_", $C$7, "_", $C$6), OpenLCAbasic!$M:$M,0))</f>
        <v>7.6697000000000004E-7</v>
      </c>
      <c r="BJ19" s="257">
        <f>INDEX(OpenLCAbasic!$J:$J, MATCH(CONCATENATE($C$5,"_", 'AD Scenarios'!BJ$12,"_","Upgraded_",INDEX(LookUps!$E$5:$E$12,MATCH('AD Scenarios'!BJ$11, LookUps!$C$5:$C$12,0)),"_", 'AD Scenarios'!$D19,"_", $C$7, "_", $C$6), OpenLCAbasic!$M:$M,0))</f>
        <v>7.6697000000000004E-7</v>
      </c>
      <c r="BK19" s="257">
        <f>INDEX(OpenLCAbasic!$J:$J, MATCH(CONCATENATE($C$5,"_", 'AD Scenarios'!BK$12,"_","Upgraded_",INDEX(LookUps!$E$5:$E$12,MATCH('AD Scenarios'!BK$11, LookUps!$C$5:$C$12,0)),"_", 'AD Scenarios'!$D19,"_", $C$7, "_", $C$6), OpenLCAbasic!$M:$M,0))</f>
        <v>7.6697000000000004E-7</v>
      </c>
      <c r="BL19" s="257">
        <f>INDEX(OpenLCAbasic!$J:$J, MATCH(CONCATENATE($C$5,"_", 'AD Scenarios'!BL$12,"_","Upgraded_",INDEX(LookUps!$E$5:$E$12,MATCH('AD Scenarios'!BL$11, LookUps!$C$5:$C$12,0)),"_", 'AD Scenarios'!$D19,"_", $C$7, "_", $C$6), OpenLCAbasic!$M:$M,0))</f>
        <v>7.6697000000000004E-7</v>
      </c>
      <c r="BM19" s="257">
        <f>INDEX(OpenLCAbasic!$J:$J, MATCH(CONCATENATE($C$5,"_", 'AD Scenarios'!BM$12,"_","Upgraded_",INDEX(LookUps!$E$5:$E$12,MATCH('AD Scenarios'!BM$11, LookUps!$C$5:$C$12,0)),"_", 'AD Scenarios'!$D19,"_", $C$7, "_", $C$6), OpenLCAbasic!$M:$M,0))</f>
        <v>7.6697000000000004E-7</v>
      </c>
      <c r="BN19" s="258"/>
      <c r="BO19" s="257">
        <f>INDEX(OpenLCAbasic!$J:$J, MATCH(CONCATENATE($C$5,"_", 'AD Scenarios'!BO$12,"_","Upgraded_",INDEX(LookUps!$E$5:$E$12,MATCH('AD Scenarios'!BO$11, LookUps!$C$5:$C$12,0)),"_", 'AD Scenarios'!$D19,"_", $C$7, "_", $C$6), OpenLCAbasic!$M:$M,0))</f>
        <v>9.1E-4</v>
      </c>
      <c r="BP19" s="257">
        <f>INDEX(OpenLCAbasic!$J:$J, MATCH(CONCATENATE($C$5,"_", 'AD Scenarios'!BP$12,"_","Upgraded_",INDEX(LookUps!$E$5:$E$12,MATCH('AD Scenarios'!BP$11, LookUps!$C$5:$C$12,0)),"_", 'AD Scenarios'!$D19,"_", $C$7, "_", $C$6), OpenLCAbasic!$M:$M,0))</f>
        <v>9.1E-4</v>
      </c>
      <c r="BQ19" s="257">
        <f>INDEX(OpenLCAbasic!$J:$J, MATCH(CONCATENATE($C$5,"_", 'AD Scenarios'!BQ$12,"_","Upgraded_",INDEX(LookUps!$E$5:$E$12,MATCH('AD Scenarios'!BQ$11, LookUps!$C$5:$C$12,0)),"_", 'AD Scenarios'!$D19,"_", $C$7, "_", $C$6), OpenLCAbasic!$M:$M,0))</f>
        <v>9.1E-4</v>
      </c>
      <c r="BR19" s="257">
        <f>INDEX(OpenLCAbasic!$J:$J, MATCH(CONCATENATE($C$5,"_", 'AD Scenarios'!BR$12,"_","Upgraded_",INDEX(LookUps!$E$5:$E$12,MATCH('AD Scenarios'!BR$11, LookUps!$C$5:$C$12,0)),"_", 'AD Scenarios'!$D19,"_", $C$7, "_", $C$6), OpenLCAbasic!$M:$M,0))</f>
        <v>9.1E-4</v>
      </c>
      <c r="BS19" s="257">
        <f>INDEX(OpenLCAbasic!$J:$J, MATCH(CONCATENATE($C$5,"_", 'AD Scenarios'!BS$12,"_","Upgraded_",INDEX(LookUps!$E$5:$E$12,MATCH('AD Scenarios'!BS$11, LookUps!$C$5:$C$12,0)),"_", 'AD Scenarios'!$D19,"_", $C$7, "_", $C$6), OpenLCAbasic!$M:$M,0))</f>
        <v>9.1E-4</v>
      </c>
      <c r="BT19" s="257">
        <f>INDEX(OpenLCAbasic!$J:$J, MATCH(CONCATENATE($C$5,"_", 'AD Scenarios'!BT$12,"_","Upgraded_",INDEX(LookUps!$E$5:$E$12,MATCH('AD Scenarios'!BT$11, LookUps!$C$5:$C$12,0)),"_", 'AD Scenarios'!$D19,"_", $C$7, "_", $C$6), OpenLCAbasic!$M:$M,0))</f>
        <v>9.1E-4</v>
      </c>
      <c r="BU19" s="257">
        <f>INDEX(OpenLCAbasic!$J:$J, MATCH(CONCATENATE($C$5,"_", 'AD Scenarios'!BU$12,"_","Upgraded_",INDEX(LookUps!$E$5:$E$12,MATCH('AD Scenarios'!BU$11, LookUps!$C$5:$C$12,0)),"_", 'AD Scenarios'!$D19,"_", $C$7, "_", $C$6), OpenLCAbasic!$M:$M,0))</f>
        <v>9.1E-4</v>
      </c>
      <c r="BV19" s="257">
        <f>INDEX(OpenLCAbasic!$J:$J, MATCH(CONCATENATE($C$5,"_", 'AD Scenarios'!BV$12,"_","Upgraded_",INDEX(LookUps!$E$5:$E$12,MATCH('AD Scenarios'!BV$11, LookUps!$C$5:$C$12,0)),"_", 'AD Scenarios'!$D19,"_", $C$7, "_", $C$6), OpenLCAbasic!$M:$M,0))</f>
        <v>9.1E-4</v>
      </c>
      <c r="BW19" s="257">
        <f>INDEX(OpenLCAbasic!$J:$J, MATCH(CONCATENATE($C$5,"_", 'AD Scenarios'!BW$12,"_","Upgraded_",INDEX(LookUps!$E$5:$E$12,MATCH('AD Scenarios'!BW$11, LookUps!$C$5:$C$12,0)),"_", 'AD Scenarios'!$D19,"_", $C$7, "_", $C$6), OpenLCAbasic!$M:$M,0))</f>
        <v>9.1E-4</v>
      </c>
      <c r="BX19" s="258"/>
      <c r="BY19" s="256">
        <f>INDEX(OpenLCAbasic!$J:$J, MATCH(CONCATENATE($C$5,"_", 'AD Scenarios'!BY$12,"_","Upgraded_",INDEX(LookUps!$E$5:$E$12,MATCH('AD Scenarios'!BY$11, LookUps!$C$5:$C$12,0)),"_", 'AD Scenarios'!$D19,"_", $C$7, "_", $C$6), OpenLCAbasic!$M:$M,0))</f>
        <v>5.0930000000000003E-2</v>
      </c>
      <c r="BZ19" s="256">
        <f>INDEX(OpenLCAbasic!$J:$J, MATCH(CONCATENATE($C$5,"_", 'AD Scenarios'!BZ$12,"_","Upgraded_",INDEX(LookUps!$E$5:$E$12,MATCH('AD Scenarios'!BZ$11, LookUps!$C$5:$C$12,0)),"_", 'AD Scenarios'!$D19,"_", $C$7, "_", $C$6), OpenLCAbasic!$M:$M,0))</f>
        <v>5.0930000000000003E-2</v>
      </c>
      <c r="CA19" s="256">
        <f>INDEX(OpenLCAbasic!$J:$J, MATCH(CONCATENATE($C$5,"_", 'AD Scenarios'!CA$12,"_","Upgraded_",INDEX(LookUps!$E$5:$E$12,MATCH('AD Scenarios'!CA$11, LookUps!$C$5:$C$12,0)),"_", 'AD Scenarios'!$D19,"_", $C$7, "_", $C$6), OpenLCAbasic!$M:$M,0))</f>
        <v>5.0930000000000003E-2</v>
      </c>
      <c r="CB19" s="256">
        <f>INDEX(OpenLCAbasic!$J:$J, MATCH(CONCATENATE($C$5,"_", 'AD Scenarios'!CB$12,"_","Upgraded_",INDEX(LookUps!$E$5:$E$12,MATCH('AD Scenarios'!CB$11, LookUps!$C$5:$C$12,0)),"_", 'AD Scenarios'!$D19,"_", $C$7, "_", $C$6), OpenLCAbasic!$M:$M,0))</f>
        <v>5.0930000000000003E-2</v>
      </c>
      <c r="CC19" s="256">
        <f>INDEX(OpenLCAbasic!$J:$J, MATCH(CONCATENATE($C$5,"_", 'AD Scenarios'!CC$12,"_","Upgraded_",INDEX(LookUps!$E$5:$E$12,MATCH('AD Scenarios'!CC$11, LookUps!$C$5:$C$12,0)),"_", 'AD Scenarios'!$D19,"_", $C$7, "_", $C$6), OpenLCAbasic!$M:$M,0))</f>
        <v>5.0930000000000003E-2</v>
      </c>
      <c r="CD19" s="256">
        <f>INDEX(OpenLCAbasic!$J:$J, MATCH(CONCATENATE($C$5,"_", 'AD Scenarios'!CD$12,"_","Upgraded_",INDEX(LookUps!$E$5:$E$12,MATCH('AD Scenarios'!CD$11, LookUps!$C$5:$C$12,0)),"_", 'AD Scenarios'!$D19,"_", $C$7, "_", $C$6), OpenLCAbasic!$M:$M,0))</f>
        <v>5.0930000000000003E-2</v>
      </c>
      <c r="CE19" s="256">
        <f>INDEX(OpenLCAbasic!$J:$J, MATCH(CONCATENATE($C$5,"_", 'AD Scenarios'!CE$12,"_","Upgraded_",INDEX(LookUps!$E$5:$E$12,MATCH('AD Scenarios'!CE$11, LookUps!$C$5:$C$12,0)),"_", 'AD Scenarios'!$D19,"_", $C$7, "_", $C$6), OpenLCAbasic!$M:$M,0))</f>
        <v>5.0930000000000003E-2</v>
      </c>
      <c r="CF19" s="256">
        <f>INDEX(OpenLCAbasic!$J:$J, MATCH(CONCATENATE($C$5,"_", 'AD Scenarios'!CF$12,"_","Upgraded_",INDEX(LookUps!$E$5:$E$12,MATCH('AD Scenarios'!CF$11, LookUps!$C$5:$C$12,0)),"_", 'AD Scenarios'!$D19,"_", $C$7, "_", $C$6), OpenLCAbasic!$M:$M,0))</f>
        <v>5.0930000000000003E-2</v>
      </c>
      <c r="CG19" s="256">
        <f>INDEX(OpenLCAbasic!$J:$J, MATCH(CONCATENATE($C$5,"_", 'AD Scenarios'!CG$12,"_","Upgraded_",INDEX(LookUps!$E$5:$E$12,MATCH('AD Scenarios'!CG$11, LookUps!$C$5:$C$12,0)),"_", 'AD Scenarios'!$D19,"_", $C$7, "_", $C$6), OpenLCAbasic!$M:$M,0))</f>
        <v>5.0930000000000003E-2</v>
      </c>
    </row>
    <row r="20" spans="2:85" x14ac:dyDescent="0.25">
      <c r="B20" s="363"/>
      <c r="C20" s="81" t="str">
        <f>LookUps!$G$7</f>
        <v>Wet Well and Sump Station; wastewater treatment unit; at updated plant - US</v>
      </c>
      <c r="D20" s="115" t="str">
        <f>LookUps!G7</f>
        <v>Wet Well and Sump Station; wastewater treatment unit; at updated plant - US</v>
      </c>
      <c r="E20" s="107"/>
      <c r="F20" s="258"/>
      <c r="G20" s="256">
        <f>INDEX(OpenLCAbasic!$J:$J, MATCH(CONCATENATE($C$5,"_", 'AD Scenarios'!G$12,"_","Upgraded_",INDEX(LookUps!$E$5:$E$12,MATCH('AD Scenarios'!G$11, LookUps!$C$5:$C$12,0)),"_", 'AD Scenarios'!$D20,"_", $C$7, "_", $C$6), OpenLCAbasic!$M:$M,0))</f>
        <v>3.3259999999999998E-2</v>
      </c>
      <c r="H20" s="256">
        <f>INDEX(OpenLCAbasic!$J:$J, MATCH(CONCATENATE($C$5,"_", 'AD Scenarios'!H$12,"_","Upgraded_",INDEX(LookUps!$E$5:$E$12,MATCH('AD Scenarios'!H$11, LookUps!$C$5:$C$12,0)),"_", 'AD Scenarios'!$D20,"_", $C$7, "_", $C$6), OpenLCAbasic!$M:$M,0))</f>
        <v>3.3259999999999998E-2</v>
      </c>
      <c r="I20" s="256">
        <f>INDEX(OpenLCAbasic!$J:$J, MATCH(CONCATENATE($C$5,"_", 'AD Scenarios'!I$12,"_","Upgraded_",INDEX(LookUps!$E$5:$E$12,MATCH('AD Scenarios'!I$11, LookUps!$C$5:$C$12,0)),"_", 'AD Scenarios'!$D20,"_", $C$7, "_", $C$6), OpenLCAbasic!$M:$M,0))</f>
        <v>3.3259999999999998E-2</v>
      </c>
      <c r="J20" s="256">
        <f>INDEX(OpenLCAbasic!$J:$J, MATCH(CONCATENATE($C$5,"_", 'AD Scenarios'!J$12,"_","Upgraded_",INDEX(LookUps!$E$5:$E$12,MATCH('AD Scenarios'!J$11, LookUps!$C$5:$C$12,0)),"_", 'AD Scenarios'!$D20,"_", $C$7, "_", $C$6), OpenLCAbasic!$M:$M,0))</f>
        <v>3.3259999999999998E-2</v>
      </c>
      <c r="K20" s="256">
        <f>INDEX(OpenLCAbasic!$J:$J, MATCH(CONCATENATE($C$5,"_", 'AD Scenarios'!K$12,"_","Upgraded_",INDEX(LookUps!$E$5:$E$12,MATCH('AD Scenarios'!K$11, LookUps!$C$5:$C$12,0)),"_", 'AD Scenarios'!$D20,"_", $C$7, "_", $C$6), OpenLCAbasic!$M:$M,0))</f>
        <v>3.3259999999999998E-2</v>
      </c>
      <c r="L20" s="256">
        <f>INDEX(OpenLCAbasic!$J:$J, MATCH(CONCATENATE($C$5,"_", 'AD Scenarios'!L$12,"_","Upgraded_",INDEX(LookUps!$E$5:$E$12,MATCH('AD Scenarios'!L$11, LookUps!$C$5:$C$12,0)),"_", 'AD Scenarios'!$D20,"_", $C$7, "_", $C$6), OpenLCAbasic!$M:$M,0))</f>
        <v>3.3259999999999998E-2</v>
      </c>
      <c r="M20" s="256">
        <f>INDEX(OpenLCAbasic!$J:$J, MATCH(CONCATENATE($C$5,"_", 'AD Scenarios'!M$12,"_","Upgraded_",INDEX(LookUps!$E$5:$E$12,MATCH('AD Scenarios'!M$11, LookUps!$C$5:$C$12,0)),"_", 'AD Scenarios'!$D20,"_", $C$7, "_", $C$6), OpenLCAbasic!$M:$M,0))</f>
        <v>3.3259999999999998E-2</v>
      </c>
      <c r="N20" s="256">
        <f>INDEX(OpenLCAbasic!$J:$J, MATCH(CONCATENATE($C$5,"_", 'AD Scenarios'!N$12,"_","Upgraded_",INDEX(LookUps!$E$5:$E$12,MATCH('AD Scenarios'!N$11, LookUps!$C$5:$C$12,0)),"_", 'AD Scenarios'!$D20,"_", $C$7, "_", $C$6), OpenLCAbasic!$M:$M,0))</f>
        <v>3.3259999999999998E-2</v>
      </c>
      <c r="O20" s="256">
        <f>INDEX(OpenLCAbasic!$J:$J, MATCH(CONCATENATE($C$5,"_", 'AD Scenarios'!O$12,"_","Upgraded_",INDEX(LookUps!$E$5:$E$12,MATCH('AD Scenarios'!O$11, LookUps!$C$5:$C$12,0)),"_", 'AD Scenarios'!$D20,"_", $C$7, "_", $C$6), OpenLCAbasic!$M:$M,0))</f>
        <v>3.3259999999999998E-2</v>
      </c>
      <c r="P20" s="258"/>
      <c r="Q20" s="257">
        <f>INDEX(OpenLCAbasic!$J:$J, MATCH(CONCATENATE($C$5,"_", 'AD Scenarios'!Q$12,"_","Upgraded_",INDEX(LookUps!$E$5:$E$12,MATCH('AD Scenarios'!Q$11, LookUps!$C$5:$C$12,0)),"_", 'AD Scenarios'!$D20,"_", $C$7, "_", $C$6), OpenLCAbasic!$M:$M,0))</f>
        <v>1.1E-4</v>
      </c>
      <c r="R20" s="257">
        <f>INDEX(OpenLCAbasic!$J:$J, MATCH(CONCATENATE($C$5,"_", 'AD Scenarios'!R$12,"_","Upgraded_",INDEX(LookUps!$E$5:$E$12,MATCH('AD Scenarios'!R$11, LookUps!$C$5:$C$12,0)),"_", 'AD Scenarios'!$D20,"_", $C$7, "_", $C$6), OpenLCAbasic!$M:$M,0))</f>
        <v>1.1E-4</v>
      </c>
      <c r="S20" s="257">
        <f>INDEX(OpenLCAbasic!$J:$J, MATCH(CONCATENATE($C$5,"_", 'AD Scenarios'!S$12,"_","Upgraded_",INDEX(LookUps!$E$5:$E$12,MATCH('AD Scenarios'!S$11, LookUps!$C$5:$C$12,0)),"_", 'AD Scenarios'!$D20,"_", $C$7, "_", $C$6), OpenLCAbasic!$M:$M,0))</f>
        <v>1.1E-4</v>
      </c>
      <c r="T20" s="257">
        <f>INDEX(OpenLCAbasic!$J:$J, MATCH(CONCATENATE($C$5,"_", 'AD Scenarios'!T$12,"_","Upgraded_",INDEX(LookUps!$E$5:$E$12,MATCH('AD Scenarios'!T$11, LookUps!$C$5:$C$12,0)),"_", 'AD Scenarios'!$D20,"_", $C$7, "_", $C$6), OpenLCAbasic!$M:$M,0))</f>
        <v>1.1E-4</v>
      </c>
      <c r="U20" s="257">
        <f>INDEX(OpenLCAbasic!$J:$J, MATCH(CONCATENATE($C$5,"_", 'AD Scenarios'!U$12,"_","Upgraded_",INDEX(LookUps!$E$5:$E$12,MATCH('AD Scenarios'!U$11, LookUps!$C$5:$C$12,0)),"_", 'AD Scenarios'!$D20,"_", $C$7, "_", $C$6), OpenLCAbasic!$M:$M,0))</f>
        <v>1.1E-4</v>
      </c>
      <c r="V20" s="257">
        <f>INDEX(OpenLCAbasic!$J:$J, MATCH(CONCATENATE($C$5,"_", 'AD Scenarios'!V$12,"_","Upgraded_",INDEX(LookUps!$E$5:$E$12,MATCH('AD Scenarios'!V$11, LookUps!$C$5:$C$12,0)),"_", 'AD Scenarios'!$D20,"_", $C$7, "_", $C$6), OpenLCAbasic!$M:$M,0))</f>
        <v>1.1E-4</v>
      </c>
      <c r="W20" s="257">
        <f>INDEX(OpenLCAbasic!$J:$J, MATCH(CONCATENATE($C$5,"_", 'AD Scenarios'!W$12,"_","Upgraded_",INDEX(LookUps!$E$5:$E$12,MATCH('AD Scenarios'!W$11, LookUps!$C$5:$C$12,0)),"_", 'AD Scenarios'!$D20,"_", $C$7, "_", $C$6), OpenLCAbasic!$M:$M,0))</f>
        <v>1.1E-4</v>
      </c>
      <c r="X20" s="257">
        <f>INDEX(OpenLCAbasic!$J:$J, MATCH(CONCATENATE($C$5,"_", 'AD Scenarios'!X$12,"_","Upgraded_",INDEX(LookUps!$E$5:$E$12,MATCH('AD Scenarios'!X$11, LookUps!$C$5:$C$12,0)),"_", 'AD Scenarios'!$D20,"_", $C$7, "_", $C$6), OpenLCAbasic!$M:$M,0))</f>
        <v>1.1E-4</v>
      </c>
      <c r="Y20" s="257">
        <f>INDEX(OpenLCAbasic!$J:$J, MATCH(CONCATENATE($C$5,"_", 'AD Scenarios'!Y$12,"_","Upgraded_",INDEX(LookUps!$E$5:$E$12,MATCH('AD Scenarios'!Y$11, LookUps!$C$5:$C$12,0)),"_", 'AD Scenarios'!$D20,"_", $C$7, "_", $C$6), OpenLCAbasic!$M:$M,0))</f>
        <v>1.1E-4</v>
      </c>
      <c r="Z20" s="258"/>
      <c r="AA20" s="257">
        <f>INDEX(OpenLCAbasic!$J:$J, MATCH(CONCATENATE($C$5,"_", 'AD Scenarios'!AA$12,"_","Upgraded_",INDEX(LookUps!$E$5:$E$12,MATCH('AD Scenarios'!AA$11, LookUps!$C$5:$C$12,0)),"_", 'AD Scenarios'!$D20,"_", $C$7, "_", $C$6), OpenLCAbasic!$M:$M,0))</f>
        <v>4.6999999999999999E-4</v>
      </c>
      <c r="AB20" s="257">
        <f>INDEX(OpenLCAbasic!$J:$J, MATCH(CONCATENATE($C$5,"_", 'AD Scenarios'!AB$12,"_","Upgraded_",INDEX(LookUps!$E$5:$E$12,MATCH('AD Scenarios'!AB$11, LookUps!$C$5:$C$12,0)),"_", 'AD Scenarios'!$D20,"_", $C$7, "_", $C$6), OpenLCAbasic!$M:$M,0))</f>
        <v>4.6999999999999999E-4</v>
      </c>
      <c r="AC20" s="257">
        <f>INDEX(OpenLCAbasic!$J:$J, MATCH(CONCATENATE($C$5,"_", 'AD Scenarios'!AC$12,"_","Upgraded_",INDEX(LookUps!$E$5:$E$12,MATCH('AD Scenarios'!AC$11, LookUps!$C$5:$C$12,0)),"_", 'AD Scenarios'!$D20,"_", $C$7, "_", $C$6), OpenLCAbasic!$M:$M,0))</f>
        <v>4.6999999999999999E-4</v>
      </c>
      <c r="AD20" s="257">
        <f>INDEX(OpenLCAbasic!$J:$J, MATCH(CONCATENATE($C$5,"_", 'AD Scenarios'!AD$12,"_","Upgraded_",INDEX(LookUps!$E$5:$E$12,MATCH('AD Scenarios'!AD$11, LookUps!$C$5:$C$12,0)),"_", 'AD Scenarios'!$D20,"_", $C$7, "_", $C$6), OpenLCAbasic!$M:$M,0))</f>
        <v>4.6999999999999999E-4</v>
      </c>
      <c r="AE20" s="257">
        <f>INDEX(OpenLCAbasic!$J:$J, MATCH(CONCATENATE($C$5,"_", 'AD Scenarios'!AE$12,"_","Upgraded_",INDEX(LookUps!$E$5:$E$12,MATCH('AD Scenarios'!AE$11, LookUps!$C$5:$C$12,0)),"_", 'AD Scenarios'!$D20,"_", $C$7, "_", $C$6), OpenLCAbasic!$M:$M,0))</f>
        <v>4.6999999999999999E-4</v>
      </c>
      <c r="AF20" s="257">
        <f>INDEX(OpenLCAbasic!$J:$J, MATCH(CONCATENATE($C$5,"_", 'AD Scenarios'!AF$12,"_","Upgraded_",INDEX(LookUps!$E$5:$E$12,MATCH('AD Scenarios'!AF$11, LookUps!$C$5:$C$12,0)),"_", 'AD Scenarios'!$D20,"_", $C$7, "_", $C$6), OpenLCAbasic!$M:$M,0))</f>
        <v>4.6999999999999999E-4</v>
      </c>
      <c r="AG20" s="257">
        <f>INDEX(OpenLCAbasic!$J:$J, MATCH(CONCATENATE($C$5,"_", 'AD Scenarios'!AG$12,"_","Upgraded_",INDEX(LookUps!$E$5:$E$12,MATCH('AD Scenarios'!AG$11, LookUps!$C$5:$C$12,0)),"_", 'AD Scenarios'!$D20,"_", $C$7, "_", $C$6), OpenLCAbasic!$M:$M,0))</f>
        <v>4.6999999999999999E-4</v>
      </c>
      <c r="AH20" s="257">
        <f>INDEX(OpenLCAbasic!$J:$J, MATCH(CONCATENATE($C$5,"_", 'AD Scenarios'!AH$12,"_","Upgraded_",INDEX(LookUps!$E$5:$E$12,MATCH('AD Scenarios'!AH$11, LookUps!$C$5:$C$12,0)),"_", 'AD Scenarios'!$D20,"_", $C$7, "_", $C$6), OpenLCAbasic!$M:$M,0))</f>
        <v>4.6999999999999999E-4</v>
      </c>
      <c r="AI20" s="257">
        <f>INDEX(OpenLCAbasic!$J:$J, MATCH(CONCATENATE($C$5,"_", 'AD Scenarios'!AI$12,"_","Upgraded_",INDEX(LookUps!$E$5:$E$12,MATCH('AD Scenarios'!AI$11, LookUps!$C$5:$C$12,0)),"_", 'AD Scenarios'!$D20,"_", $C$7, "_", $C$6), OpenLCAbasic!$M:$M,0))</f>
        <v>4.6999999999999999E-4</v>
      </c>
      <c r="AJ20" s="258"/>
      <c r="AK20" s="256">
        <f>INDEX(OpenLCAbasic!$J:$J, MATCH(CONCATENATE($C$5,"_", 'AD Scenarios'!AK$12,"_","Upgraded_",INDEX(LookUps!$E$5:$E$12,MATCH('AD Scenarios'!AK$11, LookUps!$C$5:$C$12,0)),"_", 'AD Scenarios'!$D20,"_", $C$7, "_", $C$6), OpenLCAbasic!$M:$M,0))</f>
        <v>3.313E-2</v>
      </c>
      <c r="AL20" s="256">
        <f>INDEX(OpenLCAbasic!$J:$J, MATCH(CONCATENATE($C$5,"_", 'AD Scenarios'!AL$12,"_","Upgraded_",INDEX(LookUps!$E$5:$E$12,MATCH('AD Scenarios'!AL$11, LookUps!$C$5:$C$12,0)),"_", 'AD Scenarios'!$D20,"_", $C$7, "_", $C$6), OpenLCAbasic!$M:$M,0))</f>
        <v>3.313E-2</v>
      </c>
      <c r="AM20" s="256">
        <f>INDEX(OpenLCAbasic!$J:$J, MATCH(CONCATENATE($C$5,"_", 'AD Scenarios'!AM$12,"_","Upgraded_",INDEX(LookUps!$E$5:$E$12,MATCH('AD Scenarios'!AM$11, LookUps!$C$5:$C$12,0)),"_", 'AD Scenarios'!$D20,"_", $C$7, "_", $C$6), OpenLCAbasic!$M:$M,0))</f>
        <v>3.313E-2</v>
      </c>
      <c r="AN20" s="256">
        <f>INDEX(OpenLCAbasic!$J:$J, MATCH(CONCATENATE($C$5,"_", 'AD Scenarios'!AN$12,"_","Upgraded_",INDEX(LookUps!$E$5:$E$12,MATCH('AD Scenarios'!AN$11, LookUps!$C$5:$C$12,0)),"_", 'AD Scenarios'!$D20,"_", $C$7, "_", $C$6), OpenLCAbasic!$M:$M,0))</f>
        <v>3.313E-2</v>
      </c>
      <c r="AO20" s="256">
        <f>INDEX(OpenLCAbasic!$J:$J, MATCH(CONCATENATE($C$5,"_", 'AD Scenarios'!AO$12,"_","Upgraded_",INDEX(LookUps!$E$5:$E$12,MATCH('AD Scenarios'!AO$11, LookUps!$C$5:$C$12,0)),"_", 'AD Scenarios'!$D20,"_", $C$7, "_", $C$6), OpenLCAbasic!$M:$M,0))</f>
        <v>3.313E-2</v>
      </c>
      <c r="AP20" s="256">
        <f>INDEX(OpenLCAbasic!$J:$J, MATCH(CONCATENATE($C$5,"_", 'AD Scenarios'!AP$12,"_","Upgraded_",INDEX(LookUps!$E$5:$E$12,MATCH('AD Scenarios'!AP$11, LookUps!$C$5:$C$12,0)),"_", 'AD Scenarios'!$D20,"_", $C$7, "_", $C$6), OpenLCAbasic!$M:$M,0))</f>
        <v>3.313E-2</v>
      </c>
      <c r="AQ20" s="256">
        <f>INDEX(OpenLCAbasic!$J:$J, MATCH(CONCATENATE($C$5,"_", 'AD Scenarios'!AQ$12,"_","Upgraded_",INDEX(LookUps!$E$5:$E$12,MATCH('AD Scenarios'!AQ$11, LookUps!$C$5:$C$12,0)),"_", 'AD Scenarios'!$D20,"_", $C$7, "_", $C$6), OpenLCAbasic!$M:$M,0))</f>
        <v>3.313E-2</v>
      </c>
      <c r="AR20" s="256">
        <f>INDEX(OpenLCAbasic!$J:$J, MATCH(CONCATENATE($C$5,"_", 'AD Scenarios'!AR$12,"_","Upgraded_",INDEX(LookUps!$E$5:$E$12,MATCH('AD Scenarios'!AR$11, LookUps!$C$5:$C$12,0)),"_", 'AD Scenarios'!$D20,"_", $C$7, "_", $C$6), OpenLCAbasic!$M:$M,0))</f>
        <v>3.313E-2</v>
      </c>
      <c r="AS20" s="256">
        <f>INDEX(OpenLCAbasic!$J:$J, MATCH(CONCATENATE($C$5,"_", 'AD Scenarios'!AS$12,"_","Upgraded_",INDEX(LookUps!$E$5:$E$12,MATCH('AD Scenarios'!AS$11, LookUps!$C$5:$C$12,0)),"_", 'AD Scenarios'!$D20,"_", $C$7, "_", $C$6), OpenLCAbasic!$M:$M,0))</f>
        <v>3.313E-2</v>
      </c>
      <c r="AT20" s="258"/>
      <c r="AU20" s="257">
        <f>INDEX(OpenLCAbasic!$J:$J, MATCH(CONCATENATE($C$5,"_", 'AD Scenarios'!AU$12,"_","Upgraded_",INDEX(LookUps!$E$5:$E$12,MATCH('AD Scenarios'!AU$11, LookUps!$C$5:$C$12,0)),"_", 'AD Scenarios'!$D20,"_", $C$7, "_", $C$6), OpenLCAbasic!$M:$M,0))</f>
        <v>3.4499999999999999E-3</v>
      </c>
      <c r="AV20" s="257">
        <f>INDEX(OpenLCAbasic!$J:$J, MATCH(CONCATENATE($C$5,"_", 'AD Scenarios'!AV$12,"_","Upgraded_",INDEX(LookUps!$E$5:$E$12,MATCH('AD Scenarios'!AV$11, LookUps!$C$5:$C$12,0)),"_", 'AD Scenarios'!$D20,"_", $C$7, "_", $C$6), OpenLCAbasic!$M:$M,0))</f>
        <v>3.4499999999999999E-3</v>
      </c>
      <c r="AW20" s="257">
        <f>INDEX(OpenLCAbasic!$J:$J, MATCH(CONCATENATE($C$5,"_", 'AD Scenarios'!AW$12,"_","Upgraded_",INDEX(LookUps!$E$5:$E$12,MATCH('AD Scenarios'!AW$11, LookUps!$C$5:$C$12,0)),"_", 'AD Scenarios'!$D20,"_", $C$7, "_", $C$6), OpenLCAbasic!$M:$M,0))</f>
        <v>3.4499999999999999E-3</v>
      </c>
      <c r="AX20" s="257">
        <f>INDEX(OpenLCAbasic!$J:$J, MATCH(CONCATENATE($C$5,"_", 'AD Scenarios'!AX$12,"_","Upgraded_",INDEX(LookUps!$E$5:$E$12,MATCH('AD Scenarios'!AX$11, LookUps!$C$5:$C$12,0)),"_", 'AD Scenarios'!$D20,"_", $C$7, "_", $C$6), OpenLCAbasic!$M:$M,0))</f>
        <v>3.4499999999999999E-3</v>
      </c>
      <c r="AY20" s="257">
        <f>INDEX(OpenLCAbasic!$J:$J, MATCH(CONCATENATE($C$5,"_", 'AD Scenarios'!AY$12,"_","Upgraded_",INDEX(LookUps!$E$5:$E$12,MATCH('AD Scenarios'!AY$11, LookUps!$C$5:$C$12,0)),"_", 'AD Scenarios'!$D20,"_", $C$7, "_", $C$6), OpenLCAbasic!$M:$M,0))</f>
        <v>3.4499999999999999E-3</v>
      </c>
      <c r="AZ20" s="257">
        <f>INDEX(OpenLCAbasic!$J:$J, MATCH(CONCATENATE($C$5,"_", 'AD Scenarios'!AZ$12,"_","Upgraded_",INDEX(LookUps!$E$5:$E$12,MATCH('AD Scenarios'!AZ$11, LookUps!$C$5:$C$12,0)),"_", 'AD Scenarios'!$D20,"_", $C$7, "_", $C$6), OpenLCAbasic!$M:$M,0))</f>
        <v>3.4499999999999999E-3</v>
      </c>
      <c r="BA20" s="257">
        <f>INDEX(OpenLCAbasic!$J:$J, MATCH(CONCATENATE($C$5,"_", 'AD Scenarios'!BA$12,"_","Upgraded_",INDEX(LookUps!$E$5:$E$12,MATCH('AD Scenarios'!BA$11, LookUps!$C$5:$C$12,0)),"_", 'AD Scenarios'!$D20,"_", $C$7, "_", $C$6), OpenLCAbasic!$M:$M,0))</f>
        <v>3.4499999999999999E-3</v>
      </c>
      <c r="BB20" s="257">
        <f>INDEX(OpenLCAbasic!$J:$J, MATCH(CONCATENATE($C$5,"_", 'AD Scenarios'!BB$12,"_","Upgraded_",INDEX(LookUps!$E$5:$E$12,MATCH('AD Scenarios'!BB$11, LookUps!$C$5:$C$12,0)),"_", 'AD Scenarios'!$D20,"_", $C$7, "_", $C$6), OpenLCAbasic!$M:$M,0))</f>
        <v>3.4499999999999999E-3</v>
      </c>
      <c r="BC20" s="257">
        <f>INDEX(OpenLCAbasic!$J:$J, MATCH(CONCATENATE($C$5,"_", 'AD Scenarios'!BC$12,"_","Upgraded_",INDEX(LookUps!$E$5:$E$12,MATCH('AD Scenarios'!BC$11, LookUps!$C$5:$C$12,0)),"_", 'AD Scenarios'!$D20,"_", $C$7, "_", $C$6), OpenLCAbasic!$M:$M,0))</f>
        <v>3.4499999999999999E-3</v>
      </c>
      <c r="BD20" s="258"/>
      <c r="BE20" s="257">
        <f>INDEX(OpenLCAbasic!$J:$J, MATCH(CONCATENATE($C$5,"_", 'AD Scenarios'!BE$12,"_","Upgraded_",INDEX(LookUps!$E$5:$E$12,MATCH('AD Scenarios'!BE$11, LookUps!$C$5:$C$12,0)),"_", 'AD Scenarios'!$D20,"_", $C$7, "_", $C$6), OpenLCAbasic!$M:$M,0))</f>
        <v>1.75069E-5</v>
      </c>
      <c r="BF20" s="257">
        <f>INDEX(OpenLCAbasic!$J:$J, MATCH(CONCATENATE($C$5,"_", 'AD Scenarios'!BF$12,"_","Upgraded_",INDEX(LookUps!$E$5:$E$12,MATCH('AD Scenarios'!BF$11, LookUps!$C$5:$C$12,0)),"_", 'AD Scenarios'!$D20,"_", $C$7, "_", $C$6), OpenLCAbasic!$M:$M,0))</f>
        <v>1.75069E-5</v>
      </c>
      <c r="BG20" s="257">
        <f>INDEX(OpenLCAbasic!$J:$J, MATCH(CONCATENATE($C$5,"_", 'AD Scenarios'!BG$12,"_","Upgraded_",INDEX(LookUps!$E$5:$E$12,MATCH('AD Scenarios'!BG$11, LookUps!$C$5:$C$12,0)),"_", 'AD Scenarios'!$D20,"_", $C$7, "_", $C$6), OpenLCAbasic!$M:$M,0))</f>
        <v>1.75069E-5</v>
      </c>
      <c r="BH20" s="257">
        <f>INDEX(OpenLCAbasic!$J:$J, MATCH(CONCATENATE($C$5,"_", 'AD Scenarios'!BH$12,"_","Upgraded_",INDEX(LookUps!$E$5:$E$12,MATCH('AD Scenarios'!BH$11, LookUps!$C$5:$C$12,0)),"_", 'AD Scenarios'!$D20,"_", $C$7, "_", $C$6), OpenLCAbasic!$M:$M,0))</f>
        <v>1.75069E-5</v>
      </c>
      <c r="BI20" s="257">
        <f>INDEX(OpenLCAbasic!$J:$J, MATCH(CONCATENATE($C$5,"_", 'AD Scenarios'!BI$12,"_","Upgraded_",INDEX(LookUps!$E$5:$E$12,MATCH('AD Scenarios'!BI$11, LookUps!$C$5:$C$12,0)),"_", 'AD Scenarios'!$D20,"_", $C$7, "_", $C$6), OpenLCAbasic!$M:$M,0))</f>
        <v>1.75069E-5</v>
      </c>
      <c r="BJ20" s="257">
        <f>INDEX(OpenLCAbasic!$J:$J, MATCH(CONCATENATE($C$5,"_", 'AD Scenarios'!BJ$12,"_","Upgraded_",INDEX(LookUps!$E$5:$E$12,MATCH('AD Scenarios'!BJ$11, LookUps!$C$5:$C$12,0)),"_", 'AD Scenarios'!$D20,"_", $C$7, "_", $C$6), OpenLCAbasic!$M:$M,0))</f>
        <v>1.75069E-5</v>
      </c>
      <c r="BK20" s="257">
        <f>INDEX(OpenLCAbasic!$J:$J, MATCH(CONCATENATE($C$5,"_", 'AD Scenarios'!BK$12,"_","Upgraded_",INDEX(LookUps!$E$5:$E$12,MATCH('AD Scenarios'!BK$11, LookUps!$C$5:$C$12,0)),"_", 'AD Scenarios'!$D20,"_", $C$7, "_", $C$6), OpenLCAbasic!$M:$M,0))</f>
        <v>1.75069E-5</v>
      </c>
      <c r="BL20" s="257">
        <f>INDEX(OpenLCAbasic!$J:$J, MATCH(CONCATENATE($C$5,"_", 'AD Scenarios'!BL$12,"_","Upgraded_",INDEX(LookUps!$E$5:$E$12,MATCH('AD Scenarios'!BL$11, LookUps!$C$5:$C$12,0)),"_", 'AD Scenarios'!$D20,"_", $C$7, "_", $C$6), OpenLCAbasic!$M:$M,0))</f>
        <v>1.75069E-5</v>
      </c>
      <c r="BM20" s="257">
        <f>INDEX(OpenLCAbasic!$J:$J, MATCH(CONCATENATE($C$5,"_", 'AD Scenarios'!BM$12,"_","Upgraded_",INDEX(LookUps!$E$5:$E$12,MATCH('AD Scenarios'!BM$11, LookUps!$C$5:$C$12,0)),"_", 'AD Scenarios'!$D20,"_", $C$7, "_", $C$6), OpenLCAbasic!$M:$M,0))</f>
        <v>1.75069E-5</v>
      </c>
      <c r="BN20" s="258"/>
      <c r="BO20" s="256">
        <f>INDEX(OpenLCAbasic!$J:$J, MATCH(CONCATENATE($C$5,"_", 'AD Scenarios'!BO$12,"_","Upgraded_",INDEX(LookUps!$E$5:$E$12,MATCH('AD Scenarios'!BO$11, LookUps!$C$5:$C$12,0)),"_", 'AD Scenarios'!$D20,"_", $C$7, "_", $C$6), OpenLCAbasic!$M:$M,0))</f>
        <v>1.2489999999999999E-2</v>
      </c>
      <c r="BP20" s="256">
        <f>INDEX(OpenLCAbasic!$J:$J, MATCH(CONCATENATE($C$5,"_", 'AD Scenarios'!BP$12,"_","Upgraded_",INDEX(LookUps!$E$5:$E$12,MATCH('AD Scenarios'!BP$11, LookUps!$C$5:$C$12,0)),"_", 'AD Scenarios'!$D20,"_", $C$7, "_", $C$6), OpenLCAbasic!$M:$M,0))</f>
        <v>1.2489999999999999E-2</v>
      </c>
      <c r="BQ20" s="256">
        <f>INDEX(OpenLCAbasic!$J:$J, MATCH(CONCATENATE($C$5,"_", 'AD Scenarios'!BQ$12,"_","Upgraded_",INDEX(LookUps!$E$5:$E$12,MATCH('AD Scenarios'!BQ$11, LookUps!$C$5:$C$12,0)),"_", 'AD Scenarios'!$D20,"_", $C$7, "_", $C$6), OpenLCAbasic!$M:$M,0))</f>
        <v>1.2489999999999999E-2</v>
      </c>
      <c r="BR20" s="256">
        <f>INDEX(OpenLCAbasic!$J:$J, MATCH(CONCATENATE($C$5,"_", 'AD Scenarios'!BR$12,"_","Upgraded_",INDEX(LookUps!$E$5:$E$12,MATCH('AD Scenarios'!BR$11, LookUps!$C$5:$C$12,0)),"_", 'AD Scenarios'!$D20,"_", $C$7, "_", $C$6), OpenLCAbasic!$M:$M,0))</f>
        <v>1.2489999999999999E-2</v>
      </c>
      <c r="BS20" s="256">
        <f>INDEX(OpenLCAbasic!$J:$J, MATCH(CONCATENATE($C$5,"_", 'AD Scenarios'!BS$12,"_","Upgraded_",INDEX(LookUps!$E$5:$E$12,MATCH('AD Scenarios'!BS$11, LookUps!$C$5:$C$12,0)),"_", 'AD Scenarios'!$D20,"_", $C$7, "_", $C$6), OpenLCAbasic!$M:$M,0))</f>
        <v>1.2489999999999999E-2</v>
      </c>
      <c r="BT20" s="256">
        <f>INDEX(OpenLCAbasic!$J:$J, MATCH(CONCATENATE($C$5,"_", 'AD Scenarios'!BT$12,"_","Upgraded_",INDEX(LookUps!$E$5:$E$12,MATCH('AD Scenarios'!BT$11, LookUps!$C$5:$C$12,0)),"_", 'AD Scenarios'!$D20,"_", $C$7, "_", $C$6), OpenLCAbasic!$M:$M,0))</f>
        <v>1.2489999999999999E-2</v>
      </c>
      <c r="BU20" s="256">
        <f>INDEX(OpenLCAbasic!$J:$J, MATCH(CONCATENATE($C$5,"_", 'AD Scenarios'!BU$12,"_","Upgraded_",INDEX(LookUps!$E$5:$E$12,MATCH('AD Scenarios'!BU$11, LookUps!$C$5:$C$12,0)),"_", 'AD Scenarios'!$D20,"_", $C$7, "_", $C$6), OpenLCAbasic!$M:$M,0))</f>
        <v>1.2489999999999999E-2</v>
      </c>
      <c r="BV20" s="256">
        <f>INDEX(OpenLCAbasic!$J:$J, MATCH(CONCATENATE($C$5,"_", 'AD Scenarios'!BV$12,"_","Upgraded_",INDEX(LookUps!$E$5:$E$12,MATCH('AD Scenarios'!BV$11, LookUps!$C$5:$C$12,0)),"_", 'AD Scenarios'!$D20,"_", $C$7, "_", $C$6), OpenLCAbasic!$M:$M,0))</f>
        <v>1.2489999999999999E-2</v>
      </c>
      <c r="BW20" s="256">
        <f>INDEX(OpenLCAbasic!$J:$J, MATCH(CONCATENATE($C$5,"_", 'AD Scenarios'!BW$12,"_","Upgraded_",INDEX(LookUps!$E$5:$E$12,MATCH('AD Scenarios'!BW$11, LookUps!$C$5:$C$12,0)),"_", 'AD Scenarios'!$D20,"_", $C$7, "_", $C$6), OpenLCAbasic!$M:$M,0))</f>
        <v>1.2489999999999999E-2</v>
      </c>
      <c r="BX20" s="258"/>
      <c r="BY20" s="256">
        <f>INDEX(OpenLCAbasic!$J:$J, MATCH(CONCATENATE($C$5,"_", 'AD Scenarios'!BY$12,"_","Upgraded_",INDEX(LookUps!$E$5:$E$12,MATCH('AD Scenarios'!BY$11, LookUps!$C$5:$C$12,0)),"_", 'AD Scenarios'!$D20,"_", $C$7, "_", $C$6), OpenLCAbasic!$M:$M,0))</f>
        <v>0.69645000000000001</v>
      </c>
      <c r="BZ20" s="256">
        <f>INDEX(OpenLCAbasic!$J:$J, MATCH(CONCATENATE($C$5,"_", 'AD Scenarios'!BZ$12,"_","Upgraded_",INDEX(LookUps!$E$5:$E$12,MATCH('AD Scenarios'!BZ$11, LookUps!$C$5:$C$12,0)),"_", 'AD Scenarios'!$D20,"_", $C$7, "_", $C$6), OpenLCAbasic!$M:$M,0))</f>
        <v>0.69645000000000001</v>
      </c>
      <c r="CA20" s="256">
        <f>INDEX(OpenLCAbasic!$J:$J, MATCH(CONCATENATE($C$5,"_", 'AD Scenarios'!CA$12,"_","Upgraded_",INDEX(LookUps!$E$5:$E$12,MATCH('AD Scenarios'!CA$11, LookUps!$C$5:$C$12,0)),"_", 'AD Scenarios'!$D20,"_", $C$7, "_", $C$6), OpenLCAbasic!$M:$M,0))</f>
        <v>0.69645000000000001</v>
      </c>
      <c r="CB20" s="256">
        <f>INDEX(OpenLCAbasic!$J:$J, MATCH(CONCATENATE($C$5,"_", 'AD Scenarios'!CB$12,"_","Upgraded_",INDEX(LookUps!$E$5:$E$12,MATCH('AD Scenarios'!CB$11, LookUps!$C$5:$C$12,0)),"_", 'AD Scenarios'!$D20,"_", $C$7, "_", $C$6), OpenLCAbasic!$M:$M,0))</f>
        <v>0.69645000000000001</v>
      </c>
      <c r="CC20" s="256">
        <f>INDEX(OpenLCAbasic!$J:$J, MATCH(CONCATENATE($C$5,"_", 'AD Scenarios'!CC$12,"_","Upgraded_",INDEX(LookUps!$E$5:$E$12,MATCH('AD Scenarios'!CC$11, LookUps!$C$5:$C$12,0)),"_", 'AD Scenarios'!$D20,"_", $C$7, "_", $C$6), OpenLCAbasic!$M:$M,0))</f>
        <v>0.69645000000000001</v>
      </c>
      <c r="CD20" s="256">
        <f>INDEX(OpenLCAbasic!$J:$J, MATCH(CONCATENATE($C$5,"_", 'AD Scenarios'!CD$12,"_","Upgraded_",INDEX(LookUps!$E$5:$E$12,MATCH('AD Scenarios'!CD$11, LookUps!$C$5:$C$12,0)),"_", 'AD Scenarios'!$D20,"_", $C$7, "_", $C$6), OpenLCAbasic!$M:$M,0))</f>
        <v>0.69645000000000001</v>
      </c>
      <c r="CE20" s="256">
        <f>INDEX(OpenLCAbasic!$J:$J, MATCH(CONCATENATE($C$5,"_", 'AD Scenarios'!CE$12,"_","Upgraded_",INDEX(LookUps!$E$5:$E$12,MATCH('AD Scenarios'!CE$11, LookUps!$C$5:$C$12,0)),"_", 'AD Scenarios'!$D20,"_", $C$7, "_", $C$6), OpenLCAbasic!$M:$M,0))</f>
        <v>0.69645000000000001</v>
      </c>
      <c r="CF20" s="256">
        <f>INDEX(OpenLCAbasic!$J:$J, MATCH(CONCATENATE($C$5,"_", 'AD Scenarios'!CF$12,"_","Upgraded_",INDEX(LookUps!$E$5:$E$12,MATCH('AD Scenarios'!CF$11, LookUps!$C$5:$C$12,0)),"_", 'AD Scenarios'!$D20,"_", $C$7, "_", $C$6), OpenLCAbasic!$M:$M,0))</f>
        <v>0.69645000000000001</v>
      </c>
      <c r="CG20" s="256">
        <f>INDEX(OpenLCAbasic!$J:$J, MATCH(CONCATENATE($C$5,"_", 'AD Scenarios'!CG$12,"_","Upgraded_",INDEX(LookUps!$E$5:$E$12,MATCH('AD Scenarios'!CG$11, LookUps!$C$5:$C$12,0)),"_", 'AD Scenarios'!$D20,"_", $C$7, "_", $C$6), OpenLCAbasic!$M:$M,0))</f>
        <v>0.69645000000000001</v>
      </c>
    </row>
    <row r="21" spans="2:85" x14ac:dyDescent="0.25">
      <c r="B21" s="363"/>
      <c r="C21" s="81" t="str">
        <f>LookUps!$G$13</f>
        <v>Pre-Anoxic &amp; Swing tank; wastewater treatment unit; at updated plant - US</v>
      </c>
      <c r="D21" s="115" t="str">
        <f>LookUps!G13</f>
        <v>Pre-Anoxic &amp; Swing tank; wastewater treatment unit; at updated plant - US</v>
      </c>
      <c r="E21" s="107"/>
      <c r="F21" s="258"/>
      <c r="G21" s="256">
        <f>INDEX(OpenLCAbasic!$J:$J, MATCH(CONCATENATE($C$5,"_", 'AD Scenarios'!G$12,"_","Upgraded_",INDEX(LookUps!$E$5:$E$12,MATCH('AD Scenarios'!G$11, LookUps!$C$5:$C$12,0)),"_", 'AD Scenarios'!$D21,"_", $C$7, "_", $C$6), OpenLCAbasic!$M:$M,0))</f>
        <v>0.24279999999999999</v>
      </c>
      <c r="H21" s="256">
        <f>INDEX(OpenLCAbasic!$J:$J, MATCH(CONCATENATE($C$5,"_", 'AD Scenarios'!H$12,"_","Upgraded_",INDEX(LookUps!$E$5:$E$12,MATCH('AD Scenarios'!H$11, LookUps!$C$5:$C$12,0)),"_", 'AD Scenarios'!$D21,"_", $C$7, "_", $C$6), OpenLCAbasic!$M:$M,0))</f>
        <v>0.24279999999999999</v>
      </c>
      <c r="I21" s="256">
        <f>INDEX(OpenLCAbasic!$J:$J, MATCH(CONCATENATE($C$5,"_", 'AD Scenarios'!I$12,"_","Upgraded_",INDEX(LookUps!$E$5:$E$12,MATCH('AD Scenarios'!I$11, LookUps!$C$5:$C$12,0)),"_", 'AD Scenarios'!$D21,"_", $C$7, "_", $C$6), OpenLCAbasic!$M:$M,0))</f>
        <v>0.24279999999999999</v>
      </c>
      <c r="J21" s="256">
        <f>INDEX(OpenLCAbasic!$J:$J, MATCH(CONCATENATE($C$5,"_", 'AD Scenarios'!J$12,"_","Upgraded_",INDEX(LookUps!$E$5:$E$12,MATCH('AD Scenarios'!J$11, LookUps!$C$5:$C$12,0)),"_", 'AD Scenarios'!$D21,"_", $C$7, "_", $C$6), OpenLCAbasic!$M:$M,0))</f>
        <v>0.24568999999999999</v>
      </c>
      <c r="K21" s="256">
        <f>INDEX(OpenLCAbasic!$J:$J, MATCH(CONCATENATE($C$5,"_", 'AD Scenarios'!K$12,"_","Upgraded_",INDEX(LookUps!$E$5:$E$12,MATCH('AD Scenarios'!K$11, LookUps!$C$5:$C$12,0)),"_", 'AD Scenarios'!$D21,"_", $C$7, "_", $C$6), OpenLCAbasic!$M:$M,0))</f>
        <v>0.24568999999999999</v>
      </c>
      <c r="L21" s="256">
        <f>INDEX(OpenLCAbasic!$J:$J, MATCH(CONCATENATE($C$5,"_", 'AD Scenarios'!L$12,"_","Upgraded_",INDEX(LookUps!$E$5:$E$12,MATCH('AD Scenarios'!L$11, LookUps!$C$5:$C$12,0)),"_", 'AD Scenarios'!$D21,"_", $C$7, "_", $C$6), OpenLCAbasic!$M:$M,0))</f>
        <v>0.24568999999999999</v>
      </c>
      <c r="M21" s="256">
        <f>INDEX(OpenLCAbasic!$J:$J, MATCH(CONCATENATE($C$5,"_", 'AD Scenarios'!M$12,"_","Upgraded_",INDEX(LookUps!$E$5:$E$12,MATCH('AD Scenarios'!M$11, LookUps!$C$5:$C$12,0)),"_", 'AD Scenarios'!$D21,"_", $C$7, "_", $C$6), OpenLCAbasic!$M:$M,0))</f>
        <v>0.24992</v>
      </c>
      <c r="N21" s="256">
        <f>INDEX(OpenLCAbasic!$J:$J, MATCH(CONCATENATE($C$5,"_", 'AD Scenarios'!N$12,"_","Upgraded_",INDEX(LookUps!$E$5:$E$12,MATCH('AD Scenarios'!N$11, LookUps!$C$5:$C$12,0)),"_", 'AD Scenarios'!$D21,"_", $C$7, "_", $C$6), OpenLCAbasic!$M:$M,0))</f>
        <v>0.24992</v>
      </c>
      <c r="O21" s="256">
        <f>INDEX(OpenLCAbasic!$J:$J, MATCH(CONCATENATE($C$5,"_", 'AD Scenarios'!O$12,"_","Upgraded_",INDEX(LookUps!$E$5:$E$12,MATCH('AD Scenarios'!O$11, LookUps!$C$5:$C$12,0)),"_", 'AD Scenarios'!$D21,"_", $C$7, "_", $C$6), OpenLCAbasic!$M:$M,0))</f>
        <v>0.24992</v>
      </c>
      <c r="P21" s="258"/>
      <c r="Q21" s="257">
        <f>INDEX(OpenLCAbasic!$J:$J, MATCH(CONCATENATE($C$5,"_", 'AD Scenarios'!Q$12,"_","Upgraded_",INDEX(LookUps!$E$5:$E$12,MATCH('AD Scenarios'!Q$11, LookUps!$C$5:$C$12,0)),"_", 'AD Scenarios'!$D21,"_", $C$7, "_", $C$6), OpenLCAbasic!$M:$M,0))</f>
        <v>1.3999999999999999E-4</v>
      </c>
      <c r="R21" s="257">
        <f>INDEX(OpenLCAbasic!$J:$J, MATCH(CONCATENATE($C$5,"_", 'AD Scenarios'!R$12,"_","Upgraded_",INDEX(LookUps!$E$5:$E$12,MATCH('AD Scenarios'!R$11, LookUps!$C$5:$C$12,0)),"_", 'AD Scenarios'!$D21,"_", $C$7, "_", $C$6), OpenLCAbasic!$M:$M,0))</f>
        <v>1.3999999999999999E-4</v>
      </c>
      <c r="S21" s="257">
        <f>INDEX(OpenLCAbasic!$J:$J, MATCH(CONCATENATE($C$5,"_", 'AD Scenarios'!S$12,"_","Upgraded_",INDEX(LookUps!$E$5:$E$12,MATCH('AD Scenarios'!S$11, LookUps!$C$5:$C$12,0)),"_", 'AD Scenarios'!$D21,"_", $C$7, "_", $C$6), OpenLCAbasic!$M:$M,0))</f>
        <v>1.3999999999999999E-4</v>
      </c>
      <c r="T21" s="257">
        <f>INDEX(OpenLCAbasic!$J:$J, MATCH(CONCATENATE($C$5,"_", 'AD Scenarios'!T$12,"_","Upgraded_",INDEX(LookUps!$E$5:$E$12,MATCH('AD Scenarios'!T$11, LookUps!$C$5:$C$12,0)),"_", 'AD Scenarios'!$D21,"_", $C$7, "_", $C$6), OpenLCAbasic!$M:$M,0))</f>
        <v>1.3999999999999999E-4</v>
      </c>
      <c r="U21" s="257">
        <f>INDEX(OpenLCAbasic!$J:$J, MATCH(CONCATENATE($C$5,"_", 'AD Scenarios'!U$12,"_","Upgraded_",INDEX(LookUps!$E$5:$E$12,MATCH('AD Scenarios'!U$11, LookUps!$C$5:$C$12,0)),"_", 'AD Scenarios'!$D21,"_", $C$7, "_", $C$6), OpenLCAbasic!$M:$M,0))</f>
        <v>1.3999999999999999E-4</v>
      </c>
      <c r="V21" s="257">
        <f>INDEX(OpenLCAbasic!$J:$J, MATCH(CONCATENATE($C$5,"_", 'AD Scenarios'!V$12,"_","Upgraded_",INDEX(LookUps!$E$5:$E$12,MATCH('AD Scenarios'!V$11, LookUps!$C$5:$C$12,0)),"_", 'AD Scenarios'!$D21,"_", $C$7, "_", $C$6), OpenLCAbasic!$M:$M,0))</f>
        <v>1.3999999999999999E-4</v>
      </c>
      <c r="W21" s="257">
        <f>INDEX(OpenLCAbasic!$J:$J, MATCH(CONCATENATE($C$5,"_", 'AD Scenarios'!W$12,"_","Upgraded_",INDEX(LookUps!$E$5:$E$12,MATCH('AD Scenarios'!W$11, LookUps!$C$5:$C$12,0)),"_", 'AD Scenarios'!$D21,"_", $C$7, "_", $C$6), OpenLCAbasic!$M:$M,0))</f>
        <v>1.3999999999999999E-4</v>
      </c>
      <c r="X21" s="257">
        <f>INDEX(OpenLCAbasic!$J:$J, MATCH(CONCATENATE($C$5,"_", 'AD Scenarios'!X$12,"_","Upgraded_",INDEX(LookUps!$E$5:$E$12,MATCH('AD Scenarios'!X$11, LookUps!$C$5:$C$12,0)),"_", 'AD Scenarios'!$D21,"_", $C$7, "_", $C$6), OpenLCAbasic!$M:$M,0))</f>
        <v>1.3999999999999999E-4</v>
      </c>
      <c r="Y21" s="257">
        <f>INDEX(OpenLCAbasic!$J:$J, MATCH(CONCATENATE($C$5,"_", 'AD Scenarios'!Y$12,"_","Upgraded_",INDEX(LookUps!$E$5:$E$12,MATCH('AD Scenarios'!Y$11, LookUps!$C$5:$C$12,0)),"_", 'AD Scenarios'!$D21,"_", $C$7, "_", $C$6), OpenLCAbasic!$M:$M,0))</f>
        <v>1.3999999999999999E-4</v>
      </c>
      <c r="Z21" s="258"/>
      <c r="AA21" s="257">
        <f>INDEX(OpenLCAbasic!$J:$J, MATCH(CONCATENATE($C$5,"_", 'AD Scenarios'!AA$12,"_","Upgraded_",INDEX(LookUps!$E$5:$E$12,MATCH('AD Scenarios'!AA$11, LookUps!$C$5:$C$12,0)),"_", 'AD Scenarios'!$D21,"_", $C$7, "_", $C$6), OpenLCAbasic!$M:$M,0))</f>
        <v>5.9000000000000003E-4</v>
      </c>
      <c r="AB21" s="257">
        <f>INDEX(OpenLCAbasic!$J:$J, MATCH(CONCATENATE($C$5,"_", 'AD Scenarios'!AB$12,"_","Upgraded_",INDEX(LookUps!$E$5:$E$12,MATCH('AD Scenarios'!AB$11, LookUps!$C$5:$C$12,0)),"_", 'AD Scenarios'!$D21,"_", $C$7, "_", $C$6), OpenLCAbasic!$M:$M,0))</f>
        <v>5.9000000000000003E-4</v>
      </c>
      <c r="AC21" s="257">
        <f>INDEX(OpenLCAbasic!$J:$J, MATCH(CONCATENATE($C$5,"_", 'AD Scenarios'!AC$12,"_","Upgraded_",INDEX(LookUps!$E$5:$E$12,MATCH('AD Scenarios'!AC$11, LookUps!$C$5:$C$12,0)),"_", 'AD Scenarios'!$D21,"_", $C$7, "_", $C$6), OpenLCAbasic!$M:$M,0))</f>
        <v>5.9000000000000003E-4</v>
      </c>
      <c r="AD21" s="257">
        <f>INDEX(OpenLCAbasic!$J:$J, MATCH(CONCATENATE($C$5,"_", 'AD Scenarios'!AD$12,"_","Upgraded_",INDEX(LookUps!$E$5:$E$12,MATCH('AD Scenarios'!AD$11, LookUps!$C$5:$C$12,0)),"_", 'AD Scenarios'!$D21,"_", $C$7, "_", $C$6), OpenLCAbasic!$M:$M,0))</f>
        <v>5.9000000000000003E-4</v>
      </c>
      <c r="AE21" s="257">
        <f>INDEX(OpenLCAbasic!$J:$J, MATCH(CONCATENATE($C$5,"_", 'AD Scenarios'!AE$12,"_","Upgraded_",INDEX(LookUps!$E$5:$E$12,MATCH('AD Scenarios'!AE$11, LookUps!$C$5:$C$12,0)),"_", 'AD Scenarios'!$D21,"_", $C$7, "_", $C$6), OpenLCAbasic!$M:$M,0))</f>
        <v>5.9000000000000003E-4</v>
      </c>
      <c r="AF21" s="257">
        <f>INDEX(OpenLCAbasic!$J:$J, MATCH(CONCATENATE($C$5,"_", 'AD Scenarios'!AF$12,"_","Upgraded_",INDEX(LookUps!$E$5:$E$12,MATCH('AD Scenarios'!AF$11, LookUps!$C$5:$C$12,0)),"_", 'AD Scenarios'!$D21,"_", $C$7, "_", $C$6), OpenLCAbasic!$M:$M,0))</f>
        <v>5.9000000000000003E-4</v>
      </c>
      <c r="AG21" s="257">
        <f>INDEX(OpenLCAbasic!$J:$J, MATCH(CONCATENATE($C$5,"_", 'AD Scenarios'!AG$12,"_","Upgraded_",INDEX(LookUps!$E$5:$E$12,MATCH('AD Scenarios'!AG$11, LookUps!$C$5:$C$12,0)),"_", 'AD Scenarios'!$D21,"_", $C$7, "_", $C$6), OpenLCAbasic!$M:$M,0))</f>
        <v>5.9000000000000003E-4</v>
      </c>
      <c r="AH21" s="257">
        <f>INDEX(OpenLCAbasic!$J:$J, MATCH(CONCATENATE($C$5,"_", 'AD Scenarios'!AH$12,"_","Upgraded_",INDEX(LookUps!$E$5:$E$12,MATCH('AD Scenarios'!AH$11, LookUps!$C$5:$C$12,0)),"_", 'AD Scenarios'!$D21,"_", $C$7, "_", $C$6), OpenLCAbasic!$M:$M,0))</f>
        <v>5.9000000000000003E-4</v>
      </c>
      <c r="AI21" s="257">
        <f>INDEX(OpenLCAbasic!$J:$J, MATCH(CONCATENATE($C$5,"_", 'AD Scenarios'!AI$12,"_","Upgraded_",INDEX(LookUps!$E$5:$E$12,MATCH('AD Scenarios'!AI$11, LookUps!$C$5:$C$12,0)),"_", 'AD Scenarios'!$D21,"_", $C$7, "_", $C$6), OpenLCAbasic!$M:$M,0))</f>
        <v>5.9000000000000003E-4</v>
      </c>
      <c r="AJ21" s="258"/>
      <c r="AK21" s="256">
        <f>INDEX(OpenLCAbasic!$J:$J, MATCH(CONCATENATE($C$5,"_", 'AD Scenarios'!AK$12,"_","Upgraded_",INDEX(LookUps!$E$5:$E$12,MATCH('AD Scenarios'!AK$11, LookUps!$C$5:$C$12,0)),"_", 'AD Scenarios'!$D21,"_", $C$7, "_", $C$6), OpenLCAbasic!$M:$M,0))</f>
        <v>4.1779999999999998E-2</v>
      </c>
      <c r="AL21" s="256">
        <f>INDEX(OpenLCAbasic!$J:$J, MATCH(CONCATENATE($C$5,"_", 'AD Scenarios'!AL$12,"_","Upgraded_",INDEX(LookUps!$E$5:$E$12,MATCH('AD Scenarios'!AL$11, LookUps!$C$5:$C$12,0)),"_", 'AD Scenarios'!$D21,"_", $C$7, "_", $C$6), OpenLCAbasic!$M:$M,0))</f>
        <v>4.1779999999999998E-2</v>
      </c>
      <c r="AM21" s="256">
        <f>INDEX(OpenLCAbasic!$J:$J, MATCH(CONCATENATE($C$5,"_", 'AD Scenarios'!AM$12,"_","Upgraded_",INDEX(LookUps!$E$5:$E$12,MATCH('AD Scenarios'!AM$11, LookUps!$C$5:$C$12,0)),"_", 'AD Scenarios'!$D21,"_", $C$7, "_", $C$6), OpenLCAbasic!$M:$M,0))</f>
        <v>4.1779999999999998E-2</v>
      </c>
      <c r="AN21" s="256">
        <f>INDEX(OpenLCAbasic!$J:$J, MATCH(CONCATENATE($C$5,"_", 'AD Scenarios'!AN$12,"_","Upgraded_",INDEX(LookUps!$E$5:$E$12,MATCH('AD Scenarios'!AN$11, LookUps!$C$5:$C$12,0)),"_", 'AD Scenarios'!$D21,"_", $C$7, "_", $C$6), OpenLCAbasic!$M:$M,0))</f>
        <v>4.1919999999999999E-2</v>
      </c>
      <c r="AO21" s="256">
        <f>INDEX(OpenLCAbasic!$J:$J, MATCH(CONCATENATE($C$5,"_", 'AD Scenarios'!AO$12,"_","Upgraded_",INDEX(LookUps!$E$5:$E$12,MATCH('AD Scenarios'!AO$11, LookUps!$C$5:$C$12,0)),"_", 'AD Scenarios'!$D21,"_", $C$7, "_", $C$6), OpenLCAbasic!$M:$M,0))</f>
        <v>4.1919999999999999E-2</v>
      </c>
      <c r="AP21" s="256">
        <f>INDEX(OpenLCAbasic!$J:$J, MATCH(CONCATENATE($C$5,"_", 'AD Scenarios'!AP$12,"_","Upgraded_",INDEX(LookUps!$E$5:$E$12,MATCH('AD Scenarios'!AP$11, LookUps!$C$5:$C$12,0)),"_", 'AD Scenarios'!$D21,"_", $C$7, "_", $C$6), OpenLCAbasic!$M:$M,0))</f>
        <v>4.1919999999999999E-2</v>
      </c>
      <c r="AQ21" s="256">
        <f>INDEX(OpenLCAbasic!$J:$J, MATCH(CONCATENATE($C$5,"_", 'AD Scenarios'!AQ$12,"_","Upgraded_",INDEX(LookUps!$E$5:$E$12,MATCH('AD Scenarios'!AQ$11, LookUps!$C$5:$C$12,0)),"_", 'AD Scenarios'!$D21,"_", $C$7, "_", $C$6), OpenLCAbasic!$M:$M,0))</f>
        <v>4.2090000000000002E-2</v>
      </c>
      <c r="AR21" s="256">
        <f>INDEX(OpenLCAbasic!$J:$J, MATCH(CONCATENATE($C$5,"_", 'AD Scenarios'!AR$12,"_","Upgraded_",INDEX(LookUps!$E$5:$E$12,MATCH('AD Scenarios'!AR$11, LookUps!$C$5:$C$12,0)),"_", 'AD Scenarios'!$D21,"_", $C$7, "_", $C$6), OpenLCAbasic!$M:$M,0))</f>
        <v>4.2090000000000002E-2</v>
      </c>
      <c r="AS21" s="256">
        <f>INDEX(OpenLCAbasic!$J:$J, MATCH(CONCATENATE($C$5,"_", 'AD Scenarios'!AS$12,"_","Upgraded_",INDEX(LookUps!$E$5:$E$12,MATCH('AD Scenarios'!AS$11, LookUps!$C$5:$C$12,0)),"_", 'AD Scenarios'!$D21,"_", $C$7, "_", $C$6), OpenLCAbasic!$M:$M,0))</f>
        <v>4.2090000000000002E-2</v>
      </c>
      <c r="AT21" s="258"/>
      <c r="AU21" s="257">
        <f>INDEX(OpenLCAbasic!$J:$J, MATCH(CONCATENATE($C$5,"_", 'AD Scenarios'!AU$12,"_","Upgraded_",INDEX(LookUps!$E$5:$E$12,MATCH('AD Scenarios'!AU$11, LookUps!$C$5:$C$12,0)),"_", 'AD Scenarios'!$D21,"_", $C$7, "_", $C$6), OpenLCAbasic!$M:$M,0))</f>
        <v>4.3299999999999996E-3</v>
      </c>
      <c r="AV21" s="257">
        <f>INDEX(OpenLCAbasic!$J:$J, MATCH(CONCATENATE($C$5,"_", 'AD Scenarios'!AV$12,"_","Upgraded_",INDEX(LookUps!$E$5:$E$12,MATCH('AD Scenarios'!AV$11, LookUps!$C$5:$C$12,0)),"_", 'AD Scenarios'!$D21,"_", $C$7, "_", $C$6), OpenLCAbasic!$M:$M,0))</f>
        <v>4.3299999999999996E-3</v>
      </c>
      <c r="AW21" s="257">
        <f>INDEX(OpenLCAbasic!$J:$J, MATCH(CONCATENATE($C$5,"_", 'AD Scenarios'!AW$12,"_","Upgraded_",INDEX(LookUps!$E$5:$E$12,MATCH('AD Scenarios'!AW$11, LookUps!$C$5:$C$12,0)),"_", 'AD Scenarios'!$D21,"_", $C$7, "_", $C$6), OpenLCAbasic!$M:$M,0))</f>
        <v>4.3299999999999996E-3</v>
      </c>
      <c r="AX21" s="257">
        <f>INDEX(OpenLCAbasic!$J:$J, MATCH(CONCATENATE($C$5,"_", 'AD Scenarios'!AX$12,"_","Upgraded_",INDEX(LookUps!$E$5:$E$12,MATCH('AD Scenarios'!AX$11, LookUps!$C$5:$C$12,0)),"_", 'AD Scenarios'!$D21,"_", $C$7, "_", $C$6), OpenLCAbasic!$M:$M,0))</f>
        <v>4.3499999999999997E-3</v>
      </c>
      <c r="AY21" s="257">
        <f>INDEX(OpenLCAbasic!$J:$J, MATCH(CONCATENATE($C$5,"_", 'AD Scenarios'!AY$12,"_","Upgraded_",INDEX(LookUps!$E$5:$E$12,MATCH('AD Scenarios'!AY$11, LookUps!$C$5:$C$12,0)),"_", 'AD Scenarios'!$D21,"_", $C$7, "_", $C$6), OpenLCAbasic!$M:$M,0))</f>
        <v>4.3499999999999997E-3</v>
      </c>
      <c r="AZ21" s="257">
        <f>INDEX(OpenLCAbasic!$J:$J, MATCH(CONCATENATE($C$5,"_", 'AD Scenarios'!AZ$12,"_","Upgraded_",INDEX(LookUps!$E$5:$E$12,MATCH('AD Scenarios'!AZ$11, LookUps!$C$5:$C$12,0)),"_", 'AD Scenarios'!$D21,"_", $C$7, "_", $C$6), OpenLCAbasic!$M:$M,0))</f>
        <v>4.3499999999999997E-3</v>
      </c>
      <c r="BA21" s="257">
        <f>INDEX(OpenLCAbasic!$J:$J, MATCH(CONCATENATE($C$5,"_", 'AD Scenarios'!BA$12,"_","Upgraded_",INDEX(LookUps!$E$5:$E$12,MATCH('AD Scenarios'!BA$11, LookUps!$C$5:$C$12,0)),"_", 'AD Scenarios'!$D21,"_", $C$7, "_", $C$6), OpenLCAbasic!$M:$M,0))</f>
        <v>4.3600000000000002E-3</v>
      </c>
      <c r="BB21" s="257">
        <f>INDEX(OpenLCAbasic!$J:$J, MATCH(CONCATENATE($C$5,"_", 'AD Scenarios'!BB$12,"_","Upgraded_",INDEX(LookUps!$E$5:$E$12,MATCH('AD Scenarios'!BB$11, LookUps!$C$5:$C$12,0)),"_", 'AD Scenarios'!$D21,"_", $C$7, "_", $C$6), OpenLCAbasic!$M:$M,0))</f>
        <v>4.3600000000000002E-3</v>
      </c>
      <c r="BC21" s="257">
        <f>INDEX(OpenLCAbasic!$J:$J, MATCH(CONCATENATE($C$5,"_", 'AD Scenarios'!BC$12,"_","Upgraded_",INDEX(LookUps!$E$5:$E$12,MATCH('AD Scenarios'!BC$11, LookUps!$C$5:$C$12,0)),"_", 'AD Scenarios'!$D21,"_", $C$7, "_", $C$6), OpenLCAbasic!$M:$M,0))</f>
        <v>4.3600000000000002E-3</v>
      </c>
      <c r="BD21" s="258"/>
      <c r="BE21" s="257">
        <f>INDEX(OpenLCAbasic!$J:$J, MATCH(CONCATENATE($C$5,"_", 'AD Scenarios'!BE$12,"_","Upgraded_",INDEX(LookUps!$E$5:$E$12,MATCH('AD Scenarios'!BE$11, LookUps!$C$5:$C$12,0)),"_", 'AD Scenarios'!$D21,"_", $C$7, "_", $C$6), OpenLCAbasic!$M:$M,0))</f>
        <v>4.3192100000000003E-5</v>
      </c>
      <c r="BF21" s="257">
        <f>INDEX(OpenLCAbasic!$J:$J, MATCH(CONCATENATE($C$5,"_", 'AD Scenarios'!BF$12,"_","Upgraded_",INDEX(LookUps!$E$5:$E$12,MATCH('AD Scenarios'!BF$11, LookUps!$C$5:$C$12,0)),"_", 'AD Scenarios'!$D21,"_", $C$7, "_", $C$6), OpenLCAbasic!$M:$M,0))</f>
        <v>4.3192100000000003E-5</v>
      </c>
      <c r="BG21" s="257">
        <f>INDEX(OpenLCAbasic!$J:$J, MATCH(CONCATENATE($C$5,"_", 'AD Scenarios'!BG$12,"_","Upgraded_",INDEX(LookUps!$E$5:$E$12,MATCH('AD Scenarios'!BG$11, LookUps!$C$5:$C$12,0)),"_", 'AD Scenarios'!$D21,"_", $C$7, "_", $C$6), OpenLCAbasic!$M:$M,0))</f>
        <v>4.3192100000000003E-5</v>
      </c>
      <c r="BH21" s="257">
        <f>INDEX(OpenLCAbasic!$J:$J, MATCH(CONCATENATE($C$5,"_", 'AD Scenarios'!BH$12,"_","Upgraded_",INDEX(LookUps!$E$5:$E$12,MATCH('AD Scenarios'!BH$11, LookUps!$C$5:$C$12,0)),"_", 'AD Scenarios'!$D21,"_", $C$7, "_", $C$6), OpenLCAbasic!$M:$M,0))</f>
        <v>4.3235300000000003E-5</v>
      </c>
      <c r="BI21" s="257">
        <f>INDEX(OpenLCAbasic!$J:$J, MATCH(CONCATENATE($C$5,"_", 'AD Scenarios'!BI$12,"_","Upgraded_",INDEX(LookUps!$E$5:$E$12,MATCH('AD Scenarios'!BI$11, LookUps!$C$5:$C$12,0)),"_", 'AD Scenarios'!$D21,"_", $C$7, "_", $C$6), OpenLCAbasic!$M:$M,0))</f>
        <v>4.3235300000000003E-5</v>
      </c>
      <c r="BJ21" s="257">
        <f>INDEX(OpenLCAbasic!$J:$J, MATCH(CONCATENATE($C$5,"_", 'AD Scenarios'!BJ$12,"_","Upgraded_",INDEX(LookUps!$E$5:$E$12,MATCH('AD Scenarios'!BJ$11, LookUps!$C$5:$C$12,0)),"_", 'AD Scenarios'!$D21,"_", $C$7, "_", $C$6), OpenLCAbasic!$M:$M,0))</f>
        <v>4.3235300000000003E-5</v>
      </c>
      <c r="BK21" s="257">
        <f>INDEX(OpenLCAbasic!$J:$J, MATCH(CONCATENATE($C$5,"_", 'AD Scenarios'!BK$12,"_","Upgraded_",INDEX(LookUps!$E$5:$E$12,MATCH('AD Scenarios'!BK$11, LookUps!$C$5:$C$12,0)),"_", 'AD Scenarios'!$D21,"_", $C$7, "_", $C$6), OpenLCAbasic!$M:$M,0))</f>
        <v>4.3289399999999999E-5</v>
      </c>
      <c r="BL21" s="257">
        <f>INDEX(OpenLCAbasic!$J:$J, MATCH(CONCATENATE($C$5,"_", 'AD Scenarios'!BL$12,"_","Upgraded_",INDEX(LookUps!$E$5:$E$12,MATCH('AD Scenarios'!BL$11, LookUps!$C$5:$C$12,0)),"_", 'AD Scenarios'!$D21,"_", $C$7, "_", $C$6), OpenLCAbasic!$M:$M,0))</f>
        <v>4.3289399999999999E-5</v>
      </c>
      <c r="BM21" s="257">
        <f>INDEX(OpenLCAbasic!$J:$J, MATCH(CONCATENATE($C$5,"_", 'AD Scenarios'!BM$12,"_","Upgraded_",INDEX(LookUps!$E$5:$E$12,MATCH('AD Scenarios'!BM$11, LookUps!$C$5:$C$12,0)),"_", 'AD Scenarios'!$D21,"_", $C$7, "_", $C$6), OpenLCAbasic!$M:$M,0))</f>
        <v>4.3289399999999999E-5</v>
      </c>
      <c r="BN21" s="258"/>
      <c r="BO21" s="256">
        <f>INDEX(OpenLCAbasic!$J:$J, MATCH(CONCATENATE($C$5,"_", 'AD Scenarios'!BO$12,"_","Upgraded_",INDEX(LookUps!$E$5:$E$12,MATCH('AD Scenarios'!BO$11, LookUps!$C$5:$C$12,0)),"_", 'AD Scenarios'!$D21,"_", $C$7, "_", $C$6), OpenLCAbasic!$M:$M,0))</f>
        <v>1.592E-2</v>
      </c>
      <c r="BP21" s="256">
        <f>INDEX(OpenLCAbasic!$J:$J, MATCH(CONCATENATE($C$5,"_", 'AD Scenarios'!BP$12,"_","Upgraded_",INDEX(LookUps!$E$5:$E$12,MATCH('AD Scenarios'!BP$11, LookUps!$C$5:$C$12,0)),"_", 'AD Scenarios'!$D21,"_", $C$7, "_", $C$6), OpenLCAbasic!$M:$M,0))</f>
        <v>1.592E-2</v>
      </c>
      <c r="BQ21" s="256">
        <f>INDEX(OpenLCAbasic!$J:$J, MATCH(CONCATENATE($C$5,"_", 'AD Scenarios'!BQ$12,"_","Upgraded_",INDEX(LookUps!$E$5:$E$12,MATCH('AD Scenarios'!BQ$11, LookUps!$C$5:$C$12,0)),"_", 'AD Scenarios'!$D21,"_", $C$7, "_", $C$6), OpenLCAbasic!$M:$M,0))</f>
        <v>1.592E-2</v>
      </c>
      <c r="BR21" s="256">
        <f>INDEX(OpenLCAbasic!$J:$J, MATCH(CONCATENATE($C$5,"_", 'AD Scenarios'!BR$12,"_","Upgraded_",INDEX(LookUps!$E$5:$E$12,MATCH('AD Scenarios'!BR$11, LookUps!$C$5:$C$12,0)),"_", 'AD Scenarios'!$D21,"_", $C$7, "_", $C$6), OpenLCAbasic!$M:$M,0))</f>
        <v>1.5980000000000001E-2</v>
      </c>
      <c r="BS21" s="256">
        <f>INDEX(OpenLCAbasic!$J:$J, MATCH(CONCATENATE($C$5,"_", 'AD Scenarios'!BS$12,"_","Upgraded_",INDEX(LookUps!$E$5:$E$12,MATCH('AD Scenarios'!BS$11, LookUps!$C$5:$C$12,0)),"_", 'AD Scenarios'!$D21,"_", $C$7, "_", $C$6), OpenLCAbasic!$M:$M,0))</f>
        <v>1.5980000000000001E-2</v>
      </c>
      <c r="BT21" s="256">
        <f>INDEX(OpenLCAbasic!$J:$J, MATCH(CONCATENATE($C$5,"_", 'AD Scenarios'!BT$12,"_","Upgraded_",INDEX(LookUps!$E$5:$E$12,MATCH('AD Scenarios'!BT$11, LookUps!$C$5:$C$12,0)),"_", 'AD Scenarios'!$D21,"_", $C$7, "_", $C$6), OpenLCAbasic!$M:$M,0))</f>
        <v>1.5980000000000001E-2</v>
      </c>
      <c r="BU21" s="256">
        <f>INDEX(OpenLCAbasic!$J:$J, MATCH(CONCATENATE($C$5,"_", 'AD Scenarios'!BU$12,"_","Upgraded_",INDEX(LookUps!$E$5:$E$12,MATCH('AD Scenarios'!BU$11, LookUps!$C$5:$C$12,0)),"_", 'AD Scenarios'!$D21,"_", $C$7, "_", $C$6), OpenLCAbasic!$M:$M,0))</f>
        <v>1.6039999999999999E-2</v>
      </c>
      <c r="BV21" s="256">
        <f>INDEX(OpenLCAbasic!$J:$J, MATCH(CONCATENATE($C$5,"_", 'AD Scenarios'!BV$12,"_","Upgraded_",INDEX(LookUps!$E$5:$E$12,MATCH('AD Scenarios'!BV$11, LookUps!$C$5:$C$12,0)),"_", 'AD Scenarios'!$D21,"_", $C$7, "_", $C$6), OpenLCAbasic!$M:$M,0))</f>
        <v>1.6039999999999999E-2</v>
      </c>
      <c r="BW21" s="256">
        <f>INDEX(OpenLCAbasic!$J:$J, MATCH(CONCATENATE($C$5,"_", 'AD Scenarios'!BW$12,"_","Upgraded_",INDEX(LookUps!$E$5:$E$12,MATCH('AD Scenarios'!BW$11, LookUps!$C$5:$C$12,0)),"_", 'AD Scenarios'!$D21,"_", $C$7, "_", $C$6), OpenLCAbasic!$M:$M,0))</f>
        <v>1.6039999999999999E-2</v>
      </c>
      <c r="BX21" s="258"/>
      <c r="BY21" s="256">
        <f>INDEX(OpenLCAbasic!$J:$J, MATCH(CONCATENATE($C$5,"_", 'AD Scenarios'!BY$12,"_","Upgraded_",INDEX(LookUps!$E$5:$E$12,MATCH('AD Scenarios'!BY$11, LookUps!$C$5:$C$12,0)),"_", 'AD Scenarios'!$D21,"_", $C$7, "_", $C$6), OpenLCAbasic!$M:$M,0))</f>
        <v>0.88417000000000001</v>
      </c>
      <c r="BZ21" s="256">
        <f>INDEX(OpenLCAbasic!$J:$J, MATCH(CONCATENATE($C$5,"_", 'AD Scenarios'!BZ$12,"_","Upgraded_",INDEX(LookUps!$E$5:$E$12,MATCH('AD Scenarios'!BZ$11, LookUps!$C$5:$C$12,0)),"_", 'AD Scenarios'!$D21,"_", $C$7, "_", $C$6), OpenLCAbasic!$M:$M,0))</f>
        <v>0.88417000000000001</v>
      </c>
      <c r="CA21" s="256">
        <f>INDEX(OpenLCAbasic!$J:$J, MATCH(CONCATENATE($C$5,"_", 'AD Scenarios'!CA$12,"_","Upgraded_",INDEX(LookUps!$E$5:$E$12,MATCH('AD Scenarios'!CA$11, LookUps!$C$5:$C$12,0)),"_", 'AD Scenarios'!$D21,"_", $C$7, "_", $C$6), OpenLCAbasic!$M:$M,0))</f>
        <v>0.88417000000000001</v>
      </c>
      <c r="CB21" s="256">
        <f>INDEX(OpenLCAbasic!$J:$J, MATCH(CONCATENATE($C$5,"_", 'AD Scenarios'!CB$12,"_","Upgraded_",INDEX(LookUps!$E$5:$E$12,MATCH('AD Scenarios'!CB$11, LookUps!$C$5:$C$12,0)),"_", 'AD Scenarios'!$D21,"_", $C$7, "_", $C$6), OpenLCAbasic!$M:$M,0))</f>
        <v>0.88705000000000001</v>
      </c>
      <c r="CC21" s="256">
        <f>INDEX(OpenLCAbasic!$J:$J, MATCH(CONCATENATE($C$5,"_", 'AD Scenarios'!CC$12,"_","Upgraded_",INDEX(LookUps!$E$5:$E$12,MATCH('AD Scenarios'!CC$11, LookUps!$C$5:$C$12,0)),"_", 'AD Scenarios'!$D21,"_", $C$7, "_", $C$6), OpenLCAbasic!$M:$M,0))</f>
        <v>0.88705000000000001</v>
      </c>
      <c r="CD21" s="256">
        <f>INDEX(OpenLCAbasic!$J:$J, MATCH(CONCATENATE($C$5,"_", 'AD Scenarios'!CD$12,"_","Upgraded_",INDEX(LookUps!$E$5:$E$12,MATCH('AD Scenarios'!CD$11, LookUps!$C$5:$C$12,0)),"_", 'AD Scenarios'!$D21,"_", $C$7, "_", $C$6), OpenLCAbasic!$M:$M,0))</f>
        <v>0.88705000000000001</v>
      </c>
      <c r="CE21" s="256">
        <f>INDEX(OpenLCAbasic!$J:$J, MATCH(CONCATENATE($C$5,"_", 'AD Scenarios'!CE$12,"_","Upgraded_",INDEX(LookUps!$E$5:$E$12,MATCH('AD Scenarios'!CE$11, LookUps!$C$5:$C$12,0)),"_", 'AD Scenarios'!$D21,"_", $C$7, "_", $C$6), OpenLCAbasic!$M:$M,0))</f>
        <v>0.89063999999999999</v>
      </c>
      <c r="CF21" s="256">
        <f>INDEX(OpenLCAbasic!$J:$J, MATCH(CONCATENATE($C$5,"_", 'AD Scenarios'!CF$12,"_","Upgraded_",INDEX(LookUps!$E$5:$E$12,MATCH('AD Scenarios'!CF$11, LookUps!$C$5:$C$12,0)),"_", 'AD Scenarios'!$D21,"_", $C$7, "_", $C$6), OpenLCAbasic!$M:$M,0))</f>
        <v>0.89063999999999999</v>
      </c>
      <c r="CG21" s="256">
        <f>INDEX(OpenLCAbasic!$J:$J, MATCH(CONCATENATE($C$5,"_", 'AD Scenarios'!CG$12,"_","Upgraded_",INDEX(LookUps!$E$5:$E$12,MATCH('AD Scenarios'!CG$11, LookUps!$C$5:$C$12,0)),"_", 'AD Scenarios'!$D21,"_", $C$7, "_", $C$6), OpenLCAbasic!$M:$M,0))</f>
        <v>0.89063999999999999</v>
      </c>
    </row>
    <row r="22" spans="2:85" x14ac:dyDescent="0.25">
      <c r="B22" s="363"/>
      <c r="C22" s="81" t="str">
        <f>LookUps!$J$9</f>
        <v>Aeration Tanks; wastewater treatment unit - US</v>
      </c>
      <c r="D22" s="115" t="str">
        <f>LookUps!G9</f>
        <v>Aeration Tanks; wastewater treatment unit; at updated plant - US</v>
      </c>
      <c r="E22" s="104" t="str">
        <f>LookUps!H9</f>
        <v>Aeration Tanks; wastewater treatment unit - US</v>
      </c>
      <c r="F22" s="256">
        <f>INDEX(OpenLCAbasic!$J:$J, MATCH(CONCATENATE("Base","_", 'AD Scenarios'!F$12,"_","Legacy_",INDEX(LookUps!$E$5:$E$12,MATCH('AD Scenarios'!F$11, LookUps!$C$5:$C$12,0)),"_", 'AD Scenarios'!$E22,"_", $C$8,"_","n.a." ), OpenLCAbasic!$M:$M,0))</f>
        <v>0.15987000000000001</v>
      </c>
      <c r="G22" s="256">
        <f>INDEX(OpenLCAbasic!$J:$J, MATCH(CONCATENATE($C$5,"_", 'AD Scenarios'!G$12,"_","Upgraded_",INDEX(LookUps!$E$5:$E$12,MATCH('AD Scenarios'!G$11, LookUps!$C$5:$C$12,0)),"_", 'AD Scenarios'!$D22,"_", $C$7, "_", $C$6), OpenLCAbasic!$M:$M,0))</f>
        <v>0.16822000000000001</v>
      </c>
      <c r="H22" s="256">
        <f>INDEX(OpenLCAbasic!$J:$J, MATCH(CONCATENATE($C$5,"_", 'AD Scenarios'!H$12,"_","Upgraded_",INDEX(LookUps!$E$5:$E$12,MATCH('AD Scenarios'!H$11, LookUps!$C$5:$C$12,0)),"_", 'AD Scenarios'!$D22,"_", $C$7, "_", $C$6), OpenLCAbasic!$M:$M,0))</f>
        <v>0.16822000000000001</v>
      </c>
      <c r="I22" s="256">
        <f>INDEX(OpenLCAbasic!$J:$J, MATCH(CONCATENATE($C$5,"_", 'AD Scenarios'!I$12,"_","Upgraded_",INDEX(LookUps!$E$5:$E$12,MATCH('AD Scenarios'!I$11, LookUps!$C$5:$C$12,0)),"_", 'AD Scenarios'!$D22,"_", $C$7, "_", $C$6), OpenLCAbasic!$M:$M,0))</f>
        <v>0.16822000000000001</v>
      </c>
      <c r="J22" s="256">
        <f>INDEX(OpenLCAbasic!$J:$J, MATCH(CONCATENATE($C$5,"_", 'AD Scenarios'!J$12,"_","Upgraded_",INDEX(LookUps!$E$5:$E$12,MATCH('AD Scenarios'!J$11, LookUps!$C$5:$C$12,0)),"_", 'AD Scenarios'!$D22,"_", $C$7, "_", $C$6), OpenLCAbasic!$M:$M,0))</f>
        <v>0.16822000000000001</v>
      </c>
      <c r="K22" s="256">
        <f>INDEX(OpenLCAbasic!$J:$J, MATCH(CONCATENATE($C$5,"_", 'AD Scenarios'!K$12,"_","Upgraded_",INDEX(LookUps!$E$5:$E$12,MATCH('AD Scenarios'!K$11, LookUps!$C$5:$C$12,0)),"_", 'AD Scenarios'!$D22,"_", $C$7, "_", $C$6), OpenLCAbasic!$M:$M,0))</f>
        <v>0.16822000000000001</v>
      </c>
      <c r="L22" s="256">
        <f>INDEX(OpenLCAbasic!$J:$J, MATCH(CONCATENATE($C$5,"_", 'AD Scenarios'!L$12,"_","Upgraded_",INDEX(LookUps!$E$5:$E$12,MATCH('AD Scenarios'!L$11, LookUps!$C$5:$C$12,0)),"_", 'AD Scenarios'!$D22,"_", $C$7, "_", $C$6), OpenLCAbasic!$M:$M,0))</f>
        <v>0.16822000000000001</v>
      </c>
      <c r="M22" s="256">
        <f>INDEX(OpenLCAbasic!$J:$J, MATCH(CONCATENATE($C$5,"_", 'AD Scenarios'!M$12,"_","Upgraded_",INDEX(LookUps!$E$5:$E$12,MATCH('AD Scenarios'!M$11, LookUps!$C$5:$C$12,0)),"_", 'AD Scenarios'!$D22,"_", $C$7, "_", $C$6), OpenLCAbasic!$M:$M,0))</f>
        <v>0.16822000000000001</v>
      </c>
      <c r="N22" s="256">
        <f>INDEX(OpenLCAbasic!$J:$J, MATCH(CONCATENATE($C$5,"_", 'AD Scenarios'!N$12,"_","Upgraded_",INDEX(LookUps!$E$5:$E$12,MATCH('AD Scenarios'!N$11, LookUps!$C$5:$C$12,0)),"_", 'AD Scenarios'!$D22,"_", $C$7, "_", $C$6), OpenLCAbasic!$M:$M,0))</f>
        <v>0.16822000000000001</v>
      </c>
      <c r="O22" s="256">
        <f>INDEX(OpenLCAbasic!$J:$J, MATCH(CONCATENATE($C$5,"_", 'AD Scenarios'!O$12,"_","Upgraded_",INDEX(LookUps!$E$5:$E$12,MATCH('AD Scenarios'!O$11, LookUps!$C$5:$C$12,0)),"_", 'AD Scenarios'!$D22,"_", $C$7, "_", $C$6), OpenLCAbasic!$M:$M,0))</f>
        <v>0.16822000000000001</v>
      </c>
      <c r="P22" s="257">
        <f>INDEX(OpenLCAbasic!$J:$J, MATCH(CONCATENATE("Base","_", 'AD Scenarios'!P$12,"_","Legacy_",INDEX(LookUps!$E$5:$E$12,MATCH('AD Scenarios'!P$11, LookUps!$C$5:$C$12,0)),"_", 'AD Scenarios'!$E22,"_", $C$8,"_","n.a." ), OpenLCAbasic!$M:$M,0))</f>
        <v>4.2000000000000002E-4</v>
      </c>
      <c r="Q22" s="257">
        <f>INDEX(OpenLCAbasic!$J:$J, MATCH(CONCATENATE($C$5,"_", 'AD Scenarios'!Q$12,"_","Upgraded_",INDEX(LookUps!$E$5:$E$12,MATCH('AD Scenarios'!Q$11, LookUps!$C$5:$C$12,0)),"_", 'AD Scenarios'!$D22,"_", $C$7, "_", $C$6), OpenLCAbasic!$M:$M,0))</f>
        <v>5.5000000000000003E-4</v>
      </c>
      <c r="R22" s="257">
        <f>INDEX(OpenLCAbasic!$J:$J, MATCH(CONCATENATE($C$5,"_", 'AD Scenarios'!R$12,"_","Upgraded_",INDEX(LookUps!$E$5:$E$12,MATCH('AD Scenarios'!R$11, LookUps!$C$5:$C$12,0)),"_", 'AD Scenarios'!$D22,"_", $C$7, "_", $C$6), OpenLCAbasic!$M:$M,0))</f>
        <v>5.5000000000000003E-4</v>
      </c>
      <c r="S22" s="257">
        <f>INDEX(OpenLCAbasic!$J:$J, MATCH(CONCATENATE($C$5,"_", 'AD Scenarios'!S$12,"_","Upgraded_",INDEX(LookUps!$E$5:$E$12,MATCH('AD Scenarios'!S$11, LookUps!$C$5:$C$12,0)),"_", 'AD Scenarios'!$D22,"_", $C$7, "_", $C$6), OpenLCAbasic!$M:$M,0))</f>
        <v>5.5000000000000003E-4</v>
      </c>
      <c r="T22" s="257">
        <f>INDEX(OpenLCAbasic!$J:$J, MATCH(CONCATENATE($C$5,"_", 'AD Scenarios'!T$12,"_","Upgraded_",INDEX(LookUps!$E$5:$E$12,MATCH('AD Scenarios'!T$11, LookUps!$C$5:$C$12,0)),"_", 'AD Scenarios'!$D22,"_", $C$7, "_", $C$6), OpenLCAbasic!$M:$M,0))</f>
        <v>5.5000000000000003E-4</v>
      </c>
      <c r="U22" s="257">
        <f>INDEX(OpenLCAbasic!$J:$J, MATCH(CONCATENATE($C$5,"_", 'AD Scenarios'!U$12,"_","Upgraded_",INDEX(LookUps!$E$5:$E$12,MATCH('AD Scenarios'!U$11, LookUps!$C$5:$C$12,0)),"_", 'AD Scenarios'!$D22,"_", $C$7, "_", $C$6), OpenLCAbasic!$M:$M,0))</f>
        <v>5.5000000000000003E-4</v>
      </c>
      <c r="V22" s="257">
        <f>INDEX(OpenLCAbasic!$J:$J, MATCH(CONCATENATE($C$5,"_", 'AD Scenarios'!V$12,"_","Upgraded_",INDEX(LookUps!$E$5:$E$12,MATCH('AD Scenarios'!V$11, LookUps!$C$5:$C$12,0)),"_", 'AD Scenarios'!$D22,"_", $C$7, "_", $C$6), OpenLCAbasic!$M:$M,0))</f>
        <v>5.5000000000000003E-4</v>
      </c>
      <c r="W22" s="257">
        <f>INDEX(OpenLCAbasic!$J:$J, MATCH(CONCATENATE($C$5,"_", 'AD Scenarios'!W$12,"_","Upgraded_",INDEX(LookUps!$E$5:$E$12,MATCH('AD Scenarios'!W$11, LookUps!$C$5:$C$12,0)),"_", 'AD Scenarios'!$D22,"_", $C$7, "_", $C$6), OpenLCAbasic!$M:$M,0))</f>
        <v>5.5000000000000003E-4</v>
      </c>
      <c r="X22" s="257">
        <f>INDEX(OpenLCAbasic!$J:$J, MATCH(CONCATENATE($C$5,"_", 'AD Scenarios'!X$12,"_","Upgraded_",INDEX(LookUps!$E$5:$E$12,MATCH('AD Scenarios'!X$11, LookUps!$C$5:$C$12,0)),"_", 'AD Scenarios'!$D22,"_", $C$7, "_", $C$6), OpenLCAbasic!$M:$M,0))</f>
        <v>5.5000000000000003E-4</v>
      </c>
      <c r="Y22" s="257">
        <f>INDEX(OpenLCAbasic!$J:$J, MATCH(CONCATENATE($C$5,"_", 'AD Scenarios'!Y$12,"_","Upgraded_",INDEX(LookUps!$E$5:$E$12,MATCH('AD Scenarios'!Y$11, LookUps!$C$5:$C$12,0)),"_", 'AD Scenarios'!$D22,"_", $C$7, "_", $C$6), OpenLCAbasic!$M:$M,0))</f>
        <v>5.5000000000000003E-4</v>
      </c>
      <c r="Z22" s="257">
        <f>INDEX(OpenLCAbasic!$J:$J, MATCH(CONCATENATE("Base","_", 'AD Scenarios'!Z$12,"_","Legacy_",INDEX(LookUps!$E$5:$E$12,MATCH('AD Scenarios'!Z$11, LookUps!$C$5:$C$12,0)),"_", 'AD Scenarios'!$E22,"_", $C$8,"_","n.a." ), OpenLCAbasic!$M:$M,0))</f>
        <v>1.7799999999999999E-3</v>
      </c>
      <c r="AA22" s="257">
        <f>INDEX(OpenLCAbasic!$J:$J, MATCH(CONCATENATE($C$5,"_", 'AD Scenarios'!AA$12,"_","Upgraded_",INDEX(LookUps!$E$5:$E$12,MATCH('AD Scenarios'!AA$11, LookUps!$C$5:$C$12,0)),"_", 'AD Scenarios'!$D22,"_", $C$7, "_", $C$6), OpenLCAbasic!$M:$M,0))</f>
        <v>2.33E-3</v>
      </c>
      <c r="AB22" s="257">
        <f>INDEX(OpenLCAbasic!$J:$J, MATCH(CONCATENATE($C$5,"_", 'AD Scenarios'!AB$12,"_","Upgraded_",INDEX(LookUps!$E$5:$E$12,MATCH('AD Scenarios'!AB$11, LookUps!$C$5:$C$12,0)),"_", 'AD Scenarios'!$D22,"_", $C$7, "_", $C$6), OpenLCAbasic!$M:$M,0))</f>
        <v>2.33E-3</v>
      </c>
      <c r="AC22" s="257">
        <f>INDEX(OpenLCAbasic!$J:$J, MATCH(CONCATENATE($C$5,"_", 'AD Scenarios'!AC$12,"_","Upgraded_",INDEX(LookUps!$E$5:$E$12,MATCH('AD Scenarios'!AC$11, LookUps!$C$5:$C$12,0)),"_", 'AD Scenarios'!$D22,"_", $C$7, "_", $C$6), OpenLCAbasic!$M:$M,0))</f>
        <v>2.33E-3</v>
      </c>
      <c r="AD22" s="257">
        <f>INDEX(OpenLCAbasic!$J:$J, MATCH(CONCATENATE($C$5,"_", 'AD Scenarios'!AD$12,"_","Upgraded_",INDEX(LookUps!$E$5:$E$12,MATCH('AD Scenarios'!AD$11, LookUps!$C$5:$C$12,0)),"_", 'AD Scenarios'!$D22,"_", $C$7, "_", $C$6), OpenLCAbasic!$M:$M,0))</f>
        <v>2.33E-3</v>
      </c>
      <c r="AE22" s="257">
        <f>INDEX(OpenLCAbasic!$J:$J, MATCH(CONCATENATE($C$5,"_", 'AD Scenarios'!AE$12,"_","Upgraded_",INDEX(LookUps!$E$5:$E$12,MATCH('AD Scenarios'!AE$11, LookUps!$C$5:$C$12,0)),"_", 'AD Scenarios'!$D22,"_", $C$7, "_", $C$6), OpenLCAbasic!$M:$M,0))</f>
        <v>2.33E-3</v>
      </c>
      <c r="AF22" s="257">
        <f>INDEX(OpenLCAbasic!$J:$J, MATCH(CONCATENATE($C$5,"_", 'AD Scenarios'!AF$12,"_","Upgraded_",INDEX(LookUps!$E$5:$E$12,MATCH('AD Scenarios'!AF$11, LookUps!$C$5:$C$12,0)),"_", 'AD Scenarios'!$D22,"_", $C$7, "_", $C$6), OpenLCAbasic!$M:$M,0))</f>
        <v>2.33E-3</v>
      </c>
      <c r="AG22" s="257">
        <f>INDEX(OpenLCAbasic!$J:$J, MATCH(CONCATENATE($C$5,"_", 'AD Scenarios'!AG$12,"_","Upgraded_",INDEX(LookUps!$E$5:$E$12,MATCH('AD Scenarios'!AG$11, LookUps!$C$5:$C$12,0)),"_", 'AD Scenarios'!$D22,"_", $C$7, "_", $C$6), OpenLCAbasic!$M:$M,0))</f>
        <v>2.33E-3</v>
      </c>
      <c r="AH22" s="257">
        <f>INDEX(OpenLCAbasic!$J:$J, MATCH(CONCATENATE($C$5,"_", 'AD Scenarios'!AH$12,"_","Upgraded_",INDEX(LookUps!$E$5:$E$12,MATCH('AD Scenarios'!AH$11, LookUps!$C$5:$C$12,0)),"_", 'AD Scenarios'!$D22,"_", $C$7, "_", $C$6), OpenLCAbasic!$M:$M,0))</f>
        <v>2.33E-3</v>
      </c>
      <c r="AI22" s="257">
        <f>INDEX(OpenLCAbasic!$J:$J, MATCH(CONCATENATE($C$5,"_", 'AD Scenarios'!AI$12,"_","Upgraded_",INDEX(LookUps!$E$5:$E$12,MATCH('AD Scenarios'!AI$11, LookUps!$C$5:$C$12,0)),"_", 'AD Scenarios'!$D22,"_", $C$7, "_", $C$6), OpenLCAbasic!$M:$M,0))</f>
        <v>2.33E-3</v>
      </c>
      <c r="AJ22" s="256">
        <f>INDEX(OpenLCAbasic!$J:$J, MATCH(CONCATENATE("Base","_", 'AD Scenarios'!AJ$12,"_","Legacy_",INDEX(LookUps!$E$5:$E$12,MATCH('AD Scenarios'!AJ$11, LookUps!$C$5:$C$12,0)),"_", 'AD Scenarios'!$E22,"_", $C$8,"_","n.a." ), OpenLCAbasic!$M:$M,0))</f>
        <v>0.12629000000000001</v>
      </c>
      <c r="AK22" s="256">
        <f>INDEX(OpenLCAbasic!$J:$J, MATCH(CONCATENATE($C$5,"_", 'AD Scenarios'!AK$12,"_","Upgraded_",INDEX(LookUps!$E$5:$E$12,MATCH('AD Scenarios'!AK$11, LookUps!$C$5:$C$12,0)),"_", 'AD Scenarios'!$D22,"_", $C$7, "_", $C$6), OpenLCAbasic!$M:$M,0))</f>
        <v>0.16577</v>
      </c>
      <c r="AL22" s="256">
        <f>INDEX(OpenLCAbasic!$J:$J, MATCH(CONCATENATE($C$5,"_", 'AD Scenarios'!AL$12,"_","Upgraded_",INDEX(LookUps!$E$5:$E$12,MATCH('AD Scenarios'!AL$11, LookUps!$C$5:$C$12,0)),"_", 'AD Scenarios'!$D22,"_", $C$7, "_", $C$6), OpenLCAbasic!$M:$M,0))</f>
        <v>0.16577</v>
      </c>
      <c r="AM22" s="256">
        <f>INDEX(OpenLCAbasic!$J:$J, MATCH(CONCATENATE($C$5,"_", 'AD Scenarios'!AM$12,"_","Upgraded_",INDEX(LookUps!$E$5:$E$12,MATCH('AD Scenarios'!AM$11, LookUps!$C$5:$C$12,0)),"_", 'AD Scenarios'!$D22,"_", $C$7, "_", $C$6), OpenLCAbasic!$M:$M,0))</f>
        <v>0.16577</v>
      </c>
      <c r="AN22" s="256">
        <f>INDEX(OpenLCAbasic!$J:$J, MATCH(CONCATENATE($C$5,"_", 'AD Scenarios'!AN$12,"_","Upgraded_",INDEX(LookUps!$E$5:$E$12,MATCH('AD Scenarios'!AN$11, LookUps!$C$5:$C$12,0)),"_", 'AD Scenarios'!$D22,"_", $C$7, "_", $C$6), OpenLCAbasic!$M:$M,0))</f>
        <v>0.16577</v>
      </c>
      <c r="AO22" s="256">
        <f>INDEX(OpenLCAbasic!$J:$J, MATCH(CONCATENATE($C$5,"_", 'AD Scenarios'!AO$12,"_","Upgraded_",INDEX(LookUps!$E$5:$E$12,MATCH('AD Scenarios'!AO$11, LookUps!$C$5:$C$12,0)),"_", 'AD Scenarios'!$D22,"_", $C$7, "_", $C$6), OpenLCAbasic!$M:$M,0))</f>
        <v>0.16577</v>
      </c>
      <c r="AP22" s="256">
        <f>INDEX(OpenLCAbasic!$J:$J, MATCH(CONCATENATE($C$5,"_", 'AD Scenarios'!AP$12,"_","Upgraded_",INDEX(LookUps!$E$5:$E$12,MATCH('AD Scenarios'!AP$11, LookUps!$C$5:$C$12,0)),"_", 'AD Scenarios'!$D22,"_", $C$7, "_", $C$6), OpenLCAbasic!$M:$M,0))</f>
        <v>0.16577</v>
      </c>
      <c r="AQ22" s="256">
        <f>INDEX(OpenLCAbasic!$J:$J, MATCH(CONCATENATE($C$5,"_", 'AD Scenarios'!AQ$12,"_","Upgraded_",INDEX(LookUps!$E$5:$E$12,MATCH('AD Scenarios'!AQ$11, LookUps!$C$5:$C$12,0)),"_", 'AD Scenarios'!$D22,"_", $C$7, "_", $C$6), OpenLCAbasic!$M:$M,0))</f>
        <v>0.16577</v>
      </c>
      <c r="AR22" s="256">
        <f>INDEX(OpenLCAbasic!$J:$J, MATCH(CONCATENATE($C$5,"_", 'AD Scenarios'!AR$12,"_","Upgraded_",INDEX(LookUps!$E$5:$E$12,MATCH('AD Scenarios'!AR$11, LookUps!$C$5:$C$12,0)),"_", 'AD Scenarios'!$D22,"_", $C$7, "_", $C$6), OpenLCAbasic!$M:$M,0))</f>
        <v>0.16577</v>
      </c>
      <c r="AS22" s="256">
        <f>INDEX(OpenLCAbasic!$J:$J, MATCH(CONCATENATE($C$5,"_", 'AD Scenarios'!AS$12,"_","Upgraded_",INDEX(LookUps!$E$5:$E$12,MATCH('AD Scenarios'!AS$11, LookUps!$C$5:$C$12,0)),"_", 'AD Scenarios'!$D22,"_", $C$7, "_", $C$6), OpenLCAbasic!$M:$M,0))</f>
        <v>0.16577</v>
      </c>
      <c r="AT22" s="256">
        <f>INDEX(OpenLCAbasic!$J:$J, MATCH(CONCATENATE("Base","_", 'AD Scenarios'!AT$12,"_","Legacy_",INDEX(LookUps!$E$5:$E$12,MATCH('AD Scenarios'!AT$11, LookUps!$C$5:$C$12,0)),"_", 'AD Scenarios'!$E22,"_", $C$8,"_","n.a." ), OpenLCAbasic!$M:$M,0))</f>
        <v>1.312E-2</v>
      </c>
      <c r="AU22" s="256">
        <f>INDEX(OpenLCAbasic!$J:$J, MATCH(CONCATENATE($C$5,"_", 'AD Scenarios'!AU$12,"_","Upgraded_",INDEX(LookUps!$E$5:$E$12,MATCH('AD Scenarios'!AU$11, LookUps!$C$5:$C$12,0)),"_", 'AD Scenarios'!$D22,"_", $C$7, "_", $C$6), OpenLCAbasic!$M:$M,0))</f>
        <v>1.7219999999999999E-2</v>
      </c>
      <c r="AV22" s="256">
        <f>INDEX(OpenLCAbasic!$J:$J, MATCH(CONCATENATE($C$5,"_", 'AD Scenarios'!AV$12,"_","Upgraded_",INDEX(LookUps!$E$5:$E$12,MATCH('AD Scenarios'!AV$11, LookUps!$C$5:$C$12,0)),"_", 'AD Scenarios'!$D22,"_", $C$7, "_", $C$6), OpenLCAbasic!$M:$M,0))</f>
        <v>1.7219999999999999E-2</v>
      </c>
      <c r="AW22" s="256">
        <f>INDEX(OpenLCAbasic!$J:$J, MATCH(CONCATENATE($C$5,"_", 'AD Scenarios'!AW$12,"_","Upgraded_",INDEX(LookUps!$E$5:$E$12,MATCH('AD Scenarios'!AW$11, LookUps!$C$5:$C$12,0)),"_", 'AD Scenarios'!$D22,"_", $C$7, "_", $C$6), OpenLCAbasic!$M:$M,0))</f>
        <v>1.7219999999999999E-2</v>
      </c>
      <c r="AX22" s="256">
        <f>INDEX(OpenLCAbasic!$J:$J, MATCH(CONCATENATE($C$5,"_", 'AD Scenarios'!AX$12,"_","Upgraded_",INDEX(LookUps!$E$5:$E$12,MATCH('AD Scenarios'!AX$11, LookUps!$C$5:$C$12,0)),"_", 'AD Scenarios'!$D22,"_", $C$7, "_", $C$6), OpenLCAbasic!$M:$M,0))</f>
        <v>1.7219999999999999E-2</v>
      </c>
      <c r="AY22" s="256">
        <f>INDEX(OpenLCAbasic!$J:$J, MATCH(CONCATENATE($C$5,"_", 'AD Scenarios'!AY$12,"_","Upgraded_",INDEX(LookUps!$E$5:$E$12,MATCH('AD Scenarios'!AY$11, LookUps!$C$5:$C$12,0)),"_", 'AD Scenarios'!$D22,"_", $C$7, "_", $C$6), OpenLCAbasic!$M:$M,0))</f>
        <v>1.7219999999999999E-2</v>
      </c>
      <c r="AZ22" s="256">
        <f>INDEX(OpenLCAbasic!$J:$J, MATCH(CONCATENATE($C$5,"_", 'AD Scenarios'!AZ$12,"_","Upgraded_",INDEX(LookUps!$E$5:$E$12,MATCH('AD Scenarios'!AZ$11, LookUps!$C$5:$C$12,0)),"_", 'AD Scenarios'!$D22,"_", $C$7, "_", $C$6), OpenLCAbasic!$M:$M,0))</f>
        <v>1.7219999999999999E-2</v>
      </c>
      <c r="BA22" s="256">
        <f>INDEX(OpenLCAbasic!$J:$J, MATCH(CONCATENATE($C$5,"_", 'AD Scenarios'!BA$12,"_","Upgraded_",INDEX(LookUps!$E$5:$E$12,MATCH('AD Scenarios'!BA$11, LookUps!$C$5:$C$12,0)),"_", 'AD Scenarios'!$D22,"_", $C$7, "_", $C$6), OpenLCAbasic!$M:$M,0))</f>
        <v>1.7219999999999999E-2</v>
      </c>
      <c r="BB22" s="256">
        <f>INDEX(OpenLCAbasic!$J:$J, MATCH(CONCATENATE($C$5,"_", 'AD Scenarios'!BB$12,"_","Upgraded_",INDEX(LookUps!$E$5:$E$12,MATCH('AD Scenarios'!BB$11, LookUps!$C$5:$C$12,0)),"_", 'AD Scenarios'!$D22,"_", $C$7, "_", $C$6), OpenLCAbasic!$M:$M,0))</f>
        <v>1.7219999999999999E-2</v>
      </c>
      <c r="BC22" s="256">
        <f>INDEX(OpenLCAbasic!$J:$J, MATCH(CONCATENATE($C$5,"_", 'AD Scenarios'!BC$12,"_","Upgraded_",INDEX(LookUps!$E$5:$E$12,MATCH('AD Scenarios'!BC$11, LookUps!$C$5:$C$12,0)),"_", 'AD Scenarios'!$D22,"_", $C$7, "_", $C$6), OpenLCAbasic!$M:$M,0))</f>
        <v>1.7219999999999999E-2</v>
      </c>
      <c r="BD22" s="257">
        <f>INDEX(OpenLCAbasic!$J:$J, MATCH(CONCATENATE("Base","_", 'AD Scenarios'!BD$12,"_","Legacy_",INDEX(LookUps!$E$5:$E$12,MATCH('AD Scenarios'!BD$11, LookUps!$C$5:$C$12,0)),"_", 'AD Scenarios'!$E22,"_", $C$8,"_","n.a." ), OpenLCAbasic!$M:$M,0))</f>
        <v>1.4999999999999999E-4</v>
      </c>
      <c r="BE22" s="257">
        <f>INDEX(OpenLCAbasic!$J:$J, MATCH(CONCATENATE($C$5,"_", 'AD Scenarios'!BE$12,"_","Upgraded_",INDEX(LookUps!$E$5:$E$12,MATCH('AD Scenarios'!BE$11, LookUps!$C$5:$C$12,0)),"_", 'AD Scenarios'!$D22,"_", $C$7, "_", $C$6), OpenLCAbasic!$M:$M,0))</f>
        <v>1.6000000000000001E-4</v>
      </c>
      <c r="BF22" s="257">
        <f>INDEX(OpenLCAbasic!$J:$J, MATCH(CONCATENATE($C$5,"_", 'AD Scenarios'!BF$12,"_","Upgraded_",INDEX(LookUps!$E$5:$E$12,MATCH('AD Scenarios'!BF$11, LookUps!$C$5:$C$12,0)),"_", 'AD Scenarios'!$D22,"_", $C$7, "_", $C$6), OpenLCAbasic!$M:$M,0))</f>
        <v>1.6000000000000001E-4</v>
      </c>
      <c r="BG22" s="257">
        <f>INDEX(OpenLCAbasic!$J:$J, MATCH(CONCATENATE($C$5,"_", 'AD Scenarios'!BG$12,"_","Upgraded_",INDEX(LookUps!$E$5:$E$12,MATCH('AD Scenarios'!BG$11, LookUps!$C$5:$C$12,0)),"_", 'AD Scenarios'!$D22,"_", $C$7, "_", $C$6), OpenLCAbasic!$M:$M,0))</f>
        <v>1.6000000000000001E-4</v>
      </c>
      <c r="BH22" s="257">
        <f>INDEX(OpenLCAbasic!$J:$J, MATCH(CONCATENATE($C$5,"_", 'AD Scenarios'!BH$12,"_","Upgraded_",INDEX(LookUps!$E$5:$E$12,MATCH('AD Scenarios'!BH$11, LookUps!$C$5:$C$12,0)),"_", 'AD Scenarios'!$D22,"_", $C$7, "_", $C$6), OpenLCAbasic!$M:$M,0))</f>
        <v>1.6000000000000001E-4</v>
      </c>
      <c r="BI22" s="257">
        <f>INDEX(OpenLCAbasic!$J:$J, MATCH(CONCATENATE($C$5,"_", 'AD Scenarios'!BI$12,"_","Upgraded_",INDEX(LookUps!$E$5:$E$12,MATCH('AD Scenarios'!BI$11, LookUps!$C$5:$C$12,0)),"_", 'AD Scenarios'!$D22,"_", $C$7, "_", $C$6), OpenLCAbasic!$M:$M,0))</f>
        <v>1.6000000000000001E-4</v>
      </c>
      <c r="BJ22" s="257">
        <f>INDEX(OpenLCAbasic!$J:$J, MATCH(CONCATENATE($C$5,"_", 'AD Scenarios'!BJ$12,"_","Upgraded_",INDEX(LookUps!$E$5:$E$12,MATCH('AD Scenarios'!BJ$11, LookUps!$C$5:$C$12,0)),"_", 'AD Scenarios'!$D22,"_", $C$7, "_", $C$6), OpenLCAbasic!$M:$M,0))</f>
        <v>1.6000000000000001E-4</v>
      </c>
      <c r="BK22" s="257">
        <f>INDEX(OpenLCAbasic!$J:$J, MATCH(CONCATENATE($C$5,"_", 'AD Scenarios'!BK$12,"_","Upgraded_",INDEX(LookUps!$E$5:$E$12,MATCH('AD Scenarios'!BK$11, LookUps!$C$5:$C$12,0)),"_", 'AD Scenarios'!$D22,"_", $C$7, "_", $C$6), OpenLCAbasic!$M:$M,0))</f>
        <v>1.6000000000000001E-4</v>
      </c>
      <c r="BL22" s="257">
        <f>INDEX(OpenLCAbasic!$J:$J, MATCH(CONCATENATE($C$5,"_", 'AD Scenarios'!BL$12,"_","Upgraded_",INDEX(LookUps!$E$5:$E$12,MATCH('AD Scenarios'!BL$11, LookUps!$C$5:$C$12,0)),"_", 'AD Scenarios'!$D22,"_", $C$7, "_", $C$6), OpenLCAbasic!$M:$M,0))</f>
        <v>1.6000000000000001E-4</v>
      </c>
      <c r="BM22" s="257">
        <f>INDEX(OpenLCAbasic!$J:$J, MATCH(CONCATENATE($C$5,"_", 'AD Scenarios'!BM$12,"_","Upgraded_",INDEX(LookUps!$E$5:$E$12,MATCH('AD Scenarios'!BM$11, LookUps!$C$5:$C$12,0)),"_", 'AD Scenarios'!$D22,"_", $C$7, "_", $C$6), OpenLCAbasic!$M:$M,0))</f>
        <v>1.6000000000000001E-4</v>
      </c>
      <c r="BN22" s="256">
        <f>INDEX(OpenLCAbasic!$J:$J, MATCH(CONCATENATE("Base","_", 'AD Scenarios'!BN$12,"_","Legacy_",INDEX(LookUps!$E$5:$E$12,MATCH('AD Scenarios'!BN$11, LookUps!$C$5:$C$12,0)),"_", 'AD Scenarios'!$E22,"_", $C$8,"_","n.a." ), OpenLCAbasic!$M:$M,0))</f>
        <v>4.8860000000000001E-2</v>
      </c>
      <c r="BO22" s="256">
        <f>INDEX(OpenLCAbasic!$J:$J, MATCH(CONCATENATE($C$5,"_", 'AD Scenarios'!BO$12,"_","Upgraded_",INDEX(LookUps!$E$5:$E$12,MATCH('AD Scenarios'!BO$11, LookUps!$C$5:$C$12,0)),"_", 'AD Scenarios'!$D22,"_", $C$7, "_", $C$6), OpenLCAbasic!$M:$M,0))</f>
        <v>6.3589999999999994E-2</v>
      </c>
      <c r="BP22" s="256">
        <f>INDEX(OpenLCAbasic!$J:$J, MATCH(CONCATENATE($C$5,"_", 'AD Scenarios'!BP$12,"_","Upgraded_",INDEX(LookUps!$E$5:$E$12,MATCH('AD Scenarios'!BP$11, LookUps!$C$5:$C$12,0)),"_", 'AD Scenarios'!$D22,"_", $C$7, "_", $C$6), OpenLCAbasic!$M:$M,0))</f>
        <v>6.3589999999999994E-2</v>
      </c>
      <c r="BQ22" s="256">
        <f>INDEX(OpenLCAbasic!$J:$J, MATCH(CONCATENATE($C$5,"_", 'AD Scenarios'!BQ$12,"_","Upgraded_",INDEX(LookUps!$E$5:$E$12,MATCH('AD Scenarios'!BQ$11, LookUps!$C$5:$C$12,0)),"_", 'AD Scenarios'!$D22,"_", $C$7, "_", $C$6), OpenLCAbasic!$M:$M,0))</f>
        <v>6.3589999999999994E-2</v>
      </c>
      <c r="BR22" s="256">
        <f>INDEX(OpenLCAbasic!$J:$J, MATCH(CONCATENATE($C$5,"_", 'AD Scenarios'!BR$12,"_","Upgraded_",INDEX(LookUps!$E$5:$E$12,MATCH('AD Scenarios'!BR$11, LookUps!$C$5:$C$12,0)),"_", 'AD Scenarios'!$D22,"_", $C$7, "_", $C$6), OpenLCAbasic!$M:$M,0))</f>
        <v>6.3589999999999994E-2</v>
      </c>
      <c r="BS22" s="256">
        <f>INDEX(OpenLCAbasic!$J:$J, MATCH(CONCATENATE($C$5,"_", 'AD Scenarios'!BS$12,"_","Upgraded_",INDEX(LookUps!$E$5:$E$12,MATCH('AD Scenarios'!BS$11, LookUps!$C$5:$C$12,0)),"_", 'AD Scenarios'!$D22,"_", $C$7, "_", $C$6), OpenLCAbasic!$M:$M,0))</f>
        <v>6.3589999999999994E-2</v>
      </c>
      <c r="BT22" s="256">
        <f>INDEX(OpenLCAbasic!$J:$J, MATCH(CONCATENATE($C$5,"_", 'AD Scenarios'!BT$12,"_","Upgraded_",INDEX(LookUps!$E$5:$E$12,MATCH('AD Scenarios'!BT$11, LookUps!$C$5:$C$12,0)),"_", 'AD Scenarios'!$D22,"_", $C$7, "_", $C$6), OpenLCAbasic!$M:$M,0))</f>
        <v>6.3589999999999994E-2</v>
      </c>
      <c r="BU22" s="256">
        <f>INDEX(OpenLCAbasic!$J:$J, MATCH(CONCATENATE($C$5,"_", 'AD Scenarios'!BU$12,"_","Upgraded_",INDEX(LookUps!$E$5:$E$12,MATCH('AD Scenarios'!BU$11, LookUps!$C$5:$C$12,0)),"_", 'AD Scenarios'!$D22,"_", $C$7, "_", $C$6), OpenLCAbasic!$M:$M,0))</f>
        <v>6.3589999999999994E-2</v>
      </c>
      <c r="BV22" s="256">
        <f>INDEX(OpenLCAbasic!$J:$J, MATCH(CONCATENATE($C$5,"_", 'AD Scenarios'!BV$12,"_","Upgraded_",INDEX(LookUps!$E$5:$E$12,MATCH('AD Scenarios'!BV$11, LookUps!$C$5:$C$12,0)),"_", 'AD Scenarios'!$D22,"_", $C$7, "_", $C$6), OpenLCAbasic!$M:$M,0))</f>
        <v>6.3589999999999994E-2</v>
      </c>
      <c r="BW22" s="256">
        <f>INDEX(OpenLCAbasic!$J:$J, MATCH(CONCATENATE($C$5,"_", 'AD Scenarios'!BW$12,"_","Upgraded_",INDEX(LookUps!$E$5:$E$12,MATCH('AD Scenarios'!BW$11, LookUps!$C$5:$C$12,0)),"_", 'AD Scenarios'!$D22,"_", $C$7, "_", $C$6), OpenLCAbasic!$M:$M,0))</f>
        <v>6.3589999999999994E-2</v>
      </c>
      <c r="BX22" s="71">
        <f>INDEX(OpenLCAbasic!$J:$J, MATCH(CONCATENATE("Base","_", 'AD Scenarios'!BX$12,"_","Legacy_",INDEX(LookUps!$E$5:$E$12,MATCH('AD Scenarios'!BX$11, LookUps!$C$5:$C$12,0)),"_", 'AD Scenarios'!$E22,"_", $C$8,"_","n.a." ), OpenLCAbasic!$M:$M,0))</f>
        <v>2.7128199999999998</v>
      </c>
      <c r="BY22" s="71">
        <f>INDEX(OpenLCAbasic!$J:$J, MATCH(CONCATENATE($C$5,"_", 'AD Scenarios'!BY$12,"_","Upgraded_",INDEX(LookUps!$E$5:$E$12,MATCH('AD Scenarios'!BY$11, LookUps!$C$5:$C$12,0)),"_", 'AD Scenarios'!$D22,"_", $C$7, "_", $C$6), OpenLCAbasic!$M:$M,0))</f>
        <v>3.5330499999999998</v>
      </c>
      <c r="BZ22" s="71">
        <f>INDEX(OpenLCAbasic!$J:$J, MATCH(CONCATENATE($C$5,"_", 'AD Scenarios'!BZ$12,"_","Upgraded_",INDEX(LookUps!$E$5:$E$12,MATCH('AD Scenarios'!BZ$11, LookUps!$C$5:$C$12,0)),"_", 'AD Scenarios'!$D22,"_", $C$7, "_", $C$6), OpenLCAbasic!$M:$M,0))</f>
        <v>3.5330499999999998</v>
      </c>
      <c r="CA22" s="71">
        <f>INDEX(OpenLCAbasic!$J:$J, MATCH(CONCATENATE($C$5,"_", 'AD Scenarios'!CA$12,"_","Upgraded_",INDEX(LookUps!$E$5:$E$12,MATCH('AD Scenarios'!CA$11, LookUps!$C$5:$C$12,0)),"_", 'AD Scenarios'!$D22,"_", $C$7, "_", $C$6), OpenLCAbasic!$M:$M,0))</f>
        <v>3.5330499999999998</v>
      </c>
      <c r="CB22" s="71">
        <f>INDEX(OpenLCAbasic!$J:$J, MATCH(CONCATENATE($C$5,"_", 'AD Scenarios'!CB$12,"_","Upgraded_",INDEX(LookUps!$E$5:$E$12,MATCH('AD Scenarios'!CB$11, LookUps!$C$5:$C$12,0)),"_", 'AD Scenarios'!$D22,"_", $C$7, "_", $C$6), OpenLCAbasic!$M:$M,0))</f>
        <v>3.5330499999999998</v>
      </c>
      <c r="CC22" s="71">
        <f>INDEX(OpenLCAbasic!$J:$J, MATCH(CONCATENATE($C$5,"_", 'AD Scenarios'!CC$12,"_","Upgraded_",INDEX(LookUps!$E$5:$E$12,MATCH('AD Scenarios'!CC$11, LookUps!$C$5:$C$12,0)),"_", 'AD Scenarios'!$D22,"_", $C$7, "_", $C$6), OpenLCAbasic!$M:$M,0))</f>
        <v>3.5330499999999998</v>
      </c>
      <c r="CD22" s="71">
        <f>INDEX(OpenLCAbasic!$J:$J, MATCH(CONCATENATE($C$5,"_", 'AD Scenarios'!CD$12,"_","Upgraded_",INDEX(LookUps!$E$5:$E$12,MATCH('AD Scenarios'!CD$11, LookUps!$C$5:$C$12,0)),"_", 'AD Scenarios'!$D22,"_", $C$7, "_", $C$6), OpenLCAbasic!$M:$M,0))</f>
        <v>3.5330499999999998</v>
      </c>
      <c r="CE22" s="71">
        <f>INDEX(OpenLCAbasic!$J:$J, MATCH(CONCATENATE($C$5,"_", 'AD Scenarios'!CE$12,"_","Upgraded_",INDEX(LookUps!$E$5:$E$12,MATCH('AD Scenarios'!CE$11, LookUps!$C$5:$C$12,0)),"_", 'AD Scenarios'!$D22,"_", $C$7, "_", $C$6), OpenLCAbasic!$M:$M,0))</f>
        <v>3.5330499999999998</v>
      </c>
      <c r="CF22" s="71">
        <f>INDEX(OpenLCAbasic!$J:$J, MATCH(CONCATENATE($C$5,"_", 'AD Scenarios'!CF$12,"_","Upgraded_",INDEX(LookUps!$E$5:$E$12,MATCH('AD Scenarios'!CF$11, LookUps!$C$5:$C$12,0)),"_", 'AD Scenarios'!$D22,"_", $C$7, "_", $C$6), OpenLCAbasic!$M:$M,0))</f>
        <v>3.5330499999999998</v>
      </c>
      <c r="CG22" s="71">
        <f>INDEX(OpenLCAbasic!$J:$J, MATCH(CONCATENATE($C$5,"_", 'AD Scenarios'!CG$12,"_","Upgraded_",INDEX(LookUps!$E$5:$E$12,MATCH('AD Scenarios'!CG$11, LookUps!$C$5:$C$12,0)),"_", 'AD Scenarios'!$D22,"_", $C$7, "_", $C$6), OpenLCAbasic!$M:$M,0))</f>
        <v>3.5330499999999998</v>
      </c>
    </row>
    <row r="23" spans="2:85" x14ac:dyDescent="0.25">
      <c r="B23" s="363"/>
      <c r="C23" s="81" t="str">
        <f>LookUps!$G$12</f>
        <v>Waste Receiving and Holding; wastewater treatment unit; at updated plant - US</v>
      </c>
      <c r="D23" s="115" t="str">
        <f>LookUps!G12</f>
        <v>Waste Receiving and Holding; wastewater treatment unit; at updated plant - US</v>
      </c>
      <c r="E23" s="107"/>
      <c r="F23" s="258"/>
      <c r="G23" s="256">
        <f>INDEX(OpenLCAbasic!$J:$J, MATCH(CONCATENATE($C$5,"_", 'AD Scenarios'!G$12,"_","Upgraded_",INDEX(LookUps!$E$5:$E$12,MATCH('AD Scenarios'!G$11, LookUps!$C$5:$C$12,0)),"_", 'AD Scenarios'!$D23,"_", $C$7, "_", $C$6), OpenLCAbasic!$M:$M,0))</f>
        <v>0.10241</v>
      </c>
      <c r="H23" s="256">
        <f>INDEX(OpenLCAbasic!$J:$J, MATCH(CONCATENATE($C$5,"_", 'AD Scenarios'!H$12,"_","Upgraded_",INDEX(LookUps!$E$5:$E$12,MATCH('AD Scenarios'!H$11, LookUps!$C$5:$C$12,0)),"_", 'AD Scenarios'!$D23,"_", $C$7, "_", $C$6), OpenLCAbasic!$M:$M,0))</f>
        <v>0.10241</v>
      </c>
      <c r="I23" s="256">
        <f>INDEX(OpenLCAbasic!$J:$J, MATCH(CONCATENATE($C$5,"_", 'AD Scenarios'!I$12,"_","Upgraded_",INDEX(LookUps!$E$5:$E$12,MATCH('AD Scenarios'!I$11, LookUps!$C$5:$C$12,0)),"_", 'AD Scenarios'!$D23,"_", $C$7, "_", $C$6), OpenLCAbasic!$M:$M,0))</f>
        <v>0.10241</v>
      </c>
      <c r="J23" s="256">
        <f>INDEX(OpenLCAbasic!$J:$J, MATCH(CONCATENATE($C$5,"_", 'AD Scenarios'!J$12,"_","Upgraded_",INDEX(LookUps!$E$5:$E$12,MATCH('AD Scenarios'!J$11, LookUps!$C$5:$C$12,0)),"_", 'AD Scenarios'!$D23,"_", $C$7, "_", $C$6), OpenLCAbasic!$M:$M,0))</f>
        <v>0.12354999999999999</v>
      </c>
      <c r="K23" s="256">
        <f>INDEX(OpenLCAbasic!$J:$J, MATCH(CONCATENATE($C$5,"_", 'AD Scenarios'!K$12,"_","Upgraded_",INDEX(LookUps!$E$5:$E$12,MATCH('AD Scenarios'!K$11, LookUps!$C$5:$C$12,0)),"_", 'AD Scenarios'!$D23,"_", $C$7, "_", $C$6), OpenLCAbasic!$M:$M,0))</f>
        <v>0.12354999999999999</v>
      </c>
      <c r="L23" s="256">
        <f>INDEX(OpenLCAbasic!$J:$J, MATCH(CONCATENATE($C$5,"_", 'AD Scenarios'!L$12,"_","Upgraded_",INDEX(LookUps!$E$5:$E$12,MATCH('AD Scenarios'!L$11, LookUps!$C$5:$C$12,0)),"_", 'AD Scenarios'!$D23,"_", $C$7, "_", $C$6), OpenLCAbasic!$M:$M,0))</f>
        <v>0.12354999999999999</v>
      </c>
      <c r="M23" s="256">
        <f>INDEX(OpenLCAbasic!$J:$J, MATCH(CONCATENATE($C$5,"_", 'AD Scenarios'!M$12,"_","Upgraded_",INDEX(LookUps!$E$5:$E$12,MATCH('AD Scenarios'!M$11, LookUps!$C$5:$C$12,0)),"_", 'AD Scenarios'!$D23,"_", $C$7, "_", $C$6), OpenLCAbasic!$M:$M,0))</f>
        <v>0.14685000000000001</v>
      </c>
      <c r="N23" s="256">
        <f>INDEX(OpenLCAbasic!$J:$J, MATCH(CONCATENATE($C$5,"_", 'AD Scenarios'!N$12,"_","Upgraded_",INDEX(LookUps!$E$5:$E$12,MATCH('AD Scenarios'!N$11, LookUps!$C$5:$C$12,0)),"_", 'AD Scenarios'!$D23,"_", $C$7, "_", $C$6), OpenLCAbasic!$M:$M,0))</f>
        <v>0.14685000000000001</v>
      </c>
      <c r="O23" s="256">
        <f>INDEX(OpenLCAbasic!$J:$J, MATCH(CONCATENATE($C$5,"_", 'AD Scenarios'!O$12,"_","Upgraded_",INDEX(LookUps!$E$5:$E$12,MATCH('AD Scenarios'!O$11, LookUps!$C$5:$C$12,0)),"_", 'AD Scenarios'!$D23,"_", $C$7, "_", $C$6), OpenLCAbasic!$M:$M,0))</f>
        <v>0.14685000000000001</v>
      </c>
      <c r="P23" s="258"/>
      <c r="Q23" s="257">
        <f>INDEX(OpenLCAbasic!$J:$J, MATCH(CONCATENATE($C$5,"_", 'AD Scenarios'!Q$12,"_","Upgraded_",INDEX(LookUps!$E$5:$E$12,MATCH('AD Scenarios'!Q$11, LookUps!$C$5:$C$12,0)),"_", 'AD Scenarios'!$D23,"_", $C$7, "_", $C$6), OpenLCAbasic!$M:$M,0))</f>
        <v>1.6000000000000001E-4</v>
      </c>
      <c r="R23" s="257">
        <f>INDEX(OpenLCAbasic!$J:$J, MATCH(CONCATENATE($C$5,"_", 'AD Scenarios'!R$12,"_","Upgraded_",INDEX(LookUps!$E$5:$E$12,MATCH('AD Scenarios'!R$11, LookUps!$C$5:$C$12,0)),"_", 'AD Scenarios'!$D23,"_", $C$7, "_", $C$6), OpenLCAbasic!$M:$M,0))</f>
        <v>1.6000000000000001E-4</v>
      </c>
      <c r="S23" s="257">
        <f>INDEX(OpenLCAbasic!$J:$J, MATCH(CONCATENATE($C$5,"_", 'AD Scenarios'!S$12,"_","Upgraded_",INDEX(LookUps!$E$5:$E$12,MATCH('AD Scenarios'!S$11, LookUps!$C$5:$C$12,0)),"_", 'AD Scenarios'!$D23,"_", $C$7, "_", $C$6), OpenLCAbasic!$M:$M,0))</f>
        <v>1.6000000000000001E-4</v>
      </c>
      <c r="T23" s="257">
        <f>INDEX(OpenLCAbasic!$J:$J, MATCH(CONCATENATE($C$5,"_", 'AD Scenarios'!T$12,"_","Upgraded_",INDEX(LookUps!$E$5:$E$12,MATCH('AD Scenarios'!T$11, LookUps!$C$5:$C$12,0)),"_", 'AD Scenarios'!$D23,"_", $C$7, "_", $C$6), OpenLCAbasic!$M:$M,0))</f>
        <v>1.9000000000000001E-4</v>
      </c>
      <c r="U23" s="257">
        <f>INDEX(OpenLCAbasic!$J:$J, MATCH(CONCATENATE($C$5,"_", 'AD Scenarios'!U$12,"_","Upgraded_",INDEX(LookUps!$E$5:$E$12,MATCH('AD Scenarios'!U$11, LookUps!$C$5:$C$12,0)),"_", 'AD Scenarios'!$D23,"_", $C$7, "_", $C$6), OpenLCAbasic!$M:$M,0))</f>
        <v>1.9000000000000001E-4</v>
      </c>
      <c r="V23" s="257">
        <f>INDEX(OpenLCAbasic!$J:$J, MATCH(CONCATENATE($C$5,"_", 'AD Scenarios'!V$12,"_","Upgraded_",INDEX(LookUps!$E$5:$E$12,MATCH('AD Scenarios'!V$11, LookUps!$C$5:$C$12,0)),"_", 'AD Scenarios'!$D23,"_", $C$7, "_", $C$6), OpenLCAbasic!$M:$M,0))</f>
        <v>1.9000000000000001E-4</v>
      </c>
      <c r="W23" s="257">
        <f>INDEX(OpenLCAbasic!$J:$J, MATCH(CONCATENATE($C$5,"_", 'AD Scenarios'!W$12,"_","Upgraded_",INDEX(LookUps!$E$5:$E$12,MATCH('AD Scenarios'!W$11, LookUps!$C$5:$C$12,0)),"_", 'AD Scenarios'!$D23,"_", $C$7, "_", $C$6), OpenLCAbasic!$M:$M,0))</f>
        <v>2.2000000000000001E-4</v>
      </c>
      <c r="X23" s="257">
        <f>INDEX(OpenLCAbasic!$J:$J, MATCH(CONCATENATE($C$5,"_", 'AD Scenarios'!X$12,"_","Upgraded_",INDEX(LookUps!$E$5:$E$12,MATCH('AD Scenarios'!X$11, LookUps!$C$5:$C$12,0)),"_", 'AD Scenarios'!$D23,"_", $C$7, "_", $C$6), OpenLCAbasic!$M:$M,0))</f>
        <v>2.2000000000000001E-4</v>
      </c>
      <c r="Y23" s="257">
        <f>INDEX(OpenLCAbasic!$J:$J, MATCH(CONCATENATE($C$5,"_", 'AD Scenarios'!Y$12,"_","Upgraded_",INDEX(LookUps!$E$5:$E$12,MATCH('AD Scenarios'!Y$11, LookUps!$C$5:$C$12,0)),"_", 'AD Scenarios'!$D23,"_", $C$7, "_", $C$6), OpenLCAbasic!$M:$M,0))</f>
        <v>2.2000000000000001E-4</v>
      </c>
      <c r="Z23" s="258"/>
      <c r="AA23" s="257">
        <f>INDEX(OpenLCAbasic!$J:$J, MATCH(CONCATENATE($C$5,"_", 'AD Scenarios'!AA$12,"_","Upgraded_",INDEX(LookUps!$E$5:$E$12,MATCH('AD Scenarios'!AA$11, LookUps!$C$5:$C$12,0)),"_", 'AD Scenarios'!$D23,"_", $C$7, "_", $C$6), OpenLCAbasic!$M:$M,0))</f>
        <v>2.9999999999999997E-4</v>
      </c>
      <c r="AB23" s="257">
        <f>INDEX(OpenLCAbasic!$J:$J, MATCH(CONCATENATE($C$5,"_", 'AD Scenarios'!AB$12,"_","Upgraded_",INDEX(LookUps!$E$5:$E$12,MATCH('AD Scenarios'!AB$11, LookUps!$C$5:$C$12,0)),"_", 'AD Scenarios'!$D23,"_", $C$7, "_", $C$6), OpenLCAbasic!$M:$M,0))</f>
        <v>2.9999999999999997E-4</v>
      </c>
      <c r="AC23" s="257">
        <f>INDEX(OpenLCAbasic!$J:$J, MATCH(CONCATENATE($C$5,"_", 'AD Scenarios'!AC$12,"_","Upgraded_",INDEX(LookUps!$E$5:$E$12,MATCH('AD Scenarios'!AC$11, LookUps!$C$5:$C$12,0)),"_", 'AD Scenarios'!$D23,"_", $C$7, "_", $C$6), OpenLCAbasic!$M:$M,0))</f>
        <v>2.9999999999999997E-4</v>
      </c>
      <c r="AD23" s="257">
        <f>INDEX(OpenLCAbasic!$J:$J, MATCH(CONCATENATE($C$5,"_", 'AD Scenarios'!AD$12,"_","Upgraded_",INDEX(LookUps!$E$5:$E$12,MATCH('AD Scenarios'!AD$11, LookUps!$C$5:$C$12,0)),"_", 'AD Scenarios'!$D23,"_", $C$7, "_", $C$6), OpenLCAbasic!$M:$M,0))</f>
        <v>3.1E-4</v>
      </c>
      <c r="AE23" s="257">
        <f>INDEX(OpenLCAbasic!$J:$J, MATCH(CONCATENATE($C$5,"_", 'AD Scenarios'!AE$12,"_","Upgraded_",INDEX(LookUps!$E$5:$E$12,MATCH('AD Scenarios'!AE$11, LookUps!$C$5:$C$12,0)),"_", 'AD Scenarios'!$D23,"_", $C$7, "_", $C$6), OpenLCAbasic!$M:$M,0))</f>
        <v>3.1E-4</v>
      </c>
      <c r="AF23" s="257">
        <f>INDEX(OpenLCAbasic!$J:$J, MATCH(CONCATENATE($C$5,"_", 'AD Scenarios'!AF$12,"_","Upgraded_",INDEX(LookUps!$E$5:$E$12,MATCH('AD Scenarios'!AF$11, LookUps!$C$5:$C$12,0)),"_", 'AD Scenarios'!$D23,"_", $C$7, "_", $C$6), OpenLCAbasic!$M:$M,0))</f>
        <v>3.1E-4</v>
      </c>
      <c r="AG23" s="257">
        <f>INDEX(OpenLCAbasic!$J:$J, MATCH(CONCATENATE($C$5,"_", 'AD Scenarios'!AG$12,"_","Upgraded_",INDEX(LookUps!$E$5:$E$12,MATCH('AD Scenarios'!AG$11, LookUps!$C$5:$C$12,0)),"_", 'AD Scenarios'!$D23,"_", $C$7, "_", $C$6), OpenLCAbasic!$M:$M,0))</f>
        <v>3.3E-4</v>
      </c>
      <c r="AH23" s="257">
        <f>INDEX(OpenLCAbasic!$J:$J, MATCH(CONCATENATE($C$5,"_", 'AD Scenarios'!AH$12,"_","Upgraded_",INDEX(LookUps!$E$5:$E$12,MATCH('AD Scenarios'!AH$11, LookUps!$C$5:$C$12,0)),"_", 'AD Scenarios'!$D23,"_", $C$7, "_", $C$6), OpenLCAbasic!$M:$M,0))</f>
        <v>3.3E-4</v>
      </c>
      <c r="AI23" s="257">
        <f>INDEX(OpenLCAbasic!$J:$J, MATCH(CONCATENATE($C$5,"_", 'AD Scenarios'!AI$12,"_","Upgraded_",INDEX(LookUps!$E$5:$E$12,MATCH('AD Scenarios'!AI$11, LookUps!$C$5:$C$12,0)),"_", 'AD Scenarios'!$D23,"_", $C$7, "_", $C$6), OpenLCAbasic!$M:$M,0))</f>
        <v>3.3E-4</v>
      </c>
      <c r="AJ23" s="258"/>
      <c r="AK23" s="256">
        <f>INDEX(OpenLCAbasic!$J:$J, MATCH(CONCATENATE($C$5,"_", 'AD Scenarios'!AK$12,"_","Upgraded_",INDEX(LookUps!$E$5:$E$12,MATCH('AD Scenarios'!AK$11, LookUps!$C$5:$C$12,0)),"_", 'AD Scenarios'!$D23,"_", $C$7, "_", $C$6), OpenLCAbasic!$M:$M,0))</f>
        <v>2.7949999999999999E-2</v>
      </c>
      <c r="AL23" s="256">
        <f>INDEX(OpenLCAbasic!$J:$J, MATCH(CONCATENATE($C$5,"_", 'AD Scenarios'!AL$12,"_","Upgraded_",INDEX(LookUps!$E$5:$E$12,MATCH('AD Scenarios'!AL$11, LookUps!$C$5:$C$12,0)),"_", 'AD Scenarios'!$D23,"_", $C$7, "_", $C$6), OpenLCAbasic!$M:$M,0))</f>
        <v>2.7949999999999999E-2</v>
      </c>
      <c r="AM23" s="256">
        <f>INDEX(OpenLCAbasic!$J:$J, MATCH(CONCATENATE($C$5,"_", 'AD Scenarios'!AM$12,"_","Upgraded_",INDEX(LookUps!$E$5:$E$12,MATCH('AD Scenarios'!AM$11, LookUps!$C$5:$C$12,0)),"_", 'AD Scenarios'!$D23,"_", $C$7, "_", $C$6), OpenLCAbasic!$M:$M,0))</f>
        <v>2.7949999999999999E-2</v>
      </c>
      <c r="AN23" s="256">
        <f>INDEX(OpenLCAbasic!$J:$J, MATCH(CONCATENATE($C$5,"_", 'AD Scenarios'!AN$12,"_","Upgraded_",INDEX(LookUps!$E$5:$E$12,MATCH('AD Scenarios'!AN$11, LookUps!$C$5:$C$12,0)),"_", 'AD Scenarios'!$D23,"_", $C$7, "_", $C$6), OpenLCAbasic!$M:$M,0))</f>
        <v>3.0710000000000001E-2</v>
      </c>
      <c r="AO23" s="256">
        <f>INDEX(OpenLCAbasic!$J:$J, MATCH(CONCATENATE($C$5,"_", 'AD Scenarios'!AO$12,"_","Upgraded_",INDEX(LookUps!$E$5:$E$12,MATCH('AD Scenarios'!AO$11, LookUps!$C$5:$C$12,0)),"_", 'AD Scenarios'!$D23,"_", $C$7, "_", $C$6), OpenLCAbasic!$M:$M,0))</f>
        <v>3.0710000000000001E-2</v>
      </c>
      <c r="AP23" s="256">
        <f>INDEX(OpenLCAbasic!$J:$J, MATCH(CONCATENATE($C$5,"_", 'AD Scenarios'!AP$12,"_","Upgraded_",INDEX(LookUps!$E$5:$E$12,MATCH('AD Scenarios'!AP$11, LookUps!$C$5:$C$12,0)),"_", 'AD Scenarios'!$D23,"_", $C$7, "_", $C$6), OpenLCAbasic!$M:$M,0))</f>
        <v>3.0710000000000001E-2</v>
      </c>
      <c r="AQ23" s="256">
        <f>INDEX(OpenLCAbasic!$J:$J, MATCH(CONCATENATE($C$5,"_", 'AD Scenarios'!AQ$12,"_","Upgraded_",INDEX(LookUps!$E$5:$E$12,MATCH('AD Scenarios'!AQ$11, LookUps!$C$5:$C$12,0)),"_", 'AD Scenarios'!$D23,"_", $C$7, "_", $C$6), OpenLCAbasic!$M:$M,0))</f>
        <v>3.3759999999999998E-2</v>
      </c>
      <c r="AR23" s="256">
        <f>INDEX(OpenLCAbasic!$J:$J, MATCH(CONCATENATE($C$5,"_", 'AD Scenarios'!AR$12,"_","Upgraded_",INDEX(LookUps!$E$5:$E$12,MATCH('AD Scenarios'!AR$11, LookUps!$C$5:$C$12,0)),"_", 'AD Scenarios'!$D23,"_", $C$7, "_", $C$6), OpenLCAbasic!$M:$M,0))</f>
        <v>3.3759999999999998E-2</v>
      </c>
      <c r="AS23" s="256">
        <f>INDEX(OpenLCAbasic!$J:$J, MATCH(CONCATENATE($C$5,"_", 'AD Scenarios'!AS$12,"_","Upgraded_",INDEX(LookUps!$E$5:$E$12,MATCH('AD Scenarios'!AS$11, LookUps!$C$5:$C$12,0)),"_", 'AD Scenarios'!$D23,"_", $C$7, "_", $C$6), OpenLCAbasic!$M:$M,0))</f>
        <v>3.3759999999999998E-2</v>
      </c>
      <c r="AT23" s="258"/>
      <c r="AU23" s="257">
        <f>INDEX(OpenLCAbasic!$J:$J, MATCH(CONCATENATE($C$5,"_", 'AD Scenarios'!AU$12,"_","Upgraded_",INDEX(LookUps!$E$5:$E$12,MATCH('AD Scenarios'!AU$11, LookUps!$C$5:$C$12,0)),"_", 'AD Scenarios'!$D23,"_", $C$7, "_", $C$6), OpenLCAbasic!$M:$M,0))</f>
        <v>2.3800000000000002E-3</v>
      </c>
      <c r="AV23" s="257">
        <f>INDEX(OpenLCAbasic!$J:$J, MATCH(CONCATENATE($C$5,"_", 'AD Scenarios'!AV$12,"_","Upgraded_",INDEX(LookUps!$E$5:$E$12,MATCH('AD Scenarios'!AV$11, LookUps!$C$5:$C$12,0)),"_", 'AD Scenarios'!$D23,"_", $C$7, "_", $C$6), OpenLCAbasic!$M:$M,0))</f>
        <v>2.3800000000000002E-3</v>
      </c>
      <c r="AW23" s="257">
        <f>INDEX(OpenLCAbasic!$J:$J, MATCH(CONCATENATE($C$5,"_", 'AD Scenarios'!AW$12,"_","Upgraded_",INDEX(LookUps!$E$5:$E$12,MATCH('AD Scenarios'!AW$11, LookUps!$C$5:$C$12,0)),"_", 'AD Scenarios'!$D23,"_", $C$7, "_", $C$6), OpenLCAbasic!$M:$M,0))</f>
        <v>2.3800000000000002E-3</v>
      </c>
      <c r="AX23" s="257">
        <f>INDEX(OpenLCAbasic!$J:$J, MATCH(CONCATENATE($C$5,"_", 'AD Scenarios'!AX$12,"_","Upgraded_",INDEX(LookUps!$E$5:$E$12,MATCH('AD Scenarios'!AX$11, LookUps!$C$5:$C$12,0)),"_", 'AD Scenarios'!$D23,"_", $C$7, "_", $C$6), OpenLCAbasic!$M:$M,0))</f>
        <v>2.5300000000000001E-3</v>
      </c>
      <c r="AY23" s="257">
        <f>INDEX(OpenLCAbasic!$J:$J, MATCH(CONCATENATE($C$5,"_", 'AD Scenarios'!AY$12,"_","Upgraded_",INDEX(LookUps!$E$5:$E$12,MATCH('AD Scenarios'!AY$11, LookUps!$C$5:$C$12,0)),"_", 'AD Scenarios'!$D23,"_", $C$7, "_", $C$6), OpenLCAbasic!$M:$M,0))</f>
        <v>2.5300000000000001E-3</v>
      </c>
      <c r="AZ23" s="257">
        <f>INDEX(OpenLCAbasic!$J:$J, MATCH(CONCATENATE($C$5,"_", 'AD Scenarios'!AZ$12,"_","Upgraded_",INDEX(LookUps!$E$5:$E$12,MATCH('AD Scenarios'!AZ$11, LookUps!$C$5:$C$12,0)),"_", 'AD Scenarios'!$D23,"_", $C$7, "_", $C$6), OpenLCAbasic!$M:$M,0))</f>
        <v>2.5300000000000001E-3</v>
      </c>
      <c r="BA23" s="257">
        <f>INDEX(OpenLCAbasic!$J:$J, MATCH(CONCATENATE($C$5,"_", 'AD Scenarios'!BA$12,"_","Upgraded_",INDEX(LookUps!$E$5:$E$12,MATCH('AD Scenarios'!BA$11, LookUps!$C$5:$C$12,0)),"_", 'AD Scenarios'!$D23,"_", $C$7, "_", $C$6), OpenLCAbasic!$M:$M,0))</f>
        <v>2.7000000000000001E-3</v>
      </c>
      <c r="BB23" s="257">
        <f>INDEX(OpenLCAbasic!$J:$J, MATCH(CONCATENATE($C$5,"_", 'AD Scenarios'!BB$12,"_","Upgraded_",INDEX(LookUps!$E$5:$E$12,MATCH('AD Scenarios'!BB$11, LookUps!$C$5:$C$12,0)),"_", 'AD Scenarios'!$D23,"_", $C$7, "_", $C$6), OpenLCAbasic!$M:$M,0))</f>
        <v>2.7000000000000001E-3</v>
      </c>
      <c r="BC23" s="257">
        <f>INDEX(OpenLCAbasic!$J:$J, MATCH(CONCATENATE($C$5,"_", 'AD Scenarios'!BC$12,"_","Upgraded_",INDEX(LookUps!$E$5:$E$12,MATCH('AD Scenarios'!BC$11, LookUps!$C$5:$C$12,0)),"_", 'AD Scenarios'!$D23,"_", $C$7, "_", $C$6), OpenLCAbasic!$M:$M,0))</f>
        <v>2.7000000000000001E-3</v>
      </c>
      <c r="BD23" s="258"/>
      <c r="BE23" s="257">
        <f>INDEX(OpenLCAbasic!$J:$J, MATCH(CONCATENATE($C$5,"_", 'AD Scenarios'!BE$12,"_","Upgraded_",INDEX(LookUps!$E$5:$E$12,MATCH('AD Scenarios'!BE$11, LookUps!$C$5:$C$12,0)),"_", 'AD Scenarios'!$D23,"_", $C$7, "_", $C$6), OpenLCAbasic!$M:$M,0))</f>
        <v>2.3000000000000001E-4</v>
      </c>
      <c r="BF23" s="257">
        <f>INDEX(OpenLCAbasic!$J:$J, MATCH(CONCATENATE($C$5,"_", 'AD Scenarios'!BF$12,"_","Upgraded_",INDEX(LookUps!$E$5:$E$12,MATCH('AD Scenarios'!BF$11, LookUps!$C$5:$C$12,0)),"_", 'AD Scenarios'!$D23,"_", $C$7, "_", $C$6), OpenLCAbasic!$M:$M,0))</f>
        <v>2.3000000000000001E-4</v>
      </c>
      <c r="BG23" s="257">
        <f>INDEX(OpenLCAbasic!$J:$J, MATCH(CONCATENATE($C$5,"_", 'AD Scenarios'!BG$12,"_","Upgraded_",INDEX(LookUps!$E$5:$E$12,MATCH('AD Scenarios'!BG$11, LookUps!$C$5:$C$12,0)),"_", 'AD Scenarios'!$D23,"_", $C$7, "_", $C$6), OpenLCAbasic!$M:$M,0))</f>
        <v>2.3000000000000001E-4</v>
      </c>
      <c r="BH23" s="257">
        <f>INDEX(OpenLCAbasic!$J:$J, MATCH(CONCATENATE($C$5,"_", 'AD Scenarios'!BH$12,"_","Upgraded_",INDEX(LookUps!$E$5:$E$12,MATCH('AD Scenarios'!BH$11, LookUps!$C$5:$C$12,0)),"_", 'AD Scenarios'!$D23,"_", $C$7, "_", $C$6), OpenLCAbasic!$M:$M,0))</f>
        <v>2.7999999999999998E-4</v>
      </c>
      <c r="BI23" s="257">
        <f>INDEX(OpenLCAbasic!$J:$J, MATCH(CONCATENATE($C$5,"_", 'AD Scenarios'!BI$12,"_","Upgraded_",INDEX(LookUps!$E$5:$E$12,MATCH('AD Scenarios'!BI$11, LookUps!$C$5:$C$12,0)),"_", 'AD Scenarios'!$D23,"_", $C$7, "_", $C$6), OpenLCAbasic!$M:$M,0))</f>
        <v>2.7999999999999998E-4</v>
      </c>
      <c r="BJ23" s="257">
        <f>INDEX(OpenLCAbasic!$J:$J, MATCH(CONCATENATE($C$5,"_", 'AD Scenarios'!BJ$12,"_","Upgraded_",INDEX(LookUps!$E$5:$E$12,MATCH('AD Scenarios'!BJ$11, LookUps!$C$5:$C$12,0)),"_", 'AD Scenarios'!$D23,"_", $C$7, "_", $C$6), OpenLCAbasic!$M:$M,0))</f>
        <v>2.7999999999999998E-4</v>
      </c>
      <c r="BK23" s="257">
        <f>INDEX(OpenLCAbasic!$J:$J, MATCH(CONCATENATE($C$5,"_", 'AD Scenarios'!BK$12,"_","Upgraded_",INDEX(LookUps!$E$5:$E$12,MATCH('AD Scenarios'!BK$11, LookUps!$C$5:$C$12,0)),"_", 'AD Scenarios'!$D23,"_", $C$7, "_", $C$6), OpenLCAbasic!$M:$M,0))</f>
        <v>3.4000000000000002E-4</v>
      </c>
      <c r="BL23" s="257">
        <f>INDEX(OpenLCAbasic!$J:$J, MATCH(CONCATENATE($C$5,"_", 'AD Scenarios'!BL$12,"_","Upgraded_",INDEX(LookUps!$E$5:$E$12,MATCH('AD Scenarios'!BL$11, LookUps!$C$5:$C$12,0)),"_", 'AD Scenarios'!$D23,"_", $C$7, "_", $C$6), OpenLCAbasic!$M:$M,0))</f>
        <v>3.4000000000000002E-4</v>
      </c>
      <c r="BM23" s="257">
        <f>INDEX(OpenLCAbasic!$J:$J, MATCH(CONCATENATE($C$5,"_", 'AD Scenarios'!BM$12,"_","Upgraded_",INDEX(LookUps!$E$5:$E$12,MATCH('AD Scenarios'!BM$11, LookUps!$C$5:$C$12,0)),"_", 'AD Scenarios'!$D23,"_", $C$7, "_", $C$6), OpenLCAbasic!$M:$M,0))</f>
        <v>3.4000000000000002E-4</v>
      </c>
      <c r="BN23" s="258"/>
      <c r="BO23" s="256">
        <f>INDEX(OpenLCAbasic!$J:$J, MATCH(CONCATENATE($C$5,"_", 'AD Scenarios'!BO$12,"_","Upgraded_",INDEX(LookUps!$E$5:$E$12,MATCH('AD Scenarios'!BO$11, LookUps!$C$5:$C$12,0)),"_", 'AD Scenarios'!$D23,"_", $C$7, "_", $C$6), OpenLCAbasic!$M:$M,0))</f>
        <v>7.9170000000000004E-2</v>
      </c>
      <c r="BP23" s="256">
        <f>INDEX(OpenLCAbasic!$J:$J, MATCH(CONCATENATE($C$5,"_", 'AD Scenarios'!BP$12,"_","Upgraded_",INDEX(LookUps!$E$5:$E$12,MATCH('AD Scenarios'!BP$11, LookUps!$C$5:$C$12,0)),"_", 'AD Scenarios'!$D23,"_", $C$7, "_", $C$6), OpenLCAbasic!$M:$M,0))</f>
        <v>7.9170000000000004E-2</v>
      </c>
      <c r="BQ23" s="256">
        <f>INDEX(OpenLCAbasic!$J:$J, MATCH(CONCATENATE($C$5,"_", 'AD Scenarios'!BQ$12,"_","Upgraded_",INDEX(LookUps!$E$5:$E$12,MATCH('AD Scenarios'!BQ$11, LookUps!$C$5:$C$12,0)),"_", 'AD Scenarios'!$D23,"_", $C$7, "_", $C$6), OpenLCAbasic!$M:$M,0))</f>
        <v>7.9170000000000004E-2</v>
      </c>
      <c r="BR23" s="256">
        <f>INDEX(OpenLCAbasic!$J:$J, MATCH(CONCATENATE($C$5,"_", 'AD Scenarios'!BR$12,"_","Upgraded_",INDEX(LookUps!$E$5:$E$12,MATCH('AD Scenarios'!BR$11, LookUps!$C$5:$C$12,0)),"_", 'AD Scenarios'!$D23,"_", $C$7, "_", $C$6), OpenLCAbasic!$M:$M,0))</f>
        <v>9.7259999999999999E-2</v>
      </c>
      <c r="BS23" s="256">
        <f>INDEX(OpenLCAbasic!$J:$J, MATCH(CONCATENATE($C$5,"_", 'AD Scenarios'!BS$12,"_","Upgraded_",INDEX(LookUps!$E$5:$E$12,MATCH('AD Scenarios'!BS$11, LookUps!$C$5:$C$12,0)),"_", 'AD Scenarios'!$D23,"_", $C$7, "_", $C$6), OpenLCAbasic!$M:$M,0))</f>
        <v>9.7259999999999999E-2</v>
      </c>
      <c r="BT23" s="256">
        <f>INDEX(OpenLCAbasic!$J:$J, MATCH(CONCATENATE($C$5,"_", 'AD Scenarios'!BT$12,"_","Upgraded_",INDEX(LookUps!$E$5:$E$12,MATCH('AD Scenarios'!BT$11, LookUps!$C$5:$C$12,0)),"_", 'AD Scenarios'!$D23,"_", $C$7, "_", $C$6), OpenLCAbasic!$M:$M,0))</f>
        <v>9.7259999999999999E-2</v>
      </c>
      <c r="BU23" s="256">
        <f>INDEX(OpenLCAbasic!$J:$J, MATCH(CONCATENATE($C$5,"_", 'AD Scenarios'!BU$12,"_","Upgraded_",INDEX(LookUps!$E$5:$E$12,MATCH('AD Scenarios'!BU$11, LookUps!$C$5:$C$12,0)),"_", 'AD Scenarios'!$D23,"_", $C$7, "_", $C$6), OpenLCAbasic!$M:$M,0))</f>
        <v>0.11719</v>
      </c>
      <c r="BV23" s="256">
        <f>INDEX(OpenLCAbasic!$J:$J, MATCH(CONCATENATE($C$5,"_", 'AD Scenarios'!BV$12,"_","Upgraded_",INDEX(LookUps!$E$5:$E$12,MATCH('AD Scenarios'!BV$11, LookUps!$C$5:$C$12,0)),"_", 'AD Scenarios'!$D23,"_", $C$7, "_", $C$6), OpenLCAbasic!$M:$M,0))</f>
        <v>0.11719</v>
      </c>
      <c r="BW23" s="256">
        <f>INDEX(OpenLCAbasic!$J:$J, MATCH(CONCATENATE($C$5,"_", 'AD Scenarios'!BW$12,"_","Upgraded_",INDEX(LookUps!$E$5:$E$12,MATCH('AD Scenarios'!BW$11, LookUps!$C$5:$C$12,0)),"_", 'AD Scenarios'!$D23,"_", $C$7, "_", $C$6), OpenLCAbasic!$M:$M,0))</f>
        <v>0.11719</v>
      </c>
      <c r="BX23" s="258"/>
      <c r="BY23" s="71">
        <f>INDEX(OpenLCAbasic!$J:$J, MATCH(CONCATENATE($C$5,"_", 'AD Scenarios'!BY$12,"_","Upgraded_",INDEX(LookUps!$E$5:$E$12,MATCH('AD Scenarios'!BY$11, LookUps!$C$5:$C$12,0)),"_", 'AD Scenarios'!$D23,"_", $C$7, "_", $C$6), OpenLCAbasic!$M:$M,0))</f>
        <v>3.4982700000000002</v>
      </c>
      <c r="BZ23" s="71">
        <f>INDEX(OpenLCAbasic!$J:$J, MATCH(CONCATENATE($C$5,"_", 'AD Scenarios'!BZ$12,"_","Upgraded_",INDEX(LookUps!$E$5:$E$12,MATCH('AD Scenarios'!BZ$11, LookUps!$C$5:$C$12,0)),"_", 'AD Scenarios'!$D23,"_", $C$7, "_", $C$6), OpenLCAbasic!$M:$M,0))</f>
        <v>3.4982700000000002</v>
      </c>
      <c r="CA23" s="71">
        <f>INDEX(OpenLCAbasic!$J:$J, MATCH(CONCATENATE($C$5,"_", 'AD Scenarios'!CA$12,"_","Upgraded_",INDEX(LookUps!$E$5:$E$12,MATCH('AD Scenarios'!CA$11, LookUps!$C$5:$C$12,0)),"_", 'AD Scenarios'!$D23,"_", $C$7, "_", $C$6), OpenLCAbasic!$M:$M,0))</f>
        <v>3.4982700000000002</v>
      </c>
      <c r="CB23" s="71">
        <f>INDEX(OpenLCAbasic!$J:$J, MATCH(CONCATENATE($C$5,"_", 'AD Scenarios'!CB$12,"_","Upgraded_",INDEX(LookUps!$E$5:$E$12,MATCH('AD Scenarios'!CB$11, LookUps!$C$5:$C$12,0)),"_", 'AD Scenarios'!$D23,"_", $C$7, "_", $C$6), OpenLCAbasic!$M:$M,0))</f>
        <v>4.2789599999999997</v>
      </c>
      <c r="CC23" s="71">
        <f>INDEX(OpenLCAbasic!$J:$J, MATCH(CONCATENATE($C$5,"_", 'AD Scenarios'!CC$12,"_","Upgraded_",INDEX(LookUps!$E$5:$E$12,MATCH('AD Scenarios'!CC$11, LookUps!$C$5:$C$12,0)),"_", 'AD Scenarios'!$D23,"_", $C$7, "_", $C$6), OpenLCAbasic!$M:$M,0))</f>
        <v>4.2789599999999997</v>
      </c>
      <c r="CD23" s="71">
        <f>INDEX(OpenLCAbasic!$J:$J, MATCH(CONCATENATE($C$5,"_", 'AD Scenarios'!CD$12,"_","Upgraded_",INDEX(LookUps!$E$5:$E$12,MATCH('AD Scenarios'!CD$11, LookUps!$C$5:$C$12,0)),"_", 'AD Scenarios'!$D23,"_", $C$7, "_", $C$6), OpenLCAbasic!$M:$M,0))</f>
        <v>4.2789599999999997</v>
      </c>
      <c r="CE23" s="71">
        <f>INDEX(OpenLCAbasic!$J:$J, MATCH(CONCATENATE($C$5,"_", 'AD Scenarios'!CE$12,"_","Upgraded_",INDEX(LookUps!$E$5:$E$12,MATCH('AD Scenarios'!CE$11, LookUps!$C$5:$C$12,0)),"_", 'AD Scenarios'!$D23,"_", $C$7, "_", $C$6), OpenLCAbasic!$M:$M,0))</f>
        <v>5.1393399999999998</v>
      </c>
      <c r="CF23" s="71">
        <f>INDEX(OpenLCAbasic!$J:$J, MATCH(CONCATENATE($C$5,"_", 'AD Scenarios'!CF$12,"_","Upgraded_",INDEX(LookUps!$E$5:$E$12,MATCH('AD Scenarios'!CF$11, LookUps!$C$5:$C$12,0)),"_", 'AD Scenarios'!$D23,"_", $C$7, "_", $C$6), OpenLCAbasic!$M:$M,0))</f>
        <v>5.1393399999999998</v>
      </c>
      <c r="CG23" s="71">
        <f>INDEX(OpenLCAbasic!$J:$J, MATCH(CONCATENATE($C$5,"_", 'AD Scenarios'!CG$12,"_","Upgraded_",INDEX(LookUps!$E$5:$E$12,MATCH('AD Scenarios'!CG$11, LookUps!$C$5:$C$12,0)),"_", 'AD Scenarios'!$D23,"_", $C$7, "_", $C$6), OpenLCAbasic!$M:$M,0))</f>
        <v>5.1393399999999998</v>
      </c>
    </row>
    <row r="24" spans="2:85" x14ac:dyDescent="0.25">
      <c r="B24" s="363"/>
      <c r="C24" s="81" t="str">
        <f>LookUps!$G$11</f>
        <v>Gravity Belt Thickener; wastewater treatment unit; at updated plant - US</v>
      </c>
      <c r="D24" s="115" t="str">
        <f>LookUps!G11</f>
        <v>Gravity Belt Thickener; wastewater treatment unit; at updated plant - US</v>
      </c>
      <c r="E24" s="107"/>
      <c r="F24" s="258"/>
      <c r="G24" s="256">
        <f>INDEX(OpenLCAbasic!$J:$J, MATCH(CONCATENATE($C$5,"_", 'AD Scenarios'!G$12,"_","Upgraded_",INDEX(LookUps!$E$5:$E$12,MATCH('AD Scenarios'!G$11, LookUps!$C$5:$C$12,0)),"_", 'AD Scenarios'!$D24,"_", $C$7, "_", $C$6), OpenLCAbasic!$M:$M,0))</f>
        <v>1.455E-2</v>
      </c>
      <c r="H24" s="256">
        <f>INDEX(OpenLCAbasic!$J:$J, MATCH(CONCATENATE($C$5,"_", 'AD Scenarios'!H$12,"_","Upgraded_",INDEX(LookUps!$E$5:$E$12,MATCH('AD Scenarios'!H$11, LookUps!$C$5:$C$12,0)),"_", 'AD Scenarios'!$D24,"_", $C$7, "_", $C$6), OpenLCAbasic!$M:$M,0))</f>
        <v>1.455E-2</v>
      </c>
      <c r="I24" s="256">
        <f>INDEX(OpenLCAbasic!$J:$J, MATCH(CONCATENATE($C$5,"_", 'AD Scenarios'!I$12,"_","Upgraded_",INDEX(LookUps!$E$5:$E$12,MATCH('AD Scenarios'!I$11, LookUps!$C$5:$C$12,0)),"_", 'AD Scenarios'!$D24,"_", $C$7, "_", $C$6), OpenLCAbasic!$M:$M,0))</f>
        <v>1.455E-2</v>
      </c>
      <c r="J24" s="256">
        <f>INDEX(OpenLCAbasic!$J:$J, MATCH(CONCATENATE($C$5,"_", 'AD Scenarios'!J$12,"_","Upgraded_",INDEX(LookUps!$E$5:$E$12,MATCH('AD Scenarios'!J$11, LookUps!$C$5:$C$12,0)),"_", 'AD Scenarios'!$D24,"_", $C$7, "_", $C$6), OpenLCAbasic!$M:$M,0))</f>
        <v>1.455E-2</v>
      </c>
      <c r="K24" s="256">
        <f>INDEX(OpenLCAbasic!$J:$J, MATCH(CONCATENATE($C$5,"_", 'AD Scenarios'!K$12,"_","Upgraded_",INDEX(LookUps!$E$5:$E$12,MATCH('AD Scenarios'!K$11, LookUps!$C$5:$C$12,0)),"_", 'AD Scenarios'!$D24,"_", $C$7, "_", $C$6), OpenLCAbasic!$M:$M,0))</f>
        <v>1.455E-2</v>
      </c>
      <c r="L24" s="256">
        <f>INDEX(OpenLCAbasic!$J:$J, MATCH(CONCATENATE($C$5,"_", 'AD Scenarios'!L$12,"_","Upgraded_",INDEX(LookUps!$E$5:$E$12,MATCH('AD Scenarios'!L$11, LookUps!$C$5:$C$12,0)),"_", 'AD Scenarios'!$D24,"_", $C$7, "_", $C$6), OpenLCAbasic!$M:$M,0))</f>
        <v>1.455E-2</v>
      </c>
      <c r="M24" s="256">
        <f>INDEX(OpenLCAbasic!$J:$J, MATCH(CONCATENATE($C$5,"_", 'AD Scenarios'!M$12,"_","Upgraded_",INDEX(LookUps!$E$5:$E$12,MATCH('AD Scenarios'!M$11, LookUps!$C$5:$C$12,0)),"_", 'AD Scenarios'!$D24,"_", $C$7, "_", $C$6), OpenLCAbasic!$M:$M,0))</f>
        <v>1.455E-2</v>
      </c>
      <c r="N24" s="256">
        <f>INDEX(OpenLCAbasic!$J:$J, MATCH(CONCATENATE($C$5,"_", 'AD Scenarios'!N$12,"_","Upgraded_",INDEX(LookUps!$E$5:$E$12,MATCH('AD Scenarios'!N$11, LookUps!$C$5:$C$12,0)),"_", 'AD Scenarios'!$D24,"_", $C$7, "_", $C$6), OpenLCAbasic!$M:$M,0))</f>
        <v>1.455E-2</v>
      </c>
      <c r="O24" s="256">
        <f>INDEX(OpenLCAbasic!$J:$J, MATCH(CONCATENATE($C$5,"_", 'AD Scenarios'!O$12,"_","Upgraded_",INDEX(LookUps!$E$5:$E$12,MATCH('AD Scenarios'!O$11, LookUps!$C$5:$C$12,0)),"_", 'AD Scenarios'!$D24,"_", $C$7, "_", $C$6), OpenLCAbasic!$M:$M,0))</f>
        <v>1.455E-2</v>
      </c>
      <c r="P24" s="258"/>
      <c r="Q24" s="257">
        <f>INDEX(OpenLCAbasic!$J:$J, MATCH(CONCATENATE($C$5,"_", 'AD Scenarios'!Q$12,"_","Upgraded_",INDEX(LookUps!$E$5:$E$12,MATCH('AD Scenarios'!Q$11, LookUps!$C$5:$C$12,0)),"_", 'AD Scenarios'!$D24,"_", $C$7, "_", $C$6), OpenLCAbasic!$M:$M,0))</f>
        <v>6.0590300000000002E-5</v>
      </c>
      <c r="R24" s="257">
        <f>INDEX(OpenLCAbasic!$J:$J, MATCH(CONCATENATE($C$5,"_", 'AD Scenarios'!R$12,"_","Upgraded_",INDEX(LookUps!$E$5:$E$12,MATCH('AD Scenarios'!R$11, LookUps!$C$5:$C$12,0)),"_", 'AD Scenarios'!$D24,"_", $C$7, "_", $C$6), OpenLCAbasic!$M:$M,0))</f>
        <v>6.0590300000000002E-5</v>
      </c>
      <c r="S24" s="257">
        <f>INDEX(OpenLCAbasic!$J:$J, MATCH(CONCATENATE($C$5,"_", 'AD Scenarios'!S$12,"_","Upgraded_",INDEX(LookUps!$E$5:$E$12,MATCH('AD Scenarios'!S$11, LookUps!$C$5:$C$12,0)),"_", 'AD Scenarios'!$D24,"_", $C$7, "_", $C$6), OpenLCAbasic!$M:$M,0))</f>
        <v>6.0590300000000002E-5</v>
      </c>
      <c r="T24" s="257">
        <f>INDEX(OpenLCAbasic!$J:$J, MATCH(CONCATENATE($C$5,"_", 'AD Scenarios'!T$12,"_","Upgraded_",INDEX(LookUps!$E$5:$E$12,MATCH('AD Scenarios'!T$11, LookUps!$C$5:$C$12,0)),"_", 'AD Scenarios'!$D24,"_", $C$7, "_", $C$6), OpenLCAbasic!$M:$M,0))</f>
        <v>6.0590300000000002E-5</v>
      </c>
      <c r="U24" s="257">
        <f>INDEX(OpenLCAbasic!$J:$J, MATCH(CONCATENATE($C$5,"_", 'AD Scenarios'!U$12,"_","Upgraded_",INDEX(LookUps!$E$5:$E$12,MATCH('AD Scenarios'!U$11, LookUps!$C$5:$C$12,0)),"_", 'AD Scenarios'!$D24,"_", $C$7, "_", $C$6), OpenLCAbasic!$M:$M,0))</f>
        <v>6.0590300000000002E-5</v>
      </c>
      <c r="V24" s="257">
        <f>INDEX(OpenLCAbasic!$J:$J, MATCH(CONCATENATE($C$5,"_", 'AD Scenarios'!V$12,"_","Upgraded_",INDEX(LookUps!$E$5:$E$12,MATCH('AD Scenarios'!V$11, LookUps!$C$5:$C$12,0)),"_", 'AD Scenarios'!$D24,"_", $C$7, "_", $C$6), OpenLCAbasic!$M:$M,0))</f>
        <v>6.0590300000000002E-5</v>
      </c>
      <c r="W24" s="257">
        <f>INDEX(OpenLCAbasic!$J:$J, MATCH(CONCATENATE($C$5,"_", 'AD Scenarios'!W$12,"_","Upgraded_",INDEX(LookUps!$E$5:$E$12,MATCH('AD Scenarios'!W$11, LookUps!$C$5:$C$12,0)),"_", 'AD Scenarios'!$D24,"_", $C$7, "_", $C$6), OpenLCAbasic!$M:$M,0))</f>
        <v>6.0590300000000002E-5</v>
      </c>
      <c r="X24" s="257">
        <f>INDEX(OpenLCAbasic!$J:$J, MATCH(CONCATENATE($C$5,"_", 'AD Scenarios'!X$12,"_","Upgraded_",INDEX(LookUps!$E$5:$E$12,MATCH('AD Scenarios'!X$11, LookUps!$C$5:$C$12,0)),"_", 'AD Scenarios'!$D24,"_", $C$7, "_", $C$6), OpenLCAbasic!$M:$M,0))</f>
        <v>6.0590300000000002E-5</v>
      </c>
      <c r="Y24" s="257">
        <f>INDEX(OpenLCAbasic!$J:$J, MATCH(CONCATENATE($C$5,"_", 'AD Scenarios'!Y$12,"_","Upgraded_",INDEX(LookUps!$E$5:$E$12,MATCH('AD Scenarios'!Y$11, LookUps!$C$5:$C$12,0)),"_", 'AD Scenarios'!$D24,"_", $C$7, "_", $C$6), OpenLCAbasic!$M:$M,0))</f>
        <v>6.0590300000000002E-5</v>
      </c>
      <c r="Z24" s="258"/>
      <c r="AA24" s="257">
        <f>INDEX(OpenLCAbasic!$J:$J, MATCH(CONCATENATE($C$5,"_", 'AD Scenarios'!AA$12,"_","Upgraded_",INDEX(LookUps!$E$5:$E$12,MATCH('AD Scenarios'!AA$11, LookUps!$C$5:$C$12,0)),"_", 'AD Scenarios'!$D24,"_", $C$7, "_", $C$6), OpenLCAbasic!$M:$M,0))</f>
        <v>9.5153800000000004E-5</v>
      </c>
      <c r="AB24" s="257">
        <f>INDEX(OpenLCAbasic!$J:$J, MATCH(CONCATENATE($C$5,"_", 'AD Scenarios'!AB$12,"_","Upgraded_",INDEX(LookUps!$E$5:$E$12,MATCH('AD Scenarios'!AB$11, LookUps!$C$5:$C$12,0)),"_", 'AD Scenarios'!$D24,"_", $C$7, "_", $C$6), OpenLCAbasic!$M:$M,0))</f>
        <v>9.5153800000000004E-5</v>
      </c>
      <c r="AC24" s="257">
        <f>INDEX(OpenLCAbasic!$J:$J, MATCH(CONCATENATE($C$5,"_", 'AD Scenarios'!AC$12,"_","Upgraded_",INDEX(LookUps!$E$5:$E$12,MATCH('AD Scenarios'!AC$11, LookUps!$C$5:$C$12,0)),"_", 'AD Scenarios'!$D24,"_", $C$7, "_", $C$6), OpenLCAbasic!$M:$M,0))</f>
        <v>9.5153800000000004E-5</v>
      </c>
      <c r="AD24" s="257">
        <f>INDEX(OpenLCAbasic!$J:$J, MATCH(CONCATENATE($C$5,"_", 'AD Scenarios'!AD$12,"_","Upgraded_",INDEX(LookUps!$E$5:$E$12,MATCH('AD Scenarios'!AD$11, LookUps!$C$5:$C$12,0)),"_", 'AD Scenarios'!$D24,"_", $C$7, "_", $C$6), OpenLCAbasic!$M:$M,0))</f>
        <v>9.5153800000000004E-5</v>
      </c>
      <c r="AE24" s="257">
        <f>INDEX(OpenLCAbasic!$J:$J, MATCH(CONCATENATE($C$5,"_", 'AD Scenarios'!AE$12,"_","Upgraded_",INDEX(LookUps!$E$5:$E$12,MATCH('AD Scenarios'!AE$11, LookUps!$C$5:$C$12,0)),"_", 'AD Scenarios'!$D24,"_", $C$7, "_", $C$6), OpenLCAbasic!$M:$M,0))</f>
        <v>9.5153800000000004E-5</v>
      </c>
      <c r="AF24" s="257">
        <f>INDEX(OpenLCAbasic!$J:$J, MATCH(CONCATENATE($C$5,"_", 'AD Scenarios'!AF$12,"_","Upgraded_",INDEX(LookUps!$E$5:$E$12,MATCH('AD Scenarios'!AF$11, LookUps!$C$5:$C$12,0)),"_", 'AD Scenarios'!$D24,"_", $C$7, "_", $C$6), OpenLCAbasic!$M:$M,0))</f>
        <v>9.5153800000000004E-5</v>
      </c>
      <c r="AG24" s="257">
        <f>INDEX(OpenLCAbasic!$J:$J, MATCH(CONCATENATE($C$5,"_", 'AD Scenarios'!AG$12,"_","Upgraded_",INDEX(LookUps!$E$5:$E$12,MATCH('AD Scenarios'!AG$11, LookUps!$C$5:$C$12,0)),"_", 'AD Scenarios'!$D24,"_", $C$7, "_", $C$6), OpenLCAbasic!$M:$M,0))</f>
        <v>9.5153800000000004E-5</v>
      </c>
      <c r="AH24" s="257">
        <f>INDEX(OpenLCAbasic!$J:$J, MATCH(CONCATENATE($C$5,"_", 'AD Scenarios'!AH$12,"_","Upgraded_",INDEX(LookUps!$E$5:$E$12,MATCH('AD Scenarios'!AH$11, LookUps!$C$5:$C$12,0)),"_", 'AD Scenarios'!$D24,"_", $C$7, "_", $C$6), OpenLCAbasic!$M:$M,0))</f>
        <v>9.5153800000000004E-5</v>
      </c>
      <c r="AI24" s="257">
        <f>INDEX(OpenLCAbasic!$J:$J, MATCH(CONCATENATE($C$5,"_", 'AD Scenarios'!AI$12,"_","Upgraded_",INDEX(LookUps!$E$5:$E$12,MATCH('AD Scenarios'!AI$11, LookUps!$C$5:$C$12,0)),"_", 'AD Scenarios'!$D24,"_", $C$7, "_", $C$6), OpenLCAbasic!$M:$M,0))</f>
        <v>9.5153800000000004E-5</v>
      </c>
      <c r="AJ24" s="258"/>
      <c r="AK24" s="257">
        <f>INDEX(OpenLCAbasic!$J:$J, MATCH(CONCATENATE($C$5,"_", 'AD Scenarios'!AK$12,"_","Upgraded_",INDEX(LookUps!$E$5:$E$12,MATCH('AD Scenarios'!AK$11, LookUps!$C$5:$C$12,0)),"_", 'AD Scenarios'!$D24,"_", $C$7, "_", $C$6), OpenLCAbasic!$M:$M,0))</f>
        <v>6.6499999999999997E-3</v>
      </c>
      <c r="AL24" s="257">
        <f>INDEX(OpenLCAbasic!$J:$J, MATCH(CONCATENATE($C$5,"_", 'AD Scenarios'!AL$12,"_","Upgraded_",INDEX(LookUps!$E$5:$E$12,MATCH('AD Scenarios'!AL$11, LookUps!$C$5:$C$12,0)),"_", 'AD Scenarios'!$D24,"_", $C$7, "_", $C$6), OpenLCAbasic!$M:$M,0))</f>
        <v>6.6499999999999997E-3</v>
      </c>
      <c r="AM24" s="257">
        <f>INDEX(OpenLCAbasic!$J:$J, MATCH(CONCATENATE($C$5,"_", 'AD Scenarios'!AM$12,"_","Upgraded_",INDEX(LookUps!$E$5:$E$12,MATCH('AD Scenarios'!AM$11, LookUps!$C$5:$C$12,0)),"_", 'AD Scenarios'!$D24,"_", $C$7, "_", $C$6), OpenLCAbasic!$M:$M,0))</f>
        <v>6.6499999999999997E-3</v>
      </c>
      <c r="AN24" s="257">
        <f>INDEX(OpenLCAbasic!$J:$J, MATCH(CONCATENATE($C$5,"_", 'AD Scenarios'!AN$12,"_","Upgraded_",INDEX(LookUps!$E$5:$E$12,MATCH('AD Scenarios'!AN$11, LookUps!$C$5:$C$12,0)),"_", 'AD Scenarios'!$D24,"_", $C$7, "_", $C$6), OpenLCAbasic!$M:$M,0))</f>
        <v>6.6499999999999997E-3</v>
      </c>
      <c r="AO24" s="257">
        <f>INDEX(OpenLCAbasic!$J:$J, MATCH(CONCATENATE($C$5,"_", 'AD Scenarios'!AO$12,"_","Upgraded_",INDEX(LookUps!$E$5:$E$12,MATCH('AD Scenarios'!AO$11, LookUps!$C$5:$C$12,0)),"_", 'AD Scenarios'!$D24,"_", $C$7, "_", $C$6), OpenLCAbasic!$M:$M,0))</f>
        <v>6.6499999999999997E-3</v>
      </c>
      <c r="AP24" s="257">
        <f>INDEX(OpenLCAbasic!$J:$J, MATCH(CONCATENATE($C$5,"_", 'AD Scenarios'!AP$12,"_","Upgraded_",INDEX(LookUps!$E$5:$E$12,MATCH('AD Scenarios'!AP$11, LookUps!$C$5:$C$12,0)),"_", 'AD Scenarios'!$D24,"_", $C$7, "_", $C$6), OpenLCAbasic!$M:$M,0))</f>
        <v>6.6499999999999997E-3</v>
      </c>
      <c r="AQ24" s="257">
        <f>INDEX(OpenLCAbasic!$J:$J, MATCH(CONCATENATE($C$5,"_", 'AD Scenarios'!AQ$12,"_","Upgraded_",INDEX(LookUps!$E$5:$E$12,MATCH('AD Scenarios'!AQ$11, LookUps!$C$5:$C$12,0)),"_", 'AD Scenarios'!$D24,"_", $C$7, "_", $C$6), OpenLCAbasic!$M:$M,0))</f>
        <v>6.6499999999999997E-3</v>
      </c>
      <c r="AR24" s="257">
        <f>INDEX(OpenLCAbasic!$J:$J, MATCH(CONCATENATE($C$5,"_", 'AD Scenarios'!AR$12,"_","Upgraded_",INDEX(LookUps!$E$5:$E$12,MATCH('AD Scenarios'!AR$11, LookUps!$C$5:$C$12,0)),"_", 'AD Scenarios'!$D24,"_", $C$7, "_", $C$6), OpenLCAbasic!$M:$M,0))</f>
        <v>6.6499999999999997E-3</v>
      </c>
      <c r="AS24" s="257">
        <f>INDEX(OpenLCAbasic!$J:$J, MATCH(CONCATENATE($C$5,"_", 'AD Scenarios'!AS$12,"_","Upgraded_",INDEX(LookUps!$E$5:$E$12,MATCH('AD Scenarios'!AS$11, LookUps!$C$5:$C$12,0)),"_", 'AD Scenarios'!$D24,"_", $C$7, "_", $C$6), OpenLCAbasic!$M:$M,0))</f>
        <v>6.6499999999999997E-3</v>
      </c>
      <c r="AT24" s="258"/>
      <c r="AU24" s="257">
        <f>INDEX(OpenLCAbasic!$J:$J, MATCH(CONCATENATE($C$5,"_", 'AD Scenarios'!AU$12,"_","Upgraded_",INDEX(LookUps!$E$5:$E$12,MATCH('AD Scenarios'!AU$11, LookUps!$C$5:$C$12,0)),"_", 'AD Scenarios'!$D24,"_", $C$7, "_", $C$6), OpenLCAbasic!$M:$M,0))</f>
        <v>6.9999999999999999E-4</v>
      </c>
      <c r="AV24" s="257">
        <f>INDEX(OpenLCAbasic!$J:$J, MATCH(CONCATENATE($C$5,"_", 'AD Scenarios'!AV$12,"_","Upgraded_",INDEX(LookUps!$E$5:$E$12,MATCH('AD Scenarios'!AV$11, LookUps!$C$5:$C$12,0)),"_", 'AD Scenarios'!$D24,"_", $C$7, "_", $C$6), OpenLCAbasic!$M:$M,0))</f>
        <v>6.9999999999999999E-4</v>
      </c>
      <c r="AW24" s="257">
        <f>INDEX(OpenLCAbasic!$J:$J, MATCH(CONCATENATE($C$5,"_", 'AD Scenarios'!AW$12,"_","Upgraded_",INDEX(LookUps!$E$5:$E$12,MATCH('AD Scenarios'!AW$11, LookUps!$C$5:$C$12,0)),"_", 'AD Scenarios'!$D24,"_", $C$7, "_", $C$6), OpenLCAbasic!$M:$M,0))</f>
        <v>6.9999999999999999E-4</v>
      </c>
      <c r="AX24" s="257">
        <f>INDEX(OpenLCAbasic!$J:$J, MATCH(CONCATENATE($C$5,"_", 'AD Scenarios'!AX$12,"_","Upgraded_",INDEX(LookUps!$E$5:$E$12,MATCH('AD Scenarios'!AX$11, LookUps!$C$5:$C$12,0)),"_", 'AD Scenarios'!$D24,"_", $C$7, "_", $C$6), OpenLCAbasic!$M:$M,0))</f>
        <v>6.9999999999999999E-4</v>
      </c>
      <c r="AY24" s="257">
        <f>INDEX(OpenLCAbasic!$J:$J, MATCH(CONCATENATE($C$5,"_", 'AD Scenarios'!AY$12,"_","Upgraded_",INDEX(LookUps!$E$5:$E$12,MATCH('AD Scenarios'!AY$11, LookUps!$C$5:$C$12,0)),"_", 'AD Scenarios'!$D24,"_", $C$7, "_", $C$6), OpenLCAbasic!$M:$M,0))</f>
        <v>6.9999999999999999E-4</v>
      </c>
      <c r="AZ24" s="257">
        <f>INDEX(OpenLCAbasic!$J:$J, MATCH(CONCATENATE($C$5,"_", 'AD Scenarios'!AZ$12,"_","Upgraded_",INDEX(LookUps!$E$5:$E$12,MATCH('AD Scenarios'!AZ$11, LookUps!$C$5:$C$12,0)),"_", 'AD Scenarios'!$D24,"_", $C$7, "_", $C$6), OpenLCAbasic!$M:$M,0))</f>
        <v>6.9999999999999999E-4</v>
      </c>
      <c r="BA24" s="257">
        <f>INDEX(OpenLCAbasic!$J:$J, MATCH(CONCATENATE($C$5,"_", 'AD Scenarios'!BA$12,"_","Upgraded_",INDEX(LookUps!$E$5:$E$12,MATCH('AD Scenarios'!BA$11, LookUps!$C$5:$C$12,0)),"_", 'AD Scenarios'!$D24,"_", $C$7, "_", $C$6), OpenLCAbasic!$M:$M,0))</f>
        <v>6.9999999999999999E-4</v>
      </c>
      <c r="BB24" s="257">
        <f>INDEX(OpenLCAbasic!$J:$J, MATCH(CONCATENATE($C$5,"_", 'AD Scenarios'!BB$12,"_","Upgraded_",INDEX(LookUps!$E$5:$E$12,MATCH('AD Scenarios'!BB$11, LookUps!$C$5:$C$12,0)),"_", 'AD Scenarios'!$D24,"_", $C$7, "_", $C$6), OpenLCAbasic!$M:$M,0))</f>
        <v>6.9999999999999999E-4</v>
      </c>
      <c r="BC24" s="257">
        <f>INDEX(OpenLCAbasic!$J:$J, MATCH(CONCATENATE($C$5,"_", 'AD Scenarios'!BC$12,"_","Upgraded_",INDEX(LookUps!$E$5:$E$12,MATCH('AD Scenarios'!BC$11, LookUps!$C$5:$C$12,0)),"_", 'AD Scenarios'!$D24,"_", $C$7, "_", $C$6), OpenLCAbasic!$M:$M,0))</f>
        <v>6.9999999999999999E-4</v>
      </c>
      <c r="BD24" s="258"/>
      <c r="BE24" s="257">
        <f>INDEX(OpenLCAbasic!$J:$J, MATCH(CONCATENATE($C$5,"_", 'AD Scenarios'!BE$12,"_","Upgraded_",INDEX(LookUps!$E$5:$E$12,MATCH('AD Scenarios'!BE$11, LookUps!$C$5:$C$12,0)),"_", 'AD Scenarios'!$D24,"_", $C$7, "_", $C$6), OpenLCAbasic!$M:$M,0))</f>
        <v>3.0408100000000001E-5</v>
      </c>
      <c r="BF24" s="257">
        <f>INDEX(OpenLCAbasic!$J:$J, MATCH(CONCATENATE($C$5,"_", 'AD Scenarios'!BF$12,"_","Upgraded_",INDEX(LookUps!$E$5:$E$12,MATCH('AD Scenarios'!BF$11, LookUps!$C$5:$C$12,0)),"_", 'AD Scenarios'!$D24,"_", $C$7, "_", $C$6), OpenLCAbasic!$M:$M,0))</f>
        <v>3.0408100000000001E-5</v>
      </c>
      <c r="BG24" s="257">
        <f>INDEX(OpenLCAbasic!$J:$J, MATCH(CONCATENATE($C$5,"_", 'AD Scenarios'!BG$12,"_","Upgraded_",INDEX(LookUps!$E$5:$E$12,MATCH('AD Scenarios'!BG$11, LookUps!$C$5:$C$12,0)),"_", 'AD Scenarios'!$D24,"_", $C$7, "_", $C$6), OpenLCAbasic!$M:$M,0))</f>
        <v>3.0408100000000001E-5</v>
      </c>
      <c r="BH24" s="257">
        <f>INDEX(OpenLCAbasic!$J:$J, MATCH(CONCATENATE($C$5,"_", 'AD Scenarios'!BH$12,"_","Upgraded_",INDEX(LookUps!$E$5:$E$12,MATCH('AD Scenarios'!BH$11, LookUps!$C$5:$C$12,0)),"_", 'AD Scenarios'!$D24,"_", $C$7, "_", $C$6), OpenLCAbasic!$M:$M,0))</f>
        <v>3.0408100000000001E-5</v>
      </c>
      <c r="BI24" s="257">
        <f>INDEX(OpenLCAbasic!$J:$J, MATCH(CONCATENATE($C$5,"_", 'AD Scenarios'!BI$12,"_","Upgraded_",INDEX(LookUps!$E$5:$E$12,MATCH('AD Scenarios'!BI$11, LookUps!$C$5:$C$12,0)),"_", 'AD Scenarios'!$D24,"_", $C$7, "_", $C$6), OpenLCAbasic!$M:$M,0))</f>
        <v>3.0408100000000001E-5</v>
      </c>
      <c r="BJ24" s="257">
        <f>INDEX(OpenLCAbasic!$J:$J, MATCH(CONCATENATE($C$5,"_", 'AD Scenarios'!BJ$12,"_","Upgraded_",INDEX(LookUps!$E$5:$E$12,MATCH('AD Scenarios'!BJ$11, LookUps!$C$5:$C$12,0)),"_", 'AD Scenarios'!$D24,"_", $C$7, "_", $C$6), OpenLCAbasic!$M:$M,0))</f>
        <v>3.0408100000000001E-5</v>
      </c>
      <c r="BK24" s="257">
        <f>INDEX(OpenLCAbasic!$J:$J, MATCH(CONCATENATE($C$5,"_", 'AD Scenarios'!BK$12,"_","Upgraded_",INDEX(LookUps!$E$5:$E$12,MATCH('AD Scenarios'!BK$11, LookUps!$C$5:$C$12,0)),"_", 'AD Scenarios'!$D24,"_", $C$7, "_", $C$6), OpenLCAbasic!$M:$M,0))</f>
        <v>3.0408100000000001E-5</v>
      </c>
      <c r="BL24" s="257">
        <f>INDEX(OpenLCAbasic!$J:$J, MATCH(CONCATENATE($C$5,"_", 'AD Scenarios'!BL$12,"_","Upgraded_",INDEX(LookUps!$E$5:$E$12,MATCH('AD Scenarios'!BL$11, LookUps!$C$5:$C$12,0)),"_", 'AD Scenarios'!$D24,"_", $C$7, "_", $C$6), OpenLCAbasic!$M:$M,0))</f>
        <v>3.0408100000000001E-5</v>
      </c>
      <c r="BM24" s="257">
        <f>INDEX(OpenLCAbasic!$J:$J, MATCH(CONCATENATE($C$5,"_", 'AD Scenarios'!BM$12,"_","Upgraded_",INDEX(LookUps!$E$5:$E$12,MATCH('AD Scenarios'!BM$11, LookUps!$C$5:$C$12,0)),"_", 'AD Scenarios'!$D24,"_", $C$7, "_", $C$6), OpenLCAbasic!$M:$M,0))</f>
        <v>3.0408100000000001E-5</v>
      </c>
      <c r="BN24" s="258"/>
      <c r="BO24" s="257">
        <f>INDEX(OpenLCAbasic!$J:$J, MATCH(CONCATENATE($C$5,"_", 'AD Scenarios'!BO$12,"_","Upgraded_",INDEX(LookUps!$E$5:$E$12,MATCH('AD Scenarios'!BO$11, LookUps!$C$5:$C$12,0)),"_", 'AD Scenarios'!$D24,"_", $C$7, "_", $C$6), OpenLCAbasic!$M:$M,0))</f>
        <v>6.9199999999999999E-3</v>
      </c>
      <c r="BP24" s="257">
        <f>INDEX(OpenLCAbasic!$J:$J, MATCH(CONCATENATE($C$5,"_", 'AD Scenarios'!BP$12,"_","Upgraded_",INDEX(LookUps!$E$5:$E$12,MATCH('AD Scenarios'!BP$11, LookUps!$C$5:$C$12,0)),"_", 'AD Scenarios'!$D24,"_", $C$7, "_", $C$6), OpenLCAbasic!$M:$M,0))</f>
        <v>6.9199999999999999E-3</v>
      </c>
      <c r="BQ24" s="257">
        <f>INDEX(OpenLCAbasic!$J:$J, MATCH(CONCATENATE($C$5,"_", 'AD Scenarios'!BQ$12,"_","Upgraded_",INDEX(LookUps!$E$5:$E$12,MATCH('AD Scenarios'!BQ$11, LookUps!$C$5:$C$12,0)),"_", 'AD Scenarios'!$D24,"_", $C$7, "_", $C$6), OpenLCAbasic!$M:$M,0))</f>
        <v>6.9199999999999999E-3</v>
      </c>
      <c r="BR24" s="257">
        <f>INDEX(OpenLCAbasic!$J:$J, MATCH(CONCATENATE($C$5,"_", 'AD Scenarios'!BR$12,"_","Upgraded_",INDEX(LookUps!$E$5:$E$12,MATCH('AD Scenarios'!BR$11, LookUps!$C$5:$C$12,0)),"_", 'AD Scenarios'!$D24,"_", $C$7, "_", $C$6), OpenLCAbasic!$M:$M,0))</f>
        <v>6.9199999999999999E-3</v>
      </c>
      <c r="BS24" s="257">
        <f>INDEX(OpenLCAbasic!$J:$J, MATCH(CONCATENATE($C$5,"_", 'AD Scenarios'!BS$12,"_","Upgraded_",INDEX(LookUps!$E$5:$E$12,MATCH('AD Scenarios'!BS$11, LookUps!$C$5:$C$12,0)),"_", 'AD Scenarios'!$D24,"_", $C$7, "_", $C$6), OpenLCAbasic!$M:$M,0))</f>
        <v>6.9199999999999999E-3</v>
      </c>
      <c r="BT24" s="257">
        <f>INDEX(OpenLCAbasic!$J:$J, MATCH(CONCATENATE($C$5,"_", 'AD Scenarios'!BT$12,"_","Upgraded_",INDEX(LookUps!$E$5:$E$12,MATCH('AD Scenarios'!BT$11, LookUps!$C$5:$C$12,0)),"_", 'AD Scenarios'!$D24,"_", $C$7, "_", $C$6), OpenLCAbasic!$M:$M,0))</f>
        <v>6.9199999999999999E-3</v>
      </c>
      <c r="BU24" s="257">
        <f>INDEX(OpenLCAbasic!$J:$J, MATCH(CONCATENATE($C$5,"_", 'AD Scenarios'!BU$12,"_","Upgraded_",INDEX(LookUps!$E$5:$E$12,MATCH('AD Scenarios'!BU$11, LookUps!$C$5:$C$12,0)),"_", 'AD Scenarios'!$D24,"_", $C$7, "_", $C$6), OpenLCAbasic!$M:$M,0))</f>
        <v>6.9199999999999999E-3</v>
      </c>
      <c r="BV24" s="257">
        <f>INDEX(OpenLCAbasic!$J:$J, MATCH(CONCATENATE($C$5,"_", 'AD Scenarios'!BV$12,"_","Upgraded_",INDEX(LookUps!$E$5:$E$12,MATCH('AD Scenarios'!BV$11, LookUps!$C$5:$C$12,0)),"_", 'AD Scenarios'!$D24,"_", $C$7, "_", $C$6), OpenLCAbasic!$M:$M,0))</f>
        <v>6.9199999999999999E-3</v>
      </c>
      <c r="BW24" s="257">
        <f>INDEX(OpenLCAbasic!$J:$J, MATCH(CONCATENATE($C$5,"_", 'AD Scenarios'!BW$12,"_","Upgraded_",INDEX(LookUps!$E$5:$E$12,MATCH('AD Scenarios'!BW$11, LookUps!$C$5:$C$12,0)),"_", 'AD Scenarios'!$D24,"_", $C$7, "_", $C$6), OpenLCAbasic!$M:$M,0))</f>
        <v>6.9199999999999999E-3</v>
      </c>
      <c r="BX24" s="258"/>
      <c r="BY24" s="256">
        <f>INDEX(OpenLCAbasic!$J:$J, MATCH(CONCATENATE($C$5,"_", 'AD Scenarios'!BY$12,"_","Upgraded_",INDEX(LookUps!$E$5:$E$12,MATCH('AD Scenarios'!BY$11, LookUps!$C$5:$C$12,0)),"_", 'AD Scenarios'!$D24,"_", $C$7, "_", $C$6), OpenLCAbasic!$M:$M,0))</f>
        <v>0.33404</v>
      </c>
      <c r="BZ24" s="256">
        <f>INDEX(OpenLCAbasic!$J:$J, MATCH(CONCATENATE($C$5,"_", 'AD Scenarios'!BZ$12,"_","Upgraded_",INDEX(LookUps!$E$5:$E$12,MATCH('AD Scenarios'!BZ$11, LookUps!$C$5:$C$12,0)),"_", 'AD Scenarios'!$D24,"_", $C$7, "_", $C$6), OpenLCAbasic!$M:$M,0))</f>
        <v>0.33404</v>
      </c>
      <c r="CA24" s="256">
        <f>INDEX(OpenLCAbasic!$J:$J, MATCH(CONCATENATE($C$5,"_", 'AD Scenarios'!CA$12,"_","Upgraded_",INDEX(LookUps!$E$5:$E$12,MATCH('AD Scenarios'!CA$11, LookUps!$C$5:$C$12,0)),"_", 'AD Scenarios'!$D24,"_", $C$7, "_", $C$6), OpenLCAbasic!$M:$M,0))</f>
        <v>0.33404</v>
      </c>
      <c r="CB24" s="256">
        <f>INDEX(OpenLCAbasic!$J:$J, MATCH(CONCATENATE($C$5,"_", 'AD Scenarios'!CB$12,"_","Upgraded_",INDEX(LookUps!$E$5:$E$12,MATCH('AD Scenarios'!CB$11, LookUps!$C$5:$C$12,0)),"_", 'AD Scenarios'!$D24,"_", $C$7, "_", $C$6), OpenLCAbasic!$M:$M,0))</f>
        <v>0.33404</v>
      </c>
      <c r="CC24" s="256">
        <f>INDEX(OpenLCAbasic!$J:$J, MATCH(CONCATENATE($C$5,"_", 'AD Scenarios'!CC$12,"_","Upgraded_",INDEX(LookUps!$E$5:$E$12,MATCH('AD Scenarios'!CC$11, LookUps!$C$5:$C$12,0)),"_", 'AD Scenarios'!$D24,"_", $C$7, "_", $C$6), OpenLCAbasic!$M:$M,0))</f>
        <v>0.33404</v>
      </c>
      <c r="CD24" s="256">
        <f>INDEX(OpenLCAbasic!$J:$J, MATCH(CONCATENATE($C$5,"_", 'AD Scenarios'!CD$12,"_","Upgraded_",INDEX(LookUps!$E$5:$E$12,MATCH('AD Scenarios'!CD$11, LookUps!$C$5:$C$12,0)),"_", 'AD Scenarios'!$D24,"_", $C$7, "_", $C$6), OpenLCAbasic!$M:$M,0))</f>
        <v>0.33404</v>
      </c>
      <c r="CE24" s="256">
        <f>INDEX(OpenLCAbasic!$J:$J, MATCH(CONCATENATE($C$5,"_", 'AD Scenarios'!CE$12,"_","Upgraded_",INDEX(LookUps!$E$5:$E$12,MATCH('AD Scenarios'!CE$11, LookUps!$C$5:$C$12,0)),"_", 'AD Scenarios'!$D24,"_", $C$7, "_", $C$6), OpenLCAbasic!$M:$M,0))</f>
        <v>0.33404</v>
      </c>
      <c r="CF24" s="256">
        <f>INDEX(OpenLCAbasic!$J:$J, MATCH(CONCATENATE($C$5,"_", 'AD Scenarios'!CF$12,"_","Upgraded_",INDEX(LookUps!$E$5:$E$12,MATCH('AD Scenarios'!CF$11, LookUps!$C$5:$C$12,0)),"_", 'AD Scenarios'!$D24,"_", $C$7, "_", $C$6), OpenLCAbasic!$M:$M,0))</f>
        <v>0.33404</v>
      </c>
      <c r="CG24" s="256">
        <f>INDEX(OpenLCAbasic!$J:$J, MATCH(CONCATENATE($C$5,"_", 'AD Scenarios'!CG$12,"_","Upgraded_",INDEX(LookUps!$E$5:$E$12,MATCH('AD Scenarios'!CG$11, LookUps!$C$5:$C$12,0)),"_", 'AD Scenarios'!$D24,"_", $C$7, "_", $C$6), OpenLCAbasic!$M:$M,0))</f>
        <v>0.33404</v>
      </c>
    </row>
    <row r="25" spans="2:85" x14ac:dyDescent="0.25">
      <c r="B25" s="363"/>
      <c r="C25" s="81" t="str">
        <f>LookUps!$H$11</f>
        <v>Sludge Thickener; wastewater treatment unit - US</v>
      </c>
      <c r="D25" s="116"/>
      <c r="E25" s="104" t="str">
        <f>LookUps!H11</f>
        <v>Sludge Thickener; wastewater treatment unit - US</v>
      </c>
      <c r="F25" s="257">
        <f>INDEX(OpenLCAbasic!$J:$J, MATCH(CONCATENATE("Base","_", 'AD Scenarios'!F$12,"_","Legacy_",INDEX(LookUps!$E$5:$E$12,MATCH('AD Scenarios'!F$11, LookUps!$C$5:$C$12,0)),"_", 'AD Scenarios'!$E25,"_", $C$8,"_","n.a." ), OpenLCAbasic!$M:$M,0))</f>
        <v>9.3999999999999997E-4</v>
      </c>
      <c r="G25" s="258"/>
      <c r="H25" s="258"/>
      <c r="I25" s="258"/>
      <c r="J25" s="258"/>
      <c r="K25" s="258"/>
      <c r="L25" s="258"/>
      <c r="M25" s="258"/>
      <c r="N25" s="258"/>
      <c r="O25" s="258"/>
      <c r="P25" s="257">
        <f>INDEX(OpenLCAbasic!$J:$J, MATCH(CONCATENATE("Base","_", 'AD Scenarios'!P$12,"_","Legacy_",INDEX(LookUps!$E$5:$E$12,MATCH('AD Scenarios'!P$11, LookUps!$C$5:$C$12,0)),"_", 'AD Scenarios'!$E25,"_", $C$8,"_","n.a." ), OpenLCAbasic!$M:$M,0))</f>
        <v>3.0418400000000001E-6</v>
      </c>
      <c r="Q25" s="258"/>
      <c r="R25" s="258"/>
      <c r="S25" s="258"/>
      <c r="T25" s="258"/>
      <c r="U25" s="258"/>
      <c r="V25" s="258"/>
      <c r="W25" s="258"/>
      <c r="X25" s="258"/>
      <c r="Y25" s="258"/>
      <c r="Z25" s="257">
        <f>INDEX(OpenLCAbasic!$J:$J, MATCH(CONCATENATE("Base","_", 'AD Scenarios'!Z$12,"_","Legacy_",INDEX(LookUps!$E$5:$E$12,MATCH('AD Scenarios'!Z$11, LookUps!$C$5:$C$12,0)),"_", 'AD Scenarios'!$E25,"_", $C$8,"_","n.a." ), OpenLCAbasic!$M:$M,0))</f>
        <v>1.12426E-5</v>
      </c>
      <c r="AA25" s="258"/>
      <c r="AB25" s="258"/>
      <c r="AC25" s="258"/>
      <c r="AD25" s="258"/>
      <c r="AE25" s="258"/>
      <c r="AF25" s="258"/>
      <c r="AG25" s="258"/>
      <c r="AH25" s="258"/>
      <c r="AI25" s="258"/>
      <c r="AJ25" s="257">
        <f>INDEX(OpenLCAbasic!$J:$J, MATCH(CONCATENATE("Base","_", 'AD Scenarios'!AJ$12,"_","Legacy_",INDEX(LookUps!$E$5:$E$12,MATCH('AD Scenarios'!AJ$11, LookUps!$C$5:$C$12,0)),"_", 'AD Scenarios'!$E25,"_", $C$8,"_","n.a." ), OpenLCAbasic!$M:$M,0))</f>
        <v>8.0000000000000004E-4</v>
      </c>
      <c r="AK25" s="258"/>
      <c r="AL25" s="258"/>
      <c r="AM25" s="258"/>
      <c r="AN25" s="258"/>
      <c r="AO25" s="258"/>
      <c r="AP25" s="258"/>
      <c r="AQ25" s="258"/>
      <c r="AR25" s="258"/>
      <c r="AS25" s="258"/>
      <c r="AT25" s="257">
        <f>INDEX(OpenLCAbasic!$J:$J, MATCH(CONCATENATE("Base","_", 'AD Scenarios'!AT$12,"_","Legacy_",INDEX(LookUps!$E$5:$E$12,MATCH('AD Scenarios'!AT$11, LookUps!$C$5:$C$12,0)),"_", 'AD Scenarios'!$E25,"_", $C$8,"_","n.a." ), OpenLCAbasic!$M:$M,0))</f>
        <v>8.2876900000000006E-5</v>
      </c>
      <c r="AU25" s="258"/>
      <c r="AV25" s="258"/>
      <c r="AW25" s="258"/>
      <c r="AX25" s="258"/>
      <c r="AY25" s="258"/>
      <c r="AZ25" s="258"/>
      <c r="BA25" s="258"/>
      <c r="BB25" s="258"/>
      <c r="BC25" s="258"/>
      <c r="BD25" s="257">
        <f>INDEX(OpenLCAbasic!$J:$J, MATCH(CONCATENATE("Base","_", 'AD Scenarios'!BD$12,"_","Legacy_",INDEX(LookUps!$E$5:$E$12,MATCH('AD Scenarios'!BD$11, LookUps!$C$5:$C$12,0)),"_", 'AD Scenarios'!$E25,"_", $C$8,"_","n.a." ), OpenLCAbasic!$M:$M,0))</f>
        <v>5.7153500000000003E-6</v>
      </c>
      <c r="BE25" s="258"/>
      <c r="BF25" s="258"/>
      <c r="BG25" s="258"/>
      <c r="BH25" s="258"/>
      <c r="BI25" s="258"/>
      <c r="BJ25" s="258"/>
      <c r="BK25" s="258"/>
      <c r="BL25" s="258"/>
      <c r="BM25" s="258"/>
      <c r="BN25" s="257">
        <f>INDEX(OpenLCAbasic!$J:$J, MATCH(CONCATENATE("Base","_", 'AD Scenarios'!BN$12,"_","Legacy_",INDEX(LookUps!$E$5:$E$12,MATCH('AD Scenarios'!BN$11, LookUps!$C$5:$C$12,0)),"_", 'AD Scenarios'!$E25,"_", $C$8,"_","n.a." ), OpenLCAbasic!$M:$M,0))</f>
        <v>3.6999999999999999E-4</v>
      </c>
      <c r="BO25" s="258"/>
      <c r="BP25" s="258"/>
      <c r="BQ25" s="258"/>
      <c r="BR25" s="258"/>
      <c r="BS25" s="258"/>
      <c r="BT25" s="258"/>
      <c r="BU25" s="258"/>
      <c r="BV25" s="258"/>
      <c r="BW25" s="258"/>
      <c r="BX25" s="256">
        <f>INDEX(OpenLCAbasic!$J:$J, MATCH(CONCATENATE("Base","_", 'AD Scenarios'!BX$12,"_","Legacy_",INDEX(LookUps!$E$5:$E$12,MATCH('AD Scenarios'!BX$11, LookUps!$C$5:$C$12,0)),"_", 'AD Scenarios'!$E25,"_", $C$8,"_","n.a." ), OpenLCAbasic!$M:$M,0))</f>
        <v>1.9869999999999999E-2</v>
      </c>
      <c r="BY25" s="258"/>
      <c r="BZ25" s="258"/>
      <c r="CA25" s="258"/>
      <c r="CB25" s="258"/>
      <c r="CC25" s="258"/>
      <c r="CD25" s="258"/>
      <c r="CE25" s="258"/>
      <c r="CF25" s="258"/>
      <c r="CG25" s="258"/>
    </row>
    <row r="26" spans="2:85" x14ac:dyDescent="0.25">
      <c r="B26" s="363"/>
      <c r="C26" s="81" t="str">
        <f>LookUps!$G$14</f>
        <v>Blend Tank; wastewater treatment unit; at updated plant - US</v>
      </c>
      <c r="D26" s="115" t="str">
        <f>LookUps!G14</f>
        <v>Blend Tank; wastewater treatment unit; at updated plant - US</v>
      </c>
      <c r="E26" s="107"/>
      <c r="F26" s="258"/>
      <c r="G26" s="257">
        <f>INDEX(OpenLCAbasic!$J:$J, MATCH(CONCATENATE($C$5,"_", 'AD Scenarios'!G$12,"_","Upgraded_",INDEX(LookUps!$E$5:$E$12,MATCH('AD Scenarios'!G$11, LookUps!$C$5:$C$12,0)),"_", 'AD Scenarios'!$D26,"_", $C$7, "_", $C$6), OpenLCAbasic!$M:$M,0))</f>
        <v>5.0400000000000002E-3</v>
      </c>
      <c r="H26" s="257">
        <f>INDEX(OpenLCAbasic!$J:$J, MATCH(CONCATENATE($C$5,"_", 'AD Scenarios'!H$12,"_","Upgraded_",INDEX(LookUps!$E$5:$E$12,MATCH('AD Scenarios'!H$11, LookUps!$C$5:$C$12,0)),"_", 'AD Scenarios'!$D26,"_", $C$7, "_", $C$6), OpenLCAbasic!$M:$M,0))</f>
        <v>5.0400000000000002E-3</v>
      </c>
      <c r="I26" s="257">
        <f>INDEX(OpenLCAbasic!$J:$J, MATCH(CONCATENATE($C$5,"_", 'AD Scenarios'!I$12,"_","Upgraded_",INDEX(LookUps!$E$5:$E$12,MATCH('AD Scenarios'!I$11, LookUps!$C$5:$C$12,0)),"_", 'AD Scenarios'!$D26,"_", $C$7, "_", $C$6), OpenLCAbasic!$M:$M,0))</f>
        <v>5.0400000000000002E-3</v>
      </c>
      <c r="J26" s="257">
        <f>INDEX(OpenLCAbasic!$J:$J, MATCH(CONCATENATE($C$5,"_", 'AD Scenarios'!J$12,"_","Upgraded_",INDEX(LookUps!$E$5:$E$12,MATCH('AD Scenarios'!J$11, LookUps!$C$5:$C$12,0)),"_", 'AD Scenarios'!$D26,"_", $C$7, "_", $C$6), OpenLCAbasic!$M:$M,0))</f>
        <v>5.0400000000000002E-3</v>
      </c>
      <c r="K26" s="257">
        <f>INDEX(OpenLCAbasic!$J:$J, MATCH(CONCATENATE($C$5,"_", 'AD Scenarios'!K$12,"_","Upgraded_",INDEX(LookUps!$E$5:$E$12,MATCH('AD Scenarios'!K$11, LookUps!$C$5:$C$12,0)),"_", 'AD Scenarios'!$D26,"_", $C$7, "_", $C$6), OpenLCAbasic!$M:$M,0))</f>
        <v>5.0400000000000002E-3</v>
      </c>
      <c r="L26" s="257">
        <f>INDEX(OpenLCAbasic!$J:$J, MATCH(CONCATENATE($C$5,"_", 'AD Scenarios'!L$12,"_","Upgraded_",INDEX(LookUps!$E$5:$E$12,MATCH('AD Scenarios'!L$11, LookUps!$C$5:$C$12,0)),"_", 'AD Scenarios'!$D26,"_", $C$7, "_", $C$6), OpenLCAbasic!$M:$M,0))</f>
        <v>5.0400000000000002E-3</v>
      </c>
      <c r="M26" s="257">
        <f>INDEX(OpenLCAbasic!$J:$J, MATCH(CONCATENATE($C$5,"_", 'AD Scenarios'!M$12,"_","Upgraded_",INDEX(LookUps!$E$5:$E$12,MATCH('AD Scenarios'!M$11, LookUps!$C$5:$C$12,0)),"_", 'AD Scenarios'!$D26,"_", $C$7, "_", $C$6), OpenLCAbasic!$M:$M,0))</f>
        <v>5.0400000000000002E-3</v>
      </c>
      <c r="N26" s="257">
        <f>INDEX(OpenLCAbasic!$J:$J, MATCH(CONCATENATE($C$5,"_", 'AD Scenarios'!N$12,"_","Upgraded_",INDEX(LookUps!$E$5:$E$12,MATCH('AD Scenarios'!N$11, LookUps!$C$5:$C$12,0)),"_", 'AD Scenarios'!$D26,"_", $C$7, "_", $C$6), OpenLCAbasic!$M:$M,0))</f>
        <v>5.0400000000000002E-3</v>
      </c>
      <c r="O26" s="257">
        <f>INDEX(OpenLCAbasic!$J:$J, MATCH(CONCATENATE($C$5,"_", 'AD Scenarios'!O$12,"_","Upgraded_",INDEX(LookUps!$E$5:$E$12,MATCH('AD Scenarios'!O$11, LookUps!$C$5:$C$12,0)),"_", 'AD Scenarios'!$D26,"_", $C$7, "_", $C$6), OpenLCAbasic!$M:$M,0))</f>
        <v>5.0400000000000002E-3</v>
      </c>
      <c r="P26" s="258"/>
      <c r="Q26" s="257">
        <f>INDEX(OpenLCAbasic!$J:$J, MATCH(CONCATENATE($C$5,"_", 'AD Scenarios'!Q$12,"_","Upgraded_",INDEX(LookUps!$E$5:$E$12,MATCH('AD Scenarios'!Q$11, LookUps!$C$5:$C$12,0)),"_", 'AD Scenarios'!$D26,"_", $C$7, "_", $C$6), OpenLCAbasic!$M:$M,0))</f>
        <v>1.6215700000000001E-5</v>
      </c>
      <c r="R26" s="257">
        <f>INDEX(OpenLCAbasic!$J:$J, MATCH(CONCATENATE($C$5,"_", 'AD Scenarios'!R$12,"_","Upgraded_",INDEX(LookUps!$E$5:$E$12,MATCH('AD Scenarios'!R$11, LookUps!$C$5:$C$12,0)),"_", 'AD Scenarios'!$D26,"_", $C$7, "_", $C$6), OpenLCAbasic!$M:$M,0))</f>
        <v>1.6215700000000001E-5</v>
      </c>
      <c r="S26" s="257">
        <f>INDEX(OpenLCAbasic!$J:$J, MATCH(CONCATENATE($C$5,"_", 'AD Scenarios'!S$12,"_","Upgraded_",INDEX(LookUps!$E$5:$E$12,MATCH('AD Scenarios'!S$11, LookUps!$C$5:$C$12,0)),"_", 'AD Scenarios'!$D26,"_", $C$7, "_", $C$6), OpenLCAbasic!$M:$M,0))</f>
        <v>1.6215700000000001E-5</v>
      </c>
      <c r="T26" s="257">
        <f>INDEX(OpenLCAbasic!$J:$J, MATCH(CONCATENATE($C$5,"_", 'AD Scenarios'!T$12,"_","Upgraded_",INDEX(LookUps!$E$5:$E$12,MATCH('AD Scenarios'!T$11, LookUps!$C$5:$C$12,0)),"_", 'AD Scenarios'!$D26,"_", $C$7, "_", $C$6), OpenLCAbasic!$M:$M,0))</f>
        <v>1.6215700000000001E-5</v>
      </c>
      <c r="U26" s="257">
        <f>INDEX(OpenLCAbasic!$J:$J, MATCH(CONCATENATE($C$5,"_", 'AD Scenarios'!U$12,"_","Upgraded_",INDEX(LookUps!$E$5:$E$12,MATCH('AD Scenarios'!U$11, LookUps!$C$5:$C$12,0)),"_", 'AD Scenarios'!$D26,"_", $C$7, "_", $C$6), OpenLCAbasic!$M:$M,0))</f>
        <v>1.6215700000000001E-5</v>
      </c>
      <c r="V26" s="257">
        <f>INDEX(OpenLCAbasic!$J:$J, MATCH(CONCATENATE($C$5,"_", 'AD Scenarios'!V$12,"_","Upgraded_",INDEX(LookUps!$E$5:$E$12,MATCH('AD Scenarios'!V$11, LookUps!$C$5:$C$12,0)),"_", 'AD Scenarios'!$D26,"_", $C$7, "_", $C$6), OpenLCAbasic!$M:$M,0))</f>
        <v>1.6215700000000001E-5</v>
      </c>
      <c r="W26" s="257">
        <f>INDEX(OpenLCAbasic!$J:$J, MATCH(CONCATENATE($C$5,"_", 'AD Scenarios'!W$12,"_","Upgraded_",INDEX(LookUps!$E$5:$E$12,MATCH('AD Scenarios'!W$11, LookUps!$C$5:$C$12,0)),"_", 'AD Scenarios'!$D26,"_", $C$7, "_", $C$6), OpenLCAbasic!$M:$M,0))</f>
        <v>1.6215700000000001E-5</v>
      </c>
      <c r="X26" s="257">
        <f>INDEX(OpenLCAbasic!$J:$J, MATCH(CONCATENATE($C$5,"_", 'AD Scenarios'!X$12,"_","Upgraded_",INDEX(LookUps!$E$5:$E$12,MATCH('AD Scenarios'!X$11, LookUps!$C$5:$C$12,0)),"_", 'AD Scenarios'!$D26,"_", $C$7, "_", $C$6), OpenLCAbasic!$M:$M,0))</f>
        <v>1.6215700000000001E-5</v>
      </c>
      <c r="Y26" s="257">
        <f>INDEX(OpenLCAbasic!$J:$J, MATCH(CONCATENATE($C$5,"_", 'AD Scenarios'!Y$12,"_","Upgraded_",INDEX(LookUps!$E$5:$E$12,MATCH('AD Scenarios'!Y$11, LookUps!$C$5:$C$12,0)),"_", 'AD Scenarios'!$D26,"_", $C$7, "_", $C$6), OpenLCAbasic!$M:$M,0))</f>
        <v>1.6215700000000001E-5</v>
      </c>
      <c r="Z26" s="258"/>
      <c r="AA26" s="257">
        <f>INDEX(OpenLCAbasic!$J:$J, MATCH(CONCATENATE($C$5,"_", 'AD Scenarios'!AA$12,"_","Upgraded_",INDEX(LookUps!$E$5:$E$12,MATCH('AD Scenarios'!AA$11, LookUps!$C$5:$C$12,0)),"_", 'AD Scenarios'!$D26,"_", $C$7, "_", $C$6), OpenLCAbasic!$M:$M,0))</f>
        <v>6.9942200000000003E-5</v>
      </c>
      <c r="AB26" s="257">
        <f>INDEX(OpenLCAbasic!$J:$J, MATCH(CONCATENATE($C$5,"_", 'AD Scenarios'!AB$12,"_","Upgraded_",INDEX(LookUps!$E$5:$E$12,MATCH('AD Scenarios'!AB$11, LookUps!$C$5:$C$12,0)),"_", 'AD Scenarios'!$D26,"_", $C$7, "_", $C$6), OpenLCAbasic!$M:$M,0))</f>
        <v>6.9942200000000003E-5</v>
      </c>
      <c r="AC26" s="257">
        <f>INDEX(OpenLCAbasic!$J:$J, MATCH(CONCATENATE($C$5,"_", 'AD Scenarios'!AC$12,"_","Upgraded_",INDEX(LookUps!$E$5:$E$12,MATCH('AD Scenarios'!AC$11, LookUps!$C$5:$C$12,0)),"_", 'AD Scenarios'!$D26,"_", $C$7, "_", $C$6), OpenLCAbasic!$M:$M,0))</f>
        <v>6.9942200000000003E-5</v>
      </c>
      <c r="AD26" s="257">
        <f>INDEX(OpenLCAbasic!$J:$J, MATCH(CONCATENATE($C$5,"_", 'AD Scenarios'!AD$12,"_","Upgraded_",INDEX(LookUps!$E$5:$E$12,MATCH('AD Scenarios'!AD$11, LookUps!$C$5:$C$12,0)),"_", 'AD Scenarios'!$D26,"_", $C$7, "_", $C$6), OpenLCAbasic!$M:$M,0))</f>
        <v>6.9942200000000003E-5</v>
      </c>
      <c r="AE26" s="257">
        <f>INDEX(OpenLCAbasic!$J:$J, MATCH(CONCATENATE($C$5,"_", 'AD Scenarios'!AE$12,"_","Upgraded_",INDEX(LookUps!$E$5:$E$12,MATCH('AD Scenarios'!AE$11, LookUps!$C$5:$C$12,0)),"_", 'AD Scenarios'!$D26,"_", $C$7, "_", $C$6), OpenLCAbasic!$M:$M,0))</f>
        <v>6.9942200000000003E-5</v>
      </c>
      <c r="AF26" s="257">
        <f>INDEX(OpenLCAbasic!$J:$J, MATCH(CONCATENATE($C$5,"_", 'AD Scenarios'!AF$12,"_","Upgraded_",INDEX(LookUps!$E$5:$E$12,MATCH('AD Scenarios'!AF$11, LookUps!$C$5:$C$12,0)),"_", 'AD Scenarios'!$D26,"_", $C$7, "_", $C$6), OpenLCAbasic!$M:$M,0))</f>
        <v>6.9942200000000003E-5</v>
      </c>
      <c r="AG26" s="257">
        <f>INDEX(OpenLCAbasic!$J:$J, MATCH(CONCATENATE($C$5,"_", 'AD Scenarios'!AG$12,"_","Upgraded_",INDEX(LookUps!$E$5:$E$12,MATCH('AD Scenarios'!AG$11, LookUps!$C$5:$C$12,0)),"_", 'AD Scenarios'!$D26,"_", $C$7, "_", $C$6), OpenLCAbasic!$M:$M,0))</f>
        <v>6.9942200000000003E-5</v>
      </c>
      <c r="AH26" s="257">
        <f>INDEX(OpenLCAbasic!$J:$J, MATCH(CONCATENATE($C$5,"_", 'AD Scenarios'!AH$12,"_","Upgraded_",INDEX(LookUps!$E$5:$E$12,MATCH('AD Scenarios'!AH$11, LookUps!$C$5:$C$12,0)),"_", 'AD Scenarios'!$D26,"_", $C$7, "_", $C$6), OpenLCAbasic!$M:$M,0))</f>
        <v>6.9942200000000003E-5</v>
      </c>
      <c r="AI26" s="257">
        <f>INDEX(OpenLCAbasic!$J:$J, MATCH(CONCATENATE($C$5,"_", 'AD Scenarios'!AI$12,"_","Upgraded_",INDEX(LookUps!$E$5:$E$12,MATCH('AD Scenarios'!AI$11, LookUps!$C$5:$C$12,0)),"_", 'AD Scenarios'!$D26,"_", $C$7, "_", $C$6), OpenLCAbasic!$M:$M,0))</f>
        <v>6.9942200000000003E-5</v>
      </c>
      <c r="AJ26" s="258"/>
      <c r="AK26" s="257">
        <f>INDEX(OpenLCAbasic!$J:$J, MATCH(CONCATENATE($C$5,"_", 'AD Scenarios'!AK$12,"_","Upgraded_",INDEX(LookUps!$E$5:$E$12,MATCH('AD Scenarios'!AK$11, LookUps!$C$5:$C$12,0)),"_", 'AD Scenarios'!$D26,"_", $C$7, "_", $C$6), OpenLCAbasic!$M:$M,0))</f>
        <v>4.9699999999999996E-3</v>
      </c>
      <c r="AL26" s="257">
        <f>INDEX(OpenLCAbasic!$J:$J, MATCH(CONCATENATE($C$5,"_", 'AD Scenarios'!AL$12,"_","Upgraded_",INDEX(LookUps!$E$5:$E$12,MATCH('AD Scenarios'!AL$11, LookUps!$C$5:$C$12,0)),"_", 'AD Scenarios'!$D26,"_", $C$7, "_", $C$6), OpenLCAbasic!$M:$M,0))</f>
        <v>4.9699999999999996E-3</v>
      </c>
      <c r="AM26" s="257">
        <f>INDEX(OpenLCAbasic!$J:$J, MATCH(CONCATENATE($C$5,"_", 'AD Scenarios'!AM$12,"_","Upgraded_",INDEX(LookUps!$E$5:$E$12,MATCH('AD Scenarios'!AM$11, LookUps!$C$5:$C$12,0)),"_", 'AD Scenarios'!$D26,"_", $C$7, "_", $C$6), OpenLCAbasic!$M:$M,0))</f>
        <v>4.9699999999999996E-3</v>
      </c>
      <c r="AN26" s="257">
        <f>INDEX(OpenLCAbasic!$J:$J, MATCH(CONCATENATE($C$5,"_", 'AD Scenarios'!AN$12,"_","Upgraded_",INDEX(LookUps!$E$5:$E$12,MATCH('AD Scenarios'!AN$11, LookUps!$C$5:$C$12,0)),"_", 'AD Scenarios'!$D26,"_", $C$7, "_", $C$6), OpenLCAbasic!$M:$M,0))</f>
        <v>4.9699999999999996E-3</v>
      </c>
      <c r="AO26" s="257">
        <f>INDEX(OpenLCAbasic!$J:$J, MATCH(CONCATENATE($C$5,"_", 'AD Scenarios'!AO$12,"_","Upgraded_",INDEX(LookUps!$E$5:$E$12,MATCH('AD Scenarios'!AO$11, LookUps!$C$5:$C$12,0)),"_", 'AD Scenarios'!$D26,"_", $C$7, "_", $C$6), OpenLCAbasic!$M:$M,0))</f>
        <v>4.9699999999999996E-3</v>
      </c>
      <c r="AP26" s="257">
        <f>INDEX(OpenLCAbasic!$J:$J, MATCH(CONCATENATE($C$5,"_", 'AD Scenarios'!AP$12,"_","Upgraded_",INDEX(LookUps!$E$5:$E$12,MATCH('AD Scenarios'!AP$11, LookUps!$C$5:$C$12,0)),"_", 'AD Scenarios'!$D26,"_", $C$7, "_", $C$6), OpenLCAbasic!$M:$M,0))</f>
        <v>4.9699999999999996E-3</v>
      </c>
      <c r="AQ26" s="257">
        <f>INDEX(OpenLCAbasic!$J:$J, MATCH(CONCATENATE($C$5,"_", 'AD Scenarios'!AQ$12,"_","Upgraded_",INDEX(LookUps!$E$5:$E$12,MATCH('AD Scenarios'!AQ$11, LookUps!$C$5:$C$12,0)),"_", 'AD Scenarios'!$D26,"_", $C$7, "_", $C$6), OpenLCAbasic!$M:$M,0))</f>
        <v>4.9699999999999996E-3</v>
      </c>
      <c r="AR26" s="257">
        <f>INDEX(OpenLCAbasic!$J:$J, MATCH(CONCATENATE($C$5,"_", 'AD Scenarios'!AR$12,"_","Upgraded_",INDEX(LookUps!$E$5:$E$12,MATCH('AD Scenarios'!AR$11, LookUps!$C$5:$C$12,0)),"_", 'AD Scenarios'!$D26,"_", $C$7, "_", $C$6), OpenLCAbasic!$M:$M,0))</f>
        <v>4.9699999999999996E-3</v>
      </c>
      <c r="AS26" s="257">
        <f>INDEX(OpenLCAbasic!$J:$J, MATCH(CONCATENATE($C$5,"_", 'AD Scenarios'!AS$12,"_","Upgraded_",INDEX(LookUps!$E$5:$E$12,MATCH('AD Scenarios'!AS$11, LookUps!$C$5:$C$12,0)),"_", 'AD Scenarios'!$D26,"_", $C$7, "_", $C$6), OpenLCAbasic!$M:$M,0))</f>
        <v>4.9699999999999996E-3</v>
      </c>
      <c r="AT26" s="258"/>
      <c r="AU26" s="257">
        <f>INDEX(OpenLCAbasic!$J:$J, MATCH(CONCATENATE($C$5,"_", 'AD Scenarios'!AU$12,"_","Upgraded_",INDEX(LookUps!$E$5:$E$12,MATCH('AD Scenarios'!AU$11, LookUps!$C$5:$C$12,0)),"_", 'AD Scenarios'!$D26,"_", $C$7, "_", $C$6), OpenLCAbasic!$M:$M,0))</f>
        <v>5.1999999999999995E-4</v>
      </c>
      <c r="AV26" s="257">
        <f>INDEX(OpenLCAbasic!$J:$J, MATCH(CONCATENATE($C$5,"_", 'AD Scenarios'!AV$12,"_","Upgraded_",INDEX(LookUps!$E$5:$E$12,MATCH('AD Scenarios'!AV$11, LookUps!$C$5:$C$12,0)),"_", 'AD Scenarios'!$D26,"_", $C$7, "_", $C$6), OpenLCAbasic!$M:$M,0))</f>
        <v>5.1999999999999995E-4</v>
      </c>
      <c r="AW26" s="257">
        <f>INDEX(OpenLCAbasic!$J:$J, MATCH(CONCATENATE($C$5,"_", 'AD Scenarios'!AW$12,"_","Upgraded_",INDEX(LookUps!$E$5:$E$12,MATCH('AD Scenarios'!AW$11, LookUps!$C$5:$C$12,0)),"_", 'AD Scenarios'!$D26,"_", $C$7, "_", $C$6), OpenLCAbasic!$M:$M,0))</f>
        <v>5.1999999999999995E-4</v>
      </c>
      <c r="AX26" s="257">
        <f>INDEX(OpenLCAbasic!$J:$J, MATCH(CONCATENATE($C$5,"_", 'AD Scenarios'!AX$12,"_","Upgraded_",INDEX(LookUps!$E$5:$E$12,MATCH('AD Scenarios'!AX$11, LookUps!$C$5:$C$12,0)),"_", 'AD Scenarios'!$D26,"_", $C$7, "_", $C$6), OpenLCAbasic!$M:$M,0))</f>
        <v>5.1999999999999995E-4</v>
      </c>
      <c r="AY26" s="257">
        <f>INDEX(OpenLCAbasic!$J:$J, MATCH(CONCATENATE($C$5,"_", 'AD Scenarios'!AY$12,"_","Upgraded_",INDEX(LookUps!$E$5:$E$12,MATCH('AD Scenarios'!AY$11, LookUps!$C$5:$C$12,0)),"_", 'AD Scenarios'!$D26,"_", $C$7, "_", $C$6), OpenLCAbasic!$M:$M,0))</f>
        <v>5.1999999999999995E-4</v>
      </c>
      <c r="AZ26" s="257">
        <f>INDEX(OpenLCAbasic!$J:$J, MATCH(CONCATENATE($C$5,"_", 'AD Scenarios'!AZ$12,"_","Upgraded_",INDEX(LookUps!$E$5:$E$12,MATCH('AD Scenarios'!AZ$11, LookUps!$C$5:$C$12,0)),"_", 'AD Scenarios'!$D26,"_", $C$7, "_", $C$6), OpenLCAbasic!$M:$M,0))</f>
        <v>5.1999999999999995E-4</v>
      </c>
      <c r="BA26" s="257">
        <f>INDEX(OpenLCAbasic!$J:$J, MATCH(CONCATENATE($C$5,"_", 'AD Scenarios'!BA$12,"_","Upgraded_",INDEX(LookUps!$E$5:$E$12,MATCH('AD Scenarios'!BA$11, LookUps!$C$5:$C$12,0)),"_", 'AD Scenarios'!$D26,"_", $C$7, "_", $C$6), OpenLCAbasic!$M:$M,0))</f>
        <v>5.1999999999999995E-4</v>
      </c>
      <c r="BB26" s="257">
        <f>INDEX(OpenLCAbasic!$J:$J, MATCH(CONCATENATE($C$5,"_", 'AD Scenarios'!BB$12,"_","Upgraded_",INDEX(LookUps!$E$5:$E$12,MATCH('AD Scenarios'!BB$11, LookUps!$C$5:$C$12,0)),"_", 'AD Scenarios'!$D26,"_", $C$7, "_", $C$6), OpenLCAbasic!$M:$M,0))</f>
        <v>5.1999999999999995E-4</v>
      </c>
      <c r="BC26" s="257">
        <f>INDEX(OpenLCAbasic!$J:$J, MATCH(CONCATENATE($C$5,"_", 'AD Scenarios'!BC$12,"_","Upgraded_",INDEX(LookUps!$E$5:$E$12,MATCH('AD Scenarios'!BC$11, LookUps!$C$5:$C$12,0)),"_", 'AD Scenarios'!$D26,"_", $C$7, "_", $C$6), OpenLCAbasic!$M:$M,0))</f>
        <v>5.1999999999999995E-4</v>
      </c>
      <c r="BD26" s="258"/>
      <c r="BE26" s="257">
        <f>INDEX(OpenLCAbasic!$J:$J, MATCH(CONCATENATE($C$5,"_", 'AD Scenarios'!BE$12,"_","Upgraded_",INDEX(LookUps!$E$5:$E$12,MATCH('AD Scenarios'!BE$11, LookUps!$C$5:$C$12,0)),"_", 'AD Scenarios'!$D26,"_", $C$7, "_", $C$6), OpenLCAbasic!$M:$M,0))</f>
        <v>7.0179500000000003E-6</v>
      </c>
      <c r="BF26" s="257">
        <f>INDEX(OpenLCAbasic!$J:$J, MATCH(CONCATENATE($C$5,"_", 'AD Scenarios'!BF$12,"_","Upgraded_",INDEX(LookUps!$E$5:$E$12,MATCH('AD Scenarios'!BF$11, LookUps!$C$5:$C$12,0)),"_", 'AD Scenarios'!$D26,"_", $C$7, "_", $C$6), OpenLCAbasic!$M:$M,0))</f>
        <v>7.0179500000000003E-6</v>
      </c>
      <c r="BG26" s="257">
        <f>INDEX(OpenLCAbasic!$J:$J, MATCH(CONCATENATE($C$5,"_", 'AD Scenarios'!BG$12,"_","Upgraded_",INDEX(LookUps!$E$5:$E$12,MATCH('AD Scenarios'!BG$11, LookUps!$C$5:$C$12,0)),"_", 'AD Scenarios'!$D26,"_", $C$7, "_", $C$6), OpenLCAbasic!$M:$M,0))</f>
        <v>7.0179500000000003E-6</v>
      </c>
      <c r="BH26" s="257">
        <f>INDEX(OpenLCAbasic!$J:$J, MATCH(CONCATENATE($C$5,"_", 'AD Scenarios'!BH$12,"_","Upgraded_",INDEX(LookUps!$E$5:$E$12,MATCH('AD Scenarios'!BH$11, LookUps!$C$5:$C$12,0)),"_", 'AD Scenarios'!$D26,"_", $C$7, "_", $C$6), OpenLCAbasic!$M:$M,0))</f>
        <v>7.0179500000000003E-6</v>
      </c>
      <c r="BI26" s="257">
        <f>INDEX(OpenLCAbasic!$J:$J, MATCH(CONCATENATE($C$5,"_", 'AD Scenarios'!BI$12,"_","Upgraded_",INDEX(LookUps!$E$5:$E$12,MATCH('AD Scenarios'!BI$11, LookUps!$C$5:$C$12,0)),"_", 'AD Scenarios'!$D26,"_", $C$7, "_", $C$6), OpenLCAbasic!$M:$M,0))</f>
        <v>7.0179500000000003E-6</v>
      </c>
      <c r="BJ26" s="257">
        <f>INDEX(OpenLCAbasic!$J:$J, MATCH(CONCATENATE($C$5,"_", 'AD Scenarios'!BJ$12,"_","Upgraded_",INDEX(LookUps!$E$5:$E$12,MATCH('AD Scenarios'!BJ$11, LookUps!$C$5:$C$12,0)),"_", 'AD Scenarios'!$D26,"_", $C$7, "_", $C$6), OpenLCAbasic!$M:$M,0))</f>
        <v>7.0179500000000003E-6</v>
      </c>
      <c r="BK26" s="257">
        <f>INDEX(OpenLCAbasic!$J:$J, MATCH(CONCATENATE($C$5,"_", 'AD Scenarios'!BK$12,"_","Upgraded_",INDEX(LookUps!$E$5:$E$12,MATCH('AD Scenarios'!BK$11, LookUps!$C$5:$C$12,0)),"_", 'AD Scenarios'!$D26,"_", $C$7, "_", $C$6), OpenLCAbasic!$M:$M,0))</f>
        <v>7.0179500000000003E-6</v>
      </c>
      <c r="BL26" s="257">
        <f>INDEX(OpenLCAbasic!$J:$J, MATCH(CONCATENATE($C$5,"_", 'AD Scenarios'!BL$12,"_","Upgraded_",INDEX(LookUps!$E$5:$E$12,MATCH('AD Scenarios'!BL$11, LookUps!$C$5:$C$12,0)),"_", 'AD Scenarios'!$D26,"_", $C$7, "_", $C$6), OpenLCAbasic!$M:$M,0))</f>
        <v>7.0179500000000003E-6</v>
      </c>
      <c r="BM26" s="257">
        <f>INDEX(OpenLCAbasic!$J:$J, MATCH(CONCATENATE($C$5,"_", 'AD Scenarios'!BM$12,"_","Upgraded_",INDEX(LookUps!$E$5:$E$12,MATCH('AD Scenarios'!BM$11, LookUps!$C$5:$C$12,0)),"_", 'AD Scenarios'!$D26,"_", $C$7, "_", $C$6), OpenLCAbasic!$M:$M,0))</f>
        <v>7.0179500000000003E-6</v>
      </c>
      <c r="BN26" s="258"/>
      <c r="BO26" s="257">
        <f>INDEX(OpenLCAbasic!$J:$J, MATCH(CONCATENATE($C$5,"_", 'AD Scenarios'!BO$12,"_","Upgraded_",INDEX(LookUps!$E$5:$E$12,MATCH('AD Scenarios'!BO$11, LookUps!$C$5:$C$12,0)),"_", 'AD Scenarios'!$D26,"_", $C$7, "_", $C$6), OpenLCAbasic!$M:$M,0))</f>
        <v>1.92E-3</v>
      </c>
      <c r="BP26" s="257">
        <f>INDEX(OpenLCAbasic!$J:$J, MATCH(CONCATENATE($C$5,"_", 'AD Scenarios'!BP$12,"_","Upgraded_",INDEX(LookUps!$E$5:$E$12,MATCH('AD Scenarios'!BP$11, LookUps!$C$5:$C$12,0)),"_", 'AD Scenarios'!$D26,"_", $C$7, "_", $C$6), OpenLCAbasic!$M:$M,0))</f>
        <v>1.92E-3</v>
      </c>
      <c r="BQ26" s="257">
        <f>INDEX(OpenLCAbasic!$J:$J, MATCH(CONCATENATE($C$5,"_", 'AD Scenarios'!BQ$12,"_","Upgraded_",INDEX(LookUps!$E$5:$E$12,MATCH('AD Scenarios'!BQ$11, LookUps!$C$5:$C$12,0)),"_", 'AD Scenarios'!$D26,"_", $C$7, "_", $C$6), OpenLCAbasic!$M:$M,0))</f>
        <v>1.92E-3</v>
      </c>
      <c r="BR26" s="257">
        <f>INDEX(OpenLCAbasic!$J:$J, MATCH(CONCATENATE($C$5,"_", 'AD Scenarios'!BR$12,"_","Upgraded_",INDEX(LookUps!$E$5:$E$12,MATCH('AD Scenarios'!BR$11, LookUps!$C$5:$C$12,0)),"_", 'AD Scenarios'!$D26,"_", $C$7, "_", $C$6), OpenLCAbasic!$M:$M,0))</f>
        <v>1.92E-3</v>
      </c>
      <c r="BS26" s="257">
        <f>INDEX(OpenLCAbasic!$J:$J, MATCH(CONCATENATE($C$5,"_", 'AD Scenarios'!BS$12,"_","Upgraded_",INDEX(LookUps!$E$5:$E$12,MATCH('AD Scenarios'!BS$11, LookUps!$C$5:$C$12,0)),"_", 'AD Scenarios'!$D26,"_", $C$7, "_", $C$6), OpenLCAbasic!$M:$M,0))</f>
        <v>1.92E-3</v>
      </c>
      <c r="BT26" s="257">
        <f>INDEX(OpenLCAbasic!$J:$J, MATCH(CONCATENATE($C$5,"_", 'AD Scenarios'!BT$12,"_","Upgraded_",INDEX(LookUps!$E$5:$E$12,MATCH('AD Scenarios'!BT$11, LookUps!$C$5:$C$12,0)),"_", 'AD Scenarios'!$D26,"_", $C$7, "_", $C$6), OpenLCAbasic!$M:$M,0))</f>
        <v>1.92E-3</v>
      </c>
      <c r="BU26" s="257">
        <f>INDEX(OpenLCAbasic!$J:$J, MATCH(CONCATENATE($C$5,"_", 'AD Scenarios'!BU$12,"_","Upgraded_",INDEX(LookUps!$E$5:$E$12,MATCH('AD Scenarios'!BU$11, LookUps!$C$5:$C$12,0)),"_", 'AD Scenarios'!$D26,"_", $C$7, "_", $C$6), OpenLCAbasic!$M:$M,0))</f>
        <v>1.92E-3</v>
      </c>
      <c r="BV26" s="257">
        <f>INDEX(OpenLCAbasic!$J:$J, MATCH(CONCATENATE($C$5,"_", 'AD Scenarios'!BV$12,"_","Upgraded_",INDEX(LookUps!$E$5:$E$12,MATCH('AD Scenarios'!BV$11, LookUps!$C$5:$C$12,0)),"_", 'AD Scenarios'!$D26,"_", $C$7, "_", $C$6), OpenLCAbasic!$M:$M,0))</f>
        <v>1.92E-3</v>
      </c>
      <c r="BW26" s="257">
        <f>INDEX(OpenLCAbasic!$J:$J, MATCH(CONCATENATE($C$5,"_", 'AD Scenarios'!BW$12,"_","Upgraded_",INDEX(LookUps!$E$5:$E$12,MATCH('AD Scenarios'!BW$11, LookUps!$C$5:$C$12,0)),"_", 'AD Scenarios'!$D26,"_", $C$7, "_", $C$6), OpenLCAbasic!$M:$M,0))</f>
        <v>1.92E-3</v>
      </c>
      <c r="BX26" s="258"/>
      <c r="BY26" s="256">
        <f>INDEX(OpenLCAbasic!$J:$J, MATCH(CONCATENATE($C$5,"_", 'AD Scenarios'!BY$12,"_","Upgraded_",INDEX(LookUps!$E$5:$E$12,MATCH('AD Scenarios'!BY$11, LookUps!$C$5:$C$12,0)),"_", 'AD Scenarios'!$D26,"_", $C$7, "_", $C$6), OpenLCAbasic!$M:$M,0))</f>
        <v>0.10638</v>
      </c>
      <c r="BZ26" s="256">
        <f>INDEX(OpenLCAbasic!$J:$J, MATCH(CONCATENATE($C$5,"_", 'AD Scenarios'!BZ$12,"_","Upgraded_",INDEX(LookUps!$E$5:$E$12,MATCH('AD Scenarios'!BZ$11, LookUps!$C$5:$C$12,0)),"_", 'AD Scenarios'!$D26,"_", $C$7, "_", $C$6), OpenLCAbasic!$M:$M,0))</f>
        <v>0.10638</v>
      </c>
      <c r="CA26" s="256">
        <f>INDEX(OpenLCAbasic!$J:$J, MATCH(CONCATENATE($C$5,"_", 'AD Scenarios'!CA$12,"_","Upgraded_",INDEX(LookUps!$E$5:$E$12,MATCH('AD Scenarios'!CA$11, LookUps!$C$5:$C$12,0)),"_", 'AD Scenarios'!$D26,"_", $C$7, "_", $C$6), OpenLCAbasic!$M:$M,0))</f>
        <v>0.10638</v>
      </c>
      <c r="CB26" s="256">
        <f>INDEX(OpenLCAbasic!$J:$J, MATCH(CONCATENATE($C$5,"_", 'AD Scenarios'!CB$12,"_","Upgraded_",INDEX(LookUps!$E$5:$E$12,MATCH('AD Scenarios'!CB$11, LookUps!$C$5:$C$12,0)),"_", 'AD Scenarios'!$D26,"_", $C$7, "_", $C$6), OpenLCAbasic!$M:$M,0))</f>
        <v>0.10638</v>
      </c>
      <c r="CC26" s="256">
        <f>INDEX(OpenLCAbasic!$J:$J, MATCH(CONCATENATE($C$5,"_", 'AD Scenarios'!CC$12,"_","Upgraded_",INDEX(LookUps!$E$5:$E$12,MATCH('AD Scenarios'!CC$11, LookUps!$C$5:$C$12,0)),"_", 'AD Scenarios'!$D26,"_", $C$7, "_", $C$6), OpenLCAbasic!$M:$M,0))</f>
        <v>0.10638</v>
      </c>
      <c r="CD26" s="256">
        <f>INDEX(OpenLCAbasic!$J:$J, MATCH(CONCATENATE($C$5,"_", 'AD Scenarios'!CD$12,"_","Upgraded_",INDEX(LookUps!$E$5:$E$12,MATCH('AD Scenarios'!CD$11, LookUps!$C$5:$C$12,0)),"_", 'AD Scenarios'!$D26,"_", $C$7, "_", $C$6), OpenLCAbasic!$M:$M,0))</f>
        <v>0.10638</v>
      </c>
      <c r="CE26" s="256">
        <f>INDEX(OpenLCAbasic!$J:$J, MATCH(CONCATENATE($C$5,"_", 'AD Scenarios'!CE$12,"_","Upgraded_",INDEX(LookUps!$E$5:$E$12,MATCH('AD Scenarios'!CE$11, LookUps!$C$5:$C$12,0)),"_", 'AD Scenarios'!$D26,"_", $C$7, "_", $C$6), OpenLCAbasic!$M:$M,0))</f>
        <v>0.10638</v>
      </c>
      <c r="CF26" s="256">
        <f>INDEX(OpenLCAbasic!$J:$J, MATCH(CONCATENATE($C$5,"_", 'AD Scenarios'!CF$12,"_","Upgraded_",INDEX(LookUps!$E$5:$E$12,MATCH('AD Scenarios'!CF$11, LookUps!$C$5:$C$12,0)),"_", 'AD Scenarios'!$D26,"_", $C$7, "_", $C$6), OpenLCAbasic!$M:$M,0))</f>
        <v>0.10638</v>
      </c>
      <c r="CG26" s="256">
        <f>INDEX(OpenLCAbasic!$J:$J, MATCH(CONCATENATE($C$5,"_", 'AD Scenarios'!CG$12,"_","Upgraded_",INDEX(LookUps!$E$5:$E$12,MATCH('AD Scenarios'!CG$11, LookUps!$C$5:$C$12,0)),"_", 'AD Scenarios'!$D26,"_", $C$7, "_", $C$6), OpenLCAbasic!$M:$M,0))</f>
        <v>0.10638</v>
      </c>
    </row>
    <row r="27" spans="2:85" x14ac:dyDescent="0.25">
      <c r="B27" s="363"/>
      <c r="C27" s="81" t="str">
        <f>LookUps!$G$19</f>
        <v>Anaerobic Digestion; wastewater treatment unit; at updated plant - US</v>
      </c>
      <c r="D27" s="115" t="str">
        <f>LookUps!G19</f>
        <v>Anaerobic Digestion; wastewater treatment unit; at updated plant - US</v>
      </c>
      <c r="E27" s="107"/>
      <c r="F27" s="258"/>
      <c r="G27" s="256">
        <f>INDEX(OpenLCAbasic!$J:$J, MATCH(CONCATENATE($C$5,"_", 'AD Scenarios'!G$12,"_","Upgraded_",INDEX(LookUps!$E$5:$E$12,MATCH('AD Scenarios'!G$11, LookUps!$C$5:$C$12,0)),"_", 'AD Scenarios'!$D27,"_", $C$7, "_", $C$6), OpenLCAbasic!$M:$M,0))</f>
        <v>0.17544999999999999</v>
      </c>
      <c r="H27" s="256">
        <f>INDEX(OpenLCAbasic!$J:$J, MATCH(CONCATENATE($C$5,"_", 'AD Scenarios'!H$12,"_","Upgraded_",INDEX(LookUps!$E$5:$E$12,MATCH('AD Scenarios'!H$11, LookUps!$C$5:$C$12,0)),"_", 'AD Scenarios'!$D27,"_", $C$7, "_", $C$6), OpenLCAbasic!$M:$M,0))</f>
        <v>-5.6640000000000003E-2</v>
      </c>
      <c r="I27" s="256">
        <f>INDEX(OpenLCAbasic!$J:$J, MATCH(CONCATENATE($C$5,"_", 'AD Scenarios'!I$12,"_","Upgraded_",INDEX(LookUps!$E$5:$E$12,MATCH('AD Scenarios'!I$11, LookUps!$C$5:$C$12,0)),"_", 'AD Scenarios'!$D27,"_", $C$7, "_", $C$6), OpenLCAbasic!$M:$M,0))</f>
        <v>-0.44908999999999999</v>
      </c>
      <c r="J27" s="256">
        <f>INDEX(OpenLCAbasic!$J:$J, MATCH(CONCATENATE($C$5,"_", 'AD Scenarios'!J$12,"_","Upgraded_",INDEX(LookUps!$E$5:$E$12,MATCH('AD Scenarios'!J$11, LookUps!$C$5:$C$12,0)),"_", 'AD Scenarios'!$D27,"_", $C$7, "_", $C$6), OpenLCAbasic!$M:$M,0))</f>
        <v>6.3659999999999994E-2</v>
      </c>
      <c r="K27" s="256">
        <f>INDEX(OpenLCAbasic!$J:$J, MATCH(CONCATENATE($C$5,"_", 'AD Scenarios'!K$12,"_","Upgraded_",INDEX(LookUps!$E$5:$E$12,MATCH('AD Scenarios'!K$11, LookUps!$C$5:$C$12,0)),"_", 'AD Scenarios'!$D27,"_", $C$7, "_", $C$6), OpenLCAbasic!$M:$M,0))</f>
        <v>-0.36997999999999998</v>
      </c>
      <c r="L27" s="256">
        <f>INDEX(OpenLCAbasic!$J:$J, MATCH(CONCATENATE($C$5,"_", 'AD Scenarios'!L$12,"_","Upgraded_",INDEX(LookUps!$E$5:$E$12,MATCH('AD Scenarios'!L$11, LookUps!$C$5:$C$12,0)),"_", 'AD Scenarios'!$D27,"_", $C$7, "_", $C$6), OpenLCAbasic!$M:$M,0))</f>
        <v>-0.60107999999999995</v>
      </c>
      <c r="M27" s="256">
        <f>INDEX(OpenLCAbasic!$J:$J, MATCH(CONCATENATE($C$5,"_", 'AD Scenarios'!M$12,"_","Upgraded_",INDEX(LookUps!$E$5:$E$12,MATCH('AD Scenarios'!M$11, LookUps!$C$5:$C$12,0)),"_", 'AD Scenarios'!$D27,"_", $C$7, "_", $C$6), OpenLCAbasic!$M:$M,0))</f>
        <v>-0.17055999999999999</v>
      </c>
      <c r="N27" s="256">
        <f>INDEX(OpenLCAbasic!$J:$J, MATCH(CONCATENATE($C$5,"_", 'AD Scenarios'!N$12,"_","Upgraded_",INDEX(LookUps!$E$5:$E$12,MATCH('AD Scenarios'!N$11, LookUps!$C$5:$C$12,0)),"_", 'AD Scenarios'!$D27,"_", $C$7, "_", $C$6), OpenLCAbasic!$M:$M,0))</f>
        <v>-0.57099</v>
      </c>
      <c r="O27" s="256">
        <f>INDEX(OpenLCAbasic!$J:$J, MATCH(CONCATENATE($C$5,"_", 'AD Scenarios'!O$12,"_","Upgraded_",INDEX(LookUps!$E$5:$E$12,MATCH('AD Scenarios'!O$11, LookUps!$C$5:$C$12,0)),"_", 'AD Scenarios'!$D27,"_", $C$7, "_", $C$6), OpenLCAbasic!$M:$M,0))</f>
        <v>-0.88992000000000004</v>
      </c>
      <c r="P27" s="258"/>
      <c r="Q27" s="257">
        <f>INDEX(OpenLCAbasic!$J:$J, MATCH(CONCATENATE($C$5,"_", 'AD Scenarios'!Q$12,"_","Upgraded_",INDEX(LookUps!$E$5:$E$12,MATCH('AD Scenarios'!Q$11, LookUps!$C$5:$C$12,0)),"_", 'AD Scenarios'!$D27,"_", $C$7, "_", $C$6), OpenLCAbasic!$M:$M,0))</f>
        <v>9.1798299999999998E-5</v>
      </c>
      <c r="R27" s="257">
        <f>INDEX(OpenLCAbasic!$J:$J, MATCH(CONCATENATE($C$5,"_", 'AD Scenarios'!R$12,"_","Upgraded_",INDEX(LookUps!$E$5:$E$12,MATCH('AD Scenarios'!R$11, LookUps!$C$5:$C$12,0)),"_", 'AD Scenarios'!$D27,"_", $C$7, "_", $C$6), OpenLCAbasic!$M:$M,0))</f>
        <v>-2.0000000000000001E-4</v>
      </c>
      <c r="S27" s="257">
        <f>INDEX(OpenLCAbasic!$J:$J, MATCH(CONCATENATE($C$5,"_", 'AD Scenarios'!S$12,"_","Upgraded_",INDEX(LookUps!$E$5:$E$12,MATCH('AD Scenarios'!S$11, LookUps!$C$5:$C$12,0)),"_", 'AD Scenarios'!$D27,"_", $C$7, "_", $C$6), OpenLCAbasic!$M:$M,0))</f>
        <v>-1.1999999999999999E-3</v>
      </c>
      <c r="T27" s="257">
        <f>INDEX(OpenLCAbasic!$J:$J, MATCH(CONCATENATE($C$5,"_", 'AD Scenarios'!T$12,"_","Upgraded_",INDEX(LookUps!$E$5:$E$12,MATCH('AD Scenarios'!T$11, LookUps!$C$5:$C$12,0)),"_", 'AD Scenarios'!$D27,"_", $C$7, "_", $C$6), OpenLCAbasic!$M:$M,0))</f>
        <v>-7.8280099999999996E-5</v>
      </c>
      <c r="U27" s="257">
        <f>INDEX(OpenLCAbasic!$J:$J, MATCH(CONCATENATE($C$5,"_", 'AD Scenarios'!U$12,"_","Upgraded_",INDEX(LookUps!$E$5:$E$12,MATCH('AD Scenarios'!U$11, LookUps!$C$5:$C$12,0)),"_", 'AD Scenarios'!$D27,"_", $C$7, "_", $C$6), OpenLCAbasic!$M:$M,0))</f>
        <v>-6.2E-4</v>
      </c>
      <c r="V27" s="257">
        <f>INDEX(OpenLCAbasic!$J:$J, MATCH(CONCATENATE($C$5,"_", 'AD Scenarios'!V$12,"_","Upgraded_",INDEX(LookUps!$E$5:$E$12,MATCH('AD Scenarios'!V$11, LookUps!$C$5:$C$12,0)),"_", 'AD Scenarios'!$D27,"_", $C$7, "_", $C$6), OpenLCAbasic!$M:$M,0))</f>
        <v>-1.7799999999999999E-3</v>
      </c>
      <c r="W27" s="257">
        <f>INDEX(OpenLCAbasic!$J:$J, MATCH(CONCATENATE($C$5,"_", 'AD Scenarios'!W$12,"_","Upgraded_",INDEX(LookUps!$E$5:$E$12,MATCH('AD Scenarios'!W$11, LookUps!$C$5:$C$12,0)),"_", 'AD Scenarios'!$D27,"_", $C$7, "_", $C$6), OpenLCAbasic!$M:$M,0))</f>
        <v>-4.0999999999999999E-4</v>
      </c>
      <c r="X27" s="257">
        <f>INDEX(OpenLCAbasic!$J:$J, MATCH(CONCATENATE($C$5,"_", 'AD Scenarios'!X$12,"_","Upgraded_",INDEX(LookUps!$E$5:$E$12,MATCH('AD Scenarios'!X$11, LookUps!$C$5:$C$12,0)),"_", 'AD Scenarios'!$D27,"_", $C$7, "_", $C$6), OpenLCAbasic!$M:$M,0))</f>
        <v>-1.3799999999999999E-3</v>
      </c>
      <c r="Y27" s="257">
        <f>INDEX(OpenLCAbasic!$J:$J, MATCH(CONCATENATE($C$5,"_", 'AD Scenarios'!Y$12,"_","Upgraded_",INDEX(LookUps!$E$5:$E$12,MATCH('AD Scenarios'!Y$11, LookUps!$C$5:$C$12,0)),"_", 'AD Scenarios'!$D27,"_", $C$7, "_", $C$6), OpenLCAbasic!$M:$M,0))</f>
        <v>-2.96E-3</v>
      </c>
      <c r="Z27" s="258"/>
      <c r="AA27" s="257">
        <f>INDEX(OpenLCAbasic!$J:$J, MATCH(CONCATENATE($C$5,"_", 'AD Scenarios'!AA$12,"_","Upgraded_",INDEX(LookUps!$E$5:$E$12,MATCH('AD Scenarios'!AA$11, LookUps!$C$5:$C$12,0)),"_", 'AD Scenarios'!$D27,"_", $C$7, "_", $C$6), OpenLCAbasic!$M:$M,0))</f>
        <v>3.4000000000000002E-4</v>
      </c>
      <c r="AB27" s="257">
        <f>INDEX(OpenLCAbasic!$J:$J, MATCH(CONCATENATE($C$5,"_", 'AD Scenarios'!AB$12,"_","Upgraded_",INDEX(LookUps!$E$5:$E$12,MATCH('AD Scenarios'!AB$11, LookUps!$C$5:$C$12,0)),"_", 'AD Scenarios'!$D27,"_", $C$7, "_", $C$6), OpenLCAbasic!$M:$M,0))</f>
        <v>-8.7000000000000001E-4</v>
      </c>
      <c r="AC27" s="257">
        <f>INDEX(OpenLCAbasic!$J:$J, MATCH(CONCATENATE($C$5,"_", 'AD Scenarios'!AC$12,"_","Upgraded_",INDEX(LookUps!$E$5:$E$12,MATCH('AD Scenarios'!AC$11, LookUps!$C$5:$C$12,0)),"_", 'AD Scenarios'!$D27,"_", $C$7, "_", $C$6), OpenLCAbasic!$M:$M,0))</f>
        <v>-5.2399999999999999E-3</v>
      </c>
      <c r="AD27" s="257">
        <f>INDEX(OpenLCAbasic!$J:$J, MATCH(CONCATENATE($C$5,"_", 'AD Scenarios'!AD$12,"_","Upgraded_",INDEX(LookUps!$E$5:$E$12,MATCH('AD Scenarios'!AD$11, LookUps!$C$5:$C$12,0)),"_", 'AD Scenarios'!$D27,"_", $C$7, "_", $C$6), OpenLCAbasic!$M:$M,0))</f>
        <v>-3.8000000000000002E-4</v>
      </c>
      <c r="AE27" s="257">
        <f>INDEX(OpenLCAbasic!$J:$J, MATCH(CONCATENATE($C$5,"_", 'AD Scenarios'!AE$12,"_","Upgraded_",INDEX(LookUps!$E$5:$E$12,MATCH('AD Scenarios'!AE$11, LookUps!$C$5:$C$12,0)),"_", 'AD Scenarios'!$D27,"_", $C$7, "_", $C$6), OpenLCAbasic!$M:$M,0))</f>
        <v>-2.64E-3</v>
      </c>
      <c r="AF27" s="257">
        <f>INDEX(OpenLCAbasic!$J:$J, MATCH(CONCATENATE($C$5,"_", 'AD Scenarios'!AF$12,"_","Upgraded_",INDEX(LookUps!$E$5:$E$12,MATCH('AD Scenarios'!AF$11, LookUps!$C$5:$C$12,0)),"_", 'AD Scenarios'!$D27,"_", $C$7, "_", $C$6), OpenLCAbasic!$M:$M,0))</f>
        <v>-7.8300000000000002E-3</v>
      </c>
      <c r="AG27" s="257">
        <f>INDEX(OpenLCAbasic!$J:$J, MATCH(CONCATENATE($C$5,"_", 'AD Scenarios'!AG$12,"_","Upgraded_",INDEX(LookUps!$E$5:$E$12,MATCH('AD Scenarios'!AG$11, LookUps!$C$5:$C$12,0)),"_", 'AD Scenarios'!$D27,"_", $C$7, "_", $C$6), OpenLCAbasic!$M:$M,0))</f>
        <v>-1.7799999999999999E-3</v>
      </c>
      <c r="AH27" s="257">
        <f>INDEX(OpenLCAbasic!$J:$J, MATCH(CONCATENATE($C$5,"_", 'AD Scenarios'!AH$12,"_","Upgraded_",INDEX(LookUps!$E$5:$E$12,MATCH('AD Scenarios'!AH$11, LookUps!$C$5:$C$12,0)),"_", 'AD Scenarios'!$D27,"_", $C$7, "_", $C$6), OpenLCAbasic!$M:$M,0))</f>
        <v>-6.0200000000000002E-3</v>
      </c>
      <c r="AI27" s="256">
        <f>INDEX(OpenLCAbasic!$J:$J, MATCH(CONCATENATE($C$5,"_", 'AD Scenarios'!AI$12,"_","Upgraded_",INDEX(LookUps!$E$5:$E$12,MATCH('AD Scenarios'!AI$11, LookUps!$C$5:$C$12,0)),"_", 'AD Scenarios'!$D27,"_", $C$7, "_", $C$6), OpenLCAbasic!$M:$M,0))</f>
        <v>-1.3089999999999999E-2</v>
      </c>
      <c r="AJ27" s="258"/>
      <c r="AK27" s="256">
        <f>INDEX(OpenLCAbasic!$J:$J, MATCH(CONCATENATE($C$5,"_", 'AD Scenarios'!AK$12,"_","Upgraded_",INDEX(LookUps!$E$5:$E$12,MATCH('AD Scenarios'!AK$11, LookUps!$C$5:$C$12,0)),"_", 'AD Scenarios'!$D27,"_", $C$7, "_", $C$6), OpenLCAbasic!$M:$M,0))</f>
        <v>2.4889999999999999E-2</v>
      </c>
      <c r="AL27" s="256">
        <f>INDEX(OpenLCAbasic!$J:$J, MATCH(CONCATENATE($C$5,"_", 'AD Scenarios'!AL$12,"_","Upgraded_",INDEX(LookUps!$E$5:$E$12,MATCH('AD Scenarios'!AL$11, LookUps!$C$5:$C$12,0)),"_", 'AD Scenarios'!$D27,"_", $C$7, "_", $C$6), OpenLCAbasic!$M:$M,0))</f>
        <v>-6.1940000000000002E-2</v>
      </c>
      <c r="AM27" s="256">
        <f>INDEX(OpenLCAbasic!$J:$J, MATCH(CONCATENATE($C$5,"_", 'AD Scenarios'!AM$12,"_","Upgraded_",INDEX(LookUps!$E$5:$E$12,MATCH('AD Scenarios'!AM$11, LookUps!$C$5:$C$12,0)),"_", 'AD Scenarios'!$D27,"_", $C$7, "_", $C$6), OpenLCAbasic!$M:$M,0))</f>
        <v>-0.37367</v>
      </c>
      <c r="AN27" s="256">
        <f>INDEX(OpenLCAbasic!$J:$J, MATCH(CONCATENATE($C$5,"_", 'AD Scenarios'!AN$12,"_","Upgraded_",INDEX(LookUps!$E$5:$E$12,MATCH('AD Scenarios'!AN$11, LookUps!$C$5:$C$12,0)),"_", 'AD Scenarios'!$D27,"_", $C$7, "_", $C$6), OpenLCAbasic!$M:$M,0))</f>
        <v>-2.673E-2</v>
      </c>
      <c r="AO27" s="256">
        <f>INDEX(OpenLCAbasic!$J:$J, MATCH(CONCATENATE($C$5,"_", 'AD Scenarios'!AO$12,"_","Upgraded_",INDEX(LookUps!$E$5:$E$12,MATCH('AD Scenarios'!AO$11, LookUps!$C$5:$C$12,0)),"_", 'AD Scenarios'!$D27,"_", $C$7, "_", $C$6), OpenLCAbasic!$M:$M,0))</f>
        <v>-0.18936</v>
      </c>
      <c r="AP27" s="256">
        <f>INDEX(OpenLCAbasic!$J:$J, MATCH(CONCATENATE($C$5,"_", 'AD Scenarios'!AP$12,"_","Upgraded_",INDEX(LookUps!$E$5:$E$12,MATCH('AD Scenarios'!AP$11, LookUps!$C$5:$C$12,0)),"_", 'AD Scenarios'!$D27,"_", $C$7, "_", $C$6), OpenLCAbasic!$M:$M,0))</f>
        <v>-0.55771000000000004</v>
      </c>
      <c r="AQ27" s="256">
        <f>INDEX(OpenLCAbasic!$J:$J, MATCH(CONCATENATE($C$5,"_", 'AD Scenarios'!AQ$12,"_","Upgraded_",INDEX(LookUps!$E$5:$E$12,MATCH('AD Scenarios'!AQ$11, LookUps!$C$5:$C$12,0)),"_", 'AD Scenarios'!$D27,"_", $C$7, "_", $C$6), OpenLCAbasic!$M:$M,0))</f>
        <v>-0.12725</v>
      </c>
      <c r="AR27" s="256">
        <f>INDEX(OpenLCAbasic!$J:$J, MATCH(CONCATENATE($C$5,"_", 'AD Scenarios'!AR$12,"_","Upgraded_",INDEX(LookUps!$E$5:$E$12,MATCH('AD Scenarios'!AR$11, LookUps!$C$5:$C$12,0)),"_", 'AD Scenarios'!$D27,"_", $C$7, "_", $C$6), OpenLCAbasic!$M:$M,0))</f>
        <v>-0.42965999999999999</v>
      </c>
      <c r="AS27" s="256">
        <f>INDEX(OpenLCAbasic!$J:$J, MATCH(CONCATENATE($C$5,"_", 'AD Scenarios'!AS$12,"_","Upgraded_",INDEX(LookUps!$E$5:$E$12,MATCH('AD Scenarios'!AS$11, LookUps!$C$5:$C$12,0)),"_", 'AD Scenarios'!$D27,"_", $C$7, "_", $C$6), OpenLCAbasic!$M:$M,0))</f>
        <v>-0.93125999999999998</v>
      </c>
      <c r="AT27" s="258"/>
      <c r="AU27" s="257">
        <f>INDEX(OpenLCAbasic!$J:$J, MATCH(CONCATENATE($C$5,"_", 'AD Scenarios'!AU$12,"_","Upgraded_",INDEX(LookUps!$E$5:$E$12,MATCH('AD Scenarios'!AU$11, LookUps!$C$5:$C$12,0)),"_", 'AD Scenarios'!$D27,"_", $C$7, "_", $C$6), OpenLCAbasic!$M:$M,0))</f>
        <v>2.5999999999999999E-3</v>
      </c>
      <c r="AV27" s="257">
        <f>INDEX(OpenLCAbasic!$J:$J, MATCH(CONCATENATE($C$5,"_", 'AD Scenarios'!AV$12,"_","Upgraded_",INDEX(LookUps!$E$5:$E$12,MATCH('AD Scenarios'!AV$11, LookUps!$C$5:$C$12,0)),"_", 'AD Scenarios'!$D27,"_", $C$7, "_", $C$6), OpenLCAbasic!$M:$M,0))</f>
        <v>-6.45E-3</v>
      </c>
      <c r="AW27" s="256">
        <f>INDEX(OpenLCAbasic!$J:$J, MATCH(CONCATENATE($C$5,"_", 'AD Scenarios'!AW$12,"_","Upgraded_",INDEX(LookUps!$E$5:$E$12,MATCH('AD Scenarios'!AW$11, LookUps!$C$5:$C$12,0)),"_", 'AD Scenarios'!$D27,"_", $C$7, "_", $C$6), OpenLCAbasic!$M:$M,0))</f>
        <v>-3.8870000000000002E-2</v>
      </c>
      <c r="AX27" s="257">
        <f>INDEX(OpenLCAbasic!$J:$J, MATCH(CONCATENATE($C$5,"_", 'AD Scenarios'!AX$12,"_","Upgraded_",INDEX(LookUps!$E$5:$E$12,MATCH('AD Scenarios'!AX$11, LookUps!$C$5:$C$12,0)),"_", 'AD Scenarios'!$D27,"_", $C$7, "_", $C$6), OpenLCAbasic!$M:$M,0))</f>
        <v>-2.7799999999999999E-3</v>
      </c>
      <c r="AY27" s="256">
        <f>INDEX(OpenLCAbasic!$J:$J, MATCH(CONCATENATE($C$5,"_", 'AD Scenarios'!AY$12,"_","Upgraded_",INDEX(LookUps!$E$5:$E$12,MATCH('AD Scenarios'!AY$11, LookUps!$C$5:$C$12,0)),"_", 'AD Scenarios'!$D27,"_", $C$7, "_", $C$6), OpenLCAbasic!$M:$M,0))</f>
        <v>-1.9720000000000001E-2</v>
      </c>
      <c r="AZ27" s="256">
        <f>INDEX(OpenLCAbasic!$J:$J, MATCH(CONCATENATE($C$5,"_", 'AD Scenarios'!AZ$12,"_","Upgraded_",INDEX(LookUps!$E$5:$E$12,MATCH('AD Scenarios'!AZ$11, LookUps!$C$5:$C$12,0)),"_", 'AD Scenarios'!$D27,"_", $C$7, "_", $C$6), OpenLCAbasic!$M:$M,0))</f>
        <v>-5.8009999999999999E-2</v>
      </c>
      <c r="BA27" s="256">
        <f>INDEX(OpenLCAbasic!$J:$J, MATCH(CONCATENATE($C$5,"_", 'AD Scenarios'!BA$12,"_","Upgraded_",INDEX(LookUps!$E$5:$E$12,MATCH('AD Scenarios'!BA$11, LookUps!$C$5:$C$12,0)),"_", 'AD Scenarios'!$D27,"_", $C$7, "_", $C$6), OpenLCAbasic!$M:$M,0))</f>
        <v>-1.325E-2</v>
      </c>
      <c r="BB27" s="256">
        <f>INDEX(OpenLCAbasic!$J:$J, MATCH(CONCATENATE($C$5,"_", 'AD Scenarios'!BB$12,"_","Upgraded_",INDEX(LookUps!$E$5:$E$12,MATCH('AD Scenarios'!BB$11, LookUps!$C$5:$C$12,0)),"_", 'AD Scenarios'!$D27,"_", $C$7, "_", $C$6), OpenLCAbasic!$M:$M,0))</f>
        <v>-4.4699999999999997E-2</v>
      </c>
      <c r="BC27" s="256">
        <f>INDEX(OpenLCAbasic!$J:$J, MATCH(CONCATENATE($C$5,"_", 'AD Scenarios'!BC$12,"_","Upgraded_",INDEX(LookUps!$E$5:$E$12,MATCH('AD Scenarios'!BC$11, LookUps!$C$5:$C$12,0)),"_", 'AD Scenarios'!$D27,"_", $C$7, "_", $C$6), OpenLCAbasic!$M:$M,0))</f>
        <v>-9.6839999999999996E-2</v>
      </c>
      <c r="BD27" s="258"/>
      <c r="BE27" s="257">
        <f>INDEX(OpenLCAbasic!$J:$J, MATCH(CONCATENATE($C$5,"_", 'AD Scenarios'!BE$12,"_","Upgraded_",INDEX(LookUps!$E$5:$E$12,MATCH('AD Scenarios'!BE$11, LookUps!$C$5:$C$12,0)),"_", 'AD Scenarios'!$D27,"_", $C$7, "_", $C$6), OpenLCAbasic!$M:$M,0))</f>
        <v>4.7332900000000002E-5</v>
      </c>
      <c r="BF27" s="257">
        <f>INDEX(OpenLCAbasic!$J:$J, MATCH(CONCATENATE($C$5,"_", 'AD Scenarios'!BF$12,"_","Upgraded_",INDEX(LookUps!$E$5:$E$12,MATCH('AD Scenarios'!BF$11, LookUps!$C$5:$C$12,0)),"_", 'AD Scenarios'!$D27,"_", $C$7, "_", $C$6), OpenLCAbasic!$M:$M,0))</f>
        <v>1.21043E-5</v>
      </c>
      <c r="BG27" s="257">
        <f>INDEX(OpenLCAbasic!$J:$J, MATCH(CONCATENATE($C$5,"_", 'AD Scenarios'!BG$12,"_","Upgraded_",INDEX(LookUps!$E$5:$E$12,MATCH('AD Scenarios'!BG$11, LookUps!$C$5:$C$12,0)),"_", 'AD Scenarios'!$D27,"_", $C$7, "_", $C$6), OpenLCAbasic!$M:$M,0))</f>
        <v>-9.3162899999999995E-5</v>
      </c>
      <c r="BH27" s="257">
        <f>INDEX(OpenLCAbasic!$J:$J, MATCH(CONCATENATE($C$5,"_", 'AD Scenarios'!BH$12,"_","Upgraded_",INDEX(LookUps!$E$5:$E$12,MATCH('AD Scenarios'!BH$11, LookUps!$C$5:$C$12,0)),"_", 'AD Scenarios'!$D27,"_", $C$7, "_", $C$6), OpenLCAbasic!$M:$M,0))</f>
        <v>2.7368600000000001E-5</v>
      </c>
      <c r="BI27" s="257">
        <f>INDEX(OpenLCAbasic!$J:$J, MATCH(CONCATENATE($C$5,"_", 'AD Scenarios'!BI$12,"_","Upgraded_",INDEX(LookUps!$E$5:$E$12,MATCH('AD Scenarios'!BI$11, LookUps!$C$5:$C$12,0)),"_", 'AD Scenarios'!$D27,"_", $C$7, "_", $C$6), OpenLCAbasic!$M:$M,0))</f>
        <v>-3.8591399999999998E-5</v>
      </c>
      <c r="BJ27" s="257">
        <f>INDEX(OpenLCAbasic!$J:$J, MATCH(CONCATENATE($C$5,"_", 'AD Scenarios'!BJ$12,"_","Upgraded_",INDEX(LookUps!$E$5:$E$12,MATCH('AD Scenarios'!BJ$11, LookUps!$C$5:$C$12,0)),"_", 'AD Scenarios'!$D27,"_", $C$7, "_", $C$6), OpenLCAbasic!$M:$M,0))</f>
        <v>-1.4999999999999999E-4</v>
      </c>
      <c r="BK27" s="257">
        <f>INDEX(OpenLCAbasic!$J:$J, MATCH(CONCATENATE($C$5,"_", 'AD Scenarios'!BK$12,"_","Upgraded_",INDEX(LookUps!$E$5:$E$12,MATCH('AD Scenarios'!BK$11, LookUps!$C$5:$C$12,0)),"_", 'AD Scenarios'!$D27,"_", $C$7, "_", $C$6), OpenLCAbasic!$M:$M,0))</f>
        <v>-1.22975E-5</v>
      </c>
      <c r="BL27" s="257">
        <f>INDEX(OpenLCAbasic!$J:$J, MATCH(CONCATENATE($C$5,"_", 'AD Scenarios'!BL$12,"_","Upgraded_",INDEX(LookUps!$E$5:$E$12,MATCH('AD Scenarios'!BL$11, LookUps!$C$5:$C$12,0)),"_", 'AD Scenarios'!$D27,"_", $C$7, "_", $C$6), OpenLCAbasic!$M:$M,0))</f>
        <v>-1.2E-4</v>
      </c>
      <c r="BM27" s="257">
        <f>INDEX(OpenLCAbasic!$J:$J, MATCH(CONCATENATE($C$5,"_", 'AD Scenarios'!BM$12,"_","Upgraded_",INDEX(LookUps!$E$5:$E$12,MATCH('AD Scenarios'!BM$11, LookUps!$C$5:$C$12,0)),"_", 'AD Scenarios'!$D27,"_", $C$7, "_", $C$6), OpenLCAbasic!$M:$M,0))</f>
        <v>-2.7E-4</v>
      </c>
      <c r="BN27" s="258"/>
      <c r="BO27" s="257">
        <f>INDEX(OpenLCAbasic!$J:$J, MATCH(CONCATENATE($C$5,"_", 'AD Scenarios'!BO$12,"_","Upgraded_",INDEX(LookUps!$E$5:$E$12,MATCH('AD Scenarios'!BO$11, LookUps!$C$5:$C$12,0)),"_", 'AD Scenarios'!$D27,"_", $C$7, "_", $C$6), OpenLCAbasic!$M:$M,0))</f>
        <v>6.1809999999999997E-2</v>
      </c>
      <c r="BP27" s="256">
        <f>INDEX(OpenLCAbasic!$J:$J, MATCH(CONCATENATE($C$5,"_", 'AD Scenarios'!BP$12,"_","Upgraded_",INDEX(LookUps!$E$5:$E$12,MATCH('AD Scenarios'!BP$11, LookUps!$C$5:$C$12,0)),"_", 'AD Scenarios'!$D27,"_", $C$7, "_", $C$6), OpenLCAbasic!$M:$M,0))</f>
        <v>-4.0030000000000003E-2</v>
      </c>
      <c r="BQ27" s="256">
        <f>INDEX(OpenLCAbasic!$J:$J, MATCH(CONCATENATE($C$5,"_", 'AD Scenarios'!BQ$12,"_","Upgraded_",INDEX(LookUps!$E$5:$E$12,MATCH('AD Scenarios'!BQ$11, LookUps!$C$5:$C$12,0)),"_", 'AD Scenarios'!$D27,"_", $C$7, "_", $C$6), OpenLCAbasic!$M:$M,0))</f>
        <v>-0.22373000000000001</v>
      </c>
      <c r="BR27" s="257">
        <f>INDEX(OpenLCAbasic!$J:$J, MATCH(CONCATENATE($C$5,"_", 'AD Scenarios'!BR$12,"_","Upgraded_",INDEX(LookUps!$E$5:$E$12,MATCH('AD Scenarios'!BR$11, LookUps!$C$5:$C$12,0)),"_", 'AD Scenarios'!$D27,"_", $C$7, "_", $C$6), OpenLCAbasic!$M:$M,0))</f>
        <v>9.6600000000000002E-3</v>
      </c>
      <c r="BS27" s="256">
        <f>INDEX(OpenLCAbasic!$J:$J, MATCH(CONCATENATE($C$5,"_", 'AD Scenarios'!BS$12,"_","Upgraded_",INDEX(LookUps!$E$5:$E$12,MATCH('AD Scenarios'!BS$11, LookUps!$C$5:$C$12,0)),"_", 'AD Scenarios'!$D27,"_", $C$7, "_", $C$6), OpenLCAbasic!$M:$M,0))</f>
        <v>-0.18092</v>
      </c>
      <c r="BT27" s="256">
        <f>INDEX(OpenLCAbasic!$J:$J, MATCH(CONCATENATE($C$5,"_", 'AD Scenarios'!BT$12,"_","Upgraded_",INDEX(LookUps!$E$5:$E$12,MATCH('AD Scenarios'!BT$11, LookUps!$C$5:$C$12,0)),"_", 'AD Scenarios'!$D27,"_", $C$7, "_", $C$6), OpenLCAbasic!$M:$M,0))</f>
        <v>-0.30038999999999999</v>
      </c>
      <c r="BU27" s="256">
        <f>INDEX(OpenLCAbasic!$J:$J, MATCH(CONCATENATE($C$5,"_", 'AD Scenarios'!BU$12,"_","Upgraded_",INDEX(LookUps!$E$5:$E$12,MATCH('AD Scenarios'!BU$11, LookUps!$C$5:$C$12,0)),"_", 'AD Scenarios'!$D27,"_", $C$7, "_", $C$6), OpenLCAbasic!$M:$M,0))</f>
        <v>-9.8640000000000005E-2</v>
      </c>
      <c r="BV27" s="256">
        <f>INDEX(OpenLCAbasic!$J:$J, MATCH(CONCATENATE($C$5,"_", 'AD Scenarios'!BV$12,"_","Upgraded_",INDEX(LookUps!$E$5:$E$12,MATCH('AD Scenarios'!BV$11, LookUps!$C$5:$C$12,0)),"_", 'AD Scenarios'!$D27,"_", $C$7, "_", $C$6), OpenLCAbasic!$M:$M,0))</f>
        <v>-0.28505000000000003</v>
      </c>
      <c r="BW27" s="256">
        <f>INDEX(OpenLCAbasic!$J:$J, MATCH(CONCATENATE($C$5,"_", 'AD Scenarios'!BW$12,"_","Upgraded_",INDEX(LookUps!$E$5:$E$12,MATCH('AD Scenarios'!BW$11, LookUps!$C$5:$C$12,0)),"_", 'AD Scenarios'!$D27,"_", $C$7, "_", $C$6), OpenLCAbasic!$M:$M,0))</f>
        <v>-0.44775999999999999</v>
      </c>
      <c r="BX27" s="258"/>
      <c r="BY27" s="256">
        <f>INDEX(OpenLCAbasic!$J:$J, MATCH(CONCATENATE($C$5,"_", 'AD Scenarios'!BY$12,"_","Upgraded_",INDEX(LookUps!$E$5:$E$12,MATCH('AD Scenarios'!BY$11, LookUps!$C$5:$C$12,0)),"_", 'AD Scenarios'!$D27,"_", $C$7, "_", $C$6), OpenLCAbasic!$M:$M,0))</f>
        <v>2.7332200000000002</v>
      </c>
      <c r="BZ27" s="71">
        <f>INDEX(OpenLCAbasic!$J:$J, MATCH(CONCATENATE($C$5,"_", 'AD Scenarios'!BZ$12,"_","Upgraded_",INDEX(LookUps!$E$5:$E$12,MATCH('AD Scenarios'!BZ$11, LookUps!$C$5:$C$12,0)),"_", 'AD Scenarios'!$D27,"_", $C$7, "_", $C$6), OpenLCAbasic!$M:$M,0))</f>
        <v>-1.99752</v>
      </c>
      <c r="CA27" s="71">
        <f>INDEX(OpenLCAbasic!$J:$J, MATCH(CONCATENATE($C$5,"_", 'AD Scenarios'!CA$12,"_","Upgraded_",INDEX(LookUps!$E$5:$E$12,MATCH('AD Scenarios'!CA$11, LookUps!$C$5:$C$12,0)),"_", 'AD Scenarios'!$D27,"_", $C$7, "_", $C$6), OpenLCAbasic!$M:$M,0))</f>
        <v>-11.31259</v>
      </c>
      <c r="CB27" s="256">
        <f>INDEX(OpenLCAbasic!$J:$J, MATCH(CONCATENATE($C$5,"_", 'AD Scenarios'!CB$12,"_","Upgraded_",INDEX(LookUps!$E$5:$E$12,MATCH('AD Scenarios'!CB$11, LookUps!$C$5:$C$12,0)),"_", 'AD Scenarios'!$D27,"_", $C$7, "_", $C$6), OpenLCAbasic!$M:$M,0))</f>
        <v>0.27453</v>
      </c>
      <c r="CC27" s="71">
        <f>INDEX(OpenLCAbasic!$J:$J, MATCH(CONCATENATE($C$5,"_", 'AD Scenarios'!CC$12,"_","Upgraded_",INDEX(LookUps!$E$5:$E$12,MATCH('AD Scenarios'!CC$11, LookUps!$C$5:$C$12,0)),"_", 'AD Scenarios'!$D27,"_", $C$7, "_", $C$6), OpenLCAbasic!$M:$M,0))</f>
        <v>-8.5788899999999995</v>
      </c>
      <c r="CD27" s="259">
        <f>INDEX(OpenLCAbasic!$J:$J, MATCH(CONCATENATE($C$5,"_", 'AD Scenarios'!CD$12,"_","Upgraded_",INDEX(LookUps!$E$5:$E$12,MATCH('AD Scenarios'!CD$11, LookUps!$C$5:$C$12,0)),"_", 'AD Scenarios'!$D27,"_", $C$7, "_", $C$6), OpenLCAbasic!$M:$M,0))</f>
        <v>-15.471780000000001</v>
      </c>
      <c r="CE27" s="71">
        <f>INDEX(OpenLCAbasic!$J:$J, MATCH(CONCATENATE($C$5,"_", 'AD Scenarios'!CE$12,"_","Upgraded_",INDEX(LookUps!$E$5:$E$12,MATCH('AD Scenarios'!CE$11, LookUps!$C$5:$C$12,0)),"_", 'AD Scenarios'!$D27,"_", $C$7, "_", $C$6), OpenLCAbasic!$M:$M,0))</f>
        <v>-4.7974600000000001</v>
      </c>
      <c r="CF27" s="71">
        <f>INDEX(OpenLCAbasic!$J:$J, MATCH(CONCATENATE($C$5,"_", 'AD Scenarios'!CF$12,"_","Upgraded_",INDEX(LookUps!$E$5:$E$12,MATCH('AD Scenarios'!CF$11, LookUps!$C$5:$C$12,0)),"_", 'AD Scenarios'!$D27,"_", $C$7, "_", $C$6), OpenLCAbasic!$M:$M,0))</f>
        <v>-14.179790000000001</v>
      </c>
      <c r="CG27" s="259">
        <f>INDEX(OpenLCAbasic!$J:$J, MATCH(CONCATENATE($C$5,"_", 'AD Scenarios'!CG$12,"_","Upgraded_",INDEX(LookUps!$E$5:$E$12,MATCH('AD Scenarios'!CG$11, LookUps!$C$5:$C$12,0)),"_", 'AD Scenarios'!$D27,"_", $C$7, "_", $C$6), OpenLCAbasic!$M:$M,0))</f>
        <v>-23.56711</v>
      </c>
    </row>
    <row r="28" spans="2:85" x14ac:dyDescent="0.25">
      <c r="B28" s="363"/>
      <c r="C28" s="81" t="str">
        <f>LookUps!$H$19</f>
        <v>Aerobic Digester; wastewater treatment unit - US</v>
      </c>
      <c r="D28" s="116"/>
      <c r="E28" s="104" t="str">
        <f>LookUps!H19</f>
        <v>Aerobic Digester; wastewater treatment unit - US</v>
      </c>
      <c r="F28" s="256">
        <f>INDEX(OpenLCAbasic!$J:$J, MATCH(CONCATENATE("Base","_", 'AD Scenarios'!F$12,"_","Legacy_",INDEX(LookUps!$E$5:$E$12,MATCH('AD Scenarios'!F$11, LookUps!$C$5:$C$12,0)),"_", 'AD Scenarios'!$E28,"_", $C$8,"_","n.a." ), OpenLCAbasic!$M:$M,0))</f>
        <v>0.22309000000000001</v>
      </c>
      <c r="G28" s="258"/>
      <c r="H28" s="258"/>
      <c r="I28" s="258"/>
      <c r="J28" s="258"/>
      <c r="K28" s="258"/>
      <c r="L28" s="258"/>
      <c r="M28" s="258"/>
      <c r="N28" s="258"/>
      <c r="O28" s="258"/>
      <c r="P28" s="257">
        <f>INDEX(OpenLCAbasic!$J:$J, MATCH(CONCATENATE("Base","_", 'AD Scenarios'!P$12,"_","Legacy_",INDEX(LookUps!$E$5:$E$12,MATCH('AD Scenarios'!P$11, LookUps!$C$5:$C$12,0)),"_", 'AD Scenarios'!$E28,"_", $C$8,"_","n.a." ), OpenLCAbasic!$M:$M,0))</f>
        <v>4.2000000000000002E-4</v>
      </c>
      <c r="Q28" s="258"/>
      <c r="R28" s="258"/>
      <c r="S28" s="258"/>
      <c r="T28" s="258"/>
      <c r="U28" s="258"/>
      <c r="V28" s="258"/>
      <c r="W28" s="258"/>
      <c r="X28" s="258"/>
      <c r="Y28" s="258"/>
      <c r="Z28" s="257">
        <f>INDEX(OpenLCAbasic!$J:$J, MATCH(CONCATENATE("Base","_", 'AD Scenarios'!Z$12,"_","Legacy_",INDEX(LookUps!$E$5:$E$12,MATCH('AD Scenarios'!Z$11, LookUps!$C$5:$C$12,0)),"_", 'AD Scenarios'!$E28,"_", $C$8,"_","n.a." ), OpenLCAbasic!$M:$M,0))</f>
        <v>1.82E-3</v>
      </c>
      <c r="AA28" s="258"/>
      <c r="AB28" s="258"/>
      <c r="AC28" s="258"/>
      <c r="AD28" s="258"/>
      <c r="AE28" s="258"/>
      <c r="AF28" s="258"/>
      <c r="AG28" s="258"/>
      <c r="AH28" s="258"/>
      <c r="AI28" s="258"/>
      <c r="AJ28" s="256">
        <f>INDEX(OpenLCAbasic!$J:$J, MATCH(CONCATENATE("Base","_", 'AD Scenarios'!AJ$12,"_","Legacy_",INDEX(LookUps!$E$5:$E$12,MATCH('AD Scenarios'!AJ$11, LookUps!$C$5:$C$12,0)),"_", 'AD Scenarios'!$E28,"_", $C$8,"_","n.a." ), OpenLCAbasic!$M:$M,0))</f>
        <v>0.12926000000000001</v>
      </c>
      <c r="AK28" s="258"/>
      <c r="AL28" s="258"/>
      <c r="AM28" s="258"/>
      <c r="AN28" s="258"/>
      <c r="AO28" s="258"/>
      <c r="AP28" s="258"/>
      <c r="AQ28" s="258"/>
      <c r="AR28" s="258"/>
      <c r="AS28" s="258"/>
      <c r="AT28" s="256">
        <f>INDEX(OpenLCAbasic!$J:$J, MATCH(CONCATENATE("Base","_", 'AD Scenarios'!AT$12,"_","Legacy_",INDEX(LookUps!$E$5:$E$12,MATCH('AD Scenarios'!AT$11, LookUps!$C$5:$C$12,0)),"_", 'AD Scenarios'!$E28,"_", $C$8,"_","n.a." ), OpenLCAbasic!$M:$M,0))</f>
        <v>1.3429999999999999E-2</v>
      </c>
      <c r="AU28" s="258"/>
      <c r="AV28" s="258"/>
      <c r="AW28" s="258"/>
      <c r="AX28" s="258"/>
      <c r="AY28" s="258"/>
      <c r="AZ28" s="258"/>
      <c r="BA28" s="258"/>
      <c r="BB28" s="258"/>
      <c r="BC28" s="258"/>
      <c r="BD28" s="257">
        <f>INDEX(OpenLCAbasic!$J:$J, MATCH(CONCATENATE("Base","_", 'AD Scenarios'!BD$12,"_","Legacy_",INDEX(LookUps!$E$5:$E$12,MATCH('AD Scenarios'!BD$11, LookUps!$C$5:$C$12,0)),"_", 'AD Scenarios'!$E28,"_", $C$8,"_","n.a." ), OpenLCAbasic!$M:$M,0))</f>
        <v>1E-4</v>
      </c>
      <c r="BE28" s="258"/>
      <c r="BF28" s="258"/>
      <c r="BG28" s="258"/>
      <c r="BH28" s="258"/>
      <c r="BI28" s="258"/>
      <c r="BJ28" s="258"/>
      <c r="BK28" s="258"/>
      <c r="BL28" s="258"/>
      <c r="BM28" s="258"/>
      <c r="BN28" s="256">
        <f>INDEX(OpenLCAbasic!$J:$J, MATCH(CONCATENATE("Base","_", 'AD Scenarios'!BN$12,"_","Legacy_",INDEX(LookUps!$E$5:$E$12,MATCH('AD Scenarios'!BN$11, LookUps!$C$5:$C$12,0)),"_", 'AD Scenarios'!$E28,"_", $C$8,"_","n.a." ), OpenLCAbasic!$M:$M,0))</f>
        <v>4.8919999999999998E-2</v>
      </c>
      <c r="BO28" s="258"/>
      <c r="BP28" s="258"/>
      <c r="BQ28" s="258"/>
      <c r="BR28" s="258"/>
      <c r="BS28" s="258"/>
      <c r="BT28" s="258"/>
      <c r="BU28" s="258"/>
      <c r="BV28" s="258"/>
      <c r="BW28" s="258"/>
      <c r="BX28" s="71">
        <f>INDEX(OpenLCAbasic!$J:$J, MATCH(CONCATENATE("Base","_", 'AD Scenarios'!BX$12,"_","Legacy_",INDEX(LookUps!$E$5:$E$12,MATCH('AD Scenarios'!BX$11, LookUps!$C$5:$C$12,0)),"_", 'AD Scenarios'!$E28,"_", $C$8,"_","n.a." ), OpenLCAbasic!$M:$M,0))</f>
        <v>2.7189700000000001</v>
      </c>
      <c r="BY28" s="258"/>
      <c r="BZ28" s="258"/>
      <c r="CA28" s="258"/>
      <c r="CB28" s="258"/>
      <c r="CC28" s="258"/>
      <c r="CD28" s="258"/>
      <c r="CE28" s="258"/>
      <c r="CF28" s="258"/>
      <c r="CG28" s="258"/>
    </row>
    <row r="29" spans="2:85" x14ac:dyDescent="0.25">
      <c r="B29" s="363"/>
      <c r="C29" s="81" t="str">
        <f>LookUps!$J$15</f>
        <v>Belt filter press; wastewater treatment unit - US</v>
      </c>
      <c r="D29" s="115" t="str">
        <f>LookUps!G15</f>
        <v>Belt filter press; wastewater treatment unit; at updated plant - US</v>
      </c>
      <c r="E29" s="104" t="str">
        <f>LookUps!H15</f>
        <v>Belt filter press; wastewater treatment unit - US</v>
      </c>
      <c r="F29" s="257">
        <f>INDEX(OpenLCAbasic!$J:$J, MATCH(CONCATENATE("Base","_", 'AD Scenarios'!F$12,"_","Legacy_",INDEX(LookUps!$E$5:$E$12,MATCH('AD Scenarios'!F$11, LookUps!$C$5:$C$12,0)),"_", 'AD Scenarios'!$E29,"_", $C$8,"_","n.a." ), OpenLCAbasic!$M:$M,0))</f>
        <v>7.4400000000000004E-3</v>
      </c>
      <c r="G29" s="256">
        <f>INDEX(OpenLCAbasic!$J:$J, MATCH(CONCATENATE($C$5,"_", 'AD Scenarios'!G$12,"_","Upgraded_",INDEX(LookUps!$E$5:$E$12,MATCH('AD Scenarios'!G$11, LookUps!$C$5:$C$12,0)),"_", 'AD Scenarios'!$D29,"_", $C$7, "_", $C$6), OpenLCAbasic!$M:$M,0))</f>
        <v>1.418E-2</v>
      </c>
      <c r="H29" s="256">
        <f>INDEX(OpenLCAbasic!$J:$J, MATCH(CONCATENATE($C$5,"_", 'AD Scenarios'!H$12,"_","Upgraded_",INDEX(LookUps!$E$5:$E$12,MATCH('AD Scenarios'!H$11, LookUps!$C$5:$C$12,0)),"_", 'AD Scenarios'!$D29,"_", $C$7, "_", $C$6), OpenLCAbasic!$M:$M,0))</f>
        <v>1.278E-2</v>
      </c>
      <c r="I29" s="256">
        <f>INDEX(OpenLCAbasic!$J:$J, MATCH(CONCATENATE($C$5,"_", 'AD Scenarios'!I$12,"_","Upgraded_",INDEX(LookUps!$E$5:$E$12,MATCH('AD Scenarios'!I$11, LookUps!$C$5:$C$12,0)),"_", 'AD Scenarios'!$D29,"_", $C$7, "_", $C$6), OpenLCAbasic!$M:$M,0))</f>
        <v>1.231E-2</v>
      </c>
      <c r="J29" s="256">
        <f>INDEX(OpenLCAbasic!$J:$J, MATCH(CONCATENATE($C$5,"_", 'AD Scenarios'!J$12,"_","Upgraded_",INDEX(LookUps!$E$5:$E$12,MATCH('AD Scenarios'!J$11, LookUps!$C$5:$C$12,0)),"_", 'AD Scenarios'!$D29,"_", $C$7, "_", $C$6), OpenLCAbasic!$M:$M,0))</f>
        <v>1.9910000000000001E-2</v>
      </c>
      <c r="K29" s="256">
        <f>INDEX(OpenLCAbasic!$J:$J, MATCH(CONCATENATE($C$5,"_", 'AD Scenarios'!K$12,"_","Upgraded_",INDEX(LookUps!$E$5:$E$12,MATCH('AD Scenarios'!K$11, LookUps!$C$5:$C$12,0)),"_", 'AD Scenarios'!$D29,"_", $C$7, "_", $C$6), OpenLCAbasic!$M:$M,0))</f>
        <v>1.7639999999999999E-2</v>
      </c>
      <c r="L29" s="256">
        <f>INDEX(OpenLCAbasic!$J:$J, MATCH(CONCATENATE($C$5,"_", 'AD Scenarios'!L$12,"_","Upgraded_",INDEX(LookUps!$E$5:$E$12,MATCH('AD Scenarios'!L$11, LookUps!$C$5:$C$12,0)),"_", 'AD Scenarios'!$D29,"_", $C$7, "_", $C$6), OpenLCAbasic!$M:$M,0))</f>
        <v>1.6879999999999999E-2</v>
      </c>
      <c r="M29" s="256">
        <f>INDEX(OpenLCAbasic!$J:$J, MATCH(CONCATENATE($C$5,"_", 'AD Scenarios'!M$12,"_","Upgraded_",INDEX(LookUps!$E$5:$E$12,MATCH('AD Scenarios'!M$11, LookUps!$C$5:$C$12,0)),"_", 'AD Scenarios'!$D29,"_", $C$7, "_", $C$6), OpenLCAbasic!$M:$M,0))</f>
        <v>2.7820000000000001E-2</v>
      </c>
      <c r="N29" s="256">
        <f>INDEX(OpenLCAbasic!$J:$J, MATCH(CONCATENATE($C$5,"_", 'AD Scenarios'!N$12,"_","Upgraded_",INDEX(LookUps!$E$5:$E$12,MATCH('AD Scenarios'!N$11, LookUps!$C$5:$C$12,0)),"_", 'AD Scenarios'!$D29,"_", $C$7, "_", $C$6), OpenLCAbasic!$M:$M,0))</f>
        <v>2.4119999999999999E-2</v>
      </c>
      <c r="O29" s="256">
        <f>INDEX(OpenLCAbasic!$J:$J, MATCH(CONCATENATE($C$5,"_", 'AD Scenarios'!O$12,"_","Upgraded_",INDEX(LookUps!$E$5:$E$12,MATCH('AD Scenarios'!O$11, LookUps!$C$5:$C$12,0)),"_", 'AD Scenarios'!$D29,"_", $C$7, "_", $C$6), OpenLCAbasic!$M:$M,0))</f>
        <v>2.2880000000000001E-2</v>
      </c>
      <c r="P29" s="257">
        <f>INDEX(OpenLCAbasic!$J:$J, MATCH(CONCATENATE("Base","_", 'AD Scenarios'!P$12,"_","Legacy_",INDEX(LookUps!$E$5:$E$12,MATCH('AD Scenarios'!P$11, LookUps!$C$5:$C$12,0)),"_", 'AD Scenarios'!$E29,"_", $C$8,"_","n.a." ), OpenLCAbasic!$M:$M,0))</f>
        <v>2.6429899999999999E-5</v>
      </c>
      <c r="Q29" s="257">
        <f>INDEX(OpenLCAbasic!$J:$J, MATCH(CONCATENATE($C$5,"_", 'AD Scenarios'!Q$12,"_","Upgraded_",INDEX(LookUps!$E$5:$E$12,MATCH('AD Scenarios'!Q$11, LookUps!$C$5:$C$12,0)),"_", 'AD Scenarios'!$D29,"_", $C$7, "_", $C$6), OpenLCAbasic!$M:$M,0))</f>
        <v>5.62289E-5</v>
      </c>
      <c r="R29" s="257">
        <f>INDEX(OpenLCAbasic!$J:$J, MATCH(CONCATENATE($C$5,"_", 'AD Scenarios'!R$12,"_","Upgraded_",INDEX(LookUps!$E$5:$E$12,MATCH('AD Scenarios'!R$11, LookUps!$C$5:$C$12,0)),"_", 'AD Scenarios'!$D29,"_", $C$7, "_", $C$6), OpenLCAbasic!$M:$M,0))</f>
        <v>5.06508E-5</v>
      </c>
      <c r="S29" s="257">
        <f>INDEX(OpenLCAbasic!$J:$J, MATCH(CONCATENATE($C$5,"_", 'AD Scenarios'!S$12,"_","Upgraded_",INDEX(LookUps!$E$5:$E$12,MATCH('AD Scenarios'!S$11, LookUps!$C$5:$C$12,0)),"_", 'AD Scenarios'!$D29,"_", $C$7, "_", $C$6), OpenLCAbasic!$M:$M,0))</f>
        <v>4.8791500000000002E-5</v>
      </c>
      <c r="T29" s="257">
        <f>INDEX(OpenLCAbasic!$J:$J, MATCH(CONCATENATE($C$5,"_", 'AD Scenarios'!T$12,"_","Upgraded_",INDEX(LookUps!$E$5:$E$12,MATCH('AD Scenarios'!T$11, LookUps!$C$5:$C$12,0)),"_", 'AD Scenarios'!$D29,"_", $C$7, "_", $C$6), OpenLCAbasic!$M:$M,0))</f>
        <v>7.8941800000000004E-5</v>
      </c>
      <c r="U29" s="257">
        <f>INDEX(OpenLCAbasic!$J:$J, MATCH(CONCATENATE($C$5,"_", 'AD Scenarios'!U$12,"_","Upgraded_",INDEX(LookUps!$E$5:$E$12,MATCH('AD Scenarios'!U$11, LookUps!$C$5:$C$12,0)),"_", 'AD Scenarios'!$D29,"_", $C$7, "_", $C$6), OpenLCAbasic!$M:$M,0))</f>
        <v>6.9922100000000006E-5</v>
      </c>
      <c r="V29" s="257">
        <f>INDEX(OpenLCAbasic!$J:$J, MATCH(CONCATENATE($C$5,"_", 'AD Scenarios'!V$12,"_","Upgraded_",INDEX(LookUps!$E$5:$E$12,MATCH('AD Scenarios'!V$11, LookUps!$C$5:$C$12,0)),"_", 'AD Scenarios'!$D29,"_", $C$7, "_", $C$6), OpenLCAbasic!$M:$M,0))</f>
        <v>6.69155E-5</v>
      </c>
      <c r="W29" s="257">
        <f>INDEX(OpenLCAbasic!$J:$J, MATCH(CONCATENATE($C$5,"_", 'AD Scenarios'!W$12,"_","Upgraded_",INDEX(LookUps!$E$5:$E$12,MATCH('AD Scenarios'!W$11, LookUps!$C$5:$C$12,0)),"_", 'AD Scenarios'!$D29,"_", $C$7, "_", $C$6), OpenLCAbasic!$M:$M,0))</f>
        <v>1.1E-4</v>
      </c>
      <c r="X29" s="257">
        <f>INDEX(OpenLCAbasic!$J:$J, MATCH(CONCATENATE($C$5,"_", 'AD Scenarios'!X$12,"_","Upgraded_",INDEX(LookUps!$E$5:$E$12,MATCH('AD Scenarios'!X$11, LookUps!$C$5:$C$12,0)),"_", 'AD Scenarios'!$D29,"_", $C$7, "_", $C$6), OpenLCAbasic!$M:$M,0))</f>
        <v>9.5601799999999997E-5</v>
      </c>
      <c r="Y29" s="257">
        <f>INDEX(OpenLCAbasic!$J:$J, MATCH(CONCATENATE($C$5,"_", 'AD Scenarios'!Y$12,"_","Upgraded_",INDEX(LookUps!$E$5:$E$12,MATCH('AD Scenarios'!Y$11, LookUps!$C$5:$C$12,0)),"_", 'AD Scenarios'!$D29,"_", $C$7, "_", $C$6), OpenLCAbasic!$M:$M,0))</f>
        <v>9.0710800000000006E-5</v>
      </c>
      <c r="Z29" s="257">
        <f>INDEX(OpenLCAbasic!$J:$J, MATCH(CONCATENATE("Base","_", 'AD Scenarios'!Z$12,"_","Legacy_",INDEX(LookUps!$E$5:$E$12,MATCH('AD Scenarios'!Z$11, LookUps!$C$5:$C$12,0)),"_", 'AD Scenarios'!$E29,"_", $C$8,"_","n.a." ), OpenLCAbasic!$M:$M,0))</f>
        <v>8.6108399999999997E-5</v>
      </c>
      <c r="AA29" s="257">
        <f>INDEX(OpenLCAbasic!$J:$J, MATCH(CONCATENATE($C$5,"_", 'AD Scenarios'!AA$12,"_","Upgraded_",INDEX(LookUps!$E$5:$E$12,MATCH('AD Scenarios'!AA$11, LookUps!$C$5:$C$12,0)),"_", 'AD Scenarios'!$D29,"_", $C$7, "_", $C$6), OpenLCAbasic!$M:$M,0))</f>
        <v>1.2E-4</v>
      </c>
      <c r="AB29" s="257">
        <f>INDEX(OpenLCAbasic!$J:$J, MATCH(CONCATENATE($C$5,"_", 'AD Scenarios'!AB$12,"_","Upgraded_",INDEX(LookUps!$E$5:$E$12,MATCH('AD Scenarios'!AB$11, LookUps!$C$5:$C$12,0)),"_", 'AD Scenarios'!$D29,"_", $C$7, "_", $C$6), OpenLCAbasic!$M:$M,0))</f>
        <v>1E-4</v>
      </c>
      <c r="AC29" s="257">
        <f>INDEX(OpenLCAbasic!$J:$J, MATCH(CONCATENATE($C$5,"_", 'AD Scenarios'!AC$12,"_","Upgraded_",INDEX(LookUps!$E$5:$E$12,MATCH('AD Scenarios'!AC$11, LookUps!$C$5:$C$12,0)),"_", 'AD Scenarios'!$D29,"_", $C$7, "_", $C$6), OpenLCAbasic!$M:$M,0))</f>
        <v>1E-4</v>
      </c>
      <c r="AD29" s="257">
        <f>INDEX(OpenLCAbasic!$J:$J, MATCH(CONCATENATE($C$5,"_", 'AD Scenarios'!AD$12,"_","Upgraded_",INDEX(LookUps!$E$5:$E$12,MATCH('AD Scenarios'!AD$11, LookUps!$C$5:$C$12,0)),"_", 'AD Scenarios'!$D29,"_", $C$7, "_", $C$6), OpenLCAbasic!$M:$M,0))</f>
        <v>1.6000000000000001E-4</v>
      </c>
      <c r="AE29" s="257">
        <f>INDEX(OpenLCAbasic!$J:$J, MATCH(CONCATENATE($C$5,"_", 'AD Scenarios'!AE$12,"_","Upgraded_",INDEX(LookUps!$E$5:$E$12,MATCH('AD Scenarios'!AE$11, LookUps!$C$5:$C$12,0)),"_", 'AD Scenarios'!$D29,"_", $C$7, "_", $C$6), OpenLCAbasic!$M:$M,0))</f>
        <v>1.3999999999999999E-4</v>
      </c>
      <c r="AF29" s="257">
        <f>INDEX(OpenLCAbasic!$J:$J, MATCH(CONCATENATE($C$5,"_", 'AD Scenarios'!AF$12,"_","Upgraded_",INDEX(LookUps!$E$5:$E$12,MATCH('AD Scenarios'!AF$11, LookUps!$C$5:$C$12,0)),"_", 'AD Scenarios'!$D29,"_", $C$7, "_", $C$6), OpenLCAbasic!$M:$M,0))</f>
        <v>1.3999999999999999E-4</v>
      </c>
      <c r="AG29" s="257">
        <f>INDEX(OpenLCAbasic!$J:$J, MATCH(CONCATENATE($C$5,"_", 'AD Scenarios'!AG$12,"_","Upgraded_",INDEX(LookUps!$E$5:$E$12,MATCH('AD Scenarios'!AG$11, LookUps!$C$5:$C$12,0)),"_", 'AD Scenarios'!$D29,"_", $C$7, "_", $C$6), OpenLCAbasic!$M:$M,0))</f>
        <v>2.3000000000000001E-4</v>
      </c>
      <c r="AH29" s="257">
        <f>INDEX(OpenLCAbasic!$J:$J, MATCH(CONCATENATE($C$5,"_", 'AD Scenarios'!AH$12,"_","Upgraded_",INDEX(LookUps!$E$5:$E$12,MATCH('AD Scenarios'!AH$11, LookUps!$C$5:$C$12,0)),"_", 'AD Scenarios'!$D29,"_", $C$7, "_", $C$6), OpenLCAbasic!$M:$M,0))</f>
        <v>2.0000000000000001E-4</v>
      </c>
      <c r="AI29" s="257">
        <f>INDEX(OpenLCAbasic!$J:$J, MATCH(CONCATENATE($C$5,"_", 'AD Scenarios'!AI$12,"_","Upgraded_",INDEX(LookUps!$E$5:$E$12,MATCH('AD Scenarios'!AI$11, LookUps!$C$5:$C$12,0)),"_", 'AD Scenarios'!$D29,"_", $C$7, "_", $C$6), OpenLCAbasic!$M:$M,0))</f>
        <v>1.9000000000000001E-4</v>
      </c>
      <c r="AJ29" s="257">
        <f>INDEX(OpenLCAbasic!$J:$J, MATCH(CONCATENATE("Base","_", 'AD Scenarios'!AJ$12,"_","Legacy_",INDEX(LookUps!$E$5:$E$12,MATCH('AD Scenarios'!AJ$11, LookUps!$C$5:$C$12,0)),"_", 'AD Scenarios'!$E29,"_", $C$8,"_","n.a." ), OpenLCAbasic!$M:$M,0))</f>
        <v>6.1000000000000004E-3</v>
      </c>
      <c r="AK29" s="257">
        <f>INDEX(OpenLCAbasic!$J:$J, MATCH(CONCATENATE($C$5,"_", 'AD Scenarios'!AK$12,"_","Upgraded_",INDEX(LookUps!$E$5:$E$12,MATCH('AD Scenarios'!AK$11, LookUps!$C$5:$C$12,0)),"_", 'AD Scenarios'!$D29,"_", $C$7, "_", $C$6), OpenLCAbasic!$M:$M,0))</f>
        <v>8.1600000000000006E-3</v>
      </c>
      <c r="AL29" s="257">
        <f>INDEX(OpenLCAbasic!$J:$J, MATCH(CONCATENATE($C$5,"_", 'AD Scenarios'!AL$12,"_","Upgraded_",INDEX(LookUps!$E$5:$E$12,MATCH('AD Scenarios'!AL$11, LookUps!$C$5:$C$12,0)),"_", 'AD Scenarios'!$D29,"_", $C$7, "_", $C$6), OpenLCAbasic!$M:$M,0))</f>
        <v>7.3499999999999998E-3</v>
      </c>
      <c r="AM29" s="257">
        <f>INDEX(OpenLCAbasic!$J:$J, MATCH(CONCATENATE($C$5,"_", 'AD Scenarios'!AM$12,"_","Upgraded_",INDEX(LookUps!$E$5:$E$12,MATCH('AD Scenarios'!AM$11, LookUps!$C$5:$C$12,0)),"_", 'AD Scenarios'!$D29,"_", $C$7, "_", $C$6), OpenLCAbasic!$M:$M,0))</f>
        <v>7.0800000000000004E-3</v>
      </c>
      <c r="AN29" s="256">
        <f>INDEX(OpenLCAbasic!$J:$J, MATCH(CONCATENATE($C$5,"_", 'AD Scenarios'!AN$12,"_","Upgraded_",INDEX(LookUps!$E$5:$E$12,MATCH('AD Scenarios'!AN$11, LookUps!$C$5:$C$12,0)),"_", 'AD Scenarios'!$D29,"_", $C$7, "_", $C$6), OpenLCAbasic!$M:$M,0))</f>
        <v>1.145E-2</v>
      </c>
      <c r="AO29" s="256">
        <f>INDEX(OpenLCAbasic!$J:$J, MATCH(CONCATENATE($C$5,"_", 'AD Scenarios'!AO$12,"_","Upgraded_",INDEX(LookUps!$E$5:$E$12,MATCH('AD Scenarios'!AO$11, LookUps!$C$5:$C$12,0)),"_", 'AD Scenarios'!$D29,"_", $C$7, "_", $C$6), OpenLCAbasic!$M:$M,0))</f>
        <v>1.014E-2</v>
      </c>
      <c r="AP29" s="257">
        <f>INDEX(OpenLCAbasic!$J:$J, MATCH(CONCATENATE($C$5,"_", 'AD Scenarios'!AP$12,"_","Upgraded_",INDEX(LookUps!$E$5:$E$12,MATCH('AD Scenarios'!AP$11, LookUps!$C$5:$C$12,0)),"_", 'AD Scenarios'!$D29,"_", $C$7, "_", $C$6), OpenLCAbasic!$M:$M,0))</f>
        <v>9.7099999999999999E-3</v>
      </c>
      <c r="AQ29" s="256">
        <f>INDEX(OpenLCAbasic!$J:$J, MATCH(CONCATENATE($C$5,"_", 'AD Scenarios'!AQ$12,"_","Upgraded_",INDEX(LookUps!$E$5:$E$12,MATCH('AD Scenarios'!AQ$11, LookUps!$C$5:$C$12,0)),"_", 'AD Scenarios'!$D29,"_", $C$7, "_", $C$6), OpenLCAbasic!$M:$M,0))</f>
        <v>1.5990000000000001E-2</v>
      </c>
      <c r="AR29" s="256">
        <f>INDEX(OpenLCAbasic!$J:$J, MATCH(CONCATENATE($C$5,"_", 'AD Scenarios'!AR$12,"_","Upgraded_",INDEX(LookUps!$E$5:$E$12,MATCH('AD Scenarios'!AR$11, LookUps!$C$5:$C$12,0)),"_", 'AD Scenarios'!$D29,"_", $C$7, "_", $C$6), OpenLCAbasic!$M:$M,0))</f>
        <v>1.387E-2</v>
      </c>
      <c r="AS29" s="256">
        <f>INDEX(OpenLCAbasic!$J:$J, MATCH(CONCATENATE($C$5,"_", 'AD Scenarios'!AS$12,"_","Upgraded_",INDEX(LookUps!$E$5:$E$12,MATCH('AD Scenarios'!AS$11, LookUps!$C$5:$C$12,0)),"_", 'AD Scenarios'!$D29,"_", $C$7, "_", $C$6), OpenLCAbasic!$M:$M,0))</f>
        <v>1.316E-2</v>
      </c>
      <c r="AT29" s="257">
        <f>INDEX(OpenLCAbasic!$J:$J, MATCH(CONCATENATE("Base","_", 'AD Scenarios'!AT$12,"_","Legacy_",INDEX(LookUps!$E$5:$E$12,MATCH('AD Scenarios'!AT$11, LookUps!$C$5:$C$12,0)),"_", 'AD Scenarios'!$E29,"_", $C$8,"_","n.a." ), OpenLCAbasic!$M:$M,0))</f>
        <v>6.4000000000000005E-4</v>
      </c>
      <c r="AU29" s="257">
        <f>INDEX(OpenLCAbasic!$J:$J, MATCH(CONCATENATE($C$5,"_", 'AD Scenarios'!AU$12,"_","Upgraded_",INDEX(LookUps!$E$5:$E$12,MATCH('AD Scenarios'!AU$11, LookUps!$C$5:$C$12,0)),"_", 'AD Scenarios'!$D29,"_", $C$7, "_", $C$6), OpenLCAbasic!$M:$M,0))</f>
        <v>8.5999999999999998E-4</v>
      </c>
      <c r="AV29" s="257">
        <f>INDEX(OpenLCAbasic!$J:$J, MATCH(CONCATENATE($C$5,"_", 'AD Scenarios'!AV$12,"_","Upgraded_",INDEX(LookUps!$E$5:$E$12,MATCH('AD Scenarios'!AV$11, LookUps!$C$5:$C$12,0)),"_", 'AD Scenarios'!$D29,"_", $C$7, "_", $C$6), OpenLCAbasic!$M:$M,0))</f>
        <v>7.6999999999999996E-4</v>
      </c>
      <c r="AW29" s="257">
        <f>INDEX(OpenLCAbasic!$J:$J, MATCH(CONCATENATE($C$5,"_", 'AD Scenarios'!AW$12,"_","Upgraded_",INDEX(LookUps!$E$5:$E$12,MATCH('AD Scenarios'!AW$11, LookUps!$C$5:$C$12,0)),"_", 'AD Scenarios'!$D29,"_", $C$7, "_", $C$6), OpenLCAbasic!$M:$M,0))</f>
        <v>7.3999999999999999E-4</v>
      </c>
      <c r="AX29" s="257">
        <f>INDEX(OpenLCAbasic!$J:$J, MATCH(CONCATENATE($C$5,"_", 'AD Scenarios'!AX$12,"_","Upgraded_",INDEX(LookUps!$E$5:$E$12,MATCH('AD Scenarios'!AX$11, LookUps!$C$5:$C$12,0)),"_", 'AD Scenarios'!$D29,"_", $C$7, "_", $C$6), OpenLCAbasic!$M:$M,0))</f>
        <v>1.1999999999999999E-3</v>
      </c>
      <c r="AY29" s="257">
        <f>INDEX(OpenLCAbasic!$J:$J, MATCH(CONCATENATE($C$5,"_", 'AD Scenarios'!AY$12,"_","Upgraded_",INDEX(LookUps!$E$5:$E$12,MATCH('AD Scenarios'!AY$11, LookUps!$C$5:$C$12,0)),"_", 'AD Scenarios'!$D29,"_", $C$7, "_", $C$6), OpenLCAbasic!$M:$M,0))</f>
        <v>1.07E-3</v>
      </c>
      <c r="AZ29" s="257">
        <f>INDEX(OpenLCAbasic!$J:$J, MATCH(CONCATENATE($C$5,"_", 'AD Scenarios'!AZ$12,"_","Upgraded_",INDEX(LookUps!$E$5:$E$12,MATCH('AD Scenarios'!AZ$11, LookUps!$C$5:$C$12,0)),"_", 'AD Scenarios'!$D29,"_", $C$7, "_", $C$6), OpenLCAbasic!$M:$M,0))</f>
        <v>1.0200000000000001E-3</v>
      </c>
      <c r="BA29" s="257">
        <f>INDEX(OpenLCAbasic!$J:$J, MATCH(CONCATENATE($C$5,"_", 'AD Scenarios'!BA$12,"_","Upgraded_",INDEX(LookUps!$E$5:$E$12,MATCH('AD Scenarios'!BA$11, LookUps!$C$5:$C$12,0)),"_", 'AD Scenarios'!$D29,"_", $C$7, "_", $C$6), OpenLCAbasic!$M:$M,0))</f>
        <v>1.6800000000000001E-3</v>
      </c>
      <c r="BB29" s="257">
        <f>INDEX(OpenLCAbasic!$J:$J, MATCH(CONCATENATE($C$5,"_", 'AD Scenarios'!BB$12,"_","Upgraded_",INDEX(LookUps!$E$5:$E$12,MATCH('AD Scenarios'!BB$11, LookUps!$C$5:$C$12,0)),"_", 'AD Scenarios'!$D29,"_", $C$7, "_", $C$6), OpenLCAbasic!$M:$M,0))</f>
        <v>1.4599999999999999E-3</v>
      </c>
      <c r="BC29" s="257">
        <f>INDEX(OpenLCAbasic!$J:$J, MATCH(CONCATENATE($C$5,"_", 'AD Scenarios'!BC$12,"_","Upgraded_",INDEX(LookUps!$E$5:$E$12,MATCH('AD Scenarios'!BC$11, LookUps!$C$5:$C$12,0)),"_", 'AD Scenarios'!$D29,"_", $C$7, "_", $C$6), OpenLCAbasic!$M:$M,0))</f>
        <v>1.3799999999999999E-3</v>
      </c>
      <c r="BD29" s="257">
        <f>INDEX(OpenLCAbasic!$J:$J, MATCH(CONCATENATE("Base","_", 'AD Scenarios'!BD$12,"_","Legacy_",INDEX(LookUps!$E$5:$E$12,MATCH('AD Scenarios'!BD$11, LookUps!$C$5:$C$12,0)),"_", 'AD Scenarios'!$E29,"_", $C$8,"_","n.a." ), OpenLCAbasic!$M:$M,0))</f>
        <v>7.8034799999999994E-5</v>
      </c>
      <c r="BE29" s="257">
        <f>INDEX(OpenLCAbasic!$J:$J, MATCH(CONCATENATE($C$5,"_", 'AD Scenarios'!BE$12,"_","Upgraded_",INDEX(LookUps!$E$5:$E$12,MATCH('AD Scenarios'!BE$11, LookUps!$C$5:$C$12,0)),"_", 'AD Scenarios'!$D29,"_", $C$7, "_", $C$6), OpenLCAbasic!$M:$M,0))</f>
        <v>2.4357400000000002E-5</v>
      </c>
      <c r="BF29" s="257">
        <f>INDEX(OpenLCAbasic!$J:$J, MATCH(CONCATENATE($C$5,"_", 'AD Scenarios'!BF$12,"_","Upgraded_",INDEX(LookUps!$E$5:$E$12,MATCH('AD Scenarios'!BF$11, LookUps!$C$5:$C$12,0)),"_", 'AD Scenarios'!$D29,"_", $C$7, "_", $C$6), OpenLCAbasic!$M:$M,0))</f>
        <v>2.1941099999999999E-5</v>
      </c>
      <c r="BG29" s="257">
        <f>INDEX(OpenLCAbasic!$J:$J, MATCH(CONCATENATE($C$5,"_", 'AD Scenarios'!BG$12,"_","Upgraded_",INDEX(LookUps!$E$5:$E$12,MATCH('AD Scenarios'!BG$11, LookUps!$C$5:$C$12,0)),"_", 'AD Scenarios'!$D29,"_", $C$7, "_", $C$6), OpenLCAbasic!$M:$M,0))</f>
        <v>2.1135600000000001E-5</v>
      </c>
      <c r="BH29" s="257">
        <f>INDEX(OpenLCAbasic!$J:$J, MATCH(CONCATENATE($C$5,"_", 'AD Scenarios'!BH$12,"_","Upgraded_",INDEX(LookUps!$E$5:$E$12,MATCH('AD Scenarios'!BH$11, LookUps!$C$5:$C$12,0)),"_", 'AD Scenarios'!$D29,"_", $C$7, "_", $C$6), OpenLCAbasic!$M:$M,0))</f>
        <v>3.4196200000000003E-5</v>
      </c>
      <c r="BI29" s="257">
        <f>INDEX(OpenLCAbasic!$J:$J, MATCH(CONCATENATE($C$5,"_", 'AD Scenarios'!BI$12,"_","Upgraded_",INDEX(LookUps!$E$5:$E$12,MATCH('AD Scenarios'!BI$11, LookUps!$C$5:$C$12,0)),"_", 'AD Scenarios'!$D29,"_", $C$7, "_", $C$6), OpenLCAbasic!$M:$M,0))</f>
        <v>3.0289000000000001E-5</v>
      </c>
      <c r="BJ29" s="257">
        <f>INDEX(OpenLCAbasic!$J:$J, MATCH(CONCATENATE($C$5,"_", 'AD Scenarios'!BJ$12,"_","Upgraded_",INDEX(LookUps!$E$5:$E$12,MATCH('AD Scenarios'!BJ$11, LookUps!$C$5:$C$12,0)),"_", 'AD Scenarios'!$D29,"_", $C$7, "_", $C$6), OpenLCAbasic!$M:$M,0))</f>
        <v>2.8986600000000001E-5</v>
      </c>
      <c r="BK29" s="257">
        <f>INDEX(OpenLCAbasic!$J:$J, MATCH(CONCATENATE($C$5,"_", 'AD Scenarios'!BK$12,"_","Upgraded_",INDEX(LookUps!$E$5:$E$12,MATCH('AD Scenarios'!BK$11, LookUps!$C$5:$C$12,0)),"_", 'AD Scenarios'!$D29,"_", $C$7, "_", $C$6), OpenLCAbasic!$M:$M,0))</f>
        <v>4.7769200000000003E-5</v>
      </c>
      <c r="BL29" s="257">
        <f>INDEX(OpenLCAbasic!$J:$J, MATCH(CONCATENATE($C$5,"_", 'AD Scenarios'!BL$12,"_","Upgraded_",INDEX(LookUps!$E$5:$E$12,MATCH('AD Scenarios'!BL$11, LookUps!$C$5:$C$12,0)),"_", 'AD Scenarios'!$D29,"_", $C$7, "_", $C$6), OpenLCAbasic!$M:$M,0))</f>
        <v>4.1413099999999998E-5</v>
      </c>
      <c r="BM29" s="257">
        <f>INDEX(OpenLCAbasic!$J:$J, MATCH(CONCATENATE($C$5,"_", 'AD Scenarios'!BM$12,"_","Upgraded_",INDEX(LookUps!$E$5:$E$12,MATCH('AD Scenarios'!BM$11, LookUps!$C$5:$C$12,0)),"_", 'AD Scenarios'!$D29,"_", $C$7, "_", $C$6), OpenLCAbasic!$M:$M,0))</f>
        <v>3.9294400000000001E-5</v>
      </c>
      <c r="BN29" s="257">
        <f>INDEX(OpenLCAbasic!$J:$J, MATCH(CONCATENATE("Base","_", 'AD Scenarios'!BN$12,"_","Legacy_",INDEX(LookUps!$E$5:$E$12,MATCH('AD Scenarios'!BN$11, LookUps!$C$5:$C$12,0)),"_", 'AD Scenarios'!$E29,"_", $C$8,"_","n.a." ), OpenLCAbasic!$M:$M,0))</f>
        <v>3.0799999999999998E-3</v>
      </c>
      <c r="BO29" s="257">
        <f>INDEX(OpenLCAbasic!$J:$J, MATCH(CONCATENATE($C$5,"_", 'AD Scenarios'!BO$12,"_","Upgraded_",INDEX(LookUps!$E$5:$E$12,MATCH('AD Scenarios'!BO$11, LookUps!$C$5:$C$12,0)),"_", 'AD Scenarios'!$D29,"_", $C$7, "_", $C$6), OpenLCAbasic!$M:$M,0))</f>
        <v>6.45E-3</v>
      </c>
      <c r="BP29" s="257">
        <f>INDEX(OpenLCAbasic!$J:$J, MATCH(CONCATENATE($C$5,"_", 'AD Scenarios'!BP$12,"_","Upgraded_",INDEX(LookUps!$E$5:$E$12,MATCH('AD Scenarios'!BP$11, LookUps!$C$5:$C$12,0)),"_", 'AD Scenarios'!$D29,"_", $C$7, "_", $C$6), OpenLCAbasic!$M:$M,0))</f>
        <v>5.8100000000000001E-3</v>
      </c>
      <c r="BQ29" s="257">
        <f>INDEX(OpenLCAbasic!$J:$J, MATCH(CONCATENATE($C$5,"_", 'AD Scenarios'!BQ$12,"_","Upgraded_",INDEX(LookUps!$E$5:$E$12,MATCH('AD Scenarios'!BQ$11, LookUps!$C$5:$C$12,0)),"_", 'AD Scenarios'!$D29,"_", $C$7, "_", $C$6), OpenLCAbasic!$M:$M,0))</f>
        <v>5.5999999999999999E-3</v>
      </c>
      <c r="BR29" s="257">
        <f>INDEX(OpenLCAbasic!$J:$J, MATCH(CONCATENATE($C$5,"_", 'AD Scenarios'!BR$12,"_","Upgraded_",INDEX(LookUps!$E$5:$E$12,MATCH('AD Scenarios'!BR$11, LookUps!$C$5:$C$12,0)),"_", 'AD Scenarios'!$D29,"_", $C$7, "_", $C$6), OpenLCAbasic!$M:$M,0))</f>
        <v>9.0600000000000003E-3</v>
      </c>
      <c r="BS29" s="257">
        <f>INDEX(OpenLCAbasic!$J:$J, MATCH(CONCATENATE($C$5,"_", 'AD Scenarios'!BS$12,"_","Upgraded_",INDEX(LookUps!$E$5:$E$12,MATCH('AD Scenarios'!BS$11, LookUps!$C$5:$C$12,0)),"_", 'AD Scenarios'!$D29,"_", $C$7, "_", $C$6), OpenLCAbasic!$M:$M,0))</f>
        <v>8.0300000000000007E-3</v>
      </c>
      <c r="BT29" s="257">
        <f>INDEX(OpenLCAbasic!$J:$J, MATCH(CONCATENATE($C$5,"_", 'AD Scenarios'!BT$12,"_","Upgraded_",INDEX(LookUps!$E$5:$E$12,MATCH('AD Scenarios'!BT$11, LookUps!$C$5:$C$12,0)),"_", 'AD Scenarios'!$D29,"_", $C$7, "_", $C$6), OpenLCAbasic!$M:$M,0))</f>
        <v>7.6800000000000002E-3</v>
      </c>
      <c r="BU29" s="256">
        <f>INDEX(OpenLCAbasic!$J:$J, MATCH(CONCATENATE($C$5,"_", 'AD Scenarios'!BU$12,"_","Upgraded_",INDEX(LookUps!$E$5:$E$12,MATCH('AD Scenarios'!BU$11, LookUps!$C$5:$C$12,0)),"_", 'AD Scenarios'!$D29,"_", $C$7, "_", $C$6), OpenLCAbasic!$M:$M,0))</f>
        <v>1.2659999999999999E-2</v>
      </c>
      <c r="BV29" s="256">
        <f>INDEX(OpenLCAbasic!$J:$J, MATCH(CONCATENATE($C$5,"_", 'AD Scenarios'!BV$12,"_","Upgraded_",INDEX(LookUps!$E$5:$E$12,MATCH('AD Scenarios'!BV$11, LookUps!$C$5:$C$12,0)),"_", 'AD Scenarios'!$D29,"_", $C$7, "_", $C$6), OpenLCAbasic!$M:$M,0))</f>
        <v>1.0970000000000001E-2</v>
      </c>
      <c r="BW29" s="256">
        <f>INDEX(OpenLCAbasic!$J:$J, MATCH(CONCATENATE($C$5,"_", 'AD Scenarios'!BW$12,"_","Upgraded_",INDEX(LookUps!$E$5:$E$12,MATCH('AD Scenarios'!BW$11, LookUps!$C$5:$C$12,0)),"_", 'AD Scenarios'!$D29,"_", $C$7, "_", $C$6), OpenLCAbasic!$M:$M,0))</f>
        <v>1.0410000000000001E-2</v>
      </c>
      <c r="BX29" s="256">
        <f>INDEX(OpenLCAbasic!$J:$J, MATCH(CONCATENATE("Base","_", 'AD Scenarios'!BX$12,"_","Legacy_",INDEX(LookUps!$E$5:$E$12,MATCH('AD Scenarios'!BX$11, LookUps!$C$5:$C$12,0)),"_", 'AD Scenarios'!$E29,"_", $C$8,"_","n.a." ), OpenLCAbasic!$M:$M,0))</f>
        <v>0.16199</v>
      </c>
      <c r="BY29" s="256">
        <f>INDEX(OpenLCAbasic!$J:$J, MATCH(CONCATENATE($C$5,"_", 'AD Scenarios'!BY$12,"_","Upgraded_",INDEX(LookUps!$E$5:$E$12,MATCH('AD Scenarios'!BY$11, LookUps!$C$5:$C$12,0)),"_", 'AD Scenarios'!$D29,"_", $C$7, "_", $C$6), OpenLCAbasic!$M:$M,0))</f>
        <v>0.32008999999999999</v>
      </c>
      <c r="BZ29" s="256">
        <f>INDEX(OpenLCAbasic!$J:$J, MATCH(CONCATENATE($C$5,"_", 'AD Scenarios'!BZ$12,"_","Upgraded_",INDEX(LookUps!$E$5:$E$12,MATCH('AD Scenarios'!BZ$11, LookUps!$C$5:$C$12,0)),"_", 'AD Scenarios'!$D29,"_", $C$7, "_", $C$6), OpenLCAbasic!$M:$M,0))</f>
        <v>0.28833999999999999</v>
      </c>
      <c r="CA29" s="256">
        <f>INDEX(OpenLCAbasic!$J:$J, MATCH(CONCATENATE($C$5,"_", 'AD Scenarios'!CA$12,"_","Upgraded_",INDEX(LookUps!$E$5:$E$12,MATCH('AD Scenarios'!CA$11, LookUps!$C$5:$C$12,0)),"_", 'AD Scenarios'!$D29,"_", $C$7, "_", $C$6), OpenLCAbasic!$M:$M,0))</f>
        <v>0.27775</v>
      </c>
      <c r="CB29" s="256">
        <f>INDEX(OpenLCAbasic!$J:$J, MATCH(CONCATENATE($C$5,"_", 'AD Scenarios'!CB$12,"_","Upgraded_",INDEX(LookUps!$E$5:$E$12,MATCH('AD Scenarios'!CB$11, LookUps!$C$5:$C$12,0)),"_", 'AD Scenarios'!$D29,"_", $C$7, "_", $C$6), OpenLCAbasic!$M:$M,0))</f>
        <v>0.44939000000000001</v>
      </c>
      <c r="CC29" s="256">
        <f>INDEX(OpenLCAbasic!$J:$J, MATCH(CONCATENATE($C$5,"_", 'AD Scenarios'!CC$12,"_","Upgraded_",INDEX(LookUps!$E$5:$E$12,MATCH('AD Scenarios'!CC$11, LookUps!$C$5:$C$12,0)),"_", 'AD Scenarios'!$D29,"_", $C$7, "_", $C$6), OpenLCAbasic!$M:$M,0))</f>
        <v>0.39804</v>
      </c>
      <c r="CD29" s="256">
        <f>INDEX(OpenLCAbasic!$J:$J, MATCH(CONCATENATE($C$5,"_", 'AD Scenarios'!CD$12,"_","Upgraded_",INDEX(LookUps!$E$5:$E$12,MATCH('AD Scenarios'!CD$11, LookUps!$C$5:$C$12,0)),"_", 'AD Scenarios'!$D29,"_", $C$7, "_", $C$6), OpenLCAbasic!$M:$M,0))</f>
        <v>0.38092999999999999</v>
      </c>
      <c r="CE29" s="256">
        <f>INDEX(OpenLCAbasic!$J:$J, MATCH(CONCATENATE($C$5,"_", 'AD Scenarios'!CE$12,"_","Upgraded_",INDEX(LookUps!$E$5:$E$12,MATCH('AD Scenarios'!CE$11, LookUps!$C$5:$C$12,0)),"_", 'AD Scenarios'!$D29,"_", $C$7, "_", $C$6), OpenLCAbasic!$M:$M,0))</f>
        <v>0.62775999999999998</v>
      </c>
      <c r="CF29" s="256">
        <f>INDEX(OpenLCAbasic!$J:$J, MATCH(CONCATENATE($C$5,"_", 'AD Scenarios'!CF$12,"_","Upgraded_",INDEX(LookUps!$E$5:$E$12,MATCH('AD Scenarios'!CF$11, LookUps!$C$5:$C$12,0)),"_", 'AD Scenarios'!$D29,"_", $C$7, "_", $C$6), OpenLCAbasic!$M:$M,0))</f>
        <v>0.54422999999999999</v>
      </c>
      <c r="CG29" s="256">
        <f>INDEX(OpenLCAbasic!$J:$J, MATCH(CONCATENATE($C$5,"_", 'AD Scenarios'!CG$12,"_","Upgraded_",INDEX(LookUps!$E$5:$E$12,MATCH('AD Scenarios'!CG$11, LookUps!$C$5:$C$12,0)),"_", 'AD Scenarios'!$D29,"_", $C$7, "_", $C$6), OpenLCAbasic!$M:$M,0))</f>
        <v>0.51639000000000002</v>
      </c>
    </row>
    <row r="30" spans="2:85" x14ac:dyDescent="0.25">
      <c r="B30" s="363"/>
      <c r="C30" s="81" t="str">
        <f>IF($C$6="Windrow", "Biosolids composting; windrow composting; wastewater treatment unit; at updated plant - US", "Biosolids composting; aerated static pile; wastewater treatment unit; at updated plant - US")</f>
        <v>Biosolids composting; windrow composting; wastewater treatment unit; at updated plant - US</v>
      </c>
      <c r="D30" s="115" t="str">
        <f>IF($C$6="Windrow", "Biosolids composting; windrow composting; wastewater treatment unit; at updated plant - US", "Biosolids composting; aerated static pile; wastewater treatment unit; at updated plant - US")</f>
        <v>Biosolids composting; windrow composting; wastewater treatment unit; at updated plant - US</v>
      </c>
      <c r="E30" s="107"/>
      <c r="F30" s="258"/>
      <c r="G30" s="71">
        <f>INDEX(OpenLCAbasic!$J:$J, MATCH(CONCATENATE($C$5,"_", 'AD Scenarios'!G$12,"_","Upgraded_",INDEX(LookUps!$E$5:$E$12,MATCH('AD Scenarios'!G$11, LookUps!$C$5:$C$12,0)),"_", 'AD Scenarios'!$D30,"_", $C$7, "_", $C$6), OpenLCAbasic!$M:$M,0))</f>
        <v>1.77807</v>
      </c>
      <c r="H30" s="71">
        <f>INDEX(OpenLCAbasic!$J:$J, MATCH(CONCATENATE($C$5,"_", 'AD Scenarios'!H$12,"_","Upgraded_",INDEX(LookUps!$E$5:$E$12,MATCH('AD Scenarios'!H$11, LookUps!$C$5:$C$12,0)),"_", 'AD Scenarios'!$D30,"_", $C$7, "_", $C$6), OpenLCAbasic!$M:$M,0))</f>
        <v>1.6313200000000001</v>
      </c>
      <c r="I30" s="71">
        <f>INDEX(OpenLCAbasic!$J:$J, MATCH(CONCATENATE($C$5,"_", 'AD Scenarios'!I$12,"_","Upgraded_",INDEX(LookUps!$E$5:$E$12,MATCH('AD Scenarios'!I$11, LookUps!$C$5:$C$12,0)),"_", 'AD Scenarios'!$D30,"_", $C$7, "_", $C$6), OpenLCAbasic!$M:$M,0))</f>
        <v>1.51973</v>
      </c>
      <c r="J30" s="71">
        <f>INDEX(OpenLCAbasic!$J:$J, MATCH(CONCATENATE($C$5,"_", 'AD Scenarios'!J$12,"_","Upgraded_",INDEX(LookUps!$E$5:$E$12,MATCH('AD Scenarios'!J$11, LookUps!$C$5:$C$12,0)),"_", 'AD Scenarios'!$D30,"_", $C$7, "_", $C$6), OpenLCAbasic!$M:$M,0))</f>
        <v>2.4629400000000001</v>
      </c>
      <c r="K30" s="71">
        <f>INDEX(OpenLCAbasic!$J:$J, MATCH(CONCATENATE($C$5,"_", 'AD Scenarios'!K$12,"_","Upgraded_",INDEX(LookUps!$E$5:$E$12,MATCH('AD Scenarios'!K$11, LookUps!$C$5:$C$12,0)),"_", 'AD Scenarios'!$D30,"_", $C$7, "_", $C$6), OpenLCAbasic!$M:$M,0))</f>
        <v>2.26417</v>
      </c>
      <c r="L30" s="71">
        <f>INDEX(OpenLCAbasic!$J:$J, MATCH(CONCATENATE($C$5,"_", 'AD Scenarios'!L$12,"_","Upgraded_",INDEX(LookUps!$E$5:$E$12,MATCH('AD Scenarios'!L$11, LookUps!$C$5:$C$12,0)),"_", 'AD Scenarios'!$D30,"_", $C$7, "_", $C$6), OpenLCAbasic!$M:$M,0))</f>
        <v>2.1375700000000002</v>
      </c>
      <c r="M30" s="71">
        <f>INDEX(OpenLCAbasic!$J:$J, MATCH(CONCATENATE($C$5,"_", 'AD Scenarios'!M$12,"_","Upgraded_",INDEX(LookUps!$E$5:$E$12,MATCH('AD Scenarios'!M$11, LookUps!$C$5:$C$12,0)),"_", 'AD Scenarios'!$D30,"_", $C$7, "_", $C$6), OpenLCAbasic!$M:$M,0))</f>
        <v>3.4323199999999998</v>
      </c>
      <c r="N30" s="71">
        <f>INDEX(OpenLCAbasic!$J:$J, MATCH(CONCATENATE($C$5,"_", 'AD Scenarios'!N$12,"_","Upgraded_",INDEX(LookUps!$E$5:$E$12,MATCH('AD Scenarios'!N$11, LookUps!$C$5:$C$12,0)),"_", 'AD Scenarios'!$D30,"_", $C$7, "_", $C$6), OpenLCAbasic!$M:$M,0))</f>
        <v>3.1415099999999998</v>
      </c>
      <c r="O30" s="71">
        <f>INDEX(OpenLCAbasic!$J:$J, MATCH(CONCATENATE($C$5,"_", 'AD Scenarios'!O$12,"_","Upgraded_",INDEX(LookUps!$E$5:$E$12,MATCH('AD Scenarios'!O$11, LookUps!$C$5:$C$12,0)),"_", 'AD Scenarios'!$D30,"_", $C$7, "_", $C$6), OpenLCAbasic!$M:$M,0))</f>
        <v>2.8841199999999998</v>
      </c>
      <c r="P30" s="258"/>
      <c r="Q30" s="257">
        <f>INDEX(OpenLCAbasic!$J:$J, MATCH(CONCATENATE($C$5,"_", 'AD Scenarios'!Q$12,"_","Upgraded_",INDEX(LookUps!$E$5:$E$12,MATCH('AD Scenarios'!Q$11, LookUps!$C$5:$C$12,0)),"_", 'AD Scenarios'!$D30,"_", $C$7, "_", $C$6), OpenLCAbasic!$M:$M,0))</f>
        <v>7.3999999999999999E-4</v>
      </c>
      <c r="R30" s="257">
        <f>INDEX(OpenLCAbasic!$J:$J, MATCH(CONCATENATE($C$5,"_", 'AD Scenarios'!R$12,"_","Upgraded_",INDEX(LookUps!$E$5:$E$12,MATCH('AD Scenarios'!R$11, LookUps!$C$5:$C$12,0)),"_", 'AD Scenarios'!$D30,"_", $C$7, "_", $C$6), OpenLCAbasic!$M:$M,0))</f>
        <v>6.8000000000000005E-4</v>
      </c>
      <c r="S30" s="257">
        <f>INDEX(OpenLCAbasic!$J:$J, MATCH(CONCATENATE($C$5,"_", 'AD Scenarios'!S$12,"_","Upgraded_",INDEX(LookUps!$E$5:$E$12,MATCH('AD Scenarios'!S$11, LookUps!$C$5:$C$12,0)),"_", 'AD Scenarios'!$D30,"_", $C$7, "_", $C$6), OpenLCAbasic!$M:$M,0))</f>
        <v>6.3000000000000003E-4</v>
      </c>
      <c r="T30" s="257">
        <f>INDEX(OpenLCAbasic!$J:$J, MATCH(CONCATENATE($C$5,"_", 'AD Scenarios'!T$12,"_","Upgraded_",INDEX(LookUps!$E$5:$E$12,MATCH('AD Scenarios'!T$11, LookUps!$C$5:$C$12,0)),"_", 'AD Scenarios'!$D30,"_", $C$7, "_", $C$6), OpenLCAbasic!$M:$M,0))</f>
        <v>1.0300000000000001E-3</v>
      </c>
      <c r="U30" s="257">
        <f>INDEX(OpenLCAbasic!$J:$J, MATCH(CONCATENATE($C$5,"_", 'AD Scenarios'!U$12,"_","Upgraded_",INDEX(LookUps!$E$5:$E$12,MATCH('AD Scenarios'!U$11, LookUps!$C$5:$C$12,0)),"_", 'AD Scenarios'!$D30,"_", $C$7, "_", $C$6), OpenLCAbasic!$M:$M,0))</f>
        <v>9.3999999999999997E-4</v>
      </c>
      <c r="V30" s="257">
        <f>INDEX(OpenLCAbasic!$J:$J, MATCH(CONCATENATE($C$5,"_", 'AD Scenarios'!V$12,"_","Upgraded_",INDEX(LookUps!$E$5:$E$12,MATCH('AD Scenarios'!V$11, LookUps!$C$5:$C$12,0)),"_", 'AD Scenarios'!$D30,"_", $C$7, "_", $C$6), OpenLCAbasic!$M:$M,0))</f>
        <v>8.8000000000000003E-4</v>
      </c>
      <c r="W30" s="257">
        <f>INDEX(OpenLCAbasic!$J:$J, MATCH(CONCATENATE($C$5,"_", 'AD Scenarios'!W$12,"_","Upgraded_",INDEX(LookUps!$E$5:$E$12,MATCH('AD Scenarios'!W$11, LookUps!$C$5:$C$12,0)),"_", 'AD Scenarios'!$D30,"_", $C$7, "_", $C$6), OpenLCAbasic!$M:$M,0))</f>
        <v>1.4300000000000001E-3</v>
      </c>
      <c r="X30" s="257">
        <f>INDEX(OpenLCAbasic!$J:$J, MATCH(CONCATENATE($C$5,"_", 'AD Scenarios'!X$12,"_","Upgraded_",INDEX(LookUps!$E$5:$E$12,MATCH('AD Scenarios'!X$11, LookUps!$C$5:$C$12,0)),"_", 'AD Scenarios'!$D30,"_", $C$7, "_", $C$6), OpenLCAbasic!$M:$M,0))</f>
        <v>1.31E-3</v>
      </c>
      <c r="Y30" s="257">
        <f>INDEX(OpenLCAbasic!$J:$J, MATCH(CONCATENATE($C$5,"_", 'AD Scenarios'!Y$12,"_","Upgraded_",INDEX(LookUps!$E$5:$E$12,MATCH('AD Scenarios'!Y$11, LookUps!$C$5:$C$12,0)),"_", 'AD Scenarios'!$D30,"_", $C$7, "_", $C$6), OpenLCAbasic!$M:$M,0))</f>
        <v>1.1999999999999999E-3</v>
      </c>
      <c r="Z30" s="258"/>
      <c r="AA30" s="257">
        <f>INDEX(OpenLCAbasic!$J:$J, MATCH(CONCATENATE($C$5,"_", 'AD Scenarios'!AA$12,"_","Upgraded_",INDEX(LookUps!$E$5:$E$12,MATCH('AD Scenarios'!AA$11, LookUps!$C$5:$C$12,0)),"_", 'AD Scenarios'!$D30,"_", $C$7, "_", $C$6), OpenLCAbasic!$M:$M,0))</f>
        <v>4.2000000000000002E-4</v>
      </c>
      <c r="AB30" s="257">
        <f>INDEX(OpenLCAbasic!$J:$J, MATCH(CONCATENATE($C$5,"_", 'AD Scenarios'!AB$12,"_","Upgraded_",INDEX(LookUps!$E$5:$E$12,MATCH('AD Scenarios'!AB$11, LookUps!$C$5:$C$12,0)),"_", 'AD Scenarios'!$D30,"_", $C$7, "_", $C$6), OpenLCAbasic!$M:$M,0))</f>
        <v>3.8000000000000002E-4</v>
      </c>
      <c r="AC30" s="257">
        <f>INDEX(OpenLCAbasic!$J:$J, MATCH(CONCATENATE($C$5,"_", 'AD Scenarios'!AC$12,"_","Upgraded_",INDEX(LookUps!$E$5:$E$12,MATCH('AD Scenarios'!AC$11, LookUps!$C$5:$C$12,0)),"_", 'AD Scenarios'!$D30,"_", $C$7, "_", $C$6), OpenLCAbasic!$M:$M,0))</f>
        <v>3.6000000000000002E-4</v>
      </c>
      <c r="AD30" s="257">
        <f>INDEX(OpenLCAbasic!$J:$J, MATCH(CONCATENATE($C$5,"_", 'AD Scenarios'!AD$12,"_","Upgraded_",INDEX(LookUps!$E$5:$E$12,MATCH('AD Scenarios'!AD$11, LookUps!$C$5:$C$12,0)),"_", 'AD Scenarios'!$D30,"_", $C$7, "_", $C$6), OpenLCAbasic!$M:$M,0))</f>
        <v>5.8E-4</v>
      </c>
      <c r="AE30" s="257">
        <f>INDEX(OpenLCAbasic!$J:$J, MATCH(CONCATENATE($C$5,"_", 'AD Scenarios'!AE$12,"_","Upgraded_",INDEX(LookUps!$E$5:$E$12,MATCH('AD Scenarios'!AE$11, LookUps!$C$5:$C$12,0)),"_", 'AD Scenarios'!$D30,"_", $C$7, "_", $C$6), OpenLCAbasic!$M:$M,0))</f>
        <v>5.2999999999999998E-4</v>
      </c>
      <c r="AF30" s="257">
        <f>INDEX(OpenLCAbasic!$J:$J, MATCH(CONCATENATE($C$5,"_", 'AD Scenarios'!AF$12,"_","Upgraded_",INDEX(LookUps!$E$5:$E$12,MATCH('AD Scenarios'!AF$11, LookUps!$C$5:$C$12,0)),"_", 'AD Scenarios'!$D30,"_", $C$7, "_", $C$6), OpenLCAbasic!$M:$M,0))</f>
        <v>5.0000000000000001E-4</v>
      </c>
      <c r="AG30" s="257">
        <f>INDEX(OpenLCAbasic!$J:$J, MATCH(CONCATENATE($C$5,"_", 'AD Scenarios'!AG$12,"_","Upgraded_",INDEX(LookUps!$E$5:$E$12,MATCH('AD Scenarios'!AG$11, LookUps!$C$5:$C$12,0)),"_", 'AD Scenarios'!$D30,"_", $C$7, "_", $C$6), OpenLCAbasic!$M:$M,0))</f>
        <v>8.0999999999999996E-4</v>
      </c>
      <c r="AH30" s="257">
        <f>INDEX(OpenLCAbasic!$J:$J, MATCH(CONCATENATE($C$5,"_", 'AD Scenarios'!AH$12,"_","Upgraded_",INDEX(LookUps!$E$5:$E$12,MATCH('AD Scenarios'!AH$11, LookUps!$C$5:$C$12,0)),"_", 'AD Scenarios'!$D30,"_", $C$7, "_", $C$6), OpenLCAbasic!$M:$M,0))</f>
        <v>7.3999999999999999E-4</v>
      </c>
      <c r="AI30" s="257">
        <f>INDEX(OpenLCAbasic!$J:$J, MATCH(CONCATENATE($C$5,"_", 'AD Scenarios'!AI$12,"_","Upgraded_",INDEX(LookUps!$E$5:$E$12,MATCH('AD Scenarios'!AI$11, LookUps!$C$5:$C$12,0)),"_", 'AD Scenarios'!$D30,"_", $C$7, "_", $C$6), OpenLCAbasic!$M:$M,0))</f>
        <v>6.8000000000000005E-4</v>
      </c>
      <c r="AJ30" s="258"/>
      <c r="AK30" s="257">
        <f>INDEX(OpenLCAbasic!$J:$J, MATCH(CONCATENATE($C$5,"_", 'AD Scenarios'!AK$12,"_","Upgraded_",INDEX(LookUps!$E$5:$E$12,MATCH('AD Scenarios'!AK$11, LookUps!$C$5:$C$12,0)),"_", 'AD Scenarios'!$D30,"_", $C$7, "_", $C$6), OpenLCAbasic!$M:$M,0))</f>
        <v>1.56E-3</v>
      </c>
      <c r="AL30" s="257">
        <f>INDEX(OpenLCAbasic!$J:$J, MATCH(CONCATENATE($C$5,"_", 'AD Scenarios'!AL$12,"_","Upgraded_",INDEX(LookUps!$E$5:$E$12,MATCH('AD Scenarios'!AL$11, LookUps!$C$5:$C$12,0)),"_", 'AD Scenarios'!$D30,"_", $C$7, "_", $C$6), OpenLCAbasic!$M:$M,0))</f>
        <v>1.4300000000000001E-3</v>
      </c>
      <c r="AM30" s="257">
        <f>INDEX(OpenLCAbasic!$J:$J, MATCH(CONCATENATE($C$5,"_", 'AD Scenarios'!AM$12,"_","Upgraded_",INDEX(LookUps!$E$5:$E$12,MATCH('AD Scenarios'!AM$11, LookUps!$C$5:$C$12,0)),"_", 'AD Scenarios'!$D30,"_", $C$7, "_", $C$6), OpenLCAbasic!$M:$M,0))</f>
        <v>1.34E-3</v>
      </c>
      <c r="AN30" s="257">
        <f>INDEX(OpenLCAbasic!$J:$J, MATCH(CONCATENATE($C$5,"_", 'AD Scenarios'!AN$12,"_","Upgraded_",INDEX(LookUps!$E$5:$E$12,MATCH('AD Scenarios'!AN$11, LookUps!$C$5:$C$12,0)),"_", 'AD Scenarios'!$D30,"_", $C$7, "_", $C$6), OpenLCAbasic!$M:$M,0))</f>
        <v>2.1700000000000001E-3</v>
      </c>
      <c r="AO30" s="257">
        <f>INDEX(OpenLCAbasic!$J:$J, MATCH(CONCATENATE($C$5,"_", 'AD Scenarios'!AO$12,"_","Upgraded_",INDEX(LookUps!$E$5:$E$12,MATCH('AD Scenarios'!AO$11, LookUps!$C$5:$C$12,0)),"_", 'AD Scenarios'!$D30,"_", $C$7, "_", $C$6), OpenLCAbasic!$M:$M,0))</f>
        <v>1.98E-3</v>
      </c>
      <c r="AP30" s="257">
        <f>INDEX(OpenLCAbasic!$J:$J, MATCH(CONCATENATE($C$5,"_", 'AD Scenarios'!AP$12,"_","Upgraded_",INDEX(LookUps!$E$5:$E$12,MATCH('AD Scenarios'!AP$11, LookUps!$C$5:$C$12,0)),"_", 'AD Scenarios'!$D30,"_", $C$7, "_", $C$6), OpenLCAbasic!$M:$M,0))</f>
        <v>1.8699999999999999E-3</v>
      </c>
      <c r="AQ30" s="257">
        <f>INDEX(OpenLCAbasic!$J:$J, MATCH(CONCATENATE($C$5,"_", 'AD Scenarios'!AQ$12,"_","Upgraded_",INDEX(LookUps!$E$5:$E$12,MATCH('AD Scenarios'!AQ$11, LookUps!$C$5:$C$12,0)),"_", 'AD Scenarios'!$D30,"_", $C$7, "_", $C$6), OpenLCAbasic!$M:$M,0))</f>
        <v>3.0300000000000001E-3</v>
      </c>
      <c r="AR30" s="257">
        <f>INDEX(OpenLCAbasic!$J:$J, MATCH(CONCATENATE($C$5,"_", 'AD Scenarios'!AR$12,"_","Upgraded_",INDEX(LookUps!$E$5:$E$12,MATCH('AD Scenarios'!AR$11, LookUps!$C$5:$C$12,0)),"_", 'AD Scenarios'!$D30,"_", $C$7, "_", $C$6), OpenLCAbasic!$M:$M,0))</f>
        <v>2.7299999999999998E-3</v>
      </c>
      <c r="AS30" s="257">
        <f>INDEX(OpenLCAbasic!$J:$J, MATCH(CONCATENATE($C$5,"_", 'AD Scenarios'!AS$12,"_","Upgraded_",INDEX(LookUps!$E$5:$E$12,MATCH('AD Scenarios'!AS$11, LookUps!$C$5:$C$12,0)),"_", 'AD Scenarios'!$D30,"_", $C$7, "_", $C$6), OpenLCAbasic!$M:$M,0))</f>
        <v>2.5300000000000001E-3</v>
      </c>
      <c r="AT30" s="258"/>
      <c r="AU30" s="256">
        <f>INDEX(OpenLCAbasic!$J:$J, MATCH(CONCATENATE($C$5,"_", 'AD Scenarios'!AU$12,"_","Upgraded_",INDEX(LookUps!$E$5:$E$12,MATCH('AD Scenarios'!AU$11, LookUps!$C$5:$C$12,0)),"_", 'AD Scenarios'!$D30,"_", $C$7, "_", $C$6), OpenLCAbasic!$M:$M,0))</f>
        <v>1.167E-2</v>
      </c>
      <c r="AV30" s="256">
        <f>INDEX(OpenLCAbasic!$J:$J, MATCH(CONCATENATE($C$5,"_", 'AD Scenarios'!AV$12,"_","Upgraded_",INDEX(LookUps!$E$5:$E$12,MATCH('AD Scenarios'!AV$11, LookUps!$C$5:$C$12,0)),"_", 'AD Scenarios'!$D30,"_", $C$7, "_", $C$6), OpenLCAbasic!$M:$M,0))</f>
        <v>1.078E-2</v>
      </c>
      <c r="AW30" s="256">
        <f>INDEX(OpenLCAbasic!$J:$J, MATCH(CONCATENATE($C$5,"_", 'AD Scenarios'!AW$12,"_","Upgraded_",INDEX(LookUps!$E$5:$E$12,MATCH('AD Scenarios'!AW$11, LookUps!$C$5:$C$12,0)),"_", 'AD Scenarios'!$D30,"_", $C$7, "_", $C$6), OpenLCAbasic!$M:$M,0))</f>
        <v>1.005E-2</v>
      </c>
      <c r="AX30" s="256">
        <f>INDEX(OpenLCAbasic!$J:$J, MATCH(CONCATENATE($C$5,"_", 'AD Scenarios'!AX$12,"_","Upgraded_",INDEX(LookUps!$E$5:$E$12,MATCH('AD Scenarios'!AX$11, LookUps!$C$5:$C$12,0)),"_", 'AD Scenarios'!$D30,"_", $C$7, "_", $C$6), OpenLCAbasic!$M:$M,0))</f>
        <v>1.626E-2</v>
      </c>
      <c r="AY30" s="256">
        <f>INDEX(OpenLCAbasic!$J:$J, MATCH(CONCATENATE($C$5,"_", 'AD Scenarios'!AY$12,"_","Upgraded_",INDEX(LookUps!$E$5:$E$12,MATCH('AD Scenarios'!AY$11, LookUps!$C$5:$C$12,0)),"_", 'AD Scenarios'!$D30,"_", $C$7, "_", $C$6), OpenLCAbasic!$M:$M,0))</f>
        <v>1.499E-2</v>
      </c>
      <c r="AZ30" s="256">
        <f>INDEX(OpenLCAbasic!$J:$J, MATCH(CONCATENATE($C$5,"_", 'AD Scenarios'!AZ$12,"_","Upgraded_",INDEX(LookUps!$E$5:$E$12,MATCH('AD Scenarios'!AZ$11, LookUps!$C$5:$C$12,0)),"_", 'AD Scenarios'!$D30,"_", $C$7, "_", $C$6), OpenLCAbasic!$M:$M,0))</f>
        <v>1.4030000000000001E-2</v>
      </c>
      <c r="BA30" s="256">
        <f>INDEX(OpenLCAbasic!$J:$J, MATCH(CONCATENATE($C$5,"_", 'AD Scenarios'!BA$12,"_","Upgraded_",INDEX(LookUps!$E$5:$E$12,MATCH('AD Scenarios'!BA$11, LookUps!$C$5:$C$12,0)),"_", 'AD Scenarios'!$D30,"_", $C$7, "_", $C$6), OpenLCAbasic!$M:$M,0))</f>
        <v>2.273E-2</v>
      </c>
      <c r="BB30" s="256">
        <f>INDEX(OpenLCAbasic!$J:$J, MATCH(CONCATENATE($C$5,"_", 'AD Scenarios'!BB$12,"_","Upgraded_",INDEX(LookUps!$E$5:$E$12,MATCH('AD Scenarios'!BB$11, LookUps!$C$5:$C$12,0)),"_", 'AD Scenarios'!$D30,"_", $C$7, "_", $C$6), OpenLCAbasic!$M:$M,0))</f>
        <v>2.0789999999999999E-2</v>
      </c>
      <c r="BC30" s="256">
        <f>INDEX(OpenLCAbasic!$J:$J, MATCH(CONCATENATE($C$5,"_", 'AD Scenarios'!BC$12,"_","Upgraded_",INDEX(LookUps!$E$5:$E$12,MATCH('AD Scenarios'!BC$11, LookUps!$C$5:$C$12,0)),"_", 'AD Scenarios'!$D30,"_", $C$7, "_", $C$6), OpenLCAbasic!$M:$M,0))</f>
        <v>1.9019999999999999E-2</v>
      </c>
      <c r="BD30" s="258"/>
      <c r="BE30" s="257">
        <f>INDEX(OpenLCAbasic!$J:$J, MATCH(CONCATENATE($C$5,"_", 'AD Scenarios'!BE$12,"_","Upgraded_",INDEX(LookUps!$E$5:$E$12,MATCH('AD Scenarios'!BE$11, LookUps!$C$5:$C$12,0)),"_", 'AD Scenarios'!$D30,"_", $C$7, "_", $C$6), OpenLCAbasic!$M:$M,0))</f>
        <v>1.1873000000000001E-6</v>
      </c>
      <c r="BF30" s="257">
        <f>INDEX(OpenLCAbasic!$J:$J, MATCH(CONCATENATE($C$5,"_", 'AD Scenarios'!BF$12,"_","Upgraded_",INDEX(LookUps!$E$5:$E$12,MATCH('AD Scenarios'!BF$11, LookUps!$C$5:$C$12,0)),"_", 'AD Scenarios'!$D30,"_", $C$7, "_", $C$6), OpenLCAbasic!$M:$M,0))</f>
        <v>1.06952E-6</v>
      </c>
      <c r="BG30" s="257">
        <f>INDEX(OpenLCAbasic!$J:$J, MATCH(CONCATENATE($C$5,"_", 'AD Scenarios'!BG$12,"_","Upgraded_",INDEX(LookUps!$E$5:$E$12,MATCH('AD Scenarios'!BG$11, LookUps!$C$5:$C$12,0)),"_", 'AD Scenarios'!$D30,"_", $C$7, "_", $C$6), OpenLCAbasic!$M:$M,0))</f>
        <v>1.0329300000000001E-6</v>
      </c>
      <c r="BH30" s="257">
        <f>INDEX(OpenLCAbasic!$J:$J, MATCH(CONCATENATE($C$5,"_", 'AD Scenarios'!BH$12,"_","Upgraded_",INDEX(LookUps!$E$5:$E$12,MATCH('AD Scenarios'!BH$11, LookUps!$C$5:$C$12,0)),"_", 'AD Scenarios'!$D30,"_", $C$7, "_", $C$6), OpenLCAbasic!$M:$M,0))</f>
        <v>1.67133E-6</v>
      </c>
      <c r="BI30" s="257">
        <f>INDEX(OpenLCAbasic!$J:$J, MATCH(CONCATENATE($C$5,"_", 'AD Scenarios'!BI$12,"_","Upgraded_",INDEX(LookUps!$E$5:$E$12,MATCH('AD Scenarios'!BI$11, LookUps!$C$5:$C$12,0)),"_", 'AD Scenarios'!$D30,"_", $C$7, "_", $C$6), OpenLCAbasic!$M:$M,0))</f>
        <v>1.47648E-6</v>
      </c>
      <c r="BJ30" s="257">
        <f>INDEX(OpenLCAbasic!$J:$J, MATCH(CONCATENATE($C$5,"_", 'AD Scenarios'!BJ$12,"_","Upgraded_",INDEX(LookUps!$E$5:$E$12,MATCH('AD Scenarios'!BJ$11, LookUps!$C$5:$C$12,0)),"_", 'AD Scenarios'!$D30,"_", $C$7, "_", $C$6), OpenLCAbasic!$M:$M,0))</f>
        <v>1.4113900000000001E-6</v>
      </c>
      <c r="BK30" s="257">
        <f>INDEX(OpenLCAbasic!$J:$J, MATCH(CONCATENATE($C$5,"_", 'AD Scenarios'!BK$12,"_","Upgraded_",INDEX(LookUps!$E$5:$E$12,MATCH('AD Scenarios'!BK$11, LookUps!$C$5:$C$12,0)),"_", 'AD Scenarios'!$D30,"_", $C$7, "_", $C$6), OpenLCAbasic!$M:$M,0))</f>
        <v>2.3342E-6</v>
      </c>
      <c r="BL30" s="257">
        <f>INDEX(OpenLCAbasic!$J:$J, MATCH(CONCATENATE($C$5,"_", 'AD Scenarios'!BL$12,"_","Upgraded_",INDEX(LookUps!$E$5:$E$12,MATCH('AD Scenarios'!BL$11, LookUps!$C$5:$C$12,0)),"_", 'AD Scenarios'!$D30,"_", $C$7, "_", $C$6), OpenLCAbasic!$M:$M,0))</f>
        <v>2.0151899999999999E-6</v>
      </c>
      <c r="BM30" s="257">
        <f>INDEX(OpenLCAbasic!$J:$J, MATCH(CONCATENATE($C$5,"_", 'AD Scenarios'!BM$12,"_","Upgraded_",INDEX(LookUps!$E$5:$E$12,MATCH('AD Scenarios'!BM$11, LookUps!$C$5:$C$12,0)),"_", 'AD Scenarios'!$D30,"_", $C$7, "_", $C$6), OpenLCAbasic!$M:$M,0))</f>
        <v>1.9172200000000002E-6</v>
      </c>
      <c r="BN30" s="258"/>
      <c r="BO30" s="257">
        <f>INDEX(OpenLCAbasic!$J:$J, MATCH(CONCATENATE($C$5,"_", 'AD Scenarios'!BO$12,"_","Upgraded_",INDEX(LookUps!$E$5:$E$12,MATCH('AD Scenarios'!BO$11, LookUps!$C$5:$C$12,0)),"_", 'AD Scenarios'!$D30,"_", $C$7, "_", $C$6), OpenLCAbasic!$M:$M,0))</f>
        <v>4.8999999999999998E-4</v>
      </c>
      <c r="BP30" s="257">
        <f>INDEX(OpenLCAbasic!$J:$J, MATCH(CONCATENATE($C$5,"_", 'AD Scenarios'!BP$12,"_","Upgraded_",INDEX(LookUps!$E$5:$E$12,MATCH('AD Scenarios'!BP$11, LookUps!$C$5:$C$12,0)),"_", 'AD Scenarios'!$D30,"_", $C$7, "_", $C$6), OpenLCAbasic!$M:$M,0))</f>
        <v>4.4000000000000002E-4</v>
      </c>
      <c r="BQ30" s="257">
        <f>INDEX(OpenLCAbasic!$J:$J, MATCH(CONCATENATE($C$5,"_", 'AD Scenarios'!BQ$12,"_","Upgraded_",INDEX(LookUps!$E$5:$E$12,MATCH('AD Scenarios'!BQ$11, LookUps!$C$5:$C$12,0)),"_", 'AD Scenarios'!$D30,"_", $C$7, "_", $C$6), OpenLCAbasic!$M:$M,0))</f>
        <v>4.2999999999999999E-4</v>
      </c>
      <c r="BR30" s="257">
        <f>INDEX(OpenLCAbasic!$J:$J, MATCH(CONCATENATE($C$5,"_", 'AD Scenarios'!BR$12,"_","Upgraded_",INDEX(LookUps!$E$5:$E$12,MATCH('AD Scenarios'!BR$11, LookUps!$C$5:$C$12,0)),"_", 'AD Scenarios'!$D30,"_", $C$7, "_", $C$6), OpenLCAbasic!$M:$M,0))</f>
        <v>6.8999999999999997E-4</v>
      </c>
      <c r="BS30" s="257">
        <f>INDEX(OpenLCAbasic!$J:$J, MATCH(CONCATENATE($C$5,"_", 'AD Scenarios'!BS$12,"_","Upgraded_",INDEX(LookUps!$E$5:$E$12,MATCH('AD Scenarios'!BS$11, LookUps!$C$5:$C$12,0)),"_", 'AD Scenarios'!$D30,"_", $C$7, "_", $C$6), OpenLCAbasic!$M:$M,0))</f>
        <v>6.0999999999999997E-4</v>
      </c>
      <c r="BT30" s="257">
        <f>INDEX(OpenLCAbasic!$J:$J, MATCH(CONCATENATE($C$5,"_", 'AD Scenarios'!BT$12,"_","Upgraded_",INDEX(LookUps!$E$5:$E$12,MATCH('AD Scenarios'!BT$11, LookUps!$C$5:$C$12,0)),"_", 'AD Scenarios'!$D30,"_", $C$7, "_", $C$6), OpenLCAbasic!$M:$M,0))</f>
        <v>5.8E-4</v>
      </c>
      <c r="BU30" s="257">
        <f>INDEX(OpenLCAbasic!$J:$J, MATCH(CONCATENATE($C$5,"_", 'AD Scenarios'!BU$12,"_","Upgraded_",INDEX(LookUps!$E$5:$E$12,MATCH('AD Scenarios'!BU$11, LookUps!$C$5:$C$12,0)),"_", 'AD Scenarios'!$D30,"_", $C$7, "_", $C$6), OpenLCAbasic!$M:$M,0))</f>
        <v>9.6000000000000002E-4</v>
      </c>
      <c r="BV30" s="257">
        <f>INDEX(OpenLCAbasic!$J:$J, MATCH(CONCATENATE($C$5,"_", 'AD Scenarios'!BV$12,"_","Upgraded_",INDEX(LookUps!$E$5:$E$12,MATCH('AD Scenarios'!BV$11, LookUps!$C$5:$C$12,0)),"_", 'AD Scenarios'!$D30,"_", $C$7, "_", $C$6), OpenLCAbasic!$M:$M,0))</f>
        <v>8.3000000000000001E-4</v>
      </c>
      <c r="BW30" s="257">
        <f>INDEX(OpenLCAbasic!$J:$J, MATCH(CONCATENATE($C$5,"_", 'AD Scenarios'!BW$12,"_","Upgraded_",INDEX(LookUps!$E$5:$E$12,MATCH('AD Scenarios'!BW$11, LookUps!$C$5:$C$12,0)),"_", 'AD Scenarios'!$D30,"_", $C$7, "_", $C$6), OpenLCAbasic!$M:$M,0))</f>
        <v>7.9000000000000001E-4</v>
      </c>
      <c r="BX30" s="258"/>
      <c r="BY30" s="256">
        <f>INDEX(OpenLCAbasic!$J:$J, MATCH(CONCATENATE($C$5,"_", 'AD Scenarios'!BY$12,"_","Upgraded_",INDEX(LookUps!$E$5:$E$12,MATCH('AD Scenarios'!BY$11, LookUps!$C$5:$C$12,0)),"_", 'AD Scenarios'!$D30,"_", $C$7, "_", $C$6), OpenLCAbasic!$M:$M,0))</f>
        <v>2.2919999999999999E-2</v>
      </c>
      <c r="BZ30" s="256">
        <f>INDEX(OpenLCAbasic!$J:$J, MATCH(CONCATENATE($C$5,"_", 'AD Scenarios'!BZ$12,"_","Upgraded_",INDEX(LookUps!$E$5:$E$12,MATCH('AD Scenarios'!BZ$11, LookUps!$C$5:$C$12,0)),"_", 'AD Scenarios'!$D30,"_", $C$7, "_", $C$6), OpenLCAbasic!$M:$M,0))</f>
        <v>2.0650000000000002E-2</v>
      </c>
      <c r="CA30" s="256">
        <f>INDEX(OpenLCAbasic!$J:$J, MATCH(CONCATENATE($C$5,"_", 'AD Scenarios'!CA$12,"_","Upgraded_",INDEX(LookUps!$E$5:$E$12,MATCH('AD Scenarios'!CA$11, LookUps!$C$5:$C$12,0)),"_", 'AD Scenarios'!$D30,"_", $C$7, "_", $C$6), OpenLCAbasic!$M:$M,0))</f>
        <v>2.001E-2</v>
      </c>
      <c r="CB30" s="256">
        <f>INDEX(OpenLCAbasic!$J:$J, MATCH(CONCATENATE($C$5,"_", 'AD Scenarios'!CB$12,"_","Upgraded_",INDEX(LookUps!$E$5:$E$12,MATCH('AD Scenarios'!CB$11, LookUps!$C$5:$C$12,0)),"_", 'AD Scenarios'!$D30,"_", $C$7, "_", $C$6), OpenLCAbasic!$M:$M,0))</f>
        <v>3.2379999999999999E-2</v>
      </c>
      <c r="CC30" s="256">
        <f>INDEX(OpenLCAbasic!$J:$J, MATCH(CONCATENATE($C$5,"_", 'AD Scenarios'!CC$12,"_","Upgraded_",INDEX(LookUps!$E$5:$E$12,MATCH('AD Scenarios'!CC$11, LookUps!$C$5:$C$12,0)),"_", 'AD Scenarios'!$D30,"_", $C$7, "_", $C$6), OpenLCAbasic!$M:$M,0))</f>
        <v>2.8510000000000001E-2</v>
      </c>
      <c r="CD30" s="256">
        <f>INDEX(OpenLCAbasic!$J:$J, MATCH(CONCATENATE($C$5,"_", 'AD Scenarios'!CD$12,"_","Upgraded_",INDEX(LookUps!$E$5:$E$12,MATCH('AD Scenarios'!CD$11, LookUps!$C$5:$C$12,0)),"_", 'AD Scenarios'!$D30,"_", $C$7, "_", $C$6), OpenLCAbasic!$M:$M,0))</f>
        <v>2.7210000000000002E-2</v>
      </c>
      <c r="CE30" s="256">
        <f>INDEX(OpenLCAbasic!$J:$J, MATCH(CONCATENATE($C$5,"_", 'AD Scenarios'!CE$12,"_","Upgraded_",INDEX(LookUps!$E$5:$E$12,MATCH('AD Scenarios'!CE$11, LookUps!$C$5:$C$12,0)),"_", 'AD Scenarios'!$D30,"_", $C$7, "_", $C$6), OpenLCAbasic!$M:$M,0))</f>
        <v>4.5190000000000001E-2</v>
      </c>
      <c r="CF30" s="256">
        <f>INDEX(OpenLCAbasic!$J:$J, MATCH(CONCATENATE($C$5,"_", 'AD Scenarios'!CF$12,"_","Upgraded_",INDEX(LookUps!$E$5:$E$12,MATCH('AD Scenarios'!CF$11, LookUps!$C$5:$C$12,0)),"_", 'AD Scenarios'!$D30,"_", $C$7, "_", $C$6), OpenLCAbasic!$M:$M,0))</f>
        <v>3.882E-2</v>
      </c>
      <c r="CG30" s="256">
        <f>INDEX(OpenLCAbasic!$J:$J, MATCH(CONCATENATE($C$5,"_", 'AD Scenarios'!CG$12,"_","Upgraded_",INDEX(LookUps!$E$5:$E$12,MATCH('AD Scenarios'!CG$11, LookUps!$C$5:$C$12,0)),"_", 'AD Scenarios'!$D30,"_", $C$7, "_", $C$6), OpenLCAbasic!$M:$M,0))</f>
        <v>3.7069999999999999E-2</v>
      </c>
    </row>
    <row r="31" spans="2:85" x14ac:dyDescent="0.25">
      <c r="B31" s="363"/>
      <c r="C31" s="81" t="str">
        <f>LookUps!$G$18</f>
        <v>Land application of compost; wastewater treatment unit; at updated plant - US</v>
      </c>
      <c r="D31" s="115" t="str">
        <f>LookUps!G18</f>
        <v>Land application of compost; wastewater treatment unit; at updated plant - US</v>
      </c>
      <c r="E31" s="107"/>
      <c r="F31" s="258"/>
      <c r="G31" s="256">
        <f>INDEX(OpenLCAbasic!$J:$J, MATCH(CONCATENATE($C$5,"_", 'AD Scenarios'!G$12,"_","Upgraded_",INDEX(LookUps!$E$5:$E$12,MATCH('AD Scenarios'!G$11, LookUps!$C$5:$C$12,0)),"_", 'AD Scenarios'!$D31,"_", $C$7, "_", $C$6), OpenLCAbasic!$M:$M,0))</f>
        <v>-0.52361000000000002</v>
      </c>
      <c r="H31" s="256">
        <f>INDEX(OpenLCAbasic!$J:$J, MATCH(CONCATENATE($C$5,"_", 'AD Scenarios'!H$12,"_","Upgraded_",INDEX(LookUps!$E$5:$E$12,MATCH('AD Scenarios'!H$11, LookUps!$C$5:$C$12,0)),"_", 'AD Scenarios'!$D31,"_", $C$7, "_", $C$6), OpenLCAbasic!$M:$M,0))</f>
        <v>-0.47161999999999998</v>
      </c>
      <c r="I31" s="256">
        <f>INDEX(OpenLCAbasic!$J:$J, MATCH(CONCATENATE($C$5,"_", 'AD Scenarios'!I$12,"_","Upgraded_",INDEX(LookUps!$E$5:$E$12,MATCH('AD Scenarios'!I$11, LookUps!$C$5:$C$12,0)),"_", 'AD Scenarios'!$D31,"_", $C$7, "_", $C$6), OpenLCAbasic!$M:$M,0))</f>
        <v>-0.44319999999999998</v>
      </c>
      <c r="J31" s="256">
        <f>INDEX(OpenLCAbasic!$J:$J, MATCH(CONCATENATE($C$5,"_", 'AD Scenarios'!J$12,"_","Upgraded_",INDEX(LookUps!$E$5:$E$12,MATCH('AD Scenarios'!J$11, LookUps!$C$5:$C$12,0)),"_", 'AD Scenarios'!$D31,"_", $C$7, "_", $C$6), OpenLCAbasic!$M:$M,0))</f>
        <v>-0.71896000000000004</v>
      </c>
      <c r="K31" s="256">
        <f>INDEX(OpenLCAbasic!$J:$J, MATCH(CONCATENATE($C$5,"_", 'AD Scenarios'!K$12,"_","Upgraded_",INDEX(LookUps!$E$5:$E$12,MATCH('AD Scenarios'!K$11, LookUps!$C$5:$C$12,0)),"_", 'AD Scenarios'!$D31,"_", $C$7, "_", $C$6), OpenLCAbasic!$M:$M,0))</f>
        <v>-0.65086999999999995</v>
      </c>
      <c r="L31" s="256">
        <f>INDEX(OpenLCAbasic!$J:$J, MATCH(CONCATENATE($C$5,"_", 'AD Scenarios'!L$12,"_","Upgraded_",INDEX(LookUps!$E$5:$E$12,MATCH('AD Scenarios'!L$11, LookUps!$C$5:$C$12,0)),"_", 'AD Scenarios'!$D31,"_", $C$7, "_", $C$6), OpenLCAbasic!$M:$M,0))</f>
        <v>-0.62729999999999997</v>
      </c>
      <c r="M31" s="256">
        <f>INDEX(OpenLCAbasic!$J:$J, MATCH(CONCATENATE($C$5,"_", 'AD Scenarios'!M$12,"_","Upgraded_",INDEX(LookUps!$E$5:$E$12,MATCH('AD Scenarios'!M$11, LookUps!$C$5:$C$12,0)),"_", 'AD Scenarios'!$D31,"_", $C$7, "_", $C$6), OpenLCAbasic!$M:$M,0))</f>
        <v>-0.99675999999999998</v>
      </c>
      <c r="N31" s="256">
        <f>INDEX(OpenLCAbasic!$J:$J, MATCH(CONCATENATE($C$5,"_", 'AD Scenarios'!N$12,"_","Upgraded_",INDEX(LookUps!$E$5:$E$12,MATCH('AD Scenarios'!N$11, LookUps!$C$5:$C$12,0)),"_", 'AD Scenarios'!$D31,"_", $C$7, "_", $C$6), OpenLCAbasic!$M:$M,0))</f>
        <v>-0.89946999999999999</v>
      </c>
      <c r="O31" s="256">
        <f>INDEX(OpenLCAbasic!$J:$J, MATCH(CONCATENATE($C$5,"_", 'AD Scenarios'!O$12,"_","Upgraded_",INDEX(LookUps!$E$5:$E$12,MATCH('AD Scenarios'!O$11, LookUps!$C$5:$C$12,0)),"_", 'AD Scenarios'!$D31,"_", $C$7, "_", $C$6), OpenLCAbasic!$M:$M,0))</f>
        <v>-0.83977000000000002</v>
      </c>
      <c r="P31" s="258"/>
      <c r="Q31" s="257">
        <f>INDEX(OpenLCAbasic!$J:$J, MATCH(CONCATENATE($C$5,"_", 'AD Scenarios'!Q$12,"_","Upgraded_",INDEX(LookUps!$E$5:$E$12,MATCH('AD Scenarios'!Q$11, LookUps!$C$5:$C$12,0)),"_", 'AD Scenarios'!$D31,"_", $C$7, "_", $C$6), OpenLCAbasic!$M:$M,0))</f>
        <v>2.1900000000000001E-3</v>
      </c>
      <c r="R31" s="257">
        <f>INDEX(OpenLCAbasic!$J:$J, MATCH(CONCATENATE($C$5,"_", 'AD Scenarios'!R$12,"_","Upgraded_",INDEX(LookUps!$E$5:$E$12,MATCH('AD Scenarios'!R$11, LookUps!$C$5:$C$12,0)),"_", 'AD Scenarios'!$D31,"_", $C$7, "_", $C$6), OpenLCAbasic!$M:$M,0))</f>
        <v>1.97E-3</v>
      </c>
      <c r="S31" s="257">
        <f>INDEX(OpenLCAbasic!$J:$J, MATCH(CONCATENATE($C$5,"_", 'AD Scenarios'!S$12,"_","Upgraded_",INDEX(LookUps!$E$5:$E$12,MATCH('AD Scenarios'!S$11, LookUps!$C$5:$C$12,0)),"_", 'AD Scenarios'!$D31,"_", $C$7, "_", $C$6), OpenLCAbasic!$M:$M,0))</f>
        <v>1.8799999999999999E-3</v>
      </c>
      <c r="T31" s="257">
        <f>INDEX(OpenLCAbasic!$J:$J, MATCH(CONCATENATE($C$5,"_", 'AD Scenarios'!T$12,"_","Upgraded_",INDEX(LookUps!$E$5:$E$12,MATCH('AD Scenarios'!T$11, LookUps!$C$5:$C$12,0)),"_", 'AD Scenarios'!$D31,"_", $C$7, "_", $C$6), OpenLCAbasic!$M:$M,0))</f>
        <v>3.0400000000000002E-3</v>
      </c>
      <c r="U31" s="257">
        <f>INDEX(OpenLCAbasic!$J:$J, MATCH(CONCATENATE($C$5,"_", 'AD Scenarios'!U$12,"_","Upgraded_",INDEX(LookUps!$E$5:$E$12,MATCH('AD Scenarios'!U$11, LookUps!$C$5:$C$12,0)),"_", 'AD Scenarios'!$D31,"_", $C$7, "_", $C$6), OpenLCAbasic!$M:$M,0))</f>
        <v>2.7200000000000002E-3</v>
      </c>
      <c r="V31" s="257">
        <f>INDEX(OpenLCAbasic!$J:$J, MATCH(CONCATENATE($C$5,"_", 'AD Scenarios'!V$12,"_","Upgraded_",INDEX(LookUps!$E$5:$E$12,MATCH('AD Scenarios'!V$11, LookUps!$C$5:$C$12,0)),"_", 'AD Scenarios'!$D31,"_", $C$7, "_", $C$6), OpenLCAbasic!$M:$M,0))</f>
        <v>2.6199999999999999E-3</v>
      </c>
      <c r="W31" s="257">
        <f>INDEX(OpenLCAbasic!$J:$J, MATCH(CONCATENATE($C$5,"_", 'AD Scenarios'!W$12,"_","Upgraded_",INDEX(LookUps!$E$5:$E$12,MATCH('AD Scenarios'!W$11, LookUps!$C$5:$C$12,0)),"_", 'AD Scenarios'!$D31,"_", $C$7, "_", $C$6), OpenLCAbasic!$M:$M,0))</f>
        <v>4.2300000000000003E-3</v>
      </c>
      <c r="X31" s="257">
        <f>INDEX(OpenLCAbasic!$J:$J, MATCH(CONCATENATE($C$5,"_", 'AD Scenarios'!X$12,"_","Upgraded_",INDEX(LookUps!$E$5:$E$12,MATCH('AD Scenarios'!X$11, LookUps!$C$5:$C$12,0)),"_", 'AD Scenarios'!$D31,"_", $C$7, "_", $C$6), OpenLCAbasic!$M:$M,0))</f>
        <v>3.7399999999999998E-3</v>
      </c>
      <c r="Y31" s="257">
        <f>INDEX(OpenLCAbasic!$J:$J, MATCH(CONCATENATE($C$5,"_", 'AD Scenarios'!Y$12,"_","Upgraded_",INDEX(LookUps!$E$5:$E$12,MATCH('AD Scenarios'!Y$11, LookUps!$C$5:$C$12,0)),"_", 'AD Scenarios'!$D31,"_", $C$7, "_", $C$6), OpenLCAbasic!$M:$M,0))</f>
        <v>3.5200000000000001E-3</v>
      </c>
      <c r="Z31" s="258"/>
      <c r="AA31" s="257">
        <f>INDEX(OpenLCAbasic!$J:$J, MATCH(CONCATENATE($C$5,"_", 'AD Scenarios'!AA$12,"_","Upgraded_",INDEX(LookUps!$E$5:$E$12,MATCH('AD Scenarios'!AA$11, LookUps!$C$5:$C$12,0)),"_", 'AD Scenarios'!$D31,"_", $C$7, "_", $C$6), OpenLCAbasic!$M:$M,0))</f>
        <v>3.8018500000000002E-5</v>
      </c>
      <c r="AB31" s="257">
        <f>INDEX(OpenLCAbasic!$J:$J, MATCH(CONCATENATE($C$5,"_", 'AD Scenarios'!AB$12,"_","Upgraded_",INDEX(LookUps!$E$5:$E$12,MATCH('AD Scenarios'!AB$11, LookUps!$C$5:$C$12,0)),"_", 'AD Scenarios'!$D31,"_", $C$7, "_", $C$6), OpenLCAbasic!$M:$M,0))</f>
        <v>3.42258E-5</v>
      </c>
      <c r="AC31" s="257">
        <f>INDEX(OpenLCAbasic!$J:$J, MATCH(CONCATENATE($C$5,"_", 'AD Scenarios'!AC$12,"_","Upgraded_",INDEX(LookUps!$E$5:$E$12,MATCH('AD Scenarios'!AC$11, LookUps!$C$5:$C$12,0)),"_", 'AD Scenarios'!$D31,"_", $C$7, "_", $C$6), OpenLCAbasic!$M:$M,0))</f>
        <v>3.2704299999999998E-5</v>
      </c>
      <c r="AD31" s="257">
        <f>INDEX(OpenLCAbasic!$J:$J, MATCH(CONCATENATE($C$5,"_", 'AD Scenarios'!AD$12,"_","Upgraded_",INDEX(LookUps!$E$5:$E$12,MATCH('AD Scenarios'!AD$11, LookUps!$C$5:$C$12,0)),"_", 'AD Scenarios'!$D31,"_", $C$7, "_", $C$6), OpenLCAbasic!$M:$M,0))</f>
        <v>5.28514E-5</v>
      </c>
      <c r="AE31" s="257">
        <f>INDEX(OpenLCAbasic!$J:$J, MATCH(CONCATENATE($C$5,"_", 'AD Scenarios'!AE$12,"_","Upgraded_",INDEX(LookUps!$E$5:$E$12,MATCH('AD Scenarios'!AE$11, LookUps!$C$5:$C$12,0)),"_", 'AD Scenarios'!$D31,"_", $C$7, "_", $C$6), OpenLCAbasic!$M:$M,0))</f>
        <v>4.7185199999999997E-5</v>
      </c>
      <c r="AF31" s="257">
        <f>INDEX(OpenLCAbasic!$J:$J, MATCH(CONCATENATE($C$5,"_", 'AD Scenarios'!AF$12,"_","Upgraded_",INDEX(LookUps!$E$5:$E$12,MATCH('AD Scenarios'!AF$11, LookUps!$C$5:$C$12,0)),"_", 'AD Scenarios'!$D31,"_", $C$7, "_", $C$6), OpenLCAbasic!$M:$M,0))</f>
        <v>4.5337699999999998E-5</v>
      </c>
      <c r="AG31" s="257">
        <f>INDEX(OpenLCAbasic!$J:$J, MATCH(CONCATENATE($C$5,"_", 'AD Scenarios'!AG$12,"_","Upgraded_",INDEX(LookUps!$E$5:$E$12,MATCH('AD Scenarios'!AG$11, LookUps!$C$5:$C$12,0)),"_", 'AD Scenarios'!$D31,"_", $C$7, "_", $C$6), OpenLCAbasic!$M:$M,0))</f>
        <v>7.3606600000000001E-5</v>
      </c>
      <c r="AH31" s="257">
        <f>INDEX(OpenLCAbasic!$J:$J, MATCH(CONCATENATE($C$5,"_", 'AD Scenarios'!AH$12,"_","Upgraded_",INDEX(LookUps!$E$5:$E$12,MATCH('AD Scenarios'!AH$11, LookUps!$C$5:$C$12,0)),"_", 'AD Scenarios'!$D31,"_", $C$7, "_", $C$6), OpenLCAbasic!$M:$M,0))</f>
        <v>6.47831E-5</v>
      </c>
      <c r="AI31" s="257">
        <f>INDEX(OpenLCAbasic!$J:$J, MATCH(CONCATENATE($C$5,"_", 'AD Scenarios'!AI$12,"_","Upgraded_",INDEX(LookUps!$E$5:$E$12,MATCH('AD Scenarios'!AI$11, LookUps!$C$5:$C$12,0)),"_", 'AD Scenarios'!$D31,"_", $C$7, "_", $C$6), OpenLCAbasic!$M:$M,0))</f>
        <v>6.1178299999999997E-5</v>
      </c>
      <c r="AJ31" s="258"/>
      <c r="AK31" s="257">
        <f>INDEX(OpenLCAbasic!$J:$J, MATCH(CONCATENATE($C$5,"_", 'AD Scenarios'!AK$12,"_","Upgraded_",INDEX(LookUps!$E$5:$E$12,MATCH('AD Scenarios'!AK$11, LookUps!$C$5:$C$12,0)),"_", 'AD Scenarios'!$D31,"_", $C$7, "_", $C$6), OpenLCAbasic!$M:$M,0))</f>
        <v>-2.98E-3</v>
      </c>
      <c r="AL31" s="257">
        <f>INDEX(OpenLCAbasic!$J:$J, MATCH(CONCATENATE($C$5,"_", 'AD Scenarios'!AL$12,"_","Upgraded_",INDEX(LookUps!$E$5:$E$12,MATCH('AD Scenarios'!AL$11, LookUps!$C$5:$C$12,0)),"_", 'AD Scenarios'!$D31,"_", $C$7, "_", $C$6), OpenLCAbasic!$M:$M,0))</f>
        <v>-2.6900000000000001E-3</v>
      </c>
      <c r="AM31" s="257">
        <f>INDEX(OpenLCAbasic!$J:$J, MATCH(CONCATENATE($C$5,"_", 'AD Scenarios'!AM$12,"_","Upgraded_",INDEX(LookUps!$E$5:$E$12,MATCH('AD Scenarios'!AM$11, LookUps!$C$5:$C$12,0)),"_", 'AD Scenarios'!$D31,"_", $C$7, "_", $C$6), OpenLCAbasic!$M:$M,0))</f>
        <v>-2.5600000000000002E-3</v>
      </c>
      <c r="AN31" s="257">
        <f>INDEX(OpenLCAbasic!$J:$J, MATCH(CONCATENATE($C$5,"_", 'AD Scenarios'!AN$12,"_","Upgraded_",INDEX(LookUps!$E$5:$E$12,MATCH('AD Scenarios'!AN$11, LookUps!$C$5:$C$12,0)),"_", 'AD Scenarios'!$D31,"_", $C$7, "_", $C$6), OpenLCAbasic!$M:$M,0))</f>
        <v>-4.1399999999999996E-3</v>
      </c>
      <c r="AO31" s="257">
        <f>INDEX(OpenLCAbasic!$J:$J, MATCH(CONCATENATE($C$5,"_", 'AD Scenarios'!AO$12,"_","Upgraded_",INDEX(LookUps!$E$5:$E$12,MATCH('AD Scenarios'!AO$11, LookUps!$C$5:$C$12,0)),"_", 'AD Scenarios'!$D31,"_", $C$7, "_", $C$6), OpenLCAbasic!$M:$M,0))</f>
        <v>-3.7100000000000002E-3</v>
      </c>
      <c r="AP31" s="257">
        <f>INDEX(OpenLCAbasic!$J:$J, MATCH(CONCATENATE($C$5,"_", 'AD Scenarios'!AP$12,"_","Upgraded_",INDEX(LookUps!$E$5:$E$12,MATCH('AD Scenarios'!AP$11, LookUps!$C$5:$C$12,0)),"_", 'AD Scenarios'!$D31,"_", $C$7, "_", $C$6), OpenLCAbasic!$M:$M,0))</f>
        <v>-3.5599999999999998E-3</v>
      </c>
      <c r="AQ31" s="257">
        <f>INDEX(OpenLCAbasic!$J:$J, MATCH(CONCATENATE($C$5,"_", 'AD Scenarios'!AQ$12,"_","Upgraded_",INDEX(LookUps!$E$5:$E$12,MATCH('AD Scenarios'!AQ$11, LookUps!$C$5:$C$12,0)),"_", 'AD Scenarios'!$D31,"_", $C$7, "_", $C$6), OpenLCAbasic!$M:$M,0))</f>
        <v>-5.7600000000000004E-3</v>
      </c>
      <c r="AR31" s="257">
        <f>INDEX(OpenLCAbasic!$J:$J, MATCH(CONCATENATE($C$5,"_", 'AD Scenarios'!AR$12,"_","Upgraded_",INDEX(LookUps!$E$5:$E$12,MATCH('AD Scenarios'!AR$11, LookUps!$C$5:$C$12,0)),"_", 'AD Scenarios'!$D31,"_", $C$7, "_", $C$6), OpenLCAbasic!$M:$M,0))</f>
        <v>-5.1000000000000004E-3</v>
      </c>
      <c r="AS31" s="257">
        <f>INDEX(OpenLCAbasic!$J:$J, MATCH(CONCATENATE($C$5,"_", 'AD Scenarios'!AS$12,"_","Upgraded_",INDEX(LookUps!$E$5:$E$12,MATCH('AD Scenarios'!AS$11, LookUps!$C$5:$C$12,0)),"_", 'AD Scenarios'!$D31,"_", $C$7, "_", $C$6), OpenLCAbasic!$M:$M,0))</f>
        <v>-4.7999999999999996E-3</v>
      </c>
      <c r="AT31" s="258"/>
      <c r="AU31" s="257">
        <f>INDEX(OpenLCAbasic!$J:$J, MATCH(CONCATENATE($C$5,"_", 'AD Scenarios'!AU$12,"_","Upgraded_",INDEX(LookUps!$E$5:$E$12,MATCH('AD Scenarios'!AU$11, LookUps!$C$5:$C$12,0)),"_", 'AD Scenarios'!$D31,"_", $C$7, "_", $C$6), OpenLCAbasic!$M:$M,0))</f>
        <v>2.6099999999999999E-3</v>
      </c>
      <c r="AV31" s="257">
        <f>INDEX(OpenLCAbasic!$J:$J, MATCH(CONCATENATE($C$5,"_", 'AD Scenarios'!AV$12,"_","Upgraded_",INDEX(LookUps!$E$5:$E$12,MATCH('AD Scenarios'!AV$11, LookUps!$C$5:$C$12,0)),"_", 'AD Scenarios'!$D31,"_", $C$7, "_", $C$6), OpenLCAbasic!$M:$M,0))</f>
        <v>2.3500000000000001E-3</v>
      </c>
      <c r="AW31" s="257">
        <f>INDEX(OpenLCAbasic!$J:$J, MATCH(CONCATENATE($C$5,"_", 'AD Scenarios'!AW$12,"_","Upgraded_",INDEX(LookUps!$E$5:$E$12,MATCH('AD Scenarios'!AW$11, LookUps!$C$5:$C$12,0)),"_", 'AD Scenarios'!$D31,"_", $C$7, "_", $C$6), OpenLCAbasic!$M:$M,0))</f>
        <v>2.2399999999999998E-3</v>
      </c>
      <c r="AX31" s="257">
        <f>INDEX(OpenLCAbasic!$J:$J, MATCH(CONCATENATE($C$5,"_", 'AD Scenarios'!AX$12,"_","Upgraded_",INDEX(LookUps!$E$5:$E$12,MATCH('AD Scenarios'!AX$11, LookUps!$C$5:$C$12,0)),"_", 'AD Scenarios'!$D31,"_", $C$7, "_", $C$6), OpenLCAbasic!$M:$M,0))</f>
        <v>3.62E-3</v>
      </c>
      <c r="AY31" s="257">
        <f>INDEX(OpenLCAbasic!$J:$J, MATCH(CONCATENATE($C$5,"_", 'AD Scenarios'!AY$12,"_","Upgraded_",INDEX(LookUps!$E$5:$E$12,MATCH('AD Scenarios'!AY$11, LookUps!$C$5:$C$12,0)),"_", 'AD Scenarios'!$D31,"_", $C$7, "_", $C$6), OpenLCAbasic!$M:$M,0))</f>
        <v>3.2399999999999998E-3</v>
      </c>
      <c r="AZ31" s="257">
        <f>INDEX(OpenLCAbasic!$J:$J, MATCH(CONCATENATE($C$5,"_", 'AD Scenarios'!AZ$12,"_","Upgraded_",INDEX(LookUps!$E$5:$E$12,MATCH('AD Scenarios'!AZ$11, LookUps!$C$5:$C$12,0)),"_", 'AD Scenarios'!$D31,"_", $C$7, "_", $C$6), OpenLCAbasic!$M:$M,0))</f>
        <v>3.1099999999999999E-3</v>
      </c>
      <c r="BA31" s="257">
        <f>INDEX(OpenLCAbasic!$J:$J, MATCH(CONCATENATE($C$5,"_", 'AD Scenarios'!BA$12,"_","Upgraded_",INDEX(LookUps!$E$5:$E$12,MATCH('AD Scenarios'!BA$11, LookUps!$C$5:$C$12,0)),"_", 'AD Scenarios'!$D31,"_", $C$7, "_", $C$6), OpenLCAbasic!$M:$M,0))</f>
        <v>5.0400000000000002E-3</v>
      </c>
      <c r="BB31" s="257">
        <f>INDEX(OpenLCAbasic!$J:$J, MATCH(CONCATENATE($C$5,"_", 'AD Scenarios'!BB$12,"_","Upgraded_",INDEX(LookUps!$E$5:$E$12,MATCH('AD Scenarios'!BB$11, LookUps!$C$5:$C$12,0)),"_", 'AD Scenarios'!$D31,"_", $C$7, "_", $C$6), OpenLCAbasic!$M:$M,0))</f>
        <v>4.45E-3</v>
      </c>
      <c r="BC31" s="257">
        <f>INDEX(OpenLCAbasic!$J:$J, MATCH(CONCATENATE($C$5,"_", 'AD Scenarios'!BC$12,"_","Upgraded_",INDEX(LookUps!$E$5:$E$12,MATCH('AD Scenarios'!BC$11, LookUps!$C$5:$C$12,0)),"_", 'AD Scenarios'!$D31,"_", $C$7, "_", $C$6), OpenLCAbasic!$M:$M,0))</f>
        <v>4.1999999999999997E-3</v>
      </c>
      <c r="BD31" s="258"/>
      <c r="BE31" s="257">
        <f>INDEX(OpenLCAbasic!$J:$J, MATCH(CONCATENATE($C$5,"_", 'AD Scenarios'!BE$12,"_","Upgraded_",INDEX(LookUps!$E$5:$E$12,MATCH('AD Scenarios'!BE$11, LookUps!$C$5:$C$12,0)),"_", 'AD Scenarios'!$D31,"_", $C$7, "_", $C$6), OpenLCAbasic!$M:$M,0))</f>
        <v>-1.2700000000000001E-3</v>
      </c>
      <c r="BF31" s="257">
        <f>INDEX(OpenLCAbasic!$J:$J, MATCH(CONCATENATE($C$5,"_", 'AD Scenarios'!BF$12,"_","Upgraded_",INDEX(LookUps!$E$5:$E$12,MATCH('AD Scenarios'!BF$11, LookUps!$C$5:$C$12,0)),"_", 'AD Scenarios'!$D31,"_", $C$7, "_", $C$6), OpenLCAbasic!$M:$M,0))</f>
        <v>-1.15E-3</v>
      </c>
      <c r="BG31" s="257">
        <f>INDEX(OpenLCAbasic!$J:$J, MATCH(CONCATENATE($C$5,"_", 'AD Scenarios'!BG$12,"_","Upgraded_",INDEX(LookUps!$E$5:$E$12,MATCH('AD Scenarios'!BG$11, LookUps!$C$5:$C$12,0)),"_", 'AD Scenarios'!$D31,"_", $C$7, "_", $C$6), OpenLCAbasic!$M:$M,0))</f>
        <v>-1.09E-3</v>
      </c>
      <c r="BH31" s="257">
        <f>INDEX(OpenLCAbasic!$J:$J, MATCH(CONCATENATE($C$5,"_", 'AD Scenarios'!BH$12,"_","Upgraded_",INDEX(LookUps!$E$5:$E$12,MATCH('AD Scenarios'!BH$11, LookUps!$C$5:$C$12,0)),"_", 'AD Scenarios'!$D31,"_", $C$7, "_", $C$6), OpenLCAbasic!$M:$M,0))</f>
        <v>-1.7700000000000001E-3</v>
      </c>
      <c r="BI31" s="257">
        <f>INDEX(OpenLCAbasic!$J:$J, MATCH(CONCATENATE($C$5,"_", 'AD Scenarios'!BI$12,"_","Upgraded_",INDEX(LookUps!$E$5:$E$12,MATCH('AD Scenarios'!BI$11, LookUps!$C$5:$C$12,0)),"_", 'AD Scenarios'!$D31,"_", $C$7, "_", $C$6), OpenLCAbasic!$M:$M,0))</f>
        <v>-1.58E-3</v>
      </c>
      <c r="BJ31" s="257">
        <f>INDEX(OpenLCAbasic!$J:$J, MATCH(CONCATENATE($C$5,"_", 'AD Scenarios'!BJ$12,"_","Upgraded_",INDEX(LookUps!$E$5:$E$12,MATCH('AD Scenarios'!BJ$11, LookUps!$C$5:$C$12,0)),"_", 'AD Scenarios'!$D31,"_", $C$7, "_", $C$6), OpenLCAbasic!$M:$M,0))</f>
        <v>-1.5200000000000001E-3</v>
      </c>
      <c r="BK31" s="257">
        <f>INDEX(OpenLCAbasic!$J:$J, MATCH(CONCATENATE($C$5,"_", 'AD Scenarios'!BK$12,"_","Upgraded_",INDEX(LookUps!$E$5:$E$12,MATCH('AD Scenarios'!BK$11, LookUps!$C$5:$C$12,0)),"_", 'AD Scenarios'!$D31,"_", $C$7, "_", $C$6), OpenLCAbasic!$M:$M,0))</f>
        <v>-2.4599999999999999E-3</v>
      </c>
      <c r="BL31" s="257">
        <f>INDEX(OpenLCAbasic!$J:$J, MATCH(CONCATENATE($C$5,"_", 'AD Scenarios'!BL$12,"_","Upgraded_",INDEX(LookUps!$E$5:$E$12,MATCH('AD Scenarios'!BL$11, LookUps!$C$5:$C$12,0)),"_", 'AD Scenarios'!$D31,"_", $C$7, "_", $C$6), OpenLCAbasic!$M:$M,0))</f>
        <v>-2.1800000000000001E-3</v>
      </c>
      <c r="BM31" s="257">
        <f>INDEX(OpenLCAbasic!$J:$J, MATCH(CONCATENATE($C$5,"_", 'AD Scenarios'!BM$12,"_","Upgraded_",INDEX(LookUps!$E$5:$E$12,MATCH('AD Scenarios'!BM$11, LookUps!$C$5:$C$12,0)),"_", 'AD Scenarios'!$D31,"_", $C$7, "_", $C$6), OpenLCAbasic!$M:$M,0))</f>
        <v>-2.0500000000000002E-3</v>
      </c>
      <c r="BN31" s="258"/>
      <c r="BO31" s="257">
        <f>INDEX(OpenLCAbasic!$J:$J, MATCH(CONCATENATE($C$5,"_", 'AD Scenarios'!BO$12,"_","Upgraded_",INDEX(LookUps!$E$5:$E$12,MATCH('AD Scenarios'!BO$11, LookUps!$C$5:$C$12,0)),"_", 'AD Scenarios'!$D31,"_", $C$7, "_", $C$6), OpenLCAbasic!$M:$M,0))</f>
        <v>-6.1900000000000002E-3</v>
      </c>
      <c r="BP31" s="257">
        <f>INDEX(OpenLCAbasic!$J:$J, MATCH(CONCATENATE($C$5,"_", 'AD Scenarios'!BP$12,"_","Upgraded_",INDEX(LookUps!$E$5:$E$12,MATCH('AD Scenarios'!BP$11, LookUps!$C$5:$C$12,0)),"_", 'AD Scenarios'!$D31,"_", $C$7, "_", $C$6), OpenLCAbasic!$M:$M,0))</f>
        <v>-5.5700000000000003E-3</v>
      </c>
      <c r="BQ31" s="257">
        <f>INDEX(OpenLCAbasic!$J:$J, MATCH(CONCATENATE($C$5,"_", 'AD Scenarios'!BQ$12,"_","Upgraded_",INDEX(LookUps!$E$5:$E$12,MATCH('AD Scenarios'!BQ$11, LookUps!$C$5:$C$12,0)),"_", 'AD Scenarios'!$D31,"_", $C$7, "_", $C$6), OpenLCAbasic!$M:$M,0))</f>
        <v>-5.3099999999999996E-3</v>
      </c>
      <c r="BR31" s="257">
        <f>INDEX(OpenLCAbasic!$J:$J, MATCH(CONCATENATE($C$5,"_", 'AD Scenarios'!BR$12,"_","Upgraded_",INDEX(LookUps!$E$5:$E$12,MATCH('AD Scenarios'!BR$11, LookUps!$C$5:$C$12,0)),"_", 'AD Scenarios'!$D31,"_", $C$7, "_", $C$6), OpenLCAbasic!$M:$M,0))</f>
        <v>-8.5900000000000004E-3</v>
      </c>
      <c r="BS31" s="257">
        <f>INDEX(OpenLCAbasic!$J:$J, MATCH(CONCATENATE($C$5,"_", 'AD Scenarios'!BS$12,"_","Upgraded_",INDEX(LookUps!$E$5:$E$12,MATCH('AD Scenarios'!BS$11, LookUps!$C$5:$C$12,0)),"_", 'AD Scenarios'!$D31,"_", $C$7, "_", $C$6), OpenLCAbasic!$M:$M,0))</f>
        <v>-7.6899999999999998E-3</v>
      </c>
      <c r="BT31" s="257">
        <f>INDEX(OpenLCAbasic!$J:$J, MATCH(CONCATENATE($C$5,"_", 'AD Scenarios'!BT$12,"_","Upgraded_",INDEX(LookUps!$E$5:$E$12,MATCH('AD Scenarios'!BT$11, LookUps!$C$5:$C$12,0)),"_", 'AD Scenarios'!$D31,"_", $C$7, "_", $C$6), OpenLCAbasic!$M:$M,0))</f>
        <v>-7.3800000000000003E-3</v>
      </c>
      <c r="BU31" s="256">
        <f>INDEX(OpenLCAbasic!$J:$J, MATCH(CONCATENATE($C$5,"_", 'AD Scenarios'!BU$12,"_","Upgraded_",INDEX(LookUps!$E$5:$E$12,MATCH('AD Scenarios'!BU$11, LookUps!$C$5:$C$12,0)),"_", 'AD Scenarios'!$D31,"_", $C$7, "_", $C$6), OpenLCAbasic!$M:$M,0))</f>
        <v>-1.196E-2</v>
      </c>
      <c r="BV31" s="256">
        <f>INDEX(OpenLCAbasic!$J:$J, MATCH(CONCATENATE($C$5,"_", 'AD Scenarios'!BV$12,"_","Upgraded_",INDEX(LookUps!$E$5:$E$12,MATCH('AD Scenarios'!BV$11, LookUps!$C$5:$C$12,0)),"_", 'AD Scenarios'!$D31,"_", $C$7, "_", $C$6), OpenLCAbasic!$M:$M,0))</f>
        <v>-1.056E-2</v>
      </c>
      <c r="BW31" s="257">
        <f>INDEX(OpenLCAbasic!$J:$J, MATCH(CONCATENATE($C$5,"_", 'AD Scenarios'!BW$12,"_","Upgraded_",INDEX(LookUps!$E$5:$E$12,MATCH('AD Scenarios'!BW$11, LookUps!$C$5:$C$12,0)),"_", 'AD Scenarios'!$D31,"_", $C$7, "_", $C$6), OpenLCAbasic!$M:$M,0))</f>
        <v>-9.9500000000000005E-3</v>
      </c>
      <c r="BX31" s="258"/>
      <c r="BY31" s="256">
        <f>INDEX(OpenLCAbasic!$J:$J, MATCH(CONCATENATE($C$5,"_", 'AD Scenarios'!BY$12,"_","Upgraded_",INDEX(LookUps!$E$5:$E$12,MATCH('AD Scenarios'!BY$11, LookUps!$C$5:$C$12,0)),"_", 'AD Scenarios'!$D31,"_", $C$7, "_", $C$6), OpenLCAbasic!$M:$M,0))</f>
        <v>-0.4587</v>
      </c>
      <c r="BZ31" s="256">
        <f>INDEX(OpenLCAbasic!$J:$J, MATCH(CONCATENATE($C$5,"_", 'AD Scenarios'!BZ$12,"_","Upgraded_",INDEX(LookUps!$E$5:$E$12,MATCH('AD Scenarios'!BZ$11, LookUps!$C$5:$C$12,0)),"_", 'AD Scenarios'!$D31,"_", $C$7, "_", $C$6), OpenLCAbasic!$M:$M,0))</f>
        <v>-0.41310000000000002</v>
      </c>
      <c r="CA31" s="256">
        <f>INDEX(OpenLCAbasic!$J:$J, MATCH(CONCATENATE($C$5,"_", 'AD Scenarios'!CA$12,"_","Upgraded_",INDEX(LookUps!$E$5:$E$12,MATCH('AD Scenarios'!CA$11, LookUps!$C$5:$C$12,0)),"_", 'AD Scenarios'!$D31,"_", $C$7, "_", $C$6), OpenLCAbasic!$M:$M,0))</f>
        <v>-0.39335999999999999</v>
      </c>
      <c r="CB31" s="256">
        <f>INDEX(OpenLCAbasic!$J:$J, MATCH(CONCATENATE($C$5,"_", 'AD Scenarios'!CB$12,"_","Upgraded_",INDEX(LookUps!$E$5:$E$12,MATCH('AD Scenarios'!CB$11, LookUps!$C$5:$C$12,0)),"_", 'AD Scenarios'!$D31,"_", $C$7, "_", $C$6), OpenLCAbasic!$M:$M,0))</f>
        <v>-0.63678999999999997</v>
      </c>
      <c r="CC31" s="256">
        <f>INDEX(OpenLCAbasic!$J:$J, MATCH(CONCATENATE($C$5,"_", 'AD Scenarios'!CC$12,"_","Upgraded_",INDEX(LookUps!$E$5:$E$12,MATCH('AD Scenarios'!CC$11, LookUps!$C$5:$C$12,0)),"_", 'AD Scenarios'!$D31,"_", $C$7, "_", $C$6), OpenLCAbasic!$M:$M,0))</f>
        <v>-0.56996999999999998</v>
      </c>
      <c r="CD31" s="256">
        <f>INDEX(OpenLCAbasic!$J:$J, MATCH(CONCATENATE($C$5,"_", 'AD Scenarios'!CD$12,"_","Upgraded_",INDEX(LookUps!$E$5:$E$12,MATCH('AD Scenarios'!CD$11, LookUps!$C$5:$C$12,0)),"_", 'AD Scenarios'!$D31,"_", $C$7, "_", $C$6), OpenLCAbasic!$M:$M,0))</f>
        <v>-0.54757999999999996</v>
      </c>
      <c r="CE31" s="256">
        <f>INDEX(OpenLCAbasic!$J:$J, MATCH(CONCATENATE($C$5,"_", 'AD Scenarios'!CE$12,"_","Upgraded_",INDEX(LookUps!$E$5:$E$12,MATCH('AD Scenarios'!CE$11, LookUps!$C$5:$C$12,0)),"_", 'AD Scenarios'!$D31,"_", $C$7, "_", $C$6), OpenLCAbasic!$M:$M,0))</f>
        <v>-0.88626000000000005</v>
      </c>
      <c r="CF31" s="256">
        <f>INDEX(OpenLCAbasic!$J:$J, MATCH(CONCATENATE($C$5,"_", 'AD Scenarios'!CF$12,"_","Upgraded_",INDEX(LookUps!$E$5:$E$12,MATCH('AD Scenarios'!CF$11, LookUps!$C$5:$C$12,0)),"_", 'AD Scenarios'!$D31,"_", $C$7, "_", $C$6), OpenLCAbasic!$M:$M,0))</f>
        <v>-0.78339000000000003</v>
      </c>
      <c r="CG31" s="256">
        <f>INDEX(OpenLCAbasic!$J:$J, MATCH(CONCATENATE($C$5,"_", 'AD Scenarios'!CG$12,"_","Upgraded_",INDEX(LookUps!$E$5:$E$12,MATCH('AD Scenarios'!CG$11, LookUps!$C$5:$C$12,0)),"_", 'AD Scenarios'!$D31,"_", $C$7, "_", $C$6), OpenLCAbasic!$M:$M,0))</f>
        <v>-0.73780999999999997</v>
      </c>
    </row>
    <row r="32" spans="2:85" x14ac:dyDescent="0.25">
      <c r="B32" s="363"/>
      <c r="C32" s="81" t="str">
        <f>LookUps!$H$18</f>
        <v>Sludge Disposal; wastewater treatment unit - US</v>
      </c>
      <c r="D32" s="116"/>
      <c r="E32" s="104" t="str">
        <f>LookUps!H18</f>
        <v>Sludge Disposal; wastewater treatment unit - US</v>
      </c>
      <c r="F32" s="256">
        <f>INDEX(OpenLCAbasic!$J:$J, MATCH(CONCATENATE($C$5,"_", 'AD Scenarios'!F$12,"_","Legacy_",INDEX(LookUps!$E$5:$E$12,MATCH('AD Scenarios'!F$11, LookUps!$C$5:$C$12,0)),"_", 'AD Scenarios'!$E32,"_", $C$8,"_n.a."), OpenLCAbasic!$M:$M,0))</f>
        <v>0.46127000000000001</v>
      </c>
      <c r="G32" s="258"/>
      <c r="H32" s="258"/>
      <c r="I32" s="258"/>
      <c r="J32" s="258"/>
      <c r="K32" s="258"/>
      <c r="L32" s="258"/>
      <c r="M32" s="258"/>
      <c r="N32" s="258"/>
      <c r="O32" s="258"/>
      <c r="P32" s="257">
        <f>INDEX(OpenLCAbasic!$J:$J, MATCH(CONCATENATE($C$5,"_", 'AD Scenarios'!P$12,"_","Legacy_",INDEX(LookUps!$E$5:$E$12,MATCH('AD Scenarios'!P$11, LookUps!$C$5:$C$12,0)),"_", 'AD Scenarios'!$E32,"_", $C$8,"_n.a."), OpenLCAbasic!$M:$M,0))</f>
        <v>-9.3526300000000006E-5</v>
      </c>
      <c r="Q32" s="258"/>
      <c r="R32" s="258"/>
      <c r="S32" s="258"/>
      <c r="T32" s="258"/>
      <c r="U32" s="258"/>
      <c r="V32" s="258"/>
      <c r="W32" s="258"/>
      <c r="X32" s="258"/>
      <c r="Y32" s="258"/>
      <c r="Z32" s="257">
        <f>INDEX(OpenLCAbasic!$J:$J, MATCH(CONCATENATE($C$5,"_", 'AD Scenarios'!Z$12,"_","Legacy_",INDEX(LookUps!$E$5:$E$12,MATCH('AD Scenarios'!Z$11, LookUps!$C$5:$C$12,0)),"_", 'AD Scenarios'!$E32,"_", $C$8,"_n.a."), OpenLCAbasic!$M:$M,0))</f>
        <v>-5.1000000000000004E-4</v>
      </c>
      <c r="AA32" s="258"/>
      <c r="AB32" s="258"/>
      <c r="AC32" s="258"/>
      <c r="AD32" s="258"/>
      <c r="AE32" s="258"/>
      <c r="AF32" s="258"/>
      <c r="AG32" s="258"/>
      <c r="AH32" s="258"/>
      <c r="AI32" s="258"/>
      <c r="AJ32" s="256">
        <f>INDEX(OpenLCAbasic!$J:$J, MATCH(CONCATENATE($C$5,"_", 'AD Scenarios'!AJ$12,"_","Legacy_",INDEX(LookUps!$E$5:$E$12,MATCH('AD Scenarios'!AJ$11, LookUps!$C$5:$C$12,0)),"_", 'AD Scenarios'!$E32,"_", $C$8,"_n.a."), OpenLCAbasic!$M:$M,0))</f>
        <v>-3.4869999999999998E-2</v>
      </c>
      <c r="AK32" s="258"/>
      <c r="AL32" s="258"/>
      <c r="AM32" s="258"/>
      <c r="AN32" s="258"/>
      <c r="AO32" s="258"/>
      <c r="AP32" s="258"/>
      <c r="AQ32" s="258"/>
      <c r="AR32" s="258"/>
      <c r="AS32" s="258"/>
      <c r="AT32" s="257">
        <f>INDEX(OpenLCAbasic!$J:$J, MATCH(CONCATENATE($C$5,"_", 'AD Scenarios'!AT$12,"_","Legacy_",INDEX(LookUps!$E$5:$E$12,MATCH('AD Scenarios'!AT$11, LookUps!$C$5:$C$12,0)),"_", 'AD Scenarios'!$E32,"_", $C$8,"_n.a."), OpenLCAbasic!$M:$M,0))</f>
        <v>-3.7200000000000002E-3</v>
      </c>
      <c r="AU32" s="258"/>
      <c r="AV32" s="258"/>
      <c r="AW32" s="258"/>
      <c r="AX32" s="258"/>
      <c r="AY32" s="258"/>
      <c r="AZ32" s="258"/>
      <c r="BA32" s="258"/>
      <c r="BB32" s="258"/>
      <c r="BC32" s="258"/>
      <c r="BD32" s="257">
        <f>INDEX(OpenLCAbasic!$J:$J, MATCH(CONCATENATE($C$5,"_", 'AD Scenarios'!BD$12,"_","Legacy_",INDEX(LookUps!$E$5:$E$12,MATCH('AD Scenarios'!BD$11, LookUps!$C$5:$C$12,0)),"_", 'AD Scenarios'!$E32,"_", $C$8,"_n.a."), OpenLCAbasic!$M:$M,0))</f>
        <v>1.4142699999999999E-5</v>
      </c>
      <c r="BE32" s="258"/>
      <c r="BF32" s="258"/>
      <c r="BG32" s="258"/>
      <c r="BH32" s="258"/>
      <c r="BI32" s="258"/>
      <c r="BJ32" s="258"/>
      <c r="BK32" s="258"/>
      <c r="BL32" s="258"/>
      <c r="BM32" s="258"/>
      <c r="BN32" s="256">
        <f>INDEX(OpenLCAbasic!$J:$J, MATCH(CONCATENATE($C$5,"_", 'AD Scenarios'!BN$12,"_","Legacy_",INDEX(LookUps!$E$5:$E$12,MATCH('AD Scenarios'!BN$11, LookUps!$C$5:$C$12,0)),"_", 'AD Scenarios'!$E32,"_", $C$8,"_n.a."), OpenLCAbasic!$M:$M,0))</f>
        <v>1.01E-2</v>
      </c>
      <c r="BO32" s="258"/>
      <c r="BP32" s="258"/>
      <c r="BQ32" s="258"/>
      <c r="BR32" s="258"/>
      <c r="BS32" s="258"/>
      <c r="BT32" s="258"/>
      <c r="BU32" s="258"/>
      <c r="BV32" s="258"/>
      <c r="BW32" s="258"/>
      <c r="BX32" s="256">
        <f>INDEX(OpenLCAbasic!$J:$J, MATCH(CONCATENATE($C$5,"_", 'AD Scenarios'!BX$12,"_","Legacy_",INDEX(LookUps!$E$5:$E$12,MATCH('AD Scenarios'!BX$11, LookUps!$C$5:$C$12,0)),"_", 'AD Scenarios'!$E32,"_", $C$8,"_n.a."), OpenLCAbasic!$M:$M,0))</f>
        <v>0.24776000000000001</v>
      </c>
      <c r="BY32" s="258"/>
      <c r="BZ32" s="258"/>
      <c r="CA32" s="258"/>
      <c r="CB32" s="258"/>
      <c r="CC32" s="258"/>
      <c r="CD32" s="258"/>
      <c r="CE32" s="258"/>
      <c r="CF32" s="258"/>
      <c r="CG32" s="258"/>
    </row>
    <row r="33" spans="2:85" x14ac:dyDescent="0.25">
      <c r="B33" s="363"/>
      <c r="C33" s="81" t="str">
        <f>LookUps!$G$20</f>
        <v>Effluent release; wastewater treatment unit; at surface water; m3 wastewater - US</v>
      </c>
      <c r="D33" s="115" t="str">
        <f>LookUps!G20</f>
        <v>Effluent release; wastewater treatment unit; at surface water; m3 wastewater - US</v>
      </c>
      <c r="E33" s="104" t="str">
        <f>LookUps!H20</f>
        <v>Effluent release; wastewater treatment unit; at surface water; m3 wastewater - US</v>
      </c>
      <c r="F33" s="256">
        <f>INDEX(OpenLCAbasic!$J:$J, MATCH(CONCATENATE("Base","_", 'AD Scenarios'!F$12,"_","Legacy_",INDEX(LookUps!$E$5:$E$12,MATCH('AD Scenarios'!F$11, LookUps!$C$5:$C$12,0)),"_", 'AD Scenarios'!$E33,"_", $C$8,"_","n.a." ), OpenLCAbasic!$M:$M,0))</f>
        <v>7.4099999999999999E-2</v>
      </c>
      <c r="G33" s="256">
        <f>INDEX(OpenLCAbasic!$J:$J, MATCH(CONCATENATE($C$5,"_", 'AD Scenarios'!G$12,"_","Upgraded_",INDEX(LookUps!$E$5:$E$12,MATCH('AD Scenarios'!G$11, LookUps!$C$5:$C$12,0)),"_", 'AD Scenarios'!$D33,"_", $C$7, "_", $C$6), OpenLCAbasic!$M:$M,0))</f>
        <v>5.2639999999999999E-2</v>
      </c>
      <c r="H33" s="256">
        <f>INDEX(OpenLCAbasic!$J:$J, MATCH(CONCATENATE($C$5,"_", 'AD Scenarios'!H$12,"_","Upgraded_",INDEX(LookUps!$E$5:$E$12,MATCH('AD Scenarios'!H$11, LookUps!$C$5:$C$12,0)),"_", 'AD Scenarios'!$D33,"_", $C$7, "_", $C$6), OpenLCAbasic!$M:$M,0))</f>
        <v>5.2639999999999999E-2</v>
      </c>
      <c r="I33" s="256">
        <f>INDEX(OpenLCAbasic!$J:$J, MATCH(CONCATENATE($C$5,"_", 'AD Scenarios'!I$12,"_","Upgraded_",INDEX(LookUps!$E$5:$E$12,MATCH('AD Scenarios'!I$11, LookUps!$C$5:$C$12,0)),"_", 'AD Scenarios'!$D33,"_", $C$7, "_", $C$6), OpenLCAbasic!$M:$M,0))</f>
        <v>5.2639999999999999E-2</v>
      </c>
      <c r="J33" s="256">
        <f>INDEX(OpenLCAbasic!$J:$J, MATCH(CONCATENATE($C$5,"_", 'AD Scenarios'!J$12,"_","Upgraded_",INDEX(LookUps!$E$5:$E$12,MATCH('AD Scenarios'!J$11, LookUps!$C$5:$C$12,0)),"_", 'AD Scenarios'!$D33,"_", $C$7, "_", $C$6), OpenLCAbasic!$M:$M,0))</f>
        <v>5.2639999999999999E-2</v>
      </c>
      <c r="K33" s="256">
        <f>INDEX(OpenLCAbasic!$J:$J, MATCH(CONCATENATE($C$5,"_", 'AD Scenarios'!K$12,"_","Upgraded_",INDEX(LookUps!$E$5:$E$12,MATCH('AD Scenarios'!K$11, LookUps!$C$5:$C$12,0)),"_", 'AD Scenarios'!$D33,"_", $C$7, "_", $C$6), OpenLCAbasic!$M:$M,0))</f>
        <v>5.2639999999999999E-2</v>
      </c>
      <c r="L33" s="256">
        <f>INDEX(OpenLCAbasic!$J:$J, MATCH(CONCATENATE($C$5,"_", 'AD Scenarios'!L$12,"_","Upgraded_",INDEX(LookUps!$E$5:$E$12,MATCH('AD Scenarios'!L$11, LookUps!$C$5:$C$12,0)),"_", 'AD Scenarios'!$D33,"_", $C$7, "_", $C$6), OpenLCAbasic!$M:$M,0))</f>
        <v>5.2639999999999999E-2</v>
      </c>
      <c r="M33" s="256">
        <f>INDEX(OpenLCAbasic!$J:$J, MATCH(CONCATENATE($C$5,"_", 'AD Scenarios'!M$12,"_","Upgraded_",INDEX(LookUps!$E$5:$E$12,MATCH('AD Scenarios'!M$11, LookUps!$C$5:$C$12,0)),"_", 'AD Scenarios'!$D33,"_", $C$7, "_", $C$6), OpenLCAbasic!$M:$M,0))</f>
        <v>5.2639999999999999E-2</v>
      </c>
      <c r="N33" s="256">
        <f>INDEX(OpenLCAbasic!$J:$J, MATCH(CONCATENATE($C$5,"_", 'AD Scenarios'!N$12,"_","Upgraded_",INDEX(LookUps!$E$5:$E$12,MATCH('AD Scenarios'!N$11, LookUps!$C$5:$C$12,0)),"_", 'AD Scenarios'!$D33,"_", $C$7, "_", $C$6), OpenLCAbasic!$M:$M,0))</f>
        <v>5.2639999999999999E-2</v>
      </c>
      <c r="O33" s="256">
        <f>INDEX(OpenLCAbasic!$J:$J, MATCH(CONCATENATE($C$5,"_", 'AD Scenarios'!O$12,"_","Upgraded_",INDEX(LookUps!$E$5:$E$12,MATCH('AD Scenarios'!O$11, LookUps!$C$5:$C$12,0)),"_", 'AD Scenarios'!$D33,"_", $C$7, "_", $C$6), OpenLCAbasic!$M:$M,0))</f>
        <v>5.2639999999999999E-2</v>
      </c>
      <c r="P33" s="256">
        <f>INDEX(OpenLCAbasic!$J:$J, MATCH(CONCATENATE("Base","_", 'AD Scenarios'!P$12,"_","Legacy_",INDEX(LookUps!$E$5:$E$12,MATCH('AD Scenarios'!P$11, LookUps!$C$5:$C$12,0)),"_", 'AD Scenarios'!$E33,"_", $C$8,"_","n.a." ), OpenLCAbasic!$M:$M,0))</f>
        <v>2.3099999999999999E-2</v>
      </c>
      <c r="Q33" s="256">
        <f>INDEX(OpenLCAbasic!$J:$J, MATCH(CONCATENATE($C$5,"_", 'AD Scenarios'!Q$12,"_","Upgraded_",INDEX(LookUps!$E$5:$E$12,MATCH('AD Scenarios'!Q$11, LookUps!$C$5:$C$12,0)),"_", 'AD Scenarios'!$D33,"_", $C$7, "_", $C$6), OpenLCAbasic!$M:$M,0))</f>
        <v>1.1610000000000001E-2</v>
      </c>
      <c r="R33" s="256">
        <f>INDEX(OpenLCAbasic!$J:$J, MATCH(CONCATENATE($C$5,"_", 'AD Scenarios'!R$12,"_","Upgraded_",INDEX(LookUps!$E$5:$E$12,MATCH('AD Scenarios'!R$11, LookUps!$C$5:$C$12,0)),"_", 'AD Scenarios'!$D33,"_", $C$7, "_", $C$6), OpenLCAbasic!$M:$M,0))</f>
        <v>1.1610000000000001E-2</v>
      </c>
      <c r="S33" s="256">
        <f>INDEX(OpenLCAbasic!$J:$J, MATCH(CONCATENATE($C$5,"_", 'AD Scenarios'!S$12,"_","Upgraded_",INDEX(LookUps!$E$5:$E$12,MATCH('AD Scenarios'!S$11, LookUps!$C$5:$C$12,0)),"_", 'AD Scenarios'!$D33,"_", $C$7, "_", $C$6), OpenLCAbasic!$M:$M,0))</f>
        <v>1.1610000000000001E-2</v>
      </c>
      <c r="T33" s="256">
        <f>INDEX(OpenLCAbasic!$J:$J, MATCH(CONCATENATE($C$5,"_", 'AD Scenarios'!T$12,"_","Upgraded_",INDEX(LookUps!$E$5:$E$12,MATCH('AD Scenarios'!T$11, LookUps!$C$5:$C$12,0)),"_", 'AD Scenarios'!$D33,"_", $C$7, "_", $C$6), OpenLCAbasic!$M:$M,0))</f>
        <v>1.1610000000000001E-2</v>
      </c>
      <c r="U33" s="256">
        <f>INDEX(OpenLCAbasic!$J:$J, MATCH(CONCATENATE($C$5,"_", 'AD Scenarios'!U$12,"_","Upgraded_",INDEX(LookUps!$E$5:$E$12,MATCH('AD Scenarios'!U$11, LookUps!$C$5:$C$12,0)),"_", 'AD Scenarios'!$D33,"_", $C$7, "_", $C$6), OpenLCAbasic!$M:$M,0))</f>
        <v>1.1610000000000001E-2</v>
      </c>
      <c r="V33" s="256">
        <f>INDEX(OpenLCAbasic!$J:$J, MATCH(CONCATENATE($C$5,"_", 'AD Scenarios'!V$12,"_","Upgraded_",INDEX(LookUps!$E$5:$E$12,MATCH('AD Scenarios'!V$11, LookUps!$C$5:$C$12,0)),"_", 'AD Scenarios'!$D33,"_", $C$7, "_", $C$6), OpenLCAbasic!$M:$M,0))</f>
        <v>1.1610000000000001E-2</v>
      </c>
      <c r="W33" s="256">
        <f>INDEX(OpenLCAbasic!$J:$J, MATCH(CONCATENATE($C$5,"_", 'AD Scenarios'!W$12,"_","Upgraded_",INDEX(LookUps!$E$5:$E$12,MATCH('AD Scenarios'!W$11, LookUps!$C$5:$C$12,0)),"_", 'AD Scenarios'!$D33,"_", $C$7, "_", $C$6), OpenLCAbasic!$M:$M,0))</f>
        <v>1.1610000000000001E-2</v>
      </c>
      <c r="X33" s="256">
        <f>INDEX(OpenLCAbasic!$J:$J, MATCH(CONCATENATE($C$5,"_", 'AD Scenarios'!X$12,"_","Upgraded_",INDEX(LookUps!$E$5:$E$12,MATCH('AD Scenarios'!X$11, LookUps!$C$5:$C$12,0)),"_", 'AD Scenarios'!$D33,"_", $C$7, "_", $C$6), OpenLCAbasic!$M:$M,0))</f>
        <v>1.1610000000000001E-2</v>
      </c>
      <c r="Y33" s="256">
        <f>INDEX(OpenLCAbasic!$J:$J, MATCH(CONCATENATE($C$5,"_", 'AD Scenarios'!Y$12,"_","Upgraded_",INDEX(LookUps!$E$5:$E$12,MATCH('AD Scenarios'!Y$11, LookUps!$C$5:$C$12,0)),"_", 'AD Scenarios'!$D33,"_", $C$7, "_", $C$6), OpenLCAbasic!$M:$M,0))</f>
        <v>1.1610000000000001E-2</v>
      </c>
      <c r="Z33" s="257">
        <f>INDEX(OpenLCAbasic!$J:$J, MATCH(CONCATENATE("Base","_", 'AD Scenarios'!Z$12,"_","Legacy_",INDEX(LookUps!$E$5:$E$12,MATCH('AD Scenarios'!Z$11, LookUps!$C$5:$C$12,0)),"_", 'AD Scenarios'!$E33,"_", $C$8,"_","n.a." ), OpenLCAbasic!$M:$M,0))</f>
        <v>6.2747700000000003E-7</v>
      </c>
      <c r="AA33" s="257">
        <f>INDEX(OpenLCAbasic!$J:$J, MATCH(CONCATENATE($C$5,"_", 'AD Scenarios'!AA$12,"_","Upgraded_",INDEX(LookUps!$E$5:$E$12,MATCH('AD Scenarios'!AA$11, LookUps!$C$5:$C$12,0)),"_", 'AD Scenarios'!$D33,"_", $C$7, "_", $C$6), OpenLCAbasic!$M:$M,0))</f>
        <v>4.99741E-5</v>
      </c>
      <c r="AB33" s="257">
        <f>INDEX(OpenLCAbasic!$J:$J, MATCH(CONCATENATE($C$5,"_", 'AD Scenarios'!AB$12,"_","Upgraded_",INDEX(LookUps!$E$5:$E$12,MATCH('AD Scenarios'!AB$11, LookUps!$C$5:$C$12,0)),"_", 'AD Scenarios'!$D33,"_", $C$7, "_", $C$6), OpenLCAbasic!$M:$M,0))</f>
        <v>4.99741E-5</v>
      </c>
      <c r="AC33" s="257">
        <f>INDEX(OpenLCAbasic!$J:$J, MATCH(CONCATENATE($C$5,"_", 'AD Scenarios'!AC$12,"_","Upgraded_",INDEX(LookUps!$E$5:$E$12,MATCH('AD Scenarios'!AC$11, LookUps!$C$5:$C$12,0)),"_", 'AD Scenarios'!$D33,"_", $C$7, "_", $C$6), OpenLCAbasic!$M:$M,0))</f>
        <v>4.99741E-5</v>
      </c>
      <c r="AD33" s="257">
        <f>INDEX(OpenLCAbasic!$J:$J, MATCH(CONCATENATE($C$5,"_", 'AD Scenarios'!AD$12,"_","Upgraded_",INDEX(LookUps!$E$5:$E$12,MATCH('AD Scenarios'!AD$11, LookUps!$C$5:$C$12,0)),"_", 'AD Scenarios'!$D33,"_", $C$7, "_", $C$6), OpenLCAbasic!$M:$M,0))</f>
        <v>4.99741E-5</v>
      </c>
      <c r="AE33" s="257">
        <f>INDEX(OpenLCAbasic!$J:$J, MATCH(CONCATENATE($C$5,"_", 'AD Scenarios'!AE$12,"_","Upgraded_",INDEX(LookUps!$E$5:$E$12,MATCH('AD Scenarios'!AE$11, LookUps!$C$5:$C$12,0)),"_", 'AD Scenarios'!$D33,"_", $C$7, "_", $C$6), OpenLCAbasic!$M:$M,0))</f>
        <v>4.99741E-5</v>
      </c>
      <c r="AF33" s="257">
        <f>INDEX(OpenLCAbasic!$J:$J, MATCH(CONCATENATE($C$5,"_", 'AD Scenarios'!AF$12,"_","Upgraded_",INDEX(LookUps!$E$5:$E$12,MATCH('AD Scenarios'!AF$11, LookUps!$C$5:$C$12,0)),"_", 'AD Scenarios'!$D33,"_", $C$7, "_", $C$6), OpenLCAbasic!$M:$M,0))</f>
        <v>4.99741E-5</v>
      </c>
      <c r="AG33" s="257">
        <f>INDEX(OpenLCAbasic!$J:$J, MATCH(CONCATENATE($C$5,"_", 'AD Scenarios'!AG$12,"_","Upgraded_",INDEX(LookUps!$E$5:$E$12,MATCH('AD Scenarios'!AG$11, LookUps!$C$5:$C$12,0)),"_", 'AD Scenarios'!$D33,"_", $C$7, "_", $C$6), OpenLCAbasic!$M:$M,0))</f>
        <v>4.99741E-5</v>
      </c>
      <c r="AH33" s="257">
        <f>INDEX(OpenLCAbasic!$J:$J, MATCH(CONCATENATE($C$5,"_", 'AD Scenarios'!AH$12,"_","Upgraded_",INDEX(LookUps!$E$5:$E$12,MATCH('AD Scenarios'!AH$11, LookUps!$C$5:$C$12,0)),"_", 'AD Scenarios'!$D33,"_", $C$7, "_", $C$6), OpenLCAbasic!$M:$M,0))</f>
        <v>4.99741E-5</v>
      </c>
      <c r="AI33" s="257">
        <f>INDEX(OpenLCAbasic!$J:$J, MATCH(CONCATENATE($C$5,"_", 'AD Scenarios'!AI$12,"_","Upgraded_",INDEX(LookUps!$E$5:$E$12,MATCH('AD Scenarios'!AI$11, LookUps!$C$5:$C$12,0)),"_", 'AD Scenarios'!$D33,"_", $C$7, "_", $C$6), OpenLCAbasic!$M:$M,0))</f>
        <v>4.99741E-5</v>
      </c>
      <c r="AJ33" s="257">
        <f>INDEX(OpenLCAbasic!$J:$J, MATCH(CONCATENATE("Base","_", 'AD Scenarios'!AJ$12,"_","Legacy_",INDEX(LookUps!$E$5:$E$12,MATCH('AD Scenarios'!AJ$11, LookUps!$C$5:$C$12,0)),"_", 'AD Scenarios'!$E33,"_", $C$8,"_","n.a." ), OpenLCAbasic!$M:$M,0))</f>
        <v>4.0287000000000002E-5</v>
      </c>
      <c r="AK33" s="257">
        <f>INDEX(OpenLCAbasic!$J:$J, MATCH(CONCATENATE($C$5,"_", 'AD Scenarios'!AK$12,"_","Upgraded_",INDEX(LookUps!$E$5:$E$12,MATCH('AD Scenarios'!AK$11, LookUps!$C$5:$C$12,0)),"_", 'AD Scenarios'!$D33,"_", $C$7, "_", $C$6), OpenLCAbasic!$M:$M,0))</f>
        <v>3.3899999999999998E-3</v>
      </c>
      <c r="AL33" s="257">
        <f>INDEX(OpenLCAbasic!$J:$J, MATCH(CONCATENATE($C$5,"_", 'AD Scenarios'!AL$12,"_","Upgraded_",INDEX(LookUps!$E$5:$E$12,MATCH('AD Scenarios'!AL$11, LookUps!$C$5:$C$12,0)),"_", 'AD Scenarios'!$D33,"_", $C$7, "_", $C$6), OpenLCAbasic!$M:$M,0))</f>
        <v>3.3899999999999998E-3</v>
      </c>
      <c r="AM33" s="257">
        <f>INDEX(OpenLCAbasic!$J:$J, MATCH(CONCATENATE($C$5,"_", 'AD Scenarios'!AM$12,"_","Upgraded_",INDEX(LookUps!$E$5:$E$12,MATCH('AD Scenarios'!AM$11, LookUps!$C$5:$C$12,0)),"_", 'AD Scenarios'!$D33,"_", $C$7, "_", $C$6), OpenLCAbasic!$M:$M,0))</f>
        <v>3.3899999999999998E-3</v>
      </c>
      <c r="AN33" s="257">
        <f>INDEX(OpenLCAbasic!$J:$J, MATCH(CONCATENATE($C$5,"_", 'AD Scenarios'!AN$12,"_","Upgraded_",INDEX(LookUps!$E$5:$E$12,MATCH('AD Scenarios'!AN$11, LookUps!$C$5:$C$12,0)),"_", 'AD Scenarios'!$D33,"_", $C$7, "_", $C$6), OpenLCAbasic!$M:$M,0))</f>
        <v>3.3899999999999998E-3</v>
      </c>
      <c r="AO33" s="257">
        <f>INDEX(OpenLCAbasic!$J:$J, MATCH(CONCATENATE($C$5,"_", 'AD Scenarios'!AO$12,"_","Upgraded_",INDEX(LookUps!$E$5:$E$12,MATCH('AD Scenarios'!AO$11, LookUps!$C$5:$C$12,0)),"_", 'AD Scenarios'!$D33,"_", $C$7, "_", $C$6), OpenLCAbasic!$M:$M,0))</f>
        <v>3.3899999999999998E-3</v>
      </c>
      <c r="AP33" s="257">
        <f>INDEX(OpenLCAbasic!$J:$J, MATCH(CONCATENATE($C$5,"_", 'AD Scenarios'!AP$12,"_","Upgraded_",INDEX(LookUps!$E$5:$E$12,MATCH('AD Scenarios'!AP$11, LookUps!$C$5:$C$12,0)),"_", 'AD Scenarios'!$D33,"_", $C$7, "_", $C$6), OpenLCAbasic!$M:$M,0))</f>
        <v>3.3899999999999998E-3</v>
      </c>
      <c r="AQ33" s="257">
        <f>INDEX(OpenLCAbasic!$J:$J, MATCH(CONCATENATE($C$5,"_", 'AD Scenarios'!AQ$12,"_","Upgraded_",INDEX(LookUps!$E$5:$E$12,MATCH('AD Scenarios'!AQ$11, LookUps!$C$5:$C$12,0)),"_", 'AD Scenarios'!$D33,"_", $C$7, "_", $C$6), OpenLCAbasic!$M:$M,0))</f>
        <v>3.3899999999999998E-3</v>
      </c>
      <c r="AR33" s="257">
        <f>INDEX(OpenLCAbasic!$J:$J, MATCH(CONCATENATE($C$5,"_", 'AD Scenarios'!AR$12,"_","Upgraded_",INDEX(LookUps!$E$5:$E$12,MATCH('AD Scenarios'!AR$11, LookUps!$C$5:$C$12,0)),"_", 'AD Scenarios'!$D33,"_", $C$7, "_", $C$6), OpenLCAbasic!$M:$M,0))</f>
        <v>3.3899999999999998E-3</v>
      </c>
      <c r="AS33" s="257">
        <f>INDEX(OpenLCAbasic!$J:$J, MATCH(CONCATENATE($C$5,"_", 'AD Scenarios'!AS$12,"_","Upgraded_",INDEX(LookUps!$E$5:$E$12,MATCH('AD Scenarios'!AS$11, LookUps!$C$5:$C$12,0)),"_", 'AD Scenarios'!$D33,"_", $C$7, "_", $C$6), OpenLCAbasic!$M:$M,0))</f>
        <v>3.3899999999999998E-3</v>
      </c>
      <c r="AT33" s="257">
        <f>INDEX(OpenLCAbasic!$J:$J, MATCH(CONCATENATE("Base","_", 'AD Scenarios'!AT$12,"_","Legacy_",INDEX(LookUps!$E$5:$E$12,MATCH('AD Scenarios'!AT$11, LookUps!$C$5:$C$12,0)),"_", 'AD Scenarios'!$E33,"_", $C$8,"_","n.a." ), OpenLCAbasic!$M:$M,0))</f>
        <v>3.9818900000000001E-6</v>
      </c>
      <c r="AU33" s="257">
        <f>INDEX(OpenLCAbasic!$J:$J, MATCH(CONCATENATE($C$5,"_", 'AD Scenarios'!AU$12,"_","Upgraded_",INDEX(LookUps!$E$5:$E$12,MATCH('AD Scenarios'!AU$11, LookUps!$C$5:$C$12,0)),"_", 'AD Scenarios'!$D33,"_", $C$7, "_", $C$6), OpenLCAbasic!$M:$M,0))</f>
        <v>3.5E-4</v>
      </c>
      <c r="AV33" s="257">
        <f>INDEX(OpenLCAbasic!$J:$J, MATCH(CONCATENATE($C$5,"_", 'AD Scenarios'!AV$12,"_","Upgraded_",INDEX(LookUps!$E$5:$E$12,MATCH('AD Scenarios'!AV$11, LookUps!$C$5:$C$12,0)),"_", 'AD Scenarios'!$D33,"_", $C$7, "_", $C$6), OpenLCAbasic!$M:$M,0))</f>
        <v>3.5E-4</v>
      </c>
      <c r="AW33" s="257">
        <f>INDEX(OpenLCAbasic!$J:$J, MATCH(CONCATENATE($C$5,"_", 'AD Scenarios'!AW$12,"_","Upgraded_",INDEX(LookUps!$E$5:$E$12,MATCH('AD Scenarios'!AW$11, LookUps!$C$5:$C$12,0)),"_", 'AD Scenarios'!$D33,"_", $C$7, "_", $C$6), OpenLCAbasic!$M:$M,0))</f>
        <v>3.5E-4</v>
      </c>
      <c r="AX33" s="257">
        <f>INDEX(OpenLCAbasic!$J:$J, MATCH(CONCATENATE($C$5,"_", 'AD Scenarios'!AX$12,"_","Upgraded_",INDEX(LookUps!$E$5:$E$12,MATCH('AD Scenarios'!AX$11, LookUps!$C$5:$C$12,0)),"_", 'AD Scenarios'!$D33,"_", $C$7, "_", $C$6), OpenLCAbasic!$M:$M,0))</f>
        <v>3.5E-4</v>
      </c>
      <c r="AY33" s="257">
        <f>INDEX(OpenLCAbasic!$J:$J, MATCH(CONCATENATE($C$5,"_", 'AD Scenarios'!AY$12,"_","Upgraded_",INDEX(LookUps!$E$5:$E$12,MATCH('AD Scenarios'!AY$11, LookUps!$C$5:$C$12,0)),"_", 'AD Scenarios'!$D33,"_", $C$7, "_", $C$6), OpenLCAbasic!$M:$M,0))</f>
        <v>3.5E-4</v>
      </c>
      <c r="AZ33" s="257">
        <f>INDEX(OpenLCAbasic!$J:$J, MATCH(CONCATENATE($C$5,"_", 'AD Scenarios'!AZ$12,"_","Upgraded_",INDEX(LookUps!$E$5:$E$12,MATCH('AD Scenarios'!AZ$11, LookUps!$C$5:$C$12,0)),"_", 'AD Scenarios'!$D33,"_", $C$7, "_", $C$6), OpenLCAbasic!$M:$M,0))</f>
        <v>3.5E-4</v>
      </c>
      <c r="BA33" s="257">
        <f>INDEX(OpenLCAbasic!$J:$J, MATCH(CONCATENATE($C$5,"_", 'AD Scenarios'!BA$12,"_","Upgraded_",INDEX(LookUps!$E$5:$E$12,MATCH('AD Scenarios'!BA$11, LookUps!$C$5:$C$12,0)),"_", 'AD Scenarios'!$D33,"_", $C$7, "_", $C$6), OpenLCAbasic!$M:$M,0))</f>
        <v>3.5E-4</v>
      </c>
      <c r="BB33" s="257">
        <f>INDEX(OpenLCAbasic!$J:$J, MATCH(CONCATENATE($C$5,"_", 'AD Scenarios'!BB$12,"_","Upgraded_",INDEX(LookUps!$E$5:$E$12,MATCH('AD Scenarios'!BB$11, LookUps!$C$5:$C$12,0)),"_", 'AD Scenarios'!$D33,"_", $C$7, "_", $C$6), OpenLCAbasic!$M:$M,0))</f>
        <v>3.5E-4</v>
      </c>
      <c r="BC33" s="257">
        <f>INDEX(OpenLCAbasic!$J:$J, MATCH(CONCATENATE($C$5,"_", 'AD Scenarios'!BC$12,"_","Upgraded_",INDEX(LookUps!$E$5:$E$12,MATCH('AD Scenarios'!BC$11, LookUps!$C$5:$C$12,0)),"_", 'AD Scenarios'!$D33,"_", $C$7, "_", $C$6), OpenLCAbasic!$M:$M,0))</f>
        <v>3.5E-4</v>
      </c>
      <c r="BD33" s="257">
        <f>INDEX(OpenLCAbasic!$J:$J, MATCH(CONCATENATE("Base","_", 'AD Scenarios'!BD$12,"_","Legacy_",INDEX(LookUps!$E$5:$E$12,MATCH('AD Scenarios'!BD$11, LookUps!$C$5:$C$12,0)),"_", 'AD Scenarios'!$E33,"_", $C$8,"_","n.a." ), OpenLCAbasic!$M:$M,0))</f>
        <v>2.14447E-6</v>
      </c>
      <c r="BE33" s="257">
        <f>INDEX(OpenLCAbasic!$J:$J, MATCH(CONCATENATE($C$5,"_", 'AD Scenarios'!BE$12,"_","Upgraded_",INDEX(LookUps!$E$5:$E$12,MATCH('AD Scenarios'!BE$11, LookUps!$C$5:$C$12,0)),"_", 'AD Scenarios'!$D33,"_", $C$7, "_", $C$6), OpenLCAbasic!$M:$M,0))</f>
        <v>6.8836400000000004E-5</v>
      </c>
      <c r="BF33" s="257">
        <f>INDEX(OpenLCAbasic!$J:$J, MATCH(CONCATENATE($C$5,"_", 'AD Scenarios'!BF$12,"_","Upgraded_",INDEX(LookUps!$E$5:$E$12,MATCH('AD Scenarios'!BF$11, LookUps!$C$5:$C$12,0)),"_", 'AD Scenarios'!$D33,"_", $C$7, "_", $C$6), OpenLCAbasic!$M:$M,0))</f>
        <v>6.8836400000000004E-5</v>
      </c>
      <c r="BG33" s="257">
        <f>INDEX(OpenLCAbasic!$J:$J, MATCH(CONCATENATE($C$5,"_", 'AD Scenarios'!BG$12,"_","Upgraded_",INDEX(LookUps!$E$5:$E$12,MATCH('AD Scenarios'!BG$11, LookUps!$C$5:$C$12,0)),"_", 'AD Scenarios'!$D33,"_", $C$7, "_", $C$6), OpenLCAbasic!$M:$M,0))</f>
        <v>6.8836400000000004E-5</v>
      </c>
      <c r="BH33" s="257">
        <f>INDEX(OpenLCAbasic!$J:$J, MATCH(CONCATENATE($C$5,"_", 'AD Scenarios'!BH$12,"_","Upgraded_",INDEX(LookUps!$E$5:$E$12,MATCH('AD Scenarios'!BH$11, LookUps!$C$5:$C$12,0)),"_", 'AD Scenarios'!$D33,"_", $C$7, "_", $C$6), OpenLCAbasic!$M:$M,0))</f>
        <v>6.8836400000000004E-5</v>
      </c>
      <c r="BI33" s="257">
        <f>INDEX(OpenLCAbasic!$J:$J, MATCH(CONCATENATE($C$5,"_", 'AD Scenarios'!BI$12,"_","Upgraded_",INDEX(LookUps!$E$5:$E$12,MATCH('AD Scenarios'!BI$11, LookUps!$C$5:$C$12,0)),"_", 'AD Scenarios'!$D33,"_", $C$7, "_", $C$6), OpenLCAbasic!$M:$M,0))</f>
        <v>6.8836400000000004E-5</v>
      </c>
      <c r="BJ33" s="257">
        <f>INDEX(OpenLCAbasic!$J:$J, MATCH(CONCATENATE($C$5,"_", 'AD Scenarios'!BJ$12,"_","Upgraded_",INDEX(LookUps!$E$5:$E$12,MATCH('AD Scenarios'!BJ$11, LookUps!$C$5:$C$12,0)),"_", 'AD Scenarios'!$D33,"_", $C$7, "_", $C$6), OpenLCAbasic!$M:$M,0))</f>
        <v>6.8836400000000004E-5</v>
      </c>
      <c r="BK33" s="257">
        <f>INDEX(OpenLCAbasic!$J:$J, MATCH(CONCATENATE($C$5,"_", 'AD Scenarios'!BK$12,"_","Upgraded_",INDEX(LookUps!$E$5:$E$12,MATCH('AD Scenarios'!BK$11, LookUps!$C$5:$C$12,0)),"_", 'AD Scenarios'!$D33,"_", $C$7, "_", $C$6), OpenLCAbasic!$M:$M,0))</f>
        <v>6.8836400000000004E-5</v>
      </c>
      <c r="BL33" s="257">
        <f>INDEX(OpenLCAbasic!$J:$J, MATCH(CONCATENATE($C$5,"_", 'AD Scenarios'!BL$12,"_","Upgraded_",INDEX(LookUps!$E$5:$E$12,MATCH('AD Scenarios'!BL$11, LookUps!$C$5:$C$12,0)),"_", 'AD Scenarios'!$D33,"_", $C$7, "_", $C$6), OpenLCAbasic!$M:$M,0))</f>
        <v>6.8836400000000004E-5</v>
      </c>
      <c r="BM33" s="257">
        <f>INDEX(OpenLCAbasic!$J:$J, MATCH(CONCATENATE($C$5,"_", 'AD Scenarios'!BM$12,"_","Upgraded_",INDEX(LookUps!$E$5:$E$12,MATCH('AD Scenarios'!BM$11, LookUps!$C$5:$C$12,0)),"_", 'AD Scenarios'!$D33,"_", $C$7, "_", $C$6), OpenLCAbasic!$M:$M,0))</f>
        <v>6.8836400000000004E-5</v>
      </c>
      <c r="BN33" s="257">
        <f>INDEX(OpenLCAbasic!$J:$J, MATCH(CONCATENATE("Base","_", 'AD Scenarios'!BN$12,"_","Legacy_",INDEX(LookUps!$E$5:$E$12,MATCH('AD Scenarios'!BN$11, LookUps!$C$5:$C$12,0)),"_", 'AD Scenarios'!$E33,"_", $C$8,"_","n.a." ), OpenLCAbasic!$M:$M,0))</f>
        <v>6.4186199999999999E-5</v>
      </c>
      <c r="BO33" s="257">
        <f>INDEX(OpenLCAbasic!$J:$J, MATCH(CONCATENATE($C$5,"_", 'AD Scenarios'!BO$12,"_","Upgraded_",INDEX(LookUps!$E$5:$E$12,MATCH('AD Scenarios'!BO$11, LookUps!$C$5:$C$12,0)),"_", 'AD Scenarios'!$D33,"_", $C$7, "_", $C$6), OpenLCAbasic!$M:$M,0))</f>
        <v>2.3600000000000001E-3</v>
      </c>
      <c r="BP33" s="257">
        <f>INDEX(OpenLCAbasic!$J:$J, MATCH(CONCATENATE($C$5,"_", 'AD Scenarios'!BP$12,"_","Upgraded_",INDEX(LookUps!$E$5:$E$12,MATCH('AD Scenarios'!BP$11, LookUps!$C$5:$C$12,0)),"_", 'AD Scenarios'!$D33,"_", $C$7, "_", $C$6), OpenLCAbasic!$M:$M,0))</f>
        <v>2.3600000000000001E-3</v>
      </c>
      <c r="BQ33" s="257">
        <f>INDEX(OpenLCAbasic!$J:$J, MATCH(CONCATENATE($C$5,"_", 'AD Scenarios'!BQ$12,"_","Upgraded_",INDEX(LookUps!$E$5:$E$12,MATCH('AD Scenarios'!BQ$11, LookUps!$C$5:$C$12,0)),"_", 'AD Scenarios'!$D33,"_", $C$7, "_", $C$6), OpenLCAbasic!$M:$M,0))</f>
        <v>2.3600000000000001E-3</v>
      </c>
      <c r="BR33" s="257">
        <f>INDEX(OpenLCAbasic!$J:$J, MATCH(CONCATENATE($C$5,"_", 'AD Scenarios'!BR$12,"_","Upgraded_",INDEX(LookUps!$E$5:$E$12,MATCH('AD Scenarios'!BR$11, LookUps!$C$5:$C$12,0)),"_", 'AD Scenarios'!$D33,"_", $C$7, "_", $C$6), OpenLCAbasic!$M:$M,0))</f>
        <v>2.3600000000000001E-3</v>
      </c>
      <c r="BS33" s="257">
        <f>INDEX(OpenLCAbasic!$J:$J, MATCH(CONCATENATE($C$5,"_", 'AD Scenarios'!BS$12,"_","Upgraded_",INDEX(LookUps!$E$5:$E$12,MATCH('AD Scenarios'!BS$11, LookUps!$C$5:$C$12,0)),"_", 'AD Scenarios'!$D33,"_", $C$7, "_", $C$6), OpenLCAbasic!$M:$M,0))</f>
        <v>2.3600000000000001E-3</v>
      </c>
      <c r="BT33" s="257">
        <f>INDEX(OpenLCAbasic!$J:$J, MATCH(CONCATENATE($C$5,"_", 'AD Scenarios'!BT$12,"_","Upgraded_",INDEX(LookUps!$E$5:$E$12,MATCH('AD Scenarios'!BT$11, LookUps!$C$5:$C$12,0)),"_", 'AD Scenarios'!$D33,"_", $C$7, "_", $C$6), OpenLCAbasic!$M:$M,0))</f>
        <v>2.3600000000000001E-3</v>
      </c>
      <c r="BU33" s="257">
        <f>INDEX(OpenLCAbasic!$J:$J, MATCH(CONCATENATE($C$5,"_", 'AD Scenarios'!BU$12,"_","Upgraded_",INDEX(LookUps!$E$5:$E$12,MATCH('AD Scenarios'!BU$11, LookUps!$C$5:$C$12,0)),"_", 'AD Scenarios'!$D33,"_", $C$7, "_", $C$6), OpenLCAbasic!$M:$M,0))</f>
        <v>2.3600000000000001E-3</v>
      </c>
      <c r="BV33" s="257">
        <f>INDEX(OpenLCAbasic!$J:$J, MATCH(CONCATENATE($C$5,"_", 'AD Scenarios'!BV$12,"_","Upgraded_",INDEX(LookUps!$E$5:$E$12,MATCH('AD Scenarios'!BV$11, LookUps!$C$5:$C$12,0)),"_", 'AD Scenarios'!$D33,"_", $C$7, "_", $C$6), OpenLCAbasic!$M:$M,0))</f>
        <v>2.3600000000000001E-3</v>
      </c>
      <c r="BW33" s="257">
        <f>INDEX(OpenLCAbasic!$J:$J, MATCH(CONCATENATE($C$5,"_", 'AD Scenarios'!BW$12,"_","Upgraded_",INDEX(LookUps!$E$5:$E$12,MATCH('AD Scenarios'!BW$11, LookUps!$C$5:$C$12,0)),"_", 'AD Scenarios'!$D33,"_", $C$7, "_", $C$6), OpenLCAbasic!$M:$M,0))</f>
        <v>2.3600000000000001E-3</v>
      </c>
      <c r="BX33" s="257">
        <f>INDEX(OpenLCAbasic!$J:$J, MATCH(CONCATENATE("Base","_", 'AD Scenarios'!BX$12,"_","Legacy_",INDEX(LookUps!$E$5:$E$12,MATCH('AD Scenarios'!BX$11, LookUps!$C$5:$C$12,0)),"_", 'AD Scenarios'!$E33,"_", $C$8,"_","n.a." ), OpenLCAbasic!$M:$M,0))</f>
        <v>3.47E-3</v>
      </c>
      <c r="BY33" s="256">
        <f>INDEX(OpenLCAbasic!$J:$J, MATCH(CONCATENATE($C$5,"_", 'AD Scenarios'!BY$12,"_","Upgraded_",INDEX(LookUps!$E$5:$E$12,MATCH('AD Scenarios'!BY$11, LookUps!$C$5:$C$12,0)),"_", 'AD Scenarios'!$D33,"_", $C$7, "_", $C$6), OpenLCAbasic!$M:$M,0))</f>
        <v>0.13321</v>
      </c>
      <c r="BZ33" s="256">
        <f>INDEX(OpenLCAbasic!$J:$J, MATCH(CONCATENATE($C$5,"_", 'AD Scenarios'!BZ$12,"_","Upgraded_",INDEX(LookUps!$E$5:$E$12,MATCH('AD Scenarios'!BZ$11, LookUps!$C$5:$C$12,0)),"_", 'AD Scenarios'!$D33,"_", $C$7, "_", $C$6), OpenLCAbasic!$M:$M,0))</f>
        <v>0.13321</v>
      </c>
      <c r="CA33" s="256">
        <f>INDEX(OpenLCAbasic!$J:$J, MATCH(CONCATENATE($C$5,"_", 'AD Scenarios'!CA$12,"_","Upgraded_",INDEX(LookUps!$E$5:$E$12,MATCH('AD Scenarios'!CA$11, LookUps!$C$5:$C$12,0)),"_", 'AD Scenarios'!$D33,"_", $C$7, "_", $C$6), OpenLCAbasic!$M:$M,0))</f>
        <v>0.13321</v>
      </c>
      <c r="CB33" s="256">
        <f>INDEX(OpenLCAbasic!$J:$J, MATCH(CONCATENATE($C$5,"_", 'AD Scenarios'!CB$12,"_","Upgraded_",INDEX(LookUps!$E$5:$E$12,MATCH('AD Scenarios'!CB$11, LookUps!$C$5:$C$12,0)),"_", 'AD Scenarios'!$D33,"_", $C$7, "_", $C$6), OpenLCAbasic!$M:$M,0))</f>
        <v>0.13321</v>
      </c>
      <c r="CC33" s="256">
        <f>INDEX(OpenLCAbasic!$J:$J, MATCH(CONCATENATE($C$5,"_", 'AD Scenarios'!CC$12,"_","Upgraded_",INDEX(LookUps!$E$5:$E$12,MATCH('AD Scenarios'!CC$11, LookUps!$C$5:$C$12,0)),"_", 'AD Scenarios'!$D33,"_", $C$7, "_", $C$6), OpenLCAbasic!$M:$M,0))</f>
        <v>0.13321</v>
      </c>
      <c r="CD33" s="256">
        <f>INDEX(OpenLCAbasic!$J:$J, MATCH(CONCATENATE($C$5,"_", 'AD Scenarios'!CD$12,"_","Upgraded_",INDEX(LookUps!$E$5:$E$12,MATCH('AD Scenarios'!CD$11, LookUps!$C$5:$C$12,0)),"_", 'AD Scenarios'!$D33,"_", $C$7, "_", $C$6), OpenLCAbasic!$M:$M,0))</f>
        <v>0.13321</v>
      </c>
      <c r="CE33" s="256">
        <f>INDEX(OpenLCAbasic!$J:$J, MATCH(CONCATENATE($C$5,"_", 'AD Scenarios'!CE$12,"_","Upgraded_",INDEX(LookUps!$E$5:$E$12,MATCH('AD Scenarios'!CE$11, LookUps!$C$5:$C$12,0)),"_", 'AD Scenarios'!$D33,"_", $C$7, "_", $C$6), OpenLCAbasic!$M:$M,0))</f>
        <v>0.13321</v>
      </c>
      <c r="CF33" s="256">
        <f>INDEX(OpenLCAbasic!$J:$J, MATCH(CONCATENATE($C$5,"_", 'AD Scenarios'!CF$12,"_","Upgraded_",INDEX(LookUps!$E$5:$E$12,MATCH('AD Scenarios'!CF$11, LookUps!$C$5:$C$12,0)),"_", 'AD Scenarios'!$D33,"_", $C$7, "_", $C$6), OpenLCAbasic!$M:$M,0))</f>
        <v>0.13321</v>
      </c>
      <c r="CG33" s="256">
        <f>INDEX(OpenLCAbasic!$J:$J, MATCH(CONCATENATE($C$5,"_", 'AD Scenarios'!CG$12,"_","Upgraded_",INDEX(LookUps!$E$5:$E$12,MATCH('AD Scenarios'!CG$11, LookUps!$C$5:$C$12,0)),"_", 'AD Scenarios'!$D33,"_", $C$7, "_", $C$6), OpenLCAbasic!$M:$M,0))</f>
        <v>0.13321</v>
      </c>
    </row>
    <row r="34" spans="2:85" x14ac:dyDescent="0.25">
      <c r="B34" s="364"/>
      <c r="C34" s="81" t="str">
        <f>LookUps!$J$10</f>
        <v>Control Building; at wastewater treatment plant - US</v>
      </c>
      <c r="D34" s="115" t="str">
        <f>LookUps!G10</f>
        <v>Control Building; at upgraded wastewater treatment plant - US</v>
      </c>
      <c r="E34" s="104" t="str">
        <f>LookUps!H10</f>
        <v>Control Building; at wastewater treatment plant - US</v>
      </c>
      <c r="F34" s="256">
        <f>INDEX(OpenLCAbasic!$J:$J, MATCH(CONCATENATE("Base","_", 'AD Scenarios'!F$12,"_","Legacy_",INDEX(LookUps!$E$5:$E$12,MATCH('AD Scenarios'!F$11, LookUps!$C$5:$C$12,0)),"_", 'AD Scenarios'!$E34,"_", $C$8,"_","n.a." ), OpenLCAbasic!$M:$M,0))</f>
        <v>5.2569999999999999E-2</v>
      </c>
      <c r="G34" s="257">
        <f>INDEX(OpenLCAbasic!$J:$J, MATCH(CONCATENATE($C$5,"_", 'AD Scenarios'!G$12,"_","Upgraded_",INDEX(LookUps!$E$5:$E$12,MATCH('AD Scenarios'!G$11, LookUps!$C$5:$C$12,0)),"_", 'AD Scenarios'!$D34,"_", $C$7, "_", $C$6), OpenLCAbasic!$M:$M,0))</f>
        <v>8.3000000000000001E-3</v>
      </c>
      <c r="H34" s="257">
        <f>INDEX(OpenLCAbasic!$J:$J, MATCH(CONCATENATE($C$5,"_", 'AD Scenarios'!H$12,"_","Upgraded_",INDEX(LookUps!$E$5:$E$12,MATCH('AD Scenarios'!H$11, LookUps!$C$5:$C$12,0)),"_", 'AD Scenarios'!$D34,"_", $C$7, "_", $C$6), OpenLCAbasic!$M:$M,0))</f>
        <v>8.3000000000000001E-3</v>
      </c>
      <c r="I34" s="257">
        <f>INDEX(OpenLCAbasic!$J:$J, MATCH(CONCATENATE($C$5,"_", 'AD Scenarios'!I$12,"_","Upgraded_",INDEX(LookUps!$E$5:$E$12,MATCH('AD Scenarios'!I$11, LookUps!$C$5:$C$12,0)),"_", 'AD Scenarios'!$D34,"_", $C$7, "_", $C$6), OpenLCAbasic!$M:$M,0))</f>
        <v>8.3000000000000001E-3</v>
      </c>
      <c r="J34" s="257">
        <f>INDEX(OpenLCAbasic!$J:$J, MATCH(CONCATENATE($C$5,"_", 'AD Scenarios'!J$12,"_","Upgraded_",INDEX(LookUps!$E$5:$E$12,MATCH('AD Scenarios'!J$11, LookUps!$C$5:$C$12,0)),"_", 'AD Scenarios'!$D34,"_", $C$7, "_", $C$6), OpenLCAbasic!$M:$M,0))</f>
        <v>8.3000000000000001E-3</v>
      </c>
      <c r="K34" s="257">
        <f>INDEX(OpenLCAbasic!$J:$J, MATCH(CONCATENATE($C$5,"_", 'AD Scenarios'!K$12,"_","Upgraded_",INDEX(LookUps!$E$5:$E$12,MATCH('AD Scenarios'!K$11, LookUps!$C$5:$C$12,0)),"_", 'AD Scenarios'!$D34,"_", $C$7, "_", $C$6), OpenLCAbasic!$M:$M,0))</f>
        <v>8.3000000000000001E-3</v>
      </c>
      <c r="L34" s="257">
        <f>INDEX(OpenLCAbasic!$J:$J, MATCH(CONCATENATE($C$5,"_", 'AD Scenarios'!L$12,"_","Upgraded_",INDEX(LookUps!$E$5:$E$12,MATCH('AD Scenarios'!L$11, LookUps!$C$5:$C$12,0)),"_", 'AD Scenarios'!$D34,"_", $C$7, "_", $C$6), OpenLCAbasic!$M:$M,0))</f>
        <v>8.3000000000000001E-3</v>
      </c>
      <c r="M34" s="257">
        <f>INDEX(OpenLCAbasic!$J:$J, MATCH(CONCATENATE($C$5,"_", 'AD Scenarios'!M$12,"_","Upgraded_",INDEX(LookUps!$E$5:$E$12,MATCH('AD Scenarios'!M$11, LookUps!$C$5:$C$12,0)),"_", 'AD Scenarios'!$D34,"_", $C$7, "_", $C$6), OpenLCAbasic!$M:$M,0))</f>
        <v>8.3000000000000001E-3</v>
      </c>
      <c r="N34" s="257">
        <f>INDEX(OpenLCAbasic!$J:$J, MATCH(CONCATENATE($C$5,"_", 'AD Scenarios'!N$12,"_","Upgraded_",INDEX(LookUps!$E$5:$E$12,MATCH('AD Scenarios'!N$11, LookUps!$C$5:$C$12,0)),"_", 'AD Scenarios'!$D34,"_", $C$7, "_", $C$6), OpenLCAbasic!$M:$M,0))</f>
        <v>8.3000000000000001E-3</v>
      </c>
      <c r="O34" s="257">
        <f>INDEX(OpenLCAbasic!$J:$J, MATCH(CONCATENATE($C$5,"_", 'AD Scenarios'!O$12,"_","Upgraded_",INDEX(LookUps!$E$5:$E$12,MATCH('AD Scenarios'!O$11, LookUps!$C$5:$C$12,0)),"_", 'AD Scenarios'!$D34,"_", $C$7, "_", $C$6), OpenLCAbasic!$M:$M,0))</f>
        <v>8.3000000000000001E-3</v>
      </c>
      <c r="P34" s="257">
        <f>INDEX(OpenLCAbasic!$J:$J, MATCH(CONCATENATE("Base","_", 'AD Scenarios'!P$12,"_","Legacy_",INDEX(LookUps!$E$5:$E$12,MATCH('AD Scenarios'!P$11, LookUps!$C$5:$C$12,0)),"_", 'AD Scenarios'!$E34,"_", $C$8,"_","n.a." ), OpenLCAbasic!$M:$M,0))</f>
        <v>3.3376800000000002E-5</v>
      </c>
      <c r="Q34" s="257">
        <f>INDEX(OpenLCAbasic!$J:$J, MATCH(CONCATENATE($C$5,"_", 'AD Scenarios'!Q$12,"_","Upgraded_",INDEX(LookUps!$E$5:$E$12,MATCH('AD Scenarios'!Q$11, LookUps!$C$5:$C$12,0)),"_", 'AD Scenarios'!$D34,"_", $C$7, "_", $C$6), OpenLCAbasic!$M:$M,0))</f>
        <v>3.6874600000000001E-5</v>
      </c>
      <c r="R34" s="257">
        <f>INDEX(OpenLCAbasic!$J:$J, MATCH(CONCATENATE($C$5,"_", 'AD Scenarios'!R$12,"_","Upgraded_",INDEX(LookUps!$E$5:$E$12,MATCH('AD Scenarios'!R$11, LookUps!$C$5:$C$12,0)),"_", 'AD Scenarios'!$D34,"_", $C$7, "_", $C$6), OpenLCAbasic!$M:$M,0))</f>
        <v>3.6874600000000001E-5</v>
      </c>
      <c r="S34" s="257">
        <f>INDEX(OpenLCAbasic!$J:$J, MATCH(CONCATENATE($C$5,"_", 'AD Scenarios'!S$12,"_","Upgraded_",INDEX(LookUps!$E$5:$E$12,MATCH('AD Scenarios'!S$11, LookUps!$C$5:$C$12,0)),"_", 'AD Scenarios'!$D34,"_", $C$7, "_", $C$6), OpenLCAbasic!$M:$M,0))</f>
        <v>3.6874600000000001E-5</v>
      </c>
      <c r="T34" s="257">
        <f>INDEX(OpenLCAbasic!$J:$J, MATCH(CONCATENATE($C$5,"_", 'AD Scenarios'!T$12,"_","Upgraded_",INDEX(LookUps!$E$5:$E$12,MATCH('AD Scenarios'!T$11, LookUps!$C$5:$C$12,0)),"_", 'AD Scenarios'!$D34,"_", $C$7, "_", $C$6), OpenLCAbasic!$M:$M,0))</f>
        <v>3.6874600000000001E-5</v>
      </c>
      <c r="U34" s="257">
        <f>INDEX(OpenLCAbasic!$J:$J, MATCH(CONCATENATE($C$5,"_", 'AD Scenarios'!U$12,"_","Upgraded_",INDEX(LookUps!$E$5:$E$12,MATCH('AD Scenarios'!U$11, LookUps!$C$5:$C$12,0)),"_", 'AD Scenarios'!$D34,"_", $C$7, "_", $C$6), OpenLCAbasic!$M:$M,0))</f>
        <v>3.6874600000000001E-5</v>
      </c>
      <c r="V34" s="257">
        <f>INDEX(OpenLCAbasic!$J:$J, MATCH(CONCATENATE($C$5,"_", 'AD Scenarios'!V$12,"_","Upgraded_",INDEX(LookUps!$E$5:$E$12,MATCH('AD Scenarios'!V$11, LookUps!$C$5:$C$12,0)),"_", 'AD Scenarios'!$D34,"_", $C$7, "_", $C$6), OpenLCAbasic!$M:$M,0))</f>
        <v>3.6874600000000001E-5</v>
      </c>
      <c r="W34" s="257">
        <f>INDEX(OpenLCAbasic!$J:$J, MATCH(CONCATENATE($C$5,"_", 'AD Scenarios'!W$12,"_","Upgraded_",INDEX(LookUps!$E$5:$E$12,MATCH('AD Scenarios'!W$11, LookUps!$C$5:$C$12,0)),"_", 'AD Scenarios'!$D34,"_", $C$7, "_", $C$6), OpenLCAbasic!$M:$M,0))</f>
        <v>3.6874600000000001E-5</v>
      </c>
      <c r="X34" s="257">
        <f>INDEX(OpenLCAbasic!$J:$J, MATCH(CONCATENATE($C$5,"_", 'AD Scenarios'!X$12,"_","Upgraded_",INDEX(LookUps!$E$5:$E$12,MATCH('AD Scenarios'!X$11, LookUps!$C$5:$C$12,0)),"_", 'AD Scenarios'!$D34,"_", $C$7, "_", $C$6), OpenLCAbasic!$M:$M,0))</f>
        <v>3.6874600000000001E-5</v>
      </c>
      <c r="Y34" s="257">
        <f>INDEX(OpenLCAbasic!$J:$J, MATCH(CONCATENATE($C$5,"_", 'AD Scenarios'!Y$12,"_","Upgraded_",INDEX(LookUps!$E$5:$E$12,MATCH('AD Scenarios'!Y$11, LookUps!$C$5:$C$12,0)),"_", 'AD Scenarios'!$D34,"_", $C$7, "_", $C$6), OpenLCAbasic!$M:$M,0))</f>
        <v>3.6874600000000001E-5</v>
      </c>
      <c r="Z34" s="257">
        <f>INDEX(OpenLCAbasic!$J:$J, MATCH(CONCATENATE("Base","_", 'AD Scenarios'!Z$12,"_","Legacy_",INDEX(LookUps!$E$5:$E$12,MATCH('AD Scenarios'!Z$11, LookUps!$C$5:$C$12,0)),"_", 'AD Scenarios'!$E34,"_", $C$8,"_","n.a." ), OpenLCAbasic!$M:$M,0))</f>
        <v>1.5461800000000002E-5</v>
      </c>
      <c r="AA34" s="257">
        <f>INDEX(OpenLCAbasic!$J:$J, MATCH(CONCATENATE($C$5,"_", 'AD Scenarios'!AA$12,"_","Upgraded_",INDEX(LookUps!$E$5:$E$12,MATCH('AD Scenarios'!AA$11, LookUps!$C$5:$C$12,0)),"_", 'AD Scenarios'!$D34,"_", $C$7, "_", $C$6), OpenLCAbasic!$M:$M,0))</f>
        <v>8.8212999999999997E-6</v>
      </c>
      <c r="AB34" s="257">
        <f>INDEX(OpenLCAbasic!$J:$J, MATCH(CONCATENATE($C$5,"_", 'AD Scenarios'!AB$12,"_","Upgraded_",INDEX(LookUps!$E$5:$E$12,MATCH('AD Scenarios'!AB$11, LookUps!$C$5:$C$12,0)),"_", 'AD Scenarios'!$D34,"_", $C$7, "_", $C$6), OpenLCAbasic!$M:$M,0))</f>
        <v>8.8212999999999997E-6</v>
      </c>
      <c r="AC34" s="257">
        <f>INDEX(OpenLCAbasic!$J:$J, MATCH(CONCATENATE($C$5,"_", 'AD Scenarios'!AC$12,"_","Upgraded_",INDEX(LookUps!$E$5:$E$12,MATCH('AD Scenarios'!AC$11, LookUps!$C$5:$C$12,0)),"_", 'AD Scenarios'!$D34,"_", $C$7, "_", $C$6), OpenLCAbasic!$M:$M,0))</f>
        <v>8.8212999999999997E-6</v>
      </c>
      <c r="AD34" s="257">
        <f>INDEX(OpenLCAbasic!$J:$J, MATCH(CONCATENATE($C$5,"_", 'AD Scenarios'!AD$12,"_","Upgraded_",INDEX(LookUps!$E$5:$E$12,MATCH('AD Scenarios'!AD$11, LookUps!$C$5:$C$12,0)),"_", 'AD Scenarios'!$D34,"_", $C$7, "_", $C$6), OpenLCAbasic!$M:$M,0))</f>
        <v>8.8212999999999997E-6</v>
      </c>
      <c r="AE34" s="257">
        <f>INDEX(OpenLCAbasic!$J:$J, MATCH(CONCATENATE($C$5,"_", 'AD Scenarios'!AE$12,"_","Upgraded_",INDEX(LookUps!$E$5:$E$12,MATCH('AD Scenarios'!AE$11, LookUps!$C$5:$C$12,0)),"_", 'AD Scenarios'!$D34,"_", $C$7, "_", $C$6), OpenLCAbasic!$M:$M,0))</f>
        <v>8.8212999999999997E-6</v>
      </c>
      <c r="AF34" s="257">
        <f>INDEX(OpenLCAbasic!$J:$J, MATCH(CONCATENATE($C$5,"_", 'AD Scenarios'!AF$12,"_","Upgraded_",INDEX(LookUps!$E$5:$E$12,MATCH('AD Scenarios'!AF$11, LookUps!$C$5:$C$12,0)),"_", 'AD Scenarios'!$D34,"_", $C$7, "_", $C$6), OpenLCAbasic!$M:$M,0))</f>
        <v>8.8212999999999997E-6</v>
      </c>
      <c r="AG34" s="257">
        <f>INDEX(OpenLCAbasic!$J:$J, MATCH(CONCATENATE($C$5,"_", 'AD Scenarios'!AG$12,"_","Upgraded_",INDEX(LookUps!$E$5:$E$12,MATCH('AD Scenarios'!AG$11, LookUps!$C$5:$C$12,0)),"_", 'AD Scenarios'!$D34,"_", $C$7, "_", $C$6), OpenLCAbasic!$M:$M,0))</f>
        <v>8.8212999999999997E-6</v>
      </c>
      <c r="AH34" s="257">
        <f>INDEX(OpenLCAbasic!$J:$J, MATCH(CONCATENATE($C$5,"_", 'AD Scenarios'!AH$12,"_","Upgraded_",INDEX(LookUps!$E$5:$E$12,MATCH('AD Scenarios'!AH$11, LookUps!$C$5:$C$12,0)),"_", 'AD Scenarios'!$D34,"_", $C$7, "_", $C$6), OpenLCAbasic!$M:$M,0))</f>
        <v>8.8212999999999997E-6</v>
      </c>
      <c r="AI34" s="257">
        <f>INDEX(OpenLCAbasic!$J:$J, MATCH(CONCATENATE($C$5,"_", 'AD Scenarios'!AI$12,"_","Upgraded_",INDEX(LookUps!$E$5:$E$12,MATCH('AD Scenarios'!AI$11, LookUps!$C$5:$C$12,0)),"_", 'AD Scenarios'!$D34,"_", $C$7, "_", $C$6), OpenLCAbasic!$M:$M,0))</f>
        <v>8.8212999999999997E-6</v>
      </c>
      <c r="AJ34" s="257">
        <f>INDEX(OpenLCAbasic!$J:$J, MATCH(CONCATENATE("Base","_", 'AD Scenarios'!AJ$12,"_","Legacy_",INDEX(LookUps!$E$5:$E$12,MATCH('AD Scenarios'!AJ$11, LookUps!$C$5:$C$12,0)),"_", 'AD Scenarios'!$E34,"_", $C$8,"_","n.a." ), OpenLCAbasic!$M:$M,0))</f>
        <v>1.3699999999999999E-3</v>
      </c>
      <c r="AK34" s="257">
        <f>INDEX(OpenLCAbasic!$J:$J, MATCH(CONCATENATE($C$5,"_", 'AD Scenarios'!AK$12,"_","Upgraded_",INDEX(LookUps!$E$5:$E$12,MATCH('AD Scenarios'!AK$11, LookUps!$C$5:$C$12,0)),"_", 'AD Scenarios'!$D34,"_", $C$7, "_", $C$6), OpenLCAbasic!$M:$M,0))</f>
        <v>5.4000000000000001E-4</v>
      </c>
      <c r="AL34" s="257">
        <f>INDEX(OpenLCAbasic!$J:$J, MATCH(CONCATENATE($C$5,"_", 'AD Scenarios'!AL$12,"_","Upgraded_",INDEX(LookUps!$E$5:$E$12,MATCH('AD Scenarios'!AL$11, LookUps!$C$5:$C$12,0)),"_", 'AD Scenarios'!$D34,"_", $C$7, "_", $C$6), OpenLCAbasic!$M:$M,0))</f>
        <v>5.4000000000000001E-4</v>
      </c>
      <c r="AM34" s="257">
        <f>INDEX(OpenLCAbasic!$J:$J, MATCH(CONCATENATE($C$5,"_", 'AD Scenarios'!AM$12,"_","Upgraded_",INDEX(LookUps!$E$5:$E$12,MATCH('AD Scenarios'!AM$11, LookUps!$C$5:$C$12,0)),"_", 'AD Scenarios'!$D34,"_", $C$7, "_", $C$6), OpenLCAbasic!$M:$M,0))</f>
        <v>5.4000000000000001E-4</v>
      </c>
      <c r="AN34" s="257">
        <f>INDEX(OpenLCAbasic!$J:$J, MATCH(CONCATENATE($C$5,"_", 'AD Scenarios'!AN$12,"_","Upgraded_",INDEX(LookUps!$E$5:$E$12,MATCH('AD Scenarios'!AN$11, LookUps!$C$5:$C$12,0)),"_", 'AD Scenarios'!$D34,"_", $C$7, "_", $C$6), OpenLCAbasic!$M:$M,0))</f>
        <v>5.4000000000000001E-4</v>
      </c>
      <c r="AO34" s="257">
        <f>INDEX(OpenLCAbasic!$J:$J, MATCH(CONCATENATE($C$5,"_", 'AD Scenarios'!AO$12,"_","Upgraded_",INDEX(LookUps!$E$5:$E$12,MATCH('AD Scenarios'!AO$11, LookUps!$C$5:$C$12,0)),"_", 'AD Scenarios'!$D34,"_", $C$7, "_", $C$6), OpenLCAbasic!$M:$M,0))</f>
        <v>5.4000000000000001E-4</v>
      </c>
      <c r="AP34" s="257">
        <f>INDEX(OpenLCAbasic!$J:$J, MATCH(CONCATENATE($C$5,"_", 'AD Scenarios'!AP$12,"_","Upgraded_",INDEX(LookUps!$E$5:$E$12,MATCH('AD Scenarios'!AP$11, LookUps!$C$5:$C$12,0)),"_", 'AD Scenarios'!$D34,"_", $C$7, "_", $C$6), OpenLCAbasic!$M:$M,0))</f>
        <v>5.4000000000000001E-4</v>
      </c>
      <c r="AQ34" s="257">
        <f>INDEX(OpenLCAbasic!$J:$J, MATCH(CONCATENATE($C$5,"_", 'AD Scenarios'!AQ$12,"_","Upgraded_",INDEX(LookUps!$E$5:$E$12,MATCH('AD Scenarios'!AQ$11, LookUps!$C$5:$C$12,0)),"_", 'AD Scenarios'!$D34,"_", $C$7, "_", $C$6), OpenLCAbasic!$M:$M,0))</f>
        <v>5.4000000000000001E-4</v>
      </c>
      <c r="AR34" s="257">
        <f>INDEX(OpenLCAbasic!$J:$J, MATCH(CONCATENATE($C$5,"_", 'AD Scenarios'!AR$12,"_","Upgraded_",INDEX(LookUps!$E$5:$E$12,MATCH('AD Scenarios'!AR$11, LookUps!$C$5:$C$12,0)),"_", 'AD Scenarios'!$D34,"_", $C$7, "_", $C$6), OpenLCAbasic!$M:$M,0))</f>
        <v>5.4000000000000001E-4</v>
      </c>
      <c r="AS34" s="257">
        <f>INDEX(OpenLCAbasic!$J:$J, MATCH(CONCATENATE($C$5,"_", 'AD Scenarios'!AS$12,"_","Upgraded_",INDEX(LookUps!$E$5:$E$12,MATCH('AD Scenarios'!AS$11, LookUps!$C$5:$C$12,0)),"_", 'AD Scenarios'!$D34,"_", $C$7, "_", $C$6), OpenLCAbasic!$M:$M,0))</f>
        <v>5.4000000000000001E-4</v>
      </c>
      <c r="AT34" s="257">
        <f>INDEX(OpenLCAbasic!$J:$J, MATCH(CONCATENATE("Base","_", 'AD Scenarios'!AT$12,"_","Legacy_",INDEX(LookUps!$E$5:$E$12,MATCH('AD Scenarios'!AT$11, LookUps!$C$5:$C$12,0)),"_", 'AD Scenarios'!$E34,"_", $C$8,"_","n.a." ), OpenLCAbasic!$M:$M,0))</f>
        <v>1.2999999999999999E-4</v>
      </c>
      <c r="AU34" s="257">
        <f>INDEX(OpenLCAbasic!$J:$J, MATCH(CONCATENATE($C$5,"_", 'AD Scenarios'!AU$12,"_","Upgraded_",INDEX(LookUps!$E$5:$E$12,MATCH('AD Scenarios'!AU$11, LookUps!$C$5:$C$12,0)),"_", 'AD Scenarios'!$D34,"_", $C$7, "_", $C$6), OpenLCAbasic!$M:$M,0))</f>
        <v>4.0354700000000002E-5</v>
      </c>
      <c r="AV34" s="257">
        <f>INDEX(OpenLCAbasic!$J:$J, MATCH(CONCATENATE($C$5,"_", 'AD Scenarios'!AV$12,"_","Upgraded_",INDEX(LookUps!$E$5:$E$12,MATCH('AD Scenarios'!AV$11, LookUps!$C$5:$C$12,0)),"_", 'AD Scenarios'!$D34,"_", $C$7, "_", $C$6), OpenLCAbasic!$M:$M,0))</f>
        <v>4.0354700000000002E-5</v>
      </c>
      <c r="AW34" s="257">
        <f>INDEX(OpenLCAbasic!$J:$J, MATCH(CONCATENATE($C$5,"_", 'AD Scenarios'!AW$12,"_","Upgraded_",INDEX(LookUps!$E$5:$E$12,MATCH('AD Scenarios'!AW$11, LookUps!$C$5:$C$12,0)),"_", 'AD Scenarios'!$D34,"_", $C$7, "_", $C$6), OpenLCAbasic!$M:$M,0))</f>
        <v>4.0354700000000002E-5</v>
      </c>
      <c r="AX34" s="257">
        <f>INDEX(OpenLCAbasic!$J:$J, MATCH(CONCATENATE($C$5,"_", 'AD Scenarios'!AX$12,"_","Upgraded_",INDEX(LookUps!$E$5:$E$12,MATCH('AD Scenarios'!AX$11, LookUps!$C$5:$C$12,0)),"_", 'AD Scenarios'!$D34,"_", $C$7, "_", $C$6), OpenLCAbasic!$M:$M,0))</f>
        <v>4.0354700000000002E-5</v>
      </c>
      <c r="AY34" s="257">
        <f>INDEX(OpenLCAbasic!$J:$J, MATCH(CONCATENATE($C$5,"_", 'AD Scenarios'!AY$12,"_","Upgraded_",INDEX(LookUps!$E$5:$E$12,MATCH('AD Scenarios'!AY$11, LookUps!$C$5:$C$12,0)),"_", 'AD Scenarios'!$D34,"_", $C$7, "_", $C$6), OpenLCAbasic!$M:$M,0))</f>
        <v>4.0354700000000002E-5</v>
      </c>
      <c r="AZ34" s="257">
        <f>INDEX(OpenLCAbasic!$J:$J, MATCH(CONCATENATE($C$5,"_", 'AD Scenarios'!AZ$12,"_","Upgraded_",INDEX(LookUps!$E$5:$E$12,MATCH('AD Scenarios'!AZ$11, LookUps!$C$5:$C$12,0)),"_", 'AD Scenarios'!$D34,"_", $C$7, "_", $C$6), OpenLCAbasic!$M:$M,0))</f>
        <v>4.0354700000000002E-5</v>
      </c>
      <c r="BA34" s="257">
        <f>INDEX(OpenLCAbasic!$J:$J, MATCH(CONCATENATE($C$5,"_", 'AD Scenarios'!BA$12,"_","Upgraded_",INDEX(LookUps!$E$5:$E$12,MATCH('AD Scenarios'!BA$11, LookUps!$C$5:$C$12,0)),"_", 'AD Scenarios'!$D34,"_", $C$7, "_", $C$6), OpenLCAbasic!$M:$M,0))</f>
        <v>4.0354700000000002E-5</v>
      </c>
      <c r="BB34" s="257">
        <f>INDEX(OpenLCAbasic!$J:$J, MATCH(CONCATENATE($C$5,"_", 'AD Scenarios'!BB$12,"_","Upgraded_",INDEX(LookUps!$E$5:$E$12,MATCH('AD Scenarios'!BB$11, LookUps!$C$5:$C$12,0)),"_", 'AD Scenarios'!$D34,"_", $C$7, "_", $C$6), OpenLCAbasic!$M:$M,0))</f>
        <v>4.0354700000000002E-5</v>
      </c>
      <c r="BC34" s="257">
        <f>INDEX(OpenLCAbasic!$J:$J, MATCH(CONCATENATE($C$5,"_", 'AD Scenarios'!BC$12,"_","Upgraded_",INDEX(LookUps!$E$5:$E$12,MATCH('AD Scenarios'!BC$11, LookUps!$C$5:$C$12,0)),"_", 'AD Scenarios'!$D34,"_", $C$7, "_", $C$6), OpenLCAbasic!$M:$M,0))</f>
        <v>4.0354700000000002E-5</v>
      </c>
      <c r="BD34" s="257">
        <f>INDEX(OpenLCAbasic!$J:$J, MATCH(CONCATENATE("Base","_", 'AD Scenarios'!BD$12,"_","Legacy_",INDEX(LookUps!$E$5:$E$12,MATCH('AD Scenarios'!BD$11, LookUps!$C$5:$C$12,0)),"_", 'AD Scenarios'!$E34,"_", $C$8,"_","n.a." ), OpenLCAbasic!$M:$M,0))</f>
        <v>1.2E-4</v>
      </c>
      <c r="BE34" s="257">
        <f>INDEX(OpenLCAbasic!$J:$J, MATCH(CONCATENATE($C$5,"_", 'AD Scenarios'!BE$12,"_","Upgraded_",INDEX(LookUps!$E$5:$E$12,MATCH('AD Scenarios'!BE$11, LookUps!$C$5:$C$12,0)),"_", 'AD Scenarios'!$D34,"_", $C$7, "_", $C$6), OpenLCAbasic!$M:$M,0))</f>
        <v>1.4999999999999999E-4</v>
      </c>
      <c r="BF34" s="257">
        <f>INDEX(OpenLCAbasic!$J:$J, MATCH(CONCATENATE($C$5,"_", 'AD Scenarios'!BF$12,"_","Upgraded_",INDEX(LookUps!$E$5:$E$12,MATCH('AD Scenarios'!BF$11, LookUps!$C$5:$C$12,0)),"_", 'AD Scenarios'!$D34,"_", $C$7, "_", $C$6), OpenLCAbasic!$M:$M,0))</f>
        <v>1.4999999999999999E-4</v>
      </c>
      <c r="BG34" s="257">
        <f>INDEX(OpenLCAbasic!$J:$J, MATCH(CONCATENATE($C$5,"_", 'AD Scenarios'!BG$12,"_","Upgraded_",INDEX(LookUps!$E$5:$E$12,MATCH('AD Scenarios'!BG$11, LookUps!$C$5:$C$12,0)),"_", 'AD Scenarios'!$D34,"_", $C$7, "_", $C$6), OpenLCAbasic!$M:$M,0))</f>
        <v>1.4999999999999999E-4</v>
      </c>
      <c r="BH34" s="257">
        <f>INDEX(OpenLCAbasic!$J:$J, MATCH(CONCATENATE($C$5,"_", 'AD Scenarios'!BH$12,"_","Upgraded_",INDEX(LookUps!$E$5:$E$12,MATCH('AD Scenarios'!BH$11, LookUps!$C$5:$C$12,0)),"_", 'AD Scenarios'!$D34,"_", $C$7, "_", $C$6), OpenLCAbasic!$M:$M,0))</f>
        <v>1.4999999999999999E-4</v>
      </c>
      <c r="BI34" s="257">
        <f>INDEX(OpenLCAbasic!$J:$J, MATCH(CONCATENATE($C$5,"_", 'AD Scenarios'!BI$12,"_","Upgraded_",INDEX(LookUps!$E$5:$E$12,MATCH('AD Scenarios'!BI$11, LookUps!$C$5:$C$12,0)),"_", 'AD Scenarios'!$D34,"_", $C$7, "_", $C$6), OpenLCAbasic!$M:$M,0))</f>
        <v>1.4999999999999999E-4</v>
      </c>
      <c r="BJ34" s="257">
        <f>INDEX(OpenLCAbasic!$J:$J, MATCH(CONCATENATE($C$5,"_", 'AD Scenarios'!BJ$12,"_","Upgraded_",INDEX(LookUps!$E$5:$E$12,MATCH('AD Scenarios'!BJ$11, LookUps!$C$5:$C$12,0)),"_", 'AD Scenarios'!$D34,"_", $C$7, "_", $C$6), OpenLCAbasic!$M:$M,0))</f>
        <v>1.4999999999999999E-4</v>
      </c>
      <c r="BK34" s="257">
        <f>INDEX(OpenLCAbasic!$J:$J, MATCH(CONCATENATE($C$5,"_", 'AD Scenarios'!BK$12,"_","Upgraded_",INDEX(LookUps!$E$5:$E$12,MATCH('AD Scenarios'!BK$11, LookUps!$C$5:$C$12,0)),"_", 'AD Scenarios'!$D34,"_", $C$7, "_", $C$6), OpenLCAbasic!$M:$M,0))</f>
        <v>1.4999999999999999E-4</v>
      </c>
      <c r="BL34" s="257">
        <f>INDEX(OpenLCAbasic!$J:$J, MATCH(CONCATENATE($C$5,"_", 'AD Scenarios'!BL$12,"_","Upgraded_",INDEX(LookUps!$E$5:$E$12,MATCH('AD Scenarios'!BL$11, LookUps!$C$5:$C$12,0)),"_", 'AD Scenarios'!$D34,"_", $C$7, "_", $C$6), OpenLCAbasic!$M:$M,0))</f>
        <v>1.4999999999999999E-4</v>
      </c>
      <c r="BM34" s="257">
        <f>INDEX(OpenLCAbasic!$J:$J, MATCH(CONCATENATE($C$5,"_", 'AD Scenarios'!BM$12,"_","Upgraded_",INDEX(LookUps!$E$5:$E$12,MATCH('AD Scenarios'!BM$11, LookUps!$C$5:$C$12,0)),"_", 'AD Scenarios'!$D34,"_", $C$7, "_", $C$6), OpenLCAbasic!$M:$M,0))</f>
        <v>1.4999999999999999E-4</v>
      </c>
      <c r="BN34" s="257">
        <f>INDEX(OpenLCAbasic!$J:$J, MATCH(CONCATENATE("Base","_", 'AD Scenarios'!BN$12,"_","Legacy_",INDEX(LookUps!$E$5:$E$12,MATCH('AD Scenarios'!BN$11, LookUps!$C$5:$C$12,0)),"_", 'AD Scenarios'!$E34,"_", $C$8,"_","n.a." ), OpenLCAbasic!$M:$M,0))</f>
        <v>2.1430000000000001E-2</v>
      </c>
      <c r="BO34" s="257">
        <f>INDEX(OpenLCAbasic!$J:$J, MATCH(CONCATENATE($C$5,"_", 'AD Scenarios'!BO$12,"_","Upgraded_",INDEX(LookUps!$E$5:$E$12,MATCH('AD Scenarios'!BO$11, LookUps!$C$5:$C$12,0)),"_", 'AD Scenarios'!$D34,"_", $C$7, "_", $C$6), OpenLCAbasic!$M:$M,0))</f>
        <v>2.8E-3</v>
      </c>
      <c r="BP34" s="257">
        <f>INDEX(OpenLCAbasic!$J:$J, MATCH(CONCATENATE($C$5,"_", 'AD Scenarios'!BP$12,"_","Upgraded_",INDEX(LookUps!$E$5:$E$12,MATCH('AD Scenarios'!BP$11, LookUps!$C$5:$C$12,0)),"_", 'AD Scenarios'!$D34,"_", $C$7, "_", $C$6), OpenLCAbasic!$M:$M,0))</f>
        <v>2.8E-3</v>
      </c>
      <c r="BQ34" s="257">
        <f>INDEX(OpenLCAbasic!$J:$J, MATCH(CONCATENATE($C$5,"_", 'AD Scenarios'!BQ$12,"_","Upgraded_",INDEX(LookUps!$E$5:$E$12,MATCH('AD Scenarios'!BQ$11, LookUps!$C$5:$C$12,0)),"_", 'AD Scenarios'!$D34,"_", $C$7, "_", $C$6), OpenLCAbasic!$M:$M,0))</f>
        <v>2.8E-3</v>
      </c>
      <c r="BR34" s="257">
        <f>INDEX(OpenLCAbasic!$J:$J, MATCH(CONCATENATE($C$5,"_", 'AD Scenarios'!BR$12,"_","Upgraded_",INDEX(LookUps!$E$5:$E$12,MATCH('AD Scenarios'!BR$11, LookUps!$C$5:$C$12,0)),"_", 'AD Scenarios'!$D34,"_", $C$7, "_", $C$6), OpenLCAbasic!$M:$M,0))</f>
        <v>2.8E-3</v>
      </c>
      <c r="BS34" s="257">
        <f>INDEX(OpenLCAbasic!$J:$J, MATCH(CONCATENATE($C$5,"_", 'AD Scenarios'!BS$12,"_","Upgraded_",INDEX(LookUps!$E$5:$E$12,MATCH('AD Scenarios'!BS$11, LookUps!$C$5:$C$12,0)),"_", 'AD Scenarios'!$D34,"_", $C$7, "_", $C$6), OpenLCAbasic!$M:$M,0))</f>
        <v>2.8E-3</v>
      </c>
      <c r="BT34" s="257">
        <f>INDEX(OpenLCAbasic!$J:$J, MATCH(CONCATENATE($C$5,"_", 'AD Scenarios'!BT$12,"_","Upgraded_",INDEX(LookUps!$E$5:$E$12,MATCH('AD Scenarios'!BT$11, LookUps!$C$5:$C$12,0)),"_", 'AD Scenarios'!$D34,"_", $C$7, "_", $C$6), OpenLCAbasic!$M:$M,0))</f>
        <v>2.8E-3</v>
      </c>
      <c r="BU34" s="257">
        <f>INDEX(OpenLCAbasic!$J:$J, MATCH(CONCATENATE($C$5,"_", 'AD Scenarios'!BU$12,"_","Upgraded_",INDEX(LookUps!$E$5:$E$12,MATCH('AD Scenarios'!BU$11, LookUps!$C$5:$C$12,0)),"_", 'AD Scenarios'!$D34,"_", $C$7, "_", $C$6), OpenLCAbasic!$M:$M,0))</f>
        <v>2.8E-3</v>
      </c>
      <c r="BV34" s="257">
        <f>INDEX(OpenLCAbasic!$J:$J, MATCH(CONCATENATE($C$5,"_", 'AD Scenarios'!BV$12,"_","Upgraded_",INDEX(LookUps!$E$5:$E$12,MATCH('AD Scenarios'!BV$11, LookUps!$C$5:$C$12,0)),"_", 'AD Scenarios'!$D34,"_", $C$7, "_", $C$6), OpenLCAbasic!$M:$M,0))</f>
        <v>2.8E-3</v>
      </c>
      <c r="BW34" s="257">
        <f>INDEX(OpenLCAbasic!$J:$J, MATCH(CONCATENATE($C$5,"_", 'AD Scenarios'!BW$12,"_","Upgraded_",INDEX(LookUps!$E$5:$E$12,MATCH('AD Scenarios'!BW$11, LookUps!$C$5:$C$12,0)),"_", 'AD Scenarios'!$D34,"_", $C$7, "_", $C$6), OpenLCAbasic!$M:$M,0))</f>
        <v>2.8E-3</v>
      </c>
      <c r="BX34" s="256">
        <f>INDEX(OpenLCAbasic!$J:$J, MATCH(CONCATENATE("Base","_", 'AD Scenarios'!BX$12,"_","Legacy_",INDEX(LookUps!$E$5:$E$12,MATCH('AD Scenarios'!BX$11, LookUps!$C$5:$C$12,0)),"_", 'AD Scenarios'!$E34,"_", $C$8,"_","n.a." ), OpenLCAbasic!$M:$M,0))</f>
        <v>0.92825000000000002</v>
      </c>
      <c r="BY34" s="256">
        <f>INDEX(OpenLCAbasic!$J:$J, MATCH(CONCATENATE($C$5,"_", 'AD Scenarios'!BY$12,"_","Upgraded_",INDEX(LookUps!$E$5:$E$12,MATCH('AD Scenarios'!BY$11, LookUps!$C$5:$C$12,0)),"_", 'AD Scenarios'!$D34,"_", $C$7, "_", $C$6), OpenLCAbasic!$M:$M,0))</f>
        <v>0.14599000000000001</v>
      </c>
      <c r="BZ34" s="256">
        <f>INDEX(OpenLCAbasic!$J:$J, MATCH(CONCATENATE($C$5,"_", 'AD Scenarios'!BZ$12,"_","Upgraded_",INDEX(LookUps!$E$5:$E$12,MATCH('AD Scenarios'!BZ$11, LookUps!$C$5:$C$12,0)),"_", 'AD Scenarios'!$D34,"_", $C$7, "_", $C$6), OpenLCAbasic!$M:$M,0))</f>
        <v>0.14599000000000001</v>
      </c>
      <c r="CA34" s="256">
        <f>INDEX(OpenLCAbasic!$J:$J, MATCH(CONCATENATE($C$5,"_", 'AD Scenarios'!CA$12,"_","Upgraded_",INDEX(LookUps!$E$5:$E$12,MATCH('AD Scenarios'!CA$11, LookUps!$C$5:$C$12,0)),"_", 'AD Scenarios'!$D34,"_", $C$7, "_", $C$6), OpenLCAbasic!$M:$M,0))</f>
        <v>0.14599000000000001</v>
      </c>
      <c r="CB34" s="256">
        <f>INDEX(OpenLCAbasic!$J:$J, MATCH(CONCATENATE($C$5,"_", 'AD Scenarios'!CB$12,"_","Upgraded_",INDEX(LookUps!$E$5:$E$12,MATCH('AD Scenarios'!CB$11, LookUps!$C$5:$C$12,0)),"_", 'AD Scenarios'!$D34,"_", $C$7, "_", $C$6), OpenLCAbasic!$M:$M,0))</f>
        <v>0.14599000000000001</v>
      </c>
      <c r="CC34" s="256">
        <f>INDEX(OpenLCAbasic!$J:$J, MATCH(CONCATENATE($C$5,"_", 'AD Scenarios'!CC$12,"_","Upgraded_",INDEX(LookUps!$E$5:$E$12,MATCH('AD Scenarios'!CC$11, LookUps!$C$5:$C$12,0)),"_", 'AD Scenarios'!$D34,"_", $C$7, "_", $C$6), OpenLCAbasic!$M:$M,0))</f>
        <v>0.14599000000000001</v>
      </c>
      <c r="CD34" s="256">
        <f>INDEX(OpenLCAbasic!$J:$J, MATCH(CONCATENATE($C$5,"_", 'AD Scenarios'!CD$12,"_","Upgraded_",INDEX(LookUps!$E$5:$E$12,MATCH('AD Scenarios'!CD$11, LookUps!$C$5:$C$12,0)),"_", 'AD Scenarios'!$D34,"_", $C$7, "_", $C$6), OpenLCAbasic!$M:$M,0))</f>
        <v>0.14599000000000001</v>
      </c>
      <c r="CE34" s="256">
        <f>INDEX(OpenLCAbasic!$J:$J, MATCH(CONCATENATE($C$5,"_", 'AD Scenarios'!CE$12,"_","Upgraded_",INDEX(LookUps!$E$5:$E$12,MATCH('AD Scenarios'!CE$11, LookUps!$C$5:$C$12,0)),"_", 'AD Scenarios'!$D34,"_", $C$7, "_", $C$6), OpenLCAbasic!$M:$M,0))</f>
        <v>0.14599000000000001</v>
      </c>
      <c r="CF34" s="256">
        <f>INDEX(OpenLCAbasic!$J:$J, MATCH(CONCATENATE($C$5,"_", 'AD Scenarios'!CF$12,"_","Upgraded_",INDEX(LookUps!$E$5:$E$12,MATCH('AD Scenarios'!CF$11, LookUps!$C$5:$C$12,0)),"_", 'AD Scenarios'!$D34,"_", $C$7, "_", $C$6), OpenLCAbasic!$M:$M,0))</f>
        <v>0.14599000000000001</v>
      </c>
      <c r="CG34" s="256">
        <f>INDEX(OpenLCAbasic!$J:$J, MATCH(CONCATENATE($C$5,"_", 'AD Scenarios'!CG$12,"_","Upgraded_",INDEX(LookUps!$E$5:$E$12,MATCH('AD Scenarios'!CG$11, LookUps!$C$5:$C$12,0)),"_", 'AD Scenarios'!$D34,"_", $C$7, "_", $C$6), OpenLCAbasic!$M:$M,0))</f>
        <v>0.14599000000000001</v>
      </c>
    </row>
    <row r="35" spans="2:85" x14ac:dyDescent="0.25">
      <c r="C35" s="83" t="s">
        <v>34</v>
      </c>
      <c r="D35" s="105"/>
      <c r="E35" s="105"/>
      <c r="F35" s="47">
        <f>SUM(F14:F34)</f>
        <v>1.1127400000000001</v>
      </c>
      <c r="G35" s="47">
        <f t="shared" ref="G35:AF35" si="65">SUM(G14:G34)</f>
        <v>2.1948099999999999</v>
      </c>
      <c r="H35" s="47">
        <f t="shared" si="65"/>
        <v>1.86656</v>
      </c>
      <c r="I35" s="47">
        <f t="shared" si="65"/>
        <v>1.3904700000000001</v>
      </c>
      <c r="J35" s="47">
        <f t="shared" si="65"/>
        <v>2.6023000000000001</v>
      </c>
      <c r="K35" s="47">
        <f t="shared" si="65"/>
        <v>2.0357100000000004</v>
      </c>
      <c r="L35" s="47">
        <f t="shared" si="65"/>
        <v>1.7008200000000002</v>
      </c>
      <c r="M35" s="47">
        <f t="shared" si="65"/>
        <v>3.0951</v>
      </c>
      <c r="N35" s="47">
        <f t="shared" si="65"/>
        <v>2.4974499999999997</v>
      </c>
      <c r="O35" s="47">
        <f t="shared" si="65"/>
        <v>1.97959</v>
      </c>
      <c r="P35" s="15">
        <f>SUM(P14:P34)</f>
        <v>2.4401183639999997E-2</v>
      </c>
      <c r="Q35" s="15">
        <f t="shared" si="65"/>
        <v>1.6257024320000001E-2</v>
      </c>
      <c r="R35" s="15">
        <f t="shared" si="65"/>
        <v>1.5679647920000001E-2</v>
      </c>
      <c r="S35" s="15">
        <f t="shared" si="65"/>
        <v>1.4537788620000002E-2</v>
      </c>
      <c r="T35" s="15">
        <f t="shared" si="65"/>
        <v>1.7279658820000002E-2</v>
      </c>
      <c r="U35" s="15">
        <f t="shared" si="65"/>
        <v>1.6318919220000002E-2</v>
      </c>
      <c r="V35" s="15">
        <f t="shared" si="65"/>
        <v>1.4995912620000001E-2</v>
      </c>
      <c r="W35" s="15">
        <f t="shared" si="65"/>
        <v>1.8598997120000002E-2</v>
      </c>
      <c r="X35" s="15">
        <f t="shared" si="65"/>
        <v>1.7004598920000003E-2</v>
      </c>
      <c r="Y35" s="15">
        <f t="shared" si="65"/>
        <v>1.5089707920000001E-2</v>
      </c>
      <c r="Z35" s="260">
        <f>SUM(Z14:Z34)</f>
        <v>4.0214235769999995E-3</v>
      </c>
      <c r="AA35" s="260">
        <f t="shared" si="65"/>
        <v>5.9864720999999992E-3</v>
      </c>
      <c r="AB35" s="260">
        <f t="shared" si="65"/>
        <v>4.7126793999999993E-3</v>
      </c>
      <c r="AC35" s="260">
        <f t="shared" si="65"/>
        <v>3.2115789999999952E-4</v>
      </c>
      <c r="AD35" s="260">
        <f t="shared" si="65"/>
        <v>5.4913049999999993E-3</v>
      </c>
      <c r="AE35" s="260">
        <f t="shared" si="65"/>
        <v>3.1556387999999999E-3</v>
      </c>
      <c r="AF35" s="260">
        <f t="shared" si="65"/>
        <v>-2.0662087000000002E-3</v>
      </c>
      <c r="AG35" s="260">
        <f t="shared" ref="AG35:BP35" si="66">SUM(AG14:AG34)</f>
        <v>4.4320601999999999E-3</v>
      </c>
      <c r="AH35" s="260">
        <f t="shared" si="66"/>
        <v>8.323669999999967E-5</v>
      </c>
      <c r="AI35" s="260">
        <f t="shared" si="66"/>
        <v>-7.0603681000000005E-3</v>
      </c>
      <c r="AJ35" s="15">
        <f>SUM(AJ14:AJ34)</f>
        <v>0.28433028700000001</v>
      </c>
      <c r="AK35" s="15">
        <f t="shared" si="66"/>
        <v>0.39765999999999996</v>
      </c>
      <c r="AL35" s="15">
        <f t="shared" si="66"/>
        <v>0.3101799999999999</v>
      </c>
      <c r="AM35" s="260">
        <f t="shared" si="66"/>
        <v>-1.7800000000000797E-3</v>
      </c>
      <c r="AN35" s="15">
        <f t="shared" si="66"/>
        <v>0.35168000000000005</v>
      </c>
      <c r="AO35" s="15">
        <f t="shared" si="66"/>
        <v>0.18798000000000004</v>
      </c>
      <c r="AP35" s="15">
        <f t="shared" si="66"/>
        <v>-0.18076000000000003</v>
      </c>
      <c r="AQ35" s="15">
        <f t="shared" si="66"/>
        <v>0.25815999999999995</v>
      </c>
      <c r="AR35" s="15">
        <f t="shared" si="66"/>
        <v>-4.6009999999999995E-2</v>
      </c>
      <c r="AS35" s="15">
        <f t="shared" si="66"/>
        <v>-0.54822000000000004</v>
      </c>
      <c r="AT35" s="15">
        <f>SUM(AT14:AT34)</f>
        <v>3.0296858789999999E-2</v>
      </c>
      <c r="AU35" s="15">
        <f t="shared" si="66"/>
        <v>5.5270354700000003E-2</v>
      </c>
      <c r="AV35" s="15">
        <f t="shared" si="66"/>
        <v>4.4980354700000003E-2</v>
      </c>
      <c r="AW35" s="15">
        <f t="shared" si="66"/>
        <v>1.1690354699999997E-2</v>
      </c>
      <c r="AX35" s="15">
        <f t="shared" si="66"/>
        <v>5.6000354699999998E-2</v>
      </c>
      <c r="AY35" s="15">
        <f t="shared" si="66"/>
        <v>3.7280354700000004E-2</v>
      </c>
      <c r="AZ35" s="260">
        <f t="shared" si="66"/>
        <v>-2.1496453000000022E-3</v>
      </c>
      <c r="BA35" s="15">
        <f t="shared" si="66"/>
        <v>5.4080354700000013E-2</v>
      </c>
      <c r="BB35" s="15">
        <f t="shared" si="66"/>
        <v>1.9880354700000002E-2</v>
      </c>
      <c r="BC35" s="15">
        <f t="shared" si="66"/>
        <v>-3.4359645299999991E-2</v>
      </c>
      <c r="BD35" s="260">
        <f>SUM(BD14:BD34)</f>
        <v>1.24508668E-3</v>
      </c>
      <c r="BE35" s="260">
        <f t="shared" si="66"/>
        <v>-1.2433309000000006E-4</v>
      </c>
      <c r="BF35" s="260">
        <f t="shared" si="66"/>
        <v>-4.2095770000000063E-5</v>
      </c>
      <c r="BG35" s="260">
        <f t="shared" si="66"/>
        <v>-8.8205060000000113E-5</v>
      </c>
      <c r="BH35" s="260">
        <f t="shared" si="66"/>
        <v>-5.8393136000000007E-4</v>
      </c>
      <c r="BI35" s="260">
        <f t="shared" si="66"/>
        <v>-4.6399340999999999E-4</v>
      </c>
      <c r="BJ35" s="260">
        <f t="shared" si="66"/>
        <v>-5.1676949999999999E-4</v>
      </c>
      <c r="BK35" s="260">
        <f t="shared" si="66"/>
        <v>-1.23930749E-3</v>
      </c>
      <c r="BL35" s="260">
        <f t="shared" si="66"/>
        <v>-1.0736851000000003E-3</v>
      </c>
      <c r="BM35" s="260">
        <f t="shared" si="66"/>
        <v>-1.09590177E-3</v>
      </c>
      <c r="BN35" s="15">
        <f>SUM(BN14:BN34)</f>
        <v>0.1697041862</v>
      </c>
      <c r="BO35" s="15">
        <f t="shared" si="66"/>
        <v>0.28928000000000004</v>
      </c>
      <c r="BP35" s="15">
        <f t="shared" si="66"/>
        <v>0.18737000000000004</v>
      </c>
      <c r="BQ35" s="15">
        <f t="shared" ref="BQ35:CG35" si="67">SUM(BQ14:BQ34)</f>
        <v>3.7100000000000227E-3</v>
      </c>
      <c r="BR35" s="15">
        <f t="shared" si="67"/>
        <v>0.25569000000000008</v>
      </c>
      <c r="BS35" s="15">
        <f t="shared" si="67"/>
        <v>6.4900000000000027E-2</v>
      </c>
      <c r="BT35" s="15">
        <f t="shared" si="67"/>
        <v>-5.4639999999999959E-2</v>
      </c>
      <c r="BU35" s="15">
        <f t="shared" si="67"/>
        <v>0.16787999999999997</v>
      </c>
      <c r="BV35" s="15">
        <f t="shared" si="67"/>
        <v>-1.8950000000000036E-2</v>
      </c>
      <c r="BW35" s="15">
        <f t="shared" si="67"/>
        <v>-0.18164999999999998</v>
      </c>
      <c r="BX35" s="47">
        <f>SUM(BX14:BX34)</f>
        <v>8.9737700000000018</v>
      </c>
      <c r="BY35" s="261">
        <f t="shared" si="67"/>
        <v>14.301939999999998</v>
      </c>
      <c r="BZ35" s="261">
        <f t="shared" si="67"/>
        <v>9.5827799999999996</v>
      </c>
      <c r="CA35" s="47">
        <f t="shared" si="67"/>
        <v>0.27622000000000019</v>
      </c>
      <c r="CB35" s="261">
        <f t="shared" si="67"/>
        <v>12.587489999999999</v>
      </c>
      <c r="CC35" s="47">
        <f t="shared" si="67"/>
        <v>3.7456699999999996</v>
      </c>
      <c r="CD35" s="15">
        <f t="shared" si="67"/>
        <v>-3.1432400000000009</v>
      </c>
      <c r="CE35" s="261">
        <f t="shared" si="67"/>
        <v>8.3211799999999982</v>
      </c>
      <c r="CF35" s="47">
        <f t="shared" si="67"/>
        <v>-1.048180000000001</v>
      </c>
      <c r="CG35" s="262">
        <f t="shared" si="67"/>
        <v>-10.419510000000001</v>
      </c>
    </row>
    <row r="36" spans="2:85" ht="16.5" thickBot="1" x14ac:dyDescent="0.3">
      <c r="C36" s="84" t="s">
        <v>144</v>
      </c>
      <c r="D36" s="106"/>
      <c r="E36" s="106"/>
      <c r="F36" s="263">
        <f>_xlfn.MAXIFS($F$35:$CG$35,$F$11:$CG$11,F$11)</f>
        <v>3.0951</v>
      </c>
      <c r="G36" s="263">
        <f t="shared" ref="G36:AL36" si="68">_xlfn.MAXIFS($F$35:$CG$35,$F$11:$CG$11,G11)</f>
        <v>3.0951</v>
      </c>
      <c r="H36" s="263">
        <f>_xlfn.MAXIFS($F$35:$CG$35,$F$11:$CG$11,H11)</f>
        <v>3.0951</v>
      </c>
      <c r="I36" s="263">
        <f t="shared" si="68"/>
        <v>3.0951</v>
      </c>
      <c r="J36" s="263">
        <f t="shared" si="68"/>
        <v>3.0951</v>
      </c>
      <c r="K36" s="263">
        <f t="shared" si="68"/>
        <v>3.0951</v>
      </c>
      <c r="L36" s="263">
        <f t="shared" si="68"/>
        <v>3.0951</v>
      </c>
      <c r="M36" s="263">
        <f t="shared" si="68"/>
        <v>3.0951</v>
      </c>
      <c r="N36" s="263">
        <f t="shared" si="68"/>
        <v>3.0951</v>
      </c>
      <c r="O36" s="263">
        <f t="shared" si="68"/>
        <v>3.0951</v>
      </c>
      <c r="P36" s="70">
        <f t="shared" si="68"/>
        <v>2.4401183639999997E-2</v>
      </c>
      <c r="Q36" s="70">
        <f t="shared" si="68"/>
        <v>2.4401183639999997E-2</v>
      </c>
      <c r="R36" s="70">
        <f t="shared" si="68"/>
        <v>2.4401183639999997E-2</v>
      </c>
      <c r="S36" s="70">
        <f t="shared" si="68"/>
        <v>2.4401183639999997E-2</v>
      </c>
      <c r="T36" s="70">
        <f t="shared" si="68"/>
        <v>2.4401183639999997E-2</v>
      </c>
      <c r="U36" s="70">
        <f t="shared" si="68"/>
        <v>2.4401183639999997E-2</v>
      </c>
      <c r="V36" s="70">
        <f t="shared" si="68"/>
        <v>2.4401183639999997E-2</v>
      </c>
      <c r="W36" s="70">
        <f t="shared" si="68"/>
        <v>2.4401183639999997E-2</v>
      </c>
      <c r="X36" s="70">
        <f t="shared" si="68"/>
        <v>2.4401183639999997E-2</v>
      </c>
      <c r="Y36" s="70">
        <f t="shared" si="68"/>
        <v>2.4401183639999997E-2</v>
      </c>
      <c r="Z36" s="264">
        <f t="shared" si="68"/>
        <v>5.9864720999999992E-3</v>
      </c>
      <c r="AA36" s="264">
        <f t="shared" si="68"/>
        <v>5.9864720999999992E-3</v>
      </c>
      <c r="AB36" s="264">
        <f t="shared" si="68"/>
        <v>5.9864720999999992E-3</v>
      </c>
      <c r="AC36" s="264">
        <f t="shared" si="68"/>
        <v>5.9864720999999992E-3</v>
      </c>
      <c r="AD36" s="264">
        <f t="shared" si="68"/>
        <v>5.9864720999999992E-3</v>
      </c>
      <c r="AE36" s="264">
        <f t="shared" si="68"/>
        <v>5.9864720999999992E-3</v>
      </c>
      <c r="AF36" s="264">
        <f t="shared" si="68"/>
        <v>5.9864720999999992E-3</v>
      </c>
      <c r="AG36" s="264">
        <f t="shared" si="68"/>
        <v>5.9864720999999992E-3</v>
      </c>
      <c r="AH36" s="264">
        <f t="shared" si="68"/>
        <v>5.9864720999999992E-3</v>
      </c>
      <c r="AI36" s="264">
        <f t="shared" si="68"/>
        <v>5.9864720999999992E-3</v>
      </c>
      <c r="AJ36" s="70">
        <f t="shared" si="68"/>
        <v>0.39765999999999996</v>
      </c>
      <c r="AK36" s="70">
        <f t="shared" si="68"/>
        <v>0.39765999999999996</v>
      </c>
      <c r="AL36" s="70">
        <f t="shared" si="68"/>
        <v>0.39765999999999996</v>
      </c>
      <c r="AM36" s="70">
        <f t="shared" ref="AM36:BR36" si="69">_xlfn.MAXIFS($F$35:$CG$35,$F$11:$CG$11,AM11)</f>
        <v>0.39765999999999996</v>
      </c>
      <c r="AN36" s="70">
        <f t="shared" si="69"/>
        <v>0.39765999999999996</v>
      </c>
      <c r="AO36" s="70">
        <f t="shared" si="69"/>
        <v>0.39765999999999996</v>
      </c>
      <c r="AP36" s="70">
        <f t="shared" si="69"/>
        <v>0.39765999999999996</v>
      </c>
      <c r="AQ36" s="70">
        <f t="shared" si="69"/>
        <v>0.39765999999999996</v>
      </c>
      <c r="AR36" s="70">
        <f t="shared" si="69"/>
        <v>0.39765999999999996</v>
      </c>
      <c r="AS36" s="70">
        <f t="shared" si="69"/>
        <v>0.39765999999999996</v>
      </c>
      <c r="AT36" s="70">
        <f t="shared" si="69"/>
        <v>5.6000354699999998E-2</v>
      </c>
      <c r="AU36" s="70">
        <f t="shared" si="69"/>
        <v>5.6000354699999998E-2</v>
      </c>
      <c r="AV36" s="70">
        <f t="shared" si="69"/>
        <v>5.6000354699999998E-2</v>
      </c>
      <c r="AW36" s="70">
        <f t="shared" si="69"/>
        <v>5.6000354699999998E-2</v>
      </c>
      <c r="AX36" s="70">
        <f t="shared" si="69"/>
        <v>5.6000354699999998E-2</v>
      </c>
      <c r="AY36" s="70">
        <f t="shared" si="69"/>
        <v>5.6000354699999998E-2</v>
      </c>
      <c r="AZ36" s="70">
        <f t="shared" si="69"/>
        <v>5.6000354699999998E-2</v>
      </c>
      <c r="BA36" s="70">
        <f t="shared" si="69"/>
        <v>5.6000354699999998E-2</v>
      </c>
      <c r="BB36" s="70">
        <f t="shared" si="69"/>
        <v>5.6000354699999998E-2</v>
      </c>
      <c r="BC36" s="70">
        <f t="shared" si="69"/>
        <v>5.6000354699999998E-2</v>
      </c>
      <c r="BD36" s="264">
        <f t="shared" si="69"/>
        <v>1.24508668E-3</v>
      </c>
      <c r="BE36" s="264">
        <f t="shared" si="69"/>
        <v>1.24508668E-3</v>
      </c>
      <c r="BF36" s="264">
        <f t="shared" si="69"/>
        <v>1.24508668E-3</v>
      </c>
      <c r="BG36" s="264">
        <f t="shared" si="69"/>
        <v>1.24508668E-3</v>
      </c>
      <c r="BH36" s="264">
        <f t="shared" si="69"/>
        <v>1.24508668E-3</v>
      </c>
      <c r="BI36" s="264">
        <f t="shared" si="69"/>
        <v>1.24508668E-3</v>
      </c>
      <c r="BJ36" s="264">
        <f t="shared" si="69"/>
        <v>1.24508668E-3</v>
      </c>
      <c r="BK36" s="264">
        <f t="shared" si="69"/>
        <v>1.24508668E-3</v>
      </c>
      <c r="BL36" s="264">
        <f t="shared" si="69"/>
        <v>1.24508668E-3</v>
      </c>
      <c r="BM36" s="264">
        <f t="shared" si="69"/>
        <v>1.24508668E-3</v>
      </c>
      <c r="BN36" s="70">
        <f t="shared" si="69"/>
        <v>0.28928000000000004</v>
      </c>
      <c r="BO36" s="70">
        <f t="shared" si="69"/>
        <v>0.28928000000000004</v>
      </c>
      <c r="BP36" s="70">
        <f t="shared" si="69"/>
        <v>0.28928000000000004</v>
      </c>
      <c r="BQ36" s="70">
        <f t="shared" si="69"/>
        <v>0.28928000000000004</v>
      </c>
      <c r="BR36" s="70">
        <f t="shared" si="69"/>
        <v>0.28928000000000004</v>
      </c>
      <c r="BS36" s="70">
        <f t="shared" ref="BS36:CG36" si="70">_xlfn.MAXIFS($F$35:$CG$35,$F$11:$CG$11,BS11)</f>
        <v>0.28928000000000004</v>
      </c>
      <c r="BT36" s="70">
        <f t="shared" si="70"/>
        <v>0.28928000000000004</v>
      </c>
      <c r="BU36" s="70">
        <f t="shared" si="70"/>
        <v>0.28928000000000004</v>
      </c>
      <c r="BV36" s="70">
        <f t="shared" si="70"/>
        <v>0.28928000000000004</v>
      </c>
      <c r="BW36" s="70">
        <f t="shared" si="70"/>
        <v>0.28928000000000004</v>
      </c>
      <c r="BX36" s="265">
        <f t="shared" si="70"/>
        <v>14.301939999999998</v>
      </c>
      <c r="BY36" s="265">
        <f t="shared" si="70"/>
        <v>14.301939999999998</v>
      </c>
      <c r="BZ36" s="265">
        <f t="shared" si="70"/>
        <v>14.301939999999998</v>
      </c>
      <c r="CA36" s="265">
        <f t="shared" si="70"/>
        <v>14.301939999999998</v>
      </c>
      <c r="CB36" s="265">
        <f t="shared" si="70"/>
        <v>14.301939999999998</v>
      </c>
      <c r="CC36" s="265">
        <f t="shared" si="70"/>
        <v>14.301939999999998</v>
      </c>
      <c r="CD36" s="265">
        <f t="shared" si="70"/>
        <v>14.301939999999998</v>
      </c>
      <c r="CE36" s="265">
        <f t="shared" si="70"/>
        <v>14.301939999999998</v>
      </c>
      <c r="CF36" s="265">
        <f t="shared" si="70"/>
        <v>14.301939999999998</v>
      </c>
      <c r="CG36" s="265">
        <f t="shared" si="70"/>
        <v>14.301939999999998</v>
      </c>
    </row>
    <row r="37" spans="2:85" ht="16.5" thickBot="1" x14ac:dyDescent="0.3">
      <c r="C37" s="84" t="s">
        <v>187</v>
      </c>
      <c r="D37" s="106"/>
      <c r="E37" s="106"/>
      <c r="F37" s="263">
        <f t="shared" ref="F37:AK37" si="71">_xlfn.MINIFS($F$35:$CG$35,$F$11:$CG$11,F$11)</f>
        <v>1.1127400000000001</v>
      </c>
      <c r="G37" s="263">
        <f t="shared" si="71"/>
        <v>1.1127400000000001</v>
      </c>
      <c r="H37" s="263">
        <f t="shared" si="71"/>
        <v>1.1127400000000001</v>
      </c>
      <c r="I37" s="263">
        <f t="shared" si="71"/>
        <v>1.1127400000000001</v>
      </c>
      <c r="J37" s="263">
        <f t="shared" si="71"/>
        <v>1.1127400000000001</v>
      </c>
      <c r="K37" s="263">
        <f t="shared" si="71"/>
        <v>1.1127400000000001</v>
      </c>
      <c r="L37" s="263">
        <f t="shared" si="71"/>
        <v>1.1127400000000001</v>
      </c>
      <c r="M37" s="263">
        <f t="shared" si="71"/>
        <v>1.1127400000000001</v>
      </c>
      <c r="N37" s="263">
        <f t="shared" si="71"/>
        <v>1.1127400000000001</v>
      </c>
      <c r="O37" s="263">
        <f t="shared" si="71"/>
        <v>1.1127400000000001</v>
      </c>
      <c r="P37" s="70">
        <f t="shared" si="71"/>
        <v>1.4537788620000002E-2</v>
      </c>
      <c r="Q37" s="70">
        <f t="shared" si="71"/>
        <v>1.4537788620000002E-2</v>
      </c>
      <c r="R37" s="70">
        <f t="shared" si="71"/>
        <v>1.4537788620000002E-2</v>
      </c>
      <c r="S37" s="70">
        <f t="shared" si="71"/>
        <v>1.4537788620000002E-2</v>
      </c>
      <c r="T37" s="70">
        <f t="shared" si="71"/>
        <v>1.4537788620000002E-2</v>
      </c>
      <c r="U37" s="70">
        <f t="shared" si="71"/>
        <v>1.4537788620000002E-2</v>
      </c>
      <c r="V37" s="70">
        <f t="shared" si="71"/>
        <v>1.4537788620000002E-2</v>
      </c>
      <c r="W37" s="70">
        <f t="shared" si="71"/>
        <v>1.4537788620000002E-2</v>
      </c>
      <c r="X37" s="70">
        <f t="shared" si="71"/>
        <v>1.4537788620000002E-2</v>
      </c>
      <c r="Y37" s="70">
        <f t="shared" si="71"/>
        <v>1.4537788620000002E-2</v>
      </c>
      <c r="Z37" s="264">
        <f t="shared" si="71"/>
        <v>-7.0603681000000005E-3</v>
      </c>
      <c r="AA37" s="264">
        <f t="shared" si="71"/>
        <v>-7.0603681000000005E-3</v>
      </c>
      <c r="AB37" s="264">
        <f t="shared" si="71"/>
        <v>-7.0603681000000005E-3</v>
      </c>
      <c r="AC37" s="264">
        <f t="shared" si="71"/>
        <v>-7.0603681000000005E-3</v>
      </c>
      <c r="AD37" s="264">
        <f t="shared" si="71"/>
        <v>-7.0603681000000005E-3</v>
      </c>
      <c r="AE37" s="264">
        <f t="shared" si="71"/>
        <v>-7.0603681000000005E-3</v>
      </c>
      <c r="AF37" s="264">
        <f t="shared" si="71"/>
        <v>-7.0603681000000005E-3</v>
      </c>
      <c r="AG37" s="264">
        <f t="shared" si="71"/>
        <v>-7.0603681000000005E-3</v>
      </c>
      <c r="AH37" s="264">
        <f t="shared" si="71"/>
        <v>-7.0603681000000005E-3</v>
      </c>
      <c r="AI37" s="264">
        <f t="shared" si="71"/>
        <v>-7.0603681000000005E-3</v>
      </c>
      <c r="AJ37" s="70">
        <f t="shared" si="71"/>
        <v>-0.54822000000000004</v>
      </c>
      <c r="AK37" s="70">
        <f t="shared" si="71"/>
        <v>-0.54822000000000004</v>
      </c>
      <c r="AL37" s="70">
        <f t="shared" ref="AL37:BQ37" si="72">_xlfn.MINIFS($F$35:$CG$35,$F$11:$CG$11,AL$11)</f>
        <v>-0.54822000000000004</v>
      </c>
      <c r="AM37" s="70">
        <f t="shared" si="72"/>
        <v>-0.54822000000000004</v>
      </c>
      <c r="AN37" s="70">
        <f t="shared" si="72"/>
        <v>-0.54822000000000004</v>
      </c>
      <c r="AO37" s="70">
        <f t="shared" si="72"/>
        <v>-0.54822000000000004</v>
      </c>
      <c r="AP37" s="70">
        <f t="shared" si="72"/>
        <v>-0.54822000000000004</v>
      </c>
      <c r="AQ37" s="70">
        <f t="shared" si="72"/>
        <v>-0.54822000000000004</v>
      </c>
      <c r="AR37" s="70">
        <f t="shared" si="72"/>
        <v>-0.54822000000000004</v>
      </c>
      <c r="AS37" s="70">
        <f t="shared" si="72"/>
        <v>-0.54822000000000004</v>
      </c>
      <c r="AT37" s="70">
        <f t="shared" si="72"/>
        <v>-3.4359645299999991E-2</v>
      </c>
      <c r="AU37" s="70">
        <f t="shared" si="72"/>
        <v>-3.4359645299999991E-2</v>
      </c>
      <c r="AV37" s="70">
        <f t="shared" si="72"/>
        <v>-3.4359645299999991E-2</v>
      </c>
      <c r="AW37" s="70">
        <f t="shared" si="72"/>
        <v>-3.4359645299999991E-2</v>
      </c>
      <c r="AX37" s="70">
        <f t="shared" si="72"/>
        <v>-3.4359645299999991E-2</v>
      </c>
      <c r="AY37" s="70">
        <f t="shared" si="72"/>
        <v>-3.4359645299999991E-2</v>
      </c>
      <c r="AZ37" s="70">
        <f t="shared" si="72"/>
        <v>-3.4359645299999991E-2</v>
      </c>
      <c r="BA37" s="70">
        <f t="shared" si="72"/>
        <v>-3.4359645299999991E-2</v>
      </c>
      <c r="BB37" s="70">
        <f t="shared" si="72"/>
        <v>-3.4359645299999991E-2</v>
      </c>
      <c r="BC37" s="70">
        <f t="shared" si="72"/>
        <v>-3.4359645299999991E-2</v>
      </c>
      <c r="BD37" s="264">
        <f t="shared" si="72"/>
        <v>-1.23930749E-3</v>
      </c>
      <c r="BE37" s="264">
        <f t="shared" si="72"/>
        <v>-1.23930749E-3</v>
      </c>
      <c r="BF37" s="264">
        <f t="shared" si="72"/>
        <v>-1.23930749E-3</v>
      </c>
      <c r="BG37" s="264">
        <f t="shared" si="72"/>
        <v>-1.23930749E-3</v>
      </c>
      <c r="BH37" s="264">
        <f t="shared" si="72"/>
        <v>-1.23930749E-3</v>
      </c>
      <c r="BI37" s="264">
        <f t="shared" si="72"/>
        <v>-1.23930749E-3</v>
      </c>
      <c r="BJ37" s="264">
        <f t="shared" si="72"/>
        <v>-1.23930749E-3</v>
      </c>
      <c r="BK37" s="264">
        <f t="shared" si="72"/>
        <v>-1.23930749E-3</v>
      </c>
      <c r="BL37" s="264">
        <f t="shared" si="72"/>
        <v>-1.23930749E-3</v>
      </c>
      <c r="BM37" s="264">
        <f t="shared" si="72"/>
        <v>-1.23930749E-3</v>
      </c>
      <c r="BN37" s="70">
        <f t="shared" si="72"/>
        <v>-0.18164999999999998</v>
      </c>
      <c r="BO37" s="70">
        <f t="shared" si="72"/>
        <v>-0.18164999999999998</v>
      </c>
      <c r="BP37" s="70">
        <f t="shared" si="72"/>
        <v>-0.18164999999999998</v>
      </c>
      <c r="BQ37" s="70">
        <f t="shared" si="72"/>
        <v>-0.18164999999999998</v>
      </c>
      <c r="BR37" s="70">
        <f t="shared" ref="BR37:CG37" si="73">_xlfn.MINIFS($F$35:$CG$35,$F$11:$CG$11,BR$11)</f>
        <v>-0.18164999999999998</v>
      </c>
      <c r="BS37" s="70">
        <f t="shared" si="73"/>
        <v>-0.18164999999999998</v>
      </c>
      <c r="BT37" s="70">
        <f t="shared" si="73"/>
        <v>-0.18164999999999998</v>
      </c>
      <c r="BU37" s="70">
        <f t="shared" si="73"/>
        <v>-0.18164999999999998</v>
      </c>
      <c r="BV37" s="70">
        <f t="shared" si="73"/>
        <v>-0.18164999999999998</v>
      </c>
      <c r="BW37" s="70">
        <f t="shared" si="73"/>
        <v>-0.18164999999999998</v>
      </c>
      <c r="BX37" s="263">
        <f t="shared" si="73"/>
        <v>-10.419510000000001</v>
      </c>
      <c r="BY37" s="263">
        <f t="shared" si="73"/>
        <v>-10.419510000000001</v>
      </c>
      <c r="BZ37" s="263">
        <f t="shared" si="73"/>
        <v>-10.419510000000001</v>
      </c>
      <c r="CA37" s="263">
        <f t="shared" si="73"/>
        <v>-10.419510000000001</v>
      </c>
      <c r="CB37" s="263">
        <f t="shared" si="73"/>
        <v>-10.419510000000001</v>
      </c>
      <c r="CC37" s="263">
        <f t="shared" si="73"/>
        <v>-10.419510000000001</v>
      </c>
      <c r="CD37" s="263">
        <f t="shared" si="73"/>
        <v>-10.419510000000001</v>
      </c>
      <c r="CE37" s="263">
        <f t="shared" si="73"/>
        <v>-10.419510000000001</v>
      </c>
      <c r="CF37" s="263">
        <f t="shared" si="73"/>
        <v>-10.419510000000001</v>
      </c>
      <c r="CG37" s="263">
        <f t="shared" si="73"/>
        <v>-10.419510000000001</v>
      </c>
    </row>
    <row r="38" spans="2:85" x14ac:dyDescent="0.25">
      <c r="C38" s="72"/>
      <c r="D38" s="72"/>
      <c r="E38" s="72"/>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row>
    <row r="39" spans="2:85" ht="16.5" thickBot="1" x14ac:dyDescent="0.3">
      <c r="C39" s="2" t="s">
        <v>194</v>
      </c>
      <c r="H39" s="43" t="str">
        <f>CONCATENATE("Tables and charts are showing results for the ", $C$5, " emissions scenario.")</f>
        <v>Tables and charts are showing results for the High emissions scenario.</v>
      </c>
      <c r="P39" s="43" t="str">
        <f>CONCATENATE("Tables and charts are showing results for the ", $C$5, " emissions scenario.")</f>
        <v>Tables and charts are showing results for the High emissions scenario.</v>
      </c>
      <c r="Z39" s="43" t="str">
        <f>CONCATENATE("Tables and charts are showing results for the ", $C$5, " emissions scenario.")</f>
        <v>Tables and charts are showing results for the High emissions scenario.</v>
      </c>
      <c r="AJ39" s="43" t="str">
        <f>CONCATENATE("Tables and charts are showing results for the ", $C$5, " emissions scenario.")</f>
        <v>Tables and charts are showing results for the High emissions scenario.</v>
      </c>
      <c r="AT39" s="43" t="str">
        <f>CONCATENATE("Tables and charts are showing results for the ", $C$5, " emissions scenario.")</f>
        <v>Tables and charts are showing results for the High emissions scenario.</v>
      </c>
      <c r="BD39" s="43" t="str">
        <f>CONCATENATE("Tables and charts are showing results for the ", $C$5, " emissions scenario.")</f>
        <v>Tables and charts are showing results for the High emissions scenario.</v>
      </c>
      <c r="BN39" s="43" t="str">
        <f>CONCATENATE("Tables and charts are showing results for the ", $C$5, " emissions scenario.")</f>
        <v>Tables and charts are showing results for the High emissions scenario.</v>
      </c>
      <c r="BX39" s="43" t="str">
        <f>CONCATENATE("Tables and charts are showing results for the ", $C$5, " emissions scenario.")</f>
        <v>Tables and charts are showing results for the High emissions scenario.</v>
      </c>
    </row>
    <row r="40" spans="2:85" ht="16.5" thickBot="1" x14ac:dyDescent="0.3">
      <c r="C40" s="74" t="s">
        <v>36</v>
      </c>
      <c r="D40" s="108"/>
      <c r="E40" s="108"/>
      <c r="F40" s="76" t="str">
        <f t="shared" ref="F40" si="74">F11</f>
        <v>GWP</v>
      </c>
      <c r="G40" s="76" t="str">
        <f t="shared" ref="G40:AL40" si="75">G11</f>
        <v>GWP</v>
      </c>
      <c r="H40" s="76" t="str">
        <f t="shared" si="75"/>
        <v>GWP</v>
      </c>
      <c r="I40" s="76" t="str">
        <f t="shared" si="75"/>
        <v>GWP</v>
      </c>
      <c r="J40" s="76" t="str">
        <f t="shared" si="75"/>
        <v>GWP</v>
      </c>
      <c r="K40" s="76" t="str">
        <f t="shared" si="75"/>
        <v>GWP</v>
      </c>
      <c r="L40" s="76" t="str">
        <f t="shared" si="75"/>
        <v>GWP</v>
      </c>
      <c r="M40" s="76" t="str">
        <f t="shared" si="75"/>
        <v>GWP</v>
      </c>
      <c r="N40" s="76" t="str">
        <f t="shared" si="75"/>
        <v>GWP</v>
      </c>
      <c r="O40" s="76" t="str">
        <f t="shared" si="75"/>
        <v>GWP</v>
      </c>
      <c r="P40" s="76" t="str">
        <f t="shared" si="75"/>
        <v>EP</v>
      </c>
      <c r="Q40" s="76" t="str">
        <f t="shared" si="75"/>
        <v>EP</v>
      </c>
      <c r="R40" s="76" t="str">
        <f t="shared" si="75"/>
        <v>EP</v>
      </c>
      <c r="S40" s="76" t="str">
        <f t="shared" si="75"/>
        <v>EP</v>
      </c>
      <c r="T40" s="76" t="str">
        <f t="shared" si="75"/>
        <v>EP</v>
      </c>
      <c r="U40" s="76" t="str">
        <f t="shared" si="75"/>
        <v>EP</v>
      </c>
      <c r="V40" s="76" t="str">
        <f t="shared" si="75"/>
        <v>EP</v>
      </c>
      <c r="W40" s="76" t="str">
        <f t="shared" si="75"/>
        <v>EP</v>
      </c>
      <c r="X40" s="76" t="str">
        <f t="shared" si="75"/>
        <v>EP</v>
      </c>
      <c r="Y40" s="76" t="str">
        <f t="shared" si="75"/>
        <v>EP</v>
      </c>
      <c r="Z40" s="76" t="str">
        <f t="shared" si="75"/>
        <v>PMFP</v>
      </c>
      <c r="AA40" s="76" t="str">
        <f t="shared" si="75"/>
        <v>PMFP</v>
      </c>
      <c r="AB40" s="76" t="str">
        <f t="shared" si="75"/>
        <v>PMFP</v>
      </c>
      <c r="AC40" s="76" t="str">
        <f t="shared" si="75"/>
        <v>PMFP</v>
      </c>
      <c r="AD40" s="76" t="str">
        <f t="shared" si="75"/>
        <v>PMFP</v>
      </c>
      <c r="AE40" s="76" t="str">
        <f t="shared" si="75"/>
        <v>PMFP</v>
      </c>
      <c r="AF40" s="76" t="str">
        <f t="shared" si="75"/>
        <v>PMFP</v>
      </c>
      <c r="AG40" s="76" t="str">
        <f t="shared" si="75"/>
        <v>PMFP</v>
      </c>
      <c r="AH40" s="76" t="str">
        <f t="shared" si="75"/>
        <v>PMFP</v>
      </c>
      <c r="AI40" s="76" t="str">
        <f t="shared" si="75"/>
        <v>PMFP</v>
      </c>
      <c r="AJ40" s="76" t="str">
        <f t="shared" si="75"/>
        <v>SFP</v>
      </c>
      <c r="AK40" s="76" t="str">
        <f t="shared" si="75"/>
        <v>SFP</v>
      </c>
      <c r="AL40" s="76" t="str">
        <f t="shared" si="75"/>
        <v>SFP</v>
      </c>
      <c r="AM40" s="76" t="str">
        <f t="shared" ref="AM40:BR40" si="76">AM11</f>
        <v>SFP</v>
      </c>
      <c r="AN40" s="76" t="str">
        <f t="shared" si="76"/>
        <v>SFP</v>
      </c>
      <c r="AO40" s="76" t="str">
        <f t="shared" si="76"/>
        <v>SFP</v>
      </c>
      <c r="AP40" s="76" t="str">
        <f t="shared" si="76"/>
        <v>SFP</v>
      </c>
      <c r="AQ40" s="76" t="str">
        <f t="shared" si="76"/>
        <v>SFP</v>
      </c>
      <c r="AR40" s="76" t="str">
        <f t="shared" si="76"/>
        <v>SFP</v>
      </c>
      <c r="AS40" s="76" t="str">
        <f t="shared" si="76"/>
        <v>SFP</v>
      </c>
      <c r="AT40" s="76" t="str">
        <f t="shared" si="76"/>
        <v>AP</v>
      </c>
      <c r="AU40" s="76" t="str">
        <f t="shared" si="76"/>
        <v>AP</v>
      </c>
      <c r="AV40" s="76" t="str">
        <f t="shared" si="76"/>
        <v>AP</v>
      </c>
      <c r="AW40" s="76" t="str">
        <f t="shared" si="76"/>
        <v>AP</v>
      </c>
      <c r="AX40" s="76" t="str">
        <f t="shared" si="76"/>
        <v>AP</v>
      </c>
      <c r="AY40" s="76" t="str">
        <f t="shared" si="76"/>
        <v>AP</v>
      </c>
      <c r="AZ40" s="76" t="str">
        <f t="shared" si="76"/>
        <v>AP</v>
      </c>
      <c r="BA40" s="76" t="str">
        <f t="shared" si="76"/>
        <v>AP</v>
      </c>
      <c r="BB40" s="76" t="str">
        <f t="shared" si="76"/>
        <v>AP</v>
      </c>
      <c r="BC40" s="76" t="str">
        <f t="shared" si="76"/>
        <v>AP</v>
      </c>
      <c r="BD40" s="76" t="str">
        <f t="shared" si="76"/>
        <v>WU</v>
      </c>
      <c r="BE40" s="76" t="str">
        <f t="shared" si="76"/>
        <v>WU</v>
      </c>
      <c r="BF40" s="76" t="str">
        <f t="shared" si="76"/>
        <v>WU</v>
      </c>
      <c r="BG40" s="76" t="str">
        <f t="shared" si="76"/>
        <v>WU</v>
      </c>
      <c r="BH40" s="76" t="str">
        <f t="shared" si="76"/>
        <v>WU</v>
      </c>
      <c r="BI40" s="76" t="str">
        <f t="shared" si="76"/>
        <v>WU</v>
      </c>
      <c r="BJ40" s="76" t="str">
        <f t="shared" si="76"/>
        <v>WU</v>
      </c>
      <c r="BK40" s="76" t="str">
        <f t="shared" si="76"/>
        <v>WU</v>
      </c>
      <c r="BL40" s="76" t="str">
        <f t="shared" si="76"/>
        <v>WU</v>
      </c>
      <c r="BM40" s="76" t="str">
        <f t="shared" si="76"/>
        <v>WU</v>
      </c>
      <c r="BN40" s="76" t="str">
        <f t="shared" si="76"/>
        <v>FDP</v>
      </c>
      <c r="BO40" s="76" t="str">
        <f t="shared" si="76"/>
        <v>FDP</v>
      </c>
      <c r="BP40" s="76" t="str">
        <f t="shared" si="76"/>
        <v>FDP</v>
      </c>
      <c r="BQ40" s="76" t="str">
        <f t="shared" si="76"/>
        <v>FDP</v>
      </c>
      <c r="BR40" s="76" t="str">
        <f t="shared" si="76"/>
        <v>FDP</v>
      </c>
      <c r="BS40" s="76" t="str">
        <f t="shared" ref="BS40:CG40" si="77">BS11</f>
        <v>FDP</v>
      </c>
      <c r="BT40" s="76" t="str">
        <f t="shared" si="77"/>
        <v>FDP</v>
      </c>
      <c r="BU40" s="76" t="str">
        <f t="shared" si="77"/>
        <v>FDP</v>
      </c>
      <c r="BV40" s="76" t="str">
        <f t="shared" si="77"/>
        <v>FDP</v>
      </c>
      <c r="BW40" s="76" t="str">
        <f t="shared" si="77"/>
        <v>FDP</v>
      </c>
      <c r="BX40" s="76" t="str">
        <f t="shared" si="77"/>
        <v>CED</v>
      </c>
      <c r="BY40" s="76" t="str">
        <f t="shared" si="77"/>
        <v>CED</v>
      </c>
      <c r="BZ40" s="76" t="str">
        <f t="shared" si="77"/>
        <v>CED</v>
      </c>
      <c r="CA40" s="76" t="str">
        <f t="shared" si="77"/>
        <v>CED</v>
      </c>
      <c r="CB40" s="76" t="str">
        <f t="shared" si="77"/>
        <v>CED</v>
      </c>
      <c r="CC40" s="76" t="str">
        <f t="shared" si="77"/>
        <v>CED</v>
      </c>
      <c r="CD40" s="76" t="str">
        <f t="shared" si="77"/>
        <v>CED</v>
      </c>
      <c r="CE40" s="76" t="str">
        <f t="shared" si="77"/>
        <v>CED</v>
      </c>
      <c r="CF40" s="76" t="str">
        <f t="shared" si="77"/>
        <v>CED</v>
      </c>
      <c r="CG40" s="76" t="str">
        <f t="shared" si="77"/>
        <v>CED</v>
      </c>
    </row>
    <row r="41" spans="2:85" ht="16.5" thickBot="1" x14ac:dyDescent="0.3">
      <c r="C41" s="75" t="s">
        <v>116</v>
      </c>
      <c r="D41" s="109"/>
      <c r="E41" s="109"/>
      <c r="F41" s="92" t="str">
        <f t="shared" ref="F41:AK41" si="78">F13</f>
        <v>Legacy</v>
      </c>
      <c r="G41" s="92" t="str">
        <f t="shared" si="78"/>
        <v>Upgraded - Base_Low</v>
      </c>
      <c r="H41" s="92" t="str">
        <f t="shared" si="78"/>
        <v>Upgraded - Base</v>
      </c>
      <c r="I41" s="92" t="str">
        <f t="shared" si="78"/>
        <v>Upgraded - Base_High</v>
      </c>
      <c r="J41" s="92" t="str">
        <f t="shared" si="78"/>
        <v>Upgraded - Medium_Low</v>
      </c>
      <c r="K41" s="92" t="str">
        <f t="shared" si="78"/>
        <v>Upgraded - Medium_Base</v>
      </c>
      <c r="L41" s="92" t="str">
        <f t="shared" si="78"/>
        <v>Upgraded - Medium_High</v>
      </c>
      <c r="M41" s="92" t="str">
        <f t="shared" si="78"/>
        <v>Upgraded - High_Low</v>
      </c>
      <c r="N41" s="92" t="str">
        <f t="shared" si="78"/>
        <v>Upgraded - High_Base</v>
      </c>
      <c r="O41" s="92" t="str">
        <f t="shared" si="78"/>
        <v>Upgraded - High_High</v>
      </c>
      <c r="P41" s="92" t="str">
        <f t="shared" si="78"/>
        <v>Legacy</v>
      </c>
      <c r="Q41" s="92" t="str">
        <f t="shared" si="78"/>
        <v>Upgraded - Base_Low</v>
      </c>
      <c r="R41" s="92" t="str">
        <f t="shared" si="78"/>
        <v>Upgraded - Base</v>
      </c>
      <c r="S41" s="92" t="str">
        <f t="shared" si="78"/>
        <v>Upgraded - Base_High</v>
      </c>
      <c r="T41" s="92" t="str">
        <f t="shared" si="78"/>
        <v>Upgraded - Medium_Low</v>
      </c>
      <c r="U41" s="92" t="str">
        <f t="shared" si="78"/>
        <v>Upgraded - Medium_Base</v>
      </c>
      <c r="V41" s="92" t="str">
        <f t="shared" si="78"/>
        <v>Upgraded - Medium_High</v>
      </c>
      <c r="W41" s="92" t="str">
        <f t="shared" si="78"/>
        <v>Upgraded - High_Low</v>
      </c>
      <c r="X41" s="92" t="str">
        <f t="shared" si="78"/>
        <v>Upgraded - High_Base</v>
      </c>
      <c r="Y41" s="92" t="str">
        <f t="shared" si="78"/>
        <v>Upgraded - High_High</v>
      </c>
      <c r="Z41" s="92" t="str">
        <f t="shared" si="78"/>
        <v>Legacy</v>
      </c>
      <c r="AA41" s="92" t="str">
        <f t="shared" si="78"/>
        <v>Upgraded - Base_Low</v>
      </c>
      <c r="AB41" s="92" t="str">
        <f t="shared" si="78"/>
        <v>Upgraded - Base</v>
      </c>
      <c r="AC41" s="92" t="str">
        <f t="shared" si="78"/>
        <v>Upgraded - Base_High</v>
      </c>
      <c r="AD41" s="92" t="str">
        <f t="shared" si="78"/>
        <v>Upgraded - Medium_Low</v>
      </c>
      <c r="AE41" s="92" t="str">
        <f t="shared" si="78"/>
        <v>Upgraded - Medium_Base</v>
      </c>
      <c r="AF41" s="92" t="str">
        <f t="shared" si="78"/>
        <v>Upgraded - Medium_High</v>
      </c>
      <c r="AG41" s="92" t="str">
        <f t="shared" si="78"/>
        <v>Upgraded - High_Low</v>
      </c>
      <c r="AH41" s="92" t="str">
        <f t="shared" si="78"/>
        <v>Upgraded - High_Base</v>
      </c>
      <c r="AI41" s="92" t="str">
        <f t="shared" si="78"/>
        <v>Upgraded - High_High</v>
      </c>
      <c r="AJ41" s="92" t="str">
        <f t="shared" si="78"/>
        <v>Legacy</v>
      </c>
      <c r="AK41" s="92" t="str">
        <f t="shared" si="78"/>
        <v>Upgraded - Base_Low</v>
      </c>
      <c r="AL41" s="92" t="str">
        <f t="shared" ref="AL41:BQ41" si="79">AL13</f>
        <v>Upgraded - Base</v>
      </c>
      <c r="AM41" s="92" t="str">
        <f t="shared" si="79"/>
        <v>Upgraded - Base_High</v>
      </c>
      <c r="AN41" s="92" t="str">
        <f t="shared" si="79"/>
        <v>Upgraded - Medium_Low</v>
      </c>
      <c r="AO41" s="92" t="str">
        <f t="shared" si="79"/>
        <v>Upgraded - Medium_Base</v>
      </c>
      <c r="AP41" s="92" t="str">
        <f t="shared" si="79"/>
        <v>Upgraded - Medium_High</v>
      </c>
      <c r="AQ41" s="92" t="str">
        <f t="shared" si="79"/>
        <v>Upgraded - High_Low</v>
      </c>
      <c r="AR41" s="92" t="str">
        <f t="shared" si="79"/>
        <v>Upgraded - High_Base</v>
      </c>
      <c r="AS41" s="92" t="str">
        <f t="shared" si="79"/>
        <v>Upgraded - High_High</v>
      </c>
      <c r="AT41" s="92" t="str">
        <f t="shared" si="79"/>
        <v>Legacy</v>
      </c>
      <c r="AU41" s="92" t="str">
        <f t="shared" si="79"/>
        <v>Upgraded - Base_Low</v>
      </c>
      <c r="AV41" s="92" t="str">
        <f t="shared" si="79"/>
        <v>Upgraded - Base</v>
      </c>
      <c r="AW41" s="92" t="str">
        <f t="shared" si="79"/>
        <v>Upgraded - Base_High</v>
      </c>
      <c r="AX41" s="92" t="str">
        <f t="shared" si="79"/>
        <v>Upgraded - Medium_Low</v>
      </c>
      <c r="AY41" s="92" t="str">
        <f t="shared" si="79"/>
        <v>Upgraded - Medium_Base</v>
      </c>
      <c r="AZ41" s="92" t="str">
        <f t="shared" si="79"/>
        <v>Upgraded - Medium_High</v>
      </c>
      <c r="BA41" s="92" t="str">
        <f t="shared" si="79"/>
        <v>Upgraded - High_Low</v>
      </c>
      <c r="BB41" s="92" t="str">
        <f t="shared" si="79"/>
        <v>Upgraded - High_Base</v>
      </c>
      <c r="BC41" s="92" t="str">
        <f t="shared" si="79"/>
        <v>Upgraded - High_High</v>
      </c>
      <c r="BD41" s="92" t="str">
        <f t="shared" si="79"/>
        <v>Legacy</v>
      </c>
      <c r="BE41" s="92" t="str">
        <f t="shared" si="79"/>
        <v>Upgraded - Base_Low</v>
      </c>
      <c r="BF41" s="92" t="str">
        <f t="shared" si="79"/>
        <v>Upgraded - Base</v>
      </c>
      <c r="BG41" s="92" t="str">
        <f t="shared" si="79"/>
        <v>Upgraded - Base_High</v>
      </c>
      <c r="BH41" s="92" t="str">
        <f t="shared" si="79"/>
        <v>Upgraded - Medium_Low</v>
      </c>
      <c r="BI41" s="92" t="str">
        <f t="shared" si="79"/>
        <v>Upgraded - Medium_Base</v>
      </c>
      <c r="BJ41" s="92" t="str">
        <f t="shared" si="79"/>
        <v>Upgraded - Medium_High</v>
      </c>
      <c r="BK41" s="92" t="str">
        <f t="shared" si="79"/>
        <v>Upgraded - High_Low</v>
      </c>
      <c r="BL41" s="92" t="str">
        <f t="shared" si="79"/>
        <v>Upgraded - High_Base</v>
      </c>
      <c r="BM41" s="92" t="str">
        <f t="shared" si="79"/>
        <v>Upgraded - High_High</v>
      </c>
      <c r="BN41" s="92" t="str">
        <f t="shared" si="79"/>
        <v>Legacy</v>
      </c>
      <c r="BO41" s="92" t="str">
        <f t="shared" si="79"/>
        <v>Upgraded - Base_Low</v>
      </c>
      <c r="BP41" s="92" t="str">
        <f t="shared" si="79"/>
        <v>Upgraded - Base</v>
      </c>
      <c r="BQ41" s="92" t="str">
        <f t="shared" si="79"/>
        <v>Upgraded - Base_High</v>
      </c>
      <c r="BR41" s="92" t="str">
        <f t="shared" ref="BR41:CG41" si="80">BR13</f>
        <v>Upgraded - Medium_Low</v>
      </c>
      <c r="BS41" s="92" t="str">
        <f t="shared" si="80"/>
        <v>Upgraded - Medium_Base</v>
      </c>
      <c r="BT41" s="92" t="str">
        <f t="shared" si="80"/>
        <v>Upgraded - Medium_High</v>
      </c>
      <c r="BU41" s="92" t="str">
        <f t="shared" si="80"/>
        <v>Upgraded - High_Low</v>
      </c>
      <c r="BV41" s="92" t="str">
        <f t="shared" si="80"/>
        <v>Upgraded - High_Base</v>
      </c>
      <c r="BW41" s="92" t="str">
        <f t="shared" si="80"/>
        <v>Upgraded - High_High</v>
      </c>
      <c r="BX41" s="92" t="str">
        <f t="shared" si="80"/>
        <v>Legacy</v>
      </c>
      <c r="BY41" s="92" t="str">
        <f t="shared" si="80"/>
        <v>Upgraded - Base_Low</v>
      </c>
      <c r="BZ41" s="92" t="str">
        <f t="shared" si="80"/>
        <v>Upgraded - Base</v>
      </c>
      <c r="CA41" s="92" t="str">
        <f t="shared" si="80"/>
        <v>Upgraded - Base_High</v>
      </c>
      <c r="CB41" s="92" t="str">
        <f t="shared" si="80"/>
        <v>Upgraded - Medium_Low</v>
      </c>
      <c r="CC41" s="92" t="str">
        <f t="shared" si="80"/>
        <v>Upgraded - Medium_Base</v>
      </c>
      <c r="CD41" s="92" t="str">
        <f t="shared" si="80"/>
        <v>Upgraded - Medium_High</v>
      </c>
      <c r="CE41" s="92" t="str">
        <f t="shared" si="80"/>
        <v>Upgraded - High_Low</v>
      </c>
      <c r="CF41" s="92" t="str">
        <f t="shared" si="80"/>
        <v>Upgraded - High_Base</v>
      </c>
      <c r="CG41" s="92" t="str">
        <f t="shared" si="80"/>
        <v>Upgraded - High_High</v>
      </c>
    </row>
    <row r="42" spans="2:85" ht="16.5" thickBot="1" x14ac:dyDescent="0.3">
      <c r="C42" s="74" t="s">
        <v>215</v>
      </c>
      <c r="D42" s="108"/>
      <c r="E42" s="108"/>
      <c r="F42" s="76" t="str">
        <f t="shared" ref="F42" si="81">F12</f>
        <v>Base</v>
      </c>
      <c r="G42" s="76" t="str">
        <f t="shared" ref="G42:AL42" si="82">G12</f>
        <v>Base_Low</v>
      </c>
      <c r="H42" s="76" t="str">
        <f t="shared" si="82"/>
        <v>Base</v>
      </c>
      <c r="I42" s="76" t="str">
        <f t="shared" si="82"/>
        <v>Base_High</v>
      </c>
      <c r="J42" s="76" t="str">
        <f t="shared" si="82"/>
        <v>Medium_Low</v>
      </c>
      <c r="K42" s="76" t="str">
        <f t="shared" si="82"/>
        <v>Medium_Base</v>
      </c>
      <c r="L42" s="76" t="str">
        <f t="shared" si="82"/>
        <v>Medium_High</v>
      </c>
      <c r="M42" s="76" t="str">
        <f t="shared" si="82"/>
        <v>High_Low</v>
      </c>
      <c r="N42" s="76" t="str">
        <f t="shared" si="82"/>
        <v>High_Base</v>
      </c>
      <c r="O42" s="76" t="str">
        <f t="shared" si="82"/>
        <v>High_High</v>
      </c>
      <c r="P42" s="76" t="str">
        <f t="shared" si="82"/>
        <v>Base</v>
      </c>
      <c r="Q42" s="76" t="str">
        <f t="shared" si="82"/>
        <v>Base_Low</v>
      </c>
      <c r="R42" s="76" t="str">
        <f t="shared" si="82"/>
        <v>Base</v>
      </c>
      <c r="S42" s="76" t="str">
        <f t="shared" si="82"/>
        <v>Base_High</v>
      </c>
      <c r="T42" s="76" t="str">
        <f t="shared" si="82"/>
        <v>Medium_Low</v>
      </c>
      <c r="U42" s="76" t="str">
        <f t="shared" si="82"/>
        <v>Medium_Base</v>
      </c>
      <c r="V42" s="76" t="str">
        <f t="shared" si="82"/>
        <v>Medium_High</v>
      </c>
      <c r="W42" s="76" t="str">
        <f t="shared" si="82"/>
        <v>High_Low</v>
      </c>
      <c r="X42" s="76" t="str">
        <f t="shared" si="82"/>
        <v>High_Base</v>
      </c>
      <c r="Y42" s="76" t="str">
        <f t="shared" si="82"/>
        <v>High_High</v>
      </c>
      <c r="Z42" s="76" t="str">
        <f t="shared" si="82"/>
        <v>Base</v>
      </c>
      <c r="AA42" s="76" t="str">
        <f t="shared" si="82"/>
        <v>Base_Low</v>
      </c>
      <c r="AB42" s="76" t="str">
        <f t="shared" si="82"/>
        <v>Base</v>
      </c>
      <c r="AC42" s="76" t="str">
        <f t="shared" si="82"/>
        <v>Base_High</v>
      </c>
      <c r="AD42" s="76" t="str">
        <f t="shared" si="82"/>
        <v>Medium_Low</v>
      </c>
      <c r="AE42" s="76" t="str">
        <f t="shared" si="82"/>
        <v>Medium_Base</v>
      </c>
      <c r="AF42" s="76" t="str">
        <f t="shared" si="82"/>
        <v>Medium_High</v>
      </c>
      <c r="AG42" s="76" t="str">
        <f t="shared" si="82"/>
        <v>High_Low</v>
      </c>
      <c r="AH42" s="76" t="str">
        <f t="shared" si="82"/>
        <v>High_Base</v>
      </c>
      <c r="AI42" s="76" t="str">
        <f t="shared" si="82"/>
        <v>High_High</v>
      </c>
      <c r="AJ42" s="76" t="str">
        <f t="shared" si="82"/>
        <v>Base</v>
      </c>
      <c r="AK42" s="76" t="str">
        <f t="shared" si="82"/>
        <v>Base_Low</v>
      </c>
      <c r="AL42" s="76" t="str">
        <f t="shared" si="82"/>
        <v>Base</v>
      </c>
      <c r="AM42" s="76" t="str">
        <f t="shared" ref="AM42:BR42" si="83">AM12</f>
        <v>Base_High</v>
      </c>
      <c r="AN42" s="76" t="str">
        <f t="shared" si="83"/>
        <v>Medium_Low</v>
      </c>
      <c r="AO42" s="76" t="str">
        <f t="shared" si="83"/>
        <v>Medium_Base</v>
      </c>
      <c r="AP42" s="76" t="str">
        <f t="shared" si="83"/>
        <v>Medium_High</v>
      </c>
      <c r="AQ42" s="76" t="str">
        <f t="shared" si="83"/>
        <v>High_Low</v>
      </c>
      <c r="AR42" s="76" t="str">
        <f t="shared" si="83"/>
        <v>High_Base</v>
      </c>
      <c r="AS42" s="76" t="str">
        <f t="shared" si="83"/>
        <v>High_High</v>
      </c>
      <c r="AT42" s="76" t="str">
        <f t="shared" si="83"/>
        <v>Base</v>
      </c>
      <c r="AU42" s="76" t="str">
        <f t="shared" si="83"/>
        <v>Base_Low</v>
      </c>
      <c r="AV42" s="76" t="str">
        <f t="shared" si="83"/>
        <v>Base</v>
      </c>
      <c r="AW42" s="76" t="str">
        <f t="shared" si="83"/>
        <v>Base_High</v>
      </c>
      <c r="AX42" s="76" t="str">
        <f t="shared" si="83"/>
        <v>Medium_Low</v>
      </c>
      <c r="AY42" s="76" t="str">
        <f t="shared" si="83"/>
        <v>Medium_Base</v>
      </c>
      <c r="AZ42" s="76" t="str">
        <f t="shared" si="83"/>
        <v>Medium_High</v>
      </c>
      <c r="BA42" s="76" t="str">
        <f t="shared" si="83"/>
        <v>High_Low</v>
      </c>
      <c r="BB42" s="76" t="str">
        <f t="shared" si="83"/>
        <v>High_Base</v>
      </c>
      <c r="BC42" s="76" t="str">
        <f t="shared" si="83"/>
        <v>High_High</v>
      </c>
      <c r="BD42" s="76" t="str">
        <f t="shared" si="83"/>
        <v>Base</v>
      </c>
      <c r="BE42" s="76" t="str">
        <f t="shared" si="83"/>
        <v>Base_Low</v>
      </c>
      <c r="BF42" s="76" t="str">
        <f t="shared" si="83"/>
        <v>Base</v>
      </c>
      <c r="BG42" s="76" t="str">
        <f t="shared" si="83"/>
        <v>Base_High</v>
      </c>
      <c r="BH42" s="76" t="str">
        <f t="shared" si="83"/>
        <v>Medium_Low</v>
      </c>
      <c r="BI42" s="76" t="str">
        <f t="shared" si="83"/>
        <v>Medium_Base</v>
      </c>
      <c r="BJ42" s="76" t="str">
        <f t="shared" si="83"/>
        <v>Medium_High</v>
      </c>
      <c r="BK42" s="76" t="str">
        <f t="shared" si="83"/>
        <v>High_Low</v>
      </c>
      <c r="BL42" s="76" t="str">
        <f t="shared" si="83"/>
        <v>High_Base</v>
      </c>
      <c r="BM42" s="76" t="str">
        <f t="shared" si="83"/>
        <v>High_High</v>
      </c>
      <c r="BN42" s="76" t="str">
        <f t="shared" si="83"/>
        <v>Base</v>
      </c>
      <c r="BO42" s="76" t="str">
        <f t="shared" si="83"/>
        <v>Base_Low</v>
      </c>
      <c r="BP42" s="76" t="str">
        <f t="shared" si="83"/>
        <v>Base</v>
      </c>
      <c r="BQ42" s="76" t="str">
        <f t="shared" si="83"/>
        <v>Base_High</v>
      </c>
      <c r="BR42" s="76" t="str">
        <f t="shared" si="83"/>
        <v>Medium_Low</v>
      </c>
      <c r="BS42" s="76" t="str">
        <f t="shared" ref="BS42:CG42" si="84">BS12</f>
        <v>Medium_Base</v>
      </c>
      <c r="BT42" s="76" t="str">
        <f t="shared" si="84"/>
        <v>Medium_High</v>
      </c>
      <c r="BU42" s="76" t="str">
        <f t="shared" si="84"/>
        <v>High_Low</v>
      </c>
      <c r="BV42" s="76" t="str">
        <f t="shared" si="84"/>
        <v>High_Base</v>
      </c>
      <c r="BW42" s="76" t="str">
        <f t="shared" si="84"/>
        <v>High_High</v>
      </c>
      <c r="BX42" s="76" t="str">
        <f t="shared" si="84"/>
        <v>Base</v>
      </c>
      <c r="BY42" s="76" t="str">
        <f t="shared" si="84"/>
        <v>Base_Low</v>
      </c>
      <c r="BZ42" s="76" t="str">
        <f t="shared" si="84"/>
        <v>Base</v>
      </c>
      <c r="CA42" s="76" t="str">
        <f t="shared" si="84"/>
        <v>Base_High</v>
      </c>
      <c r="CB42" s="76" t="str">
        <f t="shared" si="84"/>
        <v>Medium_Low</v>
      </c>
      <c r="CC42" s="76" t="str">
        <f t="shared" si="84"/>
        <v>Medium_Base</v>
      </c>
      <c r="CD42" s="76" t="str">
        <f t="shared" si="84"/>
        <v>Medium_High</v>
      </c>
      <c r="CE42" s="76" t="str">
        <f t="shared" si="84"/>
        <v>High_Low</v>
      </c>
      <c r="CF42" s="76" t="str">
        <f t="shared" si="84"/>
        <v>High_Base</v>
      </c>
      <c r="CG42" s="76" t="str">
        <f t="shared" si="84"/>
        <v>High_High</v>
      </c>
    </row>
    <row r="43" spans="2:85" x14ac:dyDescent="0.25">
      <c r="B43" s="362" t="s">
        <v>142</v>
      </c>
      <c r="C43" s="80" t="str">
        <f>LookUps!$G$5</f>
        <v>Wastewater collection; operation and infrastructure; m3 wastewater</v>
      </c>
      <c r="D43" s="107"/>
      <c r="E43" s="107"/>
      <c r="F43" s="62">
        <f>F14/F$35</f>
        <v>1.2141200999334974E-2</v>
      </c>
      <c r="G43" s="62">
        <f t="shared" ref="G43:O43" si="85">G14/$F$35</f>
        <v>1.2141200999334974E-2</v>
      </c>
      <c r="H43" s="62">
        <f t="shared" si="85"/>
        <v>1.2141200999334974E-2</v>
      </c>
      <c r="I43" s="62">
        <f t="shared" si="85"/>
        <v>1.2141200999334974E-2</v>
      </c>
      <c r="J43" s="62">
        <f t="shared" si="85"/>
        <v>1.2141200999334974E-2</v>
      </c>
      <c r="K43" s="62">
        <f t="shared" si="85"/>
        <v>1.2141200999334974E-2</v>
      </c>
      <c r="L43" s="62">
        <f t="shared" si="85"/>
        <v>1.2141200999334974E-2</v>
      </c>
      <c r="M43" s="62">
        <f t="shared" si="85"/>
        <v>1.2141200999334974E-2</v>
      </c>
      <c r="N43" s="62">
        <f t="shared" si="85"/>
        <v>1.2141200999334974E-2</v>
      </c>
      <c r="O43" s="62">
        <f t="shared" si="85"/>
        <v>1.2141200999334974E-2</v>
      </c>
      <c r="P43" s="62">
        <f>P14/P$35</f>
        <v>1.5392613962557761E-3</v>
      </c>
      <c r="Q43" s="62">
        <f t="shared" ref="Q43:Y43" si="86">Q14/$P$35</f>
        <v>1.5392613962557761E-3</v>
      </c>
      <c r="R43" s="62">
        <f t="shared" si="86"/>
        <v>1.5392613962557761E-3</v>
      </c>
      <c r="S43" s="62">
        <f t="shared" si="86"/>
        <v>1.5392613962557761E-3</v>
      </c>
      <c r="T43" s="62">
        <f t="shared" si="86"/>
        <v>1.5392613962557761E-3</v>
      </c>
      <c r="U43" s="62">
        <f t="shared" si="86"/>
        <v>1.5392613962557761E-3</v>
      </c>
      <c r="V43" s="62">
        <f t="shared" si="86"/>
        <v>1.5392613962557761E-3</v>
      </c>
      <c r="W43" s="62">
        <f t="shared" si="86"/>
        <v>1.5392613962557761E-3</v>
      </c>
      <c r="X43" s="62">
        <f t="shared" si="86"/>
        <v>1.5392613962557761E-3</v>
      </c>
      <c r="Y43" s="62">
        <f t="shared" si="86"/>
        <v>1.5392613962557761E-3</v>
      </c>
      <c r="Z43" s="62">
        <f>Z14/Z$35</f>
        <v>4.227358713772221E-2</v>
      </c>
      <c r="AA43" s="62">
        <f t="shared" ref="AA43:AI43" si="87">AA14/$Z$35</f>
        <v>4.227358713772221E-2</v>
      </c>
      <c r="AB43" s="62">
        <f t="shared" si="87"/>
        <v>4.227358713772221E-2</v>
      </c>
      <c r="AC43" s="62">
        <f t="shared" si="87"/>
        <v>4.227358713772221E-2</v>
      </c>
      <c r="AD43" s="62">
        <f t="shared" si="87"/>
        <v>4.227358713772221E-2</v>
      </c>
      <c r="AE43" s="62">
        <f t="shared" si="87"/>
        <v>4.227358713772221E-2</v>
      </c>
      <c r="AF43" s="62">
        <f t="shared" si="87"/>
        <v>4.227358713772221E-2</v>
      </c>
      <c r="AG43" s="62">
        <f t="shared" si="87"/>
        <v>4.227358713772221E-2</v>
      </c>
      <c r="AH43" s="62">
        <f t="shared" si="87"/>
        <v>4.227358713772221E-2</v>
      </c>
      <c r="AI43" s="62">
        <f t="shared" si="87"/>
        <v>4.227358713772221E-2</v>
      </c>
      <c r="AJ43" s="62">
        <f>AJ14/AJ$35</f>
        <v>4.1923075187554677E-2</v>
      </c>
      <c r="AK43" s="62">
        <f t="shared" ref="AK43:AS43" si="88">AK14/$AJ$35</f>
        <v>4.1923075187554677E-2</v>
      </c>
      <c r="AL43" s="62">
        <f t="shared" si="88"/>
        <v>4.1923075187554677E-2</v>
      </c>
      <c r="AM43" s="62">
        <f t="shared" si="88"/>
        <v>4.1923075187554677E-2</v>
      </c>
      <c r="AN43" s="62">
        <f t="shared" si="88"/>
        <v>4.1923075187554677E-2</v>
      </c>
      <c r="AO43" s="62">
        <f t="shared" si="88"/>
        <v>4.1923075187554677E-2</v>
      </c>
      <c r="AP43" s="62">
        <f t="shared" si="88"/>
        <v>4.1923075187554677E-2</v>
      </c>
      <c r="AQ43" s="62">
        <f t="shared" si="88"/>
        <v>4.1923075187554677E-2</v>
      </c>
      <c r="AR43" s="62">
        <f t="shared" si="88"/>
        <v>4.1923075187554677E-2</v>
      </c>
      <c r="AS43" s="62">
        <f t="shared" si="88"/>
        <v>4.1923075187554677E-2</v>
      </c>
      <c r="AT43" s="62">
        <f>AT14/AT$35</f>
        <v>4.0598268240467979E-2</v>
      </c>
      <c r="AU43" s="62">
        <f t="shared" ref="AU43:BC43" si="89">AU14/$AT$35</f>
        <v>4.0598268240467979E-2</v>
      </c>
      <c r="AV43" s="62">
        <f t="shared" si="89"/>
        <v>4.0598268240467979E-2</v>
      </c>
      <c r="AW43" s="62">
        <f t="shared" si="89"/>
        <v>4.0598268240467979E-2</v>
      </c>
      <c r="AX43" s="62">
        <f t="shared" si="89"/>
        <v>4.0598268240467979E-2</v>
      </c>
      <c r="AY43" s="62">
        <f t="shared" si="89"/>
        <v>4.0598268240467979E-2</v>
      </c>
      <c r="AZ43" s="62">
        <f t="shared" si="89"/>
        <v>4.0598268240467979E-2</v>
      </c>
      <c r="BA43" s="62">
        <f t="shared" si="89"/>
        <v>4.0598268240467979E-2</v>
      </c>
      <c r="BB43" s="62">
        <f t="shared" si="89"/>
        <v>4.0598268240467979E-2</v>
      </c>
      <c r="BC43" s="62">
        <f t="shared" si="89"/>
        <v>4.0598268240467979E-2</v>
      </c>
      <c r="BD43" s="62">
        <f>BD14/BD$35</f>
        <v>4.0646888937885036E-3</v>
      </c>
      <c r="BE43" s="62">
        <f t="shared" ref="BE43:BM43" si="90">BE14/$BD$35</f>
        <v>4.0646888937885036E-3</v>
      </c>
      <c r="BF43" s="62">
        <f t="shared" si="90"/>
        <v>4.0646888937885036E-3</v>
      </c>
      <c r="BG43" s="62">
        <f t="shared" si="90"/>
        <v>4.0646888937885036E-3</v>
      </c>
      <c r="BH43" s="62">
        <f t="shared" si="90"/>
        <v>4.0646888937885036E-3</v>
      </c>
      <c r="BI43" s="62">
        <f t="shared" si="90"/>
        <v>4.0646888937885036E-3</v>
      </c>
      <c r="BJ43" s="62">
        <f t="shared" si="90"/>
        <v>4.0646888937885036E-3</v>
      </c>
      <c r="BK43" s="62">
        <f t="shared" si="90"/>
        <v>4.0646888937885036E-3</v>
      </c>
      <c r="BL43" s="62">
        <f t="shared" si="90"/>
        <v>4.0646888937885036E-3</v>
      </c>
      <c r="BM43" s="62">
        <f t="shared" si="90"/>
        <v>4.0646888937885036E-3</v>
      </c>
      <c r="BN43" s="62">
        <f>BN14/BN$35</f>
        <v>2.6516729497153675E-2</v>
      </c>
      <c r="BO43" s="62">
        <f t="shared" ref="BO43:BW43" si="91">BO14/$BN$35</f>
        <v>2.6516729497153675E-2</v>
      </c>
      <c r="BP43" s="62">
        <f t="shared" si="91"/>
        <v>2.6516729497153675E-2</v>
      </c>
      <c r="BQ43" s="62">
        <f t="shared" si="91"/>
        <v>2.6516729497153675E-2</v>
      </c>
      <c r="BR43" s="62">
        <f t="shared" si="91"/>
        <v>2.6516729497153675E-2</v>
      </c>
      <c r="BS43" s="62">
        <f t="shared" si="91"/>
        <v>2.6516729497153675E-2</v>
      </c>
      <c r="BT43" s="62">
        <f t="shared" si="91"/>
        <v>2.6516729497153675E-2</v>
      </c>
      <c r="BU43" s="62">
        <f t="shared" si="91"/>
        <v>2.6516729497153675E-2</v>
      </c>
      <c r="BV43" s="62">
        <f t="shared" si="91"/>
        <v>2.6516729497153675E-2</v>
      </c>
      <c r="BW43" s="62">
        <f t="shared" si="91"/>
        <v>2.6516729497153675E-2</v>
      </c>
      <c r="BX43" s="62">
        <f>BX14/BX$35</f>
        <v>2.8534272663551657E-2</v>
      </c>
      <c r="BY43" s="62">
        <f t="shared" ref="BY43:CG43" si="92">BY14/$BX$35</f>
        <v>2.8534272663551657E-2</v>
      </c>
      <c r="BZ43" s="62">
        <f t="shared" si="92"/>
        <v>2.8534272663551657E-2</v>
      </c>
      <c r="CA43" s="62">
        <f t="shared" si="92"/>
        <v>2.8534272663551657E-2</v>
      </c>
      <c r="CB43" s="62">
        <f t="shared" si="92"/>
        <v>2.8534272663551657E-2</v>
      </c>
      <c r="CC43" s="62">
        <f t="shared" si="92"/>
        <v>2.8534272663551657E-2</v>
      </c>
      <c r="CD43" s="62">
        <f t="shared" si="92"/>
        <v>2.8534272663551657E-2</v>
      </c>
      <c r="CE43" s="62">
        <f t="shared" si="92"/>
        <v>2.8534272663551657E-2</v>
      </c>
      <c r="CF43" s="62">
        <f t="shared" si="92"/>
        <v>2.8534272663551657E-2</v>
      </c>
      <c r="CG43" s="62">
        <f t="shared" si="92"/>
        <v>2.8534272663551657E-2</v>
      </c>
    </row>
    <row r="44" spans="2:85" x14ac:dyDescent="0.25">
      <c r="B44" s="363"/>
      <c r="C44" s="81" t="str">
        <f>LookUps!$G$6</f>
        <v>Influent Pump Station; wastewater treatment unit; at updated plant - US</v>
      </c>
      <c r="D44" s="110"/>
      <c r="E44" s="110"/>
      <c r="F44" s="61"/>
      <c r="G44" s="62">
        <f t="shared" ref="G44:O44" si="93">G15/$F$35</f>
        <v>4.53834678361522E-2</v>
      </c>
      <c r="H44" s="62">
        <f t="shared" si="93"/>
        <v>4.53834678361522E-2</v>
      </c>
      <c r="I44" s="62">
        <f>I15/$F$35</f>
        <v>4.53834678361522E-2</v>
      </c>
      <c r="J44" s="62">
        <f t="shared" si="93"/>
        <v>4.53834678361522E-2</v>
      </c>
      <c r="K44" s="62">
        <f t="shared" si="93"/>
        <v>4.53834678361522E-2</v>
      </c>
      <c r="L44" s="62">
        <f t="shared" si="93"/>
        <v>4.53834678361522E-2</v>
      </c>
      <c r="M44" s="62">
        <f t="shared" si="93"/>
        <v>4.53834678361522E-2</v>
      </c>
      <c r="N44" s="62">
        <f t="shared" si="93"/>
        <v>4.53834678361522E-2</v>
      </c>
      <c r="O44" s="62">
        <f t="shared" si="93"/>
        <v>4.53834678361522E-2</v>
      </c>
      <c r="P44" s="61"/>
      <c r="Q44" s="62">
        <f t="shared" ref="Q44:Y44" si="94">Q15/$P$35</f>
        <v>1.0245404636444924E-2</v>
      </c>
      <c r="R44" s="62">
        <f t="shared" si="94"/>
        <v>1.0245404636444924E-2</v>
      </c>
      <c r="S44" s="62">
        <f t="shared" si="94"/>
        <v>1.0245404636444924E-2</v>
      </c>
      <c r="T44" s="62">
        <f t="shared" si="94"/>
        <v>1.0245404636444924E-2</v>
      </c>
      <c r="U44" s="62">
        <f t="shared" si="94"/>
        <v>1.0245404636444924E-2</v>
      </c>
      <c r="V44" s="62">
        <f t="shared" si="94"/>
        <v>1.0245404636444924E-2</v>
      </c>
      <c r="W44" s="62">
        <f t="shared" si="94"/>
        <v>1.0245404636444924E-2</v>
      </c>
      <c r="X44" s="62">
        <f t="shared" si="94"/>
        <v>1.0245404636444924E-2</v>
      </c>
      <c r="Y44" s="62">
        <f t="shared" si="94"/>
        <v>1.0245404636444924E-2</v>
      </c>
      <c r="Z44" s="61"/>
      <c r="AA44" s="62">
        <f t="shared" ref="AA44:AI44" si="95">AA15/$Z$35</f>
        <v>6.7140403101088209E-2</v>
      </c>
      <c r="AB44" s="62">
        <f t="shared" si="95"/>
        <v>6.7140403101088209E-2</v>
      </c>
      <c r="AC44" s="62">
        <f t="shared" si="95"/>
        <v>6.7140403101088209E-2</v>
      </c>
      <c r="AD44" s="62">
        <f t="shared" si="95"/>
        <v>6.7140403101088209E-2</v>
      </c>
      <c r="AE44" s="62">
        <f t="shared" si="95"/>
        <v>6.7140403101088209E-2</v>
      </c>
      <c r="AF44" s="62">
        <f t="shared" si="95"/>
        <v>6.7140403101088209E-2</v>
      </c>
      <c r="AG44" s="62">
        <f t="shared" si="95"/>
        <v>6.7140403101088209E-2</v>
      </c>
      <c r="AH44" s="62">
        <f t="shared" si="95"/>
        <v>6.7140403101088209E-2</v>
      </c>
      <c r="AI44" s="62">
        <f t="shared" si="95"/>
        <v>6.7140403101088209E-2</v>
      </c>
      <c r="AJ44" s="61"/>
      <c r="AK44" s="62">
        <f t="shared" ref="AK44:AS44" si="96">AK15/$AJ$35</f>
        <v>6.8230508275047036E-2</v>
      </c>
      <c r="AL44" s="62">
        <f t="shared" si="96"/>
        <v>6.8230508275047036E-2</v>
      </c>
      <c r="AM44" s="62">
        <f t="shared" si="96"/>
        <v>6.8230508275047036E-2</v>
      </c>
      <c r="AN44" s="62">
        <f t="shared" si="96"/>
        <v>6.8230508275047036E-2</v>
      </c>
      <c r="AO44" s="62">
        <f t="shared" si="96"/>
        <v>6.8230508275047036E-2</v>
      </c>
      <c r="AP44" s="62">
        <f t="shared" si="96"/>
        <v>6.8230508275047036E-2</v>
      </c>
      <c r="AQ44" s="62">
        <f t="shared" si="96"/>
        <v>6.8230508275047036E-2</v>
      </c>
      <c r="AR44" s="62">
        <f t="shared" si="96"/>
        <v>6.8230508275047036E-2</v>
      </c>
      <c r="AS44" s="62">
        <f t="shared" si="96"/>
        <v>6.8230508275047036E-2</v>
      </c>
      <c r="AT44" s="61"/>
      <c r="AU44" s="62">
        <f t="shared" ref="AU44:BC44" si="97">AU15/$AT$35</f>
        <v>6.8323914843714389E-2</v>
      </c>
      <c r="AV44" s="62">
        <f t="shared" si="97"/>
        <v>6.8323914843714389E-2</v>
      </c>
      <c r="AW44" s="62">
        <f t="shared" si="97"/>
        <v>6.8323914843714389E-2</v>
      </c>
      <c r="AX44" s="62">
        <f t="shared" si="97"/>
        <v>6.8323914843714389E-2</v>
      </c>
      <c r="AY44" s="62">
        <f t="shared" si="97"/>
        <v>6.8323914843714389E-2</v>
      </c>
      <c r="AZ44" s="62">
        <f t="shared" si="97"/>
        <v>6.8323914843714389E-2</v>
      </c>
      <c r="BA44" s="62">
        <f t="shared" si="97"/>
        <v>6.8323914843714389E-2</v>
      </c>
      <c r="BB44" s="62">
        <f t="shared" si="97"/>
        <v>6.8323914843714389E-2</v>
      </c>
      <c r="BC44" s="62">
        <f t="shared" si="97"/>
        <v>6.8323914843714389E-2</v>
      </c>
      <c r="BD44" s="61"/>
      <c r="BE44" s="62">
        <f t="shared" ref="BE44:BM44" si="98">BE15/$BD$35</f>
        <v>0.14456824805161358</v>
      </c>
      <c r="BF44" s="62">
        <f t="shared" si="98"/>
        <v>0.14456824805161358</v>
      </c>
      <c r="BG44" s="62">
        <f t="shared" si="98"/>
        <v>0.14456824805161358</v>
      </c>
      <c r="BH44" s="62">
        <f t="shared" si="98"/>
        <v>0.14456824805161358</v>
      </c>
      <c r="BI44" s="62">
        <f t="shared" si="98"/>
        <v>0.14456824805161358</v>
      </c>
      <c r="BJ44" s="62">
        <f t="shared" si="98"/>
        <v>0.14456824805161358</v>
      </c>
      <c r="BK44" s="62">
        <f t="shared" si="98"/>
        <v>0.14456824805161358</v>
      </c>
      <c r="BL44" s="62">
        <f t="shared" si="98"/>
        <v>0.14456824805161358</v>
      </c>
      <c r="BM44" s="62">
        <f t="shared" si="98"/>
        <v>0.14456824805161358</v>
      </c>
      <c r="BN44" s="61"/>
      <c r="BO44" s="62">
        <f t="shared" ref="BO44:BW44" si="99">BO15/$BN$35</f>
        <v>8.8919432913788662E-2</v>
      </c>
      <c r="BP44" s="62">
        <f t="shared" si="99"/>
        <v>8.8919432913788662E-2</v>
      </c>
      <c r="BQ44" s="62">
        <f t="shared" si="99"/>
        <v>8.8919432913788662E-2</v>
      </c>
      <c r="BR44" s="62">
        <f t="shared" si="99"/>
        <v>8.8919432913788662E-2</v>
      </c>
      <c r="BS44" s="62">
        <f t="shared" si="99"/>
        <v>8.8919432913788662E-2</v>
      </c>
      <c r="BT44" s="62">
        <f t="shared" si="99"/>
        <v>8.8919432913788662E-2</v>
      </c>
      <c r="BU44" s="62">
        <f t="shared" si="99"/>
        <v>8.8919432913788662E-2</v>
      </c>
      <c r="BV44" s="62">
        <f t="shared" si="99"/>
        <v>8.8919432913788662E-2</v>
      </c>
      <c r="BW44" s="62">
        <f t="shared" si="99"/>
        <v>8.8919432913788662E-2</v>
      </c>
      <c r="BX44" s="61"/>
      <c r="BY44" s="62">
        <f t="shared" ref="BY44:CG44" si="100">BY15/$BX$35</f>
        <v>9.8394543207592777E-2</v>
      </c>
      <c r="BZ44" s="62">
        <f t="shared" si="100"/>
        <v>9.8394543207592777E-2</v>
      </c>
      <c r="CA44" s="62">
        <f t="shared" si="100"/>
        <v>9.8394543207592777E-2</v>
      </c>
      <c r="CB44" s="62">
        <f t="shared" si="100"/>
        <v>9.8394543207592777E-2</v>
      </c>
      <c r="CC44" s="62">
        <f t="shared" si="100"/>
        <v>9.8394543207592777E-2</v>
      </c>
      <c r="CD44" s="62">
        <f t="shared" si="100"/>
        <v>9.8394543207592777E-2</v>
      </c>
      <c r="CE44" s="62">
        <f t="shared" si="100"/>
        <v>9.8394543207592777E-2</v>
      </c>
      <c r="CF44" s="62">
        <f t="shared" si="100"/>
        <v>9.8394543207592777E-2</v>
      </c>
      <c r="CG44" s="62">
        <f t="shared" si="100"/>
        <v>9.8394543207592777E-2</v>
      </c>
    </row>
    <row r="45" spans="2:85" x14ac:dyDescent="0.25">
      <c r="B45" s="363"/>
      <c r="C45" s="81" t="str">
        <f>LookUps!$H$6</f>
        <v>Screening and Grit Removal - US</v>
      </c>
      <c r="D45" s="110"/>
      <c r="E45" s="110"/>
      <c r="F45" s="62">
        <f>F16/F$35</f>
        <v>6.5783561299135465E-3</v>
      </c>
      <c r="G45" s="61"/>
      <c r="H45" s="61"/>
      <c r="I45" s="61"/>
      <c r="J45" s="61"/>
      <c r="K45" s="61"/>
      <c r="L45" s="61"/>
      <c r="M45" s="61"/>
      <c r="N45" s="61"/>
      <c r="O45" s="61"/>
      <c r="P45" s="62">
        <f>P16/P$35</f>
        <v>9.9591890125211996E-4</v>
      </c>
      <c r="Q45" s="61"/>
      <c r="R45" s="61"/>
      <c r="S45" s="61"/>
      <c r="T45" s="61"/>
      <c r="U45" s="61"/>
      <c r="V45" s="61"/>
      <c r="W45" s="61"/>
      <c r="X45" s="61"/>
      <c r="Y45" s="61"/>
      <c r="Z45" s="62">
        <f>Z16/Z$35</f>
        <v>2.4365326885832799E-2</v>
      </c>
      <c r="AA45" s="61"/>
      <c r="AB45" s="61"/>
      <c r="AC45" s="61"/>
      <c r="AD45" s="61"/>
      <c r="AE45" s="61"/>
      <c r="AF45" s="61"/>
      <c r="AG45" s="61"/>
      <c r="AH45" s="61"/>
      <c r="AI45" s="61"/>
      <c r="AJ45" s="62">
        <f>AJ16/AJ$35</f>
        <v>2.4443403737710149E-2</v>
      </c>
      <c r="AK45" s="61"/>
      <c r="AL45" s="61"/>
      <c r="AM45" s="61"/>
      <c r="AN45" s="61"/>
      <c r="AO45" s="61"/>
      <c r="AP45" s="61"/>
      <c r="AQ45" s="61"/>
      <c r="AR45" s="61"/>
      <c r="AS45" s="61"/>
      <c r="AT45" s="62">
        <f>AT16/AT$35</f>
        <v>2.3764839945639792E-2</v>
      </c>
      <c r="AU45" s="61"/>
      <c r="AV45" s="61"/>
      <c r="AW45" s="61"/>
      <c r="AX45" s="61"/>
      <c r="AY45" s="61"/>
      <c r="AZ45" s="61"/>
      <c r="BA45" s="61"/>
      <c r="BB45" s="61"/>
      <c r="BC45" s="61"/>
      <c r="BD45" s="62">
        <f>BD16/BD$35</f>
        <v>8.0223089367561142E-3</v>
      </c>
      <c r="BE45" s="61"/>
      <c r="BF45" s="61"/>
      <c r="BG45" s="61"/>
      <c r="BH45" s="61"/>
      <c r="BI45" s="61"/>
      <c r="BJ45" s="61"/>
      <c r="BK45" s="61"/>
      <c r="BL45" s="61"/>
      <c r="BM45" s="61"/>
      <c r="BN45" s="62">
        <f>BN16/BN$35</f>
        <v>1.6204668026038357E-2</v>
      </c>
      <c r="BO45" s="61"/>
      <c r="BP45" s="61"/>
      <c r="BQ45" s="61"/>
      <c r="BR45" s="61"/>
      <c r="BS45" s="61"/>
      <c r="BT45" s="61"/>
      <c r="BU45" s="61"/>
      <c r="BV45" s="61"/>
      <c r="BW45" s="61"/>
      <c r="BX45" s="62">
        <f>BX16/BX$35</f>
        <v>1.6993972432990813E-2</v>
      </c>
      <c r="BY45" s="61"/>
      <c r="BZ45" s="61"/>
      <c r="CA45" s="61"/>
      <c r="CB45" s="61"/>
      <c r="CC45" s="61"/>
      <c r="CD45" s="61"/>
      <c r="CE45" s="61"/>
      <c r="CF45" s="61"/>
      <c r="CG45" s="61"/>
    </row>
    <row r="46" spans="2:85" x14ac:dyDescent="0.25">
      <c r="B46" s="363"/>
      <c r="C46" s="81" t="str">
        <f>LookUps!$G$8</f>
        <v>Clear Cove Primary Clarification; wastewater treatment unit; at updated plant - US</v>
      </c>
      <c r="D46" s="110"/>
      <c r="E46" s="110"/>
      <c r="F46" s="61"/>
      <c r="G46" s="62">
        <f t="shared" ref="G46:O46" si="101">G17/$F$35</f>
        <v>5.1296798892823119E-2</v>
      </c>
      <c r="H46" s="62">
        <f t="shared" si="101"/>
        <v>5.1296798892823119E-2</v>
      </c>
      <c r="I46" s="62">
        <f t="shared" si="101"/>
        <v>5.1296798892823119E-2</v>
      </c>
      <c r="J46" s="62">
        <f t="shared" si="101"/>
        <v>5.1296798892823119E-2</v>
      </c>
      <c r="K46" s="62">
        <f t="shared" si="101"/>
        <v>5.1296798892823119E-2</v>
      </c>
      <c r="L46" s="62">
        <f t="shared" si="101"/>
        <v>5.1296798892823119E-2</v>
      </c>
      <c r="M46" s="62">
        <f t="shared" si="101"/>
        <v>5.1296798892823119E-2</v>
      </c>
      <c r="N46" s="62">
        <f t="shared" si="101"/>
        <v>5.1296798892823119E-2</v>
      </c>
      <c r="O46" s="62">
        <f t="shared" si="101"/>
        <v>5.1296798892823119E-2</v>
      </c>
      <c r="P46" s="61"/>
      <c r="Q46" s="62">
        <f t="shared" ref="Q46:Y46" si="102">Q17/$P$35</f>
        <v>8.196323709155939E-3</v>
      </c>
      <c r="R46" s="62">
        <f t="shared" si="102"/>
        <v>8.196323709155939E-3</v>
      </c>
      <c r="S46" s="62">
        <f t="shared" si="102"/>
        <v>8.196323709155939E-3</v>
      </c>
      <c r="T46" s="62">
        <f t="shared" si="102"/>
        <v>8.196323709155939E-3</v>
      </c>
      <c r="U46" s="62">
        <f t="shared" si="102"/>
        <v>8.196323709155939E-3</v>
      </c>
      <c r="V46" s="62">
        <f t="shared" si="102"/>
        <v>8.196323709155939E-3</v>
      </c>
      <c r="W46" s="62">
        <f t="shared" si="102"/>
        <v>8.196323709155939E-3</v>
      </c>
      <c r="X46" s="62">
        <f t="shared" si="102"/>
        <v>8.196323709155939E-3</v>
      </c>
      <c r="Y46" s="62">
        <f t="shared" si="102"/>
        <v>8.196323709155939E-3</v>
      </c>
      <c r="Z46" s="61"/>
      <c r="AA46" s="62">
        <f t="shared" ref="AA46:AI46" si="103">AA17/$Z$35</f>
        <v>0.16909434855088884</v>
      </c>
      <c r="AB46" s="62">
        <f t="shared" si="103"/>
        <v>0.16909434855088884</v>
      </c>
      <c r="AC46" s="62">
        <f t="shared" si="103"/>
        <v>0.16909434855088884</v>
      </c>
      <c r="AD46" s="62">
        <f t="shared" si="103"/>
        <v>0.16909434855088884</v>
      </c>
      <c r="AE46" s="62">
        <f t="shared" si="103"/>
        <v>0.16909434855088884</v>
      </c>
      <c r="AF46" s="62">
        <f t="shared" si="103"/>
        <v>0.16909434855088884</v>
      </c>
      <c r="AG46" s="62">
        <f t="shared" si="103"/>
        <v>0.16909434855088884</v>
      </c>
      <c r="AH46" s="62">
        <f t="shared" si="103"/>
        <v>0.16909434855088884</v>
      </c>
      <c r="AI46" s="62">
        <f t="shared" si="103"/>
        <v>0.16909434855088884</v>
      </c>
      <c r="AJ46" s="61"/>
      <c r="AK46" s="62">
        <f t="shared" ref="AK46:AS46" si="104">AK17/$AJ$35</f>
        <v>0.1690639449887377</v>
      </c>
      <c r="AL46" s="62">
        <f t="shared" si="104"/>
        <v>0.1690639449887377</v>
      </c>
      <c r="AM46" s="62">
        <f t="shared" si="104"/>
        <v>0.1690639449887377</v>
      </c>
      <c r="AN46" s="62">
        <f t="shared" si="104"/>
        <v>0.1690639449887377</v>
      </c>
      <c r="AO46" s="62">
        <f t="shared" si="104"/>
        <v>0.1690639449887377</v>
      </c>
      <c r="AP46" s="62">
        <f t="shared" si="104"/>
        <v>0.1690639449887377</v>
      </c>
      <c r="AQ46" s="62">
        <f t="shared" si="104"/>
        <v>0.1690639449887377</v>
      </c>
      <c r="AR46" s="62">
        <f t="shared" si="104"/>
        <v>0.1690639449887377</v>
      </c>
      <c r="AS46" s="62">
        <f t="shared" si="104"/>
        <v>0.1690639449887377</v>
      </c>
      <c r="AT46" s="61"/>
      <c r="AU46" s="62">
        <f t="shared" ref="AU46:BC46" si="105">AU17/$AT$35</f>
        <v>0.16437347629067522</v>
      </c>
      <c r="AV46" s="62">
        <f t="shared" si="105"/>
        <v>0.16437347629067522</v>
      </c>
      <c r="AW46" s="62">
        <f t="shared" si="105"/>
        <v>0.16437347629067522</v>
      </c>
      <c r="AX46" s="62">
        <f t="shared" si="105"/>
        <v>0.16437347629067522</v>
      </c>
      <c r="AY46" s="62">
        <f t="shared" si="105"/>
        <v>0.16437347629067522</v>
      </c>
      <c r="AZ46" s="62">
        <f t="shared" si="105"/>
        <v>0.16437347629067522</v>
      </c>
      <c r="BA46" s="62">
        <f t="shared" si="105"/>
        <v>0.16437347629067522</v>
      </c>
      <c r="BB46" s="62">
        <f t="shared" si="105"/>
        <v>0.16437347629067522</v>
      </c>
      <c r="BC46" s="62">
        <f t="shared" si="105"/>
        <v>0.16437347629067522</v>
      </c>
      <c r="BD46" s="61"/>
      <c r="BE46" s="62">
        <f t="shared" ref="BE46:BM46" si="106">BE17/$BD$35</f>
        <v>0.14456824805161358</v>
      </c>
      <c r="BF46" s="62">
        <f t="shared" si="106"/>
        <v>0.14456824805161358</v>
      </c>
      <c r="BG46" s="62">
        <f t="shared" si="106"/>
        <v>0.14456824805161358</v>
      </c>
      <c r="BH46" s="62">
        <f t="shared" si="106"/>
        <v>0.14456824805161358</v>
      </c>
      <c r="BI46" s="62">
        <f t="shared" si="106"/>
        <v>0.14456824805161358</v>
      </c>
      <c r="BJ46" s="62">
        <f t="shared" si="106"/>
        <v>0.14456824805161358</v>
      </c>
      <c r="BK46" s="62">
        <f t="shared" si="106"/>
        <v>0.14456824805161358</v>
      </c>
      <c r="BL46" s="62">
        <f t="shared" si="106"/>
        <v>0.14456824805161358</v>
      </c>
      <c r="BM46" s="62">
        <f t="shared" si="106"/>
        <v>0.14456824805161358</v>
      </c>
      <c r="BN46" s="61"/>
      <c r="BO46" s="62">
        <f t="shared" ref="BO46:BW46" si="107">BO17/$BN$35</f>
        <v>0.12403936798112998</v>
      </c>
      <c r="BP46" s="62">
        <f t="shared" si="107"/>
        <v>0.12403936798112998</v>
      </c>
      <c r="BQ46" s="62">
        <f t="shared" si="107"/>
        <v>0.12403936798112998</v>
      </c>
      <c r="BR46" s="62">
        <f t="shared" si="107"/>
        <v>0.12403936798112998</v>
      </c>
      <c r="BS46" s="62">
        <f t="shared" si="107"/>
        <v>0.12403936798112998</v>
      </c>
      <c r="BT46" s="62">
        <f t="shared" si="107"/>
        <v>0.12403936798112998</v>
      </c>
      <c r="BU46" s="62">
        <f t="shared" si="107"/>
        <v>0.12403936798112998</v>
      </c>
      <c r="BV46" s="62">
        <f t="shared" si="107"/>
        <v>0.12403936798112998</v>
      </c>
      <c r="BW46" s="62">
        <f t="shared" si="107"/>
        <v>0.12403936798112998</v>
      </c>
      <c r="BX46" s="61"/>
      <c r="BY46" s="62">
        <f t="shared" ref="BY46:CG46" si="108">BY17/$BX$35</f>
        <v>0.12958767608262745</v>
      </c>
      <c r="BZ46" s="62">
        <f t="shared" si="108"/>
        <v>0.12958767608262745</v>
      </c>
      <c r="CA46" s="62">
        <f t="shared" si="108"/>
        <v>0.12958767608262745</v>
      </c>
      <c r="CB46" s="62">
        <f t="shared" si="108"/>
        <v>0.12958767608262745</v>
      </c>
      <c r="CC46" s="62">
        <f t="shared" si="108"/>
        <v>0.12958767608262745</v>
      </c>
      <c r="CD46" s="62">
        <f t="shared" si="108"/>
        <v>0.12958767608262745</v>
      </c>
      <c r="CE46" s="62">
        <f t="shared" si="108"/>
        <v>0.12958767608262745</v>
      </c>
      <c r="CF46" s="62">
        <f t="shared" si="108"/>
        <v>0.12958767608262745</v>
      </c>
      <c r="CG46" s="62">
        <f t="shared" si="108"/>
        <v>0.12958767608262745</v>
      </c>
    </row>
    <row r="47" spans="2:85" x14ac:dyDescent="0.25">
      <c r="B47" s="363"/>
      <c r="C47" s="81" t="str">
        <f>LookUps!$H$8</f>
        <v>Primary Clarifier; wastewater treatment unit - US</v>
      </c>
      <c r="D47" s="110"/>
      <c r="E47" s="110"/>
      <c r="F47" s="62">
        <f>F18/F$35</f>
        <v>0.10121861351259052</v>
      </c>
      <c r="G47" s="61"/>
      <c r="H47" s="61"/>
      <c r="I47" s="61"/>
      <c r="J47" s="61"/>
      <c r="K47" s="61"/>
      <c r="L47" s="61"/>
      <c r="M47" s="61"/>
      <c r="N47" s="61"/>
      <c r="O47" s="61"/>
      <c r="P47" s="62">
        <f>P18/P$35</f>
        <v>1.7622095974685267E-2</v>
      </c>
      <c r="Q47" s="61"/>
      <c r="R47" s="61"/>
      <c r="S47" s="61"/>
      <c r="T47" s="61"/>
      <c r="U47" s="61"/>
      <c r="V47" s="61"/>
      <c r="W47" s="61"/>
      <c r="X47" s="61"/>
      <c r="Y47" s="61"/>
      <c r="Z47" s="62">
        <f>Z18/Z$35</f>
        <v>0.13676748779851303</v>
      </c>
      <c r="AA47" s="61"/>
      <c r="AB47" s="61"/>
      <c r="AC47" s="61"/>
      <c r="AD47" s="61"/>
      <c r="AE47" s="61"/>
      <c r="AF47" s="61"/>
      <c r="AG47" s="61"/>
      <c r="AH47" s="61"/>
      <c r="AI47" s="61"/>
      <c r="AJ47" s="62">
        <f>AJ18/AJ$35</f>
        <v>0.12826632148407038</v>
      </c>
      <c r="AK47" s="61"/>
      <c r="AL47" s="61"/>
      <c r="AM47" s="61"/>
      <c r="AN47" s="61"/>
      <c r="AO47" s="61"/>
      <c r="AP47" s="61"/>
      <c r="AQ47" s="61"/>
      <c r="AR47" s="61"/>
      <c r="AS47" s="61"/>
      <c r="AT47" s="62">
        <f>AT18/AT$35</f>
        <v>0.1538113252037242</v>
      </c>
      <c r="AU47" s="61"/>
      <c r="AV47" s="61"/>
      <c r="AW47" s="61"/>
      <c r="AX47" s="61"/>
      <c r="AY47" s="61"/>
      <c r="AZ47" s="61"/>
      <c r="BA47" s="61"/>
      <c r="BB47" s="61"/>
      <c r="BC47" s="61"/>
      <c r="BD47" s="62">
        <f>BD18/BD$35</f>
        <v>0.61039926955125734</v>
      </c>
      <c r="BE47" s="61"/>
      <c r="BF47" s="61"/>
      <c r="BG47" s="61"/>
      <c r="BH47" s="61"/>
      <c r="BI47" s="61"/>
      <c r="BJ47" s="61"/>
      <c r="BK47" s="61"/>
      <c r="BL47" s="61"/>
      <c r="BM47" s="61"/>
      <c r="BN47" s="62">
        <f>BN18/BN$35</f>
        <v>0.17459793222236966</v>
      </c>
      <c r="BO47" s="61"/>
      <c r="BP47" s="61"/>
      <c r="BQ47" s="61"/>
      <c r="BR47" s="61"/>
      <c r="BS47" s="61"/>
      <c r="BT47" s="61"/>
      <c r="BU47" s="61"/>
      <c r="BV47" s="61"/>
      <c r="BW47" s="61"/>
      <c r="BX47" s="62">
        <f>BX18/BX$35</f>
        <v>0.19747330274789746</v>
      </c>
      <c r="BY47" s="61"/>
      <c r="BZ47" s="61"/>
      <c r="CA47" s="61"/>
      <c r="CB47" s="61"/>
      <c r="CC47" s="61"/>
      <c r="CD47" s="61"/>
      <c r="CE47" s="61"/>
      <c r="CF47" s="61"/>
      <c r="CG47" s="61"/>
    </row>
    <row r="48" spans="2:85" x14ac:dyDescent="0.25">
      <c r="B48" s="363"/>
      <c r="C48" s="81" t="str">
        <f>LookUps!$G$17</f>
        <v>ClearCove SCP; wastewater treatment unit; at updated plant - US</v>
      </c>
      <c r="D48" s="110"/>
      <c r="E48" s="110"/>
      <c r="F48" s="61"/>
      <c r="G48" s="62">
        <f t="shared" ref="G48:O48" si="109">G19/$F$35</f>
        <v>2.16582490069558E-3</v>
      </c>
      <c r="H48" s="62">
        <f t="shared" si="109"/>
        <v>2.16582490069558E-3</v>
      </c>
      <c r="I48" s="62">
        <f t="shared" si="109"/>
        <v>2.16582490069558E-3</v>
      </c>
      <c r="J48" s="62">
        <f t="shared" si="109"/>
        <v>2.16582490069558E-3</v>
      </c>
      <c r="K48" s="62">
        <f t="shared" si="109"/>
        <v>2.16582490069558E-3</v>
      </c>
      <c r="L48" s="62">
        <f t="shared" si="109"/>
        <v>2.16582490069558E-3</v>
      </c>
      <c r="M48" s="62">
        <f t="shared" si="109"/>
        <v>2.16582490069558E-3</v>
      </c>
      <c r="N48" s="62">
        <f t="shared" si="109"/>
        <v>2.16582490069558E-3</v>
      </c>
      <c r="O48" s="62">
        <f t="shared" si="109"/>
        <v>2.16582490069558E-3</v>
      </c>
      <c r="P48" s="61"/>
      <c r="Q48" s="62">
        <f t="shared" ref="Q48:Y48" si="110">Q19/$P$35</f>
        <v>3.1788294020642028E-4</v>
      </c>
      <c r="R48" s="62">
        <f t="shared" si="110"/>
        <v>3.1788294020642028E-4</v>
      </c>
      <c r="S48" s="62">
        <f t="shared" si="110"/>
        <v>3.1788294020642028E-4</v>
      </c>
      <c r="T48" s="62">
        <f t="shared" si="110"/>
        <v>3.1788294020642028E-4</v>
      </c>
      <c r="U48" s="62">
        <f t="shared" si="110"/>
        <v>3.1788294020642028E-4</v>
      </c>
      <c r="V48" s="62">
        <f t="shared" si="110"/>
        <v>3.1788294020642028E-4</v>
      </c>
      <c r="W48" s="62">
        <f t="shared" si="110"/>
        <v>3.1788294020642028E-4</v>
      </c>
      <c r="X48" s="62">
        <f t="shared" si="110"/>
        <v>3.1788294020642028E-4</v>
      </c>
      <c r="Y48" s="62">
        <f t="shared" si="110"/>
        <v>3.1788294020642028E-4</v>
      </c>
      <c r="Z48" s="61"/>
      <c r="AA48" s="62">
        <f t="shared" ref="AA48:AI48" si="111">AA19/$Z$35</f>
        <v>8.5945186668904845E-3</v>
      </c>
      <c r="AB48" s="62">
        <f t="shared" si="111"/>
        <v>8.5945186668904845E-3</v>
      </c>
      <c r="AC48" s="62">
        <f t="shared" si="111"/>
        <v>8.5945186668904845E-3</v>
      </c>
      <c r="AD48" s="62">
        <f t="shared" si="111"/>
        <v>8.5945186668904845E-3</v>
      </c>
      <c r="AE48" s="62">
        <f t="shared" si="111"/>
        <v>8.5945186668904845E-3</v>
      </c>
      <c r="AF48" s="62">
        <f t="shared" si="111"/>
        <v>8.5945186668904845E-3</v>
      </c>
      <c r="AG48" s="62">
        <f t="shared" si="111"/>
        <v>8.5945186668904845E-3</v>
      </c>
      <c r="AH48" s="62">
        <f t="shared" si="111"/>
        <v>8.5945186668904845E-3</v>
      </c>
      <c r="AI48" s="62">
        <f t="shared" si="111"/>
        <v>8.5945186668904845E-3</v>
      </c>
      <c r="AJ48" s="61"/>
      <c r="AK48" s="62">
        <f t="shared" ref="AK48:AS48" si="112">AK19/$AJ$35</f>
        <v>8.6519098121966859E-3</v>
      </c>
      <c r="AL48" s="62">
        <f t="shared" si="112"/>
        <v>8.6519098121966859E-3</v>
      </c>
      <c r="AM48" s="62">
        <f t="shared" si="112"/>
        <v>8.6519098121966859E-3</v>
      </c>
      <c r="AN48" s="62">
        <f t="shared" si="112"/>
        <v>8.6519098121966859E-3</v>
      </c>
      <c r="AO48" s="62">
        <f t="shared" si="112"/>
        <v>8.6519098121966859E-3</v>
      </c>
      <c r="AP48" s="62">
        <f t="shared" si="112"/>
        <v>8.6519098121966859E-3</v>
      </c>
      <c r="AQ48" s="62">
        <f t="shared" si="112"/>
        <v>8.6519098121966859E-3</v>
      </c>
      <c r="AR48" s="62">
        <f t="shared" si="112"/>
        <v>8.6519098121966859E-3</v>
      </c>
      <c r="AS48" s="62">
        <f t="shared" si="112"/>
        <v>8.6519098121966859E-3</v>
      </c>
      <c r="AT48" s="61"/>
      <c r="AU48" s="62">
        <f t="shared" ref="AU48:BC48" si="113">AU19/$AT$35</f>
        <v>8.5817477581477015E-3</v>
      </c>
      <c r="AV48" s="62">
        <f t="shared" si="113"/>
        <v>8.5817477581477015E-3</v>
      </c>
      <c r="AW48" s="62">
        <f t="shared" si="113"/>
        <v>8.5817477581477015E-3</v>
      </c>
      <c r="AX48" s="62">
        <f t="shared" si="113"/>
        <v>8.5817477581477015E-3</v>
      </c>
      <c r="AY48" s="62">
        <f t="shared" si="113"/>
        <v>8.5817477581477015E-3</v>
      </c>
      <c r="AZ48" s="62">
        <f t="shared" si="113"/>
        <v>8.5817477581477015E-3</v>
      </c>
      <c r="BA48" s="62">
        <f t="shared" si="113"/>
        <v>8.5817477581477015E-3</v>
      </c>
      <c r="BB48" s="62">
        <f t="shared" si="113"/>
        <v>8.5817477581477015E-3</v>
      </c>
      <c r="BC48" s="62">
        <f t="shared" si="113"/>
        <v>8.5817477581477015E-3</v>
      </c>
      <c r="BD48" s="61"/>
      <c r="BE48" s="62">
        <f t="shared" ref="BE48:BM48" si="114">BE19/$BD$35</f>
        <v>6.1599727337858926E-4</v>
      </c>
      <c r="BF48" s="62">
        <f t="shared" si="114"/>
        <v>6.1599727337858926E-4</v>
      </c>
      <c r="BG48" s="62">
        <f t="shared" si="114"/>
        <v>6.1599727337858926E-4</v>
      </c>
      <c r="BH48" s="62">
        <f t="shared" si="114"/>
        <v>6.1599727337858926E-4</v>
      </c>
      <c r="BI48" s="62">
        <f t="shared" si="114"/>
        <v>6.1599727337858926E-4</v>
      </c>
      <c r="BJ48" s="62">
        <f t="shared" si="114"/>
        <v>6.1599727337858926E-4</v>
      </c>
      <c r="BK48" s="62">
        <f t="shared" si="114"/>
        <v>6.1599727337858926E-4</v>
      </c>
      <c r="BL48" s="62">
        <f t="shared" si="114"/>
        <v>6.1599727337858926E-4</v>
      </c>
      <c r="BM48" s="62">
        <f t="shared" si="114"/>
        <v>6.1599727337858926E-4</v>
      </c>
      <c r="BN48" s="61"/>
      <c r="BO48" s="62">
        <f t="shared" ref="BO48:BW48" si="115">BO19/$BN$35</f>
        <v>5.3622719649799658E-3</v>
      </c>
      <c r="BP48" s="62">
        <f t="shared" si="115"/>
        <v>5.3622719649799658E-3</v>
      </c>
      <c r="BQ48" s="62">
        <f t="shared" si="115"/>
        <v>5.3622719649799658E-3</v>
      </c>
      <c r="BR48" s="62">
        <f t="shared" si="115"/>
        <v>5.3622719649799658E-3</v>
      </c>
      <c r="BS48" s="62">
        <f t="shared" si="115"/>
        <v>5.3622719649799658E-3</v>
      </c>
      <c r="BT48" s="62">
        <f t="shared" si="115"/>
        <v>5.3622719649799658E-3</v>
      </c>
      <c r="BU48" s="62">
        <f t="shared" si="115"/>
        <v>5.3622719649799658E-3</v>
      </c>
      <c r="BV48" s="62">
        <f t="shared" si="115"/>
        <v>5.3622719649799658E-3</v>
      </c>
      <c r="BW48" s="62">
        <f t="shared" si="115"/>
        <v>5.3622719649799658E-3</v>
      </c>
      <c r="BX48" s="61"/>
      <c r="BY48" s="62">
        <f t="shared" ref="BY48:CG48" si="116">BY19/$BX$35</f>
        <v>5.6754296131948994E-3</v>
      </c>
      <c r="BZ48" s="62">
        <f t="shared" si="116"/>
        <v>5.6754296131948994E-3</v>
      </c>
      <c r="CA48" s="62">
        <f t="shared" si="116"/>
        <v>5.6754296131948994E-3</v>
      </c>
      <c r="CB48" s="62">
        <f t="shared" si="116"/>
        <v>5.6754296131948994E-3</v>
      </c>
      <c r="CC48" s="62">
        <f t="shared" si="116"/>
        <v>5.6754296131948994E-3</v>
      </c>
      <c r="CD48" s="62">
        <f t="shared" si="116"/>
        <v>5.6754296131948994E-3</v>
      </c>
      <c r="CE48" s="62">
        <f t="shared" si="116"/>
        <v>5.6754296131948994E-3</v>
      </c>
      <c r="CF48" s="62">
        <f t="shared" si="116"/>
        <v>5.6754296131948994E-3</v>
      </c>
      <c r="CG48" s="62">
        <f t="shared" si="116"/>
        <v>5.6754296131948994E-3</v>
      </c>
    </row>
    <row r="49" spans="2:85" x14ac:dyDescent="0.25">
      <c r="B49" s="363"/>
      <c r="C49" s="81" t="str">
        <f>LookUps!$G$7</f>
        <v>Wet Well and Sump Station; wastewater treatment unit; at updated plant - US</v>
      </c>
      <c r="D49" s="110"/>
      <c r="E49" s="110"/>
      <c r="F49" s="61"/>
      <c r="G49" s="62">
        <f t="shared" ref="G49:O49" si="117">G20/$F$35</f>
        <v>2.989018099466182E-2</v>
      </c>
      <c r="H49" s="62">
        <f t="shared" si="117"/>
        <v>2.989018099466182E-2</v>
      </c>
      <c r="I49" s="62">
        <f t="shared" si="117"/>
        <v>2.989018099466182E-2</v>
      </c>
      <c r="J49" s="62">
        <f t="shared" si="117"/>
        <v>2.989018099466182E-2</v>
      </c>
      <c r="K49" s="62">
        <f t="shared" si="117"/>
        <v>2.989018099466182E-2</v>
      </c>
      <c r="L49" s="62">
        <f t="shared" si="117"/>
        <v>2.989018099466182E-2</v>
      </c>
      <c r="M49" s="62">
        <f t="shared" si="117"/>
        <v>2.989018099466182E-2</v>
      </c>
      <c r="N49" s="62">
        <f t="shared" si="117"/>
        <v>2.989018099466182E-2</v>
      </c>
      <c r="O49" s="62">
        <f t="shared" si="117"/>
        <v>2.989018099466182E-2</v>
      </c>
      <c r="P49" s="61"/>
      <c r="Q49" s="62">
        <f t="shared" ref="Q49:Y49" si="118">Q20/$P$35</f>
        <v>4.5079780400357665E-3</v>
      </c>
      <c r="R49" s="62">
        <f t="shared" si="118"/>
        <v>4.5079780400357665E-3</v>
      </c>
      <c r="S49" s="62">
        <f t="shared" si="118"/>
        <v>4.5079780400357665E-3</v>
      </c>
      <c r="T49" s="62">
        <f t="shared" si="118"/>
        <v>4.5079780400357665E-3</v>
      </c>
      <c r="U49" s="62">
        <f t="shared" si="118"/>
        <v>4.5079780400357665E-3</v>
      </c>
      <c r="V49" s="62">
        <f t="shared" si="118"/>
        <v>4.5079780400357665E-3</v>
      </c>
      <c r="W49" s="62">
        <f t="shared" si="118"/>
        <v>4.5079780400357665E-3</v>
      </c>
      <c r="X49" s="62">
        <f t="shared" si="118"/>
        <v>4.5079780400357665E-3</v>
      </c>
      <c r="Y49" s="62">
        <f t="shared" si="118"/>
        <v>4.5079780400357665E-3</v>
      </c>
      <c r="Z49" s="61"/>
      <c r="AA49" s="62">
        <f t="shared" ref="AA49:AI49" si="119">AA20/$Z$35</f>
        <v>0.11687403502782021</v>
      </c>
      <c r="AB49" s="62">
        <f t="shared" si="119"/>
        <v>0.11687403502782021</v>
      </c>
      <c r="AC49" s="62">
        <f t="shared" si="119"/>
        <v>0.11687403502782021</v>
      </c>
      <c r="AD49" s="62">
        <f t="shared" si="119"/>
        <v>0.11687403502782021</v>
      </c>
      <c r="AE49" s="62">
        <f t="shared" si="119"/>
        <v>0.11687403502782021</v>
      </c>
      <c r="AF49" s="62">
        <f t="shared" si="119"/>
        <v>0.11687403502782021</v>
      </c>
      <c r="AG49" s="62">
        <f t="shared" si="119"/>
        <v>0.11687403502782021</v>
      </c>
      <c r="AH49" s="62">
        <f t="shared" si="119"/>
        <v>0.11687403502782021</v>
      </c>
      <c r="AI49" s="62">
        <f t="shared" si="119"/>
        <v>0.11687403502782021</v>
      </c>
      <c r="AJ49" s="61"/>
      <c r="AK49" s="62">
        <f t="shared" ref="AK49:AS49" si="120">AK20/$AJ$35</f>
        <v>0.11651941954393343</v>
      </c>
      <c r="AL49" s="62">
        <f t="shared" si="120"/>
        <v>0.11651941954393343</v>
      </c>
      <c r="AM49" s="62">
        <f t="shared" si="120"/>
        <v>0.11651941954393343</v>
      </c>
      <c r="AN49" s="62">
        <f t="shared" si="120"/>
        <v>0.11651941954393343</v>
      </c>
      <c r="AO49" s="62">
        <f t="shared" si="120"/>
        <v>0.11651941954393343</v>
      </c>
      <c r="AP49" s="62">
        <f t="shared" si="120"/>
        <v>0.11651941954393343</v>
      </c>
      <c r="AQ49" s="62">
        <f t="shared" si="120"/>
        <v>0.11651941954393343</v>
      </c>
      <c r="AR49" s="62">
        <f t="shared" si="120"/>
        <v>0.11651941954393343</v>
      </c>
      <c r="AS49" s="62">
        <f t="shared" si="120"/>
        <v>0.11651941954393343</v>
      </c>
      <c r="AT49" s="61"/>
      <c r="AU49" s="62">
        <f t="shared" ref="AU49:BC49" si="121">AU20/$AT$35</f>
        <v>0.11387319140619066</v>
      </c>
      <c r="AV49" s="62">
        <f t="shared" si="121"/>
        <v>0.11387319140619066</v>
      </c>
      <c r="AW49" s="62">
        <f t="shared" si="121"/>
        <v>0.11387319140619066</v>
      </c>
      <c r="AX49" s="62">
        <f t="shared" si="121"/>
        <v>0.11387319140619066</v>
      </c>
      <c r="AY49" s="62">
        <f t="shared" si="121"/>
        <v>0.11387319140619066</v>
      </c>
      <c r="AZ49" s="62">
        <f t="shared" si="121"/>
        <v>0.11387319140619066</v>
      </c>
      <c r="BA49" s="62">
        <f t="shared" si="121"/>
        <v>0.11387319140619066</v>
      </c>
      <c r="BB49" s="62">
        <f t="shared" si="121"/>
        <v>0.11387319140619066</v>
      </c>
      <c r="BC49" s="62">
        <f t="shared" si="121"/>
        <v>0.11387319140619066</v>
      </c>
      <c r="BD49" s="61"/>
      <c r="BE49" s="62">
        <f t="shared" ref="BE49:BM49" si="122">BE20/$BD$35</f>
        <v>1.4060788121193298E-2</v>
      </c>
      <c r="BF49" s="62">
        <f t="shared" si="122"/>
        <v>1.4060788121193298E-2</v>
      </c>
      <c r="BG49" s="62">
        <f t="shared" si="122"/>
        <v>1.4060788121193298E-2</v>
      </c>
      <c r="BH49" s="62">
        <f t="shared" si="122"/>
        <v>1.4060788121193298E-2</v>
      </c>
      <c r="BI49" s="62">
        <f t="shared" si="122"/>
        <v>1.4060788121193298E-2</v>
      </c>
      <c r="BJ49" s="62">
        <f t="shared" si="122"/>
        <v>1.4060788121193298E-2</v>
      </c>
      <c r="BK49" s="62">
        <f t="shared" si="122"/>
        <v>1.4060788121193298E-2</v>
      </c>
      <c r="BL49" s="62">
        <f t="shared" si="122"/>
        <v>1.4060788121193298E-2</v>
      </c>
      <c r="BM49" s="62">
        <f t="shared" si="122"/>
        <v>1.4060788121193298E-2</v>
      </c>
      <c r="BN49" s="61"/>
      <c r="BO49" s="62">
        <f t="shared" ref="BO49:BW49" si="123">BO20/$BN$35</f>
        <v>7.3598655870988766E-2</v>
      </c>
      <c r="BP49" s="62">
        <f t="shared" si="123"/>
        <v>7.3598655870988766E-2</v>
      </c>
      <c r="BQ49" s="62">
        <f t="shared" si="123"/>
        <v>7.3598655870988766E-2</v>
      </c>
      <c r="BR49" s="62">
        <f t="shared" si="123"/>
        <v>7.3598655870988766E-2</v>
      </c>
      <c r="BS49" s="62">
        <f t="shared" si="123"/>
        <v>7.3598655870988766E-2</v>
      </c>
      <c r="BT49" s="62">
        <f t="shared" si="123"/>
        <v>7.3598655870988766E-2</v>
      </c>
      <c r="BU49" s="62">
        <f t="shared" si="123"/>
        <v>7.3598655870988766E-2</v>
      </c>
      <c r="BV49" s="62">
        <f t="shared" si="123"/>
        <v>7.3598655870988766E-2</v>
      </c>
      <c r="BW49" s="62">
        <f t="shared" si="123"/>
        <v>7.3598655870988766E-2</v>
      </c>
      <c r="BX49" s="61"/>
      <c r="BY49" s="62">
        <f t="shared" ref="BY49:CG49" si="124">BY20/$BX$35</f>
        <v>7.7609521973484932E-2</v>
      </c>
      <c r="BZ49" s="62">
        <f t="shared" si="124"/>
        <v>7.7609521973484932E-2</v>
      </c>
      <c r="CA49" s="62">
        <f t="shared" si="124"/>
        <v>7.7609521973484932E-2</v>
      </c>
      <c r="CB49" s="62">
        <f t="shared" si="124"/>
        <v>7.7609521973484932E-2</v>
      </c>
      <c r="CC49" s="62">
        <f t="shared" si="124"/>
        <v>7.7609521973484932E-2</v>
      </c>
      <c r="CD49" s="62">
        <f t="shared" si="124"/>
        <v>7.7609521973484932E-2</v>
      </c>
      <c r="CE49" s="62">
        <f t="shared" si="124"/>
        <v>7.7609521973484932E-2</v>
      </c>
      <c r="CF49" s="62">
        <f t="shared" si="124"/>
        <v>7.7609521973484932E-2</v>
      </c>
      <c r="CG49" s="62">
        <f t="shared" si="124"/>
        <v>7.7609521973484932E-2</v>
      </c>
    </row>
    <row r="50" spans="2:85" x14ac:dyDescent="0.25">
      <c r="B50" s="363"/>
      <c r="C50" s="81" t="str">
        <f>LookUps!$G$13</f>
        <v>Pre-Anoxic &amp; Swing tank; wastewater treatment unit; at updated plant - US</v>
      </c>
      <c r="D50" s="110"/>
      <c r="E50" s="110"/>
      <c r="F50" s="61"/>
      <c r="G50" s="62">
        <f t="shared" ref="G50:O50" si="125">G21/$F$35</f>
        <v>0.21820011862609412</v>
      </c>
      <c r="H50" s="62">
        <f t="shared" si="125"/>
        <v>0.21820011862609412</v>
      </c>
      <c r="I50" s="62">
        <f t="shared" si="125"/>
        <v>0.21820011862609412</v>
      </c>
      <c r="J50" s="62">
        <f t="shared" si="125"/>
        <v>0.22079731114186602</v>
      </c>
      <c r="K50" s="62">
        <f t="shared" si="125"/>
        <v>0.22079731114186602</v>
      </c>
      <c r="L50" s="62">
        <f t="shared" si="125"/>
        <v>0.22079731114186602</v>
      </c>
      <c r="M50" s="62">
        <f t="shared" si="125"/>
        <v>0.2245987382497259</v>
      </c>
      <c r="N50" s="62">
        <f t="shared" si="125"/>
        <v>0.2245987382497259</v>
      </c>
      <c r="O50" s="62">
        <f t="shared" si="125"/>
        <v>0.2245987382497259</v>
      </c>
      <c r="P50" s="61"/>
      <c r="Q50" s="62">
        <f t="shared" ref="Q50:Y50" si="126">Q21/$P$35</f>
        <v>5.7374265964091568E-3</v>
      </c>
      <c r="R50" s="62">
        <f t="shared" si="126"/>
        <v>5.7374265964091568E-3</v>
      </c>
      <c r="S50" s="62">
        <f t="shared" si="126"/>
        <v>5.7374265964091568E-3</v>
      </c>
      <c r="T50" s="62">
        <f t="shared" si="126"/>
        <v>5.7374265964091568E-3</v>
      </c>
      <c r="U50" s="62">
        <f t="shared" si="126"/>
        <v>5.7374265964091568E-3</v>
      </c>
      <c r="V50" s="62">
        <f t="shared" si="126"/>
        <v>5.7374265964091568E-3</v>
      </c>
      <c r="W50" s="62">
        <f t="shared" si="126"/>
        <v>5.7374265964091568E-3</v>
      </c>
      <c r="X50" s="62">
        <f t="shared" si="126"/>
        <v>5.7374265964091568E-3</v>
      </c>
      <c r="Y50" s="62">
        <f t="shared" si="126"/>
        <v>5.7374265964091568E-3</v>
      </c>
      <c r="Z50" s="61"/>
      <c r="AA50" s="62">
        <f t="shared" ref="AA50:AI50" si="127">AA21/$Z$35</f>
        <v>0.14671421418385944</v>
      </c>
      <c r="AB50" s="62">
        <f t="shared" si="127"/>
        <v>0.14671421418385944</v>
      </c>
      <c r="AC50" s="62">
        <f t="shared" si="127"/>
        <v>0.14671421418385944</v>
      </c>
      <c r="AD50" s="62">
        <f t="shared" si="127"/>
        <v>0.14671421418385944</v>
      </c>
      <c r="AE50" s="62">
        <f t="shared" si="127"/>
        <v>0.14671421418385944</v>
      </c>
      <c r="AF50" s="62">
        <f t="shared" si="127"/>
        <v>0.14671421418385944</v>
      </c>
      <c r="AG50" s="62">
        <f t="shared" si="127"/>
        <v>0.14671421418385944</v>
      </c>
      <c r="AH50" s="62">
        <f t="shared" si="127"/>
        <v>0.14671421418385944</v>
      </c>
      <c r="AI50" s="62">
        <f t="shared" si="127"/>
        <v>0.14671421418385944</v>
      </c>
      <c r="AJ50" s="61"/>
      <c r="AK50" s="62">
        <f t="shared" ref="AK50:AS50" si="128">AK21/$AJ$35</f>
        <v>0.14694178534698274</v>
      </c>
      <c r="AL50" s="62">
        <f t="shared" si="128"/>
        <v>0.14694178534698274</v>
      </c>
      <c r="AM50" s="62">
        <f t="shared" si="128"/>
        <v>0.14694178534698274</v>
      </c>
      <c r="AN50" s="62">
        <f t="shared" si="128"/>
        <v>0.14743417045824597</v>
      </c>
      <c r="AO50" s="62">
        <f t="shared" si="128"/>
        <v>0.14743417045824597</v>
      </c>
      <c r="AP50" s="62">
        <f t="shared" si="128"/>
        <v>0.14743417045824597</v>
      </c>
      <c r="AQ50" s="62">
        <f t="shared" si="128"/>
        <v>0.14803206666477989</v>
      </c>
      <c r="AR50" s="62">
        <f t="shared" si="128"/>
        <v>0.14803206666477989</v>
      </c>
      <c r="AS50" s="62">
        <f t="shared" si="128"/>
        <v>0.14803206666477989</v>
      </c>
      <c r="AT50" s="61"/>
      <c r="AU50" s="62">
        <f t="shared" ref="AU50:BC50" si="129">AU21/$AT$35</f>
        <v>0.14291910689530596</v>
      </c>
      <c r="AV50" s="62">
        <f t="shared" si="129"/>
        <v>0.14291910689530596</v>
      </c>
      <c r="AW50" s="62">
        <f t="shared" si="129"/>
        <v>0.14291910689530596</v>
      </c>
      <c r="AX50" s="62">
        <f t="shared" si="129"/>
        <v>0.1435792413382404</v>
      </c>
      <c r="AY50" s="62">
        <f t="shared" si="129"/>
        <v>0.1435792413382404</v>
      </c>
      <c r="AZ50" s="62">
        <f t="shared" si="129"/>
        <v>0.1435792413382404</v>
      </c>
      <c r="BA50" s="62">
        <f t="shared" si="129"/>
        <v>0.14390930855970763</v>
      </c>
      <c r="BB50" s="62">
        <f t="shared" si="129"/>
        <v>0.14390930855970763</v>
      </c>
      <c r="BC50" s="62">
        <f t="shared" si="129"/>
        <v>0.14390930855970763</v>
      </c>
      <c r="BD50" s="61"/>
      <c r="BE50" s="62">
        <f t="shared" ref="BE50:BM50" si="130">BE21/$BD$35</f>
        <v>3.4690034592611663E-2</v>
      </c>
      <c r="BF50" s="62">
        <f t="shared" si="130"/>
        <v>3.4690034592611663E-2</v>
      </c>
      <c r="BG50" s="62">
        <f t="shared" si="130"/>
        <v>3.4690034592611663E-2</v>
      </c>
      <c r="BH50" s="62">
        <f t="shared" si="130"/>
        <v>3.4724730972144048E-2</v>
      </c>
      <c r="BI50" s="62">
        <f t="shared" si="130"/>
        <v>3.4724730972144048E-2</v>
      </c>
      <c r="BJ50" s="62">
        <f t="shared" si="130"/>
        <v>3.4724730972144048E-2</v>
      </c>
      <c r="BK50" s="62">
        <f t="shared" si="130"/>
        <v>3.4768181762252888E-2</v>
      </c>
      <c r="BL50" s="62">
        <f t="shared" si="130"/>
        <v>3.4768181762252888E-2</v>
      </c>
      <c r="BM50" s="62">
        <f t="shared" si="130"/>
        <v>3.4768181762252888E-2</v>
      </c>
      <c r="BN50" s="61"/>
      <c r="BO50" s="62">
        <f t="shared" ref="BO50:BW50" si="131">BO21/$BN$35</f>
        <v>9.3810296354374795E-2</v>
      </c>
      <c r="BP50" s="62">
        <f t="shared" si="131"/>
        <v>9.3810296354374795E-2</v>
      </c>
      <c r="BQ50" s="62">
        <f t="shared" si="131"/>
        <v>9.3810296354374795E-2</v>
      </c>
      <c r="BR50" s="62">
        <f t="shared" si="131"/>
        <v>9.4163852747670182E-2</v>
      </c>
      <c r="BS50" s="62">
        <f t="shared" si="131"/>
        <v>9.4163852747670182E-2</v>
      </c>
      <c r="BT50" s="62">
        <f t="shared" si="131"/>
        <v>9.4163852747670182E-2</v>
      </c>
      <c r="BU50" s="62">
        <f t="shared" si="131"/>
        <v>9.4517409140965541E-2</v>
      </c>
      <c r="BV50" s="62">
        <f t="shared" si="131"/>
        <v>9.4517409140965541E-2</v>
      </c>
      <c r="BW50" s="62">
        <f t="shared" si="131"/>
        <v>9.4517409140965541E-2</v>
      </c>
      <c r="BX50" s="61"/>
      <c r="BY50" s="62">
        <f t="shared" ref="BY50:CG50" si="132">BY21/$BX$35</f>
        <v>9.8528266269360579E-2</v>
      </c>
      <c r="BZ50" s="62">
        <f t="shared" si="132"/>
        <v>9.8528266269360579E-2</v>
      </c>
      <c r="CA50" s="62">
        <f t="shared" si="132"/>
        <v>9.8528266269360579E-2</v>
      </c>
      <c r="CB50" s="62">
        <f t="shared" si="132"/>
        <v>9.8849201617603286E-2</v>
      </c>
      <c r="CC50" s="62">
        <f t="shared" si="132"/>
        <v>9.8849201617603286E-2</v>
      </c>
      <c r="CD50" s="62">
        <f t="shared" si="132"/>
        <v>9.8849201617603286E-2</v>
      </c>
      <c r="CE50" s="62">
        <f t="shared" si="132"/>
        <v>9.9249256444058603E-2</v>
      </c>
      <c r="CF50" s="62">
        <f t="shared" si="132"/>
        <v>9.9249256444058603E-2</v>
      </c>
      <c r="CG50" s="62">
        <f t="shared" si="132"/>
        <v>9.9249256444058603E-2</v>
      </c>
    </row>
    <row r="51" spans="2:85" x14ac:dyDescent="0.25">
      <c r="B51" s="363"/>
      <c r="C51" s="81" t="str">
        <f>LookUps!$J$9</f>
        <v>Aeration Tanks; wastewater treatment unit - US</v>
      </c>
      <c r="D51" s="110"/>
      <c r="E51" s="110"/>
      <c r="F51" s="62">
        <f>F22/F$35</f>
        <v>0.14367237629634955</v>
      </c>
      <c r="G51" s="62">
        <f t="shared" ref="G51:O51" si="133">G22/$F$35</f>
        <v>0.15117637543361431</v>
      </c>
      <c r="H51" s="62">
        <f t="shared" si="133"/>
        <v>0.15117637543361431</v>
      </c>
      <c r="I51" s="62">
        <f t="shared" si="133"/>
        <v>0.15117637543361431</v>
      </c>
      <c r="J51" s="62">
        <f t="shared" si="133"/>
        <v>0.15117637543361431</v>
      </c>
      <c r="K51" s="62">
        <f t="shared" si="133"/>
        <v>0.15117637543361431</v>
      </c>
      <c r="L51" s="62">
        <f t="shared" si="133"/>
        <v>0.15117637543361431</v>
      </c>
      <c r="M51" s="62">
        <f t="shared" si="133"/>
        <v>0.15117637543361431</v>
      </c>
      <c r="N51" s="62">
        <f t="shared" si="133"/>
        <v>0.15117637543361431</v>
      </c>
      <c r="O51" s="62">
        <f t="shared" si="133"/>
        <v>0.15117637543361431</v>
      </c>
      <c r="P51" s="62">
        <f>P22/P$35</f>
        <v>1.7212279789227472E-2</v>
      </c>
      <c r="Q51" s="62">
        <f t="shared" ref="Q51:Y51" si="134">Q22/$P$35</f>
        <v>2.2539890200178835E-2</v>
      </c>
      <c r="R51" s="62">
        <f t="shared" si="134"/>
        <v>2.2539890200178835E-2</v>
      </c>
      <c r="S51" s="62">
        <f t="shared" si="134"/>
        <v>2.2539890200178835E-2</v>
      </c>
      <c r="T51" s="62">
        <f t="shared" si="134"/>
        <v>2.2539890200178835E-2</v>
      </c>
      <c r="U51" s="62">
        <f t="shared" si="134"/>
        <v>2.2539890200178835E-2</v>
      </c>
      <c r="V51" s="62">
        <f t="shared" si="134"/>
        <v>2.2539890200178835E-2</v>
      </c>
      <c r="W51" s="62">
        <f t="shared" si="134"/>
        <v>2.2539890200178835E-2</v>
      </c>
      <c r="X51" s="62">
        <f t="shared" si="134"/>
        <v>2.2539890200178835E-2</v>
      </c>
      <c r="Y51" s="62">
        <f t="shared" si="134"/>
        <v>2.2539890200178835E-2</v>
      </c>
      <c r="Z51" s="62">
        <f>Z22/Z$35</f>
        <v>0.44262932414791484</v>
      </c>
      <c r="AA51" s="62">
        <f t="shared" ref="AA51:AI51" si="135">AA22/$Z$35</f>
        <v>0.57939681194642789</v>
      </c>
      <c r="AB51" s="62">
        <f t="shared" si="135"/>
        <v>0.57939681194642789</v>
      </c>
      <c r="AC51" s="62">
        <f t="shared" si="135"/>
        <v>0.57939681194642789</v>
      </c>
      <c r="AD51" s="62">
        <f t="shared" si="135"/>
        <v>0.57939681194642789</v>
      </c>
      <c r="AE51" s="62">
        <f t="shared" si="135"/>
        <v>0.57939681194642789</v>
      </c>
      <c r="AF51" s="62">
        <f t="shared" si="135"/>
        <v>0.57939681194642789</v>
      </c>
      <c r="AG51" s="62">
        <f t="shared" si="135"/>
        <v>0.57939681194642789</v>
      </c>
      <c r="AH51" s="62">
        <f t="shared" si="135"/>
        <v>0.57939681194642789</v>
      </c>
      <c r="AI51" s="62">
        <f t="shared" si="135"/>
        <v>0.57939681194642789</v>
      </c>
      <c r="AJ51" s="62">
        <f>AJ22/AJ$35</f>
        <v>0.44416654072452016</v>
      </c>
      <c r="AK51" s="62">
        <f t="shared" ref="AK51:AS51" si="136">AK22/$AJ$35</f>
        <v>0.5830191421007499</v>
      </c>
      <c r="AL51" s="62">
        <f t="shared" si="136"/>
        <v>0.5830191421007499</v>
      </c>
      <c r="AM51" s="62">
        <f t="shared" si="136"/>
        <v>0.5830191421007499</v>
      </c>
      <c r="AN51" s="62">
        <f t="shared" si="136"/>
        <v>0.5830191421007499</v>
      </c>
      <c r="AO51" s="62">
        <f t="shared" si="136"/>
        <v>0.5830191421007499</v>
      </c>
      <c r="AP51" s="62">
        <f t="shared" si="136"/>
        <v>0.5830191421007499</v>
      </c>
      <c r="AQ51" s="62">
        <f t="shared" si="136"/>
        <v>0.5830191421007499</v>
      </c>
      <c r="AR51" s="62">
        <f t="shared" si="136"/>
        <v>0.5830191421007499</v>
      </c>
      <c r="AS51" s="62">
        <f t="shared" si="136"/>
        <v>0.5830191421007499</v>
      </c>
      <c r="AT51" s="62">
        <f>AT22/AT$35</f>
        <v>0.43304819456499172</v>
      </c>
      <c r="AU51" s="62">
        <f t="shared" ref="AU51:BC51" si="137">AU22/$AT$35</f>
        <v>0.5683757553665516</v>
      </c>
      <c r="AV51" s="62">
        <f t="shared" si="137"/>
        <v>0.5683757553665516</v>
      </c>
      <c r="AW51" s="62">
        <f t="shared" si="137"/>
        <v>0.5683757553665516</v>
      </c>
      <c r="AX51" s="62">
        <f t="shared" si="137"/>
        <v>0.5683757553665516</v>
      </c>
      <c r="AY51" s="62">
        <f t="shared" si="137"/>
        <v>0.5683757553665516</v>
      </c>
      <c r="AZ51" s="62">
        <f t="shared" si="137"/>
        <v>0.5683757553665516</v>
      </c>
      <c r="BA51" s="62">
        <f t="shared" si="137"/>
        <v>0.5683757553665516</v>
      </c>
      <c r="BB51" s="62">
        <f t="shared" si="137"/>
        <v>0.5683757553665516</v>
      </c>
      <c r="BC51" s="62">
        <f t="shared" si="137"/>
        <v>0.5683757553665516</v>
      </c>
      <c r="BD51" s="62">
        <f>BD22/BD$35</f>
        <v>0.12047354004301129</v>
      </c>
      <c r="BE51" s="62">
        <f t="shared" ref="BE51:BM51" si="138">BE22/$BD$35</f>
        <v>0.12850510937921208</v>
      </c>
      <c r="BF51" s="62">
        <f t="shared" si="138"/>
        <v>0.12850510937921208</v>
      </c>
      <c r="BG51" s="62">
        <f t="shared" si="138"/>
        <v>0.12850510937921208</v>
      </c>
      <c r="BH51" s="62">
        <f t="shared" si="138"/>
        <v>0.12850510937921208</v>
      </c>
      <c r="BI51" s="62">
        <f t="shared" si="138"/>
        <v>0.12850510937921208</v>
      </c>
      <c r="BJ51" s="62">
        <f t="shared" si="138"/>
        <v>0.12850510937921208</v>
      </c>
      <c r="BK51" s="62">
        <f t="shared" si="138"/>
        <v>0.12850510937921208</v>
      </c>
      <c r="BL51" s="62">
        <f t="shared" si="138"/>
        <v>0.12850510937921208</v>
      </c>
      <c r="BM51" s="62">
        <f t="shared" si="138"/>
        <v>0.12850510937921208</v>
      </c>
      <c r="BN51" s="62">
        <f>BN22/BN$35</f>
        <v>0.28791275627353974</v>
      </c>
      <c r="BO51" s="62">
        <f t="shared" ref="BO51:BW51" si="139">BO22/$BN$35</f>
        <v>0.37471085082755606</v>
      </c>
      <c r="BP51" s="62">
        <f t="shared" si="139"/>
        <v>0.37471085082755606</v>
      </c>
      <c r="BQ51" s="62">
        <f t="shared" si="139"/>
        <v>0.37471085082755606</v>
      </c>
      <c r="BR51" s="62">
        <f t="shared" si="139"/>
        <v>0.37471085082755606</v>
      </c>
      <c r="BS51" s="62">
        <f t="shared" si="139"/>
        <v>0.37471085082755606</v>
      </c>
      <c r="BT51" s="62">
        <f t="shared" si="139"/>
        <v>0.37471085082755606</v>
      </c>
      <c r="BU51" s="62">
        <f t="shared" si="139"/>
        <v>0.37471085082755606</v>
      </c>
      <c r="BV51" s="62">
        <f t="shared" si="139"/>
        <v>0.37471085082755606</v>
      </c>
      <c r="BW51" s="62">
        <f t="shared" si="139"/>
        <v>0.37471085082755606</v>
      </c>
      <c r="BX51" s="62">
        <f>BX22/BX$35</f>
        <v>0.30230549702076154</v>
      </c>
      <c r="BY51" s="62">
        <f t="shared" ref="BY51:CG51" si="140">BY22/$BX$35</f>
        <v>0.39370855281559469</v>
      </c>
      <c r="BZ51" s="62">
        <f t="shared" si="140"/>
        <v>0.39370855281559469</v>
      </c>
      <c r="CA51" s="62">
        <f t="shared" si="140"/>
        <v>0.39370855281559469</v>
      </c>
      <c r="CB51" s="62">
        <f t="shared" si="140"/>
        <v>0.39370855281559469</v>
      </c>
      <c r="CC51" s="62">
        <f t="shared" si="140"/>
        <v>0.39370855281559469</v>
      </c>
      <c r="CD51" s="62">
        <f t="shared" si="140"/>
        <v>0.39370855281559469</v>
      </c>
      <c r="CE51" s="62">
        <f t="shared" si="140"/>
        <v>0.39370855281559469</v>
      </c>
      <c r="CF51" s="62">
        <f t="shared" si="140"/>
        <v>0.39370855281559469</v>
      </c>
      <c r="CG51" s="62">
        <f t="shared" si="140"/>
        <v>0.39370855281559469</v>
      </c>
    </row>
    <row r="52" spans="2:85" x14ac:dyDescent="0.25">
      <c r="B52" s="363"/>
      <c r="C52" s="81" t="str">
        <f>LookUps!$G$12</f>
        <v>Waste Receiving and Holding; wastewater treatment unit; at updated plant - US</v>
      </c>
      <c r="D52" s="110"/>
      <c r="E52" s="110"/>
      <c r="F52" s="61"/>
      <c r="G52" s="62">
        <f t="shared" ref="G52:O52" si="141">G23/$F$35</f>
        <v>9.2034078041591028E-2</v>
      </c>
      <c r="H52" s="62">
        <f t="shared" si="141"/>
        <v>9.2034078041591028E-2</v>
      </c>
      <c r="I52" s="62">
        <f t="shared" si="141"/>
        <v>9.2034078041591028E-2</v>
      </c>
      <c r="J52" s="62">
        <f t="shared" si="141"/>
        <v>0.11103222675557631</v>
      </c>
      <c r="K52" s="62">
        <f t="shared" si="141"/>
        <v>0.11103222675557631</v>
      </c>
      <c r="L52" s="62">
        <f t="shared" si="141"/>
        <v>0.11103222675557631</v>
      </c>
      <c r="M52" s="62">
        <f t="shared" si="141"/>
        <v>0.13197152973740497</v>
      </c>
      <c r="N52" s="62">
        <f t="shared" si="141"/>
        <v>0.13197152973740497</v>
      </c>
      <c r="O52" s="62">
        <f t="shared" si="141"/>
        <v>0.13197152973740497</v>
      </c>
      <c r="P52" s="61"/>
      <c r="Q52" s="62">
        <f t="shared" ref="Q52:Y52" si="142">Q23/$P$35</f>
        <v>6.5570589673247517E-3</v>
      </c>
      <c r="R52" s="62">
        <f t="shared" si="142"/>
        <v>6.5570589673247517E-3</v>
      </c>
      <c r="S52" s="62">
        <f t="shared" si="142"/>
        <v>6.5570589673247517E-3</v>
      </c>
      <c r="T52" s="62">
        <f t="shared" si="142"/>
        <v>7.7865075236981428E-3</v>
      </c>
      <c r="U52" s="62">
        <f t="shared" si="142"/>
        <v>7.7865075236981428E-3</v>
      </c>
      <c r="V52" s="62">
        <f t="shared" si="142"/>
        <v>7.7865075236981428E-3</v>
      </c>
      <c r="W52" s="62">
        <f t="shared" si="142"/>
        <v>9.0159560800715331E-3</v>
      </c>
      <c r="X52" s="62">
        <f t="shared" si="142"/>
        <v>9.0159560800715331E-3</v>
      </c>
      <c r="Y52" s="62">
        <f t="shared" si="142"/>
        <v>9.0159560800715331E-3</v>
      </c>
      <c r="Z52" s="61"/>
      <c r="AA52" s="62">
        <f t="shared" ref="AA52:AI52" si="143">AA23/$Z$35</f>
        <v>7.4600447890097996E-2</v>
      </c>
      <c r="AB52" s="62">
        <f t="shared" si="143"/>
        <v>7.4600447890097996E-2</v>
      </c>
      <c r="AC52" s="62">
        <f t="shared" si="143"/>
        <v>7.4600447890097996E-2</v>
      </c>
      <c r="AD52" s="62">
        <f t="shared" si="143"/>
        <v>7.7087129486434605E-2</v>
      </c>
      <c r="AE52" s="62">
        <f t="shared" si="143"/>
        <v>7.7087129486434605E-2</v>
      </c>
      <c r="AF52" s="62">
        <f t="shared" si="143"/>
        <v>7.7087129486434605E-2</v>
      </c>
      <c r="AG52" s="62">
        <f t="shared" si="143"/>
        <v>8.206049267910781E-2</v>
      </c>
      <c r="AH52" s="62">
        <f t="shared" si="143"/>
        <v>8.206049267910781E-2</v>
      </c>
      <c r="AI52" s="62">
        <f t="shared" si="143"/>
        <v>8.206049267910781E-2</v>
      </c>
      <c r="AJ52" s="61"/>
      <c r="AK52" s="62">
        <f t="shared" ref="AK52:AS52" si="144">AK23/$AJ$35</f>
        <v>9.8301170427194051E-2</v>
      </c>
      <c r="AL52" s="62">
        <f t="shared" si="144"/>
        <v>9.8301170427194051E-2</v>
      </c>
      <c r="AM52" s="62">
        <f t="shared" si="144"/>
        <v>9.8301170427194051E-2</v>
      </c>
      <c r="AN52" s="62">
        <f t="shared" si="144"/>
        <v>0.10800819119209766</v>
      </c>
      <c r="AO52" s="62">
        <f t="shared" si="144"/>
        <v>0.10800819119209766</v>
      </c>
      <c r="AP52" s="62">
        <f t="shared" si="144"/>
        <v>0.10800819119209766</v>
      </c>
      <c r="AQ52" s="62">
        <f t="shared" si="144"/>
        <v>0.11873515254461793</v>
      </c>
      <c r="AR52" s="62">
        <f t="shared" si="144"/>
        <v>0.11873515254461793</v>
      </c>
      <c r="AS52" s="62">
        <f t="shared" si="144"/>
        <v>0.11873515254461793</v>
      </c>
      <c r="AT52" s="61"/>
      <c r="AU52" s="62">
        <f t="shared" ref="AU52:BC52" si="145">AU23/$AT$35</f>
        <v>7.8555998709198202E-2</v>
      </c>
      <c r="AV52" s="62">
        <f t="shared" si="145"/>
        <v>7.8555998709198202E-2</v>
      </c>
      <c r="AW52" s="62">
        <f t="shared" si="145"/>
        <v>7.8555998709198202E-2</v>
      </c>
      <c r="AX52" s="62">
        <f t="shared" si="145"/>
        <v>8.350700703120649E-2</v>
      </c>
      <c r="AY52" s="62">
        <f t="shared" si="145"/>
        <v>8.350700703120649E-2</v>
      </c>
      <c r="AZ52" s="62">
        <f t="shared" si="145"/>
        <v>8.350700703120649E-2</v>
      </c>
      <c r="BA52" s="62">
        <f t="shared" si="145"/>
        <v>8.9118149796149224E-2</v>
      </c>
      <c r="BB52" s="62">
        <f t="shared" si="145"/>
        <v>8.9118149796149224E-2</v>
      </c>
      <c r="BC52" s="62">
        <f t="shared" si="145"/>
        <v>8.9118149796149224E-2</v>
      </c>
      <c r="BD52" s="61"/>
      <c r="BE52" s="62">
        <f t="shared" ref="BE52:BM52" si="146">BE23/$BD$35</f>
        <v>0.18472609473261734</v>
      </c>
      <c r="BF52" s="62">
        <f t="shared" si="146"/>
        <v>0.18472609473261734</v>
      </c>
      <c r="BG52" s="62">
        <f t="shared" si="146"/>
        <v>0.18472609473261734</v>
      </c>
      <c r="BH52" s="62">
        <f t="shared" si="146"/>
        <v>0.22488394141362109</v>
      </c>
      <c r="BI52" s="62">
        <f t="shared" si="146"/>
        <v>0.22488394141362109</v>
      </c>
      <c r="BJ52" s="62">
        <f t="shared" si="146"/>
        <v>0.22488394141362109</v>
      </c>
      <c r="BK52" s="62">
        <f t="shared" si="146"/>
        <v>0.27307335743082567</v>
      </c>
      <c r="BL52" s="62">
        <f t="shared" si="146"/>
        <v>0.27307335743082567</v>
      </c>
      <c r="BM52" s="62">
        <f t="shared" si="146"/>
        <v>0.27307335743082567</v>
      </c>
      <c r="BN52" s="61"/>
      <c r="BO52" s="62">
        <f t="shared" ref="BO52:BW52" si="147">BO23/$BN$35</f>
        <v>0.46651766095325709</v>
      </c>
      <c r="BP52" s="62">
        <f t="shared" si="147"/>
        <v>0.46651766095325709</v>
      </c>
      <c r="BQ52" s="62">
        <f t="shared" si="147"/>
        <v>0.46651766095325709</v>
      </c>
      <c r="BR52" s="62">
        <f t="shared" si="147"/>
        <v>0.57311491353181487</v>
      </c>
      <c r="BS52" s="62">
        <f t="shared" si="147"/>
        <v>0.57311491353181487</v>
      </c>
      <c r="BT52" s="62">
        <f t="shared" si="147"/>
        <v>0.57311491353181487</v>
      </c>
      <c r="BU52" s="62">
        <f t="shared" si="147"/>
        <v>0.69055456217143096</v>
      </c>
      <c r="BV52" s="62">
        <f t="shared" si="147"/>
        <v>0.69055456217143096</v>
      </c>
      <c r="BW52" s="62">
        <f t="shared" si="147"/>
        <v>0.69055456217143096</v>
      </c>
      <c r="BX52" s="61"/>
      <c r="BY52" s="62">
        <f t="shared" ref="BY52:CG52" si="148">BY23/$BX$35</f>
        <v>0.38983281274202475</v>
      </c>
      <c r="BZ52" s="62">
        <f t="shared" si="148"/>
        <v>0.38983281274202475</v>
      </c>
      <c r="CA52" s="62">
        <f t="shared" si="148"/>
        <v>0.38983281274202475</v>
      </c>
      <c r="CB52" s="62">
        <f t="shared" si="148"/>
        <v>0.47682969365160893</v>
      </c>
      <c r="CC52" s="62">
        <f t="shared" si="148"/>
        <v>0.47682969365160893</v>
      </c>
      <c r="CD52" s="62">
        <f t="shared" si="148"/>
        <v>0.47682969365160893</v>
      </c>
      <c r="CE52" s="62">
        <f t="shared" si="148"/>
        <v>0.57270690022142301</v>
      </c>
      <c r="CF52" s="62">
        <f t="shared" si="148"/>
        <v>0.57270690022142301</v>
      </c>
      <c r="CG52" s="62">
        <f t="shared" si="148"/>
        <v>0.57270690022142301</v>
      </c>
    </row>
    <row r="53" spans="2:85" x14ac:dyDescent="0.25">
      <c r="B53" s="363"/>
      <c r="C53" s="81" t="str">
        <f>LookUps!$G$11</f>
        <v>Gravity Belt Thickener; wastewater treatment unit; at updated plant - US</v>
      </c>
      <c r="D53" s="110"/>
      <c r="E53" s="110"/>
      <c r="F53" s="61"/>
      <c r="G53" s="62">
        <f t="shared" ref="G53:O53" si="149">G24/$F$35</f>
        <v>1.3075830832000286E-2</v>
      </c>
      <c r="H53" s="62">
        <f t="shared" si="149"/>
        <v>1.3075830832000286E-2</v>
      </c>
      <c r="I53" s="62">
        <f t="shared" si="149"/>
        <v>1.3075830832000286E-2</v>
      </c>
      <c r="J53" s="62">
        <f t="shared" si="149"/>
        <v>1.3075830832000286E-2</v>
      </c>
      <c r="K53" s="62">
        <f t="shared" si="149"/>
        <v>1.3075830832000286E-2</v>
      </c>
      <c r="L53" s="62">
        <f t="shared" si="149"/>
        <v>1.3075830832000286E-2</v>
      </c>
      <c r="M53" s="62">
        <f t="shared" si="149"/>
        <v>1.3075830832000286E-2</v>
      </c>
      <c r="N53" s="62">
        <f t="shared" si="149"/>
        <v>1.3075830832000286E-2</v>
      </c>
      <c r="O53" s="62">
        <f t="shared" si="149"/>
        <v>1.3075830832000286E-2</v>
      </c>
      <c r="P53" s="61"/>
      <c r="Q53" s="62">
        <f t="shared" ref="Q53:Y53" si="150">Q24/$P$35</f>
        <v>2.4830885621743557E-3</v>
      </c>
      <c r="R53" s="62">
        <f t="shared" si="150"/>
        <v>2.4830885621743557E-3</v>
      </c>
      <c r="S53" s="62">
        <f t="shared" si="150"/>
        <v>2.4830885621743557E-3</v>
      </c>
      <c r="T53" s="62">
        <f t="shared" si="150"/>
        <v>2.4830885621743557E-3</v>
      </c>
      <c r="U53" s="62">
        <f t="shared" si="150"/>
        <v>2.4830885621743557E-3</v>
      </c>
      <c r="V53" s="62">
        <f t="shared" si="150"/>
        <v>2.4830885621743557E-3</v>
      </c>
      <c r="W53" s="62">
        <f t="shared" si="150"/>
        <v>2.4830885621743557E-3</v>
      </c>
      <c r="X53" s="62">
        <f t="shared" si="150"/>
        <v>2.4830885621743557E-3</v>
      </c>
      <c r="Y53" s="62">
        <f t="shared" si="150"/>
        <v>2.4830885621743557E-3</v>
      </c>
      <c r="Z53" s="61"/>
      <c r="AA53" s="62">
        <f t="shared" ref="AA53:AI53" si="151">AA24/$Z$35</f>
        <v>2.3661720328149359E-2</v>
      </c>
      <c r="AB53" s="62">
        <f t="shared" si="151"/>
        <v>2.3661720328149359E-2</v>
      </c>
      <c r="AC53" s="62">
        <f t="shared" si="151"/>
        <v>2.3661720328149359E-2</v>
      </c>
      <c r="AD53" s="62">
        <f t="shared" si="151"/>
        <v>2.3661720328149359E-2</v>
      </c>
      <c r="AE53" s="62">
        <f t="shared" si="151"/>
        <v>2.3661720328149359E-2</v>
      </c>
      <c r="AF53" s="62">
        <f t="shared" si="151"/>
        <v>2.3661720328149359E-2</v>
      </c>
      <c r="AG53" s="62">
        <f t="shared" si="151"/>
        <v>2.3661720328149359E-2</v>
      </c>
      <c r="AH53" s="62">
        <f t="shared" si="151"/>
        <v>2.3661720328149359E-2</v>
      </c>
      <c r="AI53" s="62">
        <f t="shared" si="151"/>
        <v>2.3661720328149359E-2</v>
      </c>
      <c r="AJ53" s="61"/>
      <c r="AK53" s="62">
        <f t="shared" ref="AK53:AS53" si="152">AK24/$AJ$35</f>
        <v>2.3388292785003234E-2</v>
      </c>
      <c r="AL53" s="62">
        <f t="shared" si="152"/>
        <v>2.3388292785003234E-2</v>
      </c>
      <c r="AM53" s="62">
        <f t="shared" si="152"/>
        <v>2.3388292785003234E-2</v>
      </c>
      <c r="AN53" s="62">
        <f t="shared" si="152"/>
        <v>2.3388292785003234E-2</v>
      </c>
      <c r="AO53" s="62">
        <f t="shared" si="152"/>
        <v>2.3388292785003234E-2</v>
      </c>
      <c r="AP53" s="62">
        <f t="shared" si="152"/>
        <v>2.3388292785003234E-2</v>
      </c>
      <c r="AQ53" s="62">
        <f t="shared" si="152"/>
        <v>2.3388292785003234E-2</v>
      </c>
      <c r="AR53" s="62">
        <f t="shared" si="152"/>
        <v>2.3388292785003234E-2</v>
      </c>
      <c r="AS53" s="62">
        <f t="shared" si="152"/>
        <v>2.3388292785003234E-2</v>
      </c>
      <c r="AT53" s="61"/>
      <c r="AU53" s="62">
        <f t="shared" ref="AU53:BC53" si="153">AU24/$AT$35</f>
        <v>2.3104705502705353E-2</v>
      </c>
      <c r="AV53" s="62">
        <f t="shared" si="153"/>
        <v>2.3104705502705353E-2</v>
      </c>
      <c r="AW53" s="62">
        <f t="shared" si="153"/>
        <v>2.3104705502705353E-2</v>
      </c>
      <c r="AX53" s="62">
        <f t="shared" si="153"/>
        <v>2.3104705502705353E-2</v>
      </c>
      <c r="AY53" s="62">
        <f t="shared" si="153"/>
        <v>2.3104705502705353E-2</v>
      </c>
      <c r="AZ53" s="62">
        <f t="shared" si="153"/>
        <v>2.3104705502705353E-2</v>
      </c>
      <c r="BA53" s="62">
        <f t="shared" si="153"/>
        <v>2.3104705502705353E-2</v>
      </c>
      <c r="BB53" s="62">
        <f t="shared" si="153"/>
        <v>2.3104705502705353E-2</v>
      </c>
      <c r="BC53" s="62">
        <f t="shared" si="153"/>
        <v>2.3104705502705353E-2</v>
      </c>
      <c r="BD53" s="61"/>
      <c r="BE53" s="62">
        <f t="shared" ref="BE53:BM53" si="154">BE24/$BD$35</f>
        <v>2.4422476353212614E-2</v>
      </c>
      <c r="BF53" s="62">
        <f t="shared" si="154"/>
        <v>2.4422476353212614E-2</v>
      </c>
      <c r="BG53" s="62">
        <f t="shared" si="154"/>
        <v>2.4422476353212614E-2</v>
      </c>
      <c r="BH53" s="62">
        <f t="shared" si="154"/>
        <v>2.4422476353212614E-2</v>
      </c>
      <c r="BI53" s="62">
        <f t="shared" si="154"/>
        <v>2.4422476353212614E-2</v>
      </c>
      <c r="BJ53" s="62">
        <f t="shared" si="154"/>
        <v>2.4422476353212614E-2</v>
      </c>
      <c r="BK53" s="62">
        <f t="shared" si="154"/>
        <v>2.4422476353212614E-2</v>
      </c>
      <c r="BL53" s="62">
        <f t="shared" si="154"/>
        <v>2.4422476353212614E-2</v>
      </c>
      <c r="BM53" s="62">
        <f t="shared" si="154"/>
        <v>2.4422476353212614E-2</v>
      </c>
      <c r="BN53" s="61"/>
      <c r="BO53" s="62">
        <f t="shared" ref="BO53:BW53" si="155">BO24/$BN$35</f>
        <v>4.0776837360067431E-2</v>
      </c>
      <c r="BP53" s="62">
        <f t="shared" si="155"/>
        <v>4.0776837360067431E-2</v>
      </c>
      <c r="BQ53" s="62">
        <f t="shared" si="155"/>
        <v>4.0776837360067431E-2</v>
      </c>
      <c r="BR53" s="62">
        <f t="shared" si="155"/>
        <v>4.0776837360067431E-2</v>
      </c>
      <c r="BS53" s="62">
        <f t="shared" si="155"/>
        <v>4.0776837360067431E-2</v>
      </c>
      <c r="BT53" s="62">
        <f t="shared" si="155"/>
        <v>4.0776837360067431E-2</v>
      </c>
      <c r="BU53" s="62">
        <f t="shared" si="155"/>
        <v>4.0776837360067431E-2</v>
      </c>
      <c r="BV53" s="62">
        <f t="shared" si="155"/>
        <v>4.0776837360067431E-2</v>
      </c>
      <c r="BW53" s="62">
        <f t="shared" si="155"/>
        <v>4.0776837360067431E-2</v>
      </c>
      <c r="BX53" s="61"/>
      <c r="BY53" s="62">
        <f t="shared" ref="BY53:CG53" si="156">BY24/$BX$35</f>
        <v>3.7224042960762302E-2</v>
      </c>
      <c r="BZ53" s="62">
        <f t="shared" si="156"/>
        <v>3.7224042960762302E-2</v>
      </c>
      <c r="CA53" s="62">
        <f t="shared" si="156"/>
        <v>3.7224042960762302E-2</v>
      </c>
      <c r="CB53" s="62">
        <f t="shared" si="156"/>
        <v>3.7224042960762302E-2</v>
      </c>
      <c r="CC53" s="62">
        <f t="shared" si="156"/>
        <v>3.7224042960762302E-2</v>
      </c>
      <c r="CD53" s="62">
        <f t="shared" si="156"/>
        <v>3.7224042960762302E-2</v>
      </c>
      <c r="CE53" s="62">
        <f t="shared" si="156"/>
        <v>3.7224042960762302E-2</v>
      </c>
      <c r="CF53" s="62">
        <f t="shared" si="156"/>
        <v>3.7224042960762302E-2</v>
      </c>
      <c r="CG53" s="62">
        <f t="shared" si="156"/>
        <v>3.7224042960762302E-2</v>
      </c>
    </row>
    <row r="54" spans="2:85" x14ac:dyDescent="0.25">
      <c r="B54" s="363"/>
      <c r="C54" s="81" t="str">
        <f>LookUps!$H$11</f>
        <v>Sludge Thickener; wastewater treatment unit - US</v>
      </c>
      <c r="D54" s="110"/>
      <c r="E54" s="110"/>
      <c r="F54" s="62">
        <f>F25/F$35</f>
        <v>8.4476157952441714E-4</v>
      </c>
      <c r="G54" s="61"/>
      <c r="H54" s="61"/>
      <c r="I54" s="61"/>
      <c r="J54" s="61"/>
      <c r="K54" s="61"/>
      <c r="L54" s="61"/>
      <c r="M54" s="61"/>
      <c r="N54" s="61"/>
      <c r="O54" s="61"/>
      <c r="P54" s="62">
        <f>P25/P$35</f>
        <v>1.2465952655729451E-4</v>
      </c>
      <c r="Q54" s="61"/>
      <c r="R54" s="61"/>
      <c r="S54" s="61"/>
      <c r="T54" s="61"/>
      <c r="U54" s="61"/>
      <c r="V54" s="61"/>
      <c r="W54" s="61"/>
      <c r="X54" s="61"/>
      <c r="Y54" s="61"/>
      <c r="Z54" s="62">
        <f>Z25/Z$35</f>
        <v>2.795676651497386E-3</v>
      </c>
      <c r="AA54" s="61"/>
      <c r="AB54" s="61"/>
      <c r="AC54" s="61"/>
      <c r="AD54" s="61"/>
      <c r="AE54" s="61"/>
      <c r="AF54" s="61"/>
      <c r="AG54" s="61"/>
      <c r="AH54" s="61"/>
      <c r="AI54" s="61"/>
      <c r="AJ54" s="62">
        <f>AJ25/AJ$35</f>
        <v>2.8136292072184345E-3</v>
      </c>
      <c r="AK54" s="61"/>
      <c r="AL54" s="61"/>
      <c r="AM54" s="61"/>
      <c r="AN54" s="61"/>
      <c r="AO54" s="61"/>
      <c r="AP54" s="61"/>
      <c r="AQ54" s="61"/>
      <c r="AR54" s="61"/>
      <c r="AS54" s="61"/>
      <c r="AT54" s="62">
        <f>AT25/AT$35</f>
        <v>2.7354948106816592E-3</v>
      </c>
      <c r="AU54" s="61"/>
      <c r="AV54" s="61"/>
      <c r="AW54" s="61"/>
      <c r="AX54" s="61"/>
      <c r="AY54" s="61"/>
      <c r="AZ54" s="61"/>
      <c r="BA54" s="61"/>
      <c r="BB54" s="61"/>
      <c r="BC54" s="61"/>
      <c r="BD54" s="62">
        <f>BD25/BD$35</f>
        <v>4.5903229805654977E-3</v>
      </c>
      <c r="BE54" s="61"/>
      <c r="BF54" s="61"/>
      <c r="BG54" s="61"/>
      <c r="BH54" s="61"/>
      <c r="BI54" s="61"/>
      <c r="BJ54" s="61"/>
      <c r="BK54" s="61"/>
      <c r="BL54" s="61"/>
      <c r="BM54" s="61"/>
      <c r="BN54" s="62">
        <f>BN25/BN$35</f>
        <v>2.1802644253215244E-3</v>
      </c>
      <c r="BO54" s="61"/>
      <c r="BP54" s="61"/>
      <c r="BQ54" s="61"/>
      <c r="BR54" s="61"/>
      <c r="BS54" s="61"/>
      <c r="BT54" s="61"/>
      <c r="BU54" s="61"/>
      <c r="BV54" s="61"/>
      <c r="BW54" s="61"/>
      <c r="BX54" s="62">
        <f>BX25/BX$35</f>
        <v>2.2142310311050978E-3</v>
      </c>
      <c r="BY54" s="61"/>
      <c r="BZ54" s="61"/>
      <c r="CA54" s="61"/>
      <c r="CB54" s="61"/>
      <c r="CC54" s="61"/>
      <c r="CD54" s="61"/>
      <c r="CE54" s="61"/>
      <c r="CF54" s="61"/>
      <c r="CG54" s="61"/>
    </row>
    <row r="55" spans="2:85" x14ac:dyDescent="0.25">
      <c r="B55" s="363"/>
      <c r="C55" s="81" t="str">
        <f>LookUps!$G$14</f>
        <v>Blend Tank; wastewater treatment unit; at updated plant - US</v>
      </c>
      <c r="D55" s="110"/>
      <c r="E55" s="110"/>
      <c r="F55" s="61"/>
      <c r="G55" s="62">
        <f t="shared" ref="G55:O55" si="157">G26/$F$35</f>
        <v>4.5293599583011305E-3</v>
      </c>
      <c r="H55" s="62">
        <f t="shared" si="157"/>
        <v>4.5293599583011305E-3</v>
      </c>
      <c r="I55" s="62">
        <f t="shared" si="157"/>
        <v>4.5293599583011305E-3</v>
      </c>
      <c r="J55" s="62">
        <f t="shared" si="157"/>
        <v>4.5293599583011305E-3</v>
      </c>
      <c r="K55" s="62">
        <f t="shared" si="157"/>
        <v>4.5293599583011305E-3</v>
      </c>
      <c r="L55" s="62">
        <f t="shared" si="157"/>
        <v>4.5293599583011305E-3</v>
      </c>
      <c r="M55" s="62">
        <f t="shared" si="157"/>
        <v>4.5293599583011305E-3</v>
      </c>
      <c r="N55" s="62">
        <f t="shared" si="157"/>
        <v>4.5293599583011305E-3</v>
      </c>
      <c r="O55" s="62">
        <f t="shared" si="157"/>
        <v>4.5293599583011305E-3</v>
      </c>
      <c r="P55" s="61"/>
      <c r="Q55" s="62">
        <f t="shared" ref="Q55:Y55" si="158">Q26/$P$35</f>
        <v>6.645456318527999E-4</v>
      </c>
      <c r="R55" s="62">
        <f t="shared" si="158"/>
        <v>6.645456318527999E-4</v>
      </c>
      <c r="S55" s="62">
        <f t="shared" si="158"/>
        <v>6.645456318527999E-4</v>
      </c>
      <c r="T55" s="62">
        <f t="shared" si="158"/>
        <v>6.645456318527999E-4</v>
      </c>
      <c r="U55" s="62">
        <f t="shared" si="158"/>
        <v>6.645456318527999E-4</v>
      </c>
      <c r="V55" s="62">
        <f t="shared" si="158"/>
        <v>6.645456318527999E-4</v>
      </c>
      <c r="W55" s="62">
        <f t="shared" si="158"/>
        <v>6.645456318527999E-4</v>
      </c>
      <c r="X55" s="62">
        <f t="shared" si="158"/>
        <v>6.645456318527999E-4</v>
      </c>
      <c r="Y55" s="62">
        <f t="shared" si="158"/>
        <v>6.645456318527999E-4</v>
      </c>
      <c r="Z55" s="61"/>
      <c r="AA55" s="62">
        <f t="shared" ref="AA55:AI55" si="159">AA26/$Z$35</f>
        <v>1.7392398154729379E-2</v>
      </c>
      <c r="AB55" s="62">
        <f t="shared" si="159"/>
        <v>1.7392398154729379E-2</v>
      </c>
      <c r="AC55" s="62">
        <f t="shared" si="159"/>
        <v>1.7392398154729379E-2</v>
      </c>
      <c r="AD55" s="62">
        <f t="shared" si="159"/>
        <v>1.7392398154729379E-2</v>
      </c>
      <c r="AE55" s="62">
        <f t="shared" si="159"/>
        <v>1.7392398154729379E-2</v>
      </c>
      <c r="AF55" s="62">
        <f t="shared" si="159"/>
        <v>1.7392398154729379E-2</v>
      </c>
      <c r="AG55" s="62">
        <f t="shared" si="159"/>
        <v>1.7392398154729379E-2</v>
      </c>
      <c r="AH55" s="62">
        <f t="shared" si="159"/>
        <v>1.7392398154729379E-2</v>
      </c>
      <c r="AI55" s="62">
        <f t="shared" si="159"/>
        <v>1.7392398154729379E-2</v>
      </c>
      <c r="AJ55" s="61"/>
      <c r="AK55" s="62">
        <f t="shared" ref="AK55:AS55" si="160">AK26/$AJ$35</f>
        <v>1.7479671449844521E-2</v>
      </c>
      <c r="AL55" s="62">
        <f t="shared" si="160"/>
        <v>1.7479671449844521E-2</v>
      </c>
      <c r="AM55" s="62">
        <f t="shared" si="160"/>
        <v>1.7479671449844521E-2</v>
      </c>
      <c r="AN55" s="62">
        <f t="shared" si="160"/>
        <v>1.7479671449844521E-2</v>
      </c>
      <c r="AO55" s="62">
        <f t="shared" si="160"/>
        <v>1.7479671449844521E-2</v>
      </c>
      <c r="AP55" s="62">
        <f t="shared" si="160"/>
        <v>1.7479671449844521E-2</v>
      </c>
      <c r="AQ55" s="62">
        <f t="shared" si="160"/>
        <v>1.7479671449844521E-2</v>
      </c>
      <c r="AR55" s="62">
        <f t="shared" si="160"/>
        <v>1.7479671449844521E-2</v>
      </c>
      <c r="AS55" s="62">
        <f t="shared" si="160"/>
        <v>1.7479671449844521E-2</v>
      </c>
      <c r="AT55" s="61"/>
      <c r="AU55" s="62">
        <f t="shared" ref="AU55:BC55" si="161">AU26/$AT$35</f>
        <v>1.7163495516295403E-2</v>
      </c>
      <c r="AV55" s="62">
        <f t="shared" si="161"/>
        <v>1.7163495516295403E-2</v>
      </c>
      <c r="AW55" s="62">
        <f t="shared" si="161"/>
        <v>1.7163495516295403E-2</v>
      </c>
      <c r="AX55" s="62">
        <f t="shared" si="161"/>
        <v>1.7163495516295403E-2</v>
      </c>
      <c r="AY55" s="62">
        <f t="shared" si="161"/>
        <v>1.7163495516295403E-2</v>
      </c>
      <c r="AZ55" s="62">
        <f t="shared" si="161"/>
        <v>1.7163495516295403E-2</v>
      </c>
      <c r="BA55" s="62">
        <f t="shared" si="161"/>
        <v>1.7163495516295403E-2</v>
      </c>
      <c r="BB55" s="62">
        <f t="shared" si="161"/>
        <v>1.7163495516295403E-2</v>
      </c>
      <c r="BC55" s="62">
        <f t="shared" si="161"/>
        <v>1.7163495516295403E-2</v>
      </c>
      <c r="BD55" s="61"/>
      <c r="BE55" s="62">
        <f t="shared" ref="BE55:BM55" si="162">BE26/$BD$35</f>
        <v>5.6365152022990082E-3</v>
      </c>
      <c r="BF55" s="62">
        <f t="shared" si="162"/>
        <v>5.6365152022990082E-3</v>
      </c>
      <c r="BG55" s="62">
        <f t="shared" si="162"/>
        <v>5.6365152022990082E-3</v>
      </c>
      <c r="BH55" s="62">
        <f t="shared" si="162"/>
        <v>5.6365152022990082E-3</v>
      </c>
      <c r="BI55" s="62">
        <f t="shared" si="162"/>
        <v>5.6365152022990082E-3</v>
      </c>
      <c r="BJ55" s="62">
        <f t="shared" si="162"/>
        <v>5.6365152022990082E-3</v>
      </c>
      <c r="BK55" s="62">
        <f t="shared" si="162"/>
        <v>5.6365152022990082E-3</v>
      </c>
      <c r="BL55" s="62">
        <f t="shared" si="162"/>
        <v>5.6365152022990082E-3</v>
      </c>
      <c r="BM55" s="62">
        <f t="shared" si="162"/>
        <v>5.6365152022990082E-3</v>
      </c>
      <c r="BN55" s="61"/>
      <c r="BO55" s="62">
        <f t="shared" ref="BO55:BW55" si="163">BO26/$BN$35</f>
        <v>1.1313804585452236E-2</v>
      </c>
      <c r="BP55" s="62">
        <f t="shared" si="163"/>
        <v>1.1313804585452236E-2</v>
      </c>
      <c r="BQ55" s="62">
        <f t="shared" si="163"/>
        <v>1.1313804585452236E-2</v>
      </c>
      <c r="BR55" s="62">
        <f t="shared" si="163"/>
        <v>1.1313804585452236E-2</v>
      </c>
      <c r="BS55" s="62">
        <f t="shared" si="163"/>
        <v>1.1313804585452236E-2</v>
      </c>
      <c r="BT55" s="62">
        <f t="shared" si="163"/>
        <v>1.1313804585452236E-2</v>
      </c>
      <c r="BU55" s="62">
        <f t="shared" si="163"/>
        <v>1.1313804585452236E-2</v>
      </c>
      <c r="BV55" s="62">
        <f t="shared" si="163"/>
        <v>1.1313804585452236E-2</v>
      </c>
      <c r="BW55" s="62">
        <f t="shared" si="163"/>
        <v>1.1313804585452236E-2</v>
      </c>
      <c r="BX55" s="61"/>
      <c r="BY55" s="62">
        <f t="shared" ref="BY55:CG55" si="164">BY26/$BX$35</f>
        <v>1.1854549425715165E-2</v>
      </c>
      <c r="BZ55" s="62">
        <f t="shared" si="164"/>
        <v>1.1854549425715165E-2</v>
      </c>
      <c r="CA55" s="62">
        <f t="shared" si="164"/>
        <v>1.1854549425715165E-2</v>
      </c>
      <c r="CB55" s="62">
        <f t="shared" si="164"/>
        <v>1.1854549425715165E-2</v>
      </c>
      <c r="CC55" s="62">
        <f t="shared" si="164"/>
        <v>1.1854549425715165E-2</v>
      </c>
      <c r="CD55" s="62">
        <f t="shared" si="164"/>
        <v>1.1854549425715165E-2</v>
      </c>
      <c r="CE55" s="62">
        <f t="shared" si="164"/>
        <v>1.1854549425715165E-2</v>
      </c>
      <c r="CF55" s="62">
        <f t="shared" si="164"/>
        <v>1.1854549425715165E-2</v>
      </c>
      <c r="CG55" s="62">
        <f t="shared" si="164"/>
        <v>1.1854549425715165E-2</v>
      </c>
    </row>
    <row r="56" spans="2:85" x14ac:dyDescent="0.25">
      <c r="B56" s="363"/>
      <c r="C56" s="81" t="str">
        <f>LookUps!$G$19</f>
        <v>Anaerobic Digestion; wastewater treatment unit; at updated plant - US</v>
      </c>
      <c r="D56" s="110"/>
      <c r="E56" s="110"/>
      <c r="F56" s="61"/>
      <c r="G56" s="62">
        <f t="shared" ref="G56:O56" si="165">G27/$F$35</f>
        <v>0.15767385013570104</v>
      </c>
      <c r="H56" s="62">
        <f t="shared" si="165"/>
        <v>-5.0901378579003183E-2</v>
      </c>
      <c r="I56" s="62">
        <f t="shared" si="165"/>
        <v>-0.40358933803044733</v>
      </c>
      <c r="J56" s="62">
        <f t="shared" si="165"/>
        <v>5.721012994949403E-2</v>
      </c>
      <c r="K56" s="62">
        <f t="shared" si="165"/>
        <v>-0.33249456297068491</v>
      </c>
      <c r="L56" s="62">
        <f t="shared" si="165"/>
        <v>-0.54018009597929428</v>
      </c>
      <c r="M56" s="62">
        <f t="shared" si="165"/>
        <v>-0.15327929255711126</v>
      </c>
      <c r="N56" s="62">
        <f t="shared" si="165"/>
        <v>-0.5131387386091989</v>
      </c>
      <c r="O56" s="62">
        <f t="shared" si="165"/>
        <v>-0.79975555835145673</v>
      </c>
      <c r="P56" s="61"/>
      <c r="Q56" s="62">
        <f t="shared" ref="Q56:Y56" si="166">Q27/$P$35</f>
        <v>3.7620429137510481E-3</v>
      </c>
      <c r="R56" s="62">
        <f t="shared" si="166"/>
        <v>-8.196323709155939E-3</v>
      </c>
      <c r="S56" s="62">
        <f t="shared" si="166"/>
        <v>-4.917794225493563E-2</v>
      </c>
      <c r="T56" s="62">
        <f t="shared" si="166"/>
        <v>-3.208045197925489E-3</v>
      </c>
      <c r="U56" s="62">
        <f t="shared" si="166"/>
        <v>-2.5408603498383413E-2</v>
      </c>
      <c r="V56" s="62">
        <f t="shared" si="166"/>
        <v>-7.2947281011487855E-2</v>
      </c>
      <c r="W56" s="62">
        <f t="shared" si="166"/>
        <v>-1.6802463603769673E-2</v>
      </c>
      <c r="X56" s="62">
        <f t="shared" si="166"/>
        <v>-5.6554633593175981E-2</v>
      </c>
      <c r="Y56" s="62">
        <f t="shared" si="166"/>
        <v>-0.12130559089550789</v>
      </c>
      <c r="Z56" s="61"/>
      <c r="AA56" s="62">
        <f t="shared" ref="AA56:AI56" si="167">AA27/$Z$35</f>
        <v>8.454717427544442E-2</v>
      </c>
      <c r="AB56" s="62">
        <f t="shared" si="167"/>
        <v>-0.21634129888128423</v>
      </c>
      <c r="AC56" s="62">
        <f t="shared" si="167"/>
        <v>-1.3030211564803784</v>
      </c>
      <c r="AD56" s="62">
        <f t="shared" si="167"/>
        <v>-9.4493900660790817E-2</v>
      </c>
      <c r="AE56" s="62">
        <f t="shared" si="167"/>
        <v>-0.65648394143286248</v>
      </c>
      <c r="AF56" s="62">
        <f t="shared" si="167"/>
        <v>-1.9470716899315581</v>
      </c>
      <c r="AG56" s="62">
        <f t="shared" si="167"/>
        <v>-0.44262932414791484</v>
      </c>
      <c r="AH56" s="62">
        <f t="shared" si="167"/>
        <v>-1.4969823209946334</v>
      </c>
      <c r="AI56" s="62">
        <f t="shared" si="167"/>
        <v>-3.2550662096046095</v>
      </c>
      <c r="AJ56" s="61"/>
      <c r="AK56" s="62">
        <f t="shared" ref="AK56:AS56" si="168">AK27/$AJ$35</f>
        <v>8.7539038709583544E-2</v>
      </c>
      <c r="AL56" s="62">
        <f t="shared" si="168"/>
        <v>-0.2178452413688873</v>
      </c>
      <c r="AM56" s="62">
        <f t="shared" si="168"/>
        <v>-1.3142110323266405</v>
      </c>
      <c r="AN56" s="62">
        <f t="shared" si="168"/>
        <v>-9.4010385886185946E-2</v>
      </c>
      <c r="AO56" s="62">
        <f t="shared" si="168"/>
        <v>-0.6659860333486034</v>
      </c>
      <c r="AP56" s="62">
        <f t="shared" si="168"/>
        <v>-1.9614864314472416</v>
      </c>
      <c r="AQ56" s="62">
        <f t="shared" si="168"/>
        <v>-0.44754289577318224</v>
      </c>
      <c r="AR56" s="62">
        <f t="shared" si="168"/>
        <v>-1.5111299064668406</v>
      </c>
      <c r="AS56" s="62">
        <f t="shared" si="168"/>
        <v>-3.2752754193927989</v>
      </c>
      <c r="AT56" s="61"/>
      <c r="AU56" s="62">
        <f t="shared" ref="AU56:BC56" si="169">AU27/$AT$35</f>
        <v>8.5817477581477022E-2</v>
      </c>
      <c r="AV56" s="62">
        <f t="shared" si="169"/>
        <v>-0.21289335784635646</v>
      </c>
      <c r="AW56" s="62">
        <f t="shared" si="169"/>
        <v>-1.2829712898430816</v>
      </c>
      <c r="AX56" s="62">
        <f t="shared" si="169"/>
        <v>-9.1758687567886965E-2</v>
      </c>
      <c r="AY56" s="62">
        <f t="shared" si="169"/>
        <v>-0.65089256073335655</v>
      </c>
      <c r="AZ56" s="62">
        <f t="shared" si="169"/>
        <v>-1.9147199517313394</v>
      </c>
      <c r="BA56" s="62">
        <f t="shared" si="169"/>
        <v>-0.43733906844406562</v>
      </c>
      <c r="BB56" s="62">
        <f t="shared" si="169"/>
        <v>-1.4754004799584703</v>
      </c>
      <c r="BC56" s="62">
        <f t="shared" si="169"/>
        <v>-3.1963709726885519</v>
      </c>
      <c r="BD56" s="61"/>
      <c r="BE56" s="62">
        <f t="shared" ref="BE56:BM56" si="170">BE27/$BD$35</f>
        <v>3.8015746823345666E-2</v>
      </c>
      <c r="BF56" s="62">
        <f t="shared" si="170"/>
        <v>9.7216524716174785E-3</v>
      </c>
      <c r="BG56" s="62">
        <f t="shared" si="170"/>
        <v>-7.4824429091153721E-2</v>
      </c>
      <c r="BH56" s="62">
        <f t="shared" si="170"/>
        <v>2.1981280853474394E-2</v>
      </c>
      <c r="BI56" s="62">
        <f t="shared" si="170"/>
        <v>-3.0994950488105775E-2</v>
      </c>
      <c r="BJ56" s="62">
        <f t="shared" si="170"/>
        <v>-0.12047354004301129</v>
      </c>
      <c r="BK56" s="62">
        <f t="shared" si="170"/>
        <v>-9.8768223911928771E-3</v>
      </c>
      <c r="BL56" s="62">
        <f t="shared" si="170"/>
        <v>-9.6378832034409043E-2</v>
      </c>
      <c r="BM56" s="62">
        <f t="shared" si="170"/>
        <v>-0.21685237207742036</v>
      </c>
      <c r="BN56" s="61"/>
      <c r="BO56" s="62">
        <f t="shared" ref="BO56:BW56" si="171">BO27/$BN$35</f>
        <v>0.36422201115979308</v>
      </c>
      <c r="BP56" s="62">
        <f t="shared" si="171"/>
        <v>-0.2358810403935693</v>
      </c>
      <c r="BQ56" s="62">
        <f t="shared" si="171"/>
        <v>-1.3183528645329317</v>
      </c>
      <c r="BR56" s="62">
        <f t="shared" si="171"/>
        <v>5.6922579320556561E-2</v>
      </c>
      <c r="BS56" s="62">
        <f t="shared" si="171"/>
        <v>-1.0660903779166764</v>
      </c>
      <c r="BT56" s="62">
        <f t="shared" si="171"/>
        <v>-1.7700800830333319</v>
      </c>
      <c r="BU56" s="62">
        <f t="shared" si="171"/>
        <v>-0.58124671057760868</v>
      </c>
      <c r="BV56" s="62">
        <f t="shared" si="171"/>
        <v>-1.6796874984808126</v>
      </c>
      <c r="BW56" s="62">
        <f t="shared" si="171"/>
        <v>-2.6384735110323403</v>
      </c>
      <c r="BX56" s="61"/>
      <c r="BY56" s="62">
        <f t="shared" ref="BY56:CG56" si="172">BY27/$BX$35</f>
        <v>0.30457878907081415</v>
      </c>
      <c r="BZ56" s="62">
        <f t="shared" si="172"/>
        <v>-0.22259540861867416</v>
      </c>
      <c r="CA56" s="62">
        <f t="shared" si="172"/>
        <v>-1.2606284761031314</v>
      </c>
      <c r="CB56" s="62">
        <f t="shared" si="172"/>
        <v>3.0592493455927659E-2</v>
      </c>
      <c r="CC56" s="62">
        <f t="shared" si="172"/>
        <v>-0.95599619780761014</v>
      </c>
      <c r="CD56" s="62">
        <f t="shared" si="172"/>
        <v>-1.7241114938314663</v>
      </c>
      <c r="CE56" s="62">
        <f t="shared" si="172"/>
        <v>-0.53460919992377776</v>
      </c>
      <c r="CF56" s="62">
        <f t="shared" si="172"/>
        <v>-1.5801374450203201</v>
      </c>
      <c r="CG56" s="62">
        <f t="shared" si="172"/>
        <v>-2.6262217551820468</v>
      </c>
    </row>
    <row r="57" spans="2:85" x14ac:dyDescent="0.25">
      <c r="B57" s="363"/>
      <c r="C57" s="81" t="str">
        <f>LookUps!$H$19</f>
        <v>Aerobic Digester; wastewater treatment unit - US</v>
      </c>
      <c r="D57" s="110"/>
      <c r="E57" s="110"/>
      <c r="F57" s="62">
        <f>F28/F$35</f>
        <v>0.20048708593202366</v>
      </c>
      <c r="G57" s="61"/>
      <c r="H57" s="61"/>
      <c r="I57" s="61"/>
      <c r="J57" s="61"/>
      <c r="K57" s="61"/>
      <c r="L57" s="61"/>
      <c r="M57" s="61"/>
      <c r="N57" s="61"/>
      <c r="O57" s="61"/>
      <c r="P57" s="62">
        <f>P28/P$35</f>
        <v>1.7212279789227472E-2</v>
      </c>
      <c r="Q57" s="61"/>
      <c r="R57" s="61"/>
      <c r="S57" s="61"/>
      <c r="T57" s="61"/>
      <c r="U57" s="61"/>
      <c r="V57" s="61"/>
      <c r="W57" s="61"/>
      <c r="X57" s="61"/>
      <c r="Y57" s="61"/>
      <c r="Z57" s="62">
        <f>Z28/Z$35</f>
        <v>0.45257605053326128</v>
      </c>
      <c r="AA57" s="61"/>
      <c r="AB57" s="61"/>
      <c r="AC57" s="61"/>
      <c r="AD57" s="61"/>
      <c r="AE57" s="61"/>
      <c r="AF57" s="61"/>
      <c r="AG57" s="61"/>
      <c r="AH57" s="61"/>
      <c r="AI57" s="61"/>
      <c r="AJ57" s="62">
        <f>AJ28/AJ$35</f>
        <v>0.4546121391563186</v>
      </c>
      <c r="AK57" s="61"/>
      <c r="AL57" s="61"/>
      <c r="AM57" s="61"/>
      <c r="AN57" s="61"/>
      <c r="AO57" s="61"/>
      <c r="AP57" s="61"/>
      <c r="AQ57" s="61"/>
      <c r="AR57" s="61"/>
      <c r="AS57" s="61"/>
      <c r="AT57" s="62">
        <f>AT28/AT$35</f>
        <v>0.44328027843047552</v>
      </c>
      <c r="AU57" s="61"/>
      <c r="AV57" s="61"/>
      <c r="AW57" s="61"/>
      <c r="AX57" s="61"/>
      <c r="AY57" s="61"/>
      <c r="AZ57" s="61"/>
      <c r="BA57" s="61"/>
      <c r="BB57" s="61"/>
      <c r="BC57" s="61"/>
      <c r="BD57" s="62">
        <f>BD28/BD$35</f>
        <v>8.0315693362007542E-2</v>
      </c>
      <c r="BE57" s="61"/>
      <c r="BF57" s="61"/>
      <c r="BG57" s="61"/>
      <c r="BH57" s="61"/>
      <c r="BI57" s="61"/>
      <c r="BJ57" s="61"/>
      <c r="BK57" s="61"/>
      <c r="BL57" s="61"/>
      <c r="BM57" s="61"/>
      <c r="BN57" s="62">
        <f>BN28/BN$35</f>
        <v>0.28826631266683506</v>
      </c>
      <c r="BO57" s="61"/>
      <c r="BP57" s="61"/>
      <c r="BQ57" s="61"/>
      <c r="BR57" s="61"/>
      <c r="BS57" s="61"/>
      <c r="BT57" s="61"/>
      <c r="BU57" s="61"/>
      <c r="BV57" s="61"/>
      <c r="BW57" s="61"/>
      <c r="BX57" s="62">
        <f>BX28/BX$35</f>
        <v>0.30299082771232155</v>
      </c>
      <c r="BY57" s="61"/>
      <c r="BZ57" s="61"/>
      <c r="CA57" s="61"/>
      <c r="CB57" s="61"/>
      <c r="CC57" s="61"/>
      <c r="CD57" s="61"/>
      <c r="CE57" s="61"/>
      <c r="CF57" s="61"/>
      <c r="CG57" s="61"/>
    </row>
    <row r="58" spans="2:85" x14ac:dyDescent="0.25">
      <c r="B58" s="363"/>
      <c r="C58" s="81" t="str">
        <f>LookUps!$J$15</f>
        <v>Belt filter press; wastewater treatment unit - US</v>
      </c>
      <c r="D58" s="110"/>
      <c r="E58" s="110"/>
      <c r="F58" s="62">
        <f>F29/F$35</f>
        <v>6.6861980336826209E-3</v>
      </c>
      <c r="G58" s="62">
        <f t="shared" ref="G58:O58" si="173">G29/$F$35</f>
        <v>1.2743318295378973E-2</v>
      </c>
      <c r="H58" s="62">
        <f t="shared" si="173"/>
        <v>1.1485162751406437E-2</v>
      </c>
      <c r="I58" s="62">
        <f t="shared" si="173"/>
        <v>1.1062781961644228E-2</v>
      </c>
      <c r="J58" s="62">
        <f t="shared" si="173"/>
        <v>1.7892769200352283E-2</v>
      </c>
      <c r="K58" s="62">
        <f t="shared" si="173"/>
        <v>1.5852759854053957E-2</v>
      </c>
      <c r="L58" s="62">
        <f t="shared" si="173"/>
        <v>1.5169761130183149E-2</v>
      </c>
      <c r="M58" s="62">
        <f t="shared" si="173"/>
        <v>2.5001348023797113E-2</v>
      </c>
      <c r="N58" s="62">
        <f t="shared" si="173"/>
        <v>2.1676222657583979E-2</v>
      </c>
      <c r="O58" s="62">
        <f t="shared" si="173"/>
        <v>2.0561856318636877E-2</v>
      </c>
      <c r="P58" s="62">
        <f>P29/P$35</f>
        <v>1.0831400800031027E-3</v>
      </c>
      <c r="Q58" s="62">
        <f t="shared" ref="Q58:Y58" si="174">Q29/$P$35</f>
        <v>2.3043513310487917E-3</v>
      </c>
      <c r="R58" s="62">
        <f t="shared" si="174"/>
        <v>2.0757517646385784E-3</v>
      </c>
      <c r="S58" s="62">
        <f t="shared" si="174"/>
        <v>1.9995546412764102E-3</v>
      </c>
      <c r="T58" s="62">
        <f t="shared" si="174"/>
        <v>3.2351627349172319E-3</v>
      </c>
      <c r="U58" s="62">
        <f t="shared" si="174"/>
        <v>2.8655208301198629E-3</v>
      </c>
      <c r="V58" s="62">
        <f t="shared" si="174"/>
        <v>2.7423054958001214E-3</v>
      </c>
      <c r="W58" s="62">
        <f t="shared" si="174"/>
        <v>4.5079780400357665E-3</v>
      </c>
      <c r="X58" s="62">
        <f t="shared" si="174"/>
        <v>3.9179164998899216E-3</v>
      </c>
      <c r="Y58" s="62">
        <f t="shared" si="174"/>
        <v>3.7174754035825129E-3</v>
      </c>
      <c r="Z58" s="62">
        <f>Z29/Z$35</f>
        <v>2.1412417356999051E-2</v>
      </c>
      <c r="AA58" s="62">
        <f t="shared" ref="AA58:AI58" si="175">AA29/$Z$35</f>
        <v>2.9840179156039204E-2</v>
      </c>
      <c r="AB58" s="62">
        <f t="shared" si="175"/>
        <v>2.4866815963366005E-2</v>
      </c>
      <c r="AC58" s="62">
        <f t="shared" si="175"/>
        <v>2.4866815963366005E-2</v>
      </c>
      <c r="AD58" s="62">
        <f t="shared" si="175"/>
        <v>3.9786905541385607E-2</v>
      </c>
      <c r="AE58" s="62">
        <f t="shared" si="175"/>
        <v>3.4813542348712402E-2</v>
      </c>
      <c r="AF58" s="62">
        <f t="shared" si="175"/>
        <v>3.4813542348712402E-2</v>
      </c>
      <c r="AG58" s="62">
        <f t="shared" si="175"/>
        <v>5.7193676715741805E-2</v>
      </c>
      <c r="AH58" s="62">
        <f t="shared" si="175"/>
        <v>4.9733631926732011E-2</v>
      </c>
      <c r="AI58" s="62">
        <f t="shared" si="175"/>
        <v>4.7246950330395408E-2</v>
      </c>
      <c r="AJ58" s="62">
        <f>AJ29/AJ$35</f>
        <v>2.1453922705040564E-2</v>
      </c>
      <c r="AK58" s="62">
        <f t="shared" ref="AK58:AS58" si="176">AK29/$AJ$35</f>
        <v>2.8699017913628035E-2</v>
      </c>
      <c r="AL58" s="62">
        <f t="shared" si="176"/>
        <v>2.5850218341319366E-2</v>
      </c>
      <c r="AM58" s="62">
        <f t="shared" si="176"/>
        <v>2.4900618483883148E-2</v>
      </c>
      <c r="AN58" s="62">
        <f t="shared" si="176"/>
        <v>4.0270068028313843E-2</v>
      </c>
      <c r="AO58" s="62">
        <f t="shared" si="176"/>
        <v>3.5662750201493655E-2</v>
      </c>
      <c r="AP58" s="62">
        <f t="shared" si="176"/>
        <v>3.4150424502613748E-2</v>
      </c>
      <c r="AQ58" s="62">
        <f t="shared" si="176"/>
        <v>5.6237413779278461E-2</v>
      </c>
      <c r="AR58" s="62">
        <f t="shared" si="176"/>
        <v>4.8781296380149608E-2</v>
      </c>
      <c r="AS58" s="62">
        <f t="shared" si="176"/>
        <v>4.6284200458743249E-2</v>
      </c>
      <c r="AT58" s="62">
        <f>AT29/AT$35</f>
        <v>2.112430217390204E-2</v>
      </c>
      <c r="AU58" s="62">
        <f t="shared" ref="AU58:BC58" si="177">AU29/$AT$35</f>
        <v>2.838578104618086E-2</v>
      </c>
      <c r="AV58" s="62">
        <f t="shared" si="177"/>
        <v>2.5415176052975885E-2</v>
      </c>
      <c r="AW58" s="62">
        <f t="shared" si="177"/>
        <v>2.442497438857423E-2</v>
      </c>
      <c r="AX58" s="62">
        <f t="shared" si="177"/>
        <v>3.9608066576066317E-2</v>
      </c>
      <c r="AY58" s="62">
        <f t="shared" si="177"/>
        <v>3.5317192696992468E-2</v>
      </c>
      <c r="AZ58" s="62">
        <f t="shared" si="177"/>
        <v>3.3666856589656374E-2</v>
      </c>
      <c r="BA58" s="62">
        <f t="shared" si="177"/>
        <v>5.5451293206492849E-2</v>
      </c>
      <c r="BB58" s="62">
        <f t="shared" si="177"/>
        <v>4.8189814334214015E-2</v>
      </c>
      <c r="BC58" s="62">
        <f t="shared" si="177"/>
        <v>4.5549276562476267E-2</v>
      </c>
      <c r="BD58" s="62">
        <f>BD29/BD$35</f>
        <v>6.2674190683655859E-2</v>
      </c>
      <c r="BE58" s="62">
        <f t="shared" ref="BE58:BM58" si="178">BE29/$BD$35</f>
        <v>1.9562814694957624E-2</v>
      </c>
      <c r="BF58" s="62">
        <f t="shared" si="178"/>
        <v>1.7622146596251435E-2</v>
      </c>
      <c r="BG58" s="62">
        <f t="shared" si="178"/>
        <v>1.6975203686220467E-2</v>
      </c>
      <c r="BH58" s="62">
        <f t="shared" si="178"/>
        <v>2.7464915133458823E-2</v>
      </c>
      <c r="BI58" s="62">
        <f t="shared" si="178"/>
        <v>2.4326820362418462E-2</v>
      </c>
      <c r="BJ58" s="62">
        <f t="shared" si="178"/>
        <v>2.3280788772071678E-2</v>
      </c>
      <c r="BK58" s="62">
        <f t="shared" si="178"/>
        <v>3.8366164193484105E-2</v>
      </c>
      <c r="BL58" s="62">
        <f t="shared" si="178"/>
        <v>3.3261218407701541E-2</v>
      </c>
      <c r="BM58" s="62">
        <f t="shared" si="178"/>
        <v>3.1559569812440694E-2</v>
      </c>
      <c r="BN58" s="62">
        <f>BN29/BN$35</f>
        <v>1.8149228189162959E-2</v>
      </c>
      <c r="BO58" s="62">
        <f t="shared" ref="BO58:BW58" si="179">BO29/$BN$35</f>
        <v>3.8007312279253608E-2</v>
      </c>
      <c r="BP58" s="62">
        <f t="shared" si="179"/>
        <v>3.4236044084102857E-2</v>
      </c>
      <c r="BQ58" s="62">
        <f t="shared" si="179"/>
        <v>3.2998596707569022E-2</v>
      </c>
      <c r="BR58" s="62">
        <f t="shared" si="179"/>
        <v>5.3387015387602738E-2</v>
      </c>
      <c r="BS58" s="62">
        <f t="shared" si="179"/>
        <v>4.7317630636032011E-2</v>
      </c>
      <c r="BT58" s="62">
        <f t="shared" si="179"/>
        <v>4.5255218341808942E-2</v>
      </c>
      <c r="BU58" s="62">
        <f t="shared" si="179"/>
        <v>7.460039898532568E-2</v>
      </c>
      <c r="BV58" s="62">
        <f t="shared" si="179"/>
        <v>6.4641893907505743E-2</v>
      </c>
      <c r="BW58" s="62">
        <f t="shared" si="179"/>
        <v>6.1342034236748846E-2</v>
      </c>
      <c r="BX58" s="62">
        <f>BX29/BX$35</f>
        <v>1.8051498979804469E-2</v>
      </c>
      <c r="BY58" s="62">
        <f t="shared" ref="BY58:CG58" si="180">BY29/$BX$35</f>
        <v>3.5669512367711667E-2</v>
      </c>
      <c r="BZ58" s="62">
        <f t="shared" si="180"/>
        <v>3.2131423025105382E-2</v>
      </c>
      <c r="CA58" s="62">
        <f t="shared" si="180"/>
        <v>3.0951317005004579E-2</v>
      </c>
      <c r="CB58" s="62">
        <f t="shared" si="180"/>
        <v>5.0078172273191751E-2</v>
      </c>
      <c r="CC58" s="62">
        <f t="shared" si="180"/>
        <v>4.4355939588378121E-2</v>
      </c>
      <c r="CD58" s="62">
        <f t="shared" si="180"/>
        <v>4.244927159933895E-2</v>
      </c>
      <c r="CE58" s="62">
        <f t="shared" si="180"/>
        <v>6.9954991046126638E-2</v>
      </c>
      <c r="CF58" s="62">
        <f t="shared" si="180"/>
        <v>6.0646751588239935E-2</v>
      </c>
      <c r="CG58" s="62">
        <f t="shared" si="180"/>
        <v>5.754437655522706E-2</v>
      </c>
    </row>
    <row r="59" spans="2:85" x14ac:dyDescent="0.25">
      <c r="B59" s="363"/>
      <c r="C59" s="81" t="str">
        <f>LookUps!$G$16</f>
        <v>Biosolids composting; aerated static pile; wastewater treatment unit; at updated plant - US</v>
      </c>
      <c r="D59" s="110"/>
      <c r="E59" s="110"/>
      <c r="F59" s="61"/>
      <c r="G59" s="62">
        <f t="shared" ref="G59:O59" si="181">G30/$F$35</f>
        <v>1.5979204486223195</v>
      </c>
      <c r="H59" s="62">
        <f t="shared" si="181"/>
        <v>1.4660387871380556</v>
      </c>
      <c r="I59" s="62">
        <f t="shared" si="181"/>
        <v>1.3657548034581304</v>
      </c>
      <c r="J59" s="62">
        <f t="shared" si="181"/>
        <v>2.2134011539083702</v>
      </c>
      <c r="K59" s="62">
        <f t="shared" si="181"/>
        <v>2.0347700271402123</v>
      </c>
      <c r="L59" s="62">
        <f t="shared" si="181"/>
        <v>1.9209968186638389</v>
      </c>
      <c r="M59" s="62">
        <f t="shared" si="181"/>
        <v>3.0845660262055823</v>
      </c>
      <c r="N59" s="62">
        <f t="shared" si="181"/>
        <v>2.823220159246544</v>
      </c>
      <c r="O59" s="62">
        <f t="shared" si="181"/>
        <v>2.5919082624871934</v>
      </c>
      <c r="P59" s="61"/>
      <c r="Q59" s="62">
        <f t="shared" ref="Q59:Y59" si="182">Q30/$P$35</f>
        <v>3.0326397723876974E-2</v>
      </c>
      <c r="R59" s="62">
        <f t="shared" si="182"/>
        <v>2.7867500611130195E-2</v>
      </c>
      <c r="S59" s="62">
        <f t="shared" si="182"/>
        <v>2.5818419683841208E-2</v>
      </c>
      <c r="T59" s="62">
        <f t="shared" si="182"/>
        <v>4.2211067102153089E-2</v>
      </c>
      <c r="U59" s="62">
        <f t="shared" si="182"/>
        <v>3.8522721433032911E-2</v>
      </c>
      <c r="V59" s="62">
        <f t="shared" si="182"/>
        <v>3.6063824320286132E-2</v>
      </c>
      <c r="W59" s="62">
        <f t="shared" si="182"/>
        <v>5.8603714520464971E-2</v>
      </c>
      <c r="X59" s="62">
        <f t="shared" si="182"/>
        <v>5.36859202949714E-2</v>
      </c>
      <c r="Y59" s="62">
        <f t="shared" si="182"/>
        <v>4.917794225493563E-2</v>
      </c>
      <c r="Z59" s="61"/>
      <c r="AA59" s="62">
        <f t="shared" ref="AA59:AI59" si="183">AA30/$Z$35</f>
        <v>0.10444062704613721</v>
      </c>
      <c r="AB59" s="62">
        <f t="shared" si="183"/>
        <v>9.4493900660790817E-2</v>
      </c>
      <c r="AC59" s="62">
        <f t="shared" si="183"/>
        <v>8.9520537468117611E-2</v>
      </c>
      <c r="AD59" s="62">
        <f t="shared" si="183"/>
        <v>0.14422753258752283</v>
      </c>
      <c r="AE59" s="62">
        <f t="shared" si="183"/>
        <v>0.13179412460583981</v>
      </c>
      <c r="AF59" s="62">
        <f t="shared" si="183"/>
        <v>0.12433407981683002</v>
      </c>
      <c r="AG59" s="62">
        <f t="shared" si="183"/>
        <v>0.2014212093032646</v>
      </c>
      <c r="AH59" s="62">
        <f t="shared" si="183"/>
        <v>0.18401443812890841</v>
      </c>
      <c r="AI59" s="62">
        <f t="shared" si="183"/>
        <v>0.16909434855088884</v>
      </c>
      <c r="AJ59" s="61"/>
      <c r="AK59" s="62">
        <f t="shared" ref="AK59:AS59" si="184">AK30/$AJ$35</f>
        <v>5.4865769540759475E-3</v>
      </c>
      <c r="AL59" s="62">
        <f t="shared" si="184"/>
        <v>5.0293622079029517E-3</v>
      </c>
      <c r="AM59" s="62">
        <f t="shared" si="184"/>
        <v>4.7128289220908781E-3</v>
      </c>
      <c r="AN59" s="62">
        <f t="shared" si="184"/>
        <v>7.6319692245800036E-3</v>
      </c>
      <c r="AO59" s="62">
        <f t="shared" si="184"/>
        <v>6.9637322878656257E-3</v>
      </c>
      <c r="AP59" s="62">
        <f t="shared" si="184"/>
        <v>6.5768582718730905E-3</v>
      </c>
      <c r="AQ59" s="62">
        <f t="shared" si="184"/>
        <v>1.0656620622339821E-2</v>
      </c>
      <c r="AR59" s="62">
        <f t="shared" si="184"/>
        <v>9.6015096696329075E-3</v>
      </c>
      <c r="AS59" s="62">
        <f t="shared" si="184"/>
        <v>8.8981023678282988E-3</v>
      </c>
      <c r="AT59" s="61"/>
      <c r="AU59" s="62">
        <f t="shared" ref="AU59:BC59" si="185">AU30/$AT$35</f>
        <v>0.38518844745224495</v>
      </c>
      <c r="AV59" s="62">
        <f t="shared" si="185"/>
        <v>0.35581246474166239</v>
      </c>
      <c r="AW59" s="62">
        <f t="shared" si="185"/>
        <v>0.3317175575745554</v>
      </c>
      <c r="AX59" s="62">
        <f t="shared" si="185"/>
        <v>0.53668930210569865</v>
      </c>
      <c r="AY59" s="62">
        <f t="shared" si="185"/>
        <v>0.49477076497936173</v>
      </c>
      <c r="AZ59" s="62">
        <f t="shared" si="185"/>
        <v>0.46308431171850872</v>
      </c>
      <c r="BA59" s="62">
        <f t="shared" si="185"/>
        <v>0.75024279439498953</v>
      </c>
      <c r="BB59" s="62">
        <f t="shared" si="185"/>
        <v>0.68620975343034896</v>
      </c>
      <c r="BC59" s="62">
        <f t="shared" si="185"/>
        <v>0.62778785523065106</v>
      </c>
      <c r="BD59" s="61"/>
      <c r="BE59" s="62">
        <f t="shared" ref="BE59:BM59" si="186">BE30/$BD$35</f>
        <v>9.5358822728711557E-4</v>
      </c>
      <c r="BF59" s="62">
        <f t="shared" si="186"/>
        <v>8.58992403645343E-4</v>
      </c>
      <c r="BG59" s="62">
        <f t="shared" si="186"/>
        <v>8.2960489144418448E-4</v>
      </c>
      <c r="BH59" s="62">
        <f t="shared" si="186"/>
        <v>1.3423402778672405E-3</v>
      </c>
      <c r="BI59" s="62">
        <f t="shared" si="186"/>
        <v>1.185845149351369E-3</v>
      </c>
      <c r="BJ59" s="62">
        <f t="shared" si="186"/>
        <v>1.1335676645420382E-3</v>
      </c>
      <c r="BK59" s="62">
        <f t="shared" si="186"/>
        <v>1.8747289144559799E-3</v>
      </c>
      <c r="BL59" s="62">
        <f t="shared" si="186"/>
        <v>1.6185138210618396E-3</v>
      </c>
      <c r="BM59" s="62">
        <f t="shared" si="186"/>
        <v>1.539828536275081E-3</v>
      </c>
      <c r="BN59" s="61"/>
      <c r="BO59" s="62">
        <f t="shared" ref="BO59:BW59" si="187">BO30/$BN$35</f>
        <v>2.8873772119122894E-3</v>
      </c>
      <c r="BP59" s="62">
        <f t="shared" si="187"/>
        <v>2.5927468841661374E-3</v>
      </c>
      <c r="BQ59" s="62">
        <f t="shared" si="187"/>
        <v>2.5338208186169069E-3</v>
      </c>
      <c r="BR59" s="62">
        <f t="shared" si="187"/>
        <v>4.0658985228968969E-3</v>
      </c>
      <c r="BS59" s="62">
        <f t="shared" si="187"/>
        <v>3.5944899985030539E-3</v>
      </c>
      <c r="BT59" s="62">
        <f t="shared" si="187"/>
        <v>3.4177118018553629E-3</v>
      </c>
      <c r="BU59" s="62">
        <f t="shared" si="187"/>
        <v>5.6569022927261178E-3</v>
      </c>
      <c r="BV59" s="62">
        <f t="shared" si="187"/>
        <v>4.8908634405861228E-3</v>
      </c>
      <c r="BW59" s="62">
        <f t="shared" si="187"/>
        <v>4.6551591783892017E-3</v>
      </c>
      <c r="BX59" s="61"/>
      <c r="BY59" s="62">
        <f t="shared" ref="BY59:CG59" si="188">BY30/$BX$35</f>
        <v>2.5541104797649145E-3</v>
      </c>
      <c r="BZ59" s="62">
        <f t="shared" si="188"/>
        <v>2.3011510212541659E-3</v>
      </c>
      <c r="CA59" s="62">
        <f t="shared" si="188"/>
        <v>2.2298320549780076E-3</v>
      </c>
      <c r="CB59" s="62">
        <f t="shared" si="188"/>
        <v>3.608293950034377E-3</v>
      </c>
      <c r="CC59" s="62">
        <f t="shared" si="188"/>
        <v>3.1770370758332335E-3</v>
      </c>
      <c r="CD59" s="62">
        <f t="shared" si="188"/>
        <v>3.0321704255847873E-3</v>
      </c>
      <c r="CE59" s="62">
        <f t="shared" si="188"/>
        <v>5.0357876344056061E-3</v>
      </c>
      <c r="CF59" s="62">
        <f t="shared" si="188"/>
        <v>4.3259410481882189E-3</v>
      </c>
      <c r="CG59" s="62">
        <f t="shared" si="188"/>
        <v>4.1309282497768484E-3</v>
      </c>
    </row>
    <row r="60" spans="2:85" x14ac:dyDescent="0.25">
      <c r="B60" s="363"/>
      <c r="C60" s="81" t="str">
        <f>LookUps!$G$18</f>
        <v>Land application of compost; wastewater treatment unit; at updated plant - US</v>
      </c>
      <c r="D60" s="110"/>
      <c r="E60" s="110"/>
      <c r="F60" s="61"/>
      <c r="G60" s="62">
        <f t="shared" ref="G60:O60" si="189">G31/$F$35</f>
        <v>-0.47055916027104266</v>
      </c>
      <c r="H60" s="62">
        <f t="shared" si="189"/>
        <v>-0.42383665546309107</v>
      </c>
      <c r="I60" s="62">
        <f t="shared" si="189"/>
        <v>-0.39829609792044857</v>
      </c>
      <c r="J60" s="62">
        <f t="shared" si="189"/>
        <v>-0.64611679278178191</v>
      </c>
      <c r="K60" s="62">
        <f t="shared" si="189"/>
        <v>-0.58492549921814607</v>
      </c>
      <c r="L60" s="62">
        <f t="shared" si="189"/>
        <v>-0.5637435519528371</v>
      </c>
      <c r="M60" s="62">
        <f t="shared" si="189"/>
        <v>-0.89577080000718934</v>
      </c>
      <c r="N60" s="62">
        <f t="shared" si="189"/>
        <v>-0.80833797652641226</v>
      </c>
      <c r="O60" s="62">
        <f t="shared" si="189"/>
        <v>-0.75468662940129771</v>
      </c>
      <c r="P60" s="61"/>
      <c r="Q60" s="62">
        <f t="shared" ref="Q60:Y60" si="190">Q31/$P$35</f>
        <v>8.9749744615257532E-2</v>
      </c>
      <c r="R60" s="62">
        <f t="shared" si="190"/>
        <v>8.0733788535185994E-2</v>
      </c>
      <c r="S60" s="62">
        <f t="shared" si="190"/>
        <v>7.7045442866065822E-2</v>
      </c>
      <c r="T60" s="62">
        <f t="shared" si="190"/>
        <v>0.12458412037917029</v>
      </c>
      <c r="U60" s="62">
        <f t="shared" si="190"/>
        <v>0.11147000244452078</v>
      </c>
      <c r="V60" s="62">
        <f t="shared" si="190"/>
        <v>0.1073718405899428</v>
      </c>
      <c r="W60" s="62">
        <f t="shared" si="190"/>
        <v>0.17335224644864813</v>
      </c>
      <c r="X60" s="62">
        <f t="shared" si="190"/>
        <v>0.15327125336121605</v>
      </c>
      <c r="Y60" s="62">
        <f t="shared" si="190"/>
        <v>0.14425529728114453</v>
      </c>
      <c r="Z60" s="61"/>
      <c r="AA60" s="62">
        <f t="shared" ref="AA60:AI60" si="191">AA31/$Z$35</f>
        <v>9.4539904270323043E-3</v>
      </c>
      <c r="AB60" s="62">
        <f t="shared" si="191"/>
        <v>8.5108666979897222E-3</v>
      </c>
      <c r="AC60" s="62">
        <f t="shared" si="191"/>
        <v>8.1325180931071071E-3</v>
      </c>
      <c r="AD60" s="62">
        <f t="shared" si="191"/>
        <v>1.3142460372062419E-2</v>
      </c>
      <c r="AE60" s="62">
        <f t="shared" si="191"/>
        <v>1.1733456845946174E-2</v>
      </c>
      <c r="AF60" s="62">
        <f t="shared" si="191"/>
        <v>1.1274042421022987E-2</v>
      </c>
      <c r="AG60" s="62">
        <f t="shared" si="191"/>
        <v>1.8303617758890962E-2</v>
      </c>
      <c r="AH60" s="62">
        <f t="shared" si="191"/>
        <v>1.6109494252363361E-2</v>
      </c>
      <c r="AI60" s="62">
        <f t="shared" si="191"/>
        <v>1.5213095270515942E-2</v>
      </c>
      <c r="AJ60" s="61"/>
      <c r="AK60" s="62">
        <f t="shared" ref="AK60:AS60" si="192">AK31/$AJ$35</f>
        <v>-1.0480768796888669E-2</v>
      </c>
      <c r="AL60" s="62">
        <f t="shared" si="192"/>
        <v>-9.4608282092719861E-3</v>
      </c>
      <c r="AM60" s="62">
        <f t="shared" si="192"/>
        <v>-9.003613463098992E-3</v>
      </c>
      <c r="AN60" s="62">
        <f t="shared" si="192"/>
        <v>-1.4560531147355397E-2</v>
      </c>
      <c r="AO60" s="62">
        <f t="shared" si="192"/>
        <v>-1.3048205448475491E-2</v>
      </c>
      <c r="AP60" s="62">
        <f t="shared" si="192"/>
        <v>-1.2520649972122032E-2</v>
      </c>
      <c r="AQ60" s="62">
        <f t="shared" si="192"/>
        <v>-2.025813029197273E-2</v>
      </c>
      <c r="AR60" s="62">
        <f t="shared" si="192"/>
        <v>-1.7936886196017521E-2</v>
      </c>
      <c r="AS60" s="62">
        <f t="shared" si="192"/>
        <v>-1.6881775243310606E-2</v>
      </c>
      <c r="AT60" s="61"/>
      <c r="AU60" s="62">
        <f t="shared" ref="AU60:BC60" si="193">AU31/$AT$35</f>
        <v>8.6147544802944245E-2</v>
      </c>
      <c r="AV60" s="62">
        <f t="shared" si="193"/>
        <v>7.7565797044796547E-2</v>
      </c>
      <c r="AW60" s="62">
        <f t="shared" si="193"/>
        <v>7.3935057608657123E-2</v>
      </c>
      <c r="AX60" s="62">
        <f t="shared" si="193"/>
        <v>0.1194843341711334</v>
      </c>
      <c r="AY60" s="62">
        <f t="shared" si="193"/>
        <v>0.10694177975537905</v>
      </c>
      <c r="AZ60" s="62">
        <f t="shared" si="193"/>
        <v>0.10265090587630521</v>
      </c>
      <c r="BA60" s="62">
        <f t="shared" si="193"/>
        <v>0.16635387961947853</v>
      </c>
      <c r="BB60" s="62">
        <f t="shared" si="193"/>
        <v>0.14687991355291261</v>
      </c>
      <c r="BC60" s="62">
        <f t="shared" si="193"/>
        <v>0.13862823301623212</v>
      </c>
      <c r="BD60" s="61"/>
      <c r="BE60" s="62">
        <f t="shared" ref="BE60:BM60" si="194">BE31/$BD$35</f>
        <v>-1.0200093056974957</v>
      </c>
      <c r="BF60" s="62">
        <f t="shared" si="194"/>
        <v>-0.9236304736630867</v>
      </c>
      <c r="BG60" s="62">
        <f t="shared" si="194"/>
        <v>-0.8754410576458822</v>
      </c>
      <c r="BH60" s="62">
        <f t="shared" si="194"/>
        <v>-1.4215877725075334</v>
      </c>
      <c r="BI60" s="62">
        <f t="shared" si="194"/>
        <v>-1.2689879551197192</v>
      </c>
      <c r="BJ60" s="62">
        <f t="shared" si="194"/>
        <v>-1.2207985391025147</v>
      </c>
      <c r="BK60" s="62">
        <f t="shared" si="194"/>
        <v>-1.9757660567053854</v>
      </c>
      <c r="BL60" s="62">
        <f t="shared" si="194"/>
        <v>-1.7508821152917644</v>
      </c>
      <c r="BM60" s="62">
        <f t="shared" si="194"/>
        <v>-1.6464717139211547</v>
      </c>
      <c r="BN60" s="61"/>
      <c r="BO60" s="62">
        <f t="shared" ref="BO60:BW60" si="195">BO31/$BN$35</f>
        <v>-3.6475234574973613E-2</v>
      </c>
      <c r="BP60" s="62">
        <f t="shared" si="195"/>
        <v>-3.2821818510921329E-2</v>
      </c>
      <c r="BQ60" s="62">
        <f t="shared" si="195"/>
        <v>-3.128974080664134E-2</v>
      </c>
      <c r="BR60" s="62">
        <f t="shared" si="195"/>
        <v>-5.0617490306788915E-2</v>
      </c>
      <c r="BS60" s="62">
        <f t="shared" si="195"/>
        <v>-4.5314144407358176E-2</v>
      </c>
      <c r="BT60" s="62">
        <f t="shared" si="195"/>
        <v>-4.3487436375332034E-2</v>
      </c>
      <c r="BU60" s="62">
        <f t="shared" si="195"/>
        <v>-7.0475574396879556E-2</v>
      </c>
      <c r="BV60" s="62">
        <f t="shared" si="195"/>
        <v>-6.2225925219987294E-2</v>
      </c>
      <c r="BW60" s="62">
        <f t="shared" si="195"/>
        <v>-5.8631435221484243E-2</v>
      </c>
      <c r="BX60" s="61"/>
      <c r="BY60" s="62">
        <f t="shared" ref="BY60:CG60" si="196">BY31/$BX$35</f>
        <v>-5.1115640360740233E-2</v>
      </c>
      <c r="BZ60" s="62">
        <f t="shared" si="196"/>
        <v>-4.6034164013563972E-2</v>
      </c>
      <c r="CA60" s="62">
        <f t="shared" si="196"/>
        <v>-4.3834419647483712E-2</v>
      </c>
      <c r="CB60" s="62">
        <f t="shared" si="196"/>
        <v>-7.0961257085929305E-2</v>
      </c>
      <c r="CC60" s="62">
        <f t="shared" si="196"/>
        <v>-6.3515111263159174E-2</v>
      </c>
      <c r="CD60" s="62">
        <f t="shared" si="196"/>
        <v>-6.1020061802341694E-2</v>
      </c>
      <c r="CE60" s="62">
        <f t="shared" si="196"/>
        <v>-9.8761167268606162E-2</v>
      </c>
      <c r="CF60" s="62">
        <f t="shared" si="196"/>
        <v>-8.729775779856179E-2</v>
      </c>
      <c r="CG60" s="62">
        <f t="shared" si="196"/>
        <v>-8.2218510169081646E-2</v>
      </c>
    </row>
    <row r="61" spans="2:85" x14ac:dyDescent="0.25">
      <c r="B61" s="363"/>
      <c r="C61" s="81" t="str">
        <f>LookUps!$H$18</f>
        <v>Sludge Disposal; wastewater treatment unit - US</v>
      </c>
      <c r="D61" s="110"/>
      <c r="E61" s="110"/>
      <c r="F61" s="62">
        <f>F32/F$35</f>
        <v>0.41453529126300842</v>
      </c>
      <c r="G61" s="61"/>
      <c r="H61" s="61"/>
      <c r="I61" s="61"/>
      <c r="J61" s="61"/>
      <c r="K61" s="61"/>
      <c r="L61" s="61"/>
      <c r="M61" s="61"/>
      <c r="N61" s="61"/>
      <c r="O61" s="61"/>
      <c r="P61" s="62">
        <f>P32/P$35</f>
        <v>-3.832859150598156E-3</v>
      </c>
      <c r="Q61" s="61"/>
      <c r="R61" s="61"/>
      <c r="S61" s="61"/>
      <c r="T61" s="61"/>
      <c r="U61" s="61"/>
      <c r="V61" s="61"/>
      <c r="W61" s="61"/>
      <c r="X61" s="61"/>
      <c r="Y61" s="61"/>
      <c r="Z61" s="62">
        <f>Z32/Z$35</f>
        <v>-0.12682076141316662</v>
      </c>
      <c r="AA61" s="61"/>
      <c r="AB61" s="61"/>
      <c r="AC61" s="61"/>
      <c r="AD61" s="61"/>
      <c r="AE61" s="61"/>
      <c r="AF61" s="61"/>
      <c r="AG61" s="61"/>
      <c r="AH61" s="61"/>
      <c r="AI61" s="61"/>
      <c r="AJ61" s="62">
        <f>AJ32/AJ$35</f>
        <v>-0.12263906306963351</v>
      </c>
      <c r="AK61" s="61"/>
      <c r="AL61" s="61"/>
      <c r="AM61" s="61"/>
      <c r="AN61" s="61"/>
      <c r="AO61" s="61"/>
      <c r="AP61" s="61"/>
      <c r="AQ61" s="61"/>
      <c r="AR61" s="61"/>
      <c r="AS61" s="61"/>
      <c r="AT61" s="62">
        <f>AT32/AT$35</f>
        <v>-0.1227850063858056</v>
      </c>
      <c r="AU61" s="61"/>
      <c r="AV61" s="61"/>
      <c r="AW61" s="61"/>
      <c r="AX61" s="61"/>
      <c r="AY61" s="61"/>
      <c r="AZ61" s="61"/>
      <c r="BA61" s="61"/>
      <c r="BB61" s="61"/>
      <c r="BC61" s="61"/>
      <c r="BD61" s="62">
        <f>BD32/BD$35</f>
        <v>1.1358807565108639E-2</v>
      </c>
      <c r="BE61" s="61"/>
      <c r="BF61" s="61"/>
      <c r="BG61" s="61"/>
      <c r="BH61" s="61"/>
      <c r="BI61" s="61"/>
      <c r="BJ61" s="61"/>
      <c r="BK61" s="61"/>
      <c r="BL61" s="61"/>
      <c r="BM61" s="61"/>
      <c r="BN61" s="62">
        <f>BN32/BN$35</f>
        <v>5.9515326204722697E-2</v>
      </c>
      <c r="BO61" s="61"/>
      <c r="BP61" s="61"/>
      <c r="BQ61" s="61"/>
      <c r="BR61" s="61"/>
      <c r="BS61" s="61"/>
      <c r="BT61" s="61"/>
      <c r="BU61" s="61"/>
      <c r="BV61" s="61"/>
      <c r="BW61" s="61"/>
      <c r="BX61" s="62">
        <f>BX32/BX$35</f>
        <v>2.760935481965773E-2</v>
      </c>
      <c r="BY61" s="61"/>
      <c r="BZ61" s="61"/>
      <c r="CA61" s="61"/>
      <c r="CB61" s="61"/>
      <c r="CC61" s="61"/>
      <c r="CD61" s="61"/>
      <c r="CE61" s="61"/>
      <c r="CF61" s="61"/>
      <c r="CG61" s="61"/>
    </row>
    <row r="62" spans="2:85" x14ac:dyDescent="0.25">
      <c r="B62" s="363"/>
      <c r="C62" s="81" t="str">
        <f>LookUps!$G$20</f>
        <v>Effluent release; wastewater treatment unit; at surface water; m3 wastewater - US</v>
      </c>
      <c r="D62" s="110"/>
      <c r="E62" s="110"/>
      <c r="F62" s="62">
        <f>F33/F$35</f>
        <v>6.6592375577403523E-2</v>
      </c>
      <c r="G62" s="62">
        <f t="shared" ref="G62:O62" si="197">G33/$F$35</f>
        <v>4.7306648453367357E-2</v>
      </c>
      <c r="H62" s="62">
        <f t="shared" si="197"/>
        <v>4.7306648453367357E-2</v>
      </c>
      <c r="I62" s="62">
        <f t="shared" si="197"/>
        <v>4.7306648453367357E-2</v>
      </c>
      <c r="J62" s="62">
        <f t="shared" si="197"/>
        <v>4.7306648453367357E-2</v>
      </c>
      <c r="K62" s="62">
        <f t="shared" si="197"/>
        <v>4.7306648453367357E-2</v>
      </c>
      <c r="L62" s="62">
        <f t="shared" si="197"/>
        <v>4.7306648453367357E-2</v>
      </c>
      <c r="M62" s="62">
        <f t="shared" si="197"/>
        <v>4.7306648453367357E-2</v>
      </c>
      <c r="N62" s="62">
        <f t="shared" si="197"/>
        <v>4.7306648453367357E-2</v>
      </c>
      <c r="O62" s="62">
        <f t="shared" si="197"/>
        <v>4.7306648453367357E-2</v>
      </c>
      <c r="P62" s="62">
        <f>P33/P$35</f>
        <v>0.94667538840751098</v>
      </c>
      <c r="Q62" s="62">
        <f t="shared" ref="Q62:Y62" si="198">Q33/$P$35</f>
        <v>0.47579659131650232</v>
      </c>
      <c r="R62" s="62">
        <f t="shared" si="198"/>
        <v>0.47579659131650232</v>
      </c>
      <c r="S62" s="62">
        <f t="shared" si="198"/>
        <v>0.47579659131650232</v>
      </c>
      <c r="T62" s="62">
        <f t="shared" si="198"/>
        <v>0.47579659131650232</v>
      </c>
      <c r="U62" s="62">
        <f t="shared" si="198"/>
        <v>0.47579659131650232</v>
      </c>
      <c r="V62" s="62">
        <f t="shared" si="198"/>
        <v>0.47579659131650232</v>
      </c>
      <c r="W62" s="62">
        <f t="shared" si="198"/>
        <v>0.47579659131650232</v>
      </c>
      <c r="X62" s="62">
        <f t="shared" si="198"/>
        <v>0.47579659131650232</v>
      </c>
      <c r="Y62" s="62">
        <f t="shared" si="198"/>
        <v>0.47579659131650232</v>
      </c>
      <c r="Z62" s="62">
        <f>Z33/Z$35</f>
        <v>1.5603355080245009E-4</v>
      </c>
      <c r="AA62" s="62">
        <f t="shared" ref="AA62:AI62" si="199">AA33/$Z$35</f>
        <v>1.2426967476348489E-2</v>
      </c>
      <c r="AB62" s="62">
        <f t="shared" si="199"/>
        <v>1.2426967476348489E-2</v>
      </c>
      <c r="AC62" s="62">
        <f t="shared" si="199"/>
        <v>1.2426967476348489E-2</v>
      </c>
      <c r="AD62" s="62">
        <f t="shared" si="199"/>
        <v>1.2426967476348489E-2</v>
      </c>
      <c r="AE62" s="62">
        <f t="shared" si="199"/>
        <v>1.2426967476348489E-2</v>
      </c>
      <c r="AF62" s="62">
        <f t="shared" si="199"/>
        <v>1.2426967476348489E-2</v>
      </c>
      <c r="AG62" s="62">
        <f t="shared" si="199"/>
        <v>1.2426967476348489E-2</v>
      </c>
      <c r="AH62" s="62">
        <f t="shared" si="199"/>
        <v>1.2426967476348489E-2</v>
      </c>
      <c r="AI62" s="62">
        <f t="shared" si="199"/>
        <v>1.2426967476348489E-2</v>
      </c>
      <c r="AJ62" s="62">
        <f>AJ33/AJ$35</f>
        <v>1.4169084983901134E-4</v>
      </c>
      <c r="AK62" s="62">
        <f t="shared" ref="AK62:AS62" si="200">AK33/$AJ$35</f>
        <v>1.1922753765588115E-2</v>
      </c>
      <c r="AL62" s="62">
        <f t="shared" si="200"/>
        <v>1.1922753765588115E-2</v>
      </c>
      <c r="AM62" s="62">
        <f t="shared" si="200"/>
        <v>1.1922753765588115E-2</v>
      </c>
      <c r="AN62" s="62">
        <f t="shared" si="200"/>
        <v>1.1922753765588115E-2</v>
      </c>
      <c r="AO62" s="62">
        <f t="shared" si="200"/>
        <v>1.1922753765588115E-2</v>
      </c>
      <c r="AP62" s="62">
        <f t="shared" si="200"/>
        <v>1.1922753765588115E-2</v>
      </c>
      <c r="AQ62" s="62">
        <f t="shared" si="200"/>
        <v>1.1922753765588115E-2</v>
      </c>
      <c r="AR62" s="62">
        <f t="shared" si="200"/>
        <v>1.1922753765588115E-2</v>
      </c>
      <c r="AS62" s="62">
        <f t="shared" si="200"/>
        <v>1.1922753765588115E-2</v>
      </c>
      <c r="AT62" s="62">
        <f>AT33/AT$35</f>
        <v>1.314291368488106E-4</v>
      </c>
      <c r="AU62" s="62">
        <f t="shared" ref="AU62:BC62" si="201">AU33/$AT$35</f>
        <v>1.1552352751352676E-2</v>
      </c>
      <c r="AV62" s="62">
        <f t="shared" si="201"/>
        <v>1.1552352751352676E-2</v>
      </c>
      <c r="AW62" s="62">
        <f t="shared" si="201"/>
        <v>1.1552352751352676E-2</v>
      </c>
      <c r="AX62" s="62">
        <f t="shared" si="201"/>
        <v>1.1552352751352676E-2</v>
      </c>
      <c r="AY62" s="62">
        <f t="shared" si="201"/>
        <v>1.1552352751352676E-2</v>
      </c>
      <c r="AZ62" s="62">
        <f t="shared" si="201"/>
        <v>1.1552352751352676E-2</v>
      </c>
      <c r="BA62" s="62">
        <f t="shared" si="201"/>
        <v>1.1552352751352676E-2</v>
      </c>
      <c r="BB62" s="62">
        <f t="shared" si="201"/>
        <v>1.1552352751352676E-2</v>
      </c>
      <c r="BC62" s="62">
        <f t="shared" si="201"/>
        <v>1.1552352751352676E-2</v>
      </c>
      <c r="BD62" s="62">
        <f>BD33/BD$35</f>
        <v>1.7223459494402431E-3</v>
      </c>
      <c r="BE62" s="62">
        <f t="shared" ref="BE62:BM62" si="202">BE33/$BD$35</f>
        <v>5.5286431945444962E-2</v>
      </c>
      <c r="BF62" s="62">
        <f t="shared" si="202"/>
        <v>5.5286431945444962E-2</v>
      </c>
      <c r="BG62" s="62">
        <f t="shared" si="202"/>
        <v>5.5286431945444962E-2</v>
      </c>
      <c r="BH62" s="62">
        <f t="shared" si="202"/>
        <v>5.5286431945444962E-2</v>
      </c>
      <c r="BI62" s="62">
        <f t="shared" si="202"/>
        <v>5.5286431945444962E-2</v>
      </c>
      <c r="BJ62" s="62">
        <f t="shared" si="202"/>
        <v>5.5286431945444962E-2</v>
      </c>
      <c r="BK62" s="62">
        <f t="shared" si="202"/>
        <v>5.5286431945444962E-2</v>
      </c>
      <c r="BL62" s="62">
        <f t="shared" si="202"/>
        <v>5.5286431945444962E-2</v>
      </c>
      <c r="BM62" s="62">
        <f t="shared" si="202"/>
        <v>5.5286431945444962E-2</v>
      </c>
      <c r="BN62" s="62">
        <f>BN33/BN$35</f>
        <v>3.7822402285560118E-4</v>
      </c>
      <c r="BO62" s="62">
        <f t="shared" ref="BO62:BW62" si="203">BO33/$BN$35</f>
        <v>1.3906551469618373E-2</v>
      </c>
      <c r="BP62" s="62">
        <f t="shared" si="203"/>
        <v>1.3906551469618373E-2</v>
      </c>
      <c r="BQ62" s="62">
        <f t="shared" si="203"/>
        <v>1.3906551469618373E-2</v>
      </c>
      <c r="BR62" s="62">
        <f t="shared" si="203"/>
        <v>1.3906551469618373E-2</v>
      </c>
      <c r="BS62" s="62">
        <f t="shared" si="203"/>
        <v>1.3906551469618373E-2</v>
      </c>
      <c r="BT62" s="62">
        <f t="shared" si="203"/>
        <v>1.3906551469618373E-2</v>
      </c>
      <c r="BU62" s="62">
        <f t="shared" si="203"/>
        <v>1.3906551469618373E-2</v>
      </c>
      <c r="BV62" s="62">
        <f t="shared" si="203"/>
        <v>1.3906551469618373E-2</v>
      </c>
      <c r="BW62" s="62">
        <f t="shared" si="203"/>
        <v>1.3906551469618373E-2</v>
      </c>
      <c r="BX62" s="62">
        <f>BX33/BX$35</f>
        <v>3.8668252027854508E-4</v>
      </c>
      <c r="BY62" s="62">
        <f t="shared" ref="BY62:CG62" si="204">BY33/$BX$35</f>
        <v>1.4844374215073482E-2</v>
      </c>
      <c r="BZ62" s="62">
        <f t="shared" si="204"/>
        <v>1.4844374215073482E-2</v>
      </c>
      <c r="CA62" s="62">
        <f t="shared" si="204"/>
        <v>1.4844374215073482E-2</v>
      </c>
      <c r="CB62" s="62">
        <f t="shared" si="204"/>
        <v>1.4844374215073482E-2</v>
      </c>
      <c r="CC62" s="62">
        <f t="shared" si="204"/>
        <v>1.4844374215073482E-2</v>
      </c>
      <c r="CD62" s="62">
        <f t="shared" si="204"/>
        <v>1.4844374215073482E-2</v>
      </c>
      <c r="CE62" s="62">
        <f t="shared" si="204"/>
        <v>1.4844374215073482E-2</v>
      </c>
      <c r="CF62" s="62">
        <f t="shared" si="204"/>
        <v>1.4844374215073482E-2</v>
      </c>
      <c r="CG62" s="62">
        <f t="shared" si="204"/>
        <v>1.4844374215073482E-2</v>
      </c>
    </row>
    <row r="63" spans="2:85" x14ac:dyDescent="0.25">
      <c r="B63" s="364"/>
      <c r="C63" s="81" t="str">
        <f>LookUps!$J$10</f>
        <v>Control Building; at wastewater treatment plant - US</v>
      </c>
      <c r="D63" s="110"/>
      <c r="E63" s="110"/>
      <c r="F63" s="62">
        <f>F34/F$35</f>
        <v>4.7243740676168731E-2</v>
      </c>
      <c r="G63" s="62">
        <f t="shared" ref="G63:O63" si="205">G34/$F$35</f>
        <v>7.4590650106943221E-3</v>
      </c>
      <c r="H63" s="62">
        <f t="shared" si="205"/>
        <v>7.4590650106943221E-3</v>
      </c>
      <c r="I63" s="62">
        <f t="shared" si="205"/>
        <v>7.4590650106943221E-3</v>
      </c>
      <c r="J63" s="62">
        <f t="shared" si="205"/>
        <v>7.4590650106943221E-3</v>
      </c>
      <c r="K63" s="62">
        <f t="shared" si="205"/>
        <v>7.4590650106943221E-3</v>
      </c>
      <c r="L63" s="62">
        <f t="shared" si="205"/>
        <v>7.4590650106943221E-3</v>
      </c>
      <c r="M63" s="62">
        <f t="shared" si="205"/>
        <v>7.4590650106943221E-3</v>
      </c>
      <c r="N63" s="62">
        <f t="shared" si="205"/>
        <v>7.4590650106943221E-3</v>
      </c>
      <c r="O63" s="62">
        <f t="shared" si="205"/>
        <v>7.4590650106943221E-3</v>
      </c>
      <c r="P63" s="62">
        <f>P34/P$35</f>
        <v>1.3678352858787798E-3</v>
      </c>
      <c r="Q63" s="62">
        <f t="shared" ref="Q63:Y63" si="206">Q34/$P$35</f>
        <v>1.5111807912282079E-3</v>
      </c>
      <c r="R63" s="62">
        <f t="shared" si="206"/>
        <v>1.5111807912282079E-3</v>
      </c>
      <c r="S63" s="62">
        <f t="shared" si="206"/>
        <v>1.5111807912282079E-3</v>
      </c>
      <c r="T63" s="62">
        <f t="shared" si="206"/>
        <v>1.5111807912282079E-3</v>
      </c>
      <c r="U63" s="62">
        <f t="shared" si="206"/>
        <v>1.5111807912282079E-3</v>
      </c>
      <c r="V63" s="62">
        <f t="shared" si="206"/>
        <v>1.5111807912282079E-3</v>
      </c>
      <c r="W63" s="62">
        <f t="shared" si="206"/>
        <v>1.5111807912282079E-3</v>
      </c>
      <c r="X63" s="62">
        <f t="shared" si="206"/>
        <v>1.5111807912282079E-3</v>
      </c>
      <c r="Y63" s="62">
        <f t="shared" si="206"/>
        <v>1.5111807912282079E-3</v>
      </c>
      <c r="Z63" s="62">
        <f>Z34/Z$35</f>
        <v>3.8448573506237251E-3</v>
      </c>
      <c r="AA63" s="62">
        <f t="shared" ref="AA63:AI63" si="207">AA34/$Z$35</f>
        <v>2.1935764365764053E-3</v>
      </c>
      <c r="AB63" s="62">
        <f t="shared" si="207"/>
        <v>2.1935764365764053E-3</v>
      </c>
      <c r="AC63" s="62">
        <f t="shared" si="207"/>
        <v>2.1935764365764053E-3</v>
      </c>
      <c r="AD63" s="62">
        <f t="shared" si="207"/>
        <v>2.1935764365764053E-3</v>
      </c>
      <c r="AE63" s="62">
        <f t="shared" si="207"/>
        <v>2.1935764365764053E-3</v>
      </c>
      <c r="AF63" s="62">
        <f t="shared" si="207"/>
        <v>2.1935764365764053E-3</v>
      </c>
      <c r="AG63" s="62">
        <f t="shared" si="207"/>
        <v>2.1935764365764053E-3</v>
      </c>
      <c r="AH63" s="62">
        <f t="shared" si="207"/>
        <v>2.1935764365764053E-3</v>
      </c>
      <c r="AI63" s="62">
        <f t="shared" si="207"/>
        <v>2.1935764365764053E-3</v>
      </c>
      <c r="AJ63" s="62">
        <f>AJ34/AJ$35</f>
        <v>4.8183400173615687E-3</v>
      </c>
      <c r="AK63" s="62">
        <f t="shared" ref="AK63:AS63" si="208">AK34/$AJ$35</f>
        <v>1.8991997148724434E-3</v>
      </c>
      <c r="AL63" s="62">
        <f t="shared" si="208"/>
        <v>1.8991997148724434E-3</v>
      </c>
      <c r="AM63" s="62">
        <f t="shared" si="208"/>
        <v>1.8991997148724434E-3</v>
      </c>
      <c r="AN63" s="62">
        <f t="shared" si="208"/>
        <v>1.8991997148724434E-3</v>
      </c>
      <c r="AO63" s="62">
        <f t="shared" si="208"/>
        <v>1.8991997148724434E-3</v>
      </c>
      <c r="AP63" s="62">
        <f t="shared" si="208"/>
        <v>1.8991997148724434E-3</v>
      </c>
      <c r="AQ63" s="62">
        <f t="shared" si="208"/>
        <v>1.8991997148724434E-3</v>
      </c>
      <c r="AR63" s="62">
        <f t="shared" si="208"/>
        <v>1.8991997148724434E-3</v>
      </c>
      <c r="AS63" s="62">
        <f t="shared" si="208"/>
        <v>1.8991997148724434E-3</v>
      </c>
      <c r="AT63" s="62">
        <f>AT34/AT$35</f>
        <v>4.2908738790738508E-3</v>
      </c>
      <c r="AU63" s="62">
        <f t="shared" ref="AU63:BC63" si="209">AU34/$AT$35</f>
        <v>1.3319763702143196E-3</v>
      </c>
      <c r="AV63" s="62">
        <f t="shared" si="209"/>
        <v>1.3319763702143196E-3</v>
      </c>
      <c r="AW63" s="62">
        <f t="shared" si="209"/>
        <v>1.3319763702143196E-3</v>
      </c>
      <c r="AX63" s="62">
        <f t="shared" si="209"/>
        <v>1.3319763702143196E-3</v>
      </c>
      <c r="AY63" s="62">
        <f t="shared" si="209"/>
        <v>1.3319763702143196E-3</v>
      </c>
      <c r="AZ63" s="62">
        <f t="shared" si="209"/>
        <v>1.3319763702143196E-3</v>
      </c>
      <c r="BA63" s="62">
        <f t="shared" si="209"/>
        <v>1.3319763702143196E-3</v>
      </c>
      <c r="BB63" s="62">
        <f t="shared" si="209"/>
        <v>1.3319763702143196E-3</v>
      </c>
      <c r="BC63" s="62">
        <f t="shared" si="209"/>
        <v>1.3319763702143196E-3</v>
      </c>
      <c r="BD63" s="62">
        <f>BD34/BD$35</f>
        <v>9.6378832034409043E-2</v>
      </c>
      <c r="BE63" s="62">
        <f t="shared" ref="BE63:BM63" si="210">BE34/$BD$35</f>
        <v>0.12047354004301129</v>
      </c>
      <c r="BF63" s="62">
        <f t="shared" si="210"/>
        <v>0.12047354004301129</v>
      </c>
      <c r="BG63" s="62">
        <f t="shared" si="210"/>
        <v>0.12047354004301129</v>
      </c>
      <c r="BH63" s="62">
        <f t="shared" si="210"/>
        <v>0.12047354004301129</v>
      </c>
      <c r="BI63" s="62">
        <f t="shared" si="210"/>
        <v>0.12047354004301129</v>
      </c>
      <c r="BJ63" s="62">
        <f t="shared" si="210"/>
        <v>0.12047354004301129</v>
      </c>
      <c r="BK63" s="62">
        <f t="shared" si="210"/>
        <v>0.12047354004301129</v>
      </c>
      <c r="BL63" s="62">
        <f t="shared" si="210"/>
        <v>0.12047354004301129</v>
      </c>
      <c r="BM63" s="62">
        <f t="shared" si="210"/>
        <v>0.12047354004301129</v>
      </c>
      <c r="BN63" s="62">
        <f>BN34/BN$35</f>
        <v>0.12627855847200076</v>
      </c>
      <c r="BO63" s="62">
        <f t="shared" ref="BO63:BW63" si="211">BO34/$BN$35</f>
        <v>1.6499298353784511E-2</v>
      </c>
      <c r="BP63" s="62">
        <f t="shared" si="211"/>
        <v>1.6499298353784511E-2</v>
      </c>
      <c r="BQ63" s="62">
        <f t="shared" si="211"/>
        <v>1.6499298353784511E-2</v>
      </c>
      <c r="BR63" s="62">
        <f t="shared" si="211"/>
        <v>1.6499298353784511E-2</v>
      </c>
      <c r="BS63" s="62">
        <f t="shared" si="211"/>
        <v>1.6499298353784511E-2</v>
      </c>
      <c r="BT63" s="62">
        <f t="shared" si="211"/>
        <v>1.6499298353784511E-2</v>
      </c>
      <c r="BU63" s="62">
        <f t="shared" si="211"/>
        <v>1.6499298353784511E-2</v>
      </c>
      <c r="BV63" s="62">
        <f t="shared" si="211"/>
        <v>1.6499298353784511E-2</v>
      </c>
      <c r="BW63" s="62">
        <f t="shared" si="211"/>
        <v>1.6499298353784511E-2</v>
      </c>
      <c r="BX63" s="62">
        <f>BX34/BX$35</f>
        <v>0.10344036007163097</v>
      </c>
      <c r="BY63" s="62">
        <f t="shared" ref="BY63:CG63" si="212">BY34/$BX$35</f>
        <v>1.6268524822900518E-2</v>
      </c>
      <c r="BZ63" s="62">
        <f t="shared" si="212"/>
        <v>1.6268524822900518E-2</v>
      </c>
      <c r="CA63" s="62">
        <f t="shared" si="212"/>
        <v>1.6268524822900518E-2</v>
      </c>
      <c r="CB63" s="62">
        <f t="shared" si="212"/>
        <v>1.6268524822900518E-2</v>
      </c>
      <c r="CC63" s="62">
        <f t="shared" si="212"/>
        <v>1.6268524822900518E-2</v>
      </c>
      <c r="CD63" s="62">
        <f t="shared" si="212"/>
        <v>1.6268524822900518E-2</v>
      </c>
      <c r="CE63" s="62">
        <f t="shared" si="212"/>
        <v>1.6268524822900518E-2</v>
      </c>
      <c r="CF63" s="62">
        <f t="shared" si="212"/>
        <v>1.6268524822900518E-2</v>
      </c>
      <c r="CG63" s="62">
        <f t="shared" si="212"/>
        <v>1.6268524822900518E-2</v>
      </c>
    </row>
    <row r="64" spans="2:85" ht="16.5" thickBot="1" x14ac:dyDescent="0.3">
      <c r="C64" s="85" t="s">
        <v>34</v>
      </c>
      <c r="D64" s="111"/>
      <c r="E64" s="111"/>
      <c r="F64" s="68">
        <f>SUM(F43:F63)</f>
        <v>0.99999999999999989</v>
      </c>
      <c r="G64" s="68">
        <f t="shared" ref="G64" si="213">SUM(G43:G63)</f>
        <v>1.9724374067616872</v>
      </c>
      <c r="H64" s="68">
        <f t="shared" ref="H64" si="214">SUM(H43:H63)</f>
        <v>1.6774448658266981</v>
      </c>
      <c r="I64" s="68">
        <f>SUM(I43:I63)</f>
        <v>1.2495910994482089</v>
      </c>
      <c r="J64" s="68">
        <f t="shared" ref="J64" si="215">SUM(J43:J63)</f>
        <v>2.3386415514855221</v>
      </c>
      <c r="K64" s="68">
        <f t="shared" ref="K64" si="216">SUM(K43:K63)</f>
        <v>1.8294570160145225</v>
      </c>
      <c r="L64" s="68">
        <f t="shared" ref="L64" si="217">SUM(L43:L63)</f>
        <v>1.5284972230709779</v>
      </c>
      <c r="M64" s="68">
        <f t="shared" ref="M64" si="218">SUM(M43:M63)</f>
        <v>2.7815123029638551</v>
      </c>
      <c r="N64" s="68">
        <f t="shared" ref="N64" si="219">SUM(N43:N63)</f>
        <v>2.2444146880672928</v>
      </c>
      <c r="O64" s="68">
        <f t="shared" ref="O64" si="220">SUM(O43:O63)</f>
        <v>1.7790229523518517</v>
      </c>
      <c r="P64" s="68">
        <f>SUM(P43:P63)</f>
        <v>1</v>
      </c>
      <c r="Q64" s="68">
        <f t="shared" ref="Q64" si="221">SUM(Q43:Q63)</f>
        <v>0.66623916937170358</v>
      </c>
      <c r="R64" s="68">
        <f t="shared" ref="R64" si="222">SUM(R43:R63)</f>
        <v>0.64257734998956817</v>
      </c>
      <c r="S64" s="68">
        <f t="shared" ref="S64" si="223">SUM(S43:S63)</f>
        <v>0.59578210772401707</v>
      </c>
      <c r="T64" s="68">
        <f t="shared" ref="T64" si="224">SUM(T43:T63)</f>
        <v>0.7081483863624578</v>
      </c>
      <c r="U64" s="68">
        <f t="shared" ref="U64" si="225">SUM(U43:U63)</f>
        <v>0.66877572255343276</v>
      </c>
      <c r="V64" s="68">
        <f t="shared" ref="V64" si="226">SUM(V43:V63)</f>
        <v>0.61455677073868387</v>
      </c>
      <c r="W64" s="68">
        <f t="shared" ref="W64" si="227">SUM(W43:W63)</f>
        <v>0.7622170053058952</v>
      </c>
      <c r="X64" s="68">
        <f t="shared" ref="X64" si="228">SUM(X43:X63)</f>
        <v>0.69687598646341742</v>
      </c>
      <c r="Y64" s="68">
        <f t="shared" ref="Y64" si="229">SUM(Y43:Y63)</f>
        <v>0.61840065394467081</v>
      </c>
      <c r="Z64" s="68">
        <f>SUM(Z43:Z63)</f>
        <v>0.99999999999999989</v>
      </c>
      <c r="AA64" s="68">
        <f t="shared" ref="AA64" si="230">SUM(AA43:AA63)</f>
        <v>1.488644999805252</v>
      </c>
      <c r="AB64" s="68">
        <f t="shared" ref="AB64" si="231">SUM(AB43:AB63)</f>
        <v>1.1718933133414609</v>
      </c>
      <c r="AC64" s="68">
        <f t="shared" ref="AC64" si="232">SUM(AC43:AC63)</f>
        <v>7.9861743944811117E-2</v>
      </c>
      <c r="AD64" s="68">
        <f t="shared" ref="AD64" si="233">SUM(AD43:AD63)</f>
        <v>1.3655127083371155</v>
      </c>
      <c r="AE64" s="68">
        <f t="shared" ref="AE64" si="234">SUM(AE43:AE63)</f>
        <v>0.7847068928645714</v>
      </c>
      <c r="AF64" s="68">
        <f t="shared" ref="AF64" si="235">SUM(AF43:AF63)</f>
        <v>-0.51380031484805722</v>
      </c>
      <c r="AG64" s="68">
        <f t="shared" ref="AG64" si="236">SUM(AG43:AG63)</f>
        <v>1.1021122533195911</v>
      </c>
      <c r="AH64" s="68">
        <f t="shared" ref="AH64" si="237">SUM(AH43:AH63)</f>
        <v>2.0698317002979125E-2</v>
      </c>
      <c r="AI64" s="68">
        <f t="shared" ref="AI64" si="238">SUM(AI43:AI63)</f>
        <v>-1.7556887417632008</v>
      </c>
      <c r="AJ64" s="68">
        <f>SUM(AJ43:AJ63)</f>
        <v>1.0000000000000002</v>
      </c>
      <c r="AK64" s="68">
        <f t="shared" ref="AK64" si="239">SUM(AK43:AK63)</f>
        <v>1.3985847381781034</v>
      </c>
      <c r="AL64" s="68">
        <f t="shared" ref="AL64" si="240">SUM(AL43:AL63)</f>
        <v>1.0909143843687674</v>
      </c>
      <c r="AM64" s="68">
        <f t="shared" ref="AM64" si="241">SUM(AM43:AM63)</f>
        <v>-6.260324986061036E-3</v>
      </c>
      <c r="AN64" s="68">
        <f t="shared" ref="AN64" si="242">SUM(AN43:AN63)</f>
        <v>1.2368713994932239</v>
      </c>
      <c r="AO64" s="68">
        <f t="shared" ref="AO64" si="243">SUM(AO43:AO63)</f>
        <v>0.66113252296615155</v>
      </c>
      <c r="AP64" s="68">
        <f t="shared" ref="AP64" si="244">SUM(AP43:AP63)</f>
        <v>-0.63573951937100559</v>
      </c>
      <c r="AQ64" s="68">
        <f t="shared" ref="AQ64" si="245">SUM(AQ43:AQ63)</f>
        <v>0.90795814516938889</v>
      </c>
      <c r="AR64" s="68">
        <f t="shared" ref="AR64" si="246">SUM(AR43:AR63)</f>
        <v>-0.16181884978015015</v>
      </c>
      <c r="AS64" s="68">
        <f t="shared" ref="AS64" si="247">SUM(AS43:AS63)</f>
        <v>-1.9281097549766124</v>
      </c>
      <c r="AT64" s="68">
        <f>SUM(AT43:AT63)</f>
        <v>1</v>
      </c>
      <c r="AU64" s="68">
        <f t="shared" ref="AU64" si="248">SUM(AU43:AU63)</f>
        <v>1.8242932405336667</v>
      </c>
      <c r="AV64" s="68">
        <f t="shared" ref="AV64" si="249">SUM(AV43:AV63)</f>
        <v>1.4846540696438979</v>
      </c>
      <c r="AW64" s="68">
        <f t="shared" ref="AW64" si="250">SUM(AW43:AW63)</f>
        <v>0.38586028937952466</v>
      </c>
      <c r="AX64" s="68">
        <f t="shared" ref="AX64" si="251">SUM(AX43:AX63)</f>
        <v>1.8483881477007738</v>
      </c>
      <c r="AY64" s="68">
        <f t="shared" ref="AY64" si="252">SUM(AY43:AY63)</f>
        <v>1.2305023091141392</v>
      </c>
      <c r="AZ64" s="68">
        <f t="shared" ref="AZ64" si="253">SUM(AZ43:AZ63)</f>
        <v>-7.0952745131106734E-2</v>
      </c>
      <c r="BA64" s="68">
        <f t="shared" ref="BA64" si="254">SUM(BA43:BA63)</f>
        <v>1.7850152411790674</v>
      </c>
      <c r="BB64" s="68">
        <f t="shared" ref="BB64" si="255">SUM(BB43:BB63)</f>
        <v>0.65618534376117732</v>
      </c>
      <c r="BC64" s="68">
        <f t="shared" ref="BC64" si="256">SUM(BC43:BC63)</f>
        <v>-1.1340992654770203</v>
      </c>
      <c r="BD64" s="68">
        <f>SUM(BD43:BD63)</f>
        <v>0.99999999999999989</v>
      </c>
      <c r="BE64" s="68">
        <f t="shared" ref="BE64" si="257">SUM(BE43:BE63)</f>
        <v>-9.9858983311908914E-2</v>
      </c>
      <c r="BF64" s="68">
        <f t="shared" ref="BF64" si="258">SUM(BF43:BF63)</f>
        <v>-3.3809509551575925E-2</v>
      </c>
      <c r="BG64" s="68">
        <f t="shared" ref="BG64" si="259">SUM(BG43:BG63)</f>
        <v>-7.0842505519374668E-2</v>
      </c>
      <c r="BH64" s="68">
        <f t="shared" ref="BH64" si="260">SUM(BH43:BH63)</f>
        <v>-0.46898852054220025</v>
      </c>
      <c r="BI64" s="68">
        <f t="shared" ref="BI64" si="261">SUM(BI43:BI63)</f>
        <v>-0.3726595243955223</v>
      </c>
      <c r="BJ64" s="68">
        <f t="shared" ref="BJ64" si="262">SUM(BJ43:BJ63)</f>
        <v>-0.41504700700837954</v>
      </c>
      <c r="BK64" s="68">
        <f t="shared" ref="BK64" si="263">SUM(BK43:BK63)</f>
        <v>-0.9953584034807923</v>
      </c>
      <c r="BL64" s="68">
        <f t="shared" ref="BL64" si="264">SUM(BL43:BL63)</f>
        <v>-0.86233763258956397</v>
      </c>
      <c r="BM64" s="68">
        <f t="shared" ref="BM64" si="265">SUM(BM43:BM63)</f>
        <v>-0.8801811051420132</v>
      </c>
      <c r="BN64" s="68">
        <f>SUM(BN43:BN63)</f>
        <v>1</v>
      </c>
      <c r="BO64" s="68">
        <f t="shared" ref="BO64" si="266">SUM(BO43:BO63)</f>
        <v>1.7046132242081369</v>
      </c>
      <c r="BP64" s="68">
        <f t="shared" ref="BP64" si="267">SUM(BP43:BP63)</f>
        <v>1.1040976901959298</v>
      </c>
      <c r="BQ64" s="68">
        <f t="shared" ref="BQ64" si="268">SUM(BQ43:BQ63)</f>
        <v>2.1861570318764338E-2</v>
      </c>
      <c r="BR64" s="68">
        <f t="shared" ref="BR64" si="269">SUM(BR43:BR63)</f>
        <v>1.5066805700282722</v>
      </c>
      <c r="BS64" s="68">
        <f t="shared" ref="BS64" si="270">SUM(BS43:BS63)</f>
        <v>0.38243016541450503</v>
      </c>
      <c r="BT64" s="68">
        <f t="shared" ref="BT64" si="271">SUM(BT43:BT63)</f>
        <v>-0.32197202216099502</v>
      </c>
      <c r="BU64" s="68">
        <f t="shared" ref="BU64" si="272">SUM(BU43:BU63)</f>
        <v>0.98925078844047953</v>
      </c>
      <c r="BV64" s="68">
        <f t="shared" ref="BV64" si="273">SUM(BV43:BV63)</f>
        <v>-0.11166489421579208</v>
      </c>
      <c r="BW64" s="68">
        <f t="shared" ref="BW64" si="274">SUM(BW43:BW63)</f>
        <v>-1.0703919807017706</v>
      </c>
      <c r="BX64" s="68">
        <f>SUM(BX43:BX63)</f>
        <v>0.99999999999999978</v>
      </c>
      <c r="BY64" s="68">
        <f t="shared" ref="BY64" si="275">SUM(BY43:BY63)</f>
        <v>1.5937493383494334</v>
      </c>
      <c r="BZ64" s="68">
        <f t="shared" ref="BZ64" si="276">SUM(BZ43:BZ63)</f>
        <v>1.0678655682060043</v>
      </c>
      <c r="CA64" s="68">
        <f t="shared" ref="CA64" si="277">SUM(CA43:CA63)</f>
        <v>3.0780820101250592E-2</v>
      </c>
      <c r="CB64" s="68">
        <f t="shared" ref="CB64" si="278">SUM(CB43:CB63)</f>
        <v>1.4026980856429345</v>
      </c>
      <c r="CC64" s="68">
        <f t="shared" ref="CC64" si="279">SUM(CC43:CC63)</f>
        <v>0.41740205064315222</v>
      </c>
      <c r="CD64" s="68">
        <f t="shared" ref="CD64" si="280">SUM(CD43:CD63)</f>
        <v>-0.3502697305591741</v>
      </c>
      <c r="CE64" s="68">
        <f t="shared" ref="CE64" si="281">SUM(CE43:CE63)</f>
        <v>0.92727805593412771</v>
      </c>
      <c r="CF64" s="68">
        <f t="shared" ref="CF64" si="282">SUM(CF43:CF63)</f>
        <v>-0.11680486573647432</v>
      </c>
      <c r="CG64" s="69">
        <f t="shared" ref="CG64" si="283">SUM(CG43:CG63)</f>
        <v>-1.1611073161001453</v>
      </c>
    </row>
    <row r="65" spans="8:76" x14ac:dyDescent="0.25"/>
    <row r="66" spans="8:76" x14ac:dyDescent="0.25"/>
    <row r="67" spans="8:76" x14ac:dyDescent="0.25">
      <c r="H67" s="43" t="str">
        <f>CONCATENATE("Tables and charts are showing results for the ", $C$5, " emissions scenario.")</f>
        <v>Tables and charts are showing results for the High emissions scenario.</v>
      </c>
      <c r="P67" s="43" t="str">
        <f>CONCATENATE("Tables and charts are showing results for the ", $C$5, " emissions scenario.")</f>
        <v>Tables and charts are showing results for the High emissions scenario.</v>
      </c>
      <c r="Z67" s="43" t="str">
        <f>CONCATENATE("Tables and charts are showing results for the ", $C$5, " emissions scenario.")</f>
        <v>Tables and charts are showing results for the High emissions scenario.</v>
      </c>
      <c r="AJ67" s="43" t="str">
        <f>CONCATENATE("Tables and charts are showing results for the ", $C$5, " emissions scenario.")</f>
        <v>Tables and charts are showing results for the High emissions scenario.</v>
      </c>
      <c r="AT67" s="43" t="str">
        <f>CONCATENATE("Tables and charts are showing results for the ", $C$5, " emissions scenario.")</f>
        <v>Tables and charts are showing results for the High emissions scenario.</v>
      </c>
      <c r="BD67" s="43" t="str">
        <f>CONCATENATE("Tables and charts are showing results for the ", $C$5, " emissions scenario.")</f>
        <v>Tables and charts are showing results for the High emissions scenario.</v>
      </c>
      <c r="BN67" s="43" t="str">
        <f>CONCATENATE("Tables and charts are showing results for the ", $C$5, " emissions scenario.")</f>
        <v>Tables and charts are showing results for the High emissions scenario.</v>
      </c>
      <c r="BX67" s="43"/>
    </row>
    <row r="68" spans="8:76" x14ac:dyDescent="0.25"/>
    <row r="69" spans="8:76" x14ac:dyDescent="0.25"/>
    <row r="70" spans="8:76" x14ac:dyDescent="0.25"/>
    <row r="71" spans="8:76" x14ac:dyDescent="0.25"/>
    <row r="72" spans="8:76" x14ac:dyDescent="0.25"/>
    <row r="73" spans="8:76" x14ac:dyDescent="0.25"/>
    <row r="74" spans="8:76" x14ac:dyDescent="0.25"/>
    <row r="75" spans="8:76" x14ac:dyDescent="0.25"/>
    <row r="76" spans="8:76" x14ac:dyDescent="0.25"/>
    <row r="77" spans="8:76" x14ac:dyDescent="0.25"/>
    <row r="78" spans="8:76" x14ac:dyDescent="0.25"/>
    <row r="79" spans="8:76" x14ac:dyDescent="0.25"/>
    <row r="80" spans="8:76"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sheetData>
  <mergeCells count="2">
    <mergeCell ref="B14:B34"/>
    <mergeCell ref="B43:B63"/>
  </mergeCells>
  <dataValidations count="1">
    <dataValidation type="list" allowBlank="1" showInputMessage="1" showErrorMessage="1" sqref="P12 F12 Z12 AJ12 AT12 BD12 BX12 BN12">
      <formula1>$AT$19:$AT$27</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LookUps!$H$24:$H$32</xm:f>
          </x14:formula1>
          <xm:sqref>CH12:XFD12</xm:sqref>
        </x14:dataValidation>
        <x14:dataValidation type="list" allowBlank="1" showInputMessage="1" showErrorMessage="1">
          <x14:formula1>
            <xm:f>LookUps!$D$21:$D$23</xm:f>
          </x14:formula1>
          <xm:sqref>C5</xm:sqref>
        </x14:dataValidation>
        <x14:dataValidation type="list" allowBlank="1" showInputMessage="1" showErrorMessage="1">
          <x14:formula1>
            <xm:f>LookUps!$B$37:$B$38</xm:f>
          </x14:formula1>
          <xm:sqref>C7</xm:sqref>
        </x14:dataValidation>
        <x14:dataValidation type="list" allowBlank="1" showInputMessage="1" showErrorMessage="1">
          <x14:formula1>
            <xm:f>LookUps!$C$41:$C$42</xm:f>
          </x14:formula1>
          <xm:sqref>C6</xm:sqref>
        </x14:dataValidation>
        <x14:dataValidation type="list" allowBlank="1" showInputMessage="1" showErrorMessage="1">
          <x14:formula1>
            <xm:f>LookUps!$D$37:$D$38</xm:f>
          </x14:formula1>
          <xm:sqref>C8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7"/>
  <sheetViews>
    <sheetView workbookViewId="0">
      <selection activeCell="J10" sqref="J10"/>
    </sheetView>
  </sheetViews>
  <sheetFormatPr defaultColWidth="0" defaultRowHeight="15.75" zeroHeight="1" x14ac:dyDescent="0.25"/>
  <cols>
    <col min="1" max="1" width="9" style="3" customWidth="1"/>
    <col min="2" max="2" width="15.375" style="3" customWidth="1"/>
    <col min="3" max="3" width="7" style="3" bestFit="1" customWidth="1"/>
    <col min="4" max="4" width="9.25" style="3" bestFit="1" customWidth="1"/>
    <col min="5" max="5" width="6.25" style="3" bestFit="1" customWidth="1"/>
    <col min="6" max="6" width="9.75" style="3" bestFit="1" customWidth="1"/>
    <col min="7" max="7" width="13.25" style="3" customWidth="1"/>
    <col min="8" max="8" width="12.75" style="3" bestFit="1" customWidth="1"/>
    <col min="9" max="9" width="12.5" style="3" bestFit="1" customWidth="1"/>
    <col min="10" max="10" width="9" style="3" bestFit="1" customWidth="1"/>
    <col min="11" max="11" width="9.75" style="3" bestFit="1" customWidth="1"/>
    <col min="12" max="12" width="9.5" style="3" bestFit="1" customWidth="1"/>
    <col min="13" max="20" width="9" style="3" customWidth="1"/>
    <col min="21" max="23" width="0" style="3" hidden="1" customWidth="1"/>
    <col min="24" max="16384" width="9" style="3" hidden="1"/>
  </cols>
  <sheetData>
    <row r="1" spans="1:12" x14ac:dyDescent="0.25">
      <c r="A1" s="2" t="s">
        <v>192</v>
      </c>
    </row>
    <row r="2" spans="1:12" x14ac:dyDescent="0.25">
      <c r="A2" s="184" t="s">
        <v>195</v>
      </c>
    </row>
    <row r="3" spans="1:12" x14ac:dyDescent="0.25"/>
    <row r="4" spans="1:12" x14ac:dyDescent="0.25"/>
    <row r="5" spans="1:12" x14ac:dyDescent="0.25">
      <c r="B5" s="2" t="s">
        <v>191</v>
      </c>
      <c r="G5" s="3" t="s">
        <v>270</v>
      </c>
    </row>
    <row r="6" spans="1:12" x14ac:dyDescent="0.25">
      <c r="C6" s="5" t="s">
        <v>7</v>
      </c>
      <c r="D6" s="5" t="s">
        <v>7</v>
      </c>
      <c r="E6" s="5" t="s">
        <v>7</v>
      </c>
      <c r="F6" s="5" t="s">
        <v>7</v>
      </c>
      <c r="G6" s="5" t="s">
        <v>7</v>
      </c>
      <c r="H6" s="5" t="s">
        <v>7</v>
      </c>
      <c r="I6" s="5" t="s">
        <v>7</v>
      </c>
      <c r="J6" s="5" t="s">
        <v>7</v>
      </c>
      <c r="K6" s="5" t="s">
        <v>7</v>
      </c>
      <c r="L6" s="5" t="s">
        <v>7</v>
      </c>
    </row>
    <row r="7" spans="1:12" x14ac:dyDescent="0.25">
      <c r="C7" s="5" t="s">
        <v>45</v>
      </c>
      <c r="D7" s="5" t="s">
        <v>104</v>
      </c>
      <c r="E7" s="5" t="s">
        <v>130</v>
      </c>
      <c r="F7" s="5" t="s">
        <v>105</v>
      </c>
      <c r="G7" s="5" t="s">
        <v>106</v>
      </c>
      <c r="H7" s="5" t="s">
        <v>107</v>
      </c>
      <c r="I7" s="5" t="s">
        <v>108</v>
      </c>
      <c r="J7" s="5" t="s">
        <v>109</v>
      </c>
      <c r="K7" s="5" t="s">
        <v>110</v>
      </c>
      <c r="L7" s="5" t="s">
        <v>111</v>
      </c>
    </row>
    <row r="8" spans="1:12" x14ac:dyDescent="0.25">
      <c r="B8" s="40" t="s">
        <v>188</v>
      </c>
      <c r="C8" s="185">
        <v>0.99999999999999978</v>
      </c>
      <c r="D8" s="185">
        <v>1.1432763155034884</v>
      </c>
      <c r="E8" s="185">
        <v>0.72740116064248317</v>
      </c>
      <c r="F8" s="185">
        <v>-7.9419244060944583E-2</v>
      </c>
      <c r="G8" s="185">
        <v>0.62976808885218072</v>
      </c>
      <c r="H8" s="185">
        <v>-0.19737442674259378</v>
      </c>
      <c r="I8" s="185">
        <v>-0.66397878675911226</v>
      </c>
      <c r="J8" s="185">
        <v>-0.27888021908756977</v>
      </c>
      <c r="K8" s="185">
        <v>-0.98500293420852436</v>
      </c>
      <c r="L8" s="185">
        <v>-1.5829511617292269</v>
      </c>
    </row>
    <row r="9" spans="1:12" x14ac:dyDescent="0.25">
      <c r="B9" s="40" t="s">
        <v>189</v>
      </c>
      <c r="C9" s="185">
        <v>1</v>
      </c>
      <c r="D9" s="185">
        <v>1.5716829000838548</v>
      </c>
      <c r="E9" s="185">
        <v>1.2535380248984067</v>
      </c>
      <c r="F9" s="185">
        <v>0.71842869122105413</v>
      </c>
      <c r="G9" s="185">
        <v>1.6140617944913889</v>
      </c>
      <c r="H9" s="185">
        <v>1.0244468812487904</v>
      </c>
      <c r="I9" s="185">
        <v>0.6797394052763982</v>
      </c>
      <c r="J9" s="185">
        <v>1.5650390247048958</v>
      </c>
      <c r="K9" s="185">
        <v>0.99940656647100556</v>
      </c>
      <c r="L9" s="185">
        <v>0.51214603625104826</v>
      </c>
    </row>
    <row r="10" spans="1:12" x14ac:dyDescent="0.25">
      <c r="B10" s="40" t="s">
        <v>190</v>
      </c>
      <c r="C10" s="185">
        <v>0.99999999999999989</v>
      </c>
      <c r="D10" s="185">
        <v>1.9724374067616872</v>
      </c>
      <c r="E10" s="185">
        <v>1.6774448658266981</v>
      </c>
      <c r="F10" s="185">
        <v>1.2495910994482089</v>
      </c>
      <c r="G10" s="185">
        <v>2.3386415514855221</v>
      </c>
      <c r="H10" s="185">
        <v>1.8294570160145225</v>
      </c>
      <c r="I10" s="185">
        <v>1.5284972230709779</v>
      </c>
      <c r="J10" s="185">
        <v>2.7815123029638551</v>
      </c>
      <c r="K10" s="185">
        <v>2.2444146880672928</v>
      </c>
      <c r="L10" s="185">
        <v>1.7790229523518517</v>
      </c>
    </row>
    <row r="11" spans="1:12" x14ac:dyDescent="0.25"/>
    <row r="12" spans="1:12" x14ac:dyDescent="0.25"/>
    <row r="13" spans="1:12" x14ac:dyDescent="0.25"/>
    <row r="14" spans="1:12" x14ac:dyDescent="0.25"/>
    <row r="15" spans="1:12" x14ac:dyDescent="0.25"/>
    <row r="16" spans="1:1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12" x14ac:dyDescent="0.25"/>
    <row r="34" spans="2:12" x14ac:dyDescent="0.25"/>
    <row r="35" spans="2:12" x14ac:dyDescent="0.25"/>
    <row r="36" spans="2:12" x14ac:dyDescent="0.25"/>
    <row r="37" spans="2:12" x14ac:dyDescent="0.25"/>
    <row r="38" spans="2:12" x14ac:dyDescent="0.25">
      <c r="B38" s="2" t="s">
        <v>196</v>
      </c>
      <c r="G38" s="3" t="s">
        <v>270</v>
      </c>
    </row>
    <row r="39" spans="2:12" x14ac:dyDescent="0.25">
      <c r="C39" s="5" t="s">
        <v>6</v>
      </c>
      <c r="D39" s="5" t="s">
        <v>6</v>
      </c>
      <c r="E39" s="5" t="s">
        <v>6</v>
      </c>
      <c r="F39" s="5" t="s">
        <v>6</v>
      </c>
      <c r="G39" s="5" t="s">
        <v>6</v>
      </c>
      <c r="H39" s="5" t="s">
        <v>6</v>
      </c>
      <c r="I39" s="5" t="s">
        <v>6</v>
      </c>
      <c r="J39" s="5" t="s">
        <v>6</v>
      </c>
      <c r="K39" s="5" t="s">
        <v>6</v>
      </c>
      <c r="L39" s="5" t="s">
        <v>6</v>
      </c>
    </row>
    <row r="40" spans="2:12" x14ac:dyDescent="0.25">
      <c r="C40" s="5" t="s">
        <v>45</v>
      </c>
      <c r="D40" s="5" t="s">
        <v>104</v>
      </c>
      <c r="E40" s="5" t="s">
        <v>130</v>
      </c>
      <c r="F40" s="5" t="s">
        <v>105</v>
      </c>
      <c r="G40" s="5" t="s">
        <v>106</v>
      </c>
      <c r="H40" s="5" t="s">
        <v>107</v>
      </c>
      <c r="I40" s="5" t="s">
        <v>108</v>
      </c>
      <c r="J40" s="5" t="s">
        <v>109</v>
      </c>
      <c r="K40" s="5" t="s">
        <v>110</v>
      </c>
      <c r="L40" s="5" t="s">
        <v>111</v>
      </c>
    </row>
    <row r="41" spans="2:12" x14ac:dyDescent="0.25">
      <c r="B41" s="40" t="s">
        <v>188</v>
      </c>
      <c r="C41" s="62">
        <v>1</v>
      </c>
      <c r="D41" s="62">
        <v>0.64481487293734396</v>
      </c>
      <c r="E41" s="62">
        <v>0.62301236214033306</v>
      </c>
      <c r="F41" s="62">
        <v>0.57733584427896978</v>
      </c>
      <c r="G41" s="62">
        <v>0.67879662797464202</v>
      </c>
      <c r="H41" s="62">
        <v>0.64202681525783811</v>
      </c>
      <c r="I41" s="62">
        <v>0.58929005104673049</v>
      </c>
      <c r="J41" s="62">
        <v>0.72180738090042051</v>
      </c>
      <c r="K41" s="62">
        <v>0.65983652218629929</v>
      </c>
      <c r="L41" s="62">
        <v>0.58434153050976811</v>
      </c>
    </row>
    <row r="42" spans="2:12" x14ac:dyDescent="0.25">
      <c r="B42" s="40" t="s">
        <v>189</v>
      </c>
      <c r="C42" s="185">
        <v>1</v>
      </c>
      <c r="D42" s="185">
        <v>0.65517296559654925</v>
      </c>
      <c r="E42" s="185">
        <v>0.63234509826093666</v>
      </c>
      <c r="F42" s="185">
        <v>0.58598875101878689</v>
      </c>
      <c r="G42" s="185">
        <v>0.69255075786027465</v>
      </c>
      <c r="H42" s="185">
        <v>0.65484101370992132</v>
      </c>
      <c r="I42" s="185">
        <v>0.60147517008570683</v>
      </c>
      <c r="J42" s="185">
        <v>0.74085165157627508</v>
      </c>
      <c r="K42" s="185">
        <v>0.67718983185029624</v>
      </c>
      <c r="L42" s="185">
        <v>0.60040193229671979</v>
      </c>
    </row>
    <row r="43" spans="2:12" x14ac:dyDescent="0.25">
      <c r="B43" s="40" t="s">
        <v>190</v>
      </c>
      <c r="C43" s="185">
        <v>1</v>
      </c>
      <c r="D43" s="185">
        <v>0.66623916937170358</v>
      </c>
      <c r="E43" s="185">
        <v>0.64257734998956817</v>
      </c>
      <c r="F43" s="185">
        <v>0.59578210772401707</v>
      </c>
      <c r="G43" s="185">
        <v>0.7081483863624578</v>
      </c>
      <c r="H43" s="185">
        <v>0.66877572255343276</v>
      </c>
      <c r="I43" s="185">
        <v>0.61455677073868387</v>
      </c>
      <c r="J43" s="185">
        <v>0.7622170053058952</v>
      </c>
      <c r="K43" s="185">
        <v>0.69687598646341742</v>
      </c>
      <c r="L43" s="185">
        <v>0.61840065394467081</v>
      </c>
    </row>
    <row r="44" spans="2:12" x14ac:dyDescent="0.25"/>
    <row r="45" spans="2:12" x14ac:dyDescent="0.25"/>
    <row r="46" spans="2:12" x14ac:dyDescent="0.25"/>
    <row r="47" spans="2:12" x14ac:dyDescent="0.25"/>
    <row r="48" spans="2:12"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2:12" x14ac:dyDescent="0.25"/>
    <row r="66" spans="2:12" x14ac:dyDescent="0.25"/>
    <row r="67" spans="2:12" x14ac:dyDescent="0.25"/>
    <row r="68" spans="2:12" x14ac:dyDescent="0.25"/>
    <row r="69" spans="2:12" x14ac:dyDescent="0.25">
      <c r="B69" s="2" t="s">
        <v>197</v>
      </c>
      <c r="G69" s="3" t="s">
        <v>270</v>
      </c>
    </row>
    <row r="70" spans="2:12" x14ac:dyDescent="0.25">
      <c r="C70" s="5" t="s">
        <v>39</v>
      </c>
      <c r="D70" s="5" t="s">
        <v>39</v>
      </c>
      <c r="E70" s="5" t="s">
        <v>39</v>
      </c>
      <c r="F70" s="5" t="s">
        <v>39</v>
      </c>
      <c r="G70" s="5" t="s">
        <v>39</v>
      </c>
      <c r="H70" s="5" t="s">
        <v>39</v>
      </c>
      <c r="I70" s="5" t="s">
        <v>39</v>
      </c>
      <c r="J70" s="5" t="s">
        <v>39</v>
      </c>
      <c r="K70" s="5" t="s">
        <v>39</v>
      </c>
      <c r="L70" s="5" t="s">
        <v>39</v>
      </c>
    </row>
    <row r="71" spans="2:12" x14ac:dyDescent="0.25">
      <c r="C71" s="5" t="s">
        <v>45</v>
      </c>
      <c r="D71" s="5" t="s">
        <v>104</v>
      </c>
      <c r="E71" s="5" t="s">
        <v>130</v>
      </c>
      <c r="F71" s="5" t="s">
        <v>105</v>
      </c>
      <c r="G71" s="5" t="s">
        <v>106</v>
      </c>
      <c r="H71" s="5" t="s">
        <v>107</v>
      </c>
      <c r="I71" s="5" t="s">
        <v>108</v>
      </c>
      <c r="J71" s="5" t="s">
        <v>109</v>
      </c>
      <c r="K71" s="5" t="s">
        <v>110</v>
      </c>
      <c r="L71" s="5" t="s">
        <v>111</v>
      </c>
    </row>
    <row r="72" spans="2:12" x14ac:dyDescent="0.25">
      <c r="B72" s="40" t="s">
        <v>188</v>
      </c>
      <c r="C72" s="185">
        <v>1</v>
      </c>
      <c r="D72" s="185">
        <v>1.3461206444046412</v>
      </c>
      <c r="E72" s="185">
        <v>1.0497918517858875</v>
      </c>
      <c r="F72" s="185">
        <v>3.5306396800373254E-3</v>
      </c>
      <c r="G72" s="185">
        <v>1.1953027498797208</v>
      </c>
      <c r="H72" s="185">
        <v>0.64681184534297642</v>
      </c>
      <c r="I72" s="185">
        <v>-0.59588304177202012</v>
      </c>
      <c r="J72" s="185">
        <v>0.8947497499605741</v>
      </c>
      <c r="K72" s="185">
        <v>-0.13098716021325971</v>
      </c>
      <c r="L72" s="185">
        <v>-1.8269762580429436</v>
      </c>
    </row>
    <row r="73" spans="2:12" x14ac:dyDescent="0.25">
      <c r="B73" s="40" t="s">
        <v>189</v>
      </c>
      <c r="C73" s="185">
        <v>1</v>
      </c>
      <c r="D73" s="185">
        <v>1.4167350289969747</v>
      </c>
      <c r="E73" s="185">
        <v>1.1100486944278074</v>
      </c>
      <c r="F73" s="185">
        <v>3.9040934528984578E-2</v>
      </c>
      <c r="G73" s="185">
        <v>1.2795500396071557</v>
      </c>
      <c r="H73" s="185">
        <v>0.71321278403045218</v>
      </c>
      <c r="I73" s="185">
        <v>-0.55831024507976523</v>
      </c>
      <c r="J73" s="185">
        <v>0.99510036626061149</v>
      </c>
      <c r="K73" s="185">
        <v>-6.1030029108618863E-2</v>
      </c>
      <c r="L73" s="185">
        <v>-1.7999341210718161</v>
      </c>
    </row>
    <row r="74" spans="2:12" x14ac:dyDescent="0.25">
      <c r="B74" s="40" t="s">
        <v>190</v>
      </c>
      <c r="C74" s="185">
        <v>0.99999999999999989</v>
      </c>
      <c r="D74" s="185">
        <v>1.488644999805252</v>
      </c>
      <c r="E74" s="185">
        <v>1.1718933133414609</v>
      </c>
      <c r="F74" s="185">
        <v>7.9861743944811117E-2</v>
      </c>
      <c r="G74" s="185">
        <v>1.3655127083371155</v>
      </c>
      <c r="H74" s="185">
        <v>0.7847068928645714</v>
      </c>
      <c r="I74" s="185">
        <v>-0.51380031484805722</v>
      </c>
      <c r="J74" s="185">
        <v>1.1021122533195911</v>
      </c>
      <c r="K74" s="185">
        <v>2.0698317002979125E-2</v>
      </c>
      <c r="L74" s="185">
        <v>-1.7556887417632008</v>
      </c>
    </row>
    <row r="75" spans="2:12" x14ac:dyDescent="0.25"/>
    <row r="76" spans="2:12" x14ac:dyDescent="0.25"/>
    <row r="77" spans="2:12" x14ac:dyDescent="0.25"/>
    <row r="78" spans="2:12" x14ac:dyDescent="0.25"/>
    <row r="79" spans="2:12" x14ac:dyDescent="0.25"/>
    <row r="80" spans="2:12"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spans="2:12" x14ac:dyDescent="0.25"/>
    <row r="98" spans="2:12" x14ac:dyDescent="0.25"/>
    <row r="99" spans="2:12" x14ac:dyDescent="0.25"/>
    <row r="100" spans="2:12" x14ac:dyDescent="0.25">
      <c r="B100" s="2" t="s">
        <v>497</v>
      </c>
      <c r="G100" s="3" t="s">
        <v>270</v>
      </c>
    </row>
    <row r="101" spans="2:12" x14ac:dyDescent="0.25">
      <c r="C101" s="5" t="s">
        <v>480</v>
      </c>
      <c r="D101" s="5" t="s">
        <v>480</v>
      </c>
      <c r="E101" s="5" t="s">
        <v>480</v>
      </c>
      <c r="F101" s="5" t="s">
        <v>480</v>
      </c>
      <c r="G101" s="5" t="s">
        <v>480</v>
      </c>
      <c r="H101" s="5" t="s">
        <v>480</v>
      </c>
      <c r="I101" s="5" t="s">
        <v>480</v>
      </c>
      <c r="J101" s="5" t="s">
        <v>480</v>
      </c>
      <c r="K101" s="5" t="s">
        <v>480</v>
      </c>
      <c r="L101" s="5" t="s">
        <v>480</v>
      </c>
    </row>
    <row r="102" spans="2:12" x14ac:dyDescent="0.25">
      <c r="C102" s="5" t="s">
        <v>45</v>
      </c>
      <c r="D102" s="5" t="s">
        <v>104</v>
      </c>
      <c r="E102" s="5" t="s">
        <v>130</v>
      </c>
      <c r="F102" s="5" t="s">
        <v>105</v>
      </c>
      <c r="G102" s="5" t="s">
        <v>106</v>
      </c>
      <c r="H102" s="5" t="s">
        <v>107</v>
      </c>
      <c r="I102" s="5" t="s">
        <v>108</v>
      </c>
      <c r="J102" s="5" t="s">
        <v>109</v>
      </c>
      <c r="K102" s="5" t="s">
        <v>110</v>
      </c>
      <c r="L102" s="5" t="s">
        <v>111</v>
      </c>
    </row>
    <row r="103" spans="2:12" x14ac:dyDescent="0.25">
      <c r="B103" s="40" t="s">
        <v>188</v>
      </c>
      <c r="C103" s="185">
        <v>1.0000000000000002</v>
      </c>
      <c r="D103" s="185">
        <v>-0.10758230113000553</v>
      </c>
      <c r="E103" s="185">
        <v>-4.1721535741785359E-2</v>
      </c>
      <c r="F103" s="185">
        <v>-7.8648725622333576E-2</v>
      </c>
      <c r="G103" s="185">
        <v>-0.47565720718605997</v>
      </c>
      <c r="H103" s="185">
        <v>-0.38761205284236511</v>
      </c>
      <c r="I103" s="185">
        <v>-0.42186980866071333</v>
      </c>
      <c r="J103" s="185">
        <v>-1.0085318338501057</v>
      </c>
      <c r="K103" s="185">
        <v>-0.8678824908911128</v>
      </c>
      <c r="L103" s="185">
        <v>-0.88567498328480365</v>
      </c>
    </row>
    <row r="104" spans="2:12" x14ac:dyDescent="0.25">
      <c r="B104" s="40" t="s">
        <v>189</v>
      </c>
      <c r="C104" s="185">
        <v>1.0000000000000002</v>
      </c>
      <c r="D104" s="185">
        <v>-0.10775956249260284</v>
      </c>
      <c r="E104" s="185">
        <v>-3.3768461352219517E-2</v>
      </c>
      <c r="F104" s="185">
        <v>-7.8778313669102887E-2</v>
      </c>
      <c r="G104" s="185">
        <v>-0.4684191205555579</v>
      </c>
      <c r="H104" s="185">
        <v>-0.38022889584373409</v>
      </c>
      <c r="I104" s="185">
        <v>-0.42256491572141419</v>
      </c>
      <c r="J104" s="185">
        <v>-1.0021717548604878</v>
      </c>
      <c r="K104" s="185">
        <v>-0.86931248477759748</v>
      </c>
      <c r="L104" s="185">
        <v>-0.88713429353106621</v>
      </c>
    </row>
    <row r="105" spans="2:12" x14ac:dyDescent="0.25">
      <c r="B105" s="40" t="s">
        <v>190</v>
      </c>
      <c r="C105" s="185">
        <v>0.99999999999999989</v>
      </c>
      <c r="D105" s="185">
        <v>-9.9858983311908914E-2</v>
      </c>
      <c r="E105" s="185">
        <v>-3.3809509551575925E-2</v>
      </c>
      <c r="F105" s="185">
        <v>-7.0842505519374668E-2</v>
      </c>
      <c r="G105" s="185">
        <v>-0.46898852054220025</v>
      </c>
      <c r="H105" s="185">
        <v>-0.3726595243955223</v>
      </c>
      <c r="I105" s="185">
        <v>-0.41504700700837954</v>
      </c>
      <c r="J105" s="185">
        <v>-0.9953584034807923</v>
      </c>
      <c r="K105" s="185">
        <v>-0.86233763258956397</v>
      </c>
      <c r="L105" s="185">
        <v>-0.8801811051420132</v>
      </c>
    </row>
    <row r="106" spans="2:12" x14ac:dyDescent="0.25"/>
    <row r="107" spans="2:12" x14ac:dyDescent="0.25"/>
    <row r="108" spans="2:12" x14ac:dyDescent="0.25"/>
    <row r="109" spans="2:12" x14ac:dyDescent="0.25"/>
    <row r="110" spans="2:12" x14ac:dyDescent="0.25"/>
    <row r="111" spans="2:12" x14ac:dyDescent="0.25"/>
    <row r="112" spans="2: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spans="2:12" x14ac:dyDescent="0.25"/>
    <row r="130" spans="2:12" x14ac:dyDescent="0.25"/>
    <row r="131" spans="2:12" x14ac:dyDescent="0.25"/>
    <row r="132" spans="2:12" x14ac:dyDescent="0.25"/>
    <row r="133" spans="2:12" x14ac:dyDescent="0.25">
      <c r="B133" s="2" t="s">
        <v>207</v>
      </c>
      <c r="G133" s="3" t="s">
        <v>270</v>
      </c>
    </row>
    <row r="134" spans="2:12" x14ac:dyDescent="0.25">
      <c r="C134" s="5" t="s">
        <v>8</v>
      </c>
      <c r="D134" s="5" t="s">
        <v>8</v>
      </c>
      <c r="E134" s="5" t="s">
        <v>8</v>
      </c>
      <c r="F134" s="5" t="s">
        <v>8</v>
      </c>
      <c r="G134" s="5" t="s">
        <v>8</v>
      </c>
      <c r="H134" s="5" t="s">
        <v>8</v>
      </c>
      <c r="I134" s="5" t="s">
        <v>8</v>
      </c>
      <c r="J134" s="5" t="s">
        <v>8</v>
      </c>
      <c r="K134" s="5" t="s">
        <v>8</v>
      </c>
      <c r="L134" s="5" t="s">
        <v>8</v>
      </c>
    </row>
    <row r="135" spans="2:12" x14ac:dyDescent="0.25">
      <c r="C135" s="5" t="s">
        <v>45</v>
      </c>
      <c r="D135" s="5" t="s">
        <v>104</v>
      </c>
      <c r="E135" s="5" t="s">
        <v>130</v>
      </c>
      <c r="F135" s="5" t="s">
        <v>105</v>
      </c>
      <c r="G135" s="5" t="s">
        <v>106</v>
      </c>
      <c r="H135" s="5" t="s">
        <v>107</v>
      </c>
      <c r="I135" s="5" t="s">
        <v>108</v>
      </c>
      <c r="J135" s="5" t="s">
        <v>109</v>
      </c>
      <c r="K135" s="5" t="s">
        <v>110</v>
      </c>
      <c r="L135" s="5" t="s">
        <v>111</v>
      </c>
    </row>
    <row r="136" spans="2:12" x14ac:dyDescent="0.25">
      <c r="B136" s="40" t="s">
        <v>188</v>
      </c>
      <c r="C136" s="185">
        <v>0.99999999999999989</v>
      </c>
      <c r="D136" s="185">
        <v>1.5455438686394487</v>
      </c>
      <c r="E136" s="185">
        <v>1.0339019486074859</v>
      </c>
      <c r="F136" s="185">
        <v>2.3800631440892506E-2</v>
      </c>
      <c r="G136" s="185">
        <v>1.3566023355496009</v>
      </c>
      <c r="H136" s="185">
        <v>0.39770244976483821</v>
      </c>
      <c r="I136" s="185">
        <v>-0.34986884790265216</v>
      </c>
      <c r="J136" s="185">
        <v>0.88948372975719481</v>
      </c>
      <c r="K136" s="185">
        <v>-0.12611989559945638</v>
      </c>
      <c r="L136" s="185">
        <v>-1.1428461307959885</v>
      </c>
    </row>
    <row r="137" spans="2:12" x14ac:dyDescent="0.25">
      <c r="B137" s="40" t="s">
        <v>189</v>
      </c>
      <c r="C137" s="185">
        <v>0.99999999999999989</v>
      </c>
      <c r="D137" s="185">
        <v>1.5723925203983125</v>
      </c>
      <c r="E137" s="185">
        <v>1.0527005999374055</v>
      </c>
      <c r="F137" s="185">
        <v>2.7260565025544858E-2</v>
      </c>
      <c r="G137" s="185">
        <v>1.3820170856530762</v>
      </c>
      <c r="H137" s="185">
        <v>0.40817563487130631</v>
      </c>
      <c r="I137" s="185">
        <v>-0.35081130403734545</v>
      </c>
      <c r="J137" s="185">
        <v>0.90984518881938803</v>
      </c>
      <c r="K137" s="185">
        <v>-0.12183776564091039</v>
      </c>
      <c r="L137" s="185">
        <v>-1.1542072759491664</v>
      </c>
    </row>
    <row r="138" spans="2:12" x14ac:dyDescent="0.25">
      <c r="B138" s="40" t="s">
        <v>190</v>
      </c>
      <c r="C138" s="185">
        <v>0.99999999999999978</v>
      </c>
      <c r="D138" s="185">
        <v>1.5937493383494334</v>
      </c>
      <c r="E138" s="185">
        <v>1.0678655682060043</v>
      </c>
      <c r="F138" s="185">
        <v>3.0780820101250592E-2</v>
      </c>
      <c r="G138" s="185">
        <v>1.4026980856429345</v>
      </c>
      <c r="H138" s="185">
        <v>0.41740205064315222</v>
      </c>
      <c r="I138" s="185">
        <v>-0.3502697305591741</v>
      </c>
      <c r="J138" s="185">
        <v>0.92727805593412771</v>
      </c>
      <c r="K138" s="185">
        <v>-0.11680486573647432</v>
      </c>
      <c r="L138" s="185">
        <v>-1.1611073161001453</v>
      </c>
    </row>
    <row r="139" spans="2:12" x14ac:dyDescent="0.25"/>
    <row r="140" spans="2:12" x14ac:dyDescent="0.25"/>
    <row r="141" spans="2:12" x14ac:dyDescent="0.25"/>
    <row r="142" spans="2:12" x14ac:dyDescent="0.25"/>
    <row r="143" spans="2:12" x14ac:dyDescent="0.25"/>
    <row r="144" spans="2:12"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sheetData>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0"/>
  <sheetViews>
    <sheetView zoomScale="70" zoomScaleNormal="70" workbookViewId="0">
      <selection activeCell="C4" sqref="C4"/>
    </sheetView>
  </sheetViews>
  <sheetFormatPr defaultColWidth="0" defaultRowHeight="15.75" zeroHeight="1" x14ac:dyDescent="0.25"/>
  <cols>
    <col min="1" max="1" width="9" style="119" customWidth="1"/>
    <col min="2" max="2" width="23.125" style="119" bestFit="1" customWidth="1"/>
    <col min="3" max="3" width="83.625" style="119" customWidth="1"/>
    <col min="4" max="4" width="85.75" style="119" hidden="1" customWidth="1"/>
    <col min="5" max="5" width="21.5" style="119" hidden="1" customWidth="1"/>
    <col min="6" max="24" width="15.875" style="119" customWidth="1"/>
    <col min="25" max="29" width="9" style="119" customWidth="1"/>
    <col min="30" max="16384" width="9" style="119" hidden="1"/>
  </cols>
  <sheetData>
    <row r="1" spans="1:3" x14ac:dyDescent="0.25">
      <c r="A1" s="195" t="s">
        <v>494</v>
      </c>
    </row>
    <row r="2" spans="1:3" x14ac:dyDescent="0.25"/>
    <row r="3" spans="1:3" x14ac:dyDescent="0.25">
      <c r="C3" s="195" t="s">
        <v>440</v>
      </c>
    </row>
    <row r="4" spans="1:3" x14ac:dyDescent="0.25">
      <c r="B4" s="214" t="s">
        <v>437</v>
      </c>
      <c r="C4" s="215" t="s">
        <v>181</v>
      </c>
    </row>
    <row r="5" spans="1:3" x14ac:dyDescent="0.25">
      <c r="B5" s="214" t="s">
        <v>438</v>
      </c>
      <c r="C5" s="215" t="s">
        <v>430</v>
      </c>
    </row>
    <row r="6" spans="1:3" x14ac:dyDescent="0.25">
      <c r="B6" s="214" t="s">
        <v>184</v>
      </c>
      <c r="C6" s="215" t="s">
        <v>428</v>
      </c>
    </row>
    <row r="7" spans="1:3" x14ac:dyDescent="0.25">
      <c r="B7" s="219"/>
      <c r="C7" s="220"/>
    </row>
    <row r="8" spans="1:3" x14ac:dyDescent="0.25">
      <c r="B8" s="219"/>
      <c r="C8" s="220"/>
    </row>
    <row r="9" spans="1:3" x14ac:dyDescent="0.25">
      <c r="B9" s="219"/>
      <c r="C9" s="220"/>
    </row>
    <row r="10" spans="1:3" x14ac:dyDescent="0.25">
      <c r="B10" s="219"/>
      <c r="C10" s="220"/>
    </row>
    <row r="11" spans="1:3" x14ac:dyDescent="0.25">
      <c r="B11" s="219"/>
      <c r="C11" s="220"/>
    </row>
    <row r="12" spans="1:3" x14ac:dyDescent="0.25">
      <c r="B12" s="219"/>
      <c r="C12" s="220"/>
    </row>
    <row r="13" spans="1:3" x14ac:dyDescent="0.25">
      <c r="B13" s="219"/>
      <c r="C13" s="220"/>
    </row>
    <row r="14" spans="1:3" x14ac:dyDescent="0.25">
      <c r="B14" s="219"/>
      <c r="C14" s="220"/>
    </row>
    <row r="15" spans="1:3" x14ac:dyDescent="0.25">
      <c r="B15" s="219"/>
      <c r="C15" s="220"/>
    </row>
    <row r="16" spans="1:3" x14ac:dyDescent="0.25">
      <c r="B16" s="219"/>
      <c r="C16" s="220"/>
    </row>
    <row r="17" spans="2:3" x14ac:dyDescent="0.25">
      <c r="B17" s="219"/>
      <c r="C17" s="220"/>
    </row>
    <row r="18" spans="2:3" x14ac:dyDescent="0.25">
      <c r="B18" s="219"/>
      <c r="C18" s="220"/>
    </row>
    <row r="19" spans="2:3" x14ac:dyDescent="0.25">
      <c r="B19" s="219"/>
      <c r="C19" s="220"/>
    </row>
    <row r="20" spans="2:3" x14ac:dyDescent="0.25">
      <c r="B20" s="219"/>
      <c r="C20" s="220"/>
    </row>
    <row r="21" spans="2:3" x14ac:dyDescent="0.25">
      <c r="B21" s="219"/>
      <c r="C21" s="220"/>
    </row>
    <row r="22" spans="2:3" x14ac:dyDescent="0.25">
      <c r="B22" s="219"/>
      <c r="C22" s="220"/>
    </row>
    <row r="23" spans="2:3" x14ac:dyDescent="0.25">
      <c r="B23" s="219"/>
      <c r="C23" s="220"/>
    </row>
    <row r="24" spans="2:3" x14ac:dyDescent="0.25">
      <c r="B24" s="219"/>
      <c r="C24" s="220"/>
    </row>
    <row r="25" spans="2:3" x14ac:dyDescent="0.25">
      <c r="B25" s="219"/>
      <c r="C25" s="220"/>
    </row>
    <row r="26" spans="2:3" x14ac:dyDescent="0.25">
      <c r="B26" s="219"/>
      <c r="C26" s="220"/>
    </row>
    <row r="27" spans="2:3" x14ac:dyDescent="0.25">
      <c r="B27" s="219"/>
      <c r="C27" s="220"/>
    </row>
    <row r="28" spans="2:3" x14ac:dyDescent="0.25">
      <c r="B28" s="219"/>
      <c r="C28" s="220"/>
    </row>
    <row r="29" spans="2:3" x14ac:dyDescent="0.25">
      <c r="B29" s="219"/>
      <c r="C29" s="220"/>
    </row>
    <row r="30" spans="2:3" x14ac:dyDescent="0.25">
      <c r="B30" s="219"/>
      <c r="C30" s="220"/>
    </row>
    <row r="31" spans="2:3" x14ac:dyDescent="0.25">
      <c r="B31" s="219"/>
      <c r="C31" s="220"/>
    </row>
    <row r="32" spans="2:3" x14ac:dyDescent="0.25">
      <c r="B32" s="219"/>
      <c r="C32" s="220"/>
    </row>
    <row r="33" spans="2:3" x14ac:dyDescent="0.25">
      <c r="B33" s="219"/>
      <c r="C33" s="220"/>
    </row>
    <row r="34" spans="2:3" x14ac:dyDescent="0.25">
      <c r="B34" s="219"/>
      <c r="C34" s="220"/>
    </row>
    <row r="35" spans="2:3" x14ac:dyDescent="0.25">
      <c r="B35" s="219"/>
      <c r="C35" s="220"/>
    </row>
    <row r="36" spans="2:3" x14ac:dyDescent="0.25">
      <c r="B36" s="219"/>
      <c r="C36" s="220"/>
    </row>
    <row r="37" spans="2:3" x14ac:dyDescent="0.25">
      <c r="B37" s="219"/>
      <c r="C37" s="220"/>
    </row>
    <row r="38" spans="2:3" x14ac:dyDescent="0.25">
      <c r="B38" s="219"/>
      <c r="C38" s="220"/>
    </row>
    <row r="39" spans="2:3" x14ac:dyDescent="0.25">
      <c r="B39" s="219"/>
      <c r="C39" s="220"/>
    </row>
    <row r="40" spans="2:3" x14ac:dyDescent="0.25">
      <c r="B40" s="219"/>
      <c r="C40" s="220"/>
    </row>
    <row r="41" spans="2:3" x14ac:dyDescent="0.25">
      <c r="B41" s="219"/>
      <c r="C41" s="220"/>
    </row>
    <row r="42" spans="2:3" x14ac:dyDescent="0.25">
      <c r="B42" s="219"/>
      <c r="C42" s="220"/>
    </row>
    <row r="43" spans="2:3" x14ac:dyDescent="0.25">
      <c r="B43" s="219"/>
      <c r="C43" s="220"/>
    </row>
    <row r="44" spans="2:3" x14ac:dyDescent="0.25">
      <c r="B44" s="219"/>
      <c r="C44" s="220"/>
    </row>
    <row r="45" spans="2:3" x14ac:dyDescent="0.25">
      <c r="B45" s="219"/>
      <c r="C45" s="220"/>
    </row>
    <row r="46" spans="2:3" x14ac:dyDescent="0.25">
      <c r="B46" s="219"/>
      <c r="C46" s="220"/>
    </row>
    <row r="47" spans="2:3" x14ac:dyDescent="0.25">
      <c r="B47" s="219"/>
      <c r="C47" s="220"/>
    </row>
    <row r="48" spans="2:3" x14ac:dyDescent="0.25">
      <c r="B48" s="219"/>
      <c r="C48" s="220"/>
    </row>
    <row r="49" spans="2:24" x14ac:dyDescent="0.25">
      <c r="B49" s="219"/>
      <c r="C49" s="220"/>
    </row>
    <row r="50" spans="2:24" x14ac:dyDescent="0.25">
      <c r="B50" s="219"/>
      <c r="C50" s="220"/>
    </row>
    <row r="51" spans="2:24" x14ac:dyDescent="0.25">
      <c r="B51" s="219"/>
      <c r="C51" s="220"/>
    </row>
    <row r="52" spans="2:24" x14ac:dyDescent="0.25">
      <c r="B52" s="219"/>
      <c r="C52" s="220"/>
    </row>
    <row r="53" spans="2:24" x14ac:dyDescent="0.25"/>
    <row r="54" spans="2:24" x14ac:dyDescent="0.25"/>
    <row r="55" spans="2:24" ht="16.5" thickBot="1" x14ac:dyDescent="0.3">
      <c r="B55" s="3"/>
      <c r="C55" s="2" t="s">
        <v>193</v>
      </c>
      <c r="D55" s="2"/>
      <c r="E55" s="2"/>
      <c r="F55" s="3"/>
      <c r="G55" s="3"/>
      <c r="I55" s="43"/>
      <c r="K55" s="3"/>
      <c r="M55" s="3"/>
      <c r="O55" s="3"/>
      <c r="Q55" s="3"/>
      <c r="S55" s="3"/>
      <c r="U55" s="3"/>
      <c r="W55" s="3"/>
    </row>
    <row r="56" spans="2:24" ht="16.5" thickBot="1" x14ac:dyDescent="0.3">
      <c r="B56" s="3"/>
      <c r="C56" s="74" t="s">
        <v>439</v>
      </c>
      <c r="D56" s="112"/>
      <c r="E56" s="112"/>
      <c r="F56" s="76"/>
      <c r="G56" s="76" t="s">
        <v>424</v>
      </c>
      <c r="H56" s="76" t="s">
        <v>423</v>
      </c>
      <c r="I56" s="76" t="s">
        <v>424</v>
      </c>
      <c r="J56" s="76" t="s">
        <v>423</v>
      </c>
      <c r="K56" s="76" t="s">
        <v>424</v>
      </c>
      <c r="L56" s="76" t="s">
        <v>423</v>
      </c>
      <c r="M56" s="76" t="s">
        <v>424</v>
      </c>
      <c r="N56" s="76" t="s">
        <v>423</v>
      </c>
      <c r="O56" s="76" t="s">
        <v>424</v>
      </c>
      <c r="P56" s="76" t="s">
        <v>423</v>
      </c>
      <c r="Q56" s="76" t="s">
        <v>424</v>
      </c>
      <c r="R56" s="76" t="s">
        <v>423</v>
      </c>
      <c r="S56" s="76" t="s">
        <v>424</v>
      </c>
      <c r="T56" s="76" t="s">
        <v>423</v>
      </c>
      <c r="U56" s="76" t="s">
        <v>424</v>
      </c>
      <c r="V56" s="76" t="s">
        <v>423</v>
      </c>
      <c r="W56" s="76" t="s">
        <v>424</v>
      </c>
      <c r="X56" s="77" t="s">
        <v>423</v>
      </c>
    </row>
    <row r="57" spans="2:24" ht="16.5" thickBot="1" x14ac:dyDescent="0.3">
      <c r="B57" s="3"/>
      <c r="C57" s="74" t="s">
        <v>36</v>
      </c>
      <c r="D57" s="112"/>
      <c r="E57" s="112"/>
      <c r="F57" s="76" t="str">
        <f>LookUps!$C$5</f>
        <v>GWP</v>
      </c>
      <c r="G57" s="76" t="str">
        <f>LookUps!$C$5</f>
        <v>GWP</v>
      </c>
      <c r="H57" s="76" t="str">
        <f>LookUps!$C$5</f>
        <v>GWP</v>
      </c>
      <c r="I57" s="76" t="str">
        <f>LookUps!$C$5</f>
        <v>GWP</v>
      </c>
      <c r="J57" s="76" t="str">
        <f>LookUps!$C$5</f>
        <v>GWP</v>
      </c>
      <c r="K57" s="76" t="str">
        <f>LookUps!$C$5</f>
        <v>GWP</v>
      </c>
      <c r="L57" s="76" t="str">
        <f>LookUps!$C$5</f>
        <v>GWP</v>
      </c>
      <c r="M57" s="76" t="str">
        <f>LookUps!$C$5</f>
        <v>GWP</v>
      </c>
      <c r="N57" s="76" t="str">
        <f>LookUps!$C$5</f>
        <v>GWP</v>
      </c>
      <c r="O57" s="76" t="str">
        <f>LookUps!$C$5</f>
        <v>GWP</v>
      </c>
      <c r="P57" s="76" t="str">
        <f>LookUps!$C$5</f>
        <v>GWP</v>
      </c>
      <c r="Q57" s="76" t="str">
        <f>LookUps!$C$5</f>
        <v>GWP</v>
      </c>
      <c r="R57" s="76" t="str">
        <f>LookUps!$C$5</f>
        <v>GWP</v>
      </c>
      <c r="S57" s="76" t="str">
        <f>LookUps!$C$5</f>
        <v>GWP</v>
      </c>
      <c r="T57" s="76" t="str">
        <f>LookUps!$C$5</f>
        <v>GWP</v>
      </c>
      <c r="U57" s="76" t="str">
        <f>LookUps!$C$5</f>
        <v>GWP</v>
      </c>
      <c r="V57" s="76" t="str">
        <f>LookUps!$C$5</f>
        <v>GWP</v>
      </c>
      <c r="W57" s="76" t="str">
        <f>LookUps!$C$5</f>
        <v>GWP</v>
      </c>
      <c r="X57" s="77" t="str">
        <f>LookUps!$C$5</f>
        <v>GWP</v>
      </c>
    </row>
    <row r="58" spans="2:24" ht="16.5" thickBot="1" x14ac:dyDescent="0.3">
      <c r="B58" s="3"/>
      <c r="C58" s="74" t="s">
        <v>215</v>
      </c>
      <c r="D58" s="113"/>
      <c r="E58" s="113"/>
      <c r="F58" s="76" t="s">
        <v>130</v>
      </c>
      <c r="G58" s="76" t="s">
        <v>133</v>
      </c>
      <c r="H58" s="76" t="s">
        <v>133</v>
      </c>
      <c r="I58" s="76" t="s">
        <v>130</v>
      </c>
      <c r="J58" s="76" t="s">
        <v>130</v>
      </c>
      <c r="K58" s="76" t="s">
        <v>134</v>
      </c>
      <c r="L58" s="76" t="s">
        <v>134</v>
      </c>
      <c r="M58" s="76" t="s">
        <v>135</v>
      </c>
      <c r="N58" s="76" t="s">
        <v>135</v>
      </c>
      <c r="O58" s="76" t="s">
        <v>136</v>
      </c>
      <c r="P58" s="76" t="s">
        <v>136</v>
      </c>
      <c r="Q58" s="76" t="s">
        <v>137</v>
      </c>
      <c r="R58" s="76" t="s">
        <v>137</v>
      </c>
      <c r="S58" s="76" t="s">
        <v>138</v>
      </c>
      <c r="T58" s="76" t="s">
        <v>138</v>
      </c>
      <c r="U58" s="76" t="s">
        <v>139</v>
      </c>
      <c r="V58" s="76" t="s">
        <v>139</v>
      </c>
      <c r="W58" s="76" t="s">
        <v>140</v>
      </c>
      <c r="X58" s="77" t="s">
        <v>140</v>
      </c>
    </row>
    <row r="59" spans="2:24" ht="16.5" thickBot="1" x14ac:dyDescent="0.3">
      <c r="B59" s="3"/>
      <c r="C59" s="75" t="s">
        <v>116</v>
      </c>
      <c r="D59" s="114" t="s">
        <v>185</v>
      </c>
      <c r="E59" s="114" t="s">
        <v>186</v>
      </c>
      <c r="F59" s="78" t="s">
        <v>45</v>
      </c>
      <c r="G59" s="78" t="str">
        <f>CONCATENATE("Upgraded - ", G58)</f>
        <v>Upgraded - Base_Low</v>
      </c>
      <c r="H59" s="78" t="str">
        <f>CONCATENATE("Upgraded - ", H58)</f>
        <v>Upgraded - Base_Low</v>
      </c>
      <c r="I59" s="78" t="str">
        <f t="shared" ref="I59:W59" si="0">CONCATENATE("Upgraded - ", I58)</f>
        <v>Upgraded - Base</v>
      </c>
      <c r="J59" s="78" t="str">
        <f>CONCATENATE("Upgraded - ", J58)</f>
        <v>Upgraded - Base</v>
      </c>
      <c r="K59" s="78" t="str">
        <f t="shared" si="0"/>
        <v>Upgraded - Base_High</v>
      </c>
      <c r="L59" s="78" t="str">
        <f>CONCATENATE("Upgraded - ", L58)</f>
        <v>Upgraded - Base_High</v>
      </c>
      <c r="M59" s="78" t="str">
        <f t="shared" si="0"/>
        <v>Upgraded - Medium_Low</v>
      </c>
      <c r="N59" s="78" t="str">
        <f>CONCATENATE("Upgraded - ", N58)</f>
        <v>Upgraded - Medium_Low</v>
      </c>
      <c r="O59" s="78" t="str">
        <f t="shared" si="0"/>
        <v>Upgraded - Medium_Base</v>
      </c>
      <c r="P59" s="78" t="str">
        <f>CONCATENATE("Upgraded - ", P58)</f>
        <v>Upgraded - Medium_Base</v>
      </c>
      <c r="Q59" s="78" t="str">
        <f t="shared" si="0"/>
        <v>Upgraded - Medium_High</v>
      </c>
      <c r="R59" s="78" t="str">
        <f>CONCATENATE("Upgraded - ", R58)</f>
        <v>Upgraded - Medium_High</v>
      </c>
      <c r="S59" s="78" t="str">
        <f t="shared" si="0"/>
        <v>Upgraded - High_Low</v>
      </c>
      <c r="T59" s="78" t="str">
        <f>CONCATENATE("Upgraded - ", T58)</f>
        <v>Upgraded - High_Low</v>
      </c>
      <c r="U59" s="78" t="str">
        <f t="shared" si="0"/>
        <v>Upgraded - High_Base</v>
      </c>
      <c r="V59" s="78" t="str">
        <f>CONCATENATE("Upgraded - ", V58)</f>
        <v>Upgraded - High_Base</v>
      </c>
      <c r="W59" s="78" t="str">
        <f t="shared" si="0"/>
        <v>Upgraded - High_High</v>
      </c>
      <c r="X59" s="79" t="str">
        <f t="shared" ref="X59" si="1">CONCATENATE("Upgraded - ", X58)</f>
        <v>Upgraded - High_High</v>
      </c>
    </row>
    <row r="60" spans="2:24" x14ac:dyDescent="0.25">
      <c r="B60" s="362" t="s">
        <v>142</v>
      </c>
      <c r="C60" s="82" t="str">
        <f>LookUps!$G$5</f>
        <v>Wastewater collection; operation and infrastructure; m3 wastewater</v>
      </c>
      <c r="D60" s="115" t="str">
        <f>'AD Scenarios'!D14</f>
        <v>Wastewater collection; operation and infrastructure; m3 wastewater</v>
      </c>
      <c r="E60" s="104" t="str">
        <f>'AD Scenarios'!E14</f>
        <v>Wastewater collection; operation and infrastructure; m3 wastewater</v>
      </c>
      <c r="F60" s="256">
        <f>INDEX(OpenLCAbasic!$J:$J, MATCH(CONCATENATE("Base","_", F$58,"_","Legacy_",INDEX(LookUps!$E$5:$E$12,MATCH(F$57, LookUps!$C$5:$C$12,0)),"_",$E60,"_", $C$6,"_","n.a." ), OpenLCAbasic!$M:$M,0))</f>
        <v>1.3509999999999999E-2</v>
      </c>
      <c r="G60" s="256">
        <f>INDEX(OpenLCAbasic!$J:$J, MATCH(CONCATENATE($C$4,"_", G$58,"_","Upgraded_",INDEX(LookUps!$E$5:$E$12,MATCH(G$57, LookUps!$C$5:$C$12,0)),"_", $D60,"_", G$56, "_", $C$5), OpenLCAbasic!$M:$M,0))</f>
        <v>1.3509999999999999E-2</v>
      </c>
      <c r="H60" s="256">
        <f>INDEX(OpenLCAbasic!$J:$J, MATCH(CONCATENATE($C$4,"_", H$58,"_","Upgraded_",INDEX(LookUps!$E$5:$E$12,MATCH(H$57, LookUps!$C$5:$C$12,0)),"_", $D60,"_", H$56, "_", $C$5), OpenLCAbasic!$M:$M,0))</f>
        <v>1.3509999999999999E-2</v>
      </c>
      <c r="I60" s="256">
        <f>INDEX(OpenLCAbasic!$J:$J, MATCH(CONCATENATE($C$4,"_", I$58,"_","Upgraded_",INDEX(LookUps!$E$5:$E$12,MATCH(I$57, LookUps!$C$5:$C$12,0)),"_", $D60,"_", I$56, "_", $C$5), OpenLCAbasic!$M:$M,0))</f>
        <v>1.3509999999999999E-2</v>
      </c>
      <c r="J60" s="256">
        <f>INDEX(OpenLCAbasic!$J:$J, MATCH(CONCATENATE($C$4,"_", J$58,"_","Upgraded_",INDEX(LookUps!$E$5:$E$12,MATCH(J$57, LookUps!$C$5:$C$12,0)),"_", $D60,"_", J$56, "_", $C$5), OpenLCAbasic!$M:$M,0))</f>
        <v>1.3509999999999999E-2</v>
      </c>
      <c r="K60" s="256">
        <f>INDEX(OpenLCAbasic!$J:$J, MATCH(CONCATENATE($C$4,"_", K$58,"_","Upgraded_",INDEX(LookUps!$E$5:$E$12,MATCH(K$57, LookUps!$C$5:$C$12,0)),"_", $D60,"_", K$56, "_", $C$5), OpenLCAbasic!$M:$M,0))</f>
        <v>1.3509999999999999E-2</v>
      </c>
      <c r="L60" s="256">
        <f>INDEX(OpenLCAbasic!$J:$J, MATCH(CONCATENATE($C$4,"_", L$58,"_","Upgraded_",INDEX(LookUps!$E$5:$E$12,MATCH(L$57, LookUps!$C$5:$C$12,0)),"_", $D60,"_", L$56, "_", $C$5), OpenLCAbasic!$M:$M,0))</f>
        <v>1.3509999999999999E-2</v>
      </c>
      <c r="M60" s="256">
        <f>INDEX(OpenLCAbasic!$J:$J, MATCH(CONCATENATE($C$4,"_", M$58,"_","Upgraded_",INDEX(LookUps!$E$5:$E$12,MATCH(M$57, LookUps!$C$5:$C$12,0)),"_", $D60,"_", M$56, "_", $C$5), OpenLCAbasic!$M:$M,0))</f>
        <v>1.3509999999999999E-2</v>
      </c>
      <c r="N60" s="256">
        <f>INDEX(OpenLCAbasic!$J:$J, MATCH(CONCATENATE($C$4,"_", N$58,"_","Upgraded_",INDEX(LookUps!$E$5:$E$12,MATCH(N$57, LookUps!$C$5:$C$12,0)),"_", $D60,"_", N$56, "_", $C$5), OpenLCAbasic!$M:$M,0))</f>
        <v>1.3509999999999999E-2</v>
      </c>
      <c r="O60" s="256">
        <f>INDEX(OpenLCAbasic!$J:$J, MATCH(CONCATENATE($C$4,"_", O$58,"_","Upgraded_",INDEX(LookUps!$E$5:$E$12,MATCH(O$57, LookUps!$C$5:$C$12,0)),"_", $D60,"_", O$56, "_", $C$5), OpenLCAbasic!$M:$M,0))</f>
        <v>1.3509999999999999E-2</v>
      </c>
      <c r="P60" s="256">
        <f>INDEX(OpenLCAbasic!$J:$J, MATCH(CONCATENATE($C$4,"_", P$58,"_","Upgraded_",INDEX(LookUps!$E$5:$E$12,MATCH(P$57, LookUps!$C$5:$C$12,0)),"_", $D60,"_", P$56, "_", $C$5), OpenLCAbasic!$M:$M,0))</f>
        <v>1.3509999999999999E-2</v>
      </c>
      <c r="Q60" s="256">
        <f>INDEX(OpenLCAbasic!$J:$J, MATCH(CONCATENATE($C$4,"_", Q$58,"_","Upgraded_",INDEX(LookUps!$E$5:$E$12,MATCH(Q$57, LookUps!$C$5:$C$12,0)),"_", $D60,"_", Q$56, "_", $C$5), OpenLCAbasic!$M:$M,0))</f>
        <v>1.3509999999999999E-2</v>
      </c>
      <c r="R60" s="256">
        <f>INDEX(OpenLCAbasic!$J:$J, MATCH(CONCATENATE($C$4,"_", R$58,"_","Upgraded_",INDEX(LookUps!$E$5:$E$12,MATCH(R$57, LookUps!$C$5:$C$12,0)),"_", $D60,"_", R$56, "_", $C$5), OpenLCAbasic!$M:$M,0))</f>
        <v>1.3509999999999999E-2</v>
      </c>
      <c r="S60" s="256">
        <f>INDEX(OpenLCAbasic!$J:$J, MATCH(CONCATENATE($C$4,"_", S$58,"_","Upgraded_",INDEX(LookUps!$E$5:$E$12,MATCH(S$57, LookUps!$C$5:$C$12,0)),"_", $D60,"_", S$56, "_", $C$5), OpenLCAbasic!$M:$M,0))</f>
        <v>1.3509999999999999E-2</v>
      </c>
      <c r="T60" s="256">
        <f>INDEX(OpenLCAbasic!$J:$J, MATCH(CONCATENATE($C$4,"_", T$58,"_","Upgraded_",INDEX(LookUps!$E$5:$E$12,MATCH(T$57, LookUps!$C$5:$C$12,0)),"_", $D60,"_", T$56, "_", $C$5), OpenLCAbasic!$M:$M,0))</f>
        <v>1.3509999999999999E-2</v>
      </c>
      <c r="U60" s="256">
        <f>INDEX(OpenLCAbasic!$J:$J, MATCH(CONCATENATE($C$4,"_", U$58,"_","Upgraded_",INDEX(LookUps!$E$5:$E$12,MATCH(U$57, LookUps!$C$5:$C$12,0)),"_", $D60,"_", U$56, "_", $C$5), OpenLCAbasic!$M:$M,0))</f>
        <v>1.3509999999999999E-2</v>
      </c>
      <c r="V60" s="256">
        <f>INDEX(OpenLCAbasic!$J:$J, MATCH(CONCATENATE($C$4,"_", V$58,"_","Upgraded_",INDEX(LookUps!$E$5:$E$12,MATCH(V$57, LookUps!$C$5:$C$12,0)),"_", $D60,"_", V$56, "_", $C$5), OpenLCAbasic!$M:$M,0))</f>
        <v>1.3509999999999999E-2</v>
      </c>
      <c r="W60" s="256">
        <f>INDEX(OpenLCAbasic!$J:$J, MATCH(CONCATENATE($C$4,"_", W$58,"_","Upgraded_",INDEX(LookUps!$E$5:$E$12,MATCH(W$57, LookUps!$C$5:$C$12,0)),"_", $D60,"_", W$56, "_", $C$5), OpenLCAbasic!$M:$M,0))</f>
        <v>1.3509999999999999E-2</v>
      </c>
      <c r="X60" s="316">
        <f>INDEX(OpenLCAbasic!$J:$J, MATCH(CONCATENATE($C$4,"_", X$58,"_","Upgraded_",INDEX(LookUps!$E$5:$E$12,MATCH(X$57, LookUps!$C$5:$C$12,0)),"_", $D60,"_", X$56, "_", $C$5), OpenLCAbasic!$M:$M,0))</f>
        <v>1.3509999999999999E-2</v>
      </c>
    </row>
    <row r="61" spans="2:24" x14ac:dyDescent="0.25">
      <c r="B61" s="363"/>
      <c r="C61" s="81" t="str">
        <f>LookUps!$G$6</f>
        <v>Influent Pump Station; wastewater treatment unit; at updated plant - US</v>
      </c>
      <c r="D61" s="115" t="str">
        <f>'AD Scenarios'!D15</f>
        <v>Influent Pump Station; wastewater treatment unit; at updated plant - US</v>
      </c>
      <c r="E61" s="107"/>
      <c r="F61" s="258"/>
      <c r="G61" s="256">
        <f>INDEX(OpenLCAbasic!$J:$J, MATCH(CONCATENATE($C$4,"_", G$58,"_","Upgraded_",INDEX(LookUps!$E$5:$E$12,MATCH(G$57, LookUps!$C$5:$C$12,0)),"_", $D61,"_", G$56, "_", $C$5), OpenLCAbasic!$M:$M,0))</f>
        <v>5.0500000000000003E-2</v>
      </c>
      <c r="H61" s="256">
        <f>INDEX(OpenLCAbasic!$J:$J, MATCH(CONCATENATE($C$4,"_", H$58,"_","Upgraded_",INDEX(LookUps!$E$5:$E$12,MATCH(H$57, LookUps!$C$5:$C$12,0)),"_", $D61,"_", H$56, "_", $C$5), OpenLCAbasic!$M:$M,0))</f>
        <v>5.0500000000000003E-2</v>
      </c>
      <c r="I61" s="256">
        <f>INDEX(OpenLCAbasic!$J:$J, MATCH(CONCATENATE($C$4,"_", I$58,"_","Upgraded_",INDEX(LookUps!$E$5:$E$12,MATCH(I$57, LookUps!$C$5:$C$12,0)),"_", $D61,"_", I$56, "_", $C$5), OpenLCAbasic!$M:$M,0))</f>
        <v>5.0500000000000003E-2</v>
      </c>
      <c r="J61" s="256">
        <f>INDEX(OpenLCAbasic!$J:$J, MATCH(CONCATENATE($C$4,"_", J$58,"_","Upgraded_",INDEX(LookUps!$E$5:$E$12,MATCH(J$57, LookUps!$C$5:$C$12,0)),"_", $D61,"_", J$56, "_", $C$5), OpenLCAbasic!$M:$M,0))</f>
        <v>5.0500000000000003E-2</v>
      </c>
      <c r="K61" s="256">
        <f>INDEX(OpenLCAbasic!$J:$J, MATCH(CONCATENATE($C$4,"_", K$58,"_","Upgraded_",INDEX(LookUps!$E$5:$E$12,MATCH(K$57, LookUps!$C$5:$C$12,0)),"_", $D61,"_", K$56, "_", $C$5), OpenLCAbasic!$M:$M,0))</f>
        <v>5.0500000000000003E-2</v>
      </c>
      <c r="L61" s="256">
        <f>INDEX(OpenLCAbasic!$J:$J, MATCH(CONCATENATE($C$4,"_", L$58,"_","Upgraded_",INDEX(LookUps!$E$5:$E$12,MATCH(L$57, LookUps!$C$5:$C$12,0)),"_", $D61,"_", L$56, "_", $C$5), OpenLCAbasic!$M:$M,0))</f>
        <v>5.0500000000000003E-2</v>
      </c>
      <c r="M61" s="256">
        <f>INDEX(OpenLCAbasic!$J:$J, MATCH(CONCATENATE($C$4,"_", M$58,"_","Upgraded_",INDEX(LookUps!$E$5:$E$12,MATCH(M$57, LookUps!$C$5:$C$12,0)),"_", $D61,"_", M$56, "_", $C$5), OpenLCAbasic!$M:$M,0))</f>
        <v>5.0500000000000003E-2</v>
      </c>
      <c r="N61" s="256">
        <f>INDEX(OpenLCAbasic!$J:$J, MATCH(CONCATENATE($C$4,"_", N$58,"_","Upgraded_",INDEX(LookUps!$E$5:$E$12,MATCH(N$57, LookUps!$C$5:$C$12,0)),"_", $D61,"_", N$56, "_", $C$5), OpenLCAbasic!$M:$M,0))</f>
        <v>5.0500000000000003E-2</v>
      </c>
      <c r="O61" s="256">
        <f>INDEX(OpenLCAbasic!$J:$J, MATCH(CONCATENATE($C$4,"_", O$58,"_","Upgraded_",INDEX(LookUps!$E$5:$E$12,MATCH(O$57, LookUps!$C$5:$C$12,0)),"_", $D61,"_", O$56, "_", $C$5), OpenLCAbasic!$M:$M,0))</f>
        <v>5.0500000000000003E-2</v>
      </c>
      <c r="P61" s="256">
        <f>INDEX(OpenLCAbasic!$J:$J, MATCH(CONCATENATE($C$4,"_", P$58,"_","Upgraded_",INDEX(LookUps!$E$5:$E$12,MATCH(P$57, LookUps!$C$5:$C$12,0)),"_", $D61,"_", P$56, "_", $C$5), OpenLCAbasic!$M:$M,0))</f>
        <v>5.0500000000000003E-2</v>
      </c>
      <c r="Q61" s="256">
        <f>INDEX(OpenLCAbasic!$J:$J, MATCH(CONCATENATE($C$4,"_", Q$58,"_","Upgraded_",INDEX(LookUps!$E$5:$E$12,MATCH(Q$57, LookUps!$C$5:$C$12,0)),"_", $D61,"_", Q$56, "_", $C$5), OpenLCAbasic!$M:$M,0))</f>
        <v>5.0500000000000003E-2</v>
      </c>
      <c r="R61" s="256">
        <f>INDEX(OpenLCAbasic!$J:$J, MATCH(CONCATENATE($C$4,"_", R$58,"_","Upgraded_",INDEX(LookUps!$E$5:$E$12,MATCH(R$57, LookUps!$C$5:$C$12,0)),"_", $D61,"_", R$56, "_", $C$5), OpenLCAbasic!$M:$M,0))</f>
        <v>5.0500000000000003E-2</v>
      </c>
      <c r="S61" s="256">
        <f>INDEX(OpenLCAbasic!$J:$J, MATCH(CONCATENATE($C$4,"_", S$58,"_","Upgraded_",INDEX(LookUps!$E$5:$E$12,MATCH(S$57, LookUps!$C$5:$C$12,0)),"_", $D61,"_", S$56, "_", $C$5), OpenLCAbasic!$M:$M,0))</f>
        <v>5.0500000000000003E-2</v>
      </c>
      <c r="T61" s="256">
        <f>INDEX(OpenLCAbasic!$J:$J, MATCH(CONCATENATE($C$4,"_", T$58,"_","Upgraded_",INDEX(LookUps!$E$5:$E$12,MATCH(T$57, LookUps!$C$5:$C$12,0)),"_", $D61,"_", T$56, "_", $C$5), OpenLCAbasic!$M:$M,0))</f>
        <v>5.0500000000000003E-2</v>
      </c>
      <c r="U61" s="256">
        <f>INDEX(OpenLCAbasic!$J:$J, MATCH(CONCATENATE($C$4,"_", U$58,"_","Upgraded_",INDEX(LookUps!$E$5:$E$12,MATCH(U$57, LookUps!$C$5:$C$12,0)),"_", $D61,"_", U$56, "_", $C$5), OpenLCAbasic!$M:$M,0))</f>
        <v>5.0500000000000003E-2</v>
      </c>
      <c r="V61" s="256">
        <f>INDEX(OpenLCAbasic!$J:$J, MATCH(CONCATENATE($C$4,"_", V$58,"_","Upgraded_",INDEX(LookUps!$E$5:$E$12,MATCH(V$57, LookUps!$C$5:$C$12,0)),"_", $D61,"_", V$56, "_", $C$5), OpenLCAbasic!$M:$M,0))</f>
        <v>5.0500000000000003E-2</v>
      </c>
      <c r="W61" s="256">
        <f>INDEX(OpenLCAbasic!$J:$J, MATCH(CONCATENATE($C$4,"_", W$58,"_","Upgraded_",INDEX(LookUps!$E$5:$E$12,MATCH(W$57, LookUps!$C$5:$C$12,0)),"_", $D61,"_", W$56, "_", $C$5), OpenLCAbasic!$M:$M,0))</f>
        <v>5.0500000000000003E-2</v>
      </c>
      <c r="X61" s="316">
        <f>INDEX(OpenLCAbasic!$J:$J, MATCH(CONCATENATE($C$4,"_", X$58,"_","Upgraded_",INDEX(LookUps!$E$5:$E$12,MATCH(X$57, LookUps!$C$5:$C$12,0)),"_", $D61,"_", X$56, "_", $C$5), OpenLCAbasic!$M:$M,0))</f>
        <v>5.0500000000000003E-2</v>
      </c>
    </row>
    <row r="62" spans="2:24" x14ac:dyDescent="0.25">
      <c r="B62" s="363"/>
      <c r="C62" s="81" t="str">
        <f>LookUps!$H$6</f>
        <v>Screening and Grit Removal - US</v>
      </c>
      <c r="D62" s="116"/>
      <c r="E62" s="104" t="str">
        <f>'AD Scenarios'!E16</f>
        <v>Screening and Grit Removal - US</v>
      </c>
      <c r="F62" s="257">
        <f>INDEX(OpenLCAbasic!$J:$J, MATCH(CONCATENATE("Base","_", F$58,"_","Legacy_",INDEX(LookUps!$E$5:$E$12,MATCH(F$57, LookUps!$C$5:$C$12,0)),"_",$E62,"_", $C$6,"_","n.a." ), OpenLCAbasic!$M:$M,0))</f>
        <v>7.3200000000000001E-3</v>
      </c>
      <c r="G62" s="258"/>
      <c r="H62" s="258"/>
      <c r="I62" s="258"/>
      <c r="J62" s="258"/>
      <c r="K62" s="258"/>
      <c r="L62" s="258"/>
      <c r="M62" s="258"/>
      <c r="N62" s="258"/>
      <c r="O62" s="258"/>
      <c r="P62" s="258"/>
      <c r="Q62" s="258"/>
      <c r="R62" s="258"/>
      <c r="S62" s="258"/>
      <c r="T62" s="258"/>
      <c r="U62" s="258"/>
      <c r="V62" s="258"/>
      <c r="W62" s="258"/>
      <c r="X62" s="317"/>
    </row>
    <row r="63" spans="2:24" x14ac:dyDescent="0.25">
      <c r="B63" s="363"/>
      <c r="C63" s="81" t="str">
        <f>LookUps!$G$8</f>
        <v>Clear Cove Primary Clarification; wastewater treatment unit; at updated plant - US</v>
      </c>
      <c r="D63" s="115" t="str">
        <f>'AD Scenarios'!D17</f>
        <v>Clear Cove Primary Clarification; wastewater treatment unit; at updated plant - US</v>
      </c>
      <c r="E63" s="107"/>
      <c r="F63" s="258"/>
      <c r="G63" s="256">
        <f>INDEX(OpenLCAbasic!$J:$J, MATCH(CONCATENATE($C$4,"_", G$58,"_","Upgraded_",INDEX(LookUps!$E$5:$E$12,MATCH(G$57, LookUps!$C$5:$C$12,0)),"_", $D63,"_", G$56, "_", $C$5), OpenLCAbasic!$M:$M,0))</f>
        <v>5.7079999999999999E-2</v>
      </c>
      <c r="H63" s="256">
        <f>INDEX(OpenLCAbasic!$J:$J, MATCH(CONCATENATE($C$4,"_", H$58,"_","Upgraded_",INDEX(LookUps!$E$5:$E$12,MATCH(H$57, LookUps!$C$5:$C$12,0)),"_", $D63,"_", H$56, "_", $C$5), OpenLCAbasic!$M:$M,0))</f>
        <v>5.7079999999999999E-2</v>
      </c>
      <c r="I63" s="256">
        <f>INDEX(OpenLCAbasic!$J:$J, MATCH(CONCATENATE($C$4,"_", I$58,"_","Upgraded_",INDEX(LookUps!$E$5:$E$12,MATCH(I$57, LookUps!$C$5:$C$12,0)),"_", $D63,"_", I$56, "_", $C$5), OpenLCAbasic!$M:$M,0))</f>
        <v>5.7079999999999999E-2</v>
      </c>
      <c r="J63" s="256">
        <f>INDEX(OpenLCAbasic!$J:$J, MATCH(CONCATENATE($C$4,"_", J$58,"_","Upgraded_",INDEX(LookUps!$E$5:$E$12,MATCH(J$57, LookUps!$C$5:$C$12,0)),"_", $D63,"_", J$56, "_", $C$5), OpenLCAbasic!$M:$M,0))</f>
        <v>5.7079999999999999E-2</v>
      </c>
      <c r="K63" s="256">
        <f>INDEX(OpenLCAbasic!$J:$J, MATCH(CONCATENATE($C$4,"_", K$58,"_","Upgraded_",INDEX(LookUps!$E$5:$E$12,MATCH(K$57, LookUps!$C$5:$C$12,0)),"_", $D63,"_", K$56, "_", $C$5), OpenLCAbasic!$M:$M,0))</f>
        <v>5.7079999999999999E-2</v>
      </c>
      <c r="L63" s="256">
        <f>INDEX(OpenLCAbasic!$J:$J, MATCH(CONCATENATE($C$4,"_", L$58,"_","Upgraded_",INDEX(LookUps!$E$5:$E$12,MATCH(L$57, LookUps!$C$5:$C$12,0)),"_", $D63,"_", L$56, "_", $C$5), OpenLCAbasic!$M:$M,0))</f>
        <v>5.7079999999999999E-2</v>
      </c>
      <c r="M63" s="256">
        <f>INDEX(OpenLCAbasic!$J:$J, MATCH(CONCATENATE($C$4,"_", M$58,"_","Upgraded_",INDEX(LookUps!$E$5:$E$12,MATCH(M$57, LookUps!$C$5:$C$12,0)),"_", $D63,"_", M$56, "_", $C$5), OpenLCAbasic!$M:$M,0))</f>
        <v>5.7079999999999999E-2</v>
      </c>
      <c r="N63" s="256">
        <f>INDEX(OpenLCAbasic!$J:$J, MATCH(CONCATENATE($C$4,"_", N$58,"_","Upgraded_",INDEX(LookUps!$E$5:$E$12,MATCH(N$57, LookUps!$C$5:$C$12,0)),"_", $D63,"_", N$56, "_", $C$5), OpenLCAbasic!$M:$M,0))</f>
        <v>5.7079999999999999E-2</v>
      </c>
      <c r="O63" s="256">
        <f>INDEX(OpenLCAbasic!$J:$J, MATCH(CONCATENATE($C$4,"_", O$58,"_","Upgraded_",INDEX(LookUps!$E$5:$E$12,MATCH(O$57, LookUps!$C$5:$C$12,0)),"_", $D63,"_", O$56, "_", $C$5), OpenLCAbasic!$M:$M,0))</f>
        <v>5.7079999999999999E-2</v>
      </c>
      <c r="P63" s="256">
        <f>INDEX(OpenLCAbasic!$J:$J, MATCH(CONCATENATE($C$4,"_", P$58,"_","Upgraded_",INDEX(LookUps!$E$5:$E$12,MATCH(P$57, LookUps!$C$5:$C$12,0)),"_", $D63,"_", P$56, "_", $C$5), OpenLCAbasic!$M:$M,0))</f>
        <v>5.7079999999999999E-2</v>
      </c>
      <c r="Q63" s="256">
        <f>INDEX(OpenLCAbasic!$J:$J, MATCH(CONCATENATE($C$4,"_", Q$58,"_","Upgraded_",INDEX(LookUps!$E$5:$E$12,MATCH(Q$57, LookUps!$C$5:$C$12,0)),"_", $D63,"_", Q$56, "_", $C$5), OpenLCAbasic!$M:$M,0))</f>
        <v>5.7079999999999999E-2</v>
      </c>
      <c r="R63" s="256">
        <f>INDEX(OpenLCAbasic!$J:$J, MATCH(CONCATENATE($C$4,"_", R$58,"_","Upgraded_",INDEX(LookUps!$E$5:$E$12,MATCH(R$57, LookUps!$C$5:$C$12,0)),"_", $D63,"_", R$56, "_", $C$5), OpenLCAbasic!$M:$M,0))</f>
        <v>5.7079999999999999E-2</v>
      </c>
      <c r="S63" s="256">
        <f>INDEX(OpenLCAbasic!$J:$J, MATCH(CONCATENATE($C$4,"_", S$58,"_","Upgraded_",INDEX(LookUps!$E$5:$E$12,MATCH(S$57, LookUps!$C$5:$C$12,0)),"_", $D63,"_", S$56, "_", $C$5), OpenLCAbasic!$M:$M,0))</f>
        <v>5.7079999999999999E-2</v>
      </c>
      <c r="T63" s="256">
        <f>INDEX(OpenLCAbasic!$J:$J, MATCH(CONCATENATE($C$4,"_", T$58,"_","Upgraded_",INDEX(LookUps!$E$5:$E$12,MATCH(T$57, LookUps!$C$5:$C$12,0)),"_", $D63,"_", T$56, "_", $C$5), OpenLCAbasic!$M:$M,0))</f>
        <v>5.7079999999999999E-2</v>
      </c>
      <c r="U63" s="256">
        <f>INDEX(OpenLCAbasic!$J:$J, MATCH(CONCATENATE($C$4,"_", U$58,"_","Upgraded_",INDEX(LookUps!$E$5:$E$12,MATCH(U$57, LookUps!$C$5:$C$12,0)),"_", $D63,"_", U$56, "_", $C$5), OpenLCAbasic!$M:$M,0))</f>
        <v>5.7079999999999999E-2</v>
      </c>
      <c r="V63" s="256">
        <f>INDEX(OpenLCAbasic!$J:$J, MATCH(CONCATENATE($C$4,"_", V$58,"_","Upgraded_",INDEX(LookUps!$E$5:$E$12,MATCH(V$57, LookUps!$C$5:$C$12,0)),"_", $D63,"_", V$56, "_", $C$5), OpenLCAbasic!$M:$M,0))</f>
        <v>5.7079999999999999E-2</v>
      </c>
      <c r="W63" s="256">
        <f>INDEX(OpenLCAbasic!$J:$J, MATCH(CONCATENATE($C$4,"_", W$58,"_","Upgraded_",INDEX(LookUps!$E$5:$E$12,MATCH(W$57, LookUps!$C$5:$C$12,0)),"_", $D63,"_", W$56, "_", $C$5), OpenLCAbasic!$M:$M,0))</f>
        <v>5.7079999999999999E-2</v>
      </c>
      <c r="X63" s="316">
        <f>INDEX(OpenLCAbasic!$J:$J, MATCH(CONCATENATE($C$4,"_", X$58,"_","Upgraded_",INDEX(LookUps!$E$5:$E$12,MATCH(X$57, LookUps!$C$5:$C$12,0)),"_", $D63,"_", X$56, "_", $C$5), OpenLCAbasic!$M:$M,0))</f>
        <v>5.7079999999999999E-2</v>
      </c>
    </row>
    <row r="64" spans="2:24" x14ac:dyDescent="0.25">
      <c r="B64" s="363"/>
      <c r="C64" s="81" t="str">
        <f>LookUps!$H$8</f>
        <v>Primary Clarifier; wastewater treatment unit - US</v>
      </c>
      <c r="D64" s="116"/>
      <c r="E64" s="104" t="str">
        <f>'AD Scenarios'!E18</f>
        <v>Primary Clarifier; wastewater treatment unit - US</v>
      </c>
      <c r="F64" s="256">
        <f>INDEX(OpenLCAbasic!$J:$J, MATCH(CONCATENATE("Base","_", F$58,"_","Legacy_",INDEX(LookUps!$E$5:$E$12,MATCH(F$57, LookUps!$C$5:$C$12,0)),"_",$E64,"_", $C$6,"_","n.a." ), OpenLCAbasic!$M:$M,0))</f>
        <v>0.11262999999999999</v>
      </c>
      <c r="G64" s="258"/>
      <c r="H64" s="258"/>
      <c r="I64" s="258"/>
      <c r="J64" s="258"/>
      <c r="K64" s="258"/>
      <c r="L64" s="258"/>
      <c r="M64" s="258"/>
      <c r="N64" s="258"/>
      <c r="O64" s="258"/>
      <c r="P64" s="258"/>
      <c r="Q64" s="258"/>
      <c r="R64" s="258"/>
      <c r="S64" s="258"/>
      <c r="T64" s="258"/>
      <c r="U64" s="258"/>
      <c r="V64" s="258"/>
      <c r="W64" s="258"/>
      <c r="X64" s="317"/>
    </row>
    <row r="65" spans="2:24" x14ac:dyDescent="0.25">
      <c r="B65" s="363"/>
      <c r="C65" s="81" t="str">
        <f>LookUps!$G$17</f>
        <v>ClearCove SCP; wastewater treatment unit; at updated plant - US</v>
      </c>
      <c r="D65" s="115" t="str">
        <f>'AD Scenarios'!D19</f>
        <v>ClearCove SCP; wastewater treatment unit; at updated plant - US</v>
      </c>
      <c r="E65" s="107"/>
      <c r="F65" s="258"/>
      <c r="G65" s="257">
        <f>INDEX(OpenLCAbasic!$J:$J, MATCH(CONCATENATE($C$4,"_", G$58,"_","Upgraded_",INDEX(LookUps!$E$5:$E$12,MATCH(G$57, LookUps!$C$5:$C$12,0)),"_", $D65,"_", G$56, "_", $C$5), OpenLCAbasic!$M:$M,0))</f>
        <v>2.4099999999999998E-3</v>
      </c>
      <c r="H65" s="257">
        <f>INDEX(OpenLCAbasic!$J:$J, MATCH(CONCATENATE($C$4,"_", H$58,"_","Upgraded_",INDEX(LookUps!$E$5:$E$12,MATCH(H$57, LookUps!$C$5:$C$12,0)),"_", $D65,"_", H$56, "_", $C$5), OpenLCAbasic!$M:$M,0))</f>
        <v>2.4099999999999998E-3</v>
      </c>
      <c r="I65" s="257">
        <f>INDEX(OpenLCAbasic!$J:$J, MATCH(CONCATENATE($C$4,"_", I$58,"_","Upgraded_",INDEX(LookUps!$E$5:$E$12,MATCH(I$57, LookUps!$C$5:$C$12,0)),"_", $D65,"_", I$56, "_", $C$5), OpenLCAbasic!$M:$M,0))</f>
        <v>2.4099999999999998E-3</v>
      </c>
      <c r="J65" s="257">
        <f>INDEX(OpenLCAbasic!$J:$J, MATCH(CONCATENATE($C$4,"_", J$58,"_","Upgraded_",INDEX(LookUps!$E$5:$E$12,MATCH(J$57, LookUps!$C$5:$C$12,0)),"_", $D65,"_", J$56, "_", $C$5), OpenLCAbasic!$M:$M,0))</f>
        <v>2.4099999999999998E-3</v>
      </c>
      <c r="K65" s="257">
        <f>INDEX(OpenLCAbasic!$J:$J, MATCH(CONCATENATE($C$4,"_", K$58,"_","Upgraded_",INDEX(LookUps!$E$5:$E$12,MATCH(K$57, LookUps!$C$5:$C$12,0)),"_", $D65,"_", K$56, "_", $C$5), OpenLCAbasic!$M:$M,0))</f>
        <v>2.4099999999999998E-3</v>
      </c>
      <c r="L65" s="257">
        <f>INDEX(OpenLCAbasic!$J:$J, MATCH(CONCATENATE($C$4,"_", L$58,"_","Upgraded_",INDEX(LookUps!$E$5:$E$12,MATCH(L$57, LookUps!$C$5:$C$12,0)),"_", $D65,"_", L$56, "_", $C$5), OpenLCAbasic!$M:$M,0))</f>
        <v>2.4099999999999998E-3</v>
      </c>
      <c r="M65" s="257">
        <f>INDEX(OpenLCAbasic!$J:$J, MATCH(CONCATENATE($C$4,"_", M$58,"_","Upgraded_",INDEX(LookUps!$E$5:$E$12,MATCH(M$57, LookUps!$C$5:$C$12,0)),"_", $D65,"_", M$56, "_", $C$5), OpenLCAbasic!$M:$M,0))</f>
        <v>2.4099999999999998E-3</v>
      </c>
      <c r="N65" s="257">
        <f>INDEX(OpenLCAbasic!$J:$J, MATCH(CONCATENATE($C$4,"_", N$58,"_","Upgraded_",INDEX(LookUps!$E$5:$E$12,MATCH(N$57, LookUps!$C$5:$C$12,0)),"_", $D65,"_", N$56, "_", $C$5), OpenLCAbasic!$M:$M,0))</f>
        <v>2.4099999999999998E-3</v>
      </c>
      <c r="O65" s="257">
        <f>INDEX(OpenLCAbasic!$J:$J, MATCH(CONCATENATE($C$4,"_", O$58,"_","Upgraded_",INDEX(LookUps!$E$5:$E$12,MATCH(O$57, LookUps!$C$5:$C$12,0)),"_", $D65,"_", O$56, "_", $C$5), OpenLCAbasic!$M:$M,0))</f>
        <v>2.4099999999999998E-3</v>
      </c>
      <c r="P65" s="257">
        <f>INDEX(OpenLCAbasic!$J:$J, MATCH(CONCATENATE($C$4,"_", P$58,"_","Upgraded_",INDEX(LookUps!$E$5:$E$12,MATCH(P$57, LookUps!$C$5:$C$12,0)),"_", $D65,"_", P$56, "_", $C$5), OpenLCAbasic!$M:$M,0))</f>
        <v>2.4099999999999998E-3</v>
      </c>
      <c r="Q65" s="257">
        <f>INDEX(OpenLCAbasic!$J:$J, MATCH(CONCATENATE($C$4,"_", Q$58,"_","Upgraded_",INDEX(LookUps!$E$5:$E$12,MATCH(Q$57, LookUps!$C$5:$C$12,0)),"_", $D65,"_", Q$56, "_", $C$5), OpenLCAbasic!$M:$M,0))</f>
        <v>2.4099999999999998E-3</v>
      </c>
      <c r="R65" s="257">
        <f>INDEX(OpenLCAbasic!$J:$J, MATCH(CONCATENATE($C$4,"_", R$58,"_","Upgraded_",INDEX(LookUps!$E$5:$E$12,MATCH(R$57, LookUps!$C$5:$C$12,0)),"_", $D65,"_", R$56, "_", $C$5), OpenLCAbasic!$M:$M,0))</f>
        <v>2.4099999999999998E-3</v>
      </c>
      <c r="S65" s="257">
        <f>INDEX(OpenLCAbasic!$J:$J, MATCH(CONCATENATE($C$4,"_", S$58,"_","Upgraded_",INDEX(LookUps!$E$5:$E$12,MATCH(S$57, LookUps!$C$5:$C$12,0)),"_", $D65,"_", S$56, "_", $C$5), OpenLCAbasic!$M:$M,0))</f>
        <v>2.4099999999999998E-3</v>
      </c>
      <c r="T65" s="257">
        <f>INDEX(OpenLCAbasic!$J:$J, MATCH(CONCATENATE($C$4,"_", T$58,"_","Upgraded_",INDEX(LookUps!$E$5:$E$12,MATCH(T$57, LookUps!$C$5:$C$12,0)),"_", $D65,"_", T$56, "_", $C$5), OpenLCAbasic!$M:$M,0))</f>
        <v>2.4099999999999998E-3</v>
      </c>
      <c r="U65" s="257">
        <f>INDEX(OpenLCAbasic!$J:$J, MATCH(CONCATENATE($C$4,"_", U$58,"_","Upgraded_",INDEX(LookUps!$E$5:$E$12,MATCH(U$57, LookUps!$C$5:$C$12,0)),"_", $D65,"_", U$56, "_", $C$5), OpenLCAbasic!$M:$M,0))</f>
        <v>2.4099999999999998E-3</v>
      </c>
      <c r="V65" s="257">
        <f>INDEX(OpenLCAbasic!$J:$J, MATCH(CONCATENATE($C$4,"_", V$58,"_","Upgraded_",INDEX(LookUps!$E$5:$E$12,MATCH(V$57, LookUps!$C$5:$C$12,0)),"_", $D65,"_", V$56, "_", $C$5), OpenLCAbasic!$M:$M,0))</f>
        <v>2.4099999999999998E-3</v>
      </c>
      <c r="W65" s="257">
        <f>INDEX(OpenLCAbasic!$J:$J, MATCH(CONCATENATE($C$4,"_", W$58,"_","Upgraded_",INDEX(LookUps!$E$5:$E$12,MATCH(W$57, LookUps!$C$5:$C$12,0)),"_", $D65,"_", W$56, "_", $C$5), OpenLCAbasic!$M:$M,0))</f>
        <v>2.4099999999999998E-3</v>
      </c>
      <c r="X65" s="318">
        <f>INDEX(OpenLCAbasic!$J:$J, MATCH(CONCATENATE($C$4,"_", X$58,"_","Upgraded_",INDEX(LookUps!$E$5:$E$12,MATCH(X$57, LookUps!$C$5:$C$12,0)),"_", $D65,"_", X$56, "_", $C$5), OpenLCAbasic!$M:$M,0))</f>
        <v>2.4099999999999998E-3</v>
      </c>
    </row>
    <row r="66" spans="2:24" x14ac:dyDescent="0.25">
      <c r="B66" s="363"/>
      <c r="C66" s="81" t="str">
        <f>LookUps!$G$7</f>
        <v>Wet Well and Sump Station; wastewater treatment unit; at updated plant - US</v>
      </c>
      <c r="D66" s="115" t="str">
        <f>'AD Scenarios'!D20</f>
        <v>Wet Well and Sump Station; wastewater treatment unit; at updated plant - US</v>
      </c>
      <c r="E66" s="107"/>
      <c r="F66" s="258"/>
      <c r="G66" s="256">
        <f>INDEX(OpenLCAbasic!$J:$J, MATCH(CONCATENATE($C$4,"_", G$58,"_","Upgraded_",INDEX(LookUps!$E$5:$E$12,MATCH(G$57, LookUps!$C$5:$C$12,0)),"_", $D66,"_", G$56, "_", $C$5), OpenLCAbasic!$M:$M,0))</f>
        <v>3.3259999999999998E-2</v>
      </c>
      <c r="H66" s="256">
        <f>INDEX(OpenLCAbasic!$J:$J, MATCH(CONCATENATE($C$4,"_", H$58,"_","Upgraded_",INDEX(LookUps!$E$5:$E$12,MATCH(H$57, LookUps!$C$5:$C$12,0)),"_", $D66,"_", H$56, "_", $C$5), OpenLCAbasic!$M:$M,0))</f>
        <v>3.3259999999999998E-2</v>
      </c>
      <c r="I66" s="256">
        <f>INDEX(OpenLCAbasic!$J:$J, MATCH(CONCATENATE($C$4,"_", I$58,"_","Upgraded_",INDEX(LookUps!$E$5:$E$12,MATCH(I$57, LookUps!$C$5:$C$12,0)),"_", $D66,"_", I$56, "_", $C$5), OpenLCAbasic!$M:$M,0))</f>
        <v>3.3259999999999998E-2</v>
      </c>
      <c r="J66" s="256">
        <f>INDEX(OpenLCAbasic!$J:$J, MATCH(CONCATENATE($C$4,"_", J$58,"_","Upgraded_",INDEX(LookUps!$E$5:$E$12,MATCH(J$57, LookUps!$C$5:$C$12,0)),"_", $D66,"_", J$56, "_", $C$5), OpenLCAbasic!$M:$M,0))</f>
        <v>3.3259999999999998E-2</v>
      </c>
      <c r="K66" s="256">
        <f>INDEX(OpenLCAbasic!$J:$J, MATCH(CONCATENATE($C$4,"_", K$58,"_","Upgraded_",INDEX(LookUps!$E$5:$E$12,MATCH(K$57, LookUps!$C$5:$C$12,0)),"_", $D66,"_", K$56, "_", $C$5), OpenLCAbasic!$M:$M,0))</f>
        <v>3.3259999999999998E-2</v>
      </c>
      <c r="L66" s="256">
        <f>INDEX(OpenLCAbasic!$J:$J, MATCH(CONCATENATE($C$4,"_", L$58,"_","Upgraded_",INDEX(LookUps!$E$5:$E$12,MATCH(L$57, LookUps!$C$5:$C$12,0)),"_", $D66,"_", L$56, "_", $C$5), OpenLCAbasic!$M:$M,0))</f>
        <v>3.3259999999999998E-2</v>
      </c>
      <c r="M66" s="256">
        <f>INDEX(OpenLCAbasic!$J:$J, MATCH(CONCATENATE($C$4,"_", M$58,"_","Upgraded_",INDEX(LookUps!$E$5:$E$12,MATCH(M$57, LookUps!$C$5:$C$12,0)),"_", $D66,"_", M$56, "_", $C$5), OpenLCAbasic!$M:$M,0))</f>
        <v>3.3259999999999998E-2</v>
      </c>
      <c r="N66" s="256">
        <f>INDEX(OpenLCAbasic!$J:$J, MATCH(CONCATENATE($C$4,"_", N$58,"_","Upgraded_",INDEX(LookUps!$E$5:$E$12,MATCH(N$57, LookUps!$C$5:$C$12,0)),"_", $D66,"_", N$56, "_", $C$5), OpenLCAbasic!$M:$M,0))</f>
        <v>3.3259999999999998E-2</v>
      </c>
      <c r="O66" s="256">
        <f>INDEX(OpenLCAbasic!$J:$J, MATCH(CONCATENATE($C$4,"_", O$58,"_","Upgraded_",INDEX(LookUps!$E$5:$E$12,MATCH(O$57, LookUps!$C$5:$C$12,0)),"_", $D66,"_", O$56, "_", $C$5), OpenLCAbasic!$M:$M,0))</f>
        <v>3.3259999999999998E-2</v>
      </c>
      <c r="P66" s="256">
        <f>INDEX(OpenLCAbasic!$J:$J, MATCH(CONCATENATE($C$4,"_", P$58,"_","Upgraded_",INDEX(LookUps!$E$5:$E$12,MATCH(P$57, LookUps!$C$5:$C$12,0)),"_", $D66,"_", P$56, "_", $C$5), OpenLCAbasic!$M:$M,0))</f>
        <v>3.3259999999999998E-2</v>
      </c>
      <c r="Q66" s="256">
        <f>INDEX(OpenLCAbasic!$J:$J, MATCH(CONCATENATE($C$4,"_", Q$58,"_","Upgraded_",INDEX(LookUps!$E$5:$E$12,MATCH(Q$57, LookUps!$C$5:$C$12,0)),"_", $D66,"_", Q$56, "_", $C$5), OpenLCAbasic!$M:$M,0))</f>
        <v>3.3259999999999998E-2</v>
      </c>
      <c r="R66" s="256">
        <f>INDEX(OpenLCAbasic!$J:$J, MATCH(CONCATENATE($C$4,"_", R$58,"_","Upgraded_",INDEX(LookUps!$E$5:$E$12,MATCH(R$57, LookUps!$C$5:$C$12,0)),"_", $D66,"_", R$56, "_", $C$5), OpenLCAbasic!$M:$M,0))</f>
        <v>3.3259999999999998E-2</v>
      </c>
      <c r="S66" s="256">
        <f>INDEX(OpenLCAbasic!$J:$J, MATCH(CONCATENATE($C$4,"_", S$58,"_","Upgraded_",INDEX(LookUps!$E$5:$E$12,MATCH(S$57, LookUps!$C$5:$C$12,0)),"_", $D66,"_", S$56, "_", $C$5), OpenLCAbasic!$M:$M,0))</f>
        <v>3.3259999999999998E-2</v>
      </c>
      <c r="T66" s="256">
        <f>INDEX(OpenLCAbasic!$J:$J, MATCH(CONCATENATE($C$4,"_", T$58,"_","Upgraded_",INDEX(LookUps!$E$5:$E$12,MATCH(T$57, LookUps!$C$5:$C$12,0)),"_", $D66,"_", T$56, "_", $C$5), OpenLCAbasic!$M:$M,0))</f>
        <v>3.3259999999999998E-2</v>
      </c>
      <c r="U66" s="256">
        <f>INDEX(OpenLCAbasic!$J:$J, MATCH(CONCATENATE($C$4,"_", U$58,"_","Upgraded_",INDEX(LookUps!$E$5:$E$12,MATCH(U$57, LookUps!$C$5:$C$12,0)),"_", $D66,"_", U$56, "_", $C$5), OpenLCAbasic!$M:$M,0))</f>
        <v>3.3259999999999998E-2</v>
      </c>
      <c r="V66" s="256">
        <f>INDEX(OpenLCAbasic!$J:$J, MATCH(CONCATENATE($C$4,"_", V$58,"_","Upgraded_",INDEX(LookUps!$E$5:$E$12,MATCH(V$57, LookUps!$C$5:$C$12,0)),"_", $D66,"_", V$56, "_", $C$5), OpenLCAbasic!$M:$M,0))</f>
        <v>3.3259999999999998E-2</v>
      </c>
      <c r="W66" s="256">
        <f>INDEX(OpenLCAbasic!$J:$J, MATCH(CONCATENATE($C$4,"_", W$58,"_","Upgraded_",INDEX(LookUps!$E$5:$E$12,MATCH(W$57, LookUps!$C$5:$C$12,0)),"_", $D66,"_", W$56, "_", $C$5), OpenLCAbasic!$M:$M,0))</f>
        <v>3.3259999999999998E-2</v>
      </c>
      <c r="X66" s="316">
        <f>INDEX(OpenLCAbasic!$J:$J, MATCH(CONCATENATE($C$4,"_", X$58,"_","Upgraded_",INDEX(LookUps!$E$5:$E$12,MATCH(X$57, LookUps!$C$5:$C$12,0)),"_", $D66,"_", X$56, "_", $C$5), OpenLCAbasic!$M:$M,0))</f>
        <v>3.3259999999999998E-2</v>
      </c>
    </row>
    <row r="67" spans="2:24" x14ac:dyDescent="0.25">
      <c r="B67" s="363"/>
      <c r="C67" s="81" t="str">
        <f>LookUps!$G$13</f>
        <v>Pre-Anoxic &amp; Swing tank; wastewater treatment unit; at updated plant - US</v>
      </c>
      <c r="D67" s="115" t="str">
        <f>'AD Scenarios'!D21</f>
        <v>Pre-Anoxic &amp; Swing tank; wastewater treatment unit; at updated plant - US</v>
      </c>
      <c r="E67" s="107"/>
      <c r="F67" s="258"/>
      <c r="G67" s="256">
        <f>INDEX(OpenLCAbasic!$J:$J, MATCH(CONCATENATE($C$4,"_", G$58,"_","Upgraded_",INDEX(LookUps!$E$5:$E$12,MATCH(G$57, LookUps!$C$5:$C$12,0)),"_", $D67,"_", G$56, "_", $C$5), OpenLCAbasic!$M:$M,0))</f>
        <v>0.24279999999999999</v>
      </c>
      <c r="H67" s="256">
        <f>INDEX(OpenLCAbasic!$J:$J, MATCH(CONCATENATE($C$4,"_", H$58,"_","Upgraded_",INDEX(LookUps!$E$5:$E$12,MATCH(H$57, LookUps!$C$5:$C$12,0)),"_", $D67,"_", H$56, "_", $C$5), OpenLCAbasic!$M:$M,0))</f>
        <v>0.24279999999999999</v>
      </c>
      <c r="I67" s="256">
        <f>INDEX(OpenLCAbasic!$J:$J, MATCH(CONCATENATE($C$4,"_", I$58,"_","Upgraded_",INDEX(LookUps!$E$5:$E$12,MATCH(I$57, LookUps!$C$5:$C$12,0)),"_", $D67,"_", I$56, "_", $C$5), OpenLCAbasic!$M:$M,0))</f>
        <v>0.24279999999999999</v>
      </c>
      <c r="J67" s="256">
        <f>INDEX(OpenLCAbasic!$J:$J, MATCH(CONCATENATE($C$4,"_", J$58,"_","Upgraded_",INDEX(LookUps!$E$5:$E$12,MATCH(J$57, LookUps!$C$5:$C$12,0)),"_", $D67,"_", J$56, "_", $C$5), OpenLCAbasic!$M:$M,0))</f>
        <v>0.24279999999999999</v>
      </c>
      <c r="K67" s="256">
        <f>INDEX(OpenLCAbasic!$J:$J, MATCH(CONCATENATE($C$4,"_", K$58,"_","Upgraded_",INDEX(LookUps!$E$5:$E$12,MATCH(K$57, LookUps!$C$5:$C$12,0)),"_", $D67,"_", K$56, "_", $C$5), OpenLCAbasic!$M:$M,0))</f>
        <v>0.24279999999999999</v>
      </c>
      <c r="L67" s="256">
        <f>INDEX(OpenLCAbasic!$J:$J, MATCH(CONCATENATE($C$4,"_", L$58,"_","Upgraded_",INDEX(LookUps!$E$5:$E$12,MATCH(L$57, LookUps!$C$5:$C$12,0)),"_", $D67,"_", L$56, "_", $C$5), OpenLCAbasic!$M:$M,0))</f>
        <v>0.24279999999999999</v>
      </c>
      <c r="M67" s="256">
        <f>INDEX(OpenLCAbasic!$J:$J, MATCH(CONCATENATE($C$4,"_", M$58,"_","Upgraded_",INDEX(LookUps!$E$5:$E$12,MATCH(M$57, LookUps!$C$5:$C$12,0)),"_", $D67,"_", M$56, "_", $C$5), OpenLCAbasic!$M:$M,0))</f>
        <v>0.24568999999999999</v>
      </c>
      <c r="N67" s="256">
        <f>INDEX(OpenLCAbasic!$J:$J, MATCH(CONCATENATE($C$4,"_", N$58,"_","Upgraded_",INDEX(LookUps!$E$5:$E$12,MATCH(N$57, LookUps!$C$5:$C$12,0)),"_", $D67,"_", N$56, "_", $C$5), OpenLCAbasic!$M:$M,0))</f>
        <v>0.24568999999999999</v>
      </c>
      <c r="O67" s="256">
        <f>INDEX(OpenLCAbasic!$J:$J, MATCH(CONCATENATE($C$4,"_", O$58,"_","Upgraded_",INDEX(LookUps!$E$5:$E$12,MATCH(O$57, LookUps!$C$5:$C$12,0)),"_", $D67,"_", O$56, "_", $C$5), OpenLCAbasic!$M:$M,0))</f>
        <v>0.24568999999999999</v>
      </c>
      <c r="P67" s="256">
        <f>INDEX(OpenLCAbasic!$J:$J, MATCH(CONCATENATE($C$4,"_", P$58,"_","Upgraded_",INDEX(LookUps!$E$5:$E$12,MATCH(P$57, LookUps!$C$5:$C$12,0)),"_", $D67,"_", P$56, "_", $C$5), OpenLCAbasic!$M:$M,0))</f>
        <v>0.24568999999999999</v>
      </c>
      <c r="Q67" s="256">
        <f>INDEX(OpenLCAbasic!$J:$J, MATCH(CONCATENATE($C$4,"_", Q$58,"_","Upgraded_",INDEX(LookUps!$E$5:$E$12,MATCH(Q$57, LookUps!$C$5:$C$12,0)),"_", $D67,"_", Q$56, "_", $C$5), OpenLCAbasic!$M:$M,0))</f>
        <v>0.24568999999999999</v>
      </c>
      <c r="R67" s="256">
        <f>INDEX(OpenLCAbasic!$J:$J, MATCH(CONCATENATE($C$4,"_", R$58,"_","Upgraded_",INDEX(LookUps!$E$5:$E$12,MATCH(R$57, LookUps!$C$5:$C$12,0)),"_", $D67,"_", R$56, "_", $C$5), OpenLCAbasic!$M:$M,0))</f>
        <v>0.24568999999999999</v>
      </c>
      <c r="S67" s="256">
        <f>INDEX(OpenLCAbasic!$J:$J, MATCH(CONCATENATE($C$4,"_", S$58,"_","Upgraded_",INDEX(LookUps!$E$5:$E$12,MATCH(S$57, LookUps!$C$5:$C$12,0)),"_", $D67,"_", S$56, "_", $C$5), OpenLCAbasic!$M:$M,0))</f>
        <v>0.24992</v>
      </c>
      <c r="T67" s="256">
        <f>INDEX(OpenLCAbasic!$J:$J, MATCH(CONCATENATE($C$4,"_", T$58,"_","Upgraded_",INDEX(LookUps!$E$5:$E$12,MATCH(T$57, LookUps!$C$5:$C$12,0)),"_", $D67,"_", T$56, "_", $C$5), OpenLCAbasic!$M:$M,0))</f>
        <v>0.24992</v>
      </c>
      <c r="U67" s="256">
        <f>INDEX(OpenLCAbasic!$J:$J, MATCH(CONCATENATE($C$4,"_", U$58,"_","Upgraded_",INDEX(LookUps!$E$5:$E$12,MATCH(U$57, LookUps!$C$5:$C$12,0)),"_", $D67,"_", U$56, "_", $C$5), OpenLCAbasic!$M:$M,0))</f>
        <v>0.24992</v>
      </c>
      <c r="V67" s="256">
        <f>INDEX(OpenLCAbasic!$J:$J, MATCH(CONCATENATE($C$4,"_", V$58,"_","Upgraded_",INDEX(LookUps!$E$5:$E$12,MATCH(V$57, LookUps!$C$5:$C$12,0)),"_", $D67,"_", V$56, "_", $C$5), OpenLCAbasic!$M:$M,0))</f>
        <v>0.24992</v>
      </c>
      <c r="W67" s="256">
        <f>INDEX(OpenLCAbasic!$J:$J, MATCH(CONCATENATE($C$4,"_", W$58,"_","Upgraded_",INDEX(LookUps!$E$5:$E$12,MATCH(W$57, LookUps!$C$5:$C$12,0)),"_", $D67,"_", W$56, "_", $C$5), OpenLCAbasic!$M:$M,0))</f>
        <v>0.24992</v>
      </c>
      <c r="X67" s="316">
        <f>INDEX(OpenLCAbasic!$J:$J, MATCH(CONCATENATE($C$4,"_", X$58,"_","Upgraded_",INDEX(LookUps!$E$5:$E$12,MATCH(X$57, LookUps!$C$5:$C$12,0)),"_", $D67,"_", X$56, "_", $C$5), OpenLCAbasic!$M:$M,0))</f>
        <v>0.24992</v>
      </c>
    </row>
    <row r="68" spans="2:24" x14ac:dyDescent="0.25">
      <c r="B68" s="363"/>
      <c r="C68" s="81" t="str">
        <f>LookUps!$J$9</f>
        <v>Aeration Tanks; wastewater treatment unit - US</v>
      </c>
      <c r="D68" s="115" t="str">
        <f>'AD Scenarios'!D22</f>
        <v>Aeration Tanks; wastewater treatment unit; at updated plant - US</v>
      </c>
      <c r="E68" s="104" t="str">
        <f>'AD Scenarios'!E22</f>
        <v>Aeration Tanks; wastewater treatment unit - US</v>
      </c>
      <c r="F68" s="256">
        <f>INDEX(OpenLCAbasic!$J:$J, MATCH(CONCATENATE("Base","_", F$58,"_","Legacy_",INDEX(LookUps!$E$5:$E$12,MATCH(F$57, LookUps!$C$5:$C$12,0)),"_",$E68,"_", $C$6,"_","n.a." ), OpenLCAbasic!$M:$M,0))</f>
        <v>0.15987000000000001</v>
      </c>
      <c r="G68" s="256">
        <f>INDEX(OpenLCAbasic!$J:$J, MATCH(CONCATENATE($C$4,"_", G$58,"_","Upgraded_",INDEX(LookUps!$E$5:$E$12,MATCH(G$57, LookUps!$C$5:$C$12,0)),"_", $D68,"_", G$56, "_", $C$5), OpenLCAbasic!$M:$M,0))</f>
        <v>0.16822000000000001</v>
      </c>
      <c r="H68" s="256">
        <f>INDEX(OpenLCAbasic!$J:$J, MATCH(CONCATENATE($C$4,"_", H$58,"_","Upgraded_",INDEX(LookUps!$E$5:$E$12,MATCH(H$57, LookUps!$C$5:$C$12,0)),"_", $D68,"_", H$56, "_", $C$5), OpenLCAbasic!$M:$M,0))</f>
        <v>0.16822000000000001</v>
      </c>
      <c r="I68" s="256">
        <f>INDEX(OpenLCAbasic!$J:$J, MATCH(CONCATENATE($C$4,"_", I$58,"_","Upgraded_",INDEX(LookUps!$E$5:$E$12,MATCH(I$57, LookUps!$C$5:$C$12,0)),"_", $D68,"_", I$56, "_", $C$5), OpenLCAbasic!$M:$M,0))</f>
        <v>0.16822000000000001</v>
      </c>
      <c r="J68" s="256">
        <f>INDEX(OpenLCAbasic!$J:$J, MATCH(CONCATENATE($C$4,"_", J$58,"_","Upgraded_",INDEX(LookUps!$E$5:$E$12,MATCH(J$57, LookUps!$C$5:$C$12,0)),"_", $D68,"_", J$56, "_", $C$5), OpenLCAbasic!$M:$M,0))</f>
        <v>0.16822000000000001</v>
      </c>
      <c r="K68" s="256">
        <f>INDEX(OpenLCAbasic!$J:$J, MATCH(CONCATENATE($C$4,"_", K$58,"_","Upgraded_",INDEX(LookUps!$E$5:$E$12,MATCH(K$57, LookUps!$C$5:$C$12,0)),"_", $D68,"_", K$56, "_", $C$5), OpenLCAbasic!$M:$M,0))</f>
        <v>0.16822000000000001</v>
      </c>
      <c r="L68" s="256">
        <f>INDEX(OpenLCAbasic!$J:$J, MATCH(CONCATENATE($C$4,"_", L$58,"_","Upgraded_",INDEX(LookUps!$E$5:$E$12,MATCH(L$57, LookUps!$C$5:$C$12,0)),"_", $D68,"_", L$56, "_", $C$5), OpenLCAbasic!$M:$M,0))</f>
        <v>0.16822000000000001</v>
      </c>
      <c r="M68" s="256">
        <f>INDEX(OpenLCAbasic!$J:$J, MATCH(CONCATENATE($C$4,"_", M$58,"_","Upgraded_",INDEX(LookUps!$E$5:$E$12,MATCH(M$57, LookUps!$C$5:$C$12,0)),"_", $D68,"_", M$56, "_", $C$5), OpenLCAbasic!$M:$M,0))</f>
        <v>0.16822000000000001</v>
      </c>
      <c r="N68" s="256">
        <f>INDEX(OpenLCAbasic!$J:$J, MATCH(CONCATENATE($C$4,"_", N$58,"_","Upgraded_",INDEX(LookUps!$E$5:$E$12,MATCH(N$57, LookUps!$C$5:$C$12,0)),"_", $D68,"_", N$56, "_", $C$5), OpenLCAbasic!$M:$M,0))</f>
        <v>0.16822000000000001</v>
      </c>
      <c r="O68" s="256">
        <f>INDEX(OpenLCAbasic!$J:$J, MATCH(CONCATENATE($C$4,"_", O$58,"_","Upgraded_",INDEX(LookUps!$E$5:$E$12,MATCH(O$57, LookUps!$C$5:$C$12,0)),"_", $D68,"_", O$56, "_", $C$5), OpenLCAbasic!$M:$M,0))</f>
        <v>0.16822000000000001</v>
      </c>
      <c r="P68" s="256">
        <f>INDEX(OpenLCAbasic!$J:$J, MATCH(CONCATENATE($C$4,"_", P$58,"_","Upgraded_",INDEX(LookUps!$E$5:$E$12,MATCH(P$57, LookUps!$C$5:$C$12,0)),"_", $D68,"_", P$56, "_", $C$5), OpenLCAbasic!$M:$M,0))</f>
        <v>0.16822000000000001</v>
      </c>
      <c r="Q68" s="256">
        <f>INDEX(OpenLCAbasic!$J:$J, MATCH(CONCATENATE($C$4,"_", Q$58,"_","Upgraded_",INDEX(LookUps!$E$5:$E$12,MATCH(Q$57, LookUps!$C$5:$C$12,0)),"_", $D68,"_", Q$56, "_", $C$5), OpenLCAbasic!$M:$M,0))</f>
        <v>0.16822000000000001</v>
      </c>
      <c r="R68" s="256">
        <f>INDEX(OpenLCAbasic!$J:$J, MATCH(CONCATENATE($C$4,"_", R$58,"_","Upgraded_",INDEX(LookUps!$E$5:$E$12,MATCH(R$57, LookUps!$C$5:$C$12,0)),"_", $D68,"_", R$56, "_", $C$5), OpenLCAbasic!$M:$M,0))</f>
        <v>0.16822000000000001</v>
      </c>
      <c r="S68" s="256">
        <f>INDEX(OpenLCAbasic!$J:$J, MATCH(CONCATENATE($C$4,"_", S$58,"_","Upgraded_",INDEX(LookUps!$E$5:$E$12,MATCH(S$57, LookUps!$C$5:$C$12,0)),"_", $D68,"_", S$56, "_", $C$5), OpenLCAbasic!$M:$M,0))</f>
        <v>0.16822000000000001</v>
      </c>
      <c r="T68" s="256">
        <f>INDEX(OpenLCAbasic!$J:$J, MATCH(CONCATENATE($C$4,"_", T$58,"_","Upgraded_",INDEX(LookUps!$E$5:$E$12,MATCH(T$57, LookUps!$C$5:$C$12,0)),"_", $D68,"_", T$56, "_", $C$5), OpenLCAbasic!$M:$M,0))</f>
        <v>0.16822000000000001</v>
      </c>
      <c r="U68" s="256">
        <f>INDEX(OpenLCAbasic!$J:$J, MATCH(CONCATENATE($C$4,"_", U$58,"_","Upgraded_",INDEX(LookUps!$E$5:$E$12,MATCH(U$57, LookUps!$C$5:$C$12,0)),"_", $D68,"_", U$56, "_", $C$5), OpenLCAbasic!$M:$M,0))</f>
        <v>0.16822000000000001</v>
      </c>
      <c r="V68" s="256">
        <f>INDEX(OpenLCAbasic!$J:$J, MATCH(CONCATENATE($C$4,"_", V$58,"_","Upgraded_",INDEX(LookUps!$E$5:$E$12,MATCH(V$57, LookUps!$C$5:$C$12,0)),"_", $D68,"_", V$56, "_", $C$5), OpenLCAbasic!$M:$M,0))</f>
        <v>0.16822000000000001</v>
      </c>
      <c r="W68" s="256">
        <f>INDEX(OpenLCAbasic!$J:$J, MATCH(CONCATENATE($C$4,"_", W$58,"_","Upgraded_",INDEX(LookUps!$E$5:$E$12,MATCH(W$57, LookUps!$C$5:$C$12,0)),"_", $D68,"_", W$56, "_", $C$5), OpenLCAbasic!$M:$M,0))</f>
        <v>0.16822000000000001</v>
      </c>
      <c r="X68" s="316">
        <f>INDEX(OpenLCAbasic!$J:$J, MATCH(CONCATENATE($C$4,"_", X$58,"_","Upgraded_",INDEX(LookUps!$E$5:$E$12,MATCH(X$57, LookUps!$C$5:$C$12,0)),"_", $D68,"_", X$56, "_", $C$5), OpenLCAbasic!$M:$M,0))</f>
        <v>0.16822000000000001</v>
      </c>
    </row>
    <row r="69" spans="2:24" x14ac:dyDescent="0.25">
      <c r="B69" s="363"/>
      <c r="C69" s="81" t="str">
        <f>LookUps!$G$12</f>
        <v>Waste Receiving and Holding; wastewater treatment unit; at updated plant - US</v>
      </c>
      <c r="D69" s="115" t="str">
        <f>'AD Scenarios'!D23</f>
        <v>Waste Receiving and Holding; wastewater treatment unit; at updated plant - US</v>
      </c>
      <c r="E69" s="107"/>
      <c r="F69" s="258"/>
      <c r="G69" s="256">
        <f>INDEX(OpenLCAbasic!$J:$J, MATCH(CONCATENATE($C$4,"_", G$58,"_","Upgraded_",INDEX(LookUps!$E$5:$E$12,MATCH(G$57, LookUps!$C$5:$C$12,0)),"_", $D69,"_", G$56, "_", $C$5), OpenLCAbasic!$M:$M,0))</f>
        <v>0.10241</v>
      </c>
      <c r="H69" s="256">
        <f>INDEX(OpenLCAbasic!$J:$J, MATCH(CONCATENATE($C$4,"_", H$58,"_","Upgraded_",INDEX(LookUps!$E$5:$E$12,MATCH(H$57, LookUps!$C$5:$C$12,0)),"_", $D69,"_", H$56, "_", $C$5), OpenLCAbasic!$M:$M,0))</f>
        <v>0.10241</v>
      </c>
      <c r="I69" s="256">
        <f>INDEX(OpenLCAbasic!$J:$J, MATCH(CONCATENATE($C$4,"_", I$58,"_","Upgraded_",INDEX(LookUps!$E$5:$E$12,MATCH(I$57, LookUps!$C$5:$C$12,0)),"_", $D69,"_", I$56, "_", $C$5), OpenLCAbasic!$M:$M,0))</f>
        <v>0.10241</v>
      </c>
      <c r="J69" s="256">
        <f>INDEX(OpenLCAbasic!$J:$J, MATCH(CONCATENATE($C$4,"_", J$58,"_","Upgraded_",INDEX(LookUps!$E$5:$E$12,MATCH(J$57, LookUps!$C$5:$C$12,0)),"_", $D69,"_", J$56, "_", $C$5), OpenLCAbasic!$M:$M,0))</f>
        <v>0.10241</v>
      </c>
      <c r="K69" s="256">
        <f>INDEX(OpenLCAbasic!$J:$J, MATCH(CONCATENATE($C$4,"_", K$58,"_","Upgraded_",INDEX(LookUps!$E$5:$E$12,MATCH(K$57, LookUps!$C$5:$C$12,0)),"_", $D69,"_", K$56, "_", $C$5), OpenLCAbasic!$M:$M,0))</f>
        <v>0.10241</v>
      </c>
      <c r="L69" s="256">
        <f>INDEX(OpenLCAbasic!$J:$J, MATCH(CONCATENATE($C$4,"_", L$58,"_","Upgraded_",INDEX(LookUps!$E$5:$E$12,MATCH(L$57, LookUps!$C$5:$C$12,0)),"_", $D69,"_", L$56, "_", $C$5), OpenLCAbasic!$M:$M,0))</f>
        <v>0.10241</v>
      </c>
      <c r="M69" s="256">
        <f>INDEX(OpenLCAbasic!$J:$J, MATCH(CONCATENATE($C$4,"_", M$58,"_","Upgraded_",INDEX(LookUps!$E$5:$E$12,MATCH(M$57, LookUps!$C$5:$C$12,0)),"_", $D69,"_", M$56, "_", $C$5), OpenLCAbasic!$M:$M,0))</f>
        <v>0.12354999999999999</v>
      </c>
      <c r="N69" s="256">
        <f>INDEX(OpenLCAbasic!$J:$J, MATCH(CONCATENATE($C$4,"_", N$58,"_","Upgraded_",INDEX(LookUps!$E$5:$E$12,MATCH(N$57, LookUps!$C$5:$C$12,0)),"_", $D69,"_", N$56, "_", $C$5), OpenLCAbasic!$M:$M,0))</f>
        <v>0.12354999999999999</v>
      </c>
      <c r="O69" s="256">
        <f>INDEX(OpenLCAbasic!$J:$J, MATCH(CONCATENATE($C$4,"_", O$58,"_","Upgraded_",INDEX(LookUps!$E$5:$E$12,MATCH(O$57, LookUps!$C$5:$C$12,0)),"_", $D69,"_", O$56, "_", $C$5), OpenLCAbasic!$M:$M,0))</f>
        <v>0.12354999999999999</v>
      </c>
      <c r="P69" s="256">
        <f>INDEX(OpenLCAbasic!$J:$J, MATCH(CONCATENATE($C$4,"_", P$58,"_","Upgraded_",INDEX(LookUps!$E$5:$E$12,MATCH(P$57, LookUps!$C$5:$C$12,0)),"_", $D69,"_", P$56, "_", $C$5), OpenLCAbasic!$M:$M,0))</f>
        <v>0.12354999999999999</v>
      </c>
      <c r="Q69" s="256">
        <f>INDEX(OpenLCAbasic!$J:$J, MATCH(CONCATENATE($C$4,"_", Q$58,"_","Upgraded_",INDEX(LookUps!$E$5:$E$12,MATCH(Q$57, LookUps!$C$5:$C$12,0)),"_", $D69,"_", Q$56, "_", $C$5), OpenLCAbasic!$M:$M,0))</f>
        <v>0.12354999999999999</v>
      </c>
      <c r="R69" s="256">
        <f>INDEX(OpenLCAbasic!$J:$J, MATCH(CONCATENATE($C$4,"_", R$58,"_","Upgraded_",INDEX(LookUps!$E$5:$E$12,MATCH(R$57, LookUps!$C$5:$C$12,0)),"_", $D69,"_", R$56, "_", $C$5), OpenLCAbasic!$M:$M,0))</f>
        <v>0.12354999999999999</v>
      </c>
      <c r="S69" s="256">
        <f>INDEX(OpenLCAbasic!$J:$J, MATCH(CONCATENATE($C$4,"_", S$58,"_","Upgraded_",INDEX(LookUps!$E$5:$E$12,MATCH(S$57, LookUps!$C$5:$C$12,0)),"_", $D69,"_", S$56, "_", $C$5), OpenLCAbasic!$M:$M,0))</f>
        <v>0.14685000000000001</v>
      </c>
      <c r="T69" s="256">
        <f>INDEX(OpenLCAbasic!$J:$J, MATCH(CONCATENATE($C$4,"_", T$58,"_","Upgraded_",INDEX(LookUps!$E$5:$E$12,MATCH(T$57, LookUps!$C$5:$C$12,0)),"_", $D69,"_", T$56, "_", $C$5), OpenLCAbasic!$M:$M,0))</f>
        <v>0.14685000000000001</v>
      </c>
      <c r="U69" s="256">
        <f>INDEX(OpenLCAbasic!$J:$J, MATCH(CONCATENATE($C$4,"_", U$58,"_","Upgraded_",INDEX(LookUps!$E$5:$E$12,MATCH(U$57, LookUps!$C$5:$C$12,0)),"_", $D69,"_", U$56, "_", $C$5), OpenLCAbasic!$M:$M,0))</f>
        <v>0.14685000000000001</v>
      </c>
      <c r="V69" s="256">
        <f>INDEX(OpenLCAbasic!$J:$J, MATCH(CONCATENATE($C$4,"_", V$58,"_","Upgraded_",INDEX(LookUps!$E$5:$E$12,MATCH(V$57, LookUps!$C$5:$C$12,0)),"_", $D69,"_", V$56, "_", $C$5), OpenLCAbasic!$M:$M,0))</f>
        <v>0.14685000000000001</v>
      </c>
      <c r="W69" s="256">
        <f>INDEX(OpenLCAbasic!$J:$J, MATCH(CONCATENATE($C$4,"_", W$58,"_","Upgraded_",INDEX(LookUps!$E$5:$E$12,MATCH(W$57, LookUps!$C$5:$C$12,0)),"_", $D69,"_", W$56, "_", $C$5), OpenLCAbasic!$M:$M,0))</f>
        <v>0.14685000000000001</v>
      </c>
      <c r="X69" s="316">
        <f>INDEX(OpenLCAbasic!$J:$J, MATCH(CONCATENATE($C$4,"_", X$58,"_","Upgraded_",INDEX(LookUps!$E$5:$E$12,MATCH(X$57, LookUps!$C$5:$C$12,0)),"_", $D69,"_", X$56, "_", $C$5), OpenLCAbasic!$M:$M,0))</f>
        <v>0.14685000000000001</v>
      </c>
    </row>
    <row r="70" spans="2:24" x14ac:dyDescent="0.25">
      <c r="B70" s="363"/>
      <c r="C70" s="81" t="str">
        <f>LookUps!$G$11</f>
        <v>Gravity Belt Thickener; wastewater treatment unit; at updated plant - US</v>
      </c>
      <c r="D70" s="115" t="str">
        <f>'AD Scenarios'!D24</f>
        <v>Gravity Belt Thickener; wastewater treatment unit; at updated plant - US</v>
      </c>
      <c r="E70" s="107"/>
      <c r="F70" s="258"/>
      <c r="G70" s="256">
        <f>INDEX(OpenLCAbasic!$J:$J, MATCH(CONCATENATE($C$4,"_", G$58,"_","Upgraded_",INDEX(LookUps!$E$5:$E$12,MATCH(G$57, LookUps!$C$5:$C$12,0)),"_", $D70,"_", G$56, "_", $C$5), OpenLCAbasic!$M:$M,0))</f>
        <v>1.455E-2</v>
      </c>
      <c r="H70" s="256">
        <f>INDEX(OpenLCAbasic!$J:$J, MATCH(CONCATENATE($C$4,"_", H$58,"_","Upgraded_",INDEX(LookUps!$E$5:$E$12,MATCH(H$57, LookUps!$C$5:$C$12,0)),"_", $D70,"_", H$56, "_", $C$5), OpenLCAbasic!$M:$M,0))</f>
        <v>1.455E-2</v>
      </c>
      <c r="I70" s="256">
        <f>INDEX(OpenLCAbasic!$J:$J, MATCH(CONCATENATE($C$4,"_", I$58,"_","Upgraded_",INDEX(LookUps!$E$5:$E$12,MATCH(I$57, LookUps!$C$5:$C$12,0)),"_", $D70,"_", I$56, "_", $C$5), OpenLCAbasic!$M:$M,0))</f>
        <v>1.455E-2</v>
      </c>
      <c r="J70" s="256">
        <f>INDEX(OpenLCAbasic!$J:$J, MATCH(CONCATENATE($C$4,"_", J$58,"_","Upgraded_",INDEX(LookUps!$E$5:$E$12,MATCH(J$57, LookUps!$C$5:$C$12,0)),"_", $D70,"_", J$56, "_", $C$5), OpenLCAbasic!$M:$M,0))</f>
        <v>1.455E-2</v>
      </c>
      <c r="K70" s="256">
        <f>INDEX(OpenLCAbasic!$J:$J, MATCH(CONCATENATE($C$4,"_", K$58,"_","Upgraded_",INDEX(LookUps!$E$5:$E$12,MATCH(K$57, LookUps!$C$5:$C$12,0)),"_", $D70,"_", K$56, "_", $C$5), OpenLCAbasic!$M:$M,0))</f>
        <v>1.455E-2</v>
      </c>
      <c r="L70" s="256">
        <f>INDEX(OpenLCAbasic!$J:$J, MATCH(CONCATENATE($C$4,"_", L$58,"_","Upgraded_",INDEX(LookUps!$E$5:$E$12,MATCH(L$57, LookUps!$C$5:$C$12,0)),"_", $D70,"_", L$56, "_", $C$5), OpenLCAbasic!$M:$M,0))</f>
        <v>1.455E-2</v>
      </c>
      <c r="M70" s="256">
        <f>INDEX(OpenLCAbasic!$J:$J, MATCH(CONCATENATE($C$4,"_", M$58,"_","Upgraded_",INDEX(LookUps!$E$5:$E$12,MATCH(M$57, LookUps!$C$5:$C$12,0)),"_", $D70,"_", M$56, "_", $C$5), OpenLCAbasic!$M:$M,0))</f>
        <v>1.455E-2</v>
      </c>
      <c r="N70" s="256">
        <f>INDEX(OpenLCAbasic!$J:$J, MATCH(CONCATENATE($C$4,"_", N$58,"_","Upgraded_",INDEX(LookUps!$E$5:$E$12,MATCH(N$57, LookUps!$C$5:$C$12,0)),"_", $D70,"_", N$56, "_", $C$5), OpenLCAbasic!$M:$M,0))</f>
        <v>1.455E-2</v>
      </c>
      <c r="O70" s="256">
        <f>INDEX(OpenLCAbasic!$J:$J, MATCH(CONCATENATE($C$4,"_", O$58,"_","Upgraded_",INDEX(LookUps!$E$5:$E$12,MATCH(O$57, LookUps!$C$5:$C$12,0)),"_", $D70,"_", O$56, "_", $C$5), OpenLCAbasic!$M:$M,0))</f>
        <v>1.455E-2</v>
      </c>
      <c r="P70" s="256">
        <f>INDEX(OpenLCAbasic!$J:$J, MATCH(CONCATENATE($C$4,"_", P$58,"_","Upgraded_",INDEX(LookUps!$E$5:$E$12,MATCH(P$57, LookUps!$C$5:$C$12,0)),"_", $D70,"_", P$56, "_", $C$5), OpenLCAbasic!$M:$M,0))</f>
        <v>1.455E-2</v>
      </c>
      <c r="Q70" s="256">
        <f>INDEX(OpenLCAbasic!$J:$J, MATCH(CONCATENATE($C$4,"_", Q$58,"_","Upgraded_",INDEX(LookUps!$E$5:$E$12,MATCH(Q$57, LookUps!$C$5:$C$12,0)),"_", $D70,"_", Q$56, "_", $C$5), OpenLCAbasic!$M:$M,0))</f>
        <v>1.455E-2</v>
      </c>
      <c r="R70" s="256">
        <f>INDEX(OpenLCAbasic!$J:$J, MATCH(CONCATENATE($C$4,"_", R$58,"_","Upgraded_",INDEX(LookUps!$E$5:$E$12,MATCH(R$57, LookUps!$C$5:$C$12,0)),"_", $D70,"_", R$56, "_", $C$5), OpenLCAbasic!$M:$M,0))</f>
        <v>1.455E-2</v>
      </c>
      <c r="S70" s="256">
        <f>INDEX(OpenLCAbasic!$J:$J, MATCH(CONCATENATE($C$4,"_", S$58,"_","Upgraded_",INDEX(LookUps!$E$5:$E$12,MATCH(S$57, LookUps!$C$5:$C$12,0)),"_", $D70,"_", S$56, "_", $C$5), OpenLCAbasic!$M:$M,0))</f>
        <v>1.455E-2</v>
      </c>
      <c r="T70" s="256">
        <f>INDEX(OpenLCAbasic!$J:$J, MATCH(CONCATENATE($C$4,"_", T$58,"_","Upgraded_",INDEX(LookUps!$E$5:$E$12,MATCH(T$57, LookUps!$C$5:$C$12,0)),"_", $D70,"_", T$56, "_", $C$5), OpenLCAbasic!$M:$M,0))</f>
        <v>1.455E-2</v>
      </c>
      <c r="U70" s="256">
        <f>INDEX(OpenLCAbasic!$J:$J, MATCH(CONCATENATE($C$4,"_", U$58,"_","Upgraded_",INDEX(LookUps!$E$5:$E$12,MATCH(U$57, LookUps!$C$5:$C$12,0)),"_", $D70,"_", U$56, "_", $C$5), OpenLCAbasic!$M:$M,0))</f>
        <v>1.455E-2</v>
      </c>
      <c r="V70" s="256">
        <f>INDEX(OpenLCAbasic!$J:$J, MATCH(CONCATENATE($C$4,"_", V$58,"_","Upgraded_",INDEX(LookUps!$E$5:$E$12,MATCH(V$57, LookUps!$C$5:$C$12,0)),"_", $D70,"_", V$56, "_", $C$5), OpenLCAbasic!$M:$M,0))</f>
        <v>1.455E-2</v>
      </c>
      <c r="W70" s="256">
        <f>INDEX(OpenLCAbasic!$J:$J, MATCH(CONCATENATE($C$4,"_", W$58,"_","Upgraded_",INDEX(LookUps!$E$5:$E$12,MATCH(W$57, LookUps!$C$5:$C$12,0)),"_", $D70,"_", W$56, "_", $C$5), OpenLCAbasic!$M:$M,0))</f>
        <v>1.455E-2</v>
      </c>
      <c r="X70" s="316">
        <f>INDEX(OpenLCAbasic!$J:$J, MATCH(CONCATENATE($C$4,"_", X$58,"_","Upgraded_",INDEX(LookUps!$E$5:$E$12,MATCH(X$57, LookUps!$C$5:$C$12,0)),"_", $D70,"_", X$56, "_", $C$5), OpenLCAbasic!$M:$M,0))</f>
        <v>1.455E-2</v>
      </c>
    </row>
    <row r="71" spans="2:24" x14ac:dyDescent="0.25">
      <c r="B71" s="363"/>
      <c r="C71" s="81" t="str">
        <f>LookUps!$H$11</f>
        <v>Sludge Thickener; wastewater treatment unit - US</v>
      </c>
      <c r="D71" s="116"/>
      <c r="E71" s="104" t="str">
        <f>'AD Scenarios'!E25</f>
        <v>Sludge Thickener; wastewater treatment unit - US</v>
      </c>
      <c r="F71" s="257">
        <f>INDEX(OpenLCAbasic!$J:$J, MATCH(CONCATENATE("Base","_", F$58,"_","Legacy_",INDEX(LookUps!$E$5:$E$12,MATCH(F$57, LookUps!$C$5:$C$12,0)),"_",$E71,"_", $C$6,"_","n.a." ), OpenLCAbasic!$M:$M,0))</f>
        <v>9.3999999999999997E-4</v>
      </c>
      <c r="G71" s="258"/>
      <c r="H71" s="258"/>
      <c r="I71" s="258"/>
      <c r="J71" s="258"/>
      <c r="K71" s="258"/>
      <c r="L71" s="258"/>
      <c r="M71" s="258"/>
      <c r="N71" s="258"/>
      <c r="O71" s="258"/>
      <c r="P71" s="258"/>
      <c r="Q71" s="258"/>
      <c r="R71" s="258"/>
      <c r="S71" s="258"/>
      <c r="T71" s="258"/>
      <c r="U71" s="258"/>
      <c r="V71" s="258"/>
      <c r="W71" s="258"/>
      <c r="X71" s="317"/>
    </row>
    <row r="72" spans="2:24" x14ac:dyDescent="0.25">
      <c r="B72" s="363"/>
      <c r="C72" s="81" t="str">
        <f>LookUps!$G$14</f>
        <v>Blend Tank; wastewater treatment unit; at updated plant - US</v>
      </c>
      <c r="D72" s="115" t="str">
        <f>'AD Scenarios'!D26</f>
        <v>Blend Tank; wastewater treatment unit; at updated plant - US</v>
      </c>
      <c r="E72" s="107"/>
      <c r="F72" s="258"/>
      <c r="G72" s="257">
        <f>INDEX(OpenLCAbasic!$J:$J, MATCH(CONCATENATE($C$4,"_", G$58,"_","Upgraded_",INDEX(LookUps!$E$5:$E$12,MATCH(G$57, LookUps!$C$5:$C$12,0)),"_", $D72,"_", G$56, "_", $C$5), OpenLCAbasic!$M:$M,0))</f>
        <v>5.0400000000000002E-3</v>
      </c>
      <c r="H72" s="257">
        <f>INDEX(OpenLCAbasic!$J:$J, MATCH(CONCATENATE($C$4,"_", H$58,"_","Upgraded_",INDEX(LookUps!$E$5:$E$12,MATCH(H$57, LookUps!$C$5:$C$12,0)),"_", $D72,"_", H$56, "_", $C$5), OpenLCAbasic!$M:$M,0))</f>
        <v>5.0400000000000002E-3</v>
      </c>
      <c r="I72" s="257">
        <f>INDEX(OpenLCAbasic!$J:$J, MATCH(CONCATENATE($C$4,"_", I$58,"_","Upgraded_",INDEX(LookUps!$E$5:$E$12,MATCH(I$57, LookUps!$C$5:$C$12,0)),"_", $D72,"_", I$56, "_", $C$5), OpenLCAbasic!$M:$M,0))</f>
        <v>5.0400000000000002E-3</v>
      </c>
      <c r="J72" s="257">
        <f>INDEX(OpenLCAbasic!$J:$J, MATCH(CONCATENATE($C$4,"_", J$58,"_","Upgraded_",INDEX(LookUps!$E$5:$E$12,MATCH(J$57, LookUps!$C$5:$C$12,0)),"_", $D72,"_", J$56, "_", $C$5), OpenLCAbasic!$M:$M,0))</f>
        <v>5.0400000000000002E-3</v>
      </c>
      <c r="K72" s="257">
        <f>INDEX(OpenLCAbasic!$J:$J, MATCH(CONCATENATE($C$4,"_", K$58,"_","Upgraded_",INDEX(LookUps!$E$5:$E$12,MATCH(K$57, LookUps!$C$5:$C$12,0)),"_", $D72,"_", K$56, "_", $C$5), OpenLCAbasic!$M:$M,0))</f>
        <v>5.0400000000000002E-3</v>
      </c>
      <c r="L72" s="257">
        <f>INDEX(OpenLCAbasic!$J:$J, MATCH(CONCATENATE($C$4,"_", L$58,"_","Upgraded_",INDEX(LookUps!$E$5:$E$12,MATCH(L$57, LookUps!$C$5:$C$12,0)),"_", $D72,"_", L$56, "_", $C$5), OpenLCAbasic!$M:$M,0))</f>
        <v>5.0400000000000002E-3</v>
      </c>
      <c r="M72" s="257">
        <f>INDEX(OpenLCAbasic!$J:$J, MATCH(CONCATENATE($C$4,"_", M$58,"_","Upgraded_",INDEX(LookUps!$E$5:$E$12,MATCH(M$57, LookUps!$C$5:$C$12,0)),"_", $D72,"_", M$56, "_", $C$5), OpenLCAbasic!$M:$M,0))</f>
        <v>5.0400000000000002E-3</v>
      </c>
      <c r="N72" s="257">
        <f>INDEX(OpenLCAbasic!$J:$J, MATCH(CONCATENATE($C$4,"_", N$58,"_","Upgraded_",INDEX(LookUps!$E$5:$E$12,MATCH(N$57, LookUps!$C$5:$C$12,0)),"_", $D72,"_", N$56, "_", $C$5), OpenLCAbasic!$M:$M,0))</f>
        <v>5.0400000000000002E-3</v>
      </c>
      <c r="O72" s="257">
        <f>INDEX(OpenLCAbasic!$J:$J, MATCH(CONCATENATE($C$4,"_", O$58,"_","Upgraded_",INDEX(LookUps!$E$5:$E$12,MATCH(O$57, LookUps!$C$5:$C$12,0)),"_", $D72,"_", O$56, "_", $C$5), OpenLCAbasic!$M:$M,0))</f>
        <v>5.0400000000000002E-3</v>
      </c>
      <c r="P72" s="257">
        <f>INDEX(OpenLCAbasic!$J:$J, MATCH(CONCATENATE($C$4,"_", P$58,"_","Upgraded_",INDEX(LookUps!$E$5:$E$12,MATCH(P$57, LookUps!$C$5:$C$12,0)),"_", $D72,"_", P$56, "_", $C$5), OpenLCAbasic!$M:$M,0))</f>
        <v>5.0400000000000002E-3</v>
      </c>
      <c r="Q72" s="257">
        <f>INDEX(OpenLCAbasic!$J:$J, MATCH(CONCATENATE($C$4,"_", Q$58,"_","Upgraded_",INDEX(LookUps!$E$5:$E$12,MATCH(Q$57, LookUps!$C$5:$C$12,0)),"_", $D72,"_", Q$56, "_", $C$5), OpenLCAbasic!$M:$M,0))</f>
        <v>5.0400000000000002E-3</v>
      </c>
      <c r="R72" s="257">
        <f>INDEX(OpenLCAbasic!$J:$J, MATCH(CONCATENATE($C$4,"_", R$58,"_","Upgraded_",INDEX(LookUps!$E$5:$E$12,MATCH(R$57, LookUps!$C$5:$C$12,0)),"_", $D72,"_", R$56, "_", $C$5), OpenLCAbasic!$M:$M,0))</f>
        <v>5.0400000000000002E-3</v>
      </c>
      <c r="S72" s="257">
        <f>INDEX(OpenLCAbasic!$J:$J, MATCH(CONCATENATE($C$4,"_", S$58,"_","Upgraded_",INDEX(LookUps!$E$5:$E$12,MATCH(S$57, LookUps!$C$5:$C$12,0)),"_", $D72,"_", S$56, "_", $C$5), OpenLCAbasic!$M:$M,0))</f>
        <v>5.0400000000000002E-3</v>
      </c>
      <c r="T72" s="257">
        <f>INDEX(OpenLCAbasic!$J:$J, MATCH(CONCATENATE($C$4,"_", T$58,"_","Upgraded_",INDEX(LookUps!$E$5:$E$12,MATCH(T$57, LookUps!$C$5:$C$12,0)),"_", $D72,"_", T$56, "_", $C$5), OpenLCAbasic!$M:$M,0))</f>
        <v>5.0400000000000002E-3</v>
      </c>
      <c r="U72" s="257">
        <f>INDEX(OpenLCAbasic!$J:$J, MATCH(CONCATENATE($C$4,"_", U$58,"_","Upgraded_",INDEX(LookUps!$E$5:$E$12,MATCH(U$57, LookUps!$C$5:$C$12,0)),"_", $D72,"_", U$56, "_", $C$5), OpenLCAbasic!$M:$M,0))</f>
        <v>5.0400000000000002E-3</v>
      </c>
      <c r="V72" s="257">
        <f>INDEX(OpenLCAbasic!$J:$J, MATCH(CONCATENATE($C$4,"_", V$58,"_","Upgraded_",INDEX(LookUps!$E$5:$E$12,MATCH(V$57, LookUps!$C$5:$C$12,0)),"_", $D72,"_", V$56, "_", $C$5), OpenLCAbasic!$M:$M,0))</f>
        <v>5.0400000000000002E-3</v>
      </c>
      <c r="W72" s="257">
        <f>INDEX(OpenLCAbasic!$J:$J, MATCH(CONCATENATE($C$4,"_", W$58,"_","Upgraded_",INDEX(LookUps!$E$5:$E$12,MATCH(W$57, LookUps!$C$5:$C$12,0)),"_", $D72,"_", W$56, "_", $C$5), OpenLCAbasic!$M:$M,0))</f>
        <v>5.0400000000000002E-3</v>
      </c>
      <c r="X72" s="318">
        <f>INDEX(OpenLCAbasic!$J:$J, MATCH(CONCATENATE($C$4,"_", X$58,"_","Upgraded_",INDEX(LookUps!$E$5:$E$12,MATCH(X$57, LookUps!$C$5:$C$12,0)),"_", $D72,"_", X$56, "_", $C$5), OpenLCAbasic!$M:$M,0))</f>
        <v>5.0400000000000002E-3</v>
      </c>
    </row>
    <row r="73" spans="2:24" x14ac:dyDescent="0.25">
      <c r="B73" s="363"/>
      <c r="C73" s="81" t="str">
        <f>LookUps!$G$19</f>
        <v>Anaerobic Digestion; wastewater treatment unit; at updated plant - US</v>
      </c>
      <c r="D73" s="115" t="str">
        <f>'AD Scenarios'!D27</f>
        <v>Anaerobic Digestion; wastewater treatment unit; at updated plant - US</v>
      </c>
      <c r="E73" s="107"/>
      <c r="F73" s="258"/>
      <c r="G73" s="256">
        <f>INDEX(OpenLCAbasic!$J:$J, MATCH(CONCATENATE($C$4,"_", G$58,"_","Upgraded_",INDEX(LookUps!$E$5:$E$12,MATCH(G$57, LookUps!$C$5:$C$12,0)),"_", $D73,"_", G$56, "_", $C$5), OpenLCAbasic!$M:$M,0))</f>
        <v>0.17544999999999999</v>
      </c>
      <c r="H73" s="256">
        <f>INDEX(OpenLCAbasic!$J:$J, MATCH(CONCATENATE($C$4,"_", H$58,"_","Upgraded_",INDEX(LookUps!$E$5:$E$12,MATCH(H$57, LookUps!$C$5:$C$12,0)),"_", $D73,"_", H$56, "_", $C$5), OpenLCAbasic!$M:$M,0))</f>
        <v>0.17544999999999999</v>
      </c>
      <c r="I73" s="256">
        <f>INDEX(OpenLCAbasic!$J:$J, MATCH(CONCATENATE($C$4,"_", I$58,"_","Upgraded_",INDEX(LookUps!$E$5:$E$12,MATCH(I$57, LookUps!$C$5:$C$12,0)),"_", $D73,"_", I$56, "_", $C$5), OpenLCAbasic!$M:$M,0))</f>
        <v>-5.6640000000000003E-2</v>
      </c>
      <c r="J73" s="256">
        <f>INDEX(OpenLCAbasic!$J:$J, MATCH(CONCATENATE($C$4,"_", J$58,"_","Upgraded_",INDEX(LookUps!$E$5:$E$12,MATCH(J$57, LookUps!$C$5:$C$12,0)),"_", $D73,"_", J$56, "_", $C$5), OpenLCAbasic!$M:$M,0))</f>
        <v>-5.6640000000000003E-2</v>
      </c>
      <c r="K73" s="256">
        <f>INDEX(OpenLCAbasic!$J:$J, MATCH(CONCATENATE($C$4,"_", K$58,"_","Upgraded_",INDEX(LookUps!$E$5:$E$12,MATCH(K$57, LookUps!$C$5:$C$12,0)),"_", $D73,"_", K$56, "_", $C$5), OpenLCAbasic!$M:$M,0))</f>
        <v>-0.44908999999999999</v>
      </c>
      <c r="L73" s="256">
        <f>INDEX(OpenLCAbasic!$J:$J, MATCH(CONCATENATE($C$4,"_", L$58,"_","Upgraded_",INDEX(LookUps!$E$5:$E$12,MATCH(L$57, LookUps!$C$5:$C$12,0)),"_", $D73,"_", L$56, "_", $C$5), OpenLCAbasic!$M:$M,0))</f>
        <v>-0.44908999999999999</v>
      </c>
      <c r="M73" s="256">
        <f>INDEX(OpenLCAbasic!$J:$J, MATCH(CONCATENATE($C$4,"_", M$58,"_","Upgraded_",INDEX(LookUps!$E$5:$E$12,MATCH(M$57, LookUps!$C$5:$C$12,0)),"_", $D73,"_", M$56, "_", $C$5), OpenLCAbasic!$M:$M,0))</f>
        <v>6.3659999999999994E-2</v>
      </c>
      <c r="N73" s="256">
        <f>INDEX(OpenLCAbasic!$J:$J, MATCH(CONCATENATE($C$4,"_", N$58,"_","Upgraded_",INDEX(LookUps!$E$5:$E$12,MATCH(N$57, LookUps!$C$5:$C$12,0)),"_", $D73,"_", N$56, "_", $C$5), OpenLCAbasic!$M:$M,0))</f>
        <v>6.3659999999999994E-2</v>
      </c>
      <c r="O73" s="256">
        <f>INDEX(OpenLCAbasic!$J:$J, MATCH(CONCATENATE($C$4,"_", O$58,"_","Upgraded_",INDEX(LookUps!$E$5:$E$12,MATCH(O$57, LookUps!$C$5:$C$12,0)),"_", $D73,"_", O$56, "_", $C$5), OpenLCAbasic!$M:$M,0))</f>
        <v>-0.36997999999999998</v>
      </c>
      <c r="P73" s="256">
        <f>INDEX(OpenLCAbasic!$J:$J, MATCH(CONCATENATE($C$4,"_", P$58,"_","Upgraded_",INDEX(LookUps!$E$5:$E$12,MATCH(P$57, LookUps!$C$5:$C$12,0)),"_", $D73,"_", P$56, "_", $C$5), OpenLCAbasic!$M:$M,0))</f>
        <v>-0.36997999999999998</v>
      </c>
      <c r="Q73" s="256">
        <f>INDEX(OpenLCAbasic!$J:$J, MATCH(CONCATENATE($C$4,"_", Q$58,"_","Upgraded_",INDEX(LookUps!$E$5:$E$12,MATCH(Q$57, LookUps!$C$5:$C$12,0)),"_", $D73,"_", Q$56, "_", $C$5), OpenLCAbasic!$M:$M,0))</f>
        <v>-0.60107999999999995</v>
      </c>
      <c r="R73" s="256">
        <f>INDEX(OpenLCAbasic!$J:$J, MATCH(CONCATENATE($C$4,"_", R$58,"_","Upgraded_",INDEX(LookUps!$E$5:$E$12,MATCH(R$57, LookUps!$C$5:$C$12,0)),"_", $D73,"_", R$56, "_", $C$5), OpenLCAbasic!$M:$M,0))</f>
        <v>-0.60107999999999995</v>
      </c>
      <c r="S73" s="256">
        <f>INDEX(OpenLCAbasic!$J:$J, MATCH(CONCATENATE($C$4,"_", S$58,"_","Upgraded_",INDEX(LookUps!$E$5:$E$12,MATCH(S$57, LookUps!$C$5:$C$12,0)),"_", $D73,"_", S$56, "_", $C$5), OpenLCAbasic!$M:$M,0))</f>
        <v>-0.17055999999999999</v>
      </c>
      <c r="T73" s="256">
        <f>INDEX(OpenLCAbasic!$J:$J, MATCH(CONCATENATE($C$4,"_", T$58,"_","Upgraded_",INDEX(LookUps!$E$5:$E$12,MATCH(T$57, LookUps!$C$5:$C$12,0)),"_", $D73,"_", T$56, "_", $C$5), OpenLCAbasic!$M:$M,0))</f>
        <v>-0.17055999999999999</v>
      </c>
      <c r="U73" s="256">
        <f>INDEX(OpenLCAbasic!$J:$J, MATCH(CONCATENATE($C$4,"_", U$58,"_","Upgraded_",INDEX(LookUps!$E$5:$E$12,MATCH(U$57, LookUps!$C$5:$C$12,0)),"_", $D73,"_", U$56, "_", $C$5), OpenLCAbasic!$M:$M,0))</f>
        <v>-0.57099</v>
      </c>
      <c r="V73" s="256">
        <f>INDEX(OpenLCAbasic!$J:$J, MATCH(CONCATENATE($C$4,"_", V$58,"_","Upgraded_",INDEX(LookUps!$E$5:$E$12,MATCH(V$57, LookUps!$C$5:$C$12,0)),"_", $D73,"_", V$56, "_", $C$5), OpenLCAbasic!$M:$M,0))</f>
        <v>-0.57099</v>
      </c>
      <c r="W73" s="256">
        <f>INDEX(OpenLCAbasic!$J:$J, MATCH(CONCATENATE($C$4,"_", W$58,"_","Upgraded_",INDEX(LookUps!$E$5:$E$12,MATCH(W$57, LookUps!$C$5:$C$12,0)),"_", $D73,"_", W$56, "_", $C$5), OpenLCAbasic!$M:$M,0))</f>
        <v>-0.88992000000000004</v>
      </c>
      <c r="X73" s="316">
        <f>INDEX(OpenLCAbasic!$J:$J, MATCH(CONCATENATE($C$4,"_", X$58,"_","Upgraded_",INDEX(LookUps!$E$5:$E$12,MATCH(X$57, LookUps!$C$5:$C$12,0)),"_", $D73,"_", X$56, "_", $C$5), OpenLCAbasic!$M:$M,0))</f>
        <v>-0.88992000000000004</v>
      </c>
    </row>
    <row r="74" spans="2:24" x14ac:dyDescent="0.25">
      <c r="B74" s="363"/>
      <c r="C74" s="81" t="str">
        <f>LookUps!$H$19</f>
        <v>Aerobic Digester; wastewater treatment unit - US</v>
      </c>
      <c r="D74" s="116"/>
      <c r="E74" s="104" t="str">
        <f>'AD Scenarios'!E28</f>
        <v>Aerobic Digester; wastewater treatment unit - US</v>
      </c>
      <c r="F74" s="256">
        <f>INDEX(OpenLCAbasic!$J:$J, MATCH(CONCATENATE("Base","_", F$58,"_","Legacy_",INDEX(LookUps!$E$5:$E$12,MATCH(F$57, LookUps!$C$5:$C$12,0)),"_",$E74,"_", $C$6,"_","n.a." ), OpenLCAbasic!$M:$M,0))</f>
        <v>0.22309000000000001</v>
      </c>
      <c r="G74" s="258"/>
      <c r="H74" s="258"/>
      <c r="I74" s="258"/>
      <c r="J74" s="258"/>
      <c r="K74" s="258"/>
      <c r="L74" s="258"/>
      <c r="M74" s="258"/>
      <c r="N74" s="258"/>
      <c r="O74" s="258"/>
      <c r="P74" s="258"/>
      <c r="Q74" s="258"/>
      <c r="R74" s="258"/>
      <c r="S74" s="258"/>
      <c r="T74" s="258"/>
      <c r="U74" s="258"/>
      <c r="V74" s="258"/>
      <c r="W74" s="258"/>
      <c r="X74" s="317"/>
    </row>
    <row r="75" spans="2:24" x14ac:dyDescent="0.25">
      <c r="B75" s="363"/>
      <c r="C75" s="81" t="str">
        <f>LookUps!$J$15</f>
        <v>Belt filter press; wastewater treatment unit - US</v>
      </c>
      <c r="D75" s="115" t="str">
        <f>'AD Scenarios'!D29</f>
        <v>Belt filter press; wastewater treatment unit; at updated plant - US</v>
      </c>
      <c r="E75" s="104" t="str">
        <f>'AD Scenarios'!E29</f>
        <v>Belt filter press; wastewater treatment unit - US</v>
      </c>
      <c r="F75" s="257">
        <f>INDEX(OpenLCAbasic!$J:$J, MATCH(CONCATENATE("Base","_", F$58,"_","Legacy_",INDEX(LookUps!$E$5:$E$12,MATCH(F$57, LookUps!$C$5:$C$12,0)),"_",$E75,"_", $C$6,"_","n.a." ), OpenLCAbasic!$M:$M,0))</f>
        <v>7.4400000000000004E-3</v>
      </c>
      <c r="G75" s="256">
        <f>INDEX(OpenLCAbasic!$J:$J, MATCH(CONCATENATE($C$4,"_", G$58,"_","Upgraded_",INDEX(LookUps!$E$5:$E$12,MATCH(G$57, LookUps!$C$5:$C$12,0)),"_", $D75,"_", G$56, "_", $C$5), OpenLCAbasic!$M:$M,0))</f>
        <v>1.418E-2</v>
      </c>
      <c r="H75" s="256">
        <f>INDEX(OpenLCAbasic!$J:$J, MATCH(CONCATENATE($C$4,"_", H$58,"_","Upgraded_",INDEX(LookUps!$E$5:$E$12,MATCH(H$57, LookUps!$C$5:$C$12,0)),"_", $D75,"_", H$56, "_", $C$5), OpenLCAbasic!$M:$M,0))</f>
        <v>1.418E-2</v>
      </c>
      <c r="I75" s="256">
        <f>INDEX(OpenLCAbasic!$J:$J, MATCH(CONCATENATE($C$4,"_", I$58,"_","Upgraded_",INDEX(LookUps!$E$5:$E$12,MATCH(I$57, LookUps!$C$5:$C$12,0)),"_", $D75,"_", I$56, "_", $C$5), OpenLCAbasic!$M:$M,0))</f>
        <v>1.278E-2</v>
      </c>
      <c r="J75" s="256">
        <f>INDEX(OpenLCAbasic!$J:$J, MATCH(CONCATENATE($C$4,"_", J$58,"_","Upgraded_",INDEX(LookUps!$E$5:$E$12,MATCH(J$57, LookUps!$C$5:$C$12,0)),"_", $D75,"_", J$56, "_", $C$5), OpenLCAbasic!$M:$M,0))</f>
        <v>1.278E-2</v>
      </c>
      <c r="K75" s="256">
        <f>INDEX(OpenLCAbasic!$J:$J, MATCH(CONCATENATE($C$4,"_", K$58,"_","Upgraded_",INDEX(LookUps!$E$5:$E$12,MATCH(K$57, LookUps!$C$5:$C$12,0)),"_", $D75,"_", K$56, "_", $C$5), OpenLCAbasic!$M:$M,0))</f>
        <v>1.231E-2</v>
      </c>
      <c r="L75" s="256">
        <f>INDEX(OpenLCAbasic!$J:$J, MATCH(CONCATENATE($C$4,"_", L$58,"_","Upgraded_",INDEX(LookUps!$E$5:$E$12,MATCH(L$57, LookUps!$C$5:$C$12,0)),"_", $D75,"_", L$56, "_", $C$5), OpenLCAbasic!$M:$M,0))</f>
        <v>1.231E-2</v>
      </c>
      <c r="M75" s="256">
        <f>INDEX(OpenLCAbasic!$J:$J, MATCH(CONCATENATE($C$4,"_", M$58,"_","Upgraded_",INDEX(LookUps!$E$5:$E$12,MATCH(M$57, LookUps!$C$5:$C$12,0)),"_", $D75,"_", M$56, "_", $C$5), OpenLCAbasic!$M:$M,0))</f>
        <v>1.9910000000000001E-2</v>
      </c>
      <c r="N75" s="256">
        <f>INDEX(OpenLCAbasic!$J:$J, MATCH(CONCATENATE($C$4,"_", N$58,"_","Upgraded_",INDEX(LookUps!$E$5:$E$12,MATCH(N$57, LookUps!$C$5:$C$12,0)),"_", $D75,"_", N$56, "_", $C$5), OpenLCAbasic!$M:$M,0))</f>
        <v>1.9910000000000001E-2</v>
      </c>
      <c r="O75" s="256">
        <f>INDEX(OpenLCAbasic!$J:$J, MATCH(CONCATENATE($C$4,"_", O$58,"_","Upgraded_",INDEX(LookUps!$E$5:$E$12,MATCH(O$57, LookUps!$C$5:$C$12,0)),"_", $D75,"_", O$56, "_", $C$5), OpenLCAbasic!$M:$M,0))</f>
        <v>1.7639999999999999E-2</v>
      </c>
      <c r="P75" s="256">
        <f>INDEX(OpenLCAbasic!$J:$J, MATCH(CONCATENATE($C$4,"_", P$58,"_","Upgraded_",INDEX(LookUps!$E$5:$E$12,MATCH(P$57, LookUps!$C$5:$C$12,0)),"_", $D75,"_", P$56, "_", $C$5), OpenLCAbasic!$M:$M,0))</f>
        <v>1.7639999999999999E-2</v>
      </c>
      <c r="Q75" s="256">
        <f>INDEX(OpenLCAbasic!$J:$J, MATCH(CONCATENATE($C$4,"_", Q$58,"_","Upgraded_",INDEX(LookUps!$E$5:$E$12,MATCH(Q$57, LookUps!$C$5:$C$12,0)),"_", $D75,"_", Q$56, "_", $C$5), OpenLCAbasic!$M:$M,0))</f>
        <v>1.6879999999999999E-2</v>
      </c>
      <c r="R75" s="256">
        <f>INDEX(OpenLCAbasic!$J:$J, MATCH(CONCATENATE($C$4,"_", R$58,"_","Upgraded_",INDEX(LookUps!$E$5:$E$12,MATCH(R$57, LookUps!$C$5:$C$12,0)),"_", $D75,"_", R$56, "_", $C$5), OpenLCAbasic!$M:$M,0))</f>
        <v>1.6879999999999999E-2</v>
      </c>
      <c r="S75" s="256">
        <f>INDEX(OpenLCAbasic!$J:$J, MATCH(CONCATENATE($C$4,"_", S$58,"_","Upgraded_",INDEX(LookUps!$E$5:$E$12,MATCH(S$57, LookUps!$C$5:$C$12,0)),"_", $D75,"_", S$56, "_", $C$5), OpenLCAbasic!$M:$M,0))</f>
        <v>2.7820000000000001E-2</v>
      </c>
      <c r="T75" s="256">
        <f>INDEX(OpenLCAbasic!$J:$J, MATCH(CONCATENATE($C$4,"_", T$58,"_","Upgraded_",INDEX(LookUps!$E$5:$E$12,MATCH(T$57, LookUps!$C$5:$C$12,0)),"_", $D75,"_", T$56, "_", $C$5), OpenLCAbasic!$M:$M,0))</f>
        <v>2.7820000000000001E-2</v>
      </c>
      <c r="U75" s="256">
        <f>INDEX(OpenLCAbasic!$J:$J, MATCH(CONCATENATE($C$4,"_", U$58,"_","Upgraded_",INDEX(LookUps!$E$5:$E$12,MATCH(U$57, LookUps!$C$5:$C$12,0)),"_", $D75,"_", U$56, "_", $C$5), OpenLCAbasic!$M:$M,0))</f>
        <v>2.4119999999999999E-2</v>
      </c>
      <c r="V75" s="256">
        <f>INDEX(OpenLCAbasic!$J:$J, MATCH(CONCATENATE($C$4,"_", V$58,"_","Upgraded_",INDEX(LookUps!$E$5:$E$12,MATCH(V$57, LookUps!$C$5:$C$12,0)),"_", $D75,"_", V$56, "_", $C$5), OpenLCAbasic!$M:$M,0))</f>
        <v>2.4119999999999999E-2</v>
      </c>
      <c r="W75" s="256">
        <f>INDEX(OpenLCAbasic!$J:$J, MATCH(CONCATENATE($C$4,"_", W$58,"_","Upgraded_",INDEX(LookUps!$E$5:$E$12,MATCH(W$57, LookUps!$C$5:$C$12,0)),"_", $D75,"_", W$56, "_", $C$5), OpenLCAbasic!$M:$M,0))</f>
        <v>2.2880000000000001E-2</v>
      </c>
      <c r="X75" s="316">
        <f>INDEX(OpenLCAbasic!$J:$J, MATCH(CONCATENATE($C$4,"_", X$58,"_","Upgraded_",INDEX(LookUps!$E$5:$E$12,MATCH(X$57, LookUps!$C$5:$C$12,0)),"_", $D75,"_", X$56, "_", $C$5), OpenLCAbasic!$M:$M,0))</f>
        <v>2.2880000000000001E-2</v>
      </c>
    </row>
    <row r="76" spans="2:24" x14ac:dyDescent="0.25">
      <c r="B76" s="363"/>
      <c r="C76" s="81" t="str">
        <f>IF($C$6="Windrow", "Biosolids composting; windrow composting; wastewater treatment unit; at updated plant - US", "Biosolids composting; aerated static pile; wastewater treatment unit; at updated plant - US")</f>
        <v>Biosolids composting; aerated static pile; wastewater treatment unit; at updated plant - US</v>
      </c>
      <c r="D76" s="115" t="str">
        <f>IF($C$5="Windrow", "Biosolids composting; windrow composting; wastewater treatment unit; at updated plant - US", "Biosolids composting; aerated static pile; wastewater treatment unit; at updated plant - US")</f>
        <v>Biosolids composting; windrow composting; wastewater treatment unit; at updated plant - US</v>
      </c>
      <c r="E76" s="107"/>
      <c r="F76" s="258"/>
      <c r="G76" s="71">
        <f>INDEX(OpenLCAbasic!$J:$J, MATCH(CONCATENATE($C$4,"_", G$58,"_","Upgraded_",INDEX(LookUps!$E$5:$E$12,MATCH(G$57, LookUps!$C$5:$C$12,0)),"_", $D76,"_", G$56, "_", $C$5), OpenLCAbasic!$M:$M,0))</f>
        <v>1.77807</v>
      </c>
      <c r="H76" s="256">
        <f>INDEX(OpenLCAbasic!$J:$J, MATCH(CONCATENATE($C$4,"_", H$58,"_","Upgraded_",INDEX(LookUps!$E$5:$E$12,MATCH(H$57, LookUps!$C$5:$C$12,0)),"_", $D76,"_", H$56, "_", $C$5), OpenLCAbasic!$M:$M,0))</f>
        <v>0.83543999999999996</v>
      </c>
      <c r="I76" s="71">
        <f>INDEX(OpenLCAbasic!$J:$J, MATCH(CONCATENATE($C$4,"_", I$58,"_","Upgraded_",INDEX(LookUps!$E$5:$E$12,MATCH(I$57, LookUps!$C$5:$C$12,0)),"_", $D76,"_", I$56, "_", $C$5), OpenLCAbasic!$M:$M,0))</f>
        <v>1.6313200000000001</v>
      </c>
      <c r="J76" s="256">
        <f>INDEX(OpenLCAbasic!$J:$J, MATCH(CONCATENATE($C$4,"_", J$58,"_","Upgraded_",INDEX(LookUps!$E$5:$E$12,MATCH(J$57, LookUps!$C$5:$C$12,0)),"_", $D76,"_", J$56, "_", $C$5), OpenLCAbasic!$M:$M,0))</f>
        <v>0.76846000000000003</v>
      </c>
      <c r="K76" s="71">
        <f>INDEX(OpenLCAbasic!$J:$J, MATCH(CONCATENATE($C$4,"_", K$58,"_","Upgraded_",INDEX(LookUps!$E$5:$E$12,MATCH(K$57, LookUps!$C$5:$C$12,0)),"_", $D76,"_", K$56, "_", $C$5), OpenLCAbasic!$M:$M,0))</f>
        <v>1.51973</v>
      </c>
      <c r="L76" s="256">
        <f>INDEX(OpenLCAbasic!$J:$J, MATCH(CONCATENATE($C$4,"_", L$58,"_","Upgraded_",INDEX(LookUps!$E$5:$E$12,MATCH(L$57, LookUps!$C$5:$C$12,0)),"_", $D76,"_", L$56, "_", $C$5), OpenLCAbasic!$M:$M,0))</f>
        <v>0.72704999999999997</v>
      </c>
      <c r="M76" s="71">
        <f>INDEX(OpenLCAbasic!$J:$J, MATCH(CONCATENATE($C$4,"_", M$58,"_","Upgraded_",INDEX(LookUps!$E$5:$E$12,MATCH(M$57, LookUps!$C$5:$C$12,0)),"_", $D76,"_", M$56, "_", $C$5), OpenLCAbasic!$M:$M,0))</f>
        <v>2.4629400000000001</v>
      </c>
      <c r="N76" s="71">
        <f>INDEX(OpenLCAbasic!$J:$J, MATCH(CONCATENATE($C$4,"_", N$58,"_","Upgraded_",INDEX(LookUps!$E$5:$E$12,MATCH(N$57, LookUps!$C$5:$C$12,0)),"_", $D76,"_", N$56, "_", $C$5), OpenLCAbasic!$M:$M,0))</f>
        <v>1.1762999999999999</v>
      </c>
      <c r="O76" s="71">
        <f>INDEX(OpenLCAbasic!$J:$J, MATCH(CONCATENATE($C$4,"_", O$58,"_","Upgraded_",INDEX(LookUps!$E$5:$E$12,MATCH(O$57, LookUps!$C$5:$C$12,0)),"_", $D76,"_", O$56, "_", $C$5), OpenLCAbasic!$M:$M,0))</f>
        <v>2.26417</v>
      </c>
      <c r="P76" s="71">
        <f>INDEX(OpenLCAbasic!$J:$J, MATCH(CONCATENATE($C$4,"_", P$58,"_","Upgraded_",INDEX(LookUps!$E$5:$E$12,MATCH(P$57, LookUps!$C$5:$C$12,0)),"_", $D76,"_", P$56, "_", $C$5), OpenLCAbasic!$M:$M,0))</f>
        <v>1.0677099999999999</v>
      </c>
      <c r="Q76" s="71">
        <f>INDEX(OpenLCAbasic!$J:$J, MATCH(CONCATENATE($C$4,"_", Q$58,"_","Upgraded_",INDEX(LookUps!$E$5:$E$12,MATCH(Q$57, LookUps!$C$5:$C$12,0)),"_", $D76,"_", Q$56, "_", $C$5), OpenLCAbasic!$M:$M,0))</f>
        <v>2.1375700000000002</v>
      </c>
      <c r="R76" s="71">
        <f>INDEX(OpenLCAbasic!$J:$J, MATCH(CONCATENATE($C$4,"_", R$58,"_","Upgraded_",INDEX(LookUps!$E$5:$E$12,MATCH(R$57, LookUps!$C$5:$C$12,0)),"_", $D76,"_", R$56, "_", $C$5), OpenLCAbasic!$M:$M,0))</f>
        <v>1.0003</v>
      </c>
      <c r="S76" s="71">
        <f>INDEX(OpenLCAbasic!$J:$J, MATCH(CONCATENATE($C$4,"_", S$58,"_","Upgraded_",INDEX(LookUps!$E$5:$E$12,MATCH(S$57, LookUps!$C$5:$C$12,0)),"_", $D76,"_", S$56, "_", $C$5), OpenLCAbasic!$M:$M,0))</f>
        <v>3.4323199999999998</v>
      </c>
      <c r="T76" s="71">
        <f>INDEX(OpenLCAbasic!$J:$J, MATCH(CONCATENATE($C$4,"_", T$58,"_","Upgraded_",INDEX(LookUps!$E$5:$E$12,MATCH(T$57, LookUps!$C$5:$C$12,0)),"_", $D76,"_", T$56, "_", $C$5), OpenLCAbasic!$M:$M,0))</f>
        <v>1.64879</v>
      </c>
      <c r="U76" s="71">
        <f>INDEX(OpenLCAbasic!$J:$J, MATCH(CONCATENATE($C$4,"_", U$58,"_","Upgraded_",INDEX(LookUps!$E$5:$E$12,MATCH(U$57, LookUps!$C$5:$C$12,0)),"_", $D76,"_", U$56, "_", $C$5), OpenLCAbasic!$M:$M,0))</f>
        <v>3.1415099999999998</v>
      </c>
      <c r="V76" s="71">
        <f>INDEX(OpenLCAbasic!$J:$J, MATCH(CONCATENATE($C$4,"_", V$58,"_","Upgraded_",INDEX(LookUps!$E$5:$E$12,MATCH(V$57, LookUps!$C$5:$C$12,0)),"_", $D76,"_", V$56, "_", $C$5), OpenLCAbasic!$M:$M,0))</f>
        <v>1.4715100000000001</v>
      </c>
      <c r="W76" s="71">
        <f>INDEX(OpenLCAbasic!$J:$J, MATCH(CONCATENATE($C$4,"_", W$58,"_","Upgraded_",INDEX(LookUps!$E$5:$E$12,MATCH(W$57, LookUps!$C$5:$C$12,0)),"_", $D76,"_", W$56, "_", $C$5), OpenLCAbasic!$M:$M,0))</f>
        <v>2.8841199999999998</v>
      </c>
      <c r="X76" s="217">
        <f>INDEX(OpenLCAbasic!$J:$J, MATCH(CONCATENATE($C$4,"_", X$58,"_","Upgraded_",INDEX(LookUps!$E$5:$E$12,MATCH(X$57, LookUps!$C$5:$C$12,0)),"_", $D76,"_", X$56, "_", $C$5), OpenLCAbasic!$M:$M,0))</f>
        <v>1.3626100000000001</v>
      </c>
    </row>
    <row r="77" spans="2:24" x14ac:dyDescent="0.25">
      <c r="B77" s="363"/>
      <c r="C77" s="81" t="str">
        <f>LookUps!$G$18</f>
        <v>Land application of compost; wastewater treatment unit; at updated plant - US</v>
      </c>
      <c r="D77" s="115" t="str">
        <f>'AD Scenarios'!D31</f>
        <v>Land application of compost; wastewater treatment unit; at updated plant - US</v>
      </c>
      <c r="E77" s="107"/>
      <c r="F77" s="258"/>
      <c r="G77" s="256">
        <f>INDEX(OpenLCAbasic!$J:$J, MATCH(CONCATENATE($C$4,"_", G$58,"_","Upgraded_",INDEX(LookUps!$E$5:$E$12,MATCH(G$57, LookUps!$C$5:$C$12,0)),"_", $D77,"_", G$56, "_", $C$5), OpenLCAbasic!$M:$M,0))</f>
        <v>-0.52361000000000002</v>
      </c>
      <c r="H77" s="256">
        <f>INDEX(OpenLCAbasic!$J:$J, MATCH(CONCATENATE($C$4,"_", H$58,"_","Upgraded_",INDEX(LookUps!$E$5:$E$12,MATCH(H$57, LookUps!$C$5:$C$12,0)),"_", $D77,"_", H$56, "_", $C$5), OpenLCAbasic!$M:$M,0))</f>
        <v>-0.15398999999999999</v>
      </c>
      <c r="I77" s="256">
        <f>INDEX(OpenLCAbasic!$J:$J, MATCH(CONCATENATE($C$4,"_", I$58,"_","Upgraded_",INDEX(LookUps!$E$5:$E$12,MATCH(I$57, LookUps!$C$5:$C$12,0)),"_", $D77,"_", I$56, "_", $C$5), OpenLCAbasic!$M:$M,0))</f>
        <v>-0.47161999999999998</v>
      </c>
      <c r="J77" s="256">
        <f>INDEX(OpenLCAbasic!$J:$J, MATCH(CONCATENATE($C$4,"_", J$58,"_","Upgraded_",INDEX(LookUps!$E$5:$E$12,MATCH(J$57, LookUps!$C$5:$C$12,0)),"_", $D77,"_", J$56, "_", $C$5), OpenLCAbasic!$M:$M,0))</f>
        <v>-0.13869000000000001</v>
      </c>
      <c r="K77" s="256">
        <f>INDEX(OpenLCAbasic!$J:$J, MATCH(CONCATENATE($C$4,"_", K$58,"_","Upgraded_",INDEX(LookUps!$E$5:$E$12,MATCH(K$57, LookUps!$C$5:$C$12,0)),"_", $D77,"_", K$56, "_", $C$5), OpenLCAbasic!$M:$M,0))</f>
        <v>-0.44319999999999998</v>
      </c>
      <c r="L77" s="256">
        <f>INDEX(OpenLCAbasic!$J:$J, MATCH(CONCATENATE($C$4,"_", L$58,"_","Upgraded_",INDEX(LookUps!$E$5:$E$12,MATCH(L$57, LookUps!$C$5:$C$12,0)),"_", $D77,"_", L$56, "_", $C$5), OpenLCAbasic!$M:$M,0))</f>
        <v>-0.13352</v>
      </c>
      <c r="M77" s="256">
        <f>INDEX(OpenLCAbasic!$J:$J, MATCH(CONCATENATE($C$4,"_", M$58,"_","Upgraded_",INDEX(LookUps!$E$5:$E$12,MATCH(M$57, LookUps!$C$5:$C$12,0)),"_", $D77,"_", M$56, "_", $C$5), OpenLCAbasic!$M:$M,0))</f>
        <v>-0.71896000000000004</v>
      </c>
      <c r="N77" s="256">
        <f>INDEX(OpenLCAbasic!$J:$J, MATCH(CONCATENATE($C$4,"_", N$58,"_","Upgraded_",INDEX(LookUps!$E$5:$E$12,MATCH(N$57, LookUps!$C$5:$C$12,0)),"_", $D77,"_", N$56, "_", $C$5), OpenLCAbasic!$M:$M,0))</f>
        <v>-0.21592</v>
      </c>
      <c r="O77" s="256">
        <f>INDEX(OpenLCAbasic!$J:$J, MATCH(CONCATENATE($C$4,"_", O$58,"_","Upgraded_",INDEX(LookUps!$E$5:$E$12,MATCH(O$57, LookUps!$C$5:$C$12,0)),"_", $D77,"_", O$56, "_", $C$5), OpenLCAbasic!$M:$M,0))</f>
        <v>-0.65086999999999995</v>
      </c>
      <c r="P77" s="256">
        <f>INDEX(OpenLCAbasic!$J:$J, MATCH(CONCATENATE($C$4,"_", P$58,"_","Upgraded_",INDEX(LookUps!$E$5:$E$12,MATCH(P$57, LookUps!$C$5:$C$12,0)),"_", $D77,"_", P$56, "_", $C$5), OpenLCAbasic!$M:$M,0))</f>
        <v>-0.19139999999999999</v>
      </c>
      <c r="Q77" s="256">
        <f>INDEX(OpenLCAbasic!$J:$J, MATCH(CONCATENATE($C$4,"_", Q$58,"_","Upgraded_",INDEX(LookUps!$E$5:$E$12,MATCH(Q$57, LookUps!$C$5:$C$12,0)),"_", $D77,"_", Q$56, "_", $C$5), OpenLCAbasic!$M:$M,0))</f>
        <v>-0.62729999999999997</v>
      </c>
      <c r="R77" s="256">
        <f>INDEX(OpenLCAbasic!$J:$J, MATCH(CONCATENATE($C$4,"_", R$58,"_","Upgraded_",INDEX(LookUps!$E$5:$E$12,MATCH(R$57, LookUps!$C$5:$C$12,0)),"_", $D77,"_", R$56, "_", $C$5), OpenLCAbasic!$M:$M,0))</f>
        <v>-0.18328</v>
      </c>
      <c r="S77" s="256">
        <f>INDEX(OpenLCAbasic!$J:$J, MATCH(CONCATENATE($C$4,"_", S$58,"_","Upgraded_",INDEX(LookUps!$E$5:$E$12,MATCH(S$57, LookUps!$C$5:$C$12,0)),"_", $D77,"_", S$56, "_", $C$5), OpenLCAbasic!$M:$M,0))</f>
        <v>-0.99675999999999998</v>
      </c>
      <c r="T77" s="256">
        <f>INDEX(OpenLCAbasic!$J:$J, MATCH(CONCATENATE($C$4,"_", T$58,"_","Upgraded_",INDEX(LookUps!$E$5:$E$12,MATCH(T$57, LookUps!$C$5:$C$12,0)),"_", $D77,"_", T$56, "_", $C$5), OpenLCAbasic!$M:$M,0))</f>
        <v>-0.30152000000000001</v>
      </c>
      <c r="U77" s="256">
        <f>INDEX(OpenLCAbasic!$J:$J, MATCH(CONCATENATE($C$4,"_", U$58,"_","Upgraded_",INDEX(LookUps!$E$5:$E$12,MATCH(U$57, LookUps!$C$5:$C$12,0)),"_", $D77,"_", U$56, "_", $C$5), OpenLCAbasic!$M:$M,0))</f>
        <v>-0.89946999999999999</v>
      </c>
      <c r="V77" s="256">
        <f>INDEX(OpenLCAbasic!$J:$J, MATCH(CONCATENATE($C$4,"_", V$58,"_","Upgraded_",INDEX(LookUps!$E$5:$E$12,MATCH(V$57, LookUps!$C$5:$C$12,0)),"_", $D77,"_", V$56, "_", $C$5), OpenLCAbasic!$M:$M,0))</f>
        <v>-0.26180999999999999</v>
      </c>
      <c r="W77" s="256">
        <f>INDEX(OpenLCAbasic!$J:$J, MATCH(CONCATENATE($C$4,"_", W$58,"_","Upgraded_",INDEX(LookUps!$E$5:$E$12,MATCH(W$57, LookUps!$C$5:$C$12,0)),"_", $D77,"_", W$56, "_", $C$5), OpenLCAbasic!$M:$M,0))</f>
        <v>-0.83977000000000002</v>
      </c>
      <c r="X77" s="316">
        <f>INDEX(OpenLCAbasic!$J:$J, MATCH(CONCATENATE($C$4,"_", X$58,"_","Upgraded_",INDEX(LookUps!$E$5:$E$12,MATCH(X$57, LookUps!$C$5:$C$12,0)),"_", $D77,"_", X$56, "_", $C$5), OpenLCAbasic!$M:$M,0))</f>
        <v>-0.24834999999999999</v>
      </c>
    </row>
    <row r="78" spans="2:24" x14ac:dyDescent="0.25">
      <c r="B78" s="363"/>
      <c r="C78" s="81" t="str">
        <f>LookUps!$H$18</f>
        <v>Sludge Disposal; wastewater treatment unit - US</v>
      </c>
      <c r="D78" s="116"/>
      <c r="E78" s="104" t="str">
        <f>'AD Scenarios'!E32</f>
        <v>Sludge Disposal; wastewater treatment unit - US</v>
      </c>
      <c r="F78" s="256">
        <f>INDEX(OpenLCAbasic!$J:$J, MATCH(CONCATENATE($C$4,"_", F$58,"_","Legacy_",INDEX(LookUps!$E$5:$E$12,MATCH(F$57, LookUps!$C$5:$C$12,0)),"_",$E78,"_", $C$6,"_n.a."), OpenLCAbasic!$M:$M,0))</f>
        <v>0.70089999999999997</v>
      </c>
      <c r="G78" s="258"/>
      <c r="H78" s="258"/>
      <c r="I78" s="258"/>
      <c r="J78" s="258"/>
      <c r="K78" s="258"/>
      <c r="L78" s="258"/>
      <c r="M78" s="258"/>
      <c r="N78" s="258"/>
      <c r="O78" s="258"/>
      <c r="P78" s="258"/>
      <c r="Q78" s="258"/>
      <c r="R78" s="258"/>
      <c r="S78" s="258"/>
      <c r="T78" s="258"/>
      <c r="U78" s="258"/>
      <c r="V78" s="258"/>
      <c r="W78" s="258"/>
      <c r="X78" s="317"/>
    </row>
    <row r="79" spans="2:24" x14ac:dyDescent="0.25">
      <c r="B79" s="363"/>
      <c r="C79" s="81" t="str">
        <f>LookUps!$G$20</f>
        <v>Effluent release; wastewater treatment unit; at surface water; m3 wastewater - US</v>
      </c>
      <c r="D79" s="115" t="str">
        <f>'AD Scenarios'!D33</f>
        <v>Effluent release; wastewater treatment unit; at surface water; m3 wastewater - US</v>
      </c>
      <c r="E79" s="104" t="str">
        <f>'AD Scenarios'!E33</f>
        <v>Effluent release; wastewater treatment unit; at surface water; m3 wastewater - US</v>
      </c>
      <c r="F79" s="256">
        <f>INDEX(OpenLCAbasic!$J:$J, MATCH(CONCATENATE("Base","_", F$58,"_","Legacy_",INDEX(LookUps!$E$5:$E$12,MATCH(F$57, LookUps!$C$5:$C$12,0)),"_",$E79,"_", $C$6,"_","n.a." ), OpenLCAbasic!$M:$M,0))</f>
        <v>7.4099999999999999E-2</v>
      </c>
      <c r="G79" s="256">
        <f>INDEX(OpenLCAbasic!$J:$J, MATCH(CONCATENATE($C$4,"_", G$58,"_","Upgraded_",INDEX(LookUps!$E$5:$E$12,MATCH(G$57, LookUps!$C$5:$C$12,0)),"_", $D79,"_", G$56, "_", $C$5), OpenLCAbasic!$M:$M,0))</f>
        <v>5.2639999999999999E-2</v>
      </c>
      <c r="H79" s="256">
        <f>INDEX(OpenLCAbasic!$J:$J, MATCH(CONCATENATE($C$4,"_", H$58,"_","Upgraded_",INDEX(LookUps!$E$5:$E$12,MATCH(H$57, LookUps!$C$5:$C$12,0)),"_", $D79,"_", H$56, "_", $C$5), OpenLCAbasic!$M:$M,0))</f>
        <v>5.2639999999999999E-2</v>
      </c>
      <c r="I79" s="256">
        <f>INDEX(OpenLCAbasic!$J:$J, MATCH(CONCATENATE($C$4,"_", I$58,"_","Upgraded_",INDEX(LookUps!$E$5:$E$12,MATCH(I$57, LookUps!$C$5:$C$12,0)),"_", $D79,"_", I$56, "_", $C$5), OpenLCAbasic!$M:$M,0))</f>
        <v>5.2639999999999999E-2</v>
      </c>
      <c r="J79" s="256">
        <f>INDEX(OpenLCAbasic!$J:$J, MATCH(CONCATENATE($C$4,"_", J$58,"_","Upgraded_",INDEX(LookUps!$E$5:$E$12,MATCH(J$57, LookUps!$C$5:$C$12,0)),"_", $D79,"_", J$56, "_", $C$5), OpenLCAbasic!$M:$M,0))</f>
        <v>5.2639999999999999E-2</v>
      </c>
      <c r="K79" s="256">
        <f>INDEX(OpenLCAbasic!$J:$J, MATCH(CONCATENATE($C$4,"_", K$58,"_","Upgraded_",INDEX(LookUps!$E$5:$E$12,MATCH(K$57, LookUps!$C$5:$C$12,0)),"_", $D79,"_", K$56, "_", $C$5), OpenLCAbasic!$M:$M,0))</f>
        <v>5.2639999999999999E-2</v>
      </c>
      <c r="L79" s="256">
        <f>INDEX(OpenLCAbasic!$J:$J, MATCH(CONCATENATE($C$4,"_", L$58,"_","Upgraded_",INDEX(LookUps!$E$5:$E$12,MATCH(L$57, LookUps!$C$5:$C$12,0)),"_", $D79,"_", L$56, "_", $C$5), OpenLCAbasic!$M:$M,0))</f>
        <v>5.2639999999999999E-2</v>
      </c>
      <c r="M79" s="256">
        <f>INDEX(OpenLCAbasic!$J:$J, MATCH(CONCATENATE($C$4,"_", M$58,"_","Upgraded_",INDEX(LookUps!$E$5:$E$12,MATCH(M$57, LookUps!$C$5:$C$12,0)),"_", $D79,"_", M$56, "_", $C$5), OpenLCAbasic!$M:$M,0))</f>
        <v>5.2639999999999999E-2</v>
      </c>
      <c r="N79" s="256">
        <f>INDEX(OpenLCAbasic!$J:$J, MATCH(CONCATENATE($C$4,"_", N$58,"_","Upgraded_",INDEX(LookUps!$E$5:$E$12,MATCH(N$57, LookUps!$C$5:$C$12,0)),"_", $D79,"_", N$56, "_", $C$5), OpenLCAbasic!$M:$M,0))</f>
        <v>5.2639999999999999E-2</v>
      </c>
      <c r="O79" s="256">
        <f>INDEX(OpenLCAbasic!$J:$J, MATCH(CONCATENATE($C$4,"_", O$58,"_","Upgraded_",INDEX(LookUps!$E$5:$E$12,MATCH(O$57, LookUps!$C$5:$C$12,0)),"_", $D79,"_", O$56, "_", $C$5), OpenLCAbasic!$M:$M,0))</f>
        <v>5.2639999999999999E-2</v>
      </c>
      <c r="P79" s="256">
        <f>INDEX(OpenLCAbasic!$J:$J, MATCH(CONCATENATE($C$4,"_", P$58,"_","Upgraded_",INDEX(LookUps!$E$5:$E$12,MATCH(P$57, LookUps!$C$5:$C$12,0)),"_", $D79,"_", P$56, "_", $C$5), OpenLCAbasic!$M:$M,0))</f>
        <v>5.2639999999999999E-2</v>
      </c>
      <c r="Q79" s="256">
        <f>INDEX(OpenLCAbasic!$J:$J, MATCH(CONCATENATE($C$4,"_", Q$58,"_","Upgraded_",INDEX(LookUps!$E$5:$E$12,MATCH(Q$57, LookUps!$C$5:$C$12,0)),"_", $D79,"_", Q$56, "_", $C$5), OpenLCAbasic!$M:$M,0))</f>
        <v>5.2639999999999999E-2</v>
      </c>
      <c r="R79" s="256">
        <f>INDEX(OpenLCAbasic!$J:$J, MATCH(CONCATENATE($C$4,"_", R$58,"_","Upgraded_",INDEX(LookUps!$E$5:$E$12,MATCH(R$57, LookUps!$C$5:$C$12,0)),"_", $D79,"_", R$56, "_", $C$5), OpenLCAbasic!$M:$M,0))</f>
        <v>5.2639999999999999E-2</v>
      </c>
      <c r="S79" s="256">
        <f>INDEX(OpenLCAbasic!$J:$J, MATCH(CONCATENATE($C$4,"_", S$58,"_","Upgraded_",INDEX(LookUps!$E$5:$E$12,MATCH(S$57, LookUps!$C$5:$C$12,0)),"_", $D79,"_", S$56, "_", $C$5), OpenLCAbasic!$M:$M,0))</f>
        <v>5.2639999999999999E-2</v>
      </c>
      <c r="T79" s="256">
        <f>INDEX(OpenLCAbasic!$J:$J, MATCH(CONCATENATE($C$4,"_", T$58,"_","Upgraded_",INDEX(LookUps!$E$5:$E$12,MATCH(T$57, LookUps!$C$5:$C$12,0)),"_", $D79,"_", T$56, "_", $C$5), OpenLCAbasic!$M:$M,0))</f>
        <v>5.2639999999999999E-2</v>
      </c>
      <c r="U79" s="256">
        <f>INDEX(OpenLCAbasic!$J:$J, MATCH(CONCATENATE($C$4,"_", U$58,"_","Upgraded_",INDEX(LookUps!$E$5:$E$12,MATCH(U$57, LookUps!$C$5:$C$12,0)),"_", $D79,"_", U$56, "_", $C$5), OpenLCAbasic!$M:$M,0))</f>
        <v>5.2639999999999999E-2</v>
      </c>
      <c r="V79" s="256">
        <f>INDEX(OpenLCAbasic!$J:$J, MATCH(CONCATENATE($C$4,"_", V$58,"_","Upgraded_",INDEX(LookUps!$E$5:$E$12,MATCH(V$57, LookUps!$C$5:$C$12,0)),"_", $D79,"_", V$56, "_", $C$5), OpenLCAbasic!$M:$M,0))</f>
        <v>5.2639999999999999E-2</v>
      </c>
      <c r="W79" s="256">
        <f>INDEX(OpenLCAbasic!$J:$J, MATCH(CONCATENATE($C$4,"_", W$58,"_","Upgraded_",INDEX(LookUps!$E$5:$E$12,MATCH(W$57, LookUps!$C$5:$C$12,0)),"_", $D79,"_", W$56, "_", $C$5), OpenLCAbasic!$M:$M,0))</f>
        <v>5.2639999999999999E-2</v>
      </c>
      <c r="X79" s="316">
        <f>INDEX(OpenLCAbasic!$J:$J, MATCH(CONCATENATE($C$4,"_", X$58,"_","Upgraded_",INDEX(LookUps!$E$5:$E$12,MATCH(X$57, LookUps!$C$5:$C$12,0)),"_", $D79,"_", X$56, "_", $C$5), OpenLCAbasic!$M:$M,0))</f>
        <v>5.2639999999999999E-2</v>
      </c>
    </row>
    <row r="80" spans="2:24" x14ac:dyDescent="0.25">
      <c r="B80" s="364"/>
      <c r="C80" s="81" t="str">
        <f>LookUps!$J$10</f>
        <v>Control Building; at wastewater treatment plant - US</v>
      </c>
      <c r="D80" s="115" t="str">
        <f>'AD Scenarios'!D34</f>
        <v>Control Building; at upgraded wastewater treatment plant - US</v>
      </c>
      <c r="E80" s="104" t="str">
        <f>'AD Scenarios'!E34</f>
        <v>Control Building; at wastewater treatment plant - US</v>
      </c>
      <c r="F80" s="256">
        <f>INDEX(OpenLCAbasic!$J:$J, MATCH(CONCATENATE("Base","_", F$58,"_","Legacy_",INDEX(LookUps!$E$5:$E$12,MATCH(F$57, LookUps!$C$5:$C$12,0)),"_",$E80,"_", $C$6,"_","n.a." ), OpenLCAbasic!$M:$M,0))</f>
        <v>5.2569999999999999E-2</v>
      </c>
      <c r="G80" s="257">
        <f>INDEX(OpenLCAbasic!$J:$J, MATCH(CONCATENATE($C$4,"_", G$58,"_","Upgraded_",INDEX(LookUps!$E$5:$E$12,MATCH(G$57, LookUps!$C$5:$C$12,0)),"_", $D80,"_", G$56, "_", $C$5), OpenLCAbasic!$M:$M,0))</f>
        <v>8.3000000000000001E-3</v>
      </c>
      <c r="H80" s="257">
        <f>INDEX(OpenLCAbasic!$J:$J, MATCH(CONCATENATE($C$4,"_", H$58,"_","Upgraded_",INDEX(LookUps!$E$5:$E$12,MATCH(H$57, LookUps!$C$5:$C$12,0)),"_", $D80,"_", H$56, "_", $C$5), OpenLCAbasic!$M:$M,0))</f>
        <v>8.3000000000000001E-3</v>
      </c>
      <c r="I80" s="257">
        <f>INDEX(OpenLCAbasic!$J:$J, MATCH(CONCATENATE($C$4,"_", I$58,"_","Upgraded_",INDEX(LookUps!$E$5:$E$12,MATCH(I$57, LookUps!$C$5:$C$12,0)),"_", $D80,"_", I$56, "_", $C$5), OpenLCAbasic!$M:$M,0))</f>
        <v>8.3000000000000001E-3</v>
      </c>
      <c r="J80" s="257">
        <f>INDEX(OpenLCAbasic!$J:$J, MATCH(CONCATENATE($C$4,"_", J$58,"_","Upgraded_",INDEX(LookUps!$E$5:$E$12,MATCH(J$57, LookUps!$C$5:$C$12,0)),"_", $D80,"_", J$56, "_", $C$5), OpenLCAbasic!$M:$M,0))</f>
        <v>8.3000000000000001E-3</v>
      </c>
      <c r="K80" s="257">
        <f>INDEX(OpenLCAbasic!$J:$J, MATCH(CONCATENATE($C$4,"_", K$58,"_","Upgraded_",INDEX(LookUps!$E$5:$E$12,MATCH(K$57, LookUps!$C$5:$C$12,0)),"_", $D80,"_", K$56, "_", $C$5), OpenLCAbasic!$M:$M,0))</f>
        <v>8.3000000000000001E-3</v>
      </c>
      <c r="L80" s="257">
        <f>INDEX(OpenLCAbasic!$J:$J, MATCH(CONCATENATE($C$4,"_", L$58,"_","Upgraded_",INDEX(LookUps!$E$5:$E$12,MATCH(L$57, LookUps!$C$5:$C$12,0)),"_", $D80,"_", L$56, "_", $C$5), OpenLCAbasic!$M:$M,0))</f>
        <v>8.3000000000000001E-3</v>
      </c>
      <c r="M80" s="257">
        <f>INDEX(OpenLCAbasic!$J:$J, MATCH(CONCATENATE($C$4,"_", M$58,"_","Upgraded_",INDEX(LookUps!$E$5:$E$12,MATCH(M$57, LookUps!$C$5:$C$12,0)),"_", $D80,"_", M$56, "_", $C$5), OpenLCAbasic!$M:$M,0))</f>
        <v>8.3000000000000001E-3</v>
      </c>
      <c r="N80" s="257">
        <f>INDEX(OpenLCAbasic!$J:$J, MATCH(CONCATENATE($C$4,"_", N$58,"_","Upgraded_",INDEX(LookUps!$E$5:$E$12,MATCH(N$57, LookUps!$C$5:$C$12,0)),"_", $D80,"_", N$56, "_", $C$5), OpenLCAbasic!$M:$M,0))</f>
        <v>8.3000000000000001E-3</v>
      </c>
      <c r="O80" s="257">
        <f>INDEX(OpenLCAbasic!$J:$J, MATCH(CONCATENATE($C$4,"_", O$58,"_","Upgraded_",INDEX(LookUps!$E$5:$E$12,MATCH(O$57, LookUps!$C$5:$C$12,0)),"_", $D80,"_", O$56, "_", $C$5), OpenLCAbasic!$M:$M,0))</f>
        <v>8.3000000000000001E-3</v>
      </c>
      <c r="P80" s="257">
        <f>INDEX(OpenLCAbasic!$J:$J, MATCH(CONCATENATE($C$4,"_", P$58,"_","Upgraded_",INDEX(LookUps!$E$5:$E$12,MATCH(P$57, LookUps!$C$5:$C$12,0)),"_", $D80,"_", P$56, "_", $C$5), OpenLCAbasic!$M:$M,0))</f>
        <v>8.3000000000000001E-3</v>
      </c>
      <c r="Q80" s="257">
        <f>INDEX(OpenLCAbasic!$J:$J, MATCH(CONCATENATE($C$4,"_", Q$58,"_","Upgraded_",INDEX(LookUps!$E$5:$E$12,MATCH(Q$57, LookUps!$C$5:$C$12,0)),"_", $D80,"_", Q$56, "_", $C$5), OpenLCAbasic!$M:$M,0))</f>
        <v>8.3000000000000001E-3</v>
      </c>
      <c r="R80" s="257">
        <f>INDEX(OpenLCAbasic!$J:$J, MATCH(CONCATENATE($C$4,"_", R$58,"_","Upgraded_",INDEX(LookUps!$E$5:$E$12,MATCH(R$57, LookUps!$C$5:$C$12,0)),"_", $D80,"_", R$56, "_", $C$5), OpenLCAbasic!$M:$M,0))</f>
        <v>8.3000000000000001E-3</v>
      </c>
      <c r="S80" s="257">
        <f>INDEX(OpenLCAbasic!$J:$J, MATCH(CONCATENATE($C$4,"_", S$58,"_","Upgraded_",INDEX(LookUps!$E$5:$E$12,MATCH(S$57, LookUps!$C$5:$C$12,0)),"_", $D80,"_", S$56, "_", $C$5), OpenLCAbasic!$M:$M,0))</f>
        <v>8.3000000000000001E-3</v>
      </c>
      <c r="T80" s="257">
        <f>INDEX(OpenLCAbasic!$J:$J, MATCH(CONCATENATE($C$4,"_", T$58,"_","Upgraded_",INDEX(LookUps!$E$5:$E$12,MATCH(T$57, LookUps!$C$5:$C$12,0)),"_", $D80,"_", T$56, "_", $C$5), OpenLCAbasic!$M:$M,0))</f>
        <v>8.3000000000000001E-3</v>
      </c>
      <c r="U80" s="257">
        <f>INDEX(OpenLCAbasic!$J:$J, MATCH(CONCATENATE($C$4,"_", U$58,"_","Upgraded_",INDEX(LookUps!$E$5:$E$12,MATCH(U$57, LookUps!$C$5:$C$12,0)),"_", $D80,"_", U$56, "_", $C$5), OpenLCAbasic!$M:$M,0))</f>
        <v>8.3000000000000001E-3</v>
      </c>
      <c r="V80" s="257">
        <f>INDEX(OpenLCAbasic!$J:$J, MATCH(CONCATENATE($C$4,"_", V$58,"_","Upgraded_",INDEX(LookUps!$E$5:$E$12,MATCH(V$57, LookUps!$C$5:$C$12,0)),"_", $D80,"_", V$56, "_", $C$5), OpenLCAbasic!$M:$M,0))</f>
        <v>8.3000000000000001E-3</v>
      </c>
      <c r="W80" s="257">
        <f>INDEX(OpenLCAbasic!$J:$J, MATCH(CONCATENATE($C$4,"_", W$58,"_","Upgraded_",INDEX(LookUps!$E$5:$E$12,MATCH(W$57, LookUps!$C$5:$C$12,0)),"_", $D80,"_", W$56, "_", $C$5), OpenLCAbasic!$M:$M,0))</f>
        <v>8.3000000000000001E-3</v>
      </c>
      <c r="X80" s="318">
        <f>INDEX(OpenLCAbasic!$J:$J, MATCH(CONCATENATE($C$4,"_", X$58,"_","Upgraded_",INDEX(LookUps!$E$5:$E$12,MATCH(X$57, LookUps!$C$5:$C$12,0)),"_", $D80,"_", X$56, "_", $C$5), OpenLCAbasic!$M:$M,0))</f>
        <v>8.3000000000000001E-3</v>
      </c>
    </row>
    <row r="81" spans="2:24" x14ac:dyDescent="0.25">
      <c r="B81" s="3"/>
      <c r="C81" s="83" t="s">
        <v>34</v>
      </c>
      <c r="D81" s="105"/>
      <c r="E81" s="105"/>
      <c r="F81" s="47">
        <f>SUM(F60:F80)</f>
        <v>1.3523700000000001</v>
      </c>
      <c r="G81" s="47">
        <f t="shared" ref="G81:W81" si="2">SUM(G60:G80)</f>
        <v>2.1948099999999999</v>
      </c>
      <c r="H81" s="47">
        <f>SUM(H60:H80)</f>
        <v>1.6217999999999999</v>
      </c>
      <c r="I81" s="47">
        <f t="shared" si="2"/>
        <v>1.86656</v>
      </c>
      <c r="J81" s="47">
        <f>SUM(J60:J80)</f>
        <v>1.33663</v>
      </c>
      <c r="K81" s="47">
        <f t="shared" si="2"/>
        <v>1.3904700000000001</v>
      </c>
      <c r="L81" s="15">
        <f>SUM(L60:L80)</f>
        <v>0.90747000000000011</v>
      </c>
      <c r="M81" s="47">
        <f t="shared" si="2"/>
        <v>2.6023000000000001</v>
      </c>
      <c r="N81" s="47">
        <f>SUM(N60:N80)</f>
        <v>1.8186999999999998</v>
      </c>
      <c r="O81" s="47">
        <f t="shared" si="2"/>
        <v>2.0357100000000004</v>
      </c>
      <c r="P81" s="47">
        <f>SUM(P60:P80)</f>
        <v>1.2987200000000001</v>
      </c>
      <c r="Q81" s="47">
        <f t="shared" si="2"/>
        <v>1.7008200000000002</v>
      </c>
      <c r="R81" s="47">
        <f>SUM(R60:R80)</f>
        <v>1.0075700000000003</v>
      </c>
      <c r="S81" s="47">
        <f t="shared" si="2"/>
        <v>3.0951</v>
      </c>
      <c r="T81" s="47">
        <f>SUM(T60:T80)</f>
        <v>2.0068100000000002</v>
      </c>
      <c r="U81" s="47">
        <f t="shared" si="2"/>
        <v>2.4974499999999997</v>
      </c>
      <c r="V81" s="47">
        <f>SUM(V60:V80)</f>
        <v>1.4651100000000001</v>
      </c>
      <c r="W81" s="47">
        <f t="shared" si="2"/>
        <v>1.97959</v>
      </c>
      <c r="X81" s="262">
        <f t="shared" ref="X81" si="3">SUM(X60:X80)</f>
        <v>1.0495000000000001</v>
      </c>
    </row>
    <row r="82" spans="2:24" ht="16.5" thickBot="1" x14ac:dyDescent="0.3">
      <c r="B82" s="3"/>
      <c r="C82" s="84" t="s">
        <v>144</v>
      </c>
      <c r="D82" s="106"/>
      <c r="E82" s="106"/>
      <c r="F82" s="263">
        <f t="shared" ref="F82:X82" si="4">_xlfn.MAXIFS($F$81:$X$81,$F$57:$X$57,F$57)</f>
        <v>3.0951</v>
      </c>
      <c r="G82" s="263">
        <f t="shared" si="4"/>
        <v>3.0951</v>
      </c>
      <c r="H82" s="263">
        <f t="shared" si="4"/>
        <v>3.0951</v>
      </c>
      <c r="I82" s="263">
        <f t="shared" si="4"/>
        <v>3.0951</v>
      </c>
      <c r="J82" s="263">
        <f t="shared" si="4"/>
        <v>3.0951</v>
      </c>
      <c r="K82" s="263">
        <f t="shared" si="4"/>
        <v>3.0951</v>
      </c>
      <c r="L82" s="263">
        <f t="shared" si="4"/>
        <v>3.0951</v>
      </c>
      <c r="M82" s="263">
        <f t="shared" si="4"/>
        <v>3.0951</v>
      </c>
      <c r="N82" s="263">
        <f t="shared" si="4"/>
        <v>3.0951</v>
      </c>
      <c r="O82" s="263">
        <f t="shared" si="4"/>
        <v>3.0951</v>
      </c>
      <c r="P82" s="263">
        <f t="shared" si="4"/>
        <v>3.0951</v>
      </c>
      <c r="Q82" s="263">
        <f t="shared" si="4"/>
        <v>3.0951</v>
      </c>
      <c r="R82" s="263">
        <f t="shared" si="4"/>
        <v>3.0951</v>
      </c>
      <c r="S82" s="263">
        <f t="shared" si="4"/>
        <v>3.0951</v>
      </c>
      <c r="T82" s="263">
        <f t="shared" si="4"/>
        <v>3.0951</v>
      </c>
      <c r="U82" s="263">
        <f t="shared" si="4"/>
        <v>3.0951</v>
      </c>
      <c r="V82" s="263">
        <f t="shared" si="4"/>
        <v>3.0951</v>
      </c>
      <c r="W82" s="263">
        <f t="shared" si="4"/>
        <v>3.0951</v>
      </c>
      <c r="X82" s="319">
        <f t="shared" si="4"/>
        <v>3.0951</v>
      </c>
    </row>
    <row r="83" spans="2:24" ht="16.5" thickBot="1" x14ac:dyDescent="0.3">
      <c r="B83" s="3"/>
      <c r="C83" s="84" t="s">
        <v>187</v>
      </c>
      <c r="D83" s="106"/>
      <c r="E83" s="106"/>
      <c r="F83" s="70">
        <f t="shared" ref="F83:X83" si="5">_xlfn.MINIFS($F$81:$X$81,$F$57:$X$57,F$57)</f>
        <v>0.90747000000000011</v>
      </c>
      <c r="G83" s="70">
        <f t="shared" si="5"/>
        <v>0.90747000000000011</v>
      </c>
      <c r="H83" s="70">
        <f t="shared" si="5"/>
        <v>0.90747000000000011</v>
      </c>
      <c r="I83" s="70">
        <f t="shared" si="5"/>
        <v>0.90747000000000011</v>
      </c>
      <c r="J83" s="70">
        <f t="shared" si="5"/>
        <v>0.90747000000000011</v>
      </c>
      <c r="K83" s="70">
        <f t="shared" si="5"/>
        <v>0.90747000000000011</v>
      </c>
      <c r="L83" s="70">
        <f t="shared" si="5"/>
        <v>0.90747000000000011</v>
      </c>
      <c r="M83" s="70">
        <f t="shared" si="5"/>
        <v>0.90747000000000011</v>
      </c>
      <c r="N83" s="70">
        <f t="shared" si="5"/>
        <v>0.90747000000000011</v>
      </c>
      <c r="O83" s="70">
        <f t="shared" si="5"/>
        <v>0.90747000000000011</v>
      </c>
      <c r="P83" s="70">
        <f t="shared" si="5"/>
        <v>0.90747000000000011</v>
      </c>
      <c r="Q83" s="70">
        <f t="shared" si="5"/>
        <v>0.90747000000000011</v>
      </c>
      <c r="R83" s="70">
        <f t="shared" si="5"/>
        <v>0.90747000000000011</v>
      </c>
      <c r="S83" s="70">
        <f t="shared" si="5"/>
        <v>0.90747000000000011</v>
      </c>
      <c r="T83" s="70">
        <f t="shared" si="5"/>
        <v>0.90747000000000011</v>
      </c>
      <c r="U83" s="70">
        <f t="shared" si="5"/>
        <v>0.90747000000000011</v>
      </c>
      <c r="V83" s="70">
        <f t="shared" si="5"/>
        <v>0.90747000000000011</v>
      </c>
      <c r="W83" s="70">
        <f t="shared" si="5"/>
        <v>0.90747000000000011</v>
      </c>
      <c r="X83" s="218">
        <f t="shared" si="5"/>
        <v>0.90747000000000011</v>
      </c>
    </row>
    <row r="84" spans="2:24" x14ac:dyDescent="0.25">
      <c r="B84" s="3"/>
      <c r="C84" s="72"/>
      <c r="D84" s="72"/>
      <c r="E84" s="72"/>
      <c r="F84" s="73"/>
      <c r="G84" s="73"/>
      <c r="I84" s="73"/>
      <c r="K84" s="73"/>
      <c r="M84" s="73"/>
      <c r="O84" s="73"/>
      <c r="Q84" s="73"/>
      <c r="S84" s="73"/>
      <c r="U84" s="73"/>
      <c r="W84" s="73"/>
    </row>
    <row r="85" spans="2:24" ht="16.5" thickBot="1" x14ac:dyDescent="0.3">
      <c r="B85" s="3"/>
      <c r="C85" s="2" t="s">
        <v>194</v>
      </c>
      <c r="D85" s="3"/>
      <c r="E85" s="3"/>
      <c r="F85" s="3"/>
      <c r="G85" s="3"/>
      <c r="I85" s="43"/>
      <c r="K85" s="3"/>
      <c r="M85" s="3"/>
      <c r="O85" s="3"/>
      <c r="Q85" s="3"/>
      <c r="S85" s="3"/>
      <c r="U85" s="3"/>
      <c r="W85" s="3"/>
    </row>
    <row r="86" spans="2:24" ht="16.5" thickBot="1" x14ac:dyDescent="0.3">
      <c r="B86" s="3"/>
      <c r="C86" s="222" t="s">
        <v>36</v>
      </c>
      <c r="D86" s="223"/>
      <c r="E86" s="223"/>
      <c r="F86" s="224" t="str">
        <f t="shared" ref="F86:W86" si="6">F57</f>
        <v>GWP</v>
      </c>
      <c r="G86" s="224" t="str">
        <f t="shared" si="6"/>
        <v>GWP</v>
      </c>
      <c r="H86" s="224" t="str">
        <f>LookUps!$C$5</f>
        <v>GWP</v>
      </c>
      <c r="I86" s="224" t="str">
        <f t="shared" si="6"/>
        <v>GWP</v>
      </c>
      <c r="J86" s="224" t="str">
        <f>LookUps!$C$5</f>
        <v>GWP</v>
      </c>
      <c r="K86" s="224" t="str">
        <f t="shared" si="6"/>
        <v>GWP</v>
      </c>
      <c r="L86" s="224" t="str">
        <f>LookUps!$C$5</f>
        <v>GWP</v>
      </c>
      <c r="M86" s="224" t="str">
        <f t="shared" si="6"/>
        <v>GWP</v>
      </c>
      <c r="N86" s="224" t="str">
        <f>LookUps!$C$5</f>
        <v>GWP</v>
      </c>
      <c r="O86" s="224" t="str">
        <f t="shared" si="6"/>
        <v>GWP</v>
      </c>
      <c r="P86" s="224" t="str">
        <f>LookUps!$C$5</f>
        <v>GWP</v>
      </c>
      <c r="Q86" s="224" t="str">
        <f t="shared" si="6"/>
        <v>GWP</v>
      </c>
      <c r="R86" s="224" t="str">
        <f>LookUps!$C$5</f>
        <v>GWP</v>
      </c>
      <c r="S86" s="224" t="str">
        <f t="shared" si="6"/>
        <v>GWP</v>
      </c>
      <c r="T86" s="224" t="str">
        <f>LookUps!$C$5</f>
        <v>GWP</v>
      </c>
      <c r="U86" s="224" t="str">
        <f t="shared" si="6"/>
        <v>GWP</v>
      </c>
      <c r="V86" s="224" t="str">
        <f>LookUps!$C$5</f>
        <v>GWP</v>
      </c>
      <c r="W86" s="224" t="str">
        <f t="shared" si="6"/>
        <v>GWP</v>
      </c>
      <c r="X86" s="225" t="str">
        <f>LookUps!$C$5</f>
        <v>GWP</v>
      </c>
    </row>
    <row r="87" spans="2:24" ht="17.25" thickTop="1" thickBot="1" x14ac:dyDescent="0.3">
      <c r="B87" s="3"/>
      <c r="C87" s="226" t="s">
        <v>439</v>
      </c>
      <c r="D87" s="227"/>
      <c r="E87" s="227"/>
      <c r="F87" s="228"/>
      <c r="G87" s="228" t="s">
        <v>441</v>
      </c>
      <c r="H87" s="228" t="s">
        <v>423</v>
      </c>
      <c r="I87" s="228" t="s">
        <v>441</v>
      </c>
      <c r="J87" s="228" t="s">
        <v>423</v>
      </c>
      <c r="K87" s="228" t="s">
        <v>441</v>
      </c>
      <c r="L87" s="228" t="s">
        <v>423</v>
      </c>
      <c r="M87" s="228" t="s">
        <v>441</v>
      </c>
      <c r="N87" s="228" t="s">
        <v>423</v>
      </c>
      <c r="O87" s="228" t="s">
        <v>441</v>
      </c>
      <c r="P87" s="228" t="s">
        <v>423</v>
      </c>
      <c r="Q87" s="228" t="s">
        <v>441</v>
      </c>
      <c r="R87" s="228" t="s">
        <v>423</v>
      </c>
      <c r="S87" s="228" t="s">
        <v>441</v>
      </c>
      <c r="T87" s="228" t="s">
        <v>423</v>
      </c>
      <c r="U87" s="228" t="s">
        <v>441</v>
      </c>
      <c r="V87" s="228" t="s">
        <v>423</v>
      </c>
      <c r="W87" s="228" t="s">
        <v>441</v>
      </c>
      <c r="X87" s="229" t="s">
        <v>423</v>
      </c>
    </row>
    <row r="88" spans="2:24" ht="17.25" thickTop="1" thickBot="1" x14ac:dyDescent="0.3">
      <c r="B88" s="3"/>
      <c r="C88" s="226" t="s">
        <v>215</v>
      </c>
      <c r="D88" s="230"/>
      <c r="E88" s="230"/>
      <c r="F88" s="228" t="s">
        <v>45</v>
      </c>
      <c r="G88" s="228" t="s">
        <v>133</v>
      </c>
      <c r="H88" s="231" t="s">
        <v>133</v>
      </c>
      <c r="I88" s="228" t="s">
        <v>130</v>
      </c>
      <c r="J88" s="231" t="s">
        <v>130</v>
      </c>
      <c r="K88" s="228" t="s">
        <v>134</v>
      </c>
      <c r="L88" s="231" t="s">
        <v>134</v>
      </c>
      <c r="M88" s="228" t="s">
        <v>135</v>
      </c>
      <c r="N88" s="231" t="s">
        <v>135</v>
      </c>
      <c r="O88" s="228" t="s">
        <v>136</v>
      </c>
      <c r="P88" s="231" t="s">
        <v>136</v>
      </c>
      <c r="Q88" s="228" t="s">
        <v>137</v>
      </c>
      <c r="R88" s="231" t="s">
        <v>137</v>
      </c>
      <c r="S88" s="228" t="s">
        <v>138</v>
      </c>
      <c r="T88" s="231" t="s">
        <v>138</v>
      </c>
      <c r="U88" s="228" t="s">
        <v>139</v>
      </c>
      <c r="V88" s="231" t="s">
        <v>139</v>
      </c>
      <c r="W88" s="228" t="s">
        <v>140</v>
      </c>
      <c r="X88" s="232" t="s">
        <v>140</v>
      </c>
    </row>
    <row r="89" spans="2:24" ht="17.25" thickTop="1" thickBot="1" x14ac:dyDescent="0.3">
      <c r="B89" s="3"/>
      <c r="C89" s="233" t="s">
        <v>116</v>
      </c>
      <c r="D89" s="234"/>
      <c r="E89" s="234"/>
      <c r="F89" s="228" t="s">
        <v>45</v>
      </c>
      <c r="G89" s="228" t="s">
        <v>198</v>
      </c>
      <c r="H89" s="228" t="s">
        <v>198</v>
      </c>
      <c r="I89" s="228" t="s">
        <v>199</v>
      </c>
      <c r="J89" s="228" t="s">
        <v>199</v>
      </c>
      <c r="K89" s="228" t="s">
        <v>200</v>
      </c>
      <c r="L89" s="228" t="s">
        <v>200</v>
      </c>
      <c r="M89" s="228" t="s">
        <v>201</v>
      </c>
      <c r="N89" s="228" t="s">
        <v>201</v>
      </c>
      <c r="O89" s="228" t="s">
        <v>202</v>
      </c>
      <c r="P89" s="228" t="s">
        <v>202</v>
      </c>
      <c r="Q89" s="228" t="s">
        <v>203</v>
      </c>
      <c r="R89" s="228" t="s">
        <v>203</v>
      </c>
      <c r="S89" s="228" t="s">
        <v>204</v>
      </c>
      <c r="T89" s="228" t="s">
        <v>204</v>
      </c>
      <c r="U89" s="228" t="s">
        <v>205</v>
      </c>
      <c r="V89" s="228" t="s">
        <v>205</v>
      </c>
      <c r="W89" s="228" t="s">
        <v>206</v>
      </c>
      <c r="X89" s="229" t="s">
        <v>206</v>
      </c>
    </row>
    <row r="90" spans="2:24" ht="16.5" thickTop="1" x14ac:dyDescent="0.25">
      <c r="B90" s="362" t="s">
        <v>142</v>
      </c>
      <c r="C90" s="82" t="str">
        <f>LookUps!$G$5</f>
        <v>Wastewater collection; operation and infrastructure; m3 wastewater</v>
      </c>
      <c r="D90" s="107"/>
      <c r="E90" s="107"/>
      <c r="F90" s="221">
        <f>F60/F$82</f>
        <v>4.3649639753158215E-3</v>
      </c>
      <c r="G90" s="221">
        <f t="shared" ref="G90:W90" si="7">G60/$F$82</f>
        <v>4.3649639753158215E-3</v>
      </c>
      <c r="H90" s="221">
        <f t="shared" si="7"/>
        <v>4.3649639753158215E-3</v>
      </c>
      <c r="I90" s="221">
        <f t="shared" si="7"/>
        <v>4.3649639753158215E-3</v>
      </c>
      <c r="J90" s="221">
        <f t="shared" si="7"/>
        <v>4.3649639753158215E-3</v>
      </c>
      <c r="K90" s="221">
        <f t="shared" si="7"/>
        <v>4.3649639753158215E-3</v>
      </c>
      <c r="L90" s="221">
        <f t="shared" si="7"/>
        <v>4.3649639753158215E-3</v>
      </c>
      <c r="M90" s="221">
        <f t="shared" si="7"/>
        <v>4.3649639753158215E-3</v>
      </c>
      <c r="N90" s="221">
        <f t="shared" si="7"/>
        <v>4.3649639753158215E-3</v>
      </c>
      <c r="O90" s="221">
        <f t="shared" si="7"/>
        <v>4.3649639753158215E-3</v>
      </c>
      <c r="P90" s="221">
        <f t="shared" si="7"/>
        <v>4.3649639753158215E-3</v>
      </c>
      <c r="Q90" s="221">
        <f t="shared" si="7"/>
        <v>4.3649639753158215E-3</v>
      </c>
      <c r="R90" s="221">
        <f t="shared" si="7"/>
        <v>4.3649639753158215E-3</v>
      </c>
      <c r="S90" s="221">
        <f t="shared" si="7"/>
        <v>4.3649639753158215E-3</v>
      </c>
      <c r="T90" s="221">
        <f t="shared" si="7"/>
        <v>4.3649639753158215E-3</v>
      </c>
      <c r="U90" s="221">
        <f t="shared" si="7"/>
        <v>4.3649639753158215E-3</v>
      </c>
      <c r="V90" s="221">
        <f t="shared" si="7"/>
        <v>4.3649639753158215E-3</v>
      </c>
      <c r="W90" s="221">
        <f t="shared" si="7"/>
        <v>4.3649639753158215E-3</v>
      </c>
      <c r="X90" s="221">
        <f t="shared" ref="X90" si="8">X60/$F$82</f>
        <v>4.3649639753158215E-3</v>
      </c>
    </row>
    <row r="91" spans="2:24" x14ac:dyDescent="0.25">
      <c r="B91" s="363"/>
      <c r="C91" s="81" t="str">
        <f>LookUps!$G$6</f>
        <v>Influent Pump Station; wastewater treatment unit; at updated plant - US</v>
      </c>
      <c r="D91" s="110"/>
      <c r="E91" s="110"/>
      <c r="F91" s="61"/>
      <c r="G91" s="62">
        <f t="shared" ref="G91:W91" si="9">G61/$F$82</f>
        <v>1.6316112565022134E-2</v>
      </c>
      <c r="H91" s="62">
        <f t="shared" si="9"/>
        <v>1.6316112565022134E-2</v>
      </c>
      <c r="I91" s="62">
        <f t="shared" si="9"/>
        <v>1.6316112565022134E-2</v>
      </c>
      <c r="J91" s="62">
        <f t="shared" si="9"/>
        <v>1.6316112565022134E-2</v>
      </c>
      <c r="K91" s="62">
        <f t="shared" si="9"/>
        <v>1.6316112565022134E-2</v>
      </c>
      <c r="L91" s="62">
        <f t="shared" si="9"/>
        <v>1.6316112565022134E-2</v>
      </c>
      <c r="M91" s="62">
        <f t="shared" si="9"/>
        <v>1.6316112565022134E-2</v>
      </c>
      <c r="N91" s="62">
        <f t="shared" si="9"/>
        <v>1.6316112565022134E-2</v>
      </c>
      <c r="O91" s="62">
        <f t="shared" si="9"/>
        <v>1.6316112565022134E-2</v>
      </c>
      <c r="P91" s="62">
        <f t="shared" si="9"/>
        <v>1.6316112565022134E-2</v>
      </c>
      <c r="Q91" s="62">
        <f t="shared" si="9"/>
        <v>1.6316112565022134E-2</v>
      </c>
      <c r="R91" s="62">
        <f t="shared" si="9"/>
        <v>1.6316112565022134E-2</v>
      </c>
      <c r="S91" s="62">
        <f t="shared" si="9"/>
        <v>1.6316112565022134E-2</v>
      </c>
      <c r="T91" s="62">
        <f t="shared" si="9"/>
        <v>1.6316112565022134E-2</v>
      </c>
      <c r="U91" s="62">
        <f t="shared" si="9"/>
        <v>1.6316112565022134E-2</v>
      </c>
      <c r="V91" s="62">
        <f t="shared" si="9"/>
        <v>1.6316112565022134E-2</v>
      </c>
      <c r="W91" s="62">
        <f t="shared" si="9"/>
        <v>1.6316112565022134E-2</v>
      </c>
      <c r="X91" s="62">
        <f t="shared" ref="X91" si="10">X61/$F$82</f>
        <v>1.6316112565022134E-2</v>
      </c>
    </row>
    <row r="92" spans="2:24" x14ac:dyDescent="0.25">
      <c r="B92" s="363"/>
      <c r="C92" s="81" t="str">
        <f>LookUps!$H$6</f>
        <v>Screening and Grit Removal - US</v>
      </c>
      <c r="D92" s="110"/>
      <c r="E92" s="110"/>
      <c r="F92" s="62">
        <f>F62/F$82</f>
        <v>2.3650285935834063E-3</v>
      </c>
      <c r="G92" s="61"/>
      <c r="H92" s="61"/>
      <c r="I92" s="61"/>
      <c r="J92" s="61"/>
      <c r="K92" s="61"/>
      <c r="L92" s="61"/>
      <c r="M92" s="61"/>
      <c r="N92" s="61"/>
      <c r="O92" s="61"/>
      <c r="P92" s="61"/>
      <c r="Q92" s="61"/>
      <c r="R92" s="61"/>
      <c r="S92" s="61"/>
      <c r="T92" s="61"/>
      <c r="U92" s="61"/>
      <c r="V92" s="61"/>
      <c r="W92" s="61"/>
      <c r="X92" s="61"/>
    </row>
    <row r="93" spans="2:24" x14ac:dyDescent="0.25">
      <c r="B93" s="363"/>
      <c r="C93" s="81" t="str">
        <f>LookUps!$G$8</f>
        <v>Clear Cove Primary Clarification; wastewater treatment unit; at updated plant - US</v>
      </c>
      <c r="D93" s="110"/>
      <c r="E93" s="110"/>
      <c r="F93" s="61"/>
      <c r="G93" s="62">
        <f t="shared" ref="G93:W93" si="11">G63/$F$82</f>
        <v>1.8442053568543827E-2</v>
      </c>
      <c r="H93" s="62">
        <f>H63/$F$82</f>
        <v>1.8442053568543827E-2</v>
      </c>
      <c r="I93" s="62">
        <f t="shared" si="11"/>
        <v>1.8442053568543827E-2</v>
      </c>
      <c r="J93" s="62">
        <f>J63/$F$82</f>
        <v>1.8442053568543827E-2</v>
      </c>
      <c r="K93" s="62">
        <f t="shared" si="11"/>
        <v>1.8442053568543827E-2</v>
      </c>
      <c r="L93" s="62">
        <f>L63/$F$82</f>
        <v>1.8442053568543827E-2</v>
      </c>
      <c r="M93" s="62">
        <f t="shared" si="11"/>
        <v>1.8442053568543827E-2</v>
      </c>
      <c r="N93" s="62">
        <f>N63/$F$82</f>
        <v>1.8442053568543827E-2</v>
      </c>
      <c r="O93" s="62">
        <f t="shared" si="11"/>
        <v>1.8442053568543827E-2</v>
      </c>
      <c r="P93" s="62">
        <f>P63/$F$82</f>
        <v>1.8442053568543827E-2</v>
      </c>
      <c r="Q93" s="62">
        <f t="shared" si="11"/>
        <v>1.8442053568543827E-2</v>
      </c>
      <c r="R93" s="62">
        <f>R63/$F$82</f>
        <v>1.8442053568543827E-2</v>
      </c>
      <c r="S93" s="62">
        <f t="shared" si="11"/>
        <v>1.8442053568543827E-2</v>
      </c>
      <c r="T93" s="62">
        <f>T63/$F$82</f>
        <v>1.8442053568543827E-2</v>
      </c>
      <c r="U93" s="62">
        <f t="shared" si="11"/>
        <v>1.8442053568543827E-2</v>
      </c>
      <c r="V93" s="62">
        <f>V63/$F$82</f>
        <v>1.8442053568543827E-2</v>
      </c>
      <c r="W93" s="62">
        <f t="shared" si="11"/>
        <v>1.8442053568543827E-2</v>
      </c>
      <c r="X93" s="62">
        <f t="shared" ref="X93" si="12">X63/$F$82</f>
        <v>1.8442053568543827E-2</v>
      </c>
    </row>
    <row r="94" spans="2:24" x14ac:dyDescent="0.25">
      <c r="B94" s="363"/>
      <c r="C94" s="81" t="str">
        <f>LookUps!$H$8</f>
        <v>Primary Clarifier; wastewater treatment unit - US</v>
      </c>
      <c r="D94" s="110"/>
      <c r="E94" s="110"/>
      <c r="F94" s="62">
        <f>F64/F$82</f>
        <v>3.638977739006817E-2</v>
      </c>
      <c r="G94" s="61"/>
      <c r="H94" s="61"/>
      <c r="I94" s="61"/>
      <c r="J94" s="61"/>
      <c r="K94" s="61"/>
      <c r="L94" s="61"/>
      <c r="M94" s="61"/>
      <c r="N94" s="61"/>
      <c r="O94" s="61"/>
      <c r="P94" s="61"/>
      <c r="Q94" s="61"/>
      <c r="R94" s="61"/>
      <c r="S94" s="61"/>
      <c r="T94" s="61"/>
      <c r="U94" s="61"/>
      <c r="V94" s="61"/>
      <c r="W94" s="61"/>
      <c r="X94" s="61"/>
    </row>
    <row r="95" spans="2:24" x14ac:dyDescent="0.25">
      <c r="B95" s="363"/>
      <c r="C95" s="81" t="str">
        <f>LookUps!$G$17</f>
        <v>ClearCove SCP; wastewater treatment unit; at updated plant - US</v>
      </c>
      <c r="D95" s="110"/>
      <c r="E95" s="110"/>
      <c r="F95" s="61"/>
      <c r="G95" s="62">
        <f t="shared" ref="G95:W95" si="13">G65/$F$82</f>
        <v>7.7865012439016503E-4</v>
      </c>
      <c r="H95" s="62">
        <f t="shared" si="13"/>
        <v>7.7865012439016503E-4</v>
      </c>
      <c r="I95" s="62">
        <f t="shared" si="13"/>
        <v>7.7865012439016503E-4</v>
      </c>
      <c r="J95" s="62">
        <f t="shared" si="13"/>
        <v>7.7865012439016503E-4</v>
      </c>
      <c r="K95" s="62">
        <f t="shared" si="13"/>
        <v>7.7865012439016503E-4</v>
      </c>
      <c r="L95" s="62">
        <f t="shared" si="13"/>
        <v>7.7865012439016503E-4</v>
      </c>
      <c r="M95" s="62">
        <f t="shared" si="13"/>
        <v>7.7865012439016503E-4</v>
      </c>
      <c r="N95" s="62">
        <f t="shared" si="13"/>
        <v>7.7865012439016503E-4</v>
      </c>
      <c r="O95" s="62">
        <f t="shared" si="13"/>
        <v>7.7865012439016503E-4</v>
      </c>
      <c r="P95" s="62">
        <f t="shared" si="13"/>
        <v>7.7865012439016503E-4</v>
      </c>
      <c r="Q95" s="62">
        <f t="shared" si="13"/>
        <v>7.7865012439016503E-4</v>
      </c>
      <c r="R95" s="62">
        <f t="shared" si="13"/>
        <v>7.7865012439016503E-4</v>
      </c>
      <c r="S95" s="62">
        <f t="shared" si="13"/>
        <v>7.7865012439016503E-4</v>
      </c>
      <c r="T95" s="62">
        <f t="shared" si="13"/>
        <v>7.7865012439016503E-4</v>
      </c>
      <c r="U95" s="62">
        <f t="shared" si="13"/>
        <v>7.7865012439016503E-4</v>
      </c>
      <c r="V95" s="62">
        <f t="shared" si="13"/>
        <v>7.7865012439016503E-4</v>
      </c>
      <c r="W95" s="62">
        <f t="shared" si="13"/>
        <v>7.7865012439016503E-4</v>
      </c>
      <c r="X95" s="62">
        <f t="shared" ref="X95" si="14">X65/$F$82</f>
        <v>7.7865012439016503E-4</v>
      </c>
    </row>
    <row r="96" spans="2:24" x14ac:dyDescent="0.25">
      <c r="B96" s="363"/>
      <c r="C96" s="81" t="str">
        <f>LookUps!$G$7</f>
        <v>Wet Well and Sump Station; wastewater treatment unit; at updated plant - US</v>
      </c>
      <c r="D96" s="110"/>
      <c r="E96" s="110"/>
      <c r="F96" s="61"/>
      <c r="G96" s="62">
        <f t="shared" ref="G96:W96" si="15">G66/$F$82</f>
        <v>1.074601789926012E-2</v>
      </c>
      <c r="H96" s="62">
        <f t="shared" si="15"/>
        <v>1.074601789926012E-2</v>
      </c>
      <c r="I96" s="62">
        <f t="shared" si="15"/>
        <v>1.074601789926012E-2</v>
      </c>
      <c r="J96" s="62">
        <f t="shared" si="15"/>
        <v>1.074601789926012E-2</v>
      </c>
      <c r="K96" s="62">
        <f t="shared" si="15"/>
        <v>1.074601789926012E-2</v>
      </c>
      <c r="L96" s="62">
        <f t="shared" si="15"/>
        <v>1.074601789926012E-2</v>
      </c>
      <c r="M96" s="62">
        <f t="shared" si="15"/>
        <v>1.074601789926012E-2</v>
      </c>
      <c r="N96" s="62">
        <f t="shared" si="15"/>
        <v>1.074601789926012E-2</v>
      </c>
      <c r="O96" s="62">
        <f t="shared" si="15"/>
        <v>1.074601789926012E-2</v>
      </c>
      <c r="P96" s="62">
        <f t="shared" si="15"/>
        <v>1.074601789926012E-2</v>
      </c>
      <c r="Q96" s="62">
        <f t="shared" si="15"/>
        <v>1.074601789926012E-2</v>
      </c>
      <c r="R96" s="62">
        <f t="shared" si="15"/>
        <v>1.074601789926012E-2</v>
      </c>
      <c r="S96" s="62">
        <f t="shared" si="15"/>
        <v>1.074601789926012E-2</v>
      </c>
      <c r="T96" s="62">
        <f t="shared" si="15"/>
        <v>1.074601789926012E-2</v>
      </c>
      <c r="U96" s="62">
        <f t="shared" si="15"/>
        <v>1.074601789926012E-2</v>
      </c>
      <c r="V96" s="62">
        <f t="shared" si="15"/>
        <v>1.074601789926012E-2</v>
      </c>
      <c r="W96" s="62">
        <f t="shared" si="15"/>
        <v>1.074601789926012E-2</v>
      </c>
      <c r="X96" s="62">
        <f t="shared" ref="X96" si="16">X66/$F$82</f>
        <v>1.074601789926012E-2</v>
      </c>
    </row>
    <row r="97" spans="2:24" x14ac:dyDescent="0.25">
      <c r="B97" s="363"/>
      <c r="C97" s="81" t="str">
        <f>LookUps!$G$13</f>
        <v>Pre-Anoxic &amp; Swing tank; wastewater treatment unit; at updated plant - US</v>
      </c>
      <c r="D97" s="110"/>
      <c r="E97" s="110"/>
      <c r="F97" s="61"/>
      <c r="G97" s="62">
        <f t="shared" ref="G97:W97" si="17">G67/$F$82</f>
        <v>7.8446576847274727E-2</v>
      </c>
      <c r="H97" s="62">
        <f t="shared" si="17"/>
        <v>7.8446576847274727E-2</v>
      </c>
      <c r="I97" s="62">
        <f t="shared" si="17"/>
        <v>7.8446576847274727E-2</v>
      </c>
      <c r="J97" s="62">
        <f t="shared" si="17"/>
        <v>7.8446576847274727E-2</v>
      </c>
      <c r="K97" s="62">
        <f t="shared" si="17"/>
        <v>7.8446576847274727E-2</v>
      </c>
      <c r="L97" s="62">
        <f t="shared" si="17"/>
        <v>7.8446576847274727E-2</v>
      </c>
      <c r="M97" s="62">
        <f t="shared" si="17"/>
        <v>7.938031081386708E-2</v>
      </c>
      <c r="N97" s="62">
        <f t="shared" si="17"/>
        <v>7.938031081386708E-2</v>
      </c>
      <c r="O97" s="62">
        <f t="shared" si="17"/>
        <v>7.938031081386708E-2</v>
      </c>
      <c r="P97" s="62">
        <f t="shared" si="17"/>
        <v>7.938031081386708E-2</v>
      </c>
      <c r="Q97" s="62">
        <f t="shared" si="17"/>
        <v>7.938031081386708E-2</v>
      </c>
      <c r="R97" s="62">
        <f t="shared" si="17"/>
        <v>7.938031081386708E-2</v>
      </c>
      <c r="S97" s="62">
        <f t="shared" si="17"/>
        <v>8.0746987173273888E-2</v>
      </c>
      <c r="T97" s="62">
        <f t="shared" si="17"/>
        <v>8.0746987173273888E-2</v>
      </c>
      <c r="U97" s="62">
        <f t="shared" si="17"/>
        <v>8.0746987173273888E-2</v>
      </c>
      <c r="V97" s="62">
        <f t="shared" si="17"/>
        <v>8.0746987173273888E-2</v>
      </c>
      <c r="W97" s="62">
        <f t="shared" si="17"/>
        <v>8.0746987173273888E-2</v>
      </c>
      <c r="X97" s="62">
        <f t="shared" ref="X97" si="18">X67/$F$82</f>
        <v>8.0746987173273888E-2</v>
      </c>
    </row>
    <row r="98" spans="2:24" x14ac:dyDescent="0.25">
      <c r="B98" s="363"/>
      <c r="C98" s="81" t="str">
        <f>LookUps!$J$9</f>
        <v>Aeration Tanks; wastewater treatment unit - US</v>
      </c>
      <c r="D98" s="110"/>
      <c r="E98" s="110"/>
      <c r="F98" s="62">
        <f>F68/F$82</f>
        <v>5.1652612193467097E-2</v>
      </c>
      <c r="G98" s="62">
        <f t="shared" ref="G98:W98" si="19">G68/$F$82</f>
        <v>5.4350424865109367E-2</v>
      </c>
      <c r="H98" s="62">
        <f t="shared" si="19"/>
        <v>5.4350424865109367E-2</v>
      </c>
      <c r="I98" s="62">
        <f t="shared" si="19"/>
        <v>5.4350424865109367E-2</v>
      </c>
      <c r="J98" s="62">
        <f t="shared" si="19"/>
        <v>5.4350424865109367E-2</v>
      </c>
      <c r="K98" s="62">
        <f t="shared" si="19"/>
        <v>5.4350424865109367E-2</v>
      </c>
      <c r="L98" s="62">
        <f t="shared" si="19"/>
        <v>5.4350424865109367E-2</v>
      </c>
      <c r="M98" s="62">
        <f t="shared" si="19"/>
        <v>5.4350424865109367E-2</v>
      </c>
      <c r="N98" s="62">
        <f t="shared" si="19"/>
        <v>5.4350424865109367E-2</v>
      </c>
      <c r="O98" s="62">
        <f t="shared" si="19"/>
        <v>5.4350424865109367E-2</v>
      </c>
      <c r="P98" s="62">
        <f t="shared" si="19"/>
        <v>5.4350424865109367E-2</v>
      </c>
      <c r="Q98" s="62">
        <f t="shared" si="19"/>
        <v>5.4350424865109367E-2</v>
      </c>
      <c r="R98" s="62">
        <f t="shared" si="19"/>
        <v>5.4350424865109367E-2</v>
      </c>
      <c r="S98" s="62">
        <f t="shared" si="19"/>
        <v>5.4350424865109367E-2</v>
      </c>
      <c r="T98" s="62">
        <f t="shared" si="19"/>
        <v>5.4350424865109367E-2</v>
      </c>
      <c r="U98" s="62">
        <f t="shared" si="19"/>
        <v>5.4350424865109367E-2</v>
      </c>
      <c r="V98" s="62">
        <f t="shared" si="19"/>
        <v>5.4350424865109367E-2</v>
      </c>
      <c r="W98" s="62">
        <f t="shared" si="19"/>
        <v>5.4350424865109367E-2</v>
      </c>
      <c r="X98" s="62">
        <f t="shared" ref="X98" si="20">X68/$F$82</f>
        <v>5.4350424865109367E-2</v>
      </c>
    </row>
    <row r="99" spans="2:24" x14ac:dyDescent="0.25">
      <c r="B99" s="363"/>
      <c r="C99" s="81" t="str">
        <f>LookUps!$G$12</f>
        <v>Waste Receiving and Holding; wastewater treatment unit; at updated plant - US</v>
      </c>
      <c r="D99" s="110"/>
      <c r="E99" s="110"/>
      <c r="F99" s="61"/>
      <c r="G99" s="62">
        <f t="shared" ref="G99:W99" si="21">G69/$F$82</f>
        <v>3.3087783916513201E-2</v>
      </c>
      <c r="H99" s="62">
        <f t="shared" si="21"/>
        <v>3.3087783916513201E-2</v>
      </c>
      <c r="I99" s="62">
        <f t="shared" si="21"/>
        <v>3.3087783916513201E-2</v>
      </c>
      <c r="J99" s="62">
        <f t="shared" si="21"/>
        <v>3.3087783916513201E-2</v>
      </c>
      <c r="K99" s="62">
        <f t="shared" si="21"/>
        <v>3.3087783916513201E-2</v>
      </c>
      <c r="L99" s="62">
        <f t="shared" si="21"/>
        <v>3.3087783916513201E-2</v>
      </c>
      <c r="M99" s="62">
        <f t="shared" si="21"/>
        <v>3.9917934800168003E-2</v>
      </c>
      <c r="N99" s="62">
        <f t="shared" si="21"/>
        <v>3.9917934800168003E-2</v>
      </c>
      <c r="O99" s="62">
        <f t="shared" si="21"/>
        <v>3.9917934800168003E-2</v>
      </c>
      <c r="P99" s="62">
        <f t="shared" si="21"/>
        <v>3.9917934800168003E-2</v>
      </c>
      <c r="Q99" s="62">
        <f t="shared" si="21"/>
        <v>3.9917934800168003E-2</v>
      </c>
      <c r="R99" s="62">
        <f t="shared" si="21"/>
        <v>3.9917934800168003E-2</v>
      </c>
      <c r="S99" s="62">
        <f t="shared" si="21"/>
        <v>4.7445962973732679E-2</v>
      </c>
      <c r="T99" s="62">
        <f t="shared" si="21"/>
        <v>4.7445962973732679E-2</v>
      </c>
      <c r="U99" s="62">
        <f t="shared" si="21"/>
        <v>4.7445962973732679E-2</v>
      </c>
      <c r="V99" s="62">
        <f t="shared" si="21"/>
        <v>4.7445962973732679E-2</v>
      </c>
      <c r="W99" s="62">
        <f t="shared" si="21"/>
        <v>4.7445962973732679E-2</v>
      </c>
      <c r="X99" s="62">
        <f t="shared" ref="X99" si="22">X69/$F$82</f>
        <v>4.7445962973732679E-2</v>
      </c>
    </row>
    <row r="100" spans="2:24" x14ac:dyDescent="0.25">
      <c r="B100" s="363"/>
      <c r="C100" s="81" t="str">
        <f>LookUps!$G$11</f>
        <v>Gravity Belt Thickener; wastewater treatment unit; at updated plant - US</v>
      </c>
      <c r="D100" s="110"/>
      <c r="E100" s="110"/>
      <c r="F100" s="61"/>
      <c r="G100" s="62">
        <f t="shared" ref="G100:W100" si="23">G70/$F$82</f>
        <v>4.7009789667539015E-3</v>
      </c>
      <c r="H100" s="62">
        <f t="shared" si="23"/>
        <v>4.7009789667539015E-3</v>
      </c>
      <c r="I100" s="62">
        <f t="shared" si="23"/>
        <v>4.7009789667539015E-3</v>
      </c>
      <c r="J100" s="62">
        <f t="shared" si="23"/>
        <v>4.7009789667539015E-3</v>
      </c>
      <c r="K100" s="62">
        <f t="shared" si="23"/>
        <v>4.7009789667539015E-3</v>
      </c>
      <c r="L100" s="62">
        <f t="shared" si="23"/>
        <v>4.7009789667539015E-3</v>
      </c>
      <c r="M100" s="62">
        <f t="shared" si="23"/>
        <v>4.7009789667539015E-3</v>
      </c>
      <c r="N100" s="62">
        <f t="shared" si="23"/>
        <v>4.7009789667539015E-3</v>
      </c>
      <c r="O100" s="62">
        <f t="shared" si="23"/>
        <v>4.7009789667539015E-3</v>
      </c>
      <c r="P100" s="62">
        <f t="shared" si="23"/>
        <v>4.7009789667539015E-3</v>
      </c>
      <c r="Q100" s="62">
        <f t="shared" si="23"/>
        <v>4.7009789667539015E-3</v>
      </c>
      <c r="R100" s="62">
        <f t="shared" si="23"/>
        <v>4.7009789667539015E-3</v>
      </c>
      <c r="S100" s="62">
        <f t="shared" si="23"/>
        <v>4.7009789667539015E-3</v>
      </c>
      <c r="T100" s="62">
        <f t="shared" si="23"/>
        <v>4.7009789667539015E-3</v>
      </c>
      <c r="U100" s="62">
        <f t="shared" si="23"/>
        <v>4.7009789667539015E-3</v>
      </c>
      <c r="V100" s="62">
        <f t="shared" si="23"/>
        <v>4.7009789667539015E-3</v>
      </c>
      <c r="W100" s="62">
        <f t="shared" si="23"/>
        <v>4.7009789667539015E-3</v>
      </c>
      <c r="X100" s="62">
        <f t="shared" ref="X100" si="24">X70/$F$82</f>
        <v>4.7009789667539015E-3</v>
      </c>
    </row>
    <row r="101" spans="2:24" x14ac:dyDescent="0.25">
      <c r="B101" s="363"/>
      <c r="C101" s="81" t="str">
        <f>LookUps!$H$11</f>
        <v>Sludge Thickener; wastewater treatment unit - US</v>
      </c>
      <c r="D101" s="110"/>
      <c r="E101" s="110"/>
      <c r="F101" s="62">
        <f>F71/F$82</f>
        <v>3.0370585764595651E-4</v>
      </c>
      <c r="G101" s="61"/>
      <c r="H101" s="61"/>
      <c r="I101" s="61"/>
      <c r="J101" s="61"/>
      <c r="K101" s="61"/>
      <c r="L101" s="61"/>
      <c r="M101" s="61"/>
      <c r="N101" s="61"/>
      <c r="O101" s="61"/>
      <c r="P101" s="61"/>
      <c r="Q101" s="61"/>
      <c r="R101" s="61"/>
      <c r="S101" s="61"/>
      <c r="T101" s="61"/>
      <c r="U101" s="61"/>
      <c r="V101" s="61"/>
      <c r="W101" s="61"/>
      <c r="X101" s="61"/>
    </row>
    <row r="102" spans="2:24" x14ac:dyDescent="0.25">
      <c r="B102" s="363"/>
      <c r="C102" s="81" t="str">
        <f>LookUps!$G$14</f>
        <v>Blend Tank; wastewater treatment unit; at updated plant - US</v>
      </c>
      <c r="D102" s="110"/>
      <c r="E102" s="110"/>
      <c r="F102" s="61"/>
      <c r="G102" s="62">
        <f t="shared" ref="G102:W102" si="25">G72/$F$82</f>
        <v>1.628380343123001E-3</v>
      </c>
      <c r="H102" s="62">
        <f t="shared" si="25"/>
        <v>1.628380343123001E-3</v>
      </c>
      <c r="I102" s="62">
        <f t="shared" si="25"/>
        <v>1.628380343123001E-3</v>
      </c>
      <c r="J102" s="62">
        <f t="shared" si="25"/>
        <v>1.628380343123001E-3</v>
      </c>
      <c r="K102" s="62">
        <f t="shared" si="25"/>
        <v>1.628380343123001E-3</v>
      </c>
      <c r="L102" s="62">
        <f t="shared" si="25"/>
        <v>1.628380343123001E-3</v>
      </c>
      <c r="M102" s="62">
        <f t="shared" si="25"/>
        <v>1.628380343123001E-3</v>
      </c>
      <c r="N102" s="62">
        <f t="shared" si="25"/>
        <v>1.628380343123001E-3</v>
      </c>
      <c r="O102" s="62">
        <f t="shared" si="25"/>
        <v>1.628380343123001E-3</v>
      </c>
      <c r="P102" s="62">
        <f t="shared" si="25"/>
        <v>1.628380343123001E-3</v>
      </c>
      <c r="Q102" s="62">
        <f t="shared" si="25"/>
        <v>1.628380343123001E-3</v>
      </c>
      <c r="R102" s="62">
        <f t="shared" si="25"/>
        <v>1.628380343123001E-3</v>
      </c>
      <c r="S102" s="62">
        <f t="shared" si="25"/>
        <v>1.628380343123001E-3</v>
      </c>
      <c r="T102" s="62">
        <f t="shared" si="25"/>
        <v>1.628380343123001E-3</v>
      </c>
      <c r="U102" s="62">
        <f t="shared" si="25"/>
        <v>1.628380343123001E-3</v>
      </c>
      <c r="V102" s="62">
        <f t="shared" si="25"/>
        <v>1.628380343123001E-3</v>
      </c>
      <c r="W102" s="62">
        <f t="shared" si="25"/>
        <v>1.628380343123001E-3</v>
      </c>
      <c r="X102" s="62">
        <f t="shared" ref="X102" si="26">X72/$F$82</f>
        <v>1.628380343123001E-3</v>
      </c>
    </row>
    <row r="103" spans="2:24" x14ac:dyDescent="0.25">
      <c r="B103" s="363"/>
      <c r="C103" s="81" t="str">
        <f>LookUps!$G$19</f>
        <v>Anaerobic Digestion; wastewater treatment unit; at updated plant - US</v>
      </c>
      <c r="D103" s="110"/>
      <c r="E103" s="110"/>
      <c r="F103" s="61"/>
      <c r="G103" s="62">
        <f t="shared" ref="G103:W103" si="27">G73/$F$82</f>
        <v>5.6686375238279858E-2</v>
      </c>
      <c r="H103" s="62">
        <f t="shared" si="27"/>
        <v>5.6686375238279858E-2</v>
      </c>
      <c r="I103" s="62">
        <f t="shared" si="27"/>
        <v>-1.8299893379858486E-2</v>
      </c>
      <c r="J103" s="62">
        <f t="shared" si="27"/>
        <v>-1.8299893379858486E-2</v>
      </c>
      <c r="K103" s="62">
        <f t="shared" si="27"/>
        <v>-0.14509708894704532</v>
      </c>
      <c r="L103" s="62">
        <f t="shared" si="27"/>
        <v>-0.14509708894704532</v>
      </c>
      <c r="M103" s="62">
        <f t="shared" si="27"/>
        <v>2.0567994572065523E-2</v>
      </c>
      <c r="N103" s="62">
        <f t="shared" si="27"/>
        <v>2.0567994572065523E-2</v>
      </c>
      <c r="O103" s="62">
        <f t="shared" si="27"/>
        <v>-0.11953733320409679</v>
      </c>
      <c r="P103" s="62">
        <f t="shared" si="27"/>
        <v>-0.11953733320409679</v>
      </c>
      <c r="Q103" s="62">
        <f t="shared" si="27"/>
        <v>-0.19420374139769311</v>
      </c>
      <c r="R103" s="62">
        <f t="shared" si="27"/>
        <v>-0.19420374139769311</v>
      </c>
      <c r="S103" s="62">
        <f t="shared" si="27"/>
        <v>-5.5106458595845044E-2</v>
      </c>
      <c r="T103" s="62">
        <f t="shared" si="27"/>
        <v>-5.5106458595845044E-2</v>
      </c>
      <c r="U103" s="62">
        <f t="shared" si="27"/>
        <v>-0.18448192303964331</v>
      </c>
      <c r="V103" s="62">
        <f t="shared" si="27"/>
        <v>-0.18448192303964331</v>
      </c>
      <c r="W103" s="62">
        <f t="shared" si="27"/>
        <v>-0.28752544344286129</v>
      </c>
      <c r="X103" s="62">
        <f t="shared" ref="X103" si="28">X73/$F$82</f>
        <v>-0.28752544344286129</v>
      </c>
    </row>
    <row r="104" spans="2:24" x14ac:dyDescent="0.25">
      <c r="B104" s="363"/>
      <c r="C104" s="81" t="str">
        <f>LookUps!$H$19</f>
        <v>Aerobic Digester; wastewater treatment unit - US</v>
      </c>
      <c r="D104" s="110"/>
      <c r="E104" s="110"/>
      <c r="F104" s="62">
        <f>F74/F$82</f>
        <v>7.2078446576847283E-2</v>
      </c>
      <c r="G104" s="61"/>
      <c r="H104" s="61"/>
      <c r="I104" s="61"/>
      <c r="J104" s="61"/>
      <c r="K104" s="61"/>
      <c r="L104" s="61"/>
      <c r="M104" s="61"/>
      <c r="N104" s="61"/>
      <c r="O104" s="61"/>
      <c r="P104" s="61"/>
      <c r="Q104" s="61"/>
      <c r="R104" s="61"/>
      <c r="S104" s="61"/>
      <c r="T104" s="61"/>
      <c r="U104" s="61"/>
      <c r="V104" s="61"/>
      <c r="W104" s="61"/>
      <c r="X104" s="61"/>
    </row>
    <row r="105" spans="2:24" x14ac:dyDescent="0.25">
      <c r="B105" s="363"/>
      <c r="C105" s="81" t="str">
        <f>LookUps!$J$15</f>
        <v>Belt filter press; wastewater treatment unit - US</v>
      </c>
      <c r="D105" s="110"/>
      <c r="E105" s="110"/>
      <c r="F105" s="62">
        <f>F75/F$82</f>
        <v>2.4037995541339539E-3</v>
      </c>
      <c r="G105" s="62">
        <f t="shared" ref="G105:W105" si="29">G75/$F$82</f>
        <v>4.5814351717230464E-3</v>
      </c>
      <c r="H105" s="62">
        <f t="shared" si="29"/>
        <v>4.5814351717230464E-3</v>
      </c>
      <c r="I105" s="62">
        <f t="shared" si="29"/>
        <v>4.1291072986333237E-3</v>
      </c>
      <c r="J105" s="62">
        <f t="shared" si="29"/>
        <v>4.1291072986333237E-3</v>
      </c>
      <c r="K105" s="62">
        <f t="shared" si="29"/>
        <v>3.9772543698103451E-3</v>
      </c>
      <c r="L105" s="62">
        <f t="shared" si="29"/>
        <v>3.9772543698103451E-3</v>
      </c>
      <c r="M105" s="62">
        <f t="shared" si="29"/>
        <v>6.4327485380116962E-3</v>
      </c>
      <c r="N105" s="62">
        <f t="shared" si="29"/>
        <v>6.4327485380116962E-3</v>
      </c>
      <c r="O105" s="62">
        <f t="shared" si="29"/>
        <v>5.6993312009305033E-3</v>
      </c>
      <c r="P105" s="62">
        <f t="shared" si="29"/>
        <v>5.6993312009305033E-3</v>
      </c>
      <c r="Q105" s="62">
        <f t="shared" si="29"/>
        <v>5.4537817841103682E-3</v>
      </c>
      <c r="R105" s="62">
        <f t="shared" si="29"/>
        <v>5.4537817841103682E-3</v>
      </c>
      <c r="S105" s="62">
        <f t="shared" si="29"/>
        <v>8.9884010209686279E-3</v>
      </c>
      <c r="T105" s="62">
        <f t="shared" si="29"/>
        <v>8.9884010209686279E-3</v>
      </c>
      <c r="U105" s="62">
        <f t="shared" si="29"/>
        <v>7.792963070660075E-3</v>
      </c>
      <c r="V105" s="62">
        <f t="shared" si="29"/>
        <v>7.792963070660075E-3</v>
      </c>
      <c r="W105" s="62">
        <f t="shared" si="29"/>
        <v>7.3923298116377505E-3</v>
      </c>
      <c r="X105" s="62">
        <f t="shared" ref="X105" si="30">X75/$F$82</f>
        <v>7.3923298116377505E-3</v>
      </c>
    </row>
    <row r="106" spans="2:24" x14ac:dyDescent="0.25">
      <c r="B106" s="363"/>
      <c r="C106" s="81" t="str">
        <f>LookUps!$G$16</f>
        <v>Biosolids composting; aerated static pile; wastewater treatment unit; at updated plant - US</v>
      </c>
      <c r="D106" s="110"/>
      <c r="E106" s="110"/>
      <c r="F106" s="61"/>
      <c r="G106" s="62">
        <f t="shared" ref="G106:W106" si="31">G76/$F$82</f>
        <v>0.57447901521760203</v>
      </c>
      <c r="H106" s="62">
        <f t="shared" si="31"/>
        <v>0.26992342735291264</v>
      </c>
      <c r="I106" s="62">
        <f t="shared" si="31"/>
        <v>0.52706536137766147</v>
      </c>
      <c r="J106" s="62">
        <f t="shared" si="31"/>
        <v>0.24828276953894868</v>
      </c>
      <c r="K106" s="62">
        <f t="shared" si="31"/>
        <v>0.49101159897903141</v>
      </c>
      <c r="L106" s="62">
        <f t="shared" si="31"/>
        <v>0.2349035572356305</v>
      </c>
      <c r="M106" s="62">
        <f t="shared" si="31"/>
        <v>0.79575457981971509</v>
      </c>
      <c r="N106" s="62">
        <f t="shared" si="31"/>
        <v>0.38005234079674322</v>
      </c>
      <c r="O106" s="62">
        <f t="shared" si="31"/>
        <v>0.73153371458111205</v>
      </c>
      <c r="P106" s="62">
        <f t="shared" si="31"/>
        <v>0.34496785241187683</v>
      </c>
      <c r="Q106" s="62">
        <f t="shared" si="31"/>
        <v>0.69063035120028438</v>
      </c>
      <c r="R106" s="62">
        <f t="shared" si="31"/>
        <v>0.32318826532260669</v>
      </c>
      <c r="S106" s="62">
        <f t="shared" si="31"/>
        <v>1.1089528609737973</v>
      </c>
      <c r="T106" s="62">
        <f t="shared" si="31"/>
        <v>0.53270976705114537</v>
      </c>
      <c r="U106" s="62">
        <f t="shared" si="31"/>
        <v>1.0149946689929243</v>
      </c>
      <c r="V106" s="62">
        <f t="shared" si="31"/>
        <v>0.47543213466446971</v>
      </c>
      <c r="W106" s="62">
        <f t="shared" si="31"/>
        <v>0.93183418952537878</v>
      </c>
      <c r="X106" s="62">
        <f t="shared" ref="X106" si="32">X76/$F$82</f>
        <v>0.44024748796484769</v>
      </c>
    </row>
    <row r="107" spans="2:24" x14ac:dyDescent="0.25">
      <c r="B107" s="363"/>
      <c r="C107" s="81" t="str">
        <f>LookUps!$G$18</f>
        <v>Land application of compost; wastewater treatment unit; at updated plant - US</v>
      </c>
      <c r="D107" s="110"/>
      <c r="E107" s="110"/>
      <c r="F107" s="61"/>
      <c r="G107" s="62">
        <f t="shared" ref="G107:W107" si="33">G77/$F$82</f>
        <v>-0.16917385544893543</v>
      </c>
      <c r="H107" s="62">
        <f t="shared" si="33"/>
        <v>-4.9752835126490258E-2</v>
      </c>
      <c r="I107" s="62">
        <f t="shared" si="33"/>
        <v>-0.15237633679041065</v>
      </c>
      <c r="J107" s="62">
        <f t="shared" si="33"/>
        <v>-4.4809537656295438E-2</v>
      </c>
      <c r="K107" s="62">
        <f t="shared" si="33"/>
        <v>-0.14319408096668929</v>
      </c>
      <c r="L107" s="62">
        <f t="shared" si="33"/>
        <v>-4.3139155439242675E-2</v>
      </c>
      <c r="M107" s="62">
        <f t="shared" si="33"/>
        <v>-0.23228974831184779</v>
      </c>
      <c r="N107" s="62">
        <f t="shared" si="33"/>
        <v>-6.9761881683952059E-2</v>
      </c>
      <c r="O107" s="62">
        <f t="shared" si="33"/>
        <v>-0.21029045911279118</v>
      </c>
      <c r="P107" s="62">
        <f t="shared" si="33"/>
        <v>-6.183968207812348E-2</v>
      </c>
      <c r="Q107" s="62">
        <f t="shared" si="33"/>
        <v>-0.20267519627798777</v>
      </c>
      <c r="R107" s="62">
        <f t="shared" si="33"/>
        <v>-5.9216180414203096E-2</v>
      </c>
      <c r="S107" s="62">
        <f t="shared" si="33"/>
        <v>-0.32204452198636552</v>
      </c>
      <c r="T107" s="62">
        <f t="shared" si="33"/>
        <v>-9.7418500210009376E-2</v>
      </c>
      <c r="U107" s="62">
        <f t="shared" si="33"/>
        <v>-0.29061096572000905</v>
      </c>
      <c r="V107" s="62">
        <f t="shared" si="33"/>
        <v>-8.4588543181157314E-2</v>
      </c>
      <c r="W107" s="62">
        <f t="shared" si="33"/>
        <v>-0.27132241284611158</v>
      </c>
      <c r="X107" s="62">
        <f t="shared" ref="X107" si="34">X77/$F$82</f>
        <v>-8.0239733772737548E-2</v>
      </c>
    </row>
    <row r="108" spans="2:24" x14ac:dyDescent="0.25">
      <c r="B108" s="363"/>
      <c r="C108" s="81" t="str">
        <f>LookUps!$H$18</f>
        <v>Sludge Disposal; wastewater treatment unit - US</v>
      </c>
      <c r="D108" s="110"/>
      <c r="E108" s="110"/>
      <c r="F108" s="62">
        <f>F78/F$82</f>
        <v>0.22645471874899034</v>
      </c>
      <c r="G108" s="61"/>
      <c r="H108" s="61"/>
      <c r="I108" s="61"/>
      <c r="J108" s="61"/>
      <c r="K108" s="61"/>
      <c r="L108" s="61"/>
      <c r="M108" s="61"/>
      <c r="N108" s="61"/>
      <c r="O108" s="61"/>
      <c r="P108" s="61"/>
      <c r="Q108" s="61"/>
      <c r="R108" s="61"/>
      <c r="S108" s="61"/>
      <c r="T108" s="61"/>
      <c r="U108" s="61"/>
      <c r="V108" s="61"/>
      <c r="W108" s="61"/>
      <c r="X108" s="61"/>
    </row>
    <row r="109" spans="2:24" x14ac:dyDescent="0.25">
      <c r="B109" s="363"/>
      <c r="C109" s="81" t="str">
        <f>LookUps!$G$20</f>
        <v>Effluent release; wastewater treatment unit; at surface water; m3 wastewater - US</v>
      </c>
      <c r="D109" s="110"/>
      <c r="E109" s="110"/>
      <c r="F109" s="62">
        <f>F79/F$82</f>
        <v>2.3941068139963169E-2</v>
      </c>
      <c r="G109" s="62">
        <f t="shared" ref="G109:W109" si="35">G79/$F$82</f>
        <v>1.7007528028173565E-2</v>
      </c>
      <c r="H109" s="62">
        <f t="shared" si="35"/>
        <v>1.7007528028173565E-2</v>
      </c>
      <c r="I109" s="62">
        <f t="shared" si="35"/>
        <v>1.7007528028173565E-2</v>
      </c>
      <c r="J109" s="62">
        <f t="shared" si="35"/>
        <v>1.7007528028173565E-2</v>
      </c>
      <c r="K109" s="62">
        <f t="shared" si="35"/>
        <v>1.7007528028173565E-2</v>
      </c>
      <c r="L109" s="62">
        <f t="shared" si="35"/>
        <v>1.7007528028173565E-2</v>
      </c>
      <c r="M109" s="62">
        <f t="shared" si="35"/>
        <v>1.7007528028173565E-2</v>
      </c>
      <c r="N109" s="62">
        <f t="shared" si="35"/>
        <v>1.7007528028173565E-2</v>
      </c>
      <c r="O109" s="62">
        <f t="shared" si="35"/>
        <v>1.7007528028173565E-2</v>
      </c>
      <c r="P109" s="62">
        <f t="shared" si="35"/>
        <v>1.7007528028173565E-2</v>
      </c>
      <c r="Q109" s="62">
        <f t="shared" si="35"/>
        <v>1.7007528028173565E-2</v>
      </c>
      <c r="R109" s="62">
        <f t="shared" si="35"/>
        <v>1.7007528028173565E-2</v>
      </c>
      <c r="S109" s="62">
        <f t="shared" si="35"/>
        <v>1.7007528028173565E-2</v>
      </c>
      <c r="T109" s="62">
        <f t="shared" si="35"/>
        <v>1.7007528028173565E-2</v>
      </c>
      <c r="U109" s="62">
        <f t="shared" si="35"/>
        <v>1.7007528028173565E-2</v>
      </c>
      <c r="V109" s="62">
        <f t="shared" si="35"/>
        <v>1.7007528028173565E-2</v>
      </c>
      <c r="W109" s="62">
        <f t="shared" si="35"/>
        <v>1.7007528028173565E-2</v>
      </c>
      <c r="X109" s="62">
        <f t="shared" ref="X109" si="36">X79/$F$82</f>
        <v>1.7007528028173565E-2</v>
      </c>
    </row>
    <row r="110" spans="2:24" x14ac:dyDescent="0.25">
      <c r="B110" s="364"/>
      <c r="C110" s="81" t="str">
        <f>LookUps!$J$10</f>
        <v>Control Building; at wastewater treatment plant - US</v>
      </c>
      <c r="D110" s="110"/>
      <c r="E110" s="110"/>
      <c r="F110" s="62">
        <f>F80/F$82</f>
        <v>1.6984911634519078E-2</v>
      </c>
      <c r="G110" s="62">
        <f t="shared" ref="G110:W110" si="37">G80/$F$82</f>
        <v>2.6816581047462117E-3</v>
      </c>
      <c r="H110" s="62">
        <f t="shared" si="37"/>
        <v>2.6816581047462117E-3</v>
      </c>
      <c r="I110" s="62">
        <f t="shared" si="37"/>
        <v>2.6816581047462117E-3</v>
      </c>
      <c r="J110" s="62">
        <f t="shared" si="37"/>
        <v>2.6816581047462117E-3</v>
      </c>
      <c r="K110" s="62">
        <f t="shared" si="37"/>
        <v>2.6816581047462117E-3</v>
      </c>
      <c r="L110" s="62">
        <f t="shared" si="37"/>
        <v>2.6816581047462117E-3</v>
      </c>
      <c r="M110" s="62">
        <f t="shared" si="37"/>
        <v>2.6816581047462117E-3</v>
      </c>
      <c r="N110" s="62">
        <f t="shared" si="37"/>
        <v>2.6816581047462117E-3</v>
      </c>
      <c r="O110" s="62">
        <f t="shared" si="37"/>
        <v>2.6816581047462117E-3</v>
      </c>
      <c r="P110" s="62">
        <f t="shared" si="37"/>
        <v>2.6816581047462117E-3</v>
      </c>
      <c r="Q110" s="62">
        <f t="shared" si="37"/>
        <v>2.6816581047462117E-3</v>
      </c>
      <c r="R110" s="62">
        <f t="shared" si="37"/>
        <v>2.6816581047462117E-3</v>
      </c>
      <c r="S110" s="62">
        <f t="shared" si="37"/>
        <v>2.6816581047462117E-3</v>
      </c>
      <c r="T110" s="62">
        <f t="shared" si="37"/>
        <v>2.6816581047462117E-3</v>
      </c>
      <c r="U110" s="62">
        <f t="shared" si="37"/>
        <v>2.6816581047462117E-3</v>
      </c>
      <c r="V110" s="62">
        <f t="shared" si="37"/>
        <v>2.6816581047462117E-3</v>
      </c>
      <c r="W110" s="62">
        <f t="shared" si="37"/>
        <v>2.6816581047462117E-3</v>
      </c>
      <c r="X110" s="62">
        <f t="shared" ref="X110" si="38">X80/$F$82</f>
        <v>2.6816581047462117E-3</v>
      </c>
    </row>
    <row r="111" spans="2:24" ht="16.5" thickBot="1" x14ac:dyDescent="0.3">
      <c r="B111" s="3"/>
      <c r="C111" s="85" t="s">
        <v>34</v>
      </c>
      <c r="D111" s="111"/>
      <c r="E111" s="111"/>
      <c r="F111" s="68">
        <f>SUM(F90:F110)</f>
        <v>0.43693903266453432</v>
      </c>
      <c r="G111" s="68">
        <f t="shared" ref="G111:W111" si="39">SUM(G90:G110)</f>
        <v>0.70912409938289545</v>
      </c>
      <c r="H111" s="68">
        <f>SUM(H90:H110)</f>
        <v>0.52398953184065122</v>
      </c>
      <c r="I111" s="68">
        <f t="shared" si="39"/>
        <v>0.60306936771025166</v>
      </c>
      <c r="J111" s="68">
        <f>SUM(J90:J110)</f>
        <v>0.43185357500565413</v>
      </c>
      <c r="K111" s="68">
        <f t="shared" si="39"/>
        <v>0.44924881263933319</v>
      </c>
      <c r="L111" s="68">
        <f>SUM(L90:L110)</f>
        <v>0.29319569642337889</v>
      </c>
      <c r="M111" s="68">
        <f t="shared" si="39"/>
        <v>0.84078058867241767</v>
      </c>
      <c r="N111" s="68">
        <f>SUM(N90:N110)</f>
        <v>0.58760621627734155</v>
      </c>
      <c r="O111" s="68">
        <f t="shared" si="39"/>
        <v>0.65772026751962775</v>
      </c>
      <c r="P111" s="68">
        <f>SUM(P90:P110)</f>
        <v>0.41960518238506028</v>
      </c>
      <c r="Q111" s="68">
        <f t="shared" si="39"/>
        <v>0.54952020936318702</v>
      </c>
      <c r="R111" s="68">
        <f>SUM(R90:R110)</f>
        <v>0.32553713934929401</v>
      </c>
      <c r="S111" s="68">
        <f t="shared" si="39"/>
        <v>1.0000000000000002</v>
      </c>
      <c r="T111" s="68">
        <f>SUM(T90:T110)</f>
        <v>0.64838292785370422</v>
      </c>
      <c r="U111" s="68">
        <f t="shared" si="39"/>
        <v>0.80690446189137666</v>
      </c>
      <c r="V111" s="68">
        <f>SUM(V90:V110)</f>
        <v>0.4733643501017738</v>
      </c>
      <c r="W111" s="68">
        <f t="shared" si="39"/>
        <v>0.63958838163548826</v>
      </c>
      <c r="X111" s="68">
        <f t="shared" ref="X111" si="40">SUM(X90:X110)</f>
        <v>0.33908435914833129</v>
      </c>
    </row>
    <row r="112" spans="2:24" x14ac:dyDescent="0.25"/>
    <row r="113" x14ac:dyDescent="0.25"/>
    <row r="114" x14ac:dyDescent="0.25"/>
    <row r="115" x14ac:dyDescent="0.25"/>
    <row r="116" x14ac:dyDescent="0.25"/>
    <row r="117" x14ac:dyDescent="0.25"/>
    <row r="118" x14ac:dyDescent="0.25"/>
    <row r="119" x14ac:dyDescent="0.25"/>
    <row r="120" x14ac:dyDescent="0.25"/>
  </sheetData>
  <mergeCells count="2">
    <mergeCell ref="B60:B80"/>
    <mergeCell ref="B90:B110"/>
  </mergeCells>
  <dataValidations count="1">
    <dataValidation type="list" allowBlank="1" showInputMessage="1" showErrorMessage="1" sqref="F58">
      <formula1>$AS$66:$AS$74</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LookUps!$D$37:$D$38</xm:f>
          </x14:formula1>
          <xm:sqref>C6:C52</xm:sqref>
        </x14:dataValidation>
        <x14:dataValidation type="list" allowBlank="1" showInputMessage="1" showErrorMessage="1">
          <x14:formula1>
            <xm:f>LookUps!$C$41:$C$42</xm:f>
          </x14:formula1>
          <xm:sqref>C5</xm:sqref>
        </x14:dataValidation>
        <x14:dataValidation type="list" allowBlank="1" showInputMessage="1" showErrorMessage="1">
          <x14:formula1>
            <xm:f>LookUps!$D$21:$D$23</xm:f>
          </x14:formula1>
          <xm:sqref>C4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Q20016"/>
  <sheetViews>
    <sheetView topLeftCell="A14924" zoomScale="70" zoomScaleNormal="70" workbookViewId="0">
      <selection activeCell="G19887" sqref="G19886:G19887"/>
    </sheetView>
  </sheetViews>
  <sheetFormatPr defaultColWidth="0" defaultRowHeight="15.75" zeroHeight="1" x14ac:dyDescent="0.25"/>
  <cols>
    <col min="1" max="1" width="9" style="202" customWidth="1"/>
    <col min="2" max="2" width="20.125" style="202" customWidth="1"/>
    <col min="3" max="3" width="26.75" style="202" bestFit="1" customWidth="1"/>
    <col min="4" max="4" width="29.875" style="202" customWidth="1"/>
    <col min="5" max="5" width="37.625" style="202" customWidth="1"/>
    <col min="6" max="6" width="16.375" style="202" bestFit="1" customWidth="1"/>
    <col min="7" max="7" width="15.625" style="202" customWidth="1"/>
    <col min="8" max="8" width="18.5" style="216" bestFit="1" customWidth="1"/>
    <col min="9" max="9" width="64.75" style="216" bestFit="1" customWidth="1"/>
    <col min="10" max="10" width="12.125" style="216" bestFit="1" customWidth="1"/>
    <col min="11" max="11" width="10.625" style="216" customWidth="1"/>
    <col min="12" max="12" width="62.125" style="216" customWidth="1"/>
    <col min="13" max="13" width="255.625" style="216" bestFit="1" customWidth="1"/>
    <col min="14" max="17" width="9" style="216" customWidth="1"/>
    <col min="18" max="16384" width="9" style="216" hidden="1"/>
  </cols>
  <sheetData>
    <row r="1" spans="1:13" s="120" customFormat="1" x14ac:dyDescent="0.25">
      <c r="A1" s="139" t="s">
        <v>208</v>
      </c>
      <c r="B1" s="139"/>
      <c r="C1" s="139"/>
      <c r="D1" s="119"/>
      <c r="E1" s="119"/>
      <c r="F1" s="119"/>
      <c r="G1" s="119"/>
    </row>
    <row r="2" spans="1:13" s="120" customFormat="1" x14ac:dyDescent="0.25">
      <c r="A2" s="119"/>
      <c r="B2" s="119"/>
      <c r="C2" s="119"/>
      <c r="D2" s="119"/>
      <c r="E2" s="119"/>
      <c r="F2" s="119"/>
      <c r="G2" s="119"/>
    </row>
    <row r="3" spans="1:13" s="120" customFormat="1" x14ac:dyDescent="0.25">
      <c r="A3" s="119"/>
      <c r="B3" s="119"/>
      <c r="C3" s="119"/>
      <c r="D3" s="119"/>
      <c r="E3" s="119"/>
      <c r="F3" s="119"/>
      <c r="G3" s="119"/>
    </row>
    <row r="4" spans="1:13" s="120" customFormat="1" x14ac:dyDescent="0.25">
      <c r="A4" s="119"/>
      <c r="B4" s="119"/>
      <c r="C4" s="119"/>
      <c r="D4" s="119"/>
      <c r="E4" s="119"/>
      <c r="F4" s="119"/>
      <c r="G4" s="161" t="s">
        <v>160</v>
      </c>
    </row>
    <row r="5" spans="1:13" s="120" customFormat="1" ht="47.25" x14ac:dyDescent="0.25">
      <c r="A5" s="119"/>
      <c r="B5" s="209" t="s">
        <v>432</v>
      </c>
      <c r="C5" s="209" t="s">
        <v>412</v>
      </c>
      <c r="D5" s="209" t="s">
        <v>411</v>
      </c>
      <c r="E5" s="121" t="s">
        <v>413</v>
      </c>
      <c r="F5" s="121" t="s">
        <v>69</v>
      </c>
      <c r="G5" s="121" t="s">
        <v>51</v>
      </c>
      <c r="H5" s="121" t="s">
        <v>261</v>
      </c>
      <c r="I5" s="121" t="s">
        <v>47</v>
      </c>
      <c r="J5" s="121" t="s">
        <v>52</v>
      </c>
      <c r="K5" s="121" t="s">
        <v>27</v>
      </c>
      <c r="L5" s="121" t="s">
        <v>68</v>
      </c>
      <c r="M5" s="121" t="s">
        <v>182</v>
      </c>
    </row>
    <row r="6" spans="1:13" s="120" customFormat="1" x14ac:dyDescent="0.25">
      <c r="A6" s="119"/>
      <c r="B6" s="138" t="str">
        <f>IF(F6="Legacy","n.a.",IF(F6="","","Windrow"))</f>
        <v/>
      </c>
      <c r="C6" s="138" t="str">
        <f>IF(E6="","", "Bath Landfill")</f>
        <v/>
      </c>
      <c r="D6" s="118"/>
      <c r="E6" s="118"/>
      <c r="F6" s="118"/>
      <c r="G6" s="153" t="s">
        <v>51</v>
      </c>
      <c r="H6" s="154"/>
      <c r="I6" s="154" t="s">
        <v>47</v>
      </c>
      <c r="J6" s="156" t="s">
        <v>52</v>
      </c>
      <c r="K6" s="154" t="s">
        <v>27</v>
      </c>
      <c r="L6" s="154"/>
      <c r="M6" s="154" t="s">
        <v>425</v>
      </c>
    </row>
    <row r="7" spans="1:13" s="120" customFormat="1" x14ac:dyDescent="0.25">
      <c r="A7" s="119"/>
      <c r="B7" s="138" t="str">
        <f t="shared" ref="B7:B70" si="0">IF(F7="Legacy","n.a.",IF(F7="","","Windrow"))</f>
        <v>n.a.</v>
      </c>
      <c r="C7" s="138" t="str">
        <f t="shared" ref="C7:C70" si="1">IF(E7="","", "Bath Landfill")</f>
        <v>Bath Landfill</v>
      </c>
      <c r="D7" s="118" t="s">
        <v>130</v>
      </c>
      <c r="E7" s="118" t="s">
        <v>130</v>
      </c>
      <c r="F7" s="118" t="s">
        <v>45</v>
      </c>
      <c r="G7" s="153"/>
      <c r="H7" s="155">
        <v>0.436</v>
      </c>
      <c r="I7" s="160" t="s">
        <v>125</v>
      </c>
      <c r="J7" s="203">
        <v>1.3429999999999999E-2</v>
      </c>
      <c r="K7" s="154" t="s">
        <v>24</v>
      </c>
      <c r="L7" s="154" t="str">
        <f>IF(OpenLCAbasic!K7="CTUh", "Fill in Manually",IF(OR(K7="Unit", K7=""), "", INDEX(LookUps!$E$5:$E$12, MATCH(OpenLCAbasic!K7,LookUps!$D$5:$D$12,0))))</f>
        <v>Acidification Potential (AP) - kg SO2 eq</v>
      </c>
      <c r="M7" s="154" t="str">
        <f>CONCATENATE(E7,"_",D7,"_",F7,"_",L7, "_",I7,"_", C7,"_", B7)</f>
        <v>Base_Base_Legacy_Acidification Potential (AP) - kg SO2 eq_Aerobic Digester; wastewater treatment unit - US_Bath Landfill_n.a.</v>
      </c>
    </row>
    <row r="8" spans="1:13" s="120" customFormat="1" x14ac:dyDescent="0.25">
      <c r="A8" s="119"/>
      <c r="B8" s="138" t="str">
        <f t="shared" si="0"/>
        <v>n.a.</v>
      </c>
      <c r="C8" s="138" t="str">
        <f t="shared" si="1"/>
        <v>Bath Landfill</v>
      </c>
      <c r="D8" s="118" t="s">
        <v>130</v>
      </c>
      <c r="E8" s="118" t="s">
        <v>130</v>
      </c>
      <c r="F8" s="118" t="s">
        <v>45</v>
      </c>
      <c r="G8" s="153"/>
      <c r="H8" s="155">
        <v>0.4259</v>
      </c>
      <c r="I8" s="160" t="s">
        <v>124</v>
      </c>
      <c r="J8" s="203">
        <v>1.312E-2</v>
      </c>
      <c r="K8" s="154" t="s">
        <v>24</v>
      </c>
      <c r="L8" s="154" t="str">
        <f>IF(OpenLCAbasic!K8="CTUh", "Fill in Manually",IF(OR(K8="Unit", K8=""), "", INDEX(LookUps!$E$5:$E$12, MATCH(OpenLCAbasic!K8,LookUps!$D$5:$D$12,0))))</f>
        <v>Acidification Potential (AP) - kg SO2 eq</v>
      </c>
      <c r="M8" s="154" t="str">
        <f t="shared" ref="M8:M71" si="2">CONCATENATE(E8,"_",D8,"_",F8,"_",L8, "_",I8,"_", C8,"_", B8)</f>
        <v>Base_Base_Legacy_Acidification Potential (AP) - kg SO2 eq_Aeration Tanks; wastewater treatment unit - US_Bath Landfill_n.a.</v>
      </c>
    </row>
    <row r="9" spans="1:13" s="120" customFormat="1" x14ac:dyDescent="0.25">
      <c r="A9" s="119"/>
      <c r="B9" s="138" t="str">
        <f t="shared" si="0"/>
        <v>n.a.</v>
      </c>
      <c r="C9" s="138" t="str">
        <f t="shared" si="1"/>
        <v>Bath Landfill</v>
      </c>
      <c r="D9" s="118" t="s">
        <v>130</v>
      </c>
      <c r="E9" s="118" t="s">
        <v>130</v>
      </c>
      <c r="F9" s="118" t="s">
        <v>45</v>
      </c>
      <c r="G9" s="153"/>
      <c r="H9" s="155">
        <v>0.1512</v>
      </c>
      <c r="I9" s="160" t="s">
        <v>126</v>
      </c>
      <c r="J9" s="204">
        <v>4.6600000000000001E-3</v>
      </c>
      <c r="K9" s="154" t="s">
        <v>24</v>
      </c>
      <c r="L9" s="154" t="str">
        <f>IF(OpenLCAbasic!K9="CTUh", "Fill in Manually",IF(OR(K9="Unit", K9=""), "", INDEX(LookUps!$E$5:$E$12, MATCH(OpenLCAbasic!K9,LookUps!$D$5:$D$12,0))))</f>
        <v>Acidification Potential (AP) - kg SO2 eq</v>
      </c>
      <c r="M9" s="154" t="str">
        <f t="shared" si="2"/>
        <v>Base_Base_Legacy_Acidification Potential (AP) - kg SO2 eq_Primary Clarifier; wastewater treatment unit - US_Bath Landfill_n.a.</v>
      </c>
    </row>
    <row r="10" spans="1:13" s="120" customFormat="1" x14ac:dyDescent="0.25">
      <c r="A10" s="119"/>
      <c r="B10" s="138" t="str">
        <f t="shared" si="0"/>
        <v>n.a.</v>
      </c>
      <c r="C10" s="138" t="str">
        <f t="shared" si="1"/>
        <v>Bath Landfill</v>
      </c>
      <c r="D10" s="118" t="s">
        <v>130</v>
      </c>
      <c r="E10" s="118" t="s">
        <v>130</v>
      </c>
      <c r="F10" s="118" t="s">
        <v>45</v>
      </c>
      <c r="G10" s="153"/>
      <c r="H10" s="155">
        <v>0.04</v>
      </c>
      <c r="I10" s="160" t="s">
        <v>128</v>
      </c>
      <c r="J10" s="204">
        <v>1.23E-3</v>
      </c>
      <c r="K10" s="154" t="s">
        <v>24</v>
      </c>
      <c r="L10" s="154" t="str">
        <f>IF(OpenLCAbasic!K10="CTUh", "Fill in Manually",IF(OR(K10="Unit", K10=""), "", INDEX(LookUps!$E$5:$E$12, MATCH(OpenLCAbasic!K10,LookUps!$D$5:$D$12,0))))</f>
        <v>Acidification Potential (AP) - kg SO2 eq</v>
      </c>
      <c r="M10" s="154" t="str">
        <f t="shared" si="2"/>
        <v>Base_Base_Legacy_Acidification Potential (AP) - kg SO2 eq_Wastewater collection; operation and infrastructure; m3 wastewater_Bath Landfill_n.a.</v>
      </c>
    </row>
    <row r="11" spans="1:13" s="120" customFormat="1" x14ac:dyDescent="0.25">
      <c r="A11" s="119"/>
      <c r="B11" s="138" t="str">
        <f t="shared" si="0"/>
        <v>n.a.</v>
      </c>
      <c r="C11" s="138" t="str">
        <f t="shared" si="1"/>
        <v>Bath Landfill</v>
      </c>
      <c r="D11" s="118" t="s">
        <v>130</v>
      </c>
      <c r="E11" s="118" t="s">
        <v>130</v>
      </c>
      <c r="F11" s="118" t="s">
        <v>45</v>
      </c>
      <c r="G11" s="153"/>
      <c r="H11" s="155">
        <v>2.3400000000000001E-2</v>
      </c>
      <c r="I11" s="160" t="s">
        <v>150</v>
      </c>
      <c r="J11" s="204">
        <v>7.2000000000000005E-4</v>
      </c>
      <c r="K11" s="154" t="s">
        <v>24</v>
      </c>
      <c r="L11" s="154" t="str">
        <f>IF(OpenLCAbasic!K11="CTUh", "Fill in Manually",IF(OR(K11="Unit", K11=""), "", INDEX(LookUps!$E$5:$E$12, MATCH(OpenLCAbasic!K11,LookUps!$D$5:$D$12,0))))</f>
        <v>Acidification Potential (AP) - kg SO2 eq</v>
      </c>
      <c r="M11" s="154" t="str">
        <f t="shared" si="2"/>
        <v>Base_Base_Legacy_Acidification Potential (AP) - kg SO2 eq_Screening and Grit Removal - US_Bath Landfill_n.a.</v>
      </c>
    </row>
    <row r="12" spans="1:13" s="120" customFormat="1" x14ac:dyDescent="0.25">
      <c r="A12" s="119"/>
      <c r="B12" s="138" t="str">
        <f t="shared" si="0"/>
        <v>n.a.</v>
      </c>
      <c r="C12" s="138" t="str">
        <f t="shared" si="1"/>
        <v>Bath Landfill</v>
      </c>
      <c r="D12" s="118" t="s">
        <v>130</v>
      </c>
      <c r="E12" s="118" t="s">
        <v>130</v>
      </c>
      <c r="F12" s="118" t="s">
        <v>45</v>
      </c>
      <c r="G12" s="153"/>
      <c r="H12" s="155">
        <v>2.07E-2</v>
      </c>
      <c r="I12" s="160" t="s">
        <v>123</v>
      </c>
      <c r="J12" s="204">
        <v>6.4000000000000005E-4</v>
      </c>
      <c r="K12" s="154" t="s">
        <v>24</v>
      </c>
      <c r="L12" s="154" t="str">
        <f>IF(OpenLCAbasic!K12="CTUh", "Fill in Manually",IF(OR(K12="Unit", K12=""), "", INDEX(LookUps!$E$5:$E$12, MATCH(OpenLCAbasic!K12,LookUps!$D$5:$D$12,0))))</f>
        <v>Acidification Potential (AP) - kg SO2 eq</v>
      </c>
      <c r="M12" s="154" t="str">
        <f t="shared" si="2"/>
        <v>Base_Base_Legacy_Acidification Potential (AP) - kg SO2 eq_Belt filter press; wastewater treatment unit - US_Bath Landfill_n.a.</v>
      </c>
    </row>
    <row r="13" spans="1:13" s="120" customFormat="1" x14ac:dyDescent="0.25">
      <c r="A13" s="119"/>
      <c r="B13" s="138" t="str">
        <f t="shared" si="0"/>
        <v>n.a.</v>
      </c>
      <c r="C13" s="138" t="str">
        <f t="shared" si="1"/>
        <v>Bath Landfill</v>
      </c>
      <c r="D13" s="118" t="s">
        <v>130</v>
      </c>
      <c r="E13" s="118" t="s">
        <v>130</v>
      </c>
      <c r="F13" s="118" t="s">
        <v>45</v>
      </c>
      <c r="G13" s="153"/>
      <c r="H13" s="155">
        <v>4.4000000000000003E-3</v>
      </c>
      <c r="I13" s="160" t="s">
        <v>56</v>
      </c>
      <c r="J13" s="204">
        <v>1.2999999999999999E-4</v>
      </c>
      <c r="K13" s="154" t="s">
        <v>24</v>
      </c>
      <c r="L13" s="154" t="str">
        <f>IF(OpenLCAbasic!K13="CTUh", "Fill in Manually",IF(OR(K13="Unit", K13=""), "", INDEX(LookUps!$E$5:$E$12, MATCH(OpenLCAbasic!K13,LookUps!$D$5:$D$12,0))))</f>
        <v>Acidification Potential (AP) - kg SO2 eq</v>
      </c>
      <c r="M13" s="154" t="str">
        <f t="shared" si="2"/>
        <v>Base_Base_Legacy_Acidification Potential (AP) - kg SO2 eq_Control Building; at wastewater treatment plant - US_Bath Landfill_n.a.</v>
      </c>
    </row>
    <row r="14" spans="1:13" s="120" customFormat="1" x14ac:dyDescent="0.25">
      <c r="A14" s="119"/>
      <c r="B14" s="138" t="str">
        <f t="shared" si="0"/>
        <v>n.a.</v>
      </c>
      <c r="C14" s="138" t="str">
        <f t="shared" si="1"/>
        <v>Bath Landfill</v>
      </c>
      <c r="D14" s="118" t="s">
        <v>130</v>
      </c>
      <c r="E14" s="118" t="s">
        <v>130</v>
      </c>
      <c r="F14" s="118" t="s">
        <v>45</v>
      </c>
      <c r="G14" s="153"/>
      <c r="H14" s="155">
        <v>2.7000000000000001E-3</v>
      </c>
      <c r="I14" s="160" t="s">
        <v>127</v>
      </c>
      <c r="J14" s="204">
        <v>8.2876900000000006E-5</v>
      </c>
      <c r="K14" s="154" t="s">
        <v>24</v>
      </c>
      <c r="L14" s="154" t="str">
        <f>IF(OpenLCAbasic!K14="CTUh", "Fill in Manually",IF(OR(K14="Unit", K14=""), "", INDEX(LookUps!$E$5:$E$12, MATCH(OpenLCAbasic!K14,LookUps!$D$5:$D$12,0))))</f>
        <v>Acidification Potential (AP) - kg SO2 eq</v>
      </c>
      <c r="M14" s="154" t="str">
        <f t="shared" si="2"/>
        <v>Base_Base_Legacy_Acidification Potential (AP) - kg SO2 eq_Sludge Thickener; wastewater treatment unit - US_Bath Landfill_n.a.</v>
      </c>
    </row>
    <row r="15" spans="1:13" s="120" customFormat="1" x14ac:dyDescent="0.25">
      <c r="A15" s="119"/>
      <c r="B15" s="138" t="str">
        <f t="shared" si="0"/>
        <v>n.a.</v>
      </c>
      <c r="C15" s="138" t="str">
        <f t="shared" si="1"/>
        <v>Bath Landfill</v>
      </c>
      <c r="D15" s="118" t="s">
        <v>130</v>
      </c>
      <c r="E15" s="118" t="s">
        <v>130</v>
      </c>
      <c r="F15" s="118" t="s">
        <v>45</v>
      </c>
      <c r="G15" s="153"/>
      <c r="H15" s="155">
        <v>1E-4</v>
      </c>
      <c r="I15" s="160" t="s">
        <v>48</v>
      </c>
      <c r="J15" s="204">
        <v>3.9818900000000001E-6</v>
      </c>
      <c r="K15" s="154" t="s">
        <v>24</v>
      </c>
      <c r="L15" s="154" t="str">
        <f>IF(OpenLCAbasic!K15="CTUh", "Fill in Manually",IF(OR(K15="Unit", K15=""), "", INDEX(LookUps!$E$5:$E$12, MATCH(OpenLCAbasic!K15,LookUps!$D$5:$D$12,0))))</f>
        <v>Acidification Potential (AP) - kg SO2 eq</v>
      </c>
      <c r="M15" s="154" t="str">
        <f t="shared" si="2"/>
        <v>Base_Base_Legacy_Acidification Potential (AP) - kg SO2 eq_Effluent release; wastewater treatment unit; at surface water; m3 wastewater - US_Bath Landfill_n.a.</v>
      </c>
    </row>
    <row r="16" spans="1:13" s="120" customFormat="1" x14ac:dyDescent="0.25">
      <c r="A16" s="119"/>
      <c r="B16" s="138" t="str">
        <f t="shared" si="0"/>
        <v>n.a.</v>
      </c>
      <c r="C16" s="138" t="str">
        <f t="shared" si="1"/>
        <v>Bath Landfill</v>
      </c>
      <c r="D16" s="118" t="s">
        <v>130</v>
      </c>
      <c r="E16" s="118" t="s">
        <v>130</v>
      </c>
      <c r="F16" s="118" t="s">
        <v>45</v>
      </c>
      <c r="G16" s="153"/>
      <c r="H16" s="155">
        <v>-0.1045</v>
      </c>
      <c r="I16" s="160" t="s">
        <v>151</v>
      </c>
      <c r="J16" s="204">
        <v>-3.2200000000000002E-3</v>
      </c>
      <c r="K16" s="154" t="s">
        <v>24</v>
      </c>
      <c r="L16" s="154" t="str">
        <f>IF(OpenLCAbasic!K16="CTUh", "Fill in Manually",IF(OR(K16="Unit", K16=""), "", INDEX(LookUps!$E$5:$E$12, MATCH(OpenLCAbasic!K16,LookUps!$D$5:$D$12,0))))</f>
        <v>Acidification Potential (AP) - kg SO2 eq</v>
      </c>
      <c r="M16" s="154" t="str">
        <f t="shared" si="2"/>
        <v>Base_Base_Legacy_Acidification Potential (AP) - kg SO2 eq_Sludge Disposal; wastewater treatment unit - US_Bath Landfill_n.a.</v>
      </c>
    </row>
    <row r="17" spans="1:13" s="120" customFormat="1" x14ac:dyDescent="0.25">
      <c r="A17" s="119"/>
      <c r="B17" s="138" t="str">
        <f t="shared" si="0"/>
        <v/>
      </c>
      <c r="C17" s="138" t="str">
        <f t="shared" si="1"/>
        <v/>
      </c>
      <c r="D17" s="118"/>
      <c r="E17" s="118"/>
      <c r="F17" s="118"/>
      <c r="G17" s="153" t="s">
        <v>51</v>
      </c>
      <c r="H17" s="155"/>
      <c r="I17" s="160" t="s">
        <v>47</v>
      </c>
      <c r="J17" s="156" t="s">
        <v>52</v>
      </c>
      <c r="K17" s="154" t="s">
        <v>27</v>
      </c>
      <c r="L17" s="154" t="str">
        <f>IF(OpenLCAbasic!K17="CTUh", "Fill in Manually",IF(OR(K17="Unit", K17=""), "", INDEX(LookUps!$E$5:$E$12, MATCH(OpenLCAbasic!K17,LookUps!$D$5:$D$12,0))))</f>
        <v/>
      </c>
      <c r="M17" s="154" t="str">
        <f t="shared" si="2"/>
        <v>____Process__</v>
      </c>
    </row>
    <row r="18" spans="1:13" s="120" customFormat="1" x14ac:dyDescent="0.25">
      <c r="A18" s="119"/>
      <c r="B18" s="138" t="str">
        <f t="shared" si="0"/>
        <v>n.a.</v>
      </c>
      <c r="C18" s="138" t="str">
        <f t="shared" si="1"/>
        <v>Bath Landfill</v>
      </c>
      <c r="D18" s="118" t="s">
        <v>130</v>
      </c>
      <c r="E18" s="118" t="s">
        <v>130</v>
      </c>
      <c r="F18" s="118" t="s">
        <v>45</v>
      </c>
      <c r="G18" s="153"/>
      <c r="H18" s="155">
        <v>0.29959999999999998</v>
      </c>
      <c r="I18" s="160" t="s">
        <v>125</v>
      </c>
      <c r="J18" s="157">
        <v>2.7189700000000001</v>
      </c>
      <c r="K18" s="154" t="s">
        <v>15</v>
      </c>
      <c r="L18" s="154" t="str">
        <f>IF(OpenLCAbasic!K18="CTUh", "Fill in Manually",IF(OR(K18="Unit", K18=""), "", INDEX(LookUps!$E$5:$E$12, MATCH(OpenLCAbasic!K18,LookUps!$D$5:$D$12,0))))</f>
        <v>Cumulative Energy Demand (CED) - MJ</v>
      </c>
      <c r="M18" s="154" t="str">
        <f t="shared" si="2"/>
        <v>Base_Base_Legacy_Cumulative Energy Demand (CED) - MJ_Aerobic Digester; wastewater treatment unit - US_Bath Landfill_n.a.</v>
      </c>
    </row>
    <row r="19" spans="1:13" s="120" customFormat="1" x14ac:dyDescent="0.25">
      <c r="A19" s="119"/>
      <c r="B19" s="138" t="str">
        <f t="shared" si="0"/>
        <v>n.a.</v>
      </c>
      <c r="C19" s="138" t="str">
        <f t="shared" si="1"/>
        <v>Bath Landfill</v>
      </c>
      <c r="D19" s="118" t="s">
        <v>130</v>
      </c>
      <c r="E19" s="118" t="s">
        <v>130</v>
      </c>
      <c r="F19" s="118" t="s">
        <v>45</v>
      </c>
      <c r="G19" s="153"/>
      <c r="H19" s="155">
        <v>0.29899999999999999</v>
      </c>
      <c r="I19" s="160" t="s">
        <v>124</v>
      </c>
      <c r="J19" s="157">
        <v>2.7128199999999998</v>
      </c>
      <c r="K19" s="154" t="s">
        <v>15</v>
      </c>
      <c r="L19" s="154" t="str">
        <f>IF(OpenLCAbasic!K19="CTUh", "Fill in Manually",IF(OR(K19="Unit", K19=""), "", INDEX(LookUps!$E$5:$E$12, MATCH(OpenLCAbasic!K19,LookUps!$D$5:$D$12,0))))</f>
        <v>Cumulative Energy Demand (CED) - MJ</v>
      </c>
      <c r="M19" s="154" t="str">
        <f t="shared" si="2"/>
        <v>Base_Base_Legacy_Cumulative Energy Demand (CED) - MJ_Aeration Tanks; wastewater treatment unit - US_Bath Landfill_n.a.</v>
      </c>
    </row>
    <row r="20" spans="1:13" s="120" customFormat="1" x14ac:dyDescent="0.25">
      <c r="A20" s="119"/>
      <c r="B20" s="138" t="str">
        <f t="shared" si="0"/>
        <v>n.a.</v>
      </c>
      <c r="C20" s="138" t="str">
        <f t="shared" si="1"/>
        <v>Bath Landfill</v>
      </c>
      <c r="D20" s="118" t="s">
        <v>130</v>
      </c>
      <c r="E20" s="118" t="s">
        <v>130</v>
      </c>
      <c r="F20" s="118" t="s">
        <v>45</v>
      </c>
      <c r="G20" s="153"/>
      <c r="H20" s="155">
        <v>0.1953</v>
      </c>
      <c r="I20" s="160" t="s">
        <v>126</v>
      </c>
      <c r="J20" s="157">
        <v>1.7720800000000001</v>
      </c>
      <c r="K20" s="154" t="s">
        <v>15</v>
      </c>
      <c r="L20" s="154" t="str">
        <f>IF(OpenLCAbasic!K20="CTUh", "Fill in Manually",IF(OR(K20="Unit", K20=""), "", INDEX(LookUps!$E$5:$E$12, MATCH(OpenLCAbasic!K20,LookUps!$D$5:$D$12,0))))</f>
        <v>Cumulative Energy Demand (CED) - MJ</v>
      </c>
      <c r="M20" s="154" t="str">
        <f t="shared" si="2"/>
        <v>Base_Base_Legacy_Cumulative Energy Demand (CED) - MJ_Primary Clarifier; wastewater treatment unit - US_Bath Landfill_n.a.</v>
      </c>
    </row>
    <row r="21" spans="1:13" s="120" customFormat="1" x14ac:dyDescent="0.25">
      <c r="A21" s="119"/>
      <c r="B21" s="138" t="str">
        <f t="shared" si="0"/>
        <v>n.a.</v>
      </c>
      <c r="C21" s="138" t="str">
        <f t="shared" si="1"/>
        <v>Bath Landfill</v>
      </c>
      <c r="D21" s="118" t="s">
        <v>130</v>
      </c>
      <c r="E21" s="118" t="s">
        <v>130</v>
      </c>
      <c r="F21" s="118" t="s">
        <v>45</v>
      </c>
      <c r="G21" s="153"/>
      <c r="H21" s="155">
        <v>0.1023</v>
      </c>
      <c r="I21" s="160" t="s">
        <v>56</v>
      </c>
      <c r="J21" s="203">
        <v>0.92825000000000002</v>
      </c>
      <c r="K21" s="154" t="s">
        <v>15</v>
      </c>
      <c r="L21" s="154" t="str">
        <f>IF(OpenLCAbasic!K21="CTUh", "Fill in Manually",IF(OR(K21="Unit", K21=""), "", INDEX(LookUps!$E$5:$E$12, MATCH(OpenLCAbasic!K21,LookUps!$D$5:$D$12,0))))</f>
        <v>Cumulative Energy Demand (CED) - MJ</v>
      </c>
      <c r="M21" s="154" t="str">
        <f t="shared" si="2"/>
        <v>Base_Base_Legacy_Cumulative Energy Demand (CED) - MJ_Control Building; at wastewater treatment plant - US_Bath Landfill_n.a.</v>
      </c>
    </row>
    <row r="22" spans="1:13" s="120" customFormat="1" x14ac:dyDescent="0.25">
      <c r="A22" s="119"/>
      <c r="B22" s="138" t="str">
        <f t="shared" si="0"/>
        <v>n.a.</v>
      </c>
      <c r="C22" s="138" t="str">
        <f t="shared" si="1"/>
        <v>Bath Landfill</v>
      </c>
      <c r="D22" s="118" t="s">
        <v>130</v>
      </c>
      <c r="E22" s="118" t="s">
        <v>130</v>
      </c>
      <c r="F22" s="118" t="s">
        <v>45</v>
      </c>
      <c r="G22" s="153"/>
      <c r="H22" s="155">
        <v>3.8399999999999997E-2</v>
      </c>
      <c r="I22" s="160" t="s">
        <v>151</v>
      </c>
      <c r="J22" s="203">
        <v>0.34827000000000002</v>
      </c>
      <c r="K22" s="154" t="s">
        <v>15</v>
      </c>
      <c r="L22" s="154" t="str">
        <f>IF(OpenLCAbasic!K22="CTUh", "Fill in Manually",IF(OR(K22="Unit", K22=""), "", INDEX(LookUps!$E$5:$E$12, MATCH(OpenLCAbasic!K22,LookUps!$D$5:$D$12,0))))</f>
        <v>Cumulative Energy Demand (CED) - MJ</v>
      </c>
      <c r="M22" s="154" t="str">
        <f t="shared" si="2"/>
        <v>Base_Base_Legacy_Cumulative Energy Demand (CED) - MJ_Sludge Disposal; wastewater treatment unit - US_Bath Landfill_n.a.</v>
      </c>
    </row>
    <row r="23" spans="1:13" s="120" customFormat="1" x14ac:dyDescent="0.25">
      <c r="A23" s="119"/>
      <c r="B23" s="138" t="str">
        <f t="shared" si="0"/>
        <v>n.a.</v>
      </c>
      <c r="C23" s="138" t="str">
        <f t="shared" si="1"/>
        <v>Bath Landfill</v>
      </c>
      <c r="D23" s="118" t="s">
        <v>130</v>
      </c>
      <c r="E23" s="118" t="s">
        <v>130</v>
      </c>
      <c r="F23" s="118" t="s">
        <v>45</v>
      </c>
      <c r="G23" s="153"/>
      <c r="H23" s="155">
        <v>2.8199999999999999E-2</v>
      </c>
      <c r="I23" s="160" t="s">
        <v>128</v>
      </c>
      <c r="J23" s="203">
        <v>0.25606000000000001</v>
      </c>
      <c r="K23" s="154" t="s">
        <v>15</v>
      </c>
      <c r="L23" s="154" t="str">
        <f>IF(OpenLCAbasic!K23="CTUh", "Fill in Manually",IF(OR(K23="Unit", K23=""), "", INDEX(LookUps!$E$5:$E$12, MATCH(OpenLCAbasic!K23,LookUps!$D$5:$D$12,0))))</f>
        <v>Cumulative Energy Demand (CED) - MJ</v>
      </c>
      <c r="M23" s="154" t="str">
        <f t="shared" si="2"/>
        <v>Base_Base_Legacy_Cumulative Energy Demand (CED) - MJ_Wastewater collection; operation and infrastructure; m3 wastewater_Bath Landfill_n.a.</v>
      </c>
    </row>
    <row r="24" spans="1:13" s="120" customFormat="1" x14ac:dyDescent="0.25">
      <c r="A24" s="119"/>
      <c r="B24" s="138" t="str">
        <f t="shared" si="0"/>
        <v>n.a.</v>
      </c>
      <c r="C24" s="138" t="str">
        <f t="shared" si="1"/>
        <v>Bath Landfill</v>
      </c>
      <c r="D24" s="118" t="s">
        <v>130</v>
      </c>
      <c r="E24" s="118" t="s">
        <v>130</v>
      </c>
      <c r="F24" s="118" t="s">
        <v>45</v>
      </c>
      <c r="G24" s="153"/>
      <c r="H24" s="155">
        <v>1.7899999999999999E-2</v>
      </c>
      <c r="I24" s="160" t="s">
        <v>123</v>
      </c>
      <c r="J24" s="203">
        <v>0.16199</v>
      </c>
      <c r="K24" s="154" t="s">
        <v>15</v>
      </c>
      <c r="L24" s="154" t="str">
        <f>IF(OpenLCAbasic!K24="CTUh", "Fill in Manually",IF(OR(K24="Unit", K24=""), "", INDEX(LookUps!$E$5:$E$12, MATCH(OpenLCAbasic!K24,LookUps!$D$5:$D$12,0))))</f>
        <v>Cumulative Energy Demand (CED) - MJ</v>
      </c>
      <c r="M24" s="154" t="str">
        <f t="shared" si="2"/>
        <v>Base_Base_Legacy_Cumulative Energy Demand (CED) - MJ_Belt filter press; wastewater treatment unit - US_Bath Landfill_n.a.</v>
      </c>
    </row>
    <row r="25" spans="1:13" s="120" customFormat="1" x14ac:dyDescent="0.25">
      <c r="A25" s="119"/>
      <c r="B25" s="138" t="str">
        <f t="shared" si="0"/>
        <v>n.a.</v>
      </c>
      <c r="C25" s="138" t="str">
        <f t="shared" si="1"/>
        <v>Bath Landfill</v>
      </c>
      <c r="D25" s="118" t="s">
        <v>130</v>
      </c>
      <c r="E25" s="118" t="s">
        <v>130</v>
      </c>
      <c r="F25" s="118" t="s">
        <v>45</v>
      </c>
      <c r="G25" s="153"/>
      <c r="H25" s="155">
        <v>1.6799999999999999E-2</v>
      </c>
      <c r="I25" s="160" t="s">
        <v>150</v>
      </c>
      <c r="J25" s="203">
        <v>0.1525</v>
      </c>
      <c r="K25" s="154" t="s">
        <v>15</v>
      </c>
      <c r="L25" s="154" t="str">
        <f>IF(OpenLCAbasic!K25="CTUh", "Fill in Manually",IF(OR(K25="Unit", K25=""), "", INDEX(LookUps!$E$5:$E$12, MATCH(OpenLCAbasic!K25,LookUps!$D$5:$D$12,0))))</f>
        <v>Cumulative Energy Demand (CED) - MJ</v>
      </c>
      <c r="M25" s="154" t="str">
        <f t="shared" si="2"/>
        <v>Base_Base_Legacy_Cumulative Energy Demand (CED) - MJ_Screening and Grit Removal - US_Bath Landfill_n.a.</v>
      </c>
    </row>
    <row r="26" spans="1:13" s="120" customFormat="1" x14ac:dyDescent="0.25">
      <c r="A26" s="119"/>
      <c r="B26" s="138" t="str">
        <f t="shared" si="0"/>
        <v>n.a.</v>
      </c>
      <c r="C26" s="138" t="str">
        <f t="shared" si="1"/>
        <v>Bath Landfill</v>
      </c>
      <c r="D26" s="118" t="s">
        <v>130</v>
      </c>
      <c r="E26" s="118" t="s">
        <v>130</v>
      </c>
      <c r="F26" s="118" t="s">
        <v>45</v>
      </c>
      <c r="G26" s="153"/>
      <c r="H26" s="155">
        <v>2.2000000000000001E-3</v>
      </c>
      <c r="I26" s="160" t="s">
        <v>127</v>
      </c>
      <c r="J26" s="203">
        <v>1.9869999999999999E-2</v>
      </c>
      <c r="K26" s="154" t="s">
        <v>15</v>
      </c>
      <c r="L26" s="154" t="str">
        <f>IF(OpenLCAbasic!K26="CTUh", "Fill in Manually",IF(OR(K26="Unit", K26=""), "", INDEX(LookUps!$E$5:$E$12, MATCH(OpenLCAbasic!K26,LookUps!$D$5:$D$12,0))))</f>
        <v>Cumulative Energy Demand (CED) - MJ</v>
      </c>
      <c r="M26" s="154" t="str">
        <f t="shared" si="2"/>
        <v>Base_Base_Legacy_Cumulative Energy Demand (CED) - MJ_Sludge Thickener; wastewater treatment unit - US_Bath Landfill_n.a.</v>
      </c>
    </row>
    <row r="27" spans="1:13" s="120" customFormat="1" x14ac:dyDescent="0.25">
      <c r="A27" s="119"/>
      <c r="B27" s="138" t="str">
        <f t="shared" si="0"/>
        <v>n.a.</v>
      </c>
      <c r="C27" s="138" t="str">
        <f t="shared" si="1"/>
        <v>Bath Landfill</v>
      </c>
      <c r="D27" s="118" t="s">
        <v>130</v>
      </c>
      <c r="E27" s="118" t="s">
        <v>130</v>
      </c>
      <c r="F27" s="118" t="s">
        <v>45</v>
      </c>
      <c r="G27" s="153"/>
      <c r="H27" s="155">
        <v>4.0000000000000002E-4</v>
      </c>
      <c r="I27" s="160" t="s">
        <v>48</v>
      </c>
      <c r="J27" s="204">
        <v>3.47E-3</v>
      </c>
      <c r="K27" s="154" t="s">
        <v>15</v>
      </c>
      <c r="L27" s="154" t="str">
        <f>IF(OpenLCAbasic!K27="CTUh", "Fill in Manually",IF(OR(K27="Unit", K27=""), "", INDEX(LookUps!$E$5:$E$12, MATCH(OpenLCAbasic!K27,LookUps!$D$5:$D$12,0))))</f>
        <v>Cumulative Energy Demand (CED) - MJ</v>
      </c>
      <c r="M27" s="154" t="str">
        <f t="shared" si="2"/>
        <v>Base_Base_Legacy_Cumulative Energy Demand (CED) - MJ_Effluent release; wastewater treatment unit; at surface water; m3 wastewater - US_Bath Landfill_n.a.</v>
      </c>
    </row>
    <row r="28" spans="1:13" s="120" customFormat="1" x14ac:dyDescent="0.25">
      <c r="A28" s="119"/>
      <c r="B28" s="138" t="str">
        <f t="shared" si="0"/>
        <v/>
      </c>
      <c r="C28" s="138" t="str">
        <f t="shared" si="1"/>
        <v/>
      </c>
      <c r="D28" s="118"/>
      <c r="E28" s="118"/>
      <c r="F28" s="118"/>
      <c r="G28" s="153" t="s">
        <v>51</v>
      </c>
      <c r="H28" s="155"/>
      <c r="I28" s="160" t="s">
        <v>47</v>
      </c>
      <c r="J28" s="156" t="s">
        <v>52</v>
      </c>
      <c r="K28" s="154" t="s">
        <v>27</v>
      </c>
      <c r="L28" s="154" t="str">
        <f>IF(OpenLCAbasic!K28="CTUh", "Fill in Manually",IF(OR(K28="Unit", K28=""), "", INDEX(LookUps!$E$5:$E$12, MATCH(OpenLCAbasic!K28,LookUps!$D$5:$D$12,0))))</f>
        <v/>
      </c>
      <c r="M28" s="154" t="str">
        <f t="shared" si="2"/>
        <v>____Process__</v>
      </c>
    </row>
    <row r="29" spans="1:13" s="120" customFormat="1" x14ac:dyDescent="0.25">
      <c r="A29" s="119"/>
      <c r="B29" s="138" t="str">
        <f t="shared" si="0"/>
        <v>n.a.</v>
      </c>
      <c r="C29" s="138" t="str">
        <f t="shared" si="1"/>
        <v>Bath Landfill</v>
      </c>
      <c r="D29" s="118" t="s">
        <v>130</v>
      </c>
      <c r="E29" s="118" t="s">
        <v>130</v>
      </c>
      <c r="F29" s="118" t="s">
        <v>45</v>
      </c>
      <c r="G29" s="153"/>
      <c r="H29" s="155">
        <v>0.2878</v>
      </c>
      <c r="I29" s="160" t="s">
        <v>125</v>
      </c>
      <c r="J29" s="203">
        <v>0.22309000000000001</v>
      </c>
      <c r="K29" s="154" t="s">
        <v>23</v>
      </c>
      <c r="L29" s="154" t="str">
        <f>IF(OpenLCAbasic!K29="CTUh", "Fill in Manually",IF(OR(K29="Unit", K29=""), "", INDEX(LookUps!$E$5:$E$12, MATCH(OpenLCAbasic!K29,LookUps!$D$5:$D$12,0))))</f>
        <v>Global Warming Potential (GWP) - kg CO2 eq</v>
      </c>
      <c r="M29" s="154" t="str">
        <f t="shared" si="2"/>
        <v>Base_Base_Legacy_Global Warming Potential (GWP) - kg CO2 eq_Aerobic Digester; wastewater treatment unit - US_Bath Landfill_n.a.</v>
      </c>
    </row>
    <row r="30" spans="1:13" s="120" customFormat="1" x14ac:dyDescent="0.25">
      <c r="A30" s="119"/>
      <c r="B30" s="138" t="str">
        <f t="shared" si="0"/>
        <v>n.a.</v>
      </c>
      <c r="C30" s="138" t="str">
        <f t="shared" si="1"/>
        <v>Bath Landfill</v>
      </c>
      <c r="D30" s="118" t="s">
        <v>130</v>
      </c>
      <c r="E30" s="118" t="s">
        <v>130</v>
      </c>
      <c r="F30" s="118" t="s">
        <v>45</v>
      </c>
      <c r="G30" s="153"/>
      <c r="H30" s="155">
        <v>0.20619999999999999</v>
      </c>
      <c r="I30" s="160" t="s">
        <v>124</v>
      </c>
      <c r="J30" s="203">
        <v>0.15987000000000001</v>
      </c>
      <c r="K30" s="154" t="s">
        <v>23</v>
      </c>
      <c r="L30" s="154" t="str">
        <f>IF(OpenLCAbasic!K30="CTUh", "Fill in Manually",IF(OR(K30="Unit", K30=""), "", INDEX(LookUps!$E$5:$E$12, MATCH(OpenLCAbasic!K30,LookUps!$D$5:$D$12,0))))</f>
        <v>Global Warming Potential (GWP) - kg CO2 eq</v>
      </c>
      <c r="M30" s="154" t="str">
        <f t="shared" si="2"/>
        <v>Base_Base_Legacy_Global Warming Potential (GWP) - kg CO2 eq_Aeration Tanks; wastewater treatment unit - US_Bath Landfill_n.a.</v>
      </c>
    </row>
    <row r="31" spans="1:13" s="120" customFormat="1" x14ac:dyDescent="0.25">
      <c r="A31" s="119"/>
      <c r="B31" s="138" t="str">
        <f t="shared" si="0"/>
        <v>n.a.</v>
      </c>
      <c r="C31" s="138" t="str">
        <f t="shared" si="1"/>
        <v>Bath Landfill</v>
      </c>
      <c r="D31" s="118" t="s">
        <v>130</v>
      </c>
      <c r="E31" s="118" t="s">
        <v>130</v>
      </c>
      <c r="F31" s="118" t="s">
        <v>45</v>
      </c>
      <c r="G31" s="153"/>
      <c r="H31" s="155">
        <v>0.15959999999999999</v>
      </c>
      <c r="I31" s="160" t="s">
        <v>151</v>
      </c>
      <c r="J31" s="203">
        <v>0.12368</v>
      </c>
      <c r="K31" s="154" t="s">
        <v>23</v>
      </c>
      <c r="L31" s="154" t="str">
        <f>IF(OpenLCAbasic!K31="CTUh", "Fill in Manually",IF(OR(K31="Unit", K31=""), "", INDEX(LookUps!$E$5:$E$12, MATCH(OpenLCAbasic!K31,LookUps!$D$5:$D$12,0))))</f>
        <v>Global Warming Potential (GWP) - kg CO2 eq</v>
      </c>
      <c r="M31" s="154" t="str">
        <f t="shared" si="2"/>
        <v>Base_Base_Legacy_Global Warming Potential (GWP) - kg CO2 eq_Sludge Disposal; wastewater treatment unit - US_Bath Landfill_n.a.</v>
      </c>
    </row>
    <row r="32" spans="1:13" s="120" customFormat="1" x14ac:dyDescent="0.25">
      <c r="A32" s="119"/>
      <c r="B32" s="138" t="str">
        <f t="shared" si="0"/>
        <v>n.a.</v>
      </c>
      <c r="C32" s="138" t="str">
        <f t="shared" si="1"/>
        <v>Bath Landfill</v>
      </c>
      <c r="D32" s="118" t="s">
        <v>130</v>
      </c>
      <c r="E32" s="118" t="s">
        <v>130</v>
      </c>
      <c r="F32" s="118" t="s">
        <v>45</v>
      </c>
      <c r="G32" s="153"/>
      <c r="H32" s="155">
        <v>0.14530000000000001</v>
      </c>
      <c r="I32" s="160" t="s">
        <v>126</v>
      </c>
      <c r="J32" s="203">
        <v>0.11262999999999999</v>
      </c>
      <c r="K32" s="154" t="s">
        <v>23</v>
      </c>
      <c r="L32" s="154" t="str">
        <f>IF(OpenLCAbasic!K32="CTUh", "Fill in Manually",IF(OR(K32="Unit", K32=""), "", INDEX(LookUps!$E$5:$E$12, MATCH(OpenLCAbasic!K32,LookUps!$D$5:$D$12,0))))</f>
        <v>Global Warming Potential (GWP) - kg CO2 eq</v>
      </c>
      <c r="M32" s="154" t="str">
        <f t="shared" si="2"/>
        <v>Base_Base_Legacy_Global Warming Potential (GWP) - kg CO2 eq_Primary Clarifier; wastewater treatment unit - US_Bath Landfill_n.a.</v>
      </c>
    </row>
    <row r="33" spans="1:13" s="120" customFormat="1" x14ac:dyDescent="0.25">
      <c r="A33" s="119"/>
      <c r="B33" s="138" t="str">
        <f t="shared" si="0"/>
        <v>n.a.</v>
      </c>
      <c r="C33" s="138" t="str">
        <f t="shared" si="1"/>
        <v>Bath Landfill</v>
      </c>
      <c r="D33" s="118" t="s">
        <v>130</v>
      </c>
      <c r="E33" s="118" t="s">
        <v>130</v>
      </c>
      <c r="F33" s="118" t="s">
        <v>45</v>
      </c>
      <c r="G33" s="153"/>
      <c r="H33" s="155">
        <v>9.5600000000000004E-2</v>
      </c>
      <c r="I33" s="160" t="s">
        <v>48</v>
      </c>
      <c r="J33" s="203">
        <v>7.4099999999999999E-2</v>
      </c>
      <c r="K33" s="154" t="s">
        <v>23</v>
      </c>
      <c r="L33" s="154" t="str">
        <f>IF(OpenLCAbasic!K33="CTUh", "Fill in Manually",IF(OR(K33="Unit", K33=""), "", INDEX(LookUps!$E$5:$E$12, MATCH(OpenLCAbasic!K33,LookUps!$D$5:$D$12,0))))</f>
        <v>Global Warming Potential (GWP) - kg CO2 eq</v>
      </c>
      <c r="M33" s="154" t="str">
        <f t="shared" si="2"/>
        <v>Base_Base_Legacy_Global Warming Potential (GWP) - kg CO2 eq_Effluent release; wastewater treatment unit; at surface water; m3 wastewater - US_Bath Landfill_n.a.</v>
      </c>
    </row>
    <row r="34" spans="1:13" s="120" customFormat="1" x14ac:dyDescent="0.25">
      <c r="A34" s="119"/>
      <c r="B34" s="138" t="str">
        <f t="shared" si="0"/>
        <v>n.a.</v>
      </c>
      <c r="C34" s="138" t="str">
        <f t="shared" si="1"/>
        <v>Bath Landfill</v>
      </c>
      <c r="D34" s="118" t="s">
        <v>130</v>
      </c>
      <c r="E34" s="118" t="s">
        <v>130</v>
      </c>
      <c r="F34" s="118" t="s">
        <v>45</v>
      </c>
      <c r="G34" s="153"/>
      <c r="H34" s="155">
        <v>6.7799999999999999E-2</v>
      </c>
      <c r="I34" s="160" t="s">
        <v>56</v>
      </c>
      <c r="J34" s="203">
        <v>5.2569999999999999E-2</v>
      </c>
      <c r="K34" s="154" t="s">
        <v>23</v>
      </c>
      <c r="L34" s="154" t="str">
        <f>IF(OpenLCAbasic!K34="CTUh", "Fill in Manually",IF(OR(K34="Unit", K34=""), "", INDEX(LookUps!$E$5:$E$12, MATCH(OpenLCAbasic!K34,LookUps!$D$5:$D$12,0))))</f>
        <v>Global Warming Potential (GWP) - kg CO2 eq</v>
      </c>
      <c r="M34" s="154" t="str">
        <f t="shared" si="2"/>
        <v>Base_Base_Legacy_Global Warming Potential (GWP) - kg CO2 eq_Control Building; at wastewater treatment plant - US_Bath Landfill_n.a.</v>
      </c>
    </row>
    <row r="35" spans="1:13" s="120" customFormat="1" x14ac:dyDescent="0.25">
      <c r="A35" s="119"/>
      <c r="B35" s="138" t="str">
        <f t="shared" si="0"/>
        <v>n.a.</v>
      </c>
      <c r="C35" s="138" t="str">
        <f t="shared" si="1"/>
        <v>Bath Landfill</v>
      </c>
      <c r="D35" s="118" t="s">
        <v>130</v>
      </c>
      <c r="E35" s="118" t="s">
        <v>130</v>
      </c>
      <c r="F35" s="118" t="s">
        <v>45</v>
      </c>
      <c r="G35" s="153"/>
      <c r="H35" s="155">
        <v>1.7399999999999999E-2</v>
      </c>
      <c r="I35" s="160" t="s">
        <v>128</v>
      </c>
      <c r="J35" s="203">
        <v>1.3509999999999999E-2</v>
      </c>
      <c r="K35" s="154" t="s">
        <v>23</v>
      </c>
      <c r="L35" s="154" t="str">
        <f>IF(OpenLCAbasic!K35="CTUh", "Fill in Manually",IF(OR(K35="Unit", K35=""), "", INDEX(LookUps!$E$5:$E$12, MATCH(OpenLCAbasic!K35,LookUps!$D$5:$D$12,0))))</f>
        <v>Global Warming Potential (GWP) - kg CO2 eq</v>
      </c>
      <c r="M35" s="154" t="str">
        <f t="shared" si="2"/>
        <v>Base_Base_Legacy_Global Warming Potential (GWP) - kg CO2 eq_Wastewater collection; operation and infrastructure; m3 wastewater_Bath Landfill_n.a.</v>
      </c>
    </row>
    <row r="36" spans="1:13" s="120" customFormat="1" x14ac:dyDescent="0.25">
      <c r="A36" s="119"/>
      <c r="B36" s="138" t="str">
        <f t="shared" si="0"/>
        <v>n.a.</v>
      </c>
      <c r="C36" s="138" t="str">
        <f t="shared" si="1"/>
        <v>Bath Landfill</v>
      </c>
      <c r="D36" s="118" t="s">
        <v>130</v>
      </c>
      <c r="E36" s="118" t="s">
        <v>130</v>
      </c>
      <c r="F36" s="118" t="s">
        <v>45</v>
      </c>
      <c r="G36" s="153"/>
      <c r="H36" s="155">
        <v>9.5999999999999992E-3</v>
      </c>
      <c r="I36" s="160" t="s">
        <v>123</v>
      </c>
      <c r="J36" s="204">
        <v>7.4400000000000004E-3</v>
      </c>
      <c r="K36" s="154" t="s">
        <v>23</v>
      </c>
      <c r="L36" s="154" t="str">
        <f>IF(OpenLCAbasic!K36="CTUh", "Fill in Manually",IF(OR(K36="Unit", K36=""), "", INDEX(LookUps!$E$5:$E$12, MATCH(OpenLCAbasic!K36,LookUps!$D$5:$D$12,0))))</f>
        <v>Global Warming Potential (GWP) - kg CO2 eq</v>
      </c>
      <c r="M36" s="154" t="str">
        <f t="shared" si="2"/>
        <v>Base_Base_Legacy_Global Warming Potential (GWP) - kg CO2 eq_Belt filter press; wastewater treatment unit - US_Bath Landfill_n.a.</v>
      </c>
    </row>
    <row r="37" spans="1:13" s="120" customFormat="1" x14ac:dyDescent="0.25">
      <c r="A37" s="119"/>
      <c r="B37" s="138" t="str">
        <f t="shared" si="0"/>
        <v>n.a.</v>
      </c>
      <c r="C37" s="138" t="str">
        <f t="shared" si="1"/>
        <v>Bath Landfill</v>
      </c>
      <c r="D37" s="118" t="s">
        <v>130</v>
      </c>
      <c r="E37" s="118" t="s">
        <v>130</v>
      </c>
      <c r="F37" s="118" t="s">
        <v>45</v>
      </c>
      <c r="G37" s="153"/>
      <c r="H37" s="155">
        <v>9.4000000000000004E-3</v>
      </c>
      <c r="I37" s="160" t="s">
        <v>150</v>
      </c>
      <c r="J37" s="204">
        <v>7.3200000000000001E-3</v>
      </c>
      <c r="K37" s="154" t="s">
        <v>23</v>
      </c>
      <c r="L37" s="154" t="str">
        <f>IF(OpenLCAbasic!K37="CTUh", "Fill in Manually",IF(OR(K37="Unit", K37=""), "", INDEX(LookUps!$E$5:$E$12, MATCH(OpenLCAbasic!K37,LookUps!$D$5:$D$12,0))))</f>
        <v>Global Warming Potential (GWP) - kg CO2 eq</v>
      </c>
      <c r="M37" s="154" t="str">
        <f t="shared" si="2"/>
        <v>Base_Base_Legacy_Global Warming Potential (GWP) - kg CO2 eq_Screening and Grit Removal - US_Bath Landfill_n.a.</v>
      </c>
    </row>
    <row r="38" spans="1:13" s="120" customFormat="1" x14ac:dyDescent="0.25">
      <c r="A38" s="119"/>
      <c r="B38" s="138" t="str">
        <f t="shared" si="0"/>
        <v>n.a.</v>
      </c>
      <c r="C38" s="138" t="str">
        <f t="shared" si="1"/>
        <v>Bath Landfill</v>
      </c>
      <c r="D38" s="118" t="s">
        <v>130</v>
      </c>
      <c r="E38" s="118" t="s">
        <v>130</v>
      </c>
      <c r="F38" s="118" t="s">
        <v>45</v>
      </c>
      <c r="G38" s="153"/>
      <c r="H38" s="155">
        <v>1.1999999999999999E-3</v>
      </c>
      <c r="I38" s="160" t="s">
        <v>127</v>
      </c>
      <c r="J38" s="204">
        <v>9.3999999999999997E-4</v>
      </c>
      <c r="K38" s="154" t="s">
        <v>23</v>
      </c>
      <c r="L38" s="154" t="str">
        <f>IF(OpenLCAbasic!K38="CTUh", "Fill in Manually",IF(OR(K38="Unit", K38=""), "", INDEX(LookUps!$E$5:$E$12, MATCH(OpenLCAbasic!K38,LookUps!$D$5:$D$12,0))))</f>
        <v>Global Warming Potential (GWP) - kg CO2 eq</v>
      </c>
      <c r="M38" s="154" t="str">
        <f t="shared" si="2"/>
        <v>Base_Base_Legacy_Global Warming Potential (GWP) - kg CO2 eq_Sludge Thickener; wastewater treatment unit - US_Bath Landfill_n.a.</v>
      </c>
    </row>
    <row r="39" spans="1:13" s="120" customFormat="1" x14ac:dyDescent="0.25">
      <c r="A39" s="119"/>
      <c r="B39" s="138" t="str">
        <f t="shared" si="0"/>
        <v/>
      </c>
      <c r="C39" s="138" t="str">
        <f t="shared" si="1"/>
        <v/>
      </c>
      <c r="D39" s="118"/>
      <c r="E39" s="118"/>
      <c r="F39" s="118"/>
      <c r="G39" s="153" t="s">
        <v>51</v>
      </c>
      <c r="H39" s="155"/>
      <c r="I39" s="160" t="s">
        <v>47</v>
      </c>
      <c r="J39" s="156" t="s">
        <v>52</v>
      </c>
      <c r="K39" s="154" t="s">
        <v>27</v>
      </c>
      <c r="L39" s="154" t="str">
        <f>IF(OpenLCAbasic!K39="CTUh", "Fill in Manually",IF(OR(K39="Unit", K39=""), "", INDEX(LookUps!$E$5:$E$12, MATCH(OpenLCAbasic!K39,LookUps!$D$5:$D$12,0))))</f>
        <v/>
      </c>
      <c r="M39" s="154" t="str">
        <f t="shared" si="2"/>
        <v>____Process__</v>
      </c>
    </row>
    <row r="40" spans="1:13" s="120" customFormat="1" x14ac:dyDescent="0.25">
      <c r="A40" s="119"/>
      <c r="B40" s="138" t="str">
        <f t="shared" si="0"/>
        <v>n.a.</v>
      </c>
      <c r="C40" s="138" t="str">
        <f t="shared" si="1"/>
        <v>Bath Landfill</v>
      </c>
      <c r="D40" s="118" t="s">
        <v>130</v>
      </c>
      <c r="E40" s="118" t="s">
        <v>130</v>
      </c>
      <c r="F40" s="118" t="s">
        <v>45</v>
      </c>
      <c r="G40" s="153"/>
      <c r="H40" s="155">
        <v>0.2853</v>
      </c>
      <c r="I40" s="160" t="s">
        <v>125</v>
      </c>
      <c r="J40" s="203">
        <v>4.8919999999999998E-2</v>
      </c>
      <c r="K40" s="154" t="s">
        <v>14</v>
      </c>
      <c r="L40" s="154" t="str">
        <f>IF(OpenLCAbasic!K40="CTUh", "Fill in Manually",IF(OR(K40="Unit", K40=""), "", INDEX(LookUps!$E$5:$E$12, MATCH(OpenLCAbasic!K40,LookUps!$D$5:$D$12,0))))</f>
        <v>Fossil Depletion Potential (FDP) - kg oil eq</v>
      </c>
      <c r="M40" s="154" t="str">
        <f t="shared" si="2"/>
        <v>Base_Base_Legacy_Fossil Depletion Potential (FDP) - kg oil eq_Aerobic Digester; wastewater treatment unit - US_Bath Landfill_n.a.</v>
      </c>
    </row>
    <row r="41" spans="1:13" s="120" customFormat="1" x14ac:dyDescent="0.25">
      <c r="A41" s="119"/>
      <c r="B41" s="138" t="str">
        <f t="shared" si="0"/>
        <v>n.a.</v>
      </c>
      <c r="C41" s="138" t="str">
        <f t="shared" si="1"/>
        <v>Bath Landfill</v>
      </c>
      <c r="D41" s="118" t="s">
        <v>130</v>
      </c>
      <c r="E41" s="118" t="s">
        <v>130</v>
      </c>
      <c r="F41" s="118" t="s">
        <v>45</v>
      </c>
      <c r="G41" s="153"/>
      <c r="H41" s="155">
        <v>0.28489999999999999</v>
      </c>
      <c r="I41" s="160" t="s">
        <v>124</v>
      </c>
      <c r="J41" s="203">
        <v>4.8860000000000001E-2</v>
      </c>
      <c r="K41" s="154" t="s">
        <v>14</v>
      </c>
      <c r="L41" s="154" t="str">
        <f>IF(OpenLCAbasic!K41="CTUh", "Fill in Manually",IF(OR(K41="Unit", K41=""), "", INDEX(LookUps!$E$5:$E$12, MATCH(OpenLCAbasic!K41,LookUps!$D$5:$D$12,0))))</f>
        <v>Fossil Depletion Potential (FDP) - kg oil eq</v>
      </c>
      <c r="M41" s="154" t="str">
        <f t="shared" si="2"/>
        <v>Base_Base_Legacy_Fossil Depletion Potential (FDP) - kg oil eq_Aeration Tanks; wastewater treatment unit - US_Bath Landfill_n.a.</v>
      </c>
    </row>
    <row r="42" spans="1:13" s="120" customFormat="1" x14ac:dyDescent="0.25">
      <c r="A42" s="119"/>
      <c r="B42" s="138" t="str">
        <f t="shared" si="0"/>
        <v>n.a.</v>
      </c>
      <c r="C42" s="138" t="str">
        <f t="shared" si="1"/>
        <v>Bath Landfill</v>
      </c>
      <c r="D42" s="118" t="s">
        <v>130</v>
      </c>
      <c r="E42" s="118" t="s">
        <v>130</v>
      </c>
      <c r="F42" s="118" t="s">
        <v>45</v>
      </c>
      <c r="G42" s="153"/>
      <c r="H42" s="155">
        <v>0.17280000000000001</v>
      </c>
      <c r="I42" s="160" t="s">
        <v>126</v>
      </c>
      <c r="J42" s="203">
        <v>2.963E-2</v>
      </c>
      <c r="K42" s="154" t="s">
        <v>14</v>
      </c>
      <c r="L42" s="154" t="str">
        <f>IF(OpenLCAbasic!K42="CTUh", "Fill in Manually",IF(OR(K42="Unit", K42=""), "", INDEX(LookUps!$E$5:$E$12, MATCH(OpenLCAbasic!K42,LookUps!$D$5:$D$12,0))))</f>
        <v>Fossil Depletion Potential (FDP) - kg oil eq</v>
      </c>
      <c r="M42" s="154" t="str">
        <f t="shared" si="2"/>
        <v>Base_Base_Legacy_Fossil Depletion Potential (FDP) - kg oil eq_Primary Clarifier; wastewater treatment unit - US_Bath Landfill_n.a.</v>
      </c>
    </row>
    <row r="43" spans="1:13" s="120" customFormat="1" x14ac:dyDescent="0.25">
      <c r="A43" s="119"/>
      <c r="B43" s="138" t="str">
        <f t="shared" si="0"/>
        <v>n.a.</v>
      </c>
      <c r="C43" s="138" t="str">
        <f t="shared" si="1"/>
        <v>Bath Landfill</v>
      </c>
      <c r="D43" s="118" t="s">
        <v>130</v>
      </c>
      <c r="E43" s="118" t="s">
        <v>130</v>
      </c>
      <c r="F43" s="118" t="s">
        <v>45</v>
      </c>
      <c r="G43" s="153"/>
      <c r="H43" s="155">
        <v>0.1249</v>
      </c>
      <c r="I43" s="160" t="s">
        <v>56</v>
      </c>
      <c r="J43" s="203">
        <v>2.1430000000000001E-2</v>
      </c>
      <c r="K43" s="154" t="s">
        <v>14</v>
      </c>
      <c r="L43" s="154" t="str">
        <f>IF(OpenLCAbasic!K43="CTUh", "Fill in Manually",IF(OR(K43="Unit", K43=""), "", INDEX(LookUps!$E$5:$E$12, MATCH(OpenLCAbasic!K43,LookUps!$D$5:$D$12,0))))</f>
        <v>Fossil Depletion Potential (FDP) - kg oil eq</v>
      </c>
      <c r="M43" s="154" t="str">
        <f t="shared" si="2"/>
        <v>Base_Base_Legacy_Fossil Depletion Potential (FDP) - kg oil eq_Control Building; at wastewater treatment plant - US_Bath Landfill_n.a.</v>
      </c>
    </row>
    <row r="44" spans="1:13" s="120" customFormat="1" x14ac:dyDescent="0.25">
      <c r="A44" s="119"/>
      <c r="B44" s="138" t="str">
        <f t="shared" si="0"/>
        <v>n.a.</v>
      </c>
      <c r="C44" s="138" t="str">
        <f t="shared" si="1"/>
        <v>Bath Landfill</v>
      </c>
      <c r="D44" s="118" t="s">
        <v>130</v>
      </c>
      <c r="E44" s="118" t="s">
        <v>130</v>
      </c>
      <c r="F44" s="118" t="s">
        <v>45</v>
      </c>
      <c r="G44" s="153"/>
      <c r="H44" s="155">
        <v>6.9400000000000003E-2</v>
      </c>
      <c r="I44" s="160" t="s">
        <v>151</v>
      </c>
      <c r="J44" s="204">
        <v>1.191E-2</v>
      </c>
      <c r="K44" s="154" t="s">
        <v>14</v>
      </c>
      <c r="L44" s="154" t="str">
        <f>IF(OpenLCAbasic!K44="CTUh", "Fill in Manually",IF(OR(K44="Unit", K44=""), "", INDEX(LookUps!$E$5:$E$12, MATCH(OpenLCAbasic!K44,LookUps!$D$5:$D$12,0))))</f>
        <v>Fossil Depletion Potential (FDP) - kg oil eq</v>
      </c>
      <c r="M44" s="154" t="str">
        <f t="shared" si="2"/>
        <v>Base_Base_Legacy_Fossil Depletion Potential (FDP) - kg oil eq_Sludge Disposal; wastewater treatment unit - US_Bath Landfill_n.a.</v>
      </c>
    </row>
    <row r="45" spans="1:13" s="120" customFormat="1" x14ac:dyDescent="0.25">
      <c r="A45" s="119"/>
      <c r="B45" s="138" t="str">
        <f t="shared" si="0"/>
        <v>n.a.</v>
      </c>
      <c r="C45" s="138" t="str">
        <f t="shared" si="1"/>
        <v>Bath Landfill</v>
      </c>
      <c r="D45" s="118" t="s">
        <v>130</v>
      </c>
      <c r="E45" s="118" t="s">
        <v>130</v>
      </c>
      <c r="F45" s="118" t="s">
        <v>45</v>
      </c>
      <c r="G45" s="153"/>
      <c r="H45" s="155">
        <v>2.6200000000000001E-2</v>
      </c>
      <c r="I45" s="160" t="s">
        <v>128</v>
      </c>
      <c r="J45" s="204">
        <v>4.4999999999999997E-3</v>
      </c>
      <c r="K45" s="154" t="s">
        <v>14</v>
      </c>
      <c r="L45" s="154" t="str">
        <f>IF(OpenLCAbasic!K45="CTUh", "Fill in Manually",IF(OR(K45="Unit", K45=""), "", INDEX(LookUps!$E$5:$E$12, MATCH(OpenLCAbasic!K45,LookUps!$D$5:$D$12,0))))</f>
        <v>Fossil Depletion Potential (FDP) - kg oil eq</v>
      </c>
      <c r="M45" s="154" t="str">
        <f t="shared" si="2"/>
        <v>Base_Base_Legacy_Fossil Depletion Potential (FDP) - kg oil eq_Wastewater collection; operation and infrastructure; m3 wastewater_Bath Landfill_n.a.</v>
      </c>
    </row>
    <row r="46" spans="1:13" s="120" customFormat="1" x14ac:dyDescent="0.25">
      <c r="A46" s="119"/>
      <c r="B46" s="138" t="str">
        <f t="shared" si="0"/>
        <v>n.a.</v>
      </c>
      <c r="C46" s="138" t="str">
        <f t="shared" si="1"/>
        <v>Bath Landfill</v>
      </c>
      <c r="D46" s="118" t="s">
        <v>130</v>
      </c>
      <c r="E46" s="118" t="s">
        <v>130</v>
      </c>
      <c r="F46" s="118" t="s">
        <v>45</v>
      </c>
      <c r="G46" s="153"/>
      <c r="H46" s="155">
        <v>1.7899999999999999E-2</v>
      </c>
      <c r="I46" s="160" t="s">
        <v>123</v>
      </c>
      <c r="J46" s="204">
        <v>3.0799999999999998E-3</v>
      </c>
      <c r="K46" s="154" t="s">
        <v>14</v>
      </c>
      <c r="L46" s="154" t="str">
        <f>IF(OpenLCAbasic!K46="CTUh", "Fill in Manually",IF(OR(K46="Unit", K46=""), "", INDEX(LookUps!$E$5:$E$12, MATCH(OpenLCAbasic!K46,LookUps!$D$5:$D$12,0))))</f>
        <v>Fossil Depletion Potential (FDP) - kg oil eq</v>
      </c>
      <c r="M46" s="154" t="str">
        <f t="shared" si="2"/>
        <v>Base_Base_Legacy_Fossil Depletion Potential (FDP) - kg oil eq_Belt filter press; wastewater treatment unit - US_Bath Landfill_n.a.</v>
      </c>
    </row>
    <row r="47" spans="1:13" s="120" customFormat="1" x14ac:dyDescent="0.25">
      <c r="A47" s="119"/>
      <c r="B47" s="138" t="str">
        <f t="shared" si="0"/>
        <v>n.a.</v>
      </c>
      <c r="C47" s="138" t="str">
        <f t="shared" si="1"/>
        <v>Bath Landfill</v>
      </c>
      <c r="D47" s="118" t="s">
        <v>130</v>
      </c>
      <c r="E47" s="118" t="s">
        <v>130</v>
      </c>
      <c r="F47" s="118" t="s">
        <v>45</v>
      </c>
      <c r="G47" s="153"/>
      <c r="H47" s="155">
        <v>1.6E-2</v>
      </c>
      <c r="I47" s="160" t="s">
        <v>150</v>
      </c>
      <c r="J47" s="204">
        <v>2.7499999999999998E-3</v>
      </c>
      <c r="K47" s="154" t="s">
        <v>14</v>
      </c>
      <c r="L47" s="154" t="str">
        <f>IF(OpenLCAbasic!K47="CTUh", "Fill in Manually",IF(OR(K47="Unit", K47=""), "", INDEX(LookUps!$E$5:$E$12, MATCH(OpenLCAbasic!K47,LookUps!$D$5:$D$12,0))))</f>
        <v>Fossil Depletion Potential (FDP) - kg oil eq</v>
      </c>
      <c r="M47" s="154" t="str">
        <f t="shared" si="2"/>
        <v>Base_Base_Legacy_Fossil Depletion Potential (FDP) - kg oil eq_Screening and Grit Removal - US_Bath Landfill_n.a.</v>
      </c>
    </row>
    <row r="48" spans="1:13" s="120" customFormat="1" x14ac:dyDescent="0.25">
      <c r="A48" s="119"/>
      <c r="B48" s="138" t="str">
        <f t="shared" si="0"/>
        <v>n.a.</v>
      </c>
      <c r="C48" s="138" t="str">
        <f t="shared" si="1"/>
        <v>Bath Landfill</v>
      </c>
      <c r="D48" s="118" t="s">
        <v>130</v>
      </c>
      <c r="E48" s="118" t="s">
        <v>130</v>
      </c>
      <c r="F48" s="118" t="s">
        <v>45</v>
      </c>
      <c r="G48" s="153"/>
      <c r="H48" s="155">
        <v>2.0999999999999999E-3</v>
      </c>
      <c r="I48" s="160" t="s">
        <v>127</v>
      </c>
      <c r="J48" s="204">
        <v>3.6999999999999999E-4</v>
      </c>
      <c r="K48" s="154" t="s">
        <v>14</v>
      </c>
      <c r="L48" s="154" t="str">
        <f>IF(OpenLCAbasic!K48="CTUh", "Fill in Manually",IF(OR(K48="Unit", K48=""), "", INDEX(LookUps!$E$5:$E$12, MATCH(OpenLCAbasic!K48,LookUps!$D$5:$D$12,0))))</f>
        <v>Fossil Depletion Potential (FDP) - kg oil eq</v>
      </c>
      <c r="M48" s="154" t="str">
        <f t="shared" si="2"/>
        <v>Base_Base_Legacy_Fossil Depletion Potential (FDP) - kg oil eq_Sludge Thickener; wastewater treatment unit - US_Bath Landfill_n.a.</v>
      </c>
    </row>
    <row r="49" spans="1:13" s="120" customFormat="1" x14ac:dyDescent="0.25">
      <c r="A49" s="119"/>
      <c r="B49" s="138" t="str">
        <f t="shared" si="0"/>
        <v>n.a.</v>
      </c>
      <c r="C49" s="138" t="str">
        <f t="shared" si="1"/>
        <v>Bath Landfill</v>
      </c>
      <c r="D49" s="118" t="s">
        <v>130</v>
      </c>
      <c r="E49" s="118" t="s">
        <v>130</v>
      </c>
      <c r="F49" s="118" t="s">
        <v>45</v>
      </c>
      <c r="G49" s="153"/>
      <c r="H49" s="155">
        <v>4.0000000000000002E-4</v>
      </c>
      <c r="I49" s="160" t="s">
        <v>48</v>
      </c>
      <c r="J49" s="204">
        <v>6.4186199999999999E-5</v>
      </c>
      <c r="K49" s="154" t="s">
        <v>14</v>
      </c>
      <c r="L49" s="154" t="str">
        <f>IF(OpenLCAbasic!K49="CTUh", "Fill in Manually",IF(OR(K49="Unit", K49=""), "", INDEX(LookUps!$E$5:$E$12, MATCH(OpenLCAbasic!K49,LookUps!$D$5:$D$12,0))))</f>
        <v>Fossil Depletion Potential (FDP) - kg oil eq</v>
      </c>
      <c r="M49" s="154" t="str">
        <f t="shared" si="2"/>
        <v>Base_Base_Legacy_Fossil Depletion Potential (FDP) - kg oil eq_Effluent release; wastewater treatment unit; at surface water; m3 wastewater - US_Bath Landfill_n.a.</v>
      </c>
    </row>
    <row r="50" spans="1:13" s="120" customFormat="1" x14ac:dyDescent="0.25">
      <c r="A50" s="119"/>
      <c r="B50" s="138" t="str">
        <f t="shared" si="0"/>
        <v/>
      </c>
      <c r="C50" s="138" t="str">
        <f t="shared" si="1"/>
        <v/>
      </c>
      <c r="D50" s="118"/>
      <c r="E50" s="118"/>
      <c r="F50" s="118"/>
      <c r="G50" s="153" t="s">
        <v>51</v>
      </c>
      <c r="H50" s="155"/>
      <c r="I50" s="160" t="s">
        <v>47</v>
      </c>
      <c r="J50" s="156" t="s">
        <v>52</v>
      </c>
      <c r="K50" s="154" t="s">
        <v>27</v>
      </c>
      <c r="L50" s="154" t="str">
        <f>IF(OpenLCAbasic!K50="CTUh", "Fill in Manually",IF(OR(K50="Unit", K50=""), "", INDEX(LookUps!$E$5:$E$12, MATCH(OpenLCAbasic!K50,LookUps!$D$5:$D$12,0))))</f>
        <v/>
      </c>
      <c r="M50" s="154" t="str">
        <f t="shared" si="2"/>
        <v>____Process__</v>
      </c>
    </row>
    <row r="51" spans="1:13" s="120" customFormat="1" x14ac:dyDescent="0.25">
      <c r="A51" s="119"/>
      <c r="B51" s="138" t="str">
        <f t="shared" si="0"/>
        <v>n.a.</v>
      </c>
      <c r="C51" s="138" t="str">
        <f t="shared" si="1"/>
        <v>Bath Landfill</v>
      </c>
      <c r="D51" s="118" t="s">
        <v>130</v>
      </c>
      <c r="E51" s="118" t="s">
        <v>130</v>
      </c>
      <c r="F51" s="118" t="s">
        <v>45</v>
      </c>
      <c r="G51" s="153"/>
      <c r="H51" s="155">
        <v>0.44500000000000001</v>
      </c>
      <c r="I51" s="160" t="s">
        <v>125</v>
      </c>
      <c r="J51" s="204">
        <v>1.82E-3</v>
      </c>
      <c r="K51" s="154" t="s">
        <v>145</v>
      </c>
      <c r="L51" s="154" t="str">
        <f>IF(OpenLCAbasic!K51="CTUh", "Fill in Manually",IF(OR(K51="Unit", K51=""), "", INDEX(LookUps!$E$5:$E$12, MATCH(OpenLCAbasic!K51,LookUps!$D$5:$D$12,0))))</f>
        <v>Particulate Matter Formation Potential (PMFP) - kg PM2.5 eq</v>
      </c>
      <c r="M51" s="154" t="str">
        <f t="shared" si="2"/>
        <v>Base_Base_Legacy_Particulate Matter Formation Potential (PMFP) - kg PM2.5 eq_Aerobic Digester; wastewater treatment unit - US_Bath Landfill_n.a.</v>
      </c>
    </row>
    <row r="52" spans="1:13" s="120" customFormat="1" x14ac:dyDescent="0.25">
      <c r="A52" s="119"/>
      <c r="B52" s="138" t="str">
        <f t="shared" si="0"/>
        <v>n.a.</v>
      </c>
      <c r="C52" s="138" t="str">
        <f t="shared" si="1"/>
        <v>Bath Landfill</v>
      </c>
      <c r="D52" s="118" t="s">
        <v>130</v>
      </c>
      <c r="E52" s="118" t="s">
        <v>130</v>
      </c>
      <c r="F52" s="118" t="s">
        <v>45</v>
      </c>
      <c r="G52" s="153"/>
      <c r="H52" s="155">
        <v>0.43509999999999999</v>
      </c>
      <c r="I52" s="160" t="s">
        <v>124</v>
      </c>
      <c r="J52" s="204">
        <v>1.7799999999999999E-3</v>
      </c>
      <c r="K52" s="154" t="s">
        <v>145</v>
      </c>
      <c r="L52" s="154" t="str">
        <f>IF(OpenLCAbasic!K52="CTUh", "Fill in Manually",IF(OR(K52="Unit", K52=""), "", INDEX(LookUps!$E$5:$E$12, MATCH(OpenLCAbasic!K52,LookUps!$D$5:$D$12,0))))</f>
        <v>Particulate Matter Formation Potential (PMFP) - kg PM2.5 eq</v>
      </c>
      <c r="M52" s="154" t="str">
        <f t="shared" si="2"/>
        <v>Base_Base_Legacy_Particulate Matter Formation Potential (PMFP) - kg PM2.5 eq_Aeration Tanks; wastewater treatment unit - US_Bath Landfill_n.a.</v>
      </c>
    </row>
    <row r="53" spans="1:13" s="120" customFormat="1" x14ac:dyDescent="0.25">
      <c r="A53" s="119"/>
      <c r="B53" s="138" t="str">
        <f t="shared" si="0"/>
        <v>n.a.</v>
      </c>
      <c r="C53" s="138" t="str">
        <f t="shared" si="1"/>
        <v>Bath Landfill</v>
      </c>
      <c r="D53" s="118" t="s">
        <v>130</v>
      </c>
      <c r="E53" s="118" t="s">
        <v>130</v>
      </c>
      <c r="F53" s="118" t="s">
        <v>45</v>
      </c>
      <c r="G53" s="153"/>
      <c r="H53" s="155">
        <v>0.13539999999999999</v>
      </c>
      <c r="I53" s="160" t="s">
        <v>126</v>
      </c>
      <c r="J53" s="204">
        <v>5.5000000000000003E-4</v>
      </c>
      <c r="K53" s="154" t="s">
        <v>145</v>
      </c>
      <c r="L53" s="154" t="str">
        <f>IF(OpenLCAbasic!K53="CTUh", "Fill in Manually",IF(OR(K53="Unit", K53=""), "", INDEX(LookUps!$E$5:$E$12, MATCH(OpenLCAbasic!K53,LookUps!$D$5:$D$12,0))))</f>
        <v>Particulate Matter Formation Potential (PMFP) - kg PM2.5 eq</v>
      </c>
      <c r="M53" s="154" t="str">
        <f t="shared" si="2"/>
        <v>Base_Base_Legacy_Particulate Matter Formation Potential (PMFP) - kg PM2.5 eq_Primary Clarifier; wastewater treatment unit - US_Bath Landfill_n.a.</v>
      </c>
    </row>
    <row r="54" spans="1:13" s="120" customFormat="1" x14ac:dyDescent="0.25">
      <c r="A54" s="119"/>
      <c r="B54" s="138" t="str">
        <f t="shared" si="0"/>
        <v>n.a.</v>
      </c>
      <c r="C54" s="138" t="str">
        <f t="shared" si="1"/>
        <v>Bath Landfill</v>
      </c>
      <c r="D54" s="118" t="s">
        <v>130</v>
      </c>
      <c r="E54" s="118" t="s">
        <v>130</v>
      </c>
      <c r="F54" s="118" t="s">
        <v>45</v>
      </c>
      <c r="G54" s="153"/>
      <c r="H54" s="155">
        <v>4.07E-2</v>
      </c>
      <c r="I54" s="160" t="s">
        <v>128</v>
      </c>
      <c r="J54" s="204">
        <v>1.7000000000000001E-4</v>
      </c>
      <c r="K54" s="154" t="s">
        <v>145</v>
      </c>
      <c r="L54" s="154" t="str">
        <f>IF(OpenLCAbasic!K54="CTUh", "Fill in Manually",IF(OR(K54="Unit", K54=""), "", INDEX(LookUps!$E$5:$E$12, MATCH(OpenLCAbasic!K54,LookUps!$D$5:$D$12,0))))</f>
        <v>Particulate Matter Formation Potential (PMFP) - kg PM2.5 eq</v>
      </c>
      <c r="M54" s="154" t="str">
        <f t="shared" si="2"/>
        <v>Base_Base_Legacy_Particulate Matter Formation Potential (PMFP) - kg PM2.5 eq_Wastewater collection; operation and infrastructure; m3 wastewater_Bath Landfill_n.a.</v>
      </c>
    </row>
    <row r="55" spans="1:13" s="120" customFormat="1" x14ac:dyDescent="0.25">
      <c r="A55" s="119"/>
      <c r="B55" s="138" t="str">
        <f t="shared" si="0"/>
        <v>n.a.</v>
      </c>
      <c r="C55" s="138" t="str">
        <f t="shared" si="1"/>
        <v>Bath Landfill</v>
      </c>
      <c r="D55" s="118" t="s">
        <v>130</v>
      </c>
      <c r="E55" s="118" t="s">
        <v>130</v>
      </c>
      <c r="F55" s="118" t="s">
        <v>45</v>
      </c>
      <c r="G55" s="153"/>
      <c r="H55" s="155">
        <v>2.4E-2</v>
      </c>
      <c r="I55" s="160" t="s">
        <v>150</v>
      </c>
      <c r="J55" s="204">
        <v>9.7983299999999994E-5</v>
      </c>
      <c r="K55" s="154" t="s">
        <v>145</v>
      </c>
      <c r="L55" s="154" t="str">
        <f>IF(OpenLCAbasic!K55="CTUh", "Fill in Manually",IF(OR(K55="Unit", K55=""), "", INDEX(LookUps!$E$5:$E$12, MATCH(OpenLCAbasic!K55,LookUps!$D$5:$D$12,0))))</f>
        <v>Particulate Matter Formation Potential (PMFP) - kg PM2.5 eq</v>
      </c>
      <c r="M55" s="154" t="str">
        <f t="shared" si="2"/>
        <v>Base_Base_Legacy_Particulate Matter Formation Potential (PMFP) - kg PM2.5 eq_Screening and Grit Removal - US_Bath Landfill_n.a.</v>
      </c>
    </row>
    <row r="56" spans="1:13" s="120" customFormat="1" x14ac:dyDescent="0.25">
      <c r="A56" s="119"/>
      <c r="B56" s="138" t="str">
        <f t="shared" si="0"/>
        <v>n.a.</v>
      </c>
      <c r="C56" s="138" t="str">
        <f t="shared" si="1"/>
        <v>Bath Landfill</v>
      </c>
      <c r="D56" s="118" t="s">
        <v>130</v>
      </c>
      <c r="E56" s="118" t="s">
        <v>130</v>
      </c>
      <c r="F56" s="118" t="s">
        <v>45</v>
      </c>
      <c r="G56" s="153"/>
      <c r="H56" s="155">
        <v>2.1100000000000001E-2</v>
      </c>
      <c r="I56" s="160" t="s">
        <v>123</v>
      </c>
      <c r="J56" s="204">
        <v>8.6108399999999997E-5</v>
      </c>
      <c r="K56" s="154" t="s">
        <v>145</v>
      </c>
      <c r="L56" s="154" t="str">
        <f>IF(OpenLCAbasic!K56="CTUh", "Fill in Manually",IF(OR(K56="Unit", K56=""), "", INDEX(LookUps!$E$5:$E$12, MATCH(OpenLCAbasic!K56,LookUps!$D$5:$D$12,0))))</f>
        <v>Particulate Matter Formation Potential (PMFP) - kg PM2.5 eq</v>
      </c>
      <c r="M56" s="154" t="str">
        <f t="shared" si="2"/>
        <v>Base_Base_Legacy_Particulate Matter Formation Potential (PMFP) - kg PM2.5 eq_Belt filter press; wastewater treatment unit - US_Bath Landfill_n.a.</v>
      </c>
    </row>
    <row r="57" spans="1:13" s="120" customFormat="1" x14ac:dyDescent="0.25">
      <c r="A57" s="119"/>
      <c r="B57" s="138" t="str">
        <f t="shared" si="0"/>
        <v>n.a.</v>
      </c>
      <c r="C57" s="138" t="str">
        <f t="shared" si="1"/>
        <v>Bath Landfill</v>
      </c>
      <c r="D57" s="118" t="s">
        <v>130</v>
      </c>
      <c r="E57" s="118" t="s">
        <v>130</v>
      </c>
      <c r="F57" s="118" t="s">
        <v>45</v>
      </c>
      <c r="G57" s="153"/>
      <c r="H57" s="155">
        <v>3.8E-3</v>
      </c>
      <c r="I57" s="160" t="s">
        <v>56</v>
      </c>
      <c r="J57" s="204">
        <v>1.5461800000000002E-5</v>
      </c>
      <c r="K57" s="154" t="s">
        <v>145</v>
      </c>
      <c r="L57" s="154" t="str">
        <f>IF(OpenLCAbasic!K57="CTUh", "Fill in Manually",IF(OR(K57="Unit", K57=""), "", INDEX(LookUps!$E$5:$E$12, MATCH(OpenLCAbasic!K57,LookUps!$D$5:$D$12,0))))</f>
        <v>Particulate Matter Formation Potential (PMFP) - kg PM2.5 eq</v>
      </c>
      <c r="M57" s="154" t="str">
        <f t="shared" si="2"/>
        <v>Base_Base_Legacy_Particulate Matter Formation Potential (PMFP) - kg PM2.5 eq_Control Building; at wastewater treatment plant - US_Bath Landfill_n.a.</v>
      </c>
    </row>
    <row r="58" spans="1:13" s="120" customFormat="1" x14ac:dyDescent="0.25">
      <c r="A58" s="119"/>
      <c r="B58" s="138" t="str">
        <f t="shared" si="0"/>
        <v>n.a.</v>
      </c>
      <c r="C58" s="138" t="str">
        <f t="shared" si="1"/>
        <v>Bath Landfill</v>
      </c>
      <c r="D58" s="118" t="s">
        <v>130</v>
      </c>
      <c r="E58" s="118" t="s">
        <v>130</v>
      </c>
      <c r="F58" s="118" t="s">
        <v>45</v>
      </c>
      <c r="G58" s="153"/>
      <c r="H58" s="155">
        <v>2.8E-3</v>
      </c>
      <c r="I58" s="160" t="s">
        <v>127</v>
      </c>
      <c r="J58" s="204">
        <v>1.12426E-5</v>
      </c>
      <c r="K58" s="154" t="s">
        <v>145</v>
      </c>
      <c r="L58" s="154" t="str">
        <f>IF(OpenLCAbasic!K58="CTUh", "Fill in Manually",IF(OR(K58="Unit", K58=""), "", INDEX(LookUps!$E$5:$E$12, MATCH(OpenLCAbasic!K58,LookUps!$D$5:$D$12,0))))</f>
        <v>Particulate Matter Formation Potential (PMFP) - kg PM2.5 eq</v>
      </c>
      <c r="M58" s="154" t="str">
        <f t="shared" si="2"/>
        <v>Base_Base_Legacy_Particulate Matter Formation Potential (PMFP) - kg PM2.5 eq_Sludge Thickener; wastewater treatment unit - US_Bath Landfill_n.a.</v>
      </c>
    </row>
    <row r="59" spans="1:13" s="120" customFormat="1" x14ac:dyDescent="0.25">
      <c r="A59" s="119"/>
      <c r="B59" s="138" t="str">
        <f t="shared" si="0"/>
        <v>n.a.</v>
      </c>
      <c r="C59" s="138" t="str">
        <f t="shared" si="1"/>
        <v>Bath Landfill</v>
      </c>
      <c r="D59" s="118" t="s">
        <v>130</v>
      </c>
      <c r="E59" s="118" t="s">
        <v>130</v>
      </c>
      <c r="F59" s="118" t="s">
        <v>45</v>
      </c>
      <c r="G59" s="153"/>
      <c r="H59" s="155">
        <v>2.0000000000000001E-4</v>
      </c>
      <c r="I59" s="160" t="s">
        <v>48</v>
      </c>
      <c r="J59" s="204">
        <v>6.2747700000000003E-7</v>
      </c>
      <c r="K59" s="154" t="s">
        <v>145</v>
      </c>
      <c r="L59" s="154" t="str">
        <f>IF(OpenLCAbasic!K59="CTUh", "Fill in Manually",IF(OR(K59="Unit", K59=""), "", INDEX(LookUps!$E$5:$E$12, MATCH(OpenLCAbasic!K59,LookUps!$D$5:$D$12,0))))</f>
        <v>Particulate Matter Formation Potential (PMFP) - kg PM2.5 eq</v>
      </c>
      <c r="M59" s="154" t="str">
        <f t="shared" si="2"/>
        <v>Base_Base_Legacy_Particulate Matter Formation Potential (PMFP) - kg PM2.5 eq_Effluent release; wastewater treatment unit; at surface water; m3 wastewater - US_Bath Landfill_n.a.</v>
      </c>
    </row>
    <row r="60" spans="1:13" s="120" customFormat="1" x14ac:dyDescent="0.25">
      <c r="A60" s="119"/>
      <c r="B60" s="138" t="str">
        <f t="shared" si="0"/>
        <v>n.a.</v>
      </c>
      <c r="C60" s="138" t="str">
        <f t="shared" si="1"/>
        <v>Bath Landfill</v>
      </c>
      <c r="D60" s="118" t="s">
        <v>130</v>
      </c>
      <c r="E60" s="118" t="s">
        <v>130</v>
      </c>
      <c r="F60" s="118" t="s">
        <v>45</v>
      </c>
      <c r="G60" s="153"/>
      <c r="H60" s="155">
        <v>-0.1079</v>
      </c>
      <c r="I60" s="160" t="s">
        <v>151</v>
      </c>
      <c r="J60" s="204">
        <v>-4.4000000000000002E-4</v>
      </c>
      <c r="K60" s="154" t="s">
        <v>145</v>
      </c>
      <c r="L60" s="154" t="str">
        <f>IF(OpenLCAbasic!K60="CTUh", "Fill in Manually",IF(OR(K60="Unit", K60=""), "", INDEX(LookUps!$E$5:$E$12, MATCH(OpenLCAbasic!K60,LookUps!$D$5:$D$12,0))))</f>
        <v>Particulate Matter Formation Potential (PMFP) - kg PM2.5 eq</v>
      </c>
      <c r="M60" s="154" t="str">
        <f t="shared" si="2"/>
        <v>Base_Base_Legacy_Particulate Matter Formation Potential (PMFP) - kg PM2.5 eq_Sludge Disposal; wastewater treatment unit - US_Bath Landfill_n.a.</v>
      </c>
    </row>
    <row r="61" spans="1:13" s="120" customFormat="1" x14ac:dyDescent="0.25">
      <c r="A61" s="119"/>
      <c r="B61" s="138" t="str">
        <f t="shared" si="0"/>
        <v/>
      </c>
      <c r="C61" s="138" t="str">
        <f t="shared" si="1"/>
        <v/>
      </c>
      <c r="D61" s="118"/>
      <c r="E61" s="118"/>
      <c r="F61" s="118"/>
      <c r="G61" s="153" t="s">
        <v>51</v>
      </c>
      <c r="H61" s="155"/>
      <c r="I61" s="160" t="s">
        <v>47</v>
      </c>
      <c r="J61" s="156" t="s">
        <v>52</v>
      </c>
      <c r="K61" s="154" t="s">
        <v>27</v>
      </c>
      <c r="L61" s="154" t="str">
        <f>IF(OpenLCAbasic!K61="CTUh", "Fill in Manually",IF(OR(K61="Unit", K61=""), "", INDEX(LookUps!$E$5:$E$12, MATCH(OpenLCAbasic!K61,LookUps!$D$5:$D$12,0))))</f>
        <v/>
      </c>
      <c r="M61" s="154" t="str">
        <f t="shared" si="2"/>
        <v>____Process__</v>
      </c>
    </row>
    <row r="62" spans="1:13" s="120" customFormat="1" x14ac:dyDescent="0.25">
      <c r="A62" s="119"/>
      <c r="B62" s="138" t="str">
        <f t="shared" si="0"/>
        <v>n.a.</v>
      </c>
      <c r="C62" s="138" t="str">
        <f t="shared" si="1"/>
        <v>Bath Landfill</v>
      </c>
      <c r="D62" s="118" t="s">
        <v>130</v>
      </c>
      <c r="E62" s="118" t="s">
        <v>130</v>
      </c>
      <c r="F62" s="118" t="s">
        <v>45</v>
      </c>
      <c r="G62" s="153"/>
      <c r="H62" s="155">
        <v>0.44719999999999999</v>
      </c>
      <c r="I62" s="160" t="s">
        <v>125</v>
      </c>
      <c r="J62" s="203">
        <v>0.12926000000000001</v>
      </c>
      <c r="K62" s="154" t="s">
        <v>25</v>
      </c>
      <c r="L62" s="154" t="str">
        <f>IF(OpenLCAbasic!K62="CTUh", "Fill in Manually",IF(OR(K62="Unit", K62=""), "", INDEX(LookUps!$E$5:$E$12, MATCH(OpenLCAbasic!K62,LookUps!$D$5:$D$12,0))))</f>
        <v>Smog Formation Potential (SFP) - kg O3 eq</v>
      </c>
      <c r="M62" s="154" t="str">
        <f t="shared" si="2"/>
        <v>Base_Base_Legacy_Smog Formation Potential (SFP) - kg O3 eq_Aerobic Digester; wastewater treatment unit - US_Bath Landfill_n.a.</v>
      </c>
    </row>
    <row r="63" spans="1:13" s="120" customFormat="1" x14ac:dyDescent="0.25">
      <c r="A63" s="119"/>
      <c r="B63" s="138" t="str">
        <f t="shared" si="0"/>
        <v>n.a.</v>
      </c>
      <c r="C63" s="138" t="str">
        <f t="shared" si="1"/>
        <v>Bath Landfill</v>
      </c>
      <c r="D63" s="118" t="s">
        <v>130</v>
      </c>
      <c r="E63" s="118" t="s">
        <v>130</v>
      </c>
      <c r="F63" s="118" t="s">
        <v>45</v>
      </c>
      <c r="G63" s="153"/>
      <c r="H63" s="155">
        <v>0.43690000000000001</v>
      </c>
      <c r="I63" s="160" t="s">
        <v>124</v>
      </c>
      <c r="J63" s="203">
        <v>0.12629000000000001</v>
      </c>
      <c r="K63" s="154" t="s">
        <v>25</v>
      </c>
      <c r="L63" s="154" t="str">
        <f>IF(OpenLCAbasic!K63="CTUh", "Fill in Manually",IF(OR(K63="Unit", K63=""), "", INDEX(LookUps!$E$5:$E$12, MATCH(OpenLCAbasic!K63,LookUps!$D$5:$D$12,0))))</f>
        <v>Smog Formation Potential (SFP) - kg O3 eq</v>
      </c>
      <c r="M63" s="154" t="str">
        <f t="shared" si="2"/>
        <v>Base_Base_Legacy_Smog Formation Potential (SFP) - kg O3 eq_Aeration Tanks; wastewater treatment unit - US_Bath Landfill_n.a.</v>
      </c>
    </row>
    <row r="64" spans="1:13" s="120" customFormat="1" x14ac:dyDescent="0.25">
      <c r="A64" s="119"/>
      <c r="B64" s="138" t="str">
        <f t="shared" si="0"/>
        <v>n.a.</v>
      </c>
      <c r="C64" s="138" t="str">
        <f t="shared" si="1"/>
        <v>Bath Landfill</v>
      </c>
      <c r="D64" s="118" t="s">
        <v>130</v>
      </c>
      <c r="E64" s="118" t="s">
        <v>130</v>
      </c>
      <c r="F64" s="118" t="s">
        <v>45</v>
      </c>
      <c r="G64" s="153"/>
      <c r="H64" s="155">
        <v>0.12620000000000001</v>
      </c>
      <c r="I64" s="160" t="s">
        <v>126</v>
      </c>
      <c r="J64" s="203">
        <v>3.6470000000000002E-2</v>
      </c>
      <c r="K64" s="154" t="s">
        <v>25</v>
      </c>
      <c r="L64" s="154" t="str">
        <f>IF(OpenLCAbasic!K64="CTUh", "Fill in Manually",IF(OR(K64="Unit", K64=""), "", INDEX(LookUps!$E$5:$E$12, MATCH(OpenLCAbasic!K64,LookUps!$D$5:$D$12,0))))</f>
        <v>Smog Formation Potential (SFP) - kg O3 eq</v>
      </c>
      <c r="M64" s="154" t="str">
        <f t="shared" si="2"/>
        <v>Base_Base_Legacy_Smog Formation Potential (SFP) - kg O3 eq_Primary Clarifier; wastewater treatment unit - US_Bath Landfill_n.a.</v>
      </c>
    </row>
    <row r="65" spans="1:13" s="120" customFormat="1" x14ac:dyDescent="0.25">
      <c r="A65" s="119"/>
      <c r="B65" s="138" t="str">
        <f t="shared" si="0"/>
        <v>n.a.</v>
      </c>
      <c r="C65" s="138" t="str">
        <f t="shared" si="1"/>
        <v>Bath Landfill</v>
      </c>
      <c r="D65" s="118" t="s">
        <v>130</v>
      </c>
      <c r="E65" s="118" t="s">
        <v>130</v>
      </c>
      <c r="F65" s="118" t="s">
        <v>45</v>
      </c>
      <c r="G65" s="153"/>
      <c r="H65" s="155">
        <v>4.1200000000000001E-2</v>
      </c>
      <c r="I65" s="160" t="s">
        <v>128</v>
      </c>
      <c r="J65" s="203">
        <v>1.192E-2</v>
      </c>
      <c r="K65" s="154" t="s">
        <v>25</v>
      </c>
      <c r="L65" s="154" t="str">
        <f>IF(OpenLCAbasic!K65="CTUh", "Fill in Manually",IF(OR(K65="Unit", K65=""), "", INDEX(LookUps!$E$5:$E$12, MATCH(OpenLCAbasic!K65,LookUps!$D$5:$D$12,0))))</f>
        <v>Smog Formation Potential (SFP) - kg O3 eq</v>
      </c>
      <c r="M65" s="154" t="str">
        <f t="shared" si="2"/>
        <v>Base_Base_Legacy_Smog Formation Potential (SFP) - kg O3 eq_Wastewater collection; operation and infrastructure; m3 wastewater_Bath Landfill_n.a.</v>
      </c>
    </row>
    <row r="66" spans="1:13" s="120" customFormat="1" x14ac:dyDescent="0.25">
      <c r="A66" s="119"/>
      <c r="B66" s="138" t="str">
        <f t="shared" si="0"/>
        <v>n.a.</v>
      </c>
      <c r="C66" s="138" t="str">
        <f t="shared" si="1"/>
        <v>Bath Landfill</v>
      </c>
      <c r="D66" s="118" t="s">
        <v>130</v>
      </c>
      <c r="E66" s="118" t="s">
        <v>130</v>
      </c>
      <c r="F66" s="118" t="s">
        <v>45</v>
      </c>
      <c r="G66" s="153"/>
      <c r="H66" s="155">
        <v>2.4E-2</v>
      </c>
      <c r="I66" s="160" t="s">
        <v>150</v>
      </c>
      <c r="J66" s="204">
        <v>6.9499999999999996E-3</v>
      </c>
      <c r="K66" s="154" t="s">
        <v>25</v>
      </c>
      <c r="L66" s="154" t="str">
        <f>IF(OpenLCAbasic!K66="CTUh", "Fill in Manually",IF(OR(K66="Unit", K66=""), "", INDEX(LookUps!$E$5:$E$12, MATCH(OpenLCAbasic!K66,LookUps!$D$5:$D$12,0))))</f>
        <v>Smog Formation Potential (SFP) - kg O3 eq</v>
      </c>
      <c r="M66" s="154" t="str">
        <f t="shared" si="2"/>
        <v>Base_Base_Legacy_Smog Formation Potential (SFP) - kg O3 eq_Screening and Grit Removal - US_Bath Landfill_n.a.</v>
      </c>
    </row>
    <row r="67" spans="1:13" s="120" customFormat="1" x14ac:dyDescent="0.25">
      <c r="A67" s="119"/>
      <c r="B67" s="138" t="str">
        <f t="shared" si="0"/>
        <v>n.a.</v>
      </c>
      <c r="C67" s="138" t="str">
        <f t="shared" si="1"/>
        <v>Bath Landfill</v>
      </c>
      <c r="D67" s="118" t="s">
        <v>130</v>
      </c>
      <c r="E67" s="118" t="s">
        <v>130</v>
      </c>
      <c r="F67" s="118" t="s">
        <v>45</v>
      </c>
      <c r="G67" s="153"/>
      <c r="H67" s="155">
        <v>2.1100000000000001E-2</v>
      </c>
      <c r="I67" s="160" t="s">
        <v>123</v>
      </c>
      <c r="J67" s="204">
        <v>6.1000000000000004E-3</v>
      </c>
      <c r="K67" s="154" t="s">
        <v>25</v>
      </c>
      <c r="L67" s="154" t="str">
        <f>IF(OpenLCAbasic!K67="CTUh", "Fill in Manually",IF(OR(K67="Unit", K67=""), "", INDEX(LookUps!$E$5:$E$12, MATCH(OpenLCAbasic!K67,LookUps!$D$5:$D$12,0))))</f>
        <v>Smog Formation Potential (SFP) - kg O3 eq</v>
      </c>
      <c r="M67" s="154" t="str">
        <f t="shared" si="2"/>
        <v>Base_Base_Legacy_Smog Formation Potential (SFP) - kg O3 eq_Belt filter press; wastewater treatment unit - US_Bath Landfill_n.a.</v>
      </c>
    </row>
    <row r="68" spans="1:13" s="120" customFormat="1" x14ac:dyDescent="0.25">
      <c r="A68" s="119"/>
      <c r="B68" s="138" t="str">
        <f t="shared" si="0"/>
        <v>n.a.</v>
      </c>
      <c r="C68" s="138" t="str">
        <f t="shared" si="1"/>
        <v>Bath Landfill</v>
      </c>
      <c r="D68" s="118" t="s">
        <v>130</v>
      </c>
      <c r="E68" s="118" t="s">
        <v>130</v>
      </c>
      <c r="F68" s="118" t="s">
        <v>45</v>
      </c>
      <c r="G68" s="153"/>
      <c r="H68" s="155">
        <v>4.7000000000000002E-3</v>
      </c>
      <c r="I68" s="160" t="s">
        <v>56</v>
      </c>
      <c r="J68" s="204">
        <v>1.3699999999999999E-3</v>
      </c>
      <c r="K68" s="154" t="s">
        <v>25</v>
      </c>
      <c r="L68" s="154" t="str">
        <f>IF(OpenLCAbasic!K68="CTUh", "Fill in Manually",IF(OR(K68="Unit", K68=""), "", INDEX(LookUps!$E$5:$E$12, MATCH(OpenLCAbasic!K68,LookUps!$D$5:$D$12,0))))</f>
        <v>Smog Formation Potential (SFP) - kg O3 eq</v>
      </c>
      <c r="M68" s="154" t="str">
        <f t="shared" si="2"/>
        <v>Base_Base_Legacy_Smog Formation Potential (SFP) - kg O3 eq_Control Building; at wastewater treatment plant - US_Bath Landfill_n.a.</v>
      </c>
    </row>
    <row r="69" spans="1:13" s="120" customFormat="1" x14ac:dyDescent="0.25">
      <c r="A69" s="119"/>
      <c r="B69" s="138" t="str">
        <f t="shared" si="0"/>
        <v>n.a.</v>
      </c>
      <c r="C69" s="138" t="str">
        <f t="shared" si="1"/>
        <v>Bath Landfill</v>
      </c>
      <c r="D69" s="118" t="s">
        <v>130</v>
      </c>
      <c r="E69" s="118" t="s">
        <v>130</v>
      </c>
      <c r="F69" s="118" t="s">
        <v>45</v>
      </c>
      <c r="G69" s="153"/>
      <c r="H69" s="155">
        <v>2.8E-3</v>
      </c>
      <c r="I69" s="160" t="s">
        <v>127</v>
      </c>
      <c r="J69" s="204">
        <v>8.0000000000000004E-4</v>
      </c>
      <c r="K69" s="154" t="s">
        <v>25</v>
      </c>
      <c r="L69" s="154" t="str">
        <f>IF(OpenLCAbasic!K69="CTUh", "Fill in Manually",IF(OR(K69="Unit", K69=""), "", INDEX(LookUps!$E$5:$E$12, MATCH(OpenLCAbasic!K69,LookUps!$D$5:$D$12,0))))</f>
        <v>Smog Formation Potential (SFP) - kg O3 eq</v>
      </c>
      <c r="M69" s="154" t="str">
        <f t="shared" si="2"/>
        <v>Base_Base_Legacy_Smog Formation Potential (SFP) - kg O3 eq_Sludge Thickener; wastewater treatment unit - US_Bath Landfill_n.a.</v>
      </c>
    </row>
    <row r="70" spans="1:13" s="120" customFormat="1" x14ac:dyDescent="0.25">
      <c r="A70" s="119"/>
      <c r="B70" s="138" t="str">
        <f t="shared" si="0"/>
        <v>n.a.</v>
      </c>
      <c r="C70" s="138" t="str">
        <f t="shared" si="1"/>
        <v>Bath Landfill</v>
      </c>
      <c r="D70" s="118" t="s">
        <v>130</v>
      </c>
      <c r="E70" s="118" t="s">
        <v>130</v>
      </c>
      <c r="F70" s="118" t="s">
        <v>45</v>
      </c>
      <c r="G70" s="153"/>
      <c r="H70" s="155">
        <v>1E-4</v>
      </c>
      <c r="I70" s="160" t="s">
        <v>48</v>
      </c>
      <c r="J70" s="204">
        <v>4.0287000000000002E-5</v>
      </c>
      <c r="K70" s="154" t="s">
        <v>25</v>
      </c>
      <c r="L70" s="154" t="str">
        <f>IF(OpenLCAbasic!K70="CTUh", "Fill in Manually",IF(OR(K70="Unit", K70=""), "", INDEX(LookUps!$E$5:$E$12, MATCH(OpenLCAbasic!K70,LookUps!$D$5:$D$12,0))))</f>
        <v>Smog Formation Potential (SFP) - kg O3 eq</v>
      </c>
      <c r="M70" s="154" t="str">
        <f t="shared" si="2"/>
        <v>Base_Base_Legacy_Smog Formation Potential (SFP) - kg O3 eq_Effluent release; wastewater treatment unit; at surface water; m3 wastewater - US_Bath Landfill_n.a.</v>
      </c>
    </row>
    <row r="71" spans="1:13" s="120" customFormat="1" x14ac:dyDescent="0.25">
      <c r="A71" s="119"/>
      <c r="B71" s="138" t="str">
        <f t="shared" ref="B71:B134" si="3">IF(F71="Legacy","n.a.",IF(F71="","","Windrow"))</f>
        <v>n.a.</v>
      </c>
      <c r="C71" s="138" t="str">
        <f t="shared" ref="C71:C94" si="4">IF(E71="","", "Bath Landfill")</f>
        <v>Bath Landfill</v>
      </c>
      <c r="D71" s="118" t="s">
        <v>130</v>
      </c>
      <c r="E71" s="118" t="s">
        <v>130</v>
      </c>
      <c r="F71" s="118" t="s">
        <v>45</v>
      </c>
      <c r="G71" s="153"/>
      <c r="H71" s="155">
        <v>-0.1043</v>
      </c>
      <c r="I71" s="160" t="s">
        <v>151</v>
      </c>
      <c r="J71" s="203">
        <v>-3.014E-2</v>
      </c>
      <c r="K71" s="154" t="s">
        <v>25</v>
      </c>
      <c r="L71" s="154" t="str">
        <f>IF(OpenLCAbasic!K71="CTUh", "Fill in Manually",IF(OR(K71="Unit", K71=""), "", INDEX(LookUps!$E$5:$E$12, MATCH(OpenLCAbasic!K71,LookUps!$D$5:$D$12,0))))</f>
        <v>Smog Formation Potential (SFP) - kg O3 eq</v>
      </c>
      <c r="M71" s="154" t="str">
        <f t="shared" si="2"/>
        <v>Base_Base_Legacy_Smog Formation Potential (SFP) - kg O3 eq_Sludge Disposal; wastewater treatment unit - US_Bath Landfill_n.a.</v>
      </c>
    </row>
    <row r="72" spans="1:13" s="120" customFormat="1" x14ac:dyDescent="0.25">
      <c r="A72" s="119"/>
      <c r="B72" s="138" t="str">
        <f t="shared" si="3"/>
        <v/>
      </c>
      <c r="C72" s="138" t="str">
        <f t="shared" si="4"/>
        <v/>
      </c>
      <c r="D72" s="118"/>
      <c r="E72" s="118"/>
      <c r="F72" s="118"/>
      <c r="G72" s="153" t="s">
        <v>51</v>
      </c>
      <c r="H72" s="155"/>
      <c r="I72" s="160" t="s">
        <v>47</v>
      </c>
      <c r="J72" s="156" t="s">
        <v>52</v>
      </c>
      <c r="K72" s="154" t="s">
        <v>27</v>
      </c>
      <c r="L72" s="154" t="str">
        <f>IF(OpenLCAbasic!K72="CTUh", "Fill in Manually",IF(OR(K72="Unit", K72=""), "", INDEX(LookUps!$E$5:$E$12, MATCH(OpenLCAbasic!K72,LookUps!$D$5:$D$12,0))))</f>
        <v/>
      </c>
      <c r="M72" s="154" t="str">
        <f t="shared" ref="M72:M135" si="5">CONCATENATE(E72,"_",D72,"_",F72,"_",L72, "_",I72,"_", C72,"_", B72)</f>
        <v>____Process__</v>
      </c>
    </row>
    <row r="73" spans="1:13" s="120" customFormat="1" x14ac:dyDescent="0.25">
      <c r="A73" s="119"/>
      <c r="B73" s="138" t="str">
        <f t="shared" si="3"/>
        <v>n.a.</v>
      </c>
      <c r="C73" s="138" t="str">
        <f t="shared" si="4"/>
        <v>Bath Landfill</v>
      </c>
      <c r="D73" s="118" t="s">
        <v>130</v>
      </c>
      <c r="E73" s="118" t="s">
        <v>130</v>
      </c>
      <c r="F73" s="118" t="s">
        <v>45</v>
      </c>
      <c r="G73" s="153"/>
      <c r="H73" s="155">
        <v>0.60980000000000001</v>
      </c>
      <c r="I73" s="160" t="s">
        <v>126</v>
      </c>
      <c r="J73" s="204">
        <v>7.6000000000000004E-4</v>
      </c>
      <c r="K73" s="154" t="s">
        <v>26</v>
      </c>
      <c r="L73" s="154" t="str">
        <f>IF(OpenLCAbasic!K73="CTUh", "Fill in Manually",IF(OR(K73="Unit", K73=""), "", INDEX(LookUps!$E$5:$E$12, MATCH(OpenLCAbasic!K73,LookUps!$D$5:$D$12,0))))</f>
        <v>Water Use (WU) - m3 H2O</v>
      </c>
      <c r="M73" s="154" t="str">
        <f t="shared" si="5"/>
        <v>Base_Base_Legacy_Water Use (WU) - m3 H2O_Primary Clarifier; wastewater treatment unit - US_Bath Landfill_n.a.</v>
      </c>
    </row>
    <row r="74" spans="1:13" s="120" customFormat="1" x14ac:dyDescent="0.25">
      <c r="A74" s="119"/>
      <c r="B74" s="138" t="str">
        <f t="shared" si="3"/>
        <v>n.a.</v>
      </c>
      <c r="C74" s="138" t="str">
        <f t="shared" si="4"/>
        <v>Bath Landfill</v>
      </c>
      <c r="D74" s="118" t="s">
        <v>130</v>
      </c>
      <c r="E74" s="118" t="s">
        <v>130</v>
      </c>
      <c r="F74" s="118" t="s">
        <v>45</v>
      </c>
      <c r="G74" s="153"/>
      <c r="H74" s="155">
        <v>0.1201</v>
      </c>
      <c r="I74" s="160" t="s">
        <v>124</v>
      </c>
      <c r="J74" s="204">
        <v>1.4999999999999999E-4</v>
      </c>
      <c r="K74" s="154" t="s">
        <v>26</v>
      </c>
      <c r="L74" s="154" t="str">
        <f>IF(OpenLCAbasic!K74="CTUh", "Fill in Manually",IF(OR(K74="Unit", K74=""), "", INDEX(LookUps!$E$5:$E$12, MATCH(OpenLCAbasic!K74,LookUps!$D$5:$D$12,0))))</f>
        <v>Water Use (WU) - m3 H2O</v>
      </c>
      <c r="M74" s="154" t="str">
        <f t="shared" si="5"/>
        <v>Base_Base_Legacy_Water Use (WU) - m3 H2O_Aeration Tanks; wastewater treatment unit - US_Bath Landfill_n.a.</v>
      </c>
    </row>
    <row r="75" spans="1:13" s="120" customFormat="1" x14ac:dyDescent="0.25">
      <c r="A75" s="119"/>
      <c r="B75" s="138" t="str">
        <f t="shared" si="3"/>
        <v>n.a.</v>
      </c>
      <c r="C75" s="138" t="str">
        <f t="shared" si="4"/>
        <v>Bath Landfill</v>
      </c>
      <c r="D75" s="118" t="s">
        <v>130</v>
      </c>
      <c r="E75" s="118" t="s">
        <v>130</v>
      </c>
      <c r="F75" s="118" t="s">
        <v>45</v>
      </c>
      <c r="G75" s="153"/>
      <c r="H75" s="155">
        <v>9.5600000000000004E-2</v>
      </c>
      <c r="I75" s="160" t="s">
        <v>56</v>
      </c>
      <c r="J75" s="204">
        <v>1.2E-4</v>
      </c>
      <c r="K75" s="154" t="s">
        <v>26</v>
      </c>
      <c r="L75" s="154" t="str">
        <f>IF(OpenLCAbasic!K75="CTUh", "Fill in Manually",IF(OR(K75="Unit", K75=""), "", INDEX(LookUps!$E$5:$E$12, MATCH(OpenLCAbasic!K75,LookUps!$D$5:$D$12,0))))</f>
        <v>Water Use (WU) - m3 H2O</v>
      </c>
      <c r="M75" s="154" t="str">
        <f t="shared" si="5"/>
        <v>Base_Base_Legacy_Water Use (WU) - m3 H2O_Control Building; at wastewater treatment plant - US_Bath Landfill_n.a.</v>
      </c>
    </row>
    <row r="76" spans="1:13" s="120" customFormat="1" x14ac:dyDescent="0.25">
      <c r="A76" s="119"/>
      <c r="B76" s="138" t="str">
        <f t="shared" si="3"/>
        <v>n.a.</v>
      </c>
      <c r="C76" s="138" t="str">
        <f t="shared" si="4"/>
        <v>Bath Landfill</v>
      </c>
      <c r="D76" s="118" t="s">
        <v>130</v>
      </c>
      <c r="E76" s="118" t="s">
        <v>130</v>
      </c>
      <c r="F76" s="118" t="s">
        <v>45</v>
      </c>
      <c r="G76" s="153"/>
      <c r="H76" s="155">
        <v>8.09E-2</v>
      </c>
      <c r="I76" s="160" t="s">
        <v>125</v>
      </c>
      <c r="J76" s="204">
        <v>1E-4</v>
      </c>
      <c r="K76" s="154" t="s">
        <v>26</v>
      </c>
      <c r="L76" s="154" t="str">
        <f>IF(OpenLCAbasic!K76="CTUh", "Fill in Manually",IF(OR(K76="Unit", K76=""), "", INDEX(LookUps!$E$5:$E$12, MATCH(OpenLCAbasic!K76,LookUps!$D$5:$D$12,0))))</f>
        <v>Water Use (WU) - m3 H2O</v>
      </c>
      <c r="M76" s="154" t="str">
        <f t="shared" si="5"/>
        <v>Base_Base_Legacy_Water Use (WU) - m3 H2O_Aerobic Digester; wastewater treatment unit - US_Bath Landfill_n.a.</v>
      </c>
    </row>
    <row r="77" spans="1:13" s="120" customFormat="1" x14ac:dyDescent="0.25">
      <c r="A77" s="119"/>
      <c r="B77" s="138" t="str">
        <f t="shared" si="3"/>
        <v>n.a.</v>
      </c>
      <c r="C77" s="138" t="str">
        <f t="shared" si="4"/>
        <v>Bath Landfill</v>
      </c>
      <c r="D77" s="118" t="s">
        <v>130</v>
      </c>
      <c r="E77" s="118" t="s">
        <v>130</v>
      </c>
      <c r="F77" s="118" t="s">
        <v>45</v>
      </c>
      <c r="G77" s="153"/>
      <c r="H77" s="155">
        <v>6.2700000000000006E-2</v>
      </c>
      <c r="I77" s="160" t="s">
        <v>123</v>
      </c>
      <c r="J77" s="204">
        <v>7.8034799999999994E-5</v>
      </c>
      <c r="K77" s="154" t="s">
        <v>26</v>
      </c>
      <c r="L77" s="154" t="str">
        <f>IF(OpenLCAbasic!K77="CTUh", "Fill in Manually",IF(OR(K77="Unit", K77=""), "", INDEX(LookUps!$E$5:$E$12, MATCH(OpenLCAbasic!K77,LookUps!$D$5:$D$12,0))))</f>
        <v>Water Use (WU) - m3 H2O</v>
      </c>
      <c r="M77" s="154" t="str">
        <f t="shared" si="5"/>
        <v>Base_Base_Legacy_Water Use (WU) - m3 H2O_Belt filter press; wastewater treatment unit - US_Bath Landfill_n.a.</v>
      </c>
    </row>
    <row r="78" spans="1:13" s="120" customFormat="1" x14ac:dyDescent="0.25">
      <c r="A78" s="119"/>
      <c r="B78" s="138" t="str">
        <f t="shared" si="3"/>
        <v>n.a.</v>
      </c>
      <c r="C78" s="138" t="str">
        <f t="shared" si="4"/>
        <v>Bath Landfill</v>
      </c>
      <c r="D78" s="118" t="s">
        <v>130</v>
      </c>
      <c r="E78" s="118" t="s">
        <v>130</v>
      </c>
      <c r="F78" s="118" t="s">
        <v>45</v>
      </c>
      <c r="G78" s="153"/>
      <c r="H78" s="155">
        <v>1.26E-2</v>
      </c>
      <c r="I78" s="160" t="s">
        <v>151</v>
      </c>
      <c r="J78" s="204">
        <v>1.5656200000000001E-5</v>
      </c>
      <c r="K78" s="154" t="s">
        <v>26</v>
      </c>
      <c r="L78" s="154" t="str">
        <f>IF(OpenLCAbasic!K78="CTUh", "Fill in Manually",IF(OR(K78="Unit", K78=""), "", INDEX(LookUps!$E$5:$E$12, MATCH(OpenLCAbasic!K78,LookUps!$D$5:$D$12,0))))</f>
        <v>Water Use (WU) - m3 H2O</v>
      </c>
      <c r="M78" s="154" t="str">
        <f t="shared" si="5"/>
        <v>Base_Base_Legacy_Water Use (WU) - m3 H2O_Sludge Disposal; wastewater treatment unit - US_Bath Landfill_n.a.</v>
      </c>
    </row>
    <row r="79" spans="1:13" s="120" customFormat="1" x14ac:dyDescent="0.25">
      <c r="A79" s="119"/>
      <c r="B79" s="138" t="str">
        <f t="shared" si="3"/>
        <v>n.a.</v>
      </c>
      <c r="C79" s="138" t="str">
        <f t="shared" si="4"/>
        <v>Bath Landfill</v>
      </c>
      <c r="D79" s="118" t="s">
        <v>130</v>
      </c>
      <c r="E79" s="118" t="s">
        <v>130</v>
      </c>
      <c r="F79" s="118" t="s">
        <v>45</v>
      </c>
      <c r="G79" s="153"/>
      <c r="H79" s="155">
        <v>8.0000000000000002E-3</v>
      </c>
      <c r="I79" s="160" t="s">
        <v>150</v>
      </c>
      <c r="J79" s="204">
        <v>9.9884700000000006E-6</v>
      </c>
      <c r="K79" s="154" t="s">
        <v>26</v>
      </c>
      <c r="L79" s="154" t="str">
        <f>IF(OpenLCAbasic!K79="CTUh", "Fill in Manually",IF(OR(K79="Unit", K79=""), "", INDEX(LookUps!$E$5:$E$12, MATCH(OpenLCAbasic!K79,LookUps!$D$5:$D$12,0))))</f>
        <v>Water Use (WU) - m3 H2O</v>
      </c>
      <c r="M79" s="154" t="str">
        <f t="shared" si="5"/>
        <v>Base_Base_Legacy_Water Use (WU) - m3 H2O_Screening and Grit Removal - US_Bath Landfill_n.a.</v>
      </c>
    </row>
    <row r="80" spans="1:13" s="120" customFormat="1" x14ac:dyDescent="0.25">
      <c r="A80" s="119"/>
      <c r="B80" s="138" t="str">
        <f t="shared" si="3"/>
        <v>n.a.</v>
      </c>
      <c r="C80" s="138" t="str">
        <f t="shared" si="4"/>
        <v>Bath Landfill</v>
      </c>
      <c r="D80" s="118" t="s">
        <v>130</v>
      </c>
      <c r="E80" s="118" t="s">
        <v>130</v>
      </c>
      <c r="F80" s="118" t="s">
        <v>45</v>
      </c>
      <c r="G80" s="153"/>
      <c r="H80" s="155">
        <v>4.5999999999999999E-3</v>
      </c>
      <c r="I80" s="160" t="s">
        <v>127</v>
      </c>
      <c r="J80" s="204">
        <v>5.7153500000000003E-6</v>
      </c>
      <c r="K80" s="154" t="s">
        <v>26</v>
      </c>
      <c r="L80" s="154" t="str">
        <f>IF(OpenLCAbasic!K80="CTUh", "Fill in Manually",IF(OR(K80="Unit", K80=""), "", INDEX(LookUps!$E$5:$E$12, MATCH(OpenLCAbasic!K80,LookUps!$D$5:$D$12,0))))</f>
        <v>Water Use (WU) - m3 H2O</v>
      </c>
      <c r="M80" s="154" t="str">
        <f t="shared" si="5"/>
        <v>Base_Base_Legacy_Water Use (WU) - m3 H2O_Sludge Thickener; wastewater treatment unit - US_Bath Landfill_n.a.</v>
      </c>
    </row>
    <row r="81" spans="1:13" s="120" customFormat="1" x14ac:dyDescent="0.25">
      <c r="A81" s="119"/>
      <c r="B81" s="138" t="str">
        <f t="shared" si="3"/>
        <v>n.a.</v>
      </c>
      <c r="C81" s="138" t="str">
        <f t="shared" si="4"/>
        <v>Bath Landfill</v>
      </c>
      <c r="D81" s="118" t="s">
        <v>130</v>
      </c>
      <c r="E81" s="118" t="s">
        <v>130</v>
      </c>
      <c r="F81" s="118" t="s">
        <v>45</v>
      </c>
      <c r="G81" s="153"/>
      <c r="H81" s="155">
        <v>4.1000000000000003E-3</v>
      </c>
      <c r="I81" s="160" t="s">
        <v>128</v>
      </c>
      <c r="J81" s="204">
        <v>5.0608900000000003E-6</v>
      </c>
      <c r="K81" s="154" t="s">
        <v>26</v>
      </c>
      <c r="L81" s="154" t="str">
        <f>IF(OpenLCAbasic!K81="CTUh", "Fill in Manually",IF(OR(K81="Unit", K81=""), "", INDEX(LookUps!$E$5:$E$12, MATCH(OpenLCAbasic!K81,LookUps!$D$5:$D$12,0))))</f>
        <v>Water Use (WU) - m3 H2O</v>
      </c>
      <c r="M81" s="154" t="str">
        <f t="shared" si="5"/>
        <v>Base_Base_Legacy_Water Use (WU) - m3 H2O_Wastewater collection; operation and infrastructure; m3 wastewater_Bath Landfill_n.a.</v>
      </c>
    </row>
    <row r="82" spans="1:13" s="120" customFormat="1" x14ac:dyDescent="0.25">
      <c r="A82" s="119"/>
      <c r="B82" s="138" t="str">
        <f t="shared" si="3"/>
        <v>n.a.</v>
      </c>
      <c r="C82" s="138" t="str">
        <f t="shared" si="4"/>
        <v>Bath Landfill</v>
      </c>
      <c r="D82" s="118" t="s">
        <v>130</v>
      </c>
      <c r="E82" s="118" t="s">
        <v>130</v>
      </c>
      <c r="F82" s="118" t="s">
        <v>45</v>
      </c>
      <c r="G82" s="153"/>
      <c r="H82" s="155">
        <v>1.6999999999999999E-3</v>
      </c>
      <c r="I82" s="160" t="s">
        <v>48</v>
      </c>
      <c r="J82" s="204">
        <v>2.14447E-6</v>
      </c>
      <c r="K82" s="154" t="s">
        <v>26</v>
      </c>
      <c r="L82" s="154" t="str">
        <f>IF(OpenLCAbasic!K82="CTUh", "Fill in Manually",IF(OR(K82="Unit", K82=""), "", INDEX(LookUps!$E$5:$E$12, MATCH(OpenLCAbasic!K82,LookUps!$D$5:$D$12,0))))</f>
        <v>Water Use (WU) - m3 H2O</v>
      </c>
      <c r="M82" s="154" t="str">
        <f t="shared" si="5"/>
        <v>Base_Base_Legacy_Water Use (WU) - m3 H2O_Effluent release; wastewater treatment unit; at surface water; m3 wastewater - US_Bath Landfill_n.a.</v>
      </c>
    </row>
    <row r="83" spans="1:13" s="120" customFormat="1" x14ac:dyDescent="0.25">
      <c r="A83" s="119"/>
      <c r="B83" s="138" t="str">
        <f t="shared" si="3"/>
        <v/>
      </c>
      <c r="C83" s="138" t="str">
        <f t="shared" si="4"/>
        <v/>
      </c>
      <c r="D83" s="118"/>
      <c r="E83" s="118"/>
      <c r="F83" s="118"/>
      <c r="G83" s="153" t="s">
        <v>51</v>
      </c>
      <c r="H83" s="155"/>
      <c r="I83" s="160" t="s">
        <v>47</v>
      </c>
      <c r="J83" s="205" t="s">
        <v>52</v>
      </c>
      <c r="K83" s="154" t="s">
        <v>27</v>
      </c>
      <c r="L83" s="154" t="str">
        <f>IF(OpenLCAbasic!K83="CTUh", "Fill in Manually",IF(OR(K83="Unit", K83=""), "", INDEX(LookUps!$E$5:$E$12, MATCH(OpenLCAbasic!K83,LookUps!$D$5:$D$12,0))))</f>
        <v/>
      </c>
      <c r="M83" s="154" t="str">
        <f t="shared" si="5"/>
        <v>____Process__</v>
      </c>
    </row>
    <row r="84" spans="1:13" s="120" customFormat="1" x14ac:dyDescent="0.25">
      <c r="A84" s="119"/>
      <c r="B84" s="138" t="str">
        <f t="shared" si="3"/>
        <v>n.a.</v>
      </c>
      <c r="C84" s="138" t="str">
        <f t="shared" si="4"/>
        <v>Bath Landfill</v>
      </c>
      <c r="D84" s="118" t="s">
        <v>130</v>
      </c>
      <c r="E84" s="118" t="s">
        <v>130</v>
      </c>
      <c r="F84" s="118" t="s">
        <v>45</v>
      </c>
      <c r="G84" s="153"/>
      <c r="H84" s="155">
        <v>0.94630000000000003</v>
      </c>
      <c r="I84" s="160" t="s">
        <v>48</v>
      </c>
      <c r="J84" s="203">
        <v>2.3099999999999999E-2</v>
      </c>
      <c r="K84" s="154" t="s">
        <v>13</v>
      </c>
      <c r="L84" s="154" t="str">
        <f>IF(OpenLCAbasic!K84="CTUh", "Fill in Manually",IF(OR(K84="Unit", K84=""), "", INDEX(LookUps!$E$5:$E$12, MATCH(OpenLCAbasic!K84,LookUps!$D$5:$D$12,0))))</f>
        <v>Eutrophication Potential (EP) - kg N eq</v>
      </c>
      <c r="M84" s="154" t="str">
        <f t="shared" si="5"/>
        <v>Base_Base_Legacy_Eutrophication Potential (EP) - kg N eq_Effluent release; wastewater treatment unit; at surface water; m3 wastewater - US_Bath Landfill_n.a.</v>
      </c>
    </row>
    <row r="85" spans="1:13" s="120" customFormat="1" x14ac:dyDescent="0.25">
      <c r="A85" s="119"/>
      <c r="B85" s="138" t="str">
        <f t="shared" si="3"/>
        <v>n.a.</v>
      </c>
      <c r="C85" s="138" t="str">
        <f t="shared" si="4"/>
        <v>Bath Landfill</v>
      </c>
      <c r="D85" s="118" t="s">
        <v>130</v>
      </c>
      <c r="E85" s="118" t="s">
        <v>130</v>
      </c>
      <c r="F85" s="118" t="s">
        <v>45</v>
      </c>
      <c r="G85" s="153"/>
      <c r="H85" s="155">
        <v>1.7500000000000002E-2</v>
      </c>
      <c r="I85" s="160" t="s">
        <v>126</v>
      </c>
      <c r="J85" s="204">
        <v>4.2999999999999999E-4</v>
      </c>
      <c r="K85" s="154" t="s">
        <v>13</v>
      </c>
      <c r="L85" s="154" t="str">
        <f>IF(OpenLCAbasic!K85="CTUh", "Fill in Manually",IF(OR(K85="Unit", K85=""), "", INDEX(LookUps!$E$5:$E$12, MATCH(OpenLCAbasic!K85,LookUps!$D$5:$D$12,0))))</f>
        <v>Eutrophication Potential (EP) - kg N eq</v>
      </c>
      <c r="M85" s="154" t="str">
        <f t="shared" si="5"/>
        <v>Base_Base_Legacy_Eutrophication Potential (EP) - kg N eq_Primary Clarifier; wastewater treatment unit - US_Bath Landfill_n.a.</v>
      </c>
    </row>
    <row r="86" spans="1:13" s="120" customFormat="1" x14ac:dyDescent="0.25">
      <c r="A86" s="119"/>
      <c r="B86" s="138" t="str">
        <f t="shared" si="3"/>
        <v>n.a.</v>
      </c>
      <c r="C86" s="138" t="str">
        <f t="shared" si="4"/>
        <v>Bath Landfill</v>
      </c>
      <c r="D86" s="118" t="s">
        <v>130</v>
      </c>
      <c r="E86" s="118" t="s">
        <v>130</v>
      </c>
      <c r="F86" s="118" t="s">
        <v>45</v>
      </c>
      <c r="G86" s="153"/>
      <c r="H86" s="155">
        <v>1.7299999999999999E-2</v>
      </c>
      <c r="I86" s="160" t="s">
        <v>124</v>
      </c>
      <c r="J86" s="204">
        <v>4.2000000000000002E-4</v>
      </c>
      <c r="K86" s="154" t="s">
        <v>13</v>
      </c>
      <c r="L86" s="154" t="str">
        <f>IF(OpenLCAbasic!K86="CTUh", "Fill in Manually",IF(OR(K86="Unit", K86=""), "", INDEX(LookUps!$E$5:$E$12, MATCH(OpenLCAbasic!K86,LookUps!$D$5:$D$12,0))))</f>
        <v>Eutrophication Potential (EP) - kg N eq</v>
      </c>
      <c r="M86" s="154" t="str">
        <f t="shared" si="5"/>
        <v>Base_Base_Legacy_Eutrophication Potential (EP) - kg N eq_Aeration Tanks; wastewater treatment unit - US_Bath Landfill_n.a.</v>
      </c>
    </row>
    <row r="87" spans="1:13" s="120" customFormat="1" x14ac:dyDescent="0.25">
      <c r="A87" s="119"/>
      <c r="B87" s="138" t="str">
        <f t="shared" si="3"/>
        <v>n.a.</v>
      </c>
      <c r="C87" s="138" t="str">
        <f t="shared" si="4"/>
        <v>Bath Landfill</v>
      </c>
      <c r="D87" s="118" t="s">
        <v>130</v>
      </c>
      <c r="E87" s="118" t="s">
        <v>130</v>
      </c>
      <c r="F87" s="118" t="s">
        <v>45</v>
      </c>
      <c r="G87" s="153"/>
      <c r="H87" s="155">
        <v>1.7000000000000001E-2</v>
      </c>
      <c r="I87" s="160" t="s">
        <v>125</v>
      </c>
      <c r="J87" s="204">
        <v>4.2000000000000002E-4</v>
      </c>
      <c r="K87" s="154" t="s">
        <v>13</v>
      </c>
      <c r="L87" s="154" t="str">
        <f>IF(OpenLCAbasic!K87="CTUh", "Fill in Manually",IF(OR(K87="Unit", K87=""), "", INDEX(LookUps!$E$5:$E$12, MATCH(OpenLCAbasic!K87,LookUps!$D$5:$D$12,0))))</f>
        <v>Eutrophication Potential (EP) - kg N eq</v>
      </c>
      <c r="M87" s="154" t="str">
        <f t="shared" si="5"/>
        <v>Base_Base_Legacy_Eutrophication Potential (EP) - kg N eq_Aerobic Digester; wastewater treatment unit - US_Bath Landfill_n.a.</v>
      </c>
    </row>
    <row r="88" spans="1:13" s="120" customFormat="1" x14ac:dyDescent="0.25">
      <c r="A88" s="119"/>
      <c r="B88" s="138" t="str">
        <f t="shared" si="3"/>
        <v>n.a.</v>
      </c>
      <c r="C88" s="138" t="str">
        <f t="shared" si="4"/>
        <v>Bath Landfill</v>
      </c>
      <c r="D88" s="118" t="s">
        <v>130</v>
      </c>
      <c r="E88" s="118" t="s">
        <v>130</v>
      </c>
      <c r="F88" s="118" t="s">
        <v>45</v>
      </c>
      <c r="G88" s="153"/>
      <c r="H88" s="155">
        <v>1.5E-3</v>
      </c>
      <c r="I88" s="160" t="s">
        <v>128</v>
      </c>
      <c r="J88" s="204">
        <v>3.7559799999999999E-5</v>
      </c>
      <c r="K88" s="154" t="s">
        <v>13</v>
      </c>
      <c r="L88" s="154" t="str">
        <f>IF(OpenLCAbasic!K88="CTUh", "Fill in Manually",IF(OR(K88="Unit", K88=""), "", INDEX(LookUps!$E$5:$E$12, MATCH(OpenLCAbasic!K88,LookUps!$D$5:$D$12,0))))</f>
        <v>Eutrophication Potential (EP) - kg N eq</v>
      </c>
      <c r="M88" s="154" t="str">
        <f t="shared" si="5"/>
        <v>Base_Base_Legacy_Eutrophication Potential (EP) - kg N eq_Wastewater collection; operation and infrastructure; m3 wastewater_Bath Landfill_n.a.</v>
      </c>
    </row>
    <row r="89" spans="1:13" s="120" customFormat="1" x14ac:dyDescent="0.25">
      <c r="A89" s="119"/>
      <c r="B89" s="138" t="str">
        <f t="shared" si="3"/>
        <v>n.a.</v>
      </c>
      <c r="C89" s="138" t="str">
        <f t="shared" si="4"/>
        <v>Bath Landfill</v>
      </c>
      <c r="D89" s="118" t="s">
        <v>130</v>
      </c>
      <c r="E89" s="118" t="s">
        <v>130</v>
      </c>
      <c r="F89" s="118" t="s">
        <v>45</v>
      </c>
      <c r="G89" s="153"/>
      <c r="H89" s="155">
        <v>1.4E-3</v>
      </c>
      <c r="I89" s="160" t="s">
        <v>56</v>
      </c>
      <c r="J89" s="204">
        <v>3.3376800000000002E-5</v>
      </c>
      <c r="K89" s="154" t="s">
        <v>13</v>
      </c>
      <c r="L89" s="154" t="str">
        <f>IF(OpenLCAbasic!K89="CTUh", "Fill in Manually",IF(OR(K89="Unit", K89=""), "", INDEX(LookUps!$E$5:$E$12, MATCH(OpenLCAbasic!K89,LookUps!$D$5:$D$12,0))))</f>
        <v>Eutrophication Potential (EP) - kg N eq</v>
      </c>
      <c r="M89" s="154" t="str">
        <f t="shared" si="5"/>
        <v>Base_Base_Legacy_Eutrophication Potential (EP) - kg N eq_Control Building; at wastewater treatment plant - US_Bath Landfill_n.a.</v>
      </c>
    </row>
    <row r="90" spans="1:13" s="120" customFormat="1" x14ac:dyDescent="0.25">
      <c r="A90" s="119"/>
      <c r="B90" s="138" t="str">
        <f t="shared" si="3"/>
        <v>n.a.</v>
      </c>
      <c r="C90" s="138" t="str">
        <f t="shared" si="4"/>
        <v>Bath Landfill</v>
      </c>
      <c r="D90" s="118" t="s">
        <v>130</v>
      </c>
      <c r="E90" s="118" t="s">
        <v>130</v>
      </c>
      <c r="F90" s="118" t="s">
        <v>45</v>
      </c>
      <c r="G90" s="153"/>
      <c r="H90" s="155">
        <v>1.1000000000000001E-3</v>
      </c>
      <c r="I90" s="160" t="s">
        <v>123</v>
      </c>
      <c r="J90" s="204">
        <v>2.6429899999999999E-5</v>
      </c>
      <c r="K90" s="154" t="s">
        <v>13</v>
      </c>
      <c r="L90" s="154" t="str">
        <f>IF(OpenLCAbasic!K90="CTUh", "Fill in Manually",IF(OR(K90="Unit", K90=""), "", INDEX(LookUps!$E$5:$E$12, MATCH(OpenLCAbasic!K90,LookUps!$D$5:$D$12,0))))</f>
        <v>Eutrophication Potential (EP) - kg N eq</v>
      </c>
      <c r="M90" s="154" t="str">
        <f t="shared" si="5"/>
        <v>Base_Base_Legacy_Eutrophication Potential (EP) - kg N eq_Belt filter press; wastewater treatment unit - US_Bath Landfill_n.a.</v>
      </c>
    </row>
    <row r="91" spans="1:13" s="120" customFormat="1" x14ac:dyDescent="0.25">
      <c r="A91" s="119"/>
      <c r="B91" s="138" t="str">
        <f t="shared" si="3"/>
        <v>n.a.</v>
      </c>
      <c r="C91" s="138" t="str">
        <f t="shared" si="4"/>
        <v>Bath Landfill</v>
      </c>
      <c r="D91" s="118" t="s">
        <v>130</v>
      </c>
      <c r="E91" s="118" t="s">
        <v>130</v>
      </c>
      <c r="F91" s="118" t="s">
        <v>45</v>
      </c>
      <c r="G91" s="153"/>
      <c r="H91" s="155">
        <v>1E-3</v>
      </c>
      <c r="I91" s="160" t="s">
        <v>150</v>
      </c>
      <c r="J91" s="204">
        <v>2.4301600000000001E-5</v>
      </c>
      <c r="K91" s="154" t="s">
        <v>13</v>
      </c>
      <c r="L91" s="154" t="str">
        <f>IF(OpenLCAbasic!K91="CTUh", "Fill in Manually",IF(OR(K91="Unit", K91=""), "", INDEX(LookUps!$E$5:$E$12, MATCH(OpenLCAbasic!K91,LookUps!$D$5:$D$12,0))))</f>
        <v>Eutrophication Potential (EP) - kg N eq</v>
      </c>
      <c r="M91" s="154" t="str">
        <f t="shared" si="5"/>
        <v>Base_Base_Legacy_Eutrophication Potential (EP) - kg N eq_Screening and Grit Removal - US_Bath Landfill_n.a.</v>
      </c>
    </row>
    <row r="92" spans="1:13" s="120" customFormat="1" x14ac:dyDescent="0.25">
      <c r="A92" s="119"/>
      <c r="B92" s="138" t="str">
        <f t="shared" si="3"/>
        <v>n.a.</v>
      </c>
      <c r="C92" s="138" t="str">
        <f t="shared" si="4"/>
        <v>Bath Landfill</v>
      </c>
      <c r="D92" s="118" t="s">
        <v>130</v>
      </c>
      <c r="E92" s="118" t="s">
        <v>130</v>
      </c>
      <c r="F92" s="118" t="s">
        <v>45</v>
      </c>
      <c r="G92" s="153"/>
      <c r="H92" s="155">
        <v>1E-4</v>
      </c>
      <c r="I92" s="160" t="s">
        <v>127</v>
      </c>
      <c r="J92" s="204">
        <v>3.0418400000000001E-6</v>
      </c>
      <c r="K92" s="154" t="s">
        <v>13</v>
      </c>
      <c r="L92" s="154" t="str">
        <f>IF(OpenLCAbasic!K92="CTUh", "Fill in Manually",IF(OR(K92="Unit", K92=""), "", INDEX(LookUps!$E$5:$E$12, MATCH(OpenLCAbasic!K92,LookUps!$D$5:$D$12,0))))</f>
        <v>Eutrophication Potential (EP) - kg N eq</v>
      </c>
      <c r="M92" s="154" t="str">
        <f t="shared" si="5"/>
        <v>Base_Base_Legacy_Eutrophication Potential (EP) - kg N eq_Sludge Thickener; wastewater treatment unit - US_Bath Landfill_n.a.</v>
      </c>
    </row>
    <row r="93" spans="1:13" s="120" customFormat="1" x14ac:dyDescent="0.25">
      <c r="A93" s="119"/>
      <c r="B93" s="138" t="str">
        <f t="shared" si="3"/>
        <v>n.a.</v>
      </c>
      <c r="C93" s="138" t="str">
        <f t="shared" si="4"/>
        <v>Bath Landfill</v>
      </c>
      <c r="D93" s="118" t="s">
        <v>130</v>
      </c>
      <c r="E93" s="118" t="s">
        <v>130</v>
      </c>
      <c r="F93" s="118" t="s">
        <v>45</v>
      </c>
      <c r="G93" s="153"/>
      <c r="H93" s="155">
        <v>-3.2000000000000002E-3</v>
      </c>
      <c r="I93" s="160" t="s">
        <v>151</v>
      </c>
      <c r="J93" s="204">
        <v>-7.8219699999999999E-5</v>
      </c>
      <c r="K93" s="154" t="s">
        <v>13</v>
      </c>
      <c r="L93" s="154" t="str">
        <f>IF(OpenLCAbasic!K93="CTUh", "Fill in Manually",IF(OR(K93="Unit", K93=""), "", INDEX(LookUps!$E$5:$E$12, MATCH(OpenLCAbasic!K93,LookUps!$D$5:$D$12,0))))</f>
        <v>Eutrophication Potential (EP) - kg N eq</v>
      </c>
      <c r="M93" s="154" t="str">
        <f t="shared" si="5"/>
        <v>Base_Base_Legacy_Eutrophication Potential (EP) - kg N eq_Sludge Disposal; wastewater treatment unit - US_Bath Landfill_n.a.</v>
      </c>
    </row>
    <row r="94" spans="1:13" s="120" customFormat="1" x14ac:dyDescent="0.25">
      <c r="A94" s="119"/>
      <c r="B94" s="138" t="str">
        <f t="shared" si="3"/>
        <v/>
      </c>
      <c r="C94" s="138" t="str">
        <f t="shared" si="4"/>
        <v/>
      </c>
      <c r="D94" s="118"/>
      <c r="E94" s="118"/>
      <c r="F94" s="118"/>
      <c r="G94" s="153" t="s">
        <v>51</v>
      </c>
      <c r="H94" s="155"/>
      <c r="I94" s="160" t="s">
        <v>47</v>
      </c>
      <c r="J94" s="158" t="s">
        <v>52</v>
      </c>
      <c r="K94" s="154" t="s">
        <v>27</v>
      </c>
      <c r="L94" s="154" t="str">
        <f>IF(OpenLCAbasic!K94="CTUh", "Fill in Manually",IF(OR(K94="Unit", K94=""), "", INDEX(LookUps!$E$5:$E$12, MATCH(OpenLCAbasic!K94,LookUps!$D$5:$D$12,0))))</f>
        <v/>
      </c>
      <c r="M94" s="154" t="str">
        <f t="shared" si="5"/>
        <v>____Process__</v>
      </c>
    </row>
    <row r="95" spans="1:13" s="120" customFormat="1" x14ac:dyDescent="0.25">
      <c r="A95" s="119"/>
      <c r="B95" s="138" t="str">
        <f t="shared" si="3"/>
        <v>Windrow</v>
      </c>
      <c r="C95" s="138" t="str">
        <f t="shared" ref="C95:C158" si="6">IF(E95&lt;&gt;"", "Base_With Amendment","")</f>
        <v>Base_With Amendment</v>
      </c>
      <c r="D95" s="118" t="s">
        <v>130</v>
      </c>
      <c r="E95" s="118" t="s">
        <v>130</v>
      </c>
      <c r="F95" s="118" t="s">
        <v>46</v>
      </c>
      <c r="G95" s="153"/>
      <c r="H95" s="155">
        <v>0.75570000000000004</v>
      </c>
      <c r="I95" s="160" t="s">
        <v>271</v>
      </c>
      <c r="J95" s="203">
        <v>0.73433000000000004</v>
      </c>
      <c r="K95" s="154" t="s">
        <v>23</v>
      </c>
      <c r="L95" s="154" t="str">
        <f>IF(OpenLCAbasic!K95="CTUh", "Fill in Manually",IF(OR(K95="Unit", K95=""), "", INDEX(LookUps!$E$5:$E$12, MATCH(OpenLCAbasic!K95,LookUps!$D$5:$D$12,0))))</f>
        <v>Global Warming Potential (GWP) - kg CO2 eq</v>
      </c>
      <c r="M95" s="154" t="str">
        <f t="shared" si="5"/>
        <v>Base_Base_Upgraded_Global Warming Potential (GWP) - kg CO2 eq_Biosolids composting; windrow composting; wastewater treatment unit; at updated plant - US_Base_With Amendment_Windrow</v>
      </c>
    </row>
    <row r="96" spans="1:13" s="120" customFormat="1" x14ac:dyDescent="0.25">
      <c r="A96" s="119"/>
      <c r="B96" s="138" t="str">
        <f t="shared" si="3"/>
        <v>Windrow</v>
      </c>
      <c r="C96" s="138" t="str">
        <f t="shared" si="6"/>
        <v>Base_With Amendment</v>
      </c>
      <c r="D96" s="118" t="s">
        <v>130</v>
      </c>
      <c r="E96" s="118" t="s">
        <v>130</v>
      </c>
      <c r="F96" s="118" t="s">
        <v>46</v>
      </c>
      <c r="G96" s="153"/>
      <c r="H96" s="155">
        <v>0.24990000000000001</v>
      </c>
      <c r="I96" s="160" t="s">
        <v>58</v>
      </c>
      <c r="J96" s="203">
        <v>0.24279999999999999</v>
      </c>
      <c r="K96" s="154" t="s">
        <v>23</v>
      </c>
      <c r="L96" s="154" t="str">
        <f>IF(OpenLCAbasic!K96="CTUh", "Fill in Manually",IF(OR(K96="Unit", K96=""), "", INDEX(LookUps!$E$5:$E$12, MATCH(OpenLCAbasic!K96,LookUps!$D$5:$D$12,0))))</f>
        <v>Global Warming Potential (GWP) - kg CO2 eq</v>
      </c>
      <c r="M96" s="154" t="str">
        <f t="shared" si="5"/>
        <v>Base_Base_Upgraded_Global Warming Potential (GWP) - kg CO2 eq_Pre-Anoxic &amp; Swing tank; wastewater treatment unit; at updated plant - US_Base_With Amendment_Windrow</v>
      </c>
    </row>
    <row r="97" spans="1:13" s="120" customFormat="1" x14ac:dyDescent="0.25">
      <c r="A97" s="119"/>
      <c r="B97" s="138" t="str">
        <f t="shared" si="3"/>
        <v>Windrow</v>
      </c>
      <c r="C97" s="138" t="str">
        <f t="shared" si="6"/>
        <v>Base_With Amendment</v>
      </c>
      <c r="D97" s="118" t="s">
        <v>130</v>
      </c>
      <c r="E97" s="118" t="s">
        <v>130</v>
      </c>
      <c r="F97" s="118" t="s">
        <v>46</v>
      </c>
      <c r="G97" s="153"/>
      <c r="H97" s="155">
        <v>0.1731</v>
      </c>
      <c r="I97" s="160" t="s">
        <v>55</v>
      </c>
      <c r="J97" s="203">
        <v>0.16822000000000001</v>
      </c>
      <c r="K97" s="154" t="s">
        <v>23</v>
      </c>
      <c r="L97" s="154" t="str">
        <f>IF(OpenLCAbasic!K97="CTUh", "Fill in Manually",IF(OR(K97="Unit", K97=""), "", INDEX(LookUps!$E$5:$E$12, MATCH(OpenLCAbasic!K97,LookUps!$D$5:$D$12,0))))</f>
        <v>Global Warming Potential (GWP) - kg CO2 eq</v>
      </c>
      <c r="M97" s="154" t="str">
        <f t="shared" si="5"/>
        <v>Base_Base_Upgraded_Global Warming Potential (GWP) - kg CO2 eq_Aeration Tanks; wastewater treatment unit; at updated plant - US_Base_With Amendment_Windrow</v>
      </c>
    </row>
    <row r="98" spans="1:13" s="120" customFormat="1" x14ac:dyDescent="0.25">
      <c r="A98" s="119"/>
      <c r="B98" s="138" t="str">
        <f t="shared" si="3"/>
        <v>Windrow</v>
      </c>
      <c r="C98" s="138" t="str">
        <f t="shared" si="6"/>
        <v>Base_With Amendment</v>
      </c>
      <c r="D98" s="118" t="s">
        <v>130</v>
      </c>
      <c r="E98" s="118" t="s">
        <v>130</v>
      </c>
      <c r="F98" s="118" t="s">
        <v>46</v>
      </c>
      <c r="G98" s="153"/>
      <c r="H98" s="155">
        <v>0.10539999999999999</v>
      </c>
      <c r="I98" s="160" t="s">
        <v>167</v>
      </c>
      <c r="J98" s="203">
        <v>0.10241</v>
      </c>
      <c r="K98" s="154" t="s">
        <v>23</v>
      </c>
      <c r="L98" s="154" t="str">
        <f>IF(OpenLCAbasic!K98="CTUh", "Fill in Manually",IF(OR(K98="Unit", K98=""), "", INDEX(LookUps!$E$5:$E$12, MATCH(OpenLCAbasic!K98,LookUps!$D$5:$D$12,0))))</f>
        <v>Global Warming Potential (GWP) - kg CO2 eq</v>
      </c>
      <c r="M98" s="154" t="str">
        <f t="shared" si="5"/>
        <v>Base_Base_Upgraded_Global Warming Potential (GWP) - kg CO2 eq_Waste Receiving and Holding; wastewater treatment unit; at updated plant - US_Base_With Amendment_Windrow</v>
      </c>
    </row>
    <row r="99" spans="1:13" s="120" customFormat="1" x14ac:dyDescent="0.25">
      <c r="A99" s="119"/>
      <c r="B99" s="138" t="str">
        <f t="shared" si="3"/>
        <v>Windrow</v>
      </c>
      <c r="C99" s="138" t="str">
        <f t="shared" si="6"/>
        <v>Base_With Amendment</v>
      </c>
      <c r="D99" s="118" t="s">
        <v>130</v>
      </c>
      <c r="E99" s="118" t="s">
        <v>130</v>
      </c>
      <c r="F99" s="118" t="s">
        <v>46</v>
      </c>
      <c r="G99" s="153"/>
      <c r="H99" s="155">
        <v>5.8700000000000002E-2</v>
      </c>
      <c r="I99" s="160" t="s">
        <v>54</v>
      </c>
      <c r="J99" s="203">
        <v>5.7079999999999999E-2</v>
      </c>
      <c r="K99" s="154" t="s">
        <v>23</v>
      </c>
      <c r="L99" s="154" t="str">
        <f>IF(OpenLCAbasic!K99="CTUh", "Fill in Manually",IF(OR(K99="Unit", K99=""), "", INDEX(LookUps!$E$5:$E$12, MATCH(OpenLCAbasic!K99,LookUps!$D$5:$D$12,0))))</f>
        <v>Global Warming Potential (GWP) - kg CO2 eq</v>
      </c>
      <c r="M99" s="154" t="str">
        <f t="shared" si="5"/>
        <v>Base_Base_Upgraded_Global Warming Potential (GWP) - kg CO2 eq_Clear Cove Primary Clarification; wastewater treatment unit; at updated plant - US_Base_With Amendment_Windrow</v>
      </c>
    </row>
    <row r="100" spans="1:13" s="120" customFormat="1" x14ac:dyDescent="0.25">
      <c r="A100" s="119"/>
      <c r="B100" s="138" t="str">
        <f t="shared" si="3"/>
        <v>Windrow</v>
      </c>
      <c r="C100" s="138" t="str">
        <f t="shared" si="6"/>
        <v>Base_With Amendment</v>
      </c>
      <c r="D100" s="118" t="s">
        <v>130</v>
      </c>
      <c r="E100" s="118" t="s">
        <v>130</v>
      </c>
      <c r="F100" s="118" t="s">
        <v>46</v>
      </c>
      <c r="G100" s="153"/>
      <c r="H100" s="155">
        <v>5.4199999999999998E-2</v>
      </c>
      <c r="I100" s="160" t="s">
        <v>48</v>
      </c>
      <c r="J100" s="203">
        <v>5.2639999999999999E-2</v>
      </c>
      <c r="K100" s="154" t="s">
        <v>23</v>
      </c>
      <c r="L100" s="154" t="str">
        <f>IF(OpenLCAbasic!K100="CTUh", "Fill in Manually",IF(OR(K100="Unit", K100=""), "", INDEX(LookUps!$E$5:$E$12, MATCH(OpenLCAbasic!K100,LookUps!$D$5:$D$12,0))))</f>
        <v>Global Warming Potential (GWP) - kg CO2 eq</v>
      </c>
      <c r="M100" s="154" t="str">
        <f t="shared" si="5"/>
        <v>Base_Base_Upgraded_Global Warming Potential (GWP) - kg CO2 eq_Effluent release; wastewater treatment unit; at surface water; m3 wastewater - US_Base_With Amendment_Windrow</v>
      </c>
    </row>
    <row r="101" spans="1:13" s="120" customFormat="1" x14ac:dyDescent="0.25">
      <c r="A101" s="119"/>
      <c r="B101" s="138" t="str">
        <f t="shared" si="3"/>
        <v>Windrow</v>
      </c>
      <c r="C101" s="138" t="str">
        <f t="shared" si="6"/>
        <v>Base_With Amendment</v>
      </c>
      <c r="D101" s="118" t="s">
        <v>130</v>
      </c>
      <c r="E101" s="118" t="s">
        <v>130</v>
      </c>
      <c r="F101" s="118" t="s">
        <v>46</v>
      </c>
      <c r="G101" s="153"/>
      <c r="H101" s="155">
        <v>5.1999999999999998E-2</v>
      </c>
      <c r="I101" s="160" t="s">
        <v>147</v>
      </c>
      <c r="J101" s="203">
        <v>5.0500000000000003E-2</v>
      </c>
      <c r="K101" s="154" t="s">
        <v>23</v>
      </c>
      <c r="L101" s="154" t="str">
        <f>IF(OpenLCAbasic!K101="CTUh", "Fill in Manually",IF(OR(K101="Unit", K101=""), "", INDEX(LookUps!$E$5:$E$12, MATCH(OpenLCAbasic!K101,LookUps!$D$5:$D$12,0))))</f>
        <v>Global Warming Potential (GWP) - kg CO2 eq</v>
      </c>
      <c r="M101" s="154" t="str">
        <f t="shared" si="5"/>
        <v>Base_Base_Upgraded_Global Warming Potential (GWP) - kg CO2 eq_Influent Pump Station; wastewater treatment unit; at updated plant - US_Base_With Amendment_Windrow</v>
      </c>
    </row>
    <row r="102" spans="1:13" s="120" customFormat="1" x14ac:dyDescent="0.25">
      <c r="A102" s="119"/>
      <c r="B102" s="138" t="str">
        <f t="shared" si="3"/>
        <v>Windrow</v>
      </c>
      <c r="C102" s="138" t="str">
        <f t="shared" si="6"/>
        <v>Base_With Amendment</v>
      </c>
      <c r="D102" s="118" t="s">
        <v>130</v>
      </c>
      <c r="E102" s="118" t="s">
        <v>130</v>
      </c>
      <c r="F102" s="118" t="s">
        <v>46</v>
      </c>
      <c r="G102" s="153"/>
      <c r="H102" s="155">
        <v>3.4200000000000001E-2</v>
      </c>
      <c r="I102" s="160" t="s">
        <v>53</v>
      </c>
      <c r="J102" s="203">
        <v>3.3259999999999998E-2</v>
      </c>
      <c r="K102" s="154" t="s">
        <v>23</v>
      </c>
      <c r="L102" s="154" t="str">
        <f>IF(OpenLCAbasic!K102="CTUh", "Fill in Manually",IF(OR(K102="Unit", K102=""), "", INDEX(LookUps!$E$5:$E$12, MATCH(OpenLCAbasic!K102,LookUps!$D$5:$D$12,0))))</f>
        <v>Global Warming Potential (GWP) - kg CO2 eq</v>
      </c>
      <c r="M102" s="154" t="str">
        <f t="shared" si="5"/>
        <v>Base_Base_Upgraded_Global Warming Potential (GWP) - kg CO2 eq_Wet Well and Sump Station; wastewater treatment unit; at updated plant - US_Base_With Amendment_Windrow</v>
      </c>
    </row>
    <row r="103" spans="1:13" s="120" customFormat="1" x14ac:dyDescent="0.25">
      <c r="A103" s="119"/>
      <c r="B103" s="138" t="str">
        <f t="shared" si="3"/>
        <v>Windrow</v>
      </c>
      <c r="C103" s="138" t="str">
        <f t="shared" si="6"/>
        <v>Base_With Amendment</v>
      </c>
      <c r="D103" s="118" t="s">
        <v>130</v>
      </c>
      <c r="E103" s="118" t="s">
        <v>130</v>
      </c>
      <c r="F103" s="118" t="s">
        <v>46</v>
      </c>
      <c r="G103" s="153"/>
      <c r="H103" s="155">
        <v>1.4999999999999999E-2</v>
      </c>
      <c r="I103" s="160" t="s">
        <v>57</v>
      </c>
      <c r="J103" s="203">
        <v>1.455E-2</v>
      </c>
      <c r="K103" s="154" t="s">
        <v>23</v>
      </c>
      <c r="L103" s="154" t="str">
        <f>IF(OpenLCAbasic!K103="CTUh", "Fill in Manually",IF(OR(K103="Unit", K103=""), "", INDEX(LookUps!$E$5:$E$12, MATCH(OpenLCAbasic!K103,LookUps!$D$5:$D$12,0))))</f>
        <v>Global Warming Potential (GWP) - kg CO2 eq</v>
      </c>
      <c r="M103" s="154" t="str">
        <f t="shared" si="5"/>
        <v>Base_Base_Upgraded_Global Warming Potential (GWP) - kg CO2 eq_Gravity Belt Thickener; wastewater treatment unit; at updated plant - US_Base_With Amendment_Windrow</v>
      </c>
    </row>
    <row r="104" spans="1:13" s="120" customFormat="1" x14ac:dyDescent="0.25">
      <c r="A104" s="119"/>
      <c r="B104" s="138" t="str">
        <f t="shared" si="3"/>
        <v>Windrow</v>
      </c>
      <c r="C104" s="138" t="str">
        <f t="shared" si="6"/>
        <v>Base_With Amendment</v>
      </c>
      <c r="D104" s="118" t="s">
        <v>130</v>
      </c>
      <c r="E104" s="118" t="s">
        <v>130</v>
      </c>
      <c r="F104" s="118" t="s">
        <v>46</v>
      </c>
      <c r="G104" s="153"/>
      <c r="H104" s="155">
        <v>1.3899999999999999E-2</v>
      </c>
      <c r="I104" s="160" t="s">
        <v>128</v>
      </c>
      <c r="J104" s="203">
        <v>1.3509999999999999E-2</v>
      </c>
      <c r="K104" s="154" t="s">
        <v>23</v>
      </c>
      <c r="L104" s="154" t="str">
        <f>IF(OpenLCAbasic!K104="CTUh", "Fill in Manually",IF(OR(K104="Unit", K104=""), "", INDEX(LookUps!$E$5:$E$12, MATCH(OpenLCAbasic!K104,LookUps!$D$5:$D$12,0))))</f>
        <v>Global Warming Potential (GWP) - kg CO2 eq</v>
      </c>
      <c r="M104" s="154" t="str">
        <f t="shared" si="5"/>
        <v>Base_Base_Upgraded_Global Warming Potential (GWP) - kg CO2 eq_Wastewater collection; operation and infrastructure; m3 wastewater_Base_With Amendment_Windrow</v>
      </c>
    </row>
    <row r="105" spans="1:13" s="120" customFormat="1" x14ac:dyDescent="0.25">
      <c r="A105" s="119"/>
      <c r="B105" s="138" t="str">
        <f t="shared" si="3"/>
        <v>Windrow</v>
      </c>
      <c r="C105" s="138" t="str">
        <f t="shared" si="6"/>
        <v>Base_With Amendment</v>
      </c>
      <c r="D105" s="118" t="s">
        <v>130</v>
      </c>
      <c r="E105" s="118" t="s">
        <v>130</v>
      </c>
      <c r="F105" s="118" t="s">
        <v>46</v>
      </c>
      <c r="G105" s="153"/>
      <c r="H105" s="155">
        <v>1.3100000000000001E-2</v>
      </c>
      <c r="I105" s="160" t="s">
        <v>60</v>
      </c>
      <c r="J105" s="203">
        <v>1.278E-2</v>
      </c>
      <c r="K105" s="154" t="s">
        <v>23</v>
      </c>
      <c r="L105" s="154" t="str">
        <f>IF(OpenLCAbasic!K105="CTUh", "Fill in Manually",IF(OR(K105="Unit", K105=""), "", INDEX(LookUps!$E$5:$E$12, MATCH(OpenLCAbasic!K105,LookUps!$D$5:$D$12,0))))</f>
        <v>Global Warming Potential (GWP) - kg CO2 eq</v>
      </c>
      <c r="M105" s="154" t="str">
        <f t="shared" si="5"/>
        <v>Base_Base_Upgraded_Global Warming Potential (GWP) - kg CO2 eq_Belt filter press; wastewater treatment unit; at updated plant - US_Base_With Amendment_Windrow</v>
      </c>
    </row>
    <row r="106" spans="1:13" s="120" customFormat="1" x14ac:dyDescent="0.25">
      <c r="A106" s="119"/>
      <c r="B106" s="138" t="str">
        <f t="shared" si="3"/>
        <v>Windrow</v>
      </c>
      <c r="C106" s="138" t="str">
        <f t="shared" si="6"/>
        <v>Base_With Amendment</v>
      </c>
      <c r="D106" s="118" t="s">
        <v>130</v>
      </c>
      <c r="E106" s="118" t="s">
        <v>130</v>
      </c>
      <c r="F106" s="118" t="s">
        <v>46</v>
      </c>
      <c r="G106" s="153"/>
      <c r="H106" s="155">
        <v>8.5000000000000006E-3</v>
      </c>
      <c r="I106" s="160" t="s">
        <v>148</v>
      </c>
      <c r="J106" s="204">
        <v>8.3000000000000001E-3</v>
      </c>
      <c r="K106" s="154" t="s">
        <v>23</v>
      </c>
      <c r="L106" s="154" t="str">
        <f>IF(OpenLCAbasic!K106="CTUh", "Fill in Manually",IF(OR(K106="Unit", K106=""), "", INDEX(LookUps!$E$5:$E$12, MATCH(OpenLCAbasic!K106,LookUps!$D$5:$D$12,0))))</f>
        <v>Global Warming Potential (GWP) - kg CO2 eq</v>
      </c>
      <c r="M106" s="154" t="str">
        <f t="shared" si="5"/>
        <v>Base_Base_Upgraded_Global Warming Potential (GWP) - kg CO2 eq_Control Building; at upgraded wastewater treatment plant - US_Base_With Amendment_Windrow</v>
      </c>
    </row>
    <row r="107" spans="1:13" s="120" customFormat="1" x14ac:dyDescent="0.25">
      <c r="A107" s="119"/>
      <c r="B107" s="138" t="str">
        <f t="shared" si="3"/>
        <v>Windrow</v>
      </c>
      <c r="C107" s="138" t="str">
        <f>IF(E107&lt;&gt;"", "Base_With Amendment","")</f>
        <v>Base_With Amendment</v>
      </c>
      <c r="D107" s="118" t="s">
        <v>130</v>
      </c>
      <c r="E107" s="118" t="s">
        <v>130</v>
      </c>
      <c r="F107" s="118" t="s">
        <v>46</v>
      </c>
      <c r="G107" s="153"/>
      <c r="H107" s="155">
        <v>5.1999999999999998E-3</v>
      </c>
      <c r="I107" s="160" t="s">
        <v>59</v>
      </c>
      <c r="J107" s="204">
        <v>5.0400000000000002E-3</v>
      </c>
      <c r="K107" s="154" t="s">
        <v>23</v>
      </c>
      <c r="L107" s="154" t="str">
        <f>IF(OpenLCAbasic!K107="CTUh", "Fill in Manually",IF(OR(K107="Unit", K107=""), "", INDEX(LookUps!$E$5:$E$12, MATCH(OpenLCAbasic!K107,LookUps!$D$5:$D$12,0))))</f>
        <v>Global Warming Potential (GWP) - kg CO2 eq</v>
      </c>
      <c r="M107" s="154" t="str">
        <f t="shared" si="5"/>
        <v>Base_Base_Upgraded_Global Warming Potential (GWP) - kg CO2 eq_Blend Tank; wastewater treatment unit; at updated plant - US_Base_With Amendment_Windrow</v>
      </c>
    </row>
    <row r="108" spans="1:13" s="120" customFormat="1" x14ac:dyDescent="0.25">
      <c r="A108" s="119"/>
      <c r="B108" s="138" t="str">
        <f t="shared" si="3"/>
        <v>Windrow</v>
      </c>
      <c r="C108" s="138" t="str">
        <f t="shared" si="6"/>
        <v>Base_With Amendment</v>
      </c>
      <c r="D108" s="118" t="s">
        <v>130</v>
      </c>
      <c r="E108" s="118" t="s">
        <v>130</v>
      </c>
      <c r="F108" s="118" t="s">
        <v>46</v>
      </c>
      <c r="G108" s="153"/>
      <c r="H108" s="155">
        <v>2.5000000000000001E-3</v>
      </c>
      <c r="I108" s="160" t="s">
        <v>168</v>
      </c>
      <c r="J108" s="204">
        <v>2.4099999999999998E-3</v>
      </c>
      <c r="K108" s="154" t="s">
        <v>23</v>
      </c>
      <c r="L108" s="154" t="str">
        <f>IF(OpenLCAbasic!K108="CTUh", "Fill in Manually",IF(OR(K108="Unit", K108=""), "", INDEX(LookUps!$E$5:$E$12, MATCH(OpenLCAbasic!K108,LookUps!$D$5:$D$12,0))))</f>
        <v>Global Warming Potential (GWP) - kg CO2 eq</v>
      </c>
      <c r="M108" s="154" t="str">
        <f t="shared" si="5"/>
        <v>Base_Base_Upgraded_Global Warming Potential (GWP) - kg CO2 eq_ClearCove SCP; wastewater treatment unit; at updated plant - US_Base_With Amendment_Windrow</v>
      </c>
    </row>
    <row r="109" spans="1:13" s="120" customFormat="1" x14ac:dyDescent="0.25">
      <c r="A109" s="119"/>
      <c r="B109" s="138" t="str">
        <f t="shared" si="3"/>
        <v>Windrow</v>
      </c>
      <c r="C109" s="138" t="str">
        <f t="shared" si="6"/>
        <v>Base_With Amendment</v>
      </c>
      <c r="D109" s="118" t="s">
        <v>130</v>
      </c>
      <c r="E109" s="118" t="s">
        <v>130</v>
      </c>
      <c r="F109" s="118" t="s">
        <v>46</v>
      </c>
      <c r="G109" s="153"/>
      <c r="H109" s="155">
        <v>-5.8299999999999998E-2</v>
      </c>
      <c r="I109" s="160" t="s">
        <v>149</v>
      </c>
      <c r="J109" s="204">
        <v>-5.6640000000000003E-2</v>
      </c>
      <c r="K109" s="154" t="s">
        <v>23</v>
      </c>
      <c r="L109" s="154" t="str">
        <f>IF(OpenLCAbasic!K109="CTUh", "Fill in Manually",IF(OR(K109="Unit", K109=""), "", INDEX(LookUps!$E$5:$E$12, MATCH(OpenLCAbasic!K109,LookUps!$D$5:$D$12,0))))</f>
        <v>Global Warming Potential (GWP) - kg CO2 eq</v>
      </c>
      <c r="M109" s="154" t="str">
        <f t="shared" si="5"/>
        <v>Base_Base_Upgraded_Global Warming Potential (GWP) - kg CO2 eq_Anaerobic Digestion; wastewater treatment unit; at updated plant - US_Base_With Amendment_Windrow</v>
      </c>
    </row>
    <row r="110" spans="1:13" s="120" customFormat="1" x14ac:dyDescent="0.25">
      <c r="A110" s="119"/>
      <c r="B110" s="138" t="str">
        <f t="shared" si="3"/>
        <v>Windrow</v>
      </c>
      <c r="C110" s="138" t="str">
        <f t="shared" si="6"/>
        <v>Base_With Amendment</v>
      </c>
      <c r="D110" s="118" t="s">
        <v>130</v>
      </c>
      <c r="E110" s="118" t="s">
        <v>130</v>
      </c>
      <c r="F110" s="118" t="s">
        <v>46</v>
      </c>
      <c r="G110" s="153"/>
      <c r="H110" s="155">
        <v>-0.48320000000000002</v>
      </c>
      <c r="I110" s="160" t="s">
        <v>62</v>
      </c>
      <c r="J110" s="203">
        <v>-0.46950999999999998</v>
      </c>
      <c r="K110" s="154" t="s">
        <v>23</v>
      </c>
      <c r="L110" s="154" t="str">
        <f>IF(OpenLCAbasic!K110="CTUh", "Fill in Manually",IF(OR(K110="Unit", K110=""), "", INDEX(LookUps!$E$5:$E$12, MATCH(OpenLCAbasic!K110,LookUps!$D$5:$D$12,0))))</f>
        <v>Global Warming Potential (GWP) - kg CO2 eq</v>
      </c>
      <c r="M110" s="154" t="str">
        <f t="shared" si="5"/>
        <v>Base_Base_Upgraded_Global Warming Potential (GWP) - kg CO2 eq_Land application of compost; wastewater treatment unit; at updated plant - US_Base_With Amendment_Windrow</v>
      </c>
    </row>
    <row r="111" spans="1:13" s="120" customFormat="1" x14ac:dyDescent="0.25">
      <c r="A111" s="119"/>
      <c r="B111" s="138" t="str">
        <f t="shared" si="3"/>
        <v/>
      </c>
      <c r="C111" s="138" t="str">
        <f t="shared" si="6"/>
        <v/>
      </c>
      <c r="D111" s="118"/>
      <c r="E111" s="118"/>
      <c r="F111" s="118"/>
      <c r="G111" s="153" t="s">
        <v>51</v>
      </c>
      <c r="H111" s="155"/>
      <c r="I111" s="160" t="s">
        <v>47</v>
      </c>
      <c r="J111" s="158" t="s">
        <v>52</v>
      </c>
      <c r="K111" s="154" t="s">
        <v>27</v>
      </c>
      <c r="L111" s="154" t="str">
        <f>IF(OpenLCAbasic!K111="CTUh", "Fill in Manually",IF(OR(K111="Unit", K111=""), "", INDEX(LookUps!$E$5:$E$12, MATCH(OpenLCAbasic!K111,LookUps!$D$5:$D$12,0))))</f>
        <v/>
      </c>
      <c r="M111" s="154" t="str">
        <f t="shared" si="5"/>
        <v>____Process__</v>
      </c>
    </row>
    <row r="112" spans="1:13" s="120" customFormat="1" x14ac:dyDescent="0.25">
      <c r="A112" s="119"/>
      <c r="B112" s="138" t="str">
        <f t="shared" si="3"/>
        <v>Windrow</v>
      </c>
      <c r="C112" s="138" t="str">
        <f t="shared" si="6"/>
        <v>Base_With Amendment</v>
      </c>
      <c r="D112" s="118" t="s">
        <v>130</v>
      </c>
      <c r="E112" s="118" t="s">
        <v>130</v>
      </c>
      <c r="F112" s="118" t="s">
        <v>46</v>
      </c>
      <c r="G112" s="153"/>
      <c r="H112" s="155">
        <v>0.75229999999999997</v>
      </c>
      <c r="I112" s="160" t="s">
        <v>48</v>
      </c>
      <c r="J112" s="203">
        <v>1.1610000000000001E-2</v>
      </c>
      <c r="K112" s="154" t="s">
        <v>13</v>
      </c>
      <c r="L112" s="154" t="str">
        <f>IF(OpenLCAbasic!K112="CTUh", "Fill in Manually",IF(OR(K112="Unit", K112=""), "", INDEX(LookUps!$E$5:$E$12, MATCH(OpenLCAbasic!K112,LookUps!$D$5:$D$12,0))))</f>
        <v>Eutrophication Potential (EP) - kg N eq</v>
      </c>
      <c r="M112" s="154" t="str">
        <f t="shared" si="5"/>
        <v>Base_Base_Upgraded_Eutrophication Potential (EP) - kg N eq_Effluent release; wastewater treatment unit; at surface water; m3 wastewater - US_Base_With Amendment_Windrow</v>
      </c>
    </row>
    <row r="113" spans="1:13" s="120" customFormat="1" x14ac:dyDescent="0.25">
      <c r="A113" s="119"/>
      <c r="B113" s="138" t="str">
        <f t="shared" si="3"/>
        <v>Windrow</v>
      </c>
      <c r="C113" s="138" t="str">
        <f t="shared" si="6"/>
        <v>Base_With Amendment</v>
      </c>
      <c r="D113" s="118" t="s">
        <v>130</v>
      </c>
      <c r="E113" s="118" t="s">
        <v>130</v>
      </c>
      <c r="F113" s="118" t="s">
        <v>46</v>
      </c>
      <c r="G113" s="153"/>
      <c r="H113" s="155">
        <v>0.13289999999999999</v>
      </c>
      <c r="I113" s="160" t="s">
        <v>62</v>
      </c>
      <c r="J113" s="204">
        <v>2.0500000000000002E-3</v>
      </c>
      <c r="K113" s="154" t="s">
        <v>13</v>
      </c>
      <c r="L113" s="154" t="str">
        <f>IF(OpenLCAbasic!K113="CTUh", "Fill in Manually",IF(OR(K113="Unit", K113=""), "", INDEX(LookUps!$E$5:$E$12, MATCH(OpenLCAbasic!K113,LookUps!$D$5:$D$12,0))))</f>
        <v>Eutrophication Potential (EP) - kg N eq</v>
      </c>
      <c r="M113" s="154" t="str">
        <f t="shared" si="5"/>
        <v>Base_Base_Upgraded_Eutrophication Potential (EP) - kg N eq_Land application of compost; wastewater treatment unit; at updated plant - US_Base_With Amendment_Windrow</v>
      </c>
    </row>
    <row r="114" spans="1:13" s="120" customFormat="1" x14ac:dyDescent="0.25">
      <c r="A114" s="119"/>
      <c r="B114" s="138" t="str">
        <f t="shared" si="3"/>
        <v>Windrow</v>
      </c>
      <c r="C114" s="138" t="str">
        <f t="shared" si="6"/>
        <v>Base_With Amendment</v>
      </c>
      <c r="D114" s="118" t="s">
        <v>130</v>
      </c>
      <c r="E114" s="118" t="s">
        <v>130</v>
      </c>
      <c r="F114" s="118" t="s">
        <v>46</v>
      </c>
      <c r="G114" s="153"/>
      <c r="H114" s="155">
        <v>3.5400000000000001E-2</v>
      </c>
      <c r="I114" s="154" t="s">
        <v>55</v>
      </c>
      <c r="J114" s="204">
        <v>5.5000000000000003E-4</v>
      </c>
      <c r="K114" s="154" t="s">
        <v>13</v>
      </c>
      <c r="L114" s="154" t="str">
        <f>IF(OpenLCAbasic!K114="CTUh", "Fill in Manually",IF(OR(K114="Unit", K114=""), "", INDEX(LookUps!$E$5:$E$12, MATCH(OpenLCAbasic!K114,LookUps!$D$5:$D$12,0))))</f>
        <v>Eutrophication Potential (EP) - kg N eq</v>
      </c>
      <c r="M114" s="154" t="str">
        <f t="shared" si="5"/>
        <v>Base_Base_Upgraded_Eutrophication Potential (EP) - kg N eq_Aeration Tanks; wastewater treatment unit; at updated plant - US_Base_With Amendment_Windrow</v>
      </c>
    </row>
    <row r="115" spans="1:13" s="120" customFormat="1" x14ac:dyDescent="0.25">
      <c r="A115" s="119"/>
      <c r="B115" s="138" t="str">
        <f t="shared" si="3"/>
        <v>Windrow</v>
      </c>
      <c r="C115" s="138" t="str">
        <f t="shared" si="6"/>
        <v>Base_With Amendment</v>
      </c>
      <c r="D115" s="118" t="s">
        <v>130</v>
      </c>
      <c r="E115" s="118" t="s">
        <v>130</v>
      </c>
      <c r="F115" s="118" t="s">
        <v>46</v>
      </c>
      <c r="G115" s="153"/>
      <c r="H115" s="155">
        <v>2.3199999999999998E-2</v>
      </c>
      <c r="I115" s="154" t="s">
        <v>271</v>
      </c>
      <c r="J115" s="204">
        <v>3.6000000000000002E-4</v>
      </c>
      <c r="K115" s="154" t="s">
        <v>13</v>
      </c>
      <c r="L115" s="154" t="str">
        <f>IF(OpenLCAbasic!K115="CTUh", "Fill in Manually",IF(OR(K115="Unit", K115=""), "", INDEX(LookUps!$E$5:$E$12, MATCH(OpenLCAbasic!K115,LookUps!$D$5:$D$12,0))))</f>
        <v>Eutrophication Potential (EP) - kg N eq</v>
      </c>
      <c r="M115" s="154" t="str">
        <f t="shared" si="5"/>
        <v>Base_Base_Upgraded_Eutrophication Potential (EP) - kg N eq_Biosolids composting; windrow composting; wastewater treatment unit; at updated plant - US_Base_With Amendment_Windrow</v>
      </c>
    </row>
    <row r="116" spans="1:13" s="120" customFormat="1" x14ac:dyDescent="0.25">
      <c r="A116" s="119"/>
      <c r="B116" s="138" t="str">
        <f t="shared" si="3"/>
        <v>Windrow</v>
      </c>
      <c r="C116" s="138" t="str">
        <f t="shared" si="6"/>
        <v>Base_With Amendment</v>
      </c>
      <c r="D116" s="118" t="s">
        <v>130</v>
      </c>
      <c r="E116" s="118" t="s">
        <v>130</v>
      </c>
      <c r="F116" s="118" t="s">
        <v>46</v>
      </c>
      <c r="G116" s="153"/>
      <c r="H116" s="155">
        <v>1.6199999999999999E-2</v>
      </c>
      <c r="I116" s="154" t="s">
        <v>147</v>
      </c>
      <c r="J116" s="204">
        <v>2.5000000000000001E-4</v>
      </c>
      <c r="K116" s="154" t="s">
        <v>13</v>
      </c>
      <c r="L116" s="154" t="str">
        <f>IF(OpenLCAbasic!K116="CTUh", "Fill in Manually",IF(OR(K116="Unit", K116=""), "", INDEX(LookUps!$E$5:$E$12, MATCH(OpenLCAbasic!K116,LookUps!$D$5:$D$12,0))))</f>
        <v>Eutrophication Potential (EP) - kg N eq</v>
      </c>
      <c r="M116" s="154" t="str">
        <f t="shared" si="5"/>
        <v>Base_Base_Upgraded_Eutrophication Potential (EP) - kg N eq_Influent Pump Station; wastewater treatment unit; at updated plant - US_Base_With Amendment_Windrow</v>
      </c>
    </row>
    <row r="117" spans="1:13" s="120" customFormat="1" x14ac:dyDescent="0.25">
      <c r="A117" s="119"/>
      <c r="B117" s="138" t="str">
        <f t="shared" si="3"/>
        <v>Windrow</v>
      </c>
      <c r="C117" s="138" t="str">
        <f t="shared" si="6"/>
        <v>Base_With Amendment</v>
      </c>
      <c r="D117" s="118" t="s">
        <v>130</v>
      </c>
      <c r="E117" s="118" t="s">
        <v>130</v>
      </c>
      <c r="F117" s="118" t="s">
        <v>46</v>
      </c>
      <c r="G117" s="153"/>
      <c r="H117" s="155">
        <v>1.2800000000000001E-2</v>
      </c>
      <c r="I117" s="154" t="s">
        <v>54</v>
      </c>
      <c r="J117" s="204">
        <v>2.0000000000000001E-4</v>
      </c>
      <c r="K117" s="154" t="s">
        <v>13</v>
      </c>
      <c r="L117" s="154" t="str">
        <f>IF(OpenLCAbasic!K117="CTUh", "Fill in Manually",IF(OR(K117="Unit", K117=""), "", INDEX(LookUps!$E$5:$E$12, MATCH(OpenLCAbasic!K117,LookUps!$D$5:$D$12,0))))</f>
        <v>Eutrophication Potential (EP) - kg N eq</v>
      </c>
      <c r="M117" s="154" t="str">
        <f t="shared" si="5"/>
        <v>Base_Base_Upgraded_Eutrophication Potential (EP) - kg N eq_Clear Cove Primary Clarification; wastewater treatment unit; at updated plant - US_Base_With Amendment_Windrow</v>
      </c>
    </row>
    <row r="118" spans="1:13" s="120" customFormat="1" x14ac:dyDescent="0.25">
      <c r="A118" s="119"/>
      <c r="B118" s="138" t="str">
        <f t="shared" si="3"/>
        <v>Windrow</v>
      </c>
      <c r="C118" s="138" t="str">
        <f t="shared" si="6"/>
        <v>Base_With Amendment</v>
      </c>
      <c r="D118" s="118" t="s">
        <v>130</v>
      </c>
      <c r="E118" s="118" t="s">
        <v>130</v>
      </c>
      <c r="F118" s="118" t="s">
        <v>46</v>
      </c>
      <c r="G118" s="153"/>
      <c r="H118" s="155">
        <v>1.06E-2</v>
      </c>
      <c r="I118" s="154" t="s">
        <v>167</v>
      </c>
      <c r="J118" s="204">
        <v>1.6000000000000001E-4</v>
      </c>
      <c r="K118" s="154" t="s">
        <v>13</v>
      </c>
      <c r="L118" s="154" t="str">
        <f>IF(OpenLCAbasic!K118="CTUh", "Fill in Manually",IF(OR(K118="Unit", K118=""), "", INDEX(LookUps!$E$5:$E$12, MATCH(OpenLCAbasic!K118,LookUps!$D$5:$D$12,0))))</f>
        <v>Eutrophication Potential (EP) - kg N eq</v>
      </c>
      <c r="M118" s="154" t="str">
        <f t="shared" si="5"/>
        <v>Base_Base_Upgraded_Eutrophication Potential (EP) - kg N eq_Waste Receiving and Holding; wastewater treatment unit; at updated plant - US_Base_With Amendment_Windrow</v>
      </c>
    </row>
    <row r="119" spans="1:13" s="120" customFormat="1" x14ac:dyDescent="0.25">
      <c r="A119" s="119"/>
      <c r="B119" s="138" t="str">
        <f t="shared" si="3"/>
        <v>Windrow</v>
      </c>
      <c r="C119" s="138" t="str">
        <f t="shared" si="6"/>
        <v>Base_With Amendment</v>
      </c>
      <c r="D119" s="118" t="s">
        <v>130</v>
      </c>
      <c r="E119" s="118" t="s">
        <v>130</v>
      </c>
      <c r="F119" s="118" t="s">
        <v>46</v>
      </c>
      <c r="G119" s="153"/>
      <c r="H119" s="155">
        <v>8.8000000000000005E-3</v>
      </c>
      <c r="I119" s="154" t="s">
        <v>58</v>
      </c>
      <c r="J119" s="204">
        <v>1.3999999999999999E-4</v>
      </c>
      <c r="K119" s="154" t="s">
        <v>13</v>
      </c>
      <c r="L119" s="154" t="str">
        <f>IF(OpenLCAbasic!K119="CTUh", "Fill in Manually",IF(OR(K119="Unit", K119=""), "", INDEX(LookUps!$E$5:$E$12, MATCH(OpenLCAbasic!K119,LookUps!$D$5:$D$12,0))))</f>
        <v>Eutrophication Potential (EP) - kg N eq</v>
      </c>
      <c r="M119" s="154" t="str">
        <f t="shared" si="5"/>
        <v>Base_Base_Upgraded_Eutrophication Potential (EP) - kg N eq_Pre-Anoxic &amp; Swing tank; wastewater treatment unit; at updated plant - US_Base_With Amendment_Windrow</v>
      </c>
    </row>
    <row r="120" spans="1:13" s="120" customFormat="1" x14ac:dyDescent="0.25">
      <c r="A120" s="119"/>
      <c r="B120" s="138" t="str">
        <f t="shared" si="3"/>
        <v>Windrow</v>
      </c>
      <c r="C120" s="138" t="str">
        <f t="shared" si="6"/>
        <v>Base_With Amendment</v>
      </c>
      <c r="D120" s="118" t="s">
        <v>130</v>
      </c>
      <c r="E120" s="118" t="s">
        <v>130</v>
      </c>
      <c r="F120" s="118" t="s">
        <v>46</v>
      </c>
      <c r="G120" s="153"/>
      <c r="H120" s="155">
        <v>7.0000000000000001E-3</v>
      </c>
      <c r="I120" s="154" t="s">
        <v>53</v>
      </c>
      <c r="J120" s="204">
        <v>1.1E-4</v>
      </c>
      <c r="K120" s="154" t="s">
        <v>13</v>
      </c>
      <c r="L120" s="154" t="str">
        <f>IF(OpenLCAbasic!K120="CTUh", "Fill in Manually",IF(OR(K120="Unit", K120=""), "", INDEX(LookUps!$E$5:$E$12, MATCH(OpenLCAbasic!K120,LookUps!$D$5:$D$12,0))))</f>
        <v>Eutrophication Potential (EP) - kg N eq</v>
      </c>
      <c r="M120" s="154" t="str">
        <f t="shared" si="5"/>
        <v>Base_Base_Upgraded_Eutrophication Potential (EP) - kg N eq_Wet Well and Sump Station; wastewater treatment unit; at updated plant - US_Base_With Amendment_Windrow</v>
      </c>
    </row>
    <row r="121" spans="1:13" s="120" customFormat="1" x14ac:dyDescent="0.25">
      <c r="A121" s="119"/>
      <c r="B121" s="138" t="str">
        <f t="shared" si="3"/>
        <v>Windrow</v>
      </c>
      <c r="C121" s="138" t="str">
        <f t="shared" si="6"/>
        <v>Base_With Amendment</v>
      </c>
      <c r="D121" s="118" t="s">
        <v>130</v>
      </c>
      <c r="E121" s="118" t="s">
        <v>130</v>
      </c>
      <c r="F121" s="118" t="s">
        <v>46</v>
      </c>
      <c r="G121" s="153"/>
      <c r="H121" s="155">
        <v>3.8999999999999998E-3</v>
      </c>
      <c r="I121" s="154" t="s">
        <v>57</v>
      </c>
      <c r="J121" s="204">
        <v>6.0590300000000002E-5</v>
      </c>
      <c r="K121" s="154" t="s">
        <v>13</v>
      </c>
      <c r="L121" s="154" t="str">
        <f>IF(OpenLCAbasic!K121="CTUh", "Fill in Manually",IF(OR(K121="Unit", K121=""), "", INDEX(LookUps!$E$5:$E$12, MATCH(OpenLCAbasic!K121,LookUps!$D$5:$D$12,0))))</f>
        <v>Eutrophication Potential (EP) - kg N eq</v>
      </c>
      <c r="M121" s="154" t="str">
        <f t="shared" si="5"/>
        <v>Base_Base_Upgraded_Eutrophication Potential (EP) - kg N eq_Gravity Belt Thickener; wastewater treatment unit; at updated plant - US_Base_With Amendment_Windrow</v>
      </c>
    </row>
    <row r="122" spans="1:13" s="120" customFormat="1" x14ac:dyDescent="0.25">
      <c r="A122" s="119"/>
      <c r="B122" s="138" t="str">
        <f t="shared" si="3"/>
        <v>Windrow</v>
      </c>
      <c r="C122" s="138" t="str">
        <f t="shared" si="6"/>
        <v>Base_With Amendment</v>
      </c>
      <c r="D122" s="118" t="s">
        <v>130</v>
      </c>
      <c r="E122" s="118" t="s">
        <v>130</v>
      </c>
      <c r="F122" s="118" t="s">
        <v>46</v>
      </c>
      <c r="G122" s="153"/>
      <c r="H122" s="155">
        <v>3.3E-3</v>
      </c>
      <c r="I122" s="154" t="s">
        <v>60</v>
      </c>
      <c r="J122" s="204">
        <v>5.06508E-5</v>
      </c>
      <c r="K122" s="154" t="s">
        <v>13</v>
      </c>
      <c r="L122" s="154" t="str">
        <f>IF(OpenLCAbasic!K122="CTUh", "Fill in Manually",IF(OR(K122="Unit", K122=""), "", INDEX(LookUps!$E$5:$E$12, MATCH(OpenLCAbasic!K122,LookUps!$D$5:$D$12,0))))</f>
        <v>Eutrophication Potential (EP) - kg N eq</v>
      </c>
      <c r="M122" s="154" t="str">
        <f t="shared" si="5"/>
        <v>Base_Base_Upgraded_Eutrophication Potential (EP) - kg N eq_Belt filter press; wastewater treatment unit; at updated plant - US_Base_With Amendment_Windrow</v>
      </c>
    </row>
    <row r="123" spans="1:13" s="120" customFormat="1" x14ac:dyDescent="0.25">
      <c r="A123" s="119"/>
      <c r="B123" s="138" t="str">
        <f t="shared" si="3"/>
        <v>Windrow</v>
      </c>
      <c r="C123" s="138" t="str">
        <f t="shared" si="6"/>
        <v>Base_With Amendment</v>
      </c>
      <c r="D123" s="118" t="s">
        <v>130</v>
      </c>
      <c r="E123" s="118" t="s">
        <v>130</v>
      </c>
      <c r="F123" s="118" t="s">
        <v>46</v>
      </c>
      <c r="G123" s="153"/>
      <c r="H123" s="155">
        <v>2.3999999999999998E-3</v>
      </c>
      <c r="I123" s="154" t="s">
        <v>128</v>
      </c>
      <c r="J123" s="204">
        <v>3.7559799999999999E-5</v>
      </c>
      <c r="K123" s="154" t="s">
        <v>13</v>
      </c>
      <c r="L123" s="154" t="str">
        <f>IF(OpenLCAbasic!K123="CTUh", "Fill in Manually",IF(OR(K123="Unit", K123=""), "", INDEX(LookUps!$E$5:$E$12, MATCH(OpenLCAbasic!K123,LookUps!$D$5:$D$12,0))))</f>
        <v>Eutrophication Potential (EP) - kg N eq</v>
      </c>
      <c r="M123" s="154" t="str">
        <f t="shared" si="5"/>
        <v>Base_Base_Upgraded_Eutrophication Potential (EP) - kg N eq_Wastewater collection; operation and infrastructure; m3 wastewater_Base_With Amendment_Windrow</v>
      </c>
    </row>
    <row r="124" spans="1:13" s="120" customFormat="1" x14ac:dyDescent="0.25">
      <c r="A124" s="119"/>
      <c r="B124" s="138" t="str">
        <f t="shared" si="3"/>
        <v>Windrow</v>
      </c>
      <c r="C124" s="138" t="str">
        <f t="shared" si="6"/>
        <v>Base_With Amendment</v>
      </c>
      <c r="D124" s="118" t="s">
        <v>130</v>
      </c>
      <c r="E124" s="118" t="s">
        <v>130</v>
      </c>
      <c r="F124" s="118" t="s">
        <v>46</v>
      </c>
      <c r="G124" s="153"/>
      <c r="H124" s="155">
        <v>2.3999999999999998E-3</v>
      </c>
      <c r="I124" s="154" t="s">
        <v>148</v>
      </c>
      <c r="J124" s="204">
        <v>3.6874600000000001E-5</v>
      </c>
      <c r="K124" s="154" t="s">
        <v>13</v>
      </c>
      <c r="L124" s="154" t="str">
        <f>IF(OpenLCAbasic!K124="CTUh", "Fill in Manually",IF(OR(K124="Unit", K124=""), "", INDEX(LookUps!$E$5:$E$12, MATCH(OpenLCAbasic!K124,LookUps!$D$5:$D$12,0))))</f>
        <v>Eutrophication Potential (EP) - kg N eq</v>
      </c>
      <c r="M124" s="154" t="str">
        <f t="shared" si="5"/>
        <v>Base_Base_Upgraded_Eutrophication Potential (EP) - kg N eq_Control Building; at upgraded wastewater treatment plant - US_Base_With Amendment_Windrow</v>
      </c>
    </row>
    <row r="125" spans="1:13" s="120" customFormat="1" x14ac:dyDescent="0.25">
      <c r="A125" s="119"/>
      <c r="B125" s="138" t="str">
        <f t="shared" si="3"/>
        <v>Windrow</v>
      </c>
      <c r="C125" s="138" t="str">
        <f t="shared" si="6"/>
        <v>Base_With Amendment</v>
      </c>
      <c r="D125" s="118" t="s">
        <v>130</v>
      </c>
      <c r="E125" s="118" t="s">
        <v>130</v>
      </c>
      <c r="F125" s="118" t="s">
        <v>46</v>
      </c>
      <c r="G125" s="153"/>
      <c r="H125" s="155">
        <v>1.1000000000000001E-3</v>
      </c>
      <c r="I125" s="154" t="s">
        <v>59</v>
      </c>
      <c r="J125" s="204">
        <v>1.6215700000000001E-5</v>
      </c>
      <c r="K125" s="154" t="s">
        <v>13</v>
      </c>
      <c r="L125" s="154" t="str">
        <f>IF(OpenLCAbasic!K125="CTUh", "Fill in Manually",IF(OR(K125="Unit", K125=""), "", INDEX(LookUps!$E$5:$E$12, MATCH(OpenLCAbasic!K125,LookUps!$D$5:$D$12,0))))</f>
        <v>Eutrophication Potential (EP) - kg N eq</v>
      </c>
      <c r="M125" s="154" t="str">
        <f t="shared" si="5"/>
        <v>Base_Base_Upgraded_Eutrophication Potential (EP) - kg N eq_Blend Tank; wastewater treatment unit; at updated plant - US_Base_With Amendment_Windrow</v>
      </c>
    </row>
    <row r="126" spans="1:13" s="120" customFormat="1" x14ac:dyDescent="0.25">
      <c r="A126" s="119"/>
      <c r="B126" s="138" t="str">
        <f t="shared" si="3"/>
        <v>Windrow</v>
      </c>
      <c r="C126" s="138" t="str">
        <f t="shared" si="6"/>
        <v>Base_With Amendment</v>
      </c>
      <c r="D126" s="118" t="s">
        <v>130</v>
      </c>
      <c r="E126" s="118" t="s">
        <v>130</v>
      </c>
      <c r="F126" s="118" t="s">
        <v>46</v>
      </c>
      <c r="G126" s="153"/>
      <c r="H126" s="155">
        <v>5.0000000000000001E-4</v>
      </c>
      <c r="I126" s="154" t="s">
        <v>168</v>
      </c>
      <c r="J126" s="204">
        <v>7.7567199999999995E-6</v>
      </c>
      <c r="K126" s="154" t="s">
        <v>13</v>
      </c>
      <c r="L126" s="154" t="str">
        <f>IF(OpenLCAbasic!K126="CTUh", "Fill in Manually",IF(OR(K126="Unit", K126=""), "", INDEX(LookUps!$E$5:$E$12, MATCH(OpenLCAbasic!K126,LookUps!$D$5:$D$12,0))))</f>
        <v>Eutrophication Potential (EP) - kg N eq</v>
      </c>
      <c r="M126" s="154" t="str">
        <f t="shared" si="5"/>
        <v>Base_Base_Upgraded_Eutrophication Potential (EP) - kg N eq_ClearCove SCP; wastewater treatment unit; at updated plant - US_Base_With Amendment_Windrow</v>
      </c>
    </row>
    <row r="127" spans="1:13" s="120" customFormat="1" x14ac:dyDescent="0.25">
      <c r="A127" s="119"/>
      <c r="B127" s="138" t="str">
        <f t="shared" si="3"/>
        <v>Windrow</v>
      </c>
      <c r="C127" s="138" t="str">
        <f t="shared" si="6"/>
        <v>Base_With Amendment</v>
      </c>
      <c r="D127" s="118" t="s">
        <v>130</v>
      </c>
      <c r="E127" s="118" t="s">
        <v>130</v>
      </c>
      <c r="F127" s="118" t="s">
        <v>46</v>
      </c>
      <c r="G127" s="153"/>
      <c r="H127" s="155">
        <v>-1.2800000000000001E-2</v>
      </c>
      <c r="I127" s="154" t="s">
        <v>149</v>
      </c>
      <c r="J127" s="204">
        <v>-2.0000000000000001E-4</v>
      </c>
      <c r="K127" s="154" t="s">
        <v>13</v>
      </c>
      <c r="L127" s="154" t="str">
        <f>IF(OpenLCAbasic!K127="CTUh", "Fill in Manually",IF(OR(K127="Unit", K127=""), "", INDEX(LookUps!$E$5:$E$12, MATCH(OpenLCAbasic!K127,LookUps!$D$5:$D$12,0))))</f>
        <v>Eutrophication Potential (EP) - kg N eq</v>
      </c>
      <c r="M127" s="154" t="str">
        <f t="shared" si="5"/>
        <v>Base_Base_Upgraded_Eutrophication Potential (EP) - kg N eq_Anaerobic Digestion; wastewater treatment unit; at updated plant - US_Base_With Amendment_Windrow</v>
      </c>
    </row>
    <row r="128" spans="1:13" s="120" customFormat="1" x14ac:dyDescent="0.25">
      <c r="A128" s="119"/>
      <c r="B128" s="138" t="str">
        <f t="shared" si="3"/>
        <v/>
      </c>
      <c r="C128" s="138" t="str">
        <f t="shared" si="6"/>
        <v/>
      </c>
      <c r="D128" s="118"/>
      <c r="E128" s="118"/>
      <c r="F128" s="118"/>
      <c r="G128" s="153" t="s">
        <v>51</v>
      </c>
      <c r="H128" s="155"/>
      <c r="I128" s="154" t="s">
        <v>47</v>
      </c>
      <c r="J128" s="158" t="s">
        <v>52</v>
      </c>
      <c r="K128" s="154" t="s">
        <v>27</v>
      </c>
      <c r="L128" s="154" t="str">
        <f>IF(OpenLCAbasic!K128="CTUh", "Fill in Manually",IF(OR(K128="Unit", K128=""), "", INDEX(LookUps!$E$5:$E$12, MATCH(OpenLCAbasic!K128,LookUps!$D$5:$D$12,0))))</f>
        <v/>
      </c>
      <c r="M128" s="154" t="str">
        <f t="shared" si="5"/>
        <v>____Process__</v>
      </c>
    </row>
    <row r="129" spans="1:13" s="120" customFormat="1" x14ac:dyDescent="0.25">
      <c r="A129" s="119"/>
      <c r="B129" s="138" t="str">
        <f t="shared" si="3"/>
        <v>Windrow</v>
      </c>
      <c r="C129" s="138" t="str">
        <f t="shared" si="6"/>
        <v>Base_With Amendment</v>
      </c>
      <c r="D129" s="118" t="s">
        <v>130</v>
      </c>
      <c r="E129" s="118" t="s">
        <v>130</v>
      </c>
      <c r="F129" s="118" t="s">
        <v>46</v>
      </c>
      <c r="G129" s="153"/>
      <c r="H129" s="155">
        <v>0.42849999999999999</v>
      </c>
      <c r="I129" s="154" t="s">
        <v>55</v>
      </c>
      <c r="J129" s="203">
        <v>1.7219999999999999E-2</v>
      </c>
      <c r="K129" s="154" t="s">
        <v>24</v>
      </c>
      <c r="L129" s="154" t="str">
        <f>IF(OpenLCAbasic!K129="CTUh", "Fill in Manually",IF(OR(K129="Unit", K129=""), "", INDEX(LookUps!$E$5:$E$12, MATCH(OpenLCAbasic!K129,LookUps!$D$5:$D$12,0))))</f>
        <v>Acidification Potential (AP) - kg SO2 eq</v>
      </c>
      <c r="M129" s="154" t="str">
        <f t="shared" si="5"/>
        <v>Base_Base_Upgraded_Acidification Potential (AP) - kg SO2 eq_Aeration Tanks; wastewater treatment unit; at updated plant - US_Base_With Amendment_Windrow</v>
      </c>
    </row>
    <row r="130" spans="1:13" s="120" customFormat="1" x14ac:dyDescent="0.25">
      <c r="A130" s="119"/>
      <c r="B130" s="138" t="str">
        <f t="shared" si="3"/>
        <v>Windrow</v>
      </c>
      <c r="C130" s="138" t="str">
        <f t="shared" si="6"/>
        <v>Base_With Amendment</v>
      </c>
      <c r="D130" s="118" t="s">
        <v>130</v>
      </c>
      <c r="E130" s="118" t="s">
        <v>130</v>
      </c>
      <c r="F130" s="118" t="s">
        <v>46</v>
      </c>
      <c r="G130" s="153"/>
      <c r="H130" s="155">
        <v>0.14119999999999999</v>
      </c>
      <c r="I130" s="154" t="s">
        <v>271</v>
      </c>
      <c r="J130" s="204">
        <v>5.6800000000000002E-3</v>
      </c>
      <c r="K130" s="154" t="s">
        <v>24</v>
      </c>
      <c r="L130" s="154" t="str">
        <f>IF(OpenLCAbasic!K130="CTUh", "Fill in Manually",IF(OR(K130="Unit", K130=""), "", INDEX(LookUps!$E$5:$E$12, MATCH(OpenLCAbasic!K130,LookUps!$D$5:$D$12,0))))</f>
        <v>Acidification Potential (AP) - kg SO2 eq</v>
      </c>
      <c r="M130" s="154" t="str">
        <f t="shared" si="5"/>
        <v>Base_Base_Upgraded_Acidification Potential (AP) - kg SO2 eq_Biosolids composting; windrow composting; wastewater treatment unit; at updated plant - US_Base_With Amendment_Windrow</v>
      </c>
    </row>
    <row r="131" spans="1:13" s="120" customFormat="1" x14ac:dyDescent="0.25">
      <c r="A131" s="119"/>
      <c r="B131" s="138" t="str">
        <f t="shared" si="3"/>
        <v>Windrow</v>
      </c>
      <c r="C131" s="138" t="str">
        <f t="shared" si="6"/>
        <v>Base_With Amendment</v>
      </c>
      <c r="D131" s="118" t="s">
        <v>130</v>
      </c>
      <c r="E131" s="118" t="s">
        <v>130</v>
      </c>
      <c r="F131" s="118" t="s">
        <v>46</v>
      </c>
      <c r="G131" s="153"/>
      <c r="H131" s="155">
        <v>0.1239</v>
      </c>
      <c r="I131" s="154" t="s">
        <v>54</v>
      </c>
      <c r="J131" s="204">
        <v>4.9800000000000001E-3</v>
      </c>
      <c r="K131" s="154" t="s">
        <v>24</v>
      </c>
      <c r="L131" s="154" t="str">
        <f>IF(OpenLCAbasic!K131="CTUh", "Fill in Manually",IF(OR(K131="Unit", K131=""), "", INDEX(LookUps!$E$5:$E$12, MATCH(OpenLCAbasic!K131,LookUps!$D$5:$D$12,0))))</f>
        <v>Acidification Potential (AP) - kg SO2 eq</v>
      </c>
      <c r="M131" s="154" t="str">
        <f t="shared" si="5"/>
        <v>Base_Base_Upgraded_Acidification Potential (AP) - kg SO2 eq_Clear Cove Primary Clarification; wastewater treatment unit; at updated plant - US_Base_With Amendment_Windrow</v>
      </c>
    </row>
    <row r="132" spans="1:13" s="120" customFormat="1" x14ac:dyDescent="0.25">
      <c r="A132" s="119"/>
      <c r="B132" s="138" t="str">
        <f t="shared" si="3"/>
        <v>Windrow</v>
      </c>
      <c r="C132" s="138" t="str">
        <f t="shared" si="6"/>
        <v>Base_With Amendment</v>
      </c>
      <c r="D132" s="118" t="s">
        <v>130</v>
      </c>
      <c r="E132" s="118" t="s">
        <v>130</v>
      </c>
      <c r="F132" s="118" t="s">
        <v>46</v>
      </c>
      <c r="G132" s="153"/>
      <c r="H132" s="155">
        <v>0.10780000000000001</v>
      </c>
      <c r="I132" s="154" t="s">
        <v>58</v>
      </c>
      <c r="J132" s="204">
        <v>4.3299999999999996E-3</v>
      </c>
      <c r="K132" s="154" t="s">
        <v>24</v>
      </c>
      <c r="L132" s="154" t="str">
        <f>IF(OpenLCAbasic!K132="CTUh", "Fill in Manually",IF(OR(K132="Unit", K132=""), "", INDEX(LookUps!$E$5:$E$12, MATCH(OpenLCAbasic!K132,LookUps!$D$5:$D$12,0))))</f>
        <v>Acidification Potential (AP) - kg SO2 eq</v>
      </c>
      <c r="M132" s="154" t="str">
        <f t="shared" si="5"/>
        <v>Base_Base_Upgraded_Acidification Potential (AP) - kg SO2 eq_Pre-Anoxic &amp; Swing tank; wastewater treatment unit; at updated plant - US_Base_With Amendment_Windrow</v>
      </c>
    </row>
    <row r="133" spans="1:13" s="120" customFormat="1" x14ac:dyDescent="0.25">
      <c r="A133" s="119"/>
      <c r="B133" s="138" t="str">
        <f t="shared" si="3"/>
        <v>Windrow</v>
      </c>
      <c r="C133" s="138" t="str">
        <f t="shared" si="6"/>
        <v>Base_With Amendment</v>
      </c>
      <c r="D133" s="118" t="s">
        <v>130</v>
      </c>
      <c r="E133" s="118" t="s">
        <v>130</v>
      </c>
      <c r="F133" s="118" t="s">
        <v>46</v>
      </c>
      <c r="G133" s="153"/>
      <c r="H133" s="155">
        <v>8.5900000000000004E-2</v>
      </c>
      <c r="I133" s="154" t="s">
        <v>53</v>
      </c>
      <c r="J133" s="204">
        <v>3.4499999999999999E-3</v>
      </c>
      <c r="K133" s="154" t="s">
        <v>24</v>
      </c>
      <c r="L133" s="154" t="str">
        <f>IF(OpenLCAbasic!K133="CTUh", "Fill in Manually",IF(OR(K133="Unit", K133=""), "", INDEX(LookUps!$E$5:$E$12, MATCH(OpenLCAbasic!K133,LookUps!$D$5:$D$12,0))))</f>
        <v>Acidification Potential (AP) - kg SO2 eq</v>
      </c>
      <c r="M133" s="154" t="str">
        <f t="shared" si="5"/>
        <v>Base_Base_Upgraded_Acidification Potential (AP) - kg SO2 eq_Wet Well and Sump Station; wastewater treatment unit; at updated plant - US_Base_With Amendment_Windrow</v>
      </c>
    </row>
    <row r="134" spans="1:13" s="120" customFormat="1" x14ac:dyDescent="0.25">
      <c r="A134" s="119"/>
      <c r="B134" s="138" t="str">
        <f t="shared" si="3"/>
        <v>Windrow</v>
      </c>
      <c r="C134" s="138" t="str">
        <f t="shared" si="6"/>
        <v>Base_With Amendment</v>
      </c>
      <c r="D134" s="118" t="s">
        <v>130</v>
      </c>
      <c r="E134" s="118" t="s">
        <v>130</v>
      </c>
      <c r="F134" s="118" t="s">
        <v>46</v>
      </c>
      <c r="G134" s="153"/>
      <c r="H134" s="155">
        <v>6.6299999999999998E-2</v>
      </c>
      <c r="I134" s="154" t="s">
        <v>62</v>
      </c>
      <c r="J134" s="204">
        <v>2.6700000000000001E-3</v>
      </c>
      <c r="K134" s="154" t="s">
        <v>24</v>
      </c>
      <c r="L134" s="154" t="str">
        <f>IF(OpenLCAbasic!K134="CTUh", "Fill in Manually",IF(OR(K134="Unit", K134=""), "", INDEX(LookUps!$E$5:$E$12, MATCH(OpenLCAbasic!K134,LookUps!$D$5:$D$12,0))))</f>
        <v>Acidification Potential (AP) - kg SO2 eq</v>
      </c>
      <c r="M134" s="154" t="str">
        <f t="shared" si="5"/>
        <v>Base_Base_Upgraded_Acidification Potential (AP) - kg SO2 eq_Land application of compost; wastewater treatment unit; at updated plant - US_Base_With Amendment_Windrow</v>
      </c>
    </row>
    <row r="135" spans="1:13" s="120" customFormat="1" x14ac:dyDescent="0.25">
      <c r="A135" s="119"/>
      <c r="B135" s="138" t="str">
        <f t="shared" ref="B135:B198" si="7">IF(F135="Legacy","n.a.",IF(F135="","","Windrow"))</f>
        <v>Windrow</v>
      </c>
      <c r="C135" s="138" t="str">
        <f t="shared" si="6"/>
        <v>Base_With Amendment</v>
      </c>
      <c r="D135" s="118" t="s">
        <v>130</v>
      </c>
      <c r="E135" s="118" t="s">
        <v>130</v>
      </c>
      <c r="F135" s="118" t="s">
        <v>46</v>
      </c>
      <c r="G135" s="153"/>
      <c r="H135" s="155">
        <v>5.91E-2</v>
      </c>
      <c r="I135" s="154" t="s">
        <v>167</v>
      </c>
      <c r="J135" s="204">
        <v>2.3800000000000002E-3</v>
      </c>
      <c r="K135" s="154" t="s">
        <v>24</v>
      </c>
      <c r="L135" s="154" t="str">
        <f>IF(OpenLCAbasic!K135="CTUh", "Fill in Manually",IF(OR(K135="Unit", K135=""), "", INDEX(LookUps!$E$5:$E$12, MATCH(OpenLCAbasic!K135,LookUps!$D$5:$D$12,0))))</f>
        <v>Acidification Potential (AP) - kg SO2 eq</v>
      </c>
      <c r="M135" s="154" t="str">
        <f t="shared" si="5"/>
        <v>Base_Base_Upgraded_Acidification Potential (AP) - kg SO2 eq_Waste Receiving and Holding; wastewater treatment unit; at updated plant - US_Base_With Amendment_Windrow</v>
      </c>
    </row>
    <row r="136" spans="1:13" s="120" customFormat="1" x14ac:dyDescent="0.25">
      <c r="A136" s="119"/>
      <c r="B136" s="138" t="str">
        <f t="shared" si="7"/>
        <v>Windrow</v>
      </c>
      <c r="C136" s="138" t="str">
        <f t="shared" si="6"/>
        <v>Base_With Amendment</v>
      </c>
      <c r="D136" s="118" t="s">
        <v>130</v>
      </c>
      <c r="E136" s="118" t="s">
        <v>130</v>
      </c>
      <c r="F136" s="118" t="s">
        <v>46</v>
      </c>
      <c r="G136" s="153"/>
      <c r="H136" s="155">
        <v>5.1499999999999997E-2</v>
      </c>
      <c r="I136" s="154" t="s">
        <v>147</v>
      </c>
      <c r="J136" s="204">
        <v>2.0699999999999998E-3</v>
      </c>
      <c r="K136" s="154" t="s">
        <v>24</v>
      </c>
      <c r="L136" s="154" t="str">
        <f>IF(OpenLCAbasic!K136="CTUh", "Fill in Manually",IF(OR(K136="Unit", K136=""), "", INDEX(LookUps!$E$5:$E$12, MATCH(OpenLCAbasic!K136,LookUps!$D$5:$D$12,0))))</f>
        <v>Acidification Potential (AP) - kg SO2 eq</v>
      </c>
      <c r="M136" s="154" t="str">
        <f t="shared" ref="M136:M199" si="8">CONCATENATE(E136,"_",D136,"_",F136,"_",L136, "_",I136,"_", C136,"_", B136)</f>
        <v>Base_Base_Upgraded_Acidification Potential (AP) - kg SO2 eq_Influent Pump Station; wastewater treatment unit; at updated plant - US_Base_With Amendment_Windrow</v>
      </c>
    </row>
    <row r="137" spans="1:13" s="120" customFormat="1" x14ac:dyDescent="0.25">
      <c r="A137" s="119"/>
      <c r="B137" s="138" t="str">
        <f t="shared" si="7"/>
        <v>Windrow</v>
      </c>
      <c r="C137" s="138" t="str">
        <f t="shared" si="6"/>
        <v>Base_With Amendment</v>
      </c>
      <c r="D137" s="118" t="s">
        <v>130</v>
      </c>
      <c r="E137" s="118" t="s">
        <v>130</v>
      </c>
      <c r="F137" s="118" t="s">
        <v>46</v>
      </c>
      <c r="G137" s="153"/>
      <c r="H137" s="155">
        <v>3.0700000000000002E-2</v>
      </c>
      <c r="I137" s="154" t="s">
        <v>128</v>
      </c>
      <c r="J137" s="204">
        <v>1.23E-3</v>
      </c>
      <c r="K137" s="154" t="s">
        <v>24</v>
      </c>
      <c r="L137" s="154" t="str">
        <f>IF(OpenLCAbasic!K137="CTUh", "Fill in Manually",IF(OR(K137="Unit", K137=""), "", INDEX(LookUps!$E$5:$E$12, MATCH(OpenLCAbasic!K137,LookUps!$D$5:$D$12,0))))</f>
        <v>Acidification Potential (AP) - kg SO2 eq</v>
      </c>
      <c r="M137" s="154" t="str">
        <f t="shared" si="8"/>
        <v>Base_Base_Upgraded_Acidification Potential (AP) - kg SO2 eq_Wastewater collection; operation and infrastructure; m3 wastewater_Base_With Amendment_Windrow</v>
      </c>
    </row>
    <row r="138" spans="1:13" s="120" customFormat="1" x14ac:dyDescent="0.25">
      <c r="A138" s="119"/>
      <c r="B138" s="138" t="str">
        <f t="shared" si="7"/>
        <v>Windrow</v>
      </c>
      <c r="C138" s="138" t="str">
        <f t="shared" si="6"/>
        <v>Base_With Amendment</v>
      </c>
      <c r="D138" s="118" t="s">
        <v>130</v>
      </c>
      <c r="E138" s="118" t="s">
        <v>130</v>
      </c>
      <c r="F138" s="118" t="s">
        <v>46</v>
      </c>
      <c r="G138" s="153"/>
      <c r="H138" s="155">
        <v>1.9199999999999998E-2</v>
      </c>
      <c r="I138" s="154" t="s">
        <v>60</v>
      </c>
      <c r="J138" s="204">
        <v>7.6999999999999996E-4</v>
      </c>
      <c r="K138" s="154" t="s">
        <v>24</v>
      </c>
      <c r="L138" s="154" t="str">
        <f>IF(OpenLCAbasic!K138="CTUh", "Fill in Manually",IF(OR(K138="Unit", K138=""), "", INDEX(LookUps!$E$5:$E$12, MATCH(OpenLCAbasic!K138,LookUps!$D$5:$D$12,0))))</f>
        <v>Acidification Potential (AP) - kg SO2 eq</v>
      </c>
      <c r="M138" s="154" t="str">
        <f t="shared" si="8"/>
        <v>Base_Base_Upgraded_Acidification Potential (AP) - kg SO2 eq_Belt filter press; wastewater treatment unit; at updated plant - US_Base_With Amendment_Windrow</v>
      </c>
    </row>
    <row r="139" spans="1:13" s="120" customFormat="1" x14ac:dyDescent="0.25">
      <c r="A139" s="119"/>
      <c r="B139" s="138" t="str">
        <f t="shared" si="7"/>
        <v>Windrow</v>
      </c>
      <c r="C139" s="138" t="str">
        <f t="shared" si="6"/>
        <v>Base_With Amendment</v>
      </c>
      <c r="D139" s="118" t="s">
        <v>130</v>
      </c>
      <c r="E139" s="118" t="s">
        <v>130</v>
      </c>
      <c r="F139" s="118" t="s">
        <v>46</v>
      </c>
      <c r="G139" s="153"/>
      <c r="H139" s="155">
        <v>1.7500000000000002E-2</v>
      </c>
      <c r="I139" s="154" t="s">
        <v>57</v>
      </c>
      <c r="J139" s="204">
        <v>6.9999999999999999E-4</v>
      </c>
      <c r="K139" s="154" t="s">
        <v>24</v>
      </c>
      <c r="L139" s="154" t="str">
        <f>IF(OpenLCAbasic!K139="CTUh", "Fill in Manually",IF(OR(K139="Unit", K139=""), "", INDEX(LookUps!$E$5:$E$12, MATCH(OpenLCAbasic!K139,LookUps!$D$5:$D$12,0))))</f>
        <v>Acidification Potential (AP) - kg SO2 eq</v>
      </c>
      <c r="M139" s="154" t="str">
        <f t="shared" si="8"/>
        <v>Base_Base_Upgraded_Acidification Potential (AP) - kg SO2 eq_Gravity Belt Thickener; wastewater treatment unit; at updated plant - US_Base_With Amendment_Windrow</v>
      </c>
    </row>
    <row r="140" spans="1:13" s="120" customFormat="1" x14ac:dyDescent="0.25">
      <c r="A140" s="119"/>
      <c r="B140" s="138" t="str">
        <f t="shared" si="7"/>
        <v>Windrow</v>
      </c>
      <c r="C140" s="138" t="str">
        <f t="shared" si="6"/>
        <v>Base_With Amendment</v>
      </c>
      <c r="D140" s="118" t="s">
        <v>130</v>
      </c>
      <c r="E140" s="118" t="s">
        <v>130</v>
      </c>
      <c r="F140" s="118" t="s">
        <v>46</v>
      </c>
      <c r="G140" s="153"/>
      <c r="H140" s="155">
        <v>1.2800000000000001E-2</v>
      </c>
      <c r="I140" s="154" t="s">
        <v>59</v>
      </c>
      <c r="J140" s="204">
        <v>5.1999999999999995E-4</v>
      </c>
      <c r="K140" s="154" t="s">
        <v>24</v>
      </c>
      <c r="L140" s="154" t="str">
        <f>IF(OpenLCAbasic!K140="CTUh", "Fill in Manually",IF(OR(K140="Unit", K140=""), "", INDEX(LookUps!$E$5:$E$12, MATCH(OpenLCAbasic!K140,LookUps!$D$5:$D$12,0))))</f>
        <v>Acidification Potential (AP) - kg SO2 eq</v>
      </c>
      <c r="M140" s="154" t="str">
        <f t="shared" si="8"/>
        <v>Base_Base_Upgraded_Acidification Potential (AP) - kg SO2 eq_Blend Tank; wastewater treatment unit; at updated plant - US_Base_With Amendment_Windrow</v>
      </c>
    </row>
    <row r="141" spans="1:13" s="120" customFormat="1" x14ac:dyDescent="0.25">
      <c r="A141" s="119"/>
      <c r="B141" s="138" t="str">
        <f t="shared" si="7"/>
        <v>Windrow</v>
      </c>
      <c r="C141" s="138" t="str">
        <f t="shared" si="6"/>
        <v>Base_With Amendment</v>
      </c>
      <c r="D141" s="118" t="s">
        <v>130</v>
      </c>
      <c r="E141" s="118" t="s">
        <v>130</v>
      </c>
      <c r="F141" s="118" t="s">
        <v>46</v>
      </c>
      <c r="G141" s="153"/>
      <c r="H141" s="155">
        <v>8.6E-3</v>
      </c>
      <c r="I141" s="154" t="s">
        <v>48</v>
      </c>
      <c r="J141" s="204">
        <v>3.5E-4</v>
      </c>
      <c r="K141" s="154" t="s">
        <v>24</v>
      </c>
      <c r="L141" s="154" t="str">
        <f>IF(OpenLCAbasic!K141="CTUh", "Fill in Manually",IF(OR(K141="Unit", K141=""), "", INDEX(LookUps!$E$5:$E$12, MATCH(OpenLCAbasic!K141,LookUps!$D$5:$D$12,0))))</f>
        <v>Acidification Potential (AP) - kg SO2 eq</v>
      </c>
      <c r="M141" s="154" t="str">
        <f t="shared" si="8"/>
        <v>Base_Base_Upgraded_Acidification Potential (AP) - kg SO2 eq_Effluent release; wastewater treatment unit; at surface water; m3 wastewater - US_Base_With Amendment_Windrow</v>
      </c>
    </row>
    <row r="142" spans="1:13" s="120" customFormat="1" x14ac:dyDescent="0.25">
      <c r="A142" s="119"/>
      <c r="B142" s="138" t="str">
        <f t="shared" si="7"/>
        <v>Windrow</v>
      </c>
      <c r="C142" s="138" t="str">
        <f t="shared" si="6"/>
        <v>Base_With Amendment</v>
      </c>
      <c r="D142" s="118" t="s">
        <v>130</v>
      </c>
      <c r="E142" s="118" t="s">
        <v>130</v>
      </c>
      <c r="F142" s="118" t="s">
        <v>46</v>
      </c>
      <c r="G142" s="153"/>
      <c r="H142" s="155">
        <v>6.4000000000000003E-3</v>
      </c>
      <c r="I142" s="154" t="s">
        <v>168</v>
      </c>
      <c r="J142" s="204">
        <v>2.5999999999999998E-4</v>
      </c>
      <c r="K142" s="154" t="s">
        <v>24</v>
      </c>
      <c r="L142" s="154" t="str">
        <f>IF(OpenLCAbasic!K142="CTUh", "Fill in Manually",IF(OR(K142="Unit", K142=""), "", INDEX(LookUps!$E$5:$E$12, MATCH(OpenLCAbasic!K142,LookUps!$D$5:$D$12,0))))</f>
        <v>Acidification Potential (AP) - kg SO2 eq</v>
      </c>
      <c r="M142" s="154" t="str">
        <f t="shared" si="8"/>
        <v>Base_Base_Upgraded_Acidification Potential (AP) - kg SO2 eq_ClearCove SCP; wastewater treatment unit; at updated plant - US_Base_With Amendment_Windrow</v>
      </c>
    </row>
    <row r="143" spans="1:13" s="120" customFormat="1" x14ac:dyDescent="0.25">
      <c r="A143" s="119"/>
      <c r="B143" s="138" t="str">
        <f t="shared" si="7"/>
        <v>Windrow</v>
      </c>
      <c r="C143" s="138" t="str">
        <f t="shared" si="6"/>
        <v>Base_With Amendment</v>
      </c>
      <c r="D143" s="118" t="s">
        <v>130</v>
      </c>
      <c r="E143" s="118" t="s">
        <v>130</v>
      </c>
      <c r="F143" s="118" t="s">
        <v>46</v>
      </c>
      <c r="G143" s="153"/>
      <c r="H143" s="155">
        <v>1E-3</v>
      </c>
      <c r="I143" s="154" t="s">
        <v>148</v>
      </c>
      <c r="J143" s="204">
        <v>4.0354700000000002E-5</v>
      </c>
      <c r="K143" s="154" t="s">
        <v>24</v>
      </c>
      <c r="L143" s="154" t="str">
        <f>IF(OpenLCAbasic!K143="CTUh", "Fill in Manually",IF(OR(K143="Unit", K143=""), "", INDEX(LookUps!$E$5:$E$12, MATCH(OpenLCAbasic!K143,LookUps!$D$5:$D$12,0))))</f>
        <v>Acidification Potential (AP) - kg SO2 eq</v>
      </c>
      <c r="M143" s="154" t="str">
        <f t="shared" si="8"/>
        <v>Base_Base_Upgraded_Acidification Potential (AP) - kg SO2 eq_Control Building; at upgraded wastewater treatment plant - US_Base_With Amendment_Windrow</v>
      </c>
    </row>
    <row r="144" spans="1:13" s="120" customFormat="1" x14ac:dyDescent="0.25">
      <c r="A144" s="119"/>
      <c r="B144" s="138" t="str">
        <f t="shared" si="7"/>
        <v>Windrow</v>
      </c>
      <c r="C144" s="138" t="str">
        <f t="shared" si="6"/>
        <v>Base_With Amendment</v>
      </c>
      <c r="D144" s="118" t="s">
        <v>130</v>
      </c>
      <c r="E144" s="118" t="s">
        <v>130</v>
      </c>
      <c r="F144" s="118" t="s">
        <v>46</v>
      </c>
      <c r="G144" s="153"/>
      <c r="H144" s="155">
        <v>-0.1605</v>
      </c>
      <c r="I144" s="154" t="s">
        <v>149</v>
      </c>
      <c r="J144" s="204">
        <v>-6.45E-3</v>
      </c>
      <c r="K144" s="154" t="s">
        <v>24</v>
      </c>
      <c r="L144" s="154" t="str">
        <f>IF(OpenLCAbasic!K144="CTUh", "Fill in Manually",IF(OR(K144="Unit", K144=""), "", INDEX(LookUps!$E$5:$E$12, MATCH(OpenLCAbasic!K144,LookUps!$D$5:$D$12,0))))</f>
        <v>Acidification Potential (AP) - kg SO2 eq</v>
      </c>
      <c r="M144" s="154" t="str">
        <f t="shared" si="8"/>
        <v>Base_Base_Upgraded_Acidification Potential (AP) - kg SO2 eq_Anaerobic Digestion; wastewater treatment unit; at updated plant - US_Base_With Amendment_Windrow</v>
      </c>
    </row>
    <row r="145" spans="1:13" s="120" customFormat="1" x14ac:dyDescent="0.25">
      <c r="A145" s="119"/>
      <c r="B145" s="138" t="str">
        <f t="shared" si="7"/>
        <v/>
      </c>
      <c r="C145" s="138" t="str">
        <f t="shared" si="6"/>
        <v/>
      </c>
      <c r="D145" s="118"/>
      <c r="E145" s="118"/>
      <c r="F145" s="118"/>
      <c r="G145" s="153" t="s">
        <v>51</v>
      </c>
      <c r="H145" s="155"/>
      <c r="I145" s="154" t="s">
        <v>47</v>
      </c>
      <c r="J145" s="156" t="s">
        <v>52</v>
      </c>
      <c r="K145" s="154" t="s">
        <v>27</v>
      </c>
      <c r="L145" s="154" t="str">
        <f>IF(OpenLCAbasic!K145="CTUh", "Fill in Manually",IF(OR(K145="Unit", K145=""), "", INDEX(LookUps!$E$5:$E$12, MATCH(OpenLCAbasic!K145,LookUps!$D$5:$D$12,0))))</f>
        <v/>
      </c>
      <c r="M145" s="154" t="str">
        <f t="shared" si="8"/>
        <v>____Process__</v>
      </c>
    </row>
    <row r="146" spans="1:13" s="120" customFormat="1" x14ac:dyDescent="0.25">
      <c r="A146" s="119"/>
      <c r="B146" s="138" t="str">
        <f t="shared" si="7"/>
        <v>Windrow</v>
      </c>
      <c r="C146" s="138" t="str">
        <f t="shared" si="6"/>
        <v>Base_With Amendment</v>
      </c>
      <c r="D146" s="118" t="s">
        <v>130</v>
      </c>
      <c r="E146" s="118" t="s">
        <v>130</v>
      </c>
      <c r="F146" s="118" t="s">
        <v>46</v>
      </c>
      <c r="G146" s="153"/>
      <c r="H146" s="155">
        <v>0.5141</v>
      </c>
      <c r="I146" s="154" t="s">
        <v>55</v>
      </c>
      <c r="J146" s="204">
        <v>2.33E-3</v>
      </c>
      <c r="K146" s="154" t="s">
        <v>145</v>
      </c>
      <c r="L146" s="154" t="str">
        <f>IF(OpenLCAbasic!K146="CTUh", "Fill in Manually",IF(OR(K146="Unit", K146=""), "", INDEX(LookUps!$E$5:$E$12, MATCH(OpenLCAbasic!K146,LookUps!$D$5:$D$12,0))))</f>
        <v>Particulate Matter Formation Potential (PMFP) - kg PM2.5 eq</v>
      </c>
      <c r="M146" s="154" t="str">
        <f t="shared" si="8"/>
        <v>Base_Base_Upgraded_Particulate Matter Formation Potential (PMFP) - kg PM2.5 eq_Aeration Tanks; wastewater treatment unit; at updated plant - US_Base_With Amendment_Windrow</v>
      </c>
    </row>
    <row r="147" spans="1:13" s="120" customFormat="1" x14ac:dyDescent="0.25">
      <c r="A147" s="119"/>
      <c r="B147" s="138" t="str">
        <f t="shared" si="7"/>
        <v>Windrow</v>
      </c>
      <c r="C147" s="138" t="str">
        <f t="shared" si="6"/>
        <v>Base_With Amendment</v>
      </c>
      <c r="D147" s="118" t="s">
        <v>130</v>
      </c>
      <c r="E147" s="118" t="s">
        <v>130</v>
      </c>
      <c r="F147" s="118" t="s">
        <v>46</v>
      </c>
      <c r="G147" s="153"/>
      <c r="H147" s="155">
        <v>0.14960000000000001</v>
      </c>
      <c r="I147" s="154" t="s">
        <v>54</v>
      </c>
      <c r="J147" s="204">
        <v>6.8000000000000005E-4</v>
      </c>
      <c r="K147" s="154" t="s">
        <v>145</v>
      </c>
      <c r="L147" s="154" t="str">
        <f>IF(OpenLCAbasic!K147="CTUh", "Fill in Manually",IF(OR(K147="Unit", K147=""), "", INDEX(LookUps!$E$5:$E$12, MATCH(OpenLCAbasic!K147,LookUps!$D$5:$D$12,0))))</f>
        <v>Particulate Matter Formation Potential (PMFP) - kg PM2.5 eq</v>
      </c>
      <c r="M147" s="154" t="str">
        <f t="shared" si="8"/>
        <v>Base_Base_Upgraded_Particulate Matter Formation Potential (PMFP) - kg PM2.5 eq_Clear Cove Primary Clarification; wastewater treatment unit; at updated plant - US_Base_With Amendment_Windrow</v>
      </c>
    </row>
    <row r="148" spans="1:13" s="120" customFormat="1" x14ac:dyDescent="0.25">
      <c r="A148" s="119"/>
      <c r="B148" s="138" t="str">
        <f t="shared" si="7"/>
        <v>Windrow</v>
      </c>
      <c r="C148" s="138" t="str">
        <f t="shared" si="6"/>
        <v>Base_With Amendment</v>
      </c>
      <c r="D148" s="118" t="s">
        <v>130</v>
      </c>
      <c r="E148" s="118" t="s">
        <v>130</v>
      </c>
      <c r="F148" s="118" t="s">
        <v>46</v>
      </c>
      <c r="G148" s="153"/>
      <c r="H148" s="155">
        <v>0.1293</v>
      </c>
      <c r="I148" s="154" t="s">
        <v>58</v>
      </c>
      <c r="J148" s="204">
        <v>5.9000000000000003E-4</v>
      </c>
      <c r="K148" s="154" t="s">
        <v>145</v>
      </c>
      <c r="L148" s="154" t="str">
        <f>IF(OpenLCAbasic!K148="CTUh", "Fill in Manually",IF(OR(K148="Unit", K148=""), "", INDEX(LookUps!$E$5:$E$12, MATCH(OpenLCAbasic!K148,LookUps!$D$5:$D$12,0))))</f>
        <v>Particulate Matter Formation Potential (PMFP) - kg PM2.5 eq</v>
      </c>
      <c r="M148" s="154" t="str">
        <f t="shared" si="8"/>
        <v>Base_Base_Upgraded_Particulate Matter Formation Potential (PMFP) - kg PM2.5 eq_Pre-Anoxic &amp; Swing tank; wastewater treatment unit; at updated plant - US_Base_With Amendment_Windrow</v>
      </c>
    </row>
    <row r="149" spans="1:13" s="120" customFormat="1" x14ac:dyDescent="0.25">
      <c r="A149" s="119"/>
      <c r="B149" s="138" t="str">
        <f t="shared" si="7"/>
        <v>Windrow</v>
      </c>
      <c r="C149" s="138" t="str">
        <f t="shared" si="6"/>
        <v>Base_With Amendment</v>
      </c>
      <c r="D149" s="118" t="s">
        <v>130</v>
      </c>
      <c r="E149" s="118" t="s">
        <v>130</v>
      </c>
      <c r="F149" s="118" t="s">
        <v>46</v>
      </c>
      <c r="G149" s="153"/>
      <c r="H149" s="155">
        <v>0.1028</v>
      </c>
      <c r="I149" s="154" t="s">
        <v>53</v>
      </c>
      <c r="J149" s="204">
        <v>4.6999999999999999E-4</v>
      </c>
      <c r="K149" s="154" t="s">
        <v>145</v>
      </c>
      <c r="L149" s="154" t="str">
        <f>IF(OpenLCAbasic!K149="CTUh", "Fill in Manually",IF(OR(K149="Unit", K149=""), "", INDEX(LookUps!$E$5:$E$12, MATCH(OpenLCAbasic!K149,LookUps!$D$5:$D$12,0))))</f>
        <v>Particulate Matter Formation Potential (PMFP) - kg PM2.5 eq</v>
      </c>
      <c r="M149" s="154" t="str">
        <f t="shared" si="8"/>
        <v>Base_Base_Upgraded_Particulate Matter Formation Potential (PMFP) - kg PM2.5 eq_Wet Well and Sump Station; wastewater treatment unit; at updated plant - US_Base_With Amendment_Windrow</v>
      </c>
    </row>
    <row r="150" spans="1:13" s="120" customFormat="1" x14ac:dyDescent="0.25">
      <c r="A150" s="119"/>
      <c r="B150" s="138" t="str">
        <f t="shared" si="7"/>
        <v>Windrow</v>
      </c>
      <c r="C150" s="138" t="str">
        <f t="shared" si="6"/>
        <v>Base_With Amendment</v>
      </c>
      <c r="D150" s="118" t="s">
        <v>130</v>
      </c>
      <c r="E150" s="118" t="s">
        <v>130</v>
      </c>
      <c r="F150" s="118" t="s">
        <v>46</v>
      </c>
      <c r="G150" s="153"/>
      <c r="H150" s="155">
        <v>6.59E-2</v>
      </c>
      <c r="I150" s="154" t="s">
        <v>167</v>
      </c>
      <c r="J150" s="204">
        <v>2.9999999999999997E-4</v>
      </c>
      <c r="K150" s="154" t="s">
        <v>145</v>
      </c>
      <c r="L150" s="154" t="str">
        <f>IF(OpenLCAbasic!K150="CTUh", "Fill in Manually",IF(OR(K150="Unit", K150=""), "", INDEX(LookUps!$E$5:$E$12, MATCH(OpenLCAbasic!K150,LookUps!$D$5:$D$12,0))))</f>
        <v>Particulate Matter Formation Potential (PMFP) - kg PM2.5 eq</v>
      </c>
      <c r="M150" s="154" t="str">
        <f t="shared" si="8"/>
        <v>Base_Base_Upgraded_Particulate Matter Formation Potential (PMFP) - kg PM2.5 eq_Waste Receiving and Holding; wastewater treatment unit; at updated plant - US_Base_With Amendment_Windrow</v>
      </c>
    </row>
    <row r="151" spans="1:13" s="120" customFormat="1" x14ac:dyDescent="0.25">
      <c r="A151" s="119"/>
      <c r="B151" s="138" t="str">
        <f t="shared" si="7"/>
        <v>Windrow</v>
      </c>
      <c r="C151" s="138" t="str">
        <f t="shared" si="6"/>
        <v>Base_With Amendment</v>
      </c>
      <c r="D151" s="118" t="s">
        <v>130</v>
      </c>
      <c r="E151" s="118" t="s">
        <v>130</v>
      </c>
      <c r="F151" s="118" t="s">
        <v>46</v>
      </c>
      <c r="G151" s="153"/>
      <c r="H151" s="155">
        <v>5.8799999999999998E-2</v>
      </c>
      <c r="I151" s="154" t="s">
        <v>147</v>
      </c>
      <c r="J151" s="204">
        <v>2.7E-4</v>
      </c>
      <c r="K151" s="154" t="s">
        <v>145</v>
      </c>
      <c r="L151" s="154" t="str">
        <f>IF(OpenLCAbasic!K151="CTUh", "Fill in Manually",IF(OR(K151="Unit", K151=""), "", INDEX(LookUps!$E$5:$E$12, MATCH(OpenLCAbasic!K151,LookUps!$D$5:$D$12,0))))</f>
        <v>Particulate Matter Formation Potential (PMFP) - kg PM2.5 eq</v>
      </c>
      <c r="M151" s="154" t="str">
        <f t="shared" si="8"/>
        <v>Base_Base_Upgraded_Particulate Matter Formation Potential (PMFP) - kg PM2.5 eq_Influent Pump Station; wastewater treatment unit; at updated plant - US_Base_With Amendment_Windrow</v>
      </c>
    </row>
    <row r="152" spans="1:13" s="120" customFormat="1" x14ac:dyDescent="0.25">
      <c r="A152" s="119"/>
      <c r="B152" s="138" t="str">
        <f t="shared" si="7"/>
        <v>Windrow</v>
      </c>
      <c r="C152" s="138" t="str">
        <f t="shared" si="6"/>
        <v>Base_With Amendment</v>
      </c>
      <c r="D152" s="118" t="s">
        <v>130</v>
      </c>
      <c r="E152" s="118" t="s">
        <v>130</v>
      </c>
      <c r="F152" s="118" t="s">
        <v>46</v>
      </c>
      <c r="G152" s="153"/>
      <c r="H152" s="155">
        <v>4.4900000000000002E-2</v>
      </c>
      <c r="I152" s="154" t="s">
        <v>271</v>
      </c>
      <c r="J152" s="204">
        <v>2.0000000000000001E-4</v>
      </c>
      <c r="K152" s="154" t="s">
        <v>145</v>
      </c>
      <c r="L152" s="154" t="str">
        <f>IF(OpenLCAbasic!K152="CTUh", "Fill in Manually",IF(OR(K152="Unit", K152=""), "", INDEX(LookUps!$E$5:$E$12, MATCH(OpenLCAbasic!K152,LookUps!$D$5:$D$12,0))))</f>
        <v>Particulate Matter Formation Potential (PMFP) - kg PM2.5 eq</v>
      </c>
      <c r="M152" s="154" t="str">
        <f t="shared" si="8"/>
        <v>Base_Base_Upgraded_Particulate Matter Formation Potential (PMFP) - kg PM2.5 eq_Biosolids composting; windrow composting; wastewater treatment unit; at updated plant - US_Base_With Amendment_Windrow</v>
      </c>
    </row>
    <row r="153" spans="1:13" s="120" customFormat="1" x14ac:dyDescent="0.25">
      <c r="A153" s="119"/>
      <c r="B153" s="138" t="str">
        <f t="shared" si="7"/>
        <v>Windrow</v>
      </c>
      <c r="C153" s="138" t="str">
        <f t="shared" si="6"/>
        <v>Base_With Amendment</v>
      </c>
      <c r="D153" s="118" t="s">
        <v>130</v>
      </c>
      <c r="E153" s="118" t="s">
        <v>130</v>
      </c>
      <c r="F153" s="118" t="s">
        <v>46</v>
      </c>
      <c r="G153" s="153"/>
      <c r="H153" s="155">
        <v>3.6700000000000003E-2</v>
      </c>
      <c r="I153" s="154" t="s">
        <v>128</v>
      </c>
      <c r="J153" s="204">
        <v>1.7000000000000001E-4</v>
      </c>
      <c r="K153" s="154" t="s">
        <v>145</v>
      </c>
      <c r="L153" s="154" t="str">
        <f>IF(OpenLCAbasic!K153="CTUh", "Fill in Manually",IF(OR(K153="Unit", K153=""), "", INDEX(LookUps!$E$5:$E$12, MATCH(OpenLCAbasic!K153,LookUps!$D$5:$D$12,0))))</f>
        <v>Particulate Matter Formation Potential (PMFP) - kg PM2.5 eq</v>
      </c>
      <c r="M153" s="154" t="str">
        <f t="shared" si="8"/>
        <v>Base_Base_Upgraded_Particulate Matter Formation Potential (PMFP) - kg PM2.5 eq_Wastewater collection; operation and infrastructure; m3 wastewater_Base_With Amendment_Windrow</v>
      </c>
    </row>
    <row r="154" spans="1:13" s="120" customFormat="1" x14ac:dyDescent="0.25">
      <c r="A154" s="119"/>
      <c r="B154" s="138" t="str">
        <f t="shared" si="7"/>
        <v>Windrow</v>
      </c>
      <c r="C154" s="138" t="str">
        <f t="shared" si="6"/>
        <v>Base_With Amendment</v>
      </c>
      <c r="D154" s="118" t="s">
        <v>130</v>
      </c>
      <c r="E154" s="118" t="s">
        <v>130</v>
      </c>
      <c r="F154" s="118" t="s">
        <v>46</v>
      </c>
      <c r="G154" s="153"/>
      <c r="H154" s="155">
        <v>2.3E-2</v>
      </c>
      <c r="I154" s="154" t="s">
        <v>60</v>
      </c>
      <c r="J154" s="204">
        <v>1E-4</v>
      </c>
      <c r="K154" s="154" t="s">
        <v>145</v>
      </c>
      <c r="L154" s="154" t="str">
        <f>IF(OpenLCAbasic!K154="CTUh", "Fill in Manually",IF(OR(K154="Unit", K154=""), "", INDEX(LookUps!$E$5:$E$12, MATCH(OpenLCAbasic!K154,LookUps!$D$5:$D$12,0))))</f>
        <v>Particulate Matter Formation Potential (PMFP) - kg PM2.5 eq</v>
      </c>
      <c r="M154" s="154" t="str">
        <f t="shared" si="8"/>
        <v>Base_Base_Upgraded_Particulate Matter Formation Potential (PMFP) - kg PM2.5 eq_Belt filter press; wastewater treatment unit; at updated plant - US_Base_With Amendment_Windrow</v>
      </c>
    </row>
    <row r="155" spans="1:13" s="120" customFormat="1" x14ac:dyDescent="0.25">
      <c r="A155" s="119"/>
      <c r="B155" s="138" t="str">
        <f t="shared" si="7"/>
        <v>Windrow</v>
      </c>
      <c r="C155" s="138" t="str">
        <f t="shared" si="6"/>
        <v>Base_With Amendment</v>
      </c>
      <c r="D155" s="118" t="s">
        <v>130</v>
      </c>
      <c r="E155" s="118" t="s">
        <v>130</v>
      </c>
      <c r="F155" s="118" t="s">
        <v>46</v>
      </c>
      <c r="G155" s="153"/>
      <c r="H155" s="155">
        <v>2.1000000000000001E-2</v>
      </c>
      <c r="I155" s="154" t="s">
        <v>57</v>
      </c>
      <c r="J155" s="204">
        <v>9.5153800000000004E-5</v>
      </c>
      <c r="K155" s="154" t="s">
        <v>145</v>
      </c>
      <c r="L155" s="154" t="str">
        <f>IF(OpenLCAbasic!K155="CTUh", "Fill in Manually",IF(OR(K155="Unit", K155=""), "", INDEX(LookUps!$E$5:$E$12, MATCH(OpenLCAbasic!K155,LookUps!$D$5:$D$12,0))))</f>
        <v>Particulate Matter Formation Potential (PMFP) - kg PM2.5 eq</v>
      </c>
      <c r="M155" s="154" t="str">
        <f t="shared" si="8"/>
        <v>Base_Base_Upgraded_Particulate Matter Formation Potential (PMFP) - kg PM2.5 eq_Gravity Belt Thickener; wastewater treatment unit; at updated plant - US_Base_With Amendment_Windrow</v>
      </c>
    </row>
    <row r="156" spans="1:13" s="120" customFormat="1" x14ac:dyDescent="0.25">
      <c r="A156" s="119"/>
      <c r="B156" s="138" t="str">
        <f t="shared" si="7"/>
        <v>Windrow</v>
      </c>
      <c r="C156" s="138" t="str">
        <f t="shared" si="6"/>
        <v>Base_With Amendment</v>
      </c>
      <c r="D156" s="118" t="s">
        <v>130</v>
      </c>
      <c r="E156" s="118" t="s">
        <v>130</v>
      </c>
      <c r="F156" s="118" t="s">
        <v>46</v>
      </c>
      <c r="G156" s="153"/>
      <c r="H156" s="155">
        <v>1.54E-2</v>
      </c>
      <c r="I156" s="154" t="s">
        <v>59</v>
      </c>
      <c r="J156" s="204">
        <v>6.9942200000000003E-5</v>
      </c>
      <c r="K156" s="154" t="s">
        <v>145</v>
      </c>
      <c r="L156" s="154" t="str">
        <f>IF(OpenLCAbasic!K156="CTUh", "Fill in Manually",IF(OR(K156="Unit", K156=""), "", INDEX(LookUps!$E$5:$E$12, MATCH(OpenLCAbasic!K156,LookUps!$D$5:$D$12,0))))</f>
        <v>Particulate Matter Formation Potential (PMFP) - kg PM2.5 eq</v>
      </c>
      <c r="M156" s="154" t="str">
        <f t="shared" si="8"/>
        <v>Base_Base_Upgraded_Particulate Matter Formation Potential (PMFP) - kg PM2.5 eq_Blend Tank; wastewater treatment unit; at updated plant - US_Base_With Amendment_Windrow</v>
      </c>
    </row>
    <row r="157" spans="1:13" s="120" customFormat="1" x14ac:dyDescent="0.25">
      <c r="A157" s="119"/>
      <c r="B157" s="138" t="str">
        <f t="shared" si="7"/>
        <v>Windrow</v>
      </c>
      <c r="C157" s="138" t="str">
        <f t="shared" si="6"/>
        <v>Base_With Amendment</v>
      </c>
      <c r="D157" s="118" t="s">
        <v>130</v>
      </c>
      <c r="E157" s="118" t="s">
        <v>130</v>
      </c>
      <c r="F157" s="118" t="s">
        <v>46</v>
      </c>
      <c r="G157" s="153"/>
      <c r="H157" s="155">
        <v>1.0999999999999999E-2</v>
      </c>
      <c r="I157" s="154" t="s">
        <v>48</v>
      </c>
      <c r="J157" s="204">
        <v>4.99741E-5</v>
      </c>
      <c r="K157" s="154" t="s">
        <v>145</v>
      </c>
      <c r="L157" s="154" t="str">
        <f>IF(OpenLCAbasic!K157="CTUh", "Fill in Manually",IF(OR(K157="Unit", K157=""), "", INDEX(LookUps!$E$5:$E$12, MATCH(OpenLCAbasic!K157,LookUps!$D$5:$D$12,0))))</f>
        <v>Particulate Matter Formation Potential (PMFP) - kg PM2.5 eq</v>
      </c>
      <c r="M157" s="154" t="str">
        <f t="shared" si="8"/>
        <v>Base_Base_Upgraded_Particulate Matter Formation Potential (PMFP) - kg PM2.5 eq_Effluent release; wastewater treatment unit; at surface water; m3 wastewater - US_Base_With Amendment_Windrow</v>
      </c>
    </row>
    <row r="158" spans="1:13" s="120" customFormat="1" x14ac:dyDescent="0.25">
      <c r="A158" s="119"/>
      <c r="B158" s="138" t="str">
        <f t="shared" si="7"/>
        <v>Windrow</v>
      </c>
      <c r="C158" s="138" t="str">
        <f t="shared" si="6"/>
        <v>Base_With Amendment</v>
      </c>
      <c r="D158" s="118" t="s">
        <v>130</v>
      </c>
      <c r="E158" s="118" t="s">
        <v>130</v>
      </c>
      <c r="F158" s="118" t="s">
        <v>46</v>
      </c>
      <c r="G158" s="153"/>
      <c r="H158" s="155">
        <v>9.4999999999999998E-3</v>
      </c>
      <c r="I158" s="154" t="s">
        <v>62</v>
      </c>
      <c r="J158" s="204">
        <v>4.3225800000000002E-5</v>
      </c>
      <c r="K158" s="154" t="s">
        <v>145</v>
      </c>
      <c r="L158" s="154" t="str">
        <f>IF(OpenLCAbasic!K158="CTUh", "Fill in Manually",IF(OR(K158="Unit", K158=""), "", INDEX(LookUps!$E$5:$E$12, MATCH(OpenLCAbasic!K158,LookUps!$D$5:$D$12,0))))</f>
        <v>Particulate Matter Formation Potential (PMFP) - kg PM2.5 eq</v>
      </c>
      <c r="M158" s="154" t="str">
        <f t="shared" si="8"/>
        <v>Base_Base_Upgraded_Particulate Matter Formation Potential (PMFP) - kg PM2.5 eq_Land application of compost; wastewater treatment unit; at updated plant - US_Base_With Amendment_Windrow</v>
      </c>
    </row>
    <row r="159" spans="1:13" s="120" customFormat="1" x14ac:dyDescent="0.25">
      <c r="A159" s="119"/>
      <c r="B159" s="138" t="str">
        <f t="shared" si="7"/>
        <v>Windrow</v>
      </c>
      <c r="C159" s="138" t="str">
        <f t="shared" ref="C159:C222" si="9">IF(E159&lt;&gt;"", "Base_With Amendment","")</f>
        <v>Base_With Amendment</v>
      </c>
      <c r="D159" s="118" t="s">
        <v>130</v>
      </c>
      <c r="E159" s="118" t="s">
        <v>130</v>
      </c>
      <c r="F159" s="118" t="s">
        <v>46</v>
      </c>
      <c r="G159" s="153"/>
      <c r="H159" s="155">
        <v>7.6E-3</v>
      </c>
      <c r="I159" s="154" t="s">
        <v>168</v>
      </c>
      <c r="J159" s="204">
        <v>3.4562199999999999E-5</v>
      </c>
      <c r="K159" s="154" t="s">
        <v>145</v>
      </c>
      <c r="L159" s="154" t="str">
        <f>IF(OpenLCAbasic!K159="CTUh", "Fill in Manually",IF(OR(K159="Unit", K159=""), "", INDEX(LookUps!$E$5:$E$12, MATCH(OpenLCAbasic!K159,LookUps!$D$5:$D$12,0))))</f>
        <v>Particulate Matter Formation Potential (PMFP) - kg PM2.5 eq</v>
      </c>
      <c r="M159" s="154" t="str">
        <f t="shared" si="8"/>
        <v>Base_Base_Upgraded_Particulate Matter Formation Potential (PMFP) - kg PM2.5 eq_ClearCove SCP; wastewater treatment unit; at updated plant - US_Base_With Amendment_Windrow</v>
      </c>
    </row>
    <row r="160" spans="1:13" s="120" customFormat="1" x14ac:dyDescent="0.25">
      <c r="A160" s="119"/>
      <c r="B160" s="138" t="str">
        <f t="shared" si="7"/>
        <v>Windrow</v>
      </c>
      <c r="C160" s="138" t="str">
        <f t="shared" si="9"/>
        <v>Base_With Amendment</v>
      </c>
      <c r="D160" s="118" t="s">
        <v>130</v>
      </c>
      <c r="E160" s="118" t="s">
        <v>130</v>
      </c>
      <c r="F160" s="118" t="s">
        <v>46</v>
      </c>
      <c r="G160" s="153"/>
      <c r="H160" s="155">
        <v>1.9E-3</v>
      </c>
      <c r="I160" s="154" t="s">
        <v>148</v>
      </c>
      <c r="J160" s="204">
        <v>8.8212999999999997E-6</v>
      </c>
      <c r="K160" s="154" t="s">
        <v>145</v>
      </c>
      <c r="L160" s="154" t="str">
        <f>IF(OpenLCAbasic!K160="CTUh", "Fill in Manually",IF(OR(K160="Unit", K160=""), "", INDEX(LookUps!$E$5:$E$12, MATCH(OpenLCAbasic!K160,LookUps!$D$5:$D$12,0))))</f>
        <v>Particulate Matter Formation Potential (PMFP) - kg PM2.5 eq</v>
      </c>
      <c r="M160" s="154" t="str">
        <f t="shared" si="8"/>
        <v>Base_Base_Upgraded_Particulate Matter Formation Potential (PMFP) - kg PM2.5 eq_Control Building; at upgraded wastewater treatment plant - US_Base_With Amendment_Windrow</v>
      </c>
    </row>
    <row r="161" spans="1:13" s="120" customFormat="1" x14ac:dyDescent="0.25">
      <c r="A161" s="119"/>
      <c r="B161" s="138" t="str">
        <f t="shared" si="7"/>
        <v>Windrow</v>
      </c>
      <c r="C161" s="138" t="str">
        <f t="shared" si="9"/>
        <v>Base_With Amendment</v>
      </c>
      <c r="D161" s="118" t="s">
        <v>130</v>
      </c>
      <c r="E161" s="118" t="s">
        <v>130</v>
      </c>
      <c r="F161" s="118" t="s">
        <v>46</v>
      </c>
      <c r="G161" s="153"/>
      <c r="H161" s="155">
        <v>-0.19139999999999999</v>
      </c>
      <c r="I161" s="154" t="s">
        <v>149</v>
      </c>
      <c r="J161" s="204">
        <v>-8.7000000000000001E-4</v>
      </c>
      <c r="K161" s="154" t="s">
        <v>145</v>
      </c>
      <c r="L161" s="154" t="str">
        <f>IF(OpenLCAbasic!K161="CTUh", "Fill in Manually",IF(OR(K161="Unit", K161=""), "", INDEX(LookUps!$E$5:$E$12, MATCH(OpenLCAbasic!K161,LookUps!$D$5:$D$12,0))))</f>
        <v>Particulate Matter Formation Potential (PMFP) - kg PM2.5 eq</v>
      </c>
      <c r="M161" s="154" t="str">
        <f t="shared" si="8"/>
        <v>Base_Base_Upgraded_Particulate Matter Formation Potential (PMFP) - kg PM2.5 eq_Anaerobic Digestion; wastewater treatment unit; at updated plant - US_Base_With Amendment_Windrow</v>
      </c>
    </row>
    <row r="162" spans="1:13" s="120" customFormat="1" x14ac:dyDescent="0.25">
      <c r="A162" s="119"/>
      <c r="B162" s="138" t="str">
        <f t="shared" si="7"/>
        <v/>
      </c>
      <c r="C162" s="138" t="str">
        <f t="shared" si="9"/>
        <v/>
      </c>
      <c r="D162" s="118"/>
      <c r="E162" s="118"/>
      <c r="F162" s="118"/>
      <c r="G162" s="153" t="s">
        <v>51</v>
      </c>
      <c r="H162" s="155"/>
      <c r="I162" s="154" t="s">
        <v>47</v>
      </c>
      <c r="J162" s="156" t="s">
        <v>52</v>
      </c>
      <c r="K162" s="154" t="s">
        <v>27</v>
      </c>
      <c r="L162" s="154" t="str">
        <f>IF(OpenLCAbasic!K162="CTUh", "Fill in Manually",IF(OR(K162="Unit", K162=""), "", INDEX(LookUps!$E$5:$E$12, MATCH(OpenLCAbasic!K162,LookUps!$D$5:$D$12,0))))</f>
        <v/>
      </c>
      <c r="M162" s="154" t="str">
        <f t="shared" si="8"/>
        <v>____Process__</v>
      </c>
    </row>
    <row r="163" spans="1:13" s="120" customFormat="1" x14ac:dyDescent="0.25">
      <c r="A163" s="119"/>
      <c r="B163" s="138" t="str">
        <f t="shared" si="7"/>
        <v>Windrow</v>
      </c>
      <c r="C163" s="138" t="str">
        <f t="shared" si="9"/>
        <v>Base_With Amendment</v>
      </c>
      <c r="D163" s="118" t="s">
        <v>130</v>
      </c>
      <c r="E163" s="118" t="s">
        <v>130</v>
      </c>
      <c r="F163" s="118" t="s">
        <v>46</v>
      </c>
      <c r="G163" s="153"/>
      <c r="H163" s="155">
        <v>0.53520000000000001</v>
      </c>
      <c r="I163" s="154" t="s">
        <v>55</v>
      </c>
      <c r="J163" s="203">
        <v>0.16577</v>
      </c>
      <c r="K163" s="154" t="s">
        <v>25</v>
      </c>
      <c r="L163" s="154" t="str">
        <f>IF(OpenLCAbasic!K163="CTUh", "Fill in Manually",IF(OR(K163="Unit", K163=""), "", INDEX(LookUps!$E$5:$E$12, MATCH(OpenLCAbasic!K163,LookUps!$D$5:$D$12,0))))</f>
        <v>Smog Formation Potential (SFP) - kg O3 eq</v>
      </c>
      <c r="M163" s="154" t="str">
        <f t="shared" si="8"/>
        <v>Base_Base_Upgraded_Smog Formation Potential (SFP) - kg O3 eq_Aeration Tanks; wastewater treatment unit; at updated plant - US_Base_With Amendment_Windrow</v>
      </c>
    </row>
    <row r="164" spans="1:13" s="120" customFormat="1" x14ac:dyDescent="0.25">
      <c r="A164" s="119"/>
      <c r="B164" s="138" t="str">
        <f t="shared" si="7"/>
        <v>Windrow</v>
      </c>
      <c r="C164" s="138" t="str">
        <f t="shared" si="9"/>
        <v>Base_With Amendment</v>
      </c>
      <c r="D164" s="118" t="s">
        <v>130</v>
      </c>
      <c r="E164" s="118" t="s">
        <v>130</v>
      </c>
      <c r="F164" s="118" t="s">
        <v>46</v>
      </c>
      <c r="G164" s="153"/>
      <c r="H164" s="155">
        <v>0.1552</v>
      </c>
      <c r="I164" s="154" t="s">
        <v>54</v>
      </c>
      <c r="J164" s="203">
        <v>4.8070000000000002E-2</v>
      </c>
      <c r="K164" s="154" t="s">
        <v>25</v>
      </c>
      <c r="L164" s="154" t="str">
        <f>IF(OpenLCAbasic!K164="CTUh", "Fill in Manually",IF(OR(K164="Unit", K164=""), "", INDEX(LookUps!$E$5:$E$12, MATCH(OpenLCAbasic!K164,LookUps!$D$5:$D$12,0))))</f>
        <v>Smog Formation Potential (SFP) - kg O3 eq</v>
      </c>
      <c r="M164" s="154" t="str">
        <f t="shared" si="8"/>
        <v>Base_Base_Upgraded_Smog Formation Potential (SFP) - kg O3 eq_Clear Cove Primary Clarification; wastewater treatment unit; at updated plant - US_Base_With Amendment_Windrow</v>
      </c>
    </row>
    <row r="165" spans="1:13" s="120" customFormat="1" x14ac:dyDescent="0.25">
      <c r="A165" s="119"/>
      <c r="B165" s="138" t="str">
        <f t="shared" si="7"/>
        <v>Windrow</v>
      </c>
      <c r="C165" s="138" t="str">
        <f t="shared" si="9"/>
        <v>Base_With Amendment</v>
      </c>
      <c r="D165" s="118" t="s">
        <v>130</v>
      </c>
      <c r="E165" s="118" t="s">
        <v>130</v>
      </c>
      <c r="F165" s="118" t="s">
        <v>46</v>
      </c>
      <c r="G165" s="153"/>
      <c r="H165" s="155">
        <v>0.13489999999999999</v>
      </c>
      <c r="I165" s="154" t="s">
        <v>58</v>
      </c>
      <c r="J165" s="203">
        <v>4.1779999999999998E-2</v>
      </c>
      <c r="K165" s="154" t="s">
        <v>25</v>
      </c>
      <c r="L165" s="154" t="str">
        <f>IF(OpenLCAbasic!K165="CTUh", "Fill in Manually",IF(OR(K165="Unit", K165=""), "", INDEX(LookUps!$E$5:$E$12, MATCH(OpenLCAbasic!K165,LookUps!$D$5:$D$12,0))))</f>
        <v>Smog Formation Potential (SFP) - kg O3 eq</v>
      </c>
      <c r="M165" s="154" t="str">
        <f t="shared" si="8"/>
        <v>Base_Base_Upgraded_Smog Formation Potential (SFP) - kg O3 eq_Pre-Anoxic &amp; Swing tank; wastewater treatment unit; at updated plant - US_Base_With Amendment_Windrow</v>
      </c>
    </row>
    <row r="166" spans="1:13" s="120" customFormat="1" x14ac:dyDescent="0.25">
      <c r="A166" s="119"/>
      <c r="B166" s="138" t="str">
        <f t="shared" si="7"/>
        <v>Windrow</v>
      </c>
      <c r="C166" s="138" t="str">
        <f t="shared" si="9"/>
        <v>Base_With Amendment</v>
      </c>
      <c r="D166" s="118" t="s">
        <v>130</v>
      </c>
      <c r="E166" s="118" t="s">
        <v>130</v>
      </c>
      <c r="F166" s="118" t="s">
        <v>46</v>
      </c>
      <c r="G166" s="153"/>
      <c r="H166" s="155">
        <v>0.1069</v>
      </c>
      <c r="I166" s="154" t="s">
        <v>53</v>
      </c>
      <c r="J166" s="203">
        <v>3.313E-2</v>
      </c>
      <c r="K166" s="154" t="s">
        <v>25</v>
      </c>
      <c r="L166" s="154" t="str">
        <f>IF(OpenLCAbasic!K166="CTUh", "Fill in Manually",IF(OR(K166="Unit", K166=""), "", INDEX(LookUps!$E$5:$E$12, MATCH(OpenLCAbasic!K166,LookUps!$D$5:$D$12,0))))</f>
        <v>Smog Formation Potential (SFP) - kg O3 eq</v>
      </c>
      <c r="M166" s="154" t="str">
        <f t="shared" si="8"/>
        <v>Base_Base_Upgraded_Smog Formation Potential (SFP) - kg O3 eq_Wet Well and Sump Station; wastewater treatment unit; at updated plant - US_Base_With Amendment_Windrow</v>
      </c>
    </row>
    <row r="167" spans="1:13" s="120" customFormat="1" x14ac:dyDescent="0.25">
      <c r="A167" s="119"/>
      <c r="B167" s="138" t="str">
        <f t="shared" si="7"/>
        <v>Windrow</v>
      </c>
      <c r="C167" s="138" t="str">
        <f t="shared" si="9"/>
        <v>Base_With Amendment</v>
      </c>
      <c r="D167" s="118" t="s">
        <v>130</v>
      </c>
      <c r="E167" s="118" t="s">
        <v>130</v>
      </c>
      <c r="F167" s="118" t="s">
        <v>46</v>
      </c>
      <c r="G167" s="153"/>
      <c r="H167" s="155">
        <v>9.0200000000000002E-2</v>
      </c>
      <c r="I167" s="154" t="s">
        <v>167</v>
      </c>
      <c r="J167" s="203">
        <v>2.7949999999999999E-2</v>
      </c>
      <c r="K167" s="154" t="s">
        <v>25</v>
      </c>
      <c r="L167" s="154" t="str">
        <f>IF(OpenLCAbasic!K167="CTUh", "Fill in Manually",IF(OR(K167="Unit", K167=""), "", INDEX(LookUps!$E$5:$E$12, MATCH(OpenLCAbasic!K167,LookUps!$D$5:$D$12,0))))</f>
        <v>Smog Formation Potential (SFP) - kg O3 eq</v>
      </c>
      <c r="M167" s="154" t="str">
        <f t="shared" si="8"/>
        <v>Base_Base_Upgraded_Smog Formation Potential (SFP) - kg O3 eq_Waste Receiving and Holding; wastewater treatment unit; at updated plant - US_Base_With Amendment_Windrow</v>
      </c>
    </row>
    <row r="168" spans="1:13" s="120" customFormat="1" x14ac:dyDescent="0.25">
      <c r="A168" s="119"/>
      <c r="B168" s="138" t="str">
        <f t="shared" si="7"/>
        <v>Windrow</v>
      </c>
      <c r="C168" s="138" t="str">
        <f t="shared" si="9"/>
        <v>Base_With Amendment</v>
      </c>
      <c r="D168" s="118" t="s">
        <v>130</v>
      </c>
      <c r="E168" s="118" t="s">
        <v>130</v>
      </c>
      <c r="F168" s="118" t="s">
        <v>46</v>
      </c>
      <c r="G168" s="153"/>
      <c r="H168" s="155">
        <v>6.2600000000000003E-2</v>
      </c>
      <c r="I168" s="154" t="s">
        <v>147</v>
      </c>
      <c r="J168" s="203">
        <v>1.9400000000000001E-2</v>
      </c>
      <c r="K168" s="154" t="s">
        <v>25</v>
      </c>
      <c r="L168" s="154" t="str">
        <f>IF(OpenLCAbasic!K168="CTUh", "Fill in Manually",IF(OR(K168="Unit", K168=""), "", INDEX(LookUps!$E$5:$E$12, MATCH(OpenLCAbasic!K168,LookUps!$D$5:$D$12,0))))</f>
        <v>Smog Formation Potential (SFP) - kg O3 eq</v>
      </c>
      <c r="M168" s="154" t="str">
        <f t="shared" si="8"/>
        <v>Base_Base_Upgraded_Smog Formation Potential (SFP) - kg O3 eq_Influent Pump Station; wastewater treatment unit; at updated plant - US_Base_With Amendment_Windrow</v>
      </c>
    </row>
    <row r="169" spans="1:13" s="120" customFormat="1" x14ac:dyDescent="0.25">
      <c r="A169" s="119"/>
      <c r="B169" s="138" t="str">
        <f t="shared" si="7"/>
        <v>Windrow</v>
      </c>
      <c r="C169" s="138" t="str">
        <f t="shared" si="9"/>
        <v>Base_With Amendment</v>
      </c>
      <c r="D169" s="118" t="s">
        <v>130</v>
      </c>
      <c r="E169" s="118" t="s">
        <v>130</v>
      </c>
      <c r="F169" s="118" t="s">
        <v>46</v>
      </c>
      <c r="G169" s="153"/>
      <c r="H169" s="155">
        <v>3.85E-2</v>
      </c>
      <c r="I169" s="154" t="s">
        <v>128</v>
      </c>
      <c r="J169" s="203">
        <v>1.192E-2</v>
      </c>
      <c r="K169" s="154" t="s">
        <v>25</v>
      </c>
      <c r="L169" s="154" t="str">
        <f>IF(OpenLCAbasic!K169="CTUh", "Fill in Manually",IF(OR(K169="Unit", K169=""), "", INDEX(LookUps!$E$5:$E$12, MATCH(OpenLCAbasic!K169,LookUps!$D$5:$D$12,0))))</f>
        <v>Smog Formation Potential (SFP) - kg O3 eq</v>
      </c>
      <c r="M169" s="154" t="str">
        <f t="shared" si="8"/>
        <v>Base_Base_Upgraded_Smog Formation Potential (SFP) - kg O3 eq_Wastewater collection; operation and infrastructure; m3 wastewater_Base_With Amendment_Windrow</v>
      </c>
    </row>
    <row r="170" spans="1:13" s="120" customFormat="1" x14ac:dyDescent="0.25">
      <c r="A170" s="119"/>
      <c r="B170" s="138" t="str">
        <f t="shared" si="7"/>
        <v>Windrow</v>
      </c>
      <c r="C170" s="138" t="str">
        <f t="shared" si="9"/>
        <v>Base_With Amendment</v>
      </c>
      <c r="D170" s="118" t="s">
        <v>130</v>
      </c>
      <c r="E170" s="118" t="s">
        <v>130</v>
      </c>
      <c r="F170" s="118" t="s">
        <v>46</v>
      </c>
      <c r="G170" s="153"/>
      <c r="H170" s="155">
        <v>2.3699999999999999E-2</v>
      </c>
      <c r="I170" s="154" t="s">
        <v>60</v>
      </c>
      <c r="J170" s="204">
        <v>7.3499999999999998E-3</v>
      </c>
      <c r="K170" s="154" t="s">
        <v>25</v>
      </c>
      <c r="L170" s="154" t="str">
        <f>IF(OpenLCAbasic!K170="CTUh", "Fill in Manually",IF(OR(K170="Unit", K170=""), "", INDEX(LookUps!$E$5:$E$12, MATCH(OpenLCAbasic!K170,LookUps!$D$5:$D$12,0))))</f>
        <v>Smog Formation Potential (SFP) - kg O3 eq</v>
      </c>
      <c r="M170" s="154" t="str">
        <f t="shared" si="8"/>
        <v>Base_Base_Upgraded_Smog Formation Potential (SFP) - kg O3 eq_Belt filter press; wastewater treatment unit; at updated plant - US_Base_With Amendment_Windrow</v>
      </c>
    </row>
    <row r="171" spans="1:13" s="120" customFormat="1" x14ac:dyDescent="0.25">
      <c r="A171" s="119"/>
      <c r="B171" s="138" t="str">
        <f t="shared" si="7"/>
        <v>Windrow</v>
      </c>
      <c r="C171" s="138" t="str">
        <f t="shared" si="9"/>
        <v>Base_With Amendment</v>
      </c>
      <c r="D171" s="118" t="s">
        <v>130</v>
      </c>
      <c r="E171" s="118" t="s">
        <v>130</v>
      </c>
      <c r="F171" s="118" t="s">
        <v>46</v>
      </c>
      <c r="G171" s="153"/>
      <c r="H171" s="155">
        <v>2.1499999999999998E-2</v>
      </c>
      <c r="I171" s="154" t="s">
        <v>57</v>
      </c>
      <c r="J171" s="204">
        <v>6.6499999999999997E-3</v>
      </c>
      <c r="K171" s="154" t="s">
        <v>25</v>
      </c>
      <c r="L171" s="154" t="str">
        <f>IF(OpenLCAbasic!K171="CTUh", "Fill in Manually",IF(OR(K171="Unit", K171=""), "", INDEX(LookUps!$E$5:$E$12, MATCH(OpenLCAbasic!K171,LookUps!$D$5:$D$12,0))))</f>
        <v>Smog Formation Potential (SFP) - kg O3 eq</v>
      </c>
      <c r="M171" s="154" t="str">
        <f t="shared" si="8"/>
        <v>Base_Base_Upgraded_Smog Formation Potential (SFP) - kg O3 eq_Gravity Belt Thickener; wastewater treatment unit; at updated plant - US_Base_With Amendment_Windrow</v>
      </c>
    </row>
    <row r="172" spans="1:13" s="120" customFormat="1" x14ac:dyDescent="0.25">
      <c r="A172" s="119"/>
      <c r="B172" s="138" t="str">
        <f t="shared" si="7"/>
        <v>Windrow</v>
      </c>
      <c r="C172" s="138" t="str">
        <f t="shared" si="9"/>
        <v>Base_With Amendment</v>
      </c>
      <c r="D172" s="118" t="s">
        <v>130</v>
      </c>
      <c r="E172" s="118" t="s">
        <v>130</v>
      </c>
      <c r="F172" s="118" t="s">
        <v>46</v>
      </c>
      <c r="G172" s="153"/>
      <c r="H172" s="155">
        <v>1.61E-2</v>
      </c>
      <c r="I172" s="154" t="s">
        <v>59</v>
      </c>
      <c r="J172" s="204">
        <v>4.9699999999999996E-3</v>
      </c>
      <c r="K172" s="154" t="s">
        <v>25</v>
      </c>
      <c r="L172" s="154" t="str">
        <f>IF(OpenLCAbasic!K172="CTUh", "Fill in Manually",IF(OR(K172="Unit", K172=""), "", INDEX(LookUps!$E$5:$E$12, MATCH(OpenLCAbasic!K172,LookUps!$D$5:$D$12,0))))</f>
        <v>Smog Formation Potential (SFP) - kg O3 eq</v>
      </c>
      <c r="M172" s="154" t="str">
        <f t="shared" si="8"/>
        <v>Base_Base_Upgraded_Smog Formation Potential (SFP) - kg O3 eq_Blend Tank; wastewater treatment unit; at updated plant - US_Base_With Amendment_Windrow</v>
      </c>
    </row>
    <row r="173" spans="1:13" s="120" customFormat="1" x14ac:dyDescent="0.25">
      <c r="A173" s="119"/>
      <c r="B173" s="138" t="str">
        <f t="shared" si="7"/>
        <v>Windrow</v>
      </c>
      <c r="C173" s="138" t="str">
        <f t="shared" si="9"/>
        <v>Base_With Amendment</v>
      </c>
      <c r="D173" s="118" t="s">
        <v>130</v>
      </c>
      <c r="E173" s="118" t="s">
        <v>130</v>
      </c>
      <c r="F173" s="118" t="s">
        <v>46</v>
      </c>
      <c r="G173" s="153"/>
      <c r="H173" s="155">
        <v>1.09E-2</v>
      </c>
      <c r="I173" s="154" t="s">
        <v>48</v>
      </c>
      <c r="J173" s="204">
        <v>3.3899999999999998E-3</v>
      </c>
      <c r="K173" s="154" t="s">
        <v>25</v>
      </c>
      <c r="L173" s="154" t="str">
        <f>IF(OpenLCAbasic!K173="CTUh", "Fill in Manually",IF(OR(K173="Unit", K173=""), "", INDEX(LookUps!$E$5:$E$12, MATCH(OpenLCAbasic!K173,LookUps!$D$5:$D$12,0))))</f>
        <v>Smog Formation Potential (SFP) - kg O3 eq</v>
      </c>
      <c r="M173" s="154" t="str">
        <f t="shared" si="8"/>
        <v>Base_Base_Upgraded_Smog Formation Potential (SFP) - kg O3 eq_Effluent release; wastewater treatment unit; at surface water; m3 wastewater - US_Base_With Amendment_Windrow</v>
      </c>
    </row>
    <row r="174" spans="1:13" s="120" customFormat="1" x14ac:dyDescent="0.25">
      <c r="A174" s="119"/>
      <c r="B174" s="138" t="str">
        <f t="shared" si="7"/>
        <v>Windrow</v>
      </c>
      <c r="C174" s="138" t="str">
        <f t="shared" si="9"/>
        <v>Base_With Amendment</v>
      </c>
      <c r="D174" s="118" t="s">
        <v>130</v>
      </c>
      <c r="E174" s="118" t="s">
        <v>130</v>
      </c>
      <c r="F174" s="118" t="s">
        <v>46</v>
      </c>
      <c r="G174" s="153"/>
      <c r="H174" s="155">
        <v>7.9000000000000008E-3</v>
      </c>
      <c r="I174" s="154" t="s">
        <v>168</v>
      </c>
      <c r="J174" s="204">
        <v>2.4599999999999999E-3</v>
      </c>
      <c r="K174" s="154" t="s">
        <v>25</v>
      </c>
      <c r="L174" s="154" t="str">
        <f>IF(OpenLCAbasic!K174="CTUh", "Fill in Manually",IF(OR(K174="Unit", K174=""), "", INDEX(LookUps!$E$5:$E$12, MATCH(OpenLCAbasic!K174,LookUps!$D$5:$D$12,0))))</f>
        <v>Smog Formation Potential (SFP) - kg O3 eq</v>
      </c>
      <c r="M174" s="154" t="str">
        <f t="shared" si="8"/>
        <v>Base_Base_Upgraded_Smog Formation Potential (SFP) - kg O3 eq_ClearCove SCP; wastewater treatment unit; at updated plant - US_Base_With Amendment_Windrow</v>
      </c>
    </row>
    <row r="175" spans="1:13" s="120" customFormat="1" x14ac:dyDescent="0.25">
      <c r="A175" s="119"/>
      <c r="B175" s="138" t="str">
        <f t="shared" si="7"/>
        <v>Windrow</v>
      </c>
      <c r="C175" s="138" t="str">
        <f t="shared" si="9"/>
        <v>Base_With Amendment</v>
      </c>
      <c r="D175" s="118" t="s">
        <v>130</v>
      </c>
      <c r="E175" s="118" t="s">
        <v>130</v>
      </c>
      <c r="F175" s="118" t="s">
        <v>46</v>
      </c>
      <c r="G175" s="153"/>
      <c r="H175" s="155">
        <v>3.5999999999999999E-3</v>
      </c>
      <c r="I175" s="154" t="s">
        <v>271</v>
      </c>
      <c r="J175" s="204">
        <v>1.1100000000000001E-3</v>
      </c>
      <c r="K175" s="154" t="s">
        <v>25</v>
      </c>
      <c r="L175" s="154" t="str">
        <f>IF(OpenLCAbasic!K175="CTUh", "Fill in Manually",IF(OR(K175="Unit", K175=""), "", INDEX(LookUps!$E$5:$E$12, MATCH(OpenLCAbasic!K175,LookUps!$D$5:$D$12,0))))</f>
        <v>Smog Formation Potential (SFP) - kg O3 eq</v>
      </c>
      <c r="M175" s="154" t="str">
        <f t="shared" si="8"/>
        <v>Base_Base_Upgraded_Smog Formation Potential (SFP) - kg O3 eq_Biosolids composting; windrow composting; wastewater treatment unit; at updated plant - US_Base_With Amendment_Windrow</v>
      </c>
    </row>
    <row r="176" spans="1:13" s="120" customFormat="1" x14ac:dyDescent="0.25">
      <c r="A176" s="119"/>
      <c r="B176" s="138" t="str">
        <f t="shared" si="7"/>
        <v>Windrow</v>
      </c>
      <c r="C176" s="138" t="str">
        <f t="shared" si="9"/>
        <v>Base_With Amendment</v>
      </c>
      <c r="D176" s="118" t="s">
        <v>130</v>
      </c>
      <c r="E176" s="118" t="s">
        <v>130</v>
      </c>
      <c r="F176" s="118" t="s">
        <v>46</v>
      </c>
      <c r="G176" s="153"/>
      <c r="H176" s="155">
        <v>1.6999999999999999E-3</v>
      </c>
      <c r="I176" s="154" t="s">
        <v>148</v>
      </c>
      <c r="J176" s="204">
        <v>5.4000000000000001E-4</v>
      </c>
      <c r="K176" s="154" t="s">
        <v>25</v>
      </c>
      <c r="L176" s="154" t="str">
        <f>IF(OpenLCAbasic!K176="CTUh", "Fill in Manually",IF(OR(K176="Unit", K176=""), "", INDEX(LookUps!$E$5:$E$12, MATCH(OpenLCAbasic!K176,LookUps!$D$5:$D$12,0))))</f>
        <v>Smog Formation Potential (SFP) - kg O3 eq</v>
      </c>
      <c r="M176" s="154" t="str">
        <f t="shared" si="8"/>
        <v>Base_Base_Upgraded_Smog Formation Potential (SFP) - kg O3 eq_Control Building; at upgraded wastewater treatment plant - US_Base_With Amendment_Windrow</v>
      </c>
    </row>
    <row r="177" spans="1:13" s="120" customFormat="1" x14ac:dyDescent="0.25">
      <c r="A177" s="119"/>
      <c r="B177" s="138" t="str">
        <f t="shared" si="7"/>
        <v>Windrow</v>
      </c>
      <c r="C177" s="138" t="str">
        <f t="shared" si="9"/>
        <v>Base_With Amendment</v>
      </c>
      <c r="D177" s="118" t="s">
        <v>130</v>
      </c>
      <c r="E177" s="118" t="s">
        <v>130</v>
      </c>
      <c r="F177" s="118" t="s">
        <v>46</v>
      </c>
      <c r="G177" s="153"/>
      <c r="H177" s="155">
        <v>-8.9999999999999993E-3</v>
      </c>
      <c r="I177" s="154" t="s">
        <v>62</v>
      </c>
      <c r="J177" s="204">
        <v>-2.7799999999999999E-3</v>
      </c>
      <c r="K177" s="154" t="s">
        <v>25</v>
      </c>
      <c r="L177" s="154" t="str">
        <f>IF(OpenLCAbasic!K177="CTUh", "Fill in Manually",IF(OR(K177="Unit", K177=""), "", INDEX(LookUps!$E$5:$E$12, MATCH(OpenLCAbasic!K177,LookUps!$D$5:$D$12,0))))</f>
        <v>Smog Formation Potential (SFP) - kg O3 eq</v>
      </c>
      <c r="M177" s="154" t="str">
        <f t="shared" si="8"/>
        <v>Base_Base_Upgraded_Smog Formation Potential (SFP) - kg O3 eq_Land application of compost; wastewater treatment unit; at updated plant - US_Base_With Amendment_Windrow</v>
      </c>
    </row>
    <row r="178" spans="1:13" s="120" customFormat="1" x14ac:dyDescent="0.25">
      <c r="A178" s="119"/>
      <c r="B178" s="138" t="str">
        <f t="shared" si="7"/>
        <v>Windrow</v>
      </c>
      <c r="C178" s="138" t="str">
        <f t="shared" si="9"/>
        <v>Base_With Amendment</v>
      </c>
      <c r="D178" s="118" t="s">
        <v>130</v>
      </c>
      <c r="E178" s="118" t="s">
        <v>130</v>
      </c>
      <c r="F178" s="118" t="s">
        <v>46</v>
      </c>
      <c r="G178" s="153"/>
      <c r="H178" s="155">
        <v>-0.2</v>
      </c>
      <c r="I178" s="154" t="s">
        <v>149</v>
      </c>
      <c r="J178" s="203">
        <v>-6.1940000000000002E-2</v>
      </c>
      <c r="K178" s="154" t="s">
        <v>25</v>
      </c>
      <c r="L178" s="154" t="str">
        <f>IF(OpenLCAbasic!K178="CTUh", "Fill in Manually",IF(OR(K178="Unit", K178=""), "", INDEX(LookUps!$E$5:$E$12, MATCH(OpenLCAbasic!K178,LookUps!$D$5:$D$12,0))))</f>
        <v>Smog Formation Potential (SFP) - kg O3 eq</v>
      </c>
      <c r="M178" s="154" t="str">
        <f t="shared" si="8"/>
        <v>Base_Base_Upgraded_Smog Formation Potential (SFP) - kg O3 eq_Anaerobic Digestion; wastewater treatment unit; at updated plant - US_Base_With Amendment_Windrow</v>
      </c>
    </row>
    <row r="179" spans="1:13" s="120" customFormat="1" x14ac:dyDescent="0.25">
      <c r="A179" s="119"/>
      <c r="B179" s="138" t="str">
        <f t="shared" si="7"/>
        <v/>
      </c>
      <c r="C179" s="138" t="str">
        <f t="shared" si="9"/>
        <v/>
      </c>
      <c r="D179" s="118"/>
      <c r="E179" s="118"/>
      <c r="F179" s="118"/>
      <c r="G179" s="153" t="s">
        <v>51</v>
      </c>
      <c r="H179" s="155"/>
      <c r="I179" s="154" t="s">
        <v>47</v>
      </c>
      <c r="J179" s="156" t="s">
        <v>52</v>
      </c>
      <c r="K179" s="154" t="s">
        <v>27</v>
      </c>
      <c r="L179" s="154" t="str">
        <f>IF(OpenLCAbasic!K179="CTUh", "Fill in Manually",IF(OR(K179="Unit", K179=""), "", INDEX(LookUps!$E$5:$E$12, MATCH(OpenLCAbasic!K179,LookUps!$D$5:$D$12,0))))</f>
        <v/>
      </c>
      <c r="M179" s="154" t="str">
        <f t="shared" si="8"/>
        <v>____Process__</v>
      </c>
    </row>
    <row r="180" spans="1:13" s="120" customFormat="1" x14ac:dyDescent="0.25">
      <c r="A180" s="119"/>
      <c r="B180" s="138" t="str">
        <f t="shared" si="7"/>
        <v>Windrow</v>
      </c>
      <c r="C180" s="138" t="str">
        <f t="shared" si="9"/>
        <v>Base_With Amendment</v>
      </c>
      <c r="D180" s="118" t="s">
        <v>130</v>
      </c>
      <c r="E180" s="118" t="s">
        <v>130</v>
      </c>
      <c r="F180" s="118" t="s">
        <v>46</v>
      </c>
      <c r="G180" s="153"/>
      <c r="H180" s="155">
        <v>6.2076000000000002</v>
      </c>
      <c r="I180" s="154" t="s">
        <v>167</v>
      </c>
      <c r="J180" s="204">
        <v>2.3000000000000001E-4</v>
      </c>
      <c r="K180" s="154" t="s">
        <v>26</v>
      </c>
      <c r="L180" s="154" t="str">
        <f>IF(OpenLCAbasic!K180="CTUh", "Fill in Manually",IF(OR(K180="Unit", K180=""), "", INDEX(LookUps!$E$5:$E$12, MATCH(OpenLCAbasic!K180,LookUps!$D$5:$D$12,0))))</f>
        <v>Water Use (WU) - m3 H2O</v>
      </c>
      <c r="M180" s="154" t="str">
        <f t="shared" si="8"/>
        <v>Base_Base_Upgraded_Water Use (WU) - m3 H2O_Waste Receiving and Holding; wastewater treatment unit; at updated plant - US_Base_With Amendment_Windrow</v>
      </c>
    </row>
    <row r="181" spans="1:13" s="120" customFormat="1" x14ac:dyDescent="0.25">
      <c r="A181" s="119"/>
      <c r="B181" s="138" t="str">
        <f t="shared" si="7"/>
        <v>Windrow</v>
      </c>
      <c r="C181" s="138" t="str">
        <f t="shared" si="9"/>
        <v>Base_With Amendment</v>
      </c>
      <c r="D181" s="118" t="s">
        <v>130</v>
      </c>
      <c r="E181" s="118" t="s">
        <v>130</v>
      </c>
      <c r="F181" s="118" t="s">
        <v>46</v>
      </c>
      <c r="G181" s="153"/>
      <c r="H181" s="155">
        <v>4.9119000000000002</v>
      </c>
      <c r="I181" s="154" t="s">
        <v>147</v>
      </c>
      <c r="J181" s="204">
        <v>1.8000000000000001E-4</v>
      </c>
      <c r="K181" s="154" t="s">
        <v>26</v>
      </c>
      <c r="L181" s="154" t="str">
        <f>IF(OpenLCAbasic!K181="CTUh", "Fill in Manually",IF(OR(K181="Unit", K181=""), "", INDEX(LookUps!$E$5:$E$12, MATCH(OpenLCAbasic!K181,LookUps!$D$5:$D$12,0))))</f>
        <v>Water Use (WU) - m3 H2O</v>
      </c>
      <c r="M181" s="154" t="str">
        <f t="shared" si="8"/>
        <v>Base_Base_Upgraded_Water Use (WU) - m3 H2O_Influent Pump Station; wastewater treatment unit; at updated plant - US_Base_With Amendment_Windrow</v>
      </c>
    </row>
    <row r="182" spans="1:13" s="120" customFormat="1" x14ac:dyDescent="0.25">
      <c r="A182" s="119"/>
      <c r="B182" s="138" t="str">
        <f t="shared" si="7"/>
        <v>Windrow</v>
      </c>
      <c r="C182" s="138" t="str">
        <f t="shared" si="9"/>
        <v>Base_With Amendment</v>
      </c>
      <c r="D182" s="118" t="s">
        <v>130</v>
      </c>
      <c r="E182" s="118" t="s">
        <v>130</v>
      </c>
      <c r="F182" s="118" t="s">
        <v>46</v>
      </c>
      <c r="G182" s="153"/>
      <c r="H182" s="155">
        <v>4.7927</v>
      </c>
      <c r="I182" s="154" t="s">
        <v>54</v>
      </c>
      <c r="J182" s="204">
        <v>1.8000000000000001E-4</v>
      </c>
      <c r="K182" s="154" t="s">
        <v>26</v>
      </c>
      <c r="L182" s="154" t="str">
        <f>IF(OpenLCAbasic!K182="CTUh", "Fill in Manually",IF(OR(K182="Unit", K182=""), "", INDEX(LookUps!$E$5:$E$12, MATCH(OpenLCAbasic!K182,LookUps!$D$5:$D$12,0))))</f>
        <v>Water Use (WU) - m3 H2O</v>
      </c>
      <c r="M182" s="154" t="str">
        <f t="shared" si="8"/>
        <v>Base_Base_Upgraded_Water Use (WU) - m3 H2O_Clear Cove Primary Clarification; wastewater treatment unit; at updated plant - US_Base_With Amendment_Windrow</v>
      </c>
    </row>
    <row r="183" spans="1:13" s="120" customFormat="1" x14ac:dyDescent="0.25">
      <c r="A183" s="119"/>
      <c r="B183" s="138" t="str">
        <f t="shared" si="7"/>
        <v>Windrow</v>
      </c>
      <c r="C183" s="138" t="str">
        <f t="shared" si="9"/>
        <v>Base_With Amendment</v>
      </c>
      <c r="D183" s="118" t="s">
        <v>130</v>
      </c>
      <c r="E183" s="118" t="s">
        <v>130</v>
      </c>
      <c r="F183" s="118" t="s">
        <v>46</v>
      </c>
      <c r="G183" s="153"/>
      <c r="H183" s="155">
        <v>4.3476999999999997</v>
      </c>
      <c r="I183" s="154" t="s">
        <v>55</v>
      </c>
      <c r="J183" s="204">
        <v>1.6000000000000001E-4</v>
      </c>
      <c r="K183" s="154" t="s">
        <v>26</v>
      </c>
      <c r="L183" s="154" t="str">
        <f>IF(OpenLCAbasic!K183="CTUh", "Fill in Manually",IF(OR(K183="Unit", K183=""), "", INDEX(LookUps!$E$5:$E$12, MATCH(OpenLCAbasic!K183,LookUps!$D$5:$D$12,0))))</f>
        <v>Water Use (WU) - m3 H2O</v>
      </c>
      <c r="M183" s="154" t="str">
        <f t="shared" si="8"/>
        <v>Base_Base_Upgraded_Water Use (WU) - m3 H2O_Aeration Tanks; wastewater treatment unit; at updated plant - US_Base_With Amendment_Windrow</v>
      </c>
    </row>
    <row r="184" spans="1:13" s="120" customFormat="1" x14ac:dyDescent="0.25">
      <c r="A184" s="119"/>
      <c r="B184" s="138" t="str">
        <f t="shared" si="7"/>
        <v>Windrow</v>
      </c>
      <c r="C184" s="138" t="str">
        <f t="shared" si="9"/>
        <v>Base_With Amendment</v>
      </c>
      <c r="D184" s="118" t="s">
        <v>130</v>
      </c>
      <c r="E184" s="118" t="s">
        <v>130</v>
      </c>
      <c r="F184" s="118" t="s">
        <v>46</v>
      </c>
      <c r="G184" s="153"/>
      <c r="H184" s="155">
        <v>3.9605000000000001</v>
      </c>
      <c r="I184" s="154" t="s">
        <v>148</v>
      </c>
      <c r="J184" s="204">
        <v>1.4999999999999999E-4</v>
      </c>
      <c r="K184" s="154" t="s">
        <v>26</v>
      </c>
      <c r="L184" s="154" t="str">
        <f>IF(OpenLCAbasic!K184="CTUh", "Fill in Manually",IF(OR(K184="Unit", K184=""), "", INDEX(LookUps!$E$5:$E$12, MATCH(OpenLCAbasic!K184,LookUps!$D$5:$D$12,0))))</f>
        <v>Water Use (WU) - m3 H2O</v>
      </c>
      <c r="M184" s="154" t="str">
        <f t="shared" si="8"/>
        <v>Base_Base_Upgraded_Water Use (WU) - m3 H2O_Control Building; at upgraded wastewater treatment plant - US_Base_With Amendment_Windrow</v>
      </c>
    </row>
    <row r="185" spans="1:13" s="120" customFormat="1" x14ac:dyDescent="0.25">
      <c r="A185" s="119"/>
      <c r="B185" s="138" t="str">
        <f t="shared" si="7"/>
        <v>Windrow</v>
      </c>
      <c r="C185" s="138" t="str">
        <f t="shared" si="9"/>
        <v>Base_With Amendment</v>
      </c>
      <c r="D185" s="118" t="s">
        <v>130</v>
      </c>
      <c r="E185" s="118" t="s">
        <v>130</v>
      </c>
      <c r="F185" s="118" t="s">
        <v>46</v>
      </c>
      <c r="G185" s="153"/>
      <c r="H185" s="155">
        <v>1.8391</v>
      </c>
      <c r="I185" s="154" t="s">
        <v>48</v>
      </c>
      <c r="J185" s="204">
        <v>6.8836400000000004E-5</v>
      </c>
      <c r="K185" s="154" t="s">
        <v>26</v>
      </c>
      <c r="L185" s="154" t="str">
        <f>IF(OpenLCAbasic!K185="CTUh", "Fill in Manually",IF(OR(K185="Unit", K185=""), "", INDEX(LookUps!$E$5:$E$12, MATCH(OpenLCAbasic!K185,LookUps!$D$5:$D$12,0))))</f>
        <v>Water Use (WU) - m3 H2O</v>
      </c>
      <c r="M185" s="154" t="str">
        <f t="shared" si="8"/>
        <v>Base_Base_Upgraded_Water Use (WU) - m3 H2O_Effluent release; wastewater treatment unit; at surface water; m3 wastewater - US_Base_With Amendment_Windrow</v>
      </c>
    </row>
    <row r="186" spans="1:13" s="120" customFormat="1" x14ac:dyDescent="0.25">
      <c r="A186" s="119"/>
      <c r="B186" s="138" t="str">
        <f t="shared" si="7"/>
        <v>Windrow</v>
      </c>
      <c r="C186" s="138" t="str">
        <f t="shared" si="9"/>
        <v>Base_With Amendment</v>
      </c>
      <c r="D186" s="118" t="s">
        <v>130</v>
      </c>
      <c r="E186" s="118" t="s">
        <v>130</v>
      </c>
      <c r="F186" s="118" t="s">
        <v>46</v>
      </c>
      <c r="G186" s="153"/>
      <c r="H186" s="155">
        <v>1.1539999999999999</v>
      </c>
      <c r="I186" s="154" t="s">
        <v>58</v>
      </c>
      <c r="J186" s="204">
        <v>4.3192100000000003E-5</v>
      </c>
      <c r="K186" s="154" t="s">
        <v>26</v>
      </c>
      <c r="L186" s="154" t="str">
        <f>IF(OpenLCAbasic!K186="CTUh", "Fill in Manually",IF(OR(K186="Unit", K186=""), "", INDEX(LookUps!$E$5:$E$12, MATCH(OpenLCAbasic!K186,LookUps!$D$5:$D$12,0))))</f>
        <v>Water Use (WU) - m3 H2O</v>
      </c>
      <c r="M186" s="154" t="str">
        <f t="shared" si="8"/>
        <v>Base_Base_Upgraded_Water Use (WU) - m3 H2O_Pre-Anoxic &amp; Swing tank; wastewater treatment unit; at updated plant - US_Base_With Amendment_Windrow</v>
      </c>
    </row>
    <row r="187" spans="1:13" s="120" customFormat="1" x14ac:dyDescent="0.25">
      <c r="A187" s="119"/>
      <c r="B187" s="138" t="str">
        <f t="shared" si="7"/>
        <v>Windrow</v>
      </c>
      <c r="C187" s="138" t="str">
        <f t="shared" si="9"/>
        <v>Base_With Amendment</v>
      </c>
      <c r="D187" s="118" t="s">
        <v>130</v>
      </c>
      <c r="E187" s="118" t="s">
        <v>130</v>
      </c>
      <c r="F187" s="118" t="s">
        <v>46</v>
      </c>
      <c r="G187" s="153"/>
      <c r="H187" s="155">
        <v>0.81240000000000001</v>
      </c>
      <c r="I187" s="154" t="s">
        <v>57</v>
      </c>
      <c r="J187" s="204">
        <v>3.0408100000000001E-5</v>
      </c>
      <c r="K187" s="154" t="s">
        <v>26</v>
      </c>
      <c r="L187" s="154" t="str">
        <f>IF(OpenLCAbasic!K187="CTUh", "Fill in Manually",IF(OR(K187="Unit", K187=""), "", INDEX(LookUps!$E$5:$E$12, MATCH(OpenLCAbasic!K187,LookUps!$D$5:$D$12,0))))</f>
        <v>Water Use (WU) - m3 H2O</v>
      </c>
      <c r="M187" s="154" t="str">
        <f t="shared" si="8"/>
        <v>Base_Base_Upgraded_Water Use (WU) - m3 H2O_Gravity Belt Thickener; wastewater treatment unit; at updated plant - US_Base_With Amendment_Windrow</v>
      </c>
    </row>
    <row r="188" spans="1:13" s="120" customFormat="1" x14ac:dyDescent="0.25">
      <c r="A188" s="119"/>
      <c r="B188" s="138" t="str">
        <f t="shared" si="7"/>
        <v>Windrow</v>
      </c>
      <c r="C188" s="138" t="str">
        <f t="shared" si="9"/>
        <v>Base_With Amendment</v>
      </c>
      <c r="D188" s="118" t="s">
        <v>130</v>
      </c>
      <c r="E188" s="118" t="s">
        <v>130</v>
      </c>
      <c r="F188" s="118" t="s">
        <v>46</v>
      </c>
      <c r="G188" s="153"/>
      <c r="H188" s="155">
        <v>0.58620000000000005</v>
      </c>
      <c r="I188" s="154" t="s">
        <v>60</v>
      </c>
      <c r="J188" s="204">
        <v>2.1941099999999999E-5</v>
      </c>
      <c r="K188" s="154" t="s">
        <v>26</v>
      </c>
      <c r="L188" s="154" t="str">
        <f>IF(OpenLCAbasic!K188="CTUh", "Fill in Manually",IF(OR(K188="Unit", K188=""), "", INDEX(LookUps!$E$5:$E$12, MATCH(OpenLCAbasic!K188,LookUps!$D$5:$D$12,0))))</f>
        <v>Water Use (WU) - m3 H2O</v>
      </c>
      <c r="M188" s="154" t="str">
        <f t="shared" si="8"/>
        <v>Base_Base_Upgraded_Water Use (WU) - m3 H2O_Belt filter press; wastewater treatment unit; at updated plant - US_Base_With Amendment_Windrow</v>
      </c>
    </row>
    <row r="189" spans="1:13" s="120" customFormat="1" x14ac:dyDescent="0.25">
      <c r="A189" s="119"/>
      <c r="B189" s="138" t="str">
        <f t="shared" si="7"/>
        <v>Windrow</v>
      </c>
      <c r="C189" s="138" t="str">
        <f t="shared" si="9"/>
        <v>Base_With Amendment</v>
      </c>
      <c r="D189" s="118" t="s">
        <v>130</v>
      </c>
      <c r="E189" s="118" t="s">
        <v>130</v>
      </c>
      <c r="F189" s="118" t="s">
        <v>46</v>
      </c>
      <c r="G189" s="153"/>
      <c r="H189" s="155">
        <v>0.4677</v>
      </c>
      <c r="I189" s="154" t="s">
        <v>53</v>
      </c>
      <c r="J189" s="204">
        <v>1.75069E-5</v>
      </c>
      <c r="K189" s="154" t="s">
        <v>26</v>
      </c>
      <c r="L189" s="154" t="str">
        <f>IF(OpenLCAbasic!K189="CTUh", "Fill in Manually",IF(OR(K189="Unit", K189=""), "", INDEX(LookUps!$E$5:$E$12, MATCH(OpenLCAbasic!K189,LookUps!$D$5:$D$12,0))))</f>
        <v>Water Use (WU) - m3 H2O</v>
      </c>
      <c r="M189" s="154" t="str">
        <f t="shared" si="8"/>
        <v>Base_Base_Upgraded_Water Use (WU) - m3 H2O_Wet Well and Sump Station; wastewater treatment unit; at updated plant - US_Base_With Amendment_Windrow</v>
      </c>
    </row>
    <row r="190" spans="1:13" s="120" customFormat="1" x14ac:dyDescent="0.25">
      <c r="A190" s="119"/>
      <c r="B190" s="138" t="str">
        <f t="shared" si="7"/>
        <v>Windrow</v>
      </c>
      <c r="C190" s="138" t="str">
        <f t="shared" si="9"/>
        <v>Base_With Amendment</v>
      </c>
      <c r="D190" s="118" t="s">
        <v>130</v>
      </c>
      <c r="E190" s="118" t="s">
        <v>130</v>
      </c>
      <c r="F190" s="118" t="s">
        <v>46</v>
      </c>
      <c r="G190" s="153"/>
      <c r="H190" s="155">
        <v>0.32340000000000002</v>
      </c>
      <c r="I190" s="154" t="s">
        <v>149</v>
      </c>
      <c r="J190" s="204">
        <v>1.21043E-5</v>
      </c>
      <c r="K190" s="154" t="s">
        <v>26</v>
      </c>
      <c r="L190" s="154" t="str">
        <f>IF(OpenLCAbasic!K190="CTUh", "Fill in Manually",IF(OR(K190="Unit", K190=""), "", INDEX(LookUps!$E$5:$E$12, MATCH(OpenLCAbasic!K190,LookUps!$D$5:$D$12,0))))</f>
        <v>Water Use (WU) - m3 H2O</v>
      </c>
      <c r="M190" s="154" t="str">
        <f t="shared" si="8"/>
        <v>Base_Base_Upgraded_Water Use (WU) - m3 H2O_Anaerobic Digestion; wastewater treatment unit; at updated plant - US_Base_With Amendment_Windrow</v>
      </c>
    </row>
    <row r="191" spans="1:13" s="120" customFormat="1" x14ac:dyDescent="0.25">
      <c r="A191" s="119"/>
      <c r="B191" s="138" t="str">
        <f t="shared" si="7"/>
        <v>Windrow</v>
      </c>
      <c r="C191" s="138" t="str">
        <f t="shared" si="9"/>
        <v>Base_With Amendment</v>
      </c>
      <c r="D191" s="118" t="s">
        <v>130</v>
      </c>
      <c r="E191" s="118" t="s">
        <v>130</v>
      </c>
      <c r="F191" s="118" t="s">
        <v>46</v>
      </c>
      <c r="G191" s="153"/>
      <c r="H191" s="155">
        <v>0.1875</v>
      </c>
      <c r="I191" s="154" t="s">
        <v>59</v>
      </c>
      <c r="J191" s="204">
        <v>7.0179500000000003E-6</v>
      </c>
      <c r="K191" s="154" t="s">
        <v>26</v>
      </c>
      <c r="L191" s="154" t="str">
        <f>IF(OpenLCAbasic!K191="CTUh", "Fill in Manually",IF(OR(K191="Unit", K191=""), "", INDEX(LookUps!$E$5:$E$12, MATCH(OpenLCAbasic!K191,LookUps!$D$5:$D$12,0))))</f>
        <v>Water Use (WU) - m3 H2O</v>
      </c>
      <c r="M191" s="154" t="str">
        <f t="shared" si="8"/>
        <v>Base_Base_Upgraded_Water Use (WU) - m3 H2O_Blend Tank; wastewater treatment unit; at updated plant - US_Base_With Amendment_Windrow</v>
      </c>
    </row>
    <row r="192" spans="1:13" s="120" customFormat="1" x14ac:dyDescent="0.25">
      <c r="A192" s="119"/>
      <c r="B192" s="138" t="str">
        <f t="shared" si="7"/>
        <v>Windrow</v>
      </c>
      <c r="C192" s="138" t="str">
        <f t="shared" si="9"/>
        <v>Base_With Amendment</v>
      </c>
      <c r="D192" s="118" t="s">
        <v>130</v>
      </c>
      <c r="E192" s="118" t="s">
        <v>130</v>
      </c>
      <c r="F192" s="118" t="s">
        <v>46</v>
      </c>
      <c r="G192" s="153"/>
      <c r="H192" s="155">
        <v>0.13519999999999999</v>
      </c>
      <c r="I192" s="154" t="s">
        <v>128</v>
      </c>
      <c r="J192" s="204">
        <v>5.0608900000000003E-6</v>
      </c>
      <c r="K192" s="154" t="s">
        <v>26</v>
      </c>
      <c r="L192" s="154" t="str">
        <f>IF(OpenLCAbasic!K192="CTUh", "Fill in Manually",IF(OR(K192="Unit", K192=""), "", INDEX(LookUps!$E$5:$E$12, MATCH(OpenLCAbasic!K192,LookUps!$D$5:$D$12,0))))</f>
        <v>Water Use (WU) - m3 H2O</v>
      </c>
      <c r="M192" s="154" t="str">
        <f t="shared" si="8"/>
        <v>Base_Base_Upgraded_Water Use (WU) - m3 H2O_Wastewater collection; operation and infrastructure; m3 wastewater_Base_With Amendment_Windrow</v>
      </c>
    </row>
    <row r="193" spans="1:13" s="120" customFormat="1" x14ac:dyDescent="0.25">
      <c r="A193" s="119"/>
      <c r="B193" s="138" t="str">
        <f t="shared" si="7"/>
        <v>Windrow</v>
      </c>
      <c r="C193" s="138" t="str">
        <f t="shared" si="9"/>
        <v>Base_With Amendment</v>
      </c>
      <c r="D193" s="118" t="s">
        <v>130</v>
      </c>
      <c r="E193" s="118" t="s">
        <v>130</v>
      </c>
      <c r="F193" s="118" t="s">
        <v>46</v>
      </c>
      <c r="G193" s="153"/>
      <c r="H193" s="155">
        <v>2.86E-2</v>
      </c>
      <c r="I193" s="154" t="s">
        <v>271</v>
      </c>
      <c r="J193" s="204">
        <v>1.06952E-6</v>
      </c>
      <c r="K193" s="154" t="s">
        <v>26</v>
      </c>
      <c r="L193" s="154" t="str">
        <f>IF(OpenLCAbasic!K193="CTUh", "Fill in Manually",IF(OR(K193="Unit", K193=""), "", INDEX(LookUps!$E$5:$E$12, MATCH(OpenLCAbasic!K193,LookUps!$D$5:$D$12,0))))</f>
        <v>Water Use (WU) - m3 H2O</v>
      </c>
      <c r="M193" s="154" t="str">
        <f t="shared" si="8"/>
        <v>Base_Base_Upgraded_Water Use (WU) - m3 H2O_Biosolids composting; windrow composting; wastewater treatment unit; at updated plant - US_Base_With Amendment_Windrow</v>
      </c>
    </row>
    <row r="194" spans="1:13" s="120" customFormat="1" x14ac:dyDescent="0.25">
      <c r="A194" s="119"/>
      <c r="B194" s="138" t="str">
        <f t="shared" si="7"/>
        <v>Windrow</v>
      </c>
      <c r="C194" s="138" t="str">
        <f t="shared" si="9"/>
        <v>Base_With Amendment</v>
      </c>
      <c r="D194" s="118" t="s">
        <v>130</v>
      </c>
      <c r="E194" s="118" t="s">
        <v>130</v>
      </c>
      <c r="F194" s="118" t="s">
        <v>46</v>
      </c>
      <c r="G194" s="153"/>
      <c r="H194" s="155">
        <v>2.0500000000000001E-2</v>
      </c>
      <c r="I194" s="154" t="s">
        <v>168</v>
      </c>
      <c r="J194" s="204">
        <v>7.6697000000000004E-7</v>
      </c>
      <c r="K194" s="154" t="s">
        <v>26</v>
      </c>
      <c r="L194" s="154" t="str">
        <f>IF(OpenLCAbasic!K194="CTUh", "Fill in Manually",IF(OR(K194="Unit", K194=""), "", INDEX(LookUps!$E$5:$E$12, MATCH(OpenLCAbasic!K194,LookUps!$D$5:$D$12,0))))</f>
        <v>Water Use (WU) - m3 H2O</v>
      </c>
      <c r="M194" s="154" t="str">
        <f t="shared" si="8"/>
        <v>Base_Base_Upgraded_Water Use (WU) - m3 H2O_ClearCove SCP; wastewater treatment unit; at updated plant - US_Base_With Amendment_Windrow</v>
      </c>
    </row>
    <row r="195" spans="1:13" s="120" customFormat="1" x14ac:dyDescent="0.25">
      <c r="A195" s="119"/>
      <c r="B195" s="138" t="str">
        <f t="shared" si="7"/>
        <v>Windrow</v>
      </c>
      <c r="C195" s="138" t="str">
        <f t="shared" si="9"/>
        <v>Base_With Amendment</v>
      </c>
      <c r="D195" s="118" t="s">
        <v>130</v>
      </c>
      <c r="E195" s="118" t="s">
        <v>130</v>
      </c>
      <c r="F195" s="118" t="s">
        <v>46</v>
      </c>
      <c r="G195" s="153"/>
      <c r="H195" s="155">
        <v>-30.775099999999998</v>
      </c>
      <c r="I195" s="154" t="s">
        <v>62</v>
      </c>
      <c r="J195" s="204">
        <v>-1.15E-3</v>
      </c>
      <c r="K195" s="154" t="s">
        <v>26</v>
      </c>
      <c r="L195" s="154" t="str">
        <f>IF(OpenLCAbasic!K195="CTUh", "Fill in Manually",IF(OR(K195="Unit", K195=""), "", INDEX(LookUps!$E$5:$E$12, MATCH(OpenLCAbasic!K195,LookUps!$D$5:$D$12,0))))</f>
        <v>Water Use (WU) - m3 H2O</v>
      </c>
      <c r="M195" s="154" t="str">
        <f t="shared" si="8"/>
        <v>Base_Base_Upgraded_Water Use (WU) - m3 H2O_Land application of compost; wastewater treatment unit; at updated plant - US_Base_With Amendment_Windrow</v>
      </c>
    </row>
    <row r="196" spans="1:13" s="120" customFormat="1" x14ac:dyDescent="0.25">
      <c r="A196" s="119"/>
      <c r="B196" s="138" t="str">
        <f t="shared" si="7"/>
        <v/>
      </c>
      <c r="C196" s="138" t="str">
        <f t="shared" si="9"/>
        <v/>
      </c>
      <c r="D196" s="118"/>
      <c r="E196" s="118"/>
      <c r="F196" s="118"/>
      <c r="G196" s="153" t="s">
        <v>51</v>
      </c>
      <c r="H196" s="155"/>
      <c r="I196" s="154" t="s">
        <v>47</v>
      </c>
      <c r="J196" s="203" t="s">
        <v>52</v>
      </c>
      <c r="K196" s="154" t="s">
        <v>27</v>
      </c>
      <c r="L196" s="154" t="str">
        <f>IF(OpenLCAbasic!K196="CTUh", "Fill in Manually",IF(OR(K196="Unit", K196=""), "", INDEX(LookUps!$E$5:$E$12, MATCH(OpenLCAbasic!K196,LookUps!$D$5:$D$12,0))))</f>
        <v/>
      </c>
      <c r="M196" s="154" t="str">
        <f t="shared" si="8"/>
        <v>____Process__</v>
      </c>
    </row>
    <row r="197" spans="1:13" s="120" customFormat="1" x14ac:dyDescent="0.25">
      <c r="A197" s="119"/>
      <c r="B197" s="138" t="str">
        <f t="shared" si="7"/>
        <v>Windrow</v>
      </c>
      <c r="C197" s="138" t="str">
        <f t="shared" si="9"/>
        <v>Base_With Amendment</v>
      </c>
      <c r="D197" s="118" t="s">
        <v>130</v>
      </c>
      <c r="E197" s="118" t="s">
        <v>130</v>
      </c>
      <c r="F197" s="118" t="s">
        <v>46</v>
      </c>
      <c r="G197" s="153"/>
      <c r="H197" s="155">
        <v>0.4239</v>
      </c>
      <c r="I197" s="154" t="s">
        <v>167</v>
      </c>
      <c r="J197" s="203">
        <v>7.9170000000000004E-2</v>
      </c>
      <c r="K197" s="154" t="s">
        <v>14</v>
      </c>
      <c r="L197" s="154" t="str">
        <f>IF(OpenLCAbasic!K197="CTUh", "Fill in Manually",IF(OR(K197="Unit", K197=""), "", INDEX(LookUps!$E$5:$E$12, MATCH(OpenLCAbasic!K197,LookUps!$D$5:$D$12,0))))</f>
        <v>Fossil Depletion Potential (FDP) - kg oil eq</v>
      </c>
      <c r="M197" s="154" t="str">
        <f t="shared" si="8"/>
        <v>Base_Base_Upgraded_Fossil Depletion Potential (FDP) - kg oil eq_Waste Receiving and Holding; wastewater treatment unit; at updated plant - US_Base_With Amendment_Windrow</v>
      </c>
    </row>
    <row r="198" spans="1:13" s="120" customFormat="1" x14ac:dyDescent="0.25">
      <c r="A198" s="119"/>
      <c r="B198" s="138" t="str">
        <f t="shared" si="7"/>
        <v>Windrow</v>
      </c>
      <c r="C198" s="138" t="str">
        <f t="shared" si="9"/>
        <v>Base_With Amendment</v>
      </c>
      <c r="D198" s="118" t="s">
        <v>130</v>
      </c>
      <c r="E198" s="118" t="s">
        <v>130</v>
      </c>
      <c r="F198" s="118" t="s">
        <v>46</v>
      </c>
      <c r="G198" s="153"/>
      <c r="H198" s="155">
        <v>0.34050000000000002</v>
      </c>
      <c r="I198" s="154" t="s">
        <v>55</v>
      </c>
      <c r="J198" s="203">
        <v>6.3589999999999994E-2</v>
      </c>
      <c r="K198" s="154" t="s">
        <v>14</v>
      </c>
      <c r="L198" s="154" t="str">
        <f>IF(OpenLCAbasic!K198="CTUh", "Fill in Manually",IF(OR(K198="Unit", K198=""), "", INDEX(LookUps!$E$5:$E$12, MATCH(OpenLCAbasic!K198,LookUps!$D$5:$D$12,0))))</f>
        <v>Fossil Depletion Potential (FDP) - kg oil eq</v>
      </c>
      <c r="M198" s="154" t="str">
        <f t="shared" si="8"/>
        <v>Base_Base_Upgraded_Fossil Depletion Potential (FDP) - kg oil eq_Aeration Tanks; wastewater treatment unit; at updated plant - US_Base_With Amendment_Windrow</v>
      </c>
    </row>
    <row r="199" spans="1:13" s="120" customFormat="1" x14ac:dyDescent="0.25">
      <c r="A199" s="119"/>
      <c r="B199" s="138" t="str">
        <f t="shared" ref="B199:B262" si="10">IF(F199="Legacy","n.a.",IF(F199="","","Windrow"))</f>
        <v>Windrow</v>
      </c>
      <c r="C199" s="138" t="str">
        <f t="shared" si="9"/>
        <v>Base_With Amendment</v>
      </c>
      <c r="D199" s="118" t="s">
        <v>130</v>
      </c>
      <c r="E199" s="118" t="s">
        <v>130</v>
      </c>
      <c r="F199" s="118" t="s">
        <v>46</v>
      </c>
      <c r="G199" s="153"/>
      <c r="H199" s="155">
        <v>0.11269999999999999</v>
      </c>
      <c r="I199" s="154" t="s">
        <v>54</v>
      </c>
      <c r="J199" s="203">
        <v>2.1049999999999999E-2</v>
      </c>
      <c r="K199" s="154" t="s">
        <v>14</v>
      </c>
      <c r="L199" s="154" t="str">
        <f>IF(OpenLCAbasic!K199="CTUh", "Fill in Manually",IF(OR(K199="Unit", K199=""), "", INDEX(LookUps!$E$5:$E$12, MATCH(OpenLCAbasic!K199,LookUps!$D$5:$D$12,0))))</f>
        <v>Fossil Depletion Potential (FDP) - kg oil eq</v>
      </c>
      <c r="M199" s="154" t="str">
        <f t="shared" si="8"/>
        <v>Base_Base_Upgraded_Fossil Depletion Potential (FDP) - kg oil eq_Clear Cove Primary Clarification; wastewater treatment unit; at updated plant - US_Base_With Amendment_Windrow</v>
      </c>
    </row>
    <row r="200" spans="1:13" s="120" customFormat="1" x14ac:dyDescent="0.25">
      <c r="A200" s="119"/>
      <c r="B200" s="138" t="str">
        <f t="shared" si="10"/>
        <v>Windrow</v>
      </c>
      <c r="C200" s="138" t="str">
        <f t="shared" si="9"/>
        <v>Base_With Amendment</v>
      </c>
      <c r="D200" s="118" t="s">
        <v>130</v>
      </c>
      <c r="E200" s="118" t="s">
        <v>130</v>
      </c>
      <c r="F200" s="118" t="s">
        <v>46</v>
      </c>
      <c r="G200" s="153"/>
      <c r="H200" s="155">
        <v>8.5300000000000001E-2</v>
      </c>
      <c r="I200" s="154" t="s">
        <v>58</v>
      </c>
      <c r="J200" s="203">
        <v>1.592E-2</v>
      </c>
      <c r="K200" s="154" t="s">
        <v>14</v>
      </c>
      <c r="L200" s="154" t="str">
        <f>IF(OpenLCAbasic!K200="CTUh", "Fill in Manually",IF(OR(K200="Unit", K200=""), "", INDEX(LookUps!$E$5:$E$12, MATCH(OpenLCAbasic!K200,LookUps!$D$5:$D$12,0))))</f>
        <v>Fossil Depletion Potential (FDP) - kg oil eq</v>
      </c>
      <c r="M200" s="154" t="str">
        <f t="shared" ref="M200:M263" si="11">CONCATENATE(E200,"_",D200,"_",F200,"_",L200, "_",I200,"_", C200,"_", B200)</f>
        <v>Base_Base_Upgraded_Fossil Depletion Potential (FDP) - kg oil eq_Pre-Anoxic &amp; Swing tank; wastewater treatment unit; at updated plant - US_Base_With Amendment_Windrow</v>
      </c>
    </row>
    <row r="201" spans="1:13" s="120" customFormat="1" x14ac:dyDescent="0.25">
      <c r="A201" s="119"/>
      <c r="B201" s="138" t="str">
        <f t="shared" si="10"/>
        <v>Windrow</v>
      </c>
      <c r="C201" s="138" t="str">
        <f t="shared" si="9"/>
        <v>Base_With Amendment</v>
      </c>
      <c r="D201" s="118" t="s">
        <v>130</v>
      </c>
      <c r="E201" s="118" t="s">
        <v>130</v>
      </c>
      <c r="F201" s="118" t="s">
        <v>46</v>
      </c>
      <c r="G201" s="153"/>
      <c r="H201" s="155">
        <v>8.0799999999999997E-2</v>
      </c>
      <c r="I201" s="154" t="s">
        <v>147</v>
      </c>
      <c r="J201" s="203">
        <v>1.5089999999999999E-2</v>
      </c>
      <c r="K201" s="154" t="s">
        <v>14</v>
      </c>
      <c r="L201" s="154" t="str">
        <f>IF(OpenLCAbasic!K201="CTUh", "Fill in Manually",IF(OR(K201="Unit", K201=""), "", INDEX(LookUps!$E$5:$E$12, MATCH(OpenLCAbasic!K201,LookUps!$D$5:$D$12,0))))</f>
        <v>Fossil Depletion Potential (FDP) - kg oil eq</v>
      </c>
      <c r="M201" s="154" t="str">
        <f t="shared" si="11"/>
        <v>Base_Base_Upgraded_Fossil Depletion Potential (FDP) - kg oil eq_Influent Pump Station; wastewater treatment unit; at updated plant - US_Base_With Amendment_Windrow</v>
      </c>
    </row>
    <row r="202" spans="1:13" s="120" customFormat="1" x14ac:dyDescent="0.25">
      <c r="A202" s="119"/>
      <c r="B202" s="138" t="str">
        <f t="shared" si="10"/>
        <v>Windrow</v>
      </c>
      <c r="C202" s="138" t="str">
        <f t="shared" si="9"/>
        <v>Base_With Amendment</v>
      </c>
      <c r="D202" s="118" t="s">
        <v>130</v>
      </c>
      <c r="E202" s="118" t="s">
        <v>130</v>
      </c>
      <c r="F202" s="118" t="s">
        <v>46</v>
      </c>
      <c r="G202" s="153"/>
      <c r="H202" s="155">
        <v>6.6900000000000001E-2</v>
      </c>
      <c r="I202" s="154" t="s">
        <v>53</v>
      </c>
      <c r="J202" s="203">
        <v>1.2489999999999999E-2</v>
      </c>
      <c r="K202" s="154" t="s">
        <v>14</v>
      </c>
      <c r="L202" s="154" t="str">
        <f>IF(OpenLCAbasic!K202="CTUh", "Fill in Manually",IF(OR(K202="Unit", K202=""), "", INDEX(LookUps!$E$5:$E$12, MATCH(OpenLCAbasic!K202,LookUps!$D$5:$D$12,0))))</f>
        <v>Fossil Depletion Potential (FDP) - kg oil eq</v>
      </c>
      <c r="M202" s="154" t="str">
        <f t="shared" si="11"/>
        <v>Base_Base_Upgraded_Fossil Depletion Potential (FDP) - kg oil eq_Wet Well and Sump Station; wastewater treatment unit; at updated plant - US_Base_With Amendment_Windrow</v>
      </c>
    </row>
    <row r="203" spans="1:13" s="120" customFormat="1" x14ac:dyDescent="0.25">
      <c r="A203" s="119"/>
      <c r="B203" s="138" t="str">
        <f t="shared" si="10"/>
        <v>Windrow</v>
      </c>
      <c r="C203" s="138" t="str">
        <f t="shared" si="9"/>
        <v>Base_With Amendment</v>
      </c>
      <c r="D203" s="118" t="s">
        <v>130</v>
      </c>
      <c r="E203" s="118" t="s">
        <v>130</v>
      </c>
      <c r="F203" s="118" t="s">
        <v>46</v>
      </c>
      <c r="G203" s="153"/>
      <c r="H203" s="155">
        <v>3.6999999999999998E-2</v>
      </c>
      <c r="I203" s="154" t="s">
        <v>57</v>
      </c>
      <c r="J203" s="204">
        <v>6.9199999999999999E-3</v>
      </c>
      <c r="K203" s="154" t="s">
        <v>14</v>
      </c>
      <c r="L203" s="154" t="str">
        <f>IF(OpenLCAbasic!K203="CTUh", "Fill in Manually",IF(OR(K203="Unit", K203=""), "", INDEX(LookUps!$E$5:$E$12, MATCH(OpenLCAbasic!K203,LookUps!$D$5:$D$12,0))))</f>
        <v>Fossil Depletion Potential (FDP) - kg oil eq</v>
      </c>
      <c r="M203" s="154" t="str">
        <f t="shared" si="11"/>
        <v>Base_Base_Upgraded_Fossil Depletion Potential (FDP) - kg oil eq_Gravity Belt Thickener; wastewater treatment unit; at updated plant - US_Base_With Amendment_Windrow</v>
      </c>
    </row>
    <row r="204" spans="1:13" s="120" customFormat="1" x14ac:dyDescent="0.25">
      <c r="A204" s="119"/>
      <c r="B204" s="138" t="str">
        <f t="shared" si="10"/>
        <v>Windrow</v>
      </c>
      <c r="C204" s="138" t="str">
        <f t="shared" si="9"/>
        <v>Base_With Amendment</v>
      </c>
      <c r="D204" s="118" t="s">
        <v>130</v>
      </c>
      <c r="E204" s="118" t="s">
        <v>130</v>
      </c>
      <c r="F204" s="118" t="s">
        <v>46</v>
      </c>
      <c r="G204" s="153"/>
      <c r="H204" s="155">
        <v>3.1099999999999999E-2</v>
      </c>
      <c r="I204" s="154" t="s">
        <v>60</v>
      </c>
      <c r="J204" s="204">
        <v>5.8100000000000001E-3</v>
      </c>
      <c r="K204" s="154" t="s">
        <v>14</v>
      </c>
      <c r="L204" s="154" t="str">
        <f>IF(OpenLCAbasic!K204="CTUh", "Fill in Manually",IF(OR(K204="Unit", K204=""), "", INDEX(LookUps!$E$5:$E$12, MATCH(OpenLCAbasic!K204,LookUps!$D$5:$D$12,0))))</f>
        <v>Fossil Depletion Potential (FDP) - kg oil eq</v>
      </c>
      <c r="M204" s="154" t="str">
        <f t="shared" si="11"/>
        <v>Base_Base_Upgraded_Fossil Depletion Potential (FDP) - kg oil eq_Belt filter press; wastewater treatment unit; at updated plant - US_Base_With Amendment_Windrow</v>
      </c>
    </row>
    <row r="205" spans="1:13" s="120" customFormat="1" x14ac:dyDescent="0.25">
      <c r="A205" s="119"/>
      <c r="B205" s="138" t="str">
        <f t="shared" si="10"/>
        <v>Windrow</v>
      </c>
      <c r="C205" s="138" t="str">
        <f t="shared" si="9"/>
        <v>Base_With Amendment</v>
      </c>
      <c r="D205" s="118" t="s">
        <v>130</v>
      </c>
      <c r="E205" s="118" t="s">
        <v>130</v>
      </c>
      <c r="F205" s="118" t="s">
        <v>46</v>
      </c>
      <c r="G205" s="153"/>
      <c r="H205" s="155">
        <v>2.41E-2</v>
      </c>
      <c r="I205" s="154" t="s">
        <v>128</v>
      </c>
      <c r="J205" s="204">
        <v>4.4999999999999997E-3</v>
      </c>
      <c r="K205" s="154" t="s">
        <v>14</v>
      </c>
      <c r="L205" s="154" t="str">
        <f>IF(OpenLCAbasic!K205="CTUh", "Fill in Manually",IF(OR(K205="Unit", K205=""), "", INDEX(LookUps!$E$5:$E$12, MATCH(OpenLCAbasic!K205,LookUps!$D$5:$D$12,0))))</f>
        <v>Fossil Depletion Potential (FDP) - kg oil eq</v>
      </c>
      <c r="M205" s="154" t="str">
        <f t="shared" si="11"/>
        <v>Base_Base_Upgraded_Fossil Depletion Potential (FDP) - kg oil eq_Wastewater collection; operation and infrastructure; m3 wastewater_Base_With Amendment_Windrow</v>
      </c>
    </row>
    <row r="206" spans="1:13" s="120" customFormat="1" x14ac:dyDescent="0.25">
      <c r="A206" s="119"/>
      <c r="B206" s="138" t="str">
        <f t="shared" si="10"/>
        <v>Windrow</v>
      </c>
      <c r="C206" s="138" t="str">
        <f t="shared" si="9"/>
        <v>Base_With Amendment</v>
      </c>
      <c r="D206" s="118" t="s">
        <v>130</v>
      </c>
      <c r="E206" s="118" t="s">
        <v>130</v>
      </c>
      <c r="F206" s="118" t="s">
        <v>46</v>
      </c>
      <c r="G206" s="153"/>
      <c r="H206" s="155">
        <v>1.4999999999999999E-2</v>
      </c>
      <c r="I206" s="154" t="s">
        <v>148</v>
      </c>
      <c r="J206" s="204">
        <v>2.8E-3</v>
      </c>
      <c r="K206" s="154" t="s">
        <v>14</v>
      </c>
      <c r="L206" s="154" t="str">
        <f>IF(OpenLCAbasic!K206="CTUh", "Fill in Manually",IF(OR(K206="Unit", K206=""), "", INDEX(LookUps!$E$5:$E$12, MATCH(OpenLCAbasic!K206,LookUps!$D$5:$D$12,0))))</f>
        <v>Fossil Depletion Potential (FDP) - kg oil eq</v>
      </c>
      <c r="M206" s="154" t="str">
        <f t="shared" si="11"/>
        <v>Base_Base_Upgraded_Fossil Depletion Potential (FDP) - kg oil eq_Control Building; at upgraded wastewater treatment plant - US_Base_With Amendment_Windrow</v>
      </c>
    </row>
    <row r="207" spans="1:13" s="120" customFormat="1" x14ac:dyDescent="0.25">
      <c r="A207" s="119"/>
      <c r="B207" s="138" t="str">
        <f t="shared" si="10"/>
        <v>Windrow</v>
      </c>
      <c r="C207" s="138" t="str">
        <f t="shared" si="9"/>
        <v>Base_With Amendment</v>
      </c>
      <c r="D207" s="118" t="s">
        <v>130</v>
      </c>
      <c r="E207" s="118" t="s">
        <v>130</v>
      </c>
      <c r="F207" s="118" t="s">
        <v>46</v>
      </c>
      <c r="G207" s="153"/>
      <c r="H207" s="155">
        <v>1.2699999999999999E-2</v>
      </c>
      <c r="I207" s="154" t="s">
        <v>48</v>
      </c>
      <c r="J207" s="204">
        <v>2.3600000000000001E-3</v>
      </c>
      <c r="K207" s="154" t="s">
        <v>14</v>
      </c>
      <c r="L207" s="154" t="str">
        <f>IF(OpenLCAbasic!K207="CTUh", "Fill in Manually",IF(OR(K207="Unit", K207=""), "", INDEX(LookUps!$E$5:$E$12, MATCH(OpenLCAbasic!K207,LookUps!$D$5:$D$12,0))))</f>
        <v>Fossil Depletion Potential (FDP) - kg oil eq</v>
      </c>
      <c r="M207" s="154" t="str">
        <f t="shared" si="11"/>
        <v>Base_Base_Upgraded_Fossil Depletion Potential (FDP) - kg oil eq_Effluent release; wastewater treatment unit; at surface water; m3 wastewater - US_Base_With Amendment_Windrow</v>
      </c>
    </row>
    <row r="208" spans="1:13" s="120" customFormat="1" x14ac:dyDescent="0.25">
      <c r="A208" s="119"/>
      <c r="B208" s="138" t="str">
        <f t="shared" si="10"/>
        <v>Windrow</v>
      </c>
      <c r="C208" s="138" t="str">
        <f t="shared" si="9"/>
        <v>Base_With Amendment</v>
      </c>
      <c r="D208" s="118" t="s">
        <v>130</v>
      </c>
      <c r="E208" s="118" t="s">
        <v>130</v>
      </c>
      <c r="F208" s="118" t="s">
        <v>46</v>
      </c>
      <c r="G208" s="153"/>
      <c r="H208" s="155">
        <v>1.03E-2</v>
      </c>
      <c r="I208" s="154" t="s">
        <v>59</v>
      </c>
      <c r="J208" s="204">
        <v>1.92E-3</v>
      </c>
      <c r="K208" s="154" t="s">
        <v>14</v>
      </c>
      <c r="L208" s="154" t="str">
        <f>IF(OpenLCAbasic!K208="CTUh", "Fill in Manually",IF(OR(K208="Unit", K208=""), "", INDEX(LookUps!$E$5:$E$12, MATCH(OpenLCAbasic!K208,LookUps!$D$5:$D$12,0))))</f>
        <v>Fossil Depletion Potential (FDP) - kg oil eq</v>
      </c>
      <c r="M208" s="154" t="str">
        <f t="shared" si="11"/>
        <v>Base_Base_Upgraded_Fossil Depletion Potential (FDP) - kg oil eq_Blend Tank; wastewater treatment unit; at updated plant - US_Base_With Amendment_Windrow</v>
      </c>
    </row>
    <row r="209" spans="1:13" s="120" customFormat="1" x14ac:dyDescent="0.25">
      <c r="A209" s="119"/>
      <c r="B209" s="138" t="str">
        <f t="shared" si="10"/>
        <v>Windrow</v>
      </c>
      <c r="C209" s="138" t="str">
        <f t="shared" si="9"/>
        <v>Base_With Amendment</v>
      </c>
      <c r="D209" s="118" t="s">
        <v>130</v>
      </c>
      <c r="E209" s="118" t="s">
        <v>130</v>
      </c>
      <c r="F209" s="118" t="s">
        <v>46</v>
      </c>
      <c r="G209" s="153"/>
      <c r="H209" s="155">
        <v>4.8999999999999998E-3</v>
      </c>
      <c r="I209" s="154" t="s">
        <v>168</v>
      </c>
      <c r="J209" s="204">
        <v>9.1E-4</v>
      </c>
      <c r="K209" s="154" t="s">
        <v>14</v>
      </c>
      <c r="L209" s="154" t="str">
        <f>IF(OpenLCAbasic!K209="CTUh", "Fill in Manually",IF(OR(K209="Unit", K209=""), "", INDEX(LookUps!$E$5:$E$12, MATCH(OpenLCAbasic!K209,LookUps!$D$5:$D$12,0))))</f>
        <v>Fossil Depletion Potential (FDP) - kg oil eq</v>
      </c>
      <c r="M209" s="154" t="str">
        <f t="shared" si="11"/>
        <v>Base_Base_Upgraded_Fossil Depletion Potential (FDP) - kg oil eq_ClearCove SCP; wastewater treatment unit; at updated plant - US_Base_With Amendment_Windrow</v>
      </c>
    </row>
    <row r="210" spans="1:13" s="120" customFormat="1" x14ac:dyDescent="0.25">
      <c r="A210" s="119"/>
      <c r="B210" s="138" t="str">
        <f t="shared" si="10"/>
        <v>Windrow</v>
      </c>
      <c r="C210" s="138" t="str">
        <f t="shared" si="9"/>
        <v>Base_With Amendment</v>
      </c>
      <c r="D210" s="118" t="s">
        <v>130</v>
      </c>
      <c r="E210" s="118" t="s">
        <v>130</v>
      </c>
      <c r="F210" s="118" t="s">
        <v>46</v>
      </c>
      <c r="G210" s="153"/>
      <c r="H210" s="155">
        <v>2.3999999999999998E-3</v>
      </c>
      <c r="I210" s="154" t="s">
        <v>271</v>
      </c>
      <c r="J210" s="204">
        <v>4.4000000000000002E-4</v>
      </c>
      <c r="K210" s="154" t="s">
        <v>14</v>
      </c>
      <c r="L210" s="154" t="str">
        <f>IF(OpenLCAbasic!K210="CTUh", "Fill in Manually",IF(OR(K210="Unit", K210=""), "", INDEX(LookUps!$E$5:$E$12, MATCH(OpenLCAbasic!K210,LookUps!$D$5:$D$12,0))))</f>
        <v>Fossil Depletion Potential (FDP) - kg oil eq</v>
      </c>
      <c r="M210" s="154" t="str">
        <f t="shared" si="11"/>
        <v>Base_Base_Upgraded_Fossil Depletion Potential (FDP) - kg oil eq_Biosolids composting; windrow composting; wastewater treatment unit; at updated plant - US_Base_With Amendment_Windrow</v>
      </c>
    </row>
    <row r="211" spans="1:13" s="120" customFormat="1" x14ac:dyDescent="0.25">
      <c r="A211" s="119"/>
      <c r="B211" s="138" t="str">
        <f t="shared" si="10"/>
        <v>Windrow</v>
      </c>
      <c r="C211" s="138" t="str">
        <f t="shared" si="9"/>
        <v>Base_With Amendment</v>
      </c>
      <c r="D211" s="118" t="s">
        <v>130</v>
      </c>
      <c r="E211" s="118" t="s">
        <v>130</v>
      </c>
      <c r="F211" s="118" t="s">
        <v>46</v>
      </c>
      <c r="G211" s="153"/>
      <c r="H211" s="155">
        <v>-3.3000000000000002E-2</v>
      </c>
      <c r="I211" s="154" t="s">
        <v>62</v>
      </c>
      <c r="J211" s="204">
        <v>-6.1700000000000001E-3</v>
      </c>
      <c r="K211" s="154" t="s">
        <v>14</v>
      </c>
      <c r="L211" s="154" t="str">
        <f>IF(OpenLCAbasic!K211="CTUh", "Fill in Manually",IF(OR(K211="Unit", K211=""), "", INDEX(LookUps!$E$5:$E$12, MATCH(OpenLCAbasic!K211,LookUps!$D$5:$D$12,0))))</f>
        <v>Fossil Depletion Potential (FDP) - kg oil eq</v>
      </c>
      <c r="M211" s="154" t="str">
        <f t="shared" si="11"/>
        <v>Base_Base_Upgraded_Fossil Depletion Potential (FDP) - kg oil eq_Land application of compost; wastewater treatment unit; at updated plant - US_Base_With Amendment_Windrow</v>
      </c>
    </row>
    <row r="212" spans="1:13" s="120" customFormat="1" x14ac:dyDescent="0.25">
      <c r="A212" s="119"/>
      <c r="B212" s="138" t="str">
        <f t="shared" si="10"/>
        <v>Windrow</v>
      </c>
      <c r="C212" s="138" t="str">
        <f t="shared" si="9"/>
        <v>Base_With Amendment</v>
      </c>
      <c r="D212" s="118" t="s">
        <v>130</v>
      </c>
      <c r="E212" s="118" t="s">
        <v>130</v>
      </c>
      <c r="F212" s="118" t="s">
        <v>46</v>
      </c>
      <c r="G212" s="153"/>
      <c r="H212" s="155">
        <v>-0.21429999999999999</v>
      </c>
      <c r="I212" s="154" t="s">
        <v>149</v>
      </c>
      <c r="J212" s="203">
        <v>-4.0030000000000003E-2</v>
      </c>
      <c r="K212" s="154" t="s">
        <v>14</v>
      </c>
      <c r="L212" s="154" t="str">
        <f>IF(OpenLCAbasic!K212="CTUh", "Fill in Manually",IF(OR(K212="Unit", K212=""), "", INDEX(LookUps!$E$5:$E$12, MATCH(OpenLCAbasic!K212,LookUps!$D$5:$D$12,0))))</f>
        <v>Fossil Depletion Potential (FDP) - kg oil eq</v>
      </c>
      <c r="M212" s="154" t="str">
        <f t="shared" si="11"/>
        <v>Base_Base_Upgraded_Fossil Depletion Potential (FDP) - kg oil eq_Anaerobic Digestion; wastewater treatment unit; at updated plant - US_Base_With Amendment_Windrow</v>
      </c>
    </row>
    <row r="213" spans="1:13" s="120" customFormat="1" x14ac:dyDescent="0.25">
      <c r="A213" s="119"/>
      <c r="B213" s="138" t="str">
        <f t="shared" si="10"/>
        <v>Windrow</v>
      </c>
      <c r="C213" s="138" t="str">
        <f t="shared" si="9"/>
        <v>Base_With Amendment</v>
      </c>
      <c r="D213" s="118" t="s">
        <v>130</v>
      </c>
      <c r="E213" s="118" t="s">
        <v>130</v>
      </c>
      <c r="F213" s="118" t="s">
        <v>46</v>
      </c>
      <c r="G213" s="153" t="s">
        <v>51</v>
      </c>
      <c r="H213" s="155"/>
      <c r="I213" s="154" t="s">
        <v>47</v>
      </c>
      <c r="J213" s="154" t="s">
        <v>52</v>
      </c>
      <c r="K213" s="154" t="s">
        <v>27</v>
      </c>
      <c r="L213" s="154" t="str">
        <f>IF(OpenLCAbasic!K213="CTUh", "Fill in Manually",IF(OR(K213="Unit", K213=""), "", INDEX(LookUps!$E$5:$E$12, MATCH(OpenLCAbasic!K213,LookUps!$D$5:$D$12,0))))</f>
        <v/>
      </c>
      <c r="M213" s="154" t="str">
        <f t="shared" si="11"/>
        <v>Base_Base_Upgraded__Process_Base_With Amendment_Windrow</v>
      </c>
    </row>
    <row r="214" spans="1:13" s="120" customFormat="1" x14ac:dyDescent="0.25">
      <c r="A214" s="119"/>
      <c r="B214" s="138" t="str">
        <f t="shared" si="10"/>
        <v>Windrow</v>
      </c>
      <c r="C214" s="138" t="str">
        <f t="shared" si="9"/>
        <v>Base_With Amendment</v>
      </c>
      <c r="D214" s="118" t="s">
        <v>130</v>
      </c>
      <c r="E214" s="118" t="s">
        <v>130</v>
      </c>
      <c r="F214" s="118" t="s">
        <v>46</v>
      </c>
      <c r="G214" s="153"/>
      <c r="H214" s="155">
        <v>0.36990000000000001</v>
      </c>
      <c r="I214" s="154" t="s">
        <v>55</v>
      </c>
      <c r="J214" s="157">
        <v>3.5330499999999998</v>
      </c>
      <c r="K214" s="154" t="s">
        <v>15</v>
      </c>
      <c r="L214" s="154" t="str">
        <f>IF(OpenLCAbasic!K214="CTUh", "Fill in Manually",IF(OR(K214="Unit", K214=""), "", INDEX(LookUps!$E$5:$E$12, MATCH(OpenLCAbasic!K214,LookUps!$D$5:$D$12,0))))</f>
        <v>Cumulative Energy Demand (CED) - MJ</v>
      </c>
      <c r="M214" s="154" t="str">
        <f t="shared" si="11"/>
        <v>Base_Base_Upgraded_Cumulative Energy Demand (CED) - MJ_Aeration Tanks; wastewater treatment unit; at updated plant - US_Base_With Amendment_Windrow</v>
      </c>
    </row>
    <row r="215" spans="1:13" s="120" customFormat="1" x14ac:dyDescent="0.25">
      <c r="A215" s="119"/>
      <c r="B215" s="138" t="str">
        <f t="shared" si="10"/>
        <v>Windrow</v>
      </c>
      <c r="C215" s="138" t="str">
        <f t="shared" si="9"/>
        <v>Base_With Amendment</v>
      </c>
      <c r="D215" s="118" t="s">
        <v>130</v>
      </c>
      <c r="E215" s="118" t="s">
        <v>130</v>
      </c>
      <c r="F215" s="118" t="s">
        <v>46</v>
      </c>
      <c r="G215" s="153"/>
      <c r="H215" s="155">
        <v>0.36620000000000003</v>
      </c>
      <c r="I215" s="154" t="s">
        <v>167</v>
      </c>
      <c r="J215" s="157">
        <v>3.4982700000000002</v>
      </c>
      <c r="K215" s="154" t="s">
        <v>15</v>
      </c>
      <c r="L215" s="154" t="str">
        <f>IF(OpenLCAbasic!K215="CTUh", "Fill in Manually",IF(OR(K215="Unit", K215=""), "", INDEX(LookUps!$E$5:$E$12, MATCH(OpenLCAbasic!K215,LookUps!$D$5:$D$12,0))))</f>
        <v>Cumulative Energy Demand (CED) - MJ</v>
      </c>
      <c r="M215" s="154" t="str">
        <f t="shared" si="11"/>
        <v>Base_Base_Upgraded_Cumulative Energy Demand (CED) - MJ_Waste Receiving and Holding; wastewater treatment unit; at updated plant - US_Base_With Amendment_Windrow</v>
      </c>
    </row>
    <row r="216" spans="1:13" s="120" customFormat="1" x14ac:dyDescent="0.25">
      <c r="A216" s="119"/>
      <c r="B216" s="138" t="str">
        <f t="shared" si="10"/>
        <v>Windrow</v>
      </c>
      <c r="C216" s="138" t="str">
        <f t="shared" si="9"/>
        <v>Base_With Amendment</v>
      </c>
      <c r="D216" s="118" t="s">
        <v>130</v>
      </c>
      <c r="E216" s="118" t="s">
        <v>130</v>
      </c>
      <c r="F216" s="118" t="s">
        <v>46</v>
      </c>
      <c r="G216" s="153"/>
      <c r="H216" s="155">
        <v>0.1217</v>
      </c>
      <c r="I216" s="154" t="s">
        <v>54</v>
      </c>
      <c r="J216" s="157">
        <v>1.16289</v>
      </c>
      <c r="K216" s="154" t="s">
        <v>15</v>
      </c>
      <c r="L216" s="154" t="str">
        <f>IF(OpenLCAbasic!K216="CTUh", "Fill in Manually",IF(OR(K216="Unit", K216=""), "", INDEX(LookUps!$E$5:$E$12, MATCH(OpenLCAbasic!K216,LookUps!$D$5:$D$12,0))))</f>
        <v>Cumulative Energy Demand (CED) - MJ</v>
      </c>
      <c r="M216" s="154" t="str">
        <f t="shared" si="11"/>
        <v>Base_Base_Upgraded_Cumulative Energy Demand (CED) - MJ_Clear Cove Primary Clarification; wastewater treatment unit; at updated plant - US_Base_With Amendment_Windrow</v>
      </c>
    </row>
    <row r="217" spans="1:13" s="120" customFormat="1" x14ac:dyDescent="0.25">
      <c r="A217" s="119"/>
      <c r="B217" s="138" t="str">
        <f t="shared" si="10"/>
        <v>Windrow</v>
      </c>
      <c r="C217" s="138" t="str">
        <f t="shared" si="9"/>
        <v>Base_With Amendment</v>
      </c>
      <c r="D217" s="118" t="s">
        <v>130</v>
      </c>
      <c r="E217" s="118" t="s">
        <v>130</v>
      </c>
      <c r="F217" s="118" t="s">
        <v>46</v>
      </c>
      <c r="G217" s="153"/>
      <c r="H217" s="155">
        <v>9.2600000000000002E-2</v>
      </c>
      <c r="I217" s="154" t="s">
        <v>58</v>
      </c>
      <c r="J217" s="203">
        <v>0.88417000000000001</v>
      </c>
      <c r="K217" s="154" t="s">
        <v>15</v>
      </c>
      <c r="L217" s="154" t="str">
        <f>IF(OpenLCAbasic!K217="CTUh", "Fill in Manually",IF(OR(K217="Unit", K217=""), "", INDEX(LookUps!$E$5:$E$12, MATCH(OpenLCAbasic!K217,LookUps!$D$5:$D$12,0))))</f>
        <v>Cumulative Energy Demand (CED) - MJ</v>
      </c>
      <c r="M217" s="154" t="str">
        <f t="shared" si="11"/>
        <v>Base_Base_Upgraded_Cumulative Energy Demand (CED) - MJ_Pre-Anoxic &amp; Swing tank; wastewater treatment unit; at updated plant - US_Base_With Amendment_Windrow</v>
      </c>
    </row>
    <row r="218" spans="1:13" s="120" customFormat="1" x14ac:dyDescent="0.25">
      <c r="A218" s="119"/>
      <c r="B218" s="138" t="str">
        <f t="shared" si="10"/>
        <v>Windrow</v>
      </c>
      <c r="C218" s="138" t="str">
        <f t="shared" si="9"/>
        <v>Base_With Amendment</v>
      </c>
      <c r="D218" s="118" t="s">
        <v>130</v>
      </c>
      <c r="E218" s="118" t="s">
        <v>130</v>
      </c>
      <c r="F218" s="118" t="s">
        <v>46</v>
      </c>
      <c r="G218" s="153"/>
      <c r="H218" s="155">
        <v>9.2399999999999996E-2</v>
      </c>
      <c r="I218" s="154" t="s">
        <v>147</v>
      </c>
      <c r="J218" s="203">
        <v>0.88297000000000003</v>
      </c>
      <c r="K218" s="154" t="s">
        <v>15</v>
      </c>
      <c r="L218" s="154" t="str">
        <f>IF(OpenLCAbasic!K218="CTUh", "Fill in Manually",IF(OR(K218="Unit", K218=""), "", INDEX(LookUps!$E$5:$E$12, MATCH(OpenLCAbasic!K218,LookUps!$D$5:$D$12,0))))</f>
        <v>Cumulative Energy Demand (CED) - MJ</v>
      </c>
      <c r="M218" s="154" t="str">
        <f t="shared" si="11"/>
        <v>Base_Base_Upgraded_Cumulative Energy Demand (CED) - MJ_Influent Pump Station; wastewater treatment unit; at updated plant - US_Base_With Amendment_Windrow</v>
      </c>
    </row>
    <row r="219" spans="1:13" s="120" customFormat="1" x14ac:dyDescent="0.25">
      <c r="A219" s="119"/>
      <c r="B219" s="138" t="str">
        <f t="shared" si="10"/>
        <v>Windrow</v>
      </c>
      <c r="C219" s="138" t="str">
        <f t="shared" si="9"/>
        <v>Base_With Amendment</v>
      </c>
      <c r="D219" s="118" t="s">
        <v>130</v>
      </c>
      <c r="E219" s="118" t="s">
        <v>130</v>
      </c>
      <c r="F219" s="118" t="s">
        <v>46</v>
      </c>
      <c r="G219" s="153"/>
      <c r="H219" s="155">
        <v>7.2900000000000006E-2</v>
      </c>
      <c r="I219" s="154" t="s">
        <v>53</v>
      </c>
      <c r="J219" s="203">
        <v>0.69645000000000001</v>
      </c>
      <c r="K219" s="154" t="s">
        <v>15</v>
      </c>
      <c r="L219" s="154" t="str">
        <f>IF(OpenLCAbasic!K219="CTUh", "Fill in Manually",IF(OR(K219="Unit", K219=""), "", INDEX(LookUps!$E$5:$E$12, MATCH(OpenLCAbasic!K219,LookUps!$D$5:$D$12,0))))</f>
        <v>Cumulative Energy Demand (CED) - MJ</v>
      </c>
      <c r="M219" s="154" t="str">
        <f t="shared" si="11"/>
        <v>Base_Base_Upgraded_Cumulative Energy Demand (CED) - MJ_Wet Well and Sump Station; wastewater treatment unit; at updated plant - US_Base_With Amendment_Windrow</v>
      </c>
    </row>
    <row r="220" spans="1:13" s="120" customFormat="1" x14ac:dyDescent="0.25">
      <c r="A220" s="119"/>
      <c r="B220" s="138" t="str">
        <f t="shared" si="10"/>
        <v>Windrow</v>
      </c>
      <c r="C220" s="138" t="str">
        <f t="shared" si="9"/>
        <v>Base_With Amendment</v>
      </c>
      <c r="D220" s="118" t="s">
        <v>130</v>
      </c>
      <c r="E220" s="118" t="s">
        <v>130</v>
      </c>
      <c r="F220" s="118" t="s">
        <v>46</v>
      </c>
      <c r="G220" s="153"/>
      <c r="H220" s="155">
        <v>3.5000000000000003E-2</v>
      </c>
      <c r="I220" s="154" t="s">
        <v>57</v>
      </c>
      <c r="J220" s="203">
        <v>0.33404</v>
      </c>
      <c r="K220" s="154" t="s">
        <v>15</v>
      </c>
      <c r="L220" s="154" t="str">
        <f>IF(OpenLCAbasic!K220="CTUh", "Fill in Manually",IF(OR(K220="Unit", K220=""), "", INDEX(LookUps!$E$5:$E$12, MATCH(OpenLCAbasic!K220,LookUps!$D$5:$D$12,0))))</f>
        <v>Cumulative Energy Demand (CED) - MJ</v>
      </c>
      <c r="M220" s="154" t="str">
        <f t="shared" si="11"/>
        <v>Base_Base_Upgraded_Cumulative Energy Demand (CED) - MJ_Gravity Belt Thickener; wastewater treatment unit; at updated plant - US_Base_With Amendment_Windrow</v>
      </c>
    </row>
    <row r="221" spans="1:13" s="120" customFormat="1" x14ac:dyDescent="0.25">
      <c r="A221" s="119"/>
      <c r="B221" s="138" t="str">
        <f t="shared" si="10"/>
        <v>Windrow</v>
      </c>
      <c r="C221" s="138" t="str">
        <f t="shared" si="9"/>
        <v>Base_With Amendment</v>
      </c>
      <c r="D221" s="118" t="s">
        <v>130</v>
      </c>
      <c r="E221" s="118" t="s">
        <v>130</v>
      </c>
      <c r="F221" s="118" t="s">
        <v>46</v>
      </c>
      <c r="G221" s="153"/>
      <c r="H221" s="155">
        <v>3.0200000000000001E-2</v>
      </c>
      <c r="I221" s="154" t="s">
        <v>60</v>
      </c>
      <c r="J221" s="203">
        <v>0.28833999999999999</v>
      </c>
      <c r="K221" s="154" t="s">
        <v>15</v>
      </c>
      <c r="L221" s="154" t="str">
        <f>IF(OpenLCAbasic!K221="CTUh", "Fill in Manually",IF(OR(K221="Unit", K221=""), "", INDEX(LookUps!$E$5:$E$12, MATCH(OpenLCAbasic!K221,LookUps!$D$5:$D$12,0))))</f>
        <v>Cumulative Energy Demand (CED) - MJ</v>
      </c>
      <c r="M221" s="154" t="str">
        <f t="shared" si="11"/>
        <v>Base_Base_Upgraded_Cumulative Energy Demand (CED) - MJ_Belt filter press; wastewater treatment unit; at updated plant - US_Base_With Amendment_Windrow</v>
      </c>
    </row>
    <row r="222" spans="1:13" s="120" customFormat="1" x14ac:dyDescent="0.25">
      <c r="A222" s="119"/>
      <c r="B222" s="138" t="str">
        <f t="shared" si="10"/>
        <v>Windrow</v>
      </c>
      <c r="C222" s="138" t="str">
        <f t="shared" si="9"/>
        <v>Base_With Amendment</v>
      </c>
      <c r="D222" s="118" t="s">
        <v>130</v>
      </c>
      <c r="E222" s="118" t="s">
        <v>130</v>
      </c>
      <c r="F222" s="118" t="s">
        <v>46</v>
      </c>
      <c r="G222" s="153"/>
      <c r="H222" s="155">
        <v>2.6800000000000001E-2</v>
      </c>
      <c r="I222" s="154" t="s">
        <v>128</v>
      </c>
      <c r="J222" s="203">
        <v>0.25606000000000001</v>
      </c>
      <c r="K222" s="154" t="s">
        <v>15</v>
      </c>
      <c r="L222" s="154" t="str">
        <f>IF(OpenLCAbasic!K222="CTUh", "Fill in Manually",IF(OR(K222="Unit", K222=""), "", INDEX(LookUps!$E$5:$E$12, MATCH(OpenLCAbasic!K222,LookUps!$D$5:$D$12,0))))</f>
        <v>Cumulative Energy Demand (CED) - MJ</v>
      </c>
      <c r="M222" s="154" t="str">
        <f t="shared" si="11"/>
        <v>Base_Base_Upgraded_Cumulative Energy Demand (CED) - MJ_Wastewater collection; operation and infrastructure; m3 wastewater_Base_With Amendment_Windrow</v>
      </c>
    </row>
    <row r="223" spans="1:13" s="120" customFormat="1" x14ac:dyDescent="0.25">
      <c r="A223" s="119"/>
      <c r="B223" s="138" t="str">
        <f t="shared" si="10"/>
        <v>Windrow</v>
      </c>
      <c r="C223" s="138" t="str">
        <f t="shared" ref="C223:C286" si="12">IF(E223&lt;&gt;"", "Base_With Amendment","")</f>
        <v>Base_With Amendment</v>
      </c>
      <c r="D223" s="118" t="s">
        <v>130</v>
      </c>
      <c r="E223" s="118" t="s">
        <v>130</v>
      </c>
      <c r="F223" s="118" t="s">
        <v>46</v>
      </c>
      <c r="G223" s="153"/>
      <c r="H223" s="155">
        <v>1.5299999999999999E-2</v>
      </c>
      <c r="I223" s="154" t="s">
        <v>148</v>
      </c>
      <c r="J223" s="203">
        <v>0.14599000000000001</v>
      </c>
      <c r="K223" s="154" t="s">
        <v>15</v>
      </c>
      <c r="L223" s="154" t="str">
        <f>IF(OpenLCAbasic!K223="CTUh", "Fill in Manually",IF(OR(K223="Unit", K223=""), "", INDEX(LookUps!$E$5:$E$12, MATCH(OpenLCAbasic!K223,LookUps!$D$5:$D$12,0))))</f>
        <v>Cumulative Energy Demand (CED) - MJ</v>
      </c>
      <c r="M223" s="154" t="str">
        <f t="shared" si="11"/>
        <v>Base_Base_Upgraded_Cumulative Energy Demand (CED) - MJ_Control Building; at upgraded wastewater treatment plant - US_Base_With Amendment_Windrow</v>
      </c>
    </row>
    <row r="224" spans="1:13" s="120" customFormat="1" x14ac:dyDescent="0.25">
      <c r="A224" s="119"/>
      <c r="B224" s="138" t="str">
        <f t="shared" si="10"/>
        <v>Windrow</v>
      </c>
      <c r="C224" s="138" t="str">
        <f t="shared" si="12"/>
        <v>Base_With Amendment</v>
      </c>
      <c r="D224" s="118" t="s">
        <v>130</v>
      </c>
      <c r="E224" s="118" t="s">
        <v>130</v>
      </c>
      <c r="F224" s="118" t="s">
        <v>46</v>
      </c>
      <c r="G224" s="153"/>
      <c r="H224" s="155">
        <v>1.3899999999999999E-2</v>
      </c>
      <c r="I224" s="154" t="s">
        <v>48</v>
      </c>
      <c r="J224" s="203">
        <v>0.13321</v>
      </c>
      <c r="K224" s="154" t="s">
        <v>15</v>
      </c>
      <c r="L224" s="154" t="str">
        <f>IF(OpenLCAbasic!K224="CTUh", "Fill in Manually",IF(OR(K224="Unit", K224=""), "", INDEX(LookUps!$E$5:$E$12, MATCH(OpenLCAbasic!K224,LookUps!$D$5:$D$12,0))))</f>
        <v>Cumulative Energy Demand (CED) - MJ</v>
      </c>
      <c r="M224" s="154" t="str">
        <f t="shared" si="11"/>
        <v>Base_Base_Upgraded_Cumulative Energy Demand (CED) - MJ_Effluent release; wastewater treatment unit; at surface water; m3 wastewater - US_Base_With Amendment_Windrow</v>
      </c>
    </row>
    <row r="225" spans="1:13" s="120" customFormat="1" x14ac:dyDescent="0.25">
      <c r="A225" s="119"/>
      <c r="B225" s="138" t="str">
        <f t="shared" si="10"/>
        <v>Windrow</v>
      </c>
      <c r="C225" s="138" t="str">
        <f t="shared" si="12"/>
        <v>Base_With Amendment</v>
      </c>
      <c r="D225" s="118" t="s">
        <v>130</v>
      </c>
      <c r="E225" s="118" t="s">
        <v>130</v>
      </c>
      <c r="F225" s="118" t="s">
        <v>46</v>
      </c>
      <c r="G225" s="153"/>
      <c r="H225" s="155">
        <v>1.11E-2</v>
      </c>
      <c r="I225" s="154" t="s">
        <v>59</v>
      </c>
      <c r="J225" s="203">
        <v>0.10638</v>
      </c>
      <c r="K225" s="154" t="s">
        <v>15</v>
      </c>
      <c r="L225" s="154" t="str">
        <f>IF(OpenLCAbasic!K225="CTUh", "Fill in Manually",IF(OR(K225="Unit", K225=""), "", INDEX(LookUps!$E$5:$E$12, MATCH(OpenLCAbasic!K225,LookUps!$D$5:$D$12,0))))</f>
        <v>Cumulative Energy Demand (CED) - MJ</v>
      </c>
      <c r="M225" s="154" t="str">
        <f t="shared" si="11"/>
        <v>Base_Base_Upgraded_Cumulative Energy Demand (CED) - MJ_Blend Tank; wastewater treatment unit; at updated plant - US_Base_With Amendment_Windrow</v>
      </c>
    </row>
    <row r="226" spans="1:13" s="120" customFormat="1" x14ac:dyDescent="0.25">
      <c r="A226" s="119"/>
      <c r="B226" s="138" t="str">
        <f t="shared" si="10"/>
        <v>Windrow</v>
      </c>
      <c r="C226" s="138" t="str">
        <f t="shared" si="12"/>
        <v>Base_With Amendment</v>
      </c>
      <c r="D226" s="118" t="s">
        <v>130</v>
      </c>
      <c r="E226" s="118" t="s">
        <v>130</v>
      </c>
      <c r="F226" s="118" t="s">
        <v>46</v>
      </c>
      <c r="G226" s="153"/>
      <c r="H226" s="155">
        <v>5.3E-3</v>
      </c>
      <c r="I226" s="154" t="s">
        <v>168</v>
      </c>
      <c r="J226" s="203">
        <v>5.0930000000000003E-2</v>
      </c>
      <c r="K226" s="154" t="s">
        <v>15</v>
      </c>
      <c r="L226" s="154" t="str">
        <f>IF(OpenLCAbasic!K226="CTUh", "Fill in Manually",IF(OR(K226="Unit", K226=""), "", INDEX(LookUps!$E$5:$E$12, MATCH(OpenLCAbasic!K226,LookUps!$D$5:$D$12,0))))</f>
        <v>Cumulative Energy Demand (CED) - MJ</v>
      </c>
      <c r="M226" s="154" t="str">
        <f t="shared" si="11"/>
        <v>Base_Base_Upgraded_Cumulative Energy Demand (CED) - MJ_ClearCove SCP; wastewater treatment unit; at updated plant - US_Base_With Amendment_Windrow</v>
      </c>
    </row>
    <row r="227" spans="1:13" s="120" customFormat="1" x14ac:dyDescent="0.25">
      <c r="A227" s="119"/>
      <c r="B227" s="138" t="str">
        <f t="shared" si="10"/>
        <v>Windrow</v>
      </c>
      <c r="C227" s="138" t="str">
        <f t="shared" si="12"/>
        <v>Base_With Amendment</v>
      </c>
      <c r="D227" s="118" t="s">
        <v>130</v>
      </c>
      <c r="E227" s="118" t="s">
        <v>130</v>
      </c>
      <c r="F227" s="118" t="s">
        <v>46</v>
      </c>
      <c r="G227" s="153"/>
      <c r="H227" s="155">
        <v>2.2000000000000001E-3</v>
      </c>
      <c r="I227" s="154" t="s">
        <v>271</v>
      </c>
      <c r="J227" s="203">
        <v>2.0650000000000002E-2</v>
      </c>
      <c r="K227" s="154" t="s">
        <v>15</v>
      </c>
      <c r="L227" s="154" t="str">
        <f>IF(OpenLCAbasic!K227="CTUh", "Fill in Manually",IF(OR(K227="Unit", K227=""), "", INDEX(LookUps!$E$5:$E$12, MATCH(OpenLCAbasic!K227,LookUps!$D$5:$D$12,0))))</f>
        <v>Cumulative Energy Demand (CED) - MJ</v>
      </c>
      <c r="M227" s="154" t="str">
        <f t="shared" si="11"/>
        <v>Base_Base_Upgraded_Cumulative Energy Demand (CED) - MJ_Biosolids composting; windrow composting; wastewater treatment unit; at updated plant - US_Base_With Amendment_Windrow</v>
      </c>
    </row>
    <row r="228" spans="1:13" s="120" customFormat="1" x14ac:dyDescent="0.25">
      <c r="A228" s="119"/>
      <c r="B228" s="138" t="str">
        <f t="shared" si="10"/>
        <v>Windrow</v>
      </c>
      <c r="C228" s="138" t="str">
        <f t="shared" si="12"/>
        <v>Base_With Amendment</v>
      </c>
      <c r="D228" s="118" t="s">
        <v>130</v>
      </c>
      <c r="E228" s="118" t="s">
        <v>130</v>
      </c>
      <c r="F228" s="118" t="s">
        <v>46</v>
      </c>
      <c r="G228" s="153"/>
      <c r="H228" s="155">
        <v>-4.6399999999999997E-2</v>
      </c>
      <c r="I228" s="154" t="s">
        <v>62</v>
      </c>
      <c r="J228" s="203">
        <v>-0.44338</v>
      </c>
      <c r="K228" s="154" t="s">
        <v>15</v>
      </c>
      <c r="L228" s="154" t="str">
        <f>IF(OpenLCAbasic!K228="CTUh", "Fill in Manually",IF(OR(K228="Unit", K228=""), "", INDEX(LookUps!$E$5:$E$12, MATCH(OpenLCAbasic!K228,LookUps!$D$5:$D$12,0))))</f>
        <v>Cumulative Energy Demand (CED) - MJ</v>
      </c>
      <c r="M228" s="154" t="str">
        <f t="shared" si="11"/>
        <v>Base_Base_Upgraded_Cumulative Energy Demand (CED) - MJ_Land application of compost; wastewater treatment unit; at updated plant - US_Base_With Amendment_Windrow</v>
      </c>
    </row>
    <row r="229" spans="1:13" s="120" customFormat="1" x14ac:dyDescent="0.25">
      <c r="A229" s="119"/>
      <c r="B229" s="138" t="str">
        <f t="shared" si="10"/>
        <v>Windrow</v>
      </c>
      <c r="C229" s="138" t="str">
        <f t="shared" si="12"/>
        <v>Base_With Amendment</v>
      </c>
      <c r="D229" s="118" t="s">
        <v>130</v>
      </c>
      <c r="E229" s="118" t="s">
        <v>130</v>
      </c>
      <c r="F229" s="118" t="s">
        <v>46</v>
      </c>
      <c r="G229" s="153"/>
      <c r="H229" s="155">
        <v>-0.20910000000000001</v>
      </c>
      <c r="I229" s="154" t="s">
        <v>149</v>
      </c>
      <c r="J229" s="157">
        <v>-1.99752</v>
      </c>
      <c r="K229" s="154" t="s">
        <v>15</v>
      </c>
      <c r="L229" s="154" t="str">
        <f>IF(OpenLCAbasic!K229="CTUh", "Fill in Manually",IF(OR(K229="Unit", K229=""), "", INDEX(LookUps!$E$5:$E$12, MATCH(OpenLCAbasic!K229,LookUps!$D$5:$D$12,0))))</f>
        <v>Cumulative Energy Demand (CED) - MJ</v>
      </c>
      <c r="M229" s="154" t="str">
        <f t="shared" si="11"/>
        <v>Base_Base_Upgraded_Cumulative Energy Demand (CED) - MJ_Anaerobic Digestion; wastewater treatment unit; at updated plant - US_Base_With Amendment_Windrow</v>
      </c>
    </row>
    <row r="230" spans="1:13" s="120" customFormat="1" x14ac:dyDescent="0.25">
      <c r="A230" s="119"/>
      <c r="B230" s="138" t="str">
        <f t="shared" si="10"/>
        <v/>
      </c>
      <c r="C230" s="138" t="str">
        <f t="shared" si="12"/>
        <v/>
      </c>
      <c r="D230" s="118"/>
      <c r="E230" s="118"/>
      <c r="F230" s="118"/>
      <c r="G230" s="153" t="s">
        <v>51</v>
      </c>
      <c r="H230" s="155"/>
      <c r="I230" s="154" t="s">
        <v>47</v>
      </c>
      <c r="J230" s="154" t="s">
        <v>52</v>
      </c>
      <c r="K230" s="154" t="s">
        <v>27</v>
      </c>
      <c r="L230" s="154" t="str">
        <f>IF(OpenLCAbasic!K230="CTUh", "Fill in Manually",IF(OR(K230="Unit", K230=""), "", INDEX(LookUps!$E$5:$E$12, MATCH(OpenLCAbasic!K230,LookUps!$D$5:$D$12,0))))</f>
        <v/>
      </c>
      <c r="M230" s="154" t="str">
        <f t="shared" si="11"/>
        <v>____Process__</v>
      </c>
    </row>
    <row r="231" spans="1:13" s="120" customFormat="1" x14ac:dyDescent="0.25">
      <c r="A231" s="119"/>
      <c r="B231" s="138" t="str">
        <f t="shared" si="10"/>
        <v>Windrow</v>
      </c>
      <c r="C231" s="138" t="str">
        <f t="shared" si="12"/>
        <v>Base_With Amendment</v>
      </c>
      <c r="D231" s="118" t="s">
        <v>136</v>
      </c>
      <c r="E231" s="118" t="s">
        <v>130</v>
      </c>
      <c r="F231" s="118" t="s">
        <v>46</v>
      </c>
      <c r="G231" s="153"/>
      <c r="H231" s="155">
        <v>1.284</v>
      </c>
      <c r="I231" s="154" t="s">
        <v>271</v>
      </c>
      <c r="J231" s="157">
        <v>1.0196499999999999</v>
      </c>
      <c r="K231" s="154" t="s">
        <v>23</v>
      </c>
      <c r="L231" s="154" t="str">
        <f>IF(OpenLCAbasic!K231="CTUh", "Fill in Manually",IF(OR(K231="Unit", K231=""), "", INDEX(LookUps!$E$5:$E$12, MATCH(OpenLCAbasic!K231,LookUps!$D$5:$D$12,0))))</f>
        <v>Global Warming Potential (GWP) - kg CO2 eq</v>
      </c>
      <c r="M231" s="154" t="str">
        <f t="shared" si="11"/>
        <v>Base_Medium_Base_Upgraded_Global Warming Potential (GWP) - kg CO2 eq_Biosolids composting; windrow composting; wastewater treatment unit; at updated plant - US_Base_With Amendment_Windrow</v>
      </c>
    </row>
    <row r="232" spans="1:13" s="120" customFormat="1" x14ac:dyDescent="0.25">
      <c r="A232" s="119"/>
      <c r="B232" s="138" t="str">
        <f t="shared" si="10"/>
        <v>Windrow</v>
      </c>
      <c r="C232" s="138" t="str">
        <f t="shared" si="12"/>
        <v>Base_With Amendment</v>
      </c>
      <c r="D232" s="118" t="s">
        <v>136</v>
      </c>
      <c r="E232" s="118" t="s">
        <v>130</v>
      </c>
      <c r="F232" s="118" t="s">
        <v>46</v>
      </c>
      <c r="G232" s="153"/>
      <c r="H232" s="155">
        <v>0.30940000000000001</v>
      </c>
      <c r="I232" s="154" t="s">
        <v>58</v>
      </c>
      <c r="J232" s="203">
        <v>0.24568999999999999</v>
      </c>
      <c r="K232" s="154" t="s">
        <v>23</v>
      </c>
      <c r="L232" s="154" t="str">
        <f>IF(OpenLCAbasic!K232="CTUh", "Fill in Manually",IF(OR(K232="Unit", K232=""), "", INDEX(LookUps!$E$5:$E$12, MATCH(OpenLCAbasic!K232,LookUps!$D$5:$D$12,0))))</f>
        <v>Global Warming Potential (GWP) - kg CO2 eq</v>
      </c>
      <c r="M232" s="154" t="str">
        <f t="shared" si="11"/>
        <v>Base_Medium_Base_Upgraded_Global Warming Potential (GWP) - kg CO2 eq_Pre-Anoxic &amp; Swing tank; wastewater treatment unit; at updated plant - US_Base_With Amendment_Windrow</v>
      </c>
    </row>
    <row r="233" spans="1:13" s="120" customFormat="1" x14ac:dyDescent="0.25">
      <c r="A233" s="119"/>
      <c r="B233" s="138" t="str">
        <f t="shared" si="10"/>
        <v>Windrow</v>
      </c>
      <c r="C233" s="138" t="str">
        <f t="shared" si="12"/>
        <v>Base_With Amendment</v>
      </c>
      <c r="D233" s="118" t="s">
        <v>136</v>
      </c>
      <c r="E233" s="118" t="s">
        <v>130</v>
      </c>
      <c r="F233" s="118" t="s">
        <v>46</v>
      </c>
      <c r="G233" s="153"/>
      <c r="H233" s="155">
        <v>0.21179999999999999</v>
      </c>
      <c r="I233" s="154" t="s">
        <v>55</v>
      </c>
      <c r="J233" s="203">
        <v>0.16822000000000001</v>
      </c>
      <c r="K233" s="154" t="s">
        <v>23</v>
      </c>
      <c r="L233" s="154" t="str">
        <f>IF(OpenLCAbasic!K233="CTUh", "Fill in Manually",IF(OR(K233="Unit", K233=""), "", INDEX(LookUps!$E$5:$E$12, MATCH(OpenLCAbasic!K233,LookUps!$D$5:$D$12,0))))</f>
        <v>Global Warming Potential (GWP) - kg CO2 eq</v>
      </c>
      <c r="M233" s="154" t="str">
        <f t="shared" si="11"/>
        <v>Base_Medium_Base_Upgraded_Global Warming Potential (GWP) - kg CO2 eq_Aeration Tanks; wastewater treatment unit; at updated plant - US_Base_With Amendment_Windrow</v>
      </c>
    </row>
    <row r="234" spans="1:13" s="120" customFormat="1" x14ac:dyDescent="0.25">
      <c r="A234" s="119"/>
      <c r="B234" s="138" t="str">
        <f t="shared" si="10"/>
        <v>Windrow</v>
      </c>
      <c r="C234" s="138" t="str">
        <f t="shared" si="12"/>
        <v>Base_With Amendment</v>
      </c>
      <c r="D234" s="118" t="s">
        <v>136</v>
      </c>
      <c r="E234" s="118" t="s">
        <v>130</v>
      </c>
      <c r="F234" s="118" t="s">
        <v>46</v>
      </c>
      <c r="G234" s="153"/>
      <c r="H234" s="155">
        <v>0.15559999999999999</v>
      </c>
      <c r="I234" s="154" t="s">
        <v>167</v>
      </c>
      <c r="J234" s="203">
        <v>0.12354999999999999</v>
      </c>
      <c r="K234" s="154" t="s">
        <v>23</v>
      </c>
      <c r="L234" s="154" t="str">
        <f>IF(OpenLCAbasic!K234="CTUh", "Fill in Manually",IF(OR(K234="Unit", K234=""), "", INDEX(LookUps!$E$5:$E$12, MATCH(OpenLCAbasic!K234,LookUps!$D$5:$D$12,0))))</f>
        <v>Global Warming Potential (GWP) - kg CO2 eq</v>
      </c>
      <c r="M234" s="154" t="str">
        <f t="shared" si="11"/>
        <v>Base_Medium_Base_Upgraded_Global Warming Potential (GWP) - kg CO2 eq_Waste Receiving and Holding; wastewater treatment unit; at updated plant - US_Base_With Amendment_Windrow</v>
      </c>
    </row>
    <row r="235" spans="1:13" s="120" customFormat="1" x14ac:dyDescent="0.25">
      <c r="A235" s="119"/>
      <c r="B235" s="138" t="str">
        <f t="shared" si="10"/>
        <v>Windrow</v>
      </c>
      <c r="C235" s="138" t="str">
        <f t="shared" si="12"/>
        <v>Base_With Amendment</v>
      </c>
      <c r="D235" s="118" t="s">
        <v>136</v>
      </c>
      <c r="E235" s="118" t="s">
        <v>130</v>
      </c>
      <c r="F235" s="118" t="s">
        <v>46</v>
      </c>
      <c r="G235" s="153"/>
      <c r="H235" s="155">
        <v>7.1900000000000006E-2</v>
      </c>
      <c r="I235" s="154" t="s">
        <v>54</v>
      </c>
      <c r="J235" s="203">
        <v>5.7079999999999999E-2</v>
      </c>
      <c r="K235" s="154" t="s">
        <v>23</v>
      </c>
      <c r="L235" s="154" t="str">
        <f>IF(OpenLCAbasic!K235="CTUh", "Fill in Manually",IF(OR(K235="Unit", K235=""), "", INDEX(LookUps!$E$5:$E$12, MATCH(OpenLCAbasic!K235,LookUps!$D$5:$D$12,0))))</f>
        <v>Global Warming Potential (GWP) - kg CO2 eq</v>
      </c>
      <c r="M235" s="154" t="str">
        <f t="shared" si="11"/>
        <v>Base_Medium_Base_Upgraded_Global Warming Potential (GWP) - kg CO2 eq_Clear Cove Primary Clarification; wastewater treatment unit; at updated plant - US_Base_With Amendment_Windrow</v>
      </c>
    </row>
    <row r="236" spans="1:13" s="120" customFormat="1" x14ac:dyDescent="0.25">
      <c r="A236" s="119"/>
      <c r="B236" s="138" t="str">
        <f t="shared" si="10"/>
        <v>Windrow</v>
      </c>
      <c r="C236" s="138" t="str">
        <f t="shared" si="12"/>
        <v>Base_With Amendment</v>
      </c>
      <c r="D236" s="118" t="s">
        <v>136</v>
      </c>
      <c r="E236" s="118" t="s">
        <v>130</v>
      </c>
      <c r="F236" s="118" t="s">
        <v>46</v>
      </c>
      <c r="G236" s="153"/>
      <c r="H236" s="155">
        <v>6.6299999999999998E-2</v>
      </c>
      <c r="I236" s="154" t="s">
        <v>48</v>
      </c>
      <c r="J236" s="203">
        <v>5.2639999999999999E-2</v>
      </c>
      <c r="K236" s="154" t="s">
        <v>23</v>
      </c>
      <c r="L236" s="154" t="str">
        <f>IF(OpenLCAbasic!K236="CTUh", "Fill in Manually",IF(OR(K236="Unit", K236=""), "", INDEX(LookUps!$E$5:$E$12, MATCH(OpenLCAbasic!K236,LookUps!$D$5:$D$12,0))))</f>
        <v>Global Warming Potential (GWP) - kg CO2 eq</v>
      </c>
      <c r="M236" s="154" t="str">
        <f t="shared" si="11"/>
        <v>Base_Medium_Base_Upgraded_Global Warming Potential (GWP) - kg CO2 eq_Effluent release; wastewater treatment unit; at surface water; m3 wastewater - US_Base_With Amendment_Windrow</v>
      </c>
    </row>
    <row r="237" spans="1:13" s="120" customFormat="1" x14ac:dyDescent="0.25">
      <c r="A237" s="119"/>
      <c r="B237" s="138" t="str">
        <f t="shared" si="10"/>
        <v>Windrow</v>
      </c>
      <c r="C237" s="138" t="str">
        <f t="shared" si="12"/>
        <v>Base_With Amendment</v>
      </c>
      <c r="D237" s="118" t="s">
        <v>136</v>
      </c>
      <c r="E237" s="118" t="s">
        <v>130</v>
      </c>
      <c r="F237" s="118" t="s">
        <v>46</v>
      </c>
      <c r="G237" s="153"/>
      <c r="H237" s="155">
        <v>6.3600000000000004E-2</v>
      </c>
      <c r="I237" s="154" t="s">
        <v>147</v>
      </c>
      <c r="J237" s="203">
        <v>5.0500000000000003E-2</v>
      </c>
      <c r="K237" s="154" t="s">
        <v>23</v>
      </c>
      <c r="L237" s="154" t="str">
        <f>IF(OpenLCAbasic!K237="CTUh", "Fill in Manually",IF(OR(K237="Unit", K237=""), "", INDEX(LookUps!$E$5:$E$12, MATCH(OpenLCAbasic!K237,LookUps!$D$5:$D$12,0))))</f>
        <v>Global Warming Potential (GWP) - kg CO2 eq</v>
      </c>
      <c r="M237" s="154" t="str">
        <f t="shared" si="11"/>
        <v>Base_Medium_Base_Upgraded_Global Warming Potential (GWP) - kg CO2 eq_Influent Pump Station; wastewater treatment unit; at updated plant - US_Base_With Amendment_Windrow</v>
      </c>
    </row>
    <row r="238" spans="1:13" s="120" customFormat="1" x14ac:dyDescent="0.25">
      <c r="A238" s="119"/>
      <c r="B238" s="138" t="str">
        <f t="shared" si="10"/>
        <v>Windrow</v>
      </c>
      <c r="C238" s="138" t="str">
        <f t="shared" si="12"/>
        <v>Base_With Amendment</v>
      </c>
      <c r="D238" s="118" t="s">
        <v>136</v>
      </c>
      <c r="E238" s="118" t="s">
        <v>130</v>
      </c>
      <c r="F238" s="118" t="s">
        <v>46</v>
      </c>
      <c r="G238" s="153"/>
      <c r="H238" s="155">
        <v>4.19E-2</v>
      </c>
      <c r="I238" s="154" t="s">
        <v>53</v>
      </c>
      <c r="J238" s="203">
        <v>3.3259999999999998E-2</v>
      </c>
      <c r="K238" s="154" t="s">
        <v>23</v>
      </c>
      <c r="L238" s="154" t="str">
        <f>IF(OpenLCAbasic!K238="CTUh", "Fill in Manually",IF(OR(K238="Unit", K238=""), "", INDEX(LookUps!$E$5:$E$12, MATCH(OpenLCAbasic!K238,LookUps!$D$5:$D$12,0))))</f>
        <v>Global Warming Potential (GWP) - kg CO2 eq</v>
      </c>
      <c r="M238" s="154" t="str">
        <f t="shared" si="11"/>
        <v>Base_Medium_Base_Upgraded_Global Warming Potential (GWP) - kg CO2 eq_Wet Well and Sump Station; wastewater treatment unit; at updated plant - US_Base_With Amendment_Windrow</v>
      </c>
    </row>
    <row r="239" spans="1:13" s="120" customFormat="1" x14ac:dyDescent="0.25">
      <c r="A239" s="119"/>
      <c r="B239" s="138" t="str">
        <f t="shared" si="10"/>
        <v>Windrow</v>
      </c>
      <c r="C239" s="138" t="str">
        <f t="shared" si="12"/>
        <v>Base_With Amendment</v>
      </c>
      <c r="D239" s="118" t="s">
        <v>136</v>
      </c>
      <c r="E239" s="118" t="s">
        <v>130</v>
      </c>
      <c r="F239" s="118" t="s">
        <v>46</v>
      </c>
      <c r="G239" s="153"/>
      <c r="H239" s="155">
        <v>2.2200000000000001E-2</v>
      </c>
      <c r="I239" s="154" t="s">
        <v>60</v>
      </c>
      <c r="J239" s="203">
        <v>1.7639999999999999E-2</v>
      </c>
      <c r="K239" s="154" t="s">
        <v>23</v>
      </c>
      <c r="L239" s="154" t="str">
        <f>IF(OpenLCAbasic!K239="CTUh", "Fill in Manually",IF(OR(K239="Unit", K239=""), "", INDEX(LookUps!$E$5:$E$12, MATCH(OpenLCAbasic!K239,LookUps!$D$5:$D$12,0))))</f>
        <v>Global Warming Potential (GWP) - kg CO2 eq</v>
      </c>
      <c r="M239" s="154" t="str">
        <f t="shared" si="11"/>
        <v>Base_Medium_Base_Upgraded_Global Warming Potential (GWP) - kg CO2 eq_Belt filter press; wastewater treatment unit; at updated plant - US_Base_With Amendment_Windrow</v>
      </c>
    </row>
    <row r="240" spans="1:13" s="120" customFormat="1" x14ac:dyDescent="0.25">
      <c r="A240" s="119"/>
      <c r="B240" s="138" t="str">
        <f t="shared" si="10"/>
        <v>Windrow</v>
      </c>
      <c r="C240" s="138" t="str">
        <f t="shared" si="12"/>
        <v>Base_With Amendment</v>
      </c>
      <c r="D240" s="118" t="s">
        <v>136</v>
      </c>
      <c r="E240" s="118" t="s">
        <v>130</v>
      </c>
      <c r="F240" s="118" t="s">
        <v>46</v>
      </c>
      <c r="G240" s="153"/>
      <c r="H240" s="155">
        <v>1.83E-2</v>
      </c>
      <c r="I240" s="154" t="s">
        <v>57</v>
      </c>
      <c r="J240" s="203">
        <v>1.455E-2</v>
      </c>
      <c r="K240" s="154" t="s">
        <v>23</v>
      </c>
      <c r="L240" s="154" t="str">
        <f>IF(OpenLCAbasic!K240="CTUh", "Fill in Manually",IF(OR(K240="Unit", K240=""), "", INDEX(LookUps!$E$5:$E$12, MATCH(OpenLCAbasic!K240,LookUps!$D$5:$D$12,0))))</f>
        <v>Global Warming Potential (GWP) - kg CO2 eq</v>
      </c>
      <c r="M240" s="154" t="str">
        <f t="shared" si="11"/>
        <v>Base_Medium_Base_Upgraded_Global Warming Potential (GWP) - kg CO2 eq_Gravity Belt Thickener; wastewater treatment unit; at updated plant - US_Base_With Amendment_Windrow</v>
      </c>
    </row>
    <row r="241" spans="1:13" s="120" customFormat="1" x14ac:dyDescent="0.25">
      <c r="A241" s="119"/>
      <c r="B241" s="138" t="str">
        <f t="shared" si="10"/>
        <v>Windrow</v>
      </c>
      <c r="C241" s="138" t="str">
        <f t="shared" si="12"/>
        <v>Base_With Amendment</v>
      </c>
      <c r="D241" s="118" t="s">
        <v>136</v>
      </c>
      <c r="E241" s="118" t="s">
        <v>130</v>
      </c>
      <c r="F241" s="118" t="s">
        <v>46</v>
      </c>
      <c r="G241" s="153"/>
      <c r="H241" s="155">
        <v>1.7000000000000001E-2</v>
      </c>
      <c r="I241" s="154" t="s">
        <v>128</v>
      </c>
      <c r="J241" s="203">
        <v>1.3509999999999999E-2</v>
      </c>
      <c r="K241" s="154" t="s">
        <v>23</v>
      </c>
      <c r="L241" s="154" t="str">
        <f>IF(OpenLCAbasic!K241="CTUh", "Fill in Manually",IF(OR(K241="Unit", K241=""), "", INDEX(LookUps!$E$5:$E$12, MATCH(OpenLCAbasic!K241,LookUps!$D$5:$D$12,0))))</f>
        <v>Global Warming Potential (GWP) - kg CO2 eq</v>
      </c>
      <c r="M241" s="154" t="str">
        <f t="shared" si="11"/>
        <v>Base_Medium_Base_Upgraded_Global Warming Potential (GWP) - kg CO2 eq_Wastewater collection; operation and infrastructure; m3 wastewater_Base_With Amendment_Windrow</v>
      </c>
    </row>
    <row r="242" spans="1:13" s="120" customFormat="1" x14ac:dyDescent="0.25">
      <c r="A242" s="119"/>
      <c r="B242" s="138" t="str">
        <f t="shared" si="10"/>
        <v>Windrow</v>
      </c>
      <c r="C242" s="138" t="str">
        <f t="shared" si="12"/>
        <v>Base_With Amendment</v>
      </c>
      <c r="D242" s="118" t="s">
        <v>136</v>
      </c>
      <c r="E242" s="118" t="s">
        <v>130</v>
      </c>
      <c r="F242" s="118" t="s">
        <v>46</v>
      </c>
      <c r="G242" s="153"/>
      <c r="H242" s="155">
        <v>1.04E-2</v>
      </c>
      <c r="I242" s="154" t="s">
        <v>148</v>
      </c>
      <c r="J242" s="203">
        <v>8.3000000000000001E-3</v>
      </c>
      <c r="K242" s="154" t="s">
        <v>23</v>
      </c>
      <c r="L242" s="154" t="str">
        <f>IF(OpenLCAbasic!K242="CTUh", "Fill in Manually",IF(OR(K242="Unit", K242=""), "", INDEX(LookUps!$E$5:$E$12, MATCH(OpenLCAbasic!K242,LookUps!$D$5:$D$12,0))))</f>
        <v>Global Warming Potential (GWP) - kg CO2 eq</v>
      </c>
      <c r="M242" s="154" t="str">
        <f t="shared" si="11"/>
        <v>Base_Medium_Base_Upgraded_Global Warming Potential (GWP) - kg CO2 eq_Control Building; at upgraded wastewater treatment plant - US_Base_With Amendment_Windrow</v>
      </c>
    </row>
    <row r="243" spans="1:13" s="120" customFormat="1" x14ac:dyDescent="0.25">
      <c r="A243" s="119"/>
      <c r="B243" s="138" t="str">
        <f t="shared" si="10"/>
        <v>Windrow</v>
      </c>
      <c r="C243" s="138" t="str">
        <f t="shared" si="12"/>
        <v>Base_With Amendment</v>
      </c>
      <c r="D243" s="118" t="s">
        <v>136</v>
      </c>
      <c r="E243" s="118" t="s">
        <v>130</v>
      </c>
      <c r="F243" s="118" t="s">
        <v>46</v>
      </c>
      <c r="G243" s="153"/>
      <c r="H243" s="155">
        <v>6.4000000000000003E-3</v>
      </c>
      <c r="I243" s="154" t="s">
        <v>59</v>
      </c>
      <c r="J243" s="204">
        <v>5.0400000000000002E-3</v>
      </c>
      <c r="K243" s="154" t="s">
        <v>23</v>
      </c>
      <c r="L243" s="154" t="str">
        <f>IF(OpenLCAbasic!K243="CTUh", "Fill in Manually",IF(OR(K243="Unit", K243=""), "", INDEX(LookUps!$E$5:$E$12, MATCH(OpenLCAbasic!K243,LookUps!$D$5:$D$12,0))))</f>
        <v>Global Warming Potential (GWP) - kg CO2 eq</v>
      </c>
      <c r="M243" s="154" t="str">
        <f t="shared" si="11"/>
        <v>Base_Medium_Base_Upgraded_Global Warming Potential (GWP) - kg CO2 eq_Blend Tank; wastewater treatment unit; at updated plant - US_Base_With Amendment_Windrow</v>
      </c>
    </row>
    <row r="244" spans="1:13" s="120" customFormat="1" x14ac:dyDescent="0.25">
      <c r="A244" s="119"/>
      <c r="B244" s="138" t="str">
        <f t="shared" si="10"/>
        <v>Windrow</v>
      </c>
      <c r="C244" s="138" t="str">
        <f t="shared" si="12"/>
        <v>Base_With Amendment</v>
      </c>
      <c r="D244" s="118" t="s">
        <v>136</v>
      </c>
      <c r="E244" s="118" t="s">
        <v>130</v>
      </c>
      <c r="F244" s="118" t="s">
        <v>46</v>
      </c>
      <c r="G244" s="153"/>
      <c r="H244" s="155">
        <v>3.0000000000000001E-3</v>
      </c>
      <c r="I244" s="154" t="s">
        <v>168</v>
      </c>
      <c r="J244" s="204">
        <v>2.4099999999999998E-3</v>
      </c>
      <c r="K244" s="154" t="s">
        <v>23</v>
      </c>
      <c r="L244" s="154" t="str">
        <f>IF(OpenLCAbasic!K244="CTUh", "Fill in Manually",IF(OR(K244="Unit", K244=""), "", INDEX(LookUps!$E$5:$E$12, MATCH(OpenLCAbasic!K244,LookUps!$D$5:$D$12,0))))</f>
        <v>Global Warming Potential (GWP) - kg CO2 eq</v>
      </c>
      <c r="M244" s="154" t="str">
        <f t="shared" si="11"/>
        <v>Base_Medium_Base_Upgraded_Global Warming Potential (GWP) - kg CO2 eq_ClearCove SCP; wastewater treatment unit; at updated plant - US_Base_With Amendment_Windrow</v>
      </c>
    </row>
    <row r="245" spans="1:13" s="120" customFormat="1" x14ac:dyDescent="0.25">
      <c r="A245" s="119"/>
      <c r="B245" s="138" t="str">
        <f t="shared" si="10"/>
        <v>Windrow</v>
      </c>
      <c r="C245" s="138" t="str">
        <f t="shared" si="12"/>
        <v>Base_With Amendment</v>
      </c>
      <c r="D245" s="118" t="s">
        <v>136</v>
      </c>
      <c r="E245" s="118" t="s">
        <v>130</v>
      </c>
      <c r="F245" s="118" t="s">
        <v>46</v>
      </c>
      <c r="G245" s="153"/>
      <c r="H245" s="155">
        <v>-0.46589999999999998</v>
      </c>
      <c r="I245" s="154" t="s">
        <v>149</v>
      </c>
      <c r="J245" s="204">
        <v>-0.36997999999999998</v>
      </c>
      <c r="K245" s="154" t="s">
        <v>23</v>
      </c>
      <c r="L245" s="154" t="str">
        <f>IF(OpenLCAbasic!K245="CTUh", "Fill in Manually",IF(OR(K245="Unit", K245=""), "", INDEX(LookUps!$E$5:$E$12, MATCH(OpenLCAbasic!K245,LookUps!$D$5:$D$12,0))))</f>
        <v>Global Warming Potential (GWP) - kg CO2 eq</v>
      </c>
      <c r="M245" s="154" t="str">
        <f t="shared" si="11"/>
        <v>Base_Medium_Base_Upgraded_Global Warming Potential (GWP) - kg CO2 eq_Anaerobic Digestion; wastewater treatment unit; at updated plant - US_Base_With Amendment_Windrow</v>
      </c>
    </row>
    <row r="246" spans="1:13" s="120" customFormat="1" x14ac:dyDescent="0.25">
      <c r="A246" s="119"/>
      <c r="B246" s="138" t="str">
        <f t="shared" si="10"/>
        <v>Windrow</v>
      </c>
      <c r="C246" s="138" t="str">
        <f t="shared" si="12"/>
        <v>Base_With Amendment</v>
      </c>
      <c r="D246" s="118" t="s">
        <v>136</v>
      </c>
      <c r="E246" s="118" t="s">
        <v>130</v>
      </c>
      <c r="F246" s="118" t="s">
        <v>46</v>
      </c>
      <c r="G246" s="153"/>
      <c r="H246" s="155">
        <v>-0.81599999999999995</v>
      </c>
      <c r="I246" s="154" t="s">
        <v>62</v>
      </c>
      <c r="J246" s="203">
        <v>-0.64795999999999998</v>
      </c>
      <c r="K246" s="154" t="s">
        <v>23</v>
      </c>
      <c r="L246" s="154" t="str">
        <f>IF(OpenLCAbasic!K246="CTUh", "Fill in Manually",IF(OR(K246="Unit", K246=""), "", INDEX(LookUps!$E$5:$E$12, MATCH(OpenLCAbasic!K246,LookUps!$D$5:$D$12,0))))</f>
        <v>Global Warming Potential (GWP) - kg CO2 eq</v>
      </c>
      <c r="M246" s="154" t="str">
        <f t="shared" si="11"/>
        <v>Base_Medium_Base_Upgraded_Global Warming Potential (GWP) - kg CO2 eq_Land application of compost; wastewater treatment unit; at updated plant - US_Base_With Amendment_Windrow</v>
      </c>
    </row>
    <row r="247" spans="1:13" s="120" customFormat="1" x14ac:dyDescent="0.25">
      <c r="A247" s="119"/>
      <c r="B247" s="138" t="str">
        <f t="shared" si="10"/>
        <v/>
      </c>
      <c r="C247" s="138" t="str">
        <f t="shared" si="12"/>
        <v/>
      </c>
      <c r="D247" s="118"/>
      <c r="E247" s="118"/>
      <c r="F247" s="118"/>
      <c r="G247" s="153" t="s">
        <v>51</v>
      </c>
      <c r="H247" s="155"/>
      <c r="I247" s="154" t="s">
        <v>47</v>
      </c>
      <c r="J247" s="154" t="s">
        <v>52</v>
      </c>
      <c r="K247" s="154" t="s">
        <v>27</v>
      </c>
      <c r="L247" s="154" t="str">
        <f>IF(OpenLCAbasic!K247="CTUh", "Fill in Manually",IF(OR(K247="Unit", K247=""), "", INDEX(LookUps!$E$5:$E$12, MATCH(OpenLCAbasic!K247,LookUps!$D$5:$D$12,0))))</f>
        <v/>
      </c>
      <c r="M247" s="154" t="str">
        <f t="shared" si="11"/>
        <v>____Process__</v>
      </c>
    </row>
    <row r="248" spans="1:13" s="120" customFormat="1" x14ac:dyDescent="0.25">
      <c r="A248" s="119"/>
      <c r="B248" s="138" t="str">
        <f t="shared" si="10"/>
        <v>Windrow</v>
      </c>
      <c r="C248" s="138" t="str">
        <f t="shared" si="12"/>
        <v>Base_With Amendment</v>
      </c>
      <c r="D248" s="118" t="s">
        <v>136</v>
      </c>
      <c r="E248" s="118" t="s">
        <v>130</v>
      </c>
      <c r="F248" s="118" t="s">
        <v>46</v>
      </c>
      <c r="G248" s="153"/>
      <c r="H248" s="155">
        <v>0.7268</v>
      </c>
      <c r="I248" s="154" t="s">
        <v>48</v>
      </c>
      <c r="J248" s="203">
        <v>1.1610000000000001E-2</v>
      </c>
      <c r="K248" s="154" t="s">
        <v>13</v>
      </c>
      <c r="L248" s="154" t="str">
        <f>IF(OpenLCAbasic!K248="CTUh", "Fill in Manually",IF(OR(K248="Unit", K248=""), "", INDEX(LookUps!$E$5:$E$12, MATCH(OpenLCAbasic!K248,LookUps!$D$5:$D$12,0))))</f>
        <v>Eutrophication Potential (EP) - kg N eq</v>
      </c>
      <c r="M248" s="154" t="str">
        <f t="shared" si="11"/>
        <v>Base_Medium_Base_Upgraded_Eutrophication Potential (EP) - kg N eq_Effluent release; wastewater treatment unit; at surface water; m3 wastewater - US_Base_With Amendment_Windrow</v>
      </c>
    </row>
    <row r="249" spans="1:13" s="120" customFormat="1" x14ac:dyDescent="0.25">
      <c r="A249" s="119"/>
      <c r="B249" s="138" t="str">
        <f t="shared" si="10"/>
        <v>Windrow</v>
      </c>
      <c r="C249" s="138" t="str">
        <f t="shared" si="12"/>
        <v>Base_With Amendment</v>
      </c>
      <c r="D249" s="118" t="s">
        <v>136</v>
      </c>
      <c r="E249" s="118" t="s">
        <v>130</v>
      </c>
      <c r="F249" s="118" t="s">
        <v>46</v>
      </c>
      <c r="G249" s="153"/>
      <c r="H249" s="155">
        <v>0.1772</v>
      </c>
      <c r="I249" s="154" t="s">
        <v>62</v>
      </c>
      <c r="J249" s="204">
        <v>2.8300000000000001E-3</v>
      </c>
      <c r="K249" s="154" t="s">
        <v>13</v>
      </c>
      <c r="L249" s="154" t="str">
        <f>IF(OpenLCAbasic!K249="CTUh", "Fill in Manually",IF(OR(K249="Unit", K249=""), "", INDEX(LookUps!$E$5:$E$12, MATCH(OpenLCAbasic!K249,LookUps!$D$5:$D$12,0))))</f>
        <v>Eutrophication Potential (EP) - kg N eq</v>
      </c>
      <c r="M249" s="154" t="str">
        <f t="shared" si="11"/>
        <v>Base_Medium_Base_Upgraded_Eutrophication Potential (EP) - kg N eq_Land application of compost; wastewater treatment unit; at updated plant - US_Base_With Amendment_Windrow</v>
      </c>
    </row>
    <row r="250" spans="1:13" s="120" customFormat="1" x14ac:dyDescent="0.25">
      <c r="A250" s="119"/>
      <c r="B250" s="138" t="str">
        <f t="shared" si="10"/>
        <v>Windrow</v>
      </c>
      <c r="C250" s="138" t="str">
        <f t="shared" si="12"/>
        <v>Base_With Amendment</v>
      </c>
      <c r="D250" s="118" t="s">
        <v>136</v>
      </c>
      <c r="E250" s="118" t="s">
        <v>130</v>
      </c>
      <c r="F250" s="118" t="s">
        <v>46</v>
      </c>
      <c r="G250" s="153"/>
      <c r="H250" s="155">
        <v>3.4200000000000001E-2</v>
      </c>
      <c r="I250" s="154" t="s">
        <v>55</v>
      </c>
      <c r="J250" s="204">
        <v>5.5000000000000003E-4</v>
      </c>
      <c r="K250" s="154" t="s">
        <v>13</v>
      </c>
      <c r="L250" s="154" t="str">
        <f>IF(OpenLCAbasic!K250="CTUh", "Fill in Manually",IF(OR(K250="Unit", K250=""), "", INDEX(LookUps!$E$5:$E$12, MATCH(OpenLCAbasic!K250,LookUps!$D$5:$D$12,0))))</f>
        <v>Eutrophication Potential (EP) - kg N eq</v>
      </c>
      <c r="M250" s="154" t="str">
        <f t="shared" si="11"/>
        <v>Base_Medium_Base_Upgraded_Eutrophication Potential (EP) - kg N eq_Aeration Tanks; wastewater treatment unit; at updated plant - US_Base_With Amendment_Windrow</v>
      </c>
    </row>
    <row r="251" spans="1:13" s="120" customFormat="1" x14ac:dyDescent="0.25">
      <c r="A251" s="119"/>
      <c r="B251" s="138" t="str">
        <f t="shared" si="10"/>
        <v>Windrow</v>
      </c>
      <c r="C251" s="138" t="str">
        <f t="shared" si="12"/>
        <v>Base_With Amendment</v>
      </c>
      <c r="D251" s="118" t="s">
        <v>136</v>
      </c>
      <c r="E251" s="118" t="s">
        <v>130</v>
      </c>
      <c r="F251" s="118" t="s">
        <v>46</v>
      </c>
      <c r="G251" s="153"/>
      <c r="H251" s="155">
        <v>3.1099999999999999E-2</v>
      </c>
      <c r="I251" s="154" t="s">
        <v>271</v>
      </c>
      <c r="J251" s="204">
        <v>5.0000000000000001E-4</v>
      </c>
      <c r="K251" s="154" t="s">
        <v>13</v>
      </c>
      <c r="L251" s="154" t="str">
        <f>IF(OpenLCAbasic!K251="CTUh", "Fill in Manually",IF(OR(K251="Unit", K251=""), "", INDEX(LookUps!$E$5:$E$12, MATCH(OpenLCAbasic!K251,LookUps!$D$5:$D$12,0))))</f>
        <v>Eutrophication Potential (EP) - kg N eq</v>
      </c>
      <c r="M251" s="154" t="str">
        <f t="shared" si="11"/>
        <v>Base_Medium_Base_Upgraded_Eutrophication Potential (EP) - kg N eq_Biosolids composting; windrow composting; wastewater treatment unit; at updated plant - US_Base_With Amendment_Windrow</v>
      </c>
    </row>
    <row r="252" spans="1:13" s="120" customFormat="1" x14ac:dyDescent="0.25">
      <c r="A252" s="119"/>
      <c r="B252" s="138" t="str">
        <f t="shared" si="10"/>
        <v>Windrow</v>
      </c>
      <c r="C252" s="138" t="str">
        <f t="shared" si="12"/>
        <v>Base_With Amendment</v>
      </c>
      <c r="D252" s="118" t="s">
        <v>136</v>
      </c>
      <c r="E252" s="118" t="s">
        <v>130</v>
      </c>
      <c r="F252" s="118" t="s">
        <v>46</v>
      </c>
      <c r="G252" s="153"/>
      <c r="H252" s="155">
        <v>1.5599999999999999E-2</v>
      </c>
      <c r="I252" s="154" t="s">
        <v>147</v>
      </c>
      <c r="J252" s="204">
        <v>2.5000000000000001E-4</v>
      </c>
      <c r="K252" s="154" t="s">
        <v>13</v>
      </c>
      <c r="L252" s="154" t="str">
        <f>IF(OpenLCAbasic!K252="CTUh", "Fill in Manually",IF(OR(K252="Unit", K252=""), "", INDEX(LookUps!$E$5:$E$12, MATCH(OpenLCAbasic!K252,LookUps!$D$5:$D$12,0))))</f>
        <v>Eutrophication Potential (EP) - kg N eq</v>
      </c>
      <c r="M252" s="154" t="str">
        <f t="shared" si="11"/>
        <v>Base_Medium_Base_Upgraded_Eutrophication Potential (EP) - kg N eq_Influent Pump Station; wastewater treatment unit; at updated plant - US_Base_With Amendment_Windrow</v>
      </c>
    </row>
    <row r="253" spans="1:13" s="120" customFormat="1" x14ac:dyDescent="0.25">
      <c r="A253" s="119"/>
      <c r="B253" s="138" t="str">
        <f t="shared" si="10"/>
        <v>Windrow</v>
      </c>
      <c r="C253" s="138" t="str">
        <f t="shared" si="12"/>
        <v>Base_With Amendment</v>
      </c>
      <c r="D253" s="118" t="s">
        <v>136</v>
      </c>
      <c r="E253" s="118" t="s">
        <v>130</v>
      </c>
      <c r="F253" s="118" t="s">
        <v>46</v>
      </c>
      <c r="G253" s="153"/>
      <c r="H253" s="155">
        <v>1.24E-2</v>
      </c>
      <c r="I253" s="154" t="s">
        <v>54</v>
      </c>
      <c r="J253" s="204">
        <v>2.0000000000000001E-4</v>
      </c>
      <c r="K253" s="154" t="s">
        <v>13</v>
      </c>
      <c r="L253" s="154" t="str">
        <f>IF(OpenLCAbasic!K253="CTUh", "Fill in Manually",IF(OR(K253="Unit", K253=""), "", INDEX(LookUps!$E$5:$E$12, MATCH(OpenLCAbasic!K253,LookUps!$D$5:$D$12,0))))</f>
        <v>Eutrophication Potential (EP) - kg N eq</v>
      </c>
      <c r="M253" s="154" t="str">
        <f t="shared" si="11"/>
        <v>Base_Medium_Base_Upgraded_Eutrophication Potential (EP) - kg N eq_Clear Cove Primary Clarification; wastewater treatment unit; at updated plant - US_Base_With Amendment_Windrow</v>
      </c>
    </row>
    <row r="254" spans="1:13" s="120" customFormat="1" x14ac:dyDescent="0.25">
      <c r="A254" s="119"/>
      <c r="B254" s="138" t="str">
        <f t="shared" si="10"/>
        <v>Windrow</v>
      </c>
      <c r="C254" s="138" t="str">
        <f t="shared" si="12"/>
        <v>Base_With Amendment</v>
      </c>
      <c r="D254" s="118" t="s">
        <v>136</v>
      </c>
      <c r="E254" s="118" t="s">
        <v>130</v>
      </c>
      <c r="F254" s="118" t="s">
        <v>46</v>
      </c>
      <c r="G254" s="153"/>
      <c r="H254" s="155">
        <v>1.1900000000000001E-2</v>
      </c>
      <c r="I254" s="154" t="s">
        <v>167</v>
      </c>
      <c r="J254" s="204">
        <v>1.9000000000000001E-4</v>
      </c>
      <c r="K254" s="154" t="s">
        <v>13</v>
      </c>
      <c r="L254" s="154" t="str">
        <f>IF(OpenLCAbasic!K254="CTUh", "Fill in Manually",IF(OR(K254="Unit", K254=""), "", INDEX(LookUps!$E$5:$E$12, MATCH(OpenLCAbasic!K254,LookUps!$D$5:$D$12,0))))</f>
        <v>Eutrophication Potential (EP) - kg N eq</v>
      </c>
      <c r="M254" s="154" t="str">
        <f t="shared" si="11"/>
        <v>Base_Medium_Base_Upgraded_Eutrophication Potential (EP) - kg N eq_Waste Receiving and Holding; wastewater treatment unit; at updated plant - US_Base_With Amendment_Windrow</v>
      </c>
    </row>
    <row r="255" spans="1:13" s="120" customFormat="1" x14ac:dyDescent="0.25">
      <c r="A255" s="119"/>
      <c r="B255" s="138" t="str">
        <f t="shared" si="10"/>
        <v>Windrow</v>
      </c>
      <c r="C255" s="138" t="str">
        <f t="shared" si="12"/>
        <v>Base_With Amendment</v>
      </c>
      <c r="D255" s="118" t="s">
        <v>136</v>
      </c>
      <c r="E255" s="118" t="s">
        <v>130</v>
      </c>
      <c r="F255" s="118" t="s">
        <v>46</v>
      </c>
      <c r="G255" s="153"/>
      <c r="H255" s="155">
        <v>8.5000000000000006E-3</v>
      </c>
      <c r="I255" s="154" t="s">
        <v>58</v>
      </c>
      <c r="J255" s="204">
        <v>1.3999999999999999E-4</v>
      </c>
      <c r="K255" s="154" t="s">
        <v>13</v>
      </c>
      <c r="L255" s="154" t="str">
        <f>IF(OpenLCAbasic!K255="CTUh", "Fill in Manually",IF(OR(K255="Unit", K255=""), "", INDEX(LookUps!$E$5:$E$12, MATCH(OpenLCAbasic!K255,LookUps!$D$5:$D$12,0))))</f>
        <v>Eutrophication Potential (EP) - kg N eq</v>
      </c>
      <c r="M255" s="154" t="str">
        <f t="shared" si="11"/>
        <v>Base_Medium_Base_Upgraded_Eutrophication Potential (EP) - kg N eq_Pre-Anoxic &amp; Swing tank; wastewater treatment unit; at updated plant - US_Base_With Amendment_Windrow</v>
      </c>
    </row>
    <row r="256" spans="1:13" s="120" customFormat="1" x14ac:dyDescent="0.25">
      <c r="A256" s="119"/>
      <c r="B256" s="138" t="str">
        <f t="shared" si="10"/>
        <v>Windrow</v>
      </c>
      <c r="C256" s="138" t="str">
        <f t="shared" si="12"/>
        <v>Base_With Amendment</v>
      </c>
      <c r="D256" s="118" t="s">
        <v>136</v>
      </c>
      <c r="E256" s="118" t="s">
        <v>130</v>
      </c>
      <c r="F256" s="118" t="s">
        <v>46</v>
      </c>
      <c r="G256" s="153"/>
      <c r="H256" s="155">
        <v>6.7000000000000002E-3</v>
      </c>
      <c r="I256" s="154" t="s">
        <v>53</v>
      </c>
      <c r="J256" s="204">
        <v>1.1E-4</v>
      </c>
      <c r="K256" s="154" t="s">
        <v>13</v>
      </c>
      <c r="L256" s="154" t="str">
        <f>IF(OpenLCAbasic!K256="CTUh", "Fill in Manually",IF(OR(K256="Unit", K256=""), "", INDEX(LookUps!$E$5:$E$12, MATCH(OpenLCAbasic!K256,LookUps!$D$5:$D$12,0))))</f>
        <v>Eutrophication Potential (EP) - kg N eq</v>
      </c>
      <c r="M256" s="154" t="str">
        <f t="shared" si="11"/>
        <v>Base_Medium_Base_Upgraded_Eutrophication Potential (EP) - kg N eq_Wet Well and Sump Station; wastewater treatment unit; at updated plant - US_Base_With Amendment_Windrow</v>
      </c>
    </row>
    <row r="257" spans="1:13" s="120" customFormat="1" x14ac:dyDescent="0.25">
      <c r="A257" s="119"/>
      <c r="B257" s="138" t="str">
        <f t="shared" si="10"/>
        <v>Windrow</v>
      </c>
      <c r="C257" s="138" t="str">
        <f t="shared" si="12"/>
        <v>Base_With Amendment</v>
      </c>
      <c r="D257" s="118" t="s">
        <v>136</v>
      </c>
      <c r="E257" s="118" t="s">
        <v>130</v>
      </c>
      <c r="F257" s="118" t="s">
        <v>46</v>
      </c>
      <c r="G257" s="153"/>
      <c r="H257" s="155">
        <v>4.4000000000000003E-3</v>
      </c>
      <c r="I257" s="154" t="s">
        <v>60</v>
      </c>
      <c r="J257" s="204">
        <v>6.9922100000000006E-5</v>
      </c>
      <c r="K257" s="154" t="s">
        <v>13</v>
      </c>
      <c r="L257" s="154" t="str">
        <f>IF(OpenLCAbasic!K257="CTUh", "Fill in Manually",IF(OR(K257="Unit", K257=""), "", INDEX(LookUps!$E$5:$E$12, MATCH(OpenLCAbasic!K257,LookUps!$D$5:$D$12,0))))</f>
        <v>Eutrophication Potential (EP) - kg N eq</v>
      </c>
      <c r="M257" s="154" t="str">
        <f t="shared" si="11"/>
        <v>Base_Medium_Base_Upgraded_Eutrophication Potential (EP) - kg N eq_Belt filter press; wastewater treatment unit; at updated plant - US_Base_With Amendment_Windrow</v>
      </c>
    </row>
    <row r="258" spans="1:13" s="120" customFormat="1" x14ac:dyDescent="0.25">
      <c r="A258" s="119"/>
      <c r="B258" s="138" t="str">
        <f t="shared" si="10"/>
        <v>Windrow</v>
      </c>
      <c r="C258" s="138" t="str">
        <f t="shared" si="12"/>
        <v>Base_With Amendment</v>
      </c>
      <c r="D258" s="118" t="s">
        <v>136</v>
      </c>
      <c r="E258" s="118" t="s">
        <v>130</v>
      </c>
      <c r="F258" s="118" t="s">
        <v>46</v>
      </c>
      <c r="G258" s="153"/>
      <c r="H258" s="155">
        <v>3.8E-3</v>
      </c>
      <c r="I258" s="154" t="s">
        <v>57</v>
      </c>
      <c r="J258" s="204">
        <v>6.0590300000000002E-5</v>
      </c>
      <c r="K258" s="154" t="s">
        <v>13</v>
      </c>
      <c r="L258" s="154" t="str">
        <f>IF(OpenLCAbasic!K258="CTUh", "Fill in Manually",IF(OR(K258="Unit", K258=""), "", INDEX(LookUps!$E$5:$E$12, MATCH(OpenLCAbasic!K258,LookUps!$D$5:$D$12,0))))</f>
        <v>Eutrophication Potential (EP) - kg N eq</v>
      </c>
      <c r="M258" s="154" t="str">
        <f t="shared" si="11"/>
        <v>Base_Medium_Base_Upgraded_Eutrophication Potential (EP) - kg N eq_Gravity Belt Thickener; wastewater treatment unit; at updated plant - US_Base_With Amendment_Windrow</v>
      </c>
    </row>
    <row r="259" spans="1:13" s="120" customFormat="1" x14ac:dyDescent="0.25">
      <c r="A259" s="119"/>
      <c r="B259" s="138" t="str">
        <f t="shared" si="10"/>
        <v>Windrow</v>
      </c>
      <c r="C259" s="138" t="str">
        <f t="shared" si="12"/>
        <v>Base_With Amendment</v>
      </c>
      <c r="D259" s="118" t="s">
        <v>136</v>
      </c>
      <c r="E259" s="118" t="s">
        <v>130</v>
      </c>
      <c r="F259" s="118" t="s">
        <v>46</v>
      </c>
      <c r="G259" s="153"/>
      <c r="H259" s="155">
        <v>2.3999999999999998E-3</v>
      </c>
      <c r="I259" s="154" t="s">
        <v>128</v>
      </c>
      <c r="J259" s="204">
        <v>3.7559799999999999E-5</v>
      </c>
      <c r="K259" s="154" t="s">
        <v>13</v>
      </c>
      <c r="L259" s="154" t="str">
        <f>IF(OpenLCAbasic!K259="CTUh", "Fill in Manually",IF(OR(K259="Unit", K259=""), "", INDEX(LookUps!$E$5:$E$12, MATCH(OpenLCAbasic!K259,LookUps!$D$5:$D$12,0))))</f>
        <v>Eutrophication Potential (EP) - kg N eq</v>
      </c>
      <c r="M259" s="154" t="str">
        <f t="shared" si="11"/>
        <v>Base_Medium_Base_Upgraded_Eutrophication Potential (EP) - kg N eq_Wastewater collection; operation and infrastructure; m3 wastewater_Base_With Amendment_Windrow</v>
      </c>
    </row>
    <row r="260" spans="1:13" s="120" customFormat="1" x14ac:dyDescent="0.25">
      <c r="A260" s="119"/>
      <c r="B260" s="138" t="str">
        <f t="shared" si="10"/>
        <v>Windrow</v>
      </c>
      <c r="C260" s="138" t="str">
        <f t="shared" si="12"/>
        <v>Base_With Amendment</v>
      </c>
      <c r="D260" s="118" t="s">
        <v>136</v>
      </c>
      <c r="E260" s="118" t="s">
        <v>130</v>
      </c>
      <c r="F260" s="118" t="s">
        <v>46</v>
      </c>
      <c r="G260" s="153"/>
      <c r="H260" s="155">
        <v>2.3E-3</v>
      </c>
      <c r="I260" s="154" t="s">
        <v>148</v>
      </c>
      <c r="J260" s="204">
        <v>3.6874600000000001E-5</v>
      </c>
      <c r="K260" s="154" t="s">
        <v>13</v>
      </c>
      <c r="L260" s="154" t="str">
        <f>IF(OpenLCAbasic!K260="CTUh", "Fill in Manually",IF(OR(K260="Unit", K260=""), "", INDEX(LookUps!$E$5:$E$12, MATCH(OpenLCAbasic!K260,LookUps!$D$5:$D$12,0))))</f>
        <v>Eutrophication Potential (EP) - kg N eq</v>
      </c>
      <c r="M260" s="154" t="str">
        <f t="shared" si="11"/>
        <v>Base_Medium_Base_Upgraded_Eutrophication Potential (EP) - kg N eq_Control Building; at upgraded wastewater treatment plant - US_Base_With Amendment_Windrow</v>
      </c>
    </row>
    <row r="261" spans="1:13" s="120" customFormat="1" x14ac:dyDescent="0.25">
      <c r="A261" s="119"/>
      <c r="B261" s="138" t="str">
        <f t="shared" si="10"/>
        <v>Windrow</v>
      </c>
      <c r="C261" s="138" t="str">
        <f t="shared" si="12"/>
        <v>Base_With Amendment</v>
      </c>
      <c r="D261" s="118" t="s">
        <v>136</v>
      </c>
      <c r="E261" s="118" t="s">
        <v>130</v>
      </c>
      <c r="F261" s="118" t="s">
        <v>46</v>
      </c>
      <c r="G261" s="153"/>
      <c r="H261" s="155">
        <v>1E-3</v>
      </c>
      <c r="I261" s="154" t="s">
        <v>59</v>
      </c>
      <c r="J261" s="204">
        <v>1.6215700000000001E-5</v>
      </c>
      <c r="K261" s="154" t="s">
        <v>13</v>
      </c>
      <c r="L261" s="154" t="str">
        <f>IF(OpenLCAbasic!K261="CTUh", "Fill in Manually",IF(OR(K261="Unit", K261=""), "", INDEX(LookUps!$E$5:$E$12, MATCH(OpenLCAbasic!K261,LookUps!$D$5:$D$12,0))))</f>
        <v>Eutrophication Potential (EP) - kg N eq</v>
      </c>
      <c r="M261" s="154" t="str">
        <f t="shared" si="11"/>
        <v>Base_Medium_Base_Upgraded_Eutrophication Potential (EP) - kg N eq_Blend Tank; wastewater treatment unit; at updated plant - US_Base_With Amendment_Windrow</v>
      </c>
    </row>
    <row r="262" spans="1:13" s="120" customFormat="1" x14ac:dyDescent="0.25">
      <c r="A262" s="119"/>
      <c r="B262" s="138" t="str">
        <f t="shared" si="10"/>
        <v>Windrow</v>
      </c>
      <c r="C262" s="138" t="str">
        <f t="shared" si="12"/>
        <v>Base_With Amendment</v>
      </c>
      <c r="D262" s="118" t="s">
        <v>136</v>
      </c>
      <c r="E262" s="118" t="s">
        <v>130</v>
      </c>
      <c r="F262" s="118" t="s">
        <v>46</v>
      </c>
      <c r="G262" s="153"/>
      <c r="H262" s="155">
        <v>5.0000000000000001E-4</v>
      </c>
      <c r="I262" s="154" t="s">
        <v>168</v>
      </c>
      <c r="J262" s="204">
        <v>7.7567199999999995E-6</v>
      </c>
      <c r="K262" s="154" t="s">
        <v>13</v>
      </c>
      <c r="L262" s="154" t="str">
        <f>IF(OpenLCAbasic!K262="CTUh", "Fill in Manually",IF(OR(K262="Unit", K262=""), "", INDEX(LookUps!$E$5:$E$12, MATCH(OpenLCAbasic!K262,LookUps!$D$5:$D$12,0))))</f>
        <v>Eutrophication Potential (EP) - kg N eq</v>
      </c>
      <c r="M262" s="154" t="str">
        <f t="shared" si="11"/>
        <v>Base_Medium_Base_Upgraded_Eutrophication Potential (EP) - kg N eq_ClearCove SCP; wastewater treatment unit; at updated plant - US_Base_With Amendment_Windrow</v>
      </c>
    </row>
    <row r="263" spans="1:13" s="120" customFormat="1" x14ac:dyDescent="0.25">
      <c r="A263" s="119"/>
      <c r="B263" s="138" t="str">
        <f t="shared" ref="B263:B326" si="13">IF(F263="Legacy","n.a.",IF(F263="","","Windrow"))</f>
        <v>Windrow</v>
      </c>
      <c r="C263" s="138" t="str">
        <f t="shared" si="12"/>
        <v>Base_With Amendment</v>
      </c>
      <c r="D263" s="118" t="s">
        <v>136</v>
      </c>
      <c r="E263" s="118" t="s">
        <v>130</v>
      </c>
      <c r="F263" s="118" t="s">
        <v>46</v>
      </c>
      <c r="G263" s="153"/>
      <c r="H263" s="155">
        <v>-3.8800000000000001E-2</v>
      </c>
      <c r="I263" s="154" t="s">
        <v>149</v>
      </c>
      <c r="J263" s="204">
        <v>-6.2E-4</v>
      </c>
      <c r="K263" s="154" t="s">
        <v>13</v>
      </c>
      <c r="L263" s="154" t="str">
        <f>IF(OpenLCAbasic!K263="CTUh", "Fill in Manually",IF(OR(K263="Unit", K263=""), "", INDEX(LookUps!$E$5:$E$12, MATCH(OpenLCAbasic!K263,LookUps!$D$5:$D$12,0))))</f>
        <v>Eutrophication Potential (EP) - kg N eq</v>
      </c>
      <c r="M263" s="154" t="str">
        <f t="shared" si="11"/>
        <v>Base_Medium_Base_Upgraded_Eutrophication Potential (EP) - kg N eq_Anaerobic Digestion; wastewater treatment unit; at updated plant - US_Base_With Amendment_Windrow</v>
      </c>
    </row>
    <row r="264" spans="1:13" s="120" customFormat="1" x14ac:dyDescent="0.25">
      <c r="A264" s="119"/>
      <c r="B264" s="138" t="str">
        <f t="shared" si="13"/>
        <v/>
      </c>
      <c r="C264" s="138" t="str">
        <f t="shared" si="12"/>
        <v/>
      </c>
      <c r="D264" s="118"/>
      <c r="E264" s="118"/>
      <c r="F264" s="118"/>
      <c r="G264" s="153" t="s">
        <v>51</v>
      </c>
      <c r="H264" s="155"/>
      <c r="I264" s="154" t="s">
        <v>47</v>
      </c>
      <c r="J264" s="154" t="s">
        <v>52</v>
      </c>
      <c r="K264" s="154" t="s">
        <v>27</v>
      </c>
      <c r="L264" s="154" t="str">
        <f>IF(OpenLCAbasic!K264="CTUh", "Fill in Manually",IF(OR(K264="Unit", K264=""), "", INDEX(LookUps!$E$5:$E$12, MATCH(OpenLCAbasic!K264,LookUps!$D$5:$D$12,0))))</f>
        <v/>
      </c>
      <c r="M264" s="154" t="str">
        <f t="shared" ref="M264:M327" si="14">CONCATENATE(E264,"_",D264,"_",F264,"_",L264, "_",I264,"_", C264,"_", B264)</f>
        <v>____Process__</v>
      </c>
    </row>
    <row r="265" spans="1:13" s="120" customFormat="1" x14ac:dyDescent="0.25">
      <c r="A265" s="119"/>
      <c r="B265" s="138" t="str">
        <f t="shared" si="13"/>
        <v>Windrow</v>
      </c>
      <c r="C265" s="138" t="str">
        <f t="shared" si="12"/>
        <v>Base_With Amendment</v>
      </c>
      <c r="D265" s="118" t="s">
        <v>136</v>
      </c>
      <c r="E265" s="118" t="s">
        <v>130</v>
      </c>
      <c r="F265" s="118" t="s">
        <v>46</v>
      </c>
      <c r="G265" s="153"/>
      <c r="H265" s="155">
        <v>0.56259999999999999</v>
      </c>
      <c r="I265" s="154" t="s">
        <v>55</v>
      </c>
      <c r="J265" s="203">
        <v>1.7219999999999999E-2</v>
      </c>
      <c r="K265" s="154" t="s">
        <v>24</v>
      </c>
      <c r="L265" s="154" t="str">
        <f>IF(OpenLCAbasic!K265="CTUh", "Fill in Manually",IF(OR(K265="Unit", K265=""), "", INDEX(LookUps!$E$5:$E$12, MATCH(OpenLCAbasic!K265,LookUps!$D$5:$D$12,0))))</f>
        <v>Acidification Potential (AP) - kg SO2 eq</v>
      </c>
      <c r="M265" s="154" t="str">
        <f t="shared" si="14"/>
        <v>Base_Medium_Base_Upgraded_Acidification Potential (AP) - kg SO2 eq_Aeration Tanks; wastewater treatment unit; at updated plant - US_Base_With Amendment_Windrow</v>
      </c>
    </row>
    <row r="266" spans="1:13" s="120" customFormat="1" x14ac:dyDescent="0.25">
      <c r="A266" s="119"/>
      <c r="B266" s="138" t="str">
        <f t="shared" si="13"/>
        <v>Windrow</v>
      </c>
      <c r="C266" s="138" t="str">
        <f t="shared" si="12"/>
        <v>Base_With Amendment</v>
      </c>
      <c r="D266" s="118" t="s">
        <v>136</v>
      </c>
      <c r="E266" s="118" t="s">
        <v>130</v>
      </c>
      <c r="F266" s="118" t="s">
        <v>46</v>
      </c>
      <c r="G266" s="153"/>
      <c r="H266" s="155">
        <v>0.25779999999999997</v>
      </c>
      <c r="I266" s="154" t="s">
        <v>271</v>
      </c>
      <c r="J266" s="204">
        <v>7.8899999999999994E-3</v>
      </c>
      <c r="K266" s="154" t="s">
        <v>24</v>
      </c>
      <c r="L266" s="154" t="str">
        <f>IF(OpenLCAbasic!K266="CTUh", "Fill in Manually",IF(OR(K266="Unit", K266=""), "", INDEX(LookUps!$E$5:$E$12, MATCH(OpenLCAbasic!K266,LookUps!$D$5:$D$12,0))))</f>
        <v>Acidification Potential (AP) - kg SO2 eq</v>
      </c>
      <c r="M266" s="154" t="str">
        <f t="shared" si="14"/>
        <v>Base_Medium_Base_Upgraded_Acidification Potential (AP) - kg SO2 eq_Biosolids composting; windrow composting; wastewater treatment unit; at updated plant - US_Base_With Amendment_Windrow</v>
      </c>
    </row>
    <row r="267" spans="1:13" s="120" customFormat="1" x14ac:dyDescent="0.25">
      <c r="A267" s="119"/>
      <c r="B267" s="138" t="str">
        <f t="shared" si="13"/>
        <v>Windrow</v>
      </c>
      <c r="C267" s="138" t="str">
        <f t="shared" si="12"/>
        <v>Base_With Amendment</v>
      </c>
      <c r="D267" s="118" t="s">
        <v>136</v>
      </c>
      <c r="E267" s="118" t="s">
        <v>130</v>
      </c>
      <c r="F267" s="118" t="s">
        <v>46</v>
      </c>
      <c r="G267" s="153"/>
      <c r="H267" s="155">
        <v>0.16270000000000001</v>
      </c>
      <c r="I267" s="154" t="s">
        <v>54</v>
      </c>
      <c r="J267" s="204">
        <v>4.9800000000000001E-3</v>
      </c>
      <c r="K267" s="154" t="s">
        <v>24</v>
      </c>
      <c r="L267" s="154" t="str">
        <f>IF(OpenLCAbasic!K267="CTUh", "Fill in Manually",IF(OR(K267="Unit", K267=""), "", INDEX(LookUps!$E$5:$E$12, MATCH(OpenLCAbasic!K267,LookUps!$D$5:$D$12,0))))</f>
        <v>Acidification Potential (AP) - kg SO2 eq</v>
      </c>
      <c r="M267" s="154" t="str">
        <f t="shared" si="14"/>
        <v>Base_Medium_Base_Upgraded_Acidification Potential (AP) - kg SO2 eq_Clear Cove Primary Clarification; wastewater treatment unit; at updated plant - US_Base_With Amendment_Windrow</v>
      </c>
    </row>
    <row r="268" spans="1:13" s="120" customFormat="1" x14ac:dyDescent="0.25">
      <c r="A268" s="119"/>
      <c r="B268" s="138" t="str">
        <f t="shared" si="13"/>
        <v>Windrow</v>
      </c>
      <c r="C268" s="138" t="str">
        <f t="shared" si="12"/>
        <v>Base_With Amendment</v>
      </c>
      <c r="D268" s="118" t="s">
        <v>136</v>
      </c>
      <c r="E268" s="118" t="s">
        <v>130</v>
      </c>
      <c r="F268" s="118" t="s">
        <v>46</v>
      </c>
      <c r="G268" s="153"/>
      <c r="H268" s="155">
        <v>0.14199999999999999</v>
      </c>
      <c r="I268" s="154" t="s">
        <v>58</v>
      </c>
      <c r="J268" s="204">
        <v>4.3499999999999997E-3</v>
      </c>
      <c r="K268" s="154" t="s">
        <v>24</v>
      </c>
      <c r="L268" s="154" t="str">
        <f>IF(OpenLCAbasic!K268="CTUh", "Fill in Manually",IF(OR(K268="Unit", K268=""), "", INDEX(LookUps!$E$5:$E$12, MATCH(OpenLCAbasic!K268,LookUps!$D$5:$D$12,0))))</f>
        <v>Acidification Potential (AP) - kg SO2 eq</v>
      </c>
      <c r="M268" s="154" t="str">
        <f t="shared" si="14"/>
        <v>Base_Medium_Base_Upgraded_Acidification Potential (AP) - kg SO2 eq_Pre-Anoxic &amp; Swing tank; wastewater treatment unit; at updated plant - US_Base_With Amendment_Windrow</v>
      </c>
    </row>
    <row r="269" spans="1:13" s="120" customFormat="1" x14ac:dyDescent="0.25">
      <c r="A269" s="119"/>
      <c r="B269" s="138" t="str">
        <f t="shared" si="13"/>
        <v>Windrow</v>
      </c>
      <c r="C269" s="138" t="str">
        <f t="shared" si="12"/>
        <v>Base_With Amendment</v>
      </c>
      <c r="D269" s="118" t="s">
        <v>136</v>
      </c>
      <c r="E269" s="118" t="s">
        <v>130</v>
      </c>
      <c r="F269" s="118" t="s">
        <v>46</v>
      </c>
      <c r="G269" s="153"/>
      <c r="H269" s="155">
        <v>0.1201</v>
      </c>
      <c r="I269" s="154" t="s">
        <v>62</v>
      </c>
      <c r="J269" s="204">
        <v>3.6800000000000001E-3</v>
      </c>
      <c r="K269" s="154" t="s">
        <v>24</v>
      </c>
      <c r="L269" s="154" t="str">
        <f>IF(OpenLCAbasic!K269="CTUh", "Fill in Manually",IF(OR(K269="Unit", K269=""), "", INDEX(LookUps!$E$5:$E$12, MATCH(OpenLCAbasic!K269,LookUps!$D$5:$D$12,0))))</f>
        <v>Acidification Potential (AP) - kg SO2 eq</v>
      </c>
      <c r="M269" s="154" t="str">
        <f t="shared" si="14"/>
        <v>Base_Medium_Base_Upgraded_Acidification Potential (AP) - kg SO2 eq_Land application of compost; wastewater treatment unit; at updated plant - US_Base_With Amendment_Windrow</v>
      </c>
    </row>
    <row r="270" spans="1:13" s="120" customFormat="1" x14ac:dyDescent="0.25">
      <c r="A270" s="119"/>
      <c r="B270" s="138" t="str">
        <f t="shared" si="13"/>
        <v>Windrow</v>
      </c>
      <c r="C270" s="138" t="str">
        <f t="shared" si="12"/>
        <v>Base_With Amendment</v>
      </c>
      <c r="D270" s="118" t="s">
        <v>136</v>
      </c>
      <c r="E270" s="118" t="s">
        <v>130</v>
      </c>
      <c r="F270" s="118" t="s">
        <v>46</v>
      </c>
      <c r="G270" s="153"/>
      <c r="H270" s="155">
        <v>0.11269999999999999</v>
      </c>
      <c r="I270" s="154" t="s">
        <v>53</v>
      </c>
      <c r="J270" s="204">
        <v>3.4499999999999999E-3</v>
      </c>
      <c r="K270" s="154" t="s">
        <v>24</v>
      </c>
      <c r="L270" s="154" t="str">
        <f>IF(OpenLCAbasic!K270="CTUh", "Fill in Manually",IF(OR(K270="Unit", K270=""), "", INDEX(LookUps!$E$5:$E$12, MATCH(OpenLCAbasic!K270,LookUps!$D$5:$D$12,0))))</f>
        <v>Acidification Potential (AP) - kg SO2 eq</v>
      </c>
      <c r="M270" s="154" t="str">
        <f t="shared" si="14"/>
        <v>Base_Medium_Base_Upgraded_Acidification Potential (AP) - kg SO2 eq_Wet Well and Sump Station; wastewater treatment unit; at updated plant - US_Base_With Amendment_Windrow</v>
      </c>
    </row>
    <row r="271" spans="1:13" s="120" customFormat="1" x14ac:dyDescent="0.25">
      <c r="A271" s="119"/>
      <c r="B271" s="138" t="str">
        <f t="shared" si="13"/>
        <v>Windrow</v>
      </c>
      <c r="C271" s="138" t="str">
        <f t="shared" si="12"/>
        <v>Base_With Amendment</v>
      </c>
      <c r="D271" s="118" t="s">
        <v>136</v>
      </c>
      <c r="E271" s="118" t="s">
        <v>130</v>
      </c>
      <c r="F271" s="118" t="s">
        <v>46</v>
      </c>
      <c r="G271" s="153"/>
      <c r="H271" s="155">
        <v>8.2699999999999996E-2</v>
      </c>
      <c r="I271" s="154" t="s">
        <v>167</v>
      </c>
      <c r="J271" s="204">
        <v>2.5300000000000001E-3</v>
      </c>
      <c r="K271" s="154" t="s">
        <v>24</v>
      </c>
      <c r="L271" s="154" t="str">
        <f>IF(OpenLCAbasic!K271="CTUh", "Fill in Manually",IF(OR(K271="Unit", K271=""), "", INDEX(LookUps!$E$5:$E$12, MATCH(OpenLCAbasic!K271,LookUps!$D$5:$D$12,0))))</f>
        <v>Acidification Potential (AP) - kg SO2 eq</v>
      </c>
      <c r="M271" s="154" t="str">
        <f t="shared" si="14"/>
        <v>Base_Medium_Base_Upgraded_Acidification Potential (AP) - kg SO2 eq_Waste Receiving and Holding; wastewater treatment unit; at updated plant - US_Base_With Amendment_Windrow</v>
      </c>
    </row>
    <row r="272" spans="1:13" s="120" customFormat="1" x14ac:dyDescent="0.25">
      <c r="A272" s="119"/>
      <c r="B272" s="138" t="str">
        <f t="shared" si="13"/>
        <v>Windrow</v>
      </c>
      <c r="C272" s="138" t="str">
        <f t="shared" si="12"/>
        <v>Base_With Amendment</v>
      </c>
      <c r="D272" s="118" t="s">
        <v>136</v>
      </c>
      <c r="E272" s="118" t="s">
        <v>130</v>
      </c>
      <c r="F272" s="118" t="s">
        <v>46</v>
      </c>
      <c r="G272" s="153"/>
      <c r="H272" s="155">
        <v>6.7599999999999993E-2</v>
      </c>
      <c r="I272" s="154" t="s">
        <v>147</v>
      </c>
      <c r="J272" s="204">
        <v>2.0699999999999998E-3</v>
      </c>
      <c r="K272" s="154" t="s">
        <v>24</v>
      </c>
      <c r="L272" s="154" t="str">
        <f>IF(OpenLCAbasic!K272="CTUh", "Fill in Manually",IF(OR(K272="Unit", K272=""), "", INDEX(LookUps!$E$5:$E$12, MATCH(OpenLCAbasic!K272,LookUps!$D$5:$D$12,0))))</f>
        <v>Acidification Potential (AP) - kg SO2 eq</v>
      </c>
      <c r="M272" s="154" t="str">
        <f t="shared" si="14"/>
        <v>Base_Medium_Base_Upgraded_Acidification Potential (AP) - kg SO2 eq_Influent Pump Station; wastewater treatment unit; at updated plant - US_Base_With Amendment_Windrow</v>
      </c>
    </row>
    <row r="273" spans="1:13" s="120" customFormat="1" x14ac:dyDescent="0.25">
      <c r="A273" s="119"/>
      <c r="B273" s="138" t="str">
        <f t="shared" si="13"/>
        <v>Windrow</v>
      </c>
      <c r="C273" s="138" t="str">
        <f t="shared" si="12"/>
        <v>Base_With Amendment</v>
      </c>
      <c r="D273" s="118" t="s">
        <v>136</v>
      </c>
      <c r="E273" s="118" t="s">
        <v>130</v>
      </c>
      <c r="F273" s="118" t="s">
        <v>46</v>
      </c>
      <c r="G273" s="153"/>
      <c r="H273" s="155">
        <v>4.0300000000000002E-2</v>
      </c>
      <c r="I273" s="154" t="s">
        <v>128</v>
      </c>
      <c r="J273" s="204">
        <v>1.23E-3</v>
      </c>
      <c r="K273" s="154" t="s">
        <v>24</v>
      </c>
      <c r="L273" s="154" t="str">
        <f>IF(OpenLCAbasic!K273="CTUh", "Fill in Manually",IF(OR(K273="Unit", K273=""), "", INDEX(LookUps!$E$5:$E$12, MATCH(OpenLCAbasic!K273,LookUps!$D$5:$D$12,0))))</f>
        <v>Acidification Potential (AP) - kg SO2 eq</v>
      </c>
      <c r="M273" s="154" t="str">
        <f t="shared" si="14"/>
        <v>Base_Medium_Base_Upgraded_Acidification Potential (AP) - kg SO2 eq_Wastewater collection; operation and infrastructure; m3 wastewater_Base_With Amendment_Windrow</v>
      </c>
    </row>
    <row r="274" spans="1:13" s="120" customFormat="1" x14ac:dyDescent="0.25">
      <c r="A274" s="119"/>
      <c r="B274" s="138" t="str">
        <f t="shared" si="13"/>
        <v>Windrow</v>
      </c>
      <c r="C274" s="138" t="str">
        <f t="shared" si="12"/>
        <v>Base_With Amendment</v>
      </c>
      <c r="D274" s="118" t="s">
        <v>136</v>
      </c>
      <c r="E274" s="118" t="s">
        <v>130</v>
      </c>
      <c r="F274" s="118" t="s">
        <v>46</v>
      </c>
      <c r="G274" s="153"/>
      <c r="H274" s="155">
        <v>3.4799999999999998E-2</v>
      </c>
      <c r="I274" s="154" t="s">
        <v>60</v>
      </c>
      <c r="J274" s="204">
        <v>1.07E-3</v>
      </c>
      <c r="K274" s="154" t="s">
        <v>24</v>
      </c>
      <c r="L274" s="154" t="str">
        <f>IF(OpenLCAbasic!K274="CTUh", "Fill in Manually",IF(OR(K274="Unit", K274=""), "", INDEX(LookUps!$E$5:$E$12, MATCH(OpenLCAbasic!K274,LookUps!$D$5:$D$12,0))))</f>
        <v>Acidification Potential (AP) - kg SO2 eq</v>
      </c>
      <c r="M274" s="154" t="str">
        <f t="shared" si="14"/>
        <v>Base_Medium_Base_Upgraded_Acidification Potential (AP) - kg SO2 eq_Belt filter press; wastewater treatment unit; at updated plant - US_Base_With Amendment_Windrow</v>
      </c>
    </row>
    <row r="275" spans="1:13" s="120" customFormat="1" x14ac:dyDescent="0.25">
      <c r="A275" s="119"/>
      <c r="B275" s="138" t="str">
        <f t="shared" si="13"/>
        <v>Windrow</v>
      </c>
      <c r="C275" s="138" t="str">
        <f t="shared" si="12"/>
        <v>Base_With Amendment</v>
      </c>
      <c r="D275" s="118" t="s">
        <v>136</v>
      </c>
      <c r="E275" s="118" t="s">
        <v>130</v>
      </c>
      <c r="F275" s="118" t="s">
        <v>46</v>
      </c>
      <c r="G275" s="153"/>
      <c r="H275" s="155">
        <v>2.3E-2</v>
      </c>
      <c r="I275" s="154" t="s">
        <v>57</v>
      </c>
      <c r="J275" s="204">
        <v>6.9999999999999999E-4</v>
      </c>
      <c r="K275" s="154" t="s">
        <v>24</v>
      </c>
      <c r="L275" s="154" t="str">
        <f>IF(OpenLCAbasic!K275="CTUh", "Fill in Manually",IF(OR(K275="Unit", K275=""), "", INDEX(LookUps!$E$5:$E$12, MATCH(OpenLCAbasic!K275,LookUps!$D$5:$D$12,0))))</f>
        <v>Acidification Potential (AP) - kg SO2 eq</v>
      </c>
      <c r="M275" s="154" t="str">
        <f t="shared" si="14"/>
        <v>Base_Medium_Base_Upgraded_Acidification Potential (AP) - kg SO2 eq_Gravity Belt Thickener; wastewater treatment unit; at updated plant - US_Base_With Amendment_Windrow</v>
      </c>
    </row>
    <row r="276" spans="1:13" s="120" customFormat="1" x14ac:dyDescent="0.25">
      <c r="A276" s="119"/>
      <c r="B276" s="138" t="str">
        <f t="shared" si="13"/>
        <v>Windrow</v>
      </c>
      <c r="C276" s="138" t="str">
        <f t="shared" si="12"/>
        <v>Base_With Amendment</v>
      </c>
      <c r="D276" s="118" t="s">
        <v>136</v>
      </c>
      <c r="E276" s="118" t="s">
        <v>130</v>
      </c>
      <c r="F276" s="118" t="s">
        <v>46</v>
      </c>
      <c r="G276" s="153"/>
      <c r="H276" s="155">
        <v>1.6899999999999998E-2</v>
      </c>
      <c r="I276" s="154" t="s">
        <v>59</v>
      </c>
      <c r="J276" s="204">
        <v>5.1999999999999995E-4</v>
      </c>
      <c r="K276" s="154" t="s">
        <v>24</v>
      </c>
      <c r="L276" s="154" t="str">
        <f>IF(OpenLCAbasic!K276="CTUh", "Fill in Manually",IF(OR(K276="Unit", K276=""), "", INDEX(LookUps!$E$5:$E$12, MATCH(OpenLCAbasic!K276,LookUps!$D$5:$D$12,0))))</f>
        <v>Acidification Potential (AP) - kg SO2 eq</v>
      </c>
      <c r="M276" s="154" t="str">
        <f t="shared" si="14"/>
        <v>Base_Medium_Base_Upgraded_Acidification Potential (AP) - kg SO2 eq_Blend Tank; wastewater treatment unit; at updated plant - US_Base_With Amendment_Windrow</v>
      </c>
    </row>
    <row r="277" spans="1:13" s="120" customFormat="1" x14ac:dyDescent="0.25">
      <c r="A277" s="119"/>
      <c r="B277" s="138" t="str">
        <f t="shared" si="13"/>
        <v>Windrow</v>
      </c>
      <c r="C277" s="138" t="str">
        <f t="shared" si="12"/>
        <v>Base_With Amendment</v>
      </c>
      <c r="D277" s="118" t="s">
        <v>136</v>
      </c>
      <c r="E277" s="118" t="s">
        <v>130</v>
      </c>
      <c r="F277" s="118" t="s">
        <v>46</v>
      </c>
      <c r="G277" s="153"/>
      <c r="H277" s="155">
        <v>1.1299999999999999E-2</v>
      </c>
      <c r="I277" s="154" t="s">
        <v>48</v>
      </c>
      <c r="J277" s="204">
        <v>3.5E-4</v>
      </c>
      <c r="K277" s="154" t="s">
        <v>24</v>
      </c>
      <c r="L277" s="154" t="str">
        <f>IF(OpenLCAbasic!K277="CTUh", "Fill in Manually",IF(OR(K277="Unit", K277=""), "", INDEX(LookUps!$E$5:$E$12, MATCH(OpenLCAbasic!K277,LookUps!$D$5:$D$12,0))))</f>
        <v>Acidification Potential (AP) - kg SO2 eq</v>
      </c>
      <c r="M277" s="154" t="str">
        <f t="shared" si="14"/>
        <v>Base_Medium_Base_Upgraded_Acidification Potential (AP) - kg SO2 eq_Effluent release; wastewater treatment unit; at surface water; m3 wastewater - US_Base_With Amendment_Windrow</v>
      </c>
    </row>
    <row r="278" spans="1:13" s="120" customFormat="1" x14ac:dyDescent="0.25">
      <c r="A278" s="119"/>
      <c r="B278" s="138" t="str">
        <f t="shared" si="13"/>
        <v>Windrow</v>
      </c>
      <c r="C278" s="138" t="str">
        <f t="shared" si="12"/>
        <v>Base_With Amendment</v>
      </c>
      <c r="D278" s="118" t="s">
        <v>136</v>
      </c>
      <c r="E278" s="118" t="s">
        <v>130</v>
      </c>
      <c r="F278" s="118" t="s">
        <v>46</v>
      </c>
      <c r="G278" s="153"/>
      <c r="H278" s="155">
        <v>8.3000000000000001E-3</v>
      </c>
      <c r="I278" s="154" t="s">
        <v>168</v>
      </c>
      <c r="J278" s="204">
        <v>2.5999999999999998E-4</v>
      </c>
      <c r="K278" s="154" t="s">
        <v>24</v>
      </c>
      <c r="L278" s="154" t="str">
        <f>IF(OpenLCAbasic!K278="CTUh", "Fill in Manually",IF(OR(K278="Unit", K278=""), "", INDEX(LookUps!$E$5:$E$12, MATCH(OpenLCAbasic!K278,LookUps!$D$5:$D$12,0))))</f>
        <v>Acidification Potential (AP) - kg SO2 eq</v>
      </c>
      <c r="M278" s="154" t="str">
        <f t="shared" si="14"/>
        <v>Base_Medium_Base_Upgraded_Acidification Potential (AP) - kg SO2 eq_ClearCove SCP; wastewater treatment unit; at updated plant - US_Base_With Amendment_Windrow</v>
      </c>
    </row>
    <row r="279" spans="1:13" s="120" customFormat="1" x14ac:dyDescent="0.25">
      <c r="A279" s="119"/>
      <c r="B279" s="138" t="str">
        <f t="shared" si="13"/>
        <v>Windrow</v>
      </c>
      <c r="C279" s="138" t="str">
        <f t="shared" si="12"/>
        <v>Base_With Amendment</v>
      </c>
      <c r="D279" s="118" t="s">
        <v>136</v>
      </c>
      <c r="E279" s="118" t="s">
        <v>130</v>
      </c>
      <c r="F279" s="118" t="s">
        <v>46</v>
      </c>
      <c r="G279" s="153"/>
      <c r="H279" s="155">
        <v>1.2999999999999999E-3</v>
      </c>
      <c r="I279" s="154" t="s">
        <v>148</v>
      </c>
      <c r="J279" s="204">
        <v>4.0354700000000002E-5</v>
      </c>
      <c r="K279" s="154" t="s">
        <v>24</v>
      </c>
      <c r="L279" s="154" t="str">
        <f>IF(OpenLCAbasic!K279="CTUh", "Fill in Manually",IF(OR(K279="Unit", K279=""), "", INDEX(LookUps!$E$5:$E$12, MATCH(OpenLCAbasic!K279,LookUps!$D$5:$D$12,0))))</f>
        <v>Acidification Potential (AP) - kg SO2 eq</v>
      </c>
      <c r="M279" s="154" t="str">
        <f t="shared" si="14"/>
        <v>Base_Medium_Base_Upgraded_Acidification Potential (AP) - kg SO2 eq_Control Building; at upgraded wastewater treatment plant - US_Base_With Amendment_Windrow</v>
      </c>
    </row>
    <row r="280" spans="1:13" s="120" customFormat="1" x14ac:dyDescent="0.25">
      <c r="A280" s="119"/>
      <c r="B280" s="138" t="str">
        <f t="shared" si="13"/>
        <v>Windrow</v>
      </c>
      <c r="C280" s="138" t="str">
        <f t="shared" si="12"/>
        <v>Base_With Amendment</v>
      </c>
      <c r="D280" s="118" t="s">
        <v>136</v>
      </c>
      <c r="E280" s="118" t="s">
        <v>130</v>
      </c>
      <c r="F280" s="118" t="s">
        <v>46</v>
      </c>
      <c r="G280" s="153"/>
      <c r="H280" s="155">
        <v>-0.64419999999999999</v>
      </c>
      <c r="I280" s="154" t="s">
        <v>149</v>
      </c>
      <c r="J280" s="203">
        <v>-1.9720000000000001E-2</v>
      </c>
      <c r="K280" s="154" t="s">
        <v>24</v>
      </c>
      <c r="L280" s="154" t="str">
        <f>IF(OpenLCAbasic!K280="CTUh", "Fill in Manually",IF(OR(K280="Unit", K280=""), "", INDEX(LookUps!$E$5:$E$12, MATCH(OpenLCAbasic!K280,LookUps!$D$5:$D$12,0))))</f>
        <v>Acidification Potential (AP) - kg SO2 eq</v>
      </c>
      <c r="M280" s="154" t="str">
        <f t="shared" si="14"/>
        <v>Base_Medium_Base_Upgraded_Acidification Potential (AP) - kg SO2 eq_Anaerobic Digestion; wastewater treatment unit; at updated plant - US_Base_With Amendment_Windrow</v>
      </c>
    </row>
    <row r="281" spans="1:13" s="120" customFormat="1" x14ac:dyDescent="0.25">
      <c r="A281" s="119"/>
      <c r="B281" s="138" t="str">
        <f t="shared" si="13"/>
        <v/>
      </c>
      <c r="C281" s="138" t="str">
        <f t="shared" si="12"/>
        <v/>
      </c>
      <c r="D281" s="118"/>
      <c r="E281" s="118"/>
      <c r="F281" s="118"/>
      <c r="G281" s="153" t="s">
        <v>51</v>
      </c>
      <c r="H281" s="155"/>
      <c r="I281" s="154" t="s">
        <v>47</v>
      </c>
      <c r="J281" s="154" t="s">
        <v>52</v>
      </c>
      <c r="K281" s="154" t="s">
        <v>27</v>
      </c>
      <c r="L281" s="154" t="str">
        <f>IF(OpenLCAbasic!K281="CTUh", "Fill in Manually",IF(OR(K281="Unit", K281=""), "", INDEX(LookUps!$E$5:$E$12, MATCH(OpenLCAbasic!K281,LookUps!$D$5:$D$12,0))))</f>
        <v/>
      </c>
      <c r="M281" s="154" t="str">
        <f t="shared" si="14"/>
        <v>____Process__</v>
      </c>
    </row>
    <row r="282" spans="1:13" s="120" customFormat="1" x14ac:dyDescent="0.25">
      <c r="A282" s="119"/>
      <c r="B282" s="138" t="str">
        <f t="shared" si="13"/>
        <v>Windrow</v>
      </c>
      <c r="C282" s="138" t="str">
        <f t="shared" si="12"/>
        <v>Base_With Amendment</v>
      </c>
      <c r="D282" s="118" t="s">
        <v>136</v>
      </c>
      <c r="E282" s="118" t="s">
        <v>130</v>
      </c>
      <c r="F282" s="118" t="s">
        <v>46</v>
      </c>
      <c r="G282" s="153"/>
      <c r="H282" s="155">
        <v>0.79910000000000003</v>
      </c>
      <c r="I282" s="154" t="s">
        <v>55</v>
      </c>
      <c r="J282" s="204">
        <v>2.33E-3</v>
      </c>
      <c r="K282" s="154" t="s">
        <v>145</v>
      </c>
      <c r="L282" s="154" t="str">
        <f>IF(OpenLCAbasic!K282="CTUh", "Fill in Manually",IF(OR(K282="Unit", K282=""), "", INDEX(LookUps!$E$5:$E$12, MATCH(OpenLCAbasic!K282,LookUps!$D$5:$D$12,0))))</f>
        <v>Particulate Matter Formation Potential (PMFP) - kg PM2.5 eq</v>
      </c>
      <c r="M282" s="154" t="str">
        <f t="shared" si="14"/>
        <v>Base_Medium_Base_Upgraded_Particulate Matter Formation Potential (PMFP) - kg PM2.5 eq_Aeration Tanks; wastewater treatment unit; at updated plant - US_Base_With Amendment_Windrow</v>
      </c>
    </row>
    <row r="283" spans="1:13" s="120" customFormat="1" x14ac:dyDescent="0.25">
      <c r="A283" s="119"/>
      <c r="B283" s="138" t="str">
        <f t="shared" si="13"/>
        <v>Windrow</v>
      </c>
      <c r="C283" s="138" t="str">
        <f t="shared" si="12"/>
        <v>Base_With Amendment</v>
      </c>
      <c r="D283" s="118" t="s">
        <v>136</v>
      </c>
      <c r="E283" s="118" t="s">
        <v>130</v>
      </c>
      <c r="F283" s="118" t="s">
        <v>46</v>
      </c>
      <c r="G283" s="153"/>
      <c r="H283" s="155">
        <v>0.23250000000000001</v>
      </c>
      <c r="I283" s="154" t="s">
        <v>54</v>
      </c>
      <c r="J283" s="204">
        <v>6.8000000000000005E-4</v>
      </c>
      <c r="K283" s="154" t="s">
        <v>145</v>
      </c>
      <c r="L283" s="154" t="str">
        <f>IF(OpenLCAbasic!K283="CTUh", "Fill in Manually",IF(OR(K283="Unit", K283=""), "", INDEX(LookUps!$E$5:$E$12, MATCH(OpenLCAbasic!K283,LookUps!$D$5:$D$12,0))))</f>
        <v>Particulate Matter Formation Potential (PMFP) - kg PM2.5 eq</v>
      </c>
      <c r="M283" s="154" t="str">
        <f t="shared" si="14"/>
        <v>Base_Medium_Base_Upgraded_Particulate Matter Formation Potential (PMFP) - kg PM2.5 eq_Clear Cove Primary Clarification; wastewater treatment unit; at updated plant - US_Base_With Amendment_Windrow</v>
      </c>
    </row>
    <row r="284" spans="1:13" s="120" customFormat="1" x14ac:dyDescent="0.25">
      <c r="A284" s="119"/>
      <c r="B284" s="138" t="str">
        <f t="shared" si="13"/>
        <v>Windrow</v>
      </c>
      <c r="C284" s="138" t="str">
        <f t="shared" si="12"/>
        <v>Base_With Amendment</v>
      </c>
      <c r="D284" s="118" t="s">
        <v>136</v>
      </c>
      <c r="E284" s="118" t="s">
        <v>130</v>
      </c>
      <c r="F284" s="118" t="s">
        <v>46</v>
      </c>
      <c r="G284" s="153"/>
      <c r="H284" s="155">
        <v>0.2016</v>
      </c>
      <c r="I284" s="154" t="s">
        <v>58</v>
      </c>
      <c r="J284" s="204">
        <v>5.9000000000000003E-4</v>
      </c>
      <c r="K284" s="154" t="s">
        <v>145</v>
      </c>
      <c r="L284" s="154" t="str">
        <f>IF(OpenLCAbasic!K284="CTUh", "Fill in Manually",IF(OR(K284="Unit", K284=""), "", INDEX(LookUps!$E$5:$E$12, MATCH(OpenLCAbasic!K284,LookUps!$D$5:$D$12,0))))</f>
        <v>Particulate Matter Formation Potential (PMFP) - kg PM2.5 eq</v>
      </c>
      <c r="M284" s="154" t="str">
        <f t="shared" si="14"/>
        <v>Base_Medium_Base_Upgraded_Particulate Matter Formation Potential (PMFP) - kg PM2.5 eq_Pre-Anoxic &amp; Swing tank; wastewater treatment unit; at updated plant - US_Base_With Amendment_Windrow</v>
      </c>
    </row>
    <row r="285" spans="1:13" s="120" customFormat="1" x14ac:dyDescent="0.25">
      <c r="A285" s="119"/>
      <c r="B285" s="138" t="str">
        <f t="shared" si="13"/>
        <v>Windrow</v>
      </c>
      <c r="C285" s="138" t="str">
        <f t="shared" si="12"/>
        <v>Base_With Amendment</v>
      </c>
      <c r="D285" s="118" t="s">
        <v>136</v>
      </c>
      <c r="E285" s="118" t="s">
        <v>130</v>
      </c>
      <c r="F285" s="118" t="s">
        <v>46</v>
      </c>
      <c r="G285" s="153"/>
      <c r="H285" s="155">
        <v>0.1598</v>
      </c>
      <c r="I285" s="154" t="s">
        <v>53</v>
      </c>
      <c r="J285" s="204">
        <v>4.6999999999999999E-4</v>
      </c>
      <c r="K285" s="154" t="s">
        <v>145</v>
      </c>
      <c r="L285" s="154" t="str">
        <f>IF(OpenLCAbasic!K285="CTUh", "Fill in Manually",IF(OR(K285="Unit", K285=""), "", INDEX(LookUps!$E$5:$E$12, MATCH(OpenLCAbasic!K285,LookUps!$D$5:$D$12,0))))</f>
        <v>Particulate Matter Formation Potential (PMFP) - kg PM2.5 eq</v>
      </c>
      <c r="M285" s="154" t="str">
        <f t="shared" si="14"/>
        <v>Base_Medium_Base_Upgraded_Particulate Matter Formation Potential (PMFP) - kg PM2.5 eq_Wet Well and Sump Station; wastewater treatment unit; at updated plant - US_Base_With Amendment_Windrow</v>
      </c>
    </row>
    <row r="286" spans="1:13" s="120" customFormat="1" x14ac:dyDescent="0.25">
      <c r="A286" s="119"/>
      <c r="B286" s="138" t="str">
        <f t="shared" si="13"/>
        <v>Windrow</v>
      </c>
      <c r="C286" s="138" t="str">
        <f t="shared" si="12"/>
        <v>Base_With Amendment</v>
      </c>
      <c r="D286" s="118" t="s">
        <v>136</v>
      </c>
      <c r="E286" s="118" t="s">
        <v>130</v>
      </c>
      <c r="F286" s="118" t="s">
        <v>46</v>
      </c>
      <c r="G286" s="153"/>
      <c r="H286" s="155">
        <v>0.1077</v>
      </c>
      <c r="I286" s="154" t="s">
        <v>167</v>
      </c>
      <c r="J286" s="204">
        <v>3.1E-4</v>
      </c>
      <c r="K286" s="154" t="s">
        <v>145</v>
      </c>
      <c r="L286" s="154" t="str">
        <f>IF(OpenLCAbasic!K286="CTUh", "Fill in Manually",IF(OR(K286="Unit", K286=""), "", INDEX(LookUps!$E$5:$E$12, MATCH(OpenLCAbasic!K286,LookUps!$D$5:$D$12,0))))</f>
        <v>Particulate Matter Formation Potential (PMFP) - kg PM2.5 eq</v>
      </c>
      <c r="M286" s="154" t="str">
        <f t="shared" si="14"/>
        <v>Base_Medium_Base_Upgraded_Particulate Matter Formation Potential (PMFP) - kg PM2.5 eq_Waste Receiving and Holding; wastewater treatment unit; at updated plant - US_Base_With Amendment_Windrow</v>
      </c>
    </row>
    <row r="287" spans="1:13" s="120" customFormat="1" x14ac:dyDescent="0.25">
      <c r="A287" s="119"/>
      <c r="B287" s="138" t="str">
        <f t="shared" si="13"/>
        <v>Windrow</v>
      </c>
      <c r="C287" s="138" t="str">
        <f t="shared" ref="C287:C350" si="15">IF(E287&lt;&gt;"", "Base_With Amendment","")</f>
        <v>Base_With Amendment</v>
      </c>
      <c r="D287" s="118" t="s">
        <v>136</v>
      </c>
      <c r="E287" s="118" t="s">
        <v>130</v>
      </c>
      <c r="F287" s="118" t="s">
        <v>46</v>
      </c>
      <c r="G287" s="153"/>
      <c r="H287" s="155">
        <v>9.7000000000000003E-2</v>
      </c>
      <c r="I287" s="154" t="s">
        <v>271</v>
      </c>
      <c r="J287" s="204">
        <v>2.7999999999999998E-4</v>
      </c>
      <c r="K287" s="154" t="s">
        <v>145</v>
      </c>
      <c r="L287" s="154" t="str">
        <f>IF(OpenLCAbasic!K287="CTUh", "Fill in Manually",IF(OR(K287="Unit", K287=""), "", INDEX(LookUps!$E$5:$E$12, MATCH(OpenLCAbasic!K287,LookUps!$D$5:$D$12,0))))</f>
        <v>Particulate Matter Formation Potential (PMFP) - kg PM2.5 eq</v>
      </c>
      <c r="M287" s="154" t="str">
        <f t="shared" si="14"/>
        <v>Base_Medium_Base_Upgraded_Particulate Matter Formation Potential (PMFP) - kg PM2.5 eq_Biosolids composting; windrow composting; wastewater treatment unit; at updated plant - US_Base_With Amendment_Windrow</v>
      </c>
    </row>
    <row r="288" spans="1:13" s="120" customFormat="1" x14ac:dyDescent="0.25">
      <c r="A288" s="119"/>
      <c r="B288" s="138" t="str">
        <f t="shared" si="13"/>
        <v>Windrow</v>
      </c>
      <c r="C288" s="138" t="str">
        <f t="shared" si="15"/>
        <v>Base_With Amendment</v>
      </c>
      <c r="D288" s="118" t="s">
        <v>136</v>
      </c>
      <c r="E288" s="118" t="s">
        <v>130</v>
      </c>
      <c r="F288" s="118" t="s">
        <v>46</v>
      </c>
      <c r="G288" s="153"/>
      <c r="H288" s="155">
        <v>9.1300000000000006E-2</v>
      </c>
      <c r="I288" s="154" t="s">
        <v>147</v>
      </c>
      <c r="J288" s="204">
        <v>2.7E-4</v>
      </c>
      <c r="K288" s="154" t="s">
        <v>145</v>
      </c>
      <c r="L288" s="154" t="str">
        <f>IF(OpenLCAbasic!K288="CTUh", "Fill in Manually",IF(OR(K288="Unit", K288=""), "", INDEX(LookUps!$E$5:$E$12, MATCH(OpenLCAbasic!K288,LookUps!$D$5:$D$12,0))))</f>
        <v>Particulate Matter Formation Potential (PMFP) - kg PM2.5 eq</v>
      </c>
      <c r="M288" s="154" t="str">
        <f t="shared" si="14"/>
        <v>Base_Medium_Base_Upgraded_Particulate Matter Formation Potential (PMFP) - kg PM2.5 eq_Influent Pump Station; wastewater treatment unit; at updated plant - US_Base_With Amendment_Windrow</v>
      </c>
    </row>
    <row r="289" spans="1:13" s="120" customFormat="1" x14ac:dyDescent="0.25">
      <c r="A289" s="119"/>
      <c r="B289" s="138" t="str">
        <f t="shared" si="13"/>
        <v>Windrow</v>
      </c>
      <c r="C289" s="138" t="str">
        <f t="shared" si="15"/>
        <v>Base_With Amendment</v>
      </c>
      <c r="D289" s="118" t="s">
        <v>136</v>
      </c>
      <c r="E289" s="118" t="s">
        <v>130</v>
      </c>
      <c r="F289" s="118" t="s">
        <v>46</v>
      </c>
      <c r="G289" s="153"/>
      <c r="H289" s="155">
        <v>5.7000000000000002E-2</v>
      </c>
      <c r="I289" s="154" t="s">
        <v>128</v>
      </c>
      <c r="J289" s="204">
        <v>1.7000000000000001E-4</v>
      </c>
      <c r="K289" s="154" t="s">
        <v>145</v>
      </c>
      <c r="L289" s="154" t="str">
        <f>IF(OpenLCAbasic!K289="CTUh", "Fill in Manually",IF(OR(K289="Unit", K289=""), "", INDEX(LookUps!$E$5:$E$12, MATCH(OpenLCAbasic!K289,LookUps!$D$5:$D$12,0))))</f>
        <v>Particulate Matter Formation Potential (PMFP) - kg PM2.5 eq</v>
      </c>
      <c r="M289" s="154" t="str">
        <f t="shared" si="14"/>
        <v>Base_Medium_Base_Upgraded_Particulate Matter Formation Potential (PMFP) - kg PM2.5 eq_Wastewater collection; operation and infrastructure; m3 wastewater_Base_With Amendment_Windrow</v>
      </c>
    </row>
    <row r="290" spans="1:13" s="120" customFormat="1" x14ac:dyDescent="0.25">
      <c r="A290" s="119"/>
      <c r="B290" s="138" t="str">
        <f t="shared" si="13"/>
        <v>Windrow</v>
      </c>
      <c r="C290" s="138" t="str">
        <f t="shared" si="15"/>
        <v>Base_With Amendment</v>
      </c>
      <c r="D290" s="118" t="s">
        <v>136</v>
      </c>
      <c r="E290" s="118" t="s">
        <v>130</v>
      </c>
      <c r="F290" s="118" t="s">
        <v>46</v>
      </c>
      <c r="G290" s="153"/>
      <c r="H290" s="155">
        <v>4.9399999999999999E-2</v>
      </c>
      <c r="I290" s="154" t="s">
        <v>60</v>
      </c>
      <c r="J290" s="204">
        <v>1.3999999999999999E-4</v>
      </c>
      <c r="K290" s="154" t="s">
        <v>145</v>
      </c>
      <c r="L290" s="154" t="str">
        <f>IF(OpenLCAbasic!K290="CTUh", "Fill in Manually",IF(OR(K290="Unit", K290=""), "", INDEX(LookUps!$E$5:$E$12, MATCH(OpenLCAbasic!K290,LookUps!$D$5:$D$12,0))))</f>
        <v>Particulate Matter Formation Potential (PMFP) - kg PM2.5 eq</v>
      </c>
      <c r="M290" s="154" t="str">
        <f t="shared" si="14"/>
        <v>Base_Medium_Base_Upgraded_Particulate Matter Formation Potential (PMFP) - kg PM2.5 eq_Belt filter press; wastewater treatment unit; at updated plant - US_Base_With Amendment_Windrow</v>
      </c>
    </row>
    <row r="291" spans="1:13" s="120" customFormat="1" x14ac:dyDescent="0.25">
      <c r="A291" s="119"/>
      <c r="B291" s="138" t="str">
        <f t="shared" si="13"/>
        <v>Windrow</v>
      </c>
      <c r="C291" s="138" t="str">
        <f t="shared" si="15"/>
        <v>Base_With Amendment</v>
      </c>
      <c r="D291" s="118" t="s">
        <v>136</v>
      </c>
      <c r="E291" s="118" t="s">
        <v>130</v>
      </c>
      <c r="F291" s="118" t="s">
        <v>46</v>
      </c>
      <c r="G291" s="153"/>
      <c r="H291" s="155">
        <v>3.2599999999999997E-2</v>
      </c>
      <c r="I291" s="154" t="s">
        <v>57</v>
      </c>
      <c r="J291" s="204">
        <v>9.5153800000000004E-5</v>
      </c>
      <c r="K291" s="154" t="s">
        <v>145</v>
      </c>
      <c r="L291" s="154" t="str">
        <f>IF(OpenLCAbasic!K291="CTUh", "Fill in Manually",IF(OR(K291="Unit", K291=""), "", INDEX(LookUps!$E$5:$E$12, MATCH(OpenLCAbasic!K291,LookUps!$D$5:$D$12,0))))</f>
        <v>Particulate Matter Formation Potential (PMFP) - kg PM2.5 eq</v>
      </c>
      <c r="M291" s="154" t="str">
        <f t="shared" si="14"/>
        <v>Base_Medium_Base_Upgraded_Particulate Matter Formation Potential (PMFP) - kg PM2.5 eq_Gravity Belt Thickener; wastewater treatment unit; at updated plant - US_Base_With Amendment_Windrow</v>
      </c>
    </row>
    <row r="292" spans="1:13" s="120" customFormat="1" x14ac:dyDescent="0.25">
      <c r="A292" s="119"/>
      <c r="B292" s="138" t="str">
        <f t="shared" si="13"/>
        <v>Windrow</v>
      </c>
      <c r="C292" s="138" t="str">
        <f t="shared" si="15"/>
        <v>Base_With Amendment</v>
      </c>
      <c r="D292" s="118" t="s">
        <v>136</v>
      </c>
      <c r="E292" s="118" t="s">
        <v>130</v>
      </c>
      <c r="F292" s="118" t="s">
        <v>46</v>
      </c>
      <c r="G292" s="153"/>
      <c r="H292" s="155">
        <v>2.3900000000000001E-2</v>
      </c>
      <c r="I292" s="154" t="s">
        <v>59</v>
      </c>
      <c r="J292" s="204">
        <v>6.9942200000000003E-5</v>
      </c>
      <c r="K292" s="154" t="s">
        <v>145</v>
      </c>
      <c r="L292" s="154" t="str">
        <f>IF(OpenLCAbasic!K292="CTUh", "Fill in Manually",IF(OR(K292="Unit", K292=""), "", INDEX(LookUps!$E$5:$E$12, MATCH(OpenLCAbasic!K292,LookUps!$D$5:$D$12,0))))</f>
        <v>Particulate Matter Formation Potential (PMFP) - kg PM2.5 eq</v>
      </c>
      <c r="M292" s="154" t="str">
        <f t="shared" si="14"/>
        <v>Base_Medium_Base_Upgraded_Particulate Matter Formation Potential (PMFP) - kg PM2.5 eq_Blend Tank; wastewater treatment unit; at updated plant - US_Base_With Amendment_Windrow</v>
      </c>
    </row>
    <row r="293" spans="1:13" s="120" customFormat="1" x14ac:dyDescent="0.25">
      <c r="A293" s="119"/>
      <c r="B293" s="138" t="str">
        <f t="shared" si="13"/>
        <v>Windrow</v>
      </c>
      <c r="C293" s="138" t="str">
        <f t="shared" si="15"/>
        <v>Base_With Amendment</v>
      </c>
      <c r="D293" s="118" t="s">
        <v>136</v>
      </c>
      <c r="E293" s="118" t="s">
        <v>130</v>
      </c>
      <c r="F293" s="118" t="s">
        <v>46</v>
      </c>
      <c r="G293" s="153"/>
      <c r="H293" s="155">
        <v>2.0400000000000001E-2</v>
      </c>
      <c r="I293" s="154" t="s">
        <v>62</v>
      </c>
      <c r="J293" s="204">
        <v>5.9602000000000003E-5</v>
      </c>
      <c r="K293" s="154" t="s">
        <v>145</v>
      </c>
      <c r="L293" s="154" t="str">
        <f>IF(OpenLCAbasic!K293="CTUh", "Fill in Manually",IF(OR(K293="Unit", K293=""), "", INDEX(LookUps!$E$5:$E$12, MATCH(OpenLCAbasic!K293,LookUps!$D$5:$D$12,0))))</f>
        <v>Particulate Matter Formation Potential (PMFP) - kg PM2.5 eq</v>
      </c>
      <c r="M293" s="154" t="str">
        <f t="shared" si="14"/>
        <v>Base_Medium_Base_Upgraded_Particulate Matter Formation Potential (PMFP) - kg PM2.5 eq_Land application of compost; wastewater treatment unit; at updated plant - US_Base_With Amendment_Windrow</v>
      </c>
    </row>
    <row r="294" spans="1:13" s="120" customFormat="1" x14ac:dyDescent="0.25">
      <c r="A294" s="119"/>
      <c r="B294" s="138" t="str">
        <f t="shared" si="13"/>
        <v>Windrow</v>
      </c>
      <c r="C294" s="138" t="str">
        <f t="shared" si="15"/>
        <v>Base_With Amendment</v>
      </c>
      <c r="D294" s="118" t="s">
        <v>136</v>
      </c>
      <c r="E294" s="118" t="s">
        <v>130</v>
      </c>
      <c r="F294" s="118" t="s">
        <v>46</v>
      </c>
      <c r="G294" s="153"/>
      <c r="H294" s="155">
        <v>1.7100000000000001E-2</v>
      </c>
      <c r="I294" s="154" t="s">
        <v>48</v>
      </c>
      <c r="J294" s="204">
        <v>4.99741E-5</v>
      </c>
      <c r="K294" s="154" t="s">
        <v>145</v>
      </c>
      <c r="L294" s="154" t="str">
        <f>IF(OpenLCAbasic!K294="CTUh", "Fill in Manually",IF(OR(K294="Unit", K294=""), "", INDEX(LookUps!$E$5:$E$12, MATCH(OpenLCAbasic!K294,LookUps!$D$5:$D$12,0))))</f>
        <v>Particulate Matter Formation Potential (PMFP) - kg PM2.5 eq</v>
      </c>
      <c r="M294" s="154" t="str">
        <f t="shared" si="14"/>
        <v>Base_Medium_Base_Upgraded_Particulate Matter Formation Potential (PMFP) - kg PM2.5 eq_Effluent release; wastewater treatment unit; at surface water; m3 wastewater - US_Base_With Amendment_Windrow</v>
      </c>
    </row>
    <row r="295" spans="1:13" s="120" customFormat="1" x14ac:dyDescent="0.25">
      <c r="A295" s="119"/>
      <c r="B295" s="138" t="str">
        <f t="shared" si="13"/>
        <v>Windrow</v>
      </c>
      <c r="C295" s="138" t="str">
        <f t="shared" si="15"/>
        <v>Base_With Amendment</v>
      </c>
      <c r="D295" s="118" t="s">
        <v>136</v>
      </c>
      <c r="E295" s="118" t="s">
        <v>130</v>
      </c>
      <c r="F295" s="118" t="s">
        <v>46</v>
      </c>
      <c r="G295" s="153"/>
      <c r="H295" s="155">
        <v>1.18E-2</v>
      </c>
      <c r="I295" s="154" t="s">
        <v>168</v>
      </c>
      <c r="J295" s="204">
        <v>3.4562199999999999E-5</v>
      </c>
      <c r="K295" s="154" t="s">
        <v>145</v>
      </c>
      <c r="L295" s="154" t="str">
        <f>IF(OpenLCAbasic!K295="CTUh", "Fill in Manually",IF(OR(K295="Unit", K295=""), "", INDEX(LookUps!$E$5:$E$12, MATCH(OpenLCAbasic!K295,LookUps!$D$5:$D$12,0))))</f>
        <v>Particulate Matter Formation Potential (PMFP) - kg PM2.5 eq</v>
      </c>
      <c r="M295" s="154" t="str">
        <f t="shared" si="14"/>
        <v>Base_Medium_Base_Upgraded_Particulate Matter Formation Potential (PMFP) - kg PM2.5 eq_ClearCove SCP; wastewater treatment unit; at updated plant - US_Base_With Amendment_Windrow</v>
      </c>
    </row>
    <row r="296" spans="1:13" s="120" customFormat="1" x14ac:dyDescent="0.25">
      <c r="A296" s="119"/>
      <c r="B296" s="138" t="str">
        <f t="shared" si="13"/>
        <v>Windrow</v>
      </c>
      <c r="C296" s="138" t="str">
        <f t="shared" si="15"/>
        <v>Base_With Amendment</v>
      </c>
      <c r="D296" s="118" t="s">
        <v>136</v>
      </c>
      <c r="E296" s="118" t="s">
        <v>130</v>
      </c>
      <c r="F296" s="118" t="s">
        <v>46</v>
      </c>
      <c r="G296" s="153"/>
      <c r="H296" s="155">
        <v>3.0000000000000001E-3</v>
      </c>
      <c r="I296" s="154" t="s">
        <v>148</v>
      </c>
      <c r="J296" s="204">
        <v>8.8212999999999997E-6</v>
      </c>
      <c r="K296" s="154" t="s">
        <v>145</v>
      </c>
      <c r="L296" s="154" t="str">
        <f>IF(OpenLCAbasic!K296="CTUh", "Fill in Manually",IF(OR(K296="Unit", K296=""), "", INDEX(LookUps!$E$5:$E$12, MATCH(OpenLCAbasic!K296,LookUps!$D$5:$D$12,0))))</f>
        <v>Particulate Matter Formation Potential (PMFP) - kg PM2.5 eq</v>
      </c>
      <c r="M296" s="154" t="str">
        <f t="shared" si="14"/>
        <v>Base_Medium_Base_Upgraded_Particulate Matter Formation Potential (PMFP) - kg PM2.5 eq_Control Building; at upgraded wastewater treatment plant - US_Base_With Amendment_Windrow</v>
      </c>
    </row>
    <row r="297" spans="1:13" s="120" customFormat="1" x14ac:dyDescent="0.25">
      <c r="A297" s="119"/>
      <c r="B297" s="138" t="str">
        <f t="shared" si="13"/>
        <v>Windrow</v>
      </c>
      <c r="C297" s="138" t="str">
        <f t="shared" si="15"/>
        <v>Base_With Amendment</v>
      </c>
      <c r="D297" s="118" t="s">
        <v>136</v>
      </c>
      <c r="E297" s="118" t="s">
        <v>130</v>
      </c>
      <c r="F297" s="118" t="s">
        <v>46</v>
      </c>
      <c r="G297" s="153"/>
      <c r="H297" s="155">
        <v>-0.90429999999999999</v>
      </c>
      <c r="I297" s="154" t="s">
        <v>149</v>
      </c>
      <c r="J297" s="204">
        <v>-2.64E-3</v>
      </c>
      <c r="K297" s="154" t="s">
        <v>145</v>
      </c>
      <c r="L297" s="154" t="str">
        <f>IF(OpenLCAbasic!K297="CTUh", "Fill in Manually",IF(OR(K297="Unit", K297=""), "", INDEX(LookUps!$E$5:$E$12, MATCH(OpenLCAbasic!K297,LookUps!$D$5:$D$12,0))))</f>
        <v>Particulate Matter Formation Potential (PMFP) - kg PM2.5 eq</v>
      </c>
      <c r="M297" s="154" t="str">
        <f t="shared" si="14"/>
        <v>Base_Medium_Base_Upgraded_Particulate Matter Formation Potential (PMFP) - kg PM2.5 eq_Anaerobic Digestion; wastewater treatment unit; at updated plant - US_Base_With Amendment_Windrow</v>
      </c>
    </row>
    <row r="298" spans="1:13" s="120" customFormat="1" x14ac:dyDescent="0.25">
      <c r="A298" s="119"/>
      <c r="B298" s="138" t="str">
        <f t="shared" si="13"/>
        <v/>
      </c>
      <c r="C298" s="138" t="str">
        <f t="shared" si="15"/>
        <v/>
      </c>
      <c r="D298" s="118"/>
      <c r="E298" s="118"/>
      <c r="F298" s="118"/>
      <c r="G298" s="153" t="s">
        <v>51</v>
      </c>
      <c r="H298" s="155"/>
      <c r="I298" s="154" t="s">
        <v>47</v>
      </c>
      <c r="J298" s="154" t="s">
        <v>52</v>
      </c>
      <c r="K298" s="154" t="s">
        <v>27</v>
      </c>
      <c r="L298" s="154" t="str">
        <f>IF(OpenLCAbasic!K298="CTUh", "Fill in Manually",IF(OR(K298="Unit", K298=""), "", INDEX(LookUps!$E$5:$E$12, MATCH(OpenLCAbasic!K298,LookUps!$D$5:$D$12,0))))</f>
        <v/>
      </c>
      <c r="M298" s="154" t="str">
        <f t="shared" si="14"/>
        <v>____Process__</v>
      </c>
    </row>
    <row r="299" spans="1:13" s="120" customFormat="1" x14ac:dyDescent="0.25">
      <c r="A299" s="119"/>
      <c r="B299" s="138" t="str">
        <f t="shared" si="13"/>
        <v>Windrow</v>
      </c>
      <c r="C299" s="138" t="str">
        <f t="shared" si="15"/>
        <v>Base_With Amendment</v>
      </c>
      <c r="D299" s="118" t="s">
        <v>136</v>
      </c>
      <c r="E299" s="118" t="s">
        <v>130</v>
      </c>
      <c r="F299" s="118" t="s">
        <v>46</v>
      </c>
      <c r="G299" s="153"/>
      <c r="H299" s="155">
        <v>0.88460000000000005</v>
      </c>
      <c r="I299" s="154" t="s">
        <v>55</v>
      </c>
      <c r="J299" s="203">
        <v>0.16577</v>
      </c>
      <c r="K299" s="154" t="s">
        <v>25</v>
      </c>
      <c r="L299" s="154" t="str">
        <f>IF(OpenLCAbasic!K299="CTUh", "Fill in Manually",IF(OR(K299="Unit", K299=""), "", INDEX(LookUps!$E$5:$E$12, MATCH(OpenLCAbasic!K299,LookUps!$D$5:$D$12,0))))</f>
        <v>Smog Formation Potential (SFP) - kg O3 eq</v>
      </c>
      <c r="M299" s="154" t="str">
        <f t="shared" si="14"/>
        <v>Base_Medium_Base_Upgraded_Smog Formation Potential (SFP) - kg O3 eq_Aeration Tanks; wastewater treatment unit; at updated plant - US_Base_With Amendment_Windrow</v>
      </c>
    </row>
    <row r="300" spans="1:13" s="120" customFormat="1" x14ac:dyDescent="0.25">
      <c r="A300" s="119"/>
      <c r="B300" s="138" t="str">
        <f t="shared" si="13"/>
        <v>Windrow</v>
      </c>
      <c r="C300" s="138" t="str">
        <f t="shared" si="15"/>
        <v>Base_With Amendment</v>
      </c>
      <c r="D300" s="118" t="s">
        <v>136</v>
      </c>
      <c r="E300" s="118" t="s">
        <v>130</v>
      </c>
      <c r="F300" s="118" t="s">
        <v>46</v>
      </c>
      <c r="G300" s="153"/>
      <c r="H300" s="155">
        <v>0.25650000000000001</v>
      </c>
      <c r="I300" s="154" t="s">
        <v>54</v>
      </c>
      <c r="J300" s="203">
        <v>4.8070000000000002E-2</v>
      </c>
      <c r="K300" s="154" t="s">
        <v>25</v>
      </c>
      <c r="L300" s="154" t="str">
        <f>IF(OpenLCAbasic!K300="CTUh", "Fill in Manually",IF(OR(K300="Unit", K300=""), "", INDEX(LookUps!$E$5:$E$12, MATCH(OpenLCAbasic!K300,LookUps!$D$5:$D$12,0))))</f>
        <v>Smog Formation Potential (SFP) - kg O3 eq</v>
      </c>
      <c r="M300" s="154" t="str">
        <f t="shared" si="14"/>
        <v>Base_Medium_Base_Upgraded_Smog Formation Potential (SFP) - kg O3 eq_Clear Cove Primary Clarification; wastewater treatment unit; at updated plant - US_Base_With Amendment_Windrow</v>
      </c>
    </row>
    <row r="301" spans="1:13" s="120" customFormat="1" x14ac:dyDescent="0.25">
      <c r="A301" s="119"/>
      <c r="B301" s="138" t="str">
        <f t="shared" si="13"/>
        <v>Windrow</v>
      </c>
      <c r="C301" s="138" t="str">
        <f t="shared" si="15"/>
        <v>Base_With Amendment</v>
      </c>
      <c r="D301" s="118" t="s">
        <v>136</v>
      </c>
      <c r="E301" s="118" t="s">
        <v>130</v>
      </c>
      <c r="F301" s="118" t="s">
        <v>46</v>
      </c>
      <c r="G301" s="153"/>
      <c r="H301" s="155">
        <v>0.22370000000000001</v>
      </c>
      <c r="I301" s="154" t="s">
        <v>58</v>
      </c>
      <c r="J301" s="203">
        <v>4.1919999999999999E-2</v>
      </c>
      <c r="K301" s="154" t="s">
        <v>25</v>
      </c>
      <c r="L301" s="154" t="str">
        <f>IF(OpenLCAbasic!K301="CTUh", "Fill in Manually",IF(OR(K301="Unit", K301=""), "", INDEX(LookUps!$E$5:$E$12, MATCH(OpenLCAbasic!K301,LookUps!$D$5:$D$12,0))))</f>
        <v>Smog Formation Potential (SFP) - kg O3 eq</v>
      </c>
      <c r="M301" s="154" t="str">
        <f t="shared" si="14"/>
        <v>Base_Medium_Base_Upgraded_Smog Formation Potential (SFP) - kg O3 eq_Pre-Anoxic &amp; Swing tank; wastewater treatment unit; at updated plant - US_Base_With Amendment_Windrow</v>
      </c>
    </row>
    <row r="302" spans="1:13" s="120" customFormat="1" x14ac:dyDescent="0.25">
      <c r="A302" s="119"/>
      <c r="B302" s="138" t="str">
        <f t="shared" si="13"/>
        <v>Windrow</v>
      </c>
      <c r="C302" s="138" t="str">
        <f t="shared" si="15"/>
        <v>Base_With Amendment</v>
      </c>
      <c r="D302" s="118" t="s">
        <v>136</v>
      </c>
      <c r="E302" s="118" t="s">
        <v>130</v>
      </c>
      <c r="F302" s="118" t="s">
        <v>46</v>
      </c>
      <c r="G302" s="153"/>
      <c r="H302" s="155">
        <v>0.17680000000000001</v>
      </c>
      <c r="I302" s="154" t="s">
        <v>53</v>
      </c>
      <c r="J302" s="203">
        <v>3.313E-2</v>
      </c>
      <c r="K302" s="154" t="s">
        <v>25</v>
      </c>
      <c r="L302" s="154" t="str">
        <f>IF(OpenLCAbasic!K302="CTUh", "Fill in Manually",IF(OR(K302="Unit", K302=""), "", INDEX(LookUps!$E$5:$E$12, MATCH(OpenLCAbasic!K302,LookUps!$D$5:$D$12,0))))</f>
        <v>Smog Formation Potential (SFP) - kg O3 eq</v>
      </c>
      <c r="M302" s="154" t="str">
        <f t="shared" si="14"/>
        <v>Base_Medium_Base_Upgraded_Smog Formation Potential (SFP) - kg O3 eq_Wet Well and Sump Station; wastewater treatment unit; at updated plant - US_Base_With Amendment_Windrow</v>
      </c>
    </row>
    <row r="303" spans="1:13" s="120" customFormat="1" x14ac:dyDescent="0.25">
      <c r="A303" s="119"/>
      <c r="B303" s="138" t="str">
        <f t="shared" si="13"/>
        <v>Windrow</v>
      </c>
      <c r="C303" s="138" t="str">
        <f t="shared" si="15"/>
        <v>Base_With Amendment</v>
      </c>
      <c r="D303" s="118" t="s">
        <v>136</v>
      </c>
      <c r="E303" s="118" t="s">
        <v>130</v>
      </c>
      <c r="F303" s="118" t="s">
        <v>46</v>
      </c>
      <c r="G303" s="153"/>
      <c r="H303" s="155">
        <v>0.16389999999999999</v>
      </c>
      <c r="I303" s="154" t="s">
        <v>167</v>
      </c>
      <c r="J303" s="203">
        <v>3.0710000000000001E-2</v>
      </c>
      <c r="K303" s="154" t="s">
        <v>25</v>
      </c>
      <c r="L303" s="154" t="str">
        <f>IF(OpenLCAbasic!K303="CTUh", "Fill in Manually",IF(OR(K303="Unit", K303=""), "", INDEX(LookUps!$E$5:$E$12, MATCH(OpenLCAbasic!K303,LookUps!$D$5:$D$12,0))))</f>
        <v>Smog Formation Potential (SFP) - kg O3 eq</v>
      </c>
      <c r="M303" s="154" t="str">
        <f t="shared" si="14"/>
        <v>Base_Medium_Base_Upgraded_Smog Formation Potential (SFP) - kg O3 eq_Waste Receiving and Holding; wastewater treatment unit; at updated plant - US_Base_With Amendment_Windrow</v>
      </c>
    </row>
    <row r="304" spans="1:13" s="120" customFormat="1" x14ac:dyDescent="0.25">
      <c r="A304" s="119"/>
      <c r="B304" s="138" t="str">
        <f t="shared" si="13"/>
        <v>Windrow</v>
      </c>
      <c r="C304" s="138" t="str">
        <f t="shared" si="15"/>
        <v>Base_With Amendment</v>
      </c>
      <c r="D304" s="118" t="s">
        <v>136</v>
      </c>
      <c r="E304" s="118" t="s">
        <v>130</v>
      </c>
      <c r="F304" s="118" t="s">
        <v>46</v>
      </c>
      <c r="G304" s="153"/>
      <c r="H304" s="155">
        <v>0.10349999999999999</v>
      </c>
      <c r="I304" s="154" t="s">
        <v>147</v>
      </c>
      <c r="J304" s="203">
        <v>1.9400000000000001E-2</v>
      </c>
      <c r="K304" s="154" t="s">
        <v>25</v>
      </c>
      <c r="L304" s="154" t="str">
        <f>IF(OpenLCAbasic!K304="CTUh", "Fill in Manually",IF(OR(K304="Unit", K304=""), "", INDEX(LookUps!$E$5:$E$12, MATCH(OpenLCAbasic!K304,LookUps!$D$5:$D$12,0))))</f>
        <v>Smog Formation Potential (SFP) - kg O3 eq</v>
      </c>
      <c r="M304" s="154" t="str">
        <f t="shared" si="14"/>
        <v>Base_Medium_Base_Upgraded_Smog Formation Potential (SFP) - kg O3 eq_Influent Pump Station; wastewater treatment unit; at updated plant - US_Base_With Amendment_Windrow</v>
      </c>
    </row>
    <row r="305" spans="1:13" s="120" customFormat="1" x14ac:dyDescent="0.25">
      <c r="A305" s="119"/>
      <c r="B305" s="138" t="str">
        <f t="shared" si="13"/>
        <v>Windrow</v>
      </c>
      <c r="C305" s="138" t="str">
        <f t="shared" si="15"/>
        <v>Base_With Amendment</v>
      </c>
      <c r="D305" s="118" t="s">
        <v>136</v>
      </c>
      <c r="E305" s="118" t="s">
        <v>130</v>
      </c>
      <c r="F305" s="118" t="s">
        <v>46</v>
      </c>
      <c r="G305" s="153"/>
      <c r="H305" s="155">
        <v>6.3600000000000004E-2</v>
      </c>
      <c r="I305" s="154" t="s">
        <v>128</v>
      </c>
      <c r="J305" s="203">
        <v>1.192E-2</v>
      </c>
      <c r="K305" s="154" t="s">
        <v>25</v>
      </c>
      <c r="L305" s="154" t="str">
        <f>IF(OpenLCAbasic!K305="CTUh", "Fill in Manually",IF(OR(K305="Unit", K305=""), "", INDEX(LookUps!$E$5:$E$12, MATCH(OpenLCAbasic!K305,LookUps!$D$5:$D$12,0))))</f>
        <v>Smog Formation Potential (SFP) - kg O3 eq</v>
      </c>
      <c r="M305" s="154" t="str">
        <f t="shared" si="14"/>
        <v>Base_Medium_Base_Upgraded_Smog Formation Potential (SFP) - kg O3 eq_Wastewater collection; operation and infrastructure; m3 wastewater_Base_With Amendment_Windrow</v>
      </c>
    </row>
    <row r="306" spans="1:13" s="120" customFormat="1" x14ac:dyDescent="0.25">
      <c r="A306" s="119"/>
      <c r="B306" s="138" t="str">
        <f t="shared" si="13"/>
        <v>Windrow</v>
      </c>
      <c r="C306" s="138" t="str">
        <f t="shared" si="15"/>
        <v>Base_With Amendment</v>
      </c>
      <c r="D306" s="118" t="s">
        <v>136</v>
      </c>
      <c r="E306" s="118" t="s">
        <v>130</v>
      </c>
      <c r="F306" s="118" t="s">
        <v>46</v>
      </c>
      <c r="G306" s="153"/>
      <c r="H306" s="155">
        <v>5.4100000000000002E-2</v>
      </c>
      <c r="I306" s="154" t="s">
        <v>60</v>
      </c>
      <c r="J306" s="203">
        <v>1.014E-2</v>
      </c>
      <c r="K306" s="154" t="s">
        <v>25</v>
      </c>
      <c r="L306" s="154" t="str">
        <f>IF(OpenLCAbasic!K306="CTUh", "Fill in Manually",IF(OR(K306="Unit", K306=""), "", INDEX(LookUps!$E$5:$E$12, MATCH(OpenLCAbasic!K306,LookUps!$D$5:$D$12,0))))</f>
        <v>Smog Formation Potential (SFP) - kg O3 eq</v>
      </c>
      <c r="M306" s="154" t="str">
        <f t="shared" si="14"/>
        <v>Base_Medium_Base_Upgraded_Smog Formation Potential (SFP) - kg O3 eq_Belt filter press; wastewater treatment unit; at updated plant - US_Base_With Amendment_Windrow</v>
      </c>
    </row>
    <row r="307" spans="1:13" s="120" customFormat="1" x14ac:dyDescent="0.25">
      <c r="A307" s="119"/>
      <c r="B307" s="138" t="str">
        <f t="shared" si="13"/>
        <v>Windrow</v>
      </c>
      <c r="C307" s="138" t="str">
        <f t="shared" si="15"/>
        <v>Base_With Amendment</v>
      </c>
      <c r="D307" s="118" t="s">
        <v>136</v>
      </c>
      <c r="E307" s="118" t="s">
        <v>130</v>
      </c>
      <c r="F307" s="118" t="s">
        <v>46</v>
      </c>
      <c r="G307" s="153"/>
      <c r="H307" s="155">
        <v>3.5499999999999997E-2</v>
      </c>
      <c r="I307" s="154" t="s">
        <v>57</v>
      </c>
      <c r="J307" s="204">
        <v>6.6499999999999997E-3</v>
      </c>
      <c r="K307" s="154" t="s">
        <v>25</v>
      </c>
      <c r="L307" s="154" t="str">
        <f>IF(OpenLCAbasic!K307="CTUh", "Fill in Manually",IF(OR(K307="Unit", K307=""), "", INDEX(LookUps!$E$5:$E$12, MATCH(OpenLCAbasic!K307,LookUps!$D$5:$D$12,0))))</f>
        <v>Smog Formation Potential (SFP) - kg O3 eq</v>
      </c>
      <c r="M307" s="154" t="str">
        <f t="shared" si="14"/>
        <v>Base_Medium_Base_Upgraded_Smog Formation Potential (SFP) - kg O3 eq_Gravity Belt Thickener; wastewater treatment unit; at updated plant - US_Base_With Amendment_Windrow</v>
      </c>
    </row>
    <row r="308" spans="1:13" s="120" customFormat="1" x14ac:dyDescent="0.25">
      <c r="A308" s="119"/>
      <c r="B308" s="138" t="str">
        <f t="shared" si="13"/>
        <v>Windrow</v>
      </c>
      <c r="C308" s="138" t="str">
        <f t="shared" si="15"/>
        <v>Base_With Amendment</v>
      </c>
      <c r="D308" s="118" t="s">
        <v>136</v>
      </c>
      <c r="E308" s="118" t="s">
        <v>130</v>
      </c>
      <c r="F308" s="118" t="s">
        <v>46</v>
      </c>
      <c r="G308" s="153"/>
      <c r="H308" s="155">
        <v>2.6499999999999999E-2</v>
      </c>
      <c r="I308" s="154" t="s">
        <v>59</v>
      </c>
      <c r="J308" s="204">
        <v>4.9699999999999996E-3</v>
      </c>
      <c r="K308" s="154" t="s">
        <v>25</v>
      </c>
      <c r="L308" s="154" t="str">
        <f>IF(OpenLCAbasic!K308="CTUh", "Fill in Manually",IF(OR(K308="Unit", K308=""), "", INDEX(LookUps!$E$5:$E$12, MATCH(OpenLCAbasic!K308,LookUps!$D$5:$D$12,0))))</f>
        <v>Smog Formation Potential (SFP) - kg O3 eq</v>
      </c>
      <c r="M308" s="154" t="str">
        <f t="shared" si="14"/>
        <v>Base_Medium_Base_Upgraded_Smog Formation Potential (SFP) - kg O3 eq_Blend Tank; wastewater treatment unit; at updated plant - US_Base_With Amendment_Windrow</v>
      </c>
    </row>
    <row r="309" spans="1:13" s="120" customFormat="1" x14ac:dyDescent="0.25">
      <c r="A309" s="119"/>
      <c r="B309" s="138" t="str">
        <f t="shared" si="13"/>
        <v>Windrow</v>
      </c>
      <c r="C309" s="138" t="str">
        <f t="shared" si="15"/>
        <v>Base_With Amendment</v>
      </c>
      <c r="D309" s="118" t="s">
        <v>136</v>
      </c>
      <c r="E309" s="118" t="s">
        <v>130</v>
      </c>
      <c r="F309" s="118" t="s">
        <v>46</v>
      </c>
      <c r="G309" s="153"/>
      <c r="H309" s="155">
        <v>1.8100000000000002E-2</v>
      </c>
      <c r="I309" s="154" t="s">
        <v>48</v>
      </c>
      <c r="J309" s="204">
        <v>3.3899999999999998E-3</v>
      </c>
      <c r="K309" s="154" t="s">
        <v>25</v>
      </c>
      <c r="L309" s="154" t="str">
        <f>IF(OpenLCAbasic!K309="CTUh", "Fill in Manually",IF(OR(K309="Unit", K309=""), "", INDEX(LookUps!$E$5:$E$12, MATCH(OpenLCAbasic!K309,LookUps!$D$5:$D$12,0))))</f>
        <v>Smog Formation Potential (SFP) - kg O3 eq</v>
      </c>
      <c r="M309" s="154" t="str">
        <f t="shared" si="14"/>
        <v>Base_Medium_Base_Upgraded_Smog Formation Potential (SFP) - kg O3 eq_Effluent release; wastewater treatment unit; at surface water; m3 wastewater - US_Base_With Amendment_Windrow</v>
      </c>
    </row>
    <row r="310" spans="1:13" s="120" customFormat="1" x14ac:dyDescent="0.25">
      <c r="A310" s="119"/>
      <c r="B310" s="138" t="str">
        <f t="shared" si="13"/>
        <v>Windrow</v>
      </c>
      <c r="C310" s="138" t="str">
        <f t="shared" si="15"/>
        <v>Base_With Amendment</v>
      </c>
      <c r="D310" s="118" t="s">
        <v>136</v>
      </c>
      <c r="E310" s="118" t="s">
        <v>130</v>
      </c>
      <c r="F310" s="118" t="s">
        <v>46</v>
      </c>
      <c r="G310" s="153"/>
      <c r="H310" s="155">
        <v>1.3100000000000001E-2</v>
      </c>
      <c r="I310" s="154" t="s">
        <v>168</v>
      </c>
      <c r="J310" s="204">
        <v>2.4599999999999999E-3</v>
      </c>
      <c r="K310" s="154" t="s">
        <v>25</v>
      </c>
      <c r="L310" s="154" t="str">
        <f>IF(OpenLCAbasic!K310="CTUh", "Fill in Manually",IF(OR(K310="Unit", K310=""), "", INDEX(LookUps!$E$5:$E$12, MATCH(OpenLCAbasic!K310,LookUps!$D$5:$D$12,0))))</f>
        <v>Smog Formation Potential (SFP) - kg O3 eq</v>
      </c>
      <c r="M310" s="154" t="str">
        <f t="shared" si="14"/>
        <v>Base_Medium_Base_Upgraded_Smog Formation Potential (SFP) - kg O3 eq_ClearCove SCP; wastewater treatment unit; at updated plant - US_Base_With Amendment_Windrow</v>
      </c>
    </row>
    <row r="311" spans="1:13" s="120" customFormat="1" x14ac:dyDescent="0.25">
      <c r="A311" s="119"/>
      <c r="B311" s="138" t="str">
        <f t="shared" si="13"/>
        <v>Windrow</v>
      </c>
      <c r="C311" s="138" t="str">
        <f t="shared" si="15"/>
        <v>Base_With Amendment</v>
      </c>
      <c r="D311" s="118" t="s">
        <v>136</v>
      </c>
      <c r="E311" s="118" t="s">
        <v>130</v>
      </c>
      <c r="F311" s="118" t="s">
        <v>46</v>
      </c>
      <c r="G311" s="153"/>
      <c r="H311" s="155">
        <v>8.2000000000000007E-3</v>
      </c>
      <c r="I311" s="154" t="s">
        <v>271</v>
      </c>
      <c r="J311" s="204">
        <v>1.5299999999999999E-3</v>
      </c>
      <c r="K311" s="154" t="s">
        <v>25</v>
      </c>
      <c r="L311" s="154" t="str">
        <f>IF(OpenLCAbasic!K311="CTUh", "Fill in Manually",IF(OR(K311="Unit", K311=""), "", INDEX(LookUps!$E$5:$E$12, MATCH(OpenLCAbasic!K311,LookUps!$D$5:$D$12,0))))</f>
        <v>Smog Formation Potential (SFP) - kg O3 eq</v>
      </c>
      <c r="M311" s="154" t="str">
        <f t="shared" si="14"/>
        <v>Base_Medium_Base_Upgraded_Smog Formation Potential (SFP) - kg O3 eq_Biosolids composting; windrow composting; wastewater treatment unit; at updated plant - US_Base_With Amendment_Windrow</v>
      </c>
    </row>
    <row r="312" spans="1:13" s="120" customFormat="1" x14ac:dyDescent="0.25">
      <c r="A312" s="119"/>
      <c r="B312" s="138" t="str">
        <f t="shared" si="13"/>
        <v>Windrow</v>
      </c>
      <c r="C312" s="138" t="str">
        <f t="shared" si="15"/>
        <v>Base_With Amendment</v>
      </c>
      <c r="D312" s="118" t="s">
        <v>136</v>
      </c>
      <c r="E312" s="118" t="s">
        <v>130</v>
      </c>
      <c r="F312" s="118" t="s">
        <v>46</v>
      </c>
      <c r="G312" s="153"/>
      <c r="H312" s="155">
        <v>2.8999999999999998E-3</v>
      </c>
      <c r="I312" s="154" t="s">
        <v>148</v>
      </c>
      <c r="J312" s="204">
        <v>5.4000000000000001E-4</v>
      </c>
      <c r="K312" s="154" t="s">
        <v>25</v>
      </c>
      <c r="L312" s="154" t="str">
        <f>IF(OpenLCAbasic!K312="CTUh", "Fill in Manually",IF(OR(K312="Unit", K312=""), "", INDEX(LookUps!$E$5:$E$12, MATCH(OpenLCAbasic!K312,LookUps!$D$5:$D$12,0))))</f>
        <v>Smog Formation Potential (SFP) - kg O3 eq</v>
      </c>
      <c r="M312" s="154" t="str">
        <f t="shared" si="14"/>
        <v>Base_Medium_Base_Upgraded_Smog Formation Potential (SFP) - kg O3 eq_Control Building; at upgraded wastewater treatment plant - US_Base_With Amendment_Windrow</v>
      </c>
    </row>
    <row r="313" spans="1:13" s="120" customFormat="1" x14ac:dyDescent="0.25">
      <c r="A313" s="119"/>
      <c r="B313" s="138" t="str">
        <f t="shared" si="13"/>
        <v>Windrow</v>
      </c>
      <c r="C313" s="138" t="str">
        <f t="shared" si="15"/>
        <v>Base_With Amendment</v>
      </c>
      <c r="D313" s="118" t="s">
        <v>136</v>
      </c>
      <c r="E313" s="118" t="s">
        <v>130</v>
      </c>
      <c r="F313" s="118" t="s">
        <v>46</v>
      </c>
      <c r="G313" s="153"/>
      <c r="H313" s="155">
        <v>-2.0500000000000001E-2</v>
      </c>
      <c r="I313" s="154" t="s">
        <v>62</v>
      </c>
      <c r="J313" s="204">
        <v>-3.8400000000000001E-3</v>
      </c>
      <c r="K313" s="154" t="s">
        <v>25</v>
      </c>
      <c r="L313" s="154" t="str">
        <f>IF(OpenLCAbasic!K313="CTUh", "Fill in Manually",IF(OR(K313="Unit", K313=""), "", INDEX(LookUps!$E$5:$E$12, MATCH(OpenLCAbasic!K313,LookUps!$D$5:$D$12,0))))</f>
        <v>Smog Formation Potential (SFP) - kg O3 eq</v>
      </c>
      <c r="M313" s="154" t="str">
        <f t="shared" si="14"/>
        <v>Base_Medium_Base_Upgraded_Smog Formation Potential (SFP) - kg O3 eq_Land application of compost; wastewater treatment unit; at updated plant - US_Base_With Amendment_Windrow</v>
      </c>
    </row>
    <row r="314" spans="1:13" s="120" customFormat="1" x14ac:dyDescent="0.25">
      <c r="A314" s="119"/>
      <c r="B314" s="138" t="str">
        <f t="shared" si="13"/>
        <v>Windrow</v>
      </c>
      <c r="C314" s="138" t="str">
        <f t="shared" si="15"/>
        <v>Base_With Amendment</v>
      </c>
      <c r="D314" s="118" t="s">
        <v>136</v>
      </c>
      <c r="E314" s="118" t="s">
        <v>130</v>
      </c>
      <c r="F314" s="118" t="s">
        <v>46</v>
      </c>
      <c r="G314" s="153"/>
      <c r="H314" s="155">
        <v>-1.0105</v>
      </c>
      <c r="I314" s="154" t="s">
        <v>149</v>
      </c>
      <c r="J314" s="203">
        <v>-0.18936</v>
      </c>
      <c r="K314" s="154" t="s">
        <v>25</v>
      </c>
      <c r="L314" s="154" t="str">
        <f>IF(OpenLCAbasic!K314="CTUh", "Fill in Manually",IF(OR(K314="Unit", K314=""), "", INDEX(LookUps!$E$5:$E$12, MATCH(OpenLCAbasic!K314,LookUps!$D$5:$D$12,0))))</f>
        <v>Smog Formation Potential (SFP) - kg O3 eq</v>
      </c>
      <c r="M314" s="154" t="str">
        <f t="shared" si="14"/>
        <v>Base_Medium_Base_Upgraded_Smog Formation Potential (SFP) - kg O3 eq_Anaerobic Digestion; wastewater treatment unit; at updated plant - US_Base_With Amendment_Windrow</v>
      </c>
    </row>
    <row r="315" spans="1:13" s="120" customFormat="1" x14ac:dyDescent="0.25">
      <c r="A315" s="119"/>
      <c r="B315" s="138" t="str">
        <f t="shared" si="13"/>
        <v/>
      </c>
      <c r="C315" s="138" t="str">
        <f t="shared" si="15"/>
        <v/>
      </c>
      <c r="D315" s="118"/>
      <c r="E315" s="118"/>
      <c r="F315" s="118"/>
      <c r="G315" s="153" t="s">
        <v>51</v>
      </c>
      <c r="H315" s="155"/>
      <c r="I315" s="154" t="s">
        <v>47</v>
      </c>
      <c r="J315" s="154" t="s">
        <v>52</v>
      </c>
      <c r="K315" s="154" t="s">
        <v>27</v>
      </c>
      <c r="L315" s="154" t="str">
        <f>IF(OpenLCAbasic!K315="CTUh", "Fill in Manually",IF(OR(K315="Unit", K315=""), "", INDEX(LookUps!$E$5:$E$12, MATCH(OpenLCAbasic!K315,LookUps!$D$5:$D$12,0))))</f>
        <v/>
      </c>
      <c r="M315" s="154" t="str">
        <f t="shared" si="14"/>
        <v>____Process__</v>
      </c>
    </row>
    <row r="316" spans="1:13" s="120" customFormat="1" x14ac:dyDescent="0.25">
      <c r="A316" s="119"/>
      <c r="B316" s="138" t="str">
        <f t="shared" si="13"/>
        <v>Windrow</v>
      </c>
      <c r="C316" s="138" t="str">
        <f t="shared" si="15"/>
        <v>Base_With Amendment</v>
      </c>
      <c r="D316" s="118" t="s">
        <v>136</v>
      </c>
      <c r="E316" s="118" t="s">
        <v>130</v>
      </c>
      <c r="F316" s="118" t="s">
        <v>46</v>
      </c>
      <c r="G316" s="153"/>
      <c r="H316" s="155">
        <v>0.60189999999999999</v>
      </c>
      <c r="I316" s="154" t="s">
        <v>167</v>
      </c>
      <c r="J316" s="204">
        <v>2.7999999999999998E-4</v>
      </c>
      <c r="K316" s="154" t="s">
        <v>26</v>
      </c>
      <c r="L316" s="154" t="str">
        <f>IF(OpenLCAbasic!K316="CTUh", "Fill in Manually",IF(OR(K316="Unit", K316=""), "", INDEX(LookUps!$E$5:$E$12, MATCH(OpenLCAbasic!K316,LookUps!$D$5:$D$12,0))))</f>
        <v>Water Use (WU) - m3 H2O</v>
      </c>
      <c r="M316" s="154" t="str">
        <f t="shared" si="14"/>
        <v>Base_Medium_Base_Upgraded_Water Use (WU) - m3 H2O_Waste Receiving and Holding; wastewater treatment unit; at updated plant - US_Base_With Amendment_Windrow</v>
      </c>
    </row>
    <row r="317" spans="1:13" s="120" customFormat="1" x14ac:dyDescent="0.25">
      <c r="A317" s="119"/>
      <c r="B317" s="138" t="str">
        <f t="shared" si="13"/>
        <v>Windrow</v>
      </c>
      <c r="C317" s="138" t="str">
        <f t="shared" si="15"/>
        <v>Base_With Amendment</v>
      </c>
      <c r="D317" s="118" t="s">
        <v>136</v>
      </c>
      <c r="E317" s="118" t="s">
        <v>130</v>
      </c>
      <c r="F317" s="118" t="s">
        <v>46</v>
      </c>
      <c r="G317" s="153"/>
      <c r="H317" s="155">
        <v>0.39290000000000003</v>
      </c>
      <c r="I317" s="154" t="s">
        <v>147</v>
      </c>
      <c r="J317" s="204">
        <v>1.8000000000000001E-4</v>
      </c>
      <c r="K317" s="154" t="s">
        <v>26</v>
      </c>
      <c r="L317" s="154" t="str">
        <f>IF(OpenLCAbasic!K317="CTUh", "Fill in Manually",IF(OR(K317="Unit", K317=""), "", INDEX(LookUps!$E$5:$E$12, MATCH(OpenLCAbasic!K317,LookUps!$D$5:$D$12,0))))</f>
        <v>Water Use (WU) - m3 H2O</v>
      </c>
      <c r="M317" s="154" t="str">
        <f t="shared" si="14"/>
        <v>Base_Medium_Base_Upgraded_Water Use (WU) - m3 H2O_Influent Pump Station; wastewater treatment unit; at updated plant - US_Base_With Amendment_Windrow</v>
      </c>
    </row>
    <row r="318" spans="1:13" s="120" customFormat="1" x14ac:dyDescent="0.25">
      <c r="A318" s="119"/>
      <c r="B318" s="138" t="str">
        <f t="shared" si="13"/>
        <v>Windrow</v>
      </c>
      <c r="C318" s="138" t="str">
        <f t="shared" si="15"/>
        <v>Base_With Amendment</v>
      </c>
      <c r="D318" s="118" t="s">
        <v>136</v>
      </c>
      <c r="E318" s="118" t="s">
        <v>130</v>
      </c>
      <c r="F318" s="118" t="s">
        <v>46</v>
      </c>
      <c r="G318" s="153"/>
      <c r="H318" s="155">
        <v>0.38340000000000002</v>
      </c>
      <c r="I318" s="154" t="s">
        <v>54</v>
      </c>
      <c r="J318" s="204">
        <v>1.8000000000000001E-4</v>
      </c>
      <c r="K318" s="154" t="s">
        <v>26</v>
      </c>
      <c r="L318" s="154" t="str">
        <f>IF(OpenLCAbasic!K318="CTUh", "Fill in Manually",IF(OR(K318="Unit", K318=""), "", INDEX(LookUps!$E$5:$E$12, MATCH(OpenLCAbasic!K318,LookUps!$D$5:$D$12,0))))</f>
        <v>Water Use (WU) - m3 H2O</v>
      </c>
      <c r="M318" s="154" t="str">
        <f t="shared" si="14"/>
        <v>Base_Medium_Base_Upgraded_Water Use (WU) - m3 H2O_Clear Cove Primary Clarification; wastewater treatment unit; at updated plant - US_Base_With Amendment_Windrow</v>
      </c>
    </row>
    <row r="319" spans="1:13" s="120" customFormat="1" x14ac:dyDescent="0.25">
      <c r="A319" s="119"/>
      <c r="B319" s="138" t="str">
        <f t="shared" si="13"/>
        <v>Windrow</v>
      </c>
      <c r="C319" s="138" t="str">
        <f t="shared" si="15"/>
        <v>Base_With Amendment</v>
      </c>
      <c r="D319" s="118" t="s">
        <v>136</v>
      </c>
      <c r="E319" s="118" t="s">
        <v>130</v>
      </c>
      <c r="F319" s="118" t="s">
        <v>46</v>
      </c>
      <c r="G319" s="153"/>
      <c r="H319" s="155">
        <v>0.3478</v>
      </c>
      <c r="I319" s="154" t="s">
        <v>55</v>
      </c>
      <c r="J319" s="204">
        <v>1.6000000000000001E-4</v>
      </c>
      <c r="K319" s="154" t="s">
        <v>26</v>
      </c>
      <c r="L319" s="154" t="str">
        <f>IF(OpenLCAbasic!K319="CTUh", "Fill in Manually",IF(OR(K319="Unit", K319=""), "", INDEX(LookUps!$E$5:$E$12, MATCH(OpenLCAbasic!K319,LookUps!$D$5:$D$12,0))))</f>
        <v>Water Use (WU) - m3 H2O</v>
      </c>
      <c r="M319" s="154" t="str">
        <f t="shared" si="14"/>
        <v>Base_Medium_Base_Upgraded_Water Use (WU) - m3 H2O_Aeration Tanks; wastewater treatment unit; at updated plant - US_Base_With Amendment_Windrow</v>
      </c>
    </row>
    <row r="320" spans="1:13" s="120" customFormat="1" x14ac:dyDescent="0.25">
      <c r="A320" s="119"/>
      <c r="B320" s="138" t="str">
        <f t="shared" si="13"/>
        <v>Windrow</v>
      </c>
      <c r="C320" s="138" t="str">
        <f t="shared" si="15"/>
        <v>Base_With Amendment</v>
      </c>
      <c r="D320" s="118" t="s">
        <v>136</v>
      </c>
      <c r="E320" s="118" t="s">
        <v>130</v>
      </c>
      <c r="F320" s="118" t="s">
        <v>46</v>
      </c>
      <c r="G320" s="153"/>
      <c r="H320" s="155">
        <v>0.31680000000000003</v>
      </c>
      <c r="I320" s="154" t="s">
        <v>148</v>
      </c>
      <c r="J320" s="204">
        <v>1.4999999999999999E-4</v>
      </c>
      <c r="K320" s="154" t="s">
        <v>26</v>
      </c>
      <c r="L320" s="154" t="str">
        <f>IF(OpenLCAbasic!K320="CTUh", "Fill in Manually",IF(OR(K320="Unit", K320=""), "", INDEX(LookUps!$E$5:$E$12, MATCH(OpenLCAbasic!K320,LookUps!$D$5:$D$12,0))))</f>
        <v>Water Use (WU) - m3 H2O</v>
      </c>
      <c r="M320" s="154" t="str">
        <f t="shared" si="14"/>
        <v>Base_Medium_Base_Upgraded_Water Use (WU) - m3 H2O_Control Building; at upgraded wastewater treatment plant - US_Base_With Amendment_Windrow</v>
      </c>
    </row>
    <row r="321" spans="1:13" s="120" customFormat="1" x14ac:dyDescent="0.25">
      <c r="A321" s="119"/>
      <c r="B321" s="138" t="str">
        <f t="shared" si="13"/>
        <v>Windrow</v>
      </c>
      <c r="C321" s="138" t="str">
        <f t="shared" si="15"/>
        <v>Base_With Amendment</v>
      </c>
      <c r="D321" s="118" t="s">
        <v>136</v>
      </c>
      <c r="E321" s="118" t="s">
        <v>130</v>
      </c>
      <c r="F321" s="118" t="s">
        <v>46</v>
      </c>
      <c r="G321" s="153"/>
      <c r="H321" s="155">
        <v>0.14710000000000001</v>
      </c>
      <c r="I321" s="154" t="s">
        <v>48</v>
      </c>
      <c r="J321" s="204">
        <v>6.8836400000000004E-5</v>
      </c>
      <c r="K321" s="154" t="s">
        <v>26</v>
      </c>
      <c r="L321" s="154" t="str">
        <f>IF(OpenLCAbasic!K321="CTUh", "Fill in Manually",IF(OR(K321="Unit", K321=""), "", INDEX(LookUps!$E$5:$E$12, MATCH(OpenLCAbasic!K321,LookUps!$D$5:$D$12,0))))</f>
        <v>Water Use (WU) - m3 H2O</v>
      </c>
      <c r="M321" s="154" t="str">
        <f t="shared" si="14"/>
        <v>Base_Medium_Base_Upgraded_Water Use (WU) - m3 H2O_Effluent release; wastewater treatment unit; at surface water; m3 wastewater - US_Base_With Amendment_Windrow</v>
      </c>
    </row>
    <row r="322" spans="1:13" s="120" customFormat="1" x14ac:dyDescent="0.25">
      <c r="A322" s="119"/>
      <c r="B322" s="138" t="str">
        <f t="shared" si="13"/>
        <v>Windrow</v>
      </c>
      <c r="C322" s="138" t="str">
        <f t="shared" si="15"/>
        <v>Base_With Amendment</v>
      </c>
      <c r="D322" s="118" t="s">
        <v>136</v>
      </c>
      <c r="E322" s="118" t="s">
        <v>130</v>
      </c>
      <c r="F322" s="118" t="s">
        <v>46</v>
      </c>
      <c r="G322" s="153"/>
      <c r="H322" s="155">
        <v>9.2399999999999996E-2</v>
      </c>
      <c r="I322" s="154" t="s">
        <v>58</v>
      </c>
      <c r="J322" s="204">
        <v>4.3235300000000003E-5</v>
      </c>
      <c r="K322" s="154" t="s">
        <v>26</v>
      </c>
      <c r="L322" s="154" t="str">
        <f>IF(OpenLCAbasic!K322="CTUh", "Fill in Manually",IF(OR(K322="Unit", K322=""), "", INDEX(LookUps!$E$5:$E$12, MATCH(OpenLCAbasic!K322,LookUps!$D$5:$D$12,0))))</f>
        <v>Water Use (WU) - m3 H2O</v>
      </c>
      <c r="M322" s="154" t="str">
        <f t="shared" si="14"/>
        <v>Base_Medium_Base_Upgraded_Water Use (WU) - m3 H2O_Pre-Anoxic &amp; Swing tank; wastewater treatment unit; at updated plant - US_Base_With Amendment_Windrow</v>
      </c>
    </row>
    <row r="323" spans="1:13" s="120" customFormat="1" x14ac:dyDescent="0.25">
      <c r="A323" s="119"/>
      <c r="B323" s="138" t="str">
        <f t="shared" si="13"/>
        <v>Windrow</v>
      </c>
      <c r="C323" s="138" t="str">
        <f t="shared" si="15"/>
        <v>Base_With Amendment</v>
      </c>
      <c r="D323" s="118" t="s">
        <v>136</v>
      </c>
      <c r="E323" s="118" t="s">
        <v>130</v>
      </c>
      <c r="F323" s="118" t="s">
        <v>46</v>
      </c>
      <c r="G323" s="153"/>
      <c r="H323" s="155">
        <v>6.5000000000000002E-2</v>
      </c>
      <c r="I323" s="154" t="s">
        <v>57</v>
      </c>
      <c r="J323" s="204">
        <v>3.0408100000000001E-5</v>
      </c>
      <c r="K323" s="154" t="s">
        <v>26</v>
      </c>
      <c r="L323" s="154" t="str">
        <f>IF(OpenLCAbasic!K323="CTUh", "Fill in Manually",IF(OR(K323="Unit", K323=""), "", INDEX(LookUps!$E$5:$E$12, MATCH(OpenLCAbasic!K323,LookUps!$D$5:$D$12,0))))</f>
        <v>Water Use (WU) - m3 H2O</v>
      </c>
      <c r="M323" s="154" t="str">
        <f t="shared" si="14"/>
        <v>Base_Medium_Base_Upgraded_Water Use (WU) - m3 H2O_Gravity Belt Thickener; wastewater treatment unit; at updated plant - US_Base_With Amendment_Windrow</v>
      </c>
    </row>
    <row r="324" spans="1:13" s="120" customFormat="1" x14ac:dyDescent="0.25">
      <c r="A324" s="119"/>
      <c r="B324" s="138" t="str">
        <f t="shared" si="13"/>
        <v>Windrow</v>
      </c>
      <c r="C324" s="138" t="str">
        <f t="shared" si="15"/>
        <v>Base_With Amendment</v>
      </c>
      <c r="D324" s="118" t="s">
        <v>136</v>
      </c>
      <c r="E324" s="118" t="s">
        <v>130</v>
      </c>
      <c r="F324" s="118" t="s">
        <v>46</v>
      </c>
      <c r="G324" s="153"/>
      <c r="H324" s="155">
        <v>6.4699999999999994E-2</v>
      </c>
      <c r="I324" s="154" t="s">
        <v>60</v>
      </c>
      <c r="J324" s="204">
        <v>3.0289000000000001E-5</v>
      </c>
      <c r="K324" s="154" t="s">
        <v>26</v>
      </c>
      <c r="L324" s="154" t="str">
        <f>IF(OpenLCAbasic!K324="CTUh", "Fill in Manually",IF(OR(K324="Unit", K324=""), "", INDEX(LookUps!$E$5:$E$12, MATCH(OpenLCAbasic!K324,LookUps!$D$5:$D$12,0))))</f>
        <v>Water Use (WU) - m3 H2O</v>
      </c>
      <c r="M324" s="154" t="str">
        <f t="shared" si="14"/>
        <v>Base_Medium_Base_Upgraded_Water Use (WU) - m3 H2O_Belt filter press; wastewater treatment unit; at updated plant - US_Base_With Amendment_Windrow</v>
      </c>
    </row>
    <row r="325" spans="1:13" s="120" customFormat="1" x14ac:dyDescent="0.25">
      <c r="A325" s="119"/>
      <c r="B325" s="138" t="str">
        <f t="shared" si="13"/>
        <v>Windrow</v>
      </c>
      <c r="C325" s="138" t="str">
        <f t="shared" si="15"/>
        <v>Base_With Amendment</v>
      </c>
      <c r="D325" s="118" t="s">
        <v>136</v>
      </c>
      <c r="E325" s="118" t="s">
        <v>130</v>
      </c>
      <c r="F325" s="118" t="s">
        <v>46</v>
      </c>
      <c r="G325" s="153"/>
      <c r="H325" s="155">
        <v>3.7400000000000003E-2</v>
      </c>
      <c r="I325" s="154" t="s">
        <v>53</v>
      </c>
      <c r="J325" s="204">
        <v>1.75069E-5</v>
      </c>
      <c r="K325" s="154" t="s">
        <v>26</v>
      </c>
      <c r="L325" s="154" t="str">
        <f>IF(OpenLCAbasic!K325="CTUh", "Fill in Manually",IF(OR(K325="Unit", K325=""), "", INDEX(LookUps!$E$5:$E$12, MATCH(OpenLCAbasic!K325,LookUps!$D$5:$D$12,0))))</f>
        <v>Water Use (WU) - m3 H2O</v>
      </c>
      <c r="M325" s="154" t="str">
        <f t="shared" si="14"/>
        <v>Base_Medium_Base_Upgraded_Water Use (WU) - m3 H2O_Wet Well and Sump Station; wastewater treatment unit; at updated plant - US_Base_With Amendment_Windrow</v>
      </c>
    </row>
    <row r="326" spans="1:13" s="120" customFormat="1" x14ac:dyDescent="0.25">
      <c r="A326" s="119"/>
      <c r="B326" s="138" t="str">
        <f t="shared" si="13"/>
        <v>Windrow</v>
      </c>
      <c r="C326" s="138" t="str">
        <f t="shared" si="15"/>
        <v>Base_With Amendment</v>
      </c>
      <c r="D326" s="118" t="s">
        <v>136</v>
      </c>
      <c r="E326" s="118" t="s">
        <v>130</v>
      </c>
      <c r="F326" s="118" t="s">
        <v>46</v>
      </c>
      <c r="G326" s="153"/>
      <c r="H326" s="155">
        <v>1.4999999999999999E-2</v>
      </c>
      <c r="I326" s="154" t="s">
        <v>59</v>
      </c>
      <c r="J326" s="204">
        <v>7.0179500000000003E-6</v>
      </c>
      <c r="K326" s="154" t="s">
        <v>26</v>
      </c>
      <c r="L326" s="154" t="str">
        <f>IF(OpenLCAbasic!K326="CTUh", "Fill in Manually",IF(OR(K326="Unit", K326=""), "", INDEX(LookUps!$E$5:$E$12, MATCH(OpenLCAbasic!K326,LookUps!$D$5:$D$12,0))))</f>
        <v>Water Use (WU) - m3 H2O</v>
      </c>
      <c r="M326" s="154" t="str">
        <f t="shared" si="14"/>
        <v>Base_Medium_Base_Upgraded_Water Use (WU) - m3 H2O_Blend Tank; wastewater treatment unit; at updated plant - US_Base_With Amendment_Windrow</v>
      </c>
    </row>
    <row r="327" spans="1:13" s="120" customFormat="1" x14ac:dyDescent="0.25">
      <c r="A327" s="119"/>
      <c r="B327" s="138" t="str">
        <f t="shared" ref="B327:B390" si="16">IF(F327="Legacy","n.a.",IF(F327="","","Windrow"))</f>
        <v>Windrow</v>
      </c>
      <c r="C327" s="138" t="str">
        <f t="shared" si="15"/>
        <v>Base_With Amendment</v>
      </c>
      <c r="D327" s="118" t="s">
        <v>136</v>
      </c>
      <c r="E327" s="118" t="s">
        <v>130</v>
      </c>
      <c r="F327" s="118" t="s">
        <v>46</v>
      </c>
      <c r="G327" s="153"/>
      <c r="H327" s="155">
        <v>1.0800000000000001E-2</v>
      </c>
      <c r="I327" s="154" t="s">
        <v>128</v>
      </c>
      <c r="J327" s="204">
        <v>5.0608900000000003E-6</v>
      </c>
      <c r="K327" s="154" t="s">
        <v>26</v>
      </c>
      <c r="L327" s="154" t="str">
        <f>IF(OpenLCAbasic!K327="CTUh", "Fill in Manually",IF(OR(K327="Unit", K327=""), "", INDEX(LookUps!$E$5:$E$12, MATCH(OpenLCAbasic!K327,LookUps!$D$5:$D$12,0))))</f>
        <v>Water Use (WU) - m3 H2O</v>
      </c>
      <c r="M327" s="154" t="str">
        <f t="shared" si="14"/>
        <v>Base_Medium_Base_Upgraded_Water Use (WU) - m3 H2O_Wastewater collection; operation and infrastructure; m3 wastewater_Base_With Amendment_Windrow</v>
      </c>
    </row>
    <row r="328" spans="1:13" s="120" customFormat="1" x14ac:dyDescent="0.25">
      <c r="A328" s="119"/>
      <c r="B328" s="138" t="str">
        <f t="shared" si="16"/>
        <v>Windrow</v>
      </c>
      <c r="C328" s="138" t="str">
        <f t="shared" si="15"/>
        <v>Base_With Amendment</v>
      </c>
      <c r="D328" s="118" t="s">
        <v>136</v>
      </c>
      <c r="E328" s="118" t="s">
        <v>130</v>
      </c>
      <c r="F328" s="118" t="s">
        <v>46</v>
      </c>
      <c r="G328" s="153"/>
      <c r="H328" s="155">
        <v>3.2000000000000002E-3</v>
      </c>
      <c r="I328" s="154" t="s">
        <v>271</v>
      </c>
      <c r="J328" s="204">
        <v>1.47648E-6</v>
      </c>
      <c r="K328" s="154" t="s">
        <v>26</v>
      </c>
      <c r="L328" s="154" t="str">
        <f>IF(OpenLCAbasic!K328="CTUh", "Fill in Manually",IF(OR(K328="Unit", K328=""), "", INDEX(LookUps!$E$5:$E$12, MATCH(OpenLCAbasic!K328,LookUps!$D$5:$D$12,0))))</f>
        <v>Water Use (WU) - m3 H2O</v>
      </c>
      <c r="M328" s="154" t="str">
        <f t="shared" ref="M328:M391" si="17">CONCATENATE(E328,"_",D328,"_",F328,"_",L328, "_",I328,"_", C328,"_", B328)</f>
        <v>Base_Medium_Base_Upgraded_Water Use (WU) - m3 H2O_Biosolids composting; windrow composting; wastewater treatment unit; at updated plant - US_Base_With Amendment_Windrow</v>
      </c>
    </row>
    <row r="329" spans="1:13" s="120" customFormat="1" x14ac:dyDescent="0.25">
      <c r="A329" s="119"/>
      <c r="B329" s="138" t="str">
        <f t="shared" si="16"/>
        <v>Windrow</v>
      </c>
      <c r="C329" s="138" t="str">
        <f t="shared" si="15"/>
        <v>Base_With Amendment</v>
      </c>
      <c r="D329" s="118" t="s">
        <v>136</v>
      </c>
      <c r="E329" s="118" t="s">
        <v>130</v>
      </c>
      <c r="F329" s="118" t="s">
        <v>46</v>
      </c>
      <c r="G329" s="153"/>
      <c r="H329" s="155">
        <v>1.6000000000000001E-3</v>
      </c>
      <c r="I329" s="154" t="s">
        <v>168</v>
      </c>
      <c r="J329" s="204">
        <v>7.6697000000000004E-7</v>
      </c>
      <c r="K329" s="154" t="s">
        <v>26</v>
      </c>
      <c r="L329" s="154" t="str">
        <f>IF(OpenLCAbasic!K329="CTUh", "Fill in Manually",IF(OR(K329="Unit", K329=""), "", INDEX(LookUps!$E$5:$E$12, MATCH(OpenLCAbasic!K329,LookUps!$D$5:$D$12,0))))</f>
        <v>Water Use (WU) - m3 H2O</v>
      </c>
      <c r="M329" s="154" t="str">
        <f t="shared" si="17"/>
        <v>Base_Medium_Base_Upgraded_Water Use (WU) - m3 H2O_ClearCove SCP; wastewater treatment unit; at updated plant - US_Base_With Amendment_Windrow</v>
      </c>
    </row>
    <row r="330" spans="1:13" s="120" customFormat="1" x14ac:dyDescent="0.25">
      <c r="A330" s="119"/>
      <c r="B330" s="138" t="str">
        <f t="shared" si="16"/>
        <v>Windrow</v>
      </c>
      <c r="C330" s="138" t="str">
        <f t="shared" si="15"/>
        <v>Base_With Amendment</v>
      </c>
      <c r="D330" s="118" t="s">
        <v>136</v>
      </c>
      <c r="E330" s="118" t="s">
        <v>130</v>
      </c>
      <c r="F330" s="118" t="s">
        <v>46</v>
      </c>
      <c r="G330" s="153"/>
      <c r="H330" s="155">
        <v>-8.2500000000000004E-2</v>
      </c>
      <c r="I330" s="154" t="s">
        <v>149</v>
      </c>
      <c r="J330" s="204">
        <v>-3.8591399999999998E-5</v>
      </c>
      <c r="K330" s="154" t="s">
        <v>26</v>
      </c>
      <c r="L330" s="154" t="str">
        <f>IF(OpenLCAbasic!K330="CTUh", "Fill in Manually",IF(OR(K330="Unit", K330=""), "", INDEX(LookUps!$E$5:$E$12, MATCH(OpenLCAbasic!K330,LookUps!$D$5:$D$12,0))))</f>
        <v>Water Use (WU) - m3 H2O</v>
      </c>
      <c r="M330" s="154" t="str">
        <f t="shared" si="17"/>
        <v>Base_Medium_Base_Upgraded_Water Use (WU) - m3 H2O_Anaerobic Digestion; wastewater treatment unit; at updated plant - US_Base_With Amendment_Windrow</v>
      </c>
    </row>
    <row r="331" spans="1:13" s="120" customFormat="1" x14ac:dyDescent="0.25">
      <c r="A331" s="119"/>
      <c r="B331" s="138" t="str">
        <f t="shared" si="16"/>
        <v>Windrow</v>
      </c>
      <c r="C331" s="138" t="str">
        <f t="shared" si="15"/>
        <v>Base_With Amendment</v>
      </c>
      <c r="D331" s="118" t="s">
        <v>136</v>
      </c>
      <c r="E331" s="118" t="s">
        <v>130</v>
      </c>
      <c r="F331" s="118" t="s">
        <v>46</v>
      </c>
      <c r="G331" s="153"/>
      <c r="H331" s="155">
        <v>-3.3976000000000002</v>
      </c>
      <c r="I331" s="154" t="s">
        <v>62</v>
      </c>
      <c r="J331" s="204">
        <v>-1.5900000000000001E-3</v>
      </c>
      <c r="K331" s="154" t="s">
        <v>26</v>
      </c>
      <c r="L331" s="154" t="str">
        <f>IF(OpenLCAbasic!K331="CTUh", "Fill in Manually",IF(OR(K331="Unit", K331=""), "", INDEX(LookUps!$E$5:$E$12, MATCH(OpenLCAbasic!K331,LookUps!$D$5:$D$12,0))))</f>
        <v>Water Use (WU) - m3 H2O</v>
      </c>
      <c r="M331" s="154" t="str">
        <f t="shared" si="17"/>
        <v>Base_Medium_Base_Upgraded_Water Use (WU) - m3 H2O_Land application of compost; wastewater treatment unit; at updated plant - US_Base_With Amendment_Windrow</v>
      </c>
    </row>
    <row r="332" spans="1:13" s="120" customFormat="1" x14ac:dyDescent="0.25">
      <c r="A332" s="119"/>
      <c r="B332" s="138" t="str">
        <f t="shared" si="16"/>
        <v/>
      </c>
      <c r="C332" s="138" t="str">
        <f t="shared" si="15"/>
        <v/>
      </c>
      <c r="D332" s="118"/>
      <c r="E332" s="118"/>
      <c r="F332" s="118"/>
      <c r="G332" s="153" t="s">
        <v>51</v>
      </c>
      <c r="H332" s="155"/>
      <c r="I332" s="154" t="s">
        <v>47</v>
      </c>
      <c r="J332" s="154" t="s">
        <v>52</v>
      </c>
      <c r="K332" s="154" t="s">
        <v>27</v>
      </c>
      <c r="L332" s="154" t="str">
        <f>IF(OpenLCAbasic!K332="CTUh", "Fill in Manually",IF(OR(K332="Unit", K332=""), "", INDEX(LookUps!$E$5:$E$12, MATCH(OpenLCAbasic!K332,LookUps!$D$5:$D$12,0))))</f>
        <v/>
      </c>
      <c r="M332" s="154" t="str">
        <f t="shared" si="17"/>
        <v>____Process__</v>
      </c>
    </row>
    <row r="333" spans="1:13" s="120" customFormat="1" x14ac:dyDescent="0.25">
      <c r="A333" s="119"/>
      <c r="B333" s="138" t="str">
        <f t="shared" si="16"/>
        <v>Windrow</v>
      </c>
      <c r="C333" s="138" t="str">
        <f t="shared" si="15"/>
        <v>Base_With Amendment</v>
      </c>
      <c r="D333" s="118" t="s">
        <v>136</v>
      </c>
      <c r="E333" s="118" t="s">
        <v>130</v>
      </c>
      <c r="F333" s="118" t="s">
        <v>46</v>
      </c>
      <c r="G333" s="153"/>
      <c r="H333" s="155">
        <v>1.5182</v>
      </c>
      <c r="I333" s="154" t="s">
        <v>167</v>
      </c>
      <c r="J333" s="203">
        <v>9.7259999999999999E-2</v>
      </c>
      <c r="K333" s="154" t="s">
        <v>14</v>
      </c>
      <c r="L333" s="154" t="str">
        <f>IF(OpenLCAbasic!K333="CTUh", "Fill in Manually",IF(OR(K333="Unit", K333=""), "", INDEX(LookUps!$E$5:$E$12, MATCH(OpenLCAbasic!K333,LookUps!$D$5:$D$12,0))))</f>
        <v>Fossil Depletion Potential (FDP) - kg oil eq</v>
      </c>
      <c r="M333" s="154" t="str">
        <f t="shared" si="17"/>
        <v>Base_Medium_Base_Upgraded_Fossil Depletion Potential (FDP) - kg oil eq_Waste Receiving and Holding; wastewater treatment unit; at updated plant - US_Base_With Amendment_Windrow</v>
      </c>
    </row>
    <row r="334" spans="1:13" s="120" customFormat="1" x14ac:dyDescent="0.25">
      <c r="A334" s="119"/>
      <c r="B334" s="138" t="str">
        <f t="shared" si="16"/>
        <v>Windrow</v>
      </c>
      <c r="C334" s="138" t="str">
        <f t="shared" si="15"/>
        <v>Base_With Amendment</v>
      </c>
      <c r="D334" s="118" t="s">
        <v>136</v>
      </c>
      <c r="E334" s="118" t="s">
        <v>130</v>
      </c>
      <c r="F334" s="118" t="s">
        <v>46</v>
      </c>
      <c r="G334" s="153"/>
      <c r="H334" s="155">
        <v>0.99260000000000004</v>
      </c>
      <c r="I334" s="154" t="s">
        <v>55</v>
      </c>
      <c r="J334" s="203">
        <v>6.3589999999999994E-2</v>
      </c>
      <c r="K334" s="154" t="s">
        <v>14</v>
      </c>
      <c r="L334" s="154" t="str">
        <f>IF(OpenLCAbasic!K334="CTUh", "Fill in Manually",IF(OR(K334="Unit", K334=""), "", INDEX(LookUps!$E$5:$E$12, MATCH(OpenLCAbasic!K334,LookUps!$D$5:$D$12,0))))</f>
        <v>Fossil Depletion Potential (FDP) - kg oil eq</v>
      </c>
      <c r="M334" s="154" t="str">
        <f t="shared" si="17"/>
        <v>Base_Medium_Base_Upgraded_Fossil Depletion Potential (FDP) - kg oil eq_Aeration Tanks; wastewater treatment unit; at updated plant - US_Base_With Amendment_Windrow</v>
      </c>
    </row>
    <row r="335" spans="1:13" s="120" customFormat="1" x14ac:dyDescent="0.25">
      <c r="A335" s="119"/>
      <c r="B335" s="138" t="str">
        <f t="shared" si="16"/>
        <v>Windrow</v>
      </c>
      <c r="C335" s="138" t="str">
        <f t="shared" si="15"/>
        <v>Base_With Amendment</v>
      </c>
      <c r="D335" s="118" t="s">
        <v>136</v>
      </c>
      <c r="E335" s="118" t="s">
        <v>130</v>
      </c>
      <c r="F335" s="118" t="s">
        <v>46</v>
      </c>
      <c r="G335" s="153"/>
      <c r="H335" s="155">
        <v>0.3286</v>
      </c>
      <c r="I335" s="154" t="s">
        <v>54</v>
      </c>
      <c r="J335" s="203">
        <v>2.1049999999999999E-2</v>
      </c>
      <c r="K335" s="154" t="s">
        <v>14</v>
      </c>
      <c r="L335" s="154" t="str">
        <f>IF(OpenLCAbasic!K335="CTUh", "Fill in Manually",IF(OR(K335="Unit", K335=""), "", INDEX(LookUps!$E$5:$E$12, MATCH(OpenLCAbasic!K335,LookUps!$D$5:$D$12,0))))</f>
        <v>Fossil Depletion Potential (FDP) - kg oil eq</v>
      </c>
      <c r="M335" s="154" t="str">
        <f t="shared" si="17"/>
        <v>Base_Medium_Base_Upgraded_Fossil Depletion Potential (FDP) - kg oil eq_Clear Cove Primary Clarification; wastewater treatment unit; at updated plant - US_Base_With Amendment_Windrow</v>
      </c>
    </row>
    <row r="336" spans="1:13" s="120" customFormat="1" x14ac:dyDescent="0.25">
      <c r="A336" s="119"/>
      <c r="B336" s="138" t="str">
        <f t="shared" si="16"/>
        <v>Windrow</v>
      </c>
      <c r="C336" s="138" t="str">
        <f t="shared" si="15"/>
        <v>Base_With Amendment</v>
      </c>
      <c r="D336" s="118" t="s">
        <v>136</v>
      </c>
      <c r="E336" s="118" t="s">
        <v>130</v>
      </c>
      <c r="F336" s="118" t="s">
        <v>46</v>
      </c>
      <c r="G336" s="153"/>
      <c r="H336" s="155">
        <v>0.24940000000000001</v>
      </c>
      <c r="I336" s="154" t="s">
        <v>58</v>
      </c>
      <c r="J336" s="203">
        <v>1.5980000000000001E-2</v>
      </c>
      <c r="K336" s="154" t="s">
        <v>14</v>
      </c>
      <c r="L336" s="154" t="str">
        <f>IF(OpenLCAbasic!K336="CTUh", "Fill in Manually",IF(OR(K336="Unit", K336=""), "", INDEX(LookUps!$E$5:$E$12, MATCH(OpenLCAbasic!K336,LookUps!$D$5:$D$12,0))))</f>
        <v>Fossil Depletion Potential (FDP) - kg oil eq</v>
      </c>
      <c r="M336" s="154" t="str">
        <f t="shared" si="17"/>
        <v>Base_Medium_Base_Upgraded_Fossil Depletion Potential (FDP) - kg oil eq_Pre-Anoxic &amp; Swing tank; wastewater treatment unit; at updated plant - US_Base_With Amendment_Windrow</v>
      </c>
    </row>
    <row r="337" spans="1:13" s="120" customFormat="1" x14ac:dyDescent="0.25">
      <c r="A337" s="119"/>
      <c r="B337" s="138" t="str">
        <f t="shared" si="16"/>
        <v>Windrow</v>
      </c>
      <c r="C337" s="138" t="str">
        <f t="shared" si="15"/>
        <v>Base_With Amendment</v>
      </c>
      <c r="D337" s="118" t="s">
        <v>136</v>
      </c>
      <c r="E337" s="118" t="s">
        <v>130</v>
      </c>
      <c r="F337" s="118" t="s">
        <v>46</v>
      </c>
      <c r="G337" s="153"/>
      <c r="H337" s="155">
        <v>0.23549999999999999</v>
      </c>
      <c r="I337" s="154" t="s">
        <v>147</v>
      </c>
      <c r="J337" s="203">
        <v>1.5089999999999999E-2</v>
      </c>
      <c r="K337" s="154" t="s">
        <v>14</v>
      </c>
      <c r="L337" s="154" t="str">
        <f>IF(OpenLCAbasic!K337="CTUh", "Fill in Manually",IF(OR(K337="Unit", K337=""), "", INDEX(LookUps!$E$5:$E$12, MATCH(OpenLCAbasic!K337,LookUps!$D$5:$D$12,0))))</f>
        <v>Fossil Depletion Potential (FDP) - kg oil eq</v>
      </c>
      <c r="M337" s="154" t="str">
        <f t="shared" si="17"/>
        <v>Base_Medium_Base_Upgraded_Fossil Depletion Potential (FDP) - kg oil eq_Influent Pump Station; wastewater treatment unit; at updated plant - US_Base_With Amendment_Windrow</v>
      </c>
    </row>
    <row r="338" spans="1:13" s="120" customFormat="1" x14ac:dyDescent="0.25">
      <c r="A338" s="119"/>
      <c r="B338" s="138" t="str">
        <f t="shared" si="16"/>
        <v>Windrow</v>
      </c>
      <c r="C338" s="138" t="str">
        <f t="shared" si="15"/>
        <v>Base_With Amendment</v>
      </c>
      <c r="D338" s="118" t="s">
        <v>136</v>
      </c>
      <c r="E338" s="118" t="s">
        <v>130</v>
      </c>
      <c r="F338" s="118" t="s">
        <v>46</v>
      </c>
      <c r="G338" s="153"/>
      <c r="H338" s="155">
        <v>0.19489999999999999</v>
      </c>
      <c r="I338" s="154" t="s">
        <v>53</v>
      </c>
      <c r="J338" s="203">
        <v>1.2489999999999999E-2</v>
      </c>
      <c r="K338" s="154" t="s">
        <v>14</v>
      </c>
      <c r="L338" s="154" t="str">
        <f>IF(OpenLCAbasic!K338="CTUh", "Fill in Manually",IF(OR(K338="Unit", K338=""), "", INDEX(LookUps!$E$5:$E$12, MATCH(OpenLCAbasic!K338,LookUps!$D$5:$D$12,0))))</f>
        <v>Fossil Depletion Potential (FDP) - kg oil eq</v>
      </c>
      <c r="M338" s="154" t="str">
        <f t="shared" si="17"/>
        <v>Base_Medium_Base_Upgraded_Fossil Depletion Potential (FDP) - kg oil eq_Wet Well and Sump Station; wastewater treatment unit; at updated plant - US_Base_With Amendment_Windrow</v>
      </c>
    </row>
    <row r="339" spans="1:13" s="120" customFormat="1" x14ac:dyDescent="0.25">
      <c r="A339" s="119"/>
      <c r="B339" s="138" t="str">
        <f t="shared" si="16"/>
        <v>Windrow</v>
      </c>
      <c r="C339" s="138" t="str">
        <f t="shared" si="15"/>
        <v>Base_With Amendment</v>
      </c>
      <c r="D339" s="118" t="s">
        <v>136</v>
      </c>
      <c r="E339" s="118" t="s">
        <v>130</v>
      </c>
      <c r="F339" s="118" t="s">
        <v>46</v>
      </c>
      <c r="G339" s="153"/>
      <c r="H339" s="155">
        <v>0.12529999999999999</v>
      </c>
      <c r="I339" s="154" t="s">
        <v>60</v>
      </c>
      <c r="J339" s="204">
        <v>8.0300000000000007E-3</v>
      </c>
      <c r="K339" s="154" t="s">
        <v>14</v>
      </c>
      <c r="L339" s="154" t="str">
        <f>IF(OpenLCAbasic!K339="CTUh", "Fill in Manually",IF(OR(K339="Unit", K339=""), "", INDEX(LookUps!$E$5:$E$12, MATCH(OpenLCAbasic!K339,LookUps!$D$5:$D$12,0))))</f>
        <v>Fossil Depletion Potential (FDP) - kg oil eq</v>
      </c>
      <c r="M339" s="154" t="str">
        <f t="shared" si="17"/>
        <v>Base_Medium_Base_Upgraded_Fossil Depletion Potential (FDP) - kg oil eq_Belt filter press; wastewater treatment unit; at updated plant - US_Base_With Amendment_Windrow</v>
      </c>
    </row>
    <row r="340" spans="1:13" s="120" customFormat="1" x14ac:dyDescent="0.25">
      <c r="A340" s="119"/>
      <c r="B340" s="138" t="str">
        <f t="shared" si="16"/>
        <v>Windrow</v>
      </c>
      <c r="C340" s="138" t="str">
        <f t="shared" si="15"/>
        <v>Base_With Amendment</v>
      </c>
      <c r="D340" s="118" t="s">
        <v>136</v>
      </c>
      <c r="E340" s="118" t="s">
        <v>130</v>
      </c>
      <c r="F340" s="118" t="s">
        <v>46</v>
      </c>
      <c r="G340" s="153"/>
      <c r="H340" s="155">
        <v>0.108</v>
      </c>
      <c r="I340" s="154" t="s">
        <v>57</v>
      </c>
      <c r="J340" s="204">
        <v>6.9199999999999999E-3</v>
      </c>
      <c r="K340" s="154" t="s">
        <v>14</v>
      </c>
      <c r="L340" s="154" t="str">
        <f>IF(OpenLCAbasic!K340="CTUh", "Fill in Manually",IF(OR(K340="Unit", K340=""), "", INDEX(LookUps!$E$5:$E$12, MATCH(OpenLCAbasic!K340,LookUps!$D$5:$D$12,0))))</f>
        <v>Fossil Depletion Potential (FDP) - kg oil eq</v>
      </c>
      <c r="M340" s="154" t="str">
        <f t="shared" si="17"/>
        <v>Base_Medium_Base_Upgraded_Fossil Depletion Potential (FDP) - kg oil eq_Gravity Belt Thickener; wastewater treatment unit; at updated plant - US_Base_With Amendment_Windrow</v>
      </c>
    </row>
    <row r="341" spans="1:13" s="120" customFormat="1" x14ac:dyDescent="0.25">
      <c r="A341" s="119"/>
      <c r="B341" s="138" t="str">
        <f t="shared" si="16"/>
        <v>Windrow</v>
      </c>
      <c r="C341" s="138" t="str">
        <f t="shared" si="15"/>
        <v>Base_With Amendment</v>
      </c>
      <c r="D341" s="118" t="s">
        <v>136</v>
      </c>
      <c r="E341" s="118" t="s">
        <v>130</v>
      </c>
      <c r="F341" s="118" t="s">
        <v>46</v>
      </c>
      <c r="G341" s="153"/>
      <c r="H341" s="155">
        <v>7.0199999999999999E-2</v>
      </c>
      <c r="I341" s="154" t="s">
        <v>128</v>
      </c>
      <c r="J341" s="204">
        <v>4.4999999999999997E-3</v>
      </c>
      <c r="K341" s="154" t="s">
        <v>14</v>
      </c>
      <c r="L341" s="154" t="str">
        <f>IF(OpenLCAbasic!K341="CTUh", "Fill in Manually",IF(OR(K341="Unit", K341=""), "", INDEX(LookUps!$E$5:$E$12, MATCH(OpenLCAbasic!K341,LookUps!$D$5:$D$12,0))))</f>
        <v>Fossil Depletion Potential (FDP) - kg oil eq</v>
      </c>
      <c r="M341" s="154" t="str">
        <f t="shared" si="17"/>
        <v>Base_Medium_Base_Upgraded_Fossil Depletion Potential (FDP) - kg oil eq_Wastewater collection; operation and infrastructure; m3 wastewater_Base_With Amendment_Windrow</v>
      </c>
    </row>
    <row r="342" spans="1:13" s="120" customFormat="1" x14ac:dyDescent="0.25">
      <c r="A342" s="119"/>
      <c r="B342" s="138" t="str">
        <f t="shared" si="16"/>
        <v>Windrow</v>
      </c>
      <c r="C342" s="138" t="str">
        <f t="shared" si="15"/>
        <v>Base_With Amendment</v>
      </c>
      <c r="D342" s="118" t="s">
        <v>136</v>
      </c>
      <c r="E342" s="118" t="s">
        <v>130</v>
      </c>
      <c r="F342" s="118" t="s">
        <v>46</v>
      </c>
      <c r="G342" s="153"/>
      <c r="H342" s="155">
        <v>4.3700000000000003E-2</v>
      </c>
      <c r="I342" s="154" t="s">
        <v>148</v>
      </c>
      <c r="J342" s="204">
        <v>2.8E-3</v>
      </c>
      <c r="K342" s="154" t="s">
        <v>14</v>
      </c>
      <c r="L342" s="154" t="str">
        <f>IF(OpenLCAbasic!K342="CTUh", "Fill in Manually",IF(OR(K342="Unit", K342=""), "", INDEX(LookUps!$E$5:$E$12, MATCH(OpenLCAbasic!K342,LookUps!$D$5:$D$12,0))))</f>
        <v>Fossil Depletion Potential (FDP) - kg oil eq</v>
      </c>
      <c r="M342" s="154" t="str">
        <f t="shared" si="17"/>
        <v>Base_Medium_Base_Upgraded_Fossil Depletion Potential (FDP) - kg oil eq_Control Building; at upgraded wastewater treatment plant - US_Base_With Amendment_Windrow</v>
      </c>
    </row>
    <row r="343" spans="1:13" s="120" customFormat="1" x14ac:dyDescent="0.25">
      <c r="A343" s="119"/>
      <c r="B343" s="138" t="str">
        <f t="shared" si="16"/>
        <v>Windrow</v>
      </c>
      <c r="C343" s="138" t="str">
        <f t="shared" si="15"/>
        <v>Base_With Amendment</v>
      </c>
      <c r="D343" s="118" t="s">
        <v>136</v>
      </c>
      <c r="E343" s="118" t="s">
        <v>130</v>
      </c>
      <c r="F343" s="118" t="s">
        <v>46</v>
      </c>
      <c r="G343" s="153"/>
      <c r="H343" s="155">
        <v>3.6900000000000002E-2</v>
      </c>
      <c r="I343" s="154" t="s">
        <v>48</v>
      </c>
      <c r="J343" s="204">
        <v>2.3600000000000001E-3</v>
      </c>
      <c r="K343" s="154" t="s">
        <v>14</v>
      </c>
      <c r="L343" s="154" t="str">
        <f>IF(OpenLCAbasic!K343="CTUh", "Fill in Manually",IF(OR(K343="Unit", K343=""), "", INDEX(LookUps!$E$5:$E$12, MATCH(OpenLCAbasic!K343,LookUps!$D$5:$D$12,0))))</f>
        <v>Fossil Depletion Potential (FDP) - kg oil eq</v>
      </c>
      <c r="M343" s="154" t="str">
        <f t="shared" si="17"/>
        <v>Base_Medium_Base_Upgraded_Fossil Depletion Potential (FDP) - kg oil eq_Effluent release; wastewater treatment unit; at surface water; m3 wastewater - US_Base_With Amendment_Windrow</v>
      </c>
    </row>
    <row r="344" spans="1:13" s="120" customFormat="1" x14ac:dyDescent="0.25">
      <c r="A344" s="119"/>
      <c r="B344" s="138" t="str">
        <f t="shared" si="16"/>
        <v>Windrow</v>
      </c>
      <c r="C344" s="138" t="str">
        <f t="shared" si="15"/>
        <v>Base_With Amendment</v>
      </c>
      <c r="D344" s="118" t="s">
        <v>136</v>
      </c>
      <c r="E344" s="118" t="s">
        <v>130</v>
      </c>
      <c r="F344" s="118" t="s">
        <v>46</v>
      </c>
      <c r="G344" s="153"/>
      <c r="H344" s="155">
        <v>0.03</v>
      </c>
      <c r="I344" s="154" t="s">
        <v>59</v>
      </c>
      <c r="J344" s="204">
        <v>1.92E-3</v>
      </c>
      <c r="K344" s="154" t="s">
        <v>14</v>
      </c>
      <c r="L344" s="154" t="str">
        <f>IF(OpenLCAbasic!K344="CTUh", "Fill in Manually",IF(OR(K344="Unit", K344=""), "", INDEX(LookUps!$E$5:$E$12, MATCH(OpenLCAbasic!K344,LookUps!$D$5:$D$12,0))))</f>
        <v>Fossil Depletion Potential (FDP) - kg oil eq</v>
      </c>
      <c r="M344" s="154" t="str">
        <f t="shared" si="17"/>
        <v>Base_Medium_Base_Upgraded_Fossil Depletion Potential (FDP) - kg oil eq_Blend Tank; wastewater treatment unit; at updated plant - US_Base_With Amendment_Windrow</v>
      </c>
    </row>
    <row r="345" spans="1:13" s="120" customFormat="1" x14ac:dyDescent="0.25">
      <c r="A345" s="119"/>
      <c r="B345" s="138" t="str">
        <f t="shared" si="16"/>
        <v>Windrow</v>
      </c>
      <c r="C345" s="138" t="str">
        <f t="shared" si="15"/>
        <v>Base_With Amendment</v>
      </c>
      <c r="D345" s="118" t="s">
        <v>136</v>
      </c>
      <c r="E345" s="118" t="s">
        <v>130</v>
      </c>
      <c r="F345" s="118" t="s">
        <v>46</v>
      </c>
      <c r="G345" s="153"/>
      <c r="H345" s="155">
        <v>1.43E-2</v>
      </c>
      <c r="I345" s="154" t="s">
        <v>168</v>
      </c>
      <c r="J345" s="204">
        <v>9.1E-4</v>
      </c>
      <c r="K345" s="154" t="s">
        <v>14</v>
      </c>
      <c r="L345" s="154" t="str">
        <f>IF(OpenLCAbasic!K345="CTUh", "Fill in Manually",IF(OR(K345="Unit", K345=""), "", INDEX(LookUps!$E$5:$E$12, MATCH(OpenLCAbasic!K345,LookUps!$D$5:$D$12,0))))</f>
        <v>Fossil Depletion Potential (FDP) - kg oil eq</v>
      </c>
      <c r="M345" s="154" t="str">
        <f t="shared" si="17"/>
        <v>Base_Medium_Base_Upgraded_Fossil Depletion Potential (FDP) - kg oil eq_ClearCove SCP; wastewater treatment unit; at updated plant - US_Base_With Amendment_Windrow</v>
      </c>
    </row>
    <row r="346" spans="1:13" s="120" customFormat="1" x14ac:dyDescent="0.25">
      <c r="A346" s="119"/>
      <c r="B346" s="138" t="str">
        <f t="shared" si="16"/>
        <v>Windrow</v>
      </c>
      <c r="C346" s="138" t="str">
        <f t="shared" si="15"/>
        <v>Base_With Amendment</v>
      </c>
      <c r="D346" s="118" t="s">
        <v>136</v>
      </c>
      <c r="E346" s="118" t="s">
        <v>130</v>
      </c>
      <c r="F346" s="118" t="s">
        <v>46</v>
      </c>
      <c r="G346" s="153"/>
      <c r="H346" s="155">
        <v>9.4999999999999998E-3</v>
      </c>
      <c r="I346" s="154" t="s">
        <v>271</v>
      </c>
      <c r="J346" s="204">
        <v>6.0999999999999997E-4</v>
      </c>
      <c r="K346" s="154" t="s">
        <v>14</v>
      </c>
      <c r="L346" s="154" t="str">
        <f>IF(OpenLCAbasic!K346="CTUh", "Fill in Manually",IF(OR(K346="Unit", K346=""), "", INDEX(LookUps!$E$5:$E$12, MATCH(OpenLCAbasic!K346,LookUps!$D$5:$D$12,0))))</f>
        <v>Fossil Depletion Potential (FDP) - kg oil eq</v>
      </c>
      <c r="M346" s="154" t="str">
        <f t="shared" si="17"/>
        <v>Base_Medium_Base_Upgraded_Fossil Depletion Potential (FDP) - kg oil eq_Biosolids composting; windrow composting; wastewater treatment unit; at updated plant - US_Base_With Amendment_Windrow</v>
      </c>
    </row>
    <row r="347" spans="1:13" s="120" customFormat="1" x14ac:dyDescent="0.25">
      <c r="A347" s="119"/>
      <c r="B347" s="138" t="str">
        <f t="shared" si="16"/>
        <v>Windrow</v>
      </c>
      <c r="C347" s="138" t="str">
        <f t="shared" si="15"/>
        <v>Base_With Amendment</v>
      </c>
      <c r="D347" s="118" t="s">
        <v>136</v>
      </c>
      <c r="E347" s="118" t="s">
        <v>130</v>
      </c>
      <c r="F347" s="118" t="s">
        <v>46</v>
      </c>
      <c r="G347" s="153"/>
      <c r="H347" s="155">
        <v>-0.13289999999999999</v>
      </c>
      <c r="I347" s="154" t="s">
        <v>62</v>
      </c>
      <c r="J347" s="204">
        <v>-8.5100000000000002E-3</v>
      </c>
      <c r="K347" s="154" t="s">
        <v>14</v>
      </c>
      <c r="L347" s="154" t="str">
        <f>IF(OpenLCAbasic!K347="CTUh", "Fill in Manually",IF(OR(K347="Unit", K347=""), "", INDEX(LookUps!$E$5:$E$12, MATCH(OpenLCAbasic!K347,LookUps!$D$5:$D$12,0))))</f>
        <v>Fossil Depletion Potential (FDP) - kg oil eq</v>
      </c>
      <c r="M347" s="154" t="str">
        <f t="shared" si="17"/>
        <v>Base_Medium_Base_Upgraded_Fossil Depletion Potential (FDP) - kg oil eq_Land application of compost; wastewater treatment unit; at updated plant - US_Base_With Amendment_Windrow</v>
      </c>
    </row>
    <row r="348" spans="1:13" s="120" customFormat="1" x14ac:dyDescent="0.25">
      <c r="A348" s="119"/>
      <c r="B348" s="138" t="str">
        <f t="shared" si="16"/>
        <v>Windrow</v>
      </c>
      <c r="C348" s="138" t="str">
        <f t="shared" si="15"/>
        <v>Base_With Amendment</v>
      </c>
      <c r="D348" s="118" t="s">
        <v>136</v>
      </c>
      <c r="E348" s="118" t="s">
        <v>130</v>
      </c>
      <c r="F348" s="118" t="s">
        <v>46</v>
      </c>
      <c r="G348" s="153"/>
      <c r="H348" s="155">
        <v>-2.8241000000000001</v>
      </c>
      <c r="I348" s="154" t="s">
        <v>149</v>
      </c>
      <c r="J348" s="203">
        <v>-0.18092</v>
      </c>
      <c r="K348" s="154" t="s">
        <v>14</v>
      </c>
      <c r="L348" s="154" t="str">
        <f>IF(OpenLCAbasic!K348="CTUh", "Fill in Manually",IF(OR(K348="Unit", K348=""), "", INDEX(LookUps!$E$5:$E$12, MATCH(OpenLCAbasic!K348,LookUps!$D$5:$D$12,0))))</f>
        <v>Fossil Depletion Potential (FDP) - kg oil eq</v>
      </c>
      <c r="M348" s="154" t="str">
        <f t="shared" si="17"/>
        <v>Base_Medium_Base_Upgraded_Fossil Depletion Potential (FDP) - kg oil eq_Anaerobic Digestion; wastewater treatment unit; at updated plant - US_Base_With Amendment_Windrow</v>
      </c>
    </row>
    <row r="349" spans="1:13" s="120" customFormat="1" x14ac:dyDescent="0.25">
      <c r="A349" s="119"/>
      <c r="B349" s="138" t="str">
        <f t="shared" si="16"/>
        <v/>
      </c>
      <c r="C349" s="138" t="str">
        <f t="shared" si="15"/>
        <v/>
      </c>
      <c r="D349" s="118"/>
      <c r="E349" s="118"/>
      <c r="F349" s="118"/>
      <c r="G349" s="153" t="s">
        <v>51</v>
      </c>
      <c r="H349" s="155"/>
      <c r="I349" s="154" t="s">
        <v>47</v>
      </c>
      <c r="J349" s="154" t="s">
        <v>52</v>
      </c>
      <c r="K349" s="154" t="s">
        <v>27</v>
      </c>
      <c r="L349" s="154" t="str">
        <f>IF(OpenLCAbasic!K349="CTUh", "Fill in Manually",IF(OR(K349="Unit", K349=""), "", INDEX(LookUps!$E$5:$E$12, MATCH(OpenLCAbasic!K349,LookUps!$D$5:$D$12,0))))</f>
        <v/>
      </c>
      <c r="M349" s="154" t="str">
        <f t="shared" si="17"/>
        <v>____Process__</v>
      </c>
    </row>
    <row r="350" spans="1:13" s="120" customFormat="1" x14ac:dyDescent="0.25">
      <c r="A350" s="119"/>
      <c r="B350" s="138" t="str">
        <f t="shared" si="16"/>
        <v>Windrow</v>
      </c>
      <c r="C350" s="138" t="str">
        <f t="shared" si="15"/>
        <v>Base_With Amendment</v>
      </c>
      <c r="D350" s="118" t="s">
        <v>136</v>
      </c>
      <c r="E350" s="118" t="s">
        <v>130</v>
      </c>
      <c r="F350" s="118" t="s">
        <v>46</v>
      </c>
      <c r="G350" s="153"/>
      <c r="H350" s="155">
        <v>1.1553</v>
      </c>
      <c r="I350" s="154" t="s">
        <v>167</v>
      </c>
      <c r="J350" s="157">
        <v>4.2789599999999997</v>
      </c>
      <c r="K350" s="154" t="s">
        <v>15</v>
      </c>
      <c r="L350" s="154" t="str">
        <f>IF(OpenLCAbasic!K350="CTUh", "Fill in Manually",IF(OR(K350="Unit", K350=""), "", INDEX(LookUps!$E$5:$E$12, MATCH(OpenLCAbasic!K350,LookUps!$D$5:$D$12,0))))</f>
        <v>Cumulative Energy Demand (CED) - MJ</v>
      </c>
      <c r="M350" s="154" t="str">
        <f t="shared" si="17"/>
        <v>Base_Medium_Base_Upgraded_Cumulative Energy Demand (CED) - MJ_Waste Receiving and Holding; wastewater treatment unit; at updated plant - US_Base_With Amendment_Windrow</v>
      </c>
    </row>
    <row r="351" spans="1:13" s="120" customFormat="1" x14ac:dyDescent="0.25">
      <c r="A351" s="119"/>
      <c r="B351" s="138" t="str">
        <f t="shared" si="16"/>
        <v>Windrow</v>
      </c>
      <c r="C351" s="138" t="str">
        <f t="shared" ref="C351:C414" si="18">IF(E351&lt;&gt;"", "Base_With Amendment","")</f>
        <v>Base_With Amendment</v>
      </c>
      <c r="D351" s="118" t="s">
        <v>136</v>
      </c>
      <c r="E351" s="118" t="s">
        <v>130</v>
      </c>
      <c r="F351" s="118" t="s">
        <v>46</v>
      </c>
      <c r="G351" s="153"/>
      <c r="H351" s="155">
        <v>0.95389999999999997</v>
      </c>
      <c r="I351" s="154" t="s">
        <v>55</v>
      </c>
      <c r="J351" s="157">
        <v>3.5330499999999998</v>
      </c>
      <c r="K351" s="154" t="s">
        <v>15</v>
      </c>
      <c r="L351" s="154" t="str">
        <f>IF(OpenLCAbasic!K351="CTUh", "Fill in Manually",IF(OR(K351="Unit", K351=""), "", INDEX(LookUps!$E$5:$E$12, MATCH(OpenLCAbasic!K351,LookUps!$D$5:$D$12,0))))</f>
        <v>Cumulative Energy Demand (CED) - MJ</v>
      </c>
      <c r="M351" s="154" t="str">
        <f t="shared" si="17"/>
        <v>Base_Medium_Base_Upgraded_Cumulative Energy Demand (CED) - MJ_Aeration Tanks; wastewater treatment unit; at updated plant - US_Base_With Amendment_Windrow</v>
      </c>
    </row>
    <row r="352" spans="1:13" s="120" customFormat="1" x14ac:dyDescent="0.25">
      <c r="A352" s="119"/>
      <c r="B352" s="138" t="str">
        <f t="shared" si="16"/>
        <v>Windrow</v>
      </c>
      <c r="C352" s="138" t="str">
        <f t="shared" si="18"/>
        <v>Base_With Amendment</v>
      </c>
      <c r="D352" s="118" t="s">
        <v>136</v>
      </c>
      <c r="E352" s="118" t="s">
        <v>130</v>
      </c>
      <c r="F352" s="118" t="s">
        <v>46</v>
      </c>
      <c r="G352" s="153"/>
      <c r="H352" s="155">
        <v>0.314</v>
      </c>
      <c r="I352" s="154" t="s">
        <v>54</v>
      </c>
      <c r="J352" s="157">
        <v>1.16289</v>
      </c>
      <c r="K352" s="154" t="s">
        <v>15</v>
      </c>
      <c r="L352" s="154" t="str">
        <f>IF(OpenLCAbasic!K352="CTUh", "Fill in Manually",IF(OR(K352="Unit", K352=""), "", INDEX(LookUps!$E$5:$E$12, MATCH(OpenLCAbasic!K352,LookUps!$D$5:$D$12,0))))</f>
        <v>Cumulative Energy Demand (CED) - MJ</v>
      </c>
      <c r="M352" s="154" t="str">
        <f t="shared" si="17"/>
        <v>Base_Medium_Base_Upgraded_Cumulative Energy Demand (CED) - MJ_Clear Cove Primary Clarification; wastewater treatment unit; at updated plant - US_Base_With Amendment_Windrow</v>
      </c>
    </row>
    <row r="353" spans="1:13" s="120" customFormat="1" x14ac:dyDescent="0.25">
      <c r="A353" s="119"/>
      <c r="B353" s="138" t="str">
        <f t="shared" si="16"/>
        <v>Windrow</v>
      </c>
      <c r="C353" s="138" t="str">
        <f t="shared" si="18"/>
        <v>Base_With Amendment</v>
      </c>
      <c r="D353" s="118" t="s">
        <v>136</v>
      </c>
      <c r="E353" s="118" t="s">
        <v>130</v>
      </c>
      <c r="F353" s="118" t="s">
        <v>46</v>
      </c>
      <c r="G353" s="153"/>
      <c r="H353" s="155">
        <v>0.23949999999999999</v>
      </c>
      <c r="I353" s="154" t="s">
        <v>58</v>
      </c>
      <c r="J353" s="203">
        <v>0.88705000000000001</v>
      </c>
      <c r="K353" s="154" t="s">
        <v>15</v>
      </c>
      <c r="L353" s="154" t="str">
        <f>IF(OpenLCAbasic!K353="CTUh", "Fill in Manually",IF(OR(K353="Unit", K353=""), "", INDEX(LookUps!$E$5:$E$12, MATCH(OpenLCAbasic!K353,LookUps!$D$5:$D$12,0))))</f>
        <v>Cumulative Energy Demand (CED) - MJ</v>
      </c>
      <c r="M353" s="154" t="str">
        <f t="shared" si="17"/>
        <v>Base_Medium_Base_Upgraded_Cumulative Energy Demand (CED) - MJ_Pre-Anoxic &amp; Swing tank; wastewater treatment unit; at updated plant - US_Base_With Amendment_Windrow</v>
      </c>
    </row>
    <row r="354" spans="1:13" s="120" customFormat="1" x14ac:dyDescent="0.25">
      <c r="A354" s="119"/>
      <c r="B354" s="138" t="str">
        <f t="shared" si="16"/>
        <v>Windrow</v>
      </c>
      <c r="C354" s="138" t="str">
        <f t="shared" si="18"/>
        <v>Base_With Amendment</v>
      </c>
      <c r="D354" s="118" t="s">
        <v>136</v>
      </c>
      <c r="E354" s="118" t="s">
        <v>130</v>
      </c>
      <c r="F354" s="118" t="s">
        <v>46</v>
      </c>
      <c r="G354" s="153"/>
      <c r="H354" s="155">
        <v>0.2384</v>
      </c>
      <c r="I354" s="154" t="s">
        <v>147</v>
      </c>
      <c r="J354" s="203">
        <v>0.88297000000000003</v>
      </c>
      <c r="K354" s="154" t="s">
        <v>15</v>
      </c>
      <c r="L354" s="154" t="str">
        <f>IF(OpenLCAbasic!K354="CTUh", "Fill in Manually",IF(OR(K354="Unit", K354=""), "", INDEX(LookUps!$E$5:$E$12, MATCH(OpenLCAbasic!K354,LookUps!$D$5:$D$12,0))))</f>
        <v>Cumulative Energy Demand (CED) - MJ</v>
      </c>
      <c r="M354" s="154" t="str">
        <f t="shared" si="17"/>
        <v>Base_Medium_Base_Upgraded_Cumulative Energy Demand (CED) - MJ_Influent Pump Station; wastewater treatment unit; at updated plant - US_Base_With Amendment_Windrow</v>
      </c>
    </row>
    <row r="355" spans="1:13" s="120" customFormat="1" x14ac:dyDescent="0.25">
      <c r="A355" s="119"/>
      <c r="B355" s="138" t="str">
        <f t="shared" si="16"/>
        <v>Windrow</v>
      </c>
      <c r="C355" s="138" t="str">
        <f t="shared" si="18"/>
        <v>Base_With Amendment</v>
      </c>
      <c r="D355" s="118" t="s">
        <v>136</v>
      </c>
      <c r="E355" s="118" t="s">
        <v>130</v>
      </c>
      <c r="F355" s="118" t="s">
        <v>46</v>
      </c>
      <c r="G355" s="153"/>
      <c r="H355" s="155">
        <v>0.188</v>
      </c>
      <c r="I355" s="154" t="s">
        <v>53</v>
      </c>
      <c r="J355" s="203">
        <v>0.69645000000000001</v>
      </c>
      <c r="K355" s="154" t="s">
        <v>15</v>
      </c>
      <c r="L355" s="154" t="str">
        <f>IF(OpenLCAbasic!K355="CTUh", "Fill in Manually",IF(OR(K355="Unit", K355=""), "", INDEX(LookUps!$E$5:$E$12, MATCH(OpenLCAbasic!K355,LookUps!$D$5:$D$12,0))))</f>
        <v>Cumulative Energy Demand (CED) - MJ</v>
      </c>
      <c r="M355" s="154" t="str">
        <f t="shared" si="17"/>
        <v>Base_Medium_Base_Upgraded_Cumulative Energy Demand (CED) - MJ_Wet Well and Sump Station; wastewater treatment unit; at updated plant - US_Base_With Amendment_Windrow</v>
      </c>
    </row>
    <row r="356" spans="1:13" s="120" customFormat="1" x14ac:dyDescent="0.25">
      <c r="A356" s="119"/>
      <c r="B356" s="138" t="str">
        <f t="shared" si="16"/>
        <v>Windrow</v>
      </c>
      <c r="C356" s="138" t="str">
        <f t="shared" si="18"/>
        <v>Base_With Amendment</v>
      </c>
      <c r="D356" s="118" t="s">
        <v>136</v>
      </c>
      <c r="E356" s="118" t="s">
        <v>130</v>
      </c>
      <c r="F356" s="118" t="s">
        <v>46</v>
      </c>
      <c r="G356" s="153"/>
      <c r="H356" s="155">
        <v>0.1075</v>
      </c>
      <c r="I356" s="154" t="s">
        <v>60</v>
      </c>
      <c r="J356" s="203">
        <v>0.39804</v>
      </c>
      <c r="K356" s="154" t="s">
        <v>15</v>
      </c>
      <c r="L356" s="154" t="str">
        <f>IF(OpenLCAbasic!K356="CTUh", "Fill in Manually",IF(OR(K356="Unit", K356=""), "", INDEX(LookUps!$E$5:$E$12, MATCH(OpenLCAbasic!K356,LookUps!$D$5:$D$12,0))))</f>
        <v>Cumulative Energy Demand (CED) - MJ</v>
      </c>
      <c r="M356" s="154" t="str">
        <f t="shared" si="17"/>
        <v>Base_Medium_Base_Upgraded_Cumulative Energy Demand (CED) - MJ_Belt filter press; wastewater treatment unit; at updated plant - US_Base_With Amendment_Windrow</v>
      </c>
    </row>
    <row r="357" spans="1:13" s="120" customFormat="1" x14ac:dyDescent="0.25">
      <c r="A357" s="119"/>
      <c r="B357" s="138" t="str">
        <f t="shared" si="16"/>
        <v>Windrow</v>
      </c>
      <c r="C357" s="138" t="str">
        <f t="shared" si="18"/>
        <v>Base_With Amendment</v>
      </c>
      <c r="D357" s="118" t="s">
        <v>136</v>
      </c>
      <c r="E357" s="118" t="s">
        <v>130</v>
      </c>
      <c r="F357" s="118" t="s">
        <v>46</v>
      </c>
      <c r="G357" s="153"/>
      <c r="H357" s="155">
        <v>9.0200000000000002E-2</v>
      </c>
      <c r="I357" s="154" t="s">
        <v>57</v>
      </c>
      <c r="J357" s="203">
        <v>0.33404</v>
      </c>
      <c r="K357" s="154" t="s">
        <v>15</v>
      </c>
      <c r="L357" s="154" t="str">
        <f>IF(OpenLCAbasic!K357="CTUh", "Fill in Manually",IF(OR(K357="Unit", K357=""), "", INDEX(LookUps!$E$5:$E$12, MATCH(OpenLCAbasic!K357,LookUps!$D$5:$D$12,0))))</f>
        <v>Cumulative Energy Demand (CED) - MJ</v>
      </c>
      <c r="M357" s="154" t="str">
        <f t="shared" si="17"/>
        <v>Base_Medium_Base_Upgraded_Cumulative Energy Demand (CED) - MJ_Gravity Belt Thickener; wastewater treatment unit; at updated plant - US_Base_With Amendment_Windrow</v>
      </c>
    </row>
    <row r="358" spans="1:13" s="120" customFormat="1" x14ac:dyDescent="0.25">
      <c r="A358" s="119"/>
      <c r="B358" s="138" t="str">
        <f t="shared" si="16"/>
        <v>Windrow</v>
      </c>
      <c r="C358" s="138" t="str">
        <f t="shared" si="18"/>
        <v>Base_With Amendment</v>
      </c>
      <c r="D358" s="118" t="s">
        <v>136</v>
      </c>
      <c r="E358" s="118" t="s">
        <v>130</v>
      </c>
      <c r="F358" s="118" t="s">
        <v>46</v>
      </c>
      <c r="G358" s="153"/>
      <c r="H358" s="155">
        <v>6.9099999999999995E-2</v>
      </c>
      <c r="I358" s="154" t="s">
        <v>128</v>
      </c>
      <c r="J358" s="203">
        <v>0.25606000000000001</v>
      </c>
      <c r="K358" s="154" t="s">
        <v>15</v>
      </c>
      <c r="L358" s="154" t="str">
        <f>IF(OpenLCAbasic!K358="CTUh", "Fill in Manually",IF(OR(K358="Unit", K358=""), "", INDEX(LookUps!$E$5:$E$12, MATCH(OpenLCAbasic!K358,LookUps!$D$5:$D$12,0))))</f>
        <v>Cumulative Energy Demand (CED) - MJ</v>
      </c>
      <c r="M358" s="154" t="str">
        <f t="shared" si="17"/>
        <v>Base_Medium_Base_Upgraded_Cumulative Energy Demand (CED) - MJ_Wastewater collection; operation and infrastructure; m3 wastewater_Base_With Amendment_Windrow</v>
      </c>
    </row>
    <row r="359" spans="1:13" s="120" customFormat="1" x14ac:dyDescent="0.25">
      <c r="A359" s="119"/>
      <c r="B359" s="138" t="str">
        <f t="shared" si="16"/>
        <v>Windrow</v>
      </c>
      <c r="C359" s="138" t="str">
        <f t="shared" si="18"/>
        <v>Base_With Amendment</v>
      </c>
      <c r="D359" s="118" t="s">
        <v>136</v>
      </c>
      <c r="E359" s="118" t="s">
        <v>130</v>
      </c>
      <c r="F359" s="118" t="s">
        <v>46</v>
      </c>
      <c r="G359" s="153"/>
      <c r="H359" s="155">
        <v>3.9399999999999998E-2</v>
      </c>
      <c r="I359" s="154" t="s">
        <v>148</v>
      </c>
      <c r="J359" s="203">
        <v>0.14599000000000001</v>
      </c>
      <c r="K359" s="154" t="s">
        <v>15</v>
      </c>
      <c r="L359" s="154" t="str">
        <f>IF(OpenLCAbasic!K359="CTUh", "Fill in Manually",IF(OR(K359="Unit", K359=""), "", INDEX(LookUps!$E$5:$E$12, MATCH(OpenLCAbasic!K359,LookUps!$D$5:$D$12,0))))</f>
        <v>Cumulative Energy Demand (CED) - MJ</v>
      </c>
      <c r="M359" s="154" t="str">
        <f t="shared" si="17"/>
        <v>Base_Medium_Base_Upgraded_Cumulative Energy Demand (CED) - MJ_Control Building; at upgraded wastewater treatment plant - US_Base_With Amendment_Windrow</v>
      </c>
    </row>
    <row r="360" spans="1:13" s="120" customFormat="1" x14ac:dyDescent="0.25">
      <c r="A360" s="119"/>
      <c r="B360" s="138" t="str">
        <f t="shared" si="16"/>
        <v>Windrow</v>
      </c>
      <c r="C360" s="138" t="str">
        <f t="shared" si="18"/>
        <v>Base_With Amendment</v>
      </c>
      <c r="D360" s="118" t="s">
        <v>136</v>
      </c>
      <c r="E360" s="118" t="s">
        <v>130</v>
      </c>
      <c r="F360" s="118" t="s">
        <v>46</v>
      </c>
      <c r="G360" s="153"/>
      <c r="H360" s="155">
        <v>3.5999999999999997E-2</v>
      </c>
      <c r="I360" s="154" t="s">
        <v>48</v>
      </c>
      <c r="J360" s="203">
        <v>0.13321</v>
      </c>
      <c r="K360" s="154" t="s">
        <v>15</v>
      </c>
      <c r="L360" s="154" t="str">
        <f>IF(OpenLCAbasic!K360="CTUh", "Fill in Manually",IF(OR(K360="Unit", K360=""), "", INDEX(LookUps!$E$5:$E$12, MATCH(OpenLCAbasic!K360,LookUps!$D$5:$D$12,0))))</f>
        <v>Cumulative Energy Demand (CED) - MJ</v>
      </c>
      <c r="M360" s="154" t="str">
        <f t="shared" si="17"/>
        <v>Base_Medium_Base_Upgraded_Cumulative Energy Demand (CED) - MJ_Effluent release; wastewater treatment unit; at surface water; m3 wastewater - US_Base_With Amendment_Windrow</v>
      </c>
    </row>
    <row r="361" spans="1:13" s="120" customFormat="1" x14ac:dyDescent="0.25">
      <c r="A361" s="119"/>
      <c r="B361" s="138" t="str">
        <f t="shared" si="16"/>
        <v>Windrow</v>
      </c>
      <c r="C361" s="138" t="str">
        <f t="shared" si="18"/>
        <v>Base_With Amendment</v>
      </c>
      <c r="D361" s="118" t="s">
        <v>136</v>
      </c>
      <c r="E361" s="118" t="s">
        <v>130</v>
      </c>
      <c r="F361" s="118" t="s">
        <v>46</v>
      </c>
      <c r="G361" s="153"/>
      <c r="H361" s="155">
        <v>2.87E-2</v>
      </c>
      <c r="I361" s="154" t="s">
        <v>59</v>
      </c>
      <c r="J361" s="203">
        <v>0.10638</v>
      </c>
      <c r="K361" s="154" t="s">
        <v>15</v>
      </c>
      <c r="L361" s="154" t="str">
        <f>IF(OpenLCAbasic!K361="CTUh", "Fill in Manually",IF(OR(K361="Unit", K361=""), "", INDEX(LookUps!$E$5:$E$12, MATCH(OpenLCAbasic!K361,LookUps!$D$5:$D$12,0))))</f>
        <v>Cumulative Energy Demand (CED) - MJ</v>
      </c>
      <c r="M361" s="154" t="str">
        <f t="shared" si="17"/>
        <v>Base_Medium_Base_Upgraded_Cumulative Energy Demand (CED) - MJ_Blend Tank; wastewater treatment unit; at updated plant - US_Base_With Amendment_Windrow</v>
      </c>
    </row>
    <row r="362" spans="1:13" s="120" customFormat="1" x14ac:dyDescent="0.25">
      <c r="A362" s="119"/>
      <c r="B362" s="138" t="str">
        <f t="shared" si="16"/>
        <v>Windrow</v>
      </c>
      <c r="C362" s="138" t="str">
        <f t="shared" si="18"/>
        <v>Base_With Amendment</v>
      </c>
      <c r="D362" s="118" t="s">
        <v>136</v>
      </c>
      <c r="E362" s="118" t="s">
        <v>130</v>
      </c>
      <c r="F362" s="118" t="s">
        <v>46</v>
      </c>
      <c r="G362" s="153"/>
      <c r="H362" s="155">
        <v>1.38E-2</v>
      </c>
      <c r="I362" s="154" t="s">
        <v>168</v>
      </c>
      <c r="J362" s="203">
        <v>5.0930000000000003E-2</v>
      </c>
      <c r="K362" s="154" t="s">
        <v>15</v>
      </c>
      <c r="L362" s="154" t="str">
        <f>IF(OpenLCAbasic!K362="CTUh", "Fill in Manually",IF(OR(K362="Unit", K362=""), "", INDEX(LookUps!$E$5:$E$12, MATCH(OpenLCAbasic!K362,LookUps!$D$5:$D$12,0))))</f>
        <v>Cumulative Energy Demand (CED) - MJ</v>
      </c>
      <c r="M362" s="154" t="str">
        <f t="shared" si="17"/>
        <v>Base_Medium_Base_Upgraded_Cumulative Energy Demand (CED) - MJ_ClearCove SCP; wastewater treatment unit; at updated plant - US_Base_With Amendment_Windrow</v>
      </c>
    </row>
    <row r="363" spans="1:13" s="120" customFormat="1" x14ac:dyDescent="0.25">
      <c r="A363" s="119"/>
      <c r="B363" s="138" t="str">
        <f t="shared" si="16"/>
        <v>Windrow</v>
      </c>
      <c r="C363" s="138" t="str">
        <f t="shared" si="18"/>
        <v>Base_With Amendment</v>
      </c>
      <c r="D363" s="118" t="s">
        <v>136</v>
      </c>
      <c r="E363" s="118" t="s">
        <v>130</v>
      </c>
      <c r="F363" s="118" t="s">
        <v>46</v>
      </c>
      <c r="G363" s="153"/>
      <c r="H363" s="155">
        <v>7.7000000000000002E-3</v>
      </c>
      <c r="I363" s="154" t="s">
        <v>271</v>
      </c>
      <c r="J363" s="203">
        <v>2.8510000000000001E-2</v>
      </c>
      <c r="K363" s="154" t="s">
        <v>15</v>
      </c>
      <c r="L363" s="154" t="str">
        <f>IF(OpenLCAbasic!K363="CTUh", "Fill in Manually",IF(OR(K363="Unit", K363=""), "", INDEX(LookUps!$E$5:$E$12, MATCH(OpenLCAbasic!K363,LookUps!$D$5:$D$12,0))))</f>
        <v>Cumulative Energy Demand (CED) - MJ</v>
      </c>
      <c r="M363" s="154" t="str">
        <f t="shared" si="17"/>
        <v>Base_Medium_Base_Upgraded_Cumulative Energy Demand (CED) - MJ_Biosolids composting; windrow composting; wastewater treatment unit; at updated plant - US_Base_With Amendment_Windrow</v>
      </c>
    </row>
    <row r="364" spans="1:13" s="120" customFormat="1" x14ac:dyDescent="0.25">
      <c r="A364" s="119"/>
      <c r="B364" s="138" t="str">
        <f t="shared" si="16"/>
        <v>Windrow</v>
      </c>
      <c r="C364" s="138" t="str">
        <f t="shared" si="18"/>
        <v>Base_With Amendment</v>
      </c>
      <c r="D364" s="118" t="s">
        <v>136</v>
      </c>
      <c r="E364" s="118" t="s">
        <v>130</v>
      </c>
      <c r="F364" s="118" t="s">
        <v>46</v>
      </c>
      <c r="G364" s="153"/>
      <c r="H364" s="155">
        <v>-0.16520000000000001</v>
      </c>
      <c r="I364" s="154" t="s">
        <v>62</v>
      </c>
      <c r="J364" s="203">
        <v>-0.61173999999999995</v>
      </c>
      <c r="K364" s="154" t="s">
        <v>15</v>
      </c>
      <c r="L364" s="154" t="str">
        <f>IF(OpenLCAbasic!K364="CTUh", "Fill in Manually",IF(OR(K364="Unit", K364=""), "", INDEX(LookUps!$E$5:$E$12, MATCH(OpenLCAbasic!K364,LookUps!$D$5:$D$12,0))))</f>
        <v>Cumulative Energy Demand (CED) - MJ</v>
      </c>
      <c r="M364" s="154" t="str">
        <f t="shared" si="17"/>
        <v>Base_Medium_Base_Upgraded_Cumulative Energy Demand (CED) - MJ_Land application of compost; wastewater treatment unit; at updated plant - US_Base_With Amendment_Windrow</v>
      </c>
    </row>
    <row r="365" spans="1:13" s="120" customFormat="1" x14ac:dyDescent="0.25">
      <c r="A365" s="119"/>
      <c r="B365" s="138" t="str">
        <f t="shared" si="16"/>
        <v>Windrow</v>
      </c>
      <c r="C365" s="138" t="str">
        <f t="shared" si="18"/>
        <v>Base_With Amendment</v>
      </c>
      <c r="D365" s="118" t="s">
        <v>136</v>
      </c>
      <c r="E365" s="118" t="s">
        <v>130</v>
      </c>
      <c r="F365" s="118" t="s">
        <v>46</v>
      </c>
      <c r="G365" s="153"/>
      <c r="H365" s="155">
        <v>-2.3161999999999998</v>
      </c>
      <c r="I365" s="154" t="s">
        <v>149</v>
      </c>
      <c r="J365" s="157">
        <v>-8.5788899999999995</v>
      </c>
      <c r="K365" s="154" t="s">
        <v>15</v>
      </c>
      <c r="L365" s="154" t="str">
        <f>IF(OpenLCAbasic!K365="CTUh", "Fill in Manually",IF(OR(K365="Unit", K365=""), "", INDEX(LookUps!$E$5:$E$12, MATCH(OpenLCAbasic!K365,LookUps!$D$5:$D$12,0))))</f>
        <v>Cumulative Energy Demand (CED) - MJ</v>
      </c>
      <c r="M365" s="154" t="str">
        <f t="shared" si="17"/>
        <v>Base_Medium_Base_Upgraded_Cumulative Energy Demand (CED) - MJ_Anaerobic Digestion; wastewater treatment unit; at updated plant - US_Base_With Amendment_Windrow</v>
      </c>
    </row>
    <row r="366" spans="1:13" s="120" customFormat="1" x14ac:dyDescent="0.25">
      <c r="A366" s="119"/>
      <c r="B366" s="138" t="str">
        <f t="shared" si="16"/>
        <v/>
      </c>
      <c r="C366" s="138"/>
      <c r="D366" s="118"/>
      <c r="E366" s="118" t="s">
        <v>130</v>
      </c>
      <c r="F366" s="118"/>
      <c r="G366" s="153" t="s">
        <v>51</v>
      </c>
      <c r="H366" s="155"/>
      <c r="I366" s="154" t="s">
        <v>47</v>
      </c>
      <c r="J366" s="154" t="s">
        <v>52</v>
      </c>
      <c r="K366" s="154" t="s">
        <v>27</v>
      </c>
      <c r="L366" s="154" t="str">
        <f>IF(OpenLCAbasic!K366="CTUh", "Fill in Manually",IF(OR(K366="Unit", K366=""), "", INDEX(LookUps!$E$5:$E$12, MATCH(OpenLCAbasic!K366,LookUps!$D$5:$D$12,0))))</f>
        <v/>
      </c>
      <c r="M366" s="154" t="str">
        <f t="shared" si="17"/>
        <v>Base____Process__</v>
      </c>
    </row>
    <row r="367" spans="1:13" s="120" customFormat="1" x14ac:dyDescent="0.25">
      <c r="A367" s="119"/>
      <c r="B367" s="138" t="str">
        <f t="shared" si="16"/>
        <v>Windrow</v>
      </c>
      <c r="C367" s="138" t="str">
        <f t="shared" si="18"/>
        <v>Base_With Amendment</v>
      </c>
      <c r="D367" s="118" t="s">
        <v>134</v>
      </c>
      <c r="E367" s="118" t="s">
        <v>130</v>
      </c>
      <c r="F367" s="118" t="s">
        <v>46</v>
      </c>
      <c r="G367" s="153"/>
      <c r="H367" s="155">
        <v>1.2284999999999999</v>
      </c>
      <c r="I367" s="154" t="s">
        <v>271</v>
      </c>
      <c r="J367" s="203">
        <v>0.68415000000000004</v>
      </c>
      <c r="K367" s="154" t="s">
        <v>23</v>
      </c>
      <c r="L367" s="154" t="str">
        <f>IF(OpenLCAbasic!K367="CTUh", "Fill in Manually",IF(OR(K367="Unit", K367=""), "", INDEX(LookUps!$E$5:$E$12, MATCH(OpenLCAbasic!K367,LookUps!$D$5:$D$12,0))))</f>
        <v>Global Warming Potential (GWP) - kg CO2 eq</v>
      </c>
      <c r="M367" s="154" t="str">
        <f t="shared" si="17"/>
        <v>Base_Base_High_Upgraded_Global Warming Potential (GWP) - kg CO2 eq_Biosolids composting; windrow composting; wastewater treatment unit; at updated plant - US_Base_With Amendment_Windrow</v>
      </c>
    </row>
    <row r="368" spans="1:13" s="120" customFormat="1" x14ac:dyDescent="0.25">
      <c r="A368" s="119"/>
      <c r="B368" s="138" t="str">
        <f t="shared" si="16"/>
        <v>Windrow</v>
      </c>
      <c r="C368" s="138" t="str">
        <f t="shared" si="18"/>
        <v>Base_With Amendment</v>
      </c>
      <c r="D368" s="118" t="s">
        <v>134</v>
      </c>
      <c r="E368" s="118" t="s">
        <v>130</v>
      </c>
      <c r="F368" s="118" t="s">
        <v>46</v>
      </c>
      <c r="G368" s="153"/>
      <c r="H368" s="155">
        <v>0.436</v>
      </c>
      <c r="I368" s="154" t="s">
        <v>58</v>
      </c>
      <c r="J368" s="203">
        <v>0.24279999999999999</v>
      </c>
      <c r="K368" s="154" t="s">
        <v>23</v>
      </c>
      <c r="L368" s="154" t="str">
        <f>IF(OpenLCAbasic!K368="CTUh", "Fill in Manually",IF(OR(K368="Unit", K368=""), "", INDEX(LookUps!$E$5:$E$12, MATCH(OpenLCAbasic!K368,LookUps!$D$5:$D$12,0))))</f>
        <v>Global Warming Potential (GWP) - kg CO2 eq</v>
      </c>
      <c r="M368" s="154" t="str">
        <f t="shared" si="17"/>
        <v>Base_Base_High_Upgraded_Global Warming Potential (GWP) - kg CO2 eq_Pre-Anoxic &amp; Swing tank; wastewater treatment unit; at updated plant - US_Base_With Amendment_Windrow</v>
      </c>
    </row>
    <row r="369" spans="1:13" s="120" customFormat="1" x14ac:dyDescent="0.25">
      <c r="A369" s="119"/>
      <c r="B369" s="138" t="str">
        <f t="shared" si="16"/>
        <v>Windrow</v>
      </c>
      <c r="C369" s="138" t="str">
        <f t="shared" si="18"/>
        <v>Base_With Amendment</v>
      </c>
      <c r="D369" s="118" t="s">
        <v>134</v>
      </c>
      <c r="E369" s="118" t="s">
        <v>130</v>
      </c>
      <c r="F369" s="118" t="s">
        <v>46</v>
      </c>
      <c r="G369" s="153"/>
      <c r="H369" s="155">
        <v>0.30209999999999998</v>
      </c>
      <c r="I369" s="154" t="s">
        <v>55</v>
      </c>
      <c r="J369" s="203">
        <v>0.16822000000000001</v>
      </c>
      <c r="K369" s="154" t="s">
        <v>23</v>
      </c>
      <c r="L369" s="154" t="str">
        <f>IF(OpenLCAbasic!K369="CTUh", "Fill in Manually",IF(OR(K369="Unit", K369=""), "", INDEX(LookUps!$E$5:$E$12, MATCH(OpenLCAbasic!K369,LookUps!$D$5:$D$12,0))))</f>
        <v>Global Warming Potential (GWP) - kg CO2 eq</v>
      </c>
      <c r="M369" s="154" t="str">
        <f t="shared" si="17"/>
        <v>Base_Base_High_Upgraded_Global Warming Potential (GWP) - kg CO2 eq_Aeration Tanks; wastewater treatment unit; at updated plant - US_Base_With Amendment_Windrow</v>
      </c>
    </row>
    <row r="370" spans="1:13" s="120" customFormat="1" x14ac:dyDescent="0.25">
      <c r="A370" s="119"/>
      <c r="B370" s="138" t="str">
        <f t="shared" si="16"/>
        <v>Windrow</v>
      </c>
      <c r="C370" s="138" t="str">
        <f t="shared" si="18"/>
        <v>Base_With Amendment</v>
      </c>
      <c r="D370" s="118" t="s">
        <v>134</v>
      </c>
      <c r="E370" s="118" t="s">
        <v>130</v>
      </c>
      <c r="F370" s="118" t="s">
        <v>46</v>
      </c>
      <c r="G370" s="153"/>
      <c r="H370" s="155">
        <v>0.18390000000000001</v>
      </c>
      <c r="I370" s="154" t="s">
        <v>167</v>
      </c>
      <c r="J370" s="203">
        <v>0.10241</v>
      </c>
      <c r="K370" s="154" t="s">
        <v>23</v>
      </c>
      <c r="L370" s="154" t="str">
        <f>IF(OpenLCAbasic!K370="CTUh", "Fill in Manually",IF(OR(K370="Unit", K370=""), "", INDEX(LookUps!$E$5:$E$12, MATCH(OpenLCAbasic!K370,LookUps!$D$5:$D$12,0))))</f>
        <v>Global Warming Potential (GWP) - kg CO2 eq</v>
      </c>
      <c r="M370" s="154" t="str">
        <f t="shared" si="17"/>
        <v>Base_Base_High_Upgraded_Global Warming Potential (GWP) - kg CO2 eq_Waste Receiving and Holding; wastewater treatment unit; at updated plant - US_Base_With Amendment_Windrow</v>
      </c>
    </row>
    <row r="371" spans="1:13" s="120" customFormat="1" x14ac:dyDescent="0.25">
      <c r="A371" s="119"/>
      <c r="B371" s="138" t="str">
        <f t="shared" si="16"/>
        <v>Windrow</v>
      </c>
      <c r="C371" s="138" t="str">
        <f t="shared" si="18"/>
        <v>Base_With Amendment</v>
      </c>
      <c r="D371" s="118" t="s">
        <v>134</v>
      </c>
      <c r="E371" s="118" t="s">
        <v>130</v>
      </c>
      <c r="F371" s="118" t="s">
        <v>46</v>
      </c>
      <c r="G371" s="153"/>
      <c r="H371" s="155">
        <v>0.10249999999999999</v>
      </c>
      <c r="I371" s="154" t="s">
        <v>54</v>
      </c>
      <c r="J371" s="203">
        <v>5.7079999999999999E-2</v>
      </c>
      <c r="K371" s="154" t="s">
        <v>23</v>
      </c>
      <c r="L371" s="154" t="str">
        <f>IF(OpenLCAbasic!K371="CTUh", "Fill in Manually",IF(OR(K371="Unit", K371=""), "", INDEX(LookUps!$E$5:$E$12, MATCH(OpenLCAbasic!K371,LookUps!$D$5:$D$12,0))))</f>
        <v>Global Warming Potential (GWP) - kg CO2 eq</v>
      </c>
      <c r="M371" s="154" t="str">
        <f t="shared" si="17"/>
        <v>Base_Base_High_Upgraded_Global Warming Potential (GWP) - kg CO2 eq_Clear Cove Primary Clarification; wastewater treatment unit; at updated plant - US_Base_With Amendment_Windrow</v>
      </c>
    </row>
    <row r="372" spans="1:13" s="120" customFormat="1" x14ac:dyDescent="0.25">
      <c r="A372" s="119"/>
      <c r="B372" s="138" t="str">
        <f t="shared" si="16"/>
        <v>Windrow</v>
      </c>
      <c r="C372" s="138" t="str">
        <f t="shared" si="18"/>
        <v>Base_With Amendment</v>
      </c>
      <c r="D372" s="118" t="s">
        <v>134</v>
      </c>
      <c r="E372" s="118" t="s">
        <v>130</v>
      </c>
      <c r="F372" s="118" t="s">
        <v>46</v>
      </c>
      <c r="G372" s="153"/>
      <c r="H372" s="155">
        <v>9.4500000000000001E-2</v>
      </c>
      <c r="I372" s="154" t="s">
        <v>48</v>
      </c>
      <c r="J372" s="203">
        <v>5.2639999999999999E-2</v>
      </c>
      <c r="K372" s="154" t="s">
        <v>23</v>
      </c>
      <c r="L372" s="154" t="str">
        <f>IF(OpenLCAbasic!K372="CTUh", "Fill in Manually",IF(OR(K372="Unit", K372=""), "", INDEX(LookUps!$E$5:$E$12, MATCH(OpenLCAbasic!K372,LookUps!$D$5:$D$12,0))))</f>
        <v>Global Warming Potential (GWP) - kg CO2 eq</v>
      </c>
      <c r="M372" s="154" t="str">
        <f t="shared" si="17"/>
        <v>Base_Base_High_Upgraded_Global Warming Potential (GWP) - kg CO2 eq_Effluent release; wastewater treatment unit; at surface water; m3 wastewater - US_Base_With Amendment_Windrow</v>
      </c>
    </row>
    <row r="373" spans="1:13" s="120" customFormat="1" x14ac:dyDescent="0.25">
      <c r="A373" s="119"/>
      <c r="B373" s="138" t="str">
        <f t="shared" si="16"/>
        <v>Windrow</v>
      </c>
      <c r="C373" s="138" t="str">
        <f t="shared" si="18"/>
        <v>Base_With Amendment</v>
      </c>
      <c r="D373" s="118" t="s">
        <v>134</v>
      </c>
      <c r="E373" s="118" t="s">
        <v>130</v>
      </c>
      <c r="F373" s="118" t="s">
        <v>46</v>
      </c>
      <c r="G373" s="153"/>
      <c r="H373" s="155">
        <v>9.0700000000000003E-2</v>
      </c>
      <c r="I373" s="154" t="s">
        <v>147</v>
      </c>
      <c r="J373" s="203">
        <v>5.0500000000000003E-2</v>
      </c>
      <c r="K373" s="154" t="s">
        <v>23</v>
      </c>
      <c r="L373" s="154" t="str">
        <f>IF(OpenLCAbasic!K373="CTUh", "Fill in Manually",IF(OR(K373="Unit", K373=""), "", INDEX(LookUps!$E$5:$E$12, MATCH(OpenLCAbasic!K373,LookUps!$D$5:$D$12,0))))</f>
        <v>Global Warming Potential (GWP) - kg CO2 eq</v>
      </c>
      <c r="M373" s="154" t="str">
        <f t="shared" si="17"/>
        <v>Base_Base_High_Upgraded_Global Warming Potential (GWP) - kg CO2 eq_Influent Pump Station; wastewater treatment unit; at updated plant - US_Base_With Amendment_Windrow</v>
      </c>
    </row>
    <row r="374" spans="1:13" s="120" customFormat="1" x14ac:dyDescent="0.25">
      <c r="A374" s="119"/>
      <c r="B374" s="138" t="str">
        <f t="shared" si="16"/>
        <v>Windrow</v>
      </c>
      <c r="C374" s="138" t="str">
        <f t="shared" si="18"/>
        <v>Base_With Amendment</v>
      </c>
      <c r="D374" s="118" t="s">
        <v>134</v>
      </c>
      <c r="E374" s="118" t="s">
        <v>130</v>
      </c>
      <c r="F374" s="118" t="s">
        <v>46</v>
      </c>
      <c r="G374" s="153"/>
      <c r="H374" s="155">
        <v>5.9700000000000003E-2</v>
      </c>
      <c r="I374" s="154" t="s">
        <v>53</v>
      </c>
      <c r="J374" s="203">
        <v>3.3259999999999998E-2</v>
      </c>
      <c r="K374" s="154" t="s">
        <v>23</v>
      </c>
      <c r="L374" s="154" t="str">
        <f>IF(OpenLCAbasic!K374="CTUh", "Fill in Manually",IF(OR(K374="Unit", K374=""), "", INDEX(LookUps!$E$5:$E$12, MATCH(OpenLCAbasic!K374,LookUps!$D$5:$D$12,0))))</f>
        <v>Global Warming Potential (GWP) - kg CO2 eq</v>
      </c>
      <c r="M374" s="154" t="str">
        <f t="shared" si="17"/>
        <v>Base_Base_High_Upgraded_Global Warming Potential (GWP) - kg CO2 eq_Wet Well and Sump Station; wastewater treatment unit; at updated plant - US_Base_With Amendment_Windrow</v>
      </c>
    </row>
    <row r="375" spans="1:13" s="120" customFormat="1" x14ac:dyDescent="0.25">
      <c r="A375" s="119"/>
      <c r="B375" s="138" t="str">
        <f t="shared" si="16"/>
        <v>Windrow</v>
      </c>
      <c r="C375" s="138" t="str">
        <f t="shared" si="18"/>
        <v>Base_With Amendment</v>
      </c>
      <c r="D375" s="118" t="s">
        <v>134</v>
      </c>
      <c r="E375" s="118" t="s">
        <v>130</v>
      </c>
      <c r="F375" s="118" t="s">
        <v>46</v>
      </c>
      <c r="G375" s="153"/>
      <c r="H375" s="155">
        <v>2.6100000000000002E-2</v>
      </c>
      <c r="I375" s="154" t="s">
        <v>57</v>
      </c>
      <c r="J375" s="203">
        <v>1.455E-2</v>
      </c>
      <c r="K375" s="154" t="s">
        <v>23</v>
      </c>
      <c r="L375" s="154" t="str">
        <f>IF(OpenLCAbasic!K375="CTUh", "Fill in Manually",IF(OR(K375="Unit", K375=""), "", INDEX(LookUps!$E$5:$E$12, MATCH(OpenLCAbasic!K375,LookUps!$D$5:$D$12,0))))</f>
        <v>Global Warming Potential (GWP) - kg CO2 eq</v>
      </c>
      <c r="M375" s="154" t="str">
        <f t="shared" si="17"/>
        <v>Base_Base_High_Upgraded_Global Warming Potential (GWP) - kg CO2 eq_Gravity Belt Thickener; wastewater treatment unit; at updated plant - US_Base_With Amendment_Windrow</v>
      </c>
    </row>
    <row r="376" spans="1:13" s="120" customFormat="1" x14ac:dyDescent="0.25">
      <c r="A376" s="119"/>
      <c r="B376" s="138" t="str">
        <f t="shared" si="16"/>
        <v>Windrow</v>
      </c>
      <c r="C376" s="138" t="str">
        <f t="shared" si="18"/>
        <v>Base_With Amendment</v>
      </c>
      <c r="D376" s="118" t="s">
        <v>134</v>
      </c>
      <c r="E376" s="118" t="s">
        <v>130</v>
      </c>
      <c r="F376" s="118" t="s">
        <v>46</v>
      </c>
      <c r="G376" s="153"/>
      <c r="H376" s="155">
        <v>2.4299999999999999E-2</v>
      </c>
      <c r="I376" s="154" t="s">
        <v>128</v>
      </c>
      <c r="J376" s="203">
        <v>1.3509999999999999E-2</v>
      </c>
      <c r="K376" s="154" t="s">
        <v>23</v>
      </c>
      <c r="L376" s="154" t="str">
        <f>IF(OpenLCAbasic!K376="CTUh", "Fill in Manually",IF(OR(K376="Unit", K376=""), "", INDEX(LookUps!$E$5:$E$12, MATCH(OpenLCAbasic!K376,LookUps!$D$5:$D$12,0))))</f>
        <v>Global Warming Potential (GWP) - kg CO2 eq</v>
      </c>
      <c r="M376" s="154" t="str">
        <f t="shared" si="17"/>
        <v>Base_Base_High_Upgraded_Global Warming Potential (GWP) - kg CO2 eq_Wastewater collection; operation and infrastructure; m3 wastewater_Base_With Amendment_Windrow</v>
      </c>
    </row>
    <row r="377" spans="1:13" s="120" customFormat="1" x14ac:dyDescent="0.25">
      <c r="A377" s="119"/>
      <c r="B377" s="138" t="str">
        <f t="shared" si="16"/>
        <v>Windrow</v>
      </c>
      <c r="C377" s="138" t="str">
        <f t="shared" si="18"/>
        <v>Base_With Amendment</v>
      </c>
      <c r="D377" s="118" t="s">
        <v>134</v>
      </c>
      <c r="E377" s="118" t="s">
        <v>130</v>
      </c>
      <c r="F377" s="118" t="s">
        <v>46</v>
      </c>
      <c r="G377" s="153"/>
      <c r="H377" s="155">
        <v>2.2100000000000002E-2</v>
      </c>
      <c r="I377" s="154" t="s">
        <v>60</v>
      </c>
      <c r="J377" s="203">
        <v>1.231E-2</v>
      </c>
      <c r="K377" s="154" t="s">
        <v>23</v>
      </c>
      <c r="L377" s="154" t="str">
        <f>IF(OpenLCAbasic!K377="CTUh", "Fill in Manually",IF(OR(K377="Unit", K377=""), "", INDEX(LookUps!$E$5:$E$12, MATCH(OpenLCAbasic!K377,LookUps!$D$5:$D$12,0))))</f>
        <v>Global Warming Potential (GWP) - kg CO2 eq</v>
      </c>
      <c r="M377" s="154" t="str">
        <f t="shared" si="17"/>
        <v>Base_Base_High_Upgraded_Global Warming Potential (GWP) - kg CO2 eq_Belt filter press; wastewater treatment unit; at updated plant - US_Base_With Amendment_Windrow</v>
      </c>
    </row>
    <row r="378" spans="1:13" s="120" customFormat="1" x14ac:dyDescent="0.25">
      <c r="A378" s="119"/>
      <c r="B378" s="138" t="str">
        <f t="shared" si="16"/>
        <v>Windrow</v>
      </c>
      <c r="C378" s="138" t="str">
        <f t="shared" si="18"/>
        <v>Base_With Amendment</v>
      </c>
      <c r="D378" s="118" t="s">
        <v>134</v>
      </c>
      <c r="E378" s="118" t="s">
        <v>130</v>
      </c>
      <c r="F378" s="118" t="s">
        <v>46</v>
      </c>
      <c r="G378" s="153"/>
      <c r="H378" s="155">
        <v>1.49E-2</v>
      </c>
      <c r="I378" s="154" t="s">
        <v>148</v>
      </c>
      <c r="J378" s="204">
        <v>8.3000000000000001E-3</v>
      </c>
      <c r="K378" s="154" t="s">
        <v>23</v>
      </c>
      <c r="L378" s="154" t="str">
        <f>IF(OpenLCAbasic!K378="CTUh", "Fill in Manually",IF(OR(K378="Unit", K378=""), "", INDEX(LookUps!$E$5:$E$12, MATCH(OpenLCAbasic!K378,LookUps!$D$5:$D$12,0))))</f>
        <v>Global Warming Potential (GWP) - kg CO2 eq</v>
      </c>
      <c r="M378" s="154" t="str">
        <f t="shared" si="17"/>
        <v>Base_Base_High_Upgraded_Global Warming Potential (GWP) - kg CO2 eq_Control Building; at upgraded wastewater treatment plant - US_Base_With Amendment_Windrow</v>
      </c>
    </row>
    <row r="379" spans="1:13" s="120" customFormat="1" x14ac:dyDescent="0.25">
      <c r="A379" s="119"/>
      <c r="B379" s="138" t="str">
        <f t="shared" si="16"/>
        <v>Windrow</v>
      </c>
      <c r="C379" s="138" t="str">
        <f t="shared" si="18"/>
        <v>Base_With Amendment</v>
      </c>
      <c r="D379" s="118" t="s">
        <v>134</v>
      </c>
      <c r="E379" s="118" t="s">
        <v>130</v>
      </c>
      <c r="F379" s="118" t="s">
        <v>46</v>
      </c>
      <c r="G379" s="153"/>
      <c r="H379" s="155">
        <v>9.1000000000000004E-3</v>
      </c>
      <c r="I379" s="154" t="s">
        <v>59</v>
      </c>
      <c r="J379" s="204">
        <v>5.0400000000000002E-3</v>
      </c>
      <c r="K379" s="154" t="s">
        <v>23</v>
      </c>
      <c r="L379" s="154" t="str">
        <f>IF(OpenLCAbasic!K379="CTUh", "Fill in Manually",IF(OR(K379="Unit", K379=""), "", INDEX(LookUps!$E$5:$E$12, MATCH(OpenLCAbasic!K379,LookUps!$D$5:$D$12,0))))</f>
        <v>Global Warming Potential (GWP) - kg CO2 eq</v>
      </c>
      <c r="M379" s="154" t="str">
        <f t="shared" si="17"/>
        <v>Base_Base_High_Upgraded_Global Warming Potential (GWP) - kg CO2 eq_Blend Tank; wastewater treatment unit; at updated plant - US_Base_With Amendment_Windrow</v>
      </c>
    </row>
    <row r="380" spans="1:13" s="120" customFormat="1" x14ac:dyDescent="0.25">
      <c r="A380" s="119"/>
      <c r="B380" s="138" t="str">
        <f t="shared" si="16"/>
        <v>Windrow</v>
      </c>
      <c r="C380" s="138" t="str">
        <f t="shared" si="18"/>
        <v>Base_With Amendment</v>
      </c>
      <c r="D380" s="118" t="s">
        <v>134</v>
      </c>
      <c r="E380" s="118" t="s">
        <v>130</v>
      </c>
      <c r="F380" s="118" t="s">
        <v>46</v>
      </c>
      <c r="G380" s="153"/>
      <c r="H380" s="155">
        <v>4.3E-3</v>
      </c>
      <c r="I380" s="154" t="s">
        <v>168</v>
      </c>
      <c r="J380" s="204">
        <v>2.4099999999999998E-3</v>
      </c>
      <c r="K380" s="154" t="s">
        <v>23</v>
      </c>
      <c r="L380" s="154" t="str">
        <f>IF(OpenLCAbasic!K380="CTUh", "Fill in Manually",IF(OR(K380="Unit", K380=""), "", INDEX(LookUps!$E$5:$E$12, MATCH(OpenLCAbasic!K380,LookUps!$D$5:$D$12,0))))</f>
        <v>Global Warming Potential (GWP) - kg CO2 eq</v>
      </c>
      <c r="M380" s="154" t="str">
        <f t="shared" si="17"/>
        <v>Base_Base_High_Upgraded_Global Warming Potential (GWP) - kg CO2 eq_ClearCove SCP; wastewater treatment unit; at updated plant - US_Base_With Amendment_Windrow</v>
      </c>
    </row>
    <row r="381" spans="1:13" s="120" customFormat="1" x14ac:dyDescent="0.25">
      <c r="A381" s="119"/>
      <c r="B381" s="138" t="str">
        <f t="shared" si="16"/>
        <v>Windrow</v>
      </c>
      <c r="C381" s="138" t="str">
        <f t="shared" si="18"/>
        <v>Base_With Amendment</v>
      </c>
      <c r="D381" s="118" t="s">
        <v>134</v>
      </c>
      <c r="E381" s="118" t="s">
        <v>130</v>
      </c>
      <c r="F381" s="118" t="s">
        <v>46</v>
      </c>
      <c r="G381" s="153"/>
      <c r="H381" s="155">
        <v>-0.7923</v>
      </c>
      <c r="I381" s="154" t="s">
        <v>62</v>
      </c>
      <c r="J381" s="204">
        <v>-0.44119999999999998</v>
      </c>
      <c r="K381" s="154" t="s">
        <v>23</v>
      </c>
      <c r="L381" s="154" t="str">
        <f>IF(OpenLCAbasic!K381="CTUh", "Fill in Manually",IF(OR(K381="Unit", K381=""), "", INDEX(LookUps!$E$5:$E$12, MATCH(OpenLCAbasic!K381,LookUps!$D$5:$D$12,0))))</f>
        <v>Global Warming Potential (GWP) - kg CO2 eq</v>
      </c>
      <c r="M381" s="154" t="str">
        <f t="shared" si="17"/>
        <v>Base_Base_High_Upgraded_Global Warming Potential (GWP) - kg CO2 eq_Land application of compost; wastewater treatment unit; at updated plant - US_Base_With Amendment_Windrow</v>
      </c>
    </row>
    <row r="382" spans="1:13" s="120" customFormat="1" x14ac:dyDescent="0.25">
      <c r="A382" s="119"/>
      <c r="B382" s="138" t="str">
        <f t="shared" si="16"/>
        <v>Windrow</v>
      </c>
      <c r="C382" s="138" t="str">
        <f t="shared" si="18"/>
        <v>Base_With Amendment</v>
      </c>
      <c r="D382" s="118" t="s">
        <v>134</v>
      </c>
      <c r="E382" s="118" t="s">
        <v>130</v>
      </c>
      <c r="F382" s="118" t="s">
        <v>46</v>
      </c>
      <c r="G382" s="153"/>
      <c r="H382" s="155">
        <v>-0.80640000000000001</v>
      </c>
      <c r="I382" s="154" t="s">
        <v>149</v>
      </c>
      <c r="J382" s="203">
        <v>-0.44908999999999999</v>
      </c>
      <c r="K382" s="154" t="s">
        <v>23</v>
      </c>
      <c r="L382" s="154" t="str">
        <f>IF(OpenLCAbasic!K382="CTUh", "Fill in Manually",IF(OR(K382="Unit", K382=""), "", INDEX(LookUps!$E$5:$E$12, MATCH(OpenLCAbasic!K382,LookUps!$D$5:$D$12,0))))</f>
        <v>Global Warming Potential (GWP) - kg CO2 eq</v>
      </c>
      <c r="M382" s="154" t="str">
        <f t="shared" si="17"/>
        <v>Base_Base_High_Upgraded_Global Warming Potential (GWP) - kg CO2 eq_Anaerobic Digestion; wastewater treatment unit; at updated plant - US_Base_With Amendment_Windrow</v>
      </c>
    </row>
    <row r="383" spans="1:13" s="120" customFormat="1" x14ac:dyDescent="0.25">
      <c r="A383" s="119"/>
      <c r="B383" s="138" t="str">
        <f t="shared" si="16"/>
        <v/>
      </c>
      <c r="C383" s="138" t="str">
        <f t="shared" si="18"/>
        <v>Base_With Amendment</v>
      </c>
      <c r="D383" s="118"/>
      <c r="E383" s="118" t="s">
        <v>130</v>
      </c>
      <c r="F383" s="118"/>
      <c r="G383" s="153" t="s">
        <v>51</v>
      </c>
      <c r="H383" s="155"/>
      <c r="I383" s="154" t="s">
        <v>47</v>
      </c>
      <c r="J383" s="154" t="s">
        <v>52</v>
      </c>
      <c r="K383" s="154" t="s">
        <v>27</v>
      </c>
      <c r="L383" s="154" t="str">
        <f>IF(OpenLCAbasic!K383="CTUh", "Fill in Manually",IF(OR(K383="Unit", K383=""), "", INDEX(LookUps!$E$5:$E$12, MATCH(OpenLCAbasic!K383,LookUps!$D$5:$D$12,0))))</f>
        <v/>
      </c>
      <c r="M383" s="154" t="str">
        <f t="shared" si="17"/>
        <v>Base____Process_Base_With Amendment_</v>
      </c>
    </row>
    <row r="384" spans="1:13" s="120" customFormat="1" x14ac:dyDescent="0.25">
      <c r="A384" s="119"/>
      <c r="B384" s="138" t="str">
        <f t="shared" si="16"/>
        <v>Windrow</v>
      </c>
      <c r="C384" s="138" t="str">
        <f t="shared" si="18"/>
        <v>Base_With Amendment</v>
      </c>
      <c r="D384" s="118" t="s">
        <v>134</v>
      </c>
      <c r="E384" s="118" t="s">
        <v>130</v>
      </c>
      <c r="F384" s="118" t="s">
        <v>46</v>
      </c>
      <c r="G384" s="153"/>
      <c r="H384" s="155">
        <v>0.8115</v>
      </c>
      <c r="I384" s="154" t="s">
        <v>48</v>
      </c>
      <c r="J384" s="203">
        <v>1.1610000000000001E-2</v>
      </c>
      <c r="K384" s="154" t="s">
        <v>13</v>
      </c>
      <c r="L384" s="154" t="str">
        <f>IF(OpenLCAbasic!K384="CTUh", "Fill in Manually",IF(OR(K384="Unit", K384=""), "", INDEX(LookUps!$E$5:$E$12, MATCH(OpenLCAbasic!K384,LookUps!$D$5:$D$12,0))))</f>
        <v>Eutrophication Potential (EP) - kg N eq</v>
      </c>
      <c r="M384" s="154" t="str">
        <f t="shared" si="17"/>
        <v>Base_Base_High_Upgraded_Eutrophication Potential (EP) - kg N eq_Effluent release; wastewater treatment unit; at surface water; m3 wastewater - US_Base_With Amendment_Windrow</v>
      </c>
    </row>
    <row r="385" spans="1:13" s="120" customFormat="1" x14ac:dyDescent="0.25">
      <c r="A385" s="119"/>
      <c r="B385" s="138" t="str">
        <f t="shared" si="16"/>
        <v>Windrow</v>
      </c>
      <c r="C385" s="138" t="str">
        <f t="shared" si="18"/>
        <v>Base_With Amendment</v>
      </c>
      <c r="D385" s="118" t="s">
        <v>134</v>
      </c>
      <c r="E385" s="118" t="s">
        <v>130</v>
      </c>
      <c r="F385" s="118" t="s">
        <v>46</v>
      </c>
      <c r="G385" s="153"/>
      <c r="H385" s="155">
        <v>0.13639999999999999</v>
      </c>
      <c r="I385" s="154" t="s">
        <v>62</v>
      </c>
      <c r="J385" s="204">
        <v>1.9499999999999999E-3</v>
      </c>
      <c r="K385" s="154" t="s">
        <v>13</v>
      </c>
      <c r="L385" s="154" t="str">
        <f>IF(OpenLCAbasic!K385="CTUh", "Fill in Manually",IF(OR(K385="Unit", K385=""), "", INDEX(LookUps!$E$5:$E$12, MATCH(OpenLCAbasic!K385,LookUps!$D$5:$D$12,0))))</f>
        <v>Eutrophication Potential (EP) - kg N eq</v>
      </c>
      <c r="M385" s="154" t="str">
        <f t="shared" si="17"/>
        <v>Base_Base_High_Upgraded_Eutrophication Potential (EP) - kg N eq_Land application of compost; wastewater treatment unit; at updated plant - US_Base_With Amendment_Windrow</v>
      </c>
    </row>
    <row r="386" spans="1:13" s="120" customFormat="1" x14ac:dyDescent="0.25">
      <c r="A386" s="119"/>
      <c r="B386" s="138" t="str">
        <f t="shared" si="16"/>
        <v>Windrow</v>
      </c>
      <c r="C386" s="138" t="str">
        <f t="shared" si="18"/>
        <v>Base_With Amendment</v>
      </c>
      <c r="D386" s="118" t="s">
        <v>134</v>
      </c>
      <c r="E386" s="118" t="s">
        <v>130</v>
      </c>
      <c r="F386" s="118" t="s">
        <v>46</v>
      </c>
      <c r="G386" s="153"/>
      <c r="H386" s="155">
        <v>3.8199999999999998E-2</v>
      </c>
      <c r="I386" s="154" t="s">
        <v>55</v>
      </c>
      <c r="J386" s="204">
        <v>5.5000000000000003E-4</v>
      </c>
      <c r="K386" s="154" t="s">
        <v>13</v>
      </c>
      <c r="L386" s="154" t="str">
        <f>IF(OpenLCAbasic!K386="CTUh", "Fill in Manually",IF(OR(K386="Unit", K386=""), "", INDEX(LookUps!$E$5:$E$12, MATCH(OpenLCAbasic!K386,LookUps!$D$5:$D$12,0))))</f>
        <v>Eutrophication Potential (EP) - kg N eq</v>
      </c>
      <c r="M386" s="154" t="str">
        <f t="shared" si="17"/>
        <v>Base_Base_High_Upgraded_Eutrophication Potential (EP) - kg N eq_Aeration Tanks; wastewater treatment unit; at updated plant - US_Base_With Amendment_Windrow</v>
      </c>
    </row>
    <row r="387" spans="1:13" s="120" customFormat="1" x14ac:dyDescent="0.25">
      <c r="A387" s="119"/>
      <c r="B387" s="138" t="str">
        <f t="shared" si="16"/>
        <v>Windrow</v>
      </c>
      <c r="C387" s="138" t="str">
        <f t="shared" si="18"/>
        <v>Base_With Amendment</v>
      </c>
      <c r="D387" s="118" t="s">
        <v>134</v>
      </c>
      <c r="E387" s="118" t="s">
        <v>130</v>
      </c>
      <c r="F387" s="118" t="s">
        <v>46</v>
      </c>
      <c r="G387" s="153"/>
      <c r="H387" s="155">
        <v>2.3300000000000001E-2</v>
      </c>
      <c r="I387" s="154" t="s">
        <v>271</v>
      </c>
      <c r="J387" s="204">
        <v>3.3E-4</v>
      </c>
      <c r="K387" s="154" t="s">
        <v>13</v>
      </c>
      <c r="L387" s="154" t="str">
        <f>IF(OpenLCAbasic!K387="CTUh", "Fill in Manually",IF(OR(K387="Unit", K387=""), "", INDEX(LookUps!$E$5:$E$12, MATCH(OpenLCAbasic!K387,LookUps!$D$5:$D$12,0))))</f>
        <v>Eutrophication Potential (EP) - kg N eq</v>
      </c>
      <c r="M387" s="154" t="str">
        <f t="shared" si="17"/>
        <v>Base_Base_High_Upgraded_Eutrophication Potential (EP) - kg N eq_Biosolids composting; windrow composting; wastewater treatment unit; at updated plant - US_Base_With Amendment_Windrow</v>
      </c>
    </row>
    <row r="388" spans="1:13" s="120" customFormat="1" x14ac:dyDescent="0.25">
      <c r="A388" s="119"/>
      <c r="B388" s="138" t="str">
        <f t="shared" si="16"/>
        <v>Windrow</v>
      </c>
      <c r="C388" s="138" t="str">
        <f t="shared" si="18"/>
        <v>Base_With Amendment</v>
      </c>
      <c r="D388" s="118" t="s">
        <v>134</v>
      </c>
      <c r="E388" s="118" t="s">
        <v>130</v>
      </c>
      <c r="F388" s="118" t="s">
        <v>46</v>
      </c>
      <c r="G388" s="153"/>
      <c r="H388" s="155">
        <v>1.7399999999999999E-2</v>
      </c>
      <c r="I388" s="154" t="s">
        <v>147</v>
      </c>
      <c r="J388" s="204">
        <v>2.5000000000000001E-4</v>
      </c>
      <c r="K388" s="154" t="s">
        <v>13</v>
      </c>
      <c r="L388" s="154" t="str">
        <f>IF(OpenLCAbasic!K388="CTUh", "Fill in Manually",IF(OR(K388="Unit", K388=""), "", INDEX(LookUps!$E$5:$E$12, MATCH(OpenLCAbasic!K388,LookUps!$D$5:$D$12,0))))</f>
        <v>Eutrophication Potential (EP) - kg N eq</v>
      </c>
      <c r="M388" s="154" t="str">
        <f t="shared" si="17"/>
        <v>Base_Base_High_Upgraded_Eutrophication Potential (EP) - kg N eq_Influent Pump Station; wastewater treatment unit; at updated plant - US_Base_With Amendment_Windrow</v>
      </c>
    </row>
    <row r="389" spans="1:13" s="120" customFormat="1" x14ac:dyDescent="0.25">
      <c r="A389" s="119"/>
      <c r="B389" s="138" t="str">
        <f t="shared" si="16"/>
        <v>Windrow</v>
      </c>
      <c r="C389" s="138" t="str">
        <f t="shared" si="18"/>
        <v>Base_With Amendment</v>
      </c>
      <c r="D389" s="118" t="s">
        <v>134</v>
      </c>
      <c r="E389" s="118" t="s">
        <v>130</v>
      </c>
      <c r="F389" s="118" t="s">
        <v>46</v>
      </c>
      <c r="G389" s="153"/>
      <c r="H389" s="155">
        <v>1.3899999999999999E-2</v>
      </c>
      <c r="I389" s="154" t="s">
        <v>54</v>
      </c>
      <c r="J389" s="204">
        <v>2.0000000000000001E-4</v>
      </c>
      <c r="K389" s="154" t="s">
        <v>13</v>
      </c>
      <c r="L389" s="154" t="str">
        <f>IF(OpenLCAbasic!K389="CTUh", "Fill in Manually",IF(OR(K389="Unit", K389=""), "", INDEX(LookUps!$E$5:$E$12, MATCH(OpenLCAbasic!K389,LookUps!$D$5:$D$12,0))))</f>
        <v>Eutrophication Potential (EP) - kg N eq</v>
      </c>
      <c r="M389" s="154" t="str">
        <f t="shared" si="17"/>
        <v>Base_Base_High_Upgraded_Eutrophication Potential (EP) - kg N eq_Clear Cove Primary Clarification; wastewater treatment unit; at updated plant - US_Base_With Amendment_Windrow</v>
      </c>
    </row>
    <row r="390" spans="1:13" s="120" customFormat="1" x14ac:dyDescent="0.25">
      <c r="A390" s="119"/>
      <c r="B390" s="138" t="str">
        <f t="shared" si="16"/>
        <v>Windrow</v>
      </c>
      <c r="C390" s="138" t="str">
        <f t="shared" si="18"/>
        <v>Base_With Amendment</v>
      </c>
      <c r="D390" s="118" t="s">
        <v>134</v>
      </c>
      <c r="E390" s="118" t="s">
        <v>130</v>
      </c>
      <c r="F390" s="118" t="s">
        <v>46</v>
      </c>
      <c r="G390" s="153"/>
      <c r="H390" s="155">
        <v>1.15E-2</v>
      </c>
      <c r="I390" s="154" t="s">
        <v>167</v>
      </c>
      <c r="J390" s="204">
        <v>1.6000000000000001E-4</v>
      </c>
      <c r="K390" s="154" t="s">
        <v>13</v>
      </c>
      <c r="L390" s="154" t="str">
        <f>IF(OpenLCAbasic!K390="CTUh", "Fill in Manually",IF(OR(K390="Unit", K390=""), "", INDEX(LookUps!$E$5:$E$12, MATCH(OpenLCAbasic!K390,LookUps!$D$5:$D$12,0))))</f>
        <v>Eutrophication Potential (EP) - kg N eq</v>
      </c>
      <c r="M390" s="154" t="str">
        <f t="shared" si="17"/>
        <v>Base_Base_High_Upgraded_Eutrophication Potential (EP) - kg N eq_Waste Receiving and Holding; wastewater treatment unit; at updated plant - US_Base_With Amendment_Windrow</v>
      </c>
    </row>
    <row r="391" spans="1:13" s="120" customFormat="1" x14ac:dyDescent="0.25">
      <c r="A391" s="119"/>
      <c r="B391" s="138" t="str">
        <f t="shared" ref="B391:B454" si="19">IF(F391="Legacy","n.a.",IF(F391="","","Windrow"))</f>
        <v>Windrow</v>
      </c>
      <c r="C391" s="138" t="str">
        <f t="shared" si="18"/>
        <v>Base_With Amendment</v>
      </c>
      <c r="D391" s="118" t="s">
        <v>134</v>
      </c>
      <c r="E391" s="118" t="s">
        <v>130</v>
      </c>
      <c r="F391" s="118" t="s">
        <v>46</v>
      </c>
      <c r="G391" s="153"/>
      <c r="H391" s="155">
        <v>9.4999999999999998E-3</v>
      </c>
      <c r="I391" s="154" t="s">
        <v>58</v>
      </c>
      <c r="J391" s="204">
        <v>1.3999999999999999E-4</v>
      </c>
      <c r="K391" s="154" t="s">
        <v>13</v>
      </c>
      <c r="L391" s="154" t="str">
        <f>IF(OpenLCAbasic!K391="CTUh", "Fill in Manually",IF(OR(K391="Unit", K391=""), "", INDEX(LookUps!$E$5:$E$12, MATCH(OpenLCAbasic!K391,LookUps!$D$5:$D$12,0))))</f>
        <v>Eutrophication Potential (EP) - kg N eq</v>
      </c>
      <c r="M391" s="154" t="str">
        <f t="shared" si="17"/>
        <v>Base_Base_High_Upgraded_Eutrophication Potential (EP) - kg N eq_Pre-Anoxic &amp; Swing tank; wastewater treatment unit; at updated plant - US_Base_With Amendment_Windrow</v>
      </c>
    </row>
    <row r="392" spans="1:13" s="120" customFormat="1" x14ac:dyDescent="0.25">
      <c r="A392" s="119"/>
      <c r="B392" s="138" t="str">
        <f t="shared" si="19"/>
        <v>Windrow</v>
      </c>
      <c r="C392" s="138" t="str">
        <f t="shared" si="18"/>
        <v>Base_With Amendment</v>
      </c>
      <c r="D392" s="118" t="s">
        <v>134</v>
      </c>
      <c r="E392" s="118" t="s">
        <v>130</v>
      </c>
      <c r="F392" s="118" t="s">
        <v>46</v>
      </c>
      <c r="G392" s="153"/>
      <c r="H392" s="155">
        <v>7.4999999999999997E-3</v>
      </c>
      <c r="I392" s="154" t="s">
        <v>53</v>
      </c>
      <c r="J392" s="204">
        <v>1.1E-4</v>
      </c>
      <c r="K392" s="154" t="s">
        <v>13</v>
      </c>
      <c r="L392" s="154" t="str">
        <f>IF(OpenLCAbasic!K392="CTUh", "Fill in Manually",IF(OR(K392="Unit", K392=""), "", INDEX(LookUps!$E$5:$E$12, MATCH(OpenLCAbasic!K392,LookUps!$D$5:$D$12,0))))</f>
        <v>Eutrophication Potential (EP) - kg N eq</v>
      </c>
      <c r="M392" s="154" t="str">
        <f t="shared" ref="M392:M455" si="20">CONCATENATE(E392,"_",D392,"_",F392,"_",L392, "_",I392,"_", C392,"_", B392)</f>
        <v>Base_Base_High_Upgraded_Eutrophication Potential (EP) - kg N eq_Wet Well and Sump Station; wastewater treatment unit; at updated plant - US_Base_With Amendment_Windrow</v>
      </c>
    </row>
    <row r="393" spans="1:13" s="120" customFormat="1" x14ac:dyDescent="0.25">
      <c r="A393" s="119"/>
      <c r="B393" s="138" t="str">
        <f t="shared" si="19"/>
        <v>Windrow</v>
      </c>
      <c r="C393" s="138" t="str">
        <f t="shared" si="18"/>
        <v>Base_With Amendment</v>
      </c>
      <c r="D393" s="118" t="s">
        <v>134</v>
      </c>
      <c r="E393" s="118" t="s">
        <v>130</v>
      </c>
      <c r="F393" s="118" t="s">
        <v>46</v>
      </c>
      <c r="G393" s="153"/>
      <c r="H393" s="155">
        <v>4.1999999999999997E-3</v>
      </c>
      <c r="I393" s="154" t="s">
        <v>57</v>
      </c>
      <c r="J393" s="204">
        <v>6.0590300000000002E-5</v>
      </c>
      <c r="K393" s="154" t="s">
        <v>13</v>
      </c>
      <c r="L393" s="154" t="str">
        <f>IF(OpenLCAbasic!K393="CTUh", "Fill in Manually",IF(OR(K393="Unit", K393=""), "", INDEX(LookUps!$E$5:$E$12, MATCH(OpenLCAbasic!K393,LookUps!$D$5:$D$12,0))))</f>
        <v>Eutrophication Potential (EP) - kg N eq</v>
      </c>
      <c r="M393" s="154" t="str">
        <f t="shared" si="20"/>
        <v>Base_Base_High_Upgraded_Eutrophication Potential (EP) - kg N eq_Gravity Belt Thickener; wastewater treatment unit; at updated plant - US_Base_With Amendment_Windrow</v>
      </c>
    </row>
    <row r="394" spans="1:13" s="120" customFormat="1" x14ac:dyDescent="0.25">
      <c r="A394" s="119"/>
      <c r="B394" s="138" t="str">
        <f t="shared" si="19"/>
        <v>Windrow</v>
      </c>
      <c r="C394" s="138" t="str">
        <f t="shared" si="18"/>
        <v>Base_With Amendment</v>
      </c>
      <c r="D394" s="118" t="s">
        <v>134</v>
      </c>
      <c r="E394" s="118" t="s">
        <v>130</v>
      </c>
      <c r="F394" s="118" t="s">
        <v>46</v>
      </c>
      <c r="G394" s="153"/>
      <c r="H394" s="155">
        <v>3.3999999999999998E-3</v>
      </c>
      <c r="I394" s="154" t="s">
        <v>60</v>
      </c>
      <c r="J394" s="204">
        <v>4.8791500000000002E-5</v>
      </c>
      <c r="K394" s="154" t="s">
        <v>13</v>
      </c>
      <c r="L394" s="154" t="str">
        <f>IF(OpenLCAbasic!K394="CTUh", "Fill in Manually",IF(OR(K394="Unit", K394=""), "", INDEX(LookUps!$E$5:$E$12, MATCH(OpenLCAbasic!K394,LookUps!$D$5:$D$12,0))))</f>
        <v>Eutrophication Potential (EP) - kg N eq</v>
      </c>
      <c r="M394" s="154" t="str">
        <f t="shared" si="20"/>
        <v>Base_Base_High_Upgraded_Eutrophication Potential (EP) - kg N eq_Belt filter press; wastewater treatment unit; at updated plant - US_Base_With Amendment_Windrow</v>
      </c>
    </row>
    <row r="395" spans="1:13" s="120" customFormat="1" x14ac:dyDescent="0.25">
      <c r="A395" s="119"/>
      <c r="B395" s="138" t="str">
        <f t="shared" si="19"/>
        <v>Windrow</v>
      </c>
      <c r="C395" s="138" t="str">
        <f t="shared" si="18"/>
        <v>Base_With Amendment</v>
      </c>
      <c r="D395" s="118" t="s">
        <v>134</v>
      </c>
      <c r="E395" s="118" t="s">
        <v>130</v>
      </c>
      <c r="F395" s="118" t="s">
        <v>46</v>
      </c>
      <c r="G395" s="153"/>
      <c r="H395" s="155">
        <v>2.5999999999999999E-3</v>
      </c>
      <c r="I395" s="154" t="s">
        <v>128</v>
      </c>
      <c r="J395" s="204">
        <v>3.7559799999999999E-5</v>
      </c>
      <c r="K395" s="154" t="s">
        <v>13</v>
      </c>
      <c r="L395" s="154" t="str">
        <f>IF(OpenLCAbasic!K395="CTUh", "Fill in Manually",IF(OR(K395="Unit", K395=""), "", INDEX(LookUps!$E$5:$E$12, MATCH(OpenLCAbasic!K395,LookUps!$D$5:$D$12,0))))</f>
        <v>Eutrophication Potential (EP) - kg N eq</v>
      </c>
      <c r="M395" s="154" t="str">
        <f t="shared" si="20"/>
        <v>Base_Base_High_Upgraded_Eutrophication Potential (EP) - kg N eq_Wastewater collection; operation and infrastructure; m3 wastewater_Base_With Amendment_Windrow</v>
      </c>
    </row>
    <row r="396" spans="1:13" s="120" customFormat="1" x14ac:dyDescent="0.25">
      <c r="A396" s="119"/>
      <c r="B396" s="138" t="str">
        <f t="shared" si="19"/>
        <v>Windrow</v>
      </c>
      <c r="C396" s="138" t="str">
        <f t="shared" si="18"/>
        <v>Base_With Amendment</v>
      </c>
      <c r="D396" s="118" t="s">
        <v>134</v>
      </c>
      <c r="E396" s="118" t="s">
        <v>130</v>
      </c>
      <c r="F396" s="118" t="s">
        <v>46</v>
      </c>
      <c r="G396" s="153"/>
      <c r="H396" s="155">
        <v>2.5999999999999999E-3</v>
      </c>
      <c r="I396" s="154" t="s">
        <v>148</v>
      </c>
      <c r="J396" s="204">
        <v>3.6874600000000001E-5</v>
      </c>
      <c r="K396" s="154" t="s">
        <v>13</v>
      </c>
      <c r="L396" s="154" t="str">
        <f>IF(OpenLCAbasic!K396="CTUh", "Fill in Manually",IF(OR(K396="Unit", K396=""), "", INDEX(LookUps!$E$5:$E$12, MATCH(OpenLCAbasic!K396,LookUps!$D$5:$D$12,0))))</f>
        <v>Eutrophication Potential (EP) - kg N eq</v>
      </c>
      <c r="M396" s="154" t="str">
        <f t="shared" si="20"/>
        <v>Base_Base_High_Upgraded_Eutrophication Potential (EP) - kg N eq_Control Building; at upgraded wastewater treatment plant - US_Base_With Amendment_Windrow</v>
      </c>
    </row>
    <row r="397" spans="1:13" s="120" customFormat="1" x14ac:dyDescent="0.25">
      <c r="A397" s="119"/>
      <c r="B397" s="138" t="str">
        <f t="shared" si="19"/>
        <v>Windrow</v>
      </c>
      <c r="C397" s="138" t="str">
        <f t="shared" si="18"/>
        <v>Base_With Amendment</v>
      </c>
      <c r="D397" s="118" t="s">
        <v>134</v>
      </c>
      <c r="E397" s="118" t="s">
        <v>130</v>
      </c>
      <c r="F397" s="118" t="s">
        <v>46</v>
      </c>
      <c r="G397" s="153"/>
      <c r="H397" s="155">
        <v>1.1000000000000001E-3</v>
      </c>
      <c r="I397" s="154" t="s">
        <v>59</v>
      </c>
      <c r="J397" s="204">
        <v>1.6215700000000001E-5</v>
      </c>
      <c r="K397" s="154" t="s">
        <v>13</v>
      </c>
      <c r="L397" s="154" t="str">
        <f>IF(OpenLCAbasic!K397="CTUh", "Fill in Manually",IF(OR(K397="Unit", K397=""), "", INDEX(LookUps!$E$5:$E$12, MATCH(OpenLCAbasic!K397,LookUps!$D$5:$D$12,0))))</f>
        <v>Eutrophication Potential (EP) - kg N eq</v>
      </c>
      <c r="M397" s="154" t="str">
        <f t="shared" si="20"/>
        <v>Base_Base_High_Upgraded_Eutrophication Potential (EP) - kg N eq_Blend Tank; wastewater treatment unit; at updated plant - US_Base_With Amendment_Windrow</v>
      </c>
    </row>
    <row r="398" spans="1:13" s="120" customFormat="1" x14ac:dyDescent="0.25">
      <c r="A398" s="119"/>
      <c r="B398" s="138" t="str">
        <f t="shared" si="19"/>
        <v>Windrow</v>
      </c>
      <c r="C398" s="138" t="str">
        <f t="shared" si="18"/>
        <v>Base_With Amendment</v>
      </c>
      <c r="D398" s="118" t="s">
        <v>134</v>
      </c>
      <c r="E398" s="118" t="s">
        <v>130</v>
      </c>
      <c r="F398" s="118" t="s">
        <v>46</v>
      </c>
      <c r="G398" s="153"/>
      <c r="H398" s="155">
        <v>5.0000000000000001E-4</v>
      </c>
      <c r="I398" s="154" t="s">
        <v>168</v>
      </c>
      <c r="J398" s="204">
        <v>7.7567199999999995E-6</v>
      </c>
      <c r="K398" s="154" t="s">
        <v>13</v>
      </c>
      <c r="L398" s="154" t="str">
        <f>IF(OpenLCAbasic!K398="CTUh", "Fill in Manually",IF(OR(K398="Unit", K398=""), "", INDEX(LookUps!$E$5:$E$12, MATCH(OpenLCAbasic!K398,LookUps!$D$5:$D$12,0))))</f>
        <v>Eutrophication Potential (EP) - kg N eq</v>
      </c>
      <c r="M398" s="154" t="str">
        <f t="shared" si="20"/>
        <v>Base_Base_High_Upgraded_Eutrophication Potential (EP) - kg N eq_ClearCove SCP; wastewater treatment unit; at updated plant - US_Base_With Amendment_Windrow</v>
      </c>
    </row>
    <row r="399" spans="1:13" s="120" customFormat="1" x14ac:dyDescent="0.25">
      <c r="A399" s="119"/>
      <c r="B399" s="138" t="str">
        <f t="shared" si="19"/>
        <v>Windrow</v>
      </c>
      <c r="C399" s="138" t="str">
        <f t="shared" si="18"/>
        <v>Base_With Amendment</v>
      </c>
      <c r="D399" s="118" t="s">
        <v>134</v>
      </c>
      <c r="E399" s="118" t="s">
        <v>130</v>
      </c>
      <c r="F399" s="118" t="s">
        <v>46</v>
      </c>
      <c r="G399" s="153"/>
      <c r="H399" s="155">
        <v>-8.3599999999999994E-2</v>
      </c>
      <c r="I399" s="154" t="s">
        <v>149</v>
      </c>
      <c r="J399" s="204">
        <v>-1.1999999999999999E-3</v>
      </c>
      <c r="K399" s="154" t="s">
        <v>13</v>
      </c>
      <c r="L399" s="154" t="str">
        <f>IF(OpenLCAbasic!K399="CTUh", "Fill in Manually",IF(OR(K399="Unit", K399=""), "", INDEX(LookUps!$E$5:$E$12, MATCH(OpenLCAbasic!K399,LookUps!$D$5:$D$12,0))))</f>
        <v>Eutrophication Potential (EP) - kg N eq</v>
      </c>
      <c r="M399" s="154" t="str">
        <f t="shared" si="20"/>
        <v>Base_Base_High_Upgraded_Eutrophication Potential (EP) - kg N eq_Anaerobic Digestion; wastewater treatment unit; at updated plant - US_Base_With Amendment_Windrow</v>
      </c>
    </row>
    <row r="400" spans="1:13" s="120" customFormat="1" x14ac:dyDescent="0.25">
      <c r="A400" s="119"/>
      <c r="B400" s="138" t="str">
        <f t="shared" si="19"/>
        <v/>
      </c>
      <c r="C400" s="138" t="str">
        <f t="shared" si="18"/>
        <v>Base_With Amendment</v>
      </c>
      <c r="D400" s="118"/>
      <c r="E400" s="118" t="s">
        <v>130</v>
      </c>
      <c r="F400" s="118"/>
      <c r="G400" s="153" t="s">
        <v>51</v>
      </c>
      <c r="H400" s="155"/>
      <c r="I400" s="154" t="s">
        <v>47</v>
      </c>
      <c r="J400" s="154" t="s">
        <v>52</v>
      </c>
      <c r="K400" s="154" t="s">
        <v>27</v>
      </c>
      <c r="L400" s="154" t="str">
        <f>IF(OpenLCAbasic!K400="CTUh", "Fill in Manually",IF(OR(K400="Unit", K400=""), "", INDEX(LookUps!$E$5:$E$12, MATCH(OpenLCAbasic!K400,LookUps!$D$5:$D$12,0))))</f>
        <v/>
      </c>
      <c r="M400" s="154" t="str">
        <f t="shared" si="20"/>
        <v>Base____Process_Base_With Amendment_</v>
      </c>
    </row>
    <row r="401" spans="1:13" s="120" customFormat="1" x14ac:dyDescent="0.25">
      <c r="A401" s="119"/>
      <c r="B401" s="138" t="str">
        <f t="shared" si="19"/>
        <v>Windrow</v>
      </c>
      <c r="C401" s="138" t="str">
        <f t="shared" si="18"/>
        <v>Base_With Amendment</v>
      </c>
      <c r="D401" s="118" t="s">
        <v>134</v>
      </c>
      <c r="E401" s="118" t="s">
        <v>130</v>
      </c>
      <c r="F401" s="118" t="s">
        <v>46</v>
      </c>
      <c r="G401" s="153"/>
      <c r="H401" s="155">
        <v>2.3835999999999999</v>
      </c>
      <c r="I401" s="154" t="s">
        <v>55</v>
      </c>
      <c r="J401" s="203">
        <v>1.7219999999999999E-2</v>
      </c>
      <c r="K401" s="154" t="s">
        <v>24</v>
      </c>
      <c r="L401" s="154" t="str">
        <f>IF(OpenLCAbasic!K401="CTUh", "Fill in Manually",IF(OR(K401="Unit", K401=""), "", INDEX(LookUps!$E$5:$E$12, MATCH(OpenLCAbasic!K401,LookUps!$D$5:$D$12,0))))</f>
        <v>Acidification Potential (AP) - kg SO2 eq</v>
      </c>
      <c r="M401" s="154" t="str">
        <f t="shared" si="20"/>
        <v>Base_Base_High_Upgraded_Acidification Potential (AP) - kg SO2 eq_Aeration Tanks; wastewater treatment unit; at updated plant - US_Base_With Amendment_Windrow</v>
      </c>
    </row>
    <row r="402" spans="1:13" s="120" customFormat="1" x14ac:dyDescent="0.25">
      <c r="A402" s="119"/>
      <c r="B402" s="138" t="str">
        <f t="shared" si="19"/>
        <v>Windrow</v>
      </c>
      <c r="C402" s="138" t="str">
        <f t="shared" si="18"/>
        <v>Base_With Amendment</v>
      </c>
      <c r="D402" s="118" t="s">
        <v>134</v>
      </c>
      <c r="E402" s="118" t="s">
        <v>130</v>
      </c>
      <c r="F402" s="118" t="s">
        <v>46</v>
      </c>
      <c r="G402" s="153"/>
      <c r="H402" s="155">
        <v>0.73250000000000004</v>
      </c>
      <c r="I402" s="154" t="s">
        <v>271</v>
      </c>
      <c r="J402" s="204">
        <v>5.2900000000000004E-3</v>
      </c>
      <c r="K402" s="154" t="s">
        <v>24</v>
      </c>
      <c r="L402" s="154" t="str">
        <f>IF(OpenLCAbasic!K402="CTUh", "Fill in Manually",IF(OR(K402="Unit", K402=""), "", INDEX(LookUps!$E$5:$E$12, MATCH(OpenLCAbasic!K402,LookUps!$D$5:$D$12,0))))</f>
        <v>Acidification Potential (AP) - kg SO2 eq</v>
      </c>
      <c r="M402" s="154" t="str">
        <f t="shared" si="20"/>
        <v>Base_Base_High_Upgraded_Acidification Potential (AP) - kg SO2 eq_Biosolids composting; windrow composting; wastewater treatment unit; at updated plant - US_Base_With Amendment_Windrow</v>
      </c>
    </row>
    <row r="403" spans="1:13" s="120" customFormat="1" x14ac:dyDescent="0.25">
      <c r="A403" s="119"/>
      <c r="B403" s="138" t="str">
        <f t="shared" si="19"/>
        <v>Windrow</v>
      </c>
      <c r="C403" s="138" t="str">
        <f t="shared" si="18"/>
        <v>Base_With Amendment</v>
      </c>
      <c r="D403" s="118" t="s">
        <v>134</v>
      </c>
      <c r="E403" s="118" t="s">
        <v>130</v>
      </c>
      <c r="F403" s="118" t="s">
        <v>46</v>
      </c>
      <c r="G403" s="153"/>
      <c r="H403" s="155">
        <v>0.68940000000000001</v>
      </c>
      <c r="I403" s="154" t="s">
        <v>54</v>
      </c>
      <c r="J403" s="204">
        <v>4.9800000000000001E-3</v>
      </c>
      <c r="K403" s="154" t="s">
        <v>24</v>
      </c>
      <c r="L403" s="154" t="str">
        <f>IF(OpenLCAbasic!K403="CTUh", "Fill in Manually",IF(OR(K403="Unit", K403=""), "", INDEX(LookUps!$E$5:$E$12, MATCH(OpenLCAbasic!K403,LookUps!$D$5:$D$12,0))))</f>
        <v>Acidification Potential (AP) - kg SO2 eq</v>
      </c>
      <c r="M403" s="154" t="str">
        <f t="shared" si="20"/>
        <v>Base_Base_High_Upgraded_Acidification Potential (AP) - kg SO2 eq_Clear Cove Primary Clarification; wastewater treatment unit; at updated plant - US_Base_With Amendment_Windrow</v>
      </c>
    </row>
    <row r="404" spans="1:13" s="120" customFormat="1" x14ac:dyDescent="0.25">
      <c r="A404" s="119"/>
      <c r="B404" s="138" t="str">
        <f t="shared" si="19"/>
        <v>Windrow</v>
      </c>
      <c r="C404" s="138" t="str">
        <f t="shared" si="18"/>
        <v>Base_With Amendment</v>
      </c>
      <c r="D404" s="118" t="s">
        <v>134</v>
      </c>
      <c r="E404" s="118" t="s">
        <v>130</v>
      </c>
      <c r="F404" s="118" t="s">
        <v>46</v>
      </c>
      <c r="G404" s="153"/>
      <c r="H404" s="155">
        <v>0.59960000000000002</v>
      </c>
      <c r="I404" s="154" t="s">
        <v>58</v>
      </c>
      <c r="J404" s="204">
        <v>4.3299999999999996E-3</v>
      </c>
      <c r="K404" s="154" t="s">
        <v>24</v>
      </c>
      <c r="L404" s="154" t="str">
        <f>IF(OpenLCAbasic!K404="CTUh", "Fill in Manually",IF(OR(K404="Unit", K404=""), "", INDEX(LookUps!$E$5:$E$12, MATCH(OpenLCAbasic!K404,LookUps!$D$5:$D$12,0))))</f>
        <v>Acidification Potential (AP) - kg SO2 eq</v>
      </c>
      <c r="M404" s="154" t="str">
        <f t="shared" si="20"/>
        <v>Base_Base_High_Upgraded_Acidification Potential (AP) - kg SO2 eq_Pre-Anoxic &amp; Swing tank; wastewater treatment unit; at updated plant - US_Base_With Amendment_Windrow</v>
      </c>
    </row>
    <row r="405" spans="1:13" s="120" customFormat="1" x14ac:dyDescent="0.25">
      <c r="A405" s="119"/>
      <c r="B405" s="138" t="str">
        <f t="shared" si="19"/>
        <v>Windrow</v>
      </c>
      <c r="C405" s="138" t="str">
        <f t="shared" si="18"/>
        <v>Base_With Amendment</v>
      </c>
      <c r="D405" s="118" t="s">
        <v>134</v>
      </c>
      <c r="E405" s="118" t="s">
        <v>130</v>
      </c>
      <c r="F405" s="118" t="s">
        <v>46</v>
      </c>
      <c r="G405" s="153"/>
      <c r="H405" s="155">
        <v>0.47770000000000001</v>
      </c>
      <c r="I405" s="154" t="s">
        <v>53</v>
      </c>
      <c r="J405" s="204">
        <v>3.4499999999999999E-3</v>
      </c>
      <c r="K405" s="154" t="s">
        <v>24</v>
      </c>
      <c r="L405" s="154" t="str">
        <f>IF(OpenLCAbasic!K405="CTUh", "Fill in Manually",IF(OR(K405="Unit", K405=""), "", INDEX(LookUps!$E$5:$E$12, MATCH(OpenLCAbasic!K405,LookUps!$D$5:$D$12,0))))</f>
        <v>Acidification Potential (AP) - kg SO2 eq</v>
      </c>
      <c r="M405" s="154" t="str">
        <f t="shared" si="20"/>
        <v>Base_Base_High_Upgraded_Acidification Potential (AP) - kg SO2 eq_Wet Well and Sump Station; wastewater treatment unit; at updated plant - US_Base_With Amendment_Windrow</v>
      </c>
    </row>
    <row r="406" spans="1:13" s="120" customFormat="1" x14ac:dyDescent="0.25">
      <c r="A406" s="119"/>
      <c r="B406" s="138" t="str">
        <f t="shared" si="19"/>
        <v>Windrow</v>
      </c>
      <c r="C406" s="138" t="str">
        <f t="shared" si="18"/>
        <v>Base_With Amendment</v>
      </c>
      <c r="D406" s="118" t="s">
        <v>134</v>
      </c>
      <c r="E406" s="118" t="s">
        <v>130</v>
      </c>
      <c r="F406" s="118" t="s">
        <v>46</v>
      </c>
      <c r="G406" s="153"/>
      <c r="H406" s="155">
        <v>0.35170000000000001</v>
      </c>
      <c r="I406" s="154" t="s">
        <v>62</v>
      </c>
      <c r="J406" s="204">
        <v>2.5400000000000002E-3</v>
      </c>
      <c r="K406" s="154" t="s">
        <v>24</v>
      </c>
      <c r="L406" s="154" t="str">
        <f>IF(OpenLCAbasic!K406="CTUh", "Fill in Manually",IF(OR(K406="Unit", K406=""), "", INDEX(LookUps!$E$5:$E$12, MATCH(OpenLCAbasic!K406,LookUps!$D$5:$D$12,0))))</f>
        <v>Acidification Potential (AP) - kg SO2 eq</v>
      </c>
      <c r="M406" s="154" t="str">
        <f t="shared" si="20"/>
        <v>Base_Base_High_Upgraded_Acidification Potential (AP) - kg SO2 eq_Land application of compost; wastewater treatment unit; at updated plant - US_Base_With Amendment_Windrow</v>
      </c>
    </row>
    <row r="407" spans="1:13" s="120" customFormat="1" x14ac:dyDescent="0.25">
      <c r="A407" s="119"/>
      <c r="B407" s="138" t="str">
        <f t="shared" si="19"/>
        <v>Windrow</v>
      </c>
      <c r="C407" s="138" t="str">
        <f t="shared" si="18"/>
        <v>Base_With Amendment</v>
      </c>
      <c r="D407" s="118" t="s">
        <v>134</v>
      </c>
      <c r="E407" s="118" t="s">
        <v>130</v>
      </c>
      <c r="F407" s="118" t="s">
        <v>46</v>
      </c>
      <c r="G407" s="153"/>
      <c r="H407" s="155">
        <v>0.32879999999999998</v>
      </c>
      <c r="I407" s="154" t="s">
        <v>167</v>
      </c>
      <c r="J407" s="204">
        <v>2.3800000000000002E-3</v>
      </c>
      <c r="K407" s="154" t="s">
        <v>24</v>
      </c>
      <c r="L407" s="154" t="str">
        <f>IF(OpenLCAbasic!K407="CTUh", "Fill in Manually",IF(OR(K407="Unit", K407=""), "", INDEX(LookUps!$E$5:$E$12, MATCH(OpenLCAbasic!K407,LookUps!$D$5:$D$12,0))))</f>
        <v>Acidification Potential (AP) - kg SO2 eq</v>
      </c>
      <c r="M407" s="154" t="str">
        <f t="shared" si="20"/>
        <v>Base_Base_High_Upgraded_Acidification Potential (AP) - kg SO2 eq_Waste Receiving and Holding; wastewater treatment unit; at updated plant - US_Base_With Amendment_Windrow</v>
      </c>
    </row>
    <row r="408" spans="1:13" s="120" customFormat="1" x14ac:dyDescent="0.25">
      <c r="A408" s="119"/>
      <c r="B408" s="138" t="str">
        <f t="shared" si="19"/>
        <v>Windrow</v>
      </c>
      <c r="C408" s="138" t="str">
        <f t="shared" si="18"/>
        <v>Base_With Amendment</v>
      </c>
      <c r="D408" s="118" t="s">
        <v>134</v>
      </c>
      <c r="E408" s="118" t="s">
        <v>130</v>
      </c>
      <c r="F408" s="118" t="s">
        <v>46</v>
      </c>
      <c r="G408" s="153"/>
      <c r="H408" s="155">
        <v>0.2863</v>
      </c>
      <c r="I408" s="154" t="s">
        <v>147</v>
      </c>
      <c r="J408" s="204">
        <v>2.0699999999999998E-3</v>
      </c>
      <c r="K408" s="154" t="s">
        <v>24</v>
      </c>
      <c r="L408" s="154" t="str">
        <f>IF(OpenLCAbasic!K408="CTUh", "Fill in Manually",IF(OR(K408="Unit", K408=""), "", INDEX(LookUps!$E$5:$E$12, MATCH(OpenLCAbasic!K408,LookUps!$D$5:$D$12,0))))</f>
        <v>Acidification Potential (AP) - kg SO2 eq</v>
      </c>
      <c r="M408" s="154" t="str">
        <f t="shared" si="20"/>
        <v>Base_Base_High_Upgraded_Acidification Potential (AP) - kg SO2 eq_Influent Pump Station; wastewater treatment unit; at updated plant - US_Base_With Amendment_Windrow</v>
      </c>
    </row>
    <row r="409" spans="1:13" s="120" customFormat="1" x14ac:dyDescent="0.25">
      <c r="A409" s="119"/>
      <c r="B409" s="138" t="str">
        <f t="shared" si="19"/>
        <v>Windrow</v>
      </c>
      <c r="C409" s="138" t="str">
        <f t="shared" si="18"/>
        <v>Base_With Amendment</v>
      </c>
      <c r="D409" s="118" t="s">
        <v>134</v>
      </c>
      <c r="E409" s="118" t="s">
        <v>130</v>
      </c>
      <c r="F409" s="118" t="s">
        <v>46</v>
      </c>
      <c r="G409" s="153"/>
      <c r="H409" s="155">
        <v>0.17069999999999999</v>
      </c>
      <c r="I409" s="154" t="s">
        <v>128</v>
      </c>
      <c r="J409" s="204">
        <v>1.23E-3</v>
      </c>
      <c r="K409" s="154" t="s">
        <v>24</v>
      </c>
      <c r="L409" s="154" t="str">
        <f>IF(OpenLCAbasic!K409="CTUh", "Fill in Manually",IF(OR(K409="Unit", K409=""), "", INDEX(LookUps!$E$5:$E$12, MATCH(OpenLCAbasic!K409,LookUps!$D$5:$D$12,0))))</f>
        <v>Acidification Potential (AP) - kg SO2 eq</v>
      </c>
      <c r="M409" s="154" t="str">
        <f t="shared" si="20"/>
        <v>Base_Base_High_Upgraded_Acidification Potential (AP) - kg SO2 eq_Wastewater collection; operation and infrastructure; m3 wastewater_Base_With Amendment_Windrow</v>
      </c>
    </row>
    <row r="410" spans="1:13" s="120" customFormat="1" x14ac:dyDescent="0.25">
      <c r="A410" s="119"/>
      <c r="B410" s="138" t="str">
        <f t="shared" si="19"/>
        <v>Windrow</v>
      </c>
      <c r="C410" s="138" t="str">
        <f t="shared" si="18"/>
        <v>Base_With Amendment</v>
      </c>
      <c r="D410" s="118" t="s">
        <v>134</v>
      </c>
      <c r="E410" s="118" t="s">
        <v>130</v>
      </c>
      <c r="F410" s="118" t="s">
        <v>46</v>
      </c>
      <c r="G410" s="153"/>
      <c r="H410" s="155">
        <v>0.10299999999999999</v>
      </c>
      <c r="I410" s="154" t="s">
        <v>60</v>
      </c>
      <c r="J410" s="204">
        <v>7.3999999999999999E-4</v>
      </c>
      <c r="K410" s="154" t="s">
        <v>24</v>
      </c>
      <c r="L410" s="154" t="str">
        <f>IF(OpenLCAbasic!K410="CTUh", "Fill in Manually",IF(OR(K410="Unit", K410=""), "", INDEX(LookUps!$E$5:$E$12, MATCH(OpenLCAbasic!K410,LookUps!$D$5:$D$12,0))))</f>
        <v>Acidification Potential (AP) - kg SO2 eq</v>
      </c>
      <c r="M410" s="154" t="str">
        <f t="shared" si="20"/>
        <v>Base_Base_High_Upgraded_Acidification Potential (AP) - kg SO2 eq_Belt filter press; wastewater treatment unit; at updated plant - US_Base_With Amendment_Windrow</v>
      </c>
    </row>
    <row r="411" spans="1:13" s="120" customFormat="1" x14ac:dyDescent="0.25">
      <c r="A411" s="119"/>
      <c r="B411" s="138" t="str">
        <f t="shared" si="19"/>
        <v>Windrow</v>
      </c>
      <c r="C411" s="138" t="str">
        <f t="shared" si="18"/>
        <v>Base_With Amendment</v>
      </c>
      <c r="D411" s="118" t="s">
        <v>134</v>
      </c>
      <c r="E411" s="118" t="s">
        <v>130</v>
      </c>
      <c r="F411" s="118" t="s">
        <v>46</v>
      </c>
      <c r="G411" s="153"/>
      <c r="H411" s="155">
        <v>9.74E-2</v>
      </c>
      <c r="I411" s="154" t="s">
        <v>57</v>
      </c>
      <c r="J411" s="204">
        <v>6.9999999999999999E-4</v>
      </c>
      <c r="K411" s="154" t="s">
        <v>24</v>
      </c>
      <c r="L411" s="154" t="str">
        <f>IF(OpenLCAbasic!K411="CTUh", "Fill in Manually",IF(OR(K411="Unit", K411=""), "", INDEX(LookUps!$E$5:$E$12, MATCH(OpenLCAbasic!K411,LookUps!$D$5:$D$12,0))))</f>
        <v>Acidification Potential (AP) - kg SO2 eq</v>
      </c>
      <c r="M411" s="154" t="str">
        <f t="shared" si="20"/>
        <v>Base_Base_High_Upgraded_Acidification Potential (AP) - kg SO2 eq_Gravity Belt Thickener; wastewater treatment unit; at updated plant - US_Base_With Amendment_Windrow</v>
      </c>
    </row>
    <row r="412" spans="1:13" s="120" customFormat="1" x14ac:dyDescent="0.25">
      <c r="A412" s="119"/>
      <c r="B412" s="138" t="str">
        <f t="shared" si="19"/>
        <v>Windrow</v>
      </c>
      <c r="C412" s="138" t="str">
        <f t="shared" si="18"/>
        <v>Base_With Amendment</v>
      </c>
      <c r="D412" s="118" t="s">
        <v>134</v>
      </c>
      <c r="E412" s="118" t="s">
        <v>130</v>
      </c>
      <c r="F412" s="118" t="s">
        <v>46</v>
      </c>
      <c r="G412" s="153"/>
      <c r="H412" s="155">
        <v>7.1499999999999994E-2</v>
      </c>
      <c r="I412" s="154" t="s">
        <v>59</v>
      </c>
      <c r="J412" s="204">
        <v>5.1999999999999995E-4</v>
      </c>
      <c r="K412" s="154" t="s">
        <v>24</v>
      </c>
      <c r="L412" s="154" t="str">
        <f>IF(OpenLCAbasic!K412="CTUh", "Fill in Manually",IF(OR(K412="Unit", K412=""), "", INDEX(LookUps!$E$5:$E$12, MATCH(OpenLCAbasic!K412,LookUps!$D$5:$D$12,0))))</f>
        <v>Acidification Potential (AP) - kg SO2 eq</v>
      </c>
      <c r="M412" s="154" t="str">
        <f t="shared" si="20"/>
        <v>Base_Base_High_Upgraded_Acidification Potential (AP) - kg SO2 eq_Blend Tank; wastewater treatment unit; at updated plant - US_Base_With Amendment_Windrow</v>
      </c>
    </row>
    <row r="413" spans="1:13" s="120" customFormat="1" x14ac:dyDescent="0.25">
      <c r="A413" s="119"/>
      <c r="B413" s="138" t="str">
        <f t="shared" si="19"/>
        <v>Windrow</v>
      </c>
      <c r="C413" s="138" t="str">
        <f t="shared" si="18"/>
        <v>Base_With Amendment</v>
      </c>
      <c r="D413" s="118" t="s">
        <v>134</v>
      </c>
      <c r="E413" s="118" t="s">
        <v>130</v>
      </c>
      <c r="F413" s="118" t="s">
        <v>46</v>
      </c>
      <c r="G413" s="153"/>
      <c r="H413" s="155">
        <v>4.8000000000000001E-2</v>
      </c>
      <c r="I413" s="154" t="s">
        <v>48</v>
      </c>
      <c r="J413" s="204">
        <v>3.5E-4</v>
      </c>
      <c r="K413" s="154" t="s">
        <v>24</v>
      </c>
      <c r="L413" s="154" t="str">
        <f>IF(OpenLCAbasic!K413="CTUh", "Fill in Manually",IF(OR(K413="Unit", K413=""), "", INDEX(LookUps!$E$5:$E$12, MATCH(OpenLCAbasic!K413,LookUps!$D$5:$D$12,0))))</f>
        <v>Acidification Potential (AP) - kg SO2 eq</v>
      </c>
      <c r="M413" s="154" t="str">
        <f t="shared" si="20"/>
        <v>Base_Base_High_Upgraded_Acidification Potential (AP) - kg SO2 eq_Effluent release; wastewater treatment unit; at surface water; m3 wastewater - US_Base_With Amendment_Windrow</v>
      </c>
    </row>
    <row r="414" spans="1:13" s="120" customFormat="1" x14ac:dyDescent="0.25">
      <c r="A414" s="119"/>
      <c r="B414" s="138" t="str">
        <f t="shared" si="19"/>
        <v>Windrow</v>
      </c>
      <c r="C414" s="138" t="str">
        <f t="shared" si="18"/>
        <v>Base_With Amendment</v>
      </c>
      <c r="D414" s="118" t="s">
        <v>134</v>
      </c>
      <c r="E414" s="118" t="s">
        <v>130</v>
      </c>
      <c r="F414" s="118" t="s">
        <v>46</v>
      </c>
      <c r="G414" s="153"/>
      <c r="H414" s="155">
        <v>3.5299999999999998E-2</v>
      </c>
      <c r="I414" s="154" t="s">
        <v>168</v>
      </c>
      <c r="J414" s="204">
        <v>2.5999999999999998E-4</v>
      </c>
      <c r="K414" s="154" t="s">
        <v>24</v>
      </c>
      <c r="L414" s="154" t="str">
        <f>IF(OpenLCAbasic!K414="CTUh", "Fill in Manually",IF(OR(K414="Unit", K414=""), "", INDEX(LookUps!$E$5:$E$12, MATCH(OpenLCAbasic!K414,LookUps!$D$5:$D$12,0))))</f>
        <v>Acidification Potential (AP) - kg SO2 eq</v>
      </c>
      <c r="M414" s="154" t="str">
        <f t="shared" si="20"/>
        <v>Base_Base_High_Upgraded_Acidification Potential (AP) - kg SO2 eq_ClearCove SCP; wastewater treatment unit; at updated plant - US_Base_With Amendment_Windrow</v>
      </c>
    </row>
    <row r="415" spans="1:13" s="120" customFormat="1" x14ac:dyDescent="0.25">
      <c r="A415" s="119"/>
      <c r="B415" s="138" t="str">
        <f t="shared" si="19"/>
        <v>Windrow</v>
      </c>
      <c r="C415" s="138" t="str">
        <f t="shared" ref="C415:C478" si="21">IF(E415&lt;&gt;"", "Base_With Amendment","")</f>
        <v>Base_With Amendment</v>
      </c>
      <c r="D415" s="118" t="s">
        <v>134</v>
      </c>
      <c r="E415" s="118" t="s">
        <v>130</v>
      </c>
      <c r="F415" s="118" t="s">
        <v>46</v>
      </c>
      <c r="G415" s="153"/>
      <c r="H415" s="155">
        <v>5.5999999999999999E-3</v>
      </c>
      <c r="I415" s="154" t="s">
        <v>148</v>
      </c>
      <c r="J415" s="204">
        <v>4.0354700000000002E-5</v>
      </c>
      <c r="K415" s="154" t="s">
        <v>24</v>
      </c>
      <c r="L415" s="154" t="str">
        <f>IF(OpenLCAbasic!K415="CTUh", "Fill in Manually",IF(OR(K415="Unit", K415=""), "", INDEX(LookUps!$E$5:$E$12, MATCH(OpenLCAbasic!K415,LookUps!$D$5:$D$12,0))))</f>
        <v>Acidification Potential (AP) - kg SO2 eq</v>
      </c>
      <c r="M415" s="154" t="str">
        <f t="shared" si="20"/>
        <v>Base_Base_High_Upgraded_Acidification Potential (AP) - kg SO2 eq_Control Building; at upgraded wastewater treatment plant - US_Base_With Amendment_Windrow</v>
      </c>
    </row>
    <row r="416" spans="1:13" s="120" customFormat="1" x14ac:dyDescent="0.25">
      <c r="A416" s="119"/>
      <c r="B416" s="138" t="str">
        <f t="shared" si="19"/>
        <v>Windrow</v>
      </c>
      <c r="C416" s="138" t="str">
        <f t="shared" si="21"/>
        <v>Base_With Amendment</v>
      </c>
      <c r="D416" s="118" t="s">
        <v>134</v>
      </c>
      <c r="E416" s="118" t="s">
        <v>130</v>
      </c>
      <c r="F416" s="118" t="s">
        <v>46</v>
      </c>
      <c r="G416" s="153"/>
      <c r="H416" s="155">
        <v>-5.3810000000000002</v>
      </c>
      <c r="I416" s="154" t="s">
        <v>149</v>
      </c>
      <c r="J416" s="203">
        <v>-3.8870000000000002E-2</v>
      </c>
      <c r="K416" s="154" t="s">
        <v>24</v>
      </c>
      <c r="L416" s="154" t="str">
        <f>IF(OpenLCAbasic!K416="CTUh", "Fill in Manually",IF(OR(K416="Unit", K416=""), "", INDEX(LookUps!$E$5:$E$12, MATCH(OpenLCAbasic!K416,LookUps!$D$5:$D$12,0))))</f>
        <v>Acidification Potential (AP) - kg SO2 eq</v>
      </c>
      <c r="M416" s="154" t="str">
        <f t="shared" si="20"/>
        <v>Base_Base_High_Upgraded_Acidification Potential (AP) - kg SO2 eq_Anaerobic Digestion; wastewater treatment unit; at updated plant - US_Base_With Amendment_Windrow</v>
      </c>
    </row>
    <row r="417" spans="1:13" s="120" customFormat="1" x14ac:dyDescent="0.25">
      <c r="A417" s="119"/>
      <c r="B417" s="138" t="str">
        <f t="shared" si="19"/>
        <v/>
      </c>
      <c r="C417" s="138" t="str">
        <f t="shared" si="21"/>
        <v>Base_With Amendment</v>
      </c>
      <c r="D417" s="118"/>
      <c r="E417" s="118" t="s">
        <v>130</v>
      </c>
      <c r="F417" s="118"/>
      <c r="G417" s="153" t="s">
        <v>51</v>
      </c>
      <c r="H417" s="155"/>
      <c r="I417" s="154" t="s">
        <v>47</v>
      </c>
      <c r="J417" s="205" t="s">
        <v>52</v>
      </c>
      <c r="K417" s="154" t="s">
        <v>27</v>
      </c>
      <c r="L417" s="154" t="str">
        <f>IF(OpenLCAbasic!K417="CTUh", "Fill in Manually",IF(OR(K417="Unit", K417=""), "", INDEX(LookUps!$E$5:$E$12, MATCH(OpenLCAbasic!K417,LookUps!$D$5:$D$12,0))))</f>
        <v/>
      </c>
      <c r="M417" s="154" t="str">
        <f t="shared" si="20"/>
        <v>Base____Process_Base_With Amendment_</v>
      </c>
    </row>
    <row r="418" spans="1:13" s="120" customFormat="1" x14ac:dyDescent="0.25">
      <c r="A418" s="119"/>
      <c r="B418" s="138" t="str">
        <f t="shared" si="19"/>
        <v>Windrow</v>
      </c>
      <c r="C418" s="138" t="str">
        <f t="shared" si="21"/>
        <v>Base_With Amendment</v>
      </c>
      <c r="D418" s="118" t="s">
        <v>134</v>
      </c>
      <c r="E418" s="118" t="s">
        <v>130</v>
      </c>
      <c r="F418" s="118" t="s">
        <v>46</v>
      </c>
      <c r="G418" s="153"/>
      <c r="H418" s="155">
        <v>15.854699999999999</v>
      </c>
      <c r="I418" s="154" t="s">
        <v>55</v>
      </c>
      <c r="J418" s="204">
        <v>2.33E-3</v>
      </c>
      <c r="K418" s="154" t="s">
        <v>145</v>
      </c>
      <c r="L418" s="154" t="str">
        <f>IF(OpenLCAbasic!K418="CTUh", "Fill in Manually",IF(OR(K418="Unit", K418=""), "", INDEX(LookUps!$E$5:$E$12, MATCH(OpenLCAbasic!K418,LookUps!$D$5:$D$12,0))))</f>
        <v>Particulate Matter Formation Potential (PMFP) - kg PM2.5 eq</v>
      </c>
      <c r="M418" s="154" t="str">
        <f t="shared" si="20"/>
        <v>Base_Base_High_Upgraded_Particulate Matter Formation Potential (PMFP) - kg PM2.5 eq_Aeration Tanks; wastewater treatment unit; at updated plant - US_Base_With Amendment_Windrow</v>
      </c>
    </row>
    <row r="419" spans="1:13" s="120" customFormat="1" x14ac:dyDescent="0.25">
      <c r="A419" s="119"/>
      <c r="B419" s="138" t="str">
        <f t="shared" si="19"/>
        <v>Windrow</v>
      </c>
      <c r="C419" s="138" t="str">
        <f t="shared" si="21"/>
        <v>Base_With Amendment</v>
      </c>
      <c r="D419" s="118" t="s">
        <v>134</v>
      </c>
      <c r="E419" s="118" t="s">
        <v>130</v>
      </c>
      <c r="F419" s="118" t="s">
        <v>46</v>
      </c>
      <c r="G419" s="153"/>
      <c r="H419" s="155">
        <v>4.6135999999999999</v>
      </c>
      <c r="I419" s="154" t="s">
        <v>54</v>
      </c>
      <c r="J419" s="204">
        <v>6.8000000000000005E-4</v>
      </c>
      <c r="K419" s="154" t="s">
        <v>145</v>
      </c>
      <c r="L419" s="154" t="str">
        <f>IF(OpenLCAbasic!K419="CTUh", "Fill in Manually",IF(OR(K419="Unit", K419=""), "", INDEX(LookUps!$E$5:$E$12, MATCH(OpenLCAbasic!K419,LookUps!$D$5:$D$12,0))))</f>
        <v>Particulate Matter Formation Potential (PMFP) - kg PM2.5 eq</v>
      </c>
      <c r="M419" s="154" t="str">
        <f t="shared" si="20"/>
        <v>Base_Base_High_Upgraded_Particulate Matter Formation Potential (PMFP) - kg PM2.5 eq_Clear Cove Primary Clarification; wastewater treatment unit; at updated plant - US_Base_With Amendment_Windrow</v>
      </c>
    </row>
    <row r="420" spans="1:13" s="120" customFormat="1" x14ac:dyDescent="0.25">
      <c r="A420" s="119"/>
      <c r="B420" s="138" t="str">
        <f t="shared" si="19"/>
        <v>Windrow</v>
      </c>
      <c r="C420" s="138" t="str">
        <f t="shared" si="21"/>
        <v>Base_With Amendment</v>
      </c>
      <c r="D420" s="118" t="s">
        <v>134</v>
      </c>
      <c r="E420" s="118" t="s">
        <v>130</v>
      </c>
      <c r="F420" s="118" t="s">
        <v>46</v>
      </c>
      <c r="G420" s="153"/>
      <c r="H420" s="155">
        <v>3.9861</v>
      </c>
      <c r="I420" s="154" t="s">
        <v>58</v>
      </c>
      <c r="J420" s="204">
        <v>5.9000000000000003E-4</v>
      </c>
      <c r="K420" s="154" t="s">
        <v>145</v>
      </c>
      <c r="L420" s="154" t="str">
        <f>IF(OpenLCAbasic!K420="CTUh", "Fill in Manually",IF(OR(K420="Unit", K420=""), "", INDEX(LookUps!$E$5:$E$12, MATCH(OpenLCAbasic!K420,LookUps!$D$5:$D$12,0))))</f>
        <v>Particulate Matter Formation Potential (PMFP) - kg PM2.5 eq</v>
      </c>
      <c r="M420" s="154" t="str">
        <f t="shared" si="20"/>
        <v>Base_Base_High_Upgraded_Particulate Matter Formation Potential (PMFP) - kg PM2.5 eq_Pre-Anoxic &amp; Swing tank; wastewater treatment unit; at updated plant - US_Base_With Amendment_Windrow</v>
      </c>
    </row>
    <row r="421" spans="1:13" s="120" customFormat="1" x14ac:dyDescent="0.25">
      <c r="A421" s="119"/>
      <c r="B421" s="138" t="str">
        <f t="shared" si="19"/>
        <v>Windrow</v>
      </c>
      <c r="C421" s="138" t="str">
        <f t="shared" si="21"/>
        <v>Base_With Amendment</v>
      </c>
      <c r="D421" s="118" t="s">
        <v>134</v>
      </c>
      <c r="E421" s="118" t="s">
        <v>130</v>
      </c>
      <c r="F421" s="118" t="s">
        <v>46</v>
      </c>
      <c r="G421" s="153"/>
      <c r="H421" s="155">
        <v>3.17</v>
      </c>
      <c r="I421" s="154" t="s">
        <v>53</v>
      </c>
      <c r="J421" s="204">
        <v>4.6999999999999999E-4</v>
      </c>
      <c r="K421" s="154" t="s">
        <v>145</v>
      </c>
      <c r="L421" s="154" t="str">
        <f>IF(OpenLCAbasic!K421="CTUh", "Fill in Manually",IF(OR(K421="Unit", K421=""), "", INDEX(LookUps!$E$5:$E$12, MATCH(OpenLCAbasic!K421,LookUps!$D$5:$D$12,0))))</f>
        <v>Particulate Matter Formation Potential (PMFP) - kg PM2.5 eq</v>
      </c>
      <c r="M421" s="154" t="str">
        <f t="shared" si="20"/>
        <v>Base_Base_High_Upgraded_Particulate Matter Formation Potential (PMFP) - kg PM2.5 eq_Wet Well and Sump Station; wastewater treatment unit; at updated plant - US_Base_With Amendment_Windrow</v>
      </c>
    </row>
    <row r="422" spans="1:13" s="120" customFormat="1" x14ac:dyDescent="0.25">
      <c r="A422" s="119"/>
      <c r="B422" s="138" t="str">
        <f t="shared" si="19"/>
        <v>Windrow</v>
      </c>
      <c r="C422" s="138" t="str">
        <f t="shared" si="21"/>
        <v>Base_With Amendment</v>
      </c>
      <c r="D422" s="118" t="s">
        <v>134</v>
      </c>
      <c r="E422" s="118" t="s">
        <v>130</v>
      </c>
      <c r="F422" s="118" t="s">
        <v>46</v>
      </c>
      <c r="G422" s="153"/>
      <c r="H422" s="155">
        <v>2.0322</v>
      </c>
      <c r="I422" s="154" t="s">
        <v>167</v>
      </c>
      <c r="J422" s="204">
        <v>2.9999999999999997E-4</v>
      </c>
      <c r="K422" s="154" t="s">
        <v>145</v>
      </c>
      <c r="L422" s="154" t="str">
        <f>IF(OpenLCAbasic!K422="CTUh", "Fill in Manually",IF(OR(K422="Unit", K422=""), "", INDEX(LookUps!$E$5:$E$12, MATCH(OpenLCAbasic!K422,LookUps!$D$5:$D$12,0))))</f>
        <v>Particulate Matter Formation Potential (PMFP) - kg PM2.5 eq</v>
      </c>
      <c r="M422" s="154" t="str">
        <f t="shared" si="20"/>
        <v>Base_Base_High_Upgraded_Particulate Matter Formation Potential (PMFP) - kg PM2.5 eq_Waste Receiving and Holding; wastewater treatment unit; at updated plant - US_Base_With Amendment_Windrow</v>
      </c>
    </row>
    <row r="423" spans="1:13" s="120" customFormat="1" x14ac:dyDescent="0.25">
      <c r="A423" s="119"/>
      <c r="B423" s="138" t="str">
        <f t="shared" si="19"/>
        <v>Windrow</v>
      </c>
      <c r="C423" s="138" t="str">
        <f t="shared" si="21"/>
        <v>Base_With Amendment</v>
      </c>
      <c r="D423" s="118" t="s">
        <v>134</v>
      </c>
      <c r="E423" s="118" t="s">
        <v>130</v>
      </c>
      <c r="F423" s="118" t="s">
        <v>46</v>
      </c>
      <c r="G423" s="153"/>
      <c r="H423" s="155">
        <v>1.8119000000000001</v>
      </c>
      <c r="I423" s="154" t="s">
        <v>147</v>
      </c>
      <c r="J423" s="204">
        <v>2.7E-4</v>
      </c>
      <c r="K423" s="154" t="s">
        <v>145</v>
      </c>
      <c r="L423" s="154" t="str">
        <f>IF(OpenLCAbasic!K423="CTUh", "Fill in Manually",IF(OR(K423="Unit", K423=""), "", INDEX(LookUps!$E$5:$E$12, MATCH(OpenLCAbasic!K423,LookUps!$D$5:$D$12,0))))</f>
        <v>Particulate Matter Formation Potential (PMFP) - kg PM2.5 eq</v>
      </c>
      <c r="M423" s="154" t="str">
        <f t="shared" si="20"/>
        <v>Base_Base_High_Upgraded_Particulate Matter Formation Potential (PMFP) - kg PM2.5 eq_Influent Pump Station; wastewater treatment unit; at updated plant - US_Base_With Amendment_Windrow</v>
      </c>
    </row>
    <row r="424" spans="1:13" s="120" customFormat="1" x14ac:dyDescent="0.25">
      <c r="A424" s="119"/>
      <c r="B424" s="138" t="str">
        <f t="shared" si="19"/>
        <v>Windrow</v>
      </c>
      <c r="C424" s="138" t="str">
        <f t="shared" si="21"/>
        <v>Base_With Amendment</v>
      </c>
      <c r="D424" s="118" t="s">
        <v>134</v>
      </c>
      <c r="E424" s="118" t="s">
        <v>130</v>
      </c>
      <c r="F424" s="118" t="s">
        <v>46</v>
      </c>
      <c r="G424" s="153"/>
      <c r="H424" s="155">
        <v>1.2907999999999999</v>
      </c>
      <c r="I424" s="154" t="s">
        <v>271</v>
      </c>
      <c r="J424" s="204">
        <v>1.9000000000000001E-4</v>
      </c>
      <c r="K424" s="154" t="s">
        <v>145</v>
      </c>
      <c r="L424" s="154" t="str">
        <f>IF(OpenLCAbasic!K424="CTUh", "Fill in Manually",IF(OR(K424="Unit", K424=""), "", INDEX(LookUps!$E$5:$E$12, MATCH(OpenLCAbasic!K424,LookUps!$D$5:$D$12,0))))</f>
        <v>Particulate Matter Formation Potential (PMFP) - kg PM2.5 eq</v>
      </c>
      <c r="M424" s="154" t="str">
        <f t="shared" si="20"/>
        <v>Base_Base_High_Upgraded_Particulate Matter Formation Potential (PMFP) - kg PM2.5 eq_Biosolids composting; windrow composting; wastewater treatment unit; at updated plant - US_Base_With Amendment_Windrow</v>
      </c>
    </row>
    <row r="425" spans="1:13" s="120" customFormat="1" x14ac:dyDescent="0.25">
      <c r="A425" s="119"/>
      <c r="B425" s="138" t="str">
        <f t="shared" si="19"/>
        <v>Windrow</v>
      </c>
      <c r="C425" s="138" t="str">
        <f t="shared" si="21"/>
        <v>Base_With Amendment</v>
      </c>
      <c r="D425" s="118" t="s">
        <v>134</v>
      </c>
      <c r="E425" s="118" t="s">
        <v>130</v>
      </c>
      <c r="F425" s="118" t="s">
        <v>46</v>
      </c>
      <c r="G425" s="153"/>
      <c r="H425" s="155">
        <v>1.1308</v>
      </c>
      <c r="I425" s="154" t="s">
        <v>128</v>
      </c>
      <c r="J425" s="204">
        <v>1.7000000000000001E-4</v>
      </c>
      <c r="K425" s="154" t="s">
        <v>145</v>
      </c>
      <c r="L425" s="154" t="str">
        <f>IF(OpenLCAbasic!K425="CTUh", "Fill in Manually",IF(OR(K425="Unit", K425=""), "", INDEX(LookUps!$E$5:$E$12, MATCH(OpenLCAbasic!K425,LookUps!$D$5:$D$12,0))))</f>
        <v>Particulate Matter Formation Potential (PMFP) - kg PM2.5 eq</v>
      </c>
      <c r="M425" s="154" t="str">
        <f t="shared" si="20"/>
        <v>Base_Base_High_Upgraded_Particulate Matter Formation Potential (PMFP) - kg PM2.5 eq_Wastewater collection; operation and infrastructure; m3 wastewater_Base_With Amendment_Windrow</v>
      </c>
    </row>
    <row r="426" spans="1:13" s="120" customFormat="1" x14ac:dyDescent="0.25">
      <c r="A426" s="119"/>
      <c r="B426" s="138" t="str">
        <f t="shared" si="19"/>
        <v>Windrow</v>
      </c>
      <c r="C426" s="138" t="str">
        <f t="shared" si="21"/>
        <v>Base_With Amendment</v>
      </c>
      <c r="D426" s="118" t="s">
        <v>134</v>
      </c>
      <c r="E426" s="118" t="s">
        <v>130</v>
      </c>
      <c r="F426" s="118" t="s">
        <v>46</v>
      </c>
      <c r="G426" s="153"/>
      <c r="H426" s="155">
        <v>0.6835</v>
      </c>
      <c r="I426" s="154" t="s">
        <v>60</v>
      </c>
      <c r="J426" s="204">
        <v>1E-4</v>
      </c>
      <c r="K426" s="154" t="s">
        <v>145</v>
      </c>
      <c r="L426" s="154" t="str">
        <f>IF(OpenLCAbasic!K426="CTUh", "Fill in Manually",IF(OR(K426="Unit", K426=""), "", INDEX(LookUps!$E$5:$E$12, MATCH(OpenLCAbasic!K426,LookUps!$D$5:$D$12,0))))</f>
        <v>Particulate Matter Formation Potential (PMFP) - kg PM2.5 eq</v>
      </c>
      <c r="M426" s="154" t="str">
        <f t="shared" si="20"/>
        <v>Base_Base_High_Upgraded_Particulate Matter Formation Potential (PMFP) - kg PM2.5 eq_Belt filter press; wastewater treatment unit; at updated plant - US_Base_With Amendment_Windrow</v>
      </c>
    </row>
    <row r="427" spans="1:13" s="120" customFormat="1" x14ac:dyDescent="0.25">
      <c r="A427" s="119"/>
      <c r="B427" s="138" t="str">
        <f t="shared" si="19"/>
        <v>Windrow</v>
      </c>
      <c r="C427" s="138" t="str">
        <f t="shared" si="21"/>
        <v>Base_With Amendment</v>
      </c>
      <c r="D427" s="118" t="s">
        <v>134</v>
      </c>
      <c r="E427" s="118" t="s">
        <v>130</v>
      </c>
      <c r="F427" s="118" t="s">
        <v>46</v>
      </c>
      <c r="G427" s="153"/>
      <c r="H427" s="155">
        <v>0.64639999999999997</v>
      </c>
      <c r="I427" s="154" t="s">
        <v>57</v>
      </c>
      <c r="J427" s="204">
        <v>9.5153800000000004E-5</v>
      </c>
      <c r="K427" s="154" t="s">
        <v>145</v>
      </c>
      <c r="L427" s="154" t="str">
        <f>IF(OpenLCAbasic!K427="CTUh", "Fill in Manually",IF(OR(K427="Unit", K427=""), "", INDEX(LookUps!$E$5:$E$12, MATCH(OpenLCAbasic!K427,LookUps!$D$5:$D$12,0))))</f>
        <v>Particulate Matter Formation Potential (PMFP) - kg PM2.5 eq</v>
      </c>
      <c r="M427" s="154" t="str">
        <f t="shared" si="20"/>
        <v>Base_Base_High_Upgraded_Particulate Matter Formation Potential (PMFP) - kg PM2.5 eq_Gravity Belt Thickener; wastewater treatment unit; at updated plant - US_Base_With Amendment_Windrow</v>
      </c>
    </row>
    <row r="428" spans="1:13" s="120" customFormat="1" x14ac:dyDescent="0.25">
      <c r="A428" s="119"/>
      <c r="B428" s="138" t="str">
        <f t="shared" si="19"/>
        <v>Windrow</v>
      </c>
      <c r="C428" s="138" t="str">
        <f t="shared" si="21"/>
        <v>Base_With Amendment</v>
      </c>
      <c r="D428" s="118" t="s">
        <v>134</v>
      </c>
      <c r="E428" s="118" t="s">
        <v>130</v>
      </c>
      <c r="F428" s="118" t="s">
        <v>46</v>
      </c>
      <c r="G428" s="153"/>
      <c r="H428" s="155">
        <v>0.47510000000000002</v>
      </c>
      <c r="I428" s="154" t="s">
        <v>59</v>
      </c>
      <c r="J428" s="204">
        <v>6.9942200000000003E-5</v>
      </c>
      <c r="K428" s="154" t="s">
        <v>145</v>
      </c>
      <c r="L428" s="154" t="str">
        <f>IF(OpenLCAbasic!K428="CTUh", "Fill in Manually",IF(OR(K428="Unit", K428=""), "", INDEX(LookUps!$E$5:$E$12, MATCH(OpenLCAbasic!K428,LookUps!$D$5:$D$12,0))))</f>
        <v>Particulate Matter Formation Potential (PMFP) - kg PM2.5 eq</v>
      </c>
      <c r="M428" s="154" t="str">
        <f t="shared" si="20"/>
        <v>Base_Base_High_Upgraded_Particulate Matter Formation Potential (PMFP) - kg PM2.5 eq_Blend Tank; wastewater treatment unit; at updated plant - US_Base_With Amendment_Windrow</v>
      </c>
    </row>
    <row r="429" spans="1:13" s="120" customFormat="1" x14ac:dyDescent="0.25">
      <c r="A429" s="119"/>
      <c r="B429" s="138" t="str">
        <f t="shared" si="19"/>
        <v>Windrow</v>
      </c>
      <c r="C429" s="138" t="str">
        <f t="shared" si="21"/>
        <v>Base_With Amendment</v>
      </c>
      <c r="D429" s="118" t="s">
        <v>134</v>
      </c>
      <c r="E429" s="118" t="s">
        <v>130</v>
      </c>
      <c r="F429" s="118" t="s">
        <v>46</v>
      </c>
      <c r="G429" s="153"/>
      <c r="H429" s="155">
        <v>0.33950000000000002</v>
      </c>
      <c r="I429" s="154" t="s">
        <v>48</v>
      </c>
      <c r="J429" s="204">
        <v>4.99741E-5</v>
      </c>
      <c r="K429" s="154" t="s">
        <v>145</v>
      </c>
      <c r="L429" s="154" t="str">
        <f>IF(OpenLCAbasic!K429="CTUh", "Fill in Manually",IF(OR(K429="Unit", K429=""), "", INDEX(LookUps!$E$5:$E$12, MATCH(OpenLCAbasic!K429,LookUps!$D$5:$D$12,0))))</f>
        <v>Particulate Matter Formation Potential (PMFP) - kg PM2.5 eq</v>
      </c>
      <c r="M429" s="154" t="str">
        <f t="shared" si="20"/>
        <v>Base_Base_High_Upgraded_Particulate Matter Formation Potential (PMFP) - kg PM2.5 eq_Effluent release; wastewater treatment unit; at surface water; m3 wastewater - US_Base_With Amendment_Windrow</v>
      </c>
    </row>
    <row r="430" spans="1:13" s="120" customFormat="1" x14ac:dyDescent="0.25">
      <c r="A430" s="119"/>
      <c r="B430" s="138" t="str">
        <f t="shared" si="19"/>
        <v>Windrow</v>
      </c>
      <c r="C430" s="138" t="str">
        <f t="shared" si="21"/>
        <v>Base_With Amendment</v>
      </c>
      <c r="D430" s="118" t="s">
        <v>134</v>
      </c>
      <c r="E430" s="118" t="s">
        <v>130</v>
      </c>
      <c r="F430" s="118" t="s">
        <v>46</v>
      </c>
      <c r="G430" s="153"/>
      <c r="H430" s="212">
        <v>0.28039999999999998</v>
      </c>
      <c r="I430" s="208" t="s">
        <v>62</v>
      </c>
      <c r="J430" s="204">
        <v>4.1279400000000003E-5</v>
      </c>
      <c r="K430" s="154" t="s">
        <v>145</v>
      </c>
      <c r="L430" s="154" t="str">
        <f>IF(OpenLCAbasic!K430="CTUh", "Fill in Manually",IF(OR(K430="Unit", K430=""), "", INDEX(LookUps!$E$5:$E$12, MATCH(OpenLCAbasic!K430,LookUps!$D$5:$D$12,0))))</f>
        <v>Particulate Matter Formation Potential (PMFP) - kg PM2.5 eq</v>
      </c>
      <c r="M430" s="154" t="str">
        <f t="shared" si="20"/>
        <v>Base_Base_High_Upgraded_Particulate Matter Formation Potential (PMFP) - kg PM2.5 eq_Land application of compost; wastewater treatment unit; at updated plant - US_Base_With Amendment_Windrow</v>
      </c>
    </row>
    <row r="431" spans="1:13" s="120" customFormat="1" x14ac:dyDescent="0.25">
      <c r="A431" s="119"/>
      <c r="B431" s="138" t="str">
        <f t="shared" si="19"/>
        <v>Windrow</v>
      </c>
      <c r="C431" s="138" t="str">
        <f t="shared" si="21"/>
        <v>Base_With Amendment</v>
      </c>
      <c r="D431" s="118" t="s">
        <v>134</v>
      </c>
      <c r="E431" s="118" t="s">
        <v>130</v>
      </c>
      <c r="F431" s="118" t="s">
        <v>46</v>
      </c>
      <c r="G431" s="153"/>
      <c r="H431" s="155">
        <v>0.23480000000000001</v>
      </c>
      <c r="I431" s="154" t="s">
        <v>168</v>
      </c>
      <c r="J431" s="204">
        <v>3.4562199999999999E-5</v>
      </c>
      <c r="K431" s="154" t="s">
        <v>145</v>
      </c>
      <c r="L431" s="154" t="str">
        <f>IF(OpenLCAbasic!K431="CTUh", "Fill in Manually",IF(OR(K431="Unit", K431=""), "", INDEX(LookUps!$E$5:$E$12, MATCH(OpenLCAbasic!K431,LookUps!$D$5:$D$12,0))))</f>
        <v>Particulate Matter Formation Potential (PMFP) - kg PM2.5 eq</v>
      </c>
      <c r="M431" s="154" t="str">
        <f t="shared" si="20"/>
        <v>Base_Base_High_Upgraded_Particulate Matter Formation Potential (PMFP) - kg PM2.5 eq_ClearCove SCP; wastewater treatment unit; at updated plant - US_Base_With Amendment_Windrow</v>
      </c>
    </row>
    <row r="432" spans="1:13" s="120" customFormat="1" x14ac:dyDescent="0.25">
      <c r="A432" s="119"/>
      <c r="B432" s="138" t="str">
        <f t="shared" si="19"/>
        <v>Windrow</v>
      </c>
      <c r="C432" s="138" t="str">
        <f t="shared" si="21"/>
        <v>Base_With Amendment</v>
      </c>
      <c r="D432" s="118" t="s">
        <v>134</v>
      </c>
      <c r="E432" s="118" t="s">
        <v>130</v>
      </c>
      <c r="F432" s="118" t="s">
        <v>46</v>
      </c>
      <c r="G432" s="153"/>
      <c r="H432" s="155">
        <v>5.9900000000000002E-2</v>
      </c>
      <c r="I432" s="154" t="s">
        <v>148</v>
      </c>
      <c r="J432" s="204">
        <v>8.8212999999999997E-6</v>
      </c>
      <c r="K432" s="154" t="s">
        <v>145</v>
      </c>
      <c r="L432" s="154" t="str">
        <f>IF(OpenLCAbasic!K432="CTUh", "Fill in Manually",IF(OR(K432="Unit", K432=""), "", INDEX(LookUps!$E$5:$E$12, MATCH(OpenLCAbasic!K432,LookUps!$D$5:$D$12,0))))</f>
        <v>Particulate Matter Formation Potential (PMFP) - kg PM2.5 eq</v>
      </c>
      <c r="M432" s="154" t="str">
        <f t="shared" si="20"/>
        <v>Base_Base_High_Upgraded_Particulate Matter Formation Potential (PMFP) - kg PM2.5 eq_Control Building; at upgraded wastewater treatment plant - US_Base_With Amendment_Windrow</v>
      </c>
    </row>
    <row r="433" spans="1:13" s="120" customFormat="1" x14ac:dyDescent="0.25">
      <c r="A433" s="119"/>
      <c r="B433" s="138" t="str">
        <f t="shared" si="19"/>
        <v>Windrow</v>
      </c>
      <c r="C433" s="138" t="str">
        <f t="shared" si="21"/>
        <v>Base_With Amendment</v>
      </c>
      <c r="D433" s="118" t="s">
        <v>134</v>
      </c>
      <c r="E433" s="118" t="s">
        <v>130</v>
      </c>
      <c r="F433" s="118" t="s">
        <v>46</v>
      </c>
      <c r="G433" s="153"/>
      <c r="H433" s="155">
        <v>-35.6096</v>
      </c>
      <c r="I433" s="154" t="s">
        <v>149</v>
      </c>
      <c r="J433" s="204">
        <v>-5.2399999999999999E-3</v>
      </c>
      <c r="K433" s="154" t="s">
        <v>145</v>
      </c>
      <c r="L433" s="154" t="str">
        <f>IF(OpenLCAbasic!K433="CTUh", "Fill in Manually",IF(OR(K433="Unit", K433=""), "", INDEX(LookUps!$E$5:$E$12, MATCH(OpenLCAbasic!K433,LookUps!$D$5:$D$12,0))))</f>
        <v>Particulate Matter Formation Potential (PMFP) - kg PM2.5 eq</v>
      </c>
      <c r="M433" s="154" t="str">
        <f t="shared" si="20"/>
        <v>Base_Base_High_Upgraded_Particulate Matter Formation Potential (PMFP) - kg PM2.5 eq_Anaerobic Digestion; wastewater treatment unit; at updated plant - US_Base_With Amendment_Windrow</v>
      </c>
    </row>
    <row r="434" spans="1:13" s="120" customFormat="1" x14ac:dyDescent="0.25">
      <c r="A434" s="119"/>
      <c r="B434" s="138" t="str">
        <f t="shared" si="19"/>
        <v/>
      </c>
      <c r="C434" s="138" t="str">
        <f t="shared" si="21"/>
        <v>Base_With Amendment</v>
      </c>
      <c r="D434" s="118"/>
      <c r="E434" s="118" t="s">
        <v>130</v>
      </c>
      <c r="F434" s="118"/>
      <c r="G434" s="153" t="s">
        <v>51</v>
      </c>
      <c r="H434" s="155"/>
      <c r="I434" s="154" t="s">
        <v>47</v>
      </c>
      <c r="J434" s="154" t="s">
        <v>52</v>
      </c>
      <c r="K434" s="154" t="s">
        <v>27</v>
      </c>
      <c r="L434" s="154" t="str">
        <f>IF(OpenLCAbasic!K434="CTUh", "Fill in Manually",IF(OR(K434="Unit", K434=""), "", INDEX(LookUps!$E$5:$E$12, MATCH(OpenLCAbasic!K434,LookUps!$D$5:$D$12,0))))</f>
        <v/>
      </c>
      <c r="M434" s="154" t="str">
        <f t="shared" si="20"/>
        <v>Base____Process_Base_With Amendment_</v>
      </c>
    </row>
    <row r="435" spans="1:13" s="120" customFormat="1" x14ac:dyDescent="0.25">
      <c r="A435" s="119"/>
      <c r="B435" s="138" t="str">
        <f t="shared" si="19"/>
        <v>Windrow</v>
      </c>
      <c r="C435" s="138" t="str">
        <f t="shared" si="21"/>
        <v>Base_With Amendment</v>
      </c>
      <c r="D435" s="118" t="s">
        <v>134</v>
      </c>
      <c r="E435" s="118" t="s">
        <v>130</v>
      </c>
      <c r="F435" s="118" t="s">
        <v>46</v>
      </c>
      <c r="G435" s="153"/>
      <c r="H435" s="155">
        <v>75.788300000000007</v>
      </c>
      <c r="I435" s="154" t="s">
        <v>55</v>
      </c>
      <c r="J435" s="203">
        <v>0.16577</v>
      </c>
      <c r="K435" s="154" t="s">
        <v>25</v>
      </c>
      <c r="L435" s="154" t="str">
        <f>IF(OpenLCAbasic!K435="CTUh", "Fill in Manually",IF(OR(K435="Unit", K435=""), "", INDEX(LookUps!$E$5:$E$12, MATCH(OpenLCAbasic!K435,LookUps!$D$5:$D$12,0))))</f>
        <v>Smog Formation Potential (SFP) - kg O3 eq</v>
      </c>
      <c r="M435" s="154" t="str">
        <f t="shared" si="20"/>
        <v>Base_Base_High_Upgraded_Smog Formation Potential (SFP) - kg O3 eq_Aeration Tanks; wastewater treatment unit; at updated plant - US_Base_With Amendment_Windrow</v>
      </c>
    </row>
    <row r="436" spans="1:13" s="120" customFormat="1" x14ac:dyDescent="0.25">
      <c r="A436" s="119"/>
      <c r="B436" s="138" t="str">
        <f t="shared" si="19"/>
        <v>Windrow</v>
      </c>
      <c r="C436" s="138" t="str">
        <f t="shared" si="21"/>
        <v>Base_With Amendment</v>
      </c>
      <c r="D436" s="118" t="s">
        <v>134</v>
      </c>
      <c r="E436" s="118" t="s">
        <v>130</v>
      </c>
      <c r="F436" s="118" t="s">
        <v>46</v>
      </c>
      <c r="G436" s="153"/>
      <c r="H436" s="155">
        <v>21.9785</v>
      </c>
      <c r="I436" s="154" t="s">
        <v>54</v>
      </c>
      <c r="J436" s="203">
        <v>4.8070000000000002E-2</v>
      </c>
      <c r="K436" s="154" t="s">
        <v>25</v>
      </c>
      <c r="L436" s="154" t="str">
        <f>IF(OpenLCAbasic!K436="CTUh", "Fill in Manually",IF(OR(K436="Unit", K436=""), "", INDEX(LookUps!$E$5:$E$12, MATCH(OpenLCAbasic!K436,LookUps!$D$5:$D$12,0))))</f>
        <v>Smog Formation Potential (SFP) - kg O3 eq</v>
      </c>
      <c r="M436" s="154" t="str">
        <f t="shared" si="20"/>
        <v>Base_Base_High_Upgraded_Smog Formation Potential (SFP) - kg O3 eq_Clear Cove Primary Clarification; wastewater treatment unit; at updated plant - US_Base_With Amendment_Windrow</v>
      </c>
    </row>
    <row r="437" spans="1:13" s="120" customFormat="1" x14ac:dyDescent="0.25">
      <c r="A437" s="119"/>
      <c r="B437" s="138" t="str">
        <f t="shared" si="19"/>
        <v>Windrow</v>
      </c>
      <c r="C437" s="138" t="str">
        <f t="shared" si="21"/>
        <v>Base_With Amendment</v>
      </c>
      <c r="D437" s="118" t="s">
        <v>134</v>
      </c>
      <c r="E437" s="118" t="s">
        <v>130</v>
      </c>
      <c r="F437" s="118" t="s">
        <v>46</v>
      </c>
      <c r="G437" s="153"/>
      <c r="H437" s="155">
        <v>19.100999999999999</v>
      </c>
      <c r="I437" s="154" t="s">
        <v>58</v>
      </c>
      <c r="J437" s="203">
        <v>4.1779999999999998E-2</v>
      </c>
      <c r="K437" s="154" t="s">
        <v>25</v>
      </c>
      <c r="L437" s="154" t="str">
        <f>IF(OpenLCAbasic!K437="CTUh", "Fill in Manually",IF(OR(K437="Unit", K437=""), "", INDEX(LookUps!$E$5:$E$12, MATCH(OpenLCAbasic!K437,LookUps!$D$5:$D$12,0))))</f>
        <v>Smog Formation Potential (SFP) - kg O3 eq</v>
      </c>
      <c r="M437" s="154" t="str">
        <f t="shared" si="20"/>
        <v>Base_Base_High_Upgraded_Smog Formation Potential (SFP) - kg O3 eq_Pre-Anoxic &amp; Swing tank; wastewater treatment unit; at updated plant - US_Base_With Amendment_Windrow</v>
      </c>
    </row>
    <row r="438" spans="1:13" s="120" customFormat="1" x14ac:dyDescent="0.25">
      <c r="A438" s="119"/>
      <c r="B438" s="138" t="str">
        <f t="shared" si="19"/>
        <v>Windrow</v>
      </c>
      <c r="C438" s="138" t="str">
        <f t="shared" si="21"/>
        <v>Base_With Amendment</v>
      </c>
      <c r="D438" s="118" t="s">
        <v>134</v>
      </c>
      <c r="E438" s="118" t="s">
        <v>130</v>
      </c>
      <c r="F438" s="118" t="s">
        <v>46</v>
      </c>
      <c r="G438" s="153"/>
      <c r="H438" s="155">
        <v>15.144399999999999</v>
      </c>
      <c r="I438" s="154" t="s">
        <v>53</v>
      </c>
      <c r="J438" s="203">
        <v>3.313E-2</v>
      </c>
      <c r="K438" s="154" t="s">
        <v>25</v>
      </c>
      <c r="L438" s="154" t="str">
        <f>IF(OpenLCAbasic!K438="CTUh", "Fill in Manually",IF(OR(K438="Unit", K438=""), "", INDEX(LookUps!$E$5:$E$12, MATCH(OpenLCAbasic!K438,LookUps!$D$5:$D$12,0))))</f>
        <v>Smog Formation Potential (SFP) - kg O3 eq</v>
      </c>
      <c r="M438" s="154" t="str">
        <f t="shared" si="20"/>
        <v>Base_Base_High_Upgraded_Smog Formation Potential (SFP) - kg O3 eq_Wet Well and Sump Station; wastewater treatment unit; at updated plant - US_Base_With Amendment_Windrow</v>
      </c>
    </row>
    <row r="439" spans="1:13" s="120" customFormat="1" x14ac:dyDescent="0.25">
      <c r="A439" s="119"/>
      <c r="B439" s="138" t="str">
        <f t="shared" si="19"/>
        <v>Windrow</v>
      </c>
      <c r="C439" s="138" t="str">
        <f t="shared" si="21"/>
        <v>Base_With Amendment</v>
      </c>
      <c r="D439" s="118" t="s">
        <v>134</v>
      </c>
      <c r="E439" s="118" t="s">
        <v>130</v>
      </c>
      <c r="F439" s="118" t="s">
        <v>46</v>
      </c>
      <c r="G439" s="153"/>
      <c r="H439" s="155">
        <v>12.776199999999999</v>
      </c>
      <c r="I439" s="154" t="s">
        <v>167</v>
      </c>
      <c r="J439" s="203">
        <v>2.7949999999999999E-2</v>
      </c>
      <c r="K439" s="154" t="s">
        <v>25</v>
      </c>
      <c r="L439" s="154" t="str">
        <f>IF(OpenLCAbasic!K439="CTUh", "Fill in Manually",IF(OR(K439="Unit", K439=""), "", INDEX(LookUps!$E$5:$E$12, MATCH(OpenLCAbasic!K439,LookUps!$D$5:$D$12,0))))</f>
        <v>Smog Formation Potential (SFP) - kg O3 eq</v>
      </c>
      <c r="M439" s="154" t="str">
        <f t="shared" si="20"/>
        <v>Base_Base_High_Upgraded_Smog Formation Potential (SFP) - kg O3 eq_Waste Receiving and Holding; wastewater treatment unit; at updated plant - US_Base_With Amendment_Windrow</v>
      </c>
    </row>
    <row r="440" spans="1:13" s="120" customFormat="1" x14ac:dyDescent="0.25">
      <c r="A440" s="119"/>
      <c r="B440" s="138" t="str">
        <f t="shared" si="19"/>
        <v>Windrow</v>
      </c>
      <c r="C440" s="138" t="str">
        <f t="shared" si="21"/>
        <v>Base_With Amendment</v>
      </c>
      <c r="D440" s="118" t="s">
        <v>134</v>
      </c>
      <c r="E440" s="118" t="s">
        <v>130</v>
      </c>
      <c r="F440" s="118" t="s">
        <v>46</v>
      </c>
      <c r="G440" s="153"/>
      <c r="H440" s="155">
        <v>8.8688000000000002</v>
      </c>
      <c r="I440" s="154" t="s">
        <v>147</v>
      </c>
      <c r="J440" s="203">
        <v>1.9400000000000001E-2</v>
      </c>
      <c r="K440" s="154" t="s">
        <v>25</v>
      </c>
      <c r="L440" s="154" t="str">
        <f>IF(OpenLCAbasic!K440="CTUh", "Fill in Manually",IF(OR(K440="Unit", K440=""), "", INDEX(LookUps!$E$5:$E$12, MATCH(OpenLCAbasic!K440,LookUps!$D$5:$D$12,0))))</f>
        <v>Smog Formation Potential (SFP) - kg O3 eq</v>
      </c>
      <c r="M440" s="154" t="str">
        <f t="shared" si="20"/>
        <v>Base_Base_High_Upgraded_Smog Formation Potential (SFP) - kg O3 eq_Influent Pump Station; wastewater treatment unit; at updated plant - US_Base_With Amendment_Windrow</v>
      </c>
    </row>
    <row r="441" spans="1:13" s="120" customFormat="1" x14ac:dyDescent="0.25">
      <c r="A441" s="119"/>
      <c r="B441" s="138" t="str">
        <f t="shared" si="19"/>
        <v>Windrow</v>
      </c>
      <c r="C441" s="138" t="str">
        <f t="shared" si="21"/>
        <v>Base_With Amendment</v>
      </c>
      <c r="D441" s="118" t="s">
        <v>134</v>
      </c>
      <c r="E441" s="118" t="s">
        <v>130</v>
      </c>
      <c r="F441" s="118" t="s">
        <v>46</v>
      </c>
      <c r="G441" s="153"/>
      <c r="H441" s="155">
        <v>5.4489000000000001</v>
      </c>
      <c r="I441" s="154" t="s">
        <v>128</v>
      </c>
      <c r="J441" s="204">
        <v>1.192E-2</v>
      </c>
      <c r="K441" s="154" t="s">
        <v>25</v>
      </c>
      <c r="L441" s="154" t="str">
        <f>IF(OpenLCAbasic!K441="CTUh", "Fill in Manually",IF(OR(K441="Unit", K441=""), "", INDEX(LookUps!$E$5:$E$12, MATCH(OpenLCAbasic!K441,LookUps!$D$5:$D$12,0))))</f>
        <v>Smog Formation Potential (SFP) - kg O3 eq</v>
      </c>
      <c r="M441" s="154" t="str">
        <f t="shared" si="20"/>
        <v>Base_Base_High_Upgraded_Smog Formation Potential (SFP) - kg O3 eq_Wastewater collection; operation and infrastructure; m3 wastewater_Base_With Amendment_Windrow</v>
      </c>
    </row>
    <row r="442" spans="1:13" s="120" customFormat="1" x14ac:dyDescent="0.25">
      <c r="A442" s="119"/>
      <c r="B442" s="138" t="str">
        <f t="shared" si="19"/>
        <v>Windrow</v>
      </c>
      <c r="C442" s="138" t="str">
        <f t="shared" si="21"/>
        <v>Base_With Amendment</v>
      </c>
      <c r="D442" s="118" t="s">
        <v>134</v>
      </c>
      <c r="E442" s="118" t="s">
        <v>130</v>
      </c>
      <c r="F442" s="118" t="s">
        <v>46</v>
      </c>
      <c r="G442" s="153"/>
      <c r="H442" s="155">
        <v>3.2353000000000001</v>
      </c>
      <c r="I442" s="154" t="s">
        <v>60</v>
      </c>
      <c r="J442" s="204">
        <v>7.0800000000000004E-3</v>
      </c>
      <c r="K442" s="154" t="s">
        <v>25</v>
      </c>
      <c r="L442" s="154" t="str">
        <f>IF(OpenLCAbasic!K442="CTUh", "Fill in Manually",IF(OR(K442="Unit", K442=""), "", INDEX(LookUps!$E$5:$E$12, MATCH(OpenLCAbasic!K442,LookUps!$D$5:$D$12,0))))</f>
        <v>Smog Formation Potential (SFP) - kg O3 eq</v>
      </c>
      <c r="M442" s="154" t="str">
        <f t="shared" si="20"/>
        <v>Base_Base_High_Upgraded_Smog Formation Potential (SFP) - kg O3 eq_Belt filter press; wastewater treatment unit; at updated plant - US_Base_With Amendment_Windrow</v>
      </c>
    </row>
    <row r="443" spans="1:13" s="120" customFormat="1" x14ac:dyDescent="0.25">
      <c r="A443" s="119"/>
      <c r="B443" s="138" t="str">
        <f t="shared" si="19"/>
        <v>Windrow</v>
      </c>
      <c r="C443" s="138" t="str">
        <f t="shared" si="21"/>
        <v>Base_With Amendment</v>
      </c>
      <c r="D443" s="118" t="s">
        <v>134</v>
      </c>
      <c r="E443" s="118" t="s">
        <v>130</v>
      </c>
      <c r="F443" s="118" t="s">
        <v>46</v>
      </c>
      <c r="G443" s="153"/>
      <c r="H443" s="155">
        <v>3.0417000000000001</v>
      </c>
      <c r="I443" s="154" t="s">
        <v>57</v>
      </c>
      <c r="J443" s="204">
        <v>6.6499999999999997E-3</v>
      </c>
      <c r="K443" s="154" t="s">
        <v>25</v>
      </c>
      <c r="L443" s="154" t="str">
        <f>IF(OpenLCAbasic!K443="CTUh", "Fill in Manually",IF(OR(K443="Unit", K443=""), "", INDEX(LookUps!$E$5:$E$12, MATCH(OpenLCAbasic!K443,LookUps!$D$5:$D$12,0))))</f>
        <v>Smog Formation Potential (SFP) - kg O3 eq</v>
      </c>
      <c r="M443" s="154" t="str">
        <f t="shared" si="20"/>
        <v>Base_Base_High_Upgraded_Smog Formation Potential (SFP) - kg O3 eq_Gravity Belt Thickener; wastewater treatment unit; at updated plant - US_Base_With Amendment_Windrow</v>
      </c>
    </row>
    <row r="444" spans="1:13" s="120" customFormat="1" x14ac:dyDescent="0.25">
      <c r="A444" s="119"/>
      <c r="B444" s="138" t="str">
        <f t="shared" si="19"/>
        <v>Windrow</v>
      </c>
      <c r="C444" s="138" t="str">
        <f t="shared" si="21"/>
        <v>Base_With Amendment</v>
      </c>
      <c r="D444" s="118" t="s">
        <v>134</v>
      </c>
      <c r="E444" s="118" t="s">
        <v>130</v>
      </c>
      <c r="F444" s="118" t="s">
        <v>46</v>
      </c>
      <c r="G444" s="153"/>
      <c r="H444" s="155">
        <v>2.2736999999999998</v>
      </c>
      <c r="I444" s="154" t="s">
        <v>59</v>
      </c>
      <c r="J444" s="204">
        <v>4.9699999999999996E-3</v>
      </c>
      <c r="K444" s="154" t="s">
        <v>25</v>
      </c>
      <c r="L444" s="154" t="str">
        <f>IF(OpenLCAbasic!K444="CTUh", "Fill in Manually",IF(OR(K444="Unit", K444=""), "", INDEX(LookUps!$E$5:$E$12, MATCH(OpenLCAbasic!K444,LookUps!$D$5:$D$12,0))))</f>
        <v>Smog Formation Potential (SFP) - kg O3 eq</v>
      </c>
      <c r="M444" s="154" t="str">
        <f t="shared" si="20"/>
        <v>Base_Base_High_Upgraded_Smog Formation Potential (SFP) - kg O3 eq_Blend Tank; wastewater treatment unit; at updated plant - US_Base_With Amendment_Windrow</v>
      </c>
    </row>
    <row r="445" spans="1:13" s="120" customFormat="1" x14ac:dyDescent="0.25">
      <c r="A445" s="119"/>
      <c r="B445" s="138" t="str">
        <f t="shared" si="19"/>
        <v>Windrow</v>
      </c>
      <c r="C445" s="138" t="str">
        <f t="shared" si="21"/>
        <v>Base_With Amendment</v>
      </c>
      <c r="D445" s="118" t="s">
        <v>134</v>
      </c>
      <c r="E445" s="118" t="s">
        <v>130</v>
      </c>
      <c r="F445" s="118" t="s">
        <v>46</v>
      </c>
      <c r="G445" s="153"/>
      <c r="H445" s="155">
        <v>1.5477000000000001</v>
      </c>
      <c r="I445" s="154" t="s">
        <v>48</v>
      </c>
      <c r="J445" s="204">
        <v>3.3899999999999998E-3</v>
      </c>
      <c r="K445" s="154" t="s">
        <v>25</v>
      </c>
      <c r="L445" s="154" t="str">
        <f>IF(OpenLCAbasic!K445="CTUh", "Fill in Manually",IF(OR(K445="Unit", K445=""), "", INDEX(LookUps!$E$5:$E$12, MATCH(OpenLCAbasic!K445,LookUps!$D$5:$D$12,0))))</f>
        <v>Smog Formation Potential (SFP) - kg O3 eq</v>
      </c>
      <c r="M445" s="154" t="str">
        <f t="shared" si="20"/>
        <v>Base_Base_High_Upgraded_Smog Formation Potential (SFP) - kg O3 eq_Effluent release; wastewater treatment unit; at surface water; m3 wastewater - US_Base_With Amendment_Windrow</v>
      </c>
    </row>
    <row r="446" spans="1:13" s="120" customFormat="1" x14ac:dyDescent="0.25">
      <c r="A446" s="119"/>
      <c r="B446" s="138" t="str">
        <f t="shared" si="19"/>
        <v>Windrow</v>
      </c>
      <c r="C446" s="138" t="str">
        <f t="shared" si="21"/>
        <v>Base_With Amendment</v>
      </c>
      <c r="D446" s="118" t="s">
        <v>134</v>
      </c>
      <c r="E446" s="118" t="s">
        <v>130</v>
      </c>
      <c r="F446" s="118" t="s">
        <v>46</v>
      </c>
      <c r="G446" s="153"/>
      <c r="H446" s="155">
        <v>1.1225000000000001</v>
      </c>
      <c r="I446" s="154" t="s">
        <v>168</v>
      </c>
      <c r="J446" s="204">
        <v>2.4599999999999999E-3</v>
      </c>
      <c r="K446" s="154" t="s">
        <v>25</v>
      </c>
      <c r="L446" s="154" t="str">
        <f>IF(OpenLCAbasic!K446="CTUh", "Fill in Manually",IF(OR(K446="Unit", K446=""), "", INDEX(LookUps!$E$5:$E$12, MATCH(OpenLCAbasic!K446,LookUps!$D$5:$D$12,0))))</f>
        <v>Smog Formation Potential (SFP) - kg O3 eq</v>
      </c>
      <c r="M446" s="154" t="str">
        <f t="shared" si="20"/>
        <v>Base_Base_High_Upgraded_Smog Formation Potential (SFP) - kg O3 eq_ClearCove SCP; wastewater treatment unit; at updated plant - US_Base_With Amendment_Windrow</v>
      </c>
    </row>
    <row r="447" spans="1:13" s="120" customFormat="1" x14ac:dyDescent="0.25">
      <c r="A447" s="119"/>
      <c r="B447" s="138" t="str">
        <f t="shared" si="19"/>
        <v>Windrow</v>
      </c>
      <c r="C447" s="138" t="str">
        <f t="shared" si="21"/>
        <v>Base_With Amendment</v>
      </c>
      <c r="D447" s="118" t="s">
        <v>134</v>
      </c>
      <c r="E447" s="118" t="s">
        <v>130</v>
      </c>
      <c r="F447" s="118" t="s">
        <v>46</v>
      </c>
      <c r="G447" s="153"/>
      <c r="H447" s="155">
        <v>0.47720000000000001</v>
      </c>
      <c r="I447" s="154" t="s">
        <v>271</v>
      </c>
      <c r="J447" s="204">
        <v>1.0399999999999999E-3</v>
      </c>
      <c r="K447" s="154" t="s">
        <v>25</v>
      </c>
      <c r="L447" s="154" t="str">
        <f>IF(OpenLCAbasic!K447="CTUh", "Fill in Manually",IF(OR(K447="Unit", K447=""), "", INDEX(LookUps!$E$5:$E$12, MATCH(OpenLCAbasic!K447,LookUps!$D$5:$D$12,0))))</f>
        <v>Smog Formation Potential (SFP) - kg O3 eq</v>
      </c>
      <c r="M447" s="154" t="str">
        <f t="shared" si="20"/>
        <v>Base_Base_High_Upgraded_Smog Formation Potential (SFP) - kg O3 eq_Biosolids composting; windrow composting; wastewater treatment unit; at updated plant - US_Base_With Amendment_Windrow</v>
      </c>
    </row>
    <row r="448" spans="1:13" s="120" customFormat="1" x14ac:dyDescent="0.25">
      <c r="A448" s="119"/>
      <c r="B448" s="138" t="str">
        <f t="shared" si="19"/>
        <v>Windrow</v>
      </c>
      <c r="C448" s="138" t="str">
        <f t="shared" si="21"/>
        <v>Base_With Amendment</v>
      </c>
      <c r="D448" s="118" t="s">
        <v>134</v>
      </c>
      <c r="E448" s="118" t="s">
        <v>130</v>
      </c>
      <c r="F448" s="118" t="s">
        <v>46</v>
      </c>
      <c r="G448" s="153"/>
      <c r="H448" s="155">
        <v>0.24629999999999999</v>
      </c>
      <c r="I448" s="154" t="s">
        <v>148</v>
      </c>
      <c r="J448" s="204">
        <v>5.4000000000000001E-4</v>
      </c>
      <c r="K448" s="154" t="s">
        <v>25</v>
      </c>
      <c r="L448" s="154" t="str">
        <f>IF(OpenLCAbasic!K448="CTUh", "Fill in Manually",IF(OR(K448="Unit", K448=""), "", INDEX(LookUps!$E$5:$E$12, MATCH(OpenLCAbasic!K448,LookUps!$D$5:$D$12,0))))</f>
        <v>Smog Formation Potential (SFP) - kg O3 eq</v>
      </c>
      <c r="M448" s="154" t="str">
        <f t="shared" si="20"/>
        <v>Base_Base_High_Upgraded_Smog Formation Potential (SFP) - kg O3 eq_Control Building; at upgraded wastewater treatment plant - US_Base_With Amendment_Windrow</v>
      </c>
    </row>
    <row r="449" spans="1:13" s="120" customFormat="1" x14ac:dyDescent="0.25">
      <c r="A449" s="119"/>
      <c r="B449" s="138" t="str">
        <f t="shared" si="19"/>
        <v>Windrow</v>
      </c>
      <c r="C449" s="138" t="str">
        <f t="shared" si="21"/>
        <v>Base_With Amendment</v>
      </c>
      <c r="D449" s="118" t="s">
        <v>134</v>
      </c>
      <c r="E449" s="118" t="s">
        <v>130</v>
      </c>
      <c r="F449" s="118" t="s">
        <v>46</v>
      </c>
      <c r="G449" s="153"/>
      <c r="H449" s="155">
        <v>-1.2116</v>
      </c>
      <c r="I449" s="154" t="s">
        <v>62</v>
      </c>
      <c r="J449" s="204">
        <v>-2.65E-3</v>
      </c>
      <c r="K449" s="154" t="s">
        <v>25</v>
      </c>
      <c r="L449" s="154" t="str">
        <f>IF(OpenLCAbasic!K449="CTUh", "Fill in Manually",IF(OR(K449="Unit", K449=""), "", INDEX(LookUps!$E$5:$E$12, MATCH(OpenLCAbasic!K449,LookUps!$D$5:$D$12,0))))</f>
        <v>Smog Formation Potential (SFP) - kg O3 eq</v>
      </c>
      <c r="M449" s="154" t="str">
        <f t="shared" si="20"/>
        <v>Base_Base_High_Upgraded_Smog Formation Potential (SFP) - kg O3 eq_Land application of compost; wastewater treatment unit; at updated plant - US_Base_With Amendment_Windrow</v>
      </c>
    </row>
    <row r="450" spans="1:13" s="120" customFormat="1" x14ac:dyDescent="0.25">
      <c r="A450" s="119"/>
      <c r="B450" s="138" t="str">
        <f t="shared" si="19"/>
        <v>Windrow</v>
      </c>
      <c r="C450" s="138" t="str">
        <f t="shared" si="21"/>
        <v>Base_With Amendment</v>
      </c>
      <c r="D450" s="118" t="s">
        <v>134</v>
      </c>
      <c r="E450" s="118" t="s">
        <v>130</v>
      </c>
      <c r="F450" s="118" t="s">
        <v>46</v>
      </c>
      <c r="G450" s="153"/>
      <c r="H450" s="155">
        <v>-170.83860000000001</v>
      </c>
      <c r="I450" s="154" t="s">
        <v>149</v>
      </c>
      <c r="J450" s="203">
        <v>-0.37367</v>
      </c>
      <c r="K450" s="154" t="s">
        <v>25</v>
      </c>
      <c r="L450" s="154" t="str">
        <f>IF(OpenLCAbasic!K450="CTUh", "Fill in Manually",IF(OR(K450="Unit", K450=""), "", INDEX(LookUps!$E$5:$E$12, MATCH(OpenLCAbasic!K450,LookUps!$D$5:$D$12,0))))</f>
        <v>Smog Formation Potential (SFP) - kg O3 eq</v>
      </c>
      <c r="M450" s="154" t="str">
        <f t="shared" si="20"/>
        <v>Base_Base_High_Upgraded_Smog Formation Potential (SFP) - kg O3 eq_Anaerobic Digestion; wastewater treatment unit; at updated plant - US_Base_With Amendment_Windrow</v>
      </c>
    </row>
    <row r="451" spans="1:13" s="120" customFormat="1" x14ac:dyDescent="0.25">
      <c r="A451" s="119"/>
      <c r="B451" s="138" t="str">
        <f t="shared" si="19"/>
        <v/>
      </c>
      <c r="C451" s="138" t="str">
        <f t="shared" si="21"/>
        <v>Base_With Amendment</v>
      </c>
      <c r="D451" s="118"/>
      <c r="E451" s="118" t="s">
        <v>130</v>
      </c>
      <c r="F451" s="118"/>
      <c r="G451" s="153" t="s">
        <v>51</v>
      </c>
      <c r="H451" s="155"/>
      <c r="I451" s="154" t="s">
        <v>47</v>
      </c>
      <c r="J451" s="154" t="s">
        <v>52</v>
      </c>
      <c r="K451" s="154" t="s">
        <v>27</v>
      </c>
      <c r="L451" s="154" t="str">
        <f>IF(OpenLCAbasic!K451="CTUh", "Fill in Manually",IF(OR(K451="Unit", K451=""), "", INDEX(LookUps!$E$5:$E$12, MATCH(OpenLCAbasic!K451,LookUps!$D$5:$D$12,0))))</f>
        <v/>
      </c>
      <c r="M451" s="154" t="str">
        <f t="shared" si="20"/>
        <v>Base____Process_Base_With Amendment_</v>
      </c>
    </row>
    <row r="452" spans="1:13" s="120" customFormat="1" x14ac:dyDescent="0.25">
      <c r="A452" s="119"/>
      <c r="B452" s="138" t="str">
        <f t="shared" si="19"/>
        <v>Windrow</v>
      </c>
      <c r="C452" s="138" t="str">
        <f t="shared" si="21"/>
        <v>Base_With Amendment</v>
      </c>
      <c r="D452" s="118" t="s">
        <v>134</v>
      </c>
      <c r="E452" s="118" t="s">
        <v>130</v>
      </c>
      <c r="F452" s="118" t="s">
        <v>46</v>
      </c>
      <c r="G452" s="153"/>
      <c r="H452" s="155">
        <v>2.6680000000000001</v>
      </c>
      <c r="I452" s="154" t="s">
        <v>167</v>
      </c>
      <c r="J452" s="204">
        <v>2.3000000000000001E-4</v>
      </c>
      <c r="K452" s="154" t="s">
        <v>26</v>
      </c>
      <c r="L452" s="154" t="str">
        <f>IF(OpenLCAbasic!K452="CTUh", "Fill in Manually",IF(OR(K452="Unit", K452=""), "", INDEX(LookUps!$E$5:$E$12, MATCH(OpenLCAbasic!K452,LookUps!$D$5:$D$12,0))))</f>
        <v>Water Use (WU) - m3 H2O</v>
      </c>
      <c r="M452" s="154" t="str">
        <f t="shared" si="20"/>
        <v>Base_Base_High_Upgraded_Water Use (WU) - m3 H2O_Waste Receiving and Holding; wastewater treatment unit; at updated plant - US_Base_With Amendment_Windrow</v>
      </c>
    </row>
    <row r="453" spans="1:13" s="120" customFormat="1" x14ac:dyDescent="0.25">
      <c r="A453" s="119"/>
      <c r="B453" s="138" t="str">
        <f t="shared" si="19"/>
        <v>Windrow</v>
      </c>
      <c r="C453" s="138" t="str">
        <f t="shared" si="21"/>
        <v>Base_With Amendment</v>
      </c>
      <c r="D453" s="118" t="s">
        <v>134</v>
      </c>
      <c r="E453" s="118" t="s">
        <v>130</v>
      </c>
      <c r="F453" s="118" t="s">
        <v>46</v>
      </c>
      <c r="G453" s="153"/>
      <c r="H453" s="155">
        <v>2.1111</v>
      </c>
      <c r="I453" s="154" t="s">
        <v>147</v>
      </c>
      <c r="J453" s="204">
        <v>1.8000000000000001E-4</v>
      </c>
      <c r="K453" s="154" t="s">
        <v>26</v>
      </c>
      <c r="L453" s="154" t="str">
        <f>IF(OpenLCAbasic!K453="CTUh", "Fill in Manually",IF(OR(K453="Unit", K453=""), "", INDEX(LookUps!$E$5:$E$12, MATCH(OpenLCAbasic!K453,LookUps!$D$5:$D$12,0))))</f>
        <v>Water Use (WU) - m3 H2O</v>
      </c>
      <c r="M453" s="154" t="str">
        <f t="shared" si="20"/>
        <v>Base_Base_High_Upgraded_Water Use (WU) - m3 H2O_Influent Pump Station; wastewater treatment unit; at updated plant - US_Base_With Amendment_Windrow</v>
      </c>
    </row>
    <row r="454" spans="1:13" s="120" customFormat="1" x14ac:dyDescent="0.25">
      <c r="A454" s="119"/>
      <c r="B454" s="138" t="str">
        <f t="shared" si="19"/>
        <v>Windrow</v>
      </c>
      <c r="C454" s="138" t="str">
        <f t="shared" si="21"/>
        <v>Base_With Amendment</v>
      </c>
      <c r="D454" s="118" t="s">
        <v>134</v>
      </c>
      <c r="E454" s="118" t="s">
        <v>130</v>
      </c>
      <c r="F454" s="118" t="s">
        <v>46</v>
      </c>
      <c r="G454" s="153"/>
      <c r="H454" s="155">
        <v>2.0598000000000001</v>
      </c>
      <c r="I454" s="154" t="s">
        <v>54</v>
      </c>
      <c r="J454" s="204">
        <v>1.8000000000000001E-4</v>
      </c>
      <c r="K454" s="154" t="s">
        <v>26</v>
      </c>
      <c r="L454" s="154" t="str">
        <f>IF(OpenLCAbasic!K454="CTUh", "Fill in Manually",IF(OR(K454="Unit", K454=""), "", INDEX(LookUps!$E$5:$E$12, MATCH(OpenLCAbasic!K454,LookUps!$D$5:$D$12,0))))</f>
        <v>Water Use (WU) - m3 H2O</v>
      </c>
      <c r="M454" s="154" t="str">
        <f t="shared" si="20"/>
        <v>Base_Base_High_Upgraded_Water Use (WU) - m3 H2O_Clear Cove Primary Clarification; wastewater treatment unit; at updated plant - US_Base_With Amendment_Windrow</v>
      </c>
    </row>
    <row r="455" spans="1:13" s="120" customFormat="1" x14ac:dyDescent="0.25">
      <c r="A455" s="119"/>
      <c r="B455" s="138" t="str">
        <f t="shared" ref="B455:B518" si="22">IF(F455="Legacy","n.a.",IF(F455="","","Windrow"))</f>
        <v>Windrow</v>
      </c>
      <c r="C455" s="138" t="str">
        <f t="shared" si="21"/>
        <v>Base_With Amendment</v>
      </c>
      <c r="D455" s="118" t="s">
        <v>134</v>
      </c>
      <c r="E455" s="118" t="s">
        <v>130</v>
      </c>
      <c r="F455" s="118" t="s">
        <v>46</v>
      </c>
      <c r="G455" s="153"/>
      <c r="H455" s="155">
        <v>1.8686</v>
      </c>
      <c r="I455" s="154" t="s">
        <v>55</v>
      </c>
      <c r="J455" s="204">
        <v>1.6000000000000001E-4</v>
      </c>
      <c r="K455" s="154" t="s">
        <v>26</v>
      </c>
      <c r="L455" s="154" t="str">
        <f>IF(OpenLCAbasic!K455="CTUh", "Fill in Manually",IF(OR(K455="Unit", K455=""), "", INDEX(LookUps!$E$5:$E$12, MATCH(OpenLCAbasic!K455,LookUps!$D$5:$D$12,0))))</f>
        <v>Water Use (WU) - m3 H2O</v>
      </c>
      <c r="M455" s="154" t="str">
        <f t="shared" si="20"/>
        <v>Base_Base_High_Upgraded_Water Use (WU) - m3 H2O_Aeration Tanks; wastewater treatment unit; at updated plant - US_Base_With Amendment_Windrow</v>
      </c>
    </row>
    <row r="456" spans="1:13" s="120" customFormat="1" x14ac:dyDescent="0.25">
      <c r="A456" s="119"/>
      <c r="B456" s="138" t="str">
        <f t="shared" si="22"/>
        <v>Windrow</v>
      </c>
      <c r="C456" s="138" t="str">
        <f t="shared" si="21"/>
        <v>Base_With Amendment</v>
      </c>
      <c r="D456" s="118" t="s">
        <v>134</v>
      </c>
      <c r="E456" s="118" t="s">
        <v>130</v>
      </c>
      <c r="F456" s="118" t="s">
        <v>46</v>
      </c>
      <c r="G456" s="153"/>
      <c r="H456" s="155">
        <v>1.7021999999999999</v>
      </c>
      <c r="I456" s="154" t="s">
        <v>148</v>
      </c>
      <c r="J456" s="204">
        <v>1.4999999999999999E-4</v>
      </c>
      <c r="K456" s="154" t="s">
        <v>26</v>
      </c>
      <c r="L456" s="154" t="str">
        <f>IF(OpenLCAbasic!K456="CTUh", "Fill in Manually",IF(OR(K456="Unit", K456=""), "", INDEX(LookUps!$E$5:$E$12, MATCH(OpenLCAbasic!K456,LookUps!$D$5:$D$12,0))))</f>
        <v>Water Use (WU) - m3 H2O</v>
      </c>
      <c r="M456" s="154" t="str">
        <f t="shared" ref="M456:M519" si="23">CONCATENATE(E456,"_",D456,"_",F456,"_",L456, "_",I456,"_", C456,"_", B456)</f>
        <v>Base_Base_High_Upgraded_Water Use (WU) - m3 H2O_Control Building; at upgraded wastewater treatment plant - US_Base_With Amendment_Windrow</v>
      </c>
    </row>
    <row r="457" spans="1:13" s="120" customFormat="1" x14ac:dyDescent="0.25">
      <c r="A457" s="119"/>
      <c r="B457" s="138" t="str">
        <f t="shared" si="22"/>
        <v>Windrow</v>
      </c>
      <c r="C457" s="138" t="str">
        <f t="shared" si="21"/>
        <v>Base_With Amendment</v>
      </c>
      <c r="D457" s="118" t="s">
        <v>134</v>
      </c>
      <c r="E457" s="118" t="s">
        <v>130</v>
      </c>
      <c r="F457" s="118" t="s">
        <v>46</v>
      </c>
      <c r="G457" s="153"/>
      <c r="H457" s="155">
        <v>0.79039999999999999</v>
      </c>
      <c r="I457" s="154" t="s">
        <v>48</v>
      </c>
      <c r="J457" s="204">
        <v>6.8836400000000004E-5</v>
      </c>
      <c r="K457" s="154" t="s">
        <v>26</v>
      </c>
      <c r="L457" s="154" t="str">
        <f>IF(OpenLCAbasic!K457="CTUh", "Fill in Manually",IF(OR(K457="Unit", K457=""), "", INDEX(LookUps!$E$5:$E$12, MATCH(OpenLCAbasic!K457,LookUps!$D$5:$D$12,0))))</f>
        <v>Water Use (WU) - m3 H2O</v>
      </c>
      <c r="M457" s="154" t="str">
        <f t="shared" si="23"/>
        <v>Base_Base_High_Upgraded_Water Use (WU) - m3 H2O_Effluent release; wastewater treatment unit; at surface water; m3 wastewater - US_Base_With Amendment_Windrow</v>
      </c>
    </row>
    <row r="458" spans="1:13" s="120" customFormat="1" x14ac:dyDescent="0.25">
      <c r="A458" s="119"/>
      <c r="B458" s="138" t="str">
        <f t="shared" si="22"/>
        <v>Windrow</v>
      </c>
      <c r="C458" s="138" t="str">
        <f t="shared" si="21"/>
        <v>Base_With Amendment</v>
      </c>
      <c r="D458" s="118" t="s">
        <v>134</v>
      </c>
      <c r="E458" s="118" t="s">
        <v>130</v>
      </c>
      <c r="F458" s="118" t="s">
        <v>46</v>
      </c>
      <c r="G458" s="153"/>
      <c r="H458" s="155">
        <v>0.496</v>
      </c>
      <c r="I458" s="154" t="s">
        <v>58</v>
      </c>
      <c r="J458" s="204">
        <v>4.3192100000000003E-5</v>
      </c>
      <c r="K458" s="154" t="s">
        <v>26</v>
      </c>
      <c r="L458" s="154" t="str">
        <f>IF(OpenLCAbasic!K458="CTUh", "Fill in Manually",IF(OR(K458="Unit", K458=""), "", INDEX(LookUps!$E$5:$E$12, MATCH(OpenLCAbasic!K458,LookUps!$D$5:$D$12,0))))</f>
        <v>Water Use (WU) - m3 H2O</v>
      </c>
      <c r="M458" s="154" t="str">
        <f t="shared" si="23"/>
        <v>Base_Base_High_Upgraded_Water Use (WU) - m3 H2O_Pre-Anoxic &amp; Swing tank; wastewater treatment unit; at updated plant - US_Base_With Amendment_Windrow</v>
      </c>
    </row>
    <row r="459" spans="1:13" s="120" customFormat="1" x14ac:dyDescent="0.25">
      <c r="A459" s="119"/>
      <c r="B459" s="138" t="str">
        <f t="shared" si="22"/>
        <v>Windrow</v>
      </c>
      <c r="C459" s="138" t="str">
        <f t="shared" si="21"/>
        <v>Base_With Amendment</v>
      </c>
      <c r="D459" s="118" t="s">
        <v>134</v>
      </c>
      <c r="E459" s="118" t="s">
        <v>130</v>
      </c>
      <c r="F459" s="118" t="s">
        <v>46</v>
      </c>
      <c r="G459" s="153"/>
      <c r="H459" s="155">
        <v>0.34920000000000001</v>
      </c>
      <c r="I459" s="154" t="s">
        <v>57</v>
      </c>
      <c r="J459" s="204">
        <v>3.0408100000000001E-5</v>
      </c>
      <c r="K459" s="154" t="s">
        <v>26</v>
      </c>
      <c r="L459" s="154" t="str">
        <f>IF(OpenLCAbasic!K459="CTUh", "Fill in Manually",IF(OR(K459="Unit", K459=""), "", INDEX(LookUps!$E$5:$E$12, MATCH(OpenLCAbasic!K459,LookUps!$D$5:$D$12,0))))</f>
        <v>Water Use (WU) - m3 H2O</v>
      </c>
      <c r="M459" s="154" t="str">
        <f t="shared" si="23"/>
        <v>Base_Base_High_Upgraded_Water Use (WU) - m3 H2O_Gravity Belt Thickener; wastewater treatment unit; at updated plant - US_Base_With Amendment_Windrow</v>
      </c>
    </row>
    <row r="460" spans="1:13" s="120" customFormat="1" x14ac:dyDescent="0.25">
      <c r="A460" s="119"/>
      <c r="B460" s="138" t="str">
        <f t="shared" si="22"/>
        <v>Windrow</v>
      </c>
      <c r="C460" s="138" t="str">
        <f t="shared" si="21"/>
        <v>Base_With Amendment</v>
      </c>
      <c r="D460" s="118" t="s">
        <v>134</v>
      </c>
      <c r="E460" s="118" t="s">
        <v>130</v>
      </c>
      <c r="F460" s="118" t="s">
        <v>46</v>
      </c>
      <c r="G460" s="153"/>
      <c r="H460" s="155">
        <v>0.2427</v>
      </c>
      <c r="I460" s="154" t="s">
        <v>60</v>
      </c>
      <c r="J460" s="204">
        <v>2.1135600000000001E-5</v>
      </c>
      <c r="K460" s="154" t="s">
        <v>26</v>
      </c>
      <c r="L460" s="154" t="str">
        <f>IF(OpenLCAbasic!K460="CTUh", "Fill in Manually",IF(OR(K460="Unit", K460=""), "", INDEX(LookUps!$E$5:$E$12, MATCH(OpenLCAbasic!K460,LookUps!$D$5:$D$12,0))))</f>
        <v>Water Use (WU) - m3 H2O</v>
      </c>
      <c r="M460" s="154" t="str">
        <f t="shared" si="23"/>
        <v>Base_Base_High_Upgraded_Water Use (WU) - m3 H2O_Belt filter press; wastewater treatment unit; at updated plant - US_Base_With Amendment_Windrow</v>
      </c>
    </row>
    <row r="461" spans="1:13" s="120" customFormat="1" x14ac:dyDescent="0.25">
      <c r="A461" s="119"/>
      <c r="B461" s="138" t="str">
        <f t="shared" si="22"/>
        <v>Windrow</v>
      </c>
      <c r="C461" s="138" t="str">
        <f t="shared" si="21"/>
        <v>Base_With Amendment</v>
      </c>
      <c r="D461" s="118" t="s">
        <v>134</v>
      </c>
      <c r="E461" s="118" t="s">
        <v>130</v>
      </c>
      <c r="F461" s="118" t="s">
        <v>46</v>
      </c>
      <c r="G461" s="153"/>
      <c r="H461" s="155">
        <v>0.20100000000000001</v>
      </c>
      <c r="I461" s="154" t="s">
        <v>53</v>
      </c>
      <c r="J461" s="204">
        <v>1.75069E-5</v>
      </c>
      <c r="K461" s="154" t="s">
        <v>26</v>
      </c>
      <c r="L461" s="154" t="str">
        <f>IF(OpenLCAbasic!K461="CTUh", "Fill in Manually",IF(OR(K461="Unit", K461=""), "", INDEX(LookUps!$E$5:$E$12, MATCH(OpenLCAbasic!K461,LookUps!$D$5:$D$12,0))))</f>
        <v>Water Use (WU) - m3 H2O</v>
      </c>
      <c r="M461" s="154" t="str">
        <f t="shared" si="23"/>
        <v>Base_Base_High_Upgraded_Water Use (WU) - m3 H2O_Wet Well and Sump Station; wastewater treatment unit; at updated plant - US_Base_With Amendment_Windrow</v>
      </c>
    </row>
    <row r="462" spans="1:13" s="120" customFormat="1" x14ac:dyDescent="0.25">
      <c r="A462" s="119"/>
      <c r="B462" s="138" t="str">
        <f t="shared" si="22"/>
        <v>Windrow</v>
      </c>
      <c r="C462" s="138" t="str">
        <f t="shared" si="21"/>
        <v>Base_With Amendment</v>
      </c>
      <c r="D462" s="118" t="s">
        <v>134</v>
      </c>
      <c r="E462" s="118" t="s">
        <v>130</v>
      </c>
      <c r="F462" s="118" t="s">
        <v>46</v>
      </c>
      <c r="G462" s="153"/>
      <c r="H462" s="155">
        <v>8.0600000000000005E-2</v>
      </c>
      <c r="I462" s="154" t="s">
        <v>59</v>
      </c>
      <c r="J462" s="204">
        <v>7.0179500000000003E-6</v>
      </c>
      <c r="K462" s="154" t="s">
        <v>26</v>
      </c>
      <c r="L462" s="154" t="str">
        <f>IF(OpenLCAbasic!K462="CTUh", "Fill in Manually",IF(OR(K462="Unit", K462=""), "", INDEX(LookUps!$E$5:$E$12, MATCH(OpenLCAbasic!K462,LookUps!$D$5:$D$12,0))))</f>
        <v>Water Use (WU) - m3 H2O</v>
      </c>
      <c r="M462" s="154" t="str">
        <f t="shared" si="23"/>
        <v>Base_Base_High_Upgraded_Water Use (WU) - m3 H2O_Blend Tank; wastewater treatment unit; at updated plant - US_Base_With Amendment_Windrow</v>
      </c>
    </row>
    <row r="463" spans="1:13" s="120" customFormat="1" x14ac:dyDescent="0.25">
      <c r="A463" s="119"/>
      <c r="B463" s="138" t="str">
        <f t="shared" si="22"/>
        <v>Windrow</v>
      </c>
      <c r="C463" s="138" t="str">
        <f t="shared" si="21"/>
        <v>Base_With Amendment</v>
      </c>
      <c r="D463" s="118" t="s">
        <v>134</v>
      </c>
      <c r="E463" s="118" t="s">
        <v>130</v>
      </c>
      <c r="F463" s="118" t="s">
        <v>46</v>
      </c>
      <c r="G463" s="153"/>
      <c r="H463" s="155">
        <v>5.8099999999999999E-2</v>
      </c>
      <c r="I463" s="154" t="s">
        <v>128</v>
      </c>
      <c r="J463" s="204">
        <v>5.0608900000000003E-6</v>
      </c>
      <c r="K463" s="154" t="s">
        <v>26</v>
      </c>
      <c r="L463" s="154" t="str">
        <f>IF(OpenLCAbasic!K463="CTUh", "Fill in Manually",IF(OR(K463="Unit", K463=""), "", INDEX(LookUps!$E$5:$E$12, MATCH(OpenLCAbasic!K463,LookUps!$D$5:$D$12,0))))</f>
        <v>Water Use (WU) - m3 H2O</v>
      </c>
      <c r="M463" s="154" t="str">
        <f t="shared" si="23"/>
        <v>Base_Base_High_Upgraded_Water Use (WU) - m3 H2O_Wastewater collection; operation and infrastructure; m3 wastewater_Base_With Amendment_Windrow</v>
      </c>
    </row>
    <row r="464" spans="1:13" s="120" customFormat="1" x14ac:dyDescent="0.25">
      <c r="A464" s="119"/>
      <c r="B464" s="138" t="str">
        <f t="shared" si="22"/>
        <v>Windrow</v>
      </c>
      <c r="C464" s="138" t="str">
        <f t="shared" si="21"/>
        <v>Base_With Amendment</v>
      </c>
      <c r="D464" s="118" t="s">
        <v>134</v>
      </c>
      <c r="E464" s="118" t="s">
        <v>130</v>
      </c>
      <c r="F464" s="118" t="s">
        <v>46</v>
      </c>
      <c r="G464" s="153"/>
      <c r="H464" s="155">
        <v>1.1900000000000001E-2</v>
      </c>
      <c r="I464" s="154" t="s">
        <v>271</v>
      </c>
      <c r="J464" s="204">
        <v>1.0329300000000001E-6</v>
      </c>
      <c r="K464" s="154" t="s">
        <v>26</v>
      </c>
      <c r="L464" s="154" t="str">
        <f>IF(OpenLCAbasic!K464="CTUh", "Fill in Manually",IF(OR(K464="Unit", K464=""), "", INDEX(LookUps!$E$5:$E$12, MATCH(OpenLCAbasic!K464,LookUps!$D$5:$D$12,0))))</f>
        <v>Water Use (WU) - m3 H2O</v>
      </c>
      <c r="M464" s="154" t="str">
        <f t="shared" si="23"/>
        <v>Base_Base_High_Upgraded_Water Use (WU) - m3 H2O_Biosolids composting; windrow composting; wastewater treatment unit; at updated plant - US_Base_With Amendment_Windrow</v>
      </c>
    </row>
    <row r="465" spans="1:13" s="120" customFormat="1" x14ac:dyDescent="0.25">
      <c r="A465" s="119"/>
      <c r="B465" s="138" t="str">
        <f t="shared" si="22"/>
        <v>Windrow</v>
      </c>
      <c r="C465" s="138" t="str">
        <f t="shared" si="21"/>
        <v>Base_With Amendment</v>
      </c>
      <c r="D465" s="118" t="s">
        <v>134</v>
      </c>
      <c r="E465" s="118" t="s">
        <v>130</v>
      </c>
      <c r="F465" s="118" t="s">
        <v>46</v>
      </c>
      <c r="G465" s="153"/>
      <c r="H465" s="155">
        <v>8.8000000000000005E-3</v>
      </c>
      <c r="I465" s="154" t="s">
        <v>168</v>
      </c>
      <c r="J465" s="204">
        <v>7.6697000000000004E-7</v>
      </c>
      <c r="K465" s="154" t="s">
        <v>26</v>
      </c>
      <c r="L465" s="154" t="str">
        <f>IF(OpenLCAbasic!K465="CTUh", "Fill in Manually",IF(OR(K465="Unit", K465=""), "", INDEX(LookUps!$E$5:$E$12, MATCH(OpenLCAbasic!K465,LookUps!$D$5:$D$12,0))))</f>
        <v>Water Use (WU) - m3 H2O</v>
      </c>
      <c r="M465" s="154" t="str">
        <f t="shared" si="23"/>
        <v>Base_Base_High_Upgraded_Water Use (WU) - m3 H2O_ClearCove SCP; wastewater treatment unit; at updated plant - US_Base_With Amendment_Windrow</v>
      </c>
    </row>
    <row r="466" spans="1:13" s="120" customFormat="1" x14ac:dyDescent="0.25">
      <c r="A466" s="119"/>
      <c r="B466" s="138" t="str">
        <f t="shared" si="22"/>
        <v>Windrow</v>
      </c>
      <c r="C466" s="138" t="str">
        <f t="shared" si="21"/>
        <v>Base_With Amendment</v>
      </c>
      <c r="D466" s="118" t="s">
        <v>134</v>
      </c>
      <c r="E466" s="118" t="s">
        <v>130</v>
      </c>
      <c r="F466" s="118" t="s">
        <v>46</v>
      </c>
      <c r="G466" s="153"/>
      <c r="H466" s="155">
        <v>-1.0698000000000001</v>
      </c>
      <c r="I466" s="154" t="s">
        <v>149</v>
      </c>
      <c r="J466" s="204">
        <v>-9.3162899999999995E-5</v>
      </c>
      <c r="K466" s="154" t="s">
        <v>26</v>
      </c>
      <c r="L466" s="154" t="str">
        <f>IF(OpenLCAbasic!K466="CTUh", "Fill in Manually",IF(OR(K466="Unit", K466=""), "", INDEX(LookUps!$E$5:$E$12, MATCH(OpenLCAbasic!K466,LookUps!$D$5:$D$12,0))))</f>
        <v>Water Use (WU) - m3 H2O</v>
      </c>
      <c r="M466" s="154" t="str">
        <f t="shared" si="23"/>
        <v>Base_Base_High_Upgraded_Water Use (WU) - m3 H2O_Anaerobic Digestion; wastewater treatment unit; at updated plant - US_Base_With Amendment_Windrow</v>
      </c>
    </row>
    <row r="467" spans="1:13" s="120" customFormat="1" x14ac:dyDescent="0.25">
      <c r="A467" s="119"/>
      <c r="B467" s="138" t="str">
        <f t="shared" si="22"/>
        <v>Windrow</v>
      </c>
      <c r="C467" s="138" t="str">
        <f t="shared" si="21"/>
        <v>Base_With Amendment</v>
      </c>
      <c r="D467" s="118" t="s">
        <v>134</v>
      </c>
      <c r="E467" s="118" t="s">
        <v>130</v>
      </c>
      <c r="F467" s="118" t="s">
        <v>46</v>
      </c>
      <c r="G467" s="153"/>
      <c r="H467" s="155">
        <v>-12.5787</v>
      </c>
      <c r="I467" s="154" t="s">
        <v>62</v>
      </c>
      <c r="J467" s="204">
        <v>-1.1000000000000001E-3</v>
      </c>
      <c r="K467" s="154" t="s">
        <v>26</v>
      </c>
      <c r="L467" s="154" t="str">
        <f>IF(OpenLCAbasic!K467="CTUh", "Fill in Manually",IF(OR(K467="Unit", K467=""), "", INDEX(LookUps!$E$5:$E$12, MATCH(OpenLCAbasic!K467,LookUps!$D$5:$D$12,0))))</f>
        <v>Water Use (WU) - m3 H2O</v>
      </c>
      <c r="M467" s="154" t="str">
        <f t="shared" si="23"/>
        <v>Base_Base_High_Upgraded_Water Use (WU) - m3 H2O_Land application of compost; wastewater treatment unit; at updated plant - US_Base_With Amendment_Windrow</v>
      </c>
    </row>
    <row r="468" spans="1:13" s="120" customFormat="1" x14ac:dyDescent="0.25">
      <c r="A468" s="119"/>
      <c r="B468" s="138" t="str">
        <f t="shared" si="22"/>
        <v/>
      </c>
      <c r="C468" s="138" t="str">
        <f t="shared" si="21"/>
        <v>Base_With Amendment</v>
      </c>
      <c r="D468" s="118"/>
      <c r="E468" s="118" t="s">
        <v>130</v>
      </c>
      <c r="F468" s="118"/>
      <c r="G468" s="153" t="s">
        <v>51</v>
      </c>
      <c r="H468" s="155"/>
      <c r="I468" s="154" t="s">
        <v>47</v>
      </c>
      <c r="J468" s="154" t="s">
        <v>52</v>
      </c>
      <c r="K468" s="154" t="s">
        <v>27</v>
      </c>
      <c r="L468" s="154" t="str">
        <f>IF(OpenLCAbasic!K468="CTUh", "Fill in Manually",IF(OR(K468="Unit", K468=""), "", INDEX(LookUps!$E$5:$E$12, MATCH(OpenLCAbasic!K468,LookUps!$D$5:$D$12,0))))</f>
        <v/>
      </c>
      <c r="M468" s="154" t="str">
        <f t="shared" si="23"/>
        <v>Base____Process_Base_With Amendment_</v>
      </c>
    </row>
    <row r="469" spans="1:13" s="120" customFormat="1" x14ac:dyDescent="0.25">
      <c r="A469" s="119"/>
      <c r="B469" s="138" t="str">
        <f t="shared" si="22"/>
        <v>Windrow</v>
      </c>
      <c r="C469" s="138" t="str">
        <f t="shared" si="21"/>
        <v>Base_With Amendment</v>
      </c>
      <c r="D469" s="118" t="s">
        <v>134</v>
      </c>
      <c r="E469" s="118" t="s">
        <v>130</v>
      </c>
      <c r="F469" s="118" t="s">
        <v>46</v>
      </c>
      <c r="G469" s="153"/>
      <c r="H469" s="155">
        <v>25.200399999999998</v>
      </c>
      <c r="I469" s="154" t="s">
        <v>167</v>
      </c>
      <c r="J469" s="203">
        <v>7.9170000000000004E-2</v>
      </c>
      <c r="K469" s="154" t="s">
        <v>14</v>
      </c>
      <c r="L469" s="154" t="str">
        <f>IF(OpenLCAbasic!K469="CTUh", "Fill in Manually",IF(OR(K469="Unit", K469=""), "", INDEX(LookUps!$E$5:$E$12, MATCH(OpenLCAbasic!K469,LookUps!$D$5:$D$12,0))))</f>
        <v>Fossil Depletion Potential (FDP) - kg oil eq</v>
      </c>
      <c r="M469" s="154" t="str">
        <f t="shared" si="23"/>
        <v>Base_Base_High_Upgraded_Fossil Depletion Potential (FDP) - kg oil eq_Waste Receiving and Holding; wastewater treatment unit; at updated plant - US_Base_With Amendment_Windrow</v>
      </c>
    </row>
    <row r="470" spans="1:13" s="120" customFormat="1" x14ac:dyDescent="0.25">
      <c r="A470" s="119"/>
      <c r="B470" s="138" t="str">
        <f t="shared" si="22"/>
        <v>Windrow</v>
      </c>
      <c r="C470" s="138" t="str">
        <f t="shared" si="21"/>
        <v>Base_With Amendment</v>
      </c>
      <c r="D470" s="118" t="s">
        <v>134</v>
      </c>
      <c r="E470" s="118" t="s">
        <v>130</v>
      </c>
      <c r="F470" s="118" t="s">
        <v>46</v>
      </c>
      <c r="G470" s="153"/>
      <c r="H470" s="155">
        <v>20.241499999999998</v>
      </c>
      <c r="I470" s="154" t="s">
        <v>55</v>
      </c>
      <c r="J470" s="203">
        <v>6.3589999999999994E-2</v>
      </c>
      <c r="K470" s="154" t="s">
        <v>14</v>
      </c>
      <c r="L470" s="154" t="str">
        <f>IF(OpenLCAbasic!K470="CTUh", "Fill in Manually",IF(OR(K470="Unit", K470=""), "", INDEX(LookUps!$E$5:$E$12, MATCH(OpenLCAbasic!K470,LookUps!$D$5:$D$12,0))))</f>
        <v>Fossil Depletion Potential (FDP) - kg oil eq</v>
      </c>
      <c r="M470" s="154" t="str">
        <f t="shared" si="23"/>
        <v>Base_Base_High_Upgraded_Fossil Depletion Potential (FDP) - kg oil eq_Aeration Tanks; wastewater treatment unit; at updated plant - US_Base_With Amendment_Windrow</v>
      </c>
    </row>
    <row r="471" spans="1:13" s="120" customFormat="1" x14ac:dyDescent="0.25">
      <c r="A471" s="119"/>
      <c r="B471" s="138" t="str">
        <f t="shared" si="22"/>
        <v>Windrow</v>
      </c>
      <c r="C471" s="138" t="str">
        <f t="shared" si="21"/>
        <v>Base_With Amendment</v>
      </c>
      <c r="D471" s="118" t="s">
        <v>134</v>
      </c>
      <c r="E471" s="118" t="s">
        <v>130</v>
      </c>
      <c r="F471" s="118" t="s">
        <v>46</v>
      </c>
      <c r="G471" s="153"/>
      <c r="H471" s="155">
        <v>6.7004999999999999</v>
      </c>
      <c r="I471" s="154" t="s">
        <v>54</v>
      </c>
      <c r="J471" s="203">
        <v>2.1049999999999999E-2</v>
      </c>
      <c r="K471" s="154" t="s">
        <v>14</v>
      </c>
      <c r="L471" s="154" t="str">
        <f>IF(OpenLCAbasic!K471="CTUh", "Fill in Manually",IF(OR(K471="Unit", K471=""), "", INDEX(LookUps!$E$5:$E$12, MATCH(OpenLCAbasic!K471,LookUps!$D$5:$D$12,0))))</f>
        <v>Fossil Depletion Potential (FDP) - kg oil eq</v>
      </c>
      <c r="M471" s="154" t="str">
        <f t="shared" si="23"/>
        <v>Base_Base_High_Upgraded_Fossil Depletion Potential (FDP) - kg oil eq_Clear Cove Primary Clarification; wastewater treatment unit; at updated plant - US_Base_With Amendment_Windrow</v>
      </c>
    </row>
    <row r="472" spans="1:13" s="120" customFormat="1" x14ac:dyDescent="0.25">
      <c r="A472" s="119"/>
      <c r="B472" s="138" t="str">
        <f t="shared" si="22"/>
        <v>Windrow</v>
      </c>
      <c r="C472" s="138" t="str">
        <f t="shared" si="21"/>
        <v>Base_With Amendment</v>
      </c>
      <c r="D472" s="118" t="s">
        <v>134</v>
      </c>
      <c r="E472" s="118" t="s">
        <v>130</v>
      </c>
      <c r="F472" s="118" t="s">
        <v>46</v>
      </c>
      <c r="G472" s="153"/>
      <c r="H472" s="155">
        <v>5.0688000000000004</v>
      </c>
      <c r="I472" s="154" t="s">
        <v>58</v>
      </c>
      <c r="J472" s="203">
        <v>1.592E-2</v>
      </c>
      <c r="K472" s="154" t="s">
        <v>14</v>
      </c>
      <c r="L472" s="154" t="str">
        <f>IF(OpenLCAbasic!K472="CTUh", "Fill in Manually",IF(OR(K472="Unit", K472=""), "", INDEX(LookUps!$E$5:$E$12, MATCH(OpenLCAbasic!K472,LookUps!$D$5:$D$12,0))))</f>
        <v>Fossil Depletion Potential (FDP) - kg oil eq</v>
      </c>
      <c r="M472" s="154" t="str">
        <f t="shared" si="23"/>
        <v>Base_Base_High_Upgraded_Fossil Depletion Potential (FDP) - kg oil eq_Pre-Anoxic &amp; Swing tank; wastewater treatment unit; at updated plant - US_Base_With Amendment_Windrow</v>
      </c>
    </row>
    <row r="473" spans="1:13" s="120" customFormat="1" x14ac:dyDescent="0.25">
      <c r="A473" s="119"/>
      <c r="B473" s="138" t="str">
        <f t="shared" si="22"/>
        <v>Windrow</v>
      </c>
      <c r="C473" s="138" t="str">
        <f t="shared" si="21"/>
        <v>Base_With Amendment</v>
      </c>
      <c r="D473" s="118" t="s">
        <v>134</v>
      </c>
      <c r="E473" s="118" t="s">
        <v>130</v>
      </c>
      <c r="F473" s="118" t="s">
        <v>46</v>
      </c>
      <c r="G473" s="153"/>
      <c r="H473" s="155">
        <v>4.8026</v>
      </c>
      <c r="I473" s="154" t="s">
        <v>147</v>
      </c>
      <c r="J473" s="203">
        <v>1.5089999999999999E-2</v>
      </c>
      <c r="K473" s="154" t="s">
        <v>14</v>
      </c>
      <c r="L473" s="154" t="str">
        <f>IF(OpenLCAbasic!K473="CTUh", "Fill in Manually",IF(OR(K473="Unit", K473=""), "", INDEX(LookUps!$E$5:$E$12, MATCH(OpenLCAbasic!K473,LookUps!$D$5:$D$12,0))))</f>
        <v>Fossil Depletion Potential (FDP) - kg oil eq</v>
      </c>
      <c r="M473" s="154" t="str">
        <f t="shared" si="23"/>
        <v>Base_Base_High_Upgraded_Fossil Depletion Potential (FDP) - kg oil eq_Influent Pump Station; wastewater treatment unit; at updated plant - US_Base_With Amendment_Windrow</v>
      </c>
    </row>
    <row r="474" spans="1:13" s="120" customFormat="1" x14ac:dyDescent="0.25">
      <c r="A474" s="119"/>
      <c r="B474" s="138" t="str">
        <f t="shared" si="22"/>
        <v>Windrow</v>
      </c>
      <c r="C474" s="138" t="str">
        <f t="shared" si="21"/>
        <v>Base_With Amendment</v>
      </c>
      <c r="D474" s="118" t="s">
        <v>134</v>
      </c>
      <c r="E474" s="118" t="s">
        <v>130</v>
      </c>
      <c r="F474" s="118" t="s">
        <v>46</v>
      </c>
      <c r="G474" s="153"/>
      <c r="H474" s="155">
        <v>3.9752999999999998</v>
      </c>
      <c r="I474" s="154" t="s">
        <v>53</v>
      </c>
      <c r="J474" s="203">
        <v>1.2489999999999999E-2</v>
      </c>
      <c r="K474" s="154" t="s">
        <v>14</v>
      </c>
      <c r="L474" s="154" t="str">
        <f>IF(OpenLCAbasic!K474="CTUh", "Fill in Manually",IF(OR(K474="Unit", K474=""), "", INDEX(LookUps!$E$5:$E$12, MATCH(OpenLCAbasic!K474,LookUps!$D$5:$D$12,0))))</f>
        <v>Fossil Depletion Potential (FDP) - kg oil eq</v>
      </c>
      <c r="M474" s="154" t="str">
        <f t="shared" si="23"/>
        <v>Base_Base_High_Upgraded_Fossil Depletion Potential (FDP) - kg oil eq_Wet Well and Sump Station; wastewater treatment unit; at updated plant - US_Base_With Amendment_Windrow</v>
      </c>
    </row>
    <row r="475" spans="1:13" s="120" customFormat="1" x14ac:dyDescent="0.25">
      <c r="A475" s="119"/>
      <c r="B475" s="138" t="str">
        <f t="shared" si="22"/>
        <v>Windrow</v>
      </c>
      <c r="C475" s="138" t="str">
        <f t="shared" si="21"/>
        <v>Base_With Amendment</v>
      </c>
      <c r="D475" s="118" t="s">
        <v>134</v>
      </c>
      <c r="E475" s="118" t="s">
        <v>130</v>
      </c>
      <c r="F475" s="118" t="s">
        <v>46</v>
      </c>
      <c r="G475" s="153"/>
      <c r="H475" s="155">
        <v>2.2014</v>
      </c>
      <c r="I475" s="154" t="s">
        <v>57</v>
      </c>
      <c r="J475" s="204">
        <v>6.9199999999999999E-3</v>
      </c>
      <c r="K475" s="154" t="s">
        <v>14</v>
      </c>
      <c r="L475" s="154" t="str">
        <f>IF(OpenLCAbasic!K475="CTUh", "Fill in Manually",IF(OR(K475="Unit", K475=""), "", INDEX(LookUps!$E$5:$E$12, MATCH(OpenLCAbasic!K475,LookUps!$D$5:$D$12,0))))</f>
        <v>Fossil Depletion Potential (FDP) - kg oil eq</v>
      </c>
      <c r="M475" s="154" t="str">
        <f t="shared" si="23"/>
        <v>Base_Base_High_Upgraded_Fossil Depletion Potential (FDP) - kg oil eq_Gravity Belt Thickener; wastewater treatment unit; at updated plant - US_Base_With Amendment_Windrow</v>
      </c>
    </row>
    <row r="476" spans="1:13" s="120" customFormat="1" x14ac:dyDescent="0.25">
      <c r="A476" s="119"/>
      <c r="B476" s="138" t="str">
        <f t="shared" si="22"/>
        <v>Windrow</v>
      </c>
      <c r="C476" s="138" t="str">
        <f t="shared" si="21"/>
        <v>Base_With Amendment</v>
      </c>
      <c r="D476" s="118" t="s">
        <v>134</v>
      </c>
      <c r="E476" s="118" t="s">
        <v>130</v>
      </c>
      <c r="F476" s="118" t="s">
        <v>46</v>
      </c>
      <c r="G476" s="153"/>
      <c r="H476" s="155">
        <v>1.7827999999999999</v>
      </c>
      <c r="I476" s="154" t="s">
        <v>60</v>
      </c>
      <c r="J476" s="204">
        <v>5.5999999999999999E-3</v>
      </c>
      <c r="K476" s="154" t="s">
        <v>14</v>
      </c>
      <c r="L476" s="154" t="str">
        <f>IF(OpenLCAbasic!K476="CTUh", "Fill in Manually",IF(OR(K476="Unit", K476=""), "", INDEX(LookUps!$E$5:$E$12, MATCH(OpenLCAbasic!K476,LookUps!$D$5:$D$12,0))))</f>
        <v>Fossil Depletion Potential (FDP) - kg oil eq</v>
      </c>
      <c r="M476" s="154" t="str">
        <f t="shared" si="23"/>
        <v>Base_Base_High_Upgraded_Fossil Depletion Potential (FDP) - kg oil eq_Belt filter press; wastewater treatment unit; at updated plant - US_Base_With Amendment_Windrow</v>
      </c>
    </row>
    <row r="477" spans="1:13" s="120" customFormat="1" x14ac:dyDescent="0.25">
      <c r="A477" s="119"/>
      <c r="B477" s="138" t="str">
        <f t="shared" si="22"/>
        <v>Windrow</v>
      </c>
      <c r="C477" s="138" t="str">
        <f t="shared" si="21"/>
        <v>Base_With Amendment</v>
      </c>
      <c r="D477" s="118" t="s">
        <v>134</v>
      </c>
      <c r="E477" s="118" t="s">
        <v>130</v>
      </c>
      <c r="F477" s="118" t="s">
        <v>46</v>
      </c>
      <c r="G477" s="153"/>
      <c r="H477" s="155">
        <v>1.4319999999999999</v>
      </c>
      <c r="I477" s="154" t="s">
        <v>128</v>
      </c>
      <c r="J477" s="204">
        <v>4.4999999999999997E-3</v>
      </c>
      <c r="K477" s="154" t="s">
        <v>14</v>
      </c>
      <c r="L477" s="154" t="str">
        <f>IF(OpenLCAbasic!K477="CTUh", "Fill in Manually",IF(OR(K477="Unit", K477=""), "", INDEX(LookUps!$E$5:$E$12, MATCH(OpenLCAbasic!K477,LookUps!$D$5:$D$12,0))))</f>
        <v>Fossil Depletion Potential (FDP) - kg oil eq</v>
      </c>
      <c r="M477" s="154" t="str">
        <f t="shared" si="23"/>
        <v>Base_Base_High_Upgraded_Fossil Depletion Potential (FDP) - kg oil eq_Wastewater collection; operation and infrastructure; m3 wastewater_Base_With Amendment_Windrow</v>
      </c>
    </row>
    <row r="478" spans="1:13" s="120" customFormat="1" x14ac:dyDescent="0.25">
      <c r="A478" s="119"/>
      <c r="B478" s="138" t="str">
        <f t="shared" si="22"/>
        <v>Windrow</v>
      </c>
      <c r="C478" s="138" t="str">
        <f t="shared" si="21"/>
        <v>Base_With Amendment</v>
      </c>
      <c r="D478" s="118" t="s">
        <v>134</v>
      </c>
      <c r="E478" s="118" t="s">
        <v>130</v>
      </c>
      <c r="F478" s="118" t="s">
        <v>46</v>
      </c>
      <c r="G478" s="153"/>
      <c r="H478" s="155">
        <v>0.89039999999999997</v>
      </c>
      <c r="I478" s="154" t="s">
        <v>148</v>
      </c>
      <c r="J478" s="204">
        <v>2.8E-3</v>
      </c>
      <c r="K478" s="154" t="s">
        <v>14</v>
      </c>
      <c r="L478" s="154" t="str">
        <f>IF(OpenLCAbasic!K478="CTUh", "Fill in Manually",IF(OR(K478="Unit", K478=""), "", INDEX(LookUps!$E$5:$E$12, MATCH(OpenLCAbasic!K478,LookUps!$D$5:$D$12,0))))</f>
        <v>Fossil Depletion Potential (FDP) - kg oil eq</v>
      </c>
      <c r="M478" s="154" t="str">
        <f t="shared" si="23"/>
        <v>Base_Base_High_Upgraded_Fossil Depletion Potential (FDP) - kg oil eq_Control Building; at upgraded wastewater treatment plant - US_Base_With Amendment_Windrow</v>
      </c>
    </row>
    <row r="479" spans="1:13" s="120" customFormat="1" x14ac:dyDescent="0.25">
      <c r="A479" s="119"/>
      <c r="B479" s="138" t="str">
        <f t="shared" si="22"/>
        <v>Windrow</v>
      </c>
      <c r="C479" s="138" t="str">
        <f t="shared" ref="C479:C542" si="24">IF(E479&lt;&gt;"", "Base_With Amendment","")</f>
        <v>Base_With Amendment</v>
      </c>
      <c r="D479" s="118" t="s">
        <v>134</v>
      </c>
      <c r="E479" s="118" t="s">
        <v>130</v>
      </c>
      <c r="F479" s="118" t="s">
        <v>46</v>
      </c>
      <c r="G479" s="153"/>
      <c r="H479" s="155">
        <v>0.75239999999999996</v>
      </c>
      <c r="I479" s="154" t="s">
        <v>48</v>
      </c>
      <c r="J479" s="204">
        <v>2.3600000000000001E-3</v>
      </c>
      <c r="K479" s="154" t="s">
        <v>14</v>
      </c>
      <c r="L479" s="154" t="str">
        <f>IF(OpenLCAbasic!K479="CTUh", "Fill in Manually",IF(OR(K479="Unit", K479=""), "", INDEX(LookUps!$E$5:$E$12, MATCH(OpenLCAbasic!K479,LookUps!$D$5:$D$12,0))))</f>
        <v>Fossil Depletion Potential (FDP) - kg oil eq</v>
      </c>
      <c r="M479" s="154" t="str">
        <f t="shared" si="23"/>
        <v>Base_Base_High_Upgraded_Fossil Depletion Potential (FDP) - kg oil eq_Effluent release; wastewater treatment unit; at surface water; m3 wastewater - US_Base_With Amendment_Windrow</v>
      </c>
    </row>
    <row r="480" spans="1:13" s="120" customFormat="1" x14ac:dyDescent="0.25">
      <c r="A480" s="119"/>
      <c r="B480" s="138" t="str">
        <f t="shared" si="22"/>
        <v>Windrow</v>
      </c>
      <c r="C480" s="138" t="str">
        <f t="shared" si="24"/>
        <v>Base_With Amendment</v>
      </c>
      <c r="D480" s="118" t="s">
        <v>134</v>
      </c>
      <c r="E480" s="118" t="s">
        <v>130</v>
      </c>
      <c r="F480" s="118" t="s">
        <v>46</v>
      </c>
      <c r="G480" s="153"/>
      <c r="H480" s="155">
        <v>0.61109999999999998</v>
      </c>
      <c r="I480" s="154" t="s">
        <v>59</v>
      </c>
      <c r="J480" s="204">
        <v>1.92E-3</v>
      </c>
      <c r="K480" s="154" t="s">
        <v>14</v>
      </c>
      <c r="L480" s="154" t="str">
        <f>IF(OpenLCAbasic!K480="CTUh", "Fill in Manually",IF(OR(K480="Unit", K480=""), "", INDEX(LookUps!$E$5:$E$12, MATCH(OpenLCAbasic!K480,LookUps!$D$5:$D$12,0))))</f>
        <v>Fossil Depletion Potential (FDP) - kg oil eq</v>
      </c>
      <c r="M480" s="154" t="str">
        <f t="shared" si="23"/>
        <v>Base_Base_High_Upgraded_Fossil Depletion Potential (FDP) - kg oil eq_Blend Tank; wastewater treatment unit; at updated plant - US_Base_With Amendment_Windrow</v>
      </c>
    </row>
    <row r="481" spans="1:13" s="120" customFormat="1" x14ac:dyDescent="0.25">
      <c r="A481" s="119"/>
      <c r="B481" s="138" t="str">
        <f t="shared" si="22"/>
        <v>Windrow</v>
      </c>
      <c r="C481" s="138" t="str">
        <f t="shared" si="24"/>
        <v>Base_With Amendment</v>
      </c>
      <c r="D481" s="118" t="s">
        <v>134</v>
      </c>
      <c r="E481" s="118" t="s">
        <v>130</v>
      </c>
      <c r="F481" s="118" t="s">
        <v>46</v>
      </c>
      <c r="G481" s="153"/>
      <c r="H481" s="155">
        <v>0.29120000000000001</v>
      </c>
      <c r="I481" s="154" t="s">
        <v>168</v>
      </c>
      <c r="J481" s="204">
        <v>9.1E-4</v>
      </c>
      <c r="K481" s="154" t="s">
        <v>14</v>
      </c>
      <c r="L481" s="154" t="str">
        <f>IF(OpenLCAbasic!K481="CTUh", "Fill in Manually",IF(OR(K481="Unit", K481=""), "", INDEX(LookUps!$E$5:$E$12, MATCH(OpenLCAbasic!K481,LookUps!$D$5:$D$12,0))))</f>
        <v>Fossil Depletion Potential (FDP) - kg oil eq</v>
      </c>
      <c r="M481" s="154" t="str">
        <f t="shared" si="23"/>
        <v>Base_Base_High_Upgraded_Fossil Depletion Potential (FDP) - kg oil eq_ClearCove SCP; wastewater treatment unit; at updated plant - US_Base_With Amendment_Windrow</v>
      </c>
    </row>
    <row r="482" spans="1:13" s="120" customFormat="1" x14ac:dyDescent="0.25">
      <c r="A482" s="119"/>
      <c r="B482" s="138" t="str">
        <f t="shared" si="22"/>
        <v>Windrow</v>
      </c>
      <c r="C482" s="138" t="str">
        <f t="shared" si="24"/>
        <v>Base_With Amendment</v>
      </c>
      <c r="D482" s="118" t="s">
        <v>134</v>
      </c>
      <c r="E482" s="118" t="s">
        <v>130</v>
      </c>
      <c r="F482" s="118" t="s">
        <v>46</v>
      </c>
      <c r="G482" s="153"/>
      <c r="H482" s="155">
        <v>0.1356</v>
      </c>
      <c r="I482" s="154" t="s">
        <v>271</v>
      </c>
      <c r="J482" s="204">
        <v>4.2999999999999999E-4</v>
      </c>
      <c r="K482" s="154" t="s">
        <v>14</v>
      </c>
      <c r="L482" s="154" t="str">
        <f>IF(OpenLCAbasic!K482="CTUh", "Fill in Manually",IF(OR(K482="Unit", K482=""), "", INDEX(LookUps!$E$5:$E$12, MATCH(OpenLCAbasic!K482,LookUps!$D$5:$D$12,0))))</f>
        <v>Fossil Depletion Potential (FDP) - kg oil eq</v>
      </c>
      <c r="M482" s="154" t="str">
        <f t="shared" si="23"/>
        <v>Base_Base_High_Upgraded_Fossil Depletion Potential (FDP) - kg oil eq_Biosolids composting; windrow composting; wastewater treatment unit; at updated plant - US_Base_With Amendment_Windrow</v>
      </c>
    </row>
    <row r="483" spans="1:13" s="120" customFormat="1" x14ac:dyDescent="0.25">
      <c r="A483" s="119"/>
      <c r="B483" s="138" t="str">
        <f t="shared" si="22"/>
        <v>Windrow</v>
      </c>
      <c r="C483" s="138" t="str">
        <f t="shared" si="24"/>
        <v>Base_With Amendment</v>
      </c>
      <c r="D483" s="118" t="s">
        <v>134</v>
      </c>
      <c r="E483" s="118" t="s">
        <v>130</v>
      </c>
      <c r="F483" s="118" t="s">
        <v>46</v>
      </c>
      <c r="G483" s="153"/>
      <c r="H483" s="155">
        <v>-1.8714999999999999</v>
      </c>
      <c r="I483" s="154" t="s">
        <v>62</v>
      </c>
      <c r="J483" s="204">
        <v>-5.8799999999999998E-3</v>
      </c>
      <c r="K483" s="154" t="s">
        <v>14</v>
      </c>
      <c r="L483" s="154" t="str">
        <f>IF(OpenLCAbasic!K483="CTUh", "Fill in Manually",IF(OR(K483="Unit", K483=""), "", INDEX(LookUps!$E$5:$E$12, MATCH(OpenLCAbasic!K483,LookUps!$D$5:$D$12,0))))</f>
        <v>Fossil Depletion Potential (FDP) - kg oil eq</v>
      </c>
      <c r="M483" s="154" t="str">
        <f t="shared" si="23"/>
        <v>Base_Base_High_Upgraded_Fossil Depletion Potential (FDP) - kg oil eq_Land application of compost; wastewater treatment unit; at updated plant - US_Base_With Amendment_Windrow</v>
      </c>
    </row>
    <row r="484" spans="1:13" s="120" customFormat="1" x14ac:dyDescent="0.25">
      <c r="A484" s="119"/>
      <c r="B484" s="138" t="str">
        <f t="shared" si="22"/>
        <v>Windrow</v>
      </c>
      <c r="C484" s="138" t="str">
        <f t="shared" si="24"/>
        <v>Base_With Amendment</v>
      </c>
      <c r="D484" s="118" t="s">
        <v>134</v>
      </c>
      <c r="E484" s="118" t="s">
        <v>130</v>
      </c>
      <c r="F484" s="118" t="s">
        <v>46</v>
      </c>
      <c r="G484" s="153"/>
      <c r="H484" s="155">
        <v>-71.214600000000004</v>
      </c>
      <c r="I484" s="154" t="s">
        <v>149</v>
      </c>
      <c r="J484" s="203">
        <v>-0.22373000000000001</v>
      </c>
      <c r="K484" s="154" t="s">
        <v>14</v>
      </c>
      <c r="L484" s="154" t="str">
        <f>IF(OpenLCAbasic!K484="CTUh", "Fill in Manually",IF(OR(K484="Unit", K484=""), "", INDEX(LookUps!$E$5:$E$12, MATCH(OpenLCAbasic!K484,LookUps!$D$5:$D$12,0))))</f>
        <v>Fossil Depletion Potential (FDP) - kg oil eq</v>
      </c>
      <c r="M484" s="154" t="str">
        <f t="shared" si="23"/>
        <v>Base_Base_High_Upgraded_Fossil Depletion Potential (FDP) - kg oil eq_Anaerobic Digestion; wastewater treatment unit; at updated plant - US_Base_With Amendment_Windrow</v>
      </c>
    </row>
    <row r="485" spans="1:13" s="120" customFormat="1" x14ac:dyDescent="0.25">
      <c r="A485" s="119"/>
      <c r="B485" s="138" t="str">
        <f t="shared" si="22"/>
        <v/>
      </c>
      <c r="C485" s="138" t="str">
        <f t="shared" si="24"/>
        <v>Base_With Amendment</v>
      </c>
      <c r="D485" s="118"/>
      <c r="E485" s="118" t="s">
        <v>130</v>
      </c>
      <c r="F485" s="118"/>
      <c r="G485" s="153" t="s">
        <v>51</v>
      </c>
      <c r="H485" s="155"/>
      <c r="I485" s="154" t="s">
        <v>47</v>
      </c>
      <c r="J485" s="154" t="s">
        <v>52</v>
      </c>
      <c r="K485" s="154" t="s">
        <v>27</v>
      </c>
      <c r="L485" s="154" t="str">
        <f>IF(OpenLCAbasic!K485="CTUh", "Fill in Manually",IF(OR(K485="Unit", K485=""), "", INDEX(LookUps!$E$5:$E$12, MATCH(OpenLCAbasic!K485,LookUps!$D$5:$D$12,0))))</f>
        <v/>
      </c>
      <c r="M485" s="154" t="str">
        <f t="shared" si="23"/>
        <v>Base____Process_Base_With Amendment_</v>
      </c>
    </row>
    <row r="486" spans="1:13" s="120" customFormat="1" x14ac:dyDescent="0.25">
      <c r="A486" s="119"/>
      <c r="B486" s="138" t="str">
        <f t="shared" si="22"/>
        <v>Windrow</v>
      </c>
      <c r="C486" s="138" t="str">
        <f t="shared" si="24"/>
        <v>Base_With Amendment</v>
      </c>
      <c r="D486" s="118" t="s">
        <v>134</v>
      </c>
      <c r="E486" s="118" t="s">
        <v>130</v>
      </c>
      <c r="F486" s="118" t="s">
        <v>46</v>
      </c>
      <c r="G486" s="153"/>
      <c r="H486" s="155">
        <v>14.281599999999999</v>
      </c>
      <c r="I486" s="154" t="s">
        <v>55</v>
      </c>
      <c r="J486" s="157">
        <v>3.5330499999999998</v>
      </c>
      <c r="K486" s="154" t="s">
        <v>15</v>
      </c>
      <c r="L486" s="154" t="str">
        <f>IF(OpenLCAbasic!K486="CTUh", "Fill in Manually",IF(OR(K486="Unit", K486=""), "", INDEX(LookUps!$E$5:$E$12, MATCH(OpenLCAbasic!K486,LookUps!$D$5:$D$12,0))))</f>
        <v>Cumulative Energy Demand (CED) - MJ</v>
      </c>
      <c r="M486" s="154" t="str">
        <f t="shared" si="23"/>
        <v>Base_Base_High_Upgraded_Cumulative Energy Demand (CED) - MJ_Aeration Tanks; wastewater treatment unit; at updated plant - US_Base_With Amendment_Windrow</v>
      </c>
    </row>
    <row r="487" spans="1:13" s="120" customFormat="1" x14ac:dyDescent="0.25">
      <c r="A487" s="119"/>
      <c r="B487" s="138" t="str">
        <f t="shared" si="22"/>
        <v>Windrow</v>
      </c>
      <c r="C487" s="138" t="str">
        <f t="shared" si="24"/>
        <v>Base_With Amendment</v>
      </c>
      <c r="D487" s="118" t="s">
        <v>134</v>
      </c>
      <c r="E487" s="118" t="s">
        <v>130</v>
      </c>
      <c r="F487" s="118" t="s">
        <v>46</v>
      </c>
      <c r="G487" s="153"/>
      <c r="H487" s="155">
        <v>14.141</v>
      </c>
      <c r="I487" s="154" t="s">
        <v>167</v>
      </c>
      <c r="J487" s="157">
        <v>3.4982700000000002</v>
      </c>
      <c r="K487" s="154" t="s">
        <v>15</v>
      </c>
      <c r="L487" s="154" t="str">
        <f>IF(OpenLCAbasic!K487="CTUh", "Fill in Manually",IF(OR(K487="Unit", K487=""), "", INDEX(LookUps!$E$5:$E$12, MATCH(OpenLCAbasic!K487,LookUps!$D$5:$D$12,0))))</f>
        <v>Cumulative Energy Demand (CED) - MJ</v>
      </c>
      <c r="M487" s="154" t="str">
        <f t="shared" si="23"/>
        <v>Base_Base_High_Upgraded_Cumulative Energy Demand (CED) - MJ_Waste Receiving and Holding; wastewater treatment unit; at updated plant - US_Base_With Amendment_Windrow</v>
      </c>
    </row>
    <row r="488" spans="1:13" s="120" customFormat="1" x14ac:dyDescent="0.25">
      <c r="A488" s="119"/>
      <c r="B488" s="138" t="str">
        <f t="shared" si="22"/>
        <v>Windrow</v>
      </c>
      <c r="C488" s="138" t="str">
        <f t="shared" si="24"/>
        <v>Base_With Amendment</v>
      </c>
      <c r="D488" s="118" t="s">
        <v>134</v>
      </c>
      <c r="E488" s="118" t="s">
        <v>130</v>
      </c>
      <c r="F488" s="118" t="s">
        <v>46</v>
      </c>
      <c r="G488" s="153"/>
      <c r="H488" s="155">
        <v>4.7007000000000003</v>
      </c>
      <c r="I488" s="154" t="s">
        <v>54</v>
      </c>
      <c r="J488" s="157">
        <v>1.16289</v>
      </c>
      <c r="K488" s="154" t="s">
        <v>15</v>
      </c>
      <c r="L488" s="154" t="str">
        <f>IF(OpenLCAbasic!K488="CTUh", "Fill in Manually",IF(OR(K488="Unit", K488=""), "", INDEX(LookUps!$E$5:$E$12, MATCH(OpenLCAbasic!K488,LookUps!$D$5:$D$12,0))))</f>
        <v>Cumulative Energy Demand (CED) - MJ</v>
      </c>
      <c r="M488" s="154" t="str">
        <f t="shared" si="23"/>
        <v>Base_Base_High_Upgraded_Cumulative Energy Demand (CED) - MJ_Clear Cove Primary Clarification; wastewater treatment unit; at updated plant - US_Base_With Amendment_Windrow</v>
      </c>
    </row>
    <row r="489" spans="1:13" s="120" customFormat="1" x14ac:dyDescent="0.25">
      <c r="A489" s="119"/>
      <c r="B489" s="138" t="str">
        <f t="shared" si="22"/>
        <v>Windrow</v>
      </c>
      <c r="C489" s="138" t="str">
        <f t="shared" si="24"/>
        <v>Base_With Amendment</v>
      </c>
      <c r="D489" s="118" t="s">
        <v>134</v>
      </c>
      <c r="E489" s="118" t="s">
        <v>130</v>
      </c>
      <c r="F489" s="118" t="s">
        <v>46</v>
      </c>
      <c r="G489" s="153"/>
      <c r="H489" s="155">
        <v>3.5741000000000001</v>
      </c>
      <c r="I489" s="154" t="s">
        <v>58</v>
      </c>
      <c r="J489" s="203">
        <v>0.88417000000000001</v>
      </c>
      <c r="K489" s="154" t="s">
        <v>15</v>
      </c>
      <c r="L489" s="154" t="str">
        <f>IF(OpenLCAbasic!K489="CTUh", "Fill in Manually",IF(OR(K489="Unit", K489=""), "", INDEX(LookUps!$E$5:$E$12, MATCH(OpenLCAbasic!K489,LookUps!$D$5:$D$12,0))))</f>
        <v>Cumulative Energy Demand (CED) - MJ</v>
      </c>
      <c r="M489" s="154" t="str">
        <f t="shared" si="23"/>
        <v>Base_Base_High_Upgraded_Cumulative Energy Demand (CED) - MJ_Pre-Anoxic &amp; Swing tank; wastewater treatment unit; at updated plant - US_Base_With Amendment_Windrow</v>
      </c>
    </row>
    <row r="490" spans="1:13" s="120" customFormat="1" x14ac:dyDescent="0.25">
      <c r="A490" s="119"/>
      <c r="B490" s="138" t="str">
        <f t="shared" si="22"/>
        <v>Windrow</v>
      </c>
      <c r="C490" s="138" t="str">
        <f t="shared" si="24"/>
        <v>Base_With Amendment</v>
      </c>
      <c r="D490" s="118" t="s">
        <v>134</v>
      </c>
      <c r="E490" s="118" t="s">
        <v>130</v>
      </c>
      <c r="F490" s="118" t="s">
        <v>46</v>
      </c>
      <c r="G490" s="153"/>
      <c r="H490" s="155">
        <v>3.5691999999999999</v>
      </c>
      <c r="I490" s="154" t="s">
        <v>147</v>
      </c>
      <c r="J490" s="203">
        <v>0.88297000000000003</v>
      </c>
      <c r="K490" s="154" t="s">
        <v>15</v>
      </c>
      <c r="L490" s="154" t="str">
        <f>IF(OpenLCAbasic!K490="CTUh", "Fill in Manually",IF(OR(K490="Unit", K490=""), "", INDEX(LookUps!$E$5:$E$12, MATCH(OpenLCAbasic!K490,LookUps!$D$5:$D$12,0))))</f>
        <v>Cumulative Energy Demand (CED) - MJ</v>
      </c>
      <c r="M490" s="154" t="str">
        <f t="shared" si="23"/>
        <v>Base_Base_High_Upgraded_Cumulative Energy Demand (CED) - MJ_Influent Pump Station; wastewater treatment unit; at updated plant - US_Base_With Amendment_Windrow</v>
      </c>
    </row>
    <row r="491" spans="1:13" s="120" customFormat="1" x14ac:dyDescent="0.25">
      <c r="A491" s="119"/>
      <c r="B491" s="138" t="str">
        <f t="shared" si="22"/>
        <v>Windrow</v>
      </c>
      <c r="C491" s="138" t="str">
        <f t="shared" si="24"/>
        <v>Base_With Amendment</v>
      </c>
      <c r="D491" s="118" t="s">
        <v>134</v>
      </c>
      <c r="E491" s="118" t="s">
        <v>130</v>
      </c>
      <c r="F491" s="118" t="s">
        <v>46</v>
      </c>
      <c r="G491" s="153"/>
      <c r="H491" s="155">
        <v>2.8151999999999999</v>
      </c>
      <c r="I491" s="154" t="s">
        <v>53</v>
      </c>
      <c r="J491" s="203">
        <v>0.69645000000000001</v>
      </c>
      <c r="K491" s="154" t="s">
        <v>15</v>
      </c>
      <c r="L491" s="154" t="str">
        <f>IF(OpenLCAbasic!K491="CTUh", "Fill in Manually",IF(OR(K491="Unit", K491=""), "", INDEX(LookUps!$E$5:$E$12, MATCH(OpenLCAbasic!K491,LookUps!$D$5:$D$12,0))))</f>
        <v>Cumulative Energy Demand (CED) - MJ</v>
      </c>
      <c r="M491" s="154" t="str">
        <f t="shared" si="23"/>
        <v>Base_Base_High_Upgraded_Cumulative Energy Demand (CED) - MJ_Wet Well and Sump Station; wastewater treatment unit; at updated plant - US_Base_With Amendment_Windrow</v>
      </c>
    </row>
    <row r="492" spans="1:13" s="120" customFormat="1" x14ac:dyDescent="0.25">
      <c r="A492" s="119"/>
      <c r="B492" s="138" t="str">
        <f t="shared" si="22"/>
        <v>Windrow</v>
      </c>
      <c r="C492" s="138" t="str">
        <f t="shared" si="24"/>
        <v>Base_With Amendment</v>
      </c>
      <c r="D492" s="118" t="s">
        <v>134</v>
      </c>
      <c r="E492" s="118" t="s">
        <v>130</v>
      </c>
      <c r="F492" s="118" t="s">
        <v>46</v>
      </c>
      <c r="G492" s="153"/>
      <c r="H492" s="155">
        <v>1.3503000000000001</v>
      </c>
      <c r="I492" s="154" t="s">
        <v>57</v>
      </c>
      <c r="J492" s="203">
        <v>0.33404</v>
      </c>
      <c r="K492" s="154" t="s">
        <v>15</v>
      </c>
      <c r="L492" s="154" t="str">
        <f>IF(OpenLCAbasic!K492="CTUh", "Fill in Manually",IF(OR(K492="Unit", K492=""), "", INDEX(LookUps!$E$5:$E$12, MATCH(OpenLCAbasic!K492,LookUps!$D$5:$D$12,0))))</f>
        <v>Cumulative Energy Demand (CED) - MJ</v>
      </c>
      <c r="M492" s="154" t="str">
        <f t="shared" si="23"/>
        <v>Base_Base_High_Upgraded_Cumulative Energy Demand (CED) - MJ_Gravity Belt Thickener; wastewater treatment unit; at updated plant - US_Base_With Amendment_Windrow</v>
      </c>
    </row>
    <row r="493" spans="1:13" s="120" customFormat="1" x14ac:dyDescent="0.25">
      <c r="A493" s="119"/>
      <c r="B493" s="138" t="str">
        <f t="shared" si="22"/>
        <v>Windrow</v>
      </c>
      <c r="C493" s="138" t="str">
        <f t="shared" si="24"/>
        <v>Base_With Amendment</v>
      </c>
      <c r="D493" s="118" t="s">
        <v>134</v>
      </c>
      <c r="E493" s="118" t="s">
        <v>130</v>
      </c>
      <c r="F493" s="118" t="s">
        <v>46</v>
      </c>
      <c r="G493" s="153"/>
      <c r="H493" s="155">
        <v>1.1228</v>
      </c>
      <c r="I493" s="154" t="s">
        <v>60</v>
      </c>
      <c r="J493" s="203">
        <v>0.27775</v>
      </c>
      <c r="K493" s="154" t="s">
        <v>15</v>
      </c>
      <c r="L493" s="154" t="str">
        <f>IF(OpenLCAbasic!K493="CTUh", "Fill in Manually",IF(OR(K493="Unit", K493=""), "", INDEX(LookUps!$E$5:$E$12, MATCH(OpenLCAbasic!K493,LookUps!$D$5:$D$12,0))))</f>
        <v>Cumulative Energy Demand (CED) - MJ</v>
      </c>
      <c r="M493" s="154" t="str">
        <f t="shared" si="23"/>
        <v>Base_Base_High_Upgraded_Cumulative Energy Demand (CED) - MJ_Belt filter press; wastewater treatment unit; at updated plant - US_Base_With Amendment_Windrow</v>
      </c>
    </row>
    <row r="494" spans="1:13" s="120" customFormat="1" x14ac:dyDescent="0.25">
      <c r="A494" s="119"/>
      <c r="B494" s="138" t="str">
        <f t="shared" si="22"/>
        <v>Windrow</v>
      </c>
      <c r="C494" s="138" t="str">
        <f t="shared" si="24"/>
        <v>Base_With Amendment</v>
      </c>
      <c r="D494" s="118" t="s">
        <v>134</v>
      </c>
      <c r="E494" s="118" t="s">
        <v>130</v>
      </c>
      <c r="F494" s="118" t="s">
        <v>46</v>
      </c>
      <c r="G494" s="153"/>
      <c r="H494" s="155">
        <v>1.0349999999999999</v>
      </c>
      <c r="I494" s="154" t="s">
        <v>128</v>
      </c>
      <c r="J494" s="203">
        <v>0.25606000000000001</v>
      </c>
      <c r="K494" s="154" t="s">
        <v>15</v>
      </c>
      <c r="L494" s="154" t="str">
        <f>IF(OpenLCAbasic!K494="CTUh", "Fill in Manually",IF(OR(K494="Unit", K494=""), "", INDEX(LookUps!$E$5:$E$12, MATCH(OpenLCAbasic!K494,LookUps!$D$5:$D$12,0))))</f>
        <v>Cumulative Energy Demand (CED) - MJ</v>
      </c>
      <c r="M494" s="154" t="str">
        <f t="shared" si="23"/>
        <v>Base_Base_High_Upgraded_Cumulative Energy Demand (CED) - MJ_Wastewater collection; operation and infrastructure; m3 wastewater_Base_With Amendment_Windrow</v>
      </c>
    </row>
    <row r="495" spans="1:13" s="120" customFormat="1" x14ac:dyDescent="0.25">
      <c r="A495" s="119"/>
      <c r="B495" s="138" t="str">
        <f t="shared" si="22"/>
        <v>Windrow</v>
      </c>
      <c r="C495" s="138" t="str">
        <f t="shared" si="24"/>
        <v>Base_With Amendment</v>
      </c>
      <c r="D495" s="118" t="s">
        <v>134</v>
      </c>
      <c r="E495" s="118" t="s">
        <v>130</v>
      </c>
      <c r="F495" s="118" t="s">
        <v>46</v>
      </c>
      <c r="G495" s="153"/>
      <c r="H495" s="155">
        <v>0.59009999999999996</v>
      </c>
      <c r="I495" s="154" t="s">
        <v>148</v>
      </c>
      <c r="J495" s="203">
        <v>0.14599000000000001</v>
      </c>
      <c r="K495" s="154" t="s">
        <v>15</v>
      </c>
      <c r="L495" s="154" t="str">
        <f>IF(OpenLCAbasic!K495="CTUh", "Fill in Manually",IF(OR(K495="Unit", K495=""), "", INDEX(LookUps!$E$5:$E$12, MATCH(OpenLCAbasic!K495,LookUps!$D$5:$D$12,0))))</f>
        <v>Cumulative Energy Demand (CED) - MJ</v>
      </c>
      <c r="M495" s="154" t="str">
        <f t="shared" si="23"/>
        <v>Base_Base_High_Upgraded_Cumulative Energy Demand (CED) - MJ_Control Building; at upgraded wastewater treatment plant - US_Base_With Amendment_Windrow</v>
      </c>
    </row>
    <row r="496" spans="1:13" s="120" customFormat="1" x14ac:dyDescent="0.25">
      <c r="A496" s="119"/>
      <c r="B496" s="138" t="str">
        <f t="shared" si="22"/>
        <v>Windrow</v>
      </c>
      <c r="C496" s="138" t="str">
        <f t="shared" si="24"/>
        <v>Base_With Amendment</v>
      </c>
      <c r="D496" s="118" t="s">
        <v>134</v>
      </c>
      <c r="E496" s="118" t="s">
        <v>130</v>
      </c>
      <c r="F496" s="118" t="s">
        <v>46</v>
      </c>
      <c r="G496" s="153"/>
      <c r="H496" s="155">
        <v>0.53849999999999998</v>
      </c>
      <c r="I496" s="154" t="s">
        <v>48</v>
      </c>
      <c r="J496" s="203">
        <v>0.13321</v>
      </c>
      <c r="K496" s="154" t="s">
        <v>15</v>
      </c>
      <c r="L496" s="154" t="str">
        <f>IF(OpenLCAbasic!K496="CTUh", "Fill in Manually",IF(OR(K496="Unit", K496=""), "", INDEX(LookUps!$E$5:$E$12, MATCH(OpenLCAbasic!K496,LookUps!$D$5:$D$12,0))))</f>
        <v>Cumulative Energy Demand (CED) - MJ</v>
      </c>
      <c r="M496" s="154" t="str">
        <f t="shared" si="23"/>
        <v>Base_Base_High_Upgraded_Cumulative Energy Demand (CED) - MJ_Effluent release; wastewater treatment unit; at surface water; m3 wastewater - US_Base_With Amendment_Windrow</v>
      </c>
    </row>
    <row r="497" spans="1:13" s="120" customFormat="1" x14ac:dyDescent="0.25">
      <c r="A497" s="119"/>
      <c r="B497" s="138" t="str">
        <f t="shared" si="22"/>
        <v>Windrow</v>
      </c>
      <c r="C497" s="138" t="str">
        <f t="shared" si="24"/>
        <v>Base_With Amendment</v>
      </c>
      <c r="D497" s="118" t="s">
        <v>134</v>
      </c>
      <c r="E497" s="118" t="s">
        <v>130</v>
      </c>
      <c r="F497" s="118" t="s">
        <v>46</v>
      </c>
      <c r="G497" s="153"/>
      <c r="H497" s="155">
        <v>0.43</v>
      </c>
      <c r="I497" s="154" t="s">
        <v>59</v>
      </c>
      <c r="J497" s="203">
        <v>0.10638</v>
      </c>
      <c r="K497" s="154" t="s">
        <v>15</v>
      </c>
      <c r="L497" s="154" t="str">
        <f>IF(OpenLCAbasic!K497="CTUh", "Fill in Manually",IF(OR(K497="Unit", K497=""), "", INDEX(LookUps!$E$5:$E$12, MATCH(OpenLCAbasic!K497,LookUps!$D$5:$D$12,0))))</f>
        <v>Cumulative Energy Demand (CED) - MJ</v>
      </c>
      <c r="M497" s="154" t="str">
        <f t="shared" si="23"/>
        <v>Base_Base_High_Upgraded_Cumulative Energy Demand (CED) - MJ_Blend Tank; wastewater treatment unit; at updated plant - US_Base_With Amendment_Windrow</v>
      </c>
    </row>
    <row r="498" spans="1:13" s="120" customFormat="1" x14ac:dyDescent="0.25">
      <c r="A498" s="119"/>
      <c r="B498" s="138" t="str">
        <f t="shared" si="22"/>
        <v>Windrow</v>
      </c>
      <c r="C498" s="138" t="str">
        <f t="shared" si="24"/>
        <v>Base_With Amendment</v>
      </c>
      <c r="D498" s="118" t="s">
        <v>134</v>
      </c>
      <c r="E498" s="118" t="s">
        <v>130</v>
      </c>
      <c r="F498" s="118" t="s">
        <v>46</v>
      </c>
      <c r="G498" s="153"/>
      <c r="H498" s="155">
        <v>0.2059</v>
      </c>
      <c r="I498" s="154" t="s">
        <v>168</v>
      </c>
      <c r="J498" s="203">
        <v>5.0930000000000003E-2</v>
      </c>
      <c r="K498" s="154" t="s">
        <v>15</v>
      </c>
      <c r="L498" s="154" t="str">
        <f>IF(OpenLCAbasic!K498="CTUh", "Fill in Manually",IF(OR(K498="Unit", K498=""), "", INDEX(LookUps!$E$5:$E$12, MATCH(OpenLCAbasic!K498,LookUps!$D$5:$D$12,0))))</f>
        <v>Cumulative Energy Demand (CED) - MJ</v>
      </c>
      <c r="M498" s="154" t="str">
        <f t="shared" si="23"/>
        <v>Base_Base_High_Upgraded_Cumulative Energy Demand (CED) - MJ_ClearCove SCP; wastewater treatment unit; at updated plant - US_Base_With Amendment_Windrow</v>
      </c>
    </row>
    <row r="499" spans="1:13" s="120" customFormat="1" x14ac:dyDescent="0.25">
      <c r="A499" s="119"/>
      <c r="B499" s="138" t="str">
        <f t="shared" si="22"/>
        <v>Windrow</v>
      </c>
      <c r="C499" s="138" t="str">
        <f t="shared" si="24"/>
        <v>Base_With Amendment</v>
      </c>
      <c r="D499" s="118" t="s">
        <v>134</v>
      </c>
      <c r="E499" s="118" t="s">
        <v>130</v>
      </c>
      <c r="F499" s="118" t="s">
        <v>46</v>
      </c>
      <c r="G499" s="153"/>
      <c r="H499" s="155">
        <v>8.09E-2</v>
      </c>
      <c r="I499" s="154" t="s">
        <v>271</v>
      </c>
      <c r="J499" s="203">
        <v>2.001E-2</v>
      </c>
      <c r="K499" s="154" t="s">
        <v>15</v>
      </c>
      <c r="L499" s="154" t="str">
        <f>IF(OpenLCAbasic!K499="CTUh", "Fill in Manually",IF(OR(K499="Unit", K499=""), "", INDEX(LookUps!$E$5:$E$12, MATCH(OpenLCAbasic!K499,LookUps!$D$5:$D$12,0))))</f>
        <v>Cumulative Energy Demand (CED) - MJ</v>
      </c>
      <c r="M499" s="154" t="str">
        <f t="shared" si="23"/>
        <v>Base_Base_High_Upgraded_Cumulative Energy Demand (CED) - MJ_Biosolids composting; windrow composting; wastewater treatment unit; at updated plant - US_Base_With Amendment_Windrow</v>
      </c>
    </row>
    <row r="500" spans="1:13" s="120" customFormat="1" x14ac:dyDescent="0.25">
      <c r="A500" s="119"/>
      <c r="B500" s="138" t="str">
        <f t="shared" si="22"/>
        <v>Windrow</v>
      </c>
      <c r="C500" s="138" t="str">
        <f t="shared" si="24"/>
        <v>Base_With Amendment</v>
      </c>
      <c r="D500" s="118" t="s">
        <v>134</v>
      </c>
      <c r="E500" s="118" t="s">
        <v>130</v>
      </c>
      <c r="F500" s="118" t="s">
        <v>46</v>
      </c>
      <c r="G500" s="153"/>
      <c r="H500" s="155">
        <v>-1.7067000000000001</v>
      </c>
      <c r="I500" s="154" t="s">
        <v>62</v>
      </c>
      <c r="J500" s="203">
        <v>-0.42220999999999997</v>
      </c>
      <c r="K500" s="154" t="s">
        <v>15</v>
      </c>
      <c r="L500" s="154" t="str">
        <f>IF(OpenLCAbasic!K500="CTUh", "Fill in Manually",IF(OR(K500="Unit", K500=""), "", INDEX(LookUps!$E$5:$E$12, MATCH(OpenLCAbasic!K500,LookUps!$D$5:$D$12,0))))</f>
        <v>Cumulative Energy Demand (CED) - MJ</v>
      </c>
      <c r="M500" s="154" t="str">
        <f t="shared" si="23"/>
        <v>Base_Base_High_Upgraded_Cumulative Energy Demand (CED) - MJ_Land application of compost; wastewater treatment unit; at updated plant - US_Base_With Amendment_Windrow</v>
      </c>
    </row>
    <row r="501" spans="1:13" s="120" customFormat="1" x14ac:dyDescent="0.25">
      <c r="A501" s="119"/>
      <c r="B501" s="138" t="str">
        <f t="shared" si="22"/>
        <v>Windrow</v>
      </c>
      <c r="C501" s="138" t="str">
        <f t="shared" si="24"/>
        <v>Base_With Amendment</v>
      </c>
      <c r="D501" s="118" t="s">
        <v>134</v>
      </c>
      <c r="E501" s="118" t="s">
        <v>130</v>
      </c>
      <c r="F501" s="118" t="s">
        <v>46</v>
      </c>
      <c r="G501" s="153"/>
      <c r="H501" s="155">
        <v>-45.728700000000003</v>
      </c>
      <c r="I501" s="154" t="s">
        <v>149</v>
      </c>
      <c r="J501" s="157">
        <v>-11.31259</v>
      </c>
      <c r="K501" s="154" t="s">
        <v>15</v>
      </c>
      <c r="L501" s="154" t="str">
        <f>IF(OpenLCAbasic!K501="CTUh", "Fill in Manually",IF(OR(K501="Unit", K501=""), "", INDEX(LookUps!$E$5:$E$12, MATCH(OpenLCAbasic!K501,LookUps!$D$5:$D$12,0))))</f>
        <v>Cumulative Energy Demand (CED) - MJ</v>
      </c>
      <c r="M501" s="154" t="str">
        <f t="shared" si="23"/>
        <v>Base_Base_High_Upgraded_Cumulative Energy Demand (CED) - MJ_Anaerobic Digestion; wastewater treatment unit; at updated plant - US_Base_With Amendment_Windrow</v>
      </c>
    </row>
    <row r="502" spans="1:13" s="120" customFormat="1" x14ac:dyDescent="0.25">
      <c r="A502" s="119"/>
      <c r="B502" s="138" t="str">
        <f t="shared" si="22"/>
        <v/>
      </c>
      <c r="C502" s="138" t="str">
        <f t="shared" si="24"/>
        <v>Base_With Amendment</v>
      </c>
      <c r="D502" s="118"/>
      <c r="E502" s="118" t="s">
        <v>130</v>
      </c>
      <c r="F502" s="118"/>
      <c r="G502" s="153" t="s">
        <v>51</v>
      </c>
      <c r="H502" s="155"/>
      <c r="I502" s="154" t="s">
        <v>47</v>
      </c>
      <c r="J502" s="154" t="s">
        <v>52</v>
      </c>
      <c r="K502" s="154" t="s">
        <v>27</v>
      </c>
      <c r="L502" s="154" t="str">
        <f>IF(OpenLCAbasic!K502="CTUh", "Fill in Manually",IF(OR(K502="Unit", K502=""), "", INDEX(LookUps!$E$5:$E$12, MATCH(OpenLCAbasic!K502,LookUps!$D$5:$D$12,0))))</f>
        <v/>
      </c>
      <c r="M502" s="154" t="str">
        <f t="shared" si="23"/>
        <v>Base____Process_Base_With Amendment_</v>
      </c>
    </row>
    <row r="503" spans="1:13" s="120" customFormat="1" x14ac:dyDescent="0.25">
      <c r="A503" s="119"/>
      <c r="B503" s="138" t="str">
        <f t="shared" si="22"/>
        <v>Windrow</v>
      </c>
      <c r="C503" s="138" t="str">
        <f t="shared" si="24"/>
        <v>Base_With Amendment</v>
      </c>
      <c r="D503" s="118" t="s">
        <v>140</v>
      </c>
      <c r="E503" s="118" t="s">
        <v>130</v>
      </c>
      <c r="F503" s="118" t="s">
        <v>46</v>
      </c>
      <c r="G503" s="153"/>
      <c r="H503" s="155">
        <v>3.2690000000000001</v>
      </c>
      <c r="I503" s="154" t="s">
        <v>271</v>
      </c>
      <c r="J503" s="157">
        <v>1.29776</v>
      </c>
      <c r="K503" s="154" t="s">
        <v>23</v>
      </c>
      <c r="L503" s="154" t="str">
        <f>IF(OpenLCAbasic!K503="CTUh", "Fill in Manually",IF(OR(K503="Unit", K503=""), "", INDEX(LookUps!$E$5:$E$12, MATCH(OpenLCAbasic!K503,LookUps!$D$5:$D$12,0))))</f>
        <v>Global Warming Potential (GWP) - kg CO2 eq</v>
      </c>
      <c r="M503" s="154" t="str">
        <f t="shared" si="23"/>
        <v>Base_High_High_Upgraded_Global Warming Potential (GWP) - kg CO2 eq_Biosolids composting; windrow composting; wastewater treatment unit; at updated plant - US_Base_With Amendment_Windrow</v>
      </c>
    </row>
    <row r="504" spans="1:13" s="120" customFormat="1" x14ac:dyDescent="0.25">
      <c r="A504" s="119"/>
      <c r="B504" s="138" t="str">
        <f t="shared" si="22"/>
        <v>Windrow</v>
      </c>
      <c r="C504" s="138" t="str">
        <f t="shared" si="24"/>
        <v>Base_With Amendment</v>
      </c>
      <c r="D504" s="118" t="s">
        <v>140</v>
      </c>
      <c r="E504" s="118" t="s">
        <v>130</v>
      </c>
      <c r="F504" s="118" t="s">
        <v>46</v>
      </c>
      <c r="G504" s="153"/>
      <c r="H504" s="155">
        <v>0.62949999999999995</v>
      </c>
      <c r="I504" s="154" t="s">
        <v>58</v>
      </c>
      <c r="J504" s="203">
        <v>0.24992</v>
      </c>
      <c r="K504" s="154" t="s">
        <v>23</v>
      </c>
      <c r="L504" s="154" t="str">
        <f>IF(OpenLCAbasic!K504="CTUh", "Fill in Manually",IF(OR(K504="Unit", K504=""), "", INDEX(LookUps!$E$5:$E$12, MATCH(OpenLCAbasic!K504,LookUps!$D$5:$D$12,0))))</f>
        <v>Global Warming Potential (GWP) - kg CO2 eq</v>
      </c>
      <c r="M504" s="154" t="str">
        <f t="shared" si="23"/>
        <v>Base_High_High_Upgraded_Global Warming Potential (GWP) - kg CO2 eq_Pre-Anoxic &amp; Swing tank; wastewater treatment unit; at updated plant - US_Base_With Amendment_Windrow</v>
      </c>
    </row>
    <row r="505" spans="1:13" s="120" customFormat="1" x14ac:dyDescent="0.25">
      <c r="A505" s="119"/>
      <c r="B505" s="138" t="str">
        <f t="shared" si="22"/>
        <v>Windrow</v>
      </c>
      <c r="C505" s="138" t="str">
        <f t="shared" si="24"/>
        <v>Base_With Amendment</v>
      </c>
      <c r="D505" s="118" t="s">
        <v>140</v>
      </c>
      <c r="E505" s="118" t="s">
        <v>130</v>
      </c>
      <c r="F505" s="118" t="s">
        <v>46</v>
      </c>
      <c r="G505" s="153"/>
      <c r="H505" s="155">
        <v>0.42370000000000002</v>
      </c>
      <c r="I505" s="154" t="s">
        <v>55</v>
      </c>
      <c r="J505" s="203">
        <v>0.16822000000000001</v>
      </c>
      <c r="K505" s="154" t="s">
        <v>23</v>
      </c>
      <c r="L505" s="154" t="str">
        <f>IF(OpenLCAbasic!K505="CTUh", "Fill in Manually",IF(OR(K505="Unit", K505=""), "", INDEX(LookUps!$E$5:$E$12, MATCH(OpenLCAbasic!K505,LookUps!$D$5:$D$12,0))))</f>
        <v>Global Warming Potential (GWP) - kg CO2 eq</v>
      </c>
      <c r="M505" s="154" t="str">
        <f t="shared" si="23"/>
        <v>Base_High_High_Upgraded_Global Warming Potential (GWP) - kg CO2 eq_Aeration Tanks; wastewater treatment unit; at updated plant - US_Base_With Amendment_Windrow</v>
      </c>
    </row>
    <row r="506" spans="1:13" s="120" customFormat="1" x14ac:dyDescent="0.25">
      <c r="A506" s="119"/>
      <c r="B506" s="138" t="str">
        <f t="shared" si="22"/>
        <v>Windrow</v>
      </c>
      <c r="C506" s="138" t="str">
        <f t="shared" si="24"/>
        <v>Base_With Amendment</v>
      </c>
      <c r="D506" s="118" t="s">
        <v>140</v>
      </c>
      <c r="E506" s="118" t="s">
        <v>130</v>
      </c>
      <c r="F506" s="118" t="s">
        <v>46</v>
      </c>
      <c r="G506" s="153"/>
      <c r="H506" s="155">
        <v>0.36990000000000001</v>
      </c>
      <c r="I506" s="154" t="s">
        <v>167</v>
      </c>
      <c r="J506" s="203">
        <v>0.14685000000000001</v>
      </c>
      <c r="K506" s="154" t="s">
        <v>23</v>
      </c>
      <c r="L506" s="154" t="str">
        <f>IF(OpenLCAbasic!K506="CTUh", "Fill in Manually",IF(OR(K506="Unit", K506=""), "", INDEX(LookUps!$E$5:$E$12, MATCH(OpenLCAbasic!K506,LookUps!$D$5:$D$12,0))))</f>
        <v>Global Warming Potential (GWP) - kg CO2 eq</v>
      </c>
      <c r="M506" s="154" t="str">
        <f t="shared" si="23"/>
        <v>Base_High_High_Upgraded_Global Warming Potential (GWP) - kg CO2 eq_Waste Receiving and Holding; wastewater treatment unit; at updated plant - US_Base_With Amendment_Windrow</v>
      </c>
    </row>
    <row r="507" spans="1:13" s="120" customFormat="1" x14ac:dyDescent="0.25">
      <c r="A507" s="119"/>
      <c r="B507" s="138" t="str">
        <f t="shared" si="22"/>
        <v>Windrow</v>
      </c>
      <c r="C507" s="138" t="str">
        <f t="shared" si="24"/>
        <v>Base_With Amendment</v>
      </c>
      <c r="D507" s="118" t="s">
        <v>140</v>
      </c>
      <c r="E507" s="118" t="s">
        <v>130</v>
      </c>
      <c r="F507" s="118" t="s">
        <v>46</v>
      </c>
      <c r="G507" s="153"/>
      <c r="H507" s="155">
        <v>0.14380000000000001</v>
      </c>
      <c r="I507" s="154" t="s">
        <v>54</v>
      </c>
      <c r="J507" s="203">
        <v>5.7079999999999999E-2</v>
      </c>
      <c r="K507" s="154" t="s">
        <v>23</v>
      </c>
      <c r="L507" s="154" t="str">
        <f>IF(OpenLCAbasic!K507="CTUh", "Fill in Manually",IF(OR(K507="Unit", K507=""), "", INDEX(LookUps!$E$5:$E$12, MATCH(OpenLCAbasic!K507,LookUps!$D$5:$D$12,0))))</f>
        <v>Global Warming Potential (GWP) - kg CO2 eq</v>
      </c>
      <c r="M507" s="154" t="str">
        <f t="shared" si="23"/>
        <v>Base_High_High_Upgraded_Global Warming Potential (GWP) - kg CO2 eq_Clear Cove Primary Clarification; wastewater treatment unit; at updated plant - US_Base_With Amendment_Windrow</v>
      </c>
    </row>
    <row r="508" spans="1:13" s="120" customFormat="1" x14ac:dyDescent="0.25">
      <c r="A508" s="119"/>
      <c r="B508" s="138" t="str">
        <f t="shared" si="22"/>
        <v>Windrow</v>
      </c>
      <c r="C508" s="138" t="str">
        <f t="shared" si="24"/>
        <v>Base_With Amendment</v>
      </c>
      <c r="D508" s="118" t="s">
        <v>140</v>
      </c>
      <c r="E508" s="118" t="s">
        <v>130</v>
      </c>
      <c r="F508" s="118" t="s">
        <v>46</v>
      </c>
      <c r="G508" s="153"/>
      <c r="H508" s="155">
        <v>0.1326</v>
      </c>
      <c r="I508" s="154" t="s">
        <v>48</v>
      </c>
      <c r="J508" s="203">
        <v>5.2639999999999999E-2</v>
      </c>
      <c r="K508" s="154" t="s">
        <v>23</v>
      </c>
      <c r="L508" s="154" t="str">
        <f>IF(OpenLCAbasic!K508="CTUh", "Fill in Manually",IF(OR(K508="Unit", K508=""), "", INDEX(LookUps!$E$5:$E$12, MATCH(OpenLCAbasic!K508,LookUps!$D$5:$D$12,0))))</f>
        <v>Global Warming Potential (GWP) - kg CO2 eq</v>
      </c>
      <c r="M508" s="154" t="str">
        <f t="shared" si="23"/>
        <v>Base_High_High_Upgraded_Global Warming Potential (GWP) - kg CO2 eq_Effluent release; wastewater treatment unit; at surface water; m3 wastewater - US_Base_With Amendment_Windrow</v>
      </c>
    </row>
    <row r="509" spans="1:13" s="120" customFormat="1" x14ac:dyDescent="0.25">
      <c r="A509" s="119"/>
      <c r="B509" s="138" t="str">
        <f t="shared" si="22"/>
        <v>Windrow</v>
      </c>
      <c r="C509" s="138" t="str">
        <f t="shared" si="24"/>
        <v>Base_With Amendment</v>
      </c>
      <c r="D509" s="118" t="s">
        <v>140</v>
      </c>
      <c r="E509" s="118" t="s">
        <v>130</v>
      </c>
      <c r="F509" s="118" t="s">
        <v>46</v>
      </c>
      <c r="G509" s="153"/>
      <c r="H509" s="155">
        <v>0.12720000000000001</v>
      </c>
      <c r="I509" s="154" t="s">
        <v>147</v>
      </c>
      <c r="J509" s="203">
        <v>5.0500000000000003E-2</v>
      </c>
      <c r="K509" s="154" t="s">
        <v>23</v>
      </c>
      <c r="L509" s="154" t="str">
        <f>IF(OpenLCAbasic!K509="CTUh", "Fill in Manually",IF(OR(K509="Unit", K509=""), "", INDEX(LookUps!$E$5:$E$12, MATCH(OpenLCAbasic!K509,LookUps!$D$5:$D$12,0))))</f>
        <v>Global Warming Potential (GWP) - kg CO2 eq</v>
      </c>
      <c r="M509" s="154" t="str">
        <f t="shared" si="23"/>
        <v>Base_High_High_Upgraded_Global Warming Potential (GWP) - kg CO2 eq_Influent Pump Station; wastewater treatment unit; at updated plant - US_Base_With Amendment_Windrow</v>
      </c>
    </row>
    <row r="510" spans="1:13" s="120" customFormat="1" x14ac:dyDescent="0.25">
      <c r="A510" s="119"/>
      <c r="B510" s="138" t="str">
        <f t="shared" si="22"/>
        <v>Windrow</v>
      </c>
      <c r="C510" s="138" t="str">
        <f t="shared" si="24"/>
        <v>Base_With Amendment</v>
      </c>
      <c r="D510" s="118" t="s">
        <v>140</v>
      </c>
      <c r="E510" s="118" t="s">
        <v>130</v>
      </c>
      <c r="F510" s="118" t="s">
        <v>46</v>
      </c>
      <c r="G510" s="153"/>
      <c r="H510" s="155">
        <v>8.3799999999999999E-2</v>
      </c>
      <c r="I510" s="154" t="s">
        <v>53</v>
      </c>
      <c r="J510" s="203">
        <v>3.3259999999999998E-2</v>
      </c>
      <c r="K510" s="154" t="s">
        <v>23</v>
      </c>
      <c r="L510" s="154" t="str">
        <f>IF(OpenLCAbasic!K510="CTUh", "Fill in Manually",IF(OR(K510="Unit", K510=""), "", INDEX(LookUps!$E$5:$E$12, MATCH(OpenLCAbasic!K510,LookUps!$D$5:$D$12,0))))</f>
        <v>Global Warming Potential (GWP) - kg CO2 eq</v>
      </c>
      <c r="M510" s="154" t="str">
        <f t="shared" si="23"/>
        <v>Base_High_High_Upgraded_Global Warming Potential (GWP) - kg CO2 eq_Wet Well and Sump Station; wastewater treatment unit; at updated plant - US_Base_With Amendment_Windrow</v>
      </c>
    </row>
    <row r="511" spans="1:13" s="120" customFormat="1" x14ac:dyDescent="0.25">
      <c r="A511" s="119"/>
      <c r="B511" s="138" t="str">
        <f t="shared" si="22"/>
        <v>Windrow</v>
      </c>
      <c r="C511" s="138" t="str">
        <f t="shared" si="24"/>
        <v>Base_With Amendment</v>
      </c>
      <c r="D511" s="118" t="s">
        <v>140</v>
      </c>
      <c r="E511" s="118" t="s">
        <v>130</v>
      </c>
      <c r="F511" s="118" t="s">
        <v>46</v>
      </c>
      <c r="G511" s="153"/>
      <c r="H511" s="155">
        <v>5.7599999999999998E-2</v>
      </c>
      <c r="I511" s="154" t="s">
        <v>60</v>
      </c>
      <c r="J511" s="203">
        <v>2.2880000000000001E-2</v>
      </c>
      <c r="K511" s="154" t="s">
        <v>23</v>
      </c>
      <c r="L511" s="154" t="str">
        <f>IF(OpenLCAbasic!K511="CTUh", "Fill in Manually",IF(OR(K511="Unit", K511=""), "", INDEX(LookUps!$E$5:$E$12, MATCH(OpenLCAbasic!K511,LookUps!$D$5:$D$12,0))))</f>
        <v>Global Warming Potential (GWP) - kg CO2 eq</v>
      </c>
      <c r="M511" s="154" t="str">
        <f t="shared" si="23"/>
        <v>Base_High_High_Upgraded_Global Warming Potential (GWP) - kg CO2 eq_Belt filter press; wastewater treatment unit; at updated plant - US_Base_With Amendment_Windrow</v>
      </c>
    </row>
    <row r="512" spans="1:13" s="120" customFormat="1" x14ac:dyDescent="0.25">
      <c r="A512" s="119"/>
      <c r="B512" s="138" t="str">
        <f t="shared" si="22"/>
        <v>Windrow</v>
      </c>
      <c r="C512" s="138" t="str">
        <f t="shared" si="24"/>
        <v>Base_With Amendment</v>
      </c>
      <c r="D512" s="118" t="s">
        <v>140</v>
      </c>
      <c r="E512" s="118" t="s">
        <v>130</v>
      </c>
      <c r="F512" s="118" t="s">
        <v>46</v>
      </c>
      <c r="G512" s="153"/>
      <c r="H512" s="155">
        <v>3.6700000000000003E-2</v>
      </c>
      <c r="I512" s="154" t="s">
        <v>57</v>
      </c>
      <c r="J512" s="203">
        <v>1.455E-2</v>
      </c>
      <c r="K512" s="154" t="s">
        <v>23</v>
      </c>
      <c r="L512" s="154" t="str">
        <f>IF(OpenLCAbasic!K512="CTUh", "Fill in Manually",IF(OR(K512="Unit", K512=""), "", INDEX(LookUps!$E$5:$E$12, MATCH(OpenLCAbasic!K512,LookUps!$D$5:$D$12,0))))</f>
        <v>Global Warming Potential (GWP) - kg CO2 eq</v>
      </c>
      <c r="M512" s="154" t="str">
        <f t="shared" si="23"/>
        <v>Base_High_High_Upgraded_Global Warming Potential (GWP) - kg CO2 eq_Gravity Belt Thickener; wastewater treatment unit; at updated plant - US_Base_With Amendment_Windrow</v>
      </c>
    </row>
    <row r="513" spans="1:13" s="120" customFormat="1" x14ac:dyDescent="0.25">
      <c r="A513" s="119"/>
      <c r="B513" s="138" t="str">
        <f t="shared" si="22"/>
        <v>Windrow</v>
      </c>
      <c r="C513" s="138" t="str">
        <f t="shared" si="24"/>
        <v>Base_With Amendment</v>
      </c>
      <c r="D513" s="118" t="s">
        <v>140</v>
      </c>
      <c r="E513" s="118" t="s">
        <v>130</v>
      </c>
      <c r="F513" s="118" t="s">
        <v>46</v>
      </c>
      <c r="G513" s="153"/>
      <c r="H513" s="155">
        <v>3.4000000000000002E-2</v>
      </c>
      <c r="I513" s="154" t="s">
        <v>128</v>
      </c>
      <c r="J513" s="204">
        <v>1.3509999999999999E-2</v>
      </c>
      <c r="K513" s="154" t="s">
        <v>23</v>
      </c>
      <c r="L513" s="154" t="str">
        <f>IF(OpenLCAbasic!K513="CTUh", "Fill in Manually",IF(OR(K513="Unit", K513=""), "", INDEX(LookUps!$E$5:$E$12, MATCH(OpenLCAbasic!K513,LookUps!$D$5:$D$12,0))))</f>
        <v>Global Warming Potential (GWP) - kg CO2 eq</v>
      </c>
      <c r="M513" s="154" t="str">
        <f t="shared" si="23"/>
        <v>Base_High_High_Upgraded_Global Warming Potential (GWP) - kg CO2 eq_Wastewater collection; operation and infrastructure; m3 wastewater_Base_With Amendment_Windrow</v>
      </c>
    </row>
    <row r="514" spans="1:13" s="120" customFormat="1" x14ac:dyDescent="0.25">
      <c r="A514" s="119"/>
      <c r="B514" s="138" t="str">
        <f t="shared" si="22"/>
        <v>Windrow</v>
      </c>
      <c r="C514" s="138" t="str">
        <f t="shared" si="24"/>
        <v>Base_With Amendment</v>
      </c>
      <c r="D514" s="118" t="s">
        <v>140</v>
      </c>
      <c r="E514" s="118" t="s">
        <v>130</v>
      </c>
      <c r="F514" s="118" t="s">
        <v>46</v>
      </c>
      <c r="G514" s="153"/>
      <c r="H514" s="155">
        <v>2.0899999999999998E-2</v>
      </c>
      <c r="I514" s="154" t="s">
        <v>148</v>
      </c>
      <c r="J514" s="204">
        <v>8.3000000000000001E-3</v>
      </c>
      <c r="K514" s="154" t="s">
        <v>23</v>
      </c>
      <c r="L514" s="154" t="str">
        <f>IF(OpenLCAbasic!K514="CTUh", "Fill in Manually",IF(OR(K514="Unit", K514=""), "", INDEX(LookUps!$E$5:$E$12, MATCH(OpenLCAbasic!K514,LookUps!$D$5:$D$12,0))))</f>
        <v>Global Warming Potential (GWP) - kg CO2 eq</v>
      </c>
      <c r="M514" s="154" t="str">
        <f t="shared" si="23"/>
        <v>Base_High_High_Upgraded_Global Warming Potential (GWP) - kg CO2 eq_Control Building; at upgraded wastewater treatment plant - US_Base_With Amendment_Windrow</v>
      </c>
    </row>
    <row r="515" spans="1:13" s="120" customFormat="1" x14ac:dyDescent="0.25">
      <c r="A515" s="119"/>
      <c r="B515" s="138" t="str">
        <f t="shared" si="22"/>
        <v>Windrow</v>
      </c>
      <c r="C515" s="138" t="str">
        <f t="shared" si="24"/>
        <v>Base_With Amendment</v>
      </c>
      <c r="D515" s="118" t="s">
        <v>140</v>
      </c>
      <c r="E515" s="118" t="s">
        <v>130</v>
      </c>
      <c r="F515" s="118" t="s">
        <v>46</v>
      </c>
      <c r="G515" s="153"/>
      <c r="H515" s="155">
        <v>1.2699999999999999E-2</v>
      </c>
      <c r="I515" s="154" t="s">
        <v>59</v>
      </c>
      <c r="J515" s="204">
        <v>5.0400000000000002E-3</v>
      </c>
      <c r="K515" s="154" t="s">
        <v>23</v>
      </c>
      <c r="L515" s="154" t="str">
        <f>IF(OpenLCAbasic!K515="CTUh", "Fill in Manually",IF(OR(K515="Unit", K515=""), "", INDEX(LookUps!$E$5:$E$12, MATCH(OpenLCAbasic!K515,LookUps!$D$5:$D$12,0))))</f>
        <v>Global Warming Potential (GWP) - kg CO2 eq</v>
      </c>
      <c r="M515" s="154" t="str">
        <f t="shared" si="23"/>
        <v>Base_High_High_Upgraded_Global Warming Potential (GWP) - kg CO2 eq_Blend Tank; wastewater treatment unit; at updated plant - US_Base_With Amendment_Windrow</v>
      </c>
    </row>
    <row r="516" spans="1:13" s="120" customFormat="1" x14ac:dyDescent="0.25">
      <c r="A516" s="119"/>
      <c r="B516" s="138" t="str">
        <f t="shared" si="22"/>
        <v>Windrow</v>
      </c>
      <c r="C516" s="138" t="str">
        <f t="shared" si="24"/>
        <v>Base_With Amendment</v>
      </c>
      <c r="D516" s="118" t="s">
        <v>140</v>
      </c>
      <c r="E516" s="118" t="s">
        <v>130</v>
      </c>
      <c r="F516" s="118" t="s">
        <v>46</v>
      </c>
      <c r="G516" s="153"/>
      <c r="H516" s="155">
        <v>6.1000000000000004E-3</v>
      </c>
      <c r="I516" s="154" t="s">
        <v>168</v>
      </c>
      <c r="J516" s="204">
        <v>2.4099999999999998E-3</v>
      </c>
      <c r="K516" s="154" t="s">
        <v>23</v>
      </c>
      <c r="L516" s="154" t="str">
        <f>IF(OpenLCAbasic!K516="CTUh", "Fill in Manually",IF(OR(K516="Unit", K516=""), "", INDEX(LookUps!$E$5:$E$12, MATCH(OpenLCAbasic!K516,LookUps!$D$5:$D$12,0))))</f>
        <v>Global Warming Potential (GWP) - kg CO2 eq</v>
      </c>
      <c r="M516" s="154" t="str">
        <f t="shared" si="23"/>
        <v>Base_High_High_Upgraded_Global Warming Potential (GWP) - kg CO2 eq_ClearCove SCP; wastewater treatment unit; at updated plant - US_Base_With Amendment_Windrow</v>
      </c>
    </row>
    <row r="517" spans="1:13" s="120" customFormat="1" x14ac:dyDescent="0.25">
      <c r="A517" s="119"/>
      <c r="B517" s="138" t="str">
        <f t="shared" si="22"/>
        <v>Windrow</v>
      </c>
      <c r="C517" s="138" t="str">
        <f t="shared" si="24"/>
        <v>Base_With Amendment</v>
      </c>
      <c r="D517" s="118" t="s">
        <v>140</v>
      </c>
      <c r="E517" s="118" t="s">
        <v>130</v>
      </c>
      <c r="F517" s="118" t="s">
        <v>46</v>
      </c>
      <c r="G517" s="153"/>
      <c r="H517" s="155">
        <v>-2.1057999999999999</v>
      </c>
      <c r="I517" s="154" t="s">
        <v>62</v>
      </c>
      <c r="J517" s="203">
        <v>-0.83601000000000003</v>
      </c>
      <c r="K517" s="154" t="s">
        <v>23</v>
      </c>
      <c r="L517" s="154" t="str">
        <f>IF(OpenLCAbasic!K517="CTUh", "Fill in Manually",IF(OR(K517="Unit", K517=""), "", INDEX(LookUps!$E$5:$E$12, MATCH(OpenLCAbasic!K517,LookUps!$D$5:$D$12,0))))</f>
        <v>Global Warming Potential (GWP) - kg CO2 eq</v>
      </c>
      <c r="M517" s="154" t="str">
        <f t="shared" si="23"/>
        <v>Base_High_High_Upgraded_Global Warming Potential (GWP) - kg CO2 eq_Land application of compost; wastewater treatment unit; at updated plant - US_Base_With Amendment_Windrow</v>
      </c>
    </row>
    <row r="518" spans="1:13" s="120" customFormat="1" x14ac:dyDescent="0.25">
      <c r="A518" s="119"/>
      <c r="B518" s="138" t="str">
        <f t="shared" si="22"/>
        <v>Windrow</v>
      </c>
      <c r="C518" s="138" t="str">
        <f t="shared" si="24"/>
        <v>Base_With Amendment</v>
      </c>
      <c r="D518" s="118" t="s">
        <v>140</v>
      </c>
      <c r="E518" s="118" t="s">
        <v>130</v>
      </c>
      <c r="F518" s="118" t="s">
        <v>46</v>
      </c>
      <c r="G518" s="153"/>
      <c r="H518" s="155">
        <v>-2.2416</v>
      </c>
      <c r="I518" s="154" t="s">
        <v>149</v>
      </c>
      <c r="J518" s="203">
        <v>-0.88992000000000004</v>
      </c>
      <c r="K518" s="154" t="s">
        <v>23</v>
      </c>
      <c r="L518" s="154" t="str">
        <f>IF(OpenLCAbasic!K518="CTUh", "Fill in Manually",IF(OR(K518="Unit", K518=""), "", INDEX(LookUps!$E$5:$E$12, MATCH(OpenLCAbasic!K518,LookUps!$D$5:$D$12,0))))</f>
        <v>Global Warming Potential (GWP) - kg CO2 eq</v>
      </c>
      <c r="M518" s="154" t="str">
        <f t="shared" si="23"/>
        <v>Base_High_High_Upgraded_Global Warming Potential (GWP) - kg CO2 eq_Anaerobic Digestion; wastewater treatment unit; at updated plant - US_Base_With Amendment_Windrow</v>
      </c>
    </row>
    <row r="519" spans="1:13" s="120" customFormat="1" x14ac:dyDescent="0.25">
      <c r="A519" s="119"/>
      <c r="B519" s="138" t="str">
        <f t="shared" ref="B519:B582" si="25">IF(F519="Legacy","n.a.",IF(F519="","","Windrow"))</f>
        <v/>
      </c>
      <c r="C519" s="138" t="str">
        <f t="shared" si="24"/>
        <v>Base_With Amendment</v>
      </c>
      <c r="D519" s="118"/>
      <c r="E519" s="118" t="s">
        <v>130</v>
      </c>
      <c r="F519" s="118"/>
      <c r="G519" s="153" t="s">
        <v>51</v>
      </c>
      <c r="H519" s="155"/>
      <c r="I519" s="154" t="s">
        <v>47</v>
      </c>
      <c r="J519" s="154" t="s">
        <v>52</v>
      </c>
      <c r="K519" s="154" t="s">
        <v>27</v>
      </c>
      <c r="L519" s="154" t="str">
        <f>IF(OpenLCAbasic!K519="CTUh", "Fill in Manually",IF(OR(K519="Unit", K519=""), "", INDEX(LookUps!$E$5:$E$12, MATCH(OpenLCAbasic!K519,LookUps!$D$5:$D$12,0))))</f>
        <v/>
      </c>
      <c r="M519" s="154" t="str">
        <f t="shared" si="23"/>
        <v>Base____Process_Base_With Amendment_</v>
      </c>
    </row>
    <row r="520" spans="1:13" s="120" customFormat="1" x14ac:dyDescent="0.25">
      <c r="A520" s="119"/>
      <c r="B520" s="138" t="str">
        <f t="shared" si="25"/>
        <v>Windrow</v>
      </c>
      <c r="C520" s="138" t="str">
        <f t="shared" si="24"/>
        <v>Base_With Amendment</v>
      </c>
      <c r="D520" s="118" t="s">
        <v>140</v>
      </c>
      <c r="E520" s="118" t="s">
        <v>130</v>
      </c>
      <c r="F520" s="118" t="s">
        <v>46</v>
      </c>
      <c r="G520" s="153"/>
      <c r="H520" s="155">
        <v>0.79249999999999998</v>
      </c>
      <c r="I520" s="154" t="s">
        <v>48</v>
      </c>
      <c r="J520" s="203">
        <v>1.1610000000000001E-2</v>
      </c>
      <c r="K520" s="154" t="s">
        <v>13</v>
      </c>
      <c r="L520" s="154" t="str">
        <f>IF(OpenLCAbasic!K520="CTUh", "Fill in Manually",IF(OR(K520="Unit", K520=""), "", INDEX(LookUps!$E$5:$E$12, MATCH(OpenLCAbasic!K520,LookUps!$D$5:$D$12,0))))</f>
        <v>Eutrophication Potential (EP) - kg N eq</v>
      </c>
      <c r="M520" s="154" t="str">
        <f t="shared" ref="M520:M583" si="26">CONCATENATE(E520,"_",D520,"_",F520,"_",L520, "_",I520,"_", C520,"_", B520)</f>
        <v>Base_High_High_Upgraded_Eutrophication Potential (EP) - kg N eq_Effluent release; wastewater treatment unit; at surface water; m3 wastewater - US_Base_With Amendment_Windrow</v>
      </c>
    </row>
    <row r="521" spans="1:13" s="120" customFormat="1" x14ac:dyDescent="0.25">
      <c r="A521" s="119"/>
      <c r="B521" s="138" t="str">
        <f t="shared" si="25"/>
        <v>Windrow</v>
      </c>
      <c r="C521" s="138" t="str">
        <f t="shared" si="24"/>
        <v>Base_With Amendment</v>
      </c>
      <c r="D521" s="118" t="s">
        <v>140</v>
      </c>
      <c r="E521" s="118" t="s">
        <v>130</v>
      </c>
      <c r="F521" s="118" t="s">
        <v>46</v>
      </c>
      <c r="G521" s="153"/>
      <c r="H521" s="155">
        <v>0.25</v>
      </c>
      <c r="I521" s="154" t="s">
        <v>62</v>
      </c>
      <c r="J521" s="204">
        <v>3.6600000000000001E-3</v>
      </c>
      <c r="K521" s="154" t="s">
        <v>13</v>
      </c>
      <c r="L521" s="154" t="str">
        <f>IF(OpenLCAbasic!K521="CTUh", "Fill in Manually",IF(OR(K521="Unit", K521=""), "", INDEX(LookUps!$E$5:$E$12, MATCH(OpenLCAbasic!K521,LookUps!$D$5:$D$12,0))))</f>
        <v>Eutrophication Potential (EP) - kg N eq</v>
      </c>
      <c r="M521" s="154" t="str">
        <f t="shared" si="26"/>
        <v>Base_High_High_Upgraded_Eutrophication Potential (EP) - kg N eq_Land application of compost; wastewater treatment unit; at updated plant - US_Base_With Amendment_Windrow</v>
      </c>
    </row>
    <row r="522" spans="1:13" s="120" customFormat="1" x14ac:dyDescent="0.25">
      <c r="A522" s="119"/>
      <c r="B522" s="138" t="str">
        <f t="shared" si="25"/>
        <v>Windrow</v>
      </c>
      <c r="C522" s="138" t="str">
        <f t="shared" si="24"/>
        <v>Base_With Amendment</v>
      </c>
      <c r="D522" s="118" t="s">
        <v>140</v>
      </c>
      <c r="E522" s="118" t="s">
        <v>130</v>
      </c>
      <c r="F522" s="118" t="s">
        <v>46</v>
      </c>
      <c r="G522" s="153"/>
      <c r="H522" s="155">
        <v>4.3099999999999999E-2</v>
      </c>
      <c r="I522" s="154" t="s">
        <v>271</v>
      </c>
      <c r="J522" s="204">
        <v>6.3000000000000003E-4</v>
      </c>
      <c r="K522" s="154" t="s">
        <v>13</v>
      </c>
      <c r="L522" s="154" t="str">
        <f>IF(OpenLCAbasic!K522="CTUh", "Fill in Manually",IF(OR(K522="Unit", K522=""), "", INDEX(LookUps!$E$5:$E$12, MATCH(OpenLCAbasic!K522,LookUps!$D$5:$D$12,0))))</f>
        <v>Eutrophication Potential (EP) - kg N eq</v>
      </c>
      <c r="M522" s="154" t="str">
        <f t="shared" si="26"/>
        <v>Base_High_High_Upgraded_Eutrophication Potential (EP) - kg N eq_Biosolids composting; windrow composting; wastewater treatment unit; at updated plant - US_Base_With Amendment_Windrow</v>
      </c>
    </row>
    <row r="523" spans="1:13" s="120" customFormat="1" x14ac:dyDescent="0.25">
      <c r="A523" s="119"/>
      <c r="B523" s="138" t="str">
        <f t="shared" si="25"/>
        <v>Windrow</v>
      </c>
      <c r="C523" s="138" t="str">
        <f t="shared" si="24"/>
        <v>Base_With Amendment</v>
      </c>
      <c r="D523" s="118" t="s">
        <v>140</v>
      </c>
      <c r="E523" s="118" t="s">
        <v>130</v>
      </c>
      <c r="F523" s="118" t="s">
        <v>46</v>
      </c>
      <c r="G523" s="153"/>
      <c r="H523" s="155">
        <v>3.73E-2</v>
      </c>
      <c r="I523" s="154" t="s">
        <v>55</v>
      </c>
      <c r="J523" s="204">
        <v>5.5000000000000003E-4</v>
      </c>
      <c r="K523" s="154" t="s">
        <v>13</v>
      </c>
      <c r="L523" s="154" t="str">
        <f>IF(OpenLCAbasic!K523="CTUh", "Fill in Manually",IF(OR(K523="Unit", K523=""), "", INDEX(LookUps!$E$5:$E$12, MATCH(OpenLCAbasic!K523,LookUps!$D$5:$D$12,0))))</f>
        <v>Eutrophication Potential (EP) - kg N eq</v>
      </c>
      <c r="M523" s="154" t="str">
        <f t="shared" si="26"/>
        <v>Base_High_High_Upgraded_Eutrophication Potential (EP) - kg N eq_Aeration Tanks; wastewater treatment unit; at updated plant - US_Base_With Amendment_Windrow</v>
      </c>
    </row>
    <row r="524" spans="1:13" s="120" customFormat="1" x14ac:dyDescent="0.25">
      <c r="A524" s="119"/>
      <c r="B524" s="138" t="str">
        <f t="shared" si="25"/>
        <v>Windrow</v>
      </c>
      <c r="C524" s="138" t="str">
        <f t="shared" si="24"/>
        <v>Base_With Amendment</v>
      </c>
      <c r="D524" s="118" t="s">
        <v>140</v>
      </c>
      <c r="E524" s="118" t="s">
        <v>130</v>
      </c>
      <c r="F524" s="118" t="s">
        <v>46</v>
      </c>
      <c r="G524" s="153"/>
      <c r="H524" s="155">
        <v>1.7000000000000001E-2</v>
      </c>
      <c r="I524" s="154" t="s">
        <v>147</v>
      </c>
      <c r="J524" s="204">
        <v>2.5000000000000001E-4</v>
      </c>
      <c r="K524" s="154" t="s">
        <v>13</v>
      </c>
      <c r="L524" s="154" t="str">
        <f>IF(OpenLCAbasic!K524="CTUh", "Fill in Manually",IF(OR(K524="Unit", K524=""), "", INDEX(LookUps!$E$5:$E$12, MATCH(OpenLCAbasic!K524,LookUps!$D$5:$D$12,0))))</f>
        <v>Eutrophication Potential (EP) - kg N eq</v>
      </c>
      <c r="M524" s="154" t="str">
        <f t="shared" si="26"/>
        <v>Base_High_High_Upgraded_Eutrophication Potential (EP) - kg N eq_Influent Pump Station; wastewater treatment unit; at updated plant - US_Base_With Amendment_Windrow</v>
      </c>
    </row>
    <row r="525" spans="1:13" s="120" customFormat="1" x14ac:dyDescent="0.25">
      <c r="A525" s="119"/>
      <c r="B525" s="138" t="str">
        <f t="shared" si="25"/>
        <v>Windrow</v>
      </c>
      <c r="C525" s="138" t="str">
        <f t="shared" si="24"/>
        <v>Base_With Amendment</v>
      </c>
      <c r="D525" s="118" t="s">
        <v>140</v>
      </c>
      <c r="E525" s="118" t="s">
        <v>130</v>
      </c>
      <c r="F525" s="118" t="s">
        <v>46</v>
      </c>
      <c r="G525" s="153"/>
      <c r="H525" s="155">
        <v>1.4999999999999999E-2</v>
      </c>
      <c r="I525" s="154" t="s">
        <v>167</v>
      </c>
      <c r="J525" s="204">
        <v>2.2000000000000001E-4</v>
      </c>
      <c r="K525" s="154" t="s">
        <v>13</v>
      </c>
      <c r="L525" s="154" t="str">
        <f>IF(OpenLCAbasic!K525="CTUh", "Fill in Manually",IF(OR(K525="Unit", K525=""), "", INDEX(LookUps!$E$5:$E$12, MATCH(OpenLCAbasic!K525,LookUps!$D$5:$D$12,0))))</f>
        <v>Eutrophication Potential (EP) - kg N eq</v>
      </c>
      <c r="M525" s="154" t="str">
        <f t="shared" si="26"/>
        <v>Base_High_High_Upgraded_Eutrophication Potential (EP) - kg N eq_Waste Receiving and Holding; wastewater treatment unit; at updated plant - US_Base_With Amendment_Windrow</v>
      </c>
    </row>
    <row r="526" spans="1:13" s="120" customFormat="1" x14ac:dyDescent="0.25">
      <c r="A526" s="119"/>
      <c r="B526" s="138" t="str">
        <f t="shared" si="25"/>
        <v>Windrow</v>
      </c>
      <c r="C526" s="138" t="str">
        <f t="shared" si="24"/>
        <v>Base_With Amendment</v>
      </c>
      <c r="D526" s="118" t="s">
        <v>140</v>
      </c>
      <c r="E526" s="118" t="s">
        <v>130</v>
      </c>
      <c r="F526" s="118" t="s">
        <v>46</v>
      </c>
      <c r="G526" s="153"/>
      <c r="H526" s="155">
        <v>1.35E-2</v>
      </c>
      <c r="I526" s="154" t="s">
        <v>54</v>
      </c>
      <c r="J526" s="204">
        <v>2.0000000000000001E-4</v>
      </c>
      <c r="K526" s="154" t="s">
        <v>13</v>
      </c>
      <c r="L526" s="154" t="str">
        <f>IF(OpenLCAbasic!K526="CTUh", "Fill in Manually",IF(OR(K526="Unit", K526=""), "", INDEX(LookUps!$E$5:$E$12, MATCH(OpenLCAbasic!K526,LookUps!$D$5:$D$12,0))))</f>
        <v>Eutrophication Potential (EP) - kg N eq</v>
      </c>
      <c r="M526" s="154" t="str">
        <f t="shared" si="26"/>
        <v>Base_High_High_Upgraded_Eutrophication Potential (EP) - kg N eq_Clear Cove Primary Clarification; wastewater treatment unit; at updated plant - US_Base_With Amendment_Windrow</v>
      </c>
    </row>
    <row r="527" spans="1:13" s="120" customFormat="1" x14ac:dyDescent="0.25">
      <c r="A527" s="119"/>
      <c r="B527" s="138" t="str">
        <f t="shared" si="25"/>
        <v>Windrow</v>
      </c>
      <c r="C527" s="138" t="str">
        <f t="shared" si="24"/>
        <v>Base_With Amendment</v>
      </c>
      <c r="D527" s="118" t="s">
        <v>140</v>
      </c>
      <c r="E527" s="118" t="s">
        <v>130</v>
      </c>
      <c r="F527" s="118" t="s">
        <v>46</v>
      </c>
      <c r="G527" s="153"/>
      <c r="H527" s="155">
        <v>9.2999999999999992E-3</v>
      </c>
      <c r="I527" s="154" t="s">
        <v>58</v>
      </c>
      <c r="J527" s="204">
        <v>1.3999999999999999E-4</v>
      </c>
      <c r="K527" s="154" t="s">
        <v>13</v>
      </c>
      <c r="L527" s="154" t="str">
        <f>IF(OpenLCAbasic!K527="CTUh", "Fill in Manually",IF(OR(K527="Unit", K527=""), "", INDEX(LookUps!$E$5:$E$12, MATCH(OpenLCAbasic!K527,LookUps!$D$5:$D$12,0))))</f>
        <v>Eutrophication Potential (EP) - kg N eq</v>
      </c>
      <c r="M527" s="154" t="str">
        <f t="shared" si="26"/>
        <v>Base_High_High_Upgraded_Eutrophication Potential (EP) - kg N eq_Pre-Anoxic &amp; Swing tank; wastewater treatment unit; at updated plant - US_Base_With Amendment_Windrow</v>
      </c>
    </row>
    <row r="528" spans="1:13" s="120" customFormat="1" x14ac:dyDescent="0.25">
      <c r="A528" s="119"/>
      <c r="B528" s="138" t="str">
        <f t="shared" si="25"/>
        <v>Windrow</v>
      </c>
      <c r="C528" s="138" t="str">
        <f t="shared" si="24"/>
        <v>Base_With Amendment</v>
      </c>
      <c r="D528" s="118" t="s">
        <v>140</v>
      </c>
      <c r="E528" s="118" t="s">
        <v>130</v>
      </c>
      <c r="F528" s="118" t="s">
        <v>46</v>
      </c>
      <c r="G528" s="153"/>
      <c r="H528" s="155">
        <v>7.3000000000000001E-3</v>
      </c>
      <c r="I528" s="154" t="s">
        <v>53</v>
      </c>
      <c r="J528" s="204">
        <v>1.1E-4</v>
      </c>
      <c r="K528" s="154" t="s">
        <v>13</v>
      </c>
      <c r="L528" s="154" t="str">
        <f>IF(OpenLCAbasic!K528="CTUh", "Fill in Manually",IF(OR(K528="Unit", K528=""), "", INDEX(LookUps!$E$5:$E$12, MATCH(OpenLCAbasic!K528,LookUps!$D$5:$D$12,0))))</f>
        <v>Eutrophication Potential (EP) - kg N eq</v>
      </c>
      <c r="M528" s="154" t="str">
        <f t="shared" si="26"/>
        <v>Base_High_High_Upgraded_Eutrophication Potential (EP) - kg N eq_Wet Well and Sump Station; wastewater treatment unit; at updated plant - US_Base_With Amendment_Windrow</v>
      </c>
    </row>
    <row r="529" spans="1:13" s="120" customFormat="1" x14ac:dyDescent="0.25">
      <c r="A529" s="119"/>
      <c r="B529" s="138" t="str">
        <f t="shared" si="25"/>
        <v>Windrow</v>
      </c>
      <c r="C529" s="138" t="str">
        <f t="shared" si="24"/>
        <v>Base_With Amendment</v>
      </c>
      <c r="D529" s="118" t="s">
        <v>140</v>
      </c>
      <c r="E529" s="118" t="s">
        <v>130</v>
      </c>
      <c r="F529" s="118" t="s">
        <v>46</v>
      </c>
      <c r="G529" s="153"/>
      <c r="H529" s="155">
        <v>6.1999999999999998E-3</v>
      </c>
      <c r="I529" s="154" t="s">
        <v>60</v>
      </c>
      <c r="J529" s="204">
        <v>9.0710800000000006E-5</v>
      </c>
      <c r="K529" s="154" t="s">
        <v>13</v>
      </c>
      <c r="L529" s="154" t="str">
        <f>IF(OpenLCAbasic!K529="CTUh", "Fill in Manually",IF(OR(K529="Unit", K529=""), "", INDEX(LookUps!$E$5:$E$12, MATCH(OpenLCAbasic!K529,LookUps!$D$5:$D$12,0))))</f>
        <v>Eutrophication Potential (EP) - kg N eq</v>
      </c>
      <c r="M529" s="154" t="str">
        <f t="shared" si="26"/>
        <v>Base_High_High_Upgraded_Eutrophication Potential (EP) - kg N eq_Belt filter press; wastewater treatment unit; at updated plant - US_Base_With Amendment_Windrow</v>
      </c>
    </row>
    <row r="530" spans="1:13" s="120" customFormat="1" x14ac:dyDescent="0.25">
      <c r="A530" s="119"/>
      <c r="B530" s="138" t="str">
        <f t="shared" si="25"/>
        <v>Windrow</v>
      </c>
      <c r="C530" s="138" t="str">
        <f t="shared" si="24"/>
        <v>Base_With Amendment</v>
      </c>
      <c r="D530" s="118" t="s">
        <v>140</v>
      </c>
      <c r="E530" s="118" t="s">
        <v>130</v>
      </c>
      <c r="F530" s="118" t="s">
        <v>46</v>
      </c>
      <c r="G530" s="153"/>
      <c r="H530" s="155">
        <v>4.1000000000000003E-3</v>
      </c>
      <c r="I530" s="154" t="s">
        <v>57</v>
      </c>
      <c r="J530" s="204">
        <v>6.0590300000000002E-5</v>
      </c>
      <c r="K530" s="154" t="s">
        <v>13</v>
      </c>
      <c r="L530" s="154" t="str">
        <f>IF(OpenLCAbasic!K530="CTUh", "Fill in Manually",IF(OR(K530="Unit", K530=""), "", INDEX(LookUps!$E$5:$E$12, MATCH(OpenLCAbasic!K530,LookUps!$D$5:$D$12,0))))</f>
        <v>Eutrophication Potential (EP) - kg N eq</v>
      </c>
      <c r="M530" s="154" t="str">
        <f t="shared" si="26"/>
        <v>Base_High_High_Upgraded_Eutrophication Potential (EP) - kg N eq_Gravity Belt Thickener; wastewater treatment unit; at updated plant - US_Base_With Amendment_Windrow</v>
      </c>
    </row>
    <row r="531" spans="1:13" s="120" customFormat="1" x14ac:dyDescent="0.25">
      <c r="A531" s="119"/>
      <c r="B531" s="138" t="str">
        <f t="shared" si="25"/>
        <v>Windrow</v>
      </c>
      <c r="C531" s="138" t="str">
        <f t="shared" si="24"/>
        <v>Base_With Amendment</v>
      </c>
      <c r="D531" s="118" t="s">
        <v>140</v>
      </c>
      <c r="E531" s="118" t="s">
        <v>130</v>
      </c>
      <c r="F531" s="118" t="s">
        <v>46</v>
      </c>
      <c r="G531" s="153"/>
      <c r="H531" s="155">
        <v>2.5999999999999999E-3</v>
      </c>
      <c r="I531" s="154" t="s">
        <v>128</v>
      </c>
      <c r="J531" s="204">
        <v>3.7559799999999999E-5</v>
      </c>
      <c r="K531" s="154" t="s">
        <v>13</v>
      </c>
      <c r="L531" s="154" t="str">
        <f>IF(OpenLCAbasic!K531="CTUh", "Fill in Manually",IF(OR(K531="Unit", K531=""), "", INDEX(LookUps!$E$5:$E$12, MATCH(OpenLCAbasic!K531,LookUps!$D$5:$D$12,0))))</f>
        <v>Eutrophication Potential (EP) - kg N eq</v>
      </c>
      <c r="M531" s="154" t="str">
        <f t="shared" si="26"/>
        <v>Base_High_High_Upgraded_Eutrophication Potential (EP) - kg N eq_Wastewater collection; operation and infrastructure; m3 wastewater_Base_With Amendment_Windrow</v>
      </c>
    </row>
    <row r="532" spans="1:13" s="120" customFormat="1" x14ac:dyDescent="0.25">
      <c r="A532" s="119"/>
      <c r="B532" s="138" t="str">
        <f t="shared" si="25"/>
        <v>Windrow</v>
      </c>
      <c r="C532" s="138" t="str">
        <f t="shared" si="24"/>
        <v>Base_With Amendment</v>
      </c>
      <c r="D532" s="118" t="s">
        <v>140</v>
      </c>
      <c r="E532" s="118" t="s">
        <v>130</v>
      </c>
      <c r="F532" s="118" t="s">
        <v>46</v>
      </c>
      <c r="G532" s="153"/>
      <c r="H532" s="155">
        <v>2.5000000000000001E-3</v>
      </c>
      <c r="I532" s="154" t="s">
        <v>148</v>
      </c>
      <c r="J532" s="204">
        <v>3.6874600000000001E-5</v>
      </c>
      <c r="K532" s="154" t="s">
        <v>13</v>
      </c>
      <c r="L532" s="154" t="str">
        <f>IF(OpenLCAbasic!K532="CTUh", "Fill in Manually",IF(OR(K532="Unit", K532=""), "", INDEX(LookUps!$E$5:$E$12, MATCH(OpenLCAbasic!K532,LookUps!$D$5:$D$12,0))))</f>
        <v>Eutrophication Potential (EP) - kg N eq</v>
      </c>
      <c r="M532" s="154" t="str">
        <f t="shared" si="26"/>
        <v>Base_High_High_Upgraded_Eutrophication Potential (EP) - kg N eq_Control Building; at upgraded wastewater treatment plant - US_Base_With Amendment_Windrow</v>
      </c>
    </row>
    <row r="533" spans="1:13" s="120" customFormat="1" x14ac:dyDescent="0.25">
      <c r="A533" s="119"/>
      <c r="B533" s="138" t="str">
        <f t="shared" si="25"/>
        <v>Windrow</v>
      </c>
      <c r="C533" s="138" t="str">
        <f t="shared" si="24"/>
        <v>Base_With Amendment</v>
      </c>
      <c r="D533" s="118" t="s">
        <v>140</v>
      </c>
      <c r="E533" s="118" t="s">
        <v>130</v>
      </c>
      <c r="F533" s="118" t="s">
        <v>46</v>
      </c>
      <c r="G533" s="153"/>
      <c r="H533" s="155">
        <v>1.1000000000000001E-3</v>
      </c>
      <c r="I533" s="154" t="s">
        <v>59</v>
      </c>
      <c r="J533" s="204">
        <v>1.6215700000000001E-5</v>
      </c>
      <c r="K533" s="154" t="s">
        <v>13</v>
      </c>
      <c r="L533" s="154" t="str">
        <f>IF(OpenLCAbasic!K533="CTUh", "Fill in Manually",IF(OR(K533="Unit", K533=""), "", INDEX(LookUps!$E$5:$E$12, MATCH(OpenLCAbasic!K533,LookUps!$D$5:$D$12,0))))</f>
        <v>Eutrophication Potential (EP) - kg N eq</v>
      </c>
      <c r="M533" s="154" t="str">
        <f t="shared" si="26"/>
        <v>Base_High_High_Upgraded_Eutrophication Potential (EP) - kg N eq_Blend Tank; wastewater treatment unit; at updated plant - US_Base_With Amendment_Windrow</v>
      </c>
    </row>
    <row r="534" spans="1:13" s="120" customFormat="1" x14ac:dyDescent="0.25">
      <c r="A534" s="119"/>
      <c r="B534" s="138" t="str">
        <f t="shared" si="25"/>
        <v>Windrow</v>
      </c>
      <c r="C534" s="138" t="str">
        <f t="shared" si="24"/>
        <v>Base_With Amendment</v>
      </c>
      <c r="D534" s="118" t="s">
        <v>140</v>
      </c>
      <c r="E534" s="118" t="s">
        <v>130</v>
      </c>
      <c r="F534" s="118" t="s">
        <v>46</v>
      </c>
      <c r="G534" s="153"/>
      <c r="H534" s="155">
        <v>5.0000000000000001E-4</v>
      </c>
      <c r="I534" s="154" t="s">
        <v>168</v>
      </c>
      <c r="J534" s="204">
        <v>7.7567199999999995E-6</v>
      </c>
      <c r="K534" s="154" t="s">
        <v>13</v>
      </c>
      <c r="L534" s="154" t="str">
        <f>IF(OpenLCAbasic!K534="CTUh", "Fill in Manually",IF(OR(K534="Unit", K534=""), "", INDEX(LookUps!$E$5:$E$12, MATCH(OpenLCAbasic!K534,LookUps!$D$5:$D$12,0))))</f>
        <v>Eutrophication Potential (EP) - kg N eq</v>
      </c>
      <c r="M534" s="154" t="str">
        <f t="shared" si="26"/>
        <v>Base_High_High_Upgraded_Eutrophication Potential (EP) - kg N eq_ClearCove SCP; wastewater treatment unit; at updated plant - US_Base_With Amendment_Windrow</v>
      </c>
    </row>
    <row r="535" spans="1:13" s="120" customFormat="1" x14ac:dyDescent="0.25">
      <c r="A535" s="119"/>
      <c r="B535" s="138" t="str">
        <f t="shared" si="25"/>
        <v>Windrow</v>
      </c>
      <c r="C535" s="138" t="str">
        <f t="shared" si="24"/>
        <v>Base_With Amendment</v>
      </c>
      <c r="D535" s="118" t="s">
        <v>140</v>
      </c>
      <c r="E535" s="118" t="s">
        <v>130</v>
      </c>
      <c r="F535" s="118" t="s">
        <v>46</v>
      </c>
      <c r="G535" s="153"/>
      <c r="H535" s="155">
        <v>-0.2021</v>
      </c>
      <c r="I535" s="154" t="s">
        <v>149</v>
      </c>
      <c r="J535" s="204">
        <v>-2.96E-3</v>
      </c>
      <c r="K535" s="154" t="s">
        <v>13</v>
      </c>
      <c r="L535" s="154" t="str">
        <f>IF(OpenLCAbasic!K535="CTUh", "Fill in Manually",IF(OR(K535="Unit", K535=""), "", INDEX(LookUps!$E$5:$E$12, MATCH(OpenLCAbasic!K535,LookUps!$D$5:$D$12,0))))</f>
        <v>Eutrophication Potential (EP) - kg N eq</v>
      </c>
      <c r="M535" s="154" t="str">
        <f t="shared" si="26"/>
        <v>Base_High_High_Upgraded_Eutrophication Potential (EP) - kg N eq_Anaerobic Digestion; wastewater treatment unit; at updated plant - US_Base_With Amendment_Windrow</v>
      </c>
    </row>
    <row r="536" spans="1:13" s="120" customFormat="1" x14ac:dyDescent="0.25">
      <c r="A536" s="119"/>
      <c r="B536" s="138" t="str">
        <f t="shared" si="25"/>
        <v/>
      </c>
      <c r="C536" s="138" t="str">
        <f t="shared" si="24"/>
        <v>Base_With Amendment</v>
      </c>
      <c r="D536" s="118"/>
      <c r="E536" s="118" t="s">
        <v>130</v>
      </c>
      <c r="F536" s="118"/>
      <c r="G536" s="153" t="s">
        <v>51</v>
      </c>
      <c r="H536" s="155"/>
      <c r="I536" s="154" t="s">
        <v>47</v>
      </c>
      <c r="J536" s="154" t="s">
        <v>52</v>
      </c>
      <c r="K536" s="154" t="s">
        <v>27</v>
      </c>
      <c r="L536" s="154" t="str">
        <f>IF(OpenLCAbasic!K536="CTUh", "Fill in Manually",IF(OR(K536="Unit", K536=""), "", INDEX(LookUps!$E$5:$E$12, MATCH(OpenLCAbasic!K536,LookUps!$D$5:$D$12,0))))</f>
        <v/>
      </c>
      <c r="M536" s="154" t="str">
        <f t="shared" si="26"/>
        <v>Base____Process_Base_With Amendment_</v>
      </c>
    </row>
    <row r="537" spans="1:13" s="120" customFormat="1" x14ac:dyDescent="0.25">
      <c r="A537" s="119"/>
      <c r="B537" s="138" t="str">
        <f t="shared" si="25"/>
        <v>Windrow</v>
      </c>
      <c r="C537" s="138" t="str">
        <f t="shared" si="24"/>
        <v>Base_With Amendment</v>
      </c>
      <c r="D537" s="118" t="s">
        <v>140</v>
      </c>
      <c r="E537" s="118" t="s">
        <v>130</v>
      </c>
      <c r="F537" s="118" t="s">
        <v>46</v>
      </c>
      <c r="G537" s="153"/>
      <c r="H537" s="155">
        <v>0.40229999999999999</v>
      </c>
      <c r="I537" s="154" t="s">
        <v>55</v>
      </c>
      <c r="J537" s="203">
        <v>1.7219999999999999E-2</v>
      </c>
      <c r="K537" s="154" t="s">
        <v>24</v>
      </c>
      <c r="L537" s="154" t="str">
        <f>IF(OpenLCAbasic!K537="CTUh", "Fill in Manually",IF(OR(K537="Unit", K537=""), "", INDEX(LookUps!$E$5:$E$12, MATCH(OpenLCAbasic!K537,LookUps!$D$5:$D$12,0))))</f>
        <v>Acidification Potential (AP) - kg SO2 eq</v>
      </c>
      <c r="M537" s="154" t="str">
        <f t="shared" si="26"/>
        <v>Base_High_High_Upgraded_Acidification Potential (AP) - kg SO2 eq_Aeration Tanks; wastewater treatment unit; at updated plant - US_Base_With Amendment_Windrow</v>
      </c>
    </row>
    <row r="538" spans="1:13" s="120" customFormat="1" x14ac:dyDescent="0.25">
      <c r="A538" s="119"/>
      <c r="B538" s="138" t="str">
        <f t="shared" si="25"/>
        <v>Windrow</v>
      </c>
      <c r="C538" s="138" t="str">
        <f t="shared" si="24"/>
        <v>Base_With Amendment</v>
      </c>
      <c r="D538" s="118" t="s">
        <v>140</v>
      </c>
      <c r="E538" s="118" t="s">
        <v>130</v>
      </c>
      <c r="F538" s="118" t="s">
        <v>46</v>
      </c>
      <c r="G538" s="153"/>
      <c r="H538" s="155">
        <v>0.2341</v>
      </c>
      <c r="I538" s="154" t="s">
        <v>271</v>
      </c>
      <c r="J538" s="203">
        <v>1.0019999999999999E-2</v>
      </c>
      <c r="K538" s="154" t="s">
        <v>24</v>
      </c>
      <c r="L538" s="154" t="str">
        <f>IF(OpenLCAbasic!K538="CTUh", "Fill in Manually",IF(OR(K538="Unit", K538=""), "", INDEX(LookUps!$E$5:$E$12, MATCH(OpenLCAbasic!K538,LookUps!$D$5:$D$12,0))))</f>
        <v>Acidification Potential (AP) - kg SO2 eq</v>
      </c>
      <c r="M538" s="154" t="str">
        <f t="shared" si="26"/>
        <v>Base_High_High_Upgraded_Acidification Potential (AP) - kg SO2 eq_Biosolids composting; windrow composting; wastewater treatment unit; at updated plant - US_Base_With Amendment_Windrow</v>
      </c>
    </row>
    <row r="539" spans="1:13" s="120" customFormat="1" x14ac:dyDescent="0.25">
      <c r="A539" s="119"/>
      <c r="B539" s="138" t="str">
        <f t="shared" si="25"/>
        <v>Windrow</v>
      </c>
      <c r="C539" s="138" t="str">
        <f t="shared" si="24"/>
        <v>Base_With Amendment</v>
      </c>
      <c r="D539" s="118" t="s">
        <v>140</v>
      </c>
      <c r="E539" s="118" t="s">
        <v>130</v>
      </c>
      <c r="F539" s="118" t="s">
        <v>46</v>
      </c>
      <c r="G539" s="153"/>
      <c r="H539" s="155">
        <v>0.1164</v>
      </c>
      <c r="I539" s="154" t="s">
        <v>54</v>
      </c>
      <c r="J539" s="204">
        <v>4.9800000000000001E-3</v>
      </c>
      <c r="K539" s="154" t="s">
        <v>24</v>
      </c>
      <c r="L539" s="154" t="str">
        <f>IF(OpenLCAbasic!K539="CTUh", "Fill in Manually",IF(OR(K539="Unit", K539=""), "", INDEX(LookUps!$E$5:$E$12, MATCH(OpenLCAbasic!K539,LookUps!$D$5:$D$12,0))))</f>
        <v>Acidification Potential (AP) - kg SO2 eq</v>
      </c>
      <c r="M539" s="154" t="str">
        <f t="shared" si="26"/>
        <v>Base_High_High_Upgraded_Acidification Potential (AP) - kg SO2 eq_Clear Cove Primary Clarification; wastewater treatment unit; at updated plant - US_Base_With Amendment_Windrow</v>
      </c>
    </row>
    <row r="540" spans="1:13" s="120" customFormat="1" x14ac:dyDescent="0.25">
      <c r="A540" s="119"/>
      <c r="B540" s="138" t="str">
        <f t="shared" si="25"/>
        <v>Windrow</v>
      </c>
      <c r="C540" s="138" t="str">
        <f t="shared" si="24"/>
        <v>Base_With Amendment</v>
      </c>
      <c r="D540" s="118" t="s">
        <v>140</v>
      </c>
      <c r="E540" s="118" t="s">
        <v>130</v>
      </c>
      <c r="F540" s="118" t="s">
        <v>46</v>
      </c>
      <c r="G540" s="153"/>
      <c r="H540" s="155">
        <v>0.1113</v>
      </c>
      <c r="I540" s="154" t="s">
        <v>62</v>
      </c>
      <c r="J540" s="204">
        <v>4.7600000000000003E-3</v>
      </c>
      <c r="K540" s="154" t="s">
        <v>24</v>
      </c>
      <c r="L540" s="154" t="str">
        <f>IF(OpenLCAbasic!K540="CTUh", "Fill in Manually",IF(OR(K540="Unit", K540=""), "", INDEX(LookUps!$E$5:$E$12, MATCH(OpenLCAbasic!K540,LookUps!$D$5:$D$12,0))))</f>
        <v>Acidification Potential (AP) - kg SO2 eq</v>
      </c>
      <c r="M540" s="154" t="str">
        <f t="shared" si="26"/>
        <v>Base_High_High_Upgraded_Acidification Potential (AP) - kg SO2 eq_Land application of compost; wastewater treatment unit; at updated plant - US_Base_With Amendment_Windrow</v>
      </c>
    </row>
    <row r="541" spans="1:13" s="120" customFormat="1" x14ac:dyDescent="0.25">
      <c r="A541" s="119"/>
      <c r="B541" s="138" t="str">
        <f t="shared" si="25"/>
        <v>Windrow</v>
      </c>
      <c r="C541" s="138" t="str">
        <f t="shared" si="24"/>
        <v>Base_With Amendment</v>
      </c>
      <c r="D541" s="118" t="s">
        <v>140</v>
      </c>
      <c r="E541" s="118" t="s">
        <v>130</v>
      </c>
      <c r="F541" s="118" t="s">
        <v>46</v>
      </c>
      <c r="G541" s="153"/>
      <c r="H541" s="155">
        <v>0.10199999999999999</v>
      </c>
      <c r="I541" s="154" t="s">
        <v>58</v>
      </c>
      <c r="J541" s="204">
        <v>4.3600000000000002E-3</v>
      </c>
      <c r="K541" s="154" t="s">
        <v>24</v>
      </c>
      <c r="L541" s="154" t="str">
        <f>IF(OpenLCAbasic!K541="CTUh", "Fill in Manually",IF(OR(K541="Unit", K541=""), "", INDEX(LookUps!$E$5:$E$12, MATCH(OpenLCAbasic!K541,LookUps!$D$5:$D$12,0))))</f>
        <v>Acidification Potential (AP) - kg SO2 eq</v>
      </c>
      <c r="M541" s="154" t="str">
        <f t="shared" si="26"/>
        <v>Base_High_High_Upgraded_Acidification Potential (AP) - kg SO2 eq_Pre-Anoxic &amp; Swing tank; wastewater treatment unit; at updated plant - US_Base_With Amendment_Windrow</v>
      </c>
    </row>
    <row r="542" spans="1:13" s="120" customFormat="1" x14ac:dyDescent="0.25">
      <c r="A542" s="119"/>
      <c r="B542" s="138" t="str">
        <f t="shared" si="25"/>
        <v>Windrow</v>
      </c>
      <c r="C542" s="138" t="str">
        <f t="shared" si="24"/>
        <v>Base_With Amendment</v>
      </c>
      <c r="D542" s="118" t="s">
        <v>140</v>
      </c>
      <c r="E542" s="118" t="s">
        <v>130</v>
      </c>
      <c r="F542" s="118" t="s">
        <v>46</v>
      </c>
      <c r="G542" s="153"/>
      <c r="H542" s="155">
        <v>8.0600000000000005E-2</v>
      </c>
      <c r="I542" s="154" t="s">
        <v>53</v>
      </c>
      <c r="J542" s="204">
        <v>3.4499999999999999E-3</v>
      </c>
      <c r="K542" s="154" t="s">
        <v>24</v>
      </c>
      <c r="L542" s="154" t="str">
        <f>IF(OpenLCAbasic!K542="CTUh", "Fill in Manually",IF(OR(K542="Unit", K542=""), "", INDEX(LookUps!$E$5:$E$12, MATCH(OpenLCAbasic!K542,LookUps!$D$5:$D$12,0))))</f>
        <v>Acidification Potential (AP) - kg SO2 eq</v>
      </c>
      <c r="M542" s="154" t="str">
        <f t="shared" si="26"/>
        <v>Base_High_High_Upgraded_Acidification Potential (AP) - kg SO2 eq_Wet Well and Sump Station; wastewater treatment unit; at updated plant - US_Base_With Amendment_Windrow</v>
      </c>
    </row>
    <row r="543" spans="1:13" s="120" customFormat="1" x14ac:dyDescent="0.25">
      <c r="A543" s="119"/>
      <c r="B543" s="138" t="str">
        <f t="shared" si="25"/>
        <v>Windrow</v>
      </c>
      <c r="C543" s="138" t="str">
        <f t="shared" ref="C543:C606" si="27">IF(E543&lt;&gt;"", "Base_With Amendment","")</f>
        <v>Base_With Amendment</v>
      </c>
      <c r="D543" s="118" t="s">
        <v>140</v>
      </c>
      <c r="E543" s="118" t="s">
        <v>130</v>
      </c>
      <c r="F543" s="118" t="s">
        <v>46</v>
      </c>
      <c r="G543" s="153"/>
      <c r="H543" s="155">
        <v>6.3200000000000006E-2</v>
      </c>
      <c r="I543" s="154" t="s">
        <v>167</v>
      </c>
      <c r="J543" s="204">
        <v>2.7000000000000001E-3</v>
      </c>
      <c r="K543" s="154" t="s">
        <v>24</v>
      </c>
      <c r="L543" s="154" t="str">
        <f>IF(OpenLCAbasic!K543="CTUh", "Fill in Manually",IF(OR(K543="Unit", K543=""), "", INDEX(LookUps!$E$5:$E$12, MATCH(OpenLCAbasic!K543,LookUps!$D$5:$D$12,0))))</f>
        <v>Acidification Potential (AP) - kg SO2 eq</v>
      </c>
      <c r="M543" s="154" t="str">
        <f t="shared" si="26"/>
        <v>Base_High_High_Upgraded_Acidification Potential (AP) - kg SO2 eq_Waste Receiving and Holding; wastewater treatment unit; at updated plant - US_Base_With Amendment_Windrow</v>
      </c>
    </row>
    <row r="544" spans="1:13" s="120" customFormat="1" x14ac:dyDescent="0.25">
      <c r="A544" s="119"/>
      <c r="B544" s="138" t="str">
        <f t="shared" si="25"/>
        <v>Windrow</v>
      </c>
      <c r="C544" s="138" t="str">
        <f t="shared" si="27"/>
        <v>Base_With Amendment</v>
      </c>
      <c r="D544" s="118" t="s">
        <v>140</v>
      </c>
      <c r="E544" s="118" t="s">
        <v>130</v>
      </c>
      <c r="F544" s="118" t="s">
        <v>46</v>
      </c>
      <c r="G544" s="153"/>
      <c r="H544" s="155">
        <v>4.8300000000000003E-2</v>
      </c>
      <c r="I544" s="154" t="s">
        <v>147</v>
      </c>
      <c r="J544" s="204">
        <v>2.0699999999999998E-3</v>
      </c>
      <c r="K544" s="154" t="s">
        <v>24</v>
      </c>
      <c r="L544" s="154" t="str">
        <f>IF(OpenLCAbasic!K544="CTUh", "Fill in Manually",IF(OR(K544="Unit", K544=""), "", INDEX(LookUps!$E$5:$E$12, MATCH(OpenLCAbasic!K544,LookUps!$D$5:$D$12,0))))</f>
        <v>Acidification Potential (AP) - kg SO2 eq</v>
      </c>
      <c r="M544" s="154" t="str">
        <f t="shared" si="26"/>
        <v>Base_High_High_Upgraded_Acidification Potential (AP) - kg SO2 eq_Influent Pump Station; wastewater treatment unit; at updated plant - US_Base_With Amendment_Windrow</v>
      </c>
    </row>
    <row r="545" spans="1:13" s="120" customFormat="1" x14ac:dyDescent="0.25">
      <c r="A545" s="119"/>
      <c r="B545" s="138" t="str">
        <f t="shared" si="25"/>
        <v>Windrow</v>
      </c>
      <c r="C545" s="138" t="str">
        <f t="shared" si="27"/>
        <v>Base_With Amendment</v>
      </c>
      <c r="D545" s="118" t="s">
        <v>140</v>
      </c>
      <c r="E545" s="118" t="s">
        <v>130</v>
      </c>
      <c r="F545" s="118" t="s">
        <v>46</v>
      </c>
      <c r="G545" s="153"/>
      <c r="H545" s="155">
        <v>3.2300000000000002E-2</v>
      </c>
      <c r="I545" s="154" t="s">
        <v>60</v>
      </c>
      <c r="J545" s="204">
        <v>1.3799999999999999E-3</v>
      </c>
      <c r="K545" s="154" t="s">
        <v>24</v>
      </c>
      <c r="L545" s="154" t="str">
        <f>IF(OpenLCAbasic!K545="CTUh", "Fill in Manually",IF(OR(K545="Unit", K545=""), "", INDEX(LookUps!$E$5:$E$12, MATCH(OpenLCAbasic!K545,LookUps!$D$5:$D$12,0))))</f>
        <v>Acidification Potential (AP) - kg SO2 eq</v>
      </c>
      <c r="M545" s="154" t="str">
        <f t="shared" si="26"/>
        <v>Base_High_High_Upgraded_Acidification Potential (AP) - kg SO2 eq_Belt filter press; wastewater treatment unit; at updated plant - US_Base_With Amendment_Windrow</v>
      </c>
    </row>
    <row r="546" spans="1:13" s="120" customFormat="1" x14ac:dyDescent="0.25">
      <c r="A546" s="119"/>
      <c r="B546" s="138" t="str">
        <f t="shared" si="25"/>
        <v>Windrow</v>
      </c>
      <c r="C546" s="138" t="str">
        <f t="shared" si="27"/>
        <v>Base_With Amendment</v>
      </c>
      <c r="D546" s="118" t="s">
        <v>140</v>
      </c>
      <c r="E546" s="118" t="s">
        <v>130</v>
      </c>
      <c r="F546" s="118" t="s">
        <v>46</v>
      </c>
      <c r="G546" s="153"/>
      <c r="H546" s="155">
        <v>2.8799999999999999E-2</v>
      </c>
      <c r="I546" s="154" t="s">
        <v>128</v>
      </c>
      <c r="J546" s="204">
        <v>1.23E-3</v>
      </c>
      <c r="K546" s="154" t="s">
        <v>24</v>
      </c>
      <c r="L546" s="154" t="str">
        <f>IF(OpenLCAbasic!K546="CTUh", "Fill in Manually",IF(OR(K546="Unit", K546=""), "", INDEX(LookUps!$E$5:$E$12, MATCH(OpenLCAbasic!K546,LookUps!$D$5:$D$12,0))))</f>
        <v>Acidification Potential (AP) - kg SO2 eq</v>
      </c>
      <c r="M546" s="154" t="str">
        <f t="shared" si="26"/>
        <v>Base_High_High_Upgraded_Acidification Potential (AP) - kg SO2 eq_Wastewater collection; operation and infrastructure; m3 wastewater_Base_With Amendment_Windrow</v>
      </c>
    </row>
    <row r="547" spans="1:13" s="120" customFormat="1" x14ac:dyDescent="0.25">
      <c r="A547" s="119"/>
      <c r="B547" s="138" t="str">
        <f t="shared" si="25"/>
        <v>Windrow</v>
      </c>
      <c r="C547" s="138" t="str">
        <f t="shared" si="27"/>
        <v>Base_With Amendment</v>
      </c>
      <c r="D547" s="118" t="s">
        <v>140</v>
      </c>
      <c r="E547" s="118" t="s">
        <v>130</v>
      </c>
      <c r="F547" s="118" t="s">
        <v>46</v>
      </c>
      <c r="G547" s="153"/>
      <c r="H547" s="155">
        <v>1.6400000000000001E-2</v>
      </c>
      <c r="I547" s="154" t="s">
        <v>57</v>
      </c>
      <c r="J547" s="204">
        <v>6.9999999999999999E-4</v>
      </c>
      <c r="K547" s="154" t="s">
        <v>24</v>
      </c>
      <c r="L547" s="154" t="str">
        <f>IF(OpenLCAbasic!K547="CTUh", "Fill in Manually",IF(OR(K547="Unit", K547=""), "", INDEX(LookUps!$E$5:$E$12, MATCH(OpenLCAbasic!K547,LookUps!$D$5:$D$12,0))))</f>
        <v>Acidification Potential (AP) - kg SO2 eq</v>
      </c>
      <c r="M547" s="154" t="str">
        <f t="shared" si="26"/>
        <v>Base_High_High_Upgraded_Acidification Potential (AP) - kg SO2 eq_Gravity Belt Thickener; wastewater treatment unit; at updated plant - US_Base_With Amendment_Windrow</v>
      </c>
    </row>
    <row r="548" spans="1:13" s="120" customFormat="1" x14ac:dyDescent="0.25">
      <c r="A548" s="119"/>
      <c r="B548" s="138" t="str">
        <f t="shared" si="25"/>
        <v>Windrow</v>
      </c>
      <c r="C548" s="138" t="str">
        <f t="shared" si="27"/>
        <v>Base_With Amendment</v>
      </c>
      <c r="D548" s="118" t="s">
        <v>140</v>
      </c>
      <c r="E548" s="118" t="s">
        <v>130</v>
      </c>
      <c r="F548" s="118" t="s">
        <v>46</v>
      </c>
      <c r="G548" s="153"/>
      <c r="H548" s="155">
        <v>1.21E-2</v>
      </c>
      <c r="I548" s="154" t="s">
        <v>59</v>
      </c>
      <c r="J548" s="204">
        <v>5.1999999999999995E-4</v>
      </c>
      <c r="K548" s="154" t="s">
        <v>24</v>
      </c>
      <c r="L548" s="154" t="str">
        <f>IF(OpenLCAbasic!K548="CTUh", "Fill in Manually",IF(OR(K548="Unit", K548=""), "", INDEX(LookUps!$E$5:$E$12, MATCH(OpenLCAbasic!K548,LookUps!$D$5:$D$12,0))))</f>
        <v>Acidification Potential (AP) - kg SO2 eq</v>
      </c>
      <c r="M548" s="154" t="str">
        <f t="shared" si="26"/>
        <v>Base_High_High_Upgraded_Acidification Potential (AP) - kg SO2 eq_Blend Tank; wastewater treatment unit; at updated plant - US_Base_With Amendment_Windrow</v>
      </c>
    </row>
    <row r="549" spans="1:13" s="120" customFormat="1" x14ac:dyDescent="0.25">
      <c r="A549" s="119"/>
      <c r="B549" s="138" t="str">
        <f t="shared" si="25"/>
        <v>Windrow</v>
      </c>
      <c r="C549" s="138" t="str">
        <f t="shared" si="27"/>
        <v>Base_With Amendment</v>
      </c>
      <c r="D549" s="118" t="s">
        <v>140</v>
      </c>
      <c r="E549" s="118" t="s">
        <v>130</v>
      </c>
      <c r="F549" s="118" t="s">
        <v>46</v>
      </c>
      <c r="G549" s="153"/>
      <c r="H549" s="155">
        <v>8.0999999999999996E-3</v>
      </c>
      <c r="I549" s="154" t="s">
        <v>48</v>
      </c>
      <c r="J549" s="204">
        <v>3.5E-4</v>
      </c>
      <c r="K549" s="154" t="s">
        <v>24</v>
      </c>
      <c r="L549" s="154" t="str">
        <f>IF(OpenLCAbasic!K549="CTUh", "Fill in Manually",IF(OR(K549="Unit", K549=""), "", INDEX(LookUps!$E$5:$E$12, MATCH(OpenLCAbasic!K549,LookUps!$D$5:$D$12,0))))</f>
        <v>Acidification Potential (AP) - kg SO2 eq</v>
      </c>
      <c r="M549" s="154" t="str">
        <f t="shared" si="26"/>
        <v>Base_High_High_Upgraded_Acidification Potential (AP) - kg SO2 eq_Effluent release; wastewater treatment unit; at surface water; m3 wastewater - US_Base_With Amendment_Windrow</v>
      </c>
    </row>
    <row r="550" spans="1:13" s="120" customFormat="1" x14ac:dyDescent="0.25">
      <c r="A550" s="119"/>
      <c r="B550" s="138" t="str">
        <f t="shared" si="25"/>
        <v>Windrow</v>
      </c>
      <c r="C550" s="138" t="str">
        <f t="shared" si="27"/>
        <v>Base_With Amendment</v>
      </c>
      <c r="D550" s="118" t="s">
        <v>140</v>
      </c>
      <c r="E550" s="118" t="s">
        <v>130</v>
      </c>
      <c r="F550" s="118" t="s">
        <v>46</v>
      </c>
      <c r="G550" s="153"/>
      <c r="H550" s="155">
        <v>6.0000000000000001E-3</v>
      </c>
      <c r="I550" s="154" t="s">
        <v>168</v>
      </c>
      <c r="J550" s="204">
        <v>2.5999999999999998E-4</v>
      </c>
      <c r="K550" s="154" t="s">
        <v>24</v>
      </c>
      <c r="L550" s="154" t="str">
        <f>IF(OpenLCAbasic!K550="CTUh", "Fill in Manually",IF(OR(K550="Unit", K550=""), "", INDEX(LookUps!$E$5:$E$12, MATCH(OpenLCAbasic!K550,LookUps!$D$5:$D$12,0))))</f>
        <v>Acidification Potential (AP) - kg SO2 eq</v>
      </c>
      <c r="M550" s="154" t="str">
        <f t="shared" si="26"/>
        <v>Base_High_High_Upgraded_Acidification Potential (AP) - kg SO2 eq_ClearCove SCP; wastewater treatment unit; at updated plant - US_Base_With Amendment_Windrow</v>
      </c>
    </row>
    <row r="551" spans="1:13" s="120" customFormat="1" x14ac:dyDescent="0.25">
      <c r="A551" s="119"/>
      <c r="B551" s="138" t="str">
        <f t="shared" si="25"/>
        <v>Windrow</v>
      </c>
      <c r="C551" s="138" t="str">
        <f t="shared" si="27"/>
        <v>Base_With Amendment</v>
      </c>
      <c r="D551" s="118" t="s">
        <v>140</v>
      </c>
      <c r="E551" s="118" t="s">
        <v>130</v>
      </c>
      <c r="F551" s="118" t="s">
        <v>46</v>
      </c>
      <c r="G551" s="153"/>
      <c r="H551" s="155">
        <v>8.9999999999999998E-4</v>
      </c>
      <c r="I551" s="154" t="s">
        <v>148</v>
      </c>
      <c r="J551" s="204">
        <v>4.0354700000000002E-5</v>
      </c>
      <c r="K551" s="154" t="s">
        <v>24</v>
      </c>
      <c r="L551" s="154" t="str">
        <f>IF(OpenLCAbasic!K551="CTUh", "Fill in Manually",IF(OR(K551="Unit", K551=""), "", INDEX(LookUps!$E$5:$E$12, MATCH(OpenLCAbasic!K551,LookUps!$D$5:$D$12,0))))</f>
        <v>Acidification Potential (AP) - kg SO2 eq</v>
      </c>
      <c r="M551" s="154" t="str">
        <f t="shared" si="26"/>
        <v>Base_High_High_Upgraded_Acidification Potential (AP) - kg SO2 eq_Control Building; at upgraded wastewater treatment plant - US_Base_With Amendment_Windrow</v>
      </c>
    </row>
    <row r="552" spans="1:13" s="120" customFormat="1" x14ac:dyDescent="0.25">
      <c r="A552" s="119"/>
      <c r="B552" s="138" t="str">
        <f t="shared" si="25"/>
        <v>Windrow</v>
      </c>
      <c r="C552" s="138" t="str">
        <f t="shared" si="27"/>
        <v>Base_With Amendment</v>
      </c>
      <c r="D552" s="118" t="s">
        <v>140</v>
      </c>
      <c r="E552" s="118" t="s">
        <v>130</v>
      </c>
      <c r="F552" s="118" t="s">
        <v>46</v>
      </c>
      <c r="G552" s="153"/>
      <c r="H552" s="155">
        <v>-2.2627000000000002</v>
      </c>
      <c r="I552" s="154" t="s">
        <v>149</v>
      </c>
      <c r="J552" s="203">
        <v>-9.6839999999999996E-2</v>
      </c>
      <c r="K552" s="154" t="s">
        <v>24</v>
      </c>
      <c r="L552" s="154" t="str">
        <f>IF(OpenLCAbasic!K552="CTUh", "Fill in Manually",IF(OR(K552="Unit", K552=""), "", INDEX(LookUps!$E$5:$E$12, MATCH(OpenLCAbasic!K552,LookUps!$D$5:$D$12,0))))</f>
        <v>Acidification Potential (AP) - kg SO2 eq</v>
      </c>
      <c r="M552" s="154" t="str">
        <f t="shared" si="26"/>
        <v>Base_High_High_Upgraded_Acidification Potential (AP) - kg SO2 eq_Anaerobic Digestion; wastewater treatment unit; at updated plant - US_Base_With Amendment_Windrow</v>
      </c>
    </row>
    <row r="553" spans="1:13" s="120" customFormat="1" x14ac:dyDescent="0.25">
      <c r="A553" s="119"/>
      <c r="B553" s="138" t="str">
        <f t="shared" si="25"/>
        <v/>
      </c>
      <c r="C553" s="138" t="str">
        <f t="shared" si="27"/>
        <v>Base_With Amendment</v>
      </c>
      <c r="D553" s="118"/>
      <c r="E553" s="118" t="s">
        <v>130</v>
      </c>
      <c r="F553" s="118"/>
      <c r="G553" s="153" t="s">
        <v>51</v>
      </c>
      <c r="H553" s="155"/>
      <c r="I553" s="154" t="s">
        <v>47</v>
      </c>
      <c r="J553" s="154" t="s">
        <v>52</v>
      </c>
      <c r="K553" s="154" t="s">
        <v>27</v>
      </c>
      <c r="L553" s="154" t="str">
        <f>IF(OpenLCAbasic!K553="CTUh", "Fill in Manually",IF(OR(K553="Unit", K553=""), "", INDEX(LookUps!$E$5:$E$12, MATCH(OpenLCAbasic!K553,LookUps!$D$5:$D$12,0))))</f>
        <v/>
      </c>
      <c r="M553" s="154" t="str">
        <f t="shared" si="26"/>
        <v>Base____Process_Base_With Amendment_</v>
      </c>
    </row>
    <row r="554" spans="1:13" s="120" customFormat="1" x14ac:dyDescent="0.25">
      <c r="A554" s="119"/>
      <c r="B554" s="138" t="str">
        <f t="shared" si="25"/>
        <v>Windrow</v>
      </c>
      <c r="C554" s="138" t="str">
        <f t="shared" si="27"/>
        <v>Base_With Amendment</v>
      </c>
      <c r="D554" s="118" t="s">
        <v>140</v>
      </c>
      <c r="E554" s="118" t="s">
        <v>130</v>
      </c>
      <c r="F554" s="118" t="s">
        <v>46</v>
      </c>
      <c r="G554" s="153"/>
      <c r="H554" s="155">
        <v>0.31669999999999998</v>
      </c>
      <c r="I554" s="154" t="s">
        <v>55</v>
      </c>
      <c r="J554" s="204">
        <v>2.33E-3</v>
      </c>
      <c r="K554" s="154" t="s">
        <v>145</v>
      </c>
      <c r="L554" s="154" t="str">
        <f>IF(OpenLCAbasic!K554="CTUh", "Fill in Manually",IF(OR(K554="Unit", K554=""), "", INDEX(LookUps!$E$5:$E$12, MATCH(OpenLCAbasic!K554,LookUps!$D$5:$D$12,0))))</f>
        <v>Particulate Matter Formation Potential (PMFP) - kg PM2.5 eq</v>
      </c>
      <c r="M554" s="154" t="str">
        <f t="shared" si="26"/>
        <v>Base_High_High_Upgraded_Particulate Matter Formation Potential (PMFP) - kg PM2.5 eq_Aeration Tanks; wastewater treatment unit; at updated plant - US_Base_With Amendment_Windrow</v>
      </c>
    </row>
    <row r="555" spans="1:13" s="120" customFormat="1" x14ac:dyDescent="0.25">
      <c r="A555" s="119"/>
      <c r="B555" s="138" t="str">
        <f t="shared" si="25"/>
        <v>Windrow</v>
      </c>
      <c r="C555" s="138" t="str">
        <f t="shared" si="27"/>
        <v>Base_With Amendment</v>
      </c>
      <c r="D555" s="118" t="s">
        <v>140</v>
      </c>
      <c r="E555" s="118" t="s">
        <v>130</v>
      </c>
      <c r="F555" s="118" t="s">
        <v>46</v>
      </c>
      <c r="G555" s="153"/>
      <c r="H555" s="155">
        <v>9.2100000000000001E-2</v>
      </c>
      <c r="I555" s="154" t="s">
        <v>54</v>
      </c>
      <c r="J555" s="204">
        <v>6.8000000000000005E-4</v>
      </c>
      <c r="K555" s="154" t="s">
        <v>145</v>
      </c>
      <c r="L555" s="154" t="str">
        <f>IF(OpenLCAbasic!K555="CTUh", "Fill in Manually",IF(OR(K555="Unit", K555=""), "", INDEX(LookUps!$E$5:$E$12, MATCH(OpenLCAbasic!K555,LookUps!$D$5:$D$12,0))))</f>
        <v>Particulate Matter Formation Potential (PMFP) - kg PM2.5 eq</v>
      </c>
      <c r="M555" s="154" t="str">
        <f t="shared" si="26"/>
        <v>Base_High_High_Upgraded_Particulate Matter Formation Potential (PMFP) - kg PM2.5 eq_Clear Cove Primary Clarification; wastewater treatment unit; at updated plant - US_Base_With Amendment_Windrow</v>
      </c>
    </row>
    <row r="556" spans="1:13" s="120" customFormat="1" x14ac:dyDescent="0.25">
      <c r="A556" s="119"/>
      <c r="B556" s="138" t="str">
        <f t="shared" si="25"/>
        <v>Windrow</v>
      </c>
      <c r="C556" s="138" t="str">
        <f t="shared" si="27"/>
        <v>Base_With Amendment</v>
      </c>
      <c r="D556" s="118" t="s">
        <v>140</v>
      </c>
      <c r="E556" s="118" t="s">
        <v>130</v>
      </c>
      <c r="F556" s="118" t="s">
        <v>46</v>
      </c>
      <c r="G556" s="153"/>
      <c r="H556" s="155">
        <v>8.0199999999999994E-2</v>
      </c>
      <c r="I556" s="154" t="s">
        <v>58</v>
      </c>
      <c r="J556" s="204">
        <v>5.9000000000000003E-4</v>
      </c>
      <c r="K556" s="154" t="s">
        <v>145</v>
      </c>
      <c r="L556" s="154" t="str">
        <f>IF(OpenLCAbasic!K556="CTUh", "Fill in Manually",IF(OR(K556="Unit", K556=""), "", INDEX(LookUps!$E$5:$E$12, MATCH(OpenLCAbasic!K556,LookUps!$D$5:$D$12,0))))</f>
        <v>Particulate Matter Formation Potential (PMFP) - kg PM2.5 eq</v>
      </c>
      <c r="M556" s="154" t="str">
        <f t="shared" si="26"/>
        <v>Base_High_High_Upgraded_Particulate Matter Formation Potential (PMFP) - kg PM2.5 eq_Pre-Anoxic &amp; Swing tank; wastewater treatment unit; at updated plant - US_Base_With Amendment_Windrow</v>
      </c>
    </row>
    <row r="557" spans="1:13" s="120" customFormat="1" x14ac:dyDescent="0.25">
      <c r="A557" s="119"/>
      <c r="B557" s="138" t="str">
        <f t="shared" si="25"/>
        <v>Windrow</v>
      </c>
      <c r="C557" s="138" t="str">
        <f t="shared" si="27"/>
        <v>Base_With Amendment</v>
      </c>
      <c r="D557" s="118" t="s">
        <v>140</v>
      </c>
      <c r="E557" s="118" t="s">
        <v>130</v>
      </c>
      <c r="F557" s="118" t="s">
        <v>46</v>
      </c>
      <c r="G557" s="153"/>
      <c r="H557" s="155">
        <v>6.3299999999999995E-2</v>
      </c>
      <c r="I557" s="154" t="s">
        <v>53</v>
      </c>
      <c r="J557" s="204">
        <v>4.6999999999999999E-4</v>
      </c>
      <c r="K557" s="154" t="s">
        <v>145</v>
      </c>
      <c r="L557" s="154" t="str">
        <f>IF(OpenLCAbasic!K557="CTUh", "Fill in Manually",IF(OR(K557="Unit", K557=""), "", INDEX(LookUps!$E$5:$E$12, MATCH(OpenLCAbasic!K557,LookUps!$D$5:$D$12,0))))</f>
        <v>Particulate Matter Formation Potential (PMFP) - kg PM2.5 eq</v>
      </c>
      <c r="M557" s="154" t="str">
        <f t="shared" si="26"/>
        <v>Base_High_High_Upgraded_Particulate Matter Formation Potential (PMFP) - kg PM2.5 eq_Wet Well and Sump Station; wastewater treatment unit; at updated plant - US_Base_With Amendment_Windrow</v>
      </c>
    </row>
    <row r="558" spans="1:13" s="120" customFormat="1" x14ac:dyDescent="0.25">
      <c r="A558" s="119"/>
      <c r="B558" s="138" t="str">
        <f t="shared" si="25"/>
        <v>Windrow</v>
      </c>
      <c r="C558" s="138" t="str">
        <f t="shared" si="27"/>
        <v>Base_With Amendment</v>
      </c>
      <c r="D558" s="118" t="s">
        <v>140</v>
      </c>
      <c r="E558" s="118" t="s">
        <v>130</v>
      </c>
      <c r="F558" s="118" t="s">
        <v>46</v>
      </c>
      <c r="G558" s="153"/>
      <c r="H558" s="155">
        <v>4.8800000000000003E-2</v>
      </c>
      <c r="I558" s="154" t="s">
        <v>271</v>
      </c>
      <c r="J558" s="204">
        <v>3.6000000000000002E-4</v>
      </c>
      <c r="K558" s="154" t="s">
        <v>145</v>
      </c>
      <c r="L558" s="154" t="str">
        <f>IF(OpenLCAbasic!K558="CTUh", "Fill in Manually",IF(OR(K558="Unit", K558=""), "", INDEX(LookUps!$E$5:$E$12, MATCH(OpenLCAbasic!K558,LookUps!$D$5:$D$12,0))))</f>
        <v>Particulate Matter Formation Potential (PMFP) - kg PM2.5 eq</v>
      </c>
      <c r="M558" s="154" t="str">
        <f t="shared" si="26"/>
        <v>Base_High_High_Upgraded_Particulate Matter Formation Potential (PMFP) - kg PM2.5 eq_Biosolids composting; windrow composting; wastewater treatment unit; at updated plant - US_Base_With Amendment_Windrow</v>
      </c>
    </row>
    <row r="559" spans="1:13" s="120" customFormat="1" x14ac:dyDescent="0.25">
      <c r="A559" s="119"/>
      <c r="B559" s="138" t="str">
        <f t="shared" si="25"/>
        <v>Windrow</v>
      </c>
      <c r="C559" s="138" t="str">
        <f t="shared" si="27"/>
        <v>Base_With Amendment</v>
      </c>
      <c r="D559" s="118" t="s">
        <v>140</v>
      </c>
      <c r="E559" s="118" t="s">
        <v>130</v>
      </c>
      <c r="F559" s="118" t="s">
        <v>46</v>
      </c>
      <c r="G559" s="153"/>
      <c r="H559" s="155">
        <v>4.4999999999999998E-2</v>
      </c>
      <c r="I559" s="154" t="s">
        <v>167</v>
      </c>
      <c r="J559" s="204">
        <v>3.3E-4</v>
      </c>
      <c r="K559" s="154" t="s">
        <v>145</v>
      </c>
      <c r="L559" s="154" t="str">
        <f>IF(OpenLCAbasic!K559="CTUh", "Fill in Manually",IF(OR(K559="Unit", K559=""), "", INDEX(LookUps!$E$5:$E$12, MATCH(OpenLCAbasic!K559,LookUps!$D$5:$D$12,0))))</f>
        <v>Particulate Matter Formation Potential (PMFP) - kg PM2.5 eq</v>
      </c>
      <c r="M559" s="154" t="str">
        <f t="shared" si="26"/>
        <v>Base_High_High_Upgraded_Particulate Matter Formation Potential (PMFP) - kg PM2.5 eq_Waste Receiving and Holding; wastewater treatment unit; at updated plant - US_Base_With Amendment_Windrow</v>
      </c>
    </row>
    <row r="560" spans="1:13" s="120" customFormat="1" x14ac:dyDescent="0.25">
      <c r="A560" s="119"/>
      <c r="B560" s="138" t="str">
        <f t="shared" si="25"/>
        <v>Windrow</v>
      </c>
      <c r="C560" s="138" t="str">
        <f t="shared" si="27"/>
        <v>Base_With Amendment</v>
      </c>
      <c r="D560" s="118" t="s">
        <v>140</v>
      </c>
      <c r="E560" s="118" t="s">
        <v>130</v>
      </c>
      <c r="F560" s="118" t="s">
        <v>46</v>
      </c>
      <c r="G560" s="153"/>
      <c r="H560" s="155">
        <v>3.6200000000000003E-2</v>
      </c>
      <c r="I560" s="154" t="s">
        <v>147</v>
      </c>
      <c r="J560" s="204">
        <v>2.7E-4</v>
      </c>
      <c r="K560" s="154" t="s">
        <v>145</v>
      </c>
      <c r="L560" s="154" t="str">
        <f>IF(OpenLCAbasic!K560="CTUh", "Fill in Manually",IF(OR(K560="Unit", K560=""), "", INDEX(LookUps!$E$5:$E$12, MATCH(OpenLCAbasic!K560,LookUps!$D$5:$D$12,0))))</f>
        <v>Particulate Matter Formation Potential (PMFP) - kg PM2.5 eq</v>
      </c>
      <c r="M560" s="154" t="str">
        <f t="shared" si="26"/>
        <v>Base_High_High_Upgraded_Particulate Matter Formation Potential (PMFP) - kg PM2.5 eq_Influent Pump Station; wastewater treatment unit; at updated plant - US_Base_With Amendment_Windrow</v>
      </c>
    </row>
    <row r="561" spans="1:13" s="120" customFormat="1" x14ac:dyDescent="0.25">
      <c r="A561" s="119"/>
      <c r="B561" s="138" t="str">
        <f t="shared" si="25"/>
        <v>Windrow</v>
      </c>
      <c r="C561" s="138" t="str">
        <f t="shared" si="27"/>
        <v>Base_With Amendment</v>
      </c>
      <c r="D561" s="118" t="s">
        <v>140</v>
      </c>
      <c r="E561" s="118" t="s">
        <v>130</v>
      </c>
      <c r="F561" s="118" t="s">
        <v>46</v>
      </c>
      <c r="G561" s="153"/>
      <c r="H561" s="155">
        <v>2.5399999999999999E-2</v>
      </c>
      <c r="I561" s="154" t="s">
        <v>60</v>
      </c>
      <c r="J561" s="204">
        <v>1.9000000000000001E-4</v>
      </c>
      <c r="K561" s="154" t="s">
        <v>145</v>
      </c>
      <c r="L561" s="154" t="str">
        <f>IF(OpenLCAbasic!K561="CTUh", "Fill in Manually",IF(OR(K561="Unit", K561=""), "", INDEX(LookUps!$E$5:$E$12, MATCH(OpenLCAbasic!K561,LookUps!$D$5:$D$12,0))))</f>
        <v>Particulate Matter Formation Potential (PMFP) - kg PM2.5 eq</v>
      </c>
      <c r="M561" s="154" t="str">
        <f t="shared" si="26"/>
        <v>Base_High_High_Upgraded_Particulate Matter Formation Potential (PMFP) - kg PM2.5 eq_Belt filter press; wastewater treatment unit; at updated plant - US_Base_With Amendment_Windrow</v>
      </c>
    </row>
    <row r="562" spans="1:13" s="120" customFormat="1" x14ac:dyDescent="0.25">
      <c r="A562" s="119"/>
      <c r="B562" s="138" t="str">
        <f t="shared" si="25"/>
        <v>Windrow</v>
      </c>
      <c r="C562" s="138" t="str">
        <f t="shared" si="27"/>
        <v>Base_With Amendment</v>
      </c>
      <c r="D562" s="118" t="s">
        <v>140</v>
      </c>
      <c r="E562" s="118" t="s">
        <v>130</v>
      </c>
      <c r="F562" s="118" t="s">
        <v>46</v>
      </c>
      <c r="G562" s="153"/>
      <c r="H562" s="155">
        <v>2.2599999999999999E-2</v>
      </c>
      <c r="I562" s="154" t="s">
        <v>128</v>
      </c>
      <c r="J562" s="204">
        <v>1.7000000000000001E-4</v>
      </c>
      <c r="K562" s="154" t="s">
        <v>145</v>
      </c>
      <c r="L562" s="154" t="str">
        <f>IF(OpenLCAbasic!K562="CTUh", "Fill in Manually",IF(OR(K562="Unit", K562=""), "", INDEX(LookUps!$E$5:$E$12, MATCH(OpenLCAbasic!K562,LookUps!$D$5:$D$12,0))))</f>
        <v>Particulate Matter Formation Potential (PMFP) - kg PM2.5 eq</v>
      </c>
      <c r="M562" s="154" t="str">
        <f t="shared" si="26"/>
        <v>Base_High_High_Upgraded_Particulate Matter Formation Potential (PMFP) - kg PM2.5 eq_Wastewater collection; operation and infrastructure; m3 wastewater_Base_With Amendment_Windrow</v>
      </c>
    </row>
    <row r="563" spans="1:13" s="120" customFormat="1" x14ac:dyDescent="0.25">
      <c r="A563" s="119"/>
      <c r="B563" s="138" t="str">
        <f t="shared" si="25"/>
        <v>Windrow</v>
      </c>
      <c r="C563" s="138" t="str">
        <f t="shared" si="27"/>
        <v>Base_With Amendment</v>
      </c>
      <c r="D563" s="118" t="s">
        <v>140</v>
      </c>
      <c r="E563" s="118" t="s">
        <v>130</v>
      </c>
      <c r="F563" s="118" t="s">
        <v>46</v>
      </c>
      <c r="G563" s="153"/>
      <c r="H563" s="155">
        <v>1.29E-2</v>
      </c>
      <c r="I563" s="154" t="s">
        <v>57</v>
      </c>
      <c r="J563" s="204">
        <v>9.5153800000000004E-5</v>
      </c>
      <c r="K563" s="154" t="s">
        <v>145</v>
      </c>
      <c r="L563" s="154" t="str">
        <f>IF(OpenLCAbasic!K563="CTUh", "Fill in Manually",IF(OR(K563="Unit", K563=""), "", INDEX(LookUps!$E$5:$E$12, MATCH(OpenLCAbasic!K563,LookUps!$D$5:$D$12,0))))</f>
        <v>Particulate Matter Formation Potential (PMFP) - kg PM2.5 eq</v>
      </c>
      <c r="M563" s="154" t="str">
        <f t="shared" si="26"/>
        <v>Base_High_High_Upgraded_Particulate Matter Formation Potential (PMFP) - kg PM2.5 eq_Gravity Belt Thickener; wastewater treatment unit; at updated plant - US_Base_With Amendment_Windrow</v>
      </c>
    </row>
    <row r="564" spans="1:13" s="120" customFormat="1" x14ac:dyDescent="0.25">
      <c r="A564" s="119"/>
      <c r="B564" s="138" t="str">
        <f t="shared" si="25"/>
        <v>Windrow</v>
      </c>
      <c r="C564" s="138" t="str">
        <f t="shared" si="27"/>
        <v>Base_With Amendment</v>
      </c>
      <c r="D564" s="118" t="s">
        <v>140</v>
      </c>
      <c r="E564" s="118" t="s">
        <v>130</v>
      </c>
      <c r="F564" s="118" t="s">
        <v>46</v>
      </c>
      <c r="G564" s="153"/>
      <c r="H564" s="155">
        <v>1.0500000000000001E-2</v>
      </c>
      <c r="I564" s="154" t="s">
        <v>62</v>
      </c>
      <c r="J564" s="204">
        <v>7.7253499999999995E-5</v>
      </c>
      <c r="K564" s="154" t="s">
        <v>145</v>
      </c>
      <c r="L564" s="154" t="str">
        <f>IF(OpenLCAbasic!K564="CTUh", "Fill in Manually",IF(OR(K564="Unit", K564=""), "", INDEX(LookUps!$E$5:$E$12, MATCH(OpenLCAbasic!K564,LookUps!$D$5:$D$12,0))))</f>
        <v>Particulate Matter Formation Potential (PMFP) - kg PM2.5 eq</v>
      </c>
      <c r="M564" s="154" t="str">
        <f t="shared" si="26"/>
        <v>Base_High_High_Upgraded_Particulate Matter Formation Potential (PMFP) - kg PM2.5 eq_Land application of compost; wastewater treatment unit; at updated plant - US_Base_With Amendment_Windrow</v>
      </c>
    </row>
    <row r="565" spans="1:13" s="120" customFormat="1" x14ac:dyDescent="0.25">
      <c r="A565" s="119"/>
      <c r="B565" s="138" t="str">
        <f t="shared" si="25"/>
        <v>Windrow</v>
      </c>
      <c r="C565" s="138" t="str">
        <f t="shared" si="27"/>
        <v>Base_With Amendment</v>
      </c>
      <c r="D565" s="118" t="s">
        <v>140</v>
      </c>
      <c r="E565" s="118" t="s">
        <v>130</v>
      </c>
      <c r="F565" s="118" t="s">
        <v>46</v>
      </c>
      <c r="G565" s="153"/>
      <c r="H565" s="155">
        <v>9.4999999999999998E-3</v>
      </c>
      <c r="I565" s="154" t="s">
        <v>59</v>
      </c>
      <c r="J565" s="204">
        <v>6.9942200000000003E-5</v>
      </c>
      <c r="K565" s="154" t="s">
        <v>145</v>
      </c>
      <c r="L565" s="154" t="str">
        <f>IF(OpenLCAbasic!K565="CTUh", "Fill in Manually",IF(OR(K565="Unit", K565=""), "", INDEX(LookUps!$E$5:$E$12, MATCH(OpenLCAbasic!K565,LookUps!$D$5:$D$12,0))))</f>
        <v>Particulate Matter Formation Potential (PMFP) - kg PM2.5 eq</v>
      </c>
      <c r="M565" s="154" t="str">
        <f t="shared" si="26"/>
        <v>Base_High_High_Upgraded_Particulate Matter Formation Potential (PMFP) - kg PM2.5 eq_Blend Tank; wastewater treatment unit; at updated plant - US_Base_With Amendment_Windrow</v>
      </c>
    </row>
    <row r="566" spans="1:13" s="120" customFormat="1" x14ac:dyDescent="0.25">
      <c r="A566" s="119"/>
      <c r="B566" s="138" t="str">
        <f t="shared" si="25"/>
        <v>Windrow</v>
      </c>
      <c r="C566" s="138" t="str">
        <f t="shared" si="27"/>
        <v>Base_With Amendment</v>
      </c>
      <c r="D566" s="118" t="s">
        <v>140</v>
      </c>
      <c r="E566" s="118" t="s">
        <v>130</v>
      </c>
      <c r="F566" s="118" t="s">
        <v>46</v>
      </c>
      <c r="G566" s="153"/>
      <c r="H566" s="155">
        <v>6.7999999999999996E-3</v>
      </c>
      <c r="I566" s="154" t="s">
        <v>48</v>
      </c>
      <c r="J566" s="204">
        <v>4.99741E-5</v>
      </c>
      <c r="K566" s="154" t="s">
        <v>145</v>
      </c>
      <c r="L566" s="154" t="str">
        <f>IF(OpenLCAbasic!K566="CTUh", "Fill in Manually",IF(OR(K566="Unit", K566=""), "", INDEX(LookUps!$E$5:$E$12, MATCH(OpenLCAbasic!K566,LookUps!$D$5:$D$12,0))))</f>
        <v>Particulate Matter Formation Potential (PMFP) - kg PM2.5 eq</v>
      </c>
      <c r="M566" s="154" t="str">
        <f t="shared" si="26"/>
        <v>Base_High_High_Upgraded_Particulate Matter Formation Potential (PMFP) - kg PM2.5 eq_Effluent release; wastewater treatment unit; at surface water; m3 wastewater - US_Base_With Amendment_Windrow</v>
      </c>
    </row>
    <row r="567" spans="1:13" s="120" customFormat="1" x14ac:dyDescent="0.25">
      <c r="A567" s="119"/>
      <c r="B567" s="138" t="str">
        <f t="shared" si="25"/>
        <v>Windrow</v>
      </c>
      <c r="C567" s="138" t="str">
        <f t="shared" si="27"/>
        <v>Base_With Amendment</v>
      </c>
      <c r="D567" s="118" t="s">
        <v>140</v>
      </c>
      <c r="E567" s="118" t="s">
        <v>130</v>
      </c>
      <c r="F567" s="118" t="s">
        <v>46</v>
      </c>
      <c r="G567" s="153"/>
      <c r="H567" s="155">
        <v>4.7000000000000002E-3</v>
      </c>
      <c r="I567" s="154" t="s">
        <v>168</v>
      </c>
      <c r="J567" s="204">
        <v>3.4562199999999999E-5</v>
      </c>
      <c r="K567" s="154" t="s">
        <v>145</v>
      </c>
      <c r="L567" s="154" t="str">
        <f>IF(OpenLCAbasic!K567="CTUh", "Fill in Manually",IF(OR(K567="Unit", K567=""), "", INDEX(LookUps!$E$5:$E$12, MATCH(OpenLCAbasic!K567,LookUps!$D$5:$D$12,0))))</f>
        <v>Particulate Matter Formation Potential (PMFP) - kg PM2.5 eq</v>
      </c>
      <c r="M567" s="154" t="str">
        <f t="shared" si="26"/>
        <v>Base_High_High_Upgraded_Particulate Matter Formation Potential (PMFP) - kg PM2.5 eq_ClearCove SCP; wastewater treatment unit; at updated plant - US_Base_With Amendment_Windrow</v>
      </c>
    </row>
    <row r="568" spans="1:13" s="120" customFormat="1" x14ac:dyDescent="0.25">
      <c r="A568" s="119"/>
      <c r="B568" s="138" t="str">
        <f t="shared" si="25"/>
        <v>Windrow</v>
      </c>
      <c r="C568" s="138" t="str">
        <f t="shared" si="27"/>
        <v>Base_With Amendment</v>
      </c>
      <c r="D568" s="118" t="s">
        <v>140</v>
      </c>
      <c r="E568" s="118" t="s">
        <v>130</v>
      </c>
      <c r="F568" s="118" t="s">
        <v>46</v>
      </c>
      <c r="G568" s="153"/>
      <c r="H568" s="155">
        <v>1.1999999999999999E-3</v>
      </c>
      <c r="I568" s="154" t="s">
        <v>148</v>
      </c>
      <c r="J568" s="204">
        <v>8.8212999999999997E-6</v>
      </c>
      <c r="K568" s="154" t="s">
        <v>145</v>
      </c>
      <c r="L568" s="154" t="str">
        <f>IF(OpenLCAbasic!K568="CTUh", "Fill in Manually",IF(OR(K568="Unit", K568=""), "", INDEX(LookUps!$E$5:$E$12, MATCH(OpenLCAbasic!K568,LookUps!$D$5:$D$12,0))))</f>
        <v>Particulate Matter Formation Potential (PMFP) - kg PM2.5 eq</v>
      </c>
      <c r="M568" s="154" t="str">
        <f t="shared" si="26"/>
        <v>Base_High_High_Upgraded_Particulate Matter Formation Potential (PMFP) - kg PM2.5 eq_Control Building; at upgraded wastewater treatment plant - US_Base_With Amendment_Windrow</v>
      </c>
    </row>
    <row r="569" spans="1:13" s="120" customFormat="1" x14ac:dyDescent="0.25">
      <c r="A569" s="119"/>
      <c r="B569" s="138" t="str">
        <f t="shared" si="25"/>
        <v>Windrow</v>
      </c>
      <c r="C569" s="138" t="str">
        <f t="shared" si="27"/>
        <v>Base_With Amendment</v>
      </c>
      <c r="D569" s="118" t="s">
        <v>140</v>
      </c>
      <c r="E569" s="118" t="s">
        <v>130</v>
      </c>
      <c r="F569" s="118" t="s">
        <v>46</v>
      </c>
      <c r="G569" s="153"/>
      <c r="H569" s="155">
        <v>-1.7758</v>
      </c>
      <c r="I569" s="154" t="s">
        <v>149</v>
      </c>
      <c r="J569" s="203">
        <v>-1.3089999999999999E-2</v>
      </c>
      <c r="K569" s="154" t="s">
        <v>145</v>
      </c>
      <c r="L569" s="154" t="str">
        <f>IF(OpenLCAbasic!K569="CTUh", "Fill in Manually",IF(OR(K569="Unit", K569=""), "", INDEX(LookUps!$E$5:$E$12, MATCH(OpenLCAbasic!K569,LookUps!$D$5:$D$12,0))))</f>
        <v>Particulate Matter Formation Potential (PMFP) - kg PM2.5 eq</v>
      </c>
      <c r="M569" s="154" t="str">
        <f t="shared" si="26"/>
        <v>Base_High_High_Upgraded_Particulate Matter Formation Potential (PMFP) - kg PM2.5 eq_Anaerobic Digestion; wastewater treatment unit; at updated plant - US_Base_With Amendment_Windrow</v>
      </c>
    </row>
    <row r="570" spans="1:13" s="120" customFormat="1" x14ac:dyDescent="0.25">
      <c r="A570" s="119"/>
      <c r="B570" s="138" t="str">
        <f t="shared" si="25"/>
        <v/>
      </c>
      <c r="C570" s="138" t="str">
        <f t="shared" si="27"/>
        <v>Base_With Amendment</v>
      </c>
      <c r="D570" s="118"/>
      <c r="E570" s="118" t="s">
        <v>130</v>
      </c>
      <c r="F570" s="118"/>
      <c r="G570" s="153" t="s">
        <v>51</v>
      </c>
      <c r="H570" s="155"/>
      <c r="I570" s="154" t="s">
        <v>47</v>
      </c>
      <c r="J570" s="154" t="s">
        <v>52</v>
      </c>
      <c r="K570" s="154" t="s">
        <v>27</v>
      </c>
      <c r="L570" s="154" t="str">
        <f>IF(OpenLCAbasic!K570="CTUh", "Fill in Manually",IF(OR(K570="Unit", K570=""), "", INDEX(LookUps!$E$5:$E$12, MATCH(OpenLCAbasic!K570,LookUps!$D$5:$D$12,0))))</f>
        <v/>
      </c>
      <c r="M570" s="154" t="str">
        <f t="shared" si="26"/>
        <v>Base____Process_Base_With Amendment_</v>
      </c>
    </row>
    <row r="571" spans="1:13" s="120" customFormat="1" x14ac:dyDescent="0.25">
      <c r="A571" s="119"/>
      <c r="B571" s="138" t="str">
        <f t="shared" si="25"/>
        <v>Windrow</v>
      </c>
      <c r="C571" s="138" t="str">
        <f t="shared" si="27"/>
        <v>Base_With Amendment</v>
      </c>
      <c r="D571" s="118" t="s">
        <v>140</v>
      </c>
      <c r="E571" s="118" t="s">
        <v>130</v>
      </c>
      <c r="F571" s="118" t="s">
        <v>46</v>
      </c>
      <c r="G571" s="153"/>
      <c r="H571" s="155">
        <v>0.30199999999999999</v>
      </c>
      <c r="I571" s="154" t="s">
        <v>55</v>
      </c>
      <c r="J571" s="203">
        <v>0.16577</v>
      </c>
      <c r="K571" s="154" t="s">
        <v>25</v>
      </c>
      <c r="L571" s="154" t="str">
        <f>IF(OpenLCAbasic!K571="CTUh", "Fill in Manually",IF(OR(K571="Unit", K571=""), "", INDEX(LookUps!$E$5:$E$12, MATCH(OpenLCAbasic!K571,LookUps!$D$5:$D$12,0))))</f>
        <v>Smog Formation Potential (SFP) - kg O3 eq</v>
      </c>
      <c r="M571" s="154" t="str">
        <f t="shared" si="26"/>
        <v>Base_High_High_Upgraded_Smog Formation Potential (SFP) - kg O3 eq_Aeration Tanks; wastewater treatment unit; at updated plant - US_Base_With Amendment_Windrow</v>
      </c>
    </row>
    <row r="572" spans="1:13" s="120" customFormat="1" x14ac:dyDescent="0.25">
      <c r="A572" s="119"/>
      <c r="B572" s="138" t="str">
        <f t="shared" si="25"/>
        <v>Windrow</v>
      </c>
      <c r="C572" s="138" t="str">
        <f t="shared" si="27"/>
        <v>Base_With Amendment</v>
      </c>
      <c r="D572" s="118" t="s">
        <v>140</v>
      </c>
      <c r="E572" s="118" t="s">
        <v>130</v>
      </c>
      <c r="F572" s="118" t="s">
        <v>46</v>
      </c>
      <c r="G572" s="153"/>
      <c r="H572" s="155">
        <v>8.7599999999999997E-2</v>
      </c>
      <c r="I572" s="154" t="s">
        <v>54</v>
      </c>
      <c r="J572" s="203">
        <v>4.8070000000000002E-2</v>
      </c>
      <c r="K572" s="154" t="s">
        <v>25</v>
      </c>
      <c r="L572" s="154" t="str">
        <f>IF(OpenLCAbasic!K572="CTUh", "Fill in Manually",IF(OR(K572="Unit", K572=""), "", INDEX(LookUps!$E$5:$E$12, MATCH(OpenLCAbasic!K572,LookUps!$D$5:$D$12,0))))</f>
        <v>Smog Formation Potential (SFP) - kg O3 eq</v>
      </c>
      <c r="M572" s="154" t="str">
        <f t="shared" si="26"/>
        <v>Base_High_High_Upgraded_Smog Formation Potential (SFP) - kg O3 eq_Clear Cove Primary Clarification; wastewater treatment unit; at updated plant - US_Base_With Amendment_Windrow</v>
      </c>
    </row>
    <row r="573" spans="1:13" s="120" customFormat="1" x14ac:dyDescent="0.25">
      <c r="A573" s="119"/>
      <c r="B573" s="138" t="str">
        <f t="shared" si="25"/>
        <v>Windrow</v>
      </c>
      <c r="C573" s="138" t="str">
        <f t="shared" si="27"/>
        <v>Base_With Amendment</v>
      </c>
      <c r="D573" s="118" t="s">
        <v>140</v>
      </c>
      <c r="E573" s="118" t="s">
        <v>130</v>
      </c>
      <c r="F573" s="118" t="s">
        <v>46</v>
      </c>
      <c r="G573" s="153"/>
      <c r="H573" s="155">
        <v>7.6700000000000004E-2</v>
      </c>
      <c r="I573" s="154" t="s">
        <v>58</v>
      </c>
      <c r="J573" s="203">
        <v>4.2090000000000002E-2</v>
      </c>
      <c r="K573" s="154" t="s">
        <v>25</v>
      </c>
      <c r="L573" s="154" t="str">
        <f>IF(OpenLCAbasic!K573="CTUh", "Fill in Manually",IF(OR(K573="Unit", K573=""), "", INDEX(LookUps!$E$5:$E$12, MATCH(OpenLCAbasic!K573,LookUps!$D$5:$D$12,0))))</f>
        <v>Smog Formation Potential (SFP) - kg O3 eq</v>
      </c>
      <c r="M573" s="154" t="str">
        <f t="shared" si="26"/>
        <v>Base_High_High_Upgraded_Smog Formation Potential (SFP) - kg O3 eq_Pre-Anoxic &amp; Swing tank; wastewater treatment unit; at updated plant - US_Base_With Amendment_Windrow</v>
      </c>
    </row>
    <row r="574" spans="1:13" s="120" customFormat="1" x14ac:dyDescent="0.25">
      <c r="A574" s="119"/>
      <c r="B574" s="138" t="str">
        <f t="shared" si="25"/>
        <v>Windrow</v>
      </c>
      <c r="C574" s="138" t="str">
        <f t="shared" si="27"/>
        <v>Base_With Amendment</v>
      </c>
      <c r="D574" s="118" t="s">
        <v>140</v>
      </c>
      <c r="E574" s="118" t="s">
        <v>130</v>
      </c>
      <c r="F574" s="118" t="s">
        <v>46</v>
      </c>
      <c r="G574" s="153"/>
      <c r="H574" s="155">
        <v>6.1499999999999999E-2</v>
      </c>
      <c r="I574" s="154" t="s">
        <v>167</v>
      </c>
      <c r="J574" s="203">
        <v>3.3759999999999998E-2</v>
      </c>
      <c r="K574" s="154" t="s">
        <v>25</v>
      </c>
      <c r="L574" s="154" t="str">
        <f>IF(OpenLCAbasic!K574="CTUh", "Fill in Manually",IF(OR(K574="Unit", K574=""), "", INDEX(LookUps!$E$5:$E$12, MATCH(OpenLCAbasic!K574,LookUps!$D$5:$D$12,0))))</f>
        <v>Smog Formation Potential (SFP) - kg O3 eq</v>
      </c>
      <c r="M574" s="154" t="str">
        <f t="shared" si="26"/>
        <v>Base_High_High_Upgraded_Smog Formation Potential (SFP) - kg O3 eq_Waste Receiving and Holding; wastewater treatment unit; at updated plant - US_Base_With Amendment_Windrow</v>
      </c>
    </row>
    <row r="575" spans="1:13" s="120" customFormat="1" x14ac:dyDescent="0.25">
      <c r="A575" s="119"/>
      <c r="B575" s="138" t="str">
        <f t="shared" si="25"/>
        <v>Windrow</v>
      </c>
      <c r="C575" s="138" t="str">
        <f t="shared" si="27"/>
        <v>Base_With Amendment</v>
      </c>
      <c r="D575" s="118" t="s">
        <v>140</v>
      </c>
      <c r="E575" s="118" t="s">
        <v>130</v>
      </c>
      <c r="F575" s="118" t="s">
        <v>46</v>
      </c>
      <c r="G575" s="153"/>
      <c r="H575" s="155">
        <v>6.0299999999999999E-2</v>
      </c>
      <c r="I575" s="154" t="s">
        <v>53</v>
      </c>
      <c r="J575" s="203">
        <v>3.313E-2</v>
      </c>
      <c r="K575" s="154" t="s">
        <v>25</v>
      </c>
      <c r="L575" s="154" t="str">
        <f>IF(OpenLCAbasic!K575="CTUh", "Fill in Manually",IF(OR(K575="Unit", K575=""), "", INDEX(LookUps!$E$5:$E$12, MATCH(OpenLCAbasic!K575,LookUps!$D$5:$D$12,0))))</f>
        <v>Smog Formation Potential (SFP) - kg O3 eq</v>
      </c>
      <c r="M575" s="154" t="str">
        <f t="shared" si="26"/>
        <v>Base_High_High_Upgraded_Smog Formation Potential (SFP) - kg O3 eq_Wet Well and Sump Station; wastewater treatment unit; at updated plant - US_Base_With Amendment_Windrow</v>
      </c>
    </row>
    <row r="576" spans="1:13" s="120" customFormat="1" x14ac:dyDescent="0.25">
      <c r="A576" s="119"/>
      <c r="B576" s="138" t="str">
        <f t="shared" si="25"/>
        <v>Windrow</v>
      </c>
      <c r="C576" s="138" t="str">
        <f t="shared" si="27"/>
        <v>Base_With Amendment</v>
      </c>
      <c r="D576" s="118" t="s">
        <v>140</v>
      </c>
      <c r="E576" s="118" t="s">
        <v>130</v>
      </c>
      <c r="F576" s="118" t="s">
        <v>46</v>
      </c>
      <c r="G576" s="153"/>
      <c r="H576" s="155">
        <v>3.5299999999999998E-2</v>
      </c>
      <c r="I576" s="154" t="s">
        <v>147</v>
      </c>
      <c r="J576" s="203">
        <v>1.9400000000000001E-2</v>
      </c>
      <c r="K576" s="154" t="s">
        <v>25</v>
      </c>
      <c r="L576" s="154" t="str">
        <f>IF(OpenLCAbasic!K576="CTUh", "Fill in Manually",IF(OR(K576="Unit", K576=""), "", INDEX(LookUps!$E$5:$E$12, MATCH(OpenLCAbasic!K576,LookUps!$D$5:$D$12,0))))</f>
        <v>Smog Formation Potential (SFP) - kg O3 eq</v>
      </c>
      <c r="M576" s="154" t="str">
        <f t="shared" si="26"/>
        <v>Base_High_High_Upgraded_Smog Formation Potential (SFP) - kg O3 eq_Influent Pump Station; wastewater treatment unit; at updated plant - US_Base_With Amendment_Windrow</v>
      </c>
    </row>
    <row r="577" spans="1:13" s="120" customFormat="1" x14ac:dyDescent="0.25">
      <c r="A577" s="119"/>
      <c r="B577" s="138" t="str">
        <f t="shared" si="25"/>
        <v>Windrow</v>
      </c>
      <c r="C577" s="138" t="str">
        <f t="shared" si="27"/>
        <v>Base_With Amendment</v>
      </c>
      <c r="D577" s="118" t="s">
        <v>140</v>
      </c>
      <c r="E577" s="118" t="s">
        <v>130</v>
      </c>
      <c r="F577" s="118" t="s">
        <v>46</v>
      </c>
      <c r="G577" s="153"/>
      <c r="H577" s="155">
        <v>2.4E-2</v>
      </c>
      <c r="I577" s="154" t="s">
        <v>60</v>
      </c>
      <c r="J577" s="204">
        <v>1.316E-2</v>
      </c>
      <c r="K577" s="154" t="s">
        <v>25</v>
      </c>
      <c r="L577" s="154" t="str">
        <f>IF(OpenLCAbasic!K577="CTUh", "Fill in Manually",IF(OR(K577="Unit", K577=""), "", INDEX(LookUps!$E$5:$E$12, MATCH(OpenLCAbasic!K577,LookUps!$D$5:$D$12,0))))</f>
        <v>Smog Formation Potential (SFP) - kg O3 eq</v>
      </c>
      <c r="M577" s="154" t="str">
        <f t="shared" si="26"/>
        <v>Base_High_High_Upgraded_Smog Formation Potential (SFP) - kg O3 eq_Belt filter press; wastewater treatment unit; at updated plant - US_Base_With Amendment_Windrow</v>
      </c>
    </row>
    <row r="578" spans="1:13" s="120" customFormat="1" x14ac:dyDescent="0.25">
      <c r="A578" s="119"/>
      <c r="B578" s="138" t="str">
        <f t="shared" si="25"/>
        <v>Windrow</v>
      </c>
      <c r="C578" s="138" t="str">
        <f t="shared" si="27"/>
        <v>Base_With Amendment</v>
      </c>
      <c r="D578" s="118" t="s">
        <v>140</v>
      </c>
      <c r="E578" s="118" t="s">
        <v>130</v>
      </c>
      <c r="F578" s="118" t="s">
        <v>46</v>
      </c>
      <c r="G578" s="153"/>
      <c r="H578" s="155">
        <v>2.1700000000000001E-2</v>
      </c>
      <c r="I578" s="154" t="s">
        <v>128</v>
      </c>
      <c r="J578" s="204">
        <v>1.192E-2</v>
      </c>
      <c r="K578" s="154" t="s">
        <v>25</v>
      </c>
      <c r="L578" s="154" t="str">
        <f>IF(OpenLCAbasic!K578="CTUh", "Fill in Manually",IF(OR(K578="Unit", K578=""), "", INDEX(LookUps!$E$5:$E$12, MATCH(OpenLCAbasic!K578,LookUps!$D$5:$D$12,0))))</f>
        <v>Smog Formation Potential (SFP) - kg O3 eq</v>
      </c>
      <c r="M578" s="154" t="str">
        <f t="shared" si="26"/>
        <v>Base_High_High_Upgraded_Smog Formation Potential (SFP) - kg O3 eq_Wastewater collection; operation and infrastructure; m3 wastewater_Base_With Amendment_Windrow</v>
      </c>
    </row>
    <row r="579" spans="1:13" s="120" customFormat="1" x14ac:dyDescent="0.25">
      <c r="A579" s="119"/>
      <c r="B579" s="138" t="str">
        <f t="shared" si="25"/>
        <v>Windrow</v>
      </c>
      <c r="C579" s="138" t="str">
        <f t="shared" si="27"/>
        <v>Base_With Amendment</v>
      </c>
      <c r="D579" s="118" t="s">
        <v>140</v>
      </c>
      <c r="E579" s="118" t="s">
        <v>130</v>
      </c>
      <c r="F579" s="118" t="s">
        <v>46</v>
      </c>
      <c r="G579" s="153"/>
      <c r="H579" s="155">
        <v>1.21E-2</v>
      </c>
      <c r="I579" s="154" t="s">
        <v>57</v>
      </c>
      <c r="J579" s="204">
        <v>6.6499999999999997E-3</v>
      </c>
      <c r="K579" s="154" t="s">
        <v>25</v>
      </c>
      <c r="L579" s="154" t="str">
        <f>IF(OpenLCAbasic!K579="CTUh", "Fill in Manually",IF(OR(K579="Unit", K579=""), "", INDEX(LookUps!$E$5:$E$12, MATCH(OpenLCAbasic!K579,LookUps!$D$5:$D$12,0))))</f>
        <v>Smog Formation Potential (SFP) - kg O3 eq</v>
      </c>
      <c r="M579" s="154" t="str">
        <f t="shared" si="26"/>
        <v>Base_High_High_Upgraded_Smog Formation Potential (SFP) - kg O3 eq_Gravity Belt Thickener; wastewater treatment unit; at updated plant - US_Base_With Amendment_Windrow</v>
      </c>
    </row>
    <row r="580" spans="1:13" s="120" customFormat="1" x14ac:dyDescent="0.25">
      <c r="A580" s="119"/>
      <c r="B580" s="138" t="str">
        <f t="shared" si="25"/>
        <v>Windrow</v>
      </c>
      <c r="C580" s="138" t="str">
        <f t="shared" si="27"/>
        <v>Base_With Amendment</v>
      </c>
      <c r="D580" s="118" t="s">
        <v>140</v>
      </c>
      <c r="E580" s="118" t="s">
        <v>130</v>
      </c>
      <c r="F580" s="118" t="s">
        <v>46</v>
      </c>
      <c r="G580" s="153"/>
      <c r="H580" s="155">
        <v>9.1000000000000004E-3</v>
      </c>
      <c r="I580" s="154" t="s">
        <v>59</v>
      </c>
      <c r="J580" s="204">
        <v>4.9699999999999996E-3</v>
      </c>
      <c r="K580" s="154" t="s">
        <v>25</v>
      </c>
      <c r="L580" s="154" t="str">
        <f>IF(OpenLCAbasic!K580="CTUh", "Fill in Manually",IF(OR(K580="Unit", K580=""), "", INDEX(LookUps!$E$5:$E$12, MATCH(OpenLCAbasic!K580,LookUps!$D$5:$D$12,0))))</f>
        <v>Smog Formation Potential (SFP) - kg O3 eq</v>
      </c>
      <c r="M580" s="154" t="str">
        <f t="shared" si="26"/>
        <v>Base_High_High_Upgraded_Smog Formation Potential (SFP) - kg O3 eq_Blend Tank; wastewater treatment unit; at updated plant - US_Base_With Amendment_Windrow</v>
      </c>
    </row>
    <row r="581" spans="1:13" s="120" customFormat="1" x14ac:dyDescent="0.25">
      <c r="A581" s="119"/>
      <c r="B581" s="138" t="str">
        <f t="shared" si="25"/>
        <v>Windrow</v>
      </c>
      <c r="C581" s="138" t="str">
        <f t="shared" si="27"/>
        <v>Base_With Amendment</v>
      </c>
      <c r="D581" s="118" t="s">
        <v>140</v>
      </c>
      <c r="E581" s="118" t="s">
        <v>130</v>
      </c>
      <c r="F581" s="118" t="s">
        <v>46</v>
      </c>
      <c r="G581" s="153"/>
      <c r="H581" s="155">
        <v>6.1999999999999998E-3</v>
      </c>
      <c r="I581" s="154" t="s">
        <v>48</v>
      </c>
      <c r="J581" s="204">
        <v>3.3899999999999998E-3</v>
      </c>
      <c r="K581" s="154" t="s">
        <v>25</v>
      </c>
      <c r="L581" s="154" t="str">
        <f>IF(OpenLCAbasic!K581="CTUh", "Fill in Manually",IF(OR(K581="Unit", K581=""), "", INDEX(LookUps!$E$5:$E$12, MATCH(OpenLCAbasic!K581,LookUps!$D$5:$D$12,0))))</f>
        <v>Smog Formation Potential (SFP) - kg O3 eq</v>
      </c>
      <c r="M581" s="154" t="str">
        <f t="shared" si="26"/>
        <v>Base_High_High_Upgraded_Smog Formation Potential (SFP) - kg O3 eq_Effluent release; wastewater treatment unit; at surface water; m3 wastewater - US_Base_With Amendment_Windrow</v>
      </c>
    </row>
    <row r="582" spans="1:13" s="120" customFormat="1" x14ac:dyDescent="0.25">
      <c r="A582" s="119"/>
      <c r="B582" s="138" t="str">
        <f t="shared" si="25"/>
        <v>Windrow</v>
      </c>
      <c r="C582" s="138" t="str">
        <f t="shared" si="27"/>
        <v>Base_With Amendment</v>
      </c>
      <c r="D582" s="118" t="s">
        <v>140</v>
      </c>
      <c r="E582" s="118" t="s">
        <v>130</v>
      </c>
      <c r="F582" s="118" t="s">
        <v>46</v>
      </c>
      <c r="G582" s="153"/>
      <c r="H582" s="155">
        <v>4.4999999999999997E-3</v>
      </c>
      <c r="I582" s="154" t="s">
        <v>168</v>
      </c>
      <c r="J582" s="204">
        <v>2.4599999999999999E-3</v>
      </c>
      <c r="K582" s="154" t="s">
        <v>25</v>
      </c>
      <c r="L582" s="154" t="str">
        <f>IF(OpenLCAbasic!K582="CTUh", "Fill in Manually",IF(OR(K582="Unit", K582=""), "", INDEX(LookUps!$E$5:$E$12, MATCH(OpenLCAbasic!K582,LookUps!$D$5:$D$12,0))))</f>
        <v>Smog Formation Potential (SFP) - kg O3 eq</v>
      </c>
      <c r="M582" s="154" t="str">
        <f t="shared" si="26"/>
        <v>Base_High_High_Upgraded_Smog Formation Potential (SFP) - kg O3 eq_ClearCove SCP; wastewater treatment unit; at updated plant - US_Base_With Amendment_Windrow</v>
      </c>
    </row>
    <row r="583" spans="1:13" s="120" customFormat="1" x14ac:dyDescent="0.25">
      <c r="A583" s="119"/>
      <c r="B583" s="138" t="str">
        <f t="shared" ref="B583:B646" si="28">IF(F583="Legacy","n.a.",IF(F583="","","Windrow"))</f>
        <v>Windrow</v>
      </c>
      <c r="C583" s="138" t="str">
        <f t="shared" si="27"/>
        <v>Base_With Amendment</v>
      </c>
      <c r="D583" s="118" t="s">
        <v>140</v>
      </c>
      <c r="E583" s="118" t="s">
        <v>130</v>
      </c>
      <c r="F583" s="118" t="s">
        <v>46</v>
      </c>
      <c r="G583" s="153"/>
      <c r="H583" s="155">
        <v>3.5999999999999999E-3</v>
      </c>
      <c r="I583" s="154" t="s">
        <v>271</v>
      </c>
      <c r="J583" s="204">
        <v>1.9599999999999999E-3</v>
      </c>
      <c r="K583" s="154" t="s">
        <v>25</v>
      </c>
      <c r="L583" s="154" t="str">
        <f>IF(OpenLCAbasic!K583="CTUh", "Fill in Manually",IF(OR(K583="Unit", K583=""), "", INDEX(LookUps!$E$5:$E$12, MATCH(OpenLCAbasic!K583,LookUps!$D$5:$D$12,0))))</f>
        <v>Smog Formation Potential (SFP) - kg O3 eq</v>
      </c>
      <c r="M583" s="154" t="str">
        <f t="shared" si="26"/>
        <v>Base_High_High_Upgraded_Smog Formation Potential (SFP) - kg O3 eq_Biosolids composting; windrow composting; wastewater treatment unit; at updated plant - US_Base_With Amendment_Windrow</v>
      </c>
    </row>
    <row r="584" spans="1:13" s="120" customFormat="1" x14ac:dyDescent="0.25">
      <c r="A584" s="119"/>
      <c r="B584" s="138" t="str">
        <f t="shared" si="28"/>
        <v>Windrow</v>
      </c>
      <c r="C584" s="138" t="str">
        <f t="shared" si="27"/>
        <v>Base_With Amendment</v>
      </c>
      <c r="D584" s="118" t="s">
        <v>140</v>
      </c>
      <c r="E584" s="118" t="s">
        <v>130</v>
      </c>
      <c r="F584" s="118" t="s">
        <v>46</v>
      </c>
      <c r="G584" s="153"/>
      <c r="H584" s="155">
        <v>1E-3</v>
      </c>
      <c r="I584" s="154" t="s">
        <v>148</v>
      </c>
      <c r="J584" s="204">
        <v>5.4000000000000001E-4</v>
      </c>
      <c r="K584" s="154" t="s">
        <v>25</v>
      </c>
      <c r="L584" s="154" t="str">
        <f>IF(OpenLCAbasic!K584="CTUh", "Fill in Manually",IF(OR(K584="Unit", K584=""), "", INDEX(LookUps!$E$5:$E$12, MATCH(OpenLCAbasic!K584,LookUps!$D$5:$D$12,0))))</f>
        <v>Smog Formation Potential (SFP) - kg O3 eq</v>
      </c>
      <c r="M584" s="154" t="str">
        <f t="shared" ref="M584:M647" si="29">CONCATENATE(E584,"_",D584,"_",F584,"_",L584, "_",I584,"_", C584,"_", B584)</f>
        <v>Base_High_High_Upgraded_Smog Formation Potential (SFP) - kg O3 eq_Control Building; at upgraded wastewater treatment plant - US_Base_With Amendment_Windrow</v>
      </c>
    </row>
    <row r="585" spans="1:13" s="120" customFormat="1" x14ac:dyDescent="0.25">
      <c r="A585" s="119"/>
      <c r="B585" s="138" t="str">
        <f t="shared" si="28"/>
        <v>Windrow</v>
      </c>
      <c r="C585" s="138" t="str">
        <f t="shared" si="27"/>
        <v>Base_With Amendment</v>
      </c>
      <c r="D585" s="118" t="s">
        <v>140</v>
      </c>
      <c r="E585" s="118" t="s">
        <v>130</v>
      </c>
      <c r="F585" s="118" t="s">
        <v>46</v>
      </c>
      <c r="G585" s="153"/>
      <c r="H585" s="155">
        <v>-9.1000000000000004E-3</v>
      </c>
      <c r="I585" s="154" t="s">
        <v>62</v>
      </c>
      <c r="J585" s="204">
        <v>-4.9699999999999996E-3</v>
      </c>
      <c r="K585" s="154" t="s">
        <v>25</v>
      </c>
      <c r="L585" s="154" t="str">
        <f>IF(OpenLCAbasic!K585="CTUh", "Fill in Manually",IF(OR(K585="Unit", K585=""), "", INDEX(LookUps!$E$5:$E$12, MATCH(OpenLCAbasic!K585,LookUps!$D$5:$D$12,0))))</f>
        <v>Smog Formation Potential (SFP) - kg O3 eq</v>
      </c>
      <c r="M585" s="154" t="str">
        <f t="shared" si="29"/>
        <v>Base_High_High_Upgraded_Smog Formation Potential (SFP) - kg O3 eq_Land application of compost; wastewater treatment unit; at updated plant - US_Base_With Amendment_Windrow</v>
      </c>
    </row>
    <row r="586" spans="1:13" s="120" customFormat="1" x14ac:dyDescent="0.25">
      <c r="A586" s="119"/>
      <c r="B586" s="138" t="str">
        <f t="shared" si="28"/>
        <v>Windrow</v>
      </c>
      <c r="C586" s="138" t="str">
        <f t="shared" si="27"/>
        <v>Base_With Amendment</v>
      </c>
      <c r="D586" s="118" t="s">
        <v>140</v>
      </c>
      <c r="E586" s="118" t="s">
        <v>130</v>
      </c>
      <c r="F586" s="118" t="s">
        <v>46</v>
      </c>
      <c r="G586" s="153"/>
      <c r="H586" s="155">
        <v>-1.6963999999999999</v>
      </c>
      <c r="I586" s="154" t="s">
        <v>149</v>
      </c>
      <c r="J586" s="203">
        <v>-0.93125999999999998</v>
      </c>
      <c r="K586" s="154" t="s">
        <v>25</v>
      </c>
      <c r="L586" s="154" t="str">
        <f>IF(OpenLCAbasic!K586="CTUh", "Fill in Manually",IF(OR(K586="Unit", K586=""), "", INDEX(LookUps!$E$5:$E$12, MATCH(OpenLCAbasic!K586,LookUps!$D$5:$D$12,0))))</f>
        <v>Smog Formation Potential (SFP) - kg O3 eq</v>
      </c>
      <c r="M586" s="154" t="str">
        <f t="shared" si="29"/>
        <v>Base_High_High_Upgraded_Smog Formation Potential (SFP) - kg O3 eq_Anaerobic Digestion; wastewater treatment unit; at updated plant - US_Base_With Amendment_Windrow</v>
      </c>
    </row>
    <row r="587" spans="1:13" s="120" customFormat="1" x14ac:dyDescent="0.25">
      <c r="A587" s="119"/>
      <c r="B587" s="138" t="str">
        <f t="shared" si="28"/>
        <v/>
      </c>
      <c r="C587" s="138" t="str">
        <f t="shared" si="27"/>
        <v>Base_With Amendment</v>
      </c>
      <c r="D587" s="118"/>
      <c r="E587" s="118" t="s">
        <v>130</v>
      </c>
      <c r="F587" s="118"/>
      <c r="G587" s="153" t="s">
        <v>51</v>
      </c>
      <c r="H587" s="155"/>
      <c r="I587" s="154" t="s">
        <v>47</v>
      </c>
      <c r="J587" s="154" t="s">
        <v>52</v>
      </c>
      <c r="K587" s="154" t="s">
        <v>27</v>
      </c>
      <c r="L587" s="154" t="str">
        <f>IF(OpenLCAbasic!K587="CTUh", "Fill in Manually",IF(OR(K587="Unit", K587=""), "", INDEX(LookUps!$E$5:$E$12, MATCH(OpenLCAbasic!K587,LookUps!$D$5:$D$12,0))))</f>
        <v/>
      </c>
      <c r="M587" s="154" t="str">
        <f t="shared" si="29"/>
        <v>Base____Process_Base_With Amendment_</v>
      </c>
    </row>
    <row r="588" spans="1:13" s="120" customFormat="1" x14ac:dyDescent="0.25">
      <c r="A588" s="119"/>
      <c r="B588" s="138" t="str">
        <f t="shared" si="28"/>
        <v>Windrow</v>
      </c>
      <c r="C588" s="138" t="str">
        <f t="shared" si="27"/>
        <v>Base_With Amendment</v>
      </c>
      <c r="D588" s="118" t="s">
        <v>140</v>
      </c>
      <c r="E588" s="118" t="s">
        <v>130</v>
      </c>
      <c r="F588" s="118" t="s">
        <v>46</v>
      </c>
      <c r="G588" s="153"/>
      <c r="H588" s="155">
        <v>0.30499999999999999</v>
      </c>
      <c r="I588" s="154" t="s">
        <v>167</v>
      </c>
      <c r="J588" s="204">
        <v>3.4000000000000002E-4</v>
      </c>
      <c r="K588" s="154" t="s">
        <v>26</v>
      </c>
      <c r="L588" s="154" t="str">
        <f>IF(OpenLCAbasic!K588="CTUh", "Fill in Manually",IF(OR(K588="Unit", K588=""), "", INDEX(LookUps!$E$5:$E$12, MATCH(OpenLCAbasic!K588,LookUps!$D$5:$D$12,0))))</f>
        <v>Water Use (WU) - m3 H2O</v>
      </c>
      <c r="M588" s="154" t="str">
        <f t="shared" si="29"/>
        <v>Base_High_High_Upgraded_Water Use (WU) - m3 H2O_Waste Receiving and Holding; wastewater treatment unit; at updated plant - US_Base_With Amendment_Windrow</v>
      </c>
    </row>
    <row r="589" spans="1:13" s="120" customFormat="1" x14ac:dyDescent="0.25">
      <c r="A589" s="119"/>
      <c r="B589" s="138" t="str">
        <f t="shared" si="28"/>
        <v>Windrow</v>
      </c>
      <c r="C589" s="138" t="str">
        <f t="shared" si="27"/>
        <v>Base_With Amendment</v>
      </c>
      <c r="D589" s="118" t="s">
        <v>140</v>
      </c>
      <c r="E589" s="118" t="s">
        <v>130</v>
      </c>
      <c r="F589" s="118" t="s">
        <v>46</v>
      </c>
      <c r="G589" s="153"/>
      <c r="H589" s="155">
        <v>0.16689999999999999</v>
      </c>
      <c r="I589" s="154" t="s">
        <v>147</v>
      </c>
      <c r="J589" s="204">
        <v>1.8000000000000001E-4</v>
      </c>
      <c r="K589" s="154" t="s">
        <v>26</v>
      </c>
      <c r="L589" s="154" t="str">
        <f>IF(OpenLCAbasic!K589="CTUh", "Fill in Manually",IF(OR(K589="Unit", K589=""), "", INDEX(LookUps!$E$5:$E$12, MATCH(OpenLCAbasic!K589,LookUps!$D$5:$D$12,0))))</f>
        <v>Water Use (WU) - m3 H2O</v>
      </c>
      <c r="M589" s="154" t="str">
        <f t="shared" si="29"/>
        <v>Base_High_High_Upgraded_Water Use (WU) - m3 H2O_Influent Pump Station; wastewater treatment unit; at updated plant - US_Base_With Amendment_Windrow</v>
      </c>
    </row>
    <row r="590" spans="1:13" s="120" customFormat="1" x14ac:dyDescent="0.25">
      <c r="A590" s="119"/>
      <c r="B590" s="138" t="str">
        <f t="shared" si="28"/>
        <v>Windrow</v>
      </c>
      <c r="C590" s="138" t="str">
        <f t="shared" si="27"/>
        <v>Base_With Amendment</v>
      </c>
      <c r="D590" s="118" t="s">
        <v>140</v>
      </c>
      <c r="E590" s="118" t="s">
        <v>130</v>
      </c>
      <c r="F590" s="118" t="s">
        <v>46</v>
      </c>
      <c r="G590" s="153"/>
      <c r="H590" s="155">
        <v>0.1628</v>
      </c>
      <c r="I590" s="154" t="s">
        <v>54</v>
      </c>
      <c r="J590" s="204">
        <v>1.8000000000000001E-4</v>
      </c>
      <c r="K590" s="154" t="s">
        <v>26</v>
      </c>
      <c r="L590" s="154" t="str">
        <f>IF(OpenLCAbasic!K590="CTUh", "Fill in Manually",IF(OR(K590="Unit", K590=""), "", INDEX(LookUps!$E$5:$E$12, MATCH(OpenLCAbasic!K590,LookUps!$D$5:$D$12,0))))</f>
        <v>Water Use (WU) - m3 H2O</v>
      </c>
      <c r="M590" s="154" t="str">
        <f t="shared" si="29"/>
        <v>Base_High_High_Upgraded_Water Use (WU) - m3 H2O_Clear Cove Primary Clarification; wastewater treatment unit; at updated plant - US_Base_With Amendment_Windrow</v>
      </c>
    </row>
    <row r="591" spans="1:13" s="120" customFormat="1" x14ac:dyDescent="0.25">
      <c r="A591" s="119"/>
      <c r="B591" s="138" t="str">
        <f t="shared" si="28"/>
        <v>Windrow</v>
      </c>
      <c r="C591" s="138" t="str">
        <f t="shared" si="27"/>
        <v>Base_With Amendment</v>
      </c>
      <c r="D591" s="118" t="s">
        <v>140</v>
      </c>
      <c r="E591" s="118" t="s">
        <v>130</v>
      </c>
      <c r="F591" s="118" t="s">
        <v>46</v>
      </c>
      <c r="G591" s="153"/>
      <c r="H591" s="155">
        <v>0.1477</v>
      </c>
      <c r="I591" s="154" t="s">
        <v>55</v>
      </c>
      <c r="J591" s="204">
        <v>1.6000000000000001E-4</v>
      </c>
      <c r="K591" s="154" t="s">
        <v>26</v>
      </c>
      <c r="L591" s="154" t="str">
        <f>IF(OpenLCAbasic!K591="CTUh", "Fill in Manually",IF(OR(K591="Unit", K591=""), "", INDEX(LookUps!$E$5:$E$12, MATCH(OpenLCAbasic!K591,LookUps!$D$5:$D$12,0))))</f>
        <v>Water Use (WU) - m3 H2O</v>
      </c>
      <c r="M591" s="154" t="str">
        <f t="shared" si="29"/>
        <v>Base_High_High_Upgraded_Water Use (WU) - m3 H2O_Aeration Tanks; wastewater treatment unit; at updated plant - US_Base_With Amendment_Windrow</v>
      </c>
    </row>
    <row r="592" spans="1:13" s="120" customFormat="1" x14ac:dyDescent="0.25">
      <c r="A592" s="119"/>
      <c r="B592" s="138" t="str">
        <f t="shared" si="28"/>
        <v>Windrow</v>
      </c>
      <c r="C592" s="138" t="str">
        <f t="shared" si="27"/>
        <v>Base_With Amendment</v>
      </c>
      <c r="D592" s="118" t="s">
        <v>140</v>
      </c>
      <c r="E592" s="118" t="s">
        <v>130</v>
      </c>
      <c r="F592" s="118" t="s">
        <v>46</v>
      </c>
      <c r="G592" s="153"/>
      <c r="H592" s="155">
        <v>0.1346</v>
      </c>
      <c r="I592" s="154" t="s">
        <v>148</v>
      </c>
      <c r="J592" s="204">
        <v>1.4999999999999999E-4</v>
      </c>
      <c r="K592" s="154" t="s">
        <v>26</v>
      </c>
      <c r="L592" s="154" t="str">
        <f>IF(OpenLCAbasic!K592="CTUh", "Fill in Manually",IF(OR(K592="Unit", K592=""), "", INDEX(LookUps!$E$5:$E$12, MATCH(OpenLCAbasic!K592,LookUps!$D$5:$D$12,0))))</f>
        <v>Water Use (WU) - m3 H2O</v>
      </c>
      <c r="M592" s="154" t="str">
        <f t="shared" si="29"/>
        <v>Base_High_High_Upgraded_Water Use (WU) - m3 H2O_Control Building; at upgraded wastewater treatment plant - US_Base_With Amendment_Windrow</v>
      </c>
    </row>
    <row r="593" spans="1:13" s="120" customFormat="1" x14ac:dyDescent="0.25">
      <c r="A593" s="119"/>
      <c r="B593" s="138" t="str">
        <f t="shared" si="28"/>
        <v>Windrow</v>
      </c>
      <c r="C593" s="138" t="str">
        <f t="shared" si="27"/>
        <v>Base_With Amendment</v>
      </c>
      <c r="D593" s="118" t="s">
        <v>140</v>
      </c>
      <c r="E593" s="118" t="s">
        <v>130</v>
      </c>
      <c r="F593" s="118" t="s">
        <v>46</v>
      </c>
      <c r="G593" s="153"/>
      <c r="H593" s="155">
        <v>6.25E-2</v>
      </c>
      <c r="I593" s="154" t="s">
        <v>48</v>
      </c>
      <c r="J593" s="204">
        <v>6.8836400000000004E-5</v>
      </c>
      <c r="K593" s="154" t="s">
        <v>26</v>
      </c>
      <c r="L593" s="154" t="str">
        <f>IF(OpenLCAbasic!K593="CTUh", "Fill in Manually",IF(OR(K593="Unit", K593=""), "", INDEX(LookUps!$E$5:$E$12, MATCH(OpenLCAbasic!K593,LookUps!$D$5:$D$12,0))))</f>
        <v>Water Use (WU) - m3 H2O</v>
      </c>
      <c r="M593" s="154" t="str">
        <f t="shared" si="29"/>
        <v>Base_High_High_Upgraded_Water Use (WU) - m3 H2O_Effluent release; wastewater treatment unit; at surface water; m3 wastewater - US_Base_With Amendment_Windrow</v>
      </c>
    </row>
    <row r="594" spans="1:13" s="120" customFormat="1" x14ac:dyDescent="0.25">
      <c r="A594" s="119"/>
      <c r="B594" s="138" t="str">
        <f t="shared" si="28"/>
        <v>Windrow</v>
      </c>
      <c r="C594" s="138" t="str">
        <f t="shared" si="27"/>
        <v>Base_With Amendment</v>
      </c>
      <c r="D594" s="118" t="s">
        <v>140</v>
      </c>
      <c r="E594" s="118" t="s">
        <v>130</v>
      </c>
      <c r="F594" s="118" t="s">
        <v>46</v>
      </c>
      <c r="G594" s="153"/>
      <c r="H594" s="155">
        <v>3.9300000000000002E-2</v>
      </c>
      <c r="I594" s="154" t="s">
        <v>58</v>
      </c>
      <c r="J594" s="204">
        <v>4.3289399999999999E-5</v>
      </c>
      <c r="K594" s="154" t="s">
        <v>26</v>
      </c>
      <c r="L594" s="154" t="str">
        <f>IF(OpenLCAbasic!K594="CTUh", "Fill in Manually",IF(OR(K594="Unit", K594=""), "", INDEX(LookUps!$E$5:$E$12, MATCH(OpenLCAbasic!K594,LookUps!$D$5:$D$12,0))))</f>
        <v>Water Use (WU) - m3 H2O</v>
      </c>
      <c r="M594" s="154" t="str">
        <f t="shared" si="29"/>
        <v>Base_High_High_Upgraded_Water Use (WU) - m3 H2O_Pre-Anoxic &amp; Swing tank; wastewater treatment unit; at updated plant - US_Base_With Amendment_Windrow</v>
      </c>
    </row>
    <row r="595" spans="1:13" s="120" customFormat="1" x14ac:dyDescent="0.25">
      <c r="A595" s="119"/>
      <c r="B595" s="138" t="str">
        <f t="shared" si="28"/>
        <v>Windrow</v>
      </c>
      <c r="C595" s="138" t="str">
        <f t="shared" si="27"/>
        <v>Base_With Amendment</v>
      </c>
      <c r="D595" s="118" t="s">
        <v>140</v>
      </c>
      <c r="E595" s="118" t="s">
        <v>130</v>
      </c>
      <c r="F595" s="118" t="s">
        <v>46</v>
      </c>
      <c r="G595" s="153"/>
      <c r="H595" s="155">
        <v>3.5700000000000003E-2</v>
      </c>
      <c r="I595" s="154" t="s">
        <v>60</v>
      </c>
      <c r="J595" s="204">
        <v>3.9294400000000001E-5</v>
      </c>
      <c r="K595" s="154" t="s">
        <v>26</v>
      </c>
      <c r="L595" s="154" t="str">
        <f>IF(OpenLCAbasic!K595="CTUh", "Fill in Manually",IF(OR(K595="Unit", K595=""), "", INDEX(LookUps!$E$5:$E$12, MATCH(OpenLCAbasic!K595,LookUps!$D$5:$D$12,0))))</f>
        <v>Water Use (WU) - m3 H2O</v>
      </c>
      <c r="M595" s="154" t="str">
        <f t="shared" si="29"/>
        <v>Base_High_High_Upgraded_Water Use (WU) - m3 H2O_Belt filter press; wastewater treatment unit; at updated plant - US_Base_With Amendment_Windrow</v>
      </c>
    </row>
    <row r="596" spans="1:13" s="120" customFormat="1" x14ac:dyDescent="0.25">
      <c r="A596" s="119"/>
      <c r="B596" s="138" t="str">
        <f t="shared" si="28"/>
        <v>Windrow</v>
      </c>
      <c r="C596" s="138" t="str">
        <f t="shared" si="27"/>
        <v>Base_With Amendment</v>
      </c>
      <c r="D596" s="118" t="s">
        <v>140</v>
      </c>
      <c r="E596" s="118" t="s">
        <v>130</v>
      </c>
      <c r="F596" s="118" t="s">
        <v>46</v>
      </c>
      <c r="G596" s="153"/>
      <c r="H596" s="155">
        <v>2.76E-2</v>
      </c>
      <c r="I596" s="154" t="s">
        <v>57</v>
      </c>
      <c r="J596" s="204">
        <v>3.0408100000000001E-5</v>
      </c>
      <c r="K596" s="154" t="s">
        <v>26</v>
      </c>
      <c r="L596" s="154" t="str">
        <f>IF(OpenLCAbasic!K596="CTUh", "Fill in Manually",IF(OR(K596="Unit", K596=""), "", INDEX(LookUps!$E$5:$E$12, MATCH(OpenLCAbasic!K596,LookUps!$D$5:$D$12,0))))</f>
        <v>Water Use (WU) - m3 H2O</v>
      </c>
      <c r="M596" s="154" t="str">
        <f t="shared" si="29"/>
        <v>Base_High_High_Upgraded_Water Use (WU) - m3 H2O_Gravity Belt Thickener; wastewater treatment unit; at updated plant - US_Base_With Amendment_Windrow</v>
      </c>
    </row>
    <row r="597" spans="1:13" s="120" customFormat="1" x14ac:dyDescent="0.25">
      <c r="A597" s="119"/>
      <c r="B597" s="138" t="str">
        <f t="shared" si="28"/>
        <v>Windrow</v>
      </c>
      <c r="C597" s="138" t="str">
        <f t="shared" si="27"/>
        <v>Base_With Amendment</v>
      </c>
      <c r="D597" s="118" t="s">
        <v>140</v>
      </c>
      <c r="E597" s="118" t="s">
        <v>130</v>
      </c>
      <c r="F597" s="118" t="s">
        <v>46</v>
      </c>
      <c r="G597" s="153"/>
      <c r="H597" s="155">
        <v>1.5900000000000001E-2</v>
      </c>
      <c r="I597" s="154" t="s">
        <v>53</v>
      </c>
      <c r="J597" s="204">
        <v>1.75069E-5</v>
      </c>
      <c r="K597" s="154" t="s">
        <v>26</v>
      </c>
      <c r="L597" s="154" t="str">
        <f>IF(OpenLCAbasic!K597="CTUh", "Fill in Manually",IF(OR(K597="Unit", K597=""), "", INDEX(LookUps!$E$5:$E$12, MATCH(OpenLCAbasic!K597,LookUps!$D$5:$D$12,0))))</f>
        <v>Water Use (WU) - m3 H2O</v>
      </c>
      <c r="M597" s="154" t="str">
        <f t="shared" si="29"/>
        <v>Base_High_High_Upgraded_Water Use (WU) - m3 H2O_Wet Well and Sump Station; wastewater treatment unit; at updated plant - US_Base_With Amendment_Windrow</v>
      </c>
    </row>
    <row r="598" spans="1:13" s="120" customFormat="1" x14ac:dyDescent="0.25">
      <c r="A598" s="119"/>
      <c r="B598" s="138" t="str">
        <f t="shared" si="28"/>
        <v>Windrow</v>
      </c>
      <c r="C598" s="138" t="str">
        <f t="shared" si="27"/>
        <v>Base_With Amendment</v>
      </c>
      <c r="D598" s="118" t="s">
        <v>140</v>
      </c>
      <c r="E598" s="118" t="s">
        <v>130</v>
      </c>
      <c r="F598" s="118" t="s">
        <v>46</v>
      </c>
      <c r="G598" s="153"/>
      <c r="H598" s="155">
        <v>6.4000000000000003E-3</v>
      </c>
      <c r="I598" s="154" t="s">
        <v>59</v>
      </c>
      <c r="J598" s="204">
        <v>7.0179500000000003E-6</v>
      </c>
      <c r="K598" s="154" t="s">
        <v>26</v>
      </c>
      <c r="L598" s="154" t="str">
        <f>IF(OpenLCAbasic!K598="CTUh", "Fill in Manually",IF(OR(K598="Unit", K598=""), "", INDEX(LookUps!$E$5:$E$12, MATCH(OpenLCAbasic!K598,LookUps!$D$5:$D$12,0))))</f>
        <v>Water Use (WU) - m3 H2O</v>
      </c>
      <c r="M598" s="154" t="str">
        <f t="shared" si="29"/>
        <v>Base_High_High_Upgraded_Water Use (WU) - m3 H2O_Blend Tank; wastewater treatment unit; at updated plant - US_Base_With Amendment_Windrow</v>
      </c>
    </row>
    <row r="599" spans="1:13" s="120" customFormat="1" x14ac:dyDescent="0.25">
      <c r="A599" s="119"/>
      <c r="B599" s="138" t="str">
        <f t="shared" si="28"/>
        <v>Windrow</v>
      </c>
      <c r="C599" s="138" t="str">
        <f t="shared" si="27"/>
        <v>Base_With Amendment</v>
      </c>
      <c r="D599" s="118" t="s">
        <v>140</v>
      </c>
      <c r="E599" s="118" t="s">
        <v>130</v>
      </c>
      <c r="F599" s="118" t="s">
        <v>46</v>
      </c>
      <c r="G599" s="153"/>
      <c r="H599" s="155">
        <v>4.5999999999999999E-3</v>
      </c>
      <c r="I599" s="154" t="s">
        <v>128</v>
      </c>
      <c r="J599" s="204">
        <v>5.0608900000000003E-6</v>
      </c>
      <c r="K599" s="154" t="s">
        <v>26</v>
      </c>
      <c r="L599" s="154" t="str">
        <f>IF(OpenLCAbasic!K599="CTUh", "Fill in Manually",IF(OR(K599="Unit", K599=""), "", INDEX(LookUps!$E$5:$E$12, MATCH(OpenLCAbasic!K599,LookUps!$D$5:$D$12,0))))</f>
        <v>Water Use (WU) - m3 H2O</v>
      </c>
      <c r="M599" s="154" t="str">
        <f t="shared" si="29"/>
        <v>Base_High_High_Upgraded_Water Use (WU) - m3 H2O_Wastewater collection; operation and infrastructure; m3 wastewater_Base_With Amendment_Windrow</v>
      </c>
    </row>
    <row r="600" spans="1:13" s="120" customFormat="1" x14ac:dyDescent="0.25">
      <c r="A600" s="119"/>
      <c r="B600" s="138" t="str">
        <f t="shared" si="28"/>
        <v>Windrow</v>
      </c>
      <c r="C600" s="138" t="str">
        <f t="shared" si="27"/>
        <v>Base_With Amendment</v>
      </c>
      <c r="D600" s="118" t="s">
        <v>140</v>
      </c>
      <c r="E600" s="118" t="s">
        <v>130</v>
      </c>
      <c r="F600" s="118" t="s">
        <v>46</v>
      </c>
      <c r="G600" s="153"/>
      <c r="H600" s="155">
        <v>1.6999999999999999E-3</v>
      </c>
      <c r="I600" s="154" t="s">
        <v>271</v>
      </c>
      <c r="J600" s="204">
        <v>1.9172200000000002E-6</v>
      </c>
      <c r="K600" s="154" t="s">
        <v>26</v>
      </c>
      <c r="L600" s="154" t="str">
        <f>IF(OpenLCAbasic!K600="CTUh", "Fill in Manually",IF(OR(K600="Unit", K600=""), "", INDEX(LookUps!$E$5:$E$12, MATCH(OpenLCAbasic!K600,LookUps!$D$5:$D$12,0))))</f>
        <v>Water Use (WU) - m3 H2O</v>
      </c>
      <c r="M600" s="154" t="str">
        <f t="shared" si="29"/>
        <v>Base_High_High_Upgraded_Water Use (WU) - m3 H2O_Biosolids composting; windrow composting; wastewater treatment unit; at updated plant - US_Base_With Amendment_Windrow</v>
      </c>
    </row>
    <row r="601" spans="1:13" s="120" customFormat="1" x14ac:dyDescent="0.25">
      <c r="A601" s="119"/>
      <c r="B601" s="138" t="str">
        <f t="shared" si="28"/>
        <v>Windrow</v>
      </c>
      <c r="C601" s="138" t="str">
        <f t="shared" si="27"/>
        <v>Base_With Amendment</v>
      </c>
      <c r="D601" s="118" t="s">
        <v>140</v>
      </c>
      <c r="E601" s="118" t="s">
        <v>130</v>
      </c>
      <c r="F601" s="118" t="s">
        <v>46</v>
      </c>
      <c r="G601" s="153"/>
      <c r="H601" s="155">
        <v>6.9999999999999999E-4</v>
      </c>
      <c r="I601" s="154" t="s">
        <v>168</v>
      </c>
      <c r="J601" s="204">
        <v>7.6697000000000004E-7</v>
      </c>
      <c r="K601" s="154" t="s">
        <v>26</v>
      </c>
      <c r="L601" s="154" t="str">
        <f>IF(OpenLCAbasic!K601="CTUh", "Fill in Manually",IF(OR(K601="Unit", K601=""), "", INDEX(LookUps!$E$5:$E$12, MATCH(OpenLCAbasic!K601,LookUps!$D$5:$D$12,0))))</f>
        <v>Water Use (WU) - m3 H2O</v>
      </c>
      <c r="M601" s="154" t="str">
        <f t="shared" si="29"/>
        <v>Base_High_High_Upgraded_Water Use (WU) - m3 H2O_ClearCove SCP; wastewater treatment unit; at updated plant - US_Base_With Amendment_Windrow</v>
      </c>
    </row>
    <row r="602" spans="1:13" s="120" customFormat="1" x14ac:dyDescent="0.25">
      <c r="A602" s="119"/>
      <c r="B602" s="138" t="str">
        <f t="shared" si="28"/>
        <v>Windrow</v>
      </c>
      <c r="C602" s="138" t="str">
        <f t="shared" si="27"/>
        <v>Base_With Amendment</v>
      </c>
      <c r="D602" s="118" t="s">
        <v>140</v>
      </c>
      <c r="E602" s="118" t="s">
        <v>130</v>
      </c>
      <c r="F602" s="118" t="s">
        <v>46</v>
      </c>
      <c r="G602" s="153"/>
      <c r="H602" s="155">
        <v>-0.24440000000000001</v>
      </c>
      <c r="I602" s="154" t="s">
        <v>149</v>
      </c>
      <c r="J602" s="204">
        <v>-2.7E-4</v>
      </c>
      <c r="K602" s="154" t="s">
        <v>26</v>
      </c>
      <c r="L602" s="154" t="str">
        <f>IF(OpenLCAbasic!K602="CTUh", "Fill in Manually",IF(OR(K602="Unit", K602=""), "", INDEX(LookUps!$E$5:$E$12, MATCH(OpenLCAbasic!K602,LookUps!$D$5:$D$12,0))))</f>
        <v>Water Use (WU) - m3 H2O</v>
      </c>
      <c r="M602" s="154" t="str">
        <f t="shared" si="29"/>
        <v>Base_High_High_Upgraded_Water Use (WU) - m3 H2O_Anaerobic Digestion; wastewater treatment unit; at updated plant - US_Base_With Amendment_Windrow</v>
      </c>
    </row>
    <row r="603" spans="1:13" s="120" customFormat="1" x14ac:dyDescent="0.25">
      <c r="A603" s="119"/>
      <c r="B603" s="138" t="str">
        <f t="shared" si="28"/>
        <v>Windrow</v>
      </c>
      <c r="C603" s="138" t="str">
        <f t="shared" si="27"/>
        <v>Base_With Amendment</v>
      </c>
      <c r="D603" s="118" t="s">
        <v>140</v>
      </c>
      <c r="E603" s="118" t="s">
        <v>130</v>
      </c>
      <c r="F603" s="118" t="s">
        <v>46</v>
      </c>
      <c r="G603" s="153"/>
      <c r="H603" s="155">
        <v>-1.8669</v>
      </c>
      <c r="I603" s="154" t="s">
        <v>62</v>
      </c>
      <c r="J603" s="204">
        <v>-2.0600000000000002E-3</v>
      </c>
      <c r="K603" s="154" t="s">
        <v>26</v>
      </c>
      <c r="L603" s="154" t="str">
        <f>IF(OpenLCAbasic!K603="CTUh", "Fill in Manually",IF(OR(K603="Unit", K603=""), "", INDEX(LookUps!$E$5:$E$12, MATCH(OpenLCAbasic!K603,LookUps!$D$5:$D$12,0))))</f>
        <v>Water Use (WU) - m3 H2O</v>
      </c>
      <c r="M603" s="154" t="str">
        <f t="shared" si="29"/>
        <v>Base_High_High_Upgraded_Water Use (WU) - m3 H2O_Land application of compost; wastewater treatment unit; at updated plant - US_Base_With Amendment_Windrow</v>
      </c>
    </row>
    <row r="604" spans="1:13" s="120" customFormat="1" x14ac:dyDescent="0.25">
      <c r="A604" s="119"/>
      <c r="B604" s="138" t="str">
        <f t="shared" si="28"/>
        <v/>
      </c>
      <c r="C604" s="138" t="str">
        <f t="shared" si="27"/>
        <v>Base_With Amendment</v>
      </c>
      <c r="D604" s="118"/>
      <c r="E604" s="118" t="s">
        <v>130</v>
      </c>
      <c r="F604" s="118"/>
      <c r="G604" s="153" t="s">
        <v>51</v>
      </c>
      <c r="H604" s="155"/>
      <c r="I604" s="154" t="s">
        <v>47</v>
      </c>
      <c r="J604" s="154" t="s">
        <v>52</v>
      </c>
      <c r="K604" s="154" t="s">
        <v>27</v>
      </c>
      <c r="L604" s="154" t="str">
        <f>IF(OpenLCAbasic!K604="CTUh", "Fill in Manually",IF(OR(K604="Unit", K604=""), "", INDEX(LookUps!$E$5:$E$12, MATCH(OpenLCAbasic!K604,LookUps!$D$5:$D$12,0))))</f>
        <v/>
      </c>
      <c r="M604" s="154" t="str">
        <f t="shared" si="29"/>
        <v>Base____Process_Base_With Amendment_</v>
      </c>
    </row>
    <row r="605" spans="1:13" s="120" customFormat="1" x14ac:dyDescent="0.25">
      <c r="A605" s="119"/>
      <c r="B605" s="138" t="str">
        <f t="shared" si="28"/>
        <v>Windrow</v>
      </c>
      <c r="C605" s="138" t="str">
        <f t="shared" si="27"/>
        <v>Base_With Amendment</v>
      </c>
      <c r="D605" s="118" t="s">
        <v>140</v>
      </c>
      <c r="E605" s="118" t="s">
        <v>130</v>
      </c>
      <c r="F605" s="118" t="s">
        <v>46</v>
      </c>
      <c r="G605" s="153"/>
      <c r="H605" s="155">
        <v>0.64139999999999997</v>
      </c>
      <c r="I605" s="154" t="s">
        <v>167</v>
      </c>
      <c r="J605" s="203">
        <v>0.11719</v>
      </c>
      <c r="K605" s="154" t="s">
        <v>14</v>
      </c>
      <c r="L605" s="154" t="str">
        <f>IF(OpenLCAbasic!K605="CTUh", "Fill in Manually",IF(OR(K605="Unit", K605=""), "", INDEX(LookUps!$E$5:$E$12, MATCH(OpenLCAbasic!K605,LookUps!$D$5:$D$12,0))))</f>
        <v>Fossil Depletion Potential (FDP) - kg oil eq</v>
      </c>
      <c r="M605" s="154" t="str">
        <f t="shared" si="29"/>
        <v>Base_High_High_Upgraded_Fossil Depletion Potential (FDP) - kg oil eq_Waste Receiving and Holding; wastewater treatment unit; at updated plant - US_Base_With Amendment_Windrow</v>
      </c>
    </row>
    <row r="606" spans="1:13" s="120" customFormat="1" x14ac:dyDescent="0.25">
      <c r="A606" s="119"/>
      <c r="B606" s="138" t="str">
        <f t="shared" si="28"/>
        <v>Windrow</v>
      </c>
      <c r="C606" s="138" t="str">
        <f t="shared" si="27"/>
        <v>Base_With Amendment</v>
      </c>
      <c r="D606" s="118" t="s">
        <v>140</v>
      </c>
      <c r="E606" s="118" t="s">
        <v>130</v>
      </c>
      <c r="F606" s="118" t="s">
        <v>46</v>
      </c>
      <c r="G606" s="153"/>
      <c r="H606" s="155">
        <v>0.34799999999999998</v>
      </c>
      <c r="I606" s="154" t="s">
        <v>55</v>
      </c>
      <c r="J606" s="203">
        <v>6.3589999999999994E-2</v>
      </c>
      <c r="K606" s="154" t="s">
        <v>14</v>
      </c>
      <c r="L606" s="154" t="str">
        <f>IF(OpenLCAbasic!K606="CTUh", "Fill in Manually",IF(OR(K606="Unit", K606=""), "", INDEX(LookUps!$E$5:$E$12, MATCH(OpenLCAbasic!K606,LookUps!$D$5:$D$12,0))))</f>
        <v>Fossil Depletion Potential (FDP) - kg oil eq</v>
      </c>
      <c r="M606" s="154" t="str">
        <f t="shared" si="29"/>
        <v>Base_High_High_Upgraded_Fossil Depletion Potential (FDP) - kg oil eq_Aeration Tanks; wastewater treatment unit; at updated plant - US_Base_With Amendment_Windrow</v>
      </c>
    </row>
    <row r="607" spans="1:13" s="120" customFormat="1" x14ac:dyDescent="0.25">
      <c r="A607" s="119"/>
      <c r="B607" s="138" t="str">
        <f t="shared" si="28"/>
        <v>Windrow</v>
      </c>
      <c r="C607" s="138" t="str">
        <f t="shared" ref="C607:C637" si="30">IF(E607&lt;&gt;"", "Base_With Amendment","")</f>
        <v>Base_With Amendment</v>
      </c>
      <c r="D607" s="118" t="s">
        <v>140</v>
      </c>
      <c r="E607" s="118" t="s">
        <v>130</v>
      </c>
      <c r="F607" s="118" t="s">
        <v>46</v>
      </c>
      <c r="G607" s="153"/>
      <c r="H607" s="155">
        <v>0.1152</v>
      </c>
      <c r="I607" s="154" t="s">
        <v>54</v>
      </c>
      <c r="J607" s="203">
        <v>2.1049999999999999E-2</v>
      </c>
      <c r="K607" s="154" t="s">
        <v>14</v>
      </c>
      <c r="L607" s="154" t="str">
        <f>IF(OpenLCAbasic!K607="CTUh", "Fill in Manually",IF(OR(K607="Unit", K607=""), "", INDEX(LookUps!$E$5:$E$12, MATCH(OpenLCAbasic!K607,LookUps!$D$5:$D$12,0))))</f>
        <v>Fossil Depletion Potential (FDP) - kg oil eq</v>
      </c>
      <c r="M607" s="154" t="str">
        <f t="shared" si="29"/>
        <v>Base_High_High_Upgraded_Fossil Depletion Potential (FDP) - kg oil eq_Clear Cove Primary Clarification; wastewater treatment unit; at updated plant - US_Base_With Amendment_Windrow</v>
      </c>
    </row>
    <row r="608" spans="1:13" s="120" customFormat="1" x14ac:dyDescent="0.25">
      <c r="A608" s="119"/>
      <c r="B608" s="138" t="str">
        <f t="shared" si="28"/>
        <v>Windrow</v>
      </c>
      <c r="C608" s="138" t="str">
        <f t="shared" si="30"/>
        <v>Base_With Amendment</v>
      </c>
      <c r="D608" s="118" t="s">
        <v>140</v>
      </c>
      <c r="E608" s="118" t="s">
        <v>130</v>
      </c>
      <c r="F608" s="118" t="s">
        <v>46</v>
      </c>
      <c r="G608" s="153"/>
      <c r="H608" s="155">
        <v>8.7800000000000003E-2</v>
      </c>
      <c r="I608" s="154" t="s">
        <v>58</v>
      </c>
      <c r="J608" s="203">
        <v>1.6039999999999999E-2</v>
      </c>
      <c r="K608" s="154" t="s">
        <v>14</v>
      </c>
      <c r="L608" s="154" t="str">
        <f>IF(OpenLCAbasic!K608="CTUh", "Fill in Manually",IF(OR(K608="Unit", K608=""), "", INDEX(LookUps!$E$5:$E$12, MATCH(OpenLCAbasic!K608,LookUps!$D$5:$D$12,0))))</f>
        <v>Fossil Depletion Potential (FDP) - kg oil eq</v>
      </c>
      <c r="M608" s="154" t="str">
        <f t="shared" si="29"/>
        <v>Base_High_High_Upgraded_Fossil Depletion Potential (FDP) - kg oil eq_Pre-Anoxic &amp; Swing tank; wastewater treatment unit; at updated plant - US_Base_With Amendment_Windrow</v>
      </c>
    </row>
    <row r="609" spans="1:13" s="120" customFormat="1" x14ac:dyDescent="0.25">
      <c r="A609" s="119"/>
      <c r="B609" s="138" t="str">
        <f t="shared" si="28"/>
        <v>Windrow</v>
      </c>
      <c r="C609" s="138" t="str">
        <f t="shared" si="30"/>
        <v>Base_With Amendment</v>
      </c>
      <c r="D609" s="118" t="s">
        <v>140</v>
      </c>
      <c r="E609" s="118" t="s">
        <v>130</v>
      </c>
      <c r="F609" s="118" t="s">
        <v>46</v>
      </c>
      <c r="G609" s="153"/>
      <c r="H609" s="155">
        <v>8.2600000000000007E-2</v>
      </c>
      <c r="I609" s="154" t="s">
        <v>147</v>
      </c>
      <c r="J609" s="203">
        <v>1.5089999999999999E-2</v>
      </c>
      <c r="K609" s="154" t="s">
        <v>14</v>
      </c>
      <c r="L609" s="154" t="str">
        <f>IF(OpenLCAbasic!K609="CTUh", "Fill in Manually",IF(OR(K609="Unit", K609=""), "", INDEX(LookUps!$E$5:$E$12, MATCH(OpenLCAbasic!K609,LookUps!$D$5:$D$12,0))))</f>
        <v>Fossil Depletion Potential (FDP) - kg oil eq</v>
      </c>
      <c r="M609" s="154" t="str">
        <f t="shared" si="29"/>
        <v>Base_High_High_Upgraded_Fossil Depletion Potential (FDP) - kg oil eq_Influent Pump Station; wastewater treatment unit; at updated plant - US_Base_With Amendment_Windrow</v>
      </c>
    </row>
    <row r="610" spans="1:13" s="120" customFormat="1" x14ac:dyDescent="0.25">
      <c r="A610" s="119"/>
      <c r="B610" s="138" t="str">
        <f t="shared" si="28"/>
        <v>Windrow</v>
      </c>
      <c r="C610" s="138" t="str">
        <f t="shared" si="30"/>
        <v>Base_With Amendment</v>
      </c>
      <c r="D610" s="118" t="s">
        <v>140</v>
      </c>
      <c r="E610" s="118" t="s">
        <v>130</v>
      </c>
      <c r="F610" s="118" t="s">
        <v>46</v>
      </c>
      <c r="G610" s="153"/>
      <c r="H610" s="155">
        <v>6.8400000000000002E-2</v>
      </c>
      <c r="I610" s="154" t="s">
        <v>53</v>
      </c>
      <c r="J610" s="203">
        <v>1.2489999999999999E-2</v>
      </c>
      <c r="K610" s="154" t="s">
        <v>14</v>
      </c>
      <c r="L610" s="154" t="str">
        <f>IF(OpenLCAbasic!K610="CTUh", "Fill in Manually",IF(OR(K610="Unit", K610=""), "", INDEX(LookUps!$E$5:$E$12, MATCH(OpenLCAbasic!K610,LookUps!$D$5:$D$12,0))))</f>
        <v>Fossil Depletion Potential (FDP) - kg oil eq</v>
      </c>
      <c r="M610" s="154" t="str">
        <f t="shared" si="29"/>
        <v>Base_High_High_Upgraded_Fossil Depletion Potential (FDP) - kg oil eq_Wet Well and Sump Station; wastewater treatment unit; at updated plant - US_Base_With Amendment_Windrow</v>
      </c>
    </row>
    <row r="611" spans="1:13" s="120" customFormat="1" x14ac:dyDescent="0.25">
      <c r="A611" s="119"/>
      <c r="B611" s="138" t="str">
        <f t="shared" si="28"/>
        <v>Windrow</v>
      </c>
      <c r="C611" s="138" t="str">
        <f t="shared" si="30"/>
        <v>Base_With Amendment</v>
      </c>
      <c r="D611" s="118" t="s">
        <v>140</v>
      </c>
      <c r="E611" s="118" t="s">
        <v>130</v>
      </c>
      <c r="F611" s="118" t="s">
        <v>46</v>
      </c>
      <c r="G611" s="153"/>
      <c r="H611" s="155">
        <v>5.7000000000000002E-2</v>
      </c>
      <c r="I611" s="154" t="s">
        <v>60</v>
      </c>
      <c r="J611" s="204">
        <v>1.0410000000000001E-2</v>
      </c>
      <c r="K611" s="154" t="s">
        <v>14</v>
      </c>
      <c r="L611" s="154" t="str">
        <f>IF(OpenLCAbasic!K611="CTUh", "Fill in Manually",IF(OR(K611="Unit", K611=""), "", INDEX(LookUps!$E$5:$E$12, MATCH(OpenLCAbasic!K611,LookUps!$D$5:$D$12,0))))</f>
        <v>Fossil Depletion Potential (FDP) - kg oil eq</v>
      </c>
      <c r="M611" s="154" t="str">
        <f t="shared" si="29"/>
        <v>Base_High_High_Upgraded_Fossil Depletion Potential (FDP) - kg oil eq_Belt filter press; wastewater treatment unit; at updated plant - US_Base_With Amendment_Windrow</v>
      </c>
    </row>
    <row r="612" spans="1:13" s="120" customFormat="1" x14ac:dyDescent="0.25">
      <c r="A612" s="119"/>
      <c r="B612" s="138" t="str">
        <f t="shared" si="28"/>
        <v>Windrow</v>
      </c>
      <c r="C612" s="138" t="str">
        <f t="shared" si="30"/>
        <v>Base_With Amendment</v>
      </c>
      <c r="D612" s="118" t="s">
        <v>140</v>
      </c>
      <c r="E612" s="118" t="s">
        <v>130</v>
      </c>
      <c r="F612" s="118" t="s">
        <v>46</v>
      </c>
      <c r="G612" s="153"/>
      <c r="H612" s="155">
        <v>3.7900000000000003E-2</v>
      </c>
      <c r="I612" s="154" t="s">
        <v>57</v>
      </c>
      <c r="J612" s="204">
        <v>6.9199999999999999E-3</v>
      </c>
      <c r="K612" s="154" t="s">
        <v>14</v>
      </c>
      <c r="L612" s="154" t="str">
        <f>IF(OpenLCAbasic!K612="CTUh", "Fill in Manually",IF(OR(K612="Unit", K612=""), "", INDEX(LookUps!$E$5:$E$12, MATCH(OpenLCAbasic!K612,LookUps!$D$5:$D$12,0))))</f>
        <v>Fossil Depletion Potential (FDP) - kg oil eq</v>
      </c>
      <c r="M612" s="154" t="str">
        <f t="shared" si="29"/>
        <v>Base_High_High_Upgraded_Fossil Depletion Potential (FDP) - kg oil eq_Gravity Belt Thickener; wastewater treatment unit; at updated plant - US_Base_With Amendment_Windrow</v>
      </c>
    </row>
    <row r="613" spans="1:13" s="120" customFormat="1" x14ac:dyDescent="0.25">
      <c r="A613" s="119"/>
      <c r="B613" s="138" t="str">
        <f t="shared" si="28"/>
        <v>Windrow</v>
      </c>
      <c r="C613" s="138" t="str">
        <f t="shared" si="30"/>
        <v>Base_With Amendment</v>
      </c>
      <c r="D613" s="118" t="s">
        <v>140</v>
      </c>
      <c r="E613" s="118" t="s">
        <v>130</v>
      </c>
      <c r="F613" s="118" t="s">
        <v>46</v>
      </c>
      <c r="G613" s="153"/>
      <c r="H613" s="155">
        <v>2.46E-2</v>
      </c>
      <c r="I613" s="154" t="s">
        <v>128</v>
      </c>
      <c r="J613" s="204">
        <v>4.4999999999999997E-3</v>
      </c>
      <c r="K613" s="154" t="s">
        <v>14</v>
      </c>
      <c r="L613" s="154" t="str">
        <f>IF(OpenLCAbasic!K613="CTUh", "Fill in Manually",IF(OR(K613="Unit", K613=""), "", INDEX(LookUps!$E$5:$E$12, MATCH(OpenLCAbasic!K613,LookUps!$D$5:$D$12,0))))</f>
        <v>Fossil Depletion Potential (FDP) - kg oil eq</v>
      </c>
      <c r="M613" s="154" t="str">
        <f t="shared" si="29"/>
        <v>Base_High_High_Upgraded_Fossil Depletion Potential (FDP) - kg oil eq_Wastewater collection; operation and infrastructure; m3 wastewater_Base_With Amendment_Windrow</v>
      </c>
    </row>
    <row r="614" spans="1:13" s="120" customFormat="1" x14ac:dyDescent="0.25">
      <c r="A614" s="119"/>
      <c r="B614" s="138" t="str">
        <f t="shared" si="28"/>
        <v>Windrow</v>
      </c>
      <c r="C614" s="138" t="str">
        <f t="shared" si="30"/>
        <v>Base_With Amendment</v>
      </c>
      <c r="D614" s="118" t="s">
        <v>140</v>
      </c>
      <c r="E614" s="118" t="s">
        <v>130</v>
      </c>
      <c r="F614" s="118" t="s">
        <v>46</v>
      </c>
      <c r="G614" s="153"/>
      <c r="H614" s="155">
        <v>1.5299999999999999E-2</v>
      </c>
      <c r="I614" s="154" t="s">
        <v>148</v>
      </c>
      <c r="J614" s="204">
        <v>2.8E-3</v>
      </c>
      <c r="K614" s="154" t="s">
        <v>14</v>
      </c>
      <c r="L614" s="154" t="str">
        <f>IF(OpenLCAbasic!K614="CTUh", "Fill in Manually",IF(OR(K614="Unit", K614=""), "", INDEX(LookUps!$E$5:$E$12, MATCH(OpenLCAbasic!K614,LookUps!$D$5:$D$12,0))))</f>
        <v>Fossil Depletion Potential (FDP) - kg oil eq</v>
      </c>
      <c r="M614" s="154" t="str">
        <f t="shared" si="29"/>
        <v>Base_High_High_Upgraded_Fossil Depletion Potential (FDP) - kg oil eq_Control Building; at upgraded wastewater treatment plant - US_Base_With Amendment_Windrow</v>
      </c>
    </row>
    <row r="615" spans="1:13" s="120" customFormat="1" x14ac:dyDescent="0.25">
      <c r="A615" s="119"/>
      <c r="B615" s="138" t="str">
        <f t="shared" si="28"/>
        <v>Windrow</v>
      </c>
      <c r="C615" s="138" t="str">
        <f t="shared" si="30"/>
        <v>Base_With Amendment</v>
      </c>
      <c r="D615" s="118" t="s">
        <v>140</v>
      </c>
      <c r="E615" s="118" t="s">
        <v>130</v>
      </c>
      <c r="F615" s="118" t="s">
        <v>46</v>
      </c>
      <c r="G615" s="153"/>
      <c r="H615" s="155">
        <v>1.29E-2</v>
      </c>
      <c r="I615" s="154" t="s">
        <v>48</v>
      </c>
      <c r="J615" s="204">
        <v>2.3600000000000001E-3</v>
      </c>
      <c r="K615" s="154" t="s">
        <v>14</v>
      </c>
      <c r="L615" s="154" t="str">
        <f>IF(OpenLCAbasic!K615="CTUh", "Fill in Manually",IF(OR(K615="Unit", K615=""), "", INDEX(LookUps!$E$5:$E$12, MATCH(OpenLCAbasic!K615,LookUps!$D$5:$D$12,0))))</f>
        <v>Fossil Depletion Potential (FDP) - kg oil eq</v>
      </c>
      <c r="M615" s="154" t="str">
        <f t="shared" si="29"/>
        <v>Base_High_High_Upgraded_Fossil Depletion Potential (FDP) - kg oil eq_Effluent release; wastewater treatment unit; at surface water; m3 wastewater - US_Base_With Amendment_Windrow</v>
      </c>
    </row>
    <row r="616" spans="1:13" s="120" customFormat="1" x14ac:dyDescent="0.25">
      <c r="A616" s="119"/>
      <c r="B616" s="138" t="str">
        <f t="shared" si="28"/>
        <v>Windrow</v>
      </c>
      <c r="C616" s="138" t="str">
        <f t="shared" si="30"/>
        <v>Base_With Amendment</v>
      </c>
      <c r="D616" s="118" t="s">
        <v>140</v>
      </c>
      <c r="E616" s="118" t="s">
        <v>130</v>
      </c>
      <c r="F616" s="118" t="s">
        <v>46</v>
      </c>
      <c r="G616" s="153"/>
      <c r="H616" s="155">
        <v>1.0500000000000001E-2</v>
      </c>
      <c r="I616" s="154" t="s">
        <v>59</v>
      </c>
      <c r="J616" s="204">
        <v>1.92E-3</v>
      </c>
      <c r="K616" s="154" t="s">
        <v>14</v>
      </c>
      <c r="L616" s="154" t="str">
        <f>IF(OpenLCAbasic!K616="CTUh", "Fill in Manually",IF(OR(K616="Unit", K616=""), "", INDEX(LookUps!$E$5:$E$12, MATCH(OpenLCAbasic!K616,LookUps!$D$5:$D$12,0))))</f>
        <v>Fossil Depletion Potential (FDP) - kg oil eq</v>
      </c>
      <c r="M616" s="154" t="str">
        <f t="shared" si="29"/>
        <v>Base_High_High_Upgraded_Fossil Depletion Potential (FDP) - kg oil eq_Blend Tank; wastewater treatment unit; at updated plant - US_Base_With Amendment_Windrow</v>
      </c>
    </row>
    <row r="617" spans="1:13" s="120" customFormat="1" x14ac:dyDescent="0.25">
      <c r="A617" s="119"/>
      <c r="B617" s="138" t="str">
        <f t="shared" si="28"/>
        <v>Windrow</v>
      </c>
      <c r="C617" s="138" t="str">
        <f t="shared" si="30"/>
        <v>Base_With Amendment</v>
      </c>
      <c r="D617" s="118" t="s">
        <v>140</v>
      </c>
      <c r="E617" s="118" t="s">
        <v>130</v>
      </c>
      <c r="F617" s="118" t="s">
        <v>46</v>
      </c>
      <c r="G617" s="153"/>
      <c r="H617" s="155">
        <v>5.0000000000000001E-3</v>
      </c>
      <c r="I617" s="154" t="s">
        <v>168</v>
      </c>
      <c r="J617" s="204">
        <v>9.1E-4</v>
      </c>
      <c r="K617" s="154" t="s">
        <v>14</v>
      </c>
      <c r="L617" s="154" t="str">
        <f>IF(OpenLCAbasic!K617="CTUh", "Fill in Manually",IF(OR(K617="Unit", K617=""), "", INDEX(LookUps!$E$5:$E$12, MATCH(OpenLCAbasic!K617,LookUps!$D$5:$D$12,0))))</f>
        <v>Fossil Depletion Potential (FDP) - kg oil eq</v>
      </c>
      <c r="M617" s="154" t="str">
        <f t="shared" si="29"/>
        <v>Base_High_High_Upgraded_Fossil Depletion Potential (FDP) - kg oil eq_ClearCove SCP; wastewater treatment unit; at updated plant - US_Base_With Amendment_Windrow</v>
      </c>
    </row>
    <row r="618" spans="1:13" s="120" customFormat="1" x14ac:dyDescent="0.25">
      <c r="A618" s="119"/>
      <c r="B618" s="138" t="str">
        <f t="shared" si="28"/>
        <v>Windrow</v>
      </c>
      <c r="C618" s="138" t="str">
        <f t="shared" si="30"/>
        <v>Base_With Amendment</v>
      </c>
      <c r="D618" s="118" t="s">
        <v>140</v>
      </c>
      <c r="E618" s="118" t="s">
        <v>130</v>
      </c>
      <c r="F618" s="118" t="s">
        <v>46</v>
      </c>
      <c r="G618" s="153"/>
      <c r="H618" s="155">
        <v>4.3E-3</v>
      </c>
      <c r="I618" s="154" t="s">
        <v>271</v>
      </c>
      <c r="J618" s="204">
        <v>7.9000000000000001E-4</v>
      </c>
      <c r="K618" s="154" t="s">
        <v>14</v>
      </c>
      <c r="L618" s="154" t="str">
        <f>IF(OpenLCAbasic!K618="CTUh", "Fill in Manually",IF(OR(K618="Unit", K618=""), "", INDEX(LookUps!$E$5:$E$12, MATCH(OpenLCAbasic!K618,LookUps!$D$5:$D$12,0))))</f>
        <v>Fossil Depletion Potential (FDP) - kg oil eq</v>
      </c>
      <c r="M618" s="154" t="str">
        <f t="shared" si="29"/>
        <v>Base_High_High_Upgraded_Fossil Depletion Potential (FDP) - kg oil eq_Biosolids composting; windrow composting; wastewater treatment unit; at updated plant - US_Base_With Amendment_Windrow</v>
      </c>
    </row>
    <row r="619" spans="1:13" s="120" customFormat="1" x14ac:dyDescent="0.25">
      <c r="A619" s="119"/>
      <c r="B619" s="138" t="str">
        <f t="shared" si="28"/>
        <v>Windrow</v>
      </c>
      <c r="C619" s="138" t="str">
        <f t="shared" si="30"/>
        <v>Base_With Amendment</v>
      </c>
      <c r="D619" s="118" t="s">
        <v>140</v>
      </c>
      <c r="E619" s="118" t="s">
        <v>130</v>
      </c>
      <c r="F619" s="118" t="s">
        <v>46</v>
      </c>
      <c r="G619" s="153"/>
      <c r="H619" s="155">
        <v>-6.0299999999999999E-2</v>
      </c>
      <c r="I619" s="154" t="s">
        <v>62</v>
      </c>
      <c r="J619" s="203">
        <v>-1.102E-2</v>
      </c>
      <c r="K619" s="154" t="s">
        <v>14</v>
      </c>
      <c r="L619" s="154" t="str">
        <f>IF(OpenLCAbasic!K619="CTUh", "Fill in Manually",IF(OR(K619="Unit", K619=""), "", INDEX(LookUps!$E$5:$E$12, MATCH(OpenLCAbasic!K619,LookUps!$D$5:$D$12,0))))</f>
        <v>Fossil Depletion Potential (FDP) - kg oil eq</v>
      </c>
      <c r="M619" s="154" t="str">
        <f t="shared" si="29"/>
        <v>Base_High_High_Upgraded_Fossil Depletion Potential (FDP) - kg oil eq_Land application of compost; wastewater treatment unit; at updated plant - US_Base_With Amendment_Windrow</v>
      </c>
    </row>
    <row r="620" spans="1:13" s="120" customFormat="1" x14ac:dyDescent="0.25">
      <c r="A620" s="119"/>
      <c r="B620" s="138" t="str">
        <f t="shared" si="28"/>
        <v>Windrow</v>
      </c>
      <c r="C620" s="138" t="str">
        <f t="shared" si="30"/>
        <v>Base_With Amendment</v>
      </c>
      <c r="D620" s="118" t="s">
        <v>140</v>
      </c>
      <c r="E620" s="118" t="s">
        <v>130</v>
      </c>
      <c r="F620" s="118" t="s">
        <v>46</v>
      </c>
      <c r="G620" s="153"/>
      <c r="H620" s="155">
        <v>-2.4504999999999999</v>
      </c>
      <c r="I620" s="154" t="s">
        <v>149</v>
      </c>
      <c r="J620" s="203">
        <v>-0.44775999999999999</v>
      </c>
      <c r="K620" s="154" t="s">
        <v>14</v>
      </c>
      <c r="L620" s="154" t="str">
        <f>IF(OpenLCAbasic!K620="CTUh", "Fill in Manually",IF(OR(K620="Unit", K620=""), "", INDEX(LookUps!$E$5:$E$12, MATCH(OpenLCAbasic!K620,LookUps!$D$5:$D$12,0))))</f>
        <v>Fossil Depletion Potential (FDP) - kg oil eq</v>
      </c>
      <c r="M620" s="154" t="str">
        <f t="shared" si="29"/>
        <v>Base_High_High_Upgraded_Fossil Depletion Potential (FDP) - kg oil eq_Anaerobic Digestion; wastewater treatment unit; at updated plant - US_Base_With Amendment_Windrow</v>
      </c>
    </row>
    <row r="621" spans="1:13" s="120" customFormat="1" x14ac:dyDescent="0.25">
      <c r="A621" s="119"/>
      <c r="B621" s="138" t="str">
        <f t="shared" si="28"/>
        <v/>
      </c>
      <c r="C621" s="138" t="str">
        <f t="shared" si="30"/>
        <v>Base_With Amendment</v>
      </c>
      <c r="D621" s="118"/>
      <c r="E621" s="118" t="s">
        <v>130</v>
      </c>
      <c r="F621" s="118"/>
      <c r="G621" s="153" t="s">
        <v>51</v>
      </c>
      <c r="H621" s="155"/>
      <c r="I621" s="154" t="s">
        <v>47</v>
      </c>
      <c r="J621" s="154" t="s">
        <v>52</v>
      </c>
      <c r="K621" s="154" t="s">
        <v>27</v>
      </c>
      <c r="L621" s="154" t="str">
        <f>IF(OpenLCAbasic!K621="CTUh", "Fill in Manually",IF(OR(K621="Unit", K621=""), "", INDEX(LookUps!$E$5:$E$12, MATCH(OpenLCAbasic!K621,LookUps!$D$5:$D$12,0))))</f>
        <v/>
      </c>
      <c r="M621" s="154" t="str">
        <f t="shared" si="29"/>
        <v>Base____Process_Base_With Amendment_</v>
      </c>
    </row>
    <row r="622" spans="1:13" s="120" customFormat="1" x14ac:dyDescent="0.25">
      <c r="A622" s="119"/>
      <c r="B622" s="138" t="str">
        <f t="shared" si="28"/>
        <v>Windrow</v>
      </c>
      <c r="C622" s="138" t="str">
        <f t="shared" si="30"/>
        <v>Base_With Amendment</v>
      </c>
      <c r="D622" s="118" t="s">
        <v>140</v>
      </c>
      <c r="E622" s="118" t="s">
        <v>130</v>
      </c>
      <c r="F622" s="118" t="s">
        <v>46</v>
      </c>
      <c r="G622" s="153"/>
      <c r="H622" s="155">
        <v>0.49070000000000003</v>
      </c>
      <c r="I622" s="154" t="s">
        <v>167</v>
      </c>
      <c r="J622" s="157">
        <v>5.1393399999999998</v>
      </c>
      <c r="K622" s="154" t="s">
        <v>15</v>
      </c>
      <c r="L622" s="154" t="str">
        <f>IF(OpenLCAbasic!K622="CTUh", "Fill in Manually",IF(OR(K622="Unit", K622=""), "", INDEX(LookUps!$E$5:$E$12, MATCH(OpenLCAbasic!K622,LookUps!$D$5:$D$12,0))))</f>
        <v>Cumulative Energy Demand (CED) - MJ</v>
      </c>
      <c r="M622" s="154" t="str">
        <f t="shared" si="29"/>
        <v>Base_High_High_Upgraded_Cumulative Energy Demand (CED) - MJ_Waste Receiving and Holding; wastewater treatment unit; at updated plant - US_Base_With Amendment_Windrow</v>
      </c>
    </row>
    <row r="623" spans="1:13" s="120" customFormat="1" x14ac:dyDescent="0.25">
      <c r="A623" s="119"/>
      <c r="B623" s="138" t="str">
        <f t="shared" si="28"/>
        <v>Windrow</v>
      </c>
      <c r="C623" s="138" t="str">
        <f t="shared" si="30"/>
        <v>Base_With Amendment</v>
      </c>
      <c r="D623" s="118" t="s">
        <v>140</v>
      </c>
      <c r="E623" s="118" t="s">
        <v>130</v>
      </c>
      <c r="F623" s="118" t="s">
        <v>46</v>
      </c>
      <c r="G623" s="153"/>
      <c r="H623" s="155">
        <v>0.33729999999999999</v>
      </c>
      <c r="I623" s="154" t="s">
        <v>55</v>
      </c>
      <c r="J623" s="157">
        <v>3.5330499999999998</v>
      </c>
      <c r="K623" s="154" t="s">
        <v>15</v>
      </c>
      <c r="L623" s="154" t="str">
        <f>IF(OpenLCAbasic!K623="CTUh", "Fill in Manually",IF(OR(K623="Unit", K623=""), "", INDEX(LookUps!$E$5:$E$12, MATCH(OpenLCAbasic!K623,LookUps!$D$5:$D$12,0))))</f>
        <v>Cumulative Energy Demand (CED) - MJ</v>
      </c>
      <c r="M623" s="154" t="str">
        <f t="shared" si="29"/>
        <v>Base_High_High_Upgraded_Cumulative Energy Demand (CED) - MJ_Aeration Tanks; wastewater treatment unit; at updated plant - US_Base_With Amendment_Windrow</v>
      </c>
    </row>
    <row r="624" spans="1:13" s="120" customFormat="1" x14ac:dyDescent="0.25">
      <c r="A624" s="119"/>
      <c r="B624" s="138" t="str">
        <f t="shared" si="28"/>
        <v>Windrow</v>
      </c>
      <c r="C624" s="138" t="str">
        <f t="shared" si="30"/>
        <v>Base_With Amendment</v>
      </c>
      <c r="D624" s="118" t="s">
        <v>140</v>
      </c>
      <c r="E624" s="118" t="s">
        <v>130</v>
      </c>
      <c r="F624" s="118" t="s">
        <v>46</v>
      </c>
      <c r="G624" s="153"/>
      <c r="H624" s="155">
        <v>0.111</v>
      </c>
      <c r="I624" s="154" t="s">
        <v>54</v>
      </c>
      <c r="J624" s="157">
        <v>1.16289</v>
      </c>
      <c r="K624" s="154" t="s">
        <v>15</v>
      </c>
      <c r="L624" s="154" t="str">
        <f>IF(OpenLCAbasic!K624="CTUh", "Fill in Manually",IF(OR(K624="Unit", K624=""), "", INDEX(LookUps!$E$5:$E$12, MATCH(OpenLCAbasic!K624,LookUps!$D$5:$D$12,0))))</f>
        <v>Cumulative Energy Demand (CED) - MJ</v>
      </c>
      <c r="M624" s="154" t="str">
        <f t="shared" si="29"/>
        <v>Base_High_High_Upgraded_Cumulative Energy Demand (CED) - MJ_Clear Cove Primary Clarification; wastewater treatment unit; at updated plant - US_Base_With Amendment_Windrow</v>
      </c>
    </row>
    <row r="625" spans="1:13" s="120" customFormat="1" x14ac:dyDescent="0.25">
      <c r="A625" s="119"/>
      <c r="B625" s="138" t="str">
        <f t="shared" si="28"/>
        <v>Windrow</v>
      </c>
      <c r="C625" s="138" t="str">
        <f t="shared" si="30"/>
        <v>Base_With Amendment</v>
      </c>
      <c r="D625" s="118" t="s">
        <v>140</v>
      </c>
      <c r="E625" s="118" t="s">
        <v>130</v>
      </c>
      <c r="F625" s="118" t="s">
        <v>46</v>
      </c>
      <c r="G625" s="153"/>
      <c r="H625" s="155">
        <v>8.5000000000000006E-2</v>
      </c>
      <c r="I625" s="154" t="s">
        <v>58</v>
      </c>
      <c r="J625" s="203">
        <v>0.89063999999999999</v>
      </c>
      <c r="K625" s="154" t="s">
        <v>15</v>
      </c>
      <c r="L625" s="154" t="str">
        <f>IF(OpenLCAbasic!K625="CTUh", "Fill in Manually",IF(OR(K625="Unit", K625=""), "", INDEX(LookUps!$E$5:$E$12, MATCH(OpenLCAbasic!K625,LookUps!$D$5:$D$12,0))))</f>
        <v>Cumulative Energy Demand (CED) - MJ</v>
      </c>
      <c r="M625" s="154" t="str">
        <f t="shared" si="29"/>
        <v>Base_High_High_Upgraded_Cumulative Energy Demand (CED) - MJ_Pre-Anoxic &amp; Swing tank; wastewater treatment unit; at updated plant - US_Base_With Amendment_Windrow</v>
      </c>
    </row>
    <row r="626" spans="1:13" s="120" customFormat="1" x14ac:dyDescent="0.25">
      <c r="A626" s="119"/>
      <c r="B626" s="138" t="str">
        <f t="shared" si="28"/>
        <v>Windrow</v>
      </c>
      <c r="C626" s="138" t="str">
        <f t="shared" si="30"/>
        <v>Base_With Amendment</v>
      </c>
      <c r="D626" s="118" t="s">
        <v>140</v>
      </c>
      <c r="E626" s="118" t="s">
        <v>130</v>
      </c>
      <c r="F626" s="118" t="s">
        <v>46</v>
      </c>
      <c r="G626" s="153"/>
      <c r="H626" s="155">
        <v>8.43E-2</v>
      </c>
      <c r="I626" s="154" t="s">
        <v>147</v>
      </c>
      <c r="J626" s="203">
        <v>0.88297000000000003</v>
      </c>
      <c r="K626" s="154" t="s">
        <v>15</v>
      </c>
      <c r="L626" s="154" t="str">
        <f>IF(OpenLCAbasic!K626="CTUh", "Fill in Manually",IF(OR(K626="Unit", K626=""), "", INDEX(LookUps!$E$5:$E$12, MATCH(OpenLCAbasic!K626,LookUps!$D$5:$D$12,0))))</f>
        <v>Cumulative Energy Demand (CED) - MJ</v>
      </c>
      <c r="M626" s="154" t="str">
        <f t="shared" si="29"/>
        <v>Base_High_High_Upgraded_Cumulative Energy Demand (CED) - MJ_Influent Pump Station; wastewater treatment unit; at updated plant - US_Base_With Amendment_Windrow</v>
      </c>
    </row>
    <row r="627" spans="1:13" s="120" customFormat="1" x14ac:dyDescent="0.25">
      <c r="A627" s="119"/>
      <c r="B627" s="138" t="str">
        <f t="shared" si="28"/>
        <v>Windrow</v>
      </c>
      <c r="C627" s="138" t="str">
        <f t="shared" si="30"/>
        <v>Base_With Amendment</v>
      </c>
      <c r="D627" s="118" t="s">
        <v>140</v>
      </c>
      <c r="E627" s="118" t="s">
        <v>130</v>
      </c>
      <c r="F627" s="118" t="s">
        <v>46</v>
      </c>
      <c r="G627" s="153"/>
      <c r="H627" s="155">
        <v>6.6500000000000004E-2</v>
      </c>
      <c r="I627" s="154" t="s">
        <v>53</v>
      </c>
      <c r="J627" s="203">
        <v>0.69645000000000001</v>
      </c>
      <c r="K627" s="154" t="s">
        <v>15</v>
      </c>
      <c r="L627" s="154" t="str">
        <f>IF(OpenLCAbasic!K627="CTUh", "Fill in Manually",IF(OR(K627="Unit", K627=""), "", INDEX(LookUps!$E$5:$E$12, MATCH(OpenLCAbasic!K627,LookUps!$D$5:$D$12,0))))</f>
        <v>Cumulative Energy Demand (CED) - MJ</v>
      </c>
      <c r="M627" s="154" t="str">
        <f t="shared" si="29"/>
        <v>Base_High_High_Upgraded_Cumulative Energy Demand (CED) - MJ_Wet Well and Sump Station; wastewater treatment unit; at updated plant - US_Base_With Amendment_Windrow</v>
      </c>
    </row>
    <row r="628" spans="1:13" s="120" customFormat="1" x14ac:dyDescent="0.25">
      <c r="A628" s="119"/>
      <c r="B628" s="138" t="str">
        <f t="shared" si="28"/>
        <v>Windrow</v>
      </c>
      <c r="C628" s="138" t="str">
        <f t="shared" si="30"/>
        <v>Base_With Amendment</v>
      </c>
      <c r="D628" s="118" t="s">
        <v>140</v>
      </c>
      <c r="E628" s="118" t="s">
        <v>130</v>
      </c>
      <c r="F628" s="118" t="s">
        <v>46</v>
      </c>
      <c r="G628" s="153"/>
      <c r="H628" s="155">
        <v>4.9299999999999997E-2</v>
      </c>
      <c r="I628" s="154" t="s">
        <v>60</v>
      </c>
      <c r="J628" s="203">
        <v>0.51639000000000002</v>
      </c>
      <c r="K628" s="154" t="s">
        <v>15</v>
      </c>
      <c r="L628" s="154" t="str">
        <f>IF(OpenLCAbasic!K628="CTUh", "Fill in Manually",IF(OR(K628="Unit", K628=""), "", INDEX(LookUps!$E$5:$E$12, MATCH(OpenLCAbasic!K628,LookUps!$D$5:$D$12,0))))</f>
        <v>Cumulative Energy Demand (CED) - MJ</v>
      </c>
      <c r="M628" s="154" t="str">
        <f t="shared" si="29"/>
        <v>Base_High_High_Upgraded_Cumulative Energy Demand (CED) - MJ_Belt filter press; wastewater treatment unit; at updated plant - US_Base_With Amendment_Windrow</v>
      </c>
    </row>
    <row r="629" spans="1:13" s="120" customFormat="1" x14ac:dyDescent="0.25">
      <c r="A629" s="119"/>
      <c r="B629" s="138" t="str">
        <f t="shared" si="28"/>
        <v>Windrow</v>
      </c>
      <c r="C629" s="138" t="str">
        <f t="shared" si="30"/>
        <v>Base_With Amendment</v>
      </c>
      <c r="D629" s="118" t="s">
        <v>140</v>
      </c>
      <c r="E629" s="118" t="s">
        <v>130</v>
      </c>
      <c r="F629" s="118" t="s">
        <v>46</v>
      </c>
      <c r="G629" s="153"/>
      <c r="H629" s="155">
        <v>3.1899999999999998E-2</v>
      </c>
      <c r="I629" s="154" t="s">
        <v>57</v>
      </c>
      <c r="J629" s="203">
        <v>0.33404</v>
      </c>
      <c r="K629" s="154" t="s">
        <v>15</v>
      </c>
      <c r="L629" s="154" t="str">
        <f>IF(OpenLCAbasic!K629="CTUh", "Fill in Manually",IF(OR(K629="Unit", K629=""), "", INDEX(LookUps!$E$5:$E$12, MATCH(OpenLCAbasic!K629,LookUps!$D$5:$D$12,0))))</f>
        <v>Cumulative Energy Demand (CED) - MJ</v>
      </c>
      <c r="M629" s="154" t="str">
        <f t="shared" si="29"/>
        <v>Base_High_High_Upgraded_Cumulative Energy Demand (CED) - MJ_Gravity Belt Thickener; wastewater treatment unit; at updated plant - US_Base_With Amendment_Windrow</v>
      </c>
    </row>
    <row r="630" spans="1:13" s="120" customFormat="1" x14ac:dyDescent="0.25">
      <c r="A630" s="119"/>
      <c r="B630" s="138" t="str">
        <f t="shared" si="28"/>
        <v>Windrow</v>
      </c>
      <c r="C630" s="138" t="str">
        <f t="shared" si="30"/>
        <v>Base_With Amendment</v>
      </c>
      <c r="D630" s="118" t="s">
        <v>140</v>
      </c>
      <c r="E630" s="118" t="s">
        <v>130</v>
      </c>
      <c r="F630" s="118" t="s">
        <v>46</v>
      </c>
      <c r="G630" s="153"/>
      <c r="H630" s="155">
        <v>2.4400000000000002E-2</v>
      </c>
      <c r="I630" s="154" t="s">
        <v>128</v>
      </c>
      <c r="J630" s="203">
        <v>0.25606000000000001</v>
      </c>
      <c r="K630" s="154" t="s">
        <v>15</v>
      </c>
      <c r="L630" s="154" t="str">
        <f>IF(OpenLCAbasic!K630="CTUh", "Fill in Manually",IF(OR(K630="Unit", K630=""), "", INDEX(LookUps!$E$5:$E$12, MATCH(OpenLCAbasic!K630,LookUps!$D$5:$D$12,0))))</f>
        <v>Cumulative Energy Demand (CED) - MJ</v>
      </c>
      <c r="M630" s="154" t="str">
        <f t="shared" si="29"/>
        <v>Base_High_High_Upgraded_Cumulative Energy Demand (CED) - MJ_Wastewater collection; operation and infrastructure; m3 wastewater_Base_With Amendment_Windrow</v>
      </c>
    </row>
    <row r="631" spans="1:13" s="120" customFormat="1" x14ac:dyDescent="0.25">
      <c r="A631" s="119"/>
      <c r="B631" s="138" t="str">
        <f t="shared" si="28"/>
        <v>Windrow</v>
      </c>
      <c r="C631" s="138" t="str">
        <f t="shared" si="30"/>
        <v>Base_With Amendment</v>
      </c>
      <c r="D631" s="118" t="s">
        <v>140</v>
      </c>
      <c r="E631" s="118" t="s">
        <v>130</v>
      </c>
      <c r="F631" s="118" t="s">
        <v>46</v>
      </c>
      <c r="G631" s="153"/>
      <c r="H631" s="155">
        <v>1.3899999999999999E-2</v>
      </c>
      <c r="I631" s="154" t="s">
        <v>148</v>
      </c>
      <c r="J631" s="203">
        <v>0.14599000000000001</v>
      </c>
      <c r="K631" s="154" t="s">
        <v>15</v>
      </c>
      <c r="L631" s="154" t="str">
        <f>IF(OpenLCAbasic!K631="CTUh", "Fill in Manually",IF(OR(K631="Unit", K631=""), "", INDEX(LookUps!$E$5:$E$12, MATCH(OpenLCAbasic!K631,LookUps!$D$5:$D$12,0))))</f>
        <v>Cumulative Energy Demand (CED) - MJ</v>
      </c>
      <c r="M631" s="154" t="str">
        <f t="shared" si="29"/>
        <v>Base_High_High_Upgraded_Cumulative Energy Demand (CED) - MJ_Control Building; at upgraded wastewater treatment plant - US_Base_With Amendment_Windrow</v>
      </c>
    </row>
    <row r="632" spans="1:13" s="120" customFormat="1" x14ac:dyDescent="0.25">
      <c r="A632" s="119"/>
      <c r="B632" s="138" t="str">
        <f t="shared" si="28"/>
        <v>Windrow</v>
      </c>
      <c r="C632" s="138" t="str">
        <f t="shared" si="30"/>
        <v>Base_With Amendment</v>
      </c>
      <c r="D632" s="118" t="s">
        <v>140</v>
      </c>
      <c r="E632" s="118" t="s">
        <v>130</v>
      </c>
      <c r="F632" s="118" t="s">
        <v>46</v>
      </c>
      <c r="G632" s="153"/>
      <c r="H632" s="155">
        <v>1.2699999999999999E-2</v>
      </c>
      <c r="I632" s="154" t="s">
        <v>48</v>
      </c>
      <c r="J632" s="203">
        <v>0.13321</v>
      </c>
      <c r="K632" s="154" t="s">
        <v>15</v>
      </c>
      <c r="L632" s="154" t="str">
        <f>IF(OpenLCAbasic!K632="CTUh", "Fill in Manually",IF(OR(K632="Unit", K632=""), "", INDEX(LookUps!$E$5:$E$12, MATCH(OpenLCAbasic!K632,LookUps!$D$5:$D$12,0))))</f>
        <v>Cumulative Energy Demand (CED) - MJ</v>
      </c>
      <c r="M632" s="154" t="str">
        <f t="shared" si="29"/>
        <v>Base_High_High_Upgraded_Cumulative Energy Demand (CED) - MJ_Effluent release; wastewater treatment unit; at surface water; m3 wastewater - US_Base_With Amendment_Windrow</v>
      </c>
    </row>
    <row r="633" spans="1:13" s="120" customFormat="1" x14ac:dyDescent="0.25">
      <c r="A633" s="119"/>
      <c r="B633" s="138" t="str">
        <f t="shared" si="28"/>
        <v>Windrow</v>
      </c>
      <c r="C633" s="138" t="str">
        <f t="shared" si="30"/>
        <v>Base_With Amendment</v>
      </c>
      <c r="D633" s="118" t="s">
        <v>140</v>
      </c>
      <c r="E633" s="118" t="s">
        <v>130</v>
      </c>
      <c r="F633" s="118" t="s">
        <v>46</v>
      </c>
      <c r="G633" s="153"/>
      <c r="H633" s="155">
        <v>1.0200000000000001E-2</v>
      </c>
      <c r="I633" s="154" t="s">
        <v>59</v>
      </c>
      <c r="J633" s="203">
        <v>0.10638</v>
      </c>
      <c r="K633" s="154" t="s">
        <v>15</v>
      </c>
      <c r="L633" s="154" t="str">
        <f>IF(OpenLCAbasic!K633="CTUh", "Fill in Manually",IF(OR(K633="Unit", K633=""), "", INDEX(LookUps!$E$5:$E$12, MATCH(OpenLCAbasic!K633,LookUps!$D$5:$D$12,0))))</f>
        <v>Cumulative Energy Demand (CED) - MJ</v>
      </c>
      <c r="M633" s="154" t="str">
        <f t="shared" si="29"/>
        <v>Base_High_High_Upgraded_Cumulative Energy Demand (CED) - MJ_Blend Tank; wastewater treatment unit; at updated plant - US_Base_With Amendment_Windrow</v>
      </c>
    </row>
    <row r="634" spans="1:13" s="120" customFormat="1" x14ac:dyDescent="0.25">
      <c r="A634" s="119"/>
      <c r="B634" s="138" t="str">
        <f t="shared" si="28"/>
        <v>Windrow</v>
      </c>
      <c r="C634" s="138" t="str">
        <f t="shared" si="30"/>
        <v>Base_With Amendment</v>
      </c>
      <c r="D634" s="118" t="s">
        <v>140</v>
      </c>
      <c r="E634" s="118" t="s">
        <v>130</v>
      </c>
      <c r="F634" s="118" t="s">
        <v>46</v>
      </c>
      <c r="G634" s="153"/>
      <c r="H634" s="155">
        <v>4.8999999999999998E-3</v>
      </c>
      <c r="I634" s="154" t="s">
        <v>168</v>
      </c>
      <c r="J634" s="203">
        <v>5.0930000000000003E-2</v>
      </c>
      <c r="K634" s="154" t="s">
        <v>15</v>
      </c>
      <c r="L634" s="154" t="str">
        <f>IF(OpenLCAbasic!K634="CTUh", "Fill in Manually",IF(OR(K634="Unit", K634=""), "", INDEX(LookUps!$E$5:$E$12, MATCH(OpenLCAbasic!K634,LookUps!$D$5:$D$12,0))))</f>
        <v>Cumulative Energy Demand (CED) - MJ</v>
      </c>
      <c r="M634" s="154" t="str">
        <f t="shared" si="29"/>
        <v>Base_High_High_Upgraded_Cumulative Energy Demand (CED) - MJ_ClearCove SCP; wastewater treatment unit; at updated plant - US_Base_With Amendment_Windrow</v>
      </c>
    </row>
    <row r="635" spans="1:13" s="120" customFormat="1" x14ac:dyDescent="0.25">
      <c r="A635" s="119"/>
      <c r="B635" s="138" t="str">
        <f t="shared" si="28"/>
        <v>Windrow</v>
      </c>
      <c r="C635" s="138" t="str">
        <f t="shared" si="30"/>
        <v>Base_With Amendment</v>
      </c>
      <c r="D635" s="118" t="s">
        <v>140</v>
      </c>
      <c r="E635" s="118" t="s">
        <v>130</v>
      </c>
      <c r="F635" s="118" t="s">
        <v>46</v>
      </c>
      <c r="G635" s="153"/>
      <c r="H635" s="155">
        <v>3.5000000000000001E-3</v>
      </c>
      <c r="I635" s="154" t="s">
        <v>271</v>
      </c>
      <c r="J635" s="203">
        <v>3.7069999999999999E-2</v>
      </c>
      <c r="K635" s="154" t="s">
        <v>15</v>
      </c>
      <c r="L635" s="154" t="str">
        <f>IF(OpenLCAbasic!K635="CTUh", "Fill in Manually",IF(OR(K635="Unit", K635=""), "", INDEX(LookUps!$E$5:$E$12, MATCH(OpenLCAbasic!K635,LookUps!$D$5:$D$12,0))))</f>
        <v>Cumulative Energy Demand (CED) - MJ</v>
      </c>
      <c r="M635" s="154" t="str">
        <f t="shared" si="29"/>
        <v>Base_High_High_Upgraded_Cumulative Energy Demand (CED) - MJ_Biosolids composting; windrow composting; wastewater treatment unit; at updated plant - US_Base_With Amendment_Windrow</v>
      </c>
    </row>
    <row r="636" spans="1:13" s="120" customFormat="1" x14ac:dyDescent="0.25">
      <c r="A636" s="119"/>
      <c r="B636" s="138" t="str">
        <f t="shared" si="28"/>
        <v>Windrow</v>
      </c>
      <c r="C636" s="138" t="str">
        <f t="shared" si="30"/>
        <v>Base_With Amendment</v>
      </c>
      <c r="D636" s="118" t="s">
        <v>140</v>
      </c>
      <c r="E636" s="118" t="s">
        <v>130</v>
      </c>
      <c r="F636" s="118" t="s">
        <v>46</v>
      </c>
      <c r="G636" s="153"/>
      <c r="H636" s="155">
        <v>-7.5600000000000001E-2</v>
      </c>
      <c r="I636" s="154" t="s">
        <v>62</v>
      </c>
      <c r="J636" s="203">
        <v>-0.79190000000000005</v>
      </c>
      <c r="K636" s="154" t="s">
        <v>15</v>
      </c>
      <c r="L636" s="154" t="str">
        <f>IF(OpenLCAbasic!K636="CTUh", "Fill in Manually",IF(OR(K636="Unit", K636=""), "", INDEX(LookUps!$E$5:$E$12, MATCH(OpenLCAbasic!K636,LookUps!$D$5:$D$12,0))))</f>
        <v>Cumulative Energy Demand (CED) - MJ</v>
      </c>
      <c r="M636" s="154" t="str">
        <f t="shared" si="29"/>
        <v>Base_High_High_Upgraded_Cumulative Energy Demand (CED) - MJ_Land application of compost; wastewater treatment unit; at updated plant - US_Base_With Amendment_Windrow</v>
      </c>
    </row>
    <row r="637" spans="1:13" s="120" customFormat="1" x14ac:dyDescent="0.25">
      <c r="A637" s="213"/>
      <c r="B637" s="138" t="str">
        <f t="shared" si="28"/>
        <v>Windrow</v>
      </c>
      <c r="C637" s="138" t="str">
        <f t="shared" si="30"/>
        <v>Base_With Amendment</v>
      </c>
      <c r="D637" s="118" t="s">
        <v>140</v>
      </c>
      <c r="E637" s="118" t="s">
        <v>130</v>
      </c>
      <c r="F637" s="118" t="s">
        <v>46</v>
      </c>
      <c r="G637" s="153"/>
      <c r="H637" s="155">
        <v>-2.2501000000000002</v>
      </c>
      <c r="I637" s="154" t="s">
        <v>149</v>
      </c>
      <c r="J637" s="206">
        <v>-23.56711</v>
      </c>
      <c r="K637" s="154" t="s">
        <v>15</v>
      </c>
      <c r="L637" s="154" t="str">
        <f>IF(OpenLCAbasic!K637="CTUh", "Fill in Manually",IF(OR(K637="Unit", K637=""), "", INDEX(LookUps!$E$5:$E$12, MATCH(OpenLCAbasic!K637,LookUps!$D$5:$D$12,0))))</f>
        <v>Cumulative Energy Demand (CED) - MJ</v>
      </c>
      <c r="M637" s="154" t="str">
        <f t="shared" si="29"/>
        <v>Base_High_High_Upgraded_Cumulative Energy Demand (CED) - MJ_Anaerobic Digestion; wastewater treatment unit; at updated plant - US_Base_With Amendment_Windrow</v>
      </c>
    </row>
    <row r="638" spans="1:13" s="120" customFormat="1" x14ac:dyDescent="0.25">
      <c r="A638" s="119"/>
      <c r="B638" s="138" t="str">
        <f t="shared" si="28"/>
        <v/>
      </c>
      <c r="C638" s="138"/>
      <c r="D638" s="118"/>
      <c r="E638" s="118"/>
      <c r="F638" s="118"/>
      <c r="G638" s="153" t="s">
        <v>51</v>
      </c>
      <c r="H638" s="154"/>
      <c r="I638" s="154" t="s">
        <v>47</v>
      </c>
      <c r="J638" s="205" t="s">
        <v>52</v>
      </c>
      <c r="K638" s="154" t="s">
        <v>27</v>
      </c>
      <c r="L638" s="154" t="str">
        <f>IF(OpenLCAbasic!K638="CTUh", "Fill in Manually",IF(OR(K638="Unit", K638=""), "", INDEX(LookUps!$E$5:$E$12, MATCH(OpenLCAbasic!K638,LookUps!$D$5:$D$12,0))))</f>
        <v/>
      </c>
      <c r="M638" s="154" t="str">
        <f t="shared" si="29"/>
        <v>____Process__</v>
      </c>
    </row>
    <row r="639" spans="1:13" s="120" customFormat="1" x14ac:dyDescent="0.25">
      <c r="A639" s="119"/>
      <c r="B639" s="138" t="str">
        <f t="shared" si="28"/>
        <v>Windrow</v>
      </c>
      <c r="C639" s="138" t="str">
        <f t="shared" ref="C639:C670" si="31">IF(E639&lt;&gt;"", "Base_With Amendment","")</f>
        <v>Base_With Amendment</v>
      </c>
      <c r="D639" s="118" t="s">
        <v>133</v>
      </c>
      <c r="E639" s="118" t="s">
        <v>130</v>
      </c>
      <c r="F639" s="118" t="s">
        <v>46</v>
      </c>
      <c r="G639" s="153"/>
      <c r="H639" s="155">
        <v>0.65600000000000003</v>
      </c>
      <c r="I639" s="154" t="s">
        <v>271</v>
      </c>
      <c r="J639" s="203">
        <v>0.79920999999999998</v>
      </c>
      <c r="K639" s="154" t="s">
        <v>23</v>
      </c>
      <c r="L639" s="154" t="str">
        <f>IF(OpenLCAbasic!K639="CTUh", "Fill in Manually",IF(OR(K639="Unit", K639=""), "", INDEX(LookUps!$E$5:$E$12, MATCH(OpenLCAbasic!K639,LookUps!$D$5:$D$12,0))))</f>
        <v>Global Warming Potential (GWP) - kg CO2 eq</v>
      </c>
      <c r="M639" s="154" t="str">
        <f t="shared" si="29"/>
        <v>Base_Base_Low_Upgraded_Global Warming Potential (GWP) - kg CO2 eq_Biosolids composting; windrow composting; wastewater treatment unit; at updated plant - US_Base_With Amendment_Windrow</v>
      </c>
    </row>
    <row r="640" spans="1:13" s="120" customFormat="1" x14ac:dyDescent="0.25">
      <c r="A640" s="119"/>
      <c r="B640" s="138" t="str">
        <f t="shared" si="28"/>
        <v>Windrow</v>
      </c>
      <c r="C640" s="138" t="str">
        <f t="shared" si="31"/>
        <v>Base_With Amendment</v>
      </c>
      <c r="D640" s="118" t="s">
        <v>133</v>
      </c>
      <c r="E640" s="118" t="s">
        <v>130</v>
      </c>
      <c r="F640" s="118" t="s">
        <v>46</v>
      </c>
      <c r="G640" s="153"/>
      <c r="H640" s="155">
        <v>0.1993</v>
      </c>
      <c r="I640" s="154" t="s">
        <v>58</v>
      </c>
      <c r="J640" s="203">
        <v>0.24279999999999999</v>
      </c>
      <c r="K640" s="154" t="s">
        <v>23</v>
      </c>
      <c r="L640" s="154" t="str">
        <f>IF(OpenLCAbasic!K640="CTUh", "Fill in Manually",IF(OR(K640="Unit", K640=""), "", INDEX(LookUps!$E$5:$E$12, MATCH(OpenLCAbasic!K640,LookUps!$D$5:$D$12,0))))</f>
        <v>Global Warming Potential (GWP) - kg CO2 eq</v>
      </c>
      <c r="M640" s="154" t="str">
        <f t="shared" si="29"/>
        <v>Base_Base_Low_Upgraded_Global Warming Potential (GWP) - kg CO2 eq_Pre-Anoxic &amp; Swing tank; wastewater treatment unit; at updated plant - US_Base_With Amendment_Windrow</v>
      </c>
    </row>
    <row r="641" spans="1:13" s="120" customFormat="1" x14ac:dyDescent="0.25">
      <c r="A641" s="119"/>
      <c r="B641" s="138" t="str">
        <f t="shared" si="28"/>
        <v>Windrow</v>
      </c>
      <c r="C641" s="138" t="str">
        <f t="shared" si="31"/>
        <v>Base_With Amendment</v>
      </c>
      <c r="D641" s="118" t="s">
        <v>133</v>
      </c>
      <c r="E641" s="118" t="s">
        <v>130</v>
      </c>
      <c r="F641" s="118" t="s">
        <v>46</v>
      </c>
      <c r="G641" s="153"/>
      <c r="H641" s="155">
        <v>0.14399999999999999</v>
      </c>
      <c r="I641" s="154" t="s">
        <v>149</v>
      </c>
      <c r="J641" s="203">
        <v>0.17544999999999999</v>
      </c>
      <c r="K641" s="154" t="s">
        <v>23</v>
      </c>
      <c r="L641" s="154" t="str">
        <f>IF(OpenLCAbasic!K641="CTUh", "Fill in Manually",IF(OR(K641="Unit", K641=""), "", INDEX(LookUps!$E$5:$E$12, MATCH(OpenLCAbasic!K641,LookUps!$D$5:$D$12,0))))</f>
        <v>Global Warming Potential (GWP) - kg CO2 eq</v>
      </c>
      <c r="M641" s="154" t="str">
        <f t="shared" si="29"/>
        <v>Base_Base_Low_Upgraded_Global Warming Potential (GWP) - kg CO2 eq_Anaerobic Digestion; wastewater treatment unit; at updated plant - US_Base_With Amendment_Windrow</v>
      </c>
    </row>
    <row r="642" spans="1:13" s="120" customFormat="1" x14ac:dyDescent="0.25">
      <c r="A642" s="119"/>
      <c r="B642" s="138" t="str">
        <f t="shared" si="28"/>
        <v>Windrow</v>
      </c>
      <c r="C642" s="138" t="str">
        <f t="shared" si="31"/>
        <v>Base_With Amendment</v>
      </c>
      <c r="D642" s="118" t="s">
        <v>133</v>
      </c>
      <c r="E642" s="118" t="s">
        <v>130</v>
      </c>
      <c r="F642" s="118" t="s">
        <v>46</v>
      </c>
      <c r="G642" s="153"/>
      <c r="H642" s="155">
        <v>0.1381</v>
      </c>
      <c r="I642" s="154" t="s">
        <v>55</v>
      </c>
      <c r="J642" s="203">
        <v>0.16822000000000001</v>
      </c>
      <c r="K642" s="154" t="s">
        <v>23</v>
      </c>
      <c r="L642" s="154" t="str">
        <f>IF(OpenLCAbasic!K642="CTUh", "Fill in Manually",IF(OR(K642="Unit", K642=""), "", INDEX(LookUps!$E$5:$E$12, MATCH(OpenLCAbasic!K642,LookUps!$D$5:$D$12,0))))</f>
        <v>Global Warming Potential (GWP) - kg CO2 eq</v>
      </c>
      <c r="M642" s="154" t="str">
        <f t="shared" si="29"/>
        <v>Base_Base_Low_Upgraded_Global Warming Potential (GWP) - kg CO2 eq_Aeration Tanks; wastewater treatment unit; at updated plant - US_Base_With Amendment_Windrow</v>
      </c>
    </row>
    <row r="643" spans="1:13" s="120" customFormat="1" x14ac:dyDescent="0.25">
      <c r="A643" s="119"/>
      <c r="B643" s="138" t="str">
        <f t="shared" si="28"/>
        <v>Windrow</v>
      </c>
      <c r="C643" s="138" t="str">
        <f t="shared" si="31"/>
        <v>Base_With Amendment</v>
      </c>
      <c r="D643" s="118" t="s">
        <v>133</v>
      </c>
      <c r="E643" s="118" t="s">
        <v>130</v>
      </c>
      <c r="F643" s="118" t="s">
        <v>46</v>
      </c>
      <c r="G643" s="153"/>
      <c r="H643" s="155">
        <v>8.4099999999999994E-2</v>
      </c>
      <c r="I643" s="154" t="s">
        <v>167</v>
      </c>
      <c r="J643" s="203">
        <v>0.10241</v>
      </c>
      <c r="K643" s="154" t="s">
        <v>23</v>
      </c>
      <c r="L643" s="154" t="str">
        <f>IF(OpenLCAbasic!K643="CTUh", "Fill in Manually",IF(OR(K643="Unit", K643=""), "", INDEX(LookUps!$E$5:$E$12, MATCH(OpenLCAbasic!K643,LookUps!$D$5:$D$12,0))))</f>
        <v>Global Warming Potential (GWP) - kg CO2 eq</v>
      </c>
      <c r="M643" s="154" t="str">
        <f t="shared" si="29"/>
        <v>Base_Base_Low_Upgraded_Global Warming Potential (GWP) - kg CO2 eq_Waste Receiving and Holding; wastewater treatment unit; at updated plant - US_Base_With Amendment_Windrow</v>
      </c>
    </row>
    <row r="644" spans="1:13" s="120" customFormat="1" x14ac:dyDescent="0.25">
      <c r="A644" s="119"/>
      <c r="B644" s="138" t="str">
        <f t="shared" si="28"/>
        <v>Windrow</v>
      </c>
      <c r="C644" s="138" t="str">
        <f t="shared" si="31"/>
        <v>Base_With Amendment</v>
      </c>
      <c r="D644" s="118" t="s">
        <v>133</v>
      </c>
      <c r="E644" s="118" t="s">
        <v>130</v>
      </c>
      <c r="F644" s="118" t="s">
        <v>46</v>
      </c>
      <c r="G644" s="153"/>
      <c r="H644" s="155">
        <v>4.6899999999999997E-2</v>
      </c>
      <c r="I644" s="154" t="s">
        <v>54</v>
      </c>
      <c r="J644" s="203">
        <v>5.7079999999999999E-2</v>
      </c>
      <c r="K644" s="154" t="s">
        <v>23</v>
      </c>
      <c r="L644" s="154" t="str">
        <f>IF(OpenLCAbasic!K644="CTUh", "Fill in Manually",IF(OR(K644="Unit", K644=""), "", INDEX(LookUps!$E$5:$E$12, MATCH(OpenLCAbasic!K644,LookUps!$D$5:$D$12,0))))</f>
        <v>Global Warming Potential (GWP) - kg CO2 eq</v>
      </c>
      <c r="M644" s="154" t="str">
        <f t="shared" si="29"/>
        <v>Base_Base_Low_Upgraded_Global Warming Potential (GWP) - kg CO2 eq_Clear Cove Primary Clarification; wastewater treatment unit; at updated plant - US_Base_With Amendment_Windrow</v>
      </c>
    </row>
    <row r="645" spans="1:13" s="120" customFormat="1" x14ac:dyDescent="0.25">
      <c r="A645" s="119"/>
      <c r="B645" s="138" t="str">
        <f t="shared" si="28"/>
        <v>Windrow</v>
      </c>
      <c r="C645" s="138" t="str">
        <f t="shared" si="31"/>
        <v>Base_With Amendment</v>
      </c>
      <c r="D645" s="118" t="s">
        <v>133</v>
      </c>
      <c r="E645" s="118" t="s">
        <v>130</v>
      </c>
      <c r="F645" s="118" t="s">
        <v>46</v>
      </c>
      <c r="G645" s="153"/>
      <c r="H645" s="155">
        <v>4.3200000000000002E-2</v>
      </c>
      <c r="I645" s="154" t="s">
        <v>48</v>
      </c>
      <c r="J645" s="203">
        <v>5.2639999999999999E-2</v>
      </c>
      <c r="K645" s="154" t="s">
        <v>23</v>
      </c>
      <c r="L645" s="154" t="str">
        <f>IF(OpenLCAbasic!K645="CTUh", "Fill in Manually",IF(OR(K645="Unit", K645=""), "", INDEX(LookUps!$E$5:$E$12, MATCH(OpenLCAbasic!K645,LookUps!$D$5:$D$12,0))))</f>
        <v>Global Warming Potential (GWP) - kg CO2 eq</v>
      </c>
      <c r="M645" s="154" t="str">
        <f t="shared" si="29"/>
        <v>Base_Base_Low_Upgraded_Global Warming Potential (GWP) - kg CO2 eq_Effluent release; wastewater treatment unit; at surface water; m3 wastewater - US_Base_With Amendment_Windrow</v>
      </c>
    </row>
    <row r="646" spans="1:13" s="120" customFormat="1" x14ac:dyDescent="0.25">
      <c r="A646" s="119"/>
      <c r="B646" s="138" t="str">
        <f t="shared" si="28"/>
        <v>Windrow</v>
      </c>
      <c r="C646" s="138" t="str">
        <f t="shared" si="31"/>
        <v>Base_With Amendment</v>
      </c>
      <c r="D646" s="118" t="s">
        <v>133</v>
      </c>
      <c r="E646" s="118" t="s">
        <v>130</v>
      </c>
      <c r="F646" s="118" t="s">
        <v>46</v>
      </c>
      <c r="G646" s="153"/>
      <c r="H646" s="155">
        <v>4.1500000000000002E-2</v>
      </c>
      <c r="I646" s="154" t="s">
        <v>147</v>
      </c>
      <c r="J646" s="203">
        <v>5.0500000000000003E-2</v>
      </c>
      <c r="K646" s="154" t="s">
        <v>23</v>
      </c>
      <c r="L646" s="154" t="str">
        <f>IF(OpenLCAbasic!K646="CTUh", "Fill in Manually",IF(OR(K646="Unit", K646=""), "", INDEX(LookUps!$E$5:$E$12, MATCH(OpenLCAbasic!K646,LookUps!$D$5:$D$12,0))))</f>
        <v>Global Warming Potential (GWP) - kg CO2 eq</v>
      </c>
      <c r="M646" s="154" t="str">
        <f t="shared" si="29"/>
        <v>Base_Base_Low_Upgraded_Global Warming Potential (GWP) - kg CO2 eq_Influent Pump Station; wastewater treatment unit; at updated plant - US_Base_With Amendment_Windrow</v>
      </c>
    </row>
    <row r="647" spans="1:13" s="120" customFormat="1" x14ac:dyDescent="0.25">
      <c r="A647" s="119"/>
      <c r="B647" s="138" t="str">
        <f t="shared" ref="B647:B710" si="32">IF(F647="Legacy","n.a.",IF(F647="","","Windrow"))</f>
        <v>Windrow</v>
      </c>
      <c r="C647" s="138" t="str">
        <f t="shared" si="31"/>
        <v>Base_With Amendment</v>
      </c>
      <c r="D647" s="118" t="s">
        <v>133</v>
      </c>
      <c r="E647" s="118" t="s">
        <v>130</v>
      </c>
      <c r="F647" s="118" t="s">
        <v>46</v>
      </c>
      <c r="G647" s="153"/>
      <c r="H647" s="155">
        <v>2.7300000000000001E-2</v>
      </c>
      <c r="I647" s="154" t="s">
        <v>53</v>
      </c>
      <c r="J647" s="203">
        <v>3.3259999999999998E-2</v>
      </c>
      <c r="K647" s="154" t="s">
        <v>23</v>
      </c>
      <c r="L647" s="154" t="str">
        <f>IF(OpenLCAbasic!K647="CTUh", "Fill in Manually",IF(OR(K647="Unit", K647=""), "", INDEX(LookUps!$E$5:$E$12, MATCH(OpenLCAbasic!K647,LookUps!$D$5:$D$12,0))))</f>
        <v>Global Warming Potential (GWP) - kg CO2 eq</v>
      </c>
      <c r="M647" s="154" t="str">
        <f t="shared" si="29"/>
        <v>Base_Base_Low_Upgraded_Global Warming Potential (GWP) - kg CO2 eq_Wet Well and Sump Station; wastewater treatment unit; at updated plant - US_Base_With Amendment_Windrow</v>
      </c>
    </row>
    <row r="648" spans="1:13" s="120" customFormat="1" x14ac:dyDescent="0.25">
      <c r="A648" s="119"/>
      <c r="B648" s="138" t="str">
        <f t="shared" si="32"/>
        <v>Windrow</v>
      </c>
      <c r="C648" s="138" t="str">
        <f t="shared" si="31"/>
        <v>Base_With Amendment</v>
      </c>
      <c r="D648" s="118" t="s">
        <v>133</v>
      </c>
      <c r="E648" s="118" t="s">
        <v>130</v>
      </c>
      <c r="F648" s="118" t="s">
        <v>46</v>
      </c>
      <c r="G648" s="153"/>
      <c r="H648" s="155">
        <v>1.1900000000000001E-2</v>
      </c>
      <c r="I648" s="154" t="s">
        <v>57</v>
      </c>
      <c r="J648" s="203">
        <v>1.455E-2</v>
      </c>
      <c r="K648" s="154" t="s">
        <v>23</v>
      </c>
      <c r="L648" s="154" t="str">
        <f>IF(OpenLCAbasic!K648="CTUh", "Fill in Manually",IF(OR(K648="Unit", K648=""), "", INDEX(LookUps!$E$5:$E$12, MATCH(OpenLCAbasic!K648,LookUps!$D$5:$D$12,0))))</f>
        <v>Global Warming Potential (GWP) - kg CO2 eq</v>
      </c>
      <c r="M648" s="154" t="str">
        <f t="shared" ref="M648:M711" si="33">CONCATENATE(E648,"_",D648,"_",F648,"_",L648, "_",I648,"_", C648,"_", B648)</f>
        <v>Base_Base_Low_Upgraded_Global Warming Potential (GWP) - kg CO2 eq_Gravity Belt Thickener; wastewater treatment unit; at updated plant - US_Base_With Amendment_Windrow</v>
      </c>
    </row>
    <row r="649" spans="1:13" s="120" customFormat="1" x14ac:dyDescent="0.25">
      <c r="A649" s="119"/>
      <c r="B649" s="138" t="str">
        <f t="shared" si="32"/>
        <v>Windrow</v>
      </c>
      <c r="C649" s="138" t="str">
        <f t="shared" si="31"/>
        <v>Base_With Amendment</v>
      </c>
      <c r="D649" s="118" t="s">
        <v>133</v>
      </c>
      <c r="E649" s="118" t="s">
        <v>130</v>
      </c>
      <c r="F649" s="118" t="s">
        <v>46</v>
      </c>
      <c r="G649" s="153"/>
      <c r="H649" s="155">
        <v>1.1599999999999999E-2</v>
      </c>
      <c r="I649" s="154" t="s">
        <v>60</v>
      </c>
      <c r="J649" s="203">
        <v>1.418E-2</v>
      </c>
      <c r="K649" s="154" t="s">
        <v>23</v>
      </c>
      <c r="L649" s="154" t="str">
        <f>IF(OpenLCAbasic!K649="CTUh", "Fill in Manually",IF(OR(K649="Unit", K649=""), "", INDEX(LookUps!$E$5:$E$12, MATCH(OpenLCAbasic!K649,LookUps!$D$5:$D$12,0))))</f>
        <v>Global Warming Potential (GWP) - kg CO2 eq</v>
      </c>
      <c r="M649" s="154" t="str">
        <f t="shared" si="33"/>
        <v>Base_Base_Low_Upgraded_Global Warming Potential (GWP) - kg CO2 eq_Belt filter press; wastewater treatment unit; at updated plant - US_Base_With Amendment_Windrow</v>
      </c>
    </row>
    <row r="650" spans="1:13" s="120" customFormat="1" x14ac:dyDescent="0.25">
      <c r="A650" s="119"/>
      <c r="B650" s="138" t="str">
        <f t="shared" si="32"/>
        <v>Windrow</v>
      </c>
      <c r="C650" s="138" t="str">
        <f t="shared" si="31"/>
        <v>Base_With Amendment</v>
      </c>
      <c r="D650" s="118" t="s">
        <v>133</v>
      </c>
      <c r="E650" s="118" t="s">
        <v>130</v>
      </c>
      <c r="F650" s="118" t="s">
        <v>46</v>
      </c>
      <c r="G650" s="153"/>
      <c r="H650" s="155">
        <v>1.11E-2</v>
      </c>
      <c r="I650" s="154" t="s">
        <v>128</v>
      </c>
      <c r="J650" s="204">
        <v>1.3509999999999999E-2</v>
      </c>
      <c r="K650" s="154" t="s">
        <v>23</v>
      </c>
      <c r="L650" s="154" t="str">
        <f>IF(OpenLCAbasic!K650="CTUh", "Fill in Manually",IF(OR(K650="Unit", K650=""), "", INDEX(LookUps!$E$5:$E$12, MATCH(OpenLCAbasic!K650,LookUps!$D$5:$D$12,0))))</f>
        <v>Global Warming Potential (GWP) - kg CO2 eq</v>
      </c>
      <c r="M650" s="154" t="str">
        <f t="shared" si="33"/>
        <v>Base_Base_Low_Upgraded_Global Warming Potential (GWP) - kg CO2 eq_Wastewater collection; operation and infrastructure; m3 wastewater_Base_With Amendment_Windrow</v>
      </c>
    </row>
    <row r="651" spans="1:13" s="120" customFormat="1" x14ac:dyDescent="0.25">
      <c r="A651" s="119"/>
      <c r="B651" s="138" t="str">
        <f t="shared" si="32"/>
        <v>Windrow</v>
      </c>
      <c r="C651" s="138" t="str">
        <f t="shared" si="31"/>
        <v>Base_With Amendment</v>
      </c>
      <c r="D651" s="118" t="s">
        <v>133</v>
      </c>
      <c r="E651" s="118" t="s">
        <v>130</v>
      </c>
      <c r="F651" s="118" t="s">
        <v>46</v>
      </c>
      <c r="G651" s="153"/>
      <c r="H651" s="155">
        <v>6.7999999999999996E-3</v>
      </c>
      <c r="I651" s="154" t="s">
        <v>148</v>
      </c>
      <c r="J651" s="204">
        <v>8.3000000000000001E-3</v>
      </c>
      <c r="K651" s="154" t="s">
        <v>23</v>
      </c>
      <c r="L651" s="154" t="str">
        <f>IF(OpenLCAbasic!K651="CTUh", "Fill in Manually",IF(OR(K651="Unit", K651=""), "", INDEX(LookUps!$E$5:$E$12, MATCH(OpenLCAbasic!K651,LookUps!$D$5:$D$12,0))))</f>
        <v>Global Warming Potential (GWP) - kg CO2 eq</v>
      </c>
      <c r="M651" s="154" t="str">
        <f t="shared" si="33"/>
        <v>Base_Base_Low_Upgraded_Global Warming Potential (GWP) - kg CO2 eq_Control Building; at upgraded wastewater treatment plant - US_Base_With Amendment_Windrow</v>
      </c>
    </row>
    <row r="652" spans="1:13" s="120" customFormat="1" x14ac:dyDescent="0.25">
      <c r="A652" s="119"/>
      <c r="B652" s="138" t="str">
        <f t="shared" si="32"/>
        <v>Windrow</v>
      </c>
      <c r="C652" s="138" t="str">
        <f t="shared" si="31"/>
        <v>Base_With Amendment</v>
      </c>
      <c r="D652" s="118" t="s">
        <v>133</v>
      </c>
      <c r="E652" s="118" t="s">
        <v>130</v>
      </c>
      <c r="F652" s="118" t="s">
        <v>46</v>
      </c>
      <c r="G652" s="153"/>
      <c r="H652" s="155">
        <v>4.1000000000000003E-3</v>
      </c>
      <c r="I652" s="154" t="s">
        <v>59</v>
      </c>
      <c r="J652" s="204">
        <v>5.0400000000000002E-3</v>
      </c>
      <c r="K652" s="154" t="s">
        <v>23</v>
      </c>
      <c r="L652" s="154" t="str">
        <f>IF(OpenLCAbasic!K652="CTUh", "Fill in Manually",IF(OR(K652="Unit", K652=""), "", INDEX(LookUps!$E$5:$E$12, MATCH(OpenLCAbasic!K652,LookUps!$D$5:$D$12,0))))</f>
        <v>Global Warming Potential (GWP) - kg CO2 eq</v>
      </c>
      <c r="M652" s="154" t="str">
        <f t="shared" si="33"/>
        <v>Base_Base_Low_Upgraded_Global Warming Potential (GWP) - kg CO2 eq_Blend Tank; wastewater treatment unit; at updated plant - US_Base_With Amendment_Windrow</v>
      </c>
    </row>
    <row r="653" spans="1:13" s="120" customFormat="1" x14ac:dyDescent="0.25">
      <c r="A653" s="119"/>
      <c r="B653" s="138" t="str">
        <f t="shared" si="32"/>
        <v>Windrow</v>
      </c>
      <c r="C653" s="138" t="str">
        <f t="shared" si="31"/>
        <v>Base_With Amendment</v>
      </c>
      <c r="D653" s="118" t="s">
        <v>133</v>
      </c>
      <c r="E653" s="118" t="s">
        <v>130</v>
      </c>
      <c r="F653" s="118" t="s">
        <v>46</v>
      </c>
      <c r="G653" s="153"/>
      <c r="H653" s="155">
        <v>2E-3</v>
      </c>
      <c r="I653" s="154" t="s">
        <v>168</v>
      </c>
      <c r="J653" s="204">
        <v>2.4099999999999998E-3</v>
      </c>
      <c r="K653" s="154" t="s">
        <v>23</v>
      </c>
      <c r="L653" s="154" t="str">
        <f>IF(OpenLCAbasic!K653="CTUh", "Fill in Manually",IF(OR(K653="Unit", K653=""), "", INDEX(LookUps!$E$5:$E$12, MATCH(OpenLCAbasic!K653,LookUps!$D$5:$D$12,0))))</f>
        <v>Global Warming Potential (GWP) - kg CO2 eq</v>
      </c>
      <c r="M653" s="154" t="str">
        <f t="shared" si="33"/>
        <v>Base_Base_Low_Upgraded_Global Warming Potential (GWP) - kg CO2 eq_ClearCove SCP; wastewater treatment unit; at updated plant - US_Base_With Amendment_Windrow</v>
      </c>
    </row>
    <row r="654" spans="1:13" s="120" customFormat="1" x14ac:dyDescent="0.25">
      <c r="A654" s="119"/>
      <c r="B654" s="138" t="str">
        <f t="shared" si="32"/>
        <v>Windrow</v>
      </c>
      <c r="C654" s="138" t="str">
        <f t="shared" si="31"/>
        <v>Base_With Amendment</v>
      </c>
      <c r="D654" s="118" t="s">
        <v>133</v>
      </c>
      <c r="E654" s="118" t="s">
        <v>130</v>
      </c>
      <c r="F654" s="118" t="s">
        <v>46</v>
      </c>
      <c r="G654" s="153"/>
      <c r="H654" s="155">
        <v>-0.4279</v>
      </c>
      <c r="I654" s="154" t="s">
        <v>62</v>
      </c>
      <c r="J654" s="203">
        <v>-0.52127000000000001</v>
      </c>
      <c r="K654" s="154" t="s">
        <v>23</v>
      </c>
      <c r="L654" s="154" t="str">
        <f>IF(OpenLCAbasic!K654="CTUh", "Fill in Manually",IF(OR(K654="Unit", K654=""), "", INDEX(LookUps!$E$5:$E$12, MATCH(OpenLCAbasic!K654,LookUps!$D$5:$D$12,0))))</f>
        <v>Global Warming Potential (GWP) - kg CO2 eq</v>
      </c>
      <c r="M654" s="154" t="str">
        <f t="shared" si="33"/>
        <v>Base_Base_Low_Upgraded_Global Warming Potential (GWP) - kg CO2 eq_Land application of compost; wastewater treatment unit; at updated plant - US_Base_With Amendment_Windrow</v>
      </c>
    </row>
    <row r="655" spans="1:13" s="120" customFormat="1" x14ac:dyDescent="0.25">
      <c r="A655" s="119"/>
      <c r="B655" s="138" t="str">
        <f t="shared" si="32"/>
        <v>Windrow</v>
      </c>
      <c r="C655" s="138" t="str">
        <f t="shared" si="31"/>
        <v>Base_With Amendment</v>
      </c>
      <c r="D655" s="118" t="s">
        <v>133</v>
      </c>
      <c r="E655" s="118" t="s">
        <v>130</v>
      </c>
      <c r="F655" s="118" t="s">
        <v>46</v>
      </c>
      <c r="G655" s="153" t="s">
        <v>51</v>
      </c>
      <c r="H655" s="154"/>
      <c r="I655" s="154" t="s">
        <v>47</v>
      </c>
      <c r="J655" s="154" t="s">
        <v>52</v>
      </c>
      <c r="K655" s="154" t="s">
        <v>27</v>
      </c>
      <c r="L655" s="154" t="str">
        <f>IF(OpenLCAbasic!K655="CTUh", "Fill in Manually",IF(OR(K655="Unit", K655=""), "", INDEX(LookUps!$E$5:$E$12, MATCH(OpenLCAbasic!K655,LookUps!$D$5:$D$12,0))))</f>
        <v/>
      </c>
      <c r="M655" s="154" t="str">
        <f t="shared" si="33"/>
        <v>Base_Base_Low_Upgraded__Process_Base_With Amendment_Windrow</v>
      </c>
    </row>
    <row r="656" spans="1:13" s="120" customFormat="1" x14ac:dyDescent="0.25">
      <c r="A656" s="119"/>
      <c r="B656" s="138" t="str">
        <f t="shared" si="32"/>
        <v>Windrow</v>
      </c>
      <c r="C656" s="138" t="str">
        <f t="shared" si="31"/>
        <v>Base_With Amendment</v>
      </c>
      <c r="D656" s="118" t="s">
        <v>133</v>
      </c>
      <c r="E656" s="118" t="s">
        <v>130</v>
      </c>
      <c r="F656" s="118" t="s">
        <v>46</v>
      </c>
      <c r="G656" s="153"/>
      <c r="H656" s="155">
        <v>0.72640000000000005</v>
      </c>
      <c r="I656" s="154" t="s">
        <v>48</v>
      </c>
      <c r="J656" s="203">
        <v>1.1610000000000001E-2</v>
      </c>
      <c r="K656" s="154" t="s">
        <v>13</v>
      </c>
      <c r="L656" s="154" t="str">
        <f>IF(OpenLCAbasic!K656="CTUh", "Fill in Manually",IF(OR(K656="Unit", K656=""), "", INDEX(LookUps!$E$5:$E$12, MATCH(OpenLCAbasic!K656,LookUps!$D$5:$D$12,0))))</f>
        <v>Eutrophication Potential (EP) - kg N eq</v>
      </c>
      <c r="M656" s="154" t="str">
        <f t="shared" si="33"/>
        <v>Base_Base_Low_Upgraded_Eutrophication Potential (EP) - kg N eq_Effluent release; wastewater treatment unit; at surface water; m3 wastewater - US_Base_With Amendment_Windrow</v>
      </c>
    </row>
    <row r="657" spans="1:13" s="120" customFormat="1" x14ac:dyDescent="0.25">
      <c r="A657" s="119"/>
      <c r="B657" s="138" t="str">
        <f t="shared" si="32"/>
        <v>Windrow</v>
      </c>
      <c r="C657" s="138" t="str">
        <f t="shared" si="31"/>
        <v>Base_With Amendment</v>
      </c>
      <c r="D657" s="118" t="s">
        <v>133</v>
      </c>
      <c r="E657" s="118" t="s">
        <v>130</v>
      </c>
      <c r="F657" s="118" t="s">
        <v>46</v>
      </c>
      <c r="G657" s="153"/>
      <c r="H657" s="155">
        <v>0.14249999999999999</v>
      </c>
      <c r="I657" s="154" t="s">
        <v>62</v>
      </c>
      <c r="J657" s="204">
        <v>2.2799999999999999E-3</v>
      </c>
      <c r="K657" s="154" t="s">
        <v>13</v>
      </c>
      <c r="L657" s="154" t="str">
        <f>IF(OpenLCAbasic!K657="CTUh", "Fill in Manually",IF(OR(K657="Unit", K657=""), "", INDEX(LookUps!$E$5:$E$12, MATCH(OpenLCAbasic!K657,LookUps!$D$5:$D$12,0))))</f>
        <v>Eutrophication Potential (EP) - kg N eq</v>
      </c>
      <c r="M657" s="154" t="str">
        <f t="shared" si="33"/>
        <v>Base_Base_Low_Upgraded_Eutrophication Potential (EP) - kg N eq_Land application of compost; wastewater treatment unit; at updated plant - US_Base_With Amendment_Windrow</v>
      </c>
    </row>
    <row r="658" spans="1:13" s="120" customFormat="1" x14ac:dyDescent="0.25">
      <c r="A658" s="119"/>
      <c r="B658" s="138" t="str">
        <f t="shared" si="32"/>
        <v>Windrow</v>
      </c>
      <c r="C658" s="138" t="str">
        <f t="shared" si="31"/>
        <v>Base_With Amendment</v>
      </c>
      <c r="D658" s="118" t="s">
        <v>133</v>
      </c>
      <c r="E658" s="118" t="s">
        <v>130</v>
      </c>
      <c r="F658" s="118" t="s">
        <v>46</v>
      </c>
      <c r="G658" s="153"/>
      <c r="H658" s="155">
        <v>3.4200000000000001E-2</v>
      </c>
      <c r="I658" s="154" t="s">
        <v>55</v>
      </c>
      <c r="J658" s="204">
        <v>5.5000000000000003E-4</v>
      </c>
      <c r="K658" s="154" t="s">
        <v>13</v>
      </c>
      <c r="L658" s="154" t="str">
        <f>IF(OpenLCAbasic!K658="CTUh", "Fill in Manually",IF(OR(K658="Unit", K658=""), "", INDEX(LookUps!$E$5:$E$12, MATCH(OpenLCAbasic!K658,LookUps!$D$5:$D$12,0))))</f>
        <v>Eutrophication Potential (EP) - kg N eq</v>
      </c>
      <c r="M658" s="154" t="str">
        <f t="shared" si="33"/>
        <v>Base_Base_Low_Upgraded_Eutrophication Potential (EP) - kg N eq_Aeration Tanks; wastewater treatment unit; at updated plant - US_Base_With Amendment_Windrow</v>
      </c>
    </row>
    <row r="659" spans="1:13" s="120" customFormat="1" x14ac:dyDescent="0.25">
      <c r="A659" s="119"/>
      <c r="B659" s="138" t="str">
        <f t="shared" si="32"/>
        <v>Windrow</v>
      </c>
      <c r="C659" s="138" t="str">
        <f t="shared" si="31"/>
        <v>Base_With Amendment</v>
      </c>
      <c r="D659" s="118" t="s">
        <v>133</v>
      </c>
      <c r="E659" s="118" t="s">
        <v>130</v>
      </c>
      <c r="F659" s="118" t="s">
        <v>46</v>
      </c>
      <c r="G659" s="153"/>
      <c r="H659" s="155">
        <v>2.4199999999999999E-2</v>
      </c>
      <c r="I659" s="154" t="s">
        <v>271</v>
      </c>
      <c r="J659" s="204">
        <v>3.8999999999999999E-4</v>
      </c>
      <c r="K659" s="154" t="s">
        <v>13</v>
      </c>
      <c r="L659" s="154" t="str">
        <f>IF(OpenLCAbasic!K659="CTUh", "Fill in Manually",IF(OR(K659="Unit", K659=""), "", INDEX(LookUps!$E$5:$E$12, MATCH(OpenLCAbasic!K659,LookUps!$D$5:$D$12,0))))</f>
        <v>Eutrophication Potential (EP) - kg N eq</v>
      </c>
      <c r="M659" s="154" t="str">
        <f t="shared" si="33"/>
        <v>Base_Base_Low_Upgraded_Eutrophication Potential (EP) - kg N eq_Biosolids composting; windrow composting; wastewater treatment unit; at updated plant - US_Base_With Amendment_Windrow</v>
      </c>
    </row>
    <row r="660" spans="1:13" s="120" customFormat="1" x14ac:dyDescent="0.25">
      <c r="A660" s="119"/>
      <c r="B660" s="138" t="str">
        <f t="shared" si="32"/>
        <v>Windrow</v>
      </c>
      <c r="C660" s="138" t="str">
        <f t="shared" si="31"/>
        <v>Base_With Amendment</v>
      </c>
      <c r="D660" s="118" t="s">
        <v>133</v>
      </c>
      <c r="E660" s="118" t="s">
        <v>130</v>
      </c>
      <c r="F660" s="118" t="s">
        <v>46</v>
      </c>
      <c r="G660" s="153"/>
      <c r="H660" s="155">
        <v>1.5599999999999999E-2</v>
      </c>
      <c r="I660" s="154" t="s">
        <v>147</v>
      </c>
      <c r="J660" s="204">
        <v>2.5000000000000001E-4</v>
      </c>
      <c r="K660" s="154" t="s">
        <v>13</v>
      </c>
      <c r="L660" s="154" t="str">
        <f>IF(OpenLCAbasic!K660="CTUh", "Fill in Manually",IF(OR(K660="Unit", K660=""), "", INDEX(LookUps!$E$5:$E$12, MATCH(OpenLCAbasic!K660,LookUps!$D$5:$D$12,0))))</f>
        <v>Eutrophication Potential (EP) - kg N eq</v>
      </c>
      <c r="M660" s="154" t="str">
        <f t="shared" si="33"/>
        <v>Base_Base_Low_Upgraded_Eutrophication Potential (EP) - kg N eq_Influent Pump Station; wastewater treatment unit; at updated plant - US_Base_With Amendment_Windrow</v>
      </c>
    </row>
    <row r="661" spans="1:13" s="120" customFormat="1" x14ac:dyDescent="0.25">
      <c r="A661" s="119"/>
      <c r="B661" s="138" t="str">
        <f t="shared" si="32"/>
        <v>Windrow</v>
      </c>
      <c r="C661" s="138" t="str">
        <f t="shared" si="31"/>
        <v>Base_With Amendment</v>
      </c>
      <c r="D661" s="118" t="s">
        <v>133</v>
      </c>
      <c r="E661" s="118" t="s">
        <v>130</v>
      </c>
      <c r="F661" s="118" t="s">
        <v>46</v>
      </c>
      <c r="G661" s="153"/>
      <c r="H661" s="155">
        <v>1.24E-2</v>
      </c>
      <c r="I661" s="154" t="s">
        <v>54</v>
      </c>
      <c r="J661" s="204">
        <v>2.0000000000000001E-4</v>
      </c>
      <c r="K661" s="154" t="s">
        <v>13</v>
      </c>
      <c r="L661" s="154" t="str">
        <f>IF(OpenLCAbasic!K661="CTUh", "Fill in Manually",IF(OR(K661="Unit", K661=""), "", INDEX(LookUps!$E$5:$E$12, MATCH(OpenLCAbasic!K661,LookUps!$D$5:$D$12,0))))</f>
        <v>Eutrophication Potential (EP) - kg N eq</v>
      </c>
      <c r="M661" s="154" t="str">
        <f t="shared" si="33"/>
        <v>Base_Base_Low_Upgraded_Eutrophication Potential (EP) - kg N eq_Clear Cove Primary Clarification; wastewater treatment unit; at updated plant - US_Base_With Amendment_Windrow</v>
      </c>
    </row>
    <row r="662" spans="1:13" s="120" customFormat="1" x14ac:dyDescent="0.25">
      <c r="A662" s="119"/>
      <c r="B662" s="138" t="str">
        <f t="shared" si="32"/>
        <v>Windrow</v>
      </c>
      <c r="C662" s="138" t="str">
        <f t="shared" si="31"/>
        <v>Base_With Amendment</v>
      </c>
      <c r="D662" s="118" t="s">
        <v>133</v>
      </c>
      <c r="E662" s="118" t="s">
        <v>130</v>
      </c>
      <c r="F662" s="118" t="s">
        <v>46</v>
      </c>
      <c r="G662" s="153"/>
      <c r="H662" s="155">
        <v>1.03E-2</v>
      </c>
      <c r="I662" s="154" t="s">
        <v>167</v>
      </c>
      <c r="J662" s="204">
        <v>1.6000000000000001E-4</v>
      </c>
      <c r="K662" s="154" t="s">
        <v>13</v>
      </c>
      <c r="L662" s="154" t="str">
        <f>IF(OpenLCAbasic!K662="CTUh", "Fill in Manually",IF(OR(K662="Unit", K662=""), "", INDEX(LookUps!$E$5:$E$12, MATCH(OpenLCAbasic!K662,LookUps!$D$5:$D$12,0))))</f>
        <v>Eutrophication Potential (EP) - kg N eq</v>
      </c>
      <c r="M662" s="154" t="str">
        <f t="shared" si="33"/>
        <v>Base_Base_Low_Upgraded_Eutrophication Potential (EP) - kg N eq_Waste Receiving and Holding; wastewater treatment unit; at updated plant - US_Base_With Amendment_Windrow</v>
      </c>
    </row>
    <row r="663" spans="1:13" s="120" customFormat="1" x14ac:dyDescent="0.25">
      <c r="A663" s="119"/>
      <c r="B663" s="138" t="str">
        <f t="shared" si="32"/>
        <v>Windrow</v>
      </c>
      <c r="C663" s="138" t="str">
        <f t="shared" si="31"/>
        <v>Base_With Amendment</v>
      </c>
      <c r="D663" s="118" t="s">
        <v>133</v>
      </c>
      <c r="E663" s="118" t="s">
        <v>130</v>
      </c>
      <c r="F663" s="118" t="s">
        <v>46</v>
      </c>
      <c r="G663" s="153"/>
      <c r="H663" s="155">
        <v>8.5000000000000006E-3</v>
      </c>
      <c r="I663" s="154" t="s">
        <v>58</v>
      </c>
      <c r="J663" s="204">
        <v>1.3999999999999999E-4</v>
      </c>
      <c r="K663" s="154" t="s">
        <v>13</v>
      </c>
      <c r="L663" s="154" t="str">
        <f>IF(OpenLCAbasic!K663="CTUh", "Fill in Manually",IF(OR(K663="Unit", K663=""), "", INDEX(LookUps!$E$5:$E$12, MATCH(OpenLCAbasic!K663,LookUps!$D$5:$D$12,0))))</f>
        <v>Eutrophication Potential (EP) - kg N eq</v>
      </c>
      <c r="M663" s="154" t="str">
        <f t="shared" si="33"/>
        <v>Base_Base_Low_Upgraded_Eutrophication Potential (EP) - kg N eq_Pre-Anoxic &amp; Swing tank; wastewater treatment unit; at updated plant - US_Base_With Amendment_Windrow</v>
      </c>
    </row>
    <row r="664" spans="1:13" s="120" customFormat="1" x14ac:dyDescent="0.25">
      <c r="A664" s="119"/>
      <c r="B664" s="138" t="str">
        <f t="shared" si="32"/>
        <v>Windrow</v>
      </c>
      <c r="C664" s="138" t="str">
        <f t="shared" si="31"/>
        <v>Base_With Amendment</v>
      </c>
      <c r="D664" s="118" t="s">
        <v>133</v>
      </c>
      <c r="E664" s="118" t="s">
        <v>130</v>
      </c>
      <c r="F664" s="118" t="s">
        <v>46</v>
      </c>
      <c r="G664" s="153"/>
      <c r="H664" s="155">
        <v>6.7000000000000002E-3</v>
      </c>
      <c r="I664" s="154" t="s">
        <v>53</v>
      </c>
      <c r="J664" s="204">
        <v>1.1E-4</v>
      </c>
      <c r="K664" s="154" t="s">
        <v>13</v>
      </c>
      <c r="L664" s="154" t="str">
        <f>IF(OpenLCAbasic!K664="CTUh", "Fill in Manually",IF(OR(K664="Unit", K664=""), "", INDEX(LookUps!$E$5:$E$12, MATCH(OpenLCAbasic!K664,LookUps!$D$5:$D$12,0))))</f>
        <v>Eutrophication Potential (EP) - kg N eq</v>
      </c>
      <c r="M664" s="154" t="str">
        <f t="shared" si="33"/>
        <v>Base_Base_Low_Upgraded_Eutrophication Potential (EP) - kg N eq_Wet Well and Sump Station; wastewater treatment unit; at updated plant - US_Base_With Amendment_Windrow</v>
      </c>
    </row>
    <row r="665" spans="1:13" s="120" customFormat="1" x14ac:dyDescent="0.25">
      <c r="A665" s="119"/>
      <c r="B665" s="138" t="str">
        <f t="shared" si="32"/>
        <v>Windrow</v>
      </c>
      <c r="C665" s="138" t="str">
        <f t="shared" si="31"/>
        <v>Base_With Amendment</v>
      </c>
      <c r="D665" s="118" t="s">
        <v>133</v>
      </c>
      <c r="E665" s="118" t="s">
        <v>130</v>
      </c>
      <c r="F665" s="118" t="s">
        <v>46</v>
      </c>
      <c r="G665" s="153"/>
      <c r="H665" s="155">
        <v>5.7000000000000002E-3</v>
      </c>
      <c r="I665" s="154" t="s">
        <v>149</v>
      </c>
      <c r="J665" s="204">
        <v>9.1798299999999998E-5</v>
      </c>
      <c r="K665" s="154" t="s">
        <v>13</v>
      </c>
      <c r="L665" s="154" t="str">
        <f>IF(OpenLCAbasic!K665="CTUh", "Fill in Manually",IF(OR(K665="Unit", K665=""), "", INDEX(LookUps!$E$5:$E$12, MATCH(OpenLCAbasic!K665,LookUps!$D$5:$D$12,0))))</f>
        <v>Eutrophication Potential (EP) - kg N eq</v>
      </c>
      <c r="M665" s="154" t="str">
        <f t="shared" si="33"/>
        <v>Base_Base_Low_Upgraded_Eutrophication Potential (EP) - kg N eq_Anaerobic Digestion; wastewater treatment unit; at updated plant - US_Base_With Amendment_Windrow</v>
      </c>
    </row>
    <row r="666" spans="1:13" s="120" customFormat="1" x14ac:dyDescent="0.25">
      <c r="A666" s="119"/>
      <c r="B666" s="138" t="str">
        <f t="shared" si="32"/>
        <v>Windrow</v>
      </c>
      <c r="C666" s="138" t="str">
        <f t="shared" si="31"/>
        <v>Base_With Amendment</v>
      </c>
      <c r="D666" s="118" t="s">
        <v>133</v>
      </c>
      <c r="E666" s="118" t="s">
        <v>130</v>
      </c>
      <c r="F666" s="118" t="s">
        <v>46</v>
      </c>
      <c r="G666" s="153"/>
      <c r="H666" s="155">
        <v>3.8E-3</v>
      </c>
      <c r="I666" s="154" t="s">
        <v>57</v>
      </c>
      <c r="J666" s="204">
        <v>6.0590300000000002E-5</v>
      </c>
      <c r="K666" s="154" t="s">
        <v>13</v>
      </c>
      <c r="L666" s="154" t="str">
        <f>IF(OpenLCAbasic!K666="CTUh", "Fill in Manually",IF(OR(K666="Unit", K666=""), "", INDEX(LookUps!$E$5:$E$12, MATCH(OpenLCAbasic!K666,LookUps!$D$5:$D$12,0))))</f>
        <v>Eutrophication Potential (EP) - kg N eq</v>
      </c>
      <c r="M666" s="154" t="str">
        <f t="shared" si="33"/>
        <v>Base_Base_Low_Upgraded_Eutrophication Potential (EP) - kg N eq_Gravity Belt Thickener; wastewater treatment unit; at updated plant - US_Base_With Amendment_Windrow</v>
      </c>
    </row>
    <row r="667" spans="1:13" s="120" customFormat="1" x14ac:dyDescent="0.25">
      <c r="A667" s="119"/>
      <c r="B667" s="138" t="str">
        <f t="shared" si="32"/>
        <v>Windrow</v>
      </c>
      <c r="C667" s="138" t="str">
        <f t="shared" si="31"/>
        <v>Base_With Amendment</v>
      </c>
      <c r="D667" s="118" t="s">
        <v>133</v>
      </c>
      <c r="E667" s="118" t="s">
        <v>130</v>
      </c>
      <c r="F667" s="118" t="s">
        <v>46</v>
      </c>
      <c r="G667" s="153"/>
      <c r="H667" s="155">
        <v>3.5000000000000001E-3</v>
      </c>
      <c r="I667" s="154" t="s">
        <v>60</v>
      </c>
      <c r="J667" s="204">
        <v>5.62289E-5</v>
      </c>
      <c r="K667" s="154" t="s">
        <v>13</v>
      </c>
      <c r="L667" s="154" t="str">
        <f>IF(OpenLCAbasic!K667="CTUh", "Fill in Manually",IF(OR(K667="Unit", K667=""), "", INDEX(LookUps!$E$5:$E$12, MATCH(OpenLCAbasic!K667,LookUps!$D$5:$D$12,0))))</f>
        <v>Eutrophication Potential (EP) - kg N eq</v>
      </c>
      <c r="M667" s="154" t="str">
        <f t="shared" si="33"/>
        <v>Base_Base_Low_Upgraded_Eutrophication Potential (EP) - kg N eq_Belt filter press; wastewater treatment unit; at updated plant - US_Base_With Amendment_Windrow</v>
      </c>
    </row>
    <row r="668" spans="1:13" s="120" customFormat="1" x14ac:dyDescent="0.25">
      <c r="A668" s="119"/>
      <c r="B668" s="138" t="str">
        <f t="shared" si="32"/>
        <v>Windrow</v>
      </c>
      <c r="C668" s="138" t="str">
        <f t="shared" si="31"/>
        <v>Base_With Amendment</v>
      </c>
      <c r="D668" s="118" t="s">
        <v>133</v>
      </c>
      <c r="E668" s="118" t="s">
        <v>130</v>
      </c>
      <c r="F668" s="118" t="s">
        <v>46</v>
      </c>
      <c r="G668" s="153"/>
      <c r="H668" s="155">
        <v>2.3E-3</v>
      </c>
      <c r="I668" s="154" t="s">
        <v>128</v>
      </c>
      <c r="J668" s="204">
        <v>3.7559799999999999E-5</v>
      </c>
      <c r="K668" s="154" t="s">
        <v>13</v>
      </c>
      <c r="L668" s="154" t="str">
        <f>IF(OpenLCAbasic!K668="CTUh", "Fill in Manually",IF(OR(K668="Unit", K668=""), "", INDEX(LookUps!$E$5:$E$12, MATCH(OpenLCAbasic!K668,LookUps!$D$5:$D$12,0))))</f>
        <v>Eutrophication Potential (EP) - kg N eq</v>
      </c>
      <c r="M668" s="154" t="str">
        <f t="shared" si="33"/>
        <v>Base_Base_Low_Upgraded_Eutrophication Potential (EP) - kg N eq_Wastewater collection; operation and infrastructure; m3 wastewater_Base_With Amendment_Windrow</v>
      </c>
    </row>
    <row r="669" spans="1:13" s="120" customFormat="1" x14ac:dyDescent="0.25">
      <c r="A669" s="119"/>
      <c r="B669" s="138" t="str">
        <f t="shared" si="32"/>
        <v>Windrow</v>
      </c>
      <c r="C669" s="138" t="str">
        <f t="shared" si="31"/>
        <v>Base_With Amendment</v>
      </c>
      <c r="D669" s="118" t="s">
        <v>133</v>
      </c>
      <c r="E669" s="118" t="s">
        <v>130</v>
      </c>
      <c r="F669" s="118" t="s">
        <v>46</v>
      </c>
      <c r="G669" s="153"/>
      <c r="H669" s="155">
        <v>2.3E-3</v>
      </c>
      <c r="I669" s="154" t="s">
        <v>148</v>
      </c>
      <c r="J669" s="204">
        <v>3.6874600000000001E-5</v>
      </c>
      <c r="K669" s="154" t="s">
        <v>13</v>
      </c>
      <c r="L669" s="154" t="str">
        <f>IF(OpenLCAbasic!K669="CTUh", "Fill in Manually",IF(OR(K669="Unit", K669=""), "", INDEX(LookUps!$E$5:$E$12, MATCH(OpenLCAbasic!K669,LookUps!$D$5:$D$12,0))))</f>
        <v>Eutrophication Potential (EP) - kg N eq</v>
      </c>
      <c r="M669" s="154" t="str">
        <f t="shared" si="33"/>
        <v>Base_Base_Low_Upgraded_Eutrophication Potential (EP) - kg N eq_Control Building; at upgraded wastewater treatment plant - US_Base_With Amendment_Windrow</v>
      </c>
    </row>
    <row r="670" spans="1:13" s="120" customFormat="1" x14ac:dyDescent="0.25">
      <c r="A670" s="119"/>
      <c r="B670" s="138" t="str">
        <f t="shared" si="32"/>
        <v>Windrow</v>
      </c>
      <c r="C670" s="138" t="str">
        <f t="shared" si="31"/>
        <v>Base_With Amendment</v>
      </c>
      <c r="D670" s="118" t="s">
        <v>133</v>
      </c>
      <c r="E670" s="118" t="s">
        <v>130</v>
      </c>
      <c r="F670" s="118" t="s">
        <v>46</v>
      </c>
      <c r="G670" s="153"/>
      <c r="H670" s="155">
        <v>1E-3</v>
      </c>
      <c r="I670" s="154" t="s">
        <v>59</v>
      </c>
      <c r="J670" s="204">
        <v>1.6215700000000001E-5</v>
      </c>
      <c r="K670" s="154" t="s">
        <v>13</v>
      </c>
      <c r="L670" s="154" t="str">
        <f>IF(OpenLCAbasic!K670="CTUh", "Fill in Manually",IF(OR(K670="Unit", K670=""), "", INDEX(LookUps!$E$5:$E$12, MATCH(OpenLCAbasic!K670,LookUps!$D$5:$D$12,0))))</f>
        <v>Eutrophication Potential (EP) - kg N eq</v>
      </c>
      <c r="M670" s="154" t="str">
        <f t="shared" si="33"/>
        <v>Base_Base_Low_Upgraded_Eutrophication Potential (EP) - kg N eq_Blend Tank; wastewater treatment unit; at updated plant - US_Base_With Amendment_Windrow</v>
      </c>
    </row>
    <row r="671" spans="1:13" s="120" customFormat="1" x14ac:dyDescent="0.25">
      <c r="A671" s="119"/>
      <c r="B671" s="138" t="str">
        <f t="shared" si="32"/>
        <v>Windrow</v>
      </c>
      <c r="C671" s="138" t="str">
        <f t="shared" ref="C671:C702" si="34">IF(E671&lt;&gt;"", "Base_With Amendment","")</f>
        <v>Base_With Amendment</v>
      </c>
      <c r="D671" s="118" t="s">
        <v>133</v>
      </c>
      <c r="E671" s="118" t="s">
        <v>130</v>
      </c>
      <c r="F671" s="118" t="s">
        <v>46</v>
      </c>
      <c r="G671" s="153"/>
      <c r="H671" s="155">
        <v>5.0000000000000001E-4</v>
      </c>
      <c r="I671" s="154" t="s">
        <v>168</v>
      </c>
      <c r="J671" s="204">
        <v>7.7567199999999995E-6</v>
      </c>
      <c r="K671" s="154" t="s">
        <v>13</v>
      </c>
      <c r="L671" s="154" t="str">
        <f>IF(OpenLCAbasic!K671="CTUh", "Fill in Manually",IF(OR(K671="Unit", K671=""), "", INDEX(LookUps!$E$5:$E$12, MATCH(OpenLCAbasic!K671,LookUps!$D$5:$D$12,0))))</f>
        <v>Eutrophication Potential (EP) - kg N eq</v>
      </c>
      <c r="M671" s="154" t="str">
        <f t="shared" si="33"/>
        <v>Base_Base_Low_Upgraded_Eutrophication Potential (EP) - kg N eq_ClearCove SCP; wastewater treatment unit; at updated plant - US_Base_With Amendment_Windrow</v>
      </c>
    </row>
    <row r="672" spans="1:13" s="120" customFormat="1" x14ac:dyDescent="0.25">
      <c r="A672" s="119"/>
      <c r="B672" s="138" t="str">
        <f t="shared" si="32"/>
        <v>Windrow</v>
      </c>
      <c r="C672" s="138" t="str">
        <f t="shared" si="34"/>
        <v>Base_With Amendment</v>
      </c>
      <c r="D672" s="118" t="s">
        <v>133</v>
      </c>
      <c r="E672" s="118" t="s">
        <v>130</v>
      </c>
      <c r="F672" s="118" t="s">
        <v>46</v>
      </c>
      <c r="G672" s="153" t="s">
        <v>51</v>
      </c>
      <c r="H672" s="154"/>
      <c r="I672" s="154" t="s">
        <v>47</v>
      </c>
      <c r="J672" s="154" t="s">
        <v>52</v>
      </c>
      <c r="K672" s="154" t="s">
        <v>27</v>
      </c>
      <c r="L672" s="154" t="str">
        <f>IF(OpenLCAbasic!K672="CTUh", "Fill in Manually",IF(OR(K672="Unit", K672=""), "", INDEX(LookUps!$E$5:$E$12, MATCH(OpenLCAbasic!K672,LookUps!$D$5:$D$12,0))))</f>
        <v/>
      </c>
      <c r="M672" s="154" t="str">
        <f t="shared" si="33"/>
        <v>Base_Base_Low_Upgraded__Process_Base_With Amendment_Windrow</v>
      </c>
    </row>
    <row r="673" spans="1:13" s="120" customFormat="1" x14ac:dyDescent="0.25">
      <c r="A673" s="119"/>
      <c r="B673" s="138" t="str">
        <f t="shared" si="32"/>
        <v>Windrow</v>
      </c>
      <c r="C673" s="138" t="str">
        <f t="shared" si="34"/>
        <v>Base_With Amendment</v>
      </c>
      <c r="D673" s="118" t="s">
        <v>133</v>
      </c>
      <c r="E673" s="118" t="s">
        <v>130</v>
      </c>
      <c r="F673" s="118" t="s">
        <v>46</v>
      </c>
      <c r="G673" s="153"/>
      <c r="H673" s="155">
        <v>0.24759999999999999</v>
      </c>
      <c r="I673" s="154" t="s">
        <v>55</v>
      </c>
      <c r="J673" s="157">
        <v>3.5330499999999998</v>
      </c>
      <c r="K673" s="154" t="s">
        <v>15</v>
      </c>
      <c r="L673" s="154" t="str">
        <f>IF(OpenLCAbasic!K673="CTUh", "Fill in Manually",IF(OR(K673="Unit", K673=""), "", INDEX(LookUps!$E$5:$E$12, MATCH(OpenLCAbasic!K673,LookUps!$D$5:$D$12,0))))</f>
        <v>Cumulative Energy Demand (CED) - MJ</v>
      </c>
      <c r="M673" s="154" t="str">
        <f t="shared" si="33"/>
        <v>Base_Base_Low_Upgraded_Cumulative Energy Demand (CED) - MJ_Aeration Tanks; wastewater treatment unit; at updated plant - US_Base_With Amendment_Windrow</v>
      </c>
    </row>
    <row r="674" spans="1:13" s="120" customFormat="1" x14ac:dyDescent="0.25">
      <c r="A674" s="119"/>
      <c r="B674" s="138" t="str">
        <f t="shared" si="32"/>
        <v>Windrow</v>
      </c>
      <c r="C674" s="138" t="str">
        <f t="shared" si="34"/>
        <v>Base_With Amendment</v>
      </c>
      <c r="D674" s="118" t="s">
        <v>133</v>
      </c>
      <c r="E674" s="118" t="s">
        <v>130</v>
      </c>
      <c r="F674" s="118" t="s">
        <v>46</v>
      </c>
      <c r="G674" s="153"/>
      <c r="H674" s="155">
        <v>0.2452</v>
      </c>
      <c r="I674" s="154" t="s">
        <v>167</v>
      </c>
      <c r="J674" s="157">
        <v>3.4982700000000002</v>
      </c>
      <c r="K674" s="154" t="s">
        <v>15</v>
      </c>
      <c r="L674" s="154" t="str">
        <f>IF(OpenLCAbasic!K674="CTUh", "Fill in Manually",IF(OR(K674="Unit", K674=""), "", INDEX(LookUps!$E$5:$E$12, MATCH(OpenLCAbasic!K674,LookUps!$D$5:$D$12,0))))</f>
        <v>Cumulative Energy Demand (CED) - MJ</v>
      </c>
      <c r="M674" s="154" t="str">
        <f t="shared" si="33"/>
        <v>Base_Base_Low_Upgraded_Cumulative Energy Demand (CED) - MJ_Waste Receiving and Holding; wastewater treatment unit; at updated plant - US_Base_With Amendment_Windrow</v>
      </c>
    </row>
    <row r="675" spans="1:13" s="120" customFormat="1" x14ac:dyDescent="0.25">
      <c r="A675" s="119"/>
      <c r="B675" s="138" t="str">
        <f t="shared" si="32"/>
        <v>Windrow</v>
      </c>
      <c r="C675" s="138" t="str">
        <f t="shared" si="34"/>
        <v>Base_With Amendment</v>
      </c>
      <c r="D675" s="118" t="s">
        <v>133</v>
      </c>
      <c r="E675" s="118" t="s">
        <v>130</v>
      </c>
      <c r="F675" s="118" t="s">
        <v>46</v>
      </c>
      <c r="G675" s="153"/>
      <c r="H675" s="155">
        <v>0.19159999999999999</v>
      </c>
      <c r="I675" s="154" t="s">
        <v>149</v>
      </c>
      <c r="J675" s="157">
        <v>2.7332200000000002</v>
      </c>
      <c r="K675" s="154" t="s">
        <v>15</v>
      </c>
      <c r="L675" s="154" t="str">
        <f>IF(OpenLCAbasic!K675="CTUh", "Fill in Manually",IF(OR(K675="Unit", K675=""), "", INDEX(LookUps!$E$5:$E$12, MATCH(OpenLCAbasic!K675,LookUps!$D$5:$D$12,0))))</f>
        <v>Cumulative Energy Demand (CED) - MJ</v>
      </c>
      <c r="M675" s="154" t="str">
        <f t="shared" si="33"/>
        <v>Base_Base_Low_Upgraded_Cumulative Energy Demand (CED) - MJ_Anaerobic Digestion; wastewater treatment unit; at updated plant - US_Base_With Amendment_Windrow</v>
      </c>
    </row>
    <row r="676" spans="1:13" s="120" customFormat="1" x14ac:dyDescent="0.25">
      <c r="A676" s="119"/>
      <c r="B676" s="138" t="str">
        <f t="shared" si="32"/>
        <v>Windrow</v>
      </c>
      <c r="C676" s="138" t="str">
        <f t="shared" si="34"/>
        <v>Base_With Amendment</v>
      </c>
      <c r="D676" s="118" t="s">
        <v>133</v>
      </c>
      <c r="E676" s="118" t="s">
        <v>130</v>
      </c>
      <c r="F676" s="118" t="s">
        <v>46</v>
      </c>
      <c r="G676" s="153"/>
      <c r="H676" s="155">
        <v>8.1500000000000003E-2</v>
      </c>
      <c r="I676" s="154" t="s">
        <v>54</v>
      </c>
      <c r="J676" s="203">
        <v>1.16289</v>
      </c>
      <c r="K676" s="154" t="s">
        <v>15</v>
      </c>
      <c r="L676" s="154" t="str">
        <f>IF(OpenLCAbasic!K676="CTUh", "Fill in Manually",IF(OR(K676="Unit", K676=""), "", INDEX(LookUps!$E$5:$E$12, MATCH(OpenLCAbasic!K676,LookUps!$D$5:$D$12,0))))</f>
        <v>Cumulative Energy Demand (CED) - MJ</v>
      </c>
      <c r="M676" s="154" t="str">
        <f t="shared" si="33"/>
        <v>Base_Base_Low_Upgraded_Cumulative Energy Demand (CED) - MJ_Clear Cove Primary Clarification; wastewater treatment unit; at updated plant - US_Base_With Amendment_Windrow</v>
      </c>
    </row>
    <row r="677" spans="1:13" s="120" customFormat="1" x14ac:dyDescent="0.25">
      <c r="A677" s="119"/>
      <c r="B677" s="138" t="str">
        <f t="shared" si="32"/>
        <v>Windrow</v>
      </c>
      <c r="C677" s="138" t="str">
        <f t="shared" si="34"/>
        <v>Base_With Amendment</v>
      </c>
      <c r="D677" s="118" t="s">
        <v>133</v>
      </c>
      <c r="E677" s="118" t="s">
        <v>130</v>
      </c>
      <c r="F677" s="118" t="s">
        <v>46</v>
      </c>
      <c r="G677" s="153"/>
      <c r="H677" s="155">
        <v>6.2E-2</v>
      </c>
      <c r="I677" s="154" t="s">
        <v>58</v>
      </c>
      <c r="J677" s="203">
        <v>0.88417000000000001</v>
      </c>
      <c r="K677" s="154" t="s">
        <v>15</v>
      </c>
      <c r="L677" s="154" t="str">
        <f>IF(OpenLCAbasic!K677="CTUh", "Fill in Manually",IF(OR(K677="Unit", K677=""), "", INDEX(LookUps!$E$5:$E$12, MATCH(OpenLCAbasic!K677,LookUps!$D$5:$D$12,0))))</f>
        <v>Cumulative Energy Demand (CED) - MJ</v>
      </c>
      <c r="M677" s="154" t="str">
        <f t="shared" si="33"/>
        <v>Base_Base_Low_Upgraded_Cumulative Energy Demand (CED) - MJ_Pre-Anoxic &amp; Swing tank; wastewater treatment unit; at updated plant - US_Base_With Amendment_Windrow</v>
      </c>
    </row>
    <row r="678" spans="1:13" s="120" customFormat="1" x14ac:dyDescent="0.25">
      <c r="A678" s="119"/>
      <c r="B678" s="138" t="str">
        <f t="shared" si="32"/>
        <v>Windrow</v>
      </c>
      <c r="C678" s="138" t="str">
        <f t="shared" si="34"/>
        <v>Base_With Amendment</v>
      </c>
      <c r="D678" s="118" t="s">
        <v>133</v>
      </c>
      <c r="E678" s="118" t="s">
        <v>130</v>
      </c>
      <c r="F678" s="118" t="s">
        <v>46</v>
      </c>
      <c r="G678" s="153"/>
      <c r="H678" s="155">
        <v>6.1899999999999997E-2</v>
      </c>
      <c r="I678" s="154" t="s">
        <v>147</v>
      </c>
      <c r="J678" s="203">
        <v>0.88297000000000003</v>
      </c>
      <c r="K678" s="154" t="s">
        <v>15</v>
      </c>
      <c r="L678" s="154" t="str">
        <f>IF(OpenLCAbasic!K678="CTUh", "Fill in Manually",IF(OR(K678="Unit", K678=""), "", INDEX(LookUps!$E$5:$E$12, MATCH(OpenLCAbasic!K678,LookUps!$D$5:$D$12,0))))</f>
        <v>Cumulative Energy Demand (CED) - MJ</v>
      </c>
      <c r="M678" s="154" t="str">
        <f t="shared" si="33"/>
        <v>Base_Base_Low_Upgraded_Cumulative Energy Demand (CED) - MJ_Influent Pump Station; wastewater treatment unit; at updated plant - US_Base_With Amendment_Windrow</v>
      </c>
    </row>
    <row r="679" spans="1:13" s="120" customFormat="1" x14ac:dyDescent="0.25">
      <c r="A679" s="119"/>
      <c r="B679" s="138" t="str">
        <f t="shared" si="32"/>
        <v>Windrow</v>
      </c>
      <c r="C679" s="138" t="str">
        <f t="shared" si="34"/>
        <v>Base_With Amendment</v>
      </c>
      <c r="D679" s="118" t="s">
        <v>133</v>
      </c>
      <c r="E679" s="118" t="s">
        <v>130</v>
      </c>
      <c r="F679" s="118" t="s">
        <v>46</v>
      </c>
      <c r="G679" s="153"/>
      <c r="H679" s="155">
        <v>4.8800000000000003E-2</v>
      </c>
      <c r="I679" s="154" t="s">
        <v>53</v>
      </c>
      <c r="J679" s="203">
        <v>0.69645000000000001</v>
      </c>
      <c r="K679" s="154" t="s">
        <v>15</v>
      </c>
      <c r="L679" s="154" t="str">
        <f>IF(OpenLCAbasic!K679="CTUh", "Fill in Manually",IF(OR(K679="Unit", K679=""), "", INDEX(LookUps!$E$5:$E$12, MATCH(OpenLCAbasic!K679,LookUps!$D$5:$D$12,0))))</f>
        <v>Cumulative Energy Demand (CED) - MJ</v>
      </c>
      <c r="M679" s="154" t="str">
        <f t="shared" si="33"/>
        <v>Base_Base_Low_Upgraded_Cumulative Energy Demand (CED) - MJ_Wet Well and Sump Station; wastewater treatment unit; at updated plant - US_Base_With Amendment_Windrow</v>
      </c>
    </row>
    <row r="680" spans="1:13" s="120" customFormat="1" x14ac:dyDescent="0.25">
      <c r="A680" s="119"/>
      <c r="B680" s="138" t="str">
        <f t="shared" si="32"/>
        <v>Windrow</v>
      </c>
      <c r="C680" s="138" t="str">
        <f t="shared" si="34"/>
        <v>Base_With Amendment</v>
      </c>
      <c r="D680" s="118" t="s">
        <v>133</v>
      </c>
      <c r="E680" s="118" t="s">
        <v>130</v>
      </c>
      <c r="F680" s="118" t="s">
        <v>46</v>
      </c>
      <c r="G680" s="153"/>
      <c r="H680" s="155">
        <v>2.3400000000000001E-2</v>
      </c>
      <c r="I680" s="154" t="s">
        <v>57</v>
      </c>
      <c r="J680" s="203">
        <v>0.33404</v>
      </c>
      <c r="K680" s="154" t="s">
        <v>15</v>
      </c>
      <c r="L680" s="154" t="str">
        <f>IF(OpenLCAbasic!K680="CTUh", "Fill in Manually",IF(OR(K680="Unit", K680=""), "", INDEX(LookUps!$E$5:$E$12, MATCH(OpenLCAbasic!K680,LookUps!$D$5:$D$12,0))))</f>
        <v>Cumulative Energy Demand (CED) - MJ</v>
      </c>
      <c r="M680" s="154" t="str">
        <f t="shared" si="33"/>
        <v>Base_Base_Low_Upgraded_Cumulative Energy Demand (CED) - MJ_Gravity Belt Thickener; wastewater treatment unit; at updated plant - US_Base_With Amendment_Windrow</v>
      </c>
    </row>
    <row r="681" spans="1:13" s="120" customFormat="1" x14ac:dyDescent="0.25">
      <c r="A681" s="119"/>
      <c r="B681" s="138" t="str">
        <f t="shared" si="32"/>
        <v>Windrow</v>
      </c>
      <c r="C681" s="138" t="str">
        <f t="shared" si="34"/>
        <v>Base_With Amendment</v>
      </c>
      <c r="D681" s="118" t="s">
        <v>133</v>
      </c>
      <c r="E681" s="118" t="s">
        <v>130</v>
      </c>
      <c r="F681" s="118" t="s">
        <v>46</v>
      </c>
      <c r="G681" s="153"/>
      <c r="H681" s="155">
        <v>2.24E-2</v>
      </c>
      <c r="I681" s="154" t="s">
        <v>60</v>
      </c>
      <c r="J681" s="203">
        <v>0.32008999999999999</v>
      </c>
      <c r="K681" s="154" t="s">
        <v>15</v>
      </c>
      <c r="L681" s="154" t="str">
        <f>IF(OpenLCAbasic!K681="CTUh", "Fill in Manually",IF(OR(K681="Unit", K681=""), "", INDEX(LookUps!$E$5:$E$12, MATCH(OpenLCAbasic!K681,LookUps!$D$5:$D$12,0))))</f>
        <v>Cumulative Energy Demand (CED) - MJ</v>
      </c>
      <c r="M681" s="154" t="str">
        <f t="shared" si="33"/>
        <v>Base_Base_Low_Upgraded_Cumulative Energy Demand (CED) - MJ_Belt filter press; wastewater treatment unit; at updated plant - US_Base_With Amendment_Windrow</v>
      </c>
    </row>
    <row r="682" spans="1:13" s="120" customFormat="1" x14ac:dyDescent="0.25">
      <c r="A682" s="119"/>
      <c r="B682" s="138" t="str">
        <f t="shared" si="32"/>
        <v>Windrow</v>
      </c>
      <c r="C682" s="138" t="str">
        <f t="shared" si="34"/>
        <v>Base_With Amendment</v>
      </c>
      <c r="D682" s="118" t="s">
        <v>133</v>
      </c>
      <c r="E682" s="118" t="s">
        <v>130</v>
      </c>
      <c r="F682" s="118" t="s">
        <v>46</v>
      </c>
      <c r="G682" s="153"/>
      <c r="H682" s="155">
        <v>1.7899999999999999E-2</v>
      </c>
      <c r="I682" s="154" t="s">
        <v>128</v>
      </c>
      <c r="J682" s="203">
        <v>0.25606000000000001</v>
      </c>
      <c r="K682" s="154" t="s">
        <v>15</v>
      </c>
      <c r="L682" s="154" t="str">
        <f>IF(OpenLCAbasic!K682="CTUh", "Fill in Manually",IF(OR(K682="Unit", K682=""), "", INDEX(LookUps!$E$5:$E$12, MATCH(OpenLCAbasic!K682,LookUps!$D$5:$D$12,0))))</f>
        <v>Cumulative Energy Demand (CED) - MJ</v>
      </c>
      <c r="M682" s="154" t="str">
        <f t="shared" si="33"/>
        <v>Base_Base_Low_Upgraded_Cumulative Energy Demand (CED) - MJ_Wastewater collection; operation and infrastructure; m3 wastewater_Base_With Amendment_Windrow</v>
      </c>
    </row>
    <row r="683" spans="1:13" s="120" customFormat="1" x14ac:dyDescent="0.25">
      <c r="A683" s="119"/>
      <c r="B683" s="138" t="str">
        <f t="shared" si="32"/>
        <v>Windrow</v>
      </c>
      <c r="C683" s="138" t="str">
        <f t="shared" si="34"/>
        <v>Base_With Amendment</v>
      </c>
      <c r="D683" s="118" t="s">
        <v>133</v>
      </c>
      <c r="E683" s="118" t="s">
        <v>130</v>
      </c>
      <c r="F683" s="118" t="s">
        <v>46</v>
      </c>
      <c r="G683" s="153"/>
      <c r="H683" s="155">
        <v>1.0200000000000001E-2</v>
      </c>
      <c r="I683" s="154" t="s">
        <v>148</v>
      </c>
      <c r="J683" s="203">
        <v>0.14599000000000001</v>
      </c>
      <c r="K683" s="154" t="s">
        <v>15</v>
      </c>
      <c r="L683" s="154" t="str">
        <f>IF(OpenLCAbasic!K683="CTUh", "Fill in Manually",IF(OR(K683="Unit", K683=""), "", INDEX(LookUps!$E$5:$E$12, MATCH(OpenLCAbasic!K683,LookUps!$D$5:$D$12,0))))</f>
        <v>Cumulative Energy Demand (CED) - MJ</v>
      </c>
      <c r="M683" s="154" t="str">
        <f t="shared" si="33"/>
        <v>Base_Base_Low_Upgraded_Cumulative Energy Demand (CED) - MJ_Control Building; at upgraded wastewater treatment plant - US_Base_With Amendment_Windrow</v>
      </c>
    </row>
    <row r="684" spans="1:13" s="120" customFormat="1" x14ac:dyDescent="0.25">
      <c r="A684" s="119"/>
      <c r="B684" s="138" t="str">
        <f t="shared" si="32"/>
        <v>Windrow</v>
      </c>
      <c r="C684" s="138" t="str">
        <f t="shared" si="34"/>
        <v>Base_With Amendment</v>
      </c>
      <c r="D684" s="118" t="s">
        <v>133</v>
      </c>
      <c r="E684" s="118" t="s">
        <v>130</v>
      </c>
      <c r="F684" s="118" t="s">
        <v>46</v>
      </c>
      <c r="G684" s="153"/>
      <c r="H684" s="155">
        <v>9.2999999999999992E-3</v>
      </c>
      <c r="I684" s="154" t="s">
        <v>48</v>
      </c>
      <c r="J684" s="203">
        <v>0.13321</v>
      </c>
      <c r="K684" s="154" t="s">
        <v>15</v>
      </c>
      <c r="L684" s="154" t="str">
        <f>IF(OpenLCAbasic!K684="CTUh", "Fill in Manually",IF(OR(K684="Unit", K684=""), "", INDEX(LookUps!$E$5:$E$12, MATCH(OpenLCAbasic!K684,LookUps!$D$5:$D$12,0))))</f>
        <v>Cumulative Energy Demand (CED) - MJ</v>
      </c>
      <c r="M684" s="154" t="str">
        <f t="shared" si="33"/>
        <v>Base_Base_Low_Upgraded_Cumulative Energy Demand (CED) - MJ_Effluent release; wastewater treatment unit; at surface water; m3 wastewater - US_Base_With Amendment_Windrow</v>
      </c>
    </row>
    <row r="685" spans="1:13" s="120" customFormat="1" x14ac:dyDescent="0.25">
      <c r="A685" s="119"/>
      <c r="B685" s="138" t="str">
        <f t="shared" si="32"/>
        <v>Windrow</v>
      </c>
      <c r="C685" s="138" t="str">
        <f t="shared" si="34"/>
        <v>Base_With Amendment</v>
      </c>
      <c r="D685" s="118" t="s">
        <v>133</v>
      </c>
      <c r="E685" s="118" t="s">
        <v>130</v>
      </c>
      <c r="F685" s="118" t="s">
        <v>46</v>
      </c>
      <c r="G685" s="153"/>
      <c r="H685" s="155">
        <v>7.4999999999999997E-3</v>
      </c>
      <c r="I685" s="154" t="s">
        <v>59</v>
      </c>
      <c r="J685" s="203">
        <v>0.10638</v>
      </c>
      <c r="K685" s="154" t="s">
        <v>15</v>
      </c>
      <c r="L685" s="154" t="str">
        <f>IF(OpenLCAbasic!K685="CTUh", "Fill in Manually",IF(OR(K685="Unit", K685=""), "", INDEX(LookUps!$E$5:$E$12, MATCH(OpenLCAbasic!K685,LookUps!$D$5:$D$12,0))))</f>
        <v>Cumulative Energy Demand (CED) - MJ</v>
      </c>
      <c r="M685" s="154" t="str">
        <f t="shared" si="33"/>
        <v>Base_Base_Low_Upgraded_Cumulative Energy Demand (CED) - MJ_Blend Tank; wastewater treatment unit; at updated plant - US_Base_With Amendment_Windrow</v>
      </c>
    </row>
    <row r="686" spans="1:13" s="120" customFormat="1" x14ac:dyDescent="0.25">
      <c r="A686" s="119"/>
      <c r="B686" s="138" t="str">
        <f t="shared" si="32"/>
        <v>Windrow</v>
      </c>
      <c r="C686" s="138" t="str">
        <f t="shared" si="34"/>
        <v>Base_With Amendment</v>
      </c>
      <c r="D686" s="118" t="s">
        <v>133</v>
      </c>
      <c r="E686" s="118" t="s">
        <v>130</v>
      </c>
      <c r="F686" s="118" t="s">
        <v>46</v>
      </c>
      <c r="G686" s="153"/>
      <c r="H686" s="155">
        <v>3.5999999999999999E-3</v>
      </c>
      <c r="I686" s="154" t="s">
        <v>168</v>
      </c>
      <c r="J686" s="203">
        <v>5.0930000000000003E-2</v>
      </c>
      <c r="K686" s="154" t="s">
        <v>15</v>
      </c>
      <c r="L686" s="154" t="str">
        <f>IF(OpenLCAbasic!K686="CTUh", "Fill in Manually",IF(OR(K686="Unit", K686=""), "", INDEX(LookUps!$E$5:$E$12, MATCH(OpenLCAbasic!K686,LookUps!$D$5:$D$12,0))))</f>
        <v>Cumulative Energy Demand (CED) - MJ</v>
      </c>
      <c r="M686" s="154" t="str">
        <f t="shared" si="33"/>
        <v>Base_Base_Low_Upgraded_Cumulative Energy Demand (CED) - MJ_ClearCove SCP; wastewater treatment unit; at updated plant - US_Base_With Amendment_Windrow</v>
      </c>
    </row>
    <row r="687" spans="1:13" s="120" customFormat="1" x14ac:dyDescent="0.25">
      <c r="A687" s="119"/>
      <c r="B687" s="138" t="str">
        <f t="shared" si="32"/>
        <v>Windrow</v>
      </c>
      <c r="C687" s="138" t="str">
        <f t="shared" si="34"/>
        <v>Base_With Amendment</v>
      </c>
      <c r="D687" s="118" t="s">
        <v>133</v>
      </c>
      <c r="E687" s="118" t="s">
        <v>130</v>
      </c>
      <c r="F687" s="118" t="s">
        <v>46</v>
      </c>
      <c r="G687" s="153"/>
      <c r="H687" s="155">
        <v>1.6000000000000001E-3</v>
      </c>
      <c r="I687" s="154" t="s">
        <v>271</v>
      </c>
      <c r="J687" s="203">
        <v>2.2919999999999999E-2</v>
      </c>
      <c r="K687" s="154" t="s">
        <v>15</v>
      </c>
      <c r="L687" s="154" t="str">
        <f>IF(OpenLCAbasic!K687="CTUh", "Fill in Manually",IF(OR(K687="Unit", K687=""), "", INDEX(LookUps!$E$5:$E$12, MATCH(OpenLCAbasic!K687,LookUps!$D$5:$D$12,0))))</f>
        <v>Cumulative Energy Demand (CED) - MJ</v>
      </c>
      <c r="M687" s="154" t="str">
        <f t="shared" si="33"/>
        <v>Base_Base_Low_Upgraded_Cumulative Energy Demand (CED) - MJ_Biosolids composting; windrow composting; wastewater treatment unit; at updated plant - US_Base_With Amendment_Windrow</v>
      </c>
    </row>
    <row r="688" spans="1:13" s="120" customFormat="1" x14ac:dyDescent="0.25">
      <c r="A688" s="119"/>
      <c r="B688" s="138" t="str">
        <f t="shared" si="32"/>
        <v>Windrow</v>
      </c>
      <c r="C688" s="138" t="str">
        <f t="shared" si="34"/>
        <v>Base_With Amendment</v>
      </c>
      <c r="D688" s="118" t="s">
        <v>133</v>
      </c>
      <c r="E688" s="118" t="s">
        <v>130</v>
      </c>
      <c r="F688" s="118" t="s">
        <v>46</v>
      </c>
      <c r="G688" s="153"/>
      <c r="H688" s="155">
        <v>-3.4500000000000003E-2</v>
      </c>
      <c r="I688" s="154" t="s">
        <v>62</v>
      </c>
      <c r="J688" s="203">
        <v>-0.49231000000000003</v>
      </c>
      <c r="K688" s="154" t="s">
        <v>15</v>
      </c>
      <c r="L688" s="154" t="str">
        <f>IF(OpenLCAbasic!K688="CTUh", "Fill in Manually",IF(OR(K688="Unit", K688=""), "", INDEX(LookUps!$E$5:$E$12, MATCH(OpenLCAbasic!K688,LookUps!$D$5:$D$12,0))))</f>
        <v>Cumulative Energy Demand (CED) - MJ</v>
      </c>
      <c r="M688" s="154" t="str">
        <f t="shared" si="33"/>
        <v>Base_Base_Low_Upgraded_Cumulative Energy Demand (CED) - MJ_Land application of compost; wastewater treatment unit; at updated plant - US_Base_With Amendment_Windrow</v>
      </c>
    </row>
    <row r="689" spans="1:13" s="120" customFormat="1" x14ac:dyDescent="0.25">
      <c r="A689" s="119"/>
      <c r="B689" s="138" t="str">
        <f t="shared" si="32"/>
        <v>Windrow</v>
      </c>
      <c r="C689" s="138" t="str">
        <f t="shared" si="34"/>
        <v>Base_With Amendment</v>
      </c>
      <c r="D689" s="118" t="s">
        <v>133</v>
      </c>
      <c r="E689" s="118" t="s">
        <v>130</v>
      </c>
      <c r="F689" s="118" t="s">
        <v>46</v>
      </c>
      <c r="G689" s="153" t="s">
        <v>51</v>
      </c>
      <c r="H689" s="154"/>
      <c r="I689" s="154" t="s">
        <v>47</v>
      </c>
      <c r="J689" s="154" t="s">
        <v>52</v>
      </c>
      <c r="K689" s="154" t="s">
        <v>27</v>
      </c>
      <c r="L689" s="154" t="str">
        <f>IF(OpenLCAbasic!K689="CTUh", "Fill in Manually",IF(OR(K689="Unit", K689=""), "", INDEX(LookUps!$E$5:$E$12, MATCH(OpenLCAbasic!K689,LookUps!$D$5:$D$12,0))))</f>
        <v/>
      </c>
      <c r="M689" s="154" t="str">
        <f t="shared" si="33"/>
        <v>Base_Base_Low_Upgraded__Process_Base_With Amendment_Windrow</v>
      </c>
    </row>
    <row r="690" spans="1:13" s="120" customFormat="1" x14ac:dyDescent="0.25">
      <c r="A690" s="119"/>
      <c r="B690" s="138" t="str">
        <f t="shared" si="32"/>
        <v>Windrow</v>
      </c>
      <c r="C690" s="138" t="str">
        <f t="shared" si="34"/>
        <v>Base_With Amendment</v>
      </c>
      <c r="D690" s="118" t="s">
        <v>133</v>
      </c>
      <c r="E690" s="118" t="s">
        <v>130</v>
      </c>
      <c r="F690" s="118" t="s">
        <v>46</v>
      </c>
      <c r="G690" s="153"/>
      <c r="H690" s="155">
        <v>0.34379999999999999</v>
      </c>
      <c r="I690" s="154" t="s">
        <v>55</v>
      </c>
      <c r="J690" s="203">
        <v>1.7219999999999999E-2</v>
      </c>
      <c r="K690" s="154" t="s">
        <v>24</v>
      </c>
      <c r="L690" s="154" t="str">
        <f>IF(OpenLCAbasic!K690="CTUh", "Fill in Manually",IF(OR(K690="Unit", K690=""), "", INDEX(LookUps!$E$5:$E$12, MATCH(OpenLCAbasic!K690,LookUps!$D$5:$D$12,0))))</f>
        <v>Acidification Potential (AP) - kg SO2 eq</v>
      </c>
      <c r="M690" s="154" t="str">
        <f t="shared" si="33"/>
        <v>Base_Base_Low_Upgraded_Acidification Potential (AP) - kg SO2 eq_Aeration Tanks; wastewater treatment unit; at updated plant - US_Base_With Amendment_Windrow</v>
      </c>
    </row>
    <row r="691" spans="1:13" s="120" customFormat="1" x14ac:dyDescent="0.25">
      <c r="A691" s="119"/>
      <c r="B691" s="138" t="str">
        <f t="shared" si="32"/>
        <v>Windrow</v>
      </c>
      <c r="C691" s="138" t="str">
        <f t="shared" si="34"/>
        <v>Base_With Amendment</v>
      </c>
      <c r="D691" s="118" t="s">
        <v>133</v>
      </c>
      <c r="E691" s="118" t="s">
        <v>130</v>
      </c>
      <c r="F691" s="118" t="s">
        <v>46</v>
      </c>
      <c r="G691" s="153"/>
      <c r="H691" s="155">
        <v>0.1227</v>
      </c>
      <c r="I691" s="154" t="s">
        <v>271</v>
      </c>
      <c r="J691" s="204">
        <v>6.1500000000000001E-3</v>
      </c>
      <c r="K691" s="154" t="s">
        <v>24</v>
      </c>
      <c r="L691" s="154" t="str">
        <f>IF(OpenLCAbasic!K691="CTUh", "Fill in Manually",IF(OR(K691="Unit", K691=""), "", INDEX(LookUps!$E$5:$E$12, MATCH(OpenLCAbasic!K691,LookUps!$D$5:$D$12,0))))</f>
        <v>Acidification Potential (AP) - kg SO2 eq</v>
      </c>
      <c r="M691" s="154" t="str">
        <f t="shared" si="33"/>
        <v>Base_Base_Low_Upgraded_Acidification Potential (AP) - kg SO2 eq_Biosolids composting; windrow composting; wastewater treatment unit; at updated plant - US_Base_With Amendment_Windrow</v>
      </c>
    </row>
    <row r="692" spans="1:13" s="120" customFormat="1" x14ac:dyDescent="0.25">
      <c r="A692" s="119"/>
      <c r="B692" s="138" t="str">
        <f t="shared" si="32"/>
        <v>Windrow</v>
      </c>
      <c r="C692" s="138" t="str">
        <f t="shared" si="34"/>
        <v>Base_With Amendment</v>
      </c>
      <c r="D692" s="118" t="s">
        <v>133</v>
      </c>
      <c r="E692" s="118" t="s">
        <v>130</v>
      </c>
      <c r="F692" s="118" t="s">
        <v>46</v>
      </c>
      <c r="G692" s="153"/>
      <c r="H692" s="155">
        <v>9.9400000000000002E-2</v>
      </c>
      <c r="I692" s="154" t="s">
        <v>54</v>
      </c>
      <c r="J692" s="204">
        <v>4.9800000000000001E-3</v>
      </c>
      <c r="K692" s="154" t="s">
        <v>24</v>
      </c>
      <c r="L692" s="154" t="str">
        <f>IF(OpenLCAbasic!K692="CTUh", "Fill in Manually",IF(OR(K692="Unit", K692=""), "", INDEX(LookUps!$E$5:$E$12, MATCH(OpenLCAbasic!K692,LookUps!$D$5:$D$12,0))))</f>
        <v>Acidification Potential (AP) - kg SO2 eq</v>
      </c>
      <c r="M692" s="154" t="str">
        <f t="shared" si="33"/>
        <v>Base_Base_Low_Upgraded_Acidification Potential (AP) - kg SO2 eq_Clear Cove Primary Clarification; wastewater treatment unit; at updated plant - US_Base_With Amendment_Windrow</v>
      </c>
    </row>
    <row r="693" spans="1:13" s="120" customFormat="1" x14ac:dyDescent="0.25">
      <c r="A693" s="119"/>
      <c r="B693" s="138" t="str">
        <f t="shared" si="32"/>
        <v>Windrow</v>
      </c>
      <c r="C693" s="138" t="str">
        <f t="shared" si="34"/>
        <v>Base_With Amendment</v>
      </c>
      <c r="D693" s="118" t="s">
        <v>133</v>
      </c>
      <c r="E693" s="118" t="s">
        <v>130</v>
      </c>
      <c r="F693" s="118" t="s">
        <v>46</v>
      </c>
      <c r="G693" s="153"/>
      <c r="H693" s="155">
        <v>8.6499999999999994E-2</v>
      </c>
      <c r="I693" s="154" t="s">
        <v>58</v>
      </c>
      <c r="J693" s="204">
        <v>4.3299999999999996E-3</v>
      </c>
      <c r="K693" s="154" t="s">
        <v>24</v>
      </c>
      <c r="L693" s="154" t="str">
        <f>IF(OpenLCAbasic!K693="CTUh", "Fill in Manually",IF(OR(K693="Unit", K693=""), "", INDEX(LookUps!$E$5:$E$12, MATCH(OpenLCAbasic!K693,LookUps!$D$5:$D$12,0))))</f>
        <v>Acidification Potential (AP) - kg SO2 eq</v>
      </c>
      <c r="M693" s="154" t="str">
        <f t="shared" si="33"/>
        <v>Base_Base_Low_Upgraded_Acidification Potential (AP) - kg SO2 eq_Pre-Anoxic &amp; Swing tank; wastewater treatment unit; at updated plant - US_Base_With Amendment_Windrow</v>
      </c>
    </row>
    <row r="694" spans="1:13" s="120" customFormat="1" x14ac:dyDescent="0.25">
      <c r="A694" s="119"/>
      <c r="B694" s="138" t="str">
        <f t="shared" si="32"/>
        <v>Windrow</v>
      </c>
      <c r="C694" s="138" t="str">
        <f t="shared" si="34"/>
        <v>Base_With Amendment</v>
      </c>
      <c r="D694" s="118" t="s">
        <v>133</v>
      </c>
      <c r="E694" s="118" t="s">
        <v>130</v>
      </c>
      <c r="F694" s="118" t="s">
        <v>46</v>
      </c>
      <c r="G694" s="153"/>
      <c r="H694" s="155">
        <v>6.8900000000000003E-2</v>
      </c>
      <c r="I694" s="154" t="s">
        <v>53</v>
      </c>
      <c r="J694" s="204">
        <v>3.4499999999999999E-3</v>
      </c>
      <c r="K694" s="154" t="s">
        <v>24</v>
      </c>
      <c r="L694" s="154" t="str">
        <f>IF(OpenLCAbasic!K694="CTUh", "Fill in Manually",IF(OR(K694="Unit", K694=""), "", INDEX(LookUps!$E$5:$E$12, MATCH(OpenLCAbasic!K694,LookUps!$D$5:$D$12,0))))</f>
        <v>Acidification Potential (AP) - kg SO2 eq</v>
      </c>
      <c r="M694" s="154" t="str">
        <f t="shared" si="33"/>
        <v>Base_Base_Low_Upgraded_Acidification Potential (AP) - kg SO2 eq_Wet Well and Sump Station; wastewater treatment unit; at updated plant - US_Base_With Amendment_Windrow</v>
      </c>
    </row>
    <row r="695" spans="1:13" s="120" customFormat="1" x14ac:dyDescent="0.25">
      <c r="A695" s="119"/>
      <c r="B695" s="138" t="str">
        <f t="shared" si="32"/>
        <v>Windrow</v>
      </c>
      <c r="C695" s="138" t="str">
        <f t="shared" si="34"/>
        <v>Base_With Amendment</v>
      </c>
      <c r="D695" s="118" t="s">
        <v>133</v>
      </c>
      <c r="E695" s="118" t="s">
        <v>130</v>
      </c>
      <c r="F695" s="118" t="s">
        <v>46</v>
      </c>
      <c r="G695" s="153"/>
      <c r="H695" s="155">
        <v>5.91E-2</v>
      </c>
      <c r="I695" s="154" t="s">
        <v>62</v>
      </c>
      <c r="J695" s="204">
        <v>2.96E-3</v>
      </c>
      <c r="K695" s="154" t="s">
        <v>24</v>
      </c>
      <c r="L695" s="154" t="str">
        <f>IF(OpenLCAbasic!K695="CTUh", "Fill in Manually",IF(OR(K695="Unit", K695=""), "", INDEX(LookUps!$E$5:$E$12, MATCH(OpenLCAbasic!K695,LookUps!$D$5:$D$12,0))))</f>
        <v>Acidification Potential (AP) - kg SO2 eq</v>
      </c>
      <c r="M695" s="154" t="str">
        <f t="shared" si="33"/>
        <v>Base_Base_Low_Upgraded_Acidification Potential (AP) - kg SO2 eq_Land application of compost; wastewater treatment unit; at updated plant - US_Base_With Amendment_Windrow</v>
      </c>
    </row>
    <row r="696" spans="1:13" s="120" customFormat="1" x14ac:dyDescent="0.25">
      <c r="A696" s="119"/>
      <c r="B696" s="138" t="str">
        <f t="shared" si="32"/>
        <v>Windrow</v>
      </c>
      <c r="C696" s="138" t="str">
        <f t="shared" si="34"/>
        <v>Base_With Amendment</v>
      </c>
      <c r="D696" s="118" t="s">
        <v>133</v>
      </c>
      <c r="E696" s="118" t="s">
        <v>130</v>
      </c>
      <c r="F696" s="118" t="s">
        <v>46</v>
      </c>
      <c r="G696" s="153"/>
      <c r="H696" s="155">
        <v>5.1799999999999999E-2</v>
      </c>
      <c r="I696" s="154" t="s">
        <v>149</v>
      </c>
      <c r="J696" s="204">
        <v>2.5999999999999999E-3</v>
      </c>
      <c r="K696" s="154" t="s">
        <v>24</v>
      </c>
      <c r="L696" s="154" t="str">
        <f>IF(OpenLCAbasic!K696="CTUh", "Fill in Manually",IF(OR(K696="Unit", K696=""), "", INDEX(LookUps!$E$5:$E$12, MATCH(OpenLCAbasic!K696,LookUps!$D$5:$D$12,0))))</f>
        <v>Acidification Potential (AP) - kg SO2 eq</v>
      </c>
      <c r="M696" s="154" t="str">
        <f t="shared" si="33"/>
        <v>Base_Base_Low_Upgraded_Acidification Potential (AP) - kg SO2 eq_Anaerobic Digestion; wastewater treatment unit; at updated plant - US_Base_With Amendment_Windrow</v>
      </c>
    </row>
    <row r="697" spans="1:13" s="120" customFormat="1" x14ac:dyDescent="0.25">
      <c r="A697" s="119"/>
      <c r="B697" s="138" t="str">
        <f t="shared" si="32"/>
        <v>Windrow</v>
      </c>
      <c r="C697" s="138" t="str">
        <f t="shared" si="34"/>
        <v>Base_With Amendment</v>
      </c>
      <c r="D697" s="118" t="s">
        <v>133</v>
      </c>
      <c r="E697" s="118" t="s">
        <v>130</v>
      </c>
      <c r="F697" s="118" t="s">
        <v>46</v>
      </c>
      <c r="G697" s="153"/>
      <c r="H697" s="155">
        <v>4.7399999999999998E-2</v>
      </c>
      <c r="I697" s="154" t="s">
        <v>167</v>
      </c>
      <c r="J697" s="204">
        <v>2.3800000000000002E-3</v>
      </c>
      <c r="K697" s="154" t="s">
        <v>24</v>
      </c>
      <c r="L697" s="154" t="str">
        <f>IF(OpenLCAbasic!K697="CTUh", "Fill in Manually",IF(OR(K697="Unit", K697=""), "", INDEX(LookUps!$E$5:$E$12, MATCH(OpenLCAbasic!K697,LookUps!$D$5:$D$12,0))))</f>
        <v>Acidification Potential (AP) - kg SO2 eq</v>
      </c>
      <c r="M697" s="154" t="str">
        <f t="shared" si="33"/>
        <v>Base_Base_Low_Upgraded_Acidification Potential (AP) - kg SO2 eq_Waste Receiving and Holding; wastewater treatment unit; at updated plant - US_Base_With Amendment_Windrow</v>
      </c>
    </row>
    <row r="698" spans="1:13" s="120" customFormat="1" x14ac:dyDescent="0.25">
      <c r="A698" s="119"/>
      <c r="B698" s="138" t="str">
        <f t="shared" si="32"/>
        <v>Windrow</v>
      </c>
      <c r="C698" s="138" t="str">
        <f t="shared" si="34"/>
        <v>Base_With Amendment</v>
      </c>
      <c r="D698" s="118" t="s">
        <v>133</v>
      </c>
      <c r="E698" s="118" t="s">
        <v>130</v>
      </c>
      <c r="F698" s="118" t="s">
        <v>46</v>
      </c>
      <c r="G698" s="153"/>
      <c r="H698" s="155">
        <v>4.1300000000000003E-2</v>
      </c>
      <c r="I698" s="154" t="s">
        <v>147</v>
      </c>
      <c r="J698" s="204">
        <v>2.0699999999999998E-3</v>
      </c>
      <c r="K698" s="154" t="s">
        <v>24</v>
      </c>
      <c r="L698" s="154" t="str">
        <f>IF(OpenLCAbasic!K698="CTUh", "Fill in Manually",IF(OR(K698="Unit", K698=""), "", INDEX(LookUps!$E$5:$E$12, MATCH(OpenLCAbasic!K698,LookUps!$D$5:$D$12,0))))</f>
        <v>Acidification Potential (AP) - kg SO2 eq</v>
      </c>
      <c r="M698" s="154" t="str">
        <f t="shared" si="33"/>
        <v>Base_Base_Low_Upgraded_Acidification Potential (AP) - kg SO2 eq_Influent Pump Station; wastewater treatment unit; at updated plant - US_Base_With Amendment_Windrow</v>
      </c>
    </row>
    <row r="699" spans="1:13" s="120" customFormat="1" x14ac:dyDescent="0.25">
      <c r="A699" s="119"/>
      <c r="B699" s="138" t="str">
        <f t="shared" si="32"/>
        <v>Windrow</v>
      </c>
      <c r="C699" s="138" t="str">
        <f t="shared" si="34"/>
        <v>Base_With Amendment</v>
      </c>
      <c r="D699" s="118" t="s">
        <v>133</v>
      </c>
      <c r="E699" s="118" t="s">
        <v>130</v>
      </c>
      <c r="F699" s="118" t="s">
        <v>46</v>
      </c>
      <c r="G699" s="153"/>
      <c r="H699" s="155">
        <v>2.46E-2</v>
      </c>
      <c r="I699" s="154" t="s">
        <v>128</v>
      </c>
      <c r="J699" s="204">
        <v>1.23E-3</v>
      </c>
      <c r="K699" s="154" t="s">
        <v>24</v>
      </c>
      <c r="L699" s="154" t="str">
        <f>IF(OpenLCAbasic!K699="CTUh", "Fill in Manually",IF(OR(K699="Unit", K699=""), "", INDEX(LookUps!$E$5:$E$12, MATCH(OpenLCAbasic!K699,LookUps!$D$5:$D$12,0))))</f>
        <v>Acidification Potential (AP) - kg SO2 eq</v>
      </c>
      <c r="M699" s="154" t="str">
        <f t="shared" si="33"/>
        <v>Base_Base_Low_Upgraded_Acidification Potential (AP) - kg SO2 eq_Wastewater collection; operation and infrastructure; m3 wastewater_Base_With Amendment_Windrow</v>
      </c>
    </row>
    <row r="700" spans="1:13" s="120" customFormat="1" x14ac:dyDescent="0.25">
      <c r="A700" s="119"/>
      <c r="B700" s="138" t="str">
        <f t="shared" si="32"/>
        <v>Windrow</v>
      </c>
      <c r="C700" s="138" t="str">
        <f t="shared" si="34"/>
        <v>Base_With Amendment</v>
      </c>
      <c r="D700" s="118" t="s">
        <v>133</v>
      </c>
      <c r="E700" s="118" t="s">
        <v>130</v>
      </c>
      <c r="F700" s="118" t="s">
        <v>46</v>
      </c>
      <c r="G700" s="153"/>
      <c r="H700" s="155">
        <v>1.7100000000000001E-2</v>
      </c>
      <c r="I700" s="154" t="s">
        <v>60</v>
      </c>
      <c r="J700" s="204">
        <v>8.5999999999999998E-4</v>
      </c>
      <c r="K700" s="154" t="s">
        <v>24</v>
      </c>
      <c r="L700" s="154" t="str">
        <f>IF(OpenLCAbasic!K700="CTUh", "Fill in Manually",IF(OR(K700="Unit", K700=""), "", INDEX(LookUps!$E$5:$E$12, MATCH(OpenLCAbasic!K700,LookUps!$D$5:$D$12,0))))</f>
        <v>Acidification Potential (AP) - kg SO2 eq</v>
      </c>
      <c r="M700" s="154" t="str">
        <f t="shared" si="33"/>
        <v>Base_Base_Low_Upgraded_Acidification Potential (AP) - kg SO2 eq_Belt filter press; wastewater treatment unit; at updated plant - US_Base_With Amendment_Windrow</v>
      </c>
    </row>
    <row r="701" spans="1:13" s="120" customFormat="1" x14ac:dyDescent="0.25">
      <c r="A701" s="119"/>
      <c r="B701" s="138" t="str">
        <f t="shared" si="32"/>
        <v>Windrow</v>
      </c>
      <c r="C701" s="138" t="str">
        <f t="shared" si="34"/>
        <v>Base_With Amendment</v>
      </c>
      <c r="D701" s="118" t="s">
        <v>133</v>
      </c>
      <c r="E701" s="118" t="s">
        <v>130</v>
      </c>
      <c r="F701" s="118" t="s">
        <v>46</v>
      </c>
      <c r="G701" s="153"/>
      <c r="H701" s="155">
        <v>1.41E-2</v>
      </c>
      <c r="I701" s="154" t="s">
        <v>57</v>
      </c>
      <c r="J701" s="204">
        <v>6.9999999999999999E-4</v>
      </c>
      <c r="K701" s="154" t="s">
        <v>24</v>
      </c>
      <c r="L701" s="154" t="str">
        <f>IF(OpenLCAbasic!K701="CTUh", "Fill in Manually",IF(OR(K701="Unit", K701=""), "", INDEX(LookUps!$E$5:$E$12, MATCH(OpenLCAbasic!K701,LookUps!$D$5:$D$12,0))))</f>
        <v>Acidification Potential (AP) - kg SO2 eq</v>
      </c>
      <c r="M701" s="154" t="str">
        <f t="shared" si="33"/>
        <v>Base_Base_Low_Upgraded_Acidification Potential (AP) - kg SO2 eq_Gravity Belt Thickener; wastewater treatment unit; at updated plant - US_Base_With Amendment_Windrow</v>
      </c>
    </row>
    <row r="702" spans="1:13" s="120" customFormat="1" x14ac:dyDescent="0.25">
      <c r="A702" s="119"/>
      <c r="B702" s="138" t="str">
        <f t="shared" si="32"/>
        <v>Windrow</v>
      </c>
      <c r="C702" s="138" t="str">
        <f t="shared" si="34"/>
        <v>Base_With Amendment</v>
      </c>
      <c r="D702" s="118" t="s">
        <v>133</v>
      </c>
      <c r="E702" s="118" t="s">
        <v>130</v>
      </c>
      <c r="F702" s="118" t="s">
        <v>46</v>
      </c>
      <c r="G702" s="153"/>
      <c r="H702" s="155">
        <v>1.03E-2</v>
      </c>
      <c r="I702" s="154" t="s">
        <v>59</v>
      </c>
      <c r="J702" s="204">
        <v>5.1999999999999995E-4</v>
      </c>
      <c r="K702" s="154" t="s">
        <v>24</v>
      </c>
      <c r="L702" s="154" t="str">
        <f>IF(OpenLCAbasic!K702="CTUh", "Fill in Manually",IF(OR(K702="Unit", K702=""), "", INDEX(LookUps!$E$5:$E$12, MATCH(OpenLCAbasic!K702,LookUps!$D$5:$D$12,0))))</f>
        <v>Acidification Potential (AP) - kg SO2 eq</v>
      </c>
      <c r="M702" s="154" t="str">
        <f t="shared" si="33"/>
        <v>Base_Base_Low_Upgraded_Acidification Potential (AP) - kg SO2 eq_Blend Tank; wastewater treatment unit; at updated plant - US_Base_With Amendment_Windrow</v>
      </c>
    </row>
    <row r="703" spans="1:13" s="120" customFormat="1" x14ac:dyDescent="0.25">
      <c r="A703" s="119"/>
      <c r="B703" s="138" t="str">
        <f t="shared" si="32"/>
        <v>Windrow</v>
      </c>
      <c r="C703" s="138" t="str">
        <f t="shared" ref="C703:C734" si="35">IF(E703&lt;&gt;"", "Base_With Amendment","")</f>
        <v>Base_With Amendment</v>
      </c>
      <c r="D703" s="118" t="s">
        <v>133</v>
      </c>
      <c r="E703" s="118" t="s">
        <v>130</v>
      </c>
      <c r="F703" s="118" t="s">
        <v>46</v>
      </c>
      <c r="G703" s="153"/>
      <c r="H703" s="155">
        <v>6.8999999999999999E-3</v>
      </c>
      <c r="I703" s="154" t="s">
        <v>48</v>
      </c>
      <c r="J703" s="204">
        <v>3.5E-4</v>
      </c>
      <c r="K703" s="154" t="s">
        <v>24</v>
      </c>
      <c r="L703" s="154" t="str">
        <f>IF(OpenLCAbasic!K703="CTUh", "Fill in Manually",IF(OR(K703="Unit", K703=""), "", INDEX(LookUps!$E$5:$E$12, MATCH(OpenLCAbasic!K703,LookUps!$D$5:$D$12,0))))</f>
        <v>Acidification Potential (AP) - kg SO2 eq</v>
      </c>
      <c r="M703" s="154" t="str">
        <f t="shared" si="33"/>
        <v>Base_Base_Low_Upgraded_Acidification Potential (AP) - kg SO2 eq_Effluent release; wastewater treatment unit; at surface water; m3 wastewater - US_Base_With Amendment_Windrow</v>
      </c>
    </row>
    <row r="704" spans="1:13" s="120" customFormat="1" x14ac:dyDescent="0.25">
      <c r="A704" s="119"/>
      <c r="B704" s="138" t="str">
        <f t="shared" si="32"/>
        <v>Windrow</v>
      </c>
      <c r="C704" s="138" t="str">
        <f t="shared" si="35"/>
        <v>Base_With Amendment</v>
      </c>
      <c r="D704" s="118" t="s">
        <v>133</v>
      </c>
      <c r="E704" s="118" t="s">
        <v>130</v>
      </c>
      <c r="F704" s="118" t="s">
        <v>46</v>
      </c>
      <c r="G704" s="153"/>
      <c r="H704" s="155">
        <v>5.1000000000000004E-3</v>
      </c>
      <c r="I704" s="154" t="s">
        <v>168</v>
      </c>
      <c r="J704" s="204">
        <v>2.5999999999999998E-4</v>
      </c>
      <c r="K704" s="154" t="s">
        <v>24</v>
      </c>
      <c r="L704" s="154" t="str">
        <f>IF(OpenLCAbasic!K704="CTUh", "Fill in Manually",IF(OR(K704="Unit", K704=""), "", INDEX(LookUps!$E$5:$E$12, MATCH(OpenLCAbasic!K704,LookUps!$D$5:$D$12,0))))</f>
        <v>Acidification Potential (AP) - kg SO2 eq</v>
      </c>
      <c r="M704" s="154" t="str">
        <f t="shared" si="33"/>
        <v>Base_Base_Low_Upgraded_Acidification Potential (AP) - kg SO2 eq_ClearCove SCP; wastewater treatment unit; at updated plant - US_Base_With Amendment_Windrow</v>
      </c>
    </row>
    <row r="705" spans="1:13" s="120" customFormat="1" x14ac:dyDescent="0.25">
      <c r="A705" s="119"/>
      <c r="B705" s="138" t="str">
        <f t="shared" si="32"/>
        <v>Windrow</v>
      </c>
      <c r="C705" s="138" t="str">
        <f t="shared" si="35"/>
        <v>Base_With Amendment</v>
      </c>
      <c r="D705" s="118" t="s">
        <v>133</v>
      </c>
      <c r="E705" s="118" t="s">
        <v>130</v>
      </c>
      <c r="F705" s="118" t="s">
        <v>46</v>
      </c>
      <c r="G705" s="153"/>
      <c r="H705" s="155">
        <v>8.0000000000000004E-4</v>
      </c>
      <c r="I705" s="154" t="s">
        <v>148</v>
      </c>
      <c r="J705" s="204">
        <v>4.0354700000000002E-5</v>
      </c>
      <c r="K705" s="154" t="s">
        <v>24</v>
      </c>
      <c r="L705" s="154" t="str">
        <f>IF(OpenLCAbasic!K705="CTUh", "Fill in Manually",IF(OR(K705="Unit", K705=""), "", INDEX(LookUps!$E$5:$E$12, MATCH(OpenLCAbasic!K705,LookUps!$D$5:$D$12,0))))</f>
        <v>Acidification Potential (AP) - kg SO2 eq</v>
      </c>
      <c r="M705" s="154" t="str">
        <f t="shared" si="33"/>
        <v>Base_Base_Low_Upgraded_Acidification Potential (AP) - kg SO2 eq_Control Building; at upgraded wastewater treatment plant - US_Base_With Amendment_Windrow</v>
      </c>
    </row>
    <row r="706" spans="1:13" s="120" customFormat="1" x14ac:dyDescent="0.25">
      <c r="A706" s="119"/>
      <c r="B706" s="138" t="str">
        <f t="shared" si="32"/>
        <v>Windrow</v>
      </c>
      <c r="C706" s="138" t="str">
        <f t="shared" si="35"/>
        <v>Base_With Amendment</v>
      </c>
      <c r="D706" s="118" t="s">
        <v>133</v>
      </c>
      <c r="E706" s="118" t="s">
        <v>130</v>
      </c>
      <c r="F706" s="118" t="s">
        <v>46</v>
      </c>
      <c r="G706" s="153" t="s">
        <v>51</v>
      </c>
      <c r="H706" s="154"/>
      <c r="I706" s="154" t="s">
        <v>47</v>
      </c>
      <c r="J706" s="154" t="s">
        <v>52</v>
      </c>
      <c r="K706" s="154" t="s">
        <v>27</v>
      </c>
      <c r="L706" s="154" t="str">
        <f>IF(OpenLCAbasic!K706="CTUh", "Fill in Manually",IF(OR(K706="Unit", K706=""), "", INDEX(LookUps!$E$5:$E$12, MATCH(OpenLCAbasic!K706,LookUps!$D$5:$D$12,0))))</f>
        <v/>
      </c>
      <c r="M706" s="154" t="str">
        <f t="shared" si="33"/>
        <v>Base_Base_Low_Upgraded__Process_Base_With Amendment_Windrow</v>
      </c>
    </row>
    <row r="707" spans="1:13" s="120" customFormat="1" x14ac:dyDescent="0.25">
      <c r="A707" s="119"/>
      <c r="B707" s="138" t="str">
        <f t="shared" si="32"/>
        <v>Windrow</v>
      </c>
      <c r="C707" s="138" t="str">
        <f t="shared" si="35"/>
        <v>Base_With Amendment</v>
      </c>
      <c r="D707" s="118" t="s">
        <v>133</v>
      </c>
      <c r="E707" s="118" t="s">
        <v>130</v>
      </c>
      <c r="F707" s="118" t="s">
        <v>46</v>
      </c>
      <c r="G707" s="153"/>
      <c r="H707" s="155">
        <v>0.40379999999999999</v>
      </c>
      <c r="I707" s="154" t="s">
        <v>55</v>
      </c>
      <c r="J707" s="204">
        <v>2.33E-3</v>
      </c>
      <c r="K707" s="154" t="s">
        <v>145</v>
      </c>
      <c r="L707" s="154" t="str">
        <f>IF(OpenLCAbasic!K707="CTUh", "Fill in Manually",IF(OR(K707="Unit", K707=""), "", INDEX(LookUps!$E$5:$E$12, MATCH(OpenLCAbasic!K707,LookUps!$D$5:$D$12,0))))</f>
        <v>Particulate Matter Formation Potential (PMFP) - kg PM2.5 eq</v>
      </c>
      <c r="M707" s="154" t="str">
        <f t="shared" si="33"/>
        <v>Base_Base_Low_Upgraded_Particulate Matter Formation Potential (PMFP) - kg PM2.5 eq_Aeration Tanks; wastewater treatment unit; at updated plant - US_Base_With Amendment_Windrow</v>
      </c>
    </row>
    <row r="708" spans="1:13" s="120" customFormat="1" x14ac:dyDescent="0.25">
      <c r="A708" s="119"/>
      <c r="B708" s="138" t="str">
        <f t="shared" si="32"/>
        <v>Windrow</v>
      </c>
      <c r="C708" s="138" t="str">
        <f t="shared" si="35"/>
        <v>Base_With Amendment</v>
      </c>
      <c r="D708" s="118" t="s">
        <v>133</v>
      </c>
      <c r="E708" s="118" t="s">
        <v>130</v>
      </c>
      <c r="F708" s="118" t="s">
        <v>46</v>
      </c>
      <c r="G708" s="153"/>
      <c r="H708" s="155">
        <v>0.11749999999999999</v>
      </c>
      <c r="I708" s="154" t="s">
        <v>54</v>
      </c>
      <c r="J708" s="204">
        <v>6.8000000000000005E-4</v>
      </c>
      <c r="K708" s="154" t="s">
        <v>145</v>
      </c>
      <c r="L708" s="154" t="str">
        <f>IF(OpenLCAbasic!K708="CTUh", "Fill in Manually",IF(OR(K708="Unit", K708=""), "", INDEX(LookUps!$E$5:$E$12, MATCH(OpenLCAbasic!K708,LookUps!$D$5:$D$12,0))))</f>
        <v>Particulate Matter Formation Potential (PMFP) - kg PM2.5 eq</v>
      </c>
      <c r="M708" s="154" t="str">
        <f t="shared" si="33"/>
        <v>Base_Base_Low_Upgraded_Particulate Matter Formation Potential (PMFP) - kg PM2.5 eq_Clear Cove Primary Clarification; wastewater treatment unit; at updated plant - US_Base_With Amendment_Windrow</v>
      </c>
    </row>
    <row r="709" spans="1:13" s="120" customFormat="1" x14ac:dyDescent="0.25">
      <c r="A709" s="119"/>
      <c r="B709" s="138" t="str">
        <f t="shared" si="32"/>
        <v>Windrow</v>
      </c>
      <c r="C709" s="138" t="str">
        <f t="shared" si="35"/>
        <v>Base_With Amendment</v>
      </c>
      <c r="D709" s="118" t="s">
        <v>133</v>
      </c>
      <c r="E709" s="118" t="s">
        <v>130</v>
      </c>
      <c r="F709" s="118" t="s">
        <v>46</v>
      </c>
      <c r="G709" s="153"/>
      <c r="H709" s="155">
        <v>0.10150000000000001</v>
      </c>
      <c r="I709" s="154" t="s">
        <v>58</v>
      </c>
      <c r="J709" s="204">
        <v>5.9000000000000003E-4</v>
      </c>
      <c r="K709" s="154" t="s">
        <v>145</v>
      </c>
      <c r="L709" s="154" t="str">
        <f>IF(OpenLCAbasic!K709="CTUh", "Fill in Manually",IF(OR(K709="Unit", K709=""), "", INDEX(LookUps!$E$5:$E$12, MATCH(OpenLCAbasic!K709,LookUps!$D$5:$D$12,0))))</f>
        <v>Particulate Matter Formation Potential (PMFP) - kg PM2.5 eq</v>
      </c>
      <c r="M709" s="154" t="str">
        <f t="shared" si="33"/>
        <v>Base_Base_Low_Upgraded_Particulate Matter Formation Potential (PMFP) - kg PM2.5 eq_Pre-Anoxic &amp; Swing tank; wastewater treatment unit; at updated plant - US_Base_With Amendment_Windrow</v>
      </c>
    </row>
    <row r="710" spans="1:13" s="120" customFormat="1" x14ac:dyDescent="0.25">
      <c r="A710" s="119"/>
      <c r="B710" s="138" t="str">
        <f t="shared" si="32"/>
        <v>Windrow</v>
      </c>
      <c r="C710" s="138" t="str">
        <f t="shared" si="35"/>
        <v>Base_With Amendment</v>
      </c>
      <c r="D710" s="118" t="s">
        <v>133</v>
      </c>
      <c r="E710" s="118" t="s">
        <v>130</v>
      </c>
      <c r="F710" s="118" t="s">
        <v>46</v>
      </c>
      <c r="G710" s="153"/>
      <c r="H710" s="155">
        <v>8.0699999999999994E-2</v>
      </c>
      <c r="I710" s="154" t="s">
        <v>53</v>
      </c>
      <c r="J710" s="204">
        <v>4.6999999999999999E-4</v>
      </c>
      <c r="K710" s="154" t="s">
        <v>145</v>
      </c>
      <c r="L710" s="154" t="str">
        <f>IF(OpenLCAbasic!K710="CTUh", "Fill in Manually",IF(OR(K710="Unit", K710=""), "", INDEX(LookUps!$E$5:$E$12, MATCH(OpenLCAbasic!K710,LookUps!$D$5:$D$12,0))))</f>
        <v>Particulate Matter Formation Potential (PMFP) - kg PM2.5 eq</v>
      </c>
      <c r="M710" s="154" t="str">
        <f t="shared" si="33"/>
        <v>Base_Base_Low_Upgraded_Particulate Matter Formation Potential (PMFP) - kg PM2.5 eq_Wet Well and Sump Station; wastewater treatment unit; at updated plant - US_Base_With Amendment_Windrow</v>
      </c>
    </row>
    <row r="711" spans="1:13" s="120" customFormat="1" x14ac:dyDescent="0.25">
      <c r="A711" s="119"/>
      <c r="B711" s="138" t="str">
        <f t="shared" ref="B711:B774" si="36">IF(F711="Legacy","n.a.",IF(F711="","","Windrow"))</f>
        <v>Windrow</v>
      </c>
      <c r="C711" s="138" t="str">
        <f t="shared" si="35"/>
        <v>Base_With Amendment</v>
      </c>
      <c r="D711" s="118" t="s">
        <v>133</v>
      </c>
      <c r="E711" s="118" t="s">
        <v>130</v>
      </c>
      <c r="F711" s="118" t="s">
        <v>46</v>
      </c>
      <c r="G711" s="153"/>
      <c r="H711" s="155">
        <v>5.8400000000000001E-2</v>
      </c>
      <c r="I711" s="154" t="s">
        <v>149</v>
      </c>
      <c r="J711" s="204">
        <v>3.4000000000000002E-4</v>
      </c>
      <c r="K711" s="154" t="s">
        <v>145</v>
      </c>
      <c r="L711" s="154" t="str">
        <f>IF(OpenLCAbasic!K711="CTUh", "Fill in Manually",IF(OR(K711="Unit", K711=""), "", INDEX(LookUps!$E$5:$E$12, MATCH(OpenLCAbasic!K711,LookUps!$D$5:$D$12,0))))</f>
        <v>Particulate Matter Formation Potential (PMFP) - kg PM2.5 eq</v>
      </c>
      <c r="M711" s="154" t="str">
        <f t="shared" si="33"/>
        <v>Base_Base_Low_Upgraded_Particulate Matter Formation Potential (PMFP) - kg PM2.5 eq_Anaerobic Digestion; wastewater treatment unit; at updated plant - US_Base_With Amendment_Windrow</v>
      </c>
    </row>
    <row r="712" spans="1:13" s="120" customFormat="1" x14ac:dyDescent="0.25">
      <c r="A712" s="119"/>
      <c r="B712" s="138" t="str">
        <f t="shared" si="36"/>
        <v>Windrow</v>
      </c>
      <c r="C712" s="138" t="str">
        <f t="shared" si="35"/>
        <v>Base_With Amendment</v>
      </c>
      <c r="D712" s="118" t="s">
        <v>133</v>
      </c>
      <c r="E712" s="118" t="s">
        <v>130</v>
      </c>
      <c r="F712" s="118" t="s">
        <v>46</v>
      </c>
      <c r="G712" s="153"/>
      <c r="H712" s="155">
        <v>5.1799999999999999E-2</v>
      </c>
      <c r="I712" s="154" t="s">
        <v>167</v>
      </c>
      <c r="J712" s="204">
        <v>2.9999999999999997E-4</v>
      </c>
      <c r="K712" s="154" t="s">
        <v>145</v>
      </c>
      <c r="L712" s="154" t="str">
        <f>IF(OpenLCAbasic!K712="CTUh", "Fill in Manually",IF(OR(K712="Unit", K712=""), "", INDEX(LookUps!$E$5:$E$12, MATCH(OpenLCAbasic!K712,LookUps!$D$5:$D$12,0))))</f>
        <v>Particulate Matter Formation Potential (PMFP) - kg PM2.5 eq</v>
      </c>
      <c r="M712" s="154" t="str">
        <f t="shared" ref="M712:M775" si="37">CONCATENATE(E712,"_",D712,"_",F712,"_",L712, "_",I712,"_", C712,"_", B712)</f>
        <v>Base_Base_Low_Upgraded_Particulate Matter Formation Potential (PMFP) - kg PM2.5 eq_Waste Receiving and Holding; wastewater treatment unit; at updated plant - US_Base_With Amendment_Windrow</v>
      </c>
    </row>
    <row r="713" spans="1:13" s="120" customFormat="1" x14ac:dyDescent="0.25">
      <c r="A713" s="119"/>
      <c r="B713" s="138" t="str">
        <f t="shared" si="36"/>
        <v>Windrow</v>
      </c>
      <c r="C713" s="138" t="str">
        <f t="shared" si="35"/>
        <v>Base_With Amendment</v>
      </c>
      <c r="D713" s="118" t="s">
        <v>133</v>
      </c>
      <c r="E713" s="118" t="s">
        <v>130</v>
      </c>
      <c r="F713" s="118" t="s">
        <v>46</v>
      </c>
      <c r="G713" s="153"/>
      <c r="H713" s="155">
        <v>4.6199999999999998E-2</v>
      </c>
      <c r="I713" s="154" t="s">
        <v>147</v>
      </c>
      <c r="J713" s="204">
        <v>2.7E-4</v>
      </c>
      <c r="K713" s="154" t="s">
        <v>145</v>
      </c>
      <c r="L713" s="154" t="str">
        <f>IF(OpenLCAbasic!K713="CTUh", "Fill in Manually",IF(OR(K713="Unit", K713=""), "", INDEX(LookUps!$E$5:$E$12, MATCH(OpenLCAbasic!K713,LookUps!$D$5:$D$12,0))))</f>
        <v>Particulate Matter Formation Potential (PMFP) - kg PM2.5 eq</v>
      </c>
      <c r="M713" s="154" t="str">
        <f t="shared" si="37"/>
        <v>Base_Base_Low_Upgraded_Particulate Matter Formation Potential (PMFP) - kg PM2.5 eq_Influent Pump Station; wastewater treatment unit; at updated plant - US_Base_With Amendment_Windrow</v>
      </c>
    </row>
    <row r="714" spans="1:13" s="120" customFormat="1" x14ac:dyDescent="0.25">
      <c r="A714" s="119"/>
      <c r="B714" s="138" t="str">
        <f t="shared" si="36"/>
        <v>Windrow</v>
      </c>
      <c r="C714" s="138" t="str">
        <f t="shared" si="35"/>
        <v>Base_With Amendment</v>
      </c>
      <c r="D714" s="118" t="s">
        <v>133</v>
      </c>
      <c r="E714" s="118" t="s">
        <v>130</v>
      </c>
      <c r="F714" s="118" t="s">
        <v>46</v>
      </c>
      <c r="G714" s="153"/>
      <c r="H714" s="155">
        <v>3.8199999999999998E-2</v>
      </c>
      <c r="I714" s="154" t="s">
        <v>271</v>
      </c>
      <c r="J714" s="204">
        <v>2.2000000000000001E-4</v>
      </c>
      <c r="K714" s="154" t="s">
        <v>145</v>
      </c>
      <c r="L714" s="154" t="str">
        <f>IF(OpenLCAbasic!K714="CTUh", "Fill in Manually",IF(OR(K714="Unit", K714=""), "", INDEX(LookUps!$E$5:$E$12, MATCH(OpenLCAbasic!K714,LookUps!$D$5:$D$12,0))))</f>
        <v>Particulate Matter Formation Potential (PMFP) - kg PM2.5 eq</v>
      </c>
      <c r="M714" s="154" t="str">
        <f t="shared" si="37"/>
        <v>Base_Base_Low_Upgraded_Particulate Matter Formation Potential (PMFP) - kg PM2.5 eq_Biosolids composting; windrow composting; wastewater treatment unit; at updated plant - US_Base_With Amendment_Windrow</v>
      </c>
    </row>
    <row r="715" spans="1:13" s="120" customFormat="1" x14ac:dyDescent="0.25">
      <c r="A715" s="119"/>
      <c r="B715" s="138" t="str">
        <f t="shared" si="36"/>
        <v>Windrow</v>
      </c>
      <c r="C715" s="138" t="str">
        <f t="shared" si="35"/>
        <v>Base_With Amendment</v>
      </c>
      <c r="D715" s="118" t="s">
        <v>133</v>
      </c>
      <c r="E715" s="118" t="s">
        <v>130</v>
      </c>
      <c r="F715" s="118" t="s">
        <v>46</v>
      </c>
      <c r="G715" s="153"/>
      <c r="H715" s="155">
        <v>2.8799999999999999E-2</v>
      </c>
      <c r="I715" s="154" t="s">
        <v>128</v>
      </c>
      <c r="J715" s="204">
        <v>1.7000000000000001E-4</v>
      </c>
      <c r="K715" s="154" t="s">
        <v>145</v>
      </c>
      <c r="L715" s="154" t="str">
        <f>IF(OpenLCAbasic!K715="CTUh", "Fill in Manually",IF(OR(K715="Unit", K715=""), "", INDEX(LookUps!$E$5:$E$12, MATCH(OpenLCAbasic!K715,LookUps!$D$5:$D$12,0))))</f>
        <v>Particulate Matter Formation Potential (PMFP) - kg PM2.5 eq</v>
      </c>
      <c r="M715" s="154" t="str">
        <f t="shared" si="37"/>
        <v>Base_Base_Low_Upgraded_Particulate Matter Formation Potential (PMFP) - kg PM2.5 eq_Wastewater collection; operation and infrastructure; m3 wastewater_Base_With Amendment_Windrow</v>
      </c>
    </row>
    <row r="716" spans="1:13" s="120" customFormat="1" x14ac:dyDescent="0.25">
      <c r="A716" s="119"/>
      <c r="B716" s="138" t="str">
        <f t="shared" si="36"/>
        <v>Windrow</v>
      </c>
      <c r="C716" s="138" t="str">
        <f t="shared" si="35"/>
        <v>Base_With Amendment</v>
      </c>
      <c r="D716" s="118" t="s">
        <v>133</v>
      </c>
      <c r="E716" s="118" t="s">
        <v>130</v>
      </c>
      <c r="F716" s="118" t="s">
        <v>46</v>
      </c>
      <c r="G716" s="153"/>
      <c r="H716" s="155">
        <v>2.01E-2</v>
      </c>
      <c r="I716" s="154" t="s">
        <v>60</v>
      </c>
      <c r="J716" s="204">
        <v>1.2E-4</v>
      </c>
      <c r="K716" s="154" t="s">
        <v>145</v>
      </c>
      <c r="L716" s="154" t="str">
        <f>IF(OpenLCAbasic!K716="CTUh", "Fill in Manually",IF(OR(K716="Unit", K716=""), "", INDEX(LookUps!$E$5:$E$12, MATCH(OpenLCAbasic!K716,LookUps!$D$5:$D$12,0))))</f>
        <v>Particulate Matter Formation Potential (PMFP) - kg PM2.5 eq</v>
      </c>
      <c r="M716" s="154" t="str">
        <f t="shared" si="37"/>
        <v>Base_Base_Low_Upgraded_Particulate Matter Formation Potential (PMFP) - kg PM2.5 eq_Belt filter press; wastewater treatment unit; at updated plant - US_Base_With Amendment_Windrow</v>
      </c>
    </row>
    <row r="717" spans="1:13" s="120" customFormat="1" x14ac:dyDescent="0.25">
      <c r="A717" s="119"/>
      <c r="B717" s="138" t="str">
        <f t="shared" si="36"/>
        <v>Windrow</v>
      </c>
      <c r="C717" s="138" t="str">
        <f t="shared" si="35"/>
        <v>Base_With Amendment</v>
      </c>
      <c r="D717" s="118" t="s">
        <v>133</v>
      </c>
      <c r="E717" s="118" t="s">
        <v>130</v>
      </c>
      <c r="F717" s="118" t="s">
        <v>46</v>
      </c>
      <c r="G717" s="153"/>
      <c r="H717" s="155">
        <v>1.6500000000000001E-2</v>
      </c>
      <c r="I717" s="154" t="s">
        <v>57</v>
      </c>
      <c r="J717" s="204">
        <v>9.5153800000000004E-5</v>
      </c>
      <c r="K717" s="154" t="s">
        <v>145</v>
      </c>
      <c r="L717" s="154" t="str">
        <f>IF(OpenLCAbasic!K717="CTUh", "Fill in Manually",IF(OR(K717="Unit", K717=""), "", INDEX(LookUps!$E$5:$E$12, MATCH(OpenLCAbasic!K717,LookUps!$D$5:$D$12,0))))</f>
        <v>Particulate Matter Formation Potential (PMFP) - kg PM2.5 eq</v>
      </c>
      <c r="M717" s="154" t="str">
        <f t="shared" si="37"/>
        <v>Base_Base_Low_Upgraded_Particulate Matter Formation Potential (PMFP) - kg PM2.5 eq_Gravity Belt Thickener; wastewater treatment unit; at updated plant - US_Base_With Amendment_Windrow</v>
      </c>
    </row>
    <row r="718" spans="1:13" s="120" customFormat="1" x14ac:dyDescent="0.25">
      <c r="A718" s="119"/>
      <c r="B718" s="138" t="str">
        <f t="shared" si="36"/>
        <v>Windrow</v>
      </c>
      <c r="C718" s="138" t="str">
        <f t="shared" si="35"/>
        <v>Base_With Amendment</v>
      </c>
      <c r="D718" s="118" t="s">
        <v>133</v>
      </c>
      <c r="E718" s="118" t="s">
        <v>130</v>
      </c>
      <c r="F718" s="118" t="s">
        <v>46</v>
      </c>
      <c r="G718" s="153"/>
      <c r="H718" s="155">
        <v>1.21E-2</v>
      </c>
      <c r="I718" s="154" t="s">
        <v>59</v>
      </c>
      <c r="J718" s="204">
        <v>6.9942200000000003E-5</v>
      </c>
      <c r="K718" s="154" t="s">
        <v>145</v>
      </c>
      <c r="L718" s="154" t="str">
        <f>IF(OpenLCAbasic!K718="CTUh", "Fill in Manually",IF(OR(K718="Unit", K718=""), "", INDEX(LookUps!$E$5:$E$12, MATCH(OpenLCAbasic!K718,LookUps!$D$5:$D$12,0))))</f>
        <v>Particulate Matter Formation Potential (PMFP) - kg PM2.5 eq</v>
      </c>
      <c r="M718" s="154" t="str">
        <f t="shared" si="37"/>
        <v>Base_Base_Low_Upgraded_Particulate Matter Formation Potential (PMFP) - kg PM2.5 eq_Blend Tank; wastewater treatment unit; at updated plant - US_Base_With Amendment_Windrow</v>
      </c>
    </row>
    <row r="719" spans="1:13" s="120" customFormat="1" x14ac:dyDescent="0.25">
      <c r="A719" s="119"/>
      <c r="B719" s="138" t="str">
        <f t="shared" si="36"/>
        <v>Windrow</v>
      </c>
      <c r="C719" s="138" t="str">
        <f t="shared" si="35"/>
        <v>Base_With Amendment</v>
      </c>
      <c r="D719" s="118" t="s">
        <v>133</v>
      </c>
      <c r="E719" s="118" t="s">
        <v>130</v>
      </c>
      <c r="F719" s="118" t="s">
        <v>46</v>
      </c>
      <c r="G719" s="153"/>
      <c r="H719" s="155">
        <v>8.6E-3</v>
      </c>
      <c r="I719" s="154" t="s">
        <v>48</v>
      </c>
      <c r="J719" s="204">
        <v>4.99741E-5</v>
      </c>
      <c r="K719" s="154" t="s">
        <v>145</v>
      </c>
      <c r="L719" s="154" t="str">
        <f>IF(OpenLCAbasic!K719="CTUh", "Fill in Manually",IF(OR(K719="Unit", K719=""), "", INDEX(LookUps!$E$5:$E$12, MATCH(OpenLCAbasic!K719,LookUps!$D$5:$D$12,0))))</f>
        <v>Particulate Matter Formation Potential (PMFP) - kg PM2.5 eq</v>
      </c>
      <c r="M719" s="154" t="str">
        <f t="shared" si="37"/>
        <v>Base_Base_Low_Upgraded_Particulate Matter Formation Potential (PMFP) - kg PM2.5 eq_Effluent release; wastewater treatment unit; at surface water; m3 wastewater - US_Base_With Amendment_Windrow</v>
      </c>
    </row>
    <row r="720" spans="1:13" s="120" customFormat="1" x14ac:dyDescent="0.25">
      <c r="A720" s="119"/>
      <c r="B720" s="138" t="str">
        <f t="shared" si="36"/>
        <v>Windrow</v>
      </c>
      <c r="C720" s="138" t="str">
        <f t="shared" si="35"/>
        <v>Base_With Amendment</v>
      </c>
      <c r="D720" s="118" t="s">
        <v>133</v>
      </c>
      <c r="E720" s="118" t="s">
        <v>130</v>
      </c>
      <c r="F720" s="118" t="s">
        <v>46</v>
      </c>
      <c r="G720" s="153"/>
      <c r="H720" s="155">
        <v>8.3000000000000001E-3</v>
      </c>
      <c r="I720" s="154" t="s">
        <v>62</v>
      </c>
      <c r="J720" s="204">
        <v>4.8009500000000002E-5</v>
      </c>
      <c r="K720" s="154" t="s">
        <v>145</v>
      </c>
      <c r="L720" s="154" t="str">
        <f>IF(OpenLCAbasic!K720="CTUh", "Fill in Manually",IF(OR(K720="Unit", K720=""), "", INDEX(LookUps!$E$5:$E$12, MATCH(OpenLCAbasic!K720,LookUps!$D$5:$D$12,0))))</f>
        <v>Particulate Matter Formation Potential (PMFP) - kg PM2.5 eq</v>
      </c>
      <c r="M720" s="154" t="str">
        <f t="shared" si="37"/>
        <v>Base_Base_Low_Upgraded_Particulate Matter Formation Potential (PMFP) - kg PM2.5 eq_Land application of compost; wastewater treatment unit; at updated plant - US_Base_With Amendment_Windrow</v>
      </c>
    </row>
    <row r="721" spans="1:13" s="120" customFormat="1" x14ac:dyDescent="0.25">
      <c r="A721" s="119"/>
      <c r="B721" s="138" t="str">
        <f t="shared" si="36"/>
        <v>Windrow</v>
      </c>
      <c r="C721" s="138" t="str">
        <f t="shared" si="35"/>
        <v>Base_With Amendment</v>
      </c>
      <c r="D721" s="118" t="s">
        <v>133</v>
      </c>
      <c r="E721" s="118" t="s">
        <v>130</v>
      </c>
      <c r="F721" s="118" t="s">
        <v>46</v>
      </c>
      <c r="G721" s="153"/>
      <c r="H721" s="155">
        <v>6.0000000000000001E-3</v>
      </c>
      <c r="I721" s="154" t="s">
        <v>168</v>
      </c>
      <c r="J721" s="204">
        <v>3.4562199999999999E-5</v>
      </c>
      <c r="K721" s="154" t="s">
        <v>145</v>
      </c>
      <c r="L721" s="154" t="str">
        <f>IF(OpenLCAbasic!K721="CTUh", "Fill in Manually",IF(OR(K721="Unit", K721=""), "", INDEX(LookUps!$E$5:$E$12, MATCH(OpenLCAbasic!K721,LookUps!$D$5:$D$12,0))))</f>
        <v>Particulate Matter Formation Potential (PMFP) - kg PM2.5 eq</v>
      </c>
      <c r="M721" s="154" t="str">
        <f t="shared" si="37"/>
        <v>Base_Base_Low_Upgraded_Particulate Matter Formation Potential (PMFP) - kg PM2.5 eq_ClearCove SCP; wastewater treatment unit; at updated plant - US_Base_With Amendment_Windrow</v>
      </c>
    </row>
    <row r="722" spans="1:13" s="120" customFormat="1" x14ac:dyDescent="0.25">
      <c r="A722" s="119"/>
      <c r="B722" s="138" t="str">
        <f t="shared" si="36"/>
        <v>Windrow</v>
      </c>
      <c r="C722" s="138" t="str">
        <f t="shared" si="35"/>
        <v>Base_With Amendment</v>
      </c>
      <c r="D722" s="118" t="s">
        <v>133</v>
      </c>
      <c r="E722" s="118" t="s">
        <v>130</v>
      </c>
      <c r="F722" s="118" t="s">
        <v>46</v>
      </c>
      <c r="G722" s="153"/>
      <c r="H722" s="155">
        <v>1.5E-3</v>
      </c>
      <c r="I722" s="154" t="s">
        <v>148</v>
      </c>
      <c r="J722" s="204">
        <v>8.8212999999999997E-6</v>
      </c>
      <c r="K722" s="154" t="s">
        <v>145</v>
      </c>
      <c r="L722" s="154" t="str">
        <f>IF(OpenLCAbasic!K722="CTUh", "Fill in Manually",IF(OR(K722="Unit", K722=""), "", INDEX(LookUps!$E$5:$E$12, MATCH(OpenLCAbasic!K722,LookUps!$D$5:$D$12,0))))</f>
        <v>Particulate Matter Formation Potential (PMFP) - kg PM2.5 eq</v>
      </c>
      <c r="M722" s="154" t="str">
        <f t="shared" si="37"/>
        <v>Base_Base_Low_Upgraded_Particulate Matter Formation Potential (PMFP) - kg PM2.5 eq_Control Building; at upgraded wastewater treatment plant - US_Base_With Amendment_Windrow</v>
      </c>
    </row>
    <row r="723" spans="1:13" s="120" customFormat="1" x14ac:dyDescent="0.25">
      <c r="A723" s="119"/>
      <c r="B723" s="138" t="str">
        <f t="shared" si="36"/>
        <v>Windrow</v>
      </c>
      <c r="C723" s="138" t="str">
        <f t="shared" si="35"/>
        <v>Base_With Amendment</v>
      </c>
      <c r="D723" s="118" t="s">
        <v>133</v>
      </c>
      <c r="E723" s="118" t="s">
        <v>130</v>
      </c>
      <c r="F723" s="118" t="s">
        <v>46</v>
      </c>
      <c r="G723" s="153" t="s">
        <v>51</v>
      </c>
      <c r="H723" s="154"/>
      <c r="I723" s="154" t="s">
        <v>47</v>
      </c>
      <c r="J723" s="154" t="s">
        <v>52</v>
      </c>
      <c r="K723" s="154" t="s">
        <v>27</v>
      </c>
      <c r="L723" s="154" t="str">
        <f>IF(OpenLCAbasic!K723="CTUh", "Fill in Manually",IF(OR(K723="Unit", K723=""), "", INDEX(LookUps!$E$5:$E$12, MATCH(OpenLCAbasic!K723,LookUps!$D$5:$D$12,0))))</f>
        <v/>
      </c>
      <c r="M723" s="154" t="str">
        <f t="shared" si="37"/>
        <v>Base_Base_Low_Upgraded__Process_Base_With Amendment_Windrow</v>
      </c>
    </row>
    <row r="724" spans="1:13" s="120" customFormat="1" x14ac:dyDescent="0.25">
      <c r="A724" s="119"/>
      <c r="B724" s="138" t="str">
        <f t="shared" si="36"/>
        <v>Windrow</v>
      </c>
      <c r="C724" s="138" t="str">
        <f t="shared" si="35"/>
        <v>Base_With Amendment</v>
      </c>
      <c r="D724" s="118" t="s">
        <v>133</v>
      </c>
      <c r="E724" s="118" t="s">
        <v>130</v>
      </c>
      <c r="F724" s="118" t="s">
        <v>46</v>
      </c>
      <c r="G724" s="153"/>
      <c r="H724" s="155">
        <v>0.41739999999999999</v>
      </c>
      <c r="I724" s="154" t="s">
        <v>55</v>
      </c>
      <c r="J724" s="203">
        <v>0.16577</v>
      </c>
      <c r="K724" s="154" t="s">
        <v>25</v>
      </c>
      <c r="L724" s="154" t="str">
        <f>IF(OpenLCAbasic!K724="CTUh", "Fill in Manually",IF(OR(K724="Unit", K724=""), "", INDEX(LookUps!$E$5:$E$12, MATCH(OpenLCAbasic!K724,LookUps!$D$5:$D$12,0))))</f>
        <v>Smog Formation Potential (SFP) - kg O3 eq</v>
      </c>
      <c r="M724" s="154" t="str">
        <f t="shared" si="37"/>
        <v>Base_Base_Low_Upgraded_Smog Formation Potential (SFP) - kg O3 eq_Aeration Tanks; wastewater treatment unit; at updated plant - US_Base_With Amendment_Windrow</v>
      </c>
    </row>
    <row r="725" spans="1:13" s="120" customFormat="1" x14ac:dyDescent="0.25">
      <c r="A725" s="119"/>
      <c r="B725" s="138" t="str">
        <f t="shared" si="36"/>
        <v>Windrow</v>
      </c>
      <c r="C725" s="138" t="str">
        <f t="shared" si="35"/>
        <v>Base_With Amendment</v>
      </c>
      <c r="D725" s="118" t="s">
        <v>133</v>
      </c>
      <c r="E725" s="118" t="s">
        <v>130</v>
      </c>
      <c r="F725" s="118" t="s">
        <v>46</v>
      </c>
      <c r="G725" s="153"/>
      <c r="H725" s="155">
        <v>0.121</v>
      </c>
      <c r="I725" s="154" t="s">
        <v>54</v>
      </c>
      <c r="J725" s="203">
        <v>4.8070000000000002E-2</v>
      </c>
      <c r="K725" s="154" t="s">
        <v>25</v>
      </c>
      <c r="L725" s="154" t="str">
        <f>IF(OpenLCAbasic!K725="CTUh", "Fill in Manually",IF(OR(K725="Unit", K725=""), "", INDEX(LookUps!$E$5:$E$12, MATCH(OpenLCAbasic!K725,LookUps!$D$5:$D$12,0))))</f>
        <v>Smog Formation Potential (SFP) - kg O3 eq</v>
      </c>
      <c r="M725" s="154" t="str">
        <f t="shared" si="37"/>
        <v>Base_Base_Low_Upgraded_Smog Formation Potential (SFP) - kg O3 eq_Clear Cove Primary Clarification; wastewater treatment unit; at updated plant - US_Base_With Amendment_Windrow</v>
      </c>
    </row>
    <row r="726" spans="1:13" s="120" customFormat="1" x14ac:dyDescent="0.25">
      <c r="A726" s="119"/>
      <c r="B726" s="138" t="str">
        <f t="shared" si="36"/>
        <v>Windrow</v>
      </c>
      <c r="C726" s="138" t="str">
        <f t="shared" si="35"/>
        <v>Base_With Amendment</v>
      </c>
      <c r="D726" s="118" t="s">
        <v>133</v>
      </c>
      <c r="E726" s="118" t="s">
        <v>130</v>
      </c>
      <c r="F726" s="118" t="s">
        <v>46</v>
      </c>
      <c r="G726" s="153"/>
      <c r="H726" s="155">
        <v>0.1052</v>
      </c>
      <c r="I726" s="154" t="s">
        <v>58</v>
      </c>
      <c r="J726" s="203">
        <v>4.1779999999999998E-2</v>
      </c>
      <c r="K726" s="154" t="s">
        <v>25</v>
      </c>
      <c r="L726" s="154" t="str">
        <f>IF(OpenLCAbasic!K726="CTUh", "Fill in Manually",IF(OR(K726="Unit", K726=""), "", INDEX(LookUps!$E$5:$E$12, MATCH(OpenLCAbasic!K726,LookUps!$D$5:$D$12,0))))</f>
        <v>Smog Formation Potential (SFP) - kg O3 eq</v>
      </c>
      <c r="M726" s="154" t="str">
        <f t="shared" si="37"/>
        <v>Base_Base_Low_Upgraded_Smog Formation Potential (SFP) - kg O3 eq_Pre-Anoxic &amp; Swing tank; wastewater treatment unit; at updated plant - US_Base_With Amendment_Windrow</v>
      </c>
    </row>
    <row r="727" spans="1:13" s="120" customFormat="1" x14ac:dyDescent="0.25">
      <c r="A727" s="119"/>
      <c r="B727" s="138" t="str">
        <f t="shared" si="36"/>
        <v>Windrow</v>
      </c>
      <c r="C727" s="138" t="str">
        <f t="shared" si="35"/>
        <v>Base_With Amendment</v>
      </c>
      <c r="D727" s="118" t="s">
        <v>133</v>
      </c>
      <c r="E727" s="118" t="s">
        <v>130</v>
      </c>
      <c r="F727" s="118" t="s">
        <v>46</v>
      </c>
      <c r="G727" s="153"/>
      <c r="H727" s="155">
        <v>8.3400000000000002E-2</v>
      </c>
      <c r="I727" s="154" t="s">
        <v>53</v>
      </c>
      <c r="J727" s="203">
        <v>3.313E-2</v>
      </c>
      <c r="K727" s="154" t="s">
        <v>25</v>
      </c>
      <c r="L727" s="154" t="str">
        <f>IF(OpenLCAbasic!K727="CTUh", "Fill in Manually",IF(OR(K727="Unit", K727=""), "", INDEX(LookUps!$E$5:$E$12, MATCH(OpenLCAbasic!K727,LookUps!$D$5:$D$12,0))))</f>
        <v>Smog Formation Potential (SFP) - kg O3 eq</v>
      </c>
      <c r="M727" s="154" t="str">
        <f t="shared" si="37"/>
        <v>Base_Base_Low_Upgraded_Smog Formation Potential (SFP) - kg O3 eq_Wet Well and Sump Station; wastewater treatment unit; at updated plant - US_Base_With Amendment_Windrow</v>
      </c>
    </row>
    <row r="728" spans="1:13" s="120" customFormat="1" x14ac:dyDescent="0.25">
      <c r="A728" s="119"/>
      <c r="B728" s="138" t="str">
        <f t="shared" si="36"/>
        <v>Windrow</v>
      </c>
      <c r="C728" s="138" t="str">
        <f t="shared" si="35"/>
        <v>Base_With Amendment</v>
      </c>
      <c r="D728" s="118" t="s">
        <v>133</v>
      </c>
      <c r="E728" s="118" t="s">
        <v>130</v>
      </c>
      <c r="F728" s="118" t="s">
        <v>46</v>
      </c>
      <c r="G728" s="153"/>
      <c r="H728" s="155">
        <v>7.0400000000000004E-2</v>
      </c>
      <c r="I728" s="154" t="s">
        <v>167</v>
      </c>
      <c r="J728" s="203">
        <v>2.7949999999999999E-2</v>
      </c>
      <c r="K728" s="154" t="s">
        <v>25</v>
      </c>
      <c r="L728" s="154" t="str">
        <f>IF(OpenLCAbasic!K728="CTUh", "Fill in Manually",IF(OR(K728="Unit", K728=""), "", INDEX(LookUps!$E$5:$E$12, MATCH(OpenLCAbasic!K728,LookUps!$D$5:$D$12,0))))</f>
        <v>Smog Formation Potential (SFP) - kg O3 eq</v>
      </c>
      <c r="M728" s="154" t="str">
        <f t="shared" si="37"/>
        <v>Base_Base_Low_Upgraded_Smog Formation Potential (SFP) - kg O3 eq_Waste Receiving and Holding; wastewater treatment unit; at updated plant - US_Base_With Amendment_Windrow</v>
      </c>
    </row>
    <row r="729" spans="1:13" s="120" customFormat="1" x14ac:dyDescent="0.25">
      <c r="A729" s="119"/>
      <c r="B729" s="138" t="str">
        <f t="shared" si="36"/>
        <v>Windrow</v>
      </c>
      <c r="C729" s="138" t="str">
        <f t="shared" si="35"/>
        <v>Base_With Amendment</v>
      </c>
      <c r="D729" s="118" t="s">
        <v>133</v>
      </c>
      <c r="E729" s="118" t="s">
        <v>130</v>
      </c>
      <c r="F729" s="118" t="s">
        <v>46</v>
      </c>
      <c r="G729" s="153"/>
      <c r="H729" s="155">
        <v>6.2700000000000006E-2</v>
      </c>
      <c r="I729" s="154" t="s">
        <v>149</v>
      </c>
      <c r="J729" s="203">
        <v>2.4889999999999999E-2</v>
      </c>
      <c r="K729" s="154" t="s">
        <v>25</v>
      </c>
      <c r="L729" s="154" t="str">
        <f>IF(OpenLCAbasic!K729="CTUh", "Fill in Manually",IF(OR(K729="Unit", K729=""), "", INDEX(LookUps!$E$5:$E$12, MATCH(OpenLCAbasic!K729,LookUps!$D$5:$D$12,0))))</f>
        <v>Smog Formation Potential (SFP) - kg O3 eq</v>
      </c>
      <c r="M729" s="154" t="str">
        <f t="shared" si="37"/>
        <v>Base_Base_Low_Upgraded_Smog Formation Potential (SFP) - kg O3 eq_Anaerobic Digestion; wastewater treatment unit; at updated plant - US_Base_With Amendment_Windrow</v>
      </c>
    </row>
    <row r="730" spans="1:13" s="120" customFormat="1" x14ac:dyDescent="0.25">
      <c r="A730" s="119"/>
      <c r="B730" s="138" t="str">
        <f t="shared" si="36"/>
        <v>Windrow</v>
      </c>
      <c r="C730" s="138" t="str">
        <f t="shared" si="35"/>
        <v>Base_With Amendment</v>
      </c>
      <c r="D730" s="118" t="s">
        <v>133</v>
      </c>
      <c r="E730" s="118" t="s">
        <v>130</v>
      </c>
      <c r="F730" s="118" t="s">
        <v>46</v>
      </c>
      <c r="G730" s="153"/>
      <c r="H730" s="155">
        <v>4.8800000000000003E-2</v>
      </c>
      <c r="I730" s="154" t="s">
        <v>147</v>
      </c>
      <c r="J730" s="203">
        <v>1.9400000000000001E-2</v>
      </c>
      <c r="K730" s="154" t="s">
        <v>25</v>
      </c>
      <c r="L730" s="154" t="str">
        <f>IF(OpenLCAbasic!K730="CTUh", "Fill in Manually",IF(OR(K730="Unit", K730=""), "", INDEX(LookUps!$E$5:$E$12, MATCH(OpenLCAbasic!K730,LookUps!$D$5:$D$12,0))))</f>
        <v>Smog Formation Potential (SFP) - kg O3 eq</v>
      </c>
      <c r="M730" s="154" t="str">
        <f t="shared" si="37"/>
        <v>Base_Base_Low_Upgraded_Smog Formation Potential (SFP) - kg O3 eq_Influent Pump Station; wastewater treatment unit; at updated plant - US_Base_With Amendment_Windrow</v>
      </c>
    </row>
    <row r="731" spans="1:13" s="120" customFormat="1" x14ac:dyDescent="0.25">
      <c r="A731" s="119"/>
      <c r="B731" s="138" t="str">
        <f t="shared" si="36"/>
        <v>Windrow</v>
      </c>
      <c r="C731" s="138" t="str">
        <f t="shared" si="35"/>
        <v>Base_With Amendment</v>
      </c>
      <c r="D731" s="118" t="s">
        <v>133</v>
      </c>
      <c r="E731" s="118" t="s">
        <v>130</v>
      </c>
      <c r="F731" s="118" t="s">
        <v>46</v>
      </c>
      <c r="G731" s="153"/>
      <c r="H731" s="155">
        <v>0.03</v>
      </c>
      <c r="I731" s="154" t="s">
        <v>128</v>
      </c>
      <c r="J731" s="204">
        <v>1.192E-2</v>
      </c>
      <c r="K731" s="154" t="s">
        <v>25</v>
      </c>
      <c r="L731" s="154" t="str">
        <f>IF(OpenLCAbasic!K731="CTUh", "Fill in Manually",IF(OR(K731="Unit", K731=""), "", INDEX(LookUps!$E$5:$E$12, MATCH(OpenLCAbasic!K731,LookUps!$D$5:$D$12,0))))</f>
        <v>Smog Formation Potential (SFP) - kg O3 eq</v>
      </c>
      <c r="M731" s="154" t="str">
        <f t="shared" si="37"/>
        <v>Base_Base_Low_Upgraded_Smog Formation Potential (SFP) - kg O3 eq_Wastewater collection; operation and infrastructure; m3 wastewater_Base_With Amendment_Windrow</v>
      </c>
    </row>
    <row r="732" spans="1:13" s="120" customFormat="1" x14ac:dyDescent="0.25">
      <c r="A732" s="119"/>
      <c r="B732" s="138" t="str">
        <f t="shared" si="36"/>
        <v>Windrow</v>
      </c>
      <c r="C732" s="138" t="str">
        <f t="shared" si="35"/>
        <v>Base_With Amendment</v>
      </c>
      <c r="D732" s="118" t="s">
        <v>133</v>
      </c>
      <c r="E732" s="118" t="s">
        <v>130</v>
      </c>
      <c r="F732" s="118" t="s">
        <v>46</v>
      </c>
      <c r="G732" s="153"/>
      <c r="H732" s="155">
        <v>2.0500000000000001E-2</v>
      </c>
      <c r="I732" s="154" t="s">
        <v>60</v>
      </c>
      <c r="J732" s="204">
        <v>8.1600000000000006E-3</v>
      </c>
      <c r="K732" s="154" t="s">
        <v>25</v>
      </c>
      <c r="L732" s="154" t="str">
        <f>IF(OpenLCAbasic!K732="CTUh", "Fill in Manually",IF(OR(K732="Unit", K732=""), "", INDEX(LookUps!$E$5:$E$12, MATCH(OpenLCAbasic!K732,LookUps!$D$5:$D$12,0))))</f>
        <v>Smog Formation Potential (SFP) - kg O3 eq</v>
      </c>
      <c r="M732" s="154" t="str">
        <f t="shared" si="37"/>
        <v>Base_Base_Low_Upgraded_Smog Formation Potential (SFP) - kg O3 eq_Belt filter press; wastewater treatment unit; at updated plant - US_Base_With Amendment_Windrow</v>
      </c>
    </row>
    <row r="733" spans="1:13" s="120" customFormat="1" x14ac:dyDescent="0.25">
      <c r="A733" s="119"/>
      <c r="B733" s="138" t="str">
        <f t="shared" si="36"/>
        <v>Windrow</v>
      </c>
      <c r="C733" s="138" t="str">
        <f t="shared" si="35"/>
        <v>Base_With Amendment</v>
      </c>
      <c r="D733" s="118" t="s">
        <v>133</v>
      </c>
      <c r="E733" s="118" t="s">
        <v>130</v>
      </c>
      <c r="F733" s="118" t="s">
        <v>46</v>
      </c>
      <c r="G733" s="153"/>
      <c r="H733" s="155">
        <v>1.6799999999999999E-2</v>
      </c>
      <c r="I733" s="154" t="s">
        <v>57</v>
      </c>
      <c r="J733" s="204">
        <v>6.6499999999999997E-3</v>
      </c>
      <c r="K733" s="154" t="s">
        <v>25</v>
      </c>
      <c r="L733" s="154" t="str">
        <f>IF(OpenLCAbasic!K733="CTUh", "Fill in Manually",IF(OR(K733="Unit", K733=""), "", INDEX(LookUps!$E$5:$E$12, MATCH(OpenLCAbasic!K733,LookUps!$D$5:$D$12,0))))</f>
        <v>Smog Formation Potential (SFP) - kg O3 eq</v>
      </c>
      <c r="M733" s="154" t="str">
        <f t="shared" si="37"/>
        <v>Base_Base_Low_Upgraded_Smog Formation Potential (SFP) - kg O3 eq_Gravity Belt Thickener; wastewater treatment unit; at updated plant - US_Base_With Amendment_Windrow</v>
      </c>
    </row>
    <row r="734" spans="1:13" s="120" customFormat="1" x14ac:dyDescent="0.25">
      <c r="A734" s="119"/>
      <c r="B734" s="138" t="str">
        <f t="shared" si="36"/>
        <v>Windrow</v>
      </c>
      <c r="C734" s="138" t="str">
        <f t="shared" si="35"/>
        <v>Base_With Amendment</v>
      </c>
      <c r="D734" s="118" t="s">
        <v>133</v>
      </c>
      <c r="E734" s="118" t="s">
        <v>130</v>
      </c>
      <c r="F734" s="118" t="s">
        <v>46</v>
      </c>
      <c r="G734" s="153"/>
      <c r="H734" s="155">
        <v>1.2500000000000001E-2</v>
      </c>
      <c r="I734" s="154" t="s">
        <v>59</v>
      </c>
      <c r="J734" s="204">
        <v>4.9699999999999996E-3</v>
      </c>
      <c r="K734" s="154" t="s">
        <v>25</v>
      </c>
      <c r="L734" s="154" t="str">
        <f>IF(OpenLCAbasic!K734="CTUh", "Fill in Manually",IF(OR(K734="Unit", K734=""), "", INDEX(LookUps!$E$5:$E$12, MATCH(OpenLCAbasic!K734,LookUps!$D$5:$D$12,0))))</f>
        <v>Smog Formation Potential (SFP) - kg O3 eq</v>
      </c>
      <c r="M734" s="154" t="str">
        <f t="shared" si="37"/>
        <v>Base_Base_Low_Upgraded_Smog Formation Potential (SFP) - kg O3 eq_Blend Tank; wastewater treatment unit; at updated plant - US_Base_With Amendment_Windrow</v>
      </c>
    </row>
    <row r="735" spans="1:13" s="120" customFormat="1" x14ac:dyDescent="0.25">
      <c r="A735" s="119"/>
      <c r="B735" s="138" t="str">
        <f t="shared" si="36"/>
        <v>Windrow</v>
      </c>
      <c r="C735" s="138" t="str">
        <f t="shared" ref="C735:C766" si="38">IF(E735&lt;&gt;"", "Base_With Amendment","")</f>
        <v>Base_With Amendment</v>
      </c>
      <c r="D735" s="118" t="s">
        <v>133</v>
      </c>
      <c r="E735" s="118" t="s">
        <v>130</v>
      </c>
      <c r="F735" s="118" t="s">
        <v>46</v>
      </c>
      <c r="G735" s="153"/>
      <c r="H735" s="155">
        <v>8.5000000000000006E-3</v>
      </c>
      <c r="I735" s="154" t="s">
        <v>48</v>
      </c>
      <c r="J735" s="204">
        <v>3.3899999999999998E-3</v>
      </c>
      <c r="K735" s="154" t="s">
        <v>25</v>
      </c>
      <c r="L735" s="154" t="str">
        <f>IF(OpenLCAbasic!K735="CTUh", "Fill in Manually",IF(OR(K735="Unit", K735=""), "", INDEX(LookUps!$E$5:$E$12, MATCH(OpenLCAbasic!K735,LookUps!$D$5:$D$12,0))))</f>
        <v>Smog Formation Potential (SFP) - kg O3 eq</v>
      </c>
      <c r="M735" s="154" t="str">
        <f t="shared" si="37"/>
        <v>Base_Base_Low_Upgraded_Smog Formation Potential (SFP) - kg O3 eq_Effluent release; wastewater treatment unit; at surface water; m3 wastewater - US_Base_With Amendment_Windrow</v>
      </c>
    </row>
    <row r="736" spans="1:13" s="120" customFormat="1" x14ac:dyDescent="0.25">
      <c r="A736" s="119"/>
      <c r="B736" s="138" t="str">
        <f t="shared" si="36"/>
        <v>Windrow</v>
      </c>
      <c r="C736" s="138" t="str">
        <f t="shared" si="38"/>
        <v>Base_With Amendment</v>
      </c>
      <c r="D736" s="118" t="s">
        <v>133</v>
      </c>
      <c r="E736" s="118" t="s">
        <v>130</v>
      </c>
      <c r="F736" s="118" t="s">
        <v>46</v>
      </c>
      <c r="G736" s="153"/>
      <c r="H736" s="155">
        <v>6.1999999999999998E-3</v>
      </c>
      <c r="I736" s="154" t="s">
        <v>168</v>
      </c>
      <c r="J736" s="204">
        <v>2.4599999999999999E-3</v>
      </c>
      <c r="K736" s="154" t="s">
        <v>25</v>
      </c>
      <c r="L736" s="154" t="str">
        <f>IF(OpenLCAbasic!K736="CTUh", "Fill in Manually",IF(OR(K736="Unit", K736=""), "", INDEX(LookUps!$E$5:$E$12, MATCH(OpenLCAbasic!K736,LookUps!$D$5:$D$12,0))))</f>
        <v>Smog Formation Potential (SFP) - kg O3 eq</v>
      </c>
      <c r="M736" s="154" t="str">
        <f t="shared" si="37"/>
        <v>Base_Base_Low_Upgraded_Smog Formation Potential (SFP) - kg O3 eq_ClearCove SCP; wastewater treatment unit; at updated plant - US_Base_With Amendment_Windrow</v>
      </c>
    </row>
    <row r="737" spans="1:13" s="120" customFormat="1" x14ac:dyDescent="0.25">
      <c r="A737" s="119"/>
      <c r="B737" s="138" t="str">
        <f t="shared" si="36"/>
        <v>Windrow</v>
      </c>
      <c r="C737" s="138" t="str">
        <f t="shared" si="38"/>
        <v>Base_With Amendment</v>
      </c>
      <c r="D737" s="118" t="s">
        <v>133</v>
      </c>
      <c r="E737" s="118" t="s">
        <v>130</v>
      </c>
      <c r="F737" s="118" t="s">
        <v>46</v>
      </c>
      <c r="G737" s="153"/>
      <c r="H737" s="155">
        <v>3.0000000000000001E-3</v>
      </c>
      <c r="I737" s="154" t="s">
        <v>271</v>
      </c>
      <c r="J737" s="204">
        <v>1.2099999999999999E-3</v>
      </c>
      <c r="K737" s="154" t="s">
        <v>25</v>
      </c>
      <c r="L737" s="154" t="str">
        <f>IF(OpenLCAbasic!K737="CTUh", "Fill in Manually",IF(OR(K737="Unit", K737=""), "", INDEX(LookUps!$E$5:$E$12, MATCH(OpenLCAbasic!K737,LookUps!$D$5:$D$12,0))))</f>
        <v>Smog Formation Potential (SFP) - kg O3 eq</v>
      </c>
      <c r="M737" s="154" t="str">
        <f t="shared" si="37"/>
        <v>Base_Base_Low_Upgraded_Smog Formation Potential (SFP) - kg O3 eq_Biosolids composting; windrow composting; wastewater treatment unit; at updated plant - US_Base_With Amendment_Windrow</v>
      </c>
    </row>
    <row r="738" spans="1:13" s="120" customFormat="1" x14ac:dyDescent="0.25">
      <c r="A738" s="119"/>
      <c r="B738" s="138" t="str">
        <f t="shared" si="36"/>
        <v>Windrow</v>
      </c>
      <c r="C738" s="138" t="str">
        <f t="shared" si="38"/>
        <v>Base_With Amendment</v>
      </c>
      <c r="D738" s="118" t="s">
        <v>133</v>
      </c>
      <c r="E738" s="118" t="s">
        <v>130</v>
      </c>
      <c r="F738" s="118" t="s">
        <v>46</v>
      </c>
      <c r="G738" s="153"/>
      <c r="H738" s="155">
        <v>1.4E-3</v>
      </c>
      <c r="I738" s="154" t="s">
        <v>148</v>
      </c>
      <c r="J738" s="204">
        <v>5.4000000000000001E-4</v>
      </c>
      <c r="K738" s="154" t="s">
        <v>25</v>
      </c>
      <c r="L738" s="154" t="str">
        <f>IF(OpenLCAbasic!K738="CTUh", "Fill in Manually",IF(OR(K738="Unit", K738=""), "", INDEX(LookUps!$E$5:$E$12, MATCH(OpenLCAbasic!K738,LookUps!$D$5:$D$12,0))))</f>
        <v>Smog Formation Potential (SFP) - kg O3 eq</v>
      </c>
      <c r="M738" s="154" t="str">
        <f t="shared" si="37"/>
        <v>Base_Base_Low_Upgraded_Smog Formation Potential (SFP) - kg O3 eq_Control Building; at upgraded wastewater treatment plant - US_Base_With Amendment_Windrow</v>
      </c>
    </row>
    <row r="739" spans="1:13" s="120" customFormat="1" x14ac:dyDescent="0.25">
      <c r="A739" s="119"/>
      <c r="B739" s="138" t="str">
        <f t="shared" si="36"/>
        <v>Windrow</v>
      </c>
      <c r="C739" s="138" t="str">
        <f t="shared" si="38"/>
        <v>Base_With Amendment</v>
      </c>
      <c r="D739" s="118" t="s">
        <v>133</v>
      </c>
      <c r="E739" s="118" t="s">
        <v>130</v>
      </c>
      <c r="F739" s="118" t="s">
        <v>46</v>
      </c>
      <c r="G739" s="153"/>
      <c r="H739" s="155">
        <v>-7.7999999999999996E-3</v>
      </c>
      <c r="I739" s="154" t="s">
        <v>62</v>
      </c>
      <c r="J739" s="204">
        <v>-3.0899999999999999E-3</v>
      </c>
      <c r="K739" s="154" t="s">
        <v>25</v>
      </c>
      <c r="L739" s="154" t="str">
        <f>IF(OpenLCAbasic!K739="CTUh", "Fill in Manually",IF(OR(K739="Unit", K739=""), "", INDEX(LookUps!$E$5:$E$12, MATCH(OpenLCAbasic!K739,LookUps!$D$5:$D$12,0))))</f>
        <v>Smog Formation Potential (SFP) - kg O3 eq</v>
      </c>
      <c r="M739" s="154" t="str">
        <f t="shared" si="37"/>
        <v>Base_Base_Low_Upgraded_Smog Formation Potential (SFP) - kg O3 eq_Land application of compost; wastewater treatment unit; at updated plant - US_Base_With Amendment_Windrow</v>
      </c>
    </row>
    <row r="740" spans="1:13" s="120" customFormat="1" x14ac:dyDescent="0.25">
      <c r="A740" s="119"/>
      <c r="B740" s="138" t="str">
        <f t="shared" si="36"/>
        <v>Windrow</v>
      </c>
      <c r="C740" s="138" t="str">
        <f t="shared" si="38"/>
        <v>Base_With Amendment</v>
      </c>
      <c r="D740" s="118" t="s">
        <v>133</v>
      </c>
      <c r="E740" s="118" t="s">
        <v>130</v>
      </c>
      <c r="F740" s="118" t="s">
        <v>46</v>
      </c>
      <c r="G740" s="153" t="s">
        <v>51</v>
      </c>
      <c r="H740" s="154"/>
      <c r="I740" s="154" t="s">
        <v>47</v>
      </c>
      <c r="J740" s="154" t="s">
        <v>52</v>
      </c>
      <c r="K740" s="154" t="s">
        <v>27</v>
      </c>
      <c r="L740" s="154" t="str">
        <f>IF(OpenLCAbasic!K740="CTUh", "Fill in Manually",IF(OR(K740="Unit", K740=""), "", INDEX(LookUps!$E$5:$E$12, MATCH(OpenLCAbasic!K740,LookUps!$D$5:$D$12,0))))</f>
        <v/>
      </c>
      <c r="M740" s="154" t="str">
        <f t="shared" si="37"/>
        <v>Base_Base_Low_Upgraded__Process_Base_With Amendment_Windrow</v>
      </c>
    </row>
    <row r="741" spans="1:13" s="120" customFormat="1" x14ac:dyDescent="0.25">
      <c r="A741" s="119"/>
      <c r="B741" s="138" t="str">
        <f t="shared" si="36"/>
        <v>Windrow</v>
      </c>
      <c r="C741" s="138" t="str">
        <f t="shared" si="38"/>
        <v>Base_With Amendment</v>
      </c>
      <c r="D741" s="118" t="s">
        <v>133</v>
      </c>
      <c r="E741" s="118" t="s">
        <v>130</v>
      </c>
      <c r="F741" s="118" t="s">
        <v>46</v>
      </c>
      <c r="G741" s="153"/>
      <c r="H741" s="155">
        <v>1.8347</v>
      </c>
      <c r="I741" s="154" t="s">
        <v>167</v>
      </c>
      <c r="J741" s="204">
        <v>2.3000000000000001E-4</v>
      </c>
      <c r="K741" s="154" t="s">
        <v>26</v>
      </c>
      <c r="L741" s="154" t="str">
        <f>IF(OpenLCAbasic!K741="CTUh", "Fill in Manually",IF(OR(K741="Unit", K741=""), "", INDEX(LookUps!$E$5:$E$12, MATCH(OpenLCAbasic!K741,LookUps!$D$5:$D$12,0))))</f>
        <v>Water Use (WU) - m3 H2O</v>
      </c>
      <c r="M741" s="154" t="str">
        <f t="shared" si="37"/>
        <v>Base_Base_Low_Upgraded_Water Use (WU) - m3 H2O_Waste Receiving and Holding; wastewater treatment unit; at updated plant - US_Base_With Amendment_Windrow</v>
      </c>
    </row>
    <row r="742" spans="1:13" s="120" customFormat="1" x14ac:dyDescent="0.25">
      <c r="A742" s="119"/>
      <c r="B742" s="138" t="str">
        <f t="shared" si="36"/>
        <v>Windrow</v>
      </c>
      <c r="C742" s="138" t="str">
        <f t="shared" si="38"/>
        <v>Base_With Amendment</v>
      </c>
      <c r="D742" s="118" t="s">
        <v>133</v>
      </c>
      <c r="E742" s="118" t="s">
        <v>130</v>
      </c>
      <c r="F742" s="118" t="s">
        <v>46</v>
      </c>
      <c r="G742" s="153"/>
      <c r="H742" s="155">
        <v>1.4518</v>
      </c>
      <c r="I742" s="154" t="s">
        <v>147</v>
      </c>
      <c r="J742" s="204">
        <v>1.8000000000000001E-4</v>
      </c>
      <c r="K742" s="154" t="s">
        <v>26</v>
      </c>
      <c r="L742" s="154" t="str">
        <f>IF(OpenLCAbasic!K742="CTUh", "Fill in Manually",IF(OR(K742="Unit", K742=""), "", INDEX(LookUps!$E$5:$E$12, MATCH(OpenLCAbasic!K742,LookUps!$D$5:$D$12,0))))</f>
        <v>Water Use (WU) - m3 H2O</v>
      </c>
      <c r="M742" s="154" t="str">
        <f t="shared" si="37"/>
        <v>Base_Base_Low_Upgraded_Water Use (WU) - m3 H2O_Influent Pump Station; wastewater treatment unit; at updated plant - US_Base_With Amendment_Windrow</v>
      </c>
    </row>
    <row r="743" spans="1:13" s="120" customFormat="1" x14ac:dyDescent="0.25">
      <c r="A743" s="119"/>
      <c r="B743" s="138" t="str">
        <f t="shared" si="36"/>
        <v>Windrow</v>
      </c>
      <c r="C743" s="138" t="str">
        <f t="shared" si="38"/>
        <v>Base_With Amendment</v>
      </c>
      <c r="D743" s="118" t="s">
        <v>133</v>
      </c>
      <c r="E743" s="118" t="s">
        <v>130</v>
      </c>
      <c r="F743" s="118" t="s">
        <v>46</v>
      </c>
      <c r="G743" s="153"/>
      <c r="H743" s="155">
        <v>1.4165000000000001</v>
      </c>
      <c r="I743" s="154" t="s">
        <v>54</v>
      </c>
      <c r="J743" s="204">
        <v>1.8000000000000001E-4</v>
      </c>
      <c r="K743" s="154" t="s">
        <v>26</v>
      </c>
      <c r="L743" s="154" t="str">
        <f>IF(OpenLCAbasic!K743="CTUh", "Fill in Manually",IF(OR(K743="Unit", K743=""), "", INDEX(LookUps!$E$5:$E$12, MATCH(OpenLCAbasic!K743,LookUps!$D$5:$D$12,0))))</f>
        <v>Water Use (WU) - m3 H2O</v>
      </c>
      <c r="M743" s="154" t="str">
        <f t="shared" si="37"/>
        <v>Base_Base_Low_Upgraded_Water Use (WU) - m3 H2O_Clear Cove Primary Clarification; wastewater treatment unit; at updated plant - US_Base_With Amendment_Windrow</v>
      </c>
    </row>
    <row r="744" spans="1:13" s="120" customFormat="1" x14ac:dyDescent="0.25">
      <c r="A744" s="119"/>
      <c r="B744" s="138" t="str">
        <f t="shared" si="36"/>
        <v>Windrow</v>
      </c>
      <c r="C744" s="138" t="str">
        <f t="shared" si="38"/>
        <v>Base_With Amendment</v>
      </c>
      <c r="D744" s="118" t="s">
        <v>133</v>
      </c>
      <c r="E744" s="118" t="s">
        <v>130</v>
      </c>
      <c r="F744" s="118" t="s">
        <v>46</v>
      </c>
      <c r="G744" s="153"/>
      <c r="H744" s="155">
        <v>1.2849999999999999</v>
      </c>
      <c r="I744" s="154" t="s">
        <v>55</v>
      </c>
      <c r="J744" s="204">
        <v>1.6000000000000001E-4</v>
      </c>
      <c r="K744" s="154" t="s">
        <v>26</v>
      </c>
      <c r="L744" s="154" t="str">
        <f>IF(OpenLCAbasic!K744="CTUh", "Fill in Manually",IF(OR(K744="Unit", K744=""), "", INDEX(LookUps!$E$5:$E$12, MATCH(OpenLCAbasic!K744,LookUps!$D$5:$D$12,0))))</f>
        <v>Water Use (WU) - m3 H2O</v>
      </c>
      <c r="M744" s="154" t="str">
        <f t="shared" si="37"/>
        <v>Base_Base_Low_Upgraded_Water Use (WU) - m3 H2O_Aeration Tanks; wastewater treatment unit; at updated plant - US_Base_With Amendment_Windrow</v>
      </c>
    </row>
    <row r="745" spans="1:13" s="120" customFormat="1" x14ac:dyDescent="0.25">
      <c r="A745" s="119"/>
      <c r="B745" s="138" t="str">
        <f t="shared" si="36"/>
        <v>Windrow</v>
      </c>
      <c r="C745" s="138" t="str">
        <f t="shared" si="38"/>
        <v>Base_With Amendment</v>
      </c>
      <c r="D745" s="118" t="s">
        <v>133</v>
      </c>
      <c r="E745" s="118" t="s">
        <v>130</v>
      </c>
      <c r="F745" s="118" t="s">
        <v>46</v>
      </c>
      <c r="G745" s="153"/>
      <c r="H745" s="155">
        <v>1.1705000000000001</v>
      </c>
      <c r="I745" s="154" t="s">
        <v>148</v>
      </c>
      <c r="J745" s="204">
        <v>1.4999999999999999E-4</v>
      </c>
      <c r="K745" s="154" t="s">
        <v>26</v>
      </c>
      <c r="L745" s="154" t="str">
        <f>IF(OpenLCAbasic!K745="CTUh", "Fill in Manually",IF(OR(K745="Unit", K745=""), "", INDEX(LookUps!$E$5:$E$12, MATCH(OpenLCAbasic!K745,LookUps!$D$5:$D$12,0))))</f>
        <v>Water Use (WU) - m3 H2O</v>
      </c>
      <c r="M745" s="154" t="str">
        <f t="shared" si="37"/>
        <v>Base_Base_Low_Upgraded_Water Use (WU) - m3 H2O_Control Building; at upgraded wastewater treatment plant - US_Base_With Amendment_Windrow</v>
      </c>
    </row>
    <row r="746" spans="1:13" s="120" customFormat="1" x14ac:dyDescent="0.25">
      <c r="A746" s="119"/>
      <c r="B746" s="138" t="str">
        <f t="shared" si="36"/>
        <v>Windrow</v>
      </c>
      <c r="C746" s="138" t="str">
        <f t="shared" si="38"/>
        <v>Base_With Amendment</v>
      </c>
      <c r="D746" s="118" t="s">
        <v>133</v>
      </c>
      <c r="E746" s="118" t="s">
        <v>130</v>
      </c>
      <c r="F746" s="118" t="s">
        <v>46</v>
      </c>
      <c r="G746" s="153"/>
      <c r="H746" s="155">
        <v>0.54359999999999997</v>
      </c>
      <c r="I746" s="154" t="s">
        <v>48</v>
      </c>
      <c r="J746" s="204">
        <v>6.8836400000000004E-5</v>
      </c>
      <c r="K746" s="154" t="s">
        <v>26</v>
      </c>
      <c r="L746" s="154" t="str">
        <f>IF(OpenLCAbasic!K746="CTUh", "Fill in Manually",IF(OR(K746="Unit", K746=""), "", INDEX(LookUps!$E$5:$E$12, MATCH(OpenLCAbasic!K746,LookUps!$D$5:$D$12,0))))</f>
        <v>Water Use (WU) - m3 H2O</v>
      </c>
      <c r="M746" s="154" t="str">
        <f t="shared" si="37"/>
        <v>Base_Base_Low_Upgraded_Water Use (WU) - m3 H2O_Effluent release; wastewater treatment unit; at surface water; m3 wastewater - US_Base_With Amendment_Windrow</v>
      </c>
    </row>
    <row r="747" spans="1:13" s="120" customFormat="1" x14ac:dyDescent="0.25">
      <c r="A747" s="119"/>
      <c r="B747" s="138" t="str">
        <f t="shared" si="36"/>
        <v>Windrow</v>
      </c>
      <c r="C747" s="138" t="str">
        <f t="shared" si="38"/>
        <v>Base_With Amendment</v>
      </c>
      <c r="D747" s="118" t="s">
        <v>133</v>
      </c>
      <c r="E747" s="118" t="s">
        <v>130</v>
      </c>
      <c r="F747" s="118" t="s">
        <v>46</v>
      </c>
      <c r="G747" s="153"/>
      <c r="H747" s="155">
        <v>0.37380000000000002</v>
      </c>
      <c r="I747" s="154" t="s">
        <v>149</v>
      </c>
      <c r="J747" s="204">
        <v>4.7332900000000002E-5</v>
      </c>
      <c r="K747" s="154" t="s">
        <v>26</v>
      </c>
      <c r="L747" s="154" t="str">
        <f>IF(OpenLCAbasic!K747="CTUh", "Fill in Manually",IF(OR(K747="Unit", K747=""), "", INDEX(LookUps!$E$5:$E$12, MATCH(OpenLCAbasic!K747,LookUps!$D$5:$D$12,0))))</f>
        <v>Water Use (WU) - m3 H2O</v>
      </c>
      <c r="M747" s="154" t="str">
        <f t="shared" si="37"/>
        <v>Base_Base_Low_Upgraded_Water Use (WU) - m3 H2O_Anaerobic Digestion; wastewater treatment unit; at updated plant - US_Base_With Amendment_Windrow</v>
      </c>
    </row>
    <row r="748" spans="1:13" s="120" customFormat="1" x14ac:dyDescent="0.25">
      <c r="A748" s="119"/>
      <c r="B748" s="138" t="str">
        <f t="shared" si="36"/>
        <v>Windrow</v>
      </c>
      <c r="C748" s="138" t="str">
        <f t="shared" si="38"/>
        <v>Base_With Amendment</v>
      </c>
      <c r="D748" s="118" t="s">
        <v>133</v>
      </c>
      <c r="E748" s="118" t="s">
        <v>130</v>
      </c>
      <c r="F748" s="118" t="s">
        <v>46</v>
      </c>
      <c r="G748" s="153"/>
      <c r="H748" s="155">
        <v>0.34110000000000001</v>
      </c>
      <c r="I748" s="154" t="s">
        <v>58</v>
      </c>
      <c r="J748" s="204">
        <v>4.3192100000000003E-5</v>
      </c>
      <c r="K748" s="154" t="s">
        <v>26</v>
      </c>
      <c r="L748" s="154" t="str">
        <f>IF(OpenLCAbasic!K748="CTUh", "Fill in Manually",IF(OR(K748="Unit", K748=""), "", INDEX(LookUps!$E$5:$E$12, MATCH(OpenLCAbasic!K748,LookUps!$D$5:$D$12,0))))</f>
        <v>Water Use (WU) - m3 H2O</v>
      </c>
      <c r="M748" s="154" t="str">
        <f t="shared" si="37"/>
        <v>Base_Base_Low_Upgraded_Water Use (WU) - m3 H2O_Pre-Anoxic &amp; Swing tank; wastewater treatment unit; at updated plant - US_Base_With Amendment_Windrow</v>
      </c>
    </row>
    <row r="749" spans="1:13" s="120" customFormat="1" x14ac:dyDescent="0.25">
      <c r="A749" s="119"/>
      <c r="B749" s="138" t="str">
        <f t="shared" si="36"/>
        <v>Windrow</v>
      </c>
      <c r="C749" s="138" t="str">
        <f t="shared" si="38"/>
        <v>Base_With Amendment</v>
      </c>
      <c r="D749" s="118" t="s">
        <v>133</v>
      </c>
      <c r="E749" s="118" t="s">
        <v>130</v>
      </c>
      <c r="F749" s="118" t="s">
        <v>46</v>
      </c>
      <c r="G749" s="153"/>
      <c r="H749" s="155">
        <v>0.24010000000000001</v>
      </c>
      <c r="I749" s="154" t="s">
        <v>57</v>
      </c>
      <c r="J749" s="204">
        <v>3.0408100000000001E-5</v>
      </c>
      <c r="K749" s="154" t="s">
        <v>26</v>
      </c>
      <c r="L749" s="154" t="str">
        <f>IF(OpenLCAbasic!K749="CTUh", "Fill in Manually",IF(OR(K749="Unit", K749=""), "", INDEX(LookUps!$E$5:$E$12, MATCH(OpenLCAbasic!K749,LookUps!$D$5:$D$12,0))))</f>
        <v>Water Use (WU) - m3 H2O</v>
      </c>
      <c r="M749" s="154" t="str">
        <f t="shared" si="37"/>
        <v>Base_Base_Low_Upgraded_Water Use (WU) - m3 H2O_Gravity Belt Thickener; wastewater treatment unit; at updated plant - US_Base_With Amendment_Windrow</v>
      </c>
    </row>
    <row r="750" spans="1:13" s="120" customFormat="1" x14ac:dyDescent="0.25">
      <c r="A750" s="119"/>
      <c r="B750" s="138" t="str">
        <f t="shared" si="36"/>
        <v>Windrow</v>
      </c>
      <c r="C750" s="138" t="str">
        <f t="shared" si="38"/>
        <v>Base_With Amendment</v>
      </c>
      <c r="D750" s="118" t="s">
        <v>133</v>
      </c>
      <c r="E750" s="118" t="s">
        <v>130</v>
      </c>
      <c r="F750" s="118" t="s">
        <v>46</v>
      </c>
      <c r="G750" s="153"/>
      <c r="H750" s="155">
        <v>0.1923</v>
      </c>
      <c r="I750" s="154" t="s">
        <v>60</v>
      </c>
      <c r="J750" s="204">
        <v>2.4357400000000002E-5</v>
      </c>
      <c r="K750" s="154" t="s">
        <v>26</v>
      </c>
      <c r="L750" s="154" t="str">
        <f>IF(OpenLCAbasic!K750="CTUh", "Fill in Manually",IF(OR(K750="Unit", K750=""), "", INDEX(LookUps!$E$5:$E$12, MATCH(OpenLCAbasic!K750,LookUps!$D$5:$D$12,0))))</f>
        <v>Water Use (WU) - m3 H2O</v>
      </c>
      <c r="M750" s="154" t="str">
        <f t="shared" si="37"/>
        <v>Base_Base_Low_Upgraded_Water Use (WU) - m3 H2O_Belt filter press; wastewater treatment unit; at updated plant - US_Base_With Amendment_Windrow</v>
      </c>
    </row>
    <row r="751" spans="1:13" s="120" customFormat="1" x14ac:dyDescent="0.25">
      <c r="A751" s="119"/>
      <c r="B751" s="138" t="str">
        <f t="shared" si="36"/>
        <v>Windrow</v>
      </c>
      <c r="C751" s="138" t="str">
        <f t="shared" si="38"/>
        <v>Base_With Amendment</v>
      </c>
      <c r="D751" s="118" t="s">
        <v>133</v>
      </c>
      <c r="E751" s="118" t="s">
        <v>130</v>
      </c>
      <c r="F751" s="118" t="s">
        <v>46</v>
      </c>
      <c r="G751" s="153"/>
      <c r="H751" s="155">
        <v>0.13819999999999999</v>
      </c>
      <c r="I751" s="154" t="s">
        <v>53</v>
      </c>
      <c r="J751" s="204">
        <v>1.75069E-5</v>
      </c>
      <c r="K751" s="154" t="s">
        <v>26</v>
      </c>
      <c r="L751" s="154" t="str">
        <f>IF(OpenLCAbasic!K751="CTUh", "Fill in Manually",IF(OR(K751="Unit", K751=""), "", INDEX(LookUps!$E$5:$E$12, MATCH(OpenLCAbasic!K751,LookUps!$D$5:$D$12,0))))</f>
        <v>Water Use (WU) - m3 H2O</v>
      </c>
      <c r="M751" s="154" t="str">
        <f t="shared" si="37"/>
        <v>Base_Base_Low_Upgraded_Water Use (WU) - m3 H2O_Wet Well and Sump Station; wastewater treatment unit; at updated plant - US_Base_With Amendment_Windrow</v>
      </c>
    </row>
    <row r="752" spans="1:13" s="120" customFormat="1" x14ac:dyDescent="0.25">
      <c r="A752" s="119"/>
      <c r="B752" s="138" t="str">
        <f t="shared" si="36"/>
        <v>Windrow</v>
      </c>
      <c r="C752" s="138" t="str">
        <f t="shared" si="38"/>
        <v>Base_With Amendment</v>
      </c>
      <c r="D752" s="118" t="s">
        <v>133</v>
      </c>
      <c r="E752" s="118" t="s">
        <v>130</v>
      </c>
      <c r="F752" s="118" t="s">
        <v>46</v>
      </c>
      <c r="G752" s="153"/>
      <c r="H752" s="155">
        <v>5.5399999999999998E-2</v>
      </c>
      <c r="I752" s="154" t="s">
        <v>59</v>
      </c>
      <c r="J752" s="204">
        <v>7.0179500000000003E-6</v>
      </c>
      <c r="K752" s="154" t="s">
        <v>26</v>
      </c>
      <c r="L752" s="154" t="str">
        <f>IF(OpenLCAbasic!K752="CTUh", "Fill in Manually",IF(OR(K752="Unit", K752=""), "", INDEX(LookUps!$E$5:$E$12, MATCH(OpenLCAbasic!K752,LookUps!$D$5:$D$12,0))))</f>
        <v>Water Use (WU) - m3 H2O</v>
      </c>
      <c r="M752" s="154" t="str">
        <f t="shared" si="37"/>
        <v>Base_Base_Low_Upgraded_Water Use (WU) - m3 H2O_Blend Tank; wastewater treatment unit; at updated plant - US_Base_With Amendment_Windrow</v>
      </c>
    </row>
    <row r="753" spans="1:13" s="120" customFormat="1" x14ac:dyDescent="0.25">
      <c r="A753" s="119"/>
      <c r="B753" s="138" t="str">
        <f t="shared" si="36"/>
        <v>Windrow</v>
      </c>
      <c r="C753" s="138" t="str">
        <f t="shared" si="38"/>
        <v>Base_With Amendment</v>
      </c>
      <c r="D753" s="118" t="s">
        <v>133</v>
      </c>
      <c r="E753" s="118" t="s">
        <v>130</v>
      </c>
      <c r="F753" s="118" t="s">
        <v>46</v>
      </c>
      <c r="G753" s="153"/>
      <c r="H753" s="155">
        <v>0.04</v>
      </c>
      <c r="I753" s="154" t="s">
        <v>128</v>
      </c>
      <c r="J753" s="204">
        <v>5.0608900000000003E-6</v>
      </c>
      <c r="K753" s="154" t="s">
        <v>26</v>
      </c>
      <c r="L753" s="154" t="str">
        <f>IF(OpenLCAbasic!K753="CTUh", "Fill in Manually",IF(OR(K753="Unit", K753=""), "", INDEX(LookUps!$E$5:$E$12, MATCH(OpenLCAbasic!K753,LookUps!$D$5:$D$12,0))))</f>
        <v>Water Use (WU) - m3 H2O</v>
      </c>
      <c r="M753" s="154" t="str">
        <f t="shared" si="37"/>
        <v>Base_Base_Low_Upgraded_Water Use (WU) - m3 H2O_Wastewater collection; operation and infrastructure; m3 wastewater_Base_With Amendment_Windrow</v>
      </c>
    </row>
    <row r="754" spans="1:13" s="120" customFormat="1" x14ac:dyDescent="0.25">
      <c r="A754" s="119"/>
      <c r="B754" s="138" t="str">
        <f t="shared" si="36"/>
        <v>Windrow</v>
      </c>
      <c r="C754" s="138" t="str">
        <f t="shared" si="38"/>
        <v>Base_With Amendment</v>
      </c>
      <c r="D754" s="118" t="s">
        <v>133</v>
      </c>
      <c r="E754" s="118" t="s">
        <v>130</v>
      </c>
      <c r="F754" s="118" t="s">
        <v>46</v>
      </c>
      <c r="G754" s="153"/>
      <c r="H754" s="155">
        <v>9.4000000000000004E-3</v>
      </c>
      <c r="I754" s="154" t="s">
        <v>271</v>
      </c>
      <c r="J754" s="204">
        <v>1.1873000000000001E-6</v>
      </c>
      <c r="K754" s="154" t="s">
        <v>26</v>
      </c>
      <c r="L754" s="154" t="str">
        <f>IF(OpenLCAbasic!K754="CTUh", "Fill in Manually",IF(OR(K754="Unit", K754=""), "", INDEX(LookUps!$E$5:$E$12, MATCH(OpenLCAbasic!K754,LookUps!$D$5:$D$12,0))))</f>
        <v>Water Use (WU) - m3 H2O</v>
      </c>
      <c r="M754" s="154" t="str">
        <f t="shared" si="37"/>
        <v>Base_Base_Low_Upgraded_Water Use (WU) - m3 H2O_Biosolids composting; windrow composting; wastewater treatment unit; at updated plant - US_Base_With Amendment_Windrow</v>
      </c>
    </row>
    <row r="755" spans="1:13" s="120" customFormat="1" x14ac:dyDescent="0.25">
      <c r="A755" s="119"/>
      <c r="B755" s="138" t="str">
        <f t="shared" si="36"/>
        <v>Windrow</v>
      </c>
      <c r="C755" s="138" t="str">
        <f t="shared" si="38"/>
        <v>Base_With Amendment</v>
      </c>
      <c r="D755" s="118" t="s">
        <v>133</v>
      </c>
      <c r="E755" s="118" t="s">
        <v>130</v>
      </c>
      <c r="F755" s="118" t="s">
        <v>46</v>
      </c>
      <c r="G755" s="153"/>
      <c r="H755" s="155">
        <v>6.1000000000000004E-3</v>
      </c>
      <c r="I755" s="154" t="s">
        <v>168</v>
      </c>
      <c r="J755" s="204">
        <v>7.6697000000000004E-7</v>
      </c>
      <c r="K755" s="154" t="s">
        <v>26</v>
      </c>
      <c r="L755" s="154" t="str">
        <f>IF(OpenLCAbasic!K755="CTUh", "Fill in Manually",IF(OR(K755="Unit", K755=""), "", INDEX(LookUps!$E$5:$E$12, MATCH(OpenLCAbasic!K755,LookUps!$D$5:$D$12,0))))</f>
        <v>Water Use (WU) - m3 H2O</v>
      </c>
      <c r="M755" s="154" t="str">
        <f t="shared" si="37"/>
        <v>Base_Base_Low_Upgraded_Water Use (WU) - m3 H2O_ClearCove SCP; wastewater treatment unit; at updated plant - US_Base_With Amendment_Windrow</v>
      </c>
    </row>
    <row r="756" spans="1:13" s="120" customFormat="1" x14ac:dyDescent="0.25">
      <c r="A756" s="119"/>
      <c r="B756" s="138" t="str">
        <f t="shared" si="36"/>
        <v>Windrow</v>
      </c>
      <c r="C756" s="138" t="str">
        <f t="shared" si="38"/>
        <v>Base_With Amendment</v>
      </c>
      <c r="D756" s="118" t="s">
        <v>133</v>
      </c>
      <c r="E756" s="118" t="s">
        <v>130</v>
      </c>
      <c r="F756" s="118" t="s">
        <v>46</v>
      </c>
      <c r="G756" s="153"/>
      <c r="H756" s="155">
        <v>-10.0984</v>
      </c>
      <c r="I756" s="154" t="s">
        <v>62</v>
      </c>
      <c r="J756" s="204">
        <v>-1.2800000000000001E-3</v>
      </c>
      <c r="K756" s="154" t="s">
        <v>26</v>
      </c>
      <c r="L756" s="154" t="str">
        <f>IF(OpenLCAbasic!K756="CTUh", "Fill in Manually",IF(OR(K756="Unit", K756=""), "", INDEX(LookUps!$E$5:$E$12, MATCH(OpenLCAbasic!K756,LookUps!$D$5:$D$12,0))))</f>
        <v>Water Use (WU) - m3 H2O</v>
      </c>
      <c r="M756" s="154" t="str">
        <f t="shared" si="37"/>
        <v>Base_Base_Low_Upgraded_Water Use (WU) - m3 H2O_Land application of compost; wastewater treatment unit; at updated plant - US_Base_With Amendment_Windrow</v>
      </c>
    </row>
    <row r="757" spans="1:13" s="120" customFormat="1" x14ac:dyDescent="0.25">
      <c r="A757" s="119"/>
      <c r="B757" s="138" t="str">
        <f t="shared" si="36"/>
        <v>Windrow</v>
      </c>
      <c r="C757" s="138" t="str">
        <f t="shared" si="38"/>
        <v>Base_With Amendment</v>
      </c>
      <c r="D757" s="118" t="s">
        <v>133</v>
      </c>
      <c r="E757" s="118" t="s">
        <v>130</v>
      </c>
      <c r="F757" s="118" t="s">
        <v>46</v>
      </c>
      <c r="G757" s="153" t="s">
        <v>51</v>
      </c>
      <c r="H757" s="154"/>
      <c r="I757" s="154" t="s">
        <v>47</v>
      </c>
      <c r="J757" s="154" t="s">
        <v>52</v>
      </c>
      <c r="K757" s="154" t="s">
        <v>27</v>
      </c>
      <c r="L757" s="154" t="str">
        <f>IF(OpenLCAbasic!K757="CTUh", "Fill in Manually",IF(OR(K757="Unit", K757=""), "", INDEX(LookUps!$E$5:$E$12, MATCH(OpenLCAbasic!K757,LookUps!$D$5:$D$12,0))))</f>
        <v/>
      </c>
      <c r="M757" s="154" t="str">
        <f t="shared" si="37"/>
        <v>Base_Base_Low_Upgraded__Process_Base_With Amendment_Windrow</v>
      </c>
    </row>
    <row r="758" spans="1:13" s="120" customFormat="1" x14ac:dyDescent="0.25">
      <c r="A758" s="119"/>
      <c r="B758" s="138" t="str">
        <f t="shared" si="36"/>
        <v>Windrow</v>
      </c>
      <c r="C758" s="138" t="str">
        <f t="shared" si="38"/>
        <v>Base_With Amendment</v>
      </c>
      <c r="D758" s="118" t="s">
        <v>133</v>
      </c>
      <c r="E758" s="118" t="s">
        <v>130</v>
      </c>
      <c r="F758" s="118" t="s">
        <v>46</v>
      </c>
      <c r="G758" s="153"/>
      <c r="H758" s="155">
        <v>0.27429999999999999</v>
      </c>
      <c r="I758" s="154" t="s">
        <v>167</v>
      </c>
      <c r="J758" s="203">
        <v>7.9170000000000004E-2</v>
      </c>
      <c r="K758" s="154" t="s">
        <v>14</v>
      </c>
      <c r="L758" s="154" t="str">
        <f>IF(OpenLCAbasic!K758="CTUh", "Fill in Manually",IF(OR(K758="Unit", K758=""), "", INDEX(LookUps!$E$5:$E$12, MATCH(OpenLCAbasic!K758,LookUps!$D$5:$D$12,0))))</f>
        <v>Fossil Depletion Potential (FDP) - kg oil eq</v>
      </c>
      <c r="M758" s="154" t="str">
        <f t="shared" si="37"/>
        <v>Base_Base_Low_Upgraded_Fossil Depletion Potential (FDP) - kg oil eq_Waste Receiving and Holding; wastewater treatment unit; at updated plant - US_Base_With Amendment_Windrow</v>
      </c>
    </row>
    <row r="759" spans="1:13" s="120" customFormat="1" x14ac:dyDescent="0.25">
      <c r="A759" s="119"/>
      <c r="B759" s="138" t="str">
        <f t="shared" si="36"/>
        <v>Windrow</v>
      </c>
      <c r="C759" s="138" t="str">
        <f t="shared" si="38"/>
        <v>Base_With Amendment</v>
      </c>
      <c r="D759" s="118" t="s">
        <v>133</v>
      </c>
      <c r="E759" s="118" t="s">
        <v>130</v>
      </c>
      <c r="F759" s="118" t="s">
        <v>46</v>
      </c>
      <c r="G759" s="153"/>
      <c r="H759" s="155">
        <v>0.2203</v>
      </c>
      <c r="I759" s="154" t="s">
        <v>55</v>
      </c>
      <c r="J759" s="203">
        <v>6.3589999999999994E-2</v>
      </c>
      <c r="K759" s="154" t="s">
        <v>14</v>
      </c>
      <c r="L759" s="154" t="str">
        <f>IF(OpenLCAbasic!K759="CTUh", "Fill in Manually",IF(OR(K759="Unit", K759=""), "", INDEX(LookUps!$E$5:$E$12, MATCH(OpenLCAbasic!K759,LookUps!$D$5:$D$12,0))))</f>
        <v>Fossil Depletion Potential (FDP) - kg oil eq</v>
      </c>
      <c r="M759" s="154" t="str">
        <f t="shared" si="37"/>
        <v>Base_Base_Low_Upgraded_Fossil Depletion Potential (FDP) - kg oil eq_Aeration Tanks; wastewater treatment unit; at updated plant - US_Base_With Amendment_Windrow</v>
      </c>
    </row>
    <row r="760" spans="1:13" s="120" customFormat="1" x14ac:dyDescent="0.25">
      <c r="A760" s="119"/>
      <c r="B760" s="138" t="str">
        <f t="shared" si="36"/>
        <v>Windrow</v>
      </c>
      <c r="C760" s="138" t="str">
        <f t="shared" si="38"/>
        <v>Base_With Amendment</v>
      </c>
      <c r="D760" s="118" t="s">
        <v>133</v>
      </c>
      <c r="E760" s="118" t="s">
        <v>130</v>
      </c>
      <c r="F760" s="118" t="s">
        <v>46</v>
      </c>
      <c r="G760" s="153"/>
      <c r="H760" s="155">
        <v>0.2142</v>
      </c>
      <c r="I760" s="154" t="s">
        <v>149</v>
      </c>
      <c r="J760" s="203">
        <v>6.1809999999999997E-2</v>
      </c>
      <c r="K760" s="154" t="s">
        <v>14</v>
      </c>
      <c r="L760" s="154" t="str">
        <f>IF(OpenLCAbasic!K760="CTUh", "Fill in Manually",IF(OR(K760="Unit", K760=""), "", INDEX(LookUps!$E$5:$E$12, MATCH(OpenLCAbasic!K760,LookUps!$D$5:$D$12,0))))</f>
        <v>Fossil Depletion Potential (FDP) - kg oil eq</v>
      </c>
      <c r="M760" s="154" t="str">
        <f t="shared" si="37"/>
        <v>Base_Base_Low_Upgraded_Fossil Depletion Potential (FDP) - kg oil eq_Anaerobic Digestion; wastewater treatment unit; at updated plant - US_Base_With Amendment_Windrow</v>
      </c>
    </row>
    <row r="761" spans="1:13" s="120" customFormat="1" x14ac:dyDescent="0.25">
      <c r="A761" s="119"/>
      <c r="B761" s="138" t="str">
        <f t="shared" si="36"/>
        <v>Windrow</v>
      </c>
      <c r="C761" s="138" t="str">
        <f t="shared" si="38"/>
        <v>Base_With Amendment</v>
      </c>
      <c r="D761" s="118" t="s">
        <v>133</v>
      </c>
      <c r="E761" s="118" t="s">
        <v>130</v>
      </c>
      <c r="F761" s="118" t="s">
        <v>46</v>
      </c>
      <c r="G761" s="153"/>
      <c r="H761" s="155">
        <v>7.2900000000000006E-2</v>
      </c>
      <c r="I761" s="154" t="s">
        <v>54</v>
      </c>
      <c r="J761" s="203">
        <v>2.1049999999999999E-2</v>
      </c>
      <c r="K761" s="154" t="s">
        <v>14</v>
      </c>
      <c r="L761" s="154" t="str">
        <f>IF(OpenLCAbasic!K761="CTUh", "Fill in Manually",IF(OR(K761="Unit", K761=""), "", INDEX(LookUps!$E$5:$E$12, MATCH(OpenLCAbasic!K761,LookUps!$D$5:$D$12,0))))</f>
        <v>Fossil Depletion Potential (FDP) - kg oil eq</v>
      </c>
      <c r="M761" s="154" t="str">
        <f t="shared" si="37"/>
        <v>Base_Base_Low_Upgraded_Fossil Depletion Potential (FDP) - kg oil eq_Clear Cove Primary Clarification; wastewater treatment unit; at updated plant - US_Base_With Amendment_Windrow</v>
      </c>
    </row>
    <row r="762" spans="1:13" s="120" customFormat="1" x14ac:dyDescent="0.25">
      <c r="A762" s="119"/>
      <c r="B762" s="138" t="str">
        <f t="shared" si="36"/>
        <v>Windrow</v>
      </c>
      <c r="C762" s="138" t="str">
        <f t="shared" si="38"/>
        <v>Base_With Amendment</v>
      </c>
      <c r="D762" s="118" t="s">
        <v>133</v>
      </c>
      <c r="E762" s="118" t="s">
        <v>130</v>
      </c>
      <c r="F762" s="118" t="s">
        <v>46</v>
      </c>
      <c r="G762" s="153"/>
      <c r="H762" s="155">
        <v>5.5199999999999999E-2</v>
      </c>
      <c r="I762" s="154" t="s">
        <v>58</v>
      </c>
      <c r="J762" s="203">
        <v>1.592E-2</v>
      </c>
      <c r="K762" s="154" t="s">
        <v>14</v>
      </c>
      <c r="L762" s="154" t="str">
        <f>IF(OpenLCAbasic!K762="CTUh", "Fill in Manually",IF(OR(K762="Unit", K762=""), "", INDEX(LookUps!$E$5:$E$12, MATCH(OpenLCAbasic!K762,LookUps!$D$5:$D$12,0))))</f>
        <v>Fossil Depletion Potential (FDP) - kg oil eq</v>
      </c>
      <c r="M762" s="154" t="str">
        <f t="shared" si="37"/>
        <v>Base_Base_Low_Upgraded_Fossil Depletion Potential (FDP) - kg oil eq_Pre-Anoxic &amp; Swing tank; wastewater treatment unit; at updated plant - US_Base_With Amendment_Windrow</v>
      </c>
    </row>
    <row r="763" spans="1:13" s="120" customFormat="1" x14ac:dyDescent="0.25">
      <c r="A763" s="119"/>
      <c r="B763" s="138" t="str">
        <f t="shared" si="36"/>
        <v>Windrow</v>
      </c>
      <c r="C763" s="138" t="str">
        <f t="shared" si="38"/>
        <v>Base_With Amendment</v>
      </c>
      <c r="D763" s="118" t="s">
        <v>133</v>
      </c>
      <c r="E763" s="118" t="s">
        <v>130</v>
      </c>
      <c r="F763" s="118" t="s">
        <v>46</v>
      </c>
      <c r="G763" s="153"/>
      <c r="H763" s="155">
        <v>5.2299999999999999E-2</v>
      </c>
      <c r="I763" s="154" t="s">
        <v>147</v>
      </c>
      <c r="J763" s="203">
        <v>1.5089999999999999E-2</v>
      </c>
      <c r="K763" s="154" t="s">
        <v>14</v>
      </c>
      <c r="L763" s="154" t="str">
        <f>IF(OpenLCAbasic!K763="CTUh", "Fill in Manually",IF(OR(K763="Unit", K763=""), "", INDEX(LookUps!$E$5:$E$12, MATCH(OpenLCAbasic!K763,LookUps!$D$5:$D$12,0))))</f>
        <v>Fossil Depletion Potential (FDP) - kg oil eq</v>
      </c>
      <c r="M763" s="154" t="str">
        <f t="shared" si="37"/>
        <v>Base_Base_Low_Upgraded_Fossil Depletion Potential (FDP) - kg oil eq_Influent Pump Station; wastewater treatment unit; at updated plant - US_Base_With Amendment_Windrow</v>
      </c>
    </row>
    <row r="764" spans="1:13" s="120" customFormat="1" x14ac:dyDescent="0.25">
      <c r="A764" s="119"/>
      <c r="B764" s="138" t="str">
        <f t="shared" si="36"/>
        <v>Windrow</v>
      </c>
      <c r="C764" s="138" t="str">
        <f t="shared" si="38"/>
        <v>Base_With Amendment</v>
      </c>
      <c r="D764" s="118" t="s">
        <v>133</v>
      </c>
      <c r="E764" s="118" t="s">
        <v>130</v>
      </c>
      <c r="F764" s="118" t="s">
        <v>46</v>
      </c>
      <c r="G764" s="153"/>
      <c r="H764" s="155">
        <v>4.3299999999999998E-2</v>
      </c>
      <c r="I764" s="154" t="s">
        <v>53</v>
      </c>
      <c r="J764" s="204">
        <v>1.2489999999999999E-2</v>
      </c>
      <c r="K764" s="154" t="s">
        <v>14</v>
      </c>
      <c r="L764" s="154" t="str">
        <f>IF(OpenLCAbasic!K764="CTUh", "Fill in Manually",IF(OR(K764="Unit", K764=""), "", INDEX(LookUps!$E$5:$E$12, MATCH(OpenLCAbasic!K764,LookUps!$D$5:$D$12,0))))</f>
        <v>Fossil Depletion Potential (FDP) - kg oil eq</v>
      </c>
      <c r="M764" s="154" t="str">
        <f t="shared" si="37"/>
        <v>Base_Base_Low_Upgraded_Fossil Depletion Potential (FDP) - kg oil eq_Wet Well and Sump Station; wastewater treatment unit; at updated plant - US_Base_With Amendment_Windrow</v>
      </c>
    </row>
    <row r="765" spans="1:13" s="120" customFormat="1" x14ac:dyDescent="0.25">
      <c r="A765" s="119"/>
      <c r="B765" s="138" t="str">
        <f t="shared" si="36"/>
        <v>Windrow</v>
      </c>
      <c r="C765" s="138" t="str">
        <f t="shared" si="38"/>
        <v>Base_With Amendment</v>
      </c>
      <c r="D765" s="118" t="s">
        <v>133</v>
      </c>
      <c r="E765" s="118" t="s">
        <v>130</v>
      </c>
      <c r="F765" s="118" t="s">
        <v>46</v>
      </c>
      <c r="G765" s="153"/>
      <c r="H765" s="155">
        <v>2.4E-2</v>
      </c>
      <c r="I765" s="154" t="s">
        <v>57</v>
      </c>
      <c r="J765" s="204">
        <v>6.9199999999999999E-3</v>
      </c>
      <c r="K765" s="154" t="s">
        <v>14</v>
      </c>
      <c r="L765" s="154" t="str">
        <f>IF(OpenLCAbasic!K765="CTUh", "Fill in Manually",IF(OR(K765="Unit", K765=""), "", INDEX(LookUps!$E$5:$E$12, MATCH(OpenLCAbasic!K765,LookUps!$D$5:$D$12,0))))</f>
        <v>Fossil Depletion Potential (FDP) - kg oil eq</v>
      </c>
      <c r="M765" s="154" t="str">
        <f t="shared" si="37"/>
        <v>Base_Base_Low_Upgraded_Fossil Depletion Potential (FDP) - kg oil eq_Gravity Belt Thickener; wastewater treatment unit; at updated plant - US_Base_With Amendment_Windrow</v>
      </c>
    </row>
    <row r="766" spans="1:13" s="120" customFormat="1" x14ac:dyDescent="0.25">
      <c r="A766" s="119"/>
      <c r="B766" s="138" t="str">
        <f t="shared" si="36"/>
        <v>Windrow</v>
      </c>
      <c r="C766" s="138" t="str">
        <f t="shared" si="38"/>
        <v>Base_With Amendment</v>
      </c>
      <c r="D766" s="118" t="s">
        <v>133</v>
      </c>
      <c r="E766" s="118" t="s">
        <v>130</v>
      </c>
      <c r="F766" s="118" t="s">
        <v>46</v>
      </c>
      <c r="G766" s="153"/>
      <c r="H766" s="155">
        <v>2.24E-2</v>
      </c>
      <c r="I766" s="154" t="s">
        <v>60</v>
      </c>
      <c r="J766" s="204">
        <v>6.45E-3</v>
      </c>
      <c r="K766" s="154" t="s">
        <v>14</v>
      </c>
      <c r="L766" s="154" t="str">
        <f>IF(OpenLCAbasic!K766="CTUh", "Fill in Manually",IF(OR(K766="Unit", K766=""), "", INDEX(LookUps!$E$5:$E$12, MATCH(OpenLCAbasic!K766,LookUps!$D$5:$D$12,0))))</f>
        <v>Fossil Depletion Potential (FDP) - kg oil eq</v>
      </c>
      <c r="M766" s="154" t="str">
        <f t="shared" si="37"/>
        <v>Base_Base_Low_Upgraded_Fossil Depletion Potential (FDP) - kg oil eq_Belt filter press; wastewater treatment unit; at updated plant - US_Base_With Amendment_Windrow</v>
      </c>
    </row>
    <row r="767" spans="1:13" s="120" customFormat="1" x14ac:dyDescent="0.25">
      <c r="A767" s="119"/>
      <c r="B767" s="138" t="str">
        <f t="shared" si="36"/>
        <v>Windrow</v>
      </c>
      <c r="C767" s="138" t="str">
        <f t="shared" ref="C767:C773" si="39">IF(E767&lt;&gt;"", "Base_With Amendment","")</f>
        <v>Base_With Amendment</v>
      </c>
      <c r="D767" s="118" t="s">
        <v>133</v>
      </c>
      <c r="E767" s="118" t="s">
        <v>130</v>
      </c>
      <c r="F767" s="118" t="s">
        <v>46</v>
      </c>
      <c r="G767" s="153"/>
      <c r="H767" s="155">
        <v>1.5599999999999999E-2</v>
      </c>
      <c r="I767" s="154" t="s">
        <v>128</v>
      </c>
      <c r="J767" s="204">
        <v>4.4999999999999997E-3</v>
      </c>
      <c r="K767" s="154" t="s">
        <v>14</v>
      </c>
      <c r="L767" s="154" t="str">
        <f>IF(OpenLCAbasic!K767="CTUh", "Fill in Manually",IF(OR(K767="Unit", K767=""), "", INDEX(LookUps!$E$5:$E$12, MATCH(OpenLCAbasic!K767,LookUps!$D$5:$D$12,0))))</f>
        <v>Fossil Depletion Potential (FDP) - kg oil eq</v>
      </c>
      <c r="M767" s="154" t="str">
        <f t="shared" si="37"/>
        <v>Base_Base_Low_Upgraded_Fossil Depletion Potential (FDP) - kg oil eq_Wastewater collection; operation and infrastructure; m3 wastewater_Base_With Amendment_Windrow</v>
      </c>
    </row>
    <row r="768" spans="1:13" s="120" customFormat="1" x14ac:dyDescent="0.25">
      <c r="A768" s="119"/>
      <c r="B768" s="138" t="str">
        <f t="shared" si="36"/>
        <v>Windrow</v>
      </c>
      <c r="C768" s="138" t="str">
        <f t="shared" si="39"/>
        <v>Base_With Amendment</v>
      </c>
      <c r="D768" s="118" t="s">
        <v>133</v>
      </c>
      <c r="E768" s="118" t="s">
        <v>130</v>
      </c>
      <c r="F768" s="118" t="s">
        <v>46</v>
      </c>
      <c r="G768" s="153"/>
      <c r="H768" s="155">
        <v>9.7000000000000003E-3</v>
      </c>
      <c r="I768" s="154" t="s">
        <v>148</v>
      </c>
      <c r="J768" s="204">
        <v>2.8E-3</v>
      </c>
      <c r="K768" s="154" t="s">
        <v>14</v>
      </c>
      <c r="L768" s="154" t="str">
        <f>IF(OpenLCAbasic!K768="CTUh", "Fill in Manually",IF(OR(K768="Unit", K768=""), "", INDEX(LookUps!$E$5:$E$12, MATCH(OpenLCAbasic!K768,LookUps!$D$5:$D$12,0))))</f>
        <v>Fossil Depletion Potential (FDP) - kg oil eq</v>
      </c>
      <c r="M768" s="154" t="str">
        <f t="shared" si="37"/>
        <v>Base_Base_Low_Upgraded_Fossil Depletion Potential (FDP) - kg oil eq_Control Building; at upgraded wastewater treatment plant - US_Base_With Amendment_Windrow</v>
      </c>
    </row>
    <row r="769" spans="1:13" s="120" customFormat="1" x14ac:dyDescent="0.25">
      <c r="A769" s="119"/>
      <c r="B769" s="138" t="str">
        <f t="shared" si="36"/>
        <v>Windrow</v>
      </c>
      <c r="C769" s="138" t="str">
        <f t="shared" si="39"/>
        <v>Base_With Amendment</v>
      </c>
      <c r="D769" s="118" t="s">
        <v>133</v>
      </c>
      <c r="E769" s="118" t="s">
        <v>130</v>
      </c>
      <c r="F769" s="118" t="s">
        <v>46</v>
      </c>
      <c r="G769" s="153"/>
      <c r="H769" s="155">
        <v>8.2000000000000007E-3</v>
      </c>
      <c r="I769" s="154" t="s">
        <v>48</v>
      </c>
      <c r="J769" s="204">
        <v>2.3600000000000001E-3</v>
      </c>
      <c r="K769" s="154" t="s">
        <v>14</v>
      </c>
      <c r="L769" s="154" t="str">
        <f>IF(OpenLCAbasic!K769="CTUh", "Fill in Manually",IF(OR(K769="Unit", K769=""), "", INDEX(LookUps!$E$5:$E$12, MATCH(OpenLCAbasic!K769,LookUps!$D$5:$D$12,0))))</f>
        <v>Fossil Depletion Potential (FDP) - kg oil eq</v>
      </c>
      <c r="M769" s="154" t="str">
        <f t="shared" si="37"/>
        <v>Base_Base_Low_Upgraded_Fossil Depletion Potential (FDP) - kg oil eq_Effluent release; wastewater treatment unit; at surface water; m3 wastewater - US_Base_With Amendment_Windrow</v>
      </c>
    </row>
    <row r="770" spans="1:13" s="120" customFormat="1" x14ac:dyDescent="0.25">
      <c r="A770" s="119"/>
      <c r="B770" s="138" t="str">
        <f t="shared" si="36"/>
        <v>Windrow</v>
      </c>
      <c r="C770" s="138" t="str">
        <f t="shared" si="39"/>
        <v>Base_With Amendment</v>
      </c>
      <c r="D770" s="118" t="s">
        <v>133</v>
      </c>
      <c r="E770" s="118" t="s">
        <v>130</v>
      </c>
      <c r="F770" s="118" t="s">
        <v>46</v>
      </c>
      <c r="G770" s="153"/>
      <c r="H770" s="155">
        <v>6.7000000000000002E-3</v>
      </c>
      <c r="I770" s="154" t="s">
        <v>59</v>
      </c>
      <c r="J770" s="204">
        <v>1.92E-3</v>
      </c>
      <c r="K770" s="154" t="s">
        <v>14</v>
      </c>
      <c r="L770" s="154" t="str">
        <f>IF(OpenLCAbasic!K770="CTUh", "Fill in Manually",IF(OR(K770="Unit", K770=""), "", INDEX(LookUps!$E$5:$E$12, MATCH(OpenLCAbasic!K770,LookUps!$D$5:$D$12,0))))</f>
        <v>Fossil Depletion Potential (FDP) - kg oil eq</v>
      </c>
      <c r="M770" s="154" t="str">
        <f t="shared" si="37"/>
        <v>Base_Base_Low_Upgraded_Fossil Depletion Potential (FDP) - kg oil eq_Blend Tank; wastewater treatment unit; at updated plant - US_Base_With Amendment_Windrow</v>
      </c>
    </row>
    <row r="771" spans="1:13" s="120" customFormat="1" x14ac:dyDescent="0.25">
      <c r="A771" s="119"/>
      <c r="B771" s="138" t="str">
        <f t="shared" si="36"/>
        <v>Windrow</v>
      </c>
      <c r="C771" s="138" t="str">
        <f t="shared" si="39"/>
        <v>Base_With Amendment</v>
      </c>
      <c r="D771" s="118" t="s">
        <v>133</v>
      </c>
      <c r="E771" s="118" t="s">
        <v>130</v>
      </c>
      <c r="F771" s="118" t="s">
        <v>46</v>
      </c>
      <c r="G771" s="153"/>
      <c r="H771" s="155">
        <v>3.2000000000000002E-3</v>
      </c>
      <c r="I771" s="154" t="s">
        <v>168</v>
      </c>
      <c r="J771" s="204">
        <v>9.1E-4</v>
      </c>
      <c r="K771" s="154" t="s">
        <v>14</v>
      </c>
      <c r="L771" s="154" t="str">
        <f>IF(OpenLCAbasic!K771="CTUh", "Fill in Manually",IF(OR(K771="Unit", K771=""), "", INDEX(LookUps!$E$5:$E$12, MATCH(OpenLCAbasic!K771,LookUps!$D$5:$D$12,0))))</f>
        <v>Fossil Depletion Potential (FDP) - kg oil eq</v>
      </c>
      <c r="M771" s="154" t="str">
        <f t="shared" si="37"/>
        <v>Base_Base_Low_Upgraded_Fossil Depletion Potential (FDP) - kg oil eq_ClearCove SCP; wastewater treatment unit; at updated plant - US_Base_With Amendment_Windrow</v>
      </c>
    </row>
    <row r="772" spans="1:13" s="120" customFormat="1" x14ac:dyDescent="0.25">
      <c r="A772" s="119"/>
      <c r="B772" s="138" t="str">
        <f t="shared" si="36"/>
        <v>Windrow</v>
      </c>
      <c r="C772" s="138" t="str">
        <f t="shared" si="39"/>
        <v>Base_With Amendment</v>
      </c>
      <c r="D772" s="118" t="s">
        <v>133</v>
      </c>
      <c r="E772" s="118" t="s">
        <v>130</v>
      </c>
      <c r="F772" s="118" t="s">
        <v>46</v>
      </c>
      <c r="G772" s="153"/>
      <c r="H772" s="155">
        <v>1.6999999999999999E-3</v>
      </c>
      <c r="I772" s="154" t="s">
        <v>271</v>
      </c>
      <c r="J772" s="204">
        <v>4.8999999999999998E-4</v>
      </c>
      <c r="K772" s="154" t="s">
        <v>14</v>
      </c>
      <c r="L772" s="154" t="str">
        <f>IF(OpenLCAbasic!K772="CTUh", "Fill in Manually",IF(OR(K772="Unit", K772=""), "", INDEX(LookUps!$E$5:$E$12, MATCH(OpenLCAbasic!K772,LookUps!$D$5:$D$12,0))))</f>
        <v>Fossil Depletion Potential (FDP) - kg oil eq</v>
      </c>
      <c r="M772" s="154" t="str">
        <f t="shared" si="37"/>
        <v>Base_Base_Low_Upgraded_Fossil Depletion Potential (FDP) - kg oil eq_Biosolids composting; windrow composting; wastewater treatment unit; at updated plant - US_Base_With Amendment_Windrow</v>
      </c>
    </row>
    <row r="773" spans="1:13" s="120" customFormat="1" x14ac:dyDescent="0.25">
      <c r="A773" s="213"/>
      <c r="B773" s="138" t="str">
        <f t="shared" si="36"/>
        <v>Windrow</v>
      </c>
      <c r="C773" s="138" t="str">
        <f t="shared" si="39"/>
        <v>Base_With Amendment</v>
      </c>
      <c r="D773" s="118" t="s">
        <v>133</v>
      </c>
      <c r="E773" s="118" t="s">
        <v>130</v>
      </c>
      <c r="F773" s="118" t="s">
        <v>46</v>
      </c>
      <c r="G773" s="153"/>
      <c r="H773" s="155">
        <v>-2.3699999999999999E-2</v>
      </c>
      <c r="I773" s="154" t="s">
        <v>62</v>
      </c>
      <c r="J773" s="204">
        <v>-6.8500000000000002E-3</v>
      </c>
      <c r="K773" s="154" t="s">
        <v>14</v>
      </c>
      <c r="L773" s="154" t="str">
        <f>IF(OpenLCAbasic!K773="CTUh", "Fill in Manually",IF(OR(K773="Unit", K773=""), "", INDEX(LookUps!$E$5:$E$12, MATCH(OpenLCAbasic!K773,LookUps!$D$5:$D$12,0))))</f>
        <v>Fossil Depletion Potential (FDP) - kg oil eq</v>
      </c>
      <c r="M773" s="154" t="str">
        <f t="shared" si="37"/>
        <v>Base_Base_Low_Upgraded_Fossil Depletion Potential (FDP) - kg oil eq_Land application of compost; wastewater treatment unit; at updated plant - US_Base_With Amendment_Windrow</v>
      </c>
    </row>
    <row r="774" spans="1:13" s="120" customFormat="1" x14ac:dyDescent="0.25">
      <c r="A774" s="119"/>
      <c r="B774" s="138" t="str">
        <f t="shared" si="36"/>
        <v/>
      </c>
      <c r="C774" s="138"/>
      <c r="D774" s="118"/>
      <c r="E774" s="118"/>
      <c r="F774" s="118"/>
      <c r="G774" s="153" t="s">
        <v>51</v>
      </c>
      <c r="H774" s="154"/>
      <c r="I774" s="154" t="s">
        <v>47</v>
      </c>
      <c r="J774" s="154" t="s">
        <v>52</v>
      </c>
      <c r="K774" s="154" t="s">
        <v>27</v>
      </c>
      <c r="L774" s="154" t="str">
        <f>IF(OpenLCAbasic!K774="CTUh", "Fill in Manually",IF(OR(K774="Unit", K774=""), "", INDEX(LookUps!$E$5:$E$12, MATCH(OpenLCAbasic!K774,LookUps!$D$5:$D$12,0))))</f>
        <v/>
      </c>
      <c r="M774" s="154" t="str">
        <f t="shared" si="37"/>
        <v>____Process__</v>
      </c>
    </row>
    <row r="775" spans="1:13" s="120" customFormat="1" x14ac:dyDescent="0.25">
      <c r="A775" s="119"/>
      <c r="B775" s="138" t="str">
        <f t="shared" ref="B775:B838" si="40">IF(F775="Legacy","n.a.",IF(F775="","","Windrow"))</f>
        <v>Windrow</v>
      </c>
      <c r="C775" s="138" t="str">
        <f t="shared" ref="C775:C806" si="41">IF(E775&lt;&gt;"", "Base_With Amendment","")</f>
        <v>Base_With Amendment</v>
      </c>
      <c r="D775" s="118" t="s">
        <v>135</v>
      </c>
      <c r="E775" s="118" t="s">
        <v>130</v>
      </c>
      <c r="F775" s="118" t="s">
        <v>46</v>
      </c>
      <c r="G775" s="153"/>
      <c r="H775" s="155">
        <v>0.88600000000000001</v>
      </c>
      <c r="I775" s="154" t="s">
        <v>271</v>
      </c>
      <c r="J775" s="203">
        <v>1.1085400000000001</v>
      </c>
      <c r="K775" s="154" t="s">
        <v>23</v>
      </c>
      <c r="L775" s="154" t="str">
        <f>IF(OpenLCAbasic!K775="CTUh", "Fill in Manually",IF(OR(K775="Unit", K775=""), "", INDEX(LookUps!$E$5:$E$12, MATCH(OpenLCAbasic!K775,LookUps!$D$5:$D$12,0))))</f>
        <v>Global Warming Potential (GWP) - kg CO2 eq</v>
      </c>
      <c r="M775" s="154" t="str">
        <f t="shared" si="37"/>
        <v>Base_Medium_Low_Upgraded_Global Warming Potential (GWP) - kg CO2 eq_Biosolids composting; windrow composting; wastewater treatment unit; at updated plant - US_Base_With Amendment_Windrow</v>
      </c>
    </row>
    <row r="776" spans="1:13" s="120" customFormat="1" x14ac:dyDescent="0.25">
      <c r="A776" s="119"/>
      <c r="B776" s="138" t="str">
        <f t="shared" si="40"/>
        <v>Windrow</v>
      </c>
      <c r="C776" s="138" t="str">
        <f t="shared" si="41"/>
        <v>Base_With Amendment</v>
      </c>
      <c r="D776" s="118" t="s">
        <v>135</v>
      </c>
      <c r="E776" s="118" t="s">
        <v>130</v>
      </c>
      <c r="F776" s="118" t="s">
        <v>46</v>
      </c>
      <c r="G776" s="153"/>
      <c r="H776" s="155">
        <v>0.19639999999999999</v>
      </c>
      <c r="I776" s="154" t="s">
        <v>58</v>
      </c>
      <c r="J776" s="203">
        <v>0.24568999999999999</v>
      </c>
      <c r="K776" s="154" t="s">
        <v>23</v>
      </c>
      <c r="L776" s="154" t="str">
        <f>IF(OpenLCAbasic!K776="CTUh", "Fill in Manually",IF(OR(K776="Unit", K776=""), "", INDEX(LookUps!$E$5:$E$12, MATCH(OpenLCAbasic!K776,LookUps!$D$5:$D$12,0))))</f>
        <v>Global Warming Potential (GWP) - kg CO2 eq</v>
      </c>
      <c r="M776" s="154" t="str">
        <f t="shared" ref="M776:M839" si="42">CONCATENATE(E776,"_",D776,"_",F776,"_",L776, "_",I776,"_", C776,"_", B776)</f>
        <v>Base_Medium_Low_Upgraded_Global Warming Potential (GWP) - kg CO2 eq_Pre-Anoxic &amp; Swing tank; wastewater treatment unit; at updated plant - US_Base_With Amendment_Windrow</v>
      </c>
    </row>
    <row r="777" spans="1:13" s="120" customFormat="1" x14ac:dyDescent="0.25">
      <c r="A777" s="119"/>
      <c r="B777" s="138" t="str">
        <f t="shared" si="40"/>
        <v>Windrow</v>
      </c>
      <c r="C777" s="138" t="str">
        <f t="shared" si="41"/>
        <v>Base_With Amendment</v>
      </c>
      <c r="D777" s="118" t="s">
        <v>135</v>
      </c>
      <c r="E777" s="118" t="s">
        <v>130</v>
      </c>
      <c r="F777" s="118" t="s">
        <v>46</v>
      </c>
      <c r="G777" s="153"/>
      <c r="H777" s="155">
        <v>0.13450000000000001</v>
      </c>
      <c r="I777" s="154" t="s">
        <v>55</v>
      </c>
      <c r="J777" s="203">
        <v>0.16822000000000001</v>
      </c>
      <c r="K777" s="154" t="s">
        <v>23</v>
      </c>
      <c r="L777" s="154" t="str">
        <f>IF(OpenLCAbasic!K777="CTUh", "Fill in Manually",IF(OR(K777="Unit", K777=""), "", INDEX(LookUps!$E$5:$E$12, MATCH(OpenLCAbasic!K777,LookUps!$D$5:$D$12,0))))</f>
        <v>Global Warming Potential (GWP) - kg CO2 eq</v>
      </c>
      <c r="M777" s="154" t="str">
        <f t="shared" si="42"/>
        <v>Base_Medium_Low_Upgraded_Global Warming Potential (GWP) - kg CO2 eq_Aeration Tanks; wastewater treatment unit; at updated plant - US_Base_With Amendment_Windrow</v>
      </c>
    </row>
    <row r="778" spans="1:13" s="120" customFormat="1" x14ac:dyDescent="0.25">
      <c r="A778" s="119"/>
      <c r="B778" s="138" t="str">
        <f t="shared" si="40"/>
        <v>Windrow</v>
      </c>
      <c r="C778" s="138" t="str">
        <f t="shared" si="41"/>
        <v>Base_With Amendment</v>
      </c>
      <c r="D778" s="118" t="s">
        <v>135</v>
      </c>
      <c r="E778" s="118" t="s">
        <v>130</v>
      </c>
      <c r="F778" s="118" t="s">
        <v>46</v>
      </c>
      <c r="G778" s="153"/>
      <c r="H778" s="155">
        <v>9.8799999999999999E-2</v>
      </c>
      <c r="I778" s="154" t="s">
        <v>167</v>
      </c>
      <c r="J778" s="203">
        <v>0.12354999999999999</v>
      </c>
      <c r="K778" s="154" t="s">
        <v>23</v>
      </c>
      <c r="L778" s="154" t="str">
        <f>IF(OpenLCAbasic!K778="CTUh", "Fill in Manually",IF(OR(K778="Unit", K778=""), "", INDEX(LookUps!$E$5:$E$12, MATCH(OpenLCAbasic!K778,LookUps!$D$5:$D$12,0))))</f>
        <v>Global Warming Potential (GWP) - kg CO2 eq</v>
      </c>
      <c r="M778" s="154" t="str">
        <f t="shared" si="42"/>
        <v>Base_Medium_Low_Upgraded_Global Warming Potential (GWP) - kg CO2 eq_Waste Receiving and Holding; wastewater treatment unit; at updated plant - US_Base_With Amendment_Windrow</v>
      </c>
    </row>
    <row r="779" spans="1:13" s="120" customFormat="1" x14ac:dyDescent="0.25">
      <c r="A779" s="119"/>
      <c r="B779" s="138" t="str">
        <f t="shared" si="40"/>
        <v>Windrow</v>
      </c>
      <c r="C779" s="138" t="str">
        <f t="shared" si="41"/>
        <v>Base_With Amendment</v>
      </c>
      <c r="D779" s="118" t="s">
        <v>135</v>
      </c>
      <c r="E779" s="118" t="s">
        <v>130</v>
      </c>
      <c r="F779" s="118" t="s">
        <v>46</v>
      </c>
      <c r="G779" s="153"/>
      <c r="H779" s="155">
        <v>5.0900000000000001E-2</v>
      </c>
      <c r="I779" s="154" t="s">
        <v>149</v>
      </c>
      <c r="J779" s="203">
        <v>6.3659999999999994E-2</v>
      </c>
      <c r="K779" s="154" t="s">
        <v>23</v>
      </c>
      <c r="L779" s="154" t="str">
        <f>IF(OpenLCAbasic!K779="CTUh", "Fill in Manually",IF(OR(K779="Unit", K779=""), "", INDEX(LookUps!$E$5:$E$12, MATCH(OpenLCAbasic!K779,LookUps!$D$5:$D$12,0))))</f>
        <v>Global Warming Potential (GWP) - kg CO2 eq</v>
      </c>
      <c r="M779" s="154" t="str">
        <f t="shared" si="42"/>
        <v>Base_Medium_Low_Upgraded_Global Warming Potential (GWP) - kg CO2 eq_Anaerobic Digestion; wastewater treatment unit; at updated plant - US_Base_With Amendment_Windrow</v>
      </c>
    </row>
    <row r="780" spans="1:13" s="120" customFormat="1" x14ac:dyDescent="0.25">
      <c r="A780" s="119"/>
      <c r="B780" s="138" t="str">
        <f t="shared" si="40"/>
        <v>Windrow</v>
      </c>
      <c r="C780" s="138" t="str">
        <f t="shared" si="41"/>
        <v>Base_With Amendment</v>
      </c>
      <c r="D780" s="118" t="s">
        <v>135</v>
      </c>
      <c r="E780" s="118" t="s">
        <v>130</v>
      </c>
      <c r="F780" s="118" t="s">
        <v>46</v>
      </c>
      <c r="G780" s="153"/>
      <c r="H780" s="155">
        <v>4.5600000000000002E-2</v>
      </c>
      <c r="I780" s="154" t="s">
        <v>54</v>
      </c>
      <c r="J780" s="203">
        <v>5.7079999999999999E-2</v>
      </c>
      <c r="K780" s="154" t="s">
        <v>23</v>
      </c>
      <c r="L780" s="154" t="str">
        <f>IF(OpenLCAbasic!K780="CTUh", "Fill in Manually",IF(OR(K780="Unit", K780=""), "", INDEX(LookUps!$E$5:$E$12, MATCH(OpenLCAbasic!K780,LookUps!$D$5:$D$12,0))))</f>
        <v>Global Warming Potential (GWP) - kg CO2 eq</v>
      </c>
      <c r="M780" s="154" t="str">
        <f t="shared" si="42"/>
        <v>Base_Medium_Low_Upgraded_Global Warming Potential (GWP) - kg CO2 eq_Clear Cove Primary Clarification; wastewater treatment unit; at updated plant - US_Base_With Amendment_Windrow</v>
      </c>
    </row>
    <row r="781" spans="1:13" s="120" customFormat="1" x14ac:dyDescent="0.25">
      <c r="A781" s="119"/>
      <c r="B781" s="138" t="str">
        <f t="shared" si="40"/>
        <v>Windrow</v>
      </c>
      <c r="C781" s="138" t="str">
        <f t="shared" si="41"/>
        <v>Base_With Amendment</v>
      </c>
      <c r="D781" s="118" t="s">
        <v>135</v>
      </c>
      <c r="E781" s="118" t="s">
        <v>130</v>
      </c>
      <c r="F781" s="118" t="s">
        <v>46</v>
      </c>
      <c r="G781" s="153"/>
      <c r="H781" s="155">
        <v>4.2099999999999999E-2</v>
      </c>
      <c r="I781" s="154" t="s">
        <v>48</v>
      </c>
      <c r="J781" s="203">
        <v>5.2639999999999999E-2</v>
      </c>
      <c r="K781" s="154" t="s">
        <v>23</v>
      </c>
      <c r="L781" s="154" t="str">
        <f>IF(OpenLCAbasic!K781="CTUh", "Fill in Manually",IF(OR(K781="Unit", K781=""), "", INDEX(LookUps!$E$5:$E$12, MATCH(OpenLCAbasic!K781,LookUps!$D$5:$D$12,0))))</f>
        <v>Global Warming Potential (GWP) - kg CO2 eq</v>
      </c>
      <c r="M781" s="154" t="str">
        <f t="shared" si="42"/>
        <v>Base_Medium_Low_Upgraded_Global Warming Potential (GWP) - kg CO2 eq_Effluent release; wastewater treatment unit; at surface water; m3 wastewater - US_Base_With Amendment_Windrow</v>
      </c>
    </row>
    <row r="782" spans="1:13" s="120" customFormat="1" x14ac:dyDescent="0.25">
      <c r="A782" s="119"/>
      <c r="B782" s="138" t="str">
        <f t="shared" si="40"/>
        <v>Windrow</v>
      </c>
      <c r="C782" s="138" t="str">
        <f t="shared" si="41"/>
        <v>Base_With Amendment</v>
      </c>
      <c r="D782" s="118" t="s">
        <v>135</v>
      </c>
      <c r="E782" s="118" t="s">
        <v>130</v>
      </c>
      <c r="F782" s="118" t="s">
        <v>46</v>
      </c>
      <c r="G782" s="153"/>
      <c r="H782" s="155">
        <v>4.0399999999999998E-2</v>
      </c>
      <c r="I782" s="154" t="s">
        <v>147</v>
      </c>
      <c r="J782" s="203">
        <v>5.0500000000000003E-2</v>
      </c>
      <c r="K782" s="154" t="s">
        <v>23</v>
      </c>
      <c r="L782" s="154" t="str">
        <f>IF(OpenLCAbasic!K782="CTUh", "Fill in Manually",IF(OR(K782="Unit", K782=""), "", INDEX(LookUps!$E$5:$E$12, MATCH(OpenLCAbasic!K782,LookUps!$D$5:$D$12,0))))</f>
        <v>Global Warming Potential (GWP) - kg CO2 eq</v>
      </c>
      <c r="M782" s="154" t="str">
        <f t="shared" si="42"/>
        <v>Base_Medium_Low_Upgraded_Global Warming Potential (GWP) - kg CO2 eq_Influent Pump Station; wastewater treatment unit; at updated plant - US_Base_With Amendment_Windrow</v>
      </c>
    </row>
    <row r="783" spans="1:13" s="120" customFormat="1" x14ac:dyDescent="0.25">
      <c r="A783" s="119"/>
      <c r="B783" s="138" t="str">
        <f t="shared" si="40"/>
        <v>Windrow</v>
      </c>
      <c r="C783" s="138" t="str">
        <f t="shared" si="41"/>
        <v>Base_With Amendment</v>
      </c>
      <c r="D783" s="118" t="s">
        <v>135</v>
      </c>
      <c r="E783" s="118" t="s">
        <v>130</v>
      </c>
      <c r="F783" s="118" t="s">
        <v>46</v>
      </c>
      <c r="G783" s="153"/>
      <c r="H783" s="155">
        <v>2.6599999999999999E-2</v>
      </c>
      <c r="I783" s="154" t="s">
        <v>53</v>
      </c>
      <c r="J783" s="203">
        <v>3.3259999999999998E-2</v>
      </c>
      <c r="K783" s="154" t="s">
        <v>23</v>
      </c>
      <c r="L783" s="154" t="str">
        <f>IF(OpenLCAbasic!K783="CTUh", "Fill in Manually",IF(OR(K783="Unit", K783=""), "", INDEX(LookUps!$E$5:$E$12, MATCH(OpenLCAbasic!K783,LookUps!$D$5:$D$12,0))))</f>
        <v>Global Warming Potential (GWP) - kg CO2 eq</v>
      </c>
      <c r="M783" s="154" t="str">
        <f t="shared" si="42"/>
        <v>Base_Medium_Low_Upgraded_Global Warming Potential (GWP) - kg CO2 eq_Wet Well and Sump Station; wastewater treatment unit; at updated plant - US_Base_With Amendment_Windrow</v>
      </c>
    </row>
    <row r="784" spans="1:13" s="120" customFormat="1" x14ac:dyDescent="0.25">
      <c r="A784" s="119"/>
      <c r="B784" s="138" t="str">
        <f t="shared" si="40"/>
        <v>Windrow</v>
      </c>
      <c r="C784" s="138" t="str">
        <f t="shared" si="41"/>
        <v>Base_With Amendment</v>
      </c>
      <c r="D784" s="118" t="s">
        <v>135</v>
      </c>
      <c r="E784" s="118" t="s">
        <v>130</v>
      </c>
      <c r="F784" s="118" t="s">
        <v>46</v>
      </c>
      <c r="G784" s="153"/>
      <c r="H784" s="155">
        <v>1.5900000000000001E-2</v>
      </c>
      <c r="I784" s="154" t="s">
        <v>60</v>
      </c>
      <c r="J784" s="203">
        <v>1.9910000000000001E-2</v>
      </c>
      <c r="K784" s="154" t="s">
        <v>23</v>
      </c>
      <c r="L784" s="154" t="str">
        <f>IF(OpenLCAbasic!K784="CTUh", "Fill in Manually",IF(OR(K784="Unit", K784=""), "", INDEX(LookUps!$E$5:$E$12, MATCH(OpenLCAbasic!K784,LookUps!$D$5:$D$12,0))))</f>
        <v>Global Warming Potential (GWP) - kg CO2 eq</v>
      </c>
      <c r="M784" s="154" t="str">
        <f t="shared" si="42"/>
        <v>Base_Medium_Low_Upgraded_Global Warming Potential (GWP) - kg CO2 eq_Belt filter press; wastewater treatment unit; at updated plant - US_Base_With Amendment_Windrow</v>
      </c>
    </row>
    <row r="785" spans="1:13" s="120" customFormat="1" x14ac:dyDescent="0.25">
      <c r="A785" s="119"/>
      <c r="B785" s="138" t="str">
        <f t="shared" si="40"/>
        <v>Windrow</v>
      </c>
      <c r="C785" s="138" t="str">
        <f t="shared" si="41"/>
        <v>Base_With Amendment</v>
      </c>
      <c r="D785" s="118" t="s">
        <v>135</v>
      </c>
      <c r="E785" s="118" t="s">
        <v>130</v>
      </c>
      <c r="F785" s="118" t="s">
        <v>46</v>
      </c>
      <c r="G785" s="153"/>
      <c r="H785" s="155">
        <v>1.1599999999999999E-2</v>
      </c>
      <c r="I785" s="154" t="s">
        <v>57</v>
      </c>
      <c r="J785" s="203">
        <v>1.455E-2</v>
      </c>
      <c r="K785" s="154" t="s">
        <v>23</v>
      </c>
      <c r="L785" s="154" t="str">
        <f>IF(OpenLCAbasic!K785="CTUh", "Fill in Manually",IF(OR(K785="Unit", K785=""), "", INDEX(LookUps!$E$5:$E$12, MATCH(OpenLCAbasic!K785,LookUps!$D$5:$D$12,0))))</f>
        <v>Global Warming Potential (GWP) - kg CO2 eq</v>
      </c>
      <c r="M785" s="154" t="str">
        <f t="shared" si="42"/>
        <v>Base_Medium_Low_Upgraded_Global Warming Potential (GWP) - kg CO2 eq_Gravity Belt Thickener; wastewater treatment unit; at updated plant - US_Base_With Amendment_Windrow</v>
      </c>
    </row>
    <row r="786" spans="1:13" s="120" customFormat="1" x14ac:dyDescent="0.25">
      <c r="A786" s="119"/>
      <c r="B786" s="138" t="str">
        <f t="shared" si="40"/>
        <v>Windrow</v>
      </c>
      <c r="C786" s="138" t="str">
        <f t="shared" si="41"/>
        <v>Base_With Amendment</v>
      </c>
      <c r="D786" s="118" t="s">
        <v>135</v>
      </c>
      <c r="E786" s="118" t="s">
        <v>130</v>
      </c>
      <c r="F786" s="118" t="s">
        <v>46</v>
      </c>
      <c r="G786" s="153"/>
      <c r="H786" s="155">
        <v>1.0800000000000001E-2</v>
      </c>
      <c r="I786" s="154" t="s">
        <v>128</v>
      </c>
      <c r="J786" s="204">
        <v>1.3509999999999999E-2</v>
      </c>
      <c r="K786" s="154" t="s">
        <v>23</v>
      </c>
      <c r="L786" s="154" t="str">
        <f>IF(OpenLCAbasic!K786="CTUh", "Fill in Manually",IF(OR(K786="Unit", K786=""), "", INDEX(LookUps!$E$5:$E$12, MATCH(OpenLCAbasic!K786,LookUps!$D$5:$D$12,0))))</f>
        <v>Global Warming Potential (GWP) - kg CO2 eq</v>
      </c>
      <c r="M786" s="154" t="str">
        <f t="shared" si="42"/>
        <v>Base_Medium_Low_Upgraded_Global Warming Potential (GWP) - kg CO2 eq_Wastewater collection; operation and infrastructure; m3 wastewater_Base_With Amendment_Windrow</v>
      </c>
    </row>
    <row r="787" spans="1:13" s="120" customFormat="1" x14ac:dyDescent="0.25">
      <c r="A787" s="119"/>
      <c r="B787" s="138" t="str">
        <f t="shared" si="40"/>
        <v>Windrow</v>
      </c>
      <c r="C787" s="138" t="str">
        <f t="shared" si="41"/>
        <v>Base_With Amendment</v>
      </c>
      <c r="D787" s="118" t="s">
        <v>135</v>
      </c>
      <c r="E787" s="118" t="s">
        <v>130</v>
      </c>
      <c r="F787" s="118" t="s">
        <v>46</v>
      </c>
      <c r="G787" s="153"/>
      <c r="H787" s="155">
        <v>6.6E-3</v>
      </c>
      <c r="I787" s="154" t="s">
        <v>148</v>
      </c>
      <c r="J787" s="204">
        <v>8.3000000000000001E-3</v>
      </c>
      <c r="K787" s="154" t="s">
        <v>23</v>
      </c>
      <c r="L787" s="154" t="str">
        <f>IF(OpenLCAbasic!K787="CTUh", "Fill in Manually",IF(OR(K787="Unit", K787=""), "", INDEX(LookUps!$E$5:$E$12, MATCH(OpenLCAbasic!K787,LookUps!$D$5:$D$12,0))))</f>
        <v>Global Warming Potential (GWP) - kg CO2 eq</v>
      </c>
      <c r="M787" s="154" t="str">
        <f t="shared" si="42"/>
        <v>Base_Medium_Low_Upgraded_Global Warming Potential (GWP) - kg CO2 eq_Control Building; at upgraded wastewater treatment plant - US_Base_With Amendment_Windrow</v>
      </c>
    </row>
    <row r="788" spans="1:13" s="120" customFormat="1" x14ac:dyDescent="0.25">
      <c r="A788" s="119"/>
      <c r="B788" s="138" t="str">
        <f t="shared" si="40"/>
        <v>Windrow</v>
      </c>
      <c r="C788" s="138" t="str">
        <f t="shared" si="41"/>
        <v>Base_With Amendment</v>
      </c>
      <c r="D788" s="118" t="s">
        <v>135</v>
      </c>
      <c r="E788" s="118" t="s">
        <v>130</v>
      </c>
      <c r="F788" s="118" t="s">
        <v>46</v>
      </c>
      <c r="G788" s="153"/>
      <c r="H788" s="155">
        <v>4.0000000000000001E-3</v>
      </c>
      <c r="I788" s="154" t="s">
        <v>59</v>
      </c>
      <c r="J788" s="204">
        <v>5.0400000000000002E-3</v>
      </c>
      <c r="K788" s="154" t="s">
        <v>23</v>
      </c>
      <c r="L788" s="154" t="str">
        <f>IF(OpenLCAbasic!K788="CTUh", "Fill in Manually",IF(OR(K788="Unit", K788=""), "", INDEX(LookUps!$E$5:$E$12, MATCH(OpenLCAbasic!K788,LookUps!$D$5:$D$12,0))))</f>
        <v>Global Warming Potential (GWP) - kg CO2 eq</v>
      </c>
      <c r="M788" s="154" t="str">
        <f t="shared" si="42"/>
        <v>Base_Medium_Low_Upgraded_Global Warming Potential (GWP) - kg CO2 eq_Blend Tank; wastewater treatment unit; at updated plant - US_Base_With Amendment_Windrow</v>
      </c>
    </row>
    <row r="789" spans="1:13" s="120" customFormat="1" x14ac:dyDescent="0.25">
      <c r="A789" s="119"/>
      <c r="B789" s="138" t="str">
        <f t="shared" si="40"/>
        <v>Windrow</v>
      </c>
      <c r="C789" s="138" t="str">
        <f t="shared" si="41"/>
        <v>Base_With Amendment</v>
      </c>
      <c r="D789" s="118" t="s">
        <v>135</v>
      </c>
      <c r="E789" s="118" t="s">
        <v>130</v>
      </c>
      <c r="F789" s="118" t="s">
        <v>46</v>
      </c>
      <c r="G789" s="153"/>
      <c r="H789" s="155">
        <v>1.9E-3</v>
      </c>
      <c r="I789" s="154" t="s">
        <v>168</v>
      </c>
      <c r="J789" s="204">
        <v>2.4099999999999998E-3</v>
      </c>
      <c r="K789" s="154" t="s">
        <v>23</v>
      </c>
      <c r="L789" s="154" t="str">
        <f>IF(OpenLCAbasic!K789="CTUh", "Fill in Manually",IF(OR(K789="Unit", K789=""), "", INDEX(LookUps!$E$5:$E$12, MATCH(OpenLCAbasic!K789,LookUps!$D$5:$D$12,0))))</f>
        <v>Global Warming Potential (GWP) - kg CO2 eq</v>
      </c>
      <c r="M789" s="154" t="str">
        <f t="shared" si="42"/>
        <v>Base_Medium_Low_Upgraded_Global Warming Potential (GWP) - kg CO2 eq_ClearCove SCP; wastewater treatment unit; at updated plant - US_Base_With Amendment_Windrow</v>
      </c>
    </row>
    <row r="790" spans="1:13" s="120" customFormat="1" x14ac:dyDescent="0.25">
      <c r="A790" s="119"/>
      <c r="B790" s="138" t="str">
        <f t="shared" si="40"/>
        <v>Windrow</v>
      </c>
      <c r="C790" s="138" t="str">
        <f t="shared" si="41"/>
        <v>Base_With Amendment</v>
      </c>
      <c r="D790" s="118" t="s">
        <v>135</v>
      </c>
      <c r="E790" s="118" t="s">
        <v>130</v>
      </c>
      <c r="F790" s="118" t="s">
        <v>46</v>
      </c>
      <c r="G790" s="153"/>
      <c r="H790" s="155">
        <v>-0.57199999999999995</v>
      </c>
      <c r="I790" s="154" t="s">
        <v>62</v>
      </c>
      <c r="J790" s="203">
        <v>-0.71572000000000002</v>
      </c>
      <c r="K790" s="154" t="s">
        <v>23</v>
      </c>
      <c r="L790" s="154" t="str">
        <f>IF(OpenLCAbasic!K790="CTUh", "Fill in Manually",IF(OR(K790="Unit", K790=""), "", INDEX(LookUps!$E$5:$E$12, MATCH(OpenLCAbasic!K790,LookUps!$D$5:$D$12,0))))</f>
        <v>Global Warming Potential (GWP) - kg CO2 eq</v>
      </c>
      <c r="M790" s="154" t="str">
        <f t="shared" si="42"/>
        <v>Base_Medium_Low_Upgraded_Global Warming Potential (GWP) - kg CO2 eq_Land application of compost; wastewater treatment unit; at updated plant - US_Base_With Amendment_Windrow</v>
      </c>
    </row>
    <row r="791" spans="1:13" s="120" customFormat="1" x14ac:dyDescent="0.25">
      <c r="A791" s="119"/>
      <c r="B791" s="138" t="str">
        <f t="shared" si="40"/>
        <v>Windrow</v>
      </c>
      <c r="C791" s="138" t="str">
        <f t="shared" si="41"/>
        <v>Base_With Amendment</v>
      </c>
      <c r="D791" s="118" t="s">
        <v>135</v>
      </c>
      <c r="E791" s="118" t="s">
        <v>130</v>
      </c>
      <c r="F791" s="118" t="s">
        <v>46</v>
      </c>
      <c r="G791" s="153" t="s">
        <v>51</v>
      </c>
      <c r="H791" s="154"/>
      <c r="I791" s="154" t="s">
        <v>47</v>
      </c>
      <c r="J791" s="154" t="s">
        <v>52</v>
      </c>
      <c r="K791" s="154" t="s">
        <v>27</v>
      </c>
      <c r="L791" s="154" t="str">
        <f>IF(OpenLCAbasic!K791="CTUh", "Fill in Manually",IF(OR(K791="Unit", K791=""), "", INDEX(LookUps!$E$5:$E$12, MATCH(OpenLCAbasic!K791,LookUps!$D$5:$D$12,0))))</f>
        <v/>
      </c>
      <c r="M791" s="154" t="str">
        <f t="shared" si="42"/>
        <v>Base_Medium_Low_Upgraded__Process_Base_With Amendment_Windrow</v>
      </c>
    </row>
    <row r="792" spans="1:13" s="120" customFormat="1" x14ac:dyDescent="0.25">
      <c r="A792" s="119"/>
      <c r="B792" s="138" t="str">
        <f t="shared" si="40"/>
        <v>Windrow</v>
      </c>
      <c r="C792" s="138" t="str">
        <f t="shared" si="41"/>
        <v>Base_With Amendment</v>
      </c>
      <c r="D792" s="118" t="s">
        <v>135</v>
      </c>
      <c r="E792" s="118" t="s">
        <v>130</v>
      </c>
      <c r="F792" s="118" t="s">
        <v>46</v>
      </c>
      <c r="G792" s="153"/>
      <c r="H792" s="155">
        <v>0.68710000000000004</v>
      </c>
      <c r="I792" s="154" t="s">
        <v>48</v>
      </c>
      <c r="J792" s="203">
        <v>1.1610000000000001E-2</v>
      </c>
      <c r="K792" s="154" t="s">
        <v>13</v>
      </c>
      <c r="L792" s="154" t="str">
        <f>IF(OpenLCAbasic!K792="CTUh", "Fill in Manually",IF(OR(K792="Unit", K792=""), "", INDEX(LookUps!$E$5:$E$12, MATCH(OpenLCAbasic!K792,LookUps!$D$5:$D$12,0))))</f>
        <v>Eutrophication Potential (EP) - kg N eq</v>
      </c>
      <c r="M792" s="154" t="str">
        <f t="shared" si="42"/>
        <v>Base_Medium_Low_Upgraded_Eutrophication Potential (EP) - kg N eq_Effluent release; wastewater treatment unit; at surface water; m3 wastewater - US_Base_With Amendment_Windrow</v>
      </c>
    </row>
    <row r="793" spans="1:13" s="120" customFormat="1" x14ac:dyDescent="0.25">
      <c r="A793" s="119"/>
      <c r="B793" s="138" t="str">
        <f t="shared" si="40"/>
        <v>Windrow</v>
      </c>
      <c r="C793" s="138" t="str">
        <f t="shared" si="41"/>
        <v>Base_With Amendment</v>
      </c>
      <c r="D793" s="118" t="s">
        <v>135</v>
      </c>
      <c r="E793" s="118" t="s">
        <v>130</v>
      </c>
      <c r="F793" s="118" t="s">
        <v>46</v>
      </c>
      <c r="G793" s="153"/>
      <c r="H793" s="155">
        <v>0.187</v>
      </c>
      <c r="I793" s="154" t="s">
        <v>62</v>
      </c>
      <c r="J793" s="204">
        <v>3.16E-3</v>
      </c>
      <c r="K793" s="154" t="s">
        <v>13</v>
      </c>
      <c r="L793" s="154" t="str">
        <f>IF(OpenLCAbasic!K793="CTUh", "Fill in Manually",IF(OR(K793="Unit", K793=""), "", INDEX(LookUps!$E$5:$E$12, MATCH(OpenLCAbasic!K793,LookUps!$D$5:$D$12,0))))</f>
        <v>Eutrophication Potential (EP) - kg N eq</v>
      </c>
      <c r="M793" s="154" t="str">
        <f t="shared" si="42"/>
        <v>Base_Medium_Low_Upgraded_Eutrophication Potential (EP) - kg N eq_Land application of compost; wastewater treatment unit; at updated plant - US_Base_With Amendment_Windrow</v>
      </c>
    </row>
    <row r="794" spans="1:13" s="120" customFormat="1" x14ac:dyDescent="0.25">
      <c r="A794" s="119"/>
      <c r="B794" s="138" t="str">
        <f t="shared" si="40"/>
        <v>Windrow</v>
      </c>
      <c r="C794" s="138" t="str">
        <f t="shared" si="41"/>
        <v>Base_With Amendment</v>
      </c>
      <c r="D794" s="118" t="s">
        <v>135</v>
      </c>
      <c r="E794" s="118" t="s">
        <v>130</v>
      </c>
      <c r="F794" s="118" t="s">
        <v>46</v>
      </c>
      <c r="G794" s="153"/>
      <c r="H794" s="155">
        <v>3.2300000000000002E-2</v>
      </c>
      <c r="I794" s="154" t="s">
        <v>55</v>
      </c>
      <c r="J794" s="204">
        <v>5.5000000000000003E-4</v>
      </c>
      <c r="K794" s="154" t="s">
        <v>13</v>
      </c>
      <c r="L794" s="154" t="str">
        <f>IF(OpenLCAbasic!K794="CTUh", "Fill in Manually",IF(OR(K794="Unit", K794=""), "", INDEX(LookUps!$E$5:$E$12, MATCH(OpenLCAbasic!K794,LookUps!$D$5:$D$12,0))))</f>
        <v>Eutrophication Potential (EP) - kg N eq</v>
      </c>
      <c r="M794" s="154" t="str">
        <f t="shared" si="42"/>
        <v>Base_Medium_Low_Upgraded_Eutrophication Potential (EP) - kg N eq_Aeration Tanks; wastewater treatment unit; at updated plant - US_Base_With Amendment_Windrow</v>
      </c>
    </row>
    <row r="795" spans="1:13" s="120" customFormat="1" x14ac:dyDescent="0.25">
      <c r="A795" s="119"/>
      <c r="B795" s="138" t="str">
        <f t="shared" si="40"/>
        <v>Windrow</v>
      </c>
      <c r="C795" s="138" t="str">
        <f t="shared" si="41"/>
        <v>Base_With Amendment</v>
      </c>
      <c r="D795" s="118" t="s">
        <v>135</v>
      </c>
      <c r="E795" s="118" t="s">
        <v>130</v>
      </c>
      <c r="F795" s="118" t="s">
        <v>46</v>
      </c>
      <c r="G795" s="153"/>
      <c r="H795" s="155">
        <v>3.1899999999999998E-2</v>
      </c>
      <c r="I795" s="154" t="s">
        <v>271</v>
      </c>
      <c r="J795" s="204">
        <v>5.4000000000000001E-4</v>
      </c>
      <c r="K795" s="154" t="s">
        <v>13</v>
      </c>
      <c r="L795" s="154" t="str">
        <f>IF(OpenLCAbasic!K795="CTUh", "Fill in Manually",IF(OR(K795="Unit", K795=""), "", INDEX(LookUps!$E$5:$E$12, MATCH(OpenLCAbasic!K795,LookUps!$D$5:$D$12,0))))</f>
        <v>Eutrophication Potential (EP) - kg N eq</v>
      </c>
      <c r="M795" s="154" t="str">
        <f t="shared" si="42"/>
        <v>Base_Medium_Low_Upgraded_Eutrophication Potential (EP) - kg N eq_Biosolids composting; windrow composting; wastewater treatment unit; at updated plant - US_Base_With Amendment_Windrow</v>
      </c>
    </row>
    <row r="796" spans="1:13" s="120" customFormat="1" x14ac:dyDescent="0.25">
      <c r="A796" s="119"/>
      <c r="B796" s="138" t="str">
        <f t="shared" si="40"/>
        <v>Windrow</v>
      </c>
      <c r="C796" s="138" t="str">
        <f t="shared" si="41"/>
        <v>Base_With Amendment</v>
      </c>
      <c r="D796" s="118" t="s">
        <v>135</v>
      </c>
      <c r="E796" s="118" t="s">
        <v>130</v>
      </c>
      <c r="F796" s="118" t="s">
        <v>46</v>
      </c>
      <c r="G796" s="153"/>
      <c r="H796" s="155">
        <v>1.4800000000000001E-2</v>
      </c>
      <c r="I796" s="154" t="s">
        <v>147</v>
      </c>
      <c r="J796" s="204">
        <v>2.5000000000000001E-4</v>
      </c>
      <c r="K796" s="154" t="s">
        <v>13</v>
      </c>
      <c r="L796" s="154" t="str">
        <f>IF(OpenLCAbasic!K796="CTUh", "Fill in Manually",IF(OR(K796="Unit", K796=""), "", INDEX(LookUps!$E$5:$E$12, MATCH(OpenLCAbasic!K796,LookUps!$D$5:$D$12,0))))</f>
        <v>Eutrophication Potential (EP) - kg N eq</v>
      </c>
      <c r="M796" s="154" t="str">
        <f t="shared" si="42"/>
        <v>Base_Medium_Low_Upgraded_Eutrophication Potential (EP) - kg N eq_Influent Pump Station; wastewater treatment unit; at updated plant - US_Base_With Amendment_Windrow</v>
      </c>
    </row>
    <row r="797" spans="1:13" s="120" customFormat="1" x14ac:dyDescent="0.25">
      <c r="A797" s="119"/>
      <c r="B797" s="138" t="str">
        <f t="shared" si="40"/>
        <v>Windrow</v>
      </c>
      <c r="C797" s="138" t="str">
        <f t="shared" si="41"/>
        <v>Base_With Amendment</v>
      </c>
      <c r="D797" s="118" t="s">
        <v>135</v>
      </c>
      <c r="E797" s="118" t="s">
        <v>130</v>
      </c>
      <c r="F797" s="118" t="s">
        <v>46</v>
      </c>
      <c r="G797" s="153"/>
      <c r="H797" s="155">
        <v>1.17E-2</v>
      </c>
      <c r="I797" s="154" t="s">
        <v>54</v>
      </c>
      <c r="J797" s="204">
        <v>2.0000000000000001E-4</v>
      </c>
      <c r="K797" s="154" t="s">
        <v>13</v>
      </c>
      <c r="L797" s="154" t="str">
        <f>IF(OpenLCAbasic!K797="CTUh", "Fill in Manually",IF(OR(K797="Unit", K797=""), "", INDEX(LookUps!$E$5:$E$12, MATCH(OpenLCAbasic!K797,LookUps!$D$5:$D$12,0))))</f>
        <v>Eutrophication Potential (EP) - kg N eq</v>
      </c>
      <c r="M797" s="154" t="str">
        <f t="shared" si="42"/>
        <v>Base_Medium_Low_Upgraded_Eutrophication Potential (EP) - kg N eq_Clear Cove Primary Clarification; wastewater treatment unit; at updated plant - US_Base_With Amendment_Windrow</v>
      </c>
    </row>
    <row r="798" spans="1:13" s="120" customFormat="1" x14ac:dyDescent="0.25">
      <c r="A798" s="119"/>
      <c r="B798" s="138" t="str">
        <f t="shared" si="40"/>
        <v>Windrow</v>
      </c>
      <c r="C798" s="138" t="str">
        <f t="shared" si="41"/>
        <v>Base_With Amendment</v>
      </c>
      <c r="D798" s="118" t="s">
        <v>135</v>
      </c>
      <c r="E798" s="118" t="s">
        <v>130</v>
      </c>
      <c r="F798" s="118" t="s">
        <v>46</v>
      </c>
      <c r="G798" s="153"/>
      <c r="H798" s="155">
        <v>1.1299999999999999E-2</v>
      </c>
      <c r="I798" s="154" t="s">
        <v>167</v>
      </c>
      <c r="J798" s="204">
        <v>1.9000000000000001E-4</v>
      </c>
      <c r="K798" s="154" t="s">
        <v>13</v>
      </c>
      <c r="L798" s="154" t="str">
        <f>IF(OpenLCAbasic!K798="CTUh", "Fill in Manually",IF(OR(K798="Unit", K798=""), "", INDEX(LookUps!$E$5:$E$12, MATCH(OpenLCAbasic!K798,LookUps!$D$5:$D$12,0))))</f>
        <v>Eutrophication Potential (EP) - kg N eq</v>
      </c>
      <c r="M798" s="154" t="str">
        <f t="shared" si="42"/>
        <v>Base_Medium_Low_Upgraded_Eutrophication Potential (EP) - kg N eq_Waste Receiving and Holding; wastewater treatment unit; at updated plant - US_Base_With Amendment_Windrow</v>
      </c>
    </row>
    <row r="799" spans="1:13" s="120" customFormat="1" x14ac:dyDescent="0.25">
      <c r="A799" s="119"/>
      <c r="B799" s="138" t="str">
        <f t="shared" si="40"/>
        <v>Windrow</v>
      </c>
      <c r="C799" s="138" t="str">
        <f t="shared" si="41"/>
        <v>Base_With Amendment</v>
      </c>
      <c r="D799" s="118" t="s">
        <v>135</v>
      </c>
      <c r="E799" s="118" t="s">
        <v>130</v>
      </c>
      <c r="F799" s="118" t="s">
        <v>46</v>
      </c>
      <c r="G799" s="153"/>
      <c r="H799" s="155">
        <v>8.0000000000000002E-3</v>
      </c>
      <c r="I799" s="154" t="s">
        <v>58</v>
      </c>
      <c r="J799" s="204">
        <v>1.3999999999999999E-4</v>
      </c>
      <c r="K799" s="154" t="s">
        <v>13</v>
      </c>
      <c r="L799" s="154" t="str">
        <f>IF(OpenLCAbasic!K799="CTUh", "Fill in Manually",IF(OR(K799="Unit", K799=""), "", INDEX(LookUps!$E$5:$E$12, MATCH(OpenLCAbasic!K799,LookUps!$D$5:$D$12,0))))</f>
        <v>Eutrophication Potential (EP) - kg N eq</v>
      </c>
      <c r="M799" s="154" t="str">
        <f t="shared" si="42"/>
        <v>Base_Medium_Low_Upgraded_Eutrophication Potential (EP) - kg N eq_Pre-Anoxic &amp; Swing tank; wastewater treatment unit; at updated plant - US_Base_With Amendment_Windrow</v>
      </c>
    </row>
    <row r="800" spans="1:13" s="120" customFormat="1" x14ac:dyDescent="0.25">
      <c r="A800" s="119"/>
      <c r="B800" s="138" t="str">
        <f t="shared" si="40"/>
        <v>Windrow</v>
      </c>
      <c r="C800" s="138" t="str">
        <f t="shared" si="41"/>
        <v>Base_With Amendment</v>
      </c>
      <c r="D800" s="118" t="s">
        <v>135</v>
      </c>
      <c r="E800" s="118" t="s">
        <v>130</v>
      </c>
      <c r="F800" s="118" t="s">
        <v>46</v>
      </c>
      <c r="G800" s="153"/>
      <c r="H800" s="155">
        <v>6.4000000000000003E-3</v>
      </c>
      <c r="I800" s="154" t="s">
        <v>53</v>
      </c>
      <c r="J800" s="204">
        <v>1.1E-4</v>
      </c>
      <c r="K800" s="154" t="s">
        <v>13</v>
      </c>
      <c r="L800" s="154" t="str">
        <f>IF(OpenLCAbasic!K800="CTUh", "Fill in Manually",IF(OR(K800="Unit", K800=""), "", INDEX(LookUps!$E$5:$E$12, MATCH(OpenLCAbasic!K800,LookUps!$D$5:$D$12,0))))</f>
        <v>Eutrophication Potential (EP) - kg N eq</v>
      </c>
      <c r="M800" s="154" t="str">
        <f t="shared" si="42"/>
        <v>Base_Medium_Low_Upgraded_Eutrophication Potential (EP) - kg N eq_Wet Well and Sump Station; wastewater treatment unit; at updated plant - US_Base_With Amendment_Windrow</v>
      </c>
    </row>
    <row r="801" spans="1:13" s="120" customFormat="1" x14ac:dyDescent="0.25">
      <c r="A801" s="119"/>
      <c r="B801" s="138" t="str">
        <f t="shared" si="40"/>
        <v>Windrow</v>
      </c>
      <c r="C801" s="138" t="str">
        <f t="shared" si="41"/>
        <v>Base_With Amendment</v>
      </c>
      <c r="D801" s="118" t="s">
        <v>135</v>
      </c>
      <c r="E801" s="118" t="s">
        <v>130</v>
      </c>
      <c r="F801" s="118" t="s">
        <v>46</v>
      </c>
      <c r="G801" s="153"/>
      <c r="H801" s="155">
        <v>4.7000000000000002E-3</v>
      </c>
      <c r="I801" s="154" t="s">
        <v>60</v>
      </c>
      <c r="J801" s="204">
        <v>7.8941800000000004E-5</v>
      </c>
      <c r="K801" s="154" t="s">
        <v>13</v>
      </c>
      <c r="L801" s="154" t="str">
        <f>IF(OpenLCAbasic!K801="CTUh", "Fill in Manually",IF(OR(K801="Unit", K801=""), "", INDEX(LookUps!$E$5:$E$12, MATCH(OpenLCAbasic!K801,LookUps!$D$5:$D$12,0))))</f>
        <v>Eutrophication Potential (EP) - kg N eq</v>
      </c>
      <c r="M801" s="154" t="str">
        <f t="shared" si="42"/>
        <v>Base_Medium_Low_Upgraded_Eutrophication Potential (EP) - kg N eq_Belt filter press; wastewater treatment unit; at updated plant - US_Base_With Amendment_Windrow</v>
      </c>
    </row>
    <row r="802" spans="1:13" s="120" customFormat="1" x14ac:dyDescent="0.25">
      <c r="A802" s="119"/>
      <c r="B802" s="138" t="str">
        <f t="shared" si="40"/>
        <v>Windrow</v>
      </c>
      <c r="C802" s="138" t="str">
        <f t="shared" si="41"/>
        <v>Base_With Amendment</v>
      </c>
      <c r="D802" s="118" t="s">
        <v>135</v>
      </c>
      <c r="E802" s="118" t="s">
        <v>130</v>
      </c>
      <c r="F802" s="118" t="s">
        <v>46</v>
      </c>
      <c r="G802" s="153"/>
      <c r="H802" s="155">
        <v>3.5999999999999999E-3</v>
      </c>
      <c r="I802" s="154" t="s">
        <v>57</v>
      </c>
      <c r="J802" s="204">
        <v>6.0590300000000002E-5</v>
      </c>
      <c r="K802" s="154" t="s">
        <v>13</v>
      </c>
      <c r="L802" s="154" t="str">
        <f>IF(OpenLCAbasic!K802="CTUh", "Fill in Manually",IF(OR(K802="Unit", K802=""), "", INDEX(LookUps!$E$5:$E$12, MATCH(OpenLCAbasic!K802,LookUps!$D$5:$D$12,0))))</f>
        <v>Eutrophication Potential (EP) - kg N eq</v>
      </c>
      <c r="M802" s="154" t="str">
        <f t="shared" si="42"/>
        <v>Base_Medium_Low_Upgraded_Eutrophication Potential (EP) - kg N eq_Gravity Belt Thickener; wastewater treatment unit; at updated plant - US_Base_With Amendment_Windrow</v>
      </c>
    </row>
    <row r="803" spans="1:13" s="120" customFormat="1" x14ac:dyDescent="0.25">
      <c r="A803" s="119"/>
      <c r="B803" s="138" t="str">
        <f t="shared" si="40"/>
        <v>Windrow</v>
      </c>
      <c r="C803" s="138" t="str">
        <f t="shared" si="41"/>
        <v>Base_With Amendment</v>
      </c>
      <c r="D803" s="118" t="s">
        <v>135</v>
      </c>
      <c r="E803" s="118" t="s">
        <v>130</v>
      </c>
      <c r="F803" s="118" t="s">
        <v>46</v>
      </c>
      <c r="G803" s="153"/>
      <c r="H803" s="155">
        <v>2.2000000000000001E-3</v>
      </c>
      <c r="I803" s="154" t="s">
        <v>128</v>
      </c>
      <c r="J803" s="204">
        <v>3.7559799999999999E-5</v>
      </c>
      <c r="K803" s="154" t="s">
        <v>13</v>
      </c>
      <c r="L803" s="154" t="str">
        <f>IF(OpenLCAbasic!K803="CTUh", "Fill in Manually",IF(OR(K803="Unit", K803=""), "", INDEX(LookUps!$E$5:$E$12, MATCH(OpenLCAbasic!K803,LookUps!$D$5:$D$12,0))))</f>
        <v>Eutrophication Potential (EP) - kg N eq</v>
      </c>
      <c r="M803" s="154" t="str">
        <f t="shared" si="42"/>
        <v>Base_Medium_Low_Upgraded_Eutrophication Potential (EP) - kg N eq_Wastewater collection; operation and infrastructure; m3 wastewater_Base_With Amendment_Windrow</v>
      </c>
    </row>
    <row r="804" spans="1:13" s="120" customFormat="1" x14ac:dyDescent="0.25">
      <c r="A804" s="119"/>
      <c r="B804" s="138" t="str">
        <f t="shared" si="40"/>
        <v>Windrow</v>
      </c>
      <c r="C804" s="138" t="str">
        <f t="shared" si="41"/>
        <v>Base_With Amendment</v>
      </c>
      <c r="D804" s="118" t="s">
        <v>135</v>
      </c>
      <c r="E804" s="118" t="s">
        <v>130</v>
      </c>
      <c r="F804" s="118" t="s">
        <v>46</v>
      </c>
      <c r="G804" s="153"/>
      <c r="H804" s="155">
        <v>2.2000000000000001E-3</v>
      </c>
      <c r="I804" s="154" t="s">
        <v>148</v>
      </c>
      <c r="J804" s="204">
        <v>3.6874600000000001E-5</v>
      </c>
      <c r="K804" s="154" t="s">
        <v>13</v>
      </c>
      <c r="L804" s="154" t="str">
        <f>IF(OpenLCAbasic!K804="CTUh", "Fill in Manually",IF(OR(K804="Unit", K804=""), "", INDEX(LookUps!$E$5:$E$12, MATCH(OpenLCAbasic!K804,LookUps!$D$5:$D$12,0))))</f>
        <v>Eutrophication Potential (EP) - kg N eq</v>
      </c>
      <c r="M804" s="154" t="str">
        <f t="shared" si="42"/>
        <v>Base_Medium_Low_Upgraded_Eutrophication Potential (EP) - kg N eq_Control Building; at upgraded wastewater treatment plant - US_Base_With Amendment_Windrow</v>
      </c>
    </row>
    <row r="805" spans="1:13" s="120" customFormat="1" x14ac:dyDescent="0.25">
      <c r="A805" s="119"/>
      <c r="B805" s="138" t="str">
        <f t="shared" si="40"/>
        <v>Windrow</v>
      </c>
      <c r="C805" s="138" t="str">
        <f t="shared" si="41"/>
        <v>Base_With Amendment</v>
      </c>
      <c r="D805" s="118" t="s">
        <v>135</v>
      </c>
      <c r="E805" s="118" t="s">
        <v>130</v>
      </c>
      <c r="F805" s="118" t="s">
        <v>46</v>
      </c>
      <c r="G805" s="153"/>
      <c r="H805" s="155">
        <v>1E-3</v>
      </c>
      <c r="I805" s="154" t="s">
        <v>59</v>
      </c>
      <c r="J805" s="204">
        <v>1.6215700000000001E-5</v>
      </c>
      <c r="K805" s="154" t="s">
        <v>13</v>
      </c>
      <c r="L805" s="154" t="str">
        <f>IF(OpenLCAbasic!K805="CTUh", "Fill in Manually",IF(OR(K805="Unit", K805=""), "", INDEX(LookUps!$E$5:$E$12, MATCH(OpenLCAbasic!K805,LookUps!$D$5:$D$12,0))))</f>
        <v>Eutrophication Potential (EP) - kg N eq</v>
      </c>
      <c r="M805" s="154" t="str">
        <f t="shared" si="42"/>
        <v>Base_Medium_Low_Upgraded_Eutrophication Potential (EP) - kg N eq_Blend Tank; wastewater treatment unit; at updated plant - US_Base_With Amendment_Windrow</v>
      </c>
    </row>
    <row r="806" spans="1:13" s="120" customFormat="1" x14ac:dyDescent="0.25">
      <c r="A806" s="119"/>
      <c r="B806" s="138" t="str">
        <f t="shared" si="40"/>
        <v>Windrow</v>
      </c>
      <c r="C806" s="138" t="str">
        <f t="shared" si="41"/>
        <v>Base_With Amendment</v>
      </c>
      <c r="D806" s="118" t="s">
        <v>135</v>
      </c>
      <c r="E806" s="118" t="s">
        <v>130</v>
      </c>
      <c r="F806" s="118" t="s">
        <v>46</v>
      </c>
      <c r="G806" s="153"/>
      <c r="H806" s="155">
        <v>5.0000000000000001E-4</v>
      </c>
      <c r="I806" s="154" t="s">
        <v>168</v>
      </c>
      <c r="J806" s="204">
        <v>7.7567199999999995E-6</v>
      </c>
      <c r="K806" s="154" t="s">
        <v>13</v>
      </c>
      <c r="L806" s="154" t="str">
        <f>IF(OpenLCAbasic!K806="CTUh", "Fill in Manually",IF(OR(K806="Unit", K806=""), "", INDEX(LookUps!$E$5:$E$12, MATCH(OpenLCAbasic!K806,LookUps!$D$5:$D$12,0))))</f>
        <v>Eutrophication Potential (EP) - kg N eq</v>
      </c>
      <c r="M806" s="154" t="str">
        <f t="shared" si="42"/>
        <v>Base_Medium_Low_Upgraded_Eutrophication Potential (EP) - kg N eq_ClearCove SCP; wastewater treatment unit; at updated plant - US_Base_With Amendment_Windrow</v>
      </c>
    </row>
    <row r="807" spans="1:13" s="120" customFormat="1" x14ac:dyDescent="0.25">
      <c r="A807" s="119"/>
      <c r="B807" s="138" t="str">
        <f t="shared" si="40"/>
        <v>Windrow</v>
      </c>
      <c r="C807" s="138" t="str">
        <f t="shared" ref="C807:C838" si="43">IF(E807&lt;&gt;"", "Base_With Amendment","")</f>
        <v>Base_With Amendment</v>
      </c>
      <c r="D807" s="118" t="s">
        <v>135</v>
      </c>
      <c r="E807" s="118" t="s">
        <v>130</v>
      </c>
      <c r="F807" s="118" t="s">
        <v>46</v>
      </c>
      <c r="G807" s="153"/>
      <c r="H807" s="155">
        <v>-4.5999999999999999E-3</v>
      </c>
      <c r="I807" s="154" t="s">
        <v>149</v>
      </c>
      <c r="J807" s="204">
        <v>-7.8280099999999996E-5</v>
      </c>
      <c r="K807" s="154" t="s">
        <v>13</v>
      </c>
      <c r="L807" s="154" t="str">
        <f>IF(OpenLCAbasic!K807="CTUh", "Fill in Manually",IF(OR(K807="Unit", K807=""), "", INDEX(LookUps!$E$5:$E$12, MATCH(OpenLCAbasic!K807,LookUps!$D$5:$D$12,0))))</f>
        <v>Eutrophication Potential (EP) - kg N eq</v>
      </c>
      <c r="M807" s="154" t="str">
        <f t="shared" si="42"/>
        <v>Base_Medium_Low_Upgraded_Eutrophication Potential (EP) - kg N eq_Anaerobic Digestion; wastewater treatment unit; at updated plant - US_Base_With Amendment_Windrow</v>
      </c>
    </row>
    <row r="808" spans="1:13" s="120" customFormat="1" x14ac:dyDescent="0.25">
      <c r="A808" s="119"/>
      <c r="B808" s="138" t="str">
        <f t="shared" si="40"/>
        <v>Windrow</v>
      </c>
      <c r="C808" s="138" t="str">
        <f t="shared" si="43"/>
        <v>Base_With Amendment</v>
      </c>
      <c r="D808" s="118" t="s">
        <v>135</v>
      </c>
      <c r="E808" s="118" t="s">
        <v>130</v>
      </c>
      <c r="F808" s="118" t="s">
        <v>46</v>
      </c>
      <c r="G808" s="153" t="s">
        <v>51</v>
      </c>
      <c r="H808" s="154"/>
      <c r="I808" s="154" t="s">
        <v>47</v>
      </c>
      <c r="J808" s="154" t="s">
        <v>52</v>
      </c>
      <c r="K808" s="154" t="s">
        <v>27</v>
      </c>
      <c r="L808" s="154" t="str">
        <f>IF(OpenLCAbasic!K808="CTUh", "Fill in Manually",IF(OR(K808="Unit", K808=""), "", INDEX(LookUps!$E$5:$E$12, MATCH(OpenLCAbasic!K808,LookUps!$D$5:$D$12,0))))</f>
        <v/>
      </c>
      <c r="M808" s="154" t="str">
        <f t="shared" si="42"/>
        <v>Base_Medium_Low_Upgraded__Process_Base_With Amendment_Windrow</v>
      </c>
    </row>
    <row r="809" spans="1:13" s="120" customFormat="1" x14ac:dyDescent="0.25">
      <c r="A809" s="119"/>
      <c r="B809" s="138" t="str">
        <f t="shared" si="40"/>
        <v>Windrow</v>
      </c>
      <c r="C809" s="138" t="str">
        <f t="shared" si="43"/>
        <v>Base_With Amendment</v>
      </c>
      <c r="D809" s="118" t="s">
        <v>135</v>
      </c>
      <c r="E809" s="118" t="s">
        <v>130</v>
      </c>
      <c r="F809" s="118" t="s">
        <v>46</v>
      </c>
      <c r="G809" s="153"/>
      <c r="H809" s="155">
        <v>0.3412</v>
      </c>
      <c r="I809" s="154" t="s">
        <v>167</v>
      </c>
      <c r="J809" s="157">
        <v>4.2789599999999997</v>
      </c>
      <c r="K809" s="154" t="s">
        <v>15</v>
      </c>
      <c r="L809" s="154" t="str">
        <f>IF(OpenLCAbasic!K809="CTUh", "Fill in Manually",IF(OR(K809="Unit", K809=""), "", INDEX(LookUps!$E$5:$E$12, MATCH(OpenLCAbasic!K809,LookUps!$D$5:$D$12,0))))</f>
        <v>Cumulative Energy Demand (CED) - MJ</v>
      </c>
      <c r="M809" s="154" t="str">
        <f t="shared" si="42"/>
        <v>Base_Medium_Low_Upgraded_Cumulative Energy Demand (CED) - MJ_Waste Receiving and Holding; wastewater treatment unit; at updated plant - US_Base_With Amendment_Windrow</v>
      </c>
    </row>
    <row r="810" spans="1:13" s="120" customFormat="1" x14ac:dyDescent="0.25">
      <c r="A810" s="119"/>
      <c r="B810" s="138" t="str">
        <f t="shared" si="40"/>
        <v>Windrow</v>
      </c>
      <c r="C810" s="138" t="str">
        <f t="shared" si="43"/>
        <v>Base_With Amendment</v>
      </c>
      <c r="D810" s="118" t="s">
        <v>135</v>
      </c>
      <c r="E810" s="118" t="s">
        <v>130</v>
      </c>
      <c r="F810" s="118" t="s">
        <v>46</v>
      </c>
      <c r="G810" s="153"/>
      <c r="H810" s="155">
        <v>0.28170000000000001</v>
      </c>
      <c r="I810" s="154" t="s">
        <v>55</v>
      </c>
      <c r="J810" s="157">
        <v>3.5330499999999998</v>
      </c>
      <c r="K810" s="154" t="s">
        <v>15</v>
      </c>
      <c r="L810" s="154" t="str">
        <f>IF(OpenLCAbasic!K810="CTUh", "Fill in Manually",IF(OR(K810="Unit", K810=""), "", INDEX(LookUps!$E$5:$E$12, MATCH(OpenLCAbasic!K810,LookUps!$D$5:$D$12,0))))</f>
        <v>Cumulative Energy Demand (CED) - MJ</v>
      </c>
      <c r="M810" s="154" t="str">
        <f t="shared" si="42"/>
        <v>Base_Medium_Low_Upgraded_Cumulative Energy Demand (CED) - MJ_Aeration Tanks; wastewater treatment unit; at updated plant - US_Base_With Amendment_Windrow</v>
      </c>
    </row>
    <row r="811" spans="1:13" s="120" customFormat="1" x14ac:dyDescent="0.25">
      <c r="A811" s="119"/>
      <c r="B811" s="138" t="str">
        <f t="shared" si="40"/>
        <v>Windrow</v>
      </c>
      <c r="C811" s="138" t="str">
        <f t="shared" si="43"/>
        <v>Base_With Amendment</v>
      </c>
      <c r="D811" s="118" t="s">
        <v>135</v>
      </c>
      <c r="E811" s="118" t="s">
        <v>130</v>
      </c>
      <c r="F811" s="118" t="s">
        <v>46</v>
      </c>
      <c r="G811" s="153"/>
      <c r="H811" s="155">
        <v>9.2700000000000005E-2</v>
      </c>
      <c r="I811" s="154" t="s">
        <v>54</v>
      </c>
      <c r="J811" s="157">
        <v>1.16289</v>
      </c>
      <c r="K811" s="154" t="s">
        <v>15</v>
      </c>
      <c r="L811" s="154" t="str">
        <f>IF(OpenLCAbasic!K811="CTUh", "Fill in Manually",IF(OR(K811="Unit", K811=""), "", INDEX(LookUps!$E$5:$E$12, MATCH(OpenLCAbasic!K811,LookUps!$D$5:$D$12,0))))</f>
        <v>Cumulative Energy Demand (CED) - MJ</v>
      </c>
      <c r="M811" s="154" t="str">
        <f t="shared" si="42"/>
        <v>Base_Medium_Low_Upgraded_Cumulative Energy Demand (CED) - MJ_Clear Cove Primary Clarification; wastewater treatment unit; at updated plant - US_Base_With Amendment_Windrow</v>
      </c>
    </row>
    <row r="812" spans="1:13" s="120" customFormat="1" x14ac:dyDescent="0.25">
      <c r="A812" s="119"/>
      <c r="B812" s="138" t="str">
        <f t="shared" si="40"/>
        <v>Windrow</v>
      </c>
      <c r="C812" s="138" t="str">
        <f t="shared" si="43"/>
        <v>Base_With Amendment</v>
      </c>
      <c r="D812" s="118" t="s">
        <v>135</v>
      </c>
      <c r="E812" s="118" t="s">
        <v>130</v>
      </c>
      <c r="F812" s="118" t="s">
        <v>46</v>
      </c>
      <c r="G812" s="153"/>
      <c r="H812" s="155">
        <v>7.0699999999999999E-2</v>
      </c>
      <c r="I812" s="154" t="s">
        <v>58</v>
      </c>
      <c r="J812" s="203">
        <v>0.88705000000000001</v>
      </c>
      <c r="K812" s="154" t="s">
        <v>15</v>
      </c>
      <c r="L812" s="154" t="str">
        <f>IF(OpenLCAbasic!K812="CTUh", "Fill in Manually",IF(OR(K812="Unit", K812=""), "", INDEX(LookUps!$E$5:$E$12, MATCH(OpenLCAbasic!K812,LookUps!$D$5:$D$12,0))))</f>
        <v>Cumulative Energy Demand (CED) - MJ</v>
      </c>
      <c r="M812" s="154" t="str">
        <f t="shared" si="42"/>
        <v>Base_Medium_Low_Upgraded_Cumulative Energy Demand (CED) - MJ_Pre-Anoxic &amp; Swing tank; wastewater treatment unit; at updated plant - US_Base_With Amendment_Windrow</v>
      </c>
    </row>
    <row r="813" spans="1:13" s="120" customFormat="1" x14ac:dyDescent="0.25">
      <c r="A813" s="119"/>
      <c r="B813" s="138" t="str">
        <f t="shared" si="40"/>
        <v>Windrow</v>
      </c>
      <c r="C813" s="138" t="str">
        <f t="shared" si="43"/>
        <v>Base_With Amendment</v>
      </c>
      <c r="D813" s="118" t="s">
        <v>135</v>
      </c>
      <c r="E813" s="118" t="s">
        <v>130</v>
      </c>
      <c r="F813" s="118" t="s">
        <v>46</v>
      </c>
      <c r="G813" s="153"/>
      <c r="H813" s="155">
        <v>7.0400000000000004E-2</v>
      </c>
      <c r="I813" s="154" t="s">
        <v>147</v>
      </c>
      <c r="J813" s="203">
        <v>0.88297000000000003</v>
      </c>
      <c r="K813" s="154" t="s">
        <v>15</v>
      </c>
      <c r="L813" s="154" t="str">
        <f>IF(OpenLCAbasic!K813="CTUh", "Fill in Manually",IF(OR(K813="Unit", K813=""), "", INDEX(LookUps!$E$5:$E$12, MATCH(OpenLCAbasic!K813,LookUps!$D$5:$D$12,0))))</f>
        <v>Cumulative Energy Demand (CED) - MJ</v>
      </c>
      <c r="M813" s="154" t="str">
        <f t="shared" si="42"/>
        <v>Base_Medium_Low_Upgraded_Cumulative Energy Demand (CED) - MJ_Influent Pump Station; wastewater treatment unit; at updated plant - US_Base_With Amendment_Windrow</v>
      </c>
    </row>
    <row r="814" spans="1:13" s="120" customFormat="1" x14ac:dyDescent="0.25">
      <c r="A814" s="119"/>
      <c r="B814" s="138" t="str">
        <f t="shared" si="40"/>
        <v>Windrow</v>
      </c>
      <c r="C814" s="138" t="str">
        <f t="shared" si="43"/>
        <v>Base_With Amendment</v>
      </c>
      <c r="D814" s="118" t="s">
        <v>135</v>
      </c>
      <c r="E814" s="118" t="s">
        <v>130</v>
      </c>
      <c r="F814" s="118" t="s">
        <v>46</v>
      </c>
      <c r="G814" s="153"/>
      <c r="H814" s="155">
        <v>5.5500000000000001E-2</v>
      </c>
      <c r="I814" s="154" t="s">
        <v>53</v>
      </c>
      <c r="J814" s="203">
        <v>0.69645000000000001</v>
      </c>
      <c r="K814" s="154" t="s">
        <v>15</v>
      </c>
      <c r="L814" s="154" t="str">
        <f>IF(OpenLCAbasic!K814="CTUh", "Fill in Manually",IF(OR(K814="Unit", K814=""), "", INDEX(LookUps!$E$5:$E$12, MATCH(OpenLCAbasic!K814,LookUps!$D$5:$D$12,0))))</f>
        <v>Cumulative Energy Demand (CED) - MJ</v>
      </c>
      <c r="M814" s="154" t="str">
        <f t="shared" si="42"/>
        <v>Base_Medium_Low_Upgraded_Cumulative Energy Demand (CED) - MJ_Wet Well and Sump Station; wastewater treatment unit; at updated plant - US_Base_With Amendment_Windrow</v>
      </c>
    </row>
    <row r="815" spans="1:13" s="120" customFormat="1" x14ac:dyDescent="0.25">
      <c r="A815" s="119"/>
      <c r="B815" s="138" t="str">
        <f t="shared" si="40"/>
        <v>Windrow</v>
      </c>
      <c r="C815" s="138" t="str">
        <f t="shared" si="43"/>
        <v>Base_With Amendment</v>
      </c>
      <c r="D815" s="118" t="s">
        <v>135</v>
      </c>
      <c r="E815" s="118" t="s">
        <v>130</v>
      </c>
      <c r="F815" s="118" t="s">
        <v>46</v>
      </c>
      <c r="G815" s="153"/>
      <c r="H815" s="155">
        <v>3.5799999999999998E-2</v>
      </c>
      <c r="I815" s="154" t="s">
        <v>60</v>
      </c>
      <c r="J815" s="203">
        <v>0.44939000000000001</v>
      </c>
      <c r="K815" s="154" t="s">
        <v>15</v>
      </c>
      <c r="L815" s="154" t="str">
        <f>IF(OpenLCAbasic!K815="CTUh", "Fill in Manually",IF(OR(K815="Unit", K815=""), "", INDEX(LookUps!$E$5:$E$12, MATCH(OpenLCAbasic!K815,LookUps!$D$5:$D$12,0))))</f>
        <v>Cumulative Energy Demand (CED) - MJ</v>
      </c>
      <c r="M815" s="154" t="str">
        <f t="shared" si="42"/>
        <v>Base_Medium_Low_Upgraded_Cumulative Energy Demand (CED) - MJ_Belt filter press; wastewater treatment unit; at updated plant - US_Base_With Amendment_Windrow</v>
      </c>
    </row>
    <row r="816" spans="1:13" s="120" customFormat="1" x14ac:dyDescent="0.25">
      <c r="A816" s="119"/>
      <c r="B816" s="138" t="str">
        <f t="shared" si="40"/>
        <v>Windrow</v>
      </c>
      <c r="C816" s="138" t="str">
        <f t="shared" si="43"/>
        <v>Base_With Amendment</v>
      </c>
      <c r="D816" s="118" t="s">
        <v>135</v>
      </c>
      <c r="E816" s="118" t="s">
        <v>130</v>
      </c>
      <c r="F816" s="118" t="s">
        <v>46</v>
      </c>
      <c r="G816" s="153"/>
      <c r="H816" s="155">
        <v>2.6599999999999999E-2</v>
      </c>
      <c r="I816" s="154" t="s">
        <v>57</v>
      </c>
      <c r="J816" s="203">
        <v>0.33404</v>
      </c>
      <c r="K816" s="154" t="s">
        <v>15</v>
      </c>
      <c r="L816" s="154" t="str">
        <f>IF(OpenLCAbasic!K816="CTUh", "Fill in Manually",IF(OR(K816="Unit", K816=""), "", INDEX(LookUps!$E$5:$E$12, MATCH(OpenLCAbasic!K816,LookUps!$D$5:$D$12,0))))</f>
        <v>Cumulative Energy Demand (CED) - MJ</v>
      </c>
      <c r="M816" s="154" t="str">
        <f t="shared" si="42"/>
        <v>Base_Medium_Low_Upgraded_Cumulative Energy Demand (CED) - MJ_Gravity Belt Thickener; wastewater treatment unit; at updated plant - US_Base_With Amendment_Windrow</v>
      </c>
    </row>
    <row r="817" spans="1:13" s="120" customFormat="1" x14ac:dyDescent="0.25">
      <c r="A817" s="119"/>
      <c r="B817" s="138" t="str">
        <f t="shared" si="40"/>
        <v>Windrow</v>
      </c>
      <c r="C817" s="138" t="str">
        <f t="shared" si="43"/>
        <v>Base_With Amendment</v>
      </c>
      <c r="D817" s="118" t="s">
        <v>135</v>
      </c>
      <c r="E817" s="118" t="s">
        <v>130</v>
      </c>
      <c r="F817" s="118" t="s">
        <v>46</v>
      </c>
      <c r="G817" s="153"/>
      <c r="H817" s="155">
        <v>2.1899999999999999E-2</v>
      </c>
      <c r="I817" s="154" t="s">
        <v>149</v>
      </c>
      <c r="J817" s="203">
        <v>0.27453</v>
      </c>
      <c r="K817" s="154" t="s">
        <v>15</v>
      </c>
      <c r="L817" s="154" t="str">
        <f>IF(OpenLCAbasic!K817="CTUh", "Fill in Manually",IF(OR(K817="Unit", K817=""), "", INDEX(LookUps!$E$5:$E$12, MATCH(OpenLCAbasic!K817,LookUps!$D$5:$D$12,0))))</f>
        <v>Cumulative Energy Demand (CED) - MJ</v>
      </c>
      <c r="M817" s="154" t="str">
        <f t="shared" si="42"/>
        <v>Base_Medium_Low_Upgraded_Cumulative Energy Demand (CED) - MJ_Anaerobic Digestion; wastewater treatment unit; at updated plant - US_Base_With Amendment_Windrow</v>
      </c>
    </row>
    <row r="818" spans="1:13" s="120" customFormat="1" x14ac:dyDescent="0.25">
      <c r="A818" s="119"/>
      <c r="B818" s="138" t="str">
        <f t="shared" si="40"/>
        <v>Windrow</v>
      </c>
      <c r="C818" s="138" t="str">
        <f t="shared" si="43"/>
        <v>Base_With Amendment</v>
      </c>
      <c r="D818" s="118" t="s">
        <v>135</v>
      </c>
      <c r="E818" s="118" t="s">
        <v>130</v>
      </c>
      <c r="F818" s="118" t="s">
        <v>46</v>
      </c>
      <c r="G818" s="153"/>
      <c r="H818" s="155">
        <v>2.0400000000000001E-2</v>
      </c>
      <c r="I818" s="154" t="s">
        <v>128</v>
      </c>
      <c r="J818" s="203">
        <v>0.25606000000000001</v>
      </c>
      <c r="K818" s="154" t="s">
        <v>15</v>
      </c>
      <c r="L818" s="154" t="str">
        <f>IF(OpenLCAbasic!K818="CTUh", "Fill in Manually",IF(OR(K818="Unit", K818=""), "", INDEX(LookUps!$E$5:$E$12, MATCH(OpenLCAbasic!K818,LookUps!$D$5:$D$12,0))))</f>
        <v>Cumulative Energy Demand (CED) - MJ</v>
      </c>
      <c r="M818" s="154" t="str">
        <f t="shared" si="42"/>
        <v>Base_Medium_Low_Upgraded_Cumulative Energy Demand (CED) - MJ_Wastewater collection; operation and infrastructure; m3 wastewater_Base_With Amendment_Windrow</v>
      </c>
    </row>
    <row r="819" spans="1:13" s="120" customFormat="1" x14ac:dyDescent="0.25">
      <c r="A819" s="119"/>
      <c r="B819" s="138" t="str">
        <f t="shared" si="40"/>
        <v>Windrow</v>
      </c>
      <c r="C819" s="138" t="str">
        <f t="shared" si="43"/>
        <v>Base_With Amendment</v>
      </c>
      <c r="D819" s="118" t="s">
        <v>135</v>
      </c>
      <c r="E819" s="118" t="s">
        <v>130</v>
      </c>
      <c r="F819" s="118" t="s">
        <v>46</v>
      </c>
      <c r="G819" s="153"/>
      <c r="H819" s="155">
        <v>1.1599999999999999E-2</v>
      </c>
      <c r="I819" s="154" t="s">
        <v>148</v>
      </c>
      <c r="J819" s="203">
        <v>0.14599000000000001</v>
      </c>
      <c r="K819" s="154" t="s">
        <v>15</v>
      </c>
      <c r="L819" s="154" t="str">
        <f>IF(OpenLCAbasic!K819="CTUh", "Fill in Manually",IF(OR(K819="Unit", K819=""), "", INDEX(LookUps!$E$5:$E$12, MATCH(OpenLCAbasic!K819,LookUps!$D$5:$D$12,0))))</f>
        <v>Cumulative Energy Demand (CED) - MJ</v>
      </c>
      <c r="M819" s="154" t="str">
        <f t="shared" si="42"/>
        <v>Base_Medium_Low_Upgraded_Cumulative Energy Demand (CED) - MJ_Control Building; at upgraded wastewater treatment plant - US_Base_With Amendment_Windrow</v>
      </c>
    </row>
    <row r="820" spans="1:13" s="120" customFormat="1" x14ac:dyDescent="0.25">
      <c r="A820" s="119"/>
      <c r="B820" s="138" t="str">
        <f t="shared" si="40"/>
        <v>Windrow</v>
      </c>
      <c r="C820" s="138" t="str">
        <f t="shared" si="43"/>
        <v>Base_With Amendment</v>
      </c>
      <c r="D820" s="118" t="s">
        <v>135</v>
      </c>
      <c r="E820" s="118" t="s">
        <v>130</v>
      </c>
      <c r="F820" s="118" t="s">
        <v>46</v>
      </c>
      <c r="G820" s="153"/>
      <c r="H820" s="155">
        <v>1.06E-2</v>
      </c>
      <c r="I820" s="154" t="s">
        <v>48</v>
      </c>
      <c r="J820" s="203">
        <v>0.13321</v>
      </c>
      <c r="K820" s="154" t="s">
        <v>15</v>
      </c>
      <c r="L820" s="154" t="str">
        <f>IF(OpenLCAbasic!K820="CTUh", "Fill in Manually",IF(OR(K820="Unit", K820=""), "", INDEX(LookUps!$E$5:$E$12, MATCH(OpenLCAbasic!K820,LookUps!$D$5:$D$12,0))))</f>
        <v>Cumulative Energy Demand (CED) - MJ</v>
      </c>
      <c r="M820" s="154" t="str">
        <f t="shared" si="42"/>
        <v>Base_Medium_Low_Upgraded_Cumulative Energy Demand (CED) - MJ_Effluent release; wastewater treatment unit; at surface water; m3 wastewater - US_Base_With Amendment_Windrow</v>
      </c>
    </row>
    <row r="821" spans="1:13" s="120" customFormat="1" x14ac:dyDescent="0.25">
      <c r="A821" s="119"/>
      <c r="B821" s="138" t="str">
        <f t="shared" si="40"/>
        <v>Windrow</v>
      </c>
      <c r="C821" s="138" t="str">
        <f t="shared" si="43"/>
        <v>Base_With Amendment</v>
      </c>
      <c r="D821" s="118" t="s">
        <v>135</v>
      </c>
      <c r="E821" s="118" t="s">
        <v>130</v>
      </c>
      <c r="F821" s="118" t="s">
        <v>46</v>
      </c>
      <c r="G821" s="153"/>
      <c r="H821" s="155">
        <v>8.5000000000000006E-3</v>
      </c>
      <c r="I821" s="154" t="s">
        <v>59</v>
      </c>
      <c r="J821" s="203">
        <v>0.10638</v>
      </c>
      <c r="K821" s="154" t="s">
        <v>15</v>
      </c>
      <c r="L821" s="154" t="str">
        <f>IF(OpenLCAbasic!K821="CTUh", "Fill in Manually",IF(OR(K821="Unit", K821=""), "", INDEX(LookUps!$E$5:$E$12, MATCH(OpenLCAbasic!K821,LookUps!$D$5:$D$12,0))))</f>
        <v>Cumulative Energy Demand (CED) - MJ</v>
      </c>
      <c r="M821" s="154" t="str">
        <f t="shared" si="42"/>
        <v>Base_Medium_Low_Upgraded_Cumulative Energy Demand (CED) - MJ_Blend Tank; wastewater treatment unit; at updated plant - US_Base_With Amendment_Windrow</v>
      </c>
    </row>
    <row r="822" spans="1:13" s="120" customFormat="1" x14ac:dyDescent="0.25">
      <c r="A822" s="119"/>
      <c r="B822" s="138" t="str">
        <f t="shared" si="40"/>
        <v>Windrow</v>
      </c>
      <c r="C822" s="138" t="str">
        <f t="shared" si="43"/>
        <v>Base_With Amendment</v>
      </c>
      <c r="D822" s="118" t="s">
        <v>135</v>
      </c>
      <c r="E822" s="118" t="s">
        <v>130</v>
      </c>
      <c r="F822" s="118" t="s">
        <v>46</v>
      </c>
      <c r="G822" s="153"/>
      <c r="H822" s="155">
        <v>4.1000000000000003E-3</v>
      </c>
      <c r="I822" s="154" t="s">
        <v>168</v>
      </c>
      <c r="J822" s="203">
        <v>5.0930000000000003E-2</v>
      </c>
      <c r="K822" s="154" t="s">
        <v>15</v>
      </c>
      <c r="L822" s="154" t="str">
        <f>IF(OpenLCAbasic!K822="CTUh", "Fill in Manually",IF(OR(K822="Unit", K822=""), "", INDEX(LookUps!$E$5:$E$12, MATCH(OpenLCAbasic!K822,LookUps!$D$5:$D$12,0))))</f>
        <v>Cumulative Energy Demand (CED) - MJ</v>
      </c>
      <c r="M822" s="154" t="str">
        <f t="shared" si="42"/>
        <v>Base_Medium_Low_Upgraded_Cumulative Energy Demand (CED) - MJ_ClearCove SCP; wastewater treatment unit; at updated plant - US_Base_With Amendment_Windrow</v>
      </c>
    </row>
    <row r="823" spans="1:13" s="120" customFormat="1" x14ac:dyDescent="0.25">
      <c r="A823" s="119"/>
      <c r="B823" s="138" t="str">
        <f t="shared" si="40"/>
        <v>Windrow</v>
      </c>
      <c r="C823" s="138" t="str">
        <f t="shared" si="43"/>
        <v>Base_With Amendment</v>
      </c>
      <c r="D823" s="118" t="s">
        <v>135</v>
      </c>
      <c r="E823" s="118" t="s">
        <v>130</v>
      </c>
      <c r="F823" s="118" t="s">
        <v>46</v>
      </c>
      <c r="G823" s="153"/>
      <c r="H823" s="155">
        <v>2.5999999999999999E-3</v>
      </c>
      <c r="I823" s="154" t="s">
        <v>271</v>
      </c>
      <c r="J823" s="203">
        <v>3.2379999999999999E-2</v>
      </c>
      <c r="K823" s="154" t="s">
        <v>15</v>
      </c>
      <c r="L823" s="154" t="str">
        <f>IF(OpenLCAbasic!K823="CTUh", "Fill in Manually",IF(OR(K823="Unit", K823=""), "", INDEX(LookUps!$E$5:$E$12, MATCH(OpenLCAbasic!K823,LookUps!$D$5:$D$12,0))))</f>
        <v>Cumulative Energy Demand (CED) - MJ</v>
      </c>
      <c r="M823" s="154" t="str">
        <f t="shared" si="42"/>
        <v>Base_Medium_Low_Upgraded_Cumulative Energy Demand (CED) - MJ_Biosolids composting; windrow composting; wastewater treatment unit; at updated plant - US_Base_With Amendment_Windrow</v>
      </c>
    </row>
    <row r="824" spans="1:13" s="120" customFormat="1" x14ac:dyDescent="0.25">
      <c r="A824" s="119"/>
      <c r="B824" s="138" t="str">
        <f t="shared" si="40"/>
        <v>Windrow</v>
      </c>
      <c r="C824" s="138" t="str">
        <f t="shared" si="43"/>
        <v>Base_With Amendment</v>
      </c>
      <c r="D824" s="118" t="s">
        <v>135</v>
      </c>
      <c r="E824" s="118" t="s">
        <v>130</v>
      </c>
      <c r="F824" s="118" t="s">
        <v>46</v>
      </c>
      <c r="G824" s="153"/>
      <c r="H824" s="155">
        <v>-5.45E-2</v>
      </c>
      <c r="I824" s="154" t="s">
        <v>62</v>
      </c>
      <c r="J824" s="203">
        <v>-0.68347000000000002</v>
      </c>
      <c r="K824" s="154" t="s">
        <v>15</v>
      </c>
      <c r="L824" s="154" t="str">
        <f>IF(OpenLCAbasic!K824="CTUh", "Fill in Manually",IF(OR(K824="Unit", K824=""), "", INDEX(LookUps!$E$5:$E$12, MATCH(OpenLCAbasic!K824,LookUps!$D$5:$D$12,0))))</f>
        <v>Cumulative Energy Demand (CED) - MJ</v>
      </c>
      <c r="M824" s="154" t="str">
        <f t="shared" si="42"/>
        <v>Base_Medium_Low_Upgraded_Cumulative Energy Demand (CED) - MJ_Land application of compost; wastewater treatment unit; at updated plant - US_Base_With Amendment_Windrow</v>
      </c>
    </row>
    <row r="825" spans="1:13" s="120" customFormat="1" x14ac:dyDescent="0.25">
      <c r="A825" s="119"/>
      <c r="B825" s="138" t="str">
        <f t="shared" si="40"/>
        <v>Windrow</v>
      </c>
      <c r="C825" s="138" t="str">
        <f t="shared" si="43"/>
        <v>Base_With Amendment</v>
      </c>
      <c r="D825" s="118" t="s">
        <v>135</v>
      </c>
      <c r="E825" s="118" t="s">
        <v>130</v>
      </c>
      <c r="F825" s="118" t="s">
        <v>46</v>
      </c>
      <c r="G825" s="153" t="s">
        <v>51</v>
      </c>
      <c r="H825" s="154"/>
      <c r="I825" s="154" t="s">
        <v>47</v>
      </c>
      <c r="J825" s="154" t="s">
        <v>52</v>
      </c>
      <c r="K825" s="154" t="s">
        <v>27</v>
      </c>
      <c r="L825" s="154" t="str">
        <f>IF(OpenLCAbasic!K825="CTUh", "Fill in Manually",IF(OR(K825="Unit", K825=""), "", INDEX(LookUps!$E$5:$E$12, MATCH(OpenLCAbasic!K825,LookUps!$D$5:$D$12,0))))</f>
        <v/>
      </c>
      <c r="M825" s="154" t="str">
        <f t="shared" si="42"/>
        <v>Base_Medium_Low_Upgraded__Process_Base_With Amendment_Windrow</v>
      </c>
    </row>
    <row r="826" spans="1:13" s="120" customFormat="1" x14ac:dyDescent="0.25">
      <c r="A826" s="119"/>
      <c r="B826" s="138" t="str">
        <f t="shared" si="40"/>
        <v>Windrow</v>
      </c>
      <c r="C826" s="138" t="str">
        <f t="shared" si="43"/>
        <v>Base_With Amendment</v>
      </c>
      <c r="D826" s="118" t="s">
        <v>135</v>
      </c>
      <c r="E826" s="118" t="s">
        <v>130</v>
      </c>
      <c r="F826" s="118" t="s">
        <v>46</v>
      </c>
      <c r="G826" s="153"/>
      <c r="H826" s="155">
        <v>0.44619999999999999</v>
      </c>
      <c r="I826" s="154" t="s">
        <v>55</v>
      </c>
      <c r="J826" s="203">
        <v>2.33E-3</v>
      </c>
      <c r="K826" s="154" t="s">
        <v>145</v>
      </c>
      <c r="L826" s="154" t="str">
        <f>IF(OpenLCAbasic!K826="CTUh", "Fill in Manually",IF(OR(K826="Unit", K826=""), "", INDEX(LookUps!$E$5:$E$12, MATCH(OpenLCAbasic!K826,LookUps!$D$5:$D$12,0))))</f>
        <v>Particulate Matter Formation Potential (PMFP) - kg PM2.5 eq</v>
      </c>
      <c r="M826" s="154" t="str">
        <f t="shared" si="42"/>
        <v>Base_Medium_Low_Upgraded_Particulate Matter Formation Potential (PMFP) - kg PM2.5 eq_Aeration Tanks; wastewater treatment unit; at updated plant - US_Base_With Amendment_Windrow</v>
      </c>
    </row>
    <row r="827" spans="1:13" s="120" customFormat="1" x14ac:dyDescent="0.25">
      <c r="A827" s="119"/>
      <c r="B827" s="138" t="str">
        <f t="shared" si="40"/>
        <v>Windrow</v>
      </c>
      <c r="C827" s="138" t="str">
        <f t="shared" si="43"/>
        <v>Base_With Amendment</v>
      </c>
      <c r="D827" s="118" t="s">
        <v>135</v>
      </c>
      <c r="E827" s="118" t="s">
        <v>130</v>
      </c>
      <c r="F827" s="118" t="s">
        <v>46</v>
      </c>
      <c r="G827" s="153"/>
      <c r="H827" s="155">
        <v>0.12989999999999999</v>
      </c>
      <c r="I827" s="154" t="s">
        <v>54</v>
      </c>
      <c r="J827" s="204">
        <v>6.8000000000000005E-4</v>
      </c>
      <c r="K827" s="154" t="s">
        <v>145</v>
      </c>
      <c r="L827" s="154" t="str">
        <f>IF(OpenLCAbasic!K827="CTUh", "Fill in Manually",IF(OR(K827="Unit", K827=""), "", INDEX(LookUps!$E$5:$E$12, MATCH(OpenLCAbasic!K827,LookUps!$D$5:$D$12,0))))</f>
        <v>Particulate Matter Formation Potential (PMFP) - kg PM2.5 eq</v>
      </c>
      <c r="M827" s="154" t="str">
        <f t="shared" si="42"/>
        <v>Base_Medium_Low_Upgraded_Particulate Matter Formation Potential (PMFP) - kg PM2.5 eq_Clear Cove Primary Clarification; wastewater treatment unit; at updated plant - US_Base_With Amendment_Windrow</v>
      </c>
    </row>
    <row r="828" spans="1:13" s="120" customFormat="1" x14ac:dyDescent="0.25">
      <c r="A828" s="119"/>
      <c r="B828" s="138" t="str">
        <f t="shared" si="40"/>
        <v>Windrow</v>
      </c>
      <c r="C828" s="138" t="str">
        <f t="shared" si="43"/>
        <v>Base_With Amendment</v>
      </c>
      <c r="D828" s="118" t="s">
        <v>135</v>
      </c>
      <c r="E828" s="118" t="s">
        <v>130</v>
      </c>
      <c r="F828" s="118" t="s">
        <v>46</v>
      </c>
      <c r="G828" s="153"/>
      <c r="H828" s="155">
        <v>0.11260000000000001</v>
      </c>
      <c r="I828" s="154" t="s">
        <v>58</v>
      </c>
      <c r="J828" s="204">
        <v>5.9000000000000003E-4</v>
      </c>
      <c r="K828" s="154" t="s">
        <v>145</v>
      </c>
      <c r="L828" s="154" t="str">
        <f>IF(OpenLCAbasic!K828="CTUh", "Fill in Manually",IF(OR(K828="Unit", K828=""), "", INDEX(LookUps!$E$5:$E$12, MATCH(OpenLCAbasic!K828,LookUps!$D$5:$D$12,0))))</f>
        <v>Particulate Matter Formation Potential (PMFP) - kg PM2.5 eq</v>
      </c>
      <c r="M828" s="154" t="str">
        <f t="shared" si="42"/>
        <v>Base_Medium_Low_Upgraded_Particulate Matter Formation Potential (PMFP) - kg PM2.5 eq_Pre-Anoxic &amp; Swing tank; wastewater treatment unit; at updated plant - US_Base_With Amendment_Windrow</v>
      </c>
    </row>
    <row r="829" spans="1:13" s="120" customFormat="1" x14ac:dyDescent="0.25">
      <c r="A829" s="119"/>
      <c r="B829" s="138" t="str">
        <f t="shared" si="40"/>
        <v>Windrow</v>
      </c>
      <c r="C829" s="138" t="str">
        <f t="shared" si="43"/>
        <v>Base_With Amendment</v>
      </c>
      <c r="D829" s="118" t="s">
        <v>135</v>
      </c>
      <c r="E829" s="118" t="s">
        <v>130</v>
      </c>
      <c r="F829" s="118" t="s">
        <v>46</v>
      </c>
      <c r="G829" s="153"/>
      <c r="H829" s="155">
        <v>8.9200000000000002E-2</v>
      </c>
      <c r="I829" s="154" t="s">
        <v>53</v>
      </c>
      <c r="J829" s="204">
        <v>4.6999999999999999E-4</v>
      </c>
      <c r="K829" s="154" t="s">
        <v>145</v>
      </c>
      <c r="L829" s="154" t="str">
        <f>IF(OpenLCAbasic!K829="CTUh", "Fill in Manually",IF(OR(K829="Unit", K829=""), "", INDEX(LookUps!$E$5:$E$12, MATCH(OpenLCAbasic!K829,LookUps!$D$5:$D$12,0))))</f>
        <v>Particulate Matter Formation Potential (PMFP) - kg PM2.5 eq</v>
      </c>
      <c r="M829" s="154" t="str">
        <f t="shared" si="42"/>
        <v>Base_Medium_Low_Upgraded_Particulate Matter Formation Potential (PMFP) - kg PM2.5 eq_Wet Well and Sump Station; wastewater treatment unit; at updated plant - US_Base_With Amendment_Windrow</v>
      </c>
    </row>
    <row r="830" spans="1:13" s="120" customFormat="1" x14ac:dyDescent="0.25">
      <c r="A830" s="119"/>
      <c r="B830" s="138" t="str">
        <f t="shared" si="40"/>
        <v>Windrow</v>
      </c>
      <c r="C830" s="138" t="str">
        <f t="shared" si="43"/>
        <v>Base_With Amendment</v>
      </c>
      <c r="D830" s="118" t="s">
        <v>135</v>
      </c>
      <c r="E830" s="118" t="s">
        <v>130</v>
      </c>
      <c r="F830" s="118" t="s">
        <v>46</v>
      </c>
      <c r="G830" s="153"/>
      <c r="H830" s="155">
        <v>6.0199999999999997E-2</v>
      </c>
      <c r="I830" s="154" t="s">
        <v>167</v>
      </c>
      <c r="J830" s="204">
        <v>3.1E-4</v>
      </c>
      <c r="K830" s="154" t="s">
        <v>145</v>
      </c>
      <c r="L830" s="154" t="str">
        <f>IF(OpenLCAbasic!K830="CTUh", "Fill in Manually",IF(OR(K830="Unit", K830=""), "", INDEX(LookUps!$E$5:$E$12, MATCH(OpenLCAbasic!K830,LookUps!$D$5:$D$12,0))))</f>
        <v>Particulate Matter Formation Potential (PMFP) - kg PM2.5 eq</v>
      </c>
      <c r="M830" s="154" t="str">
        <f t="shared" si="42"/>
        <v>Base_Medium_Low_Upgraded_Particulate Matter Formation Potential (PMFP) - kg PM2.5 eq_Waste Receiving and Holding; wastewater treatment unit; at updated plant - US_Base_With Amendment_Windrow</v>
      </c>
    </row>
    <row r="831" spans="1:13" s="120" customFormat="1" x14ac:dyDescent="0.25">
      <c r="A831" s="119"/>
      <c r="B831" s="138" t="str">
        <f t="shared" si="40"/>
        <v>Windrow</v>
      </c>
      <c r="C831" s="138" t="str">
        <f t="shared" si="43"/>
        <v>Base_With Amendment</v>
      </c>
      <c r="D831" s="118" t="s">
        <v>135</v>
      </c>
      <c r="E831" s="118" t="s">
        <v>130</v>
      </c>
      <c r="F831" s="118" t="s">
        <v>46</v>
      </c>
      <c r="G831" s="153"/>
      <c r="H831" s="155">
        <v>5.8799999999999998E-2</v>
      </c>
      <c r="I831" s="154" t="s">
        <v>271</v>
      </c>
      <c r="J831" s="204">
        <v>3.1E-4</v>
      </c>
      <c r="K831" s="154" t="s">
        <v>145</v>
      </c>
      <c r="L831" s="154" t="str">
        <f>IF(OpenLCAbasic!K831="CTUh", "Fill in Manually",IF(OR(K831="Unit", K831=""), "", INDEX(LookUps!$E$5:$E$12, MATCH(OpenLCAbasic!K831,LookUps!$D$5:$D$12,0))))</f>
        <v>Particulate Matter Formation Potential (PMFP) - kg PM2.5 eq</v>
      </c>
      <c r="M831" s="154" t="str">
        <f t="shared" si="42"/>
        <v>Base_Medium_Low_Upgraded_Particulate Matter Formation Potential (PMFP) - kg PM2.5 eq_Biosolids composting; windrow composting; wastewater treatment unit; at updated plant - US_Base_With Amendment_Windrow</v>
      </c>
    </row>
    <row r="832" spans="1:13" s="120" customFormat="1" x14ac:dyDescent="0.25">
      <c r="A832" s="119"/>
      <c r="B832" s="138" t="str">
        <f t="shared" si="40"/>
        <v>Windrow</v>
      </c>
      <c r="C832" s="138" t="str">
        <f t="shared" si="43"/>
        <v>Base_With Amendment</v>
      </c>
      <c r="D832" s="118" t="s">
        <v>135</v>
      </c>
      <c r="E832" s="118" t="s">
        <v>130</v>
      </c>
      <c r="F832" s="118" t="s">
        <v>46</v>
      </c>
      <c r="G832" s="153"/>
      <c r="H832" s="155">
        <v>5.0999999999999997E-2</v>
      </c>
      <c r="I832" s="154" t="s">
        <v>147</v>
      </c>
      <c r="J832" s="204">
        <v>2.7E-4</v>
      </c>
      <c r="K832" s="154" t="s">
        <v>145</v>
      </c>
      <c r="L832" s="154" t="str">
        <f>IF(OpenLCAbasic!K832="CTUh", "Fill in Manually",IF(OR(K832="Unit", K832=""), "", INDEX(LookUps!$E$5:$E$12, MATCH(OpenLCAbasic!K832,LookUps!$D$5:$D$12,0))))</f>
        <v>Particulate Matter Formation Potential (PMFP) - kg PM2.5 eq</v>
      </c>
      <c r="M832" s="154" t="str">
        <f t="shared" si="42"/>
        <v>Base_Medium_Low_Upgraded_Particulate Matter Formation Potential (PMFP) - kg PM2.5 eq_Influent Pump Station; wastewater treatment unit; at updated plant - US_Base_With Amendment_Windrow</v>
      </c>
    </row>
    <row r="833" spans="1:13" s="120" customFormat="1" x14ac:dyDescent="0.25">
      <c r="A833" s="119"/>
      <c r="B833" s="138" t="str">
        <f t="shared" si="40"/>
        <v>Windrow</v>
      </c>
      <c r="C833" s="138" t="str">
        <f t="shared" si="43"/>
        <v>Base_With Amendment</v>
      </c>
      <c r="D833" s="118" t="s">
        <v>135</v>
      </c>
      <c r="E833" s="118" t="s">
        <v>130</v>
      </c>
      <c r="F833" s="118" t="s">
        <v>46</v>
      </c>
      <c r="G833" s="153"/>
      <c r="H833" s="155">
        <v>3.1800000000000002E-2</v>
      </c>
      <c r="I833" s="154" t="s">
        <v>128</v>
      </c>
      <c r="J833" s="204">
        <v>1.7000000000000001E-4</v>
      </c>
      <c r="K833" s="154" t="s">
        <v>145</v>
      </c>
      <c r="L833" s="154" t="str">
        <f>IF(OpenLCAbasic!K833="CTUh", "Fill in Manually",IF(OR(K833="Unit", K833=""), "", INDEX(LookUps!$E$5:$E$12, MATCH(OpenLCAbasic!K833,LookUps!$D$5:$D$12,0))))</f>
        <v>Particulate Matter Formation Potential (PMFP) - kg PM2.5 eq</v>
      </c>
      <c r="M833" s="154" t="str">
        <f t="shared" si="42"/>
        <v>Base_Medium_Low_Upgraded_Particulate Matter Formation Potential (PMFP) - kg PM2.5 eq_Wastewater collection; operation and infrastructure; m3 wastewater_Base_With Amendment_Windrow</v>
      </c>
    </row>
    <row r="834" spans="1:13" s="120" customFormat="1" x14ac:dyDescent="0.25">
      <c r="A834" s="119"/>
      <c r="B834" s="138" t="str">
        <f t="shared" si="40"/>
        <v>Windrow</v>
      </c>
      <c r="C834" s="138" t="str">
        <f t="shared" si="43"/>
        <v>Base_With Amendment</v>
      </c>
      <c r="D834" s="118" t="s">
        <v>135</v>
      </c>
      <c r="E834" s="118" t="s">
        <v>130</v>
      </c>
      <c r="F834" s="118" t="s">
        <v>46</v>
      </c>
      <c r="G834" s="153"/>
      <c r="H834" s="155">
        <v>3.1099999999999999E-2</v>
      </c>
      <c r="I834" s="154" t="s">
        <v>60</v>
      </c>
      <c r="J834" s="204">
        <v>1.6000000000000001E-4</v>
      </c>
      <c r="K834" s="154" t="s">
        <v>145</v>
      </c>
      <c r="L834" s="154" t="str">
        <f>IF(OpenLCAbasic!K834="CTUh", "Fill in Manually",IF(OR(K834="Unit", K834=""), "", INDEX(LookUps!$E$5:$E$12, MATCH(OpenLCAbasic!K834,LookUps!$D$5:$D$12,0))))</f>
        <v>Particulate Matter Formation Potential (PMFP) - kg PM2.5 eq</v>
      </c>
      <c r="M834" s="154" t="str">
        <f t="shared" si="42"/>
        <v>Base_Medium_Low_Upgraded_Particulate Matter Formation Potential (PMFP) - kg PM2.5 eq_Belt filter press; wastewater treatment unit; at updated plant - US_Base_With Amendment_Windrow</v>
      </c>
    </row>
    <row r="835" spans="1:13" s="120" customFormat="1" x14ac:dyDescent="0.25">
      <c r="A835" s="119"/>
      <c r="B835" s="138" t="str">
        <f t="shared" si="40"/>
        <v>Windrow</v>
      </c>
      <c r="C835" s="138" t="str">
        <f t="shared" si="43"/>
        <v>Base_With Amendment</v>
      </c>
      <c r="D835" s="118" t="s">
        <v>135</v>
      </c>
      <c r="E835" s="118" t="s">
        <v>130</v>
      </c>
      <c r="F835" s="118" t="s">
        <v>46</v>
      </c>
      <c r="G835" s="153"/>
      <c r="H835" s="155">
        <v>1.8200000000000001E-2</v>
      </c>
      <c r="I835" s="154" t="s">
        <v>57</v>
      </c>
      <c r="J835" s="204">
        <v>9.5153800000000004E-5</v>
      </c>
      <c r="K835" s="154" t="s">
        <v>145</v>
      </c>
      <c r="L835" s="154" t="str">
        <f>IF(OpenLCAbasic!K835="CTUh", "Fill in Manually",IF(OR(K835="Unit", K835=""), "", INDEX(LookUps!$E$5:$E$12, MATCH(OpenLCAbasic!K835,LookUps!$D$5:$D$12,0))))</f>
        <v>Particulate Matter Formation Potential (PMFP) - kg PM2.5 eq</v>
      </c>
      <c r="M835" s="154" t="str">
        <f t="shared" si="42"/>
        <v>Base_Medium_Low_Upgraded_Particulate Matter Formation Potential (PMFP) - kg PM2.5 eq_Gravity Belt Thickener; wastewater treatment unit; at updated plant - US_Base_With Amendment_Windrow</v>
      </c>
    </row>
    <row r="836" spans="1:13" s="120" customFormat="1" x14ac:dyDescent="0.25">
      <c r="A836" s="119"/>
      <c r="B836" s="138" t="str">
        <f t="shared" si="40"/>
        <v>Windrow</v>
      </c>
      <c r="C836" s="138" t="str">
        <f t="shared" si="43"/>
        <v>Base_With Amendment</v>
      </c>
      <c r="D836" s="118" t="s">
        <v>135</v>
      </c>
      <c r="E836" s="118" t="s">
        <v>130</v>
      </c>
      <c r="F836" s="118" t="s">
        <v>46</v>
      </c>
      <c r="G836" s="153"/>
      <c r="H836" s="155">
        <v>1.34E-2</v>
      </c>
      <c r="I836" s="154" t="s">
        <v>59</v>
      </c>
      <c r="J836" s="204">
        <v>6.9942200000000003E-5</v>
      </c>
      <c r="K836" s="154" t="s">
        <v>145</v>
      </c>
      <c r="L836" s="154" t="str">
        <f>IF(OpenLCAbasic!K836="CTUh", "Fill in Manually",IF(OR(K836="Unit", K836=""), "", INDEX(LookUps!$E$5:$E$12, MATCH(OpenLCAbasic!K836,LookUps!$D$5:$D$12,0))))</f>
        <v>Particulate Matter Formation Potential (PMFP) - kg PM2.5 eq</v>
      </c>
      <c r="M836" s="154" t="str">
        <f t="shared" si="42"/>
        <v>Base_Medium_Low_Upgraded_Particulate Matter Formation Potential (PMFP) - kg PM2.5 eq_Blend Tank; wastewater treatment unit; at updated plant - US_Base_With Amendment_Windrow</v>
      </c>
    </row>
    <row r="837" spans="1:13" s="120" customFormat="1" x14ac:dyDescent="0.25">
      <c r="A837" s="119"/>
      <c r="B837" s="138" t="str">
        <f t="shared" si="40"/>
        <v>Windrow</v>
      </c>
      <c r="C837" s="138" t="str">
        <f t="shared" si="43"/>
        <v>Base_With Amendment</v>
      </c>
      <c r="D837" s="118" t="s">
        <v>135</v>
      </c>
      <c r="E837" s="118" t="s">
        <v>130</v>
      </c>
      <c r="F837" s="118" t="s">
        <v>46</v>
      </c>
      <c r="G837" s="153"/>
      <c r="H837" s="155">
        <v>1.2800000000000001E-2</v>
      </c>
      <c r="I837" s="154" t="s">
        <v>62</v>
      </c>
      <c r="J837" s="204">
        <v>6.6727600000000001E-5</v>
      </c>
      <c r="K837" s="154" t="s">
        <v>145</v>
      </c>
      <c r="L837" s="154" t="str">
        <f>IF(OpenLCAbasic!K837="CTUh", "Fill in Manually",IF(OR(K837="Unit", K837=""), "", INDEX(LookUps!$E$5:$E$12, MATCH(OpenLCAbasic!K837,LookUps!$D$5:$D$12,0))))</f>
        <v>Particulate Matter Formation Potential (PMFP) - kg PM2.5 eq</v>
      </c>
      <c r="M837" s="154" t="str">
        <f t="shared" si="42"/>
        <v>Base_Medium_Low_Upgraded_Particulate Matter Formation Potential (PMFP) - kg PM2.5 eq_Land application of compost; wastewater treatment unit; at updated plant - US_Base_With Amendment_Windrow</v>
      </c>
    </row>
    <row r="838" spans="1:13" s="120" customFormat="1" x14ac:dyDescent="0.25">
      <c r="A838" s="119"/>
      <c r="B838" s="138" t="str">
        <f t="shared" si="40"/>
        <v>Windrow</v>
      </c>
      <c r="C838" s="138" t="str">
        <f t="shared" si="43"/>
        <v>Base_With Amendment</v>
      </c>
      <c r="D838" s="118" t="s">
        <v>135</v>
      </c>
      <c r="E838" s="118" t="s">
        <v>130</v>
      </c>
      <c r="F838" s="118" t="s">
        <v>46</v>
      </c>
      <c r="G838" s="153"/>
      <c r="H838" s="155">
        <v>9.5999999999999992E-3</v>
      </c>
      <c r="I838" s="154" t="s">
        <v>48</v>
      </c>
      <c r="J838" s="204">
        <v>4.99741E-5</v>
      </c>
      <c r="K838" s="154" t="s">
        <v>145</v>
      </c>
      <c r="L838" s="154" t="str">
        <f>IF(OpenLCAbasic!K838="CTUh", "Fill in Manually",IF(OR(K838="Unit", K838=""), "", INDEX(LookUps!$E$5:$E$12, MATCH(OpenLCAbasic!K838,LookUps!$D$5:$D$12,0))))</f>
        <v>Particulate Matter Formation Potential (PMFP) - kg PM2.5 eq</v>
      </c>
      <c r="M838" s="154" t="str">
        <f t="shared" si="42"/>
        <v>Base_Medium_Low_Upgraded_Particulate Matter Formation Potential (PMFP) - kg PM2.5 eq_Effluent release; wastewater treatment unit; at surface water; m3 wastewater - US_Base_With Amendment_Windrow</v>
      </c>
    </row>
    <row r="839" spans="1:13" s="120" customFormat="1" x14ac:dyDescent="0.25">
      <c r="A839" s="119"/>
      <c r="B839" s="138" t="str">
        <f t="shared" ref="B839:B902" si="44">IF(F839="Legacy","n.a.",IF(F839="","","Windrow"))</f>
        <v>Windrow</v>
      </c>
      <c r="C839" s="138" t="str">
        <f t="shared" ref="C839:C870" si="45">IF(E839&lt;&gt;"", "Base_With Amendment","")</f>
        <v>Base_With Amendment</v>
      </c>
      <c r="D839" s="118" t="s">
        <v>135</v>
      </c>
      <c r="E839" s="118" t="s">
        <v>130</v>
      </c>
      <c r="F839" s="118" t="s">
        <v>46</v>
      </c>
      <c r="G839" s="153"/>
      <c r="H839" s="155">
        <v>6.6E-3</v>
      </c>
      <c r="I839" s="154" t="s">
        <v>168</v>
      </c>
      <c r="J839" s="204">
        <v>3.4562199999999999E-5</v>
      </c>
      <c r="K839" s="154" t="s">
        <v>145</v>
      </c>
      <c r="L839" s="154" t="str">
        <f>IF(OpenLCAbasic!K839="CTUh", "Fill in Manually",IF(OR(K839="Unit", K839=""), "", INDEX(LookUps!$E$5:$E$12, MATCH(OpenLCAbasic!K839,LookUps!$D$5:$D$12,0))))</f>
        <v>Particulate Matter Formation Potential (PMFP) - kg PM2.5 eq</v>
      </c>
      <c r="M839" s="154" t="str">
        <f t="shared" si="42"/>
        <v>Base_Medium_Low_Upgraded_Particulate Matter Formation Potential (PMFP) - kg PM2.5 eq_ClearCove SCP; wastewater treatment unit; at updated plant - US_Base_With Amendment_Windrow</v>
      </c>
    </row>
    <row r="840" spans="1:13" s="120" customFormat="1" x14ac:dyDescent="0.25">
      <c r="A840" s="119"/>
      <c r="B840" s="138" t="str">
        <f t="shared" si="44"/>
        <v>Windrow</v>
      </c>
      <c r="C840" s="138" t="str">
        <f t="shared" si="45"/>
        <v>Base_With Amendment</v>
      </c>
      <c r="D840" s="118" t="s">
        <v>135</v>
      </c>
      <c r="E840" s="118" t="s">
        <v>130</v>
      </c>
      <c r="F840" s="118" t="s">
        <v>46</v>
      </c>
      <c r="G840" s="153"/>
      <c r="H840" s="155">
        <v>1.6999999999999999E-3</v>
      </c>
      <c r="I840" s="154" t="s">
        <v>148</v>
      </c>
      <c r="J840" s="204">
        <v>8.8212999999999997E-6</v>
      </c>
      <c r="K840" s="154" t="s">
        <v>145</v>
      </c>
      <c r="L840" s="154" t="str">
        <f>IF(OpenLCAbasic!K840="CTUh", "Fill in Manually",IF(OR(K840="Unit", K840=""), "", INDEX(LookUps!$E$5:$E$12, MATCH(OpenLCAbasic!K840,LookUps!$D$5:$D$12,0))))</f>
        <v>Particulate Matter Formation Potential (PMFP) - kg PM2.5 eq</v>
      </c>
      <c r="M840" s="154" t="str">
        <f t="shared" ref="M840:M903" si="46">CONCATENATE(E840,"_",D840,"_",F840,"_",L840, "_",I840,"_", C840,"_", B840)</f>
        <v>Base_Medium_Low_Upgraded_Particulate Matter Formation Potential (PMFP) - kg PM2.5 eq_Control Building; at upgraded wastewater treatment plant - US_Base_With Amendment_Windrow</v>
      </c>
    </row>
    <row r="841" spans="1:13" s="120" customFormat="1" x14ac:dyDescent="0.25">
      <c r="A841" s="119"/>
      <c r="B841" s="138" t="str">
        <f t="shared" si="44"/>
        <v>Windrow</v>
      </c>
      <c r="C841" s="138" t="str">
        <f t="shared" si="45"/>
        <v>Base_With Amendment</v>
      </c>
      <c r="D841" s="118" t="s">
        <v>135</v>
      </c>
      <c r="E841" s="118" t="s">
        <v>130</v>
      </c>
      <c r="F841" s="118" t="s">
        <v>46</v>
      </c>
      <c r="G841" s="153"/>
      <c r="H841" s="155">
        <v>-7.2999999999999995E-2</v>
      </c>
      <c r="I841" s="154" t="s">
        <v>149</v>
      </c>
      <c r="J841" s="204">
        <v>-3.8000000000000002E-4</v>
      </c>
      <c r="K841" s="154" t="s">
        <v>145</v>
      </c>
      <c r="L841" s="154" t="str">
        <f>IF(OpenLCAbasic!K841="CTUh", "Fill in Manually",IF(OR(K841="Unit", K841=""), "", INDEX(LookUps!$E$5:$E$12, MATCH(OpenLCAbasic!K841,LookUps!$D$5:$D$12,0))))</f>
        <v>Particulate Matter Formation Potential (PMFP) - kg PM2.5 eq</v>
      </c>
      <c r="M841" s="154" t="str">
        <f t="shared" si="46"/>
        <v>Base_Medium_Low_Upgraded_Particulate Matter Formation Potential (PMFP) - kg PM2.5 eq_Anaerobic Digestion; wastewater treatment unit; at updated plant - US_Base_With Amendment_Windrow</v>
      </c>
    </row>
    <row r="842" spans="1:13" s="120" customFormat="1" x14ac:dyDescent="0.25">
      <c r="A842" s="119"/>
      <c r="B842" s="138" t="str">
        <f t="shared" si="44"/>
        <v>Windrow</v>
      </c>
      <c r="C842" s="138" t="str">
        <f t="shared" si="45"/>
        <v>Base_With Amendment</v>
      </c>
      <c r="D842" s="118" t="s">
        <v>135</v>
      </c>
      <c r="E842" s="118" t="s">
        <v>130</v>
      </c>
      <c r="F842" s="118" t="s">
        <v>46</v>
      </c>
      <c r="G842" s="153" t="s">
        <v>51</v>
      </c>
      <c r="H842" s="154"/>
      <c r="I842" s="154" t="s">
        <v>47</v>
      </c>
      <c r="J842" s="154" t="s">
        <v>52</v>
      </c>
      <c r="K842" s="154" t="s">
        <v>27</v>
      </c>
      <c r="L842" s="154" t="str">
        <f>IF(OpenLCAbasic!K842="CTUh", "Fill in Manually",IF(OR(K842="Unit", K842=""), "", INDEX(LookUps!$E$5:$E$12, MATCH(OpenLCAbasic!K842,LookUps!$D$5:$D$12,0))))</f>
        <v/>
      </c>
      <c r="M842" s="154" t="str">
        <f t="shared" si="46"/>
        <v>Base_Medium_Low_Upgraded__Process_Base_With Amendment_Windrow</v>
      </c>
    </row>
    <row r="843" spans="1:13" s="120" customFormat="1" x14ac:dyDescent="0.25">
      <c r="A843" s="119"/>
      <c r="B843" s="138" t="str">
        <f t="shared" si="44"/>
        <v>Windrow</v>
      </c>
      <c r="C843" s="138" t="str">
        <f t="shared" si="45"/>
        <v>Base_With Amendment</v>
      </c>
      <c r="D843" s="118" t="s">
        <v>135</v>
      </c>
      <c r="E843" s="118" t="s">
        <v>130</v>
      </c>
      <c r="F843" s="118" t="s">
        <v>46</v>
      </c>
      <c r="G843" s="153"/>
      <c r="H843" s="155">
        <v>0.35289999999999999</v>
      </c>
      <c r="I843" s="154" t="s">
        <v>55</v>
      </c>
      <c r="J843" s="204">
        <v>1.7219999999999999E-2</v>
      </c>
      <c r="K843" s="154" t="s">
        <v>24</v>
      </c>
      <c r="L843" s="154" t="str">
        <f>IF(OpenLCAbasic!K843="CTUh", "Fill in Manually",IF(OR(K843="Unit", K843=""), "", INDEX(LookUps!$E$5:$E$12, MATCH(OpenLCAbasic!K843,LookUps!$D$5:$D$12,0))))</f>
        <v>Acidification Potential (AP) - kg SO2 eq</v>
      </c>
      <c r="M843" s="154" t="str">
        <f t="shared" si="46"/>
        <v>Base_Medium_Low_Upgraded_Acidification Potential (AP) - kg SO2 eq_Aeration Tanks; wastewater treatment unit; at updated plant - US_Base_With Amendment_Windrow</v>
      </c>
    </row>
    <row r="844" spans="1:13" s="120" customFormat="1" x14ac:dyDescent="0.25">
      <c r="A844" s="119"/>
      <c r="B844" s="138" t="str">
        <f t="shared" si="44"/>
        <v>Windrow</v>
      </c>
      <c r="C844" s="138" t="str">
        <f t="shared" si="45"/>
        <v>Base_With Amendment</v>
      </c>
      <c r="D844" s="118" t="s">
        <v>135</v>
      </c>
      <c r="E844" s="118" t="s">
        <v>130</v>
      </c>
      <c r="F844" s="118" t="s">
        <v>46</v>
      </c>
      <c r="G844" s="153"/>
      <c r="H844" s="155">
        <v>0.17549999999999999</v>
      </c>
      <c r="I844" s="154" t="s">
        <v>271</v>
      </c>
      <c r="J844" s="204">
        <v>8.5699999999999995E-3</v>
      </c>
      <c r="K844" s="154" t="s">
        <v>24</v>
      </c>
      <c r="L844" s="154" t="str">
        <f>IF(OpenLCAbasic!K844="CTUh", "Fill in Manually",IF(OR(K844="Unit", K844=""), "", INDEX(LookUps!$E$5:$E$12, MATCH(OpenLCAbasic!K844,LookUps!$D$5:$D$12,0))))</f>
        <v>Acidification Potential (AP) - kg SO2 eq</v>
      </c>
      <c r="M844" s="154" t="str">
        <f t="shared" si="46"/>
        <v>Base_Medium_Low_Upgraded_Acidification Potential (AP) - kg SO2 eq_Biosolids composting; windrow composting; wastewater treatment unit; at updated plant - US_Base_With Amendment_Windrow</v>
      </c>
    </row>
    <row r="845" spans="1:13" s="120" customFormat="1" x14ac:dyDescent="0.25">
      <c r="A845" s="119"/>
      <c r="B845" s="138" t="str">
        <f t="shared" si="44"/>
        <v>Windrow</v>
      </c>
      <c r="C845" s="138" t="str">
        <f t="shared" si="45"/>
        <v>Base_With Amendment</v>
      </c>
      <c r="D845" s="118" t="s">
        <v>135</v>
      </c>
      <c r="E845" s="118" t="s">
        <v>130</v>
      </c>
      <c r="F845" s="118" t="s">
        <v>46</v>
      </c>
      <c r="G845" s="153"/>
      <c r="H845" s="155">
        <v>0.1021</v>
      </c>
      <c r="I845" s="154" t="s">
        <v>54</v>
      </c>
      <c r="J845" s="204">
        <v>4.9800000000000001E-3</v>
      </c>
      <c r="K845" s="154" t="s">
        <v>24</v>
      </c>
      <c r="L845" s="154" t="str">
        <f>IF(OpenLCAbasic!K845="CTUh", "Fill in Manually",IF(OR(K845="Unit", K845=""), "", INDEX(LookUps!$E$5:$E$12, MATCH(OpenLCAbasic!K845,LookUps!$D$5:$D$12,0))))</f>
        <v>Acidification Potential (AP) - kg SO2 eq</v>
      </c>
      <c r="M845" s="154" t="str">
        <f t="shared" si="46"/>
        <v>Base_Medium_Low_Upgraded_Acidification Potential (AP) - kg SO2 eq_Clear Cove Primary Clarification; wastewater treatment unit; at updated plant - US_Base_With Amendment_Windrow</v>
      </c>
    </row>
    <row r="846" spans="1:13" s="120" customFormat="1" x14ac:dyDescent="0.25">
      <c r="A846" s="119"/>
      <c r="B846" s="138" t="str">
        <f t="shared" si="44"/>
        <v>Windrow</v>
      </c>
      <c r="C846" s="138" t="str">
        <f t="shared" si="45"/>
        <v>Base_With Amendment</v>
      </c>
      <c r="D846" s="118" t="s">
        <v>135</v>
      </c>
      <c r="E846" s="118" t="s">
        <v>130</v>
      </c>
      <c r="F846" s="118" t="s">
        <v>46</v>
      </c>
      <c r="G846" s="153"/>
      <c r="H846" s="155">
        <v>8.9099999999999999E-2</v>
      </c>
      <c r="I846" s="154" t="s">
        <v>58</v>
      </c>
      <c r="J846" s="204">
        <v>4.3499999999999997E-3</v>
      </c>
      <c r="K846" s="154" t="s">
        <v>24</v>
      </c>
      <c r="L846" s="154" t="str">
        <f>IF(OpenLCAbasic!K846="CTUh", "Fill in Manually",IF(OR(K846="Unit", K846=""), "", INDEX(LookUps!$E$5:$E$12, MATCH(OpenLCAbasic!K846,LookUps!$D$5:$D$12,0))))</f>
        <v>Acidification Potential (AP) - kg SO2 eq</v>
      </c>
      <c r="M846" s="154" t="str">
        <f t="shared" si="46"/>
        <v>Base_Medium_Low_Upgraded_Acidification Potential (AP) - kg SO2 eq_Pre-Anoxic &amp; Swing tank; wastewater treatment unit; at updated plant - US_Base_With Amendment_Windrow</v>
      </c>
    </row>
    <row r="847" spans="1:13" s="120" customFormat="1" x14ac:dyDescent="0.25">
      <c r="A847" s="119"/>
      <c r="B847" s="138" t="str">
        <f t="shared" si="44"/>
        <v>Windrow</v>
      </c>
      <c r="C847" s="138" t="str">
        <f t="shared" si="45"/>
        <v>Base_With Amendment</v>
      </c>
      <c r="D847" s="118" t="s">
        <v>135</v>
      </c>
      <c r="E847" s="118" t="s">
        <v>130</v>
      </c>
      <c r="F847" s="118" t="s">
        <v>46</v>
      </c>
      <c r="G847" s="153"/>
      <c r="H847" s="155">
        <v>8.43E-2</v>
      </c>
      <c r="I847" s="154" t="s">
        <v>62</v>
      </c>
      <c r="J847" s="204">
        <v>4.1099999999999999E-3</v>
      </c>
      <c r="K847" s="154" t="s">
        <v>24</v>
      </c>
      <c r="L847" s="154" t="str">
        <f>IF(OpenLCAbasic!K847="CTUh", "Fill in Manually",IF(OR(K847="Unit", K847=""), "", INDEX(LookUps!$E$5:$E$12, MATCH(OpenLCAbasic!K847,LookUps!$D$5:$D$12,0))))</f>
        <v>Acidification Potential (AP) - kg SO2 eq</v>
      </c>
      <c r="M847" s="154" t="str">
        <f t="shared" si="46"/>
        <v>Base_Medium_Low_Upgraded_Acidification Potential (AP) - kg SO2 eq_Land application of compost; wastewater treatment unit; at updated plant - US_Base_With Amendment_Windrow</v>
      </c>
    </row>
    <row r="848" spans="1:13" s="120" customFormat="1" x14ac:dyDescent="0.25">
      <c r="A848" s="119"/>
      <c r="B848" s="138" t="str">
        <f t="shared" si="44"/>
        <v>Windrow</v>
      </c>
      <c r="C848" s="138" t="str">
        <f t="shared" si="45"/>
        <v>Base_With Amendment</v>
      </c>
      <c r="D848" s="118" t="s">
        <v>135</v>
      </c>
      <c r="E848" s="118" t="s">
        <v>130</v>
      </c>
      <c r="F848" s="118" t="s">
        <v>46</v>
      </c>
      <c r="G848" s="153"/>
      <c r="H848" s="155">
        <v>7.0699999999999999E-2</v>
      </c>
      <c r="I848" s="154" t="s">
        <v>53</v>
      </c>
      <c r="J848" s="204">
        <v>3.4499999999999999E-3</v>
      </c>
      <c r="K848" s="154" t="s">
        <v>24</v>
      </c>
      <c r="L848" s="154" t="str">
        <f>IF(OpenLCAbasic!K848="CTUh", "Fill in Manually",IF(OR(K848="Unit", K848=""), "", INDEX(LookUps!$E$5:$E$12, MATCH(OpenLCAbasic!K848,LookUps!$D$5:$D$12,0))))</f>
        <v>Acidification Potential (AP) - kg SO2 eq</v>
      </c>
      <c r="M848" s="154" t="str">
        <f t="shared" si="46"/>
        <v>Base_Medium_Low_Upgraded_Acidification Potential (AP) - kg SO2 eq_Wet Well and Sump Station; wastewater treatment unit; at updated plant - US_Base_With Amendment_Windrow</v>
      </c>
    </row>
    <row r="849" spans="1:13" s="120" customFormat="1" x14ac:dyDescent="0.25">
      <c r="A849" s="119"/>
      <c r="B849" s="138" t="str">
        <f t="shared" si="44"/>
        <v>Windrow</v>
      </c>
      <c r="C849" s="138" t="str">
        <f t="shared" si="45"/>
        <v>Base_With Amendment</v>
      </c>
      <c r="D849" s="118" t="s">
        <v>135</v>
      </c>
      <c r="E849" s="118" t="s">
        <v>130</v>
      </c>
      <c r="F849" s="118" t="s">
        <v>46</v>
      </c>
      <c r="G849" s="153"/>
      <c r="H849" s="155">
        <v>5.1900000000000002E-2</v>
      </c>
      <c r="I849" s="154" t="s">
        <v>167</v>
      </c>
      <c r="J849" s="204">
        <v>2.5300000000000001E-3</v>
      </c>
      <c r="K849" s="154" t="s">
        <v>24</v>
      </c>
      <c r="L849" s="154" t="str">
        <f>IF(OpenLCAbasic!K849="CTUh", "Fill in Manually",IF(OR(K849="Unit", K849=""), "", INDEX(LookUps!$E$5:$E$12, MATCH(OpenLCAbasic!K849,LookUps!$D$5:$D$12,0))))</f>
        <v>Acidification Potential (AP) - kg SO2 eq</v>
      </c>
      <c r="M849" s="154" t="str">
        <f t="shared" si="46"/>
        <v>Base_Medium_Low_Upgraded_Acidification Potential (AP) - kg SO2 eq_Waste Receiving and Holding; wastewater treatment unit; at updated plant - US_Base_With Amendment_Windrow</v>
      </c>
    </row>
    <row r="850" spans="1:13" s="120" customFormat="1" x14ac:dyDescent="0.25">
      <c r="A850" s="119"/>
      <c r="B850" s="138" t="str">
        <f t="shared" si="44"/>
        <v>Windrow</v>
      </c>
      <c r="C850" s="138" t="str">
        <f t="shared" si="45"/>
        <v>Base_With Amendment</v>
      </c>
      <c r="D850" s="118" t="s">
        <v>135</v>
      </c>
      <c r="E850" s="118" t="s">
        <v>130</v>
      </c>
      <c r="F850" s="118" t="s">
        <v>46</v>
      </c>
      <c r="G850" s="153"/>
      <c r="H850" s="155">
        <v>4.24E-2</v>
      </c>
      <c r="I850" s="154" t="s">
        <v>147</v>
      </c>
      <c r="J850" s="204">
        <v>2.0699999999999998E-3</v>
      </c>
      <c r="K850" s="154" t="s">
        <v>24</v>
      </c>
      <c r="L850" s="154" t="str">
        <f>IF(OpenLCAbasic!K850="CTUh", "Fill in Manually",IF(OR(K850="Unit", K850=""), "", INDEX(LookUps!$E$5:$E$12, MATCH(OpenLCAbasic!K850,LookUps!$D$5:$D$12,0))))</f>
        <v>Acidification Potential (AP) - kg SO2 eq</v>
      </c>
      <c r="M850" s="154" t="str">
        <f t="shared" si="46"/>
        <v>Base_Medium_Low_Upgraded_Acidification Potential (AP) - kg SO2 eq_Influent Pump Station; wastewater treatment unit; at updated plant - US_Base_With Amendment_Windrow</v>
      </c>
    </row>
    <row r="851" spans="1:13" s="120" customFormat="1" x14ac:dyDescent="0.25">
      <c r="A851" s="119"/>
      <c r="B851" s="138" t="str">
        <f t="shared" si="44"/>
        <v>Windrow</v>
      </c>
      <c r="C851" s="138" t="str">
        <f t="shared" si="45"/>
        <v>Base_With Amendment</v>
      </c>
      <c r="D851" s="118" t="s">
        <v>135</v>
      </c>
      <c r="E851" s="118" t="s">
        <v>130</v>
      </c>
      <c r="F851" s="118" t="s">
        <v>46</v>
      </c>
      <c r="G851" s="153"/>
      <c r="H851" s="155">
        <v>2.53E-2</v>
      </c>
      <c r="I851" s="154" t="s">
        <v>128</v>
      </c>
      <c r="J851" s="204">
        <v>1.23E-3</v>
      </c>
      <c r="K851" s="154" t="s">
        <v>24</v>
      </c>
      <c r="L851" s="154" t="str">
        <f>IF(OpenLCAbasic!K851="CTUh", "Fill in Manually",IF(OR(K851="Unit", K851=""), "", INDEX(LookUps!$E$5:$E$12, MATCH(OpenLCAbasic!K851,LookUps!$D$5:$D$12,0))))</f>
        <v>Acidification Potential (AP) - kg SO2 eq</v>
      </c>
      <c r="M851" s="154" t="str">
        <f t="shared" si="46"/>
        <v>Base_Medium_Low_Upgraded_Acidification Potential (AP) - kg SO2 eq_Wastewater collection; operation and infrastructure; m3 wastewater_Base_With Amendment_Windrow</v>
      </c>
    </row>
    <row r="852" spans="1:13" s="120" customFormat="1" x14ac:dyDescent="0.25">
      <c r="A852" s="119"/>
      <c r="B852" s="138" t="str">
        <f t="shared" si="44"/>
        <v>Windrow</v>
      </c>
      <c r="C852" s="138" t="str">
        <f t="shared" si="45"/>
        <v>Base_With Amendment</v>
      </c>
      <c r="D852" s="118" t="s">
        <v>135</v>
      </c>
      <c r="E852" s="118" t="s">
        <v>130</v>
      </c>
      <c r="F852" s="118" t="s">
        <v>46</v>
      </c>
      <c r="G852" s="153"/>
      <c r="H852" s="155">
        <v>2.47E-2</v>
      </c>
      <c r="I852" s="154" t="s">
        <v>60</v>
      </c>
      <c r="J852" s="204">
        <v>1.1999999999999999E-3</v>
      </c>
      <c r="K852" s="154" t="s">
        <v>24</v>
      </c>
      <c r="L852" s="154" t="str">
        <f>IF(OpenLCAbasic!K852="CTUh", "Fill in Manually",IF(OR(K852="Unit", K852=""), "", INDEX(LookUps!$E$5:$E$12, MATCH(OpenLCAbasic!K852,LookUps!$D$5:$D$12,0))))</f>
        <v>Acidification Potential (AP) - kg SO2 eq</v>
      </c>
      <c r="M852" s="154" t="str">
        <f t="shared" si="46"/>
        <v>Base_Medium_Low_Upgraded_Acidification Potential (AP) - kg SO2 eq_Belt filter press; wastewater treatment unit; at updated plant - US_Base_With Amendment_Windrow</v>
      </c>
    </row>
    <row r="853" spans="1:13" s="120" customFormat="1" x14ac:dyDescent="0.25">
      <c r="A853" s="119"/>
      <c r="B853" s="138" t="str">
        <f t="shared" si="44"/>
        <v>Windrow</v>
      </c>
      <c r="C853" s="138" t="str">
        <f t="shared" si="45"/>
        <v>Base_With Amendment</v>
      </c>
      <c r="D853" s="118" t="s">
        <v>135</v>
      </c>
      <c r="E853" s="118" t="s">
        <v>130</v>
      </c>
      <c r="F853" s="118" t="s">
        <v>46</v>
      </c>
      <c r="G853" s="153"/>
      <c r="H853" s="155">
        <v>1.44E-2</v>
      </c>
      <c r="I853" s="154" t="s">
        <v>57</v>
      </c>
      <c r="J853" s="204">
        <v>6.9999999999999999E-4</v>
      </c>
      <c r="K853" s="154" t="s">
        <v>24</v>
      </c>
      <c r="L853" s="154" t="str">
        <f>IF(OpenLCAbasic!K853="CTUh", "Fill in Manually",IF(OR(K853="Unit", K853=""), "", INDEX(LookUps!$E$5:$E$12, MATCH(OpenLCAbasic!K853,LookUps!$D$5:$D$12,0))))</f>
        <v>Acidification Potential (AP) - kg SO2 eq</v>
      </c>
      <c r="M853" s="154" t="str">
        <f t="shared" si="46"/>
        <v>Base_Medium_Low_Upgraded_Acidification Potential (AP) - kg SO2 eq_Gravity Belt Thickener; wastewater treatment unit; at updated plant - US_Base_With Amendment_Windrow</v>
      </c>
    </row>
    <row r="854" spans="1:13" s="120" customFormat="1" x14ac:dyDescent="0.25">
      <c r="A854" s="119"/>
      <c r="B854" s="138" t="str">
        <f t="shared" si="44"/>
        <v>Windrow</v>
      </c>
      <c r="C854" s="138" t="str">
        <f t="shared" si="45"/>
        <v>Base_With Amendment</v>
      </c>
      <c r="D854" s="118" t="s">
        <v>135</v>
      </c>
      <c r="E854" s="118" t="s">
        <v>130</v>
      </c>
      <c r="F854" s="118" t="s">
        <v>46</v>
      </c>
      <c r="G854" s="153"/>
      <c r="H854" s="155">
        <v>1.06E-2</v>
      </c>
      <c r="I854" s="154" t="s">
        <v>59</v>
      </c>
      <c r="J854" s="204">
        <v>5.1999999999999995E-4</v>
      </c>
      <c r="K854" s="154" t="s">
        <v>24</v>
      </c>
      <c r="L854" s="154" t="str">
        <f>IF(OpenLCAbasic!K854="CTUh", "Fill in Manually",IF(OR(K854="Unit", K854=""), "", INDEX(LookUps!$E$5:$E$12, MATCH(OpenLCAbasic!K854,LookUps!$D$5:$D$12,0))))</f>
        <v>Acidification Potential (AP) - kg SO2 eq</v>
      </c>
      <c r="M854" s="154" t="str">
        <f t="shared" si="46"/>
        <v>Base_Medium_Low_Upgraded_Acidification Potential (AP) - kg SO2 eq_Blend Tank; wastewater treatment unit; at updated plant - US_Base_With Amendment_Windrow</v>
      </c>
    </row>
    <row r="855" spans="1:13" s="120" customFormat="1" x14ac:dyDescent="0.25">
      <c r="A855" s="119"/>
      <c r="B855" s="138" t="str">
        <f t="shared" si="44"/>
        <v>Windrow</v>
      </c>
      <c r="C855" s="138" t="str">
        <f t="shared" si="45"/>
        <v>Base_With Amendment</v>
      </c>
      <c r="D855" s="118" t="s">
        <v>135</v>
      </c>
      <c r="E855" s="118" t="s">
        <v>130</v>
      </c>
      <c r="F855" s="118" t="s">
        <v>46</v>
      </c>
      <c r="G855" s="153"/>
      <c r="H855" s="155">
        <v>7.1000000000000004E-3</v>
      </c>
      <c r="I855" s="154" t="s">
        <v>48</v>
      </c>
      <c r="J855" s="204">
        <v>3.5E-4</v>
      </c>
      <c r="K855" s="154" t="s">
        <v>24</v>
      </c>
      <c r="L855" s="154" t="str">
        <f>IF(OpenLCAbasic!K855="CTUh", "Fill in Manually",IF(OR(K855="Unit", K855=""), "", INDEX(LookUps!$E$5:$E$12, MATCH(OpenLCAbasic!K855,LookUps!$D$5:$D$12,0))))</f>
        <v>Acidification Potential (AP) - kg SO2 eq</v>
      </c>
      <c r="M855" s="154" t="str">
        <f t="shared" si="46"/>
        <v>Base_Medium_Low_Upgraded_Acidification Potential (AP) - kg SO2 eq_Effluent release; wastewater treatment unit; at surface water; m3 wastewater - US_Base_With Amendment_Windrow</v>
      </c>
    </row>
    <row r="856" spans="1:13" s="120" customFormat="1" x14ac:dyDescent="0.25">
      <c r="A856" s="119"/>
      <c r="B856" s="138" t="str">
        <f t="shared" si="44"/>
        <v>Windrow</v>
      </c>
      <c r="C856" s="138" t="str">
        <f t="shared" si="45"/>
        <v>Base_With Amendment</v>
      </c>
      <c r="D856" s="118" t="s">
        <v>135</v>
      </c>
      <c r="E856" s="118" t="s">
        <v>130</v>
      </c>
      <c r="F856" s="118" t="s">
        <v>46</v>
      </c>
      <c r="G856" s="153"/>
      <c r="H856" s="155">
        <v>5.1999999999999998E-3</v>
      </c>
      <c r="I856" s="154" t="s">
        <v>168</v>
      </c>
      <c r="J856" s="204">
        <v>2.5999999999999998E-4</v>
      </c>
      <c r="K856" s="154" t="s">
        <v>24</v>
      </c>
      <c r="L856" s="154" t="str">
        <f>IF(OpenLCAbasic!K856="CTUh", "Fill in Manually",IF(OR(K856="Unit", K856=""), "", INDEX(LookUps!$E$5:$E$12, MATCH(OpenLCAbasic!K856,LookUps!$D$5:$D$12,0))))</f>
        <v>Acidification Potential (AP) - kg SO2 eq</v>
      </c>
      <c r="M856" s="154" t="str">
        <f t="shared" si="46"/>
        <v>Base_Medium_Low_Upgraded_Acidification Potential (AP) - kg SO2 eq_ClearCove SCP; wastewater treatment unit; at updated plant - US_Base_With Amendment_Windrow</v>
      </c>
    </row>
    <row r="857" spans="1:13" s="120" customFormat="1" x14ac:dyDescent="0.25">
      <c r="A857" s="119"/>
      <c r="B857" s="138" t="str">
        <f t="shared" si="44"/>
        <v>Windrow</v>
      </c>
      <c r="C857" s="138" t="str">
        <f t="shared" si="45"/>
        <v>Base_With Amendment</v>
      </c>
      <c r="D857" s="118" t="s">
        <v>135</v>
      </c>
      <c r="E857" s="118" t="s">
        <v>130</v>
      </c>
      <c r="F857" s="118" t="s">
        <v>46</v>
      </c>
      <c r="G857" s="153"/>
      <c r="H857" s="155">
        <v>8.0000000000000004E-4</v>
      </c>
      <c r="I857" s="154" t="s">
        <v>148</v>
      </c>
      <c r="J857" s="204">
        <v>4.0354700000000002E-5</v>
      </c>
      <c r="K857" s="154" t="s">
        <v>24</v>
      </c>
      <c r="L857" s="154" t="str">
        <f>IF(OpenLCAbasic!K857="CTUh", "Fill in Manually",IF(OR(K857="Unit", K857=""), "", INDEX(LookUps!$E$5:$E$12, MATCH(OpenLCAbasic!K857,LookUps!$D$5:$D$12,0))))</f>
        <v>Acidification Potential (AP) - kg SO2 eq</v>
      </c>
      <c r="M857" s="154" t="str">
        <f t="shared" si="46"/>
        <v>Base_Medium_Low_Upgraded_Acidification Potential (AP) - kg SO2 eq_Control Building; at upgraded wastewater treatment plant - US_Base_With Amendment_Windrow</v>
      </c>
    </row>
    <row r="858" spans="1:13" s="120" customFormat="1" x14ac:dyDescent="0.25">
      <c r="A858" s="119"/>
      <c r="B858" s="138" t="str">
        <f t="shared" si="44"/>
        <v>Windrow</v>
      </c>
      <c r="C858" s="138" t="str">
        <f t="shared" si="45"/>
        <v>Base_With Amendment</v>
      </c>
      <c r="D858" s="118" t="s">
        <v>135</v>
      </c>
      <c r="E858" s="118" t="s">
        <v>130</v>
      </c>
      <c r="F858" s="118" t="s">
        <v>46</v>
      </c>
      <c r="G858" s="153"/>
      <c r="H858" s="155">
        <v>-5.7000000000000002E-2</v>
      </c>
      <c r="I858" s="154" t="s">
        <v>149</v>
      </c>
      <c r="J858" s="204">
        <v>-2.7799999999999999E-3</v>
      </c>
      <c r="K858" s="154" t="s">
        <v>24</v>
      </c>
      <c r="L858" s="154" t="str">
        <f>IF(OpenLCAbasic!K858="CTUh", "Fill in Manually",IF(OR(K858="Unit", K858=""), "", INDEX(LookUps!$E$5:$E$12, MATCH(OpenLCAbasic!K858,LookUps!$D$5:$D$12,0))))</f>
        <v>Acidification Potential (AP) - kg SO2 eq</v>
      </c>
      <c r="M858" s="154" t="str">
        <f t="shared" si="46"/>
        <v>Base_Medium_Low_Upgraded_Acidification Potential (AP) - kg SO2 eq_Anaerobic Digestion; wastewater treatment unit; at updated plant - US_Base_With Amendment_Windrow</v>
      </c>
    </row>
    <row r="859" spans="1:13" s="120" customFormat="1" x14ac:dyDescent="0.25">
      <c r="A859" s="119"/>
      <c r="B859" s="138" t="str">
        <f t="shared" si="44"/>
        <v>Windrow</v>
      </c>
      <c r="C859" s="138" t="str">
        <f t="shared" si="45"/>
        <v>Base_With Amendment</v>
      </c>
      <c r="D859" s="118" t="s">
        <v>135</v>
      </c>
      <c r="E859" s="118" t="s">
        <v>130</v>
      </c>
      <c r="F859" s="118" t="s">
        <v>46</v>
      </c>
      <c r="G859" s="153" t="s">
        <v>51</v>
      </c>
      <c r="H859" s="154"/>
      <c r="I859" s="154" t="s">
        <v>47</v>
      </c>
      <c r="J859" s="154" t="s">
        <v>52</v>
      </c>
      <c r="K859" s="154" t="s">
        <v>27</v>
      </c>
      <c r="L859" s="154" t="str">
        <f>IF(OpenLCAbasic!K859="CTUh", "Fill in Manually",IF(OR(K859="Unit", K859=""), "", INDEX(LookUps!$E$5:$E$12, MATCH(OpenLCAbasic!K859,LookUps!$D$5:$D$12,0))))</f>
        <v/>
      </c>
      <c r="M859" s="154" t="str">
        <f t="shared" si="46"/>
        <v>Base_Medium_Low_Upgraded__Process_Base_With Amendment_Windrow</v>
      </c>
    </row>
    <row r="860" spans="1:13" s="120" customFormat="1" x14ac:dyDescent="0.25">
      <c r="A860" s="119"/>
      <c r="B860" s="138" t="str">
        <f t="shared" si="44"/>
        <v>Windrow</v>
      </c>
      <c r="C860" s="138" t="str">
        <f t="shared" si="45"/>
        <v>Base_With Amendment</v>
      </c>
      <c r="D860" s="118" t="s">
        <v>135</v>
      </c>
      <c r="E860" s="118" t="s">
        <v>130</v>
      </c>
      <c r="F860" s="118" t="s">
        <v>46</v>
      </c>
      <c r="G860" s="153"/>
      <c r="H860" s="155">
        <v>0.47220000000000001</v>
      </c>
      <c r="I860" s="154" t="s">
        <v>55</v>
      </c>
      <c r="J860" s="203">
        <v>0.16577</v>
      </c>
      <c r="K860" s="154" t="s">
        <v>25</v>
      </c>
      <c r="L860" s="154" t="str">
        <f>IF(OpenLCAbasic!K860="CTUh", "Fill in Manually",IF(OR(K860="Unit", K860=""), "", INDEX(LookUps!$E$5:$E$12, MATCH(OpenLCAbasic!K860,LookUps!$D$5:$D$12,0))))</f>
        <v>Smog Formation Potential (SFP) - kg O3 eq</v>
      </c>
      <c r="M860" s="154" t="str">
        <f t="shared" si="46"/>
        <v>Base_Medium_Low_Upgraded_Smog Formation Potential (SFP) - kg O3 eq_Aeration Tanks; wastewater treatment unit; at updated plant - US_Base_With Amendment_Windrow</v>
      </c>
    </row>
    <row r="861" spans="1:13" s="120" customFormat="1" x14ac:dyDescent="0.25">
      <c r="A861" s="119"/>
      <c r="B861" s="138" t="str">
        <f t="shared" si="44"/>
        <v>Windrow</v>
      </c>
      <c r="C861" s="138" t="str">
        <f t="shared" si="45"/>
        <v>Base_With Amendment</v>
      </c>
      <c r="D861" s="118" t="s">
        <v>135</v>
      </c>
      <c r="E861" s="118" t="s">
        <v>130</v>
      </c>
      <c r="F861" s="118" t="s">
        <v>46</v>
      </c>
      <c r="G861" s="153"/>
      <c r="H861" s="155">
        <v>0.13689999999999999</v>
      </c>
      <c r="I861" s="154" t="s">
        <v>54</v>
      </c>
      <c r="J861" s="203">
        <v>4.8070000000000002E-2</v>
      </c>
      <c r="K861" s="154" t="s">
        <v>25</v>
      </c>
      <c r="L861" s="154" t="str">
        <f>IF(OpenLCAbasic!K861="CTUh", "Fill in Manually",IF(OR(K861="Unit", K861=""), "", INDEX(LookUps!$E$5:$E$12, MATCH(OpenLCAbasic!K861,LookUps!$D$5:$D$12,0))))</f>
        <v>Smog Formation Potential (SFP) - kg O3 eq</v>
      </c>
      <c r="M861" s="154" t="str">
        <f t="shared" si="46"/>
        <v>Base_Medium_Low_Upgraded_Smog Formation Potential (SFP) - kg O3 eq_Clear Cove Primary Clarification; wastewater treatment unit; at updated plant - US_Base_With Amendment_Windrow</v>
      </c>
    </row>
    <row r="862" spans="1:13" s="120" customFormat="1" x14ac:dyDescent="0.25">
      <c r="A862" s="119"/>
      <c r="B862" s="138" t="str">
        <f t="shared" si="44"/>
        <v>Windrow</v>
      </c>
      <c r="C862" s="138" t="str">
        <f t="shared" si="45"/>
        <v>Base_With Amendment</v>
      </c>
      <c r="D862" s="118" t="s">
        <v>135</v>
      </c>
      <c r="E862" s="118" t="s">
        <v>130</v>
      </c>
      <c r="F862" s="118" t="s">
        <v>46</v>
      </c>
      <c r="G862" s="153"/>
      <c r="H862" s="155">
        <v>0.11940000000000001</v>
      </c>
      <c r="I862" s="154" t="s">
        <v>58</v>
      </c>
      <c r="J862" s="203">
        <v>4.1919999999999999E-2</v>
      </c>
      <c r="K862" s="154" t="s">
        <v>25</v>
      </c>
      <c r="L862" s="154" t="str">
        <f>IF(OpenLCAbasic!K862="CTUh", "Fill in Manually",IF(OR(K862="Unit", K862=""), "", INDEX(LookUps!$E$5:$E$12, MATCH(OpenLCAbasic!K862,LookUps!$D$5:$D$12,0))))</f>
        <v>Smog Formation Potential (SFP) - kg O3 eq</v>
      </c>
      <c r="M862" s="154" t="str">
        <f t="shared" si="46"/>
        <v>Base_Medium_Low_Upgraded_Smog Formation Potential (SFP) - kg O3 eq_Pre-Anoxic &amp; Swing tank; wastewater treatment unit; at updated plant - US_Base_With Amendment_Windrow</v>
      </c>
    </row>
    <row r="863" spans="1:13" s="120" customFormat="1" x14ac:dyDescent="0.25">
      <c r="A863" s="119"/>
      <c r="B863" s="138" t="str">
        <f t="shared" si="44"/>
        <v>Windrow</v>
      </c>
      <c r="C863" s="138" t="str">
        <f t="shared" si="45"/>
        <v>Base_With Amendment</v>
      </c>
      <c r="D863" s="118" t="s">
        <v>135</v>
      </c>
      <c r="E863" s="118" t="s">
        <v>130</v>
      </c>
      <c r="F863" s="118" t="s">
        <v>46</v>
      </c>
      <c r="G863" s="153"/>
      <c r="H863" s="155">
        <v>9.4399999999999998E-2</v>
      </c>
      <c r="I863" s="154" t="s">
        <v>53</v>
      </c>
      <c r="J863" s="203">
        <v>3.313E-2</v>
      </c>
      <c r="K863" s="154" t="s">
        <v>25</v>
      </c>
      <c r="L863" s="154" t="str">
        <f>IF(OpenLCAbasic!K863="CTUh", "Fill in Manually",IF(OR(K863="Unit", K863=""), "", INDEX(LookUps!$E$5:$E$12, MATCH(OpenLCAbasic!K863,LookUps!$D$5:$D$12,0))))</f>
        <v>Smog Formation Potential (SFP) - kg O3 eq</v>
      </c>
      <c r="M863" s="154" t="str">
        <f t="shared" si="46"/>
        <v>Base_Medium_Low_Upgraded_Smog Formation Potential (SFP) - kg O3 eq_Wet Well and Sump Station; wastewater treatment unit; at updated plant - US_Base_With Amendment_Windrow</v>
      </c>
    </row>
    <row r="864" spans="1:13" s="120" customFormat="1" x14ac:dyDescent="0.25">
      <c r="A864" s="119"/>
      <c r="B864" s="138" t="str">
        <f t="shared" si="44"/>
        <v>Windrow</v>
      </c>
      <c r="C864" s="138" t="str">
        <f t="shared" si="45"/>
        <v>Base_With Amendment</v>
      </c>
      <c r="D864" s="118" t="s">
        <v>135</v>
      </c>
      <c r="E864" s="118" t="s">
        <v>130</v>
      </c>
      <c r="F864" s="118" t="s">
        <v>46</v>
      </c>
      <c r="G864" s="153"/>
      <c r="H864" s="155">
        <v>8.7499999999999994E-2</v>
      </c>
      <c r="I864" s="154" t="s">
        <v>167</v>
      </c>
      <c r="J864" s="203">
        <v>3.0710000000000001E-2</v>
      </c>
      <c r="K864" s="154" t="s">
        <v>25</v>
      </c>
      <c r="L864" s="154" t="str">
        <f>IF(OpenLCAbasic!K864="CTUh", "Fill in Manually",IF(OR(K864="Unit", K864=""), "", INDEX(LookUps!$E$5:$E$12, MATCH(OpenLCAbasic!K864,LookUps!$D$5:$D$12,0))))</f>
        <v>Smog Formation Potential (SFP) - kg O3 eq</v>
      </c>
      <c r="M864" s="154" t="str">
        <f t="shared" si="46"/>
        <v>Base_Medium_Low_Upgraded_Smog Formation Potential (SFP) - kg O3 eq_Waste Receiving and Holding; wastewater treatment unit; at updated plant - US_Base_With Amendment_Windrow</v>
      </c>
    </row>
    <row r="865" spans="1:13" s="120" customFormat="1" x14ac:dyDescent="0.25">
      <c r="A865" s="119"/>
      <c r="B865" s="138" t="str">
        <f t="shared" si="44"/>
        <v>Windrow</v>
      </c>
      <c r="C865" s="138" t="str">
        <f t="shared" si="45"/>
        <v>Base_With Amendment</v>
      </c>
      <c r="D865" s="118" t="s">
        <v>135</v>
      </c>
      <c r="E865" s="118" t="s">
        <v>130</v>
      </c>
      <c r="F865" s="118" t="s">
        <v>46</v>
      </c>
      <c r="G865" s="153"/>
      <c r="H865" s="155">
        <v>5.5300000000000002E-2</v>
      </c>
      <c r="I865" s="154" t="s">
        <v>147</v>
      </c>
      <c r="J865" s="203">
        <v>1.9400000000000001E-2</v>
      </c>
      <c r="K865" s="154" t="s">
        <v>25</v>
      </c>
      <c r="L865" s="154" t="str">
        <f>IF(OpenLCAbasic!K865="CTUh", "Fill in Manually",IF(OR(K865="Unit", K865=""), "", INDEX(LookUps!$E$5:$E$12, MATCH(OpenLCAbasic!K865,LookUps!$D$5:$D$12,0))))</f>
        <v>Smog Formation Potential (SFP) - kg O3 eq</v>
      </c>
      <c r="M865" s="154" t="str">
        <f t="shared" si="46"/>
        <v>Base_Medium_Low_Upgraded_Smog Formation Potential (SFP) - kg O3 eq_Influent Pump Station; wastewater treatment unit; at updated plant - US_Base_With Amendment_Windrow</v>
      </c>
    </row>
    <row r="866" spans="1:13" s="120" customFormat="1" x14ac:dyDescent="0.25">
      <c r="A866" s="119"/>
      <c r="B866" s="138" t="str">
        <f t="shared" si="44"/>
        <v>Windrow</v>
      </c>
      <c r="C866" s="138" t="str">
        <f t="shared" si="45"/>
        <v>Base_With Amendment</v>
      </c>
      <c r="D866" s="118" t="s">
        <v>135</v>
      </c>
      <c r="E866" s="118" t="s">
        <v>130</v>
      </c>
      <c r="F866" s="118" t="s">
        <v>46</v>
      </c>
      <c r="G866" s="153"/>
      <c r="H866" s="155">
        <v>3.4000000000000002E-2</v>
      </c>
      <c r="I866" s="154" t="s">
        <v>128</v>
      </c>
      <c r="J866" s="204">
        <v>1.192E-2</v>
      </c>
      <c r="K866" s="154" t="s">
        <v>25</v>
      </c>
      <c r="L866" s="154" t="str">
        <f>IF(OpenLCAbasic!K866="CTUh", "Fill in Manually",IF(OR(K866="Unit", K866=""), "", INDEX(LookUps!$E$5:$E$12, MATCH(OpenLCAbasic!K866,LookUps!$D$5:$D$12,0))))</f>
        <v>Smog Formation Potential (SFP) - kg O3 eq</v>
      </c>
      <c r="M866" s="154" t="str">
        <f t="shared" si="46"/>
        <v>Base_Medium_Low_Upgraded_Smog Formation Potential (SFP) - kg O3 eq_Wastewater collection; operation and infrastructure; m3 wastewater_Base_With Amendment_Windrow</v>
      </c>
    </row>
    <row r="867" spans="1:13" s="120" customFormat="1" x14ac:dyDescent="0.25">
      <c r="A867" s="119"/>
      <c r="B867" s="138" t="str">
        <f t="shared" si="44"/>
        <v>Windrow</v>
      </c>
      <c r="C867" s="138" t="str">
        <f t="shared" si="45"/>
        <v>Base_With Amendment</v>
      </c>
      <c r="D867" s="118" t="s">
        <v>135</v>
      </c>
      <c r="E867" s="118" t="s">
        <v>130</v>
      </c>
      <c r="F867" s="118" t="s">
        <v>46</v>
      </c>
      <c r="G867" s="153"/>
      <c r="H867" s="155">
        <v>3.2599999999999997E-2</v>
      </c>
      <c r="I867" s="154" t="s">
        <v>60</v>
      </c>
      <c r="J867" s="204">
        <v>1.145E-2</v>
      </c>
      <c r="K867" s="154" t="s">
        <v>25</v>
      </c>
      <c r="L867" s="154" t="str">
        <f>IF(OpenLCAbasic!K867="CTUh", "Fill in Manually",IF(OR(K867="Unit", K867=""), "", INDEX(LookUps!$E$5:$E$12, MATCH(OpenLCAbasic!K867,LookUps!$D$5:$D$12,0))))</f>
        <v>Smog Formation Potential (SFP) - kg O3 eq</v>
      </c>
      <c r="M867" s="154" t="str">
        <f t="shared" si="46"/>
        <v>Base_Medium_Low_Upgraded_Smog Formation Potential (SFP) - kg O3 eq_Belt filter press; wastewater treatment unit; at updated plant - US_Base_With Amendment_Windrow</v>
      </c>
    </row>
    <row r="868" spans="1:13" s="120" customFormat="1" x14ac:dyDescent="0.25">
      <c r="A868" s="119"/>
      <c r="B868" s="138" t="str">
        <f t="shared" si="44"/>
        <v>Windrow</v>
      </c>
      <c r="C868" s="138" t="str">
        <f t="shared" si="45"/>
        <v>Base_With Amendment</v>
      </c>
      <c r="D868" s="118" t="s">
        <v>135</v>
      </c>
      <c r="E868" s="118" t="s">
        <v>130</v>
      </c>
      <c r="F868" s="118" t="s">
        <v>46</v>
      </c>
      <c r="G868" s="153"/>
      <c r="H868" s="155">
        <v>1.9E-2</v>
      </c>
      <c r="I868" s="154" t="s">
        <v>57</v>
      </c>
      <c r="J868" s="204">
        <v>6.6499999999999997E-3</v>
      </c>
      <c r="K868" s="154" t="s">
        <v>25</v>
      </c>
      <c r="L868" s="154" t="str">
        <f>IF(OpenLCAbasic!K868="CTUh", "Fill in Manually",IF(OR(K868="Unit", K868=""), "", INDEX(LookUps!$E$5:$E$12, MATCH(OpenLCAbasic!K868,LookUps!$D$5:$D$12,0))))</f>
        <v>Smog Formation Potential (SFP) - kg O3 eq</v>
      </c>
      <c r="M868" s="154" t="str">
        <f t="shared" si="46"/>
        <v>Base_Medium_Low_Upgraded_Smog Formation Potential (SFP) - kg O3 eq_Gravity Belt Thickener; wastewater treatment unit; at updated plant - US_Base_With Amendment_Windrow</v>
      </c>
    </row>
    <row r="869" spans="1:13" s="120" customFormat="1" x14ac:dyDescent="0.25">
      <c r="A869" s="119"/>
      <c r="B869" s="138" t="str">
        <f t="shared" si="44"/>
        <v>Windrow</v>
      </c>
      <c r="C869" s="138" t="str">
        <f t="shared" si="45"/>
        <v>Base_With Amendment</v>
      </c>
      <c r="D869" s="118" t="s">
        <v>135</v>
      </c>
      <c r="E869" s="118" t="s">
        <v>130</v>
      </c>
      <c r="F869" s="118" t="s">
        <v>46</v>
      </c>
      <c r="G869" s="153"/>
      <c r="H869" s="155">
        <v>1.4200000000000001E-2</v>
      </c>
      <c r="I869" s="154" t="s">
        <v>59</v>
      </c>
      <c r="J869" s="204">
        <v>4.9699999999999996E-3</v>
      </c>
      <c r="K869" s="154" t="s">
        <v>25</v>
      </c>
      <c r="L869" s="154" t="str">
        <f>IF(OpenLCAbasic!K869="CTUh", "Fill in Manually",IF(OR(K869="Unit", K869=""), "", INDEX(LookUps!$E$5:$E$12, MATCH(OpenLCAbasic!K869,LookUps!$D$5:$D$12,0))))</f>
        <v>Smog Formation Potential (SFP) - kg O3 eq</v>
      </c>
      <c r="M869" s="154" t="str">
        <f t="shared" si="46"/>
        <v>Base_Medium_Low_Upgraded_Smog Formation Potential (SFP) - kg O3 eq_Blend Tank; wastewater treatment unit; at updated plant - US_Base_With Amendment_Windrow</v>
      </c>
    </row>
    <row r="870" spans="1:13" s="120" customFormat="1" x14ac:dyDescent="0.25">
      <c r="A870" s="119"/>
      <c r="B870" s="138" t="str">
        <f t="shared" si="44"/>
        <v>Windrow</v>
      </c>
      <c r="C870" s="138" t="str">
        <f t="shared" si="45"/>
        <v>Base_With Amendment</v>
      </c>
      <c r="D870" s="118" t="s">
        <v>135</v>
      </c>
      <c r="E870" s="118" t="s">
        <v>130</v>
      </c>
      <c r="F870" s="118" t="s">
        <v>46</v>
      </c>
      <c r="G870" s="153"/>
      <c r="H870" s="155">
        <v>9.5999999999999992E-3</v>
      </c>
      <c r="I870" s="154" t="s">
        <v>48</v>
      </c>
      <c r="J870" s="204">
        <v>3.3899999999999998E-3</v>
      </c>
      <c r="K870" s="154" t="s">
        <v>25</v>
      </c>
      <c r="L870" s="154" t="str">
        <f>IF(OpenLCAbasic!K870="CTUh", "Fill in Manually",IF(OR(K870="Unit", K870=""), "", INDEX(LookUps!$E$5:$E$12, MATCH(OpenLCAbasic!K870,LookUps!$D$5:$D$12,0))))</f>
        <v>Smog Formation Potential (SFP) - kg O3 eq</v>
      </c>
      <c r="M870" s="154" t="str">
        <f t="shared" si="46"/>
        <v>Base_Medium_Low_Upgraded_Smog Formation Potential (SFP) - kg O3 eq_Effluent release; wastewater treatment unit; at surface water; m3 wastewater - US_Base_With Amendment_Windrow</v>
      </c>
    </row>
    <row r="871" spans="1:13" s="120" customFormat="1" x14ac:dyDescent="0.25">
      <c r="A871" s="119"/>
      <c r="B871" s="138" t="str">
        <f t="shared" si="44"/>
        <v>Windrow</v>
      </c>
      <c r="C871" s="138" t="str">
        <f t="shared" ref="C871:C902" si="47">IF(E871&lt;&gt;"", "Base_With Amendment","")</f>
        <v>Base_With Amendment</v>
      </c>
      <c r="D871" s="118" t="s">
        <v>135</v>
      </c>
      <c r="E871" s="118" t="s">
        <v>130</v>
      </c>
      <c r="F871" s="118" t="s">
        <v>46</v>
      </c>
      <c r="G871" s="153"/>
      <c r="H871" s="155">
        <v>7.0000000000000001E-3</v>
      </c>
      <c r="I871" s="154" t="s">
        <v>168</v>
      </c>
      <c r="J871" s="204">
        <v>2.4599999999999999E-3</v>
      </c>
      <c r="K871" s="154" t="s">
        <v>25</v>
      </c>
      <c r="L871" s="154" t="str">
        <f>IF(OpenLCAbasic!K871="CTUh", "Fill in Manually",IF(OR(K871="Unit", K871=""), "", INDEX(LookUps!$E$5:$E$12, MATCH(OpenLCAbasic!K871,LookUps!$D$5:$D$12,0))))</f>
        <v>Smog Formation Potential (SFP) - kg O3 eq</v>
      </c>
      <c r="M871" s="154" t="str">
        <f t="shared" si="46"/>
        <v>Base_Medium_Low_Upgraded_Smog Formation Potential (SFP) - kg O3 eq_ClearCove SCP; wastewater treatment unit; at updated plant - US_Base_With Amendment_Windrow</v>
      </c>
    </row>
    <row r="872" spans="1:13" s="120" customFormat="1" x14ac:dyDescent="0.25">
      <c r="A872" s="119"/>
      <c r="B872" s="138" t="str">
        <f t="shared" si="44"/>
        <v>Windrow</v>
      </c>
      <c r="C872" s="138" t="str">
        <f t="shared" si="47"/>
        <v>Base_With Amendment</v>
      </c>
      <c r="D872" s="118" t="s">
        <v>135</v>
      </c>
      <c r="E872" s="118" t="s">
        <v>130</v>
      </c>
      <c r="F872" s="118" t="s">
        <v>46</v>
      </c>
      <c r="G872" s="153"/>
      <c r="H872" s="155">
        <v>4.7999999999999996E-3</v>
      </c>
      <c r="I872" s="154" t="s">
        <v>271</v>
      </c>
      <c r="J872" s="204">
        <v>1.6900000000000001E-3</v>
      </c>
      <c r="K872" s="154" t="s">
        <v>25</v>
      </c>
      <c r="L872" s="154" t="str">
        <f>IF(OpenLCAbasic!K872="CTUh", "Fill in Manually",IF(OR(K872="Unit", K872=""), "", INDEX(LookUps!$E$5:$E$12, MATCH(OpenLCAbasic!K872,LookUps!$D$5:$D$12,0))))</f>
        <v>Smog Formation Potential (SFP) - kg O3 eq</v>
      </c>
      <c r="M872" s="154" t="str">
        <f t="shared" si="46"/>
        <v>Base_Medium_Low_Upgraded_Smog Formation Potential (SFP) - kg O3 eq_Biosolids composting; windrow composting; wastewater treatment unit; at updated plant - US_Base_With Amendment_Windrow</v>
      </c>
    </row>
    <row r="873" spans="1:13" s="120" customFormat="1" x14ac:dyDescent="0.25">
      <c r="A873" s="119"/>
      <c r="B873" s="138" t="str">
        <f t="shared" si="44"/>
        <v>Windrow</v>
      </c>
      <c r="C873" s="138" t="str">
        <f t="shared" si="47"/>
        <v>Base_With Amendment</v>
      </c>
      <c r="D873" s="118" t="s">
        <v>135</v>
      </c>
      <c r="E873" s="118" t="s">
        <v>130</v>
      </c>
      <c r="F873" s="118" t="s">
        <v>46</v>
      </c>
      <c r="G873" s="153"/>
      <c r="H873" s="155">
        <v>1.5E-3</v>
      </c>
      <c r="I873" s="154" t="s">
        <v>148</v>
      </c>
      <c r="J873" s="204">
        <v>5.4000000000000001E-4</v>
      </c>
      <c r="K873" s="154" t="s">
        <v>25</v>
      </c>
      <c r="L873" s="154" t="str">
        <f>IF(OpenLCAbasic!K873="CTUh", "Fill in Manually",IF(OR(K873="Unit", K873=""), "", INDEX(LookUps!$E$5:$E$12, MATCH(OpenLCAbasic!K873,LookUps!$D$5:$D$12,0))))</f>
        <v>Smog Formation Potential (SFP) - kg O3 eq</v>
      </c>
      <c r="M873" s="154" t="str">
        <f t="shared" si="46"/>
        <v>Base_Medium_Low_Upgraded_Smog Formation Potential (SFP) - kg O3 eq_Control Building; at upgraded wastewater treatment plant - US_Base_With Amendment_Windrow</v>
      </c>
    </row>
    <row r="874" spans="1:13" s="120" customFormat="1" x14ac:dyDescent="0.25">
      <c r="A874" s="119"/>
      <c r="B874" s="138" t="str">
        <f t="shared" si="44"/>
        <v>Windrow</v>
      </c>
      <c r="C874" s="138" t="str">
        <f t="shared" si="47"/>
        <v>Base_With Amendment</v>
      </c>
      <c r="D874" s="118" t="s">
        <v>135</v>
      </c>
      <c r="E874" s="118" t="s">
        <v>130</v>
      </c>
      <c r="F874" s="118" t="s">
        <v>46</v>
      </c>
      <c r="G874" s="153"/>
      <c r="H874" s="155">
        <v>-1.2200000000000001E-2</v>
      </c>
      <c r="I874" s="154" t="s">
        <v>62</v>
      </c>
      <c r="J874" s="204">
        <v>-4.2900000000000004E-3</v>
      </c>
      <c r="K874" s="154" t="s">
        <v>25</v>
      </c>
      <c r="L874" s="154" t="str">
        <f>IF(OpenLCAbasic!K874="CTUh", "Fill in Manually",IF(OR(K874="Unit", K874=""), "", INDEX(LookUps!$E$5:$E$12, MATCH(OpenLCAbasic!K874,LookUps!$D$5:$D$12,0))))</f>
        <v>Smog Formation Potential (SFP) - kg O3 eq</v>
      </c>
      <c r="M874" s="154" t="str">
        <f t="shared" si="46"/>
        <v>Base_Medium_Low_Upgraded_Smog Formation Potential (SFP) - kg O3 eq_Land application of compost; wastewater treatment unit; at updated plant - US_Base_With Amendment_Windrow</v>
      </c>
    </row>
    <row r="875" spans="1:13" s="120" customFormat="1" x14ac:dyDescent="0.25">
      <c r="A875" s="119"/>
      <c r="B875" s="138" t="str">
        <f t="shared" si="44"/>
        <v>Windrow</v>
      </c>
      <c r="C875" s="138" t="str">
        <f t="shared" si="47"/>
        <v>Base_With Amendment</v>
      </c>
      <c r="D875" s="118" t="s">
        <v>135</v>
      </c>
      <c r="E875" s="118" t="s">
        <v>130</v>
      </c>
      <c r="F875" s="118" t="s">
        <v>46</v>
      </c>
      <c r="G875" s="153"/>
      <c r="H875" s="155">
        <v>-7.6100000000000001E-2</v>
      </c>
      <c r="I875" s="154" t="s">
        <v>149</v>
      </c>
      <c r="J875" s="203">
        <v>-2.673E-2</v>
      </c>
      <c r="K875" s="154" t="s">
        <v>25</v>
      </c>
      <c r="L875" s="154" t="str">
        <f>IF(OpenLCAbasic!K875="CTUh", "Fill in Manually",IF(OR(K875="Unit", K875=""), "", INDEX(LookUps!$E$5:$E$12, MATCH(OpenLCAbasic!K875,LookUps!$D$5:$D$12,0))))</f>
        <v>Smog Formation Potential (SFP) - kg O3 eq</v>
      </c>
      <c r="M875" s="154" t="str">
        <f t="shared" si="46"/>
        <v>Base_Medium_Low_Upgraded_Smog Formation Potential (SFP) - kg O3 eq_Anaerobic Digestion; wastewater treatment unit; at updated plant - US_Base_With Amendment_Windrow</v>
      </c>
    </row>
    <row r="876" spans="1:13" s="120" customFormat="1" x14ac:dyDescent="0.25">
      <c r="A876" s="119"/>
      <c r="B876" s="138" t="str">
        <f t="shared" si="44"/>
        <v>Windrow</v>
      </c>
      <c r="C876" s="138" t="str">
        <f t="shared" si="47"/>
        <v>Base_With Amendment</v>
      </c>
      <c r="D876" s="118" t="s">
        <v>135</v>
      </c>
      <c r="E876" s="118" t="s">
        <v>130</v>
      </c>
      <c r="F876" s="118" t="s">
        <v>46</v>
      </c>
      <c r="G876" s="153" t="s">
        <v>51</v>
      </c>
      <c r="H876" s="154"/>
      <c r="I876" s="154" t="s">
        <v>47</v>
      </c>
      <c r="J876" s="154" t="s">
        <v>52</v>
      </c>
      <c r="K876" s="154" t="s">
        <v>27</v>
      </c>
      <c r="L876" s="154" t="str">
        <f>IF(OpenLCAbasic!K876="CTUh", "Fill in Manually",IF(OR(K876="Unit", K876=""), "", INDEX(LookUps!$E$5:$E$12, MATCH(OpenLCAbasic!K876,LookUps!$D$5:$D$12,0))))</f>
        <v/>
      </c>
      <c r="M876" s="154" t="str">
        <f t="shared" si="46"/>
        <v>Base_Medium_Low_Upgraded__Process_Base_With Amendment_Windrow</v>
      </c>
    </row>
    <row r="877" spans="1:13" s="120" customFormat="1" x14ac:dyDescent="0.25">
      <c r="A877" s="119"/>
      <c r="B877" s="138" t="str">
        <f t="shared" si="44"/>
        <v>Windrow</v>
      </c>
      <c r="C877" s="138" t="str">
        <f t="shared" si="47"/>
        <v>Base_With Amendment</v>
      </c>
      <c r="D877" s="118" t="s">
        <v>135</v>
      </c>
      <c r="E877" s="118" t="s">
        <v>130</v>
      </c>
      <c r="F877" s="118" t="s">
        <v>46</v>
      </c>
      <c r="G877" s="153"/>
      <c r="H877" s="155">
        <v>0.48349999999999999</v>
      </c>
      <c r="I877" s="154" t="s">
        <v>167</v>
      </c>
      <c r="J877" s="204">
        <v>2.7999999999999998E-4</v>
      </c>
      <c r="K877" s="154" t="s">
        <v>26</v>
      </c>
      <c r="L877" s="154" t="str">
        <f>IF(OpenLCAbasic!K877="CTUh", "Fill in Manually",IF(OR(K877="Unit", K877=""), "", INDEX(LookUps!$E$5:$E$12, MATCH(OpenLCAbasic!K877,LookUps!$D$5:$D$12,0))))</f>
        <v>Water Use (WU) - m3 H2O</v>
      </c>
      <c r="M877" s="154" t="str">
        <f t="shared" si="46"/>
        <v>Base_Medium_Low_Upgraded_Water Use (WU) - m3 H2O_Waste Receiving and Holding; wastewater treatment unit; at updated plant - US_Base_With Amendment_Windrow</v>
      </c>
    </row>
    <row r="878" spans="1:13" s="120" customFormat="1" x14ac:dyDescent="0.25">
      <c r="A878" s="119"/>
      <c r="B878" s="138" t="str">
        <f t="shared" si="44"/>
        <v>Windrow</v>
      </c>
      <c r="C878" s="138" t="str">
        <f t="shared" si="47"/>
        <v>Base_With Amendment</v>
      </c>
      <c r="D878" s="118" t="s">
        <v>135</v>
      </c>
      <c r="E878" s="118" t="s">
        <v>130</v>
      </c>
      <c r="F878" s="118" t="s">
        <v>46</v>
      </c>
      <c r="G878" s="153"/>
      <c r="H878" s="155">
        <v>0.31559999999999999</v>
      </c>
      <c r="I878" s="154" t="s">
        <v>147</v>
      </c>
      <c r="J878" s="204">
        <v>1.8000000000000001E-4</v>
      </c>
      <c r="K878" s="154" t="s">
        <v>26</v>
      </c>
      <c r="L878" s="154" t="str">
        <f>IF(OpenLCAbasic!K878="CTUh", "Fill in Manually",IF(OR(K878="Unit", K878=""), "", INDEX(LookUps!$E$5:$E$12, MATCH(OpenLCAbasic!K878,LookUps!$D$5:$D$12,0))))</f>
        <v>Water Use (WU) - m3 H2O</v>
      </c>
      <c r="M878" s="154" t="str">
        <f t="shared" si="46"/>
        <v>Base_Medium_Low_Upgraded_Water Use (WU) - m3 H2O_Influent Pump Station; wastewater treatment unit; at updated plant - US_Base_With Amendment_Windrow</v>
      </c>
    </row>
    <row r="879" spans="1:13" s="120" customFormat="1" x14ac:dyDescent="0.25">
      <c r="A879" s="119"/>
      <c r="B879" s="138" t="str">
        <f t="shared" si="44"/>
        <v>Windrow</v>
      </c>
      <c r="C879" s="138" t="str">
        <f t="shared" si="47"/>
        <v>Base_With Amendment</v>
      </c>
      <c r="D879" s="118" t="s">
        <v>135</v>
      </c>
      <c r="E879" s="118" t="s">
        <v>130</v>
      </c>
      <c r="F879" s="118" t="s">
        <v>46</v>
      </c>
      <c r="G879" s="153"/>
      <c r="H879" s="155">
        <v>0.30790000000000001</v>
      </c>
      <c r="I879" s="154" t="s">
        <v>54</v>
      </c>
      <c r="J879" s="204">
        <v>1.8000000000000001E-4</v>
      </c>
      <c r="K879" s="154" t="s">
        <v>26</v>
      </c>
      <c r="L879" s="154" t="str">
        <f>IF(OpenLCAbasic!K879="CTUh", "Fill in Manually",IF(OR(K879="Unit", K879=""), "", INDEX(LookUps!$E$5:$E$12, MATCH(OpenLCAbasic!K879,LookUps!$D$5:$D$12,0))))</f>
        <v>Water Use (WU) - m3 H2O</v>
      </c>
      <c r="M879" s="154" t="str">
        <f t="shared" si="46"/>
        <v>Base_Medium_Low_Upgraded_Water Use (WU) - m3 H2O_Clear Cove Primary Clarification; wastewater treatment unit; at updated plant - US_Base_With Amendment_Windrow</v>
      </c>
    </row>
    <row r="880" spans="1:13" s="120" customFormat="1" x14ac:dyDescent="0.25">
      <c r="A880" s="119"/>
      <c r="B880" s="138" t="str">
        <f t="shared" si="44"/>
        <v>Windrow</v>
      </c>
      <c r="C880" s="138" t="str">
        <f t="shared" si="47"/>
        <v>Base_With Amendment</v>
      </c>
      <c r="D880" s="118" t="s">
        <v>135</v>
      </c>
      <c r="E880" s="118" t="s">
        <v>130</v>
      </c>
      <c r="F880" s="118" t="s">
        <v>46</v>
      </c>
      <c r="G880" s="153"/>
      <c r="H880" s="155">
        <v>0.27929999999999999</v>
      </c>
      <c r="I880" s="154" t="s">
        <v>55</v>
      </c>
      <c r="J880" s="204">
        <v>1.6000000000000001E-4</v>
      </c>
      <c r="K880" s="154" t="s">
        <v>26</v>
      </c>
      <c r="L880" s="154" t="str">
        <f>IF(OpenLCAbasic!K880="CTUh", "Fill in Manually",IF(OR(K880="Unit", K880=""), "", INDEX(LookUps!$E$5:$E$12, MATCH(OpenLCAbasic!K880,LookUps!$D$5:$D$12,0))))</f>
        <v>Water Use (WU) - m3 H2O</v>
      </c>
      <c r="M880" s="154" t="str">
        <f t="shared" si="46"/>
        <v>Base_Medium_Low_Upgraded_Water Use (WU) - m3 H2O_Aeration Tanks; wastewater treatment unit; at updated plant - US_Base_With Amendment_Windrow</v>
      </c>
    </row>
    <row r="881" spans="1:13" s="120" customFormat="1" x14ac:dyDescent="0.25">
      <c r="A881" s="119"/>
      <c r="B881" s="138" t="str">
        <f t="shared" si="44"/>
        <v>Windrow</v>
      </c>
      <c r="C881" s="138" t="str">
        <f t="shared" si="47"/>
        <v>Base_With Amendment</v>
      </c>
      <c r="D881" s="118" t="s">
        <v>135</v>
      </c>
      <c r="E881" s="118" t="s">
        <v>130</v>
      </c>
      <c r="F881" s="118" t="s">
        <v>46</v>
      </c>
      <c r="G881" s="153"/>
      <c r="H881" s="155">
        <v>0.2545</v>
      </c>
      <c r="I881" s="154" t="s">
        <v>148</v>
      </c>
      <c r="J881" s="204">
        <v>1.4999999999999999E-4</v>
      </c>
      <c r="K881" s="154" t="s">
        <v>26</v>
      </c>
      <c r="L881" s="154" t="str">
        <f>IF(OpenLCAbasic!K881="CTUh", "Fill in Manually",IF(OR(K881="Unit", K881=""), "", INDEX(LookUps!$E$5:$E$12, MATCH(OpenLCAbasic!K881,LookUps!$D$5:$D$12,0))))</f>
        <v>Water Use (WU) - m3 H2O</v>
      </c>
      <c r="M881" s="154" t="str">
        <f t="shared" si="46"/>
        <v>Base_Medium_Low_Upgraded_Water Use (WU) - m3 H2O_Control Building; at upgraded wastewater treatment plant - US_Base_With Amendment_Windrow</v>
      </c>
    </row>
    <row r="882" spans="1:13" s="120" customFormat="1" x14ac:dyDescent="0.25">
      <c r="A882" s="119"/>
      <c r="B882" s="138" t="str">
        <f t="shared" si="44"/>
        <v>Windrow</v>
      </c>
      <c r="C882" s="138" t="str">
        <f t="shared" si="47"/>
        <v>Base_With Amendment</v>
      </c>
      <c r="D882" s="118" t="s">
        <v>135</v>
      </c>
      <c r="E882" s="118" t="s">
        <v>130</v>
      </c>
      <c r="F882" s="118" t="s">
        <v>46</v>
      </c>
      <c r="G882" s="153"/>
      <c r="H882" s="155">
        <v>0.1182</v>
      </c>
      <c r="I882" s="154" t="s">
        <v>48</v>
      </c>
      <c r="J882" s="204">
        <v>6.8836400000000004E-5</v>
      </c>
      <c r="K882" s="154" t="s">
        <v>26</v>
      </c>
      <c r="L882" s="154" t="str">
        <f>IF(OpenLCAbasic!K882="CTUh", "Fill in Manually",IF(OR(K882="Unit", K882=""), "", INDEX(LookUps!$E$5:$E$12, MATCH(OpenLCAbasic!K882,LookUps!$D$5:$D$12,0))))</f>
        <v>Water Use (WU) - m3 H2O</v>
      </c>
      <c r="M882" s="154" t="str">
        <f t="shared" si="46"/>
        <v>Base_Medium_Low_Upgraded_Water Use (WU) - m3 H2O_Effluent release; wastewater treatment unit; at surface water; m3 wastewater - US_Base_With Amendment_Windrow</v>
      </c>
    </row>
    <row r="883" spans="1:13" s="120" customFormat="1" x14ac:dyDescent="0.25">
      <c r="A883" s="119"/>
      <c r="B883" s="138" t="str">
        <f t="shared" si="44"/>
        <v>Windrow</v>
      </c>
      <c r="C883" s="138" t="str">
        <f t="shared" si="47"/>
        <v>Base_With Amendment</v>
      </c>
      <c r="D883" s="118" t="s">
        <v>135</v>
      </c>
      <c r="E883" s="118" t="s">
        <v>130</v>
      </c>
      <c r="F883" s="118" t="s">
        <v>46</v>
      </c>
      <c r="G883" s="153"/>
      <c r="H883" s="155">
        <v>7.4200000000000002E-2</v>
      </c>
      <c r="I883" s="154" t="s">
        <v>58</v>
      </c>
      <c r="J883" s="204">
        <v>4.3235300000000003E-5</v>
      </c>
      <c r="K883" s="154" t="s">
        <v>26</v>
      </c>
      <c r="L883" s="154" t="str">
        <f>IF(OpenLCAbasic!K883="CTUh", "Fill in Manually",IF(OR(K883="Unit", K883=""), "", INDEX(LookUps!$E$5:$E$12, MATCH(OpenLCAbasic!K883,LookUps!$D$5:$D$12,0))))</f>
        <v>Water Use (WU) - m3 H2O</v>
      </c>
      <c r="M883" s="154" t="str">
        <f t="shared" si="46"/>
        <v>Base_Medium_Low_Upgraded_Water Use (WU) - m3 H2O_Pre-Anoxic &amp; Swing tank; wastewater treatment unit; at updated plant - US_Base_With Amendment_Windrow</v>
      </c>
    </row>
    <row r="884" spans="1:13" s="120" customFormat="1" x14ac:dyDescent="0.25">
      <c r="A884" s="119"/>
      <c r="B884" s="138" t="str">
        <f t="shared" si="44"/>
        <v>Windrow</v>
      </c>
      <c r="C884" s="138" t="str">
        <f t="shared" si="47"/>
        <v>Base_With Amendment</v>
      </c>
      <c r="D884" s="118" t="s">
        <v>135</v>
      </c>
      <c r="E884" s="118" t="s">
        <v>130</v>
      </c>
      <c r="F884" s="118" t="s">
        <v>46</v>
      </c>
      <c r="G884" s="153"/>
      <c r="H884" s="155">
        <v>5.8700000000000002E-2</v>
      </c>
      <c r="I884" s="154" t="s">
        <v>60</v>
      </c>
      <c r="J884" s="204">
        <v>3.4196200000000003E-5</v>
      </c>
      <c r="K884" s="154" t="s">
        <v>26</v>
      </c>
      <c r="L884" s="154" t="str">
        <f>IF(OpenLCAbasic!K884="CTUh", "Fill in Manually",IF(OR(K884="Unit", K884=""), "", INDEX(LookUps!$E$5:$E$12, MATCH(OpenLCAbasic!K884,LookUps!$D$5:$D$12,0))))</f>
        <v>Water Use (WU) - m3 H2O</v>
      </c>
      <c r="M884" s="154" t="str">
        <f t="shared" si="46"/>
        <v>Base_Medium_Low_Upgraded_Water Use (WU) - m3 H2O_Belt filter press; wastewater treatment unit; at updated plant - US_Base_With Amendment_Windrow</v>
      </c>
    </row>
    <row r="885" spans="1:13" s="120" customFormat="1" x14ac:dyDescent="0.25">
      <c r="A885" s="119"/>
      <c r="B885" s="138" t="str">
        <f t="shared" si="44"/>
        <v>Windrow</v>
      </c>
      <c r="C885" s="138" t="str">
        <f t="shared" si="47"/>
        <v>Base_With Amendment</v>
      </c>
      <c r="D885" s="118" t="s">
        <v>135</v>
      </c>
      <c r="E885" s="118" t="s">
        <v>130</v>
      </c>
      <c r="F885" s="118" t="s">
        <v>46</v>
      </c>
      <c r="G885" s="153"/>
      <c r="H885" s="155">
        <v>5.2200000000000003E-2</v>
      </c>
      <c r="I885" s="154" t="s">
        <v>57</v>
      </c>
      <c r="J885" s="204">
        <v>3.0408100000000001E-5</v>
      </c>
      <c r="K885" s="154" t="s">
        <v>26</v>
      </c>
      <c r="L885" s="154" t="str">
        <f>IF(OpenLCAbasic!K885="CTUh", "Fill in Manually",IF(OR(K885="Unit", K885=""), "", INDEX(LookUps!$E$5:$E$12, MATCH(OpenLCAbasic!K885,LookUps!$D$5:$D$12,0))))</f>
        <v>Water Use (WU) - m3 H2O</v>
      </c>
      <c r="M885" s="154" t="str">
        <f t="shared" si="46"/>
        <v>Base_Medium_Low_Upgraded_Water Use (WU) - m3 H2O_Gravity Belt Thickener; wastewater treatment unit; at updated plant - US_Base_With Amendment_Windrow</v>
      </c>
    </row>
    <row r="886" spans="1:13" s="120" customFormat="1" x14ac:dyDescent="0.25">
      <c r="A886" s="119"/>
      <c r="B886" s="138" t="str">
        <f t="shared" si="44"/>
        <v>Windrow</v>
      </c>
      <c r="C886" s="138" t="str">
        <f t="shared" si="47"/>
        <v>Base_With Amendment</v>
      </c>
      <c r="D886" s="118" t="s">
        <v>135</v>
      </c>
      <c r="E886" s="118" t="s">
        <v>130</v>
      </c>
      <c r="F886" s="118" t="s">
        <v>46</v>
      </c>
      <c r="G886" s="153"/>
      <c r="H886" s="155">
        <v>4.7E-2</v>
      </c>
      <c r="I886" s="154" t="s">
        <v>149</v>
      </c>
      <c r="J886" s="204">
        <v>2.7368600000000001E-5</v>
      </c>
      <c r="K886" s="154" t="s">
        <v>26</v>
      </c>
      <c r="L886" s="154" t="str">
        <f>IF(OpenLCAbasic!K886="CTUh", "Fill in Manually",IF(OR(K886="Unit", K886=""), "", INDEX(LookUps!$E$5:$E$12, MATCH(OpenLCAbasic!K886,LookUps!$D$5:$D$12,0))))</f>
        <v>Water Use (WU) - m3 H2O</v>
      </c>
      <c r="M886" s="154" t="str">
        <f t="shared" si="46"/>
        <v>Base_Medium_Low_Upgraded_Water Use (WU) - m3 H2O_Anaerobic Digestion; wastewater treatment unit; at updated plant - US_Base_With Amendment_Windrow</v>
      </c>
    </row>
    <row r="887" spans="1:13" s="120" customFormat="1" x14ac:dyDescent="0.25">
      <c r="A887" s="119"/>
      <c r="B887" s="138" t="str">
        <f t="shared" si="44"/>
        <v>Windrow</v>
      </c>
      <c r="C887" s="138" t="str">
        <f t="shared" si="47"/>
        <v>Base_With Amendment</v>
      </c>
      <c r="D887" s="118" t="s">
        <v>135</v>
      </c>
      <c r="E887" s="118" t="s">
        <v>130</v>
      </c>
      <c r="F887" s="118" t="s">
        <v>46</v>
      </c>
      <c r="G887" s="153"/>
      <c r="H887" s="155">
        <v>3.0099999999999998E-2</v>
      </c>
      <c r="I887" s="154" t="s">
        <v>53</v>
      </c>
      <c r="J887" s="204">
        <v>1.75069E-5</v>
      </c>
      <c r="K887" s="154" t="s">
        <v>26</v>
      </c>
      <c r="L887" s="154" t="str">
        <f>IF(OpenLCAbasic!K887="CTUh", "Fill in Manually",IF(OR(K887="Unit", K887=""), "", INDEX(LookUps!$E$5:$E$12, MATCH(OpenLCAbasic!K887,LookUps!$D$5:$D$12,0))))</f>
        <v>Water Use (WU) - m3 H2O</v>
      </c>
      <c r="M887" s="154" t="str">
        <f t="shared" si="46"/>
        <v>Base_Medium_Low_Upgraded_Water Use (WU) - m3 H2O_Wet Well and Sump Station; wastewater treatment unit; at updated plant - US_Base_With Amendment_Windrow</v>
      </c>
    </row>
    <row r="888" spans="1:13" s="120" customFormat="1" x14ac:dyDescent="0.25">
      <c r="A888" s="119"/>
      <c r="B888" s="138" t="str">
        <f t="shared" si="44"/>
        <v>Windrow</v>
      </c>
      <c r="C888" s="138" t="str">
        <f t="shared" si="47"/>
        <v>Base_With Amendment</v>
      </c>
      <c r="D888" s="118" t="s">
        <v>135</v>
      </c>
      <c r="E888" s="118" t="s">
        <v>130</v>
      </c>
      <c r="F888" s="118" t="s">
        <v>46</v>
      </c>
      <c r="G888" s="153"/>
      <c r="H888" s="155">
        <v>1.2E-2</v>
      </c>
      <c r="I888" s="154" t="s">
        <v>59</v>
      </c>
      <c r="J888" s="204">
        <v>7.0179500000000003E-6</v>
      </c>
      <c r="K888" s="154" t="s">
        <v>26</v>
      </c>
      <c r="L888" s="154" t="str">
        <f>IF(OpenLCAbasic!K888="CTUh", "Fill in Manually",IF(OR(K888="Unit", K888=""), "", INDEX(LookUps!$E$5:$E$12, MATCH(OpenLCAbasic!K888,LookUps!$D$5:$D$12,0))))</f>
        <v>Water Use (WU) - m3 H2O</v>
      </c>
      <c r="M888" s="154" t="str">
        <f t="shared" si="46"/>
        <v>Base_Medium_Low_Upgraded_Water Use (WU) - m3 H2O_Blend Tank; wastewater treatment unit; at updated plant - US_Base_With Amendment_Windrow</v>
      </c>
    </row>
    <row r="889" spans="1:13" s="120" customFormat="1" x14ac:dyDescent="0.25">
      <c r="A889" s="119"/>
      <c r="B889" s="138" t="str">
        <f t="shared" si="44"/>
        <v>Windrow</v>
      </c>
      <c r="C889" s="138" t="str">
        <f t="shared" si="47"/>
        <v>Base_With Amendment</v>
      </c>
      <c r="D889" s="118" t="s">
        <v>135</v>
      </c>
      <c r="E889" s="118" t="s">
        <v>130</v>
      </c>
      <c r="F889" s="118" t="s">
        <v>46</v>
      </c>
      <c r="G889" s="153"/>
      <c r="H889" s="155">
        <v>8.6999999999999994E-3</v>
      </c>
      <c r="I889" s="154" t="s">
        <v>128</v>
      </c>
      <c r="J889" s="204">
        <v>5.0608900000000003E-6</v>
      </c>
      <c r="K889" s="154" t="s">
        <v>26</v>
      </c>
      <c r="L889" s="154" t="str">
        <f>IF(OpenLCAbasic!K889="CTUh", "Fill in Manually",IF(OR(K889="Unit", K889=""), "", INDEX(LookUps!$E$5:$E$12, MATCH(OpenLCAbasic!K889,LookUps!$D$5:$D$12,0))))</f>
        <v>Water Use (WU) - m3 H2O</v>
      </c>
      <c r="M889" s="154" t="str">
        <f t="shared" si="46"/>
        <v>Base_Medium_Low_Upgraded_Water Use (WU) - m3 H2O_Wastewater collection; operation and infrastructure; m3 wastewater_Base_With Amendment_Windrow</v>
      </c>
    </row>
    <row r="890" spans="1:13" s="120" customFormat="1" x14ac:dyDescent="0.25">
      <c r="A890" s="119"/>
      <c r="B890" s="138" t="str">
        <f t="shared" si="44"/>
        <v>Windrow</v>
      </c>
      <c r="C890" s="138" t="str">
        <f t="shared" si="47"/>
        <v>Base_With Amendment</v>
      </c>
      <c r="D890" s="118" t="s">
        <v>135</v>
      </c>
      <c r="E890" s="118" t="s">
        <v>130</v>
      </c>
      <c r="F890" s="118" t="s">
        <v>46</v>
      </c>
      <c r="G890" s="153"/>
      <c r="H890" s="155">
        <v>2.8999999999999998E-3</v>
      </c>
      <c r="I890" s="154" t="s">
        <v>271</v>
      </c>
      <c r="J890" s="204">
        <v>1.67133E-6</v>
      </c>
      <c r="K890" s="154" t="s">
        <v>26</v>
      </c>
      <c r="L890" s="154" t="str">
        <f>IF(OpenLCAbasic!K890="CTUh", "Fill in Manually",IF(OR(K890="Unit", K890=""), "", INDEX(LookUps!$E$5:$E$12, MATCH(OpenLCAbasic!K890,LookUps!$D$5:$D$12,0))))</f>
        <v>Water Use (WU) - m3 H2O</v>
      </c>
      <c r="M890" s="154" t="str">
        <f t="shared" si="46"/>
        <v>Base_Medium_Low_Upgraded_Water Use (WU) - m3 H2O_Biosolids composting; windrow composting; wastewater treatment unit; at updated plant - US_Base_With Amendment_Windrow</v>
      </c>
    </row>
    <row r="891" spans="1:13" s="120" customFormat="1" x14ac:dyDescent="0.25">
      <c r="A891" s="119"/>
      <c r="B891" s="138" t="str">
        <f t="shared" si="44"/>
        <v>Windrow</v>
      </c>
      <c r="C891" s="138" t="str">
        <f t="shared" si="47"/>
        <v>Base_With Amendment</v>
      </c>
      <c r="D891" s="118" t="s">
        <v>135</v>
      </c>
      <c r="E891" s="118" t="s">
        <v>130</v>
      </c>
      <c r="F891" s="118" t="s">
        <v>46</v>
      </c>
      <c r="G891" s="153"/>
      <c r="H891" s="155">
        <v>1.2999999999999999E-3</v>
      </c>
      <c r="I891" s="154" t="s">
        <v>168</v>
      </c>
      <c r="J891" s="204">
        <v>7.6697000000000004E-7</v>
      </c>
      <c r="K891" s="154" t="s">
        <v>26</v>
      </c>
      <c r="L891" s="154" t="str">
        <f>IF(OpenLCAbasic!K891="CTUh", "Fill in Manually",IF(OR(K891="Unit", K891=""), "", INDEX(LookUps!$E$5:$E$12, MATCH(OpenLCAbasic!K891,LookUps!$D$5:$D$12,0))))</f>
        <v>Water Use (WU) - m3 H2O</v>
      </c>
      <c r="M891" s="154" t="str">
        <f t="shared" si="46"/>
        <v>Base_Medium_Low_Upgraded_Water Use (WU) - m3 H2O_ClearCove SCP; wastewater treatment unit; at updated plant - US_Base_With Amendment_Windrow</v>
      </c>
    </row>
    <row r="892" spans="1:13" s="120" customFormat="1" x14ac:dyDescent="0.25">
      <c r="A892" s="119"/>
      <c r="B892" s="138" t="str">
        <f t="shared" si="44"/>
        <v>Windrow</v>
      </c>
      <c r="C892" s="138" t="str">
        <f t="shared" si="47"/>
        <v>Base_With Amendment</v>
      </c>
      <c r="D892" s="118" t="s">
        <v>135</v>
      </c>
      <c r="E892" s="118" t="s">
        <v>130</v>
      </c>
      <c r="F892" s="118" t="s">
        <v>46</v>
      </c>
      <c r="G892" s="153"/>
      <c r="H892" s="155">
        <v>-3.0459999999999998</v>
      </c>
      <c r="I892" s="154" t="s">
        <v>62</v>
      </c>
      <c r="J892" s="204">
        <v>-1.7700000000000001E-3</v>
      </c>
      <c r="K892" s="154" t="s">
        <v>26</v>
      </c>
      <c r="L892" s="154" t="str">
        <f>IF(OpenLCAbasic!K892="CTUh", "Fill in Manually",IF(OR(K892="Unit", K892=""), "", INDEX(LookUps!$E$5:$E$12, MATCH(OpenLCAbasic!K892,LookUps!$D$5:$D$12,0))))</f>
        <v>Water Use (WU) - m3 H2O</v>
      </c>
      <c r="M892" s="154" t="str">
        <f t="shared" si="46"/>
        <v>Base_Medium_Low_Upgraded_Water Use (WU) - m3 H2O_Land application of compost; wastewater treatment unit; at updated plant - US_Base_With Amendment_Windrow</v>
      </c>
    </row>
    <row r="893" spans="1:13" s="120" customFormat="1" x14ac:dyDescent="0.25">
      <c r="A893" s="119"/>
      <c r="B893" s="138" t="str">
        <f t="shared" si="44"/>
        <v>Windrow</v>
      </c>
      <c r="C893" s="138" t="str">
        <f t="shared" si="47"/>
        <v>Base_With Amendment</v>
      </c>
      <c r="D893" s="118" t="s">
        <v>135</v>
      </c>
      <c r="E893" s="118" t="s">
        <v>130</v>
      </c>
      <c r="F893" s="118" t="s">
        <v>46</v>
      </c>
      <c r="G893" s="153" t="s">
        <v>51</v>
      </c>
      <c r="H893" s="154"/>
      <c r="I893" s="154" t="s">
        <v>47</v>
      </c>
      <c r="J893" s="154" t="s">
        <v>52</v>
      </c>
      <c r="K893" s="154" t="s">
        <v>27</v>
      </c>
      <c r="L893" s="154" t="str">
        <f>IF(OpenLCAbasic!K893="CTUh", "Fill in Manually",IF(OR(K893="Unit", K893=""), "", INDEX(LookUps!$E$5:$E$12, MATCH(OpenLCAbasic!K893,LookUps!$D$5:$D$12,0))))</f>
        <v/>
      </c>
      <c r="M893" s="154" t="str">
        <f t="shared" si="46"/>
        <v>Base_Medium_Low_Upgraded__Process_Base_With Amendment_Windrow</v>
      </c>
    </row>
    <row r="894" spans="1:13" s="120" customFormat="1" x14ac:dyDescent="0.25">
      <c r="A894" s="119"/>
      <c r="B894" s="138" t="str">
        <f t="shared" si="44"/>
        <v>Windrow</v>
      </c>
      <c r="C894" s="138" t="str">
        <f t="shared" si="47"/>
        <v>Base_With Amendment</v>
      </c>
      <c r="D894" s="118" t="s">
        <v>135</v>
      </c>
      <c r="E894" s="118" t="s">
        <v>130</v>
      </c>
      <c r="F894" s="118" t="s">
        <v>46</v>
      </c>
      <c r="G894" s="153"/>
      <c r="H894" s="155">
        <v>0.38179999999999997</v>
      </c>
      <c r="I894" s="154" t="s">
        <v>167</v>
      </c>
      <c r="J894" s="203">
        <v>9.7259999999999999E-2</v>
      </c>
      <c r="K894" s="154" t="s">
        <v>14</v>
      </c>
      <c r="L894" s="154" t="str">
        <f>IF(OpenLCAbasic!K894="CTUh", "Fill in Manually",IF(OR(K894="Unit", K894=""), "", INDEX(LookUps!$E$5:$E$12, MATCH(OpenLCAbasic!K894,LookUps!$D$5:$D$12,0))))</f>
        <v>Fossil Depletion Potential (FDP) - kg oil eq</v>
      </c>
      <c r="M894" s="154" t="str">
        <f t="shared" si="46"/>
        <v>Base_Medium_Low_Upgraded_Fossil Depletion Potential (FDP) - kg oil eq_Waste Receiving and Holding; wastewater treatment unit; at updated plant - US_Base_With Amendment_Windrow</v>
      </c>
    </row>
    <row r="895" spans="1:13" s="120" customFormat="1" x14ac:dyDescent="0.25">
      <c r="A895" s="119"/>
      <c r="B895" s="138" t="str">
        <f t="shared" si="44"/>
        <v>Windrow</v>
      </c>
      <c r="C895" s="138" t="str">
        <f t="shared" si="47"/>
        <v>Base_With Amendment</v>
      </c>
      <c r="D895" s="118" t="s">
        <v>135</v>
      </c>
      <c r="E895" s="118" t="s">
        <v>130</v>
      </c>
      <c r="F895" s="118" t="s">
        <v>46</v>
      </c>
      <c r="G895" s="153"/>
      <c r="H895" s="155">
        <v>0.24959999999999999</v>
      </c>
      <c r="I895" s="154" t="s">
        <v>55</v>
      </c>
      <c r="J895" s="203">
        <v>6.3589999999999994E-2</v>
      </c>
      <c r="K895" s="154" t="s">
        <v>14</v>
      </c>
      <c r="L895" s="154" t="str">
        <f>IF(OpenLCAbasic!K895="CTUh", "Fill in Manually",IF(OR(K895="Unit", K895=""), "", INDEX(LookUps!$E$5:$E$12, MATCH(OpenLCAbasic!K895,LookUps!$D$5:$D$12,0))))</f>
        <v>Fossil Depletion Potential (FDP) - kg oil eq</v>
      </c>
      <c r="M895" s="154" t="str">
        <f t="shared" si="46"/>
        <v>Base_Medium_Low_Upgraded_Fossil Depletion Potential (FDP) - kg oil eq_Aeration Tanks; wastewater treatment unit; at updated plant - US_Base_With Amendment_Windrow</v>
      </c>
    </row>
    <row r="896" spans="1:13" s="120" customFormat="1" x14ac:dyDescent="0.25">
      <c r="A896" s="119"/>
      <c r="B896" s="138" t="str">
        <f t="shared" si="44"/>
        <v>Windrow</v>
      </c>
      <c r="C896" s="138" t="str">
        <f t="shared" si="47"/>
        <v>Base_With Amendment</v>
      </c>
      <c r="D896" s="118" t="s">
        <v>135</v>
      </c>
      <c r="E896" s="118" t="s">
        <v>130</v>
      </c>
      <c r="F896" s="118" t="s">
        <v>46</v>
      </c>
      <c r="G896" s="153"/>
      <c r="H896" s="155">
        <v>8.2600000000000007E-2</v>
      </c>
      <c r="I896" s="154" t="s">
        <v>54</v>
      </c>
      <c r="J896" s="203">
        <v>2.1049999999999999E-2</v>
      </c>
      <c r="K896" s="154" t="s">
        <v>14</v>
      </c>
      <c r="L896" s="154" t="str">
        <f>IF(OpenLCAbasic!K896="CTUh", "Fill in Manually",IF(OR(K896="Unit", K896=""), "", INDEX(LookUps!$E$5:$E$12, MATCH(OpenLCAbasic!K896,LookUps!$D$5:$D$12,0))))</f>
        <v>Fossil Depletion Potential (FDP) - kg oil eq</v>
      </c>
      <c r="M896" s="154" t="str">
        <f t="shared" si="46"/>
        <v>Base_Medium_Low_Upgraded_Fossil Depletion Potential (FDP) - kg oil eq_Clear Cove Primary Clarification; wastewater treatment unit; at updated plant - US_Base_With Amendment_Windrow</v>
      </c>
    </row>
    <row r="897" spans="1:13" s="120" customFormat="1" x14ac:dyDescent="0.25">
      <c r="A897" s="119"/>
      <c r="B897" s="138" t="str">
        <f t="shared" si="44"/>
        <v>Windrow</v>
      </c>
      <c r="C897" s="138" t="str">
        <f t="shared" si="47"/>
        <v>Base_With Amendment</v>
      </c>
      <c r="D897" s="118" t="s">
        <v>135</v>
      </c>
      <c r="E897" s="118" t="s">
        <v>130</v>
      </c>
      <c r="F897" s="118" t="s">
        <v>46</v>
      </c>
      <c r="G897" s="153"/>
      <c r="H897" s="155">
        <v>6.2700000000000006E-2</v>
      </c>
      <c r="I897" s="154" t="s">
        <v>58</v>
      </c>
      <c r="J897" s="203">
        <v>1.5980000000000001E-2</v>
      </c>
      <c r="K897" s="154" t="s">
        <v>14</v>
      </c>
      <c r="L897" s="154" t="str">
        <f>IF(OpenLCAbasic!K897="CTUh", "Fill in Manually",IF(OR(K897="Unit", K897=""), "", INDEX(LookUps!$E$5:$E$12, MATCH(OpenLCAbasic!K897,LookUps!$D$5:$D$12,0))))</f>
        <v>Fossil Depletion Potential (FDP) - kg oil eq</v>
      </c>
      <c r="M897" s="154" t="str">
        <f t="shared" si="46"/>
        <v>Base_Medium_Low_Upgraded_Fossil Depletion Potential (FDP) - kg oil eq_Pre-Anoxic &amp; Swing tank; wastewater treatment unit; at updated plant - US_Base_With Amendment_Windrow</v>
      </c>
    </row>
    <row r="898" spans="1:13" s="120" customFormat="1" x14ac:dyDescent="0.25">
      <c r="A898" s="119"/>
      <c r="B898" s="138" t="str">
        <f t="shared" si="44"/>
        <v>Windrow</v>
      </c>
      <c r="C898" s="138" t="str">
        <f t="shared" si="47"/>
        <v>Base_With Amendment</v>
      </c>
      <c r="D898" s="118" t="s">
        <v>135</v>
      </c>
      <c r="E898" s="118" t="s">
        <v>130</v>
      </c>
      <c r="F898" s="118" t="s">
        <v>46</v>
      </c>
      <c r="G898" s="153"/>
      <c r="H898" s="155">
        <v>5.9200000000000003E-2</v>
      </c>
      <c r="I898" s="154" t="s">
        <v>147</v>
      </c>
      <c r="J898" s="203">
        <v>1.5089999999999999E-2</v>
      </c>
      <c r="K898" s="154" t="s">
        <v>14</v>
      </c>
      <c r="L898" s="154" t="str">
        <f>IF(OpenLCAbasic!K898="CTUh", "Fill in Manually",IF(OR(K898="Unit", K898=""), "", INDEX(LookUps!$E$5:$E$12, MATCH(OpenLCAbasic!K898,LookUps!$D$5:$D$12,0))))</f>
        <v>Fossil Depletion Potential (FDP) - kg oil eq</v>
      </c>
      <c r="M898" s="154" t="str">
        <f t="shared" si="46"/>
        <v>Base_Medium_Low_Upgraded_Fossil Depletion Potential (FDP) - kg oil eq_Influent Pump Station; wastewater treatment unit; at updated plant - US_Base_With Amendment_Windrow</v>
      </c>
    </row>
    <row r="899" spans="1:13" s="120" customFormat="1" x14ac:dyDescent="0.25">
      <c r="A899" s="119"/>
      <c r="B899" s="138" t="str">
        <f t="shared" si="44"/>
        <v>Windrow</v>
      </c>
      <c r="C899" s="138" t="str">
        <f t="shared" si="47"/>
        <v>Base_With Amendment</v>
      </c>
      <c r="D899" s="118" t="s">
        <v>135</v>
      </c>
      <c r="E899" s="118" t="s">
        <v>130</v>
      </c>
      <c r="F899" s="118" t="s">
        <v>46</v>
      </c>
      <c r="G899" s="153"/>
      <c r="H899" s="155">
        <v>4.9000000000000002E-2</v>
      </c>
      <c r="I899" s="154" t="s">
        <v>53</v>
      </c>
      <c r="J899" s="203">
        <v>1.2489999999999999E-2</v>
      </c>
      <c r="K899" s="154" t="s">
        <v>14</v>
      </c>
      <c r="L899" s="154" t="str">
        <f>IF(OpenLCAbasic!K899="CTUh", "Fill in Manually",IF(OR(K899="Unit", K899=""), "", INDEX(LookUps!$E$5:$E$12, MATCH(OpenLCAbasic!K899,LookUps!$D$5:$D$12,0))))</f>
        <v>Fossil Depletion Potential (FDP) - kg oil eq</v>
      </c>
      <c r="M899" s="154" t="str">
        <f t="shared" si="46"/>
        <v>Base_Medium_Low_Upgraded_Fossil Depletion Potential (FDP) - kg oil eq_Wet Well and Sump Station; wastewater treatment unit; at updated plant - US_Base_With Amendment_Windrow</v>
      </c>
    </row>
    <row r="900" spans="1:13" s="120" customFormat="1" x14ac:dyDescent="0.25">
      <c r="A900" s="119"/>
      <c r="B900" s="138" t="str">
        <f t="shared" si="44"/>
        <v>Windrow</v>
      </c>
      <c r="C900" s="138" t="str">
        <f t="shared" si="47"/>
        <v>Base_With Amendment</v>
      </c>
      <c r="D900" s="118" t="s">
        <v>135</v>
      </c>
      <c r="E900" s="118" t="s">
        <v>130</v>
      </c>
      <c r="F900" s="118" t="s">
        <v>46</v>
      </c>
      <c r="G900" s="153"/>
      <c r="H900" s="155">
        <v>3.7900000000000003E-2</v>
      </c>
      <c r="I900" s="154" t="s">
        <v>149</v>
      </c>
      <c r="J900" s="204">
        <v>9.6600000000000002E-3</v>
      </c>
      <c r="K900" s="154" t="s">
        <v>14</v>
      </c>
      <c r="L900" s="154" t="str">
        <f>IF(OpenLCAbasic!K900="CTUh", "Fill in Manually",IF(OR(K900="Unit", K900=""), "", INDEX(LookUps!$E$5:$E$12, MATCH(OpenLCAbasic!K900,LookUps!$D$5:$D$12,0))))</f>
        <v>Fossil Depletion Potential (FDP) - kg oil eq</v>
      </c>
      <c r="M900" s="154" t="str">
        <f t="shared" si="46"/>
        <v>Base_Medium_Low_Upgraded_Fossil Depletion Potential (FDP) - kg oil eq_Anaerobic Digestion; wastewater treatment unit; at updated plant - US_Base_With Amendment_Windrow</v>
      </c>
    </row>
    <row r="901" spans="1:13" s="120" customFormat="1" x14ac:dyDescent="0.25">
      <c r="A901" s="119"/>
      <c r="B901" s="138" t="str">
        <f t="shared" si="44"/>
        <v>Windrow</v>
      </c>
      <c r="C901" s="138" t="str">
        <f t="shared" si="47"/>
        <v>Base_With Amendment</v>
      </c>
      <c r="D901" s="118" t="s">
        <v>135</v>
      </c>
      <c r="E901" s="118" t="s">
        <v>130</v>
      </c>
      <c r="F901" s="118" t="s">
        <v>46</v>
      </c>
      <c r="G901" s="153"/>
      <c r="H901" s="155">
        <v>3.56E-2</v>
      </c>
      <c r="I901" s="154" t="s">
        <v>60</v>
      </c>
      <c r="J901" s="204">
        <v>9.0600000000000003E-3</v>
      </c>
      <c r="K901" s="154" t="s">
        <v>14</v>
      </c>
      <c r="L901" s="154" t="str">
        <f>IF(OpenLCAbasic!K901="CTUh", "Fill in Manually",IF(OR(K901="Unit", K901=""), "", INDEX(LookUps!$E$5:$E$12, MATCH(OpenLCAbasic!K901,LookUps!$D$5:$D$12,0))))</f>
        <v>Fossil Depletion Potential (FDP) - kg oil eq</v>
      </c>
      <c r="M901" s="154" t="str">
        <f t="shared" si="46"/>
        <v>Base_Medium_Low_Upgraded_Fossil Depletion Potential (FDP) - kg oil eq_Belt filter press; wastewater treatment unit; at updated plant - US_Base_With Amendment_Windrow</v>
      </c>
    </row>
    <row r="902" spans="1:13" s="120" customFormat="1" x14ac:dyDescent="0.25">
      <c r="A902" s="119"/>
      <c r="B902" s="138" t="str">
        <f t="shared" si="44"/>
        <v>Windrow</v>
      </c>
      <c r="C902" s="138" t="str">
        <f t="shared" si="47"/>
        <v>Base_With Amendment</v>
      </c>
      <c r="D902" s="118" t="s">
        <v>135</v>
      </c>
      <c r="E902" s="118" t="s">
        <v>130</v>
      </c>
      <c r="F902" s="118" t="s">
        <v>46</v>
      </c>
      <c r="G902" s="153"/>
      <c r="H902" s="155">
        <v>2.7099999999999999E-2</v>
      </c>
      <c r="I902" s="154" t="s">
        <v>57</v>
      </c>
      <c r="J902" s="204">
        <v>6.9199999999999999E-3</v>
      </c>
      <c r="K902" s="154" t="s">
        <v>14</v>
      </c>
      <c r="L902" s="154" t="str">
        <f>IF(OpenLCAbasic!K902="CTUh", "Fill in Manually",IF(OR(K902="Unit", K902=""), "", INDEX(LookUps!$E$5:$E$12, MATCH(OpenLCAbasic!K902,LookUps!$D$5:$D$12,0))))</f>
        <v>Fossil Depletion Potential (FDP) - kg oil eq</v>
      </c>
      <c r="M902" s="154" t="str">
        <f t="shared" si="46"/>
        <v>Base_Medium_Low_Upgraded_Fossil Depletion Potential (FDP) - kg oil eq_Gravity Belt Thickener; wastewater treatment unit; at updated plant - US_Base_With Amendment_Windrow</v>
      </c>
    </row>
    <row r="903" spans="1:13" s="120" customFormat="1" x14ac:dyDescent="0.25">
      <c r="A903" s="119"/>
      <c r="B903" s="138" t="str">
        <f t="shared" ref="B903:B966" si="48">IF(F903="Legacy","n.a.",IF(F903="","","Windrow"))</f>
        <v>Windrow</v>
      </c>
      <c r="C903" s="138" t="str">
        <f t="shared" ref="C903:C909" si="49">IF(E903&lt;&gt;"", "Base_With Amendment","")</f>
        <v>Base_With Amendment</v>
      </c>
      <c r="D903" s="118" t="s">
        <v>135</v>
      </c>
      <c r="E903" s="118" t="s">
        <v>130</v>
      </c>
      <c r="F903" s="118" t="s">
        <v>46</v>
      </c>
      <c r="G903" s="153"/>
      <c r="H903" s="155">
        <v>1.77E-2</v>
      </c>
      <c r="I903" s="154" t="s">
        <v>128</v>
      </c>
      <c r="J903" s="204">
        <v>4.4999999999999997E-3</v>
      </c>
      <c r="K903" s="154" t="s">
        <v>14</v>
      </c>
      <c r="L903" s="154" t="str">
        <f>IF(OpenLCAbasic!K903="CTUh", "Fill in Manually",IF(OR(K903="Unit", K903=""), "", INDEX(LookUps!$E$5:$E$12, MATCH(OpenLCAbasic!K903,LookUps!$D$5:$D$12,0))))</f>
        <v>Fossil Depletion Potential (FDP) - kg oil eq</v>
      </c>
      <c r="M903" s="154" t="str">
        <f t="shared" si="46"/>
        <v>Base_Medium_Low_Upgraded_Fossil Depletion Potential (FDP) - kg oil eq_Wastewater collection; operation and infrastructure; m3 wastewater_Base_With Amendment_Windrow</v>
      </c>
    </row>
    <row r="904" spans="1:13" s="120" customFormat="1" x14ac:dyDescent="0.25">
      <c r="A904" s="119"/>
      <c r="B904" s="138" t="str">
        <f t="shared" si="48"/>
        <v>Windrow</v>
      </c>
      <c r="C904" s="138" t="str">
        <f t="shared" si="49"/>
        <v>Base_With Amendment</v>
      </c>
      <c r="D904" s="118" t="s">
        <v>135</v>
      </c>
      <c r="E904" s="118" t="s">
        <v>130</v>
      </c>
      <c r="F904" s="118" t="s">
        <v>46</v>
      </c>
      <c r="G904" s="153"/>
      <c r="H904" s="155">
        <v>1.0999999999999999E-2</v>
      </c>
      <c r="I904" s="154" t="s">
        <v>148</v>
      </c>
      <c r="J904" s="204">
        <v>2.8E-3</v>
      </c>
      <c r="K904" s="154" t="s">
        <v>14</v>
      </c>
      <c r="L904" s="154" t="str">
        <f>IF(OpenLCAbasic!K904="CTUh", "Fill in Manually",IF(OR(K904="Unit", K904=""), "", INDEX(LookUps!$E$5:$E$12, MATCH(OpenLCAbasic!K904,LookUps!$D$5:$D$12,0))))</f>
        <v>Fossil Depletion Potential (FDP) - kg oil eq</v>
      </c>
      <c r="M904" s="154" t="str">
        <f t="shared" ref="M904:M967" si="50">CONCATENATE(E904,"_",D904,"_",F904,"_",L904, "_",I904,"_", C904,"_", B904)</f>
        <v>Base_Medium_Low_Upgraded_Fossil Depletion Potential (FDP) - kg oil eq_Control Building; at upgraded wastewater treatment plant - US_Base_With Amendment_Windrow</v>
      </c>
    </row>
    <row r="905" spans="1:13" s="120" customFormat="1" x14ac:dyDescent="0.25">
      <c r="A905" s="119"/>
      <c r="B905" s="138" t="str">
        <f t="shared" si="48"/>
        <v>Windrow</v>
      </c>
      <c r="C905" s="138" t="str">
        <f t="shared" si="49"/>
        <v>Base_With Amendment</v>
      </c>
      <c r="D905" s="118" t="s">
        <v>135</v>
      </c>
      <c r="E905" s="118" t="s">
        <v>130</v>
      </c>
      <c r="F905" s="118" t="s">
        <v>46</v>
      </c>
      <c r="G905" s="153"/>
      <c r="H905" s="155">
        <v>9.2999999999999992E-3</v>
      </c>
      <c r="I905" s="154" t="s">
        <v>48</v>
      </c>
      <c r="J905" s="204">
        <v>2.3600000000000001E-3</v>
      </c>
      <c r="K905" s="154" t="s">
        <v>14</v>
      </c>
      <c r="L905" s="154" t="str">
        <f>IF(OpenLCAbasic!K905="CTUh", "Fill in Manually",IF(OR(K905="Unit", K905=""), "", INDEX(LookUps!$E$5:$E$12, MATCH(OpenLCAbasic!K905,LookUps!$D$5:$D$12,0))))</f>
        <v>Fossil Depletion Potential (FDP) - kg oil eq</v>
      </c>
      <c r="M905" s="154" t="str">
        <f t="shared" si="50"/>
        <v>Base_Medium_Low_Upgraded_Fossil Depletion Potential (FDP) - kg oil eq_Effluent release; wastewater treatment unit; at surface water; m3 wastewater - US_Base_With Amendment_Windrow</v>
      </c>
    </row>
    <row r="906" spans="1:13" s="120" customFormat="1" x14ac:dyDescent="0.25">
      <c r="A906" s="119"/>
      <c r="B906" s="138" t="str">
        <f t="shared" si="48"/>
        <v>Windrow</v>
      </c>
      <c r="C906" s="138" t="str">
        <f t="shared" si="49"/>
        <v>Base_With Amendment</v>
      </c>
      <c r="D906" s="118" t="s">
        <v>135</v>
      </c>
      <c r="E906" s="118" t="s">
        <v>130</v>
      </c>
      <c r="F906" s="118" t="s">
        <v>46</v>
      </c>
      <c r="G906" s="153"/>
      <c r="H906" s="155">
        <v>7.4999999999999997E-3</v>
      </c>
      <c r="I906" s="154" t="s">
        <v>59</v>
      </c>
      <c r="J906" s="204">
        <v>1.92E-3</v>
      </c>
      <c r="K906" s="154" t="s">
        <v>14</v>
      </c>
      <c r="L906" s="154" t="str">
        <f>IF(OpenLCAbasic!K906="CTUh", "Fill in Manually",IF(OR(K906="Unit", K906=""), "", INDEX(LookUps!$E$5:$E$12, MATCH(OpenLCAbasic!K906,LookUps!$D$5:$D$12,0))))</f>
        <v>Fossil Depletion Potential (FDP) - kg oil eq</v>
      </c>
      <c r="M906" s="154" t="str">
        <f t="shared" si="50"/>
        <v>Base_Medium_Low_Upgraded_Fossil Depletion Potential (FDP) - kg oil eq_Blend Tank; wastewater treatment unit; at updated plant - US_Base_With Amendment_Windrow</v>
      </c>
    </row>
    <row r="907" spans="1:13" s="120" customFormat="1" x14ac:dyDescent="0.25">
      <c r="A907" s="119"/>
      <c r="B907" s="138" t="str">
        <f t="shared" si="48"/>
        <v>Windrow</v>
      </c>
      <c r="C907" s="138" t="str">
        <f t="shared" si="49"/>
        <v>Base_With Amendment</v>
      </c>
      <c r="D907" s="118" t="s">
        <v>135</v>
      </c>
      <c r="E907" s="118" t="s">
        <v>130</v>
      </c>
      <c r="F907" s="118" t="s">
        <v>46</v>
      </c>
      <c r="G907" s="153"/>
      <c r="H907" s="155">
        <v>3.5999999999999999E-3</v>
      </c>
      <c r="I907" s="154" t="s">
        <v>168</v>
      </c>
      <c r="J907" s="204">
        <v>9.1E-4</v>
      </c>
      <c r="K907" s="154" t="s">
        <v>14</v>
      </c>
      <c r="L907" s="154" t="str">
        <f>IF(OpenLCAbasic!K907="CTUh", "Fill in Manually",IF(OR(K907="Unit", K907=""), "", INDEX(LookUps!$E$5:$E$12, MATCH(OpenLCAbasic!K907,LookUps!$D$5:$D$12,0))))</f>
        <v>Fossil Depletion Potential (FDP) - kg oil eq</v>
      </c>
      <c r="M907" s="154" t="str">
        <f t="shared" si="50"/>
        <v>Base_Medium_Low_Upgraded_Fossil Depletion Potential (FDP) - kg oil eq_ClearCove SCP; wastewater treatment unit; at updated plant - US_Base_With Amendment_Windrow</v>
      </c>
    </row>
    <row r="908" spans="1:13" s="120" customFormat="1" x14ac:dyDescent="0.25">
      <c r="A908" s="119"/>
      <c r="B908" s="138" t="str">
        <f t="shared" si="48"/>
        <v>Windrow</v>
      </c>
      <c r="C908" s="138" t="str">
        <f t="shared" si="49"/>
        <v>Base_With Amendment</v>
      </c>
      <c r="D908" s="118" t="s">
        <v>135</v>
      </c>
      <c r="E908" s="118" t="s">
        <v>130</v>
      </c>
      <c r="F908" s="118" t="s">
        <v>46</v>
      </c>
      <c r="G908" s="153"/>
      <c r="H908" s="155">
        <v>2.7000000000000001E-3</v>
      </c>
      <c r="I908" s="154" t="s">
        <v>271</v>
      </c>
      <c r="J908" s="203">
        <v>6.8999999999999997E-4</v>
      </c>
      <c r="K908" s="154" t="s">
        <v>14</v>
      </c>
      <c r="L908" s="154" t="str">
        <f>IF(OpenLCAbasic!K908="CTUh", "Fill in Manually",IF(OR(K908="Unit", K908=""), "", INDEX(LookUps!$E$5:$E$12, MATCH(OpenLCAbasic!K908,LookUps!$D$5:$D$12,0))))</f>
        <v>Fossil Depletion Potential (FDP) - kg oil eq</v>
      </c>
      <c r="M908" s="154" t="str">
        <f t="shared" si="50"/>
        <v>Base_Medium_Low_Upgraded_Fossil Depletion Potential (FDP) - kg oil eq_Biosolids composting; windrow composting; wastewater treatment unit; at updated plant - US_Base_With Amendment_Windrow</v>
      </c>
    </row>
    <row r="909" spans="1:13" s="120" customFormat="1" x14ac:dyDescent="0.25">
      <c r="A909" s="213"/>
      <c r="B909" s="138" t="str">
        <f t="shared" si="48"/>
        <v>Windrow</v>
      </c>
      <c r="C909" s="138" t="str">
        <f t="shared" si="49"/>
        <v>Base_With Amendment</v>
      </c>
      <c r="D909" s="118" t="s">
        <v>135</v>
      </c>
      <c r="E909" s="118" t="s">
        <v>130</v>
      </c>
      <c r="F909" s="118" t="s">
        <v>46</v>
      </c>
      <c r="G909" s="153"/>
      <c r="H909" s="155">
        <v>-3.73E-2</v>
      </c>
      <c r="I909" s="154" t="s">
        <v>62</v>
      </c>
      <c r="J909" s="203">
        <v>-9.5200000000000007E-3</v>
      </c>
      <c r="K909" s="154" t="s">
        <v>14</v>
      </c>
      <c r="L909" s="154" t="str">
        <f>IF(OpenLCAbasic!K909="CTUh", "Fill in Manually",IF(OR(K909="Unit", K909=""), "", INDEX(LookUps!$E$5:$E$12, MATCH(OpenLCAbasic!K909,LookUps!$D$5:$D$12,0))))</f>
        <v>Fossil Depletion Potential (FDP) - kg oil eq</v>
      </c>
      <c r="M909" s="154" t="str">
        <f t="shared" si="50"/>
        <v>Base_Medium_Low_Upgraded_Fossil Depletion Potential (FDP) - kg oil eq_Land application of compost; wastewater treatment unit; at updated plant - US_Base_With Amendment_Windrow</v>
      </c>
    </row>
    <row r="910" spans="1:13" s="120" customFormat="1" x14ac:dyDescent="0.25">
      <c r="A910" s="119"/>
      <c r="B910" s="138" t="str">
        <f t="shared" si="48"/>
        <v/>
      </c>
      <c r="C910" s="138"/>
      <c r="D910" s="118"/>
      <c r="E910" s="118"/>
      <c r="F910" s="118"/>
      <c r="G910" s="153" t="s">
        <v>51</v>
      </c>
      <c r="H910" s="154"/>
      <c r="I910" s="154" t="s">
        <v>47</v>
      </c>
      <c r="J910" s="154" t="s">
        <v>52</v>
      </c>
      <c r="K910" s="154" t="s">
        <v>27</v>
      </c>
      <c r="L910" s="154" t="str">
        <f>IF(OpenLCAbasic!K910="CTUh", "Fill in Manually",IF(OR(K910="Unit", K910=""), "", INDEX(LookUps!$E$5:$E$12, MATCH(OpenLCAbasic!K910,LookUps!$D$5:$D$12,0))))</f>
        <v/>
      </c>
      <c r="M910" s="154" t="str">
        <f t="shared" si="50"/>
        <v>____Process__</v>
      </c>
    </row>
    <row r="911" spans="1:13" s="120" customFormat="1" x14ac:dyDescent="0.25">
      <c r="A911" s="119"/>
      <c r="B911" s="138" t="str">
        <f t="shared" si="48"/>
        <v>Windrow</v>
      </c>
      <c r="C911" s="138" t="str">
        <f t="shared" ref="C911:C974" si="51">IF(E911&lt;&gt;"", "Base_With Amendment","")</f>
        <v>Base_With Amendment</v>
      </c>
      <c r="D911" s="118" t="s">
        <v>137</v>
      </c>
      <c r="E911" s="118" t="s">
        <v>130</v>
      </c>
      <c r="F911" s="118" t="s">
        <v>46</v>
      </c>
      <c r="G911" s="153"/>
      <c r="H911" s="155">
        <v>1.8236000000000001</v>
      </c>
      <c r="I911" s="154" t="s">
        <v>271</v>
      </c>
      <c r="J911" s="203">
        <v>0.96086000000000005</v>
      </c>
      <c r="K911" s="154" t="s">
        <v>23</v>
      </c>
      <c r="L911" s="154" t="str">
        <f>IF(OpenLCAbasic!K911="CTUh", "Fill in Manually",IF(OR(K911="Unit", K911=""), "", INDEX(LookUps!$E$5:$E$12, MATCH(OpenLCAbasic!K911,LookUps!$D$5:$D$12,0))))</f>
        <v>Global Warming Potential (GWP) - kg CO2 eq</v>
      </c>
      <c r="M911" s="154" t="str">
        <f t="shared" si="50"/>
        <v>Base_Medium_High_Upgraded_Global Warming Potential (GWP) - kg CO2 eq_Biosolids composting; windrow composting; wastewater treatment unit; at updated plant - US_Base_With Amendment_Windrow</v>
      </c>
    </row>
    <row r="912" spans="1:13" s="120" customFormat="1" x14ac:dyDescent="0.25">
      <c r="A912" s="119"/>
      <c r="B912" s="138" t="str">
        <f t="shared" si="48"/>
        <v>Windrow</v>
      </c>
      <c r="C912" s="138" t="str">
        <f t="shared" si="51"/>
        <v>Base_With Amendment</v>
      </c>
      <c r="D912" s="118" t="s">
        <v>137</v>
      </c>
      <c r="E912" s="118" t="s">
        <v>130</v>
      </c>
      <c r="F912" s="118" t="s">
        <v>46</v>
      </c>
      <c r="G912" s="153"/>
      <c r="H912" s="155">
        <v>0.46629999999999999</v>
      </c>
      <c r="I912" s="154" t="s">
        <v>58</v>
      </c>
      <c r="J912" s="203">
        <v>0.24568999999999999</v>
      </c>
      <c r="K912" s="154" t="s">
        <v>23</v>
      </c>
      <c r="L912" s="154" t="str">
        <f>IF(OpenLCAbasic!K912="CTUh", "Fill in Manually",IF(OR(K912="Unit", K912=""), "", INDEX(LookUps!$E$5:$E$12, MATCH(OpenLCAbasic!K912,LookUps!$D$5:$D$12,0))))</f>
        <v>Global Warming Potential (GWP) - kg CO2 eq</v>
      </c>
      <c r="M912" s="154" t="str">
        <f t="shared" si="50"/>
        <v>Base_Medium_High_Upgraded_Global Warming Potential (GWP) - kg CO2 eq_Pre-Anoxic &amp; Swing tank; wastewater treatment unit; at updated plant - US_Base_With Amendment_Windrow</v>
      </c>
    </row>
    <row r="913" spans="1:13" s="120" customFormat="1" x14ac:dyDescent="0.25">
      <c r="A913" s="119"/>
      <c r="B913" s="138" t="str">
        <f t="shared" si="48"/>
        <v>Windrow</v>
      </c>
      <c r="C913" s="138" t="str">
        <f t="shared" si="51"/>
        <v>Base_With Amendment</v>
      </c>
      <c r="D913" s="118" t="s">
        <v>137</v>
      </c>
      <c r="E913" s="118" t="s">
        <v>130</v>
      </c>
      <c r="F913" s="118" t="s">
        <v>46</v>
      </c>
      <c r="G913" s="153"/>
      <c r="H913" s="155">
        <v>0.31929999999999997</v>
      </c>
      <c r="I913" s="154" t="s">
        <v>55</v>
      </c>
      <c r="J913" s="203">
        <v>0.16822000000000001</v>
      </c>
      <c r="K913" s="154" t="s">
        <v>23</v>
      </c>
      <c r="L913" s="154" t="str">
        <f>IF(OpenLCAbasic!K913="CTUh", "Fill in Manually",IF(OR(K913="Unit", K913=""), "", INDEX(LookUps!$E$5:$E$12, MATCH(OpenLCAbasic!K913,LookUps!$D$5:$D$12,0))))</f>
        <v>Global Warming Potential (GWP) - kg CO2 eq</v>
      </c>
      <c r="M913" s="154" t="str">
        <f t="shared" si="50"/>
        <v>Base_Medium_High_Upgraded_Global Warming Potential (GWP) - kg CO2 eq_Aeration Tanks; wastewater treatment unit; at updated plant - US_Base_With Amendment_Windrow</v>
      </c>
    </row>
    <row r="914" spans="1:13" s="120" customFormat="1" x14ac:dyDescent="0.25">
      <c r="A914" s="119"/>
      <c r="B914" s="138" t="str">
        <f t="shared" si="48"/>
        <v>Windrow</v>
      </c>
      <c r="C914" s="138" t="str">
        <f t="shared" si="51"/>
        <v>Base_With Amendment</v>
      </c>
      <c r="D914" s="118" t="s">
        <v>137</v>
      </c>
      <c r="E914" s="118" t="s">
        <v>130</v>
      </c>
      <c r="F914" s="118" t="s">
        <v>46</v>
      </c>
      <c r="G914" s="153"/>
      <c r="H914" s="155">
        <v>0.23449999999999999</v>
      </c>
      <c r="I914" s="154" t="s">
        <v>167</v>
      </c>
      <c r="J914" s="203">
        <v>0.12354999999999999</v>
      </c>
      <c r="K914" s="154" t="s">
        <v>23</v>
      </c>
      <c r="L914" s="154" t="str">
        <f>IF(OpenLCAbasic!K914="CTUh", "Fill in Manually",IF(OR(K914="Unit", K914=""), "", INDEX(LookUps!$E$5:$E$12, MATCH(OpenLCAbasic!K914,LookUps!$D$5:$D$12,0))))</f>
        <v>Global Warming Potential (GWP) - kg CO2 eq</v>
      </c>
      <c r="M914" s="154" t="str">
        <f t="shared" si="50"/>
        <v>Base_Medium_High_Upgraded_Global Warming Potential (GWP) - kg CO2 eq_Waste Receiving and Holding; wastewater treatment unit; at updated plant - US_Base_With Amendment_Windrow</v>
      </c>
    </row>
    <row r="915" spans="1:13" s="120" customFormat="1" x14ac:dyDescent="0.25">
      <c r="A915" s="119"/>
      <c r="B915" s="138" t="str">
        <f t="shared" si="48"/>
        <v>Windrow</v>
      </c>
      <c r="C915" s="138" t="str">
        <f t="shared" si="51"/>
        <v>Base_With Amendment</v>
      </c>
      <c r="D915" s="118" t="s">
        <v>137</v>
      </c>
      <c r="E915" s="118" t="s">
        <v>130</v>
      </c>
      <c r="F915" s="118" t="s">
        <v>46</v>
      </c>
      <c r="G915" s="153"/>
      <c r="H915" s="155">
        <v>0.10829999999999999</v>
      </c>
      <c r="I915" s="154" t="s">
        <v>54</v>
      </c>
      <c r="J915" s="203">
        <v>5.7079999999999999E-2</v>
      </c>
      <c r="K915" s="154" t="s">
        <v>23</v>
      </c>
      <c r="L915" s="154" t="str">
        <f>IF(OpenLCAbasic!K915="CTUh", "Fill in Manually",IF(OR(K915="Unit", K915=""), "", INDEX(LookUps!$E$5:$E$12, MATCH(OpenLCAbasic!K915,LookUps!$D$5:$D$12,0))))</f>
        <v>Global Warming Potential (GWP) - kg CO2 eq</v>
      </c>
      <c r="M915" s="154" t="str">
        <f t="shared" si="50"/>
        <v>Base_Medium_High_Upgraded_Global Warming Potential (GWP) - kg CO2 eq_Clear Cove Primary Clarification; wastewater treatment unit; at updated plant - US_Base_With Amendment_Windrow</v>
      </c>
    </row>
    <row r="916" spans="1:13" s="120" customFormat="1" x14ac:dyDescent="0.25">
      <c r="A916" s="119"/>
      <c r="B916" s="138" t="str">
        <f t="shared" si="48"/>
        <v>Windrow</v>
      </c>
      <c r="C916" s="138" t="str">
        <f t="shared" si="51"/>
        <v>Base_With Amendment</v>
      </c>
      <c r="D916" s="118" t="s">
        <v>137</v>
      </c>
      <c r="E916" s="118" t="s">
        <v>130</v>
      </c>
      <c r="F916" s="118" t="s">
        <v>46</v>
      </c>
      <c r="G916" s="153"/>
      <c r="H916" s="155">
        <v>9.9900000000000003E-2</v>
      </c>
      <c r="I916" s="154" t="s">
        <v>48</v>
      </c>
      <c r="J916" s="203">
        <v>5.2639999999999999E-2</v>
      </c>
      <c r="K916" s="154" t="s">
        <v>23</v>
      </c>
      <c r="L916" s="154" t="str">
        <f>IF(OpenLCAbasic!K916="CTUh", "Fill in Manually",IF(OR(K916="Unit", K916=""), "", INDEX(LookUps!$E$5:$E$12, MATCH(OpenLCAbasic!K916,LookUps!$D$5:$D$12,0))))</f>
        <v>Global Warming Potential (GWP) - kg CO2 eq</v>
      </c>
      <c r="M916" s="154" t="str">
        <f t="shared" si="50"/>
        <v>Base_Medium_High_Upgraded_Global Warming Potential (GWP) - kg CO2 eq_Effluent release; wastewater treatment unit; at surface water; m3 wastewater - US_Base_With Amendment_Windrow</v>
      </c>
    </row>
    <row r="917" spans="1:13" s="120" customFormat="1" x14ac:dyDescent="0.25">
      <c r="A917" s="119"/>
      <c r="B917" s="138" t="str">
        <f t="shared" si="48"/>
        <v>Windrow</v>
      </c>
      <c r="C917" s="138" t="str">
        <f t="shared" si="51"/>
        <v>Base_With Amendment</v>
      </c>
      <c r="D917" s="118" t="s">
        <v>137</v>
      </c>
      <c r="E917" s="118" t="s">
        <v>130</v>
      </c>
      <c r="F917" s="118" t="s">
        <v>46</v>
      </c>
      <c r="G917" s="153"/>
      <c r="H917" s="155">
        <v>9.5799999999999996E-2</v>
      </c>
      <c r="I917" s="154" t="s">
        <v>147</v>
      </c>
      <c r="J917" s="203">
        <v>5.0500000000000003E-2</v>
      </c>
      <c r="K917" s="154" t="s">
        <v>23</v>
      </c>
      <c r="L917" s="154" t="str">
        <f>IF(OpenLCAbasic!K917="CTUh", "Fill in Manually",IF(OR(K917="Unit", K917=""), "", INDEX(LookUps!$E$5:$E$12, MATCH(OpenLCAbasic!K917,LookUps!$D$5:$D$12,0))))</f>
        <v>Global Warming Potential (GWP) - kg CO2 eq</v>
      </c>
      <c r="M917" s="154" t="str">
        <f t="shared" si="50"/>
        <v>Base_Medium_High_Upgraded_Global Warming Potential (GWP) - kg CO2 eq_Influent Pump Station; wastewater treatment unit; at updated plant - US_Base_With Amendment_Windrow</v>
      </c>
    </row>
    <row r="918" spans="1:13" s="120" customFormat="1" x14ac:dyDescent="0.25">
      <c r="A918" s="119"/>
      <c r="B918" s="138" t="str">
        <f t="shared" si="48"/>
        <v>Windrow</v>
      </c>
      <c r="C918" s="138" t="str">
        <f t="shared" si="51"/>
        <v>Base_With Amendment</v>
      </c>
      <c r="D918" s="118" t="s">
        <v>137</v>
      </c>
      <c r="E918" s="118" t="s">
        <v>130</v>
      </c>
      <c r="F918" s="118" t="s">
        <v>46</v>
      </c>
      <c r="G918" s="153"/>
      <c r="H918" s="155">
        <v>6.3100000000000003E-2</v>
      </c>
      <c r="I918" s="154" t="s">
        <v>53</v>
      </c>
      <c r="J918" s="203">
        <v>3.3259999999999998E-2</v>
      </c>
      <c r="K918" s="154" t="s">
        <v>23</v>
      </c>
      <c r="L918" s="154" t="str">
        <f>IF(OpenLCAbasic!K918="CTUh", "Fill in Manually",IF(OR(K918="Unit", K918=""), "", INDEX(LookUps!$E$5:$E$12, MATCH(OpenLCAbasic!K918,LookUps!$D$5:$D$12,0))))</f>
        <v>Global Warming Potential (GWP) - kg CO2 eq</v>
      </c>
      <c r="M918" s="154" t="str">
        <f t="shared" si="50"/>
        <v>Base_Medium_High_Upgraded_Global Warming Potential (GWP) - kg CO2 eq_Wet Well and Sump Station; wastewater treatment unit; at updated plant - US_Base_With Amendment_Windrow</v>
      </c>
    </row>
    <row r="919" spans="1:13" s="120" customFormat="1" x14ac:dyDescent="0.25">
      <c r="A919" s="119"/>
      <c r="B919" s="138" t="str">
        <f t="shared" si="48"/>
        <v>Windrow</v>
      </c>
      <c r="C919" s="138" t="str">
        <f t="shared" si="51"/>
        <v>Base_With Amendment</v>
      </c>
      <c r="D919" s="118" t="s">
        <v>137</v>
      </c>
      <c r="E919" s="118" t="s">
        <v>130</v>
      </c>
      <c r="F919" s="118" t="s">
        <v>46</v>
      </c>
      <c r="G919" s="153"/>
      <c r="H919" s="155">
        <v>3.2000000000000001E-2</v>
      </c>
      <c r="I919" s="154" t="s">
        <v>60</v>
      </c>
      <c r="J919" s="203">
        <v>1.6879999999999999E-2</v>
      </c>
      <c r="K919" s="154" t="s">
        <v>23</v>
      </c>
      <c r="L919" s="154" t="str">
        <f>IF(OpenLCAbasic!K919="CTUh", "Fill in Manually",IF(OR(K919="Unit", K919=""), "", INDEX(LookUps!$E$5:$E$12, MATCH(OpenLCAbasic!K919,LookUps!$D$5:$D$12,0))))</f>
        <v>Global Warming Potential (GWP) - kg CO2 eq</v>
      </c>
      <c r="M919" s="154" t="str">
        <f t="shared" si="50"/>
        <v>Base_Medium_High_Upgraded_Global Warming Potential (GWP) - kg CO2 eq_Belt filter press; wastewater treatment unit; at updated plant - US_Base_With Amendment_Windrow</v>
      </c>
    </row>
    <row r="920" spans="1:13" s="120" customFormat="1" x14ac:dyDescent="0.25">
      <c r="A920" s="119"/>
      <c r="B920" s="138" t="str">
        <f t="shared" si="48"/>
        <v>Windrow</v>
      </c>
      <c r="C920" s="138" t="str">
        <f t="shared" si="51"/>
        <v>Base_With Amendment</v>
      </c>
      <c r="D920" s="118" t="s">
        <v>137</v>
      </c>
      <c r="E920" s="118" t="s">
        <v>130</v>
      </c>
      <c r="F920" s="118" t="s">
        <v>46</v>
      </c>
      <c r="G920" s="153"/>
      <c r="H920" s="155">
        <v>2.76E-2</v>
      </c>
      <c r="I920" s="154" t="s">
        <v>57</v>
      </c>
      <c r="J920" s="203">
        <v>1.455E-2</v>
      </c>
      <c r="K920" s="154" t="s">
        <v>23</v>
      </c>
      <c r="L920" s="154" t="str">
        <f>IF(OpenLCAbasic!K920="CTUh", "Fill in Manually",IF(OR(K920="Unit", K920=""), "", INDEX(LookUps!$E$5:$E$12, MATCH(OpenLCAbasic!K920,LookUps!$D$5:$D$12,0))))</f>
        <v>Global Warming Potential (GWP) - kg CO2 eq</v>
      </c>
      <c r="M920" s="154" t="str">
        <f t="shared" si="50"/>
        <v>Base_Medium_High_Upgraded_Global Warming Potential (GWP) - kg CO2 eq_Gravity Belt Thickener; wastewater treatment unit; at updated plant - US_Base_With Amendment_Windrow</v>
      </c>
    </row>
    <row r="921" spans="1:13" s="120" customFormat="1" x14ac:dyDescent="0.25">
      <c r="A921" s="119"/>
      <c r="B921" s="138" t="str">
        <f t="shared" si="48"/>
        <v>Windrow</v>
      </c>
      <c r="C921" s="138" t="str">
        <f t="shared" si="51"/>
        <v>Base_With Amendment</v>
      </c>
      <c r="D921" s="118" t="s">
        <v>137</v>
      </c>
      <c r="E921" s="118" t="s">
        <v>130</v>
      </c>
      <c r="F921" s="118" t="s">
        <v>46</v>
      </c>
      <c r="G921" s="153"/>
      <c r="H921" s="155">
        <v>2.5600000000000001E-2</v>
      </c>
      <c r="I921" s="154" t="s">
        <v>128</v>
      </c>
      <c r="J921" s="204">
        <v>1.3509999999999999E-2</v>
      </c>
      <c r="K921" s="154" t="s">
        <v>23</v>
      </c>
      <c r="L921" s="154" t="str">
        <f>IF(OpenLCAbasic!K921="CTUh", "Fill in Manually",IF(OR(K921="Unit", K921=""), "", INDEX(LookUps!$E$5:$E$12, MATCH(OpenLCAbasic!K921,LookUps!$D$5:$D$12,0))))</f>
        <v>Global Warming Potential (GWP) - kg CO2 eq</v>
      </c>
      <c r="M921" s="154" t="str">
        <f t="shared" si="50"/>
        <v>Base_Medium_High_Upgraded_Global Warming Potential (GWP) - kg CO2 eq_Wastewater collection; operation and infrastructure; m3 wastewater_Base_With Amendment_Windrow</v>
      </c>
    </row>
    <row r="922" spans="1:13" s="120" customFormat="1" x14ac:dyDescent="0.25">
      <c r="A922" s="119"/>
      <c r="B922" s="138" t="str">
        <f t="shared" si="48"/>
        <v>Windrow</v>
      </c>
      <c r="C922" s="138" t="str">
        <f t="shared" si="51"/>
        <v>Base_With Amendment</v>
      </c>
      <c r="D922" s="118" t="s">
        <v>137</v>
      </c>
      <c r="E922" s="118" t="s">
        <v>130</v>
      </c>
      <c r="F922" s="118" t="s">
        <v>46</v>
      </c>
      <c r="G922" s="153"/>
      <c r="H922" s="155">
        <v>1.5699999999999999E-2</v>
      </c>
      <c r="I922" s="154" t="s">
        <v>148</v>
      </c>
      <c r="J922" s="204">
        <v>8.3000000000000001E-3</v>
      </c>
      <c r="K922" s="154" t="s">
        <v>23</v>
      </c>
      <c r="L922" s="154" t="str">
        <f>IF(OpenLCAbasic!K922="CTUh", "Fill in Manually",IF(OR(K922="Unit", K922=""), "", INDEX(LookUps!$E$5:$E$12, MATCH(OpenLCAbasic!K922,LookUps!$D$5:$D$12,0))))</f>
        <v>Global Warming Potential (GWP) - kg CO2 eq</v>
      </c>
      <c r="M922" s="154" t="str">
        <f t="shared" si="50"/>
        <v>Base_Medium_High_Upgraded_Global Warming Potential (GWP) - kg CO2 eq_Control Building; at upgraded wastewater treatment plant - US_Base_With Amendment_Windrow</v>
      </c>
    </row>
    <row r="923" spans="1:13" s="120" customFormat="1" x14ac:dyDescent="0.25">
      <c r="A923" s="119"/>
      <c r="B923" s="138" t="str">
        <f t="shared" si="48"/>
        <v>Windrow</v>
      </c>
      <c r="C923" s="138" t="str">
        <f t="shared" si="51"/>
        <v>Base_With Amendment</v>
      </c>
      <c r="D923" s="118" t="s">
        <v>137</v>
      </c>
      <c r="E923" s="118" t="s">
        <v>130</v>
      </c>
      <c r="F923" s="118" t="s">
        <v>46</v>
      </c>
      <c r="G923" s="153"/>
      <c r="H923" s="155">
        <v>9.5999999999999992E-3</v>
      </c>
      <c r="I923" s="154" t="s">
        <v>59</v>
      </c>
      <c r="J923" s="204">
        <v>5.0400000000000002E-3</v>
      </c>
      <c r="K923" s="154" t="s">
        <v>23</v>
      </c>
      <c r="L923" s="154" t="str">
        <f>IF(OpenLCAbasic!K923="CTUh", "Fill in Manually",IF(OR(K923="Unit", K923=""), "", INDEX(LookUps!$E$5:$E$12, MATCH(OpenLCAbasic!K923,LookUps!$D$5:$D$12,0))))</f>
        <v>Global Warming Potential (GWP) - kg CO2 eq</v>
      </c>
      <c r="M923" s="154" t="str">
        <f t="shared" si="50"/>
        <v>Base_Medium_High_Upgraded_Global Warming Potential (GWP) - kg CO2 eq_Blend Tank; wastewater treatment unit; at updated plant - US_Base_With Amendment_Windrow</v>
      </c>
    </row>
    <row r="924" spans="1:13" s="120" customFormat="1" x14ac:dyDescent="0.25">
      <c r="A924" s="119"/>
      <c r="B924" s="138" t="str">
        <f t="shared" si="48"/>
        <v>Windrow</v>
      </c>
      <c r="C924" s="138" t="str">
        <f t="shared" si="51"/>
        <v>Base_With Amendment</v>
      </c>
      <c r="D924" s="118" t="s">
        <v>137</v>
      </c>
      <c r="E924" s="118" t="s">
        <v>130</v>
      </c>
      <c r="F924" s="118" t="s">
        <v>46</v>
      </c>
      <c r="G924" s="153"/>
      <c r="H924" s="155">
        <v>4.5999999999999999E-3</v>
      </c>
      <c r="I924" s="154" t="s">
        <v>168</v>
      </c>
      <c r="J924" s="204">
        <v>2.4099999999999998E-3</v>
      </c>
      <c r="K924" s="154" t="s">
        <v>23</v>
      </c>
      <c r="L924" s="154" t="str">
        <f>IF(OpenLCAbasic!K924="CTUh", "Fill in Manually",IF(OR(K924="Unit", K924=""), "", INDEX(LookUps!$E$5:$E$12, MATCH(OpenLCAbasic!K924,LookUps!$D$5:$D$12,0))))</f>
        <v>Global Warming Potential (GWP) - kg CO2 eq</v>
      </c>
      <c r="M924" s="154" t="str">
        <f t="shared" si="50"/>
        <v>Base_Medium_High_Upgraded_Global Warming Potential (GWP) - kg CO2 eq_ClearCove SCP; wastewater treatment unit; at updated plant - US_Base_With Amendment_Windrow</v>
      </c>
    </row>
    <row r="925" spans="1:13" s="120" customFormat="1" x14ac:dyDescent="0.25">
      <c r="A925" s="119"/>
      <c r="B925" s="138" t="str">
        <f t="shared" si="48"/>
        <v>Windrow</v>
      </c>
      <c r="C925" s="138" t="str">
        <f t="shared" si="51"/>
        <v>Base_With Amendment</v>
      </c>
      <c r="D925" s="118" t="s">
        <v>137</v>
      </c>
      <c r="E925" s="118" t="s">
        <v>130</v>
      </c>
      <c r="F925" s="118" t="s">
        <v>46</v>
      </c>
      <c r="G925" s="153"/>
      <c r="H925" s="155">
        <v>-1.1408</v>
      </c>
      <c r="I925" s="154" t="s">
        <v>149</v>
      </c>
      <c r="J925" s="203">
        <v>-0.60107999999999995</v>
      </c>
      <c r="K925" s="154" t="s">
        <v>23</v>
      </c>
      <c r="L925" s="154" t="str">
        <f>IF(OpenLCAbasic!K925="CTUh", "Fill in Manually",IF(OR(K925="Unit", K925=""), "", INDEX(LookUps!$E$5:$E$12, MATCH(OpenLCAbasic!K925,LookUps!$D$5:$D$12,0))))</f>
        <v>Global Warming Potential (GWP) - kg CO2 eq</v>
      </c>
      <c r="M925" s="154" t="str">
        <f t="shared" si="50"/>
        <v>Base_Medium_High_Upgraded_Global Warming Potential (GWP) - kg CO2 eq_Anaerobic Digestion; wastewater treatment unit; at updated plant - US_Base_With Amendment_Windrow</v>
      </c>
    </row>
    <row r="926" spans="1:13" s="120" customFormat="1" x14ac:dyDescent="0.25">
      <c r="A926" s="119"/>
      <c r="B926" s="138" t="str">
        <f t="shared" si="48"/>
        <v>Windrow</v>
      </c>
      <c r="C926" s="138" t="str">
        <f t="shared" si="51"/>
        <v>Base_With Amendment</v>
      </c>
      <c r="D926" s="118" t="s">
        <v>137</v>
      </c>
      <c r="E926" s="118" t="s">
        <v>130</v>
      </c>
      <c r="F926" s="118" t="s">
        <v>46</v>
      </c>
      <c r="G926" s="153"/>
      <c r="H926" s="155">
        <v>-1.1853</v>
      </c>
      <c r="I926" s="154" t="s">
        <v>62</v>
      </c>
      <c r="J926" s="203">
        <v>-0.62451000000000001</v>
      </c>
      <c r="K926" s="154" t="s">
        <v>23</v>
      </c>
      <c r="L926" s="154" t="str">
        <f>IF(OpenLCAbasic!K926="CTUh", "Fill in Manually",IF(OR(K926="Unit", K926=""), "", INDEX(LookUps!$E$5:$E$12, MATCH(OpenLCAbasic!K926,LookUps!$D$5:$D$12,0))))</f>
        <v>Global Warming Potential (GWP) - kg CO2 eq</v>
      </c>
      <c r="M926" s="154" t="str">
        <f t="shared" si="50"/>
        <v>Base_Medium_High_Upgraded_Global Warming Potential (GWP) - kg CO2 eq_Land application of compost; wastewater treatment unit; at updated plant - US_Base_With Amendment_Windrow</v>
      </c>
    </row>
    <row r="927" spans="1:13" s="120" customFormat="1" x14ac:dyDescent="0.25">
      <c r="A927" s="119"/>
      <c r="B927" s="138" t="str">
        <f t="shared" si="48"/>
        <v>Windrow</v>
      </c>
      <c r="C927" s="138" t="str">
        <f t="shared" si="51"/>
        <v>Base_With Amendment</v>
      </c>
      <c r="D927" s="118" t="s">
        <v>137</v>
      </c>
      <c r="E927" s="118" t="s">
        <v>130</v>
      </c>
      <c r="F927" s="118" t="s">
        <v>46</v>
      </c>
      <c r="G927" s="153" t="s">
        <v>51</v>
      </c>
      <c r="H927" s="154"/>
      <c r="I927" s="154" t="s">
        <v>47</v>
      </c>
      <c r="J927" s="154" t="s">
        <v>52</v>
      </c>
      <c r="K927" s="154" t="s">
        <v>27</v>
      </c>
      <c r="L927" s="154" t="str">
        <f>IF(OpenLCAbasic!K927="CTUh", "Fill in Manually",IF(OR(K927="Unit", K927=""), "", INDEX(LookUps!$E$5:$E$12, MATCH(OpenLCAbasic!K927,LookUps!$D$5:$D$12,0))))</f>
        <v/>
      </c>
      <c r="M927" s="154" t="str">
        <f t="shared" si="50"/>
        <v>Base_Medium_High_Upgraded__Process_Base_With Amendment_Windrow</v>
      </c>
    </row>
    <row r="928" spans="1:13" s="120" customFormat="1" x14ac:dyDescent="0.25">
      <c r="A928" s="119"/>
      <c r="B928" s="138" t="str">
        <f t="shared" si="48"/>
        <v>Windrow</v>
      </c>
      <c r="C928" s="138" t="str">
        <f t="shared" si="51"/>
        <v>Base_With Amendment</v>
      </c>
      <c r="D928" s="118" t="s">
        <v>137</v>
      </c>
      <c r="E928" s="118" t="s">
        <v>130</v>
      </c>
      <c r="F928" s="118" t="s">
        <v>46</v>
      </c>
      <c r="G928" s="153"/>
      <c r="H928" s="155">
        <v>0.79149999999999998</v>
      </c>
      <c r="I928" s="154" t="s">
        <v>48</v>
      </c>
      <c r="J928" s="203">
        <v>1.1610000000000001E-2</v>
      </c>
      <c r="K928" s="154" t="s">
        <v>13</v>
      </c>
      <c r="L928" s="154" t="str">
        <f>IF(OpenLCAbasic!K928="CTUh", "Fill in Manually",IF(OR(K928="Unit", K928=""), "", INDEX(LookUps!$E$5:$E$12, MATCH(OpenLCAbasic!K928,LookUps!$D$5:$D$12,0))))</f>
        <v>Eutrophication Potential (EP) - kg N eq</v>
      </c>
      <c r="M928" s="154" t="str">
        <f t="shared" si="50"/>
        <v>Base_Medium_High_Upgraded_Eutrophication Potential (EP) - kg N eq_Effluent release; wastewater treatment unit; at surface water; m3 wastewater - US_Base_With Amendment_Windrow</v>
      </c>
    </row>
    <row r="929" spans="1:13" s="120" customFormat="1" x14ac:dyDescent="0.25">
      <c r="A929" s="119"/>
      <c r="B929" s="138" t="str">
        <f t="shared" si="48"/>
        <v>Windrow</v>
      </c>
      <c r="C929" s="138" t="str">
        <f t="shared" si="51"/>
        <v>Base_With Amendment</v>
      </c>
      <c r="D929" s="118" t="s">
        <v>137</v>
      </c>
      <c r="E929" s="118" t="s">
        <v>130</v>
      </c>
      <c r="F929" s="118" t="s">
        <v>46</v>
      </c>
      <c r="G929" s="153"/>
      <c r="H929" s="155">
        <v>0.18529999999999999</v>
      </c>
      <c r="I929" s="154" t="s">
        <v>62</v>
      </c>
      <c r="J929" s="204">
        <v>2.7200000000000002E-3</v>
      </c>
      <c r="K929" s="154" t="s">
        <v>13</v>
      </c>
      <c r="L929" s="154" t="str">
        <f>IF(OpenLCAbasic!K929="CTUh", "Fill in Manually",IF(OR(K929="Unit", K929=""), "", INDEX(LookUps!$E$5:$E$12, MATCH(OpenLCAbasic!K929,LookUps!$D$5:$D$12,0))))</f>
        <v>Eutrophication Potential (EP) - kg N eq</v>
      </c>
      <c r="M929" s="154" t="str">
        <f t="shared" si="50"/>
        <v>Base_Medium_High_Upgraded_Eutrophication Potential (EP) - kg N eq_Land application of compost; wastewater treatment unit; at updated plant - US_Base_With Amendment_Windrow</v>
      </c>
    </row>
    <row r="930" spans="1:13" s="120" customFormat="1" x14ac:dyDescent="0.25">
      <c r="A930" s="119"/>
      <c r="B930" s="138" t="str">
        <f t="shared" si="48"/>
        <v>Windrow</v>
      </c>
      <c r="C930" s="138" t="str">
        <f t="shared" si="51"/>
        <v>Base_With Amendment</v>
      </c>
      <c r="D930" s="118" t="s">
        <v>137</v>
      </c>
      <c r="E930" s="118" t="s">
        <v>130</v>
      </c>
      <c r="F930" s="118" t="s">
        <v>46</v>
      </c>
      <c r="G930" s="153"/>
      <c r="H930" s="155">
        <v>3.7199999999999997E-2</v>
      </c>
      <c r="I930" s="154" t="s">
        <v>55</v>
      </c>
      <c r="J930" s="204">
        <v>5.5000000000000003E-4</v>
      </c>
      <c r="K930" s="154" t="s">
        <v>13</v>
      </c>
      <c r="L930" s="154" t="str">
        <f>IF(OpenLCAbasic!K930="CTUh", "Fill in Manually",IF(OR(K930="Unit", K930=""), "", INDEX(LookUps!$E$5:$E$12, MATCH(OpenLCAbasic!K930,LookUps!$D$5:$D$12,0))))</f>
        <v>Eutrophication Potential (EP) - kg N eq</v>
      </c>
      <c r="M930" s="154" t="str">
        <f t="shared" si="50"/>
        <v>Base_Medium_High_Upgraded_Eutrophication Potential (EP) - kg N eq_Aeration Tanks; wastewater treatment unit; at updated plant - US_Base_With Amendment_Windrow</v>
      </c>
    </row>
    <row r="931" spans="1:13" s="120" customFormat="1" x14ac:dyDescent="0.25">
      <c r="A931" s="119"/>
      <c r="B931" s="138" t="str">
        <f t="shared" si="48"/>
        <v>Windrow</v>
      </c>
      <c r="C931" s="138" t="str">
        <f t="shared" si="51"/>
        <v>Base_With Amendment</v>
      </c>
      <c r="D931" s="118" t="s">
        <v>137</v>
      </c>
      <c r="E931" s="118" t="s">
        <v>130</v>
      </c>
      <c r="F931" s="118" t="s">
        <v>46</v>
      </c>
      <c r="G931" s="153"/>
      <c r="H931" s="155">
        <v>3.1800000000000002E-2</v>
      </c>
      <c r="I931" s="154" t="s">
        <v>271</v>
      </c>
      <c r="J931" s="204">
        <v>4.6999999999999999E-4</v>
      </c>
      <c r="K931" s="154" t="s">
        <v>13</v>
      </c>
      <c r="L931" s="154" t="str">
        <f>IF(OpenLCAbasic!K931="CTUh", "Fill in Manually",IF(OR(K931="Unit", K931=""), "", INDEX(LookUps!$E$5:$E$12, MATCH(OpenLCAbasic!K931,LookUps!$D$5:$D$12,0))))</f>
        <v>Eutrophication Potential (EP) - kg N eq</v>
      </c>
      <c r="M931" s="154" t="str">
        <f t="shared" si="50"/>
        <v>Base_Medium_High_Upgraded_Eutrophication Potential (EP) - kg N eq_Biosolids composting; windrow composting; wastewater treatment unit; at updated plant - US_Base_With Amendment_Windrow</v>
      </c>
    </row>
    <row r="932" spans="1:13" s="120" customFormat="1" x14ac:dyDescent="0.25">
      <c r="A932" s="119"/>
      <c r="B932" s="138" t="str">
        <f t="shared" si="48"/>
        <v>Windrow</v>
      </c>
      <c r="C932" s="138" t="str">
        <f t="shared" si="51"/>
        <v>Base_With Amendment</v>
      </c>
      <c r="D932" s="118" t="s">
        <v>137</v>
      </c>
      <c r="E932" s="118" t="s">
        <v>130</v>
      </c>
      <c r="F932" s="118" t="s">
        <v>46</v>
      </c>
      <c r="G932" s="153"/>
      <c r="H932" s="155">
        <v>1.7000000000000001E-2</v>
      </c>
      <c r="I932" s="154" t="s">
        <v>147</v>
      </c>
      <c r="J932" s="204">
        <v>2.5000000000000001E-4</v>
      </c>
      <c r="K932" s="154" t="s">
        <v>13</v>
      </c>
      <c r="L932" s="154" t="str">
        <f>IF(OpenLCAbasic!K932="CTUh", "Fill in Manually",IF(OR(K932="Unit", K932=""), "", INDEX(LookUps!$E$5:$E$12, MATCH(OpenLCAbasic!K932,LookUps!$D$5:$D$12,0))))</f>
        <v>Eutrophication Potential (EP) - kg N eq</v>
      </c>
      <c r="M932" s="154" t="str">
        <f t="shared" si="50"/>
        <v>Base_Medium_High_Upgraded_Eutrophication Potential (EP) - kg N eq_Influent Pump Station; wastewater treatment unit; at updated plant - US_Base_With Amendment_Windrow</v>
      </c>
    </row>
    <row r="933" spans="1:13" s="120" customFormat="1" x14ac:dyDescent="0.25">
      <c r="A933" s="119"/>
      <c r="B933" s="138" t="str">
        <f t="shared" si="48"/>
        <v>Windrow</v>
      </c>
      <c r="C933" s="138" t="str">
        <f t="shared" si="51"/>
        <v>Base_With Amendment</v>
      </c>
      <c r="D933" s="118" t="s">
        <v>137</v>
      </c>
      <c r="E933" s="118" t="s">
        <v>130</v>
      </c>
      <c r="F933" s="118" t="s">
        <v>46</v>
      </c>
      <c r="G933" s="153"/>
      <c r="H933" s="155">
        <v>1.35E-2</v>
      </c>
      <c r="I933" s="154" t="s">
        <v>54</v>
      </c>
      <c r="J933" s="204">
        <v>2.0000000000000001E-4</v>
      </c>
      <c r="K933" s="154" t="s">
        <v>13</v>
      </c>
      <c r="L933" s="154" t="str">
        <f>IF(OpenLCAbasic!K933="CTUh", "Fill in Manually",IF(OR(K933="Unit", K933=""), "", INDEX(LookUps!$E$5:$E$12, MATCH(OpenLCAbasic!K933,LookUps!$D$5:$D$12,0))))</f>
        <v>Eutrophication Potential (EP) - kg N eq</v>
      </c>
      <c r="M933" s="154" t="str">
        <f t="shared" si="50"/>
        <v>Base_Medium_High_Upgraded_Eutrophication Potential (EP) - kg N eq_Clear Cove Primary Clarification; wastewater treatment unit; at updated plant - US_Base_With Amendment_Windrow</v>
      </c>
    </row>
    <row r="934" spans="1:13" s="120" customFormat="1" x14ac:dyDescent="0.25">
      <c r="A934" s="119"/>
      <c r="B934" s="138" t="str">
        <f t="shared" si="48"/>
        <v>Windrow</v>
      </c>
      <c r="C934" s="138" t="str">
        <f t="shared" si="51"/>
        <v>Base_With Amendment</v>
      </c>
      <c r="D934" s="118" t="s">
        <v>137</v>
      </c>
      <c r="E934" s="118" t="s">
        <v>130</v>
      </c>
      <c r="F934" s="118" t="s">
        <v>46</v>
      </c>
      <c r="G934" s="153"/>
      <c r="H934" s="155">
        <v>1.2999999999999999E-2</v>
      </c>
      <c r="I934" s="154" t="s">
        <v>167</v>
      </c>
      <c r="J934" s="204">
        <v>1.9000000000000001E-4</v>
      </c>
      <c r="K934" s="154" t="s">
        <v>13</v>
      </c>
      <c r="L934" s="154" t="str">
        <f>IF(OpenLCAbasic!K934="CTUh", "Fill in Manually",IF(OR(K934="Unit", K934=""), "", INDEX(LookUps!$E$5:$E$12, MATCH(OpenLCAbasic!K934,LookUps!$D$5:$D$12,0))))</f>
        <v>Eutrophication Potential (EP) - kg N eq</v>
      </c>
      <c r="M934" s="154" t="str">
        <f t="shared" si="50"/>
        <v>Base_Medium_High_Upgraded_Eutrophication Potential (EP) - kg N eq_Waste Receiving and Holding; wastewater treatment unit; at updated plant - US_Base_With Amendment_Windrow</v>
      </c>
    </row>
    <row r="935" spans="1:13" s="120" customFormat="1" x14ac:dyDescent="0.25">
      <c r="A935" s="119"/>
      <c r="B935" s="138" t="str">
        <f t="shared" si="48"/>
        <v>Windrow</v>
      </c>
      <c r="C935" s="138" t="str">
        <f t="shared" si="51"/>
        <v>Base_With Amendment</v>
      </c>
      <c r="D935" s="118" t="s">
        <v>137</v>
      </c>
      <c r="E935" s="118" t="s">
        <v>130</v>
      </c>
      <c r="F935" s="118" t="s">
        <v>46</v>
      </c>
      <c r="G935" s="153"/>
      <c r="H935" s="155">
        <v>9.1999999999999998E-3</v>
      </c>
      <c r="I935" s="154" t="s">
        <v>58</v>
      </c>
      <c r="J935" s="204">
        <v>1.3999999999999999E-4</v>
      </c>
      <c r="K935" s="154" t="s">
        <v>13</v>
      </c>
      <c r="L935" s="154" t="str">
        <f>IF(OpenLCAbasic!K935="CTUh", "Fill in Manually",IF(OR(K935="Unit", K935=""), "", INDEX(LookUps!$E$5:$E$12, MATCH(OpenLCAbasic!K935,LookUps!$D$5:$D$12,0))))</f>
        <v>Eutrophication Potential (EP) - kg N eq</v>
      </c>
      <c r="M935" s="154" t="str">
        <f t="shared" si="50"/>
        <v>Base_Medium_High_Upgraded_Eutrophication Potential (EP) - kg N eq_Pre-Anoxic &amp; Swing tank; wastewater treatment unit; at updated plant - US_Base_With Amendment_Windrow</v>
      </c>
    </row>
    <row r="936" spans="1:13" s="120" customFormat="1" x14ac:dyDescent="0.25">
      <c r="A936" s="119"/>
      <c r="B936" s="138" t="str">
        <f t="shared" si="48"/>
        <v>Windrow</v>
      </c>
      <c r="C936" s="138" t="str">
        <f t="shared" si="51"/>
        <v>Base_With Amendment</v>
      </c>
      <c r="D936" s="118" t="s">
        <v>137</v>
      </c>
      <c r="E936" s="118" t="s">
        <v>130</v>
      </c>
      <c r="F936" s="118" t="s">
        <v>46</v>
      </c>
      <c r="G936" s="153"/>
      <c r="H936" s="155">
        <v>7.3000000000000001E-3</v>
      </c>
      <c r="I936" s="154" t="s">
        <v>53</v>
      </c>
      <c r="J936" s="204">
        <v>1.1E-4</v>
      </c>
      <c r="K936" s="154" t="s">
        <v>13</v>
      </c>
      <c r="L936" s="154" t="str">
        <f>IF(OpenLCAbasic!K936="CTUh", "Fill in Manually",IF(OR(K936="Unit", K936=""), "", INDEX(LookUps!$E$5:$E$12, MATCH(OpenLCAbasic!K936,LookUps!$D$5:$D$12,0))))</f>
        <v>Eutrophication Potential (EP) - kg N eq</v>
      </c>
      <c r="M936" s="154" t="str">
        <f t="shared" si="50"/>
        <v>Base_Medium_High_Upgraded_Eutrophication Potential (EP) - kg N eq_Wet Well and Sump Station; wastewater treatment unit; at updated plant - US_Base_With Amendment_Windrow</v>
      </c>
    </row>
    <row r="937" spans="1:13" s="120" customFormat="1" x14ac:dyDescent="0.25">
      <c r="A937" s="119"/>
      <c r="B937" s="138" t="str">
        <f t="shared" si="48"/>
        <v>Windrow</v>
      </c>
      <c r="C937" s="138" t="str">
        <f t="shared" si="51"/>
        <v>Base_With Amendment</v>
      </c>
      <c r="D937" s="118" t="s">
        <v>137</v>
      </c>
      <c r="E937" s="118" t="s">
        <v>130</v>
      </c>
      <c r="F937" s="118" t="s">
        <v>46</v>
      </c>
      <c r="G937" s="153"/>
      <c r="H937" s="155">
        <v>4.5999999999999999E-3</v>
      </c>
      <c r="I937" s="154" t="s">
        <v>60</v>
      </c>
      <c r="J937" s="204">
        <v>6.69155E-5</v>
      </c>
      <c r="K937" s="154" t="s">
        <v>13</v>
      </c>
      <c r="L937" s="154" t="str">
        <f>IF(OpenLCAbasic!K937="CTUh", "Fill in Manually",IF(OR(K937="Unit", K937=""), "", INDEX(LookUps!$E$5:$E$12, MATCH(OpenLCAbasic!K937,LookUps!$D$5:$D$12,0))))</f>
        <v>Eutrophication Potential (EP) - kg N eq</v>
      </c>
      <c r="M937" s="154" t="str">
        <f t="shared" si="50"/>
        <v>Base_Medium_High_Upgraded_Eutrophication Potential (EP) - kg N eq_Belt filter press; wastewater treatment unit; at updated plant - US_Base_With Amendment_Windrow</v>
      </c>
    </row>
    <row r="938" spans="1:13" s="120" customFormat="1" x14ac:dyDescent="0.25">
      <c r="A938" s="119"/>
      <c r="B938" s="138" t="str">
        <f t="shared" si="48"/>
        <v>Windrow</v>
      </c>
      <c r="C938" s="138" t="str">
        <f t="shared" si="51"/>
        <v>Base_With Amendment</v>
      </c>
      <c r="D938" s="118" t="s">
        <v>137</v>
      </c>
      <c r="E938" s="118" t="s">
        <v>130</v>
      </c>
      <c r="F938" s="118" t="s">
        <v>46</v>
      </c>
      <c r="G938" s="153"/>
      <c r="H938" s="155">
        <v>4.1000000000000003E-3</v>
      </c>
      <c r="I938" s="154" t="s">
        <v>57</v>
      </c>
      <c r="J938" s="204">
        <v>6.0590300000000002E-5</v>
      </c>
      <c r="K938" s="154" t="s">
        <v>13</v>
      </c>
      <c r="L938" s="154" t="str">
        <f>IF(OpenLCAbasic!K938="CTUh", "Fill in Manually",IF(OR(K938="Unit", K938=""), "", INDEX(LookUps!$E$5:$E$12, MATCH(OpenLCAbasic!K938,LookUps!$D$5:$D$12,0))))</f>
        <v>Eutrophication Potential (EP) - kg N eq</v>
      </c>
      <c r="M938" s="154" t="str">
        <f t="shared" si="50"/>
        <v>Base_Medium_High_Upgraded_Eutrophication Potential (EP) - kg N eq_Gravity Belt Thickener; wastewater treatment unit; at updated plant - US_Base_With Amendment_Windrow</v>
      </c>
    </row>
    <row r="939" spans="1:13" s="120" customFormat="1" x14ac:dyDescent="0.25">
      <c r="A939" s="119"/>
      <c r="B939" s="138" t="str">
        <f t="shared" si="48"/>
        <v>Windrow</v>
      </c>
      <c r="C939" s="138" t="str">
        <f t="shared" si="51"/>
        <v>Base_With Amendment</v>
      </c>
      <c r="D939" s="118" t="s">
        <v>137</v>
      </c>
      <c r="E939" s="118" t="s">
        <v>130</v>
      </c>
      <c r="F939" s="118" t="s">
        <v>46</v>
      </c>
      <c r="G939" s="153"/>
      <c r="H939" s="155">
        <v>2.5999999999999999E-3</v>
      </c>
      <c r="I939" s="154" t="s">
        <v>128</v>
      </c>
      <c r="J939" s="204">
        <v>3.7559799999999999E-5</v>
      </c>
      <c r="K939" s="154" t="s">
        <v>13</v>
      </c>
      <c r="L939" s="154" t="str">
        <f>IF(OpenLCAbasic!K939="CTUh", "Fill in Manually",IF(OR(K939="Unit", K939=""), "", INDEX(LookUps!$E$5:$E$12, MATCH(OpenLCAbasic!K939,LookUps!$D$5:$D$12,0))))</f>
        <v>Eutrophication Potential (EP) - kg N eq</v>
      </c>
      <c r="M939" s="154" t="str">
        <f t="shared" si="50"/>
        <v>Base_Medium_High_Upgraded_Eutrophication Potential (EP) - kg N eq_Wastewater collection; operation and infrastructure; m3 wastewater_Base_With Amendment_Windrow</v>
      </c>
    </row>
    <row r="940" spans="1:13" s="120" customFormat="1" x14ac:dyDescent="0.25">
      <c r="A940" s="119"/>
      <c r="B940" s="138" t="str">
        <f t="shared" si="48"/>
        <v>Windrow</v>
      </c>
      <c r="C940" s="138" t="str">
        <f t="shared" si="51"/>
        <v>Base_With Amendment</v>
      </c>
      <c r="D940" s="118" t="s">
        <v>137</v>
      </c>
      <c r="E940" s="118" t="s">
        <v>130</v>
      </c>
      <c r="F940" s="118" t="s">
        <v>46</v>
      </c>
      <c r="G940" s="153"/>
      <c r="H940" s="155">
        <v>2.5000000000000001E-3</v>
      </c>
      <c r="I940" s="154" t="s">
        <v>148</v>
      </c>
      <c r="J940" s="204">
        <v>3.6874600000000001E-5</v>
      </c>
      <c r="K940" s="154" t="s">
        <v>13</v>
      </c>
      <c r="L940" s="154" t="str">
        <f>IF(OpenLCAbasic!K940="CTUh", "Fill in Manually",IF(OR(K940="Unit", K940=""), "", INDEX(LookUps!$E$5:$E$12, MATCH(OpenLCAbasic!K940,LookUps!$D$5:$D$12,0))))</f>
        <v>Eutrophication Potential (EP) - kg N eq</v>
      </c>
      <c r="M940" s="154" t="str">
        <f t="shared" si="50"/>
        <v>Base_Medium_High_Upgraded_Eutrophication Potential (EP) - kg N eq_Control Building; at upgraded wastewater treatment plant - US_Base_With Amendment_Windrow</v>
      </c>
    </row>
    <row r="941" spans="1:13" s="120" customFormat="1" x14ac:dyDescent="0.25">
      <c r="A941" s="119"/>
      <c r="B941" s="138" t="str">
        <f t="shared" si="48"/>
        <v>Windrow</v>
      </c>
      <c r="C941" s="138" t="str">
        <f t="shared" si="51"/>
        <v>Base_With Amendment</v>
      </c>
      <c r="D941" s="118" t="s">
        <v>137</v>
      </c>
      <c r="E941" s="118" t="s">
        <v>130</v>
      </c>
      <c r="F941" s="118" t="s">
        <v>46</v>
      </c>
      <c r="G941" s="153"/>
      <c r="H941" s="155">
        <v>1.1000000000000001E-3</v>
      </c>
      <c r="I941" s="154" t="s">
        <v>59</v>
      </c>
      <c r="J941" s="204">
        <v>1.6215700000000001E-5</v>
      </c>
      <c r="K941" s="154" t="s">
        <v>13</v>
      </c>
      <c r="L941" s="154" t="str">
        <f>IF(OpenLCAbasic!K941="CTUh", "Fill in Manually",IF(OR(K941="Unit", K941=""), "", INDEX(LookUps!$E$5:$E$12, MATCH(OpenLCAbasic!K941,LookUps!$D$5:$D$12,0))))</f>
        <v>Eutrophication Potential (EP) - kg N eq</v>
      </c>
      <c r="M941" s="154" t="str">
        <f t="shared" si="50"/>
        <v>Base_Medium_High_Upgraded_Eutrophication Potential (EP) - kg N eq_Blend Tank; wastewater treatment unit; at updated plant - US_Base_With Amendment_Windrow</v>
      </c>
    </row>
    <row r="942" spans="1:13" s="120" customFormat="1" x14ac:dyDescent="0.25">
      <c r="A942" s="119"/>
      <c r="B942" s="138" t="str">
        <f t="shared" si="48"/>
        <v>Windrow</v>
      </c>
      <c r="C942" s="138" t="str">
        <f t="shared" si="51"/>
        <v>Base_With Amendment</v>
      </c>
      <c r="D942" s="118" t="s">
        <v>137</v>
      </c>
      <c r="E942" s="118" t="s">
        <v>130</v>
      </c>
      <c r="F942" s="118" t="s">
        <v>46</v>
      </c>
      <c r="G942" s="153"/>
      <c r="H942" s="155">
        <v>5.0000000000000001E-4</v>
      </c>
      <c r="I942" s="154" t="s">
        <v>168</v>
      </c>
      <c r="J942" s="204">
        <v>7.7567199999999995E-6</v>
      </c>
      <c r="K942" s="154" t="s">
        <v>13</v>
      </c>
      <c r="L942" s="154" t="str">
        <f>IF(OpenLCAbasic!K942="CTUh", "Fill in Manually",IF(OR(K942="Unit", K942=""), "", INDEX(LookUps!$E$5:$E$12, MATCH(OpenLCAbasic!K942,LookUps!$D$5:$D$12,0))))</f>
        <v>Eutrophication Potential (EP) - kg N eq</v>
      </c>
      <c r="M942" s="154" t="str">
        <f t="shared" si="50"/>
        <v>Base_Medium_High_Upgraded_Eutrophication Potential (EP) - kg N eq_ClearCove SCP; wastewater treatment unit; at updated plant - US_Base_With Amendment_Windrow</v>
      </c>
    </row>
    <row r="943" spans="1:13" s="120" customFormat="1" x14ac:dyDescent="0.25">
      <c r="A943" s="119"/>
      <c r="B943" s="138" t="str">
        <f t="shared" si="48"/>
        <v>Windrow</v>
      </c>
      <c r="C943" s="138" t="str">
        <f t="shared" si="51"/>
        <v>Base_With Amendment</v>
      </c>
      <c r="D943" s="118" t="s">
        <v>137</v>
      </c>
      <c r="E943" s="118" t="s">
        <v>130</v>
      </c>
      <c r="F943" s="118" t="s">
        <v>46</v>
      </c>
      <c r="G943" s="153"/>
      <c r="H943" s="155">
        <v>-0.12130000000000001</v>
      </c>
      <c r="I943" s="154" t="s">
        <v>149</v>
      </c>
      <c r="J943" s="204">
        <v>-1.7799999999999999E-3</v>
      </c>
      <c r="K943" s="154" t="s">
        <v>13</v>
      </c>
      <c r="L943" s="154" t="str">
        <f>IF(OpenLCAbasic!K943="CTUh", "Fill in Manually",IF(OR(K943="Unit", K943=""), "", INDEX(LookUps!$E$5:$E$12, MATCH(OpenLCAbasic!K943,LookUps!$D$5:$D$12,0))))</f>
        <v>Eutrophication Potential (EP) - kg N eq</v>
      </c>
      <c r="M943" s="154" t="str">
        <f t="shared" si="50"/>
        <v>Base_Medium_High_Upgraded_Eutrophication Potential (EP) - kg N eq_Anaerobic Digestion; wastewater treatment unit; at updated plant - US_Base_With Amendment_Windrow</v>
      </c>
    </row>
    <row r="944" spans="1:13" s="120" customFormat="1" x14ac:dyDescent="0.25">
      <c r="A944" s="119"/>
      <c r="B944" s="138" t="str">
        <f t="shared" si="48"/>
        <v>Windrow</v>
      </c>
      <c r="C944" s="138" t="str">
        <f t="shared" si="51"/>
        <v>Base_With Amendment</v>
      </c>
      <c r="D944" s="118" t="s">
        <v>137</v>
      </c>
      <c r="E944" s="118" t="s">
        <v>130</v>
      </c>
      <c r="F944" s="118" t="s">
        <v>46</v>
      </c>
      <c r="G944" s="153" t="s">
        <v>51</v>
      </c>
      <c r="H944" s="154"/>
      <c r="I944" s="154" t="s">
        <v>47</v>
      </c>
      <c r="J944" s="154" t="s">
        <v>52</v>
      </c>
      <c r="K944" s="154" t="s">
        <v>27</v>
      </c>
      <c r="L944" s="154" t="str">
        <f>IF(OpenLCAbasic!K944="CTUh", "Fill in Manually",IF(OR(K944="Unit", K944=""), "", INDEX(LookUps!$E$5:$E$12, MATCH(OpenLCAbasic!K944,LookUps!$D$5:$D$12,0))))</f>
        <v/>
      </c>
      <c r="M944" s="154" t="str">
        <f t="shared" si="50"/>
        <v>Base_Medium_High_Upgraded__Process_Base_With Amendment_Windrow</v>
      </c>
    </row>
    <row r="945" spans="1:13" s="120" customFormat="1" x14ac:dyDescent="0.25">
      <c r="A945" s="119"/>
      <c r="B945" s="138" t="str">
        <f t="shared" si="48"/>
        <v>Windrow</v>
      </c>
      <c r="C945" s="138" t="str">
        <f t="shared" si="51"/>
        <v>Base_With Amendment</v>
      </c>
      <c r="D945" s="118" t="s">
        <v>137</v>
      </c>
      <c r="E945" s="118" t="s">
        <v>130</v>
      </c>
      <c r="F945" s="118" t="s">
        <v>46</v>
      </c>
      <c r="G945" s="153"/>
      <c r="H945" s="155">
        <v>1.3442000000000001</v>
      </c>
      <c r="I945" s="154" t="s">
        <v>167</v>
      </c>
      <c r="J945" s="157">
        <v>4.2789599999999997</v>
      </c>
      <c r="K945" s="154" t="s">
        <v>15</v>
      </c>
      <c r="L945" s="154" t="str">
        <f>IF(OpenLCAbasic!K945="CTUh", "Fill in Manually",IF(OR(K945="Unit", K945=""), "", INDEX(LookUps!$E$5:$E$12, MATCH(OpenLCAbasic!K945,LookUps!$D$5:$D$12,0))))</f>
        <v>Cumulative Energy Demand (CED) - MJ</v>
      </c>
      <c r="M945" s="154" t="str">
        <f t="shared" si="50"/>
        <v>Base_Medium_High_Upgraded_Cumulative Energy Demand (CED) - MJ_Waste Receiving and Holding; wastewater treatment unit; at updated plant - US_Base_With Amendment_Windrow</v>
      </c>
    </row>
    <row r="946" spans="1:13" s="120" customFormat="1" x14ac:dyDescent="0.25">
      <c r="A946" s="119"/>
      <c r="B946" s="138" t="str">
        <f t="shared" si="48"/>
        <v>Windrow</v>
      </c>
      <c r="C946" s="138" t="str">
        <f t="shared" si="51"/>
        <v>Base_With Amendment</v>
      </c>
      <c r="D946" s="118" t="s">
        <v>137</v>
      </c>
      <c r="E946" s="118" t="s">
        <v>130</v>
      </c>
      <c r="F946" s="118" t="s">
        <v>46</v>
      </c>
      <c r="G946" s="153"/>
      <c r="H946" s="155">
        <v>1.1099000000000001</v>
      </c>
      <c r="I946" s="154" t="s">
        <v>55</v>
      </c>
      <c r="J946" s="157">
        <v>3.5330499999999998</v>
      </c>
      <c r="K946" s="154" t="s">
        <v>15</v>
      </c>
      <c r="L946" s="154" t="str">
        <f>IF(OpenLCAbasic!K946="CTUh", "Fill in Manually",IF(OR(K946="Unit", K946=""), "", INDEX(LookUps!$E$5:$E$12, MATCH(OpenLCAbasic!K946,LookUps!$D$5:$D$12,0))))</f>
        <v>Cumulative Energy Demand (CED) - MJ</v>
      </c>
      <c r="M946" s="154" t="str">
        <f t="shared" si="50"/>
        <v>Base_Medium_High_Upgraded_Cumulative Energy Demand (CED) - MJ_Aeration Tanks; wastewater treatment unit; at updated plant - US_Base_With Amendment_Windrow</v>
      </c>
    </row>
    <row r="947" spans="1:13" s="120" customFormat="1" x14ac:dyDescent="0.25">
      <c r="A947" s="119"/>
      <c r="B947" s="138" t="str">
        <f t="shared" si="48"/>
        <v>Windrow</v>
      </c>
      <c r="C947" s="138" t="str">
        <f t="shared" si="51"/>
        <v>Base_With Amendment</v>
      </c>
      <c r="D947" s="118" t="s">
        <v>137</v>
      </c>
      <c r="E947" s="118" t="s">
        <v>130</v>
      </c>
      <c r="F947" s="118" t="s">
        <v>46</v>
      </c>
      <c r="G947" s="153"/>
      <c r="H947" s="155">
        <v>0.36530000000000001</v>
      </c>
      <c r="I947" s="154" t="s">
        <v>54</v>
      </c>
      <c r="J947" s="157">
        <v>1.16289</v>
      </c>
      <c r="K947" s="154" t="s">
        <v>15</v>
      </c>
      <c r="L947" s="154" t="str">
        <f>IF(OpenLCAbasic!K947="CTUh", "Fill in Manually",IF(OR(K947="Unit", K947=""), "", INDEX(LookUps!$E$5:$E$12, MATCH(OpenLCAbasic!K947,LookUps!$D$5:$D$12,0))))</f>
        <v>Cumulative Energy Demand (CED) - MJ</v>
      </c>
      <c r="M947" s="154" t="str">
        <f t="shared" si="50"/>
        <v>Base_Medium_High_Upgraded_Cumulative Energy Demand (CED) - MJ_Clear Cove Primary Clarification; wastewater treatment unit; at updated plant - US_Base_With Amendment_Windrow</v>
      </c>
    </row>
    <row r="948" spans="1:13" s="120" customFormat="1" x14ac:dyDescent="0.25">
      <c r="A948" s="119"/>
      <c r="B948" s="138" t="str">
        <f t="shared" si="48"/>
        <v>Windrow</v>
      </c>
      <c r="C948" s="138" t="str">
        <f t="shared" si="51"/>
        <v>Base_With Amendment</v>
      </c>
      <c r="D948" s="118" t="s">
        <v>137</v>
      </c>
      <c r="E948" s="118" t="s">
        <v>130</v>
      </c>
      <c r="F948" s="118" t="s">
        <v>46</v>
      </c>
      <c r="G948" s="153"/>
      <c r="H948" s="155">
        <v>0.2787</v>
      </c>
      <c r="I948" s="154" t="s">
        <v>58</v>
      </c>
      <c r="J948" s="203">
        <v>0.88705000000000001</v>
      </c>
      <c r="K948" s="154" t="s">
        <v>15</v>
      </c>
      <c r="L948" s="154" t="str">
        <f>IF(OpenLCAbasic!K948="CTUh", "Fill in Manually",IF(OR(K948="Unit", K948=""), "", INDEX(LookUps!$E$5:$E$12, MATCH(OpenLCAbasic!K948,LookUps!$D$5:$D$12,0))))</f>
        <v>Cumulative Energy Demand (CED) - MJ</v>
      </c>
      <c r="M948" s="154" t="str">
        <f t="shared" si="50"/>
        <v>Base_Medium_High_Upgraded_Cumulative Energy Demand (CED) - MJ_Pre-Anoxic &amp; Swing tank; wastewater treatment unit; at updated plant - US_Base_With Amendment_Windrow</v>
      </c>
    </row>
    <row r="949" spans="1:13" s="120" customFormat="1" x14ac:dyDescent="0.25">
      <c r="A949" s="119"/>
      <c r="B949" s="138" t="str">
        <f t="shared" si="48"/>
        <v>Windrow</v>
      </c>
      <c r="C949" s="138" t="str">
        <f t="shared" si="51"/>
        <v>Base_With Amendment</v>
      </c>
      <c r="D949" s="118" t="s">
        <v>137</v>
      </c>
      <c r="E949" s="118" t="s">
        <v>130</v>
      </c>
      <c r="F949" s="118" t="s">
        <v>46</v>
      </c>
      <c r="G949" s="153"/>
      <c r="H949" s="155">
        <v>0.27739999999999998</v>
      </c>
      <c r="I949" s="154" t="s">
        <v>147</v>
      </c>
      <c r="J949" s="203">
        <v>0.88297000000000003</v>
      </c>
      <c r="K949" s="154" t="s">
        <v>15</v>
      </c>
      <c r="L949" s="154" t="str">
        <f>IF(OpenLCAbasic!K949="CTUh", "Fill in Manually",IF(OR(K949="Unit", K949=""), "", INDEX(LookUps!$E$5:$E$12, MATCH(OpenLCAbasic!K949,LookUps!$D$5:$D$12,0))))</f>
        <v>Cumulative Energy Demand (CED) - MJ</v>
      </c>
      <c r="M949" s="154" t="str">
        <f t="shared" si="50"/>
        <v>Base_Medium_High_Upgraded_Cumulative Energy Demand (CED) - MJ_Influent Pump Station; wastewater treatment unit; at updated plant - US_Base_With Amendment_Windrow</v>
      </c>
    </row>
    <row r="950" spans="1:13" s="120" customFormat="1" x14ac:dyDescent="0.25">
      <c r="A950" s="119"/>
      <c r="B950" s="138" t="str">
        <f t="shared" si="48"/>
        <v>Windrow</v>
      </c>
      <c r="C950" s="138" t="str">
        <f t="shared" si="51"/>
        <v>Base_With Amendment</v>
      </c>
      <c r="D950" s="118" t="s">
        <v>137</v>
      </c>
      <c r="E950" s="118" t="s">
        <v>130</v>
      </c>
      <c r="F950" s="118" t="s">
        <v>46</v>
      </c>
      <c r="G950" s="153"/>
      <c r="H950" s="155">
        <v>0.21879999999999999</v>
      </c>
      <c r="I950" s="154" t="s">
        <v>53</v>
      </c>
      <c r="J950" s="203">
        <v>0.69645000000000001</v>
      </c>
      <c r="K950" s="154" t="s">
        <v>15</v>
      </c>
      <c r="L950" s="154" t="str">
        <f>IF(OpenLCAbasic!K950="CTUh", "Fill in Manually",IF(OR(K950="Unit", K950=""), "", INDEX(LookUps!$E$5:$E$12, MATCH(OpenLCAbasic!K950,LookUps!$D$5:$D$12,0))))</f>
        <v>Cumulative Energy Demand (CED) - MJ</v>
      </c>
      <c r="M950" s="154" t="str">
        <f t="shared" si="50"/>
        <v>Base_Medium_High_Upgraded_Cumulative Energy Demand (CED) - MJ_Wet Well and Sump Station; wastewater treatment unit; at updated plant - US_Base_With Amendment_Windrow</v>
      </c>
    </row>
    <row r="951" spans="1:13" s="120" customFormat="1" x14ac:dyDescent="0.25">
      <c r="A951" s="119"/>
      <c r="B951" s="138" t="str">
        <f t="shared" si="48"/>
        <v>Windrow</v>
      </c>
      <c r="C951" s="138" t="str">
        <f t="shared" si="51"/>
        <v>Base_With Amendment</v>
      </c>
      <c r="D951" s="118" t="s">
        <v>137</v>
      </c>
      <c r="E951" s="118" t="s">
        <v>130</v>
      </c>
      <c r="F951" s="118" t="s">
        <v>46</v>
      </c>
      <c r="G951" s="153"/>
      <c r="H951" s="155">
        <v>0.1197</v>
      </c>
      <c r="I951" s="154" t="s">
        <v>60</v>
      </c>
      <c r="J951" s="203">
        <v>0.38092999999999999</v>
      </c>
      <c r="K951" s="154" t="s">
        <v>15</v>
      </c>
      <c r="L951" s="154" t="str">
        <f>IF(OpenLCAbasic!K951="CTUh", "Fill in Manually",IF(OR(K951="Unit", K951=""), "", INDEX(LookUps!$E$5:$E$12, MATCH(OpenLCAbasic!K951,LookUps!$D$5:$D$12,0))))</f>
        <v>Cumulative Energy Demand (CED) - MJ</v>
      </c>
      <c r="M951" s="154" t="str">
        <f t="shared" si="50"/>
        <v>Base_Medium_High_Upgraded_Cumulative Energy Demand (CED) - MJ_Belt filter press; wastewater treatment unit; at updated plant - US_Base_With Amendment_Windrow</v>
      </c>
    </row>
    <row r="952" spans="1:13" s="120" customFormat="1" x14ac:dyDescent="0.25">
      <c r="A952" s="119"/>
      <c r="B952" s="138" t="str">
        <f t="shared" si="48"/>
        <v>Windrow</v>
      </c>
      <c r="C952" s="138" t="str">
        <f t="shared" si="51"/>
        <v>Base_With Amendment</v>
      </c>
      <c r="D952" s="118" t="s">
        <v>137</v>
      </c>
      <c r="E952" s="118" t="s">
        <v>130</v>
      </c>
      <c r="F952" s="118" t="s">
        <v>46</v>
      </c>
      <c r="G952" s="153"/>
      <c r="H952" s="155">
        <v>0.10489999999999999</v>
      </c>
      <c r="I952" s="154" t="s">
        <v>57</v>
      </c>
      <c r="J952" s="203">
        <v>0.33404</v>
      </c>
      <c r="K952" s="154" t="s">
        <v>15</v>
      </c>
      <c r="L952" s="154" t="str">
        <f>IF(OpenLCAbasic!K952="CTUh", "Fill in Manually",IF(OR(K952="Unit", K952=""), "", INDEX(LookUps!$E$5:$E$12, MATCH(OpenLCAbasic!K952,LookUps!$D$5:$D$12,0))))</f>
        <v>Cumulative Energy Demand (CED) - MJ</v>
      </c>
      <c r="M952" s="154" t="str">
        <f t="shared" si="50"/>
        <v>Base_Medium_High_Upgraded_Cumulative Energy Demand (CED) - MJ_Gravity Belt Thickener; wastewater treatment unit; at updated plant - US_Base_With Amendment_Windrow</v>
      </c>
    </row>
    <row r="953" spans="1:13" s="120" customFormat="1" x14ac:dyDescent="0.25">
      <c r="A953" s="119"/>
      <c r="B953" s="138" t="str">
        <f t="shared" si="48"/>
        <v>Windrow</v>
      </c>
      <c r="C953" s="138" t="str">
        <f t="shared" si="51"/>
        <v>Base_With Amendment</v>
      </c>
      <c r="D953" s="118" t="s">
        <v>137</v>
      </c>
      <c r="E953" s="118" t="s">
        <v>130</v>
      </c>
      <c r="F953" s="118" t="s">
        <v>46</v>
      </c>
      <c r="G953" s="153"/>
      <c r="H953" s="155">
        <v>8.0399999999999999E-2</v>
      </c>
      <c r="I953" s="154" t="s">
        <v>128</v>
      </c>
      <c r="J953" s="203">
        <v>0.25606000000000001</v>
      </c>
      <c r="K953" s="154" t="s">
        <v>15</v>
      </c>
      <c r="L953" s="154" t="str">
        <f>IF(OpenLCAbasic!K953="CTUh", "Fill in Manually",IF(OR(K953="Unit", K953=""), "", INDEX(LookUps!$E$5:$E$12, MATCH(OpenLCAbasic!K953,LookUps!$D$5:$D$12,0))))</f>
        <v>Cumulative Energy Demand (CED) - MJ</v>
      </c>
      <c r="M953" s="154" t="str">
        <f t="shared" si="50"/>
        <v>Base_Medium_High_Upgraded_Cumulative Energy Demand (CED) - MJ_Wastewater collection; operation and infrastructure; m3 wastewater_Base_With Amendment_Windrow</v>
      </c>
    </row>
    <row r="954" spans="1:13" s="120" customFormat="1" x14ac:dyDescent="0.25">
      <c r="A954" s="119"/>
      <c r="B954" s="138" t="str">
        <f t="shared" si="48"/>
        <v>Windrow</v>
      </c>
      <c r="C954" s="138" t="str">
        <f t="shared" si="51"/>
        <v>Base_With Amendment</v>
      </c>
      <c r="D954" s="118" t="s">
        <v>137</v>
      </c>
      <c r="E954" s="118" t="s">
        <v>130</v>
      </c>
      <c r="F954" s="118" t="s">
        <v>46</v>
      </c>
      <c r="G954" s="153"/>
      <c r="H954" s="155">
        <v>4.5900000000000003E-2</v>
      </c>
      <c r="I954" s="154" t="s">
        <v>148</v>
      </c>
      <c r="J954" s="203">
        <v>0.14599000000000001</v>
      </c>
      <c r="K954" s="154" t="s">
        <v>15</v>
      </c>
      <c r="L954" s="154" t="str">
        <f>IF(OpenLCAbasic!K954="CTUh", "Fill in Manually",IF(OR(K954="Unit", K954=""), "", INDEX(LookUps!$E$5:$E$12, MATCH(OpenLCAbasic!K954,LookUps!$D$5:$D$12,0))))</f>
        <v>Cumulative Energy Demand (CED) - MJ</v>
      </c>
      <c r="M954" s="154" t="str">
        <f t="shared" si="50"/>
        <v>Base_Medium_High_Upgraded_Cumulative Energy Demand (CED) - MJ_Control Building; at upgraded wastewater treatment plant - US_Base_With Amendment_Windrow</v>
      </c>
    </row>
    <row r="955" spans="1:13" s="120" customFormat="1" x14ac:dyDescent="0.25">
      <c r="A955" s="119"/>
      <c r="B955" s="138" t="str">
        <f t="shared" si="48"/>
        <v>Windrow</v>
      </c>
      <c r="C955" s="138" t="str">
        <f t="shared" si="51"/>
        <v>Base_With Amendment</v>
      </c>
      <c r="D955" s="118" t="s">
        <v>137</v>
      </c>
      <c r="E955" s="118" t="s">
        <v>130</v>
      </c>
      <c r="F955" s="118" t="s">
        <v>46</v>
      </c>
      <c r="G955" s="153"/>
      <c r="H955" s="155">
        <v>4.1799999999999997E-2</v>
      </c>
      <c r="I955" s="154" t="s">
        <v>48</v>
      </c>
      <c r="J955" s="203">
        <v>0.13321</v>
      </c>
      <c r="K955" s="154" t="s">
        <v>15</v>
      </c>
      <c r="L955" s="154" t="str">
        <f>IF(OpenLCAbasic!K955="CTUh", "Fill in Manually",IF(OR(K955="Unit", K955=""), "", INDEX(LookUps!$E$5:$E$12, MATCH(OpenLCAbasic!K955,LookUps!$D$5:$D$12,0))))</f>
        <v>Cumulative Energy Demand (CED) - MJ</v>
      </c>
      <c r="M955" s="154" t="str">
        <f t="shared" si="50"/>
        <v>Base_Medium_High_Upgraded_Cumulative Energy Demand (CED) - MJ_Effluent release; wastewater treatment unit; at surface water; m3 wastewater - US_Base_With Amendment_Windrow</v>
      </c>
    </row>
    <row r="956" spans="1:13" s="120" customFormat="1" x14ac:dyDescent="0.25">
      <c r="A956" s="119"/>
      <c r="B956" s="138" t="str">
        <f t="shared" si="48"/>
        <v>Windrow</v>
      </c>
      <c r="C956" s="138" t="str">
        <f t="shared" si="51"/>
        <v>Base_With Amendment</v>
      </c>
      <c r="D956" s="118" t="s">
        <v>137</v>
      </c>
      <c r="E956" s="118" t="s">
        <v>130</v>
      </c>
      <c r="F956" s="118" t="s">
        <v>46</v>
      </c>
      <c r="G956" s="153"/>
      <c r="H956" s="155">
        <v>3.3399999999999999E-2</v>
      </c>
      <c r="I956" s="154" t="s">
        <v>59</v>
      </c>
      <c r="J956" s="203">
        <v>0.10638</v>
      </c>
      <c r="K956" s="154" t="s">
        <v>15</v>
      </c>
      <c r="L956" s="154" t="str">
        <f>IF(OpenLCAbasic!K956="CTUh", "Fill in Manually",IF(OR(K956="Unit", K956=""), "", INDEX(LookUps!$E$5:$E$12, MATCH(OpenLCAbasic!K956,LookUps!$D$5:$D$12,0))))</f>
        <v>Cumulative Energy Demand (CED) - MJ</v>
      </c>
      <c r="M956" s="154" t="str">
        <f t="shared" si="50"/>
        <v>Base_Medium_High_Upgraded_Cumulative Energy Demand (CED) - MJ_Blend Tank; wastewater treatment unit; at updated plant - US_Base_With Amendment_Windrow</v>
      </c>
    </row>
    <row r="957" spans="1:13" s="120" customFormat="1" x14ac:dyDescent="0.25">
      <c r="A957" s="119"/>
      <c r="B957" s="138" t="str">
        <f t="shared" si="48"/>
        <v>Windrow</v>
      </c>
      <c r="C957" s="138" t="str">
        <f t="shared" si="51"/>
        <v>Base_With Amendment</v>
      </c>
      <c r="D957" s="118" t="s">
        <v>137</v>
      </c>
      <c r="E957" s="118" t="s">
        <v>130</v>
      </c>
      <c r="F957" s="118" t="s">
        <v>46</v>
      </c>
      <c r="G957" s="153"/>
      <c r="H957" s="155">
        <v>1.6E-2</v>
      </c>
      <c r="I957" s="154" t="s">
        <v>168</v>
      </c>
      <c r="J957" s="203">
        <v>5.0930000000000003E-2</v>
      </c>
      <c r="K957" s="154" t="s">
        <v>15</v>
      </c>
      <c r="L957" s="154" t="str">
        <f>IF(OpenLCAbasic!K957="CTUh", "Fill in Manually",IF(OR(K957="Unit", K957=""), "", INDEX(LookUps!$E$5:$E$12, MATCH(OpenLCAbasic!K957,LookUps!$D$5:$D$12,0))))</f>
        <v>Cumulative Energy Demand (CED) - MJ</v>
      </c>
      <c r="M957" s="154" t="str">
        <f t="shared" si="50"/>
        <v>Base_Medium_High_Upgraded_Cumulative Energy Demand (CED) - MJ_ClearCove SCP; wastewater treatment unit; at updated plant - US_Base_With Amendment_Windrow</v>
      </c>
    </row>
    <row r="958" spans="1:13" s="120" customFormat="1" x14ac:dyDescent="0.25">
      <c r="A958" s="119"/>
      <c r="B958" s="138" t="str">
        <f t="shared" si="48"/>
        <v>Windrow</v>
      </c>
      <c r="C958" s="138" t="str">
        <f t="shared" si="51"/>
        <v>Base_With Amendment</v>
      </c>
      <c r="D958" s="118" t="s">
        <v>137</v>
      </c>
      <c r="E958" s="118" t="s">
        <v>130</v>
      </c>
      <c r="F958" s="118" t="s">
        <v>46</v>
      </c>
      <c r="G958" s="153"/>
      <c r="H958" s="155">
        <v>8.5000000000000006E-3</v>
      </c>
      <c r="I958" s="154" t="s">
        <v>271</v>
      </c>
      <c r="J958" s="203">
        <v>2.7210000000000002E-2</v>
      </c>
      <c r="K958" s="154" t="s">
        <v>15</v>
      </c>
      <c r="L958" s="154" t="str">
        <f>IF(OpenLCAbasic!K958="CTUh", "Fill in Manually",IF(OR(K958="Unit", K958=""), "", INDEX(LookUps!$E$5:$E$12, MATCH(OpenLCAbasic!K958,LookUps!$D$5:$D$12,0))))</f>
        <v>Cumulative Energy Demand (CED) - MJ</v>
      </c>
      <c r="M958" s="154" t="str">
        <f t="shared" si="50"/>
        <v>Base_Medium_High_Upgraded_Cumulative Energy Demand (CED) - MJ_Biosolids composting; windrow composting; wastewater treatment unit; at updated plant - US_Base_With Amendment_Windrow</v>
      </c>
    </row>
    <row r="959" spans="1:13" s="120" customFormat="1" x14ac:dyDescent="0.25">
      <c r="A959" s="119"/>
      <c r="B959" s="138" t="str">
        <f t="shared" si="48"/>
        <v>Windrow</v>
      </c>
      <c r="C959" s="138" t="str">
        <f t="shared" si="51"/>
        <v>Base_With Amendment</v>
      </c>
      <c r="D959" s="118" t="s">
        <v>137</v>
      </c>
      <c r="E959" s="118" t="s">
        <v>130</v>
      </c>
      <c r="F959" s="118" t="s">
        <v>46</v>
      </c>
      <c r="G959" s="153"/>
      <c r="H959" s="155">
        <v>-0.18459999999999999</v>
      </c>
      <c r="I959" s="154" t="s">
        <v>62</v>
      </c>
      <c r="J959" s="203">
        <v>-0.5877</v>
      </c>
      <c r="K959" s="154" t="s">
        <v>15</v>
      </c>
      <c r="L959" s="154" t="str">
        <f>IF(OpenLCAbasic!K959="CTUh", "Fill in Manually",IF(OR(K959="Unit", K959=""), "", INDEX(LookUps!$E$5:$E$12, MATCH(OpenLCAbasic!K959,LookUps!$D$5:$D$12,0))))</f>
        <v>Cumulative Energy Demand (CED) - MJ</v>
      </c>
      <c r="M959" s="154" t="str">
        <f t="shared" si="50"/>
        <v>Base_Medium_High_Upgraded_Cumulative Energy Demand (CED) - MJ_Land application of compost; wastewater treatment unit; at updated plant - US_Base_With Amendment_Windrow</v>
      </c>
    </row>
    <row r="960" spans="1:13" s="120" customFormat="1" x14ac:dyDescent="0.25">
      <c r="A960" s="119"/>
      <c r="B960" s="138" t="str">
        <f t="shared" si="48"/>
        <v>Windrow</v>
      </c>
      <c r="C960" s="138" t="str">
        <f t="shared" si="51"/>
        <v>Base_With Amendment</v>
      </c>
      <c r="D960" s="118" t="s">
        <v>137</v>
      </c>
      <c r="E960" s="118" t="s">
        <v>130</v>
      </c>
      <c r="F960" s="118" t="s">
        <v>46</v>
      </c>
      <c r="G960" s="153"/>
      <c r="H960" s="155">
        <v>-4.8601999999999999</v>
      </c>
      <c r="I960" s="154" t="s">
        <v>149</v>
      </c>
      <c r="J960" s="206">
        <v>-15.471780000000001</v>
      </c>
      <c r="K960" s="154" t="s">
        <v>15</v>
      </c>
      <c r="L960" s="154" t="str">
        <f>IF(OpenLCAbasic!K960="CTUh", "Fill in Manually",IF(OR(K960="Unit", K960=""), "", INDEX(LookUps!$E$5:$E$12, MATCH(OpenLCAbasic!K960,LookUps!$D$5:$D$12,0))))</f>
        <v>Cumulative Energy Demand (CED) - MJ</v>
      </c>
      <c r="M960" s="154" t="str">
        <f t="shared" si="50"/>
        <v>Base_Medium_High_Upgraded_Cumulative Energy Demand (CED) - MJ_Anaerobic Digestion; wastewater treatment unit; at updated plant - US_Base_With Amendment_Windrow</v>
      </c>
    </row>
    <row r="961" spans="1:13" s="120" customFormat="1" x14ac:dyDescent="0.25">
      <c r="A961" s="119"/>
      <c r="B961" s="138" t="str">
        <f t="shared" si="48"/>
        <v>Windrow</v>
      </c>
      <c r="C961" s="138" t="str">
        <f t="shared" si="51"/>
        <v>Base_With Amendment</v>
      </c>
      <c r="D961" s="118" t="s">
        <v>137</v>
      </c>
      <c r="E961" s="118" t="s">
        <v>130</v>
      </c>
      <c r="F961" s="118" t="s">
        <v>46</v>
      </c>
      <c r="G961" s="153" t="s">
        <v>51</v>
      </c>
      <c r="H961" s="154"/>
      <c r="I961" s="154" t="s">
        <v>47</v>
      </c>
      <c r="J961" s="154" t="s">
        <v>52</v>
      </c>
      <c r="K961" s="154" t="s">
        <v>27</v>
      </c>
      <c r="L961" s="154" t="str">
        <f>IF(OpenLCAbasic!K961="CTUh", "Fill in Manually",IF(OR(K961="Unit", K961=""), "", INDEX(LookUps!$E$5:$E$12, MATCH(OpenLCAbasic!K961,LookUps!$D$5:$D$12,0))))</f>
        <v/>
      </c>
      <c r="M961" s="154" t="str">
        <f t="shared" si="50"/>
        <v>Base_Medium_High_Upgraded__Process_Base_With Amendment_Windrow</v>
      </c>
    </row>
    <row r="962" spans="1:13" s="120" customFormat="1" x14ac:dyDescent="0.25">
      <c r="A962" s="119"/>
      <c r="B962" s="138" t="str">
        <f t="shared" si="48"/>
        <v>Windrow</v>
      </c>
      <c r="C962" s="138" t="str">
        <f t="shared" si="51"/>
        <v>Base_With Amendment</v>
      </c>
      <c r="D962" s="118" t="s">
        <v>137</v>
      </c>
      <c r="E962" s="118" t="s">
        <v>130</v>
      </c>
      <c r="F962" s="118" t="s">
        <v>46</v>
      </c>
      <c r="G962" s="153"/>
      <c r="H962" s="155">
        <v>2.0566</v>
      </c>
      <c r="I962" s="154" t="s">
        <v>55</v>
      </c>
      <c r="J962" s="203">
        <v>1.7219999999999999E-2</v>
      </c>
      <c r="K962" s="154" t="s">
        <v>24</v>
      </c>
      <c r="L962" s="154" t="str">
        <f>IF(OpenLCAbasic!K962="CTUh", "Fill in Manually",IF(OR(K962="Unit", K962=""), "", INDEX(LookUps!$E$5:$E$12, MATCH(OpenLCAbasic!K962,LookUps!$D$5:$D$12,0))))</f>
        <v>Acidification Potential (AP) - kg SO2 eq</v>
      </c>
      <c r="M962" s="154" t="str">
        <f t="shared" si="50"/>
        <v>Base_Medium_High_Upgraded_Acidification Potential (AP) - kg SO2 eq_Aeration Tanks; wastewater treatment unit; at updated plant - US_Base_With Amendment_Windrow</v>
      </c>
    </row>
    <row r="963" spans="1:13" s="120" customFormat="1" x14ac:dyDescent="0.25">
      <c r="A963" s="119"/>
      <c r="B963" s="138" t="str">
        <f t="shared" si="48"/>
        <v>Windrow</v>
      </c>
      <c r="C963" s="138" t="str">
        <f t="shared" si="51"/>
        <v>Base_With Amendment</v>
      </c>
      <c r="D963" s="118" t="s">
        <v>137</v>
      </c>
      <c r="E963" s="118" t="s">
        <v>130</v>
      </c>
      <c r="F963" s="118" t="s">
        <v>46</v>
      </c>
      <c r="G963" s="153"/>
      <c r="H963" s="155">
        <v>0.88270000000000004</v>
      </c>
      <c r="I963" s="154" t="s">
        <v>271</v>
      </c>
      <c r="J963" s="204">
        <v>7.3899999999999999E-3</v>
      </c>
      <c r="K963" s="154" t="s">
        <v>24</v>
      </c>
      <c r="L963" s="154" t="str">
        <f>IF(OpenLCAbasic!K963="CTUh", "Fill in Manually",IF(OR(K963="Unit", K963=""), "", INDEX(LookUps!$E$5:$E$12, MATCH(OpenLCAbasic!K963,LookUps!$D$5:$D$12,0))))</f>
        <v>Acidification Potential (AP) - kg SO2 eq</v>
      </c>
      <c r="M963" s="154" t="str">
        <f t="shared" si="50"/>
        <v>Base_Medium_High_Upgraded_Acidification Potential (AP) - kg SO2 eq_Biosolids composting; windrow composting; wastewater treatment unit; at updated plant - US_Base_With Amendment_Windrow</v>
      </c>
    </row>
    <row r="964" spans="1:13" s="120" customFormat="1" x14ac:dyDescent="0.25">
      <c r="A964" s="119"/>
      <c r="B964" s="138" t="str">
        <f t="shared" si="48"/>
        <v>Windrow</v>
      </c>
      <c r="C964" s="138" t="str">
        <f t="shared" si="51"/>
        <v>Base_With Amendment</v>
      </c>
      <c r="D964" s="118" t="s">
        <v>137</v>
      </c>
      <c r="E964" s="118" t="s">
        <v>130</v>
      </c>
      <c r="F964" s="118" t="s">
        <v>46</v>
      </c>
      <c r="G964" s="153"/>
      <c r="H964" s="155">
        <v>0.5948</v>
      </c>
      <c r="I964" s="154" t="s">
        <v>54</v>
      </c>
      <c r="J964" s="204">
        <v>4.9800000000000001E-3</v>
      </c>
      <c r="K964" s="154" t="s">
        <v>24</v>
      </c>
      <c r="L964" s="154" t="str">
        <f>IF(OpenLCAbasic!K964="CTUh", "Fill in Manually",IF(OR(K964="Unit", K964=""), "", INDEX(LookUps!$E$5:$E$12, MATCH(OpenLCAbasic!K964,LookUps!$D$5:$D$12,0))))</f>
        <v>Acidification Potential (AP) - kg SO2 eq</v>
      </c>
      <c r="M964" s="154" t="str">
        <f t="shared" si="50"/>
        <v>Base_Medium_High_Upgraded_Acidification Potential (AP) - kg SO2 eq_Clear Cove Primary Clarification; wastewater treatment unit; at updated plant - US_Base_With Amendment_Windrow</v>
      </c>
    </row>
    <row r="965" spans="1:13" s="120" customFormat="1" x14ac:dyDescent="0.25">
      <c r="A965" s="119"/>
      <c r="B965" s="138" t="str">
        <f t="shared" si="48"/>
        <v>Windrow</v>
      </c>
      <c r="C965" s="138" t="str">
        <f t="shared" si="51"/>
        <v>Base_With Amendment</v>
      </c>
      <c r="D965" s="118" t="s">
        <v>137</v>
      </c>
      <c r="E965" s="118" t="s">
        <v>130</v>
      </c>
      <c r="F965" s="118" t="s">
        <v>46</v>
      </c>
      <c r="G965" s="153"/>
      <c r="H965" s="155">
        <v>0.51900000000000002</v>
      </c>
      <c r="I965" s="154" t="s">
        <v>58</v>
      </c>
      <c r="J965" s="204">
        <v>4.3499999999999997E-3</v>
      </c>
      <c r="K965" s="154" t="s">
        <v>24</v>
      </c>
      <c r="L965" s="154" t="str">
        <f>IF(OpenLCAbasic!K965="CTUh", "Fill in Manually",IF(OR(K965="Unit", K965=""), "", INDEX(LookUps!$E$5:$E$12, MATCH(OpenLCAbasic!K965,LookUps!$D$5:$D$12,0))))</f>
        <v>Acidification Potential (AP) - kg SO2 eq</v>
      </c>
      <c r="M965" s="154" t="str">
        <f t="shared" si="50"/>
        <v>Base_Medium_High_Upgraded_Acidification Potential (AP) - kg SO2 eq_Pre-Anoxic &amp; Swing tank; wastewater treatment unit; at updated plant - US_Base_With Amendment_Windrow</v>
      </c>
    </row>
    <row r="966" spans="1:13" s="120" customFormat="1" x14ac:dyDescent="0.25">
      <c r="A966" s="119"/>
      <c r="B966" s="138" t="str">
        <f t="shared" si="48"/>
        <v>Windrow</v>
      </c>
      <c r="C966" s="138" t="str">
        <f t="shared" si="51"/>
        <v>Base_With Amendment</v>
      </c>
      <c r="D966" s="118" t="s">
        <v>137</v>
      </c>
      <c r="E966" s="118" t="s">
        <v>130</v>
      </c>
      <c r="F966" s="118" t="s">
        <v>46</v>
      </c>
      <c r="G966" s="153"/>
      <c r="H966" s="155">
        <v>0.4219</v>
      </c>
      <c r="I966" s="154" t="s">
        <v>62</v>
      </c>
      <c r="J966" s="204">
        <v>3.5300000000000002E-3</v>
      </c>
      <c r="K966" s="154" t="s">
        <v>24</v>
      </c>
      <c r="L966" s="154" t="str">
        <f>IF(OpenLCAbasic!K966="CTUh", "Fill in Manually",IF(OR(K966="Unit", K966=""), "", INDEX(LookUps!$E$5:$E$12, MATCH(OpenLCAbasic!K966,LookUps!$D$5:$D$12,0))))</f>
        <v>Acidification Potential (AP) - kg SO2 eq</v>
      </c>
      <c r="M966" s="154" t="str">
        <f t="shared" si="50"/>
        <v>Base_Medium_High_Upgraded_Acidification Potential (AP) - kg SO2 eq_Land application of compost; wastewater treatment unit; at updated plant - US_Base_With Amendment_Windrow</v>
      </c>
    </row>
    <row r="967" spans="1:13" s="120" customFormat="1" x14ac:dyDescent="0.25">
      <c r="A967" s="119"/>
      <c r="B967" s="138" t="str">
        <f t="shared" ref="B967:B1030" si="52">IF(F967="Legacy","n.a.",IF(F967="","","Windrow"))</f>
        <v>Windrow</v>
      </c>
      <c r="C967" s="138" t="str">
        <f t="shared" si="51"/>
        <v>Base_With Amendment</v>
      </c>
      <c r="D967" s="118" t="s">
        <v>137</v>
      </c>
      <c r="E967" s="118" t="s">
        <v>130</v>
      </c>
      <c r="F967" s="118" t="s">
        <v>46</v>
      </c>
      <c r="G967" s="153"/>
      <c r="H967" s="155">
        <v>0.41210000000000002</v>
      </c>
      <c r="I967" s="154" t="s">
        <v>53</v>
      </c>
      <c r="J967" s="204">
        <v>3.4499999999999999E-3</v>
      </c>
      <c r="K967" s="154" t="s">
        <v>24</v>
      </c>
      <c r="L967" s="154" t="str">
        <f>IF(OpenLCAbasic!K967="CTUh", "Fill in Manually",IF(OR(K967="Unit", K967=""), "", INDEX(LookUps!$E$5:$E$12, MATCH(OpenLCAbasic!K967,LookUps!$D$5:$D$12,0))))</f>
        <v>Acidification Potential (AP) - kg SO2 eq</v>
      </c>
      <c r="M967" s="154" t="str">
        <f t="shared" si="50"/>
        <v>Base_Medium_High_Upgraded_Acidification Potential (AP) - kg SO2 eq_Wet Well and Sump Station; wastewater treatment unit; at updated plant - US_Base_With Amendment_Windrow</v>
      </c>
    </row>
    <row r="968" spans="1:13" s="120" customFormat="1" x14ac:dyDescent="0.25">
      <c r="A968" s="119"/>
      <c r="B968" s="138" t="str">
        <f t="shared" si="52"/>
        <v>Windrow</v>
      </c>
      <c r="C968" s="138" t="str">
        <f t="shared" si="51"/>
        <v>Base_With Amendment</v>
      </c>
      <c r="D968" s="118" t="s">
        <v>137</v>
      </c>
      <c r="E968" s="118" t="s">
        <v>130</v>
      </c>
      <c r="F968" s="118" t="s">
        <v>46</v>
      </c>
      <c r="G968" s="153"/>
      <c r="H968" s="155">
        <v>0.30230000000000001</v>
      </c>
      <c r="I968" s="154" t="s">
        <v>167</v>
      </c>
      <c r="J968" s="204">
        <v>2.5300000000000001E-3</v>
      </c>
      <c r="K968" s="154" t="s">
        <v>24</v>
      </c>
      <c r="L968" s="154" t="str">
        <f>IF(OpenLCAbasic!K968="CTUh", "Fill in Manually",IF(OR(K968="Unit", K968=""), "", INDEX(LookUps!$E$5:$E$12, MATCH(OpenLCAbasic!K968,LookUps!$D$5:$D$12,0))))</f>
        <v>Acidification Potential (AP) - kg SO2 eq</v>
      </c>
      <c r="M968" s="154" t="str">
        <f t="shared" ref="M968:M1031" si="53">CONCATENATE(E968,"_",D968,"_",F968,"_",L968, "_",I968,"_", C968,"_", B968)</f>
        <v>Base_Medium_High_Upgraded_Acidification Potential (AP) - kg SO2 eq_Waste Receiving and Holding; wastewater treatment unit; at updated plant - US_Base_With Amendment_Windrow</v>
      </c>
    </row>
    <row r="969" spans="1:13" s="120" customFormat="1" x14ac:dyDescent="0.25">
      <c r="A969" s="119"/>
      <c r="B969" s="138" t="str">
        <f t="shared" si="52"/>
        <v>Windrow</v>
      </c>
      <c r="C969" s="138" t="str">
        <f t="shared" si="51"/>
        <v>Base_With Amendment</v>
      </c>
      <c r="D969" s="118" t="s">
        <v>137</v>
      </c>
      <c r="E969" s="118" t="s">
        <v>130</v>
      </c>
      <c r="F969" s="118" t="s">
        <v>46</v>
      </c>
      <c r="G969" s="153"/>
      <c r="H969" s="155">
        <v>0.24709999999999999</v>
      </c>
      <c r="I969" s="154" t="s">
        <v>147</v>
      </c>
      <c r="J969" s="204">
        <v>2.0699999999999998E-3</v>
      </c>
      <c r="K969" s="154" t="s">
        <v>24</v>
      </c>
      <c r="L969" s="154" t="str">
        <f>IF(OpenLCAbasic!K969="CTUh", "Fill in Manually",IF(OR(K969="Unit", K969=""), "", INDEX(LookUps!$E$5:$E$12, MATCH(OpenLCAbasic!K969,LookUps!$D$5:$D$12,0))))</f>
        <v>Acidification Potential (AP) - kg SO2 eq</v>
      </c>
      <c r="M969" s="154" t="str">
        <f t="shared" si="53"/>
        <v>Base_Medium_High_Upgraded_Acidification Potential (AP) - kg SO2 eq_Influent Pump Station; wastewater treatment unit; at updated plant - US_Base_With Amendment_Windrow</v>
      </c>
    </row>
    <row r="970" spans="1:13" s="120" customFormat="1" x14ac:dyDescent="0.25">
      <c r="A970" s="119"/>
      <c r="B970" s="138" t="str">
        <f t="shared" si="52"/>
        <v>Windrow</v>
      </c>
      <c r="C970" s="138" t="str">
        <f t="shared" si="51"/>
        <v>Base_With Amendment</v>
      </c>
      <c r="D970" s="118" t="s">
        <v>137</v>
      </c>
      <c r="E970" s="118" t="s">
        <v>130</v>
      </c>
      <c r="F970" s="118" t="s">
        <v>46</v>
      </c>
      <c r="G970" s="153"/>
      <c r="H970" s="155">
        <v>0.14729999999999999</v>
      </c>
      <c r="I970" s="154" t="s">
        <v>128</v>
      </c>
      <c r="J970" s="204">
        <v>1.23E-3</v>
      </c>
      <c r="K970" s="154" t="s">
        <v>24</v>
      </c>
      <c r="L970" s="154" t="str">
        <f>IF(OpenLCAbasic!K970="CTUh", "Fill in Manually",IF(OR(K970="Unit", K970=""), "", INDEX(LookUps!$E$5:$E$12, MATCH(OpenLCAbasic!K970,LookUps!$D$5:$D$12,0))))</f>
        <v>Acidification Potential (AP) - kg SO2 eq</v>
      </c>
      <c r="M970" s="154" t="str">
        <f t="shared" si="53"/>
        <v>Base_Medium_High_Upgraded_Acidification Potential (AP) - kg SO2 eq_Wastewater collection; operation and infrastructure; m3 wastewater_Base_With Amendment_Windrow</v>
      </c>
    </row>
    <row r="971" spans="1:13" s="120" customFormat="1" x14ac:dyDescent="0.25">
      <c r="A971" s="119"/>
      <c r="B971" s="138" t="str">
        <f t="shared" si="52"/>
        <v>Windrow</v>
      </c>
      <c r="C971" s="138" t="str">
        <f t="shared" si="51"/>
        <v>Base_With Amendment</v>
      </c>
      <c r="D971" s="118" t="s">
        <v>137</v>
      </c>
      <c r="E971" s="118" t="s">
        <v>130</v>
      </c>
      <c r="F971" s="118" t="s">
        <v>46</v>
      </c>
      <c r="G971" s="153"/>
      <c r="H971" s="155">
        <v>0.12180000000000001</v>
      </c>
      <c r="I971" s="154" t="s">
        <v>60</v>
      </c>
      <c r="J971" s="204">
        <v>1.0200000000000001E-3</v>
      </c>
      <c r="K971" s="154" t="s">
        <v>24</v>
      </c>
      <c r="L971" s="154" t="str">
        <f>IF(OpenLCAbasic!K971="CTUh", "Fill in Manually",IF(OR(K971="Unit", K971=""), "", INDEX(LookUps!$E$5:$E$12, MATCH(OpenLCAbasic!K971,LookUps!$D$5:$D$12,0))))</f>
        <v>Acidification Potential (AP) - kg SO2 eq</v>
      </c>
      <c r="M971" s="154" t="str">
        <f t="shared" si="53"/>
        <v>Base_Medium_High_Upgraded_Acidification Potential (AP) - kg SO2 eq_Belt filter press; wastewater treatment unit; at updated plant - US_Base_With Amendment_Windrow</v>
      </c>
    </row>
    <row r="972" spans="1:13" s="120" customFormat="1" x14ac:dyDescent="0.25">
      <c r="A972" s="119"/>
      <c r="B972" s="138" t="str">
        <f t="shared" si="52"/>
        <v>Windrow</v>
      </c>
      <c r="C972" s="138" t="str">
        <f t="shared" si="51"/>
        <v>Base_With Amendment</v>
      </c>
      <c r="D972" s="118" t="s">
        <v>137</v>
      </c>
      <c r="E972" s="118" t="s">
        <v>130</v>
      </c>
      <c r="F972" s="118" t="s">
        <v>46</v>
      </c>
      <c r="G972" s="153"/>
      <c r="H972" s="155">
        <v>8.4099999999999994E-2</v>
      </c>
      <c r="I972" s="154" t="s">
        <v>57</v>
      </c>
      <c r="J972" s="204">
        <v>6.9999999999999999E-4</v>
      </c>
      <c r="K972" s="154" t="s">
        <v>24</v>
      </c>
      <c r="L972" s="154" t="str">
        <f>IF(OpenLCAbasic!K972="CTUh", "Fill in Manually",IF(OR(K972="Unit", K972=""), "", INDEX(LookUps!$E$5:$E$12, MATCH(OpenLCAbasic!K972,LookUps!$D$5:$D$12,0))))</f>
        <v>Acidification Potential (AP) - kg SO2 eq</v>
      </c>
      <c r="M972" s="154" t="str">
        <f t="shared" si="53"/>
        <v>Base_Medium_High_Upgraded_Acidification Potential (AP) - kg SO2 eq_Gravity Belt Thickener; wastewater treatment unit; at updated plant - US_Base_With Amendment_Windrow</v>
      </c>
    </row>
    <row r="973" spans="1:13" s="120" customFormat="1" x14ac:dyDescent="0.25">
      <c r="A973" s="119"/>
      <c r="B973" s="138" t="str">
        <f t="shared" si="52"/>
        <v>Windrow</v>
      </c>
      <c r="C973" s="138" t="str">
        <f t="shared" si="51"/>
        <v>Base_With Amendment</v>
      </c>
      <c r="D973" s="118" t="s">
        <v>137</v>
      </c>
      <c r="E973" s="118" t="s">
        <v>130</v>
      </c>
      <c r="F973" s="118" t="s">
        <v>46</v>
      </c>
      <c r="G973" s="153"/>
      <c r="H973" s="155">
        <v>6.1699999999999998E-2</v>
      </c>
      <c r="I973" s="154" t="s">
        <v>59</v>
      </c>
      <c r="J973" s="204">
        <v>5.1999999999999995E-4</v>
      </c>
      <c r="K973" s="154" t="s">
        <v>24</v>
      </c>
      <c r="L973" s="154" t="str">
        <f>IF(OpenLCAbasic!K973="CTUh", "Fill in Manually",IF(OR(K973="Unit", K973=""), "", INDEX(LookUps!$E$5:$E$12, MATCH(OpenLCAbasic!K973,LookUps!$D$5:$D$12,0))))</f>
        <v>Acidification Potential (AP) - kg SO2 eq</v>
      </c>
      <c r="M973" s="154" t="str">
        <f t="shared" si="53"/>
        <v>Base_Medium_High_Upgraded_Acidification Potential (AP) - kg SO2 eq_Blend Tank; wastewater treatment unit; at updated plant - US_Base_With Amendment_Windrow</v>
      </c>
    </row>
    <row r="974" spans="1:13" s="120" customFormat="1" x14ac:dyDescent="0.25">
      <c r="A974" s="119"/>
      <c r="B974" s="138" t="str">
        <f t="shared" si="52"/>
        <v>Windrow</v>
      </c>
      <c r="C974" s="138" t="str">
        <f t="shared" si="51"/>
        <v>Base_With Amendment</v>
      </c>
      <c r="D974" s="118" t="s">
        <v>137</v>
      </c>
      <c r="E974" s="118" t="s">
        <v>130</v>
      </c>
      <c r="F974" s="118" t="s">
        <v>46</v>
      </c>
      <c r="G974" s="153"/>
      <c r="H974" s="155">
        <v>4.1399999999999999E-2</v>
      </c>
      <c r="I974" s="154" t="s">
        <v>48</v>
      </c>
      <c r="J974" s="204">
        <v>3.5E-4</v>
      </c>
      <c r="K974" s="154" t="s">
        <v>24</v>
      </c>
      <c r="L974" s="154" t="str">
        <f>IF(OpenLCAbasic!K974="CTUh", "Fill in Manually",IF(OR(K974="Unit", K974=""), "", INDEX(LookUps!$E$5:$E$12, MATCH(OpenLCAbasic!K974,LookUps!$D$5:$D$12,0))))</f>
        <v>Acidification Potential (AP) - kg SO2 eq</v>
      </c>
      <c r="M974" s="154" t="str">
        <f t="shared" si="53"/>
        <v>Base_Medium_High_Upgraded_Acidification Potential (AP) - kg SO2 eq_Effluent release; wastewater treatment unit; at surface water; m3 wastewater - US_Base_With Amendment_Windrow</v>
      </c>
    </row>
    <row r="975" spans="1:13" s="120" customFormat="1" x14ac:dyDescent="0.25">
      <c r="A975" s="119"/>
      <c r="B975" s="138" t="str">
        <f t="shared" si="52"/>
        <v>Windrow</v>
      </c>
      <c r="C975" s="138" t="str">
        <f t="shared" ref="C975:C1038" si="54">IF(E975&lt;&gt;"", "Base_With Amendment","")</f>
        <v>Base_With Amendment</v>
      </c>
      <c r="D975" s="118" t="s">
        <v>137</v>
      </c>
      <c r="E975" s="118" t="s">
        <v>130</v>
      </c>
      <c r="F975" s="118" t="s">
        <v>46</v>
      </c>
      <c r="G975" s="153"/>
      <c r="H975" s="155">
        <v>3.0499999999999999E-2</v>
      </c>
      <c r="I975" s="154" t="s">
        <v>168</v>
      </c>
      <c r="J975" s="204">
        <v>2.5999999999999998E-4</v>
      </c>
      <c r="K975" s="154" t="s">
        <v>24</v>
      </c>
      <c r="L975" s="154" t="str">
        <f>IF(OpenLCAbasic!K975="CTUh", "Fill in Manually",IF(OR(K975="Unit", K975=""), "", INDEX(LookUps!$E$5:$E$12, MATCH(OpenLCAbasic!K975,LookUps!$D$5:$D$12,0))))</f>
        <v>Acidification Potential (AP) - kg SO2 eq</v>
      </c>
      <c r="M975" s="154" t="str">
        <f t="shared" si="53"/>
        <v>Base_Medium_High_Upgraded_Acidification Potential (AP) - kg SO2 eq_ClearCove SCP; wastewater treatment unit; at updated plant - US_Base_With Amendment_Windrow</v>
      </c>
    </row>
    <row r="976" spans="1:13" s="120" customFormat="1" x14ac:dyDescent="0.25">
      <c r="A976" s="119"/>
      <c r="B976" s="138" t="str">
        <f t="shared" si="52"/>
        <v>Windrow</v>
      </c>
      <c r="C976" s="138" t="str">
        <f t="shared" si="54"/>
        <v>Base_With Amendment</v>
      </c>
      <c r="D976" s="118" t="s">
        <v>137</v>
      </c>
      <c r="E976" s="118" t="s">
        <v>130</v>
      </c>
      <c r="F976" s="118" t="s">
        <v>46</v>
      </c>
      <c r="G976" s="153"/>
      <c r="H976" s="155">
        <v>4.7999999999999996E-3</v>
      </c>
      <c r="I976" s="154" t="s">
        <v>148</v>
      </c>
      <c r="J976" s="204">
        <v>4.0354700000000002E-5</v>
      </c>
      <c r="K976" s="154" t="s">
        <v>24</v>
      </c>
      <c r="L976" s="154" t="str">
        <f>IF(OpenLCAbasic!K976="CTUh", "Fill in Manually",IF(OR(K976="Unit", K976=""), "", INDEX(LookUps!$E$5:$E$12, MATCH(OpenLCAbasic!K976,LookUps!$D$5:$D$12,0))))</f>
        <v>Acidification Potential (AP) - kg SO2 eq</v>
      </c>
      <c r="M976" s="154" t="str">
        <f t="shared" si="53"/>
        <v>Base_Medium_High_Upgraded_Acidification Potential (AP) - kg SO2 eq_Control Building; at upgraded wastewater treatment plant - US_Base_With Amendment_Windrow</v>
      </c>
    </row>
    <row r="977" spans="1:13" s="120" customFormat="1" x14ac:dyDescent="0.25">
      <c r="A977" s="119"/>
      <c r="B977" s="138" t="str">
        <f t="shared" si="52"/>
        <v>Windrow</v>
      </c>
      <c r="C977" s="138" t="str">
        <f t="shared" si="54"/>
        <v>Base_With Amendment</v>
      </c>
      <c r="D977" s="118" t="s">
        <v>137</v>
      </c>
      <c r="E977" s="118" t="s">
        <v>130</v>
      </c>
      <c r="F977" s="118" t="s">
        <v>46</v>
      </c>
      <c r="G977" s="153"/>
      <c r="H977" s="155">
        <v>-6.9279999999999999</v>
      </c>
      <c r="I977" s="154" t="s">
        <v>149</v>
      </c>
      <c r="J977" s="203">
        <v>-5.8009999999999999E-2</v>
      </c>
      <c r="K977" s="154" t="s">
        <v>24</v>
      </c>
      <c r="L977" s="154" t="str">
        <f>IF(OpenLCAbasic!K977="CTUh", "Fill in Manually",IF(OR(K977="Unit", K977=""), "", INDEX(LookUps!$E$5:$E$12, MATCH(OpenLCAbasic!K977,LookUps!$D$5:$D$12,0))))</f>
        <v>Acidification Potential (AP) - kg SO2 eq</v>
      </c>
      <c r="M977" s="154" t="str">
        <f t="shared" si="53"/>
        <v>Base_Medium_High_Upgraded_Acidification Potential (AP) - kg SO2 eq_Anaerobic Digestion; wastewater treatment unit; at updated plant - US_Base_With Amendment_Windrow</v>
      </c>
    </row>
    <row r="978" spans="1:13" s="120" customFormat="1" x14ac:dyDescent="0.25">
      <c r="A978" s="119"/>
      <c r="B978" s="138" t="str">
        <f t="shared" si="52"/>
        <v>Windrow</v>
      </c>
      <c r="C978" s="138" t="str">
        <f t="shared" si="54"/>
        <v>Base_With Amendment</v>
      </c>
      <c r="D978" s="118" t="s">
        <v>137</v>
      </c>
      <c r="E978" s="118" t="s">
        <v>130</v>
      </c>
      <c r="F978" s="118" t="s">
        <v>46</v>
      </c>
      <c r="G978" s="153" t="s">
        <v>51</v>
      </c>
      <c r="H978" s="154"/>
      <c r="I978" s="154" t="s">
        <v>47</v>
      </c>
      <c r="J978" s="154" t="s">
        <v>52</v>
      </c>
      <c r="K978" s="154" t="s">
        <v>27</v>
      </c>
      <c r="L978" s="154" t="str">
        <f>IF(OpenLCAbasic!K978="CTUh", "Fill in Manually",IF(OR(K978="Unit", K978=""), "", INDEX(LookUps!$E$5:$E$12, MATCH(OpenLCAbasic!K978,LookUps!$D$5:$D$12,0))))</f>
        <v/>
      </c>
      <c r="M978" s="154" t="str">
        <f t="shared" si="53"/>
        <v>Base_Medium_High_Upgraded__Process_Base_With Amendment_Windrow</v>
      </c>
    </row>
    <row r="979" spans="1:13" s="120" customFormat="1" x14ac:dyDescent="0.25">
      <c r="A979" s="119"/>
      <c r="B979" s="138" t="str">
        <f t="shared" si="52"/>
        <v>Windrow</v>
      </c>
      <c r="C979" s="138" t="str">
        <f t="shared" si="54"/>
        <v>Base_With Amendment</v>
      </c>
      <c r="D979" s="118" t="s">
        <v>137</v>
      </c>
      <c r="E979" s="118" t="s">
        <v>130</v>
      </c>
      <c r="F979" s="118" t="s">
        <v>46</v>
      </c>
      <c r="G979" s="153"/>
      <c r="H979" s="155">
        <v>1.0165999999999999</v>
      </c>
      <c r="I979" s="154" t="s">
        <v>55</v>
      </c>
      <c r="J979" s="204">
        <v>2.33E-3</v>
      </c>
      <c r="K979" s="154" t="s">
        <v>145</v>
      </c>
      <c r="L979" s="154" t="str">
        <f>IF(OpenLCAbasic!K979="CTUh", "Fill in Manually",IF(OR(K979="Unit", K979=""), "", INDEX(LookUps!$E$5:$E$12, MATCH(OpenLCAbasic!K979,LookUps!$D$5:$D$12,0))))</f>
        <v>Particulate Matter Formation Potential (PMFP) - kg PM2.5 eq</v>
      </c>
      <c r="M979" s="154" t="str">
        <f t="shared" si="53"/>
        <v>Base_Medium_High_Upgraded_Particulate Matter Formation Potential (PMFP) - kg PM2.5 eq_Aeration Tanks; wastewater treatment unit; at updated plant - US_Base_With Amendment_Windrow</v>
      </c>
    </row>
    <row r="980" spans="1:13" s="120" customFormat="1" x14ac:dyDescent="0.25">
      <c r="A980" s="119"/>
      <c r="B980" s="138" t="str">
        <f t="shared" si="52"/>
        <v>Windrow</v>
      </c>
      <c r="C980" s="138" t="str">
        <f t="shared" si="54"/>
        <v>Base_With Amendment</v>
      </c>
      <c r="D980" s="118" t="s">
        <v>137</v>
      </c>
      <c r="E980" s="118" t="s">
        <v>130</v>
      </c>
      <c r="F980" s="118" t="s">
        <v>46</v>
      </c>
      <c r="G980" s="153"/>
      <c r="H980" s="155">
        <v>0.29580000000000001</v>
      </c>
      <c r="I980" s="154" t="s">
        <v>54</v>
      </c>
      <c r="J980" s="204">
        <v>6.8000000000000005E-4</v>
      </c>
      <c r="K980" s="154" t="s">
        <v>145</v>
      </c>
      <c r="L980" s="154" t="str">
        <f>IF(OpenLCAbasic!K980="CTUh", "Fill in Manually",IF(OR(K980="Unit", K980=""), "", INDEX(LookUps!$E$5:$E$12, MATCH(OpenLCAbasic!K980,LookUps!$D$5:$D$12,0))))</f>
        <v>Particulate Matter Formation Potential (PMFP) - kg PM2.5 eq</v>
      </c>
      <c r="M980" s="154" t="str">
        <f t="shared" si="53"/>
        <v>Base_Medium_High_Upgraded_Particulate Matter Formation Potential (PMFP) - kg PM2.5 eq_Clear Cove Primary Clarification; wastewater treatment unit; at updated plant - US_Base_With Amendment_Windrow</v>
      </c>
    </row>
    <row r="981" spans="1:13" s="120" customFormat="1" x14ac:dyDescent="0.25">
      <c r="A981" s="119"/>
      <c r="B981" s="138" t="str">
        <f t="shared" si="52"/>
        <v>Windrow</v>
      </c>
      <c r="C981" s="138" t="str">
        <f t="shared" si="54"/>
        <v>Base_With Amendment</v>
      </c>
      <c r="D981" s="118" t="s">
        <v>137</v>
      </c>
      <c r="E981" s="118" t="s">
        <v>130</v>
      </c>
      <c r="F981" s="118" t="s">
        <v>46</v>
      </c>
      <c r="G981" s="153"/>
      <c r="H981" s="155">
        <v>0.25640000000000002</v>
      </c>
      <c r="I981" s="154" t="s">
        <v>58</v>
      </c>
      <c r="J981" s="204">
        <v>5.9000000000000003E-4</v>
      </c>
      <c r="K981" s="154" t="s">
        <v>145</v>
      </c>
      <c r="L981" s="154" t="str">
        <f>IF(OpenLCAbasic!K981="CTUh", "Fill in Manually",IF(OR(K981="Unit", K981=""), "", INDEX(LookUps!$E$5:$E$12, MATCH(OpenLCAbasic!K981,LookUps!$D$5:$D$12,0))))</f>
        <v>Particulate Matter Formation Potential (PMFP) - kg PM2.5 eq</v>
      </c>
      <c r="M981" s="154" t="str">
        <f t="shared" si="53"/>
        <v>Base_Medium_High_Upgraded_Particulate Matter Formation Potential (PMFP) - kg PM2.5 eq_Pre-Anoxic &amp; Swing tank; wastewater treatment unit; at updated plant - US_Base_With Amendment_Windrow</v>
      </c>
    </row>
    <row r="982" spans="1:13" s="120" customFormat="1" x14ac:dyDescent="0.25">
      <c r="A982" s="119"/>
      <c r="B982" s="138" t="str">
        <f t="shared" si="52"/>
        <v>Windrow</v>
      </c>
      <c r="C982" s="138" t="str">
        <f t="shared" si="54"/>
        <v>Base_With Amendment</v>
      </c>
      <c r="D982" s="118" t="s">
        <v>137</v>
      </c>
      <c r="E982" s="118" t="s">
        <v>130</v>
      </c>
      <c r="F982" s="118" t="s">
        <v>46</v>
      </c>
      <c r="G982" s="153"/>
      <c r="H982" s="155">
        <v>0.20330000000000001</v>
      </c>
      <c r="I982" s="154" t="s">
        <v>53</v>
      </c>
      <c r="J982" s="204">
        <v>4.6999999999999999E-4</v>
      </c>
      <c r="K982" s="154" t="s">
        <v>145</v>
      </c>
      <c r="L982" s="154" t="str">
        <f>IF(OpenLCAbasic!K982="CTUh", "Fill in Manually",IF(OR(K982="Unit", K982=""), "", INDEX(LookUps!$E$5:$E$12, MATCH(OpenLCAbasic!K982,LookUps!$D$5:$D$12,0))))</f>
        <v>Particulate Matter Formation Potential (PMFP) - kg PM2.5 eq</v>
      </c>
      <c r="M982" s="154" t="str">
        <f t="shared" si="53"/>
        <v>Base_Medium_High_Upgraded_Particulate Matter Formation Potential (PMFP) - kg PM2.5 eq_Wet Well and Sump Station; wastewater treatment unit; at updated plant - US_Base_With Amendment_Windrow</v>
      </c>
    </row>
    <row r="983" spans="1:13" s="120" customFormat="1" x14ac:dyDescent="0.25">
      <c r="A983" s="119"/>
      <c r="B983" s="138" t="str">
        <f t="shared" si="52"/>
        <v>Windrow</v>
      </c>
      <c r="C983" s="138" t="str">
        <f t="shared" si="54"/>
        <v>Base_With Amendment</v>
      </c>
      <c r="D983" s="118" t="s">
        <v>137</v>
      </c>
      <c r="E983" s="118" t="s">
        <v>130</v>
      </c>
      <c r="F983" s="118" t="s">
        <v>46</v>
      </c>
      <c r="G983" s="153"/>
      <c r="H983" s="155">
        <v>0.13700000000000001</v>
      </c>
      <c r="I983" s="154" t="s">
        <v>167</v>
      </c>
      <c r="J983" s="204">
        <v>3.1E-4</v>
      </c>
      <c r="K983" s="154" t="s">
        <v>145</v>
      </c>
      <c r="L983" s="154" t="str">
        <f>IF(OpenLCAbasic!K983="CTUh", "Fill in Manually",IF(OR(K983="Unit", K983=""), "", INDEX(LookUps!$E$5:$E$12, MATCH(OpenLCAbasic!K983,LookUps!$D$5:$D$12,0))))</f>
        <v>Particulate Matter Formation Potential (PMFP) - kg PM2.5 eq</v>
      </c>
      <c r="M983" s="154" t="str">
        <f t="shared" si="53"/>
        <v>Base_Medium_High_Upgraded_Particulate Matter Formation Potential (PMFP) - kg PM2.5 eq_Waste Receiving and Holding; wastewater treatment unit; at updated plant - US_Base_With Amendment_Windrow</v>
      </c>
    </row>
    <row r="984" spans="1:13" s="120" customFormat="1" x14ac:dyDescent="0.25">
      <c r="A984" s="119"/>
      <c r="B984" s="138" t="str">
        <f t="shared" si="52"/>
        <v>Windrow</v>
      </c>
      <c r="C984" s="138" t="str">
        <f t="shared" si="54"/>
        <v>Base_With Amendment</v>
      </c>
      <c r="D984" s="118" t="s">
        <v>137</v>
      </c>
      <c r="E984" s="118" t="s">
        <v>130</v>
      </c>
      <c r="F984" s="118" t="s">
        <v>46</v>
      </c>
      <c r="G984" s="153"/>
      <c r="H984" s="155">
        <v>0.1162</v>
      </c>
      <c r="I984" s="154" t="s">
        <v>147</v>
      </c>
      <c r="J984" s="204">
        <v>2.7E-4</v>
      </c>
      <c r="K984" s="154" t="s">
        <v>145</v>
      </c>
      <c r="L984" s="154" t="str">
        <f>IF(OpenLCAbasic!K984="CTUh", "Fill in Manually",IF(OR(K984="Unit", K984=""), "", INDEX(LookUps!$E$5:$E$12, MATCH(OpenLCAbasic!K984,LookUps!$D$5:$D$12,0))))</f>
        <v>Particulate Matter Formation Potential (PMFP) - kg PM2.5 eq</v>
      </c>
      <c r="M984" s="154" t="str">
        <f t="shared" si="53"/>
        <v>Base_Medium_High_Upgraded_Particulate Matter Formation Potential (PMFP) - kg PM2.5 eq_Influent Pump Station; wastewater treatment unit; at updated plant - US_Base_With Amendment_Windrow</v>
      </c>
    </row>
    <row r="985" spans="1:13" s="120" customFormat="1" x14ac:dyDescent="0.25">
      <c r="A985" s="119"/>
      <c r="B985" s="138" t="str">
        <f t="shared" si="52"/>
        <v>Windrow</v>
      </c>
      <c r="C985" s="138" t="str">
        <f t="shared" si="54"/>
        <v>Base_With Amendment</v>
      </c>
      <c r="D985" s="118" t="s">
        <v>137</v>
      </c>
      <c r="E985" s="118" t="s">
        <v>130</v>
      </c>
      <c r="F985" s="118" t="s">
        <v>46</v>
      </c>
      <c r="G985" s="153"/>
      <c r="H985" s="155">
        <v>0.11550000000000001</v>
      </c>
      <c r="I985" s="154" t="s">
        <v>271</v>
      </c>
      <c r="J985" s="204">
        <v>2.7E-4</v>
      </c>
      <c r="K985" s="154" t="s">
        <v>145</v>
      </c>
      <c r="L985" s="154" t="str">
        <f>IF(OpenLCAbasic!K985="CTUh", "Fill in Manually",IF(OR(K985="Unit", K985=""), "", INDEX(LookUps!$E$5:$E$12, MATCH(OpenLCAbasic!K985,LookUps!$D$5:$D$12,0))))</f>
        <v>Particulate Matter Formation Potential (PMFP) - kg PM2.5 eq</v>
      </c>
      <c r="M985" s="154" t="str">
        <f t="shared" si="53"/>
        <v>Base_Medium_High_Upgraded_Particulate Matter Formation Potential (PMFP) - kg PM2.5 eq_Biosolids composting; windrow composting; wastewater treatment unit; at updated plant - US_Base_With Amendment_Windrow</v>
      </c>
    </row>
    <row r="986" spans="1:13" s="120" customFormat="1" x14ac:dyDescent="0.25">
      <c r="A986" s="119"/>
      <c r="B986" s="138" t="str">
        <f t="shared" si="52"/>
        <v>Windrow</v>
      </c>
      <c r="C986" s="138" t="str">
        <f t="shared" si="54"/>
        <v>Base_With Amendment</v>
      </c>
      <c r="D986" s="118" t="s">
        <v>137</v>
      </c>
      <c r="E986" s="118" t="s">
        <v>130</v>
      </c>
      <c r="F986" s="118" t="s">
        <v>46</v>
      </c>
      <c r="G986" s="153"/>
      <c r="H986" s="155">
        <v>7.2499999999999995E-2</v>
      </c>
      <c r="I986" s="154" t="s">
        <v>128</v>
      </c>
      <c r="J986" s="204">
        <v>1.7000000000000001E-4</v>
      </c>
      <c r="K986" s="154" t="s">
        <v>145</v>
      </c>
      <c r="L986" s="154" t="str">
        <f>IF(OpenLCAbasic!K986="CTUh", "Fill in Manually",IF(OR(K986="Unit", K986=""), "", INDEX(LookUps!$E$5:$E$12, MATCH(OpenLCAbasic!K986,LookUps!$D$5:$D$12,0))))</f>
        <v>Particulate Matter Formation Potential (PMFP) - kg PM2.5 eq</v>
      </c>
      <c r="M986" s="154" t="str">
        <f t="shared" si="53"/>
        <v>Base_Medium_High_Upgraded_Particulate Matter Formation Potential (PMFP) - kg PM2.5 eq_Wastewater collection; operation and infrastructure; m3 wastewater_Base_With Amendment_Windrow</v>
      </c>
    </row>
    <row r="987" spans="1:13" s="120" customFormat="1" x14ac:dyDescent="0.25">
      <c r="A987" s="119"/>
      <c r="B987" s="138" t="str">
        <f t="shared" si="52"/>
        <v>Windrow</v>
      </c>
      <c r="C987" s="138" t="str">
        <f t="shared" si="54"/>
        <v>Base_With Amendment</v>
      </c>
      <c r="D987" s="118" t="s">
        <v>137</v>
      </c>
      <c r="E987" s="118" t="s">
        <v>130</v>
      </c>
      <c r="F987" s="118" t="s">
        <v>46</v>
      </c>
      <c r="G987" s="153"/>
      <c r="H987" s="155">
        <v>6.0100000000000001E-2</v>
      </c>
      <c r="I987" s="154" t="s">
        <v>60</v>
      </c>
      <c r="J987" s="204">
        <v>1.3999999999999999E-4</v>
      </c>
      <c r="K987" s="154" t="s">
        <v>145</v>
      </c>
      <c r="L987" s="154" t="str">
        <f>IF(OpenLCAbasic!K987="CTUh", "Fill in Manually",IF(OR(K987="Unit", K987=""), "", INDEX(LookUps!$E$5:$E$12, MATCH(OpenLCAbasic!K987,LookUps!$D$5:$D$12,0))))</f>
        <v>Particulate Matter Formation Potential (PMFP) - kg PM2.5 eq</v>
      </c>
      <c r="M987" s="154" t="str">
        <f t="shared" si="53"/>
        <v>Base_Medium_High_Upgraded_Particulate Matter Formation Potential (PMFP) - kg PM2.5 eq_Belt filter press; wastewater treatment unit; at updated plant - US_Base_With Amendment_Windrow</v>
      </c>
    </row>
    <row r="988" spans="1:13" s="120" customFormat="1" x14ac:dyDescent="0.25">
      <c r="A988" s="119"/>
      <c r="B988" s="138" t="str">
        <f t="shared" si="52"/>
        <v>Windrow</v>
      </c>
      <c r="C988" s="138" t="str">
        <f t="shared" si="54"/>
        <v>Base_With Amendment</v>
      </c>
      <c r="D988" s="118" t="s">
        <v>137</v>
      </c>
      <c r="E988" s="118" t="s">
        <v>130</v>
      </c>
      <c r="F988" s="118" t="s">
        <v>46</v>
      </c>
      <c r="G988" s="153"/>
      <c r="H988" s="155">
        <v>4.1399999999999999E-2</v>
      </c>
      <c r="I988" s="154" t="s">
        <v>57</v>
      </c>
      <c r="J988" s="204">
        <v>9.5153800000000004E-5</v>
      </c>
      <c r="K988" s="154" t="s">
        <v>145</v>
      </c>
      <c r="L988" s="154" t="str">
        <f>IF(OpenLCAbasic!K988="CTUh", "Fill in Manually",IF(OR(K988="Unit", K988=""), "", INDEX(LookUps!$E$5:$E$12, MATCH(OpenLCAbasic!K988,LookUps!$D$5:$D$12,0))))</f>
        <v>Particulate Matter Formation Potential (PMFP) - kg PM2.5 eq</v>
      </c>
      <c r="M988" s="154" t="str">
        <f t="shared" si="53"/>
        <v>Base_Medium_High_Upgraded_Particulate Matter Formation Potential (PMFP) - kg PM2.5 eq_Gravity Belt Thickener; wastewater treatment unit; at updated plant - US_Base_With Amendment_Windrow</v>
      </c>
    </row>
    <row r="989" spans="1:13" s="120" customFormat="1" x14ac:dyDescent="0.25">
      <c r="A989" s="119"/>
      <c r="B989" s="138" t="str">
        <f t="shared" si="52"/>
        <v>Windrow</v>
      </c>
      <c r="C989" s="138" t="str">
        <f t="shared" si="54"/>
        <v>Base_With Amendment</v>
      </c>
      <c r="D989" s="118" t="s">
        <v>137</v>
      </c>
      <c r="E989" s="118" t="s">
        <v>130</v>
      </c>
      <c r="F989" s="118" t="s">
        <v>46</v>
      </c>
      <c r="G989" s="153"/>
      <c r="H989" s="155">
        <v>3.0499999999999999E-2</v>
      </c>
      <c r="I989" s="154" t="s">
        <v>59</v>
      </c>
      <c r="J989" s="204">
        <v>6.9942200000000003E-5</v>
      </c>
      <c r="K989" s="154" t="s">
        <v>145</v>
      </c>
      <c r="L989" s="154" t="str">
        <f>IF(OpenLCAbasic!K989="CTUh", "Fill in Manually",IF(OR(K989="Unit", K989=""), "", INDEX(LookUps!$E$5:$E$12, MATCH(OpenLCAbasic!K989,LookUps!$D$5:$D$12,0))))</f>
        <v>Particulate Matter Formation Potential (PMFP) - kg PM2.5 eq</v>
      </c>
      <c r="M989" s="154" t="str">
        <f t="shared" si="53"/>
        <v>Base_Medium_High_Upgraded_Particulate Matter Formation Potential (PMFP) - kg PM2.5 eq_Blend Tank; wastewater treatment unit; at updated plant - US_Base_With Amendment_Windrow</v>
      </c>
    </row>
    <row r="990" spans="1:13" s="120" customFormat="1" x14ac:dyDescent="0.25">
      <c r="A990" s="119"/>
      <c r="B990" s="138" t="str">
        <f t="shared" si="52"/>
        <v>Windrow</v>
      </c>
      <c r="C990" s="138" t="str">
        <f t="shared" si="54"/>
        <v>Base_With Amendment</v>
      </c>
      <c r="D990" s="118" t="s">
        <v>137</v>
      </c>
      <c r="E990" s="118" t="s">
        <v>130</v>
      </c>
      <c r="F990" s="118" t="s">
        <v>46</v>
      </c>
      <c r="G990" s="153"/>
      <c r="H990" s="155">
        <v>2.4899999999999999E-2</v>
      </c>
      <c r="I990" s="154" t="s">
        <v>62</v>
      </c>
      <c r="J990" s="204">
        <v>5.7262700000000003E-5</v>
      </c>
      <c r="K990" s="154" t="s">
        <v>145</v>
      </c>
      <c r="L990" s="154" t="str">
        <f>IF(OpenLCAbasic!K990="CTUh", "Fill in Manually",IF(OR(K990="Unit", K990=""), "", INDEX(LookUps!$E$5:$E$12, MATCH(OpenLCAbasic!K990,LookUps!$D$5:$D$12,0))))</f>
        <v>Particulate Matter Formation Potential (PMFP) - kg PM2.5 eq</v>
      </c>
      <c r="M990" s="154" t="str">
        <f t="shared" si="53"/>
        <v>Base_Medium_High_Upgraded_Particulate Matter Formation Potential (PMFP) - kg PM2.5 eq_Land application of compost; wastewater treatment unit; at updated plant - US_Base_With Amendment_Windrow</v>
      </c>
    </row>
    <row r="991" spans="1:13" s="120" customFormat="1" x14ac:dyDescent="0.25">
      <c r="A991" s="119"/>
      <c r="B991" s="138" t="str">
        <f t="shared" si="52"/>
        <v>Windrow</v>
      </c>
      <c r="C991" s="138" t="str">
        <f t="shared" si="54"/>
        <v>Base_With Amendment</v>
      </c>
      <c r="D991" s="118" t="s">
        <v>137</v>
      </c>
      <c r="E991" s="118" t="s">
        <v>130</v>
      </c>
      <c r="F991" s="118" t="s">
        <v>46</v>
      </c>
      <c r="G991" s="153"/>
      <c r="H991" s="155">
        <v>2.18E-2</v>
      </c>
      <c r="I991" s="154" t="s">
        <v>48</v>
      </c>
      <c r="J991" s="204">
        <v>4.99741E-5</v>
      </c>
      <c r="K991" s="154" t="s">
        <v>145</v>
      </c>
      <c r="L991" s="154" t="str">
        <f>IF(OpenLCAbasic!K991="CTUh", "Fill in Manually",IF(OR(K991="Unit", K991=""), "", INDEX(LookUps!$E$5:$E$12, MATCH(OpenLCAbasic!K991,LookUps!$D$5:$D$12,0))))</f>
        <v>Particulate Matter Formation Potential (PMFP) - kg PM2.5 eq</v>
      </c>
      <c r="M991" s="154" t="str">
        <f t="shared" si="53"/>
        <v>Base_Medium_High_Upgraded_Particulate Matter Formation Potential (PMFP) - kg PM2.5 eq_Effluent release; wastewater treatment unit; at surface water; m3 wastewater - US_Base_With Amendment_Windrow</v>
      </c>
    </row>
    <row r="992" spans="1:13" s="120" customFormat="1" x14ac:dyDescent="0.25">
      <c r="A992" s="119"/>
      <c r="B992" s="138" t="str">
        <f t="shared" si="52"/>
        <v>Windrow</v>
      </c>
      <c r="C992" s="138" t="str">
        <f t="shared" si="54"/>
        <v>Base_With Amendment</v>
      </c>
      <c r="D992" s="118" t="s">
        <v>137</v>
      </c>
      <c r="E992" s="118" t="s">
        <v>130</v>
      </c>
      <c r="F992" s="118" t="s">
        <v>46</v>
      </c>
      <c r="G992" s="153"/>
      <c r="H992" s="155">
        <v>1.5100000000000001E-2</v>
      </c>
      <c r="I992" s="154" t="s">
        <v>168</v>
      </c>
      <c r="J992" s="204">
        <v>3.4562199999999999E-5</v>
      </c>
      <c r="K992" s="154" t="s">
        <v>145</v>
      </c>
      <c r="L992" s="154" t="str">
        <f>IF(OpenLCAbasic!K992="CTUh", "Fill in Manually",IF(OR(K992="Unit", K992=""), "", INDEX(LookUps!$E$5:$E$12, MATCH(OpenLCAbasic!K992,LookUps!$D$5:$D$12,0))))</f>
        <v>Particulate Matter Formation Potential (PMFP) - kg PM2.5 eq</v>
      </c>
      <c r="M992" s="154" t="str">
        <f t="shared" si="53"/>
        <v>Base_Medium_High_Upgraded_Particulate Matter Formation Potential (PMFP) - kg PM2.5 eq_ClearCove SCP; wastewater treatment unit; at updated plant - US_Base_With Amendment_Windrow</v>
      </c>
    </row>
    <row r="993" spans="1:13" s="120" customFormat="1" x14ac:dyDescent="0.25">
      <c r="A993" s="119"/>
      <c r="B993" s="138" t="str">
        <f t="shared" si="52"/>
        <v>Windrow</v>
      </c>
      <c r="C993" s="138" t="str">
        <f t="shared" si="54"/>
        <v>Base_With Amendment</v>
      </c>
      <c r="D993" s="118" t="s">
        <v>137</v>
      </c>
      <c r="E993" s="118" t="s">
        <v>130</v>
      </c>
      <c r="F993" s="118" t="s">
        <v>46</v>
      </c>
      <c r="G993" s="153"/>
      <c r="H993" s="155">
        <v>3.8E-3</v>
      </c>
      <c r="I993" s="154" t="s">
        <v>148</v>
      </c>
      <c r="J993" s="204">
        <v>8.8212999999999997E-6</v>
      </c>
      <c r="K993" s="154" t="s">
        <v>145</v>
      </c>
      <c r="L993" s="154" t="str">
        <f>IF(OpenLCAbasic!K993="CTUh", "Fill in Manually",IF(OR(K993="Unit", K993=""), "", INDEX(LookUps!$E$5:$E$12, MATCH(OpenLCAbasic!K993,LookUps!$D$5:$D$12,0))))</f>
        <v>Particulate Matter Formation Potential (PMFP) - kg PM2.5 eq</v>
      </c>
      <c r="M993" s="154" t="str">
        <f t="shared" si="53"/>
        <v>Base_Medium_High_Upgraded_Particulate Matter Formation Potential (PMFP) - kg PM2.5 eq_Control Building; at upgraded wastewater treatment plant - US_Base_With Amendment_Windrow</v>
      </c>
    </row>
    <row r="994" spans="1:13" s="120" customFormat="1" x14ac:dyDescent="0.25">
      <c r="A994" s="119"/>
      <c r="B994" s="138" t="str">
        <f t="shared" si="52"/>
        <v>Windrow</v>
      </c>
      <c r="C994" s="138" t="str">
        <f t="shared" si="54"/>
        <v>Base_With Amendment</v>
      </c>
      <c r="D994" s="118" t="s">
        <v>137</v>
      </c>
      <c r="E994" s="118" t="s">
        <v>130</v>
      </c>
      <c r="F994" s="118" t="s">
        <v>46</v>
      </c>
      <c r="G994" s="153"/>
      <c r="H994" s="155">
        <v>-3.4108999999999998</v>
      </c>
      <c r="I994" s="154" t="s">
        <v>149</v>
      </c>
      <c r="J994" s="204">
        <v>-7.8300000000000002E-3</v>
      </c>
      <c r="K994" s="154" t="s">
        <v>145</v>
      </c>
      <c r="L994" s="154" t="str">
        <f>IF(OpenLCAbasic!K994="CTUh", "Fill in Manually",IF(OR(K994="Unit", K994=""), "", INDEX(LookUps!$E$5:$E$12, MATCH(OpenLCAbasic!K994,LookUps!$D$5:$D$12,0))))</f>
        <v>Particulate Matter Formation Potential (PMFP) - kg PM2.5 eq</v>
      </c>
      <c r="M994" s="154" t="str">
        <f t="shared" si="53"/>
        <v>Base_Medium_High_Upgraded_Particulate Matter Formation Potential (PMFP) - kg PM2.5 eq_Anaerobic Digestion; wastewater treatment unit; at updated plant - US_Base_With Amendment_Windrow</v>
      </c>
    </row>
    <row r="995" spans="1:13" s="120" customFormat="1" x14ac:dyDescent="0.25">
      <c r="A995" s="119"/>
      <c r="B995" s="138" t="str">
        <f t="shared" si="52"/>
        <v>Windrow</v>
      </c>
      <c r="C995" s="138" t="str">
        <f t="shared" si="54"/>
        <v>Base_With Amendment</v>
      </c>
      <c r="D995" s="118" t="s">
        <v>137</v>
      </c>
      <c r="E995" s="118" t="s">
        <v>130</v>
      </c>
      <c r="F995" s="118" t="s">
        <v>46</v>
      </c>
      <c r="G995" s="153" t="s">
        <v>51</v>
      </c>
      <c r="H995" s="154"/>
      <c r="I995" s="154" t="s">
        <v>47</v>
      </c>
      <c r="J995" s="154" t="s">
        <v>52</v>
      </c>
      <c r="K995" s="154" t="s">
        <v>27</v>
      </c>
      <c r="L995" s="154" t="str">
        <f>IF(OpenLCAbasic!K995="CTUh", "Fill in Manually",IF(OR(K995="Unit", K995=""), "", INDEX(LookUps!$E$5:$E$12, MATCH(OpenLCAbasic!K995,LookUps!$D$5:$D$12,0))))</f>
        <v/>
      </c>
      <c r="M995" s="154" t="str">
        <f t="shared" si="53"/>
        <v>Base_Medium_High_Upgraded__Process_Base_With Amendment_Windrow</v>
      </c>
    </row>
    <row r="996" spans="1:13" s="120" customFormat="1" x14ac:dyDescent="0.25">
      <c r="A996" s="119"/>
      <c r="B996" s="138" t="str">
        <f t="shared" si="52"/>
        <v>Windrow</v>
      </c>
      <c r="C996" s="138" t="str">
        <f t="shared" si="54"/>
        <v>Base_With Amendment</v>
      </c>
      <c r="D996" s="118" t="s">
        <v>137</v>
      </c>
      <c r="E996" s="118" t="s">
        <v>130</v>
      </c>
      <c r="F996" s="118" t="s">
        <v>46</v>
      </c>
      <c r="G996" s="153"/>
      <c r="H996" s="155">
        <v>0.91420000000000001</v>
      </c>
      <c r="I996" s="154" t="s">
        <v>55</v>
      </c>
      <c r="J996" s="203">
        <v>0.16577</v>
      </c>
      <c r="K996" s="154" t="s">
        <v>25</v>
      </c>
      <c r="L996" s="154" t="str">
        <f>IF(OpenLCAbasic!K996="CTUh", "Fill in Manually",IF(OR(K996="Unit", K996=""), "", INDEX(LookUps!$E$5:$E$12, MATCH(OpenLCAbasic!K996,LookUps!$D$5:$D$12,0))))</f>
        <v>Smog Formation Potential (SFP) - kg O3 eq</v>
      </c>
      <c r="M996" s="154" t="str">
        <f t="shared" si="53"/>
        <v>Base_Medium_High_Upgraded_Smog Formation Potential (SFP) - kg O3 eq_Aeration Tanks; wastewater treatment unit; at updated plant - US_Base_With Amendment_Windrow</v>
      </c>
    </row>
    <row r="997" spans="1:13" s="120" customFormat="1" x14ac:dyDescent="0.25">
      <c r="A997" s="119"/>
      <c r="B997" s="138" t="str">
        <f t="shared" si="52"/>
        <v>Windrow</v>
      </c>
      <c r="C997" s="138" t="str">
        <f t="shared" si="54"/>
        <v>Base_With Amendment</v>
      </c>
      <c r="D997" s="118" t="s">
        <v>137</v>
      </c>
      <c r="E997" s="118" t="s">
        <v>130</v>
      </c>
      <c r="F997" s="118" t="s">
        <v>46</v>
      </c>
      <c r="G997" s="153"/>
      <c r="H997" s="155">
        <v>0.2651</v>
      </c>
      <c r="I997" s="154" t="s">
        <v>54</v>
      </c>
      <c r="J997" s="203">
        <v>4.8070000000000002E-2</v>
      </c>
      <c r="K997" s="154" t="s">
        <v>25</v>
      </c>
      <c r="L997" s="154" t="str">
        <f>IF(OpenLCAbasic!K997="CTUh", "Fill in Manually",IF(OR(K997="Unit", K997=""), "", INDEX(LookUps!$E$5:$E$12, MATCH(OpenLCAbasic!K997,LookUps!$D$5:$D$12,0))))</f>
        <v>Smog Formation Potential (SFP) - kg O3 eq</v>
      </c>
      <c r="M997" s="154" t="str">
        <f t="shared" si="53"/>
        <v>Base_Medium_High_Upgraded_Smog Formation Potential (SFP) - kg O3 eq_Clear Cove Primary Clarification; wastewater treatment unit; at updated plant - US_Base_With Amendment_Windrow</v>
      </c>
    </row>
    <row r="998" spans="1:13" s="120" customFormat="1" x14ac:dyDescent="0.25">
      <c r="A998" s="119"/>
      <c r="B998" s="138" t="str">
        <f t="shared" si="52"/>
        <v>Windrow</v>
      </c>
      <c r="C998" s="138" t="str">
        <f t="shared" si="54"/>
        <v>Base_With Amendment</v>
      </c>
      <c r="D998" s="118" t="s">
        <v>137</v>
      </c>
      <c r="E998" s="118" t="s">
        <v>130</v>
      </c>
      <c r="F998" s="118" t="s">
        <v>46</v>
      </c>
      <c r="G998" s="153"/>
      <c r="H998" s="155">
        <v>0.23119999999999999</v>
      </c>
      <c r="I998" s="154" t="s">
        <v>58</v>
      </c>
      <c r="J998" s="203">
        <v>4.1919999999999999E-2</v>
      </c>
      <c r="K998" s="154" t="s">
        <v>25</v>
      </c>
      <c r="L998" s="154" t="str">
        <f>IF(OpenLCAbasic!K998="CTUh", "Fill in Manually",IF(OR(K998="Unit", K998=""), "", INDEX(LookUps!$E$5:$E$12, MATCH(OpenLCAbasic!K998,LookUps!$D$5:$D$12,0))))</f>
        <v>Smog Formation Potential (SFP) - kg O3 eq</v>
      </c>
      <c r="M998" s="154" t="str">
        <f t="shared" si="53"/>
        <v>Base_Medium_High_Upgraded_Smog Formation Potential (SFP) - kg O3 eq_Pre-Anoxic &amp; Swing tank; wastewater treatment unit; at updated plant - US_Base_With Amendment_Windrow</v>
      </c>
    </row>
    <row r="999" spans="1:13" s="120" customFormat="1" x14ac:dyDescent="0.25">
      <c r="A999" s="119"/>
      <c r="B999" s="138" t="str">
        <f t="shared" si="52"/>
        <v>Windrow</v>
      </c>
      <c r="C999" s="138" t="str">
        <f t="shared" si="54"/>
        <v>Base_With Amendment</v>
      </c>
      <c r="D999" s="118" t="s">
        <v>137</v>
      </c>
      <c r="E999" s="118" t="s">
        <v>130</v>
      </c>
      <c r="F999" s="118" t="s">
        <v>46</v>
      </c>
      <c r="G999" s="153"/>
      <c r="H999" s="155">
        <v>0.1827</v>
      </c>
      <c r="I999" s="154" t="s">
        <v>53</v>
      </c>
      <c r="J999" s="203">
        <v>3.313E-2</v>
      </c>
      <c r="K999" s="154" t="s">
        <v>25</v>
      </c>
      <c r="L999" s="154" t="str">
        <f>IF(OpenLCAbasic!K999="CTUh", "Fill in Manually",IF(OR(K999="Unit", K999=""), "", INDEX(LookUps!$E$5:$E$12, MATCH(OpenLCAbasic!K999,LookUps!$D$5:$D$12,0))))</f>
        <v>Smog Formation Potential (SFP) - kg O3 eq</v>
      </c>
      <c r="M999" s="154" t="str">
        <f t="shared" si="53"/>
        <v>Base_Medium_High_Upgraded_Smog Formation Potential (SFP) - kg O3 eq_Wet Well and Sump Station; wastewater treatment unit; at updated plant - US_Base_With Amendment_Windrow</v>
      </c>
    </row>
    <row r="1000" spans="1:13" s="120" customFormat="1" x14ac:dyDescent="0.25">
      <c r="A1000" s="119"/>
      <c r="B1000" s="138" t="str">
        <f t="shared" si="52"/>
        <v>Windrow</v>
      </c>
      <c r="C1000" s="138" t="str">
        <f t="shared" si="54"/>
        <v>Base_With Amendment</v>
      </c>
      <c r="D1000" s="118" t="s">
        <v>137</v>
      </c>
      <c r="E1000" s="118" t="s">
        <v>130</v>
      </c>
      <c r="F1000" s="118" t="s">
        <v>46</v>
      </c>
      <c r="G1000" s="153"/>
      <c r="H1000" s="155">
        <v>0.1694</v>
      </c>
      <c r="I1000" s="154" t="s">
        <v>167</v>
      </c>
      <c r="J1000" s="203">
        <v>3.0710000000000001E-2</v>
      </c>
      <c r="K1000" s="154" t="s">
        <v>25</v>
      </c>
      <c r="L1000" s="154" t="str">
        <f>IF(OpenLCAbasic!K1000="CTUh", "Fill in Manually",IF(OR(K1000="Unit", K1000=""), "", INDEX(LookUps!$E$5:$E$12, MATCH(OpenLCAbasic!K1000,LookUps!$D$5:$D$12,0))))</f>
        <v>Smog Formation Potential (SFP) - kg O3 eq</v>
      </c>
      <c r="M1000" s="154" t="str">
        <f t="shared" si="53"/>
        <v>Base_Medium_High_Upgraded_Smog Formation Potential (SFP) - kg O3 eq_Waste Receiving and Holding; wastewater treatment unit; at updated plant - US_Base_With Amendment_Windrow</v>
      </c>
    </row>
    <row r="1001" spans="1:13" s="120" customFormat="1" x14ac:dyDescent="0.25">
      <c r="A1001" s="119"/>
      <c r="B1001" s="138" t="str">
        <f t="shared" si="52"/>
        <v>Windrow</v>
      </c>
      <c r="C1001" s="138" t="str">
        <f t="shared" si="54"/>
        <v>Base_With Amendment</v>
      </c>
      <c r="D1001" s="118" t="s">
        <v>137</v>
      </c>
      <c r="E1001" s="118" t="s">
        <v>130</v>
      </c>
      <c r="F1001" s="118" t="s">
        <v>46</v>
      </c>
      <c r="G1001" s="153"/>
      <c r="H1001" s="155">
        <v>0.107</v>
      </c>
      <c r="I1001" s="154" t="s">
        <v>147</v>
      </c>
      <c r="J1001" s="203">
        <v>1.9400000000000001E-2</v>
      </c>
      <c r="K1001" s="154" t="s">
        <v>25</v>
      </c>
      <c r="L1001" s="154" t="str">
        <f>IF(OpenLCAbasic!K1001="CTUh", "Fill in Manually",IF(OR(K1001="Unit", K1001=""), "", INDEX(LookUps!$E$5:$E$12, MATCH(OpenLCAbasic!K1001,LookUps!$D$5:$D$12,0))))</f>
        <v>Smog Formation Potential (SFP) - kg O3 eq</v>
      </c>
      <c r="M1001" s="154" t="str">
        <f t="shared" si="53"/>
        <v>Base_Medium_High_Upgraded_Smog Formation Potential (SFP) - kg O3 eq_Influent Pump Station; wastewater treatment unit; at updated plant - US_Base_With Amendment_Windrow</v>
      </c>
    </row>
    <row r="1002" spans="1:13" s="120" customFormat="1" x14ac:dyDescent="0.25">
      <c r="A1002" s="119"/>
      <c r="B1002" s="138" t="str">
        <f t="shared" si="52"/>
        <v>Windrow</v>
      </c>
      <c r="C1002" s="138" t="str">
        <f t="shared" si="54"/>
        <v>Base_With Amendment</v>
      </c>
      <c r="D1002" s="118" t="s">
        <v>137</v>
      </c>
      <c r="E1002" s="118" t="s">
        <v>130</v>
      </c>
      <c r="F1002" s="118" t="s">
        <v>46</v>
      </c>
      <c r="G1002" s="153"/>
      <c r="H1002" s="155">
        <v>6.5699999999999995E-2</v>
      </c>
      <c r="I1002" s="154" t="s">
        <v>128</v>
      </c>
      <c r="J1002" s="204">
        <v>1.192E-2</v>
      </c>
      <c r="K1002" s="154" t="s">
        <v>25</v>
      </c>
      <c r="L1002" s="154" t="str">
        <f>IF(OpenLCAbasic!K1002="CTUh", "Fill in Manually",IF(OR(K1002="Unit", K1002=""), "", INDEX(LookUps!$E$5:$E$12, MATCH(OpenLCAbasic!K1002,LookUps!$D$5:$D$12,0))))</f>
        <v>Smog Formation Potential (SFP) - kg O3 eq</v>
      </c>
      <c r="M1002" s="154" t="str">
        <f t="shared" si="53"/>
        <v>Base_Medium_High_Upgraded_Smog Formation Potential (SFP) - kg O3 eq_Wastewater collection; operation and infrastructure; m3 wastewater_Base_With Amendment_Windrow</v>
      </c>
    </row>
    <row r="1003" spans="1:13" s="120" customFormat="1" x14ac:dyDescent="0.25">
      <c r="A1003" s="119"/>
      <c r="B1003" s="138" t="str">
        <f t="shared" si="52"/>
        <v>Windrow</v>
      </c>
      <c r="C1003" s="138" t="str">
        <f t="shared" si="54"/>
        <v>Base_With Amendment</v>
      </c>
      <c r="D1003" s="118" t="s">
        <v>137</v>
      </c>
      <c r="E1003" s="118" t="s">
        <v>130</v>
      </c>
      <c r="F1003" s="118" t="s">
        <v>46</v>
      </c>
      <c r="G1003" s="153"/>
      <c r="H1003" s="155">
        <v>5.3499999999999999E-2</v>
      </c>
      <c r="I1003" s="154" t="s">
        <v>60</v>
      </c>
      <c r="J1003" s="204">
        <v>9.7099999999999999E-3</v>
      </c>
      <c r="K1003" s="154" t="s">
        <v>25</v>
      </c>
      <c r="L1003" s="154" t="str">
        <f>IF(OpenLCAbasic!K1003="CTUh", "Fill in Manually",IF(OR(K1003="Unit", K1003=""), "", INDEX(LookUps!$E$5:$E$12, MATCH(OpenLCAbasic!K1003,LookUps!$D$5:$D$12,0))))</f>
        <v>Smog Formation Potential (SFP) - kg O3 eq</v>
      </c>
      <c r="M1003" s="154" t="str">
        <f t="shared" si="53"/>
        <v>Base_Medium_High_Upgraded_Smog Formation Potential (SFP) - kg O3 eq_Belt filter press; wastewater treatment unit; at updated plant - US_Base_With Amendment_Windrow</v>
      </c>
    </row>
    <row r="1004" spans="1:13" s="120" customFormat="1" x14ac:dyDescent="0.25">
      <c r="A1004" s="119"/>
      <c r="B1004" s="138" t="str">
        <f t="shared" si="52"/>
        <v>Windrow</v>
      </c>
      <c r="C1004" s="138" t="str">
        <f t="shared" si="54"/>
        <v>Base_With Amendment</v>
      </c>
      <c r="D1004" s="118" t="s">
        <v>137</v>
      </c>
      <c r="E1004" s="118" t="s">
        <v>130</v>
      </c>
      <c r="F1004" s="118" t="s">
        <v>46</v>
      </c>
      <c r="G1004" s="153"/>
      <c r="H1004" s="155">
        <v>3.6700000000000003E-2</v>
      </c>
      <c r="I1004" s="154" t="s">
        <v>57</v>
      </c>
      <c r="J1004" s="204">
        <v>6.6499999999999997E-3</v>
      </c>
      <c r="K1004" s="154" t="s">
        <v>25</v>
      </c>
      <c r="L1004" s="154" t="str">
        <f>IF(OpenLCAbasic!K1004="CTUh", "Fill in Manually",IF(OR(K1004="Unit", K1004=""), "", INDEX(LookUps!$E$5:$E$12, MATCH(OpenLCAbasic!K1004,LookUps!$D$5:$D$12,0))))</f>
        <v>Smog Formation Potential (SFP) - kg O3 eq</v>
      </c>
      <c r="M1004" s="154" t="str">
        <f t="shared" si="53"/>
        <v>Base_Medium_High_Upgraded_Smog Formation Potential (SFP) - kg O3 eq_Gravity Belt Thickener; wastewater treatment unit; at updated plant - US_Base_With Amendment_Windrow</v>
      </c>
    </row>
    <row r="1005" spans="1:13" s="120" customFormat="1" x14ac:dyDescent="0.25">
      <c r="A1005" s="119"/>
      <c r="B1005" s="138" t="str">
        <f t="shared" si="52"/>
        <v>Windrow</v>
      </c>
      <c r="C1005" s="138" t="str">
        <f t="shared" si="54"/>
        <v>Base_With Amendment</v>
      </c>
      <c r="D1005" s="118" t="s">
        <v>137</v>
      </c>
      <c r="E1005" s="118" t="s">
        <v>130</v>
      </c>
      <c r="F1005" s="118" t="s">
        <v>46</v>
      </c>
      <c r="G1005" s="153"/>
      <c r="H1005" s="155">
        <v>2.7400000000000001E-2</v>
      </c>
      <c r="I1005" s="154" t="s">
        <v>59</v>
      </c>
      <c r="J1005" s="204">
        <v>4.9699999999999996E-3</v>
      </c>
      <c r="K1005" s="154" t="s">
        <v>25</v>
      </c>
      <c r="L1005" s="154" t="str">
        <f>IF(OpenLCAbasic!K1005="CTUh", "Fill in Manually",IF(OR(K1005="Unit", K1005=""), "", INDEX(LookUps!$E$5:$E$12, MATCH(OpenLCAbasic!K1005,LookUps!$D$5:$D$12,0))))</f>
        <v>Smog Formation Potential (SFP) - kg O3 eq</v>
      </c>
      <c r="M1005" s="154" t="str">
        <f t="shared" si="53"/>
        <v>Base_Medium_High_Upgraded_Smog Formation Potential (SFP) - kg O3 eq_Blend Tank; wastewater treatment unit; at updated plant - US_Base_With Amendment_Windrow</v>
      </c>
    </row>
    <row r="1006" spans="1:13" s="120" customFormat="1" x14ac:dyDescent="0.25">
      <c r="A1006" s="119"/>
      <c r="B1006" s="138" t="str">
        <f t="shared" si="52"/>
        <v>Windrow</v>
      </c>
      <c r="C1006" s="138" t="str">
        <f t="shared" si="54"/>
        <v>Base_With Amendment</v>
      </c>
      <c r="D1006" s="118" t="s">
        <v>137</v>
      </c>
      <c r="E1006" s="118" t="s">
        <v>130</v>
      </c>
      <c r="F1006" s="118" t="s">
        <v>46</v>
      </c>
      <c r="G1006" s="153"/>
      <c r="H1006" s="155">
        <v>1.8700000000000001E-2</v>
      </c>
      <c r="I1006" s="154" t="s">
        <v>48</v>
      </c>
      <c r="J1006" s="204">
        <v>3.3899999999999998E-3</v>
      </c>
      <c r="K1006" s="154" t="s">
        <v>25</v>
      </c>
      <c r="L1006" s="154" t="str">
        <f>IF(OpenLCAbasic!K1006="CTUh", "Fill in Manually",IF(OR(K1006="Unit", K1006=""), "", INDEX(LookUps!$E$5:$E$12, MATCH(OpenLCAbasic!K1006,LookUps!$D$5:$D$12,0))))</f>
        <v>Smog Formation Potential (SFP) - kg O3 eq</v>
      </c>
      <c r="M1006" s="154" t="str">
        <f t="shared" si="53"/>
        <v>Base_Medium_High_Upgraded_Smog Formation Potential (SFP) - kg O3 eq_Effluent release; wastewater treatment unit; at surface water; m3 wastewater - US_Base_With Amendment_Windrow</v>
      </c>
    </row>
    <row r="1007" spans="1:13" s="120" customFormat="1" x14ac:dyDescent="0.25">
      <c r="A1007" s="119"/>
      <c r="B1007" s="138" t="str">
        <f t="shared" si="52"/>
        <v>Windrow</v>
      </c>
      <c r="C1007" s="138" t="str">
        <f t="shared" si="54"/>
        <v>Base_With Amendment</v>
      </c>
      <c r="D1007" s="118" t="s">
        <v>137</v>
      </c>
      <c r="E1007" s="118" t="s">
        <v>130</v>
      </c>
      <c r="F1007" s="118" t="s">
        <v>46</v>
      </c>
      <c r="G1007" s="153"/>
      <c r="H1007" s="155">
        <v>1.35E-2</v>
      </c>
      <c r="I1007" s="154" t="s">
        <v>168</v>
      </c>
      <c r="J1007" s="204">
        <v>2.4599999999999999E-3</v>
      </c>
      <c r="K1007" s="154" t="s">
        <v>25</v>
      </c>
      <c r="L1007" s="154" t="str">
        <f>IF(OpenLCAbasic!K1007="CTUh", "Fill in Manually",IF(OR(K1007="Unit", K1007=""), "", INDEX(LookUps!$E$5:$E$12, MATCH(OpenLCAbasic!K1007,LookUps!$D$5:$D$12,0))))</f>
        <v>Smog Formation Potential (SFP) - kg O3 eq</v>
      </c>
      <c r="M1007" s="154" t="str">
        <f t="shared" si="53"/>
        <v>Base_Medium_High_Upgraded_Smog Formation Potential (SFP) - kg O3 eq_ClearCove SCP; wastewater treatment unit; at updated plant - US_Base_With Amendment_Windrow</v>
      </c>
    </row>
    <row r="1008" spans="1:13" s="120" customFormat="1" x14ac:dyDescent="0.25">
      <c r="A1008" s="119"/>
      <c r="B1008" s="138" t="str">
        <f t="shared" si="52"/>
        <v>Windrow</v>
      </c>
      <c r="C1008" s="138" t="str">
        <f t="shared" si="54"/>
        <v>Base_With Amendment</v>
      </c>
      <c r="D1008" s="118" t="s">
        <v>137</v>
      </c>
      <c r="E1008" s="118" t="s">
        <v>130</v>
      </c>
      <c r="F1008" s="118" t="s">
        <v>46</v>
      </c>
      <c r="G1008" s="153"/>
      <c r="H1008" s="155">
        <v>8.0000000000000002E-3</v>
      </c>
      <c r="I1008" s="154" t="s">
        <v>271</v>
      </c>
      <c r="J1008" s="204">
        <v>1.4499999999999999E-3</v>
      </c>
      <c r="K1008" s="154" t="s">
        <v>25</v>
      </c>
      <c r="L1008" s="154" t="str">
        <f>IF(OpenLCAbasic!K1008="CTUh", "Fill in Manually",IF(OR(K1008="Unit", K1008=""), "", INDEX(LookUps!$E$5:$E$12, MATCH(OpenLCAbasic!K1008,LookUps!$D$5:$D$12,0))))</f>
        <v>Smog Formation Potential (SFP) - kg O3 eq</v>
      </c>
      <c r="M1008" s="154" t="str">
        <f t="shared" si="53"/>
        <v>Base_Medium_High_Upgraded_Smog Formation Potential (SFP) - kg O3 eq_Biosolids composting; windrow composting; wastewater treatment unit; at updated plant - US_Base_With Amendment_Windrow</v>
      </c>
    </row>
    <row r="1009" spans="1:13" s="120" customFormat="1" x14ac:dyDescent="0.25">
      <c r="A1009" s="119"/>
      <c r="B1009" s="138" t="str">
        <f t="shared" si="52"/>
        <v>Windrow</v>
      </c>
      <c r="C1009" s="138" t="str">
        <f t="shared" si="54"/>
        <v>Base_With Amendment</v>
      </c>
      <c r="D1009" s="118" t="s">
        <v>137</v>
      </c>
      <c r="E1009" s="118" t="s">
        <v>130</v>
      </c>
      <c r="F1009" s="118" t="s">
        <v>46</v>
      </c>
      <c r="G1009" s="153"/>
      <c r="H1009" s="155">
        <v>3.0000000000000001E-3</v>
      </c>
      <c r="I1009" s="154" t="s">
        <v>148</v>
      </c>
      <c r="J1009" s="204">
        <v>5.4000000000000001E-4</v>
      </c>
      <c r="K1009" s="154" t="s">
        <v>25</v>
      </c>
      <c r="L1009" s="154" t="str">
        <f>IF(OpenLCAbasic!K1009="CTUh", "Fill in Manually",IF(OR(K1009="Unit", K1009=""), "", INDEX(LookUps!$E$5:$E$12, MATCH(OpenLCAbasic!K1009,LookUps!$D$5:$D$12,0))))</f>
        <v>Smog Formation Potential (SFP) - kg O3 eq</v>
      </c>
      <c r="M1009" s="154" t="str">
        <f t="shared" si="53"/>
        <v>Base_Medium_High_Upgraded_Smog Formation Potential (SFP) - kg O3 eq_Control Building; at upgraded wastewater treatment plant - US_Base_With Amendment_Windrow</v>
      </c>
    </row>
    <row r="1010" spans="1:13" s="120" customFormat="1" x14ac:dyDescent="0.25">
      <c r="A1010" s="119"/>
      <c r="B1010" s="138" t="str">
        <f t="shared" si="52"/>
        <v>Windrow</v>
      </c>
      <c r="C1010" s="138" t="str">
        <f t="shared" si="54"/>
        <v>Base_With Amendment</v>
      </c>
      <c r="D1010" s="118" t="s">
        <v>137</v>
      </c>
      <c r="E1010" s="118" t="s">
        <v>130</v>
      </c>
      <c r="F1010" s="118" t="s">
        <v>46</v>
      </c>
      <c r="G1010" s="153"/>
      <c r="H1010" s="155">
        <v>-2.0400000000000001E-2</v>
      </c>
      <c r="I1010" s="154" t="s">
        <v>62</v>
      </c>
      <c r="J1010" s="204">
        <v>-3.6900000000000001E-3</v>
      </c>
      <c r="K1010" s="154" t="s">
        <v>25</v>
      </c>
      <c r="L1010" s="154" t="str">
        <f>IF(OpenLCAbasic!K1010="CTUh", "Fill in Manually",IF(OR(K1010="Unit", K1010=""), "", INDEX(LookUps!$E$5:$E$12, MATCH(OpenLCAbasic!K1010,LookUps!$D$5:$D$12,0))))</f>
        <v>Smog Formation Potential (SFP) - kg O3 eq</v>
      </c>
      <c r="M1010" s="154" t="str">
        <f t="shared" si="53"/>
        <v>Base_Medium_High_Upgraded_Smog Formation Potential (SFP) - kg O3 eq_Land application of compost; wastewater treatment unit; at updated plant - US_Base_With Amendment_Windrow</v>
      </c>
    </row>
    <row r="1011" spans="1:13" s="120" customFormat="1" x14ac:dyDescent="0.25">
      <c r="A1011" s="119"/>
      <c r="B1011" s="138" t="str">
        <f t="shared" si="52"/>
        <v>Windrow</v>
      </c>
      <c r="C1011" s="138" t="str">
        <f t="shared" si="54"/>
        <v>Base_With Amendment</v>
      </c>
      <c r="D1011" s="118" t="s">
        <v>137</v>
      </c>
      <c r="E1011" s="118" t="s">
        <v>130</v>
      </c>
      <c r="F1011" s="118" t="s">
        <v>46</v>
      </c>
      <c r="G1011" s="153"/>
      <c r="H1011" s="155">
        <v>-3.0756999999999999</v>
      </c>
      <c r="I1011" s="154" t="s">
        <v>149</v>
      </c>
      <c r="J1011" s="203">
        <v>-0.55771000000000004</v>
      </c>
      <c r="K1011" s="154" t="s">
        <v>25</v>
      </c>
      <c r="L1011" s="154" t="str">
        <f>IF(OpenLCAbasic!K1011="CTUh", "Fill in Manually",IF(OR(K1011="Unit", K1011=""), "", INDEX(LookUps!$E$5:$E$12, MATCH(OpenLCAbasic!K1011,LookUps!$D$5:$D$12,0))))</f>
        <v>Smog Formation Potential (SFP) - kg O3 eq</v>
      </c>
      <c r="M1011" s="154" t="str">
        <f t="shared" si="53"/>
        <v>Base_Medium_High_Upgraded_Smog Formation Potential (SFP) - kg O3 eq_Anaerobic Digestion; wastewater treatment unit; at updated plant - US_Base_With Amendment_Windrow</v>
      </c>
    </row>
    <row r="1012" spans="1:13" s="120" customFormat="1" x14ac:dyDescent="0.25">
      <c r="A1012" s="119"/>
      <c r="B1012" s="138" t="str">
        <f t="shared" si="52"/>
        <v>Windrow</v>
      </c>
      <c r="C1012" s="138" t="str">
        <f t="shared" si="54"/>
        <v>Base_With Amendment</v>
      </c>
      <c r="D1012" s="118" t="s">
        <v>137</v>
      </c>
      <c r="E1012" s="118" t="s">
        <v>130</v>
      </c>
      <c r="F1012" s="118" t="s">
        <v>46</v>
      </c>
      <c r="G1012" s="153" t="s">
        <v>51</v>
      </c>
      <c r="H1012" s="154"/>
      <c r="I1012" s="154" t="s">
        <v>47</v>
      </c>
      <c r="J1012" s="154" t="s">
        <v>52</v>
      </c>
      <c r="K1012" s="154" t="s">
        <v>27</v>
      </c>
      <c r="L1012" s="154" t="str">
        <f>IF(OpenLCAbasic!K1012="CTUh", "Fill in Manually",IF(OR(K1012="Unit", K1012=""), "", INDEX(LookUps!$E$5:$E$12, MATCH(OpenLCAbasic!K1012,LookUps!$D$5:$D$12,0))))</f>
        <v/>
      </c>
      <c r="M1012" s="154" t="str">
        <f t="shared" si="53"/>
        <v>Base_Medium_High_Upgraded__Process_Base_With Amendment_Windrow</v>
      </c>
    </row>
    <row r="1013" spans="1:13" s="120" customFormat="1" x14ac:dyDescent="0.25">
      <c r="A1013" s="119"/>
      <c r="B1013" s="138" t="str">
        <f t="shared" si="52"/>
        <v>Windrow</v>
      </c>
      <c r="C1013" s="138" t="str">
        <f t="shared" si="54"/>
        <v>Base_With Amendment</v>
      </c>
      <c r="D1013" s="118" t="s">
        <v>137</v>
      </c>
      <c r="E1013" s="118" t="s">
        <v>130</v>
      </c>
      <c r="F1013" s="118" t="s">
        <v>46</v>
      </c>
      <c r="G1013" s="153"/>
      <c r="H1013" s="155">
        <v>0.54190000000000005</v>
      </c>
      <c r="I1013" s="154" t="s">
        <v>167</v>
      </c>
      <c r="J1013" s="204">
        <v>2.7999999999999998E-4</v>
      </c>
      <c r="K1013" s="154" t="s">
        <v>26</v>
      </c>
      <c r="L1013" s="154" t="str">
        <f>IF(OpenLCAbasic!K1013="CTUh", "Fill in Manually",IF(OR(K1013="Unit", K1013=""), "", INDEX(LookUps!$E$5:$E$12, MATCH(OpenLCAbasic!K1013,LookUps!$D$5:$D$12,0))))</f>
        <v>Water Use (WU) - m3 H2O</v>
      </c>
      <c r="M1013" s="154" t="str">
        <f t="shared" si="53"/>
        <v>Base_Medium_High_Upgraded_Water Use (WU) - m3 H2O_Waste Receiving and Holding; wastewater treatment unit; at updated plant - US_Base_With Amendment_Windrow</v>
      </c>
    </row>
    <row r="1014" spans="1:13" s="120" customFormat="1" x14ac:dyDescent="0.25">
      <c r="A1014" s="119"/>
      <c r="B1014" s="138" t="str">
        <f t="shared" si="52"/>
        <v>Windrow</v>
      </c>
      <c r="C1014" s="138" t="str">
        <f t="shared" si="54"/>
        <v>Base_With Amendment</v>
      </c>
      <c r="D1014" s="118" t="s">
        <v>137</v>
      </c>
      <c r="E1014" s="118" t="s">
        <v>130</v>
      </c>
      <c r="F1014" s="118" t="s">
        <v>46</v>
      </c>
      <c r="G1014" s="153"/>
      <c r="H1014" s="155">
        <v>0.35370000000000001</v>
      </c>
      <c r="I1014" s="154" t="s">
        <v>147</v>
      </c>
      <c r="J1014" s="204">
        <v>1.8000000000000001E-4</v>
      </c>
      <c r="K1014" s="154" t="s">
        <v>26</v>
      </c>
      <c r="L1014" s="154" t="str">
        <f>IF(OpenLCAbasic!K1014="CTUh", "Fill in Manually",IF(OR(K1014="Unit", K1014=""), "", INDEX(LookUps!$E$5:$E$12, MATCH(OpenLCAbasic!K1014,LookUps!$D$5:$D$12,0))))</f>
        <v>Water Use (WU) - m3 H2O</v>
      </c>
      <c r="M1014" s="154" t="str">
        <f t="shared" si="53"/>
        <v>Base_Medium_High_Upgraded_Water Use (WU) - m3 H2O_Influent Pump Station; wastewater treatment unit; at updated plant - US_Base_With Amendment_Windrow</v>
      </c>
    </row>
    <row r="1015" spans="1:13" s="120" customFormat="1" x14ac:dyDescent="0.25">
      <c r="A1015" s="119"/>
      <c r="B1015" s="138" t="str">
        <f t="shared" si="52"/>
        <v>Windrow</v>
      </c>
      <c r="C1015" s="138" t="str">
        <f t="shared" si="54"/>
        <v>Base_With Amendment</v>
      </c>
      <c r="D1015" s="118" t="s">
        <v>137</v>
      </c>
      <c r="E1015" s="118" t="s">
        <v>130</v>
      </c>
      <c r="F1015" s="118" t="s">
        <v>46</v>
      </c>
      <c r="G1015" s="153"/>
      <c r="H1015" s="155">
        <v>0.34510000000000002</v>
      </c>
      <c r="I1015" s="154" t="s">
        <v>54</v>
      </c>
      <c r="J1015" s="204">
        <v>1.8000000000000001E-4</v>
      </c>
      <c r="K1015" s="154" t="s">
        <v>26</v>
      </c>
      <c r="L1015" s="154" t="str">
        <f>IF(OpenLCAbasic!K1015="CTUh", "Fill in Manually",IF(OR(K1015="Unit", K1015=""), "", INDEX(LookUps!$E$5:$E$12, MATCH(OpenLCAbasic!K1015,LookUps!$D$5:$D$12,0))))</f>
        <v>Water Use (WU) - m3 H2O</v>
      </c>
      <c r="M1015" s="154" t="str">
        <f t="shared" si="53"/>
        <v>Base_Medium_High_Upgraded_Water Use (WU) - m3 H2O_Clear Cove Primary Clarification; wastewater treatment unit; at updated plant - US_Base_With Amendment_Windrow</v>
      </c>
    </row>
    <row r="1016" spans="1:13" s="120" customFormat="1" x14ac:dyDescent="0.25">
      <c r="A1016" s="119"/>
      <c r="B1016" s="138" t="str">
        <f t="shared" si="52"/>
        <v>Windrow</v>
      </c>
      <c r="C1016" s="138" t="str">
        <f t="shared" si="54"/>
        <v>Base_With Amendment</v>
      </c>
      <c r="D1016" s="118" t="s">
        <v>137</v>
      </c>
      <c r="E1016" s="118" t="s">
        <v>130</v>
      </c>
      <c r="F1016" s="118" t="s">
        <v>46</v>
      </c>
      <c r="G1016" s="153"/>
      <c r="H1016" s="155">
        <v>0.31309999999999999</v>
      </c>
      <c r="I1016" s="154" t="s">
        <v>55</v>
      </c>
      <c r="J1016" s="204">
        <v>1.6000000000000001E-4</v>
      </c>
      <c r="K1016" s="154" t="s">
        <v>26</v>
      </c>
      <c r="L1016" s="154" t="str">
        <f>IF(OpenLCAbasic!K1016="CTUh", "Fill in Manually",IF(OR(K1016="Unit", K1016=""), "", INDEX(LookUps!$E$5:$E$12, MATCH(OpenLCAbasic!K1016,LookUps!$D$5:$D$12,0))))</f>
        <v>Water Use (WU) - m3 H2O</v>
      </c>
      <c r="M1016" s="154" t="str">
        <f t="shared" si="53"/>
        <v>Base_Medium_High_Upgraded_Water Use (WU) - m3 H2O_Aeration Tanks; wastewater treatment unit; at updated plant - US_Base_With Amendment_Windrow</v>
      </c>
    </row>
    <row r="1017" spans="1:13" s="120" customFormat="1" x14ac:dyDescent="0.25">
      <c r="A1017" s="119"/>
      <c r="B1017" s="138" t="str">
        <f t="shared" si="52"/>
        <v>Windrow</v>
      </c>
      <c r="C1017" s="138" t="str">
        <f t="shared" si="54"/>
        <v>Base_With Amendment</v>
      </c>
      <c r="D1017" s="118" t="s">
        <v>137</v>
      </c>
      <c r="E1017" s="118" t="s">
        <v>130</v>
      </c>
      <c r="F1017" s="118" t="s">
        <v>46</v>
      </c>
      <c r="G1017" s="153"/>
      <c r="H1017" s="155">
        <v>0.28520000000000001</v>
      </c>
      <c r="I1017" s="154" t="s">
        <v>148</v>
      </c>
      <c r="J1017" s="204">
        <v>1.4999999999999999E-4</v>
      </c>
      <c r="K1017" s="154" t="s">
        <v>26</v>
      </c>
      <c r="L1017" s="154" t="str">
        <f>IF(OpenLCAbasic!K1017="CTUh", "Fill in Manually",IF(OR(K1017="Unit", K1017=""), "", INDEX(LookUps!$E$5:$E$12, MATCH(OpenLCAbasic!K1017,LookUps!$D$5:$D$12,0))))</f>
        <v>Water Use (WU) - m3 H2O</v>
      </c>
      <c r="M1017" s="154" t="str">
        <f t="shared" si="53"/>
        <v>Base_Medium_High_Upgraded_Water Use (WU) - m3 H2O_Control Building; at upgraded wastewater treatment plant - US_Base_With Amendment_Windrow</v>
      </c>
    </row>
    <row r="1018" spans="1:13" s="120" customFormat="1" x14ac:dyDescent="0.25">
      <c r="A1018" s="119"/>
      <c r="B1018" s="138" t="str">
        <f t="shared" si="52"/>
        <v>Windrow</v>
      </c>
      <c r="C1018" s="138" t="str">
        <f t="shared" si="54"/>
        <v>Base_With Amendment</v>
      </c>
      <c r="D1018" s="118" t="s">
        <v>137</v>
      </c>
      <c r="E1018" s="118" t="s">
        <v>130</v>
      </c>
      <c r="F1018" s="118" t="s">
        <v>46</v>
      </c>
      <c r="G1018" s="153"/>
      <c r="H1018" s="155">
        <v>0.13239999999999999</v>
      </c>
      <c r="I1018" s="154" t="s">
        <v>48</v>
      </c>
      <c r="J1018" s="204">
        <v>6.8836400000000004E-5</v>
      </c>
      <c r="K1018" s="154" t="s">
        <v>26</v>
      </c>
      <c r="L1018" s="154" t="str">
        <f>IF(OpenLCAbasic!K1018="CTUh", "Fill in Manually",IF(OR(K1018="Unit", K1018=""), "", INDEX(LookUps!$E$5:$E$12, MATCH(OpenLCAbasic!K1018,LookUps!$D$5:$D$12,0))))</f>
        <v>Water Use (WU) - m3 H2O</v>
      </c>
      <c r="M1018" s="154" t="str">
        <f t="shared" si="53"/>
        <v>Base_Medium_High_Upgraded_Water Use (WU) - m3 H2O_Effluent release; wastewater treatment unit; at surface water; m3 wastewater - US_Base_With Amendment_Windrow</v>
      </c>
    </row>
    <row r="1019" spans="1:13" s="120" customFormat="1" x14ac:dyDescent="0.25">
      <c r="A1019" s="119"/>
      <c r="B1019" s="138" t="str">
        <f t="shared" si="52"/>
        <v>Windrow</v>
      </c>
      <c r="C1019" s="138" t="str">
        <f t="shared" si="54"/>
        <v>Base_With Amendment</v>
      </c>
      <c r="D1019" s="118" t="s">
        <v>137</v>
      </c>
      <c r="E1019" s="118" t="s">
        <v>130</v>
      </c>
      <c r="F1019" s="118" t="s">
        <v>46</v>
      </c>
      <c r="G1019" s="153"/>
      <c r="H1019" s="155">
        <v>8.3199999999999996E-2</v>
      </c>
      <c r="I1019" s="154" t="s">
        <v>58</v>
      </c>
      <c r="J1019" s="204">
        <v>4.3235300000000003E-5</v>
      </c>
      <c r="K1019" s="154" t="s">
        <v>26</v>
      </c>
      <c r="L1019" s="154" t="str">
        <f>IF(OpenLCAbasic!K1019="CTUh", "Fill in Manually",IF(OR(K1019="Unit", K1019=""), "", INDEX(LookUps!$E$5:$E$12, MATCH(OpenLCAbasic!K1019,LookUps!$D$5:$D$12,0))))</f>
        <v>Water Use (WU) - m3 H2O</v>
      </c>
      <c r="M1019" s="154" t="str">
        <f t="shared" si="53"/>
        <v>Base_Medium_High_Upgraded_Water Use (WU) - m3 H2O_Pre-Anoxic &amp; Swing tank; wastewater treatment unit; at updated plant - US_Base_With Amendment_Windrow</v>
      </c>
    </row>
    <row r="1020" spans="1:13" s="120" customFormat="1" x14ac:dyDescent="0.25">
      <c r="A1020" s="119"/>
      <c r="B1020" s="138" t="str">
        <f t="shared" si="52"/>
        <v>Windrow</v>
      </c>
      <c r="C1020" s="138" t="str">
        <f t="shared" si="54"/>
        <v>Base_With Amendment</v>
      </c>
      <c r="D1020" s="118" t="s">
        <v>137</v>
      </c>
      <c r="E1020" s="118" t="s">
        <v>130</v>
      </c>
      <c r="F1020" s="118" t="s">
        <v>46</v>
      </c>
      <c r="G1020" s="153"/>
      <c r="H1020" s="155">
        <v>5.8500000000000003E-2</v>
      </c>
      <c r="I1020" s="154" t="s">
        <v>57</v>
      </c>
      <c r="J1020" s="204">
        <v>3.0408100000000001E-5</v>
      </c>
      <c r="K1020" s="154" t="s">
        <v>26</v>
      </c>
      <c r="L1020" s="154" t="str">
        <f>IF(OpenLCAbasic!K1020="CTUh", "Fill in Manually",IF(OR(K1020="Unit", K1020=""), "", INDEX(LookUps!$E$5:$E$12, MATCH(OpenLCAbasic!K1020,LookUps!$D$5:$D$12,0))))</f>
        <v>Water Use (WU) - m3 H2O</v>
      </c>
      <c r="M1020" s="154" t="str">
        <f t="shared" si="53"/>
        <v>Base_Medium_High_Upgraded_Water Use (WU) - m3 H2O_Gravity Belt Thickener; wastewater treatment unit; at updated plant - US_Base_With Amendment_Windrow</v>
      </c>
    </row>
    <row r="1021" spans="1:13" s="120" customFormat="1" x14ac:dyDescent="0.25">
      <c r="A1021" s="119"/>
      <c r="B1021" s="138" t="str">
        <f t="shared" si="52"/>
        <v>Windrow</v>
      </c>
      <c r="C1021" s="138" t="str">
        <f t="shared" si="54"/>
        <v>Base_With Amendment</v>
      </c>
      <c r="D1021" s="118" t="s">
        <v>137</v>
      </c>
      <c r="E1021" s="118" t="s">
        <v>130</v>
      </c>
      <c r="F1021" s="118" t="s">
        <v>46</v>
      </c>
      <c r="G1021" s="153"/>
      <c r="H1021" s="155">
        <v>5.5800000000000002E-2</v>
      </c>
      <c r="I1021" s="154" t="s">
        <v>60</v>
      </c>
      <c r="J1021" s="204">
        <v>2.8986600000000001E-5</v>
      </c>
      <c r="K1021" s="154" t="s">
        <v>26</v>
      </c>
      <c r="L1021" s="154" t="str">
        <f>IF(OpenLCAbasic!K1021="CTUh", "Fill in Manually",IF(OR(K1021="Unit", K1021=""), "", INDEX(LookUps!$E$5:$E$12, MATCH(OpenLCAbasic!K1021,LookUps!$D$5:$D$12,0))))</f>
        <v>Water Use (WU) - m3 H2O</v>
      </c>
      <c r="M1021" s="154" t="str">
        <f t="shared" si="53"/>
        <v>Base_Medium_High_Upgraded_Water Use (WU) - m3 H2O_Belt filter press; wastewater treatment unit; at updated plant - US_Base_With Amendment_Windrow</v>
      </c>
    </row>
    <row r="1022" spans="1:13" s="120" customFormat="1" x14ac:dyDescent="0.25">
      <c r="A1022" s="119"/>
      <c r="B1022" s="138" t="str">
        <f t="shared" si="52"/>
        <v>Windrow</v>
      </c>
      <c r="C1022" s="138" t="str">
        <f t="shared" si="54"/>
        <v>Base_With Amendment</v>
      </c>
      <c r="D1022" s="118" t="s">
        <v>137</v>
      </c>
      <c r="E1022" s="118" t="s">
        <v>130</v>
      </c>
      <c r="F1022" s="118" t="s">
        <v>46</v>
      </c>
      <c r="G1022" s="153"/>
      <c r="H1022" s="155">
        <v>3.3700000000000001E-2</v>
      </c>
      <c r="I1022" s="154" t="s">
        <v>53</v>
      </c>
      <c r="J1022" s="204">
        <v>1.75069E-5</v>
      </c>
      <c r="K1022" s="154" t="s">
        <v>26</v>
      </c>
      <c r="L1022" s="154" t="str">
        <f>IF(OpenLCAbasic!K1022="CTUh", "Fill in Manually",IF(OR(K1022="Unit", K1022=""), "", INDEX(LookUps!$E$5:$E$12, MATCH(OpenLCAbasic!K1022,LookUps!$D$5:$D$12,0))))</f>
        <v>Water Use (WU) - m3 H2O</v>
      </c>
      <c r="M1022" s="154" t="str">
        <f t="shared" si="53"/>
        <v>Base_Medium_High_Upgraded_Water Use (WU) - m3 H2O_Wet Well and Sump Station; wastewater treatment unit; at updated plant - US_Base_With Amendment_Windrow</v>
      </c>
    </row>
    <row r="1023" spans="1:13" s="120" customFormat="1" x14ac:dyDescent="0.25">
      <c r="A1023" s="119"/>
      <c r="B1023" s="138" t="str">
        <f t="shared" si="52"/>
        <v>Windrow</v>
      </c>
      <c r="C1023" s="138" t="str">
        <f t="shared" si="54"/>
        <v>Base_With Amendment</v>
      </c>
      <c r="D1023" s="118" t="s">
        <v>137</v>
      </c>
      <c r="E1023" s="118" t="s">
        <v>130</v>
      </c>
      <c r="F1023" s="118" t="s">
        <v>46</v>
      </c>
      <c r="G1023" s="153"/>
      <c r="H1023" s="155">
        <v>1.35E-2</v>
      </c>
      <c r="I1023" s="154" t="s">
        <v>59</v>
      </c>
      <c r="J1023" s="204">
        <v>7.0179500000000003E-6</v>
      </c>
      <c r="K1023" s="154" t="s">
        <v>26</v>
      </c>
      <c r="L1023" s="154" t="str">
        <f>IF(OpenLCAbasic!K1023="CTUh", "Fill in Manually",IF(OR(K1023="Unit", K1023=""), "", INDEX(LookUps!$E$5:$E$12, MATCH(OpenLCAbasic!K1023,LookUps!$D$5:$D$12,0))))</f>
        <v>Water Use (WU) - m3 H2O</v>
      </c>
      <c r="M1023" s="154" t="str">
        <f t="shared" si="53"/>
        <v>Base_Medium_High_Upgraded_Water Use (WU) - m3 H2O_Blend Tank; wastewater treatment unit; at updated plant - US_Base_With Amendment_Windrow</v>
      </c>
    </row>
    <row r="1024" spans="1:13" s="120" customFormat="1" x14ac:dyDescent="0.25">
      <c r="A1024" s="119"/>
      <c r="B1024" s="138" t="str">
        <f t="shared" si="52"/>
        <v>Windrow</v>
      </c>
      <c r="C1024" s="138" t="str">
        <f t="shared" si="54"/>
        <v>Base_With Amendment</v>
      </c>
      <c r="D1024" s="118" t="s">
        <v>137</v>
      </c>
      <c r="E1024" s="118" t="s">
        <v>130</v>
      </c>
      <c r="F1024" s="118" t="s">
        <v>46</v>
      </c>
      <c r="G1024" s="153"/>
      <c r="H1024" s="155">
        <v>9.7000000000000003E-3</v>
      </c>
      <c r="I1024" s="154" t="s">
        <v>128</v>
      </c>
      <c r="J1024" s="204">
        <v>5.0608900000000003E-6</v>
      </c>
      <c r="K1024" s="154" t="s">
        <v>26</v>
      </c>
      <c r="L1024" s="154" t="str">
        <f>IF(OpenLCAbasic!K1024="CTUh", "Fill in Manually",IF(OR(K1024="Unit", K1024=""), "", INDEX(LookUps!$E$5:$E$12, MATCH(OpenLCAbasic!K1024,LookUps!$D$5:$D$12,0))))</f>
        <v>Water Use (WU) - m3 H2O</v>
      </c>
      <c r="M1024" s="154" t="str">
        <f t="shared" si="53"/>
        <v>Base_Medium_High_Upgraded_Water Use (WU) - m3 H2O_Wastewater collection; operation and infrastructure; m3 wastewater_Base_With Amendment_Windrow</v>
      </c>
    </row>
    <row r="1025" spans="1:13" s="120" customFormat="1" x14ac:dyDescent="0.25">
      <c r="A1025" s="119"/>
      <c r="B1025" s="138" t="str">
        <f t="shared" si="52"/>
        <v>Windrow</v>
      </c>
      <c r="C1025" s="138" t="str">
        <f t="shared" si="54"/>
        <v>Base_With Amendment</v>
      </c>
      <c r="D1025" s="118" t="s">
        <v>137</v>
      </c>
      <c r="E1025" s="118" t="s">
        <v>130</v>
      </c>
      <c r="F1025" s="118" t="s">
        <v>46</v>
      </c>
      <c r="G1025" s="153"/>
      <c r="H1025" s="155">
        <v>2.7000000000000001E-3</v>
      </c>
      <c r="I1025" s="154" t="s">
        <v>271</v>
      </c>
      <c r="J1025" s="204">
        <v>1.4113900000000001E-6</v>
      </c>
      <c r="K1025" s="154" t="s">
        <v>26</v>
      </c>
      <c r="L1025" s="154" t="str">
        <f>IF(OpenLCAbasic!K1025="CTUh", "Fill in Manually",IF(OR(K1025="Unit", K1025=""), "", INDEX(LookUps!$E$5:$E$12, MATCH(OpenLCAbasic!K1025,LookUps!$D$5:$D$12,0))))</f>
        <v>Water Use (WU) - m3 H2O</v>
      </c>
      <c r="M1025" s="154" t="str">
        <f t="shared" si="53"/>
        <v>Base_Medium_High_Upgraded_Water Use (WU) - m3 H2O_Biosolids composting; windrow composting; wastewater treatment unit; at updated plant - US_Base_With Amendment_Windrow</v>
      </c>
    </row>
    <row r="1026" spans="1:13" s="120" customFormat="1" x14ac:dyDescent="0.25">
      <c r="A1026" s="119"/>
      <c r="B1026" s="138" t="str">
        <f t="shared" si="52"/>
        <v>Windrow</v>
      </c>
      <c r="C1026" s="138" t="str">
        <f t="shared" si="54"/>
        <v>Base_With Amendment</v>
      </c>
      <c r="D1026" s="118" t="s">
        <v>137</v>
      </c>
      <c r="E1026" s="118" t="s">
        <v>130</v>
      </c>
      <c r="F1026" s="118" t="s">
        <v>46</v>
      </c>
      <c r="G1026" s="153"/>
      <c r="H1026" s="155">
        <v>1.5E-3</v>
      </c>
      <c r="I1026" s="154" t="s">
        <v>168</v>
      </c>
      <c r="J1026" s="204">
        <v>7.6697000000000004E-7</v>
      </c>
      <c r="K1026" s="154" t="s">
        <v>26</v>
      </c>
      <c r="L1026" s="154" t="str">
        <f>IF(OpenLCAbasic!K1026="CTUh", "Fill in Manually",IF(OR(K1026="Unit", K1026=""), "", INDEX(LookUps!$E$5:$E$12, MATCH(OpenLCAbasic!K1026,LookUps!$D$5:$D$12,0))))</f>
        <v>Water Use (WU) - m3 H2O</v>
      </c>
      <c r="M1026" s="154" t="str">
        <f t="shared" si="53"/>
        <v>Base_Medium_High_Upgraded_Water Use (WU) - m3 H2O_ClearCove SCP; wastewater treatment unit; at updated plant - US_Base_With Amendment_Windrow</v>
      </c>
    </row>
    <row r="1027" spans="1:13" s="120" customFormat="1" x14ac:dyDescent="0.25">
      <c r="A1027" s="119"/>
      <c r="B1027" s="138" t="str">
        <f t="shared" si="52"/>
        <v>Windrow</v>
      </c>
      <c r="C1027" s="138" t="str">
        <f t="shared" si="54"/>
        <v>Base_With Amendment</v>
      </c>
      <c r="D1027" s="118" t="s">
        <v>137</v>
      </c>
      <c r="E1027" s="118" t="s">
        <v>130</v>
      </c>
      <c r="F1027" s="118" t="s">
        <v>46</v>
      </c>
      <c r="G1027" s="153"/>
      <c r="H1027" s="155">
        <v>-0.29170000000000001</v>
      </c>
      <c r="I1027" s="154" t="s">
        <v>149</v>
      </c>
      <c r="J1027" s="204">
        <v>-1.4999999999999999E-4</v>
      </c>
      <c r="K1027" s="154" t="s">
        <v>26</v>
      </c>
      <c r="L1027" s="154" t="str">
        <f>IF(OpenLCAbasic!K1027="CTUh", "Fill in Manually",IF(OR(K1027="Unit", K1027=""), "", INDEX(LookUps!$E$5:$E$12, MATCH(OpenLCAbasic!K1027,LookUps!$D$5:$D$12,0))))</f>
        <v>Water Use (WU) - m3 H2O</v>
      </c>
      <c r="M1027" s="154" t="str">
        <f t="shared" si="53"/>
        <v>Base_Medium_High_Upgraded_Water Use (WU) - m3 H2O_Anaerobic Digestion; wastewater treatment unit; at updated plant - US_Base_With Amendment_Windrow</v>
      </c>
    </row>
    <row r="1028" spans="1:13" s="120" customFormat="1" x14ac:dyDescent="0.25">
      <c r="A1028" s="119"/>
      <c r="B1028" s="138" t="str">
        <f t="shared" si="52"/>
        <v>Windrow</v>
      </c>
      <c r="C1028" s="138" t="str">
        <f t="shared" si="54"/>
        <v>Base_With Amendment</v>
      </c>
      <c r="D1028" s="118" t="s">
        <v>137</v>
      </c>
      <c r="E1028" s="118" t="s">
        <v>130</v>
      </c>
      <c r="F1028" s="118" t="s">
        <v>46</v>
      </c>
      <c r="G1028" s="153"/>
      <c r="H1028" s="155">
        <v>-2.9384000000000001</v>
      </c>
      <c r="I1028" s="154" t="s">
        <v>62</v>
      </c>
      <c r="J1028" s="204">
        <v>-1.5299999999999999E-3</v>
      </c>
      <c r="K1028" s="154" t="s">
        <v>26</v>
      </c>
      <c r="L1028" s="154" t="str">
        <f>IF(OpenLCAbasic!K1028="CTUh", "Fill in Manually",IF(OR(K1028="Unit", K1028=""), "", INDEX(LookUps!$E$5:$E$12, MATCH(OpenLCAbasic!K1028,LookUps!$D$5:$D$12,0))))</f>
        <v>Water Use (WU) - m3 H2O</v>
      </c>
      <c r="M1028" s="154" t="str">
        <f t="shared" si="53"/>
        <v>Base_Medium_High_Upgraded_Water Use (WU) - m3 H2O_Land application of compost; wastewater treatment unit; at updated plant - US_Base_With Amendment_Windrow</v>
      </c>
    </row>
    <row r="1029" spans="1:13" s="120" customFormat="1" x14ac:dyDescent="0.25">
      <c r="A1029" s="119"/>
      <c r="B1029" s="138" t="str">
        <f t="shared" si="52"/>
        <v>Windrow</v>
      </c>
      <c r="C1029" s="138" t="str">
        <f t="shared" si="54"/>
        <v>Base_With Amendment</v>
      </c>
      <c r="D1029" s="118" t="s">
        <v>137</v>
      </c>
      <c r="E1029" s="118" t="s">
        <v>130</v>
      </c>
      <c r="F1029" s="118" t="s">
        <v>46</v>
      </c>
      <c r="G1029" s="153" t="s">
        <v>51</v>
      </c>
      <c r="H1029" s="154"/>
      <c r="I1029" s="154" t="s">
        <v>47</v>
      </c>
      <c r="J1029" s="154" t="s">
        <v>52</v>
      </c>
      <c r="K1029" s="154" t="s">
        <v>27</v>
      </c>
      <c r="L1029" s="154" t="str">
        <f>IF(OpenLCAbasic!K1029="CTUh", "Fill in Manually",IF(OR(K1029="Unit", K1029=""), "", INDEX(LookUps!$E$5:$E$12, MATCH(OpenLCAbasic!K1029,LookUps!$D$5:$D$12,0))))</f>
        <v/>
      </c>
      <c r="M1029" s="154" t="str">
        <f t="shared" si="53"/>
        <v>Base_Medium_High_Upgraded__Process_Base_With Amendment_Windrow</v>
      </c>
    </row>
    <row r="1030" spans="1:13" s="120" customFormat="1" x14ac:dyDescent="0.25">
      <c r="A1030" s="119"/>
      <c r="B1030" s="138" t="str">
        <f t="shared" si="52"/>
        <v>Windrow</v>
      </c>
      <c r="C1030" s="138" t="str">
        <f t="shared" si="54"/>
        <v>Base_With Amendment</v>
      </c>
      <c r="D1030" s="118" t="s">
        <v>137</v>
      </c>
      <c r="E1030" s="118" t="s">
        <v>130</v>
      </c>
      <c r="F1030" s="118" t="s">
        <v>46</v>
      </c>
      <c r="G1030" s="153"/>
      <c r="H1030" s="155">
        <v>1.7542</v>
      </c>
      <c r="I1030" s="154" t="s">
        <v>167</v>
      </c>
      <c r="J1030" s="203">
        <v>9.7259999999999999E-2</v>
      </c>
      <c r="K1030" s="154" t="s">
        <v>14</v>
      </c>
      <c r="L1030" s="154" t="str">
        <f>IF(OpenLCAbasic!K1030="CTUh", "Fill in Manually",IF(OR(K1030="Unit", K1030=""), "", INDEX(LookUps!$E$5:$E$12, MATCH(OpenLCAbasic!K1030,LookUps!$D$5:$D$12,0))))</f>
        <v>Fossil Depletion Potential (FDP) - kg oil eq</v>
      </c>
      <c r="M1030" s="154" t="str">
        <f t="shared" si="53"/>
        <v>Base_Medium_High_Upgraded_Fossil Depletion Potential (FDP) - kg oil eq_Waste Receiving and Holding; wastewater treatment unit; at updated plant - US_Base_With Amendment_Windrow</v>
      </c>
    </row>
    <row r="1031" spans="1:13" s="120" customFormat="1" x14ac:dyDescent="0.25">
      <c r="A1031" s="119"/>
      <c r="B1031" s="138" t="str">
        <f t="shared" ref="B1031:B1094" si="55">IF(F1031="Legacy","n.a.",IF(F1031="","","Windrow"))</f>
        <v>Windrow</v>
      </c>
      <c r="C1031" s="138" t="str">
        <f t="shared" si="54"/>
        <v>Base_With Amendment</v>
      </c>
      <c r="D1031" s="118" t="s">
        <v>137</v>
      </c>
      <c r="E1031" s="118" t="s">
        <v>130</v>
      </c>
      <c r="F1031" s="118" t="s">
        <v>46</v>
      </c>
      <c r="G1031" s="153"/>
      <c r="H1031" s="155">
        <v>1.147</v>
      </c>
      <c r="I1031" s="154" t="s">
        <v>55</v>
      </c>
      <c r="J1031" s="203">
        <v>6.3589999999999994E-2</v>
      </c>
      <c r="K1031" s="154" t="s">
        <v>14</v>
      </c>
      <c r="L1031" s="154" t="str">
        <f>IF(OpenLCAbasic!K1031="CTUh", "Fill in Manually",IF(OR(K1031="Unit", K1031=""), "", INDEX(LookUps!$E$5:$E$12, MATCH(OpenLCAbasic!K1031,LookUps!$D$5:$D$12,0))))</f>
        <v>Fossil Depletion Potential (FDP) - kg oil eq</v>
      </c>
      <c r="M1031" s="154" t="str">
        <f t="shared" si="53"/>
        <v>Base_Medium_High_Upgraded_Fossil Depletion Potential (FDP) - kg oil eq_Aeration Tanks; wastewater treatment unit; at updated plant - US_Base_With Amendment_Windrow</v>
      </c>
    </row>
    <row r="1032" spans="1:13" s="120" customFormat="1" x14ac:dyDescent="0.25">
      <c r="A1032" s="119"/>
      <c r="B1032" s="138" t="str">
        <f t="shared" si="55"/>
        <v>Windrow</v>
      </c>
      <c r="C1032" s="138" t="str">
        <f t="shared" si="54"/>
        <v>Base_With Amendment</v>
      </c>
      <c r="D1032" s="118" t="s">
        <v>137</v>
      </c>
      <c r="E1032" s="118" t="s">
        <v>130</v>
      </c>
      <c r="F1032" s="118" t="s">
        <v>46</v>
      </c>
      <c r="G1032" s="153"/>
      <c r="H1032" s="155">
        <v>0.37969999999999998</v>
      </c>
      <c r="I1032" s="154" t="s">
        <v>54</v>
      </c>
      <c r="J1032" s="203">
        <v>2.1049999999999999E-2</v>
      </c>
      <c r="K1032" s="154" t="s">
        <v>14</v>
      </c>
      <c r="L1032" s="154" t="str">
        <f>IF(OpenLCAbasic!K1032="CTUh", "Fill in Manually",IF(OR(K1032="Unit", K1032=""), "", INDEX(LookUps!$E$5:$E$12, MATCH(OpenLCAbasic!K1032,LookUps!$D$5:$D$12,0))))</f>
        <v>Fossil Depletion Potential (FDP) - kg oil eq</v>
      </c>
      <c r="M1032" s="154" t="str">
        <f t="shared" ref="M1032:M1095" si="56">CONCATENATE(E1032,"_",D1032,"_",F1032,"_",L1032, "_",I1032,"_", C1032,"_", B1032)</f>
        <v>Base_Medium_High_Upgraded_Fossil Depletion Potential (FDP) - kg oil eq_Clear Cove Primary Clarification; wastewater treatment unit; at updated plant - US_Base_With Amendment_Windrow</v>
      </c>
    </row>
    <row r="1033" spans="1:13" s="120" customFormat="1" x14ac:dyDescent="0.25">
      <c r="A1033" s="119"/>
      <c r="B1033" s="138" t="str">
        <f t="shared" si="55"/>
        <v>Windrow</v>
      </c>
      <c r="C1033" s="138" t="str">
        <f t="shared" si="54"/>
        <v>Base_With Amendment</v>
      </c>
      <c r="D1033" s="118" t="s">
        <v>137</v>
      </c>
      <c r="E1033" s="118" t="s">
        <v>130</v>
      </c>
      <c r="F1033" s="118" t="s">
        <v>46</v>
      </c>
      <c r="G1033" s="153"/>
      <c r="H1033" s="155">
        <v>0.28820000000000001</v>
      </c>
      <c r="I1033" s="154" t="s">
        <v>58</v>
      </c>
      <c r="J1033" s="203">
        <v>1.5980000000000001E-2</v>
      </c>
      <c r="K1033" s="154" t="s">
        <v>14</v>
      </c>
      <c r="L1033" s="154" t="str">
        <f>IF(OpenLCAbasic!K1033="CTUh", "Fill in Manually",IF(OR(K1033="Unit", K1033=""), "", INDEX(LookUps!$E$5:$E$12, MATCH(OpenLCAbasic!K1033,LookUps!$D$5:$D$12,0))))</f>
        <v>Fossil Depletion Potential (FDP) - kg oil eq</v>
      </c>
      <c r="M1033" s="154" t="str">
        <f t="shared" si="56"/>
        <v>Base_Medium_High_Upgraded_Fossil Depletion Potential (FDP) - kg oil eq_Pre-Anoxic &amp; Swing tank; wastewater treatment unit; at updated plant - US_Base_With Amendment_Windrow</v>
      </c>
    </row>
    <row r="1034" spans="1:13" s="120" customFormat="1" x14ac:dyDescent="0.25">
      <c r="A1034" s="119"/>
      <c r="B1034" s="138" t="str">
        <f t="shared" si="55"/>
        <v>Windrow</v>
      </c>
      <c r="C1034" s="138" t="str">
        <f t="shared" si="54"/>
        <v>Base_With Amendment</v>
      </c>
      <c r="D1034" s="118" t="s">
        <v>137</v>
      </c>
      <c r="E1034" s="118" t="s">
        <v>130</v>
      </c>
      <c r="F1034" s="118" t="s">
        <v>46</v>
      </c>
      <c r="G1034" s="153"/>
      <c r="H1034" s="155">
        <v>0.27210000000000001</v>
      </c>
      <c r="I1034" s="154" t="s">
        <v>147</v>
      </c>
      <c r="J1034" s="203">
        <v>1.5089999999999999E-2</v>
      </c>
      <c r="K1034" s="154" t="s">
        <v>14</v>
      </c>
      <c r="L1034" s="154" t="str">
        <f>IF(OpenLCAbasic!K1034="CTUh", "Fill in Manually",IF(OR(K1034="Unit", K1034=""), "", INDEX(LookUps!$E$5:$E$12, MATCH(OpenLCAbasic!K1034,LookUps!$D$5:$D$12,0))))</f>
        <v>Fossil Depletion Potential (FDP) - kg oil eq</v>
      </c>
      <c r="M1034" s="154" t="str">
        <f t="shared" si="56"/>
        <v>Base_Medium_High_Upgraded_Fossil Depletion Potential (FDP) - kg oil eq_Influent Pump Station; wastewater treatment unit; at updated plant - US_Base_With Amendment_Windrow</v>
      </c>
    </row>
    <row r="1035" spans="1:13" s="120" customFormat="1" x14ac:dyDescent="0.25">
      <c r="A1035" s="119"/>
      <c r="B1035" s="138" t="str">
        <f t="shared" si="55"/>
        <v>Windrow</v>
      </c>
      <c r="C1035" s="138" t="str">
        <f t="shared" si="54"/>
        <v>Base_With Amendment</v>
      </c>
      <c r="D1035" s="118" t="s">
        <v>137</v>
      </c>
      <c r="E1035" s="118" t="s">
        <v>130</v>
      </c>
      <c r="F1035" s="118" t="s">
        <v>46</v>
      </c>
      <c r="G1035" s="153"/>
      <c r="H1035" s="155">
        <v>0.2253</v>
      </c>
      <c r="I1035" s="154" t="s">
        <v>53</v>
      </c>
      <c r="J1035" s="203">
        <v>1.2489999999999999E-2</v>
      </c>
      <c r="K1035" s="154" t="s">
        <v>14</v>
      </c>
      <c r="L1035" s="154" t="str">
        <f>IF(OpenLCAbasic!K1035="CTUh", "Fill in Manually",IF(OR(K1035="Unit", K1035=""), "", INDEX(LookUps!$E$5:$E$12, MATCH(OpenLCAbasic!K1035,LookUps!$D$5:$D$12,0))))</f>
        <v>Fossil Depletion Potential (FDP) - kg oil eq</v>
      </c>
      <c r="M1035" s="154" t="str">
        <f t="shared" si="56"/>
        <v>Base_Medium_High_Upgraded_Fossil Depletion Potential (FDP) - kg oil eq_Wet Well and Sump Station; wastewater treatment unit; at updated plant - US_Base_With Amendment_Windrow</v>
      </c>
    </row>
    <row r="1036" spans="1:13" s="120" customFormat="1" x14ac:dyDescent="0.25">
      <c r="A1036" s="119"/>
      <c r="B1036" s="138" t="str">
        <f t="shared" si="55"/>
        <v>Windrow</v>
      </c>
      <c r="C1036" s="138" t="str">
        <f t="shared" si="54"/>
        <v>Base_With Amendment</v>
      </c>
      <c r="D1036" s="118" t="s">
        <v>137</v>
      </c>
      <c r="E1036" s="118" t="s">
        <v>130</v>
      </c>
      <c r="F1036" s="118" t="s">
        <v>46</v>
      </c>
      <c r="G1036" s="153"/>
      <c r="H1036" s="155">
        <v>0.13850000000000001</v>
      </c>
      <c r="I1036" s="154" t="s">
        <v>60</v>
      </c>
      <c r="J1036" s="204">
        <v>7.6800000000000002E-3</v>
      </c>
      <c r="K1036" s="154" t="s">
        <v>14</v>
      </c>
      <c r="L1036" s="154" t="str">
        <f>IF(OpenLCAbasic!K1036="CTUh", "Fill in Manually",IF(OR(K1036="Unit", K1036=""), "", INDEX(LookUps!$E$5:$E$12, MATCH(OpenLCAbasic!K1036,LookUps!$D$5:$D$12,0))))</f>
        <v>Fossil Depletion Potential (FDP) - kg oil eq</v>
      </c>
      <c r="M1036" s="154" t="str">
        <f t="shared" si="56"/>
        <v>Base_Medium_High_Upgraded_Fossil Depletion Potential (FDP) - kg oil eq_Belt filter press; wastewater treatment unit; at updated plant - US_Base_With Amendment_Windrow</v>
      </c>
    </row>
    <row r="1037" spans="1:13" s="120" customFormat="1" x14ac:dyDescent="0.25">
      <c r="A1037" s="119"/>
      <c r="B1037" s="138" t="str">
        <f t="shared" si="55"/>
        <v>Windrow</v>
      </c>
      <c r="C1037" s="138" t="str">
        <f t="shared" si="54"/>
        <v>Base_With Amendment</v>
      </c>
      <c r="D1037" s="118" t="s">
        <v>137</v>
      </c>
      <c r="E1037" s="118" t="s">
        <v>130</v>
      </c>
      <c r="F1037" s="118" t="s">
        <v>46</v>
      </c>
      <c r="G1037" s="153"/>
      <c r="H1037" s="155">
        <v>0.12470000000000001</v>
      </c>
      <c r="I1037" s="154" t="s">
        <v>57</v>
      </c>
      <c r="J1037" s="204">
        <v>6.9199999999999999E-3</v>
      </c>
      <c r="K1037" s="154" t="s">
        <v>14</v>
      </c>
      <c r="L1037" s="154" t="str">
        <f>IF(OpenLCAbasic!K1037="CTUh", "Fill in Manually",IF(OR(K1037="Unit", K1037=""), "", INDEX(LookUps!$E$5:$E$12, MATCH(OpenLCAbasic!K1037,LookUps!$D$5:$D$12,0))))</f>
        <v>Fossil Depletion Potential (FDP) - kg oil eq</v>
      </c>
      <c r="M1037" s="154" t="str">
        <f t="shared" si="56"/>
        <v>Base_Medium_High_Upgraded_Fossil Depletion Potential (FDP) - kg oil eq_Gravity Belt Thickener; wastewater treatment unit; at updated plant - US_Base_With Amendment_Windrow</v>
      </c>
    </row>
    <row r="1038" spans="1:13" s="120" customFormat="1" x14ac:dyDescent="0.25">
      <c r="A1038" s="119"/>
      <c r="B1038" s="138" t="str">
        <f t="shared" si="55"/>
        <v>Windrow</v>
      </c>
      <c r="C1038" s="138" t="str">
        <f t="shared" si="54"/>
        <v>Base_With Amendment</v>
      </c>
      <c r="D1038" s="118" t="s">
        <v>137</v>
      </c>
      <c r="E1038" s="118" t="s">
        <v>130</v>
      </c>
      <c r="F1038" s="118" t="s">
        <v>46</v>
      </c>
      <c r="G1038" s="153"/>
      <c r="H1038" s="155">
        <v>8.1100000000000005E-2</v>
      </c>
      <c r="I1038" s="154" t="s">
        <v>128</v>
      </c>
      <c r="J1038" s="204">
        <v>4.4999999999999997E-3</v>
      </c>
      <c r="K1038" s="154" t="s">
        <v>14</v>
      </c>
      <c r="L1038" s="154" t="str">
        <f>IF(OpenLCAbasic!K1038="CTUh", "Fill in Manually",IF(OR(K1038="Unit", K1038=""), "", INDEX(LookUps!$E$5:$E$12, MATCH(OpenLCAbasic!K1038,LookUps!$D$5:$D$12,0))))</f>
        <v>Fossil Depletion Potential (FDP) - kg oil eq</v>
      </c>
      <c r="M1038" s="154" t="str">
        <f t="shared" si="56"/>
        <v>Base_Medium_High_Upgraded_Fossil Depletion Potential (FDP) - kg oil eq_Wastewater collection; operation and infrastructure; m3 wastewater_Base_With Amendment_Windrow</v>
      </c>
    </row>
    <row r="1039" spans="1:13" s="120" customFormat="1" x14ac:dyDescent="0.25">
      <c r="A1039" s="119"/>
      <c r="B1039" s="138" t="str">
        <f t="shared" si="55"/>
        <v>Windrow</v>
      </c>
      <c r="C1039" s="138" t="str">
        <f t="shared" ref="C1039:C1102" si="57">IF(E1039&lt;&gt;"", "Base_With Amendment","")</f>
        <v>Base_With Amendment</v>
      </c>
      <c r="D1039" s="118" t="s">
        <v>137</v>
      </c>
      <c r="E1039" s="118" t="s">
        <v>130</v>
      </c>
      <c r="F1039" s="118" t="s">
        <v>46</v>
      </c>
      <c r="G1039" s="153"/>
      <c r="H1039" s="155">
        <v>5.0500000000000003E-2</v>
      </c>
      <c r="I1039" s="154" t="s">
        <v>148</v>
      </c>
      <c r="J1039" s="204">
        <v>2.8E-3</v>
      </c>
      <c r="K1039" s="154" t="s">
        <v>14</v>
      </c>
      <c r="L1039" s="154" t="str">
        <f>IF(OpenLCAbasic!K1039="CTUh", "Fill in Manually",IF(OR(K1039="Unit", K1039=""), "", INDEX(LookUps!$E$5:$E$12, MATCH(OpenLCAbasic!K1039,LookUps!$D$5:$D$12,0))))</f>
        <v>Fossil Depletion Potential (FDP) - kg oil eq</v>
      </c>
      <c r="M1039" s="154" t="str">
        <f t="shared" si="56"/>
        <v>Base_Medium_High_Upgraded_Fossil Depletion Potential (FDP) - kg oil eq_Control Building; at upgraded wastewater treatment plant - US_Base_With Amendment_Windrow</v>
      </c>
    </row>
    <row r="1040" spans="1:13" s="120" customFormat="1" x14ac:dyDescent="0.25">
      <c r="A1040" s="119"/>
      <c r="B1040" s="138" t="str">
        <f t="shared" si="55"/>
        <v>Windrow</v>
      </c>
      <c r="C1040" s="138" t="str">
        <f t="shared" si="57"/>
        <v>Base_With Amendment</v>
      </c>
      <c r="D1040" s="118" t="s">
        <v>137</v>
      </c>
      <c r="E1040" s="118" t="s">
        <v>130</v>
      </c>
      <c r="F1040" s="118" t="s">
        <v>46</v>
      </c>
      <c r="G1040" s="153"/>
      <c r="H1040" s="155">
        <v>4.2599999999999999E-2</v>
      </c>
      <c r="I1040" s="154" t="s">
        <v>48</v>
      </c>
      <c r="J1040" s="204">
        <v>2.3600000000000001E-3</v>
      </c>
      <c r="K1040" s="154" t="s">
        <v>14</v>
      </c>
      <c r="L1040" s="154" t="str">
        <f>IF(OpenLCAbasic!K1040="CTUh", "Fill in Manually",IF(OR(K1040="Unit", K1040=""), "", INDEX(LookUps!$E$5:$E$12, MATCH(OpenLCAbasic!K1040,LookUps!$D$5:$D$12,0))))</f>
        <v>Fossil Depletion Potential (FDP) - kg oil eq</v>
      </c>
      <c r="M1040" s="154" t="str">
        <f t="shared" si="56"/>
        <v>Base_Medium_High_Upgraded_Fossil Depletion Potential (FDP) - kg oil eq_Effluent release; wastewater treatment unit; at surface water; m3 wastewater - US_Base_With Amendment_Windrow</v>
      </c>
    </row>
    <row r="1041" spans="1:13" s="120" customFormat="1" x14ac:dyDescent="0.25">
      <c r="A1041" s="119"/>
      <c r="B1041" s="138" t="str">
        <f t="shared" si="55"/>
        <v>Windrow</v>
      </c>
      <c r="C1041" s="138" t="str">
        <f t="shared" si="57"/>
        <v>Base_With Amendment</v>
      </c>
      <c r="D1041" s="118" t="s">
        <v>137</v>
      </c>
      <c r="E1041" s="118" t="s">
        <v>130</v>
      </c>
      <c r="F1041" s="118" t="s">
        <v>46</v>
      </c>
      <c r="G1041" s="153"/>
      <c r="H1041" s="155">
        <v>3.4599999999999999E-2</v>
      </c>
      <c r="I1041" s="154" t="s">
        <v>59</v>
      </c>
      <c r="J1041" s="204">
        <v>1.92E-3</v>
      </c>
      <c r="K1041" s="154" t="s">
        <v>14</v>
      </c>
      <c r="L1041" s="154" t="str">
        <f>IF(OpenLCAbasic!K1041="CTUh", "Fill in Manually",IF(OR(K1041="Unit", K1041=""), "", INDEX(LookUps!$E$5:$E$12, MATCH(OpenLCAbasic!K1041,LookUps!$D$5:$D$12,0))))</f>
        <v>Fossil Depletion Potential (FDP) - kg oil eq</v>
      </c>
      <c r="M1041" s="154" t="str">
        <f t="shared" si="56"/>
        <v>Base_Medium_High_Upgraded_Fossil Depletion Potential (FDP) - kg oil eq_Blend Tank; wastewater treatment unit; at updated plant - US_Base_With Amendment_Windrow</v>
      </c>
    </row>
    <row r="1042" spans="1:13" s="120" customFormat="1" x14ac:dyDescent="0.25">
      <c r="A1042" s="119"/>
      <c r="B1042" s="138" t="str">
        <f t="shared" si="55"/>
        <v>Windrow</v>
      </c>
      <c r="C1042" s="138" t="str">
        <f t="shared" si="57"/>
        <v>Base_With Amendment</v>
      </c>
      <c r="D1042" s="118" t="s">
        <v>137</v>
      </c>
      <c r="E1042" s="118" t="s">
        <v>130</v>
      </c>
      <c r="F1042" s="118" t="s">
        <v>46</v>
      </c>
      <c r="G1042" s="153"/>
      <c r="H1042" s="155">
        <v>1.6500000000000001E-2</v>
      </c>
      <c r="I1042" s="154" t="s">
        <v>168</v>
      </c>
      <c r="J1042" s="204">
        <v>9.1E-4</v>
      </c>
      <c r="K1042" s="154" t="s">
        <v>14</v>
      </c>
      <c r="L1042" s="154" t="str">
        <f>IF(OpenLCAbasic!K1042="CTUh", "Fill in Manually",IF(OR(K1042="Unit", K1042=""), "", INDEX(LookUps!$E$5:$E$12, MATCH(OpenLCAbasic!K1042,LookUps!$D$5:$D$12,0))))</f>
        <v>Fossil Depletion Potential (FDP) - kg oil eq</v>
      </c>
      <c r="M1042" s="154" t="str">
        <f t="shared" si="56"/>
        <v>Base_Medium_High_Upgraded_Fossil Depletion Potential (FDP) - kg oil eq_ClearCove SCP; wastewater treatment unit; at updated plant - US_Base_With Amendment_Windrow</v>
      </c>
    </row>
    <row r="1043" spans="1:13" s="120" customFormat="1" x14ac:dyDescent="0.25">
      <c r="A1043" s="119"/>
      <c r="B1043" s="138" t="str">
        <f t="shared" si="55"/>
        <v>Windrow</v>
      </c>
      <c r="C1043" s="138" t="str">
        <f t="shared" si="57"/>
        <v>Base_With Amendment</v>
      </c>
      <c r="D1043" s="118" t="s">
        <v>137</v>
      </c>
      <c r="E1043" s="118" t="s">
        <v>130</v>
      </c>
      <c r="F1043" s="118" t="s">
        <v>46</v>
      </c>
      <c r="G1043" s="153"/>
      <c r="H1043" s="155">
        <v>1.0500000000000001E-2</v>
      </c>
      <c r="I1043" s="154" t="s">
        <v>271</v>
      </c>
      <c r="J1043" s="204">
        <v>5.8E-4</v>
      </c>
      <c r="K1043" s="154" t="s">
        <v>14</v>
      </c>
      <c r="L1043" s="154" t="str">
        <f>IF(OpenLCAbasic!K1043="CTUh", "Fill in Manually",IF(OR(K1043="Unit", K1043=""), "", INDEX(LookUps!$E$5:$E$12, MATCH(OpenLCAbasic!K1043,LookUps!$D$5:$D$12,0))))</f>
        <v>Fossil Depletion Potential (FDP) - kg oil eq</v>
      </c>
      <c r="M1043" s="154" t="str">
        <f t="shared" si="56"/>
        <v>Base_Medium_High_Upgraded_Fossil Depletion Potential (FDP) - kg oil eq_Biosolids composting; windrow composting; wastewater treatment unit; at updated plant - US_Base_With Amendment_Windrow</v>
      </c>
    </row>
    <row r="1044" spans="1:13" s="120" customFormat="1" x14ac:dyDescent="0.25">
      <c r="A1044" s="119"/>
      <c r="B1044" s="138" t="str">
        <f t="shared" si="55"/>
        <v>Windrow</v>
      </c>
      <c r="C1044" s="138" t="str">
        <f t="shared" si="57"/>
        <v>Base_With Amendment</v>
      </c>
      <c r="D1044" s="118" t="s">
        <v>137</v>
      </c>
      <c r="E1044" s="118" t="s">
        <v>130</v>
      </c>
      <c r="F1044" s="118" t="s">
        <v>46</v>
      </c>
      <c r="G1044" s="153"/>
      <c r="H1044" s="155">
        <v>-0.14749999999999999</v>
      </c>
      <c r="I1044" s="154" t="s">
        <v>62</v>
      </c>
      <c r="J1044" s="204">
        <v>-8.1799999999999998E-3</v>
      </c>
      <c r="K1044" s="154" t="s">
        <v>14</v>
      </c>
      <c r="L1044" s="154" t="str">
        <f>IF(OpenLCAbasic!K1044="CTUh", "Fill in Manually",IF(OR(K1044="Unit", K1044=""), "", INDEX(LookUps!$E$5:$E$12, MATCH(OpenLCAbasic!K1044,LookUps!$D$5:$D$12,0))))</f>
        <v>Fossil Depletion Potential (FDP) - kg oil eq</v>
      </c>
      <c r="M1044" s="154" t="str">
        <f t="shared" si="56"/>
        <v>Base_Medium_High_Upgraded_Fossil Depletion Potential (FDP) - kg oil eq_Land application of compost; wastewater treatment unit; at updated plant - US_Base_With Amendment_Windrow</v>
      </c>
    </row>
    <row r="1045" spans="1:13" s="120" customFormat="1" x14ac:dyDescent="0.25">
      <c r="A1045" s="213"/>
      <c r="B1045" s="138" t="str">
        <f t="shared" si="55"/>
        <v>Windrow</v>
      </c>
      <c r="C1045" s="138" t="str">
        <f t="shared" si="57"/>
        <v>Base_With Amendment</v>
      </c>
      <c r="D1045" s="118" t="s">
        <v>137</v>
      </c>
      <c r="E1045" s="118" t="s">
        <v>130</v>
      </c>
      <c r="F1045" s="118" t="s">
        <v>46</v>
      </c>
      <c r="G1045" s="153"/>
      <c r="H1045" s="155">
        <v>-5.4180000000000001</v>
      </c>
      <c r="I1045" s="154" t="s">
        <v>149</v>
      </c>
      <c r="J1045" s="203">
        <v>-0.30038999999999999</v>
      </c>
      <c r="K1045" s="154" t="s">
        <v>14</v>
      </c>
      <c r="L1045" s="154" t="str">
        <f>IF(OpenLCAbasic!K1045="CTUh", "Fill in Manually",IF(OR(K1045="Unit", K1045=""), "", INDEX(LookUps!$E$5:$E$12, MATCH(OpenLCAbasic!K1045,LookUps!$D$5:$D$12,0))))</f>
        <v>Fossil Depletion Potential (FDP) - kg oil eq</v>
      </c>
      <c r="M1045" s="154" t="str">
        <f t="shared" si="56"/>
        <v>Base_Medium_High_Upgraded_Fossil Depletion Potential (FDP) - kg oil eq_Anaerobic Digestion; wastewater treatment unit; at updated plant - US_Base_With Amendment_Windrow</v>
      </c>
    </row>
    <row r="1046" spans="1:13" s="120" customFormat="1" x14ac:dyDescent="0.25">
      <c r="A1046" s="119"/>
      <c r="B1046" s="138"/>
      <c r="C1046" s="138"/>
      <c r="D1046" s="118"/>
      <c r="E1046" s="118"/>
      <c r="F1046" s="118"/>
      <c r="G1046" s="153" t="s">
        <v>51</v>
      </c>
      <c r="H1046" s="154"/>
      <c r="I1046" s="154" t="s">
        <v>47</v>
      </c>
      <c r="J1046" s="154" t="s">
        <v>52</v>
      </c>
      <c r="K1046" s="154" t="s">
        <v>27</v>
      </c>
      <c r="L1046" s="154" t="str">
        <f>IF(OpenLCAbasic!K1046="CTUh", "Fill in Manually",IF(OR(K1046="Unit", K1046=""), "", INDEX(LookUps!$E$5:$E$12, MATCH(OpenLCAbasic!K1046,LookUps!$D$5:$D$12,0))))</f>
        <v/>
      </c>
      <c r="M1046" s="154" t="str">
        <f t="shared" si="56"/>
        <v>____Process__</v>
      </c>
    </row>
    <row r="1047" spans="1:13" s="120" customFormat="1" x14ac:dyDescent="0.25">
      <c r="A1047" s="119"/>
      <c r="B1047" s="138" t="str">
        <f t="shared" si="55"/>
        <v>Windrow</v>
      </c>
      <c r="C1047" s="138" t="str">
        <f t="shared" si="57"/>
        <v>Base_With Amendment</v>
      </c>
      <c r="D1047" s="118" t="s">
        <v>138</v>
      </c>
      <c r="E1047" s="118" t="s">
        <v>130</v>
      </c>
      <c r="F1047" s="118" t="s">
        <v>46</v>
      </c>
      <c r="G1047" s="153"/>
      <c r="H1047" s="155">
        <v>1.2742</v>
      </c>
      <c r="I1047" s="154" t="s">
        <v>271</v>
      </c>
      <c r="J1047" s="157">
        <v>1.5458400000000001</v>
      </c>
      <c r="K1047" s="154" t="s">
        <v>23</v>
      </c>
      <c r="L1047" s="154" t="str">
        <f>IF(OpenLCAbasic!K1047="CTUh", "Fill in Manually",IF(OR(K1047="Unit", K1047=""), "", INDEX(LookUps!$E$5:$E$12, MATCH(OpenLCAbasic!K1047,LookUps!$D$5:$D$12,0))))</f>
        <v>Global Warming Potential (GWP) - kg CO2 eq</v>
      </c>
      <c r="M1047" s="154" t="str">
        <f t="shared" si="56"/>
        <v>Base_High_Low_Upgraded_Global Warming Potential (GWP) - kg CO2 eq_Biosolids composting; windrow composting; wastewater treatment unit; at updated plant - US_Base_With Amendment_Windrow</v>
      </c>
    </row>
    <row r="1048" spans="1:13" s="120" customFormat="1" x14ac:dyDescent="0.25">
      <c r="A1048" s="119"/>
      <c r="B1048" s="138" t="str">
        <f t="shared" si="55"/>
        <v>Windrow</v>
      </c>
      <c r="C1048" s="138" t="str">
        <f t="shared" si="57"/>
        <v>Base_With Amendment</v>
      </c>
      <c r="D1048" s="118" t="s">
        <v>138</v>
      </c>
      <c r="E1048" s="118" t="s">
        <v>130</v>
      </c>
      <c r="F1048" s="118" t="s">
        <v>46</v>
      </c>
      <c r="G1048" s="153"/>
      <c r="H1048" s="155">
        <v>0.20599999999999999</v>
      </c>
      <c r="I1048" s="154" t="s">
        <v>58</v>
      </c>
      <c r="J1048" s="203">
        <v>0.24992</v>
      </c>
      <c r="K1048" s="154" t="s">
        <v>23</v>
      </c>
      <c r="L1048" s="154" t="str">
        <f>IF(OpenLCAbasic!K1048="CTUh", "Fill in Manually",IF(OR(K1048="Unit", K1048=""), "", INDEX(LookUps!$E$5:$E$12, MATCH(OpenLCAbasic!K1048,LookUps!$D$5:$D$12,0))))</f>
        <v>Global Warming Potential (GWP) - kg CO2 eq</v>
      </c>
      <c r="M1048" s="154" t="str">
        <f t="shared" si="56"/>
        <v>Base_High_Low_Upgraded_Global Warming Potential (GWP) - kg CO2 eq_Pre-Anoxic &amp; Swing tank; wastewater treatment unit; at updated plant - US_Base_With Amendment_Windrow</v>
      </c>
    </row>
    <row r="1049" spans="1:13" s="120" customFormat="1" x14ac:dyDescent="0.25">
      <c r="A1049" s="119"/>
      <c r="B1049" s="138" t="str">
        <f t="shared" si="55"/>
        <v>Windrow</v>
      </c>
      <c r="C1049" s="138" t="str">
        <f t="shared" si="57"/>
        <v>Base_With Amendment</v>
      </c>
      <c r="D1049" s="118" t="s">
        <v>138</v>
      </c>
      <c r="E1049" s="118" t="s">
        <v>130</v>
      </c>
      <c r="F1049" s="118" t="s">
        <v>46</v>
      </c>
      <c r="G1049" s="153"/>
      <c r="H1049" s="155">
        <v>0.13869999999999999</v>
      </c>
      <c r="I1049" s="154" t="s">
        <v>55</v>
      </c>
      <c r="J1049" s="203">
        <v>0.16822000000000001</v>
      </c>
      <c r="K1049" s="154" t="s">
        <v>23</v>
      </c>
      <c r="L1049" s="154" t="str">
        <f>IF(OpenLCAbasic!K1049="CTUh", "Fill in Manually",IF(OR(K1049="Unit", K1049=""), "", INDEX(LookUps!$E$5:$E$12, MATCH(OpenLCAbasic!K1049,LookUps!$D$5:$D$12,0))))</f>
        <v>Global Warming Potential (GWP) - kg CO2 eq</v>
      </c>
      <c r="M1049" s="154" t="str">
        <f t="shared" si="56"/>
        <v>Base_High_Low_Upgraded_Global Warming Potential (GWP) - kg CO2 eq_Aeration Tanks; wastewater treatment unit; at updated plant - US_Base_With Amendment_Windrow</v>
      </c>
    </row>
    <row r="1050" spans="1:13" s="120" customFormat="1" x14ac:dyDescent="0.25">
      <c r="A1050" s="119"/>
      <c r="B1050" s="138" t="str">
        <f t="shared" si="55"/>
        <v>Windrow</v>
      </c>
      <c r="C1050" s="138" t="str">
        <f t="shared" si="57"/>
        <v>Base_With Amendment</v>
      </c>
      <c r="D1050" s="118" t="s">
        <v>138</v>
      </c>
      <c r="E1050" s="118" t="s">
        <v>130</v>
      </c>
      <c r="F1050" s="118" t="s">
        <v>46</v>
      </c>
      <c r="G1050" s="153"/>
      <c r="H1050" s="155">
        <v>0.1211</v>
      </c>
      <c r="I1050" s="154" t="s">
        <v>167</v>
      </c>
      <c r="J1050" s="203">
        <v>0.14685000000000001</v>
      </c>
      <c r="K1050" s="154" t="s">
        <v>23</v>
      </c>
      <c r="L1050" s="154" t="str">
        <f>IF(OpenLCAbasic!K1050="CTUh", "Fill in Manually",IF(OR(K1050="Unit", K1050=""), "", INDEX(LookUps!$E$5:$E$12, MATCH(OpenLCAbasic!K1050,LookUps!$D$5:$D$12,0))))</f>
        <v>Global Warming Potential (GWP) - kg CO2 eq</v>
      </c>
      <c r="M1050" s="154" t="str">
        <f t="shared" si="56"/>
        <v>Base_High_Low_Upgraded_Global Warming Potential (GWP) - kg CO2 eq_Waste Receiving and Holding; wastewater treatment unit; at updated plant - US_Base_With Amendment_Windrow</v>
      </c>
    </row>
    <row r="1051" spans="1:13" s="120" customFormat="1" x14ac:dyDescent="0.25">
      <c r="A1051" s="119"/>
      <c r="B1051" s="138" t="str">
        <f t="shared" si="55"/>
        <v>Windrow</v>
      </c>
      <c r="C1051" s="138" t="str">
        <f t="shared" si="57"/>
        <v>Base_With Amendment</v>
      </c>
      <c r="D1051" s="118" t="s">
        <v>138</v>
      </c>
      <c r="E1051" s="118" t="s">
        <v>130</v>
      </c>
      <c r="F1051" s="118" t="s">
        <v>46</v>
      </c>
      <c r="G1051" s="153"/>
      <c r="H1051" s="155">
        <v>4.7100000000000003E-2</v>
      </c>
      <c r="I1051" s="154" t="s">
        <v>54</v>
      </c>
      <c r="J1051" s="203">
        <v>5.7079999999999999E-2</v>
      </c>
      <c r="K1051" s="154" t="s">
        <v>23</v>
      </c>
      <c r="L1051" s="154" t="str">
        <f>IF(OpenLCAbasic!K1051="CTUh", "Fill in Manually",IF(OR(K1051="Unit", K1051=""), "", INDEX(LookUps!$E$5:$E$12, MATCH(OpenLCAbasic!K1051,LookUps!$D$5:$D$12,0))))</f>
        <v>Global Warming Potential (GWP) - kg CO2 eq</v>
      </c>
      <c r="M1051" s="154" t="str">
        <f t="shared" si="56"/>
        <v>Base_High_Low_Upgraded_Global Warming Potential (GWP) - kg CO2 eq_Clear Cove Primary Clarification; wastewater treatment unit; at updated plant - US_Base_With Amendment_Windrow</v>
      </c>
    </row>
    <row r="1052" spans="1:13" s="120" customFormat="1" x14ac:dyDescent="0.25">
      <c r="A1052" s="119"/>
      <c r="B1052" s="138" t="str">
        <f t="shared" si="55"/>
        <v>Windrow</v>
      </c>
      <c r="C1052" s="138" t="str">
        <f t="shared" si="57"/>
        <v>Base_With Amendment</v>
      </c>
      <c r="D1052" s="118" t="s">
        <v>138</v>
      </c>
      <c r="E1052" s="118" t="s">
        <v>130</v>
      </c>
      <c r="F1052" s="118" t="s">
        <v>46</v>
      </c>
      <c r="G1052" s="153"/>
      <c r="H1052" s="155">
        <v>4.3400000000000001E-2</v>
      </c>
      <c r="I1052" s="154" t="s">
        <v>48</v>
      </c>
      <c r="J1052" s="203">
        <v>5.2639999999999999E-2</v>
      </c>
      <c r="K1052" s="154" t="s">
        <v>23</v>
      </c>
      <c r="L1052" s="154" t="str">
        <f>IF(OpenLCAbasic!K1052="CTUh", "Fill in Manually",IF(OR(K1052="Unit", K1052=""), "", INDEX(LookUps!$E$5:$E$12, MATCH(OpenLCAbasic!K1052,LookUps!$D$5:$D$12,0))))</f>
        <v>Global Warming Potential (GWP) - kg CO2 eq</v>
      </c>
      <c r="M1052" s="154" t="str">
        <f t="shared" si="56"/>
        <v>Base_High_Low_Upgraded_Global Warming Potential (GWP) - kg CO2 eq_Effluent release; wastewater treatment unit; at surface water; m3 wastewater - US_Base_With Amendment_Windrow</v>
      </c>
    </row>
    <row r="1053" spans="1:13" s="120" customFormat="1" x14ac:dyDescent="0.25">
      <c r="A1053" s="119"/>
      <c r="B1053" s="138" t="str">
        <f t="shared" si="55"/>
        <v>Windrow</v>
      </c>
      <c r="C1053" s="138" t="str">
        <f t="shared" si="57"/>
        <v>Base_With Amendment</v>
      </c>
      <c r="D1053" s="118" t="s">
        <v>138</v>
      </c>
      <c r="E1053" s="118" t="s">
        <v>130</v>
      </c>
      <c r="F1053" s="118" t="s">
        <v>46</v>
      </c>
      <c r="G1053" s="153"/>
      <c r="H1053" s="155">
        <v>4.1599999999999998E-2</v>
      </c>
      <c r="I1053" s="154" t="s">
        <v>147</v>
      </c>
      <c r="J1053" s="203">
        <v>5.0500000000000003E-2</v>
      </c>
      <c r="K1053" s="154" t="s">
        <v>23</v>
      </c>
      <c r="L1053" s="154" t="str">
        <f>IF(OpenLCAbasic!K1053="CTUh", "Fill in Manually",IF(OR(K1053="Unit", K1053=""), "", INDEX(LookUps!$E$5:$E$12, MATCH(OpenLCAbasic!K1053,LookUps!$D$5:$D$12,0))))</f>
        <v>Global Warming Potential (GWP) - kg CO2 eq</v>
      </c>
      <c r="M1053" s="154" t="str">
        <f t="shared" si="56"/>
        <v>Base_High_Low_Upgraded_Global Warming Potential (GWP) - kg CO2 eq_Influent Pump Station; wastewater treatment unit; at updated plant - US_Base_With Amendment_Windrow</v>
      </c>
    </row>
    <row r="1054" spans="1:13" s="120" customFormat="1" x14ac:dyDescent="0.25">
      <c r="A1054" s="119"/>
      <c r="B1054" s="138" t="str">
        <f t="shared" si="55"/>
        <v>Windrow</v>
      </c>
      <c r="C1054" s="138" t="str">
        <f t="shared" si="57"/>
        <v>Base_With Amendment</v>
      </c>
      <c r="D1054" s="118" t="s">
        <v>138</v>
      </c>
      <c r="E1054" s="118" t="s">
        <v>130</v>
      </c>
      <c r="F1054" s="118" t="s">
        <v>46</v>
      </c>
      <c r="G1054" s="153"/>
      <c r="H1054" s="155">
        <v>2.7400000000000001E-2</v>
      </c>
      <c r="I1054" s="154" t="s">
        <v>53</v>
      </c>
      <c r="J1054" s="203">
        <v>3.3259999999999998E-2</v>
      </c>
      <c r="K1054" s="154" t="s">
        <v>23</v>
      </c>
      <c r="L1054" s="154" t="str">
        <f>IF(OpenLCAbasic!K1054="CTUh", "Fill in Manually",IF(OR(K1054="Unit", K1054=""), "", INDEX(LookUps!$E$5:$E$12, MATCH(OpenLCAbasic!K1054,LookUps!$D$5:$D$12,0))))</f>
        <v>Global Warming Potential (GWP) - kg CO2 eq</v>
      </c>
      <c r="M1054" s="154" t="str">
        <f t="shared" si="56"/>
        <v>Base_High_Low_Upgraded_Global Warming Potential (GWP) - kg CO2 eq_Wet Well and Sump Station; wastewater treatment unit; at updated plant - US_Base_With Amendment_Windrow</v>
      </c>
    </row>
    <row r="1055" spans="1:13" s="120" customFormat="1" x14ac:dyDescent="0.25">
      <c r="A1055" s="119"/>
      <c r="B1055" s="138" t="str">
        <f t="shared" si="55"/>
        <v>Windrow</v>
      </c>
      <c r="C1055" s="138" t="str">
        <f t="shared" si="57"/>
        <v>Base_With Amendment</v>
      </c>
      <c r="D1055" s="118" t="s">
        <v>138</v>
      </c>
      <c r="E1055" s="118" t="s">
        <v>130</v>
      </c>
      <c r="F1055" s="118" t="s">
        <v>46</v>
      </c>
      <c r="G1055" s="153"/>
      <c r="H1055" s="155">
        <v>2.29E-2</v>
      </c>
      <c r="I1055" s="154" t="s">
        <v>60</v>
      </c>
      <c r="J1055" s="203">
        <v>2.7820000000000001E-2</v>
      </c>
      <c r="K1055" s="154" t="s">
        <v>23</v>
      </c>
      <c r="L1055" s="154" t="str">
        <f>IF(OpenLCAbasic!K1055="CTUh", "Fill in Manually",IF(OR(K1055="Unit", K1055=""), "", INDEX(LookUps!$E$5:$E$12, MATCH(OpenLCAbasic!K1055,LookUps!$D$5:$D$12,0))))</f>
        <v>Global Warming Potential (GWP) - kg CO2 eq</v>
      </c>
      <c r="M1055" s="154" t="str">
        <f t="shared" si="56"/>
        <v>Base_High_Low_Upgraded_Global Warming Potential (GWP) - kg CO2 eq_Belt filter press; wastewater treatment unit; at updated plant - US_Base_With Amendment_Windrow</v>
      </c>
    </row>
    <row r="1056" spans="1:13" s="120" customFormat="1" x14ac:dyDescent="0.25">
      <c r="A1056" s="119"/>
      <c r="B1056" s="138" t="str">
        <f t="shared" si="55"/>
        <v>Windrow</v>
      </c>
      <c r="C1056" s="138" t="str">
        <f t="shared" si="57"/>
        <v>Base_With Amendment</v>
      </c>
      <c r="D1056" s="118" t="s">
        <v>138</v>
      </c>
      <c r="E1056" s="118" t="s">
        <v>130</v>
      </c>
      <c r="F1056" s="118" t="s">
        <v>46</v>
      </c>
      <c r="G1056" s="153"/>
      <c r="H1056" s="155">
        <v>1.2E-2</v>
      </c>
      <c r="I1056" s="154" t="s">
        <v>57</v>
      </c>
      <c r="J1056" s="203">
        <v>1.455E-2</v>
      </c>
      <c r="K1056" s="154" t="s">
        <v>23</v>
      </c>
      <c r="L1056" s="154" t="str">
        <f>IF(OpenLCAbasic!K1056="CTUh", "Fill in Manually",IF(OR(K1056="Unit", K1056=""), "", INDEX(LookUps!$E$5:$E$12, MATCH(OpenLCAbasic!K1056,LookUps!$D$5:$D$12,0))))</f>
        <v>Global Warming Potential (GWP) - kg CO2 eq</v>
      </c>
      <c r="M1056" s="154" t="str">
        <f t="shared" si="56"/>
        <v>Base_High_Low_Upgraded_Global Warming Potential (GWP) - kg CO2 eq_Gravity Belt Thickener; wastewater treatment unit; at updated plant - US_Base_With Amendment_Windrow</v>
      </c>
    </row>
    <row r="1057" spans="1:13" s="120" customFormat="1" x14ac:dyDescent="0.25">
      <c r="A1057" s="119"/>
      <c r="B1057" s="138" t="str">
        <f t="shared" si="55"/>
        <v>Windrow</v>
      </c>
      <c r="C1057" s="138" t="str">
        <f t="shared" si="57"/>
        <v>Base_With Amendment</v>
      </c>
      <c r="D1057" s="118" t="s">
        <v>138</v>
      </c>
      <c r="E1057" s="118" t="s">
        <v>130</v>
      </c>
      <c r="F1057" s="118" t="s">
        <v>46</v>
      </c>
      <c r="G1057" s="153"/>
      <c r="H1057" s="155">
        <v>1.11E-2</v>
      </c>
      <c r="I1057" s="154" t="s">
        <v>128</v>
      </c>
      <c r="J1057" s="204">
        <v>1.3509999999999999E-2</v>
      </c>
      <c r="K1057" s="154" t="s">
        <v>23</v>
      </c>
      <c r="L1057" s="154" t="str">
        <f>IF(OpenLCAbasic!K1057="CTUh", "Fill in Manually",IF(OR(K1057="Unit", K1057=""), "", INDEX(LookUps!$E$5:$E$12, MATCH(OpenLCAbasic!K1057,LookUps!$D$5:$D$12,0))))</f>
        <v>Global Warming Potential (GWP) - kg CO2 eq</v>
      </c>
      <c r="M1057" s="154" t="str">
        <f t="shared" si="56"/>
        <v>Base_High_Low_Upgraded_Global Warming Potential (GWP) - kg CO2 eq_Wastewater collection; operation and infrastructure; m3 wastewater_Base_With Amendment_Windrow</v>
      </c>
    </row>
    <row r="1058" spans="1:13" s="120" customFormat="1" x14ac:dyDescent="0.25">
      <c r="A1058" s="119"/>
      <c r="B1058" s="138" t="str">
        <f t="shared" si="55"/>
        <v>Windrow</v>
      </c>
      <c r="C1058" s="138" t="str">
        <f t="shared" si="57"/>
        <v>Base_With Amendment</v>
      </c>
      <c r="D1058" s="118" t="s">
        <v>138</v>
      </c>
      <c r="E1058" s="118" t="s">
        <v>130</v>
      </c>
      <c r="F1058" s="118" t="s">
        <v>46</v>
      </c>
      <c r="G1058" s="153"/>
      <c r="H1058" s="155">
        <v>6.7999999999999996E-3</v>
      </c>
      <c r="I1058" s="154" t="s">
        <v>148</v>
      </c>
      <c r="J1058" s="204">
        <v>8.3000000000000001E-3</v>
      </c>
      <c r="K1058" s="154" t="s">
        <v>23</v>
      </c>
      <c r="L1058" s="154" t="str">
        <f>IF(OpenLCAbasic!K1058="CTUh", "Fill in Manually",IF(OR(K1058="Unit", K1058=""), "", INDEX(LookUps!$E$5:$E$12, MATCH(OpenLCAbasic!K1058,LookUps!$D$5:$D$12,0))))</f>
        <v>Global Warming Potential (GWP) - kg CO2 eq</v>
      </c>
      <c r="M1058" s="154" t="str">
        <f t="shared" si="56"/>
        <v>Base_High_Low_Upgraded_Global Warming Potential (GWP) - kg CO2 eq_Control Building; at upgraded wastewater treatment plant - US_Base_With Amendment_Windrow</v>
      </c>
    </row>
    <row r="1059" spans="1:13" s="120" customFormat="1" x14ac:dyDescent="0.25">
      <c r="A1059" s="119"/>
      <c r="B1059" s="138" t="str">
        <f t="shared" si="55"/>
        <v>Windrow</v>
      </c>
      <c r="C1059" s="138" t="str">
        <f t="shared" si="57"/>
        <v>Base_With Amendment</v>
      </c>
      <c r="D1059" s="118" t="s">
        <v>138</v>
      </c>
      <c r="E1059" s="118" t="s">
        <v>130</v>
      </c>
      <c r="F1059" s="118" t="s">
        <v>46</v>
      </c>
      <c r="G1059" s="153"/>
      <c r="H1059" s="155">
        <v>4.1999999999999997E-3</v>
      </c>
      <c r="I1059" s="154" t="s">
        <v>59</v>
      </c>
      <c r="J1059" s="204">
        <v>5.0400000000000002E-3</v>
      </c>
      <c r="K1059" s="154" t="s">
        <v>23</v>
      </c>
      <c r="L1059" s="154" t="str">
        <f>IF(OpenLCAbasic!K1059="CTUh", "Fill in Manually",IF(OR(K1059="Unit", K1059=""), "", INDEX(LookUps!$E$5:$E$12, MATCH(OpenLCAbasic!K1059,LookUps!$D$5:$D$12,0))))</f>
        <v>Global Warming Potential (GWP) - kg CO2 eq</v>
      </c>
      <c r="M1059" s="154" t="str">
        <f t="shared" si="56"/>
        <v>Base_High_Low_Upgraded_Global Warming Potential (GWP) - kg CO2 eq_Blend Tank; wastewater treatment unit; at updated plant - US_Base_With Amendment_Windrow</v>
      </c>
    </row>
    <row r="1060" spans="1:13" s="120" customFormat="1" x14ac:dyDescent="0.25">
      <c r="A1060" s="119"/>
      <c r="B1060" s="138" t="str">
        <f t="shared" si="55"/>
        <v>Windrow</v>
      </c>
      <c r="C1060" s="138" t="str">
        <f t="shared" si="57"/>
        <v>Base_With Amendment</v>
      </c>
      <c r="D1060" s="118" t="s">
        <v>138</v>
      </c>
      <c r="E1060" s="118" t="s">
        <v>130</v>
      </c>
      <c r="F1060" s="118" t="s">
        <v>46</v>
      </c>
      <c r="G1060" s="153"/>
      <c r="H1060" s="155">
        <v>2E-3</v>
      </c>
      <c r="I1060" s="154" t="s">
        <v>168</v>
      </c>
      <c r="J1060" s="204">
        <v>2.4099999999999998E-3</v>
      </c>
      <c r="K1060" s="154" t="s">
        <v>23</v>
      </c>
      <c r="L1060" s="154" t="str">
        <f>IF(OpenLCAbasic!K1060="CTUh", "Fill in Manually",IF(OR(K1060="Unit", K1060=""), "", INDEX(LookUps!$E$5:$E$12, MATCH(OpenLCAbasic!K1060,LookUps!$D$5:$D$12,0))))</f>
        <v>Global Warming Potential (GWP) - kg CO2 eq</v>
      </c>
      <c r="M1060" s="154" t="str">
        <f t="shared" si="56"/>
        <v>Base_High_Low_Upgraded_Global Warming Potential (GWP) - kg CO2 eq_ClearCove SCP; wastewater treatment unit; at updated plant - US_Base_With Amendment_Windrow</v>
      </c>
    </row>
    <row r="1061" spans="1:13" s="120" customFormat="1" x14ac:dyDescent="0.25">
      <c r="A1061" s="119"/>
      <c r="B1061" s="138" t="str">
        <f t="shared" si="55"/>
        <v>Windrow</v>
      </c>
      <c r="C1061" s="138" t="str">
        <f t="shared" si="57"/>
        <v>Base_With Amendment</v>
      </c>
      <c r="D1061" s="118" t="s">
        <v>138</v>
      </c>
      <c r="E1061" s="118" t="s">
        <v>130</v>
      </c>
      <c r="F1061" s="118" t="s">
        <v>46</v>
      </c>
      <c r="G1061" s="153"/>
      <c r="H1061" s="155">
        <v>-0.1406</v>
      </c>
      <c r="I1061" s="154" t="s">
        <v>149</v>
      </c>
      <c r="J1061" s="203">
        <v>-0.17055999999999999</v>
      </c>
      <c r="K1061" s="154" t="s">
        <v>23</v>
      </c>
      <c r="L1061" s="154" t="str">
        <f>IF(OpenLCAbasic!K1061="CTUh", "Fill in Manually",IF(OR(K1061="Unit", K1061=""), "", INDEX(LookUps!$E$5:$E$12, MATCH(OpenLCAbasic!K1061,LookUps!$D$5:$D$12,0))))</f>
        <v>Global Warming Potential (GWP) - kg CO2 eq</v>
      </c>
      <c r="M1061" s="154" t="str">
        <f t="shared" si="56"/>
        <v>Base_High_Low_Upgraded_Global Warming Potential (GWP) - kg CO2 eq_Anaerobic Digestion; wastewater treatment unit; at updated plant - US_Base_With Amendment_Windrow</v>
      </c>
    </row>
    <row r="1062" spans="1:13" s="120" customFormat="1" x14ac:dyDescent="0.25">
      <c r="A1062" s="119"/>
      <c r="B1062" s="138" t="str">
        <f t="shared" si="55"/>
        <v>Windrow</v>
      </c>
      <c r="C1062" s="138" t="str">
        <f t="shared" si="57"/>
        <v>Base_With Amendment</v>
      </c>
      <c r="D1062" s="118" t="s">
        <v>138</v>
      </c>
      <c r="E1062" s="118" t="s">
        <v>130</v>
      </c>
      <c r="F1062" s="118" t="s">
        <v>46</v>
      </c>
      <c r="G1062" s="153"/>
      <c r="H1062" s="155">
        <v>-0.81789999999999996</v>
      </c>
      <c r="I1062" s="154" t="s">
        <v>62</v>
      </c>
      <c r="J1062" s="203">
        <v>-0.99224000000000001</v>
      </c>
      <c r="K1062" s="154" t="s">
        <v>23</v>
      </c>
      <c r="L1062" s="154" t="str">
        <f>IF(OpenLCAbasic!K1062="CTUh", "Fill in Manually",IF(OR(K1062="Unit", K1062=""), "", INDEX(LookUps!$E$5:$E$12, MATCH(OpenLCAbasic!K1062,LookUps!$D$5:$D$12,0))))</f>
        <v>Global Warming Potential (GWP) - kg CO2 eq</v>
      </c>
      <c r="M1062" s="154" t="str">
        <f t="shared" si="56"/>
        <v>Base_High_Low_Upgraded_Global Warming Potential (GWP) - kg CO2 eq_Land application of compost; wastewater treatment unit; at updated plant - US_Base_With Amendment_Windrow</v>
      </c>
    </row>
    <row r="1063" spans="1:13" s="120" customFormat="1" x14ac:dyDescent="0.25">
      <c r="A1063" s="119"/>
      <c r="B1063" s="138" t="str">
        <f t="shared" si="55"/>
        <v>Windrow</v>
      </c>
      <c r="C1063" s="138" t="str">
        <f t="shared" si="57"/>
        <v>Base_With Amendment</v>
      </c>
      <c r="D1063" s="118" t="s">
        <v>138</v>
      </c>
      <c r="E1063" s="118" t="s">
        <v>130</v>
      </c>
      <c r="F1063" s="118" t="s">
        <v>46</v>
      </c>
      <c r="G1063" s="153" t="s">
        <v>51</v>
      </c>
      <c r="H1063" s="154"/>
      <c r="I1063" s="154" t="s">
        <v>47</v>
      </c>
      <c r="J1063" s="154" t="s">
        <v>52</v>
      </c>
      <c r="K1063" s="154" t="s">
        <v>27</v>
      </c>
      <c r="L1063" s="154" t="str">
        <f>IF(OpenLCAbasic!K1063="CTUh", "Fill in Manually",IF(OR(K1063="Unit", K1063=""), "", INDEX(LookUps!$E$5:$E$12, MATCH(OpenLCAbasic!K1063,LookUps!$D$5:$D$12,0))))</f>
        <v/>
      </c>
      <c r="M1063" s="154" t="str">
        <f t="shared" si="56"/>
        <v>Base_High_Low_Upgraded__Process_Base_With Amendment_Windrow</v>
      </c>
    </row>
    <row r="1064" spans="1:13" s="120" customFormat="1" x14ac:dyDescent="0.25">
      <c r="A1064" s="119"/>
      <c r="B1064" s="138" t="str">
        <f t="shared" si="55"/>
        <v>Windrow</v>
      </c>
      <c r="C1064" s="138" t="str">
        <f t="shared" si="57"/>
        <v>Base_With Amendment</v>
      </c>
      <c r="D1064" s="118" t="s">
        <v>138</v>
      </c>
      <c r="E1064" s="118" t="s">
        <v>130</v>
      </c>
      <c r="F1064" s="118" t="s">
        <v>46</v>
      </c>
      <c r="G1064" s="153"/>
      <c r="H1064" s="155">
        <v>0.64219999999999999</v>
      </c>
      <c r="I1064" s="154" t="s">
        <v>48</v>
      </c>
      <c r="J1064" s="203">
        <v>1.1610000000000001E-2</v>
      </c>
      <c r="K1064" s="154" t="s">
        <v>13</v>
      </c>
      <c r="L1064" s="154" t="str">
        <f>IF(OpenLCAbasic!K1064="CTUh", "Fill in Manually",IF(OR(K1064="Unit", K1064=""), "", INDEX(LookUps!$E$5:$E$12, MATCH(OpenLCAbasic!K1064,LookUps!$D$5:$D$12,0))))</f>
        <v>Eutrophication Potential (EP) - kg N eq</v>
      </c>
      <c r="M1064" s="154" t="str">
        <f t="shared" si="56"/>
        <v>Base_High_Low_Upgraded_Eutrophication Potential (EP) - kg N eq_Effluent release; wastewater treatment unit; at surface water; m3 wastewater - US_Base_With Amendment_Windrow</v>
      </c>
    </row>
    <row r="1065" spans="1:13" s="120" customFormat="1" x14ac:dyDescent="0.25">
      <c r="A1065" s="119"/>
      <c r="B1065" s="138" t="str">
        <f t="shared" si="55"/>
        <v>Windrow</v>
      </c>
      <c r="C1065" s="138" t="str">
        <f t="shared" si="57"/>
        <v>Base_With Amendment</v>
      </c>
      <c r="D1065" s="118" t="s">
        <v>138</v>
      </c>
      <c r="E1065" s="118" t="s">
        <v>130</v>
      </c>
      <c r="F1065" s="118" t="s">
        <v>46</v>
      </c>
      <c r="G1065" s="153"/>
      <c r="H1065" s="155">
        <v>0.24329999999999999</v>
      </c>
      <c r="I1065" s="154" t="s">
        <v>62</v>
      </c>
      <c r="J1065" s="204">
        <v>4.4000000000000003E-3</v>
      </c>
      <c r="K1065" s="154" t="s">
        <v>13</v>
      </c>
      <c r="L1065" s="154" t="str">
        <f>IF(OpenLCAbasic!K1065="CTUh", "Fill in Manually",IF(OR(K1065="Unit", K1065=""), "", INDEX(LookUps!$E$5:$E$12, MATCH(OpenLCAbasic!K1065,LookUps!$D$5:$D$12,0))))</f>
        <v>Eutrophication Potential (EP) - kg N eq</v>
      </c>
      <c r="M1065" s="154" t="str">
        <f t="shared" si="56"/>
        <v>Base_High_Low_Upgraded_Eutrophication Potential (EP) - kg N eq_Land application of compost; wastewater treatment unit; at updated plant - US_Base_With Amendment_Windrow</v>
      </c>
    </row>
    <row r="1066" spans="1:13" s="120" customFormat="1" x14ac:dyDescent="0.25">
      <c r="A1066" s="119"/>
      <c r="B1066" s="138" t="str">
        <f t="shared" si="55"/>
        <v>Windrow</v>
      </c>
      <c r="C1066" s="138" t="str">
        <f t="shared" si="57"/>
        <v>Base_With Amendment</v>
      </c>
      <c r="D1066" s="118" t="s">
        <v>138</v>
      </c>
      <c r="E1066" s="118" t="s">
        <v>130</v>
      </c>
      <c r="F1066" s="118" t="s">
        <v>46</v>
      </c>
      <c r="G1066" s="153"/>
      <c r="H1066" s="155">
        <v>4.1700000000000001E-2</v>
      </c>
      <c r="I1066" s="154" t="s">
        <v>271</v>
      </c>
      <c r="J1066" s="204">
        <v>7.5000000000000002E-4</v>
      </c>
      <c r="K1066" s="154" t="s">
        <v>13</v>
      </c>
      <c r="L1066" s="154" t="str">
        <f>IF(OpenLCAbasic!K1066="CTUh", "Fill in Manually",IF(OR(K1066="Unit", K1066=""), "", INDEX(LookUps!$E$5:$E$12, MATCH(OpenLCAbasic!K1066,LookUps!$D$5:$D$12,0))))</f>
        <v>Eutrophication Potential (EP) - kg N eq</v>
      </c>
      <c r="M1066" s="154" t="str">
        <f t="shared" si="56"/>
        <v>Base_High_Low_Upgraded_Eutrophication Potential (EP) - kg N eq_Biosolids composting; windrow composting; wastewater treatment unit; at updated plant - US_Base_With Amendment_Windrow</v>
      </c>
    </row>
    <row r="1067" spans="1:13" s="120" customFormat="1" x14ac:dyDescent="0.25">
      <c r="A1067" s="119"/>
      <c r="B1067" s="138" t="str">
        <f t="shared" si="55"/>
        <v>Windrow</v>
      </c>
      <c r="C1067" s="138" t="str">
        <f t="shared" si="57"/>
        <v>Base_With Amendment</v>
      </c>
      <c r="D1067" s="118" t="s">
        <v>138</v>
      </c>
      <c r="E1067" s="118" t="s">
        <v>130</v>
      </c>
      <c r="F1067" s="118" t="s">
        <v>46</v>
      </c>
      <c r="G1067" s="153"/>
      <c r="H1067" s="155">
        <v>3.0200000000000001E-2</v>
      </c>
      <c r="I1067" s="154" t="s">
        <v>55</v>
      </c>
      <c r="J1067" s="204">
        <v>5.5000000000000003E-4</v>
      </c>
      <c r="K1067" s="154" t="s">
        <v>13</v>
      </c>
      <c r="L1067" s="154" t="str">
        <f>IF(OpenLCAbasic!K1067="CTUh", "Fill in Manually",IF(OR(K1067="Unit", K1067=""), "", INDEX(LookUps!$E$5:$E$12, MATCH(OpenLCAbasic!K1067,LookUps!$D$5:$D$12,0))))</f>
        <v>Eutrophication Potential (EP) - kg N eq</v>
      </c>
      <c r="M1067" s="154" t="str">
        <f t="shared" si="56"/>
        <v>Base_High_Low_Upgraded_Eutrophication Potential (EP) - kg N eq_Aeration Tanks; wastewater treatment unit; at updated plant - US_Base_With Amendment_Windrow</v>
      </c>
    </row>
    <row r="1068" spans="1:13" s="120" customFormat="1" x14ac:dyDescent="0.25">
      <c r="A1068" s="119"/>
      <c r="B1068" s="138" t="str">
        <f t="shared" si="55"/>
        <v>Windrow</v>
      </c>
      <c r="C1068" s="138" t="str">
        <f t="shared" si="57"/>
        <v>Base_With Amendment</v>
      </c>
      <c r="D1068" s="118" t="s">
        <v>138</v>
      </c>
      <c r="E1068" s="118" t="s">
        <v>130</v>
      </c>
      <c r="F1068" s="118" t="s">
        <v>46</v>
      </c>
      <c r="G1068" s="153"/>
      <c r="H1068" s="155">
        <v>1.38E-2</v>
      </c>
      <c r="I1068" s="154" t="s">
        <v>147</v>
      </c>
      <c r="J1068" s="204">
        <v>2.5000000000000001E-4</v>
      </c>
      <c r="K1068" s="154" t="s">
        <v>13</v>
      </c>
      <c r="L1068" s="154" t="str">
        <f>IF(OpenLCAbasic!K1068="CTUh", "Fill in Manually",IF(OR(K1068="Unit", K1068=""), "", INDEX(LookUps!$E$5:$E$12, MATCH(OpenLCAbasic!K1068,LookUps!$D$5:$D$12,0))))</f>
        <v>Eutrophication Potential (EP) - kg N eq</v>
      </c>
      <c r="M1068" s="154" t="str">
        <f t="shared" si="56"/>
        <v>Base_High_Low_Upgraded_Eutrophication Potential (EP) - kg N eq_Influent Pump Station; wastewater treatment unit; at updated plant - US_Base_With Amendment_Windrow</v>
      </c>
    </row>
    <row r="1069" spans="1:13" s="120" customFormat="1" x14ac:dyDescent="0.25">
      <c r="A1069" s="119"/>
      <c r="B1069" s="138" t="str">
        <f t="shared" si="55"/>
        <v>Windrow</v>
      </c>
      <c r="C1069" s="138" t="str">
        <f t="shared" si="57"/>
        <v>Base_With Amendment</v>
      </c>
      <c r="D1069" s="118" t="s">
        <v>138</v>
      </c>
      <c r="E1069" s="118" t="s">
        <v>130</v>
      </c>
      <c r="F1069" s="118" t="s">
        <v>46</v>
      </c>
      <c r="G1069" s="153"/>
      <c r="H1069" s="155">
        <v>1.2200000000000001E-2</v>
      </c>
      <c r="I1069" s="154" t="s">
        <v>167</v>
      </c>
      <c r="J1069" s="204">
        <v>2.2000000000000001E-4</v>
      </c>
      <c r="K1069" s="154" t="s">
        <v>13</v>
      </c>
      <c r="L1069" s="154" t="str">
        <f>IF(OpenLCAbasic!K1069="CTUh", "Fill in Manually",IF(OR(K1069="Unit", K1069=""), "", INDEX(LookUps!$E$5:$E$12, MATCH(OpenLCAbasic!K1069,LookUps!$D$5:$D$12,0))))</f>
        <v>Eutrophication Potential (EP) - kg N eq</v>
      </c>
      <c r="M1069" s="154" t="str">
        <f t="shared" si="56"/>
        <v>Base_High_Low_Upgraded_Eutrophication Potential (EP) - kg N eq_Waste Receiving and Holding; wastewater treatment unit; at updated plant - US_Base_With Amendment_Windrow</v>
      </c>
    </row>
    <row r="1070" spans="1:13" s="120" customFormat="1" x14ac:dyDescent="0.25">
      <c r="A1070" s="119"/>
      <c r="B1070" s="138" t="str">
        <f t="shared" si="55"/>
        <v>Windrow</v>
      </c>
      <c r="C1070" s="138" t="str">
        <f t="shared" si="57"/>
        <v>Base_With Amendment</v>
      </c>
      <c r="D1070" s="118" t="s">
        <v>138</v>
      </c>
      <c r="E1070" s="118" t="s">
        <v>130</v>
      </c>
      <c r="F1070" s="118" t="s">
        <v>46</v>
      </c>
      <c r="G1070" s="153"/>
      <c r="H1070" s="155">
        <v>1.0999999999999999E-2</v>
      </c>
      <c r="I1070" s="154" t="s">
        <v>54</v>
      </c>
      <c r="J1070" s="204">
        <v>2.0000000000000001E-4</v>
      </c>
      <c r="K1070" s="154" t="s">
        <v>13</v>
      </c>
      <c r="L1070" s="154" t="str">
        <f>IF(OpenLCAbasic!K1070="CTUh", "Fill in Manually",IF(OR(K1070="Unit", K1070=""), "", INDEX(LookUps!$E$5:$E$12, MATCH(OpenLCAbasic!K1070,LookUps!$D$5:$D$12,0))))</f>
        <v>Eutrophication Potential (EP) - kg N eq</v>
      </c>
      <c r="M1070" s="154" t="str">
        <f t="shared" si="56"/>
        <v>Base_High_Low_Upgraded_Eutrophication Potential (EP) - kg N eq_Clear Cove Primary Clarification; wastewater treatment unit; at updated plant - US_Base_With Amendment_Windrow</v>
      </c>
    </row>
    <row r="1071" spans="1:13" s="120" customFormat="1" x14ac:dyDescent="0.25">
      <c r="A1071" s="119"/>
      <c r="B1071" s="138" t="str">
        <f t="shared" si="55"/>
        <v>Windrow</v>
      </c>
      <c r="C1071" s="138" t="str">
        <f t="shared" si="57"/>
        <v>Base_With Amendment</v>
      </c>
      <c r="D1071" s="118" t="s">
        <v>138</v>
      </c>
      <c r="E1071" s="118" t="s">
        <v>130</v>
      </c>
      <c r="F1071" s="118" t="s">
        <v>46</v>
      </c>
      <c r="G1071" s="153"/>
      <c r="H1071" s="155">
        <v>7.4999999999999997E-3</v>
      </c>
      <c r="I1071" s="154" t="s">
        <v>58</v>
      </c>
      <c r="J1071" s="204">
        <v>1.3999999999999999E-4</v>
      </c>
      <c r="K1071" s="154" t="s">
        <v>13</v>
      </c>
      <c r="L1071" s="154" t="str">
        <f>IF(OpenLCAbasic!K1071="CTUh", "Fill in Manually",IF(OR(K1071="Unit", K1071=""), "", INDEX(LookUps!$E$5:$E$12, MATCH(OpenLCAbasic!K1071,LookUps!$D$5:$D$12,0))))</f>
        <v>Eutrophication Potential (EP) - kg N eq</v>
      </c>
      <c r="M1071" s="154" t="str">
        <f t="shared" si="56"/>
        <v>Base_High_Low_Upgraded_Eutrophication Potential (EP) - kg N eq_Pre-Anoxic &amp; Swing tank; wastewater treatment unit; at updated plant - US_Base_With Amendment_Windrow</v>
      </c>
    </row>
    <row r="1072" spans="1:13" s="120" customFormat="1" x14ac:dyDescent="0.25">
      <c r="A1072" s="119"/>
      <c r="B1072" s="138" t="str">
        <f t="shared" si="55"/>
        <v>Windrow</v>
      </c>
      <c r="C1072" s="138" t="str">
        <f t="shared" si="57"/>
        <v>Base_With Amendment</v>
      </c>
      <c r="D1072" s="118" t="s">
        <v>138</v>
      </c>
      <c r="E1072" s="118" t="s">
        <v>130</v>
      </c>
      <c r="F1072" s="118" t="s">
        <v>46</v>
      </c>
      <c r="G1072" s="153"/>
      <c r="H1072" s="155">
        <v>6.1000000000000004E-3</v>
      </c>
      <c r="I1072" s="154" t="s">
        <v>60</v>
      </c>
      <c r="J1072" s="204">
        <v>1.1E-4</v>
      </c>
      <c r="K1072" s="154" t="s">
        <v>13</v>
      </c>
      <c r="L1072" s="154" t="str">
        <f>IF(OpenLCAbasic!K1072="CTUh", "Fill in Manually",IF(OR(K1072="Unit", K1072=""), "", INDEX(LookUps!$E$5:$E$12, MATCH(OpenLCAbasic!K1072,LookUps!$D$5:$D$12,0))))</f>
        <v>Eutrophication Potential (EP) - kg N eq</v>
      </c>
      <c r="M1072" s="154" t="str">
        <f t="shared" si="56"/>
        <v>Base_High_Low_Upgraded_Eutrophication Potential (EP) - kg N eq_Belt filter press; wastewater treatment unit; at updated plant - US_Base_With Amendment_Windrow</v>
      </c>
    </row>
    <row r="1073" spans="1:13" s="120" customFormat="1" x14ac:dyDescent="0.25">
      <c r="A1073" s="119"/>
      <c r="B1073" s="138" t="str">
        <f t="shared" si="55"/>
        <v>Windrow</v>
      </c>
      <c r="C1073" s="138" t="str">
        <f t="shared" si="57"/>
        <v>Base_With Amendment</v>
      </c>
      <c r="D1073" s="118" t="s">
        <v>138</v>
      </c>
      <c r="E1073" s="118" t="s">
        <v>130</v>
      </c>
      <c r="F1073" s="118" t="s">
        <v>46</v>
      </c>
      <c r="G1073" s="153"/>
      <c r="H1073" s="155">
        <v>5.8999999999999999E-3</v>
      </c>
      <c r="I1073" s="154" t="s">
        <v>53</v>
      </c>
      <c r="J1073" s="204">
        <v>1.1E-4</v>
      </c>
      <c r="K1073" s="154" t="s">
        <v>13</v>
      </c>
      <c r="L1073" s="154" t="str">
        <f>IF(OpenLCAbasic!K1073="CTUh", "Fill in Manually",IF(OR(K1073="Unit", K1073=""), "", INDEX(LookUps!$E$5:$E$12, MATCH(OpenLCAbasic!K1073,LookUps!$D$5:$D$12,0))))</f>
        <v>Eutrophication Potential (EP) - kg N eq</v>
      </c>
      <c r="M1073" s="154" t="str">
        <f t="shared" si="56"/>
        <v>Base_High_Low_Upgraded_Eutrophication Potential (EP) - kg N eq_Wet Well and Sump Station; wastewater treatment unit; at updated plant - US_Base_With Amendment_Windrow</v>
      </c>
    </row>
    <row r="1074" spans="1:13" s="120" customFormat="1" x14ac:dyDescent="0.25">
      <c r="A1074" s="119"/>
      <c r="B1074" s="138" t="str">
        <f t="shared" si="55"/>
        <v>Windrow</v>
      </c>
      <c r="C1074" s="138" t="str">
        <f t="shared" si="57"/>
        <v>Base_With Amendment</v>
      </c>
      <c r="D1074" s="118" t="s">
        <v>138</v>
      </c>
      <c r="E1074" s="118" t="s">
        <v>130</v>
      </c>
      <c r="F1074" s="118" t="s">
        <v>46</v>
      </c>
      <c r="G1074" s="153"/>
      <c r="H1074" s="155">
        <v>3.3999999999999998E-3</v>
      </c>
      <c r="I1074" s="154" t="s">
        <v>57</v>
      </c>
      <c r="J1074" s="204">
        <v>6.0590300000000002E-5</v>
      </c>
      <c r="K1074" s="154" t="s">
        <v>13</v>
      </c>
      <c r="L1074" s="154" t="str">
        <f>IF(OpenLCAbasic!K1074="CTUh", "Fill in Manually",IF(OR(K1074="Unit", K1074=""), "", INDEX(LookUps!$E$5:$E$12, MATCH(OpenLCAbasic!K1074,LookUps!$D$5:$D$12,0))))</f>
        <v>Eutrophication Potential (EP) - kg N eq</v>
      </c>
      <c r="M1074" s="154" t="str">
        <f t="shared" si="56"/>
        <v>Base_High_Low_Upgraded_Eutrophication Potential (EP) - kg N eq_Gravity Belt Thickener; wastewater treatment unit; at updated plant - US_Base_With Amendment_Windrow</v>
      </c>
    </row>
    <row r="1075" spans="1:13" s="120" customFormat="1" x14ac:dyDescent="0.25">
      <c r="A1075" s="119"/>
      <c r="B1075" s="138" t="str">
        <f t="shared" si="55"/>
        <v>Windrow</v>
      </c>
      <c r="C1075" s="138" t="str">
        <f t="shared" si="57"/>
        <v>Base_With Amendment</v>
      </c>
      <c r="D1075" s="118" t="s">
        <v>138</v>
      </c>
      <c r="E1075" s="118" t="s">
        <v>130</v>
      </c>
      <c r="F1075" s="118" t="s">
        <v>46</v>
      </c>
      <c r="G1075" s="153"/>
      <c r="H1075" s="155">
        <v>2.0999999999999999E-3</v>
      </c>
      <c r="I1075" s="154" t="s">
        <v>128</v>
      </c>
      <c r="J1075" s="204">
        <v>3.7559799999999999E-5</v>
      </c>
      <c r="K1075" s="154" t="s">
        <v>13</v>
      </c>
      <c r="L1075" s="154" t="str">
        <f>IF(OpenLCAbasic!K1075="CTUh", "Fill in Manually",IF(OR(K1075="Unit", K1075=""), "", INDEX(LookUps!$E$5:$E$12, MATCH(OpenLCAbasic!K1075,LookUps!$D$5:$D$12,0))))</f>
        <v>Eutrophication Potential (EP) - kg N eq</v>
      </c>
      <c r="M1075" s="154" t="str">
        <f t="shared" si="56"/>
        <v>Base_High_Low_Upgraded_Eutrophication Potential (EP) - kg N eq_Wastewater collection; operation and infrastructure; m3 wastewater_Base_With Amendment_Windrow</v>
      </c>
    </row>
    <row r="1076" spans="1:13" s="120" customFormat="1" x14ac:dyDescent="0.25">
      <c r="A1076" s="119"/>
      <c r="B1076" s="138" t="str">
        <f t="shared" si="55"/>
        <v>Windrow</v>
      </c>
      <c r="C1076" s="138" t="str">
        <f t="shared" si="57"/>
        <v>Base_With Amendment</v>
      </c>
      <c r="D1076" s="118" t="s">
        <v>138</v>
      </c>
      <c r="E1076" s="118" t="s">
        <v>130</v>
      </c>
      <c r="F1076" s="118" t="s">
        <v>46</v>
      </c>
      <c r="G1076" s="153"/>
      <c r="H1076" s="155">
        <v>2E-3</v>
      </c>
      <c r="I1076" s="154" t="s">
        <v>148</v>
      </c>
      <c r="J1076" s="204">
        <v>3.6874600000000001E-5</v>
      </c>
      <c r="K1076" s="154" t="s">
        <v>13</v>
      </c>
      <c r="L1076" s="154" t="str">
        <f>IF(OpenLCAbasic!K1076="CTUh", "Fill in Manually",IF(OR(K1076="Unit", K1076=""), "", INDEX(LookUps!$E$5:$E$12, MATCH(OpenLCAbasic!K1076,LookUps!$D$5:$D$12,0))))</f>
        <v>Eutrophication Potential (EP) - kg N eq</v>
      </c>
      <c r="M1076" s="154" t="str">
        <f t="shared" si="56"/>
        <v>Base_High_Low_Upgraded_Eutrophication Potential (EP) - kg N eq_Control Building; at upgraded wastewater treatment plant - US_Base_With Amendment_Windrow</v>
      </c>
    </row>
    <row r="1077" spans="1:13" s="120" customFormat="1" x14ac:dyDescent="0.25">
      <c r="A1077" s="119"/>
      <c r="B1077" s="138" t="str">
        <f t="shared" si="55"/>
        <v>Windrow</v>
      </c>
      <c r="C1077" s="138" t="str">
        <f t="shared" si="57"/>
        <v>Base_With Amendment</v>
      </c>
      <c r="D1077" s="118" t="s">
        <v>138</v>
      </c>
      <c r="E1077" s="118" t="s">
        <v>130</v>
      </c>
      <c r="F1077" s="118" t="s">
        <v>46</v>
      </c>
      <c r="G1077" s="153"/>
      <c r="H1077" s="155">
        <v>8.9999999999999998E-4</v>
      </c>
      <c r="I1077" s="154" t="s">
        <v>59</v>
      </c>
      <c r="J1077" s="204">
        <v>1.6215700000000001E-5</v>
      </c>
      <c r="K1077" s="154" t="s">
        <v>13</v>
      </c>
      <c r="L1077" s="154" t="str">
        <f>IF(OpenLCAbasic!K1077="CTUh", "Fill in Manually",IF(OR(K1077="Unit", K1077=""), "", INDEX(LookUps!$E$5:$E$12, MATCH(OpenLCAbasic!K1077,LookUps!$D$5:$D$12,0))))</f>
        <v>Eutrophication Potential (EP) - kg N eq</v>
      </c>
      <c r="M1077" s="154" t="str">
        <f t="shared" si="56"/>
        <v>Base_High_Low_Upgraded_Eutrophication Potential (EP) - kg N eq_Blend Tank; wastewater treatment unit; at updated plant - US_Base_With Amendment_Windrow</v>
      </c>
    </row>
    <row r="1078" spans="1:13" s="120" customFormat="1" x14ac:dyDescent="0.25">
      <c r="A1078" s="119"/>
      <c r="B1078" s="138" t="str">
        <f t="shared" si="55"/>
        <v>Windrow</v>
      </c>
      <c r="C1078" s="138" t="str">
        <f t="shared" si="57"/>
        <v>Base_With Amendment</v>
      </c>
      <c r="D1078" s="118" t="s">
        <v>138</v>
      </c>
      <c r="E1078" s="118" t="s">
        <v>130</v>
      </c>
      <c r="F1078" s="118" t="s">
        <v>46</v>
      </c>
      <c r="G1078" s="153"/>
      <c r="H1078" s="155">
        <v>4.0000000000000002E-4</v>
      </c>
      <c r="I1078" s="154" t="s">
        <v>168</v>
      </c>
      <c r="J1078" s="204">
        <v>7.7567199999999995E-6</v>
      </c>
      <c r="K1078" s="154" t="s">
        <v>13</v>
      </c>
      <c r="L1078" s="154" t="str">
        <f>IF(OpenLCAbasic!K1078="CTUh", "Fill in Manually",IF(OR(K1078="Unit", K1078=""), "", INDEX(LookUps!$E$5:$E$12, MATCH(OpenLCAbasic!K1078,LookUps!$D$5:$D$12,0))))</f>
        <v>Eutrophication Potential (EP) - kg N eq</v>
      </c>
      <c r="M1078" s="154" t="str">
        <f t="shared" si="56"/>
        <v>Base_High_Low_Upgraded_Eutrophication Potential (EP) - kg N eq_ClearCove SCP; wastewater treatment unit; at updated plant - US_Base_With Amendment_Windrow</v>
      </c>
    </row>
    <row r="1079" spans="1:13" s="120" customFormat="1" x14ac:dyDescent="0.25">
      <c r="A1079" s="119"/>
      <c r="B1079" s="138" t="str">
        <f t="shared" si="55"/>
        <v>Windrow</v>
      </c>
      <c r="C1079" s="138" t="str">
        <f t="shared" si="57"/>
        <v>Base_With Amendment</v>
      </c>
      <c r="D1079" s="118" t="s">
        <v>138</v>
      </c>
      <c r="E1079" s="118" t="s">
        <v>130</v>
      </c>
      <c r="F1079" s="118" t="s">
        <v>46</v>
      </c>
      <c r="G1079" s="153"/>
      <c r="H1079" s="155">
        <v>-2.2700000000000001E-2</v>
      </c>
      <c r="I1079" s="154" t="s">
        <v>149</v>
      </c>
      <c r="J1079" s="204">
        <v>-4.0999999999999999E-4</v>
      </c>
      <c r="K1079" s="154" t="s">
        <v>13</v>
      </c>
      <c r="L1079" s="154" t="str">
        <f>IF(OpenLCAbasic!K1079="CTUh", "Fill in Manually",IF(OR(K1079="Unit", K1079=""), "", INDEX(LookUps!$E$5:$E$12, MATCH(OpenLCAbasic!K1079,LookUps!$D$5:$D$12,0))))</f>
        <v>Eutrophication Potential (EP) - kg N eq</v>
      </c>
      <c r="M1079" s="154" t="str">
        <f t="shared" si="56"/>
        <v>Base_High_Low_Upgraded_Eutrophication Potential (EP) - kg N eq_Anaerobic Digestion; wastewater treatment unit; at updated plant - US_Base_With Amendment_Windrow</v>
      </c>
    </row>
    <row r="1080" spans="1:13" s="120" customFormat="1" x14ac:dyDescent="0.25">
      <c r="A1080" s="119"/>
      <c r="B1080" s="138" t="str">
        <f t="shared" si="55"/>
        <v>Windrow</v>
      </c>
      <c r="C1080" s="138" t="str">
        <f t="shared" si="57"/>
        <v>Base_With Amendment</v>
      </c>
      <c r="D1080" s="118" t="s">
        <v>138</v>
      </c>
      <c r="E1080" s="118" t="s">
        <v>130</v>
      </c>
      <c r="F1080" s="118" t="s">
        <v>46</v>
      </c>
      <c r="G1080" s="153" t="s">
        <v>51</v>
      </c>
      <c r="H1080" s="154"/>
      <c r="I1080" s="154" t="s">
        <v>47</v>
      </c>
      <c r="J1080" s="154" t="s">
        <v>52</v>
      </c>
      <c r="K1080" s="154" t="s">
        <v>27</v>
      </c>
      <c r="L1080" s="154" t="str">
        <f>IF(OpenLCAbasic!K1080="CTUh", "Fill in Manually",IF(OR(K1080="Unit", K1080=""), "", INDEX(LookUps!$E$5:$E$12, MATCH(OpenLCAbasic!K1080,LookUps!$D$5:$D$12,0))))</f>
        <v/>
      </c>
      <c r="M1080" s="154" t="str">
        <f t="shared" si="56"/>
        <v>Base_High_Low_Upgraded__Process_Base_With Amendment_Windrow</v>
      </c>
    </row>
    <row r="1081" spans="1:13" s="120" customFormat="1" x14ac:dyDescent="0.25">
      <c r="A1081" s="119"/>
      <c r="B1081" s="138" t="str">
        <f t="shared" si="55"/>
        <v>Windrow</v>
      </c>
      <c r="C1081" s="138" t="str">
        <f t="shared" si="57"/>
        <v>Base_With Amendment</v>
      </c>
      <c r="D1081" s="118" t="s">
        <v>138</v>
      </c>
      <c r="E1081" s="118" t="s">
        <v>130</v>
      </c>
      <c r="F1081" s="118" t="s">
        <v>46</v>
      </c>
      <c r="G1081" s="153"/>
      <c r="H1081" s="155">
        <v>0.62250000000000005</v>
      </c>
      <c r="I1081" s="154" t="s">
        <v>167</v>
      </c>
      <c r="J1081" s="157">
        <v>5.1393399999999998</v>
      </c>
      <c r="K1081" s="154" t="s">
        <v>15</v>
      </c>
      <c r="L1081" s="154" t="str">
        <f>IF(OpenLCAbasic!K1081="CTUh", "Fill in Manually",IF(OR(K1081="Unit", K1081=""), "", INDEX(LookUps!$E$5:$E$12, MATCH(OpenLCAbasic!K1081,LookUps!$D$5:$D$12,0))))</f>
        <v>Cumulative Energy Demand (CED) - MJ</v>
      </c>
      <c r="M1081" s="154" t="str">
        <f t="shared" si="56"/>
        <v>Base_High_Low_Upgraded_Cumulative Energy Demand (CED) - MJ_Waste Receiving and Holding; wastewater treatment unit; at updated plant - US_Base_With Amendment_Windrow</v>
      </c>
    </row>
    <row r="1082" spans="1:13" s="120" customFormat="1" x14ac:dyDescent="0.25">
      <c r="A1082" s="119"/>
      <c r="B1082" s="138" t="str">
        <f t="shared" si="55"/>
        <v>Windrow</v>
      </c>
      <c r="C1082" s="138" t="str">
        <f t="shared" si="57"/>
        <v>Base_With Amendment</v>
      </c>
      <c r="D1082" s="118" t="s">
        <v>138</v>
      </c>
      <c r="E1082" s="118" t="s">
        <v>130</v>
      </c>
      <c r="F1082" s="118" t="s">
        <v>46</v>
      </c>
      <c r="G1082" s="153"/>
      <c r="H1082" s="155">
        <v>0.4279</v>
      </c>
      <c r="I1082" s="154" t="s">
        <v>55</v>
      </c>
      <c r="J1082" s="157">
        <v>3.5330499999999998</v>
      </c>
      <c r="K1082" s="154" t="s">
        <v>15</v>
      </c>
      <c r="L1082" s="154" t="str">
        <f>IF(OpenLCAbasic!K1082="CTUh", "Fill in Manually",IF(OR(K1082="Unit", K1082=""), "", INDEX(LookUps!$E$5:$E$12, MATCH(OpenLCAbasic!K1082,LookUps!$D$5:$D$12,0))))</f>
        <v>Cumulative Energy Demand (CED) - MJ</v>
      </c>
      <c r="M1082" s="154" t="str">
        <f t="shared" si="56"/>
        <v>Base_High_Low_Upgraded_Cumulative Energy Demand (CED) - MJ_Aeration Tanks; wastewater treatment unit; at updated plant - US_Base_With Amendment_Windrow</v>
      </c>
    </row>
    <row r="1083" spans="1:13" s="120" customFormat="1" x14ac:dyDescent="0.25">
      <c r="A1083" s="119"/>
      <c r="B1083" s="138" t="str">
        <f t="shared" si="55"/>
        <v>Windrow</v>
      </c>
      <c r="C1083" s="138" t="str">
        <f t="shared" si="57"/>
        <v>Base_With Amendment</v>
      </c>
      <c r="D1083" s="118" t="s">
        <v>138</v>
      </c>
      <c r="E1083" s="118" t="s">
        <v>130</v>
      </c>
      <c r="F1083" s="118" t="s">
        <v>46</v>
      </c>
      <c r="G1083" s="153"/>
      <c r="H1083" s="155">
        <v>0.1409</v>
      </c>
      <c r="I1083" s="154" t="s">
        <v>54</v>
      </c>
      <c r="J1083" s="157">
        <v>1.16289</v>
      </c>
      <c r="K1083" s="154" t="s">
        <v>15</v>
      </c>
      <c r="L1083" s="154" t="str">
        <f>IF(OpenLCAbasic!K1083="CTUh", "Fill in Manually",IF(OR(K1083="Unit", K1083=""), "", INDEX(LookUps!$E$5:$E$12, MATCH(OpenLCAbasic!K1083,LookUps!$D$5:$D$12,0))))</f>
        <v>Cumulative Energy Demand (CED) - MJ</v>
      </c>
      <c r="M1083" s="154" t="str">
        <f t="shared" si="56"/>
        <v>Base_High_Low_Upgraded_Cumulative Energy Demand (CED) - MJ_Clear Cove Primary Clarification; wastewater treatment unit; at updated plant - US_Base_With Amendment_Windrow</v>
      </c>
    </row>
    <row r="1084" spans="1:13" s="120" customFormat="1" x14ac:dyDescent="0.25">
      <c r="A1084" s="119"/>
      <c r="B1084" s="138" t="str">
        <f t="shared" si="55"/>
        <v>Windrow</v>
      </c>
      <c r="C1084" s="138" t="str">
        <f t="shared" si="57"/>
        <v>Base_With Amendment</v>
      </c>
      <c r="D1084" s="118" t="s">
        <v>138</v>
      </c>
      <c r="E1084" s="118" t="s">
        <v>130</v>
      </c>
      <c r="F1084" s="118" t="s">
        <v>46</v>
      </c>
      <c r="G1084" s="153"/>
      <c r="H1084" s="155">
        <v>0.1079</v>
      </c>
      <c r="I1084" s="154" t="s">
        <v>58</v>
      </c>
      <c r="J1084" s="203">
        <v>0.89063999999999999</v>
      </c>
      <c r="K1084" s="154" t="s">
        <v>15</v>
      </c>
      <c r="L1084" s="154" t="str">
        <f>IF(OpenLCAbasic!K1084="CTUh", "Fill in Manually",IF(OR(K1084="Unit", K1084=""), "", INDEX(LookUps!$E$5:$E$12, MATCH(OpenLCAbasic!K1084,LookUps!$D$5:$D$12,0))))</f>
        <v>Cumulative Energy Demand (CED) - MJ</v>
      </c>
      <c r="M1084" s="154" t="str">
        <f t="shared" si="56"/>
        <v>Base_High_Low_Upgraded_Cumulative Energy Demand (CED) - MJ_Pre-Anoxic &amp; Swing tank; wastewater treatment unit; at updated plant - US_Base_With Amendment_Windrow</v>
      </c>
    </row>
    <row r="1085" spans="1:13" s="120" customFormat="1" x14ac:dyDescent="0.25">
      <c r="A1085" s="119"/>
      <c r="B1085" s="138" t="str">
        <f t="shared" si="55"/>
        <v>Windrow</v>
      </c>
      <c r="C1085" s="138" t="str">
        <f t="shared" si="57"/>
        <v>Base_With Amendment</v>
      </c>
      <c r="D1085" s="118" t="s">
        <v>138</v>
      </c>
      <c r="E1085" s="118" t="s">
        <v>130</v>
      </c>
      <c r="F1085" s="118" t="s">
        <v>46</v>
      </c>
      <c r="G1085" s="153"/>
      <c r="H1085" s="155">
        <v>0.1069</v>
      </c>
      <c r="I1085" s="154" t="s">
        <v>147</v>
      </c>
      <c r="J1085" s="203">
        <v>0.88297000000000003</v>
      </c>
      <c r="K1085" s="154" t="s">
        <v>15</v>
      </c>
      <c r="L1085" s="154" t="str">
        <f>IF(OpenLCAbasic!K1085="CTUh", "Fill in Manually",IF(OR(K1085="Unit", K1085=""), "", INDEX(LookUps!$E$5:$E$12, MATCH(OpenLCAbasic!K1085,LookUps!$D$5:$D$12,0))))</f>
        <v>Cumulative Energy Demand (CED) - MJ</v>
      </c>
      <c r="M1085" s="154" t="str">
        <f t="shared" si="56"/>
        <v>Base_High_Low_Upgraded_Cumulative Energy Demand (CED) - MJ_Influent Pump Station; wastewater treatment unit; at updated plant - US_Base_With Amendment_Windrow</v>
      </c>
    </row>
    <row r="1086" spans="1:13" s="120" customFormat="1" x14ac:dyDescent="0.25">
      <c r="A1086" s="119"/>
      <c r="B1086" s="138" t="str">
        <f t="shared" si="55"/>
        <v>Windrow</v>
      </c>
      <c r="C1086" s="138" t="str">
        <f t="shared" si="57"/>
        <v>Base_With Amendment</v>
      </c>
      <c r="D1086" s="118" t="s">
        <v>138</v>
      </c>
      <c r="E1086" s="118" t="s">
        <v>130</v>
      </c>
      <c r="F1086" s="118" t="s">
        <v>46</v>
      </c>
      <c r="G1086" s="153"/>
      <c r="H1086" s="155">
        <v>8.4400000000000003E-2</v>
      </c>
      <c r="I1086" s="154" t="s">
        <v>53</v>
      </c>
      <c r="J1086" s="203">
        <v>0.69645000000000001</v>
      </c>
      <c r="K1086" s="154" t="s">
        <v>15</v>
      </c>
      <c r="L1086" s="154" t="str">
        <f>IF(OpenLCAbasic!K1086="CTUh", "Fill in Manually",IF(OR(K1086="Unit", K1086=""), "", INDEX(LookUps!$E$5:$E$12, MATCH(OpenLCAbasic!K1086,LookUps!$D$5:$D$12,0))))</f>
        <v>Cumulative Energy Demand (CED) - MJ</v>
      </c>
      <c r="M1086" s="154" t="str">
        <f t="shared" si="56"/>
        <v>Base_High_Low_Upgraded_Cumulative Energy Demand (CED) - MJ_Wet Well and Sump Station; wastewater treatment unit; at updated plant - US_Base_With Amendment_Windrow</v>
      </c>
    </row>
    <row r="1087" spans="1:13" s="120" customFormat="1" x14ac:dyDescent="0.25">
      <c r="A1087" s="119"/>
      <c r="B1087" s="138" t="str">
        <f t="shared" si="55"/>
        <v>Windrow</v>
      </c>
      <c r="C1087" s="138" t="str">
        <f t="shared" si="57"/>
        <v>Base_With Amendment</v>
      </c>
      <c r="D1087" s="118" t="s">
        <v>138</v>
      </c>
      <c r="E1087" s="118" t="s">
        <v>130</v>
      </c>
      <c r="F1087" s="118" t="s">
        <v>46</v>
      </c>
      <c r="G1087" s="153"/>
      <c r="H1087" s="155">
        <v>7.5999999999999998E-2</v>
      </c>
      <c r="I1087" s="154" t="s">
        <v>60</v>
      </c>
      <c r="J1087" s="203">
        <v>0.62775999999999998</v>
      </c>
      <c r="K1087" s="154" t="s">
        <v>15</v>
      </c>
      <c r="L1087" s="154" t="str">
        <f>IF(OpenLCAbasic!K1087="CTUh", "Fill in Manually",IF(OR(K1087="Unit", K1087=""), "", INDEX(LookUps!$E$5:$E$12, MATCH(OpenLCAbasic!K1087,LookUps!$D$5:$D$12,0))))</f>
        <v>Cumulative Energy Demand (CED) - MJ</v>
      </c>
      <c r="M1087" s="154" t="str">
        <f t="shared" si="56"/>
        <v>Base_High_Low_Upgraded_Cumulative Energy Demand (CED) - MJ_Belt filter press; wastewater treatment unit; at updated plant - US_Base_With Amendment_Windrow</v>
      </c>
    </row>
    <row r="1088" spans="1:13" s="120" customFormat="1" x14ac:dyDescent="0.25">
      <c r="A1088" s="119"/>
      <c r="B1088" s="138" t="str">
        <f t="shared" si="55"/>
        <v>Windrow</v>
      </c>
      <c r="C1088" s="138" t="str">
        <f t="shared" si="57"/>
        <v>Base_With Amendment</v>
      </c>
      <c r="D1088" s="118" t="s">
        <v>138</v>
      </c>
      <c r="E1088" s="118" t="s">
        <v>130</v>
      </c>
      <c r="F1088" s="118" t="s">
        <v>46</v>
      </c>
      <c r="G1088" s="153"/>
      <c r="H1088" s="155">
        <v>4.0500000000000001E-2</v>
      </c>
      <c r="I1088" s="154" t="s">
        <v>57</v>
      </c>
      <c r="J1088" s="203">
        <v>0.33404</v>
      </c>
      <c r="K1088" s="154" t="s">
        <v>15</v>
      </c>
      <c r="L1088" s="154" t="str">
        <f>IF(OpenLCAbasic!K1088="CTUh", "Fill in Manually",IF(OR(K1088="Unit", K1088=""), "", INDEX(LookUps!$E$5:$E$12, MATCH(OpenLCAbasic!K1088,LookUps!$D$5:$D$12,0))))</f>
        <v>Cumulative Energy Demand (CED) - MJ</v>
      </c>
      <c r="M1088" s="154" t="str">
        <f t="shared" si="56"/>
        <v>Base_High_Low_Upgraded_Cumulative Energy Demand (CED) - MJ_Gravity Belt Thickener; wastewater treatment unit; at updated plant - US_Base_With Amendment_Windrow</v>
      </c>
    </row>
    <row r="1089" spans="1:13" s="120" customFormat="1" x14ac:dyDescent="0.25">
      <c r="A1089" s="119"/>
      <c r="B1089" s="138" t="str">
        <f t="shared" si="55"/>
        <v>Windrow</v>
      </c>
      <c r="C1089" s="138" t="str">
        <f t="shared" si="57"/>
        <v>Base_With Amendment</v>
      </c>
      <c r="D1089" s="118" t="s">
        <v>138</v>
      </c>
      <c r="E1089" s="118" t="s">
        <v>130</v>
      </c>
      <c r="F1089" s="118" t="s">
        <v>46</v>
      </c>
      <c r="G1089" s="153"/>
      <c r="H1089" s="155">
        <v>3.1E-2</v>
      </c>
      <c r="I1089" s="154" t="s">
        <v>128</v>
      </c>
      <c r="J1089" s="203">
        <v>0.25606000000000001</v>
      </c>
      <c r="K1089" s="154" t="s">
        <v>15</v>
      </c>
      <c r="L1089" s="154" t="str">
        <f>IF(OpenLCAbasic!K1089="CTUh", "Fill in Manually",IF(OR(K1089="Unit", K1089=""), "", INDEX(LookUps!$E$5:$E$12, MATCH(OpenLCAbasic!K1089,LookUps!$D$5:$D$12,0))))</f>
        <v>Cumulative Energy Demand (CED) - MJ</v>
      </c>
      <c r="M1089" s="154" t="str">
        <f t="shared" si="56"/>
        <v>Base_High_Low_Upgraded_Cumulative Energy Demand (CED) - MJ_Wastewater collection; operation and infrastructure; m3 wastewater_Base_With Amendment_Windrow</v>
      </c>
    </row>
    <row r="1090" spans="1:13" s="120" customFormat="1" x14ac:dyDescent="0.25">
      <c r="A1090" s="119"/>
      <c r="B1090" s="138" t="str">
        <f t="shared" si="55"/>
        <v>Windrow</v>
      </c>
      <c r="C1090" s="138" t="str">
        <f t="shared" si="57"/>
        <v>Base_With Amendment</v>
      </c>
      <c r="D1090" s="118" t="s">
        <v>138</v>
      </c>
      <c r="E1090" s="118" t="s">
        <v>130</v>
      </c>
      <c r="F1090" s="118" t="s">
        <v>46</v>
      </c>
      <c r="G1090" s="153"/>
      <c r="H1090" s="155">
        <v>1.77E-2</v>
      </c>
      <c r="I1090" s="154" t="s">
        <v>148</v>
      </c>
      <c r="J1090" s="203">
        <v>0.14599000000000001</v>
      </c>
      <c r="K1090" s="154" t="s">
        <v>15</v>
      </c>
      <c r="L1090" s="154" t="str">
        <f>IF(OpenLCAbasic!K1090="CTUh", "Fill in Manually",IF(OR(K1090="Unit", K1090=""), "", INDEX(LookUps!$E$5:$E$12, MATCH(OpenLCAbasic!K1090,LookUps!$D$5:$D$12,0))))</f>
        <v>Cumulative Energy Demand (CED) - MJ</v>
      </c>
      <c r="M1090" s="154" t="str">
        <f t="shared" si="56"/>
        <v>Base_High_Low_Upgraded_Cumulative Energy Demand (CED) - MJ_Control Building; at upgraded wastewater treatment plant - US_Base_With Amendment_Windrow</v>
      </c>
    </row>
    <row r="1091" spans="1:13" s="120" customFormat="1" x14ac:dyDescent="0.25">
      <c r="A1091" s="119"/>
      <c r="B1091" s="138" t="str">
        <f t="shared" si="55"/>
        <v>Windrow</v>
      </c>
      <c r="C1091" s="138" t="str">
        <f t="shared" si="57"/>
        <v>Base_With Amendment</v>
      </c>
      <c r="D1091" s="118" t="s">
        <v>138</v>
      </c>
      <c r="E1091" s="118" t="s">
        <v>130</v>
      </c>
      <c r="F1091" s="118" t="s">
        <v>46</v>
      </c>
      <c r="G1091" s="153"/>
      <c r="H1091" s="155">
        <v>1.61E-2</v>
      </c>
      <c r="I1091" s="154" t="s">
        <v>48</v>
      </c>
      <c r="J1091" s="203">
        <v>0.13321</v>
      </c>
      <c r="K1091" s="154" t="s">
        <v>15</v>
      </c>
      <c r="L1091" s="154" t="str">
        <f>IF(OpenLCAbasic!K1091="CTUh", "Fill in Manually",IF(OR(K1091="Unit", K1091=""), "", INDEX(LookUps!$E$5:$E$12, MATCH(OpenLCAbasic!K1091,LookUps!$D$5:$D$12,0))))</f>
        <v>Cumulative Energy Demand (CED) - MJ</v>
      </c>
      <c r="M1091" s="154" t="str">
        <f t="shared" si="56"/>
        <v>Base_High_Low_Upgraded_Cumulative Energy Demand (CED) - MJ_Effluent release; wastewater treatment unit; at surface water; m3 wastewater - US_Base_With Amendment_Windrow</v>
      </c>
    </row>
    <row r="1092" spans="1:13" s="120" customFormat="1" x14ac:dyDescent="0.25">
      <c r="A1092" s="119"/>
      <c r="B1092" s="138" t="str">
        <f t="shared" si="55"/>
        <v>Windrow</v>
      </c>
      <c r="C1092" s="138" t="str">
        <f t="shared" si="57"/>
        <v>Base_With Amendment</v>
      </c>
      <c r="D1092" s="118" t="s">
        <v>138</v>
      </c>
      <c r="E1092" s="118" t="s">
        <v>130</v>
      </c>
      <c r="F1092" s="118" t="s">
        <v>46</v>
      </c>
      <c r="G1092" s="153"/>
      <c r="H1092" s="155">
        <v>1.29E-2</v>
      </c>
      <c r="I1092" s="154" t="s">
        <v>59</v>
      </c>
      <c r="J1092" s="203">
        <v>0.10638</v>
      </c>
      <c r="K1092" s="154" t="s">
        <v>15</v>
      </c>
      <c r="L1092" s="154" t="str">
        <f>IF(OpenLCAbasic!K1092="CTUh", "Fill in Manually",IF(OR(K1092="Unit", K1092=""), "", INDEX(LookUps!$E$5:$E$12, MATCH(OpenLCAbasic!K1092,LookUps!$D$5:$D$12,0))))</f>
        <v>Cumulative Energy Demand (CED) - MJ</v>
      </c>
      <c r="M1092" s="154" t="str">
        <f t="shared" si="56"/>
        <v>Base_High_Low_Upgraded_Cumulative Energy Demand (CED) - MJ_Blend Tank; wastewater treatment unit; at updated plant - US_Base_With Amendment_Windrow</v>
      </c>
    </row>
    <row r="1093" spans="1:13" s="120" customFormat="1" x14ac:dyDescent="0.25">
      <c r="A1093" s="119"/>
      <c r="B1093" s="138" t="str">
        <f t="shared" si="55"/>
        <v>Windrow</v>
      </c>
      <c r="C1093" s="138" t="str">
        <f t="shared" si="57"/>
        <v>Base_With Amendment</v>
      </c>
      <c r="D1093" s="118" t="s">
        <v>138</v>
      </c>
      <c r="E1093" s="118" t="s">
        <v>130</v>
      </c>
      <c r="F1093" s="118" t="s">
        <v>46</v>
      </c>
      <c r="G1093" s="153"/>
      <c r="H1093" s="155">
        <v>6.1999999999999998E-3</v>
      </c>
      <c r="I1093" s="154" t="s">
        <v>168</v>
      </c>
      <c r="J1093" s="203">
        <v>5.0930000000000003E-2</v>
      </c>
      <c r="K1093" s="154" t="s">
        <v>15</v>
      </c>
      <c r="L1093" s="154" t="str">
        <f>IF(OpenLCAbasic!K1093="CTUh", "Fill in Manually",IF(OR(K1093="Unit", K1093=""), "", INDEX(LookUps!$E$5:$E$12, MATCH(OpenLCAbasic!K1093,LookUps!$D$5:$D$12,0))))</f>
        <v>Cumulative Energy Demand (CED) - MJ</v>
      </c>
      <c r="M1093" s="154" t="str">
        <f t="shared" si="56"/>
        <v>Base_High_Low_Upgraded_Cumulative Energy Demand (CED) - MJ_ClearCove SCP; wastewater treatment unit; at updated plant - US_Base_With Amendment_Windrow</v>
      </c>
    </row>
    <row r="1094" spans="1:13" s="120" customFormat="1" x14ac:dyDescent="0.25">
      <c r="A1094" s="119"/>
      <c r="B1094" s="138" t="str">
        <f t="shared" si="55"/>
        <v>Windrow</v>
      </c>
      <c r="C1094" s="138" t="str">
        <f t="shared" si="57"/>
        <v>Base_With Amendment</v>
      </c>
      <c r="D1094" s="118" t="s">
        <v>138</v>
      </c>
      <c r="E1094" s="118" t="s">
        <v>130</v>
      </c>
      <c r="F1094" s="118" t="s">
        <v>46</v>
      </c>
      <c r="G1094" s="153"/>
      <c r="H1094" s="155">
        <v>5.4999999999999997E-3</v>
      </c>
      <c r="I1094" s="154" t="s">
        <v>271</v>
      </c>
      <c r="J1094" s="203">
        <v>4.5190000000000001E-2</v>
      </c>
      <c r="K1094" s="154" t="s">
        <v>15</v>
      </c>
      <c r="L1094" s="154" t="str">
        <f>IF(OpenLCAbasic!K1094="CTUh", "Fill in Manually",IF(OR(K1094="Unit", K1094=""), "", INDEX(LookUps!$E$5:$E$12, MATCH(OpenLCAbasic!K1094,LookUps!$D$5:$D$12,0))))</f>
        <v>Cumulative Energy Demand (CED) - MJ</v>
      </c>
      <c r="M1094" s="154" t="str">
        <f t="shared" si="56"/>
        <v>Base_High_Low_Upgraded_Cumulative Energy Demand (CED) - MJ_Biosolids composting; windrow composting; wastewater treatment unit; at updated plant - US_Base_With Amendment_Windrow</v>
      </c>
    </row>
    <row r="1095" spans="1:13" s="120" customFormat="1" x14ac:dyDescent="0.25">
      <c r="A1095" s="119"/>
      <c r="B1095" s="138" t="str">
        <f t="shared" ref="B1095:B1158" si="58">IF(F1095="Legacy","n.a.",IF(F1095="","","Windrow"))</f>
        <v>Windrow</v>
      </c>
      <c r="C1095" s="138" t="str">
        <f t="shared" si="57"/>
        <v>Base_With Amendment</v>
      </c>
      <c r="D1095" s="118" t="s">
        <v>138</v>
      </c>
      <c r="E1095" s="118" t="s">
        <v>130</v>
      </c>
      <c r="F1095" s="118" t="s">
        <v>46</v>
      </c>
      <c r="G1095" s="153"/>
      <c r="H1095" s="155">
        <v>-0.1152</v>
      </c>
      <c r="I1095" s="154" t="s">
        <v>62</v>
      </c>
      <c r="J1095" s="157">
        <v>-0.95125000000000004</v>
      </c>
      <c r="K1095" s="154" t="s">
        <v>15</v>
      </c>
      <c r="L1095" s="154" t="str">
        <f>IF(OpenLCAbasic!K1095="CTUh", "Fill in Manually",IF(OR(K1095="Unit", K1095=""), "", INDEX(LookUps!$E$5:$E$12, MATCH(OpenLCAbasic!K1095,LookUps!$D$5:$D$12,0))))</f>
        <v>Cumulative Energy Demand (CED) - MJ</v>
      </c>
      <c r="M1095" s="154" t="str">
        <f t="shared" si="56"/>
        <v>Base_High_Low_Upgraded_Cumulative Energy Demand (CED) - MJ_Land application of compost; wastewater treatment unit; at updated plant - US_Base_With Amendment_Windrow</v>
      </c>
    </row>
    <row r="1096" spans="1:13" s="120" customFormat="1" x14ac:dyDescent="0.25">
      <c r="A1096" s="119"/>
      <c r="B1096" s="138" t="str">
        <f t="shared" si="58"/>
        <v>Windrow</v>
      </c>
      <c r="C1096" s="138" t="str">
        <f t="shared" si="57"/>
        <v>Base_With Amendment</v>
      </c>
      <c r="D1096" s="118" t="s">
        <v>138</v>
      </c>
      <c r="E1096" s="118" t="s">
        <v>130</v>
      </c>
      <c r="F1096" s="118" t="s">
        <v>46</v>
      </c>
      <c r="G1096" s="153"/>
      <c r="H1096" s="155">
        <v>-0.58109999999999995</v>
      </c>
      <c r="I1096" s="154" t="s">
        <v>149</v>
      </c>
      <c r="J1096" s="157">
        <v>-4.7974600000000001</v>
      </c>
      <c r="K1096" s="154" t="s">
        <v>15</v>
      </c>
      <c r="L1096" s="154" t="str">
        <f>IF(OpenLCAbasic!K1096="CTUh", "Fill in Manually",IF(OR(K1096="Unit", K1096=""), "", INDEX(LookUps!$E$5:$E$12, MATCH(OpenLCAbasic!K1096,LookUps!$D$5:$D$12,0))))</f>
        <v>Cumulative Energy Demand (CED) - MJ</v>
      </c>
      <c r="M1096" s="154" t="str">
        <f t="shared" ref="M1096:M1159" si="59">CONCATENATE(E1096,"_",D1096,"_",F1096,"_",L1096, "_",I1096,"_", C1096,"_", B1096)</f>
        <v>Base_High_Low_Upgraded_Cumulative Energy Demand (CED) - MJ_Anaerobic Digestion; wastewater treatment unit; at updated plant - US_Base_With Amendment_Windrow</v>
      </c>
    </row>
    <row r="1097" spans="1:13" s="120" customFormat="1" x14ac:dyDescent="0.25">
      <c r="A1097" s="119"/>
      <c r="B1097" s="138" t="str">
        <f t="shared" si="58"/>
        <v>Windrow</v>
      </c>
      <c r="C1097" s="138" t="str">
        <f t="shared" si="57"/>
        <v>Base_With Amendment</v>
      </c>
      <c r="D1097" s="118" t="s">
        <v>138</v>
      </c>
      <c r="E1097" s="118" t="s">
        <v>130</v>
      </c>
      <c r="F1097" s="118" t="s">
        <v>46</v>
      </c>
      <c r="G1097" s="153" t="s">
        <v>51</v>
      </c>
      <c r="H1097" s="154"/>
      <c r="I1097" s="154" t="s">
        <v>47</v>
      </c>
      <c r="J1097" s="154" t="s">
        <v>52</v>
      </c>
      <c r="K1097" s="154" t="s">
        <v>27</v>
      </c>
      <c r="L1097" s="154" t="str">
        <f>IF(OpenLCAbasic!K1097="CTUh", "Fill in Manually",IF(OR(K1097="Unit", K1097=""), "", INDEX(LookUps!$E$5:$E$12, MATCH(OpenLCAbasic!K1097,LookUps!$D$5:$D$12,0))))</f>
        <v/>
      </c>
      <c r="M1097" s="154" t="str">
        <f t="shared" si="59"/>
        <v>Base_High_Low_Upgraded__Process_Base_With Amendment_Windrow</v>
      </c>
    </row>
    <row r="1098" spans="1:13" s="120" customFormat="1" x14ac:dyDescent="0.25">
      <c r="A1098" s="119"/>
      <c r="B1098" s="138" t="str">
        <f t="shared" si="58"/>
        <v>Windrow</v>
      </c>
      <c r="C1098" s="138" t="str">
        <f t="shared" si="57"/>
        <v>Base_With Amendment</v>
      </c>
      <c r="D1098" s="118" t="s">
        <v>138</v>
      </c>
      <c r="E1098" s="118" t="s">
        <v>130</v>
      </c>
      <c r="F1098" s="118" t="s">
        <v>46</v>
      </c>
      <c r="G1098" s="153"/>
      <c r="H1098" s="155">
        <v>0.39129999999999998</v>
      </c>
      <c r="I1098" s="154" t="s">
        <v>55</v>
      </c>
      <c r="J1098" s="203">
        <v>1.7219999999999999E-2</v>
      </c>
      <c r="K1098" s="154" t="s">
        <v>24</v>
      </c>
      <c r="L1098" s="154" t="str">
        <f>IF(OpenLCAbasic!K1098="CTUh", "Fill in Manually",IF(OR(K1098="Unit", K1098=""), "", INDEX(LookUps!$E$5:$E$12, MATCH(OpenLCAbasic!K1098,LookUps!$D$5:$D$12,0))))</f>
        <v>Acidification Potential (AP) - kg SO2 eq</v>
      </c>
      <c r="M1098" s="154" t="str">
        <f t="shared" si="59"/>
        <v>Base_High_Low_Upgraded_Acidification Potential (AP) - kg SO2 eq_Aeration Tanks; wastewater treatment unit; at updated plant - US_Base_With Amendment_Windrow</v>
      </c>
    </row>
    <row r="1099" spans="1:13" s="120" customFormat="1" x14ac:dyDescent="0.25">
      <c r="A1099" s="119"/>
      <c r="B1099" s="138" t="str">
        <f t="shared" si="58"/>
        <v>Windrow</v>
      </c>
      <c r="C1099" s="138" t="str">
        <f t="shared" si="57"/>
        <v>Base_With Amendment</v>
      </c>
      <c r="D1099" s="118" t="s">
        <v>138</v>
      </c>
      <c r="E1099" s="118" t="s">
        <v>130</v>
      </c>
      <c r="F1099" s="118" t="s">
        <v>46</v>
      </c>
      <c r="G1099" s="153"/>
      <c r="H1099" s="155">
        <v>0.27200000000000002</v>
      </c>
      <c r="I1099" s="154" t="s">
        <v>271</v>
      </c>
      <c r="J1099" s="203">
        <v>1.197E-2</v>
      </c>
      <c r="K1099" s="154" t="s">
        <v>24</v>
      </c>
      <c r="L1099" s="154" t="str">
        <f>IF(OpenLCAbasic!K1099="CTUh", "Fill in Manually",IF(OR(K1099="Unit", K1099=""), "", INDEX(LookUps!$E$5:$E$12, MATCH(OpenLCAbasic!K1099,LookUps!$D$5:$D$12,0))))</f>
        <v>Acidification Potential (AP) - kg SO2 eq</v>
      </c>
      <c r="M1099" s="154" t="str">
        <f t="shared" si="59"/>
        <v>Base_High_Low_Upgraded_Acidification Potential (AP) - kg SO2 eq_Biosolids composting; windrow composting; wastewater treatment unit; at updated plant - US_Base_With Amendment_Windrow</v>
      </c>
    </row>
    <row r="1100" spans="1:13" s="120" customFormat="1" x14ac:dyDescent="0.25">
      <c r="A1100" s="119"/>
      <c r="B1100" s="138" t="str">
        <f t="shared" si="58"/>
        <v>Windrow</v>
      </c>
      <c r="C1100" s="138" t="str">
        <f t="shared" si="57"/>
        <v>Base_With Amendment</v>
      </c>
      <c r="D1100" s="118" t="s">
        <v>138</v>
      </c>
      <c r="E1100" s="118" t="s">
        <v>130</v>
      </c>
      <c r="F1100" s="118" t="s">
        <v>46</v>
      </c>
      <c r="G1100" s="153"/>
      <c r="H1100" s="155">
        <v>0.13</v>
      </c>
      <c r="I1100" s="154" t="s">
        <v>62</v>
      </c>
      <c r="J1100" s="204">
        <v>5.7200000000000003E-3</v>
      </c>
      <c r="K1100" s="154" t="s">
        <v>24</v>
      </c>
      <c r="L1100" s="154" t="str">
        <f>IF(OpenLCAbasic!K1100="CTUh", "Fill in Manually",IF(OR(K1100="Unit", K1100=""), "", INDEX(LookUps!$E$5:$E$12, MATCH(OpenLCAbasic!K1100,LookUps!$D$5:$D$12,0))))</f>
        <v>Acidification Potential (AP) - kg SO2 eq</v>
      </c>
      <c r="M1100" s="154" t="str">
        <f t="shared" si="59"/>
        <v>Base_High_Low_Upgraded_Acidification Potential (AP) - kg SO2 eq_Land application of compost; wastewater treatment unit; at updated plant - US_Base_With Amendment_Windrow</v>
      </c>
    </row>
    <row r="1101" spans="1:13" s="120" customFormat="1" x14ac:dyDescent="0.25">
      <c r="A1101" s="119"/>
      <c r="B1101" s="138" t="str">
        <f t="shared" si="58"/>
        <v>Windrow</v>
      </c>
      <c r="C1101" s="138" t="str">
        <f t="shared" si="57"/>
        <v>Base_With Amendment</v>
      </c>
      <c r="D1101" s="118" t="s">
        <v>138</v>
      </c>
      <c r="E1101" s="118" t="s">
        <v>130</v>
      </c>
      <c r="F1101" s="118" t="s">
        <v>46</v>
      </c>
      <c r="G1101" s="153"/>
      <c r="H1101" s="155">
        <v>0.1132</v>
      </c>
      <c r="I1101" s="154" t="s">
        <v>54</v>
      </c>
      <c r="J1101" s="204">
        <v>4.9800000000000001E-3</v>
      </c>
      <c r="K1101" s="154" t="s">
        <v>24</v>
      </c>
      <c r="L1101" s="154" t="str">
        <f>IF(OpenLCAbasic!K1101="CTUh", "Fill in Manually",IF(OR(K1101="Unit", K1101=""), "", INDEX(LookUps!$E$5:$E$12, MATCH(OpenLCAbasic!K1101,LookUps!$D$5:$D$12,0))))</f>
        <v>Acidification Potential (AP) - kg SO2 eq</v>
      </c>
      <c r="M1101" s="154" t="str">
        <f t="shared" si="59"/>
        <v>Base_High_Low_Upgraded_Acidification Potential (AP) - kg SO2 eq_Clear Cove Primary Clarification; wastewater treatment unit; at updated plant - US_Base_With Amendment_Windrow</v>
      </c>
    </row>
    <row r="1102" spans="1:13" s="120" customFormat="1" x14ac:dyDescent="0.25">
      <c r="A1102" s="119"/>
      <c r="B1102" s="138" t="str">
        <f t="shared" si="58"/>
        <v>Windrow</v>
      </c>
      <c r="C1102" s="138" t="str">
        <f t="shared" si="57"/>
        <v>Base_With Amendment</v>
      </c>
      <c r="D1102" s="118" t="s">
        <v>138</v>
      </c>
      <c r="E1102" s="118" t="s">
        <v>130</v>
      </c>
      <c r="F1102" s="118" t="s">
        <v>46</v>
      </c>
      <c r="G1102" s="153"/>
      <c r="H1102" s="155">
        <v>9.9199999999999997E-2</v>
      </c>
      <c r="I1102" s="154" t="s">
        <v>58</v>
      </c>
      <c r="J1102" s="204">
        <v>4.3600000000000002E-3</v>
      </c>
      <c r="K1102" s="154" t="s">
        <v>24</v>
      </c>
      <c r="L1102" s="154" t="str">
        <f>IF(OpenLCAbasic!K1102="CTUh", "Fill in Manually",IF(OR(K1102="Unit", K1102=""), "", INDEX(LookUps!$E$5:$E$12, MATCH(OpenLCAbasic!K1102,LookUps!$D$5:$D$12,0))))</f>
        <v>Acidification Potential (AP) - kg SO2 eq</v>
      </c>
      <c r="M1102" s="154" t="str">
        <f t="shared" si="59"/>
        <v>Base_High_Low_Upgraded_Acidification Potential (AP) - kg SO2 eq_Pre-Anoxic &amp; Swing tank; wastewater treatment unit; at updated plant - US_Base_With Amendment_Windrow</v>
      </c>
    </row>
    <row r="1103" spans="1:13" s="120" customFormat="1" x14ac:dyDescent="0.25">
      <c r="A1103" s="119"/>
      <c r="B1103" s="138" t="str">
        <f t="shared" si="58"/>
        <v>Windrow</v>
      </c>
      <c r="C1103" s="138" t="str">
        <f t="shared" ref="C1103:C1166" si="60">IF(E1103&lt;&gt;"", "Base_With Amendment","")</f>
        <v>Base_With Amendment</v>
      </c>
      <c r="D1103" s="118" t="s">
        <v>138</v>
      </c>
      <c r="E1103" s="118" t="s">
        <v>130</v>
      </c>
      <c r="F1103" s="118" t="s">
        <v>46</v>
      </c>
      <c r="G1103" s="153"/>
      <c r="H1103" s="155">
        <v>7.8399999999999997E-2</v>
      </c>
      <c r="I1103" s="154" t="s">
        <v>53</v>
      </c>
      <c r="J1103" s="204">
        <v>3.4499999999999999E-3</v>
      </c>
      <c r="K1103" s="154" t="s">
        <v>24</v>
      </c>
      <c r="L1103" s="154" t="str">
        <f>IF(OpenLCAbasic!K1103="CTUh", "Fill in Manually",IF(OR(K1103="Unit", K1103=""), "", INDEX(LookUps!$E$5:$E$12, MATCH(OpenLCAbasic!K1103,LookUps!$D$5:$D$12,0))))</f>
        <v>Acidification Potential (AP) - kg SO2 eq</v>
      </c>
      <c r="M1103" s="154" t="str">
        <f t="shared" si="59"/>
        <v>Base_High_Low_Upgraded_Acidification Potential (AP) - kg SO2 eq_Wet Well and Sump Station; wastewater treatment unit; at updated plant - US_Base_With Amendment_Windrow</v>
      </c>
    </row>
    <row r="1104" spans="1:13" s="120" customFormat="1" x14ac:dyDescent="0.25">
      <c r="A1104" s="119"/>
      <c r="B1104" s="138" t="str">
        <f t="shared" si="58"/>
        <v>Windrow</v>
      </c>
      <c r="C1104" s="138" t="str">
        <f t="shared" si="60"/>
        <v>Base_With Amendment</v>
      </c>
      <c r="D1104" s="118" t="s">
        <v>138</v>
      </c>
      <c r="E1104" s="118" t="s">
        <v>130</v>
      </c>
      <c r="F1104" s="118" t="s">
        <v>46</v>
      </c>
      <c r="G1104" s="153"/>
      <c r="H1104" s="155">
        <v>6.1400000000000003E-2</v>
      </c>
      <c r="I1104" s="154" t="s">
        <v>167</v>
      </c>
      <c r="J1104" s="204">
        <v>2.7000000000000001E-3</v>
      </c>
      <c r="K1104" s="154" t="s">
        <v>24</v>
      </c>
      <c r="L1104" s="154" t="str">
        <f>IF(OpenLCAbasic!K1104="CTUh", "Fill in Manually",IF(OR(K1104="Unit", K1104=""), "", INDEX(LookUps!$E$5:$E$12, MATCH(OpenLCAbasic!K1104,LookUps!$D$5:$D$12,0))))</f>
        <v>Acidification Potential (AP) - kg SO2 eq</v>
      </c>
      <c r="M1104" s="154" t="str">
        <f t="shared" si="59"/>
        <v>Base_High_Low_Upgraded_Acidification Potential (AP) - kg SO2 eq_Waste Receiving and Holding; wastewater treatment unit; at updated plant - US_Base_With Amendment_Windrow</v>
      </c>
    </row>
    <row r="1105" spans="1:13" s="120" customFormat="1" x14ac:dyDescent="0.25">
      <c r="A1105" s="119"/>
      <c r="B1105" s="138" t="str">
        <f t="shared" si="58"/>
        <v>Windrow</v>
      </c>
      <c r="C1105" s="138" t="str">
        <f t="shared" si="60"/>
        <v>Base_With Amendment</v>
      </c>
      <c r="D1105" s="118" t="s">
        <v>138</v>
      </c>
      <c r="E1105" s="118" t="s">
        <v>130</v>
      </c>
      <c r="F1105" s="118" t="s">
        <v>46</v>
      </c>
      <c r="G1105" s="153"/>
      <c r="H1105" s="155">
        <v>4.7E-2</v>
      </c>
      <c r="I1105" s="154" t="s">
        <v>147</v>
      </c>
      <c r="J1105" s="204">
        <v>2.0699999999999998E-3</v>
      </c>
      <c r="K1105" s="154" t="s">
        <v>24</v>
      </c>
      <c r="L1105" s="154" t="str">
        <f>IF(OpenLCAbasic!K1105="CTUh", "Fill in Manually",IF(OR(K1105="Unit", K1105=""), "", INDEX(LookUps!$E$5:$E$12, MATCH(OpenLCAbasic!K1105,LookUps!$D$5:$D$12,0))))</f>
        <v>Acidification Potential (AP) - kg SO2 eq</v>
      </c>
      <c r="M1105" s="154" t="str">
        <f t="shared" si="59"/>
        <v>Base_High_Low_Upgraded_Acidification Potential (AP) - kg SO2 eq_Influent Pump Station; wastewater treatment unit; at updated plant - US_Base_With Amendment_Windrow</v>
      </c>
    </row>
    <row r="1106" spans="1:13" s="120" customFormat="1" x14ac:dyDescent="0.25">
      <c r="A1106" s="119"/>
      <c r="B1106" s="138" t="str">
        <f t="shared" si="58"/>
        <v>Windrow</v>
      </c>
      <c r="C1106" s="138" t="str">
        <f t="shared" si="60"/>
        <v>Base_With Amendment</v>
      </c>
      <c r="D1106" s="118" t="s">
        <v>138</v>
      </c>
      <c r="E1106" s="118" t="s">
        <v>130</v>
      </c>
      <c r="F1106" s="118" t="s">
        <v>46</v>
      </c>
      <c r="G1106" s="153"/>
      <c r="H1106" s="155">
        <v>3.8199999999999998E-2</v>
      </c>
      <c r="I1106" s="154" t="s">
        <v>60</v>
      </c>
      <c r="J1106" s="204">
        <v>1.6800000000000001E-3</v>
      </c>
      <c r="K1106" s="154" t="s">
        <v>24</v>
      </c>
      <c r="L1106" s="154" t="str">
        <f>IF(OpenLCAbasic!K1106="CTUh", "Fill in Manually",IF(OR(K1106="Unit", K1106=""), "", INDEX(LookUps!$E$5:$E$12, MATCH(OpenLCAbasic!K1106,LookUps!$D$5:$D$12,0))))</f>
        <v>Acidification Potential (AP) - kg SO2 eq</v>
      </c>
      <c r="M1106" s="154" t="str">
        <f t="shared" si="59"/>
        <v>Base_High_Low_Upgraded_Acidification Potential (AP) - kg SO2 eq_Belt filter press; wastewater treatment unit; at updated plant - US_Base_With Amendment_Windrow</v>
      </c>
    </row>
    <row r="1107" spans="1:13" s="120" customFormat="1" x14ac:dyDescent="0.25">
      <c r="A1107" s="119"/>
      <c r="B1107" s="138" t="str">
        <f t="shared" si="58"/>
        <v>Windrow</v>
      </c>
      <c r="C1107" s="138" t="str">
        <f t="shared" si="60"/>
        <v>Base_With Amendment</v>
      </c>
      <c r="D1107" s="118" t="s">
        <v>138</v>
      </c>
      <c r="E1107" s="118" t="s">
        <v>130</v>
      </c>
      <c r="F1107" s="118" t="s">
        <v>46</v>
      </c>
      <c r="G1107" s="153"/>
      <c r="H1107" s="155">
        <v>2.8000000000000001E-2</v>
      </c>
      <c r="I1107" s="154" t="s">
        <v>128</v>
      </c>
      <c r="J1107" s="204">
        <v>1.23E-3</v>
      </c>
      <c r="K1107" s="154" t="s">
        <v>24</v>
      </c>
      <c r="L1107" s="154" t="str">
        <f>IF(OpenLCAbasic!K1107="CTUh", "Fill in Manually",IF(OR(K1107="Unit", K1107=""), "", INDEX(LookUps!$E$5:$E$12, MATCH(OpenLCAbasic!K1107,LookUps!$D$5:$D$12,0))))</f>
        <v>Acidification Potential (AP) - kg SO2 eq</v>
      </c>
      <c r="M1107" s="154" t="str">
        <f t="shared" si="59"/>
        <v>Base_High_Low_Upgraded_Acidification Potential (AP) - kg SO2 eq_Wastewater collection; operation and infrastructure; m3 wastewater_Base_With Amendment_Windrow</v>
      </c>
    </row>
    <row r="1108" spans="1:13" s="120" customFormat="1" x14ac:dyDescent="0.25">
      <c r="A1108" s="119"/>
      <c r="B1108" s="138" t="str">
        <f t="shared" si="58"/>
        <v>Windrow</v>
      </c>
      <c r="C1108" s="138" t="str">
        <f t="shared" si="60"/>
        <v>Base_With Amendment</v>
      </c>
      <c r="D1108" s="118" t="s">
        <v>138</v>
      </c>
      <c r="E1108" s="118" t="s">
        <v>130</v>
      </c>
      <c r="F1108" s="118" t="s">
        <v>46</v>
      </c>
      <c r="G1108" s="153"/>
      <c r="H1108" s="155">
        <v>1.6E-2</v>
      </c>
      <c r="I1108" s="154" t="s">
        <v>57</v>
      </c>
      <c r="J1108" s="204">
        <v>6.9999999999999999E-4</v>
      </c>
      <c r="K1108" s="154" t="s">
        <v>24</v>
      </c>
      <c r="L1108" s="154" t="str">
        <f>IF(OpenLCAbasic!K1108="CTUh", "Fill in Manually",IF(OR(K1108="Unit", K1108=""), "", INDEX(LookUps!$E$5:$E$12, MATCH(OpenLCAbasic!K1108,LookUps!$D$5:$D$12,0))))</f>
        <v>Acidification Potential (AP) - kg SO2 eq</v>
      </c>
      <c r="M1108" s="154" t="str">
        <f t="shared" si="59"/>
        <v>Base_High_Low_Upgraded_Acidification Potential (AP) - kg SO2 eq_Gravity Belt Thickener; wastewater treatment unit; at updated plant - US_Base_With Amendment_Windrow</v>
      </c>
    </row>
    <row r="1109" spans="1:13" s="120" customFormat="1" x14ac:dyDescent="0.25">
      <c r="A1109" s="119"/>
      <c r="B1109" s="138" t="str">
        <f t="shared" si="58"/>
        <v>Windrow</v>
      </c>
      <c r="C1109" s="138" t="str">
        <f t="shared" si="60"/>
        <v>Base_With Amendment</v>
      </c>
      <c r="D1109" s="118" t="s">
        <v>138</v>
      </c>
      <c r="E1109" s="118" t="s">
        <v>130</v>
      </c>
      <c r="F1109" s="118" t="s">
        <v>46</v>
      </c>
      <c r="G1109" s="153"/>
      <c r="H1109" s="155">
        <v>1.17E-2</v>
      </c>
      <c r="I1109" s="154" t="s">
        <v>59</v>
      </c>
      <c r="J1109" s="204">
        <v>5.1999999999999995E-4</v>
      </c>
      <c r="K1109" s="154" t="s">
        <v>24</v>
      </c>
      <c r="L1109" s="154" t="str">
        <f>IF(OpenLCAbasic!K1109="CTUh", "Fill in Manually",IF(OR(K1109="Unit", K1109=""), "", INDEX(LookUps!$E$5:$E$12, MATCH(OpenLCAbasic!K1109,LookUps!$D$5:$D$12,0))))</f>
        <v>Acidification Potential (AP) - kg SO2 eq</v>
      </c>
      <c r="M1109" s="154" t="str">
        <f t="shared" si="59"/>
        <v>Base_High_Low_Upgraded_Acidification Potential (AP) - kg SO2 eq_Blend Tank; wastewater treatment unit; at updated plant - US_Base_With Amendment_Windrow</v>
      </c>
    </row>
    <row r="1110" spans="1:13" s="120" customFormat="1" x14ac:dyDescent="0.25">
      <c r="A1110" s="119"/>
      <c r="B1110" s="138" t="str">
        <f t="shared" si="58"/>
        <v>Windrow</v>
      </c>
      <c r="C1110" s="138" t="str">
        <f t="shared" si="60"/>
        <v>Base_With Amendment</v>
      </c>
      <c r="D1110" s="118" t="s">
        <v>138</v>
      </c>
      <c r="E1110" s="118" t="s">
        <v>130</v>
      </c>
      <c r="F1110" s="118" t="s">
        <v>46</v>
      </c>
      <c r="G1110" s="153"/>
      <c r="H1110" s="155">
        <v>7.9000000000000008E-3</v>
      </c>
      <c r="I1110" s="154" t="s">
        <v>48</v>
      </c>
      <c r="J1110" s="204">
        <v>3.5E-4</v>
      </c>
      <c r="K1110" s="154" t="s">
        <v>24</v>
      </c>
      <c r="L1110" s="154" t="str">
        <f>IF(OpenLCAbasic!K1110="CTUh", "Fill in Manually",IF(OR(K1110="Unit", K1110=""), "", INDEX(LookUps!$E$5:$E$12, MATCH(OpenLCAbasic!K1110,LookUps!$D$5:$D$12,0))))</f>
        <v>Acidification Potential (AP) - kg SO2 eq</v>
      </c>
      <c r="M1110" s="154" t="str">
        <f t="shared" si="59"/>
        <v>Base_High_Low_Upgraded_Acidification Potential (AP) - kg SO2 eq_Effluent release; wastewater treatment unit; at surface water; m3 wastewater - US_Base_With Amendment_Windrow</v>
      </c>
    </row>
    <row r="1111" spans="1:13" s="120" customFormat="1" x14ac:dyDescent="0.25">
      <c r="A1111" s="119"/>
      <c r="B1111" s="138" t="str">
        <f t="shared" si="58"/>
        <v>Windrow</v>
      </c>
      <c r="C1111" s="138" t="str">
        <f t="shared" si="60"/>
        <v>Base_With Amendment</v>
      </c>
      <c r="D1111" s="118" t="s">
        <v>138</v>
      </c>
      <c r="E1111" s="118" t="s">
        <v>130</v>
      </c>
      <c r="F1111" s="118" t="s">
        <v>46</v>
      </c>
      <c r="G1111" s="153"/>
      <c r="H1111" s="155">
        <v>5.7999999999999996E-3</v>
      </c>
      <c r="I1111" s="154" t="s">
        <v>168</v>
      </c>
      <c r="J1111" s="204">
        <v>2.5999999999999998E-4</v>
      </c>
      <c r="K1111" s="154" t="s">
        <v>24</v>
      </c>
      <c r="L1111" s="154" t="str">
        <f>IF(OpenLCAbasic!K1111="CTUh", "Fill in Manually",IF(OR(K1111="Unit", K1111=""), "", INDEX(LookUps!$E$5:$E$12, MATCH(OpenLCAbasic!K1111,LookUps!$D$5:$D$12,0))))</f>
        <v>Acidification Potential (AP) - kg SO2 eq</v>
      </c>
      <c r="M1111" s="154" t="str">
        <f t="shared" si="59"/>
        <v>Base_High_Low_Upgraded_Acidification Potential (AP) - kg SO2 eq_ClearCove SCP; wastewater treatment unit; at updated plant - US_Base_With Amendment_Windrow</v>
      </c>
    </row>
    <row r="1112" spans="1:13" s="120" customFormat="1" x14ac:dyDescent="0.25">
      <c r="A1112" s="119"/>
      <c r="B1112" s="138" t="str">
        <f t="shared" si="58"/>
        <v>Windrow</v>
      </c>
      <c r="C1112" s="138" t="str">
        <f t="shared" si="60"/>
        <v>Base_With Amendment</v>
      </c>
      <c r="D1112" s="118" t="s">
        <v>138</v>
      </c>
      <c r="E1112" s="118" t="s">
        <v>130</v>
      </c>
      <c r="F1112" s="118" t="s">
        <v>46</v>
      </c>
      <c r="G1112" s="153"/>
      <c r="H1112" s="155">
        <v>8.9999999999999998E-4</v>
      </c>
      <c r="I1112" s="154" t="s">
        <v>148</v>
      </c>
      <c r="J1112" s="204">
        <v>4.0354700000000002E-5</v>
      </c>
      <c r="K1112" s="154" t="s">
        <v>24</v>
      </c>
      <c r="L1112" s="154" t="str">
        <f>IF(OpenLCAbasic!K1112="CTUh", "Fill in Manually",IF(OR(K1112="Unit", K1112=""), "", INDEX(LookUps!$E$5:$E$12, MATCH(OpenLCAbasic!K1112,LookUps!$D$5:$D$12,0))))</f>
        <v>Acidification Potential (AP) - kg SO2 eq</v>
      </c>
      <c r="M1112" s="154" t="str">
        <f t="shared" si="59"/>
        <v>Base_High_Low_Upgraded_Acidification Potential (AP) - kg SO2 eq_Control Building; at upgraded wastewater treatment plant - US_Base_With Amendment_Windrow</v>
      </c>
    </row>
    <row r="1113" spans="1:13" s="120" customFormat="1" x14ac:dyDescent="0.25">
      <c r="A1113" s="119"/>
      <c r="B1113" s="138" t="str">
        <f t="shared" si="58"/>
        <v>Windrow</v>
      </c>
      <c r="C1113" s="138" t="str">
        <f t="shared" si="60"/>
        <v>Base_With Amendment</v>
      </c>
      <c r="D1113" s="118" t="s">
        <v>138</v>
      </c>
      <c r="E1113" s="118" t="s">
        <v>130</v>
      </c>
      <c r="F1113" s="118" t="s">
        <v>46</v>
      </c>
      <c r="G1113" s="153"/>
      <c r="H1113" s="155">
        <v>-0.30099999999999999</v>
      </c>
      <c r="I1113" s="154" t="s">
        <v>149</v>
      </c>
      <c r="J1113" s="203">
        <v>-1.325E-2</v>
      </c>
      <c r="K1113" s="154" t="s">
        <v>24</v>
      </c>
      <c r="L1113" s="154" t="str">
        <f>IF(OpenLCAbasic!K1113="CTUh", "Fill in Manually",IF(OR(K1113="Unit", K1113=""), "", INDEX(LookUps!$E$5:$E$12, MATCH(OpenLCAbasic!K1113,LookUps!$D$5:$D$12,0))))</f>
        <v>Acidification Potential (AP) - kg SO2 eq</v>
      </c>
      <c r="M1113" s="154" t="str">
        <f t="shared" si="59"/>
        <v>Base_High_Low_Upgraded_Acidification Potential (AP) - kg SO2 eq_Anaerobic Digestion; wastewater treatment unit; at updated plant - US_Base_With Amendment_Windrow</v>
      </c>
    </row>
    <row r="1114" spans="1:13" s="120" customFormat="1" x14ac:dyDescent="0.25">
      <c r="A1114" s="119"/>
      <c r="B1114" s="138" t="str">
        <f t="shared" si="58"/>
        <v>Windrow</v>
      </c>
      <c r="C1114" s="138" t="str">
        <f t="shared" si="60"/>
        <v>Base_With Amendment</v>
      </c>
      <c r="D1114" s="118" t="s">
        <v>138</v>
      </c>
      <c r="E1114" s="118" t="s">
        <v>130</v>
      </c>
      <c r="F1114" s="118" t="s">
        <v>46</v>
      </c>
      <c r="G1114" s="153" t="s">
        <v>51</v>
      </c>
      <c r="H1114" s="154"/>
      <c r="I1114" s="154" t="s">
        <v>47</v>
      </c>
      <c r="J1114" s="154" t="s">
        <v>52</v>
      </c>
      <c r="K1114" s="154" t="s">
        <v>27</v>
      </c>
      <c r="L1114" s="154" t="str">
        <f>IF(OpenLCAbasic!K1114="CTUh", "Fill in Manually",IF(OR(K1114="Unit", K1114=""), "", INDEX(LookUps!$E$5:$E$12, MATCH(OpenLCAbasic!K1114,LookUps!$D$5:$D$12,0))))</f>
        <v/>
      </c>
      <c r="M1114" s="154" t="str">
        <f t="shared" si="59"/>
        <v>Base_High_Low_Upgraded__Process_Base_With Amendment_Windrow</v>
      </c>
    </row>
    <row r="1115" spans="1:13" s="120" customFormat="1" x14ac:dyDescent="0.25">
      <c r="A1115" s="119"/>
      <c r="B1115" s="138" t="str">
        <f t="shared" si="58"/>
        <v>Windrow</v>
      </c>
      <c r="C1115" s="138" t="str">
        <f t="shared" si="60"/>
        <v>Base_With Amendment</v>
      </c>
      <c r="D1115" s="118" t="s">
        <v>138</v>
      </c>
      <c r="E1115" s="118" t="s">
        <v>130</v>
      </c>
      <c r="F1115" s="118" t="s">
        <v>46</v>
      </c>
      <c r="G1115" s="153"/>
      <c r="H1115" s="155">
        <v>0.57430000000000003</v>
      </c>
      <c r="I1115" s="154" t="s">
        <v>55</v>
      </c>
      <c r="J1115" s="204">
        <v>2.33E-3</v>
      </c>
      <c r="K1115" s="154" t="s">
        <v>145</v>
      </c>
      <c r="L1115" s="154" t="str">
        <f>IF(OpenLCAbasic!K1115="CTUh", "Fill in Manually",IF(OR(K1115="Unit", K1115=""), "", INDEX(LookUps!$E$5:$E$12, MATCH(OpenLCAbasic!K1115,LookUps!$D$5:$D$12,0))))</f>
        <v>Particulate Matter Formation Potential (PMFP) - kg PM2.5 eq</v>
      </c>
      <c r="M1115" s="154" t="str">
        <f t="shared" si="59"/>
        <v>Base_High_Low_Upgraded_Particulate Matter Formation Potential (PMFP) - kg PM2.5 eq_Aeration Tanks; wastewater treatment unit; at updated plant - US_Base_With Amendment_Windrow</v>
      </c>
    </row>
    <row r="1116" spans="1:13" s="120" customFormat="1" x14ac:dyDescent="0.25">
      <c r="A1116" s="119"/>
      <c r="B1116" s="138" t="str">
        <f t="shared" si="58"/>
        <v>Windrow</v>
      </c>
      <c r="C1116" s="138" t="str">
        <f t="shared" si="60"/>
        <v>Base_With Amendment</v>
      </c>
      <c r="D1116" s="118" t="s">
        <v>138</v>
      </c>
      <c r="E1116" s="118" t="s">
        <v>130</v>
      </c>
      <c r="F1116" s="118" t="s">
        <v>46</v>
      </c>
      <c r="G1116" s="153"/>
      <c r="H1116" s="155">
        <v>0.1671</v>
      </c>
      <c r="I1116" s="154" t="s">
        <v>54</v>
      </c>
      <c r="J1116" s="204">
        <v>6.8000000000000005E-4</v>
      </c>
      <c r="K1116" s="154" t="s">
        <v>145</v>
      </c>
      <c r="L1116" s="154" t="str">
        <f>IF(OpenLCAbasic!K1116="CTUh", "Fill in Manually",IF(OR(K1116="Unit", K1116=""), "", INDEX(LookUps!$E$5:$E$12, MATCH(OpenLCAbasic!K1116,LookUps!$D$5:$D$12,0))))</f>
        <v>Particulate Matter Formation Potential (PMFP) - kg PM2.5 eq</v>
      </c>
      <c r="M1116" s="154" t="str">
        <f t="shared" si="59"/>
        <v>Base_High_Low_Upgraded_Particulate Matter Formation Potential (PMFP) - kg PM2.5 eq_Clear Cove Primary Clarification; wastewater treatment unit; at updated plant - US_Base_With Amendment_Windrow</v>
      </c>
    </row>
    <row r="1117" spans="1:13" s="120" customFormat="1" x14ac:dyDescent="0.25">
      <c r="A1117" s="119"/>
      <c r="B1117" s="138" t="str">
        <f t="shared" si="58"/>
        <v>Windrow</v>
      </c>
      <c r="C1117" s="138" t="str">
        <f t="shared" si="60"/>
        <v>Base_With Amendment</v>
      </c>
      <c r="D1117" s="118" t="s">
        <v>138</v>
      </c>
      <c r="E1117" s="118" t="s">
        <v>130</v>
      </c>
      <c r="F1117" s="118" t="s">
        <v>46</v>
      </c>
      <c r="G1117" s="153"/>
      <c r="H1117" s="155">
        <v>0.14549999999999999</v>
      </c>
      <c r="I1117" s="154" t="s">
        <v>58</v>
      </c>
      <c r="J1117" s="204">
        <v>5.9000000000000003E-4</v>
      </c>
      <c r="K1117" s="154" t="s">
        <v>145</v>
      </c>
      <c r="L1117" s="154" t="str">
        <f>IF(OpenLCAbasic!K1117="CTUh", "Fill in Manually",IF(OR(K1117="Unit", K1117=""), "", INDEX(LookUps!$E$5:$E$12, MATCH(OpenLCAbasic!K1117,LookUps!$D$5:$D$12,0))))</f>
        <v>Particulate Matter Formation Potential (PMFP) - kg PM2.5 eq</v>
      </c>
      <c r="M1117" s="154" t="str">
        <f t="shared" si="59"/>
        <v>Base_High_Low_Upgraded_Particulate Matter Formation Potential (PMFP) - kg PM2.5 eq_Pre-Anoxic &amp; Swing tank; wastewater treatment unit; at updated plant - US_Base_With Amendment_Windrow</v>
      </c>
    </row>
    <row r="1118" spans="1:13" s="120" customFormat="1" x14ac:dyDescent="0.25">
      <c r="A1118" s="119"/>
      <c r="B1118" s="138" t="str">
        <f t="shared" si="58"/>
        <v>Windrow</v>
      </c>
      <c r="C1118" s="138" t="str">
        <f t="shared" si="60"/>
        <v>Base_With Amendment</v>
      </c>
      <c r="D1118" s="118" t="s">
        <v>138</v>
      </c>
      <c r="E1118" s="118" t="s">
        <v>130</v>
      </c>
      <c r="F1118" s="118" t="s">
        <v>46</v>
      </c>
      <c r="G1118" s="153"/>
      <c r="H1118" s="155">
        <v>0.1148</v>
      </c>
      <c r="I1118" s="154" t="s">
        <v>53</v>
      </c>
      <c r="J1118" s="204">
        <v>4.6999999999999999E-4</v>
      </c>
      <c r="K1118" s="154" t="s">
        <v>145</v>
      </c>
      <c r="L1118" s="154" t="str">
        <f>IF(OpenLCAbasic!K1118="CTUh", "Fill in Manually",IF(OR(K1118="Unit", K1118=""), "", INDEX(LookUps!$E$5:$E$12, MATCH(OpenLCAbasic!K1118,LookUps!$D$5:$D$12,0))))</f>
        <v>Particulate Matter Formation Potential (PMFP) - kg PM2.5 eq</v>
      </c>
      <c r="M1118" s="154" t="str">
        <f t="shared" si="59"/>
        <v>Base_High_Low_Upgraded_Particulate Matter Formation Potential (PMFP) - kg PM2.5 eq_Wet Well and Sump Station; wastewater treatment unit; at updated plant - US_Base_With Amendment_Windrow</v>
      </c>
    </row>
    <row r="1119" spans="1:13" s="120" customFormat="1" x14ac:dyDescent="0.25">
      <c r="A1119" s="119"/>
      <c r="B1119" s="138" t="str">
        <f t="shared" si="58"/>
        <v>Windrow</v>
      </c>
      <c r="C1119" s="138" t="str">
        <f t="shared" si="60"/>
        <v>Base_With Amendment</v>
      </c>
      <c r="D1119" s="118" t="s">
        <v>138</v>
      </c>
      <c r="E1119" s="118" t="s">
        <v>130</v>
      </c>
      <c r="F1119" s="118" t="s">
        <v>46</v>
      </c>
      <c r="G1119" s="153"/>
      <c r="H1119" s="155">
        <v>0.10580000000000001</v>
      </c>
      <c r="I1119" s="154" t="s">
        <v>271</v>
      </c>
      <c r="J1119" s="204">
        <v>4.2999999999999999E-4</v>
      </c>
      <c r="K1119" s="154" t="s">
        <v>145</v>
      </c>
      <c r="L1119" s="154" t="str">
        <f>IF(OpenLCAbasic!K1119="CTUh", "Fill in Manually",IF(OR(K1119="Unit", K1119=""), "", INDEX(LookUps!$E$5:$E$12, MATCH(OpenLCAbasic!K1119,LookUps!$D$5:$D$12,0))))</f>
        <v>Particulate Matter Formation Potential (PMFP) - kg PM2.5 eq</v>
      </c>
      <c r="M1119" s="154" t="str">
        <f t="shared" si="59"/>
        <v>Base_High_Low_Upgraded_Particulate Matter Formation Potential (PMFP) - kg PM2.5 eq_Biosolids composting; windrow composting; wastewater treatment unit; at updated plant - US_Base_With Amendment_Windrow</v>
      </c>
    </row>
    <row r="1120" spans="1:13" s="120" customFormat="1" x14ac:dyDescent="0.25">
      <c r="A1120" s="119"/>
      <c r="B1120" s="138" t="str">
        <f t="shared" si="58"/>
        <v>Windrow</v>
      </c>
      <c r="C1120" s="138" t="str">
        <f t="shared" si="60"/>
        <v>Base_With Amendment</v>
      </c>
      <c r="D1120" s="118" t="s">
        <v>138</v>
      </c>
      <c r="E1120" s="118" t="s">
        <v>130</v>
      </c>
      <c r="F1120" s="118" t="s">
        <v>46</v>
      </c>
      <c r="G1120" s="153"/>
      <c r="H1120" s="155">
        <v>8.1600000000000006E-2</v>
      </c>
      <c r="I1120" s="154" t="s">
        <v>167</v>
      </c>
      <c r="J1120" s="204">
        <v>3.3E-4</v>
      </c>
      <c r="K1120" s="154" t="s">
        <v>145</v>
      </c>
      <c r="L1120" s="154" t="str">
        <f>IF(OpenLCAbasic!K1120="CTUh", "Fill in Manually",IF(OR(K1120="Unit", K1120=""), "", INDEX(LookUps!$E$5:$E$12, MATCH(OpenLCAbasic!K1120,LookUps!$D$5:$D$12,0))))</f>
        <v>Particulate Matter Formation Potential (PMFP) - kg PM2.5 eq</v>
      </c>
      <c r="M1120" s="154" t="str">
        <f t="shared" si="59"/>
        <v>Base_High_Low_Upgraded_Particulate Matter Formation Potential (PMFP) - kg PM2.5 eq_Waste Receiving and Holding; wastewater treatment unit; at updated plant - US_Base_With Amendment_Windrow</v>
      </c>
    </row>
    <row r="1121" spans="1:13" s="120" customFormat="1" x14ac:dyDescent="0.25">
      <c r="A1121" s="119"/>
      <c r="B1121" s="138" t="str">
        <f t="shared" si="58"/>
        <v>Windrow</v>
      </c>
      <c r="C1121" s="138" t="str">
        <f t="shared" si="60"/>
        <v>Base_With Amendment</v>
      </c>
      <c r="D1121" s="118" t="s">
        <v>138</v>
      </c>
      <c r="E1121" s="118" t="s">
        <v>130</v>
      </c>
      <c r="F1121" s="118" t="s">
        <v>46</v>
      </c>
      <c r="G1121" s="153"/>
      <c r="H1121" s="155">
        <v>6.5600000000000006E-2</v>
      </c>
      <c r="I1121" s="154" t="s">
        <v>147</v>
      </c>
      <c r="J1121" s="204">
        <v>2.7E-4</v>
      </c>
      <c r="K1121" s="154" t="s">
        <v>145</v>
      </c>
      <c r="L1121" s="154" t="str">
        <f>IF(OpenLCAbasic!K1121="CTUh", "Fill in Manually",IF(OR(K1121="Unit", K1121=""), "", INDEX(LookUps!$E$5:$E$12, MATCH(OpenLCAbasic!K1121,LookUps!$D$5:$D$12,0))))</f>
        <v>Particulate Matter Formation Potential (PMFP) - kg PM2.5 eq</v>
      </c>
      <c r="M1121" s="154" t="str">
        <f t="shared" si="59"/>
        <v>Base_High_Low_Upgraded_Particulate Matter Formation Potential (PMFP) - kg PM2.5 eq_Influent Pump Station; wastewater treatment unit; at updated plant - US_Base_With Amendment_Windrow</v>
      </c>
    </row>
    <row r="1122" spans="1:13" s="120" customFormat="1" x14ac:dyDescent="0.25">
      <c r="A1122" s="119"/>
      <c r="B1122" s="138" t="str">
        <f t="shared" si="58"/>
        <v>Windrow</v>
      </c>
      <c r="C1122" s="138" t="str">
        <f t="shared" si="60"/>
        <v>Base_With Amendment</v>
      </c>
      <c r="D1122" s="118" t="s">
        <v>138</v>
      </c>
      <c r="E1122" s="118" t="s">
        <v>130</v>
      </c>
      <c r="F1122" s="118" t="s">
        <v>46</v>
      </c>
      <c r="G1122" s="153"/>
      <c r="H1122" s="155">
        <v>5.6000000000000001E-2</v>
      </c>
      <c r="I1122" s="154" t="s">
        <v>60</v>
      </c>
      <c r="J1122" s="204">
        <v>2.3000000000000001E-4</v>
      </c>
      <c r="K1122" s="154" t="s">
        <v>145</v>
      </c>
      <c r="L1122" s="154" t="str">
        <f>IF(OpenLCAbasic!K1122="CTUh", "Fill in Manually",IF(OR(K1122="Unit", K1122=""), "", INDEX(LookUps!$E$5:$E$12, MATCH(OpenLCAbasic!K1122,LookUps!$D$5:$D$12,0))))</f>
        <v>Particulate Matter Formation Potential (PMFP) - kg PM2.5 eq</v>
      </c>
      <c r="M1122" s="154" t="str">
        <f t="shared" si="59"/>
        <v>Base_High_Low_Upgraded_Particulate Matter Formation Potential (PMFP) - kg PM2.5 eq_Belt filter press; wastewater treatment unit; at updated plant - US_Base_With Amendment_Windrow</v>
      </c>
    </row>
    <row r="1123" spans="1:13" s="120" customFormat="1" x14ac:dyDescent="0.25">
      <c r="A1123" s="119"/>
      <c r="B1123" s="138" t="str">
        <f t="shared" si="58"/>
        <v>Windrow</v>
      </c>
      <c r="C1123" s="138" t="str">
        <f t="shared" si="60"/>
        <v>Base_With Amendment</v>
      </c>
      <c r="D1123" s="118" t="s">
        <v>138</v>
      </c>
      <c r="E1123" s="118" t="s">
        <v>130</v>
      </c>
      <c r="F1123" s="118" t="s">
        <v>46</v>
      </c>
      <c r="G1123" s="153"/>
      <c r="H1123" s="155">
        <v>4.1000000000000002E-2</v>
      </c>
      <c r="I1123" s="154" t="s">
        <v>128</v>
      </c>
      <c r="J1123" s="204">
        <v>1.7000000000000001E-4</v>
      </c>
      <c r="K1123" s="154" t="s">
        <v>145</v>
      </c>
      <c r="L1123" s="154" t="str">
        <f>IF(OpenLCAbasic!K1123="CTUh", "Fill in Manually",IF(OR(K1123="Unit", K1123=""), "", INDEX(LookUps!$E$5:$E$12, MATCH(OpenLCAbasic!K1123,LookUps!$D$5:$D$12,0))))</f>
        <v>Particulate Matter Formation Potential (PMFP) - kg PM2.5 eq</v>
      </c>
      <c r="M1123" s="154" t="str">
        <f t="shared" si="59"/>
        <v>Base_High_Low_Upgraded_Particulate Matter Formation Potential (PMFP) - kg PM2.5 eq_Wastewater collection; operation and infrastructure; m3 wastewater_Base_With Amendment_Windrow</v>
      </c>
    </row>
    <row r="1124" spans="1:13" s="120" customFormat="1" x14ac:dyDescent="0.25">
      <c r="A1124" s="119"/>
      <c r="B1124" s="138" t="str">
        <f t="shared" si="58"/>
        <v>Windrow</v>
      </c>
      <c r="C1124" s="138" t="str">
        <f t="shared" si="60"/>
        <v>Base_With Amendment</v>
      </c>
      <c r="D1124" s="118" t="s">
        <v>138</v>
      </c>
      <c r="E1124" s="118" t="s">
        <v>130</v>
      </c>
      <c r="F1124" s="118" t="s">
        <v>46</v>
      </c>
      <c r="G1124" s="153"/>
      <c r="H1124" s="155">
        <v>2.3400000000000001E-2</v>
      </c>
      <c r="I1124" s="154" t="s">
        <v>57</v>
      </c>
      <c r="J1124" s="204">
        <v>9.5153800000000004E-5</v>
      </c>
      <c r="K1124" s="154" t="s">
        <v>145</v>
      </c>
      <c r="L1124" s="154" t="str">
        <f>IF(OpenLCAbasic!K1124="CTUh", "Fill in Manually",IF(OR(K1124="Unit", K1124=""), "", INDEX(LookUps!$E$5:$E$12, MATCH(OpenLCAbasic!K1124,LookUps!$D$5:$D$12,0))))</f>
        <v>Particulate Matter Formation Potential (PMFP) - kg PM2.5 eq</v>
      </c>
      <c r="M1124" s="154" t="str">
        <f t="shared" si="59"/>
        <v>Base_High_Low_Upgraded_Particulate Matter Formation Potential (PMFP) - kg PM2.5 eq_Gravity Belt Thickener; wastewater treatment unit; at updated plant - US_Base_With Amendment_Windrow</v>
      </c>
    </row>
    <row r="1125" spans="1:13" s="120" customFormat="1" x14ac:dyDescent="0.25">
      <c r="A1125" s="119"/>
      <c r="B1125" s="138" t="str">
        <f t="shared" si="58"/>
        <v>Windrow</v>
      </c>
      <c r="C1125" s="138" t="str">
        <f t="shared" si="60"/>
        <v>Base_With Amendment</v>
      </c>
      <c r="D1125" s="118" t="s">
        <v>138</v>
      </c>
      <c r="E1125" s="118" t="s">
        <v>130</v>
      </c>
      <c r="F1125" s="118" t="s">
        <v>46</v>
      </c>
      <c r="G1125" s="153"/>
      <c r="H1125" s="155">
        <v>2.29E-2</v>
      </c>
      <c r="I1125" s="154" t="s">
        <v>62</v>
      </c>
      <c r="J1125" s="204">
        <v>9.2923499999999999E-5</v>
      </c>
      <c r="K1125" s="154" t="s">
        <v>145</v>
      </c>
      <c r="L1125" s="154" t="str">
        <f>IF(OpenLCAbasic!K1125="CTUh", "Fill in Manually",IF(OR(K1125="Unit", K1125=""), "", INDEX(LookUps!$E$5:$E$12, MATCH(OpenLCAbasic!K1125,LookUps!$D$5:$D$12,0))))</f>
        <v>Particulate Matter Formation Potential (PMFP) - kg PM2.5 eq</v>
      </c>
      <c r="M1125" s="154" t="str">
        <f t="shared" si="59"/>
        <v>Base_High_Low_Upgraded_Particulate Matter Formation Potential (PMFP) - kg PM2.5 eq_Land application of compost; wastewater treatment unit; at updated plant - US_Base_With Amendment_Windrow</v>
      </c>
    </row>
    <row r="1126" spans="1:13" s="120" customFormat="1" x14ac:dyDescent="0.25">
      <c r="A1126" s="119"/>
      <c r="B1126" s="138" t="str">
        <f t="shared" si="58"/>
        <v>Windrow</v>
      </c>
      <c r="C1126" s="138" t="str">
        <f t="shared" si="60"/>
        <v>Base_With Amendment</v>
      </c>
      <c r="D1126" s="118" t="s">
        <v>138</v>
      </c>
      <c r="E1126" s="118" t="s">
        <v>130</v>
      </c>
      <c r="F1126" s="118" t="s">
        <v>46</v>
      </c>
      <c r="G1126" s="153"/>
      <c r="H1126" s="155">
        <v>1.72E-2</v>
      </c>
      <c r="I1126" s="154" t="s">
        <v>59</v>
      </c>
      <c r="J1126" s="204">
        <v>6.9942200000000003E-5</v>
      </c>
      <c r="K1126" s="154" t="s">
        <v>145</v>
      </c>
      <c r="L1126" s="154" t="str">
        <f>IF(OpenLCAbasic!K1126="CTUh", "Fill in Manually",IF(OR(K1126="Unit", K1126=""), "", INDEX(LookUps!$E$5:$E$12, MATCH(OpenLCAbasic!K1126,LookUps!$D$5:$D$12,0))))</f>
        <v>Particulate Matter Formation Potential (PMFP) - kg PM2.5 eq</v>
      </c>
      <c r="M1126" s="154" t="str">
        <f t="shared" si="59"/>
        <v>Base_High_Low_Upgraded_Particulate Matter Formation Potential (PMFP) - kg PM2.5 eq_Blend Tank; wastewater treatment unit; at updated plant - US_Base_With Amendment_Windrow</v>
      </c>
    </row>
    <row r="1127" spans="1:13" s="120" customFormat="1" x14ac:dyDescent="0.25">
      <c r="A1127" s="119"/>
      <c r="B1127" s="138" t="str">
        <f t="shared" si="58"/>
        <v>Windrow</v>
      </c>
      <c r="C1127" s="138" t="str">
        <f t="shared" si="60"/>
        <v>Base_With Amendment</v>
      </c>
      <c r="D1127" s="118" t="s">
        <v>138</v>
      </c>
      <c r="E1127" s="118" t="s">
        <v>130</v>
      </c>
      <c r="F1127" s="118" t="s">
        <v>46</v>
      </c>
      <c r="G1127" s="153"/>
      <c r="H1127" s="155">
        <v>1.23E-2</v>
      </c>
      <c r="I1127" s="154" t="s">
        <v>48</v>
      </c>
      <c r="J1127" s="204">
        <v>4.99741E-5</v>
      </c>
      <c r="K1127" s="154" t="s">
        <v>145</v>
      </c>
      <c r="L1127" s="154" t="str">
        <f>IF(OpenLCAbasic!K1127="CTUh", "Fill in Manually",IF(OR(K1127="Unit", K1127=""), "", INDEX(LookUps!$E$5:$E$12, MATCH(OpenLCAbasic!K1127,LookUps!$D$5:$D$12,0))))</f>
        <v>Particulate Matter Formation Potential (PMFP) - kg PM2.5 eq</v>
      </c>
      <c r="M1127" s="154" t="str">
        <f t="shared" si="59"/>
        <v>Base_High_Low_Upgraded_Particulate Matter Formation Potential (PMFP) - kg PM2.5 eq_Effluent release; wastewater treatment unit; at surface water; m3 wastewater - US_Base_With Amendment_Windrow</v>
      </c>
    </row>
    <row r="1128" spans="1:13" s="120" customFormat="1" x14ac:dyDescent="0.25">
      <c r="A1128" s="119"/>
      <c r="B1128" s="138" t="str">
        <f t="shared" si="58"/>
        <v>Windrow</v>
      </c>
      <c r="C1128" s="138" t="str">
        <f t="shared" si="60"/>
        <v>Base_With Amendment</v>
      </c>
      <c r="D1128" s="118" t="s">
        <v>138</v>
      </c>
      <c r="E1128" s="118" t="s">
        <v>130</v>
      </c>
      <c r="F1128" s="118" t="s">
        <v>46</v>
      </c>
      <c r="G1128" s="153"/>
      <c r="H1128" s="155">
        <v>8.5000000000000006E-3</v>
      </c>
      <c r="I1128" s="154" t="s">
        <v>168</v>
      </c>
      <c r="J1128" s="204">
        <v>3.4562199999999999E-5</v>
      </c>
      <c r="K1128" s="154" t="s">
        <v>145</v>
      </c>
      <c r="L1128" s="154" t="str">
        <f>IF(OpenLCAbasic!K1128="CTUh", "Fill in Manually",IF(OR(K1128="Unit", K1128=""), "", INDEX(LookUps!$E$5:$E$12, MATCH(OpenLCAbasic!K1128,LookUps!$D$5:$D$12,0))))</f>
        <v>Particulate Matter Formation Potential (PMFP) - kg PM2.5 eq</v>
      </c>
      <c r="M1128" s="154" t="str">
        <f t="shared" si="59"/>
        <v>Base_High_Low_Upgraded_Particulate Matter Formation Potential (PMFP) - kg PM2.5 eq_ClearCove SCP; wastewater treatment unit; at updated plant - US_Base_With Amendment_Windrow</v>
      </c>
    </row>
    <row r="1129" spans="1:13" s="120" customFormat="1" x14ac:dyDescent="0.25">
      <c r="A1129" s="119"/>
      <c r="B1129" s="138" t="str">
        <f t="shared" si="58"/>
        <v>Windrow</v>
      </c>
      <c r="C1129" s="138" t="str">
        <f t="shared" si="60"/>
        <v>Base_With Amendment</v>
      </c>
      <c r="D1129" s="118" t="s">
        <v>138</v>
      </c>
      <c r="E1129" s="118" t="s">
        <v>130</v>
      </c>
      <c r="F1129" s="118" t="s">
        <v>46</v>
      </c>
      <c r="G1129" s="153"/>
      <c r="H1129" s="155">
        <v>2.2000000000000001E-3</v>
      </c>
      <c r="I1129" s="154" t="s">
        <v>148</v>
      </c>
      <c r="J1129" s="204">
        <v>8.8212999999999997E-6</v>
      </c>
      <c r="K1129" s="154" t="s">
        <v>145</v>
      </c>
      <c r="L1129" s="154" t="str">
        <f>IF(OpenLCAbasic!K1129="CTUh", "Fill in Manually",IF(OR(K1129="Unit", K1129=""), "", INDEX(LookUps!$E$5:$E$12, MATCH(OpenLCAbasic!K1129,LookUps!$D$5:$D$12,0))))</f>
        <v>Particulate Matter Formation Potential (PMFP) - kg PM2.5 eq</v>
      </c>
      <c r="M1129" s="154" t="str">
        <f t="shared" si="59"/>
        <v>Base_High_Low_Upgraded_Particulate Matter Formation Potential (PMFP) - kg PM2.5 eq_Control Building; at upgraded wastewater treatment plant - US_Base_With Amendment_Windrow</v>
      </c>
    </row>
    <row r="1130" spans="1:13" s="120" customFormat="1" x14ac:dyDescent="0.25">
      <c r="A1130" s="119"/>
      <c r="B1130" s="138" t="str">
        <f t="shared" si="58"/>
        <v>Windrow</v>
      </c>
      <c r="C1130" s="138" t="str">
        <f t="shared" si="60"/>
        <v>Base_With Amendment</v>
      </c>
      <c r="D1130" s="118" t="s">
        <v>138</v>
      </c>
      <c r="E1130" s="118" t="s">
        <v>130</v>
      </c>
      <c r="F1130" s="118" t="s">
        <v>46</v>
      </c>
      <c r="G1130" s="153"/>
      <c r="H1130" s="155">
        <v>-0.43819999999999998</v>
      </c>
      <c r="I1130" s="154" t="s">
        <v>149</v>
      </c>
      <c r="J1130" s="204">
        <v>-1.7799999999999999E-3</v>
      </c>
      <c r="K1130" s="154" t="s">
        <v>145</v>
      </c>
      <c r="L1130" s="154" t="str">
        <f>IF(OpenLCAbasic!K1130="CTUh", "Fill in Manually",IF(OR(K1130="Unit", K1130=""), "", INDEX(LookUps!$E$5:$E$12, MATCH(OpenLCAbasic!K1130,LookUps!$D$5:$D$12,0))))</f>
        <v>Particulate Matter Formation Potential (PMFP) - kg PM2.5 eq</v>
      </c>
      <c r="M1130" s="154" t="str">
        <f t="shared" si="59"/>
        <v>Base_High_Low_Upgraded_Particulate Matter Formation Potential (PMFP) - kg PM2.5 eq_Anaerobic Digestion; wastewater treatment unit; at updated plant - US_Base_With Amendment_Windrow</v>
      </c>
    </row>
    <row r="1131" spans="1:13" s="120" customFormat="1" x14ac:dyDescent="0.25">
      <c r="A1131" s="119"/>
      <c r="B1131" s="138" t="str">
        <f t="shared" si="58"/>
        <v>Windrow</v>
      </c>
      <c r="C1131" s="138" t="str">
        <f t="shared" si="60"/>
        <v>Base_With Amendment</v>
      </c>
      <c r="D1131" s="118" t="s">
        <v>138</v>
      </c>
      <c r="E1131" s="118" t="s">
        <v>130</v>
      </c>
      <c r="F1131" s="118" t="s">
        <v>46</v>
      </c>
      <c r="G1131" s="153" t="s">
        <v>51</v>
      </c>
      <c r="H1131" s="154"/>
      <c r="I1131" s="154" t="s">
        <v>47</v>
      </c>
      <c r="J1131" s="154" t="s">
        <v>52</v>
      </c>
      <c r="K1131" s="154" t="s">
        <v>27</v>
      </c>
      <c r="L1131" s="154" t="str">
        <f>IF(OpenLCAbasic!K1131="CTUh", "Fill in Manually",IF(OR(K1131="Unit", K1131=""), "", INDEX(LookUps!$E$5:$E$12, MATCH(OpenLCAbasic!K1131,LookUps!$D$5:$D$12,0))))</f>
        <v/>
      </c>
      <c r="M1131" s="154" t="str">
        <f t="shared" si="59"/>
        <v>Base_High_Low_Upgraded__Process_Base_With Amendment_Windrow</v>
      </c>
    </row>
    <row r="1132" spans="1:13" s="120" customFormat="1" x14ac:dyDescent="0.25">
      <c r="A1132" s="119"/>
      <c r="B1132" s="138" t="str">
        <f t="shared" si="58"/>
        <v>Windrow</v>
      </c>
      <c r="C1132" s="138" t="str">
        <f t="shared" si="60"/>
        <v>Base_With Amendment</v>
      </c>
      <c r="D1132" s="118" t="s">
        <v>138</v>
      </c>
      <c r="E1132" s="118" t="s">
        <v>130</v>
      </c>
      <c r="F1132" s="118" t="s">
        <v>46</v>
      </c>
      <c r="G1132" s="153"/>
      <c r="H1132" s="155">
        <v>0.64439999999999997</v>
      </c>
      <c r="I1132" s="154" t="s">
        <v>55</v>
      </c>
      <c r="J1132" s="203">
        <v>0.16577</v>
      </c>
      <c r="K1132" s="154" t="s">
        <v>25</v>
      </c>
      <c r="L1132" s="154" t="str">
        <f>IF(OpenLCAbasic!K1132="CTUh", "Fill in Manually",IF(OR(K1132="Unit", K1132=""), "", INDEX(LookUps!$E$5:$E$12, MATCH(OpenLCAbasic!K1132,LookUps!$D$5:$D$12,0))))</f>
        <v>Smog Formation Potential (SFP) - kg O3 eq</v>
      </c>
      <c r="M1132" s="154" t="str">
        <f t="shared" si="59"/>
        <v>Base_High_Low_Upgraded_Smog Formation Potential (SFP) - kg O3 eq_Aeration Tanks; wastewater treatment unit; at updated plant - US_Base_With Amendment_Windrow</v>
      </c>
    </row>
    <row r="1133" spans="1:13" s="120" customFormat="1" x14ac:dyDescent="0.25">
      <c r="A1133" s="119"/>
      <c r="B1133" s="138" t="str">
        <f t="shared" si="58"/>
        <v>Windrow</v>
      </c>
      <c r="C1133" s="138" t="str">
        <f t="shared" si="60"/>
        <v>Base_With Amendment</v>
      </c>
      <c r="D1133" s="118" t="s">
        <v>138</v>
      </c>
      <c r="E1133" s="118" t="s">
        <v>130</v>
      </c>
      <c r="F1133" s="118" t="s">
        <v>46</v>
      </c>
      <c r="G1133" s="153"/>
      <c r="H1133" s="155">
        <v>0.18690000000000001</v>
      </c>
      <c r="I1133" s="154" t="s">
        <v>54</v>
      </c>
      <c r="J1133" s="203">
        <v>4.8070000000000002E-2</v>
      </c>
      <c r="K1133" s="154" t="s">
        <v>25</v>
      </c>
      <c r="L1133" s="154" t="str">
        <f>IF(OpenLCAbasic!K1133="CTUh", "Fill in Manually",IF(OR(K1133="Unit", K1133=""), "", INDEX(LookUps!$E$5:$E$12, MATCH(OpenLCAbasic!K1133,LookUps!$D$5:$D$12,0))))</f>
        <v>Smog Formation Potential (SFP) - kg O3 eq</v>
      </c>
      <c r="M1133" s="154" t="str">
        <f t="shared" si="59"/>
        <v>Base_High_Low_Upgraded_Smog Formation Potential (SFP) - kg O3 eq_Clear Cove Primary Clarification; wastewater treatment unit; at updated plant - US_Base_With Amendment_Windrow</v>
      </c>
    </row>
    <row r="1134" spans="1:13" s="120" customFormat="1" x14ac:dyDescent="0.25">
      <c r="A1134" s="119"/>
      <c r="B1134" s="138" t="str">
        <f t="shared" si="58"/>
        <v>Windrow</v>
      </c>
      <c r="C1134" s="138" t="str">
        <f t="shared" si="60"/>
        <v>Base_With Amendment</v>
      </c>
      <c r="D1134" s="118" t="s">
        <v>138</v>
      </c>
      <c r="E1134" s="118" t="s">
        <v>130</v>
      </c>
      <c r="F1134" s="118" t="s">
        <v>46</v>
      </c>
      <c r="G1134" s="153"/>
      <c r="H1134" s="155">
        <v>0.1636</v>
      </c>
      <c r="I1134" s="154" t="s">
        <v>58</v>
      </c>
      <c r="J1134" s="203">
        <v>4.2090000000000002E-2</v>
      </c>
      <c r="K1134" s="154" t="s">
        <v>25</v>
      </c>
      <c r="L1134" s="154" t="str">
        <f>IF(OpenLCAbasic!K1134="CTUh", "Fill in Manually",IF(OR(K1134="Unit", K1134=""), "", INDEX(LookUps!$E$5:$E$12, MATCH(OpenLCAbasic!K1134,LookUps!$D$5:$D$12,0))))</f>
        <v>Smog Formation Potential (SFP) - kg O3 eq</v>
      </c>
      <c r="M1134" s="154" t="str">
        <f t="shared" si="59"/>
        <v>Base_High_Low_Upgraded_Smog Formation Potential (SFP) - kg O3 eq_Pre-Anoxic &amp; Swing tank; wastewater treatment unit; at updated plant - US_Base_With Amendment_Windrow</v>
      </c>
    </row>
    <row r="1135" spans="1:13" s="120" customFormat="1" x14ac:dyDescent="0.25">
      <c r="A1135" s="119"/>
      <c r="B1135" s="138" t="str">
        <f t="shared" si="58"/>
        <v>Windrow</v>
      </c>
      <c r="C1135" s="138" t="str">
        <f t="shared" si="60"/>
        <v>Base_With Amendment</v>
      </c>
      <c r="D1135" s="118" t="s">
        <v>138</v>
      </c>
      <c r="E1135" s="118" t="s">
        <v>130</v>
      </c>
      <c r="F1135" s="118" t="s">
        <v>46</v>
      </c>
      <c r="G1135" s="153"/>
      <c r="H1135" s="155">
        <v>0.13120000000000001</v>
      </c>
      <c r="I1135" s="154" t="s">
        <v>167</v>
      </c>
      <c r="J1135" s="203">
        <v>3.3759999999999998E-2</v>
      </c>
      <c r="K1135" s="154" t="s">
        <v>25</v>
      </c>
      <c r="L1135" s="154" t="str">
        <f>IF(OpenLCAbasic!K1135="CTUh", "Fill in Manually",IF(OR(K1135="Unit", K1135=""), "", INDEX(LookUps!$E$5:$E$12, MATCH(OpenLCAbasic!K1135,LookUps!$D$5:$D$12,0))))</f>
        <v>Smog Formation Potential (SFP) - kg O3 eq</v>
      </c>
      <c r="M1135" s="154" t="str">
        <f t="shared" si="59"/>
        <v>Base_High_Low_Upgraded_Smog Formation Potential (SFP) - kg O3 eq_Waste Receiving and Holding; wastewater treatment unit; at updated plant - US_Base_With Amendment_Windrow</v>
      </c>
    </row>
    <row r="1136" spans="1:13" s="120" customFormat="1" x14ac:dyDescent="0.25">
      <c r="A1136" s="119"/>
      <c r="B1136" s="138" t="str">
        <f t="shared" si="58"/>
        <v>Windrow</v>
      </c>
      <c r="C1136" s="138" t="str">
        <f t="shared" si="60"/>
        <v>Base_With Amendment</v>
      </c>
      <c r="D1136" s="118" t="s">
        <v>138</v>
      </c>
      <c r="E1136" s="118" t="s">
        <v>130</v>
      </c>
      <c r="F1136" s="118" t="s">
        <v>46</v>
      </c>
      <c r="G1136" s="153"/>
      <c r="H1136" s="155">
        <v>0.1288</v>
      </c>
      <c r="I1136" s="154" t="s">
        <v>53</v>
      </c>
      <c r="J1136" s="203">
        <v>3.313E-2</v>
      </c>
      <c r="K1136" s="154" t="s">
        <v>25</v>
      </c>
      <c r="L1136" s="154" t="str">
        <f>IF(OpenLCAbasic!K1136="CTUh", "Fill in Manually",IF(OR(K1136="Unit", K1136=""), "", INDEX(LookUps!$E$5:$E$12, MATCH(OpenLCAbasic!K1136,LookUps!$D$5:$D$12,0))))</f>
        <v>Smog Formation Potential (SFP) - kg O3 eq</v>
      </c>
      <c r="M1136" s="154" t="str">
        <f t="shared" si="59"/>
        <v>Base_High_Low_Upgraded_Smog Formation Potential (SFP) - kg O3 eq_Wet Well and Sump Station; wastewater treatment unit; at updated plant - US_Base_With Amendment_Windrow</v>
      </c>
    </row>
    <row r="1137" spans="1:13" s="120" customFormat="1" x14ac:dyDescent="0.25">
      <c r="A1137" s="119"/>
      <c r="B1137" s="138" t="str">
        <f t="shared" si="58"/>
        <v>Windrow</v>
      </c>
      <c r="C1137" s="138" t="str">
        <f t="shared" si="60"/>
        <v>Base_With Amendment</v>
      </c>
      <c r="D1137" s="118" t="s">
        <v>138</v>
      </c>
      <c r="E1137" s="118" t="s">
        <v>130</v>
      </c>
      <c r="F1137" s="118" t="s">
        <v>46</v>
      </c>
      <c r="G1137" s="153"/>
      <c r="H1137" s="155">
        <v>7.5399999999999995E-2</v>
      </c>
      <c r="I1137" s="154" t="s">
        <v>147</v>
      </c>
      <c r="J1137" s="203">
        <v>1.9400000000000001E-2</v>
      </c>
      <c r="K1137" s="154" t="s">
        <v>25</v>
      </c>
      <c r="L1137" s="154" t="str">
        <f>IF(OpenLCAbasic!K1137="CTUh", "Fill in Manually",IF(OR(K1137="Unit", K1137=""), "", INDEX(LookUps!$E$5:$E$12, MATCH(OpenLCAbasic!K1137,LookUps!$D$5:$D$12,0))))</f>
        <v>Smog Formation Potential (SFP) - kg O3 eq</v>
      </c>
      <c r="M1137" s="154" t="str">
        <f t="shared" si="59"/>
        <v>Base_High_Low_Upgraded_Smog Formation Potential (SFP) - kg O3 eq_Influent Pump Station; wastewater treatment unit; at updated plant - US_Base_With Amendment_Windrow</v>
      </c>
    </row>
    <row r="1138" spans="1:13" s="120" customFormat="1" x14ac:dyDescent="0.25">
      <c r="A1138" s="119"/>
      <c r="B1138" s="138" t="str">
        <f t="shared" si="58"/>
        <v>Windrow</v>
      </c>
      <c r="C1138" s="138" t="str">
        <f t="shared" si="60"/>
        <v>Base_With Amendment</v>
      </c>
      <c r="D1138" s="118" t="s">
        <v>138</v>
      </c>
      <c r="E1138" s="118" t="s">
        <v>130</v>
      </c>
      <c r="F1138" s="118" t="s">
        <v>46</v>
      </c>
      <c r="G1138" s="153"/>
      <c r="H1138" s="155">
        <v>6.2199999999999998E-2</v>
      </c>
      <c r="I1138" s="154" t="s">
        <v>60</v>
      </c>
      <c r="J1138" s="204">
        <v>1.5990000000000001E-2</v>
      </c>
      <c r="K1138" s="154" t="s">
        <v>25</v>
      </c>
      <c r="L1138" s="154" t="str">
        <f>IF(OpenLCAbasic!K1138="CTUh", "Fill in Manually",IF(OR(K1138="Unit", K1138=""), "", INDEX(LookUps!$E$5:$E$12, MATCH(OpenLCAbasic!K1138,LookUps!$D$5:$D$12,0))))</f>
        <v>Smog Formation Potential (SFP) - kg O3 eq</v>
      </c>
      <c r="M1138" s="154" t="str">
        <f t="shared" si="59"/>
        <v>Base_High_Low_Upgraded_Smog Formation Potential (SFP) - kg O3 eq_Belt filter press; wastewater treatment unit; at updated plant - US_Base_With Amendment_Windrow</v>
      </c>
    </row>
    <row r="1139" spans="1:13" s="120" customFormat="1" x14ac:dyDescent="0.25">
      <c r="A1139" s="119"/>
      <c r="B1139" s="138" t="str">
        <f t="shared" si="58"/>
        <v>Windrow</v>
      </c>
      <c r="C1139" s="138" t="str">
        <f t="shared" si="60"/>
        <v>Base_With Amendment</v>
      </c>
      <c r="D1139" s="118" t="s">
        <v>138</v>
      </c>
      <c r="E1139" s="118" t="s">
        <v>130</v>
      </c>
      <c r="F1139" s="118" t="s">
        <v>46</v>
      </c>
      <c r="G1139" s="153"/>
      <c r="H1139" s="155">
        <v>4.6300000000000001E-2</v>
      </c>
      <c r="I1139" s="154" t="s">
        <v>128</v>
      </c>
      <c r="J1139" s="204">
        <v>1.192E-2</v>
      </c>
      <c r="K1139" s="154" t="s">
        <v>25</v>
      </c>
      <c r="L1139" s="154" t="str">
        <f>IF(OpenLCAbasic!K1139="CTUh", "Fill in Manually",IF(OR(K1139="Unit", K1139=""), "", INDEX(LookUps!$E$5:$E$12, MATCH(OpenLCAbasic!K1139,LookUps!$D$5:$D$12,0))))</f>
        <v>Smog Formation Potential (SFP) - kg O3 eq</v>
      </c>
      <c r="M1139" s="154" t="str">
        <f t="shared" si="59"/>
        <v>Base_High_Low_Upgraded_Smog Formation Potential (SFP) - kg O3 eq_Wastewater collection; operation and infrastructure; m3 wastewater_Base_With Amendment_Windrow</v>
      </c>
    </row>
    <row r="1140" spans="1:13" s="120" customFormat="1" x14ac:dyDescent="0.25">
      <c r="A1140" s="119"/>
      <c r="B1140" s="138" t="str">
        <f t="shared" si="58"/>
        <v>Windrow</v>
      </c>
      <c r="C1140" s="138" t="str">
        <f t="shared" si="60"/>
        <v>Base_With Amendment</v>
      </c>
      <c r="D1140" s="118" t="s">
        <v>138</v>
      </c>
      <c r="E1140" s="118" t="s">
        <v>130</v>
      </c>
      <c r="F1140" s="118" t="s">
        <v>46</v>
      </c>
      <c r="G1140" s="153"/>
      <c r="H1140" s="155">
        <v>2.5899999999999999E-2</v>
      </c>
      <c r="I1140" s="154" t="s">
        <v>57</v>
      </c>
      <c r="J1140" s="204">
        <v>6.6499999999999997E-3</v>
      </c>
      <c r="K1140" s="154" t="s">
        <v>25</v>
      </c>
      <c r="L1140" s="154" t="str">
        <f>IF(OpenLCAbasic!K1140="CTUh", "Fill in Manually",IF(OR(K1140="Unit", K1140=""), "", INDEX(LookUps!$E$5:$E$12, MATCH(OpenLCAbasic!K1140,LookUps!$D$5:$D$12,0))))</f>
        <v>Smog Formation Potential (SFP) - kg O3 eq</v>
      </c>
      <c r="M1140" s="154" t="str">
        <f t="shared" si="59"/>
        <v>Base_High_Low_Upgraded_Smog Formation Potential (SFP) - kg O3 eq_Gravity Belt Thickener; wastewater treatment unit; at updated plant - US_Base_With Amendment_Windrow</v>
      </c>
    </row>
    <row r="1141" spans="1:13" s="120" customFormat="1" x14ac:dyDescent="0.25">
      <c r="A1141" s="119"/>
      <c r="B1141" s="138" t="str">
        <f t="shared" si="58"/>
        <v>Windrow</v>
      </c>
      <c r="C1141" s="138" t="str">
        <f t="shared" si="60"/>
        <v>Base_With Amendment</v>
      </c>
      <c r="D1141" s="118" t="s">
        <v>138</v>
      </c>
      <c r="E1141" s="118" t="s">
        <v>130</v>
      </c>
      <c r="F1141" s="118" t="s">
        <v>46</v>
      </c>
      <c r="G1141" s="153"/>
      <c r="H1141" s="155">
        <v>1.9300000000000001E-2</v>
      </c>
      <c r="I1141" s="154" t="s">
        <v>59</v>
      </c>
      <c r="J1141" s="204">
        <v>4.9699999999999996E-3</v>
      </c>
      <c r="K1141" s="154" t="s">
        <v>25</v>
      </c>
      <c r="L1141" s="154" t="str">
        <f>IF(OpenLCAbasic!K1141="CTUh", "Fill in Manually",IF(OR(K1141="Unit", K1141=""), "", INDEX(LookUps!$E$5:$E$12, MATCH(OpenLCAbasic!K1141,LookUps!$D$5:$D$12,0))))</f>
        <v>Smog Formation Potential (SFP) - kg O3 eq</v>
      </c>
      <c r="M1141" s="154" t="str">
        <f t="shared" si="59"/>
        <v>Base_High_Low_Upgraded_Smog Formation Potential (SFP) - kg O3 eq_Blend Tank; wastewater treatment unit; at updated plant - US_Base_With Amendment_Windrow</v>
      </c>
    </row>
    <row r="1142" spans="1:13" s="120" customFormat="1" x14ac:dyDescent="0.25">
      <c r="A1142" s="119"/>
      <c r="B1142" s="138" t="str">
        <f t="shared" si="58"/>
        <v>Windrow</v>
      </c>
      <c r="C1142" s="138" t="str">
        <f t="shared" si="60"/>
        <v>Base_With Amendment</v>
      </c>
      <c r="D1142" s="118" t="s">
        <v>138</v>
      </c>
      <c r="E1142" s="118" t="s">
        <v>130</v>
      </c>
      <c r="F1142" s="118" t="s">
        <v>46</v>
      </c>
      <c r="G1142" s="153"/>
      <c r="H1142" s="155">
        <v>1.32E-2</v>
      </c>
      <c r="I1142" s="154" t="s">
        <v>48</v>
      </c>
      <c r="J1142" s="204">
        <v>3.3899999999999998E-3</v>
      </c>
      <c r="K1142" s="154" t="s">
        <v>25</v>
      </c>
      <c r="L1142" s="154" t="str">
        <f>IF(OpenLCAbasic!K1142="CTUh", "Fill in Manually",IF(OR(K1142="Unit", K1142=""), "", INDEX(LookUps!$E$5:$E$12, MATCH(OpenLCAbasic!K1142,LookUps!$D$5:$D$12,0))))</f>
        <v>Smog Formation Potential (SFP) - kg O3 eq</v>
      </c>
      <c r="M1142" s="154" t="str">
        <f t="shared" si="59"/>
        <v>Base_High_Low_Upgraded_Smog Formation Potential (SFP) - kg O3 eq_Effluent release; wastewater treatment unit; at surface water; m3 wastewater - US_Base_With Amendment_Windrow</v>
      </c>
    </row>
    <row r="1143" spans="1:13" s="120" customFormat="1" x14ac:dyDescent="0.25">
      <c r="A1143" s="119"/>
      <c r="B1143" s="138" t="str">
        <f t="shared" si="58"/>
        <v>Windrow</v>
      </c>
      <c r="C1143" s="138" t="str">
        <f t="shared" si="60"/>
        <v>Base_With Amendment</v>
      </c>
      <c r="D1143" s="118" t="s">
        <v>138</v>
      </c>
      <c r="E1143" s="118" t="s">
        <v>130</v>
      </c>
      <c r="F1143" s="118" t="s">
        <v>46</v>
      </c>
      <c r="G1143" s="153"/>
      <c r="H1143" s="155">
        <v>9.4999999999999998E-3</v>
      </c>
      <c r="I1143" s="154" t="s">
        <v>168</v>
      </c>
      <c r="J1143" s="204">
        <v>2.4599999999999999E-3</v>
      </c>
      <c r="K1143" s="154" t="s">
        <v>25</v>
      </c>
      <c r="L1143" s="154" t="str">
        <f>IF(OpenLCAbasic!K1143="CTUh", "Fill in Manually",IF(OR(K1143="Unit", K1143=""), "", INDEX(LookUps!$E$5:$E$12, MATCH(OpenLCAbasic!K1143,LookUps!$D$5:$D$12,0))))</f>
        <v>Smog Formation Potential (SFP) - kg O3 eq</v>
      </c>
      <c r="M1143" s="154" t="str">
        <f t="shared" si="59"/>
        <v>Base_High_Low_Upgraded_Smog Formation Potential (SFP) - kg O3 eq_ClearCove SCP; wastewater treatment unit; at updated plant - US_Base_With Amendment_Windrow</v>
      </c>
    </row>
    <row r="1144" spans="1:13" s="120" customFormat="1" x14ac:dyDescent="0.25">
      <c r="A1144" s="119"/>
      <c r="B1144" s="138" t="str">
        <f t="shared" si="58"/>
        <v>Windrow</v>
      </c>
      <c r="C1144" s="138" t="str">
        <f t="shared" si="60"/>
        <v>Base_With Amendment</v>
      </c>
      <c r="D1144" s="118" t="s">
        <v>138</v>
      </c>
      <c r="E1144" s="118" t="s">
        <v>130</v>
      </c>
      <c r="F1144" s="118" t="s">
        <v>46</v>
      </c>
      <c r="G1144" s="153"/>
      <c r="H1144" s="155">
        <v>9.1999999999999998E-3</v>
      </c>
      <c r="I1144" s="154" t="s">
        <v>271</v>
      </c>
      <c r="J1144" s="204">
        <v>2.3600000000000001E-3</v>
      </c>
      <c r="K1144" s="154" t="s">
        <v>25</v>
      </c>
      <c r="L1144" s="154" t="str">
        <f>IF(OpenLCAbasic!K1144="CTUh", "Fill in Manually",IF(OR(K1144="Unit", K1144=""), "", INDEX(LookUps!$E$5:$E$12, MATCH(OpenLCAbasic!K1144,LookUps!$D$5:$D$12,0))))</f>
        <v>Smog Formation Potential (SFP) - kg O3 eq</v>
      </c>
      <c r="M1144" s="154" t="str">
        <f t="shared" si="59"/>
        <v>Base_High_Low_Upgraded_Smog Formation Potential (SFP) - kg O3 eq_Biosolids composting; windrow composting; wastewater treatment unit; at updated plant - US_Base_With Amendment_Windrow</v>
      </c>
    </row>
    <row r="1145" spans="1:13" s="120" customFormat="1" x14ac:dyDescent="0.25">
      <c r="A1145" s="119"/>
      <c r="B1145" s="138" t="str">
        <f t="shared" si="58"/>
        <v>Windrow</v>
      </c>
      <c r="C1145" s="138" t="str">
        <f t="shared" si="60"/>
        <v>Base_With Amendment</v>
      </c>
      <c r="D1145" s="118" t="s">
        <v>138</v>
      </c>
      <c r="E1145" s="118" t="s">
        <v>130</v>
      </c>
      <c r="F1145" s="118" t="s">
        <v>46</v>
      </c>
      <c r="G1145" s="153"/>
      <c r="H1145" s="155">
        <v>2.0999999999999999E-3</v>
      </c>
      <c r="I1145" s="154" t="s">
        <v>148</v>
      </c>
      <c r="J1145" s="204">
        <v>5.4000000000000001E-4</v>
      </c>
      <c r="K1145" s="154" t="s">
        <v>25</v>
      </c>
      <c r="L1145" s="154" t="str">
        <f>IF(OpenLCAbasic!K1145="CTUh", "Fill in Manually",IF(OR(K1145="Unit", K1145=""), "", INDEX(LookUps!$E$5:$E$12, MATCH(OpenLCAbasic!K1145,LookUps!$D$5:$D$12,0))))</f>
        <v>Smog Formation Potential (SFP) - kg O3 eq</v>
      </c>
      <c r="M1145" s="154" t="str">
        <f t="shared" si="59"/>
        <v>Base_High_Low_Upgraded_Smog Formation Potential (SFP) - kg O3 eq_Control Building; at upgraded wastewater treatment plant - US_Base_With Amendment_Windrow</v>
      </c>
    </row>
    <row r="1146" spans="1:13" s="120" customFormat="1" x14ac:dyDescent="0.25">
      <c r="A1146" s="119"/>
      <c r="B1146" s="138" t="str">
        <f t="shared" si="58"/>
        <v>Windrow</v>
      </c>
      <c r="C1146" s="138" t="str">
        <f t="shared" si="60"/>
        <v>Base_With Amendment</v>
      </c>
      <c r="D1146" s="118" t="s">
        <v>138</v>
      </c>
      <c r="E1146" s="118" t="s">
        <v>130</v>
      </c>
      <c r="F1146" s="118" t="s">
        <v>46</v>
      </c>
      <c r="G1146" s="153"/>
      <c r="H1146" s="155">
        <v>-2.3199999999999998E-2</v>
      </c>
      <c r="I1146" s="154" t="s">
        <v>62</v>
      </c>
      <c r="J1146" s="204">
        <v>-5.9699999999999996E-3</v>
      </c>
      <c r="K1146" s="154" t="s">
        <v>25</v>
      </c>
      <c r="L1146" s="154" t="str">
        <f>IF(OpenLCAbasic!K1146="CTUh", "Fill in Manually",IF(OR(K1146="Unit", K1146=""), "", INDEX(LookUps!$E$5:$E$12, MATCH(OpenLCAbasic!K1146,LookUps!$D$5:$D$12,0))))</f>
        <v>Smog Formation Potential (SFP) - kg O3 eq</v>
      </c>
      <c r="M1146" s="154" t="str">
        <f t="shared" si="59"/>
        <v>Base_High_Low_Upgraded_Smog Formation Potential (SFP) - kg O3 eq_Land application of compost; wastewater treatment unit; at updated plant - US_Base_With Amendment_Windrow</v>
      </c>
    </row>
    <row r="1147" spans="1:13" s="120" customFormat="1" x14ac:dyDescent="0.25">
      <c r="A1147" s="119"/>
      <c r="B1147" s="138" t="str">
        <f t="shared" si="58"/>
        <v>Windrow</v>
      </c>
      <c r="C1147" s="138" t="str">
        <f t="shared" si="60"/>
        <v>Base_With Amendment</v>
      </c>
      <c r="D1147" s="118" t="s">
        <v>138</v>
      </c>
      <c r="E1147" s="118" t="s">
        <v>130</v>
      </c>
      <c r="F1147" s="118" t="s">
        <v>46</v>
      </c>
      <c r="G1147" s="153"/>
      <c r="H1147" s="155">
        <v>-0.49459999999999998</v>
      </c>
      <c r="I1147" s="154" t="s">
        <v>149</v>
      </c>
      <c r="J1147" s="203">
        <v>-0.12725</v>
      </c>
      <c r="K1147" s="154" t="s">
        <v>25</v>
      </c>
      <c r="L1147" s="154" t="str">
        <f>IF(OpenLCAbasic!K1147="CTUh", "Fill in Manually",IF(OR(K1147="Unit", K1147=""), "", INDEX(LookUps!$E$5:$E$12, MATCH(OpenLCAbasic!K1147,LookUps!$D$5:$D$12,0))))</f>
        <v>Smog Formation Potential (SFP) - kg O3 eq</v>
      </c>
      <c r="M1147" s="154" t="str">
        <f t="shared" si="59"/>
        <v>Base_High_Low_Upgraded_Smog Formation Potential (SFP) - kg O3 eq_Anaerobic Digestion; wastewater treatment unit; at updated plant - US_Base_With Amendment_Windrow</v>
      </c>
    </row>
    <row r="1148" spans="1:13" s="120" customFormat="1" x14ac:dyDescent="0.25">
      <c r="A1148" s="119"/>
      <c r="B1148" s="138" t="str">
        <f t="shared" si="58"/>
        <v>Windrow</v>
      </c>
      <c r="C1148" s="138" t="str">
        <f t="shared" si="60"/>
        <v>Base_With Amendment</v>
      </c>
      <c r="D1148" s="118" t="s">
        <v>138</v>
      </c>
      <c r="E1148" s="118" t="s">
        <v>130</v>
      </c>
      <c r="F1148" s="118" t="s">
        <v>46</v>
      </c>
      <c r="G1148" s="153" t="s">
        <v>51</v>
      </c>
      <c r="H1148" s="154"/>
      <c r="I1148" s="154" t="s">
        <v>47</v>
      </c>
      <c r="J1148" s="154" t="s">
        <v>52</v>
      </c>
      <c r="K1148" s="154" t="s">
        <v>27</v>
      </c>
      <c r="L1148" s="154" t="str">
        <f>IF(OpenLCAbasic!K1148="CTUh", "Fill in Manually",IF(OR(K1148="Unit", K1148=""), "", INDEX(LookUps!$E$5:$E$12, MATCH(OpenLCAbasic!K1148,LookUps!$D$5:$D$12,0))))</f>
        <v/>
      </c>
      <c r="M1148" s="154" t="str">
        <f t="shared" si="59"/>
        <v>Base_High_Low_Upgraded__Process_Base_With Amendment_Windrow</v>
      </c>
    </row>
    <row r="1149" spans="1:13" s="120" customFormat="1" x14ac:dyDescent="0.25">
      <c r="A1149" s="119"/>
      <c r="B1149" s="138" t="str">
        <f t="shared" si="58"/>
        <v>Windrow</v>
      </c>
      <c r="C1149" s="138" t="str">
        <f t="shared" si="60"/>
        <v>Base_With Amendment</v>
      </c>
      <c r="D1149" s="118" t="s">
        <v>138</v>
      </c>
      <c r="E1149" s="118" t="s">
        <v>130</v>
      </c>
      <c r="F1149" s="118" t="s">
        <v>46</v>
      </c>
      <c r="G1149" s="153"/>
      <c r="H1149" s="155">
        <v>0.26919999999999999</v>
      </c>
      <c r="I1149" s="154" t="s">
        <v>167</v>
      </c>
      <c r="J1149" s="204">
        <v>3.4000000000000002E-4</v>
      </c>
      <c r="K1149" s="154" t="s">
        <v>26</v>
      </c>
      <c r="L1149" s="154" t="str">
        <f>IF(OpenLCAbasic!K1149="CTUh", "Fill in Manually",IF(OR(K1149="Unit", K1149=""), "", INDEX(LookUps!$E$5:$E$12, MATCH(OpenLCAbasic!K1149,LookUps!$D$5:$D$12,0))))</f>
        <v>Water Use (WU) - m3 H2O</v>
      </c>
      <c r="M1149" s="154" t="str">
        <f t="shared" si="59"/>
        <v>Base_High_Low_Upgraded_Water Use (WU) - m3 H2O_Waste Receiving and Holding; wastewater treatment unit; at updated plant - US_Base_With Amendment_Windrow</v>
      </c>
    </row>
    <row r="1150" spans="1:13" s="120" customFormat="1" x14ac:dyDescent="0.25">
      <c r="A1150" s="119"/>
      <c r="B1150" s="138" t="str">
        <f t="shared" si="58"/>
        <v>Windrow</v>
      </c>
      <c r="C1150" s="138" t="str">
        <f t="shared" si="60"/>
        <v>Base_With Amendment</v>
      </c>
      <c r="D1150" s="118" t="s">
        <v>138</v>
      </c>
      <c r="E1150" s="118" t="s">
        <v>130</v>
      </c>
      <c r="F1150" s="118" t="s">
        <v>46</v>
      </c>
      <c r="G1150" s="153"/>
      <c r="H1150" s="155">
        <v>0.14729999999999999</v>
      </c>
      <c r="I1150" s="154" t="s">
        <v>147</v>
      </c>
      <c r="J1150" s="204">
        <v>1.8000000000000001E-4</v>
      </c>
      <c r="K1150" s="154" t="s">
        <v>26</v>
      </c>
      <c r="L1150" s="154" t="str">
        <f>IF(OpenLCAbasic!K1150="CTUh", "Fill in Manually",IF(OR(K1150="Unit", K1150=""), "", INDEX(LookUps!$E$5:$E$12, MATCH(OpenLCAbasic!K1150,LookUps!$D$5:$D$12,0))))</f>
        <v>Water Use (WU) - m3 H2O</v>
      </c>
      <c r="M1150" s="154" t="str">
        <f t="shared" si="59"/>
        <v>Base_High_Low_Upgraded_Water Use (WU) - m3 H2O_Influent Pump Station; wastewater treatment unit; at updated plant - US_Base_With Amendment_Windrow</v>
      </c>
    </row>
    <row r="1151" spans="1:13" s="120" customFormat="1" x14ac:dyDescent="0.25">
      <c r="A1151" s="119"/>
      <c r="B1151" s="138" t="str">
        <f t="shared" si="58"/>
        <v>Windrow</v>
      </c>
      <c r="C1151" s="138" t="str">
        <f t="shared" si="60"/>
        <v>Base_With Amendment</v>
      </c>
      <c r="D1151" s="118" t="s">
        <v>138</v>
      </c>
      <c r="E1151" s="118" t="s">
        <v>130</v>
      </c>
      <c r="F1151" s="118" t="s">
        <v>46</v>
      </c>
      <c r="G1151" s="153"/>
      <c r="H1151" s="155">
        <v>0.14369999999999999</v>
      </c>
      <c r="I1151" s="154" t="s">
        <v>54</v>
      </c>
      <c r="J1151" s="204">
        <v>1.8000000000000001E-4</v>
      </c>
      <c r="K1151" s="154" t="s">
        <v>26</v>
      </c>
      <c r="L1151" s="154" t="str">
        <f>IF(OpenLCAbasic!K1151="CTUh", "Fill in Manually",IF(OR(K1151="Unit", K1151=""), "", INDEX(LookUps!$E$5:$E$12, MATCH(OpenLCAbasic!K1151,LookUps!$D$5:$D$12,0))))</f>
        <v>Water Use (WU) - m3 H2O</v>
      </c>
      <c r="M1151" s="154" t="str">
        <f t="shared" si="59"/>
        <v>Base_High_Low_Upgraded_Water Use (WU) - m3 H2O_Clear Cove Primary Clarification; wastewater treatment unit; at updated plant - US_Base_With Amendment_Windrow</v>
      </c>
    </row>
    <row r="1152" spans="1:13" s="120" customFormat="1" x14ac:dyDescent="0.25">
      <c r="A1152" s="119"/>
      <c r="B1152" s="138" t="str">
        <f t="shared" si="58"/>
        <v>Windrow</v>
      </c>
      <c r="C1152" s="138" t="str">
        <f t="shared" si="60"/>
        <v>Base_With Amendment</v>
      </c>
      <c r="D1152" s="118" t="s">
        <v>138</v>
      </c>
      <c r="E1152" s="118" t="s">
        <v>130</v>
      </c>
      <c r="F1152" s="118" t="s">
        <v>46</v>
      </c>
      <c r="G1152" s="153"/>
      <c r="H1152" s="155">
        <v>0.13039999999999999</v>
      </c>
      <c r="I1152" s="154" t="s">
        <v>55</v>
      </c>
      <c r="J1152" s="204">
        <v>1.6000000000000001E-4</v>
      </c>
      <c r="K1152" s="154" t="s">
        <v>26</v>
      </c>
      <c r="L1152" s="154" t="str">
        <f>IF(OpenLCAbasic!K1152="CTUh", "Fill in Manually",IF(OR(K1152="Unit", K1152=""), "", INDEX(LookUps!$E$5:$E$12, MATCH(OpenLCAbasic!K1152,LookUps!$D$5:$D$12,0))))</f>
        <v>Water Use (WU) - m3 H2O</v>
      </c>
      <c r="M1152" s="154" t="str">
        <f t="shared" si="59"/>
        <v>Base_High_Low_Upgraded_Water Use (WU) - m3 H2O_Aeration Tanks; wastewater treatment unit; at updated plant - US_Base_With Amendment_Windrow</v>
      </c>
    </row>
    <row r="1153" spans="1:13" s="120" customFormat="1" x14ac:dyDescent="0.25">
      <c r="A1153" s="119"/>
      <c r="B1153" s="138" t="str">
        <f t="shared" si="58"/>
        <v>Windrow</v>
      </c>
      <c r="C1153" s="138" t="str">
        <f t="shared" si="60"/>
        <v>Base_With Amendment</v>
      </c>
      <c r="D1153" s="118" t="s">
        <v>138</v>
      </c>
      <c r="E1153" s="118" t="s">
        <v>130</v>
      </c>
      <c r="F1153" s="118" t="s">
        <v>46</v>
      </c>
      <c r="G1153" s="153"/>
      <c r="H1153" s="155">
        <v>0.1188</v>
      </c>
      <c r="I1153" s="154" t="s">
        <v>148</v>
      </c>
      <c r="J1153" s="204">
        <v>1.4999999999999999E-4</v>
      </c>
      <c r="K1153" s="154" t="s">
        <v>26</v>
      </c>
      <c r="L1153" s="154" t="str">
        <f>IF(OpenLCAbasic!K1153="CTUh", "Fill in Manually",IF(OR(K1153="Unit", K1153=""), "", INDEX(LookUps!$E$5:$E$12, MATCH(OpenLCAbasic!K1153,LookUps!$D$5:$D$12,0))))</f>
        <v>Water Use (WU) - m3 H2O</v>
      </c>
      <c r="M1153" s="154" t="str">
        <f t="shared" si="59"/>
        <v>Base_High_Low_Upgraded_Water Use (WU) - m3 H2O_Control Building; at upgraded wastewater treatment plant - US_Base_With Amendment_Windrow</v>
      </c>
    </row>
    <row r="1154" spans="1:13" s="120" customFormat="1" x14ac:dyDescent="0.25">
      <c r="A1154" s="119"/>
      <c r="B1154" s="138" t="str">
        <f t="shared" si="58"/>
        <v>Windrow</v>
      </c>
      <c r="C1154" s="138" t="str">
        <f t="shared" si="60"/>
        <v>Base_With Amendment</v>
      </c>
      <c r="D1154" s="118" t="s">
        <v>138</v>
      </c>
      <c r="E1154" s="118" t="s">
        <v>130</v>
      </c>
      <c r="F1154" s="118" t="s">
        <v>46</v>
      </c>
      <c r="G1154" s="153"/>
      <c r="H1154" s="155">
        <v>5.5199999999999999E-2</v>
      </c>
      <c r="I1154" s="154" t="s">
        <v>48</v>
      </c>
      <c r="J1154" s="204">
        <v>6.8836400000000004E-5</v>
      </c>
      <c r="K1154" s="154" t="s">
        <v>26</v>
      </c>
      <c r="L1154" s="154" t="str">
        <f>IF(OpenLCAbasic!K1154="CTUh", "Fill in Manually",IF(OR(K1154="Unit", K1154=""), "", INDEX(LookUps!$E$5:$E$12, MATCH(OpenLCAbasic!K1154,LookUps!$D$5:$D$12,0))))</f>
        <v>Water Use (WU) - m3 H2O</v>
      </c>
      <c r="M1154" s="154" t="str">
        <f t="shared" si="59"/>
        <v>Base_High_Low_Upgraded_Water Use (WU) - m3 H2O_Effluent release; wastewater treatment unit; at surface water; m3 wastewater - US_Base_With Amendment_Windrow</v>
      </c>
    </row>
    <row r="1155" spans="1:13" s="120" customFormat="1" x14ac:dyDescent="0.25">
      <c r="A1155" s="119"/>
      <c r="B1155" s="138" t="str">
        <f t="shared" si="58"/>
        <v>Windrow</v>
      </c>
      <c r="C1155" s="138" t="str">
        <f t="shared" si="60"/>
        <v>Base_With Amendment</v>
      </c>
      <c r="D1155" s="118" t="s">
        <v>138</v>
      </c>
      <c r="E1155" s="118" t="s">
        <v>130</v>
      </c>
      <c r="F1155" s="118" t="s">
        <v>46</v>
      </c>
      <c r="G1155" s="153"/>
      <c r="H1155" s="155">
        <v>3.8300000000000001E-2</v>
      </c>
      <c r="I1155" s="154" t="s">
        <v>60</v>
      </c>
      <c r="J1155" s="204">
        <v>4.7769200000000003E-5</v>
      </c>
      <c r="K1155" s="154" t="s">
        <v>26</v>
      </c>
      <c r="L1155" s="154" t="str">
        <f>IF(OpenLCAbasic!K1155="CTUh", "Fill in Manually",IF(OR(K1155="Unit", K1155=""), "", INDEX(LookUps!$E$5:$E$12, MATCH(OpenLCAbasic!K1155,LookUps!$D$5:$D$12,0))))</f>
        <v>Water Use (WU) - m3 H2O</v>
      </c>
      <c r="M1155" s="154" t="str">
        <f t="shared" si="59"/>
        <v>Base_High_Low_Upgraded_Water Use (WU) - m3 H2O_Belt filter press; wastewater treatment unit; at updated plant - US_Base_With Amendment_Windrow</v>
      </c>
    </row>
    <row r="1156" spans="1:13" s="120" customFormat="1" x14ac:dyDescent="0.25">
      <c r="A1156" s="119"/>
      <c r="B1156" s="138" t="str">
        <f t="shared" si="58"/>
        <v>Windrow</v>
      </c>
      <c r="C1156" s="138" t="str">
        <f t="shared" si="60"/>
        <v>Base_With Amendment</v>
      </c>
      <c r="D1156" s="118" t="s">
        <v>138</v>
      </c>
      <c r="E1156" s="118" t="s">
        <v>130</v>
      </c>
      <c r="F1156" s="118" t="s">
        <v>46</v>
      </c>
      <c r="G1156" s="153"/>
      <c r="H1156" s="155">
        <v>3.4700000000000002E-2</v>
      </c>
      <c r="I1156" s="154" t="s">
        <v>58</v>
      </c>
      <c r="J1156" s="204">
        <v>4.3289399999999999E-5</v>
      </c>
      <c r="K1156" s="154" t="s">
        <v>26</v>
      </c>
      <c r="L1156" s="154" t="str">
        <f>IF(OpenLCAbasic!K1156="CTUh", "Fill in Manually",IF(OR(K1156="Unit", K1156=""), "", INDEX(LookUps!$E$5:$E$12, MATCH(OpenLCAbasic!K1156,LookUps!$D$5:$D$12,0))))</f>
        <v>Water Use (WU) - m3 H2O</v>
      </c>
      <c r="M1156" s="154" t="str">
        <f t="shared" si="59"/>
        <v>Base_High_Low_Upgraded_Water Use (WU) - m3 H2O_Pre-Anoxic &amp; Swing tank; wastewater treatment unit; at updated plant - US_Base_With Amendment_Windrow</v>
      </c>
    </row>
    <row r="1157" spans="1:13" s="120" customFormat="1" x14ac:dyDescent="0.25">
      <c r="A1157" s="119"/>
      <c r="B1157" s="138" t="str">
        <f t="shared" si="58"/>
        <v>Windrow</v>
      </c>
      <c r="C1157" s="138" t="str">
        <f t="shared" si="60"/>
        <v>Base_With Amendment</v>
      </c>
      <c r="D1157" s="118" t="s">
        <v>138</v>
      </c>
      <c r="E1157" s="118" t="s">
        <v>130</v>
      </c>
      <c r="F1157" s="118" t="s">
        <v>46</v>
      </c>
      <c r="G1157" s="153"/>
      <c r="H1157" s="155">
        <v>2.4400000000000002E-2</v>
      </c>
      <c r="I1157" s="154" t="s">
        <v>57</v>
      </c>
      <c r="J1157" s="204">
        <v>3.0408100000000001E-5</v>
      </c>
      <c r="K1157" s="154" t="s">
        <v>26</v>
      </c>
      <c r="L1157" s="154" t="str">
        <f>IF(OpenLCAbasic!K1157="CTUh", "Fill in Manually",IF(OR(K1157="Unit", K1157=""), "", INDEX(LookUps!$E$5:$E$12, MATCH(OpenLCAbasic!K1157,LookUps!$D$5:$D$12,0))))</f>
        <v>Water Use (WU) - m3 H2O</v>
      </c>
      <c r="M1157" s="154" t="str">
        <f t="shared" si="59"/>
        <v>Base_High_Low_Upgraded_Water Use (WU) - m3 H2O_Gravity Belt Thickener; wastewater treatment unit; at updated plant - US_Base_With Amendment_Windrow</v>
      </c>
    </row>
    <row r="1158" spans="1:13" s="120" customFormat="1" x14ac:dyDescent="0.25">
      <c r="A1158" s="119"/>
      <c r="B1158" s="138" t="str">
        <f t="shared" si="58"/>
        <v>Windrow</v>
      </c>
      <c r="C1158" s="138" t="str">
        <f t="shared" si="60"/>
        <v>Base_With Amendment</v>
      </c>
      <c r="D1158" s="118" t="s">
        <v>138</v>
      </c>
      <c r="E1158" s="118" t="s">
        <v>130</v>
      </c>
      <c r="F1158" s="118" t="s">
        <v>46</v>
      </c>
      <c r="G1158" s="153"/>
      <c r="H1158" s="155">
        <v>1.4E-2</v>
      </c>
      <c r="I1158" s="154" t="s">
        <v>53</v>
      </c>
      <c r="J1158" s="204">
        <v>1.75069E-5</v>
      </c>
      <c r="K1158" s="154" t="s">
        <v>26</v>
      </c>
      <c r="L1158" s="154" t="str">
        <f>IF(OpenLCAbasic!K1158="CTUh", "Fill in Manually",IF(OR(K1158="Unit", K1158=""), "", INDEX(LookUps!$E$5:$E$12, MATCH(OpenLCAbasic!K1158,LookUps!$D$5:$D$12,0))))</f>
        <v>Water Use (WU) - m3 H2O</v>
      </c>
      <c r="M1158" s="154" t="str">
        <f t="shared" si="59"/>
        <v>Base_High_Low_Upgraded_Water Use (WU) - m3 H2O_Wet Well and Sump Station; wastewater treatment unit; at updated plant - US_Base_With Amendment_Windrow</v>
      </c>
    </row>
    <row r="1159" spans="1:13" s="120" customFormat="1" x14ac:dyDescent="0.25">
      <c r="A1159" s="119"/>
      <c r="B1159" s="138" t="str">
        <f t="shared" ref="B1159:B1222" si="61">IF(F1159="Legacy","n.a.",IF(F1159="","","Windrow"))</f>
        <v>Windrow</v>
      </c>
      <c r="C1159" s="138" t="str">
        <f t="shared" si="60"/>
        <v>Base_With Amendment</v>
      </c>
      <c r="D1159" s="118" t="s">
        <v>138</v>
      </c>
      <c r="E1159" s="118" t="s">
        <v>130</v>
      </c>
      <c r="F1159" s="118" t="s">
        <v>46</v>
      </c>
      <c r="G1159" s="153"/>
      <c r="H1159" s="155">
        <v>5.5999999999999999E-3</v>
      </c>
      <c r="I1159" s="154" t="s">
        <v>59</v>
      </c>
      <c r="J1159" s="204">
        <v>7.0179500000000003E-6</v>
      </c>
      <c r="K1159" s="154" t="s">
        <v>26</v>
      </c>
      <c r="L1159" s="154" t="str">
        <f>IF(OpenLCAbasic!K1159="CTUh", "Fill in Manually",IF(OR(K1159="Unit", K1159=""), "", INDEX(LookUps!$E$5:$E$12, MATCH(OpenLCAbasic!K1159,LookUps!$D$5:$D$12,0))))</f>
        <v>Water Use (WU) - m3 H2O</v>
      </c>
      <c r="M1159" s="154" t="str">
        <f t="shared" si="59"/>
        <v>Base_High_Low_Upgraded_Water Use (WU) - m3 H2O_Blend Tank; wastewater treatment unit; at updated plant - US_Base_With Amendment_Windrow</v>
      </c>
    </row>
    <row r="1160" spans="1:13" s="120" customFormat="1" x14ac:dyDescent="0.25">
      <c r="A1160" s="119"/>
      <c r="B1160" s="138" t="str">
        <f t="shared" si="61"/>
        <v>Windrow</v>
      </c>
      <c r="C1160" s="138" t="str">
        <f t="shared" si="60"/>
        <v>Base_With Amendment</v>
      </c>
      <c r="D1160" s="118" t="s">
        <v>138</v>
      </c>
      <c r="E1160" s="118" t="s">
        <v>130</v>
      </c>
      <c r="F1160" s="118" t="s">
        <v>46</v>
      </c>
      <c r="G1160" s="153"/>
      <c r="H1160" s="155">
        <v>4.1000000000000003E-3</v>
      </c>
      <c r="I1160" s="154" t="s">
        <v>128</v>
      </c>
      <c r="J1160" s="204">
        <v>5.0608900000000003E-6</v>
      </c>
      <c r="K1160" s="154" t="s">
        <v>26</v>
      </c>
      <c r="L1160" s="154" t="str">
        <f>IF(OpenLCAbasic!K1160="CTUh", "Fill in Manually",IF(OR(K1160="Unit", K1160=""), "", INDEX(LookUps!$E$5:$E$12, MATCH(OpenLCAbasic!K1160,LookUps!$D$5:$D$12,0))))</f>
        <v>Water Use (WU) - m3 H2O</v>
      </c>
      <c r="M1160" s="154" t="str">
        <f t="shared" ref="M1160:M1223" si="62">CONCATENATE(E1160,"_",D1160,"_",F1160,"_",L1160, "_",I1160,"_", C1160,"_", B1160)</f>
        <v>Base_High_Low_Upgraded_Water Use (WU) - m3 H2O_Wastewater collection; operation and infrastructure; m3 wastewater_Base_With Amendment_Windrow</v>
      </c>
    </row>
    <row r="1161" spans="1:13" s="120" customFormat="1" x14ac:dyDescent="0.25">
      <c r="A1161" s="119"/>
      <c r="B1161" s="138" t="str">
        <f t="shared" si="61"/>
        <v>Windrow</v>
      </c>
      <c r="C1161" s="138" t="str">
        <f t="shared" si="60"/>
        <v>Base_With Amendment</v>
      </c>
      <c r="D1161" s="118" t="s">
        <v>138</v>
      </c>
      <c r="E1161" s="118" t="s">
        <v>130</v>
      </c>
      <c r="F1161" s="118" t="s">
        <v>46</v>
      </c>
      <c r="G1161" s="153"/>
      <c r="H1161" s="155">
        <v>1.9E-3</v>
      </c>
      <c r="I1161" s="154" t="s">
        <v>271</v>
      </c>
      <c r="J1161" s="204">
        <v>2.3342E-6</v>
      </c>
      <c r="K1161" s="154" t="s">
        <v>26</v>
      </c>
      <c r="L1161" s="154" t="str">
        <f>IF(OpenLCAbasic!K1161="CTUh", "Fill in Manually",IF(OR(K1161="Unit", K1161=""), "", INDEX(LookUps!$E$5:$E$12, MATCH(OpenLCAbasic!K1161,LookUps!$D$5:$D$12,0))))</f>
        <v>Water Use (WU) - m3 H2O</v>
      </c>
      <c r="M1161" s="154" t="str">
        <f t="shared" si="62"/>
        <v>Base_High_Low_Upgraded_Water Use (WU) - m3 H2O_Biosolids composting; windrow composting; wastewater treatment unit; at updated plant - US_Base_With Amendment_Windrow</v>
      </c>
    </row>
    <row r="1162" spans="1:13" s="120" customFormat="1" x14ac:dyDescent="0.25">
      <c r="A1162" s="119"/>
      <c r="B1162" s="138" t="str">
        <f t="shared" si="61"/>
        <v>Windrow</v>
      </c>
      <c r="C1162" s="138" t="str">
        <f t="shared" si="60"/>
        <v>Base_With Amendment</v>
      </c>
      <c r="D1162" s="118" t="s">
        <v>138</v>
      </c>
      <c r="E1162" s="118" t="s">
        <v>130</v>
      </c>
      <c r="F1162" s="118" t="s">
        <v>46</v>
      </c>
      <c r="G1162" s="153"/>
      <c r="H1162" s="155">
        <v>5.9999999999999995E-4</v>
      </c>
      <c r="I1162" s="154" t="s">
        <v>168</v>
      </c>
      <c r="J1162" s="204">
        <v>7.6697000000000004E-7</v>
      </c>
      <c r="K1162" s="154" t="s">
        <v>26</v>
      </c>
      <c r="L1162" s="154" t="str">
        <f>IF(OpenLCAbasic!K1162="CTUh", "Fill in Manually",IF(OR(K1162="Unit", K1162=""), "", INDEX(LookUps!$E$5:$E$12, MATCH(OpenLCAbasic!K1162,LookUps!$D$5:$D$12,0))))</f>
        <v>Water Use (WU) - m3 H2O</v>
      </c>
      <c r="M1162" s="154" t="str">
        <f t="shared" si="62"/>
        <v>Base_High_Low_Upgraded_Water Use (WU) - m3 H2O_ClearCove SCP; wastewater treatment unit; at updated plant - US_Base_With Amendment_Windrow</v>
      </c>
    </row>
    <row r="1163" spans="1:13" s="120" customFormat="1" x14ac:dyDescent="0.25">
      <c r="A1163" s="119"/>
      <c r="B1163" s="138" t="str">
        <f t="shared" si="61"/>
        <v>Windrow</v>
      </c>
      <c r="C1163" s="138" t="str">
        <f t="shared" si="60"/>
        <v>Base_With Amendment</v>
      </c>
      <c r="D1163" s="118" t="s">
        <v>138</v>
      </c>
      <c r="E1163" s="118" t="s">
        <v>130</v>
      </c>
      <c r="F1163" s="118" t="s">
        <v>46</v>
      </c>
      <c r="G1163" s="153"/>
      <c r="H1163" s="155">
        <v>-9.9000000000000008E-3</v>
      </c>
      <c r="I1163" s="154" t="s">
        <v>149</v>
      </c>
      <c r="J1163" s="204">
        <v>-1.22975E-5</v>
      </c>
      <c r="K1163" s="154" t="s">
        <v>26</v>
      </c>
      <c r="L1163" s="154" t="str">
        <f>IF(OpenLCAbasic!K1163="CTUh", "Fill in Manually",IF(OR(K1163="Unit", K1163=""), "", INDEX(LookUps!$E$5:$E$12, MATCH(OpenLCAbasic!K1163,LookUps!$D$5:$D$12,0))))</f>
        <v>Water Use (WU) - m3 H2O</v>
      </c>
      <c r="M1163" s="154" t="str">
        <f t="shared" si="62"/>
        <v>Base_High_Low_Upgraded_Water Use (WU) - m3 H2O_Anaerobic Digestion; wastewater treatment unit; at updated plant - US_Base_With Amendment_Windrow</v>
      </c>
    </row>
    <row r="1164" spans="1:13" s="120" customFormat="1" x14ac:dyDescent="0.25">
      <c r="A1164" s="119"/>
      <c r="B1164" s="138" t="str">
        <f t="shared" si="61"/>
        <v>Windrow</v>
      </c>
      <c r="C1164" s="138" t="str">
        <f t="shared" si="60"/>
        <v>Base_With Amendment</v>
      </c>
      <c r="D1164" s="118" t="s">
        <v>138</v>
      </c>
      <c r="E1164" s="118" t="s">
        <v>130</v>
      </c>
      <c r="F1164" s="118" t="s">
        <v>46</v>
      </c>
      <c r="G1164" s="153"/>
      <c r="H1164" s="155">
        <v>-1.9781</v>
      </c>
      <c r="I1164" s="154" t="s">
        <v>62</v>
      </c>
      <c r="J1164" s="204">
        <v>-2.47E-3</v>
      </c>
      <c r="K1164" s="154" t="s">
        <v>26</v>
      </c>
      <c r="L1164" s="154" t="str">
        <f>IF(OpenLCAbasic!K1164="CTUh", "Fill in Manually",IF(OR(K1164="Unit", K1164=""), "", INDEX(LookUps!$E$5:$E$12, MATCH(OpenLCAbasic!K1164,LookUps!$D$5:$D$12,0))))</f>
        <v>Water Use (WU) - m3 H2O</v>
      </c>
      <c r="M1164" s="154" t="str">
        <f t="shared" si="62"/>
        <v>Base_High_Low_Upgraded_Water Use (WU) - m3 H2O_Land application of compost; wastewater treatment unit; at updated plant - US_Base_With Amendment_Windrow</v>
      </c>
    </row>
    <row r="1165" spans="1:13" s="120" customFormat="1" x14ac:dyDescent="0.25">
      <c r="A1165" s="119"/>
      <c r="B1165" s="138" t="str">
        <f t="shared" si="61"/>
        <v>Windrow</v>
      </c>
      <c r="C1165" s="138" t="str">
        <f t="shared" si="60"/>
        <v>Base_With Amendment</v>
      </c>
      <c r="D1165" s="118" t="s">
        <v>138</v>
      </c>
      <c r="E1165" s="118" t="s">
        <v>130</v>
      </c>
      <c r="F1165" s="118" t="s">
        <v>46</v>
      </c>
      <c r="G1165" s="153" t="s">
        <v>51</v>
      </c>
      <c r="H1165" s="154"/>
      <c r="I1165" s="154" t="s">
        <v>47</v>
      </c>
      <c r="J1165" s="154" t="s">
        <v>52</v>
      </c>
      <c r="K1165" s="154" t="s">
        <v>27</v>
      </c>
      <c r="L1165" s="154" t="str">
        <f>IF(OpenLCAbasic!K1165="CTUh", "Fill in Manually",IF(OR(K1165="Unit", K1165=""), "", INDEX(LookUps!$E$5:$E$12, MATCH(OpenLCAbasic!K1165,LookUps!$D$5:$D$12,0))))</f>
        <v/>
      </c>
      <c r="M1165" s="154" t="str">
        <f t="shared" si="62"/>
        <v>Base_High_Low_Upgraded__Process_Base_With Amendment_Windrow</v>
      </c>
    </row>
    <row r="1166" spans="1:13" s="120" customFormat="1" x14ac:dyDescent="0.25">
      <c r="A1166" s="119"/>
      <c r="B1166" s="138" t="str">
        <f t="shared" si="61"/>
        <v>Windrow</v>
      </c>
      <c r="C1166" s="138" t="str">
        <f t="shared" si="60"/>
        <v>Base_With Amendment</v>
      </c>
      <c r="D1166" s="118" t="s">
        <v>138</v>
      </c>
      <c r="E1166" s="118" t="s">
        <v>130</v>
      </c>
      <c r="F1166" s="118" t="s">
        <v>46</v>
      </c>
      <c r="G1166" s="153"/>
      <c r="H1166" s="155">
        <v>0.70340000000000003</v>
      </c>
      <c r="I1166" s="154" t="s">
        <v>167</v>
      </c>
      <c r="J1166" s="203">
        <v>0.11719</v>
      </c>
      <c r="K1166" s="154" t="s">
        <v>14</v>
      </c>
      <c r="L1166" s="154" t="str">
        <f>IF(OpenLCAbasic!K1166="CTUh", "Fill in Manually",IF(OR(K1166="Unit", K1166=""), "", INDEX(LookUps!$E$5:$E$12, MATCH(OpenLCAbasic!K1166,LookUps!$D$5:$D$12,0))))</f>
        <v>Fossil Depletion Potential (FDP) - kg oil eq</v>
      </c>
      <c r="M1166" s="154" t="str">
        <f t="shared" si="62"/>
        <v>Base_High_Low_Upgraded_Fossil Depletion Potential (FDP) - kg oil eq_Waste Receiving and Holding; wastewater treatment unit; at updated plant - US_Base_With Amendment_Windrow</v>
      </c>
    </row>
    <row r="1167" spans="1:13" s="120" customFormat="1" x14ac:dyDescent="0.25">
      <c r="A1167" s="119"/>
      <c r="B1167" s="138" t="str">
        <f t="shared" si="61"/>
        <v>Windrow</v>
      </c>
      <c r="C1167" s="138" t="str">
        <f t="shared" ref="C1167:C1230" si="63">IF(E1167&lt;&gt;"", "Base_With Amendment","")</f>
        <v>Base_With Amendment</v>
      </c>
      <c r="D1167" s="118" t="s">
        <v>138</v>
      </c>
      <c r="E1167" s="118" t="s">
        <v>130</v>
      </c>
      <c r="F1167" s="118" t="s">
        <v>46</v>
      </c>
      <c r="G1167" s="153"/>
      <c r="H1167" s="155">
        <v>0.38169999999999998</v>
      </c>
      <c r="I1167" s="154" t="s">
        <v>55</v>
      </c>
      <c r="J1167" s="203">
        <v>6.3589999999999994E-2</v>
      </c>
      <c r="K1167" s="154" t="s">
        <v>14</v>
      </c>
      <c r="L1167" s="154" t="str">
        <f>IF(OpenLCAbasic!K1167="CTUh", "Fill in Manually",IF(OR(K1167="Unit", K1167=""), "", INDEX(LookUps!$E$5:$E$12, MATCH(OpenLCAbasic!K1167,LookUps!$D$5:$D$12,0))))</f>
        <v>Fossil Depletion Potential (FDP) - kg oil eq</v>
      </c>
      <c r="M1167" s="154" t="str">
        <f t="shared" si="62"/>
        <v>Base_High_Low_Upgraded_Fossil Depletion Potential (FDP) - kg oil eq_Aeration Tanks; wastewater treatment unit; at updated plant - US_Base_With Amendment_Windrow</v>
      </c>
    </row>
    <row r="1168" spans="1:13" s="120" customFormat="1" x14ac:dyDescent="0.25">
      <c r="A1168" s="119"/>
      <c r="B1168" s="138" t="str">
        <f t="shared" si="61"/>
        <v>Windrow</v>
      </c>
      <c r="C1168" s="138" t="str">
        <f t="shared" si="63"/>
        <v>Base_With Amendment</v>
      </c>
      <c r="D1168" s="118" t="s">
        <v>138</v>
      </c>
      <c r="E1168" s="118" t="s">
        <v>130</v>
      </c>
      <c r="F1168" s="118" t="s">
        <v>46</v>
      </c>
      <c r="G1168" s="153"/>
      <c r="H1168" s="155">
        <v>0.12640000000000001</v>
      </c>
      <c r="I1168" s="154" t="s">
        <v>54</v>
      </c>
      <c r="J1168" s="203">
        <v>2.1049999999999999E-2</v>
      </c>
      <c r="K1168" s="154" t="s">
        <v>14</v>
      </c>
      <c r="L1168" s="154" t="str">
        <f>IF(OpenLCAbasic!K1168="CTUh", "Fill in Manually",IF(OR(K1168="Unit", K1168=""), "", INDEX(LookUps!$E$5:$E$12, MATCH(OpenLCAbasic!K1168,LookUps!$D$5:$D$12,0))))</f>
        <v>Fossil Depletion Potential (FDP) - kg oil eq</v>
      </c>
      <c r="M1168" s="154" t="str">
        <f t="shared" si="62"/>
        <v>Base_High_Low_Upgraded_Fossil Depletion Potential (FDP) - kg oil eq_Clear Cove Primary Clarification; wastewater treatment unit; at updated plant - US_Base_With Amendment_Windrow</v>
      </c>
    </row>
    <row r="1169" spans="1:13" s="120" customFormat="1" x14ac:dyDescent="0.25">
      <c r="A1169" s="119"/>
      <c r="B1169" s="138" t="str">
        <f t="shared" si="61"/>
        <v>Windrow</v>
      </c>
      <c r="C1169" s="138" t="str">
        <f t="shared" si="63"/>
        <v>Base_With Amendment</v>
      </c>
      <c r="D1169" s="118" t="s">
        <v>138</v>
      </c>
      <c r="E1169" s="118" t="s">
        <v>130</v>
      </c>
      <c r="F1169" s="118" t="s">
        <v>46</v>
      </c>
      <c r="G1169" s="153"/>
      <c r="H1169" s="155">
        <v>9.6299999999999997E-2</v>
      </c>
      <c r="I1169" s="154" t="s">
        <v>58</v>
      </c>
      <c r="J1169" s="203">
        <v>1.6039999999999999E-2</v>
      </c>
      <c r="K1169" s="154" t="s">
        <v>14</v>
      </c>
      <c r="L1169" s="154" t="str">
        <f>IF(OpenLCAbasic!K1169="CTUh", "Fill in Manually",IF(OR(K1169="Unit", K1169=""), "", INDEX(LookUps!$E$5:$E$12, MATCH(OpenLCAbasic!K1169,LookUps!$D$5:$D$12,0))))</f>
        <v>Fossil Depletion Potential (FDP) - kg oil eq</v>
      </c>
      <c r="M1169" s="154" t="str">
        <f t="shared" si="62"/>
        <v>Base_High_Low_Upgraded_Fossil Depletion Potential (FDP) - kg oil eq_Pre-Anoxic &amp; Swing tank; wastewater treatment unit; at updated plant - US_Base_With Amendment_Windrow</v>
      </c>
    </row>
    <row r="1170" spans="1:13" s="120" customFormat="1" x14ac:dyDescent="0.25">
      <c r="A1170" s="119"/>
      <c r="B1170" s="138" t="str">
        <f t="shared" si="61"/>
        <v>Windrow</v>
      </c>
      <c r="C1170" s="138" t="str">
        <f t="shared" si="63"/>
        <v>Base_With Amendment</v>
      </c>
      <c r="D1170" s="118" t="s">
        <v>138</v>
      </c>
      <c r="E1170" s="118" t="s">
        <v>130</v>
      </c>
      <c r="F1170" s="118" t="s">
        <v>46</v>
      </c>
      <c r="G1170" s="153"/>
      <c r="H1170" s="155">
        <v>9.06E-2</v>
      </c>
      <c r="I1170" s="154" t="s">
        <v>147</v>
      </c>
      <c r="J1170" s="203">
        <v>1.5089999999999999E-2</v>
      </c>
      <c r="K1170" s="154" t="s">
        <v>14</v>
      </c>
      <c r="L1170" s="154" t="str">
        <f>IF(OpenLCAbasic!K1170="CTUh", "Fill in Manually",IF(OR(K1170="Unit", K1170=""), "", INDEX(LookUps!$E$5:$E$12, MATCH(OpenLCAbasic!K1170,LookUps!$D$5:$D$12,0))))</f>
        <v>Fossil Depletion Potential (FDP) - kg oil eq</v>
      </c>
      <c r="M1170" s="154" t="str">
        <f t="shared" si="62"/>
        <v>Base_High_Low_Upgraded_Fossil Depletion Potential (FDP) - kg oil eq_Influent Pump Station; wastewater treatment unit; at updated plant - US_Base_With Amendment_Windrow</v>
      </c>
    </row>
    <row r="1171" spans="1:13" s="120" customFormat="1" x14ac:dyDescent="0.25">
      <c r="A1171" s="119"/>
      <c r="B1171" s="138" t="str">
        <f t="shared" si="61"/>
        <v>Windrow</v>
      </c>
      <c r="C1171" s="138" t="str">
        <f t="shared" si="63"/>
        <v>Base_With Amendment</v>
      </c>
      <c r="D1171" s="118" t="s">
        <v>138</v>
      </c>
      <c r="E1171" s="118" t="s">
        <v>130</v>
      </c>
      <c r="F1171" s="118" t="s">
        <v>46</v>
      </c>
      <c r="G1171" s="153"/>
      <c r="H1171" s="155">
        <v>7.5999999999999998E-2</v>
      </c>
      <c r="I1171" s="154" t="s">
        <v>60</v>
      </c>
      <c r="J1171" s="203">
        <v>1.2659999999999999E-2</v>
      </c>
      <c r="K1171" s="154" t="s">
        <v>14</v>
      </c>
      <c r="L1171" s="154" t="str">
        <f>IF(OpenLCAbasic!K1171="CTUh", "Fill in Manually",IF(OR(K1171="Unit", K1171=""), "", INDEX(LookUps!$E$5:$E$12, MATCH(OpenLCAbasic!K1171,LookUps!$D$5:$D$12,0))))</f>
        <v>Fossil Depletion Potential (FDP) - kg oil eq</v>
      </c>
      <c r="M1171" s="154" t="str">
        <f t="shared" si="62"/>
        <v>Base_High_Low_Upgraded_Fossil Depletion Potential (FDP) - kg oil eq_Belt filter press; wastewater treatment unit; at updated plant - US_Base_With Amendment_Windrow</v>
      </c>
    </row>
    <row r="1172" spans="1:13" s="120" customFormat="1" x14ac:dyDescent="0.25">
      <c r="A1172" s="119"/>
      <c r="B1172" s="138" t="str">
        <f t="shared" si="61"/>
        <v>Windrow</v>
      </c>
      <c r="C1172" s="138" t="str">
        <f t="shared" si="63"/>
        <v>Base_With Amendment</v>
      </c>
      <c r="D1172" s="118" t="s">
        <v>138</v>
      </c>
      <c r="E1172" s="118" t="s">
        <v>130</v>
      </c>
      <c r="F1172" s="118" t="s">
        <v>46</v>
      </c>
      <c r="G1172" s="153"/>
      <c r="H1172" s="155">
        <v>7.4999999999999997E-2</v>
      </c>
      <c r="I1172" s="154" t="s">
        <v>53</v>
      </c>
      <c r="J1172" s="204">
        <v>1.2489999999999999E-2</v>
      </c>
      <c r="K1172" s="154" t="s">
        <v>14</v>
      </c>
      <c r="L1172" s="154" t="str">
        <f>IF(OpenLCAbasic!K1172="CTUh", "Fill in Manually",IF(OR(K1172="Unit", K1172=""), "", INDEX(LookUps!$E$5:$E$12, MATCH(OpenLCAbasic!K1172,LookUps!$D$5:$D$12,0))))</f>
        <v>Fossil Depletion Potential (FDP) - kg oil eq</v>
      </c>
      <c r="M1172" s="154" t="str">
        <f t="shared" si="62"/>
        <v>Base_High_Low_Upgraded_Fossil Depletion Potential (FDP) - kg oil eq_Wet Well and Sump Station; wastewater treatment unit; at updated plant - US_Base_With Amendment_Windrow</v>
      </c>
    </row>
    <row r="1173" spans="1:13" s="120" customFormat="1" x14ac:dyDescent="0.25">
      <c r="A1173" s="119"/>
      <c r="B1173" s="138" t="str">
        <f t="shared" si="61"/>
        <v>Windrow</v>
      </c>
      <c r="C1173" s="138" t="str">
        <f t="shared" si="63"/>
        <v>Base_With Amendment</v>
      </c>
      <c r="D1173" s="118" t="s">
        <v>138</v>
      </c>
      <c r="E1173" s="118" t="s">
        <v>130</v>
      </c>
      <c r="F1173" s="118" t="s">
        <v>46</v>
      </c>
      <c r="G1173" s="153"/>
      <c r="H1173" s="155">
        <v>4.1500000000000002E-2</v>
      </c>
      <c r="I1173" s="154" t="s">
        <v>57</v>
      </c>
      <c r="J1173" s="204">
        <v>6.9199999999999999E-3</v>
      </c>
      <c r="K1173" s="154" t="s">
        <v>14</v>
      </c>
      <c r="L1173" s="154" t="str">
        <f>IF(OpenLCAbasic!K1173="CTUh", "Fill in Manually",IF(OR(K1173="Unit", K1173=""), "", INDEX(LookUps!$E$5:$E$12, MATCH(OpenLCAbasic!K1173,LookUps!$D$5:$D$12,0))))</f>
        <v>Fossil Depletion Potential (FDP) - kg oil eq</v>
      </c>
      <c r="M1173" s="154" t="str">
        <f t="shared" si="62"/>
        <v>Base_High_Low_Upgraded_Fossil Depletion Potential (FDP) - kg oil eq_Gravity Belt Thickener; wastewater treatment unit; at updated plant - US_Base_With Amendment_Windrow</v>
      </c>
    </row>
    <row r="1174" spans="1:13" s="120" customFormat="1" x14ac:dyDescent="0.25">
      <c r="A1174" s="119"/>
      <c r="B1174" s="138" t="str">
        <f t="shared" si="61"/>
        <v>Windrow</v>
      </c>
      <c r="C1174" s="138" t="str">
        <f t="shared" si="63"/>
        <v>Base_With Amendment</v>
      </c>
      <c r="D1174" s="118" t="s">
        <v>138</v>
      </c>
      <c r="E1174" s="118" t="s">
        <v>130</v>
      </c>
      <c r="F1174" s="118" t="s">
        <v>46</v>
      </c>
      <c r="G1174" s="153"/>
      <c r="H1174" s="155">
        <v>2.7E-2</v>
      </c>
      <c r="I1174" s="154" t="s">
        <v>128</v>
      </c>
      <c r="J1174" s="204">
        <v>4.4999999999999997E-3</v>
      </c>
      <c r="K1174" s="154" t="s">
        <v>14</v>
      </c>
      <c r="L1174" s="154" t="str">
        <f>IF(OpenLCAbasic!K1174="CTUh", "Fill in Manually",IF(OR(K1174="Unit", K1174=""), "", INDEX(LookUps!$E$5:$E$12, MATCH(OpenLCAbasic!K1174,LookUps!$D$5:$D$12,0))))</f>
        <v>Fossil Depletion Potential (FDP) - kg oil eq</v>
      </c>
      <c r="M1174" s="154" t="str">
        <f t="shared" si="62"/>
        <v>Base_High_Low_Upgraded_Fossil Depletion Potential (FDP) - kg oil eq_Wastewater collection; operation and infrastructure; m3 wastewater_Base_With Amendment_Windrow</v>
      </c>
    </row>
    <row r="1175" spans="1:13" s="120" customFormat="1" x14ac:dyDescent="0.25">
      <c r="A1175" s="119"/>
      <c r="B1175" s="138" t="str">
        <f t="shared" si="61"/>
        <v>Windrow</v>
      </c>
      <c r="C1175" s="138" t="str">
        <f t="shared" si="63"/>
        <v>Base_With Amendment</v>
      </c>
      <c r="D1175" s="118" t="s">
        <v>138</v>
      </c>
      <c r="E1175" s="118" t="s">
        <v>130</v>
      </c>
      <c r="F1175" s="118" t="s">
        <v>46</v>
      </c>
      <c r="G1175" s="153"/>
      <c r="H1175" s="155">
        <v>1.6799999999999999E-2</v>
      </c>
      <c r="I1175" s="154" t="s">
        <v>148</v>
      </c>
      <c r="J1175" s="204">
        <v>2.8E-3</v>
      </c>
      <c r="K1175" s="154" t="s">
        <v>14</v>
      </c>
      <c r="L1175" s="154" t="str">
        <f>IF(OpenLCAbasic!K1175="CTUh", "Fill in Manually",IF(OR(K1175="Unit", K1175=""), "", INDEX(LookUps!$E$5:$E$12, MATCH(OpenLCAbasic!K1175,LookUps!$D$5:$D$12,0))))</f>
        <v>Fossil Depletion Potential (FDP) - kg oil eq</v>
      </c>
      <c r="M1175" s="154" t="str">
        <f t="shared" si="62"/>
        <v>Base_High_Low_Upgraded_Fossil Depletion Potential (FDP) - kg oil eq_Control Building; at upgraded wastewater treatment plant - US_Base_With Amendment_Windrow</v>
      </c>
    </row>
    <row r="1176" spans="1:13" s="120" customFormat="1" x14ac:dyDescent="0.25">
      <c r="A1176" s="119"/>
      <c r="B1176" s="138" t="str">
        <f t="shared" si="61"/>
        <v>Windrow</v>
      </c>
      <c r="C1176" s="138" t="str">
        <f t="shared" si="63"/>
        <v>Base_With Amendment</v>
      </c>
      <c r="D1176" s="118" t="s">
        <v>138</v>
      </c>
      <c r="E1176" s="118" t="s">
        <v>130</v>
      </c>
      <c r="F1176" s="118" t="s">
        <v>46</v>
      </c>
      <c r="G1176" s="153"/>
      <c r="H1176" s="155">
        <v>1.4200000000000001E-2</v>
      </c>
      <c r="I1176" s="154" t="s">
        <v>48</v>
      </c>
      <c r="J1176" s="204">
        <v>2.3600000000000001E-3</v>
      </c>
      <c r="K1176" s="154" t="s">
        <v>14</v>
      </c>
      <c r="L1176" s="154" t="str">
        <f>IF(OpenLCAbasic!K1176="CTUh", "Fill in Manually",IF(OR(K1176="Unit", K1176=""), "", INDEX(LookUps!$E$5:$E$12, MATCH(OpenLCAbasic!K1176,LookUps!$D$5:$D$12,0))))</f>
        <v>Fossil Depletion Potential (FDP) - kg oil eq</v>
      </c>
      <c r="M1176" s="154" t="str">
        <f t="shared" si="62"/>
        <v>Base_High_Low_Upgraded_Fossil Depletion Potential (FDP) - kg oil eq_Effluent release; wastewater treatment unit; at surface water; m3 wastewater - US_Base_With Amendment_Windrow</v>
      </c>
    </row>
    <row r="1177" spans="1:13" s="120" customFormat="1" x14ac:dyDescent="0.25">
      <c r="A1177" s="119"/>
      <c r="B1177" s="138" t="str">
        <f t="shared" si="61"/>
        <v>Windrow</v>
      </c>
      <c r="C1177" s="138" t="str">
        <f t="shared" si="63"/>
        <v>Base_With Amendment</v>
      </c>
      <c r="D1177" s="118" t="s">
        <v>138</v>
      </c>
      <c r="E1177" s="118" t="s">
        <v>130</v>
      </c>
      <c r="F1177" s="118" t="s">
        <v>46</v>
      </c>
      <c r="G1177" s="153"/>
      <c r="H1177" s="155">
        <v>1.15E-2</v>
      </c>
      <c r="I1177" s="154" t="s">
        <v>59</v>
      </c>
      <c r="J1177" s="204">
        <v>1.92E-3</v>
      </c>
      <c r="K1177" s="154" t="s">
        <v>14</v>
      </c>
      <c r="L1177" s="154" t="str">
        <f>IF(OpenLCAbasic!K1177="CTUh", "Fill in Manually",IF(OR(K1177="Unit", K1177=""), "", INDEX(LookUps!$E$5:$E$12, MATCH(OpenLCAbasic!K1177,LookUps!$D$5:$D$12,0))))</f>
        <v>Fossil Depletion Potential (FDP) - kg oil eq</v>
      </c>
      <c r="M1177" s="154" t="str">
        <f t="shared" si="62"/>
        <v>Base_High_Low_Upgraded_Fossil Depletion Potential (FDP) - kg oil eq_Blend Tank; wastewater treatment unit; at updated plant - US_Base_With Amendment_Windrow</v>
      </c>
    </row>
    <row r="1178" spans="1:13" s="120" customFormat="1" x14ac:dyDescent="0.25">
      <c r="A1178" s="119"/>
      <c r="B1178" s="138" t="str">
        <f t="shared" si="61"/>
        <v>Windrow</v>
      </c>
      <c r="C1178" s="138" t="str">
        <f t="shared" si="63"/>
        <v>Base_With Amendment</v>
      </c>
      <c r="D1178" s="118" t="s">
        <v>138</v>
      </c>
      <c r="E1178" s="118" t="s">
        <v>130</v>
      </c>
      <c r="F1178" s="118" t="s">
        <v>46</v>
      </c>
      <c r="G1178" s="153"/>
      <c r="H1178" s="155">
        <v>5.7999999999999996E-3</v>
      </c>
      <c r="I1178" s="154" t="s">
        <v>271</v>
      </c>
      <c r="J1178" s="204">
        <v>9.6000000000000002E-4</v>
      </c>
      <c r="K1178" s="154" t="s">
        <v>14</v>
      </c>
      <c r="L1178" s="154" t="str">
        <f>IF(OpenLCAbasic!K1178="CTUh", "Fill in Manually",IF(OR(K1178="Unit", K1178=""), "", INDEX(LookUps!$E$5:$E$12, MATCH(OpenLCAbasic!K1178,LookUps!$D$5:$D$12,0))))</f>
        <v>Fossil Depletion Potential (FDP) - kg oil eq</v>
      </c>
      <c r="M1178" s="154" t="str">
        <f t="shared" si="62"/>
        <v>Base_High_Low_Upgraded_Fossil Depletion Potential (FDP) - kg oil eq_Biosolids composting; windrow composting; wastewater treatment unit; at updated plant - US_Base_With Amendment_Windrow</v>
      </c>
    </row>
    <row r="1179" spans="1:13" s="120" customFormat="1" x14ac:dyDescent="0.25">
      <c r="A1179" s="119"/>
      <c r="B1179" s="138" t="str">
        <f t="shared" si="61"/>
        <v>Windrow</v>
      </c>
      <c r="C1179" s="138" t="str">
        <f t="shared" si="63"/>
        <v>Base_With Amendment</v>
      </c>
      <c r="D1179" s="118" t="s">
        <v>138</v>
      </c>
      <c r="E1179" s="118" t="s">
        <v>130</v>
      </c>
      <c r="F1179" s="118" t="s">
        <v>46</v>
      </c>
      <c r="G1179" s="153"/>
      <c r="H1179" s="155">
        <v>5.4999999999999997E-3</v>
      </c>
      <c r="I1179" s="154" t="s">
        <v>168</v>
      </c>
      <c r="J1179" s="204">
        <v>9.1E-4</v>
      </c>
      <c r="K1179" s="154" t="s">
        <v>14</v>
      </c>
      <c r="L1179" s="154" t="str">
        <f>IF(OpenLCAbasic!K1179="CTUh", "Fill in Manually",IF(OR(K1179="Unit", K1179=""), "", INDEX(LookUps!$E$5:$E$12, MATCH(OpenLCAbasic!K1179,LookUps!$D$5:$D$12,0))))</f>
        <v>Fossil Depletion Potential (FDP) - kg oil eq</v>
      </c>
      <c r="M1179" s="154" t="str">
        <f t="shared" si="62"/>
        <v>Base_High_Low_Upgraded_Fossil Depletion Potential (FDP) - kg oil eq_ClearCove SCP; wastewater treatment unit; at updated plant - US_Base_With Amendment_Windrow</v>
      </c>
    </row>
    <row r="1180" spans="1:13" s="120" customFormat="1" x14ac:dyDescent="0.25">
      <c r="A1180" s="119"/>
      <c r="B1180" s="138" t="str">
        <f t="shared" si="61"/>
        <v>Windrow</v>
      </c>
      <c r="C1180" s="138" t="str">
        <f t="shared" si="63"/>
        <v>Base_With Amendment</v>
      </c>
      <c r="D1180" s="118" t="s">
        <v>138</v>
      </c>
      <c r="E1180" s="118" t="s">
        <v>130</v>
      </c>
      <c r="F1180" s="118" t="s">
        <v>46</v>
      </c>
      <c r="G1180" s="153"/>
      <c r="H1180" s="155">
        <v>-7.9500000000000001E-2</v>
      </c>
      <c r="I1180" s="154" t="s">
        <v>62</v>
      </c>
      <c r="J1180" s="203">
        <v>-1.324E-2</v>
      </c>
      <c r="K1180" s="154" t="s">
        <v>14</v>
      </c>
      <c r="L1180" s="154" t="str">
        <f>IF(OpenLCAbasic!K1180="CTUh", "Fill in Manually",IF(OR(K1180="Unit", K1180=""), "", INDEX(LookUps!$E$5:$E$12, MATCH(OpenLCAbasic!K1180,LookUps!$D$5:$D$12,0))))</f>
        <v>Fossil Depletion Potential (FDP) - kg oil eq</v>
      </c>
      <c r="M1180" s="154" t="str">
        <f t="shared" si="62"/>
        <v>Base_High_Low_Upgraded_Fossil Depletion Potential (FDP) - kg oil eq_Land application of compost; wastewater treatment unit; at updated plant - US_Base_With Amendment_Windrow</v>
      </c>
    </row>
    <row r="1181" spans="1:13" s="120" customFormat="1" x14ac:dyDescent="0.25">
      <c r="A1181" s="213"/>
      <c r="B1181" s="138" t="str">
        <f t="shared" si="61"/>
        <v>Windrow</v>
      </c>
      <c r="C1181" s="138" t="str">
        <f t="shared" si="63"/>
        <v>Base_With Amendment</v>
      </c>
      <c r="D1181" s="118" t="s">
        <v>138</v>
      </c>
      <c r="E1181" s="118" t="s">
        <v>130</v>
      </c>
      <c r="F1181" s="118" t="s">
        <v>46</v>
      </c>
      <c r="G1181" s="153"/>
      <c r="H1181" s="155">
        <v>-0.59209999999999996</v>
      </c>
      <c r="I1181" s="154" t="s">
        <v>149</v>
      </c>
      <c r="J1181" s="203">
        <v>-9.8640000000000005E-2</v>
      </c>
      <c r="K1181" s="154" t="s">
        <v>14</v>
      </c>
      <c r="L1181" s="154" t="str">
        <f>IF(OpenLCAbasic!K1181="CTUh", "Fill in Manually",IF(OR(K1181="Unit", K1181=""), "", INDEX(LookUps!$E$5:$E$12, MATCH(OpenLCAbasic!K1181,LookUps!$D$5:$D$12,0))))</f>
        <v>Fossil Depletion Potential (FDP) - kg oil eq</v>
      </c>
      <c r="M1181" s="154" t="str">
        <f t="shared" si="62"/>
        <v>Base_High_Low_Upgraded_Fossil Depletion Potential (FDP) - kg oil eq_Anaerobic Digestion; wastewater treatment unit; at updated plant - US_Base_With Amendment_Windrow</v>
      </c>
    </row>
    <row r="1182" spans="1:13" s="120" customFormat="1" x14ac:dyDescent="0.25">
      <c r="A1182" s="119"/>
      <c r="B1182" s="138"/>
      <c r="C1182" s="138"/>
      <c r="D1182" s="118"/>
      <c r="E1182" s="118"/>
      <c r="F1182" s="118"/>
      <c r="G1182" s="153" t="s">
        <v>51</v>
      </c>
      <c r="H1182" s="154"/>
      <c r="I1182" s="154" t="s">
        <v>47</v>
      </c>
      <c r="J1182" s="154" t="s">
        <v>52</v>
      </c>
      <c r="K1182" s="154" t="s">
        <v>27</v>
      </c>
      <c r="L1182" s="154" t="str">
        <f>IF(OpenLCAbasic!K1182="CTUh", "Fill in Manually",IF(OR(K1182="Unit", K1182=""), "", INDEX(LookUps!$E$5:$E$12, MATCH(OpenLCAbasic!K1182,LookUps!$D$5:$D$12,0))))</f>
        <v/>
      </c>
      <c r="M1182" s="154" t="str">
        <f t="shared" si="62"/>
        <v>____Process__</v>
      </c>
    </row>
    <row r="1183" spans="1:13" s="120" customFormat="1" x14ac:dyDescent="0.25">
      <c r="A1183" s="119"/>
      <c r="B1183" s="138" t="str">
        <f t="shared" si="61"/>
        <v>Windrow</v>
      </c>
      <c r="C1183" s="138" t="str">
        <f t="shared" si="63"/>
        <v>Base_With Amendment</v>
      </c>
      <c r="D1183" s="118" t="s">
        <v>139</v>
      </c>
      <c r="E1183" s="118" t="s">
        <v>130</v>
      </c>
      <c r="F1183" s="118" t="s">
        <v>46</v>
      </c>
      <c r="G1183" s="153"/>
      <c r="H1183" s="155">
        <v>1.8262</v>
      </c>
      <c r="I1183" s="154" t="s">
        <v>271</v>
      </c>
      <c r="J1183" s="157">
        <v>1.41476</v>
      </c>
      <c r="K1183" s="154" t="s">
        <v>23</v>
      </c>
      <c r="L1183" s="154" t="str">
        <f>IF(OpenLCAbasic!K1183="CTUh", "Fill in Manually",IF(OR(K1183="Unit", K1183=""), "", INDEX(LookUps!$E$5:$E$12, MATCH(OpenLCAbasic!K1183,LookUps!$D$5:$D$12,0))))</f>
        <v>Global Warming Potential (GWP) - kg CO2 eq</v>
      </c>
      <c r="M1183" s="154" t="str">
        <f t="shared" si="62"/>
        <v>Base_High_Base_Upgraded_Global Warming Potential (GWP) - kg CO2 eq_Biosolids composting; windrow composting; wastewater treatment unit; at updated plant - US_Base_With Amendment_Windrow</v>
      </c>
    </row>
    <row r="1184" spans="1:13" s="120" customFormat="1" x14ac:dyDescent="0.25">
      <c r="A1184" s="119"/>
      <c r="B1184" s="138" t="str">
        <f t="shared" si="61"/>
        <v>Windrow</v>
      </c>
      <c r="C1184" s="138" t="str">
        <f t="shared" si="63"/>
        <v>Base_With Amendment</v>
      </c>
      <c r="D1184" s="118" t="s">
        <v>139</v>
      </c>
      <c r="E1184" s="118" t="s">
        <v>130</v>
      </c>
      <c r="F1184" s="118" t="s">
        <v>46</v>
      </c>
      <c r="G1184" s="153"/>
      <c r="H1184" s="155">
        <v>0.3226</v>
      </c>
      <c r="I1184" s="154" t="s">
        <v>58</v>
      </c>
      <c r="J1184" s="203">
        <v>0.24992</v>
      </c>
      <c r="K1184" s="154" t="s">
        <v>23</v>
      </c>
      <c r="L1184" s="154" t="str">
        <f>IF(OpenLCAbasic!K1184="CTUh", "Fill in Manually",IF(OR(K1184="Unit", K1184=""), "", INDEX(LookUps!$E$5:$E$12, MATCH(OpenLCAbasic!K1184,LookUps!$D$5:$D$12,0))))</f>
        <v>Global Warming Potential (GWP) - kg CO2 eq</v>
      </c>
      <c r="M1184" s="154" t="str">
        <f t="shared" si="62"/>
        <v>Base_High_Base_Upgraded_Global Warming Potential (GWP) - kg CO2 eq_Pre-Anoxic &amp; Swing tank; wastewater treatment unit; at updated plant - US_Base_With Amendment_Windrow</v>
      </c>
    </row>
    <row r="1185" spans="1:13" s="120" customFormat="1" x14ac:dyDescent="0.25">
      <c r="A1185" s="119"/>
      <c r="B1185" s="138" t="str">
        <f t="shared" si="61"/>
        <v>Windrow</v>
      </c>
      <c r="C1185" s="138" t="str">
        <f t="shared" si="63"/>
        <v>Base_With Amendment</v>
      </c>
      <c r="D1185" s="118" t="s">
        <v>139</v>
      </c>
      <c r="E1185" s="118" t="s">
        <v>130</v>
      </c>
      <c r="F1185" s="118" t="s">
        <v>46</v>
      </c>
      <c r="G1185" s="153"/>
      <c r="H1185" s="155">
        <v>0.2172</v>
      </c>
      <c r="I1185" s="154" t="s">
        <v>55</v>
      </c>
      <c r="J1185" s="203">
        <v>0.16822000000000001</v>
      </c>
      <c r="K1185" s="154" t="s">
        <v>23</v>
      </c>
      <c r="L1185" s="154" t="str">
        <f>IF(OpenLCAbasic!K1185="CTUh", "Fill in Manually",IF(OR(K1185="Unit", K1185=""), "", INDEX(LookUps!$E$5:$E$12, MATCH(OpenLCAbasic!K1185,LookUps!$D$5:$D$12,0))))</f>
        <v>Global Warming Potential (GWP) - kg CO2 eq</v>
      </c>
      <c r="M1185" s="154" t="str">
        <f t="shared" si="62"/>
        <v>Base_High_Base_Upgraded_Global Warming Potential (GWP) - kg CO2 eq_Aeration Tanks; wastewater treatment unit; at updated plant - US_Base_With Amendment_Windrow</v>
      </c>
    </row>
    <row r="1186" spans="1:13" s="120" customFormat="1" x14ac:dyDescent="0.25">
      <c r="A1186" s="119"/>
      <c r="B1186" s="138" t="str">
        <f t="shared" si="61"/>
        <v>Windrow</v>
      </c>
      <c r="C1186" s="138" t="str">
        <f t="shared" si="63"/>
        <v>Base_With Amendment</v>
      </c>
      <c r="D1186" s="118" t="s">
        <v>139</v>
      </c>
      <c r="E1186" s="118" t="s">
        <v>130</v>
      </c>
      <c r="F1186" s="118" t="s">
        <v>46</v>
      </c>
      <c r="G1186" s="153"/>
      <c r="H1186" s="155">
        <v>0.18959999999999999</v>
      </c>
      <c r="I1186" s="154" t="s">
        <v>167</v>
      </c>
      <c r="J1186" s="203">
        <v>0.14685000000000001</v>
      </c>
      <c r="K1186" s="154" t="s">
        <v>23</v>
      </c>
      <c r="L1186" s="154" t="str">
        <f>IF(OpenLCAbasic!K1186="CTUh", "Fill in Manually",IF(OR(K1186="Unit", K1186=""), "", INDEX(LookUps!$E$5:$E$12, MATCH(OpenLCAbasic!K1186,LookUps!$D$5:$D$12,0))))</f>
        <v>Global Warming Potential (GWP) - kg CO2 eq</v>
      </c>
      <c r="M1186" s="154" t="str">
        <f t="shared" si="62"/>
        <v>Base_High_Base_Upgraded_Global Warming Potential (GWP) - kg CO2 eq_Waste Receiving and Holding; wastewater treatment unit; at updated plant - US_Base_With Amendment_Windrow</v>
      </c>
    </row>
    <row r="1187" spans="1:13" s="120" customFormat="1" x14ac:dyDescent="0.25">
      <c r="A1187" s="119"/>
      <c r="B1187" s="138" t="str">
        <f t="shared" si="61"/>
        <v>Windrow</v>
      </c>
      <c r="C1187" s="138" t="str">
        <f t="shared" si="63"/>
        <v>Base_With Amendment</v>
      </c>
      <c r="D1187" s="118" t="s">
        <v>139</v>
      </c>
      <c r="E1187" s="118" t="s">
        <v>130</v>
      </c>
      <c r="F1187" s="118" t="s">
        <v>46</v>
      </c>
      <c r="G1187" s="153"/>
      <c r="H1187" s="155">
        <v>7.3700000000000002E-2</v>
      </c>
      <c r="I1187" s="154" t="s">
        <v>54</v>
      </c>
      <c r="J1187" s="203">
        <v>5.7079999999999999E-2</v>
      </c>
      <c r="K1187" s="154" t="s">
        <v>23</v>
      </c>
      <c r="L1187" s="154" t="str">
        <f>IF(OpenLCAbasic!K1187="CTUh", "Fill in Manually",IF(OR(K1187="Unit", K1187=""), "", INDEX(LookUps!$E$5:$E$12, MATCH(OpenLCAbasic!K1187,LookUps!$D$5:$D$12,0))))</f>
        <v>Global Warming Potential (GWP) - kg CO2 eq</v>
      </c>
      <c r="M1187" s="154" t="str">
        <f t="shared" si="62"/>
        <v>Base_High_Base_Upgraded_Global Warming Potential (GWP) - kg CO2 eq_Clear Cove Primary Clarification; wastewater treatment unit; at updated plant - US_Base_With Amendment_Windrow</v>
      </c>
    </row>
    <row r="1188" spans="1:13" s="120" customFormat="1" x14ac:dyDescent="0.25">
      <c r="A1188" s="119"/>
      <c r="B1188" s="138" t="str">
        <f t="shared" si="61"/>
        <v>Windrow</v>
      </c>
      <c r="C1188" s="138" t="str">
        <f t="shared" si="63"/>
        <v>Base_With Amendment</v>
      </c>
      <c r="D1188" s="118" t="s">
        <v>139</v>
      </c>
      <c r="E1188" s="118" t="s">
        <v>130</v>
      </c>
      <c r="F1188" s="118" t="s">
        <v>46</v>
      </c>
      <c r="G1188" s="153"/>
      <c r="H1188" s="155">
        <v>6.7900000000000002E-2</v>
      </c>
      <c r="I1188" s="154" t="s">
        <v>48</v>
      </c>
      <c r="J1188" s="203">
        <v>5.2639999999999999E-2</v>
      </c>
      <c r="K1188" s="154" t="s">
        <v>23</v>
      </c>
      <c r="L1188" s="154" t="str">
        <f>IF(OpenLCAbasic!K1188="CTUh", "Fill in Manually",IF(OR(K1188="Unit", K1188=""), "", INDEX(LookUps!$E$5:$E$12, MATCH(OpenLCAbasic!K1188,LookUps!$D$5:$D$12,0))))</f>
        <v>Global Warming Potential (GWP) - kg CO2 eq</v>
      </c>
      <c r="M1188" s="154" t="str">
        <f t="shared" si="62"/>
        <v>Base_High_Base_Upgraded_Global Warming Potential (GWP) - kg CO2 eq_Effluent release; wastewater treatment unit; at surface water; m3 wastewater - US_Base_With Amendment_Windrow</v>
      </c>
    </row>
    <row r="1189" spans="1:13" s="120" customFormat="1" x14ac:dyDescent="0.25">
      <c r="A1189" s="119"/>
      <c r="B1189" s="138" t="str">
        <f t="shared" si="61"/>
        <v>Windrow</v>
      </c>
      <c r="C1189" s="138" t="str">
        <f t="shared" si="63"/>
        <v>Base_With Amendment</v>
      </c>
      <c r="D1189" s="118" t="s">
        <v>139</v>
      </c>
      <c r="E1189" s="118" t="s">
        <v>130</v>
      </c>
      <c r="F1189" s="118" t="s">
        <v>46</v>
      </c>
      <c r="G1189" s="153"/>
      <c r="H1189" s="155">
        <v>6.5199999999999994E-2</v>
      </c>
      <c r="I1189" s="154" t="s">
        <v>147</v>
      </c>
      <c r="J1189" s="203">
        <v>5.0500000000000003E-2</v>
      </c>
      <c r="K1189" s="154" t="s">
        <v>23</v>
      </c>
      <c r="L1189" s="154" t="str">
        <f>IF(OpenLCAbasic!K1189="CTUh", "Fill in Manually",IF(OR(K1189="Unit", K1189=""), "", INDEX(LookUps!$E$5:$E$12, MATCH(OpenLCAbasic!K1189,LookUps!$D$5:$D$12,0))))</f>
        <v>Global Warming Potential (GWP) - kg CO2 eq</v>
      </c>
      <c r="M1189" s="154" t="str">
        <f t="shared" si="62"/>
        <v>Base_High_Base_Upgraded_Global Warming Potential (GWP) - kg CO2 eq_Influent Pump Station; wastewater treatment unit; at updated plant - US_Base_With Amendment_Windrow</v>
      </c>
    </row>
    <row r="1190" spans="1:13" s="120" customFormat="1" x14ac:dyDescent="0.25">
      <c r="A1190" s="119"/>
      <c r="B1190" s="138" t="str">
        <f t="shared" si="61"/>
        <v>Windrow</v>
      </c>
      <c r="C1190" s="138" t="str">
        <f t="shared" si="63"/>
        <v>Base_With Amendment</v>
      </c>
      <c r="D1190" s="118" t="s">
        <v>139</v>
      </c>
      <c r="E1190" s="118" t="s">
        <v>130</v>
      </c>
      <c r="F1190" s="118" t="s">
        <v>46</v>
      </c>
      <c r="G1190" s="153"/>
      <c r="H1190" s="155">
        <v>4.2900000000000001E-2</v>
      </c>
      <c r="I1190" s="154" t="s">
        <v>53</v>
      </c>
      <c r="J1190" s="203">
        <v>3.3259999999999998E-2</v>
      </c>
      <c r="K1190" s="154" t="s">
        <v>23</v>
      </c>
      <c r="L1190" s="154" t="str">
        <f>IF(OpenLCAbasic!K1190="CTUh", "Fill in Manually",IF(OR(K1190="Unit", K1190=""), "", INDEX(LookUps!$E$5:$E$12, MATCH(OpenLCAbasic!K1190,LookUps!$D$5:$D$12,0))))</f>
        <v>Global Warming Potential (GWP) - kg CO2 eq</v>
      </c>
      <c r="M1190" s="154" t="str">
        <f t="shared" si="62"/>
        <v>Base_High_Base_Upgraded_Global Warming Potential (GWP) - kg CO2 eq_Wet Well and Sump Station; wastewater treatment unit; at updated plant - US_Base_With Amendment_Windrow</v>
      </c>
    </row>
    <row r="1191" spans="1:13" s="120" customFormat="1" x14ac:dyDescent="0.25">
      <c r="A1191" s="119"/>
      <c r="B1191" s="138" t="str">
        <f t="shared" si="61"/>
        <v>Windrow</v>
      </c>
      <c r="C1191" s="138" t="str">
        <f t="shared" si="63"/>
        <v>Base_With Amendment</v>
      </c>
      <c r="D1191" s="118" t="s">
        <v>139</v>
      </c>
      <c r="E1191" s="118" t="s">
        <v>130</v>
      </c>
      <c r="F1191" s="118" t="s">
        <v>46</v>
      </c>
      <c r="G1191" s="153"/>
      <c r="H1191" s="155">
        <v>3.1099999999999999E-2</v>
      </c>
      <c r="I1191" s="154" t="s">
        <v>60</v>
      </c>
      <c r="J1191" s="203">
        <v>2.4119999999999999E-2</v>
      </c>
      <c r="K1191" s="154" t="s">
        <v>23</v>
      </c>
      <c r="L1191" s="154" t="str">
        <f>IF(OpenLCAbasic!K1191="CTUh", "Fill in Manually",IF(OR(K1191="Unit", K1191=""), "", INDEX(LookUps!$E$5:$E$12, MATCH(OpenLCAbasic!K1191,LookUps!$D$5:$D$12,0))))</f>
        <v>Global Warming Potential (GWP) - kg CO2 eq</v>
      </c>
      <c r="M1191" s="154" t="str">
        <f t="shared" si="62"/>
        <v>Base_High_Base_Upgraded_Global Warming Potential (GWP) - kg CO2 eq_Belt filter press; wastewater treatment unit; at updated plant - US_Base_With Amendment_Windrow</v>
      </c>
    </row>
    <row r="1192" spans="1:13" s="120" customFormat="1" x14ac:dyDescent="0.25">
      <c r="A1192" s="119"/>
      <c r="B1192" s="138" t="str">
        <f t="shared" si="61"/>
        <v>Windrow</v>
      </c>
      <c r="C1192" s="138" t="str">
        <f t="shared" si="63"/>
        <v>Base_With Amendment</v>
      </c>
      <c r="D1192" s="118" t="s">
        <v>139</v>
      </c>
      <c r="E1192" s="118" t="s">
        <v>130</v>
      </c>
      <c r="F1192" s="118" t="s">
        <v>46</v>
      </c>
      <c r="G1192" s="153"/>
      <c r="H1192" s="155">
        <v>1.8800000000000001E-2</v>
      </c>
      <c r="I1192" s="154" t="s">
        <v>57</v>
      </c>
      <c r="J1192" s="203">
        <v>1.455E-2</v>
      </c>
      <c r="K1192" s="154" t="s">
        <v>23</v>
      </c>
      <c r="L1192" s="154" t="str">
        <f>IF(OpenLCAbasic!K1192="CTUh", "Fill in Manually",IF(OR(K1192="Unit", K1192=""), "", INDEX(LookUps!$E$5:$E$12, MATCH(OpenLCAbasic!K1192,LookUps!$D$5:$D$12,0))))</f>
        <v>Global Warming Potential (GWP) - kg CO2 eq</v>
      </c>
      <c r="M1192" s="154" t="str">
        <f t="shared" si="62"/>
        <v>Base_High_Base_Upgraded_Global Warming Potential (GWP) - kg CO2 eq_Gravity Belt Thickener; wastewater treatment unit; at updated plant - US_Base_With Amendment_Windrow</v>
      </c>
    </row>
    <row r="1193" spans="1:13" s="120" customFormat="1" x14ac:dyDescent="0.25">
      <c r="A1193" s="119"/>
      <c r="B1193" s="138" t="str">
        <f t="shared" si="61"/>
        <v>Windrow</v>
      </c>
      <c r="C1193" s="138" t="str">
        <f t="shared" si="63"/>
        <v>Base_With Amendment</v>
      </c>
      <c r="D1193" s="118" t="s">
        <v>139</v>
      </c>
      <c r="E1193" s="118" t="s">
        <v>130</v>
      </c>
      <c r="F1193" s="118" t="s">
        <v>46</v>
      </c>
      <c r="G1193" s="153"/>
      <c r="H1193" s="155">
        <v>1.7399999999999999E-2</v>
      </c>
      <c r="I1193" s="154" t="s">
        <v>128</v>
      </c>
      <c r="J1193" s="204">
        <v>1.3509999999999999E-2</v>
      </c>
      <c r="K1193" s="154" t="s">
        <v>23</v>
      </c>
      <c r="L1193" s="154" t="str">
        <f>IF(OpenLCAbasic!K1193="CTUh", "Fill in Manually",IF(OR(K1193="Unit", K1193=""), "", INDEX(LookUps!$E$5:$E$12, MATCH(OpenLCAbasic!K1193,LookUps!$D$5:$D$12,0))))</f>
        <v>Global Warming Potential (GWP) - kg CO2 eq</v>
      </c>
      <c r="M1193" s="154" t="str">
        <f t="shared" si="62"/>
        <v>Base_High_Base_Upgraded_Global Warming Potential (GWP) - kg CO2 eq_Wastewater collection; operation and infrastructure; m3 wastewater_Base_With Amendment_Windrow</v>
      </c>
    </row>
    <row r="1194" spans="1:13" s="120" customFormat="1" x14ac:dyDescent="0.25">
      <c r="A1194" s="119"/>
      <c r="B1194" s="138" t="str">
        <f t="shared" si="61"/>
        <v>Windrow</v>
      </c>
      <c r="C1194" s="138" t="str">
        <f t="shared" si="63"/>
        <v>Base_With Amendment</v>
      </c>
      <c r="D1194" s="118" t="s">
        <v>139</v>
      </c>
      <c r="E1194" s="118" t="s">
        <v>130</v>
      </c>
      <c r="F1194" s="118" t="s">
        <v>46</v>
      </c>
      <c r="G1194" s="153"/>
      <c r="H1194" s="155">
        <v>1.0699999999999999E-2</v>
      </c>
      <c r="I1194" s="154" t="s">
        <v>148</v>
      </c>
      <c r="J1194" s="204">
        <v>8.3000000000000001E-3</v>
      </c>
      <c r="K1194" s="154" t="s">
        <v>23</v>
      </c>
      <c r="L1194" s="154" t="str">
        <f>IF(OpenLCAbasic!K1194="CTUh", "Fill in Manually",IF(OR(K1194="Unit", K1194=""), "", INDEX(LookUps!$E$5:$E$12, MATCH(OpenLCAbasic!K1194,LookUps!$D$5:$D$12,0))))</f>
        <v>Global Warming Potential (GWP) - kg CO2 eq</v>
      </c>
      <c r="M1194" s="154" t="str">
        <f t="shared" si="62"/>
        <v>Base_High_Base_Upgraded_Global Warming Potential (GWP) - kg CO2 eq_Control Building; at upgraded wastewater treatment plant - US_Base_With Amendment_Windrow</v>
      </c>
    </row>
    <row r="1195" spans="1:13" s="120" customFormat="1" x14ac:dyDescent="0.25">
      <c r="A1195" s="119"/>
      <c r="B1195" s="138" t="str">
        <f t="shared" si="61"/>
        <v>Windrow</v>
      </c>
      <c r="C1195" s="138" t="str">
        <f t="shared" si="63"/>
        <v>Base_With Amendment</v>
      </c>
      <c r="D1195" s="118" t="s">
        <v>139</v>
      </c>
      <c r="E1195" s="118" t="s">
        <v>130</v>
      </c>
      <c r="F1195" s="118" t="s">
        <v>46</v>
      </c>
      <c r="G1195" s="153"/>
      <c r="H1195" s="155">
        <v>6.4999999999999997E-3</v>
      </c>
      <c r="I1195" s="154" t="s">
        <v>59</v>
      </c>
      <c r="J1195" s="204">
        <v>5.0400000000000002E-3</v>
      </c>
      <c r="K1195" s="154" t="s">
        <v>23</v>
      </c>
      <c r="L1195" s="154" t="str">
        <f>IF(OpenLCAbasic!K1195="CTUh", "Fill in Manually",IF(OR(K1195="Unit", K1195=""), "", INDEX(LookUps!$E$5:$E$12, MATCH(OpenLCAbasic!K1195,LookUps!$D$5:$D$12,0))))</f>
        <v>Global Warming Potential (GWP) - kg CO2 eq</v>
      </c>
      <c r="M1195" s="154" t="str">
        <f t="shared" si="62"/>
        <v>Base_High_Base_Upgraded_Global Warming Potential (GWP) - kg CO2 eq_Blend Tank; wastewater treatment unit; at updated plant - US_Base_With Amendment_Windrow</v>
      </c>
    </row>
    <row r="1196" spans="1:13" s="120" customFormat="1" x14ac:dyDescent="0.25">
      <c r="A1196" s="119"/>
      <c r="B1196" s="138" t="str">
        <f t="shared" si="61"/>
        <v>Windrow</v>
      </c>
      <c r="C1196" s="138" t="str">
        <f t="shared" si="63"/>
        <v>Base_With Amendment</v>
      </c>
      <c r="D1196" s="118" t="s">
        <v>139</v>
      </c>
      <c r="E1196" s="118" t="s">
        <v>130</v>
      </c>
      <c r="F1196" s="118" t="s">
        <v>46</v>
      </c>
      <c r="G1196" s="153"/>
      <c r="H1196" s="155">
        <v>3.0999999999999999E-3</v>
      </c>
      <c r="I1196" s="154" t="s">
        <v>168</v>
      </c>
      <c r="J1196" s="204">
        <v>2.4099999999999998E-3</v>
      </c>
      <c r="K1196" s="154" t="s">
        <v>23</v>
      </c>
      <c r="L1196" s="154" t="str">
        <f>IF(OpenLCAbasic!K1196="CTUh", "Fill in Manually",IF(OR(K1196="Unit", K1196=""), "", INDEX(LookUps!$E$5:$E$12, MATCH(OpenLCAbasic!K1196,LookUps!$D$5:$D$12,0))))</f>
        <v>Global Warming Potential (GWP) - kg CO2 eq</v>
      </c>
      <c r="M1196" s="154" t="str">
        <f t="shared" si="62"/>
        <v>Base_High_Base_Upgraded_Global Warming Potential (GWP) - kg CO2 eq_ClearCove SCP; wastewater treatment unit; at updated plant - US_Base_With Amendment_Windrow</v>
      </c>
    </row>
    <row r="1197" spans="1:13" s="120" customFormat="1" x14ac:dyDescent="0.25">
      <c r="A1197" s="119"/>
      <c r="B1197" s="138" t="str">
        <f t="shared" si="61"/>
        <v>Windrow</v>
      </c>
      <c r="C1197" s="138" t="str">
        <f t="shared" si="63"/>
        <v>Base_With Amendment</v>
      </c>
      <c r="D1197" s="118" t="s">
        <v>139</v>
      </c>
      <c r="E1197" s="118" t="s">
        <v>130</v>
      </c>
      <c r="F1197" s="118" t="s">
        <v>46</v>
      </c>
      <c r="G1197" s="153"/>
      <c r="H1197" s="155">
        <v>-0.73709999999999998</v>
      </c>
      <c r="I1197" s="154" t="s">
        <v>149</v>
      </c>
      <c r="J1197" s="203">
        <v>-0.57099</v>
      </c>
      <c r="K1197" s="154" t="s">
        <v>23</v>
      </c>
      <c r="L1197" s="154" t="str">
        <f>IF(OpenLCAbasic!K1197="CTUh", "Fill in Manually",IF(OR(K1197="Unit", K1197=""), "", INDEX(LookUps!$E$5:$E$12, MATCH(OpenLCAbasic!K1197,LookUps!$D$5:$D$12,0))))</f>
        <v>Global Warming Potential (GWP) - kg CO2 eq</v>
      </c>
      <c r="M1197" s="154" t="str">
        <f t="shared" si="62"/>
        <v>Base_High_Base_Upgraded_Global Warming Potential (GWP) - kg CO2 eq_Anaerobic Digestion; wastewater treatment unit; at updated plant - US_Base_With Amendment_Windrow</v>
      </c>
    </row>
    <row r="1198" spans="1:13" s="120" customFormat="1" x14ac:dyDescent="0.25">
      <c r="A1198" s="119"/>
      <c r="B1198" s="138" t="str">
        <f t="shared" si="61"/>
        <v>Windrow</v>
      </c>
      <c r="C1198" s="138" t="str">
        <f t="shared" si="63"/>
        <v>Base_With Amendment</v>
      </c>
      <c r="D1198" s="118" t="s">
        <v>139</v>
      </c>
      <c r="E1198" s="118" t="s">
        <v>130</v>
      </c>
      <c r="F1198" s="118" t="s">
        <v>46</v>
      </c>
      <c r="G1198" s="153"/>
      <c r="H1198" s="155">
        <v>-1.1558999999999999</v>
      </c>
      <c r="I1198" s="154" t="s">
        <v>62</v>
      </c>
      <c r="J1198" s="203">
        <v>-0.89548000000000005</v>
      </c>
      <c r="K1198" s="154" t="s">
        <v>23</v>
      </c>
      <c r="L1198" s="154" t="str">
        <f>IF(OpenLCAbasic!K1198="CTUh", "Fill in Manually",IF(OR(K1198="Unit", K1198=""), "", INDEX(LookUps!$E$5:$E$12, MATCH(OpenLCAbasic!K1198,LookUps!$D$5:$D$12,0))))</f>
        <v>Global Warming Potential (GWP) - kg CO2 eq</v>
      </c>
      <c r="M1198" s="154" t="str">
        <f t="shared" si="62"/>
        <v>Base_High_Base_Upgraded_Global Warming Potential (GWP) - kg CO2 eq_Land application of compost; wastewater treatment unit; at updated plant - US_Base_With Amendment_Windrow</v>
      </c>
    </row>
    <row r="1199" spans="1:13" s="120" customFormat="1" x14ac:dyDescent="0.25">
      <c r="A1199" s="119"/>
      <c r="B1199" s="138" t="str">
        <f t="shared" si="61"/>
        <v>Windrow</v>
      </c>
      <c r="C1199" s="138" t="str">
        <f t="shared" si="63"/>
        <v>Base_With Amendment</v>
      </c>
      <c r="D1199" s="118" t="s">
        <v>139</v>
      </c>
      <c r="E1199" s="118" t="s">
        <v>130</v>
      </c>
      <c r="F1199" s="118" t="s">
        <v>46</v>
      </c>
      <c r="G1199" s="153" t="s">
        <v>51</v>
      </c>
      <c r="H1199" s="154"/>
      <c r="I1199" s="154" t="s">
        <v>47</v>
      </c>
      <c r="J1199" s="154" t="s">
        <v>52</v>
      </c>
      <c r="K1199" s="154" t="s">
        <v>27</v>
      </c>
      <c r="L1199" s="154" t="str">
        <f>IF(OpenLCAbasic!K1199="CTUh", "Fill in Manually",IF(OR(K1199="Unit", K1199=""), "", INDEX(LookUps!$E$5:$E$12, MATCH(OpenLCAbasic!K1199,LookUps!$D$5:$D$12,0))))</f>
        <v/>
      </c>
      <c r="M1199" s="154" t="str">
        <f t="shared" si="62"/>
        <v>Base_High_Base_Upgraded__Process_Base_With Amendment_Windrow</v>
      </c>
    </row>
    <row r="1200" spans="1:13" s="120" customFormat="1" x14ac:dyDescent="0.25">
      <c r="A1200" s="119"/>
      <c r="B1200" s="138" t="str">
        <f t="shared" si="61"/>
        <v>Windrow</v>
      </c>
      <c r="C1200" s="138" t="str">
        <f t="shared" si="63"/>
        <v>Base_With Amendment</v>
      </c>
      <c r="D1200" s="118" t="s">
        <v>139</v>
      </c>
      <c r="E1200" s="118" t="s">
        <v>130</v>
      </c>
      <c r="F1200" s="118" t="s">
        <v>46</v>
      </c>
      <c r="G1200" s="153"/>
      <c r="H1200" s="155">
        <v>0.70269999999999999</v>
      </c>
      <c r="I1200" s="154" t="s">
        <v>48</v>
      </c>
      <c r="J1200" s="203">
        <v>1.1610000000000001E-2</v>
      </c>
      <c r="K1200" s="154" t="s">
        <v>13</v>
      </c>
      <c r="L1200" s="154" t="str">
        <f>IF(OpenLCAbasic!K1200="CTUh", "Fill in Manually",IF(OR(K1200="Unit", K1200=""), "", INDEX(LookUps!$E$5:$E$12, MATCH(OpenLCAbasic!K1200,LookUps!$D$5:$D$12,0))))</f>
        <v>Eutrophication Potential (EP) - kg N eq</v>
      </c>
      <c r="M1200" s="154" t="str">
        <f t="shared" si="62"/>
        <v>Base_High_Base_Upgraded_Eutrophication Potential (EP) - kg N eq_Effluent release; wastewater treatment unit; at surface water; m3 wastewater - US_Base_With Amendment_Windrow</v>
      </c>
    </row>
    <row r="1201" spans="1:13" s="120" customFormat="1" x14ac:dyDescent="0.25">
      <c r="A1201" s="119"/>
      <c r="B1201" s="138" t="str">
        <f t="shared" si="61"/>
        <v>Windrow</v>
      </c>
      <c r="C1201" s="138" t="str">
        <f t="shared" si="63"/>
        <v>Base_With Amendment</v>
      </c>
      <c r="D1201" s="118" t="s">
        <v>139</v>
      </c>
      <c r="E1201" s="118" t="s">
        <v>130</v>
      </c>
      <c r="F1201" s="118" t="s">
        <v>46</v>
      </c>
      <c r="G1201" s="153"/>
      <c r="H1201" s="155">
        <v>0.23549999999999999</v>
      </c>
      <c r="I1201" s="154" t="s">
        <v>62</v>
      </c>
      <c r="J1201" s="204">
        <v>3.8899999999999998E-3</v>
      </c>
      <c r="K1201" s="154" t="s">
        <v>13</v>
      </c>
      <c r="L1201" s="154" t="str">
        <f>IF(OpenLCAbasic!K1201="CTUh", "Fill in Manually",IF(OR(K1201="Unit", K1201=""), "", INDEX(LookUps!$E$5:$E$12, MATCH(OpenLCAbasic!K1201,LookUps!$D$5:$D$12,0))))</f>
        <v>Eutrophication Potential (EP) - kg N eq</v>
      </c>
      <c r="M1201" s="154" t="str">
        <f t="shared" si="62"/>
        <v>Base_High_Base_Upgraded_Eutrophication Potential (EP) - kg N eq_Land application of compost; wastewater treatment unit; at updated plant - US_Base_With Amendment_Windrow</v>
      </c>
    </row>
    <row r="1202" spans="1:13" s="120" customFormat="1" x14ac:dyDescent="0.25">
      <c r="A1202" s="119"/>
      <c r="B1202" s="138" t="str">
        <f t="shared" si="61"/>
        <v>Windrow</v>
      </c>
      <c r="C1202" s="138" t="str">
        <f t="shared" si="63"/>
        <v>Base_With Amendment</v>
      </c>
      <c r="D1202" s="118" t="s">
        <v>139</v>
      </c>
      <c r="E1202" s="118" t="s">
        <v>130</v>
      </c>
      <c r="F1202" s="118" t="s">
        <v>46</v>
      </c>
      <c r="G1202" s="153"/>
      <c r="H1202" s="155">
        <v>4.1799999999999997E-2</v>
      </c>
      <c r="I1202" s="154" t="s">
        <v>271</v>
      </c>
      <c r="J1202" s="204">
        <v>6.8999999999999997E-4</v>
      </c>
      <c r="K1202" s="154" t="s">
        <v>13</v>
      </c>
      <c r="L1202" s="154" t="str">
        <f>IF(OpenLCAbasic!K1202="CTUh", "Fill in Manually",IF(OR(K1202="Unit", K1202=""), "", INDEX(LookUps!$E$5:$E$12, MATCH(OpenLCAbasic!K1202,LookUps!$D$5:$D$12,0))))</f>
        <v>Eutrophication Potential (EP) - kg N eq</v>
      </c>
      <c r="M1202" s="154" t="str">
        <f t="shared" si="62"/>
        <v>Base_High_Base_Upgraded_Eutrophication Potential (EP) - kg N eq_Biosolids composting; windrow composting; wastewater treatment unit; at updated plant - US_Base_With Amendment_Windrow</v>
      </c>
    </row>
    <row r="1203" spans="1:13" s="120" customFormat="1" x14ac:dyDescent="0.25">
      <c r="A1203" s="119"/>
      <c r="B1203" s="138" t="str">
        <f t="shared" si="61"/>
        <v>Windrow</v>
      </c>
      <c r="C1203" s="138" t="str">
        <f t="shared" si="63"/>
        <v>Base_With Amendment</v>
      </c>
      <c r="D1203" s="118" t="s">
        <v>139</v>
      </c>
      <c r="E1203" s="118" t="s">
        <v>130</v>
      </c>
      <c r="F1203" s="118" t="s">
        <v>46</v>
      </c>
      <c r="G1203" s="153"/>
      <c r="H1203" s="155">
        <v>3.3099999999999997E-2</v>
      </c>
      <c r="I1203" s="154" t="s">
        <v>55</v>
      </c>
      <c r="J1203" s="204">
        <v>5.5000000000000003E-4</v>
      </c>
      <c r="K1203" s="154" t="s">
        <v>13</v>
      </c>
      <c r="L1203" s="154" t="str">
        <f>IF(OpenLCAbasic!K1203="CTUh", "Fill in Manually",IF(OR(K1203="Unit", K1203=""), "", INDEX(LookUps!$E$5:$E$12, MATCH(OpenLCAbasic!K1203,LookUps!$D$5:$D$12,0))))</f>
        <v>Eutrophication Potential (EP) - kg N eq</v>
      </c>
      <c r="M1203" s="154" t="str">
        <f t="shared" si="62"/>
        <v>Base_High_Base_Upgraded_Eutrophication Potential (EP) - kg N eq_Aeration Tanks; wastewater treatment unit; at updated plant - US_Base_With Amendment_Windrow</v>
      </c>
    </row>
    <row r="1204" spans="1:13" s="120" customFormat="1" x14ac:dyDescent="0.25">
      <c r="A1204" s="119"/>
      <c r="B1204" s="138" t="str">
        <f t="shared" si="61"/>
        <v>Windrow</v>
      </c>
      <c r="C1204" s="138" t="str">
        <f t="shared" si="63"/>
        <v>Base_With Amendment</v>
      </c>
      <c r="D1204" s="118" t="s">
        <v>139</v>
      </c>
      <c r="E1204" s="118" t="s">
        <v>130</v>
      </c>
      <c r="F1204" s="118" t="s">
        <v>46</v>
      </c>
      <c r="G1204" s="153"/>
      <c r="H1204" s="155">
        <v>1.5100000000000001E-2</v>
      </c>
      <c r="I1204" s="154" t="s">
        <v>147</v>
      </c>
      <c r="J1204" s="204">
        <v>2.5000000000000001E-4</v>
      </c>
      <c r="K1204" s="154" t="s">
        <v>13</v>
      </c>
      <c r="L1204" s="154" t="str">
        <f>IF(OpenLCAbasic!K1204="CTUh", "Fill in Manually",IF(OR(K1204="Unit", K1204=""), "", INDEX(LookUps!$E$5:$E$12, MATCH(OpenLCAbasic!K1204,LookUps!$D$5:$D$12,0))))</f>
        <v>Eutrophication Potential (EP) - kg N eq</v>
      </c>
      <c r="M1204" s="154" t="str">
        <f t="shared" si="62"/>
        <v>Base_High_Base_Upgraded_Eutrophication Potential (EP) - kg N eq_Influent Pump Station; wastewater treatment unit; at updated plant - US_Base_With Amendment_Windrow</v>
      </c>
    </row>
    <row r="1205" spans="1:13" s="120" customFormat="1" x14ac:dyDescent="0.25">
      <c r="A1205" s="119"/>
      <c r="B1205" s="138" t="str">
        <f t="shared" si="61"/>
        <v>Windrow</v>
      </c>
      <c r="C1205" s="138" t="str">
        <f t="shared" si="63"/>
        <v>Base_With Amendment</v>
      </c>
      <c r="D1205" s="118" t="s">
        <v>139</v>
      </c>
      <c r="E1205" s="118" t="s">
        <v>130</v>
      </c>
      <c r="F1205" s="118" t="s">
        <v>46</v>
      </c>
      <c r="G1205" s="153"/>
      <c r="H1205" s="155">
        <v>1.3299999999999999E-2</v>
      </c>
      <c r="I1205" s="154" t="s">
        <v>167</v>
      </c>
      <c r="J1205" s="204">
        <v>2.2000000000000001E-4</v>
      </c>
      <c r="K1205" s="154" t="s">
        <v>13</v>
      </c>
      <c r="L1205" s="154" t="str">
        <f>IF(OpenLCAbasic!K1205="CTUh", "Fill in Manually",IF(OR(K1205="Unit", K1205=""), "", INDEX(LookUps!$E$5:$E$12, MATCH(OpenLCAbasic!K1205,LookUps!$D$5:$D$12,0))))</f>
        <v>Eutrophication Potential (EP) - kg N eq</v>
      </c>
      <c r="M1205" s="154" t="str">
        <f t="shared" si="62"/>
        <v>Base_High_Base_Upgraded_Eutrophication Potential (EP) - kg N eq_Waste Receiving and Holding; wastewater treatment unit; at updated plant - US_Base_With Amendment_Windrow</v>
      </c>
    </row>
    <row r="1206" spans="1:13" s="120" customFormat="1" x14ac:dyDescent="0.25">
      <c r="A1206" s="119"/>
      <c r="B1206" s="138" t="str">
        <f t="shared" si="61"/>
        <v>Windrow</v>
      </c>
      <c r="C1206" s="138" t="str">
        <f t="shared" si="63"/>
        <v>Base_With Amendment</v>
      </c>
      <c r="D1206" s="118" t="s">
        <v>139</v>
      </c>
      <c r="E1206" s="118" t="s">
        <v>130</v>
      </c>
      <c r="F1206" s="118" t="s">
        <v>46</v>
      </c>
      <c r="G1206" s="153"/>
      <c r="H1206" s="155">
        <v>1.2E-2</v>
      </c>
      <c r="I1206" s="154" t="s">
        <v>54</v>
      </c>
      <c r="J1206" s="204">
        <v>2.0000000000000001E-4</v>
      </c>
      <c r="K1206" s="154" t="s">
        <v>13</v>
      </c>
      <c r="L1206" s="154" t="str">
        <f>IF(OpenLCAbasic!K1206="CTUh", "Fill in Manually",IF(OR(K1206="Unit", K1206=""), "", INDEX(LookUps!$E$5:$E$12, MATCH(OpenLCAbasic!K1206,LookUps!$D$5:$D$12,0))))</f>
        <v>Eutrophication Potential (EP) - kg N eq</v>
      </c>
      <c r="M1206" s="154" t="str">
        <f t="shared" si="62"/>
        <v>Base_High_Base_Upgraded_Eutrophication Potential (EP) - kg N eq_Clear Cove Primary Clarification; wastewater treatment unit; at updated plant - US_Base_With Amendment_Windrow</v>
      </c>
    </row>
    <row r="1207" spans="1:13" s="120" customFormat="1" x14ac:dyDescent="0.25">
      <c r="A1207" s="119"/>
      <c r="B1207" s="138" t="str">
        <f t="shared" si="61"/>
        <v>Windrow</v>
      </c>
      <c r="C1207" s="138" t="str">
        <f t="shared" si="63"/>
        <v>Base_With Amendment</v>
      </c>
      <c r="D1207" s="118" t="s">
        <v>139</v>
      </c>
      <c r="E1207" s="118" t="s">
        <v>130</v>
      </c>
      <c r="F1207" s="118" t="s">
        <v>46</v>
      </c>
      <c r="G1207" s="153"/>
      <c r="H1207" s="155">
        <v>8.2000000000000007E-3</v>
      </c>
      <c r="I1207" s="154" t="s">
        <v>58</v>
      </c>
      <c r="J1207" s="204">
        <v>1.3999999999999999E-4</v>
      </c>
      <c r="K1207" s="154" t="s">
        <v>13</v>
      </c>
      <c r="L1207" s="154" t="str">
        <f>IF(OpenLCAbasic!K1207="CTUh", "Fill in Manually",IF(OR(K1207="Unit", K1207=""), "", INDEX(LookUps!$E$5:$E$12, MATCH(OpenLCAbasic!K1207,LookUps!$D$5:$D$12,0))))</f>
        <v>Eutrophication Potential (EP) - kg N eq</v>
      </c>
      <c r="M1207" s="154" t="str">
        <f t="shared" si="62"/>
        <v>Base_High_Base_Upgraded_Eutrophication Potential (EP) - kg N eq_Pre-Anoxic &amp; Swing tank; wastewater treatment unit; at updated plant - US_Base_With Amendment_Windrow</v>
      </c>
    </row>
    <row r="1208" spans="1:13" s="120" customFormat="1" x14ac:dyDescent="0.25">
      <c r="A1208" s="119"/>
      <c r="B1208" s="138" t="str">
        <f t="shared" si="61"/>
        <v>Windrow</v>
      </c>
      <c r="C1208" s="138" t="str">
        <f t="shared" si="63"/>
        <v>Base_With Amendment</v>
      </c>
      <c r="D1208" s="118" t="s">
        <v>139</v>
      </c>
      <c r="E1208" s="118" t="s">
        <v>130</v>
      </c>
      <c r="F1208" s="118" t="s">
        <v>46</v>
      </c>
      <c r="G1208" s="153"/>
      <c r="H1208" s="155">
        <v>6.4999999999999997E-3</v>
      </c>
      <c r="I1208" s="154" t="s">
        <v>53</v>
      </c>
      <c r="J1208" s="204">
        <v>1.1E-4</v>
      </c>
      <c r="K1208" s="154" t="s">
        <v>13</v>
      </c>
      <c r="L1208" s="154" t="str">
        <f>IF(OpenLCAbasic!K1208="CTUh", "Fill in Manually",IF(OR(K1208="Unit", K1208=""), "", INDEX(LookUps!$E$5:$E$12, MATCH(OpenLCAbasic!K1208,LookUps!$D$5:$D$12,0))))</f>
        <v>Eutrophication Potential (EP) - kg N eq</v>
      </c>
      <c r="M1208" s="154" t="str">
        <f t="shared" si="62"/>
        <v>Base_High_Base_Upgraded_Eutrophication Potential (EP) - kg N eq_Wet Well and Sump Station; wastewater treatment unit; at updated plant - US_Base_With Amendment_Windrow</v>
      </c>
    </row>
    <row r="1209" spans="1:13" s="120" customFormat="1" x14ac:dyDescent="0.25">
      <c r="A1209" s="119"/>
      <c r="B1209" s="138" t="str">
        <f t="shared" si="61"/>
        <v>Windrow</v>
      </c>
      <c r="C1209" s="138" t="str">
        <f t="shared" si="63"/>
        <v>Base_With Amendment</v>
      </c>
      <c r="D1209" s="118" t="s">
        <v>139</v>
      </c>
      <c r="E1209" s="118" t="s">
        <v>130</v>
      </c>
      <c r="F1209" s="118" t="s">
        <v>46</v>
      </c>
      <c r="G1209" s="153"/>
      <c r="H1209" s="155">
        <v>5.7999999999999996E-3</v>
      </c>
      <c r="I1209" s="154" t="s">
        <v>60</v>
      </c>
      <c r="J1209" s="204">
        <v>9.5601799999999997E-5</v>
      </c>
      <c r="K1209" s="154" t="s">
        <v>13</v>
      </c>
      <c r="L1209" s="154" t="str">
        <f>IF(OpenLCAbasic!K1209="CTUh", "Fill in Manually",IF(OR(K1209="Unit", K1209=""), "", INDEX(LookUps!$E$5:$E$12, MATCH(OpenLCAbasic!K1209,LookUps!$D$5:$D$12,0))))</f>
        <v>Eutrophication Potential (EP) - kg N eq</v>
      </c>
      <c r="M1209" s="154" t="str">
        <f t="shared" si="62"/>
        <v>Base_High_Base_Upgraded_Eutrophication Potential (EP) - kg N eq_Belt filter press; wastewater treatment unit; at updated plant - US_Base_With Amendment_Windrow</v>
      </c>
    </row>
    <row r="1210" spans="1:13" s="120" customFormat="1" x14ac:dyDescent="0.25">
      <c r="A1210" s="119"/>
      <c r="B1210" s="138" t="str">
        <f t="shared" si="61"/>
        <v>Windrow</v>
      </c>
      <c r="C1210" s="138" t="str">
        <f t="shared" si="63"/>
        <v>Base_With Amendment</v>
      </c>
      <c r="D1210" s="118" t="s">
        <v>139</v>
      </c>
      <c r="E1210" s="118" t="s">
        <v>130</v>
      </c>
      <c r="F1210" s="118" t="s">
        <v>46</v>
      </c>
      <c r="G1210" s="153"/>
      <c r="H1210" s="155">
        <v>3.7000000000000002E-3</v>
      </c>
      <c r="I1210" s="154" t="s">
        <v>57</v>
      </c>
      <c r="J1210" s="204">
        <v>6.0590300000000002E-5</v>
      </c>
      <c r="K1210" s="154" t="s">
        <v>13</v>
      </c>
      <c r="L1210" s="154" t="str">
        <f>IF(OpenLCAbasic!K1210="CTUh", "Fill in Manually",IF(OR(K1210="Unit", K1210=""), "", INDEX(LookUps!$E$5:$E$12, MATCH(OpenLCAbasic!K1210,LookUps!$D$5:$D$12,0))))</f>
        <v>Eutrophication Potential (EP) - kg N eq</v>
      </c>
      <c r="M1210" s="154" t="str">
        <f t="shared" si="62"/>
        <v>Base_High_Base_Upgraded_Eutrophication Potential (EP) - kg N eq_Gravity Belt Thickener; wastewater treatment unit; at updated plant - US_Base_With Amendment_Windrow</v>
      </c>
    </row>
    <row r="1211" spans="1:13" s="120" customFormat="1" x14ac:dyDescent="0.25">
      <c r="A1211" s="119"/>
      <c r="B1211" s="138" t="str">
        <f t="shared" si="61"/>
        <v>Windrow</v>
      </c>
      <c r="C1211" s="138" t="str">
        <f t="shared" si="63"/>
        <v>Base_With Amendment</v>
      </c>
      <c r="D1211" s="118" t="s">
        <v>139</v>
      </c>
      <c r="E1211" s="118" t="s">
        <v>130</v>
      </c>
      <c r="F1211" s="118" t="s">
        <v>46</v>
      </c>
      <c r="G1211" s="153"/>
      <c r="H1211" s="155">
        <v>2.3E-3</v>
      </c>
      <c r="I1211" s="154" t="s">
        <v>128</v>
      </c>
      <c r="J1211" s="204">
        <v>3.7559799999999999E-5</v>
      </c>
      <c r="K1211" s="154" t="s">
        <v>13</v>
      </c>
      <c r="L1211" s="154" t="str">
        <f>IF(OpenLCAbasic!K1211="CTUh", "Fill in Manually",IF(OR(K1211="Unit", K1211=""), "", INDEX(LookUps!$E$5:$E$12, MATCH(OpenLCAbasic!K1211,LookUps!$D$5:$D$12,0))))</f>
        <v>Eutrophication Potential (EP) - kg N eq</v>
      </c>
      <c r="M1211" s="154" t="str">
        <f t="shared" si="62"/>
        <v>Base_High_Base_Upgraded_Eutrophication Potential (EP) - kg N eq_Wastewater collection; operation and infrastructure; m3 wastewater_Base_With Amendment_Windrow</v>
      </c>
    </row>
    <row r="1212" spans="1:13" s="120" customFormat="1" x14ac:dyDescent="0.25">
      <c r="A1212" s="119"/>
      <c r="B1212" s="138" t="str">
        <f t="shared" si="61"/>
        <v>Windrow</v>
      </c>
      <c r="C1212" s="138" t="str">
        <f t="shared" si="63"/>
        <v>Base_With Amendment</v>
      </c>
      <c r="D1212" s="118" t="s">
        <v>139</v>
      </c>
      <c r="E1212" s="118" t="s">
        <v>130</v>
      </c>
      <c r="F1212" s="118" t="s">
        <v>46</v>
      </c>
      <c r="G1212" s="153"/>
      <c r="H1212" s="155">
        <v>2.2000000000000001E-3</v>
      </c>
      <c r="I1212" s="154" t="s">
        <v>148</v>
      </c>
      <c r="J1212" s="204">
        <v>3.6874600000000001E-5</v>
      </c>
      <c r="K1212" s="154" t="s">
        <v>13</v>
      </c>
      <c r="L1212" s="154" t="str">
        <f>IF(OpenLCAbasic!K1212="CTUh", "Fill in Manually",IF(OR(K1212="Unit", K1212=""), "", INDEX(LookUps!$E$5:$E$12, MATCH(OpenLCAbasic!K1212,LookUps!$D$5:$D$12,0))))</f>
        <v>Eutrophication Potential (EP) - kg N eq</v>
      </c>
      <c r="M1212" s="154" t="str">
        <f t="shared" si="62"/>
        <v>Base_High_Base_Upgraded_Eutrophication Potential (EP) - kg N eq_Control Building; at upgraded wastewater treatment plant - US_Base_With Amendment_Windrow</v>
      </c>
    </row>
    <row r="1213" spans="1:13" s="120" customFormat="1" x14ac:dyDescent="0.25">
      <c r="A1213" s="119"/>
      <c r="B1213" s="138" t="str">
        <f t="shared" si="61"/>
        <v>Windrow</v>
      </c>
      <c r="C1213" s="138" t="str">
        <f t="shared" si="63"/>
        <v>Base_With Amendment</v>
      </c>
      <c r="D1213" s="118" t="s">
        <v>139</v>
      </c>
      <c r="E1213" s="118" t="s">
        <v>130</v>
      </c>
      <c r="F1213" s="118" t="s">
        <v>46</v>
      </c>
      <c r="G1213" s="153"/>
      <c r="H1213" s="155">
        <v>1E-3</v>
      </c>
      <c r="I1213" s="154" t="s">
        <v>59</v>
      </c>
      <c r="J1213" s="204">
        <v>1.6215700000000001E-5</v>
      </c>
      <c r="K1213" s="154" t="s">
        <v>13</v>
      </c>
      <c r="L1213" s="154" t="str">
        <f>IF(OpenLCAbasic!K1213="CTUh", "Fill in Manually",IF(OR(K1213="Unit", K1213=""), "", INDEX(LookUps!$E$5:$E$12, MATCH(OpenLCAbasic!K1213,LookUps!$D$5:$D$12,0))))</f>
        <v>Eutrophication Potential (EP) - kg N eq</v>
      </c>
      <c r="M1213" s="154" t="str">
        <f t="shared" si="62"/>
        <v>Base_High_Base_Upgraded_Eutrophication Potential (EP) - kg N eq_Blend Tank; wastewater treatment unit; at updated plant - US_Base_With Amendment_Windrow</v>
      </c>
    </row>
    <row r="1214" spans="1:13" s="120" customFormat="1" x14ac:dyDescent="0.25">
      <c r="A1214" s="119"/>
      <c r="B1214" s="138" t="str">
        <f t="shared" si="61"/>
        <v>Windrow</v>
      </c>
      <c r="C1214" s="138" t="str">
        <f t="shared" si="63"/>
        <v>Base_With Amendment</v>
      </c>
      <c r="D1214" s="118" t="s">
        <v>139</v>
      </c>
      <c r="E1214" s="118" t="s">
        <v>130</v>
      </c>
      <c r="F1214" s="118" t="s">
        <v>46</v>
      </c>
      <c r="G1214" s="153"/>
      <c r="H1214" s="155">
        <v>5.0000000000000001E-4</v>
      </c>
      <c r="I1214" s="154" t="s">
        <v>168</v>
      </c>
      <c r="J1214" s="204">
        <v>7.7567199999999995E-6</v>
      </c>
      <c r="K1214" s="154" t="s">
        <v>13</v>
      </c>
      <c r="L1214" s="154" t="str">
        <f>IF(OpenLCAbasic!K1214="CTUh", "Fill in Manually",IF(OR(K1214="Unit", K1214=""), "", INDEX(LookUps!$E$5:$E$12, MATCH(OpenLCAbasic!K1214,LookUps!$D$5:$D$12,0))))</f>
        <v>Eutrophication Potential (EP) - kg N eq</v>
      </c>
      <c r="M1214" s="154" t="str">
        <f t="shared" si="62"/>
        <v>Base_High_Base_Upgraded_Eutrophication Potential (EP) - kg N eq_ClearCove SCP; wastewater treatment unit; at updated plant - US_Base_With Amendment_Windrow</v>
      </c>
    </row>
    <row r="1215" spans="1:13" s="120" customFormat="1" x14ac:dyDescent="0.25">
      <c r="A1215" s="119"/>
      <c r="B1215" s="138" t="str">
        <f t="shared" si="61"/>
        <v>Windrow</v>
      </c>
      <c r="C1215" s="138" t="str">
        <f t="shared" si="63"/>
        <v>Base_With Amendment</v>
      </c>
      <c r="D1215" s="118" t="s">
        <v>139</v>
      </c>
      <c r="E1215" s="118" t="s">
        <v>130</v>
      </c>
      <c r="F1215" s="118" t="s">
        <v>46</v>
      </c>
      <c r="G1215" s="153"/>
      <c r="H1215" s="155">
        <v>-8.3599999999999994E-2</v>
      </c>
      <c r="I1215" s="154" t="s">
        <v>149</v>
      </c>
      <c r="J1215" s="204">
        <v>-1.3799999999999999E-3</v>
      </c>
      <c r="K1215" s="154" t="s">
        <v>13</v>
      </c>
      <c r="L1215" s="154" t="str">
        <f>IF(OpenLCAbasic!K1215="CTUh", "Fill in Manually",IF(OR(K1215="Unit", K1215=""), "", INDEX(LookUps!$E$5:$E$12, MATCH(OpenLCAbasic!K1215,LookUps!$D$5:$D$12,0))))</f>
        <v>Eutrophication Potential (EP) - kg N eq</v>
      </c>
      <c r="M1215" s="154" t="str">
        <f t="shared" si="62"/>
        <v>Base_High_Base_Upgraded_Eutrophication Potential (EP) - kg N eq_Anaerobic Digestion; wastewater treatment unit; at updated plant - US_Base_With Amendment_Windrow</v>
      </c>
    </row>
    <row r="1216" spans="1:13" s="120" customFormat="1" x14ac:dyDescent="0.25">
      <c r="A1216" s="119"/>
      <c r="B1216" s="138" t="str">
        <f t="shared" si="61"/>
        <v>Windrow</v>
      </c>
      <c r="C1216" s="138" t="str">
        <f t="shared" si="63"/>
        <v>Base_With Amendment</v>
      </c>
      <c r="D1216" s="118" t="s">
        <v>139</v>
      </c>
      <c r="E1216" s="118" t="s">
        <v>130</v>
      </c>
      <c r="F1216" s="118" t="s">
        <v>46</v>
      </c>
      <c r="G1216" s="153" t="s">
        <v>51</v>
      </c>
      <c r="H1216" s="154"/>
      <c r="I1216" s="154" t="s">
        <v>47</v>
      </c>
      <c r="J1216" s="154" t="s">
        <v>52</v>
      </c>
      <c r="K1216" s="154" t="s">
        <v>27</v>
      </c>
      <c r="L1216" s="154" t="str">
        <f>IF(OpenLCAbasic!K1216="CTUh", "Fill in Manually",IF(OR(K1216="Unit", K1216=""), "", INDEX(LookUps!$E$5:$E$12, MATCH(OpenLCAbasic!K1216,LookUps!$D$5:$D$12,0))))</f>
        <v/>
      </c>
      <c r="M1216" s="154" t="str">
        <f t="shared" si="62"/>
        <v>Base_High_Base_Upgraded__Process_Base_With Amendment_Windrow</v>
      </c>
    </row>
    <row r="1217" spans="1:13" s="120" customFormat="1" x14ac:dyDescent="0.25">
      <c r="A1217" s="119"/>
      <c r="B1217" s="138" t="str">
        <f t="shared" si="61"/>
        <v>Windrow</v>
      </c>
      <c r="C1217" s="138" t="str">
        <f t="shared" si="63"/>
        <v>Base_With Amendment</v>
      </c>
      <c r="D1217" s="118" t="s">
        <v>139</v>
      </c>
      <c r="E1217" s="118" t="s">
        <v>130</v>
      </c>
      <c r="F1217" s="118" t="s">
        <v>46</v>
      </c>
      <c r="G1217" s="153"/>
      <c r="H1217" s="155">
        <v>4.6485000000000003</v>
      </c>
      <c r="I1217" s="154" t="s">
        <v>167</v>
      </c>
      <c r="J1217" s="157">
        <v>5.1393399999999998</v>
      </c>
      <c r="K1217" s="154" t="s">
        <v>15</v>
      </c>
      <c r="L1217" s="154" t="str">
        <f>IF(OpenLCAbasic!K1217="CTUh", "Fill in Manually",IF(OR(K1217="Unit", K1217=""), "", INDEX(LookUps!$E$5:$E$12, MATCH(OpenLCAbasic!K1217,LookUps!$D$5:$D$12,0))))</f>
        <v>Cumulative Energy Demand (CED) - MJ</v>
      </c>
      <c r="M1217" s="154" t="str">
        <f t="shared" si="62"/>
        <v>Base_High_Base_Upgraded_Cumulative Energy Demand (CED) - MJ_Waste Receiving and Holding; wastewater treatment unit; at updated plant - US_Base_With Amendment_Windrow</v>
      </c>
    </row>
    <row r="1218" spans="1:13" s="120" customFormat="1" x14ac:dyDescent="0.25">
      <c r="A1218" s="119"/>
      <c r="B1218" s="138" t="str">
        <f t="shared" si="61"/>
        <v>Windrow</v>
      </c>
      <c r="C1218" s="138" t="str">
        <f t="shared" si="63"/>
        <v>Base_With Amendment</v>
      </c>
      <c r="D1218" s="118" t="s">
        <v>139</v>
      </c>
      <c r="E1218" s="118" t="s">
        <v>130</v>
      </c>
      <c r="F1218" s="118" t="s">
        <v>46</v>
      </c>
      <c r="G1218" s="153"/>
      <c r="H1218" s="155">
        <v>3.1956000000000002</v>
      </c>
      <c r="I1218" s="154" t="s">
        <v>55</v>
      </c>
      <c r="J1218" s="157">
        <v>3.5330499999999998</v>
      </c>
      <c r="K1218" s="154" t="s">
        <v>15</v>
      </c>
      <c r="L1218" s="154" t="str">
        <f>IF(OpenLCAbasic!K1218="CTUh", "Fill in Manually",IF(OR(K1218="Unit", K1218=""), "", INDEX(LookUps!$E$5:$E$12, MATCH(OpenLCAbasic!K1218,LookUps!$D$5:$D$12,0))))</f>
        <v>Cumulative Energy Demand (CED) - MJ</v>
      </c>
      <c r="M1218" s="154" t="str">
        <f t="shared" si="62"/>
        <v>Base_High_Base_Upgraded_Cumulative Energy Demand (CED) - MJ_Aeration Tanks; wastewater treatment unit; at updated plant - US_Base_With Amendment_Windrow</v>
      </c>
    </row>
    <row r="1219" spans="1:13" s="120" customFormat="1" x14ac:dyDescent="0.25">
      <c r="A1219" s="119"/>
      <c r="B1219" s="138" t="str">
        <f t="shared" si="61"/>
        <v>Windrow</v>
      </c>
      <c r="C1219" s="138" t="str">
        <f t="shared" si="63"/>
        <v>Base_With Amendment</v>
      </c>
      <c r="D1219" s="118" t="s">
        <v>139</v>
      </c>
      <c r="E1219" s="118" t="s">
        <v>130</v>
      </c>
      <c r="F1219" s="118" t="s">
        <v>46</v>
      </c>
      <c r="G1219" s="153"/>
      <c r="H1219" s="155">
        <v>1.0518000000000001</v>
      </c>
      <c r="I1219" s="154" t="s">
        <v>54</v>
      </c>
      <c r="J1219" s="157">
        <v>1.16289</v>
      </c>
      <c r="K1219" s="154" t="s">
        <v>15</v>
      </c>
      <c r="L1219" s="154" t="str">
        <f>IF(OpenLCAbasic!K1219="CTUh", "Fill in Manually",IF(OR(K1219="Unit", K1219=""), "", INDEX(LookUps!$E$5:$E$12, MATCH(OpenLCAbasic!K1219,LookUps!$D$5:$D$12,0))))</f>
        <v>Cumulative Energy Demand (CED) - MJ</v>
      </c>
      <c r="M1219" s="154" t="str">
        <f t="shared" si="62"/>
        <v>Base_High_Base_Upgraded_Cumulative Energy Demand (CED) - MJ_Clear Cove Primary Clarification; wastewater treatment unit; at updated plant - US_Base_With Amendment_Windrow</v>
      </c>
    </row>
    <row r="1220" spans="1:13" s="120" customFormat="1" x14ac:dyDescent="0.25">
      <c r="A1220" s="119"/>
      <c r="B1220" s="138" t="str">
        <f t="shared" si="61"/>
        <v>Windrow</v>
      </c>
      <c r="C1220" s="138" t="str">
        <f t="shared" si="63"/>
        <v>Base_With Amendment</v>
      </c>
      <c r="D1220" s="118" t="s">
        <v>139</v>
      </c>
      <c r="E1220" s="118" t="s">
        <v>130</v>
      </c>
      <c r="F1220" s="118" t="s">
        <v>46</v>
      </c>
      <c r="G1220" s="153"/>
      <c r="H1220" s="155">
        <v>0.80559999999999998</v>
      </c>
      <c r="I1220" s="154" t="s">
        <v>58</v>
      </c>
      <c r="J1220" s="203">
        <v>0.89063999999999999</v>
      </c>
      <c r="K1220" s="154" t="s">
        <v>15</v>
      </c>
      <c r="L1220" s="154" t="str">
        <f>IF(OpenLCAbasic!K1220="CTUh", "Fill in Manually",IF(OR(K1220="Unit", K1220=""), "", INDEX(LookUps!$E$5:$E$12, MATCH(OpenLCAbasic!K1220,LookUps!$D$5:$D$12,0))))</f>
        <v>Cumulative Energy Demand (CED) - MJ</v>
      </c>
      <c r="M1220" s="154" t="str">
        <f t="shared" si="62"/>
        <v>Base_High_Base_Upgraded_Cumulative Energy Demand (CED) - MJ_Pre-Anoxic &amp; Swing tank; wastewater treatment unit; at updated plant - US_Base_With Amendment_Windrow</v>
      </c>
    </row>
    <row r="1221" spans="1:13" s="120" customFormat="1" x14ac:dyDescent="0.25">
      <c r="A1221" s="119"/>
      <c r="B1221" s="138" t="str">
        <f t="shared" si="61"/>
        <v>Windrow</v>
      </c>
      <c r="C1221" s="138" t="str">
        <f t="shared" si="63"/>
        <v>Base_With Amendment</v>
      </c>
      <c r="D1221" s="118" t="s">
        <v>139</v>
      </c>
      <c r="E1221" s="118" t="s">
        <v>130</v>
      </c>
      <c r="F1221" s="118" t="s">
        <v>46</v>
      </c>
      <c r="G1221" s="153"/>
      <c r="H1221" s="155">
        <v>0.79859999999999998</v>
      </c>
      <c r="I1221" s="154" t="s">
        <v>147</v>
      </c>
      <c r="J1221" s="203">
        <v>0.88297000000000003</v>
      </c>
      <c r="K1221" s="154" t="s">
        <v>15</v>
      </c>
      <c r="L1221" s="154" t="str">
        <f>IF(OpenLCAbasic!K1221="CTUh", "Fill in Manually",IF(OR(K1221="Unit", K1221=""), "", INDEX(LookUps!$E$5:$E$12, MATCH(OpenLCAbasic!K1221,LookUps!$D$5:$D$12,0))))</f>
        <v>Cumulative Energy Demand (CED) - MJ</v>
      </c>
      <c r="M1221" s="154" t="str">
        <f t="shared" si="62"/>
        <v>Base_High_Base_Upgraded_Cumulative Energy Demand (CED) - MJ_Influent Pump Station; wastewater treatment unit; at updated plant - US_Base_With Amendment_Windrow</v>
      </c>
    </row>
    <row r="1222" spans="1:13" s="120" customFormat="1" x14ac:dyDescent="0.25">
      <c r="A1222" s="119"/>
      <c r="B1222" s="138" t="str">
        <f t="shared" si="61"/>
        <v>Windrow</v>
      </c>
      <c r="C1222" s="138" t="str">
        <f t="shared" si="63"/>
        <v>Base_With Amendment</v>
      </c>
      <c r="D1222" s="118" t="s">
        <v>139</v>
      </c>
      <c r="E1222" s="118" t="s">
        <v>130</v>
      </c>
      <c r="F1222" s="118" t="s">
        <v>46</v>
      </c>
      <c r="G1222" s="153"/>
      <c r="H1222" s="155">
        <v>0.62990000000000002</v>
      </c>
      <c r="I1222" s="154" t="s">
        <v>53</v>
      </c>
      <c r="J1222" s="203">
        <v>0.69645000000000001</v>
      </c>
      <c r="K1222" s="154" t="s">
        <v>15</v>
      </c>
      <c r="L1222" s="154" t="str">
        <f>IF(OpenLCAbasic!K1222="CTUh", "Fill in Manually",IF(OR(K1222="Unit", K1222=""), "", INDEX(LookUps!$E$5:$E$12, MATCH(OpenLCAbasic!K1222,LookUps!$D$5:$D$12,0))))</f>
        <v>Cumulative Energy Demand (CED) - MJ</v>
      </c>
      <c r="M1222" s="154" t="str">
        <f t="shared" si="62"/>
        <v>Base_High_Base_Upgraded_Cumulative Energy Demand (CED) - MJ_Wet Well and Sump Station; wastewater treatment unit; at updated plant - US_Base_With Amendment_Windrow</v>
      </c>
    </row>
    <row r="1223" spans="1:13" s="120" customFormat="1" x14ac:dyDescent="0.25">
      <c r="A1223" s="119"/>
      <c r="B1223" s="138" t="str">
        <f t="shared" ref="B1223:B1286" si="64">IF(F1223="Legacy","n.a.",IF(F1223="","","Windrow"))</f>
        <v>Windrow</v>
      </c>
      <c r="C1223" s="138" t="str">
        <f t="shared" si="63"/>
        <v>Base_With Amendment</v>
      </c>
      <c r="D1223" s="118" t="s">
        <v>139</v>
      </c>
      <c r="E1223" s="118" t="s">
        <v>130</v>
      </c>
      <c r="F1223" s="118" t="s">
        <v>46</v>
      </c>
      <c r="G1223" s="153"/>
      <c r="H1223" s="155">
        <v>0.49220000000000003</v>
      </c>
      <c r="I1223" s="154" t="s">
        <v>60</v>
      </c>
      <c r="J1223" s="203">
        <v>0.54422999999999999</v>
      </c>
      <c r="K1223" s="154" t="s">
        <v>15</v>
      </c>
      <c r="L1223" s="154" t="str">
        <f>IF(OpenLCAbasic!K1223="CTUh", "Fill in Manually",IF(OR(K1223="Unit", K1223=""), "", INDEX(LookUps!$E$5:$E$12, MATCH(OpenLCAbasic!K1223,LookUps!$D$5:$D$12,0))))</f>
        <v>Cumulative Energy Demand (CED) - MJ</v>
      </c>
      <c r="M1223" s="154" t="str">
        <f t="shared" si="62"/>
        <v>Base_High_Base_Upgraded_Cumulative Energy Demand (CED) - MJ_Belt filter press; wastewater treatment unit; at updated plant - US_Base_With Amendment_Windrow</v>
      </c>
    </row>
    <row r="1224" spans="1:13" s="120" customFormat="1" x14ac:dyDescent="0.25">
      <c r="A1224" s="119"/>
      <c r="B1224" s="138" t="str">
        <f t="shared" si="64"/>
        <v>Windrow</v>
      </c>
      <c r="C1224" s="138" t="str">
        <f t="shared" si="63"/>
        <v>Base_With Amendment</v>
      </c>
      <c r="D1224" s="118" t="s">
        <v>139</v>
      </c>
      <c r="E1224" s="118" t="s">
        <v>130</v>
      </c>
      <c r="F1224" s="118" t="s">
        <v>46</v>
      </c>
      <c r="G1224" s="153"/>
      <c r="H1224" s="155">
        <v>0.30209999999999998</v>
      </c>
      <c r="I1224" s="154" t="s">
        <v>57</v>
      </c>
      <c r="J1224" s="203">
        <v>0.33404</v>
      </c>
      <c r="K1224" s="154" t="s">
        <v>15</v>
      </c>
      <c r="L1224" s="154" t="str">
        <f>IF(OpenLCAbasic!K1224="CTUh", "Fill in Manually",IF(OR(K1224="Unit", K1224=""), "", INDEX(LookUps!$E$5:$E$12, MATCH(OpenLCAbasic!K1224,LookUps!$D$5:$D$12,0))))</f>
        <v>Cumulative Energy Demand (CED) - MJ</v>
      </c>
      <c r="M1224" s="154" t="str">
        <f t="shared" ref="M1224:M1287" si="65">CONCATENATE(E1224,"_",D1224,"_",F1224,"_",L1224, "_",I1224,"_", C1224,"_", B1224)</f>
        <v>Base_High_Base_Upgraded_Cumulative Energy Demand (CED) - MJ_Gravity Belt Thickener; wastewater treatment unit; at updated plant - US_Base_With Amendment_Windrow</v>
      </c>
    </row>
    <row r="1225" spans="1:13" s="120" customFormat="1" x14ac:dyDescent="0.25">
      <c r="A1225" s="119"/>
      <c r="B1225" s="138" t="str">
        <f t="shared" si="64"/>
        <v>Windrow</v>
      </c>
      <c r="C1225" s="138" t="str">
        <f t="shared" si="63"/>
        <v>Base_With Amendment</v>
      </c>
      <c r="D1225" s="118" t="s">
        <v>139</v>
      </c>
      <c r="E1225" s="118" t="s">
        <v>130</v>
      </c>
      <c r="F1225" s="118" t="s">
        <v>46</v>
      </c>
      <c r="G1225" s="153"/>
      <c r="H1225" s="155">
        <v>0.2316</v>
      </c>
      <c r="I1225" s="154" t="s">
        <v>128</v>
      </c>
      <c r="J1225" s="203">
        <v>0.25606000000000001</v>
      </c>
      <c r="K1225" s="154" t="s">
        <v>15</v>
      </c>
      <c r="L1225" s="154" t="str">
        <f>IF(OpenLCAbasic!K1225="CTUh", "Fill in Manually",IF(OR(K1225="Unit", K1225=""), "", INDEX(LookUps!$E$5:$E$12, MATCH(OpenLCAbasic!K1225,LookUps!$D$5:$D$12,0))))</f>
        <v>Cumulative Energy Demand (CED) - MJ</v>
      </c>
      <c r="M1225" s="154" t="str">
        <f t="shared" si="65"/>
        <v>Base_High_Base_Upgraded_Cumulative Energy Demand (CED) - MJ_Wastewater collection; operation and infrastructure; m3 wastewater_Base_With Amendment_Windrow</v>
      </c>
    </row>
    <row r="1226" spans="1:13" s="120" customFormat="1" x14ac:dyDescent="0.25">
      <c r="A1226" s="119"/>
      <c r="B1226" s="138" t="str">
        <f t="shared" si="64"/>
        <v>Windrow</v>
      </c>
      <c r="C1226" s="138" t="str">
        <f t="shared" si="63"/>
        <v>Base_With Amendment</v>
      </c>
      <c r="D1226" s="118" t="s">
        <v>139</v>
      </c>
      <c r="E1226" s="118" t="s">
        <v>130</v>
      </c>
      <c r="F1226" s="118" t="s">
        <v>46</v>
      </c>
      <c r="G1226" s="153"/>
      <c r="H1226" s="155">
        <v>0.13200000000000001</v>
      </c>
      <c r="I1226" s="154" t="s">
        <v>148</v>
      </c>
      <c r="J1226" s="203">
        <v>0.14599000000000001</v>
      </c>
      <c r="K1226" s="154" t="s">
        <v>15</v>
      </c>
      <c r="L1226" s="154" t="str">
        <f>IF(OpenLCAbasic!K1226="CTUh", "Fill in Manually",IF(OR(K1226="Unit", K1226=""), "", INDEX(LookUps!$E$5:$E$12, MATCH(OpenLCAbasic!K1226,LookUps!$D$5:$D$12,0))))</f>
        <v>Cumulative Energy Demand (CED) - MJ</v>
      </c>
      <c r="M1226" s="154" t="str">
        <f t="shared" si="65"/>
        <v>Base_High_Base_Upgraded_Cumulative Energy Demand (CED) - MJ_Control Building; at upgraded wastewater treatment plant - US_Base_With Amendment_Windrow</v>
      </c>
    </row>
    <row r="1227" spans="1:13" s="120" customFormat="1" x14ac:dyDescent="0.25">
      <c r="A1227" s="119"/>
      <c r="B1227" s="138" t="str">
        <f t="shared" si="64"/>
        <v>Windrow</v>
      </c>
      <c r="C1227" s="138" t="str">
        <f t="shared" si="63"/>
        <v>Base_With Amendment</v>
      </c>
      <c r="D1227" s="118" t="s">
        <v>139</v>
      </c>
      <c r="E1227" s="118" t="s">
        <v>130</v>
      </c>
      <c r="F1227" s="118" t="s">
        <v>46</v>
      </c>
      <c r="G1227" s="153"/>
      <c r="H1227" s="155">
        <v>0.1205</v>
      </c>
      <c r="I1227" s="154" t="s">
        <v>48</v>
      </c>
      <c r="J1227" s="203">
        <v>0.13321</v>
      </c>
      <c r="K1227" s="154" t="s">
        <v>15</v>
      </c>
      <c r="L1227" s="154" t="str">
        <f>IF(OpenLCAbasic!K1227="CTUh", "Fill in Manually",IF(OR(K1227="Unit", K1227=""), "", INDEX(LookUps!$E$5:$E$12, MATCH(OpenLCAbasic!K1227,LookUps!$D$5:$D$12,0))))</f>
        <v>Cumulative Energy Demand (CED) - MJ</v>
      </c>
      <c r="M1227" s="154" t="str">
        <f t="shared" si="65"/>
        <v>Base_High_Base_Upgraded_Cumulative Energy Demand (CED) - MJ_Effluent release; wastewater treatment unit; at surface water; m3 wastewater - US_Base_With Amendment_Windrow</v>
      </c>
    </row>
    <row r="1228" spans="1:13" s="120" customFormat="1" x14ac:dyDescent="0.25">
      <c r="A1228" s="119"/>
      <c r="B1228" s="138" t="str">
        <f t="shared" si="64"/>
        <v>Windrow</v>
      </c>
      <c r="C1228" s="138" t="str">
        <f t="shared" si="63"/>
        <v>Base_With Amendment</v>
      </c>
      <c r="D1228" s="118" t="s">
        <v>139</v>
      </c>
      <c r="E1228" s="118" t="s">
        <v>130</v>
      </c>
      <c r="F1228" s="118" t="s">
        <v>46</v>
      </c>
      <c r="G1228" s="153"/>
      <c r="H1228" s="155">
        <v>9.6199999999999994E-2</v>
      </c>
      <c r="I1228" s="154" t="s">
        <v>59</v>
      </c>
      <c r="J1228" s="203">
        <v>0.10638</v>
      </c>
      <c r="K1228" s="154" t="s">
        <v>15</v>
      </c>
      <c r="L1228" s="154" t="str">
        <f>IF(OpenLCAbasic!K1228="CTUh", "Fill in Manually",IF(OR(K1228="Unit", K1228=""), "", INDEX(LookUps!$E$5:$E$12, MATCH(OpenLCAbasic!K1228,LookUps!$D$5:$D$12,0))))</f>
        <v>Cumulative Energy Demand (CED) - MJ</v>
      </c>
      <c r="M1228" s="154" t="str">
        <f t="shared" si="65"/>
        <v>Base_High_Base_Upgraded_Cumulative Energy Demand (CED) - MJ_Blend Tank; wastewater treatment unit; at updated plant - US_Base_With Amendment_Windrow</v>
      </c>
    </row>
    <row r="1229" spans="1:13" s="120" customFormat="1" x14ac:dyDescent="0.25">
      <c r="A1229" s="119"/>
      <c r="B1229" s="138" t="str">
        <f t="shared" si="64"/>
        <v>Windrow</v>
      </c>
      <c r="C1229" s="138" t="str">
        <f t="shared" si="63"/>
        <v>Base_With Amendment</v>
      </c>
      <c r="D1229" s="118" t="s">
        <v>139</v>
      </c>
      <c r="E1229" s="118" t="s">
        <v>130</v>
      </c>
      <c r="F1229" s="118" t="s">
        <v>46</v>
      </c>
      <c r="G1229" s="153"/>
      <c r="H1229" s="155">
        <v>4.6100000000000002E-2</v>
      </c>
      <c r="I1229" s="154" t="s">
        <v>168</v>
      </c>
      <c r="J1229" s="203">
        <v>5.0930000000000003E-2</v>
      </c>
      <c r="K1229" s="154" t="s">
        <v>15</v>
      </c>
      <c r="L1229" s="154" t="str">
        <f>IF(OpenLCAbasic!K1229="CTUh", "Fill in Manually",IF(OR(K1229="Unit", K1229=""), "", INDEX(LookUps!$E$5:$E$12, MATCH(OpenLCAbasic!K1229,LookUps!$D$5:$D$12,0))))</f>
        <v>Cumulative Energy Demand (CED) - MJ</v>
      </c>
      <c r="M1229" s="154" t="str">
        <f t="shared" si="65"/>
        <v>Base_High_Base_Upgraded_Cumulative Energy Demand (CED) - MJ_ClearCove SCP; wastewater treatment unit; at updated plant - US_Base_With Amendment_Windrow</v>
      </c>
    </row>
    <row r="1230" spans="1:13" s="120" customFormat="1" x14ac:dyDescent="0.25">
      <c r="A1230" s="119"/>
      <c r="B1230" s="138" t="str">
        <f t="shared" si="64"/>
        <v>Windrow</v>
      </c>
      <c r="C1230" s="138" t="str">
        <f t="shared" si="63"/>
        <v>Base_With Amendment</v>
      </c>
      <c r="D1230" s="118" t="s">
        <v>139</v>
      </c>
      <c r="E1230" s="118" t="s">
        <v>130</v>
      </c>
      <c r="F1230" s="118" t="s">
        <v>46</v>
      </c>
      <c r="G1230" s="153"/>
      <c r="H1230" s="155">
        <v>3.5099999999999999E-2</v>
      </c>
      <c r="I1230" s="154" t="s">
        <v>271</v>
      </c>
      <c r="J1230" s="203">
        <v>3.882E-2</v>
      </c>
      <c r="K1230" s="154" t="s">
        <v>15</v>
      </c>
      <c r="L1230" s="154" t="str">
        <f>IF(OpenLCAbasic!K1230="CTUh", "Fill in Manually",IF(OR(K1230="Unit", K1230=""), "", INDEX(LookUps!$E$5:$E$12, MATCH(OpenLCAbasic!K1230,LookUps!$D$5:$D$12,0))))</f>
        <v>Cumulative Energy Demand (CED) - MJ</v>
      </c>
      <c r="M1230" s="154" t="str">
        <f t="shared" si="65"/>
        <v>Base_High_Base_Upgraded_Cumulative Energy Demand (CED) - MJ_Biosolids composting; windrow composting; wastewater treatment unit; at updated plant - US_Base_With Amendment_Windrow</v>
      </c>
    </row>
    <row r="1231" spans="1:13" s="120" customFormat="1" x14ac:dyDescent="0.25">
      <c r="A1231" s="119"/>
      <c r="B1231" s="138" t="str">
        <f t="shared" si="64"/>
        <v>Windrow</v>
      </c>
      <c r="C1231" s="138" t="str">
        <f t="shared" ref="C1231:C1294" si="66">IF(E1231&lt;&gt;"", "Base_With Amendment","")</f>
        <v>Base_With Amendment</v>
      </c>
      <c r="D1231" s="118" t="s">
        <v>139</v>
      </c>
      <c r="E1231" s="118" t="s">
        <v>130</v>
      </c>
      <c r="F1231" s="118" t="s">
        <v>46</v>
      </c>
      <c r="G1231" s="153"/>
      <c r="H1231" s="155">
        <v>-0.76049999999999995</v>
      </c>
      <c r="I1231" s="154" t="s">
        <v>62</v>
      </c>
      <c r="J1231" s="203">
        <v>-0.84079999999999999</v>
      </c>
      <c r="K1231" s="154" t="s">
        <v>15</v>
      </c>
      <c r="L1231" s="154" t="str">
        <f>IF(OpenLCAbasic!K1231="CTUh", "Fill in Manually",IF(OR(K1231="Unit", K1231=""), "", INDEX(LookUps!$E$5:$E$12, MATCH(OpenLCAbasic!K1231,LookUps!$D$5:$D$12,0))))</f>
        <v>Cumulative Energy Demand (CED) - MJ</v>
      </c>
      <c r="M1231" s="154" t="str">
        <f t="shared" si="65"/>
        <v>Base_High_Base_Upgraded_Cumulative Energy Demand (CED) - MJ_Land application of compost; wastewater treatment unit; at updated plant - US_Base_With Amendment_Windrow</v>
      </c>
    </row>
    <row r="1232" spans="1:13" s="120" customFormat="1" x14ac:dyDescent="0.25">
      <c r="A1232" s="119"/>
      <c r="B1232" s="138" t="str">
        <f t="shared" si="64"/>
        <v>Windrow</v>
      </c>
      <c r="C1232" s="138" t="str">
        <f t="shared" si="66"/>
        <v>Base_With Amendment</v>
      </c>
      <c r="D1232" s="118" t="s">
        <v>139</v>
      </c>
      <c r="E1232" s="118" t="s">
        <v>130</v>
      </c>
      <c r="F1232" s="118" t="s">
        <v>46</v>
      </c>
      <c r="G1232" s="153"/>
      <c r="H1232" s="155">
        <v>-12.8255</v>
      </c>
      <c r="I1232" s="154" t="s">
        <v>149</v>
      </c>
      <c r="J1232" s="157">
        <v>-14.179790000000001</v>
      </c>
      <c r="K1232" s="154" t="s">
        <v>15</v>
      </c>
      <c r="L1232" s="154" t="str">
        <f>IF(OpenLCAbasic!K1232="CTUh", "Fill in Manually",IF(OR(K1232="Unit", K1232=""), "", INDEX(LookUps!$E$5:$E$12, MATCH(OpenLCAbasic!K1232,LookUps!$D$5:$D$12,0))))</f>
        <v>Cumulative Energy Demand (CED) - MJ</v>
      </c>
      <c r="M1232" s="154" t="str">
        <f t="shared" si="65"/>
        <v>Base_High_Base_Upgraded_Cumulative Energy Demand (CED) - MJ_Anaerobic Digestion; wastewater treatment unit; at updated plant - US_Base_With Amendment_Windrow</v>
      </c>
    </row>
    <row r="1233" spans="1:13" s="120" customFormat="1" x14ac:dyDescent="0.25">
      <c r="A1233" s="119"/>
      <c r="B1233" s="138" t="str">
        <f t="shared" si="64"/>
        <v>Windrow</v>
      </c>
      <c r="C1233" s="138" t="str">
        <f t="shared" si="66"/>
        <v>Base_With Amendment</v>
      </c>
      <c r="D1233" s="118" t="s">
        <v>139</v>
      </c>
      <c r="E1233" s="118" t="s">
        <v>130</v>
      </c>
      <c r="F1233" s="118" t="s">
        <v>46</v>
      </c>
      <c r="G1233" s="153" t="s">
        <v>51</v>
      </c>
      <c r="H1233" s="154"/>
      <c r="I1233" s="154" t="s">
        <v>47</v>
      </c>
      <c r="J1233" s="154" t="s">
        <v>52</v>
      </c>
      <c r="K1233" s="154" t="s">
        <v>27</v>
      </c>
      <c r="L1233" s="154" t="str">
        <f>IF(OpenLCAbasic!K1233="CTUh", "Fill in Manually",IF(OR(K1233="Unit", K1233=""), "", INDEX(LookUps!$E$5:$E$12, MATCH(OpenLCAbasic!K1233,LookUps!$D$5:$D$12,0))))</f>
        <v/>
      </c>
      <c r="M1233" s="154" t="str">
        <f t="shared" si="65"/>
        <v>Base_High_Base_Upgraded__Process_Base_With Amendment_Windrow</v>
      </c>
    </row>
    <row r="1234" spans="1:13" s="120" customFormat="1" x14ac:dyDescent="0.25">
      <c r="A1234" s="119"/>
      <c r="B1234" s="138" t="str">
        <f t="shared" si="64"/>
        <v>Windrow</v>
      </c>
      <c r="C1234" s="138" t="str">
        <f t="shared" si="66"/>
        <v>Base_With Amendment</v>
      </c>
      <c r="D1234" s="118" t="s">
        <v>139</v>
      </c>
      <c r="E1234" s="118" t="s">
        <v>130</v>
      </c>
      <c r="F1234" s="118" t="s">
        <v>46</v>
      </c>
      <c r="G1234" s="153"/>
      <c r="H1234" s="155">
        <v>1.6191</v>
      </c>
      <c r="I1234" s="154" t="s">
        <v>55</v>
      </c>
      <c r="J1234" s="203">
        <v>1.7219999999999999E-2</v>
      </c>
      <c r="K1234" s="154" t="s">
        <v>24</v>
      </c>
      <c r="L1234" s="154" t="str">
        <f>IF(OpenLCAbasic!K1234="CTUh", "Fill in Manually",IF(OR(K1234="Unit", K1234=""), "", INDEX(LookUps!$E$5:$E$12, MATCH(OpenLCAbasic!K1234,LookUps!$D$5:$D$12,0))))</f>
        <v>Acidification Potential (AP) - kg SO2 eq</v>
      </c>
      <c r="M1234" s="154" t="str">
        <f t="shared" si="65"/>
        <v>Base_High_Base_Upgraded_Acidification Potential (AP) - kg SO2 eq_Aeration Tanks; wastewater treatment unit; at updated plant - US_Base_With Amendment_Windrow</v>
      </c>
    </row>
    <row r="1235" spans="1:13" s="120" customFormat="1" x14ac:dyDescent="0.25">
      <c r="A1235" s="119"/>
      <c r="B1235" s="138" t="str">
        <f t="shared" si="64"/>
        <v>Windrow</v>
      </c>
      <c r="C1235" s="138" t="str">
        <f t="shared" si="66"/>
        <v>Base_With Amendment</v>
      </c>
      <c r="D1235" s="118" t="s">
        <v>139</v>
      </c>
      <c r="E1235" s="118" t="s">
        <v>130</v>
      </c>
      <c r="F1235" s="118" t="s">
        <v>46</v>
      </c>
      <c r="G1235" s="153"/>
      <c r="H1235" s="155">
        <v>1.0295000000000001</v>
      </c>
      <c r="I1235" s="154" t="s">
        <v>271</v>
      </c>
      <c r="J1235" s="203">
        <v>1.095E-2</v>
      </c>
      <c r="K1235" s="154" t="s">
        <v>24</v>
      </c>
      <c r="L1235" s="154" t="str">
        <f>IF(OpenLCAbasic!K1235="CTUh", "Fill in Manually",IF(OR(K1235="Unit", K1235=""), "", INDEX(LookUps!$E$5:$E$12, MATCH(OpenLCAbasic!K1235,LookUps!$D$5:$D$12,0))))</f>
        <v>Acidification Potential (AP) - kg SO2 eq</v>
      </c>
      <c r="M1235" s="154" t="str">
        <f t="shared" si="65"/>
        <v>Base_High_Base_Upgraded_Acidification Potential (AP) - kg SO2 eq_Biosolids composting; windrow composting; wastewater treatment unit; at updated plant - US_Base_With Amendment_Windrow</v>
      </c>
    </row>
    <row r="1236" spans="1:13" s="120" customFormat="1" x14ac:dyDescent="0.25">
      <c r="A1236" s="119"/>
      <c r="B1236" s="138" t="str">
        <f t="shared" si="64"/>
        <v>Windrow</v>
      </c>
      <c r="C1236" s="138" t="str">
        <f t="shared" si="66"/>
        <v>Base_With Amendment</v>
      </c>
      <c r="D1236" s="118" t="s">
        <v>139</v>
      </c>
      <c r="E1236" s="118" t="s">
        <v>130</v>
      </c>
      <c r="F1236" s="118" t="s">
        <v>46</v>
      </c>
      <c r="G1236" s="153"/>
      <c r="H1236" s="155">
        <v>0.47499999999999998</v>
      </c>
      <c r="I1236" s="154" t="s">
        <v>62</v>
      </c>
      <c r="J1236" s="204">
        <v>5.0499999999999998E-3</v>
      </c>
      <c r="K1236" s="154" t="s">
        <v>24</v>
      </c>
      <c r="L1236" s="154" t="str">
        <f>IF(OpenLCAbasic!K1236="CTUh", "Fill in Manually",IF(OR(K1236="Unit", K1236=""), "", INDEX(LookUps!$E$5:$E$12, MATCH(OpenLCAbasic!K1236,LookUps!$D$5:$D$12,0))))</f>
        <v>Acidification Potential (AP) - kg SO2 eq</v>
      </c>
      <c r="M1236" s="154" t="str">
        <f t="shared" si="65"/>
        <v>Base_High_Base_Upgraded_Acidification Potential (AP) - kg SO2 eq_Land application of compost; wastewater treatment unit; at updated plant - US_Base_With Amendment_Windrow</v>
      </c>
    </row>
    <row r="1237" spans="1:13" s="120" customFormat="1" x14ac:dyDescent="0.25">
      <c r="A1237" s="119"/>
      <c r="B1237" s="138" t="str">
        <f t="shared" si="64"/>
        <v>Windrow</v>
      </c>
      <c r="C1237" s="138" t="str">
        <f t="shared" si="66"/>
        <v>Base_With Amendment</v>
      </c>
      <c r="D1237" s="118" t="s">
        <v>139</v>
      </c>
      <c r="E1237" s="118" t="s">
        <v>130</v>
      </c>
      <c r="F1237" s="118" t="s">
        <v>46</v>
      </c>
      <c r="G1237" s="153"/>
      <c r="H1237" s="155">
        <v>0.46829999999999999</v>
      </c>
      <c r="I1237" s="154" t="s">
        <v>54</v>
      </c>
      <c r="J1237" s="204">
        <v>4.9800000000000001E-3</v>
      </c>
      <c r="K1237" s="154" t="s">
        <v>24</v>
      </c>
      <c r="L1237" s="154" t="str">
        <f>IF(OpenLCAbasic!K1237="CTUh", "Fill in Manually",IF(OR(K1237="Unit", K1237=""), "", INDEX(LookUps!$E$5:$E$12, MATCH(OpenLCAbasic!K1237,LookUps!$D$5:$D$12,0))))</f>
        <v>Acidification Potential (AP) - kg SO2 eq</v>
      </c>
      <c r="M1237" s="154" t="str">
        <f t="shared" si="65"/>
        <v>Base_High_Base_Upgraded_Acidification Potential (AP) - kg SO2 eq_Clear Cove Primary Clarification; wastewater treatment unit; at updated plant - US_Base_With Amendment_Windrow</v>
      </c>
    </row>
    <row r="1238" spans="1:13" s="120" customFormat="1" x14ac:dyDescent="0.25">
      <c r="A1238" s="119"/>
      <c r="B1238" s="138" t="str">
        <f t="shared" si="64"/>
        <v>Windrow</v>
      </c>
      <c r="C1238" s="138" t="str">
        <f t="shared" si="66"/>
        <v>Base_With Amendment</v>
      </c>
      <c r="D1238" s="118" t="s">
        <v>139</v>
      </c>
      <c r="E1238" s="118" t="s">
        <v>130</v>
      </c>
      <c r="F1238" s="118" t="s">
        <v>46</v>
      </c>
      <c r="G1238" s="153"/>
      <c r="H1238" s="155">
        <v>0.4103</v>
      </c>
      <c r="I1238" s="154" t="s">
        <v>58</v>
      </c>
      <c r="J1238" s="204">
        <v>4.3600000000000002E-3</v>
      </c>
      <c r="K1238" s="154" t="s">
        <v>24</v>
      </c>
      <c r="L1238" s="154" t="str">
        <f>IF(OpenLCAbasic!K1238="CTUh", "Fill in Manually",IF(OR(K1238="Unit", K1238=""), "", INDEX(LookUps!$E$5:$E$12, MATCH(OpenLCAbasic!K1238,LookUps!$D$5:$D$12,0))))</f>
        <v>Acidification Potential (AP) - kg SO2 eq</v>
      </c>
      <c r="M1238" s="154" t="str">
        <f t="shared" si="65"/>
        <v>Base_High_Base_Upgraded_Acidification Potential (AP) - kg SO2 eq_Pre-Anoxic &amp; Swing tank; wastewater treatment unit; at updated plant - US_Base_With Amendment_Windrow</v>
      </c>
    </row>
    <row r="1239" spans="1:13" s="120" customFormat="1" x14ac:dyDescent="0.25">
      <c r="A1239" s="119"/>
      <c r="B1239" s="138" t="str">
        <f t="shared" si="64"/>
        <v>Windrow</v>
      </c>
      <c r="C1239" s="138" t="str">
        <f t="shared" si="66"/>
        <v>Base_With Amendment</v>
      </c>
      <c r="D1239" s="118" t="s">
        <v>139</v>
      </c>
      <c r="E1239" s="118" t="s">
        <v>130</v>
      </c>
      <c r="F1239" s="118" t="s">
        <v>46</v>
      </c>
      <c r="G1239" s="153"/>
      <c r="H1239" s="155">
        <v>0.32450000000000001</v>
      </c>
      <c r="I1239" s="154" t="s">
        <v>53</v>
      </c>
      <c r="J1239" s="204">
        <v>3.4499999999999999E-3</v>
      </c>
      <c r="K1239" s="154" t="s">
        <v>24</v>
      </c>
      <c r="L1239" s="154" t="str">
        <f>IF(OpenLCAbasic!K1239="CTUh", "Fill in Manually",IF(OR(K1239="Unit", K1239=""), "", INDEX(LookUps!$E$5:$E$12, MATCH(OpenLCAbasic!K1239,LookUps!$D$5:$D$12,0))))</f>
        <v>Acidification Potential (AP) - kg SO2 eq</v>
      </c>
      <c r="M1239" s="154" t="str">
        <f t="shared" si="65"/>
        <v>Base_High_Base_Upgraded_Acidification Potential (AP) - kg SO2 eq_Wet Well and Sump Station; wastewater treatment unit; at updated plant - US_Base_With Amendment_Windrow</v>
      </c>
    </row>
    <row r="1240" spans="1:13" s="120" customFormat="1" x14ac:dyDescent="0.25">
      <c r="A1240" s="119"/>
      <c r="B1240" s="138" t="str">
        <f t="shared" si="64"/>
        <v>Windrow</v>
      </c>
      <c r="C1240" s="138" t="str">
        <f t="shared" si="66"/>
        <v>Base_With Amendment</v>
      </c>
      <c r="D1240" s="118" t="s">
        <v>139</v>
      </c>
      <c r="E1240" s="118" t="s">
        <v>130</v>
      </c>
      <c r="F1240" s="118" t="s">
        <v>46</v>
      </c>
      <c r="G1240" s="153"/>
      <c r="H1240" s="155">
        <v>0.25419999999999998</v>
      </c>
      <c r="I1240" s="154" t="s">
        <v>167</v>
      </c>
      <c r="J1240" s="204">
        <v>2.7000000000000001E-3</v>
      </c>
      <c r="K1240" s="154" t="s">
        <v>24</v>
      </c>
      <c r="L1240" s="154" t="str">
        <f>IF(OpenLCAbasic!K1240="CTUh", "Fill in Manually",IF(OR(K1240="Unit", K1240=""), "", INDEX(LookUps!$E$5:$E$12, MATCH(OpenLCAbasic!K1240,LookUps!$D$5:$D$12,0))))</f>
        <v>Acidification Potential (AP) - kg SO2 eq</v>
      </c>
      <c r="M1240" s="154" t="str">
        <f t="shared" si="65"/>
        <v>Base_High_Base_Upgraded_Acidification Potential (AP) - kg SO2 eq_Waste Receiving and Holding; wastewater treatment unit; at updated plant - US_Base_With Amendment_Windrow</v>
      </c>
    </row>
    <row r="1241" spans="1:13" s="120" customFormat="1" x14ac:dyDescent="0.25">
      <c r="A1241" s="119"/>
      <c r="B1241" s="138" t="str">
        <f t="shared" si="64"/>
        <v>Windrow</v>
      </c>
      <c r="C1241" s="138" t="str">
        <f t="shared" si="66"/>
        <v>Base_With Amendment</v>
      </c>
      <c r="D1241" s="118" t="s">
        <v>139</v>
      </c>
      <c r="E1241" s="118" t="s">
        <v>130</v>
      </c>
      <c r="F1241" s="118" t="s">
        <v>46</v>
      </c>
      <c r="G1241" s="153"/>
      <c r="H1241" s="155">
        <v>0.19450000000000001</v>
      </c>
      <c r="I1241" s="154" t="s">
        <v>147</v>
      </c>
      <c r="J1241" s="204">
        <v>2.0699999999999998E-3</v>
      </c>
      <c r="K1241" s="154" t="s">
        <v>24</v>
      </c>
      <c r="L1241" s="154" t="str">
        <f>IF(OpenLCAbasic!K1241="CTUh", "Fill in Manually",IF(OR(K1241="Unit", K1241=""), "", INDEX(LookUps!$E$5:$E$12, MATCH(OpenLCAbasic!K1241,LookUps!$D$5:$D$12,0))))</f>
        <v>Acidification Potential (AP) - kg SO2 eq</v>
      </c>
      <c r="M1241" s="154" t="str">
        <f t="shared" si="65"/>
        <v>Base_High_Base_Upgraded_Acidification Potential (AP) - kg SO2 eq_Influent Pump Station; wastewater treatment unit; at updated plant - US_Base_With Amendment_Windrow</v>
      </c>
    </row>
    <row r="1242" spans="1:13" s="120" customFormat="1" x14ac:dyDescent="0.25">
      <c r="A1242" s="119"/>
      <c r="B1242" s="138" t="str">
        <f t="shared" si="64"/>
        <v>Windrow</v>
      </c>
      <c r="C1242" s="138" t="str">
        <f t="shared" si="66"/>
        <v>Base_With Amendment</v>
      </c>
      <c r="D1242" s="118" t="s">
        <v>139</v>
      </c>
      <c r="E1242" s="118" t="s">
        <v>130</v>
      </c>
      <c r="F1242" s="118" t="s">
        <v>46</v>
      </c>
      <c r="G1242" s="153"/>
      <c r="H1242" s="155">
        <v>0.13700000000000001</v>
      </c>
      <c r="I1242" s="154" t="s">
        <v>60</v>
      </c>
      <c r="J1242" s="204">
        <v>1.4599999999999999E-3</v>
      </c>
      <c r="K1242" s="154" t="s">
        <v>24</v>
      </c>
      <c r="L1242" s="154" t="str">
        <f>IF(OpenLCAbasic!K1242="CTUh", "Fill in Manually",IF(OR(K1242="Unit", K1242=""), "", INDEX(LookUps!$E$5:$E$12, MATCH(OpenLCAbasic!K1242,LookUps!$D$5:$D$12,0))))</f>
        <v>Acidification Potential (AP) - kg SO2 eq</v>
      </c>
      <c r="M1242" s="154" t="str">
        <f t="shared" si="65"/>
        <v>Base_High_Base_Upgraded_Acidification Potential (AP) - kg SO2 eq_Belt filter press; wastewater treatment unit; at updated plant - US_Base_With Amendment_Windrow</v>
      </c>
    </row>
    <row r="1243" spans="1:13" s="120" customFormat="1" x14ac:dyDescent="0.25">
      <c r="A1243" s="119"/>
      <c r="B1243" s="138" t="str">
        <f t="shared" si="64"/>
        <v>Windrow</v>
      </c>
      <c r="C1243" s="138" t="str">
        <f t="shared" si="66"/>
        <v>Base_With Amendment</v>
      </c>
      <c r="D1243" s="118" t="s">
        <v>139</v>
      </c>
      <c r="E1243" s="118" t="s">
        <v>130</v>
      </c>
      <c r="F1243" s="118" t="s">
        <v>46</v>
      </c>
      <c r="G1243" s="153"/>
      <c r="H1243" s="155">
        <v>0.1159</v>
      </c>
      <c r="I1243" s="154" t="s">
        <v>128</v>
      </c>
      <c r="J1243" s="204">
        <v>1.23E-3</v>
      </c>
      <c r="K1243" s="154" t="s">
        <v>24</v>
      </c>
      <c r="L1243" s="154" t="str">
        <f>IF(OpenLCAbasic!K1243="CTUh", "Fill in Manually",IF(OR(K1243="Unit", K1243=""), "", INDEX(LookUps!$E$5:$E$12, MATCH(OpenLCAbasic!K1243,LookUps!$D$5:$D$12,0))))</f>
        <v>Acidification Potential (AP) - kg SO2 eq</v>
      </c>
      <c r="M1243" s="154" t="str">
        <f t="shared" si="65"/>
        <v>Base_High_Base_Upgraded_Acidification Potential (AP) - kg SO2 eq_Wastewater collection; operation and infrastructure; m3 wastewater_Base_With Amendment_Windrow</v>
      </c>
    </row>
    <row r="1244" spans="1:13" s="120" customFormat="1" x14ac:dyDescent="0.25">
      <c r="A1244" s="119"/>
      <c r="B1244" s="138" t="str">
        <f t="shared" si="64"/>
        <v>Windrow</v>
      </c>
      <c r="C1244" s="138" t="str">
        <f t="shared" si="66"/>
        <v>Base_With Amendment</v>
      </c>
      <c r="D1244" s="118" t="s">
        <v>139</v>
      </c>
      <c r="E1244" s="118" t="s">
        <v>130</v>
      </c>
      <c r="F1244" s="118" t="s">
        <v>46</v>
      </c>
      <c r="G1244" s="153"/>
      <c r="H1244" s="155">
        <v>6.6199999999999995E-2</v>
      </c>
      <c r="I1244" s="154" t="s">
        <v>57</v>
      </c>
      <c r="J1244" s="204">
        <v>6.9999999999999999E-4</v>
      </c>
      <c r="K1244" s="154" t="s">
        <v>24</v>
      </c>
      <c r="L1244" s="154" t="str">
        <f>IF(OpenLCAbasic!K1244="CTUh", "Fill in Manually",IF(OR(K1244="Unit", K1244=""), "", INDEX(LookUps!$E$5:$E$12, MATCH(OpenLCAbasic!K1244,LookUps!$D$5:$D$12,0))))</f>
        <v>Acidification Potential (AP) - kg SO2 eq</v>
      </c>
      <c r="M1244" s="154" t="str">
        <f t="shared" si="65"/>
        <v>Base_High_Base_Upgraded_Acidification Potential (AP) - kg SO2 eq_Gravity Belt Thickener; wastewater treatment unit; at updated plant - US_Base_With Amendment_Windrow</v>
      </c>
    </row>
    <row r="1245" spans="1:13" s="120" customFormat="1" x14ac:dyDescent="0.25">
      <c r="A1245" s="119"/>
      <c r="B1245" s="138" t="str">
        <f t="shared" si="64"/>
        <v>Windrow</v>
      </c>
      <c r="C1245" s="138" t="str">
        <f t="shared" si="66"/>
        <v>Base_With Amendment</v>
      </c>
      <c r="D1245" s="118" t="s">
        <v>139</v>
      </c>
      <c r="E1245" s="118" t="s">
        <v>130</v>
      </c>
      <c r="F1245" s="118" t="s">
        <v>46</v>
      </c>
      <c r="G1245" s="153"/>
      <c r="H1245" s="155">
        <v>4.8500000000000001E-2</v>
      </c>
      <c r="I1245" s="154" t="s">
        <v>59</v>
      </c>
      <c r="J1245" s="204">
        <v>5.1999999999999995E-4</v>
      </c>
      <c r="K1245" s="154" t="s">
        <v>24</v>
      </c>
      <c r="L1245" s="154" t="str">
        <f>IF(OpenLCAbasic!K1245="CTUh", "Fill in Manually",IF(OR(K1245="Unit", K1245=""), "", INDEX(LookUps!$E$5:$E$12, MATCH(OpenLCAbasic!K1245,LookUps!$D$5:$D$12,0))))</f>
        <v>Acidification Potential (AP) - kg SO2 eq</v>
      </c>
      <c r="M1245" s="154" t="str">
        <f t="shared" si="65"/>
        <v>Base_High_Base_Upgraded_Acidification Potential (AP) - kg SO2 eq_Blend Tank; wastewater treatment unit; at updated plant - US_Base_With Amendment_Windrow</v>
      </c>
    </row>
    <row r="1246" spans="1:13" s="120" customFormat="1" x14ac:dyDescent="0.25">
      <c r="A1246" s="119"/>
      <c r="B1246" s="138" t="str">
        <f t="shared" si="64"/>
        <v>Windrow</v>
      </c>
      <c r="C1246" s="138" t="str">
        <f t="shared" si="66"/>
        <v>Base_With Amendment</v>
      </c>
      <c r="D1246" s="118" t="s">
        <v>139</v>
      </c>
      <c r="E1246" s="118" t="s">
        <v>130</v>
      </c>
      <c r="F1246" s="118" t="s">
        <v>46</v>
      </c>
      <c r="G1246" s="153"/>
      <c r="H1246" s="155">
        <v>3.2599999999999997E-2</v>
      </c>
      <c r="I1246" s="154" t="s">
        <v>48</v>
      </c>
      <c r="J1246" s="204">
        <v>3.5E-4</v>
      </c>
      <c r="K1246" s="154" t="s">
        <v>24</v>
      </c>
      <c r="L1246" s="154" t="str">
        <f>IF(OpenLCAbasic!K1246="CTUh", "Fill in Manually",IF(OR(K1246="Unit", K1246=""), "", INDEX(LookUps!$E$5:$E$12, MATCH(OpenLCAbasic!K1246,LookUps!$D$5:$D$12,0))))</f>
        <v>Acidification Potential (AP) - kg SO2 eq</v>
      </c>
      <c r="M1246" s="154" t="str">
        <f t="shared" si="65"/>
        <v>Base_High_Base_Upgraded_Acidification Potential (AP) - kg SO2 eq_Effluent release; wastewater treatment unit; at surface water; m3 wastewater - US_Base_With Amendment_Windrow</v>
      </c>
    </row>
    <row r="1247" spans="1:13" s="120" customFormat="1" x14ac:dyDescent="0.25">
      <c r="A1247" s="119"/>
      <c r="B1247" s="138" t="str">
        <f t="shared" si="64"/>
        <v>Windrow</v>
      </c>
      <c r="C1247" s="138" t="str">
        <f t="shared" si="66"/>
        <v>Base_With Amendment</v>
      </c>
      <c r="D1247" s="118" t="s">
        <v>139</v>
      </c>
      <c r="E1247" s="118" t="s">
        <v>130</v>
      </c>
      <c r="F1247" s="118" t="s">
        <v>46</v>
      </c>
      <c r="G1247" s="153"/>
      <c r="H1247" s="155">
        <v>2.4E-2</v>
      </c>
      <c r="I1247" s="154" t="s">
        <v>168</v>
      </c>
      <c r="J1247" s="204">
        <v>2.5999999999999998E-4</v>
      </c>
      <c r="K1247" s="154" t="s">
        <v>24</v>
      </c>
      <c r="L1247" s="154" t="str">
        <f>IF(OpenLCAbasic!K1247="CTUh", "Fill in Manually",IF(OR(K1247="Unit", K1247=""), "", INDEX(LookUps!$E$5:$E$12, MATCH(OpenLCAbasic!K1247,LookUps!$D$5:$D$12,0))))</f>
        <v>Acidification Potential (AP) - kg SO2 eq</v>
      </c>
      <c r="M1247" s="154" t="str">
        <f t="shared" si="65"/>
        <v>Base_High_Base_Upgraded_Acidification Potential (AP) - kg SO2 eq_ClearCove SCP; wastewater treatment unit; at updated plant - US_Base_With Amendment_Windrow</v>
      </c>
    </row>
    <row r="1248" spans="1:13" s="120" customFormat="1" x14ac:dyDescent="0.25">
      <c r="A1248" s="119"/>
      <c r="B1248" s="138" t="str">
        <f t="shared" si="64"/>
        <v>Windrow</v>
      </c>
      <c r="C1248" s="138" t="str">
        <f t="shared" si="66"/>
        <v>Base_With Amendment</v>
      </c>
      <c r="D1248" s="118" t="s">
        <v>139</v>
      </c>
      <c r="E1248" s="118" t="s">
        <v>130</v>
      </c>
      <c r="F1248" s="118" t="s">
        <v>46</v>
      </c>
      <c r="G1248" s="153"/>
      <c r="H1248" s="155">
        <v>3.8E-3</v>
      </c>
      <c r="I1248" s="154" t="s">
        <v>148</v>
      </c>
      <c r="J1248" s="204">
        <v>4.0354700000000002E-5</v>
      </c>
      <c r="K1248" s="154" t="s">
        <v>24</v>
      </c>
      <c r="L1248" s="154" t="str">
        <f>IF(OpenLCAbasic!K1248="CTUh", "Fill in Manually",IF(OR(K1248="Unit", K1248=""), "", INDEX(LookUps!$E$5:$E$12, MATCH(OpenLCAbasic!K1248,LookUps!$D$5:$D$12,0))))</f>
        <v>Acidification Potential (AP) - kg SO2 eq</v>
      </c>
      <c r="M1248" s="154" t="str">
        <f t="shared" si="65"/>
        <v>Base_High_Base_Upgraded_Acidification Potential (AP) - kg SO2 eq_Control Building; at upgraded wastewater treatment plant - US_Base_With Amendment_Windrow</v>
      </c>
    </row>
    <row r="1249" spans="1:13" s="120" customFormat="1" x14ac:dyDescent="0.25">
      <c r="A1249" s="119"/>
      <c r="B1249" s="138" t="str">
        <f t="shared" si="64"/>
        <v>Windrow</v>
      </c>
      <c r="C1249" s="138" t="str">
        <f t="shared" si="66"/>
        <v>Base_With Amendment</v>
      </c>
      <c r="D1249" s="118" t="s">
        <v>139</v>
      </c>
      <c r="E1249" s="118" t="s">
        <v>130</v>
      </c>
      <c r="F1249" s="118" t="s">
        <v>46</v>
      </c>
      <c r="G1249" s="153"/>
      <c r="H1249" s="155">
        <v>-4.2035</v>
      </c>
      <c r="I1249" s="154" t="s">
        <v>149</v>
      </c>
      <c r="J1249" s="203">
        <v>-4.4699999999999997E-2</v>
      </c>
      <c r="K1249" s="154" t="s">
        <v>24</v>
      </c>
      <c r="L1249" s="154" t="str">
        <f>IF(OpenLCAbasic!K1249="CTUh", "Fill in Manually",IF(OR(K1249="Unit", K1249=""), "", INDEX(LookUps!$E$5:$E$12, MATCH(OpenLCAbasic!K1249,LookUps!$D$5:$D$12,0))))</f>
        <v>Acidification Potential (AP) - kg SO2 eq</v>
      </c>
      <c r="M1249" s="154" t="str">
        <f t="shared" si="65"/>
        <v>Base_High_Base_Upgraded_Acidification Potential (AP) - kg SO2 eq_Anaerobic Digestion; wastewater treatment unit; at updated plant - US_Base_With Amendment_Windrow</v>
      </c>
    </row>
    <row r="1250" spans="1:13" s="120" customFormat="1" x14ac:dyDescent="0.25">
      <c r="A1250" s="119"/>
      <c r="B1250" s="138" t="str">
        <f t="shared" si="64"/>
        <v>Windrow</v>
      </c>
      <c r="C1250" s="138" t="str">
        <f t="shared" si="66"/>
        <v>Base_With Amendment</v>
      </c>
      <c r="D1250" s="118" t="s">
        <v>139</v>
      </c>
      <c r="E1250" s="118" t="s">
        <v>130</v>
      </c>
      <c r="F1250" s="118" t="s">
        <v>46</v>
      </c>
      <c r="G1250" s="153" t="s">
        <v>51</v>
      </c>
      <c r="H1250" s="154"/>
      <c r="I1250" s="154" t="s">
        <v>47</v>
      </c>
      <c r="J1250" s="154" t="s">
        <v>52</v>
      </c>
      <c r="K1250" s="154" t="s">
        <v>27</v>
      </c>
      <c r="L1250" s="154" t="str">
        <f>IF(OpenLCAbasic!K1250="CTUh", "Fill in Manually",IF(OR(K1250="Unit", K1250=""), "", INDEX(LookUps!$E$5:$E$12, MATCH(OpenLCAbasic!K1250,LookUps!$D$5:$D$12,0))))</f>
        <v/>
      </c>
      <c r="M1250" s="154" t="str">
        <f t="shared" si="65"/>
        <v>Base_High_Base_Upgraded__Process_Base_With Amendment_Windrow</v>
      </c>
    </row>
    <row r="1251" spans="1:13" s="120" customFormat="1" x14ac:dyDescent="0.25">
      <c r="A1251" s="119"/>
      <c r="B1251" s="138" t="str">
        <f t="shared" si="64"/>
        <v>Windrow</v>
      </c>
      <c r="C1251" s="138" t="str">
        <f t="shared" si="66"/>
        <v>Base_With Amendment</v>
      </c>
      <c r="D1251" s="118" t="s">
        <v>139</v>
      </c>
      <c r="E1251" s="118" t="s">
        <v>130</v>
      </c>
      <c r="F1251" s="118" t="s">
        <v>46</v>
      </c>
      <c r="G1251" s="153"/>
      <c r="H1251" s="155">
        <v>9.1540999999999997</v>
      </c>
      <c r="I1251" s="154" t="s">
        <v>55</v>
      </c>
      <c r="J1251" s="204">
        <v>2.33E-3</v>
      </c>
      <c r="K1251" s="154" t="s">
        <v>145</v>
      </c>
      <c r="L1251" s="154" t="str">
        <f>IF(OpenLCAbasic!K1251="CTUh", "Fill in Manually",IF(OR(K1251="Unit", K1251=""), "", INDEX(LookUps!$E$5:$E$12, MATCH(OpenLCAbasic!K1251,LookUps!$D$5:$D$12,0))))</f>
        <v>Particulate Matter Formation Potential (PMFP) - kg PM2.5 eq</v>
      </c>
      <c r="M1251" s="154" t="str">
        <f t="shared" si="65"/>
        <v>Base_High_Base_Upgraded_Particulate Matter Formation Potential (PMFP) - kg PM2.5 eq_Aeration Tanks; wastewater treatment unit; at updated plant - US_Base_With Amendment_Windrow</v>
      </c>
    </row>
    <row r="1252" spans="1:13" s="120" customFormat="1" x14ac:dyDescent="0.25">
      <c r="A1252" s="119"/>
      <c r="B1252" s="138" t="str">
        <f t="shared" si="64"/>
        <v>Windrow</v>
      </c>
      <c r="C1252" s="138" t="str">
        <f t="shared" si="66"/>
        <v>Base_With Amendment</v>
      </c>
      <c r="D1252" s="118" t="s">
        <v>139</v>
      </c>
      <c r="E1252" s="118" t="s">
        <v>130</v>
      </c>
      <c r="F1252" s="118" t="s">
        <v>46</v>
      </c>
      <c r="G1252" s="153"/>
      <c r="H1252" s="155">
        <v>2.6638000000000002</v>
      </c>
      <c r="I1252" s="154" t="s">
        <v>54</v>
      </c>
      <c r="J1252" s="204">
        <v>6.8000000000000005E-4</v>
      </c>
      <c r="K1252" s="154" t="s">
        <v>145</v>
      </c>
      <c r="L1252" s="154" t="str">
        <f>IF(OpenLCAbasic!K1252="CTUh", "Fill in Manually",IF(OR(K1252="Unit", K1252=""), "", INDEX(LookUps!$E$5:$E$12, MATCH(OpenLCAbasic!K1252,LookUps!$D$5:$D$12,0))))</f>
        <v>Particulate Matter Formation Potential (PMFP) - kg PM2.5 eq</v>
      </c>
      <c r="M1252" s="154" t="str">
        <f t="shared" si="65"/>
        <v>Base_High_Base_Upgraded_Particulate Matter Formation Potential (PMFP) - kg PM2.5 eq_Clear Cove Primary Clarification; wastewater treatment unit; at updated plant - US_Base_With Amendment_Windrow</v>
      </c>
    </row>
    <row r="1253" spans="1:13" s="120" customFormat="1" x14ac:dyDescent="0.25">
      <c r="A1253" s="119"/>
      <c r="B1253" s="138" t="str">
        <f t="shared" si="64"/>
        <v>Windrow</v>
      </c>
      <c r="C1253" s="138" t="str">
        <f t="shared" si="66"/>
        <v>Base_With Amendment</v>
      </c>
      <c r="D1253" s="118" t="s">
        <v>139</v>
      </c>
      <c r="E1253" s="118" t="s">
        <v>130</v>
      </c>
      <c r="F1253" s="118" t="s">
        <v>46</v>
      </c>
      <c r="G1253" s="153"/>
      <c r="H1253" s="155">
        <v>2.3187000000000002</v>
      </c>
      <c r="I1253" s="154" t="s">
        <v>58</v>
      </c>
      <c r="J1253" s="204">
        <v>5.9000000000000003E-4</v>
      </c>
      <c r="K1253" s="154" t="s">
        <v>145</v>
      </c>
      <c r="L1253" s="154" t="str">
        <f>IF(OpenLCAbasic!K1253="CTUh", "Fill in Manually",IF(OR(K1253="Unit", K1253=""), "", INDEX(LookUps!$E$5:$E$12, MATCH(OpenLCAbasic!K1253,LookUps!$D$5:$D$12,0))))</f>
        <v>Particulate Matter Formation Potential (PMFP) - kg PM2.5 eq</v>
      </c>
      <c r="M1253" s="154" t="str">
        <f t="shared" si="65"/>
        <v>Base_High_Base_Upgraded_Particulate Matter Formation Potential (PMFP) - kg PM2.5 eq_Pre-Anoxic &amp; Swing tank; wastewater treatment unit; at updated plant - US_Base_With Amendment_Windrow</v>
      </c>
    </row>
    <row r="1254" spans="1:13" s="120" customFormat="1" x14ac:dyDescent="0.25">
      <c r="A1254" s="119"/>
      <c r="B1254" s="138" t="str">
        <f t="shared" si="64"/>
        <v>Windrow</v>
      </c>
      <c r="C1254" s="138" t="str">
        <f t="shared" si="66"/>
        <v>Base_With Amendment</v>
      </c>
      <c r="D1254" s="118" t="s">
        <v>139</v>
      </c>
      <c r="E1254" s="118" t="s">
        <v>130</v>
      </c>
      <c r="F1254" s="118" t="s">
        <v>46</v>
      </c>
      <c r="G1254" s="153"/>
      <c r="H1254" s="155">
        <v>1.8303</v>
      </c>
      <c r="I1254" s="154" t="s">
        <v>53</v>
      </c>
      <c r="J1254" s="204">
        <v>4.6999999999999999E-4</v>
      </c>
      <c r="K1254" s="154" t="s">
        <v>145</v>
      </c>
      <c r="L1254" s="154" t="str">
        <f>IF(OpenLCAbasic!K1254="CTUh", "Fill in Manually",IF(OR(K1254="Unit", K1254=""), "", INDEX(LookUps!$E$5:$E$12, MATCH(OpenLCAbasic!K1254,LookUps!$D$5:$D$12,0))))</f>
        <v>Particulate Matter Formation Potential (PMFP) - kg PM2.5 eq</v>
      </c>
      <c r="M1254" s="154" t="str">
        <f t="shared" si="65"/>
        <v>Base_High_Base_Upgraded_Particulate Matter Formation Potential (PMFP) - kg PM2.5 eq_Wet Well and Sump Station; wastewater treatment unit; at updated plant - US_Base_With Amendment_Windrow</v>
      </c>
    </row>
    <row r="1255" spans="1:13" s="120" customFormat="1" x14ac:dyDescent="0.25">
      <c r="A1255" s="119"/>
      <c r="B1255" s="138" t="str">
        <f t="shared" si="64"/>
        <v>Windrow</v>
      </c>
      <c r="C1255" s="138" t="str">
        <f t="shared" si="66"/>
        <v>Base_With Amendment</v>
      </c>
      <c r="D1255" s="118" t="s">
        <v>139</v>
      </c>
      <c r="E1255" s="118" t="s">
        <v>130</v>
      </c>
      <c r="F1255" s="118" t="s">
        <v>46</v>
      </c>
      <c r="G1255" s="153"/>
      <c r="H1255" s="155">
        <v>1.5404</v>
      </c>
      <c r="I1255" s="154" t="s">
        <v>271</v>
      </c>
      <c r="J1255" s="204">
        <v>3.8999999999999999E-4</v>
      </c>
      <c r="K1255" s="154" t="s">
        <v>145</v>
      </c>
      <c r="L1255" s="154" t="str">
        <f>IF(OpenLCAbasic!K1255="CTUh", "Fill in Manually",IF(OR(K1255="Unit", K1255=""), "", INDEX(LookUps!$E$5:$E$12, MATCH(OpenLCAbasic!K1255,LookUps!$D$5:$D$12,0))))</f>
        <v>Particulate Matter Formation Potential (PMFP) - kg PM2.5 eq</v>
      </c>
      <c r="M1255" s="154" t="str">
        <f t="shared" si="65"/>
        <v>Base_High_Base_Upgraded_Particulate Matter Formation Potential (PMFP) - kg PM2.5 eq_Biosolids composting; windrow composting; wastewater treatment unit; at updated plant - US_Base_With Amendment_Windrow</v>
      </c>
    </row>
    <row r="1256" spans="1:13" s="120" customFormat="1" x14ac:dyDescent="0.25">
      <c r="A1256" s="119"/>
      <c r="B1256" s="138" t="str">
        <f t="shared" si="64"/>
        <v>Windrow</v>
      </c>
      <c r="C1256" s="138" t="str">
        <f t="shared" si="66"/>
        <v>Base_With Amendment</v>
      </c>
      <c r="D1256" s="118" t="s">
        <v>139</v>
      </c>
      <c r="E1256" s="118" t="s">
        <v>130</v>
      </c>
      <c r="F1256" s="118" t="s">
        <v>46</v>
      </c>
      <c r="G1256" s="153"/>
      <c r="H1256" s="155">
        <v>1.3009999999999999</v>
      </c>
      <c r="I1256" s="154" t="s">
        <v>167</v>
      </c>
      <c r="J1256" s="204">
        <v>3.3E-4</v>
      </c>
      <c r="K1256" s="154" t="s">
        <v>145</v>
      </c>
      <c r="L1256" s="154" t="str">
        <f>IF(OpenLCAbasic!K1256="CTUh", "Fill in Manually",IF(OR(K1256="Unit", K1256=""), "", INDEX(LookUps!$E$5:$E$12, MATCH(OpenLCAbasic!K1256,LookUps!$D$5:$D$12,0))))</f>
        <v>Particulate Matter Formation Potential (PMFP) - kg PM2.5 eq</v>
      </c>
      <c r="M1256" s="154" t="str">
        <f t="shared" si="65"/>
        <v>Base_High_Base_Upgraded_Particulate Matter Formation Potential (PMFP) - kg PM2.5 eq_Waste Receiving and Holding; wastewater treatment unit; at updated plant - US_Base_With Amendment_Windrow</v>
      </c>
    </row>
    <row r="1257" spans="1:13" s="120" customFormat="1" x14ac:dyDescent="0.25">
      <c r="A1257" s="119"/>
      <c r="B1257" s="138" t="str">
        <f t="shared" si="64"/>
        <v>Windrow</v>
      </c>
      <c r="C1257" s="138" t="str">
        <f t="shared" si="66"/>
        <v>Base_With Amendment</v>
      </c>
      <c r="D1257" s="118" t="s">
        <v>139</v>
      </c>
      <c r="E1257" s="118" t="s">
        <v>130</v>
      </c>
      <c r="F1257" s="118" t="s">
        <v>46</v>
      </c>
      <c r="G1257" s="153"/>
      <c r="H1257" s="155">
        <v>1.0462</v>
      </c>
      <c r="I1257" s="154" t="s">
        <v>147</v>
      </c>
      <c r="J1257" s="204">
        <v>2.7E-4</v>
      </c>
      <c r="K1257" s="154" t="s">
        <v>145</v>
      </c>
      <c r="L1257" s="154" t="str">
        <f>IF(OpenLCAbasic!K1257="CTUh", "Fill in Manually",IF(OR(K1257="Unit", K1257=""), "", INDEX(LookUps!$E$5:$E$12, MATCH(OpenLCAbasic!K1257,LookUps!$D$5:$D$12,0))))</f>
        <v>Particulate Matter Formation Potential (PMFP) - kg PM2.5 eq</v>
      </c>
      <c r="M1257" s="154" t="str">
        <f t="shared" si="65"/>
        <v>Base_High_Base_Upgraded_Particulate Matter Formation Potential (PMFP) - kg PM2.5 eq_Influent Pump Station; wastewater treatment unit; at updated plant - US_Base_With Amendment_Windrow</v>
      </c>
    </row>
    <row r="1258" spans="1:13" s="120" customFormat="1" x14ac:dyDescent="0.25">
      <c r="A1258" s="119"/>
      <c r="B1258" s="138" t="str">
        <f t="shared" si="64"/>
        <v>Windrow</v>
      </c>
      <c r="C1258" s="138" t="str">
        <f t="shared" si="66"/>
        <v>Base_With Amendment</v>
      </c>
      <c r="D1258" s="118" t="s">
        <v>139</v>
      </c>
      <c r="E1258" s="118" t="s">
        <v>130</v>
      </c>
      <c r="F1258" s="118" t="s">
        <v>46</v>
      </c>
      <c r="G1258" s="153"/>
      <c r="H1258" s="155">
        <v>0.7732</v>
      </c>
      <c r="I1258" s="154" t="s">
        <v>60</v>
      </c>
      <c r="J1258" s="204">
        <v>2.0000000000000001E-4</v>
      </c>
      <c r="K1258" s="154" t="s">
        <v>145</v>
      </c>
      <c r="L1258" s="154" t="str">
        <f>IF(OpenLCAbasic!K1258="CTUh", "Fill in Manually",IF(OR(K1258="Unit", K1258=""), "", INDEX(LookUps!$E$5:$E$12, MATCH(OpenLCAbasic!K1258,LookUps!$D$5:$D$12,0))))</f>
        <v>Particulate Matter Formation Potential (PMFP) - kg PM2.5 eq</v>
      </c>
      <c r="M1258" s="154" t="str">
        <f t="shared" si="65"/>
        <v>Base_High_Base_Upgraded_Particulate Matter Formation Potential (PMFP) - kg PM2.5 eq_Belt filter press; wastewater treatment unit; at updated plant - US_Base_With Amendment_Windrow</v>
      </c>
    </row>
    <row r="1259" spans="1:13" s="120" customFormat="1" x14ac:dyDescent="0.25">
      <c r="A1259" s="119"/>
      <c r="B1259" s="138" t="str">
        <f t="shared" si="64"/>
        <v>Windrow</v>
      </c>
      <c r="C1259" s="138" t="str">
        <f t="shared" si="66"/>
        <v>Base_With Amendment</v>
      </c>
      <c r="D1259" s="118" t="s">
        <v>139</v>
      </c>
      <c r="E1259" s="118" t="s">
        <v>130</v>
      </c>
      <c r="F1259" s="118" t="s">
        <v>46</v>
      </c>
      <c r="G1259" s="153"/>
      <c r="H1259" s="155">
        <v>0.65290000000000004</v>
      </c>
      <c r="I1259" s="154" t="s">
        <v>128</v>
      </c>
      <c r="J1259" s="204">
        <v>1.7000000000000001E-4</v>
      </c>
      <c r="K1259" s="154" t="s">
        <v>145</v>
      </c>
      <c r="L1259" s="154" t="str">
        <f>IF(OpenLCAbasic!K1259="CTUh", "Fill in Manually",IF(OR(K1259="Unit", K1259=""), "", INDEX(LookUps!$E$5:$E$12, MATCH(OpenLCAbasic!K1259,LookUps!$D$5:$D$12,0))))</f>
        <v>Particulate Matter Formation Potential (PMFP) - kg PM2.5 eq</v>
      </c>
      <c r="M1259" s="154" t="str">
        <f t="shared" si="65"/>
        <v>Base_High_Base_Upgraded_Particulate Matter Formation Potential (PMFP) - kg PM2.5 eq_Wastewater collection; operation and infrastructure; m3 wastewater_Base_With Amendment_Windrow</v>
      </c>
    </row>
    <row r="1260" spans="1:13" s="120" customFormat="1" x14ac:dyDescent="0.25">
      <c r="A1260" s="119"/>
      <c r="B1260" s="138" t="str">
        <f t="shared" si="64"/>
        <v>Windrow</v>
      </c>
      <c r="C1260" s="138" t="str">
        <f t="shared" si="66"/>
        <v>Base_With Amendment</v>
      </c>
      <c r="D1260" s="118" t="s">
        <v>139</v>
      </c>
      <c r="E1260" s="118" t="s">
        <v>130</v>
      </c>
      <c r="F1260" s="118" t="s">
        <v>46</v>
      </c>
      <c r="G1260" s="153"/>
      <c r="H1260" s="155">
        <v>0.37319999999999998</v>
      </c>
      <c r="I1260" s="154" t="s">
        <v>57</v>
      </c>
      <c r="J1260" s="204">
        <v>9.5153800000000004E-5</v>
      </c>
      <c r="K1260" s="154" t="s">
        <v>145</v>
      </c>
      <c r="L1260" s="154" t="str">
        <f>IF(OpenLCAbasic!K1260="CTUh", "Fill in Manually",IF(OR(K1260="Unit", K1260=""), "", INDEX(LookUps!$E$5:$E$12, MATCH(OpenLCAbasic!K1260,LookUps!$D$5:$D$12,0))))</f>
        <v>Particulate Matter Formation Potential (PMFP) - kg PM2.5 eq</v>
      </c>
      <c r="M1260" s="154" t="str">
        <f t="shared" si="65"/>
        <v>Base_High_Base_Upgraded_Particulate Matter Formation Potential (PMFP) - kg PM2.5 eq_Gravity Belt Thickener; wastewater treatment unit; at updated plant - US_Base_With Amendment_Windrow</v>
      </c>
    </row>
    <row r="1261" spans="1:13" s="120" customFormat="1" x14ac:dyDescent="0.25">
      <c r="A1261" s="119"/>
      <c r="B1261" s="138" t="str">
        <f t="shared" si="64"/>
        <v>Windrow</v>
      </c>
      <c r="C1261" s="138" t="str">
        <f t="shared" si="66"/>
        <v>Base_With Amendment</v>
      </c>
      <c r="D1261" s="118" t="s">
        <v>139</v>
      </c>
      <c r="E1261" s="118" t="s">
        <v>130</v>
      </c>
      <c r="F1261" s="118" t="s">
        <v>46</v>
      </c>
      <c r="G1261" s="153"/>
      <c r="H1261" s="155">
        <v>0.32100000000000001</v>
      </c>
      <c r="I1261" s="154" t="s">
        <v>62</v>
      </c>
      <c r="J1261" s="204">
        <v>8.1846699999999997E-5</v>
      </c>
      <c r="K1261" s="154" t="s">
        <v>145</v>
      </c>
      <c r="L1261" s="154" t="str">
        <f>IF(OpenLCAbasic!K1261="CTUh", "Fill in Manually",IF(OR(K1261="Unit", K1261=""), "", INDEX(LookUps!$E$5:$E$12, MATCH(OpenLCAbasic!K1261,LookUps!$D$5:$D$12,0))))</f>
        <v>Particulate Matter Formation Potential (PMFP) - kg PM2.5 eq</v>
      </c>
      <c r="M1261" s="154" t="str">
        <f t="shared" si="65"/>
        <v>Base_High_Base_Upgraded_Particulate Matter Formation Potential (PMFP) - kg PM2.5 eq_Land application of compost; wastewater treatment unit; at updated plant - US_Base_With Amendment_Windrow</v>
      </c>
    </row>
    <row r="1262" spans="1:13" s="120" customFormat="1" x14ac:dyDescent="0.25">
      <c r="A1262" s="119"/>
      <c r="B1262" s="138" t="str">
        <f t="shared" si="64"/>
        <v>Windrow</v>
      </c>
      <c r="C1262" s="138" t="str">
        <f t="shared" si="66"/>
        <v>Base_With Amendment</v>
      </c>
      <c r="D1262" s="118" t="s">
        <v>139</v>
      </c>
      <c r="E1262" s="118" t="s">
        <v>130</v>
      </c>
      <c r="F1262" s="118" t="s">
        <v>46</v>
      </c>
      <c r="G1262" s="153"/>
      <c r="H1262" s="155">
        <v>0.27429999999999999</v>
      </c>
      <c r="I1262" s="154" t="s">
        <v>59</v>
      </c>
      <c r="J1262" s="204">
        <v>6.9942200000000003E-5</v>
      </c>
      <c r="K1262" s="154" t="s">
        <v>145</v>
      </c>
      <c r="L1262" s="154" t="str">
        <f>IF(OpenLCAbasic!K1262="CTUh", "Fill in Manually",IF(OR(K1262="Unit", K1262=""), "", INDEX(LookUps!$E$5:$E$12, MATCH(OpenLCAbasic!K1262,LookUps!$D$5:$D$12,0))))</f>
        <v>Particulate Matter Formation Potential (PMFP) - kg PM2.5 eq</v>
      </c>
      <c r="M1262" s="154" t="str">
        <f t="shared" si="65"/>
        <v>Base_High_Base_Upgraded_Particulate Matter Formation Potential (PMFP) - kg PM2.5 eq_Blend Tank; wastewater treatment unit; at updated plant - US_Base_With Amendment_Windrow</v>
      </c>
    </row>
    <row r="1263" spans="1:13" s="120" customFormat="1" x14ac:dyDescent="0.25">
      <c r="A1263" s="119"/>
      <c r="B1263" s="138" t="str">
        <f t="shared" si="64"/>
        <v>Windrow</v>
      </c>
      <c r="C1263" s="138" t="str">
        <f t="shared" si="66"/>
        <v>Base_With Amendment</v>
      </c>
      <c r="D1263" s="118" t="s">
        <v>139</v>
      </c>
      <c r="E1263" s="118" t="s">
        <v>130</v>
      </c>
      <c r="F1263" s="118" t="s">
        <v>46</v>
      </c>
      <c r="G1263" s="153"/>
      <c r="H1263" s="155">
        <v>0.19600000000000001</v>
      </c>
      <c r="I1263" s="154" t="s">
        <v>48</v>
      </c>
      <c r="J1263" s="204">
        <v>4.99741E-5</v>
      </c>
      <c r="K1263" s="154" t="s">
        <v>145</v>
      </c>
      <c r="L1263" s="154" t="str">
        <f>IF(OpenLCAbasic!K1263="CTUh", "Fill in Manually",IF(OR(K1263="Unit", K1263=""), "", INDEX(LookUps!$E$5:$E$12, MATCH(OpenLCAbasic!K1263,LookUps!$D$5:$D$12,0))))</f>
        <v>Particulate Matter Formation Potential (PMFP) - kg PM2.5 eq</v>
      </c>
      <c r="M1263" s="154" t="str">
        <f t="shared" si="65"/>
        <v>Base_High_Base_Upgraded_Particulate Matter Formation Potential (PMFP) - kg PM2.5 eq_Effluent release; wastewater treatment unit; at surface water; m3 wastewater - US_Base_With Amendment_Windrow</v>
      </c>
    </row>
    <row r="1264" spans="1:13" s="120" customFormat="1" x14ac:dyDescent="0.25">
      <c r="A1264" s="119"/>
      <c r="B1264" s="138" t="str">
        <f t="shared" si="64"/>
        <v>Windrow</v>
      </c>
      <c r="C1264" s="138" t="str">
        <f t="shared" si="66"/>
        <v>Base_With Amendment</v>
      </c>
      <c r="D1264" s="118" t="s">
        <v>139</v>
      </c>
      <c r="E1264" s="118" t="s">
        <v>130</v>
      </c>
      <c r="F1264" s="118" t="s">
        <v>46</v>
      </c>
      <c r="G1264" s="153"/>
      <c r="H1264" s="155">
        <v>0.1356</v>
      </c>
      <c r="I1264" s="154" t="s">
        <v>168</v>
      </c>
      <c r="J1264" s="204">
        <v>3.4562199999999999E-5</v>
      </c>
      <c r="K1264" s="154" t="s">
        <v>145</v>
      </c>
      <c r="L1264" s="154" t="str">
        <f>IF(OpenLCAbasic!K1264="CTUh", "Fill in Manually",IF(OR(K1264="Unit", K1264=""), "", INDEX(LookUps!$E$5:$E$12, MATCH(OpenLCAbasic!K1264,LookUps!$D$5:$D$12,0))))</f>
        <v>Particulate Matter Formation Potential (PMFP) - kg PM2.5 eq</v>
      </c>
      <c r="M1264" s="154" t="str">
        <f t="shared" si="65"/>
        <v>Base_High_Base_Upgraded_Particulate Matter Formation Potential (PMFP) - kg PM2.5 eq_ClearCove SCP; wastewater treatment unit; at updated plant - US_Base_With Amendment_Windrow</v>
      </c>
    </row>
    <row r="1265" spans="1:13" s="120" customFormat="1" x14ac:dyDescent="0.25">
      <c r="A1265" s="119"/>
      <c r="B1265" s="138" t="str">
        <f t="shared" si="64"/>
        <v>Windrow</v>
      </c>
      <c r="C1265" s="138" t="str">
        <f t="shared" si="66"/>
        <v>Base_With Amendment</v>
      </c>
      <c r="D1265" s="118" t="s">
        <v>139</v>
      </c>
      <c r="E1265" s="118" t="s">
        <v>130</v>
      </c>
      <c r="F1265" s="118" t="s">
        <v>46</v>
      </c>
      <c r="G1265" s="153"/>
      <c r="H1265" s="155">
        <v>3.4599999999999999E-2</v>
      </c>
      <c r="I1265" s="154" t="s">
        <v>148</v>
      </c>
      <c r="J1265" s="204">
        <v>8.8212999999999997E-6</v>
      </c>
      <c r="K1265" s="154" t="s">
        <v>145</v>
      </c>
      <c r="L1265" s="154" t="str">
        <f>IF(OpenLCAbasic!K1265="CTUh", "Fill in Manually",IF(OR(K1265="Unit", K1265=""), "", INDEX(LookUps!$E$5:$E$12, MATCH(OpenLCAbasic!K1265,LookUps!$D$5:$D$12,0))))</f>
        <v>Particulate Matter Formation Potential (PMFP) - kg PM2.5 eq</v>
      </c>
      <c r="M1265" s="154" t="str">
        <f t="shared" si="65"/>
        <v>Base_High_Base_Upgraded_Particulate Matter Formation Potential (PMFP) - kg PM2.5 eq_Control Building; at upgraded wastewater treatment plant - US_Base_With Amendment_Windrow</v>
      </c>
    </row>
    <row r="1266" spans="1:13" s="120" customFormat="1" x14ac:dyDescent="0.25">
      <c r="A1266" s="119"/>
      <c r="B1266" s="138" t="str">
        <f t="shared" si="64"/>
        <v>Windrow</v>
      </c>
      <c r="C1266" s="138" t="str">
        <f t="shared" si="66"/>
        <v>Base_With Amendment</v>
      </c>
      <c r="D1266" s="118" t="s">
        <v>139</v>
      </c>
      <c r="E1266" s="118" t="s">
        <v>130</v>
      </c>
      <c r="F1266" s="118" t="s">
        <v>46</v>
      </c>
      <c r="G1266" s="153"/>
      <c r="H1266" s="155">
        <v>-23.615200000000002</v>
      </c>
      <c r="I1266" s="154" t="s">
        <v>149</v>
      </c>
      <c r="J1266" s="204">
        <v>-6.0200000000000002E-3</v>
      </c>
      <c r="K1266" s="154" t="s">
        <v>145</v>
      </c>
      <c r="L1266" s="154" t="str">
        <f>IF(OpenLCAbasic!K1266="CTUh", "Fill in Manually",IF(OR(K1266="Unit", K1266=""), "", INDEX(LookUps!$E$5:$E$12, MATCH(OpenLCAbasic!K1266,LookUps!$D$5:$D$12,0))))</f>
        <v>Particulate Matter Formation Potential (PMFP) - kg PM2.5 eq</v>
      </c>
      <c r="M1266" s="154" t="str">
        <f t="shared" si="65"/>
        <v>Base_High_Base_Upgraded_Particulate Matter Formation Potential (PMFP) - kg PM2.5 eq_Anaerobic Digestion; wastewater treatment unit; at updated plant - US_Base_With Amendment_Windrow</v>
      </c>
    </row>
    <row r="1267" spans="1:13" s="120" customFormat="1" x14ac:dyDescent="0.25">
      <c r="A1267" s="119"/>
      <c r="B1267" s="138" t="str">
        <f t="shared" si="64"/>
        <v>Windrow</v>
      </c>
      <c r="C1267" s="138" t="str">
        <f t="shared" si="66"/>
        <v>Base_With Amendment</v>
      </c>
      <c r="D1267" s="118" t="s">
        <v>139</v>
      </c>
      <c r="E1267" s="118" t="s">
        <v>130</v>
      </c>
      <c r="F1267" s="118" t="s">
        <v>46</v>
      </c>
      <c r="G1267" s="153" t="s">
        <v>51</v>
      </c>
      <c r="H1267" s="154"/>
      <c r="I1267" s="154" t="s">
        <v>47</v>
      </c>
      <c r="J1267" s="154" t="s">
        <v>52</v>
      </c>
      <c r="K1267" s="154" t="s">
        <v>27</v>
      </c>
      <c r="L1267" s="154" t="str">
        <f>IF(OpenLCAbasic!K1267="CTUh", "Fill in Manually",IF(OR(K1267="Unit", K1267=""), "", INDEX(LookUps!$E$5:$E$12, MATCH(OpenLCAbasic!K1267,LookUps!$D$5:$D$12,0))))</f>
        <v/>
      </c>
      <c r="M1267" s="154" t="str">
        <f t="shared" si="65"/>
        <v>Base_High_Base_Upgraded__Process_Base_With Amendment_Windrow</v>
      </c>
    </row>
    <row r="1268" spans="1:13" s="120" customFormat="1" x14ac:dyDescent="0.25">
      <c r="A1268" s="119"/>
      <c r="B1268" s="138" t="str">
        <f t="shared" si="64"/>
        <v>Windrow</v>
      </c>
      <c r="C1268" s="138" t="str">
        <f t="shared" si="66"/>
        <v>Base_With Amendment</v>
      </c>
      <c r="D1268" s="118" t="s">
        <v>139</v>
      </c>
      <c r="E1268" s="118" t="s">
        <v>130</v>
      </c>
      <c r="F1268" s="118" t="s">
        <v>46</v>
      </c>
      <c r="G1268" s="153"/>
      <c r="H1268" s="155">
        <v>3.5404</v>
      </c>
      <c r="I1268" s="154" t="s">
        <v>55</v>
      </c>
      <c r="J1268" s="203">
        <v>0.16577</v>
      </c>
      <c r="K1268" s="154" t="s">
        <v>25</v>
      </c>
      <c r="L1268" s="154" t="str">
        <f>IF(OpenLCAbasic!K1268="CTUh", "Fill in Manually",IF(OR(K1268="Unit", K1268=""), "", INDEX(LookUps!$E$5:$E$12, MATCH(OpenLCAbasic!K1268,LookUps!$D$5:$D$12,0))))</f>
        <v>Smog Formation Potential (SFP) - kg O3 eq</v>
      </c>
      <c r="M1268" s="154" t="str">
        <f t="shared" si="65"/>
        <v>Base_High_Base_Upgraded_Smog Formation Potential (SFP) - kg O3 eq_Aeration Tanks; wastewater treatment unit; at updated plant - US_Base_With Amendment_Windrow</v>
      </c>
    </row>
    <row r="1269" spans="1:13" s="120" customFormat="1" x14ac:dyDescent="0.25">
      <c r="A1269" s="119"/>
      <c r="B1269" s="138" t="str">
        <f t="shared" si="64"/>
        <v>Windrow</v>
      </c>
      <c r="C1269" s="138" t="str">
        <f t="shared" si="66"/>
        <v>Base_With Amendment</v>
      </c>
      <c r="D1269" s="118" t="s">
        <v>139</v>
      </c>
      <c r="E1269" s="118" t="s">
        <v>130</v>
      </c>
      <c r="F1269" s="118" t="s">
        <v>46</v>
      </c>
      <c r="G1269" s="153"/>
      <c r="H1269" s="155">
        <v>1.0266999999999999</v>
      </c>
      <c r="I1269" s="154" t="s">
        <v>54</v>
      </c>
      <c r="J1269" s="203">
        <v>4.8070000000000002E-2</v>
      </c>
      <c r="K1269" s="154" t="s">
        <v>25</v>
      </c>
      <c r="L1269" s="154" t="str">
        <f>IF(OpenLCAbasic!K1269="CTUh", "Fill in Manually",IF(OR(K1269="Unit", K1269=""), "", INDEX(LookUps!$E$5:$E$12, MATCH(OpenLCAbasic!K1269,LookUps!$D$5:$D$12,0))))</f>
        <v>Smog Formation Potential (SFP) - kg O3 eq</v>
      </c>
      <c r="M1269" s="154" t="str">
        <f t="shared" si="65"/>
        <v>Base_High_Base_Upgraded_Smog Formation Potential (SFP) - kg O3 eq_Clear Cove Primary Clarification; wastewater treatment unit; at updated plant - US_Base_With Amendment_Windrow</v>
      </c>
    </row>
    <row r="1270" spans="1:13" s="120" customFormat="1" x14ac:dyDescent="0.25">
      <c r="A1270" s="119"/>
      <c r="B1270" s="138" t="str">
        <f t="shared" si="64"/>
        <v>Windrow</v>
      </c>
      <c r="C1270" s="138" t="str">
        <f t="shared" si="66"/>
        <v>Base_With Amendment</v>
      </c>
      <c r="D1270" s="118" t="s">
        <v>139</v>
      </c>
      <c r="E1270" s="118" t="s">
        <v>130</v>
      </c>
      <c r="F1270" s="118" t="s">
        <v>46</v>
      </c>
      <c r="G1270" s="153"/>
      <c r="H1270" s="155">
        <v>0.89900000000000002</v>
      </c>
      <c r="I1270" s="154" t="s">
        <v>58</v>
      </c>
      <c r="J1270" s="203">
        <v>4.2090000000000002E-2</v>
      </c>
      <c r="K1270" s="154" t="s">
        <v>25</v>
      </c>
      <c r="L1270" s="154" t="str">
        <f>IF(OpenLCAbasic!K1270="CTUh", "Fill in Manually",IF(OR(K1270="Unit", K1270=""), "", INDEX(LookUps!$E$5:$E$12, MATCH(OpenLCAbasic!K1270,LookUps!$D$5:$D$12,0))))</f>
        <v>Smog Formation Potential (SFP) - kg O3 eq</v>
      </c>
      <c r="M1270" s="154" t="str">
        <f t="shared" si="65"/>
        <v>Base_High_Base_Upgraded_Smog Formation Potential (SFP) - kg O3 eq_Pre-Anoxic &amp; Swing tank; wastewater treatment unit; at updated plant - US_Base_With Amendment_Windrow</v>
      </c>
    </row>
    <row r="1271" spans="1:13" s="120" customFormat="1" x14ac:dyDescent="0.25">
      <c r="A1271" s="119"/>
      <c r="B1271" s="138" t="str">
        <f t="shared" si="64"/>
        <v>Windrow</v>
      </c>
      <c r="C1271" s="138" t="str">
        <f t="shared" si="66"/>
        <v>Base_With Amendment</v>
      </c>
      <c r="D1271" s="118" t="s">
        <v>139</v>
      </c>
      <c r="E1271" s="118" t="s">
        <v>130</v>
      </c>
      <c r="F1271" s="118" t="s">
        <v>46</v>
      </c>
      <c r="G1271" s="153"/>
      <c r="H1271" s="155">
        <v>0.72089999999999999</v>
      </c>
      <c r="I1271" s="154" t="s">
        <v>167</v>
      </c>
      <c r="J1271" s="203">
        <v>3.3759999999999998E-2</v>
      </c>
      <c r="K1271" s="154" t="s">
        <v>25</v>
      </c>
      <c r="L1271" s="154" t="str">
        <f>IF(OpenLCAbasic!K1271="CTUh", "Fill in Manually",IF(OR(K1271="Unit", K1271=""), "", INDEX(LookUps!$E$5:$E$12, MATCH(OpenLCAbasic!K1271,LookUps!$D$5:$D$12,0))))</f>
        <v>Smog Formation Potential (SFP) - kg O3 eq</v>
      </c>
      <c r="M1271" s="154" t="str">
        <f t="shared" si="65"/>
        <v>Base_High_Base_Upgraded_Smog Formation Potential (SFP) - kg O3 eq_Waste Receiving and Holding; wastewater treatment unit; at updated plant - US_Base_With Amendment_Windrow</v>
      </c>
    </row>
    <row r="1272" spans="1:13" s="120" customFormat="1" x14ac:dyDescent="0.25">
      <c r="A1272" s="119"/>
      <c r="B1272" s="138" t="str">
        <f t="shared" si="64"/>
        <v>Windrow</v>
      </c>
      <c r="C1272" s="138" t="str">
        <f t="shared" si="66"/>
        <v>Base_With Amendment</v>
      </c>
      <c r="D1272" s="118" t="s">
        <v>139</v>
      </c>
      <c r="E1272" s="118" t="s">
        <v>130</v>
      </c>
      <c r="F1272" s="118" t="s">
        <v>46</v>
      </c>
      <c r="G1272" s="153"/>
      <c r="H1272" s="155">
        <v>0.70750000000000002</v>
      </c>
      <c r="I1272" s="154" t="s">
        <v>53</v>
      </c>
      <c r="J1272" s="203">
        <v>3.313E-2</v>
      </c>
      <c r="K1272" s="154" t="s">
        <v>25</v>
      </c>
      <c r="L1272" s="154" t="str">
        <f>IF(OpenLCAbasic!K1272="CTUh", "Fill in Manually",IF(OR(K1272="Unit", K1272=""), "", INDEX(LookUps!$E$5:$E$12, MATCH(OpenLCAbasic!K1272,LookUps!$D$5:$D$12,0))))</f>
        <v>Smog Formation Potential (SFP) - kg O3 eq</v>
      </c>
      <c r="M1272" s="154" t="str">
        <f t="shared" si="65"/>
        <v>Base_High_Base_Upgraded_Smog Formation Potential (SFP) - kg O3 eq_Wet Well and Sump Station; wastewater treatment unit; at updated plant - US_Base_With Amendment_Windrow</v>
      </c>
    </row>
    <row r="1273" spans="1:13" s="120" customFormat="1" x14ac:dyDescent="0.25">
      <c r="A1273" s="119"/>
      <c r="B1273" s="138" t="str">
        <f t="shared" si="64"/>
        <v>Windrow</v>
      </c>
      <c r="C1273" s="138" t="str">
        <f t="shared" si="66"/>
        <v>Base_With Amendment</v>
      </c>
      <c r="D1273" s="118" t="s">
        <v>139</v>
      </c>
      <c r="E1273" s="118" t="s">
        <v>130</v>
      </c>
      <c r="F1273" s="118" t="s">
        <v>46</v>
      </c>
      <c r="G1273" s="153"/>
      <c r="H1273" s="155">
        <v>0.4143</v>
      </c>
      <c r="I1273" s="154" t="s">
        <v>147</v>
      </c>
      <c r="J1273" s="203">
        <v>1.9400000000000001E-2</v>
      </c>
      <c r="K1273" s="154" t="s">
        <v>25</v>
      </c>
      <c r="L1273" s="154" t="str">
        <f>IF(OpenLCAbasic!K1273="CTUh", "Fill in Manually",IF(OR(K1273="Unit", K1273=""), "", INDEX(LookUps!$E$5:$E$12, MATCH(OpenLCAbasic!K1273,LookUps!$D$5:$D$12,0))))</f>
        <v>Smog Formation Potential (SFP) - kg O3 eq</v>
      </c>
      <c r="M1273" s="154" t="str">
        <f t="shared" si="65"/>
        <v>Base_High_Base_Upgraded_Smog Formation Potential (SFP) - kg O3 eq_Influent Pump Station; wastewater treatment unit; at updated plant - US_Base_With Amendment_Windrow</v>
      </c>
    </row>
    <row r="1274" spans="1:13" s="120" customFormat="1" x14ac:dyDescent="0.25">
      <c r="A1274" s="119"/>
      <c r="B1274" s="138" t="str">
        <f t="shared" si="64"/>
        <v>Windrow</v>
      </c>
      <c r="C1274" s="138" t="str">
        <f t="shared" si="66"/>
        <v>Base_With Amendment</v>
      </c>
      <c r="D1274" s="118" t="s">
        <v>139</v>
      </c>
      <c r="E1274" s="118" t="s">
        <v>130</v>
      </c>
      <c r="F1274" s="118" t="s">
        <v>46</v>
      </c>
      <c r="G1274" s="153"/>
      <c r="H1274" s="155">
        <v>0.29609999999999997</v>
      </c>
      <c r="I1274" s="154" t="s">
        <v>60</v>
      </c>
      <c r="J1274" s="204">
        <v>1.387E-2</v>
      </c>
      <c r="K1274" s="154" t="s">
        <v>25</v>
      </c>
      <c r="L1274" s="154" t="str">
        <f>IF(OpenLCAbasic!K1274="CTUh", "Fill in Manually",IF(OR(K1274="Unit", K1274=""), "", INDEX(LookUps!$E$5:$E$12, MATCH(OpenLCAbasic!K1274,LookUps!$D$5:$D$12,0))))</f>
        <v>Smog Formation Potential (SFP) - kg O3 eq</v>
      </c>
      <c r="M1274" s="154" t="str">
        <f t="shared" si="65"/>
        <v>Base_High_Base_Upgraded_Smog Formation Potential (SFP) - kg O3 eq_Belt filter press; wastewater treatment unit; at updated plant - US_Base_With Amendment_Windrow</v>
      </c>
    </row>
    <row r="1275" spans="1:13" s="120" customFormat="1" x14ac:dyDescent="0.25">
      <c r="A1275" s="119"/>
      <c r="B1275" s="138" t="str">
        <f t="shared" si="64"/>
        <v>Windrow</v>
      </c>
      <c r="C1275" s="138" t="str">
        <f t="shared" si="66"/>
        <v>Base_With Amendment</v>
      </c>
      <c r="D1275" s="118" t="s">
        <v>139</v>
      </c>
      <c r="E1275" s="118" t="s">
        <v>130</v>
      </c>
      <c r="F1275" s="118" t="s">
        <v>46</v>
      </c>
      <c r="G1275" s="153"/>
      <c r="H1275" s="155">
        <v>0.2545</v>
      </c>
      <c r="I1275" s="154" t="s">
        <v>128</v>
      </c>
      <c r="J1275" s="204">
        <v>1.192E-2</v>
      </c>
      <c r="K1275" s="154" t="s">
        <v>25</v>
      </c>
      <c r="L1275" s="154" t="str">
        <f>IF(OpenLCAbasic!K1275="CTUh", "Fill in Manually",IF(OR(K1275="Unit", K1275=""), "", INDEX(LookUps!$E$5:$E$12, MATCH(OpenLCAbasic!K1275,LookUps!$D$5:$D$12,0))))</f>
        <v>Smog Formation Potential (SFP) - kg O3 eq</v>
      </c>
      <c r="M1275" s="154" t="str">
        <f t="shared" si="65"/>
        <v>Base_High_Base_Upgraded_Smog Formation Potential (SFP) - kg O3 eq_Wastewater collection; operation and infrastructure; m3 wastewater_Base_With Amendment_Windrow</v>
      </c>
    </row>
    <row r="1276" spans="1:13" s="120" customFormat="1" x14ac:dyDescent="0.25">
      <c r="A1276" s="119"/>
      <c r="B1276" s="138" t="str">
        <f t="shared" si="64"/>
        <v>Windrow</v>
      </c>
      <c r="C1276" s="138" t="str">
        <f t="shared" si="66"/>
        <v>Base_With Amendment</v>
      </c>
      <c r="D1276" s="118" t="s">
        <v>139</v>
      </c>
      <c r="E1276" s="118" t="s">
        <v>130</v>
      </c>
      <c r="F1276" s="118" t="s">
        <v>46</v>
      </c>
      <c r="G1276" s="153"/>
      <c r="H1276" s="155">
        <v>0.1421</v>
      </c>
      <c r="I1276" s="154" t="s">
        <v>57</v>
      </c>
      <c r="J1276" s="204">
        <v>6.6499999999999997E-3</v>
      </c>
      <c r="K1276" s="154" t="s">
        <v>25</v>
      </c>
      <c r="L1276" s="154" t="str">
        <f>IF(OpenLCAbasic!K1276="CTUh", "Fill in Manually",IF(OR(K1276="Unit", K1276=""), "", INDEX(LookUps!$E$5:$E$12, MATCH(OpenLCAbasic!K1276,LookUps!$D$5:$D$12,0))))</f>
        <v>Smog Formation Potential (SFP) - kg O3 eq</v>
      </c>
      <c r="M1276" s="154" t="str">
        <f t="shared" si="65"/>
        <v>Base_High_Base_Upgraded_Smog Formation Potential (SFP) - kg O3 eq_Gravity Belt Thickener; wastewater treatment unit; at updated plant - US_Base_With Amendment_Windrow</v>
      </c>
    </row>
    <row r="1277" spans="1:13" s="120" customFormat="1" x14ac:dyDescent="0.25">
      <c r="A1277" s="119"/>
      <c r="B1277" s="138" t="str">
        <f t="shared" si="64"/>
        <v>Windrow</v>
      </c>
      <c r="C1277" s="138" t="str">
        <f t="shared" si="66"/>
        <v>Base_With Amendment</v>
      </c>
      <c r="D1277" s="118" t="s">
        <v>139</v>
      </c>
      <c r="E1277" s="118" t="s">
        <v>130</v>
      </c>
      <c r="F1277" s="118" t="s">
        <v>46</v>
      </c>
      <c r="G1277" s="153"/>
      <c r="H1277" s="155">
        <v>0.1062</v>
      </c>
      <c r="I1277" s="154" t="s">
        <v>59</v>
      </c>
      <c r="J1277" s="204">
        <v>4.9699999999999996E-3</v>
      </c>
      <c r="K1277" s="154" t="s">
        <v>25</v>
      </c>
      <c r="L1277" s="154" t="str">
        <f>IF(OpenLCAbasic!K1277="CTUh", "Fill in Manually",IF(OR(K1277="Unit", K1277=""), "", INDEX(LookUps!$E$5:$E$12, MATCH(OpenLCAbasic!K1277,LookUps!$D$5:$D$12,0))))</f>
        <v>Smog Formation Potential (SFP) - kg O3 eq</v>
      </c>
      <c r="M1277" s="154" t="str">
        <f t="shared" si="65"/>
        <v>Base_High_Base_Upgraded_Smog Formation Potential (SFP) - kg O3 eq_Blend Tank; wastewater treatment unit; at updated plant - US_Base_With Amendment_Windrow</v>
      </c>
    </row>
    <row r="1278" spans="1:13" s="120" customFormat="1" x14ac:dyDescent="0.25">
      <c r="A1278" s="119"/>
      <c r="B1278" s="138" t="str">
        <f t="shared" si="64"/>
        <v>Windrow</v>
      </c>
      <c r="C1278" s="138" t="str">
        <f t="shared" si="66"/>
        <v>Base_With Amendment</v>
      </c>
      <c r="D1278" s="118" t="s">
        <v>139</v>
      </c>
      <c r="E1278" s="118" t="s">
        <v>130</v>
      </c>
      <c r="F1278" s="118" t="s">
        <v>46</v>
      </c>
      <c r="G1278" s="153"/>
      <c r="H1278" s="155">
        <v>7.2300000000000003E-2</v>
      </c>
      <c r="I1278" s="154" t="s">
        <v>48</v>
      </c>
      <c r="J1278" s="204">
        <v>3.3899999999999998E-3</v>
      </c>
      <c r="K1278" s="154" t="s">
        <v>25</v>
      </c>
      <c r="L1278" s="154" t="str">
        <f>IF(OpenLCAbasic!K1278="CTUh", "Fill in Manually",IF(OR(K1278="Unit", K1278=""), "", INDEX(LookUps!$E$5:$E$12, MATCH(OpenLCAbasic!K1278,LookUps!$D$5:$D$12,0))))</f>
        <v>Smog Formation Potential (SFP) - kg O3 eq</v>
      </c>
      <c r="M1278" s="154" t="str">
        <f t="shared" si="65"/>
        <v>Base_High_Base_Upgraded_Smog Formation Potential (SFP) - kg O3 eq_Effluent release; wastewater treatment unit; at surface water; m3 wastewater - US_Base_With Amendment_Windrow</v>
      </c>
    </row>
    <row r="1279" spans="1:13" s="120" customFormat="1" x14ac:dyDescent="0.25">
      <c r="A1279" s="119"/>
      <c r="B1279" s="138" t="str">
        <f t="shared" si="64"/>
        <v>Windrow</v>
      </c>
      <c r="C1279" s="138" t="str">
        <f t="shared" si="66"/>
        <v>Base_With Amendment</v>
      </c>
      <c r="D1279" s="118" t="s">
        <v>139</v>
      </c>
      <c r="E1279" s="118" t="s">
        <v>130</v>
      </c>
      <c r="F1279" s="118" t="s">
        <v>46</v>
      </c>
      <c r="G1279" s="153"/>
      <c r="H1279" s="155">
        <v>5.2400000000000002E-2</v>
      </c>
      <c r="I1279" s="154" t="s">
        <v>168</v>
      </c>
      <c r="J1279" s="204">
        <v>2.4599999999999999E-3</v>
      </c>
      <c r="K1279" s="154" t="s">
        <v>25</v>
      </c>
      <c r="L1279" s="154" t="str">
        <f>IF(OpenLCAbasic!K1279="CTUh", "Fill in Manually",IF(OR(K1279="Unit", K1279=""), "", INDEX(LookUps!$E$5:$E$12, MATCH(OpenLCAbasic!K1279,LookUps!$D$5:$D$12,0))))</f>
        <v>Smog Formation Potential (SFP) - kg O3 eq</v>
      </c>
      <c r="M1279" s="154" t="str">
        <f t="shared" si="65"/>
        <v>Base_High_Base_Upgraded_Smog Formation Potential (SFP) - kg O3 eq_ClearCove SCP; wastewater treatment unit; at updated plant - US_Base_With Amendment_Windrow</v>
      </c>
    </row>
    <row r="1280" spans="1:13" s="120" customFormat="1" x14ac:dyDescent="0.25">
      <c r="A1280" s="119"/>
      <c r="B1280" s="138" t="str">
        <f t="shared" si="64"/>
        <v>Windrow</v>
      </c>
      <c r="C1280" s="138" t="str">
        <f t="shared" si="66"/>
        <v>Base_With Amendment</v>
      </c>
      <c r="D1280" s="118" t="s">
        <v>139</v>
      </c>
      <c r="E1280" s="118" t="s">
        <v>130</v>
      </c>
      <c r="F1280" s="118" t="s">
        <v>46</v>
      </c>
      <c r="G1280" s="153"/>
      <c r="H1280" s="155">
        <v>4.5199999999999997E-2</v>
      </c>
      <c r="I1280" s="154" t="s">
        <v>271</v>
      </c>
      <c r="J1280" s="204">
        <v>2.1199999999999999E-3</v>
      </c>
      <c r="K1280" s="154" t="s">
        <v>25</v>
      </c>
      <c r="L1280" s="154" t="str">
        <f>IF(OpenLCAbasic!K1280="CTUh", "Fill in Manually",IF(OR(K1280="Unit", K1280=""), "", INDEX(LookUps!$E$5:$E$12, MATCH(OpenLCAbasic!K1280,LookUps!$D$5:$D$12,0))))</f>
        <v>Smog Formation Potential (SFP) - kg O3 eq</v>
      </c>
      <c r="M1280" s="154" t="str">
        <f t="shared" si="65"/>
        <v>Base_High_Base_Upgraded_Smog Formation Potential (SFP) - kg O3 eq_Biosolids composting; windrow composting; wastewater treatment unit; at updated plant - US_Base_With Amendment_Windrow</v>
      </c>
    </row>
    <row r="1281" spans="1:13" s="120" customFormat="1" x14ac:dyDescent="0.25">
      <c r="A1281" s="119"/>
      <c r="B1281" s="138" t="str">
        <f t="shared" si="64"/>
        <v>Windrow</v>
      </c>
      <c r="C1281" s="138" t="str">
        <f t="shared" si="66"/>
        <v>Base_With Amendment</v>
      </c>
      <c r="D1281" s="118" t="s">
        <v>139</v>
      </c>
      <c r="E1281" s="118" t="s">
        <v>130</v>
      </c>
      <c r="F1281" s="118" t="s">
        <v>46</v>
      </c>
      <c r="G1281" s="153"/>
      <c r="H1281" s="155">
        <v>1.15E-2</v>
      </c>
      <c r="I1281" s="154" t="s">
        <v>148</v>
      </c>
      <c r="J1281" s="204">
        <v>5.4000000000000001E-4</v>
      </c>
      <c r="K1281" s="154" t="s">
        <v>25</v>
      </c>
      <c r="L1281" s="154" t="str">
        <f>IF(OpenLCAbasic!K1281="CTUh", "Fill in Manually",IF(OR(K1281="Unit", K1281=""), "", INDEX(LookUps!$E$5:$E$12, MATCH(OpenLCAbasic!K1281,LookUps!$D$5:$D$12,0))))</f>
        <v>Smog Formation Potential (SFP) - kg O3 eq</v>
      </c>
      <c r="M1281" s="154" t="str">
        <f t="shared" si="65"/>
        <v>Base_High_Base_Upgraded_Smog Formation Potential (SFP) - kg O3 eq_Control Building; at upgraded wastewater treatment plant - US_Base_With Amendment_Windrow</v>
      </c>
    </row>
    <row r="1282" spans="1:13" s="120" customFormat="1" x14ac:dyDescent="0.25">
      <c r="A1282" s="119"/>
      <c r="B1282" s="138" t="str">
        <f t="shared" si="64"/>
        <v>Windrow</v>
      </c>
      <c r="C1282" s="138" t="str">
        <f t="shared" si="66"/>
        <v>Base_With Amendment</v>
      </c>
      <c r="D1282" s="118" t="s">
        <v>139</v>
      </c>
      <c r="E1282" s="118" t="s">
        <v>130</v>
      </c>
      <c r="F1282" s="118" t="s">
        <v>46</v>
      </c>
      <c r="G1282" s="153"/>
      <c r="H1282" s="155">
        <v>-0.1128</v>
      </c>
      <c r="I1282" s="154" t="s">
        <v>62</v>
      </c>
      <c r="J1282" s="204">
        <v>-5.28E-3</v>
      </c>
      <c r="K1282" s="154" t="s">
        <v>25</v>
      </c>
      <c r="L1282" s="154" t="str">
        <f>IF(OpenLCAbasic!K1282="CTUh", "Fill in Manually",IF(OR(K1282="Unit", K1282=""), "", INDEX(LookUps!$E$5:$E$12, MATCH(OpenLCAbasic!K1282,LookUps!$D$5:$D$12,0))))</f>
        <v>Smog Formation Potential (SFP) - kg O3 eq</v>
      </c>
      <c r="M1282" s="154" t="str">
        <f t="shared" si="65"/>
        <v>Base_High_Base_Upgraded_Smog Formation Potential (SFP) - kg O3 eq_Land application of compost; wastewater treatment unit; at updated plant - US_Base_With Amendment_Windrow</v>
      </c>
    </row>
    <row r="1283" spans="1:13" s="120" customFormat="1" x14ac:dyDescent="0.25">
      <c r="A1283" s="119"/>
      <c r="B1283" s="138" t="str">
        <f t="shared" si="64"/>
        <v>Windrow</v>
      </c>
      <c r="C1283" s="138" t="str">
        <f t="shared" si="66"/>
        <v>Base_With Amendment</v>
      </c>
      <c r="D1283" s="118" t="s">
        <v>139</v>
      </c>
      <c r="E1283" s="118" t="s">
        <v>130</v>
      </c>
      <c r="F1283" s="118" t="s">
        <v>46</v>
      </c>
      <c r="G1283" s="153"/>
      <c r="H1283" s="155">
        <v>-9.1762999999999995</v>
      </c>
      <c r="I1283" s="154" t="s">
        <v>149</v>
      </c>
      <c r="J1283" s="203">
        <v>-0.42965999999999999</v>
      </c>
      <c r="K1283" s="154" t="s">
        <v>25</v>
      </c>
      <c r="L1283" s="154" t="str">
        <f>IF(OpenLCAbasic!K1283="CTUh", "Fill in Manually",IF(OR(K1283="Unit", K1283=""), "", INDEX(LookUps!$E$5:$E$12, MATCH(OpenLCAbasic!K1283,LookUps!$D$5:$D$12,0))))</f>
        <v>Smog Formation Potential (SFP) - kg O3 eq</v>
      </c>
      <c r="M1283" s="154" t="str">
        <f t="shared" si="65"/>
        <v>Base_High_Base_Upgraded_Smog Formation Potential (SFP) - kg O3 eq_Anaerobic Digestion; wastewater treatment unit; at updated plant - US_Base_With Amendment_Windrow</v>
      </c>
    </row>
    <row r="1284" spans="1:13" s="120" customFormat="1" x14ac:dyDescent="0.25">
      <c r="A1284" s="119"/>
      <c r="B1284" s="138" t="str">
        <f t="shared" si="64"/>
        <v>Windrow</v>
      </c>
      <c r="C1284" s="138" t="str">
        <f t="shared" si="66"/>
        <v>Base_With Amendment</v>
      </c>
      <c r="D1284" s="118" t="s">
        <v>139</v>
      </c>
      <c r="E1284" s="118" t="s">
        <v>130</v>
      </c>
      <c r="F1284" s="118" t="s">
        <v>46</v>
      </c>
      <c r="G1284" s="153" t="s">
        <v>51</v>
      </c>
      <c r="H1284" s="154"/>
      <c r="I1284" s="154" t="s">
        <v>47</v>
      </c>
      <c r="J1284" s="154" t="s">
        <v>52</v>
      </c>
      <c r="K1284" s="154" t="s">
        <v>27</v>
      </c>
      <c r="L1284" s="154" t="str">
        <f>IF(OpenLCAbasic!K1284="CTUh", "Fill in Manually",IF(OR(K1284="Unit", K1284=""), "", INDEX(LookUps!$E$5:$E$12, MATCH(OpenLCAbasic!K1284,LookUps!$D$5:$D$12,0))))</f>
        <v/>
      </c>
      <c r="M1284" s="154" t="str">
        <f t="shared" si="65"/>
        <v>Base_High_Base_Upgraded__Process_Base_With Amendment_Windrow</v>
      </c>
    </row>
    <row r="1285" spans="1:13" s="120" customFormat="1" x14ac:dyDescent="0.25">
      <c r="A1285" s="119"/>
      <c r="B1285" s="138" t="str">
        <f t="shared" si="64"/>
        <v>Windrow</v>
      </c>
      <c r="C1285" s="138" t="str">
        <f t="shared" si="66"/>
        <v>Base_With Amendment</v>
      </c>
      <c r="D1285" s="118" t="s">
        <v>139</v>
      </c>
      <c r="E1285" s="118" t="s">
        <v>130</v>
      </c>
      <c r="F1285" s="118" t="s">
        <v>46</v>
      </c>
      <c r="G1285" s="153"/>
      <c r="H1285" s="155">
        <v>0.31259999999999999</v>
      </c>
      <c r="I1285" s="154" t="s">
        <v>167</v>
      </c>
      <c r="J1285" s="204">
        <v>3.4000000000000002E-4</v>
      </c>
      <c r="K1285" s="154" t="s">
        <v>26</v>
      </c>
      <c r="L1285" s="154" t="str">
        <f>IF(OpenLCAbasic!K1285="CTUh", "Fill in Manually",IF(OR(K1285="Unit", K1285=""), "", INDEX(LookUps!$E$5:$E$12, MATCH(OpenLCAbasic!K1285,LookUps!$D$5:$D$12,0))))</f>
        <v>Water Use (WU) - m3 H2O</v>
      </c>
      <c r="M1285" s="154" t="str">
        <f t="shared" si="65"/>
        <v>Base_High_Base_Upgraded_Water Use (WU) - m3 H2O_Waste Receiving and Holding; wastewater treatment unit; at updated plant - US_Base_With Amendment_Windrow</v>
      </c>
    </row>
    <row r="1286" spans="1:13" s="120" customFormat="1" x14ac:dyDescent="0.25">
      <c r="A1286" s="119"/>
      <c r="B1286" s="138" t="str">
        <f t="shared" si="64"/>
        <v>Windrow</v>
      </c>
      <c r="C1286" s="138" t="str">
        <f t="shared" si="66"/>
        <v>Base_With Amendment</v>
      </c>
      <c r="D1286" s="118" t="s">
        <v>139</v>
      </c>
      <c r="E1286" s="118" t="s">
        <v>130</v>
      </c>
      <c r="F1286" s="118" t="s">
        <v>46</v>
      </c>
      <c r="G1286" s="153"/>
      <c r="H1286" s="155">
        <v>0.1711</v>
      </c>
      <c r="I1286" s="154" t="s">
        <v>147</v>
      </c>
      <c r="J1286" s="204">
        <v>1.8000000000000001E-4</v>
      </c>
      <c r="K1286" s="154" t="s">
        <v>26</v>
      </c>
      <c r="L1286" s="154" t="str">
        <f>IF(OpenLCAbasic!K1286="CTUh", "Fill in Manually",IF(OR(K1286="Unit", K1286=""), "", INDEX(LookUps!$E$5:$E$12, MATCH(OpenLCAbasic!K1286,LookUps!$D$5:$D$12,0))))</f>
        <v>Water Use (WU) - m3 H2O</v>
      </c>
      <c r="M1286" s="154" t="str">
        <f t="shared" si="65"/>
        <v>Base_High_Base_Upgraded_Water Use (WU) - m3 H2O_Influent Pump Station; wastewater treatment unit; at updated plant - US_Base_With Amendment_Windrow</v>
      </c>
    </row>
    <row r="1287" spans="1:13" s="120" customFormat="1" x14ac:dyDescent="0.25">
      <c r="A1287" s="119"/>
      <c r="B1287" s="138" t="str">
        <f t="shared" ref="B1287:B1350" si="67">IF(F1287="Legacy","n.a.",IF(F1287="","","Windrow"))</f>
        <v>Windrow</v>
      </c>
      <c r="C1287" s="138" t="str">
        <f t="shared" si="66"/>
        <v>Base_With Amendment</v>
      </c>
      <c r="D1287" s="118" t="s">
        <v>139</v>
      </c>
      <c r="E1287" s="118" t="s">
        <v>130</v>
      </c>
      <c r="F1287" s="118" t="s">
        <v>46</v>
      </c>
      <c r="G1287" s="153"/>
      <c r="H1287" s="155">
        <v>0.16689999999999999</v>
      </c>
      <c r="I1287" s="154" t="s">
        <v>54</v>
      </c>
      <c r="J1287" s="204">
        <v>1.8000000000000001E-4</v>
      </c>
      <c r="K1287" s="154" t="s">
        <v>26</v>
      </c>
      <c r="L1287" s="154" t="str">
        <f>IF(OpenLCAbasic!K1287="CTUh", "Fill in Manually",IF(OR(K1287="Unit", K1287=""), "", INDEX(LookUps!$E$5:$E$12, MATCH(OpenLCAbasic!K1287,LookUps!$D$5:$D$12,0))))</f>
        <v>Water Use (WU) - m3 H2O</v>
      </c>
      <c r="M1287" s="154" t="str">
        <f t="shared" si="65"/>
        <v>Base_High_Base_Upgraded_Water Use (WU) - m3 H2O_Clear Cove Primary Clarification; wastewater treatment unit; at updated plant - US_Base_With Amendment_Windrow</v>
      </c>
    </row>
    <row r="1288" spans="1:13" s="120" customFormat="1" x14ac:dyDescent="0.25">
      <c r="A1288" s="119"/>
      <c r="B1288" s="138" t="str">
        <f t="shared" si="67"/>
        <v>Windrow</v>
      </c>
      <c r="C1288" s="138" t="str">
        <f t="shared" si="66"/>
        <v>Base_With Amendment</v>
      </c>
      <c r="D1288" s="118" t="s">
        <v>139</v>
      </c>
      <c r="E1288" s="118" t="s">
        <v>130</v>
      </c>
      <c r="F1288" s="118" t="s">
        <v>46</v>
      </c>
      <c r="G1288" s="153"/>
      <c r="H1288" s="155">
        <v>0.15140000000000001</v>
      </c>
      <c r="I1288" s="154" t="s">
        <v>55</v>
      </c>
      <c r="J1288" s="204">
        <v>1.6000000000000001E-4</v>
      </c>
      <c r="K1288" s="154" t="s">
        <v>26</v>
      </c>
      <c r="L1288" s="154" t="str">
        <f>IF(OpenLCAbasic!K1288="CTUh", "Fill in Manually",IF(OR(K1288="Unit", K1288=""), "", INDEX(LookUps!$E$5:$E$12, MATCH(OpenLCAbasic!K1288,LookUps!$D$5:$D$12,0))))</f>
        <v>Water Use (WU) - m3 H2O</v>
      </c>
      <c r="M1288" s="154" t="str">
        <f t="shared" ref="M1288:M1351" si="68">CONCATENATE(E1288,"_",D1288,"_",F1288,"_",L1288, "_",I1288,"_", C1288,"_", B1288)</f>
        <v>Base_High_Base_Upgraded_Water Use (WU) - m3 H2O_Aeration Tanks; wastewater treatment unit; at updated plant - US_Base_With Amendment_Windrow</v>
      </c>
    </row>
    <row r="1289" spans="1:13" s="120" customFormat="1" x14ac:dyDescent="0.25">
      <c r="A1289" s="119"/>
      <c r="B1289" s="138" t="str">
        <f t="shared" si="67"/>
        <v>Windrow</v>
      </c>
      <c r="C1289" s="138" t="str">
        <f t="shared" si="66"/>
        <v>Base_With Amendment</v>
      </c>
      <c r="D1289" s="118" t="s">
        <v>139</v>
      </c>
      <c r="E1289" s="118" t="s">
        <v>130</v>
      </c>
      <c r="F1289" s="118" t="s">
        <v>46</v>
      </c>
      <c r="G1289" s="153"/>
      <c r="H1289" s="155">
        <v>0.13789999999999999</v>
      </c>
      <c r="I1289" s="154" t="s">
        <v>148</v>
      </c>
      <c r="J1289" s="204">
        <v>1.4999999999999999E-4</v>
      </c>
      <c r="K1289" s="154" t="s">
        <v>26</v>
      </c>
      <c r="L1289" s="154" t="str">
        <f>IF(OpenLCAbasic!K1289="CTUh", "Fill in Manually",IF(OR(K1289="Unit", K1289=""), "", INDEX(LookUps!$E$5:$E$12, MATCH(OpenLCAbasic!K1289,LookUps!$D$5:$D$12,0))))</f>
        <v>Water Use (WU) - m3 H2O</v>
      </c>
      <c r="M1289" s="154" t="str">
        <f t="shared" si="68"/>
        <v>Base_High_Base_Upgraded_Water Use (WU) - m3 H2O_Control Building; at upgraded wastewater treatment plant - US_Base_With Amendment_Windrow</v>
      </c>
    </row>
    <row r="1290" spans="1:13" s="120" customFormat="1" x14ac:dyDescent="0.25">
      <c r="A1290" s="119"/>
      <c r="B1290" s="138" t="str">
        <f t="shared" si="67"/>
        <v>Windrow</v>
      </c>
      <c r="C1290" s="138" t="str">
        <f t="shared" si="66"/>
        <v>Base_With Amendment</v>
      </c>
      <c r="D1290" s="118" t="s">
        <v>139</v>
      </c>
      <c r="E1290" s="118" t="s">
        <v>130</v>
      </c>
      <c r="F1290" s="118" t="s">
        <v>46</v>
      </c>
      <c r="G1290" s="153"/>
      <c r="H1290" s="155">
        <v>6.4000000000000001E-2</v>
      </c>
      <c r="I1290" s="154" t="s">
        <v>48</v>
      </c>
      <c r="J1290" s="204">
        <v>6.8836400000000004E-5</v>
      </c>
      <c r="K1290" s="154" t="s">
        <v>26</v>
      </c>
      <c r="L1290" s="154" t="str">
        <f>IF(OpenLCAbasic!K1290="CTUh", "Fill in Manually",IF(OR(K1290="Unit", K1290=""), "", INDEX(LookUps!$E$5:$E$12, MATCH(OpenLCAbasic!K1290,LookUps!$D$5:$D$12,0))))</f>
        <v>Water Use (WU) - m3 H2O</v>
      </c>
      <c r="M1290" s="154" t="str">
        <f t="shared" si="68"/>
        <v>Base_High_Base_Upgraded_Water Use (WU) - m3 H2O_Effluent release; wastewater treatment unit; at surface water; m3 wastewater - US_Base_With Amendment_Windrow</v>
      </c>
    </row>
    <row r="1291" spans="1:13" s="120" customFormat="1" x14ac:dyDescent="0.25">
      <c r="A1291" s="119"/>
      <c r="B1291" s="138" t="str">
        <f t="shared" si="67"/>
        <v>Windrow</v>
      </c>
      <c r="C1291" s="138" t="str">
        <f t="shared" si="66"/>
        <v>Base_With Amendment</v>
      </c>
      <c r="D1291" s="118" t="s">
        <v>139</v>
      </c>
      <c r="E1291" s="118" t="s">
        <v>130</v>
      </c>
      <c r="F1291" s="118" t="s">
        <v>46</v>
      </c>
      <c r="G1291" s="153"/>
      <c r="H1291" s="155">
        <v>4.0300000000000002E-2</v>
      </c>
      <c r="I1291" s="154" t="s">
        <v>58</v>
      </c>
      <c r="J1291" s="204">
        <v>4.3289399999999999E-5</v>
      </c>
      <c r="K1291" s="154" t="s">
        <v>26</v>
      </c>
      <c r="L1291" s="154" t="str">
        <f>IF(OpenLCAbasic!K1291="CTUh", "Fill in Manually",IF(OR(K1291="Unit", K1291=""), "", INDEX(LookUps!$E$5:$E$12, MATCH(OpenLCAbasic!K1291,LookUps!$D$5:$D$12,0))))</f>
        <v>Water Use (WU) - m3 H2O</v>
      </c>
      <c r="M1291" s="154" t="str">
        <f t="shared" si="68"/>
        <v>Base_High_Base_Upgraded_Water Use (WU) - m3 H2O_Pre-Anoxic &amp; Swing tank; wastewater treatment unit; at updated plant - US_Base_With Amendment_Windrow</v>
      </c>
    </row>
    <row r="1292" spans="1:13" s="120" customFormat="1" x14ac:dyDescent="0.25">
      <c r="A1292" s="119"/>
      <c r="B1292" s="138" t="str">
        <f t="shared" si="67"/>
        <v>Windrow</v>
      </c>
      <c r="C1292" s="138" t="str">
        <f t="shared" si="66"/>
        <v>Base_With Amendment</v>
      </c>
      <c r="D1292" s="118" t="s">
        <v>139</v>
      </c>
      <c r="E1292" s="118" t="s">
        <v>130</v>
      </c>
      <c r="F1292" s="118" t="s">
        <v>46</v>
      </c>
      <c r="G1292" s="153"/>
      <c r="H1292" s="155">
        <v>3.85E-2</v>
      </c>
      <c r="I1292" s="154" t="s">
        <v>60</v>
      </c>
      <c r="J1292" s="204">
        <v>4.1413099999999998E-5</v>
      </c>
      <c r="K1292" s="154" t="s">
        <v>26</v>
      </c>
      <c r="L1292" s="154" t="str">
        <f>IF(OpenLCAbasic!K1292="CTUh", "Fill in Manually",IF(OR(K1292="Unit", K1292=""), "", INDEX(LookUps!$E$5:$E$12, MATCH(OpenLCAbasic!K1292,LookUps!$D$5:$D$12,0))))</f>
        <v>Water Use (WU) - m3 H2O</v>
      </c>
      <c r="M1292" s="154" t="str">
        <f t="shared" si="68"/>
        <v>Base_High_Base_Upgraded_Water Use (WU) - m3 H2O_Belt filter press; wastewater treatment unit; at updated plant - US_Base_With Amendment_Windrow</v>
      </c>
    </row>
    <row r="1293" spans="1:13" s="120" customFormat="1" x14ac:dyDescent="0.25">
      <c r="A1293" s="119"/>
      <c r="B1293" s="138" t="str">
        <f t="shared" si="67"/>
        <v>Windrow</v>
      </c>
      <c r="C1293" s="138" t="str">
        <f t="shared" si="66"/>
        <v>Base_With Amendment</v>
      </c>
      <c r="D1293" s="118" t="s">
        <v>139</v>
      </c>
      <c r="E1293" s="118" t="s">
        <v>130</v>
      </c>
      <c r="F1293" s="118" t="s">
        <v>46</v>
      </c>
      <c r="G1293" s="153"/>
      <c r="H1293" s="155">
        <v>2.8299999999999999E-2</v>
      </c>
      <c r="I1293" s="154" t="s">
        <v>57</v>
      </c>
      <c r="J1293" s="204">
        <v>3.0408100000000001E-5</v>
      </c>
      <c r="K1293" s="154" t="s">
        <v>26</v>
      </c>
      <c r="L1293" s="154" t="str">
        <f>IF(OpenLCAbasic!K1293="CTUh", "Fill in Manually",IF(OR(K1293="Unit", K1293=""), "", INDEX(LookUps!$E$5:$E$12, MATCH(OpenLCAbasic!K1293,LookUps!$D$5:$D$12,0))))</f>
        <v>Water Use (WU) - m3 H2O</v>
      </c>
      <c r="M1293" s="154" t="str">
        <f t="shared" si="68"/>
        <v>Base_High_Base_Upgraded_Water Use (WU) - m3 H2O_Gravity Belt Thickener; wastewater treatment unit; at updated plant - US_Base_With Amendment_Windrow</v>
      </c>
    </row>
    <row r="1294" spans="1:13" s="120" customFormat="1" x14ac:dyDescent="0.25">
      <c r="A1294" s="119"/>
      <c r="B1294" s="138" t="str">
        <f t="shared" si="67"/>
        <v>Windrow</v>
      </c>
      <c r="C1294" s="138" t="str">
        <f t="shared" si="66"/>
        <v>Base_With Amendment</v>
      </c>
      <c r="D1294" s="118" t="s">
        <v>139</v>
      </c>
      <c r="E1294" s="118" t="s">
        <v>130</v>
      </c>
      <c r="F1294" s="118" t="s">
        <v>46</v>
      </c>
      <c r="G1294" s="153"/>
      <c r="H1294" s="155">
        <v>1.6299999999999999E-2</v>
      </c>
      <c r="I1294" s="154" t="s">
        <v>53</v>
      </c>
      <c r="J1294" s="204">
        <v>1.75069E-5</v>
      </c>
      <c r="K1294" s="154" t="s">
        <v>26</v>
      </c>
      <c r="L1294" s="154" t="str">
        <f>IF(OpenLCAbasic!K1294="CTUh", "Fill in Manually",IF(OR(K1294="Unit", K1294=""), "", INDEX(LookUps!$E$5:$E$12, MATCH(OpenLCAbasic!K1294,LookUps!$D$5:$D$12,0))))</f>
        <v>Water Use (WU) - m3 H2O</v>
      </c>
      <c r="M1294" s="154" t="str">
        <f t="shared" si="68"/>
        <v>Base_High_Base_Upgraded_Water Use (WU) - m3 H2O_Wet Well and Sump Station; wastewater treatment unit; at updated plant - US_Base_With Amendment_Windrow</v>
      </c>
    </row>
    <row r="1295" spans="1:13" s="120" customFormat="1" x14ac:dyDescent="0.25">
      <c r="A1295" s="119"/>
      <c r="B1295" s="138" t="str">
        <f t="shared" si="67"/>
        <v>Windrow</v>
      </c>
      <c r="C1295" s="138" t="str">
        <f t="shared" ref="C1295:C1317" si="69">IF(E1295&lt;&gt;"", "Base_With Amendment","")</f>
        <v>Base_With Amendment</v>
      </c>
      <c r="D1295" s="118" t="s">
        <v>139</v>
      </c>
      <c r="E1295" s="118" t="s">
        <v>130</v>
      </c>
      <c r="F1295" s="118" t="s">
        <v>46</v>
      </c>
      <c r="G1295" s="153"/>
      <c r="H1295" s="155">
        <v>6.4999999999999997E-3</v>
      </c>
      <c r="I1295" s="154" t="s">
        <v>59</v>
      </c>
      <c r="J1295" s="204">
        <v>7.0179500000000003E-6</v>
      </c>
      <c r="K1295" s="154" t="s">
        <v>26</v>
      </c>
      <c r="L1295" s="154" t="str">
        <f>IF(OpenLCAbasic!K1295="CTUh", "Fill in Manually",IF(OR(K1295="Unit", K1295=""), "", INDEX(LookUps!$E$5:$E$12, MATCH(OpenLCAbasic!K1295,LookUps!$D$5:$D$12,0))))</f>
        <v>Water Use (WU) - m3 H2O</v>
      </c>
      <c r="M1295" s="154" t="str">
        <f t="shared" si="68"/>
        <v>Base_High_Base_Upgraded_Water Use (WU) - m3 H2O_Blend Tank; wastewater treatment unit; at updated plant - US_Base_With Amendment_Windrow</v>
      </c>
    </row>
    <row r="1296" spans="1:13" s="120" customFormat="1" x14ac:dyDescent="0.25">
      <c r="A1296" s="119"/>
      <c r="B1296" s="138" t="str">
        <f t="shared" si="67"/>
        <v>Windrow</v>
      </c>
      <c r="C1296" s="138" t="str">
        <f t="shared" si="69"/>
        <v>Base_With Amendment</v>
      </c>
      <c r="D1296" s="118" t="s">
        <v>139</v>
      </c>
      <c r="E1296" s="118" t="s">
        <v>130</v>
      </c>
      <c r="F1296" s="118" t="s">
        <v>46</v>
      </c>
      <c r="G1296" s="153"/>
      <c r="H1296" s="155">
        <v>4.7000000000000002E-3</v>
      </c>
      <c r="I1296" s="154" t="s">
        <v>128</v>
      </c>
      <c r="J1296" s="204">
        <v>5.0608900000000003E-6</v>
      </c>
      <c r="K1296" s="154" t="s">
        <v>26</v>
      </c>
      <c r="L1296" s="154" t="str">
        <f>IF(OpenLCAbasic!K1296="CTUh", "Fill in Manually",IF(OR(K1296="Unit", K1296=""), "", INDEX(LookUps!$E$5:$E$12, MATCH(OpenLCAbasic!K1296,LookUps!$D$5:$D$12,0))))</f>
        <v>Water Use (WU) - m3 H2O</v>
      </c>
      <c r="M1296" s="154" t="str">
        <f t="shared" si="68"/>
        <v>Base_High_Base_Upgraded_Water Use (WU) - m3 H2O_Wastewater collection; operation and infrastructure; m3 wastewater_Base_With Amendment_Windrow</v>
      </c>
    </row>
    <row r="1297" spans="1:13" s="120" customFormat="1" x14ac:dyDescent="0.25">
      <c r="A1297" s="119"/>
      <c r="B1297" s="138" t="str">
        <f t="shared" si="67"/>
        <v>Windrow</v>
      </c>
      <c r="C1297" s="138" t="str">
        <f t="shared" si="69"/>
        <v>Base_With Amendment</v>
      </c>
      <c r="D1297" s="118" t="s">
        <v>139</v>
      </c>
      <c r="E1297" s="118" t="s">
        <v>130</v>
      </c>
      <c r="F1297" s="118" t="s">
        <v>46</v>
      </c>
      <c r="G1297" s="153"/>
      <c r="H1297" s="155">
        <v>1.9E-3</v>
      </c>
      <c r="I1297" s="154" t="s">
        <v>271</v>
      </c>
      <c r="J1297" s="204">
        <v>2.0151899999999999E-6</v>
      </c>
      <c r="K1297" s="154" t="s">
        <v>26</v>
      </c>
      <c r="L1297" s="154" t="str">
        <f>IF(OpenLCAbasic!K1297="CTUh", "Fill in Manually",IF(OR(K1297="Unit", K1297=""), "", INDEX(LookUps!$E$5:$E$12, MATCH(OpenLCAbasic!K1297,LookUps!$D$5:$D$12,0))))</f>
        <v>Water Use (WU) - m3 H2O</v>
      </c>
      <c r="M1297" s="154" t="str">
        <f t="shared" si="68"/>
        <v>Base_High_Base_Upgraded_Water Use (WU) - m3 H2O_Biosolids composting; windrow composting; wastewater treatment unit; at updated plant - US_Base_With Amendment_Windrow</v>
      </c>
    </row>
    <row r="1298" spans="1:13" s="120" customFormat="1" x14ac:dyDescent="0.25">
      <c r="A1298" s="119"/>
      <c r="B1298" s="138" t="str">
        <f t="shared" si="67"/>
        <v>Windrow</v>
      </c>
      <c r="C1298" s="138" t="str">
        <f t="shared" si="69"/>
        <v>Base_With Amendment</v>
      </c>
      <c r="D1298" s="118" t="s">
        <v>139</v>
      </c>
      <c r="E1298" s="118" t="s">
        <v>130</v>
      </c>
      <c r="F1298" s="118" t="s">
        <v>46</v>
      </c>
      <c r="G1298" s="153"/>
      <c r="H1298" s="155">
        <v>6.9999999999999999E-4</v>
      </c>
      <c r="I1298" s="154" t="s">
        <v>168</v>
      </c>
      <c r="J1298" s="204">
        <v>7.6697000000000004E-7</v>
      </c>
      <c r="K1298" s="154" t="s">
        <v>26</v>
      </c>
      <c r="L1298" s="154" t="str">
        <f>IF(OpenLCAbasic!K1298="CTUh", "Fill in Manually",IF(OR(K1298="Unit", K1298=""), "", INDEX(LookUps!$E$5:$E$12, MATCH(OpenLCAbasic!K1298,LookUps!$D$5:$D$12,0))))</f>
        <v>Water Use (WU) - m3 H2O</v>
      </c>
      <c r="M1298" s="154" t="str">
        <f t="shared" si="68"/>
        <v>Base_High_Base_Upgraded_Water Use (WU) - m3 H2O_ClearCove SCP; wastewater treatment unit; at updated plant - US_Base_With Amendment_Windrow</v>
      </c>
    </row>
    <row r="1299" spans="1:13" s="120" customFormat="1" x14ac:dyDescent="0.25">
      <c r="A1299" s="119"/>
      <c r="B1299" s="138" t="str">
        <f t="shared" si="67"/>
        <v>Windrow</v>
      </c>
      <c r="C1299" s="138" t="str">
        <f t="shared" si="69"/>
        <v>Base_With Amendment</v>
      </c>
      <c r="D1299" s="118" t="s">
        <v>139</v>
      </c>
      <c r="E1299" s="118" t="s">
        <v>130</v>
      </c>
      <c r="F1299" s="118" t="s">
        <v>46</v>
      </c>
      <c r="G1299" s="153"/>
      <c r="H1299" s="155">
        <v>-0.10730000000000001</v>
      </c>
      <c r="I1299" s="154" t="s">
        <v>149</v>
      </c>
      <c r="J1299" s="204">
        <v>-1.2E-4</v>
      </c>
      <c r="K1299" s="154" t="s">
        <v>26</v>
      </c>
      <c r="L1299" s="154" t="str">
        <f>IF(OpenLCAbasic!K1299="CTUh", "Fill in Manually",IF(OR(K1299="Unit", K1299=""), "", INDEX(LookUps!$E$5:$E$12, MATCH(OpenLCAbasic!K1299,LookUps!$D$5:$D$12,0))))</f>
        <v>Water Use (WU) - m3 H2O</v>
      </c>
      <c r="M1299" s="154" t="str">
        <f t="shared" si="68"/>
        <v>Base_High_Base_Upgraded_Water Use (WU) - m3 H2O_Anaerobic Digestion; wastewater treatment unit; at updated plant - US_Base_With Amendment_Windrow</v>
      </c>
    </row>
    <row r="1300" spans="1:13" s="120" customFormat="1" x14ac:dyDescent="0.25">
      <c r="A1300" s="119"/>
      <c r="B1300" s="138" t="str">
        <f t="shared" si="67"/>
        <v>Windrow</v>
      </c>
      <c r="C1300" s="138" t="str">
        <f t="shared" si="69"/>
        <v>Base_With Amendment</v>
      </c>
      <c r="D1300" s="118" t="s">
        <v>139</v>
      </c>
      <c r="E1300" s="118" t="s">
        <v>130</v>
      </c>
      <c r="F1300" s="118" t="s">
        <v>46</v>
      </c>
      <c r="G1300" s="153"/>
      <c r="H1300" s="155">
        <v>-2.0337999999999998</v>
      </c>
      <c r="I1300" s="154" t="s">
        <v>62</v>
      </c>
      <c r="J1300" s="204">
        <v>-2.1900000000000001E-3</v>
      </c>
      <c r="K1300" s="154" t="s">
        <v>26</v>
      </c>
      <c r="L1300" s="154" t="str">
        <f>IF(OpenLCAbasic!K1300="CTUh", "Fill in Manually",IF(OR(K1300="Unit", K1300=""), "", INDEX(LookUps!$E$5:$E$12, MATCH(OpenLCAbasic!K1300,LookUps!$D$5:$D$12,0))))</f>
        <v>Water Use (WU) - m3 H2O</v>
      </c>
      <c r="M1300" s="154" t="str">
        <f t="shared" si="68"/>
        <v>Base_High_Base_Upgraded_Water Use (WU) - m3 H2O_Land application of compost; wastewater treatment unit; at updated plant - US_Base_With Amendment_Windrow</v>
      </c>
    </row>
    <row r="1301" spans="1:13" s="120" customFormat="1" x14ac:dyDescent="0.25">
      <c r="A1301" s="119"/>
      <c r="B1301" s="138" t="str">
        <f t="shared" si="67"/>
        <v>Windrow</v>
      </c>
      <c r="C1301" s="138" t="str">
        <f t="shared" si="69"/>
        <v>Base_With Amendment</v>
      </c>
      <c r="D1301" s="118" t="s">
        <v>139</v>
      </c>
      <c r="E1301" s="118" t="s">
        <v>130</v>
      </c>
      <c r="F1301" s="118" t="s">
        <v>46</v>
      </c>
      <c r="G1301" s="153" t="s">
        <v>51</v>
      </c>
      <c r="H1301" s="154"/>
      <c r="I1301" s="154" t="s">
        <v>47</v>
      </c>
      <c r="J1301" s="154" t="s">
        <v>52</v>
      </c>
      <c r="K1301" s="154" t="s">
        <v>27</v>
      </c>
      <c r="L1301" s="154" t="str">
        <f>IF(OpenLCAbasic!K1301="CTUh", "Fill in Manually",IF(OR(K1301="Unit", K1301=""), "", INDEX(LookUps!$E$5:$E$12, MATCH(OpenLCAbasic!K1301,LookUps!$D$5:$D$12,0))))</f>
        <v/>
      </c>
      <c r="M1301" s="154" t="str">
        <f t="shared" si="68"/>
        <v>Base_High_Base_Upgraded__Process_Base_With Amendment_Windrow</v>
      </c>
    </row>
    <row r="1302" spans="1:13" s="120" customFormat="1" x14ac:dyDescent="0.25">
      <c r="A1302" s="119"/>
      <c r="B1302" s="138" t="str">
        <f t="shared" si="67"/>
        <v>Windrow</v>
      </c>
      <c r="C1302" s="138" t="str">
        <f t="shared" si="69"/>
        <v>Base_With Amendment</v>
      </c>
      <c r="D1302" s="118" t="s">
        <v>139</v>
      </c>
      <c r="E1302" s="118" t="s">
        <v>130</v>
      </c>
      <c r="F1302" s="118" t="s">
        <v>46</v>
      </c>
      <c r="G1302" s="153"/>
      <c r="H1302" s="155">
        <v>5.8342000000000001</v>
      </c>
      <c r="I1302" s="154" t="s">
        <v>167</v>
      </c>
      <c r="J1302" s="203">
        <v>0.11719</v>
      </c>
      <c r="K1302" s="154" t="s">
        <v>14</v>
      </c>
      <c r="L1302" s="154" t="str">
        <f>IF(OpenLCAbasic!K1302="CTUh", "Fill in Manually",IF(OR(K1302="Unit", K1302=""), "", INDEX(LookUps!$E$5:$E$12, MATCH(OpenLCAbasic!K1302,LookUps!$D$5:$D$12,0))))</f>
        <v>Fossil Depletion Potential (FDP) - kg oil eq</v>
      </c>
      <c r="M1302" s="154" t="str">
        <f t="shared" si="68"/>
        <v>Base_High_Base_Upgraded_Fossil Depletion Potential (FDP) - kg oil eq_Waste Receiving and Holding; wastewater treatment unit; at updated plant - US_Base_With Amendment_Windrow</v>
      </c>
    </row>
    <row r="1303" spans="1:13" s="120" customFormat="1" x14ac:dyDescent="0.25">
      <c r="A1303" s="119"/>
      <c r="B1303" s="138" t="str">
        <f t="shared" si="67"/>
        <v>Windrow</v>
      </c>
      <c r="C1303" s="138" t="str">
        <f t="shared" si="69"/>
        <v>Base_With Amendment</v>
      </c>
      <c r="D1303" s="118" t="s">
        <v>139</v>
      </c>
      <c r="E1303" s="118" t="s">
        <v>130</v>
      </c>
      <c r="F1303" s="118" t="s">
        <v>46</v>
      </c>
      <c r="G1303" s="153"/>
      <c r="H1303" s="155">
        <v>3.1657999999999999</v>
      </c>
      <c r="I1303" s="154" t="s">
        <v>55</v>
      </c>
      <c r="J1303" s="203">
        <v>6.3589999999999994E-2</v>
      </c>
      <c r="K1303" s="154" t="s">
        <v>14</v>
      </c>
      <c r="L1303" s="154" t="str">
        <f>IF(OpenLCAbasic!K1303="CTUh", "Fill in Manually",IF(OR(K1303="Unit", K1303=""), "", INDEX(LookUps!$E$5:$E$12, MATCH(OpenLCAbasic!K1303,LookUps!$D$5:$D$12,0))))</f>
        <v>Fossil Depletion Potential (FDP) - kg oil eq</v>
      </c>
      <c r="M1303" s="154" t="str">
        <f t="shared" si="68"/>
        <v>Base_High_Base_Upgraded_Fossil Depletion Potential (FDP) - kg oil eq_Aeration Tanks; wastewater treatment unit; at updated plant - US_Base_With Amendment_Windrow</v>
      </c>
    </row>
    <row r="1304" spans="1:13" s="120" customFormat="1" x14ac:dyDescent="0.25">
      <c r="A1304" s="119"/>
      <c r="B1304" s="138" t="str">
        <f t="shared" si="67"/>
        <v>Windrow</v>
      </c>
      <c r="C1304" s="138" t="str">
        <f t="shared" si="69"/>
        <v>Base_With Amendment</v>
      </c>
      <c r="D1304" s="118" t="s">
        <v>139</v>
      </c>
      <c r="E1304" s="118" t="s">
        <v>130</v>
      </c>
      <c r="F1304" s="118" t="s">
        <v>46</v>
      </c>
      <c r="G1304" s="153"/>
      <c r="H1304" s="155">
        <v>1.048</v>
      </c>
      <c r="I1304" s="154" t="s">
        <v>54</v>
      </c>
      <c r="J1304" s="203">
        <v>2.1049999999999999E-2</v>
      </c>
      <c r="K1304" s="154" t="s">
        <v>14</v>
      </c>
      <c r="L1304" s="154" t="str">
        <f>IF(OpenLCAbasic!K1304="CTUh", "Fill in Manually",IF(OR(K1304="Unit", K1304=""), "", INDEX(LookUps!$E$5:$E$12, MATCH(OpenLCAbasic!K1304,LookUps!$D$5:$D$12,0))))</f>
        <v>Fossil Depletion Potential (FDP) - kg oil eq</v>
      </c>
      <c r="M1304" s="154" t="str">
        <f t="shared" si="68"/>
        <v>Base_High_Base_Upgraded_Fossil Depletion Potential (FDP) - kg oil eq_Clear Cove Primary Clarification; wastewater treatment unit; at updated plant - US_Base_With Amendment_Windrow</v>
      </c>
    </row>
    <row r="1305" spans="1:13" s="120" customFormat="1" x14ac:dyDescent="0.25">
      <c r="A1305" s="119"/>
      <c r="B1305" s="138" t="str">
        <f t="shared" si="67"/>
        <v>Windrow</v>
      </c>
      <c r="C1305" s="138" t="str">
        <f t="shared" si="69"/>
        <v>Base_With Amendment</v>
      </c>
      <c r="D1305" s="118" t="s">
        <v>139</v>
      </c>
      <c r="E1305" s="118" t="s">
        <v>130</v>
      </c>
      <c r="F1305" s="118" t="s">
        <v>46</v>
      </c>
      <c r="G1305" s="153"/>
      <c r="H1305" s="155">
        <v>0.79859999999999998</v>
      </c>
      <c r="I1305" s="154" t="s">
        <v>58</v>
      </c>
      <c r="J1305" s="203">
        <v>1.6039999999999999E-2</v>
      </c>
      <c r="K1305" s="154" t="s">
        <v>14</v>
      </c>
      <c r="L1305" s="154" t="str">
        <f>IF(OpenLCAbasic!K1305="CTUh", "Fill in Manually",IF(OR(K1305="Unit", K1305=""), "", INDEX(LookUps!$E$5:$E$12, MATCH(OpenLCAbasic!K1305,LookUps!$D$5:$D$12,0))))</f>
        <v>Fossil Depletion Potential (FDP) - kg oil eq</v>
      </c>
      <c r="M1305" s="154" t="str">
        <f t="shared" si="68"/>
        <v>Base_High_Base_Upgraded_Fossil Depletion Potential (FDP) - kg oil eq_Pre-Anoxic &amp; Swing tank; wastewater treatment unit; at updated plant - US_Base_With Amendment_Windrow</v>
      </c>
    </row>
    <row r="1306" spans="1:13" s="120" customFormat="1" x14ac:dyDescent="0.25">
      <c r="A1306" s="119"/>
      <c r="B1306" s="138" t="str">
        <f t="shared" si="67"/>
        <v>Windrow</v>
      </c>
      <c r="C1306" s="138" t="str">
        <f t="shared" si="69"/>
        <v>Base_With Amendment</v>
      </c>
      <c r="D1306" s="118" t="s">
        <v>139</v>
      </c>
      <c r="E1306" s="118" t="s">
        <v>130</v>
      </c>
      <c r="F1306" s="118" t="s">
        <v>46</v>
      </c>
      <c r="G1306" s="153"/>
      <c r="H1306" s="155">
        <v>0.75109999999999999</v>
      </c>
      <c r="I1306" s="154" t="s">
        <v>147</v>
      </c>
      <c r="J1306" s="203">
        <v>1.5089999999999999E-2</v>
      </c>
      <c r="K1306" s="154" t="s">
        <v>14</v>
      </c>
      <c r="L1306" s="154" t="str">
        <f>IF(OpenLCAbasic!K1306="CTUh", "Fill in Manually",IF(OR(K1306="Unit", K1306=""), "", INDEX(LookUps!$E$5:$E$12, MATCH(OpenLCAbasic!K1306,LookUps!$D$5:$D$12,0))))</f>
        <v>Fossil Depletion Potential (FDP) - kg oil eq</v>
      </c>
      <c r="M1306" s="154" t="str">
        <f t="shared" si="68"/>
        <v>Base_High_Base_Upgraded_Fossil Depletion Potential (FDP) - kg oil eq_Influent Pump Station; wastewater treatment unit; at updated plant - US_Base_With Amendment_Windrow</v>
      </c>
    </row>
    <row r="1307" spans="1:13" s="120" customFormat="1" x14ac:dyDescent="0.25">
      <c r="A1307" s="119"/>
      <c r="B1307" s="138" t="str">
        <f t="shared" si="67"/>
        <v>Windrow</v>
      </c>
      <c r="C1307" s="138" t="str">
        <f t="shared" si="69"/>
        <v>Base_With Amendment</v>
      </c>
      <c r="D1307" s="118" t="s">
        <v>139</v>
      </c>
      <c r="E1307" s="118" t="s">
        <v>130</v>
      </c>
      <c r="F1307" s="118" t="s">
        <v>46</v>
      </c>
      <c r="G1307" s="153"/>
      <c r="H1307" s="155">
        <v>0.62170000000000003</v>
      </c>
      <c r="I1307" s="154" t="s">
        <v>53</v>
      </c>
      <c r="J1307" s="203">
        <v>1.2489999999999999E-2</v>
      </c>
      <c r="K1307" s="154" t="s">
        <v>14</v>
      </c>
      <c r="L1307" s="154" t="str">
        <f>IF(OpenLCAbasic!K1307="CTUh", "Fill in Manually",IF(OR(K1307="Unit", K1307=""), "", INDEX(LookUps!$E$5:$E$12, MATCH(OpenLCAbasic!K1307,LookUps!$D$5:$D$12,0))))</f>
        <v>Fossil Depletion Potential (FDP) - kg oil eq</v>
      </c>
      <c r="M1307" s="154" t="str">
        <f t="shared" si="68"/>
        <v>Base_High_Base_Upgraded_Fossil Depletion Potential (FDP) - kg oil eq_Wet Well and Sump Station; wastewater treatment unit; at updated plant - US_Base_With Amendment_Windrow</v>
      </c>
    </row>
    <row r="1308" spans="1:13" s="120" customFormat="1" x14ac:dyDescent="0.25">
      <c r="A1308" s="119"/>
      <c r="B1308" s="138" t="str">
        <f t="shared" si="67"/>
        <v>Windrow</v>
      </c>
      <c r="C1308" s="138" t="str">
        <f t="shared" si="69"/>
        <v>Base_With Amendment</v>
      </c>
      <c r="D1308" s="118" t="s">
        <v>139</v>
      </c>
      <c r="E1308" s="118" t="s">
        <v>130</v>
      </c>
      <c r="F1308" s="118" t="s">
        <v>46</v>
      </c>
      <c r="G1308" s="153"/>
      <c r="H1308" s="155">
        <v>0.54630000000000001</v>
      </c>
      <c r="I1308" s="154" t="s">
        <v>60</v>
      </c>
      <c r="J1308" s="204">
        <v>1.0970000000000001E-2</v>
      </c>
      <c r="K1308" s="154" t="s">
        <v>14</v>
      </c>
      <c r="L1308" s="154" t="str">
        <f>IF(OpenLCAbasic!K1308="CTUh", "Fill in Manually",IF(OR(K1308="Unit", K1308=""), "", INDEX(LookUps!$E$5:$E$12, MATCH(OpenLCAbasic!K1308,LookUps!$D$5:$D$12,0))))</f>
        <v>Fossil Depletion Potential (FDP) - kg oil eq</v>
      </c>
      <c r="M1308" s="154" t="str">
        <f t="shared" si="68"/>
        <v>Base_High_Base_Upgraded_Fossil Depletion Potential (FDP) - kg oil eq_Belt filter press; wastewater treatment unit; at updated plant - US_Base_With Amendment_Windrow</v>
      </c>
    </row>
    <row r="1309" spans="1:13" s="120" customFormat="1" x14ac:dyDescent="0.25">
      <c r="A1309" s="119"/>
      <c r="B1309" s="138" t="str">
        <f t="shared" si="67"/>
        <v>Windrow</v>
      </c>
      <c r="C1309" s="138" t="str">
        <f t="shared" si="69"/>
        <v>Base_With Amendment</v>
      </c>
      <c r="D1309" s="118" t="s">
        <v>139</v>
      </c>
      <c r="E1309" s="118" t="s">
        <v>130</v>
      </c>
      <c r="F1309" s="118" t="s">
        <v>46</v>
      </c>
      <c r="G1309" s="153"/>
      <c r="H1309" s="155">
        <v>0.34429999999999999</v>
      </c>
      <c r="I1309" s="154" t="s">
        <v>57</v>
      </c>
      <c r="J1309" s="204">
        <v>6.9199999999999999E-3</v>
      </c>
      <c r="K1309" s="154" t="s">
        <v>14</v>
      </c>
      <c r="L1309" s="154" t="str">
        <f>IF(OpenLCAbasic!K1309="CTUh", "Fill in Manually",IF(OR(K1309="Unit", K1309=""), "", INDEX(LookUps!$E$5:$E$12, MATCH(OpenLCAbasic!K1309,LookUps!$D$5:$D$12,0))))</f>
        <v>Fossil Depletion Potential (FDP) - kg oil eq</v>
      </c>
      <c r="M1309" s="154" t="str">
        <f t="shared" si="68"/>
        <v>Base_High_Base_Upgraded_Fossil Depletion Potential (FDP) - kg oil eq_Gravity Belt Thickener; wastewater treatment unit; at updated plant - US_Base_With Amendment_Windrow</v>
      </c>
    </row>
    <row r="1310" spans="1:13" s="120" customFormat="1" x14ac:dyDescent="0.25">
      <c r="A1310" s="119"/>
      <c r="B1310" s="138" t="str">
        <f t="shared" si="67"/>
        <v>Windrow</v>
      </c>
      <c r="C1310" s="138" t="str">
        <f t="shared" si="69"/>
        <v>Base_With Amendment</v>
      </c>
      <c r="D1310" s="118" t="s">
        <v>139</v>
      </c>
      <c r="E1310" s="118" t="s">
        <v>130</v>
      </c>
      <c r="F1310" s="118" t="s">
        <v>46</v>
      </c>
      <c r="G1310" s="153"/>
      <c r="H1310" s="155">
        <v>0.224</v>
      </c>
      <c r="I1310" s="154" t="s">
        <v>128</v>
      </c>
      <c r="J1310" s="204">
        <v>4.4999999999999997E-3</v>
      </c>
      <c r="K1310" s="154" t="s">
        <v>14</v>
      </c>
      <c r="L1310" s="154" t="str">
        <f>IF(OpenLCAbasic!K1310="CTUh", "Fill in Manually",IF(OR(K1310="Unit", K1310=""), "", INDEX(LookUps!$E$5:$E$12, MATCH(OpenLCAbasic!K1310,LookUps!$D$5:$D$12,0))))</f>
        <v>Fossil Depletion Potential (FDP) - kg oil eq</v>
      </c>
      <c r="M1310" s="154" t="str">
        <f t="shared" si="68"/>
        <v>Base_High_Base_Upgraded_Fossil Depletion Potential (FDP) - kg oil eq_Wastewater collection; operation and infrastructure; m3 wastewater_Base_With Amendment_Windrow</v>
      </c>
    </row>
    <row r="1311" spans="1:13" s="120" customFormat="1" x14ac:dyDescent="0.25">
      <c r="A1311" s="119"/>
      <c r="B1311" s="138" t="str">
        <f t="shared" si="67"/>
        <v>Windrow</v>
      </c>
      <c r="C1311" s="138" t="str">
        <f t="shared" si="69"/>
        <v>Base_With Amendment</v>
      </c>
      <c r="D1311" s="118" t="s">
        <v>139</v>
      </c>
      <c r="E1311" s="118" t="s">
        <v>130</v>
      </c>
      <c r="F1311" s="118" t="s">
        <v>46</v>
      </c>
      <c r="G1311" s="153"/>
      <c r="H1311" s="155">
        <v>0.13930000000000001</v>
      </c>
      <c r="I1311" s="154" t="s">
        <v>148</v>
      </c>
      <c r="J1311" s="204">
        <v>2.8E-3</v>
      </c>
      <c r="K1311" s="154" t="s">
        <v>14</v>
      </c>
      <c r="L1311" s="154" t="str">
        <f>IF(OpenLCAbasic!K1311="CTUh", "Fill in Manually",IF(OR(K1311="Unit", K1311=""), "", INDEX(LookUps!$E$5:$E$12, MATCH(OpenLCAbasic!K1311,LookUps!$D$5:$D$12,0))))</f>
        <v>Fossil Depletion Potential (FDP) - kg oil eq</v>
      </c>
      <c r="M1311" s="154" t="str">
        <f t="shared" si="68"/>
        <v>Base_High_Base_Upgraded_Fossil Depletion Potential (FDP) - kg oil eq_Control Building; at upgraded wastewater treatment plant - US_Base_With Amendment_Windrow</v>
      </c>
    </row>
    <row r="1312" spans="1:13" s="120" customFormat="1" x14ac:dyDescent="0.25">
      <c r="A1312" s="119"/>
      <c r="B1312" s="138" t="str">
        <f t="shared" si="67"/>
        <v>Windrow</v>
      </c>
      <c r="C1312" s="138" t="str">
        <f t="shared" si="69"/>
        <v>Base_With Amendment</v>
      </c>
      <c r="D1312" s="118" t="s">
        <v>139</v>
      </c>
      <c r="E1312" s="118" t="s">
        <v>130</v>
      </c>
      <c r="F1312" s="118" t="s">
        <v>46</v>
      </c>
      <c r="G1312" s="153"/>
      <c r="H1312" s="155">
        <v>0.1177</v>
      </c>
      <c r="I1312" s="154" t="s">
        <v>48</v>
      </c>
      <c r="J1312" s="204">
        <v>2.3600000000000001E-3</v>
      </c>
      <c r="K1312" s="154" t="s">
        <v>14</v>
      </c>
      <c r="L1312" s="154" t="str">
        <f>IF(OpenLCAbasic!K1312="CTUh", "Fill in Manually",IF(OR(K1312="Unit", K1312=""), "", INDEX(LookUps!$E$5:$E$12, MATCH(OpenLCAbasic!K1312,LookUps!$D$5:$D$12,0))))</f>
        <v>Fossil Depletion Potential (FDP) - kg oil eq</v>
      </c>
      <c r="M1312" s="154" t="str">
        <f t="shared" si="68"/>
        <v>Base_High_Base_Upgraded_Fossil Depletion Potential (FDP) - kg oil eq_Effluent release; wastewater treatment unit; at surface water; m3 wastewater - US_Base_With Amendment_Windrow</v>
      </c>
    </row>
    <row r="1313" spans="1:13" s="120" customFormat="1" x14ac:dyDescent="0.25">
      <c r="A1313" s="119"/>
      <c r="B1313" s="138" t="str">
        <f t="shared" si="67"/>
        <v>Windrow</v>
      </c>
      <c r="C1313" s="138" t="str">
        <f t="shared" si="69"/>
        <v>Base_With Amendment</v>
      </c>
      <c r="D1313" s="118" t="s">
        <v>139</v>
      </c>
      <c r="E1313" s="118" t="s">
        <v>130</v>
      </c>
      <c r="F1313" s="118" t="s">
        <v>46</v>
      </c>
      <c r="G1313" s="153"/>
      <c r="H1313" s="155">
        <v>9.5600000000000004E-2</v>
      </c>
      <c r="I1313" s="154" t="s">
        <v>59</v>
      </c>
      <c r="J1313" s="204">
        <v>1.92E-3</v>
      </c>
      <c r="K1313" s="154" t="s">
        <v>14</v>
      </c>
      <c r="L1313" s="154" t="str">
        <f>IF(OpenLCAbasic!K1313="CTUh", "Fill in Manually",IF(OR(K1313="Unit", K1313=""), "", INDEX(LookUps!$E$5:$E$12, MATCH(OpenLCAbasic!K1313,LookUps!$D$5:$D$12,0))))</f>
        <v>Fossil Depletion Potential (FDP) - kg oil eq</v>
      </c>
      <c r="M1313" s="154" t="str">
        <f t="shared" si="68"/>
        <v>Base_High_Base_Upgraded_Fossil Depletion Potential (FDP) - kg oil eq_Blend Tank; wastewater treatment unit; at updated plant - US_Base_With Amendment_Windrow</v>
      </c>
    </row>
    <row r="1314" spans="1:13" s="120" customFormat="1" x14ac:dyDescent="0.25">
      <c r="A1314" s="119"/>
      <c r="B1314" s="138" t="str">
        <f t="shared" si="67"/>
        <v>Windrow</v>
      </c>
      <c r="C1314" s="138" t="str">
        <f t="shared" si="69"/>
        <v>Base_With Amendment</v>
      </c>
      <c r="D1314" s="118" t="s">
        <v>139</v>
      </c>
      <c r="E1314" s="118" t="s">
        <v>130</v>
      </c>
      <c r="F1314" s="118" t="s">
        <v>46</v>
      </c>
      <c r="G1314" s="153"/>
      <c r="H1314" s="155">
        <v>4.5499999999999999E-2</v>
      </c>
      <c r="I1314" s="154" t="s">
        <v>168</v>
      </c>
      <c r="J1314" s="204">
        <v>9.1E-4</v>
      </c>
      <c r="K1314" s="154" t="s">
        <v>14</v>
      </c>
      <c r="L1314" s="154" t="str">
        <f>IF(OpenLCAbasic!K1314="CTUh", "Fill in Manually",IF(OR(K1314="Unit", K1314=""), "", INDEX(LookUps!$E$5:$E$12, MATCH(OpenLCAbasic!K1314,LookUps!$D$5:$D$12,0))))</f>
        <v>Fossil Depletion Potential (FDP) - kg oil eq</v>
      </c>
      <c r="M1314" s="154" t="str">
        <f t="shared" si="68"/>
        <v>Base_High_Base_Upgraded_Fossil Depletion Potential (FDP) - kg oil eq_ClearCove SCP; wastewater treatment unit; at updated plant - US_Base_With Amendment_Windrow</v>
      </c>
    </row>
    <row r="1315" spans="1:13" s="120" customFormat="1" x14ac:dyDescent="0.25">
      <c r="A1315" s="119"/>
      <c r="B1315" s="138" t="str">
        <f t="shared" si="67"/>
        <v>Windrow</v>
      </c>
      <c r="C1315" s="138" t="str">
        <f t="shared" si="69"/>
        <v>Base_With Amendment</v>
      </c>
      <c r="D1315" s="118" t="s">
        <v>139</v>
      </c>
      <c r="E1315" s="118" t="s">
        <v>130</v>
      </c>
      <c r="F1315" s="118" t="s">
        <v>46</v>
      </c>
      <c r="G1315" s="153"/>
      <c r="H1315" s="155">
        <v>4.1200000000000001E-2</v>
      </c>
      <c r="I1315" s="154" t="s">
        <v>271</v>
      </c>
      <c r="J1315" s="204">
        <v>8.3000000000000001E-4</v>
      </c>
      <c r="K1315" s="154" t="s">
        <v>14</v>
      </c>
      <c r="L1315" s="154" t="str">
        <f>IF(OpenLCAbasic!K1315="CTUh", "Fill in Manually",IF(OR(K1315="Unit", K1315=""), "", INDEX(LookUps!$E$5:$E$12, MATCH(OpenLCAbasic!K1315,LookUps!$D$5:$D$12,0))))</f>
        <v>Fossil Depletion Potential (FDP) - kg oil eq</v>
      </c>
      <c r="M1315" s="154" t="str">
        <f t="shared" si="68"/>
        <v>Base_High_Base_Upgraded_Fossil Depletion Potential (FDP) - kg oil eq_Biosolids composting; windrow composting; wastewater treatment unit; at updated plant - US_Base_With Amendment_Windrow</v>
      </c>
    </row>
    <row r="1316" spans="1:13" s="120" customFormat="1" x14ac:dyDescent="0.25">
      <c r="A1316" s="119"/>
      <c r="B1316" s="138" t="str">
        <f t="shared" si="67"/>
        <v>Windrow</v>
      </c>
      <c r="C1316" s="138" t="str">
        <f t="shared" si="69"/>
        <v>Base_With Amendment</v>
      </c>
      <c r="D1316" s="118" t="s">
        <v>139</v>
      </c>
      <c r="E1316" s="118" t="s">
        <v>130</v>
      </c>
      <c r="F1316" s="118" t="s">
        <v>46</v>
      </c>
      <c r="G1316" s="153"/>
      <c r="H1316" s="155">
        <v>-0.58240000000000003</v>
      </c>
      <c r="I1316" s="154" t="s">
        <v>62</v>
      </c>
      <c r="J1316" s="203">
        <v>-1.17E-2</v>
      </c>
      <c r="K1316" s="154" t="s">
        <v>14</v>
      </c>
      <c r="L1316" s="154" t="str">
        <f>IF(OpenLCAbasic!K1316="CTUh", "Fill in Manually",IF(OR(K1316="Unit", K1316=""), "", INDEX(LookUps!$E$5:$E$12, MATCH(OpenLCAbasic!K1316,LookUps!$D$5:$D$12,0))))</f>
        <v>Fossil Depletion Potential (FDP) - kg oil eq</v>
      </c>
      <c r="M1316" s="154" t="str">
        <f t="shared" si="68"/>
        <v>Base_High_Base_Upgraded_Fossil Depletion Potential (FDP) - kg oil eq_Land application of compost; wastewater treatment unit; at updated plant - US_Base_With Amendment_Windrow</v>
      </c>
    </row>
    <row r="1317" spans="1:13" s="120" customFormat="1" x14ac:dyDescent="0.25">
      <c r="A1317" s="213"/>
      <c r="B1317" s="138" t="str">
        <f t="shared" si="67"/>
        <v>Windrow</v>
      </c>
      <c r="C1317" s="138" t="str">
        <f t="shared" si="69"/>
        <v>Base_With Amendment</v>
      </c>
      <c r="D1317" s="118" t="s">
        <v>139</v>
      </c>
      <c r="E1317" s="118" t="s">
        <v>130</v>
      </c>
      <c r="F1317" s="118" t="s">
        <v>46</v>
      </c>
      <c r="G1317" s="153"/>
      <c r="H1317" s="155">
        <v>-14.190899999999999</v>
      </c>
      <c r="I1317" s="154" t="s">
        <v>149</v>
      </c>
      <c r="J1317" s="203">
        <v>-0.28505000000000003</v>
      </c>
      <c r="K1317" s="154" t="s">
        <v>14</v>
      </c>
      <c r="L1317" s="154" t="str">
        <f>IF(OpenLCAbasic!K1317="CTUh", "Fill in Manually",IF(OR(K1317="Unit", K1317=""), "", INDEX(LookUps!$E$5:$E$12, MATCH(OpenLCAbasic!K1317,LookUps!$D$5:$D$12,0))))</f>
        <v>Fossil Depletion Potential (FDP) - kg oil eq</v>
      </c>
      <c r="M1317" s="154" t="str">
        <f t="shared" si="68"/>
        <v>Base_High_Base_Upgraded_Fossil Depletion Potential (FDP) - kg oil eq_Anaerobic Digestion; wastewater treatment unit; at updated plant - US_Base_With Amendment_Windrow</v>
      </c>
    </row>
    <row r="1318" spans="1:13" s="120" customFormat="1" x14ac:dyDescent="0.25">
      <c r="A1318" s="119"/>
      <c r="B1318" s="138" t="str">
        <f t="shared" si="67"/>
        <v/>
      </c>
      <c r="C1318" s="138" t="str">
        <f>IF(E1318="","", "Bath Landfill")</f>
        <v/>
      </c>
      <c r="D1318" s="118"/>
      <c r="E1318" s="118"/>
      <c r="F1318" s="118"/>
      <c r="G1318" s="153"/>
      <c r="H1318" s="155"/>
      <c r="I1318" s="154"/>
      <c r="J1318" s="205"/>
      <c r="K1318" s="154"/>
      <c r="L1318" s="154" t="str">
        <f>IF(OpenLCAbasic!K1318="CTUh", "Fill in Manually",IF(OR(K1318="Unit", K1318=""), "", INDEX(LookUps!$E$5:$E$12, MATCH(OpenLCAbasic!K1318,LookUps!$D$5:$D$12,0))))</f>
        <v/>
      </c>
      <c r="M1318" s="154" t="str">
        <f t="shared" si="68"/>
        <v>______</v>
      </c>
    </row>
    <row r="1319" spans="1:13" s="120" customFormat="1" x14ac:dyDescent="0.25">
      <c r="A1319" s="119"/>
      <c r="B1319" s="138" t="str">
        <f t="shared" si="67"/>
        <v>n.a.</v>
      </c>
      <c r="C1319" s="138" t="str">
        <f t="shared" ref="C1319:C1350" si="70">IF(E1319="","", "Bath Landfill")</f>
        <v>Bath Landfill</v>
      </c>
      <c r="D1319" s="118" t="s">
        <v>130</v>
      </c>
      <c r="E1319" s="118" t="s">
        <v>180</v>
      </c>
      <c r="F1319" s="118" t="s">
        <v>45</v>
      </c>
      <c r="G1319" s="159" t="s">
        <v>51</v>
      </c>
      <c r="H1319" s="154"/>
      <c r="I1319" s="208" t="s">
        <v>47</v>
      </c>
      <c r="J1319" s="154" t="s">
        <v>52</v>
      </c>
      <c r="K1319" s="154" t="s">
        <v>27</v>
      </c>
      <c r="L1319" s="154" t="str">
        <f>IF(OpenLCAbasic!K1319="CTUh", "Fill in Manually",IF(OR(K1319="Unit", K1319=""), "", INDEX(LookUps!$E$5:$E$12, MATCH(OpenLCAbasic!K1319,LookUps!$D$5:$D$12,0))))</f>
        <v/>
      </c>
      <c r="M1319" s="154" t="str">
        <f t="shared" si="68"/>
        <v>Low_Base_Legacy__Process_Bath Landfill_n.a.</v>
      </c>
    </row>
    <row r="1320" spans="1:13" s="120" customFormat="1" x14ac:dyDescent="0.25">
      <c r="A1320" s="119"/>
      <c r="B1320" s="138" t="str">
        <f t="shared" si="67"/>
        <v>n.a.</v>
      </c>
      <c r="C1320" s="138" t="str">
        <f t="shared" si="70"/>
        <v>Bath Landfill</v>
      </c>
      <c r="D1320" s="118" t="s">
        <v>130</v>
      </c>
      <c r="E1320" s="118" t="s">
        <v>180</v>
      </c>
      <c r="F1320" s="118" t="s">
        <v>45</v>
      </c>
      <c r="G1320" s="159"/>
      <c r="H1320" s="155">
        <v>-8.0500000000000002E-2</v>
      </c>
      <c r="I1320" s="208" t="s">
        <v>151</v>
      </c>
      <c r="J1320" s="203">
        <v>-2.5300000000000001E-3</v>
      </c>
      <c r="K1320" s="154" t="s">
        <v>24</v>
      </c>
      <c r="L1320" s="154" t="str">
        <f>IF(OpenLCAbasic!K1320="CTUh", "Fill in Manually",IF(OR(K1320="Unit", K1320=""), "", INDEX(LookUps!$E$5:$E$12, MATCH(OpenLCAbasic!K1320,LookUps!$D$5:$D$12,0))))</f>
        <v>Acidification Potential (AP) - kg SO2 eq</v>
      </c>
      <c r="M1320" s="154" t="str">
        <f t="shared" si="68"/>
        <v>Low_Base_Legacy_Acidification Potential (AP) - kg SO2 eq_Sludge Disposal; wastewater treatment unit - US_Bath Landfill_n.a.</v>
      </c>
    </row>
    <row r="1321" spans="1:13" s="120" customFormat="1" x14ac:dyDescent="0.25">
      <c r="A1321" s="119"/>
      <c r="B1321" s="138" t="str">
        <f t="shared" si="67"/>
        <v>n.a.</v>
      </c>
      <c r="C1321" s="138" t="str">
        <f t="shared" si="70"/>
        <v>Bath Landfill</v>
      </c>
      <c r="D1321" s="118" t="s">
        <v>130</v>
      </c>
      <c r="E1321" s="118" t="s">
        <v>180</v>
      </c>
      <c r="F1321" s="118" t="s">
        <v>45</v>
      </c>
      <c r="G1321" s="159" t="s">
        <v>51</v>
      </c>
      <c r="H1321" s="155"/>
      <c r="I1321" s="208" t="s">
        <v>47</v>
      </c>
      <c r="J1321" s="154" t="s">
        <v>52</v>
      </c>
      <c r="K1321" s="154" t="s">
        <v>27</v>
      </c>
      <c r="L1321" s="154" t="str">
        <f>IF(OpenLCAbasic!K1321="CTUh", "Fill in Manually",IF(OR(K1321="Unit", K1321=""), "", INDEX(LookUps!$E$5:$E$12, MATCH(OpenLCAbasic!K1321,LookUps!$D$5:$D$12,0))))</f>
        <v/>
      </c>
      <c r="M1321" s="154" t="str">
        <f t="shared" si="68"/>
        <v>Low_Base_Legacy__Process_Bath Landfill_n.a.</v>
      </c>
    </row>
    <row r="1322" spans="1:13" s="120" customFormat="1" x14ac:dyDescent="0.25">
      <c r="A1322" s="119"/>
      <c r="B1322" s="138" t="str">
        <f t="shared" si="67"/>
        <v>n.a.</v>
      </c>
      <c r="C1322" s="138" t="str">
        <f t="shared" si="70"/>
        <v>Bath Landfill</v>
      </c>
      <c r="D1322" s="118" t="s">
        <v>130</v>
      </c>
      <c r="E1322" s="118" t="s">
        <v>180</v>
      </c>
      <c r="F1322" s="118" t="s">
        <v>45</v>
      </c>
      <c r="G1322" s="159"/>
      <c r="H1322" s="155">
        <v>5.2600000000000001E-2</v>
      </c>
      <c r="I1322" s="208" t="s">
        <v>151</v>
      </c>
      <c r="J1322" s="204">
        <v>0.48466999999999999</v>
      </c>
      <c r="K1322" s="154" t="s">
        <v>15</v>
      </c>
      <c r="L1322" s="154" t="str">
        <f>IF(OpenLCAbasic!K1322="CTUh", "Fill in Manually",IF(OR(K1322="Unit", K1322=""), "", INDEX(LookUps!$E$5:$E$12, MATCH(OpenLCAbasic!K1322,LookUps!$D$5:$D$12,0))))</f>
        <v>Cumulative Energy Demand (CED) - MJ</v>
      </c>
      <c r="M1322" s="154" t="str">
        <f t="shared" si="68"/>
        <v>Low_Base_Legacy_Cumulative Energy Demand (CED) - MJ_Sludge Disposal; wastewater treatment unit - US_Bath Landfill_n.a.</v>
      </c>
    </row>
    <row r="1323" spans="1:13" s="120" customFormat="1" x14ac:dyDescent="0.25">
      <c r="A1323" s="119"/>
      <c r="B1323" s="138" t="str">
        <f t="shared" si="67"/>
        <v>n.a.</v>
      </c>
      <c r="C1323" s="138" t="str">
        <f t="shared" si="70"/>
        <v>Bath Landfill</v>
      </c>
      <c r="D1323" s="118" t="s">
        <v>130</v>
      </c>
      <c r="E1323" s="118" t="s">
        <v>180</v>
      </c>
      <c r="F1323" s="118" t="s">
        <v>45</v>
      </c>
      <c r="G1323" s="159" t="s">
        <v>51</v>
      </c>
      <c r="H1323" s="155"/>
      <c r="I1323" s="208" t="s">
        <v>47</v>
      </c>
      <c r="J1323" s="154" t="s">
        <v>52</v>
      </c>
      <c r="K1323" s="154" t="s">
        <v>27</v>
      </c>
      <c r="L1323" s="154" t="str">
        <f>IF(OpenLCAbasic!K1323="CTUh", "Fill in Manually",IF(OR(K1323="Unit", K1323=""), "", INDEX(LookUps!$E$5:$E$12, MATCH(OpenLCAbasic!K1323,LookUps!$D$5:$D$12,0))))</f>
        <v/>
      </c>
      <c r="M1323" s="154" t="str">
        <f t="shared" si="68"/>
        <v>Low_Base_Legacy__Process_Bath Landfill_n.a.</v>
      </c>
    </row>
    <row r="1324" spans="1:13" s="120" customFormat="1" x14ac:dyDescent="0.25">
      <c r="A1324" s="119"/>
      <c r="B1324" s="138" t="str">
        <f t="shared" si="67"/>
        <v>n.a.</v>
      </c>
      <c r="C1324" s="138" t="str">
        <f t="shared" si="70"/>
        <v>Bath Landfill</v>
      </c>
      <c r="D1324" s="118" t="s">
        <v>130</v>
      </c>
      <c r="E1324" s="118" t="s">
        <v>180</v>
      </c>
      <c r="F1324" s="118" t="s">
        <v>45</v>
      </c>
      <c r="G1324" s="159"/>
      <c r="H1324" s="155">
        <v>-2.3999999999999998E-3</v>
      </c>
      <c r="I1324" s="208" t="s">
        <v>151</v>
      </c>
      <c r="J1324" s="203">
        <v>-5.74465E-5</v>
      </c>
      <c r="K1324" s="154" t="s">
        <v>13</v>
      </c>
      <c r="L1324" s="154" t="str">
        <f>IF(OpenLCAbasic!K1324="CTUh", "Fill in Manually",IF(OR(K1324="Unit", K1324=""), "", INDEX(LookUps!$E$5:$E$12, MATCH(OpenLCAbasic!K1324,LookUps!$D$5:$D$12,0))))</f>
        <v>Eutrophication Potential (EP) - kg N eq</v>
      </c>
      <c r="M1324" s="154" t="str">
        <f t="shared" si="68"/>
        <v>Low_Base_Legacy_Eutrophication Potential (EP) - kg N eq_Sludge Disposal; wastewater treatment unit - US_Bath Landfill_n.a.</v>
      </c>
    </row>
    <row r="1325" spans="1:13" s="120" customFormat="1" x14ac:dyDescent="0.25">
      <c r="A1325" s="119"/>
      <c r="B1325" s="138" t="str">
        <f t="shared" si="67"/>
        <v>n.a.</v>
      </c>
      <c r="C1325" s="138" t="str">
        <f t="shared" si="70"/>
        <v>Bath Landfill</v>
      </c>
      <c r="D1325" s="118" t="s">
        <v>130</v>
      </c>
      <c r="E1325" s="118" t="s">
        <v>180</v>
      </c>
      <c r="F1325" s="118" t="s">
        <v>45</v>
      </c>
      <c r="G1325" s="159" t="s">
        <v>51</v>
      </c>
      <c r="H1325" s="155"/>
      <c r="I1325" s="208" t="s">
        <v>47</v>
      </c>
      <c r="J1325" s="154" t="s">
        <v>52</v>
      </c>
      <c r="K1325" s="154" t="s">
        <v>27</v>
      </c>
      <c r="L1325" s="154" t="str">
        <f>IF(OpenLCAbasic!K1325="CTUh", "Fill in Manually",IF(OR(K1325="Unit", K1325=""), "", INDEX(LookUps!$E$5:$E$12, MATCH(OpenLCAbasic!K1325,LookUps!$D$5:$D$12,0))))</f>
        <v/>
      </c>
      <c r="M1325" s="154" t="str">
        <f t="shared" si="68"/>
        <v>Low_Base_Legacy__Process_Bath Landfill_n.a.</v>
      </c>
    </row>
    <row r="1326" spans="1:13" s="120" customFormat="1" x14ac:dyDescent="0.25">
      <c r="A1326" s="119"/>
      <c r="B1326" s="138" t="str">
        <f t="shared" si="67"/>
        <v>n.a.</v>
      </c>
      <c r="C1326" s="138" t="str">
        <f t="shared" si="70"/>
        <v>Bath Landfill</v>
      </c>
      <c r="D1326" s="118" t="s">
        <v>130</v>
      </c>
      <c r="E1326" s="118" t="s">
        <v>180</v>
      </c>
      <c r="F1326" s="118" t="s">
        <v>45</v>
      </c>
      <c r="G1326" s="159"/>
      <c r="H1326" s="155">
        <v>8.2500000000000004E-2</v>
      </c>
      <c r="I1326" s="208" t="s">
        <v>151</v>
      </c>
      <c r="J1326" s="204">
        <v>1.436E-2</v>
      </c>
      <c r="K1326" s="154" t="s">
        <v>14</v>
      </c>
      <c r="L1326" s="154" t="str">
        <f>IF(OpenLCAbasic!K1326="CTUh", "Fill in Manually",IF(OR(K1326="Unit", K1326=""), "", INDEX(LookUps!$E$5:$E$12, MATCH(OpenLCAbasic!K1326,LookUps!$D$5:$D$12,0))))</f>
        <v>Fossil Depletion Potential (FDP) - kg oil eq</v>
      </c>
      <c r="M1326" s="154" t="str">
        <f t="shared" si="68"/>
        <v>Low_Base_Legacy_Fossil Depletion Potential (FDP) - kg oil eq_Sludge Disposal; wastewater treatment unit - US_Bath Landfill_n.a.</v>
      </c>
    </row>
    <row r="1327" spans="1:13" s="120" customFormat="1" x14ac:dyDescent="0.25">
      <c r="A1327" s="119"/>
      <c r="B1327" s="138" t="str">
        <f t="shared" si="67"/>
        <v>n.a.</v>
      </c>
      <c r="C1327" s="138" t="str">
        <f t="shared" si="70"/>
        <v>Bath Landfill</v>
      </c>
      <c r="D1327" s="118" t="s">
        <v>130</v>
      </c>
      <c r="E1327" s="118" t="s">
        <v>180</v>
      </c>
      <c r="F1327" s="118" t="s">
        <v>45</v>
      </c>
      <c r="G1327" s="159" t="s">
        <v>51</v>
      </c>
      <c r="H1327" s="155"/>
      <c r="I1327" s="208" t="s">
        <v>47</v>
      </c>
      <c r="J1327" s="154" t="s">
        <v>52</v>
      </c>
      <c r="K1327" s="154" t="s">
        <v>27</v>
      </c>
      <c r="L1327" s="154" t="str">
        <f>IF(OpenLCAbasic!K1327="CTUh", "Fill in Manually",IF(OR(K1327="Unit", K1327=""), "", INDEX(LookUps!$E$5:$E$12, MATCH(OpenLCAbasic!K1327,LookUps!$D$5:$D$12,0))))</f>
        <v/>
      </c>
      <c r="M1327" s="154" t="str">
        <f t="shared" si="68"/>
        <v>Low_Base_Legacy__Process_Bath Landfill_n.a.</v>
      </c>
    </row>
    <row r="1328" spans="1:13" s="120" customFormat="1" x14ac:dyDescent="0.25">
      <c r="A1328" s="119"/>
      <c r="B1328" s="138" t="str">
        <f t="shared" si="67"/>
        <v>n.a.</v>
      </c>
      <c r="C1328" s="138" t="str">
        <f t="shared" si="70"/>
        <v>Bath Landfill</v>
      </c>
      <c r="D1328" s="118" t="s">
        <v>130</v>
      </c>
      <c r="E1328" s="118" t="s">
        <v>180</v>
      </c>
      <c r="F1328" s="118" t="s">
        <v>45</v>
      </c>
      <c r="G1328" s="159"/>
      <c r="H1328" s="155">
        <v>-0.41589999999999999</v>
      </c>
      <c r="I1328" s="208" t="s">
        <v>151</v>
      </c>
      <c r="J1328" s="203">
        <v>-0.19137999999999999</v>
      </c>
      <c r="K1328" s="154" t="s">
        <v>23</v>
      </c>
      <c r="L1328" s="154" t="str">
        <f>IF(OpenLCAbasic!K1328="CTUh", "Fill in Manually",IF(OR(K1328="Unit", K1328=""), "", INDEX(LookUps!$E$5:$E$12, MATCH(OpenLCAbasic!K1328,LookUps!$D$5:$D$12,0))))</f>
        <v>Global Warming Potential (GWP) - kg CO2 eq</v>
      </c>
      <c r="M1328" s="154" t="str">
        <f t="shared" si="68"/>
        <v>Low_Base_Legacy_Global Warming Potential (GWP) - kg CO2 eq_Sludge Disposal; wastewater treatment unit - US_Bath Landfill_n.a.</v>
      </c>
    </row>
    <row r="1329" spans="1:13" s="120" customFormat="1" x14ac:dyDescent="0.25">
      <c r="A1329" s="119"/>
      <c r="B1329" s="138" t="str">
        <f t="shared" si="67"/>
        <v>n.a.</v>
      </c>
      <c r="C1329" s="138" t="str">
        <f t="shared" si="70"/>
        <v>Bath Landfill</v>
      </c>
      <c r="D1329" s="118" t="s">
        <v>130</v>
      </c>
      <c r="E1329" s="118" t="s">
        <v>180</v>
      </c>
      <c r="F1329" s="118" t="s">
        <v>45</v>
      </c>
      <c r="G1329" s="159" t="s">
        <v>51</v>
      </c>
      <c r="H1329" s="155"/>
      <c r="I1329" s="208" t="s">
        <v>47</v>
      </c>
      <c r="J1329" s="154" t="s">
        <v>52</v>
      </c>
      <c r="K1329" s="154" t="s">
        <v>27</v>
      </c>
      <c r="L1329" s="154" t="str">
        <f>IF(OpenLCAbasic!K1329="CTUh", "Fill in Manually",IF(OR(K1329="Unit", K1329=""), "", INDEX(LookUps!$E$5:$E$12, MATCH(OpenLCAbasic!K1329,LookUps!$D$5:$D$12,0))))</f>
        <v/>
      </c>
      <c r="M1329" s="154" t="str">
        <f t="shared" si="68"/>
        <v>Low_Base_Legacy__Process_Bath Landfill_n.a.</v>
      </c>
    </row>
    <row r="1330" spans="1:13" s="120" customFormat="1" x14ac:dyDescent="0.25">
      <c r="A1330" s="119"/>
      <c r="B1330" s="138" t="str">
        <f t="shared" si="67"/>
        <v>n.a.</v>
      </c>
      <c r="C1330" s="138" t="str">
        <f t="shared" si="70"/>
        <v>Bath Landfill</v>
      </c>
      <c r="D1330" s="118" t="s">
        <v>130</v>
      </c>
      <c r="E1330" s="118" t="s">
        <v>180</v>
      </c>
      <c r="F1330" s="118" t="s">
        <v>45</v>
      </c>
      <c r="G1330" s="159"/>
      <c r="H1330" s="155">
        <v>-8.3400000000000002E-2</v>
      </c>
      <c r="I1330" s="208" t="s">
        <v>151</v>
      </c>
      <c r="J1330" s="204">
        <v>-3.5E-4</v>
      </c>
      <c r="K1330" s="154" t="s">
        <v>145</v>
      </c>
      <c r="L1330" s="154" t="str">
        <f>IF(OpenLCAbasic!K1330="CTUh", "Fill in Manually",IF(OR(K1330="Unit", K1330=""), "", INDEX(LookUps!$E$5:$E$12, MATCH(OpenLCAbasic!K1330,LookUps!$D$5:$D$12,0))))</f>
        <v>Particulate Matter Formation Potential (PMFP) - kg PM2.5 eq</v>
      </c>
      <c r="M1330" s="154" t="str">
        <f t="shared" si="68"/>
        <v>Low_Base_Legacy_Particulate Matter Formation Potential (PMFP) - kg PM2.5 eq_Sludge Disposal; wastewater treatment unit - US_Bath Landfill_n.a.</v>
      </c>
    </row>
    <row r="1331" spans="1:13" s="120" customFormat="1" x14ac:dyDescent="0.25">
      <c r="A1331" s="119"/>
      <c r="B1331" s="138" t="str">
        <f t="shared" si="67"/>
        <v>n.a.</v>
      </c>
      <c r="C1331" s="138" t="str">
        <f t="shared" si="70"/>
        <v>Bath Landfill</v>
      </c>
      <c r="D1331" s="118" t="s">
        <v>130</v>
      </c>
      <c r="E1331" s="118" t="s">
        <v>180</v>
      </c>
      <c r="F1331" s="118" t="s">
        <v>45</v>
      </c>
      <c r="G1331" s="159" t="s">
        <v>51</v>
      </c>
      <c r="H1331" s="155"/>
      <c r="I1331" s="208" t="s">
        <v>47</v>
      </c>
      <c r="J1331" s="154" t="s">
        <v>52</v>
      </c>
      <c r="K1331" s="154" t="s">
        <v>27</v>
      </c>
      <c r="L1331" s="154" t="str">
        <f>IF(OpenLCAbasic!K1331="CTUh", "Fill in Manually",IF(OR(K1331="Unit", K1331=""), "", INDEX(LookUps!$E$5:$E$12, MATCH(OpenLCAbasic!K1331,LookUps!$D$5:$D$12,0))))</f>
        <v/>
      </c>
      <c r="M1331" s="154" t="str">
        <f t="shared" si="68"/>
        <v>Low_Base_Legacy__Process_Bath Landfill_n.a.</v>
      </c>
    </row>
    <row r="1332" spans="1:13" s="120" customFormat="1" x14ac:dyDescent="0.25">
      <c r="A1332" s="119"/>
      <c r="B1332" s="138" t="str">
        <f t="shared" si="67"/>
        <v>n.a.</v>
      </c>
      <c r="C1332" s="138" t="str">
        <f t="shared" si="70"/>
        <v>Bath Landfill</v>
      </c>
      <c r="D1332" s="118" t="s">
        <v>130</v>
      </c>
      <c r="E1332" s="118" t="s">
        <v>180</v>
      </c>
      <c r="F1332" s="118" t="s">
        <v>45</v>
      </c>
      <c r="G1332" s="159"/>
      <c r="H1332" s="155">
        <v>-8.0199999999999994E-2</v>
      </c>
      <c r="I1332" s="208" t="s">
        <v>151</v>
      </c>
      <c r="J1332" s="204">
        <v>-2.3699999999999999E-2</v>
      </c>
      <c r="K1332" s="154" t="s">
        <v>25</v>
      </c>
      <c r="L1332" s="154" t="str">
        <f>IF(OpenLCAbasic!K1332="CTUh", "Fill in Manually",IF(OR(K1332="Unit", K1332=""), "", INDEX(LookUps!$E$5:$E$12, MATCH(OpenLCAbasic!K1332,LookUps!$D$5:$D$12,0))))</f>
        <v>Smog Formation Potential (SFP) - kg O3 eq</v>
      </c>
      <c r="M1332" s="154" t="str">
        <f t="shared" si="68"/>
        <v>Low_Base_Legacy_Smog Formation Potential (SFP) - kg O3 eq_Sludge Disposal; wastewater treatment unit - US_Bath Landfill_n.a.</v>
      </c>
    </row>
    <row r="1333" spans="1:13" s="120" customFormat="1" x14ac:dyDescent="0.25">
      <c r="A1333" s="119"/>
      <c r="B1333" s="138" t="str">
        <f t="shared" si="67"/>
        <v>n.a.</v>
      </c>
      <c r="C1333" s="138" t="str">
        <f t="shared" si="70"/>
        <v>Bath Landfill</v>
      </c>
      <c r="D1333" s="118" t="s">
        <v>130</v>
      </c>
      <c r="E1333" s="118" t="s">
        <v>180</v>
      </c>
      <c r="F1333" s="118" t="s">
        <v>45</v>
      </c>
      <c r="G1333" s="159" t="s">
        <v>51</v>
      </c>
      <c r="H1333" s="155"/>
      <c r="I1333" s="208" t="s">
        <v>47</v>
      </c>
      <c r="J1333" s="154" t="s">
        <v>52</v>
      </c>
      <c r="K1333" s="154" t="s">
        <v>27</v>
      </c>
      <c r="L1333" s="154" t="str">
        <f>IF(OpenLCAbasic!K1333="CTUh", "Fill in Manually",IF(OR(K1333="Unit", K1333=""), "", INDEX(LookUps!$E$5:$E$12, MATCH(OpenLCAbasic!K1333,LookUps!$D$5:$D$12,0))))</f>
        <v/>
      </c>
      <c r="M1333" s="154" t="str">
        <f t="shared" si="68"/>
        <v>Low_Base_Legacy__Process_Bath Landfill_n.a.</v>
      </c>
    </row>
    <row r="1334" spans="1:13" s="120" customFormat="1" x14ac:dyDescent="0.25">
      <c r="A1334" s="119"/>
      <c r="B1334" s="138" t="str">
        <f t="shared" si="67"/>
        <v>n.a.</v>
      </c>
      <c r="C1334" s="138" t="str">
        <f t="shared" si="70"/>
        <v>Bath Landfill</v>
      </c>
      <c r="D1334" s="118" t="s">
        <v>130</v>
      </c>
      <c r="E1334" s="118" t="s">
        <v>180</v>
      </c>
      <c r="F1334" s="118" t="s">
        <v>45</v>
      </c>
      <c r="G1334" s="159"/>
      <c r="H1334" s="155">
        <v>1.4200000000000001E-2</v>
      </c>
      <c r="I1334" s="208" t="s">
        <v>151</v>
      </c>
      <c r="J1334" s="204">
        <v>1.7710199999999999E-5</v>
      </c>
      <c r="K1334" s="154" t="s">
        <v>26</v>
      </c>
      <c r="L1334" s="154" t="str">
        <f>IF(OpenLCAbasic!K1334="CTUh", "Fill in Manually",IF(OR(K1334="Unit", K1334=""), "", INDEX(LookUps!$E$5:$E$12, MATCH(OpenLCAbasic!K1334,LookUps!$D$5:$D$12,0))))</f>
        <v>Water Use (WU) - m3 H2O</v>
      </c>
      <c r="M1334" s="154" t="str">
        <f t="shared" si="68"/>
        <v>Low_Base_Legacy_Water Use (WU) - m3 H2O_Sludge Disposal; wastewater treatment unit - US_Bath Landfill_n.a.</v>
      </c>
    </row>
    <row r="1335" spans="1:13" s="120" customFormat="1" x14ac:dyDescent="0.25">
      <c r="A1335" s="119"/>
      <c r="B1335" s="138" t="str">
        <f t="shared" si="67"/>
        <v/>
      </c>
      <c r="C1335" s="138" t="str">
        <f t="shared" si="70"/>
        <v/>
      </c>
      <c r="D1335" s="118"/>
      <c r="E1335" s="118"/>
      <c r="F1335" s="118"/>
      <c r="G1335" s="153" t="s">
        <v>51</v>
      </c>
      <c r="H1335" s="155"/>
      <c r="I1335" s="208" t="s">
        <v>47</v>
      </c>
      <c r="J1335" s="204" t="s">
        <v>52</v>
      </c>
      <c r="K1335" s="154" t="s">
        <v>27</v>
      </c>
      <c r="L1335" s="154" t="str">
        <f>IF(OpenLCAbasic!K1335="CTUh", "Fill in Manually",IF(OR(K1335="Unit", K1335=""), "", INDEX(LookUps!$E$5:$E$12, MATCH(OpenLCAbasic!K1335,LookUps!$D$5:$D$12,0))))</f>
        <v/>
      </c>
      <c r="M1335" s="154" t="str">
        <f t="shared" si="68"/>
        <v>____Process__</v>
      </c>
    </row>
    <row r="1336" spans="1:13" s="120" customFormat="1" x14ac:dyDescent="0.25">
      <c r="A1336" s="119"/>
      <c r="B1336" s="138" t="str">
        <f t="shared" si="67"/>
        <v>n.a.</v>
      </c>
      <c r="C1336" s="138" t="str">
        <f t="shared" si="70"/>
        <v>Bath Landfill</v>
      </c>
      <c r="D1336" s="118" t="s">
        <v>130</v>
      </c>
      <c r="E1336" s="118" t="s">
        <v>181</v>
      </c>
      <c r="F1336" s="118" t="s">
        <v>45</v>
      </c>
      <c r="G1336" s="153"/>
      <c r="H1336" s="155">
        <v>-0.1229</v>
      </c>
      <c r="I1336" s="208" t="s">
        <v>151</v>
      </c>
      <c r="J1336" s="154">
        <v>-3.7200000000000002E-3</v>
      </c>
      <c r="K1336" s="154" t="s">
        <v>24</v>
      </c>
      <c r="L1336" s="154" t="str">
        <f>IF(OpenLCAbasic!K1336="CTUh", "Fill in Manually",IF(OR(K1336="Unit", K1336=""), "", INDEX(LookUps!$E$5:$E$12, MATCH(OpenLCAbasic!K1336,LookUps!$D$5:$D$12,0))))</f>
        <v>Acidification Potential (AP) - kg SO2 eq</v>
      </c>
      <c r="M1336" s="154" t="str">
        <f t="shared" si="68"/>
        <v>High_Base_Legacy_Acidification Potential (AP) - kg SO2 eq_Sludge Disposal; wastewater treatment unit - US_Bath Landfill_n.a.</v>
      </c>
    </row>
    <row r="1337" spans="1:13" s="120" customFormat="1" x14ac:dyDescent="0.25">
      <c r="A1337" s="119"/>
      <c r="B1337" s="138" t="str">
        <f t="shared" si="67"/>
        <v>n.a.</v>
      </c>
      <c r="C1337" s="138" t="str">
        <f t="shared" si="70"/>
        <v>Bath Landfill</v>
      </c>
      <c r="D1337" s="118" t="s">
        <v>130</v>
      </c>
      <c r="E1337" s="118" t="s">
        <v>181</v>
      </c>
      <c r="F1337" s="118" t="s">
        <v>45</v>
      </c>
      <c r="G1337" s="153" t="s">
        <v>51</v>
      </c>
      <c r="H1337" s="155"/>
      <c r="I1337" s="208" t="s">
        <v>47</v>
      </c>
      <c r="J1337" s="203" t="s">
        <v>52</v>
      </c>
      <c r="K1337" s="154" t="s">
        <v>27</v>
      </c>
      <c r="L1337" s="154" t="str">
        <f>IF(OpenLCAbasic!K1337="CTUh", "Fill in Manually",IF(OR(K1337="Unit", K1337=""), "", INDEX(LookUps!$E$5:$E$12, MATCH(OpenLCAbasic!K1337,LookUps!$D$5:$D$12,0))))</f>
        <v/>
      </c>
      <c r="M1337" s="154" t="str">
        <f t="shared" si="68"/>
        <v>High_Base_Legacy__Process_Bath Landfill_n.a.</v>
      </c>
    </row>
    <row r="1338" spans="1:13" s="120" customFormat="1" x14ac:dyDescent="0.25">
      <c r="A1338" s="119"/>
      <c r="B1338" s="138" t="str">
        <f t="shared" si="67"/>
        <v>n.a.</v>
      </c>
      <c r="C1338" s="138" t="str">
        <f t="shared" si="70"/>
        <v>Bath Landfill</v>
      </c>
      <c r="D1338" s="118" t="s">
        <v>130</v>
      </c>
      <c r="E1338" s="118" t="s">
        <v>181</v>
      </c>
      <c r="F1338" s="118" t="s">
        <v>45</v>
      </c>
      <c r="G1338" s="153"/>
      <c r="H1338" s="155">
        <v>2.76E-2</v>
      </c>
      <c r="I1338" s="208" t="s">
        <v>151</v>
      </c>
      <c r="J1338" s="154">
        <v>0.24776000000000001</v>
      </c>
      <c r="K1338" s="154" t="s">
        <v>15</v>
      </c>
      <c r="L1338" s="154" t="str">
        <f>IF(OpenLCAbasic!K1338="CTUh", "Fill in Manually",IF(OR(K1338="Unit", K1338=""), "", INDEX(LookUps!$E$5:$E$12, MATCH(OpenLCAbasic!K1338,LookUps!$D$5:$D$12,0))))</f>
        <v>Cumulative Energy Demand (CED) - MJ</v>
      </c>
      <c r="M1338" s="154" t="str">
        <f t="shared" si="68"/>
        <v>High_Base_Legacy_Cumulative Energy Demand (CED) - MJ_Sludge Disposal; wastewater treatment unit - US_Bath Landfill_n.a.</v>
      </c>
    </row>
    <row r="1339" spans="1:13" s="120" customFormat="1" x14ac:dyDescent="0.25">
      <c r="A1339" s="119"/>
      <c r="B1339" s="138" t="str">
        <f t="shared" si="67"/>
        <v>n.a.</v>
      </c>
      <c r="C1339" s="138" t="str">
        <f t="shared" si="70"/>
        <v>Bath Landfill</v>
      </c>
      <c r="D1339" s="118" t="s">
        <v>130</v>
      </c>
      <c r="E1339" s="118" t="s">
        <v>181</v>
      </c>
      <c r="F1339" s="118" t="s">
        <v>45</v>
      </c>
      <c r="G1339" s="153" t="s">
        <v>51</v>
      </c>
      <c r="H1339" s="155"/>
      <c r="I1339" s="208" t="s">
        <v>47</v>
      </c>
      <c r="J1339" s="204" t="s">
        <v>52</v>
      </c>
      <c r="K1339" s="154" t="s">
        <v>27</v>
      </c>
      <c r="L1339" s="154" t="str">
        <f>IF(OpenLCAbasic!K1339="CTUh", "Fill in Manually",IF(OR(K1339="Unit", K1339=""), "", INDEX(LookUps!$E$5:$E$12, MATCH(OpenLCAbasic!K1339,LookUps!$D$5:$D$12,0))))</f>
        <v/>
      </c>
      <c r="M1339" s="154" t="str">
        <f t="shared" si="68"/>
        <v>High_Base_Legacy__Process_Bath Landfill_n.a.</v>
      </c>
    </row>
    <row r="1340" spans="1:13" s="120" customFormat="1" x14ac:dyDescent="0.25">
      <c r="A1340" s="119"/>
      <c r="B1340" s="138" t="str">
        <f t="shared" si="67"/>
        <v>n.a.</v>
      </c>
      <c r="C1340" s="138" t="str">
        <f t="shared" si="70"/>
        <v>Bath Landfill</v>
      </c>
      <c r="D1340" s="118" t="s">
        <v>130</v>
      </c>
      <c r="E1340" s="118" t="s">
        <v>181</v>
      </c>
      <c r="F1340" s="118" t="s">
        <v>45</v>
      </c>
      <c r="G1340" s="153"/>
      <c r="H1340" s="155">
        <v>-3.8E-3</v>
      </c>
      <c r="I1340" s="208" t="s">
        <v>151</v>
      </c>
      <c r="J1340" s="156">
        <v>-9.3526300000000006E-5</v>
      </c>
      <c r="K1340" s="154" t="s">
        <v>13</v>
      </c>
      <c r="L1340" s="154" t="str">
        <f>IF(OpenLCAbasic!K1340="CTUh", "Fill in Manually",IF(OR(K1340="Unit", K1340=""), "", INDEX(LookUps!$E$5:$E$12, MATCH(OpenLCAbasic!K1340,LookUps!$D$5:$D$12,0))))</f>
        <v>Eutrophication Potential (EP) - kg N eq</v>
      </c>
      <c r="M1340" s="154" t="str">
        <f t="shared" si="68"/>
        <v>High_Base_Legacy_Eutrophication Potential (EP) - kg N eq_Sludge Disposal; wastewater treatment unit - US_Bath Landfill_n.a.</v>
      </c>
    </row>
    <row r="1341" spans="1:13" s="120" customFormat="1" x14ac:dyDescent="0.25">
      <c r="A1341" s="119"/>
      <c r="B1341" s="138" t="str">
        <f t="shared" si="67"/>
        <v>n.a.</v>
      </c>
      <c r="C1341" s="138" t="str">
        <f t="shared" si="70"/>
        <v>Bath Landfill</v>
      </c>
      <c r="D1341" s="118" t="s">
        <v>130</v>
      </c>
      <c r="E1341" s="118" t="s">
        <v>181</v>
      </c>
      <c r="F1341" s="118" t="s">
        <v>45</v>
      </c>
      <c r="G1341" s="153" t="s">
        <v>51</v>
      </c>
      <c r="H1341" s="155"/>
      <c r="I1341" s="208" t="s">
        <v>47</v>
      </c>
      <c r="J1341" s="203" t="s">
        <v>52</v>
      </c>
      <c r="K1341" s="154" t="s">
        <v>27</v>
      </c>
      <c r="L1341" s="154" t="str">
        <f>IF(OpenLCAbasic!K1341="CTUh", "Fill in Manually",IF(OR(K1341="Unit", K1341=""), "", INDEX(LookUps!$E$5:$E$12, MATCH(OpenLCAbasic!K1341,LookUps!$D$5:$D$12,0))))</f>
        <v/>
      </c>
      <c r="M1341" s="154" t="str">
        <f t="shared" si="68"/>
        <v>High_Base_Legacy__Process_Bath Landfill_n.a.</v>
      </c>
    </row>
    <row r="1342" spans="1:13" s="120" customFormat="1" x14ac:dyDescent="0.25">
      <c r="A1342" s="119"/>
      <c r="B1342" s="138" t="str">
        <f t="shared" si="67"/>
        <v>n.a.</v>
      </c>
      <c r="C1342" s="138" t="str">
        <f t="shared" si="70"/>
        <v>Bath Landfill</v>
      </c>
      <c r="D1342" s="118" t="s">
        <v>130</v>
      </c>
      <c r="E1342" s="118" t="s">
        <v>181</v>
      </c>
      <c r="F1342" s="118" t="s">
        <v>45</v>
      </c>
      <c r="G1342" s="153"/>
      <c r="H1342" s="155">
        <v>5.9499999999999997E-2</v>
      </c>
      <c r="I1342" s="208" t="s">
        <v>151</v>
      </c>
      <c r="J1342" s="154">
        <v>1.01E-2</v>
      </c>
      <c r="K1342" s="154" t="s">
        <v>14</v>
      </c>
      <c r="L1342" s="154" t="str">
        <f>IF(OpenLCAbasic!K1342="CTUh", "Fill in Manually",IF(OR(K1342="Unit", K1342=""), "", INDEX(LookUps!$E$5:$E$12, MATCH(OpenLCAbasic!K1342,LookUps!$D$5:$D$12,0))))</f>
        <v>Fossil Depletion Potential (FDP) - kg oil eq</v>
      </c>
      <c r="M1342" s="154" t="str">
        <f t="shared" si="68"/>
        <v>High_Base_Legacy_Fossil Depletion Potential (FDP) - kg oil eq_Sludge Disposal; wastewater treatment unit - US_Bath Landfill_n.a.</v>
      </c>
    </row>
    <row r="1343" spans="1:13" s="120" customFormat="1" x14ac:dyDescent="0.25">
      <c r="A1343" s="119"/>
      <c r="B1343" s="138" t="str">
        <f t="shared" si="67"/>
        <v>n.a.</v>
      </c>
      <c r="C1343" s="138" t="str">
        <f t="shared" si="70"/>
        <v>Bath Landfill</v>
      </c>
      <c r="D1343" s="118" t="s">
        <v>130</v>
      </c>
      <c r="E1343" s="118" t="s">
        <v>181</v>
      </c>
      <c r="F1343" s="118" t="s">
        <v>45</v>
      </c>
      <c r="G1343" s="153" t="s">
        <v>51</v>
      </c>
      <c r="H1343" s="155"/>
      <c r="I1343" s="208" t="s">
        <v>47</v>
      </c>
      <c r="J1343" s="203" t="s">
        <v>52</v>
      </c>
      <c r="K1343" s="154" t="s">
        <v>27</v>
      </c>
      <c r="L1343" s="154" t="str">
        <f>IF(OpenLCAbasic!K1343="CTUh", "Fill in Manually",IF(OR(K1343="Unit", K1343=""), "", INDEX(LookUps!$E$5:$E$12, MATCH(OpenLCAbasic!K1343,LookUps!$D$5:$D$12,0))))</f>
        <v/>
      </c>
      <c r="M1343" s="154" t="str">
        <f t="shared" si="68"/>
        <v>High_Base_Legacy__Process_Bath Landfill_n.a.</v>
      </c>
    </row>
    <row r="1344" spans="1:13" s="120" customFormat="1" x14ac:dyDescent="0.25">
      <c r="A1344" s="119"/>
      <c r="B1344" s="138" t="str">
        <f t="shared" si="67"/>
        <v>n.a.</v>
      </c>
      <c r="C1344" s="138" t="str">
        <f t="shared" si="70"/>
        <v>Bath Landfill</v>
      </c>
      <c r="D1344" s="118" t="s">
        <v>130</v>
      </c>
      <c r="E1344" s="118" t="s">
        <v>181</v>
      </c>
      <c r="F1344" s="118" t="s">
        <v>45</v>
      </c>
      <c r="G1344" s="153"/>
      <c r="H1344" s="155">
        <v>0.41449999999999998</v>
      </c>
      <c r="I1344" s="208" t="s">
        <v>151</v>
      </c>
      <c r="J1344" s="154">
        <v>0.46127000000000001</v>
      </c>
      <c r="K1344" s="154" t="s">
        <v>23</v>
      </c>
      <c r="L1344" s="154" t="str">
        <f>IF(OpenLCAbasic!K1344="CTUh", "Fill in Manually",IF(OR(K1344="Unit", K1344=""), "", INDEX(LookUps!$E$5:$E$12, MATCH(OpenLCAbasic!K1344,LookUps!$D$5:$D$12,0))))</f>
        <v>Global Warming Potential (GWP) - kg CO2 eq</v>
      </c>
      <c r="M1344" s="154" t="str">
        <f t="shared" si="68"/>
        <v>High_Base_Legacy_Global Warming Potential (GWP) - kg CO2 eq_Sludge Disposal; wastewater treatment unit - US_Bath Landfill_n.a.</v>
      </c>
    </row>
    <row r="1345" spans="1:13" s="120" customFormat="1" x14ac:dyDescent="0.25">
      <c r="A1345" s="119"/>
      <c r="B1345" s="138" t="str">
        <f t="shared" si="67"/>
        <v>n.a.</v>
      </c>
      <c r="C1345" s="138" t="str">
        <f t="shared" si="70"/>
        <v>Bath Landfill</v>
      </c>
      <c r="D1345" s="118" t="s">
        <v>130</v>
      </c>
      <c r="E1345" s="118" t="s">
        <v>181</v>
      </c>
      <c r="F1345" s="118" t="s">
        <v>45</v>
      </c>
      <c r="G1345" s="153" t="s">
        <v>51</v>
      </c>
      <c r="H1345" s="155"/>
      <c r="I1345" s="208" t="s">
        <v>47</v>
      </c>
      <c r="J1345" s="204" t="s">
        <v>52</v>
      </c>
      <c r="K1345" s="154" t="s">
        <v>27</v>
      </c>
      <c r="L1345" s="154" t="str">
        <f>IF(OpenLCAbasic!K1345="CTUh", "Fill in Manually",IF(OR(K1345="Unit", K1345=""), "", INDEX(LookUps!$E$5:$E$12, MATCH(OpenLCAbasic!K1345,LookUps!$D$5:$D$12,0))))</f>
        <v/>
      </c>
      <c r="M1345" s="154" t="str">
        <f t="shared" si="68"/>
        <v>High_Base_Legacy__Process_Bath Landfill_n.a.</v>
      </c>
    </row>
    <row r="1346" spans="1:13" s="120" customFormat="1" x14ac:dyDescent="0.25">
      <c r="A1346" s="119"/>
      <c r="B1346" s="138" t="str">
        <f t="shared" si="67"/>
        <v>n.a.</v>
      </c>
      <c r="C1346" s="138" t="str">
        <f t="shared" si="70"/>
        <v>Bath Landfill</v>
      </c>
      <c r="D1346" s="118" t="s">
        <v>130</v>
      </c>
      <c r="E1346" s="118" t="s">
        <v>181</v>
      </c>
      <c r="F1346" s="118" t="s">
        <v>45</v>
      </c>
      <c r="G1346" s="153"/>
      <c r="H1346" s="155">
        <v>-0.12670000000000001</v>
      </c>
      <c r="I1346" s="208" t="s">
        <v>151</v>
      </c>
      <c r="J1346" s="154">
        <v>-5.1000000000000004E-4</v>
      </c>
      <c r="K1346" s="154" t="s">
        <v>145</v>
      </c>
      <c r="L1346" s="154" t="str">
        <f>IF(OpenLCAbasic!K1346="CTUh", "Fill in Manually",IF(OR(K1346="Unit", K1346=""), "", INDEX(LookUps!$E$5:$E$12, MATCH(OpenLCAbasic!K1346,LookUps!$D$5:$D$12,0))))</f>
        <v>Particulate Matter Formation Potential (PMFP) - kg PM2.5 eq</v>
      </c>
      <c r="M1346" s="154" t="str">
        <f t="shared" si="68"/>
        <v>High_Base_Legacy_Particulate Matter Formation Potential (PMFP) - kg PM2.5 eq_Sludge Disposal; wastewater treatment unit - US_Bath Landfill_n.a.</v>
      </c>
    </row>
    <row r="1347" spans="1:13" s="120" customFormat="1" x14ac:dyDescent="0.25">
      <c r="A1347" s="119"/>
      <c r="B1347" s="138" t="str">
        <f t="shared" si="67"/>
        <v>n.a.</v>
      </c>
      <c r="C1347" s="138" t="str">
        <f t="shared" si="70"/>
        <v>Bath Landfill</v>
      </c>
      <c r="D1347" s="118" t="s">
        <v>130</v>
      </c>
      <c r="E1347" s="118" t="s">
        <v>181</v>
      </c>
      <c r="F1347" s="118" t="s">
        <v>45</v>
      </c>
      <c r="G1347" s="153" t="s">
        <v>51</v>
      </c>
      <c r="H1347" s="155"/>
      <c r="I1347" s="208" t="s">
        <v>47</v>
      </c>
      <c r="J1347" s="204" t="s">
        <v>52</v>
      </c>
      <c r="K1347" s="154" t="s">
        <v>27</v>
      </c>
      <c r="L1347" s="154" t="str">
        <f>IF(OpenLCAbasic!K1347="CTUh", "Fill in Manually",IF(OR(K1347="Unit", K1347=""), "", INDEX(LookUps!$E$5:$E$12, MATCH(OpenLCAbasic!K1347,LookUps!$D$5:$D$12,0))))</f>
        <v/>
      </c>
      <c r="M1347" s="154" t="str">
        <f t="shared" si="68"/>
        <v>High_Base_Legacy__Process_Bath Landfill_n.a.</v>
      </c>
    </row>
    <row r="1348" spans="1:13" s="120" customFormat="1" x14ac:dyDescent="0.25">
      <c r="A1348" s="119"/>
      <c r="B1348" s="138" t="str">
        <f t="shared" si="67"/>
        <v>n.a.</v>
      </c>
      <c r="C1348" s="138" t="str">
        <f t="shared" si="70"/>
        <v>Bath Landfill</v>
      </c>
      <c r="D1348" s="118" t="s">
        <v>130</v>
      </c>
      <c r="E1348" s="118" t="s">
        <v>181</v>
      </c>
      <c r="F1348" s="118" t="s">
        <v>45</v>
      </c>
      <c r="G1348" s="153"/>
      <c r="H1348" s="155">
        <v>-0.1226</v>
      </c>
      <c r="I1348" s="208" t="s">
        <v>151</v>
      </c>
      <c r="J1348" s="154">
        <v>-3.4869999999999998E-2</v>
      </c>
      <c r="K1348" s="154" t="s">
        <v>25</v>
      </c>
      <c r="L1348" s="154" t="str">
        <f>IF(OpenLCAbasic!K1348="CTUh", "Fill in Manually",IF(OR(K1348="Unit", K1348=""), "", INDEX(LookUps!$E$5:$E$12, MATCH(OpenLCAbasic!K1348,LookUps!$D$5:$D$12,0))))</f>
        <v>Smog Formation Potential (SFP) - kg O3 eq</v>
      </c>
      <c r="M1348" s="154" t="str">
        <f t="shared" si="68"/>
        <v>High_Base_Legacy_Smog Formation Potential (SFP) - kg O3 eq_Sludge Disposal; wastewater treatment unit - US_Bath Landfill_n.a.</v>
      </c>
    </row>
    <row r="1349" spans="1:13" s="120" customFormat="1" x14ac:dyDescent="0.25">
      <c r="A1349" s="119"/>
      <c r="B1349" s="138" t="str">
        <f t="shared" si="67"/>
        <v>n.a.</v>
      </c>
      <c r="C1349" s="138" t="str">
        <f t="shared" si="70"/>
        <v>Bath Landfill</v>
      </c>
      <c r="D1349" s="118" t="s">
        <v>130</v>
      </c>
      <c r="E1349" s="118" t="s">
        <v>181</v>
      </c>
      <c r="F1349" s="118" t="s">
        <v>45</v>
      </c>
      <c r="G1349" s="153" t="s">
        <v>51</v>
      </c>
      <c r="H1349" s="155"/>
      <c r="I1349" s="208" t="s">
        <v>47</v>
      </c>
      <c r="J1349" s="204" t="s">
        <v>52</v>
      </c>
      <c r="K1349" s="154" t="s">
        <v>27</v>
      </c>
      <c r="L1349" s="154" t="str">
        <f>IF(OpenLCAbasic!K1349="CTUh", "Fill in Manually",IF(OR(K1349="Unit", K1349=""), "", INDEX(LookUps!$E$5:$E$12, MATCH(OpenLCAbasic!K1349,LookUps!$D$5:$D$12,0))))</f>
        <v/>
      </c>
      <c r="M1349" s="154" t="str">
        <f t="shared" si="68"/>
        <v>High_Base_Legacy__Process_Bath Landfill_n.a.</v>
      </c>
    </row>
    <row r="1350" spans="1:13" s="120" customFormat="1" x14ac:dyDescent="0.25">
      <c r="A1350" s="119"/>
      <c r="B1350" s="138" t="str">
        <f t="shared" si="67"/>
        <v>n.a.</v>
      </c>
      <c r="C1350" s="138" t="str">
        <f t="shared" si="70"/>
        <v>Bath Landfill</v>
      </c>
      <c r="D1350" s="118" t="s">
        <v>130</v>
      </c>
      <c r="E1350" s="118" t="s">
        <v>181</v>
      </c>
      <c r="F1350" s="118" t="s">
        <v>45</v>
      </c>
      <c r="G1350" s="153"/>
      <c r="H1350" s="210">
        <v>1.14E-2</v>
      </c>
      <c r="I1350" s="160" t="s">
        <v>151</v>
      </c>
      <c r="J1350" s="207">
        <v>1.4142699999999999E-5</v>
      </c>
      <c r="K1350" s="160" t="s">
        <v>26</v>
      </c>
      <c r="L1350" s="154" t="str">
        <f>IF(OpenLCAbasic!K1350="CTUh", "Fill in Manually",IF(OR(K1350="Unit", K1350=""), "", INDEX(LookUps!$E$5:$E$12, MATCH(OpenLCAbasic!K1350,LookUps!$D$5:$D$12,0))))</f>
        <v>Water Use (WU) - m3 H2O</v>
      </c>
      <c r="M1350" s="154" t="str">
        <f t="shared" si="68"/>
        <v>High_Base_Legacy_Water Use (WU) - m3 H2O_Sludge Disposal; wastewater treatment unit - US_Bath Landfill_n.a.</v>
      </c>
    </row>
    <row r="1351" spans="1:13" s="120" customFormat="1" x14ac:dyDescent="0.25">
      <c r="A1351" s="119"/>
      <c r="B1351" s="138"/>
      <c r="C1351" s="138"/>
      <c r="D1351" s="138"/>
      <c r="E1351" s="138"/>
      <c r="F1351" s="138"/>
      <c r="G1351" s="120" t="s">
        <v>51</v>
      </c>
      <c r="I1351" s="120" t="s">
        <v>47</v>
      </c>
      <c r="J1351" s="120" t="s">
        <v>52</v>
      </c>
      <c r="K1351" s="120" t="s">
        <v>27</v>
      </c>
      <c r="L1351" s="154" t="str">
        <f>IF(OpenLCAbasic!K1351="CTUh", "Fill in Manually",IF(OR(K1351="Unit", K1351=""), "", INDEX(LookUps!$E$5:$E$12, MATCH(OpenLCAbasic!K1351,LookUps!$D$5:$D$12,0))))</f>
        <v/>
      </c>
      <c r="M1351" s="154" t="str">
        <f t="shared" si="68"/>
        <v>____Process__</v>
      </c>
    </row>
    <row r="1352" spans="1:13" s="120" customFormat="1" x14ac:dyDescent="0.25">
      <c r="A1352" s="119"/>
      <c r="B1352" s="138" t="str">
        <f t="shared" ref="B1352:B1413" si="71">IF(F1352="Legacy","n.a.",IF(F1352="","","Windrow"))</f>
        <v>Windrow</v>
      </c>
      <c r="C1352" s="138" t="str">
        <f t="shared" ref="C1352:C1414" si="72">IF(E1352&lt;&gt;"", "Base_With Amendment","")</f>
        <v>Base_With Amendment</v>
      </c>
      <c r="D1352" s="118" t="s">
        <v>133</v>
      </c>
      <c r="E1352" s="118" t="s">
        <v>180</v>
      </c>
      <c r="F1352" s="118" t="s">
        <v>46</v>
      </c>
      <c r="G1352" s="153"/>
      <c r="H1352" s="155">
        <v>0.46160000000000001</v>
      </c>
      <c r="I1352" s="154" t="s">
        <v>58</v>
      </c>
      <c r="J1352" s="156">
        <v>0.24279999999999999</v>
      </c>
      <c r="K1352" s="154" t="s">
        <v>23</v>
      </c>
      <c r="L1352" s="154" t="str">
        <f>IF(OpenLCAbasic!K1352="CTUh", "Fill in Manually",IF(OR(K1352="Unit", K1352=""), "", INDEX(LookUps!$E$5:$E$12, MATCH(OpenLCAbasic!K1352,LookUps!$D$5:$D$12,0))))</f>
        <v>Global Warming Potential (GWP) - kg CO2 eq</v>
      </c>
      <c r="M1352" s="154" t="str">
        <f t="shared" ref="M1352:M1414" si="73">CONCATENATE(E1352,"_",D1352,"_",F1352,"_",L1352, "_",I1352,"_", C1352,"_", B1352)</f>
        <v>Low_Base_Low_Upgraded_Global Warming Potential (GWP) - kg CO2 eq_Pre-Anoxic &amp; Swing tank; wastewater treatment unit; at updated plant - US_Base_With Amendment_Windrow</v>
      </c>
    </row>
    <row r="1353" spans="1:13" s="120" customFormat="1" x14ac:dyDescent="0.25">
      <c r="A1353" s="119"/>
      <c r="B1353" s="138" t="str">
        <f t="shared" si="71"/>
        <v>Windrow</v>
      </c>
      <c r="C1353" s="138" t="str">
        <f t="shared" si="72"/>
        <v>Base_With Amendment</v>
      </c>
      <c r="D1353" s="118" t="s">
        <v>133</v>
      </c>
      <c r="E1353" s="118" t="s">
        <v>180</v>
      </c>
      <c r="F1353" s="118" t="s">
        <v>46</v>
      </c>
      <c r="G1353" s="153"/>
      <c r="H1353" s="155">
        <v>0.33350000000000002</v>
      </c>
      <c r="I1353" s="154" t="s">
        <v>149</v>
      </c>
      <c r="J1353" s="203">
        <v>0.17544999999999999</v>
      </c>
      <c r="K1353" s="154" t="s">
        <v>23</v>
      </c>
      <c r="L1353" s="154" t="str">
        <f>IF(OpenLCAbasic!K1353="CTUh", "Fill in Manually",IF(OR(K1353="Unit", K1353=""), "", INDEX(LookUps!$E$5:$E$12, MATCH(OpenLCAbasic!K1353,LookUps!$D$5:$D$12,0))))</f>
        <v>Global Warming Potential (GWP) - kg CO2 eq</v>
      </c>
      <c r="M1353" s="154" t="str">
        <f t="shared" si="73"/>
        <v>Low_Base_Low_Upgraded_Global Warming Potential (GWP) - kg CO2 eq_Anaerobic Digestion; wastewater treatment unit; at updated plant - US_Base_With Amendment_Windrow</v>
      </c>
    </row>
    <row r="1354" spans="1:13" s="120" customFormat="1" x14ac:dyDescent="0.25">
      <c r="A1354" s="119"/>
      <c r="B1354" s="138" t="str">
        <f t="shared" si="71"/>
        <v>Windrow</v>
      </c>
      <c r="C1354" s="138" t="str">
        <f t="shared" si="72"/>
        <v>Base_With Amendment</v>
      </c>
      <c r="D1354" s="118" t="s">
        <v>133</v>
      </c>
      <c r="E1354" s="118" t="s">
        <v>180</v>
      </c>
      <c r="F1354" s="118" t="s">
        <v>46</v>
      </c>
      <c r="G1354" s="153"/>
      <c r="H1354" s="155">
        <v>0.31979999999999997</v>
      </c>
      <c r="I1354" s="154" t="s">
        <v>55</v>
      </c>
      <c r="J1354" s="203">
        <v>0.16822000000000001</v>
      </c>
      <c r="K1354" s="154" t="s">
        <v>23</v>
      </c>
      <c r="L1354" s="154" t="str">
        <f>IF(OpenLCAbasic!K1354="CTUh", "Fill in Manually",IF(OR(K1354="Unit", K1354=""), "", INDEX(LookUps!$E$5:$E$12, MATCH(OpenLCAbasic!K1354,LookUps!$D$5:$D$12,0))))</f>
        <v>Global Warming Potential (GWP) - kg CO2 eq</v>
      </c>
      <c r="M1354" s="154" t="str">
        <f t="shared" si="73"/>
        <v>Low_Base_Low_Upgraded_Global Warming Potential (GWP) - kg CO2 eq_Aeration Tanks; wastewater treatment unit; at updated plant - US_Base_With Amendment_Windrow</v>
      </c>
    </row>
    <row r="1355" spans="1:13" s="120" customFormat="1" x14ac:dyDescent="0.25">
      <c r="A1355" s="119"/>
      <c r="B1355" s="138" t="str">
        <f t="shared" si="71"/>
        <v>Windrow</v>
      </c>
      <c r="C1355" s="138" t="str">
        <f t="shared" si="72"/>
        <v>Base_With Amendment</v>
      </c>
      <c r="D1355" s="118" t="s">
        <v>133</v>
      </c>
      <c r="E1355" s="118" t="s">
        <v>180</v>
      </c>
      <c r="F1355" s="118" t="s">
        <v>46</v>
      </c>
      <c r="G1355" s="153"/>
      <c r="H1355" s="155">
        <v>0.19900000000000001</v>
      </c>
      <c r="I1355" s="154" t="s">
        <v>271</v>
      </c>
      <c r="J1355" s="203">
        <v>0.10465000000000001</v>
      </c>
      <c r="K1355" s="154" t="s">
        <v>23</v>
      </c>
      <c r="L1355" s="154" t="str">
        <f>IF(OpenLCAbasic!K1355="CTUh", "Fill in Manually",IF(OR(K1355="Unit", K1355=""), "", INDEX(LookUps!$E$5:$E$12, MATCH(OpenLCAbasic!K1355,LookUps!$D$5:$D$12,0))))</f>
        <v>Global Warming Potential (GWP) - kg CO2 eq</v>
      </c>
      <c r="M1355" s="154" t="str">
        <f t="shared" si="73"/>
        <v>Low_Base_Low_Upgraded_Global Warming Potential (GWP) - kg CO2 eq_Biosolids composting; windrow composting; wastewater treatment unit; at updated plant - US_Base_With Amendment_Windrow</v>
      </c>
    </row>
    <row r="1356" spans="1:13" s="120" customFormat="1" x14ac:dyDescent="0.25">
      <c r="A1356" s="119"/>
      <c r="B1356" s="138" t="str">
        <f t="shared" si="71"/>
        <v>Windrow</v>
      </c>
      <c r="C1356" s="138" t="str">
        <f t="shared" si="72"/>
        <v>Base_With Amendment</v>
      </c>
      <c r="D1356" s="118" t="s">
        <v>133</v>
      </c>
      <c r="E1356" s="118" t="s">
        <v>180</v>
      </c>
      <c r="F1356" s="118" t="s">
        <v>46</v>
      </c>
      <c r="G1356" s="153"/>
      <c r="H1356" s="155">
        <v>0.19470000000000001</v>
      </c>
      <c r="I1356" s="154" t="s">
        <v>167</v>
      </c>
      <c r="J1356" s="203">
        <v>0.10241</v>
      </c>
      <c r="K1356" s="154" t="s">
        <v>23</v>
      </c>
      <c r="L1356" s="154" t="str">
        <f>IF(OpenLCAbasic!K1356="CTUh", "Fill in Manually",IF(OR(K1356="Unit", K1356=""), "", INDEX(LookUps!$E$5:$E$12, MATCH(OpenLCAbasic!K1356,LookUps!$D$5:$D$12,0))))</f>
        <v>Global Warming Potential (GWP) - kg CO2 eq</v>
      </c>
      <c r="M1356" s="154" t="str">
        <f t="shared" si="73"/>
        <v>Low_Base_Low_Upgraded_Global Warming Potential (GWP) - kg CO2 eq_Waste Receiving and Holding; wastewater treatment unit; at updated plant - US_Base_With Amendment_Windrow</v>
      </c>
    </row>
    <row r="1357" spans="1:13" s="120" customFormat="1" x14ac:dyDescent="0.25">
      <c r="A1357" s="119"/>
      <c r="B1357" s="138" t="str">
        <f t="shared" si="71"/>
        <v>Windrow</v>
      </c>
      <c r="C1357" s="138" t="str">
        <f t="shared" si="72"/>
        <v>Base_With Amendment</v>
      </c>
      <c r="D1357" s="118" t="s">
        <v>133</v>
      </c>
      <c r="E1357" s="118" t="s">
        <v>180</v>
      </c>
      <c r="F1357" s="118" t="s">
        <v>46</v>
      </c>
      <c r="G1357" s="153"/>
      <c r="H1357" s="155">
        <v>0.1085</v>
      </c>
      <c r="I1357" s="154" t="s">
        <v>54</v>
      </c>
      <c r="J1357" s="203">
        <v>5.7079999999999999E-2</v>
      </c>
      <c r="K1357" s="154" t="s">
        <v>23</v>
      </c>
      <c r="L1357" s="154" t="str">
        <f>IF(OpenLCAbasic!K1357="CTUh", "Fill in Manually",IF(OR(K1357="Unit", K1357=""), "", INDEX(LookUps!$E$5:$E$12, MATCH(OpenLCAbasic!K1357,LookUps!$D$5:$D$12,0))))</f>
        <v>Global Warming Potential (GWP) - kg CO2 eq</v>
      </c>
      <c r="M1357" s="154" t="str">
        <f t="shared" si="73"/>
        <v>Low_Base_Low_Upgraded_Global Warming Potential (GWP) - kg CO2 eq_Clear Cove Primary Clarification; wastewater treatment unit; at updated plant - US_Base_With Amendment_Windrow</v>
      </c>
    </row>
    <row r="1358" spans="1:13" s="120" customFormat="1" x14ac:dyDescent="0.25">
      <c r="A1358" s="119"/>
      <c r="B1358" s="138" t="str">
        <f t="shared" si="71"/>
        <v>Windrow</v>
      </c>
      <c r="C1358" s="138" t="str">
        <f t="shared" si="72"/>
        <v>Base_With Amendment</v>
      </c>
      <c r="D1358" s="118" t="s">
        <v>133</v>
      </c>
      <c r="E1358" s="118" t="s">
        <v>180</v>
      </c>
      <c r="F1358" s="118" t="s">
        <v>46</v>
      </c>
      <c r="G1358" s="153"/>
      <c r="H1358" s="155">
        <v>0.10009999999999999</v>
      </c>
      <c r="I1358" s="154" t="s">
        <v>48</v>
      </c>
      <c r="J1358" s="203">
        <v>5.2639999999999999E-2</v>
      </c>
      <c r="K1358" s="154" t="s">
        <v>23</v>
      </c>
      <c r="L1358" s="154" t="str">
        <f>IF(OpenLCAbasic!K1358="CTUh", "Fill in Manually",IF(OR(K1358="Unit", K1358=""), "", INDEX(LookUps!$E$5:$E$12, MATCH(OpenLCAbasic!K1358,LookUps!$D$5:$D$12,0))))</f>
        <v>Global Warming Potential (GWP) - kg CO2 eq</v>
      </c>
      <c r="M1358" s="154" t="str">
        <f t="shared" si="73"/>
        <v>Low_Base_Low_Upgraded_Global Warming Potential (GWP) - kg CO2 eq_Effluent release; wastewater treatment unit; at surface water; m3 wastewater - US_Base_With Amendment_Windrow</v>
      </c>
    </row>
    <row r="1359" spans="1:13" s="120" customFormat="1" x14ac:dyDescent="0.25">
      <c r="A1359" s="119"/>
      <c r="B1359" s="138" t="str">
        <f t="shared" si="71"/>
        <v>Windrow</v>
      </c>
      <c r="C1359" s="138" t="str">
        <f t="shared" si="72"/>
        <v>Base_With Amendment</v>
      </c>
      <c r="D1359" s="118" t="s">
        <v>133</v>
      </c>
      <c r="E1359" s="118" t="s">
        <v>180</v>
      </c>
      <c r="F1359" s="118" t="s">
        <v>46</v>
      </c>
      <c r="G1359" s="153"/>
      <c r="H1359" s="155">
        <v>9.6000000000000002E-2</v>
      </c>
      <c r="I1359" s="154" t="s">
        <v>147</v>
      </c>
      <c r="J1359" s="203">
        <v>5.0500000000000003E-2</v>
      </c>
      <c r="K1359" s="154" t="s">
        <v>23</v>
      </c>
      <c r="L1359" s="154" t="str">
        <f>IF(OpenLCAbasic!K1359="CTUh", "Fill in Manually",IF(OR(K1359="Unit", K1359=""), "", INDEX(LookUps!$E$5:$E$12, MATCH(OpenLCAbasic!K1359,LookUps!$D$5:$D$12,0))))</f>
        <v>Global Warming Potential (GWP) - kg CO2 eq</v>
      </c>
      <c r="M1359" s="154" t="str">
        <f t="shared" si="73"/>
        <v>Low_Base_Low_Upgraded_Global Warming Potential (GWP) - kg CO2 eq_Influent Pump Station; wastewater treatment unit; at updated plant - US_Base_With Amendment_Windrow</v>
      </c>
    </row>
    <row r="1360" spans="1:13" s="120" customFormat="1" x14ac:dyDescent="0.25">
      <c r="A1360" s="119"/>
      <c r="B1360" s="138" t="str">
        <f t="shared" si="71"/>
        <v>Windrow</v>
      </c>
      <c r="C1360" s="138" t="str">
        <f t="shared" si="72"/>
        <v>Base_With Amendment</v>
      </c>
      <c r="D1360" s="118" t="s">
        <v>133</v>
      </c>
      <c r="E1360" s="118" t="s">
        <v>180</v>
      </c>
      <c r="F1360" s="118" t="s">
        <v>46</v>
      </c>
      <c r="G1360" s="153"/>
      <c r="H1360" s="155">
        <v>6.3200000000000006E-2</v>
      </c>
      <c r="I1360" s="154" t="s">
        <v>53</v>
      </c>
      <c r="J1360" s="203">
        <v>3.3259999999999998E-2</v>
      </c>
      <c r="K1360" s="154" t="s">
        <v>23</v>
      </c>
      <c r="L1360" s="154" t="str">
        <f>IF(OpenLCAbasic!K1360="CTUh", "Fill in Manually",IF(OR(K1360="Unit", K1360=""), "", INDEX(LookUps!$E$5:$E$12, MATCH(OpenLCAbasic!K1360,LookUps!$D$5:$D$12,0))))</f>
        <v>Global Warming Potential (GWP) - kg CO2 eq</v>
      </c>
      <c r="M1360" s="154" t="str">
        <f t="shared" si="73"/>
        <v>Low_Base_Low_Upgraded_Global Warming Potential (GWP) - kg CO2 eq_Wet Well and Sump Station; wastewater treatment unit; at updated plant - US_Base_With Amendment_Windrow</v>
      </c>
    </row>
    <row r="1361" spans="1:13" s="120" customFormat="1" x14ac:dyDescent="0.25">
      <c r="A1361" s="119"/>
      <c r="B1361" s="138" t="str">
        <f t="shared" si="71"/>
        <v>Windrow</v>
      </c>
      <c r="C1361" s="138" t="str">
        <f t="shared" si="72"/>
        <v>Base_With Amendment</v>
      </c>
      <c r="D1361" s="118" t="s">
        <v>133</v>
      </c>
      <c r="E1361" s="118" t="s">
        <v>180</v>
      </c>
      <c r="F1361" s="118" t="s">
        <v>46</v>
      </c>
      <c r="G1361" s="153"/>
      <c r="H1361" s="155">
        <v>2.7699999999999999E-2</v>
      </c>
      <c r="I1361" s="154" t="s">
        <v>57</v>
      </c>
      <c r="J1361" s="203">
        <v>1.455E-2</v>
      </c>
      <c r="K1361" s="154" t="s">
        <v>23</v>
      </c>
      <c r="L1361" s="154" t="str">
        <f>IF(OpenLCAbasic!K1361="CTUh", "Fill in Manually",IF(OR(K1361="Unit", K1361=""), "", INDEX(LookUps!$E$5:$E$12, MATCH(OpenLCAbasic!K1361,LookUps!$D$5:$D$12,0))))</f>
        <v>Global Warming Potential (GWP) - kg CO2 eq</v>
      </c>
      <c r="M1361" s="154" t="str">
        <f t="shared" si="73"/>
        <v>Low_Base_Low_Upgraded_Global Warming Potential (GWP) - kg CO2 eq_Gravity Belt Thickener; wastewater treatment unit; at updated plant - US_Base_With Amendment_Windrow</v>
      </c>
    </row>
    <row r="1362" spans="1:13" s="120" customFormat="1" x14ac:dyDescent="0.25">
      <c r="A1362" s="119"/>
      <c r="B1362" s="138" t="str">
        <f t="shared" si="71"/>
        <v>Windrow</v>
      </c>
      <c r="C1362" s="138" t="str">
        <f t="shared" si="72"/>
        <v>Base_With Amendment</v>
      </c>
      <c r="D1362" s="118" t="s">
        <v>133</v>
      </c>
      <c r="E1362" s="118" t="s">
        <v>180</v>
      </c>
      <c r="F1362" s="118" t="s">
        <v>46</v>
      </c>
      <c r="G1362" s="153"/>
      <c r="H1362" s="155">
        <v>2.7E-2</v>
      </c>
      <c r="I1362" s="154" t="s">
        <v>60</v>
      </c>
      <c r="J1362" s="203">
        <v>1.418E-2</v>
      </c>
      <c r="K1362" s="154" t="s">
        <v>23</v>
      </c>
      <c r="L1362" s="154" t="str">
        <f>IF(OpenLCAbasic!K1362="CTUh", "Fill in Manually",IF(OR(K1362="Unit", K1362=""), "", INDEX(LookUps!$E$5:$E$12, MATCH(OpenLCAbasic!K1362,LookUps!$D$5:$D$12,0))))</f>
        <v>Global Warming Potential (GWP) - kg CO2 eq</v>
      </c>
      <c r="M1362" s="154" t="str">
        <f t="shared" si="73"/>
        <v>Low_Base_Low_Upgraded_Global Warming Potential (GWP) - kg CO2 eq_Belt filter press; wastewater treatment unit; at updated plant - US_Base_With Amendment_Windrow</v>
      </c>
    </row>
    <row r="1363" spans="1:13" s="120" customFormat="1" x14ac:dyDescent="0.25">
      <c r="A1363" s="119"/>
      <c r="B1363" s="138" t="str">
        <f t="shared" si="71"/>
        <v>Windrow</v>
      </c>
      <c r="C1363" s="138" t="str">
        <f t="shared" si="72"/>
        <v>Base_With Amendment</v>
      </c>
      <c r="D1363" s="118" t="s">
        <v>133</v>
      </c>
      <c r="E1363" s="118" t="s">
        <v>180</v>
      </c>
      <c r="F1363" s="118" t="s">
        <v>46</v>
      </c>
      <c r="G1363" s="153"/>
      <c r="H1363" s="155">
        <v>2.5700000000000001E-2</v>
      </c>
      <c r="I1363" s="154" t="s">
        <v>128</v>
      </c>
      <c r="J1363" s="203">
        <v>1.3509999999999999E-2</v>
      </c>
      <c r="K1363" s="154" t="s">
        <v>23</v>
      </c>
      <c r="L1363" s="154" t="str">
        <f>IF(OpenLCAbasic!K1363="CTUh", "Fill in Manually",IF(OR(K1363="Unit", K1363=""), "", INDEX(LookUps!$E$5:$E$12, MATCH(OpenLCAbasic!K1363,LookUps!$D$5:$D$12,0))))</f>
        <v>Global Warming Potential (GWP) - kg CO2 eq</v>
      </c>
      <c r="M1363" s="154" t="str">
        <f t="shared" si="73"/>
        <v>Low_Base_Low_Upgraded_Global Warming Potential (GWP) - kg CO2 eq_Wastewater collection; operation and infrastructure; m3 wastewater_Base_With Amendment_Windrow</v>
      </c>
    </row>
    <row r="1364" spans="1:13" s="120" customFormat="1" x14ac:dyDescent="0.25">
      <c r="A1364" s="119"/>
      <c r="B1364" s="138" t="str">
        <f t="shared" si="71"/>
        <v>Windrow</v>
      </c>
      <c r="C1364" s="138" t="str">
        <f t="shared" si="72"/>
        <v>Base_With Amendment</v>
      </c>
      <c r="D1364" s="118" t="s">
        <v>133</v>
      </c>
      <c r="E1364" s="118" t="s">
        <v>180</v>
      </c>
      <c r="F1364" s="118" t="s">
        <v>46</v>
      </c>
      <c r="G1364" s="153"/>
      <c r="H1364" s="155">
        <v>1.5800000000000002E-2</v>
      </c>
      <c r="I1364" s="154" t="s">
        <v>148</v>
      </c>
      <c r="J1364" s="204">
        <v>8.3000000000000001E-3</v>
      </c>
      <c r="K1364" s="154" t="s">
        <v>23</v>
      </c>
      <c r="L1364" s="154" t="str">
        <f>IF(OpenLCAbasic!K1364="CTUh", "Fill in Manually",IF(OR(K1364="Unit", K1364=""), "", INDEX(LookUps!$E$5:$E$12, MATCH(OpenLCAbasic!K1364,LookUps!$D$5:$D$12,0))))</f>
        <v>Global Warming Potential (GWP) - kg CO2 eq</v>
      </c>
      <c r="M1364" s="154" t="str">
        <f t="shared" si="73"/>
        <v>Low_Base_Low_Upgraded_Global Warming Potential (GWP) - kg CO2 eq_Control Building; at upgraded wastewater treatment plant - US_Base_With Amendment_Windrow</v>
      </c>
    </row>
    <row r="1365" spans="1:13" s="120" customFormat="1" x14ac:dyDescent="0.25">
      <c r="A1365" s="119"/>
      <c r="B1365" s="138" t="str">
        <f t="shared" si="71"/>
        <v>Windrow</v>
      </c>
      <c r="C1365" s="138" t="str">
        <f t="shared" si="72"/>
        <v>Base_With Amendment</v>
      </c>
      <c r="D1365" s="118" t="s">
        <v>133</v>
      </c>
      <c r="E1365" s="118" t="s">
        <v>180</v>
      </c>
      <c r="F1365" s="118" t="s">
        <v>46</v>
      </c>
      <c r="G1365" s="153"/>
      <c r="H1365" s="155">
        <v>9.5999999999999992E-3</v>
      </c>
      <c r="I1365" s="154" t="s">
        <v>59</v>
      </c>
      <c r="J1365" s="204">
        <v>5.0400000000000002E-3</v>
      </c>
      <c r="K1365" s="154" t="s">
        <v>23</v>
      </c>
      <c r="L1365" s="154" t="str">
        <f>IF(OpenLCAbasic!K1365="CTUh", "Fill in Manually",IF(OR(K1365="Unit", K1365=""), "", INDEX(LookUps!$E$5:$E$12, MATCH(OpenLCAbasic!K1365,LookUps!$D$5:$D$12,0))))</f>
        <v>Global Warming Potential (GWP) - kg CO2 eq</v>
      </c>
      <c r="M1365" s="154" t="str">
        <f t="shared" si="73"/>
        <v>Low_Base_Low_Upgraded_Global Warming Potential (GWP) - kg CO2 eq_Blend Tank; wastewater treatment unit; at updated plant - US_Base_With Amendment_Windrow</v>
      </c>
    </row>
    <row r="1366" spans="1:13" s="120" customFormat="1" x14ac:dyDescent="0.25">
      <c r="A1366" s="119"/>
      <c r="B1366" s="138" t="str">
        <f t="shared" si="71"/>
        <v>Windrow</v>
      </c>
      <c r="C1366" s="138" t="str">
        <f t="shared" si="72"/>
        <v>Base_With Amendment</v>
      </c>
      <c r="D1366" s="118" t="s">
        <v>133</v>
      </c>
      <c r="E1366" s="118" t="s">
        <v>180</v>
      </c>
      <c r="F1366" s="118" t="s">
        <v>46</v>
      </c>
      <c r="G1366" s="153"/>
      <c r="H1366" s="155">
        <v>4.5999999999999999E-3</v>
      </c>
      <c r="I1366" s="154" t="s">
        <v>168</v>
      </c>
      <c r="J1366" s="204">
        <v>2.4099999999999998E-3</v>
      </c>
      <c r="K1366" s="154" t="s">
        <v>23</v>
      </c>
      <c r="L1366" s="154" t="str">
        <f>IF(OpenLCAbasic!K1366="CTUh", "Fill in Manually",IF(OR(K1366="Unit", K1366=""), "", INDEX(LookUps!$E$5:$E$12, MATCH(OpenLCAbasic!K1366,LookUps!$D$5:$D$12,0))))</f>
        <v>Global Warming Potential (GWP) - kg CO2 eq</v>
      </c>
      <c r="M1366" s="154" t="str">
        <f t="shared" si="73"/>
        <v>Low_Base_Low_Upgraded_Global Warming Potential (GWP) - kg CO2 eq_ClearCove SCP; wastewater treatment unit; at updated plant - US_Base_With Amendment_Windrow</v>
      </c>
    </row>
    <row r="1367" spans="1:13" s="120" customFormat="1" x14ac:dyDescent="0.25">
      <c r="A1367" s="119"/>
      <c r="B1367" s="138" t="str">
        <f t="shared" si="71"/>
        <v>Windrow</v>
      </c>
      <c r="C1367" s="138" t="str">
        <f t="shared" si="72"/>
        <v>Base_With Amendment</v>
      </c>
      <c r="D1367" s="118" t="s">
        <v>133</v>
      </c>
      <c r="E1367" s="118" t="s">
        <v>180</v>
      </c>
      <c r="F1367" s="118" t="s">
        <v>46</v>
      </c>
      <c r="G1367" s="153"/>
      <c r="H1367" s="155">
        <v>-0.98660000000000003</v>
      </c>
      <c r="I1367" s="154" t="s">
        <v>62</v>
      </c>
      <c r="J1367" s="204">
        <v>-0.51898999999999995</v>
      </c>
      <c r="K1367" s="154" t="s">
        <v>23</v>
      </c>
      <c r="L1367" s="154" t="str">
        <f>IF(OpenLCAbasic!K1367="CTUh", "Fill in Manually",IF(OR(K1367="Unit", K1367=""), "", INDEX(LookUps!$E$5:$E$12, MATCH(OpenLCAbasic!K1367,LookUps!$D$5:$D$12,0))))</f>
        <v>Global Warming Potential (GWP) - kg CO2 eq</v>
      </c>
      <c r="M1367" s="154" t="str">
        <f t="shared" si="73"/>
        <v>Low_Base_Low_Upgraded_Global Warming Potential (GWP) - kg CO2 eq_Land application of compost; wastewater treatment unit; at updated plant - US_Base_With Amendment_Windrow</v>
      </c>
    </row>
    <row r="1368" spans="1:13" s="120" customFormat="1" x14ac:dyDescent="0.25">
      <c r="A1368" s="119"/>
      <c r="B1368" s="138" t="str">
        <f t="shared" si="71"/>
        <v>Windrow</v>
      </c>
      <c r="C1368" s="138" t="str">
        <f t="shared" si="72"/>
        <v>Base_With Amendment</v>
      </c>
      <c r="D1368" s="118" t="s">
        <v>133</v>
      </c>
      <c r="E1368" s="118" t="s">
        <v>180</v>
      </c>
      <c r="F1368" s="118" t="s">
        <v>46</v>
      </c>
      <c r="G1368" s="153" t="s">
        <v>51</v>
      </c>
      <c r="H1368" s="154"/>
      <c r="I1368" s="154" t="s">
        <v>47</v>
      </c>
      <c r="J1368" s="154" t="s">
        <v>52</v>
      </c>
      <c r="K1368" s="154" t="s">
        <v>27</v>
      </c>
      <c r="L1368" s="154" t="str">
        <f>IF(OpenLCAbasic!K1368="CTUh", "Fill in Manually",IF(OR(K1368="Unit", K1368=""), "", INDEX(LookUps!$E$5:$E$12, MATCH(OpenLCAbasic!K1368,LookUps!$D$5:$D$12,0))))</f>
        <v/>
      </c>
      <c r="M1368" s="154" t="str">
        <f t="shared" si="73"/>
        <v>Low_Base_Low_Upgraded__Process_Base_With Amendment_Windrow</v>
      </c>
    </row>
    <row r="1369" spans="1:13" s="120" customFormat="1" x14ac:dyDescent="0.25">
      <c r="A1369" s="119"/>
      <c r="B1369" s="138" t="str">
        <f t="shared" si="71"/>
        <v>Windrow</v>
      </c>
      <c r="C1369" s="138" t="str">
        <f t="shared" si="72"/>
        <v>Base_With Amendment</v>
      </c>
      <c r="D1369" s="118" t="s">
        <v>133</v>
      </c>
      <c r="E1369" s="118" t="s">
        <v>180</v>
      </c>
      <c r="F1369" s="118" t="s">
        <v>46</v>
      </c>
      <c r="G1369" s="153"/>
      <c r="H1369" s="155">
        <v>0.73709999999999998</v>
      </c>
      <c r="I1369" s="154" t="s">
        <v>48</v>
      </c>
      <c r="J1369" s="203">
        <v>1.1610000000000001E-2</v>
      </c>
      <c r="K1369" s="154" t="s">
        <v>13</v>
      </c>
      <c r="L1369" s="154" t="str">
        <f>IF(OpenLCAbasic!K1369="CTUh", "Fill in Manually",IF(OR(K1369="Unit", K1369=""), "", INDEX(LookUps!$E$5:$E$12, MATCH(OpenLCAbasic!K1369,LookUps!$D$5:$D$12,0))))</f>
        <v>Eutrophication Potential (EP) - kg N eq</v>
      </c>
      <c r="M1369" s="154" t="str">
        <f t="shared" si="73"/>
        <v>Low_Base_Low_Upgraded_Eutrophication Potential (EP) - kg N eq_Effluent release; wastewater treatment unit; at surface water; m3 wastewater - US_Base_With Amendment_Windrow</v>
      </c>
    </row>
    <row r="1370" spans="1:13" s="120" customFormat="1" x14ac:dyDescent="0.25">
      <c r="A1370" s="119"/>
      <c r="B1370" s="138" t="str">
        <f t="shared" si="71"/>
        <v>Windrow</v>
      </c>
      <c r="C1370" s="138" t="str">
        <f t="shared" si="72"/>
        <v>Base_With Amendment</v>
      </c>
      <c r="D1370" s="118" t="s">
        <v>133</v>
      </c>
      <c r="E1370" s="118" t="s">
        <v>180</v>
      </c>
      <c r="F1370" s="118" t="s">
        <v>46</v>
      </c>
      <c r="G1370" s="153"/>
      <c r="H1370" s="155">
        <v>0.14990000000000001</v>
      </c>
      <c r="I1370" s="154" t="s">
        <v>62</v>
      </c>
      <c r="J1370" s="204">
        <v>2.3600000000000001E-3</v>
      </c>
      <c r="K1370" s="154" t="s">
        <v>13</v>
      </c>
      <c r="L1370" s="154" t="str">
        <f>IF(OpenLCAbasic!K1370="CTUh", "Fill in Manually",IF(OR(K1370="Unit", K1370=""), "", INDEX(LookUps!$E$5:$E$12, MATCH(OpenLCAbasic!K1370,LookUps!$D$5:$D$12,0))))</f>
        <v>Eutrophication Potential (EP) - kg N eq</v>
      </c>
      <c r="M1370" s="154" t="str">
        <f t="shared" si="73"/>
        <v>Low_Base_Low_Upgraded_Eutrophication Potential (EP) - kg N eq_Land application of compost; wastewater treatment unit; at updated plant - US_Base_With Amendment_Windrow</v>
      </c>
    </row>
    <row r="1371" spans="1:13" s="120" customFormat="1" x14ac:dyDescent="0.25">
      <c r="A1371" s="119"/>
      <c r="B1371" s="138" t="str">
        <f t="shared" si="71"/>
        <v>Windrow</v>
      </c>
      <c r="C1371" s="138" t="str">
        <f t="shared" si="72"/>
        <v>Base_With Amendment</v>
      </c>
      <c r="D1371" s="118" t="s">
        <v>133</v>
      </c>
      <c r="E1371" s="118" t="s">
        <v>180</v>
      </c>
      <c r="F1371" s="118" t="s">
        <v>46</v>
      </c>
      <c r="G1371" s="153"/>
      <c r="H1371" s="155">
        <v>3.4700000000000002E-2</v>
      </c>
      <c r="I1371" s="154" t="s">
        <v>55</v>
      </c>
      <c r="J1371" s="204">
        <v>5.5000000000000003E-4</v>
      </c>
      <c r="K1371" s="154" t="s">
        <v>13</v>
      </c>
      <c r="L1371" s="154" t="str">
        <f>IF(OpenLCAbasic!K1371="CTUh", "Fill in Manually",IF(OR(K1371="Unit", K1371=""), "", INDEX(LookUps!$E$5:$E$12, MATCH(OpenLCAbasic!K1371,LookUps!$D$5:$D$12,0))))</f>
        <v>Eutrophication Potential (EP) - kg N eq</v>
      </c>
      <c r="M1371" s="154" t="str">
        <f t="shared" si="73"/>
        <v>Low_Base_Low_Upgraded_Eutrophication Potential (EP) - kg N eq_Aeration Tanks; wastewater treatment unit; at updated plant - US_Base_With Amendment_Windrow</v>
      </c>
    </row>
    <row r="1372" spans="1:13" s="120" customFormat="1" x14ac:dyDescent="0.25">
      <c r="A1372" s="119"/>
      <c r="B1372" s="138" t="str">
        <f t="shared" si="71"/>
        <v>Windrow</v>
      </c>
      <c r="C1372" s="138" t="str">
        <f t="shared" si="72"/>
        <v>Base_With Amendment</v>
      </c>
      <c r="D1372" s="118" t="s">
        <v>133</v>
      </c>
      <c r="E1372" s="118" t="s">
        <v>180</v>
      </c>
      <c r="F1372" s="118" t="s">
        <v>46</v>
      </c>
      <c r="G1372" s="153"/>
      <c r="H1372" s="155">
        <v>1.5900000000000001E-2</v>
      </c>
      <c r="I1372" s="154" t="s">
        <v>147</v>
      </c>
      <c r="J1372" s="204">
        <v>2.5000000000000001E-4</v>
      </c>
      <c r="K1372" s="154" t="s">
        <v>13</v>
      </c>
      <c r="L1372" s="154" t="str">
        <f>IF(OpenLCAbasic!K1372="CTUh", "Fill in Manually",IF(OR(K1372="Unit", K1372=""), "", INDEX(LookUps!$E$5:$E$12, MATCH(OpenLCAbasic!K1372,LookUps!$D$5:$D$12,0))))</f>
        <v>Eutrophication Potential (EP) - kg N eq</v>
      </c>
      <c r="M1372" s="154" t="str">
        <f t="shared" si="73"/>
        <v>Low_Base_Low_Upgraded_Eutrophication Potential (EP) - kg N eq_Influent Pump Station; wastewater treatment unit; at updated plant - US_Base_With Amendment_Windrow</v>
      </c>
    </row>
    <row r="1373" spans="1:13" s="120" customFormat="1" x14ac:dyDescent="0.25">
      <c r="A1373" s="119"/>
      <c r="B1373" s="138" t="str">
        <f t="shared" si="71"/>
        <v>Windrow</v>
      </c>
      <c r="C1373" s="138" t="str">
        <f t="shared" si="72"/>
        <v>Base_With Amendment</v>
      </c>
      <c r="D1373" s="118" t="s">
        <v>133</v>
      </c>
      <c r="E1373" s="118" t="s">
        <v>180</v>
      </c>
      <c r="F1373" s="118" t="s">
        <v>46</v>
      </c>
      <c r="G1373" s="153"/>
      <c r="H1373" s="155">
        <v>1.26E-2</v>
      </c>
      <c r="I1373" s="154" t="s">
        <v>54</v>
      </c>
      <c r="J1373" s="204">
        <v>2.0000000000000001E-4</v>
      </c>
      <c r="K1373" s="154" t="s">
        <v>13</v>
      </c>
      <c r="L1373" s="154" t="str">
        <f>IF(OpenLCAbasic!K1373="CTUh", "Fill in Manually",IF(OR(K1373="Unit", K1373=""), "", INDEX(LookUps!$E$5:$E$12, MATCH(OpenLCAbasic!K1373,LookUps!$D$5:$D$12,0))))</f>
        <v>Eutrophication Potential (EP) - kg N eq</v>
      </c>
      <c r="M1373" s="154" t="str">
        <f t="shared" si="73"/>
        <v>Low_Base_Low_Upgraded_Eutrophication Potential (EP) - kg N eq_Clear Cove Primary Clarification; wastewater treatment unit; at updated plant - US_Base_With Amendment_Windrow</v>
      </c>
    </row>
    <row r="1374" spans="1:13" s="120" customFormat="1" x14ac:dyDescent="0.25">
      <c r="A1374" s="119"/>
      <c r="B1374" s="138" t="str">
        <f t="shared" si="71"/>
        <v>Windrow</v>
      </c>
      <c r="C1374" s="138" t="str">
        <f t="shared" si="72"/>
        <v>Base_With Amendment</v>
      </c>
      <c r="D1374" s="118" t="s">
        <v>133</v>
      </c>
      <c r="E1374" s="118" t="s">
        <v>180</v>
      </c>
      <c r="F1374" s="118" t="s">
        <v>46</v>
      </c>
      <c r="G1374" s="153"/>
      <c r="H1374" s="155">
        <v>1.04E-2</v>
      </c>
      <c r="I1374" s="154" t="s">
        <v>167</v>
      </c>
      <c r="J1374" s="204">
        <v>1.6000000000000001E-4</v>
      </c>
      <c r="K1374" s="154" t="s">
        <v>13</v>
      </c>
      <c r="L1374" s="154" t="str">
        <f>IF(OpenLCAbasic!K1374="CTUh", "Fill in Manually",IF(OR(K1374="Unit", K1374=""), "", INDEX(LookUps!$E$5:$E$12, MATCH(OpenLCAbasic!K1374,LookUps!$D$5:$D$12,0))))</f>
        <v>Eutrophication Potential (EP) - kg N eq</v>
      </c>
      <c r="M1374" s="154" t="str">
        <f t="shared" si="73"/>
        <v>Low_Base_Low_Upgraded_Eutrophication Potential (EP) - kg N eq_Waste Receiving and Holding; wastewater treatment unit; at updated plant - US_Base_With Amendment_Windrow</v>
      </c>
    </row>
    <row r="1375" spans="1:13" s="120" customFormat="1" x14ac:dyDescent="0.25">
      <c r="A1375" s="119"/>
      <c r="B1375" s="138" t="str">
        <f t="shared" si="71"/>
        <v>Windrow</v>
      </c>
      <c r="C1375" s="138" t="str">
        <f t="shared" si="72"/>
        <v>Base_With Amendment</v>
      </c>
      <c r="D1375" s="118" t="s">
        <v>133</v>
      </c>
      <c r="E1375" s="118" t="s">
        <v>180</v>
      </c>
      <c r="F1375" s="118" t="s">
        <v>46</v>
      </c>
      <c r="G1375" s="153"/>
      <c r="H1375" s="155">
        <v>8.6E-3</v>
      </c>
      <c r="I1375" s="154" t="s">
        <v>58</v>
      </c>
      <c r="J1375" s="204">
        <v>1.3999999999999999E-4</v>
      </c>
      <c r="K1375" s="154" t="s">
        <v>13</v>
      </c>
      <c r="L1375" s="154" t="str">
        <f>IF(OpenLCAbasic!K1375="CTUh", "Fill in Manually",IF(OR(K1375="Unit", K1375=""), "", INDEX(LookUps!$E$5:$E$12, MATCH(OpenLCAbasic!K1375,LookUps!$D$5:$D$12,0))))</f>
        <v>Eutrophication Potential (EP) - kg N eq</v>
      </c>
      <c r="M1375" s="154" t="str">
        <f t="shared" si="73"/>
        <v>Low_Base_Low_Upgraded_Eutrophication Potential (EP) - kg N eq_Pre-Anoxic &amp; Swing tank; wastewater treatment unit; at updated plant - US_Base_With Amendment_Windrow</v>
      </c>
    </row>
    <row r="1376" spans="1:13" s="120" customFormat="1" x14ac:dyDescent="0.25">
      <c r="A1376" s="119"/>
      <c r="B1376" s="138" t="str">
        <f t="shared" si="71"/>
        <v>Windrow</v>
      </c>
      <c r="C1376" s="138" t="str">
        <f t="shared" si="72"/>
        <v>Base_With Amendment</v>
      </c>
      <c r="D1376" s="118" t="s">
        <v>133</v>
      </c>
      <c r="E1376" s="118" t="s">
        <v>180</v>
      </c>
      <c r="F1376" s="118" t="s">
        <v>46</v>
      </c>
      <c r="G1376" s="153"/>
      <c r="H1376" s="155">
        <v>6.7999999999999996E-3</v>
      </c>
      <c r="I1376" s="154" t="s">
        <v>53</v>
      </c>
      <c r="J1376" s="204">
        <v>1.1E-4</v>
      </c>
      <c r="K1376" s="154" t="s">
        <v>13</v>
      </c>
      <c r="L1376" s="154" t="str">
        <f>IF(OpenLCAbasic!K1376="CTUh", "Fill in Manually",IF(OR(K1376="Unit", K1376=""), "", INDEX(LookUps!$E$5:$E$12, MATCH(OpenLCAbasic!K1376,LookUps!$D$5:$D$12,0))))</f>
        <v>Eutrophication Potential (EP) - kg N eq</v>
      </c>
      <c r="M1376" s="154" t="str">
        <f t="shared" si="73"/>
        <v>Low_Base_Low_Upgraded_Eutrophication Potential (EP) - kg N eq_Wet Well and Sump Station; wastewater treatment unit; at updated plant - US_Base_With Amendment_Windrow</v>
      </c>
    </row>
    <row r="1377" spans="1:13" s="120" customFormat="1" x14ac:dyDescent="0.25">
      <c r="A1377" s="119"/>
      <c r="B1377" s="138" t="str">
        <f t="shared" si="71"/>
        <v>Windrow</v>
      </c>
      <c r="C1377" s="138" t="str">
        <f t="shared" si="72"/>
        <v>Base_With Amendment</v>
      </c>
      <c r="D1377" s="118" t="s">
        <v>133</v>
      </c>
      <c r="E1377" s="118" t="s">
        <v>180</v>
      </c>
      <c r="F1377" s="118" t="s">
        <v>46</v>
      </c>
      <c r="G1377" s="153"/>
      <c r="H1377" s="155">
        <v>5.7999999999999996E-3</v>
      </c>
      <c r="I1377" s="154" t="s">
        <v>149</v>
      </c>
      <c r="J1377" s="204">
        <v>9.1798299999999998E-5</v>
      </c>
      <c r="K1377" s="154" t="s">
        <v>13</v>
      </c>
      <c r="L1377" s="154" t="str">
        <f>IF(OpenLCAbasic!K1377="CTUh", "Fill in Manually",IF(OR(K1377="Unit", K1377=""), "", INDEX(LookUps!$E$5:$E$12, MATCH(OpenLCAbasic!K1377,LookUps!$D$5:$D$12,0))))</f>
        <v>Eutrophication Potential (EP) - kg N eq</v>
      </c>
      <c r="M1377" s="154" t="str">
        <f t="shared" si="73"/>
        <v>Low_Base_Low_Upgraded_Eutrophication Potential (EP) - kg N eq_Anaerobic Digestion; wastewater treatment unit; at updated plant - US_Base_With Amendment_Windrow</v>
      </c>
    </row>
    <row r="1378" spans="1:13" s="120" customFormat="1" x14ac:dyDescent="0.25">
      <c r="A1378" s="119"/>
      <c r="B1378" s="138" t="str">
        <f t="shared" si="71"/>
        <v>Windrow</v>
      </c>
      <c r="C1378" s="138" t="str">
        <f t="shared" si="72"/>
        <v>Base_With Amendment</v>
      </c>
      <c r="D1378" s="118" t="s">
        <v>133</v>
      </c>
      <c r="E1378" s="118" t="s">
        <v>180</v>
      </c>
      <c r="F1378" s="118" t="s">
        <v>46</v>
      </c>
      <c r="G1378" s="153"/>
      <c r="H1378" s="155">
        <v>4.4999999999999997E-3</v>
      </c>
      <c r="I1378" s="154" t="s">
        <v>271</v>
      </c>
      <c r="J1378" s="204">
        <v>7.0486600000000004E-5</v>
      </c>
      <c r="K1378" s="154" t="s">
        <v>13</v>
      </c>
      <c r="L1378" s="154" t="str">
        <f>IF(OpenLCAbasic!K1378="CTUh", "Fill in Manually",IF(OR(K1378="Unit", K1378=""), "", INDEX(LookUps!$E$5:$E$12, MATCH(OpenLCAbasic!K1378,LookUps!$D$5:$D$12,0))))</f>
        <v>Eutrophication Potential (EP) - kg N eq</v>
      </c>
      <c r="M1378" s="154" t="str">
        <f t="shared" si="73"/>
        <v>Low_Base_Low_Upgraded_Eutrophication Potential (EP) - kg N eq_Biosolids composting; windrow composting; wastewater treatment unit; at updated plant - US_Base_With Amendment_Windrow</v>
      </c>
    </row>
    <row r="1379" spans="1:13" s="120" customFormat="1" x14ac:dyDescent="0.25">
      <c r="A1379" s="119"/>
      <c r="B1379" s="138" t="str">
        <f t="shared" si="71"/>
        <v>Windrow</v>
      </c>
      <c r="C1379" s="138" t="str">
        <f t="shared" si="72"/>
        <v>Base_With Amendment</v>
      </c>
      <c r="D1379" s="118" t="s">
        <v>133</v>
      </c>
      <c r="E1379" s="118" t="s">
        <v>180</v>
      </c>
      <c r="F1379" s="118" t="s">
        <v>46</v>
      </c>
      <c r="G1379" s="153"/>
      <c r="H1379" s="155">
        <v>3.8E-3</v>
      </c>
      <c r="I1379" s="154" t="s">
        <v>57</v>
      </c>
      <c r="J1379" s="204">
        <v>6.0590300000000002E-5</v>
      </c>
      <c r="K1379" s="154" t="s">
        <v>13</v>
      </c>
      <c r="L1379" s="154" t="str">
        <f>IF(OpenLCAbasic!K1379="CTUh", "Fill in Manually",IF(OR(K1379="Unit", K1379=""), "", INDEX(LookUps!$E$5:$E$12, MATCH(OpenLCAbasic!K1379,LookUps!$D$5:$D$12,0))))</f>
        <v>Eutrophication Potential (EP) - kg N eq</v>
      </c>
      <c r="M1379" s="154" t="str">
        <f t="shared" si="73"/>
        <v>Low_Base_Low_Upgraded_Eutrophication Potential (EP) - kg N eq_Gravity Belt Thickener; wastewater treatment unit; at updated plant - US_Base_With Amendment_Windrow</v>
      </c>
    </row>
    <row r="1380" spans="1:13" s="120" customFormat="1" x14ac:dyDescent="0.25">
      <c r="A1380" s="119"/>
      <c r="B1380" s="138" t="str">
        <f t="shared" si="71"/>
        <v>Windrow</v>
      </c>
      <c r="C1380" s="138" t="str">
        <f t="shared" si="72"/>
        <v>Base_With Amendment</v>
      </c>
      <c r="D1380" s="118" t="s">
        <v>133</v>
      </c>
      <c r="E1380" s="118" t="s">
        <v>180</v>
      </c>
      <c r="F1380" s="118" t="s">
        <v>46</v>
      </c>
      <c r="G1380" s="153"/>
      <c r="H1380" s="155">
        <v>3.5999999999999999E-3</v>
      </c>
      <c r="I1380" s="154" t="s">
        <v>60</v>
      </c>
      <c r="J1380" s="204">
        <v>5.62289E-5</v>
      </c>
      <c r="K1380" s="154" t="s">
        <v>13</v>
      </c>
      <c r="L1380" s="154" t="str">
        <f>IF(OpenLCAbasic!K1380="CTUh", "Fill in Manually",IF(OR(K1380="Unit", K1380=""), "", INDEX(LookUps!$E$5:$E$12, MATCH(OpenLCAbasic!K1380,LookUps!$D$5:$D$12,0))))</f>
        <v>Eutrophication Potential (EP) - kg N eq</v>
      </c>
      <c r="M1380" s="154" t="str">
        <f t="shared" si="73"/>
        <v>Low_Base_Low_Upgraded_Eutrophication Potential (EP) - kg N eq_Belt filter press; wastewater treatment unit; at updated plant - US_Base_With Amendment_Windrow</v>
      </c>
    </row>
    <row r="1381" spans="1:13" s="120" customFormat="1" x14ac:dyDescent="0.25">
      <c r="A1381" s="119"/>
      <c r="B1381" s="138" t="str">
        <f t="shared" si="71"/>
        <v>Windrow</v>
      </c>
      <c r="C1381" s="138" t="str">
        <f t="shared" si="72"/>
        <v>Base_With Amendment</v>
      </c>
      <c r="D1381" s="118" t="s">
        <v>133</v>
      </c>
      <c r="E1381" s="118" t="s">
        <v>180</v>
      </c>
      <c r="F1381" s="118" t="s">
        <v>46</v>
      </c>
      <c r="G1381" s="153"/>
      <c r="H1381" s="155">
        <v>2.3999999999999998E-3</v>
      </c>
      <c r="I1381" s="154" t="s">
        <v>128</v>
      </c>
      <c r="J1381" s="204">
        <v>3.7559799999999999E-5</v>
      </c>
      <c r="K1381" s="154" t="s">
        <v>13</v>
      </c>
      <c r="L1381" s="154" t="str">
        <f>IF(OpenLCAbasic!K1381="CTUh", "Fill in Manually",IF(OR(K1381="Unit", K1381=""), "", INDEX(LookUps!$E$5:$E$12, MATCH(OpenLCAbasic!K1381,LookUps!$D$5:$D$12,0))))</f>
        <v>Eutrophication Potential (EP) - kg N eq</v>
      </c>
      <c r="M1381" s="154" t="str">
        <f t="shared" si="73"/>
        <v>Low_Base_Low_Upgraded_Eutrophication Potential (EP) - kg N eq_Wastewater collection; operation and infrastructure; m3 wastewater_Base_With Amendment_Windrow</v>
      </c>
    </row>
    <row r="1382" spans="1:13" s="120" customFormat="1" x14ac:dyDescent="0.25">
      <c r="A1382" s="119"/>
      <c r="B1382" s="138" t="str">
        <f t="shared" si="71"/>
        <v>Windrow</v>
      </c>
      <c r="C1382" s="138" t="str">
        <f t="shared" si="72"/>
        <v>Base_With Amendment</v>
      </c>
      <c r="D1382" s="118" t="s">
        <v>133</v>
      </c>
      <c r="E1382" s="118" t="s">
        <v>180</v>
      </c>
      <c r="F1382" s="118" t="s">
        <v>46</v>
      </c>
      <c r="G1382" s="153"/>
      <c r="H1382" s="155">
        <v>2.3E-3</v>
      </c>
      <c r="I1382" s="154" t="s">
        <v>148</v>
      </c>
      <c r="J1382" s="204">
        <v>3.6874600000000001E-5</v>
      </c>
      <c r="K1382" s="154" t="s">
        <v>13</v>
      </c>
      <c r="L1382" s="154" t="str">
        <f>IF(OpenLCAbasic!K1382="CTUh", "Fill in Manually",IF(OR(K1382="Unit", K1382=""), "", INDEX(LookUps!$E$5:$E$12, MATCH(OpenLCAbasic!K1382,LookUps!$D$5:$D$12,0))))</f>
        <v>Eutrophication Potential (EP) - kg N eq</v>
      </c>
      <c r="M1382" s="154" t="str">
        <f t="shared" si="73"/>
        <v>Low_Base_Low_Upgraded_Eutrophication Potential (EP) - kg N eq_Control Building; at upgraded wastewater treatment plant - US_Base_With Amendment_Windrow</v>
      </c>
    </row>
    <row r="1383" spans="1:13" s="120" customFormat="1" x14ac:dyDescent="0.25">
      <c r="A1383" s="119"/>
      <c r="B1383" s="138" t="str">
        <f t="shared" si="71"/>
        <v>Windrow</v>
      </c>
      <c r="C1383" s="138" t="str">
        <f t="shared" si="72"/>
        <v>Base_With Amendment</v>
      </c>
      <c r="D1383" s="118" t="s">
        <v>133</v>
      </c>
      <c r="E1383" s="118" t="s">
        <v>180</v>
      </c>
      <c r="F1383" s="118" t="s">
        <v>46</v>
      </c>
      <c r="G1383" s="153"/>
      <c r="H1383" s="155">
        <v>1E-3</v>
      </c>
      <c r="I1383" s="154" t="s">
        <v>59</v>
      </c>
      <c r="J1383" s="204">
        <v>1.6215700000000001E-5</v>
      </c>
      <c r="K1383" s="154" t="s">
        <v>13</v>
      </c>
      <c r="L1383" s="154" t="str">
        <f>IF(OpenLCAbasic!K1383="CTUh", "Fill in Manually",IF(OR(K1383="Unit", K1383=""), "", INDEX(LookUps!$E$5:$E$12, MATCH(OpenLCAbasic!K1383,LookUps!$D$5:$D$12,0))))</f>
        <v>Eutrophication Potential (EP) - kg N eq</v>
      </c>
      <c r="M1383" s="154" t="str">
        <f t="shared" si="73"/>
        <v>Low_Base_Low_Upgraded_Eutrophication Potential (EP) - kg N eq_Blend Tank; wastewater treatment unit; at updated plant - US_Base_With Amendment_Windrow</v>
      </c>
    </row>
    <row r="1384" spans="1:13" s="120" customFormat="1" x14ac:dyDescent="0.25">
      <c r="A1384" s="119"/>
      <c r="B1384" s="138" t="str">
        <f t="shared" si="71"/>
        <v>Windrow</v>
      </c>
      <c r="C1384" s="138" t="str">
        <f t="shared" si="72"/>
        <v>Base_With Amendment</v>
      </c>
      <c r="D1384" s="118" t="s">
        <v>133</v>
      </c>
      <c r="E1384" s="118" t="s">
        <v>180</v>
      </c>
      <c r="F1384" s="118" t="s">
        <v>46</v>
      </c>
      <c r="G1384" s="153"/>
      <c r="H1384" s="155">
        <v>5.0000000000000001E-4</v>
      </c>
      <c r="I1384" s="154" t="s">
        <v>168</v>
      </c>
      <c r="J1384" s="204">
        <v>7.7567199999999995E-6</v>
      </c>
      <c r="K1384" s="154" t="s">
        <v>13</v>
      </c>
      <c r="L1384" s="154" t="str">
        <f>IF(OpenLCAbasic!K1384="CTUh", "Fill in Manually",IF(OR(K1384="Unit", K1384=""), "", INDEX(LookUps!$E$5:$E$12, MATCH(OpenLCAbasic!K1384,LookUps!$D$5:$D$12,0))))</f>
        <v>Eutrophication Potential (EP) - kg N eq</v>
      </c>
      <c r="M1384" s="154" t="str">
        <f t="shared" si="73"/>
        <v>Low_Base_Low_Upgraded_Eutrophication Potential (EP) - kg N eq_ClearCove SCP; wastewater treatment unit; at updated plant - US_Base_With Amendment_Windrow</v>
      </c>
    </row>
    <row r="1385" spans="1:13" s="120" customFormat="1" x14ac:dyDescent="0.25">
      <c r="A1385" s="119"/>
      <c r="B1385" s="138" t="str">
        <f t="shared" si="71"/>
        <v>Windrow</v>
      </c>
      <c r="C1385" s="138" t="str">
        <f t="shared" si="72"/>
        <v>Base_With Amendment</v>
      </c>
      <c r="D1385" s="118" t="s">
        <v>133</v>
      </c>
      <c r="E1385" s="118" t="s">
        <v>180</v>
      </c>
      <c r="F1385" s="118" t="s">
        <v>46</v>
      </c>
      <c r="G1385" s="153" t="s">
        <v>51</v>
      </c>
      <c r="H1385" s="154"/>
      <c r="I1385" s="154" t="s">
        <v>47</v>
      </c>
      <c r="J1385" s="154" t="s">
        <v>52</v>
      </c>
      <c r="K1385" s="154" t="s">
        <v>27</v>
      </c>
      <c r="L1385" s="154" t="str">
        <f>IF(OpenLCAbasic!K1385="CTUh", "Fill in Manually",IF(OR(K1385="Unit", K1385=""), "", INDEX(LookUps!$E$5:$E$12, MATCH(OpenLCAbasic!K1385,LookUps!$D$5:$D$12,0))))</f>
        <v/>
      </c>
      <c r="M1385" s="154" t="str">
        <f t="shared" si="73"/>
        <v>Low_Base_Low_Upgraded__Process_Base_With Amendment_Windrow</v>
      </c>
    </row>
    <row r="1386" spans="1:13" s="120" customFormat="1" x14ac:dyDescent="0.25">
      <c r="A1386" s="119"/>
      <c r="B1386" s="138" t="str">
        <f t="shared" si="71"/>
        <v>Windrow</v>
      </c>
      <c r="C1386" s="138" t="str">
        <f t="shared" si="72"/>
        <v>Base_With Amendment</v>
      </c>
      <c r="D1386" s="118" t="s">
        <v>133</v>
      </c>
      <c r="E1386" s="118" t="s">
        <v>180</v>
      </c>
      <c r="F1386" s="118" t="s">
        <v>46</v>
      </c>
      <c r="G1386" s="153"/>
      <c r="H1386" s="155">
        <v>0.2482</v>
      </c>
      <c r="I1386" s="154" t="s">
        <v>55</v>
      </c>
      <c r="J1386" s="157">
        <v>3.5330499999999998</v>
      </c>
      <c r="K1386" s="154" t="s">
        <v>15</v>
      </c>
      <c r="L1386" s="154" t="str">
        <f>IF(OpenLCAbasic!K1386="CTUh", "Fill in Manually",IF(OR(K1386="Unit", K1386=""), "", INDEX(LookUps!$E$5:$E$12, MATCH(OpenLCAbasic!K1386,LookUps!$D$5:$D$12,0))))</f>
        <v>Cumulative Energy Demand (CED) - MJ</v>
      </c>
      <c r="M1386" s="154" t="str">
        <f t="shared" si="73"/>
        <v>Low_Base_Low_Upgraded_Cumulative Energy Demand (CED) - MJ_Aeration Tanks; wastewater treatment unit; at updated plant - US_Base_With Amendment_Windrow</v>
      </c>
    </row>
    <row r="1387" spans="1:13" s="120" customFormat="1" x14ac:dyDescent="0.25">
      <c r="A1387" s="119"/>
      <c r="B1387" s="138" t="str">
        <f t="shared" si="71"/>
        <v>Windrow</v>
      </c>
      <c r="C1387" s="138" t="str">
        <f t="shared" si="72"/>
        <v>Base_With Amendment</v>
      </c>
      <c r="D1387" s="118" t="s">
        <v>133</v>
      </c>
      <c r="E1387" s="118" t="s">
        <v>180</v>
      </c>
      <c r="F1387" s="118" t="s">
        <v>46</v>
      </c>
      <c r="G1387" s="153"/>
      <c r="H1387" s="155">
        <v>0.2457</v>
      </c>
      <c r="I1387" s="154" t="s">
        <v>167</v>
      </c>
      <c r="J1387" s="157">
        <v>3.4982700000000002</v>
      </c>
      <c r="K1387" s="154" t="s">
        <v>15</v>
      </c>
      <c r="L1387" s="154" t="str">
        <f>IF(OpenLCAbasic!K1387="CTUh", "Fill in Manually",IF(OR(K1387="Unit", K1387=""), "", INDEX(LookUps!$E$5:$E$12, MATCH(OpenLCAbasic!K1387,LookUps!$D$5:$D$12,0))))</f>
        <v>Cumulative Energy Demand (CED) - MJ</v>
      </c>
      <c r="M1387" s="154" t="str">
        <f t="shared" si="73"/>
        <v>Low_Base_Low_Upgraded_Cumulative Energy Demand (CED) - MJ_Waste Receiving and Holding; wastewater treatment unit; at updated plant - US_Base_With Amendment_Windrow</v>
      </c>
    </row>
    <row r="1388" spans="1:13" s="120" customFormat="1" x14ac:dyDescent="0.25">
      <c r="A1388" s="119"/>
      <c r="B1388" s="138" t="str">
        <f t="shared" si="71"/>
        <v>Windrow</v>
      </c>
      <c r="C1388" s="138" t="str">
        <f t="shared" si="72"/>
        <v>Base_With Amendment</v>
      </c>
      <c r="D1388" s="118" t="s">
        <v>133</v>
      </c>
      <c r="E1388" s="118" t="s">
        <v>180</v>
      </c>
      <c r="F1388" s="118" t="s">
        <v>46</v>
      </c>
      <c r="G1388" s="153"/>
      <c r="H1388" s="155">
        <v>0.192</v>
      </c>
      <c r="I1388" s="154" t="s">
        <v>149</v>
      </c>
      <c r="J1388" s="157">
        <v>2.7332200000000002</v>
      </c>
      <c r="K1388" s="154" t="s">
        <v>15</v>
      </c>
      <c r="L1388" s="154" t="str">
        <f>IF(OpenLCAbasic!K1388="CTUh", "Fill in Manually",IF(OR(K1388="Unit", K1388=""), "", INDEX(LookUps!$E$5:$E$12, MATCH(OpenLCAbasic!K1388,LookUps!$D$5:$D$12,0))))</f>
        <v>Cumulative Energy Demand (CED) - MJ</v>
      </c>
      <c r="M1388" s="154" t="str">
        <f t="shared" si="73"/>
        <v>Low_Base_Low_Upgraded_Cumulative Energy Demand (CED) - MJ_Anaerobic Digestion; wastewater treatment unit; at updated plant - US_Base_With Amendment_Windrow</v>
      </c>
    </row>
    <row r="1389" spans="1:13" s="120" customFormat="1" x14ac:dyDescent="0.25">
      <c r="A1389" s="119"/>
      <c r="B1389" s="138" t="str">
        <f t="shared" si="71"/>
        <v>Windrow</v>
      </c>
      <c r="C1389" s="138" t="str">
        <f t="shared" si="72"/>
        <v>Base_With Amendment</v>
      </c>
      <c r="D1389" s="118" t="s">
        <v>133</v>
      </c>
      <c r="E1389" s="118" t="s">
        <v>180</v>
      </c>
      <c r="F1389" s="118" t="s">
        <v>46</v>
      </c>
      <c r="G1389" s="153"/>
      <c r="H1389" s="155">
        <v>8.1699999999999995E-2</v>
      </c>
      <c r="I1389" s="154" t="s">
        <v>54</v>
      </c>
      <c r="J1389" s="203">
        <v>1.16289</v>
      </c>
      <c r="K1389" s="154" t="s">
        <v>15</v>
      </c>
      <c r="L1389" s="154" t="str">
        <f>IF(OpenLCAbasic!K1389="CTUh", "Fill in Manually",IF(OR(K1389="Unit", K1389=""), "", INDEX(LookUps!$E$5:$E$12, MATCH(OpenLCAbasic!K1389,LookUps!$D$5:$D$12,0))))</f>
        <v>Cumulative Energy Demand (CED) - MJ</v>
      </c>
      <c r="M1389" s="154" t="str">
        <f t="shared" si="73"/>
        <v>Low_Base_Low_Upgraded_Cumulative Energy Demand (CED) - MJ_Clear Cove Primary Clarification; wastewater treatment unit; at updated plant - US_Base_With Amendment_Windrow</v>
      </c>
    </row>
    <row r="1390" spans="1:13" s="120" customFormat="1" x14ac:dyDescent="0.25">
      <c r="A1390" s="119"/>
      <c r="B1390" s="138" t="str">
        <f t="shared" si="71"/>
        <v>Windrow</v>
      </c>
      <c r="C1390" s="138" t="str">
        <f t="shared" si="72"/>
        <v>Base_With Amendment</v>
      </c>
      <c r="D1390" s="118" t="s">
        <v>133</v>
      </c>
      <c r="E1390" s="118" t="s">
        <v>180</v>
      </c>
      <c r="F1390" s="118" t="s">
        <v>46</v>
      </c>
      <c r="G1390" s="153"/>
      <c r="H1390" s="155">
        <v>6.2100000000000002E-2</v>
      </c>
      <c r="I1390" s="154" t="s">
        <v>58</v>
      </c>
      <c r="J1390" s="203">
        <v>0.88417000000000001</v>
      </c>
      <c r="K1390" s="154" t="s">
        <v>15</v>
      </c>
      <c r="L1390" s="154" t="str">
        <f>IF(OpenLCAbasic!K1390="CTUh", "Fill in Manually",IF(OR(K1390="Unit", K1390=""), "", INDEX(LookUps!$E$5:$E$12, MATCH(OpenLCAbasic!K1390,LookUps!$D$5:$D$12,0))))</f>
        <v>Cumulative Energy Demand (CED) - MJ</v>
      </c>
      <c r="M1390" s="154" t="str">
        <f t="shared" si="73"/>
        <v>Low_Base_Low_Upgraded_Cumulative Energy Demand (CED) - MJ_Pre-Anoxic &amp; Swing tank; wastewater treatment unit; at updated plant - US_Base_With Amendment_Windrow</v>
      </c>
    </row>
    <row r="1391" spans="1:13" s="120" customFormat="1" x14ac:dyDescent="0.25">
      <c r="A1391" s="119"/>
      <c r="B1391" s="138" t="str">
        <f t="shared" si="71"/>
        <v>Windrow</v>
      </c>
      <c r="C1391" s="138" t="str">
        <f t="shared" si="72"/>
        <v>Base_With Amendment</v>
      </c>
      <c r="D1391" s="118" t="s">
        <v>133</v>
      </c>
      <c r="E1391" s="118" t="s">
        <v>180</v>
      </c>
      <c r="F1391" s="118" t="s">
        <v>46</v>
      </c>
      <c r="G1391" s="153"/>
      <c r="H1391" s="155">
        <v>6.2E-2</v>
      </c>
      <c r="I1391" s="154" t="s">
        <v>147</v>
      </c>
      <c r="J1391" s="203">
        <v>0.88297000000000003</v>
      </c>
      <c r="K1391" s="154" t="s">
        <v>15</v>
      </c>
      <c r="L1391" s="154" t="str">
        <f>IF(OpenLCAbasic!K1391="CTUh", "Fill in Manually",IF(OR(K1391="Unit", K1391=""), "", INDEX(LookUps!$E$5:$E$12, MATCH(OpenLCAbasic!K1391,LookUps!$D$5:$D$12,0))))</f>
        <v>Cumulative Energy Demand (CED) - MJ</v>
      </c>
      <c r="M1391" s="154" t="str">
        <f t="shared" si="73"/>
        <v>Low_Base_Low_Upgraded_Cumulative Energy Demand (CED) - MJ_Influent Pump Station; wastewater treatment unit; at updated plant - US_Base_With Amendment_Windrow</v>
      </c>
    </row>
    <row r="1392" spans="1:13" s="120" customFormat="1" x14ac:dyDescent="0.25">
      <c r="A1392" s="119"/>
      <c r="B1392" s="138" t="str">
        <f t="shared" si="71"/>
        <v>Windrow</v>
      </c>
      <c r="C1392" s="138" t="str">
        <f t="shared" si="72"/>
        <v>Base_With Amendment</v>
      </c>
      <c r="D1392" s="118" t="s">
        <v>133</v>
      </c>
      <c r="E1392" s="118" t="s">
        <v>180</v>
      </c>
      <c r="F1392" s="118" t="s">
        <v>46</v>
      </c>
      <c r="G1392" s="153"/>
      <c r="H1392" s="155">
        <v>4.8899999999999999E-2</v>
      </c>
      <c r="I1392" s="154" t="s">
        <v>53</v>
      </c>
      <c r="J1392" s="203">
        <v>0.69645000000000001</v>
      </c>
      <c r="K1392" s="154" t="s">
        <v>15</v>
      </c>
      <c r="L1392" s="154" t="str">
        <f>IF(OpenLCAbasic!K1392="CTUh", "Fill in Manually",IF(OR(K1392="Unit", K1392=""), "", INDEX(LookUps!$E$5:$E$12, MATCH(OpenLCAbasic!K1392,LookUps!$D$5:$D$12,0))))</f>
        <v>Cumulative Energy Demand (CED) - MJ</v>
      </c>
      <c r="M1392" s="154" t="str">
        <f t="shared" si="73"/>
        <v>Low_Base_Low_Upgraded_Cumulative Energy Demand (CED) - MJ_Wet Well and Sump Station; wastewater treatment unit; at updated plant - US_Base_With Amendment_Windrow</v>
      </c>
    </row>
    <row r="1393" spans="1:13" s="120" customFormat="1" x14ac:dyDescent="0.25">
      <c r="A1393" s="119"/>
      <c r="B1393" s="138" t="str">
        <f t="shared" si="71"/>
        <v>Windrow</v>
      </c>
      <c r="C1393" s="138" t="str">
        <f t="shared" si="72"/>
        <v>Base_With Amendment</v>
      </c>
      <c r="D1393" s="118" t="s">
        <v>133</v>
      </c>
      <c r="E1393" s="118" t="s">
        <v>180</v>
      </c>
      <c r="F1393" s="118" t="s">
        <v>46</v>
      </c>
      <c r="G1393" s="153"/>
      <c r="H1393" s="155">
        <v>2.35E-2</v>
      </c>
      <c r="I1393" s="154" t="s">
        <v>57</v>
      </c>
      <c r="J1393" s="203">
        <v>0.33404</v>
      </c>
      <c r="K1393" s="154" t="s">
        <v>15</v>
      </c>
      <c r="L1393" s="154" t="str">
        <f>IF(OpenLCAbasic!K1393="CTUh", "Fill in Manually",IF(OR(K1393="Unit", K1393=""), "", INDEX(LookUps!$E$5:$E$12, MATCH(OpenLCAbasic!K1393,LookUps!$D$5:$D$12,0))))</f>
        <v>Cumulative Energy Demand (CED) - MJ</v>
      </c>
      <c r="M1393" s="154" t="str">
        <f t="shared" si="73"/>
        <v>Low_Base_Low_Upgraded_Cumulative Energy Demand (CED) - MJ_Gravity Belt Thickener; wastewater treatment unit; at updated plant - US_Base_With Amendment_Windrow</v>
      </c>
    </row>
    <row r="1394" spans="1:13" s="120" customFormat="1" x14ac:dyDescent="0.25">
      <c r="A1394" s="119"/>
      <c r="B1394" s="138" t="str">
        <f t="shared" si="71"/>
        <v>Windrow</v>
      </c>
      <c r="C1394" s="138" t="str">
        <f t="shared" si="72"/>
        <v>Base_With Amendment</v>
      </c>
      <c r="D1394" s="118" t="s">
        <v>133</v>
      </c>
      <c r="E1394" s="118" t="s">
        <v>180</v>
      </c>
      <c r="F1394" s="118" t="s">
        <v>46</v>
      </c>
      <c r="G1394" s="153"/>
      <c r="H1394" s="155">
        <v>2.2499999999999999E-2</v>
      </c>
      <c r="I1394" s="154" t="s">
        <v>60</v>
      </c>
      <c r="J1394" s="203">
        <v>0.32008999999999999</v>
      </c>
      <c r="K1394" s="154" t="s">
        <v>15</v>
      </c>
      <c r="L1394" s="154" t="str">
        <f>IF(OpenLCAbasic!K1394="CTUh", "Fill in Manually",IF(OR(K1394="Unit", K1394=""), "", INDEX(LookUps!$E$5:$E$12, MATCH(OpenLCAbasic!K1394,LookUps!$D$5:$D$12,0))))</f>
        <v>Cumulative Energy Demand (CED) - MJ</v>
      </c>
      <c r="M1394" s="154" t="str">
        <f t="shared" si="73"/>
        <v>Low_Base_Low_Upgraded_Cumulative Energy Demand (CED) - MJ_Belt filter press; wastewater treatment unit; at updated plant - US_Base_With Amendment_Windrow</v>
      </c>
    </row>
    <row r="1395" spans="1:13" s="120" customFormat="1" x14ac:dyDescent="0.25">
      <c r="A1395" s="119"/>
      <c r="B1395" s="138" t="str">
        <f t="shared" si="71"/>
        <v>Windrow</v>
      </c>
      <c r="C1395" s="138" t="str">
        <f t="shared" si="72"/>
        <v>Base_With Amendment</v>
      </c>
      <c r="D1395" s="118" t="s">
        <v>133</v>
      </c>
      <c r="E1395" s="118" t="s">
        <v>180</v>
      </c>
      <c r="F1395" s="118" t="s">
        <v>46</v>
      </c>
      <c r="G1395" s="153"/>
      <c r="H1395" s="155">
        <v>1.7999999999999999E-2</v>
      </c>
      <c r="I1395" s="154" t="s">
        <v>128</v>
      </c>
      <c r="J1395" s="203">
        <v>0.25606000000000001</v>
      </c>
      <c r="K1395" s="154" t="s">
        <v>15</v>
      </c>
      <c r="L1395" s="154" t="str">
        <f>IF(OpenLCAbasic!K1395="CTUh", "Fill in Manually",IF(OR(K1395="Unit", K1395=""), "", INDEX(LookUps!$E$5:$E$12, MATCH(OpenLCAbasic!K1395,LookUps!$D$5:$D$12,0))))</f>
        <v>Cumulative Energy Demand (CED) - MJ</v>
      </c>
      <c r="M1395" s="154" t="str">
        <f t="shared" si="73"/>
        <v>Low_Base_Low_Upgraded_Cumulative Energy Demand (CED) - MJ_Wastewater collection; operation and infrastructure; m3 wastewater_Base_With Amendment_Windrow</v>
      </c>
    </row>
    <row r="1396" spans="1:13" s="120" customFormat="1" x14ac:dyDescent="0.25">
      <c r="A1396" s="119"/>
      <c r="B1396" s="138" t="str">
        <f t="shared" si="71"/>
        <v>Windrow</v>
      </c>
      <c r="C1396" s="138" t="str">
        <f t="shared" si="72"/>
        <v>Base_With Amendment</v>
      </c>
      <c r="D1396" s="118" t="s">
        <v>133</v>
      </c>
      <c r="E1396" s="118" t="s">
        <v>180</v>
      </c>
      <c r="F1396" s="118" t="s">
        <v>46</v>
      </c>
      <c r="G1396" s="153"/>
      <c r="H1396" s="155">
        <v>1.03E-2</v>
      </c>
      <c r="I1396" s="154" t="s">
        <v>148</v>
      </c>
      <c r="J1396" s="203">
        <v>0.14599000000000001</v>
      </c>
      <c r="K1396" s="154" t="s">
        <v>15</v>
      </c>
      <c r="L1396" s="154" t="str">
        <f>IF(OpenLCAbasic!K1396="CTUh", "Fill in Manually",IF(OR(K1396="Unit", K1396=""), "", INDEX(LookUps!$E$5:$E$12, MATCH(OpenLCAbasic!K1396,LookUps!$D$5:$D$12,0))))</f>
        <v>Cumulative Energy Demand (CED) - MJ</v>
      </c>
      <c r="M1396" s="154" t="str">
        <f t="shared" si="73"/>
        <v>Low_Base_Low_Upgraded_Cumulative Energy Demand (CED) - MJ_Control Building; at upgraded wastewater treatment plant - US_Base_With Amendment_Windrow</v>
      </c>
    </row>
    <row r="1397" spans="1:13" s="120" customFormat="1" x14ac:dyDescent="0.25">
      <c r="A1397" s="119"/>
      <c r="B1397" s="138" t="str">
        <f t="shared" si="71"/>
        <v>Windrow</v>
      </c>
      <c r="C1397" s="138" t="str">
        <f t="shared" si="72"/>
        <v>Base_With Amendment</v>
      </c>
      <c r="D1397" s="118" t="s">
        <v>133</v>
      </c>
      <c r="E1397" s="118" t="s">
        <v>180</v>
      </c>
      <c r="F1397" s="118" t="s">
        <v>46</v>
      </c>
      <c r="G1397" s="153"/>
      <c r="H1397" s="155">
        <v>9.4000000000000004E-3</v>
      </c>
      <c r="I1397" s="154" t="s">
        <v>48</v>
      </c>
      <c r="J1397" s="203">
        <v>0.13321</v>
      </c>
      <c r="K1397" s="154" t="s">
        <v>15</v>
      </c>
      <c r="L1397" s="154" t="str">
        <f>IF(OpenLCAbasic!K1397="CTUh", "Fill in Manually",IF(OR(K1397="Unit", K1397=""), "", INDEX(LookUps!$E$5:$E$12, MATCH(OpenLCAbasic!K1397,LookUps!$D$5:$D$12,0))))</f>
        <v>Cumulative Energy Demand (CED) - MJ</v>
      </c>
      <c r="M1397" s="154" t="str">
        <f t="shared" si="73"/>
        <v>Low_Base_Low_Upgraded_Cumulative Energy Demand (CED) - MJ_Effluent release; wastewater treatment unit; at surface water; m3 wastewater - US_Base_With Amendment_Windrow</v>
      </c>
    </row>
    <row r="1398" spans="1:13" s="120" customFormat="1" x14ac:dyDescent="0.25">
      <c r="A1398" s="119"/>
      <c r="B1398" s="138" t="str">
        <f t="shared" si="71"/>
        <v>Windrow</v>
      </c>
      <c r="C1398" s="138" t="str">
        <f t="shared" si="72"/>
        <v>Base_With Amendment</v>
      </c>
      <c r="D1398" s="118" t="s">
        <v>133</v>
      </c>
      <c r="E1398" s="118" t="s">
        <v>180</v>
      </c>
      <c r="F1398" s="118" t="s">
        <v>46</v>
      </c>
      <c r="G1398" s="153"/>
      <c r="H1398" s="155">
        <v>7.4999999999999997E-3</v>
      </c>
      <c r="I1398" s="154" t="s">
        <v>59</v>
      </c>
      <c r="J1398" s="203">
        <v>0.10638</v>
      </c>
      <c r="K1398" s="154" t="s">
        <v>15</v>
      </c>
      <c r="L1398" s="154" t="str">
        <f>IF(OpenLCAbasic!K1398="CTUh", "Fill in Manually",IF(OR(K1398="Unit", K1398=""), "", INDEX(LookUps!$E$5:$E$12, MATCH(OpenLCAbasic!K1398,LookUps!$D$5:$D$12,0))))</f>
        <v>Cumulative Energy Demand (CED) - MJ</v>
      </c>
      <c r="M1398" s="154" t="str">
        <f t="shared" si="73"/>
        <v>Low_Base_Low_Upgraded_Cumulative Energy Demand (CED) - MJ_Blend Tank; wastewater treatment unit; at updated plant - US_Base_With Amendment_Windrow</v>
      </c>
    </row>
    <row r="1399" spans="1:13" s="120" customFormat="1" x14ac:dyDescent="0.25">
      <c r="A1399" s="119"/>
      <c r="B1399" s="138" t="str">
        <f t="shared" si="71"/>
        <v>Windrow</v>
      </c>
      <c r="C1399" s="138" t="str">
        <f t="shared" si="72"/>
        <v>Base_With Amendment</v>
      </c>
      <c r="D1399" s="118" t="s">
        <v>133</v>
      </c>
      <c r="E1399" s="118" t="s">
        <v>180</v>
      </c>
      <c r="F1399" s="118" t="s">
        <v>46</v>
      </c>
      <c r="G1399" s="153"/>
      <c r="H1399" s="155">
        <v>3.5999999999999999E-3</v>
      </c>
      <c r="I1399" s="154" t="s">
        <v>168</v>
      </c>
      <c r="J1399" s="203">
        <v>5.0930000000000003E-2</v>
      </c>
      <c r="K1399" s="154" t="s">
        <v>15</v>
      </c>
      <c r="L1399" s="154" t="str">
        <f>IF(OpenLCAbasic!K1399="CTUh", "Fill in Manually",IF(OR(K1399="Unit", K1399=""), "", INDEX(LookUps!$E$5:$E$12, MATCH(OpenLCAbasic!K1399,LookUps!$D$5:$D$12,0))))</f>
        <v>Cumulative Energy Demand (CED) - MJ</v>
      </c>
      <c r="M1399" s="154" t="str">
        <f t="shared" si="73"/>
        <v>Low_Base_Low_Upgraded_Cumulative Energy Demand (CED) - MJ_ClearCove SCP; wastewater treatment unit; at updated plant - US_Base_With Amendment_Windrow</v>
      </c>
    </row>
    <row r="1400" spans="1:13" s="120" customFormat="1" x14ac:dyDescent="0.25">
      <c r="A1400" s="119"/>
      <c r="B1400" s="138" t="str">
        <f t="shared" si="71"/>
        <v>Windrow</v>
      </c>
      <c r="C1400" s="138" t="str">
        <f t="shared" si="72"/>
        <v>Base_With Amendment</v>
      </c>
      <c r="D1400" s="118" t="s">
        <v>133</v>
      </c>
      <c r="E1400" s="118" t="s">
        <v>180</v>
      </c>
      <c r="F1400" s="118" t="s">
        <v>46</v>
      </c>
      <c r="G1400" s="153"/>
      <c r="H1400" s="155">
        <v>1.6000000000000001E-3</v>
      </c>
      <c r="I1400" s="154" t="s">
        <v>271</v>
      </c>
      <c r="J1400" s="203">
        <v>2.2919999999999999E-2</v>
      </c>
      <c r="K1400" s="154" t="s">
        <v>15</v>
      </c>
      <c r="L1400" s="154" t="str">
        <f>IF(OpenLCAbasic!K1400="CTUh", "Fill in Manually",IF(OR(K1400="Unit", K1400=""), "", INDEX(LookUps!$E$5:$E$12, MATCH(OpenLCAbasic!K1400,LookUps!$D$5:$D$12,0))))</f>
        <v>Cumulative Energy Demand (CED) - MJ</v>
      </c>
      <c r="M1400" s="154" t="str">
        <f t="shared" si="73"/>
        <v>Low_Base_Low_Upgraded_Cumulative Energy Demand (CED) - MJ_Biosolids composting; windrow composting; wastewater treatment unit; at updated plant - US_Base_With Amendment_Windrow</v>
      </c>
    </row>
    <row r="1401" spans="1:13" s="120" customFormat="1" x14ac:dyDescent="0.25">
      <c r="A1401" s="119"/>
      <c r="B1401" s="138" t="str">
        <f t="shared" si="71"/>
        <v>Windrow</v>
      </c>
      <c r="C1401" s="138" t="str">
        <f t="shared" si="72"/>
        <v>Base_With Amendment</v>
      </c>
      <c r="D1401" s="118" t="s">
        <v>133</v>
      </c>
      <c r="E1401" s="118" t="s">
        <v>180</v>
      </c>
      <c r="F1401" s="118" t="s">
        <v>46</v>
      </c>
      <c r="G1401" s="153"/>
      <c r="H1401" s="155">
        <v>-3.6900000000000002E-2</v>
      </c>
      <c r="I1401" s="154" t="s">
        <v>62</v>
      </c>
      <c r="J1401" s="203">
        <v>-0.52512999999999999</v>
      </c>
      <c r="K1401" s="154" t="s">
        <v>15</v>
      </c>
      <c r="L1401" s="154" t="str">
        <f>IF(OpenLCAbasic!K1401="CTUh", "Fill in Manually",IF(OR(K1401="Unit", K1401=""), "", INDEX(LookUps!$E$5:$E$12, MATCH(OpenLCAbasic!K1401,LookUps!$D$5:$D$12,0))))</f>
        <v>Cumulative Energy Demand (CED) - MJ</v>
      </c>
      <c r="M1401" s="154" t="str">
        <f t="shared" si="73"/>
        <v>Low_Base_Low_Upgraded_Cumulative Energy Demand (CED) - MJ_Land application of compost; wastewater treatment unit; at updated plant - US_Base_With Amendment_Windrow</v>
      </c>
    </row>
    <row r="1402" spans="1:13" s="120" customFormat="1" x14ac:dyDescent="0.25">
      <c r="A1402" s="119"/>
      <c r="B1402" s="138" t="str">
        <f t="shared" si="71"/>
        <v>Windrow</v>
      </c>
      <c r="C1402" s="138" t="str">
        <f t="shared" si="72"/>
        <v>Base_With Amendment</v>
      </c>
      <c r="D1402" s="118" t="s">
        <v>133</v>
      </c>
      <c r="E1402" s="118" t="s">
        <v>180</v>
      </c>
      <c r="F1402" s="118" t="s">
        <v>46</v>
      </c>
      <c r="G1402" s="153" t="s">
        <v>51</v>
      </c>
      <c r="H1402" s="154"/>
      <c r="I1402" s="154" t="s">
        <v>47</v>
      </c>
      <c r="J1402" s="154" t="s">
        <v>52</v>
      </c>
      <c r="K1402" s="154" t="s">
        <v>27</v>
      </c>
      <c r="L1402" s="154" t="str">
        <f>IF(OpenLCAbasic!K1402="CTUh", "Fill in Manually",IF(OR(K1402="Unit", K1402=""), "", INDEX(LookUps!$E$5:$E$12, MATCH(OpenLCAbasic!K1402,LookUps!$D$5:$D$12,0))))</f>
        <v/>
      </c>
      <c r="M1402" s="154" t="str">
        <f t="shared" si="73"/>
        <v>Low_Base_Low_Upgraded__Process_Base_With Amendment_Windrow</v>
      </c>
    </row>
    <row r="1403" spans="1:13" s="120" customFormat="1" x14ac:dyDescent="0.25">
      <c r="A1403" s="119"/>
      <c r="B1403" s="138" t="str">
        <f t="shared" si="71"/>
        <v>Windrow</v>
      </c>
      <c r="C1403" s="138" t="str">
        <f t="shared" si="72"/>
        <v>Base_With Amendment</v>
      </c>
      <c r="D1403" s="118" t="s">
        <v>133</v>
      </c>
      <c r="E1403" s="118" t="s">
        <v>180</v>
      </c>
      <c r="F1403" s="118" t="s">
        <v>46</v>
      </c>
      <c r="G1403" s="153"/>
      <c r="H1403" s="155">
        <v>0.37930000000000003</v>
      </c>
      <c r="I1403" s="154" t="s">
        <v>55</v>
      </c>
      <c r="J1403" s="203">
        <v>1.7219999999999999E-2</v>
      </c>
      <c r="K1403" s="154" t="s">
        <v>24</v>
      </c>
      <c r="L1403" s="154" t="str">
        <f>IF(OpenLCAbasic!K1403="CTUh", "Fill in Manually",IF(OR(K1403="Unit", K1403=""), "", INDEX(LookUps!$E$5:$E$12, MATCH(OpenLCAbasic!K1403,LookUps!$D$5:$D$12,0))))</f>
        <v>Acidification Potential (AP) - kg SO2 eq</v>
      </c>
      <c r="M1403" s="154" t="str">
        <f t="shared" si="73"/>
        <v>Low_Base_Low_Upgraded_Acidification Potential (AP) - kg SO2 eq_Aeration Tanks; wastewater treatment unit; at updated plant - US_Base_With Amendment_Windrow</v>
      </c>
    </row>
    <row r="1404" spans="1:13" s="120" customFormat="1" x14ac:dyDescent="0.25">
      <c r="A1404" s="119"/>
      <c r="B1404" s="138" t="str">
        <f t="shared" si="71"/>
        <v>Windrow</v>
      </c>
      <c r="C1404" s="138" t="str">
        <f t="shared" si="72"/>
        <v>Base_With Amendment</v>
      </c>
      <c r="D1404" s="118" t="s">
        <v>133</v>
      </c>
      <c r="E1404" s="118" t="s">
        <v>180</v>
      </c>
      <c r="F1404" s="118" t="s">
        <v>46</v>
      </c>
      <c r="G1404" s="153"/>
      <c r="H1404" s="155">
        <v>0.10970000000000001</v>
      </c>
      <c r="I1404" s="154" t="s">
        <v>54</v>
      </c>
      <c r="J1404" s="204">
        <v>4.9800000000000001E-3</v>
      </c>
      <c r="K1404" s="154" t="s">
        <v>24</v>
      </c>
      <c r="L1404" s="154" t="str">
        <f>IF(OpenLCAbasic!K1404="CTUh", "Fill in Manually",IF(OR(K1404="Unit", K1404=""), "", INDEX(LookUps!$E$5:$E$12, MATCH(OpenLCAbasic!K1404,LookUps!$D$5:$D$12,0))))</f>
        <v>Acidification Potential (AP) - kg SO2 eq</v>
      </c>
      <c r="M1404" s="154" t="str">
        <f t="shared" si="73"/>
        <v>Low_Base_Low_Upgraded_Acidification Potential (AP) - kg SO2 eq_Clear Cove Primary Clarification; wastewater treatment unit; at updated plant - US_Base_With Amendment_Windrow</v>
      </c>
    </row>
    <row r="1405" spans="1:13" s="120" customFormat="1" x14ac:dyDescent="0.25">
      <c r="A1405" s="119"/>
      <c r="B1405" s="138" t="str">
        <f t="shared" si="71"/>
        <v>Windrow</v>
      </c>
      <c r="C1405" s="138" t="str">
        <f t="shared" si="72"/>
        <v>Base_With Amendment</v>
      </c>
      <c r="D1405" s="118" t="s">
        <v>133</v>
      </c>
      <c r="E1405" s="118" t="s">
        <v>180</v>
      </c>
      <c r="F1405" s="118" t="s">
        <v>46</v>
      </c>
      <c r="G1405" s="153"/>
      <c r="H1405" s="155">
        <v>9.5399999999999999E-2</v>
      </c>
      <c r="I1405" s="154" t="s">
        <v>58</v>
      </c>
      <c r="J1405" s="204">
        <v>4.3299999999999996E-3</v>
      </c>
      <c r="K1405" s="154" t="s">
        <v>24</v>
      </c>
      <c r="L1405" s="154" t="str">
        <f>IF(OpenLCAbasic!K1405="CTUh", "Fill in Manually",IF(OR(K1405="Unit", K1405=""), "", INDEX(LookUps!$E$5:$E$12, MATCH(OpenLCAbasic!K1405,LookUps!$D$5:$D$12,0))))</f>
        <v>Acidification Potential (AP) - kg SO2 eq</v>
      </c>
      <c r="M1405" s="154" t="str">
        <f t="shared" si="73"/>
        <v>Low_Base_Low_Upgraded_Acidification Potential (AP) - kg SO2 eq_Pre-Anoxic &amp; Swing tank; wastewater treatment unit; at updated plant - US_Base_With Amendment_Windrow</v>
      </c>
    </row>
    <row r="1406" spans="1:13" s="120" customFormat="1" x14ac:dyDescent="0.25">
      <c r="A1406" s="119"/>
      <c r="B1406" s="138" t="str">
        <f t="shared" si="71"/>
        <v>Windrow</v>
      </c>
      <c r="C1406" s="138" t="str">
        <f t="shared" si="72"/>
        <v>Base_With Amendment</v>
      </c>
      <c r="D1406" s="118" t="s">
        <v>133</v>
      </c>
      <c r="E1406" s="118" t="s">
        <v>180</v>
      </c>
      <c r="F1406" s="118" t="s">
        <v>46</v>
      </c>
      <c r="G1406" s="153"/>
      <c r="H1406" s="155">
        <v>7.5999999999999998E-2</v>
      </c>
      <c r="I1406" s="154" t="s">
        <v>53</v>
      </c>
      <c r="J1406" s="204">
        <v>3.4499999999999999E-3</v>
      </c>
      <c r="K1406" s="154" t="s">
        <v>24</v>
      </c>
      <c r="L1406" s="154" t="str">
        <f>IF(OpenLCAbasic!K1406="CTUh", "Fill in Manually",IF(OR(K1406="Unit", K1406=""), "", INDEX(LookUps!$E$5:$E$12, MATCH(OpenLCAbasic!K1406,LookUps!$D$5:$D$12,0))))</f>
        <v>Acidification Potential (AP) - kg SO2 eq</v>
      </c>
      <c r="M1406" s="154" t="str">
        <f t="shared" si="73"/>
        <v>Low_Base_Low_Upgraded_Acidification Potential (AP) - kg SO2 eq_Wet Well and Sump Station; wastewater treatment unit; at updated plant - US_Base_With Amendment_Windrow</v>
      </c>
    </row>
    <row r="1407" spans="1:13" s="120" customFormat="1" x14ac:dyDescent="0.25">
      <c r="A1407" s="119"/>
      <c r="B1407" s="138" t="str">
        <f t="shared" si="71"/>
        <v>Windrow</v>
      </c>
      <c r="C1407" s="138" t="str">
        <f t="shared" si="72"/>
        <v>Base_With Amendment</v>
      </c>
      <c r="D1407" s="118" t="s">
        <v>133</v>
      </c>
      <c r="E1407" s="118" t="s">
        <v>180</v>
      </c>
      <c r="F1407" s="118" t="s">
        <v>46</v>
      </c>
      <c r="G1407" s="153"/>
      <c r="H1407" s="155">
        <v>7.2800000000000004E-2</v>
      </c>
      <c r="I1407" s="154" t="s">
        <v>62</v>
      </c>
      <c r="J1407" s="204">
        <v>3.3E-3</v>
      </c>
      <c r="K1407" s="154" t="s">
        <v>24</v>
      </c>
      <c r="L1407" s="154" t="str">
        <f>IF(OpenLCAbasic!K1407="CTUh", "Fill in Manually",IF(OR(K1407="Unit", K1407=""), "", INDEX(LookUps!$E$5:$E$12, MATCH(OpenLCAbasic!K1407,LookUps!$D$5:$D$12,0))))</f>
        <v>Acidification Potential (AP) - kg SO2 eq</v>
      </c>
      <c r="M1407" s="154" t="str">
        <f t="shared" si="73"/>
        <v>Low_Base_Low_Upgraded_Acidification Potential (AP) - kg SO2 eq_Land application of compost; wastewater treatment unit; at updated plant - US_Base_With Amendment_Windrow</v>
      </c>
    </row>
    <row r="1408" spans="1:13" s="120" customFormat="1" x14ac:dyDescent="0.25">
      <c r="A1408" s="119"/>
      <c r="B1408" s="138" t="str">
        <f t="shared" si="71"/>
        <v>Windrow</v>
      </c>
      <c r="C1408" s="138" t="str">
        <f t="shared" si="72"/>
        <v>Base_With Amendment</v>
      </c>
      <c r="D1408" s="118" t="s">
        <v>133</v>
      </c>
      <c r="E1408" s="118" t="s">
        <v>180</v>
      </c>
      <c r="F1408" s="118" t="s">
        <v>46</v>
      </c>
      <c r="G1408" s="153"/>
      <c r="H1408" s="155">
        <v>5.7200000000000001E-2</v>
      </c>
      <c r="I1408" s="154" t="s">
        <v>149</v>
      </c>
      <c r="J1408" s="204">
        <v>2.5999999999999999E-3</v>
      </c>
      <c r="K1408" s="154" t="s">
        <v>24</v>
      </c>
      <c r="L1408" s="154" t="str">
        <f>IF(OpenLCAbasic!K1408="CTUh", "Fill in Manually",IF(OR(K1408="Unit", K1408=""), "", INDEX(LookUps!$E$5:$E$12, MATCH(OpenLCAbasic!K1408,LookUps!$D$5:$D$12,0))))</f>
        <v>Acidification Potential (AP) - kg SO2 eq</v>
      </c>
      <c r="M1408" s="154" t="str">
        <f t="shared" si="73"/>
        <v>Low_Base_Low_Upgraded_Acidification Potential (AP) - kg SO2 eq_Anaerobic Digestion; wastewater treatment unit; at updated plant - US_Base_With Amendment_Windrow</v>
      </c>
    </row>
    <row r="1409" spans="1:13" s="120" customFormat="1" x14ac:dyDescent="0.25">
      <c r="A1409" s="119"/>
      <c r="B1409" s="138" t="str">
        <f t="shared" si="71"/>
        <v>Windrow</v>
      </c>
      <c r="C1409" s="138" t="str">
        <f t="shared" si="72"/>
        <v>Base_With Amendment</v>
      </c>
      <c r="D1409" s="118" t="s">
        <v>133</v>
      </c>
      <c r="E1409" s="118" t="s">
        <v>180</v>
      </c>
      <c r="F1409" s="118" t="s">
        <v>46</v>
      </c>
      <c r="G1409" s="153"/>
      <c r="H1409" s="155">
        <v>5.2299999999999999E-2</v>
      </c>
      <c r="I1409" s="154" t="s">
        <v>167</v>
      </c>
      <c r="J1409" s="204">
        <v>2.3800000000000002E-3</v>
      </c>
      <c r="K1409" s="154" t="s">
        <v>24</v>
      </c>
      <c r="L1409" s="154" t="str">
        <f>IF(OpenLCAbasic!K1409="CTUh", "Fill in Manually",IF(OR(K1409="Unit", K1409=""), "", INDEX(LookUps!$E$5:$E$12, MATCH(OpenLCAbasic!K1409,LookUps!$D$5:$D$12,0))))</f>
        <v>Acidification Potential (AP) - kg SO2 eq</v>
      </c>
      <c r="M1409" s="154" t="str">
        <f t="shared" si="73"/>
        <v>Low_Base_Low_Upgraded_Acidification Potential (AP) - kg SO2 eq_Waste Receiving and Holding; wastewater treatment unit; at updated plant - US_Base_With Amendment_Windrow</v>
      </c>
    </row>
    <row r="1410" spans="1:13" s="120" customFormat="1" x14ac:dyDescent="0.25">
      <c r="A1410" s="119"/>
      <c r="B1410" s="138" t="str">
        <f t="shared" si="71"/>
        <v>Windrow</v>
      </c>
      <c r="C1410" s="138" t="str">
        <f t="shared" si="72"/>
        <v>Base_With Amendment</v>
      </c>
      <c r="D1410" s="118" t="s">
        <v>133</v>
      </c>
      <c r="E1410" s="118" t="s">
        <v>180</v>
      </c>
      <c r="F1410" s="118" t="s">
        <v>46</v>
      </c>
      <c r="G1410" s="153"/>
      <c r="H1410" s="155">
        <v>4.5600000000000002E-2</v>
      </c>
      <c r="I1410" s="154" t="s">
        <v>147</v>
      </c>
      <c r="J1410" s="204">
        <v>2.0699999999999998E-3</v>
      </c>
      <c r="K1410" s="154" t="s">
        <v>24</v>
      </c>
      <c r="L1410" s="154" t="str">
        <f>IF(OpenLCAbasic!K1410="CTUh", "Fill in Manually",IF(OR(K1410="Unit", K1410=""), "", INDEX(LookUps!$E$5:$E$12, MATCH(OpenLCAbasic!K1410,LookUps!$D$5:$D$12,0))))</f>
        <v>Acidification Potential (AP) - kg SO2 eq</v>
      </c>
      <c r="M1410" s="154" t="str">
        <f t="shared" si="73"/>
        <v>Low_Base_Low_Upgraded_Acidification Potential (AP) - kg SO2 eq_Influent Pump Station; wastewater treatment unit; at updated plant - US_Base_With Amendment_Windrow</v>
      </c>
    </row>
    <row r="1411" spans="1:13" s="120" customFormat="1" x14ac:dyDescent="0.25">
      <c r="A1411" s="119"/>
      <c r="B1411" s="138" t="str">
        <f t="shared" si="71"/>
        <v>Windrow</v>
      </c>
      <c r="C1411" s="138" t="str">
        <f t="shared" si="72"/>
        <v>Base_With Amendment</v>
      </c>
      <c r="D1411" s="118" t="s">
        <v>133</v>
      </c>
      <c r="E1411" s="118" t="s">
        <v>180</v>
      </c>
      <c r="F1411" s="118" t="s">
        <v>46</v>
      </c>
      <c r="G1411" s="153"/>
      <c r="H1411" s="155">
        <v>2.7199999999999998E-2</v>
      </c>
      <c r="I1411" s="154" t="s">
        <v>128</v>
      </c>
      <c r="J1411" s="204">
        <v>1.23E-3</v>
      </c>
      <c r="K1411" s="154" t="s">
        <v>24</v>
      </c>
      <c r="L1411" s="154" t="str">
        <f>IF(OpenLCAbasic!K1411="CTUh", "Fill in Manually",IF(OR(K1411="Unit", K1411=""), "", INDEX(LookUps!$E$5:$E$12, MATCH(OpenLCAbasic!K1411,LookUps!$D$5:$D$12,0))))</f>
        <v>Acidification Potential (AP) - kg SO2 eq</v>
      </c>
      <c r="M1411" s="154" t="str">
        <f t="shared" si="73"/>
        <v>Low_Base_Low_Upgraded_Acidification Potential (AP) - kg SO2 eq_Wastewater collection; operation and infrastructure; m3 wastewater_Base_With Amendment_Windrow</v>
      </c>
    </row>
    <row r="1412" spans="1:13" s="120" customFormat="1" x14ac:dyDescent="0.25">
      <c r="A1412" s="119"/>
      <c r="B1412" s="138" t="str">
        <f t="shared" si="71"/>
        <v>Windrow</v>
      </c>
      <c r="C1412" s="138" t="str">
        <f t="shared" si="72"/>
        <v>Base_With Amendment</v>
      </c>
      <c r="D1412" s="118" t="s">
        <v>133</v>
      </c>
      <c r="E1412" s="118" t="s">
        <v>180</v>
      </c>
      <c r="F1412" s="118" t="s">
        <v>46</v>
      </c>
      <c r="G1412" s="153"/>
      <c r="H1412" s="155">
        <v>2.47E-2</v>
      </c>
      <c r="I1412" s="154" t="s">
        <v>271</v>
      </c>
      <c r="J1412" s="204">
        <v>1.1199999999999999E-3</v>
      </c>
      <c r="K1412" s="154" t="s">
        <v>24</v>
      </c>
      <c r="L1412" s="154" t="str">
        <f>IF(OpenLCAbasic!K1412="CTUh", "Fill in Manually",IF(OR(K1412="Unit", K1412=""), "", INDEX(LookUps!$E$5:$E$12, MATCH(OpenLCAbasic!K1412,LookUps!$D$5:$D$12,0))))</f>
        <v>Acidification Potential (AP) - kg SO2 eq</v>
      </c>
      <c r="M1412" s="154" t="str">
        <f t="shared" si="73"/>
        <v>Low_Base_Low_Upgraded_Acidification Potential (AP) - kg SO2 eq_Biosolids composting; windrow composting; wastewater treatment unit; at updated plant - US_Base_With Amendment_Windrow</v>
      </c>
    </row>
    <row r="1413" spans="1:13" s="120" customFormat="1" x14ac:dyDescent="0.25">
      <c r="A1413" s="119"/>
      <c r="B1413" s="138" t="str">
        <f t="shared" si="71"/>
        <v>Windrow</v>
      </c>
      <c r="C1413" s="138" t="str">
        <f t="shared" si="72"/>
        <v>Base_With Amendment</v>
      </c>
      <c r="D1413" s="118" t="s">
        <v>133</v>
      </c>
      <c r="E1413" s="118" t="s">
        <v>180</v>
      </c>
      <c r="F1413" s="118" t="s">
        <v>46</v>
      </c>
      <c r="G1413" s="153"/>
      <c r="H1413" s="155">
        <v>1.89E-2</v>
      </c>
      <c r="I1413" s="154" t="s">
        <v>60</v>
      </c>
      <c r="J1413" s="204">
        <v>8.5999999999999998E-4</v>
      </c>
      <c r="K1413" s="154" t="s">
        <v>24</v>
      </c>
      <c r="L1413" s="154" t="str">
        <f>IF(OpenLCAbasic!K1413="CTUh", "Fill in Manually",IF(OR(K1413="Unit", K1413=""), "", INDEX(LookUps!$E$5:$E$12, MATCH(OpenLCAbasic!K1413,LookUps!$D$5:$D$12,0))))</f>
        <v>Acidification Potential (AP) - kg SO2 eq</v>
      </c>
      <c r="M1413" s="154" t="str">
        <f t="shared" si="73"/>
        <v>Low_Base_Low_Upgraded_Acidification Potential (AP) - kg SO2 eq_Belt filter press; wastewater treatment unit; at updated plant - US_Base_With Amendment_Windrow</v>
      </c>
    </row>
    <row r="1414" spans="1:13" s="120" customFormat="1" x14ac:dyDescent="0.25">
      <c r="A1414" s="119"/>
      <c r="B1414" s="138" t="str">
        <f t="shared" ref="B1414:B1477" si="74">IF(F1414="Legacy","n.a.",IF(F1414="","","Windrow"))</f>
        <v>Windrow</v>
      </c>
      <c r="C1414" s="138" t="str">
        <f t="shared" si="72"/>
        <v>Base_With Amendment</v>
      </c>
      <c r="D1414" s="118" t="s">
        <v>133</v>
      </c>
      <c r="E1414" s="118" t="s">
        <v>180</v>
      </c>
      <c r="F1414" s="118" t="s">
        <v>46</v>
      </c>
      <c r="G1414" s="153"/>
      <c r="H1414" s="155">
        <v>1.55E-2</v>
      </c>
      <c r="I1414" s="154" t="s">
        <v>57</v>
      </c>
      <c r="J1414" s="204">
        <v>6.9999999999999999E-4</v>
      </c>
      <c r="K1414" s="154" t="s">
        <v>24</v>
      </c>
      <c r="L1414" s="154" t="str">
        <f>IF(OpenLCAbasic!K1414="CTUh", "Fill in Manually",IF(OR(K1414="Unit", K1414=""), "", INDEX(LookUps!$E$5:$E$12, MATCH(OpenLCAbasic!K1414,LookUps!$D$5:$D$12,0))))</f>
        <v>Acidification Potential (AP) - kg SO2 eq</v>
      </c>
      <c r="M1414" s="154" t="str">
        <f t="shared" si="73"/>
        <v>Low_Base_Low_Upgraded_Acidification Potential (AP) - kg SO2 eq_Gravity Belt Thickener; wastewater treatment unit; at updated plant - US_Base_With Amendment_Windrow</v>
      </c>
    </row>
    <row r="1415" spans="1:13" s="120" customFormat="1" x14ac:dyDescent="0.25">
      <c r="A1415" s="119"/>
      <c r="B1415" s="138" t="str">
        <f t="shared" si="74"/>
        <v>Windrow</v>
      </c>
      <c r="C1415" s="138" t="str">
        <f t="shared" ref="C1415:C1478" si="75">IF(E1415&lt;&gt;"", "Base_With Amendment","")</f>
        <v>Base_With Amendment</v>
      </c>
      <c r="D1415" s="118" t="s">
        <v>133</v>
      </c>
      <c r="E1415" s="118" t="s">
        <v>180</v>
      </c>
      <c r="F1415" s="118" t="s">
        <v>46</v>
      </c>
      <c r="G1415" s="153"/>
      <c r="H1415" s="155">
        <v>1.14E-2</v>
      </c>
      <c r="I1415" s="154" t="s">
        <v>59</v>
      </c>
      <c r="J1415" s="204">
        <v>5.1999999999999995E-4</v>
      </c>
      <c r="K1415" s="154" t="s">
        <v>24</v>
      </c>
      <c r="L1415" s="154" t="str">
        <f>IF(OpenLCAbasic!K1415="CTUh", "Fill in Manually",IF(OR(K1415="Unit", K1415=""), "", INDEX(LookUps!$E$5:$E$12, MATCH(OpenLCAbasic!K1415,LookUps!$D$5:$D$12,0))))</f>
        <v>Acidification Potential (AP) - kg SO2 eq</v>
      </c>
      <c r="M1415" s="154" t="str">
        <f t="shared" ref="M1415:M1478" si="76">CONCATENATE(E1415,"_",D1415,"_",F1415,"_",L1415, "_",I1415,"_", C1415,"_", B1415)</f>
        <v>Low_Base_Low_Upgraded_Acidification Potential (AP) - kg SO2 eq_Blend Tank; wastewater treatment unit; at updated plant - US_Base_With Amendment_Windrow</v>
      </c>
    </row>
    <row r="1416" spans="1:13" s="120" customFormat="1" x14ac:dyDescent="0.25">
      <c r="A1416" s="119"/>
      <c r="B1416" s="138" t="str">
        <f t="shared" si="74"/>
        <v>Windrow</v>
      </c>
      <c r="C1416" s="138" t="str">
        <f t="shared" si="75"/>
        <v>Base_With Amendment</v>
      </c>
      <c r="D1416" s="118" t="s">
        <v>133</v>
      </c>
      <c r="E1416" s="118" t="s">
        <v>180</v>
      </c>
      <c r="F1416" s="118" t="s">
        <v>46</v>
      </c>
      <c r="G1416" s="153"/>
      <c r="H1416" s="155">
        <v>7.6E-3</v>
      </c>
      <c r="I1416" s="154" t="s">
        <v>48</v>
      </c>
      <c r="J1416" s="204">
        <v>3.5E-4</v>
      </c>
      <c r="K1416" s="154" t="s">
        <v>24</v>
      </c>
      <c r="L1416" s="154" t="str">
        <f>IF(OpenLCAbasic!K1416="CTUh", "Fill in Manually",IF(OR(K1416="Unit", K1416=""), "", INDEX(LookUps!$E$5:$E$12, MATCH(OpenLCAbasic!K1416,LookUps!$D$5:$D$12,0))))</f>
        <v>Acidification Potential (AP) - kg SO2 eq</v>
      </c>
      <c r="M1416" s="154" t="str">
        <f t="shared" si="76"/>
        <v>Low_Base_Low_Upgraded_Acidification Potential (AP) - kg SO2 eq_Effluent release; wastewater treatment unit; at surface water; m3 wastewater - US_Base_With Amendment_Windrow</v>
      </c>
    </row>
    <row r="1417" spans="1:13" s="120" customFormat="1" x14ac:dyDescent="0.25">
      <c r="A1417" s="119"/>
      <c r="B1417" s="138" t="str">
        <f t="shared" si="74"/>
        <v>Windrow</v>
      </c>
      <c r="C1417" s="138" t="str">
        <f t="shared" si="75"/>
        <v>Base_With Amendment</v>
      </c>
      <c r="D1417" s="118" t="s">
        <v>133</v>
      </c>
      <c r="E1417" s="118" t="s">
        <v>180</v>
      </c>
      <c r="F1417" s="118" t="s">
        <v>46</v>
      </c>
      <c r="G1417" s="153"/>
      <c r="H1417" s="155">
        <v>5.5999999999999999E-3</v>
      </c>
      <c r="I1417" s="154" t="s">
        <v>168</v>
      </c>
      <c r="J1417" s="204">
        <v>2.5999999999999998E-4</v>
      </c>
      <c r="K1417" s="154" t="s">
        <v>24</v>
      </c>
      <c r="L1417" s="154" t="str">
        <f>IF(OpenLCAbasic!K1417="CTUh", "Fill in Manually",IF(OR(K1417="Unit", K1417=""), "", INDEX(LookUps!$E$5:$E$12, MATCH(OpenLCAbasic!K1417,LookUps!$D$5:$D$12,0))))</f>
        <v>Acidification Potential (AP) - kg SO2 eq</v>
      </c>
      <c r="M1417" s="154" t="str">
        <f t="shared" si="76"/>
        <v>Low_Base_Low_Upgraded_Acidification Potential (AP) - kg SO2 eq_ClearCove SCP; wastewater treatment unit; at updated plant - US_Base_With Amendment_Windrow</v>
      </c>
    </row>
    <row r="1418" spans="1:13" s="120" customFormat="1" x14ac:dyDescent="0.25">
      <c r="A1418" s="119"/>
      <c r="B1418" s="138" t="str">
        <f t="shared" si="74"/>
        <v>Windrow</v>
      </c>
      <c r="C1418" s="138" t="str">
        <f t="shared" si="75"/>
        <v>Base_With Amendment</v>
      </c>
      <c r="D1418" s="118" t="s">
        <v>133</v>
      </c>
      <c r="E1418" s="118" t="s">
        <v>180</v>
      </c>
      <c r="F1418" s="118" t="s">
        <v>46</v>
      </c>
      <c r="G1418" s="153"/>
      <c r="H1418" s="155">
        <v>8.9999999999999998E-4</v>
      </c>
      <c r="I1418" s="154" t="s">
        <v>148</v>
      </c>
      <c r="J1418" s="204">
        <v>4.0354700000000002E-5</v>
      </c>
      <c r="K1418" s="154" t="s">
        <v>24</v>
      </c>
      <c r="L1418" s="154" t="str">
        <f>IF(OpenLCAbasic!K1418="CTUh", "Fill in Manually",IF(OR(K1418="Unit", K1418=""), "", INDEX(LookUps!$E$5:$E$12, MATCH(OpenLCAbasic!K1418,LookUps!$D$5:$D$12,0))))</f>
        <v>Acidification Potential (AP) - kg SO2 eq</v>
      </c>
      <c r="M1418" s="154" t="str">
        <f t="shared" si="76"/>
        <v>Low_Base_Low_Upgraded_Acidification Potential (AP) - kg SO2 eq_Control Building; at upgraded wastewater treatment plant - US_Base_With Amendment_Windrow</v>
      </c>
    </row>
    <row r="1419" spans="1:13" s="120" customFormat="1" x14ac:dyDescent="0.25">
      <c r="A1419" s="119"/>
      <c r="B1419" s="138" t="str">
        <f t="shared" si="74"/>
        <v>Windrow</v>
      </c>
      <c r="C1419" s="138" t="str">
        <f t="shared" si="75"/>
        <v>Base_With Amendment</v>
      </c>
      <c r="D1419" s="118" t="s">
        <v>133</v>
      </c>
      <c r="E1419" s="118" t="s">
        <v>180</v>
      </c>
      <c r="F1419" s="118" t="s">
        <v>46</v>
      </c>
      <c r="G1419" s="153" t="s">
        <v>51</v>
      </c>
      <c r="H1419" s="154"/>
      <c r="I1419" s="154" t="s">
        <v>47</v>
      </c>
      <c r="J1419" s="154" t="s">
        <v>52</v>
      </c>
      <c r="K1419" s="154" t="s">
        <v>27</v>
      </c>
      <c r="L1419" s="154" t="str">
        <f>IF(OpenLCAbasic!K1419="CTUh", "Fill in Manually",IF(OR(K1419="Unit", K1419=""), "", INDEX(LookUps!$E$5:$E$12, MATCH(OpenLCAbasic!K1419,LookUps!$D$5:$D$12,0))))</f>
        <v/>
      </c>
      <c r="M1419" s="154" t="str">
        <f t="shared" si="76"/>
        <v>Low_Base_Low_Upgraded__Process_Base_With Amendment_Windrow</v>
      </c>
    </row>
    <row r="1420" spans="1:13" s="120" customFormat="1" x14ac:dyDescent="0.25">
      <c r="A1420" s="119"/>
      <c r="B1420" s="138" t="str">
        <f t="shared" si="74"/>
        <v>Windrow</v>
      </c>
      <c r="C1420" s="138" t="str">
        <f t="shared" si="75"/>
        <v>Base_With Amendment</v>
      </c>
      <c r="D1420" s="118" t="s">
        <v>133</v>
      </c>
      <c r="E1420" s="118" t="s">
        <v>180</v>
      </c>
      <c r="F1420" s="118" t="s">
        <v>46</v>
      </c>
      <c r="G1420" s="153"/>
      <c r="H1420" s="155">
        <v>0.27489999999999998</v>
      </c>
      <c r="I1420" s="154" t="s">
        <v>167</v>
      </c>
      <c r="J1420" s="203">
        <v>7.9170000000000004E-2</v>
      </c>
      <c r="K1420" s="154" t="s">
        <v>14</v>
      </c>
      <c r="L1420" s="154" t="str">
        <f>IF(OpenLCAbasic!K1420="CTUh", "Fill in Manually",IF(OR(K1420="Unit", K1420=""), "", INDEX(LookUps!$E$5:$E$12, MATCH(OpenLCAbasic!K1420,LookUps!$D$5:$D$12,0))))</f>
        <v>Fossil Depletion Potential (FDP) - kg oil eq</v>
      </c>
      <c r="M1420" s="154" t="str">
        <f t="shared" si="76"/>
        <v>Low_Base_Low_Upgraded_Fossil Depletion Potential (FDP) - kg oil eq_Waste Receiving and Holding; wastewater treatment unit; at updated plant - US_Base_With Amendment_Windrow</v>
      </c>
    </row>
    <row r="1421" spans="1:13" s="120" customFormat="1" x14ac:dyDescent="0.25">
      <c r="A1421" s="119"/>
      <c r="B1421" s="138" t="str">
        <f t="shared" si="74"/>
        <v>Windrow</v>
      </c>
      <c r="C1421" s="138" t="str">
        <f t="shared" si="75"/>
        <v>Base_With Amendment</v>
      </c>
      <c r="D1421" s="118" t="s">
        <v>133</v>
      </c>
      <c r="E1421" s="118" t="s">
        <v>180</v>
      </c>
      <c r="F1421" s="118" t="s">
        <v>46</v>
      </c>
      <c r="G1421" s="153"/>
      <c r="H1421" s="155">
        <v>0.2208</v>
      </c>
      <c r="I1421" s="154" t="s">
        <v>55</v>
      </c>
      <c r="J1421" s="203">
        <v>6.3589999999999994E-2</v>
      </c>
      <c r="K1421" s="154" t="s">
        <v>14</v>
      </c>
      <c r="L1421" s="154" t="str">
        <f>IF(OpenLCAbasic!K1421="CTUh", "Fill in Manually",IF(OR(K1421="Unit", K1421=""), "", INDEX(LookUps!$E$5:$E$12, MATCH(OpenLCAbasic!K1421,LookUps!$D$5:$D$12,0))))</f>
        <v>Fossil Depletion Potential (FDP) - kg oil eq</v>
      </c>
      <c r="M1421" s="154" t="str">
        <f t="shared" si="76"/>
        <v>Low_Base_Low_Upgraded_Fossil Depletion Potential (FDP) - kg oil eq_Aeration Tanks; wastewater treatment unit; at updated plant - US_Base_With Amendment_Windrow</v>
      </c>
    </row>
    <row r="1422" spans="1:13" s="120" customFormat="1" x14ac:dyDescent="0.25">
      <c r="A1422" s="119"/>
      <c r="B1422" s="138" t="str">
        <f t="shared" si="74"/>
        <v>Windrow</v>
      </c>
      <c r="C1422" s="138" t="str">
        <f t="shared" si="75"/>
        <v>Base_With Amendment</v>
      </c>
      <c r="D1422" s="118" t="s">
        <v>133</v>
      </c>
      <c r="E1422" s="118" t="s">
        <v>180</v>
      </c>
      <c r="F1422" s="118" t="s">
        <v>46</v>
      </c>
      <c r="G1422" s="153"/>
      <c r="H1422" s="155">
        <v>0.21460000000000001</v>
      </c>
      <c r="I1422" s="154" t="s">
        <v>149</v>
      </c>
      <c r="J1422" s="203">
        <v>6.1809999999999997E-2</v>
      </c>
      <c r="K1422" s="154" t="s">
        <v>14</v>
      </c>
      <c r="L1422" s="154" t="str">
        <f>IF(OpenLCAbasic!K1422="CTUh", "Fill in Manually",IF(OR(K1422="Unit", K1422=""), "", INDEX(LookUps!$E$5:$E$12, MATCH(OpenLCAbasic!K1422,LookUps!$D$5:$D$12,0))))</f>
        <v>Fossil Depletion Potential (FDP) - kg oil eq</v>
      </c>
      <c r="M1422" s="154" t="str">
        <f t="shared" si="76"/>
        <v>Low_Base_Low_Upgraded_Fossil Depletion Potential (FDP) - kg oil eq_Anaerobic Digestion; wastewater treatment unit; at updated plant - US_Base_With Amendment_Windrow</v>
      </c>
    </row>
    <row r="1423" spans="1:13" s="120" customFormat="1" x14ac:dyDescent="0.25">
      <c r="A1423" s="119"/>
      <c r="B1423" s="138" t="str">
        <f t="shared" si="74"/>
        <v>Windrow</v>
      </c>
      <c r="C1423" s="138" t="str">
        <f t="shared" si="75"/>
        <v>Base_With Amendment</v>
      </c>
      <c r="D1423" s="118" t="s">
        <v>133</v>
      </c>
      <c r="E1423" s="118" t="s">
        <v>180</v>
      </c>
      <c r="F1423" s="118" t="s">
        <v>46</v>
      </c>
      <c r="G1423" s="153"/>
      <c r="H1423" s="155">
        <v>7.3099999999999998E-2</v>
      </c>
      <c r="I1423" s="154" t="s">
        <v>54</v>
      </c>
      <c r="J1423" s="203">
        <v>2.1049999999999999E-2</v>
      </c>
      <c r="K1423" s="154" t="s">
        <v>14</v>
      </c>
      <c r="L1423" s="154" t="str">
        <f>IF(OpenLCAbasic!K1423="CTUh", "Fill in Manually",IF(OR(K1423="Unit", K1423=""), "", INDEX(LookUps!$E$5:$E$12, MATCH(OpenLCAbasic!K1423,LookUps!$D$5:$D$12,0))))</f>
        <v>Fossil Depletion Potential (FDP) - kg oil eq</v>
      </c>
      <c r="M1423" s="154" t="str">
        <f t="shared" si="76"/>
        <v>Low_Base_Low_Upgraded_Fossil Depletion Potential (FDP) - kg oil eq_Clear Cove Primary Clarification; wastewater treatment unit; at updated plant - US_Base_With Amendment_Windrow</v>
      </c>
    </row>
    <row r="1424" spans="1:13" s="120" customFormat="1" x14ac:dyDescent="0.25">
      <c r="A1424" s="119"/>
      <c r="B1424" s="138" t="str">
        <f t="shared" si="74"/>
        <v>Windrow</v>
      </c>
      <c r="C1424" s="138" t="str">
        <f t="shared" si="75"/>
        <v>Base_With Amendment</v>
      </c>
      <c r="D1424" s="118" t="s">
        <v>133</v>
      </c>
      <c r="E1424" s="118" t="s">
        <v>180</v>
      </c>
      <c r="F1424" s="118" t="s">
        <v>46</v>
      </c>
      <c r="G1424" s="153"/>
      <c r="H1424" s="155">
        <v>5.5300000000000002E-2</v>
      </c>
      <c r="I1424" s="154" t="s">
        <v>58</v>
      </c>
      <c r="J1424" s="203">
        <v>1.592E-2</v>
      </c>
      <c r="K1424" s="154" t="s">
        <v>14</v>
      </c>
      <c r="L1424" s="154" t="str">
        <f>IF(OpenLCAbasic!K1424="CTUh", "Fill in Manually",IF(OR(K1424="Unit", K1424=""), "", INDEX(LookUps!$E$5:$E$12, MATCH(OpenLCAbasic!K1424,LookUps!$D$5:$D$12,0))))</f>
        <v>Fossil Depletion Potential (FDP) - kg oil eq</v>
      </c>
      <c r="M1424" s="154" t="str">
        <f t="shared" si="76"/>
        <v>Low_Base_Low_Upgraded_Fossil Depletion Potential (FDP) - kg oil eq_Pre-Anoxic &amp; Swing tank; wastewater treatment unit; at updated plant - US_Base_With Amendment_Windrow</v>
      </c>
    </row>
    <row r="1425" spans="1:13" s="120" customFormat="1" x14ac:dyDescent="0.25">
      <c r="A1425" s="119"/>
      <c r="B1425" s="138" t="str">
        <f t="shared" si="74"/>
        <v>Windrow</v>
      </c>
      <c r="C1425" s="138" t="str">
        <f t="shared" si="75"/>
        <v>Base_With Amendment</v>
      </c>
      <c r="D1425" s="118" t="s">
        <v>133</v>
      </c>
      <c r="E1425" s="118" t="s">
        <v>180</v>
      </c>
      <c r="F1425" s="118" t="s">
        <v>46</v>
      </c>
      <c r="G1425" s="153"/>
      <c r="H1425" s="155">
        <v>5.2400000000000002E-2</v>
      </c>
      <c r="I1425" s="154" t="s">
        <v>147</v>
      </c>
      <c r="J1425" s="203">
        <v>1.5089999999999999E-2</v>
      </c>
      <c r="K1425" s="154" t="s">
        <v>14</v>
      </c>
      <c r="L1425" s="154" t="str">
        <f>IF(OpenLCAbasic!K1425="CTUh", "Fill in Manually",IF(OR(K1425="Unit", K1425=""), "", INDEX(LookUps!$E$5:$E$12, MATCH(OpenLCAbasic!K1425,LookUps!$D$5:$D$12,0))))</f>
        <v>Fossil Depletion Potential (FDP) - kg oil eq</v>
      </c>
      <c r="M1425" s="154" t="str">
        <f t="shared" si="76"/>
        <v>Low_Base_Low_Upgraded_Fossil Depletion Potential (FDP) - kg oil eq_Influent Pump Station; wastewater treatment unit; at updated plant - US_Base_With Amendment_Windrow</v>
      </c>
    </row>
    <row r="1426" spans="1:13" s="120" customFormat="1" x14ac:dyDescent="0.25">
      <c r="A1426" s="119"/>
      <c r="B1426" s="138" t="str">
        <f t="shared" si="74"/>
        <v>Windrow</v>
      </c>
      <c r="C1426" s="138" t="str">
        <f t="shared" si="75"/>
        <v>Base_With Amendment</v>
      </c>
      <c r="D1426" s="118" t="s">
        <v>133</v>
      </c>
      <c r="E1426" s="118" t="s">
        <v>180</v>
      </c>
      <c r="F1426" s="118" t="s">
        <v>46</v>
      </c>
      <c r="G1426" s="153"/>
      <c r="H1426" s="155">
        <v>4.3400000000000001E-2</v>
      </c>
      <c r="I1426" s="154" t="s">
        <v>53</v>
      </c>
      <c r="J1426" s="204">
        <v>1.2489999999999999E-2</v>
      </c>
      <c r="K1426" s="154" t="s">
        <v>14</v>
      </c>
      <c r="L1426" s="154" t="str">
        <f>IF(OpenLCAbasic!K1426="CTUh", "Fill in Manually",IF(OR(K1426="Unit", K1426=""), "", INDEX(LookUps!$E$5:$E$12, MATCH(OpenLCAbasic!K1426,LookUps!$D$5:$D$12,0))))</f>
        <v>Fossil Depletion Potential (FDP) - kg oil eq</v>
      </c>
      <c r="M1426" s="154" t="str">
        <f t="shared" si="76"/>
        <v>Low_Base_Low_Upgraded_Fossil Depletion Potential (FDP) - kg oil eq_Wet Well and Sump Station; wastewater treatment unit; at updated plant - US_Base_With Amendment_Windrow</v>
      </c>
    </row>
    <row r="1427" spans="1:13" s="120" customFormat="1" x14ac:dyDescent="0.25">
      <c r="A1427" s="119"/>
      <c r="B1427" s="138" t="str">
        <f t="shared" si="74"/>
        <v>Windrow</v>
      </c>
      <c r="C1427" s="138" t="str">
        <f t="shared" si="75"/>
        <v>Base_With Amendment</v>
      </c>
      <c r="D1427" s="118" t="s">
        <v>133</v>
      </c>
      <c r="E1427" s="118" t="s">
        <v>180</v>
      </c>
      <c r="F1427" s="118" t="s">
        <v>46</v>
      </c>
      <c r="G1427" s="153"/>
      <c r="H1427" s="155">
        <v>2.4E-2</v>
      </c>
      <c r="I1427" s="154" t="s">
        <v>57</v>
      </c>
      <c r="J1427" s="204">
        <v>6.9199999999999999E-3</v>
      </c>
      <c r="K1427" s="154" t="s">
        <v>14</v>
      </c>
      <c r="L1427" s="154" t="str">
        <f>IF(OpenLCAbasic!K1427="CTUh", "Fill in Manually",IF(OR(K1427="Unit", K1427=""), "", INDEX(LookUps!$E$5:$E$12, MATCH(OpenLCAbasic!K1427,LookUps!$D$5:$D$12,0))))</f>
        <v>Fossil Depletion Potential (FDP) - kg oil eq</v>
      </c>
      <c r="M1427" s="154" t="str">
        <f t="shared" si="76"/>
        <v>Low_Base_Low_Upgraded_Fossil Depletion Potential (FDP) - kg oil eq_Gravity Belt Thickener; wastewater treatment unit; at updated plant - US_Base_With Amendment_Windrow</v>
      </c>
    </row>
    <row r="1428" spans="1:13" s="120" customFormat="1" x14ac:dyDescent="0.25">
      <c r="A1428" s="119"/>
      <c r="B1428" s="138" t="str">
        <f t="shared" si="74"/>
        <v>Windrow</v>
      </c>
      <c r="C1428" s="138" t="str">
        <f t="shared" si="75"/>
        <v>Base_With Amendment</v>
      </c>
      <c r="D1428" s="118" t="s">
        <v>133</v>
      </c>
      <c r="E1428" s="118" t="s">
        <v>180</v>
      </c>
      <c r="F1428" s="118" t="s">
        <v>46</v>
      </c>
      <c r="G1428" s="153"/>
      <c r="H1428" s="155">
        <v>2.24E-2</v>
      </c>
      <c r="I1428" s="154" t="s">
        <v>60</v>
      </c>
      <c r="J1428" s="204">
        <v>6.45E-3</v>
      </c>
      <c r="K1428" s="154" t="s">
        <v>14</v>
      </c>
      <c r="L1428" s="154" t="str">
        <f>IF(OpenLCAbasic!K1428="CTUh", "Fill in Manually",IF(OR(K1428="Unit", K1428=""), "", INDEX(LookUps!$E$5:$E$12, MATCH(OpenLCAbasic!K1428,LookUps!$D$5:$D$12,0))))</f>
        <v>Fossil Depletion Potential (FDP) - kg oil eq</v>
      </c>
      <c r="M1428" s="154" t="str">
        <f t="shared" si="76"/>
        <v>Low_Base_Low_Upgraded_Fossil Depletion Potential (FDP) - kg oil eq_Belt filter press; wastewater treatment unit; at updated plant - US_Base_With Amendment_Windrow</v>
      </c>
    </row>
    <row r="1429" spans="1:13" s="120" customFormat="1" x14ac:dyDescent="0.25">
      <c r="A1429" s="119"/>
      <c r="B1429" s="138" t="str">
        <f t="shared" si="74"/>
        <v>Windrow</v>
      </c>
      <c r="C1429" s="138" t="str">
        <f t="shared" si="75"/>
        <v>Base_With Amendment</v>
      </c>
      <c r="D1429" s="118" t="s">
        <v>133</v>
      </c>
      <c r="E1429" s="118" t="s">
        <v>180</v>
      </c>
      <c r="F1429" s="118" t="s">
        <v>46</v>
      </c>
      <c r="G1429" s="153"/>
      <c r="H1429" s="155">
        <v>1.5599999999999999E-2</v>
      </c>
      <c r="I1429" s="154" t="s">
        <v>128</v>
      </c>
      <c r="J1429" s="204">
        <v>4.4999999999999997E-3</v>
      </c>
      <c r="K1429" s="154" t="s">
        <v>14</v>
      </c>
      <c r="L1429" s="154" t="str">
        <f>IF(OpenLCAbasic!K1429="CTUh", "Fill in Manually",IF(OR(K1429="Unit", K1429=""), "", INDEX(LookUps!$E$5:$E$12, MATCH(OpenLCAbasic!K1429,LookUps!$D$5:$D$12,0))))</f>
        <v>Fossil Depletion Potential (FDP) - kg oil eq</v>
      </c>
      <c r="M1429" s="154" t="str">
        <f t="shared" si="76"/>
        <v>Low_Base_Low_Upgraded_Fossil Depletion Potential (FDP) - kg oil eq_Wastewater collection; operation and infrastructure; m3 wastewater_Base_With Amendment_Windrow</v>
      </c>
    </row>
    <row r="1430" spans="1:13" s="120" customFormat="1" x14ac:dyDescent="0.25">
      <c r="A1430" s="119"/>
      <c r="B1430" s="138" t="str">
        <f t="shared" si="74"/>
        <v>Windrow</v>
      </c>
      <c r="C1430" s="138" t="str">
        <f t="shared" si="75"/>
        <v>Base_With Amendment</v>
      </c>
      <c r="D1430" s="118" t="s">
        <v>133</v>
      </c>
      <c r="E1430" s="118" t="s">
        <v>180</v>
      </c>
      <c r="F1430" s="118" t="s">
        <v>46</v>
      </c>
      <c r="G1430" s="153"/>
      <c r="H1430" s="155">
        <v>9.7000000000000003E-3</v>
      </c>
      <c r="I1430" s="154" t="s">
        <v>148</v>
      </c>
      <c r="J1430" s="204">
        <v>2.8E-3</v>
      </c>
      <c r="K1430" s="154" t="s">
        <v>14</v>
      </c>
      <c r="L1430" s="154" t="str">
        <f>IF(OpenLCAbasic!K1430="CTUh", "Fill in Manually",IF(OR(K1430="Unit", K1430=""), "", INDEX(LookUps!$E$5:$E$12, MATCH(OpenLCAbasic!K1430,LookUps!$D$5:$D$12,0))))</f>
        <v>Fossil Depletion Potential (FDP) - kg oil eq</v>
      </c>
      <c r="M1430" s="154" t="str">
        <f t="shared" si="76"/>
        <v>Low_Base_Low_Upgraded_Fossil Depletion Potential (FDP) - kg oil eq_Control Building; at upgraded wastewater treatment plant - US_Base_With Amendment_Windrow</v>
      </c>
    </row>
    <row r="1431" spans="1:13" s="120" customFormat="1" x14ac:dyDescent="0.25">
      <c r="A1431" s="119"/>
      <c r="B1431" s="138" t="str">
        <f t="shared" si="74"/>
        <v>Windrow</v>
      </c>
      <c r="C1431" s="138" t="str">
        <f t="shared" si="75"/>
        <v>Base_With Amendment</v>
      </c>
      <c r="D1431" s="118" t="s">
        <v>133</v>
      </c>
      <c r="E1431" s="118" t="s">
        <v>180</v>
      </c>
      <c r="F1431" s="118" t="s">
        <v>46</v>
      </c>
      <c r="G1431" s="153"/>
      <c r="H1431" s="155">
        <v>8.2000000000000007E-3</v>
      </c>
      <c r="I1431" s="154" t="s">
        <v>48</v>
      </c>
      <c r="J1431" s="204">
        <v>2.3600000000000001E-3</v>
      </c>
      <c r="K1431" s="154" t="s">
        <v>14</v>
      </c>
      <c r="L1431" s="154" t="str">
        <f>IF(OpenLCAbasic!K1431="CTUh", "Fill in Manually",IF(OR(K1431="Unit", K1431=""), "", INDEX(LookUps!$E$5:$E$12, MATCH(OpenLCAbasic!K1431,LookUps!$D$5:$D$12,0))))</f>
        <v>Fossil Depletion Potential (FDP) - kg oil eq</v>
      </c>
      <c r="M1431" s="154" t="str">
        <f t="shared" si="76"/>
        <v>Low_Base_Low_Upgraded_Fossil Depletion Potential (FDP) - kg oil eq_Effluent release; wastewater treatment unit; at surface water; m3 wastewater - US_Base_With Amendment_Windrow</v>
      </c>
    </row>
    <row r="1432" spans="1:13" s="120" customFormat="1" x14ac:dyDescent="0.25">
      <c r="A1432" s="119"/>
      <c r="B1432" s="138" t="str">
        <f t="shared" si="74"/>
        <v>Windrow</v>
      </c>
      <c r="C1432" s="138" t="str">
        <f t="shared" si="75"/>
        <v>Base_With Amendment</v>
      </c>
      <c r="D1432" s="118" t="s">
        <v>133</v>
      </c>
      <c r="E1432" s="118" t="s">
        <v>180</v>
      </c>
      <c r="F1432" s="118" t="s">
        <v>46</v>
      </c>
      <c r="G1432" s="153"/>
      <c r="H1432" s="155">
        <v>6.7000000000000002E-3</v>
      </c>
      <c r="I1432" s="154" t="s">
        <v>59</v>
      </c>
      <c r="J1432" s="204">
        <v>1.92E-3</v>
      </c>
      <c r="K1432" s="154" t="s">
        <v>14</v>
      </c>
      <c r="L1432" s="154" t="str">
        <f>IF(OpenLCAbasic!K1432="CTUh", "Fill in Manually",IF(OR(K1432="Unit", K1432=""), "", INDEX(LookUps!$E$5:$E$12, MATCH(OpenLCAbasic!K1432,LookUps!$D$5:$D$12,0))))</f>
        <v>Fossil Depletion Potential (FDP) - kg oil eq</v>
      </c>
      <c r="M1432" s="154" t="str">
        <f t="shared" si="76"/>
        <v>Low_Base_Low_Upgraded_Fossil Depletion Potential (FDP) - kg oil eq_Blend Tank; wastewater treatment unit; at updated plant - US_Base_With Amendment_Windrow</v>
      </c>
    </row>
    <row r="1433" spans="1:13" s="120" customFormat="1" x14ac:dyDescent="0.25">
      <c r="A1433" s="119"/>
      <c r="B1433" s="138" t="str">
        <f t="shared" si="74"/>
        <v>Windrow</v>
      </c>
      <c r="C1433" s="138" t="str">
        <f t="shared" si="75"/>
        <v>Base_With Amendment</v>
      </c>
      <c r="D1433" s="118" t="s">
        <v>133</v>
      </c>
      <c r="E1433" s="118" t="s">
        <v>180</v>
      </c>
      <c r="F1433" s="118" t="s">
        <v>46</v>
      </c>
      <c r="G1433" s="153"/>
      <c r="H1433" s="155">
        <v>3.2000000000000002E-3</v>
      </c>
      <c r="I1433" s="154" t="s">
        <v>168</v>
      </c>
      <c r="J1433" s="204">
        <v>9.1E-4</v>
      </c>
      <c r="K1433" s="154" t="s">
        <v>14</v>
      </c>
      <c r="L1433" s="154" t="str">
        <f>IF(OpenLCAbasic!K1433="CTUh", "Fill in Manually",IF(OR(K1433="Unit", K1433=""), "", INDEX(LookUps!$E$5:$E$12, MATCH(OpenLCAbasic!K1433,LookUps!$D$5:$D$12,0))))</f>
        <v>Fossil Depletion Potential (FDP) - kg oil eq</v>
      </c>
      <c r="M1433" s="154" t="str">
        <f t="shared" si="76"/>
        <v>Low_Base_Low_Upgraded_Fossil Depletion Potential (FDP) - kg oil eq_ClearCove SCP; wastewater treatment unit; at updated plant - US_Base_With Amendment_Windrow</v>
      </c>
    </row>
    <row r="1434" spans="1:13" s="120" customFormat="1" x14ac:dyDescent="0.25">
      <c r="A1434" s="119"/>
      <c r="B1434" s="138" t="str">
        <f t="shared" si="74"/>
        <v>Windrow</v>
      </c>
      <c r="C1434" s="138" t="str">
        <f t="shared" si="75"/>
        <v>Base_With Amendment</v>
      </c>
      <c r="D1434" s="118" t="s">
        <v>133</v>
      </c>
      <c r="E1434" s="118" t="s">
        <v>180</v>
      </c>
      <c r="F1434" s="118" t="s">
        <v>46</v>
      </c>
      <c r="G1434" s="153"/>
      <c r="H1434" s="155">
        <v>1.6999999999999999E-3</v>
      </c>
      <c r="I1434" s="154" t="s">
        <v>271</v>
      </c>
      <c r="J1434" s="204">
        <v>4.8999999999999998E-4</v>
      </c>
      <c r="K1434" s="154" t="s">
        <v>14</v>
      </c>
      <c r="L1434" s="154" t="str">
        <f>IF(OpenLCAbasic!K1434="CTUh", "Fill in Manually",IF(OR(K1434="Unit", K1434=""), "", INDEX(LookUps!$E$5:$E$12, MATCH(OpenLCAbasic!K1434,LookUps!$D$5:$D$12,0))))</f>
        <v>Fossil Depletion Potential (FDP) - kg oil eq</v>
      </c>
      <c r="M1434" s="154" t="str">
        <f t="shared" si="76"/>
        <v>Low_Base_Low_Upgraded_Fossil Depletion Potential (FDP) - kg oil eq_Biosolids composting; windrow composting; wastewater treatment unit; at updated plant - US_Base_With Amendment_Windrow</v>
      </c>
    </row>
    <row r="1435" spans="1:13" s="120" customFormat="1" x14ac:dyDescent="0.25">
      <c r="A1435" s="119"/>
      <c r="B1435" s="138" t="str">
        <f t="shared" si="74"/>
        <v>Windrow</v>
      </c>
      <c r="C1435" s="138" t="str">
        <f t="shared" si="75"/>
        <v>Base_With Amendment</v>
      </c>
      <c r="D1435" s="118" t="s">
        <v>133</v>
      </c>
      <c r="E1435" s="118" t="s">
        <v>180</v>
      </c>
      <c r="F1435" s="118" t="s">
        <v>46</v>
      </c>
      <c r="G1435" s="153"/>
      <c r="H1435" s="155">
        <v>-2.6100000000000002E-2</v>
      </c>
      <c r="I1435" s="154" t="s">
        <v>62</v>
      </c>
      <c r="J1435" s="204">
        <v>-7.4999999999999997E-3</v>
      </c>
      <c r="K1435" s="154" t="s">
        <v>14</v>
      </c>
      <c r="L1435" s="154" t="str">
        <f>IF(OpenLCAbasic!K1435="CTUh", "Fill in Manually",IF(OR(K1435="Unit", K1435=""), "", INDEX(LookUps!$E$5:$E$12, MATCH(OpenLCAbasic!K1435,LookUps!$D$5:$D$12,0))))</f>
        <v>Fossil Depletion Potential (FDP) - kg oil eq</v>
      </c>
      <c r="M1435" s="154" t="str">
        <f t="shared" si="76"/>
        <v>Low_Base_Low_Upgraded_Fossil Depletion Potential (FDP) - kg oil eq_Land application of compost; wastewater treatment unit; at updated plant - US_Base_With Amendment_Windrow</v>
      </c>
    </row>
    <row r="1436" spans="1:13" s="120" customFormat="1" x14ac:dyDescent="0.25">
      <c r="A1436" s="119"/>
      <c r="B1436" s="138" t="str">
        <f t="shared" si="74"/>
        <v>Windrow</v>
      </c>
      <c r="C1436" s="138" t="str">
        <f t="shared" si="75"/>
        <v>Base_With Amendment</v>
      </c>
      <c r="D1436" s="118" t="s">
        <v>133</v>
      </c>
      <c r="E1436" s="118" t="s">
        <v>180</v>
      </c>
      <c r="F1436" s="118" t="s">
        <v>46</v>
      </c>
      <c r="G1436" s="153" t="s">
        <v>51</v>
      </c>
      <c r="H1436" s="154"/>
      <c r="I1436" s="154" t="s">
        <v>47</v>
      </c>
      <c r="J1436" s="154" t="s">
        <v>52</v>
      </c>
      <c r="K1436" s="154" t="s">
        <v>27</v>
      </c>
      <c r="L1436" s="154" t="str">
        <f>IF(OpenLCAbasic!K1436="CTUh", "Fill in Manually",IF(OR(K1436="Unit", K1436=""), "", INDEX(LookUps!$E$5:$E$12, MATCH(OpenLCAbasic!K1436,LookUps!$D$5:$D$12,0))))</f>
        <v/>
      </c>
      <c r="M1436" s="154" t="str">
        <f t="shared" si="76"/>
        <v>Low_Base_Low_Upgraded__Process_Base_With Amendment_Windrow</v>
      </c>
    </row>
    <row r="1437" spans="1:13" s="120" customFormat="1" x14ac:dyDescent="0.25">
      <c r="A1437" s="119"/>
      <c r="B1437" s="138" t="str">
        <f t="shared" si="74"/>
        <v>Windrow</v>
      </c>
      <c r="C1437" s="138" t="str">
        <f t="shared" si="75"/>
        <v>Base_With Amendment</v>
      </c>
      <c r="D1437" s="118" t="s">
        <v>133</v>
      </c>
      <c r="E1437" s="118" t="s">
        <v>180</v>
      </c>
      <c r="F1437" s="118" t="s">
        <v>46</v>
      </c>
      <c r="G1437" s="153"/>
      <c r="H1437" s="155">
        <v>0.41599999999999998</v>
      </c>
      <c r="I1437" s="154" t="s">
        <v>55</v>
      </c>
      <c r="J1437" s="204">
        <v>2.33E-3</v>
      </c>
      <c r="K1437" s="154" t="s">
        <v>145</v>
      </c>
      <c r="L1437" s="154" t="str">
        <f>IF(OpenLCAbasic!K1437="CTUh", "Fill in Manually",IF(OR(K1437="Unit", K1437=""), "", INDEX(LookUps!$E$5:$E$12, MATCH(OpenLCAbasic!K1437,LookUps!$D$5:$D$12,0))))</f>
        <v>Particulate Matter Formation Potential (PMFP) - kg PM2.5 eq</v>
      </c>
      <c r="M1437" s="154" t="str">
        <f t="shared" si="76"/>
        <v>Low_Base_Low_Upgraded_Particulate Matter Formation Potential (PMFP) - kg PM2.5 eq_Aeration Tanks; wastewater treatment unit; at updated plant - US_Base_With Amendment_Windrow</v>
      </c>
    </row>
    <row r="1438" spans="1:13" s="120" customFormat="1" x14ac:dyDescent="0.25">
      <c r="A1438" s="119"/>
      <c r="B1438" s="138" t="str">
        <f t="shared" si="74"/>
        <v>Windrow</v>
      </c>
      <c r="C1438" s="138" t="str">
        <f t="shared" si="75"/>
        <v>Base_With Amendment</v>
      </c>
      <c r="D1438" s="118" t="s">
        <v>133</v>
      </c>
      <c r="E1438" s="118" t="s">
        <v>180</v>
      </c>
      <c r="F1438" s="118" t="s">
        <v>46</v>
      </c>
      <c r="G1438" s="153"/>
      <c r="H1438" s="155">
        <v>0.121</v>
      </c>
      <c r="I1438" s="154" t="s">
        <v>54</v>
      </c>
      <c r="J1438" s="204">
        <v>6.8000000000000005E-4</v>
      </c>
      <c r="K1438" s="154" t="s">
        <v>145</v>
      </c>
      <c r="L1438" s="154" t="str">
        <f>IF(OpenLCAbasic!K1438="CTUh", "Fill in Manually",IF(OR(K1438="Unit", K1438=""), "", INDEX(LookUps!$E$5:$E$12, MATCH(OpenLCAbasic!K1438,LookUps!$D$5:$D$12,0))))</f>
        <v>Particulate Matter Formation Potential (PMFP) - kg PM2.5 eq</v>
      </c>
      <c r="M1438" s="154" t="str">
        <f t="shared" si="76"/>
        <v>Low_Base_Low_Upgraded_Particulate Matter Formation Potential (PMFP) - kg PM2.5 eq_Clear Cove Primary Clarification; wastewater treatment unit; at updated plant - US_Base_With Amendment_Windrow</v>
      </c>
    </row>
    <row r="1439" spans="1:13" s="120" customFormat="1" x14ac:dyDescent="0.25">
      <c r="A1439" s="119"/>
      <c r="B1439" s="138" t="str">
        <f t="shared" si="74"/>
        <v>Windrow</v>
      </c>
      <c r="C1439" s="138" t="str">
        <f t="shared" si="75"/>
        <v>Base_With Amendment</v>
      </c>
      <c r="D1439" s="118" t="s">
        <v>133</v>
      </c>
      <c r="E1439" s="118" t="s">
        <v>180</v>
      </c>
      <c r="F1439" s="118" t="s">
        <v>46</v>
      </c>
      <c r="G1439" s="153"/>
      <c r="H1439" s="155">
        <v>0.1046</v>
      </c>
      <c r="I1439" s="154" t="s">
        <v>58</v>
      </c>
      <c r="J1439" s="204">
        <v>5.9000000000000003E-4</v>
      </c>
      <c r="K1439" s="154" t="s">
        <v>145</v>
      </c>
      <c r="L1439" s="154" t="str">
        <f>IF(OpenLCAbasic!K1439="CTUh", "Fill in Manually",IF(OR(K1439="Unit", K1439=""), "", INDEX(LookUps!$E$5:$E$12, MATCH(OpenLCAbasic!K1439,LookUps!$D$5:$D$12,0))))</f>
        <v>Particulate Matter Formation Potential (PMFP) - kg PM2.5 eq</v>
      </c>
      <c r="M1439" s="154" t="str">
        <f t="shared" si="76"/>
        <v>Low_Base_Low_Upgraded_Particulate Matter Formation Potential (PMFP) - kg PM2.5 eq_Pre-Anoxic &amp; Swing tank; wastewater treatment unit; at updated plant - US_Base_With Amendment_Windrow</v>
      </c>
    </row>
    <row r="1440" spans="1:13" s="120" customFormat="1" x14ac:dyDescent="0.25">
      <c r="A1440" s="119"/>
      <c r="B1440" s="138" t="str">
        <f t="shared" si="74"/>
        <v>Windrow</v>
      </c>
      <c r="C1440" s="138" t="str">
        <f t="shared" si="75"/>
        <v>Base_With Amendment</v>
      </c>
      <c r="D1440" s="118" t="s">
        <v>133</v>
      </c>
      <c r="E1440" s="118" t="s">
        <v>180</v>
      </c>
      <c r="F1440" s="118" t="s">
        <v>46</v>
      </c>
      <c r="G1440" s="153"/>
      <c r="H1440" s="155">
        <v>8.3199999999999996E-2</v>
      </c>
      <c r="I1440" s="154" t="s">
        <v>53</v>
      </c>
      <c r="J1440" s="204">
        <v>4.6999999999999999E-4</v>
      </c>
      <c r="K1440" s="154" t="s">
        <v>145</v>
      </c>
      <c r="L1440" s="154" t="str">
        <f>IF(OpenLCAbasic!K1440="CTUh", "Fill in Manually",IF(OR(K1440="Unit", K1440=""), "", INDEX(LookUps!$E$5:$E$12, MATCH(OpenLCAbasic!K1440,LookUps!$D$5:$D$12,0))))</f>
        <v>Particulate Matter Formation Potential (PMFP) - kg PM2.5 eq</v>
      </c>
      <c r="M1440" s="154" t="str">
        <f t="shared" si="76"/>
        <v>Low_Base_Low_Upgraded_Particulate Matter Formation Potential (PMFP) - kg PM2.5 eq_Wet Well and Sump Station; wastewater treatment unit; at updated plant - US_Base_With Amendment_Windrow</v>
      </c>
    </row>
    <row r="1441" spans="1:13" s="120" customFormat="1" x14ac:dyDescent="0.25">
      <c r="A1441" s="119"/>
      <c r="B1441" s="138" t="str">
        <f t="shared" si="74"/>
        <v>Windrow</v>
      </c>
      <c r="C1441" s="138" t="str">
        <f t="shared" si="75"/>
        <v>Base_With Amendment</v>
      </c>
      <c r="D1441" s="118" t="s">
        <v>133</v>
      </c>
      <c r="E1441" s="118" t="s">
        <v>180</v>
      </c>
      <c r="F1441" s="118" t="s">
        <v>46</v>
      </c>
      <c r="G1441" s="153"/>
      <c r="H1441" s="155">
        <v>6.0100000000000001E-2</v>
      </c>
      <c r="I1441" s="154" t="s">
        <v>149</v>
      </c>
      <c r="J1441" s="204">
        <v>3.4000000000000002E-4</v>
      </c>
      <c r="K1441" s="154" t="s">
        <v>145</v>
      </c>
      <c r="L1441" s="154" t="str">
        <f>IF(OpenLCAbasic!K1441="CTUh", "Fill in Manually",IF(OR(K1441="Unit", K1441=""), "", INDEX(LookUps!$E$5:$E$12, MATCH(OpenLCAbasic!K1441,LookUps!$D$5:$D$12,0))))</f>
        <v>Particulate Matter Formation Potential (PMFP) - kg PM2.5 eq</v>
      </c>
      <c r="M1441" s="154" t="str">
        <f t="shared" si="76"/>
        <v>Low_Base_Low_Upgraded_Particulate Matter Formation Potential (PMFP) - kg PM2.5 eq_Anaerobic Digestion; wastewater treatment unit; at updated plant - US_Base_With Amendment_Windrow</v>
      </c>
    </row>
    <row r="1442" spans="1:13" s="120" customFormat="1" x14ac:dyDescent="0.25">
      <c r="A1442" s="119"/>
      <c r="B1442" s="138" t="str">
        <f t="shared" si="74"/>
        <v>Windrow</v>
      </c>
      <c r="C1442" s="138" t="str">
        <f t="shared" si="75"/>
        <v>Base_With Amendment</v>
      </c>
      <c r="D1442" s="118" t="s">
        <v>133</v>
      </c>
      <c r="E1442" s="118" t="s">
        <v>180</v>
      </c>
      <c r="F1442" s="118" t="s">
        <v>46</v>
      </c>
      <c r="G1442" s="153"/>
      <c r="H1442" s="155">
        <v>5.33E-2</v>
      </c>
      <c r="I1442" s="154" t="s">
        <v>167</v>
      </c>
      <c r="J1442" s="204">
        <v>2.9999999999999997E-4</v>
      </c>
      <c r="K1442" s="154" t="s">
        <v>145</v>
      </c>
      <c r="L1442" s="154" t="str">
        <f>IF(OpenLCAbasic!K1442="CTUh", "Fill in Manually",IF(OR(K1442="Unit", K1442=""), "", INDEX(LookUps!$E$5:$E$12, MATCH(OpenLCAbasic!K1442,LookUps!$D$5:$D$12,0))))</f>
        <v>Particulate Matter Formation Potential (PMFP) - kg PM2.5 eq</v>
      </c>
      <c r="M1442" s="154" t="str">
        <f t="shared" si="76"/>
        <v>Low_Base_Low_Upgraded_Particulate Matter Formation Potential (PMFP) - kg PM2.5 eq_Waste Receiving and Holding; wastewater treatment unit; at updated plant - US_Base_With Amendment_Windrow</v>
      </c>
    </row>
    <row r="1443" spans="1:13" s="120" customFormat="1" x14ac:dyDescent="0.25">
      <c r="A1443" s="119"/>
      <c r="B1443" s="138" t="str">
        <f t="shared" si="74"/>
        <v>Windrow</v>
      </c>
      <c r="C1443" s="138" t="str">
        <f t="shared" si="75"/>
        <v>Base_With Amendment</v>
      </c>
      <c r="D1443" s="118" t="s">
        <v>133</v>
      </c>
      <c r="E1443" s="118" t="s">
        <v>180</v>
      </c>
      <c r="F1443" s="118" t="s">
        <v>46</v>
      </c>
      <c r="G1443" s="153"/>
      <c r="H1443" s="155">
        <v>4.7500000000000001E-2</v>
      </c>
      <c r="I1443" s="154" t="s">
        <v>147</v>
      </c>
      <c r="J1443" s="204">
        <v>2.7E-4</v>
      </c>
      <c r="K1443" s="154" t="s">
        <v>145</v>
      </c>
      <c r="L1443" s="154" t="str">
        <f>IF(OpenLCAbasic!K1443="CTUh", "Fill in Manually",IF(OR(K1443="Unit", K1443=""), "", INDEX(LookUps!$E$5:$E$12, MATCH(OpenLCAbasic!K1443,LookUps!$D$5:$D$12,0))))</f>
        <v>Particulate Matter Formation Potential (PMFP) - kg PM2.5 eq</v>
      </c>
      <c r="M1443" s="154" t="str">
        <f t="shared" si="76"/>
        <v>Low_Base_Low_Upgraded_Particulate Matter Formation Potential (PMFP) - kg PM2.5 eq_Influent Pump Station; wastewater treatment unit; at updated plant - US_Base_With Amendment_Windrow</v>
      </c>
    </row>
    <row r="1444" spans="1:13" s="120" customFormat="1" x14ac:dyDescent="0.25">
      <c r="A1444" s="119"/>
      <c r="B1444" s="138" t="str">
        <f t="shared" si="74"/>
        <v>Windrow</v>
      </c>
      <c r="C1444" s="138" t="str">
        <f t="shared" si="75"/>
        <v>Base_With Amendment</v>
      </c>
      <c r="D1444" s="118" t="s">
        <v>133</v>
      </c>
      <c r="E1444" s="118" t="s">
        <v>180</v>
      </c>
      <c r="F1444" s="118" t="s">
        <v>46</v>
      </c>
      <c r="G1444" s="153"/>
      <c r="H1444" s="155">
        <v>2.9700000000000001E-2</v>
      </c>
      <c r="I1444" s="154" t="s">
        <v>128</v>
      </c>
      <c r="J1444" s="204">
        <v>1.7000000000000001E-4</v>
      </c>
      <c r="K1444" s="154" t="s">
        <v>145</v>
      </c>
      <c r="L1444" s="154" t="str">
        <f>IF(OpenLCAbasic!K1444="CTUh", "Fill in Manually",IF(OR(K1444="Unit", K1444=""), "", INDEX(LookUps!$E$5:$E$12, MATCH(OpenLCAbasic!K1444,LookUps!$D$5:$D$12,0))))</f>
        <v>Particulate Matter Formation Potential (PMFP) - kg PM2.5 eq</v>
      </c>
      <c r="M1444" s="154" t="str">
        <f t="shared" si="76"/>
        <v>Low_Base_Low_Upgraded_Particulate Matter Formation Potential (PMFP) - kg PM2.5 eq_Wastewater collection; operation and infrastructure; m3 wastewater_Base_With Amendment_Windrow</v>
      </c>
    </row>
    <row r="1445" spans="1:13" s="120" customFormat="1" x14ac:dyDescent="0.25">
      <c r="A1445" s="119"/>
      <c r="B1445" s="138" t="str">
        <f t="shared" si="74"/>
        <v>Windrow</v>
      </c>
      <c r="C1445" s="138" t="str">
        <f t="shared" si="75"/>
        <v>Base_With Amendment</v>
      </c>
      <c r="D1445" s="118" t="s">
        <v>133</v>
      </c>
      <c r="E1445" s="118" t="s">
        <v>180</v>
      </c>
      <c r="F1445" s="118" t="s">
        <v>46</v>
      </c>
      <c r="G1445" s="153"/>
      <c r="H1445" s="155">
        <v>2.07E-2</v>
      </c>
      <c r="I1445" s="154" t="s">
        <v>60</v>
      </c>
      <c r="J1445" s="204">
        <v>1.2E-4</v>
      </c>
      <c r="K1445" s="154" t="s">
        <v>145</v>
      </c>
      <c r="L1445" s="154" t="str">
        <f>IF(OpenLCAbasic!K1445="CTUh", "Fill in Manually",IF(OR(K1445="Unit", K1445=""), "", INDEX(LookUps!$E$5:$E$12, MATCH(OpenLCAbasic!K1445,LookUps!$D$5:$D$12,0))))</f>
        <v>Particulate Matter Formation Potential (PMFP) - kg PM2.5 eq</v>
      </c>
      <c r="M1445" s="154" t="str">
        <f t="shared" si="76"/>
        <v>Low_Base_Low_Upgraded_Particulate Matter Formation Potential (PMFP) - kg PM2.5 eq_Belt filter press; wastewater treatment unit; at updated plant - US_Base_With Amendment_Windrow</v>
      </c>
    </row>
    <row r="1446" spans="1:13" s="120" customFormat="1" x14ac:dyDescent="0.25">
      <c r="A1446" s="119"/>
      <c r="B1446" s="138" t="str">
        <f t="shared" si="74"/>
        <v>Windrow</v>
      </c>
      <c r="C1446" s="138" t="str">
        <f t="shared" si="75"/>
        <v>Base_With Amendment</v>
      </c>
      <c r="D1446" s="118" t="s">
        <v>133</v>
      </c>
      <c r="E1446" s="118" t="s">
        <v>180</v>
      </c>
      <c r="F1446" s="118" t="s">
        <v>46</v>
      </c>
      <c r="G1446" s="153"/>
      <c r="H1446" s="155">
        <v>1.7000000000000001E-2</v>
      </c>
      <c r="I1446" s="154" t="s">
        <v>57</v>
      </c>
      <c r="J1446" s="204">
        <v>9.5153800000000004E-5</v>
      </c>
      <c r="K1446" s="154" t="s">
        <v>145</v>
      </c>
      <c r="L1446" s="154" t="str">
        <f>IF(OpenLCAbasic!K1446="CTUh", "Fill in Manually",IF(OR(K1446="Unit", K1446=""), "", INDEX(LookUps!$E$5:$E$12, MATCH(OpenLCAbasic!K1446,LookUps!$D$5:$D$12,0))))</f>
        <v>Particulate Matter Formation Potential (PMFP) - kg PM2.5 eq</v>
      </c>
      <c r="M1446" s="154" t="str">
        <f t="shared" si="76"/>
        <v>Low_Base_Low_Upgraded_Particulate Matter Formation Potential (PMFP) - kg PM2.5 eq_Gravity Belt Thickener; wastewater treatment unit; at updated plant - US_Base_With Amendment_Windrow</v>
      </c>
    </row>
    <row r="1447" spans="1:13" s="120" customFormat="1" x14ac:dyDescent="0.25">
      <c r="A1447" s="119"/>
      <c r="B1447" s="138" t="str">
        <f t="shared" si="74"/>
        <v>Windrow</v>
      </c>
      <c r="C1447" s="138" t="str">
        <f t="shared" si="75"/>
        <v>Base_With Amendment</v>
      </c>
      <c r="D1447" s="118" t="s">
        <v>133</v>
      </c>
      <c r="E1447" s="118" t="s">
        <v>180</v>
      </c>
      <c r="F1447" s="118" t="s">
        <v>46</v>
      </c>
      <c r="G1447" s="153"/>
      <c r="H1447" s="155">
        <v>1.2500000000000001E-2</v>
      </c>
      <c r="I1447" s="154" t="s">
        <v>59</v>
      </c>
      <c r="J1447" s="204">
        <v>6.9942200000000003E-5</v>
      </c>
      <c r="K1447" s="154" t="s">
        <v>145</v>
      </c>
      <c r="L1447" s="154" t="str">
        <f>IF(OpenLCAbasic!K1447="CTUh", "Fill in Manually",IF(OR(K1447="Unit", K1447=""), "", INDEX(LookUps!$E$5:$E$12, MATCH(OpenLCAbasic!K1447,LookUps!$D$5:$D$12,0))))</f>
        <v>Particulate Matter Formation Potential (PMFP) - kg PM2.5 eq</v>
      </c>
      <c r="M1447" s="154" t="str">
        <f t="shared" si="76"/>
        <v>Low_Base_Low_Upgraded_Particulate Matter Formation Potential (PMFP) - kg PM2.5 eq_Blend Tank; wastewater treatment unit; at updated plant - US_Base_With Amendment_Windrow</v>
      </c>
    </row>
    <row r="1448" spans="1:13" s="120" customFormat="1" x14ac:dyDescent="0.25">
      <c r="A1448" s="119"/>
      <c r="B1448" s="138" t="str">
        <f t="shared" si="74"/>
        <v>Windrow</v>
      </c>
      <c r="C1448" s="138" t="str">
        <f t="shared" si="75"/>
        <v>Base_With Amendment</v>
      </c>
      <c r="D1448" s="118" t="s">
        <v>133</v>
      </c>
      <c r="E1448" s="118" t="s">
        <v>180</v>
      </c>
      <c r="F1448" s="118" t="s">
        <v>46</v>
      </c>
      <c r="G1448" s="153"/>
      <c r="H1448" s="155">
        <v>1.03E-2</v>
      </c>
      <c r="I1448" s="154" t="s">
        <v>62</v>
      </c>
      <c r="J1448" s="204">
        <v>5.7777099999999999E-5</v>
      </c>
      <c r="K1448" s="154" t="s">
        <v>145</v>
      </c>
      <c r="L1448" s="154" t="str">
        <f>IF(OpenLCAbasic!K1448="CTUh", "Fill in Manually",IF(OR(K1448="Unit", K1448=""), "", INDEX(LookUps!$E$5:$E$12, MATCH(OpenLCAbasic!K1448,LookUps!$D$5:$D$12,0))))</f>
        <v>Particulate Matter Formation Potential (PMFP) - kg PM2.5 eq</v>
      </c>
      <c r="M1448" s="154" t="str">
        <f t="shared" si="76"/>
        <v>Low_Base_Low_Upgraded_Particulate Matter Formation Potential (PMFP) - kg PM2.5 eq_Land application of compost; wastewater treatment unit; at updated plant - US_Base_With Amendment_Windrow</v>
      </c>
    </row>
    <row r="1449" spans="1:13" s="120" customFormat="1" x14ac:dyDescent="0.25">
      <c r="A1449" s="119"/>
      <c r="B1449" s="138" t="str">
        <f t="shared" si="74"/>
        <v>Windrow</v>
      </c>
      <c r="C1449" s="138" t="str">
        <f t="shared" si="75"/>
        <v>Base_With Amendment</v>
      </c>
      <c r="D1449" s="118" t="s">
        <v>133</v>
      </c>
      <c r="E1449" s="118" t="s">
        <v>180</v>
      </c>
      <c r="F1449" s="118" t="s">
        <v>46</v>
      </c>
      <c r="G1449" s="153"/>
      <c r="H1449" s="155">
        <v>8.8999999999999999E-3</v>
      </c>
      <c r="I1449" s="154" t="s">
        <v>48</v>
      </c>
      <c r="J1449" s="204">
        <v>4.99741E-5</v>
      </c>
      <c r="K1449" s="154" t="s">
        <v>145</v>
      </c>
      <c r="L1449" s="154" t="str">
        <f>IF(OpenLCAbasic!K1449="CTUh", "Fill in Manually",IF(OR(K1449="Unit", K1449=""), "", INDEX(LookUps!$E$5:$E$12, MATCH(OpenLCAbasic!K1449,LookUps!$D$5:$D$12,0))))</f>
        <v>Particulate Matter Formation Potential (PMFP) - kg PM2.5 eq</v>
      </c>
      <c r="M1449" s="154" t="str">
        <f t="shared" si="76"/>
        <v>Low_Base_Low_Upgraded_Particulate Matter Formation Potential (PMFP) - kg PM2.5 eq_Effluent release; wastewater treatment unit; at surface water; m3 wastewater - US_Base_With Amendment_Windrow</v>
      </c>
    </row>
    <row r="1450" spans="1:13" s="120" customFormat="1" x14ac:dyDescent="0.25">
      <c r="A1450" s="119"/>
      <c r="B1450" s="138" t="str">
        <f t="shared" si="74"/>
        <v>Windrow</v>
      </c>
      <c r="C1450" s="138" t="str">
        <f t="shared" si="75"/>
        <v>Base_With Amendment</v>
      </c>
      <c r="D1450" s="118" t="s">
        <v>133</v>
      </c>
      <c r="E1450" s="118" t="s">
        <v>180</v>
      </c>
      <c r="F1450" s="118" t="s">
        <v>46</v>
      </c>
      <c r="G1450" s="153"/>
      <c r="H1450" s="155">
        <v>7.6E-3</v>
      </c>
      <c r="I1450" s="154" t="s">
        <v>271</v>
      </c>
      <c r="J1450" s="204">
        <v>4.2469899999999998E-5</v>
      </c>
      <c r="K1450" s="154" t="s">
        <v>145</v>
      </c>
      <c r="L1450" s="154" t="str">
        <f>IF(OpenLCAbasic!K1450="CTUh", "Fill in Manually",IF(OR(K1450="Unit", K1450=""), "", INDEX(LookUps!$E$5:$E$12, MATCH(OpenLCAbasic!K1450,LookUps!$D$5:$D$12,0))))</f>
        <v>Particulate Matter Formation Potential (PMFP) - kg PM2.5 eq</v>
      </c>
      <c r="M1450" s="154" t="str">
        <f t="shared" si="76"/>
        <v>Low_Base_Low_Upgraded_Particulate Matter Formation Potential (PMFP) - kg PM2.5 eq_Biosolids composting; windrow composting; wastewater treatment unit; at updated plant - US_Base_With Amendment_Windrow</v>
      </c>
    </row>
    <row r="1451" spans="1:13" s="120" customFormat="1" x14ac:dyDescent="0.25">
      <c r="A1451" s="119"/>
      <c r="B1451" s="138" t="str">
        <f t="shared" si="74"/>
        <v>Windrow</v>
      </c>
      <c r="C1451" s="138" t="str">
        <f t="shared" si="75"/>
        <v>Base_With Amendment</v>
      </c>
      <c r="D1451" s="118" t="s">
        <v>133</v>
      </c>
      <c r="E1451" s="118" t="s">
        <v>180</v>
      </c>
      <c r="F1451" s="118" t="s">
        <v>46</v>
      </c>
      <c r="G1451" s="153"/>
      <c r="H1451" s="155">
        <v>6.1999999999999998E-3</v>
      </c>
      <c r="I1451" s="154" t="s">
        <v>168</v>
      </c>
      <c r="J1451" s="204">
        <v>3.4562199999999999E-5</v>
      </c>
      <c r="K1451" s="154" t="s">
        <v>145</v>
      </c>
      <c r="L1451" s="154" t="str">
        <f>IF(OpenLCAbasic!K1451="CTUh", "Fill in Manually",IF(OR(K1451="Unit", K1451=""), "", INDEX(LookUps!$E$5:$E$12, MATCH(OpenLCAbasic!K1451,LookUps!$D$5:$D$12,0))))</f>
        <v>Particulate Matter Formation Potential (PMFP) - kg PM2.5 eq</v>
      </c>
      <c r="M1451" s="154" t="str">
        <f t="shared" si="76"/>
        <v>Low_Base_Low_Upgraded_Particulate Matter Formation Potential (PMFP) - kg PM2.5 eq_ClearCove SCP; wastewater treatment unit; at updated plant - US_Base_With Amendment_Windrow</v>
      </c>
    </row>
    <row r="1452" spans="1:13" s="120" customFormat="1" x14ac:dyDescent="0.25">
      <c r="A1452" s="119"/>
      <c r="B1452" s="138" t="str">
        <f t="shared" si="74"/>
        <v>Windrow</v>
      </c>
      <c r="C1452" s="138" t="str">
        <f t="shared" si="75"/>
        <v>Base_With Amendment</v>
      </c>
      <c r="D1452" s="118" t="s">
        <v>133</v>
      </c>
      <c r="E1452" s="118" t="s">
        <v>180</v>
      </c>
      <c r="F1452" s="118" t="s">
        <v>46</v>
      </c>
      <c r="G1452" s="153"/>
      <c r="H1452" s="155">
        <v>1.6000000000000001E-3</v>
      </c>
      <c r="I1452" s="154" t="s">
        <v>148</v>
      </c>
      <c r="J1452" s="204">
        <v>8.8212999999999997E-6</v>
      </c>
      <c r="K1452" s="154" t="s">
        <v>145</v>
      </c>
      <c r="L1452" s="154" t="str">
        <f>IF(OpenLCAbasic!K1452="CTUh", "Fill in Manually",IF(OR(K1452="Unit", K1452=""), "", INDEX(LookUps!$E$5:$E$12, MATCH(OpenLCAbasic!K1452,LookUps!$D$5:$D$12,0))))</f>
        <v>Particulate Matter Formation Potential (PMFP) - kg PM2.5 eq</v>
      </c>
      <c r="M1452" s="154" t="str">
        <f t="shared" si="76"/>
        <v>Low_Base_Low_Upgraded_Particulate Matter Formation Potential (PMFP) - kg PM2.5 eq_Control Building; at upgraded wastewater treatment plant - US_Base_With Amendment_Windrow</v>
      </c>
    </row>
    <row r="1453" spans="1:13" s="120" customFormat="1" x14ac:dyDescent="0.25">
      <c r="A1453" s="119"/>
      <c r="B1453" s="138" t="str">
        <f t="shared" si="74"/>
        <v>Windrow</v>
      </c>
      <c r="C1453" s="138" t="str">
        <f t="shared" si="75"/>
        <v>Base_With Amendment</v>
      </c>
      <c r="D1453" s="118" t="s">
        <v>133</v>
      </c>
      <c r="E1453" s="118" t="s">
        <v>180</v>
      </c>
      <c r="F1453" s="118" t="s">
        <v>46</v>
      </c>
      <c r="G1453" s="153" t="s">
        <v>51</v>
      </c>
      <c r="H1453" s="154"/>
      <c r="I1453" s="154" t="s">
        <v>47</v>
      </c>
      <c r="J1453" s="154" t="s">
        <v>52</v>
      </c>
      <c r="K1453" s="154" t="s">
        <v>27</v>
      </c>
      <c r="L1453" s="154" t="str">
        <f>IF(OpenLCAbasic!K1453="CTUh", "Fill in Manually",IF(OR(K1453="Unit", K1453=""), "", INDEX(LookUps!$E$5:$E$12, MATCH(OpenLCAbasic!K1453,LookUps!$D$5:$D$12,0))))</f>
        <v/>
      </c>
      <c r="M1453" s="154" t="str">
        <f t="shared" si="76"/>
        <v>Low_Base_Low_Upgraded__Process_Base_With Amendment_Windrow</v>
      </c>
    </row>
    <row r="1454" spans="1:13" s="120" customFormat="1" x14ac:dyDescent="0.25">
      <c r="A1454" s="119"/>
      <c r="B1454" s="138" t="str">
        <f t="shared" si="74"/>
        <v>Windrow</v>
      </c>
      <c r="C1454" s="138" t="str">
        <f t="shared" si="75"/>
        <v>Base_With Amendment</v>
      </c>
      <c r="D1454" s="118" t="s">
        <v>133</v>
      </c>
      <c r="E1454" s="118" t="s">
        <v>180</v>
      </c>
      <c r="F1454" s="118" t="s">
        <v>46</v>
      </c>
      <c r="G1454" s="153"/>
      <c r="H1454" s="155">
        <v>0.41760000000000003</v>
      </c>
      <c r="I1454" s="154" t="s">
        <v>55</v>
      </c>
      <c r="J1454" s="203">
        <v>0.16577</v>
      </c>
      <c r="K1454" s="154" t="s">
        <v>25</v>
      </c>
      <c r="L1454" s="154" t="str">
        <f>IF(OpenLCAbasic!K1454="CTUh", "Fill in Manually",IF(OR(K1454="Unit", K1454=""), "", INDEX(LookUps!$E$5:$E$12, MATCH(OpenLCAbasic!K1454,LookUps!$D$5:$D$12,0))))</f>
        <v>Smog Formation Potential (SFP) - kg O3 eq</v>
      </c>
      <c r="M1454" s="154" t="str">
        <f t="shared" si="76"/>
        <v>Low_Base_Low_Upgraded_Smog Formation Potential (SFP) - kg O3 eq_Aeration Tanks; wastewater treatment unit; at updated plant - US_Base_With Amendment_Windrow</v>
      </c>
    </row>
    <row r="1455" spans="1:13" s="120" customFormat="1" x14ac:dyDescent="0.25">
      <c r="A1455" s="119"/>
      <c r="B1455" s="138" t="str">
        <f t="shared" si="74"/>
        <v>Windrow</v>
      </c>
      <c r="C1455" s="138" t="str">
        <f t="shared" si="75"/>
        <v>Base_With Amendment</v>
      </c>
      <c r="D1455" s="118" t="s">
        <v>133</v>
      </c>
      <c r="E1455" s="118" t="s">
        <v>180</v>
      </c>
      <c r="F1455" s="118" t="s">
        <v>46</v>
      </c>
      <c r="G1455" s="153"/>
      <c r="H1455" s="155">
        <v>0.1211</v>
      </c>
      <c r="I1455" s="154" t="s">
        <v>54</v>
      </c>
      <c r="J1455" s="203">
        <v>4.8070000000000002E-2</v>
      </c>
      <c r="K1455" s="154" t="s">
        <v>25</v>
      </c>
      <c r="L1455" s="154" t="str">
        <f>IF(OpenLCAbasic!K1455="CTUh", "Fill in Manually",IF(OR(K1455="Unit", K1455=""), "", INDEX(LookUps!$E$5:$E$12, MATCH(OpenLCAbasic!K1455,LookUps!$D$5:$D$12,0))))</f>
        <v>Smog Formation Potential (SFP) - kg O3 eq</v>
      </c>
      <c r="M1455" s="154" t="str">
        <f t="shared" si="76"/>
        <v>Low_Base_Low_Upgraded_Smog Formation Potential (SFP) - kg O3 eq_Clear Cove Primary Clarification; wastewater treatment unit; at updated plant - US_Base_With Amendment_Windrow</v>
      </c>
    </row>
    <row r="1456" spans="1:13" s="120" customFormat="1" x14ac:dyDescent="0.25">
      <c r="A1456" s="119"/>
      <c r="B1456" s="138" t="str">
        <f t="shared" si="74"/>
        <v>Windrow</v>
      </c>
      <c r="C1456" s="138" t="str">
        <f t="shared" si="75"/>
        <v>Base_With Amendment</v>
      </c>
      <c r="D1456" s="118" t="s">
        <v>133</v>
      </c>
      <c r="E1456" s="118" t="s">
        <v>180</v>
      </c>
      <c r="F1456" s="118" t="s">
        <v>46</v>
      </c>
      <c r="G1456" s="153"/>
      <c r="H1456" s="155">
        <v>0.1053</v>
      </c>
      <c r="I1456" s="154" t="s">
        <v>58</v>
      </c>
      <c r="J1456" s="203">
        <v>4.1779999999999998E-2</v>
      </c>
      <c r="K1456" s="154" t="s">
        <v>25</v>
      </c>
      <c r="L1456" s="154" t="str">
        <f>IF(OpenLCAbasic!K1456="CTUh", "Fill in Manually",IF(OR(K1456="Unit", K1456=""), "", INDEX(LookUps!$E$5:$E$12, MATCH(OpenLCAbasic!K1456,LookUps!$D$5:$D$12,0))))</f>
        <v>Smog Formation Potential (SFP) - kg O3 eq</v>
      </c>
      <c r="M1456" s="154" t="str">
        <f t="shared" si="76"/>
        <v>Low_Base_Low_Upgraded_Smog Formation Potential (SFP) - kg O3 eq_Pre-Anoxic &amp; Swing tank; wastewater treatment unit; at updated plant - US_Base_With Amendment_Windrow</v>
      </c>
    </row>
    <row r="1457" spans="1:13" s="120" customFormat="1" x14ac:dyDescent="0.25">
      <c r="A1457" s="119"/>
      <c r="B1457" s="138" t="str">
        <f t="shared" si="74"/>
        <v>Windrow</v>
      </c>
      <c r="C1457" s="138" t="str">
        <f t="shared" si="75"/>
        <v>Base_With Amendment</v>
      </c>
      <c r="D1457" s="118" t="s">
        <v>133</v>
      </c>
      <c r="E1457" s="118" t="s">
        <v>180</v>
      </c>
      <c r="F1457" s="118" t="s">
        <v>46</v>
      </c>
      <c r="G1457" s="153"/>
      <c r="H1457" s="155">
        <v>8.3500000000000005E-2</v>
      </c>
      <c r="I1457" s="154" t="s">
        <v>53</v>
      </c>
      <c r="J1457" s="203">
        <v>3.313E-2</v>
      </c>
      <c r="K1457" s="154" t="s">
        <v>25</v>
      </c>
      <c r="L1457" s="154" t="str">
        <f>IF(OpenLCAbasic!K1457="CTUh", "Fill in Manually",IF(OR(K1457="Unit", K1457=""), "", INDEX(LookUps!$E$5:$E$12, MATCH(OpenLCAbasic!K1457,LookUps!$D$5:$D$12,0))))</f>
        <v>Smog Formation Potential (SFP) - kg O3 eq</v>
      </c>
      <c r="M1457" s="154" t="str">
        <f t="shared" si="76"/>
        <v>Low_Base_Low_Upgraded_Smog Formation Potential (SFP) - kg O3 eq_Wet Well and Sump Station; wastewater treatment unit; at updated plant - US_Base_With Amendment_Windrow</v>
      </c>
    </row>
    <row r="1458" spans="1:13" s="120" customFormat="1" x14ac:dyDescent="0.25">
      <c r="A1458" s="119"/>
      <c r="B1458" s="138" t="str">
        <f t="shared" si="74"/>
        <v>Windrow</v>
      </c>
      <c r="C1458" s="138" t="str">
        <f t="shared" si="75"/>
        <v>Base_With Amendment</v>
      </c>
      <c r="D1458" s="118" t="s">
        <v>133</v>
      </c>
      <c r="E1458" s="118" t="s">
        <v>180</v>
      </c>
      <c r="F1458" s="118" t="s">
        <v>46</v>
      </c>
      <c r="G1458" s="153"/>
      <c r="H1458" s="155">
        <v>7.0400000000000004E-2</v>
      </c>
      <c r="I1458" s="154" t="s">
        <v>167</v>
      </c>
      <c r="J1458" s="203">
        <v>2.7949999999999999E-2</v>
      </c>
      <c r="K1458" s="154" t="s">
        <v>25</v>
      </c>
      <c r="L1458" s="154" t="str">
        <f>IF(OpenLCAbasic!K1458="CTUh", "Fill in Manually",IF(OR(K1458="Unit", K1458=""), "", INDEX(LookUps!$E$5:$E$12, MATCH(OpenLCAbasic!K1458,LookUps!$D$5:$D$12,0))))</f>
        <v>Smog Formation Potential (SFP) - kg O3 eq</v>
      </c>
      <c r="M1458" s="154" t="str">
        <f t="shared" si="76"/>
        <v>Low_Base_Low_Upgraded_Smog Formation Potential (SFP) - kg O3 eq_Waste Receiving and Holding; wastewater treatment unit; at updated plant - US_Base_With Amendment_Windrow</v>
      </c>
    </row>
    <row r="1459" spans="1:13" s="120" customFormat="1" x14ac:dyDescent="0.25">
      <c r="A1459" s="119"/>
      <c r="B1459" s="138" t="str">
        <f t="shared" si="74"/>
        <v>Windrow</v>
      </c>
      <c r="C1459" s="138" t="str">
        <f t="shared" si="75"/>
        <v>Base_With Amendment</v>
      </c>
      <c r="D1459" s="118" t="s">
        <v>133</v>
      </c>
      <c r="E1459" s="118" t="s">
        <v>180</v>
      </c>
      <c r="F1459" s="118" t="s">
        <v>46</v>
      </c>
      <c r="G1459" s="153"/>
      <c r="H1459" s="155">
        <v>6.2700000000000006E-2</v>
      </c>
      <c r="I1459" s="154" t="s">
        <v>149</v>
      </c>
      <c r="J1459" s="203">
        <v>2.4889999999999999E-2</v>
      </c>
      <c r="K1459" s="154" t="s">
        <v>25</v>
      </c>
      <c r="L1459" s="154" t="str">
        <f>IF(OpenLCAbasic!K1459="CTUh", "Fill in Manually",IF(OR(K1459="Unit", K1459=""), "", INDEX(LookUps!$E$5:$E$12, MATCH(OpenLCAbasic!K1459,LookUps!$D$5:$D$12,0))))</f>
        <v>Smog Formation Potential (SFP) - kg O3 eq</v>
      </c>
      <c r="M1459" s="154" t="str">
        <f t="shared" si="76"/>
        <v>Low_Base_Low_Upgraded_Smog Formation Potential (SFP) - kg O3 eq_Anaerobic Digestion; wastewater treatment unit; at updated plant - US_Base_With Amendment_Windrow</v>
      </c>
    </row>
    <row r="1460" spans="1:13" s="120" customFormat="1" x14ac:dyDescent="0.25">
      <c r="A1460" s="119"/>
      <c r="B1460" s="138" t="str">
        <f t="shared" si="74"/>
        <v>Windrow</v>
      </c>
      <c r="C1460" s="138" t="str">
        <f t="shared" si="75"/>
        <v>Base_With Amendment</v>
      </c>
      <c r="D1460" s="118" t="s">
        <v>133</v>
      </c>
      <c r="E1460" s="118" t="s">
        <v>180</v>
      </c>
      <c r="F1460" s="118" t="s">
        <v>46</v>
      </c>
      <c r="G1460" s="153"/>
      <c r="H1460" s="155">
        <v>4.8899999999999999E-2</v>
      </c>
      <c r="I1460" s="154" t="s">
        <v>147</v>
      </c>
      <c r="J1460" s="203">
        <v>1.9400000000000001E-2</v>
      </c>
      <c r="K1460" s="154" t="s">
        <v>25</v>
      </c>
      <c r="L1460" s="154" t="str">
        <f>IF(OpenLCAbasic!K1460="CTUh", "Fill in Manually",IF(OR(K1460="Unit", K1460=""), "", INDEX(LookUps!$E$5:$E$12, MATCH(OpenLCAbasic!K1460,LookUps!$D$5:$D$12,0))))</f>
        <v>Smog Formation Potential (SFP) - kg O3 eq</v>
      </c>
      <c r="M1460" s="154" t="str">
        <f t="shared" si="76"/>
        <v>Low_Base_Low_Upgraded_Smog Formation Potential (SFP) - kg O3 eq_Influent Pump Station; wastewater treatment unit; at updated plant - US_Base_With Amendment_Windrow</v>
      </c>
    </row>
    <row r="1461" spans="1:13" s="120" customFormat="1" x14ac:dyDescent="0.25">
      <c r="A1461" s="119"/>
      <c r="B1461" s="138" t="str">
        <f t="shared" si="74"/>
        <v>Windrow</v>
      </c>
      <c r="C1461" s="138" t="str">
        <f t="shared" si="75"/>
        <v>Base_With Amendment</v>
      </c>
      <c r="D1461" s="118" t="s">
        <v>133</v>
      </c>
      <c r="E1461" s="118" t="s">
        <v>180</v>
      </c>
      <c r="F1461" s="118" t="s">
        <v>46</v>
      </c>
      <c r="G1461" s="153"/>
      <c r="H1461" s="155">
        <v>0.03</v>
      </c>
      <c r="I1461" s="154" t="s">
        <v>128</v>
      </c>
      <c r="J1461" s="204">
        <v>1.192E-2</v>
      </c>
      <c r="K1461" s="154" t="s">
        <v>25</v>
      </c>
      <c r="L1461" s="154" t="str">
        <f>IF(OpenLCAbasic!K1461="CTUh", "Fill in Manually",IF(OR(K1461="Unit", K1461=""), "", INDEX(LookUps!$E$5:$E$12, MATCH(OpenLCAbasic!K1461,LookUps!$D$5:$D$12,0))))</f>
        <v>Smog Formation Potential (SFP) - kg O3 eq</v>
      </c>
      <c r="M1461" s="154" t="str">
        <f t="shared" si="76"/>
        <v>Low_Base_Low_Upgraded_Smog Formation Potential (SFP) - kg O3 eq_Wastewater collection; operation and infrastructure; m3 wastewater_Base_With Amendment_Windrow</v>
      </c>
    </row>
    <row r="1462" spans="1:13" s="120" customFormat="1" x14ac:dyDescent="0.25">
      <c r="A1462" s="119"/>
      <c r="B1462" s="138" t="str">
        <f t="shared" si="74"/>
        <v>Windrow</v>
      </c>
      <c r="C1462" s="138" t="str">
        <f t="shared" si="75"/>
        <v>Base_With Amendment</v>
      </c>
      <c r="D1462" s="118" t="s">
        <v>133</v>
      </c>
      <c r="E1462" s="118" t="s">
        <v>180</v>
      </c>
      <c r="F1462" s="118" t="s">
        <v>46</v>
      </c>
      <c r="G1462" s="153"/>
      <c r="H1462" s="155">
        <v>2.0500000000000001E-2</v>
      </c>
      <c r="I1462" s="154" t="s">
        <v>60</v>
      </c>
      <c r="J1462" s="204">
        <v>8.1600000000000006E-3</v>
      </c>
      <c r="K1462" s="154" t="s">
        <v>25</v>
      </c>
      <c r="L1462" s="154" t="str">
        <f>IF(OpenLCAbasic!K1462="CTUh", "Fill in Manually",IF(OR(K1462="Unit", K1462=""), "", INDEX(LookUps!$E$5:$E$12, MATCH(OpenLCAbasic!K1462,LookUps!$D$5:$D$12,0))))</f>
        <v>Smog Formation Potential (SFP) - kg O3 eq</v>
      </c>
      <c r="M1462" s="154" t="str">
        <f t="shared" si="76"/>
        <v>Low_Base_Low_Upgraded_Smog Formation Potential (SFP) - kg O3 eq_Belt filter press; wastewater treatment unit; at updated plant - US_Base_With Amendment_Windrow</v>
      </c>
    </row>
    <row r="1463" spans="1:13" s="120" customFormat="1" x14ac:dyDescent="0.25">
      <c r="A1463" s="119"/>
      <c r="B1463" s="138" t="str">
        <f t="shared" si="74"/>
        <v>Windrow</v>
      </c>
      <c r="C1463" s="138" t="str">
        <f t="shared" si="75"/>
        <v>Base_With Amendment</v>
      </c>
      <c r="D1463" s="118" t="s">
        <v>133</v>
      </c>
      <c r="E1463" s="118" t="s">
        <v>180</v>
      </c>
      <c r="F1463" s="118" t="s">
        <v>46</v>
      </c>
      <c r="G1463" s="153"/>
      <c r="H1463" s="155">
        <v>1.6799999999999999E-2</v>
      </c>
      <c r="I1463" s="154" t="s">
        <v>57</v>
      </c>
      <c r="J1463" s="204">
        <v>6.6499999999999997E-3</v>
      </c>
      <c r="K1463" s="154" t="s">
        <v>25</v>
      </c>
      <c r="L1463" s="154" t="str">
        <f>IF(OpenLCAbasic!K1463="CTUh", "Fill in Manually",IF(OR(K1463="Unit", K1463=""), "", INDEX(LookUps!$E$5:$E$12, MATCH(OpenLCAbasic!K1463,LookUps!$D$5:$D$12,0))))</f>
        <v>Smog Formation Potential (SFP) - kg O3 eq</v>
      </c>
      <c r="M1463" s="154" t="str">
        <f t="shared" si="76"/>
        <v>Low_Base_Low_Upgraded_Smog Formation Potential (SFP) - kg O3 eq_Gravity Belt Thickener; wastewater treatment unit; at updated plant - US_Base_With Amendment_Windrow</v>
      </c>
    </row>
    <row r="1464" spans="1:13" s="120" customFormat="1" x14ac:dyDescent="0.25">
      <c r="A1464" s="119"/>
      <c r="B1464" s="138" t="str">
        <f t="shared" si="74"/>
        <v>Windrow</v>
      </c>
      <c r="C1464" s="138" t="str">
        <f t="shared" si="75"/>
        <v>Base_With Amendment</v>
      </c>
      <c r="D1464" s="118" t="s">
        <v>133</v>
      </c>
      <c r="E1464" s="118" t="s">
        <v>180</v>
      </c>
      <c r="F1464" s="118" t="s">
        <v>46</v>
      </c>
      <c r="G1464" s="153"/>
      <c r="H1464" s="155">
        <v>1.2500000000000001E-2</v>
      </c>
      <c r="I1464" s="154" t="s">
        <v>59</v>
      </c>
      <c r="J1464" s="204">
        <v>4.9699999999999996E-3</v>
      </c>
      <c r="K1464" s="154" t="s">
        <v>25</v>
      </c>
      <c r="L1464" s="154" t="str">
        <f>IF(OpenLCAbasic!K1464="CTUh", "Fill in Manually",IF(OR(K1464="Unit", K1464=""), "", INDEX(LookUps!$E$5:$E$12, MATCH(OpenLCAbasic!K1464,LookUps!$D$5:$D$12,0))))</f>
        <v>Smog Formation Potential (SFP) - kg O3 eq</v>
      </c>
      <c r="M1464" s="154" t="str">
        <f t="shared" si="76"/>
        <v>Low_Base_Low_Upgraded_Smog Formation Potential (SFP) - kg O3 eq_Blend Tank; wastewater treatment unit; at updated plant - US_Base_With Amendment_Windrow</v>
      </c>
    </row>
    <row r="1465" spans="1:13" s="120" customFormat="1" x14ac:dyDescent="0.25">
      <c r="A1465" s="119"/>
      <c r="B1465" s="138" t="str">
        <f t="shared" si="74"/>
        <v>Windrow</v>
      </c>
      <c r="C1465" s="138" t="str">
        <f t="shared" si="75"/>
        <v>Base_With Amendment</v>
      </c>
      <c r="D1465" s="118" t="s">
        <v>133</v>
      </c>
      <c r="E1465" s="118" t="s">
        <v>180</v>
      </c>
      <c r="F1465" s="118" t="s">
        <v>46</v>
      </c>
      <c r="G1465" s="153"/>
      <c r="H1465" s="155">
        <v>8.5000000000000006E-3</v>
      </c>
      <c r="I1465" s="154" t="s">
        <v>48</v>
      </c>
      <c r="J1465" s="204">
        <v>3.3899999999999998E-3</v>
      </c>
      <c r="K1465" s="154" t="s">
        <v>25</v>
      </c>
      <c r="L1465" s="154" t="str">
        <f>IF(OpenLCAbasic!K1465="CTUh", "Fill in Manually",IF(OR(K1465="Unit", K1465=""), "", INDEX(LookUps!$E$5:$E$12, MATCH(OpenLCAbasic!K1465,LookUps!$D$5:$D$12,0))))</f>
        <v>Smog Formation Potential (SFP) - kg O3 eq</v>
      </c>
      <c r="M1465" s="154" t="str">
        <f t="shared" si="76"/>
        <v>Low_Base_Low_Upgraded_Smog Formation Potential (SFP) - kg O3 eq_Effluent release; wastewater treatment unit; at surface water; m3 wastewater - US_Base_With Amendment_Windrow</v>
      </c>
    </row>
    <row r="1466" spans="1:13" s="120" customFormat="1" x14ac:dyDescent="0.25">
      <c r="A1466" s="119"/>
      <c r="B1466" s="138" t="str">
        <f t="shared" si="74"/>
        <v>Windrow</v>
      </c>
      <c r="C1466" s="138" t="str">
        <f t="shared" si="75"/>
        <v>Base_With Amendment</v>
      </c>
      <c r="D1466" s="118" t="s">
        <v>133</v>
      </c>
      <c r="E1466" s="118" t="s">
        <v>180</v>
      </c>
      <c r="F1466" s="118" t="s">
        <v>46</v>
      </c>
      <c r="G1466" s="153"/>
      <c r="H1466" s="155">
        <v>6.1999999999999998E-3</v>
      </c>
      <c r="I1466" s="154" t="s">
        <v>168</v>
      </c>
      <c r="J1466" s="204">
        <v>2.4599999999999999E-3</v>
      </c>
      <c r="K1466" s="154" t="s">
        <v>25</v>
      </c>
      <c r="L1466" s="154" t="str">
        <f>IF(OpenLCAbasic!K1466="CTUh", "Fill in Manually",IF(OR(K1466="Unit", K1466=""), "", INDEX(LookUps!$E$5:$E$12, MATCH(OpenLCAbasic!K1466,LookUps!$D$5:$D$12,0))))</f>
        <v>Smog Formation Potential (SFP) - kg O3 eq</v>
      </c>
      <c r="M1466" s="154" t="str">
        <f t="shared" si="76"/>
        <v>Low_Base_Low_Upgraded_Smog Formation Potential (SFP) - kg O3 eq_ClearCove SCP; wastewater treatment unit; at updated plant - US_Base_With Amendment_Windrow</v>
      </c>
    </row>
    <row r="1467" spans="1:13" s="120" customFormat="1" x14ac:dyDescent="0.25">
      <c r="A1467" s="119"/>
      <c r="B1467" s="138" t="str">
        <f t="shared" si="74"/>
        <v>Windrow</v>
      </c>
      <c r="C1467" s="138" t="str">
        <f t="shared" si="75"/>
        <v>Base_With Amendment</v>
      </c>
      <c r="D1467" s="118" t="s">
        <v>133</v>
      </c>
      <c r="E1467" s="118" t="s">
        <v>180</v>
      </c>
      <c r="F1467" s="118" t="s">
        <v>46</v>
      </c>
      <c r="G1467" s="153"/>
      <c r="H1467" s="155">
        <v>2.7000000000000001E-3</v>
      </c>
      <c r="I1467" s="154" t="s">
        <v>271</v>
      </c>
      <c r="J1467" s="204">
        <v>1.06E-3</v>
      </c>
      <c r="K1467" s="154" t="s">
        <v>25</v>
      </c>
      <c r="L1467" s="154" t="str">
        <f>IF(OpenLCAbasic!K1467="CTUh", "Fill in Manually",IF(OR(K1467="Unit", K1467=""), "", INDEX(LookUps!$E$5:$E$12, MATCH(OpenLCAbasic!K1467,LookUps!$D$5:$D$12,0))))</f>
        <v>Smog Formation Potential (SFP) - kg O3 eq</v>
      </c>
      <c r="M1467" s="154" t="str">
        <f t="shared" si="76"/>
        <v>Low_Base_Low_Upgraded_Smog Formation Potential (SFP) - kg O3 eq_Biosolids composting; windrow composting; wastewater treatment unit; at updated plant - US_Base_With Amendment_Windrow</v>
      </c>
    </row>
    <row r="1468" spans="1:13" s="120" customFormat="1" x14ac:dyDescent="0.25">
      <c r="A1468" s="119"/>
      <c r="B1468" s="138" t="str">
        <f t="shared" si="74"/>
        <v>Windrow</v>
      </c>
      <c r="C1468" s="138" t="str">
        <f t="shared" si="75"/>
        <v>Base_With Amendment</v>
      </c>
      <c r="D1468" s="118" t="s">
        <v>133</v>
      </c>
      <c r="E1468" s="118" t="s">
        <v>180</v>
      </c>
      <c r="F1468" s="118" t="s">
        <v>46</v>
      </c>
      <c r="G1468" s="153"/>
      <c r="H1468" s="155">
        <v>1.4E-3</v>
      </c>
      <c r="I1468" s="154" t="s">
        <v>148</v>
      </c>
      <c r="J1468" s="204">
        <v>5.4000000000000001E-4</v>
      </c>
      <c r="K1468" s="154" t="s">
        <v>25</v>
      </c>
      <c r="L1468" s="154" t="str">
        <f>IF(OpenLCAbasic!K1468="CTUh", "Fill in Manually",IF(OR(K1468="Unit", K1468=""), "", INDEX(LookUps!$E$5:$E$12, MATCH(OpenLCAbasic!K1468,LookUps!$D$5:$D$12,0))))</f>
        <v>Smog Formation Potential (SFP) - kg O3 eq</v>
      </c>
      <c r="M1468" s="154" t="str">
        <f t="shared" si="76"/>
        <v>Low_Base_Low_Upgraded_Smog Formation Potential (SFP) - kg O3 eq_Control Building; at upgraded wastewater treatment plant - US_Base_With Amendment_Windrow</v>
      </c>
    </row>
    <row r="1469" spans="1:13" s="120" customFormat="1" x14ac:dyDescent="0.25">
      <c r="A1469" s="119"/>
      <c r="B1469" s="138" t="str">
        <f t="shared" si="74"/>
        <v>Windrow</v>
      </c>
      <c r="C1469" s="138" t="str">
        <f t="shared" si="75"/>
        <v>Base_With Amendment</v>
      </c>
      <c r="D1469" s="118" t="s">
        <v>133</v>
      </c>
      <c r="E1469" s="118" t="s">
        <v>180</v>
      </c>
      <c r="F1469" s="118" t="s">
        <v>46</v>
      </c>
      <c r="G1469" s="153"/>
      <c r="H1469" s="155">
        <v>-8.0999999999999996E-3</v>
      </c>
      <c r="I1469" s="154" t="s">
        <v>62</v>
      </c>
      <c r="J1469" s="204">
        <v>-3.2000000000000002E-3</v>
      </c>
      <c r="K1469" s="154" t="s">
        <v>25</v>
      </c>
      <c r="L1469" s="154" t="str">
        <f>IF(OpenLCAbasic!K1469="CTUh", "Fill in Manually",IF(OR(K1469="Unit", K1469=""), "", INDEX(LookUps!$E$5:$E$12, MATCH(OpenLCAbasic!K1469,LookUps!$D$5:$D$12,0))))</f>
        <v>Smog Formation Potential (SFP) - kg O3 eq</v>
      </c>
      <c r="M1469" s="154" t="str">
        <f t="shared" si="76"/>
        <v>Low_Base_Low_Upgraded_Smog Formation Potential (SFP) - kg O3 eq_Land application of compost; wastewater treatment unit; at updated plant - US_Base_With Amendment_Windrow</v>
      </c>
    </row>
    <row r="1470" spans="1:13" s="120" customFormat="1" x14ac:dyDescent="0.25">
      <c r="A1470" s="119"/>
      <c r="B1470" s="138" t="str">
        <f t="shared" si="74"/>
        <v>Windrow</v>
      </c>
      <c r="C1470" s="138" t="str">
        <f t="shared" si="75"/>
        <v>Base_With Amendment</v>
      </c>
      <c r="D1470" s="118" t="s">
        <v>133</v>
      </c>
      <c r="E1470" s="118" t="s">
        <v>180</v>
      </c>
      <c r="F1470" s="118" t="s">
        <v>46</v>
      </c>
      <c r="G1470" s="153" t="s">
        <v>51</v>
      </c>
      <c r="H1470" s="154"/>
      <c r="I1470" s="154" t="s">
        <v>47</v>
      </c>
      <c r="J1470" s="154" t="s">
        <v>52</v>
      </c>
      <c r="K1470" s="154" t="s">
        <v>27</v>
      </c>
      <c r="L1470" s="154" t="str">
        <f>IF(OpenLCAbasic!K1470="CTUh", "Fill in Manually",IF(OR(K1470="Unit", K1470=""), "", INDEX(LookUps!$E$5:$E$12, MATCH(OpenLCAbasic!K1470,LookUps!$D$5:$D$12,0))))</f>
        <v/>
      </c>
      <c r="M1470" s="154" t="str">
        <f t="shared" si="76"/>
        <v>Low_Base_Low_Upgraded__Process_Base_With Amendment_Windrow</v>
      </c>
    </row>
    <row r="1471" spans="1:13" s="120" customFormat="1" x14ac:dyDescent="0.25">
      <c r="A1471" s="119"/>
      <c r="B1471" s="138" t="str">
        <f t="shared" si="74"/>
        <v>Windrow</v>
      </c>
      <c r="C1471" s="138" t="str">
        <f t="shared" si="75"/>
        <v>Base_With Amendment</v>
      </c>
      <c r="D1471" s="118" t="s">
        <v>133</v>
      </c>
      <c r="E1471" s="118" t="s">
        <v>180</v>
      </c>
      <c r="F1471" s="118" t="s">
        <v>46</v>
      </c>
      <c r="G1471" s="153"/>
      <c r="H1471" s="155">
        <v>1.7747999999999999</v>
      </c>
      <c r="I1471" s="154" t="s">
        <v>167</v>
      </c>
      <c r="J1471" s="204">
        <v>2.3000000000000001E-4</v>
      </c>
      <c r="K1471" s="154" t="s">
        <v>26</v>
      </c>
      <c r="L1471" s="154" t="str">
        <f>IF(OpenLCAbasic!K1471="CTUh", "Fill in Manually",IF(OR(K1471="Unit", K1471=""), "", INDEX(LookUps!$E$5:$E$12, MATCH(OpenLCAbasic!K1471,LookUps!$D$5:$D$12,0))))</f>
        <v>Water Use (WU) - m3 H2O</v>
      </c>
      <c r="M1471" s="154" t="str">
        <f t="shared" si="76"/>
        <v>Low_Base_Low_Upgraded_Water Use (WU) - m3 H2O_Waste Receiving and Holding; wastewater treatment unit; at updated plant - US_Base_With Amendment_Windrow</v>
      </c>
    </row>
    <row r="1472" spans="1:13" s="120" customFormat="1" x14ac:dyDescent="0.25">
      <c r="A1472" s="119"/>
      <c r="B1472" s="138" t="str">
        <f t="shared" si="74"/>
        <v>Windrow</v>
      </c>
      <c r="C1472" s="138" t="str">
        <f t="shared" si="75"/>
        <v>Base_With Amendment</v>
      </c>
      <c r="D1472" s="118" t="s">
        <v>133</v>
      </c>
      <c r="E1472" s="118" t="s">
        <v>180</v>
      </c>
      <c r="F1472" s="118" t="s">
        <v>46</v>
      </c>
      <c r="G1472" s="153"/>
      <c r="H1472" s="155">
        <v>1.4044000000000001</v>
      </c>
      <c r="I1472" s="154" t="s">
        <v>147</v>
      </c>
      <c r="J1472" s="204">
        <v>1.8000000000000001E-4</v>
      </c>
      <c r="K1472" s="154" t="s">
        <v>26</v>
      </c>
      <c r="L1472" s="154" t="str">
        <f>IF(OpenLCAbasic!K1472="CTUh", "Fill in Manually",IF(OR(K1472="Unit", K1472=""), "", INDEX(LookUps!$E$5:$E$12, MATCH(OpenLCAbasic!K1472,LookUps!$D$5:$D$12,0))))</f>
        <v>Water Use (WU) - m3 H2O</v>
      </c>
      <c r="M1472" s="154" t="str">
        <f t="shared" si="76"/>
        <v>Low_Base_Low_Upgraded_Water Use (WU) - m3 H2O_Influent Pump Station; wastewater treatment unit; at updated plant - US_Base_With Amendment_Windrow</v>
      </c>
    </row>
    <row r="1473" spans="1:13" s="120" customFormat="1" x14ac:dyDescent="0.25">
      <c r="A1473" s="119"/>
      <c r="B1473" s="138" t="str">
        <f t="shared" si="74"/>
        <v>Windrow</v>
      </c>
      <c r="C1473" s="138" t="str">
        <f t="shared" si="75"/>
        <v>Base_With Amendment</v>
      </c>
      <c r="D1473" s="118" t="s">
        <v>133</v>
      </c>
      <c r="E1473" s="118" t="s">
        <v>180</v>
      </c>
      <c r="F1473" s="118" t="s">
        <v>46</v>
      </c>
      <c r="G1473" s="153"/>
      <c r="H1473" s="155">
        <v>1.3703000000000001</v>
      </c>
      <c r="I1473" s="154" t="s">
        <v>54</v>
      </c>
      <c r="J1473" s="204">
        <v>1.8000000000000001E-4</v>
      </c>
      <c r="K1473" s="154" t="s">
        <v>26</v>
      </c>
      <c r="L1473" s="154" t="str">
        <f>IF(OpenLCAbasic!K1473="CTUh", "Fill in Manually",IF(OR(K1473="Unit", K1473=""), "", INDEX(LookUps!$E$5:$E$12, MATCH(OpenLCAbasic!K1473,LookUps!$D$5:$D$12,0))))</f>
        <v>Water Use (WU) - m3 H2O</v>
      </c>
      <c r="M1473" s="154" t="str">
        <f t="shared" si="76"/>
        <v>Low_Base_Low_Upgraded_Water Use (WU) - m3 H2O_Clear Cove Primary Clarification; wastewater treatment unit; at updated plant - US_Base_With Amendment_Windrow</v>
      </c>
    </row>
    <row r="1474" spans="1:13" s="120" customFormat="1" x14ac:dyDescent="0.25">
      <c r="A1474" s="119"/>
      <c r="B1474" s="138" t="str">
        <f t="shared" si="74"/>
        <v>Windrow</v>
      </c>
      <c r="C1474" s="138" t="str">
        <f t="shared" si="75"/>
        <v>Base_With Amendment</v>
      </c>
      <c r="D1474" s="118" t="s">
        <v>133</v>
      </c>
      <c r="E1474" s="118" t="s">
        <v>180</v>
      </c>
      <c r="F1474" s="118" t="s">
        <v>46</v>
      </c>
      <c r="G1474" s="153"/>
      <c r="H1474" s="155">
        <v>1.2431000000000001</v>
      </c>
      <c r="I1474" s="154" t="s">
        <v>55</v>
      </c>
      <c r="J1474" s="204">
        <v>1.6000000000000001E-4</v>
      </c>
      <c r="K1474" s="154" t="s">
        <v>26</v>
      </c>
      <c r="L1474" s="154" t="str">
        <f>IF(OpenLCAbasic!K1474="CTUh", "Fill in Manually",IF(OR(K1474="Unit", K1474=""), "", INDEX(LookUps!$E$5:$E$12, MATCH(OpenLCAbasic!K1474,LookUps!$D$5:$D$12,0))))</f>
        <v>Water Use (WU) - m3 H2O</v>
      </c>
      <c r="M1474" s="154" t="str">
        <f t="shared" si="76"/>
        <v>Low_Base_Low_Upgraded_Water Use (WU) - m3 H2O_Aeration Tanks; wastewater treatment unit; at updated plant - US_Base_With Amendment_Windrow</v>
      </c>
    </row>
    <row r="1475" spans="1:13" s="120" customFormat="1" x14ac:dyDescent="0.25">
      <c r="A1475" s="119"/>
      <c r="B1475" s="138" t="str">
        <f t="shared" si="74"/>
        <v>Windrow</v>
      </c>
      <c r="C1475" s="138" t="str">
        <f t="shared" si="75"/>
        <v>Base_With Amendment</v>
      </c>
      <c r="D1475" s="118" t="s">
        <v>133</v>
      </c>
      <c r="E1475" s="118" t="s">
        <v>180</v>
      </c>
      <c r="F1475" s="118" t="s">
        <v>46</v>
      </c>
      <c r="G1475" s="153"/>
      <c r="H1475" s="155">
        <v>1.1323000000000001</v>
      </c>
      <c r="I1475" s="154" t="s">
        <v>148</v>
      </c>
      <c r="J1475" s="204">
        <v>1.4999999999999999E-4</v>
      </c>
      <c r="K1475" s="154" t="s">
        <v>26</v>
      </c>
      <c r="L1475" s="154" t="str">
        <f>IF(OpenLCAbasic!K1475="CTUh", "Fill in Manually",IF(OR(K1475="Unit", K1475=""), "", INDEX(LookUps!$E$5:$E$12, MATCH(OpenLCAbasic!K1475,LookUps!$D$5:$D$12,0))))</f>
        <v>Water Use (WU) - m3 H2O</v>
      </c>
      <c r="M1475" s="154" t="str">
        <f t="shared" si="76"/>
        <v>Low_Base_Low_Upgraded_Water Use (WU) - m3 H2O_Control Building; at upgraded wastewater treatment plant - US_Base_With Amendment_Windrow</v>
      </c>
    </row>
    <row r="1476" spans="1:13" s="120" customFormat="1" x14ac:dyDescent="0.25">
      <c r="A1476" s="119"/>
      <c r="B1476" s="138" t="str">
        <f t="shared" si="74"/>
        <v>Windrow</v>
      </c>
      <c r="C1476" s="138" t="str">
        <f t="shared" si="75"/>
        <v>Base_With Amendment</v>
      </c>
      <c r="D1476" s="118" t="s">
        <v>133</v>
      </c>
      <c r="E1476" s="118" t="s">
        <v>180</v>
      </c>
      <c r="F1476" s="118" t="s">
        <v>46</v>
      </c>
      <c r="G1476" s="153"/>
      <c r="H1476" s="155">
        <v>0.52580000000000005</v>
      </c>
      <c r="I1476" s="154" t="s">
        <v>48</v>
      </c>
      <c r="J1476" s="204">
        <v>6.8836400000000004E-5</v>
      </c>
      <c r="K1476" s="154" t="s">
        <v>26</v>
      </c>
      <c r="L1476" s="154" t="str">
        <f>IF(OpenLCAbasic!K1476="CTUh", "Fill in Manually",IF(OR(K1476="Unit", K1476=""), "", INDEX(LookUps!$E$5:$E$12, MATCH(OpenLCAbasic!K1476,LookUps!$D$5:$D$12,0))))</f>
        <v>Water Use (WU) - m3 H2O</v>
      </c>
      <c r="M1476" s="154" t="str">
        <f t="shared" si="76"/>
        <v>Low_Base_Low_Upgraded_Water Use (WU) - m3 H2O_Effluent release; wastewater treatment unit; at surface water; m3 wastewater - US_Base_With Amendment_Windrow</v>
      </c>
    </row>
    <row r="1477" spans="1:13" s="120" customFormat="1" x14ac:dyDescent="0.25">
      <c r="A1477" s="119"/>
      <c r="B1477" s="138" t="str">
        <f t="shared" si="74"/>
        <v>Windrow</v>
      </c>
      <c r="C1477" s="138" t="str">
        <f t="shared" si="75"/>
        <v>Base_With Amendment</v>
      </c>
      <c r="D1477" s="118" t="s">
        <v>133</v>
      </c>
      <c r="E1477" s="118" t="s">
        <v>180</v>
      </c>
      <c r="F1477" s="118" t="s">
        <v>46</v>
      </c>
      <c r="G1477" s="153"/>
      <c r="H1477" s="155">
        <v>0.36159999999999998</v>
      </c>
      <c r="I1477" s="154" t="s">
        <v>149</v>
      </c>
      <c r="J1477" s="204">
        <v>4.7332900000000002E-5</v>
      </c>
      <c r="K1477" s="154" t="s">
        <v>26</v>
      </c>
      <c r="L1477" s="154" t="str">
        <f>IF(OpenLCAbasic!K1477="CTUh", "Fill in Manually",IF(OR(K1477="Unit", K1477=""), "", INDEX(LookUps!$E$5:$E$12, MATCH(OpenLCAbasic!K1477,LookUps!$D$5:$D$12,0))))</f>
        <v>Water Use (WU) - m3 H2O</v>
      </c>
      <c r="M1477" s="154" t="str">
        <f t="shared" si="76"/>
        <v>Low_Base_Low_Upgraded_Water Use (WU) - m3 H2O_Anaerobic Digestion; wastewater treatment unit; at updated plant - US_Base_With Amendment_Windrow</v>
      </c>
    </row>
    <row r="1478" spans="1:13" s="120" customFormat="1" x14ac:dyDescent="0.25">
      <c r="A1478" s="119"/>
      <c r="B1478" s="138" t="str">
        <f t="shared" ref="B1478:B1541" si="77">IF(F1478="Legacy","n.a.",IF(F1478="","","Windrow"))</f>
        <v>Windrow</v>
      </c>
      <c r="C1478" s="138" t="str">
        <f t="shared" si="75"/>
        <v>Base_With Amendment</v>
      </c>
      <c r="D1478" s="118" t="s">
        <v>133</v>
      </c>
      <c r="E1478" s="118" t="s">
        <v>180</v>
      </c>
      <c r="F1478" s="118" t="s">
        <v>46</v>
      </c>
      <c r="G1478" s="153"/>
      <c r="H1478" s="155">
        <v>0.32990000000000003</v>
      </c>
      <c r="I1478" s="154" t="s">
        <v>58</v>
      </c>
      <c r="J1478" s="204">
        <v>4.3192100000000003E-5</v>
      </c>
      <c r="K1478" s="154" t="s">
        <v>26</v>
      </c>
      <c r="L1478" s="154" t="str">
        <f>IF(OpenLCAbasic!K1478="CTUh", "Fill in Manually",IF(OR(K1478="Unit", K1478=""), "", INDEX(LookUps!$E$5:$E$12, MATCH(OpenLCAbasic!K1478,LookUps!$D$5:$D$12,0))))</f>
        <v>Water Use (WU) - m3 H2O</v>
      </c>
      <c r="M1478" s="154" t="str">
        <f t="shared" si="76"/>
        <v>Low_Base_Low_Upgraded_Water Use (WU) - m3 H2O_Pre-Anoxic &amp; Swing tank; wastewater treatment unit; at updated plant - US_Base_With Amendment_Windrow</v>
      </c>
    </row>
    <row r="1479" spans="1:13" s="120" customFormat="1" x14ac:dyDescent="0.25">
      <c r="A1479" s="119"/>
      <c r="B1479" s="138" t="str">
        <f t="shared" si="77"/>
        <v>Windrow</v>
      </c>
      <c r="C1479" s="138" t="str">
        <f t="shared" ref="C1479:C1542" si="78">IF(E1479&lt;&gt;"", "Base_With Amendment","")</f>
        <v>Base_With Amendment</v>
      </c>
      <c r="D1479" s="118" t="s">
        <v>133</v>
      </c>
      <c r="E1479" s="118" t="s">
        <v>180</v>
      </c>
      <c r="F1479" s="118" t="s">
        <v>46</v>
      </c>
      <c r="G1479" s="153"/>
      <c r="H1479" s="155">
        <v>0.23230000000000001</v>
      </c>
      <c r="I1479" s="154" t="s">
        <v>57</v>
      </c>
      <c r="J1479" s="204">
        <v>3.0408100000000001E-5</v>
      </c>
      <c r="K1479" s="154" t="s">
        <v>26</v>
      </c>
      <c r="L1479" s="154" t="str">
        <f>IF(OpenLCAbasic!K1479="CTUh", "Fill in Manually",IF(OR(K1479="Unit", K1479=""), "", INDEX(LookUps!$E$5:$E$12, MATCH(OpenLCAbasic!K1479,LookUps!$D$5:$D$12,0))))</f>
        <v>Water Use (WU) - m3 H2O</v>
      </c>
      <c r="M1479" s="154" t="str">
        <f t="shared" ref="M1479:M1542" si="79">CONCATENATE(E1479,"_",D1479,"_",F1479,"_",L1479, "_",I1479,"_", C1479,"_", B1479)</f>
        <v>Low_Base_Low_Upgraded_Water Use (WU) - m3 H2O_Gravity Belt Thickener; wastewater treatment unit; at updated plant - US_Base_With Amendment_Windrow</v>
      </c>
    </row>
    <row r="1480" spans="1:13" s="120" customFormat="1" x14ac:dyDescent="0.25">
      <c r="A1480" s="119"/>
      <c r="B1480" s="138" t="str">
        <f t="shared" si="77"/>
        <v>Windrow</v>
      </c>
      <c r="C1480" s="138" t="str">
        <f t="shared" si="78"/>
        <v>Base_With Amendment</v>
      </c>
      <c r="D1480" s="118" t="s">
        <v>133</v>
      </c>
      <c r="E1480" s="118" t="s">
        <v>180</v>
      </c>
      <c r="F1480" s="118" t="s">
        <v>46</v>
      </c>
      <c r="G1480" s="153"/>
      <c r="H1480" s="155">
        <v>0.18609999999999999</v>
      </c>
      <c r="I1480" s="154" t="s">
        <v>60</v>
      </c>
      <c r="J1480" s="204">
        <v>2.4357400000000002E-5</v>
      </c>
      <c r="K1480" s="154" t="s">
        <v>26</v>
      </c>
      <c r="L1480" s="154" t="str">
        <f>IF(OpenLCAbasic!K1480="CTUh", "Fill in Manually",IF(OR(K1480="Unit", K1480=""), "", INDEX(LookUps!$E$5:$E$12, MATCH(OpenLCAbasic!K1480,LookUps!$D$5:$D$12,0))))</f>
        <v>Water Use (WU) - m3 H2O</v>
      </c>
      <c r="M1480" s="154" t="str">
        <f t="shared" si="79"/>
        <v>Low_Base_Low_Upgraded_Water Use (WU) - m3 H2O_Belt filter press; wastewater treatment unit; at updated plant - US_Base_With Amendment_Windrow</v>
      </c>
    </row>
    <row r="1481" spans="1:13" s="120" customFormat="1" x14ac:dyDescent="0.25">
      <c r="A1481" s="119"/>
      <c r="B1481" s="138" t="str">
        <f t="shared" si="77"/>
        <v>Windrow</v>
      </c>
      <c r="C1481" s="138" t="str">
        <f t="shared" si="78"/>
        <v>Base_With Amendment</v>
      </c>
      <c r="D1481" s="118" t="s">
        <v>133</v>
      </c>
      <c r="E1481" s="118" t="s">
        <v>180</v>
      </c>
      <c r="F1481" s="118" t="s">
        <v>46</v>
      </c>
      <c r="G1481" s="153"/>
      <c r="H1481" s="155">
        <v>0.13370000000000001</v>
      </c>
      <c r="I1481" s="154" t="s">
        <v>53</v>
      </c>
      <c r="J1481" s="204">
        <v>1.75069E-5</v>
      </c>
      <c r="K1481" s="154" t="s">
        <v>26</v>
      </c>
      <c r="L1481" s="154" t="str">
        <f>IF(OpenLCAbasic!K1481="CTUh", "Fill in Manually",IF(OR(K1481="Unit", K1481=""), "", INDEX(LookUps!$E$5:$E$12, MATCH(OpenLCAbasic!K1481,LookUps!$D$5:$D$12,0))))</f>
        <v>Water Use (WU) - m3 H2O</v>
      </c>
      <c r="M1481" s="154" t="str">
        <f t="shared" si="79"/>
        <v>Low_Base_Low_Upgraded_Water Use (WU) - m3 H2O_Wet Well and Sump Station; wastewater treatment unit; at updated plant - US_Base_With Amendment_Windrow</v>
      </c>
    </row>
    <row r="1482" spans="1:13" s="120" customFormat="1" x14ac:dyDescent="0.25">
      <c r="A1482" s="119"/>
      <c r="B1482" s="138" t="str">
        <f t="shared" si="77"/>
        <v>Windrow</v>
      </c>
      <c r="C1482" s="138" t="str">
        <f t="shared" si="78"/>
        <v>Base_With Amendment</v>
      </c>
      <c r="D1482" s="118" t="s">
        <v>133</v>
      </c>
      <c r="E1482" s="118" t="s">
        <v>180</v>
      </c>
      <c r="F1482" s="118" t="s">
        <v>46</v>
      </c>
      <c r="G1482" s="153"/>
      <c r="H1482" s="155">
        <v>5.3600000000000002E-2</v>
      </c>
      <c r="I1482" s="154" t="s">
        <v>59</v>
      </c>
      <c r="J1482" s="204">
        <v>7.0179500000000003E-6</v>
      </c>
      <c r="K1482" s="154" t="s">
        <v>26</v>
      </c>
      <c r="L1482" s="154" t="str">
        <f>IF(OpenLCAbasic!K1482="CTUh", "Fill in Manually",IF(OR(K1482="Unit", K1482=""), "", INDEX(LookUps!$E$5:$E$12, MATCH(OpenLCAbasic!K1482,LookUps!$D$5:$D$12,0))))</f>
        <v>Water Use (WU) - m3 H2O</v>
      </c>
      <c r="M1482" s="154" t="str">
        <f t="shared" si="79"/>
        <v>Low_Base_Low_Upgraded_Water Use (WU) - m3 H2O_Blend Tank; wastewater treatment unit; at updated plant - US_Base_With Amendment_Windrow</v>
      </c>
    </row>
    <row r="1483" spans="1:13" s="120" customFormat="1" x14ac:dyDescent="0.25">
      <c r="A1483" s="119"/>
      <c r="B1483" s="138" t="str">
        <f t="shared" si="77"/>
        <v>Windrow</v>
      </c>
      <c r="C1483" s="138" t="str">
        <f t="shared" si="78"/>
        <v>Base_With Amendment</v>
      </c>
      <c r="D1483" s="118" t="s">
        <v>133</v>
      </c>
      <c r="E1483" s="118" t="s">
        <v>180</v>
      </c>
      <c r="F1483" s="118" t="s">
        <v>46</v>
      </c>
      <c r="G1483" s="153"/>
      <c r="H1483" s="155">
        <v>3.8699999999999998E-2</v>
      </c>
      <c r="I1483" s="154" t="s">
        <v>128</v>
      </c>
      <c r="J1483" s="204">
        <v>5.0608900000000003E-6</v>
      </c>
      <c r="K1483" s="154" t="s">
        <v>26</v>
      </c>
      <c r="L1483" s="154" t="str">
        <f>IF(OpenLCAbasic!K1483="CTUh", "Fill in Manually",IF(OR(K1483="Unit", K1483=""), "", INDEX(LookUps!$E$5:$E$12, MATCH(OpenLCAbasic!K1483,LookUps!$D$5:$D$12,0))))</f>
        <v>Water Use (WU) - m3 H2O</v>
      </c>
      <c r="M1483" s="154" t="str">
        <f t="shared" si="79"/>
        <v>Low_Base_Low_Upgraded_Water Use (WU) - m3 H2O_Wastewater collection; operation and infrastructure; m3 wastewater_Base_With Amendment_Windrow</v>
      </c>
    </row>
    <row r="1484" spans="1:13" s="120" customFormat="1" x14ac:dyDescent="0.25">
      <c r="A1484" s="119"/>
      <c r="B1484" s="138" t="str">
        <f t="shared" si="77"/>
        <v>Windrow</v>
      </c>
      <c r="C1484" s="138" t="str">
        <f t="shared" si="78"/>
        <v>Base_With Amendment</v>
      </c>
      <c r="D1484" s="118" t="s">
        <v>133</v>
      </c>
      <c r="E1484" s="118" t="s">
        <v>180</v>
      </c>
      <c r="F1484" s="118" t="s">
        <v>46</v>
      </c>
      <c r="G1484" s="153"/>
      <c r="H1484" s="155">
        <v>9.1000000000000004E-3</v>
      </c>
      <c r="I1484" s="154" t="s">
        <v>271</v>
      </c>
      <c r="J1484" s="204">
        <v>1.1873000000000001E-6</v>
      </c>
      <c r="K1484" s="154" t="s">
        <v>26</v>
      </c>
      <c r="L1484" s="154" t="str">
        <f>IF(OpenLCAbasic!K1484="CTUh", "Fill in Manually",IF(OR(K1484="Unit", K1484=""), "", INDEX(LookUps!$E$5:$E$12, MATCH(OpenLCAbasic!K1484,LookUps!$D$5:$D$12,0))))</f>
        <v>Water Use (WU) - m3 H2O</v>
      </c>
      <c r="M1484" s="154" t="str">
        <f t="shared" si="79"/>
        <v>Low_Base_Low_Upgraded_Water Use (WU) - m3 H2O_Biosolids composting; windrow composting; wastewater treatment unit; at updated plant - US_Base_With Amendment_Windrow</v>
      </c>
    </row>
    <row r="1485" spans="1:13" s="120" customFormat="1" x14ac:dyDescent="0.25">
      <c r="A1485" s="119"/>
      <c r="B1485" s="138" t="str">
        <f t="shared" si="77"/>
        <v>Windrow</v>
      </c>
      <c r="C1485" s="138" t="str">
        <f t="shared" si="78"/>
        <v>Base_With Amendment</v>
      </c>
      <c r="D1485" s="118" t="s">
        <v>133</v>
      </c>
      <c r="E1485" s="118" t="s">
        <v>180</v>
      </c>
      <c r="F1485" s="118" t="s">
        <v>46</v>
      </c>
      <c r="G1485" s="153"/>
      <c r="H1485" s="155">
        <v>5.8999999999999999E-3</v>
      </c>
      <c r="I1485" s="154" t="s">
        <v>168</v>
      </c>
      <c r="J1485" s="204">
        <v>7.6697000000000004E-7</v>
      </c>
      <c r="K1485" s="154" t="s">
        <v>26</v>
      </c>
      <c r="L1485" s="154" t="str">
        <f>IF(OpenLCAbasic!K1485="CTUh", "Fill in Manually",IF(OR(K1485="Unit", K1485=""), "", INDEX(LookUps!$E$5:$E$12, MATCH(OpenLCAbasic!K1485,LookUps!$D$5:$D$12,0))))</f>
        <v>Water Use (WU) - m3 H2O</v>
      </c>
      <c r="M1485" s="154" t="str">
        <f t="shared" si="79"/>
        <v>Low_Base_Low_Upgraded_Water Use (WU) - m3 H2O_ClearCove SCP; wastewater treatment unit; at updated plant - US_Base_With Amendment_Windrow</v>
      </c>
    </row>
    <row r="1486" spans="1:13" s="120" customFormat="1" x14ac:dyDescent="0.25">
      <c r="A1486" s="213"/>
      <c r="B1486" s="138" t="str">
        <f t="shared" si="77"/>
        <v>Windrow</v>
      </c>
      <c r="C1486" s="138" t="str">
        <f t="shared" si="78"/>
        <v>Base_With Amendment</v>
      </c>
      <c r="D1486" s="118" t="s">
        <v>133</v>
      </c>
      <c r="E1486" s="118" t="s">
        <v>180</v>
      </c>
      <c r="F1486" s="118" t="s">
        <v>46</v>
      </c>
      <c r="G1486" s="153"/>
      <c r="H1486" s="155">
        <v>-9.8013999999999992</v>
      </c>
      <c r="I1486" s="154" t="s">
        <v>62</v>
      </c>
      <c r="J1486" s="204">
        <v>-1.2800000000000001E-3</v>
      </c>
      <c r="K1486" s="154" t="s">
        <v>26</v>
      </c>
      <c r="L1486" s="154" t="str">
        <f>IF(OpenLCAbasic!K1486="CTUh", "Fill in Manually",IF(OR(K1486="Unit", K1486=""), "", INDEX(LookUps!$E$5:$E$12, MATCH(OpenLCAbasic!K1486,LookUps!$D$5:$D$12,0))))</f>
        <v>Water Use (WU) - m3 H2O</v>
      </c>
      <c r="M1486" s="154" t="str">
        <f t="shared" si="79"/>
        <v>Low_Base_Low_Upgraded_Water Use (WU) - m3 H2O_Land application of compost; wastewater treatment unit; at updated plant - US_Base_With Amendment_Windrow</v>
      </c>
    </row>
    <row r="1487" spans="1:13" s="120" customFormat="1" x14ac:dyDescent="0.25">
      <c r="A1487" s="119"/>
      <c r="B1487" s="138" t="str">
        <f t="shared" si="77"/>
        <v/>
      </c>
      <c r="C1487" s="138" t="str">
        <f t="shared" si="78"/>
        <v/>
      </c>
      <c r="D1487" s="118"/>
      <c r="E1487" s="118"/>
      <c r="F1487" s="118"/>
      <c r="G1487" s="153"/>
      <c r="H1487" s="154"/>
      <c r="I1487" s="154"/>
      <c r="J1487" s="205"/>
      <c r="K1487" s="154"/>
      <c r="L1487" s="154" t="str">
        <f>IF(OpenLCAbasic!K1487="CTUh", "Fill in Manually",IF(OR(K1487="Unit", K1487=""), "", INDEX(LookUps!$E$5:$E$12, MATCH(OpenLCAbasic!K1487,LookUps!$D$5:$D$12,0))))</f>
        <v/>
      </c>
      <c r="M1487" s="154" t="str">
        <f t="shared" si="79"/>
        <v>______</v>
      </c>
    </row>
    <row r="1488" spans="1:13" s="120" customFormat="1" x14ac:dyDescent="0.25">
      <c r="A1488" s="119"/>
      <c r="B1488" s="138" t="str">
        <f t="shared" si="77"/>
        <v>Windrow</v>
      </c>
      <c r="C1488" s="138" t="str">
        <f t="shared" si="78"/>
        <v>Base_With Amendment</v>
      </c>
      <c r="D1488" s="118" t="s">
        <v>130</v>
      </c>
      <c r="E1488" s="118" t="s">
        <v>180</v>
      </c>
      <c r="F1488" s="118" t="s">
        <v>46</v>
      </c>
      <c r="G1488" s="153" t="s">
        <v>51</v>
      </c>
      <c r="H1488" s="154"/>
      <c r="I1488" s="154" t="s">
        <v>47</v>
      </c>
      <c r="J1488" s="154" t="s">
        <v>52</v>
      </c>
      <c r="K1488" s="154" t="s">
        <v>27</v>
      </c>
      <c r="L1488" s="154" t="str">
        <f>IF(OpenLCAbasic!K1488="CTUh", "Fill in Manually",IF(OR(K1488="Unit", K1488=""), "", INDEX(LookUps!$E$5:$E$12, MATCH(OpenLCAbasic!K1488,LookUps!$D$5:$D$12,0))))</f>
        <v/>
      </c>
      <c r="M1488" s="154" t="str">
        <f t="shared" si="79"/>
        <v>Low_Base_Upgraded__Process_Base_With Amendment_Windrow</v>
      </c>
    </row>
    <row r="1489" spans="1:13" s="120" customFormat="1" x14ac:dyDescent="0.25">
      <c r="A1489" s="119"/>
      <c r="B1489" s="138" t="str">
        <f t="shared" si="77"/>
        <v>Windrow</v>
      </c>
      <c r="C1489" s="138" t="str">
        <f t="shared" si="78"/>
        <v>Base_With Amendment</v>
      </c>
      <c r="D1489" s="118" t="s">
        <v>130</v>
      </c>
      <c r="E1489" s="118" t="s">
        <v>180</v>
      </c>
      <c r="F1489" s="118" t="s">
        <v>46</v>
      </c>
      <c r="G1489" s="153"/>
      <c r="H1489" s="155">
        <v>0.72550000000000003</v>
      </c>
      <c r="I1489" s="154" t="s">
        <v>58</v>
      </c>
      <c r="J1489" s="203">
        <v>0.24279999999999999</v>
      </c>
      <c r="K1489" s="154" t="s">
        <v>23</v>
      </c>
      <c r="L1489" s="154" t="str">
        <f>IF(OpenLCAbasic!K1489="CTUh", "Fill in Manually",IF(OR(K1489="Unit", K1489=""), "", INDEX(LookUps!$E$5:$E$12, MATCH(OpenLCAbasic!K1489,LookUps!$D$5:$D$12,0))))</f>
        <v>Global Warming Potential (GWP) - kg CO2 eq</v>
      </c>
      <c r="M1489" s="154" t="str">
        <f t="shared" si="79"/>
        <v>Low_Base_Upgraded_Global Warming Potential (GWP) - kg CO2 eq_Pre-Anoxic &amp; Swing tank; wastewater treatment unit; at updated plant - US_Base_With Amendment_Windrow</v>
      </c>
    </row>
    <row r="1490" spans="1:13" s="120" customFormat="1" x14ac:dyDescent="0.25">
      <c r="A1490" s="119"/>
      <c r="B1490" s="138" t="str">
        <f t="shared" si="77"/>
        <v>Windrow</v>
      </c>
      <c r="C1490" s="138" t="str">
        <f t="shared" si="78"/>
        <v>Base_With Amendment</v>
      </c>
      <c r="D1490" s="118" t="s">
        <v>130</v>
      </c>
      <c r="E1490" s="118" t="s">
        <v>180</v>
      </c>
      <c r="F1490" s="118" t="s">
        <v>46</v>
      </c>
      <c r="G1490" s="153"/>
      <c r="H1490" s="155">
        <v>0.50270000000000004</v>
      </c>
      <c r="I1490" s="154" t="s">
        <v>55</v>
      </c>
      <c r="J1490" s="203">
        <v>0.16822000000000001</v>
      </c>
      <c r="K1490" s="154" t="s">
        <v>23</v>
      </c>
      <c r="L1490" s="154" t="str">
        <f>IF(OpenLCAbasic!K1490="CTUh", "Fill in Manually",IF(OR(K1490="Unit", K1490=""), "", INDEX(LookUps!$E$5:$E$12, MATCH(OpenLCAbasic!K1490,LookUps!$D$5:$D$12,0))))</f>
        <v>Global Warming Potential (GWP) - kg CO2 eq</v>
      </c>
      <c r="M1490" s="154" t="str">
        <f t="shared" si="79"/>
        <v>Low_Base_Upgraded_Global Warming Potential (GWP) - kg CO2 eq_Aeration Tanks; wastewater treatment unit; at updated plant - US_Base_With Amendment_Windrow</v>
      </c>
    </row>
    <row r="1491" spans="1:13" s="120" customFormat="1" x14ac:dyDescent="0.25">
      <c r="A1491" s="119"/>
      <c r="B1491" s="138" t="str">
        <f t="shared" si="77"/>
        <v>Windrow</v>
      </c>
      <c r="C1491" s="138" t="str">
        <f t="shared" si="78"/>
        <v>Base_With Amendment</v>
      </c>
      <c r="D1491" s="118" t="s">
        <v>130</v>
      </c>
      <c r="E1491" s="118" t="s">
        <v>180</v>
      </c>
      <c r="F1491" s="118" t="s">
        <v>46</v>
      </c>
      <c r="G1491" s="153"/>
      <c r="H1491" s="155">
        <v>0.30599999999999999</v>
      </c>
      <c r="I1491" s="154" t="s">
        <v>167</v>
      </c>
      <c r="J1491" s="203">
        <v>0.10241</v>
      </c>
      <c r="K1491" s="154" t="s">
        <v>23</v>
      </c>
      <c r="L1491" s="154" t="str">
        <f>IF(OpenLCAbasic!K1491="CTUh", "Fill in Manually",IF(OR(K1491="Unit", K1491=""), "", INDEX(LookUps!$E$5:$E$12, MATCH(OpenLCAbasic!K1491,LookUps!$D$5:$D$12,0))))</f>
        <v>Global Warming Potential (GWP) - kg CO2 eq</v>
      </c>
      <c r="M1491" s="154" t="str">
        <f t="shared" si="79"/>
        <v>Low_Base_Upgraded_Global Warming Potential (GWP) - kg CO2 eq_Waste Receiving and Holding; wastewater treatment unit; at updated plant - US_Base_With Amendment_Windrow</v>
      </c>
    </row>
    <row r="1492" spans="1:13" s="120" customFormat="1" x14ac:dyDescent="0.25">
      <c r="A1492" s="119"/>
      <c r="B1492" s="138" t="str">
        <f t="shared" si="77"/>
        <v>Windrow</v>
      </c>
      <c r="C1492" s="138" t="str">
        <f t="shared" si="78"/>
        <v>Base_With Amendment</v>
      </c>
      <c r="D1492" s="118" t="s">
        <v>130</v>
      </c>
      <c r="E1492" s="118" t="s">
        <v>180</v>
      </c>
      <c r="F1492" s="118" t="s">
        <v>46</v>
      </c>
      <c r="G1492" s="153"/>
      <c r="H1492" s="155">
        <v>0.28470000000000001</v>
      </c>
      <c r="I1492" s="154" t="s">
        <v>271</v>
      </c>
      <c r="J1492" s="203">
        <v>9.5269999999999994E-2</v>
      </c>
      <c r="K1492" s="154" t="s">
        <v>23</v>
      </c>
      <c r="L1492" s="154" t="str">
        <f>IF(OpenLCAbasic!K1492="CTUh", "Fill in Manually",IF(OR(K1492="Unit", K1492=""), "", INDEX(LookUps!$E$5:$E$12, MATCH(OpenLCAbasic!K1492,LookUps!$D$5:$D$12,0))))</f>
        <v>Global Warming Potential (GWP) - kg CO2 eq</v>
      </c>
      <c r="M1492" s="154" t="str">
        <f t="shared" si="79"/>
        <v>Low_Base_Upgraded_Global Warming Potential (GWP) - kg CO2 eq_Biosolids composting; windrow composting; wastewater treatment unit; at updated plant - US_Base_With Amendment_Windrow</v>
      </c>
    </row>
    <row r="1493" spans="1:13" s="120" customFormat="1" x14ac:dyDescent="0.25">
      <c r="A1493" s="119"/>
      <c r="B1493" s="138" t="str">
        <f t="shared" si="77"/>
        <v>Windrow</v>
      </c>
      <c r="C1493" s="138" t="str">
        <f t="shared" si="78"/>
        <v>Base_With Amendment</v>
      </c>
      <c r="D1493" s="118" t="s">
        <v>130</v>
      </c>
      <c r="E1493" s="118" t="s">
        <v>180</v>
      </c>
      <c r="F1493" s="118" t="s">
        <v>46</v>
      </c>
      <c r="G1493" s="153"/>
      <c r="H1493" s="155">
        <v>0.1706</v>
      </c>
      <c r="I1493" s="154" t="s">
        <v>54</v>
      </c>
      <c r="J1493" s="203">
        <v>5.7079999999999999E-2</v>
      </c>
      <c r="K1493" s="154" t="s">
        <v>23</v>
      </c>
      <c r="L1493" s="154" t="str">
        <f>IF(OpenLCAbasic!K1493="CTUh", "Fill in Manually",IF(OR(K1493="Unit", K1493=""), "", INDEX(LookUps!$E$5:$E$12, MATCH(OpenLCAbasic!K1493,LookUps!$D$5:$D$12,0))))</f>
        <v>Global Warming Potential (GWP) - kg CO2 eq</v>
      </c>
      <c r="M1493" s="154" t="str">
        <f t="shared" si="79"/>
        <v>Low_Base_Upgraded_Global Warming Potential (GWP) - kg CO2 eq_Clear Cove Primary Clarification; wastewater treatment unit; at updated plant - US_Base_With Amendment_Windrow</v>
      </c>
    </row>
    <row r="1494" spans="1:13" s="120" customFormat="1" x14ac:dyDescent="0.25">
      <c r="A1494" s="119"/>
      <c r="B1494" s="138" t="str">
        <f t="shared" si="77"/>
        <v>Windrow</v>
      </c>
      <c r="C1494" s="138" t="str">
        <f t="shared" si="78"/>
        <v>Base_With Amendment</v>
      </c>
      <c r="D1494" s="118" t="s">
        <v>130</v>
      </c>
      <c r="E1494" s="118" t="s">
        <v>180</v>
      </c>
      <c r="F1494" s="118" t="s">
        <v>46</v>
      </c>
      <c r="G1494" s="153"/>
      <c r="H1494" s="155">
        <v>0.1573</v>
      </c>
      <c r="I1494" s="154" t="s">
        <v>48</v>
      </c>
      <c r="J1494" s="203">
        <v>5.2639999999999999E-2</v>
      </c>
      <c r="K1494" s="154" t="s">
        <v>23</v>
      </c>
      <c r="L1494" s="154" t="str">
        <f>IF(OpenLCAbasic!K1494="CTUh", "Fill in Manually",IF(OR(K1494="Unit", K1494=""), "", INDEX(LookUps!$E$5:$E$12, MATCH(OpenLCAbasic!K1494,LookUps!$D$5:$D$12,0))))</f>
        <v>Global Warming Potential (GWP) - kg CO2 eq</v>
      </c>
      <c r="M1494" s="154" t="str">
        <f t="shared" si="79"/>
        <v>Low_Base_Upgraded_Global Warming Potential (GWP) - kg CO2 eq_Effluent release; wastewater treatment unit; at surface water; m3 wastewater - US_Base_With Amendment_Windrow</v>
      </c>
    </row>
    <row r="1495" spans="1:13" s="120" customFormat="1" x14ac:dyDescent="0.25">
      <c r="A1495" s="119"/>
      <c r="B1495" s="138" t="str">
        <f t="shared" si="77"/>
        <v>Windrow</v>
      </c>
      <c r="C1495" s="138" t="str">
        <f t="shared" si="78"/>
        <v>Base_With Amendment</v>
      </c>
      <c r="D1495" s="118" t="s">
        <v>130</v>
      </c>
      <c r="E1495" s="118" t="s">
        <v>180</v>
      </c>
      <c r="F1495" s="118" t="s">
        <v>46</v>
      </c>
      <c r="G1495" s="153"/>
      <c r="H1495" s="155">
        <v>0.15090000000000001</v>
      </c>
      <c r="I1495" s="154" t="s">
        <v>147</v>
      </c>
      <c r="J1495" s="203">
        <v>5.0500000000000003E-2</v>
      </c>
      <c r="K1495" s="154" t="s">
        <v>23</v>
      </c>
      <c r="L1495" s="154" t="str">
        <f>IF(OpenLCAbasic!K1495="CTUh", "Fill in Manually",IF(OR(K1495="Unit", K1495=""), "", INDEX(LookUps!$E$5:$E$12, MATCH(OpenLCAbasic!K1495,LookUps!$D$5:$D$12,0))))</f>
        <v>Global Warming Potential (GWP) - kg CO2 eq</v>
      </c>
      <c r="M1495" s="154" t="str">
        <f t="shared" si="79"/>
        <v>Low_Base_Upgraded_Global Warming Potential (GWP) - kg CO2 eq_Influent Pump Station; wastewater treatment unit; at updated plant - US_Base_With Amendment_Windrow</v>
      </c>
    </row>
    <row r="1496" spans="1:13" s="120" customFormat="1" x14ac:dyDescent="0.25">
      <c r="A1496" s="119"/>
      <c r="B1496" s="138" t="str">
        <f t="shared" si="77"/>
        <v>Windrow</v>
      </c>
      <c r="C1496" s="138" t="str">
        <f t="shared" si="78"/>
        <v>Base_With Amendment</v>
      </c>
      <c r="D1496" s="118" t="s">
        <v>130</v>
      </c>
      <c r="E1496" s="118" t="s">
        <v>180</v>
      </c>
      <c r="F1496" s="118" t="s">
        <v>46</v>
      </c>
      <c r="G1496" s="153"/>
      <c r="H1496" s="155">
        <v>9.9400000000000002E-2</v>
      </c>
      <c r="I1496" s="154" t="s">
        <v>53</v>
      </c>
      <c r="J1496" s="203">
        <v>3.3259999999999998E-2</v>
      </c>
      <c r="K1496" s="154" t="s">
        <v>23</v>
      </c>
      <c r="L1496" s="154" t="str">
        <f>IF(OpenLCAbasic!K1496="CTUh", "Fill in Manually",IF(OR(K1496="Unit", K1496=""), "", INDEX(LookUps!$E$5:$E$12, MATCH(OpenLCAbasic!K1496,LookUps!$D$5:$D$12,0))))</f>
        <v>Global Warming Potential (GWP) - kg CO2 eq</v>
      </c>
      <c r="M1496" s="154" t="str">
        <f t="shared" si="79"/>
        <v>Low_Base_Upgraded_Global Warming Potential (GWP) - kg CO2 eq_Wet Well and Sump Station; wastewater treatment unit; at updated plant - US_Base_With Amendment_Windrow</v>
      </c>
    </row>
    <row r="1497" spans="1:13" s="120" customFormat="1" x14ac:dyDescent="0.25">
      <c r="A1497" s="119"/>
      <c r="B1497" s="138" t="str">
        <f t="shared" si="77"/>
        <v>Windrow</v>
      </c>
      <c r="C1497" s="138" t="str">
        <f t="shared" si="78"/>
        <v>Base_With Amendment</v>
      </c>
      <c r="D1497" s="118" t="s">
        <v>130</v>
      </c>
      <c r="E1497" s="118" t="s">
        <v>180</v>
      </c>
      <c r="F1497" s="118" t="s">
        <v>46</v>
      </c>
      <c r="G1497" s="153"/>
      <c r="H1497" s="155">
        <v>4.3499999999999997E-2</v>
      </c>
      <c r="I1497" s="154" t="s">
        <v>57</v>
      </c>
      <c r="J1497" s="203">
        <v>1.455E-2</v>
      </c>
      <c r="K1497" s="154" t="s">
        <v>23</v>
      </c>
      <c r="L1497" s="154" t="str">
        <f>IF(OpenLCAbasic!K1497="CTUh", "Fill in Manually",IF(OR(K1497="Unit", K1497=""), "", INDEX(LookUps!$E$5:$E$12, MATCH(OpenLCAbasic!K1497,LookUps!$D$5:$D$12,0))))</f>
        <v>Global Warming Potential (GWP) - kg CO2 eq</v>
      </c>
      <c r="M1497" s="154" t="str">
        <f t="shared" si="79"/>
        <v>Low_Base_Upgraded_Global Warming Potential (GWP) - kg CO2 eq_Gravity Belt Thickener; wastewater treatment unit; at updated plant - US_Base_With Amendment_Windrow</v>
      </c>
    </row>
    <row r="1498" spans="1:13" s="120" customFormat="1" x14ac:dyDescent="0.25">
      <c r="A1498" s="119"/>
      <c r="B1498" s="138" t="str">
        <f t="shared" si="77"/>
        <v>Windrow</v>
      </c>
      <c r="C1498" s="138" t="str">
        <f t="shared" si="78"/>
        <v>Base_With Amendment</v>
      </c>
      <c r="D1498" s="118" t="s">
        <v>130</v>
      </c>
      <c r="E1498" s="118" t="s">
        <v>180</v>
      </c>
      <c r="F1498" s="118" t="s">
        <v>46</v>
      </c>
      <c r="G1498" s="153"/>
      <c r="H1498" s="155">
        <v>4.0399999999999998E-2</v>
      </c>
      <c r="I1498" s="154" t="s">
        <v>128</v>
      </c>
      <c r="J1498" s="203">
        <v>1.3509999999999999E-2</v>
      </c>
      <c r="K1498" s="154" t="s">
        <v>23</v>
      </c>
      <c r="L1498" s="154" t="str">
        <f>IF(OpenLCAbasic!K1498="CTUh", "Fill in Manually",IF(OR(K1498="Unit", K1498=""), "", INDEX(LookUps!$E$5:$E$12, MATCH(OpenLCAbasic!K1498,LookUps!$D$5:$D$12,0))))</f>
        <v>Global Warming Potential (GWP) - kg CO2 eq</v>
      </c>
      <c r="M1498" s="154" t="str">
        <f t="shared" si="79"/>
        <v>Low_Base_Upgraded_Global Warming Potential (GWP) - kg CO2 eq_Wastewater collection; operation and infrastructure; m3 wastewater_Base_With Amendment_Windrow</v>
      </c>
    </row>
    <row r="1499" spans="1:13" s="120" customFormat="1" x14ac:dyDescent="0.25">
      <c r="A1499" s="119"/>
      <c r="B1499" s="138" t="str">
        <f t="shared" si="77"/>
        <v>Windrow</v>
      </c>
      <c r="C1499" s="138" t="str">
        <f t="shared" si="78"/>
        <v>Base_With Amendment</v>
      </c>
      <c r="D1499" s="118" t="s">
        <v>130</v>
      </c>
      <c r="E1499" s="118" t="s">
        <v>180</v>
      </c>
      <c r="F1499" s="118" t="s">
        <v>46</v>
      </c>
      <c r="G1499" s="153"/>
      <c r="H1499" s="155">
        <v>3.8199999999999998E-2</v>
      </c>
      <c r="I1499" s="154" t="s">
        <v>60</v>
      </c>
      <c r="J1499" s="204">
        <v>1.278E-2</v>
      </c>
      <c r="K1499" s="154" t="s">
        <v>23</v>
      </c>
      <c r="L1499" s="154" t="str">
        <f>IF(OpenLCAbasic!K1499="CTUh", "Fill in Manually",IF(OR(K1499="Unit", K1499=""), "", INDEX(LookUps!$E$5:$E$12, MATCH(OpenLCAbasic!K1499,LookUps!$D$5:$D$12,0))))</f>
        <v>Global Warming Potential (GWP) - kg CO2 eq</v>
      </c>
      <c r="M1499" s="154" t="str">
        <f t="shared" si="79"/>
        <v>Low_Base_Upgraded_Global Warming Potential (GWP) - kg CO2 eq_Belt filter press; wastewater treatment unit; at updated plant - US_Base_With Amendment_Windrow</v>
      </c>
    </row>
    <row r="1500" spans="1:13" s="120" customFormat="1" x14ac:dyDescent="0.25">
      <c r="A1500" s="119"/>
      <c r="B1500" s="138" t="str">
        <f t="shared" si="77"/>
        <v>Windrow</v>
      </c>
      <c r="C1500" s="138" t="str">
        <f t="shared" si="78"/>
        <v>Base_With Amendment</v>
      </c>
      <c r="D1500" s="118" t="s">
        <v>130</v>
      </c>
      <c r="E1500" s="118" t="s">
        <v>180</v>
      </c>
      <c r="F1500" s="118" t="s">
        <v>46</v>
      </c>
      <c r="G1500" s="153"/>
      <c r="H1500" s="155">
        <v>2.4799999999999999E-2</v>
      </c>
      <c r="I1500" s="154" t="s">
        <v>148</v>
      </c>
      <c r="J1500" s="204">
        <v>8.3000000000000001E-3</v>
      </c>
      <c r="K1500" s="154" t="s">
        <v>23</v>
      </c>
      <c r="L1500" s="154" t="str">
        <f>IF(OpenLCAbasic!K1500="CTUh", "Fill in Manually",IF(OR(K1500="Unit", K1500=""), "", INDEX(LookUps!$E$5:$E$12, MATCH(OpenLCAbasic!K1500,LookUps!$D$5:$D$12,0))))</f>
        <v>Global Warming Potential (GWP) - kg CO2 eq</v>
      </c>
      <c r="M1500" s="154" t="str">
        <f t="shared" si="79"/>
        <v>Low_Base_Upgraded_Global Warming Potential (GWP) - kg CO2 eq_Control Building; at upgraded wastewater treatment plant - US_Base_With Amendment_Windrow</v>
      </c>
    </row>
    <row r="1501" spans="1:13" s="120" customFormat="1" x14ac:dyDescent="0.25">
      <c r="A1501" s="119"/>
      <c r="B1501" s="138" t="str">
        <f t="shared" si="77"/>
        <v>Windrow</v>
      </c>
      <c r="C1501" s="138" t="str">
        <f t="shared" si="78"/>
        <v>Base_With Amendment</v>
      </c>
      <c r="D1501" s="118" t="s">
        <v>130</v>
      </c>
      <c r="E1501" s="118" t="s">
        <v>180</v>
      </c>
      <c r="F1501" s="118" t="s">
        <v>46</v>
      </c>
      <c r="G1501" s="153"/>
      <c r="H1501" s="155">
        <v>1.5100000000000001E-2</v>
      </c>
      <c r="I1501" s="154" t="s">
        <v>59</v>
      </c>
      <c r="J1501" s="204">
        <v>5.0400000000000002E-3</v>
      </c>
      <c r="K1501" s="154" t="s">
        <v>23</v>
      </c>
      <c r="L1501" s="154" t="str">
        <f>IF(OpenLCAbasic!K1501="CTUh", "Fill in Manually",IF(OR(K1501="Unit", K1501=""), "", INDEX(LookUps!$E$5:$E$12, MATCH(OpenLCAbasic!K1501,LookUps!$D$5:$D$12,0))))</f>
        <v>Global Warming Potential (GWP) - kg CO2 eq</v>
      </c>
      <c r="M1501" s="154" t="str">
        <f t="shared" si="79"/>
        <v>Low_Base_Upgraded_Global Warming Potential (GWP) - kg CO2 eq_Blend Tank; wastewater treatment unit; at updated plant - US_Base_With Amendment_Windrow</v>
      </c>
    </row>
    <row r="1502" spans="1:13" s="120" customFormat="1" x14ac:dyDescent="0.25">
      <c r="A1502" s="119"/>
      <c r="B1502" s="138" t="str">
        <f t="shared" si="77"/>
        <v>Windrow</v>
      </c>
      <c r="C1502" s="138" t="str">
        <f t="shared" si="78"/>
        <v>Base_With Amendment</v>
      </c>
      <c r="D1502" s="118" t="s">
        <v>130</v>
      </c>
      <c r="E1502" s="118" t="s">
        <v>180</v>
      </c>
      <c r="F1502" s="118" t="s">
        <v>46</v>
      </c>
      <c r="G1502" s="153"/>
      <c r="H1502" s="155">
        <v>7.1999999999999998E-3</v>
      </c>
      <c r="I1502" s="154" t="s">
        <v>168</v>
      </c>
      <c r="J1502" s="204">
        <v>2.4099999999999998E-3</v>
      </c>
      <c r="K1502" s="154" t="s">
        <v>23</v>
      </c>
      <c r="L1502" s="154" t="str">
        <f>IF(OpenLCAbasic!K1502="CTUh", "Fill in Manually",IF(OR(K1502="Unit", K1502=""), "", INDEX(LookUps!$E$5:$E$12, MATCH(OpenLCAbasic!K1502,LookUps!$D$5:$D$12,0))))</f>
        <v>Global Warming Potential (GWP) - kg CO2 eq</v>
      </c>
      <c r="M1502" s="154" t="str">
        <f t="shared" si="79"/>
        <v>Low_Base_Upgraded_Global Warming Potential (GWP) - kg CO2 eq_ClearCove SCP; wastewater treatment unit; at updated plant - US_Base_With Amendment_Windrow</v>
      </c>
    </row>
    <row r="1503" spans="1:13" s="120" customFormat="1" x14ac:dyDescent="0.25">
      <c r="A1503" s="119"/>
      <c r="B1503" s="138" t="str">
        <f t="shared" si="77"/>
        <v>Windrow</v>
      </c>
      <c r="C1503" s="138" t="str">
        <f t="shared" si="78"/>
        <v>Base_With Amendment</v>
      </c>
      <c r="D1503" s="118" t="s">
        <v>130</v>
      </c>
      <c r="E1503" s="118" t="s">
        <v>180</v>
      </c>
      <c r="F1503" s="118" t="s">
        <v>46</v>
      </c>
      <c r="G1503" s="153"/>
      <c r="H1503" s="155">
        <v>-0.16919999999999999</v>
      </c>
      <c r="I1503" s="154" t="s">
        <v>149</v>
      </c>
      <c r="J1503" s="204">
        <v>-5.6640000000000003E-2</v>
      </c>
      <c r="K1503" s="154" t="s">
        <v>23</v>
      </c>
      <c r="L1503" s="154" t="str">
        <f>IF(OpenLCAbasic!K1503="CTUh", "Fill in Manually",IF(OR(K1503="Unit", K1503=""), "", INDEX(LookUps!$E$5:$E$12, MATCH(OpenLCAbasic!K1503,LookUps!$D$5:$D$12,0))))</f>
        <v>Global Warming Potential (GWP) - kg CO2 eq</v>
      </c>
      <c r="M1503" s="154" t="str">
        <f t="shared" si="79"/>
        <v>Low_Base_Upgraded_Global Warming Potential (GWP) - kg CO2 eq_Anaerobic Digestion; wastewater treatment unit; at updated plant - US_Base_With Amendment_Windrow</v>
      </c>
    </row>
    <row r="1504" spans="1:13" s="120" customFormat="1" x14ac:dyDescent="0.25">
      <c r="A1504" s="119"/>
      <c r="B1504" s="138" t="str">
        <f t="shared" si="77"/>
        <v>Windrow</v>
      </c>
      <c r="C1504" s="138" t="str">
        <f t="shared" si="78"/>
        <v>Base_With Amendment</v>
      </c>
      <c r="D1504" s="118" t="s">
        <v>130</v>
      </c>
      <c r="E1504" s="118" t="s">
        <v>180</v>
      </c>
      <c r="F1504" s="118" t="s">
        <v>46</v>
      </c>
      <c r="G1504" s="153"/>
      <c r="H1504" s="155">
        <v>-1.3968</v>
      </c>
      <c r="I1504" s="154" t="s">
        <v>62</v>
      </c>
      <c r="J1504" s="203">
        <v>-0.46745999999999999</v>
      </c>
      <c r="K1504" s="154" t="s">
        <v>23</v>
      </c>
      <c r="L1504" s="154" t="str">
        <f>IF(OpenLCAbasic!K1504="CTUh", "Fill in Manually",IF(OR(K1504="Unit", K1504=""), "", INDEX(LookUps!$E$5:$E$12, MATCH(OpenLCAbasic!K1504,LookUps!$D$5:$D$12,0))))</f>
        <v>Global Warming Potential (GWP) - kg CO2 eq</v>
      </c>
      <c r="M1504" s="154" t="str">
        <f t="shared" si="79"/>
        <v>Low_Base_Upgraded_Global Warming Potential (GWP) - kg CO2 eq_Land application of compost; wastewater treatment unit; at updated plant - US_Base_With Amendment_Windrow</v>
      </c>
    </row>
    <row r="1505" spans="1:13" s="120" customFormat="1" x14ac:dyDescent="0.25">
      <c r="A1505" s="119"/>
      <c r="B1505" s="138" t="str">
        <f t="shared" si="77"/>
        <v>Windrow</v>
      </c>
      <c r="C1505" s="138" t="str">
        <f t="shared" si="78"/>
        <v>Base_With Amendment</v>
      </c>
      <c r="D1505" s="118" t="s">
        <v>130</v>
      </c>
      <c r="E1505" s="118" t="s">
        <v>180</v>
      </c>
      <c r="F1505" s="118" t="s">
        <v>46</v>
      </c>
      <c r="G1505" s="153" t="s">
        <v>51</v>
      </c>
      <c r="H1505" s="154"/>
      <c r="I1505" s="154" t="s">
        <v>47</v>
      </c>
      <c r="J1505" s="154" t="s">
        <v>52</v>
      </c>
      <c r="K1505" s="154" t="s">
        <v>27</v>
      </c>
      <c r="L1505" s="154" t="str">
        <f>IF(OpenLCAbasic!K1505="CTUh", "Fill in Manually",IF(OR(K1505="Unit", K1505=""), "", INDEX(LookUps!$E$5:$E$12, MATCH(OpenLCAbasic!K1505,LookUps!$D$5:$D$12,0))))</f>
        <v/>
      </c>
      <c r="M1505" s="154" t="str">
        <f t="shared" si="79"/>
        <v>Low_Base_Upgraded__Process_Base_With Amendment_Windrow</v>
      </c>
    </row>
    <row r="1506" spans="1:13" s="120" customFormat="1" x14ac:dyDescent="0.25">
      <c r="A1506" s="119"/>
      <c r="B1506" s="138" t="str">
        <f t="shared" si="77"/>
        <v>Windrow</v>
      </c>
      <c r="C1506" s="138" t="str">
        <f t="shared" si="78"/>
        <v>Base_With Amendment</v>
      </c>
      <c r="D1506" s="118" t="s">
        <v>130</v>
      </c>
      <c r="E1506" s="118" t="s">
        <v>180</v>
      </c>
      <c r="F1506" s="118" t="s">
        <v>46</v>
      </c>
      <c r="G1506" s="153"/>
      <c r="H1506" s="155">
        <v>0.371</v>
      </c>
      <c r="I1506" s="154" t="s">
        <v>55</v>
      </c>
      <c r="J1506" s="157">
        <v>3.5330499999999998</v>
      </c>
      <c r="K1506" s="154" t="s">
        <v>15</v>
      </c>
      <c r="L1506" s="154" t="str">
        <f>IF(OpenLCAbasic!K1506="CTUh", "Fill in Manually",IF(OR(K1506="Unit", K1506=""), "", INDEX(LookUps!$E$5:$E$12, MATCH(OpenLCAbasic!K1506,LookUps!$D$5:$D$12,0))))</f>
        <v>Cumulative Energy Demand (CED) - MJ</v>
      </c>
      <c r="M1506" s="154" t="str">
        <f t="shared" si="79"/>
        <v>Low_Base_Upgraded_Cumulative Energy Demand (CED) - MJ_Aeration Tanks; wastewater treatment unit; at updated plant - US_Base_With Amendment_Windrow</v>
      </c>
    </row>
    <row r="1507" spans="1:13" s="120" customFormat="1" x14ac:dyDescent="0.25">
      <c r="A1507" s="119"/>
      <c r="B1507" s="138" t="str">
        <f t="shared" si="77"/>
        <v>Windrow</v>
      </c>
      <c r="C1507" s="138" t="str">
        <f t="shared" si="78"/>
        <v>Base_With Amendment</v>
      </c>
      <c r="D1507" s="118" t="s">
        <v>130</v>
      </c>
      <c r="E1507" s="118" t="s">
        <v>180</v>
      </c>
      <c r="F1507" s="118" t="s">
        <v>46</v>
      </c>
      <c r="G1507" s="153"/>
      <c r="H1507" s="155">
        <v>0.3674</v>
      </c>
      <c r="I1507" s="154" t="s">
        <v>167</v>
      </c>
      <c r="J1507" s="157">
        <v>3.4982700000000002</v>
      </c>
      <c r="K1507" s="154" t="s">
        <v>15</v>
      </c>
      <c r="L1507" s="154" t="str">
        <f>IF(OpenLCAbasic!K1507="CTUh", "Fill in Manually",IF(OR(K1507="Unit", K1507=""), "", INDEX(LookUps!$E$5:$E$12, MATCH(OpenLCAbasic!K1507,LookUps!$D$5:$D$12,0))))</f>
        <v>Cumulative Energy Demand (CED) - MJ</v>
      </c>
      <c r="M1507" s="154" t="str">
        <f t="shared" si="79"/>
        <v>Low_Base_Upgraded_Cumulative Energy Demand (CED) - MJ_Waste Receiving and Holding; wastewater treatment unit; at updated plant - US_Base_With Amendment_Windrow</v>
      </c>
    </row>
    <row r="1508" spans="1:13" s="120" customFormat="1" x14ac:dyDescent="0.25">
      <c r="A1508" s="119"/>
      <c r="B1508" s="138" t="str">
        <f t="shared" si="77"/>
        <v>Windrow</v>
      </c>
      <c r="C1508" s="138" t="str">
        <f t="shared" si="78"/>
        <v>Base_With Amendment</v>
      </c>
      <c r="D1508" s="118" t="s">
        <v>130</v>
      </c>
      <c r="E1508" s="118" t="s">
        <v>180</v>
      </c>
      <c r="F1508" s="118" t="s">
        <v>46</v>
      </c>
      <c r="G1508" s="153"/>
      <c r="H1508" s="155">
        <v>0.1221</v>
      </c>
      <c r="I1508" s="154" t="s">
        <v>54</v>
      </c>
      <c r="J1508" s="157">
        <v>1.16289</v>
      </c>
      <c r="K1508" s="154" t="s">
        <v>15</v>
      </c>
      <c r="L1508" s="154" t="str">
        <f>IF(OpenLCAbasic!K1508="CTUh", "Fill in Manually",IF(OR(K1508="Unit", K1508=""), "", INDEX(LookUps!$E$5:$E$12, MATCH(OpenLCAbasic!K1508,LookUps!$D$5:$D$12,0))))</f>
        <v>Cumulative Energy Demand (CED) - MJ</v>
      </c>
      <c r="M1508" s="154" t="str">
        <f t="shared" si="79"/>
        <v>Low_Base_Upgraded_Cumulative Energy Demand (CED) - MJ_Clear Cove Primary Clarification; wastewater treatment unit; at updated plant - US_Base_With Amendment_Windrow</v>
      </c>
    </row>
    <row r="1509" spans="1:13" s="120" customFormat="1" x14ac:dyDescent="0.25">
      <c r="A1509" s="119"/>
      <c r="B1509" s="138" t="str">
        <f t="shared" si="77"/>
        <v>Windrow</v>
      </c>
      <c r="C1509" s="138" t="str">
        <f t="shared" si="78"/>
        <v>Base_With Amendment</v>
      </c>
      <c r="D1509" s="118" t="s">
        <v>130</v>
      </c>
      <c r="E1509" s="118" t="s">
        <v>180</v>
      </c>
      <c r="F1509" s="118" t="s">
        <v>46</v>
      </c>
      <c r="G1509" s="153"/>
      <c r="H1509" s="155">
        <v>9.2799999999999994E-2</v>
      </c>
      <c r="I1509" s="154" t="s">
        <v>58</v>
      </c>
      <c r="J1509" s="203">
        <v>0.88417000000000001</v>
      </c>
      <c r="K1509" s="154" t="s">
        <v>15</v>
      </c>
      <c r="L1509" s="154" t="str">
        <f>IF(OpenLCAbasic!K1509="CTUh", "Fill in Manually",IF(OR(K1509="Unit", K1509=""), "", INDEX(LookUps!$E$5:$E$12, MATCH(OpenLCAbasic!K1509,LookUps!$D$5:$D$12,0))))</f>
        <v>Cumulative Energy Demand (CED) - MJ</v>
      </c>
      <c r="M1509" s="154" t="str">
        <f t="shared" si="79"/>
        <v>Low_Base_Upgraded_Cumulative Energy Demand (CED) - MJ_Pre-Anoxic &amp; Swing tank; wastewater treatment unit; at updated plant - US_Base_With Amendment_Windrow</v>
      </c>
    </row>
    <row r="1510" spans="1:13" s="120" customFormat="1" x14ac:dyDescent="0.25">
      <c r="A1510" s="119"/>
      <c r="B1510" s="138" t="str">
        <f t="shared" si="77"/>
        <v>Windrow</v>
      </c>
      <c r="C1510" s="138" t="str">
        <f t="shared" si="78"/>
        <v>Base_With Amendment</v>
      </c>
      <c r="D1510" s="118" t="s">
        <v>130</v>
      </c>
      <c r="E1510" s="118" t="s">
        <v>180</v>
      </c>
      <c r="F1510" s="118" t="s">
        <v>46</v>
      </c>
      <c r="G1510" s="153"/>
      <c r="H1510" s="155">
        <v>9.2700000000000005E-2</v>
      </c>
      <c r="I1510" s="154" t="s">
        <v>147</v>
      </c>
      <c r="J1510" s="203">
        <v>0.88297000000000003</v>
      </c>
      <c r="K1510" s="154" t="s">
        <v>15</v>
      </c>
      <c r="L1510" s="154" t="str">
        <f>IF(OpenLCAbasic!K1510="CTUh", "Fill in Manually",IF(OR(K1510="Unit", K1510=""), "", INDEX(LookUps!$E$5:$E$12, MATCH(OpenLCAbasic!K1510,LookUps!$D$5:$D$12,0))))</f>
        <v>Cumulative Energy Demand (CED) - MJ</v>
      </c>
      <c r="M1510" s="154" t="str">
        <f t="shared" si="79"/>
        <v>Low_Base_Upgraded_Cumulative Energy Demand (CED) - MJ_Influent Pump Station; wastewater treatment unit; at updated plant - US_Base_With Amendment_Windrow</v>
      </c>
    </row>
    <row r="1511" spans="1:13" s="120" customFormat="1" x14ac:dyDescent="0.25">
      <c r="A1511" s="119"/>
      <c r="B1511" s="138" t="str">
        <f t="shared" si="77"/>
        <v>Windrow</v>
      </c>
      <c r="C1511" s="138" t="str">
        <f t="shared" si="78"/>
        <v>Base_With Amendment</v>
      </c>
      <c r="D1511" s="118" t="s">
        <v>130</v>
      </c>
      <c r="E1511" s="118" t="s">
        <v>180</v>
      </c>
      <c r="F1511" s="118" t="s">
        <v>46</v>
      </c>
      <c r="G1511" s="153"/>
      <c r="H1511" s="155">
        <v>7.3099999999999998E-2</v>
      </c>
      <c r="I1511" s="154" t="s">
        <v>53</v>
      </c>
      <c r="J1511" s="203">
        <v>0.69645000000000001</v>
      </c>
      <c r="K1511" s="154" t="s">
        <v>15</v>
      </c>
      <c r="L1511" s="154" t="str">
        <f>IF(OpenLCAbasic!K1511="CTUh", "Fill in Manually",IF(OR(K1511="Unit", K1511=""), "", INDEX(LookUps!$E$5:$E$12, MATCH(OpenLCAbasic!K1511,LookUps!$D$5:$D$12,0))))</f>
        <v>Cumulative Energy Demand (CED) - MJ</v>
      </c>
      <c r="M1511" s="154" t="str">
        <f t="shared" si="79"/>
        <v>Low_Base_Upgraded_Cumulative Energy Demand (CED) - MJ_Wet Well and Sump Station; wastewater treatment unit; at updated plant - US_Base_With Amendment_Windrow</v>
      </c>
    </row>
    <row r="1512" spans="1:13" s="120" customFormat="1" x14ac:dyDescent="0.25">
      <c r="A1512" s="119"/>
      <c r="B1512" s="138" t="str">
        <f t="shared" si="77"/>
        <v>Windrow</v>
      </c>
      <c r="C1512" s="138" t="str">
        <f t="shared" si="78"/>
        <v>Base_With Amendment</v>
      </c>
      <c r="D1512" s="118" t="s">
        <v>130</v>
      </c>
      <c r="E1512" s="118" t="s">
        <v>180</v>
      </c>
      <c r="F1512" s="118" t="s">
        <v>46</v>
      </c>
      <c r="G1512" s="153"/>
      <c r="H1512" s="155">
        <v>3.5099999999999999E-2</v>
      </c>
      <c r="I1512" s="154" t="s">
        <v>57</v>
      </c>
      <c r="J1512" s="203">
        <v>0.33404</v>
      </c>
      <c r="K1512" s="154" t="s">
        <v>15</v>
      </c>
      <c r="L1512" s="154" t="str">
        <f>IF(OpenLCAbasic!K1512="CTUh", "Fill in Manually",IF(OR(K1512="Unit", K1512=""), "", INDEX(LookUps!$E$5:$E$12, MATCH(OpenLCAbasic!K1512,LookUps!$D$5:$D$12,0))))</f>
        <v>Cumulative Energy Demand (CED) - MJ</v>
      </c>
      <c r="M1512" s="154" t="str">
        <f t="shared" si="79"/>
        <v>Low_Base_Upgraded_Cumulative Energy Demand (CED) - MJ_Gravity Belt Thickener; wastewater treatment unit; at updated plant - US_Base_With Amendment_Windrow</v>
      </c>
    </row>
    <row r="1513" spans="1:13" s="120" customFormat="1" x14ac:dyDescent="0.25">
      <c r="A1513" s="119"/>
      <c r="B1513" s="138" t="str">
        <f t="shared" si="77"/>
        <v>Windrow</v>
      </c>
      <c r="C1513" s="138" t="str">
        <f t="shared" si="78"/>
        <v>Base_With Amendment</v>
      </c>
      <c r="D1513" s="118" t="s">
        <v>130</v>
      </c>
      <c r="E1513" s="118" t="s">
        <v>180</v>
      </c>
      <c r="F1513" s="118" t="s">
        <v>46</v>
      </c>
      <c r="G1513" s="153"/>
      <c r="H1513" s="155">
        <v>3.0300000000000001E-2</v>
      </c>
      <c r="I1513" s="154" t="s">
        <v>60</v>
      </c>
      <c r="J1513" s="203">
        <v>0.28833999999999999</v>
      </c>
      <c r="K1513" s="154" t="s">
        <v>15</v>
      </c>
      <c r="L1513" s="154" t="str">
        <f>IF(OpenLCAbasic!K1513="CTUh", "Fill in Manually",IF(OR(K1513="Unit", K1513=""), "", INDEX(LookUps!$E$5:$E$12, MATCH(OpenLCAbasic!K1513,LookUps!$D$5:$D$12,0))))</f>
        <v>Cumulative Energy Demand (CED) - MJ</v>
      </c>
      <c r="M1513" s="154" t="str">
        <f t="shared" si="79"/>
        <v>Low_Base_Upgraded_Cumulative Energy Demand (CED) - MJ_Belt filter press; wastewater treatment unit; at updated plant - US_Base_With Amendment_Windrow</v>
      </c>
    </row>
    <row r="1514" spans="1:13" s="120" customFormat="1" x14ac:dyDescent="0.25">
      <c r="A1514" s="119"/>
      <c r="B1514" s="138" t="str">
        <f t="shared" si="77"/>
        <v>Windrow</v>
      </c>
      <c r="C1514" s="138" t="str">
        <f t="shared" si="78"/>
        <v>Base_With Amendment</v>
      </c>
      <c r="D1514" s="118" t="s">
        <v>130</v>
      </c>
      <c r="E1514" s="118" t="s">
        <v>180</v>
      </c>
      <c r="F1514" s="118" t="s">
        <v>46</v>
      </c>
      <c r="G1514" s="153"/>
      <c r="H1514" s="155">
        <v>2.69E-2</v>
      </c>
      <c r="I1514" s="154" t="s">
        <v>128</v>
      </c>
      <c r="J1514" s="203">
        <v>0.25606000000000001</v>
      </c>
      <c r="K1514" s="154" t="s">
        <v>15</v>
      </c>
      <c r="L1514" s="154" t="str">
        <f>IF(OpenLCAbasic!K1514="CTUh", "Fill in Manually",IF(OR(K1514="Unit", K1514=""), "", INDEX(LookUps!$E$5:$E$12, MATCH(OpenLCAbasic!K1514,LookUps!$D$5:$D$12,0))))</f>
        <v>Cumulative Energy Demand (CED) - MJ</v>
      </c>
      <c r="M1514" s="154" t="str">
        <f t="shared" si="79"/>
        <v>Low_Base_Upgraded_Cumulative Energy Demand (CED) - MJ_Wastewater collection; operation and infrastructure; m3 wastewater_Base_With Amendment_Windrow</v>
      </c>
    </row>
    <row r="1515" spans="1:13" s="120" customFormat="1" x14ac:dyDescent="0.25">
      <c r="A1515" s="119"/>
      <c r="B1515" s="138" t="str">
        <f t="shared" si="77"/>
        <v>Windrow</v>
      </c>
      <c r="C1515" s="138" t="str">
        <f t="shared" si="78"/>
        <v>Base_With Amendment</v>
      </c>
      <c r="D1515" s="118" t="s">
        <v>130</v>
      </c>
      <c r="E1515" s="118" t="s">
        <v>180</v>
      </c>
      <c r="F1515" s="118" t="s">
        <v>46</v>
      </c>
      <c r="G1515" s="153"/>
      <c r="H1515" s="155">
        <v>1.5299999999999999E-2</v>
      </c>
      <c r="I1515" s="154" t="s">
        <v>148</v>
      </c>
      <c r="J1515" s="203">
        <v>0.14599000000000001</v>
      </c>
      <c r="K1515" s="154" t="s">
        <v>15</v>
      </c>
      <c r="L1515" s="154" t="str">
        <f>IF(OpenLCAbasic!K1515="CTUh", "Fill in Manually",IF(OR(K1515="Unit", K1515=""), "", INDEX(LookUps!$E$5:$E$12, MATCH(OpenLCAbasic!K1515,LookUps!$D$5:$D$12,0))))</f>
        <v>Cumulative Energy Demand (CED) - MJ</v>
      </c>
      <c r="M1515" s="154" t="str">
        <f t="shared" si="79"/>
        <v>Low_Base_Upgraded_Cumulative Energy Demand (CED) - MJ_Control Building; at upgraded wastewater treatment plant - US_Base_With Amendment_Windrow</v>
      </c>
    </row>
    <row r="1516" spans="1:13" s="120" customFormat="1" x14ac:dyDescent="0.25">
      <c r="A1516" s="119"/>
      <c r="B1516" s="138" t="str">
        <f t="shared" si="77"/>
        <v>Windrow</v>
      </c>
      <c r="C1516" s="138" t="str">
        <f t="shared" si="78"/>
        <v>Base_With Amendment</v>
      </c>
      <c r="D1516" s="118" t="s">
        <v>130</v>
      </c>
      <c r="E1516" s="118" t="s">
        <v>180</v>
      </c>
      <c r="F1516" s="118" t="s">
        <v>46</v>
      </c>
      <c r="G1516" s="153"/>
      <c r="H1516" s="155">
        <v>1.4E-2</v>
      </c>
      <c r="I1516" s="154" t="s">
        <v>48</v>
      </c>
      <c r="J1516" s="203">
        <v>0.13321</v>
      </c>
      <c r="K1516" s="154" t="s">
        <v>15</v>
      </c>
      <c r="L1516" s="154" t="str">
        <f>IF(OpenLCAbasic!K1516="CTUh", "Fill in Manually",IF(OR(K1516="Unit", K1516=""), "", INDEX(LookUps!$E$5:$E$12, MATCH(OpenLCAbasic!K1516,LookUps!$D$5:$D$12,0))))</f>
        <v>Cumulative Energy Demand (CED) - MJ</v>
      </c>
      <c r="M1516" s="154" t="str">
        <f t="shared" si="79"/>
        <v>Low_Base_Upgraded_Cumulative Energy Demand (CED) - MJ_Effluent release; wastewater treatment unit; at surface water; m3 wastewater - US_Base_With Amendment_Windrow</v>
      </c>
    </row>
    <row r="1517" spans="1:13" s="120" customFormat="1" x14ac:dyDescent="0.25">
      <c r="A1517" s="119"/>
      <c r="B1517" s="138" t="str">
        <f t="shared" si="77"/>
        <v>Windrow</v>
      </c>
      <c r="C1517" s="138" t="str">
        <f t="shared" si="78"/>
        <v>Base_With Amendment</v>
      </c>
      <c r="D1517" s="118" t="s">
        <v>130</v>
      </c>
      <c r="E1517" s="118" t="s">
        <v>180</v>
      </c>
      <c r="F1517" s="118" t="s">
        <v>46</v>
      </c>
      <c r="G1517" s="153"/>
      <c r="H1517" s="155">
        <v>1.12E-2</v>
      </c>
      <c r="I1517" s="154" t="s">
        <v>59</v>
      </c>
      <c r="J1517" s="203">
        <v>0.10638</v>
      </c>
      <c r="K1517" s="154" t="s">
        <v>15</v>
      </c>
      <c r="L1517" s="154" t="str">
        <f>IF(OpenLCAbasic!K1517="CTUh", "Fill in Manually",IF(OR(K1517="Unit", K1517=""), "", INDEX(LookUps!$E$5:$E$12, MATCH(OpenLCAbasic!K1517,LookUps!$D$5:$D$12,0))))</f>
        <v>Cumulative Energy Demand (CED) - MJ</v>
      </c>
      <c r="M1517" s="154" t="str">
        <f t="shared" si="79"/>
        <v>Low_Base_Upgraded_Cumulative Energy Demand (CED) - MJ_Blend Tank; wastewater treatment unit; at updated plant - US_Base_With Amendment_Windrow</v>
      </c>
    </row>
    <row r="1518" spans="1:13" s="120" customFormat="1" x14ac:dyDescent="0.25">
      <c r="A1518" s="119"/>
      <c r="B1518" s="138" t="str">
        <f t="shared" si="77"/>
        <v>Windrow</v>
      </c>
      <c r="C1518" s="138" t="str">
        <f t="shared" si="78"/>
        <v>Base_With Amendment</v>
      </c>
      <c r="D1518" s="118" t="s">
        <v>130</v>
      </c>
      <c r="E1518" s="118" t="s">
        <v>180</v>
      </c>
      <c r="F1518" s="118" t="s">
        <v>46</v>
      </c>
      <c r="G1518" s="153"/>
      <c r="H1518" s="155">
        <v>5.3E-3</v>
      </c>
      <c r="I1518" s="154" t="s">
        <v>168</v>
      </c>
      <c r="J1518" s="203">
        <v>5.0930000000000003E-2</v>
      </c>
      <c r="K1518" s="154" t="s">
        <v>15</v>
      </c>
      <c r="L1518" s="154" t="str">
        <f>IF(OpenLCAbasic!K1518="CTUh", "Fill in Manually",IF(OR(K1518="Unit", K1518=""), "", INDEX(LookUps!$E$5:$E$12, MATCH(OpenLCAbasic!K1518,LookUps!$D$5:$D$12,0))))</f>
        <v>Cumulative Energy Demand (CED) - MJ</v>
      </c>
      <c r="M1518" s="154" t="str">
        <f t="shared" si="79"/>
        <v>Low_Base_Upgraded_Cumulative Energy Demand (CED) - MJ_ClearCove SCP; wastewater treatment unit; at updated plant - US_Base_With Amendment_Windrow</v>
      </c>
    </row>
    <row r="1519" spans="1:13" s="120" customFormat="1" x14ac:dyDescent="0.25">
      <c r="A1519" s="119"/>
      <c r="B1519" s="138" t="str">
        <f t="shared" si="77"/>
        <v>Windrow</v>
      </c>
      <c r="C1519" s="138" t="str">
        <f t="shared" si="78"/>
        <v>Base_With Amendment</v>
      </c>
      <c r="D1519" s="118" t="s">
        <v>130</v>
      </c>
      <c r="E1519" s="118" t="s">
        <v>180</v>
      </c>
      <c r="F1519" s="118" t="s">
        <v>46</v>
      </c>
      <c r="G1519" s="153"/>
      <c r="H1519" s="155">
        <v>2.2000000000000001E-3</v>
      </c>
      <c r="I1519" s="154" t="s">
        <v>271</v>
      </c>
      <c r="J1519" s="203">
        <v>2.0650000000000002E-2</v>
      </c>
      <c r="K1519" s="154" t="s">
        <v>15</v>
      </c>
      <c r="L1519" s="154" t="str">
        <f>IF(OpenLCAbasic!K1519="CTUh", "Fill in Manually",IF(OR(K1519="Unit", K1519=""), "", INDEX(LookUps!$E$5:$E$12, MATCH(OpenLCAbasic!K1519,LookUps!$D$5:$D$12,0))))</f>
        <v>Cumulative Energy Demand (CED) - MJ</v>
      </c>
      <c r="M1519" s="154" t="str">
        <f t="shared" si="79"/>
        <v>Low_Base_Upgraded_Cumulative Energy Demand (CED) - MJ_Biosolids composting; windrow composting; wastewater treatment unit; at updated plant - US_Base_With Amendment_Windrow</v>
      </c>
    </row>
    <row r="1520" spans="1:13" s="120" customFormat="1" x14ac:dyDescent="0.25">
      <c r="A1520" s="119"/>
      <c r="B1520" s="138" t="str">
        <f t="shared" si="77"/>
        <v>Windrow</v>
      </c>
      <c r="C1520" s="138" t="str">
        <f t="shared" si="78"/>
        <v>Base_With Amendment</v>
      </c>
      <c r="D1520" s="118" t="s">
        <v>130</v>
      </c>
      <c r="E1520" s="118" t="s">
        <v>180</v>
      </c>
      <c r="F1520" s="118" t="s">
        <v>46</v>
      </c>
      <c r="G1520" s="153"/>
      <c r="H1520" s="155">
        <v>-4.9700000000000001E-2</v>
      </c>
      <c r="I1520" s="154" t="s">
        <v>62</v>
      </c>
      <c r="J1520" s="203">
        <v>-0.47294000000000003</v>
      </c>
      <c r="K1520" s="154" t="s">
        <v>15</v>
      </c>
      <c r="L1520" s="154" t="str">
        <f>IF(OpenLCAbasic!K1520="CTUh", "Fill in Manually",IF(OR(K1520="Unit", K1520=""), "", INDEX(LookUps!$E$5:$E$12, MATCH(OpenLCAbasic!K1520,LookUps!$D$5:$D$12,0))))</f>
        <v>Cumulative Energy Demand (CED) - MJ</v>
      </c>
      <c r="M1520" s="154" t="str">
        <f t="shared" si="79"/>
        <v>Low_Base_Upgraded_Cumulative Energy Demand (CED) - MJ_Land application of compost; wastewater treatment unit; at updated plant - US_Base_With Amendment_Windrow</v>
      </c>
    </row>
    <row r="1521" spans="1:13" s="120" customFormat="1" x14ac:dyDescent="0.25">
      <c r="A1521" s="119"/>
      <c r="B1521" s="138" t="str">
        <f t="shared" si="77"/>
        <v>Windrow</v>
      </c>
      <c r="C1521" s="138" t="str">
        <f t="shared" si="78"/>
        <v>Base_With Amendment</v>
      </c>
      <c r="D1521" s="118" t="s">
        <v>130</v>
      </c>
      <c r="E1521" s="118" t="s">
        <v>180</v>
      </c>
      <c r="F1521" s="118" t="s">
        <v>46</v>
      </c>
      <c r="G1521" s="153"/>
      <c r="H1521" s="155">
        <v>-0.20979999999999999</v>
      </c>
      <c r="I1521" s="154" t="s">
        <v>149</v>
      </c>
      <c r="J1521" s="203">
        <v>-1.99752</v>
      </c>
      <c r="K1521" s="154" t="s">
        <v>15</v>
      </c>
      <c r="L1521" s="154" t="str">
        <f>IF(OpenLCAbasic!K1521="CTUh", "Fill in Manually",IF(OR(K1521="Unit", K1521=""), "", INDEX(LookUps!$E$5:$E$12, MATCH(OpenLCAbasic!K1521,LookUps!$D$5:$D$12,0))))</f>
        <v>Cumulative Energy Demand (CED) - MJ</v>
      </c>
      <c r="M1521" s="154" t="str">
        <f t="shared" si="79"/>
        <v>Low_Base_Upgraded_Cumulative Energy Demand (CED) - MJ_Anaerobic Digestion; wastewater treatment unit; at updated plant - US_Base_With Amendment_Windrow</v>
      </c>
    </row>
    <row r="1522" spans="1:13" s="120" customFormat="1" x14ac:dyDescent="0.25">
      <c r="A1522" s="119"/>
      <c r="B1522" s="138" t="str">
        <f t="shared" si="77"/>
        <v>Windrow</v>
      </c>
      <c r="C1522" s="138" t="str">
        <f t="shared" si="78"/>
        <v>Base_With Amendment</v>
      </c>
      <c r="D1522" s="118" t="s">
        <v>130</v>
      </c>
      <c r="E1522" s="118" t="s">
        <v>180</v>
      </c>
      <c r="F1522" s="118" t="s">
        <v>46</v>
      </c>
      <c r="G1522" s="153" t="s">
        <v>51</v>
      </c>
      <c r="H1522" s="154"/>
      <c r="I1522" s="154" t="s">
        <v>47</v>
      </c>
      <c r="J1522" s="154" t="s">
        <v>52</v>
      </c>
      <c r="K1522" s="154" t="s">
        <v>27</v>
      </c>
      <c r="L1522" s="154" t="str">
        <f>IF(OpenLCAbasic!K1522="CTUh", "Fill in Manually",IF(OR(K1522="Unit", K1522=""), "", INDEX(LookUps!$E$5:$E$12, MATCH(OpenLCAbasic!K1522,LookUps!$D$5:$D$12,0))))</f>
        <v/>
      </c>
      <c r="M1522" s="154" t="str">
        <f t="shared" si="79"/>
        <v>Low_Base_Upgraded__Process_Base_With Amendment_Windrow</v>
      </c>
    </row>
    <row r="1523" spans="1:13" s="120" customFormat="1" x14ac:dyDescent="0.25">
      <c r="A1523" s="119"/>
      <c r="B1523" s="138" t="str">
        <f t="shared" si="77"/>
        <v>Windrow</v>
      </c>
      <c r="C1523" s="138" t="str">
        <f t="shared" si="78"/>
        <v>Base_With Amendment</v>
      </c>
      <c r="D1523" s="118" t="s">
        <v>130</v>
      </c>
      <c r="E1523" s="118" t="s">
        <v>180</v>
      </c>
      <c r="F1523" s="118" t="s">
        <v>46</v>
      </c>
      <c r="G1523" s="153"/>
      <c r="H1523" s="155">
        <v>0.7631</v>
      </c>
      <c r="I1523" s="154" t="s">
        <v>48</v>
      </c>
      <c r="J1523" s="203">
        <v>1.1610000000000001E-2</v>
      </c>
      <c r="K1523" s="154" t="s">
        <v>13</v>
      </c>
      <c r="L1523" s="154" t="str">
        <f>IF(OpenLCAbasic!K1523="CTUh", "Fill in Manually",IF(OR(K1523="Unit", K1523=""), "", INDEX(LookUps!$E$5:$E$12, MATCH(OpenLCAbasic!K1523,LookUps!$D$5:$D$12,0))))</f>
        <v>Eutrophication Potential (EP) - kg N eq</v>
      </c>
      <c r="M1523" s="154" t="str">
        <f t="shared" si="79"/>
        <v>Low_Base_Upgraded_Eutrophication Potential (EP) - kg N eq_Effluent release; wastewater treatment unit; at surface water; m3 wastewater - US_Base_With Amendment_Windrow</v>
      </c>
    </row>
    <row r="1524" spans="1:13" s="120" customFormat="1" x14ac:dyDescent="0.25">
      <c r="A1524" s="119"/>
      <c r="B1524" s="138" t="str">
        <f t="shared" si="77"/>
        <v>Windrow</v>
      </c>
      <c r="C1524" s="138" t="str">
        <f t="shared" si="78"/>
        <v>Base_With Amendment</v>
      </c>
      <c r="D1524" s="118" t="s">
        <v>130</v>
      </c>
      <c r="E1524" s="118" t="s">
        <v>180</v>
      </c>
      <c r="F1524" s="118" t="s">
        <v>46</v>
      </c>
      <c r="G1524" s="153"/>
      <c r="H1524" s="155">
        <v>0.13980000000000001</v>
      </c>
      <c r="I1524" s="154" t="s">
        <v>62</v>
      </c>
      <c r="J1524" s="204">
        <v>2.1299999999999999E-3</v>
      </c>
      <c r="K1524" s="154" t="s">
        <v>13</v>
      </c>
      <c r="L1524" s="154" t="str">
        <f>IF(OpenLCAbasic!K1524="CTUh", "Fill in Manually",IF(OR(K1524="Unit", K1524=""), "", INDEX(LookUps!$E$5:$E$12, MATCH(OpenLCAbasic!K1524,LookUps!$D$5:$D$12,0))))</f>
        <v>Eutrophication Potential (EP) - kg N eq</v>
      </c>
      <c r="M1524" s="154" t="str">
        <f t="shared" si="79"/>
        <v>Low_Base_Upgraded_Eutrophication Potential (EP) - kg N eq_Land application of compost; wastewater treatment unit; at updated plant - US_Base_With Amendment_Windrow</v>
      </c>
    </row>
    <row r="1525" spans="1:13" s="120" customFormat="1" x14ac:dyDescent="0.25">
      <c r="A1525" s="119"/>
      <c r="B1525" s="138" t="str">
        <f t="shared" si="77"/>
        <v>Windrow</v>
      </c>
      <c r="C1525" s="138" t="str">
        <f t="shared" si="78"/>
        <v>Base_With Amendment</v>
      </c>
      <c r="D1525" s="118" t="s">
        <v>130</v>
      </c>
      <c r="E1525" s="118" t="s">
        <v>180</v>
      </c>
      <c r="F1525" s="118" t="s">
        <v>46</v>
      </c>
      <c r="G1525" s="153"/>
      <c r="H1525" s="155">
        <v>3.5900000000000001E-2</v>
      </c>
      <c r="I1525" s="154" t="s">
        <v>55</v>
      </c>
      <c r="J1525" s="204">
        <v>5.5000000000000003E-4</v>
      </c>
      <c r="K1525" s="154" t="s">
        <v>13</v>
      </c>
      <c r="L1525" s="154" t="str">
        <f>IF(OpenLCAbasic!K1525="CTUh", "Fill in Manually",IF(OR(K1525="Unit", K1525=""), "", INDEX(LookUps!$E$5:$E$12, MATCH(OpenLCAbasic!K1525,LookUps!$D$5:$D$12,0))))</f>
        <v>Eutrophication Potential (EP) - kg N eq</v>
      </c>
      <c r="M1525" s="154" t="str">
        <f t="shared" si="79"/>
        <v>Low_Base_Upgraded_Eutrophication Potential (EP) - kg N eq_Aeration Tanks; wastewater treatment unit; at updated plant - US_Base_With Amendment_Windrow</v>
      </c>
    </row>
    <row r="1526" spans="1:13" s="120" customFormat="1" x14ac:dyDescent="0.25">
      <c r="A1526" s="119"/>
      <c r="B1526" s="138" t="str">
        <f t="shared" si="77"/>
        <v>Windrow</v>
      </c>
      <c r="C1526" s="138" t="str">
        <f t="shared" si="78"/>
        <v>Base_With Amendment</v>
      </c>
      <c r="D1526" s="118" t="s">
        <v>130</v>
      </c>
      <c r="E1526" s="118" t="s">
        <v>180</v>
      </c>
      <c r="F1526" s="118" t="s">
        <v>46</v>
      </c>
      <c r="G1526" s="153"/>
      <c r="H1526" s="155">
        <v>1.6400000000000001E-2</v>
      </c>
      <c r="I1526" s="154" t="s">
        <v>147</v>
      </c>
      <c r="J1526" s="204">
        <v>2.5000000000000001E-4</v>
      </c>
      <c r="K1526" s="154" t="s">
        <v>13</v>
      </c>
      <c r="L1526" s="154" t="str">
        <f>IF(OpenLCAbasic!K1526="CTUh", "Fill in Manually",IF(OR(K1526="Unit", K1526=""), "", INDEX(LookUps!$E$5:$E$12, MATCH(OpenLCAbasic!K1526,LookUps!$D$5:$D$12,0))))</f>
        <v>Eutrophication Potential (EP) - kg N eq</v>
      </c>
      <c r="M1526" s="154" t="str">
        <f t="shared" si="79"/>
        <v>Low_Base_Upgraded_Eutrophication Potential (EP) - kg N eq_Influent Pump Station; wastewater treatment unit; at updated plant - US_Base_With Amendment_Windrow</v>
      </c>
    </row>
    <row r="1527" spans="1:13" s="120" customFormat="1" x14ac:dyDescent="0.25">
      <c r="A1527" s="119"/>
      <c r="B1527" s="138" t="str">
        <f t="shared" si="77"/>
        <v>Windrow</v>
      </c>
      <c r="C1527" s="138" t="str">
        <f t="shared" si="78"/>
        <v>Base_With Amendment</v>
      </c>
      <c r="D1527" s="118" t="s">
        <v>130</v>
      </c>
      <c r="E1527" s="118" t="s">
        <v>180</v>
      </c>
      <c r="F1527" s="118" t="s">
        <v>46</v>
      </c>
      <c r="G1527" s="153"/>
      <c r="H1527" s="155">
        <v>1.2999999999999999E-2</v>
      </c>
      <c r="I1527" s="154" t="s">
        <v>54</v>
      </c>
      <c r="J1527" s="204">
        <v>2.0000000000000001E-4</v>
      </c>
      <c r="K1527" s="154" t="s">
        <v>13</v>
      </c>
      <c r="L1527" s="154" t="str">
        <f>IF(OpenLCAbasic!K1527="CTUh", "Fill in Manually",IF(OR(K1527="Unit", K1527=""), "", INDEX(LookUps!$E$5:$E$12, MATCH(OpenLCAbasic!K1527,LookUps!$D$5:$D$12,0))))</f>
        <v>Eutrophication Potential (EP) - kg N eq</v>
      </c>
      <c r="M1527" s="154" t="str">
        <f t="shared" si="79"/>
        <v>Low_Base_Upgraded_Eutrophication Potential (EP) - kg N eq_Clear Cove Primary Clarification; wastewater treatment unit; at updated plant - US_Base_With Amendment_Windrow</v>
      </c>
    </row>
    <row r="1528" spans="1:13" s="120" customFormat="1" x14ac:dyDescent="0.25">
      <c r="A1528" s="119"/>
      <c r="B1528" s="138" t="str">
        <f t="shared" si="77"/>
        <v>Windrow</v>
      </c>
      <c r="C1528" s="138" t="str">
        <f t="shared" si="78"/>
        <v>Base_With Amendment</v>
      </c>
      <c r="D1528" s="118" t="s">
        <v>130</v>
      </c>
      <c r="E1528" s="118" t="s">
        <v>180</v>
      </c>
      <c r="F1528" s="118" t="s">
        <v>46</v>
      </c>
      <c r="G1528" s="153"/>
      <c r="H1528" s="155">
        <v>1.0800000000000001E-2</v>
      </c>
      <c r="I1528" s="154" t="s">
        <v>167</v>
      </c>
      <c r="J1528" s="204">
        <v>1.6000000000000001E-4</v>
      </c>
      <c r="K1528" s="154" t="s">
        <v>13</v>
      </c>
      <c r="L1528" s="154" t="str">
        <f>IF(OpenLCAbasic!K1528="CTUh", "Fill in Manually",IF(OR(K1528="Unit", K1528=""), "", INDEX(LookUps!$E$5:$E$12, MATCH(OpenLCAbasic!K1528,LookUps!$D$5:$D$12,0))))</f>
        <v>Eutrophication Potential (EP) - kg N eq</v>
      </c>
      <c r="M1528" s="154" t="str">
        <f t="shared" si="79"/>
        <v>Low_Base_Upgraded_Eutrophication Potential (EP) - kg N eq_Waste Receiving and Holding; wastewater treatment unit; at updated plant - US_Base_With Amendment_Windrow</v>
      </c>
    </row>
    <row r="1529" spans="1:13" s="120" customFormat="1" x14ac:dyDescent="0.25">
      <c r="A1529" s="119"/>
      <c r="B1529" s="138" t="str">
        <f t="shared" si="77"/>
        <v>Windrow</v>
      </c>
      <c r="C1529" s="138" t="str">
        <f t="shared" si="78"/>
        <v>Base_With Amendment</v>
      </c>
      <c r="D1529" s="118" t="s">
        <v>130</v>
      </c>
      <c r="E1529" s="118" t="s">
        <v>180</v>
      </c>
      <c r="F1529" s="118" t="s">
        <v>46</v>
      </c>
      <c r="G1529" s="153"/>
      <c r="H1529" s="155">
        <v>8.8999999999999999E-3</v>
      </c>
      <c r="I1529" s="154" t="s">
        <v>58</v>
      </c>
      <c r="J1529" s="204">
        <v>1.3999999999999999E-4</v>
      </c>
      <c r="K1529" s="154" t="s">
        <v>13</v>
      </c>
      <c r="L1529" s="154" t="str">
        <f>IF(OpenLCAbasic!K1529="CTUh", "Fill in Manually",IF(OR(K1529="Unit", K1529=""), "", INDEX(LookUps!$E$5:$E$12, MATCH(OpenLCAbasic!K1529,LookUps!$D$5:$D$12,0))))</f>
        <v>Eutrophication Potential (EP) - kg N eq</v>
      </c>
      <c r="M1529" s="154" t="str">
        <f t="shared" si="79"/>
        <v>Low_Base_Upgraded_Eutrophication Potential (EP) - kg N eq_Pre-Anoxic &amp; Swing tank; wastewater treatment unit; at updated plant - US_Base_With Amendment_Windrow</v>
      </c>
    </row>
    <row r="1530" spans="1:13" s="120" customFormat="1" x14ac:dyDescent="0.25">
      <c r="A1530" s="119"/>
      <c r="B1530" s="138" t="str">
        <f t="shared" si="77"/>
        <v>Windrow</v>
      </c>
      <c r="C1530" s="138" t="str">
        <f t="shared" si="78"/>
        <v>Base_With Amendment</v>
      </c>
      <c r="D1530" s="118" t="s">
        <v>130</v>
      </c>
      <c r="E1530" s="118" t="s">
        <v>180</v>
      </c>
      <c r="F1530" s="118" t="s">
        <v>46</v>
      </c>
      <c r="G1530" s="153"/>
      <c r="H1530" s="155">
        <v>7.1000000000000004E-3</v>
      </c>
      <c r="I1530" s="154" t="s">
        <v>53</v>
      </c>
      <c r="J1530" s="204">
        <v>1.1E-4</v>
      </c>
      <c r="K1530" s="154" t="s">
        <v>13</v>
      </c>
      <c r="L1530" s="154" t="str">
        <f>IF(OpenLCAbasic!K1530="CTUh", "Fill in Manually",IF(OR(K1530="Unit", K1530=""), "", INDEX(LookUps!$E$5:$E$12, MATCH(OpenLCAbasic!K1530,LookUps!$D$5:$D$12,0))))</f>
        <v>Eutrophication Potential (EP) - kg N eq</v>
      </c>
      <c r="M1530" s="154" t="str">
        <f t="shared" si="79"/>
        <v>Low_Base_Upgraded_Eutrophication Potential (EP) - kg N eq_Wet Well and Sump Station; wastewater treatment unit; at updated plant - US_Base_With Amendment_Windrow</v>
      </c>
    </row>
    <row r="1531" spans="1:13" s="120" customFormat="1" x14ac:dyDescent="0.25">
      <c r="A1531" s="119"/>
      <c r="B1531" s="138" t="str">
        <f t="shared" si="77"/>
        <v>Windrow</v>
      </c>
      <c r="C1531" s="138" t="str">
        <f t="shared" si="78"/>
        <v>Base_With Amendment</v>
      </c>
      <c r="D1531" s="118" t="s">
        <v>130</v>
      </c>
      <c r="E1531" s="118" t="s">
        <v>180</v>
      </c>
      <c r="F1531" s="118" t="s">
        <v>46</v>
      </c>
      <c r="G1531" s="153"/>
      <c r="H1531" s="155">
        <v>4.3E-3</v>
      </c>
      <c r="I1531" s="154" t="s">
        <v>271</v>
      </c>
      <c r="J1531" s="204">
        <v>6.5069300000000004E-5</v>
      </c>
      <c r="K1531" s="154" t="s">
        <v>13</v>
      </c>
      <c r="L1531" s="154" t="str">
        <f>IF(OpenLCAbasic!K1531="CTUh", "Fill in Manually",IF(OR(K1531="Unit", K1531=""), "", INDEX(LookUps!$E$5:$E$12, MATCH(OpenLCAbasic!K1531,LookUps!$D$5:$D$12,0))))</f>
        <v>Eutrophication Potential (EP) - kg N eq</v>
      </c>
      <c r="M1531" s="154" t="str">
        <f t="shared" si="79"/>
        <v>Low_Base_Upgraded_Eutrophication Potential (EP) - kg N eq_Biosolids composting; windrow composting; wastewater treatment unit; at updated plant - US_Base_With Amendment_Windrow</v>
      </c>
    </row>
    <row r="1532" spans="1:13" s="120" customFormat="1" x14ac:dyDescent="0.25">
      <c r="A1532" s="119"/>
      <c r="B1532" s="138" t="str">
        <f t="shared" si="77"/>
        <v>Windrow</v>
      </c>
      <c r="C1532" s="138" t="str">
        <f t="shared" si="78"/>
        <v>Base_With Amendment</v>
      </c>
      <c r="D1532" s="118" t="s">
        <v>130</v>
      </c>
      <c r="E1532" s="118" t="s">
        <v>180</v>
      </c>
      <c r="F1532" s="118" t="s">
        <v>46</v>
      </c>
      <c r="G1532" s="153"/>
      <c r="H1532" s="155">
        <v>4.0000000000000001E-3</v>
      </c>
      <c r="I1532" s="154" t="s">
        <v>57</v>
      </c>
      <c r="J1532" s="204">
        <v>6.0590300000000002E-5</v>
      </c>
      <c r="K1532" s="154" t="s">
        <v>13</v>
      </c>
      <c r="L1532" s="154" t="str">
        <f>IF(OpenLCAbasic!K1532="CTUh", "Fill in Manually",IF(OR(K1532="Unit", K1532=""), "", INDEX(LookUps!$E$5:$E$12, MATCH(OpenLCAbasic!K1532,LookUps!$D$5:$D$12,0))))</f>
        <v>Eutrophication Potential (EP) - kg N eq</v>
      </c>
      <c r="M1532" s="154" t="str">
        <f t="shared" si="79"/>
        <v>Low_Base_Upgraded_Eutrophication Potential (EP) - kg N eq_Gravity Belt Thickener; wastewater treatment unit; at updated plant - US_Base_With Amendment_Windrow</v>
      </c>
    </row>
    <row r="1533" spans="1:13" s="120" customFormat="1" x14ac:dyDescent="0.25">
      <c r="A1533" s="119"/>
      <c r="B1533" s="138" t="str">
        <f t="shared" si="77"/>
        <v>Windrow</v>
      </c>
      <c r="C1533" s="138" t="str">
        <f t="shared" si="78"/>
        <v>Base_With Amendment</v>
      </c>
      <c r="D1533" s="118" t="s">
        <v>130</v>
      </c>
      <c r="E1533" s="118" t="s">
        <v>180</v>
      </c>
      <c r="F1533" s="118" t="s">
        <v>46</v>
      </c>
      <c r="G1533" s="153"/>
      <c r="H1533" s="155">
        <v>3.3E-3</v>
      </c>
      <c r="I1533" s="154" t="s">
        <v>60</v>
      </c>
      <c r="J1533" s="204">
        <v>5.06508E-5</v>
      </c>
      <c r="K1533" s="154" t="s">
        <v>13</v>
      </c>
      <c r="L1533" s="154" t="str">
        <f>IF(OpenLCAbasic!K1533="CTUh", "Fill in Manually",IF(OR(K1533="Unit", K1533=""), "", INDEX(LookUps!$E$5:$E$12, MATCH(OpenLCAbasic!K1533,LookUps!$D$5:$D$12,0))))</f>
        <v>Eutrophication Potential (EP) - kg N eq</v>
      </c>
      <c r="M1533" s="154" t="str">
        <f t="shared" si="79"/>
        <v>Low_Base_Upgraded_Eutrophication Potential (EP) - kg N eq_Belt filter press; wastewater treatment unit; at updated plant - US_Base_With Amendment_Windrow</v>
      </c>
    </row>
    <row r="1534" spans="1:13" s="120" customFormat="1" x14ac:dyDescent="0.25">
      <c r="A1534" s="119"/>
      <c r="B1534" s="138" t="str">
        <f t="shared" si="77"/>
        <v>Windrow</v>
      </c>
      <c r="C1534" s="138" t="str">
        <f t="shared" si="78"/>
        <v>Base_With Amendment</v>
      </c>
      <c r="D1534" s="118" t="s">
        <v>130</v>
      </c>
      <c r="E1534" s="118" t="s">
        <v>180</v>
      </c>
      <c r="F1534" s="118" t="s">
        <v>46</v>
      </c>
      <c r="G1534" s="153"/>
      <c r="H1534" s="155">
        <v>2.5000000000000001E-3</v>
      </c>
      <c r="I1534" s="154" t="s">
        <v>128</v>
      </c>
      <c r="J1534" s="204">
        <v>3.7559799999999999E-5</v>
      </c>
      <c r="K1534" s="154" t="s">
        <v>13</v>
      </c>
      <c r="L1534" s="154" t="str">
        <f>IF(OpenLCAbasic!K1534="CTUh", "Fill in Manually",IF(OR(K1534="Unit", K1534=""), "", INDEX(LookUps!$E$5:$E$12, MATCH(OpenLCAbasic!K1534,LookUps!$D$5:$D$12,0))))</f>
        <v>Eutrophication Potential (EP) - kg N eq</v>
      </c>
      <c r="M1534" s="154" t="str">
        <f t="shared" si="79"/>
        <v>Low_Base_Upgraded_Eutrophication Potential (EP) - kg N eq_Wastewater collection; operation and infrastructure; m3 wastewater_Base_With Amendment_Windrow</v>
      </c>
    </row>
    <row r="1535" spans="1:13" s="120" customFormat="1" x14ac:dyDescent="0.25">
      <c r="A1535" s="119"/>
      <c r="B1535" s="138" t="str">
        <f t="shared" si="77"/>
        <v>Windrow</v>
      </c>
      <c r="C1535" s="138" t="str">
        <f t="shared" si="78"/>
        <v>Base_With Amendment</v>
      </c>
      <c r="D1535" s="118" t="s">
        <v>130</v>
      </c>
      <c r="E1535" s="118" t="s">
        <v>180</v>
      </c>
      <c r="F1535" s="118" t="s">
        <v>46</v>
      </c>
      <c r="G1535" s="153"/>
      <c r="H1535" s="155">
        <v>2.3999999999999998E-3</v>
      </c>
      <c r="I1535" s="154" t="s">
        <v>148</v>
      </c>
      <c r="J1535" s="204">
        <v>3.6874600000000001E-5</v>
      </c>
      <c r="K1535" s="154" t="s">
        <v>13</v>
      </c>
      <c r="L1535" s="154" t="str">
        <f>IF(OpenLCAbasic!K1535="CTUh", "Fill in Manually",IF(OR(K1535="Unit", K1535=""), "", INDEX(LookUps!$E$5:$E$12, MATCH(OpenLCAbasic!K1535,LookUps!$D$5:$D$12,0))))</f>
        <v>Eutrophication Potential (EP) - kg N eq</v>
      </c>
      <c r="M1535" s="154" t="str">
        <f t="shared" si="79"/>
        <v>Low_Base_Upgraded_Eutrophication Potential (EP) - kg N eq_Control Building; at upgraded wastewater treatment plant - US_Base_With Amendment_Windrow</v>
      </c>
    </row>
    <row r="1536" spans="1:13" s="120" customFormat="1" x14ac:dyDescent="0.25">
      <c r="A1536" s="119"/>
      <c r="B1536" s="138" t="str">
        <f t="shared" si="77"/>
        <v>Windrow</v>
      </c>
      <c r="C1536" s="138" t="str">
        <f t="shared" si="78"/>
        <v>Base_With Amendment</v>
      </c>
      <c r="D1536" s="118" t="s">
        <v>130</v>
      </c>
      <c r="E1536" s="118" t="s">
        <v>180</v>
      </c>
      <c r="F1536" s="118" t="s">
        <v>46</v>
      </c>
      <c r="G1536" s="153"/>
      <c r="H1536" s="155">
        <v>1.1000000000000001E-3</v>
      </c>
      <c r="I1536" s="154" t="s">
        <v>59</v>
      </c>
      <c r="J1536" s="204">
        <v>1.6215700000000001E-5</v>
      </c>
      <c r="K1536" s="154" t="s">
        <v>13</v>
      </c>
      <c r="L1536" s="154" t="str">
        <f>IF(OpenLCAbasic!K1536="CTUh", "Fill in Manually",IF(OR(K1536="Unit", K1536=""), "", INDEX(LookUps!$E$5:$E$12, MATCH(OpenLCAbasic!K1536,LookUps!$D$5:$D$12,0))))</f>
        <v>Eutrophication Potential (EP) - kg N eq</v>
      </c>
      <c r="M1536" s="154" t="str">
        <f t="shared" si="79"/>
        <v>Low_Base_Upgraded_Eutrophication Potential (EP) - kg N eq_Blend Tank; wastewater treatment unit; at updated plant - US_Base_With Amendment_Windrow</v>
      </c>
    </row>
    <row r="1537" spans="1:13" s="120" customFormat="1" x14ac:dyDescent="0.25">
      <c r="A1537" s="119"/>
      <c r="B1537" s="138" t="str">
        <f t="shared" si="77"/>
        <v>Windrow</v>
      </c>
      <c r="C1537" s="138" t="str">
        <f t="shared" si="78"/>
        <v>Base_With Amendment</v>
      </c>
      <c r="D1537" s="118" t="s">
        <v>130</v>
      </c>
      <c r="E1537" s="118" t="s">
        <v>180</v>
      </c>
      <c r="F1537" s="118" t="s">
        <v>46</v>
      </c>
      <c r="G1537" s="153"/>
      <c r="H1537" s="155">
        <v>5.0000000000000001E-4</v>
      </c>
      <c r="I1537" s="154" t="s">
        <v>168</v>
      </c>
      <c r="J1537" s="204">
        <v>7.7567199999999995E-6</v>
      </c>
      <c r="K1537" s="154" t="s">
        <v>13</v>
      </c>
      <c r="L1537" s="154" t="str">
        <f>IF(OpenLCAbasic!K1537="CTUh", "Fill in Manually",IF(OR(K1537="Unit", K1537=""), "", INDEX(LookUps!$E$5:$E$12, MATCH(OpenLCAbasic!K1537,LookUps!$D$5:$D$12,0))))</f>
        <v>Eutrophication Potential (EP) - kg N eq</v>
      </c>
      <c r="M1537" s="154" t="str">
        <f t="shared" si="79"/>
        <v>Low_Base_Upgraded_Eutrophication Potential (EP) - kg N eq_ClearCove SCP; wastewater treatment unit; at updated plant - US_Base_With Amendment_Windrow</v>
      </c>
    </row>
    <row r="1538" spans="1:13" s="120" customFormat="1" x14ac:dyDescent="0.25">
      <c r="A1538" s="119"/>
      <c r="B1538" s="138" t="str">
        <f t="shared" si="77"/>
        <v>Windrow</v>
      </c>
      <c r="C1538" s="138" t="str">
        <f t="shared" si="78"/>
        <v>Base_With Amendment</v>
      </c>
      <c r="D1538" s="118" t="s">
        <v>130</v>
      </c>
      <c r="E1538" s="118" t="s">
        <v>180</v>
      </c>
      <c r="F1538" s="118" t="s">
        <v>46</v>
      </c>
      <c r="G1538" s="153"/>
      <c r="H1538" s="155">
        <v>-1.2999999999999999E-2</v>
      </c>
      <c r="I1538" s="154" t="s">
        <v>149</v>
      </c>
      <c r="J1538" s="204">
        <v>-2.0000000000000001E-4</v>
      </c>
      <c r="K1538" s="154" t="s">
        <v>13</v>
      </c>
      <c r="L1538" s="154" t="str">
        <f>IF(OpenLCAbasic!K1538="CTUh", "Fill in Manually",IF(OR(K1538="Unit", K1538=""), "", INDEX(LookUps!$E$5:$E$12, MATCH(OpenLCAbasic!K1538,LookUps!$D$5:$D$12,0))))</f>
        <v>Eutrophication Potential (EP) - kg N eq</v>
      </c>
      <c r="M1538" s="154" t="str">
        <f t="shared" si="79"/>
        <v>Low_Base_Upgraded_Eutrophication Potential (EP) - kg N eq_Anaerobic Digestion; wastewater treatment unit; at updated plant - US_Base_With Amendment_Windrow</v>
      </c>
    </row>
    <row r="1539" spans="1:13" s="120" customFormat="1" x14ac:dyDescent="0.25">
      <c r="A1539" s="119"/>
      <c r="B1539" s="138" t="str">
        <f t="shared" si="77"/>
        <v>Windrow</v>
      </c>
      <c r="C1539" s="138" t="str">
        <f t="shared" si="78"/>
        <v>Base_With Amendment</v>
      </c>
      <c r="D1539" s="118" t="s">
        <v>130</v>
      </c>
      <c r="E1539" s="118" t="s">
        <v>180</v>
      </c>
      <c r="F1539" s="118" t="s">
        <v>46</v>
      </c>
      <c r="G1539" s="153" t="s">
        <v>51</v>
      </c>
      <c r="H1539" s="154"/>
      <c r="I1539" s="154" t="s">
        <v>47</v>
      </c>
      <c r="J1539" s="154" t="s">
        <v>52</v>
      </c>
      <c r="K1539" s="154" t="s">
        <v>27</v>
      </c>
      <c r="L1539" s="154" t="str">
        <f>IF(OpenLCAbasic!K1539="CTUh", "Fill in Manually",IF(OR(K1539="Unit", K1539=""), "", INDEX(LookUps!$E$5:$E$12, MATCH(OpenLCAbasic!K1539,LookUps!$D$5:$D$12,0))))</f>
        <v/>
      </c>
      <c r="M1539" s="154" t="str">
        <f t="shared" si="79"/>
        <v>Low_Base_Upgraded__Process_Base_With Amendment_Windrow</v>
      </c>
    </row>
    <row r="1540" spans="1:13" s="120" customFormat="1" x14ac:dyDescent="0.25">
      <c r="A1540" s="119"/>
      <c r="B1540" s="138" t="str">
        <f t="shared" si="77"/>
        <v>Windrow</v>
      </c>
      <c r="C1540" s="138" t="str">
        <f t="shared" si="78"/>
        <v>Base_With Amendment</v>
      </c>
      <c r="D1540" s="118" t="s">
        <v>130</v>
      </c>
      <c r="E1540" s="118" t="s">
        <v>180</v>
      </c>
      <c r="F1540" s="118" t="s">
        <v>46</v>
      </c>
      <c r="G1540" s="153"/>
      <c r="H1540" s="155">
        <v>0.4803</v>
      </c>
      <c r="I1540" s="154" t="s">
        <v>55</v>
      </c>
      <c r="J1540" s="203">
        <v>1.7219999999999999E-2</v>
      </c>
      <c r="K1540" s="154" t="s">
        <v>24</v>
      </c>
      <c r="L1540" s="154" t="str">
        <f>IF(OpenLCAbasic!K1540="CTUh", "Fill in Manually",IF(OR(K1540="Unit", K1540=""), "", INDEX(LookUps!$E$5:$E$12, MATCH(OpenLCAbasic!K1540,LookUps!$D$5:$D$12,0))))</f>
        <v>Acidification Potential (AP) - kg SO2 eq</v>
      </c>
      <c r="M1540" s="154" t="str">
        <f t="shared" si="79"/>
        <v>Low_Base_Upgraded_Acidification Potential (AP) - kg SO2 eq_Aeration Tanks; wastewater treatment unit; at updated plant - US_Base_With Amendment_Windrow</v>
      </c>
    </row>
    <row r="1541" spans="1:13" s="120" customFormat="1" x14ac:dyDescent="0.25">
      <c r="A1541" s="119"/>
      <c r="B1541" s="138" t="str">
        <f t="shared" si="77"/>
        <v>Windrow</v>
      </c>
      <c r="C1541" s="138" t="str">
        <f t="shared" si="78"/>
        <v>Base_With Amendment</v>
      </c>
      <c r="D1541" s="118" t="s">
        <v>130</v>
      </c>
      <c r="E1541" s="118" t="s">
        <v>180</v>
      </c>
      <c r="F1541" s="118" t="s">
        <v>46</v>
      </c>
      <c r="G1541" s="153"/>
      <c r="H1541" s="155">
        <v>0.1389</v>
      </c>
      <c r="I1541" s="154" t="s">
        <v>54</v>
      </c>
      <c r="J1541" s="204">
        <v>4.9800000000000001E-3</v>
      </c>
      <c r="K1541" s="154" t="s">
        <v>24</v>
      </c>
      <c r="L1541" s="154" t="str">
        <f>IF(OpenLCAbasic!K1541="CTUh", "Fill in Manually",IF(OR(K1541="Unit", K1541=""), "", INDEX(LookUps!$E$5:$E$12, MATCH(OpenLCAbasic!K1541,LookUps!$D$5:$D$12,0))))</f>
        <v>Acidification Potential (AP) - kg SO2 eq</v>
      </c>
      <c r="M1541" s="154" t="str">
        <f t="shared" si="79"/>
        <v>Low_Base_Upgraded_Acidification Potential (AP) - kg SO2 eq_Clear Cove Primary Clarification; wastewater treatment unit; at updated plant - US_Base_With Amendment_Windrow</v>
      </c>
    </row>
    <row r="1542" spans="1:13" s="120" customFormat="1" x14ac:dyDescent="0.25">
      <c r="A1542" s="119"/>
      <c r="B1542" s="138" t="str">
        <f t="shared" ref="B1542:B1605" si="80">IF(F1542="Legacy","n.a.",IF(F1542="","","Windrow"))</f>
        <v>Windrow</v>
      </c>
      <c r="C1542" s="138" t="str">
        <f t="shared" si="78"/>
        <v>Base_With Amendment</v>
      </c>
      <c r="D1542" s="118" t="s">
        <v>130</v>
      </c>
      <c r="E1542" s="118" t="s">
        <v>180</v>
      </c>
      <c r="F1542" s="118" t="s">
        <v>46</v>
      </c>
      <c r="G1542" s="153"/>
      <c r="H1542" s="155">
        <v>0.1208</v>
      </c>
      <c r="I1542" s="154" t="s">
        <v>58</v>
      </c>
      <c r="J1542" s="204">
        <v>4.3299999999999996E-3</v>
      </c>
      <c r="K1542" s="154" t="s">
        <v>24</v>
      </c>
      <c r="L1542" s="154" t="str">
        <f>IF(OpenLCAbasic!K1542="CTUh", "Fill in Manually",IF(OR(K1542="Unit", K1542=""), "", INDEX(LookUps!$E$5:$E$12, MATCH(OpenLCAbasic!K1542,LookUps!$D$5:$D$12,0))))</f>
        <v>Acidification Potential (AP) - kg SO2 eq</v>
      </c>
      <c r="M1542" s="154" t="str">
        <f t="shared" si="79"/>
        <v>Low_Base_Upgraded_Acidification Potential (AP) - kg SO2 eq_Pre-Anoxic &amp; Swing tank; wastewater treatment unit; at updated plant - US_Base_With Amendment_Windrow</v>
      </c>
    </row>
    <row r="1543" spans="1:13" s="120" customFormat="1" x14ac:dyDescent="0.25">
      <c r="A1543" s="119"/>
      <c r="B1543" s="138" t="str">
        <f t="shared" si="80"/>
        <v>Windrow</v>
      </c>
      <c r="C1543" s="138" t="str">
        <f t="shared" ref="C1543:C1606" si="81">IF(E1543&lt;&gt;"", "Base_With Amendment","")</f>
        <v>Base_With Amendment</v>
      </c>
      <c r="D1543" s="118" t="s">
        <v>130</v>
      </c>
      <c r="E1543" s="118" t="s">
        <v>180</v>
      </c>
      <c r="F1543" s="118" t="s">
        <v>46</v>
      </c>
      <c r="G1543" s="153"/>
      <c r="H1543" s="155">
        <v>9.6199999999999994E-2</v>
      </c>
      <c r="I1543" s="154" t="s">
        <v>53</v>
      </c>
      <c r="J1543" s="204">
        <v>3.4499999999999999E-3</v>
      </c>
      <c r="K1543" s="154" t="s">
        <v>24</v>
      </c>
      <c r="L1543" s="154" t="str">
        <f>IF(OpenLCAbasic!K1543="CTUh", "Fill in Manually",IF(OR(K1543="Unit", K1543=""), "", INDEX(LookUps!$E$5:$E$12, MATCH(OpenLCAbasic!K1543,LookUps!$D$5:$D$12,0))))</f>
        <v>Acidification Potential (AP) - kg SO2 eq</v>
      </c>
      <c r="M1543" s="154" t="str">
        <f t="shared" ref="M1543:M1606" si="82">CONCATENATE(E1543,"_",D1543,"_",F1543,"_",L1543, "_",I1543,"_", C1543,"_", B1543)</f>
        <v>Low_Base_Upgraded_Acidification Potential (AP) - kg SO2 eq_Wet Well and Sump Station; wastewater treatment unit; at updated plant - US_Base_With Amendment_Windrow</v>
      </c>
    </row>
    <row r="1544" spans="1:13" s="120" customFormat="1" x14ac:dyDescent="0.25">
      <c r="A1544" s="119"/>
      <c r="B1544" s="138" t="str">
        <f t="shared" si="80"/>
        <v>Windrow</v>
      </c>
      <c r="C1544" s="138" t="str">
        <f t="shared" si="81"/>
        <v>Base_With Amendment</v>
      </c>
      <c r="D1544" s="118" t="s">
        <v>130</v>
      </c>
      <c r="E1544" s="118" t="s">
        <v>180</v>
      </c>
      <c r="F1544" s="118" t="s">
        <v>46</v>
      </c>
      <c r="G1544" s="153"/>
      <c r="H1544" s="155">
        <v>8.3000000000000004E-2</v>
      </c>
      <c r="I1544" s="154" t="s">
        <v>62</v>
      </c>
      <c r="J1544" s="204">
        <v>2.97E-3</v>
      </c>
      <c r="K1544" s="154" t="s">
        <v>24</v>
      </c>
      <c r="L1544" s="154" t="str">
        <f>IF(OpenLCAbasic!K1544="CTUh", "Fill in Manually",IF(OR(K1544="Unit", K1544=""), "", INDEX(LookUps!$E$5:$E$12, MATCH(OpenLCAbasic!K1544,LookUps!$D$5:$D$12,0))))</f>
        <v>Acidification Potential (AP) - kg SO2 eq</v>
      </c>
      <c r="M1544" s="154" t="str">
        <f t="shared" si="82"/>
        <v>Low_Base_Upgraded_Acidification Potential (AP) - kg SO2 eq_Land application of compost; wastewater treatment unit; at updated plant - US_Base_With Amendment_Windrow</v>
      </c>
    </row>
    <row r="1545" spans="1:13" s="120" customFormat="1" x14ac:dyDescent="0.25">
      <c r="A1545" s="119"/>
      <c r="B1545" s="138" t="str">
        <f t="shared" si="80"/>
        <v>Windrow</v>
      </c>
      <c r="C1545" s="138" t="str">
        <f t="shared" si="81"/>
        <v>Base_With Amendment</v>
      </c>
      <c r="D1545" s="118" t="s">
        <v>130</v>
      </c>
      <c r="E1545" s="118" t="s">
        <v>180</v>
      </c>
      <c r="F1545" s="118" t="s">
        <v>46</v>
      </c>
      <c r="G1545" s="153"/>
      <c r="H1545" s="155">
        <v>6.6199999999999995E-2</v>
      </c>
      <c r="I1545" s="154" t="s">
        <v>167</v>
      </c>
      <c r="J1545" s="204">
        <v>2.3800000000000002E-3</v>
      </c>
      <c r="K1545" s="154" t="s">
        <v>24</v>
      </c>
      <c r="L1545" s="154" t="str">
        <f>IF(OpenLCAbasic!K1545="CTUh", "Fill in Manually",IF(OR(K1545="Unit", K1545=""), "", INDEX(LookUps!$E$5:$E$12, MATCH(OpenLCAbasic!K1545,LookUps!$D$5:$D$12,0))))</f>
        <v>Acidification Potential (AP) - kg SO2 eq</v>
      </c>
      <c r="M1545" s="154" t="str">
        <f t="shared" si="82"/>
        <v>Low_Base_Upgraded_Acidification Potential (AP) - kg SO2 eq_Waste Receiving and Holding; wastewater treatment unit; at updated plant - US_Base_With Amendment_Windrow</v>
      </c>
    </row>
    <row r="1546" spans="1:13" s="120" customFormat="1" x14ac:dyDescent="0.25">
      <c r="A1546" s="119"/>
      <c r="B1546" s="138" t="str">
        <f t="shared" si="80"/>
        <v>Windrow</v>
      </c>
      <c r="C1546" s="138" t="str">
        <f t="shared" si="81"/>
        <v>Base_With Amendment</v>
      </c>
      <c r="D1546" s="118" t="s">
        <v>130</v>
      </c>
      <c r="E1546" s="118" t="s">
        <v>180</v>
      </c>
      <c r="F1546" s="118" t="s">
        <v>46</v>
      </c>
      <c r="G1546" s="153"/>
      <c r="H1546" s="155">
        <v>5.7700000000000001E-2</v>
      </c>
      <c r="I1546" s="154" t="s">
        <v>147</v>
      </c>
      <c r="J1546" s="204">
        <v>2.0699999999999998E-3</v>
      </c>
      <c r="K1546" s="154" t="s">
        <v>24</v>
      </c>
      <c r="L1546" s="154" t="str">
        <f>IF(OpenLCAbasic!K1546="CTUh", "Fill in Manually",IF(OR(K1546="Unit", K1546=""), "", INDEX(LookUps!$E$5:$E$12, MATCH(OpenLCAbasic!K1546,LookUps!$D$5:$D$12,0))))</f>
        <v>Acidification Potential (AP) - kg SO2 eq</v>
      </c>
      <c r="M1546" s="154" t="str">
        <f t="shared" si="82"/>
        <v>Low_Base_Upgraded_Acidification Potential (AP) - kg SO2 eq_Influent Pump Station; wastewater treatment unit; at updated plant - US_Base_With Amendment_Windrow</v>
      </c>
    </row>
    <row r="1547" spans="1:13" s="120" customFormat="1" x14ac:dyDescent="0.25">
      <c r="A1547" s="119"/>
      <c r="B1547" s="138" t="str">
        <f t="shared" si="80"/>
        <v>Windrow</v>
      </c>
      <c r="C1547" s="138" t="str">
        <f t="shared" si="81"/>
        <v>Base_With Amendment</v>
      </c>
      <c r="D1547" s="118" t="s">
        <v>130</v>
      </c>
      <c r="E1547" s="118" t="s">
        <v>180</v>
      </c>
      <c r="F1547" s="118" t="s">
        <v>46</v>
      </c>
      <c r="G1547" s="153"/>
      <c r="H1547" s="155">
        <v>3.44E-2</v>
      </c>
      <c r="I1547" s="154" t="s">
        <v>128</v>
      </c>
      <c r="J1547" s="204">
        <v>1.23E-3</v>
      </c>
      <c r="K1547" s="154" t="s">
        <v>24</v>
      </c>
      <c r="L1547" s="154" t="str">
        <f>IF(OpenLCAbasic!K1547="CTUh", "Fill in Manually",IF(OR(K1547="Unit", K1547=""), "", INDEX(LookUps!$E$5:$E$12, MATCH(OpenLCAbasic!K1547,LookUps!$D$5:$D$12,0))))</f>
        <v>Acidification Potential (AP) - kg SO2 eq</v>
      </c>
      <c r="M1547" s="154" t="str">
        <f t="shared" si="82"/>
        <v>Low_Base_Upgraded_Acidification Potential (AP) - kg SO2 eq_Wastewater collection; operation and infrastructure; m3 wastewater_Base_With Amendment_Windrow</v>
      </c>
    </row>
    <row r="1548" spans="1:13" s="120" customFormat="1" x14ac:dyDescent="0.25">
      <c r="A1548" s="119"/>
      <c r="B1548" s="138" t="str">
        <f t="shared" si="80"/>
        <v>Windrow</v>
      </c>
      <c r="C1548" s="138" t="str">
        <f t="shared" si="81"/>
        <v>Base_With Amendment</v>
      </c>
      <c r="D1548" s="118" t="s">
        <v>130</v>
      </c>
      <c r="E1548" s="118" t="s">
        <v>180</v>
      </c>
      <c r="F1548" s="118" t="s">
        <v>46</v>
      </c>
      <c r="G1548" s="153"/>
      <c r="H1548" s="155">
        <v>2.8899999999999999E-2</v>
      </c>
      <c r="I1548" s="154" t="s">
        <v>271</v>
      </c>
      <c r="J1548" s="204">
        <v>1.0399999999999999E-3</v>
      </c>
      <c r="K1548" s="154" t="s">
        <v>24</v>
      </c>
      <c r="L1548" s="154" t="str">
        <f>IF(OpenLCAbasic!K1548="CTUh", "Fill in Manually",IF(OR(K1548="Unit", K1548=""), "", INDEX(LookUps!$E$5:$E$12, MATCH(OpenLCAbasic!K1548,LookUps!$D$5:$D$12,0))))</f>
        <v>Acidification Potential (AP) - kg SO2 eq</v>
      </c>
      <c r="M1548" s="154" t="str">
        <f t="shared" si="82"/>
        <v>Low_Base_Upgraded_Acidification Potential (AP) - kg SO2 eq_Biosolids composting; windrow composting; wastewater treatment unit; at updated plant - US_Base_With Amendment_Windrow</v>
      </c>
    </row>
    <row r="1549" spans="1:13" s="120" customFormat="1" x14ac:dyDescent="0.25">
      <c r="A1549" s="119"/>
      <c r="B1549" s="138" t="str">
        <f t="shared" si="80"/>
        <v>Windrow</v>
      </c>
      <c r="C1549" s="138" t="str">
        <f t="shared" si="81"/>
        <v>Base_With Amendment</v>
      </c>
      <c r="D1549" s="118" t="s">
        <v>130</v>
      </c>
      <c r="E1549" s="118" t="s">
        <v>180</v>
      </c>
      <c r="F1549" s="118" t="s">
        <v>46</v>
      </c>
      <c r="G1549" s="153"/>
      <c r="H1549" s="155">
        <v>2.1499999999999998E-2</v>
      </c>
      <c r="I1549" s="154" t="s">
        <v>60</v>
      </c>
      <c r="J1549" s="204">
        <v>7.6999999999999996E-4</v>
      </c>
      <c r="K1549" s="154" t="s">
        <v>24</v>
      </c>
      <c r="L1549" s="154" t="str">
        <f>IF(OpenLCAbasic!K1549="CTUh", "Fill in Manually",IF(OR(K1549="Unit", K1549=""), "", INDEX(LookUps!$E$5:$E$12, MATCH(OpenLCAbasic!K1549,LookUps!$D$5:$D$12,0))))</f>
        <v>Acidification Potential (AP) - kg SO2 eq</v>
      </c>
      <c r="M1549" s="154" t="str">
        <f t="shared" si="82"/>
        <v>Low_Base_Upgraded_Acidification Potential (AP) - kg SO2 eq_Belt filter press; wastewater treatment unit; at updated plant - US_Base_With Amendment_Windrow</v>
      </c>
    </row>
    <row r="1550" spans="1:13" s="120" customFormat="1" x14ac:dyDescent="0.25">
      <c r="A1550" s="119"/>
      <c r="B1550" s="138" t="str">
        <f t="shared" si="80"/>
        <v>Windrow</v>
      </c>
      <c r="C1550" s="138" t="str">
        <f t="shared" si="81"/>
        <v>Base_With Amendment</v>
      </c>
      <c r="D1550" s="118" t="s">
        <v>130</v>
      </c>
      <c r="E1550" s="118" t="s">
        <v>180</v>
      </c>
      <c r="F1550" s="118" t="s">
        <v>46</v>
      </c>
      <c r="G1550" s="153"/>
      <c r="H1550" s="155">
        <v>1.9599999999999999E-2</v>
      </c>
      <c r="I1550" s="154" t="s">
        <v>57</v>
      </c>
      <c r="J1550" s="204">
        <v>6.9999999999999999E-4</v>
      </c>
      <c r="K1550" s="154" t="s">
        <v>24</v>
      </c>
      <c r="L1550" s="154" t="str">
        <f>IF(OpenLCAbasic!K1550="CTUh", "Fill in Manually",IF(OR(K1550="Unit", K1550=""), "", INDEX(LookUps!$E$5:$E$12, MATCH(OpenLCAbasic!K1550,LookUps!$D$5:$D$12,0))))</f>
        <v>Acidification Potential (AP) - kg SO2 eq</v>
      </c>
      <c r="M1550" s="154" t="str">
        <f t="shared" si="82"/>
        <v>Low_Base_Upgraded_Acidification Potential (AP) - kg SO2 eq_Gravity Belt Thickener; wastewater treatment unit; at updated plant - US_Base_With Amendment_Windrow</v>
      </c>
    </row>
    <row r="1551" spans="1:13" s="120" customFormat="1" x14ac:dyDescent="0.25">
      <c r="A1551" s="119"/>
      <c r="B1551" s="138" t="str">
        <f t="shared" si="80"/>
        <v>Windrow</v>
      </c>
      <c r="C1551" s="138" t="str">
        <f t="shared" si="81"/>
        <v>Base_With Amendment</v>
      </c>
      <c r="D1551" s="118" t="s">
        <v>130</v>
      </c>
      <c r="E1551" s="118" t="s">
        <v>180</v>
      </c>
      <c r="F1551" s="118" t="s">
        <v>46</v>
      </c>
      <c r="G1551" s="153"/>
      <c r="H1551" s="155">
        <v>1.44E-2</v>
      </c>
      <c r="I1551" s="154" t="s">
        <v>59</v>
      </c>
      <c r="J1551" s="204">
        <v>5.1999999999999995E-4</v>
      </c>
      <c r="K1551" s="154" t="s">
        <v>24</v>
      </c>
      <c r="L1551" s="154" t="str">
        <f>IF(OpenLCAbasic!K1551="CTUh", "Fill in Manually",IF(OR(K1551="Unit", K1551=""), "", INDEX(LookUps!$E$5:$E$12, MATCH(OpenLCAbasic!K1551,LookUps!$D$5:$D$12,0))))</f>
        <v>Acidification Potential (AP) - kg SO2 eq</v>
      </c>
      <c r="M1551" s="154" t="str">
        <f t="shared" si="82"/>
        <v>Low_Base_Upgraded_Acidification Potential (AP) - kg SO2 eq_Blend Tank; wastewater treatment unit; at updated plant - US_Base_With Amendment_Windrow</v>
      </c>
    </row>
    <row r="1552" spans="1:13" s="120" customFormat="1" x14ac:dyDescent="0.25">
      <c r="A1552" s="119"/>
      <c r="B1552" s="138" t="str">
        <f t="shared" si="80"/>
        <v>Windrow</v>
      </c>
      <c r="C1552" s="138" t="str">
        <f t="shared" si="81"/>
        <v>Base_With Amendment</v>
      </c>
      <c r="D1552" s="118" t="s">
        <v>130</v>
      </c>
      <c r="E1552" s="118" t="s">
        <v>180</v>
      </c>
      <c r="F1552" s="118" t="s">
        <v>46</v>
      </c>
      <c r="G1552" s="153"/>
      <c r="H1552" s="155">
        <v>9.7000000000000003E-3</v>
      </c>
      <c r="I1552" s="154" t="s">
        <v>48</v>
      </c>
      <c r="J1552" s="204">
        <v>3.5E-4</v>
      </c>
      <c r="K1552" s="154" t="s">
        <v>24</v>
      </c>
      <c r="L1552" s="154" t="str">
        <f>IF(OpenLCAbasic!K1552="CTUh", "Fill in Manually",IF(OR(K1552="Unit", K1552=""), "", INDEX(LookUps!$E$5:$E$12, MATCH(OpenLCAbasic!K1552,LookUps!$D$5:$D$12,0))))</f>
        <v>Acidification Potential (AP) - kg SO2 eq</v>
      </c>
      <c r="M1552" s="154" t="str">
        <f t="shared" si="82"/>
        <v>Low_Base_Upgraded_Acidification Potential (AP) - kg SO2 eq_Effluent release; wastewater treatment unit; at surface water; m3 wastewater - US_Base_With Amendment_Windrow</v>
      </c>
    </row>
    <row r="1553" spans="1:13" s="120" customFormat="1" x14ac:dyDescent="0.25">
      <c r="A1553" s="119"/>
      <c r="B1553" s="138" t="str">
        <f t="shared" si="80"/>
        <v>Windrow</v>
      </c>
      <c r="C1553" s="138" t="str">
        <f t="shared" si="81"/>
        <v>Base_With Amendment</v>
      </c>
      <c r="D1553" s="118" t="s">
        <v>130</v>
      </c>
      <c r="E1553" s="118" t="s">
        <v>180</v>
      </c>
      <c r="F1553" s="118" t="s">
        <v>46</v>
      </c>
      <c r="G1553" s="153"/>
      <c r="H1553" s="155">
        <v>7.1000000000000004E-3</v>
      </c>
      <c r="I1553" s="154" t="s">
        <v>168</v>
      </c>
      <c r="J1553" s="204">
        <v>2.5999999999999998E-4</v>
      </c>
      <c r="K1553" s="154" t="s">
        <v>24</v>
      </c>
      <c r="L1553" s="154" t="str">
        <f>IF(OpenLCAbasic!K1553="CTUh", "Fill in Manually",IF(OR(K1553="Unit", K1553=""), "", INDEX(LookUps!$E$5:$E$12, MATCH(OpenLCAbasic!K1553,LookUps!$D$5:$D$12,0))))</f>
        <v>Acidification Potential (AP) - kg SO2 eq</v>
      </c>
      <c r="M1553" s="154" t="str">
        <f t="shared" si="82"/>
        <v>Low_Base_Upgraded_Acidification Potential (AP) - kg SO2 eq_ClearCove SCP; wastewater treatment unit; at updated plant - US_Base_With Amendment_Windrow</v>
      </c>
    </row>
    <row r="1554" spans="1:13" s="120" customFormat="1" x14ac:dyDescent="0.25">
      <c r="A1554" s="119"/>
      <c r="B1554" s="138" t="str">
        <f t="shared" si="80"/>
        <v>Windrow</v>
      </c>
      <c r="C1554" s="138" t="str">
        <f t="shared" si="81"/>
        <v>Base_With Amendment</v>
      </c>
      <c r="D1554" s="118" t="s">
        <v>130</v>
      </c>
      <c r="E1554" s="118" t="s">
        <v>180</v>
      </c>
      <c r="F1554" s="118" t="s">
        <v>46</v>
      </c>
      <c r="G1554" s="153"/>
      <c r="H1554" s="155">
        <v>1.1000000000000001E-3</v>
      </c>
      <c r="I1554" s="154" t="s">
        <v>148</v>
      </c>
      <c r="J1554" s="204">
        <v>4.0354700000000002E-5</v>
      </c>
      <c r="K1554" s="154" t="s">
        <v>24</v>
      </c>
      <c r="L1554" s="154" t="str">
        <f>IF(OpenLCAbasic!K1554="CTUh", "Fill in Manually",IF(OR(K1554="Unit", K1554=""), "", INDEX(LookUps!$E$5:$E$12, MATCH(OpenLCAbasic!K1554,LookUps!$D$5:$D$12,0))))</f>
        <v>Acidification Potential (AP) - kg SO2 eq</v>
      </c>
      <c r="M1554" s="154" t="str">
        <f t="shared" si="82"/>
        <v>Low_Base_Upgraded_Acidification Potential (AP) - kg SO2 eq_Control Building; at upgraded wastewater treatment plant - US_Base_With Amendment_Windrow</v>
      </c>
    </row>
    <row r="1555" spans="1:13" s="120" customFormat="1" x14ac:dyDescent="0.25">
      <c r="A1555" s="119"/>
      <c r="B1555" s="138" t="str">
        <f t="shared" si="80"/>
        <v>Windrow</v>
      </c>
      <c r="C1555" s="138" t="str">
        <f t="shared" si="81"/>
        <v>Base_With Amendment</v>
      </c>
      <c r="D1555" s="118" t="s">
        <v>130</v>
      </c>
      <c r="E1555" s="118" t="s">
        <v>180</v>
      </c>
      <c r="F1555" s="118" t="s">
        <v>46</v>
      </c>
      <c r="G1555" s="153"/>
      <c r="H1555" s="155">
        <v>-0.1799</v>
      </c>
      <c r="I1555" s="154" t="s">
        <v>149</v>
      </c>
      <c r="J1555" s="204">
        <v>-6.45E-3</v>
      </c>
      <c r="K1555" s="154" t="s">
        <v>24</v>
      </c>
      <c r="L1555" s="154" t="str">
        <f>IF(OpenLCAbasic!K1555="CTUh", "Fill in Manually",IF(OR(K1555="Unit", K1555=""), "", INDEX(LookUps!$E$5:$E$12, MATCH(OpenLCAbasic!K1555,LookUps!$D$5:$D$12,0))))</f>
        <v>Acidification Potential (AP) - kg SO2 eq</v>
      </c>
      <c r="M1555" s="154" t="str">
        <f t="shared" si="82"/>
        <v>Low_Base_Upgraded_Acidification Potential (AP) - kg SO2 eq_Anaerobic Digestion; wastewater treatment unit; at updated plant - US_Base_With Amendment_Windrow</v>
      </c>
    </row>
    <row r="1556" spans="1:13" s="120" customFormat="1" x14ac:dyDescent="0.25">
      <c r="A1556" s="119"/>
      <c r="B1556" s="138" t="str">
        <f t="shared" si="80"/>
        <v>Windrow</v>
      </c>
      <c r="C1556" s="138" t="str">
        <f t="shared" si="81"/>
        <v>Base_With Amendment</v>
      </c>
      <c r="D1556" s="118" t="s">
        <v>130</v>
      </c>
      <c r="E1556" s="118" t="s">
        <v>180</v>
      </c>
      <c r="F1556" s="118" t="s">
        <v>46</v>
      </c>
      <c r="G1556" s="153" t="s">
        <v>51</v>
      </c>
      <c r="H1556" s="154"/>
      <c r="I1556" s="154" t="s">
        <v>47</v>
      </c>
      <c r="J1556" s="154" t="s">
        <v>52</v>
      </c>
      <c r="K1556" s="154" t="s">
        <v>27</v>
      </c>
      <c r="L1556" s="154" t="str">
        <f>IF(OpenLCAbasic!K1556="CTUh", "Fill in Manually",IF(OR(K1556="Unit", K1556=""), "", INDEX(LookUps!$E$5:$E$12, MATCH(OpenLCAbasic!K1556,LookUps!$D$5:$D$12,0))))</f>
        <v/>
      </c>
      <c r="M1556" s="154" t="str">
        <f t="shared" si="82"/>
        <v>Low_Base_Upgraded__Process_Base_With Amendment_Windrow</v>
      </c>
    </row>
    <row r="1557" spans="1:13" s="120" customFormat="1" x14ac:dyDescent="0.25">
      <c r="A1557" s="119"/>
      <c r="B1557" s="138" t="str">
        <f t="shared" si="80"/>
        <v>Windrow</v>
      </c>
      <c r="C1557" s="138" t="str">
        <f t="shared" si="81"/>
        <v>Base_With Amendment</v>
      </c>
      <c r="D1557" s="118" t="s">
        <v>130</v>
      </c>
      <c r="E1557" s="118" t="s">
        <v>180</v>
      </c>
      <c r="F1557" s="118" t="s">
        <v>46</v>
      </c>
      <c r="G1557" s="153"/>
      <c r="H1557" s="155">
        <v>0.42520000000000002</v>
      </c>
      <c r="I1557" s="154" t="s">
        <v>167</v>
      </c>
      <c r="J1557" s="203">
        <v>7.9170000000000004E-2</v>
      </c>
      <c r="K1557" s="154" t="s">
        <v>14</v>
      </c>
      <c r="L1557" s="154" t="str">
        <f>IF(OpenLCAbasic!K1557="CTUh", "Fill in Manually",IF(OR(K1557="Unit", K1557=""), "", INDEX(LookUps!$E$5:$E$12, MATCH(OpenLCAbasic!K1557,LookUps!$D$5:$D$12,0))))</f>
        <v>Fossil Depletion Potential (FDP) - kg oil eq</v>
      </c>
      <c r="M1557" s="154" t="str">
        <f t="shared" si="82"/>
        <v>Low_Base_Upgraded_Fossil Depletion Potential (FDP) - kg oil eq_Waste Receiving and Holding; wastewater treatment unit; at updated plant - US_Base_With Amendment_Windrow</v>
      </c>
    </row>
    <row r="1558" spans="1:13" s="120" customFormat="1" x14ac:dyDescent="0.25">
      <c r="A1558" s="119"/>
      <c r="B1558" s="138" t="str">
        <f t="shared" si="80"/>
        <v>Windrow</v>
      </c>
      <c r="C1558" s="138" t="str">
        <f t="shared" si="81"/>
        <v>Base_With Amendment</v>
      </c>
      <c r="D1558" s="118" t="s">
        <v>130</v>
      </c>
      <c r="E1558" s="118" t="s">
        <v>180</v>
      </c>
      <c r="F1558" s="118" t="s">
        <v>46</v>
      </c>
      <c r="G1558" s="153"/>
      <c r="H1558" s="155">
        <v>0.34150000000000003</v>
      </c>
      <c r="I1558" s="154" t="s">
        <v>55</v>
      </c>
      <c r="J1558" s="203">
        <v>6.3589999999999994E-2</v>
      </c>
      <c r="K1558" s="154" t="s">
        <v>14</v>
      </c>
      <c r="L1558" s="154" t="str">
        <f>IF(OpenLCAbasic!K1558="CTUh", "Fill in Manually",IF(OR(K1558="Unit", K1558=""), "", INDEX(LookUps!$E$5:$E$12, MATCH(OpenLCAbasic!K1558,LookUps!$D$5:$D$12,0))))</f>
        <v>Fossil Depletion Potential (FDP) - kg oil eq</v>
      </c>
      <c r="M1558" s="154" t="str">
        <f t="shared" si="82"/>
        <v>Low_Base_Upgraded_Fossil Depletion Potential (FDP) - kg oil eq_Aeration Tanks; wastewater treatment unit; at updated plant - US_Base_With Amendment_Windrow</v>
      </c>
    </row>
    <row r="1559" spans="1:13" s="120" customFormat="1" x14ac:dyDescent="0.25">
      <c r="A1559" s="119"/>
      <c r="B1559" s="138" t="str">
        <f t="shared" si="80"/>
        <v>Windrow</v>
      </c>
      <c r="C1559" s="138" t="str">
        <f t="shared" si="81"/>
        <v>Base_With Amendment</v>
      </c>
      <c r="D1559" s="118" t="s">
        <v>130</v>
      </c>
      <c r="E1559" s="118" t="s">
        <v>180</v>
      </c>
      <c r="F1559" s="118" t="s">
        <v>46</v>
      </c>
      <c r="G1559" s="153"/>
      <c r="H1559" s="155">
        <v>0.11310000000000001</v>
      </c>
      <c r="I1559" s="154" t="s">
        <v>54</v>
      </c>
      <c r="J1559" s="203">
        <v>2.1049999999999999E-2</v>
      </c>
      <c r="K1559" s="154" t="s">
        <v>14</v>
      </c>
      <c r="L1559" s="154" t="str">
        <f>IF(OpenLCAbasic!K1559="CTUh", "Fill in Manually",IF(OR(K1559="Unit", K1559=""), "", INDEX(LookUps!$E$5:$E$12, MATCH(OpenLCAbasic!K1559,LookUps!$D$5:$D$12,0))))</f>
        <v>Fossil Depletion Potential (FDP) - kg oil eq</v>
      </c>
      <c r="M1559" s="154" t="str">
        <f t="shared" si="82"/>
        <v>Low_Base_Upgraded_Fossil Depletion Potential (FDP) - kg oil eq_Clear Cove Primary Clarification; wastewater treatment unit; at updated plant - US_Base_With Amendment_Windrow</v>
      </c>
    </row>
    <row r="1560" spans="1:13" s="120" customFormat="1" x14ac:dyDescent="0.25">
      <c r="A1560" s="119"/>
      <c r="B1560" s="138" t="str">
        <f t="shared" si="80"/>
        <v>Windrow</v>
      </c>
      <c r="C1560" s="138" t="str">
        <f t="shared" si="81"/>
        <v>Base_With Amendment</v>
      </c>
      <c r="D1560" s="118" t="s">
        <v>130</v>
      </c>
      <c r="E1560" s="118" t="s">
        <v>180</v>
      </c>
      <c r="F1560" s="118" t="s">
        <v>46</v>
      </c>
      <c r="G1560" s="153"/>
      <c r="H1560" s="155">
        <v>8.5500000000000007E-2</v>
      </c>
      <c r="I1560" s="154" t="s">
        <v>58</v>
      </c>
      <c r="J1560" s="203">
        <v>1.592E-2</v>
      </c>
      <c r="K1560" s="154" t="s">
        <v>14</v>
      </c>
      <c r="L1560" s="154" t="str">
        <f>IF(OpenLCAbasic!K1560="CTUh", "Fill in Manually",IF(OR(K1560="Unit", K1560=""), "", INDEX(LookUps!$E$5:$E$12, MATCH(OpenLCAbasic!K1560,LookUps!$D$5:$D$12,0))))</f>
        <v>Fossil Depletion Potential (FDP) - kg oil eq</v>
      </c>
      <c r="M1560" s="154" t="str">
        <f t="shared" si="82"/>
        <v>Low_Base_Upgraded_Fossil Depletion Potential (FDP) - kg oil eq_Pre-Anoxic &amp; Swing tank; wastewater treatment unit; at updated plant - US_Base_With Amendment_Windrow</v>
      </c>
    </row>
    <row r="1561" spans="1:13" s="120" customFormat="1" x14ac:dyDescent="0.25">
      <c r="A1561" s="119"/>
      <c r="B1561" s="138" t="str">
        <f t="shared" si="80"/>
        <v>Windrow</v>
      </c>
      <c r="C1561" s="138" t="str">
        <f t="shared" si="81"/>
        <v>Base_With Amendment</v>
      </c>
      <c r="D1561" s="118" t="s">
        <v>130</v>
      </c>
      <c r="E1561" s="118" t="s">
        <v>180</v>
      </c>
      <c r="F1561" s="118" t="s">
        <v>46</v>
      </c>
      <c r="G1561" s="153"/>
      <c r="H1561" s="155">
        <v>8.1000000000000003E-2</v>
      </c>
      <c r="I1561" s="154" t="s">
        <v>147</v>
      </c>
      <c r="J1561" s="203">
        <v>1.5089999999999999E-2</v>
      </c>
      <c r="K1561" s="154" t="s">
        <v>14</v>
      </c>
      <c r="L1561" s="154" t="str">
        <f>IF(OpenLCAbasic!K1561="CTUh", "Fill in Manually",IF(OR(K1561="Unit", K1561=""), "", INDEX(LookUps!$E$5:$E$12, MATCH(OpenLCAbasic!K1561,LookUps!$D$5:$D$12,0))))</f>
        <v>Fossil Depletion Potential (FDP) - kg oil eq</v>
      </c>
      <c r="M1561" s="154" t="str">
        <f t="shared" si="82"/>
        <v>Low_Base_Upgraded_Fossil Depletion Potential (FDP) - kg oil eq_Influent Pump Station; wastewater treatment unit; at updated plant - US_Base_With Amendment_Windrow</v>
      </c>
    </row>
    <row r="1562" spans="1:13" s="120" customFormat="1" x14ac:dyDescent="0.25">
      <c r="A1562" s="119"/>
      <c r="B1562" s="138" t="str">
        <f t="shared" si="80"/>
        <v>Windrow</v>
      </c>
      <c r="C1562" s="138" t="str">
        <f t="shared" si="81"/>
        <v>Base_With Amendment</v>
      </c>
      <c r="D1562" s="118" t="s">
        <v>130</v>
      </c>
      <c r="E1562" s="118" t="s">
        <v>180</v>
      </c>
      <c r="F1562" s="118" t="s">
        <v>46</v>
      </c>
      <c r="G1562" s="153"/>
      <c r="H1562" s="155">
        <v>6.7100000000000007E-2</v>
      </c>
      <c r="I1562" s="154" t="s">
        <v>53</v>
      </c>
      <c r="J1562" s="203">
        <v>1.2489999999999999E-2</v>
      </c>
      <c r="K1562" s="154" t="s">
        <v>14</v>
      </c>
      <c r="L1562" s="154" t="str">
        <f>IF(OpenLCAbasic!K1562="CTUh", "Fill in Manually",IF(OR(K1562="Unit", K1562=""), "", INDEX(LookUps!$E$5:$E$12, MATCH(OpenLCAbasic!K1562,LookUps!$D$5:$D$12,0))))</f>
        <v>Fossil Depletion Potential (FDP) - kg oil eq</v>
      </c>
      <c r="M1562" s="154" t="str">
        <f t="shared" si="82"/>
        <v>Low_Base_Upgraded_Fossil Depletion Potential (FDP) - kg oil eq_Wet Well and Sump Station; wastewater treatment unit; at updated plant - US_Base_With Amendment_Windrow</v>
      </c>
    </row>
    <row r="1563" spans="1:13" s="120" customFormat="1" x14ac:dyDescent="0.25">
      <c r="A1563" s="119"/>
      <c r="B1563" s="138" t="str">
        <f t="shared" si="80"/>
        <v>Windrow</v>
      </c>
      <c r="C1563" s="138" t="str">
        <f t="shared" si="81"/>
        <v>Base_With Amendment</v>
      </c>
      <c r="D1563" s="118" t="s">
        <v>130</v>
      </c>
      <c r="E1563" s="118" t="s">
        <v>180</v>
      </c>
      <c r="F1563" s="118" t="s">
        <v>46</v>
      </c>
      <c r="G1563" s="153"/>
      <c r="H1563" s="155">
        <v>3.7100000000000001E-2</v>
      </c>
      <c r="I1563" s="154" t="s">
        <v>57</v>
      </c>
      <c r="J1563" s="204">
        <v>6.9199999999999999E-3</v>
      </c>
      <c r="K1563" s="154" t="s">
        <v>14</v>
      </c>
      <c r="L1563" s="154" t="str">
        <f>IF(OpenLCAbasic!K1563="CTUh", "Fill in Manually",IF(OR(K1563="Unit", K1563=""), "", INDEX(LookUps!$E$5:$E$12, MATCH(OpenLCAbasic!K1563,LookUps!$D$5:$D$12,0))))</f>
        <v>Fossil Depletion Potential (FDP) - kg oil eq</v>
      </c>
      <c r="M1563" s="154" t="str">
        <f t="shared" si="82"/>
        <v>Low_Base_Upgraded_Fossil Depletion Potential (FDP) - kg oil eq_Gravity Belt Thickener; wastewater treatment unit; at updated plant - US_Base_With Amendment_Windrow</v>
      </c>
    </row>
    <row r="1564" spans="1:13" s="120" customFormat="1" x14ac:dyDescent="0.25">
      <c r="A1564" s="119"/>
      <c r="B1564" s="138" t="str">
        <f t="shared" si="80"/>
        <v>Windrow</v>
      </c>
      <c r="C1564" s="138" t="str">
        <f t="shared" si="81"/>
        <v>Base_With Amendment</v>
      </c>
      <c r="D1564" s="118" t="s">
        <v>130</v>
      </c>
      <c r="E1564" s="118" t="s">
        <v>180</v>
      </c>
      <c r="F1564" s="118" t="s">
        <v>46</v>
      </c>
      <c r="G1564" s="153"/>
      <c r="H1564" s="155">
        <v>3.1199999999999999E-2</v>
      </c>
      <c r="I1564" s="154" t="s">
        <v>60</v>
      </c>
      <c r="J1564" s="204">
        <v>5.8100000000000001E-3</v>
      </c>
      <c r="K1564" s="154" t="s">
        <v>14</v>
      </c>
      <c r="L1564" s="154" t="str">
        <f>IF(OpenLCAbasic!K1564="CTUh", "Fill in Manually",IF(OR(K1564="Unit", K1564=""), "", INDEX(LookUps!$E$5:$E$12, MATCH(OpenLCAbasic!K1564,LookUps!$D$5:$D$12,0))))</f>
        <v>Fossil Depletion Potential (FDP) - kg oil eq</v>
      </c>
      <c r="M1564" s="154" t="str">
        <f t="shared" si="82"/>
        <v>Low_Base_Upgraded_Fossil Depletion Potential (FDP) - kg oil eq_Belt filter press; wastewater treatment unit; at updated plant - US_Base_With Amendment_Windrow</v>
      </c>
    </row>
    <row r="1565" spans="1:13" s="120" customFormat="1" x14ac:dyDescent="0.25">
      <c r="A1565" s="119"/>
      <c r="B1565" s="138" t="str">
        <f t="shared" si="80"/>
        <v>Windrow</v>
      </c>
      <c r="C1565" s="138" t="str">
        <f t="shared" si="81"/>
        <v>Base_With Amendment</v>
      </c>
      <c r="D1565" s="118" t="s">
        <v>130</v>
      </c>
      <c r="E1565" s="118" t="s">
        <v>180</v>
      </c>
      <c r="F1565" s="118" t="s">
        <v>46</v>
      </c>
      <c r="G1565" s="153"/>
      <c r="H1565" s="155">
        <v>2.4199999999999999E-2</v>
      </c>
      <c r="I1565" s="154" t="s">
        <v>128</v>
      </c>
      <c r="J1565" s="204">
        <v>4.4999999999999997E-3</v>
      </c>
      <c r="K1565" s="154" t="s">
        <v>14</v>
      </c>
      <c r="L1565" s="154" t="str">
        <f>IF(OpenLCAbasic!K1565="CTUh", "Fill in Manually",IF(OR(K1565="Unit", K1565=""), "", INDEX(LookUps!$E$5:$E$12, MATCH(OpenLCAbasic!K1565,LookUps!$D$5:$D$12,0))))</f>
        <v>Fossil Depletion Potential (FDP) - kg oil eq</v>
      </c>
      <c r="M1565" s="154" t="str">
        <f t="shared" si="82"/>
        <v>Low_Base_Upgraded_Fossil Depletion Potential (FDP) - kg oil eq_Wastewater collection; operation and infrastructure; m3 wastewater_Base_With Amendment_Windrow</v>
      </c>
    </row>
    <row r="1566" spans="1:13" s="120" customFormat="1" x14ac:dyDescent="0.25">
      <c r="A1566" s="119"/>
      <c r="B1566" s="138" t="str">
        <f t="shared" si="80"/>
        <v>Windrow</v>
      </c>
      <c r="C1566" s="138" t="str">
        <f t="shared" si="81"/>
        <v>Base_With Amendment</v>
      </c>
      <c r="D1566" s="118" t="s">
        <v>130</v>
      </c>
      <c r="E1566" s="118" t="s">
        <v>180</v>
      </c>
      <c r="F1566" s="118" t="s">
        <v>46</v>
      </c>
      <c r="G1566" s="153"/>
      <c r="H1566" s="155">
        <v>1.4999999999999999E-2</v>
      </c>
      <c r="I1566" s="154" t="s">
        <v>148</v>
      </c>
      <c r="J1566" s="204">
        <v>2.8E-3</v>
      </c>
      <c r="K1566" s="154" t="s">
        <v>14</v>
      </c>
      <c r="L1566" s="154" t="str">
        <f>IF(OpenLCAbasic!K1566="CTUh", "Fill in Manually",IF(OR(K1566="Unit", K1566=""), "", INDEX(LookUps!$E$5:$E$12, MATCH(OpenLCAbasic!K1566,LookUps!$D$5:$D$12,0))))</f>
        <v>Fossil Depletion Potential (FDP) - kg oil eq</v>
      </c>
      <c r="M1566" s="154" t="str">
        <f t="shared" si="82"/>
        <v>Low_Base_Upgraded_Fossil Depletion Potential (FDP) - kg oil eq_Control Building; at upgraded wastewater treatment plant - US_Base_With Amendment_Windrow</v>
      </c>
    </row>
    <row r="1567" spans="1:13" s="120" customFormat="1" x14ac:dyDescent="0.25">
      <c r="A1567" s="119"/>
      <c r="B1567" s="138" t="str">
        <f t="shared" si="80"/>
        <v>Windrow</v>
      </c>
      <c r="C1567" s="138" t="str">
        <f t="shared" si="81"/>
        <v>Base_With Amendment</v>
      </c>
      <c r="D1567" s="118" t="s">
        <v>130</v>
      </c>
      <c r="E1567" s="118" t="s">
        <v>180</v>
      </c>
      <c r="F1567" s="118" t="s">
        <v>46</v>
      </c>
      <c r="G1567" s="153"/>
      <c r="H1567" s="155">
        <v>1.2699999999999999E-2</v>
      </c>
      <c r="I1567" s="154" t="s">
        <v>48</v>
      </c>
      <c r="J1567" s="204">
        <v>2.3600000000000001E-3</v>
      </c>
      <c r="K1567" s="154" t="s">
        <v>14</v>
      </c>
      <c r="L1567" s="154" t="str">
        <f>IF(OpenLCAbasic!K1567="CTUh", "Fill in Manually",IF(OR(K1567="Unit", K1567=""), "", INDEX(LookUps!$E$5:$E$12, MATCH(OpenLCAbasic!K1567,LookUps!$D$5:$D$12,0))))</f>
        <v>Fossil Depletion Potential (FDP) - kg oil eq</v>
      </c>
      <c r="M1567" s="154" t="str">
        <f t="shared" si="82"/>
        <v>Low_Base_Upgraded_Fossil Depletion Potential (FDP) - kg oil eq_Effluent release; wastewater treatment unit; at surface water; m3 wastewater - US_Base_With Amendment_Windrow</v>
      </c>
    </row>
    <row r="1568" spans="1:13" s="120" customFormat="1" x14ac:dyDescent="0.25">
      <c r="A1568" s="119"/>
      <c r="B1568" s="138" t="str">
        <f t="shared" si="80"/>
        <v>Windrow</v>
      </c>
      <c r="C1568" s="138" t="str">
        <f t="shared" si="81"/>
        <v>Base_With Amendment</v>
      </c>
      <c r="D1568" s="118" t="s">
        <v>130</v>
      </c>
      <c r="E1568" s="118" t="s">
        <v>180</v>
      </c>
      <c r="F1568" s="118" t="s">
        <v>46</v>
      </c>
      <c r="G1568" s="153"/>
      <c r="H1568" s="155">
        <v>1.03E-2</v>
      </c>
      <c r="I1568" s="154" t="s">
        <v>59</v>
      </c>
      <c r="J1568" s="204">
        <v>1.92E-3</v>
      </c>
      <c r="K1568" s="154" t="s">
        <v>14</v>
      </c>
      <c r="L1568" s="154" t="str">
        <f>IF(OpenLCAbasic!K1568="CTUh", "Fill in Manually",IF(OR(K1568="Unit", K1568=""), "", INDEX(LookUps!$E$5:$E$12, MATCH(OpenLCAbasic!K1568,LookUps!$D$5:$D$12,0))))</f>
        <v>Fossil Depletion Potential (FDP) - kg oil eq</v>
      </c>
      <c r="M1568" s="154" t="str">
        <f t="shared" si="82"/>
        <v>Low_Base_Upgraded_Fossil Depletion Potential (FDP) - kg oil eq_Blend Tank; wastewater treatment unit; at updated plant - US_Base_With Amendment_Windrow</v>
      </c>
    </row>
    <row r="1569" spans="1:13" s="120" customFormat="1" x14ac:dyDescent="0.25">
      <c r="A1569" s="119"/>
      <c r="B1569" s="138" t="str">
        <f t="shared" si="80"/>
        <v>Windrow</v>
      </c>
      <c r="C1569" s="138" t="str">
        <f t="shared" si="81"/>
        <v>Base_With Amendment</v>
      </c>
      <c r="D1569" s="118" t="s">
        <v>130</v>
      </c>
      <c r="E1569" s="118" t="s">
        <v>180</v>
      </c>
      <c r="F1569" s="118" t="s">
        <v>46</v>
      </c>
      <c r="G1569" s="153"/>
      <c r="H1569" s="155">
        <v>4.8999999999999998E-3</v>
      </c>
      <c r="I1569" s="154" t="s">
        <v>168</v>
      </c>
      <c r="J1569" s="204">
        <v>9.1E-4</v>
      </c>
      <c r="K1569" s="154" t="s">
        <v>14</v>
      </c>
      <c r="L1569" s="154" t="str">
        <f>IF(OpenLCAbasic!K1569="CTUh", "Fill in Manually",IF(OR(K1569="Unit", K1569=""), "", INDEX(LookUps!$E$5:$E$12, MATCH(OpenLCAbasic!K1569,LookUps!$D$5:$D$12,0))))</f>
        <v>Fossil Depletion Potential (FDP) - kg oil eq</v>
      </c>
      <c r="M1569" s="154" t="str">
        <f t="shared" si="82"/>
        <v>Low_Base_Upgraded_Fossil Depletion Potential (FDP) - kg oil eq_ClearCove SCP; wastewater treatment unit; at updated plant - US_Base_With Amendment_Windrow</v>
      </c>
    </row>
    <row r="1570" spans="1:13" s="120" customFormat="1" x14ac:dyDescent="0.25">
      <c r="A1570" s="119"/>
      <c r="B1570" s="138" t="str">
        <f t="shared" si="80"/>
        <v>Windrow</v>
      </c>
      <c r="C1570" s="138" t="str">
        <f t="shared" si="81"/>
        <v>Base_With Amendment</v>
      </c>
      <c r="D1570" s="118" t="s">
        <v>130</v>
      </c>
      <c r="E1570" s="118" t="s">
        <v>180</v>
      </c>
      <c r="F1570" s="118" t="s">
        <v>46</v>
      </c>
      <c r="G1570" s="153"/>
      <c r="H1570" s="155">
        <v>2.3999999999999998E-3</v>
      </c>
      <c r="I1570" s="154" t="s">
        <v>271</v>
      </c>
      <c r="J1570" s="204">
        <v>4.4000000000000002E-4</v>
      </c>
      <c r="K1570" s="154" t="s">
        <v>14</v>
      </c>
      <c r="L1570" s="154" t="str">
        <f>IF(OpenLCAbasic!K1570="CTUh", "Fill in Manually",IF(OR(K1570="Unit", K1570=""), "", INDEX(LookUps!$E$5:$E$12, MATCH(OpenLCAbasic!K1570,LookUps!$D$5:$D$12,0))))</f>
        <v>Fossil Depletion Potential (FDP) - kg oil eq</v>
      </c>
      <c r="M1570" s="154" t="str">
        <f t="shared" si="82"/>
        <v>Low_Base_Upgraded_Fossil Depletion Potential (FDP) - kg oil eq_Biosolids composting; windrow composting; wastewater treatment unit; at updated plant - US_Base_With Amendment_Windrow</v>
      </c>
    </row>
    <row r="1571" spans="1:13" s="120" customFormat="1" x14ac:dyDescent="0.25">
      <c r="A1571" s="119"/>
      <c r="B1571" s="138" t="str">
        <f t="shared" si="80"/>
        <v>Windrow</v>
      </c>
      <c r="C1571" s="138" t="str">
        <f t="shared" si="81"/>
        <v>Base_With Amendment</v>
      </c>
      <c r="D1571" s="118" t="s">
        <v>130</v>
      </c>
      <c r="E1571" s="118" t="s">
        <v>180</v>
      </c>
      <c r="F1571" s="118" t="s">
        <v>46</v>
      </c>
      <c r="G1571" s="153"/>
      <c r="H1571" s="155">
        <v>-3.6299999999999999E-2</v>
      </c>
      <c r="I1571" s="154" t="s">
        <v>62</v>
      </c>
      <c r="J1571" s="204">
        <v>-6.7600000000000004E-3</v>
      </c>
      <c r="K1571" s="154" t="s">
        <v>14</v>
      </c>
      <c r="L1571" s="154" t="str">
        <f>IF(OpenLCAbasic!K1571="CTUh", "Fill in Manually",IF(OR(K1571="Unit", K1571=""), "", INDEX(LookUps!$E$5:$E$12, MATCH(OpenLCAbasic!K1571,LookUps!$D$5:$D$12,0))))</f>
        <v>Fossil Depletion Potential (FDP) - kg oil eq</v>
      </c>
      <c r="M1571" s="154" t="str">
        <f t="shared" si="82"/>
        <v>Low_Base_Upgraded_Fossil Depletion Potential (FDP) - kg oil eq_Land application of compost; wastewater treatment unit; at updated plant - US_Base_With Amendment_Windrow</v>
      </c>
    </row>
    <row r="1572" spans="1:13" s="120" customFormat="1" x14ac:dyDescent="0.25">
      <c r="A1572" s="119"/>
      <c r="B1572" s="138" t="str">
        <f t="shared" si="80"/>
        <v>Windrow</v>
      </c>
      <c r="C1572" s="138" t="str">
        <f t="shared" si="81"/>
        <v>Base_With Amendment</v>
      </c>
      <c r="D1572" s="118" t="s">
        <v>130</v>
      </c>
      <c r="E1572" s="118" t="s">
        <v>180</v>
      </c>
      <c r="F1572" s="118" t="s">
        <v>46</v>
      </c>
      <c r="G1572" s="153"/>
      <c r="H1572" s="155">
        <v>-0.215</v>
      </c>
      <c r="I1572" s="154" t="s">
        <v>149</v>
      </c>
      <c r="J1572" s="203">
        <v>-4.0030000000000003E-2</v>
      </c>
      <c r="K1572" s="154" t="s">
        <v>14</v>
      </c>
      <c r="L1572" s="154" t="str">
        <f>IF(OpenLCAbasic!K1572="CTUh", "Fill in Manually",IF(OR(K1572="Unit", K1572=""), "", INDEX(LookUps!$E$5:$E$12, MATCH(OpenLCAbasic!K1572,LookUps!$D$5:$D$12,0))))</f>
        <v>Fossil Depletion Potential (FDP) - kg oil eq</v>
      </c>
      <c r="M1572" s="154" t="str">
        <f t="shared" si="82"/>
        <v>Low_Base_Upgraded_Fossil Depletion Potential (FDP) - kg oil eq_Anaerobic Digestion; wastewater treatment unit; at updated plant - US_Base_With Amendment_Windrow</v>
      </c>
    </row>
    <row r="1573" spans="1:13" s="120" customFormat="1" x14ac:dyDescent="0.25">
      <c r="A1573" s="119"/>
      <c r="B1573" s="138" t="str">
        <f t="shared" si="80"/>
        <v>Windrow</v>
      </c>
      <c r="C1573" s="138" t="str">
        <f t="shared" si="81"/>
        <v>Base_With Amendment</v>
      </c>
      <c r="D1573" s="118" t="s">
        <v>130</v>
      </c>
      <c r="E1573" s="118" t="s">
        <v>180</v>
      </c>
      <c r="F1573" s="118" t="s">
        <v>46</v>
      </c>
      <c r="G1573" s="153" t="s">
        <v>51</v>
      </c>
      <c r="H1573" s="154"/>
      <c r="I1573" s="154" t="s">
        <v>47</v>
      </c>
      <c r="J1573" s="154" t="s">
        <v>52</v>
      </c>
      <c r="K1573" s="154" t="s">
        <v>27</v>
      </c>
      <c r="L1573" s="154" t="str">
        <f>IF(OpenLCAbasic!K1573="CTUh", "Fill in Manually",IF(OR(K1573="Unit", K1573=""), "", INDEX(LookUps!$E$5:$E$12, MATCH(OpenLCAbasic!K1573,LookUps!$D$5:$D$12,0))))</f>
        <v/>
      </c>
      <c r="M1573" s="154" t="str">
        <f t="shared" si="82"/>
        <v>Low_Base_Upgraded__Process_Base_With Amendment_Windrow</v>
      </c>
    </row>
    <row r="1574" spans="1:13" s="120" customFormat="1" x14ac:dyDescent="0.25">
      <c r="A1574" s="119"/>
      <c r="B1574" s="138" t="str">
        <f t="shared" si="80"/>
        <v>Windrow</v>
      </c>
      <c r="C1574" s="138" t="str">
        <f t="shared" si="81"/>
        <v>Base_With Amendment</v>
      </c>
      <c r="D1574" s="118" t="s">
        <v>130</v>
      </c>
      <c r="E1574" s="118" t="s">
        <v>180</v>
      </c>
      <c r="F1574" s="118" t="s">
        <v>46</v>
      </c>
      <c r="G1574" s="153"/>
      <c r="H1574" s="155">
        <v>0.53239999999999998</v>
      </c>
      <c r="I1574" s="154" t="s">
        <v>55</v>
      </c>
      <c r="J1574" s="204">
        <v>2.33E-3</v>
      </c>
      <c r="K1574" s="154" t="s">
        <v>145</v>
      </c>
      <c r="L1574" s="154" t="str">
        <f>IF(OpenLCAbasic!K1574="CTUh", "Fill in Manually",IF(OR(K1574="Unit", K1574=""), "", INDEX(LookUps!$E$5:$E$12, MATCH(OpenLCAbasic!K1574,LookUps!$D$5:$D$12,0))))</f>
        <v>Particulate Matter Formation Potential (PMFP) - kg PM2.5 eq</v>
      </c>
      <c r="M1574" s="154" t="str">
        <f t="shared" si="82"/>
        <v>Low_Base_Upgraded_Particulate Matter Formation Potential (PMFP) - kg PM2.5 eq_Aeration Tanks; wastewater treatment unit; at updated plant - US_Base_With Amendment_Windrow</v>
      </c>
    </row>
    <row r="1575" spans="1:13" s="120" customFormat="1" x14ac:dyDescent="0.25">
      <c r="A1575" s="119"/>
      <c r="B1575" s="138" t="str">
        <f t="shared" si="80"/>
        <v>Windrow</v>
      </c>
      <c r="C1575" s="138" t="str">
        <f t="shared" si="81"/>
        <v>Base_With Amendment</v>
      </c>
      <c r="D1575" s="118" t="s">
        <v>130</v>
      </c>
      <c r="E1575" s="118" t="s">
        <v>180</v>
      </c>
      <c r="F1575" s="118" t="s">
        <v>46</v>
      </c>
      <c r="G1575" s="153"/>
      <c r="H1575" s="155">
        <v>0.15490000000000001</v>
      </c>
      <c r="I1575" s="154" t="s">
        <v>54</v>
      </c>
      <c r="J1575" s="204">
        <v>6.8000000000000005E-4</v>
      </c>
      <c r="K1575" s="154" t="s">
        <v>145</v>
      </c>
      <c r="L1575" s="154" t="str">
        <f>IF(OpenLCAbasic!K1575="CTUh", "Fill in Manually",IF(OR(K1575="Unit", K1575=""), "", INDEX(LookUps!$E$5:$E$12, MATCH(OpenLCAbasic!K1575,LookUps!$D$5:$D$12,0))))</f>
        <v>Particulate Matter Formation Potential (PMFP) - kg PM2.5 eq</v>
      </c>
      <c r="M1575" s="154" t="str">
        <f t="shared" si="82"/>
        <v>Low_Base_Upgraded_Particulate Matter Formation Potential (PMFP) - kg PM2.5 eq_Clear Cove Primary Clarification; wastewater treatment unit; at updated plant - US_Base_With Amendment_Windrow</v>
      </c>
    </row>
    <row r="1576" spans="1:13" s="120" customFormat="1" x14ac:dyDescent="0.25">
      <c r="A1576" s="119"/>
      <c r="B1576" s="138" t="str">
        <f t="shared" si="80"/>
        <v>Windrow</v>
      </c>
      <c r="C1576" s="138" t="str">
        <f t="shared" si="81"/>
        <v>Base_With Amendment</v>
      </c>
      <c r="D1576" s="118" t="s">
        <v>130</v>
      </c>
      <c r="E1576" s="118" t="s">
        <v>180</v>
      </c>
      <c r="F1576" s="118" t="s">
        <v>46</v>
      </c>
      <c r="G1576" s="153"/>
      <c r="H1576" s="155">
        <v>0.1338</v>
      </c>
      <c r="I1576" s="154" t="s">
        <v>58</v>
      </c>
      <c r="J1576" s="204">
        <v>5.9000000000000003E-4</v>
      </c>
      <c r="K1576" s="154" t="s">
        <v>145</v>
      </c>
      <c r="L1576" s="154" t="str">
        <f>IF(OpenLCAbasic!K1576="CTUh", "Fill in Manually",IF(OR(K1576="Unit", K1576=""), "", INDEX(LookUps!$E$5:$E$12, MATCH(OpenLCAbasic!K1576,LookUps!$D$5:$D$12,0))))</f>
        <v>Particulate Matter Formation Potential (PMFP) - kg PM2.5 eq</v>
      </c>
      <c r="M1576" s="154" t="str">
        <f t="shared" si="82"/>
        <v>Low_Base_Upgraded_Particulate Matter Formation Potential (PMFP) - kg PM2.5 eq_Pre-Anoxic &amp; Swing tank; wastewater treatment unit; at updated plant - US_Base_With Amendment_Windrow</v>
      </c>
    </row>
    <row r="1577" spans="1:13" s="120" customFormat="1" x14ac:dyDescent="0.25">
      <c r="A1577" s="119"/>
      <c r="B1577" s="138" t="str">
        <f t="shared" si="80"/>
        <v>Windrow</v>
      </c>
      <c r="C1577" s="138" t="str">
        <f t="shared" si="81"/>
        <v>Base_With Amendment</v>
      </c>
      <c r="D1577" s="118" t="s">
        <v>130</v>
      </c>
      <c r="E1577" s="118" t="s">
        <v>180</v>
      </c>
      <c r="F1577" s="118" t="s">
        <v>46</v>
      </c>
      <c r="G1577" s="153"/>
      <c r="H1577" s="155">
        <v>0.10639999999999999</v>
      </c>
      <c r="I1577" s="154" t="s">
        <v>53</v>
      </c>
      <c r="J1577" s="204">
        <v>4.6999999999999999E-4</v>
      </c>
      <c r="K1577" s="154" t="s">
        <v>145</v>
      </c>
      <c r="L1577" s="154" t="str">
        <f>IF(OpenLCAbasic!K1577="CTUh", "Fill in Manually",IF(OR(K1577="Unit", K1577=""), "", INDEX(LookUps!$E$5:$E$12, MATCH(OpenLCAbasic!K1577,LookUps!$D$5:$D$12,0))))</f>
        <v>Particulate Matter Formation Potential (PMFP) - kg PM2.5 eq</v>
      </c>
      <c r="M1577" s="154" t="str">
        <f t="shared" si="82"/>
        <v>Low_Base_Upgraded_Particulate Matter Formation Potential (PMFP) - kg PM2.5 eq_Wet Well and Sump Station; wastewater treatment unit; at updated plant - US_Base_With Amendment_Windrow</v>
      </c>
    </row>
    <row r="1578" spans="1:13" s="120" customFormat="1" x14ac:dyDescent="0.25">
      <c r="A1578" s="119"/>
      <c r="B1578" s="138" t="str">
        <f t="shared" si="80"/>
        <v>Windrow</v>
      </c>
      <c r="C1578" s="138" t="str">
        <f t="shared" si="81"/>
        <v>Base_With Amendment</v>
      </c>
      <c r="D1578" s="118" t="s">
        <v>130</v>
      </c>
      <c r="E1578" s="118" t="s">
        <v>180</v>
      </c>
      <c r="F1578" s="118" t="s">
        <v>46</v>
      </c>
      <c r="G1578" s="153"/>
      <c r="H1578" s="155">
        <v>6.8199999999999997E-2</v>
      </c>
      <c r="I1578" s="154" t="s">
        <v>167</v>
      </c>
      <c r="J1578" s="204">
        <v>2.9999999999999997E-4</v>
      </c>
      <c r="K1578" s="154" t="s">
        <v>145</v>
      </c>
      <c r="L1578" s="154" t="str">
        <f>IF(OpenLCAbasic!K1578="CTUh", "Fill in Manually",IF(OR(K1578="Unit", K1578=""), "", INDEX(LookUps!$E$5:$E$12, MATCH(OpenLCAbasic!K1578,LookUps!$D$5:$D$12,0))))</f>
        <v>Particulate Matter Formation Potential (PMFP) - kg PM2.5 eq</v>
      </c>
      <c r="M1578" s="154" t="str">
        <f t="shared" si="82"/>
        <v>Low_Base_Upgraded_Particulate Matter Formation Potential (PMFP) - kg PM2.5 eq_Waste Receiving and Holding; wastewater treatment unit; at updated plant - US_Base_With Amendment_Windrow</v>
      </c>
    </row>
    <row r="1579" spans="1:13" s="120" customFormat="1" x14ac:dyDescent="0.25">
      <c r="A1579" s="119"/>
      <c r="B1579" s="138" t="str">
        <f t="shared" si="80"/>
        <v>Windrow</v>
      </c>
      <c r="C1579" s="138" t="str">
        <f t="shared" si="81"/>
        <v>Base_With Amendment</v>
      </c>
      <c r="D1579" s="118" t="s">
        <v>130</v>
      </c>
      <c r="E1579" s="118" t="s">
        <v>180</v>
      </c>
      <c r="F1579" s="118" t="s">
        <v>46</v>
      </c>
      <c r="G1579" s="153"/>
      <c r="H1579" s="155">
        <v>6.08E-2</v>
      </c>
      <c r="I1579" s="154" t="s">
        <v>147</v>
      </c>
      <c r="J1579" s="204">
        <v>2.7E-4</v>
      </c>
      <c r="K1579" s="154" t="s">
        <v>145</v>
      </c>
      <c r="L1579" s="154" t="str">
        <f>IF(OpenLCAbasic!K1579="CTUh", "Fill in Manually",IF(OR(K1579="Unit", K1579=""), "", INDEX(LookUps!$E$5:$E$12, MATCH(OpenLCAbasic!K1579,LookUps!$D$5:$D$12,0))))</f>
        <v>Particulate Matter Formation Potential (PMFP) - kg PM2.5 eq</v>
      </c>
      <c r="M1579" s="154" t="str">
        <f t="shared" si="82"/>
        <v>Low_Base_Upgraded_Particulate Matter Formation Potential (PMFP) - kg PM2.5 eq_Influent Pump Station; wastewater treatment unit; at updated plant - US_Base_With Amendment_Windrow</v>
      </c>
    </row>
    <row r="1580" spans="1:13" s="120" customFormat="1" x14ac:dyDescent="0.25">
      <c r="A1580" s="119"/>
      <c r="B1580" s="138" t="str">
        <f t="shared" si="80"/>
        <v>Windrow</v>
      </c>
      <c r="C1580" s="138" t="str">
        <f t="shared" si="81"/>
        <v>Base_With Amendment</v>
      </c>
      <c r="D1580" s="118" t="s">
        <v>130</v>
      </c>
      <c r="E1580" s="118" t="s">
        <v>180</v>
      </c>
      <c r="F1580" s="118" t="s">
        <v>46</v>
      </c>
      <c r="G1580" s="153"/>
      <c r="H1580" s="155">
        <v>3.7999999999999999E-2</v>
      </c>
      <c r="I1580" s="154" t="s">
        <v>128</v>
      </c>
      <c r="J1580" s="204">
        <v>1.7000000000000001E-4</v>
      </c>
      <c r="K1580" s="154" t="s">
        <v>145</v>
      </c>
      <c r="L1580" s="154" t="str">
        <f>IF(OpenLCAbasic!K1580="CTUh", "Fill in Manually",IF(OR(K1580="Unit", K1580=""), "", INDEX(LookUps!$E$5:$E$12, MATCH(OpenLCAbasic!K1580,LookUps!$D$5:$D$12,0))))</f>
        <v>Particulate Matter Formation Potential (PMFP) - kg PM2.5 eq</v>
      </c>
      <c r="M1580" s="154" t="str">
        <f t="shared" si="82"/>
        <v>Low_Base_Upgraded_Particulate Matter Formation Potential (PMFP) - kg PM2.5 eq_Wastewater collection; operation and infrastructure; m3 wastewater_Base_With Amendment_Windrow</v>
      </c>
    </row>
    <row r="1581" spans="1:13" s="120" customFormat="1" x14ac:dyDescent="0.25">
      <c r="A1581" s="119"/>
      <c r="B1581" s="138" t="str">
        <f t="shared" si="80"/>
        <v>Windrow</v>
      </c>
      <c r="C1581" s="138" t="str">
        <f t="shared" si="81"/>
        <v>Base_With Amendment</v>
      </c>
      <c r="D1581" s="118" t="s">
        <v>130</v>
      </c>
      <c r="E1581" s="118" t="s">
        <v>180</v>
      </c>
      <c r="F1581" s="118" t="s">
        <v>46</v>
      </c>
      <c r="G1581" s="153"/>
      <c r="H1581" s="155">
        <v>2.3800000000000002E-2</v>
      </c>
      <c r="I1581" s="154" t="s">
        <v>60</v>
      </c>
      <c r="J1581" s="204">
        <v>1E-4</v>
      </c>
      <c r="K1581" s="154" t="s">
        <v>145</v>
      </c>
      <c r="L1581" s="154" t="str">
        <f>IF(OpenLCAbasic!K1581="CTUh", "Fill in Manually",IF(OR(K1581="Unit", K1581=""), "", INDEX(LookUps!$E$5:$E$12, MATCH(OpenLCAbasic!K1581,LookUps!$D$5:$D$12,0))))</f>
        <v>Particulate Matter Formation Potential (PMFP) - kg PM2.5 eq</v>
      </c>
      <c r="M1581" s="154" t="str">
        <f t="shared" si="82"/>
        <v>Low_Base_Upgraded_Particulate Matter Formation Potential (PMFP) - kg PM2.5 eq_Belt filter press; wastewater treatment unit; at updated plant - US_Base_With Amendment_Windrow</v>
      </c>
    </row>
    <row r="1582" spans="1:13" s="120" customFormat="1" x14ac:dyDescent="0.25">
      <c r="A1582" s="119"/>
      <c r="B1582" s="138" t="str">
        <f t="shared" si="80"/>
        <v>Windrow</v>
      </c>
      <c r="C1582" s="138" t="str">
        <f t="shared" si="81"/>
        <v>Base_With Amendment</v>
      </c>
      <c r="D1582" s="118" t="s">
        <v>130</v>
      </c>
      <c r="E1582" s="118" t="s">
        <v>180</v>
      </c>
      <c r="F1582" s="118" t="s">
        <v>46</v>
      </c>
      <c r="G1582" s="153"/>
      <c r="H1582" s="155">
        <v>2.1700000000000001E-2</v>
      </c>
      <c r="I1582" s="154" t="s">
        <v>57</v>
      </c>
      <c r="J1582" s="204">
        <v>9.5153800000000004E-5</v>
      </c>
      <c r="K1582" s="154" t="s">
        <v>145</v>
      </c>
      <c r="L1582" s="154" t="str">
        <f>IF(OpenLCAbasic!K1582="CTUh", "Fill in Manually",IF(OR(K1582="Unit", K1582=""), "", INDEX(LookUps!$E$5:$E$12, MATCH(OpenLCAbasic!K1582,LookUps!$D$5:$D$12,0))))</f>
        <v>Particulate Matter Formation Potential (PMFP) - kg PM2.5 eq</v>
      </c>
      <c r="M1582" s="154" t="str">
        <f t="shared" si="82"/>
        <v>Low_Base_Upgraded_Particulate Matter Formation Potential (PMFP) - kg PM2.5 eq_Gravity Belt Thickener; wastewater treatment unit; at updated plant - US_Base_With Amendment_Windrow</v>
      </c>
    </row>
    <row r="1583" spans="1:13" s="120" customFormat="1" x14ac:dyDescent="0.25">
      <c r="A1583" s="119"/>
      <c r="B1583" s="138" t="str">
        <f t="shared" si="80"/>
        <v>Windrow</v>
      </c>
      <c r="C1583" s="138" t="str">
        <f t="shared" si="81"/>
        <v>Base_With Amendment</v>
      </c>
      <c r="D1583" s="118" t="s">
        <v>130</v>
      </c>
      <c r="E1583" s="118" t="s">
        <v>180</v>
      </c>
      <c r="F1583" s="118" t="s">
        <v>46</v>
      </c>
      <c r="G1583" s="153"/>
      <c r="H1583" s="155">
        <v>1.6E-2</v>
      </c>
      <c r="I1583" s="154" t="s">
        <v>59</v>
      </c>
      <c r="J1583" s="204">
        <v>6.9942200000000003E-5</v>
      </c>
      <c r="K1583" s="154" t="s">
        <v>145</v>
      </c>
      <c r="L1583" s="154" t="str">
        <f>IF(OpenLCAbasic!K1583="CTUh", "Fill in Manually",IF(OR(K1583="Unit", K1583=""), "", INDEX(LookUps!$E$5:$E$12, MATCH(OpenLCAbasic!K1583,LookUps!$D$5:$D$12,0))))</f>
        <v>Particulate Matter Formation Potential (PMFP) - kg PM2.5 eq</v>
      </c>
      <c r="M1583" s="154" t="str">
        <f t="shared" si="82"/>
        <v>Low_Base_Upgraded_Particulate Matter Formation Potential (PMFP) - kg PM2.5 eq_Blend Tank; wastewater treatment unit; at updated plant - US_Base_With Amendment_Windrow</v>
      </c>
    </row>
    <row r="1584" spans="1:13" s="120" customFormat="1" x14ac:dyDescent="0.25">
      <c r="A1584" s="119"/>
      <c r="B1584" s="138" t="str">
        <f t="shared" si="80"/>
        <v>Windrow</v>
      </c>
      <c r="C1584" s="138" t="str">
        <f t="shared" si="81"/>
        <v>Base_With Amendment</v>
      </c>
      <c r="D1584" s="118" t="s">
        <v>130</v>
      </c>
      <c r="E1584" s="118" t="s">
        <v>180</v>
      </c>
      <c r="F1584" s="118" t="s">
        <v>46</v>
      </c>
      <c r="G1584" s="153"/>
      <c r="H1584" s="155">
        <v>1.1900000000000001E-2</v>
      </c>
      <c r="I1584" s="154" t="s">
        <v>62</v>
      </c>
      <c r="J1584" s="204">
        <v>5.2024699999999997E-5</v>
      </c>
      <c r="K1584" s="154" t="s">
        <v>145</v>
      </c>
      <c r="L1584" s="154" t="str">
        <f>IF(OpenLCAbasic!K1584="CTUh", "Fill in Manually",IF(OR(K1584="Unit", K1584=""), "", INDEX(LookUps!$E$5:$E$12, MATCH(OpenLCAbasic!K1584,LookUps!$D$5:$D$12,0))))</f>
        <v>Particulate Matter Formation Potential (PMFP) - kg PM2.5 eq</v>
      </c>
      <c r="M1584" s="154" t="str">
        <f t="shared" si="82"/>
        <v>Low_Base_Upgraded_Particulate Matter Formation Potential (PMFP) - kg PM2.5 eq_Land application of compost; wastewater treatment unit; at updated plant - US_Base_With Amendment_Windrow</v>
      </c>
    </row>
    <row r="1585" spans="1:13" s="120" customFormat="1" x14ac:dyDescent="0.25">
      <c r="A1585" s="119"/>
      <c r="B1585" s="138" t="str">
        <f t="shared" si="80"/>
        <v>Windrow</v>
      </c>
      <c r="C1585" s="138" t="str">
        <f t="shared" si="81"/>
        <v>Base_With Amendment</v>
      </c>
      <c r="D1585" s="118" t="s">
        <v>130</v>
      </c>
      <c r="E1585" s="118" t="s">
        <v>180</v>
      </c>
      <c r="F1585" s="118" t="s">
        <v>46</v>
      </c>
      <c r="G1585" s="153"/>
      <c r="H1585" s="155">
        <v>1.14E-2</v>
      </c>
      <c r="I1585" s="154" t="s">
        <v>48</v>
      </c>
      <c r="J1585" s="204">
        <v>4.99741E-5</v>
      </c>
      <c r="K1585" s="154" t="s">
        <v>145</v>
      </c>
      <c r="L1585" s="154" t="str">
        <f>IF(OpenLCAbasic!K1585="CTUh", "Fill in Manually",IF(OR(K1585="Unit", K1585=""), "", INDEX(LookUps!$E$5:$E$12, MATCH(OpenLCAbasic!K1585,LookUps!$D$5:$D$12,0))))</f>
        <v>Particulate Matter Formation Potential (PMFP) - kg PM2.5 eq</v>
      </c>
      <c r="M1585" s="154" t="str">
        <f t="shared" si="82"/>
        <v>Low_Base_Upgraded_Particulate Matter Formation Potential (PMFP) - kg PM2.5 eq_Effluent release; wastewater treatment unit; at surface water; m3 wastewater - US_Base_With Amendment_Windrow</v>
      </c>
    </row>
    <row r="1586" spans="1:13" s="120" customFormat="1" x14ac:dyDescent="0.25">
      <c r="A1586" s="119"/>
      <c r="B1586" s="138" t="str">
        <f t="shared" si="80"/>
        <v>Windrow</v>
      </c>
      <c r="C1586" s="138" t="str">
        <f t="shared" si="81"/>
        <v>Base_With Amendment</v>
      </c>
      <c r="D1586" s="118" t="s">
        <v>130</v>
      </c>
      <c r="E1586" s="118" t="s">
        <v>180</v>
      </c>
      <c r="F1586" s="118" t="s">
        <v>46</v>
      </c>
      <c r="G1586" s="153"/>
      <c r="H1586" s="155">
        <v>8.8999999999999999E-3</v>
      </c>
      <c r="I1586" s="154" t="s">
        <v>271</v>
      </c>
      <c r="J1586" s="204">
        <v>3.9146100000000001E-5</v>
      </c>
      <c r="K1586" s="154" t="s">
        <v>145</v>
      </c>
      <c r="L1586" s="154" t="str">
        <f>IF(OpenLCAbasic!K1586="CTUh", "Fill in Manually",IF(OR(K1586="Unit", K1586=""), "", INDEX(LookUps!$E$5:$E$12, MATCH(OpenLCAbasic!K1586,LookUps!$D$5:$D$12,0))))</f>
        <v>Particulate Matter Formation Potential (PMFP) - kg PM2.5 eq</v>
      </c>
      <c r="M1586" s="154" t="str">
        <f t="shared" si="82"/>
        <v>Low_Base_Upgraded_Particulate Matter Formation Potential (PMFP) - kg PM2.5 eq_Biosolids composting; windrow composting; wastewater treatment unit; at updated plant - US_Base_With Amendment_Windrow</v>
      </c>
    </row>
    <row r="1587" spans="1:13" s="120" customFormat="1" x14ac:dyDescent="0.25">
      <c r="A1587" s="119"/>
      <c r="B1587" s="138" t="str">
        <f t="shared" si="80"/>
        <v>Windrow</v>
      </c>
      <c r="C1587" s="138" t="str">
        <f t="shared" si="81"/>
        <v>Base_With Amendment</v>
      </c>
      <c r="D1587" s="118" t="s">
        <v>130</v>
      </c>
      <c r="E1587" s="118" t="s">
        <v>180</v>
      </c>
      <c r="F1587" s="118" t="s">
        <v>46</v>
      </c>
      <c r="G1587" s="153"/>
      <c r="H1587" s="155">
        <v>7.9000000000000008E-3</v>
      </c>
      <c r="I1587" s="154" t="s">
        <v>168</v>
      </c>
      <c r="J1587" s="204">
        <v>3.4562199999999999E-5</v>
      </c>
      <c r="K1587" s="154" t="s">
        <v>145</v>
      </c>
      <c r="L1587" s="154" t="str">
        <f>IF(OpenLCAbasic!K1587="CTUh", "Fill in Manually",IF(OR(K1587="Unit", K1587=""), "", INDEX(LookUps!$E$5:$E$12, MATCH(OpenLCAbasic!K1587,LookUps!$D$5:$D$12,0))))</f>
        <v>Particulate Matter Formation Potential (PMFP) - kg PM2.5 eq</v>
      </c>
      <c r="M1587" s="154" t="str">
        <f t="shared" si="82"/>
        <v>Low_Base_Upgraded_Particulate Matter Formation Potential (PMFP) - kg PM2.5 eq_ClearCove SCP; wastewater treatment unit; at updated plant - US_Base_With Amendment_Windrow</v>
      </c>
    </row>
    <row r="1588" spans="1:13" s="120" customFormat="1" x14ac:dyDescent="0.25">
      <c r="A1588" s="119"/>
      <c r="B1588" s="138" t="str">
        <f t="shared" si="80"/>
        <v>Windrow</v>
      </c>
      <c r="C1588" s="138" t="str">
        <f t="shared" si="81"/>
        <v>Base_With Amendment</v>
      </c>
      <c r="D1588" s="118" t="s">
        <v>130</v>
      </c>
      <c r="E1588" s="118" t="s">
        <v>180</v>
      </c>
      <c r="F1588" s="118" t="s">
        <v>46</v>
      </c>
      <c r="G1588" s="153"/>
      <c r="H1588" s="155">
        <v>2E-3</v>
      </c>
      <c r="I1588" s="154" t="s">
        <v>148</v>
      </c>
      <c r="J1588" s="204">
        <v>8.8212999999999997E-6</v>
      </c>
      <c r="K1588" s="154" t="s">
        <v>145</v>
      </c>
      <c r="L1588" s="154" t="str">
        <f>IF(OpenLCAbasic!K1588="CTUh", "Fill in Manually",IF(OR(K1588="Unit", K1588=""), "", INDEX(LookUps!$E$5:$E$12, MATCH(OpenLCAbasic!K1588,LookUps!$D$5:$D$12,0))))</f>
        <v>Particulate Matter Formation Potential (PMFP) - kg PM2.5 eq</v>
      </c>
      <c r="M1588" s="154" t="str">
        <f t="shared" si="82"/>
        <v>Low_Base_Upgraded_Particulate Matter Formation Potential (PMFP) - kg PM2.5 eq_Control Building; at upgraded wastewater treatment plant - US_Base_With Amendment_Windrow</v>
      </c>
    </row>
    <row r="1589" spans="1:13" s="120" customFormat="1" x14ac:dyDescent="0.25">
      <c r="A1589" s="119"/>
      <c r="B1589" s="138" t="str">
        <f t="shared" si="80"/>
        <v>Windrow</v>
      </c>
      <c r="C1589" s="138" t="str">
        <f t="shared" si="81"/>
        <v>Base_With Amendment</v>
      </c>
      <c r="D1589" s="118" t="s">
        <v>130</v>
      </c>
      <c r="E1589" s="118" t="s">
        <v>180</v>
      </c>
      <c r="F1589" s="118" t="s">
        <v>46</v>
      </c>
      <c r="G1589" s="153"/>
      <c r="H1589" s="155">
        <v>-0.19819999999999999</v>
      </c>
      <c r="I1589" s="154" t="s">
        <v>149</v>
      </c>
      <c r="J1589" s="204">
        <v>-8.7000000000000001E-4</v>
      </c>
      <c r="K1589" s="154" t="s">
        <v>145</v>
      </c>
      <c r="L1589" s="154" t="str">
        <f>IF(OpenLCAbasic!K1589="CTUh", "Fill in Manually",IF(OR(K1589="Unit", K1589=""), "", INDEX(LookUps!$E$5:$E$12, MATCH(OpenLCAbasic!K1589,LookUps!$D$5:$D$12,0))))</f>
        <v>Particulate Matter Formation Potential (PMFP) - kg PM2.5 eq</v>
      </c>
      <c r="M1589" s="154" t="str">
        <f t="shared" si="82"/>
        <v>Low_Base_Upgraded_Particulate Matter Formation Potential (PMFP) - kg PM2.5 eq_Anaerobic Digestion; wastewater treatment unit; at updated plant - US_Base_With Amendment_Windrow</v>
      </c>
    </row>
    <row r="1590" spans="1:13" s="120" customFormat="1" x14ac:dyDescent="0.25">
      <c r="A1590" s="119"/>
      <c r="B1590" s="138" t="str">
        <f t="shared" si="80"/>
        <v>Windrow</v>
      </c>
      <c r="C1590" s="138" t="str">
        <f t="shared" si="81"/>
        <v>Base_With Amendment</v>
      </c>
      <c r="D1590" s="118" t="s">
        <v>130</v>
      </c>
      <c r="E1590" s="118" t="s">
        <v>180</v>
      </c>
      <c r="F1590" s="118" t="s">
        <v>46</v>
      </c>
      <c r="G1590" s="153" t="s">
        <v>51</v>
      </c>
      <c r="H1590" s="154"/>
      <c r="I1590" s="154" t="s">
        <v>47</v>
      </c>
      <c r="J1590" s="154" t="s">
        <v>52</v>
      </c>
      <c r="K1590" s="154" t="s">
        <v>27</v>
      </c>
      <c r="L1590" s="154" t="str">
        <f>IF(OpenLCAbasic!K1590="CTUh", "Fill in Manually",IF(OR(K1590="Unit", K1590=""), "", INDEX(LookUps!$E$5:$E$12, MATCH(OpenLCAbasic!K1590,LookUps!$D$5:$D$12,0))))</f>
        <v/>
      </c>
      <c r="M1590" s="154" t="str">
        <f t="shared" si="82"/>
        <v>Low_Base_Upgraded__Process_Base_With Amendment_Windrow</v>
      </c>
    </row>
    <row r="1591" spans="1:13" s="120" customFormat="1" x14ac:dyDescent="0.25">
      <c r="A1591" s="119"/>
      <c r="B1591" s="138" t="str">
        <f t="shared" si="80"/>
        <v>Windrow</v>
      </c>
      <c r="C1591" s="138" t="str">
        <f t="shared" si="81"/>
        <v>Base_With Amendment</v>
      </c>
      <c r="D1591" s="118" t="s">
        <v>130</v>
      </c>
      <c r="E1591" s="118" t="s">
        <v>180</v>
      </c>
      <c r="F1591" s="118" t="s">
        <v>46</v>
      </c>
      <c r="G1591" s="153"/>
      <c r="H1591" s="155">
        <v>0.53559999999999997</v>
      </c>
      <c r="I1591" s="154" t="s">
        <v>55</v>
      </c>
      <c r="J1591" s="203">
        <v>0.16577</v>
      </c>
      <c r="K1591" s="154" t="s">
        <v>25</v>
      </c>
      <c r="L1591" s="154" t="str">
        <f>IF(OpenLCAbasic!K1591="CTUh", "Fill in Manually",IF(OR(K1591="Unit", K1591=""), "", INDEX(LookUps!$E$5:$E$12, MATCH(OpenLCAbasic!K1591,LookUps!$D$5:$D$12,0))))</f>
        <v>Smog Formation Potential (SFP) - kg O3 eq</v>
      </c>
      <c r="M1591" s="154" t="str">
        <f t="shared" si="82"/>
        <v>Low_Base_Upgraded_Smog Formation Potential (SFP) - kg O3 eq_Aeration Tanks; wastewater treatment unit; at updated plant - US_Base_With Amendment_Windrow</v>
      </c>
    </row>
    <row r="1592" spans="1:13" s="120" customFormat="1" x14ac:dyDescent="0.25">
      <c r="A1592" s="119"/>
      <c r="B1592" s="138" t="str">
        <f t="shared" si="80"/>
        <v>Windrow</v>
      </c>
      <c r="C1592" s="138" t="str">
        <f t="shared" si="81"/>
        <v>Base_With Amendment</v>
      </c>
      <c r="D1592" s="118" t="s">
        <v>130</v>
      </c>
      <c r="E1592" s="118" t="s">
        <v>180</v>
      </c>
      <c r="F1592" s="118" t="s">
        <v>46</v>
      </c>
      <c r="G1592" s="153"/>
      <c r="H1592" s="155">
        <v>0.15529999999999999</v>
      </c>
      <c r="I1592" s="154" t="s">
        <v>54</v>
      </c>
      <c r="J1592" s="203">
        <v>4.8070000000000002E-2</v>
      </c>
      <c r="K1592" s="154" t="s">
        <v>25</v>
      </c>
      <c r="L1592" s="154" t="str">
        <f>IF(OpenLCAbasic!K1592="CTUh", "Fill in Manually",IF(OR(K1592="Unit", K1592=""), "", INDEX(LookUps!$E$5:$E$12, MATCH(OpenLCAbasic!K1592,LookUps!$D$5:$D$12,0))))</f>
        <v>Smog Formation Potential (SFP) - kg O3 eq</v>
      </c>
      <c r="M1592" s="154" t="str">
        <f t="shared" si="82"/>
        <v>Low_Base_Upgraded_Smog Formation Potential (SFP) - kg O3 eq_Clear Cove Primary Clarification; wastewater treatment unit; at updated plant - US_Base_With Amendment_Windrow</v>
      </c>
    </row>
    <row r="1593" spans="1:13" s="120" customFormat="1" x14ac:dyDescent="0.25">
      <c r="A1593" s="119"/>
      <c r="B1593" s="138" t="str">
        <f t="shared" si="80"/>
        <v>Windrow</v>
      </c>
      <c r="C1593" s="138" t="str">
        <f t="shared" si="81"/>
        <v>Base_With Amendment</v>
      </c>
      <c r="D1593" s="118" t="s">
        <v>130</v>
      </c>
      <c r="E1593" s="118" t="s">
        <v>180</v>
      </c>
      <c r="F1593" s="118" t="s">
        <v>46</v>
      </c>
      <c r="G1593" s="153"/>
      <c r="H1593" s="155">
        <v>0.13500000000000001</v>
      </c>
      <c r="I1593" s="154" t="s">
        <v>58</v>
      </c>
      <c r="J1593" s="203">
        <v>4.1779999999999998E-2</v>
      </c>
      <c r="K1593" s="154" t="s">
        <v>25</v>
      </c>
      <c r="L1593" s="154" t="str">
        <f>IF(OpenLCAbasic!K1593="CTUh", "Fill in Manually",IF(OR(K1593="Unit", K1593=""), "", INDEX(LookUps!$E$5:$E$12, MATCH(OpenLCAbasic!K1593,LookUps!$D$5:$D$12,0))))</f>
        <v>Smog Formation Potential (SFP) - kg O3 eq</v>
      </c>
      <c r="M1593" s="154" t="str">
        <f t="shared" si="82"/>
        <v>Low_Base_Upgraded_Smog Formation Potential (SFP) - kg O3 eq_Pre-Anoxic &amp; Swing tank; wastewater treatment unit; at updated plant - US_Base_With Amendment_Windrow</v>
      </c>
    </row>
    <row r="1594" spans="1:13" s="120" customFormat="1" x14ac:dyDescent="0.25">
      <c r="A1594" s="119"/>
      <c r="B1594" s="138" t="str">
        <f t="shared" si="80"/>
        <v>Windrow</v>
      </c>
      <c r="C1594" s="138" t="str">
        <f t="shared" si="81"/>
        <v>Base_With Amendment</v>
      </c>
      <c r="D1594" s="118" t="s">
        <v>130</v>
      </c>
      <c r="E1594" s="118" t="s">
        <v>180</v>
      </c>
      <c r="F1594" s="118" t="s">
        <v>46</v>
      </c>
      <c r="G1594" s="153"/>
      <c r="H1594" s="155">
        <v>0.107</v>
      </c>
      <c r="I1594" s="154" t="s">
        <v>53</v>
      </c>
      <c r="J1594" s="203">
        <v>3.313E-2</v>
      </c>
      <c r="K1594" s="154" t="s">
        <v>25</v>
      </c>
      <c r="L1594" s="154" t="str">
        <f>IF(OpenLCAbasic!K1594="CTUh", "Fill in Manually",IF(OR(K1594="Unit", K1594=""), "", INDEX(LookUps!$E$5:$E$12, MATCH(OpenLCAbasic!K1594,LookUps!$D$5:$D$12,0))))</f>
        <v>Smog Formation Potential (SFP) - kg O3 eq</v>
      </c>
      <c r="M1594" s="154" t="str">
        <f t="shared" si="82"/>
        <v>Low_Base_Upgraded_Smog Formation Potential (SFP) - kg O3 eq_Wet Well and Sump Station; wastewater treatment unit; at updated plant - US_Base_With Amendment_Windrow</v>
      </c>
    </row>
    <row r="1595" spans="1:13" s="120" customFormat="1" x14ac:dyDescent="0.25">
      <c r="A1595" s="119"/>
      <c r="B1595" s="138" t="str">
        <f t="shared" si="80"/>
        <v>Windrow</v>
      </c>
      <c r="C1595" s="138" t="str">
        <f t="shared" si="81"/>
        <v>Base_With Amendment</v>
      </c>
      <c r="D1595" s="118" t="s">
        <v>130</v>
      </c>
      <c r="E1595" s="118" t="s">
        <v>180</v>
      </c>
      <c r="F1595" s="118" t="s">
        <v>46</v>
      </c>
      <c r="G1595" s="153"/>
      <c r="H1595" s="155">
        <v>9.0300000000000005E-2</v>
      </c>
      <c r="I1595" s="154" t="s">
        <v>167</v>
      </c>
      <c r="J1595" s="203">
        <v>2.7949999999999999E-2</v>
      </c>
      <c r="K1595" s="154" t="s">
        <v>25</v>
      </c>
      <c r="L1595" s="154" t="str">
        <f>IF(OpenLCAbasic!K1595="CTUh", "Fill in Manually",IF(OR(K1595="Unit", K1595=""), "", INDEX(LookUps!$E$5:$E$12, MATCH(OpenLCAbasic!K1595,LookUps!$D$5:$D$12,0))))</f>
        <v>Smog Formation Potential (SFP) - kg O3 eq</v>
      </c>
      <c r="M1595" s="154" t="str">
        <f t="shared" si="82"/>
        <v>Low_Base_Upgraded_Smog Formation Potential (SFP) - kg O3 eq_Waste Receiving and Holding; wastewater treatment unit; at updated plant - US_Base_With Amendment_Windrow</v>
      </c>
    </row>
    <row r="1596" spans="1:13" s="120" customFormat="1" x14ac:dyDescent="0.25">
      <c r="A1596" s="119"/>
      <c r="B1596" s="138" t="str">
        <f t="shared" si="80"/>
        <v>Windrow</v>
      </c>
      <c r="C1596" s="138" t="str">
        <f t="shared" si="81"/>
        <v>Base_With Amendment</v>
      </c>
      <c r="D1596" s="118" t="s">
        <v>130</v>
      </c>
      <c r="E1596" s="118" t="s">
        <v>180</v>
      </c>
      <c r="F1596" s="118" t="s">
        <v>46</v>
      </c>
      <c r="G1596" s="153"/>
      <c r="H1596" s="155">
        <v>6.2700000000000006E-2</v>
      </c>
      <c r="I1596" s="154" t="s">
        <v>147</v>
      </c>
      <c r="J1596" s="203">
        <v>1.9400000000000001E-2</v>
      </c>
      <c r="K1596" s="154" t="s">
        <v>25</v>
      </c>
      <c r="L1596" s="154" t="str">
        <f>IF(OpenLCAbasic!K1596="CTUh", "Fill in Manually",IF(OR(K1596="Unit", K1596=""), "", INDEX(LookUps!$E$5:$E$12, MATCH(OpenLCAbasic!K1596,LookUps!$D$5:$D$12,0))))</f>
        <v>Smog Formation Potential (SFP) - kg O3 eq</v>
      </c>
      <c r="M1596" s="154" t="str">
        <f t="shared" si="82"/>
        <v>Low_Base_Upgraded_Smog Formation Potential (SFP) - kg O3 eq_Influent Pump Station; wastewater treatment unit; at updated plant - US_Base_With Amendment_Windrow</v>
      </c>
    </row>
    <row r="1597" spans="1:13" s="120" customFormat="1" x14ac:dyDescent="0.25">
      <c r="A1597" s="119"/>
      <c r="B1597" s="138" t="str">
        <f t="shared" si="80"/>
        <v>Windrow</v>
      </c>
      <c r="C1597" s="138" t="str">
        <f t="shared" si="81"/>
        <v>Base_With Amendment</v>
      </c>
      <c r="D1597" s="118" t="s">
        <v>130</v>
      </c>
      <c r="E1597" s="118" t="s">
        <v>180</v>
      </c>
      <c r="F1597" s="118" t="s">
        <v>46</v>
      </c>
      <c r="G1597" s="153"/>
      <c r="H1597" s="155">
        <v>3.85E-2</v>
      </c>
      <c r="I1597" s="154" t="s">
        <v>128</v>
      </c>
      <c r="J1597" s="204">
        <v>1.192E-2</v>
      </c>
      <c r="K1597" s="154" t="s">
        <v>25</v>
      </c>
      <c r="L1597" s="154" t="str">
        <f>IF(OpenLCAbasic!K1597="CTUh", "Fill in Manually",IF(OR(K1597="Unit", K1597=""), "", INDEX(LookUps!$E$5:$E$12, MATCH(OpenLCAbasic!K1597,LookUps!$D$5:$D$12,0))))</f>
        <v>Smog Formation Potential (SFP) - kg O3 eq</v>
      </c>
      <c r="M1597" s="154" t="str">
        <f t="shared" si="82"/>
        <v>Low_Base_Upgraded_Smog Formation Potential (SFP) - kg O3 eq_Wastewater collection; operation and infrastructure; m3 wastewater_Base_With Amendment_Windrow</v>
      </c>
    </row>
    <row r="1598" spans="1:13" s="120" customFormat="1" x14ac:dyDescent="0.25">
      <c r="A1598" s="119"/>
      <c r="B1598" s="138" t="str">
        <f t="shared" si="80"/>
        <v>Windrow</v>
      </c>
      <c r="C1598" s="138" t="str">
        <f t="shared" si="81"/>
        <v>Base_With Amendment</v>
      </c>
      <c r="D1598" s="118" t="s">
        <v>130</v>
      </c>
      <c r="E1598" s="118" t="s">
        <v>180</v>
      </c>
      <c r="F1598" s="118" t="s">
        <v>46</v>
      </c>
      <c r="G1598" s="153"/>
      <c r="H1598" s="155">
        <v>2.3699999999999999E-2</v>
      </c>
      <c r="I1598" s="154" t="s">
        <v>60</v>
      </c>
      <c r="J1598" s="204">
        <v>7.3499999999999998E-3</v>
      </c>
      <c r="K1598" s="154" t="s">
        <v>25</v>
      </c>
      <c r="L1598" s="154" t="str">
        <f>IF(OpenLCAbasic!K1598="CTUh", "Fill in Manually",IF(OR(K1598="Unit", K1598=""), "", INDEX(LookUps!$E$5:$E$12, MATCH(OpenLCAbasic!K1598,LookUps!$D$5:$D$12,0))))</f>
        <v>Smog Formation Potential (SFP) - kg O3 eq</v>
      </c>
      <c r="M1598" s="154" t="str">
        <f t="shared" si="82"/>
        <v>Low_Base_Upgraded_Smog Formation Potential (SFP) - kg O3 eq_Belt filter press; wastewater treatment unit; at updated plant - US_Base_With Amendment_Windrow</v>
      </c>
    </row>
    <row r="1599" spans="1:13" s="120" customFormat="1" x14ac:dyDescent="0.25">
      <c r="A1599" s="119"/>
      <c r="B1599" s="138" t="str">
        <f t="shared" si="80"/>
        <v>Windrow</v>
      </c>
      <c r="C1599" s="138" t="str">
        <f t="shared" si="81"/>
        <v>Base_With Amendment</v>
      </c>
      <c r="D1599" s="118" t="s">
        <v>130</v>
      </c>
      <c r="E1599" s="118" t="s">
        <v>180</v>
      </c>
      <c r="F1599" s="118" t="s">
        <v>46</v>
      </c>
      <c r="G1599" s="153"/>
      <c r="H1599" s="155">
        <v>2.1499999999999998E-2</v>
      </c>
      <c r="I1599" s="154" t="s">
        <v>57</v>
      </c>
      <c r="J1599" s="204">
        <v>6.6499999999999997E-3</v>
      </c>
      <c r="K1599" s="154" t="s">
        <v>25</v>
      </c>
      <c r="L1599" s="154" t="str">
        <f>IF(OpenLCAbasic!K1599="CTUh", "Fill in Manually",IF(OR(K1599="Unit", K1599=""), "", INDEX(LookUps!$E$5:$E$12, MATCH(OpenLCAbasic!K1599,LookUps!$D$5:$D$12,0))))</f>
        <v>Smog Formation Potential (SFP) - kg O3 eq</v>
      </c>
      <c r="M1599" s="154" t="str">
        <f t="shared" si="82"/>
        <v>Low_Base_Upgraded_Smog Formation Potential (SFP) - kg O3 eq_Gravity Belt Thickener; wastewater treatment unit; at updated plant - US_Base_With Amendment_Windrow</v>
      </c>
    </row>
    <row r="1600" spans="1:13" s="120" customFormat="1" x14ac:dyDescent="0.25">
      <c r="A1600" s="119"/>
      <c r="B1600" s="138" t="str">
        <f t="shared" si="80"/>
        <v>Windrow</v>
      </c>
      <c r="C1600" s="138" t="str">
        <f t="shared" si="81"/>
        <v>Base_With Amendment</v>
      </c>
      <c r="D1600" s="118" t="s">
        <v>130</v>
      </c>
      <c r="E1600" s="118" t="s">
        <v>180</v>
      </c>
      <c r="F1600" s="118" t="s">
        <v>46</v>
      </c>
      <c r="G1600" s="153"/>
      <c r="H1600" s="155">
        <v>1.61E-2</v>
      </c>
      <c r="I1600" s="154" t="s">
        <v>59</v>
      </c>
      <c r="J1600" s="204">
        <v>4.9699999999999996E-3</v>
      </c>
      <c r="K1600" s="154" t="s">
        <v>25</v>
      </c>
      <c r="L1600" s="154" t="str">
        <f>IF(OpenLCAbasic!K1600="CTUh", "Fill in Manually",IF(OR(K1600="Unit", K1600=""), "", INDEX(LookUps!$E$5:$E$12, MATCH(OpenLCAbasic!K1600,LookUps!$D$5:$D$12,0))))</f>
        <v>Smog Formation Potential (SFP) - kg O3 eq</v>
      </c>
      <c r="M1600" s="154" t="str">
        <f t="shared" si="82"/>
        <v>Low_Base_Upgraded_Smog Formation Potential (SFP) - kg O3 eq_Blend Tank; wastewater treatment unit; at updated plant - US_Base_With Amendment_Windrow</v>
      </c>
    </row>
    <row r="1601" spans="1:13" s="120" customFormat="1" x14ac:dyDescent="0.25">
      <c r="A1601" s="119"/>
      <c r="B1601" s="138" t="str">
        <f t="shared" si="80"/>
        <v>Windrow</v>
      </c>
      <c r="C1601" s="138" t="str">
        <f t="shared" si="81"/>
        <v>Base_With Amendment</v>
      </c>
      <c r="D1601" s="118" t="s">
        <v>130</v>
      </c>
      <c r="E1601" s="118" t="s">
        <v>180</v>
      </c>
      <c r="F1601" s="118" t="s">
        <v>46</v>
      </c>
      <c r="G1601" s="153"/>
      <c r="H1601" s="155">
        <v>1.09E-2</v>
      </c>
      <c r="I1601" s="154" t="s">
        <v>48</v>
      </c>
      <c r="J1601" s="204">
        <v>3.3899999999999998E-3</v>
      </c>
      <c r="K1601" s="154" t="s">
        <v>25</v>
      </c>
      <c r="L1601" s="154" t="str">
        <f>IF(OpenLCAbasic!K1601="CTUh", "Fill in Manually",IF(OR(K1601="Unit", K1601=""), "", INDEX(LookUps!$E$5:$E$12, MATCH(OpenLCAbasic!K1601,LookUps!$D$5:$D$12,0))))</f>
        <v>Smog Formation Potential (SFP) - kg O3 eq</v>
      </c>
      <c r="M1601" s="154" t="str">
        <f t="shared" si="82"/>
        <v>Low_Base_Upgraded_Smog Formation Potential (SFP) - kg O3 eq_Effluent release; wastewater treatment unit; at surface water; m3 wastewater - US_Base_With Amendment_Windrow</v>
      </c>
    </row>
    <row r="1602" spans="1:13" s="120" customFormat="1" x14ac:dyDescent="0.25">
      <c r="A1602" s="119"/>
      <c r="B1602" s="138" t="str">
        <f t="shared" si="80"/>
        <v>Windrow</v>
      </c>
      <c r="C1602" s="138" t="str">
        <f t="shared" si="81"/>
        <v>Base_With Amendment</v>
      </c>
      <c r="D1602" s="118" t="s">
        <v>130</v>
      </c>
      <c r="E1602" s="118" t="s">
        <v>180</v>
      </c>
      <c r="F1602" s="118" t="s">
        <v>46</v>
      </c>
      <c r="G1602" s="153"/>
      <c r="H1602" s="155">
        <v>7.9000000000000008E-3</v>
      </c>
      <c r="I1602" s="154" t="s">
        <v>168</v>
      </c>
      <c r="J1602" s="204">
        <v>2.4599999999999999E-3</v>
      </c>
      <c r="K1602" s="154" t="s">
        <v>25</v>
      </c>
      <c r="L1602" s="154" t="str">
        <f>IF(OpenLCAbasic!K1602="CTUh", "Fill in Manually",IF(OR(K1602="Unit", K1602=""), "", INDEX(LookUps!$E$5:$E$12, MATCH(OpenLCAbasic!K1602,LookUps!$D$5:$D$12,0))))</f>
        <v>Smog Formation Potential (SFP) - kg O3 eq</v>
      </c>
      <c r="M1602" s="154" t="str">
        <f t="shared" si="82"/>
        <v>Low_Base_Upgraded_Smog Formation Potential (SFP) - kg O3 eq_ClearCove SCP; wastewater treatment unit; at updated plant - US_Base_With Amendment_Windrow</v>
      </c>
    </row>
    <row r="1603" spans="1:13" s="120" customFormat="1" x14ac:dyDescent="0.25">
      <c r="A1603" s="119"/>
      <c r="B1603" s="138" t="str">
        <f t="shared" si="80"/>
        <v>Windrow</v>
      </c>
      <c r="C1603" s="138" t="str">
        <f t="shared" si="81"/>
        <v>Base_With Amendment</v>
      </c>
      <c r="D1603" s="118" t="s">
        <v>130</v>
      </c>
      <c r="E1603" s="118" t="s">
        <v>180</v>
      </c>
      <c r="F1603" s="118" t="s">
        <v>46</v>
      </c>
      <c r="G1603" s="153"/>
      <c r="H1603" s="155">
        <v>3.0999999999999999E-3</v>
      </c>
      <c r="I1603" s="154" t="s">
        <v>271</v>
      </c>
      <c r="J1603" s="204">
        <v>9.7000000000000005E-4</v>
      </c>
      <c r="K1603" s="154" t="s">
        <v>25</v>
      </c>
      <c r="L1603" s="154" t="str">
        <f>IF(OpenLCAbasic!K1603="CTUh", "Fill in Manually",IF(OR(K1603="Unit", K1603=""), "", INDEX(LookUps!$E$5:$E$12, MATCH(OpenLCAbasic!K1603,LookUps!$D$5:$D$12,0))))</f>
        <v>Smog Formation Potential (SFP) - kg O3 eq</v>
      </c>
      <c r="M1603" s="154" t="str">
        <f t="shared" si="82"/>
        <v>Low_Base_Upgraded_Smog Formation Potential (SFP) - kg O3 eq_Biosolids composting; windrow composting; wastewater treatment unit; at updated plant - US_Base_With Amendment_Windrow</v>
      </c>
    </row>
    <row r="1604" spans="1:13" s="120" customFormat="1" x14ac:dyDescent="0.25">
      <c r="A1604" s="119"/>
      <c r="B1604" s="138" t="str">
        <f t="shared" si="80"/>
        <v>Windrow</v>
      </c>
      <c r="C1604" s="138" t="str">
        <f t="shared" si="81"/>
        <v>Base_With Amendment</v>
      </c>
      <c r="D1604" s="118" t="s">
        <v>130</v>
      </c>
      <c r="E1604" s="118" t="s">
        <v>180</v>
      </c>
      <c r="F1604" s="118" t="s">
        <v>46</v>
      </c>
      <c r="G1604" s="153"/>
      <c r="H1604" s="155">
        <v>1.6999999999999999E-3</v>
      </c>
      <c r="I1604" s="154" t="s">
        <v>148</v>
      </c>
      <c r="J1604" s="204">
        <v>5.4000000000000001E-4</v>
      </c>
      <c r="K1604" s="154" t="s">
        <v>25</v>
      </c>
      <c r="L1604" s="154" t="str">
        <f>IF(OpenLCAbasic!K1604="CTUh", "Fill in Manually",IF(OR(K1604="Unit", K1604=""), "", INDEX(LookUps!$E$5:$E$12, MATCH(OpenLCAbasic!K1604,LookUps!$D$5:$D$12,0))))</f>
        <v>Smog Formation Potential (SFP) - kg O3 eq</v>
      </c>
      <c r="M1604" s="154" t="str">
        <f t="shared" si="82"/>
        <v>Low_Base_Upgraded_Smog Formation Potential (SFP) - kg O3 eq_Control Building; at upgraded wastewater treatment plant - US_Base_With Amendment_Windrow</v>
      </c>
    </row>
    <row r="1605" spans="1:13" s="120" customFormat="1" x14ac:dyDescent="0.25">
      <c r="A1605" s="119"/>
      <c r="B1605" s="138" t="str">
        <f t="shared" si="80"/>
        <v>Windrow</v>
      </c>
      <c r="C1605" s="138" t="str">
        <f t="shared" si="81"/>
        <v>Base_With Amendment</v>
      </c>
      <c r="D1605" s="118" t="s">
        <v>130</v>
      </c>
      <c r="E1605" s="118" t="s">
        <v>180</v>
      </c>
      <c r="F1605" s="118" t="s">
        <v>46</v>
      </c>
      <c r="G1605" s="153"/>
      <c r="H1605" s="155">
        <v>-9.2999999999999992E-3</v>
      </c>
      <c r="I1605" s="154" t="s">
        <v>62</v>
      </c>
      <c r="J1605" s="204">
        <v>-2.8800000000000002E-3</v>
      </c>
      <c r="K1605" s="154" t="s">
        <v>25</v>
      </c>
      <c r="L1605" s="154" t="str">
        <f>IF(OpenLCAbasic!K1605="CTUh", "Fill in Manually",IF(OR(K1605="Unit", K1605=""), "", INDEX(LookUps!$E$5:$E$12, MATCH(OpenLCAbasic!K1605,LookUps!$D$5:$D$12,0))))</f>
        <v>Smog Formation Potential (SFP) - kg O3 eq</v>
      </c>
      <c r="M1605" s="154" t="str">
        <f t="shared" si="82"/>
        <v>Low_Base_Upgraded_Smog Formation Potential (SFP) - kg O3 eq_Land application of compost; wastewater treatment unit; at updated plant - US_Base_With Amendment_Windrow</v>
      </c>
    </row>
    <row r="1606" spans="1:13" s="120" customFormat="1" x14ac:dyDescent="0.25">
      <c r="A1606" s="119"/>
      <c r="B1606" s="138" t="str">
        <f t="shared" ref="B1606:B1669" si="83">IF(F1606="Legacy","n.a.",IF(F1606="","","Windrow"))</f>
        <v>Windrow</v>
      </c>
      <c r="C1606" s="138" t="str">
        <f t="shared" si="81"/>
        <v>Base_With Amendment</v>
      </c>
      <c r="D1606" s="118" t="s">
        <v>130</v>
      </c>
      <c r="E1606" s="118" t="s">
        <v>180</v>
      </c>
      <c r="F1606" s="118" t="s">
        <v>46</v>
      </c>
      <c r="G1606" s="153"/>
      <c r="H1606" s="155">
        <v>-0.2001</v>
      </c>
      <c r="I1606" s="154" t="s">
        <v>149</v>
      </c>
      <c r="J1606" s="203">
        <v>-6.1940000000000002E-2</v>
      </c>
      <c r="K1606" s="154" t="s">
        <v>25</v>
      </c>
      <c r="L1606" s="154" t="str">
        <f>IF(OpenLCAbasic!K1606="CTUh", "Fill in Manually",IF(OR(K1606="Unit", K1606=""), "", INDEX(LookUps!$E$5:$E$12, MATCH(OpenLCAbasic!K1606,LookUps!$D$5:$D$12,0))))</f>
        <v>Smog Formation Potential (SFP) - kg O3 eq</v>
      </c>
      <c r="M1606" s="154" t="str">
        <f t="shared" si="82"/>
        <v>Low_Base_Upgraded_Smog Formation Potential (SFP) - kg O3 eq_Anaerobic Digestion; wastewater treatment unit; at updated plant - US_Base_With Amendment_Windrow</v>
      </c>
    </row>
    <row r="1607" spans="1:13" s="120" customFormat="1" x14ac:dyDescent="0.25">
      <c r="A1607" s="119"/>
      <c r="B1607" s="138" t="str">
        <f t="shared" si="83"/>
        <v>Windrow</v>
      </c>
      <c r="C1607" s="138" t="str">
        <f t="shared" ref="C1607:C1670" si="84">IF(E1607&lt;&gt;"", "Base_With Amendment","")</f>
        <v>Base_With Amendment</v>
      </c>
      <c r="D1607" s="118" t="s">
        <v>130</v>
      </c>
      <c r="E1607" s="118" t="s">
        <v>180</v>
      </c>
      <c r="F1607" s="118" t="s">
        <v>46</v>
      </c>
      <c r="G1607" s="153" t="s">
        <v>51</v>
      </c>
      <c r="H1607" s="154"/>
      <c r="I1607" s="154" t="s">
        <v>47</v>
      </c>
      <c r="J1607" s="154" t="s">
        <v>52</v>
      </c>
      <c r="K1607" s="154" t="s">
        <v>27</v>
      </c>
      <c r="L1607" s="154" t="str">
        <f>IF(OpenLCAbasic!K1607="CTUh", "Fill in Manually",IF(OR(K1607="Unit", K1607=""), "", INDEX(LookUps!$E$5:$E$12, MATCH(OpenLCAbasic!K1607,LookUps!$D$5:$D$12,0))))</f>
        <v/>
      </c>
      <c r="M1607" s="154" t="str">
        <f t="shared" ref="M1607:M1670" si="85">CONCATENATE(E1607,"_",D1607,"_",F1607,"_",L1607, "_",I1607,"_", C1607,"_", B1607)</f>
        <v>Low_Base_Upgraded__Process_Base_With Amendment_Windrow</v>
      </c>
    </row>
    <row r="1608" spans="1:13" s="120" customFormat="1" x14ac:dyDescent="0.25">
      <c r="A1608" s="119"/>
      <c r="B1608" s="138" t="str">
        <f t="shared" si="83"/>
        <v>Windrow</v>
      </c>
      <c r="C1608" s="138" t="str">
        <f t="shared" si="84"/>
        <v>Base_With Amendment</v>
      </c>
      <c r="D1608" s="118" t="s">
        <v>130</v>
      </c>
      <c r="E1608" s="118" t="s">
        <v>180</v>
      </c>
      <c r="F1608" s="118" t="s">
        <v>46</v>
      </c>
      <c r="G1608" s="153"/>
      <c r="H1608" s="155">
        <v>5.6287000000000003</v>
      </c>
      <c r="I1608" s="154" t="s">
        <v>167</v>
      </c>
      <c r="J1608" s="204">
        <v>2.3000000000000001E-4</v>
      </c>
      <c r="K1608" s="154" t="s">
        <v>26</v>
      </c>
      <c r="L1608" s="154" t="str">
        <f>IF(OpenLCAbasic!K1608="CTUh", "Fill in Manually",IF(OR(K1608="Unit", K1608=""), "", INDEX(LookUps!$E$5:$E$12, MATCH(OpenLCAbasic!K1608,LookUps!$D$5:$D$12,0))))</f>
        <v>Water Use (WU) - m3 H2O</v>
      </c>
      <c r="M1608" s="154" t="str">
        <f t="shared" si="85"/>
        <v>Low_Base_Upgraded_Water Use (WU) - m3 H2O_Waste Receiving and Holding; wastewater treatment unit; at updated plant - US_Base_With Amendment_Windrow</v>
      </c>
    </row>
    <row r="1609" spans="1:13" s="120" customFormat="1" x14ac:dyDescent="0.25">
      <c r="A1609" s="119"/>
      <c r="B1609" s="138" t="str">
        <f t="shared" si="83"/>
        <v>Windrow</v>
      </c>
      <c r="C1609" s="138" t="str">
        <f t="shared" si="84"/>
        <v>Base_With Amendment</v>
      </c>
      <c r="D1609" s="118" t="s">
        <v>130</v>
      </c>
      <c r="E1609" s="118" t="s">
        <v>180</v>
      </c>
      <c r="F1609" s="118" t="s">
        <v>46</v>
      </c>
      <c r="G1609" s="153"/>
      <c r="H1609" s="155">
        <v>4.4539</v>
      </c>
      <c r="I1609" s="154" t="s">
        <v>147</v>
      </c>
      <c r="J1609" s="204">
        <v>1.8000000000000001E-4</v>
      </c>
      <c r="K1609" s="154" t="s">
        <v>26</v>
      </c>
      <c r="L1609" s="154" t="str">
        <f>IF(OpenLCAbasic!K1609="CTUh", "Fill in Manually",IF(OR(K1609="Unit", K1609=""), "", INDEX(LookUps!$E$5:$E$12, MATCH(OpenLCAbasic!K1609,LookUps!$D$5:$D$12,0))))</f>
        <v>Water Use (WU) - m3 H2O</v>
      </c>
      <c r="M1609" s="154" t="str">
        <f t="shared" si="85"/>
        <v>Low_Base_Upgraded_Water Use (WU) - m3 H2O_Influent Pump Station; wastewater treatment unit; at updated plant - US_Base_With Amendment_Windrow</v>
      </c>
    </row>
    <row r="1610" spans="1:13" s="120" customFormat="1" x14ac:dyDescent="0.25">
      <c r="A1610" s="119"/>
      <c r="B1610" s="138" t="str">
        <f t="shared" si="83"/>
        <v>Windrow</v>
      </c>
      <c r="C1610" s="138" t="str">
        <f t="shared" si="84"/>
        <v>Base_With Amendment</v>
      </c>
      <c r="D1610" s="118" t="s">
        <v>130</v>
      </c>
      <c r="E1610" s="118" t="s">
        <v>180</v>
      </c>
      <c r="F1610" s="118" t="s">
        <v>46</v>
      </c>
      <c r="G1610" s="153"/>
      <c r="H1610" s="155">
        <v>4.3456999999999999</v>
      </c>
      <c r="I1610" s="154" t="s">
        <v>54</v>
      </c>
      <c r="J1610" s="204">
        <v>1.8000000000000001E-4</v>
      </c>
      <c r="K1610" s="154" t="s">
        <v>26</v>
      </c>
      <c r="L1610" s="154" t="str">
        <f>IF(OpenLCAbasic!K1610="CTUh", "Fill in Manually",IF(OR(K1610="Unit", K1610=""), "", INDEX(LookUps!$E$5:$E$12, MATCH(OpenLCAbasic!K1610,LookUps!$D$5:$D$12,0))))</f>
        <v>Water Use (WU) - m3 H2O</v>
      </c>
      <c r="M1610" s="154" t="str">
        <f t="shared" si="85"/>
        <v>Low_Base_Upgraded_Water Use (WU) - m3 H2O_Clear Cove Primary Clarification; wastewater treatment unit; at updated plant - US_Base_With Amendment_Windrow</v>
      </c>
    </row>
    <row r="1611" spans="1:13" s="120" customFormat="1" x14ac:dyDescent="0.25">
      <c r="A1611" s="119"/>
      <c r="B1611" s="138" t="str">
        <f t="shared" si="83"/>
        <v>Windrow</v>
      </c>
      <c r="C1611" s="138" t="str">
        <f t="shared" si="84"/>
        <v>Base_With Amendment</v>
      </c>
      <c r="D1611" s="118" t="s">
        <v>130</v>
      </c>
      <c r="E1611" s="118" t="s">
        <v>180</v>
      </c>
      <c r="F1611" s="118" t="s">
        <v>46</v>
      </c>
      <c r="G1611" s="153"/>
      <c r="H1611" s="155">
        <v>3.9422999999999999</v>
      </c>
      <c r="I1611" s="154" t="s">
        <v>55</v>
      </c>
      <c r="J1611" s="204">
        <v>1.6000000000000001E-4</v>
      </c>
      <c r="K1611" s="154" t="s">
        <v>26</v>
      </c>
      <c r="L1611" s="154" t="str">
        <f>IF(OpenLCAbasic!K1611="CTUh", "Fill in Manually",IF(OR(K1611="Unit", K1611=""), "", INDEX(LookUps!$E$5:$E$12, MATCH(OpenLCAbasic!K1611,LookUps!$D$5:$D$12,0))))</f>
        <v>Water Use (WU) - m3 H2O</v>
      </c>
      <c r="M1611" s="154" t="str">
        <f t="shared" si="85"/>
        <v>Low_Base_Upgraded_Water Use (WU) - m3 H2O_Aeration Tanks; wastewater treatment unit; at updated plant - US_Base_With Amendment_Windrow</v>
      </c>
    </row>
    <row r="1612" spans="1:13" s="120" customFormat="1" x14ac:dyDescent="0.25">
      <c r="A1612" s="119"/>
      <c r="B1612" s="138" t="str">
        <f t="shared" si="83"/>
        <v>Windrow</v>
      </c>
      <c r="C1612" s="138" t="str">
        <f t="shared" si="84"/>
        <v>Base_With Amendment</v>
      </c>
      <c r="D1612" s="118" t="s">
        <v>130</v>
      </c>
      <c r="E1612" s="118" t="s">
        <v>180</v>
      </c>
      <c r="F1612" s="118" t="s">
        <v>46</v>
      </c>
      <c r="G1612" s="153"/>
      <c r="H1612" s="155">
        <v>3.5911</v>
      </c>
      <c r="I1612" s="154" t="s">
        <v>148</v>
      </c>
      <c r="J1612" s="204">
        <v>1.4999999999999999E-4</v>
      </c>
      <c r="K1612" s="154" t="s">
        <v>26</v>
      </c>
      <c r="L1612" s="154" t="str">
        <f>IF(OpenLCAbasic!K1612="CTUh", "Fill in Manually",IF(OR(K1612="Unit", K1612=""), "", INDEX(LookUps!$E$5:$E$12, MATCH(OpenLCAbasic!K1612,LookUps!$D$5:$D$12,0))))</f>
        <v>Water Use (WU) - m3 H2O</v>
      </c>
      <c r="M1612" s="154" t="str">
        <f t="shared" si="85"/>
        <v>Low_Base_Upgraded_Water Use (WU) - m3 H2O_Control Building; at upgraded wastewater treatment plant - US_Base_With Amendment_Windrow</v>
      </c>
    </row>
    <row r="1613" spans="1:13" s="120" customFormat="1" x14ac:dyDescent="0.25">
      <c r="A1613" s="119"/>
      <c r="B1613" s="138" t="str">
        <f t="shared" si="83"/>
        <v>Windrow</v>
      </c>
      <c r="C1613" s="138" t="str">
        <f t="shared" si="84"/>
        <v>Base_With Amendment</v>
      </c>
      <c r="D1613" s="118" t="s">
        <v>130</v>
      </c>
      <c r="E1613" s="118" t="s">
        <v>180</v>
      </c>
      <c r="F1613" s="118" t="s">
        <v>46</v>
      </c>
      <c r="G1613" s="153"/>
      <c r="H1613" s="155">
        <v>1.6676</v>
      </c>
      <c r="I1613" s="154" t="s">
        <v>48</v>
      </c>
      <c r="J1613" s="204">
        <v>6.8836400000000004E-5</v>
      </c>
      <c r="K1613" s="154" t="s">
        <v>26</v>
      </c>
      <c r="L1613" s="154" t="str">
        <f>IF(OpenLCAbasic!K1613="CTUh", "Fill in Manually",IF(OR(K1613="Unit", K1613=""), "", INDEX(LookUps!$E$5:$E$12, MATCH(OpenLCAbasic!K1613,LookUps!$D$5:$D$12,0))))</f>
        <v>Water Use (WU) - m3 H2O</v>
      </c>
      <c r="M1613" s="154" t="str">
        <f t="shared" si="85"/>
        <v>Low_Base_Upgraded_Water Use (WU) - m3 H2O_Effluent release; wastewater treatment unit; at surface water; m3 wastewater - US_Base_With Amendment_Windrow</v>
      </c>
    </row>
    <row r="1614" spans="1:13" s="120" customFormat="1" x14ac:dyDescent="0.25">
      <c r="A1614" s="119"/>
      <c r="B1614" s="138" t="str">
        <f t="shared" si="83"/>
        <v>Windrow</v>
      </c>
      <c r="C1614" s="138" t="str">
        <f t="shared" si="84"/>
        <v>Base_With Amendment</v>
      </c>
      <c r="D1614" s="118" t="s">
        <v>130</v>
      </c>
      <c r="E1614" s="118" t="s">
        <v>180</v>
      </c>
      <c r="F1614" s="118" t="s">
        <v>46</v>
      </c>
      <c r="G1614" s="153"/>
      <c r="H1614" s="155">
        <v>1.0464</v>
      </c>
      <c r="I1614" s="154" t="s">
        <v>58</v>
      </c>
      <c r="J1614" s="204">
        <v>4.3192100000000003E-5</v>
      </c>
      <c r="K1614" s="154" t="s">
        <v>26</v>
      </c>
      <c r="L1614" s="154" t="str">
        <f>IF(OpenLCAbasic!K1614="CTUh", "Fill in Manually",IF(OR(K1614="Unit", K1614=""), "", INDEX(LookUps!$E$5:$E$12, MATCH(OpenLCAbasic!K1614,LookUps!$D$5:$D$12,0))))</f>
        <v>Water Use (WU) - m3 H2O</v>
      </c>
      <c r="M1614" s="154" t="str">
        <f t="shared" si="85"/>
        <v>Low_Base_Upgraded_Water Use (WU) - m3 H2O_Pre-Anoxic &amp; Swing tank; wastewater treatment unit; at updated plant - US_Base_With Amendment_Windrow</v>
      </c>
    </row>
    <row r="1615" spans="1:13" s="120" customFormat="1" x14ac:dyDescent="0.25">
      <c r="A1615" s="119"/>
      <c r="B1615" s="138" t="str">
        <f t="shared" si="83"/>
        <v>Windrow</v>
      </c>
      <c r="C1615" s="138" t="str">
        <f t="shared" si="84"/>
        <v>Base_With Amendment</v>
      </c>
      <c r="D1615" s="118" t="s">
        <v>130</v>
      </c>
      <c r="E1615" s="118" t="s">
        <v>180</v>
      </c>
      <c r="F1615" s="118" t="s">
        <v>46</v>
      </c>
      <c r="G1615" s="153"/>
      <c r="H1615" s="155">
        <v>0.73670000000000002</v>
      </c>
      <c r="I1615" s="154" t="s">
        <v>57</v>
      </c>
      <c r="J1615" s="204">
        <v>3.0408100000000001E-5</v>
      </c>
      <c r="K1615" s="154" t="s">
        <v>26</v>
      </c>
      <c r="L1615" s="154" t="str">
        <f>IF(OpenLCAbasic!K1615="CTUh", "Fill in Manually",IF(OR(K1615="Unit", K1615=""), "", INDEX(LookUps!$E$5:$E$12, MATCH(OpenLCAbasic!K1615,LookUps!$D$5:$D$12,0))))</f>
        <v>Water Use (WU) - m3 H2O</v>
      </c>
      <c r="M1615" s="154" t="str">
        <f t="shared" si="85"/>
        <v>Low_Base_Upgraded_Water Use (WU) - m3 H2O_Gravity Belt Thickener; wastewater treatment unit; at updated plant - US_Base_With Amendment_Windrow</v>
      </c>
    </row>
    <row r="1616" spans="1:13" s="120" customFormat="1" x14ac:dyDescent="0.25">
      <c r="A1616" s="119"/>
      <c r="B1616" s="138" t="str">
        <f t="shared" si="83"/>
        <v>Windrow</v>
      </c>
      <c r="C1616" s="138" t="str">
        <f t="shared" si="84"/>
        <v>Base_With Amendment</v>
      </c>
      <c r="D1616" s="118" t="s">
        <v>130</v>
      </c>
      <c r="E1616" s="118" t="s">
        <v>180</v>
      </c>
      <c r="F1616" s="118" t="s">
        <v>46</v>
      </c>
      <c r="G1616" s="153"/>
      <c r="H1616" s="155">
        <v>0.53149999999999997</v>
      </c>
      <c r="I1616" s="154" t="s">
        <v>60</v>
      </c>
      <c r="J1616" s="204">
        <v>2.1941099999999999E-5</v>
      </c>
      <c r="K1616" s="154" t="s">
        <v>26</v>
      </c>
      <c r="L1616" s="154" t="str">
        <f>IF(OpenLCAbasic!K1616="CTUh", "Fill in Manually",IF(OR(K1616="Unit", K1616=""), "", INDEX(LookUps!$E$5:$E$12, MATCH(OpenLCAbasic!K1616,LookUps!$D$5:$D$12,0))))</f>
        <v>Water Use (WU) - m3 H2O</v>
      </c>
      <c r="M1616" s="154" t="str">
        <f t="shared" si="85"/>
        <v>Low_Base_Upgraded_Water Use (WU) - m3 H2O_Belt filter press; wastewater treatment unit; at updated plant - US_Base_With Amendment_Windrow</v>
      </c>
    </row>
    <row r="1617" spans="1:13" s="120" customFormat="1" x14ac:dyDescent="0.25">
      <c r="A1617" s="119"/>
      <c r="B1617" s="138" t="str">
        <f t="shared" si="83"/>
        <v>Windrow</v>
      </c>
      <c r="C1617" s="138" t="str">
        <f t="shared" si="84"/>
        <v>Base_With Amendment</v>
      </c>
      <c r="D1617" s="118" t="s">
        <v>130</v>
      </c>
      <c r="E1617" s="118" t="s">
        <v>180</v>
      </c>
      <c r="F1617" s="118" t="s">
        <v>46</v>
      </c>
      <c r="G1617" s="153"/>
      <c r="H1617" s="155">
        <v>0.42409999999999998</v>
      </c>
      <c r="I1617" s="154" t="s">
        <v>53</v>
      </c>
      <c r="J1617" s="204">
        <v>1.75069E-5</v>
      </c>
      <c r="K1617" s="154" t="s">
        <v>26</v>
      </c>
      <c r="L1617" s="154" t="str">
        <f>IF(OpenLCAbasic!K1617="CTUh", "Fill in Manually",IF(OR(K1617="Unit", K1617=""), "", INDEX(LookUps!$E$5:$E$12, MATCH(OpenLCAbasic!K1617,LookUps!$D$5:$D$12,0))))</f>
        <v>Water Use (WU) - m3 H2O</v>
      </c>
      <c r="M1617" s="154" t="str">
        <f t="shared" si="85"/>
        <v>Low_Base_Upgraded_Water Use (WU) - m3 H2O_Wet Well and Sump Station; wastewater treatment unit; at updated plant - US_Base_With Amendment_Windrow</v>
      </c>
    </row>
    <row r="1618" spans="1:13" s="120" customFormat="1" x14ac:dyDescent="0.25">
      <c r="A1618" s="119"/>
      <c r="B1618" s="138" t="str">
        <f t="shared" si="83"/>
        <v>Windrow</v>
      </c>
      <c r="C1618" s="138" t="str">
        <f t="shared" si="84"/>
        <v>Base_With Amendment</v>
      </c>
      <c r="D1618" s="118" t="s">
        <v>130</v>
      </c>
      <c r="E1618" s="118" t="s">
        <v>180</v>
      </c>
      <c r="F1618" s="118" t="s">
        <v>46</v>
      </c>
      <c r="G1618" s="153"/>
      <c r="H1618" s="155">
        <v>0.29320000000000002</v>
      </c>
      <c r="I1618" s="154" t="s">
        <v>149</v>
      </c>
      <c r="J1618" s="204">
        <v>1.21043E-5</v>
      </c>
      <c r="K1618" s="154" t="s">
        <v>26</v>
      </c>
      <c r="L1618" s="154" t="str">
        <f>IF(OpenLCAbasic!K1618="CTUh", "Fill in Manually",IF(OR(K1618="Unit", K1618=""), "", INDEX(LookUps!$E$5:$E$12, MATCH(OpenLCAbasic!K1618,LookUps!$D$5:$D$12,0))))</f>
        <v>Water Use (WU) - m3 H2O</v>
      </c>
      <c r="M1618" s="154" t="str">
        <f t="shared" si="85"/>
        <v>Low_Base_Upgraded_Water Use (WU) - m3 H2O_Anaerobic Digestion; wastewater treatment unit; at updated plant - US_Base_With Amendment_Windrow</v>
      </c>
    </row>
    <row r="1619" spans="1:13" s="120" customFormat="1" x14ac:dyDescent="0.25">
      <c r="A1619" s="119"/>
      <c r="B1619" s="138" t="str">
        <f t="shared" si="83"/>
        <v>Windrow</v>
      </c>
      <c r="C1619" s="138" t="str">
        <f t="shared" si="84"/>
        <v>Base_With Amendment</v>
      </c>
      <c r="D1619" s="118" t="s">
        <v>130</v>
      </c>
      <c r="E1619" s="118" t="s">
        <v>180</v>
      </c>
      <c r="F1619" s="118" t="s">
        <v>46</v>
      </c>
      <c r="G1619" s="153"/>
      <c r="H1619" s="155">
        <v>0.17</v>
      </c>
      <c r="I1619" s="154" t="s">
        <v>59</v>
      </c>
      <c r="J1619" s="204">
        <v>7.0179500000000003E-6</v>
      </c>
      <c r="K1619" s="154" t="s">
        <v>26</v>
      </c>
      <c r="L1619" s="154" t="str">
        <f>IF(OpenLCAbasic!K1619="CTUh", "Fill in Manually",IF(OR(K1619="Unit", K1619=""), "", INDEX(LookUps!$E$5:$E$12, MATCH(OpenLCAbasic!K1619,LookUps!$D$5:$D$12,0))))</f>
        <v>Water Use (WU) - m3 H2O</v>
      </c>
      <c r="M1619" s="154" t="str">
        <f t="shared" si="85"/>
        <v>Low_Base_Upgraded_Water Use (WU) - m3 H2O_Blend Tank; wastewater treatment unit; at updated plant - US_Base_With Amendment_Windrow</v>
      </c>
    </row>
    <row r="1620" spans="1:13" s="120" customFormat="1" x14ac:dyDescent="0.25">
      <c r="A1620" s="119"/>
      <c r="B1620" s="138" t="str">
        <f t="shared" si="83"/>
        <v>Windrow</v>
      </c>
      <c r="C1620" s="138" t="str">
        <f t="shared" si="84"/>
        <v>Base_With Amendment</v>
      </c>
      <c r="D1620" s="118" t="s">
        <v>130</v>
      </c>
      <c r="E1620" s="118" t="s">
        <v>180</v>
      </c>
      <c r="F1620" s="118" t="s">
        <v>46</v>
      </c>
      <c r="G1620" s="153"/>
      <c r="H1620" s="155">
        <v>0.1226</v>
      </c>
      <c r="I1620" s="154" t="s">
        <v>128</v>
      </c>
      <c r="J1620" s="204">
        <v>5.0608900000000003E-6</v>
      </c>
      <c r="K1620" s="154" t="s">
        <v>26</v>
      </c>
      <c r="L1620" s="154" t="str">
        <f>IF(OpenLCAbasic!K1620="CTUh", "Fill in Manually",IF(OR(K1620="Unit", K1620=""), "", INDEX(LookUps!$E$5:$E$12, MATCH(OpenLCAbasic!K1620,LookUps!$D$5:$D$12,0))))</f>
        <v>Water Use (WU) - m3 H2O</v>
      </c>
      <c r="M1620" s="154" t="str">
        <f t="shared" si="85"/>
        <v>Low_Base_Upgraded_Water Use (WU) - m3 H2O_Wastewater collection; operation and infrastructure; m3 wastewater_Base_With Amendment_Windrow</v>
      </c>
    </row>
    <row r="1621" spans="1:13" s="120" customFormat="1" x14ac:dyDescent="0.25">
      <c r="A1621" s="119"/>
      <c r="B1621" s="138" t="str">
        <f t="shared" si="83"/>
        <v>Windrow</v>
      </c>
      <c r="C1621" s="138" t="str">
        <f t="shared" si="84"/>
        <v>Base_With Amendment</v>
      </c>
      <c r="D1621" s="118" t="s">
        <v>130</v>
      </c>
      <c r="E1621" s="118" t="s">
        <v>180</v>
      </c>
      <c r="F1621" s="118" t="s">
        <v>46</v>
      </c>
      <c r="G1621" s="153"/>
      <c r="H1621" s="155">
        <v>2.5899999999999999E-2</v>
      </c>
      <c r="I1621" s="154" t="s">
        <v>271</v>
      </c>
      <c r="J1621" s="204">
        <v>1.06952E-6</v>
      </c>
      <c r="K1621" s="154" t="s">
        <v>26</v>
      </c>
      <c r="L1621" s="154" t="str">
        <f>IF(OpenLCAbasic!K1621="CTUh", "Fill in Manually",IF(OR(K1621="Unit", K1621=""), "", INDEX(LookUps!$E$5:$E$12, MATCH(OpenLCAbasic!K1621,LookUps!$D$5:$D$12,0))))</f>
        <v>Water Use (WU) - m3 H2O</v>
      </c>
      <c r="M1621" s="154" t="str">
        <f t="shared" si="85"/>
        <v>Low_Base_Upgraded_Water Use (WU) - m3 H2O_Biosolids composting; windrow composting; wastewater treatment unit; at updated plant - US_Base_With Amendment_Windrow</v>
      </c>
    </row>
    <row r="1622" spans="1:13" s="120" customFormat="1" x14ac:dyDescent="0.25">
      <c r="A1622" s="119"/>
      <c r="B1622" s="138" t="str">
        <f t="shared" si="83"/>
        <v>Windrow</v>
      </c>
      <c r="C1622" s="138" t="str">
        <f t="shared" si="84"/>
        <v>Base_With Amendment</v>
      </c>
      <c r="D1622" s="118" t="s">
        <v>130</v>
      </c>
      <c r="E1622" s="118" t="s">
        <v>180</v>
      </c>
      <c r="F1622" s="118" t="s">
        <v>46</v>
      </c>
      <c r="G1622" s="153"/>
      <c r="H1622" s="155">
        <v>1.8599999999999998E-2</v>
      </c>
      <c r="I1622" s="154" t="s">
        <v>168</v>
      </c>
      <c r="J1622" s="204">
        <v>7.6697000000000004E-7</v>
      </c>
      <c r="K1622" s="154" t="s">
        <v>26</v>
      </c>
      <c r="L1622" s="154" t="str">
        <f>IF(OpenLCAbasic!K1622="CTUh", "Fill in Manually",IF(OR(K1622="Unit", K1622=""), "", INDEX(LookUps!$E$5:$E$12, MATCH(OpenLCAbasic!K1622,LookUps!$D$5:$D$12,0))))</f>
        <v>Water Use (WU) - m3 H2O</v>
      </c>
      <c r="M1622" s="154" t="str">
        <f t="shared" si="85"/>
        <v>Low_Base_Upgraded_Water Use (WU) - m3 H2O_ClearCove SCP; wastewater treatment unit; at updated plant - US_Base_With Amendment_Windrow</v>
      </c>
    </row>
    <row r="1623" spans="1:13" s="120" customFormat="1" x14ac:dyDescent="0.25">
      <c r="A1623" s="213"/>
      <c r="B1623" s="138" t="str">
        <f t="shared" si="83"/>
        <v>Windrow</v>
      </c>
      <c r="C1623" s="138" t="str">
        <f t="shared" si="84"/>
        <v>Base_With Amendment</v>
      </c>
      <c r="D1623" s="118" t="s">
        <v>130</v>
      </c>
      <c r="E1623" s="118" t="s">
        <v>180</v>
      </c>
      <c r="F1623" s="118" t="s">
        <v>46</v>
      </c>
      <c r="G1623" s="153"/>
      <c r="H1623" s="155">
        <v>-27.9983</v>
      </c>
      <c r="I1623" s="154" t="s">
        <v>62</v>
      </c>
      <c r="J1623" s="204">
        <v>-1.16E-3</v>
      </c>
      <c r="K1623" s="154" t="s">
        <v>26</v>
      </c>
      <c r="L1623" s="154" t="str">
        <f>IF(OpenLCAbasic!K1623="CTUh", "Fill in Manually",IF(OR(K1623="Unit", K1623=""), "", INDEX(LookUps!$E$5:$E$12, MATCH(OpenLCAbasic!K1623,LookUps!$D$5:$D$12,0))))</f>
        <v>Water Use (WU) - m3 H2O</v>
      </c>
      <c r="M1623" s="154" t="str">
        <f t="shared" si="85"/>
        <v>Low_Base_Upgraded_Water Use (WU) - m3 H2O_Land application of compost; wastewater treatment unit; at updated plant - US_Base_With Amendment_Windrow</v>
      </c>
    </row>
    <row r="1624" spans="1:13" s="120" customFormat="1" x14ac:dyDescent="0.25">
      <c r="A1624" s="119"/>
      <c r="B1624" s="138" t="str">
        <f t="shared" si="83"/>
        <v/>
      </c>
      <c r="C1624" s="138" t="str">
        <f t="shared" si="84"/>
        <v/>
      </c>
      <c r="D1624" s="118"/>
      <c r="E1624" s="118"/>
      <c r="F1624" s="118"/>
      <c r="G1624" s="153"/>
      <c r="H1624" s="154"/>
      <c r="I1624" s="154"/>
      <c r="J1624" s="205"/>
      <c r="K1624" s="154"/>
      <c r="L1624" s="154" t="str">
        <f>IF(OpenLCAbasic!K1624="CTUh", "Fill in Manually",IF(OR(K1624="Unit", K1624=""), "", INDEX(LookUps!$E$5:$E$12, MATCH(OpenLCAbasic!K1624,LookUps!$D$5:$D$12,0))))</f>
        <v/>
      </c>
      <c r="M1624" s="154" t="str">
        <f t="shared" si="85"/>
        <v>______</v>
      </c>
    </row>
    <row r="1625" spans="1:13" s="120" customFormat="1" x14ac:dyDescent="0.25">
      <c r="A1625" s="119"/>
      <c r="B1625" s="138" t="str">
        <f t="shared" si="83"/>
        <v>Windrow</v>
      </c>
      <c r="C1625" s="138" t="str">
        <f t="shared" si="84"/>
        <v>Base_With Amendment</v>
      </c>
      <c r="D1625" s="118" t="s">
        <v>134</v>
      </c>
      <c r="E1625" s="118" t="s">
        <v>180</v>
      </c>
      <c r="F1625" s="118" t="s">
        <v>46</v>
      </c>
      <c r="G1625" s="153" t="s">
        <v>51</v>
      </c>
      <c r="H1625" s="154"/>
      <c r="I1625" s="154" t="s">
        <v>47</v>
      </c>
      <c r="J1625" s="154" t="s">
        <v>52</v>
      </c>
      <c r="K1625" s="154" t="s">
        <v>27</v>
      </c>
      <c r="L1625" s="154" t="str">
        <f>IF(OpenLCAbasic!K1625="CTUh", "Fill in Manually",IF(OR(K1625="Unit", K1625=""), "", INDEX(LookUps!$E$5:$E$12, MATCH(OpenLCAbasic!K1625,LookUps!$D$5:$D$12,0))))</f>
        <v/>
      </c>
      <c r="M1625" s="154" t="str">
        <f t="shared" si="85"/>
        <v>Low_Base_High_Upgraded__Process_Base_With Amendment_Windrow</v>
      </c>
    </row>
    <row r="1626" spans="1:13" s="120" customFormat="1" x14ac:dyDescent="0.25">
      <c r="A1626" s="119"/>
      <c r="B1626" s="138" t="str">
        <f t="shared" si="83"/>
        <v>Windrow</v>
      </c>
      <c r="C1626" s="138" t="str">
        <f t="shared" si="84"/>
        <v>Base_With Amendment</v>
      </c>
      <c r="D1626" s="118" t="s">
        <v>134</v>
      </c>
      <c r="E1626" s="118" t="s">
        <v>180</v>
      </c>
      <c r="F1626" s="118" t="s">
        <v>46</v>
      </c>
      <c r="G1626" s="153"/>
      <c r="H1626" s="155">
        <v>6.6443000000000003</v>
      </c>
      <c r="I1626" s="154" t="s">
        <v>58</v>
      </c>
      <c r="J1626" s="203">
        <v>0.24279999999999999</v>
      </c>
      <c r="K1626" s="154" t="s">
        <v>23</v>
      </c>
      <c r="L1626" s="154" t="str">
        <f>IF(OpenLCAbasic!K1626="CTUh", "Fill in Manually",IF(OR(K1626="Unit", K1626=""), "", INDEX(LookUps!$E$5:$E$12, MATCH(OpenLCAbasic!K1626,LookUps!$D$5:$D$12,0))))</f>
        <v>Global Warming Potential (GWP) - kg CO2 eq</v>
      </c>
      <c r="M1626" s="154" t="str">
        <f t="shared" si="85"/>
        <v>Low_Base_High_Upgraded_Global Warming Potential (GWP) - kg CO2 eq_Pre-Anoxic &amp; Swing tank; wastewater treatment unit; at updated plant - US_Base_With Amendment_Windrow</v>
      </c>
    </row>
    <row r="1627" spans="1:13" s="120" customFormat="1" x14ac:dyDescent="0.25">
      <c r="A1627" s="119"/>
      <c r="B1627" s="138" t="str">
        <f t="shared" si="83"/>
        <v>Windrow</v>
      </c>
      <c r="C1627" s="138" t="str">
        <f t="shared" si="84"/>
        <v>Base_With Amendment</v>
      </c>
      <c r="D1627" s="118" t="s">
        <v>134</v>
      </c>
      <c r="E1627" s="118" t="s">
        <v>180</v>
      </c>
      <c r="F1627" s="118" t="s">
        <v>46</v>
      </c>
      <c r="G1627" s="153"/>
      <c r="H1627" s="155">
        <v>4.6036000000000001</v>
      </c>
      <c r="I1627" s="154" t="s">
        <v>55</v>
      </c>
      <c r="J1627" s="203">
        <v>0.16822000000000001</v>
      </c>
      <c r="K1627" s="154" t="s">
        <v>23</v>
      </c>
      <c r="L1627" s="154" t="str">
        <f>IF(OpenLCAbasic!K1627="CTUh", "Fill in Manually",IF(OR(K1627="Unit", K1627=""), "", INDEX(LookUps!$E$5:$E$12, MATCH(OpenLCAbasic!K1627,LookUps!$D$5:$D$12,0))))</f>
        <v>Global Warming Potential (GWP) - kg CO2 eq</v>
      </c>
      <c r="M1627" s="154" t="str">
        <f t="shared" si="85"/>
        <v>Low_Base_High_Upgraded_Global Warming Potential (GWP) - kg CO2 eq_Aeration Tanks; wastewater treatment unit; at updated plant - US_Base_With Amendment_Windrow</v>
      </c>
    </row>
    <row r="1628" spans="1:13" s="120" customFormat="1" x14ac:dyDescent="0.25">
      <c r="A1628" s="119"/>
      <c r="B1628" s="138" t="str">
        <f t="shared" si="83"/>
        <v>Windrow</v>
      </c>
      <c r="C1628" s="138" t="str">
        <f t="shared" si="84"/>
        <v>Base_With Amendment</v>
      </c>
      <c r="D1628" s="118" t="s">
        <v>134</v>
      </c>
      <c r="E1628" s="118" t="s">
        <v>180</v>
      </c>
      <c r="F1628" s="118" t="s">
        <v>46</v>
      </c>
      <c r="G1628" s="153"/>
      <c r="H1628" s="155">
        <v>2.8026</v>
      </c>
      <c r="I1628" s="154" t="s">
        <v>167</v>
      </c>
      <c r="J1628" s="203">
        <v>0.10241</v>
      </c>
      <c r="K1628" s="154" t="s">
        <v>23</v>
      </c>
      <c r="L1628" s="154" t="str">
        <f>IF(OpenLCAbasic!K1628="CTUh", "Fill in Manually",IF(OR(K1628="Unit", K1628=""), "", INDEX(LookUps!$E$5:$E$12, MATCH(OpenLCAbasic!K1628,LookUps!$D$5:$D$12,0))))</f>
        <v>Global Warming Potential (GWP) - kg CO2 eq</v>
      </c>
      <c r="M1628" s="154" t="str">
        <f t="shared" si="85"/>
        <v>Low_Base_High_Upgraded_Global Warming Potential (GWP) - kg CO2 eq_Waste Receiving and Holding; wastewater treatment unit; at updated plant - US_Base_With Amendment_Windrow</v>
      </c>
    </row>
    <row r="1629" spans="1:13" s="120" customFormat="1" x14ac:dyDescent="0.25">
      <c r="A1629" s="119"/>
      <c r="B1629" s="138" t="str">
        <f t="shared" si="83"/>
        <v>Windrow</v>
      </c>
      <c r="C1629" s="138" t="str">
        <f t="shared" si="84"/>
        <v>Base_With Amendment</v>
      </c>
      <c r="D1629" s="118" t="s">
        <v>134</v>
      </c>
      <c r="E1629" s="118" t="s">
        <v>180</v>
      </c>
      <c r="F1629" s="118" t="s">
        <v>46</v>
      </c>
      <c r="G1629" s="153"/>
      <c r="H1629" s="155">
        <v>2.4291</v>
      </c>
      <c r="I1629" s="154" t="s">
        <v>271</v>
      </c>
      <c r="J1629" s="203">
        <v>8.8760000000000006E-2</v>
      </c>
      <c r="K1629" s="154" t="s">
        <v>23</v>
      </c>
      <c r="L1629" s="154" t="str">
        <f>IF(OpenLCAbasic!K1629="CTUh", "Fill in Manually",IF(OR(K1629="Unit", K1629=""), "", INDEX(LookUps!$E$5:$E$12, MATCH(OpenLCAbasic!K1629,LookUps!$D$5:$D$12,0))))</f>
        <v>Global Warming Potential (GWP) - kg CO2 eq</v>
      </c>
      <c r="M1629" s="154" t="str">
        <f t="shared" si="85"/>
        <v>Low_Base_High_Upgraded_Global Warming Potential (GWP) - kg CO2 eq_Biosolids composting; windrow composting; wastewater treatment unit; at updated plant - US_Base_With Amendment_Windrow</v>
      </c>
    </row>
    <row r="1630" spans="1:13" s="120" customFormat="1" x14ac:dyDescent="0.25">
      <c r="A1630" s="119"/>
      <c r="B1630" s="138" t="str">
        <f t="shared" si="83"/>
        <v>Windrow</v>
      </c>
      <c r="C1630" s="138" t="str">
        <f t="shared" si="84"/>
        <v>Base_With Amendment</v>
      </c>
      <c r="D1630" s="118" t="s">
        <v>134</v>
      </c>
      <c r="E1630" s="118" t="s">
        <v>180</v>
      </c>
      <c r="F1630" s="118" t="s">
        <v>46</v>
      </c>
      <c r="G1630" s="153"/>
      <c r="H1630" s="155">
        <v>1.5621</v>
      </c>
      <c r="I1630" s="154" t="s">
        <v>54</v>
      </c>
      <c r="J1630" s="203">
        <v>5.7079999999999999E-2</v>
      </c>
      <c r="K1630" s="154" t="s">
        <v>23</v>
      </c>
      <c r="L1630" s="154" t="str">
        <f>IF(OpenLCAbasic!K1630="CTUh", "Fill in Manually",IF(OR(K1630="Unit", K1630=""), "", INDEX(LookUps!$E$5:$E$12, MATCH(OpenLCAbasic!K1630,LookUps!$D$5:$D$12,0))))</f>
        <v>Global Warming Potential (GWP) - kg CO2 eq</v>
      </c>
      <c r="M1630" s="154" t="str">
        <f t="shared" si="85"/>
        <v>Low_Base_High_Upgraded_Global Warming Potential (GWP) - kg CO2 eq_Clear Cove Primary Clarification; wastewater treatment unit; at updated plant - US_Base_With Amendment_Windrow</v>
      </c>
    </row>
    <row r="1631" spans="1:13" s="120" customFormat="1" x14ac:dyDescent="0.25">
      <c r="A1631" s="119"/>
      <c r="B1631" s="138" t="str">
        <f t="shared" si="83"/>
        <v>Windrow</v>
      </c>
      <c r="C1631" s="138" t="str">
        <f t="shared" si="84"/>
        <v>Base_With Amendment</v>
      </c>
      <c r="D1631" s="118" t="s">
        <v>134</v>
      </c>
      <c r="E1631" s="118" t="s">
        <v>180</v>
      </c>
      <c r="F1631" s="118" t="s">
        <v>46</v>
      </c>
      <c r="G1631" s="153"/>
      <c r="H1631" s="155">
        <v>1.4403999999999999</v>
      </c>
      <c r="I1631" s="154" t="s">
        <v>48</v>
      </c>
      <c r="J1631" s="203">
        <v>5.2639999999999999E-2</v>
      </c>
      <c r="K1631" s="154" t="s">
        <v>23</v>
      </c>
      <c r="L1631" s="154" t="str">
        <f>IF(OpenLCAbasic!K1631="CTUh", "Fill in Manually",IF(OR(K1631="Unit", K1631=""), "", INDEX(LookUps!$E$5:$E$12, MATCH(OpenLCAbasic!K1631,LookUps!$D$5:$D$12,0))))</f>
        <v>Global Warming Potential (GWP) - kg CO2 eq</v>
      </c>
      <c r="M1631" s="154" t="str">
        <f t="shared" si="85"/>
        <v>Low_Base_High_Upgraded_Global Warming Potential (GWP) - kg CO2 eq_Effluent release; wastewater treatment unit; at surface water; m3 wastewater - US_Base_With Amendment_Windrow</v>
      </c>
    </row>
    <row r="1632" spans="1:13" s="120" customFormat="1" x14ac:dyDescent="0.25">
      <c r="A1632" s="119"/>
      <c r="B1632" s="138" t="str">
        <f t="shared" si="83"/>
        <v>Windrow</v>
      </c>
      <c r="C1632" s="138" t="str">
        <f t="shared" si="84"/>
        <v>Base_With Amendment</v>
      </c>
      <c r="D1632" s="118" t="s">
        <v>134</v>
      </c>
      <c r="E1632" s="118" t="s">
        <v>180</v>
      </c>
      <c r="F1632" s="118" t="s">
        <v>46</v>
      </c>
      <c r="G1632" s="153"/>
      <c r="H1632" s="155">
        <v>1.3818999999999999</v>
      </c>
      <c r="I1632" s="154" t="s">
        <v>147</v>
      </c>
      <c r="J1632" s="203">
        <v>5.0500000000000003E-2</v>
      </c>
      <c r="K1632" s="154" t="s">
        <v>23</v>
      </c>
      <c r="L1632" s="154" t="str">
        <f>IF(OpenLCAbasic!K1632="CTUh", "Fill in Manually",IF(OR(K1632="Unit", K1632=""), "", INDEX(LookUps!$E$5:$E$12, MATCH(OpenLCAbasic!K1632,LookUps!$D$5:$D$12,0))))</f>
        <v>Global Warming Potential (GWP) - kg CO2 eq</v>
      </c>
      <c r="M1632" s="154" t="str">
        <f t="shared" si="85"/>
        <v>Low_Base_High_Upgraded_Global Warming Potential (GWP) - kg CO2 eq_Influent Pump Station; wastewater treatment unit; at updated plant - US_Base_With Amendment_Windrow</v>
      </c>
    </row>
    <row r="1633" spans="1:13" s="120" customFormat="1" x14ac:dyDescent="0.25">
      <c r="A1633" s="119"/>
      <c r="B1633" s="138" t="str">
        <f t="shared" si="83"/>
        <v>Windrow</v>
      </c>
      <c r="C1633" s="138" t="str">
        <f t="shared" si="84"/>
        <v>Base_With Amendment</v>
      </c>
      <c r="D1633" s="118" t="s">
        <v>134</v>
      </c>
      <c r="E1633" s="118" t="s">
        <v>180</v>
      </c>
      <c r="F1633" s="118" t="s">
        <v>46</v>
      </c>
      <c r="G1633" s="153"/>
      <c r="H1633" s="155">
        <v>0.91010000000000002</v>
      </c>
      <c r="I1633" s="154" t="s">
        <v>53</v>
      </c>
      <c r="J1633" s="203">
        <v>3.3259999999999998E-2</v>
      </c>
      <c r="K1633" s="154" t="s">
        <v>23</v>
      </c>
      <c r="L1633" s="154" t="str">
        <f>IF(OpenLCAbasic!K1633="CTUh", "Fill in Manually",IF(OR(K1633="Unit", K1633=""), "", INDEX(LookUps!$E$5:$E$12, MATCH(OpenLCAbasic!K1633,LookUps!$D$5:$D$12,0))))</f>
        <v>Global Warming Potential (GWP) - kg CO2 eq</v>
      </c>
      <c r="M1633" s="154" t="str">
        <f t="shared" si="85"/>
        <v>Low_Base_High_Upgraded_Global Warming Potential (GWP) - kg CO2 eq_Wet Well and Sump Station; wastewater treatment unit; at updated plant - US_Base_With Amendment_Windrow</v>
      </c>
    </row>
    <row r="1634" spans="1:13" s="120" customFormat="1" x14ac:dyDescent="0.25">
      <c r="A1634" s="119"/>
      <c r="B1634" s="138" t="str">
        <f t="shared" si="83"/>
        <v>Windrow</v>
      </c>
      <c r="C1634" s="138" t="str">
        <f t="shared" si="84"/>
        <v>Base_With Amendment</v>
      </c>
      <c r="D1634" s="118" t="s">
        <v>134</v>
      </c>
      <c r="E1634" s="118" t="s">
        <v>180</v>
      </c>
      <c r="F1634" s="118" t="s">
        <v>46</v>
      </c>
      <c r="G1634" s="153"/>
      <c r="H1634" s="155">
        <v>0.3982</v>
      </c>
      <c r="I1634" s="154" t="s">
        <v>57</v>
      </c>
      <c r="J1634" s="203">
        <v>1.455E-2</v>
      </c>
      <c r="K1634" s="154" t="s">
        <v>23</v>
      </c>
      <c r="L1634" s="154" t="str">
        <f>IF(OpenLCAbasic!K1634="CTUh", "Fill in Manually",IF(OR(K1634="Unit", K1634=""), "", INDEX(LookUps!$E$5:$E$12, MATCH(OpenLCAbasic!K1634,LookUps!$D$5:$D$12,0))))</f>
        <v>Global Warming Potential (GWP) - kg CO2 eq</v>
      </c>
      <c r="M1634" s="154" t="str">
        <f t="shared" si="85"/>
        <v>Low_Base_High_Upgraded_Global Warming Potential (GWP) - kg CO2 eq_Gravity Belt Thickener; wastewater treatment unit; at updated plant - US_Base_With Amendment_Windrow</v>
      </c>
    </row>
    <row r="1635" spans="1:13" s="120" customFormat="1" x14ac:dyDescent="0.25">
      <c r="A1635" s="119"/>
      <c r="B1635" s="138" t="str">
        <f t="shared" si="83"/>
        <v>Windrow</v>
      </c>
      <c r="C1635" s="138" t="str">
        <f t="shared" si="84"/>
        <v>Base_With Amendment</v>
      </c>
      <c r="D1635" s="118" t="s">
        <v>134</v>
      </c>
      <c r="E1635" s="118" t="s">
        <v>180</v>
      </c>
      <c r="F1635" s="118" t="s">
        <v>46</v>
      </c>
      <c r="G1635" s="153"/>
      <c r="H1635" s="155">
        <v>0.36959999999999998</v>
      </c>
      <c r="I1635" s="154" t="s">
        <v>128</v>
      </c>
      <c r="J1635" s="203">
        <v>1.3509999999999999E-2</v>
      </c>
      <c r="K1635" s="154" t="s">
        <v>23</v>
      </c>
      <c r="L1635" s="154" t="str">
        <f>IF(OpenLCAbasic!K1635="CTUh", "Fill in Manually",IF(OR(K1635="Unit", K1635=""), "", INDEX(LookUps!$E$5:$E$12, MATCH(OpenLCAbasic!K1635,LookUps!$D$5:$D$12,0))))</f>
        <v>Global Warming Potential (GWP) - kg CO2 eq</v>
      </c>
      <c r="M1635" s="154" t="str">
        <f t="shared" si="85"/>
        <v>Low_Base_High_Upgraded_Global Warming Potential (GWP) - kg CO2 eq_Wastewater collection; operation and infrastructure; m3 wastewater_Base_With Amendment_Windrow</v>
      </c>
    </row>
    <row r="1636" spans="1:13" s="120" customFormat="1" x14ac:dyDescent="0.25">
      <c r="A1636" s="119"/>
      <c r="B1636" s="138" t="str">
        <f t="shared" si="83"/>
        <v>Windrow</v>
      </c>
      <c r="C1636" s="138" t="str">
        <f t="shared" si="84"/>
        <v>Base_With Amendment</v>
      </c>
      <c r="D1636" s="118" t="s">
        <v>134</v>
      </c>
      <c r="E1636" s="118" t="s">
        <v>180</v>
      </c>
      <c r="F1636" s="118" t="s">
        <v>46</v>
      </c>
      <c r="G1636" s="153"/>
      <c r="H1636" s="155">
        <v>0.33679999999999999</v>
      </c>
      <c r="I1636" s="154" t="s">
        <v>60</v>
      </c>
      <c r="J1636" s="204">
        <v>1.231E-2</v>
      </c>
      <c r="K1636" s="154" t="s">
        <v>23</v>
      </c>
      <c r="L1636" s="154" t="str">
        <f>IF(OpenLCAbasic!K1636="CTUh", "Fill in Manually",IF(OR(K1636="Unit", K1636=""), "", INDEX(LookUps!$E$5:$E$12, MATCH(OpenLCAbasic!K1636,LookUps!$D$5:$D$12,0))))</f>
        <v>Global Warming Potential (GWP) - kg CO2 eq</v>
      </c>
      <c r="M1636" s="154" t="str">
        <f t="shared" si="85"/>
        <v>Low_Base_High_Upgraded_Global Warming Potential (GWP) - kg CO2 eq_Belt filter press; wastewater treatment unit; at updated plant - US_Base_With Amendment_Windrow</v>
      </c>
    </row>
    <row r="1637" spans="1:13" s="120" customFormat="1" x14ac:dyDescent="0.25">
      <c r="A1637" s="119"/>
      <c r="B1637" s="138" t="str">
        <f t="shared" si="83"/>
        <v>Windrow</v>
      </c>
      <c r="C1637" s="138" t="str">
        <f t="shared" si="84"/>
        <v>Base_With Amendment</v>
      </c>
      <c r="D1637" s="118" t="s">
        <v>134</v>
      </c>
      <c r="E1637" s="118" t="s">
        <v>180</v>
      </c>
      <c r="F1637" s="118" t="s">
        <v>46</v>
      </c>
      <c r="G1637" s="153"/>
      <c r="H1637" s="155">
        <v>0.2271</v>
      </c>
      <c r="I1637" s="154" t="s">
        <v>148</v>
      </c>
      <c r="J1637" s="204">
        <v>8.3000000000000001E-3</v>
      </c>
      <c r="K1637" s="154" t="s">
        <v>23</v>
      </c>
      <c r="L1637" s="154" t="str">
        <f>IF(OpenLCAbasic!K1637="CTUh", "Fill in Manually",IF(OR(K1637="Unit", K1637=""), "", INDEX(LookUps!$E$5:$E$12, MATCH(OpenLCAbasic!K1637,LookUps!$D$5:$D$12,0))))</f>
        <v>Global Warming Potential (GWP) - kg CO2 eq</v>
      </c>
      <c r="M1637" s="154" t="str">
        <f t="shared" si="85"/>
        <v>Low_Base_High_Upgraded_Global Warming Potential (GWP) - kg CO2 eq_Control Building; at upgraded wastewater treatment plant - US_Base_With Amendment_Windrow</v>
      </c>
    </row>
    <row r="1638" spans="1:13" s="120" customFormat="1" x14ac:dyDescent="0.25">
      <c r="A1638" s="119"/>
      <c r="B1638" s="138" t="str">
        <f t="shared" si="83"/>
        <v>Windrow</v>
      </c>
      <c r="C1638" s="138" t="str">
        <f t="shared" si="84"/>
        <v>Base_With Amendment</v>
      </c>
      <c r="D1638" s="118" t="s">
        <v>134</v>
      </c>
      <c r="E1638" s="118" t="s">
        <v>180</v>
      </c>
      <c r="F1638" s="118" t="s">
        <v>46</v>
      </c>
      <c r="G1638" s="153"/>
      <c r="H1638" s="155">
        <v>0.13800000000000001</v>
      </c>
      <c r="I1638" s="154" t="s">
        <v>59</v>
      </c>
      <c r="J1638" s="204">
        <v>5.0400000000000002E-3</v>
      </c>
      <c r="K1638" s="154" t="s">
        <v>23</v>
      </c>
      <c r="L1638" s="154" t="str">
        <f>IF(OpenLCAbasic!K1638="CTUh", "Fill in Manually",IF(OR(K1638="Unit", K1638=""), "", INDEX(LookUps!$E$5:$E$12, MATCH(OpenLCAbasic!K1638,LookUps!$D$5:$D$12,0))))</f>
        <v>Global Warming Potential (GWP) - kg CO2 eq</v>
      </c>
      <c r="M1638" s="154" t="str">
        <f t="shared" si="85"/>
        <v>Low_Base_High_Upgraded_Global Warming Potential (GWP) - kg CO2 eq_Blend Tank; wastewater treatment unit; at updated plant - US_Base_With Amendment_Windrow</v>
      </c>
    </row>
    <row r="1639" spans="1:13" s="120" customFormat="1" x14ac:dyDescent="0.25">
      <c r="A1639" s="119"/>
      <c r="B1639" s="138" t="str">
        <f t="shared" si="83"/>
        <v>Windrow</v>
      </c>
      <c r="C1639" s="138" t="str">
        <f t="shared" si="84"/>
        <v>Base_With Amendment</v>
      </c>
      <c r="D1639" s="118" t="s">
        <v>134</v>
      </c>
      <c r="E1639" s="118" t="s">
        <v>180</v>
      </c>
      <c r="F1639" s="118" t="s">
        <v>46</v>
      </c>
      <c r="G1639" s="153"/>
      <c r="H1639" s="155">
        <v>6.6000000000000003E-2</v>
      </c>
      <c r="I1639" s="154" t="s">
        <v>168</v>
      </c>
      <c r="J1639" s="204">
        <v>2.4099999999999998E-3</v>
      </c>
      <c r="K1639" s="154" t="s">
        <v>23</v>
      </c>
      <c r="L1639" s="154" t="str">
        <f>IF(OpenLCAbasic!K1639="CTUh", "Fill in Manually",IF(OR(K1639="Unit", K1639=""), "", INDEX(LookUps!$E$5:$E$12, MATCH(OpenLCAbasic!K1639,LookUps!$D$5:$D$12,0))))</f>
        <v>Global Warming Potential (GWP) - kg CO2 eq</v>
      </c>
      <c r="M1639" s="154" t="str">
        <f t="shared" si="85"/>
        <v>Low_Base_High_Upgraded_Global Warming Potential (GWP) - kg CO2 eq_ClearCove SCP; wastewater treatment unit; at updated plant - US_Base_With Amendment_Windrow</v>
      </c>
    </row>
    <row r="1640" spans="1:13" s="120" customFormat="1" x14ac:dyDescent="0.25">
      <c r="A1640" s="119"/>
      <c r="B1640" s="138" t="str">
        <f t="shared" si="83"/>
        <v>Windrow</v>
      </c>
      <c r="C1640" s="138" t="str">
        <f t="shared" si="84"/>
        <v>Base_With Amendment</v>
      </c>
      <c r="D1640" s="118" t="s">
        <v>134</v>
      </c>
      <c r="E1640" s="118" t="s">
        <v>180</v>
      </c>
      <c r="F1640" s="118" t="s">
        <v>46</v>
      </c>
      <c r="G1640" s="153"/>
      <c r="H1640" s="155">
        <v>-12.020099999999999</v>
      </c>
      <c r="I1640" s="154" t="s">
        <v>62</v>
      </c>
      <c r="J1640" s="203">
        <v>-0.43924000000000002</v>
      </c>
      <c r="K1640" s="154" t="s">
        <v>23</v>
      </c>
      <c r="L1640" s="154" t="str">
        <f>IF(OpenLCAbasic!K1640="CTUh", "Fill in Manually",IF(OR(K1640="Unit", K1640=""), "", INDEX(LookUps!$E$5:$E$12, MATCH(OpenLCAbasic!K1640,LookUps!$D$5:$D$12,0))))</f>
        <v>Global Warming Potential (GWP) - kg CO2 eq</v>
      </c>
      <c r="M1640" s="154" t="str">
        <f t="shared" si="85"/>
        <v>Low_Base_High_Upgraded_Global Warming Potential (GWP) - kg CO2 eq_Land application of compost; wastewater treatment unit; at updated plant - US_Base_With Amendment_Windrow</v>
      </c>
    </row>
    <row r="1641" spans="1:13" s="120" customFormat="1" x14ac:dyDescent="0.25">
      <c r="A1641" s="119"/>
      <c r="B1641" s="138" t="str">
        <f t="shared" si="83"/>
        <v>Windrow</v>
      </c>
      <c r="C1641" s="138" t="str">
        <f t="shared" si="84"/>
        <v>Base_With Amendment</v>
      </c>
      <c r="D1641" s="118" t="s">
        <v>134</v>
      </c>
      <c r="E1641" s="118" t="s">
        <v>180</v>
      </c>
      <c r="F1641" s="118" t="s">
        <v>46</v>
      </c>
      <c r="G1641" s="153"/>
      <c r="H1641" s="155">
        <v>-12.2897</v>
      </c>
      <c r="I1641" s="154" t="s">
        <v>149</v>
      </c>
      <c r="J1641" s="203">
        <v>-0.44908999999999999</v>
      </c>
      <c r="K1641" s="154" t="s">
        <v>23</v>
      </c>
      <c r="L1641" s="154" t="str">
        <f>IF(OpenLCAbasic!K1641="CTUh", "Fill in Manually",IF(OR(K1641="Unit", K1641=""), "", INDEX(LookUps!$E$5:$E$12, MATCH(OpenLCAbasic!K1641,LookUps!$D$5:$D$12,0))))</f>
        <v>Global Warming Potential (GWP) - kg CO2 eq</v>
      </c>
      <c r="M1641" s="154" t="str">
        <f t="shared" si="85"/>
        <v>Low_Base_High_Upgraded_Global Warming Potential (GWP) - kg CO2 eq_Anaerobic Digestion; wastewater treatment unit; at updated plant - US_Base_With Amendment_Windrow</v>
      </c>
    </row>
    <row r="1642" spans="1:13" s="120" customFormat="1" x14ac:dyDescent="0.25">
      <c r="A1642" s="119"/>
      <c r="B1642" s="138" t="str">
        <f t="shared" si="83"/>
        <v>Windrow</v>
      </c>
      <c r="C1642" s="138" t="str">
        <f t="shared" si="84"/>
        <v>Base_With Amendment</v>
      </c>
      <c r="D1642" s="118" t="s">
        <v>134</v>
      </c>
      <c r="E1642" s="118" t="s">
        <v>180</v>
      </c>
      <c r="F1642" s="118" t="s">
        <v>46</v>
      </c>
      <c r="G1642" s="153" t="s">
        <v>51</v>
      </c>
      <c r="H1642" s="154"/>
      <c r="I1642" s="154" t="s">
        <v>47</v>
      </c>
      <c r="J1642" s="154" t="s">
        <v>52</v>
      </c>
      <c r="K1642" s="154" t="s">
        <v>27</v>
      </c>
      <c r="L1642" s="154" t="str">
        <f>IF(OpenLCAbasic!K1642="CTUh", "Fill in Manually",IF(OR(K1642="Unit", K1642=""), "", INDEX(LookUps!$E$5:$E$12, MATCH(OpenLCAbasic!K1642,LookUps!$D$5:$D$12,0))))</f>
        <v/>
      </c>
      <c r="M1642" s="154" t="str">
        <f t="shared" si="85"/>
        <v>Low_Base_High_Upgraded__Process_Base_With Amendment_Windrow</v>
      </c>
    </row>
    <row r="1643" spans="1:13" s="120" customFormat="1" x14ac:dyDescent="0.25">
      <c r="A1643" s="119"/>
      <c r="B1643" s="138" t="str">
        <f t="shared" si="83"/>
        <v>Windrow</v>
      </c>
      <c r="C1643" s="138" t="str">
        <f t="shared" si="84"/>
        <v>Base_With Amendment</v>
      </c>
      <c r="D1643" s="118" t="s">
        <v>134</v>
      </c>
      <c r="E1643" s="118" t="s">
        <v>180</v>
      </c>
      <c r="F1643" s="118" t="s">
        <v>46</v>
      </c>
      <c r="G1643" s="153"/>
      <c r="H1643" s="155">
        <v>0.82299999999999995</v>
      </c>
      <c r="I1643" s="154" t="s">
        <v>48</v>
      </c>
      <c r="J1643" s="203">
        <v>1.1610000000000001E-2</v>
      </c>
      <c r="K1643" s="154" t="s">
        <v>13</v>
      </c>
      <c r="L1643" s="154" t="str">
        <f>IF(OpenLCAbasic!K1643="CTUh", "Fill in Manually",IF(OR(K1643="Unit", K1643=""), "", INDEX(LookUps!$E$5:$E$12, MATCH(OpenLCAbasic!K1643,LookUps!$D$5:$D$12,0))))</f>
        <v>Eutrophication Potential (EP) - kg N eq</v>
      </c>
      <c r="M1643" s="154" t="str">
        <f t="shared" si="85"/>
        <v>Low_Base_High_Upgraded_Eutrophication Potential (EP) - kg N eq_Effluent release; wastewater treatment unit; at surface water; m3 wastewater - US_Base_With Amendment_Windrow</v>
      </c>
    </row>
    <row r="1644" spans="1:13" s="120" customFormat="1" x14ac:dyDescent="0.25">
      <c r="A1644" s="119"/>
      <c r="B1644" s="138" t="str">
        <f t="shared" si="83"/>
        <v>Windrow</v>
      </c>
      <c r="C1644" s="138" t="str">
        <f t="shared" si="84"/>
        <v>Base_With Amendment</v>
      </c>
      <c r="D1644" s="118" t="s">
        <v>134</v>
      </c>
      <c r="E1644" s="118" t="s">
        <v>180</v>
      </c>
      <c r="F1644" s="118" t="s">
        <v>46</v>
      </c>
      <c r="G1644" s="153"/>
      <c r="H1644" s="155">
        <v>0.14349999999999999</v>
      </c>
      <c r="I1644" s="154" t="s">
        <v>62</v>
      </c>
      <c r="J1644" s="204">
        <v>2.0200000000000001E-3</v>
      </c>
      <c r="K1644" s="154" t="s">
        <v>13</v>
      </c>
      <c r="L1644" s="154" t="str">
        <f>IF(OpenLCAbasic!K1644="CTUh", "Fill in Manually",IF(OR(K1644="Unit", K1644=""), "", INDEX(LookUps!$E$5:$E$12, MATCH(OpenLCAbasic!K1644,LookUps!$D$5:$D$12,0))))</f>
        <v>Eutrophication Potential (EP) - kg N eq</v>
      </c>
      <c r="M1644" s="154" t="str">
        <f t="shared" si="85"/>
        <v>Low_Base_High_Upgraded_Eutrophication Potential (EP) - kg N eq_Land application of compost; wastewater treatment unit; at updated plant - US_Base_With Amendment_Windrow</v>
      </c>
    </row>
    <row r="1645" spans="1:13" s="120" customFormat="1" x14ac:dyDescent="0.25">
      <c r="A1645" s="119"/>
      <c r="B1645" s="138" t="str">
        <f t="shared" si="83"/>
        <v>Windrow</v>
      </c>
      <c r="C1645" s="138" t="str">
        <f t="shared" si="84"/>
        <v>Base_With Amendment</v>
      </c>
      <c r="D1645" s="118" t="s">
        <v>134</v>
      </c>
      <c r="E1645" s="118" t="s">
        <v>180</v>
      </c>
      <c r="F1645" s="118" t="s">
        <v>46</v>
      </c>
      <c r="G1645" s="153"/>
      <c r="H1645" s="155">
        <v>3.8699999999999998E-2</v>
      </c>
      <c r="I1645" s="154" t="s">
        <v>55</v>
      </c>
      <c r="J1645" s="204">
        <v>5.5000000000000003E-4</v>
      </c>
      <c r="K1645" s="154" t="s">
        <v>13</v>
      </c>
      <c r="L1645" s="154" t="str">
        <f>IF(OpenLCAbasic!K1645="CTUh", "Fill in Manually",IF(OR(K1645="Unit", K1645=""), "", INDEX(LookUps!$E$5:$E$12, MATCH(OpenLCAbasic!K1645,LookUps!$D$5:$D$12,0))))</f>
        <v>Eutrophication Potential (EP) - kg N eq</v>
      </c>
      <c r="M1645" s="154" t="str">
        <f t="shared" si="85"/>
        <v>Low_Base_High_Upgraded_Eutrophication Potential (EP) - kg N eq_Aeration Tanks; wastewater treatment unit; at updated plant - US_Base_With Amendment_Windrow</v>
      </c>
    </row>
    <row r="1646" spans="1:13" s="120" customFormat="1" x14ac:dyDescent="0.25">
      <c r="A1646" s="119"/>
      <c r="B1646" s="138" t="str">
        <f t="shared" si="83"/>
        <v>Windrow</v>
      </c>
      <c r="C1646" s="138" t="str">
        <f t="shared" si="84"/>
        <v>Base_With Amendment</v>
      </c>
      <c r="D1646" s="118" t="s">
        <v>134</v>
      </c>
      <c r="E1646" s="118" t="s">
        <v>180</v>
      </c>
      <c r="F1646" s="118" t="s">
        <v>46</v>
      </c>
      <c r="G1646" s="153"/>
      <c r="H1646" s="155">
        <v>1.77E-2</v>
      </c>
      <c r="I1646" s="154" t="s">
        <v>147</v>
      </c>
      <c r="J1646" s="204">
        <v>2.5000000000000001E-4</v>
      </c>
      <c r="K1646" s="154" t="s">
        <v>13</v>
      </c>
      <c r="L1646" s="154" t="str">
        <f>IF(OpenLCAbasic!K1646="CTUh", "Fill in Manually",IF(OR(K1646="Unit", K1646=""), "", INDEX(LookUps!$E$5:$E$12, MATCH(OpenLCAbasic!K1646,LookUps!$D$5:$D$12,0))))</f>
        <v>Eutrophication Potential (EP) - kg N eq</v>
      </c>
      <c r="M1646" s="154" t="str">
        <f t="shared" si="85"/>
        <v>Low_Base_High_Upgraded_Eutrophication Potential (EP) - kg N eq_Influent Pump Station; wastewater treatment unit; at updated plant - US_Base_With Amendment_Windrow</v>
      </c>
    </row>
    <row r="1647" spans="1:13" s="120" customFormat="1" x14ac:dyDescent="0.25">
      <c r="A1647" s="119"/>
      <c r="B1647" s="138" t="str">
        <f t="shared" si="83"/>
        <v>Windrow</v>
      </c>
      <c r="C1647" s="138" t="str">
        <f t="shared" si="84"/>
        <v>Base_With Amendment</v>
      </c>
      <c r="D1647" s="118" t="s">
        <v>134</v>
      </c>
      <c r="E1647" s="118" t="s">
        <v>180</v>
      </c>
      <c r="F1647" s="118" t="s">
        <v>46</v>
      </c>
      <c r="G1647" s="153"/>
      <c r="H1647" s="155">
        <v>1.4E-2</v>
      </c>
      <c r="I1647" s="154" t="s">
        <v>54</v>
      </c>
      <c r="J1647" s="204">
        <v>2.0000000000000001E-4</v>
      </c>
      <c r="K1647" s="154" t="s">
        <v>13</v>
      </c>
      <c r="L1647" s="154" t="str">
        <f>IF(OpenLCAbasic!K1647="CTUh", "Fill in Manually",IF(OR(K1647="Unit", K1647=""), "", INDEX(LookUps!$E$5:$E$12, MATCH(OpenLCAbasic!K1647,LookUps!$D$5:$D$12,0))))</f>
        <v>Eutrophication Potential (EP) - kg N eq</v>
      </c>
      <c r="M1647" s="154" t="str">
        <f t="shared" si="85"/>
        <v>Low_Base_High_Upgraded_Eutrophication Potential (EP) - kg N eq_Clear Cove Primary Clarification; wastewater treatment unit; at updated plant - US_Base_With Amendment_Windrow</v>
      </c>
    </row>
    <row r="1648" spans="1:13" s="120" customFormat="1" x14ac:dyDescent="0.25">
      <c r="A1648" s="119"/>
      <c r="B1648" s="138" t="str">
        <f t="shared" si="83"/>
        <v>Windrow</v>
      </c>
      <c r="C1648" s="138" t="str">
        <f t="shared" si="84"/>
        <v>Base_With Amendment</v>
      </c>
      <c r="D1648" s="118" t="s">
        <v>134</v>
      </c>
      <c r="E1648" s="118" t="s">
        <v>180</v>
      </c>
      <c r="F1648" s="118" t="s">
        <v>46</v>
      </c>
      <c r="G1648" s="153"/>
      <c r="H1648" s="155">
        <v>1.1599999999999999E-2</v>
      </c>
      <c r="I1648" s="154" t="s">
        <v>167</v>
      </c>
      <c r="J1648" s="204">
        <v>1.6000000000000001E-4</v>
      </c>
      <c r="K1648" s="154" t="s">
        <v>13</v>
      </c>
      <c r="L1648" s="154" t="str">
        <f>IF(OpenLCAbasic!K1648="CTUh", "Fill in Manually",IF(OR(K1648="Unit", K1648=""), "", INDEX(LookUps!$E$5:$E$12, MATCH(OpenLCAbasic!K1648,LookUps!$D$5:$D$12,0))))</f>
        <v>Eutrophication Potential (EP) - kg N eq</v>
      </c>
      <c r="M1648" s="154" t="str">
        <f t="shared" si="85"/>
        <v>Low_Base_High_Upgraded_Eutrophication Potential (EP) - kg N eq_Waste Receiving and Holding; wastewater treatment unit; at updated plant - US_Base_With Amendment_Windrow</v>
      </c>
    </row>
    <row r="1649" spans="1:13" s="120" customFormat="1" x14ac:dyDescent="0.25">
      <c r="A1649" s="119"/>
      <c r="B1649" s="138" t="str">
        <f t="shared" si="83"/>
        <v>Windrow</v>
      </c>
      <c r="C1649" s="138" t="str">
        <f t="shared" si="84"/>
        <v>Base_With Amendment</v>
      </c>
      <c r="D1649" s="118" t="s">
        <v>134</v>
      </c>
      <c r="E1649" s="118" t="s">
        <v>180</v>
      </c>
      <c r="F1649" s="118" t="s">
        <v>46</v>
      </c>
      <c r="G1649" s="153"/>
      <c r="H1649" s="155">
        <v>9.5999999999999992E-3</v>
      </c>
      <c r="I1649" s="154" t="s">
        <v>58</v>
      </c>
      <c r="J1649" s="204">
        <v>1.3999999999999999E-4</v>
      </c>
      <c r="K1649" s="154" t="s">
        <v>13</v>
      </c>
      <c r="L1649" s="154" t="str">
        <f>IF(OpenLCAbasic!K1649="CTUh", "Fill in Manually",IF(OR(K1649="Unit", K1649=""), "", INDEX(LookUps!$E$5:$E$12, MATCH(OpenLCAbasic!K1649,LookUps!$D$5:$D$12,0))))</f>
        <v>Eutrophication Potential (EP) - kg N eq</v>
      </c>
      <c r="M1649" s="154" t="str">
        <f t="shared" si="85"/>
        <v>Low_Base_High_Upgraded_Eutrophication Potential (EP) - kg N eq_Pre-Anoxic &amp; Swing tank; wastewater treatment unit; at updated plant - US_Base_With Amendment_Windrow</v>
      </c>
    </row>
    <row r="1650" spans="1:13" s="120" customFormat="1" x14ac:dyDescent="0.25">
      <c r="A1650" s="119"/>
      <c r="B1650" s="138" t="str">
        <f t="shared" si="83"/>
        <v>Windrow</v>
      </c>
      <c r="C1650" s="138" t="str">
        <f t="shared" si="84"/>
        <v>Base_With Amendment</v>
      </c>
      <c r="D1650" s="118" t="s">
        <v>134</v>
      </c>
      <c r="E1650" s="118" t="s">
        <v>180</v>
      </c>
      <c r="F1650" s="118" t="s">
        <v>46</v>
      </c>
      <c r="G1650" s="153"/>
      <c r="H1650" s="155">
        <v>7.6E-3</v>
      </c>
      <c r="I1650" s="154" t="s">
        <v>53</v>
      </c>
      <c r="J1650" s="204">
        <v>1.1E-4</v>
      </c>
      <c r="K1650" s="154" t="s">
        <v>13</v>
      </c>
      <c r="L1650" s="154" t="str">
        <f>IF(OpenLCAbasic!K1650="CTUh", "Fill in Manually",IF(OR(K1650="Unit", K1650=""), "", INDEX(LookUps!$E$5:$E$12, MATCH(OpenLCAbasic!K1650,LookUps!$D$5:$D$12,0))))</f>
        <v>Eutrophication Potential (EP) - kg N eq</v>
      </c>
      <c r="M1650" s="154" t="str">
        <f t="shared" si="85"/>
        <v>Low_Base_High_Upgraded_Eutrophication Potential (EP) - kg N eq_Wet Well and Sump Station; wastewater treatment unit; at updated plant - US_Base_With Amendment_Windrow</v>
      </c>
    </row>
    <row r="1651" spans="1:13" s="120" customFormat="1" x14ac:dyDescent="0.25">
      <c r="A1651" s="119"/>
      <c r="B1651" s="138" t="str">
        <f t="shared" si="83"/>
        <v>Windrow</v>
      </c>
      <c r="C1651" s="138" t="str">
        <f t="shared" si="84"/>
        <v>Base_With Amendment</v>
      </c>
      <c r="D1651" s="118" t="s">
        <v>134</v>
      </c>
      <c r="E1651" s="118" t="s">
        <v>180</v>
      </c>
      <c r="F1651" s="118" t="s">
        <v>46</v>
      </c>
      <c r="G1651" s="153"/>
      <c r="H1651" s="155">
        <v>4.3E-3</v>
      </c>
      <c r="I1651" s="154" t="s">
        <v>271</v>
      </c>
      <c r="J1651" s="204">
        <v>6.07195E-5</v>
      </c>
      <c r="K1651" s="154" t="s">
        <v>13</v>
      </c>
      <c r="L1651" s="154" t="str">
        <f>IF(OpenLCAbasic!K1651="CTUh", "Fill in Manually",IF(OR(K1651="Unit", K1651=""), "", INDEX(LookUps!$E$5:$E$12, MATCH(OpenLCAbasic!K1651,LookUps!$D$5:$D$12,0))))</f>
        <v>Eutrophication Potential (EP) - kg N eq</v>
      </c>
      <c r="M1651" s="154" t="str">
        <f t="shared" si="85"/>
        <v>Low_Base_High_Upgraded_Eutrophication Potential (EP) - kg N eq_Biosolids composting; windrow composting; wastewater treatment unit; at updated plant - US_Base_With Amendment_Windrow</v>
      </c>
    </row>
    <row r="1652" spans="1:13" s="120" customFormat="1" x14ac:dyDescent="0.25">
      <c r="A1652" s="119"/>
      <c r="B1652" s="138" t="str">
        <f t="shared" si="83"/>
        <v>Windrow</v>
      </c>
      <c r="C1652" s="138" t="str">
        <f t="shared" si="84"/>
        <v>Base_With Amendment</v>
      </c>
      <c r="D1652" s="118" t="s">
        <v>134</v>
      </c>
      <c r="E1652" s="118" t="s">
        <v>180</v>
      </c>
      <c r="F1652" s="118" t="s">
        <v>46</v>
      </c>
      <c r="G1652" s="153"/>
      <c r="H1652" s="155">
        <v>4.3E-3</v>
      </c>
      <c r="I1652" s="154" t="s">
        <v>57</v>
      </c>
      <c r="J1652" s="204">
        <v>6.0590300000000002E-5</v>
      </c>
      <c r="K1652" s="154" t="s">
        <v>13</v>
      </c>
      <c r="L1652" s="154" t="str">
        <f>IF(OpenLCAbasic!K1652="CTUh", "Fill in Manually",IF(OR(K1652="Unit", K1652=""), "", INDEX(LookUps!$E$5:$E$12, MATCH(OpenLCAbasic!K1652,LookUps!$D$5:$D$12,0))))</f>
        <v>Eutrophication Potential (EP) - kg N eq</v>
      </c>
      <c r="M1652" s="154" t="str">
        <f t="shared" si="85"/>
        <v>Low_Base_High_Upgraded_Eutrophication Potential (EP) - kg N eq_Gravity Belt Thickener; wastewater treatment unit; at updated plant - US_Base_With Amendment_Windrow</v>
      </c>
    </row>
    <row r="1653" spans="1:13" s="120" customFormat="1" x14ac:dyDescent="0.25">
      <c r="A1653" s="119"/>
      <c r="B1653" s="138" t="str">
        <f t="shared" si="83"/>
        <v>Windrow</v>
      </c>
      <c r="C1653" s="138" t="str">
        <f t="shared" si="84"/>
        <v>Base_With Amendment</v>
      </c>
      <c r="D1653" s="118" t="s">
        <v>134</v>
      </c>
      <c r="E1653" s="118" t="s">
        <v>180</v>
      </c>
      <c r="F1653" s="118" t="s">
        <v>46</v>
      </c>
      <c r="G1653" s="153"/>
      <c r="H1653" s="155">
        <v>3.5000000000000001E-3</v>
      </c>
      <c r="I1653" s="154" t="s">
        <v>60</v>
      </c>
      <c r="J1653" s="204">
        <v>4.8791500000000002E-5</v>
      </c>
      <c r="K1653" s="154" t="s">
        <v>13</v>
      </c>
      <c r="L1653" s="154" t="str">
        <f>IF(OpenLCAbasic!K1653="CTUh", "Fill in Manually",IF(OR(K1653="Unit", K1653=""), "", INDEX(LookUps!$E$5:$E$12, MATCH(OpenLCAbasic!K1653,LookUps!$D$5:$D$12,0))))</f>
        <v>Eutrophication Potential (EP) - kg N eq</v>
      </c>
      <c r="M1653" s="154" t="str">
        <f t="shared" si="85"/>
        <v>Low_Base_High_Upgraded_Eutrophication Potential (EP) - kg N eq_Belt filter press; wastewater treatment unit; at updated plant - US_Base_With Amendment_Windrow</v>
      </c>
    </row>
    <row r="1654" spans="1:13" s="120" customFormat="1" x14ac:dyDescent="0.25">
      <c r="A1654" s="119"/>
      <c r="B1654" s="138" t="str">
        <f t="shared" si="83"/>
        <v>Windrow</v>
      </c>
      <c r="C1654" s="138" t="str">
        <f t="shared" si="84"/>
        <v>Base_With Amendment</v>
      </c>
      <c r="D1654" s="118" t="s">
        <v>134</v>
      </c>
      <c r="E1654" s="118" t="s">
        <v>180</v>
      </c>
      <c r="F1654" s="118" t="s">
        <v>46</v>
      </c>
      <c r="G1654" s="153"/>
      <c r="H1654" s="155">
        <v>2.7000000000000001E-3</v>
      </c>
      <c r="I1654" s="154" t="s">
        <v>128</v>
      </c>
      <c r="J1654" s="204">
        <v>3.7559799999999999E-5</v>
      </c>
      <c r="K1654" s="154" t="s">
        <v>13</v>
      </c>
      <c r="L1654" s="154" t="str">
        <f>IF(OpenLCAbasic!K1654="CTUh", "Fill in Manually",IF(OR(K1654="Unit", K1654=""), "", INDEX(LookUps!$E$5:$E$12, MATCH(OpenLCAbasic!K1654,LookUps!$D$5:$D$12,0))))</f>
        <v>Eutrophication Potential (EP) - kg N eq</v>
      </c>
      <c r="M1654" s="154" t="str">
        <f t="shared" si="85"/>
        <v>Low_Base_High_Upgraded_Eutrophication Potential (EP) - kg N eq_Wastewater collection; operation and infrastructure; m3 wastewater_Base_With Amendment_Windrow</v>
      </c>
    </row>
    <row r="1655" spans="1:13" s="120" customFormat="1" x14ac:dyDescent="0.25">
      <c r="A1655" s="119"/>
      <c r="B1655" s="138" t="str">
        <f t="shared" si="83"/>
        <v>Windrow</v>
      </c>
      <c r="C1655" s="138" t="str">
        <f t="shared" si="84"/>
        <v>Base_With Amendment</v>
      </c>
      <c r="D1655" s="118" t="s">
        <v>134</v>
      </c>
      <c r="E1655" s="118" t="s">
        <v>180</v>
      </c>
      <c r="F1655" s="118" t="s">
        <v>46</v>
      </c>
      <c r="G1655" s="153"/>
      <c r="H1655" s="155">
        <v>2.5999999999999999E-3</v>
      </c>
      <c r="I1655" s="154" t="s">
        <v>148</v>
      </c>
      <c r="J1655" s="204">
        <v>3.6874600000000001E-5</v>
      </c>
      <c r="K1655" s="154" t="s">
        <v>13</v>
      </c>
      <c r="L1655" s="154" t="str">
        <f>IF(OpenLCAbasic!K1655="CTUh", "Fill in Manually",IF(OR(K1655="Unit", K1655=""), "", INDEX(LookUps!$E$5:$E$12, MATCH(OpenLCAbasic!K1655,LookUps!$D$5:$D$12,0))))</f>
        <v>Eutrophication Potential (EP) - kg N eq</v>
      </c>
      <c r="M1655" s="154" t="str">
        <f t="shared" si="85"/>
        <v>Low_Base_High_Upgraded_Eutrophication Potential (EP) - kg N eq_Control Building; at upgraded wastewater treatment plant - US_Base_With Amendment_Windrow</v>
      </c>
    </row>
    <row r="1656" spans="1:13" s="120" customFormat="1" x14ac:dyDescent="0.25">
      <c r="A1656" s="119"/>
      <c r="B1656" s="138" t="str">
        <f t="shared" si="83"/>
        <v>Windrow</v>
      </c>
      <c r="C1656" s="138" t="str">
        <f t="shared" si="84"/>
        <v>Base_With Amendment</v>
      </c>
      <c r="D1656" s="118" t="s">
        <v>134</v>
      </c>
      <c r="E1656" s="118" t="s">
        <v>180</v>
      </c>
      <c r="F1656" s="118" t="s">
        <v>46</v>
      </c>
      <c r="G1656" s="153"/>
      <c r="H1656" s="155">
        <v>1.1000000000000001E-3</v>
      </c>
      <c r="I1656" s="154" t="s">
        <v>59</v>
      </c>
      <c r="J1656" s="204">
        <v>1.6215700000000001E-5</v>
      </c>
      <c r="K1656" s="154" t="s">
        <v>13</v>
      </c>
      <c r="L1656" s="154" t="str">
        <f>IF(OpenLCAbasic!K1656="CTUh", "Fill in Manually",IF(OR(K1656="Unit", K1656=""), "", INDEX(LookUps!$E$5:$E$12, MATCH(OpenLCAbasic!K1656,LookUps!$D$5:$D$12,0))))</f>
        <v>Eutrophication Potential (EP) - kg N eq</v>
      </c>
      <c r="M1656" s="154" t="str">
        <f t="shared" si="85"/>
        <v>Low_Base_High_Upgraded_Eutrophication Potential (EP) - kg N eq_Blend Tank; wastewater treatment unit; at updated plant - US_Base_With Amendment_Windrow</v>
      </c>
    </row>
    <row r="1657" spans="1:13" s="120" customFormat="1" x14ac:dyDescent="0.25">
      <c r="A1657" s="119"/>
      <c r="B1657" s="138" t="str">
        <f t="shared" si="83"/>
        <v>Windrow</v>
      </c>
      <c r="C1657" s="138" t="str">
        <f t="shared" si="84"/>
        <v>Base_With Amendment</v>
      </c>
      <c r="D1657" s="118" t="s">
        <v>134</v>
      </c>
      <c r="E1657" s="118" t="s">
        <v>180</v>
      </c>
      <c r="F1657" s="118" t="s">
        <v>46</v>
      </c>
      <c r="G1657" s="153"/>
      <c r="H1657" s="155">
        <v>5.0000000000000001E-4</v>
      </c>
      <c r="I1657" s="154" t="s">
        <v>168</v>
      </c>
      <c r="J1657" s="204">
        <v>7.7567199999999995E-6</v>
      </c>
      <c r="K1657" s="154" t="s">
        <v>13</v>
      </c>
      <c r="L1657" s="154" t="str">
        <f>IF(OpenLCAbasic!K1657="CTUh", "Fill in Manually",IF(OR(K1657="Unit", K1657=""), "", INDEX(LookUps!$E$5:$E$12, MATCH(OpenLCAbasic!K1657,LookUps!$D$5:$D$12,0))))</f>
        <v>Eutrophication Potential (EP) - kg N eq</v>
      </c>
      <c r="M1657" s="154" t="str">
        <f t="shared" si="85"/>
        <v>Low_Base_High_Upgraded_Eutrophication Potential (EP) - kg N eq_ClearCove SCP; wastewater treatment unit; at updated plant - US_Base_With Amendment_Windrow</v>
      </c>
    </row>
    <row r="1658" spans="1:13" s="120" customFormat="1" x14ac:dyDescent="0.25">
      <c r="A1658" s="119"/>
      <c r="B1658" s="138" t="str">
        <f t="shared" si="83"/>
        <v>Windrow</v>
      </c>
      <c r="C1658" s="138" t="str">
        <f t="shared" si="84"/>
        <v>Base_With Amendment</v>
      </c>
      <c r="D1658" s="118" t="s">
        <v>134</v>
      </c>
      <c r="E1658" s="118" t="s">
        <v>180</v>
      </c>
      <c r="F1658" s="118" t="s">
        <v>46</v>
      </c>
      <c r="G1658" s="153"/>
      <c r="H1658" s="155">
        <v>-8.48E-2</v>
      </c>
      <c r="I1658" s="154" t="s">
        <v>149</v>
      </c>
      <c r="J1658" s="204">
        <v>-1.1999999999999999E-3</v>
      </c>
      <c r="K1658" s="154" t="s">
        <v>13</v>
      </c>
      <c r="L1658" s="154" t="str">
        <f>IF(OpenLCAbasic!K1658="CTUh", "Fill in Manually",IF(OR(K1658="Unit", K1658=""), "", INDEX(LookUps!$E$5:$E$12, MATCH(OpenLCAbasic!K1658,LookUps!$D$5:$D$12,0))))</f>
        <v>Eutrophication Potential (EP) - kg N eq</v>
      </c>
      <c r="M1658" s="154" t="str">
        <f t="shared" si="85"/>
        <v>Low_Base_High_Upgraded_Eutrophication Potential (EP) - kg N eq_Anaerobic Digestion; wastewater treatment unit; at updated plant - US_Base_With Amendment_Windrow</v>
      </c>
    </row>
    <row r="1659" spans="1:13" s="120" customFormat="1" x14ac:dyDescent="0.25">
      <c r="A1659" s="119"/>
      <c r="B1659" s="138" t="str">
        <f t="shared" si="83"/>
        <v>Windrow</v>
      </c>
      <c r="C1659" s="138" t="str">
        <f t="shared" si="84"/>
        <v>Base_With Amendment</v>
      </c>
      <c r="D1659" s="118" t="s">
        <v>134</v>
      </c>
      <c r="E1659" s="118" t="s">
        <v>180</v>
      </c>
      <c r="F1659" s="118" t="s">
        <v>46</v>
      </c>
      <c r="G1659" s="153" t="s">
        <v>51</v>
      </c>
      <c r="H1659" s="154"/>
      <c r="I1659" s="154" t="s">
        <v>47</v>
      </c>
      <c r="J1659" s="205" t="s">
        <v>52</v>
      </c>
      <c r="K1659" s="154" t="s">
        <v>27</v>
      </c>
      <c r="L1659" s="154" t="str">
        <f>IF(OpenLCAbasic!K1659="CTUh", "Fill in Manually",IF(OR(K1659="Unit", K1659=""), "", INDEX(LookUps!$E$5:$E$12, MATCH(OpenLCAbasic!K1659,LookUps!$D$5:$D$12,0))))</f>
        <v/>
      </c>
      <c r="M1659" s="154" t="str">
        <f t="shared" si="85"/>
        <v>Low_Base_High_Upgraded__Process_Base_With Amendment_Windrow</v>
      </c>
    </row>
    <row r="1660" spans="1:13" s="120" customFormat="1" x14ac:dyDescent="0.25">
      <c r="A1660" s="119"/>
      <c r="B1660" s="138" t="str">
        <f t="shared" si="83"/>
        <v>Windrow</v>
      </c>
      <c r="C1660" s="138" t="str">
        <f t="shared" si="84"/>
        <v>Base_With Amendment</v>
      </c>
      <c r="D1660" s="118" t="s">
        <v>134</v>
      </c>
      <c r="E1660" s="118" t="s">
        <v>180</v>
      </c>
      <c r="F1660" s="118" t="s">
        <v>46</v>
      </c>
      <c r="G1660" s="153"/>
      <c r="H1660" s="155">
        <v>16.1159</v>
      </c>
      <c r="I1660" s="154" t="s">
        <v>55</v>
      </c>
      <c r="J1660" s="157">
        <v>3.5330499999999998</v>
      </c>
      <c r="K1660" s="154" t="s">
        <v>15</v>
      </c>
      <c r="L1660" s="154" t="str">
        <f>IF(OpenLCAbasic!K1660="CTUh", "Fill in Manually",IF(OR(K1660="Unit", K1660=""), "", INDEX(LookUps!$E$5:$E$12, MATCH(OpenLCAbasic!K1660,LookUps!$D$5:$D$12,0))))</f>
        <v>Cumulative Energy Demand (CED) - MJ</v>
      </c>
      <c r="M1660" s="154" t="str">
        <f t="shared" si="85"/>
        <v>Low_Base_High_Upgraded_Cumulative Energy Demand (CED) - MJ_Aeration Tanks; wastewater treatment unit; at updated plant - US_Base_With Amendment_Windrow</v>
      </c>
    </row>
    <row r="1661" spans="1:13" s="120" customFormat="1" x14ac:dyDescent="0.25">
      <c r="A1661" s="119"/>
      <c r="B1661" s="138" t="str">
        <f t="shared" si="83"/>
        <v>Windrow</v>
      </c>
      <c r="C1661" s="138" t="str">
        <f t="shared" si="84"/>
        <v>Base_With Amendment</v>
      </c>
      <c r="D1661" s="118" t="s">
        <v>134</v>
      </c>
      <c r="E1661" s="118" t="s">
        <v>180</v>
      </c>
      <c r="F1661" s="118" t="s">
        <v>46</v>
      </c>
      <c r="G1661" s="153"/>
      <c r="H1661" s="155">
        <v>15.9573</v>
      </c>
      <c r="I1661" s="154" t="s">
        <v>167</v>
      </c>
      <c r="J1661" s="157">
        <v>3.4982700000000002</v>
      </c>
      <c r="K1661" s="154" t="s">
        <v>15</v>
      </c>
      <c r="L1661" s="154" t="str">
        <f>IF(OpenLCAbasic!K1661="CTUh", "Fill in Manually",IF(OR(K1661="Unit", K1661=""), "", INDEX(LookUps!$E$5:$E$12, MATCH(OpenLCAbasic!K1661,LookUps!$D$5:$D$12,0))))</f>
        <v>Cumulative Energy Demand (CED) - MJ</v>
      </c>
      <c r="M1661" s="154" t="str">
        <f t="shared" si="85"/>
        <v>Low_Base_High_Upgraded_Cumulative Energy Demand (CED) - MJ_Waste Receiving and Holding; wastewater treatment unit; at updated plant - US_Base_With Amendment_Windrow</v>
      </c>
    </row>
    <row r="1662" spans="1:13" s="120" customFormat="1" x14ac:dyDescent="0.25">
      <c r="A1662" s="119"/>
      <c r="B1662" s="138" t="str">
        <f t="shared" si="83"/>
        <v>Windrow</v>
      </c>
      <c r="C1662" s="138" t="str">
        <f t="shared" si="84"/>
        <v>Base_With Amendment</v>
      </c>
      <c r="D1662" s="118" t="s">
        <v>134</v>
      </c>
      <c r="E1662" s="118" t="s">
        <v>180</v>
      </c>
      <c r="F1662" s="118" t="s">
        <v>46</v>
      </c>
      <c r="G1662" s="153"/>
      <c r="H1662" s="155">
        <v>5.3045</v>
      </c>
      <c r="I1662" s="154" t="s">
        <v>54</v>
      </c>
      <c r="J1662" s="157">
        <v>1.16289</v>
      </c>
      <c r="K1662" s="154" t="s">
        <v>15</v>
      </c>
      <c r="L1662" s="154" t="str">
        <f>IF(OpenLCAbasic!K1662="CTUh", "Fill in Manually",IF(OR(K1662="Unit", K1662=""), "", INDEX(LookUps!$E$5:$E$12, MATCH(OpenLCAbasic!K1662,LookUps!$D$5:$D$12,0))))</f>
        <v>Cumulative Energy Demand (CED) - MJ</v>
      </c>
      <c r="M1662" s="154" t="str">
        <f t="shared" si="85"/>
        <v>Low_Base_High_Upgraded_Cumulative Energy Demand (CED) - MJ_Clear Cove Primary Clarification; wastewater treatment unit; at updated plant - US_Base_With Amendment_Windrow</v>
      </c>
    </row>
    <row r="1663" spans="1:13" s="120" customFormat="1" x14ac:dyDescent="0.25">
      <c r="A1663" s="119"/>
      <c r="B1663" s="138" t="str">
        <f t="shared" si="83"/>
        <v>Windrow</v>
      </c>
      <c r="C1663" s="138" t="str">
        <f t="shared" si="84"/>
        <v>Base_With Amendment</v>
      </c>
      <c r="D1663" s="118" t="s">
        <v>134</v>
      </c>
      <c r="E1663" s="118" t="s">
        <v>180</v>
      </c>
      <c r="F1663" s="118" t="s">
        <v>46</v>
      </c>
      <c r="G1663" s="153"/>
      <c r="H1663" s="155">
        <v>4.0331000000000001</v>
      </c>
      <c r="I1663" s="154" t="s">
        <v>58</v>
      </c>
      <c r="J1663" s="203">
        <v>0.88417000000000001</v>
      </c>
      <c r="K1663" s="154" t="s">
        <v>15</v>
      </c>
      <c r="L1663" s="154" t="str">
        <f>IF(OpenLCAbasic!K1663="CTUh", "Fill in Manually",IF(OR(K1663="Unit", K1663=""), "", INDEX(LookUps!$E$5:$E$12, MATCH(OpenLCAbasic!K1663,LookUps!$D$5:$D$12,0))))</f>
        <v>Cumulative Energy Demand (CED) - MJ</v>
      </c>
      <c r="M1663" s="154" t="str">
        <f t="shared" si="85"/>
        <v>Low_Base_High_Upgraded_Cumulative Energy Demand (CED) - MJ_Pre-Anoxic &amp; Swing tank; wastewater treatment unit; at updated plant - US_Base_With Amendment_Windrow</v>
      </c>
    </row>
    <row r="1664" spans="1:13" s="120" customFormat="1" x14ac:dyDescent="0.25">
      <c r="A1664" s="119"/>
      <c r="B1664" s="138" t="str">
        <f t="shared" si="83"/>
        <v>Windrow</v>
      </c>
      <c r="C1664" s="138" t="str">
        <f t="shared" si="84"/>
        <v>Base_With Amendment</v>
      </c>
      <c r="D1664" s="118" t="s">
        <v>134</v>
      </c>
      <c r="E1664" s="118" t="s">
        <v>180</v>
      </c>
      <c r="F1664" s="118" t="s">
        <v>46</v>
      </c>
      <c r="G1664" s="153"/>
      <c r="H1664" s="155">
        <v>4.0277000000000003</v>
      </c>
      <c r="I1664" s="154" t="s">
        <v>147</v>
      </c>
      <c r="J1664" s="203">
        <v>0.88297000000000003</v>
      </c>
      <c r="K1664" s="154" t="s">
        <v>15</v>
      </c>
      <c r="L1664" s="154" t="str">
        <f>IF(OpenLCAbasic!K1664="CTUh", "Fill in Manually",IF(OR(K1664="Unit", K1664=""), "", INDEX(LookUps!$E$5:$E$12, MATCH(OpenLCAbasic!K1664,LookUps!$D$5:$D$12,0))))</f>
        <v>Cumulative Energy Demand (CED) - MJ</v>
      </c>
      <c r="M1664" s="154" t="str">
        <f t="shared" si="85"/>
        <v>Low_Base_High_Upgraded_Cumulative Energy Demand (CED) - MJ_Influent Pump Station; wastewater treatment unit; at updated plant - US_Base_With Amendment_Windrow</v>
      </c>
    </row>
    <row r="1665" spans="1:13" s="120" customFormat="1" x14ac:dyDescent="0.25">
      <c r="A1665" s="119"/>
      <c r="B1665" s="138" t="str">
        <f t="shared" si="83"/>
        <v>Windrow</v>
      </c>
      <c r="C1665" s="138" t="str">
        <f t="shared" si="84"/>
        <v>Base_With Amendment</v>
      </c>
      <c r="D1665" s="118" t="s">
        <v>134</v>
      </c>
      <c r="E1665" s="118" t="s">
        <v>180</v>
      </c>
      <c r="F1665" s="118" t="s">
        <v>46</v>
      </c>
      <c r="G1665" s="153"/>
      <c r="H1665" s="155">
        <v>3.1768000000000001</v>
      </c>
      <c r="I1665" s="154" t="s">
        <v>53</v>
      </c>
      <c r="J1665" s="203">
        <v>0.69645000000000001</v>
      </c>
      <c r="K1665" s="154" t="s">
        <v>15</v>
      </c>
      <c r="L1665" s="154" t="str">
        <f>IF(OpenLCAbasic!K1665="CTUh", "Fill in Manually",IF(OR(K1665="Unit", K1665=""), "", INDEX(LookUps!$E$5:$E$12, MATCH(OpenLCAbasic!K1665,LookUps!$D$5:$D$12,0))))</f>
        <v>Cumulative Energy Demand (CED) - MJ</v>
      </c>
      <c r="M1665" s="154" t="str">
        <f t="shared" si="85"/>
        <v>Low_Base_High_Upgraded_Cumulative Energy Demand (CED) - MJ_Wet Well and Sump Station; wastewater treatment unit; at updated plant - US_Base_With Amendment_Windrow</v>
      </c>
    </row>
    <row r="1666" spans="1:13" s="120" customFormat="1" x14ac:dyDescent="0.25">
      <c r="A1666" s="119"/>
      <c r="B1666" s="138" t="str">
        <f t="shared" si="83"/>
        <v>Windrow</v>
      </c>
      <c r="C1666" s="138" t="str">
        <f t="shared" si="84"/>
        <v>Base_With Amendment</v>
      </c>
      <c r="D1666" s="118" t="s">
        <v>134</v>
      </c>
      <c r="E1666" s="118" t="s">
        <v>180</v>
      </c>
      <c r="F1666" s="118" t="s">
        <v>46</v>
      </c>
      <c r="G1666" s="153"/>
      <c r="H1666" s="155">
        <v>1.5237000000000001</v>
      </c>
      <c r="I1666" s="154" t="s">
        <v>57</v>
      </c>
      <c r="J1666" s="203">
        <v>0.33404</v>
      </c>
      <c r="K1666" s="154" t="s">
        <v>15</v>
      </c>
      <c r="L1666" s="154" t="str">
        <f>IF(OpenLCAbasic!K1666="CTUh", "Fill in Manually",IF(OR(K1666="Unit", K1666=""), "", INDEX(LookUps!$E$5:$E$12, MATCH(OpenLCAbasic!K1666,LookUps!$D$5:$D$12,0))))</f>
        <v>Cumulative Energy Demand (CED) - MJ</v>
      </c>
      <c r="M1666" s="154" t="str">
        <f t="shared" si="85"/>
        <v>Low_Base_High_Upgraded_Cumulative Energy Demand (CED) - MJ_Gravity Belt Thickener; wastewater treatment unit; at updated plant - US_Base_With Amendment_Windrow</v>
      </c>
    </row>
    <row r="1667" spans="1:13" s="120" customFormat="1" x14ac:dyDescent="0.25">
      <c r="A1667" s="119"/>
      <c r="B1667" s="138" t="str">
        <f t="shared" si="83"/>
        <v>Windrow</v>
      </c>
      <c r="C1667" s="138" t="str">
        <f t="shared" si="84"/>
        <v>Base_With Amendment</v>
      </c>
      <c r="D1667" s="118" t="s">
        <v>134</v>
      </c>
      <c r="E1667" s="118" t="s">
        <v>180</v>
      </c>
      <c r="F1667" s="118" t="s">
        <v>46</v>
      </c>
      <c r="G1667" s="153"/>
      <c r="H1667" s="155">
        <v>1.2669999999999999</v>
      </c>
      <c r="I1667" s="154" t="s">
        <v>60</v>
      </c>
      <c r="J1667" s="203">
        <v>0.27775</v>
      </c>
      <c r="K1667" s="154" t="s">
        <v>15</v>
      </c>
      <c r="L1667" s="154" t="str">
        <f>IF(OpenLCAbasic!K1667="CTUh", "Fill in Manually",IF(OR(K1667="Unit", K1667=""), "", INDEX(LookUps!$E$5:$E$12, MATCH(OpenLCAbasic!K1667,LookUps!$D$5:$D$12,0))))</f>
        <v>Cumulative Energy Demand (CED) - MJ</v>
      </c>
      <c r="M1667" s="154" t="str">
        <f t="shared" si="85"/>
        <v>Low_Base_High_Upgraded_Cumulative Energy Demand (CED) - MJ_Belt filter press; wastewater treatment unit; at updated plant - US_Base_With Amendment_Windrow</v>
      </c>
    </row>
    <row r="1668" spans="1:13" s="120" customFormat="1" x14ac:dyDescent="0.25">
      <c r="A1668" s="119"/>
      <c r="B1668" s="138" t="str">
        <f t="shared" si="83"/>
        <v>Windrow</v>
      </c>
      <c r="C1668" s="138" t="str">
        <f t="shared" si="84"/>
        <v>Base_With Amendment</v>
      </c>
      <c r="D1668" s="118" t="s">
        <v>134</v>
      </c>
      <c r="E1668" s="118" t="s">
        <v>180</v>
      </c>
      <c r="F1668" s="118" t="s">
        <v>46</v>
      </c>
      <c r="G1668" s="153"/>
      <c r="H1668" s="155">
        <v>1.1679999999999999</v>
      </c>
      <c r="I1668" s="154" t="s">
        <v>128</v>
      </c>
      <c r="J1668" s="203">
        <v>0.25606000000000001</v>
      </c>
      <c r="K1668" s="154" t="s">
        <v>15</v>
      </c>
      <c r="L1668" s="154" t="str">
        <f>IF(OpenLCAbasic!K1668="CTUh", "Fill in Manually",IF(OR(K1668="Unit", K1668=""), "", INDEX(LookUps!$E$5:$E$12, MATCH(OpenLCAbasic!K1668,LookUps!$D$5:$D$12,0))))</f>
        <v>Cumulative Energy Demand (CED) - MJ</v>
      </c>
      <c r="M1668" s="154" t="str">
        <f t="shared" si="85"/>
        <v>Low_Base_High_Upgraded_Cumulative Energy Demand (CED) - MJ_Wastewater collection; operation and infrastructure; m3 wastewater_Base_With Amendment_Windrow</v>
      </c>
    </row>
    <row r="1669" spans="1:13" s="120" customFormat="1" x14ac:dyDescent="0.25">
      <c r="A1669" s="119"/>
      <c r="B1669" s="138" t="str">
        <f t="shared" si="83"/>
        <v>Windrow</v>
      </c>
      <c r="C1669" s="138" t="str">
        <f t="shared" si="84"/>
        <v>Base_With Amendment</v>
      </c>
      <c r="D1669" s="118" t="s">
        <v>134</v>
      </c>
      <c r="E1669" s="118" t="s">
        <v>180</v>
      </c>
      <c r="F1669" s="118" t="s">
        <v>46</v>
      </c>
      <c r="G1669" s="153"/>
      <c r="H1669" s="155">
        <v>0.66590000000000005</v>
      </c>
      <c r="I1669" s="154" t="s">
        <v>148</v>
      </c>
      <c r="J1669" s="203">
        <v>0.14599000000000001</v>
      </c>
      <c r="K1669" s="154" t="s">
        <v>15</v>
      </c>
      <c r="L1669" s="154" t="str">
        <f>IF(OpenLCAbasic!K1669="CTUh", "Fill in Manually",IF(OR(K1669="Unit", K1669=""), "", INDEX(LookUps!$E$5:$E$12, MATCH(OpenLCAbasic!K1669,LookUps!$D$5:$D$12,0))))</f>
        <v>Cumulative Energy Demand (CED) - MJ</v>
      </c>
      <c r="M1669" s="154" t="str">
        <f t="shared" si="85"/>
        <v>Low_Base_High_Upgraded_Cumulative Energy Demand (CED) - MJ_Control Building; at upgraded wastewater treatment plant - US_Base_With Amendment_Windrow</v>
      </c>
    </row>
    <row r="1670" spans="1:13" s="120" customFormat="1" x14ac:dyDescent="0.25">
      <c r="A1670" s="119"/>
      <c r="B1670" s="138" t="str">
        <f t="shared" ref="B1670:B1733" si="86">IF(F1670="Legacy","n.a.",IF(F1670="","","Windrow"))</f>
        <v>Windrow</v>
      </c>
      <c r="C1670" s="138" t="str">
        <f t="shared" si="84"/>
        <v>Base_With Amendment</v>
      </c>
      <c r="D1670" s="118" t="s">
        <v>134</v>
      </c>
      <c r="E1670" s="118" t="s">
        <v>180</v>
      </c>
      <c r="F1670" s="118" t="s">
        <v>46</v>
      </c>
      <c r="G1670" s="153"/>
      <c r="H1670" s="155">
        <v>0.60760000000000003</v>
      </c>
      <c r="I1670" s="154" t="s">
        <v>48</v>
      </c>
      <c r="J1670" s="203">
        <v>0.13321</v>
      </c>
      <c r="K1670" s="154" t="s">
        <v>15</v>
      </c>
      <c r="L1670" s="154" t="str">
        <f>IF(OpenLCAbasic!K1670="CTUh", "Fill in Manually",IF(OR(K1670="Unit", K1670=""), "", INDEX(LookUps!$E$5:$E$12, MATCH(OpenLCAbasic!K1670,LookUps!$D$5:$D$12,0))))</f>
        <v>Cumulative Energy Demand (CED) - MJ</v>
      </c>
      <c r="M1670" s="154" t="str">
        <f t="shared" si="85"/>
        <v>Low_Base_High_Upgraded_Cumulative Energy Demand (CED) - MJ_Effluent release; wastewater treatment unit; at surface water; m3 wastewater - US_Base_With Amendment_Windrow</v>
      </c>
    </row>
    <row r="1671" spans="1:13" s="120" customFormat="1" x14ac:dyDescent="0.25">
      <c r="A1671" s="119"/>
      <c r="B1671" s="138" t="str">
        <f t="shared" si="86"/>
        <v>Windrow</v>
      </c>
      <c r="C1671" s="138" t="str">
        <f t="shared" ref="C1671:C1734" si="87">IF(E1671&lt;&gt;"", "Base_With Amendment","")</f>
        <v>Base_With Amendment</v>
      </c>
      <c r="D1671" s="118" t="s">
        <v>134</v>
      </c>
      <c r="E1671" s="118" t="s">
        <v>180</v>
      </c>
      <c r="F1671" s="118" t="s">
        <v>46</v>
      </c>
      <c r="G1671" s="153"/>
      <c r="H1671" s="155">
        <v>0.48520000000000002</v>
      </c>
      <c r="I1671" s="154" t="s">
        <v>59</v>
      </c>
      <c r="J1671" s="203">
        <v>0.10638</v>
      </c>
      <c r="K1671" s="154" t="s">
        <v>15</v>
      </c>
      <c r="L1671" s="154" t="str">
        <f>IF(OpenLCAbasic!K1671="CTUh", "Fill in Manually",IF(OR(K1671="Unit", K1671=""), "", INDEX(LookUps!$E$5:$E$12, MATCH(OpenLCAbasic!K1671,LookUps!$D$5:$D$12,0))))</f>
        <v>Cumulative Energy Demand (CED) - MJ</v>
      </c>
      <c r="M1671" s="154" t="str">
        <f t="shared" ref="M1671:M1734" si="88">CONCATENATE(E1671,"_",D1671,"_",F1671,"_",L1671, "_",I1671,"_", C1671,"_", B1671)</f>
        <v>Low_Base_High_Upgraded_Cumulative Energy Demand (CED) - MJ_Blend Tank; wastewater treatment unit; at updated plant - US_Base_With Amendment_Windrow</v>
      </c>
    </row>
    <row r="1672" spans="1:13" s="120" customFormat="1" x14ac:dyDescent="0.25">
      <c r="A1672" s="119"/>
      <c r="B1672" s="138" t="str">
        <f t="shared" si="86"/>
        <v>Windrow</v>
      </c>
      <c r="C1672" s="138" t="str">
        <f t="shared" si="87"/>
        <v>Base_With Amendment</v>
      </c>
      <c r="D1672" s="118" t="s">
        <v>134</v>
      </c>
      <c r="E1672" s="118" t="s">
        <v>180</v>
      </c>
      <c r="F1672" s="118" t="s">
        <v>46</v>
      </c>
      <c r="G1672" s="153"/>
      <c r="H1672" s="155">
        <v>0.23230000000000001</v>
      </c>
      <c r="I1672" s="154" t="s">
        <v>168</v>
      </c>
      <c r="J1672" s="203">
        <v>5.0930000000000003E-2</v>
      </c>
      <c r="K1672" s="154" t="s">
        <v>15</v>
      </c>
      <c r="L1672" s="154" t="str">
        <f>IF(OpenLCAbasic!K1672="CTUh", "Fill in Manually",IF(OR(K1672="Unit", K1672=""), "", INDEX(LookUps!$E$5:$E$12, MATCH(OpenLCAbasic!K1672,LookUps!$D$5:$D$12,0))))</f>
        <v>Cumulative Energy Demand (CED) - MJ</v>
      </c>
      <c r="M1672" s="154" t="str">
        <f t="shared" si="88"/>
        <v>Low_Base_High_Upgraded_Cumulative Energy Demand (CED) - MJ_ClearCove SCP; wastewater treatment unit; at updated plant - US_Base_With Amendment_Windrow</v>
      </c>
    </row>
    <row r="1673" spans="1:13" s="120" customFormat="1" x14ac:dyDescent="0.25">
      <c r="A1673" s="119"/>
      <c r="B1673" s="138" t="str">
        <f t="shared" si="86"/>
        <v>Windrow</v>
      </c>
      <c r="C1673" s="138" t="str">
        <f t="shared" si="87"/>
        <v>Base_With Amendment</v>
      </c>
      <c r="D1673" s="118" t="s">
        <v>134</v>
      </c>
      <c r="E1673" s="118" t="s">
        <v>180</v>
      </c>
      <c r="F1673" s="118" t="s">
        <v>46</v>
      </c>
      <c r="G1673" s="153"/>
      <c r="H1673" s="155">
        <v>9.1300000000000006E-2</v>
      </c>
      <c r="I1673" s="154" t="s">
        <v>271</v>
      </c>
      <c r="J1673" s="203">
        <v>2.001E-2</v>
      </c>
      <c r="K1673" s="154" t="s">
        <v>15</v>
      </c>
      <c r="L1673" s="154" t="str">
        <f>IF(OpenLCAbasic!K1673="CTUh", "Fill in Manually",IF(OR(K1673="Unit", K1673=""), "", INDEX(LookUps!$E$5:$E$12, MATCH(OpenLCAbasic!K1673,LookUps!$D$5:$D$12,0))))</f>
        <v>Cumulative Energy Demand (CED) - MJ</v>
      </c>
      <c r="M1673" s="154" t="str">
        <f t="shared" si="88"/>
        <v>Low_Base_High_Upgraded_Cumulative Energy Demand (CED) - MJ_Biosolids composting; windrow composting; wastewater treatment unit; at updated plant - US_Base_With Amendment_Windrow</v>
      </c>
    </row>
    <row r="1674" spans="1:13" s="120" customFormat="1" x14ac:dyDescent="0.25">
      <c r="A1674" s="119"/>
      <c r="B1674" s="138" t="str">
        <f t="shared" si="86"/>
        <v>Windrow</v>
      </c>
      <c r="C1674" s="138" t="str">
        <f t="shared" si="87"/>
        <v>Base_With Amendment</v>
      </c>
      <c r="D1674" s="118" t="s">
        <v>134</v>
      </c>
      <c r="E1674" s="118" t="s">
        <v>180</v>
      </c>
      <c r="F1674" s="118" t="s">
        <v>46</v>
      </c>
      <c r="G1674" s="153"/>
      <c r="H1674" s="155">
        <v>-2.0543</v>
      </c>
      <c r="I1674" s="154" t="s">
        <v>62</v>
      </c>
      <c r="J1674" s="203">
        <v>-0.45035999999999998</v>
      </c>
      <c r="K1674" s="154" t="s">
        <v>15</v>
      </c>
      <c r="L1674" s="154" t="str">
        <f>IF(OpenLCAbasic!K1674="CTUh", "Fill in Manually",IF(OR(K1674="Unit", K1674=""), "", INDEX(LookUps!$E$5:$E$12, MATCH(OpenLCAbasic!K1674,LookUps!$D$5:$D$12,0))))</f>
        <v>Cumulative Energy Demand (CED) - MJ</v>
      </c>
      <c r="M1674" s="154" t="str">
        <f t="shared" si="88"/>
        <v>Low_Base_High_Upgraded_Cumulative Energy Demand (CED) - MJ_Land application of compost; wastewater treatment unit; at updated plant - US_Base_With Amendment_Windrow</v>
      </c>
    </row>
    <row r="1675" spans="1:13" s="120" customFormat="1" x14ac:dyDescent="0.25">
      <c r="A1675" s="119"/>
      <c r="B1675" s="138" t="str">
        <f t="shared" si="86"/>
        <v>Windrow</v>
      </c>
      <c r="C1675" s="138" t="str">
        <f t="shared" si="87"/>
        <v>Base_With Amendment</v>
      </c>
      <c r="D1675" s="118" t="s">
        <v>134</v>
      </c>
      <c r="E1675" s="118" t="s">
        <v>180</v>
      </c>
      <c r="F1675" s="118" t="s">
        <v>46</v>
      </c>
      <c r="G1675" s="153"/>
      <c r="H1675" s="155">
        <v>-51.6021</v>
      </c>
      <c r="I1675" s="154" t="s">
        <v>149</v>
      </c>
      <c r="J1675" s="157">
        <v>-11.31259</v>
      </c>
      <c r="K1675" s="154" t="s">
        <v>15</v>
      </c>
      <c r="L1675" s="154" t="str">
        <f>IF(OpenLCAbasic!K1675="CTUh", "Fill in Manually",IF(OR(K1675="Unit", K1675=""), "", INDEX(LookUps!$E$5:$E$12, MATCH(OpenLCAbasic!K1675,LookUps!$D$5:$D$12,0))))</f>
        <v>Cumulative Energy Demand (CED) - MJ</v>
      </c>
      <c r="M1675" s="154" t="str">
        <f t="shared" si="88"/>
        <v>Low_Base_High_Upgraded_Cumulative Energy Demand (CED) - MJ_Anaerobic Digestion; wastewater treatment unit; at updated plant - US_Base_With Amendment_Windrow</v>
      </c>
    </row>
    <row r="1676" spans="1:13" s="120" customFormat="1" x14ac:dyDescent="0.25">
      <c r="A1676" s="119"/>
      <c r="B1676" s="138" t="str">
        <f t="shared" si="86"/>
        <v>Windrow</v>
      </c>
      <c r="C1676" s="138" t="str">
        <f t="shared" si="87"/>
        <v>Base_With Amendment</v>
      </c>
      <c r="D1676" s="118" t="s">
        <v>134</v>
      </c>
      <c r="E1676" s="118" t="s">
        <v>180</v>
      </c>
      <c r="F1676" s="118" t="s">
        <v>46</v>
      </c>
      <c r="G1676" s="153" t="s">
        <v>51</v>
      </c>
      <c r="H1676" s="154"/>
      <c r="I1676" s="154" t="s">
        <v>47</v>
      </c>
      <c r="J1676" s="154" t="s">
        <v>52</v>
      </c>
      <c r="K1676" s="154" t="s">
        <v>27</v>
      </c>
      <c r="L1676" s="154" t="str">
        <f>IF(OpenLCAbasic!K1676="CTUh", "Fill in Manually",IF(OR(K1676="Unit", K1676=""), "", INDEX(LookUps!$E$5:$E$12, MATCH(OpenLCAbasic!K1676,LookUps!$D$5:$D$12,0))))</f>
        <v/>
      </c>
      <c r="M1676" s="154" t="str">
        <f t="shared" si="88"/>
        <v>Low_Base_High_Upgraded__Process_Base_With Amendment_Windrow</v>
      </c>
    </row>
    <row r="1677" spans="1:13" s="120" customFormat="1" x14ac:dyDescent="0.25">
      <c r="A1677" s="119"/>
      <c r="B1677" s="138" t="str">
        <f t="shared" si="86"/>
        <v>Windrow</v>
      </c>
      <c r="C1677" s="138" t="str">
        <f t="shared" si="87"/>
        <v>Base_With Amendment</v>
      </c>
      <c r="D1677" s="118" t="s">
        <v>134</v>
      </c>
      <c r="E1677" s="118" t="s">
        <v>180</v>
      </c>
      <c r="F1677" s="118" t="s">
        <v>46</v>
      </c>
      <c r="G1677" s="153"/>
      <c r="H1677" s="155">
        <v>5.3918999999999997</v>
      </c>
      <c r="I1677" s="154" t="s">
        <v>55</v>
      </c>
      <c r="J1677" s="203">
        <v>1.7219999999999999E-2</v>
      </c>
      <c r="K1677" s="154" t="s">
        <v>24</v>
      </c>
      <c r="L1677" s="154" t="str">
        <f>IF(OpenLCAbasic!K1677="CTUh", "Fill in Manually",IF(OR(K1677="Unit", K1677=""), "", INDEX(LookUps!$E$5:$E$12, MATCH(OpenLCAbasic!K1677,LookUps!$D$5:$D$12,0))))</f>
        <v>Acidification Potential (AP) - kg SO2 eq</v>
      </c>
      <c r="M1677" s="154" t="str">
        <f t="shared" si="88"/>
        <v>Low_Base_High_Upgraded_Acidification Potential (AP) - kg SO2 eq_Aeration Tanks; wastewater treatment unit; at updated plant - US_Base_With Amendment_Windrow</v>
      </c>
    </row>
    <row r="1678" spans="1:13" s="120" customFormat="1" x14ac:dyDescent="0.25">
      <c r="A1678" s="119"/>
      <c r="B1678" s="138" t="str">
        <f t="shared" si="86"/>
        <v>Windrow</v>
      </c>
      <c r="C1678" s="138" t="str">
        <f t="shared" si="87"/>
        <v>Base_With Amendment</v>
      </c>
      <c r="D1678" s="118" t="s">
        <v>134</v>
      </c>
      <c r="E1678" s="118" t="s">
        <v>180</v>
      </c>
      <c r="F1678" s="118" t="s">
        <v>46</v>
      </c>
      <c r="G1678" s="153"/>
      <c r="H1678" s="155">
        <v>1.5595000000000001</v>
      </c>
      <c r="I1678" s="154" t="s">
        <v>54</v>
      </c>
      <c r="J1678" s="204">
        <v>4.9800000000000001E-3</v>
      </c>
      <c r="K1678" s="154" t="s">
        <v>24</v>
      </c>
      <c r="L1678" s="154" t="str">
        <f>IF(OpenLCAbasic!K1678="CTUh", "Fill in Manually",IF(OR(K1678="Unit", K1678=""), "", INDEX(LookUps!$E$5:$E$12, MATCH(OpenLCAbasic!K1678,LookUps!$D$5:$D$12,0))))</f>
        <v>Acidification Potential (AP) - kg SO2 eq</v>
      </c>
      <c r="M1678" s="154" t="str">
        <f t="shared" si="88"/>
        <v>Low_Base_High_Upgraded_Acidification Potential (AP) - kg SO2 eq_Clear Cove Primary Clarification; wastewater treatment unit; at updated plant - US_Base_With Amendment_Windrow</v>
      </c>
    </row>
    <row r="1679" spans="1:13" s="120" customFormat="1" x14ac:dyDescent="0.25">
      <c r="A1679" s="119"/>
      <c r="B1679" s="138" t="str">
        <f t="shared" si="86"/>
        <v>Windrow</v>
      </c>
      <c r="C1679" s="138" t="str">
        <f t="shared" si="87"/>
        <v>Base_With Amendment</v>
      </c>
      <c r="D1679" s="118" t="s">
        <v>134</v>
      </c>
      <c r="E1679" s="118" t="s">
        <v>180</v>
      </c>
      <c r="F1679" s="118" t="s">
        <v>46</v>
      </c>
      <c r="G1679" s="153"/>
      <c r="H1679" s="155">
        <v>1.3563000000000001</v>
      </c>
      <c r="I1679" s="154" t="s">
        <v>58</v>
      </c>
      <c r="J1679" s="204">
        <v>4.3299999999999996E-3</v>
      </c>
      <c r="K1679" s="154" t="s">
        <v>24</v>
      </c>
      <c r="L1679" s="154" t="str">
        <f>IF(OpenLCAbasic!K1679="CTUh", "Fill in Manually",IF(OR(K1679="Unit", K1679=""), "", INDEX(LookUps!$E$5:$E$12, MATCH(OpenLCAbasic!K1679,LookUps!$D$5:$D$12,0))))</f>
        <v>Acidification Potential (AP) - kg SO2 eq</v>
      </c>
      <c r="M1679" s="154" t="str">
        <f t="shared" si="88"/>
        <v>Low_Base_High_Upgraded_Acidification Potential (AP) - kg SO2 eq_Pre-Anoxic &amp; Swing tank; wastewater treatment unit; at updated plant - US_Base_With Amendment_Windrow</v>
      </c>
    </row>
    <row r="1680" spans="1:13" s="120" customFormat="1" x14ac:dyDescent="0.25">
      <c r="A1680" s="119"/>
      <c r="B1680" s="138" t="str">
        <f t="shared" si="86"/>
        <v>Windrow</v>
      </c>
      <c r="C1680" s="138" t="str">
        <f t="shared" si="87"/>
        <v>Base_With Amendment</v>
      </c>
      <c r="D1680" s="118" t="s">
        <v>134</v>
      </c>
      <c r="E1680" s="118" t="s">
        <v>180</v>
      </c>
      <c r="F1680" s="118" t="s">
        <v>46</v>
      </c>
      <c r="G1680" s="153"/>
      <c r="H1680" s="155">
        <v>1.0805</v>
      </c>
      <c r="I1680" s="154" t="s">
        <v>53</v>
      </c>
      <c r="J1680" s="204">
        <v>3.4499999999999999E-3</v>
      </c>
      <c r="K1680" s="154" t="s">
        <v>24</v>
      </c>
      <c r="L1680" s="154" t="str">
        <f>IF(OpenLCAbasic!K1680="CTUh", "Fill in Manually",IF(OR(K1680="Unit", K1680=""), "", INDEX(LookUps!$E$5:$E$12, MATCH(OpenLCAbasic!K1680,LookUps!$D$5:$D$12,0))))</f>
        <v>Acidification Potential (AP) - kg SO2 eq</v>
      </c>
      <c r="M1680" s="154" t="str">
        <f t="shared" si="88"/>
        <v>Low_Base_High_Upgraded_Acidification Potential (AP) - kg SO2 eq_Wet Well and Sump Station; wastewater treatment unit; at updated plant - US_Base_With Amendment_Windrow</v>
      </c>
    </row>
    <row r="1681" spans="1:13" s="120" customFormat="1" x14ac:dyDescent="0.25">
      <c r="A1681" s="119"/>
      <c r="B1681" s="138" t="str">
        <f t="shared" si="86"/>
        <v>Windrow</v>
      </c>
      <c r="C1681" s="138" t="str">
        <f t="shared" si="87"/>
        <v>Base_With Amendment</v>
      </c>
      <c r="D1681" s="118" t="s">
        <v>134</v>
      </c>
      <c r="E1681" s="118" t="s">
        <v>180</v>
      </c>
      <c r="F1681" s="118" t="s">
        <v>46</v>
      </c>
      <c r="G1681" s="153"/>
      <c r="H1681" s="155">
        <v>0.88780000000000003</v>
      </c>
      <c r="I1681" s="154" t="s">
        <v>62</v>
      </c>
      <c r="J1681" s="204">
        <v>2.8400000000000001E-3</v>
      </c>
      <c r="K1681" s="154" t="s">
        <v>24</v>
      </c>
      <c r="L1681" s="154" t="str">
        <f>IF(OpenLCAbasic!K1681="CTUh", "Fill in Manually",IF(OR(K1681="Unit", K1681=""), "", INDEX(LookUps!$E$5:$E$12, MATCH(OpenLCAbasic!K1681,LookUps!$D$5:$D$12,0))))</f>
        <v>Acidification Potential (AP) - kg SO2 eq</v>
      </c>
      <c r="M1681" s="154" t="str">
        <f t="shared" si="88"/>
        <v>Low_Base_High_Upgraded_Acidification Potential (AP) - kg SO2 eq_Land application of compost; wastewater treatment unit; at updated plant - US_Base_With Amendment_Windrow</v>
      </c>
    </row>
    <row r="1682" spans="1:13" s="120" customFormat="1" x14ac:dyDescent="0.25">
      <c r="A1682" s="119"/>
      <c r="B1682" s="138" t="str">
        <f t="shared" si="86"/>
        <v>Windrow</v>
      </c>
      <c r="C1682" s="138" t="str">
        <f t="shared" si="87"/>
        <v>Base_With Amendment</v>
      </c>
      <c r="D1682" s="118" t="s">
        <v>134</v>
      </c>
      <c r="E1682" s="118" t="s">
        <v>180</v>
      </c>
      <c r="F1682" s="118" t="s">
        <v>46</v>
      </c>
      <c r="G1682" s="153"/>
      <c r="H1682" s="155">
        <v>0.74370000000000003</v>
      </c>
      <c r="I1682" s="154" t="s">
        <v>167</v>
      </c>
      <c r="J1682" s="204">
        <v>2.3800000000000002E-3</v>
      </c>
      <c r="K1682" s="154" t="s">
        <v>24</v>
      </c>
      <c r="L1682" s="154" t="str">
        <f>IF(OpenLCAbasic!K1682="CTUh", "Fill in Manually",IF(OR(K1682="Unit", K1682=""), "", INDEX(LookUps!$E$5:$E$12, MATCH(OpenLCAbasic!K1682,LookUps!$D$5:$D$12,0))))</f>
        <v>Acidification Potential (AP) - kg SO2 eq</v>
      </c>
      <c r="M1682" s="154" t="str">
        <f t="shared" si="88"/>
        <v>Low_Base_High_Upgraded_Acidification Potential (AP) - kg SO2 eq_Waste Receiving and Holding; wastewater treatment unit; at updated plant - US_Base_With Amendment_Windrow</v>
      </c>
    </row>
    <row r="1683" spans="1:13" s="120" customFormat="1" x14ac:dyDescent="0.25">
      <c r="A1683" s="119"/>
      <c r="B1683" s="138" t="str">
        <f t="shared" si="86"/>
        <v>Windrow</v>
      </c>
      <c r="C1683" s="138" t="str">
        <f t="shared" si="87"/>
        <v>Base_With Amendment</v>
      </c>
      <c r="D1683" s="118" t="s">
        <v>134</v>
      </c>
      <c r="E1683" s="118" t="s">
        <v>180</v>
      </c>
      <c r="F1683" s="118" t="s">
        <v>46</v>
      </c>
      <c r="G1683" s="153"/>
      <c r="H1683" s="155">
        <v>0.64770000000000005</v>
      </c>
      <c r="I1683" s="154" t="s">
        <v>147</v>
      </c>
      <c r="J1683" s="204">
        <v>2.0699999999999998E-3</v>
      </c>
      <c r="K1683" s="154" t="s">
        <v>24</v>
      </c>
      <c r="L1683" s="154" t="str">
        <f>IF(OpenLCAbasic!K1683="CTUh", "Fill in Manually",IF(OR(K1683="Unit", K1683=""), "", INDEX(LookUps!$E$5:$E$12, MATCH(OpenLCAbasic!K1683,LookUps!$D$5:$D$12,0))))</f>
        <v>Acidification Potential (AP) - kg SO2 eq</v>
      </c>
      <c r="M1683" s="154" t="str">
        <f t="shared" si="88"/>
        <v>Low_Base_High_Upgraded_Acidification Potential (AP) - kg SO2 eq_Influent Pump Station; wastewater treatment unit; at updated plant - US_Base_With Amendment_Windrow</v>
      </c>
    </row>
    <row r="1684" spans="1:13" s="120" customFormat="1" x14ac:dyDescent="0.25">
      <c r="A1684" s="119"/>
      <c r="B1684" s="138" t="str">
        <f t="shared" si="86"/>
        <v>Windrow</v>
      </c>
      <c r="C1684" s="138" t="str">
        <f t="shared" si="87"/>
        <v>Base_With Amendment</v>
      </c>
      <c r="D1684" s="118" t="s">
        <v>134</v>
      </c>
      <c r="E1684" s="118" t="s">
        <v>180</v>
      </c>
      <c r="F1684" s="118" t="s">
        <v>46</v>
      </c>
      <c r="G1684" s="153"/>
      <c r="H1684" s="155">
        <v>0.3861</v>
      </c>
      <c r="I1684" s="154" t="s">
        <v>128</v>
      </c>
      <c r="J1684" s="204">
        <v>1.23E-3</v>
      </c>
      <c r="K1684" s="154" t="s">
        <v>24</v>
      </c>
      <c r="L1684" s="154" t="str">
        <f>IF(OpenLCAbasic!K1684="CTUh", "Fill in Manually",IF(OR(K1684="Unit", K1684=""), "", INDEX(LookUps!$E$5:$E$12, MATCH(OpenLCAbasic!K1684,LookUps!$D$5:$D$12,0))))</f>
        <v>Acidification Potential (AP) - kg SO2 eq</v>
      </c>
      <c r="M1684" s="154" t="str">
        <f t="shared" si="88"/>
        <v>Low_Base_High_Upgraded_Acidification Potential (AP) - kg SO2 eq_Wastewater collection; operation and infrastructure; m3 wastewater_Base_With Amendment_Windrow</v>
      </c>
    </row>
    <row r="1685" spans="1:13" s="120" customFormat="1" x14ac:dyDescent="0.25">
      <c r="A1685" s="119"/>
      <c r="B1685" s="138" t="str">
        <f t="shared" si="86"/>
        <v>Windrow</v>
      </c>
      <c r="C1685" s="138" t="str">
        <f t="shared" si="87"/>
        <v>Base_With Amendment</v>
      </c>
      <c r="D1685" s="118" t="s">
        <v>134</v>
      </c>
      <c r="E1685" s="118" t="s">
        <v>180</v>
      </c>
      <c r="F1685" s="118" t="s">
        <v>46</v>
      </c>
      <c r="G1685" s="153"/>
      <c r="H1685" s="155">
        <v>0.30280000000000001</v>
      </c>
      <c r="I1685" s="154" t="s">
        <v>271</v>
      </c>
      <c r="J1685" s="204">
        <v>9.7000000000000005E-4</v>
      </c>
      <c r="K1685" s="154" t="s">
        <v>24</v>
      </c>
      <c r="L1685" s="154" t="str">
        <f>IF(OpenLCAbasic!K1685="CTUh", "Fill in Manually",IF(OR(K1685="Unit", K1685=""), "", INDEX(LookUps!$E$5:$E$12, MATCH(OpenLCAbasic!K1685,LookUps!$D$5:$D$12,0))))</f>
        <v>Acidification Potential (AP) - kg SO2 eq</v>
      </c>
      <c r="M1685" s="154" t="str">
        <f t="shared" si="88"/>
        <v>Low_Base_High_Upgraded_Acidification Potential (AP) - kg SO2 eq_Biosolids composting; windrow composting; wastewater treatment unit; at updated plant - US_Base_With Amendment_Windrow</v>
      </c>
    </row>
    <row r="1686" spans="1:13" s="120" customFormat="1" x14ac:dyDescent="0.25">
      <c r="A1686" s="119"/>
      <c r="B1686" s="138" t="str">
        <f t="shared" si="86"/>
        <v>Windrow</v>
      </c>
      <c r="C1686" s="138" t="str">
        <f t="shared" si="87"/>
        <v>Base_With Amendment</v>
      </c>
      <c r="D1686" s="118" t="s">
        <v>134</v>
      </c>
      <c r="E1686" s="118" t="s">
        <v>180</v>
      </c>
      <c r="F1686" s="118" t="s">
        <v>46</v>
      </c>
      <c r="G1686" s="153"/>
      <c r="H1686" s="155">
        <v>0.2329</v>
      </c>
      <c r="I1686" s="154" t="s">
        <v>60</v>
      </c>
      <c r="J1686" s="204">
        <v>7.3999999999999999E-4</v>
      </c>
      <c r="K1686" s="154" t="s">
        <v>24</v>
      </c>
      <c r="L1686" s="154" t="str">
        <f>IF(OpenLCAbasic!K1686="CTUh", "Fill in Manually",IF(OR(K1686="Unit", K1686=""), "", INDEX(LookUps!$E$5:$E$12, MATCH(OpenLCAbasic!K1686,LookUps!$D$5:$D$12,0))))</f>
        <v>Acidification Potential (AP) - kg SO2 eq</v>
      </c>
      <c r="M1686" s="154" t="str">
        <f t="shared" si="88"/>
        <v>Low_Base_High_Upgraded_Acidification Potential (AP) - kg SO2 eq_Belt filter press; wastewater treatment unit; at updated plant - US_Base_With Amendment_Windrow</v>
      </c>
    </row>
    <row r="1687" spans="1:13" s="120" customFormat="1" x14ac:dyDescent="0.25">
      <c r="A1687" s="119"/>
      <c r="B1687" s="138" t="str">
        <f t="shared" si="86"/>
        <v>Windrow</v>
      </c>
      <c r="C1687" s="138" t="str">
        <f t="shared" si="87"/>
        <v>Base_With Amendment</v>
      </c>
      <c r="D1687" s="118" t="s">
        <v>134</v>
      </c>
      <c r="E1687" s="118" t="s">
        <v>180</v>
      </c>
      <c r="F1687" s="118" t="s">
        <v>46</v>
      </c>
      <c r="G1687" s="153"/>
      <c r="H1687" s="155">
        <v>0.22040000000000001</v>
      </c>
      <c r="I1687" s="154" t="s">
        <v>57</v>
      </c>
      <c r="J1687" s="204">
        <v>6.9999999999999999E-4</v>
      </c>
      <c r="K1687" s="154" t="s">
        <v>24</v>
      </c>
      <c r="L1687" s="154" t="str">
        <f>IF(OpenLCAbasic!K1687="CTUh", "Fill in Manually",IF(OR(K1687="Unit", K1687=""), "", INDEX(LookUps!$E$5:$E$12, MATCH(OpenLCAbasic!K1687,LookUps!$D$5:$D$12,0))))</f>
        <v>Acidification Potential (AP) - kg SO2 eq</v>
      </c>
      <c r="M1687" s="154" t="str">
        <f t="shared" si="88"/>
        <v>Low_Base_High_Upgraded_Acidification Potential (AP) - kg SO2 eq_Gravity Belt Thickener; wastewater treatment unit; at updated plant - US_Base_With Amendment_Windrow</v>
      </c>
    </row>
    <row r="1688" spans="1:13" s="120" customFormat="1" x14ac:dyDescent="0.25">
      <c r="A1688" s="119"/>
      <c r="B1688" s="138" t="str">
        <f t="shared" si="86"/>
        <v>Windrow</v>
      </c>
      <c r="C1688" s="138" t="str">
        <f t="shared" si="87"/>
        <v>Base_With Amendment</v>
      </c>
      <c r="D1688" s="118" t="s">
        <v>134</v>
      </c>
      <c r="E1688" s="118" t="s">
        <v>180</v>
      </c>
      <c r="F1688" s="118" t="s">
        <v>46</v>
      </c>
      <c r="G1688" s="153"/>
      <c r="H1688" s="155">
        <v>0.16170000000000001</v>
      </c>
      <c r="I1688" s="154" t="s">
        <v>59</v>
      </c>
      <c r="J1688" s="204">
        <v>5.1999999999999995E-4</v>
      </c>
      <c r="K1688" s="154" t="s">
        <v>24</v>
      </c>
      <c r="L1688" s="154" t="str">
        <f>IF(OpenLCAbasic!K1688="CTUh", "Fill in Manually",IF(OR(K1688="Unit", K1688=""), "", INDEX(LookUps!$E$5:$E$12, MATCH(OpenLCAbasic!K1688,LookUps!$D$5:$D$12,0))))</f>
        <v>Acidification Potential (AP) - kg SO2 eq</v>
      </c>
      <c r="M1688" s="154" t="str">
        <f t="shared" si="88"/>
        <v>Low_Base_High_Upgraded_Acidification Potential (AP) - kg SO2 eq_Blend Tank; wastewater treatment unit; at updated plant - US_Base_With Amendment_Windrow</v>
      </c>
    </row>
    <row r="1689" spans="1:13" s="120" customFormat="1" x14ac:dyDescent="0.25">
      <c r="A1689" s="119"/>
      <c r="B1689" s="138" t="str">
        <f t="shared" si="86"/>
        <v>Windrow</v>
      </c>
      <c r="C1689" s="138" t="str">
        <f t="shared" si="87"/>
        <v>Base_With Amendment</v>
      </c>
      <c r="D1689" s="118" t="s">
        <v>134</v>
      </c>
      <c r="E1689" s="118" t="s">
        <v>180</v>
      </c>
      <c r="F1689" s="118" t="s">
        <v>46</v>
      </c>
      <c r="G1689" s="153"/>
      <c r="H1689" s="155">
        <v>0.1085</v>
      </c>
      <c r="I1689" s="154" t="s">
        <v>48</v>
      </c>
      <c r="J1689" s="204">
        <v>3.5E-4</v>
      </c>
      <c r="K1689" s="154" t="s">
        <v>24</v>
      </c>
      <c r="L1689" s="154" t="str">
        <f>IF(OpenLCAbasic!K1689="CTUh", "Fill in Manually",IF(OR(K1689="Unit", K1689=""), "", INDEX(LookUps!$E$5:$E$12, MATCH(OpenLCAbasic!K1689,LookUps!$D$5:$D$12,0))))</f>
        <v>Acidification Potential (AP) - kg SO2 eq</v>
      </c>
      <c r="M1689" s="154" t="str">
        <f t="shared" si="88"/>
        <v>Low_Base_High_Upgraded_Acidification Potential (AP) - kg SO2 eq_Effluent release; wastewater treatment unit; at surface water; m3 wastewater - US_Base_With Amendment_Windrow</v>
      </c>
    </row>
    <row r="1690" spans="1:13" s="120" customFormat="1" x14ac:dyDescent="0.25">
      <c r="A1690" s="119"/>
      <c r="B1690" s="138" t="str">
        <f t="shared" si="86"/>
        <v>Windrow</v>
      </c>
      <c r="C1690" s="138" t="str">
        <f t="shared" si="87"/>
        <v>Base_With Amendment</v>
      </c>
      <c r="D1690" s="118" t="s">
        <v>134</v>
      </c>
      <c r="E1690" s="118" t="s">
        <v>180</v>
      </c>
      <c r="F1690" s="118" t="s">
        <v>46</v>
      </c>
      <c r="G1690" s="153"/>
      <c r="H1690" s="155">
        <v>7.9899999999999999E-2</v>
      </c>
      <c r="I1690" s="154" t="s">
        <v>168</v>
      </c>
      <c r="J1690" s="204">
        <v>2.5999999999999998E-4</v>
      </c>
      <c r="K1690" s="154" t="s">
        <v>24</v>
      </c>
      <c r="L1690" s="154" t="str">
        <f>IF(OpenLCAbasic!K1690="CTUh", "Fill in Manually",IF(OR(K1690="Unit", K1690=""), "", INDEX(LookUps!$E$5:$E$12, MATCH(OpenLCAbasic!K1690,LookUps!$D$5:$D$12,0))))</f>
        <v>Acidification Potential (AP) - kg SO2 eq</v>
      </c>
      <c r="M1690" s="154" t="str">
        <f t="shared" si="88"/>
        <v>Low_Base_High_Upgraded_Acidification Potential (AP) - kg SO2 eq_ClearCove SCP; wastewater treatment unit; at updated plant - US_Base_With Amendment_Windrow</v>
      </c>
    </row>
    <row r="1691" spans="1:13" s="120" customFormat="1" x14ac:dyDescent="0.25">
      <c r="A1691" s="119"/>
      <c r="B1691" s="138" t="str">
        <f t="shared" si="86"/>
        <v>Windrow</v>
      </c>
      <c r="C1691" s="138" t="str">
        <f t="shared" si="87"/>
        <v>Base_With Amendment</v>
      </c>
      <c r="D1691" s="118" t="s">
        <v>134</v>
      </c>
      <c r="E1691" s="118" t="s">
        <v>180</v>
      </c>
      <c r="F1691" s="118" t="s">
        <v>46</v>
      </c>
      <c r="G1691" s="153"/>
      <c r="H1691" s="155">
        <v>1.26E-2</v>
      </c>
      <c r="I1691" s="154" t="s">
        <v>148</v>
      </c>
      <c r="J1691" s="204">
        <v>4.0354700000000002E-5</v>
      </c>
      <c r="K1691" s="154" t="s">
        <v>24</v>
      </c>
      <c r="L1691" s="154" t="str">
        <f>IF(OpenLCAbasic!K1691="CTUh", "Fill in Manually",IF(OR(K1691="Unit", K1691=""), "", INDEX(LookUps!$E$5:$E$12, MATCH(OpenLCAbasic!K1691,LookUps!$D$5:$D$12,0))))</f>
        <v>Acidification Potential (AP) - kg SO2 eq</v>
      </c>
      <c r="M1691" s="154" t="str">
        <f t="shared" si="88"/>
        <v>Low_Base_High_Upgraded_Acidification Potential (AP) - kg SO2 eq_Control Building; at upgraded wastewater treatment plant - US_Base_With Amendment_Windrow</v>
      </c>
    </row>
    <row r="1692" spans="1:13" s="120" customFormat="1" x14ac:dyDescent="0.25">
      <c r="A1692" s="119"/>
      <c r="B1692" s="138" t="str">
        <f t="shared" si="86"/>
        <v>Windrow</v>
      </c>
      <c r="C1692" s="138" t="str">
        <f t="shared" si="87"/>
        <v>Base_With Amendment</v>
      </c>
      <c r="D1692" s="118" t="s">
        <v>134</v>
      </c>
      <c r="E1692" s="118" t="s">
        <v>180</v>
      </c>
      <c r="F1692" s="118" t="s">
        <v>46</v>
      </c>
      <c r="G1692" s="153"/>
      <c r="H1692" s="155">
        <v>-12.172499999999999</v>
      </c>
      <c r="I1692" s="154" t="s">
        <v>149</v>
      </c>
      <c r="J1692" s="203">
        <v>-3.8870000000000002E-2</v>
      </c>
      <c r="K1692" s="154" t="s">
        <v>24</v>
      </c>
      <c r="L1692" s="154" t="str">
        <f>IF(OpenLCAbasic!K1692="CTUh", "Fill in Manually",IF(OR(K1692="Unit", K1692=""), "", INDEX(LookUps!$E$5:$E$12, MATCH(OpenLCAbasic!K1692,LookUps!$D$5:$D$12,0))))</f>
        <v>Acidification Potential (AP) - kg SO2 eq</v>
      </c>
      <c r="M1692" s="154" t="str">
        <f t="shared" si="88"/>
        <v>Low_Base_High_Upgraded_Acidification Potential (AP) - kg SO2 eq_Anaerobic Digestion; wastewater treatment unit; at updated plant - US_Base_With Amendment_Windrow</v>
      </c>
    </row>
    <row r="1693" spans="1:13" s="120" customFormat="1" x14ac:dyDescent="0.25">
      <c r="A1693" s="119"/>
      <c r="B1693" s="138" t="str">
        <f t="shared" si="86"/>
        <v>Windrow</v>
      </c>
      <c r="C1693" s="138" t="str">
        <f t="shared" si="87"/>
        <v>Base_With Amendment</v>
      </c>
      <c r="D1693" s="118" t="s">
        <v>134</v>
      </c>
      <c r="E1693" s="118" t="s">
        <v>180</v>
      </c>
      <c r="F1693" s="118" t="s">
        <v>46</v>
      </c>
      <c r="G1693" s="153" t="s">
        <v>51</v>
      </c>
      <c r="H1693" s="154"/>
      <c r="I1693" s="154" t="s">
        <v>47</v>
      </c>
      <c r="J1693" s="154" t="s">
        <v>52</v>
      </c>
      <c r="K1693" s="154" t="s">
        <v>27</v>
      </c>
      <c r="L1693" s="154" t="str">
        <f>IF(OpenLCAbasic!K1693="CTUh", "Fill in Manually",IF(OR(K1693="Unit", K1693=""), "", INDEX(LookUps!$E$5:$E$12, MATCH(OpenLCAbasic!K1693,LookUps!$D$5:$D$12,0))))</f>
        <v/>
      </c>
      <c r="M1693" s="154" t="str">
        <f t="shared" si="88"/>
        <v>Low_Base_High_Upgraded__Process_Base_With Amendment_Windrow</v>
      </c>
    </row>
    <row r="1694" spans="1:13" s="120" customFormat="1" x14ac:dyDescent="0.25">
      <c r="A1694" s="119"/>
      <c r="B1694" s="138" t="str">
        <f t="shared" si="86"/>
        <v>Windrow</v>
      </c>
      <c r="C1694" s="138" t="str">
        <f t="shared" si="87"/>
        <v>Base_With Amendment</v>
      </c>
      <c r="D1694" s="118" t="s">
        <v>134</v>
      </c>
      <c r="E1694" s="118" t="s">
        <v>180</v>
      </c>
      <c r="F1694" s="118" t="s">
        <v>46</v>
      </c>
      <c r="G1694" s="153"/>
      <c r="H1694" s="155">
        <v>30.636500000000002</v>
      </c>
      <c r="I1694" s="154" t="s">
        <v>167</v>
      </c>
      <c r="J1694" s="203">
        <v>7.9170000000000004E-2</v>
      </c>
      <c r="K1694" s="154" t="s">
        <v>14</v>
      </c>
      <c r="L1694" s="154" t="str">
        <f>IF(OpenLCAbasic!K1694="CTUh", "Fill in Manually",IF(OR(K1694="Unit", K1694=""), "", INDEX(LookUps!$E$5:$E$12, MATCH(OpenLCAbasic!K1694,LookUps!$D$5:$D$12,0))))</f>
        <v>Fossil Depletion Potential (FDP) - kg oil eq</v>
      </c>
      <c r="M1694" s="154" t="str">
        <f t="shared" si="88"/>
        <v>Low_Base_High_Upgraded_Fossil Depletion Potential (FDP) - kg oil eq_Waste Receiving and Holding; wastewater treatment unit; at updated plant - US_Base_With Amendment_Windrow</v>
      </c>
    </row>
    <row r="1695" spans="1:13" s="120" customFormat="1" x14ac:dyDescent="0.25">
      <c r="A1695" s="119"/>
      <c r="B1695" s="138" t="str">
        <f t="shared" si="86"/>
        <v>Windrow</v>
      </c>
      <c r="C1695" s="138" t="str">
        <f t="shared" si="87"/>
        <v>Base_With Amendment</v>
      </c>
      <c r="D1695" s="118" t="s">
        <v>134</v>
      </c>
      <c r="E1695" s="118" t="s">
        <v>180</v>
      </c>
      <c r="F1695" s="118" t="s">
        <v>46</v>
      </c>
      <c r="G1695" s="153"/>
      <c r="H1695" s="155">
        <v>24.607900000000001</v>
      </c>
      <c r="I1695" s="154" t="s">
        <v>55</v>
      </c>
      <c r="J1695" s="203">
        <v>6.3589999999999994E-2</v>
      </c>
      <c r="K1695" s="154" t="s">
        <v>14</v>
      </c>
      <c r="L1695" s="154" t="str">
        <f>IF(OpenLCAbasic!K1695="CTUh", "Fill in Manually",IF(OR(K1695="Unit", K1695=""), "", INDEX(LookUps!$E$5:$E$12, MATCH(OpenLCAbasic!K1695,LookUps!$D$5:$D$12,0))))</f>
        <v>Fossil Depletion Potential (FDP) - kg oil eq</v>
      </c>
      <c r="M1695" s="154" t="str">
        <f t="shared" si="88"/>
        <v>Low_Base_High_Upgraded_Fossil Depletion Potential (FDP) - kg oil eq_Aeration Tanks; wastewater treatment unit; at updated plant - US_Base_With Amendment_Windrow</v>
      </c>
    </row>
    <row r="1696" spans="1:13" s="120" customFormat="1" x14ac:dyDescent="0.25">
      <c r="A1696" s="119"/>
      <c r="B1696" s="138" t="str">
        <f t="shared" si="86"/>
        <v>Windrow</v>
      </c>
      <c r="C1696" s="138" t="str">
        <f t="shared" si="87"/>
        <v>Base_With Amendment</v>
      </c>
      <c r="D1696" s="118" t="s">
        <v>134</v>
      </c>
      <c r="E1696" s="118" t="s">
        <v>180</v>
      </c>
      <c r="F1696" s="118" t="s">
        <v>46</v>
      </c>
      <c r="G1696" s="153"/>
      <c r="H1696" s="155">
        <v>8.1458999999999993</v>
      </c>
      <c r="I1696" s="154" t="s">
        <v>54</v>
      </c>
      <c r="J1696" s="203">
        <v>2.1049999999999999E-2</v>
      </c>
      <c r="K1696" s="154" t="s">
        <v>14</v>
      </c>
      <c r="L1696" s="154" t="str">
        <f>IF(OpenLCAbasic!K1696="CTUh", "Fill in Manually",IF(OR(K1696="Unit", K1696=""), "", INDEX(LookUps!$E$5:$E$12, MATCH(OpenLCAbasic!K1696,LookUps!$D$5:$D$12,0))))</f>
        <v>Fossil Depletion Potential (FDP) - kg oil eq</v>
      </c>
      <c r="M1696" s="154" t="str">
        <f t="shared" si="88"/>
        <v>Low_Base_High_Upgraded_Fossil Depletion Potential (FDP) - kg oil eq_Clear Cove Primary Clarification; wastewater treatment unit; at updated plant - US_Base_With Amendment_Windrow</v>
      </c>
    </row>
    <row r="1697" spans="1:13" s="120" customFormat="1" x14ac:dyDescent="0.25">
      <c r="A1697" s="119"/>
      <c r="B1697" s="138" t="str">
        <f t="shared" si="86"/>
        <v>Windrow</v>
      </c>
      <c r="C1697" s="138" t="str">
        <f t="shared" si="87"/>
        <v>Base_With Amendment</v>
      </c>
      <c r="D1697" s="118" t="s">
        <v>134</v>
      </c>
      <c r="E1697" s="118" t="s">
        <v>180</v>
      </c>
      <c r="F1697" s="118" t="s">
        <v>46</v>
      </c>
      <c r="G1697" s="153"/>
      <c r="H1697" s="155">
        <v>6.1623000000000001</v>
      </c>
      <c r="I1697" s="154" t="s">
        <v>58</v>
      </c>
      <c r="J1697" s="203">
        <v>1.592E-2</v>
      </c>
      <c r="K1697" s="154" t="s">
        <v>14</v>
      </c>
      <c r="L1697" s="154" t="str">
        <f>IF(OpenLCAbasic!K1697="CTUh", "Fill in Manually",IF(OR(K1697="Unit", K1697=""), "", INDEX(LookUps!$E$5:$E$12, MATCH(OpenLCAbasic!K1697,LookUps!$D$5:$D$12,0))))</f>
        <v>Fossil Depletion Potential (FDP) - kg oil eq</v>
      </c>
      <c r="M1697" s="154" t="str">
        <f t="shared" si="88"/>
        <v>Low_Base_High_Upgraded_Fossil Depletion Potential (FDP) - kg oil eq_Pre-Anoxic &amp; Swing tank; wastewater treatment unit; at updated plant - US_Base_With Amendment_Windrow</v>
      </c>
    </row>
    <row r="1698" spans="1:13" s="120" customFormat="1" x14ac:dyDescent="0.25">
      <c r="A1698" s="119"/>
      <c r="B1698" s="138" t="str">
        <f t="shared" si="86"/>
        <v>Windrow</v>
      </c>
      <c r="C1698" s="138" t="str">
        <f t="shared" si="87"/>
        <v>Base_With Amendment</v>
      </c>
      <c r="D1698" s="118" t="s">
        <v>134</v>
      </c>
      <c r="E1698" s="118" t="s">
        <v>180</v>
      </c>
      <c r="F1698" s="118" t="s">
        <v>46</v>
      </c>
      <c r="G1698" s="153"/>
      <c r="H1698" s="155">
        <v>5.8385999999999996</v>
      </c>
      <c r="I1698" s="154" t="s">
        <v>147</v>
      </c>
      <c r="J1698" s="203">
        <v>1.5089999999999999E-2</v>
      </c>
      <c r="K1698" s="154" t="s">
        <v>14</v>
      </c>
      <c r="L1698" s="154" t="str">
        <f>IF(OpenLCAbasic!K1698="CTUh", "Fill in Manually",IF(OR(K1698="Unit", K1698=""), "", INDEX(LookUps!$E$5:$E$12, MATCH(OpenLCAbasic!K1698,LookUps!$D$5:$D$12,0))))</f>
        <v>Fossil Depletion Potential (FDP) - kg oil eq</v>
      </c>
      <c r="M1698" s="154" t="str">
        <f t="shared" si="88"/>
        <v>Low_Base_High_Upgraded_Fossil Depletion Potential (FDP) - kg oil eq_Influent Pump Station; wastewater treatment unit; at updated plant - US_Base_With Amendment_Windrow</v>
      </c>
    </row>
    <row r="1699" spans="1:13" s="120" customFormat="1" x14ac:dyDescent="0.25">
      <c r="A1699" s="119"/>
      <c r="B1699" s="138" t="str">
        <f t="shared" si="86"/>
        <v>Windrow</v>
      </c>
      <c r="C1699" s="138" t="str">
        <f t="shared" si="87"/>
        <v>Base_With Amendment</v>
      </c>
      <c r="D1699" s="118" t="s">
        <v>134</v>
      </c>
      <c r="E1699" s="118" t="s">
        <v>180</v>
      </c>
      <c r="F1699" s="118" t="s">
        <v>46</v>
      </c>
      <c r="G1699" s="153"/>
      <c r="H1699" s="155">
        <v>4.8327999999999998</v>
      </c>
      <c r="I1699" s="154" t="s">
        <v>53</v>
      </c>
      <c r="J1699" s="203">
        <v>1.2489999999999999E-2</v>
      </c>
      <c r="K1699" s="154" t="s">
        <v>14</v>
      </c>
      <c r="L1699" s="154" t="str">
        <f>IF(OpenLCAbasic!K1699="CTUh", "Fill in Manually",IF(OR(K1699="Unit", K1699=""), "", INDEX(LookUps!$E$5:$E$12, MATCH(OpenLCAbasic!K1699,LookUps!$D$5:$D$12,0))))</f>
        <v>Fossil Depletion Potential (FDP) - kg oil eq</v>
      </c>
      <c r="M1699" s="154" t="str">
        <f t="shared" si="88"/>
        <v>Low_Base_High_Upgraded_Fossil Depletion Potential (FDP) - kg oil eq_Wet Well and Sump Station; wastewater treatment unit; at updated plant - US_Base_With Amendment_Windrow</v>
      </c>
    </row>
    <row r="1700" spans="1:13" s="120" customFormat="1" x14ac:dyDescent="0.25">
      <c r="A1700" s="119"/>
      <c r="B1700" s="138" t="str">
        <f t="shared" si="86"/>
        <v>Windrow</v>
      </c>
      <c r="C1700" s="138" t="str">
        <f t="shared" si="87"/>
        <v>Base_With Amendment</v>
      </c>
      <c r="D1700" s="118" t="s">
        <v>134</v>
      </c>
      <c r="E1700" s="118" t="s">
        <v>180</v>
      </c>
      <c r="F1700" s="118" t="s">
        <v>46</v>
      </c>
      <c r="G1700" s="153"/>
      <c r="H1700" s="155">
        <v>2.6762999999999999</v>
      </c>
      <c r="I1700" s="154" t="s">
        <v>57</v>
      </c>
      <c r="J1700" s="204">
        <v>6.9199999999999999E-3</v>
      </c>
      <c r="K1700" s="154" t="s">
        <v>14</v>
      </c>
      <c r="L1700" s="154" t="str">
        <f>IF(OpenLCAbasic!K1700="CTUh", "Fill in Manually",IF(OR(K1700="Unit", K1700=""), "", INDEX(LookUps!$E$5:$E$12, MATCH(OpenLCAbasic!K1700,LookUps!$D$5:$D$12,0))))</f>
        <v>Fossil Depletion Potential (FDP) - kg oil eq</v>
      </c>
      <c r="M1700" s="154" t="str">
        <f t="shared" si="88"/>
        <v>Low_Base_High_Upgraded_Fossil Depletion Potential (FDP) - kg oil eq_Gravity Belt Thickener; wastewater treatment unit; at updated plant - US_Base_With Amendment_Windrow</v>
      </c>
    </row>
    <row r="1701" spans="1:13" s="120" customFormat="1" x14ac:dyDescent="0.25">
      <c r="A1701" s="119"/>
      <c r="B1701" s="138" t="str">
        <f t="shared" si="86"/>
        <v>Windrow</v>
      </c>
      <c r="C1701" s="138" t="str">
        <f t="shared" si="87"/>
        <v>Base_With Amendment</v>
      </c>
      <c r="D1701" s="118" t="s">
        <v>134</v>
      </c>
      <c r="E1701" s="118" t="s">
        <v>180</v>
      </c>
      <c r="F1701" s="118" t="s">
        <v>46</v>
      </c>
      <c r="G1701" s="153"/>
      <c r="H1701" s="155">
        <v>2.1673</v>
      </c>
      <c r="I1701" s="154" t="s">
        <v>60</v>
      </c>
      <c r="J1701" s="204">
        <v>5.5999999999999999E-3</v>
      </c>
      <c r="K1701" s="154" t="s">
        <v>14</v>
      </c>
      <c r="L1701" s="154" t="str">
        <f>IF(OpenLCAbasic!K1701="CTUh", "Fill in Manually",IF(OR(K1701="Unit", K1701=""), "", INDEX(LookUps!$E$5:$E$12, MATCH(OpenLCAbasic!K1701,LookUps!$D$5:$D$12,0))))</f>
        <v>Fossil Depletion Potential (FDP) - kg oil eq</v>
      </c>
      <c r="M1701" s="154" t="str">
        <f t="shared" si="88"/>
        <v>Low_Base_High_Upgraded_Fossil Depletion Potential (FDP) - kg oil eq_Belt filter press; wastewater treatment unit; at updated plant - US_Base_With Amendment_Windrow</v>
      </c>
    </row>
    <row r="1702" spans="1:13" s="120" customFormat="1" x14ac:dyDescent="0.25">
      <c r="A1702" s="119"/>
      <c r="B1702" s="138" t="str">
        <f t="shared" si="86"/>
        <v>Windrow</v>
      </c>
      <c r="C1702" s="138" t="str">
        <f t="shared" si="87"/>
        <v>Base_With Amendment</v>
      </c>
      <c r="D1702" s="118" t="s">
        <v>134</v>
      </c>
      <c r="E1702" s="118" t="s">
        <v>180</v>
      </c>
      <c r="F1702" s="118" t="s">
        <v>46</v>
      </c>
      <c r="G1702" s="153"/>
      <c r="H1702" s="155">
        <v>1.7408999999999999</v>
      </c>
      <c r="I1702" s="154" t="s">
        <v>128</v>
      </c>
      <c r="J1702" s="204">
        <v>4.4999999999999997E-3</v>
      </c>
      <c r="K1702" s="154" t="s">
        <v>14</v>
      </c>
      <c r="L1702" s="154" t="str">
        <f>IF(OpenLCAbasic!K1702="CTUh", "Fill in Manually",IF(OR(K1702="Unit", K1702=""), "", INDEX(LookUps!$E$5:$E$12, MATCH(OpenLCAbasic!K1702,LookUps!$D$5:$D$12,0))))</f>
        <v>Fossil Depletion Potential (FDP) - kg oil eq</v>
      </c>
      <c r="M1702" s="154" t="str">
        <f t="shared" si="88"/>
        <v>Low_Base_High_Upgraded_Fossil Depletion Potential (FDP) - kg oil eq_Wastewater collection; operation and infrastructure; m3 wastewater_Base_With Amendment_Windrow</v>
      </c>
    </row>
    <row r="1703" spans="1:13" s="120" customFormat="1" x14ac:dyDescent="0.25">
      <c r="A1703" s="119"/>
      <c r="B1703" s="138" t="str">
        <f t="shared" si="86"/>
        <v>Windrow</v>
      </c>
      <c r="C1703" s="138" t="str">
        <f t="shared" si="87"/>
        <v>Base_With Amendment</v>
      </c>
      <c r="D1703" s="118" t="s">
        <v>134</v>
      </c>
      <c r="E1703" s="118" t="s">
        <v>180</v>
      </c>
      <c r="F1703" s="118" t="s">
        <v>46</v>
      </c>
      <c r="G1703" s="153"/>
      <c r="H1703" s="155">
        <v>1.0825</v>
      </c>
      <c r="I1703" s="154" t="s">
        <v>148</v>
      </c>
      <c r="J1703" s="204">
        <v>2.8E-3</v>
      </c>
      <c r="K1703" s="154" t="s">
        <v>14</v>
      </c>
      <c r="L1703" s="154" t="str">
        <f>IF(OpenLCAbasic!K1703="CTUh", "Fill in Manually",IF(OR(K1703="Unit", K1703=""), "", INDEX(LookUps!$E$5:$E$12, MATCH(OpenLCAbasic!K1703,LookUps!$D$5:$D$12,0))))</f>
        <v>Fossil Depletion Potential (FDP) - kg oil eq</v>
      </c>
      <c r="M1703" s="154" t="str">
        <f t="shared" si="88"/>
        <v>Low_Base_High_Upgraded_Fossil Depletion Potential (FDP) - kg oil eq_Control Building; at upgraded wastewater treatment plant - US_Base_With Amendment_Windrow</v>
      </c>
    </row>
    <row r="1704" spans="1:13" s="120" customFormat="1" x14ac:dyDescent="0.25">
      <c r="A1704" s="119"/>
      <c r="B1704" s="138" t="str">
        <f t="shared" si="86"/>
        <v>Windrow</v>
      </c>
      <c r="C1704" s="138" t="str">
        <f t="shared" si="87"/>
        <v>Base_With Amendment</v>
      </c>
      <c r="D1704" s="118" t="s">
        <v>134</v>
      </c>
      <c r="E1704" s="118" t="s">
        <v>180</v>
      </c>
      <c r="F1704" s="118" t="s">
        <v>46</v>
      </c>
      <c r="G1704" s="153"/>
      <c r="H1704" s="155">
        <v>0.91469999999999996</v>
      </c>
      <c r="I1704" s="154" t="s">
        <v>48</v>
      </c>
      <c r="J1704" s="204">
        <v>2.3600000000000001E-3</v>
      </c>
      <c r="K1704" s="154" t="s">
        <v>14</v>
      </c>
      <c r="L1704" s="154" t="str">
        <f>IF(OpenLCAbasic!K1704="CTUh", "Fill in Manually",IF(OR(K1704="Unit", K1704=""), "", INDEX(LookUps!$E$5:$E$12, MATCH(OpenLCAbasic!K1704,LookUps!$D$5:$D$12,0))))</f>
        <v>Fossil Depletion Potential (FDP) - kg oil eq</v>
      </c>
      <c r="M1704" s="154" t="str">
        <f t="shared" si="88"/>
        <v>Low_Base_High_Upgraded_Fossil Depletion Potential (FDP) - kg oil eq_Effluent release; wastewater treatment unit; at surface water; m3 wastewater - US_Base_With Amendment_Windrow</v>
      </c>
    </row>
    <row r="1705" spans="1:13" s="120" customFormat="1" x14ac:dyDescent="0.25">
      <c r="A1705" s="119"/>
      <c r="B1705" s="138" t="str">
        <f t="shared" si="86"/>
        <v>Windrow</v>
      </c>
      <c r="C1705" s="138" t="str">
        <f t="shared" si="87"/>
        <v>Base_With Amendment</v>
      </c>
      <c r="D1705" s="118" t="s">
        <v>134</v>
      </c>
      <c r="E1705" s="118" t="s">
        <v>180</v>
      </c>
      <c r="F1705" s="118" t="s">
        <v>46</v>
      </c>
      <c r="G1705" s="153"/>
      <c r="H1705" s="155">
        <v>0.7429</v>
      </c>
      <c r="I1705" s="154" t="s">
        <v>59</v>
      </c>
      <c r="J1705" s="204">
        <v>1.92E-3</v>
      </c>
      <c r="K1705" s="154" t="s">
        <v>14</v>
      </c>
      <c r="L1705" s="154" t="str">
        <f>IF(OpenLCAbasic!K1705="CTUh", "Fill in Manually",IF(OR(K1705="Unit", K1705=""), "", INDEX(LookUps!$E$5:$E$12, MATCH(OpenLCAbasic!K1705,LookUps!$D$5:$D$12,0))))</f>
        <v>Fossil Depletion Potential (FDP) - kg oil eq</v>
      </c>
      <c r="M1705" s="154" t="str">
        <f t="shared" si="88"/>
        <v>Low_Base_High_Upgraded_Fossil Depletion Potential (FDP) - kg oil eq_Blend Tank; wastewater treatment unit; at updated plant - US_Base_With Amendment_Windrow</v>
      </c>
    </row>
    <row r="1706" spans="1:13" s="120" customFormat="1" x14ac:dyDescent="0.25">
      <c r="A1706" s="119"/>
      <c r="B1706" s="138" t="str">
        <f t="shared" si="86"/>
        <v>Windrow</v>
      </c>
      <c r="C1706" s="138" t="str">
        <f t="shared" si="87"/>
        <v>Base_With Amendment</v>
      </c>
      <c r="D1706" s="118" t="s">
        <v>134</v>
      </c>
      <c r="E1706" s="118" t="s">
        <v>180</v>
      </c>
      <c r="F1706" s="118" t="s">
        <v>46</v>
      </c>
      <c r="G1706" s="153"/>
      <c r="H1706" s="155">
        <v>0.35399999999999998</v>
      </c>
      <c r="I1706" s="154" t="s">
        <v>168</v>
      </c>
      <c r="J1706" s="204">
        <v>9.1E-4</v>
      </c>
      <c r="K1706" s="154" t="s">
        <v>14</v>
      </c>
      <c r="L1706" s="154" t="str">
        <f>IF(OpenLCAbasic!K1706="CTUh", "Fill in Manually",IF(OR(K1706="Unit", K1706=""), "", INDEX(LookUps!$E$5:$E$12, MATCH(OpenLCAbasic!K1706,LookUps!$D$5:$D$12,0))))</f>
        <v>Fossil Depletion Potential (FDP) - kg oil eq</v>
      </c>
      <c r="M1706" s="154" t="str">
        <f t="shared" si="88"/>
        <v>Low_Base_High_Upgraded_Fossil Depletion Potential (FDP) - kg oil eq_ClearCove SCP; wastewater treatment unit; at updated plant - US_Base_With Amendment_Windrow</v>
      </c>
    </row>
    <row r="1707" spans="1:13" s="120" customFormat="1" x14ac:dyDescent="0.25">
      <c r="A1707" s="119"/>
      <c r="B1707" s="138" t="str">
        <f t="shared" si="86"/>
        <v>Windrow</v>
      </c>
      <c r="C1707" s="138" t="str">
        <f t="shared" si="87"/>
        <v>Base_With Amendment</v>
      </c>
      <c r="D1707" s="118" t="s">
        <v>134</v>
      </c>
      <c r="E1707" s="118" t="s">
        <v>180</v>
      </c>
      <c r="F1707" s="118" t="s">
        <v>46</v>
      </c>
      <c r="G1707" s="153"/>
      <c r="H1707" s="155">
        <v>0.16489999999999999</v>
      </c>
      <c r="I1707" s="154" t="s">
        <v>271</v>
      </c>
      <c r="J1707" s="204">
        <v>4.2999999999999999E-4</v>
      </c>
      <c r="K1707" s="154" t="s">
        <v>14</v>
      </c>
      <c r="L1707" s="154" t="str">
        <f>IF(OpenLCAbasic!K1707="CTUh", "Fill in Manually",IF(OR(K1707="Unit", K1707=""), "", INDEX(LookUps!$E$5:$E$12, MATCH(OpenLCAbasic!K1707,LookUps!$D$5:$D$12,0))))</f>
        <v>Fossil Depletion Potential (FDP) - kg oil eq</v>
      </c>
      <c r="M1707" s="154" t="str">
        <f t="shared" si="88"/>
        <v>Low_Base_High_Upgraded_Fossil Depletion Potential (FDP) - kg oil eq_Biosolids composting; windrow composting; wastewater treatment unit; at updated plant - US_Base_With Amendment_Windrow</v>
      </c>
    </row>
    <row r="1708" spans="1:13" s="120" customFormat="1" x14ac:dyDescent="0.25">
      <c r="A1708" s="119"/>
      <c r="B1708" s="138" t="str">
        <f t="shared" si="86"/>
        <v>Windrow</v>
      </c>
      <c r="C1708" s="138" t="str">
        <f t="shared" si="87"/>
        <v>Base_With Amendment</v>
      </c>
      <c r="D1708" s="118" t="s">
        <v>134</v>
      </c>
      <c r="E1708" s="118" t="s">
        <v>180</v>
      </c>
      <c r="F1708" s="118" t="s">
        <v>46</v>
      </c>
      <c r="G1708" s="153"/>
      <c r="H1708" s="155">
        <v>-2.4908999999999999</v>
      </c>
      <c r="I1708" s="154" t="s">
        <v>62</v>
      </c>
      <c r="J1708" s="204">
        <v>-6.4400000000000004E-3</v>
      </c>
      <c r="K1708" s="154" t="s">
        <v>14</v>
      </c>
      <c r="L1708" s="154" t="str">
        <f>IF(OpenLCAbasic!K1708="CTUh", "Fill in Manually",IF(OR(K1708="Unit", K1708=""), "", INDEX(LookUps!$E$5:$E$12, MATCH(OpenLCAbasic!K1708,LookUps!$D$5:$D$12,0))))</f>
        <v>Fossil Depletion Potential (FDP) - kg oil eq</v>
      </c>
      <c r="M1708" s="154" t="str">
        <f t="shared" si="88"/>
        <v>Low_Base_High_Upgraded_Fossil Depletion Potential (FDP) - kg oil eq_Land application of compost; wastewater treatment unit; at updated plant - US_Base_With Amendment_Windrow</v>
      </c>
    </row>
    <row r="1709" spans="1:13" s="120" customFormat="1" x14ac:dyDescent="0.25">
      <c r="A1709" s="119"/>
      <c r="B1709" s="138" t="str">
        <f t="shared" si="86"/>
        <v>Windrow</v>
      </c>
      <c r="C1709" s="138" t="str">
        <f t="shared" si="87"/>
        <v>Base_With Amendment</v>
      </c>
      <c r="D1709" s="118" t="s">
        <v>134</v>
      </c>
      <c r="E1709" s="118" t="s">
        <v>180</v>
      </c>
      <c r="F1709" s="118" t="s">
        <v>46</v>
      </c>
      <c r="G1709" s="153"/>
      <c r="H1709" s="155">
        <v>-86.576599999999999</v>
      </c>
      <c r="I1709" s="154" t="s">
        <v>149</v>
      </c>
      <c r="J1709" s="203">
        <v>-0.22373000000000001</v>
      </c>
      <c r="K1709" s="154" t="s">
        <v>14</v>
      </c>
      <c r="L1709" s="154" t="str">
        <f>IF(OpenLCAbasic!K1709="CTUh", "Fill in Manually",IF(OR(K1709="Unit", K1709=""), "", INDEX(LookUps!$E$5:$E$12, MATCH(OpenLCAbasic!K1709,LookUps!$D$5:$D$12,0))))</f>
        <v>Fossil Depletion Potential (FDP) - kg oil eq</v>
      </c>
      <c r="M1709" s="154" t="str">
        <f t="shared" si="88"/>
        <v>Low_Base_High_Upgraded_Fossil Depletion Potential (FDP) - kg oil eq_Anaerobic Digestion; wastewater treatment unit; at updated plant - US_Base_With Amendment_Windrow</v>
      </c>
    </row>
    <row r="1710" spans="1:13" s="120" customFormat="1" x14ac:dyDescent="0.25">
      <c r="A1710" s="119"/>
      <c r="B1710" s="138" t="str">
        <f t="shared" si="86"/>
        <v>Windrow</v>
      </c>
      <c r="C1710" s="138" t="str">
        <f t="shared" si="87"/>
        <v>Base_With Amendment</v>
      </c>
      <c r="D1710" s="118" t="s">
        <v>134</v>
      </c>
      <c r="E1710" s="118" t="s">
        <v>180</v>
      </c>
      <c r="F1710" s="118" t="s">
        <v>46</v>
      </c>
      <c r="G1710" s="153" t="s">
        <v>51</v>
      </c>
      <c r="H1710" s="154"/>
      <c r="I1710" s="154" t="s">
        <v>47</v>
      </c>
      <c r="J1710" s="154" t="s">
        <v>52</v>
      </c>
      <c r="K1710" s="154" t="s">
        <v>27</v>
      </c>
      <c r="L1710" s="154" t="str">
        <f>IF(OpenLCAbasic!K1710="CTUh", "Fill in Manually",IF(OR(K1710="Unit", K1710=""), "", INDEX(LookUps!$E$5:$E$12, MATCH(OpenLCAbasic!K1710,LookUps!$D$5:$D$12,0))))</f>
        <v/>
      </c>
      <c r="M1710" s="154" t="str">
        <f t="shared" si="88"/>
        <v>Low_Base_High_Upgraded__Process_Base_With Amendment_Windrow</v>
      </c>
    </row>
    <row r="1711" spans="1:13" s="120" customFormat="1" x14ac:dyDescent="0.25">
      <c r="A1711" s="119"/>
      <c r="B1711" s="138" t="str">
        <f t="shared" si="86"/>
        <v>Windrow</v>
      </c>
      <c r="C1711" s="138" t="str">
        <f t="shared" si="87"/>
        <v>Base_With Amendment</v>
      </c>
      <c r="D1711" s="118" t="s">
        <v>134</v>
      </c>
      <c r="E1711" s="118" t="s">
        <v>180</v>
      </c>
      <c r="F1711" s="118" t="s">
        <v>46</v>
      </c>
      <c r="G1711" s="153"/>
      <c r="H1711" s="155">
        <v>1048.9715000000001</v>
      </c>
      <c r="I1711" s="154" t="s">
        <v>55</v>
      </c>
      <c r="J1711" s="204">
        <v>2.33E-3</v>
      </c>
      <c r="K1711" s="154" t="s">
        <v>145</v>
      </c>
      <c r="L1711" s="154" t="str">
        <f>IF(OpenLCAbasic!K1711="CTUh", "Fill in Manually",IF(OR(K1711="Unit", K1711=""), "", INDEX(LookUps!$E$5:$E$12, MATCH(OpenLCAbasic!K1711,LookUps!$D$5:$D$12,0))))</f>
        <v>Particulate Matter Formation Potential (PMFP) - kg PM2.5 eq</v>
      </c>
      <c r="M1711" s="154" t="str">
        <f t="shared" si="88"/>
        <v>Low_Base_High_Upgraded_Particulate Matter Formation Potential (PMFP) - kg PM2.5 eq_Aeration Tanks; wastewater treatment unit; at updated plant - US_Base_With Amendment_Windrow</v>
      </c>
    </row>
    <row r="1712" spans="1:13" s="120" customFormat="1" x14ac:dyDescent="0.25">
      <c r="A1712" s="119"/>
      <c r="B1712" s="138" t="str">
        <f t="shared" si="86"/>
        <v>Windrow</v>
      </c>
      <c r="C1712" s="138" t="str">
        <f t="shared" si="87"/>
        <v>Base_With Amendment</v>
      </c>
      <c r="D1712" s="118" t="s">
        <v>134</v>
      </c>
      <c r="E1712" s="118" t="s">
        <v>180</v>
      </c>
      <c r="F1712" s="118" t="s">
        <v>46</v>
      </c>
      <c r="G1712" s="153"/>
      <c r="H1712" s="155">
        <v>305.24009999999998</v>
      </c>
      <c r="I1712" s="154" t="s">
        <v>54</v>
      </c>
      <c r="J1712" s="204">
        <v>6.8000000000000005E-4</v>
      </c>
      <c r="K1712" s="154" t="s">
        <v>145</v>
      </c>
      <c r="L1712" s="154" t="str">
        <f>IF(OpenLCAbasic!K1712="CTUh", "Fill in Manually",IF(OR(K1712="Unit", K1712=""), "", INDEX(LookUps!$E$5:$E$12, MATCH(OpenLCAbasic!K1712,LookUps!$D$5:$D$12,0))))</f>
        <v>Particulate Matter Formation Potential (PMFP) - kg PM2.5 eq</v>
      </c>
      <c r="M1712" s="154" t="str">
        <f t="shared" si="88"/>
        <v>Low_Base_High_Upgraded_Particulate Matter Formation Potential (PMFP) - kg PM2.5 eq_Clear Cove Primary Clarification; wastewater treatment unit; at updated plant - US_Base_With Amendment_Windrow</v>
      </c>
    </row>
    <row r="1713" spans="1:13" s="120" customFormat="1" x14ac:dyDescent="0.25">
      <c r="A1713" s="119"/>
      <c r="B1713" s="138" t="str">
        <f t="shared" si="86"/>
        <v>Windrow</v>
      </c>
      <c r="C1713" s="138" t="str">
        <f t="shared" si="87"/>
        <v>Base_With Amendment</v>
      </c>
      <c r="D1713" s="118" t="s">
        <v>134</v>
      </c>
      <c r="E1713" s="118" t="s">
        <v>180</v>
      </c>
      <c r="F1713" s="118" t="s">
        <v>46</v>
      </c>
      <c r="G1713" s="153"/>
      <c r="H1713" s="155">
        <v>263.72500000000002</v>
      </c>
      <c r="I1713" s="154" t="s">
        <v>58</v>
      </c>
      <c r="J1713" s="204">
        <v>5.9000000000000003E-4</v>
      </c>
      <c r="K1713" s="154" t="s">
        <v>145</v>
      </c>
      <c r="L1713" s="154" t="str">
        <f>IF(OpenLCAbasic!K1713="CTUh", "Fill in Manually",IF(OR(K1713="Unit", K1713=""), "", INDEX(LookUps!$E$5:$E$12, MATCH(OpenLCAbasic!K1713,LookUps!$D$5:$D$12,0))))</f>
        <v>Particulate Matter Formation Potential (PMFP) - kg PM2.5 eq</v>
      </c>
      <c r="M1713" s="154" t="str">
        <f t="shared" si="88"/>
        <v>Low_Base_High_Upgraded_Particulate Matter Formation Potential (PMFP) - kg PM2.5 eq_Pre-Anoxic &amp; Swing tank; wastewater treatment unit; at updated plant - US_Base_With Amendment_Windrow</v>
      </c>
    </row>
    <row r="1714" spans="1:13" s="120" customFormat="1" x14ac:dyDescent="0.25">
      <c r="A1714" s="119"/>
      <c r="B1714" s="138" t="str">
        <f t="shared" si="86"/>
        <v>Windrow</v>
      </c>
      <c r="C1714" s="138" t="str">
        <f t="shared" si="87"/>
        <v>Base_With Amendment</v>
      </c>
      <c r="D1714" s="118" t="s">
        <v>134</v>
      </c>
      <c r="E1714" s="118" t="s">
        <v>180</v>
      </c>
      <c r="F1714" s="118" t="s">
        <v>46</v>
      </c>
      <c r="G1714" s="153"/>
      <c r="H1714" s="155">
        <v>209.72989999999999</v>
      </c>
      <c r="I1714" s="154" t="s">
        <v>53</v>
      </c>
      <c r="J1714" s="204">
        <v>4.6999999999999999E-4</v>
      </c>
      <c r="K1714" s="154" t="s">
        <v>145</v>
      </c>
      <c r="L1714" s="154" t="str">
        <f>IF(OpenLCAbasic!K1714="CTUh", "Fill in Manually",IF(OR(K1714="Unit", K1714=""), "", INDEX(LookUps!$E$5:$E$12, MATCH(OpenLCAbasic!K1714,LookUps!$D$5:$D$12,0))))</f>
        <v>Particulate Matter Formation Potential (PMFP) - kg PM2.5 eq</v>
      </c>
      <c r="M1714" s="154" t="str">
        <f t="shared" si="88"/>
        <v>Low_Base_High_Upgraded_Particulate Matter Formation Potential (PMFP) - kg PM2.5 eq_Wet Well and Sump Station; wastewater treatment unit; at updated plant - US_Base_With Amendment_Windrow</v>
      </c>
    </row>
    <row r="1715" spans="1:13" s="120" customFormat="1" x14ac:dyDescent="0.25">
      <c r="A1715" s="119"/>
      <c r="B1715" s="138" t="str">
        <f t="shared" si="86"/>
        <v>Windrow</v>
      </c>
      <c r="C1715" s="138" t="str">
        <f t="shared" si="87"/>
        <v>Base_With Amendment</v>
      </c>
      <c r="D1715" s="118" t="s">
        <v>134</v>
      </c>
      <c r="E1715" s="118" t="s">
        <v>180</v>
      </c>
      <c r="F1715" s="118" t="s">
        <v>46</v>
      </c>
      <c r="G1715" s="153"/>
      <c r="H1715" s="155">
        <v>134.45509999999999</v>
      </c>
      <c r="I1715" s="154" t="s">
        <v>167</v>
      </c>
      <c r="J1715" s="204">
        <v>2.9999999999999997E-4</v>
      </c>
      <c r="K1715" s="154" t="s">
        <v>145</v>
      </c>
      <c r="L1715" s="154" t="str">
        <f>IF(OpenLCAbasic!K1715="CTUh", "Fill in Manually",IF(OR(K1715="Unit", K1715=""), "", INDEX(LookUps!$E$5:$E$12, MATCH(OpenLCAbasic!K1715,LookUps!$D$5:$D$12,0))))</f>
        <v>Particulate Matter Formation Potential (PMFP) - kg PM2.5 eq</v>
      </c>
      <c r="M1715" s="154" t="str">
        <f t="shared" si="88"/>
        <v>Low_Base_High_Upgraded_Particulate Matter Formation Potential (PMFP) - kg PM2.5 eq_Waste Receiving and Holding; wastewater treatment unit; at updated plant - US_Base_With Amendment_Windrow</v>
      </c>
    </row>
    <row r="1716" spans="1:13" s="120" customFormat="1" x14ac:dyDescent="0.25">
      <c r="A1716" s="119"/>
      <c r="B1716" s="138" t="str">
        <f t="shared" si="86"/>
        <v>Windrow</v>
      </c>
      <c r="C1716" s="138" t="str">
        <f t="shared" si="87"/>
        <v>Base_With Amendment</v>
      </c>
      <c r="D1716" s="118" t="s">
        <v>134</v>
      </c>
      <c r="E1716" s="118" t="s">
        <v>180</v>
      </c>
      <c r="F1716" s="118" t="s">
        <v>46</v>
      </c>
      <c r="G1716" s="153"/>
      <c r="H1716" s="155">
        <v>119.8802</v>
      </c>
      <c r="I1716" s="154" t="s">
        <v>147</v>
      </c>
      <c r="J1716" s="204">
        <v>2.7E-4</v>
      </c>
      <c r="K1716" s="154" t="s">
        <v>145</v>
      </c>
      <c r="L1716" s="154" t="str">
        <f>IF(OpenLCAbasic!K1716="CTUh", "Fill in Manually",IF(OR(K1716="Unit", K1716=""), "", INDEX(LookUps!$E$5:$E$12, MATCH(OpenLCAbasic!K1716,LookUps!$D$5:$D$12,0))))</f>
        <v>Particulate Matter Formation Potential (PMFP) - kg PM2.5 eq</v>
      </c>
      <c r="M1716" s="154" t="str">
        <f t="shared" si="88"/>
        <v>Low_Base_High_Upgraded_Particulate Matter Formation Potential (PMFP) - kg PM2.5 eq_Influent Pump Station; wastewater treatment unit; at updated plant - US_Base_With Amendment_Windrow</v>
      </c>
    </row>
    <row r="1717" spans="1:13" s="120" customFormat="1" x14ac:dyDescent="0.25">
      <c r="A1717" s="119"/>
      <c r="B1717" s="138" t="str">
        <f t="shared" si="86"/>
        <v>Windrow</v>
      </c>
      <c r="C1717" s="138" t="str">
        <f t="shared" si="87"/>
        <v>Base_With Amendment</v>
      </c>
      <c r="D1717" s="118" t="s">
        <v>134</v>
      </c>
      <c r="E1717" s="118" t="s">
        <v>180</v>
      </c>
      <c r="F1717" s="118" t="s">
        <v>46</v>
      </c>
      <c r="G1717" s="153"/>
      <c r="H1717" s="155">
        <v>74.816500000000005</v>
      </c>
      <c r="I1717" s="154" t="s">
        <v>128</v>
      </c>
      <c r="J1717" s="204">
        <v>1.7000000000000001E-4</v>
      </c>
      <c r="K1717" s="154" t="s">
        <v>145</v>
      </c>
      <c r="L1717" s="154" t="str">
        <f>IF(OpenLCAbasic!K1717="CTUh", "Fill in Manually",IF(OR(K1717="Unit", K1717=""), "", INDEX(LookUps!$E$5:$E$12, MATCH(OpenLCAbasic!K1717,LookUps!$D$5:$D$12,0))))</f>
        <v>Particulate Matter Formation Potential (PMFP) - kg PM2.5 eq</v>
      </c>
      <c r="M1717" s="154" t="str">
        <f t="shared" si="88"/>
        <v>Low_Base_High_Upgraded_Particulate Matter Formation Potential (PMFP) - kg PM2.5 eq_Wastewater collection; operation and infrastructure; m3 wastewater_Base_With Amendment_Windrow</v>
      </c>
    </row>
    <row r="1718" spans="1:13" s="120" customFormat="1" x14ac:dyDescent="0.25">
      <c r="A1718" s="119"/>
      <c r="B1718" s="138" t="str">
        <f t="shared" si="86"/>
        <v>Windrow</v>
      </c>
      <c r="C1718" s="138" t="str">
        <f t="shared" si="87"/>
        <v>Base_With Amendment</v>
      </c>
      <c r="D1718" s="118" t="s">
        <v>134</v>
      </c>
      <c r="E1718" s="118" t="s">
        <v>180</v>
      </c>
      <c r="F1718" s="118" t="s">
        <v>46</v>
      </c>
      <c r="G1718" s="153"/>
      <c r="H1718" s="155">
        <v>45.220599999999997</v>
      </c>
      <c r="I1718" s="154" t="s">
        <v>60</v>
      </c>
      <c r="J1718" s="204">
        <v>1E-4</v>
      </c>
      <c r="K1718" s="154" t="s">
        <v>145</v>
      </c>
      <c r="L1718" s="154" t="str">
        <f>IF(OpenLCAbasic!K1718="CTUh", "Fill in Manually",IF(OR(K1718="Unit", K1718=""), "", INDEX(LookUps!$E$5:$E$12, MATCH(OpenLCAbasic!K1718,LookUps!$D$5:$D$12,0))))</f>
        <v>Particulate Matter Formation Potential (PMFP) - kg PM2.5 eq</v>
      </c>
      <c r="M1718" s="154" t="str">
        <f t="shared" si="88"/>
        <v>Low_Base_High_Upgraded_Particulate Matter Formation Potential (PMFP) - kg PM2.5 eq_Belt filter press; wastewater treatment unit; at updated plant - US_Base_With Amendment_Windrow</v>
      </c>
    </row>
    <row r="1719" spans="1:13" s="120" customFormat="1" x14ac:dyDescent="0.25">
      <c r="A1719" s="119"/>
      <c r="B1719" s="138" t="str">
        <f t="shared" si="86"/>
        <v>Windrow</v>
      </c>
      <c r="C1719" s="138" t="str">
        <f t="shared" si="87"/>
        <v>Base_With Amendment</v>
      </c>
      <c r="D1719" s="118" t="s">
        <v>134</v>
      </c>
      <c r="E1719" s="118" t="s">
        <v>180</v>
      </c>
      <c r="F1719" s="118" t="s">
        <v>46</v>
      </c>
      <c r="G1719" s="153"/>
      <c r="H1719" s="155">
        <v>42.765000000000001</v>
      </c>
      <c r="I1719" s="154" t="s">
        <v>57</v>
      </c>
      <c r="J1719" s="204">
        <v>9.5153800000000004E-5</v>
      </c>
      <c r="K1719" s="154" t="s">
        <v>145</v>
      </c>
      <c r="L1719" s="154" t="str">
        <f>IF(OpenLCAbasic!K1719="CTUh", "Fill in Manually",IF(OR(K1719="Unit", K1719=""), "", INDEX(LookUps!$E$5:$E$12, MATCH(OpenLCAbasic!K1719,LookUps!$D$5:$D$12,0))))</f>
        <v>Particulate Matter Formation Potential (PMFP) - kg PM2.5 eq</v>
      </c>
      <c r="M1719" s="154" t="str">
        <f t="shared" si="88"/>
        <v>Low_Base_High_Upgraded_Particulate Matter Formation Potential (PMFP) - kg PM2.5 eq_Gravity Belt Thickener; wastewater treatment unit; at updated plant - US_Base_With Amendment_Windrow</v>
      </c>
    </row>
    <row r="1720" spans="1:13" s="120" customFormat="1" x14ac:dyDescent="0.25">
      <c r="A1720" s="119"/>
      <c r="B1720" s="138" t="str">
        <f t="shared" si="86"/>
        <v>Windrow</v>
      </c>
      <c r="C1720" s="138" t="str">
        <f t="shared" si="87"/>
        <v>Base_With Amendment</v>
      </c>
      <c r="D1720" s="118" t="s">
        <v>134</v>
      </c>
      <c r="E1720" s="118" t="s">
        <v>180</v>
      </c>
      <c r="F1720" s="118" t="s">
        <v>46</v>
      </c>
      <c r="G1720" s="153"/>
      <c r="H1720" s="155">
        <v>31.434100000000001</v>
      </c>
      <c r="I1720" s="154" t="s">
        <v>59</v>
      </c>
      <c r="J1720" s="204">
        <v>6.9942200000000003E-5</v>
      </c>
      <c r="K1720" s="154" t="s">
        <v>145</v>
      </c>
      <c r="L1720" s="154" t="str">
        <f>IF(OpenLCAbasic!K1720="CTUh", "Fill in Manually",IF(OR(K1720="Unit", K1720=""), "", INDEX(LookUps!$E$5:$E$12, MATCH(OpenLCAbasic!K1720,LookUps!$D$5:$D$12,0))))</f>
        <v>Particulate Matter Formation Potential (PMFP) - kg PM2.5 eq</v>
      </c>
      <c r="M1720" s="154" t="str">
        <f t="shared" si="88"/>
        <v>Low_Base_High_Upgraded_Particulate Matter Formation Potential (PMFP) - kg PM2.5 eq_Blend Tank; wastewater treatment unit; at updated plant - US_Base_With Amendment_Windrow</v>
      </c>
    </row>
    <row r="1721" spans="1:13" s="120" customFormat="1" x14ac:dyDescent="0.25">
      <c r="A1721" s="119"/>
      <c r="B1721" s="138" t="str">
        <f t="shared" si="86"/>
        <v>Windrow</v>
      </c>
      <c r="C1721" s="138" t="str">
        <f t="shared" si="87"/>
        <v>Base_With Amendment</v>
      </c>
      <c r="D1721" s="118" t="s">
        <v>134</v>
      </c>
      <c r="E1721" s="118" t="s">
        <v>180</v>
      </c>
      <c r="F1721" s="118" t="s">
        <v>46</v>
      </c>
      <c r="G1721" s="153"/>
      <c r="H1721" s="155">
        <v>22.459800000000001</v>
      </c>
      <c r="I1721" s="154" t="s">
        <v>48</v>
      </c>
      <c r="J1721" s="204">
        <v>4.99741E-5</v>
      </c>
      <c r="K1721" s="154" t="s">
        <v>145</v>
      </c>
      <c r="L1721" s="154" t="str">
        <f>IF(OpenLCAbasic!K1721="CTUh", "Fill in Manually",IF(OR(K1721="Unit", K1721=""), "", INDEX(LookUps!$E$5:$E$12, MATCH(OpenLCAbasic!K1721,LookUps!$D$5:$D$12,0))))</f>
        <v>Particulate Matter Formation Potential (PMFP) - kg PM2.5 eq</v>
      </c>
      <c r="M1721" s="154" t="str">
        <f t="shared" si="88"/>
        <v>Low_Base_High_Upgraded_Particulate Matter Formation Potential (PMFP) - kg PM2.5 eq_Effluent release; wastewater treatment unit; at surface water; m3 wastewater - US_Base_With Amendment_Windrow</v>
      </c>
    </row>
    <row r="1722" spans="1:13" s="120" customFormat="1" x14ac:dyDescent="0.25">
      <c r="A1722" s="119"/>
      <c r="B1722" s="138" t="str">
        <f t="shared" si="86"/>
        <v>Windrow</v>
      </c>
      <c r="C1722" s="138" t="str">
        <f t="shared" si="87"/>
        <v>Base_With Amendment</v>
      </c>
      <c r="D1722" s="118" t="s">
        <v>134</v>
      </c>
      <c r="E1722" s="118" t="s">
        <v>180</v>
      </c>
      <c r="F1722" s="118" t="s">
        <v>46</v>
      </c>
      <c r="G1722" s="153"/>
      <c r="H1722" s="155">
        <v>22.319099999999999</v>
      </c>
      <c r="I1722" s="154" t="s">
        <v>62</v>
      </c>
      <c r="J1722" s="204">
        <v>4.9660999999999998E-5</v>
      </c>
      <c r="K1722" s="154" t="s">
        <v>145</v>
      </c>
      <c r="L1722" s="154" t="str">
        <f>IF(OpenLCAbasic!K1722="CTUh", "Fill in Manually",IF(OR(K1722="Unit", K1722=""), "", INDEX(LookUps!$E$5:$E$12, MATCH(OpenLCAbasic!K1722,LookUps!$D$5:$D$12,0))))</f>
        <v>Particulate Matter Formation Potential (PMFP) - kg PM2.5 eq</v>
      </c>
      <c r="M1722" s="154" t="str">
        <f t="shared" si="88"/>
        <v>Low_Base_High_Upgraded_Particulate Matter Formation Potential (PMFP) - kg PM2.5 eq_Land application of compost; wastewater treatment unit; at updated plant - US_Base_With Amendment_Windrow</v>
      </c>
    </row>
    <row r="1723" spans="1:13" s="120" customFormat="1" x14ac:dyDescent="0.25">
      <c r="A1723" s="119"/>
      <c r="B1723" s="138" t="str">
        <f t="shared" si="86"/>
        <v>Windrow</v>
      </c>
      <c r="C1723" s="138" t="str">
        <f t="shared" si="87"/>
        <v>Base_With Amendment</v>
      </c>
      <c r="D1723" s="118" t="s">
        <v>134</v>
      </c>
      <c r="E1723" s="118" t="s">
        <v>180</v>
      </c>
      <c r="F1723" s="118" t="s">
        <v>46</v>
      </c>
      <c r="G1723" s="153"/>
      <c r="H1723" s="155">
        <v>16.4709</v>
      </c>
      <c r="I1723" s="154" t="s">
        <v>271</v>
      </c>
      <c r="J1723" s="204">
        <v>3.66485E-5</v>
      </c>
      <c r="K1723" s="154" t="s">
        <v>145</v>
      </c>
      <c r="L1723" s="154" t="str">
        <f>IF(OpenLCAbasic!K1723="CTUh", "Fill in Manually",IF(OR(K1723="Unit", K1723=""), "", INDEX(LookUps!$E$5:$E$12, MATCH(OpenLCAbasic!K1723,LookUps!$D$5:$D$12,0))))</f>
        <v>Particulate Matter Formation Potential (PMFP) - kg PM2.5 eq</v>
      </c>
      <c r="M1723" s="154" t="str">
        <f t="shared" si="88"/>
        <v>Low_Base_High_Upgraded_Particulate Matter Formation Potential (PMFP) - kg PM2.5 eq_Biosolids composting; windrow composting; wastewater treatment unit; at updated plant - US_Base_With Amendment_Windrow</v>
      </c>
    </row>
    <row r="1724" spans="1:13" s="120" customFormat="1" x14ac:dyDescent="0.25">
      <c r="A1724" s="119"/>
      <c r="B1724" s="138" t="str">
        <f t="shared" si="86"/>
        <v>Windrow</v>
      </c>
      <c r="C1724" s="138" t="str">
        <f t="shared" si="87"/>
        <v>Base_With Amendment</v>
      </c>
      <c r="D1724" s="118" t="s">
        <v>134</v>
      </c>
      <c r="E1724" s="118" t="s">
        <v>180</v>
      </c>
      <c r="F1724" s="118" t="s">
        <v>46</v>
      </c>
      <c r="G1724" s="153"/>
      <c r="H1724" s="155">
        <v>15.533300000000001</v>
      </c>
      <c r="I1724" s="154" t="s">
        <v>168</v>
      </c>
      <c r="J1724" s="204">
        <v>3.4562199999999999E-5</v>
      </c>
      <c r="K1724" s="154" t="s">
        <v>145</v>
      </c>
      <c r="L1724" s="154" t="str">
        <f>IF(OpenLCAbasic!K1724="CTUh", "Fill in Manually",IF(OR(K1724="Unit", K1724=""), "", INDEX(LookUps!$E$5:$E$12, MATCH(OpenLCAbasic!K1724,LookUps!$D$5:$D$12,0))))</f>
        <v>Particulate Matter Formation Potential (PMFP) - kg PM2.5 eq</v>
      </c>
      <c r="M1724" s="154" t="str">
        <f t="shared" si="88"/>
        <v>Low_Base_High_Upgraded_Particulate Matter Formation Potential (PMFP) - kg PM2.5 eq_ClearCove SCP; wastewater treatment unit; at updated plant - US_Base_With Amendment_Windrow</v>
      </c>
    </row>
    <row r="1725" spans="1:13" s="120" customFormat="1" x14ac:dyDescent="0.25">
      <c r="A1725" s="119"/>
      <c r="B1725" s="138" t="str">
        <f t="shared" si="86"/>
        <v>Windrow</v>
      </c>
      <c r="C1725" s="138" t="str">
        <f t="shared" si="87"/>
        <v>Base_With Amendment</v>
      </c>
      <c r="D1725" s="118" t="s">
        <v>134</v>
      </c>
      <c r="E1725" s="118" t="s">
        <v>180</v>
      </c>
      <c r="F1725" s="118" t="s">
        <v>46</v>
      </c>
      <c r="G1725" s="153"/>
      <c r="H1725" s="155">
        <v>3.9645999999999999</v>
      </c>
      <c r="I1725" s="154" t="s">
        <v>148</v>
      </c>
      <c r="J1725" s="204">
        <v>8.8212999999999997E-6</v>
      </c>
      <c r="K1725" s="154" t="s">
        <v>145</v>
      </c>
      <c r="L1725" s="154" t="str">
        <f>IF(OpenLCAbasic!K1725="CTUh", "Fill in Manually",IF(OR(K1725="Unit", K1725=""), "", INDEX(LookUps!$E$5:$E$12, MATCH(OpenLCAbasic!K1725,LookUps!$D$5:$D$12,0))))</f>
        <v>Particulate Matter Formation Potential (PMFP) - kg PM2.5 eq</v>
      </c>
      <c r="M1725" s="154" t="str">
        <f t="shared" si="88"/>
        <v>Low_Base_High_Upgraded_Particulate Matter Formation Potential (PMFP) - kg PM2.5 eq_Control Building; at upgraded wastewater treatment plant - US_Base_With Amendment_Windrow</v>
      </c>
    </row>
    <row r="1726" spans="1:13" s="120" customFormat="1" x14ac:dyDescent="0.25">
      <c r="A1726" s="119"/>
      <c r="B1726" s="138" t="str">
        <f t="shared" si="86"/>
        <v>Windrow</v>
      </c>
      <c r="C1726" s="138" t="str">
        <f t="shared" si="87"/>
        <v>Base_With Amendment</v>
      </c>
      <c r="D1726" s="118" t="s">
        <v>134</v>
      </c>
      <c r="E1726" s="118" t="s">
        <v>180</v>
      </c>
      <c r="F1726" s="118" t="s">
        <v>46</v>
      </c>
      <c r="G1726" s="153"/>
      <c r="H1726" s="155">
        <v>-2355.9856</v>
      </c>
      <c r="I1726" s="154" t="s">
        <v>149</v>
      </c>
      <c r="J1726" s="204">
        <v>-5.2399999999999999E-3</v>
      </c>
      <c r="K1726" s="154" t="s">
        <v>145</v>
      </c>
      <c r="L1726" s="154" t="str">
        <f>IF(OpenLCAbasic!K1726="CTUh", "Fill in Manually",IF(OR(K1726="Unit", K1726=""), "", INDEX(LookUps!$E$5:$E$12, MATCH(OpenLCAbasic!K1726,LookUps!$D$5:$D$12,0))))</f>
        <v>Particulate Matter Formation Potential (PMFP) - kg PM2.5 eq</v>
      </c>
      <c r="M1726" s="154" t="str">
        <f t="shared" si="88"/>
        <v>Low_Base_High_Upgraded_Particulate Matter Formation Potential (PMFP) - kg PM2.5 eq_Anaerobic Digestion; wastewater treatment unit; at updated plant - US_Base_With Amendment_Windrow</v>
      </c>
    </row>
    <row r="1727" spans="1:13" s="120" customFormat="1" x14ac:dyDescent="0.25">
      <c r="A1727" s="119"/>
      <c r="B1727" s="138" t="str">
        <f t="shared" si="86"/>
        <v>Windrow</v>
      </c>
      <c r="C1727" s="138" t="str">
        <f t="shared" si="87"/>
        <v>Base_With Amendment</v>
      </c>
      <c r="D1727" s="118" t="s">
        <v>134</v>
      </c>
      <c r="E1727" s="118" t="s">
        <v>180</v>
      </c>
      <c r="F1727" s="118" t="s">
        <v>46</v>
      </c>
      <c r="G1727" s="153" t="s">
        <v>51</v>
      </c>
      <c r="H1727" s="154"/>
      <c r="I1727" s="154" t="s">
        <v>47</v>
      </c>
      <c r="J1727" s="154" t="s">
        <v>52</v>
      </c>
      <c r="K1727" s="154" t="s">
        <v>27</v>
      </c>
      <c r="L1727" s="154" t="str">
        <f>IF(OpenLCAbasic!K1727="CTUh", "Fill in Manually",IF(OR(K1727="Unit", K1727=""), "", INDEX(LookUps!$E$5:$E$12, MATCH(OpenLCAbasic!K1727,LookUps!$D$5:$D$12,0))))</f>
        <v/>
      </c>
      <c r="M1727" s="154" t="str">
        <f t="shared" si="88"/>
        <v>Low_Base_High_Upgraded__Process_Base_With Amendment_Windrow</v>
      </c>
    </row>
    <row r="1728" spans="1:13" s="120" customFormat="1" x14ac:dyDescent="0.25">
      <c r="A1728" s="119"/>
      <c r="B1728" s="138" t="str">
        <f t="shared" si="86"/>
        <v>Windrow</v>
      </c>
      <c r="C1728" s="138" t="str">
        <f t="shared" si="87"/>
        <v>Base_With Amendment</v>
      </c>
      <c r="D1728" s="118" t="s">
        <v>134</v>
      </c>
      <c r="E1728" s="118" t="s">
        <v>180</v>
      </c>
      <c r="F1728" s="118" t="s">
        <v>46</v>
      </c>
      <c r="G1728" s="153"/>
      <c r="H1728" s="155">
        <v>68.937899999999999</v>
      </c>
      <c r="I1728" s="154" t="s">
        <v>55</v>
      </c>
      <c r="J1728" s="203">
        <v>0.16577</v>
      </c>
      <c r="K1728" s="154" t="s">
        <v>25</v>
      </c>
      <c r="L1728" s="154" t="str">
        <f>IF(OpenLCAbasic!K1728="CTUh", "Fill in Manually",IF(OR(K1728="Unit", K1728=""), "", INDEX(LookUps!$E$5:$E$12, MATCH(OpenLCAbasic!K1728,LookUps!$D$5:$D$12,0))))</f>
        <v>Smog Formation Potential (SFP) - kg O3 eq</v>
      </c>
      <c r="M1728" s="154" t="str">
        <f t="shared" si="88"/>
        <v>Low_Base_High_Upgraded_Smog Formation Potential (SFP) - kg O3 eq_Aeration Tanks; wastewater treatment unit; at updated plant - US_Base_With Amendment_Windrow</v>
      </c>
    </row>
    <row r="1729" spans="1:13" s="120" customFormat="1" x14ac:dyDescent="0.25">
      <c r="A1729" s="119"/>
      <c r="B1729" s="138" t="str">
        <f t="shared" si="86"/>
        <v>Windrow</v>
      </c>
      <c r="C1729" s="138" t="str">
        <f t="shared" si="87"/>
        <v>Base_With Amendment</v>
      </c>
      <c r="D1729" s="118" t="s">
        <v>134</v>
      </c>
      <c r="E1729" s="118" t="s">
        <v>180</v>
      </c>
      <c r="F1729" s="118" t="s">
        <v>46</v>
      </c>
      <c r="G1729" s="153"/>
      <c r="H1729" s="155">
        <v>19.991900000000001</v>
      </c>
      <c r="I1729" s="154" t="s">
        <v>54</v>
      </c>
      <c r="J1729" s="203">
        <v>4.8070000000000002E-2</v>
      </c>
      <c r="K1729" s="154" t="s">
        <v>25</v>
      </c>
      <c r="L1729" s="154" t="str">
        <f>IF(OpenLCAbasic!K1729="CTUh", "Fill in Manually",IF(OR(K1729="Unit", K1729=""), "", INDEX(LookUps!$E$5:$E$12, MATCH(OpenLCAbasic!K1729,LookUps!$D$5:$D$12,0))))</f>
        <v>Smog Formation Potential (SFP) - kg O3 eq</v>
      </c>
      <c r="M1729" s="154" t="str">
        <f t="shared" si="88"/>
        <v>Low_Base_High_Upgraded_Smog Formation Potential (SFP) - kg O3 eq_Clear Cove Primary Clarification; wastewater treatment unit; at updated plant - US_Base_With Amendment_Windrow</v>
      </c>
    </row>
    <row r="1730" spans="1:13" s="120" customFormat="1" x14ac:dyDescent="0.25">
      <c r="A1730" s="119"/>
      <c r="B1730" s="138" t="str">
        <f t="shared" si="86"/>
        <v>Windrow</v>
      </c>
      <c r="C1730" s="138" t="str">
        <f t="shared" si="87"/>
        <v>Base_With Amendment</v>
      </c>
      <c r="D1730" s="118" t="s">
        <v>134</v>
      </c>
      <c r="E1730" s="118" t="s">
        <v>180</v>
      </c>
      <c r="F1730" s="118" t="s">
        <v>46</v>
      </c>
      <c r="G1730" s="153"/>
      <c r="H1730" s="155">
        <v>17.374500000000001</v>
      </c>
      <c r="I1730" s="154" t="s">
        <v>58</v>
      </c>
      <c r="J1730" s="203">
        <v>4.1779999999999998E-2</v>
      </c>
      <c r="K1730" s="154" t="s">
        <v>25</v>
      </c>
      <c r="L1730" s="154" t="str">
        <f>IF(OpenLCAbasic!K1730="CTUh", "Fill in Manually",IF(OR(K1730="Unit", K1730=""), "", INDEX(LookUps!$E$5:$E$12, MATCH(OpenLCAbasic!K1730,LookUps!$D$5:$D$12,0))))</f>
        <v>Smog Formation Potential (SFP) - kg O3 eq</v>
      </c>
      <c r="M1730" s="154" t="str">
        <f t="shared" si="88"/>
        <v>Low_Base_High_Upgraded_Smog Formation Potential (SFP) - kg O3 eq_Pre-Anoxic &amp; Swing tank; wastewater treatment unit; at updated plant - US_Base_With Amendment_Windrow</v>
      </c>
    </row>
    <row r="1731" spans="1:13" s="120" customFormat="1" x14ac:dyDescent="0.25">
      <c r="A1731" s="119"/>
      <c r="B1731" s="138" t="str">
        <f t="shared" si="86"/>
        <v>Windrow</v>
      </c>
      <c r="C1731" s="138" t="str">
        <f t="shared" si="87"/>
        <v>Base_With Amendment</v>
      </c>
      <c r="D1731" s="118" t="s">
        <v>134</v>
      </c>
      <c r="E1731" s="118" t="s">
        <v>180</v>
      </c>
      <c r="F1731" s="118" t="s">
        <v>46</v>
      </c>
      <c r="G1731" s="153"/>
      <c r="H1731" s="155">
        <v>13.775600000000001</v>
      </c>
      <c r="I1731" s="154" t="s">
        <v>53</v>
      </c>
      <c r="J1731" s="203">
        <v>3.313E-2</v>
      </c>
      <c r="K1731" s="154" t="s">
        <v>25</v>
      </c>
      <c r="L1731" s="154" t="str">
        <f>IF(OpenLCAbasic!K1731="CTUh", "Fill in Manually",IF(OR(K1731="Unit", K1731=""), "", INDEX(LookUps!$E$5:$E$12, MATCH(OpenLCAbasic!K1731,LookUps!$D$5:$D$12,0))))</f>
        <v>Smog Formation Potential (SFP) - kg O3 eq</v>
      </c>
      <c r="M1731" s="154" t="str">
        <f t="shared" si="88"/>
        <v>Low_Base_High_Upgraded_Smog Formation Potential (SFP) - kg O3 eq_Wet Well and Sump Station; wastewater treatment unit; at updated plant - US_Base_With Amendment_Windrow</v>
      </c>
    </row>
    <row r="1732" spans="1:13" s="120" customFormat="1" x14ac:dyDescent="0.25">
      <c r="A1732" s="119"/>
      <c r="B1732" s="138" t="str">
        <f t="shared" si="86"/>
        <v>Windrow</v>
      </c>
      <c r="C1732" s="138" t="str">
        <f t="shared" si="87"/>
        <v>Base_With Amendment</v>
      </c>
      <c r="D1732" s="118" t="s">
        <v>134</v>
      </c>
      <c r="E1732" s="118" t="s">
        <v>180</v>
      </c>
      <c r="F1732" s="118" t="s">
        <v>46</v>
      </c>
      <c r="G1732" s="153"/>
      <c r="H1732" s="155">
        <v>11.6214</v>
      </c>
      <c r="I1732" s="154" t="s">
        <v>167</v>
      </c>
      <c r="J1732" s="203">
        <v>2.7949999999999999E-2</v>
      </c>
      <c r="K1732" s="154" t="s">
        <v>25</v>
      </c>
      <c r="L1732" s="154" t="str">
        <f>IF(OpenLCAbasic!K1732="CTUh", "Fill in Manually",IF(OR(K1732="Unit", K1732=""), "", INDEX(LookUps!$E$5:$E$12, MATCH(OpenLCAbasic!K1732,LookUps!$D$5:$D$12,0))))</f>
        <v>Smog Formation Potential (SFP) - kg O3 eq</v>
      </c>
      <c r="M1732" s="154" t="str">
        <f t="shared" si="88"/>
        <v>Low_Base_High_Upgraded_Smog Formation Potential (SFP) - kg O3 eq_Waste Receiving and Holding; wastewater treatment unit; at updated plant - US_Base_With Amendment_Windrow</v>
      </c>
    </row>
    <row r="1733" spans="1:13" s="120" customFormat="1" x14ac:dyDescent="0.25">
      <c r="A1733" s="119"/>
      <c r="B1733" s="138" t="str">
        <f t="shared" si="86"/>
        <v>Windrow</v>
      </c>
      <c r="C1733" s="138" t="str">
        <f t="shared" si="87"/>
        <v>Base_With Amendment</v>
      </c>
      <c r="D1733" s="118" t="s">
        <v>134</v>
      </c>
      <c r="E1733" s="118" t="s">
        <v>180</v>
      </c>
      <c r="F1733" s="118" t="s">
        <v>46</v>
      </c>
      <c r="G1733" s="153"/>
      <c r="H1733" s="155">
        <v>8.0671999999999997</v>
      </c>
      <c r="I1733" s="154" t="s">
        <v>147</v>
      </c>
      <c r="J1733" s="203">
        <v>1.9400000000000001E-2</v>
      </c>
      <c r="K1733" s="154" t="s">
        <v>25</v>
      </c>
      <c r="L1733" s="154" t="str">
        <f>IF(OpenLCAbasic!K1733="CTUh", "Fill in Manually",IF(OR(K1733="Unit", K1733=""), "", INDEX(LookUps!$E$5:$E$12, MATCH(OpenLCAbasic!K1733,LookUps!$D$5:$D$12,0))))</f>
        <v>Smog Formation Potential (SFP) - kg O3 eq</v>
      </c>
      <c r="M1733" s="154" t="str">
        <f t="shared" si="88"/>
        <v>Low_Base_High_Upgraded_Smog Formation Potential (SFP) - kg O3 eq_Influent Pump Station; wastewater treatment unit; at updated plant - US_Base_With Amendment_Windrow</v>
      </c>
    </row>
    <row r="1734" spans="1:13" s="120" customFormat="1" x14ac:dyDescent="0.25">
      <c r="A1734" s="119"/>
      <c r="B1734" s="138" t="str">
        <f t="shared" ref="B1734:B1797" si="89">IF(F1734="Legacy","n.a.",IF(F1734="","","Windrow"))</f>
        <v>Windrow</v>
      </c>
      <c r="C1734" s="138" t="str">
        <f t="shared" si="87"/>
        <v>Base_With Amendment</v>
      </c>
      <c r="D1734" s="118" t="s">
        <v>134</v>
      </c>
      <c r="E1734" s="118" t="s">
        <v>180</v>
      </c>
      <c r="F1734" s="118" t="s">
        <v>46</v>
      </c>
      <c r="G1734" s="153"/>
      <c r="H1734" s="155">
        <v>4.9564000000000004</v>
      </c>
      <c r="I1734" s="154" t="s">
        <v>128</v>
      </c>
      <c r="J1734" s="204">
        <v>1.192E-2</v>
      </c>
      <c r="K1734" s="154" t="s">
        <v>25</v>
      </c>
      <c r="L1734" s="154" t="str">
        <f>IF(OpenLCAbasic!K1734="CTUh", "Fill in Manually",IF(OR(K1734="Unit", K1734=""), "", INDEX(LookUps!$E$5:$E$12, MATCH(OpenLCAbasic!K1734,LookUps!$D$5:$D$12,0))))</f>
        <v>Smog Formation Potential (SFP) - kg O3 eq</v>
      </c>
      <c r="M1734" s="154" t="str">
        <f t="shared" si="88"/>
        <v>Low_Base_High_Upgraded_Smog Formation Potential (SFP) - kg O3 eq_Wastewater collection; operation and infrastructure; m3 wastewater_Base_With Amendment_Windrow</v>
      </c>
    </row>
    <row r="1735" spans="1:13" s="120" customFormat="1" x14ac:dyDescent="0.25">
      <c r="A1735" s="119"/>
      <c r="B1735" s="138" t="str">
        <f t="shared" si="89"/>
        <v>Windrow</v>
      </c>
      <c r="C1735" s="138" t="str">
        <f t="shared" ref="C1735:C1798" si="90">IF(E1735&lt;&gt;"", "Base_With Amendment","")</f>
        <v>Base_With Amendment</v>
      </c>
      <c r="D1735" s="118" t="s">
        <v>134</v>
      </c>
      <c r="E1735" s="118" t="s">
        <v>180</v>
      </c>
      <c r="F1735" s="118" t="s">
        <v>46</v>
      </c>
      <c r="G1735" s="153"/>
      <c r="H1735" s="155">
        <v>2.9428000000000001</v>
      </c>
      <c r="I1735" s="154" t="s">
        <v>60</v>
      </c>
      <c r="J1735" s="204">
        <v>7.0800000000000004E-3</v>
      </c>
      <c r="K1735" s="154" t="s">
        <v>25</v>
      </c>
      <c r="L1735" s="154" t="str">
        <f>IF(OpenLCAbasic!K1735="CTUh", "Fill in Manually",IF(OR(K1735="Unit", K1735=""), "", INDEX(LookUps!$E$5:$E$12, MATCH(OpenLCAbasic!K1735,LookUps!$D$5:$D$12,0))))</f>
        <v>Smog Formation Potential (SFP) - kg O3 eq</v>
      </c>
      <c r="M1735" s="154" t="str">
        <f t="shared" ref="M1735:M1798" si="91">CONCATENATE(E1735,"_",D1735,"_",F1735,"_",L1735, "_",I1735,"_", C1735,"_", B1735)</f>
        <v>Low_Base_High_Upgraded_Smog Formation Potential (SFP) - kg O3 eq_Belt filter press; wastewater treatment unit; at updated plant - US_Base_With Amendment_Windrow</v>
      </c>
    </row>
    <row r="1736" spans="1:13" s="120" customFormat="1" x14ac:dyDescent="0.25">
      <c r="A1736" s="119"/>
      <c r="B1736" s="138" t="str">
        <f t="shared" si="89"/>
        <v>Windrow</v>
      </c>
      <c r="C1736" s="138" t="str">
        <f t="shared" si="90"/>
        <v>Base_With Amendment</v>
      </c>
      <c r="D1736" s="118" t="s">
        <v>134</v>
      </c>
      <c r="E1736" s="118" t="s">
        <v>180</v>
      </c>
      <c r="F1736" s="118" t="s">
        <v>46</v>
      </c>
      <c r="G1736" s="153"/>
      <c r="H1736" s="155">
        <v>2.7667000000000002</v>
      </c>
      <c r="I1736" s="154" t="s">
        <v>57</v>
      </c>
      <c r="J1736" s="204">
        <v>6.6499999999999997E-3</v>
      </c>
      <c r="K1736" s="154" t="s">
        <v>25</v>
      </c>
      <c r="L1736" s="154" t="str">
        <f>IF(OpenLCAbasic!K1736="CTUh", "Fill in Manually",IF(OR(K1736="Unit", K1736=""), "", INDEX(LookUps!$E$5:$E$12, MATCH(OpenLCAbasic!K1736,LookUps!$D$5:$D$12,0))))</f>
        <v>Smog Formation Potential (SFP) - kg O3 eq</v>
      </c>
      <c r="M1736" s="154" t="str">
        <f t="shared" si="91"/>
        <v>Low_Base_High_Upgraded_Smog Formation Potential (SFP) - kg O3 eq_Gravity Belt Thickener; wastewater treatment unit; at updated plant - US_Base_With Amendment_Windrow</v>
      </c>
    </row>
    <row r="1737" spans="1:13" s="120" customFormat="1" x14ac:dyDescent="0.25">
      <c r="A1737" s="119"/>
      <c r="B1737" s="138" t="str">
        <f t="shared" si="89"/>
        <v>Windrow</v>
      </c>
      <c r="C1737" s="138" t="str">
        <f t="shared" si="90"/>
        <v>Base_With Amendment</v>
      </c>
      <c r="D1737" s="118" t="s">
        <v>134</v>
      </c>
      <c r="E1737" s="118" t="s">
        <v>180</v>
      </c>
      <c r="F1737" s="118" t="s">
        <v>46</v>
      </c>
      <c r="G1737" s="153"/>
      <c r="H1737" s="155">
        <v>2.0682</v>
      </c>
      <c r="I1737" s="154" t="s">
        <v>59</v>
      </c>
      <c r="J1737" s="204">
        <v>4.9699999999999996E-3</v>
      </c>
      <c r="K1737" s="154" t="s">
        <v>25</v>
      </c>
      <c r="L1737" s="154" t="str">
        <f>IF(OpenLCAbasic!K1737="CTUh", "Fill in Manually",IF(OR(K1737="Unit", K1737=""), "", INDEX(LookUps!$E$5:$E$12, MATCH(OpenLCAbasic!K1737,LookUps!$D$5:$D$12,0))))</f>
        <v>Smog Formation Potential (SFP) - kg O3 eq</v>
      </c>
      <c r="M1737" s="154" t="str">
        <f t="shared" si="91"/>
        <v>Low_Base_High_Upgraded_Smog Formation Potential (SFP) - kg O3 eq_Blend Tank; wastewater treatment unit; at updated plant - US_Base_With Amendment_Windrow</v>
      </c>
    </row>
    <row r="1738" spans="1:13" s="120" customFormat="1" x14ac:dyDescent="0.25">
      <c r="A1738" s="119"/>
      <c r="B1738" s="138" t="str">
        <f t="shared" si="89"/>
        <v>Windrow</v>
      </c>
      <c r="C1738" s="138" t="str">
        <f t="shared" si="90"/>
        <v>Base_With Amendment</v>
      </c>
      <c r="D1738" s="118" t="s">
        <v>134</v>
      </c>
      <c r="E1738" s="118" t="s">
        <v>180</v>
      </c>
      <c r="F1738" s="118" t="s">
        <v>46</v>
      </c>
      <c r="G1738" s="153"/>
      <c r="H1738" s="155">
        <v>1.4077999999999999</v>
      </c>
      <c r="I1738" s="154" t="s">
        <v>48</v>
      </c>
      <c r="J1738" s="204">
        <v>3.3899999999999998E-3</v>
      </c>
      <c r="K1738" s="154" t="s">
        <v>25</v>
      </c>
      <c r="L1738" s="154" t="str">
        <f>IF(OpenLCAbasic!K1738="CTUh", "Fill in Manually",IF(OR(K1738="Unit", K1738=""), "", INDEX(LookUps!$E$5:$E$12, MATCH(OpenLCAbasic!K1738,LookUps!$D$5:$D$12,0))))</f>
        <v>Smog Formation Potential (SFP) - kg O3 eq</v>
      </c>
      <c r="M1738" s="154" t="str">
        <f t="shared" si="91"/>
        <v>Low_Base_High_Upgraded_Smog Formation Potential (SFP) - kg O3 eq_Effluent release; wastewater treatment unit; at surface water; m3 wastewater - US_Base_With Amendment_Windrow</v>
      </c>
    </row>
    <row r="1739" spans="1:13" s="120" customFormat="1" x14ac:dyDescent="0.25">
      <c r="A1739" s="119"/>
      <c r="B1739" s="138" t="str">
        <f t="shared" si="89"/>
        <v>Windrow</v>
      </c>
      <c r="C1739" s="138" t="str">
        <f t="shared" si="90"/>
        <v>Base_With Amendment</v>
      </c>
      <c r="D1739" s="118" t="s">
        <v>134</v>
      </c>
      <c r="E1739" s="118" t="s">
        <v>180</v>
      </c>
      <c r="F1739" s="118" t="s">
        <v>46</v>
      </c>
      <c r="G1739" s="153"/>
      <c r="H1739" s="155">
        <v>1.0209999999999999</v>
      </c>
      <c r="I1739" s="154" t="s">
        <v>168</v>
      </c>
      <c r="J1739" s="204">
        <v>2.4599999999999999E-3</v>
      </c>
      <c r="K1739" s="154" t="s">
        <v>25</v>
      </c>
      <c r="L1739" s="154" t="str">
        <f>IF(OpenLCAbasic!K1739="CTUh", "Fill in Manually",IF(OR(K1739="Unit", K1739=""), "", INDEX(LookUps!$E$5:$E$12, MATCH(OpenLCAbasic!K1739,LookUps!$D$5:$D$12,0))))</f>
        <v>Smog Formation Potential (SFP) - kg O3 eq</v>
      </c>
      <c r="M1739" s="154" t="str">
        <f t="shared" si="91"/>
        <v>Low_Base_High_Upgraded_Smog Formation Potential (SFP) - kg O3 eq_ClearCove SCP; wastewater treatment unit; at updated plant - US_Base_With Amendment_Windrow</v>
      </c>
    </row>
    <row r="1740" spans="1:13" s="120" customFormat="1" x14ac:dyDescent="0.25">
      <c r="A1740" s="119"/>
      <c r="B1740" s="138" t="str">
        <f t="shared" si="89"/>
        <v>Windrow</v>
      </c>
      <c r="C1740" s="138" t="str">
        <f t="shared" si="90"/>
        <v>Base_With Amendment</v>
      </c>
      <c r="D1740" s="118" t="s">
        <v>134</v>
      </c>
      <c r="E1740" s="118" t="s">
        <v>180</v>
      </c>
      <c r="F1740" s="118" t="s">
        <v>46</v>
      </c>
      <c r="G1740" s="153"/>
      <c r="H1740" s="155">
        <v>0.38169999999999998</v>
      </c>
      <c r="I1740" s="154" t="s">
        <v>271</v>
      </c>
      <c r="J1740" s="204">
        <v>9.2000000000000003E-4</v>
      </c>
      <c r="K1740" s="154" t="s">
        <v>25</v>
      </c>
      <c r="L1740" s="154" t="str">
        <f>IF(OpenLCAbasic!K1740="CTUh", "Fill in Manually",IF(OR(K1740="Unit", K1740=""), "", INDEX(LookUps!$E$5:$E$12, MATCH(OpenLCAbasic!K1740,LookUps!$D$5:$D$12,0))))</f>
        <v>Smog Formation Potential (SFP) - kg O3 eq</v>
      </c>
      <c r="M1740" s="154" t="str">
        <f t="shared" si="91"/>
        <v>Low_Base_High_Upgraded_Smog Formation Potential (SFP) - kg O3 eq_Biosolids composting; windrow composting; wastewater treatment unit; at updated plant - US_Base_With Amendment_Windrow</v>
      </c>
    </row>
    <row r="1741" spans="1:13" s="120" customFormat="1" x14ac:dyDescent="0.25">
      <c r="A1741" s="119"/>
      <c r="B1741" s="138" t="str">
        <f t="shared" si="89"/>
        <v>Windrow</v>
      </c>
      <c r="C1741" s="138" t="str">
        <f t="shared" si="90"/>
        <v>Base_With Amendment</v>
      </c>
      <c r="D1741" s="118" t="s">
        <v>134</v>
      </c>
      <c r="E1741" s="118" t="s">
        <v>180</v>
      </c>
      <c r="F1741" s="118" t="s">
        <v>46</v>
      </c>
      <c r="G1741" s="153"/>
      <c r="H1741" s="155">
        <v>0.224</v>
      </c>
      <c r="I1741" s="154" t="s">
        <v>148</v>
      </c>
      <c r="J1741" s="204">
        <v>5.4000000000000001E-4</v>
      </c>
      <c r="K1741" s="154" t="s">
        <v>25</v>
      </c>
      <c r="L1741" s="154" t="str">
        <f>IF(OpenLCAbasic!K1741="CTUh", "Fill in Manually",IF(OR(K1741="Unit", K1741=""), "", INDEX(LookUps!$E$5:$E$12, MATCH(OpenLCAbasic!K1741,LookUps!$D$5:$D$12,0))))</f>
        <v>Smog Formation Potential (SFP) - kg O3 eq</v>
      </c>
      <c r="M1741" s="154" t="str">
        <f t="shared" si="91"/>
        <v>Low_Base_High_Upgraded_Smog Formation Potential (SFP) - kg O3 eq_Control Building; at upgraded wastewater treatment plant - US_Base_With Amendment_Windrow</v>
      </c>
    </row>
    <row r="1742" spans="1:13" s="120" customFormat="1" x14ac:dyDescent="0.25">
      <c r="A1742" s="119"/>
      <c r="B1742" s="138" t="str">
        <f t="shared" si="89"/>
        <v>Windrow</v>
      </c>
      <c r="C1742" s="138" t="str">
        <f t="shared" si="90"/>
        <v>Base_With Amendment</v>
      </c>
      <c r="D1742" s="118" t="s">
        <v>134</v>
      </c>
      <c r="E1742" s="118" t="s">
        <v>180</v>
      </c>
      <c r="F1742" s="118" t="s">
        <v>46</v>
      </c>
      <c r="G1742" s="153"/>
      <c r="H1742" s="155">
        <v>-1.1400999999999999</v>
      </c>
      <c r="I1742" s="154" t="s">
        <v>62</v>
      </c>
      <c r="J1742" s="204">
        <v>-2.7399999999999998E-3</v>
      </c>
      <c r="K1742" s="154" t="s">
        <v>25</v>
      </c>
      <c r="L1742" s="154" t="str">
        <f>IF(OpenLCAbasic!K1742="CTUh", "Fill in Manually",IF(OR(K1742="Unit", K1742=""), "", INDEX(LookUps!$E$5:$E$12, MATCH(OpenLCAbasic!K1742,LookUps!$D$5:$D$12,0))))</f>
        <v>Smog Formation Potential (SFP) - kg O3 eq</v>
      </c>
      <c r="M1742" s="154" t="str">
        <f t="shared" si="91"/>
        <v>Low_Base_High_Upgraded_Smog Formation Potential (SFP) - kg O3 eq_Land application of compost; wastewater treatment unit; at updated plant - US_Base_With Amendment_Windrow</v>
      </c>
    </row>
    <row r="1743" spans="1:13" s="120" customFormat="1" x14ac:dyDescent="0.25">
      <c r="A1743" s="119"/>
      <c r="B1743" s="138" t="str">
        <f t="shared" si="89"/>
        <v>Windrow</v>
      </c>
      <c r="C1743" s="138" t="str">
        <f t="shared" si="90"/>
        <v>Base_With Amendment</v>
      </c>
      <c r="D1743" s="118" t="s">
        <v>134</v>
      </c>
      <c r="E1743" s="118" t="s">
        <v>180</v>
      </c>
      <c r="F1743" s="118" t="s">
        <v>46</v>
      </c>
      <c r="G1743" s="153"/>
      <c r="H1743" s="155">
        <v>-155.39689999999999</v>
      </c>
      <c r="I1743" s="154" t="s">
        <v>149</v>
      </c>
      <c r="J1743" s="203">
        <v>-0.37367</v>
      </c>
      <c r="K1743" s="154" t="s">
        <v>25</v>
      </c>
      <c r="L1743" s="154" t="str">
        <f>IF(OpenLCAbasic!K1743="CTUh", "Fill in Manually",IF(OR(K1743="Unit", K1743=""), "", INDEX(LookUps!$E$5:$E$12, MATCH(OpenLCAbasic!K1743,LookUps!$D$5:$D$12,0))))</f>
        <v>Smog Formation Potential (SFP) - kg O3 eq</v>
      </c>
      <c r="M1743" s="154" t="str">
        <f t="shared" si="91"/>
        <v>Low_Base_High_Upgraded_Smog Formation Potential (SFP) - kg O3 eq_Anaerobic Digestion; wastewater treatment unit; at updated plant - US_Base_With Amendment_Windrow</v>
      </c>
    </row>
    <row r="1744" spans="1:13" s="120" customFormat="1" x14ac:dyDescent="0.25">
      <c r="A1744" s="119"/>
      <c r="B1744" s="138" t="str">
        <f t="shared" si="89"/>
        <v>Windrow</v>
      </c>
      <c r="C1744" s="138" t="str">
        <f t="shared" si="90"/>
        <v>Base_With Amendment</v>
      </c>
      <c r="D1744" s="118" t="s">
        <v>134</v>
      </c>
      <c r="E1744" s="118" t="s">
        <v>180</v>
      </c>
      <c r="F1744" s="118" t="s">
        <v>46</v>
      </c>
      <c r="G1744" s="153" t="s">
        <v>51</v>
      </c>
      <c r="H1744" s="154"/>
      <c r="I1744" s="154" t="s">
        <v>47</v>
      </c>
      <c r="J1744" s="154" t="s">
        <v>52</v>
      </c>
      <c r="K1744" s="154" t="s">
        <v>27</v>
      </c>
      <c r="L1744" s="154" t="str">
        <f>IF(OpenLCAbasic!K1744="CTUh", "Fill in Manually",IF(OR(K1744="Unit", K1744=""), "", INDEX(LookUps!$E$5:$E$12, MATCH(OpenLCAbasic!K1744,LookUps!$D$5:$D$12,0))))</f>
        <v/>
      </c>
      <c r="M1744" s="154" t="str">
        <f t="shared" si="91"/>
        <v>Low_Base_High_Upgraded__Process_Base_With Amendment_Windrow</v>
      </c>
    </row>
    <row r="1745" spans="1:13" s="120" customFormat="1" x14ac:dyDescent="0.25">
      <c r="A1745" s="119"/>
      <c r="B1745" s="138" t="str">
        <f t="shared" si="89"/>
        <v>Windrow</v>
      </c>
      <c r="C1745" s="138" t="str">
        <f t="shared" si="90"/>
        <v>Base_With Amendment</v>
      </c>
      <c r="D1745" s="118" t="s">
        <v>134</v>
      </c>
      <c r="E1745" s="118" t="s">
        <v>180</v>
      </c>
      <c r="F1745" s="118" t="s">
        <v>46</v>
      </c>
      <c r="G1745" s="153"/>
      <c r="H1745" s="155">
        <v>2.5602</v>
      </c>
      <c r="I1745" s="154" t="s">
        <v>167</v>
      </c>
      <c r="J1745" s="204">
        <v>2.3000000000000001E-4</v>
      </c>
      <c r="K1745" s="154" t="s">
        <v>26</v>
      </c>
      <c r="L1745" s="154" t="str">
        <f>IF(OpenLCAbasic!K1745="CTUh", "Fill in Manually",IF(OR(K1745="Unit", K1745=""), "", INDEX(LookUps!$E$5:$E$12, MATCH(OpenLCAbasic!K1745,LookUps!$D$5:$D$12,0))))</f>
        <v>Water Use (WU) - m3 H2O</v>
      </c>
      <c r="M1745" s="154" t="str">
        <f t="shared" si="91"/>
        <v>Low_Base_High_Upgraded_Water Use (WU) - m3 H2O_Waste Receiving and Holding; wastewater treatment unit; at updated plant - US_Base_With Amendment_Windrow</v>
      </c>
    </row>
    <row r="1746" spans="1:13" s="120" customFormat="1" x14ac:dyDescent="0.25">
      <c r="A1746" s="119"/>
      <c r="B1746" s="138" t="str">
        <f t="shared" si="89"/>
        <v>Windrow</v>
      </c>
      <c r="C1746" s="138" t="str">
        <f t="shared" si="90"/>
        <v>Base_With Amendment</v>
      </c>
      <c r="D1746" s="118" t="s">
        <v>134</v>
      </c>
      <c r="E1746" s="118" t="s">
        <v>180</v>
      </c>
      <c r="F1746" s="118" t="s">
        <v>46</v>
      </c>
      <c r="G1746" s="153"/>
      <c r="H1746" s="155">
        <v>2.0257999999999998</v>
      </c>
      <c r="I1746" s="154" t="s">
        <v>147</v>
      </c>
      <c r="J1746" s="204">
        <v>1.8000000000000001E-4</v>
      </c>
      <c r="K1746" s="154" t="s">
        <v>26</v>
      </c>
      <c r="L1746" s="154" t="str">
        <f>IF(OpenLCAbasic!K1746="CTUh", "Fill in Manually",IF(OR(K1746="Unit", K1746=""), "", INDEX(LookUps!$E$5:$E$12, MATCH(OpenLCAbasic!K1746,LookUps!$D$5:$D$12,0))))</f>
        <v>Water Use (WU) - m3 H2O</v>
      </c>
      <c r="M1746" s="154" t="str">
        <f t="shared" si="91"/>
        <v>Low_Base_High_Upgraded_Water Use (WU) - m3 H2O_Influent Pump Station; wastewater treatment unit; at updated plant - US_Base_With Amendment_Windrow</v>
      </c>
    </row>
    <row r="1747" spans="1:13" s="120" customFormat="1" x14ac:dyDescent="0.25">
      <c r="A1747" s="119"/>
      <c r="B1747" s="138" t="str">
        <f t="shared" si="89"/>
        <v>Windrow</v>
      </c>
      <c r="C1747" s="138" t="str">
        <f t="shared" si="90"/>
        <v>Base_With Amendment</v>
      </c>
      <c r="D1747" s="118" t="s">
        <v>134</v>
      </c>
      <c r="E1747" s="118" t="s">
        <v>180</v>
      </c>
      <c r="F1747" s="118" t="s">
        <v>46</v>
      </c>
      <c r="G1747" s="153"/>
      <c r="H1747" s="155">
        <v>1.9765999999999999</v>
      </c>
      <c r="I1747" s="154" t="s">
        <v>54</v>
      </c>
      <c r="J1747" s="204">
        <v>1.8000000000000001E-4</v>
      </c>
      <c r="K1747" s="154" t="s">
        <v>26</v>
      </c>
      <c r="L1747" s="154" t="str">
        <f>IF(OpenLCAbasic!K1747="CTUh", "Fill in Manually",IF(OR(K1747="Unit", K1747=""), "", INDEX(LookUps!$E$5:$E$12, MATCH(OpenLCAbasic!K1747,LookUps!$D$5:$D$12,0))))</f>
        <v>Water Use (WU) - m3 H2O</v>
      </c>
      <c r="M1747" s="154" t="str">
        <f t="shared" si="91"/>
        <v>Low_Base_High_Upgraded_Water Use (WU) - m3 H2O_Clear Cove Primary Clarification; wastewater treatment unit; at updated plant - US_Base_With Amendment_Windrow</v>
      </c>
    </row>
    <row r="1748" spans="1:13" s="120" customFormat="1" x14ac:dyDescent="0.25">
      <c r="A1748" s="119"/>
      <c r="B1748" s="138" t="str">
        <f t="shared" si="89"/>
        <v>Windrow</v>
      </c>
      <c r="C1748" s="138" t="str">
        <f t="shared" si="90"/>
        <v>Base_With Amendment</v>
      </c>
      <c r="D1748" s="118" t="s">
        <v>134</v>
      </c>
      <c r="E1748" s="118" t="s">
        <v>180</v>
      </c>
      <c r="F1748" s="118" t="s">
        <v>46</v>
      </c>
      <c r="G1748" s="153"/>
      <c r="H1748" s="155">
        <v>1.7930999999999999</v>
      </c>
      <c r="I1748" s="154" t="s">
        <v>55</v>
      </c>
      <c r="J1748" s="204">
        <v>1.6000000000000001E-4</v>
      </c>
      <c r="K1748" s="154" t="s">
        <v>26</v>
      </c>
      <c r="L1748" s="154" t="str">
        <f>IF(OpenLCAbasic!K1748="CTUh", "Fill in Manually",IF(OR(K1748="Unit", K1748=""), "", INDEX(LookUps!$E$5:$E$12, MATCH(OpenLCAbasic!K1748,LookUps!$D$5:$D$12,0))))</f>
        <v>Water Use (WU) - m3 H2O</v>
      </c>
      <c r="M1748" s="154" t="str">
        <f t="shared" si="91"/>
        <v>Low_Base_High_Upgraded_Water Use (WU) - m3 H2O_Aeration Tanks; wastewater treatment unit; at updated plant - US_Base_With Amendment_Windrow</v>
      </c>
    </row>
    <row r="1749" spans="1:13" s="120" customFormat="1" x14ac:dyDescent="0.25">
      <c r="A1749" s="119"/>
      <c r="B1749" s="138" t="str">
        <f t="shared" si="89"/>
        <v>Windrow</v>
      </c>
      <c r="C1749" s="138" t="str">
        <f t="shared" si="90"/>
        <v>Base_With Amendment</v>
      </c>
      <c r="D1749" s="118" t="s">
        <v>134</v>
      </c>
      <c r="E1749" s="118" t="s">
        <v>180</v>
      </c>
      <c r="F1749" s="118" t="s">
        <v>46</v>
      </c>
      <c r="G1749" s="153"/>
      <c r="H1749" s="155">
        <v>1.6334</v>
      </c>
      <c r="I1749" s="154" t="s">
        <v>148</v>
      </c>
      <c r="J1749" s="204">
        <v>1.4999999999999999E-4</v>
      </c>
      <c r="K1749" s="154" t="s">
        <v>26</v>
      </c>
      <c r="L1749" s="154" t="str">
        <f>IF(OpenLCAbasic!K1749="CTUh", "Fill in Manually",IF(OR(K1749="Unit", K1749=""), "", INDEX(LookUps!$E$5:$E$12, MATCH(OpenLCAbasic!K1749,LookUps!$D$5:$D$12,0))))</f>
        <v>Water Use (WU) - m3 H2O</v>
      </c>
      <c r="M1749" s="154" t="str">
        <f t="shared" si="91"/>
        <v>Low_Base_High_Upgraded_Water Use (WU) - m3 H2O_Control Building; at upgraded wastewater treatment plant - US_Base_With Amendment_Windrow</v>
      </c>
    </row>
    <row r="1750" spans="1:13" s="120" customFormat="1" x14ac:dyDescent="0.25">
      <c r="A1750" s="119"/>
      <c r="B1750" s="138" t="str">
        <f t="shared" si="89"/>
        <v>Windrow</v>
      </c>
      <c r="C1750" s="138" t="str">
        <f t="shared" si="90"/>
        <v>Base_With Amendment</v>
      </c>
      <c r="D1750" s="118" t="s">
        <v>134</v>
      </c>
      <c r="E1750" s="118" t="s">
        <v>180</v>
      </c>
      <c r="F1750" s="118" t="s">
        <v>46</v>
      </c>
      <c r="G1750" s="153"/>
      <c r="H1750" s="155">
        <v>0.75849999999999995</v>
      </c>
      <c r="I1750" s="154" t="s">
        <v>48</v>
      </c>
      <c r="J1750" s="204">
        <v>6.8836400000000004E-5</v>
      </c>
      <c r="K1750" s="154" t="s">
        <v>26</v>
      </c>
      <c r="L1750" s="154" t="str">
        <f>IF(OpenLCAbasic!K1750="CTUh", "Fill in Manually",IF(OR(K1750="Unit", K1750=""), "", INDEX(LookUps!$E$5:$E$12, MATCH(OpenLCAbasic!K1750,LookUps!$D$5:$D$12,0))))</f>
        <v>Water Use (WU) - m3 H2O</v>
      </c>
      <c r="M1750" s="154" t="str">
        <f t="shared" si="91"/>
        <v>Low_Base_High_Upgraded_Water Use (WU) - m3 H2O_Effluent release; wastewater treatment unit; at surface water; m3 wastewater - US_Base_With Amendment_Windrow</v>
      </c>
    </row>
    <row r="1751" spans="1:13" s="120" customFormat="1" x14ac:dyDescent="0.25">
      <c r="A1751" s="119"/>
      <c r="B1751" s="138" t="str">
        <f t="shared" si="89"/>
        <v>Windrow</v>
      </c>
      <c r="C1751" s="138" t="str">
        <f t="shared" si="90"/>
        <v>Base_With Amendment</v>
      </c>
      <c r="D1751" s="118" t="s">
        <v>134</v>
      </c>
      <c r="E1751" s="118" t="s">
        <v>180</v>
      </c>
      <c r="F1751" s="118" t="s">
        <v>46</v>
      </c>
      <c r="G1751" s="153"/>
      <c r="H1751" s="155">
        <v>0.47589999999999999</v>
      </c>
      <c r="I1751" s="154" t="s">
        <v>58</v>
      </c>
      <c r="J1751" s="204">
        <v>4.3192100000000003E-5</v>
      </c>
      <c r="K1751" s="154" t="s">
        <v>26</v>
      </c>
      <c r="L1751" s="154" t="str">
        <f>IF(OpenLCAbasic!K1751="CTUh", "Fill in Manually",IF(OR(K1751="Unit", K1751=""), "", INDEX(LookUps!$E$5:$E$12, MATCH(OpenLCAbasic!K1751,LookUps!$D$5:$D$12,0))))</f>
        <v>Water Use (WU) - m3 H2O</v>
      </c>
      <c r="M1751" s="154" t="str">
        <f t="shared" si="91"/>
        <v>Low_Base_High_Upgraded_Water Use (WU) - m3 H2O_Pre-Anoxic &amp; Swing tank; wastewater treatment unit; at updated plant - US_Base_With Amendment_Windrow</v>
      </c>
    </row>
    <row r="1752" spans="1:13" s="120" customFormat="1" x14ac:dyDescent="0.25">
      <c r="A1752" s="119"/>
      <c r="B1752" s="138" t="str">
        <f t="shared" si="89"/>
        <v>Windrow</v>
      </c>
      <c r="C1752" s="138" t="str">
        <f t="shared" si="90"/>
        <v>Base_With Amendment</v>
      </c>
      <c r="D1752" s="118" t="s">
        <v>134</v>
      </c>
      <c r="E1752" s="118" t="s">
        <v>180</v>
      </c>
      <c r="F1752" s="118" t="s">
        <v>46</v>
      </c>
      <c r="G1752" s="153"/>
      <c r="H1752" s="155">
        <v>0.33510000000000001</v>
      </c>
      <c r="I1752" s="154" t="s">
        <v>57</v>
      </c>
      <c r="J1752" s="204">
        <v>3.0408100000000001E-5</v>
      </c>
      <c r="K1752" s="154" t="s">
        <v>26</v>
      </c>
      <c r="L1752" s="154" t="str">
        <f>IF(OpenLCAbasic!K1752="CTUh", "Fill in Manually",IF(OR(K1752="Unit", K1752=""), "", INDEX(LookUps!$E$5:$E$12, MATCH(OpenLCAbasic!K1752,LookUps!$D$5:$D$12,0))))</f>
        <v>Water Use (WU) - m3 H2O</v>
      </c>
      <c r="M1752" s="154" t="str">
        <f t="shared" si="91"/>
        <v>Low_Base_High_Upgraded_Water Use (WU) - m3 H2O_Gravity Belt Thickener; wastewater treatment unit; at updated plant - US_Base_With Amendment_Windrow</v>
      </c>
    </row>
    <row r="1753" spans="1:13" s="120" customFormat="1" x14ac:dyDescent="0.25">
      <c r="A1753" s="119"/>
      <c r="B1753" s="138" t="str">
        <f t="shared" si="89"/>
        <v>Windrow</v>
      </c>
      <c r="C1753" s="138" t="str">
        <f t="shared" si="90"/>
        <v>Base_With Amendment</v>
      </c>
      <c r="D1753" s="118" t="s">
        <v>134</v>
      </c>
      <c r="E1753" s="118" t="s">
        <v>180</v>
      </c>
      <c r="F1753" s="118" t="s">
        <v>46</v>
      </c>
      <c r="G1753" s="153"/>
      <c r="H1753" s="155">
        <v>0.2329</v>
      </c>
      <c r="I1753" s="154" t="s">
        <v>60</v>
      </c>
      <c r="J1753" s="204">
        <v>2.1135600000000001E-5</v>
      </c>
      <c r="K1753" s="154" t="s">
        <v>26</v>
      </c>
      <c r="L1753" s="154" t="str">
        <f>IF(OpenLCAbasic!K1753="CTUh", "Fill in Manually",IF(OR(K1753="Unit", K1753=""), "", INDEX(LookUps!$E$5:$E$12, MATCH(OpenLCAbasic!K1753,LookUps!$D$5:$D$12,0))))</f>
        <v>Water Use (WU) - m3 H2O</v>
      </c>
      <c r="M1753" s="154" t="str">
        <f t="shared" si="91"/>
        <v>Low_Base_High_Upgraded_Water Use (WU) - m3 H2O_Belt filter press; wastewater treatment unit; at updated plant - US_Base_With Amendment_Windrow</v>
      </c>
    </row>
    <row r="1754" spans="1:13" s="120" customFormat="1" x14ac:dyDescent="0.25">
      <c r="A1754" s="119"/>
      <c r="B1754" s="138" t="str">
        <f t="shared" si="89"/>
        <v>Windrow</v>
      </c>
      <c r="C1754" s="138" t="str">
        <f t="shared" si="90"/>
        <v>Base_With Amendment</v>
      </c>
      <c r="D1754" s="118" t="s">
        <v>134</v>
      </c>
      <c r="E1754" s="118" t="s">
        <v>180</v>
      </c>
      <c r="F1754" s="118" t="s">
        <v>46</v>
      </c>
      <c r="G1754" s="153"/>
      <c r="H1754" s="155">
        <v>0.19289999999999999</v>
      </c>
      <c r="I1754" s="154" t="s">
        <v>53</v>
      </c>
      <c r="J1754" s="204">
        <v>1.75069E-5</v>
      </c>
      <c r="K1754" s="154" t="s">
        <v>26</v>
      </c>
      <c r="L1754" s="154" t="str">
        <f>IF(OpenLCAbasic!K1754="CTUh", "Fill in Manually",IF(OR(K1754="Unit", K1754=""), "", INDEX(LookUps!$E$5:$E$12, MATCH(OpenLCAbasic!K1754,LookUps!$D$5:$D$12,0))))</f>
        <v>Water Use (WU) - m3 H2O</v>
      </c>
      <c r="M1754" s="154" t="str">
        <f t="shared" si="91"/>
        <v>Low_Base_High_Upgraded_Water Use (WU) - m3 H2O_Wet Well and Sump Station; wastewater treatment unit; at updated plant - US_Base_With Amendment_Windrow</v>
      </c>
    </row>
    <row r="1755" spans="1:13" s="120" customFormat="1" x14ac:dyDescent="0.25">
      <c r="A1755" s="119"/>
      <c r="B1755" s="138" t="str">
        <f t="shared" si="89"/>
        <v>Windrow</v>
      </c>
      <c r="C1755" s="138" t="str">
        <f t="shared" si="90"/>
        <v>Base_With Amendment</v>
      </c>
      <c r="D1755" s="118" t="s">
        <v>134</v>
      </c>
      <c r="E1755" s="118" t="s">
        <v>180</v>
      </c>
      <c r="F1755" s="118" t="s">
        <v>46</v>
      </c>
      <c r="G1755" s="153"/>
      <c r="H1755" s="155">
        <v>7.7299999999999994E-2</v>
      </c>
      <c r="I1755" s="154" t="s">
        <v>59</v>
      </c>
      <c r="J1755" s="204">
        <v>7.0179500000000003E-6</v>
      </c>
      <c r="K1755" s="154" t="s">
        <v>26</v>
      </c>
      <c r="L1755" s="154" t="str">
        <f>IF(OpenLCAbasic!K1755="CTUh", "Fill in Manually",IF(OR(K1755="Unit", K1755=""), "", INDEX(LookUps!$E$5:$E$12, MATCH(OpenLCAbasic!K1755,LookUps!$D$5:$D$12,0))))</f>
        <v>Water Use (WU) - m3 H2O</v>
      </c>
      <c r="M1755" s="154" t="str">
        <f t="shared" si="91"/>
        <v>Low_Base_High_Upgraded_Water Use (WU) - m3 H2O_Blend Tank; wastewater treatment unit; at updated plant - US_Base_With Amendment_Windrow</v>
      </c>
    </row>
    <row r="1756" spans="1:13" s="120" customFormat="1" x14ac:dyDescent="0.25">
      <c r="A1756" s="119"/>
      <c r="B1756" s="138" t="str">
        <f t="shared" si="89"/>
        <v>Windrow</v>
      </c>
      <c r="C1756" s="138" t="str">
        <f t="shared" si="90"/>
        <v>Base_With Amendment</v>
      </c>
      <c r="D1756" s="118" t="s">
        <v>134</v>
      </c>
      <c r="E1756" s="118" t="s">
        <v>180</v>
      </c>
      <c r="F1756" s="118" t="s">
        <v>46</v>
      </c>
      <c r="G1756" s="153"/>
      <c r="H1756" s="155">
        <v>5.5800000000000002E-2</v>
      </c>
      <c r="I1756" s="154" t="s">
        <v>128</v>
      </c>
      <c r="J1756" s="204">
        <v>5.0608900000000003E-6</v>
      </c>
      <c r="K1756" s="154" t="s">
        <v>26</v>
      </c>
      <c r="L1756" s="154" t="str">
        <f>IF(OpenLCAbasic!K1756="CTUh", "Fill in Manually",IF(OR(K1756="Unit", K1756=""), "", INDEX(LookUps!$E$5:$E$12, MATCH(OpenLCAbasic!K1756,LookUps!$D$5:$D$12,0))))</f>
        <v>Water Use (WU) - m3 H2O</v>
      </c>
      <c r="M1756" s="154" t="str">
        <f t="shared" si="91"/>
        <v>Low_Base_High_Upgraded_Water Use (WU) - m3 H2O_Wastewater collection; operation and infrastructure; m3 wastewater_Base_With Amendment_Windrow</v>
      </c>
    </row>
    <row r="1757" spans="1:13" s="120" customFormat="1" x14ac:dyDescent="0.25">
      <c r="A1757" s="119"/>
      <c r="B1757" s="138" t="str">
        <f t="shared" si="89"/>
        <v>Windrow</v>
      </c>
      <c r="C1757" s="138" t="str">
        <f t="shared" si="90"/>
        <v>Base_With Amendment</v>
      </c>
      <c r="D1757" s="118" t="s">
        <v>134</v>
      </c>
      <c r="E1757" s="118" t="s">
        <v>180</v>
      </c>
      <c r="F1757" s="118" t="s">
        <v>46</v>
      </c>
      <c r="G1757" s="153"/>
      <c r="H1757" s="155">
        <v>1.14E-2</v>
      </c>
      <c r="I1757" s="154" t="s">
        <v>271</v>
      </c>
      <c r="J1757" s="204">
        <v>1.0329300000000001E-6</v>
      </c>
      <c r="K1757" s="154" t="s">
        <v>26</v>
      </c>
      <c r="L1757" s="154" t="str">
        <f>IF(OpenLCAbasic!K1757="CTUh", "Fill in Manually",IF(OR(K1757="Unit", K1757=""), "", INDEX(LookUps!$E$5:$E$12, MATCH(OpenLCAbasic!K1757,LookUps!$D$5:$D$12,0))))</f>
        <v>Water Use (WU) - m3 H2O</v>
      </c>
      <c r="M1757" s="154" t="str">
        <f t="shared" si="91"/>
        <v>Low_Base_High_Upgraded_Water Use (WU) - m3 H2O_Biosolids composting; windrow composting; wastewater treatment unit; at updated plant - US_Base_With Amendment_Windrow</v>
      </c>
    </row>
    <row r="1758" spans="1:13" s="120" customFormat="1" x14ac:dyDescent="0.25">
      <c r="A1758" s="119"/>
      <c r="B1758" s="138" t="str">
        <f t="shared" si="89"/>
        <v>Windrow</v>
      </c>
      <c r="C1758" s="138" t="str">
        <f t="shared" si="90"/>
        <v>Base_With Amendment</v>
      </c>
      <c r="D1758" s="118" t="s">
        <v>134</v>
      </c>
      <c r="E1758" s="118" t="s">
        <v>180</v>
      </c>
      <c r="F1758" s="118" t="s">
        <v>46</v>
      </c>
      <c r="G1758" s="153"/>
      <c r="H1758" s="155">
        <v>8.5000000000000006E-3</v>
      </c>
      <c r="I1758" s="154" t="s">
        <v>168</v>
      </c>
      <c r="J1758" s="204">
        <v>7.6697000000000004E-7</v>
      </c>
      <c r="K1758" s="154" t="s">
        <v>26</v>
      </c>
      <c r="L1758" s="154" t="str">
        <f>IF(OpenLCAbasic!K1758="CTUh", "Fill in Manually",IF(OR(K1758="Unit", K1758=""), "", INDEX(LookUps!$E$5:$E$12, MATCH(OpenLCAbasic!K1758,LookUps!$D$5:$D$12,0))))</f>
        <v>Water Use (WU) - m3 H2O</v>
      </c>
      <c r="M1758" s="154" t="str">
        <f t="shared" si="91"/>
        <v>Low_Base_High_Upgraded_Water Use (WU) - m3 H2O_ClearCove SCP; wastewater treatment unit; at updated plant - US_Base_With Amendment_Windrow</v>
      </c>
    </row>
    <row r="1759" spans="1:13" s="120" customFormat="1" x14ac:dyDescent="0.25">
      <c r="A1759" s="119"/>
      <c r="B1759" s="138" t="str">
        <f t="shared" si="89"/>
        <v>Windrow</v>
      </c>
      <c r="C1759" s="138" t="str">
        <f t="shared" si="90"/>
        <v>Base_With Amendment</v>
      </c>
      <c r="D1759" s="118" t="s">
        <v>134</v>
      </c>
      <c r="E1759" s="118" t="s">
        <v>180</v>
      </c>
      <c r="F1759" s="118" t="s">
        <v>46</v>
      </c>
      <c r="G1759" s="153"/>
      <c r="H1759" s="155">
        <v>-1.0266</v>
      </c>
      <c r="I1759" s="154" t="s">
        <v>149</v>
      </c>
      <c r="J1759" s="204">
        <v>-9.3162899999999995E-5</v>
      </c>
      <c r="K1759" s="154" t="s">
        <v>26</v>
      </c>
      <c r="L1759" s="154" t="str">
        <f>IF(OpenLCAbasic!K1759="CTUh", "Fill in Manually",IF(OR(K1759="Unit", K1759=""), "", INDEX(LookUps!$E$5:$E$12, MATCH(OpenLCAbasic!K1759,LookUps!$D$5:$D$12,0))))</f>
        <v>Water Use (WU) - m3 H2O</v>
      </c>
      <c r="M1759" s="154" t="str">
        <f t="shared" si="91"/>
        <v>Low_Base_High_Upgraded_Water Use (WU) - m3 H2O_Anaerobic Digestion; wastewater treatment unit; at updated plant - US_Base_With Amendment_Windrow</v>
      </c>
    </row>
    <row r="1760" spans="1:13" s="120" customFormat="1" x14ac:dyDescent="0.25">
      <c r="A1760" s="213"/>
      <c r="B1760" s="138" t="str">
        <f t="shared" si="89"/>
        <v>Windrow</v>
      </c>
      <c r="C1760" s="138" t="str">
        <f t="shared" si="90"/>
        <v>Base_With Amendment</v>
      </c>
      <c r="D1760" s="118" t="s">
        <v>134</v>
      </c>
      <c r="E1760" s="118" t="s">
        <v>180</v>
      </c>
      <c r="F1760" s="118" t="s">
        <v>46</v>
      </c>
      <c r="G1760" s="153"/>
      <c r="H1760" s="155">
        <v>-12.110799999999999</v>
      </c>
      <c r="I1760" s="154" t="s">
        <v>62</v>
      </c>
      <c r="J1760" s="204">
        <v>-1.1000000000000001E-3</v>
      </c>
      <c r="K1760" s="154" t="s">
        <v>26</v>
      </c>
      <c r="L1760" s="154" t="str">
        <f>IF(OpenLCAbasic!K1760="CTUh", "Fill in Manually",IF(OR(K1760="Unit", K1760=""), "", INDEX(LookUps!$E$5:$E$12, MATCH(OpenLCAbasic!K1760,LookUps!$D$5:$D$12,0))))</f>
        <v>Water Use (WU) - m3 H2O</v>
      </c>
      <c r="M1760" s="154" t="str">
        <f t="shared" si="91"/>
        <v>Low_Base_High_Upgraded_Water Use (WU) - m3 H2O_Land application of compost; wastewater treatment unit; at updated plant - US_Base_With Amendment_Windrow</v>
      </c>
    </row>
    <row r="1761" spans="1:13" s="120" customFormat="1" x14ac:dyDescent="0.25">
      <c r="A1761" s="119"/>
      <c r="B1761" s="138" t="str">
        <f t="shared" si="89"/>
        <v/>
      </c>
      <c r="C1761" s="138" t="str">
        <f t="shared" si="90"/>
        <v/>
      </c>
      <c r="D1761" s="118"/>
      <c r="E1761" s="118"/>
      <c r="F1761" s="118"/>
      <c r="G1761" s="153"/>
      <c r="H1761" s="154"/>
      <c r="I1761" s="154"/>
      <c r="J1761" s="205"/>
      <c r="K1761" s="154"/>
      <c r="L1761" s="154" t="str">
        <f>IF(OpenLCAbasic!K1761="CTUh", "Fill in Manually",IF(OR(K1761="Unit", K1761=""), "", INDEX(LookUps!$E$5:$E$12, MATCH(OpenLCAbasic!K1761,LookUps!$D$5:$D$12,0))))</f>
        <v/>
      </c>
      <c r="M1761" s="154" t="str">
        <f t="shared" si="91"/>
        <v>______</v>
      </c>
    </row>
    <row r="1762" spans="1:13" s="120" customFormat="1" x14ac:dyDescent="0.25">
      <c r="A1762" s="119"/>
      <c r="B1762" s="138" t="str">
        <f t="shared" si="89"/>
        <v>Windrow</v>
      </c>
      <c r="C1762" s="138" t="str">
        <f t="shared" si="90"/>
        <v>Base_With Amendment</v>
      </c>
      <c r="D1762" s="118" t="s">
        <v>135</v>
      </c>
      <c r="E1762" s="118" t="s">
        <v>180</v>
      </c>
      <c r="F1762" s="118" t="s">
        <v>46</v>
      </c>
      <c r="G1762" s="153" t="s">
        <v>51</v>
      </c>
      <c r="H1762" s="154"/>
      <c r="I1762" s="154" t="s">
        <v>47</v>
      </c>
      <c r="J1762" s="154" t="s">
        <v>52</v>
      </c>
      <c r="K1762" s="154" t="s">
        <v>27</v>
      </c>
      <c r="L1762" s="154" t="str">
        <f>IF(OpenLCAbasic!K1762="CTUh", "Fill in Manually",IF(OR(K1762="Unit", K1762=""), "", INDEX(LookUps!$E$5:$E$12, MATCH(OpenLCAbasic!K1762,LookUps!$D$5:$D$12,0))))</f>
        <v/>
      </c>
      <c r="M1762" s="154" t="str">
        <f t="shared" si="91"/>
        <v>Low_Medium_Low_Upgraded__Process_Base_With Amendment_Windrow</v>
      </c>
    </row>
    <row r="1763" spans="1:13" s="120" customFormat="1" x14ac:dyDescent="0.25">
      <c r="A1763" s="119"/>
      <c r="B1763" s="138" t="str">
        <f t="shared" si="89"/>
        <v>Windrow</v>
      </c>
      <c r="C1763" s="138" t="str">
        <f t="shared" si="90"/>
        <v>Base_With Amendment</v>
      </c>
      <c r="D1763" s="118" t="s">
        <v>135</v>
      </c>
      <c r="E1763" s="118" t="s">
        <v>180</v>
      </c>
      <c r="F1763" s="118" t="s">
        <v>46</v>
      </c>
      <c r="G1763" s="153"/>
      <c r="H1763" s="155">
        <v>0.84789999999999999</v>
      </c>
      <c r="I1763" s="154" t="s">
        <v>58</v>
      </c>
      <c r="J1763" s="203">
        <v>0.24568999999999999</v>
      </c>
      <c r="K1763" s="154" t="s">
        <v>23</v>
      </c>
      <c r="L1763" s="154" t="str">
        <f>IF(OpenLCAbasic!K1763="CTUh", "Fill in Manually",IF(OR(K1763="Unit", K1763=""), "", INDEX(LookUps!$E$5:$E$12, MATCH(OpenLCAbasic!K1763,LookUps!$D$5:$D$12,0))))</f>
        <v>Global Warming Potential (GWP) - kg CO2 eq</v>
      </c>
      <c r="M1763" s="154" t="str">
        <f t="shared" si="91"/>
        <v>Low_Medium_Low_Upgraded_Global Warming Potential (GWP) - kg CO2 eq_Pre-Anoxic &amp; Swing tank; wastewater treatment unit; at updated plant - US_Base_With Amendment_Windrow</v>
      </c>
    </row>
    <row r="1764" spans="1:13" s="120" customFormat="1" x14ac:dyDescent="0.25">
      <c r="A1764" s="119"/>
      <c r="B1764" s="138" t="str">
        <f t="shared" si="89"/>
        <v>Windrow</v>
      </c>
      <c r="C1764" s="138" t="str">
        <f t="shared" si="90"/>
        <v>Base_With Amendment</v>
      </c>
      <c r="D1764" s="118" t="s">
        <v>135</v>
      </c>
      <c r="E1764" s="118" t="s">
        <v>180</v>
      </c>
      <c r="F1764" s="118" t="s">
        <v>46</v>
      </c>
      <c r="G1764" s="153"/>
      <c r="H1764" s="155">
        <v>0.5806</v>
      </c>
      <c r="I1764" s="154" t="s">
        <v>55</v>
      </c>
      <c r="J1764" s="203">
        <v>0.16822000000000001</v>
      </c>
      <c r="K1764" s="154" t="s">
        <v>23</v>
      </c>
      <c r="L1764" s="154" t="str">
        <f>IF(OpenLCAbasic!K1764="CTUh", "Fill in Manually",IF(OR(K1764="Unit", K1764=""), "", INDEX(LookUps!$E$5:$E$12, MATCH(OpenLCAbasic!K1764,LookUps!$D$5:$D$12,0))))</f>
        <v>Global Warming Potential (GWP) - kg CO2 eq</v>
      </c>
      <c r="M1764" s="154" t="str">
        <f t="shared" si="91"/>
        <v>Low_Medium_Low_Upgraded_Global Warming Potential (GWP) - kg CO2 eq_Aeration Tanks; wastewater treatment unit; at updated plant - US_Base_With Amendment_Windrow</v>
      </c>
    </row>
    <row r="1765" spans="1:13" s="120" customFormat="1" x14ac:dyDescent="0.25">
      <c r="A1765" s="119"/>
      <c r="B1765" s="138" t="str">
        <f t="shared" si="89"/>
        <v>Windrow</v>
      </c>
      <c r="C1765" s="138" t="str">
        <f t="shared" si="90"/>
        <v>Base_With Amendment</v>
      </c>
      <c r="D1765" s="118" t="s">
        <v>135</v>
      </c>
      <c r="E1765" s="118" t="s">
        <v>180</v>
      </c>
      <c r="F1765" s="118" t="s">
        <v>46</v>
      </c>
      <c r="G1765" s="153"/>
      <c r="H1765" s="155">
        <v>0.49690000000000001</v>
      </c>
      <c r="I1765" s="154" t="s">
        <v>271</v>
      </c>
      <c r="J1765" s="203">
        <v>0.14398</v>
      </c>
      <c r="K1765" s="154" t="s">
        <v>23</v>
      </c>
      <c r="L1765" s="154" t="str">
        <f>IF(OpenLCAbasic!K1765="CTUh", "Fill in Manually",IF(OR(K1765="Unit", K1765=""), "", INDEX(LookUps!$E$5:$E$12, MATCH(OpenLCAbasic!K1765,LookUps!$D$5:$D$12,0))))</f>
        <v>Global Warming Potential (GWP) - kg CO2 eq</v>
      </c>
      <c r="M1765" s="154" t="str">
        <f t="shared" si="91"/>
        <v>Low_Medium_Low_Upgraded_Global Warming Potential (GWP) - kg CO2 eq_Biosolids composting; windrow composting; wastewater treatment unit; at updated plant - US_Base_With Amendment_Windrow</v>
      </c>
    </row>
    <row r="1766" spans="1:13" s="120" customFormat="1" x14ac:dyDescent="0.25">
      <c r="A1766" s="119"/>
      <c r="B1766" s="138" t="str">
        <f t="shared" si="89"/>
        <v>Windrow</v>
      </c>
      <c r="C1766" s="138" t="str">
        <f t="shared" si="90"/>
        <v>Base_With Amendment</v>
      </c>
      <c r="D1766" s="118" t="s">
        <v>135</v>
      </c>
      <c r="E1766" s="118" t="s">
        <v>180</v>
      </c>
      <c r="F1766" s="118" t="s">
        <v>46</v>
      </c>
      <c r="G1766" s="153"/>
      <c r="H1766" s="155">
        <v>0.4264</v>
      </c>
      <c r="I1766" s="154" t="s">
        <v>167</v>
      </c>
      <c r="J1766" s="203">
        <v>0.12354999999999999</v>
      </c>
      <c r="K1766" s="154" t="s">
        <v>23</v>
      </c>
      <c r="L1766" s="154" t="str">
        <f>IF(OpenLCAbasic!K1766="CTUh", "Fill in Manually",IF(OR(K1766="Unit", K1766=""), "", INDEX(LookUps!$E$5:$E$12, MATCH(OpenLCAbasic!K1766,LookUps!$D$5:$D$12,0))))</f>
        <v>Global Warming Potential (GWP) - kg CO2 eq</v>
      </c>
      <c r="M1766" s="154" t="str">
        <f t="shared" si="91"/>
        <v>Low_Medium_Low_Upgraded_Global Warming Potential (GWP) - kg CO2 eq_Waste Receiving and Holding; wastewater treatment unit; at updated plant - US_Base_With Amendment_Windrow</v>
      </c>
    </row>
    <row r="1767" spans="1:13" s="120" customFormat="1" x14ac:dyDescent="0.25">
      <c r="A1767" s="119"/>
      <c r="B1767" s="138" t="str">
        <f t="shared" si="89"/>
        <v>Windrow</v>
      </c>
      <c r="C1767" s="138" t="str">
        <f t="shared" si="90"/>
        <v>Base_With Amendment</v>
      </c>
      <c r="D1767" s="118" t="s">
        <v>135</v>
      </c>
      <c r="E1767" s="118" t="s">
        <v>180</v>
      </c>
      <c r="F1767" s="118" t="s">
        <v>46</v>
      </c>
      <c r="G1767" s="153"/>
      <c r="H1767" s="155">
        <v>0.21970000000000001</v>
      </c>
      <c r="I1767" s="154" t="s">
        <v>149</v>
      </c>
      <c r="J1767" s="203">
        <v>6.3659999999999994E-2</v>
      </c>
      <c r="K1767" s="154" t="s">
        <v>23</v>
      </c>
      <c r="L1767" s="154" t="str">
        <f>IF(OpenLCAbasic!K1767="CTUh", "Fill in Manually",IF(OR(K1767="Unit", K1767=""), "", INDEX(LookUps!$E$5:$E$12, MATCH(OpenLCAbasic!K1767,LookUps!$D$5:$D$12,0))))</f>
        <v>Global Warming Potential (GWP) - kg CO2 eq</v>
      </c>
      <c r="M1767" s="154" t="str">
        <f t="shared" si="91"/>
        <v>Low_Medium_Low_Upgraded_Global Warming Potential (GWP) - kg CO2 eq_Anaerobic Digestion; wastewater treatment unit; at updated plant - US_Base_With Amendment_Windrow</v>
      </c>
    </row>
    <row r="1768" spans="1:13" s="120" customFormat="1" x14ac:dyDescent="0.25">
      <c r="A1768" s="119"/>
      <c r="B1768" s="138" t="str">
        <f t="shared" si="89"/>
        <v>Windrow</v>
      </c>
      <c r="C1768" s="138" t="str">
        <f t="shared" si="90"/>
        <v>Base_With Amendment</v>
      </c>
      <c r="D1768" s="118" t="s">
        <v>135</v>
      </c>
      <c r="E1768" s="118" t="s">
        <v>180</v>
      </c>
      <c r="F1768" s="118" t="s">
        <v>46</v>
      </c>
      <c r="G1768" s="153"/>
      <c r="H1768" s="155">
        <v>0.19700000000000001</v>
      </c>
      <c r="I1768" s="154" t="s">
        <v>54</v>
      </c>
      <c r="J1768" s="203">
        <v>5.7079999999999999E-2</v>
      </c>
      <c r="K1768" s="154" t="s">
        <v>23</v>
      </c>
      <c r="L1768" s="154" t="str">
        <f>IF(OpenLCAbasic!K1768="CTUh", "Fill in Manually",IF(OR(K1768="Unit", K1768=""), "", INDEX(LookUps!$E$5:$E$12, MATCH(OpenLCAbasic!K1768,LookUps!$D$5:$D$12,0))))</f>
        <v>Global Warming Potential (GWP) - kg CO2 eq</v>
      </c>
      <c r="M1768" s="154" t="str">
        <f t="shared" si="91"/>
        <v>Low_Medium_Low_Upgraded_Global Warming Potential (GWP) - kg CO2 eq_Clear Cove Primary Clarification; wastewater treatment unit; at updated plant - US_Base_With Amendment_Windrow</v>
      </c>
    </row>
    <row r="1769" spans="1:13" s="120" customFormat="1" x14ac:dyDescent="0.25">
      <c r="A1769" s="119"/>
      <c r="B1769" s="138" t="str">
        <f t="shared" si="89"/>
        <v>Windrow</v>
      </c>
      <c r="C1769" s="138" t="str">
        <f t="shared" si="90"/>
        <v>Base_With Amendment</v>
      </c>
      <c r="D1769" s="118" t="s">
        <v>135</v>
      </c>
      <c r="E1769" s="118" t="s">
        <v>180</v>
      </c>
      <c r="F1769" s="118" t="s">
        <v>46</v>
      </c>
      <c r="G1769" s="153"/>
      <c r="H1769" s="155">
        <v>0.1817</v>
      </c>
      <c r="I1769" s="154" t="s">
        <v>48</v>
      </c>
      <c r="J1769" s="203">
        <v>5.2639999999999999E-2</v>
      </c>
      <c r="K1769" s="154" t="s">
        <v>23</v>
      </c>
      <c r="L1769" s="154" t="str">
        <f>IF(OpenLCAbasic!K1769="CTUh", "Fill in Manually",IF(OR(K1769="Unit", K1769=""), "", INDEX(LookUps!$E$5:$E$12, MATCH(OpenLCAbasic!K1769,LookUps!$D$5:$D$12,0))))</f>
        <v>Global Warming Potential (GWP) - kg CO2 eq</v>
      </c>
      <c r="M1769" s="154" t="str">
        <f t="shared" si="91"/>
        <v>Low_Medium_Low_Upgraded_Global Warming Potential (GWP) - kg CO2 eq_Effluent release; wastewater treatment unit; at surface water; m3 wastewater - US_Base_With Amendment_Windrow</v>
      </c>
    </row>
    <row r="1770" spans="1:13" s="120" customFormat="1" x14ac:dyDescent="0.25">
      <c r="A1770" s="119"/>
      <c r="B1770" s="138" t="str">
        <f t="shared" si="89"/>
        <v>Windrow</v>
      </c>
      <c r="C1770" s="138" t="str">
        <f t="shared" si="90"/>
        <v>Base_With Amendment</v>
      </c>
      <c r="D1770" s="118" t="s">
        <v>135</v>
      </c>
      <c r="E1770" s="118" t="s">
        <v>180</v>
      </c>
      <c r="F1770" s="118" t="s">
        <v>46</v>
      </c>
      <c r="G1770" s="153"/>
      <c r="H1770" s="155">
        <v>0.17430000000000001</v>
      </c>
      <c r="I1770" s="154" t="s">
        <v>147</v>
      </c>
      <c r="J1770" s="203">
        <v>5.0500000000000003E-2</v>
      </c>
      <c r="K1770" s="154" t="s">
        <v>23</v>
      </c>
      <c r="L1770" s="154" t="str">
        <f>IF(OpenLCAbasic!K1770="CTUh", "Fill in Manually",IF(OR(K1770="Unit", K1770=""), "", INDEX(LookUps!$E$5:$E$12, MATCH(OpenLCAbasic!K1770,LookUps!$D$5:$D$12,0))))</f>
        <v>Global Warming Potential (GWP) - kg CO2 eq</v>
      </c>
      <c r="M1770" s="154" t="str">
        <f t="shared" si="91"/>
        <v>Low_Medium_Low_Upgraded_Global Warming Potential (GWP) - kg CO2 eq_Influent Pump Station; wastewater treatment unit; at updated plant - US_Base_With Amendment_Windrow</v>
      </c>
    </row>
    <row r="1771" spans="1:13" s="120" customFormat="1" x14ac:dyDescent="0.25">
      <c r="A1771" s="119"/>
      <c r="B1771" s="138" t="str">
        <f t="shared" si="89"/>
        <v>Windrow</v>
      </c>
      <c r="C1771" s="138" t="str">
        <f t="shared" si="90"/>
        <v>Base_With Amendment</v>
      </c>
      <c r="D1771" s="118" t="s">
        <v>135</v>
      </c>
      <c r="E1771" s="118" t="s">
        <v>180</v>
      </c>
      <c r="F1771" s="118" t="s">
        <v>46</v>
      </c>
      <c r="G1771" s="153"/>
      <c r="H1771" s="155">
        <v>0.1148</v>
      </c>
      <c r="I1771" s="154" t="s">
        <v>53</v>
      </c>
      <c r="J1771" s="203">
        <v>3.3259999999999998E-2</v>
      </c>
      <c r="K1771" s="154" t="s">
        <v>23</v>
      </c>
      <c r="L1771" s="154" t="str">
        <f>IF(OpenLCAbasic!K1771="CTUh", "Fill in Manually",IF(OR(K1771="Unit", K1771=""), "", INDEX(LookUps!$E$5:$E$12, MATCH(OpenLCAbasic!K1771,LookUps!$D$5:$D$12,0))))</f>
        <v>Global Warming Potential (GWP) - kg CO2 eq</v>
      </c>
      <c r="M1771" s="154" t="str">
        <f t="shared" si="91"/>
        <v>Low_Medium_Low_Upgraded_Global Warming Potential (GWP) - kg CO2 eq_Wet Well and Sump Station; wastewater treatment unit; at updated plant - US_Base_With Amendment_Windrow</v>
      </c>
    </row>
    <row r="1772" spans="1:13" s="120" customFormat="1" x14ac:dyDescent="0.25">
      <c r="A1772" s="119"/>
      <c r="B1772" s="138" t="str">
        <f t="shared" si="89"/>
        <v>Windrow</v>
      </c>
      <c r="C1772" s="138" t="str">
        <f t="shared" si="90"/>
        <v>Base_With Amendment</v>
      </c>
      <c r="D1772" s="118" t="s">
        <v>135</v>
      </c>
      <c r="E1772" s="118" t="s">
        <v>180</v>
      </c>
      <c r="F1772" s="118" t="s">
        <v>46</v>
      </c>
      <c r="G1772" s="153"/>
      <c r="H1772" s="155">
        <v>6.8699999999999997E-2</v>
      </c>
      <c r="I1772" s="154" t="s">
        <v>60</v>
      </c>
      <c r="J1772" s="203">
        <v>1.9910000000000001E-2</v>
      </c>
      <c r="K1772" s="154" t="s">
        <v>23</v>
      </c>
      <c r="L1772" s="154" t="str">
        <f>IF(OpenLCAbasic!K1772="CTUh", "Fill in Manually",IF(OR(K1772="Unit", K1772=""), "", INDEX(LookUps!$E$5:$E$12, MATCH(OpenLCAbasic!K1772,LookUps!$D$5:$D$12,0))))</f>
        <v>Global Warming Potential (GWP) - kg CO2 eq</v>
      </c>
      <c r="M1772" s="154" t="str">
        <f t="shared" si="91"/>
        <v>Low_Medium_Low_Upgraded_Global Warming Potential (GWP) - kg CO2 eq_Belt filter press; wastewater treatment unit; at updated plant - US_Base_With Amendment_Windrow</v>
      </c>
    </row>
    <row r="1773" spans="1:13" s="120" customFormat="1" x14ac:dyDescent="0.25">
      <c r="A1773" s="119"/>
      <c r="B1773" s="138" t="str">
        <f t="shared" si="89"/>
        <v>Windrow</v>
      </c>
      <c r="C1773" s="138" t="str">
        <f t="shared" si="90"/>
        <v>Base_With Amendment</v>
      </c>
      <c r="D1773" s="118" t="s">
        <v>135</v>
      </c>
      <c r="E1773" s="118" t="s">
        <v>180</v>
      </c>
      <c r="F1773" s="118" t="s">
        <v>46</v>
      </c>
      <c r="G1773" s="153"/>
      <c r="H1773" s="155">
        <v>5.0200000000000002E-2</v>
      </c>
      <c r="I1773" s="154" t="s">
        <v>57</v>
      </c>
      <c r="J1773" s="203">
        <v>1.455E-2</v>
      </c>
      <c r="K1773" s="154" t="s">
        <v>23</v>
      </c>
      <c r="L1773" s="154" t="str">
        <f>IF(OpenLCAbasic!K1773="CTUh", "Fill in Manually",IF(OR(K1773="Unit", K1773=""), "", INDEX(LookUps!$E$5:$E$12, MATCH(OpenLCAbasic!K1773,LookUps!$D$5:$D$12,0))))</f>
        <v>Global Warming Potential (GWP) - kg CO2 eq</v>
      </c>
      <c r="M1773" s="154" t="str">
        <f t="shared" si="91"/>
        <v>Low_Medium_Low_Upgraded_Global Warming Potential (GWP) - kg CO2 eq_Gravity Belt Thickener; wastewater treatment unit; at updated plant - US_Base_With Amendment_Windrow</v>
      </c>
    </row>
    <row r="1774" spans="1:13" s="120" customFormat="1" x14ac:dyDescent="0.25">
      <c r="A1774" s="119"/>
      <c r="B1774" s="138" t="str">
        <f t="shared" si="89"/>
        <v>Windrow</v>
      </c>
      <c r="C1774" s="138" t="str">
        <f t="shared" si="90"/>
        <v>Base_With Amendment</v>
      </c>
      <c r="D1774" s="118" t="s">
        <v>135</v>
      </c>
      <c r="E1774" s="118" t="s">
        <v>180</v>
      </c>
      <c r="F1774" s="118" t="s">
        <v>46</v>
      </c>
      <c r="G1774" s="153"/>
      <c r="H1774" s="155">
        <v>4.6600000000000003E-2</v>
      </c>
      <c r="I1774" s="154" t="s">
        <v>128</v>
      </c>
      <c r="J1774" s="204">
        <v>1.3509999999999999E-2</v>
      </c>
      <c r="K1774" s="154" t="s">
        <v>23</v>
      </c>
      <c r="L1774" s="154" t="str">
        <f>IF(OpenLCAbasic!K1774="CTUh", "Fill in Manually",IF(OR(K1774="Unit", K1774=""), "", INDEX(LookUps!$E$5:$E$12, MATCH(OpenLCAbasic!K1774,LookUps!$D$5:$D$12,0))))</f>
        <v>Global Warming Potential (GWP) - kg CO2 eq</v>
      </c>
      <c r="M1774" s="154" t="str">
        <f t="shared" si="91"/>
        <v>Low_Medium_Low_Upgraded_Global Warming Potential (GWP) - kg CO2 eq_Wastewater collection; operation and infrastructure; m3 wastewater_Base_With Amendment_Windrow</v>
      </c>
    </row>
    <row r="1775" spans="1:13" s="120" customFormat="1" x14ac:dyDescent="0.25">
      <c r="A1775" s="119"/>
      <c r="B1775" s="138" t="str">
        <f t="shared" si="89"/>
        <v>Windrow</v>
      </c>
      <c r="C1775" s="138" t="str">
        <f t="shared" si="90"/>
        <v>Base_With Amendment</v>
      </c>
      <c r="D1775" s="118" t="s">
        <v>135</v>
      </c>
      <c r="E1775" s="118" t="s">
        <v>180</v>
      </c>
      <c r="F1775" s="118" t="s">
        <v>46</v>
      </c>
      <c r="G1775" s="153"/>
      <c r="H1775" s="155">
        <v>2.86E-2</v>
      </c>
      <c r="I1775" s="154" t="s">
        <v>148</v>
      </c>
      <c r="J1775" s="204">
        <v>8.3000000000000001E-3</v>
      </c>
      <c r="K1775" s="154" t="s">
        <v>23</v>
      </c>
      <c r="L1775" s="154" t="str">
        <f>IF(OpenLCAbasic!K1775="CTUh", "Fill in Manually",IF(OR(K1775="Unit", K1775=""), "", INDEX(LookUps!$E$5:$E$12, MATCH(OpenLCAbasic!K1775,LookUps!$D$5:$D$12,0))))</f>
        <v>Global Warming Potential (GWP) - kg CO2 eq</v>
      </c>
      <c r="M1775" s="154" t="str">
        <f t="shared" si="91"/>
        <v>Low_Medium_Low_Upgraded_Global Warming Potential (GWP) - kg CO2 eq_Control Building; at upgraded wastewater treatment plant - US_Base_With Amendment_Windrow</v>
      </c>
    </row>
    <row r="1776" spans="1:13" s="120" customFormat="1" x14ac:dyDescent="0.25">
      <c r="A1776" s="119"/>
      <c r="B1776" s="138" t="str">
        <f t="shared" si="89"/>
        <v>Windrow</v>
      </c>
      <c r="C1776" s="138" t="str">
        <f t="shared" si="90"/>
        <v>Base_With Amendment</v>
      </c>
      <c r="D1776" s="118" t="s">
        <v>135</v>
      </c>
      <c r="E1776" s="118" t="s">
        <v>180</v>
      </c>
      <c r="F1776" s="118" t="s">
        <v>46</v>
      </c>
      <c r="G1776" s="153"/>
      <c r="H1776" s="155">
        <v>1.7399999999999999E-2</v>
      </c>
      <c r="I1776" s="154" t="s">
        <v>59</v>
      </c>
      <c r="J1776" s="204">
        <v>5.0400000000000002E-3</v>
      </c>
      <c r="K1776" s="154" t="s">
        <v>23</v>
      </c>
      <c r="L1776" s="154" t="str">
        <f>IF(OpenLCAbasic!K1776="CTUh", "Fill in Manually",IF(OR(K1776="Unit", K1776=""), "", INDEX(LookUps!$E$5:$E$12, MATCH(OpenLCAbasic!K1776,LookUps!$D$5:$D$12,0))))</f>
        <v>Global Warming Potential (GWP) - kg CO2 eq</v>
      </c>
      <c r="M1776" s="154" t="str">
        <f t="shared" si="91"/>
        <v>Low_Medium_Low_Upgraded_Global Warming Potential (GWP) - kg CO2 eq_Blend Tank; wastewater treatment unit; at updated plant - US_Base_With Amendment_Windrow</v>
      </c>
    </row>
    <row r="1777" spans="1:13" s="120" customFormat="1" x14ac:dyDescent="0.25">
      <c r="A1777" s="119"/>
      <c r="B1777" s="138" t="str">
        <f t="shared" si="89"/>
        <v>Windrow</v>
      </c>
      <c r="C1777" s="138" t="str">
        <f t="shared" si="90"/>
        <v>Base_With Amendment</v>
      </c>
      <c r="D1777" s="118" t="s">
        <v>135</v>
      </c>
      <c r="E1777" s="118" t="s">
        <v>180</v>
      </c>
      <c r="F1777" s="118" t="s">
        <v>46</v>
      </c>
      <c r="G1777" s="153"/>
      <c r="H1777" s="155">
        <v>8.3000000000000001E-3</v>
      </c>
      <c r="I1777" s="154" t="s">
        <v>168</v>
      </c>
      <c r="J1777" s="204">
        <v>2.4099999999999998E-3</v>
      </c>
      <c r="K1777" s="154" t="s">
        <v>23</v>
      </c>
      <c r="L1777" s="154" t="str">
        <f>IF(OpenLCAbasic!K1777="CTUh", "Fill in Manually",IF(OR(K1777="Unit", K1777=""), "", INDEX(LookUps!$E$5:$E$12, MATCH(OpenLCAbasic!K1777,LookUps!$D$5:$D$12,0))))</f>
        <v>Global Warming Potential (GWP) - kg CO2 eq</v>
      </c>
      <c r="M1777" s="154" t="str">
        <f t="shared" si="91"/>
        <v>Low_Medium_Low_Upgraded_Global Warming Potential (GWP) - kg CO2 eq_ClearCove SCP; wastewater treatment unit; at updated plant - US_Base_With Amendment_Windrow</v>
      </c>
    </row>
    <row r="1778" spans="1:13" s="120" customFormat="1" x14ac:dyDescent="0.25">
      <c r="A1778" s="119"/>
      <c r="B1778" s="138" t="str">
        <f t="shared" si="89"/>
        <v>Windrow</v>
      </c>
      <c r="C1778" s="138" t="str">
        <f t="shared" si="90"/>
        <v>Base_With Amendment</v>
      </c>
      <c r="D1778" s="118" t="s">
        <v>135</v>
      </c>
      <c r="E1778" s="118" t="s">
        <v>180</v>
      </c>
      <c r="F1778" s="118" t="s">
        <v>46</v>
      </c>
      <c r="G1778" s="153"/>
      <c r="H1778" s="155">
        <v>-2.4590999999999998</v>
      </c>
      <c r="I1778" s="154" t="s">
        <v>62</v>
      </c>
      <c r="J1778" s="203">
        <v>-0.71255000000000002</v>
      </c>
      <c r="K1778" s="154" t="s">
        <v>23</v>
      </c>
      <c r="L1778" s="154" t="str">
        <f>IF(OpenLCAbasic!K1778="CTUh", "Fill in Manually",IF(OR(K1778="Unit", K1778=""), "", INDEX(LookUps!$E$5:$E$12, MATCH(OpenLCAbasic!K1778,LookUps!$D$5:$D$12,0))))</f>
        <v>Global Warming Potential (GWP) - kg CO2 eq</v>
      </c>
      <c r="M1778" s="154" t="str">
        <f t="shared" si="91"/>
        <v>Low_Medium_Low_Upgraded_Global Warming Potential (GWP) - kg CO2 eq_Land application of compost; wastewater treatment unit; at updated plant - US_Base_With Amendment_Windrow</v>
      </c>
    </row>
    <row r="1779" spans="1:13" s="120" customFormat="1" x14ac:dyDescent="0.25">
      <c r="A1779" s="119"/>
      <c r="B1779" s="138" t="str">
        <f t="shared" si="89"/>
        <v>Windrow</v>
      </c>
      <c r="C1779" s="138" t="str">
        <f t="shared" si="90"/>
        <v>Base_With Amendment</v>
      </c>
      <c r="D1779" s="118" t="s">
        <v>135</v>
      </c>
      <c r="E1779" s="118" t="s">
        <v>180</v>
      </c>
      <c r="F1779" s="118" t="s">
        <v>46</v>
      </c>
      <c r="G1779" s="153" t="s">
        <v>51</v>
      </c>
      <c r="H1779" s="154"/>
      <c r="I1779" s="154" t="s">
        <v>47</v>
      </c>
      <c r="J1779" s="154" t="s">
        <v>52</v>
      </c>
      <c r="K1779" s="154" t="s">
        <v>27</v>
      </c>
      <c r="L1779" s="154" t="str">
        <f>IF(OpenLCAbasic!K1779="CTUh", "Fill in Manually",IF(OR(K1779="Unit", K1779=""), "", INDEX(LookUps!$E$5:$E$12, MATCH(OpenLCAbasic!K1779,LookUps!$D$5:$D$12,0))))</f>
        <v/>
      </c>
      <c r="M1779" s="154" t="str">
        <f t="shared" si="91"/>
        <v>Low_Medium_Low_Upgraded__Process_Base_With Amendment_Windrow</v>
      </c>
    </row>
    <row r="1780" spans="1:13" s="120" customFormat="1" x14ac:dyDescent="0.25">
      <c r="A1780" s="119"/>
      <c r="B1780" s="138" t="str">
        <f t="shared" si="89"/>
        <v>Windrow</v>
      </c>
      <c r="C1780" s="138" t="str">
        <f t="shared" si="90"/>
        <v>Base_With Amendment</v>
      </c>
      <c r="D1780" s="118" t="s">
        <v>135</v>
      </c>
      <c r="E1780" s="118" t="s">
        <v>180</v>
      </c>
      <c r="F1780" s="118" t="s">
        <v>46</v>
      </c>
      <c r="G1780" s="153"/>
      <c r="H1780" s="155">
        <v>0.34239999999999998</v>
      </c>
      <c r="I1780" s="154" t="s">
        <v>167</v>
      </c>
      <c r="J1780" s="157">
        <v>4.2789599999999997</v>
      </c>
      <c r="K1780" s="154" t="s">
        <v>15</v>
      </c>
      <c r="L1780" s="154" t="str">
        <f>IF(OpenLCAbasic!K1780="CTUh", "Fill in Manually",IF(OR(K1780="Unit", K1780=""), "", INDEX(LookUps!$E$5:$E$12, MATCH(OpenLCAbasic!K1780,LookUps!$D$5:$D$12,0))))</f>
        <v>Cumulative Energy Demand (CED) - MJ</v>
      </c>
      <c r="M1780" s="154" t="str">
        <f t="shared" si="91"/>
        <v>Low_Medium_Low_Upgraded_Cumulative Energy Demand (CED) - MJ_Waste Receiving and Holding; wastewater treatment unit; at updated plant - US_Base_With Amendment_Windrow</v>
      </c>
    </row>
    <row r="1781" spans="1:13" s="120" customFormat="1" x14ac:dyDescent="0.25">
      <c r="A1781" s="119"/>
      <c r="B1781" s="138" t="str">
        <f t="shared" si="89"/>
        <v>Windrow</v>
      </c>
      <c r="C1781" s="138" t="str">
        <f t="shared" si="90"/>
        <v>Base_With Amendment</v>
      </c>
      <c r="D1781" s="118" t="s">
        <v>135</v>
      </c>
      <c r="E1781" s="118" t="s">
        <v>180</v>
      </c>
      <c r="F1781" s="118" t="s">
        <v>46</v>
      </c>
      <c r="G1781" s="153"/>
      <c r="H1781" s="155">
        <v>0.2828</v>
      </c>
      <c r="I1781" s="154" t="s">
        <v>55</v>
      </c>
      <c r="J1781" s="157">
        <v>3.5330499999999998</v>
      </c>
      <c r="K1781" s="154" t="s">
        <v>15</v>
      </c>
      <c r="L1781" s="154" t="str">
        <f>IF(OpenLCAbasic!K1781="CTUh", "Fill in Manually",IF(OR(K1781="Unit", K1781=""), "", INDEX(LookUps!$E$5:$E$12, MATCH(OpenLCAbasic!K1781,LookUps!$D$5:$D$12,0))))</f>
        <v>Cumulative Energy Demand (CED) - MJ</v>
      </c>
      <c r="M1781" s="154" t="str">
        <f t="shared" si="91"/>
        <v>Low_Medium_Low_Upgraded_Cumulative Energy Demand (CED) - MJ_Aeration Tanks; wastewater treatment unit; at updated plant - US_Base_With Amendment_Windrow</v>
      </c>
    </row>
    <row r="1782" spans="1:13" s="120" customFormat="1" x14ac:dyDescent="0.25">
      <c r="A1782" s="119"/>
      <c r="B1782" s="138" t="str">
        <f t="shared" si="89"/>
        <v>Windrow</v>
      </c>
      <c r="C1782" s="138" t="str">
        <f t="shared" si="90"/>
        <v>Base_With Amendment</v>
      </c>
      <c r="D1782" s="118" t="s">
        <v>135</v>
      </c>
      <c r="E1782" s="118" t="s">
        <v>180</v>
      </c>
      <c r="F1782" s="118" t="s">
        <v>46</v>
      </c>
      <c r="G1782" s="153"/>
      <c r="H1782" s="155">
        <v>9.3100000000000002E-2</v>
      </c>
      <c r="I1782" s="154" t="s">
        <v>54</v>
      </c>
      <c r="J1782" s="157">
        <v>1.16289</v>
      </c>
      <c r="K1782" s="154" t="s">
        <v>15</v>
      </c>
      <c r="L1782" s="154" t="str">
        <f>IF(OpenLCAbasic!K1782="CTUh", "Fill in Manually",IF(OR(K1782="Unit", K1782=""), "", INDEX(LookUps!$E$5:$E$12, MATCH(OpenLCAbasic!K1782,LookUps!$D$5:$D$12,0))))</f>
        <v>Cumulative Energy Demand (CED) - MJ</v>
      </c>
      <c r="M1782" s="154" t="str">
        <f t="shared" si="91"/>
        <v>Low_Medium_Low_Upgraded_Cumulative Energy Demand (CED) - MJ_Clear Cove Primary Clarification; wastewater treatment unit; at updated plant - US_Base_With Amendment_Windrow</v>
      </c>
    </row>
    <row r="1783" spans="1:13" s="120" customFormat="1" x14ac:dyDescent="0.25">
      <c r="A1783" s="119"/>
      <c r="B1783" s="138" t="str">
        <f t="shared" si="89"/>
        <v>Windrow</v>
      </c>
      <c r="C1783" s="138" t="str">
        <f t="shared" si="90"/>
        <v>Base_With Amendment</v>
      </c>
      <c r="D1783" s="118" t="s">
        <v>135</v>
      </c>
      <c r="E1783" s="118" t="s">
        <v>180</v>
      </c>
      <c r="F1783" s="118" t="s">
        <v>46</v>
      </c>
      <c r="G1783" s="153"/>
      <c r="H1783" s="155">
        <v>7.0999999999999994E-2</v>
      </c>
      <c r="I1783" s="154" t="s">
        <v>58</v>
      </c>
      <c r="J1783" s="203">
        <v>0.88705000000000001</v>
      </c>
      <c r="K1783" s="154" t="s">
        <v>15</v>
      </c>
      <c r="L1783" s="154" t="str">
        <f>IF(OpenLCAbasic!K1783="CTUh", "Fill in Manually",IF(OR(K1783="Unit", K1783=""), "", INDEX(LookUps!$E$5:$E$12, MATCH(OpenLCAbasic!K1783,LookUps!$D$5:$D$12,0))))</f>
        <v>Cumulative Energy Demand (CED) - MJ</v>
      </c>
      <c r="M1783" s="154" t="str">
        <f t="shared" si="91"/>
        <v>Low_Medium_Low_Upgraded_Cumulative Energy Demand (CED) - MJ_Pre-Anoxic &amp; Swing tank; wastewater treatment unit; at updated plant - US_Base_With Amendment_Windrow</v>
      </c>
    </row>
    <row r="1784" spans="1:13" s="120" customFormat="1" x14ac:dyDescent="0.25">
      <c r="A1784" s="119"/>
      <c r="B1784" s="138" t="str">
        <f t="shared" si="89"/>
        <v>Windrow</v>
      </c>
      <c r="C1784" s="138" t="str">
        <f t="shared" si="90"/>
        <v>Base_With Amendment</v>
      </c>
      <c r="D1784" s="118" t="s">
        <v>135</v>
      </c>
      <c r="E1784" s="118" t="s">
        <v>180</v>
      </c>
      <c r="F1784" s="118" t="s">
        <v>46</v>
      </c>
      <c r="G1784" s="153"/>
      <c r="H1784" s="155">
        <v>7.0699999999999999E-2</v>
      </c>
      <c r="I1784" s="154" t="s">
        <v>147</v>
      </c>
      <c r="J1784" s="203">
        <v>0.88297000000000003</v>
      </c>
      <c r="K1784" s="154" t="s">
        <v>15</v>
      </c>
      <c r="L1784" s="154" t="str">
        <f>IF(OpenLCAbasic!K1784="CTUh", "Fill in Manually",IF(OR(K1784="Unit", K1784=""), "", INDEX(LookUps!$E$5:$E$12, MATCH(OpenLCAbasic!K1784,LookUps!$D$5:$D$12,0))))</f>
        <v>Cumulative Energy Demand (CED) - MJ</v>
      </c>
      <c r="M1784" s="154" t="str">
        <f t="shared" si="91"/>
        <v>Low_Medium_Low_Upgraded_Cumulative Energy Demand (CED) - MJ_Influent Pump Station; wastewater treatment unit; at updated plant - US_Base_With Amendment_Windrow</v>
      </c>
    </row>
    <row r="1785" spans="1:13" s="120" customFormat="1" x14ac:dyDescent="0.25">
      <c r="A1785" s="119"/>
      <c r="B1785" s="138" t="str">
        <f t="shared" si="89"/>
        <v>Windrow</v>
      </c>
      <c r="C1785" s="138" t="str">
        <f t="shared" si="90"/>
        <v>Base_With Amendment</v>
      </c>
      <c r="D1785" s="118" t="s">
        <v>135</v>
      </c>
      <c r="E1785" s="118" t="s">
        <v>180</v>
      </c>
      <c r="F1785" s="118" t="s">
        <v>46</v>
      </c>
      <c r="G1785" s="153"/>
      <c r="H1785" s="155">
        <v>5.57E-2</v>
      </c>
      <c r="I1785" s="154" t="s">
        <v>53</v>
      </c>
      <c r="J1785" s="203">
        <v>0.69645000000000001</v>
      </c>
      <c r="K1785" s="154" t="s">
        <v>15</v>
      </c>
      <c r="L1785" s="154" t="str">
        <f>IF(OpenLCAbasic!K1785="CTUh", "Fill in Manually",IF(OR(K1785="Unit", K1785=""), "", INDEX(LookUps!$E$5:$E$12, MATCH(OpenLCAbasic!K1785,LookUps!$D$5:$D$12,0))))</f>
        <v>Cumulative Energy Demand (CED) - MJ</v>
      </c>
      <c r="M1785" s="154" t="str">
        <f t="shared" si="91"/>
        <v>Low_Medium_Low_Upgraded_Cumulative Energy Demand (CED) - MJ_Wet Well and Sump Station; wastewater treatment unit; at updated plant - US_Base_With Amendment_Windrow</v>
      </c>
    </row>
    <row r="1786" spans="1:13" s="120" customFormat="1" x14ac:dyDescent="0.25">
      <c r="A1786" s="119"/>
      <c r="B1786" s="138" t="str">
        <f t="shared" si="89"/>
        <v>Windrow</v>
      </c>
      <c r="C1786" s="138" t="str">
        <f t="shared" si="90"/>
        <v>Base_With Amendment</v>
      </c>
      <c r="D1786" s="118" t="s">
        <v>135</v>
      </c>
      <c r="E1786" s="118" t="s">
        <v>180</v>
      </c>
      <c r="F1786" s="118" t="s">
        <v>46</v>
      </c>
      <c r="G1786" s="153"/>
      <c r="H1786" s="155">
        <v>3.5999999999999997E-2</v>
      </c>
      <c r="I1786" s="154" t="s">
        <v>60</v>
      </c>
      <c r="J1786" s="203">
        <v>0.44939000000000001</v>
      </c>
      <c r="K1786" s="154" t="s">
        <v>15</v>
      </c>
      <c r="L1786" s="154" t="str">
        <f>IF(OpenLCAbasic!K1786="CTUh", "Fill in Manually",IF(OR(K1786="Unit", K1786=""), "", INDEX(LookUps!$E$5:$E$12, MATCH(OpenLCAbasic!K1786,LookUps!$D$5:$D$12,0))))</f>
        <v>Cumulative Energy Demand (CED) - MJ</v>
      </c>
      <c r="M1786" s="154" t="str">
        <f t="shared" si="91"/>
        <v>Low_Medium_Low_Upgraded_Cumulative Energy Demand (CED) - MJ_Belt filter press; wastewater treatment unit; at updated plant - US_Base_With Amendment_Windrow</v>
      </c>
    </row>
    <row r="1787" spans="1:13" s="120" customFormat="1" x14ac:dyDescent="0.25">
      <c r="A1787" s="119"/>
      <c r="B1787" s="138" t="str">
        <f t="shared" si="89"/>
        <v>Windrow</v>
      </c>
      <c r="C1787" s="138" t="str">
        <f t="shared" si="90"/>
        <v>Base_With Amendment</v>
      </c>
      <c r="D1787" s="118" t="s">
        <v>135</v>
      </c>
      <c r="E1787" s="118" t="s">
        <v>180</v>
      </c>
      <c r="F1787" s="118" t="s">
        <v>46</v>
      </c>
      <c r="G1787" s="153"/>
      <c r="H1787" s="155">
        <v>2.6700000000000002E-2</v>
      </c>
      <c r="I1787" s="154" t="s">
        <v>57</v>
      </c>
      <c r="J1787" s="203">
        <v>0.33404</v>
      </c>
      <c r="K1787" s="154" t="s">
        <v>15</v>
      </c>
      <c r="L1787" s="154" t="str">
        <f>IF(OpenLCAbasic!K1787="CTUh", "Fill in Manually",IF(OR(K1787="Unit", K1787=""), "", INDEX(LookUps!$E$5:$E$12, MATCH(OpenLCAbasic!K1787,LookUps!$D$5:$D$12,0))))</f>
        <v>Cumulative Energy Demand (CED) - MJ</v>
      </c>
      <c r="M1787" s="154" t="str">
        <f t="shared" si="91"/>
        <v>Low_Medium_Low_Upgraded_Cumulative Energy Demand (CED) - MJ_Gravity Belt Thickener; wastewater treatment unit; at updated plant - US_Base_With Amendment_Windrow</v>
      </c>
    </row>
    <row r="1788" spans="1:13" s="120" customFormat="1" x14ac:dyDescent="0.25">
      <c r="A1788" s="119"/>
      <c r="B1788" s="138" t="str">
        <f t="shared" si="89"/>
        <v>Windrow</v>
      </c>
      <c r="C1788" s="138" t="str">
        <f t="shared" si="90"/>
        <v>Base_With Amendment</v>
      </c>
      <c r="D1788" s="118" t="s">
        <v>135</v>
      </c>
      <c r="E1788" s="118" t="s">
        <v>180</v>
      </c>
      <c r="F1788" s="118" t="s">
        <v>46</v>
      </c>
      <c r="G1788" s="153"/>
      <c r="H1788" s="155">
        <v>2.1999999999999999E-2</v>
      </c>
      <c r="I1788" s="154" t="s">
        <v>149</v>
      </c>
      <c r="J1788" s="203">
        <v>0.27453</v>
      </c>
      <c r="K1788" s="154" t="s">
        <v>15</v>
      </c>
      <c r="L1788" s="154" t="str">
        <f>IF(OpenLCAbasic!K1788="CTUh", "Fill in Manually",IF(OR(K1788="Unit", K1788=""), "", INDEX(LookUps!$E$5:$E$12, MATCH(OpenLCAbasic!K1788,LookUps!$D$5:$D$12,0))))</f>
        <v>Cumulative Energy Demand (CED) - MJ</v>
      </c>
      <c r="M1788" s="154" t="str">
        <f t="shared" si="91"/>
        <v>Low_Medium_Low_Upgraded_Cumulative Energy Demand (CED) - MJ_Anaerobic Digestion; wastewater treatment unit; at updated plant - US_Base_With Amendment_Windrow</v>
      </c>
    </row>
    <row r="1789" spans="1:13" s="120" customFormat="1" x14ac:dyDescent="0.25">
      <c r="A1789" s="119"/>
      <c r="B1789" s="138" t="str">
        <f t="shared" si="89"/>
        <v>Windrow</v>
      </c>
      <c r="C1789" s="138" t="str">
        <f t="shared" si="90"/>
        <v>Base_With Amendment</v>
      </c>
      <c r="D1789" s="118" t="s">
        <v>135</v>
      </c>
      <c r="E1789" s="118" t="s">
        <v>180</v>
      </c>
      <c r="F1789" s="118" t="s">
        <v>46</v>
      </c>
      <c r="G1789" s="153"/>
      <c r="H1789" s="155">
        <v>2.0500000000000001E-2</v>
      </c>
      <c r="I1789" s="154" t="s">
        <v>128</v>
      </c>
      <c r="J1789" s="203">
        <v>0.25606000000000001</v>
      </c>
      <c r="K1789" s="154" t="s">
        <v>15</v>
      </c>
      <c r="L1789" s="154" t="str">
        <f>IF(OpenLCAbasic!K1789="CTUh", "Fill in Manually",IF(OR(K1789="Unit", K1789=""), "", INDEX(LookUps!$E$5:$E$12, MATCH(OpenLCAbasic!K1789,LookUps!$D$5:$D$12,0))))</f>
        <v>Cumulative Energy Demand (CED) - MJ</v>
      </c>
      <c r="M1789" s="154" t="str">
        <f t="shared" si="91"/>
        <v>Low_Medium_Low_Upgraded_Cumulative Energy Demand (CED) - MJ_Wastewater collection; operation and infrastructure; m3 wastewater_Base_With Amendment_Windrow</v>
      </c>
    </row>
    <row r="1790" spans="1:13" s="120" customFormat="1" x14ac:dyDescent="0.25">
      <c r="A1790" s="119"/>
      <c r="B1790" s="138" t="str">
        <f t="shared" si="89"/>
        <v>Windrow</v>
      </c>
      <c r="C1790" s="138" t="str">
        <f t="shared" si="90"/>
        <v>Base_With Amendment</v>
      </c>
      <c r="D1790" s="118" t="s">
        <v>135</v>
      </c>
      <c r="E1790" s="118" t="s">
        <v>180</v>
      </c>
      <c r="F1790" s="118" t="s">
        <v>46</v>
      </c>
      <c r="G1790" s="153"/>
      <c r="H1790" s="155">
        <v>1.17E-2</v>
      </c>
      <c r="I1790" s="154" t="s">
        <v>148</v>
      </c>
      <c r="J1790" s="203">
        <v>0.14599000000000001</v>
      </c>
      <c r="K1790" s="154" t="s">
        <v>15</v>
      </c>
      <c r="L1790" s="154" t="str">
        <f>IF(OpenLCAbasic!K1790="CTUh", "Fill in Manually",IF(OR(K1790="Unit", K1790=""), "", INDEX(LookUps!$E$5:$E$12, MATCH(OpenLCAbasic!K1790,LookUps!$D$5:$D$12,0))))</f>
        <v>Cumulative Energy Demand (CED) - MJ</v>
      </c>
      <c r="M1790" s="154" t="str">
        <f t="shared" si="91"/>
        <v>Low_Medium_Low_Upgraded_Cumulative Energy Demand (CED) - MJ_Control Building; at upgraded wastewater treatment plant - US_Base_With Amendment_Windrow</v>
      </c>
    </row>
    <row r="1791" spans="1:13" s="120" customFormat="1" x14ac:dyDescent="0.25">
      <c r="A1791" s="119"/>
      <c r="B1791" s="138" t="str">
        <f t="shared" si="89"/>
        <v>Windrow</v>
      </c>
      <c r="C1791" s="138" t="str">
        <f t="shared" si="90"/>
        <v>Base_With Amendment</v>
      </c>
      <c r="D1791" s="118" t="s">
        <v>135</v>
      </c>
      <c r="E1791" s="118" t="s">
        <v>180</v>
      </c>
      <c r="F1791" s="118" t="s">
        <v>46</v>
      </c>
      <c r="G1791" s="153"/>
      <c r="H1791" s="155">
        <v>1.0699999999999999E-2</v>
      </c>
      <c r="I1791" s="154" t="s">
        <v>48</v>
      </c>
      <c r="J1791" s="203">
        <v>0.13321</v>
      </c>
      <c r="K1791" s="154" t="s">
        <v>15</v>
      </c>
      <c r="L1791" s="154" t="str">
        <f>IF(OpenLCAbasic!K1791="CTUh", "Fill in Manually",IF(OR(K1791="Unit", K1791=""), "", INDEX(LookUps!$E$5:$E$12, MATCH(OpenLCAbasic!K1791,LookUps!$D$5:$D$12,0))))</f>
        <v>Cumulative Energy Demand (CED) - MJ</v>
      </c>
      <c r="M1791" s="154" t="str">
        <f t="shared" si="91"/>
        <v>Low_Medium_Low_Upgraded_Cumulative Energy Demand (CED) - MJ_Effluent release; wastewater treatment unit; at surface water; m3 wastewater - US_Base_With Amendment_Windrow</v>
      </c>
    </row>
    <row r="1792" spans="1:13" s="120" customFormat="1" x14ac:dyDescent="0.25">
      <c r="A1792" s="119"/>
      <c r="B1792" s="138" t="str">
        <f t="shared" si="89"/>
        <v>Windrow</v>
      </c>
      <c r="C1792" s="138" t="str">
        <f t="shared" si="90"/>
        <v>Base_With Amendment</v>
      </c>
      <c r="D1792" s="118" t="s">
        <v>135</v>
      </c>
      <c r="E1792" s="118" t="s">
        <v>180</v>
      </c>
      <c r="F1792" s="118" t="s">
        <v>46</v>
      </c>
      <c r="G1792" s="153"/>
      <c r="H1792" s="155">
        <v>8.5000000000000006E-3</v>
      </c>
      <c r="I1792" s="154" t="s">
        <v>59</v>
      </c>
      <c r="J1792" s="203">
        <v>0.10638</v>
      </c>
      <c r="K1792" s="154" t="s">
        <v>15</v>
      </c>
      <c r="L1792" s="154" t="str">
        <f>IF(OpenLCAbasic!K1792="CTUh", "Fill in Manually",IF(OR(K1792="Unit", K1792=""), "", INDEX(LookUps!$E$5:$E$12, MATCH(OpenLCAbasic!K1792,LookUps!$D$5:$D$12,0))))</f>
        <v>Cumulative Energy Demand (CED) - MJ</v>
      </c>
      <c r="M1792" s="154" t="str">
        <f t="shared" si="91"/>
        <v>Low_Medium_Low_Upgraded_Cumulative Energy Demand (CED) - MJ_Blend Tank; wastewater treatment unit; at updated plant - US_Base_With Amendment_Windrow</v>
      </c>
    </row>
    <row r="1793" spans="1:13" s="120" customFormat="1" x14ac:dyDescent="0.25">
      <c r="A1793" s="119"/>
      <c r="B1793" s="138" t="str">
        <f t="shared" si="89"/>
        <v>Windrow</v>
      </c>
      <c r="C1793" s="138" t="str">
        <f t="shared" si="90"/>
        <v>Base_With Amendment</v>
      </c>
      <c r="D1793" s="118" t="s">
        <v>135</v>
      </c>
      <c r="E1793" s="118" t="s">
        <v>180</v>
      </c>
      <c r="F1793" s="118" t="s">
        <v>46</v>
      </c>
      <c r="G1793" s="153"/>
      <c r="H1793" s="155">
        <v>4.1000000000000003E-3</v>
      </c>
      <c r="I1793" s="154" t="s">
        <v>168</v>
      </c>
      <c r="J1793" s="203">
        <v>5.0930000000000003E-2</v>
      </c>
      <c r="K1793" s="154" t="s">
        <v>15</v>
      </c>
      <c r="L1793" s="154" t="str">
        <f>IF(OpenLCAbasic!K1793="CTUh", "Fill in Manually",IF(OR(K1793="Unit", K1793=""), "", INDEX(LookUps!$E$5:$E$12, MATCH(OpenLCAbasic!K1793,LookUps!$D$5:$D$12,0))))</f>
        <v>Cumulative Energy Demand (CED) - MJ</v>
      </c>
      <c r="M1793" s="154" t="str">
        <f t="shared" si="91"/>
        <v>Low_Medium_Low_Upgraded_Cumulative Energy Demand (CED) - MJ_ClearCove SCP; wastewater treatment unit; at updated plant - US_Base_With Amendment_Windrow</v>
      </c>
    </row>
    <row r="1794" spans="1:13" s="120" customFormat="1" x14ac:dyDescent="0.25">
      <c r="A1794" s="119"/>
      <c r="B1794" s="138" t="str">
        <f t="shared" si="89"/>
        <v>Windrow</v>
      </c>
      <c r="C1794" s="138" t="str">
        <f t="shared" si="90"/>
        <v>Base_With Amendment</v>
      </c>
      <c r="D1794" s="118" t="s">
        <v>135</v>
      </c>
      <c r="E1794" s="118" t="s">
        <v>180</v>
      </c>
      <c r="F1794" s="118" t="s">
        <v>46</v>
      </c>
      <c r="G1794" s="153"/>
      <c r="H1794" s="155">
        <v>2.5999999999999999E-3</v>
      </c>
      <c r="I1794" s="154" t="s">
        <v>271</v>
      </c>
      <c r="J1794" s="203">
        <v>3.2379999999999999E-2</v>
      </c>
      <c r="K1794" s="154" t="s">
        <v>15</v>
      </c>
      <c r="L1794" s="154" t="str">
        <f>IF(OpenLCAbasic!K1794="CTUh", "Fill in Manually",IF(OR(K1794="Unit", K1794=""), "", INDEX(LookUps!$E$5:$E$12, MATCH(OpenLCAbasic!K1794,LookUps!$D$5:$D$12,0))))</f>
        <v>Cumulative Energy Demand (CED) - MJ</v>
      </c>
      <c r="M1794" s="154" t="str">
        <f t="shared" si="91"/>
        <v>Low_Medium_Low_Upgraded_Cumulative Energy Demand (CED) - MJ_Biosolids composting; windrow composting; wastewater treatment unit; at updated plant - US_Base_With Amendment_Windrow</v>
      </c>
    </row>
    <row r="1795" spans="1:13" s="120" customFormat="1" x14ac:dyDescent="0.25">
      <c r="A1795" s="119"/>
      <c r="B1795" s="138" t="str">
        <f t="shared" si="89"/>
        <v>Windrow</v>
      </c>
      <c r="C1795" s="138" t="str">
        <f t="shared" si="90"/>
        <v>Base_With Amendment</v>
      </c>
      <c r="D1795" s="118" t="s">
        <v>135</v>
      </c>
      <c r="E1795" s="118" t="s">
        <v>180</v>
      </c>
      <c r="F1795" s="118" t="s">
        <v>46</v>
      </c>
      <c r="G1795" s="153"/>
      <c r="H1795" s="155">
        <v>-5.8299999999999998E-2</v>
      </c>
      <c r="I1795" s="154" t="s">
        <v>62</v>
      </c>
      <c r="J1795" s="203">
        <v>-0.72904999999999998</v>
      </c>
      <c r="K1795" s="154" t="s">
        <v>15</v>
      </c>
      <c r="L1795" s="154" t="str">
        <f>IF(OpenLCAbasic!K1795="CTUh", "Fill in Manually",IF(OR(K1795="Unit", K1795=""), "", INDEX(LookUps!$E$5:$E$12, MATCH(OpenLCAbasic!K1795,LookUps!$D$5:$D$12,0))))</f>
        <v>Cumulative Energy Demand (CED) - MJ</v>
      </c>
      <c r="M1795" s="154" t="str">
        <f t="shared" si="91"/>
        <v>Low_Medium_Low_Upgraded_Cumulative Energy Demand (CED) - MJ_Land application of compost; wastewater treatment unit; at updated plant - US_Base_With Amendment_Windrow</v>
      </c>
    </row>
    <row r="1796" spans="1:13" s="120" customFormat="1" x14ac:dyDescent="0.25">
      <c r="A1796" s="119"/>
      <c r="B1796" s="138" t="str">
        <f t="shared" si="89"/>
        <v>Windrow</v>
      </c>
      <c r="C1796" s="138" t="str">
        <f t="shared" si="90"/>
        <v>Base_With Amendment</v>
      </c>
      <c r="D1796" s="118" t="s">
        <v>135</v>
      </c>
      <c r="E1796" s="118" t="s">
        <v>180</v>
      </c>
      <c r="F1796" s="118" t="s">
        <v>46</v>
      </c>
      <c r="G1796" s="153" t="s">
        <v>51</v>
      </c>
      <c r="H1796" s="154"/>
      <c r="I1796" s="154" t="s">
        <v>47</v>
      </c>
      <c r="J1796" s="154" t="s">
        <v>52</v>
      </c>
      <c r="K1796" s="154" t="s">
        <v>27</v>
      </c>
      <c r="L1796" s="154" t="str">
        <f>IF(OpenLCAbasic!K1796="CTUh", "Fill in Manually",IF(OR(K1796="Unit", K1796=""), "", INDEX(LookUps!$E$5:$E$12, MATCH(OpenLCAbasic!K1796,LookUps!$D$5:$D$12,0))))</f>
        <v/>
      </c>
      <c r="M1796" s="154" t="str">
        <f t="shared" si="91"/>
        <v>Low_Medium_Low_Upgraded__Process_Base_With Amendment_Windrow</v>
      </c>
    </row>
    <row r="1797" spans="1:13" s="120" customFormat="1" x14ac:dyDescent="0.25">
      <c r="A1797" s="119"/>
      <c r="B1797" s="138" t="str">
        <f t="shared" si="89"/>
        <v>Windrow</v>
      </c>
      <c r="C1797" s="138" t="str">
        <f t="shared" si="90"/>
        <v>Base_With Amendment</v>
      </c>
      <c r="D1797" s="118" t="s">
        <v>135</v>
      </c>
      <c r="E1797" s="118" t="s">
        <v>180</v>
      </c>
      <c r="F1797" s="118" t="s">
        <v>46</v>
      </c>
      <c r="G1797" s="153"/>
      <c r="H1797" s="155">
        <v>0.70050000000000001</v>
      </c>
      <c r="I1797" s="154" t="s">
        <v>48</v>
      </c>
      <c r="J1797" s="203">
        <v>1.1610000000000001E-2</v>
      </c>
      <c r="K1797" s="154" t="s">
        <v>13</v>
      </c>
      <c r="L1797" s="154" t="str">
        <f>IF(OpenLCAbasic!K1797="CTUh", "Fill in Manually",IF(OR(K1797="Unit", K1797=""), "", INDEX(LookUps!$E$5:$E$12, MATCH(OpenLCAbasic!K1797,LookUps!$D$5:$D$12,0))))</f>
        <v>Eutrophication Potential (EP) - kg N eq</v>
      </c>
      <c r="M1797" s="154" t="str">
        <f t="shared" si="91"/>
        <v>Low_Medium_Low_Upgraded_Eutrophication Potential (EP) - kg N eq_Effluent release; wastewater treatment unit; at surface water; m3 wastewater - US_Base_With Amendment_Windrow</v>
      </c>
    </row>
    <row r="1798" spans="1:13" s="120" customFormat="1" x14ac:dyDescent="0.25">
      <c r="A1798" s="119"/>
      <c r="B1798" s="138" t="str">
        <f t="shared" ref="B1798:B1861" si="92">IF(F1798="Legacy","n.a.",IF(F1798="","","Windrow"))</f>
        <v>Windrow</v>
      </c>
      <c r="C1798" s="138" t="str">
        <f t="shared" si="90"/>
        <v>Base_With Amendment</v>
      </c>
      <c r="D1798" s="118" t="s">
        <v>135</v>
      </c>
      <c r="E1798" s="118" t="s">
        <v>180</v>
      </c>
      <c r="F1798" s="118" t="s">
        <v>46</v>
      </c>
      <c r="G1798" s="153"/>
      <c r="H1798" s="155">
        <v>0.1978</v>
      </c>
      <c r="I1798" s="154" t="s">
        <v>62</v>
      </c>
      <c r="J1798" s="204">
        <v>3.2799999999999999E-3</v>
      </c>
      <c r="K1798" s="154" t="s">
        <v>13</v>
      </c>
      <c r="L1798" s="154" t="str">
        <f>IF(OpenLCAbasic!K1798="CTUh", "Fill in Manually",IF(OR(K1798="Unit", K1798=""), "", INDEX(LookUps!$E$5:$E$12, MATCH(OpenLCAbasic!K1798,LookUps!$D$5:$D$12,0))))</f>
        <v>Eutrophication Potential (EP) - kg N eq</v>
      </c>
      <c r="M1798" s="154" t="str">
        <f t="shared" si="91"/>
        <v>Low_Medium_Low_Upgraded_Eutrophication Potential (EP) - kg N eq_Land application of compost; wastewater treatment unit; at updated plant - US_Base_With Amendment_Windrow</v>
      </c>
    </row>
    <row r="1799" spans="1:13" s="120" customFormat="1" x14ac:dyDescent="0.25">
      <c r="A1799" s="119"/>
      <c r="B1799" s="138" t="str">
        <f t="shared" si="92"/>
        <v>Windrow</v>
      </c>
      <c r="C1799" s="138" t="str">
        <f t="shared" ref="C1799:C1862" si="93">IF(E1799&lt;&gt;"", "Base_With Amendment","")</f>
        <v>Base_With Amendment</v>
      </c>
      <c r="D1799" s="118" t="s">
        <v>135</v>
      </c>
      <c r="E1799" s="118" t="s">
        <v>180</v>
      </c>
      <c r="F1799" s="118" t="s">
        <v>46</v>
      </c>
      <c r="G1799" s="153"/>
      <c r="H1799" s="155">
        <v>3.3000000000000002E-2</v>
      </c>
      <c r="I1799" s="154" t="s">
        <v>55</v>
      </c>
      <c r="J1799" s="204">
        <v>5.5000000000000003E-4</v>
      </c>
      <c r="K1799" s="154" t="s">
        <v>13</v>
      </c>
      <c r="L1799" s="154" t="str">
        <f>IF(OpenLCAbasic!K1799="CTUh", "Fill in Manually",IF(OR(K1799="Unit", K1799=""), "", INDEX(LookUps!$E$5:$E$12, MATCH(OpenLCAbasic!K1799,LookUps!$D$5:$D$12,0))))</f>
        <v>Eutrophication Potential (EP) - kg N eq</v>
      </c>
      <c r="M1799" s="154" t="str">
        <f t="shared" ref="M1799:M1862" si="94">CONCATENATE(E1799,"_",D1799,"_",F1799,"_",L1799, "_",I1799,"_", C1799,"_", B1799)</f>
        <v>Low_Medium_Low_Upgraded_Eutrophication Potential (EP) - kg N eq_Aeration Tanks; wastewater treatment unit; at updated plant - US_Base_With Amendment_Windrow</v>
      </c>
    </row>
    <row r="1800" spans="1:13" s="120" customFormat="1" x14ac:dyDescent="0.25">
      <c r="A1800" s="119"/>
      <c r="B1800" s="138" t="str">
        <f t="shared" si="92"/>
        <v>Windrow</v>
      </c>
      <c r="C1800" s="138" t="str">
        <f t="shared" si="93"/>
        <v>Base_With Amendment</v>
      </c>
      <c r="D1800" s="118" t="s">
        <v>135</v>
      </c>
      <c r="E1800" s="118" t="s">
        <v>180</v>
      </c>
      <c r="F1800" s="118" t="s">
        <v>46</v>
      </c>
      <c r="G1800" s="153"/>
      <c r="H1800" s="155">
        <v>1.5100000000000001E-2</v>
      </c>
      <c r="I1800" s="154" t="s">
        <v>147</v>
      </c>
      <c r="J1800" s="204">
        <v>2.5000000000000001E-4</v>
      </c>
      <c r="K1800" s="154" t="s">
        <v>13</v>
      </c>
      <c r="L1800" s="154" t="str">
        <f>IF(OpenLCAbasic!K1800="CTUh", "Fill in Manually",IF(OR(K1800="Unit", K1800=""), "", INDEX(LookUps!$E$5:$E$12, MATCH(OpenLCAbasic!K1800,LookUps!$D$5:$D$12,0))))</f>
        <v>Eutrophication Potential (EP) - kg N eq</v>
      </c>
      <c r="M1800" s="154" t="str">
        <f t="shared" si="94"/>
        <v>Low_Medium_Low_Upgraded_Eutrophication Potential (EP) - kg N eq_Influent Pump Station; wastewater treatment unit; at updated plant - US_Base_With Amendment_Windrow</v>
      </c>
    </row>
    <row r="1801" spans="1:13" s="120" customFormat="1" x14ac:dyDescent="0.25">
      <c r="A1801" s="119"/>
      <c r="B1801" s="138" t="str">
        <f t="shared" si="92"/>
        <v>Windrow</v>
      </c>
      <c r="C1801" s="138" t="str">
        <f t="shared" si="93"/>
        <v>Base_With Amendment</v>
      </c>
      <c r="D1801" s="118" t="s">
        <v>135</v>
      </c>
      <c r="E1801" s="118" t="s">
        <v>180</v>
      </c>
      <c r="F1801" s="118" t="s">
        <v>46</v>
      </c>
      <c r="G1801" s="153"/>
      <c r="H1801" s="155">
        <v>1.2E-2</v>
      </c>
      <c r="I1801" s="154" t="s">
        <v>54</v>
      </c>
      <c r="J1801" s="204">
        <v>2.0000000000000001E-4</v>
      </c>
      <c r="K1801" s="154" t="s">
        <v>13</v>
      </c>
      <c r="L1801" s="154" t="str">
        <f>IF(OpenLCAbasic!K1801="CTUh", "Fill in Manually",IF(OR(K1801="Unit", K1801=""), "", INDEX(LookUps!$E$5:$E$12, MATCH(OpenLCAbasic!K1801,LookUps!$D$5:$D$12,0))))</f>
        <v>Eutrophication Potential (EP) - kg N eq</v>
      </c>
      <c r="M1801" s="154" t="str">
        <f t="shared" si="94"/>
        <v>Low_Medium_Low_Upgraded_Eutrophication Potential (EP) - kg N eq_Clear Cove Primary Clarification; wastewater treatment unit; at updated plant - US_Base_With Amendment_Windrow</v>
      </c>
    </row>
    <row r="1802" spans="1:13" s="120" customFormat="1" x14ac:dyDescent="0.25">
      <c r="A1802" s="119"/>
      <c r="B1802" s="138" t="str">
        <f t="shared" si="92"/>
        <v>Windrow</v>
      </c>
      <c r="C1802" s="138" t="str">
        <f t="shared" si="93"/>
        <v>Base_With Amendment</v>
      </c>
      <c r="D1802" s="118" t="s">
        <v>135</v>
      </c>
      <c r="E1802" s="118" t="s">
        <v>180</v>
      </c>
      <c r="F1802" s="118" t="s">
        <v>46</v>
      </c>
      <c r="G1802" s="153"/>
      <c r="H1802" s="155">
        <v>1.15E-2</v>
      </c>
      <c r="I1802" s="154" t="s">
        <v>167</v>
      </c>
      <c r="J1802" s="204">
        <v>1.9000000000000001E-4</v>
      </c>
      <c r="K1802" s="154" t="s">
        <v>13</v>
      </c>
      <c r="L1802" s="154" t="str">
        <f>IF(OpenLCAbasic!K1802="CTUh", "Fill in Manually",IF(OR(K1802="Unit", K1802=""), "", INDEX(LookUps!$E$5:$E$12, MATCH(OpenLCAbasic!K1802,LookUps!$D$5:$D$12,0))))</f>
        <v>Eutrophication Potential (EP) - kg N eq</v>
      </c>
      <c r="M1802" s="154" t="str">
        <f t="shared" si="94"/>
        <v>Low_Medium_Low_Upgraded_Eutrophication Potential (EP) - kg N eq_Waste Receiving and Holding; wastewater treatment unit; at updated plant - US_Base_With Amendment_Windrow</v>
      </c>
    </row>
    <row r="1803" spans="1:13" s="120" customFormat="1" x14ac:dyDescent="0.25">
      <c r="A1803" s="119"/>
      <c r="B1803" s="138" t="str">
        <f t="shared" si="92"/>
        <v>Windrow</v>
      </c>
      <c r="C1803" s="138" t="str">
        <f t="shared" si="93"/>
        <v>Base_With Amendment</v>
      </c>
      <c r="D1803" s="118" t="s">
        <v>135</v>
      </c>
      <c r="E1803" s="118" t="s">
        <v>180</v>
      </c>
      <c r="F1803" s="118" t="s">
        <v>46</v>
      </c>
      <c r="G1803" s="153"/>
      <c r="H1803" s="155">
        <v>8.2000000000000007E-3</v>
      </c>
      <c r="I1803" s="154" t="s">
        <v>58</v>
      </c>
      <c r="J1803" s="204">
        <v>1.3999999999999999E-4</v>
      </c>
      <c r="K1803" s="154" t="s">
        <v>13</v>
      </c>
      <c r="L1803" s="154" t="str">
        <f>IF(OpenLCAbasic!K1803="CTUh", "Fill in Manually",IF(OR(K1803="Unit", K1803=""), "", INDEX(LookUps!$E$5:$E$12, MATCH(OpenLCAbasic!K1803,LookUps!$D$5:$D$12,0))))</f>
        <v>Eutrophication Potential (EP) - kg N eq</v>
      </c>
      <c r="M1803" s="154" t="str">
        <f t="shared" si="94"/>
        <v>Low_Medium_Low_Upgraded_Eutrophication Potential (EP) - kg N eq_Pre-Anoxic &amp; Swing tank; wastewater treatment unit; at updated plant - US_Base_With Amendment_Windrow</v>
      </c>
    </row>
    <row r="1804" spans="1:13" s="120" customFormat="1" x14ac:dyDescent="0.25">
      <c r="A1804" s="119"/>
      <c r="B1804" s="138" t="str">
        <f t="shared" si="92"/>
        <v>Windrow</v>
      </c>
      <c r="C1804" s="138" t="str">
        <f t="shared" si="93"/>
        <v>Base_With Amendment</v>
      </c>
      <c r="D1804" s="118" t="s">
        <v>135</v>
      </c>
      <c r="E1804" s="118" t="s">
        <v>180</v>
      </c>
      <c r="F1804" s="118" t="s">
        <v>46</v>
      </c>
      <c r="G1804" s="153"/>
      <c r="H1804" s="155">
        <v>6.4999999999999997E-3</v>
      </c>
      <c r="I1804" s="154" t="s">
        <v>53</v>
      </c>
      <c r="J1804" s="204">
        <v>1.1E-4</v>
      </c>
      <c r="K1804" s="154" t="s">
        <v>13</v>
      </c>
      <c r="L1804" s="154" t="str">
        <f>IF(OpenLCAbasic!K1804="CTUh", "Fill in Manually",IF(OR(K1804="Unit", K1804=""), "", INDEX(LookUps!$E$5:$E$12, MATCH(OpenLCAbasic!K1804,LookUps!$D$5:$D$12,0))))</f>
        <v>Eutrophication Potential (EP) - kg N eq</v>
      </c>
      <c r="M1804" s="154" t="str">
        <f t="shared" si="94"/>
        <v>Low_Medium_Low_Upgraded_Eutrophication Potential (EP) - kg N eq_Wet Well and Sump Station; wastewater treatment unit; at updated plant - US_Base_With Amendment_Windrow</v>
      </c>
    </row>
    <row r="1805" spans="1:13" s="120" customFormat="1" x14ac:dyDescent="0.25">
      <c r="A1805" s="119"/>
      <c r="B1805" s="138" t="str">
        <f t="shared" si="92"/>
        <v>Windrow</v>
      </c>
      <c r="C1805" s="138" t="str">
        <f t="shared" si="93"/>
        <v>Base_With Amendment</v>
      </c>
      <c r="D1805" s="118" t="s">
        <v>135</v>
      </c>
      <c r="E1805" s="118" t="s">
        <v>180</v>
      </c>
      <c r="F1805" s="118" t="s">
        <v>46</v>
      </c>
      <c r="G1805" s="153"/>
      <c r="H1805" s="155">
        <v>5.8999999999999999E-3</v>
      </c>
      <c r="I1805" s="154" t="s">
        <v>271</v>
      </c>
      <c r="J1805" s="204">
        <v>9.82732E-5</v>
      </c>
      <c r="K1805" s="154" t="s">
        <v>13</v>
      </c>
      <c r="L1805" s="154" t="str">
        <f>IF(OpenLCAbasic!K1805="CTUh", "Fill in Manually",IF(OR(K1805="Unit", K1805=""), "", INDEX(LookUps!$E$5:$E$12, MATCH(OpenLCAbasic!K1805,LookUps!$D$5:$D$12,0))))</f>
        <v>Eutrophication Potential (EP) - kg N eq</v>
      </c>
      <c r="M1805" s="154" t="str">
        <f t="shared" si="94"/>
        <v>Low_Medium_Low_Upgraded_Eutrophication Potential (EP) - kg N eq_Biosolids composting; windrow composting; wastewater treatment unit; at updated plant - US_Base_With Amendment_Windrow</v>
      </c>
    </row>
    <row r="1806" spans="1:13" s="120" customFormat="1" x14ac:dyDescent="0.25">
      <c r="A1806" s="119"/>
      <c r="B1806" s="138" t="str">
        <f t="shared" si="92"/>
        <v>Windrow</v>
      </c>
      <c r="C1806" s="138" t="str">
        <f t="shared" si="93"/>
        <v>Base_With Amendment</v>
      </c>
      <c r="D1806" s="118" t="s">
        <v>135</v>
      </c>
      <c r="E1806" s="118" t="s">
        <v>180</v>
      </c>
      <c r="F1806" s="118" t="s">
        <v>46</v>
      </c>
      <c r="G1806" s="153"/>
      <c r="H1806" s="155">
        <v>4.7999999999999996E-3</v>
      </c>
      <c r="I1806" s="154" t="s">
        <v>60</v>
      </c>
      <c r="J1806" s="204">
        <v>7.8941800000000004E-5</v>
      </c>
      <c r="K1806" s="154" t="s">
        <v>13</v>
      </c>
      <c r="L1806" s="154" t="str">
        <f>IF(OpenLCAbasic!K1806="CTUh", "Fill in Manually",IF(OR(K1806="Unit", K1806=""), "", INDEX(LookUps!$E$5:$E$12, MATCH(OpenLCAbasic!K1806,LookUps!$D$5:$D$12,0))))</f>
        <v>Eutrophication Potential (EP) - kg N eq</v>
      </c>
      <c r="M1806" s="154" t="str">
        <f t="shared" si="94"/>
        <v>Low_Medium_Low_Upgraded_Eutrophication Potential (EP) - kg N eq_Belt filter press; wastewater treatment unit; at updated plant - US_Base_With Amendment_Windrow</v>
      </c>
    </row>
    <row r="1807" spans="1:13" s="120" customFormat="1" x14ac:dyDescent="0.25">
      <c r="A1807" s="119"/>
      <c r="B1807" s="138" t="str">
        <f t="shared" si="92"/>
        <v>Windrow</v>
      </c>
      <c r="C1807" s="138" t="str">
        <f t="shared" si="93"/>
        <v>Base_With Amendment</v>
      </c>
      <c r="D1807" s="118" t="s">
        <v>135</v>
      </c>
      <c r="E1807" s="118" t="s">
        <v>180</v>
      </c>
      <c r="F1807" s="118" t="s">
        <v>46</v>
      </c>
      <c r="G1807" s="153"/>
      <c r="H1807" s="155">
        <v>3.7000000000000002E-3</v>
      </c>
      <c r="I1807" s="154" t="s">
        <v>57</v>
      </c>
      <c r="J1807" s="204">
        <v>6.0590300000000002E-5</v>
      </c>
      <c r="K1807" s="154" t="s">
        <v>13</v>
      </c>
      <c r="L1807" s="154" t="str">
        <f>IF(OpenLCAbasic!K1807="CTUh", "Fill in Manually",IF(OR(K1807="Unit", K1807=""), "", INDEX(LookUps!$E$5:$E$12, MATCH(OpenLCAbasic!K1807,LookUps!$D$5:$D$12,0))))</f>
        <v>Eutrophication Potential (EP) - kg N eq</v>
      </c>
      <c r="M1807" s="154" t="str">
        <f t="shared" si="94"/>
        <v>Low_Medium_Low_Upgraded_Eutrophication Potential (EP) - kg N eq_Gravity Belt Thickener; wastewater treatment unit; at updated plant - US_Base_With Amendment_Windrow</v>
      </c>
    </row>
    <row r="1808" spans="1:13" s="120" customFormat="1" x14ac:dyDescent="0.25">
      <c r="A1808" s="119"/>
      <c r="B1808" s="138" t="str">
        <f t="shared" si="92"/>
        <v>Windrow</v>
      </c>
      <c r="C1808" s="138" t="str">
        <f t="shared" si="93"/>
        <v>Base_With Amendment</v>
      </c>
      <c r="D1808" s="118" t="s">
        <v>135</v>
      </c>
      <c r="E1808" s="118" t="s">
        <v>180</v>
      </c>
      <c r="F1808" s="118" t="s">
        <v>46</v>
      </c>
      <c r="G1808" s="153"/>
      <c r="H1808" s="155">
        <v>2.3E-3</v>
      </c>
      <c r="I1808" s="154" t="s">
        <v>128</v>
      </c>
      <c r="J1808" s="204">
        <v>3.7559799999999999E-5</v>
      </c>
      <c r="K1808" s="154" t="s">
        <v>13</v>
      </c>
      <c r="L1808" s="154" t="str">
        <f>IF(OpenLCAbasic!K1808="CTUh", "Fill in Manually",IF(OR(K1808="Unit", K1808=""), "", INDEX(LookUps!$E$5:$E$12, MATCH(OpenLCAbasic!K1808,LookUps!$D$5:$D$12,0))))</f>
        <v>Eutrophication Potential (EP) - kg N eq</v>
      </c>
      <c r="M1808" s="154" t="str">
        <f t="shared" si="94"/>
        <v>Low_Medium_Low_Upgraded_Eutrophication Potential (EP) - kg N eq_Wastewater collection; operation and infrastructure; m3 wastewater_Base_With Amendment_Windrow</v>
      </c>
    </row>
    <row r="1809" spans="1:13" s="120" customFormat="1" x14ac:dyDescent="0.25">
      <c r="A1809" s="119"/>
      <c r="B1809" s="138" t="str">
        <f t="shared" si="92"/>
        <v>Windrow</v>
      </c>
      <c r="C1809" s="138" t="str">
        <f t="shared" si="93"/>
        <v>Base_With Amendment</v>
      </c>
      <c r="D1809" s="118" t="s">
        <v>135</v>
      </c>
      <c r="E1809" s="118" t="s">
        <v>180</v>
      </c>
      <c r="F1809" s="118" t="s">
        <v>46</v>
      </c>
      <c r="G1809" s="153"/>
      <c r="H1809" s="155">
        <v>2.2000000000000001E-3</v>
      </c>
      <c r="I1809" s="154" t="s">
        <v>148</v>
      </c>
      <c r="J1809" s="204">
        <v>3.6874600000000001E-5</v>
      </c>
      <c r="K1809" s="154" t="s">
        <v>13</v>
      </c>
      <c r="L1809" s="154" t="str">
        <f>IF(OpenLCAbasic!K1809="CTUh", "Fill in Manually",IF(OR(K1809="Unit", K1809=""), "", INDEX(LookUps!$E$5:$E$12, MATCH(OpenLCAbasic!K1809,LookUps!$D$5:$D$12,0))))</f>
        <v>Eutrophication Potential (EP) - kg N eq</v>
      </c>
      <c r="M1809" s="154" t="str">
        <f t="shared" si="94"/>
        <v>Low_Medium_Low_Upgraded_Eutrophication Potential (EP) - kg N eq_Control Building; at upgraded wastewater treatment plant - US_Base_With Amendment_Windrow</v>
      </c>
    </row>
    <row r="1810" spans="1:13" s="120" customFormat="1" x14ac:dyDescent="0.25">
      <c r="A1810" s="119"/>
      <c r="B1810" s="138" t="str">
        <f t="shared" si="92"/>
        <v>Windrow</v>
      </c>
      <c r="C1810" s="138" t="str">
        <f t="shared" si="93"/>
        <v>Base_With Amendment</v>
      </c>
      <c r="D1810" s="118" t="s">
        <v>135</v>
      </c>
      <c r="E1810" s="118" t="s">
        <v>180</v>
      </c>
      <c r="F1810" s="118" t="s">
        <v>46</v>
      </c>
      <c r="G1810" s="153"/>
      <c r="H1810" s="155">
        <v>1E-3</v>
      </c>
      <c r="I1810" s="154" t="s">
        <v>59</v>
      </c>
      <c r="J1810" s="204">
        <v>1.6215700000000001E-5</v>
      </c>
      <c r="K1810" s="154" t="s">
        <v>13</v>
      </c>
      <c r="L1810" s="154" t="str">
        <f>IF(OpenLCAbasic!K1810="CTUh", "Fill in Manually",IF(OR(K1810="Unit", K1810=""), "", INDEX(LookUps!$E$5:$E$12, MATCH(OpenLCAbasic!K1810,LookUps!$D$5:$D$12,0))))</f>
        <v>Eutrophication Potential (EP) - kg N eq</v>
      </c>
      <c r="M1810" s="154" t="str">
        <f t="shared" si="94"/>
        <v>Low_Medium_Low_Upgraded_Eutrophication Potential (EP) - kg N eq_Blend Tank; wastewater treatment unit; at updated plant - US_Base_With Amendment_Windrow</v>
      </c>
    </row>
    <row r="1811" spans="1:13" s="120" customFormat="1" x14ac:dyDescent="0.25">
      <c r="A1811" s="119"/>
      <c r="B1811" s="138" t="str">
        <f t="shared" si="92"/>
        <v>Windrow</v>
      </c>
      <c r="C1811" s="138" t="str">
        <f t="shared" si="93"/>
        <v>Base_With Amendment</v>
      </c>
      <c r="D1811" s="118" t="s">
        <v>135</v>
      </c>
      <c r="E1811" s="118" t="s">
        <v>180</v>
      </c>
      <c r="F1811" s="118" t="s">
        <v>46</v>
      </c>
      <c r="G1811" s="153"/>
      <c r="H1811" s="155">
        <v>5.0000000000000001E-4</v>
      </c>
      <c r="I1811" s="154" t="s">
        <v>168</v>
      </c>
      <c r="J1811" s="204">
        <v>7.7567199999999995E-6</v>
      </c>
      <c r="K1811" s="154" t="s">
        <v>13</v>
      </c>
      <c r="L1811" s="154" t="str">
        <f>IF(OpenLCAbasic!K1811="CTUh", "Fill in Manually",IF(OR(K1811="Unit", K1811=""), "", INDEX(LookUps!$E$5:$E$12, MATCH(OpenLCAbasic!K1811,LookUps!$D$5:$D$12,0))))</f>
        <v>Eutrophication Potential (EP) - kg N eq</v>
      </c>
      <c r="M1811" s="154" t="str">
        <f t="shared" si="94"/>
        <v>Low_Medium_Low_Upgraded_Eutrophication Potential (EP) - kg N eq_ClearCove SCP; wastewater treatment unit; at updated plant - US_Base_With Amendment_Windrow</v>
      </c>
    </row>
    <row r="1812" spans="1:13" s="120" customFormat="1" x14ac:dyDescent="0.25">
      <c r="A1812" s="119"/>
      <c r="B1812" s="138" t="str">
        <f t="shared" si="92"/>
        <v>Windrow</v>
      </c>
      <c r="C1812" s="138" t="str">
        <f t="shared" si="93"/>
        <v>Base_With Amendment</v>
      </c>
      <c r="D1812" s="118" t="s">
        <v>135</v>
      </c>
      <c r="E1812" s="118" t="s">
        <v>180</v>
      </c>
      <c r="F1812" s="118" t="s">
        <v>46</v>
      </c>
      <c r="G1812" s="153"/>
      <c r="H1812" s="155">
        <v>-4.7000000000000002E-3</v>
      </c>
      <c r="I1812" s="154" t="s">
        <v>149</v>
      </c>
      <c r="J1812" s="204">
        <v>-7.8280099999999996E-5</v>
      </c>
      <c r="K1812" s="154" t="s">
        <v>13</v>
      </c>
      <c r="L1812" s="154" t="str">
        <f>IF(OpenLCAbasic!K1812="CTUh", "Fill in Manually",IF(OR(K1812="Unit", K1812=""), "", INDEX(LookUps!$E$5:$E$12, MATCH(OpenLCAbasic!K1812,LookUps!$D$5:$D$12,0))))</f>
        <v>Eutrophication Potential (EP) - kg N eq</v>
      </c>
      <c r="M1812" s="154" t="str">
        <f t="shared" si="94"/>
        <v>Low_Medium_Low_Upgraded_Eutrophication Potential (EP) - kg N eq_Anaerobic Digestion; wastewater treatment unit; at updated plant - US_Base_With Amendment_Windrow</v>
      </c>
    </row>
    <row r="1813" spans="1:13" s="120" customFormat="1" x14ac:dyDescent="0.25">
      <c r="A1813" s="119"/>
      <c r="B1813" s="138" t="str">
        <f t="shared" si="92"/>
        <v>Windrow</v>
      </c>
      <c r="C1813" s="138" t="str">
        <f t="shared" si="93"/>
        <v>Base_With Amendment</v>
      </c>
      <c r="D1813" s="118" t="s">
        <v>135</v>
      </c>
      <c r="E1813" s="118" t="s">
        <v>180</v>
      </c>
      <c r="F1813" s="118" t="s">
        <v>46</v>
      </c>
      <c r="G1813" s="153" t="s">
        <v>51</v>
      </c>
      <c r="H1813" s="154"/>
      <c r="I1813" s="154" t="s">
        <v>47</v>
      </c>
      <c r="J1813" s="154" t="s">
        <v>52</v>
      </c>
      <c r="K1813" s="154" t="s">
        <v>27</v>
      </c>
      <c r="L1813" s="154" t="str">
        <f>IF(OpenLCAbasic!K1813="CTUh", "Fill in Manually",IF(OR(K1813="Unit", K1813=""), "", INDEX(LookUps!$E$5:$E$12, MATCH(OpenLCAbasic!K1813,LookUps!$D$5:$D$12,0))))</f>
        <v/>
      </c>
      <c r="M1813" s="154" t="str">
        <f t="shared" si="94"/>
        <v>Low_Medium_Low_Upgraded__Process_Base_With Amendment_Windrow</v>
      </c>
    </row>
    <row r="1814" spans="1:13" s="120" customFormat="1" x14ac:dyDescent="0.25">
      <c r="A1814" s="119"/>
      <c r="B1814" s="138" t="str">
        <f t="shared" si="92"/>
        <v>Windrow</v>
      </c>
      <c r="C1814" s="138" t="str">
        <f t="shared" si="93"/>
        <v>Base_With Amendment</v>
      </c>
      <c r="D1814" s="118" t="s">
        <v>135</v>
      </c>
      <c r="E1814" s="118" t="s">
        <v>180</v>
      </c>
      <c r="F1814" s="118" t="s">
        <v>46</v>
      </c>
      <c r="G1814" s="153"/>
      <c r="H1814" s="155">
        <v>0.40739999999999998</v>
      </c>
      <c r="I1814" s="154" t="s">
        <v>55</v>
      </c>
      <c r="J1814" s="203">
        <v>1.7219999999999999E-2</v>
      </c>
      <c r="K1814" s="154" t="s">
        <v>24</v>
      </c>
      <c r="L1814" s="154" t="str">
        <f>IF(OpenLCAbasic!K1814="CTUh", "Fill in Manually",IF(OR(K1814="Unit", K1814=""), "", INDEX(LookUps!$E$5:$E$12, MATCH(OpenLCAbasic!K1814,LookUps!$D$5:$D$12,0))))</f>
        <v>Acidification Potential (AP) - kg SO2 eq</v>
      </c>
      <c r="M1814" s="154" t="str">
        <f t="shared" si="94"/>
        <v>Low_Medium_Low_Upgraded_Acidification Potential (AP) - kg SO2 eq_Aeration Tanks; wastewater treatment unit; at updated plant - US_Base_With Amendment_Windrow</v>
      </c>
    </row>
    <row r="1815" spans="1:13" s="120" customFormat="1" x14ac:dyDescent="0.25">
      <c r="A1815" s="119"/>
      <c r="B1815" s="138" t="str">
        <f t="shared" si="92"/>
        <v>Windrow</v>
      </c>
      <c r="C1815" s="138" t="str">
        <f t="shared" si="93"/>
        <v>Base_With Amendment</v>
      </c>
      <c r="D1815" s="118" t="s">
        <v>135</v>
      </c>
      <c r="E1815" s="118" t="s">
        <v>180</v>
      </c>
      <c r="F1815" s="118" t="s">
        <v>46</v>
      </c>
      <c r="G1815" s="153"/>
      <c r="H1815" s="155">
        <v>0.1178</v>
      </c>
      <c r="I1815" s="154" t="s">
        <v>54</v>
      </c>
      <c r="J1815" s="204">
        <v>4.9800000000000001E-3</v>
      </c>
      <c r="K1815" s="154" t="s">
        <v>24</v>
      </c>
      <c r="L1815" s="154" t="str">
        <f>IF(OpenLCAbasic!K1815="CTUh", "Fill in Manually",IF(OR(K1815="Unit", K1815=""), "", INDEX(LookUps!$E$5:$E$12, MATCH(OpenLCAbasic!K1815,LookUps!$D$5:$D$12,0))))</f>
        <v>Acidification Potential (AP) - kg SO2 eq</v>
      </c>
      <c r="M1815" s="154" t="str">
        <f t="shared" si="94"/>
        <v>Low_Medium_Low_Upgraded_Acidification Potential (AP) - kg SO2 eq_Clear Cove Primary Clarification; wastewater treatment unit; at updated plant - US_Base_With Amendment_Windrow</v>
      </c>
    </row>
    <row r="1816" spans="1:13" s="120" customFormat="1" x14ac:dyDescent="0.25">
      <c r="A1816" s="119"/>
      <c r="B1816" s="138" t="str">
        <f t="shared" si="92"/>
        <v>Windrow</v>
      </c>
      <c r="C1816" s="138" t="str">
        <f t="shared" si="93"/>
        <v>Base_With Amendment</v>
      </c>
      <c r="D1816" s="118" t="s">
        <v>135</v>
      </c>
      <c r="E1816" s="118" t="s">
        <v>180</v>
      </c>
      <c r="F1816" s="118" t="s">
        <v>46</v>
      </c>
      <c r="G1816" s="153"/>
      <c r="H1816" s="155">
        <v>0.1085</v>
      </c>
      <c r="I1816" s="154" t="s">
        <v>62</v>
      </c>
      <c r="J1816" s="204">
        <v>4.5900000000000003E-3</v>
      </c>
      <c r="K1816" s="154" t="s">
        <v>24</v>
      </c>
      <c r="L1816" s="154" t="str">
        <f>IF(OpenLCAbasic!K1816="CTUh", "Fill in Manually",IF(OR(K1816="Unit", K1816=""), "", INDEX(LookUps!$E$5:$E$12, MATCH(OpenLCAbasic!K1816,LookUps!$D$5:$D$12,0))))</f>
        <v>Acidification Potential (AP) - kg SO2 eq</v>
      </c>
      <c r="M1816" s="154" t="str">
        <f t="shared" si="94"/>
        <v>Low_Medium_Low_Upgraded_Acidification Potential (AP) - kg SO2 eq_Land application of compost; wastewater treatment unit; at updated plant - US_Base_With Amendment_Windrow</v>
      </c>
    </row>
    <row r="1817" spans="1:13" s="120" customFormat="1" x14ac:dyDescent="0.25">
      <c r="A1817" s="119"/>
      <c r="B1817" s="138" t="str">
        <f t="shared" si="92"/>
        <v>Windrow</v>
      </c>
      <c r="C1817" s="138" t="str">
        <f t="shared" si="93"/>
        <v>Base_With Amendment</v>
      </c>
      <c r="D1817" s="118" t="s">
        <v>135</v>
      </c>
      <c r="E1817" s="118" t="s">
        <v>180</v>
      </c>
      <c r="F1817" s="118" t="s">
        <v>46</v>
      </c>
      <c r="G1817" s="153"/>
      <c r="H1817" s="155">
        <v>0.1028</v>
      </c>
      <c r="I1817" s="154" t="s">
        <v>58</v>
      </c>
      <c r="J1817" s="204">
        <v>4.3499999999999997E-3</v>
      </c>
      <c r="K1817" s="154" t="s">
        <v>24</v>
      </c>
      <c r="L1817" s="154" t="str">
        <f>IF(OpenLCAbasic!K1817="CTUh", "Fill in Manually",IF(OR(K1817="Unit", K1817=""), "", INDEX(LookUps!$E$5:$E$12, MATCH(OpenLCAbasic!K1817,LookUps!$D$5:$D$12,0))))</f>
        <v>Acidification Potential (AP) - kg SO2 eq</v>
      </c>
      <c r="M1817" s="154" t="str">
        <f t="shared" si="94"/>
        <v>Low_Medium_Low_Upgraded_Acidification Potential (AP) - kg SO2 eq_Pre-Anoxic &amp; Swing tank; wastewater treatment unit; at updated plant - US_Base_With Amendment_Windrow</v>
      </c>
    </row>
    <row r="1818" spans="1:13" s="120" customFormat="1" x14ac:dyDescent="0.25">
      <c r="A1818" s="119"/>
      <c r="B1818" s="138" t="str">
        <f t="shared" si="92"/>
        <v>Windrow</v>
      </c>
      <c r="C1818" s="138" t="str">
        <f t="shared" si="93"/>
        <v>Base_With Amendment</v>
      </c>
      <c r="D1818" s="118" t="s">
        <v>135</v>
      </c>
      <c r="E1818" s="118" t="s">
        <v>180</v>
      </c>
      <c r="F1818" s="118" t="s">
        <v>46</v>
      </c>
      <c r="G1818" s="153"/>
      <c r="H1818" s="155">
        <v>8.1600000000000006E-2</v>
      </c>
      <c r="I1818" s="154" t="s">
        <v>53</v>
      </c>
      <c r="J1818" s="204">
        <v>3.4499999999999999E-3</v>
      </c>
      <c r="K1818" s="154" t="s">
        <v>24</v>
      </c>
      <c r="L1818" s="154" t="str">
        <f>IF(OpenLCAbasic!K1818="CTUh", "Fill in Manually",IF(OR(K1818="Unit", K1818=""), "", INDEX(LookUps!$E$5:$E$12, MATCH(OpenLCAbasic!K1818,LookUps!$D$5:$D$12,0))))</f>
        <v>Acidification Potential (AP) - kg SO2 eq</v>
      </c>
      <c r="M1818" s="154" t="str">
        <f t="shared" si="94"/>
        <v>Low_Medium_Low_Upgraded_Acidification Potential (AP) - kg SO2 eq_Wet Well and Sump Station; wastewater treatment unit; at updated plant - US_Base_With Amendment_Windrow</v>
      </c>
    </row>
    <row r="1819" spans="1:13" s="120" customFormat="1" x14ac:dyDescent="0.25">
      <c r="A1819" s="119"/>
      <c r="B1819" s="138" t="str">
        <f t="shared" si="92"/>
        <v>Windrow</v>
      </c>
      <c r="C1819" s="138" t="str">
        <f t="shared" si="93"/>
        <v>Base_With Amendment</v>
      </c>
      <c r="D1819" s="118" t="s">
        <v>135</v>
      </c>
      <c r="E1819" s="118" t="s">
        <v>180</v>
      </c>
      <c r="F1819" s="118" t="s">
        <v>46</v>
      </c>
      <c r="G1819" s="153"/>
      <c r="H1819" s="155">
        <v>5.9900000000000002E-2</v>
      </c>
      <c r="I1819" s="154" t="s">
        <v>167</v>
      </c>
      <c r="J1819" s="204">
        <v>2.5300000000000001E-3</v>
      </c>
      <c r="K1819" s="154" t="s">
        <v>24</v>
      </c>
      <c r="L1819" s="154" t="str">
        <f>IF(OpenLCAbasic!K1819="CTUh", "Fill in Manually",IF(OR(K1819="Unit", K1819=""), "", INDEX(LookUps!$E$5:$E$12, MATCH(OpenLCAbasic!K1819,LookUps!$D$5:$D$12,0))))</f>
        <v>Acidification Potential (AP) - kg SO2 eq</v>
      </c>
      <c r="M1819" s="154" t="str">
        <f t="shared" si="94"/>
        <v>Low_Medium_Low_Upgraded_Acidification Potential (AP) - kg SO2 eq_Waste Receiving and Holding; wastewater treatment unit; at updated plant - US_Base_With Amendment_Windrow</v>
      </c>
    </row>
    <row r="1820" spans="1:13" s="120" customFormat="1" x14ac:dyDescent="0.25">
      <c r="A1820" s="119"/>
      <c r="B1820" s="138" t="str">
        <f t="shared" si="92"/>
        <v>Windrow</v>
      </c>
      <c r="C1820" s="138" t="str">
        <f t="shared" si="93"/>
        <v>Base_With Amendment</v>
      </c>
      <c r="D1820" s="118" t="s">
        <v>135</v>
      </c>
      <c r="E1820" s="118" t="s">
        <v>180</v>
      </c>
      <c r="F1820" s="118" t="s">
        <v>46</v>
      </c>
      <c r="G1820" s="153"/>
      <c r="H1820" s="155">
        <v>4.8899999999999999E-2</v>
      </c>
      <c r="I1820" s="154" t="s">
        <v>147</v>
      </c>
      <c r="J1820" s="204">
        <v>2.0699999999999998E-3</v>
      </c>
      <c r="K1820" s="154" t="s">
        <v>24</v>
      </c>
      <c r="L1820" s="154" t="str">
        <f>IF(OpenLCAbasic!K1820="CTUh", "Fill in Manually",IF(OR(K1820="Unit", K1820=""), "", INDEX(LookUps!$E$5:$E$12, MATCH(OpenLCAbasic!K1820,LookUps!$D$5:$D$12,0))))</f>
        <v>Acidification Potential (AP) - kg SO2 eq</v>
      </c>
      <c r="M1820" s="154" t="str">
        <f t="shared" si="94"/>
        <v>Low_Medium_Low_Upgraded_Acidification Potential (AP) - kg SO2 eq_Influent Pump Station; wastewater treatment unit; at updated plant - US_Base_With Amendment_Windrow</v>
      </c>
    </row>
    <row r="1821" spans="1:13" s="120" customFormat="1" x14ac:dyDescent="0.25">
      <c r="A1821" s="119"/>
      <c r="B1821" s="138" t="str">
        <f t="shared" si="92"/>
        <v>Windrow</v>
      </c>
      <c r="C1821" s="138" t="str">
        <f t="shared" si="93"/>
        <v>Base_With Amendment</v>
      </c>
      <c r="D1821" s="118" t="s">
        <v>135</v>
      </c>
      <c r="E1821" s="118" t="s">
        <v>180</v>
      </c>
      <c r="F1821" s="118" t="s">
        <v>46</v>
      </c>
      <c r="G1821" s="153"/>
      <c r="H1821" s="155">
        <v>3.6999999999999998E-2</v>
      </c>
      <c r="I1821" s="154" t="s">
        <v>271</v>
      </c>
      <c r="J1821" s="204">
        <v>1.56E-3</v>
      </c>
      <c r="K1821" s="154" t="s">
        <v>24</v>
      </c>
      <c r="L1821" s="154" t="str">
        <f>IF(OpenLCAbasic!K1821="CTUh", "Fill in Manually",IF(OR(K1821="Unit", K1821=""), "", INDEX(LookUps!$E$5:$E$12, MATCH(OpenLCAbasic!K1821,LookUps!$D$5:$D$12,0))))</f>
        <v>Acidification Potential (AP) - kg SO2 eq</v>
      </c>
      <c r="M1821" s="154" t="str">
        <f t="shared" si="94"/>
        <v>Low_Medium_Low_Upgraded_Acidification Potential (AP) - kg SO2 eq_Biosolids composting; windrow composting; wastewater treatment unit; at updated plant - US_Base_With Amendment_Windrow</v>
      </c>
    </row>
    <row r="1822" spans="1:13" s="120" customFormat="1" x14ac:dyDescent="0.25">
      <c r="A1822" s="119"/>
      <c r="B1822" s="138" t="str">
        <f t="shared" si="92"/>
        <v>Windrow</v>
      </c>
      <c r="C1822" s="138" t="str">
        <f t="shared" si="93"/>
        <v>Base_With Amendment</v>
      </c>
      <c r="D1822" s="118" t="s">
        <v>135</v>
      </c>
      <c r="E1822" s="118" t="s">
        <v>180</v>
      </c>
      <c r="F1822" s="118" t="s">
        <v>46</v>
      </c>
      <c r="G1822" s="153"/>
      <c r="H1822" s="155">
        <v>2.92E-2</v>
      </c>
      <c r="I1822" s="154" t="s">
        <v>128</v>
      </c>
      <c r="J1822" s="204">
        <v>1.23E-3</v>
      </c>
      <c r="K1822" s="154" t="s">
        <v>24</v>
      </c>
      <c r="L1822" s="154" t="str">
        <f>IF(OpenLCAbasic!K1822="CTUh", "Fill in Manually",IF(OR(K1822="Unit", K1822=""), "", INDEX(LookUps!$E$5:$E$12, MATCH(OpenLCAbasic!K1822,LookUps!$D$5:$D$12,0))))</f>
        <v>Acidification Potential (AP) - kg SO2 eq</v>
      </c>
      <c r="M1822" s="154" t="str">
        <f t="shared" si="94"/>
        <v>Low_Medium_Low_Upgraded_Acidification Potential (AP) - kg SO2 eq_Wastewater collection; operation and infrastructure; m3 wastewater_Base_With Amendment_Windrow</v>
      </c>
    </row>
    <row r="1823" spans="1:13" s="120" customFormat="1" x14ac:dyDescent="0.25">
      <c r="A1823" s="119"/>
      <c r="B1823" s="138" t="str">
        <f t="shared" si="92"/>
        <v>Windrow</v>
      </c>
      <c r="C1823" s="138" t="str">
        <f t="shared" si="93"/>
        <v>Base_With Amendment</v>
      </c>
      <c r="D1823" s="118" t="s">
        <v>135</v>
      </c>
      <c r="E1823" s="118" t="s">
        <v>180</v>
      </c>
      <c r="F1823" s="118" t="s">
        <v>46</v>
      </c>
      <c r="G1823" s="153"/>
      <c r="H1823" s="155">
        <v>2.8500000000000001E-2</v>
      </c>
      <c r="I1823" s="154" t="s">
        <v>60</v>
      </c>
      <c r="J1823" s="204">
        <v>1.1999999999999999E-3</v>
      </c>
      <c r="K1823" s="154" t="s">
        <v>24</v>
      </c>
      <c r="L1823" s="154" t="str">
        <f>IF(OpenLCAbasic!K1823="CTUh", "Fill in Manually",IF(OR(K1823="Unit", K1823=""), "", INDEX(LookUps!$E$5:$E$12, MATCH(OpenLCAbasic!K1823,LookUps!$D$5:$D$12,0))))</f>
        <v>Acidification Potential (AP) - kg SO2 eq</v>
      </c>
      <c r="M1823" s="154" t="str">
        <f t="shared" si="94"/>
        <v>Low_Medium_Low_Upgraded_Acidification Potential (AP) - kg SO2 eq_Belt filter press; wastewater treatment unit; at updated plant - US_Base_With Amendment_Windrow</v>
      </c>
    </row>
    <row r="1824" spans="1:13" s="120" customFormat="1" x14ac:dyDescent="0.25">
      <c r="A1824" s="119"/>
      <c r="B1824" s="138" t="str">
        <f t="shared" si="92"/>
        <v>Windrow</v>
      </c>
      <c r="C1824" s="138" t="str">
        <f t="shared" si="93"/>
        <v>Base_With Amendment</v>
      </c>
      <c r="D1824" s="118" t="s">
        <v>135</v>
      </c>
      <c r="E1824" s="118" t="s">
        <v>180</v>
      </c>
      <c r="F1824" s="118" t="s">
        <v>46</v>
      </c>
      <c r="G1824" s="153"/>
      <c r="H1824" s="155">
        <v>1.67E-2</v>
      </c>
      <c r="I1824" s="154" t="s">
        <v>57</v>
      </c>
      <c r="J1824" s="204">
        <v>6.9999999999999999E-4</v>
      </c>
      <c r="K1824" s="154" t="s">
        <v>24</v>
      </c>
      <c r="L1824" s="154" t="str">
        <f>IF(OpenLCAbasic!K1824="CTUh", "Fill in Manually",IF(OR(K1824="Unit", K1824=""), "", INDEX(LookUps!$E$5:$E$12, MATCH(OpenLCAbasic!K1824,LookUps!$D$5:$D$12,0))))</f>
        <v>Acidification Potential (AP) - kg SO2 eq</v>
      </c>
      <c r="M1824" s="154" t="str">
        <f t="shared" si="94"/>
        <v>Low_Medium_Low_Upgraded_Acidification Potential (AP) - kg SO2 eq_Gravity Belt Thickener; wastewater treatment unit; at updated plant - US_Base_With Amendment_Windrow</v>
      </c>
    </row>
    <row r="1825" spans="1:13" s="120" customFormat="1" x14ac:dyDescent="0.25">
      <c r="A1825" s="119"/>
      <c r="B1825" s="138" t="str">
        <f t="shared" si="92"/>
        <v>Windrow</v>
      </c>
      <c r="C1825" s="138" t="str">
        <f t="shared" si="93"/>
        <v>Base_With Amendment</v>
      </c>
      <c r="D1825" s="118" t="s">
        <v>135</v>
      </c>
      <c r="E1825" s="118" t="s">
        <v>180</v>
      </c>
      <c r="F1825" s="118" t="s">
        <v>46</v>
      </c>
      <c r="G1825" s="153"/>
      <c r="H1825" s="155">
        <v>1.2200000000000001E-2</v>
      </c>
      <c r="I1825" s="154" t="s">
        <v>59</v>
      </c>
      <c r="J1825" s="204">
        <v>5.1999999999999995E-4</v>
      </c>
      <c r="K1825" s="154" t="s">
        <v>24</v>
      </c>
      <c r="L1825" s="154" t="str">
        <f>IF(OpenLCAbasic!K1825="CTUh", "Fill in Manually",IF(OR(K1825="Unit", K1825=""), "", INDEX(LookUps!$E$5:$E$12, MATCH(OpenLCAbasic!K1825,LookUps!$D$5:$D$12,0))))</f>
        <v>Acidification Potential (AP) - kg SO2 eq</v>
      </c>
      <c r="M1825" s="154" t="str">
        <f t="shared" si="94"/>
        <v>Low_Medium_Low_Upgraded_Acidification Potential (AP) - kg SO2 eq_Blend Tank; wastewater treatment unit; at updated plant - US_Base_With Amendment_Windrow</v>
      </c>
    </row>
    <row r="1826" spans="1:13" s="120" customFormat="1" x14ac:dyDescent="0.25">
      <c r="A1826" s="119"/>
      <c r="B1826" s="138" t="str">
        <f t="shared" si="92"/>
        <v>Windrow</v>
      </c>
      <c r="C1826" s="138" t="str">
        <f t="shared" si="93"/>
        <v>Base_With Amendment</v>
      </c>
      <c r="D1826" s="118" t="s">
        <v>135</v>
      </c>
      <c r="E1826" s="118" t="s">
        <v>180</v>
      </c>
      <c r="F1826" s="118" t="s">
        <v>46</v>
      </c>
      <c r="G1826" s="153"/>
      <c r="H1826" s="155">
        <v>8.2000000000000007E-3</v>
      </c>
      <c r="I1826" s="154" t="s">
        <v>48</v>
      </c>
      <c r="J1826" s="204">
        <v>3.5E-4</v>
      </c>
      <c r="K1826" s="154" t="s">
        <v>24</v>
      </c>
      <c r="L1826" s="154" t="str">
        <f>IF(OpenLCAbasic!K1826="CTUh", "Fill in Manually",IF(OR(K1826="Unit", K1826=""), "", INDEX(LookUps!$E$5:$E$12, MATCH(OpenLCAbasic!K1826,LookUps!$D$5:$D$12,0))))</f>
        <v>Acidification Potential (AP) - kg SO2 eq</v>
      </c>
      <c r="M1826" s="154" t="str">
        <f t="shared" si="94"/>
        <v>Low_Medium_Low_Upgraded_Acidification Potential (AP) - kg SO2 eq_Effluent release; wastewater treatment unit; at surface water; m3 wastewater - US_Base_With Amendment_Windrow</v>
      </c>
    </row>
    <row r="1827" spans="1:13" s="120" customFormat="1" x14ac:dyDescent="0.25">
      <c r="A1827" s="119"/>
      <c r="B1827" s="138" t="str">
        <f t="shared" si="92"/>
        <v>Windrow</v>
      </c>
      <c r="C1827" s="138" t="str">
        <f t="shared" si="93"/>
        <v>Base_With Amendment</v>
      </c>
      <c r="D1827" s="118" t="s">
        <v>135</v>
      </c>
      <c r="E1827" s="118" t="s">
        <v>180</v>
      </c>
      <c r="F1827" s="118" t="s">
        <v>46</v>
      </c>
      <c r="G1827" s="153"/>
      <c r="H1827" s="155">
        <v>6.0000000000000001E-3</v>
      </c>
      <c r="I1827" s="154" t="s">
        <v>168</v>
      </c>
      <c r="J1827" s="204">
        <v>2.5999999999999998E-4</v>
      </c>
      <c r="K1827" s="154" t="s">
        <v>24</v>
      </c>
      <c r="L1827" s="154" t="str">
        <f>IF(OpenLCAbasic!K1827="CTUh", "Fill in Manually",IF(OR(K1827="Unit", K1827=""), "", INDEX(LookUps!$E$5:$E$12, MATCH(OpenLCAbasic!K1827,LookUps!$D$5:$D$12,0))))</f>
        <v>Acidification Potential (AP) - kg SO2 eq</v>
      </c>
      <c r="M1827" s="154" t="str">
        <f t="shared" si="94"/>
        <v>Low_Medium_Low_Upgraded_Acidification Potential (AP) - kg SO2 eq_ClearCove SCP; wastewater treatment unit; at updated plant - US_Base_With Amendment_Windrow</v>
      </c>
    </row>
    <row r="1828" spans="1:13" s="120" customFormat="1" x14ac:dyDescent="0.25">
      <c r="A1828" s="119"/>
      <c r="B1828" s="138" t="str">
        <f t="shared" si="92"/>
        <v>Windrow</v>
      </c>
      <c r="C1828" s="138" t="str">
        <f t="shared" si="93"/>
        <v>Base_With Amendment</v>
      </c>
      <c r="D1828" s="118" t="s">
        <v>135</v>
      </c>
      <c r="E1828" s="118" t="s">
        <v>180</v>
      </c>
      <c r="F1828" s="118" t="s">
        <v>46</v>
      </c>
      <c r="G1828" s="153"/>
      <c r="H1828" s="155">
        <v>1E-3</v>
      </c>
      <c r="I1828" s="154" t="s">
        <v>148</v>
      </c>
      <c r="J1828" s="204">
        <v>4.0354700000000002E-5</v>
      </c>
      <c r="K1828" s="154" t="s">
        <v>24</v>
      </c>
      <c r="L1828" s="154" t="str">
        <f>IF(OpenLCAbasic!K1828="CTUh", "Fill in Manually",IF(OR(K1828="Unit", K1828=""), "", INDEX(LookUps!$E$5:$E$12, MATCH(OpenLCAbasic!K1828,LookUps!$D$5:$D$12,0))))</f>
        <v>Acidification Potential (AP) - kg SO2 eq</v>
      </c>
      <c r="M1828" s="154" t="str">
        <f t="shared" si="94"/>
        <v>Low_Medium_Low_Upgraded_Acidification Potential (AP) - kg SO2 eq_Control Building; at upgraded wastewater treatment plant - US_Base_With Amendment_Windrow</v>
      </c>
    </row>
    <row r="1829" spans="1:13" s="120" customFormat="1" x14ac:dyDescent="0.25">
      <c r="A1829" s="119"/>
      <c r="B1829" s="138" t="str">
        <f t="shared" si="92"/>
        <v>Windrow</v>
      </c>
      <c r="C1829" s="138" t="str">
        <f t="shared" si="93"/>
        <v>Base_With Amendment</v>
      </c>
      <c r="D1829" s="118" t="s">
        <v>135</v>
      </c>
      <c r="E1829" s="118" t="s">
        <v>180</v>
      </c>
      <c r="F1829" s="118" t="s">
        <v>46</v>
      </c>
      <c r="G1829" s="153"/>
      <c r="H1829" s="155">
        <v>-6.5799999999999997E-2</v>
      </c>
      <c r="I1829" s="154" t="s">
        <v>149</v>
      </c>
      <c r="J1829" s="204">
        <v>-2.7799999999999999E-3</v>
      </c>
      <c r="K1829" s="154" t="s">
        <v>24</v>
      </c>
      <c r="L1829" s="154" t="str">
        <f>IF(OpenLCAbasic!K1829="CTUh", "Fill in Manually",IF(OR(K1829="Unit", K1829=""), "", INDEX(LookUps!$E$5:$E$12, MATCH(OpenLCAbasic!K1829,LookUps!$D$5:$D$12,0))))</f>
        <v>Acidification Potential (AP) - kg SO2 eq</v>
      </c>
      <c r="M1829" s="154" t="str">
        <f t="shared" si="94"/>
        <v>Low_Medium_Low_Upgraded_Acidification Potential (AP) - kg SO2 eq_Anaerobic Digestion; wastewater treatment unit; at updated plant - US_Base_With Amendment_Windrow</v>
      </c>
    </row>
    <row r="1830" spans="1:13" s="120" customFormat="1" x14ac:dyDescent="0.25">
      <c r="A1830" s="119"/>
      <c r="B1830" s="138" t="str">
        <f t="shared" si="92"/>
        <v>Windrow</v>
      </c>
      <c r="C1830" s="138" t="str">
        <f t="shared" si="93"/>
        <v>Base_With Amendment</v>
      </c>
      <c r="D1830" s="118" t="s">
        <v>135</v>
      </c>
      <c r="E1830" s="118" t="s">
        <v>180</v>
      </c>
      <c r="F1830" s="118" t="s">
        <v>46</v>
      </c>
      <c r="G1830" s="153" t="s">
        <v>51</v>
      </c>
      <c r="H1830" s="154"/>
      <c r="I1830" s="154" t="s">
        <v>47</v>
      </c>
      <c r="J1830" s="154" t="s">
        <v>52</v>
      </c>
      <c r="K1830" s="154" t="s">
        <v>27</v>
      </c>
      <c r="L1830" s="154" t="str">
        <f>IF(OpenLCAbasic!K1830="CTUh", "Fill in Manually",IF(OR(K1830="Unit", K1830=""), "", INDEX(LookUps!$E$5:$E$12, MATCH(OpenLCAbasic!K1830,LookUps!$D$5:$D$12,0))))</f>
        <v/>
      </c>
      <c r="M1830" s="154" t="str">
        <f t="shared" si="94"/>
        <v>Low_Medium_Low_Upgraded__Process_Base_With Amendment_Windrow</v>
      </c>
    </row>
    <row r="1831" spans="1:13" s="120" customFormat="1" x14ac:dyDescent="0.25">
      <c r="A1831" s="119"/>
      <c r="B1831" s="138" t="str">
        <f t="shared" si="92"/>
        <v>Windrow</v>
      </c>
      <c r="C1831" s="138" t="str">
        <f t="shared" si="93"/>
        <v>Base_With Amendment</v>
      </c>
      <c r="D1831" s="118" t="s">
        <v>135</v>
      </c>
      <c r="E1831" s="118" t="s">
        <v>180</v>
      </c>
      <c r="F1831" s="118" t="s">
        <v>46</v>
      </c>
      <c r="G1831" s="153"/>
      <c r="H1831" s="155">
        <v>0.3831</v>
      </c>
      <c r="I1831" s="154" t="s">
        <v>167</v>
      </c>
      <c r="J1831" s="203">
        <v>9.7259999999999999E-2</v>
      </c>
      <c r="K1831" s="154" t="s">
        <v>14</v>
      </c>
      <c r="L1831" s="154" t="str">
        <f>IF(OpenLCAbasic!K1831="CTUh", "Fill in Manually",IF(OR(K1831="Unit", K1831=""), "", INDEX(LookUps!$E$5:$E$12, MATCH(OpenLCAbasic!K1831,LookUps!$D$5:$D$12,0))))</f>
        <v>Fossil Depletion Potential (FDP) - kg oil eq</v>
      </c>
      <c r="M1831" s="154" t="str">
        <f t="shared" si="94"/>
        <v>Low_Medium_Low_Upgraded_Fossil Depletion Potential (FDP) - kg oil eq_Waste Receiving and Holding; wastewater treatment unit; at updated plant - US_Base_With Amendment_Windrow</v>
      </c>
    </row>
    <row r="1832" spans="1:13" s="120" customFormat="1" x14ac:dyDescent="0.25">
      <c r="A1832" s="119"/>
      <c r="B1832" s="138" t="str">
        <f t="shared" si="92"/>
        <v>Windrow</v>
      </c>
      <c r="C1832" s="138" t="str">
        <f t="shared" si="93"/>
        <v>Base_With Amendment</v>
      </c>
      <c r="D1832" s="118" t="s">
        <v>135</v>
      </c>
      <c r="E1832" s="118" t="s">
        <v>180</v>
      </c>
      <c r="F1832" s="118" t="s">
        <v>46</v>
      </c>
      <c r="G1832" s="153"/>
      <c r="H1832" s="155">
        <v>0.2505</v>
      </c>
      <c r="I1832" s="154" t="s">
        <v>55</v>
      </c>
      <c r="J1832" s="203">
        <v>6.3589999999999994E-2</v>
      </c>
      <c r="K1832" s="154" t="s">
        <v>14</v>
      </c>
      <c r="L1832" s="154" t="str">
        <f>IF(OpenLCAbasic!K1832="CTUh", "Fill in Manually",IF(OR(K1832="Unit", K1832=""), "", INDEX(LookUps!$E$5:$E$12, MATCH(OpenLCAbasic!K1832,LookUps!$D$5:$D$12,0))))</f>
        <v>Fossil Depletion Potential (FDP) - kg oil eq</v>
      </c>
      <c r="M1832" s="154" t="str">
        <f t="shared" si="94"/>
        <v>Low_Medium_Low_Upgraded_Fossil Depletion Potential (FDP) - kg oil eq_Aeration Tanks; wastewater treatment unit; at updated plant - US_Base_With Amendment_Windrow</v>
      </c>
    </row>
    <row r="1833" spans="1:13" s="120" customFormat="1" x14ac:dyDescent="0.25">
      <c r="A1833" s="119"/>
      <c r="B1833" s="138" t="str">
        <f t="shared" si="92"/>
        <v>Windrow</v>
      </c>
      <c r="C1833" s="138" t="str">
        <f t="shared" si="93"/>
        <v>Base_With Amendment</v>
      </c>
      <c r="D1833" s="118" t="s">
        <v>135</v>
      </c>
      <c r="E1833" s="118" t="s">
        <v>180</v>
      </c>
      <c r="F1833" s="118" t="s">
        <v>46</v>
      </c>
      <c r="G1833" s="153"/>
      <c r="H1833" s="155">
        <v>8.2900000000000001E-2</v>
      </c>
      <c r="I1833" s="154" t="s">
        <v>54</v>
      </c>
      <c r="J1833" s="203">
        <v>2.1049999999999999E-2</v>
      </c>
      <c r="K1833" s="154" t="s">
        <v>14</v>
      </c>
      <c r="L1833" s="154" t="str">
        <f>IF(OpenLCAbasic!K1833="CTUh", "Fill in Manually",IF(OR(K1833="Unit", K1833=""), "", INDEX(LookUps!$E$5:$E$12, MATCH(OpenLCAbasic!K1833,LookUps!$D$5:$D$12,0))))</f>
        <v>Fossil Depletion Potential (FDP) - kg oil eq</v>
      </c>
      <c r="M1833" s="154" t="str">
        <f t="shared" si="94"/>
        <v>Low_Medium_Low_Upgraded_Fossil Depletion Potential (FDP) - kg oil eq_Clear Cove Primary Clarification; wastewater treatment unit; at updated plant - US_Base_With Amendment_Windrow</v>
      </c>
    </row>
    <row r="1834" spans="1:13" s="120" customFormat="1" x14ac:dyDescent="0.25">
      <c r="A1834" s="119"/>
      <c r="B1834" s="138" t="str">
        <f t="shared" si="92"/>
        <v>Windrow</v>
      </c>
      <c r="C1834" s="138" t="str">
        <f t="shared" si="93"/>
        <v>Base_With Amendment</v>
      </c>
      <c r="D1834" s="118" t="s">
        <v>135</v>
      </c>
      <c r="E1834" s="118" t="s">
        <v>180</v>
      </c>
      <c r="F1834" s="118" t="s">
        <v>46</v>
      </c>
      <c r="G1834" s="153"/>
      <c r="H1834" s="155">
        <v>6.2899999999999998E-2</v>
      </c>
      <c r="I1834" s="154" t="s">
        <v>58</v>
      </c>
      <c r="J1834" s="203">
        <v>1.5980000000000001E-2</v>
      </c>
      <c r="K1834" s="154" t="s">
        <v>14</v>
      </c>
      <c r="L1834" s="154" t="str">
        <f>IF(OpenLCAbasic!K1834="CTUh", "Fill in Manually",IF(OR(K1834="Unit", K1834=""), "", INDEX(LookUps!$E$5:$E$12, MATCH(OpenLCAbasic!K1834,LookUps!$D$5:$D$12,0))))</f>
        <v>Fossil Depletion Potential (FDP) - kg oil eq</v>
      </c>
      <c r="M1834" s="154" t="str">
        <f t="shared" si="94"/>
        <v>Low_Medium_Low_Upgraded_Fossil Depletion Potential (FDP) - kg oil eq_Pre-Anoxic &amp; Swing tank; wastewater treatment unit; at updated plant - US_Base_With Amendment_Windrow</v>
      </c>
    </row>
    <row r="1835" spans="1:13" s="120" customFormat="1" x14ac:dyDescent="0.25">
      <c r="A1835" s="119"/>
      <c r="B1835" s="138" t="str">
        <f t="shared" si="92"/>
        <v>Windrow</v>
      </c>
      <c r="C1835" s="138" t="str">
        <f t="shared" si="93"/>
        <v>Base_With Amendment</v>
      </c>
      <c r="D1835" s="118" t="s">
        <v>135</v>
      </c>
      <c r="E1835" s="118" t="s">
        <v>180</v>
      </c>
      <c r="F1835" s="118" t="s">
        <v>46</v>
      </c>
      <c r="G1835" s="153"/>
      <c r="H1835" s="155">
        <v>5.9400000000000001E-2</v>
      </c>
      <c r="I1835" s="154" t="s">
        <v>147</v>
      </c>
      <c r="J1835" s="203">
        <v>1.5089999999999999E-2</v>
      </c>
      <c r="K1835" s="154" t="s">
        <v>14</v>
      </c>
      <c r="L1835" s="154" t="str">
        <f>IF(OpenLCAbasic!K1835="CTUh", "Fill in Manually",IF(OR(K1835="Unit", K1835=""), "", INDEX(LookUps!$E$5:$E$12, MATCH(OpenLCAbasic!K1835,LookUps!$D$5:$D$12,0))))</f>
        <v>Fossil Depletion Potential (FDP) - kg oil eq</v>
      </c>
      <c r="M1835" s="154" t="str">
        <f t="shared" si="94"/>
        <v>Low_Medium_Low_Upgraded_Fossil Depletion Potential (FDP) - kg oil eq_Influent Pump Station; wastewater treatment unit; at updated plant - US_Base_With Amendment_Windrow</v>
      </c>
    </row>
    <row r="1836" spans="1:13" s="120" customFormat="1" x14ac:dyDescent="0.25">
      <c r="A1836" s="119"/>
      <c r="B1836" s="138" t="str">
        <f t="shared" si="92"/>
        <v>Windrow</v>
      </c>
      <c r="C1836" s="138" t="str">
        <f t="shared" si="93"/>
        <v>Base_With Amendment</v>
      </c>
      <c r="D1836" s="118" t="s">
        <v>135</v>
      </c>
      <c r="E1836" s="118" t="s">
        <v>180</v>
      </c>
      <c r="F1836" s="118" t="s">
        <v>46</v>
      </c>
      <c r="G1836" s="153"/>
      <c r="H1836" s="155">
        <v>4.9200000000000001E-2</v>
      </c>
      <c r="I1836" s="154" t="s">
        <v>53</v>
      </c>
      <c r="J1836" s="203">
        <v>1.2489999999999999E-2</v>
      </c>
      <c r="K1836" s="154" t="s">
        <v>14</v>
      </c>
      <c r="L1836" s="154" t="str">
        <f>IF(OpenLCAbasic!K1836="CTUh", "Fill in Manually",IF(OR(K1836="Unit", K1836=""), "", INDEX(LookUps!$E$5:$E$12, MATCH(OpenLCAbasic!K1836,LookUps!$D$5:$D$12,0))))</f>
        <v>Fossil Depletion Potential (FDP) - kg oil eq</v>
      </c>
      <c r="M1836" s="154" t="str">
        <f t="shared" si="94"/>
        <v>Low_Medium_Low_Upgraded_Fossil Depletion Potential (FDP) - kg oil eq_Wet Well and Sump Station; wastewater treatment unit; at updated plant - US_Base_With Amendment_Windrow</v>
      </c>
    </row>
    <row r="1837" spans="1:13" s="120" customFormat="1" x14ac:dyDescent="0.25">
      <c r="A1837" s="119"/>
      <c r="B1837" s="138" t="str">
        <f t="shared" si="92"/>
        <v>Windrow</v>
      </c>
      <c r="C1837" s="138" t="str">
        <f t="shared" si="93"/>
        <v>Base_With Amendment</v>
      </c>
      <c r="D1837" s="118" t="s">
        <v>135</v>
      </c>
      <c r="E1837" s="118" t="s">
        <v>180</v>
      </c>
      <c r="F1837" s="118" t="s">
        <v>46</v>
      </c>
      <c r="G1837" s="153"/>
      <c r="H1837" s="155">
        <v>3.7999999999999999E-2</v>
      </c>
      <c r="I1837" s="154" t="s">
        <v>149</v>
      </c>
      <c r="J1837" s="204">
        <v>9.6600000000000002E-3</v>
      </c>
      <c r="K1837" s="154" t="s">
        <v>14</v>
      </c>
      <c r="L1837" s="154" t="str">
        <f>IF(OpenLCAbasic!K1837="CTUh", "Fill in Manually",IF(OR(K1837="Unit", K1837=""), "", INDEX(LookUps!$E$5:$E$12, MATCH(OpenLCAbasic!K1837,LookUps!$D$5:$D$12,0))))</f>
        <v>Fossil Depletion Potential (FDP) - kg oil eq</v>
      </c>
      <c r="M1837" s="154" t="str">
        <f t="shared" si="94"/>
        <v>Low_Medium_Low_Upgraded_Fossil Depletion Potential (FDP) - kg oil eq_Anaerobic Digestion; wastewater treatment unit; at updated plant - US_Base_With Amendment_Windrow</v>
      </c>
    </row>
    <row r="1838" spans="1:13" s="120" customFormat="1" x14ac:dyDescent="0.25">
      <c r="A1838" s="119"/>
      <c r="B1838" s="138" t="str">
        <f t="shared" si="92"/>
        <v>Windrow</v>
      </c>
      <c r="C1838" s="138" t="str">
        <f t="shared" si="93"/>
        <v>Base_With Amendment</v>
      </c>
      <c r="D1838" s="118" t="s">
        <v>135</v>
      </c>
      <c r="E1838" s="118" t="s">
        <v>180</v>
      </c>
      <c r="F1838" s="118" t="s">
        <v>46</v>
      </c>
      <c r="G1838" s="153"/>
      <c r="H1838" s="155">
        <v>3.5700000000000003E-2</v>
      </c>
      <c r="I1838" s="154" t="s">
        <v>60</v>
      </c>
      <c r="J1838" s="204">
        <v>9.0600000000000003E-3</v>
      </c>
      <c r="K1838" s="154" t="s">
        <v>14</v>
      </c>
      <c r="L1838" s="154" t="str">
        <f>IF(OpenLCAbasic!K1838="CTUh", "Fill in Manually",IF(OR(K1838="Unit", K1838=""), "", INDEX(LookUps!$E$5:$E$12, MATCH(OpenLCAbasic!K1838,LookUps!$D$5:$D$12,0))))</f>
        <v>Fossil Depletion Potential (FDP) - kg oil eq</v>
      </c>
      <c r="M1838" s="154" t="str">
        <f t="shared" si="94"/>
        <v>Low_Medium_Low_Upgraded_Fossil Depletion Potential (FDP) - kg oil eq_Belt filter press; wastewater treatment unit; at updated plant - US_Base_With Amendment_Windrow</v>
      </c>
    </row>
    <row r="1839" spans="1:13" s="120" customFormat="1" x14ac:dyDescent="0.25">
      <c r="A1839" s="119"/>
      <c r="B1839" s="138" t="str">
        <f t="shared" si="92"/>
        <v>Windrow</v>
      </c>
      <c r="C1839" s="138" t="str">
        <f t="shared" si="93"/>
        <v>Base_With Amendment</v>
      </c>
      <c r="D1839" s="118" t="s">
        <v>135</v>
      </c>
      <c r="E1839" s="118" t="s">
        <v>180</v>
      </c>
      <c r="F1839" s="118" t="s">
        <v>46</v>
      </c>
      <c r="G1839" s="153"/>
      <c r="H1839" s="155">
        <v>2.7199999999999998E-2</v>
      </c>
      <c r="I1839" s="154" t="s">
        <v>57</v>
      </c>
      <c r="J1839" s="204">
        <v>6.9199999999999999E-3</v>
      </c>
      <c r="K1839" s="154" t="s">
        <v>14</v>
      </c>
      <c r="L1839" s="154" t="str">
        <f>IF(OpenLCAbasic!K1839="CTUh", "Fill in Manually",IF(OR(K1839="Unit", K1839=""), "", INDEX(LookUps!$E$5:$E$12, MATCH(OpenLCAbasic!K1839,LookUps!$D$5:$D$12,0))))</f>
        <v>Fossil Depletion Potential (FDP) - kg oil eq</v>
      </c>
      <c r="M1839" s="154" t="str">
        <f t="shared" si="94"/>
        <v>Low_Medium_Low_Upgraded_Fossil Depletion Potential (FDP) - kg oil eq_Gravity Belt Thickener; wastewater treatment unit; at updated plant - US_Base_With Amendment_Windrow</v>
      </c>
    </row>
    <row r="1840" spans="1:13" s="120" customFormat="1" x14ac:dyDescent="0.25">
      <c r="A1840" s="119"/>
      <c r="B1840" s="138" t="str">
        <f t="shared" si="92"/>
        <v>Windrow</v>
      </c>
      <c r="C1840" s="138" t="str">
        <f t="shared" si="93"/>
        <v>Base_With Amendment</v>
      </c>
      <c r="D1840" s="118" t="s">
        <v>135</v>
      </c>
      <c r="E1840" s="118" t="s">
        <v>180</v>
      </c>
      <c r="F1840" s="118" t="s">
        <v>46</v>
      </c>
      <c r="G1840" s="153"/>
      <c r="H1840" s="155">
        <v>1.77E-2</v>
      </c>
      <c r="I1840" s="154" t="s">
        <v>128</v>
      </c>
      <c r="J1840" s="204">
        <v>4.4999999999999997E-3</v>
      </c>
      <c r="K1840" s="154" t="s">
        <v>14</v>
      </c>
      <c r="L1840" s="154" t="str">
        <f>IF(OpenLCAbasic!K1840="CTUh", "Fill in Manually",IF(OR(K1840="Unit", K1840=""), "", INDEX(LookUps!$E$5:$E$12, MATCH(OpenLCAbasic!K1840,LookUps!$D$5:$D$12,0))))</f>
        <v>Fossil Depletion Potential (FDP) - kg oil eq</v>
      </c>
      <c r="M1840" s="154" t="str">
        <f t="shared" si="94"/>
        <v>Low_Medium_Low_Upgraded_Fossil Depletion Potential (FDP) - kg oil eq_Wastewater collection; operation and infrastructure; m3 wastewater_Base_With Amendment_Windrow</v>
      </c>
    </row>
    <row r="1841" spans="1:13" s="120" customFormat="1" x14ac:dyDescent="0.25">
      <c r="A1841" s="119"/>
      <c r="B1841" s="138" t="str">
        <f t="shared" si="92"/>
        <v>Windrow</v>
      </c>
      <c r="C1841" s="138" t="str">
        <f t="shared" si="93"/>
        <v>Base_With Amendment</v>
      </c>
      <c r="D1841" s="118" t="s">
        <v>135</v>
      </c>
      <c r="E1841" s="118" t="s">
        <v>180</v>
      </c>
      <c r="F1841" s="118" t="s">
        <v>46</v>
      </c>
      <c r="G1841" s="153"/>
      <c r="H1841" s="155">
        <v>1.0999999999999999E-2</v>
      </c>
      <c r="I1841" s="154" t="s">
        <v>148</v>
      </c>
      <c r="J1841" s="204">
        <v>2.8E-3</v>
      </c>
      <c r="K1841" s="154" t="s">
        <v>14</v>
      </c>
      <c r="L1841" s="154" t="str">
        <f>IF(OpenLCAbasic!K1841="CTUh", "Fill in Manually",IF(OR(K1841="Unit", K1841=""), "", INDEX(LookUps!$E$5:$E$12, MATCH(OpenLCAbasic!K1841,LookUps!$D$5:$D$12,0))))</f>
        <v>Fossil Depletion Potential (FDP) - kg oil eq</v>
      </c>
      <c r="M1841" s="154" t="str">
        <f t="shared" si="94"/>
        <v>Low_Medium_Low_Upgraded_Fossil Depletion Potential (FDP) - kg oil eq_Control Building; at upgraded wastewater treatment plant - US_Base_With Amendment_Windrow</v>
      </c>
    </row>
    <row r="1842" spans="1:13" s="120" customFormat="1" x14ac:dyDescent="0.25">
      <c r="A1842" s="119"/>
      <c r="B1842" s="138" t="str">
        <f t="shared" si="92"/>
        <v>Windrow</v>
      </c>
      <c r="C1842" s="138" t="str">
        <f t="shared" si="93"/>
        <v>Base_With Amendment</v>
      </c>
      <c r="D1842" s="118" t="s">
        <v>135</v>
      </c>
      <c r="E1842" s="118" t="s">
        <v>180</v>
      </c>
      <c r="F1842" s="118" t="s">
        <v>46</v>
      </c>
      <c r="G1842" s="153"/>
      <c r="H1842" s="155">
        <v>9.2999999999999992E-3</v>
      </c>
      <c r="I1842" s="154" t="s">
        <v>48</v>
      </c>
      <c r="J1842" s="204">
        <v>2.3600000000000001E-3</v>
      </c>
      <c r="K1842" s="154" t="s">
        <v>14</v>
      </c>
      <c r="L1842" s="154" t="str">
        <f>IF(OpenLCAbasic!K1842="CTUh", "Fill in Manually",IF(OR(K1842="Unit", K1842=""), "", INDEX(LookUps!$E$5:$E$12, MATCH(OpenLCAbasic!K1842,LookUps!$D$5:$D$12,0))))</f>
        <v>Fossil Depletion Potential (FDP) - kg oil eq</v>
      </c>
      <c r="M1842" s="154" t="str">
        <f t="shared" si="94"/>
        <v>Low_Medium_Low_Upgraded_Fossil Depletion Potential (FDP) - kg oil eq_Effluent release; wastewater treatment unit; at surface water; m3 wastewater - US_Base_With Amendment_Windrow</v>
      </c>
    </row>
    <row r="1843" spans="1:13" s="120" customFormat="1" x14ac:dyDescent="0.25">
      <c r="A1843" s="119"/>
      <c r="B1843" s="138" t="str">
        <f t="shared" si="92"/>
        <v>Windrow</v>
      </c>
      <c r="C1843" s="138" t="str">
        <f t="shared" si="93"/>
        <v>Base_With Amendment</v>
      </c>
      <c r="D1843" s="118" t="s">
        <v>135</v>
      </c>
      <c r="E1843" s="118" t="s">
        <v>180</v>
      </c>
      <c r="F1843" s="118" t="s">
        <v>46</v>
      </c>
      <c r="G1843" s="153"/>
      <c r="H1843" s="155">
        <v>7.6E-3</v>
      </c>
      <c r="I1843" s="154" t="s">
        <v>59</v>
      </c>
      <c r="J1843" s="204">
        <v>1.92E-3</v>
      </c>
      <c r="K1843" s="154" t="s">
        <v>14</v>
      </c>
      <c r="L1843" s="154" t="str">
        <f>IF(OpenLCAbasic!K1843="CTUh", "Fill in Manually",IF(OR(K1843="Unit", K1843=""), "", INDEX(LookUps!$E$5:$E$12, MATCH(OpenLCAbasic!K1843,LookUps!$D$5:$D$12,0))))</f>
        <v>Fossil Depletion Potential (FDP) - kg oil eq</v>
      </c>
      <c r="M1843" s="154" t="str">
        <f t="shared" si="94"/>
        <v>Low_Medium_Low_Upgraded_Fossil Depletion Potential (FDP) - kg oil eq_Blend Tank; wastewater treatment unit; at updated plant - US_Base_With Amendment_Windrow</v>
      </c>
    </row>
    <row r="1844" spans="1:13" s="120" customFormat="1" x14ac:dyDescent="0.25">
      <c r="A1844" s="119"/>
      <c r="B1844" s="138" t="str">
        <f t="shared" si="92"/>
        <v>Windrow</v>
      </c>
      <c r="C1844" s="138" t="str">
        <f t="shared" si="93"/>
        <v>Base_With Amendment</v>
      </c>
      <c r="D1844" s="118" t="s">
        <v>135</v>
      </c>
      <c r="E1844" s="118" t="s">
        <v>180</v>
      </c>
      <c r="F1844" s="118" t="s">
        <v>46</v>
      </c>
      <c r="G1844" s="153"/>
      <c r="H1844" s="155">
        <v>3.5999999999999999E-3</v>
      </c>
      <c r="I1844" s="154" t="s">
        <v>168</v>
      </c>
      <c r="J1844" s="204">
        <v>9.1E-4</v>
      </c>
      <c r="K1844" s="154" t="s">
        <v>14</v>
      </c>
      <c r="L1844" s="154" t="str">
        <f>IF(OpenLCAbasic!K1844="CTUh", "Fill in Manually",IF(OR(K1844="Unit", K1844=""), "", INDEX(LookUps!$E$5:$E$12, MATCH(OpenLCAbasic!K1844,LookUps!$D$5:$D$12,0))))</f>
        <v>Fossil Depletion Potential (FDP) - kg oil eq</v>
      </c>
      <c r="M1844" s="154" t="str">
        <f t="shared" si="94"/>
        <v>Low_Medium_Low_Upgraded_Fossil Depletion Potential (FDP) - kg oil eq_ClearCove SCP; wastewater treatment unit; at updated plant - US_Base_With Amendment_Windrow</v>
      </c>
    </row>
    <row r="1845" spans="1:13" s="120" customFormat="1" x14ac:dyDescent="0.25">
      <c r="A1845" s="119"/>
      <c r="B1845" s="138" t="str">
        <f t="shared" si="92"/>
        <v>Windrow</v>
      </c>
      <c r="C1845" s="138" t="str">
        <f t="shared" si="93"/>
        <v>Base_With Amendment</v>
      </c>
      <c r="D1845" s="118" t="s">
        <v>135</v>
      </c>
      <c r="E1845" s="118" t="s">
        <v>180</v>
      </c>
      <c r="F1845" s="118" t="s">
        <v>46</v>
      </c>
      <c r="G1845" s="153"/>
      <c r="H1845" s="155">
        <v>2.7000000000000001E-3</v>
      </c>
      <c r="I1845" s="154" t="s">
        <v>271</v>
      </c>
      <c r="J1845" s="203">
        <v>6.8999999999999997E-4</v>
      </c>
      <c r="K1845" s="154" t="s">
        <v>14</v>
      </c>
      <c r="L1845" s="154" t="str">
        <f>IF(OpenLCAbasic!K1845="CTUh", "Fill in Manually",IF(OR(K1845="Unit", K1845=""), "", INDEX(LookUps!$E$5:$E$12, MATCH(OpenLCAbasic!K1845,LookUps!$D$5:$D$12,0))))</f>
        <v>Fossil Depletion Potential (FDP) - kg oil eq</v>
      </c>
      <c r="M1845" s="154" t="str">
        <f t="shared" si="94"/>
        <v>Low_Medium_Low_Upgraded_Fossil Depletion Potential (FDP) - kg oil eq_Biosolids composting; windrow composting; wastewater treatment unit; at updated plant - US_Base_With Amendment_Windrow</v>
      </c>
    </row>
    <row r="1846" spans="1:13" s="120" customFormat="1" x14ac:dyDescent="0.25">
      <c r="A1846" s="119"/>
      <c r="B1846" s="138" t="str">
        <f t="shared" si="92"/>
        <v>Windrow</v>
      </c>
      <c r="C1846" s="138" t="str">
        <f t="shared" si="93"/>
        <v>Base_With Amendment</v>
      </c>
      <c r="D1846" s="118" t="s">
        <v>135</v>
      </c>
      <c r="E1846" s="118" t="s">
        <v>180</v>
      </c>
      <c r="F1846" s="118" t="s">
        <v>46</v>
      </c>
      <c r="G1846" s="153"/>
      <c r="H1846" s="155">
        <v>-4.1000000000000002E-2</v>
      </c>
      <c r="I1846" s="154" t="s">
        <v>62</v>
      </c>
      <c r="J1846" s="203">
        <v>-1.042E-2</v>
      </c>
      <c r="K1846" s="154" t="s">
        <v>14</v>
      </c>
      <c r="L1846" s="154" t="str">
        <f>IF(OpenLCAbasic!K1846="CTUh", "Fill in Manually",IF(OR(K1846="Unit", K1846=""), "", INDEX(LookUps!$E$5:$E$12, MATCH(OpenLCAbasic!K1846,LookUps!$D$5:$D$12,0))))</f>
        <v>Fossil Depletion Potential (FDP) - kg oil eq</v>
      </c>
      <c r="M1846" s="154" t="str">
        <f t="shared" si="94"/>
        <v>Low_Medium_Low_Upgraded_Fossil Depletion Potential (FDP) - kg oil eq_Land application of compost; wastewater treatment unit; at updated plant - US_Base_With Amendment_Windrow</v>
      </c>
    </row>
    <row r="1847" spans="1:13" s="120" customFormat="1" x14ac:dyDescent="0.25">
      <c r="A1847" s="119"/>
      <c r="B1847" s="138" t="str">
        <f t="shared" si="92"/>
        <v>Windrow</v>
      </c>
      <c r="C1847" s="138" t="str">
        <f t="shared" si="93"/>
        <v>Base_With Amendment</v>
      </c>
      <c r="D1847" s="118" t="s">
        <v>135</v>
      </c>
      <c r="E1847" s="118" t="s">
        <v>180</v>
      </c>
      <c r="F1847" s="118" t="s">
        <v>46</v>
      </c>
      <c r="G1847" s="153" t="s">
        <v>51</v>
      </c>
      <c r="H1847" s="154"/>
      <c r="I1847" s="154" t="s">
        <v>47</v>
      </c>
      <c r="J1847" s="154" t="s">
        <v>52</v>
      </c>
      <c r="K1847" s="154" t="s">
        <v>27</v>
      </c>
      <c r="L1847" s="154" t="str">
        <f>IF(OpenLCAbasic!K1847="CTUh", "Fill in Manually",IF(OR(K1847="Unit", K1847=""), "", INDEX(LookUps!$E$5:$E$12, MATCH(OpenLCAbasic!K1847,LookUps!$D$5:$D$12,0))))</f>
        <v/>
      </c>
      <c r="M1847" s="154" t="str">
        <f t="shared" si="94"/>
        <v>Low_Medium_Low_Upgraded__Process_Base_With Amendment_Windrow</v>
      </c>
    </row>
    <row r="1848" spans="1:13" s="120" customFormat="1" x14ac:dyDescent="0.25">
      <c r="A1848" s="119"/>
      <c r="B1848" s="138" t="str">
        <f t="shared" si="92"/>
        <v>Windrow</v>
      </c>
      <c r="C1848" s="138" t="str">
        <f t="shared" si="93"/>
        <v>Base_With Amendment</v>
      </c>
      <c r="D1848" s="118" t="s">
        <v>135</v>
      </c>
      <c r="E1848" s="118" t="s">
        <v>180</v>
      </c>
      <c r="F1848" s="118" t="s">
        <v>46</v>
      </c>
      <c r="G1848" s="153"/>
      <c r="H1848" s="155">
        <v>0.4672</v>
      </c>
      <c r="I1848" s="154" t="s">
        <v>55</v>
      </c>
      <c r="J1848" s="204">
        <v>2.33E-3</v>
      </c>
      <c r="K1848" s="154" t="s">
        <v>145</v>
      </c>
      <c r="L1848" s="154" t="str">
        <f>IF(OpenLCAbasic!K1848="CTUh", "Fill in Manually",IF(OR(K1848="Unit", K1848=""), "", INDEX(LookUps!$E$5:$E$12, MATCH(OpenLCAbasic!K1848,LookUps!$D$5:$D$12,0))))</f>
        <v>Particulate Matter Formation Potential (PMFP) - kg PM2.5 eq</v>
      </c>
      <c r="M1848" s="154" t="str">
        <f t="shared" si="94"/>
        <v>Low_Medium_Low_Upgraded_Particulate Matter Formation Potential (PMFP) - kg PM2.5 eq_Aeration Tanks; wastewater treatment unit; at updated plant - US_Base_With Amendment_Windrow</v>
      </c>
    </row>
    <row r="1849" spans="1:13" s="120" customFormat="1" x14ac:dyDescent="0.25">
      <c r="A1849" s="119"/>
      <c r="B1849" s="138" t="str">
        <f t="shared" si="92"/>
        <v>Windrow</v>
      </c>
      <c r="C1849" s="138" t="str">
        <f t="shared" si="93"/>
        <v>Base_With Amendment</v>
      </c>
      <c r="D1849" s="118" t="s">
        <v>135</v>
      </c>
      <c r="E1849" s="118" t="s">
        <v>180</v>
      </c>
      <c r="F1849" s="118" t="s">
        <v>46</v>
      </c>
      <c r="G1849" s="153"/>
      <c r="H1849" s="155">
        <v>0.13600000000000001</v>
      </c>
      <c r="I1849" s="154" t="s">
        <v>54</v>
      </c>
      <c r="J1849" s="204">
        <v>6.8000000000000005E-4</v>
      </c>
      <c r="K1849" s="154" t="s">
        <v>145</v>
      </c>
      <c r="L1849" s="154" t="str">
        <f>IF(OpenLCAbasic!K1849="CTUh", "Fill in Manually",IF(OR(K1849="Unit", K1849=""), "", INDEX(LookUps!$E$5:$E$12, MATCH(OpenLCAbasic!K1849,LookUps!$D$5:$D$12,0))))</f>
        <v>Particulate Matter Formation Potential (PMFP) - kg PM2.5 eq</v>
      </c>
      <c r="M1849" s="154" t="str">
        <f t="shared" si="94"/>
        <v>Low_Medium_Low_Upgraded_Particulate Matter Formation Potential (PMFP) - kg PM2.5 eq_Clear Cove Primary Clarification; wastewater treatment unit; at updated plant - US_Base_With Amendment_Windrow</v>
      </c>
    </row>
    <row r="1850" spans="1:13" s="120" customFormat="1" x14ac:dyDescent="0.25">
      <c r="A1850" s="119"/>
      <c r="B1850" s="138" t="str">
        <f t="shared" si="92"/>
        <v>Windrow</v>
      </c>
      <c r="C1850" s="138" t="str">
        <f t="shared" si="93"/>
        <v>Base_With Amendment</v>
      </c>
      <c r="D1850" s="118" t="s">
        <v>135</v>
      </c>
      <c r="E1850" s="118" t="s">
        <v>180</v>
      </c>
      <c r="F1850" s="118" t="s">
        <v>46</v>
      </c>
      <c r="G1850" s="153"/>
      <c r="H1850" s="155">
        <v>0.1179</v>
      </c>
      <c r="I1850" s="154" t="s">
        <v>58</v>
      </c>
      <c r="J1850" s="204">
        <v>5.9000000000000003E-4</v>
      </c>
      <c r="K1850" s="154" t="s">
        <v>145</v>
      </c>
      <c r="L1850" s="154" t="str">
        <f>IF(OpenLCAbasic!K1850="CTUh", "Fill in Manually",IF(OR(K1850="Unit", K1850=""), "", INDEX(LookUps!$E$5:$E$12, MATCH(OpenLCAbasic!K1850,LookUps!$D$5:$D$12,0))))</f>
        <v>Particulate Matter Formation Potential (PMFP) - kg PM2.5 eq</v>
      </c>
      <c r="M1850" s="154" t="str">
        <f t="shared" si="94"/>
        <v>Low_Medium_Low_Upgraded_Particulate Matter Formation Potential (PMFP) - kg PM2.5 eq_Pre-Anoxic &amp; Swing tank; wastewater treatment unit; at updated plant - US_Base_With Amendment_Windrow</v>
      </c>
    </row>
    <row r="1851" spans="1:13" s="120" customFormat="1" x14ac:dyDescent="0.25">
      <c r="A1851" s="119"/>
      <c r="B1851" s="138" t="str">
        <f t="shared" si="92"/>
        <v>Windrow</v>
      </c>
      <c r="C1851" s="138" t="str">
        <f t="shared" si="93"/>
        <v>Base_With Amendment</v>
      </c>
      <c r="D1851" s="118" t="s">
        <v>135</v>
      </c>
      <c r="E1851" s="118" t="s">
        <v>180</v>
      </c>
      <c r="F1851" s="118" t="s">
        <v>46</v>
      </c>
      <c r="G1851" s="153"/>
      <c r="H1851" s="155">
        <v>9.3399999999999997E-2</v>
      </c>
      <c r="I1851" s="154" t="s">
        <v>53</v>
      </c>
      <c r="J1851" s="204">
        <v>4.6999999999999999E-4</v>
      </c>
      <c r="K1851" s="154" t="s">
        <v>145</v>
      </c>
      <c r="L1851" s="154" t="str">
        <f>IF(OpenLCAbasic!K1851="CTUh", "Fill in Manually",IF(OR(K1851="Unit", K1851=""), "", INDEX(LookUps!$E$5:$E$12, MATCH(OpenLCAbasic!K1851,LookUps!$D$5:$D$12,0))))</f>
        <v>Particulate Matter Formation Potential (PMFP) - kg PM2.5 eq</v>
      </c>
      <c r="M1851" s="154" t="str">
        <f t="shared" si="94"/>
        <v>Low_Medium_Low_Upgraded_Particulate Matter Formation Potential (PMFP) - kg PM2.5 eq_Wet Well and Sump Station; wastewater treatment unit; at updated plant - US_Base_With Amendment_Windrow</v>
      </c>
    </row>
    <row r="1852" spans="1:13" s="120" customFormat="1" x14ac:dyDescent="0.25">
      <c r="A1852" s="119"/>
      <c r="B1852" s="138" t="str">
        <f t="shared" si="92"/>
        <v>Windrow</v>
      </c>
      <c r="C1852" s="138" t="str">
        <f t="shared" si="93"/>
        <v>Base_With Amendment</v>
      </c>
      <c r="D1852" s="118" t="s">
        <v>135</v>
      </c>
      <c r="E1852" s="118" t="s">
        <v>180</v>
      </c>
      <c r="F1852" s="118" t="s">
        <v>46</v>
      </c>
      <c r="G1852" s="153"/>
      <c r="H1852" s="155">
        <v>6.3E-2</v>
      </c>
      <c r="I1852" s="154" t="s">
        <v>167</v>
      </c>
      <c r="J1852" s="204">
        <v>3.1E-4</v>
      </c>
      <c r="K1852" s="154" t="s">
        <v>145</v>
      </c>
      <c r="L1852" s="154" t="str">
        <f>IF(OpenLCAbasic!K1852="CTUh", "Fill in Manually",IF(OR(K1852="Unit", K1852=""), "", INDEX(LookUps!$E$5:$E$12, MATCH(OpenLCAbasic!K1852,LookUps!$D$5:$D$12,0))))</f>
        <v>Particulate Matter Formation Potential (PMFP) - kg PM2.5 eq</v>
      </c>
      <c r="M1852" s="154" t="str">
        <f t="shared" si="94"/>
        <v>Low_Medium_Low_Upgraded_Particulate Matter Formation Potential (PMFP) - kg PM2.5 eq_Waste Receiving and Holding; wastewater treatment unit; at updated plant - US_Base_With Amendment_Windrow</v>
      </c>
    </row>
    <row r="1853" spans="1:13" s="120" customFormat="1" x14ac:dyDescent="0.25">
      <c r="A1853" s="119"/>
      <c r="B1853" s="138" t="str">
        <f t="shared" si="92"/>
        <v>Windrow</v>
      </c>
      <c r="C1853" s="138" t="str">
        <f t="shared" si="93"/>
        <v>Base_With Amendment</v>
      </c>
      <c r="D1853" s="118" t="s">
        <v>135</v>
      </c>
      <c r="E1853" s="118" t="s">
        <v>180</v>
      </c>
      <c r="F1853" s="118" t="s">
        <v>46</v>
      </c>
      <c r="G1853" s="153"/>
      <c r="H1853" s="155">
        <v>5.3400000000000003E-2</v>
      </c>
      <c r="I1853" s="154" t="s">
        <v>147</v>
      </c>
      <c r="J1853" s="204">
        <v>2.7E-4</v>
      </c>
      <c r="K1853" s="154" t="s">
        <v>145</v>
      </c>
      <c r="L1853" s="154" t="str">
        <f>IF(OpenLCAbasic!K1853="CTUh", "Fill in Manually",IF(OR(K1853="Unit", K1853=""), "", INDEX(LookUps!$E$5:$E$12, MATCH(OpenLCAbasic!K1853,LookUps!$D$5:$D$12,0))))</f>
        <v>Particulate Matter Formation Potential (PMFP) - kg PM2.5 eq</v>
      </c>
      <c r="M1853" s="154" t="str">
        <f t="shared" si="94"/>
        <v>Low_Medium_Low_Upgraded_Particulate Matter Formation Potential (PMFP) - kg PM2.5 eq_Influent Pump Station; wastewater treatment unit; at updated plant - US_Base_With Amendment_Windrow</v>
      </c>
    </row>
    <row r="1854" spans="1:13" s="120" customFormat="1" x14ac:dyDescent="0.25">
      <c r="A1854" s="119"/>
      <c r="B1854" s="138" t="str">
        <f t="shared" si="92"/>
        <v>Windrow</v>
      </c>
      <c r="C1854" s="138" t="str">
        <f t="shared" si="93"/>
        <v>Base_With Amendment</v>
      </c>
      <c r="D1854" s="118" t="s">
        <v>135</v>
      </c>
      <c r="E1854" s="118" t="s">
        <v>180</v>
      </c>
      <c r="F1854" s="118" t="s">
        <v>46</v>
      </c>
      <c r="G1854" s="153"/>
      <c r="H1854" s="155">
        <v>3.3300000000000003E-2</v>
      </c>
      <c r="I1854" s="154" t="s">
        <v>128</v>
      </c>
      <c r="J1854" s="204">
        <v>1.7000000000000001E-4</v>
      </c>
      <c r="K1854" s="154" t="s">
        <v>145</v>
      </c>
      <c r="L1854" s="154" t="str">
        <f>IF(OpenLCAbasic!K1854="CTUh", "Fill in Manually",IF(OR(K1854="Unit", K1854=""), "", INDEX(LookUps!$E$5:$E$12, MATCH(OpenLCAbasic!K1854,LookUps!$D$5:$D$12,0))))</f>
        <v>Particulate Matter Formation Potential (PMFP) - kg PM2.5 eq</v>
      </c>
      <c r="M1854" s="154" t="str">
        <f t="shared" si="94"/>
        <v>Low_Medium_Low_Upgraded_Particulate Matter Formation Potential (PMFP) - kg PM2.5 eq_Wastewater collection; operation and infrastructure; m3 wastewater_Base_With Amendment_Windrow</v>
      </c>
    </row>
    <row r="1855" spans="1:13" s="120" customFormat="1" x14ac:dyDescent="0.25">
      <c r="A1855" s="119"/>
      <c r="B1855" s="138" t="str">
        <f t="shared" si="92"/>
        <v>Windrow</v>
      </c>
      <c r="C1855" s="138" t="str">
        <f t="shared" si="93"/>
        <v>Base_With Amendment</v>
      </c>
      <c r="D1855" s="118" t="s">
        <v>135</v>
      </c>
      <c r="E1855" s="118" t="s">
        <v>180</v>
      </c>
      <c r="F1855" s="118" t="s">
        <v>46</v>
      </c>
      <c r="G1855" s="153"/>
      <c r="H1855" s="155">
        <v>3.2599999999999997E-2</v>
      </c>
      <c r="I1855" s="154" t="s">
        <v>60</v>
      </c>
      <c r="J1855" s="204">
        <v>1.6000000000000001E-4</v>
      </c>
      <c r="K1855" s="154" t="s">
        <v>145</v>
      </c>
      <c r="L1855" s="154" t="str">
        <f>IF(OpenLCAbasic!K1855="CTUh", "Fill in Manually",IF(OR(K1855="Unit", K1855=""), "", INDEX(LookUps!$E$5:$E$12, MATCH(OpenLCAbasic!K1855,LookUps!$D$5:$D$12,0))))</f>
        <v>Particulate Matter Formation Potential (PMFP) - kg PM2.5 eq</v>
      </c>
      <c r="M1855" s="154" t="str">
        <f t="shared" si="94"/>
        <v>Low_Medium_Low_Upgraded_Particulate Matter Formation Potential (PMFP) - kg PM2.5 eq_Belt filter press; wastewater treatment unit; at updated plant - US_Base_With Amendment_Windrow</v>
      </c>
    </row>
    <row r="1856" spans="1:13" s="120" customFormat="1" x14ac:dyDescent="0.25">
      <c r="A1856" s="119"/>
      <c r="B1856" s="138" t="str">
        <f t="shared" si="92"/>
        <v>Windrow</v>
      </c>
      <c r="C1856" s="138" t="str">
        <f t="shared" si="93"/>
        <v>Base_With Amendment</v>
      </c>
      <c r="D1856" s="118" t="s">
        <v>135</v>
      </c>
      <c r="E1856" s="118" t="s">
        <v>180</v>
      </c>
      <c r="F1856" s="118" t="s">
        <v>46</v>
      </c>
      <c r="G1856" s="153"/>
      <c r="H1856" s="155">
        <v>1.9E-2</v>
      </c>
      <c r="I1856" s="154" t="s">
        <v>57</v>
      </c>
      <c r="J1856" s="204">
        <v>9.5153800000000004E-5</v>
      </c>
      <c r="K1856" s="154" t="s">
        <v>145</v>
      </c>
      <c r="L1856" s="154" t="str">
        <f>IF(OpenLCAbasic!K1856="CTUh", "Fill in Manually",IF(OR(K1856="Unit", K1856=""), "", INDEX(LookUps!$E$5:$E$12, MATCH(OpenLCAbasic!K1856,LookUps!$D$5:$D$12,0))))</f>
        <v>Particulate Matter Formation Potential (PMFP) - kg PM2.5 eq</v>
      </c>
      <c r="M1856" s="154" t="str">
        <f t="shared" si="94"/>
        <v>Low_Medium_Low_Upgraded_Particulate Matter Formation Potential (PMFP) - kg PM2.5 eq_Gravity Belt Thickener; wastewater treatment unit; at updated plant - US_Base_With Amendment_Windrow</v>
      </c>
    </row>
    <row r="1857" spans="1:13" s="120" customFormat="1" x14ac:dyDescent="0.25">
      <c r="A1857" s="119"/>
      <c r="B1857" s="138" t="str">
        <f t="shared" si="92"/>
        <v>Windrow</v>
      </c>
      <c r="C1857" s="138" t="str">
        <f t="shared" si="93"/>
        <v>Base_With Amendment</v>
      </c>
      <c r="D1857" s="118" t="s">
        <v>135</v>
      </c>
      <c r="E1857" s="118" t="s">
        <v>180</v>
      </c>
      <c r="F1857" s="118" t="s">
        <v>46</v>
      </c>
      <c r="G1857" s="153"/>
      <c r="H1857" s="155">
        <v>1.61E-2</v>
      </c>
      <c r="I1857" s="154" t="s">
        <v>62</v>
      </c>
      <c r="J1857" s="204">
        <v>8.0294099999999994E-5</v>
      </c>
      <c r="K1857" s="154" t="s">
        <v>145</v>
      </c>
      <c r="L1857" s="154" t="str">
        <f>IF(OpenLCAbasic!K1857="CTUh", "Fill in Manually",IF(OR(K1857="Unit", K1857=""), "", INDEX(LookUps!$E$5:$E$12, MATCH(OpenLCAbasic!K1857,LookUps!$D$5:$D$12,0))))</f>
        <v>Particulate Matter Formation Potential (PMFP) - kg PM2.5 eq</v>
      </c>
      <c r="M1857" s="154" t="str">
        <f t="shared" si="94"/>
        <v>Low_Medium_Low_Upgraded_Particulate Matter Formation Potential (PMFP) - kg PM2.5 eq_Land application of compost; wastewater treatment unit; at updated plant - US_Base_With Amendment_Windrow</v>
      </c>
    </row>
    <row r="1858" spans="1:13" s="120" customFormat="1" x14ac:dyDescent="0.25">
      <c r="A1858" s="119"/>
      <c r="B1858" s="138" t="str">
        <f t="shared" si="92"/>
        <v>Windrow</v>
      </c>
      <c r="C1858" s="138" t="str">
        <f t="shared" si="93"/>
        <v>Base_With Amendment</v>
      </c>
      <c r="D1858" s="118" t="s">
        <v>135</v>
      </c>
      <c r="E1858" s="118" t="s">
        <v>180</v>
      </c>
      <c r="F1858" s="118" t="s">
        <v>46</v>
      </c>
      <c r="G1858" s="153"/>
      <c r="H1858" s="155">
        <v>1.4E-2</v>
      </c>
      <c r="I1858" s="154" t="s">
        <v>59</v>
      </c>
      <c r="J1858" s="204">
        <v>6.9942200000000003E-5</v>
      </c>
      <c r="K1858" s="154" t="s">
        <v>145</v>
      </c>
      <c r="L1858" s="154" t="str">
        <f>IF(OpenLCAbasic!K1858="CTUh", "Fill in Manually",IF(OR(K1858="Unit", K1858=""), "", INDEX(LookUps!$E$5:$E$12, MATCH(OpenLCAbasic!K1858,LookUps!$D$5:$D$12,0))))</f>
        <v>Particulate Matter Formation Potential (PMFP) - kg PM2.5 eq</v>
      </c>
      <c r="M1858" s="154" t="str">
        <f t="shared" si="94"/>
        <v>Low_Medium_Low_Upgraded_Particulate Matter Formation Potential (PMFP) - kg PM2.5 eq_Blend Tank; wastewater treatment unit; at updated plant - US_Base_With Amendment_Windrow</v>
      </c>
    </row>
    <row r="1859" spans="1:13" s="120" customFormat="1" x14ac:dyDescent="0.25">
      <c r="A1859" s="119"/>
      <c r="B1859" s="138" t="str">
        <f t="shared" si="92"/>
        <v>Windrow</v>
      </c>
      <c r="C1859" s="138" t="str">
        <f t="shared" si="93"/>
        <v>Base_With Amendment</v>
      </c>
      <c r="D1859" s="118" t="s">
        <v>135</v>
      </c>
      <c r="E1859" s="118" t="s">
        <v>180</v>
      </c>
      <c r="F1859" s="118" t="s">
        <v>46</v>
      </c>
      <c r="G1859" s="153"/>
      <c r="H1859" s="155">
        <v>1.1900000000000001E-2</v>
      </c>
      <c r="I1859" s="154" t="s">
        <v>271</v>
      </c>
      <c r="J1859" s="204">
        <v>5.93194E-5</v>
      </c>
      <c r="K1859" s="154" t="s">
        <v>145</v>
      </c>
      <c r="L1859" s="154" t="str">
        <f>IF(OpenLCAbasic!K1859="CTUh", "Fill in Manually",IF(OR(K1859="Unit", K1859=""), "", INDEX(LookUps!$E$5:$E$12, MATCH(OpenLCAbasic!K1859,LookUps!$D$5:$D$12,0))))</f>
        <v>Particulate Matter Formation Potential (PMFP) - kg PM2.5 eq</v>
      </c>
      <c r="M1859" s="154" t="str">
        <f t="shared" si="94"/>
        <v>Low_Medium_Low_Upgraded_Particulate Matter Formation Potential (PMFP) - kg PM2.5 eq_Biosolids composting; windrow composting; wastewater treatment unit; at updated plant - US_Base_With Amendment_Windrow</v>
      </c>
    </row>
    <row r="1860" spans="1:13" s="120" customFormat="1" x14ac:dyDescent="0.25">
      <c r="A1860" s="119"/>
      <c r="B1860" s="138" t="str">
        <f t="shared" si="92"/>
        <v>Windrow</v>
      </c>
      <c r="C1860" s="138" t="str">
        <f t="shared" si="93"/>
        <v>Base_With Amendment</v>
      </c>
      <c r="D1860" s="118" t="s">
        <v>135</v>
      </c>
      <c r="E1860" s="118" t="s">
        <v>180</v>
      </c>
      <c r="F1860" s="118" t="s">
        <v>46</v>
      </c>
      <c r="G1860" s="153"/>
      <c r="H1860" s="155">
        <v>0.01</v>
      </c>
      <c r="I1860" s="154" t="s">
        <v>48</v>
      </c>
      <c r="J1860" s="204">
        <v>4.99741E-5</v>
      </c>
      <c r="K1860" s="154" t="s">
        <v>145</v>
      </c>
      <c r="L1860" s="154" t="str">
        <f>IF(OpenLCAbasic!K1860="CTUh", "Fill in Manually",IF(OR(K1860="Unit", K1860=""), "", INDEX(LookUps!$E$5:$E$12, MATCH(OpenLCAbasic!K1860,LookUps!$D$5:$D$12,0))))</f>
        <v>Particulate Matter Formation Potential (PMFP) - kg PM2.5 eq</v>
      </c>
      <c r="M1860" s="154" t="str">
        <f t="shared" si="94"/>
        <v>Low_Medium_Low_Upgraded_Particulate Matter Formation Potential (PMFP) - kg PM2.5 eq_Effluent release; wastewater treatment unit; at surface water; m3 wastewater - US_Base_With Amendment_Windrow</v>
      </c>
    </row>
    <row r="1861" spans="1:13" s="120" customFormat="1" x14ac:dyDescent="0.25">
      <c r="A1861" s="119"/>
      <c r="B1861" s="138" t="str">
        <f t="shared" si="92"/>
        <v>Windrow</v>
      </c>
      <c r="C1861" s="138" t="str">
        <f t="shared" si="93"/>
        <v>Base_With Amendment</v>
      </c>
      <c r="D1861" s="118" t="s">
        <v>135</v>
      </c>
      <c r="E1861" s="118" t="s">
        <v>180</v>
      </c>
      <c r="F1861" s="118" t="s">
        <v>46</v>
      </c>
      <c r="G1861" s="153"/>
      <c r="H1861" s="155">
        <v>6.8999999999999999E-3</v>
      </c>
      <c r="I1861" s="154" t="s">
        <v>168</v>
      </c>
      <c r="J1861" s="204">
        <v>3.4562199999999999E-5</v>
      </c>
      <c r="K1861" s="154" t="s">
        <v>145</v>
      </c>
      <c r="L1861" s="154" t="str">
        <f>IF(OpenLCAbasic!K1861="CTUh", "Fill in Manually",IF(OR(K1861="Unit", K1861=""), "", INDEX(LookUps!$E$5:$E$12, MATCH(OpenLCAbasic!K1861,LookUps!$D$5:$D$12,0))))</f>
        <v>Particulate Matter Formation Potential (PMFP) - kg PM2.5 eq</v>
      </c>
      <c r="M1861" s="154" t="str">
        <f t="shared" si="94"/>
        <v>Low_Medium_Low_Upgraded_Particulate Matter Formation Potential (PMFP) - kg PM2.5 eq_ClearCove SCP; wastewater treatment unit; at updated plant - US_Base_With Amendment_Windrow</v>
      </c>
    </row>
    <row r="1862" spans="1:13" s="120" customFormat="1" x14ac:dyDescent="0.25">
      <c r="A1862" s="119"/>
      <c r="B1862" s="138" t="str">
        <f t="shared" ref="B1862:B1925" si="95">IF(F1862="Legacy","n.a.",IF(F1862="","","Windrow"))</f>
        <v>Windrow</v>
      </c>
      <c r="C1862" s="138" t="str">
        <f t="shared" si="93"/>
        <v>Base_With Amendment</v>
      </c>
      <c r="D1862" s="118" t="s">
        <v>135</v>
      </c>
      <c r="E1862" s="118" t="s">
        <v>180</v>
      </c>
      <c r="F1862" s="118" t="s">
        <v>46</v>
      </c>
      <c r="G1862" s="153"/>
      <c r="H1862" s="155">
        <v>1.8E-3</v>
      </c>
      <c r="I1862" s="154" t="s">
        <v>148</v>
      </c>
      <c r="J1862" s="204">
        <v>8.8212999999999997E-6</v>
      </c>
      <c r="K1862" s="154" t="s">
        <v>145</v>
      </c>
      <c r="L1862" s="154" t="str">
        <f>IF(OpenLCAbasic!K1862="CTUh", "Fill in Manually",IF(OR(K1862="Unit", K1862=""), "", INDEX(LookUps!$E$5:$E$12, MATCH(OpenLCAbasic!K1862,LookUps!$D$5:$D$12,0))))</f>
        <v>Particulate Matter Formation Potential (PMFP) - kg PM2.5 eq</v>
      </c>
      <c r="M1862" s="154" t="str">
        <f t="shared" si="94"/>
        <v>Low_Medium_Low_Upgraded_Particulate Matter Formation Potential (PMFP) - kg PM2.5 eq_Control Building; at upgraded wastewater treatment plant - US_Base_With Amendment_Windrow</v>
      </c>
    </row>
    <row r="1863" spans="1:13" s="120" customFormat="1" x14ac:dyDescent="0.25">
      <c r="A1863" s="119"/>
      <c r="B1863" s="138" t="str">
        <f t="shared" si="95"/>
        <v>Windrow</v>
      </c>
      <c r="C1863" s="138" t="str">
        <f t="shared" ref="C1863:C1926" si="96">IF(E1863&lt;&gt;"", "Base_With Amendment","")</f>
        <v>Base_With Amendment</v>
      </c>
      <c r="D1863" s="118" t="s">
        <v>135</v>
      </c>
      <c r="E1863" s="118" t="s">
        <v>180</v>
      </c>
      <c r="F1863" s="118" t="s">
        <v>46</v>
      </c>
      <c r="G1863" s="153"/>
      <c r="H1863" s="155">
        <v>-7.6399999999999996E-2</v>
      </c>
      <c r="I1863" s="154" t="s">
        <v>149</v>
      </c>
      <c r="J1863" s="204">
        <v>-3.8000000000000002E-4</v>
      </c>
      <c r="K1863" s="154" t="s">
        <v>145</v>
      </c>
      <c r="L1863" s="154" t="str">
        <f>IF(OpenLCAbasic!K1863="CTUh", "Fill in Manually",IF(OR(K1863="Unit", K1863=""), "", INDEX(LookUps!$E$5:$E$12, MATCH(OpenLCAbasic!K1863,LookUps!$D$5:$D$12,0))))</f>
        <v>Particulate Matter Formation Potential (PMFP) - kg PM2.5 eq</v>
      </c>
      <c r="M1863" s="154" t="str">
        <f t="shared" ref="M1863:M1926" si="97">CONCATENATE(E1863,"_",D1863,"_",F1863,"_",L1863, "_",I1863,"_", C1863,"_", B1863)</f>
        <v>Low_Medium_Low_Upgraded_Particulate Matter Formation Potential (PMFP) - kg PM2.5 eq_Anaerobic Digestion; wastewater treatment unit; at updated plant - US_Base_With Amendment_Windrow</v>
      </c>
    </row>
    <row r="1864" spans="1:13" s="120" customFormat="1" x14ac:dyDescent="0.25">
      <c r="A1864" s="119"/>
      <c r="B1864" s="138" t="str">
        <f t="shared" si="95"/>
        <v>Windrow</v>
      </c>
      <c r="C1864" s="138" t="str">
        <f t="shared" si="96"/>
        <v>Base_With Amendment</v>
      </c>
      <c r="D1864" s="118" t="s">
        <v>135</v>
      </c>
      <c r="E1864" s="118" t="s">
        <v>180</v>
      </c>
      <c r="F1864" s="118" t="s">
        <v>46</v>
      </c>
      <c r="G1864" s="153" t="s">
        <v>51</v>
      </c>
      <c r="H1864" s="154"/>
      <c r="I1864" s="154" t="s">
        <v>47</v>
      </c>
      <c r="J1864" s="154" t="s">
        <v>52</v>
      </c>
      <c r="K1864" s="154" t="s">
        <v>27</v>
      </c>
      <c r="L1864" s="154" t="str">
        <f>IF(OpenLCAbasic!K1864="CTUh", "Fill in Manually",IF(OR(K1864="Unit", K1864=""), "", INDEX(LookUps!$E$5:$E$12, MATCH(OpenLCAbasic!K1864,LookUps!$D$5:$D$12,0))))</f>
        <v/>
      </c>
      <c r="M1864" s="154" t="str">
        <f t="shared" si="97"/>
        <v>Low_Medium_Low_Upgraded__Process_Base_With Amendment_Windrow</v>
      </c>
    </row>
    <row r="1865" spans="1:13" s="120" customFormat="1" x14ac:dyDescent="0.25">
      <c r="A1865" s="119"/>
      <c r="B1865" s="138" t="str">
        <f t="shared" si="95"/>
        <v>Windrow</v>
      </c>
      <c r="C1865" s="138" t="str">
        <f t="shared" si="96"/>
        <v>Base_With Amendment</v>
      </c>
      <c r="D1865" s="118" t="s">
        <v>135</v>
      </c>
      <c r="E1865" s="118" t="s">
        <v>180</v>
      </c>
      <c r="F1865" s="118" t="s">
        <v>46</v>
      </c>
      <c r="G1865" s="153"/>
      <c r="H1865" s="155">
        <v>0.47270000000000001</v>
      </c>
      <c r="I1865" s="154" t="s">
        <v>55</v>
      </c>
      <c r="J1865" s="203">
        <v>0.16577</v>
      </c>
      <c r="K1865" s="154" t="s">
        <v>25</v>
      </c>
      <c r="L1865" s="154" t="str">
        <f>IF(OpenLCAbasic!K1865="CTUh", "Fill in Manually",IF(OR(K1865="Unit", K1865=""), "", INDEX(LookUps!$E$5:$E$12, MATCH(OpenLCAbasic!K1865,LookUps!$D$5:$D$12,0))))</f>
        <v>Smog Formation Potential (SFP) - kg O3 eq</v>
      </c>
      <c r="M1865" s="154" t="str">
        <f t="shared" si="97"/>
        <v>Low_Medium_Low_Upgraded_Smog Formation Potential (SFP) - kg O3 eq_Aeration Tanks; wastewater treatment unit; at updated plant - US_Base_With Amendment_Windrow</v>
      </c>
    </row>
    <row r="1866" spans="1:13" s="120" customFormat="1" x14ac:dyDescent="0.25">
      <c r="A1866" s="119"/>
      <c r="B1866" s="138" t="str">
        <f t="shared" si="95"/>
        <v>Windrow</v>
      </c>
      <c r="C1866" s="138" t="str">
        <f t="shared" si="96"/>
        <v>Base_With Amendment</v>
      </c>
      <c r="D1866" s="118" t="s">
        <v>135</v>
      </c>
      <c r="E1866" s="118" t="s">
        <v>180</v>
      </c>
      <c r="F1866" s="118" t="s">
        <v>46</v>
      </c>
      <c r="G1866" s="153"/>
      <c r="H1866" s="155">
        <v>0.1371</v>
      </c>
      <c r="I1866" s="154" t="s">
        <v>54</v>
      </c>
      <c r="J1866" s="203">
        <v>4.8070000000000002E-2</v>
      </c>
      <c r="K1866" s="154" t="s">
        <v>25</v>
      </c>
      <c r="L1866" s="154" t="str">
        <f>IF(OpenLCAbasic!K1866="CTUh", "Fill in Manually",IF(OR(K1866="Unit", K1866=""), "", INDEX(LookUps!$E$5:$E$12, MATCH(OpenLCAbasic!K1866,LookUps!$D$5:$D$12,0))))</f>
        <v>Smog Formation Potential (SFP) - kg O3 eq</v>
      </c>
      <c r="M1866" s="154" t="str">
        <f t="shared" si="97"/>
        <v>Low_Medium_Low_Upgraded_Smog Formation Potential (SFP) - kg O3 eq_Clear Cove Primary Clarification; wastewater treatment unit; at updated plant - US_Base_With Amendment_Windrow</v>
      </c>
    </row>
    <row r="1867" spans="1:13" s="120" customFormat="1" x14ac:dyDescent="0.25">
      <c r="A1867" s="119"/>
      <c r="B1867" s="138" t="str">
        <f t="shared" si="95"/>
        <v>Windrow</v>
      </c>
      <c r="C1867" s="138" t="str">
        <f t="shared" si="96"/>
        <v>Base_With Amendment</v>
      </c>
      <c r="D1867" s="118" t="s">
        <v>135</v>
      </c>
      <c r="E1867" s="118" t="s">
        <v>180</v>
      </c>
      <c r="F1867" s="118" t="s">
        <v>46</v>
      </c>
      <c r="G1867" s="153"/>
      <c r="H1867" s="155">
        <v>0.1195</v>
      </c>
      <c r="I1867" s="154" t="s">
        <v>58</v>
      </c>
      <c r="J1867" s="203">
        <v>4.1919999999999999E-2</v>
      </c>
      <c r="K1867" s="154" t="s">
        <v>25</v>
      </c>
      <c r="L1867" s="154" t="str">
        <f>IF(OpenLCAbasic!K1867="CTUh", "Fill in Manually",IF(OR(K1867="Unit", K1867=""), "", INDEX(LookUps!$E$5:$E$12, MATCH(OpenLCAbasic!K1867,LookUps!$D$5:$D$12,0))))</f>
        <v>Smog Formation Potential (SFP) - kg O3 eq</v>
      </c>
      <c r="M1867" s="154" t="str">
        <f t="shared" si="97"/>
        <v>Low_Medium_Low_Upgraded_Smog Formation Potential (SFP) - kg O3 eq_Pre-Anoxic &amp; Swing tank; wastewater treatment unit; at updated plant - US_Base_With Amendment_Windrow</v>
      </c>
    </row>
    <row r="1868" spans="1:13" s="120" customFormat="1" x14ac:dyDescent="0.25">
      <c r="A1868" s="119"/>
      <c r="B1868" s="138" t="str">
        <f t="shared" si="95"/>
        <v>Windrow</v>
      </c>
      <c r="C1868" s="138" t="str">
        <f t="shared" si="96"/>
        <v>Base_With Amendment</v>
      </c>
      <c r="D1868" s="118" t="s">
        <v>135</v>
      </c>
      <c r="E1868" s="118" t="s">
        <v>180</v>
      </c>
      <c r="F1868" s="118" t="s">
        <v>46</v>
      </c>
      <c r="G1868" s="153"/>
      <c r="H1868" s="155">
        <v>9.4500000000000001E-2</v>
      </c>
      <c r="I1868" s="154" t="s">
        <v>53</v>
      </c>
      <c r="J1868" s="203">
        <v>3.313E-2</v>
      </c>
      <c r="K1868" s="154" t="s">
        <v>25</v>
      </c>
      <c r="L1868" s="154" t="str">
        <f>IF(OpenLCAbasic!K1868="CTUh", "Fill in Manually",IF(OR(K1868="Unit", K1868=""), "", INDEX(LookUps!$E$5:$E$12, MATCH(OpenLCAbasic!K1868,LookUps!$D$5:$D$12,0))))</f>
        <v>Smog Formation Potential (SFP) - kg O3 eq</v>
      </c>
      <c r="M1868" s="154" t="str">
        <f t="shared" si="97"/>
        <v>Low_Medium_Low_Upgraded_Smog Formation Potential (SFP) - kg O3 eq_Wet Well and Sump Station; wastewater treatment unit; at updated plant - US_Base_With Amendment_Windrow</v>
      </c>
    </row>
    <row r="1869" spans="1:13" s="120" customFormat="1" x14ac:dyDescent="0.25">
      <c r="A1869" s="119"/>
      <c r="B1869" s="138" t="str">
        <f t="shared" si="95"/>
        <v>Windrow</v>
      </c>
      <c r="C1869" s="138" t="str">
        <f t="shared" si="96"/>
        <v>Base_With Amendment</v>
      </c>
      <c r="D1869" s="118" t="s">
        <v>135</v>
      </c>
      <c r="E1869" s="118" t="s">
        <v>180</v>
      </c>
      <c r="F1869" s="118" t="s">
        <v>46</v>
      </c>
      <c r="G1869" s="153"/>
      <c r="H1869" s="155">
        <v>8.7599999999999997E-2</v>
      </c>
      <c r="I1869" s="154" t="s">
        <v>167</v>
      </c>
      <c r="J1869" s="203">
        <v>3.0710000000000001E-2</v>
      </c>
      <c r="K1869" s="154" t="s">
        <v>25</v>
      </c>
      <c r="L1869" s="154" t="str">
        <f>IF(OpenLCAbasic!K1869="CTUh", "Fill in Manually",IF(OR(K1869="Unit", K1869=""), "", INDEX(LookUps!$E$5:$E$12, MATCH(OpenLCAbasic!K1869,LookUps!$D$5:$D$12,0))))</f>
        <v>Smog Formation Potential (SFP) - kg O3 eq</v>
      </c>
      <c r="M1869" s="154" t="str">
        <f t="shared" si="97"/>
        <v>Low_Medium_Low_Upgraded_Smog Formation Potential (SFP) - kg O3 eq_Waste Receiving and Holding; wastewater treatment unit; at updated plant - US_Base_With Amendment_Windrow</v>
      </c>
    </row>
    <row r="1870" spans="1:13" s="120" customFormat="1" x14ac:dyDescent="0.25">
      <c r="A1870" s="119"/>
      <c r="B1870" s="138" t="str">
        <f t="shared" si="95"/>
        <v>Windrow</v>
      </c>
      <c r="C1870" s="138" t="str">
        <f t="shared" si="96"/>
        <v>Base_With Amendment</v>
      </c>
      <c r="D1870" s="118" t="s">
        <v>135</v>
      </c>
      <c r="E1870" s="118" t="s">
        <v>180</v>
      </c>
      <c r="F1870" s="118" t="s">
        <v>46</v>
      </c>
      <c r="G1870" s="153"/>
      <c r="H1870" s="155">
        <v>5.5300000000000002E-2</v>
      </c>
      <c r="I1870" s="154" t="s">
        <v>147</v>
      </c>
      <c r="J1870" s="203">
        <v>1.9400000000000001E-2</v>
      </c>
      <c r="K1870" s="154" t="s">
        <v>25</v>
      </c>
      <c r="L1870" s="154" t="str">
        <f>IF(OpenLCAbasic!K1870="CTUh", "Fill in Manually",IF(OR(K1870="Unit", K1870=""), "", INDEX(LookUps!$E$5:$E$12, MATCH(OpenLCAbasic!K1870,LookUps!$D$5:$D$12,0))))</f>
        <v>Smog Formation Potential (SFP) - kg O3 eq</v>
      </c>
      <c r="M1870" s="154" t="str">
        <f t="shared" si="97"/>
        <v>Low_Medium_Low_Upgraded_Smog Formation Potential (SFP) - kg O3 eq_Influent Pump Station; wastewater treatment unit; at updated plant - US_Base_With Amendment_Windrow</v>
      </c>
    </row>
    <row r="1871" spans="1:13" s="120" customFormat="1" x14ac:dyDescent="0.25">
      <c r="A1871" s="119"/>
      <c r="B1871" s="138" t="str">
        <f t="shared" si="95"/>
        <v>Windrow</v>
      </c>
      <c r="C1871" s="138" t="str">
        <f t="shared" si="96"/>
        <v>Base_With Amendment</v>
      </c>
      <c r="D1871" s="118" t="s">
        <v>135</v>
      </c>
      <c r="E1871" s="118" t="s">
        <v>180</v>
      </c>
      <c r="F1871" s="118" t="s">
        <v>46</v>
      </c>
      <c r="G1871" s="153"/>
      <c r="H1871" s="155">
        <v>3.4000000000000002E-2</v>
      </c>
      <c r="I1871" s="154" t="s">
        <v>128</v>
      </c>
      <c r="J1871" s="204">
        <v>1.192E-2</v>
      </c>
      <c r="K1871" s="154" t="s">
        <v>25</v>
      </c>
      <c r="L1871" s="154" t="str">
        <f>IF(OpenLCAbasic!K1871="CTUh", "Fill in Manually",IF(OR(K1871="Unit", K1871=""), "", INDEX(LookUps!$E$5:$E$12, MATCH(OpenLCAbasic!K1871,LookUps!$D$5:$D$12,0))))</f>
        <v>Smog Formation Potential (SFP) - kg O3 eq</v>
      </c>
      <c r="M1871" s="154" t="str">
        <f t="shared" si="97"/>
        <v>Low_Medium_Low_Upgraded_Smog Formation Potential (SFP) - kg O3 eq_Wastewater collection; operation and infrastructure; m3 wastewater_Base_With Amendment_Windrow</v>
      </c>
    </row>
    <row r="1872" spans="1:13" s="120" customFormat="1" x14ac:dyDescent="0.25">
      <c r="A1872" s="119"/>
      <c r="B1872" s="138" t="str">
        <f t="shared" si="95"/>
        <v>Windrow</v>
      </c>
      <c r="C1872" s="138" t="str">
        <f t="shared" si="96"/>
        <v>Base_With Amendment</v>
      </c>
      <c r="D1872" s="118" t="s">
        <v>135</v>
      </c>
      <c r="E1872" s="118" t="s">
        <v>180</v>
      </c>
      <c r="F1872" s="118" t="s">
        <v>46</v>
      </c>
      <c r="G1872" s="153"/>
      <c r="H1872" s="155">
        <v>3.2599999999999997E-2</v>
      </c>
      <c r="I1872" s="154" t="s">
        <v>60</v>
      </c>
      <c r="J1872" s="204">
        <v>1.145E-2</v>
      </c>
      <c r="K1872" s="154" t="s">
        <v>25</v>
      </c>
      <c r="L1872" s="154" t="str">
        <f>IF(OpenLCAbasic!K1872="CTUh", "Fill in Manually",IF(OR(K1872="Unit", K1872=""), "", INDEX(LookUps!$E$5:$E$12, MATCH(OpenLCAbasic!K1872,LookUps!$D$5:$D$12,0))))</f>
        <v>Smog Formation Potential (SFP) - kg O3 eq</v>
      </c>
      <c r="M1872" s="154" t="str">
        <f t="shared" si="97"/>
        <v>Low_Medium_Low_Upgraded_Smog Formation Potential (SFP) - kg O3 eq_Belt filter press; wastewater treatment unit; at updated plant - US_Base_With Amendment_Windrow</v>
      </c>
    </row>
    <row r="1873" spans="1:13" s="120" customFormat="1" x14ac:dyDescent="0.25">
      <c r="A1873" s="119"/>
      <c r="B1873" s="138" t="str">
        <f t="shared" si="95"/>
        <v>Windrow</v>
      </c>
      <c r="C1873" s="138" t="str">
        <f t="shared" si="96"/>
        <v>Base_With Amendment</v>
      </c>
      <c r="D1873" s="118" t="s">
        <v>135</v>
      </c>
      <c r="E1873" s="118" t="s">
        <v>180</v>
      </c>
      <c r="F1873" s="118" t="s">
        <v>46</v>
      </c>
      <c r="G1873" s="153"/>
      <c r="H1873" s="155">
        <v>1.9E-2</v>
      </c>
      <c r="I1873" s="154" t="s">
        <v>57</v>
      </c>
      <c r="J1873" s="204">
        <v>6.6499999999999997E-3</v>
      </c>
      <c r="K1873" s="154" t="s">
        <v>25</v>
      </c>
      <c r="L1873" s="154" t="str">
        <f>IF(OpenLCAbasic!K1873="CTUh", "Fill in Manually",IF(OR(K1873="Unit", K1873=""), "", INDEX(LookUps!$E$5:$E$12, MATCH(OpenLCAbasic!K1873,LookUps!$D$5:$D$12,0))))</f>
        <v>Smog Formation Potential (SFP) - kg O3 eq</v>
      </c>
      <c r="M1873" s="154" t="str">
        <f t="shared" si="97"/>
        <v>Low_Medium_Low_Upgraded_Smog Formation Potential (SFP) - kg O3 eq_Gravity Belt Thickener; wastewater treatment unit; at updated plant - US_Base_With Amendment_Windrow</v>
      </c>
    </row>
    <row r="1874" spans="1:13" s="120" customFormat="1" x14ac:dyDescent="0.25">
      <c r="A1874" s="119"/>
      <c r="B1874" s="138" t="str">
        <f t="shared" si="95"/>
        <v>Windrow</v>
      </c>
      <c r="C1874" s="138" t="str">
        <f t="shared" si="96"/>
        <v>Base_With Amendment</v>
      </c>
      <c r="D1874" s="118" t="s">
        <v>135</v>
      </c>
      <c r="E1874" s="118" t="s">
        <v>180</v>
      </c>
      <c r="F1874" s="118" t="s">
        <v>46</v>
      </c>
      <c r="G1874" s="153"/>
      <c r="H1874" s="155">
        <v>1.4200000000000001E-2</v>
      </c>
      <c r="I1874" s="154" t="s">
        <v>59</v>
      </c>
      <c r="J1874" s="204">
        <v>4.9699999999999996E-3</v>
      </c>
      <c r="K1874" s="154" t="s">
        <v>25</v>
      </c>
      <c r="L1874" s="154" t="str">
        <f>IF(OpenLCAbasic!K1874="CTUh", "Fill in Manually",IF(OR(K1874="Unit", K1874=""), "", INDEX(LookUps!$E$5:$E$12, MATCH(OpenLCAbasic!K1874,LookUps!$D$5:$D$12,0))))</f>
        <v>Smog Formation Potential (SFP) - kg O3 eq</v>
      </c>
      <c r="M1874" s="154" t="str">
        <f t="shared" si="97"/>
        <v>Low_Medium_Low_Upgraded_Smog Formation Potential (SFP) - kg O3 eq_Blend Tank; wastewater treatment unit; at updated plant - US_Base_With Amendment_Windrow</v>
      </c>
    </row>
    <row r="1875" spans="1:13" s="120" customFormat="1" x14ac:dyDescent="0.25">
      <c r="A1875" s="119"/>
      <c r="B1875" s="138" t="str">
        <f t="shared" si="95"/>
        <v>Windrow</v>
      </c>
      <c r="C1875" s="138" t="str">
        <f t="shared" si="96"/>
        <v>Base_With Amendment</v>
      </c>
      <c r="D1875" s="118" t="s">
        <v>135</v>
      </c>
      <c r="E1875" s="118" t="s">
        <v>180</v>
      </c>
      <c r="F1875" s="118" t="s">
        <v>46</v>
      </c>
      <c r="G1875" s="153"/>
      <c r="H1875" s="155">
        <v>9.7000000000000003E-3</v>
      </c>
      <c r="I1875" s="154" t="s">
        <v>48</v>
      </c>
      <c r="J1875" s="204">
        <v>3.3899999999999998E-3</v>
      </c>
      <c r="K1875" s="154" t="s">
        <v>25</v>
      </c>
      <c r="L1875" s="154" t="str">
        <f>IF(OpenLCAbasic!K1875="CTUh", "Fill in Manually",IF(OR(K1875="Unit", K1875=""), "", INDEX(LookUps!$E$5:$E$12, MATCH(OpenLCAbasic!K1875,LookUps!$D$5:$D$12,0))))</f>
        <v>Smog Formation Potential (SFP) - kg O3 eq</v>
      </c>
      <c r="M1875" s="154" t="str">
        <f t="shared" si="97"/>
        <v>Low_Medium_Low_Upgraded_Smog Formation Potential (SFP) - kg O3 eq_Effluent release; wastewater treatment unit; at surface water; m3 wastewater - US_Base_With Amendment_Windrow</v>
      </c>
    </row>
    <row r="1876" spans="1:13" s="120" customFormat="1" x14ac:dyDescent="0.25">
      <c r="A1876" s="119"/>
      <c r="B1876" s="138" t="str">
        <f t="shared" si="95"/>
        <v>Windrow</v>
      </c>
      <c r="C1876" s="138" t="str">
        <f t="shared" si="96"/>
        <v>Base_With Amendment</v>
      </c>
      <c r="D1876" s="118" t="s">
        <v>135</v>
      </c>
      <c r="E1876" s="118" t="s">
        <v>180</v>
      </c>
      <c r="F1876" s="118" t="s">
        <v>46</v>
      </c>
      <c r="G1876" s="153"/>
      <c r="H1876" s="155">
        <v>7.0000000000000001E-3</v>
      </c>
      <c r="I1876" s="154" t="s">
        <v>168</v>
      </c>
      <c r="J1876" s="204">
        <v>2.4599999999999999E-3</v>
      </c>
      <c r="K1876" s="154" t="s">
        <v>25</v>
      </c>
      <c r="L1876" s="154" t="str">
        <f>IF(OpenLCAbasic!K1876="CTUh", "Fill in Manually",IF(OR(K1876="Unit", K1876=""), "", INDEX(LookUps!$E$5:$E$12, MATCH(OpenLCAbasic!K1876,LookUps!$D$5:$D$12,0))))</f>
        <v>Smog Formation Potential (SFP) - kg O3 eq</v>
      </c>
      <c r="M1876" s="154" t="str">
        <f t="shared" si="97"/>
        <v>Low_Medium_Low_Upgraded_Smog Formation Potential (SFP) - kg O3 eq_ClearCove SCP; wastewater treatment unit; at updated plant - US_Base_With Amendment_Windrow</v>
      </c>
    </row>
    <row r="1877" spans="1:13" s="120" customFormat="1" x14ac:dyDescent="0.25">
      <c r="A1877" s="119"/>
      <c r="B1877" s="138" t="str">
        <f t="shared" si="95"/>
        <v>Windrow</v>
      </c>
      <c r="C1877" s="138" t="str">
        <f t="shared" si="96"/>
        <v>Base_With Amendment</v>
      </c>
      <c r="D1877" s="118" t="s">
        <v>135</v>
      </c>
      <c r="E1877" s="118" t="s">
        <v>180</v>
      </c>
      <c r="F1877" s="118" t="s">
        <v>46</v>
      </c>
      <c r="G1877" s="153"/>
      <c r="H1877" s="155">
        <v>4.1999999999999997E-3</v>
      </c>
      <c r="I1877" s="154" t="s">
        <v>271</v>
      </c>
      <c r="J1877" s="204">
        <v>1.49E-3</v>
      </c>
      <c r="K1877" s="154" t="s">
        <v>25</v>
      </c>
      <c r="L1877" s="154" t="str">
        <f>IF(OpenLCAbasic!K1877="CTUh", "Fill in Manually",IF(OR(K1877="Unit", K1877=""), "", INDEX(LookUps!$E$5:$E$12, MATCH(OpenLCAbasic!K1877,LookUps!$D$5:$D$12,0))))</f>
        <v>Smog Formation Potential (SFP) - kg O3 eq</v>
      </c>
      <c r="M1877" s="154" t="str">
        <f t="shared" si="97"/>
        <v>Low_Medium_Low_Upgraded_Smog Formation Potential (SFP) - kg O3 eq_Biosolids composting; windrow composting; wastewater treatment unit; at updated plant - US_Base_With Amendment_Windrow</v>
      </c>
    </row>
    <row r="1878" spans="1:13" s="120" customFormat="1" x14ac:dyDescent="0.25">
      <c r="A1878" s="119"/>
      <c r="B1878" s="138" t="str">
        <f t="shared" si="95"/>
        <v>Windrow</v>
      </c>
      <c r="C1878" s="138" t="str">
        <f t="shared" si="96"/>
        <v>Base_With Amendment</v>
      </c>
      <c r="D1878" s="118" t="s">
        <v>135</v>
      </c>
      <c r="E1878" s="118" t="s">
        <v>180</v>
      </c>
      <c r="F1878" s="118" t="s">
        <v>46</v>
      </c>
      <c r="G1878" s="153"/>
      <c r="H1878" s="155">
        <v>1.5E-3</v>
      </c>
      <c r="I1878" s="154" t="s">
        <v>148</v>
      </c>
      <c r="J1878" s="204">
        <v>5.4000000000000001E-4</v>
      </c>
      <c r="K1878" s="154" t="s">
        <v>25</v>
      </c>
      <c r="L1878" s="154" t="str">
        <f>IF(OpenLCAbasic!K1878="CTUh", "Fill in Manually",IF(OR(K1878="Unit", K1878=""), "", INDEX(LookUps!$E$5:$E$12, MATCH(OpenLCAbasic!K1878,LookUps!$D$5:$D$12,0))))</f>
        <v>Smog Formation Potential (SFP) - kg O3 eq</v>
      </c>
      <c r="M1878" s="154" t="str">
        <f t="shared" si="97"/>
        <v>Low_Medium_Low_Upgraded_Smog Formation Potential (SFP) - kg O3 eq_Control Building; at upgraded wastewater treatment plant - US_Base_With Amendment_Windrow</v>
      </c>
    </row>
    <row r="1879" spans="1:13" s="120" customFormat="1" x14ac:dyDescent="0.25">
      <c r="A1879" s="119"/>
      <c r="B1879" s="138" t="str">
        <f t="shared" si="95"/>
        <v>Windrow</v>
      </c>
      <c r="C1879" s="138" t="str">
        <f t="shared" si="96"/>
        <v>Base_With Amendment</v>
      </c>
      <c r="D1879" s="118" t="s">
        <v>135</v>
      </c>
      <c r="E1879" s="118" t="s">
        <v>180</v>
      </c>
      <c r="F1879" s="118" t="s">
        <v>46</v>
      </c>
      <c r="G1879" s="153"/>
      <c r="H1879" s="155">
        <v>-1.2699999999999999E-2</v>
      </c>
      <c r="I1879" s="154" t="s">
        <v>62</v>
      </c>
      <c r="J1879" s="204">
        <v>-4.4400000000000004E-3</v>
      </c>
      <c r="K1879" s="154" t="s">
        <v>25</v>
      </c>
      <c r="L1879" s="154" t="str">
        <f>IF(OpenLCAbasic!K1879="CTUh", "Fill in Manually",IF(OR(K1879="Unit", K1879=""), "", INDEX(LookUps!$E$5:$E$12, MATCH(OpenLCAbasic!K1879,LookUps!$D$5:$D$12,0))))</f>
        <v>Smog Formation Potential (SFP) - kg O3 eq</v>
      </c>
      <c r="M1879" s="154" t="str">
        <f t="shared" si="97"/>
        <v>Low_Medium_Low_Upgraded_Smog Formation Potential (SFP) - kg O3 eq_Land application of compost; wastewater treatment unit; at updated plant - US_Base_With Amendment_Windrow</v>
      </c>
    </row>
    <row r="1880" spans="1:13" s="120" customFormat="1" x14ac:dyDescent="0.25">
      <c r="A1880" s="119"/>
      <c r="B1880" s="138" t="str">
        <f t="shared" si="95"/>
        <v>Windrow</v>
      </c>
      <c r="C1880" s="138" t="str">
        <f t="shared" si="96"/>
        <v>Base_With Amendment</v>
      </c>
      <c r="D1880" s="118" t="s">
        <v>135</v>
      </c>
      <c r="E1880" s="118" t="s">
        <v>180</v>
      </c>
      <c r="F1880" s="118" t="s">
        <v>46</v>
      </c>
      <c r="G1880" s="153"/>
      <c r="H1880" s="155">
        <v>-7.6200000000000004E-2</v>
      </c>
      <c r="I1880" s="154" t="s">
        <v>149</v>
      </c>
      <c r="J1880" s="203">
        <v>-2.673E-2</v>
      </c>
      <c r="K1880" s="154" t="s">
        <v>25</v>
      </c>
      <c r="L1880" s="154" t="str">
        <f>IF(OpenLCAbasic!K1880="CTUh", "Fill in Manually",IF(OR(K1880="Unit", K1880=""), "", INDEX(LookUps!$E$5:$E$12, MATCH(OpenLCAbasic!K1880,LookUps!$D$5:$D$12,0))))</f>
        <v>Smog Formation Potential (SFP) - kg O3 eq</v>
      </c>
      <c r="M1880" s="154" t="str">
        <f t="shared" si="97"/>
        <v>Low_Medium_Low_Upgraded_Smog Formation Potential (SFP) - kg O3 eq_Anaerobic Digestion; wastewater treatment unit; at updated plant - US_Base_With Amendment_Windrow</v>
      </c>
    </row>
    <row r="1881" spans="1:13" s="120" customFormat="1" x14ac:dyDescent="0.25">
      <c r="A1881" s="119"/>
      <c r="B1881" s="138" t="str">
        <f t="shared" si="95"/>
        <v>Windrow</v>
      </c>
      <c r="C1881" s="138" t="str">
        <f t="shared" si="96"/>
        <v>Base_With Amendment</v>
      </c>
      <c r="D1881" s="118" t="s">
        <v>135</v>
      </c>
      <c r="E1881" s="118" t="s">
        <v>180</v>
      </c>
      <c r="F1881" s="118" t="s">
        <v>46</v>
      </c>
      <c r="G1881" s="153" t="s">
        <v>51</v>
      </c>
      <c r="H1881" s="154"/>
      <c r="I1881" s="154" t="s">
        <v>47</v>
      </c>
      <c r="J1881" s="154" t="s">
        <v>52</v>
      </c>
      <c r="K1881" s="154" t="s">
        <v>27</v>
      </c>
      <c r="L1881" s="154" t="str">
        <f>IF(OpenLCAbasic!K1881="CTUh", "Fill in Manually",IF(OR(K1881="Unit", K1881=""), "", INDEX(LookUps!$E$5:$E$12, MATCH(OpenLCAbasic!K1881,LookUps!$D$5:$D$12,0))))</f>
        <v/>
      </c>
      <c r="M1881" s="154" t="str">
        <f t="shared" si="97"/>
        <v>Low_Medium_Low_Upgraded__Process_Base_With Amendment_Windrow</v>
      </c>
    </row>
    <row r="1882" spans="1:13" s="120" customFormat="1" x14ac:dyDescent="0.25">
      <c r="A1882" s="119"/>
      <c r="B1882" s="138" t="str">
        <f t="shared" si="95"/>
        <v>Windrow</v>
      </c>
      <c r="C1882" s="138" t="str">
        <f t="shared" si="96"/>
        <v>Base_With Amendment</v>
      </c>
      <c r="D1882" s="118" t="s">
        <v>135</v>
      </c>
      <c r="E1882" s="118" t="s">
        <v>180</v>
      </c>
      <c r="F1882" s="118" t="s">
        <v>46</v>
      </c>
      <c r="G1882" s="153"/>
      <c r="H1882" s="155">
        <v>0.47860000000000003</v>
      </c>
      <c r="I1882" s="154" t="s">
        <v>167</v>
      </c>
      <c r="J1882" s="204">
        <v>2.7999999999999998E-4</v>
      </c>
      <c r="K1882" s="154" t="s">
        <v>26</v>
      </c>
      <c r="L1882" s="154" t="str">
        <f>IF(OpenLCAbasic!K1882="CTUh", "Fill in Manually",IF(OR(K1882="Unit", K1882=""), "", INDEX(LookUps!$E$5:$E$12, MATCH(OpenLCAbasic!K1882,LookUps!$D$5:$D$12,0))))</f>
        <v>Water Use (WU) - m3 H2O</v>
      </c>
      <c r="M1882" s="154" t="str">
        <f t="shared" si="97"/>
        <v>Low_Medium_Low_Upgraded_Water Use (WU) - m3 H2O_Waste Receiving and Holding; wastewater treatment unit; at updated plant - US_Base_With Amendment_Windrow</v>
      </c>
    </row>
    <row r="1883" spans="1:13" s="120" customFormat="1" x14ac:dyDescent="0.25">
      <c r="A1883" s="119"/>
      <c r="B1883" s="138" t="str">
        <f t="shared" si="95"/>
        <v>Windrow</v>
      </c>
      <c r="C1883" s="138" t="str">
        <f t="shared" si="96"/>
        <v>Base_With Amendment</v>
      </c>
      <c r="D1883" s="118" t="s">
        <v>135</v>
      </c>
      <c r="E1883" s="118" t="s">
        <v>180</v>
      </c>
      <c r="F1883" s="118" t="s">
        <v>46</v>
      </c>
      <c r="G1883" s="153"/>
      <c r="H1883" s="155">
        <v>0.31240000000000001</v>
      </c>
      <c r="I1883" s="154" t="s">
        <v>147</v>
      </c>
      <c r="J1883" s="204">
        <v>1.8000000000000001E-4</v>
      </c>
      <c r="K1883" s="154" t="s">
        <v>26</v>
      </c>
      <c r="L1883" s="154" t="str">
        <f>IF(OpenLCAbasic!K1883="CTUh", "Fill in Manually",IF(OR(K1883="Unit", K1883=""), "", INDEX(LookUps!$E$5:$E$12, MATCH(OpenLCAbasic!K1883,LookUps!$D$5:$D$12,0))))</f>
        <v>Water Use (WU) - m3 H2O</v>
      </c>
      <c r="M1883" s="154" t="str">
        <f t="shared" si="97"/>
        <v>Low_Medium_Low_Upgraded_Water Use (WU) - m3 H2O_Influent Pump Station; wastewater treatment unit; at updated plant - US_Base_With Amendment_Windrow</v>
      </c>
    </row>
    <row r="1884" spans="1:13" s="120" customFormat="1" x14ac:dyDescent="0.25">
      <c r="A1884" s="119"/>
      <c r="B1884" s="138" t="str">
        <f t="shared" si="95"/>
        <v>Windrow</v>
      </c>
      <c r="C1884" s="138" t="str">
        <f t="shared" si="96"/>
        <v>Base_With Amendment</v>
      </c>
      <c r="D1884" s="118" t="s">
        <v>135</v>
      </c>
      <c r="E1884" s="118" t="s">
        <v>180</v>
      </c>
      <c r="F1884" s="118" t="s">
        <v>46</v>
      </c>
      <c r="G1884" s="153"/>
      <c r="H1884" s="155">
        <v>0.30480000000000002</v>
      </c>
      <c r="I1884" s="154" t="s">
        <v>54</v>
      </c>
      <c r="J1884" s="204">
        <v>1.8000000000000001E-4</v>
      </c>
      <c r="K1884" s="154" t="s">
        <v>26</v>
      </c>
      <c r="L1884" s="154" t="str">
        <f>IF(OpenLCAbasic!K1884="CTUh", "Fill in Manually",IF(OR(K1884="Unit", K1884=""), "", INDEX(LookUps!$E$5:$E$12, MATCH(OpenLCAbasic!K1884,LookUps!$D$5:$D$12,0))))</f>
        <v>Water Use (WU) - m3 H2O</v>
      </c>
      <c r="M1884" s="154" t="str">
        <f t="shared" si="97"/>
        <v>Low_Medium_Low_Upgraded_Water Use (WU) - m3 H2O_Clear Cove Primary Clarification; wastewater treatment unit; at updated plant - US_Base_With Amendment_Windrow</v>
      </c>
    </row>
    <row r="1885" spans="1:13" s="120" customFormat="1" x14ac:dyDescent="0.25">
      <c r="A1885" s="119"/>
      <c r="B1885" s="138" t="str">
        <f t="shared" si="95"/>
        <v>Windrow</v>
      </c>
      <c r="C1885" s="138" t="str">
        <f t="shared" si="96"/>
        <v>Base_With Amendment</v>
      </c>
      <c r="D1885" s="118" t="s">
        <v>135</v>
      </c>
      <c r="E1885" s="118" t="s">
        <v>180</v>
      </c>
      <c r="F1885" s="118" t="s">
        <v>46</v>
      </c>
      <c r="G1885" s="153"/>
      <c r="H1885" s="155">
        <v>0.27650000000000002</v>
      </c>
      <c r="I1885" s="154" t="s">
        <v>55</v>
      </c>
      <c r="J1885" s="204">
        <v>1.6000000000000001E-4</v>
      </c>
      <c r="K1885" s="154" t="s">
        <v>26</v>
      </c>
      <c r="L1885" s="154" t="str">
        <f>IF(OpenLCAbasic!K1885="CTUh", "Fill in Manually",IF(OR(K1885="Unit", K1885=""), "", INDEX(LookUps!$E$5:$E$12, MATCH(OpenLCAbasic!K1885,LookUps!$D$5:$D$12,0))))</f>
        <v>Water Use (WU) - m3 H2O</v>
      </c>
      <c r="M1885" s="154" t="str">
        <f t="shared" si="97"/>
        <v>Low_Medium_Low_Upgraded_Water Use (WU) - m3 H2O_Aeration Tanks; wastewater treatment unit; at updated plant - US_Base_With Amendment_Windrow</v>
      </c>
    </row>
    <row r="1886" spans="1:13" s="120" customFormat="1" x14ac:dyDescent="0.25">
      <c r="A1886" s="119"/>
      <c r="B1886" s="138" t="str">
        <f t="shared" si="95"/>
        <v>Windrow</v>
      </c>
      <c r="C1886" s="138" t="str">
        <f t="shared" si="96"/>
        <v>Base_With Amendment</v>
      </c>
      <c r="D1886" s="118" t="s">
        <v>135</v>
      </c>
      <c r="E1886" s="118" t="s">
        <v>180</v>
      </c>
      <c r="F1886" s="118" t="s">
        <v>46</v>
      </c>
      <c r="G1886" s="153"/>
      <c r="H1886" s="155">
        <v>0.25190000000000001</v>
      </c>
      <c r="I1886" s="154" t="s">
        <v>148</v>
      </c>
      <c r="J1886" s="204">
        <v>1.4999999999999999E-4</v>
      </c>
      <c r="K1886" s="154" t="s">
        <v>26</v>
      </c>
      <c r="L1886" s="154" t="str">
        <f>IF(OpenLCAbasic!K1886="CTUh", "Fill in Manually",IF(OR(K1886="Unit", K1886=""), "", INDEX(LookUps!$E$5:$E$12, MATCH(OpenLCAbasic!K1886,LookUps!$D$5:$D$12,0))))</f>
        <v>Water Use (WU) - m3 H2O</v>
      </c>
      <c r="M1886" s="154" t="str">
        <f t="shared" si="97"/>
        <v>Low_Medium_Low_Upgraded_Water Use (WU) - m3 H2O_Control Building; at upgraded wastewater treatment plant - US_Base_With Amendment_Windrow</v>
      </c>
    </row>
    <row r="1887" spans="1:13" s="120" customFormat="1" x14ac:dyDescent="0.25">
      <c r="A1887" s="119"/>
      <c r="B1887" s="138" t="str">
        <f t="shared" si="95"/>
        <v>Windrow</v>
      </c>
      <c r="C1887" s="138" t="str">
        <f t="shared" si="96"/>
        <v>Base_With Amendment</v>
      </c>
      <c r="D1887" s="118" t="s">
        <v>135</v>
      </c>
      <c r="E1887" s="118" t="s">
        <v>180</v>
      </c>
      <c r="F1887" s="118" t="s">
        <v>46</v>
      </c>
      <c r="G1887" s="153"/>
      <c r="H1887" s="155">
        <v>0.11700000000000001</v>
      </c>
      <c r="I1887" s="154" t="s">
        <v>48</v>
      </c>
      <c r="J1887" s="204">
        <v>6.8836400000000004E-5</v>
      </c>
      <c r="K1887" s="154" t="s">
        <v>26</v>
      </c>
      <c r="L1887" s="154" t="str">
        <f>IF(OpenLCAbasic!K1887="CTUh", "Fill in Manually",IF(OR(K1887="Unit", K1887=""), "", INDEX(LookUps!$E$5:$E$12, MATCH(OpenLCAbasic!K1887,LookUps!$D$5:$D$12,0))))</f>
        <v>Water Use (WU) - m3 H2O</v>
      </c>
      <c r="M1887" s="154" t="str">
        <f t="shared" si="97"/>
        <v>Low_Medium_Low_Upgraded_Water Use (WU) - m3 H2O_Effluent release; wastewater treatment unit; at surface water; m3 wastewater - US_Base_With Amendment_Windrow</v>
      </c>
    </row>
    <row r="1888" spans="1:13" s="120" customFormat="1" x14ac:dyDescent="0.25">
      <c r="A1888" s="119"/>
      <c r="B1888" s="138" t="str">
        <f t="shared" si="95"/>
        <v>Windrow</v>
      </c>
      <c r="C1888" s="138" t="str">
        <f t="shared" si="96"/>
        <v>Base_With Amendment</v>
      </c>
      <c r="D1888" s="118" t="s">
        <v>135</v>
      </c>
      <c r="E1888" s="118" t="s">
        <v>180</v>
      </c>
      <c r="F1888" s="118" t="s">
        <v>46</v>
      </c>
      <c r="G1888" s="153"/>
      <c r="H1888" s="155">
        <v>7.3499999999999996E-2</v>
      </c>
      <c r="I1888" s="154" t="s">
        <v>58</v>
      </c>
      <c r="J1888" s="204">
        <v>4.3235300000000003E-5</v>
      </c>
      <c r="K1888" s="154" t="s">
        <v>26</v>
      </c>
      <c r="L1888" s="154" t="str">
        <f>IF(OpenLCAbasic!K1888="CTUh", "Fill in Manually",IF(OR(K1888="Unit", K1888=""), "", INDEX(LookUps!$E$5:$E$12, MATCH(OpenLCAbasic!K1888,LookUps!$D$5:$D$12,0))))</f>
        <v>Water Use (WU) - m3 H2O</v>
      </c>
      <c r="M1888" s="154" t="str">
        <f t="shared" si="97"/>
        <v>Low_Medium_Low_Upgraded_Water Use (WU) - m3 H2O_Pre-Anoxic &amp; Swing tank; wastewater treatment unit; at updated plant - US_Base_With Amendment_Windrow</v>
      </c>
    </row>
    <row r="1889" spans="1:13" s="120" customFormat="1" x14ac:dyDescent="0.25">
      <c r="A1889" s="119"/>
      <c r="B1889" s="138" t="str">
        <f t="shared" si="95"/>
        <v>Windrow</v>
      </c>
      <c r="C1889" s="138" t="str">
        <f t="shared" si="96"/>
        <v>Base_With Amendment</v>
      </c>
      <c r="D1889" s="118" t="s">
        <v>135</v>
      </c>
      <c r="E1889" s="118" t="s">
        <v>180</v>
      </c>
      <c r="F1889" s="118" t="s">
        <v>46</v>
      </c>
      <c r="G1889" s="153"/>
      <c r="H1889" s="155">
        <v>5.8099999999999999E-2</v>
      </c>
      <c r="I1889" s="154" t="s">
        <v>60</v>
      </c>
      <c r="J1889" s="204">
        <v>3.4196200000000003E-5</v>
      </c>
      <c r="K1889" s="154" t="s">
        <v>26</v>
      </c>
      <c r="L1889" s="154" t="str">
        <f>IF(OpenLCAbasic!K1889="CTUh", "Fill in Manually",IF(OR(K1889="Unit", K1889=""), "", INDEX(LookUps!$E$5:$E$12, MATCH(OpenLCAbasic!K1889,LookUps!$D$5:$D$12,0))))</f>
        <v>Water Use (WU) - m3 H2O</v>
      </c>
      <c r="M1889" s="154" t="str">
        <f t="shared" si="97"/>
        <v>Low_Medium_Low_Upgraded_Water Use (WU) - m3 H2O_Belt filter press; wastewater treatment unit; at updated plant - US_Base_With Amendment_Windrow</v>
      </c>
    </row>
    <row r="1890" spans="1:13" s="120" customFormat="1" x14ac:dyDescent="0.25">
      <c r="A1890" s="119"/>
      <c r="B1890" s="138" t="str">
        <f t="shared" si="95"/>
        <v>Windrow</v>
      </c>
      <c r="C1890" s="138" t="str">
        <f t="shared" si="96"/>
        <v>Base_With Amendment</v>
      </c>
      <c r="D1890" s="118" t="s">
        <v>135</v>
      </c>
      <c r="E1890" s="118" t="s">
        <v>180</v>
      </c>
      <c r="F1890" s="118" t="s">
        <v>46</v>
      </c>
      <c r="G1890" s="153"/>
      <c r="H1890" s="155">
        <v>5.1700000000000003E-2</v>
      </c>
      <c r="I1890" s="154" t="s">
        <v>57</v>
      </c>
      <c r="J1890" s="204">
        <v>3.0408100000000001E-5</v>
      </c>
      <c r="K1890" s="154" t="s">
        <v>26</v>
      </c>
      <c r="L1890" s="154" t="str">
        <f>IF(OpenLCAbasic!K1890="CTUh", "Fill in Manually",IF(OR(K1890="Unit", K1890=""), "", INDEX(LookUps!$E$5:$E$12, MATCH(OpenLCAbasic!K1890,LookUps!$D$5:$D$12,0))))</f>
        <v>Water Use (WU) - m3 H2O</v>
      </c>
      <c r="M1890" s="154" t="str">
        <f t="shared" si="97"/>
        <v>Low_Medium_Low_Upgraded_Water Use (WU) - m3 H2O_Gravity Belt Thickener; wastewater treatment unit; at updated plant - US_Base_With Amendment_Windrow</v>
      </c>
    </row>
    <row r="1891" spans="1:13" s="120" customFormat="1" x14ac:dyDescent="0.25">
      <c r="A1891" s="119"/>
      <c r="B1891" s="138" t="str">
        <f t="shared" si="95"/>
        <v>Windrow</v>
      </c>
      <c r="C1891" s="138" t="str">
        <f t="shared" si="96"/>
        <v>Base_With Amendment</v>
      </c>
      <c r="D1891" s="118" t="s">
        <v>135</v>
      </c>
      <c r="E1891" s="118" t="s">
        <v>180</v>
      </c>
      <c r="F1891" s="118" t="s">
        <v>46</v>
      </c>
      <c r="G1891" s="153"/>
      <c r="H1891" s="155">
        <v>4.65E-2</v>
      </c>
      <c r="I1891" s="154" t="s">
        <v>149</v>
      </c>
      <c r="J1891" s="204">
        <v>2.7368600000000001E-5</v>
      </c>
      <c r="K1891" s="154" t="s">
        <v>26</v>
      </c>
      <c r="L1891" s="154" t="str">
        <f>IF(OpenLCAbasic!K1891="CTUh", "Fill in Manually",IF(OR(K1891="Unit", K1891=""), "", INDEX(LookUps!$E$5:$E$12, MATCH(OpenLCAbasic!K1891,LookUps!$D$5:$D$12,0))))</f>
        <v>Water Use (WU) - m3 H2O</v>
      </c>
      <c r="M1891" s="154" t="str">
        <f t="shared" si="97"/>
        <v>Low_Medium_Low_Upgraded_Water Use (WU) - m3 H2O_Anaerobic Digestion; wastewater treatment unit; at updated plant - US_Base_With Amendment_Windrow</v>
      </c>
    </row>
    <row r="1892" spans="1:13" s="120" customFormat="1" x14ac:dyDescent="0.25">
      <c r="A1892" s="119"/>
      <c r="B1892" s="138" t="str">
        <f t="shared" si="95"/>
        <v>Windrow</v>
      </c>
      <c r="C1892" s="138" t="str">
        <f t="shared" si="96"/>
        <v>Base_With Amendment</v>
      </c>
      <c r="D1892" s="118" t="s">
        <v>135</v>
      </c>
      <c r="E1892" s="118" t="s">
        <v>180</v>
      </c>
      <c r="F1892" s="118" t="s">
        <v>46</v>
      </c>
      <c r="G1892" s="153"/>
      <c r="H1892" s="155">
        <v>2.9700000000000001E-2</v>
      </c>
      <c r="I1892" s="154" t="s">
        <v>53</v>
      </c>
      <c r="J1892" s="204">
        <v>1.75069E-5</v>
      </c>
      <c r="K1892" s="154" t="s">
        <v>26</v>
      </c>
      <c r="L1892" s="154" t="str">
        <f>IF(OpenLCAbasic!K1892="CTUh", "Fill in Manually",IF(OR(K1892="Unit", K1892=""), "", INDEX(LookUps!$E$5:$E$12, MATCH(OpenLCAbasic!K1892,LookUps!$D$5:$D$12,0))))</f>
        <v>Water Use (WU) - m3 H2O</v>
      </c>
      <c r="M1892" s="154" t="str">
        <f t="shared" si="97"/>
        <v>Low_Medium_Low_Upgraded_Water Use (WU) - m3 H2O_Wet Well and Sump Station; wastewater treatment unit; at updated plant - US_Base_With Amendment_Windrow</v>
      </c>
    </row>
    <row r="1893" spans="1:13" s="120" customFormat="1" x14ac:dyDescent="0.25">
      <c r="A1893" s="119"/>
      <c r="B1893" s="138" t="str">
        <f t="shared" si="95"/>
        <v>Windrow</v>
      </c>
      <c r="C1893" s="138" t="str">
        <f t="shared" si="96"/>
        <v>Base_With Amendment</v>
      </c>
      <c r="D1893" s="118" t="s">
        <v>135</v>
      </c>
      <c r="E1893" s="118" t="s">
        <v>180</v>
      </c>
      <c r="F1893" s="118" t="s">
        <v>46</v>
      </c>
      <c r="G1893" s="153"/>
      <c r="H1893" s="155">
        <v>1.1900000000000001E-2</v>
      </c>
      <c r="I1893" s="154" t="s">
        <v>59</v>
      </c>
      <c r="J1893" s="204">
        <v>7.0179500000000003E-6</v>
      </c>
      <c r="K1893" s="154" t="s">
        <v>26</v>
      </c>
      <c r="L1893" s="154" t="str">
        <f>IF(OpenLCAbasic!K1893="CTUh", "Fill in Manually",IF(OR(K1893="Unit", K1893=""), "", INDEX(LookUps!$E$5:$E$12, MATCH(OpenLCAbasic!K1893,LookUps!$D$5:$D$12,0))))</f>
        <v>Water Use (WU) - m3 H2O</v>
      </c>
      <c r="M1893" s="154" t="str">
        <f t="shared" si="97"/>
        <v>Low_Medium_Low_Upgraded_Water Use (WU) - m3 H2O_Blend Tank; wastewater treatment unit; at updated plant - US_Base_With Amendment_Windrow</v>
      </c>
    </row>
    <row r="1894" spans="1:13" s="120" customFormat="1" x14ac:dyDescent="0.25">
      <c r="A1894" s="119"/>
      <c r="B1894" s="138" t="str">
        <f t="shared" si="95"/>
        <v>Windrow</v>
      </c>
      <c r="C1894" s="138" t="str">
        <f t="shared" si="96"/>
        <v>Base_With Amendment</v>
      </c>
      <c r="D1894" s="118" t="s">
        <v>135</v>
      </c>
      <c r="E1894" s="118" t="s">
        <v>180</v>
      </c>
      <c r="F1894" s="118" t="s">
        <v>46</v>
      </c>
      <c r="G1894" s="153"/>
      <c r="H1894" s="155">
        <v>8.6E-3</v>
      </c>
      <c r="I1894" s="154" t="s">
        <v>128</v>
      </c>
      <c r="J1894" s="204">
        <v>5.0608900000000003E-6</v>
      </c>
      <c r="K1894" s="154" t="s">
        <v>26</v>
      </c>
      <c r="L1894" s="154" t="str">
        <f>IF(OpenLCAbasic!K1894="CTUh", "Fill in Manually",IF(OR(K1894="Unit", K1894=""), "", INDEX(LookUps!$E$5:$E$12, MATCH(OpenLCAbasic!K1894,LookUps!$D$5:$D$12,0))))</f>
        <v>Water Use (WU) - m3 H2O</v>
      </c>
      <c r="M1894" s="154" t="str">
        <f t="shared" si="97"/>
        <v>Low_Medium_Low_Upgraded_Water Use (WU) - m3 H2O_Wastewater collection; operation and infrastructure; m3 wastewater_Base_With Amendment_Windrow</v>
      </c>
    </row>
    <row r="1895" spans="1:13" s="120" customFormat="1" x14ac:dyDescent="0.25">
      <c r="A1895" s="119"/>
      <c r="B1895" s="138" t="str">
        <f t="shared" si="95"/>
        <v>Windrow</v>
      </c>
      <c r="C1895" s="138" t="str">
        <f t="shared" si="96"/>
        <v>Base_With Amendment</v>
      </c>
      <c r="D1895" s="118" t="s">
        <v>135</v>
      </c>
      <c r="E1895" s="118" t="s">
        <v>180</v>
      </c>
      <c r="F1895" s="118" t="s">
        <v>46</v>
      </c>
      <c r="G1895" s="153"/>
      <c r="H1895" s="155">
        <v>2.8E-3</v>
      </c>
      <c r="I1895" s="154" t="s">
        <v>271</v>
      </c>
      <c r="J1895" s="204">
        <v>1.67133E-6</v>
      </c>
      <c r="K1895" s="154" t="s">
        <v>26</v>
      </c>
      <c r="L1895" s="154" t="str">
        <f>IF(OpenLCAbasic!K1895="CTUh", "Fill in Manually",IF(OR(K1895="Unit", K1895=""), "", INDEX(LookUps!$E$5:$E$12, MATCH(OpenLCAbasic!K1895,LookUps!$D$5:$D$12,0))))</f>
        <v>Water Use (WU) - m3 H2O</v>
      </c>
      <c r="M1895" s="154" t="str">
        <f t="shared" si="97"/>
        <v>Low_Medium_Low_Upgraded_Water Use (WU) - m3 H2O_Biosolids composting; windrow composting; wastewater treatment unit; at updated plant - US_Base_With Amendment_Windrow</v>
      </c>
    </row>
    <row r="1896" spans="1:13" s="120" customFormat="1" x14ac:dyDescent="0.25">
      <c r="A1896" s="119"/>
      <c r="B1896" s="138" t="str">
        <f t="shared" si="95"/>
        <v>Windrow</v>
      </c>
      <c r="C1896" s="138" t="str">
        <f t="shared" si="96"/>
        <v>Base_With Amendment</v>
      </c>
      <c r="D1896" s="118" t="s">
        <v>135</v>
      </c>
      <c r="E1896" s="118" t="s">
        <v>180</v>
      </c>
      <c r="F1896" s="118" t="s">
        <v>46</v>
      </c>
      <c r="G1896" s="153"/>
      <c r="H1896" s="155">
        <v>1.2999999999999999E-3</v>
      </c>
      <c r="I1896" s="154" t="s">
        <v>168</v>
      </c>
      <c r="J1896" s="204">
        <v>7.6697000000000004E-7</v>
      </c>
      <c r="K1896" s="154" t="s">
        <v>26</v>
      </c>
      <c r="L1896" s="154" t="str">
        <f>IF(OpenLCAbasic!K1896="CTUh", "Fill in Manually",IF(OR(K1896="Unit", K1896=""), "", INDEX(LookUps!$E$5:$E$12, MATCH(OpenLCAbasic!K1896,LookUps!$D$5:$D$12,0))))</f>
        <v>Water Use (WU) - m3 H2O</v>
      </c>
      <c r="M1896" s="154" t="str">
        <f t="shared" si="97"/>
        <v>Low_Medium_Low_Upgraded_Water Use (WU) - m3 H2O_ClearCove SCP; wastewater treatment unit; at updated plant - US_Base_With Amendment_Windrow</v>
      </c>
    </row>
    <row r="1897" spans="1:13" s="120" customFormat="1" x14ac:dyDescent="0.25">
      <c r="A1897" s="213"/>
      <c r="B1897" s="138" t="str">
        <f t="shared" si="95"/>
        <v>Windrow</v>
      </c>
      <c r="C1897" s="138" t="str">
        <f t="shared" si="96"/>
        <v>Base_With Amendment</v>
      </c>
      <c r="D1897" s="118" t="s">
        <v>135</v>
      </c>
      <c r="E1897" s="118" t="s">
        <v>180</v>
      </c>
      <c r="F1897" s="118" t="s">
        <v>46</v>
      </c>
      <c r="G1897" s="153"/>
      <c r="H1897" s="155">
        <v>-3.0253999999999999</v>
      </c>
      <c r="I1897" s="154" t="s">
        <v>62</v>
      </c>
      <c r="J1897" s="204">
        <v>-1.7799999999999999E-3</v>
      </c>
      <c r="K1897" s="154" t="s">
        <v>26</v>
      </c>
      <c r="L1897" s="154" t="str">
        <f>IF(OpenLCAbasic!K1897="CTUh", "Fill in Manually",IF(OR(K1897="Unit", K1897=""), "", INDEX(LookUps!$E$5:$E$12, MATCH(OpenLCAbasic!K1897,LookUps!$D$5:$D$12,0))))</f>
        <v>Water Use (WU) - m3 H2O</v>
      </c>
      <c r="M1897" s="154" t="str">
        <f t="shared" si="97"/>
        <v>Low_Medium_Low_Upgraded_Water Use (WU) - m3 H2O_Land application of compost; wastewater treatment unit; at updated plant - US_Base_With Amendment_Windrow</v>
      </c>
    </row>
    <row r="1898" spans="1:13" s="120" customFormat="1" x14ac:dyDescent="0.25">
      <c r="A1898" s="119"/>
      <c r="B1898" s="138" t="str">
        <f t="shared" si="95"/>
        <v/>
      </c>
      <c r="C1898" s="138" t="str">
        <f t="shared" si="96"/>
        <v/>
      </c>
      <c r="D1898" s="118"/>
      <c r="E1898" s="118"/>
      <c r="F1898" s="118"/>
      <c r="G1898" s="153"/>
      <c r="H1898" s="154"/>
      <c r="I1898" s="154"/>
      <c r="J1898" s="205"/>
      <c r="K1898" s="154"/>
      <c r="L1898" s="154" t="str">
        <f>IF(OpenLCAbasic!K1898="CTUh", "Fill in Manually",IF(OR(K1898="Unit", K1898=""), "", INDEX(LookUps!$E$5:$E$12, MATCH(OpenLCAbasic!K1898,LookUps!$D$5:$D$12,0))))</f>
        <v/>
      </c>
      <c r="M1898" s="154" t="str">
        <f t="shared" si="97"/>
        <v>______</v>
      </c>
    </row>
    <row r="1899" spans="1:13" s="120" customFormat="1" x14ac:dyDescent="0.25">
      <c r="A1899" s="119"/>
      <c r="B1899" s="138" t="str">
        <f t="shared" si="95"/>
        <v>Windrow</v>
      </c>
      <c r="C1899" s="138" t="str">
        <f t="shared" si="96"/>
        <v>Base_With Amendment</v>
      </c>
      <c r="D1899" s="118" t="s">
        <v>136</v>
      </c>
      <c r="E1899" s="118" t="s">
        <v>180</v>
      </c>
      <c r="F1899" s="118" t="s">
        <v>46</v>
      </c>
      <c r="G1899" s="153" t="s">
        <v>51</v>
      </c>
      <c r="H1899" s="154"/>
      <c r="I1899" s="154" t="s">
        <v>47</v>
      </c>
      <c r="J1899" s="154" t="s">
        <v>52</v>
      </c>
      <c r="K1899" s="154" t="s">
        <v>27</v>
      </c>
      <c r="L1899" s="154" t="str">
        <f>IF(OpenLCAbasic!K1899="CTUh", "Fill in Manually",IF(OR(K1899="Unit", K1899=""), "", INDEX(LookUps!$E$5:$E$12, MATCH(OpenLCAbasic!K1899,LookUps!$D$5:$D$12,0))))</f>
        <v/>
      </c>
      <c r="M1899" s="154" t="str">
        <f t="shared" si="97"/>
        <v>Low_Medium_Base_Upgraded__Process_Base_With Amendment_Windrow</v>
      </c>
    </row>
    <row r="1900" spans="1:13" s="120" customFormat="1" x14ac:dyDescent="0.25">
      <c r="A1900" s="119"/>
      <c r="B1900" s="138" t="str">
        <f t="shared" si="95"/>
        <v>Windrow</v>
      </c>
      <c r="C1900" s="138" t="str">
        <f t="shared" si="96"/>
        <v>Base_With Amendment</v>
      </c>
      <c r="D1900" s="118" t="s">
        <v>136</v>
      </c>
      <c r="E1900" s="118" t="s">
        <v>180</v>
      </c>
      <c r="F1900" s="118" t="s">
        <v>46</v>
      </c>
      <c r="G1900" s="153"/>
      <c r="H1900" s="155">
        <v>2.7058</v>
      </c>
      <c r="I1900" s="154" t="s">
        <v>58</v>
      </c>
      <c r="J1900" s="203">
        <v>0.24568999999999999</v>
      </c>
      <c r="K1900" s="154" t="s">
        <v>23</v>
      </c>
      <c r="L1900" s="154" t="str">
        <f>IF(OpenLCAbasic!K1900="CTUh", "Fill in Manually",IF(OR(K1900="Unit", K1900=""), "", INDEX(LookUps!$E$5:$E$12, MATCH(OpenLCAbasic!K1900,LookUps!$D$5:$D$12,0))))</f>
        <v>Global Warming Potential (GWP) - kg CO2 eq</v>
      </c>
      <c r="M1900" s="154" t="str">
        <f t="shared" si="97"/>
        <v>Low_Medium_Base_Upgraded_Global Warming Potential (GWP) - kg CO2 eq_Pre-Anoxic &amp; Swing tank; wastewater treatment unit; at updated plant - US_Base_With Amendment_Windrow</v>
      </c>
    </row>
    <row r="1901" spans="1:13" s="120" customFormat="1" x14ac:dyDescent="0.25">
      <c r="A1901" s="119"/>
      <c r="B1901" s="138" t="str">
        <f t="shared" si="95"/>
        <v>Windrow</v>
      </c>
      <c r="C1901" s="138" t="str">
        <f t="shared" si="96"/>
        <v>Base_With Amendment</v>
      </c>
      <c r="D1901" s="118" t="s">
        <v>136</v>
      </c>
      <c r="E1901" s="118" t="s">
        <v>180</v>
      </c>
      <c r="F1901" s="118" t="s">
        <v>46</v>
      </c>
      <c r="G1901" s="153"/>
      <c r="H1901" s="155">
        <v>1.8527</v>
      </c>
      <c r="I1901" s="154" t="s">
        <v>55</v>
      </c>
      <c r="J1901" s="203">
        <v>0.16822000000000001</v>
      </c>
      <c r="K1901" s="154" t="s">
        <v>23</v>
      </c>
      <c r="L1901" s="154" t="str">
        <f>IF(OpenLCAbasic!K1901="CTUh", "Fill in Manually",IF(OR(K1901="Unit", K1901=""), "", INDEX(LookUps!$E$5:$E$12, MATCH(OpenLCAbasic!K1901,LookUps!$D$5:$D$12,0))))</f>
        <v>Global Warming Potential (GWP) - kg CO2 eq</v>
      </c>
      <c r="M1901" s="154" t="str">
        <f t="shared" si="97"/>
        <v>Low_Medium_Base_Upgraded_Global Warming Potential (GWP) - kg CO2 eq_Aeration Tanks; wastewater treatment unit; at updated plant - US_Base_With Amendment_Windrow</v>
      </c>
    </row>
    <row r="1902" spans="1:13" s="120" customFormat="1" x14ac:dyDescent="0.25">
      <c r="A1902" s="119"/>
      <c r="B1902" s="138" t="str">
        <f t="shared" si="95"/>
        <v>Windrow</v>
      </c>
      <c r="C1902" s="138" t="str">
        <f t="shared" si="96"/>
        <v>Base_With Amendment</v>
      </c>
      <c r="D1902" s="118" t="s">
        <v>136</v>
      </c>
      <c r="E1902" s="118" t="s">
        <v>180</v>
      </c>
      <c r="F1902" s="118" t="s">
        <v>46</v>
      </c>
      <c r="G1902" s="153"/>
      <c r="H1902" s="155">
        <v>1.4527000000000001</v>
      </c>
      <c r="I1902" s="154" t="s">
        <v>271</v>
      </c>
      <c r="J1902" s="203">
        <v>0.13191</v>
      </c>
      <c r="K1902" s="154" t="s">
        <v>23</v>
      </c>
      <c r="L1902" s="154" t="str">
        <f>IF(OpenLCAbasic!K1902="CTUh", "Fill in Manually",IF(OR(K1902="Unit", K1902=""), "", INDEX(LookUps!$E$5:$E$12, MATCH(OpenLCAbasic!K1902,LookUps!$D$5:$D$12,0))))</f>
        <v>Global Warming Potential (GWP) - kg CO2 eq</v>
      </c>
      <c r="M1902" s="154" t="str">
        <f t="shared" si="97"/>
        <v>Low_Medium_Base_Upgraded_Global Warming Potential (GWP) - kg CO2 eq_Biosolids composting; windrow composting; wastewater treatment unit; at updated plant - US_Base_With Amendment_Windrow</v>
      </c>
    </row>
    <row r="1903" spans="1:13" s="120" customFormat="1" x14ac:dyDescent="0.25">
      <c r="A1903" s="119"/>
      <c r="B1903" s="138" t="str">
        <f t="shared" si="95"/>
        <v>Windrow</v>
      </c>
      <c r="C1903" s="138" t="str">
        <f t="shared" si="96"/>
        <v>Base_With Amendment</v>
      </c>
      <c r="D1903" s="118" t="s">
        <v>136</v>
      </c>
      <c r="E1903" s="118" t="s">
        <v>180</v>
      </c>
      <c r="F1903" s="118" t="s">
        <v>46</v>
      </c>
      <c r="G1903" s="153"/>
      <c r="H1903" s="155">
        <v>1.3607</v>
      </c>
      <c r="I1903" s="154" t="s">
        <v>167</v>
      </c>
      <c r="J1903" s="203">
        <v>0.12354999999999999</v>
      </c>
      <c r="K1903" s="154" t="s">
        <v>23</v>
      </c>
      <c r="L1903" s="154" t="str">
        <f>IF(OpenLCAbasic!K1903="CTUh", "Fill in Manually",IF(OR(K1903="Unit", K1903=""), "", INDEX(LookUps!$E$5:$E$12, MATCH(OpenLCAbasic!K1903,LookUps!$D$5:$D$12,0))))</f>
        <v>Global Warming Potential (GWP) - kg CO2 eq</v>
      </c>
      <c r="M1903" s="154" t="str">
        <f t="shared" si="97"/>
        <v>Low_Medium_Base_Upgraded_Global Warming Potential (GWP) - kg CO2 eq_Waste Receiving and Holding; wastewater treatment unit; at updated plant - US_Base_With Amendment_Windrow</v>
      </c>
    </row>
    <row r="1904" spans="1:13" s="120" customFormat="1" x14ac:dyDescent="0.25">
      <c r="A1904" s="119"/>
      <c r="B1904" s="138" t="str">
        <f t="shared" si="95"/>
        <v>Windrow</v>
      </c>
      <c r="C1904" s="138" t="str">
        <f t="shared" si="96"/>
        <v>Base_With Amendment</v>
      </c>
      <c r="D1904" s="118" t="s">
        <v>136</v>
      </c>
      <c r="E1904" s="118" t="s">
        <v>180</v>
      </c>
      <c r="F1904" s="118" t="s">
        <v>46</v>
      </c>
      <c r="G1904" s="153"/>
      <c r="H1904" s="155">
        <v>0.62860000000000005</v>
      </c>
      <c r="I1904" s="154" t="s">
        <v>54</v>
      </c>
      <c r="J1904" s="203">
        <v>5.7079999999999999E-2</v>
      </c>
      <c r="K1904" s="154" t="s">
        <v>23</v>
      </c>
      <c r="L1904" s="154" t="str">
        <f>IF(OpenLCAbasic!K1904="CTUh", "Fill in Manually",IF(OR(K1904="Unit", K1904=""), "", INDEX(LookUps!$E$5:$E$12, MATCH(OpenLCAbasic!K1904,LookUps!$D$5:$D$12,0))))</f>
        <v>Global Warming Potential (GWP) - kg CO2 eq</v>
      </c>
      <c r="M1904" s="154" t="str">
        <f t="shared" si="97"/>
        <v>Low_Medium_Base_Upgraded_Global Warming Potential (GWP) - kg CO2 eq_Clear Cove Primary Clarification; wastewater treatment unit; at updated plant - US_Base_With Amendment_Windrow</v>
      </c>
    </row>
    <row r="1905" spans="1:13" s="120" customFormat="1" x14ac:dyDescent="0.25">
      <c r="A1905" s="119"/>
      <c r="B1905" s="138" t="str">
        <f t="shared" si="95"/>
        <v>Windrow</v>
      </c>
      <c r="C1905" s="138" t="str">
        <f t="shared" si="96"/>
        <v>Base_With Amendment</v>
      </c>
      <c r="D1905" s="118" t="s">
        <v>136</v>
      </c>
      <c r="E1905" s="118" t="s">
        <v>180</v>
      </c>
      <c r="F1905" s="118" t="s">
        <v>46</v>
      </c>
      <c r="G1905" s="153"/>
      <c r="H1905" s="155">
        <v>0.57969999999999999</v>
      </c>
      <c r="I1905" s="154" t="s">
        <v>48</v>
      </c>
      <c r="J1905" s="203">
        <v>5.2639999999999999E-2</v>
      </c>
      <c r="K1905" s="154" t="s">
        <v>23</v>
      </c>
      <c r="L1905" s="154" t="str">
        <f>IF(OpenLCAbasic!K1905="CTUh", "Fill in Manually",IF(OR(K1905="Unit", K1905=""), "", INDEX(LookUps!$E$5:$E$12, MATCH(OpenLCAbasic!K1905,LookUps!$D$5:$D$12,0))))</f>
        <v>Global Warming Potential (GWP) - kg CO2 eq</v>
      </c>
      <c r="M1905" s="154" t="str">
        <f t="shared" si="97"/>
        <v>Low_Medium_Base_Upgraded_Global Warming Potential (GWP) - kg CO2 eq_Effluent release; wastewater treatment unit; at surface water; m3 wastewater - US_Base_With Amendment_Windrow</v>
      </c>
    </row>
    <row r="1906" spans="1:13" s="120" customFormat="1" x14ac:dyDescent="0.25">
      <c r="A1906" s="119"/>
      <c r="B1906" s="138" t="str">
        <f t="shared" si="95"/>
        <v>Windrow</v>
      </c>
      <c r="C1906" s="138" t="str">
        <f t="shared" si="96"/>
        <v>Base_With Amendment</v>
      </c>
      <c r="D1906" s="118" t="s">
        <v>136</v>
      </c>
      <c r="E1906" s="118" t="s">
        <v>180</v>
      </c>
      <c r="F1906" s="118" t="s">
        <v>46</v>
      </c>
      <c r="G1906" s="153"/>
      <c r="H1906" s="155">
        <v>0.55610000000000004</v>
      </c>
      <c r="I1906" s="154" t="s">
        <v>147</v>
      </c>
      <c r="J1906" s="203">
        <v>5.0500000000000003E-2</v>
      </c>
      <c r="K1906" s="154" t="s">
        <v>23</v>
      </c>
      <c r="L1906" s="154" t="str">
        <f>IF(OpenLCAbasic!K1906="CTUh", "Fill in Manually",IF(OR(K1906="Unit", K1906=""), "", INDEX(LookUps!$E$5:$E$12, MATCH(OpenLCAbasic!K1906,LookUps!$D$5:$D$12,0))))</f>
        <v>Global Warming Potential (GWP) - kg CO2 eq</v>
      </c>
      <c r="M1906" s="154" t="str">
        <f t="shared" si="97"/>
        <v>Low_Medium_Base_Upgraded_Global Warming Potential (GWP) - kg CO2 eq_Influent Pump Station; wastewater treatment unit; at updated plant - US_Base_With Amendment_Windrow</v>
      </c>
    </row>
    <row r="1907" spans="1:13" s="120" customFormat="1" x14ac:dyDescent="0.25">
      <c r="A1907" s="119"/>
      <c r="B1907" s="138" t="str">
        <f t="shared" si="95"/>
        <v>Windrow</v>
      </c>
      <c r="C1907" s="138" t="str">
        <f t="shared" si="96"/>
        <v>Base_With Amendment</v>
      </c>
      <c r="D1907" s="118" t="s">
        <v>136</v>
      </c>
      <c r="E1907" s="118" t="s">
        <v>180</v>
      </c>
      <c r="F1907" s="118" t="s">
        <v>46</v>
      </c>
      <c r="G1907" s="153"/>
      <c r="H1907" s="155">
        <v>0.36620000000000003</v>
      </c>
      <c r="I1907" s="154" t="s">
        <v>53</v>
      </c>
      <c r="J1907" s="203">
        <v>3.3259999999999998E-2</v>
      </c>
      <c r="K1907" s="154" t="s">
        <v>23</v>
      </c>
      <c r="L1907" s="154" t="str">
        <f>IF(OpenLCAbasic!K1907="CTUh", "Fill in Manually",IF(OR(K1907="Unit", K1907=""), "", INDEX(LookUps!$E$5:$E$12, MATCH(OpenLCAbasic!K1907,LookUps!$D$5:$D$12,0))))</f>
        <v>Global Warming Potential (GWP) - kg CO2 eq</v>
      </c>
      <c r="M1907" s="154" t="str">
        <f t="shared" si="97"/>
        <v>Low_Medium_Base_Upgraded_Global Warming Potential (GWP) - kg CO2 eq_Wet Well and Sump Station; wastewater treatment unit; at updated plant - US_Base_With Amendment_Windrow</v>
      </c>
    </row>
    <row r="1908" spans="1:13" s="120" customFormat="1" x14ac:dyDescent="0.25">
      <c r="A1908" s="119"/>
      <c r="B1908" s="138" t="str">
        <f t="shared" si="95"/>
        <v>Windrow</v>
      </c>
      <c r="C1908" s="138" t="str">
        <f t="shared" si="96"/>
        <v>Base_With Amendment</v>
      </c>
      <c r="D1908" s="118" t="s">
        <v>136</v>
      </c>
      <c r="E1908" s="118" t="s">
        <v>180</v>
      </c>
      <c r="F1908" s="118" t="s">
        <v>46</v>
      </c>
      <c r="G1908" s="153"/>
      <c r="H1908" s="155">
        <v>0.1943</v>
      </c>
      <c r="I1908" s="154" t="s">
        <v>60</v>
      </c>
      <c r="J1908" s="203">
        <v>1.7639999999999999E-2</v>
      </c>
      <c r="K1908" s="154" t="s">
        <v>23</v>
      </c>
      <c r="L1908" s="154" t="str">
        <f>IF(OpenLCAbasic!K1908="CTUh", "Fill in Manually",IF(OR(K1908="Unit", K1908=""), "", INDEX(LookUps!$E$5:$E$12, MATCH(OpenLCAbasic!K1908,LookUps!$D$5:$D$12,0))))</f>
        <v>Global Warming Potential (GWP) - kg CO2 eq</v>
      </c>
      <c r="M1908" s="154" t="str">
        <f t="shared" si="97"/>
        <v>Low_Medium_Base_Upgraded_Global Warming Potential (GWP) - kg CO2 eq_Belt filter press; wastewater treatment unit; at updated plant - US_Base_With Amendment_Windrow</v>
      </c>
    </row>
    <row r="1909" spans="1:13" s="120" customFormat="1" x14ac:dyDescent="0.25">
      <c r="A1909" s="119"/>
      <c r="B1909" s="138" t="str">
        <f t="shared" si="95"/>
        <v>Windrow</v>
      </c>
      <c r="C1909" s="138" t="str">
        <f t="shared" si="96"/>
        <v>Base_With Amendment</v>
      </c>
      <c r="D1909" s="118" t="s">
        <v>136</v>
      </c>
      <c r="E1909" s="118" t="s">
        <v>180</v>
      </c>
      <c r="F1909" s="118" t="s">
        <v>46</v>
      </c>
      <c r="G1909" s="153"/>
      <c r="H1909" s="155">
        <v>0.1603</v>
      </c>
      <c r="I1909" s="154" t="s">
        <v>57</v>
      </c>
      <c r="J1909" s="203">
        <v>1.455E-2</v>
      </c>
      <c r="K1909" s="154" t="s">
        <v>23</v>
      </c>
      <c r="L1909" s="154" t="str">
        <f>IF(OpenLCAbasic!K1909="CTUh", "Fill in Manually",IF(OR(K1909="Unit", K1909=""), "", INDEX(LookUps!$E$5:$E$12, MATCH(OpenLCAbasic!K1909,LookUps!$D$5:$D$12,0))))</f>
        <v>Global Warming Potential (GWP) - kg CO2 eq</v>
      </c>
      <c r="M1909" s="154" t="str">
        <f t="shared" si="97"/>
        <v>Low_Medium_Base_Upgraded_Global Warming Potential (GWP) - kg CO2 eq_Gravity Belt Thickener; wastewater treatment unit; at updated plant - US_Base_With Amendment_Windrow</v>
      </c>
    </row>
    <row r="1910" spans="1:13" s="120" customFormat="1" x14ac:dyDescent="0.25">
      <c r="A1910" s="119"/>
      <c r="B1910" s="138" t="str">
        <f t="shared" si="95"/>
        <v>Windrow</v>
      </c>
      <c r="C1910" s="138" t="str">
        <f t="shared" si="96"/>
        <v>Base_With Amendment</v>
      </c>
      <c r="D1910" s="118" t="s">
        <v>136</v>
      </c>
      <c r="E1910" s="118" t="s">
        <v>180</v>
      </c>
      <c r="F1910" s="118" t="s">
        <v>46</v>
      </c>
      <c r="G1910" s="153"/>
      <c r="H1910" s="155">
        <v>0.1487</v>
      </c>
      <c r="I1910" s="154" t="s">
        <v>128</v>
      </c>
      <c r="J1910" s="204">
        <v>1.3509999999999999E-2</v>
      </c>
      <c r="K1910" s="154" t="s">
        <v>23</v>
      </c>
      <c r="L1910" s="154" t="str">
        <f>IF(OpenLCAbasic!K1910="CTUh", "Fill in Manually",IF(OR(K1910="Unit", K1910=""), "", INDEX(LookUps!$E$5:$E$12, MATCH(OpenLCAbasic!K1910,LookUps!$D$5:$D$12,0))))</f>
        <v>Global Warming Potential (GWP) - kg CO2 eq</v>
      </c>
      <c r="M1910" s="154" t="str">
        <f t="shared" si="97"/>
        <v>Low_Medium_Base_Upgraded_Global Warming Potential (GWP) - kg CO2 eq_Wastewater collection; operation and infrastructure; m3 wastewater_Base_With Amendment_Windrow</v>
      </c>
    </row>
    <row r="1911" spans="1:13" s="120" customFormat="1" x14ac:dyDescent="0.25">
      <c r="A1911" s="119"/>
      <c r="B1911" s="138" t="str">
        <f t="shared" si="95"/>
        <v>Windrow</v>
      </c>
      <c r="C1911" s="138" t="str">
        <f t="shared" si="96"/>
        <v>Base_With Amendment</v>
      </c>
      <c r="D1911" s="118" t="s">
        <v>136</v>
      </c>
      <c r="E1911" s="118" t="s">
        <v>180</v>
      </c>
      <c r="F1911" s="118" t="s">
        <v>46</v>
      </c>
      <c r="G1911" s="153"/>
      <c r="H1911" s="155">
        <v>9.1399999999999995E-2</v>
      </c>
      <c r="I1911" s="154" t="s">
        <v>148</v>
      </c>
      <c r="J1911" s="204">
        <v>8.3000000000000001E-3</v>
      </c>
      <c r="K1911" s="154" t="s">
        <v>23</v>
      </c>
      <c r="L1911" s="154" t="str">
        <f>IF(OpenLCAbasic!K1911="CTUh", "Fill in Manually",IF(OR(K1911="Unit", K1911=""), "", INDEX(LookUps!$E$5:$E$12, MATCH(OpenLCAbasic!K1911,LookUps!$D$5:$D$12,0))))</f>
        <v>Global Warming Potential (GWP) - kg CO2 eq</v>
      </c>
      <c r="M1911" s="154" t="str">
        <f t="shared" si="97"/>
        <v>Low_Medium_Base_Upgraded_Global Warming Potential (GWP) - kg CO2 eq_Control Building; at upgraded wastewater treatment plant - US_Base_With Amendment_Windrow</v>
      </c>
    </row>
    <row r="1912" spans="1:13" s="120" customFormat="1" x14ac:dyDescent="0.25">
      <c r="A1912" s="119"/>
      <c r="B1912" s="138" t="str">
        <f t="shared" si="95"/>
        <v>Windrow</v>
      </c>
      <c r="C1912" s="138" t="str">
        <f t="shared" si="96"/>
        <v>Base_With Amendment</v>
      </c>
      <c r="D1912" s="118" t="s">
        <v>136</v>
      </c>
      <c r="E1912" s="118" t="s">
        <v>180</v>
      </c>
      <c r="F1912" s="118" t="s">
        <v>46</v>
      </c>
      <c r="G1912" s="153"/>
      <c r="H1912" s="155">
        <v>5.5599999999999997E-2</v>
      </c>
      <c r="I1912" s="154" t="s">
        <v>59</v>
      </c>
      <c r="J1912" s="204">
        <v>5.0400000000000002E-3</v>
      </c>
      <c r="K1912" s="154" t="s">
        <v>23</v>
      </c>
      <c r="L1912" s="154" t="str">
        <f>IF(OpenLCAbasic!K1912="CTUh", "Fill in Manually",IF(OR(K1912="Unit", K1912=""), "", INDEX(LookUps!$E$5:$E$12, MATCH(OpenLCAbasic!K1912,LookUps!$D$5:$D$12,0))))</f>
        <v>Global Warming Potential (GWP) - kg CO2 eq</v>
      </c>
      <c r="M1912" s="154" t="str">
        <f t="shared" si="97"/>
        <v>Low_Medium_Base_Upgraded_Global Warming Potential (GWP) - kg CO2 eq_Blend Tank; wastewater treatment unit; at updated plant - US_Base_With Amendment_Windrow</v>
      </c>
    </row>
    <row r="1913" spans="1:13" s="120" customFormat="1" x14ac:dyDescent="0.25">
      <c r="A1913" s="119"/>
      <c r="B1913" s="138" t="str">
        <f t="shared" si="95"/>
        <v>Windrow</v>
      </c>
      <c r="C1913" s="138" t="str">
        <f t="shared" si="96"/>
        <v>Base_With Amendment</v>
      </c>
      <c r="D1913" s="118" t="s">
        <v>136</v>
      </c>
      <c r="E1913" s="118" t="s">
        <v>180</v>
      </c>
      <c r="F1913" s="118" t="s">
        <v>46</v>
      </c>
      <c r="G1913" s="153"/>
      <c r="H1913" s="155">
        <v>2.6599999999999999E-2</v>
      </c>
      <c r="I1913" s="154" t="s">
        <v>168</v>
      </c>
      <c r="J1913" s="204">
        <v>2.4099999999999998E-3</v>
      </c>
      <c r="K1913" s="154" t="s">
        <v>23</v>
      </c>
      <c r="L1913" s="154" t="str">
        <f>IF(OpenLCAbasic!K1913="CTUh", "Fill in Manually",IF(OR(K1913="Unit", K1913=""), "", INDEX(LookUps!$E$5:$E$12, MATCH(OpenLCAbasic!K1913,LookUps!$D$5:$D$12,0))))</f>
        <v>Global Warming Potential (GWP) - kg CO2 eq</v>
      </c>
      <c r="M1913" s="154" t="str">
        <f t="shared" si="97"/>
        <v>Low_Medium_Base_Upgraded_Global Warming Potential (GWP) - kg CO2 eq_ClearCove SCP; wastewater treatment unit; at updated plant - US_Base_With Amendment_Windrow</v>
      </c>
    </row>
    <row r="1914" spans="1:13" s="120" customFormat="1" x14ac:dyDescent="0.25">
      <c r="A1914" s="119"/>
      <c r="B1914" s="138" t="str">
        <f t="shared" si="95"/>
        <v>Windrow</v>
      </c>
      <c r="C1914" s="138" t="str">
        <f t="shared" si="96"/>
        <v>Base_With Amendment</v>
      </c>
      <c r="D1914" s="118" t="s">
        <v>136</v>
      </c>
      <c r="E1914" s="118" t="s">
        <v>180</v>
      </c>
      <c r="F1914" s="118" t="s">
        <v>46</v>
      </c>
      <c r="G1914" s="153"/>
      <c r="H1914" s="155">
        <v>-4.0746000000000002</v>
      </c>
      <c r="I1914" s="154" t="s">
        <v>149</v>
      </c>
      <c r="J1914" s="203">
        <v>-0.36997999999999998</v>
      </c>
      <c r="K1914" s="154" t="s">
        <v>23</v>
      </c>
      <c r="L1914" s="154" t="str">
        <f>IF(OpenLCAbasic!K1914="CTUh", "Fill in Manually",IF(OR(K1914="Unit", K1914=""), "", INDEX(LookUps!$E$5:$E$12, MATCH(OpenLCAbasic!K1914,LookUps!$D$5:$D$12,0))))</f>
        <v>Global Warming Potential (GWP) - kg CO2 eq</v>
      </c>
      <c r="M1914" s="154" t="str">
        <f t="shared" si="97"/>
        <v>Low_Medium_Base_Upgraded_Global Warming Potential (GWP) - kg CO2 eq_Anaerobic Digestion; wastewater treatment unit; at updated plant - US_Base_With Amendment_Windrow</v>
      </c>
    </row>
    <row r="1915" spans="1:13" s="120" customFormat="1" x14ac:dyDescent="0.25">
      <c r="A1915" s="119"/>
      <c r="B1915" s="138" t="str">
        <f t="shared" si="95"/>
        <v>Windrow</v>
      </c>
      <c r="C1915" s="138" t="str">
        <f t="shared" si="96"/>
        <v>Base_With Amendment</v>
      </c>
      <c r="D1915" s="118" t="s">
        <v>136</v>
      </c>
      <c r="E1915" s="118" t="s">
        <v>180</v>
      </c>
      <c r="F1915" s="118" t="s">
        <v>46</v>
      </c>
      <c r="G1915" s="153"/>
      <c r="H1915" s="155">
        <v>-7.1048</v>
      </c>
      <c r="I1915" s="154" t="s">
        <v>62</v>
      </c>
      <c r="J1915" s="203">
        <v>-0.64512999999999998</v>
      </c>
      <c r="K1915" s="154" t="s">
        <v>23</v>
      </c>
      <c r="L1915" s="154" t="str">
        <f>IF(OpenLCAbasic!K1915="CTUh", "Fill in Manually",IF(OR(K1915="Unit", K1915=""), "", INDEX(LookUps!$E$5:$E$12, MATCH(OpenLCAbasic!K1915,LookUps!$D$5:$D$12,0))))</f>
        <v>Global Warming Potential (GWP) - kg CO2 eq</v>
      </c>
      <c r="M1915" s="154" t="str">
        <f t="shared" si="97"/>
        <v>Low_Medium_Base_Upgraded_Global Warming Potential (GWP) - kg CO2 eq_Land application of compost; wastewater treatment unit; at updated plant - US_Base_With Amendment_Windrow</v>
      </c>
    </row>
    <row r="1916" spans="1:13" s="120" customFormat="1" x14ac:dyDescent="0.25">
      <c r="A1916" s="119"/>
      <c r="B1916" s="138" t="str">
        <f t="shared" si="95"/>
        <v>Windrow</v>
      </c>
      <c r="C1916" s="138" t="str">
        <f t="shared" si="96"/>
        <v>Base_With Amendment</v>
      </c>
      <c r="D1916" s="118" t="s">
        <v>136</v>
      </c>
      <c r="E1916" s="118" t="s">
        <v>180</v>
      </c>
      <c r="F1916" s="118" t="s">
        <v>46</v>
      </c>
      <c r="G1916" s="153" t="s">
        <v>51</v>
      </c>
      <c r="H1916" s="154"/>
      <c r="I1916" s="154" t="s">
        <v>47</v>
      </c>
      <c r="J1916" s="154" t="s">
        <v>52</v>
      </c>
      <c r="K1916" s="154" t="s">
        <v>27</v>
      </c>
      <c r="L1916" s="154" t="str">
        <f>IF(OpenLCAbasic!K1916="CTUh", "Fill in Manually",IF(OR(K1916="Unit", K1916=""), "", INDEX(LookUps!$E$5:$E$12, MATCH(OpenLCAbasic!K1916,LookUps!$D$5:$D$12,0))))</f>
        <v/>
      </c>
      <c r="M1916" s="154" t="str">
        <f t="shared" si="97"/>
        <v>Low_Medium_Base_Upgraded__Process_Base_With Amendment_Windrow</v>
      </c>
    </row>
    <row r="1917" spans="1:13" s="120" customFormat="1" x14ac:dyDescent="0.25">
      <c r="A1917" s="119"/>
      <c r="B1917" s="138" t="str">
        <f t="shared" si="95"/>
        <v>Windrow</v>
      </c>
      <c r="C1917" s="138" t="str">
        <f t="shared" si="96"/>
        <v>Base_With Amendment</v>
      </c>
      <c r="D1917" s="118" t="s">
        <v>136</v>
      </c>
      <c r="E1917" s="118" t="s">
        <v>180</v>
      </c>
      <c r="F1917" s="118" t="s">
        <v>46</v>
      </c>
      <c r="G1917" s="153"/>
      <c r="H1917" s="155">
        <v>1.1680999999999999</v>
      </c>
      <c r="I1917" s="154" t="s">
        <v>167</v>
      </c>
      <c r="J1917" s="157">
        <v>4.2789599999999997</v>
      </c>
      <c r="K1917" s="154" t="s">
        <v>15</v>
      </c>
      <c r="L1917" s="154" t="str">
        <f>IF(OpenLCAbasic!K1917="CTUh", "Fill in Manually",IF(OR(K1917="Unit", K1917=""), "", INDEX(LookUps!$E$5:$E$12, MATCH(OpenLCAbasic!K1917,LookUps!$D$5:$D$12,0))))</f>
        <v>Cumulative Energy Demand (CED) - MJ</v>
      </c>
      <c r="M1917" s="154" t="str">
        <f t="shared" si="97"/>
        <v>Low_Medium_Base_Upgraded_Cumulative Energy Demand (CED) - MJ_Waste Receiving and Holding; wastewater treatment unit; at updated plant - US_Base_With Amendment_Windrow</v>
      </c>
    </row>
    <row r="1918" spans="1:13" s="120" customFormat="1" x14ac:dyDescent="0.25">
      <c r="A1918" s="119"/>
      <c r="B1918" s="138" t="str">
        <f t="shared" si="95"/>
        <v>Windrow</v>
      </c>
      <c r="C1918" s="138" t="str">
        <f t="shared" si="96"/>
        <v>Base_With Amendment</v>
      </c>
      <c r="D1918" s="118" t="s">
        <v>136</v>
      </c>
      <c r="E1918" s="118" t="s">
        <v>180</v>
      </c>
      <c r="F1918" s="118" t="s">
        <v>46</v>
      </c>
      <c r="G1918" s="153"/>
      <c r="H1918" s="155">
        <v>0.96450000000000002</v>
      </c>
      <c r="I1918" s="154" t="s">
        <v>55</v>
      </c>
      <c r="J1918" s="157">
        <v>3.5330499999999998</v>
      </c>
      <c r="K1918" s="154" t="s">
        <v>15</v>
      </c>
      <c r="L1918" s="154" t="str">
        <f>IF(OpenLCAbasic!K1918="CTUh", "Fill in Manually",IF(OR(K1918="Unit", K1918=""), "", INDEX(LookUps!$E$5:$E$12, MATCH(OpenLCAbasic!K1918,LookUps!$D$5:$D$12,0))))</f>
        <v>Cumulative Energy Demand (CED) - MJ</v>
      </c>
      <c r="M1918" s="154" t="str">
        <f t="shared" si="97"/>
        <v>Low_Medium_Base_Upgraded_Cumulative Energy Demand (CED) - MJ_Aeration Tanks; wastewater treatment unit; at updated plant - US_Base_With Amendment_Windrow</v>
      </c>
    </row>
    <row r="1919" spans="1:13" s="120" customFormat="1" x14ac:dyDescent="0.25">
      <c r="A1919" s="119"/>
      <c r="B1919" s="138" t="str">
        <f t="shared" si="95"/>
        <v>Windrow</v>
      </c>
      <c r="C1919" s="138" t="str">
        <f t="shared" si="96"/>
        <v>Base_With Amendment</v>
      </c>
      <c r="D1919" s="118" t="s">
        <v>136</v>
      </c>
      <c r="E1919" s="118" t="s">
        <v>180</v>
      </c>
      <c r="F1919" s="118" t="s">
        <v>46</v>
      </c>
      <c r="G1919" s="153"/>
      <c r="H1919" s="155">
        <v>0.3175</v>
      </c>
      <c r="I1919" s="154" t="s">
        <v>54</v>
      </c>
      <c r="J1919" s="157">
        <v>1.16289</v>
      </c>
      <c r="K1919" s="154" t="s">
        <v>15</v>
      </c>
      <c r="L1919" s="154" t="str">
        <f>IF(OpenLCAbasic!K1919="CTUh", "Fill in Manually",IF(OR(K1919="Unit", K1919=""), "", INDEX(LookUps!$E$5:$E$12, MATCH(OpenLCAbasic!K1919,LookUps!$D$5:$D$12,0))))</f>
        <v>Cumulative Energy Demand (CED) - MJ</v>
      </c>
      <c r="M1919" s="154" t="str">
        <f t="shared" si="97"/>
        <v>Low_Medium_Base_Upgraded_Cumulative Energy Demand (CED) - MJ_Clear Cove Primary Clarification; wastewater treatment unit; at updated plant - US_Base_With Amendment_Windrow</v>
      </c>
    </row>
    <row r="1920" spans="1:13" s="120" customFormat="1" x14ac:dyDescent="0.25">
      <c r="A1920" s="119"/>
      <c r="B1920" s="138" t="str">
        <f t="shared" si="95"/>
        <v>Windrow</v>
      </c>
      <c r="C1920" s="138" t="str">
        <f t="shared" si="96"/>
        <v>Base_With Amendment</v>
      </c>
      <c r="D1920" s="118" t="s">
        <v>136</v>
      </c>
      <c r="E1920" s="118" t="s">
        <v>180</v>
      </c>
      <c r="F1920" s="118" t="s">
        <v>46</v>
      </c>
      <c r="G1920" s="153"/>
      <c r="H1920" s="155">
        <v>0.2422</v>
      </c>
      <c r="I1920" s="154" t="s">
        <v>58</v>
      </c>
      <c r="J1920" s="203">
        <v>0.88705000000000001</v>
      </c>
      <c r="K1920" s="154" t="s">
        <v>15</v>
      </c>
      <c r="L1920" s="154" t="str">
        <f>IF(OpenLCAbasic!K1920="CTUh", "Fill in Manually",IF(OR(K1920="Unit", K1920=""), "", INDEX(LookUps!$E$5:$E$12, MATCH(OpenLCAbasic!K1920,LookUps!$D$5:$D$12,0))))</f>
        <v>Cumulative Energy Demand (CED) - MJ</v>
      </c>
      <c r="M1920" s="154" t="str">
        <f t="shared" si="97"/>
        <v>Low_Medium_Base_Upgraded_Cumulative Energy Demand (CED) - MJ_Pre-Anoxic &amp; Swing tank; wastewater treatment unit; at updated plant - US_Base_With Amendment_Windrow</v>
      </c>
    </row>
    <row r="1921" spans="1:13" s="120" customFormat="1" x14ac:dyDescent="0.25">
      <c r="A1921" s="119"/>
      <c r="B1921" s="138" t="str">
        <f t="shared" si="95"/>
        <v>Windrow</v>
      </c>
      <c r="C1921" s="138" t="str">
        <f t="shared" si="96"/>
        <v>Base_With Amendment</v>
      </c>
      <c r="D1921" s="118" t="s">
        <v>136</v>
      </c>
      <c r="E1921" s="118" t="s">
        <v>180</v>
      </c>
      <c r="F1921" s="118" t="s">
        <v>46</v>
      </c>
      <c r="G1921" s="153"/>
      <c r="H1921" s="155">
        <v>0.24099999999999999</v>
      </c>
      <c r="I1921" s="154" t="s">
        <v>147</v>
      </c>
      <c r="J1921" s="203">
        <v>0.88297000000000003</v>
      </c>
      <c r="K1921" s="154" t="s">
        <v>15</v>
      </c>
      <c r="L1921" s="154" t="str">
        <f>IF(OpenLCAbasic!K1921="CTUh", "Fill in Manually",IF(OR(K1921="Unit", K1921=""), "", INDEX(LookUps!$E$5:$E$12, MATCH(OpenLCAbasic!K1921,LookUps!$D$5:$D$12,0))))</f>
        <v>Cumulative Energy Demand (CED) - MJ</v>
      </c>
      <c r="M1921" s="154" t="str">
        <f t="shared" si="97"/>
        <v>Low_Medium_Base_Upgraded_Cumulative Energy Demand (CED) - MJ_Influent Pump Station; wastewater treatment unit; at updated plant - US_Base_With Amendment_Windrow</v>
      </c>
    </row>
    <row r="1922" spans="1:13" s="120" customFormat="1" x14ac:dyDescent="0.25">
      <c r="A1922" s="119"/>
      <c r="B1922" s="138" t="str">
        <f t="shared" si="95"/>
        <v>Windrow</v>
      </c>
      <c r="C1922" s="138" t="str">
        <f t="shared" si="96"/>
        <v>Base_With Amendment</v>
      </c>
      <c r="D1922" s="118" t="s">
        <v>136</v>
      </c>
      <c r="E1922" s="118" t="s">
        <v>180</v>
      </c>
      <c r="F1922" s="118" t="s">
        <v>46</v>
      </c>
      <c r="G1922" s="153"/>
      <c r="H1922" s="155">
        <v>0.19009999999999999</v>
      </c>
      <c r="I1922" s="154" t="s">
        <v>53</v>
      </c>
      <c r="J1922" s="203">
        <v>0.69645000000000001</v>
      </c>
      <c r="K1922" s="154" t="s">
        <v>15</v>
      </c>
      <c r="L1922" s="154" t="str">
        <f>IF(OpenLCAbasic!K1922="CTUh", "Fill in Manually",IF(OR(K1922="Unit", K1922=""), "", INDEX(LookUps!$E$5:$E$12, MATCH(OpenLCAbasic!K1922,LookUps!$D$5:$D$12,0))))</f>
        <v>Cumulative Energy Demand (CED) - MJ</v>
      </c>
      <c r="M1922" s="154" t="str">
        <f t="shared" si="97"/>
        <v>Low_Medium_Base_Upgraded_Cumulative Energy Demand (CED) - MJ_Wet Well and Sump Station; wastewater treatment unit; at updated plant - US_Base_With Amendment_Windrow</v>
      </c>
    </row>
    <row r="1923" spans="1:13" s="120" customFormat="1" x14ac:dyDescent="0.25">
      <c r="A1923" s="119"/>
      <c r="B1923" s="138" t="str">
        <f t="shared" si="95"/>
        <v>Windrow</v>
      </c>
      <c r="C1923" s="138" t="str">
        <f t="shared" si="96"/>
        <v>Base_With Amendment</v>
      </c>
      <c r="D1923" s="118" t="s">
        <v>136</v>
      </c>
      <c r="E1923" s="118" t="s">
        <v>180</v>
      </c>
      <c r="F1923" s="118" t="s">
        <v>46</v>
      </c>
      <c r="G1923" s="153"/>
      <c r="H1923" s="155">
        <v>0.1087</v>
      </c>
      <c r="I1923" s="154" t="s">
        <v>60</v>
      </c>
      <c r="J1923" s="203">
        <v>0.39804</v>
      </c>
      <c r="K1923" s="154" t="s">
        <v>15</v>
      </c>
      <c r="L1923" s="154" t="str">
        <f>IF(OpenLCAbasic!K1923="CTUh", "Fill in Manually",IF(OR(K1923="Unit", K1923=""), "", INDEX(LookUps!$E$5:$E$12, MATCH(OpenLCAbasic!K1923,LookUps!$D$5:$D$12,0))))</f>
        <v>Cumulative Energy Demand (CED) - MJ</v>
      </c>
      <c r="M1923" s="154" t="str">
        <f t="shared" si="97"/>
        <v>Low_Medium_Base_Upgraded_Cumulative Energy Demand (CED) - MJ_Belt filter press; wastewater treatment unit; at updated plant - US_Base_With Amendment_Windrow</v>
      </c>
    </row>
    <row r="1924" spans="1:13" s="120" customFormat="1" x14ac:dyDescent="0.25">
      <c r="A1924" s="119"/>
      <c r="B1924" s="138" t="str">
        <f t="shared" si="95"/>
        <v>Windrow</v>
      </c>
      <c r="C1924" s="138" t="str">
        <f t="shared" si="96"/>
        <v>Base_With Amendment</v>
      </c>
      <c r="D1924" s="118" t="s">
        <v>136</v>
      </c>
      <c r="E1924" s="118" t="s">
        <v>180</v>
      </c>
      <c r="F1924" s="118" t="s">
        <v>46</v>
      </c>
      <c r="G1924" s="153"/>
      <c r="H1924" s="155">
        <v>9.1200000000000003E-2</v>
      </c>
      <c r="I1924" s="154" t="s">
        <v>57</v>
      </c>
      <c r="J1924" s="203">
        <v>0.33404</v>
      </c>
      <c r="K1924" s="154" t="s">
        <v>15</v>
      </c>
      <c r="L1924" s="154" t="str">
        <f>IF(OpenLCAbasic!K1924="CTUh", "Fill in Manually",IF(OR(K1924="Unit", K1924=""), "", INDEX(LookUps!$E$5:$E$12, MATCH(OpenLCAbasic!K1924,LookUps!$D$5:$D$12,0))))</f>
        <v>Cumulative Energy Demand (CED) - MJ</v>
      </c>
      <c r="M1924" s="154" t="str">
        <f t="shared" si="97"/>
        <v>Low_Medium_Base_Upgraded_Cumulative Energy Demand (CED) - MJ_Gravity Belt Thickener; wastewater treatment unit; at updated plant - US_Base_With Amendment_Windrow</v>
      </c>
    </row>
    <row r="1925" spans="1:13" s="120" customFormat="1" x14ac:dyDescent="0.25">
      <c r="A1925" s="119"/>
      <c r="B1925" s="138" t="str">
        <f t="shared" si="95"/>
        <v>Windrow</v>
      </c>
      <c r="C1925" s="138" t="str">
        <f t="shared" si="96"/>
        <v>Base_With Amendment</v>
      </c>
      <c r="D1925" s="118" t="s">
        <v>136</v>
      </c>
      <c r="E1925" s="118" t="s">
        <v>180</v>
      </c>
      <c r="F1925" s="118" t="s">
        <v>46</v>
      </c>
      <c r="G1925" s="153"/>
      <c r="H1925" s="155">
        <v>6.9900000000000004E-2</v>
      </c>
      <c r="I1925" s="154" t="s">
        <v>128</v>
      </c>
      <c r="J1925" s="203">
        <v>0.25606000000000001</v>
      </c>
      <c r="K1925" s="154" t="s">
        <v>15</v>
      </c>
      <c r="L1925" s="154" t="str">
        <f>IF(OpenLCAbasic!K1925="CTUh", "Fill in Manually",IF(OR(K1925="Unit", K1925=""), "", INDEX(LookUps!$E$5:$E$12, MATCH(OpenLCAbasic!K1925,LookUps!$D$5:$D$12,0))))</f>
        <v>Cumulative Energy Demand (CED) - MJ</v>
      </c>
      <c r="M1925" s="154" t="str">
        <f t="shared" si="97"/>
        <v>Low_Medium_Base_Upgraded_Cumulative Energy Demand (CED) - MJ_Wastewater collection; operation and infrastructure; m3 wastewater_Base_With Amendment_Windrow</v>
      </c>
    </row>
    <row r="1926" spans="1:13" s="120" customFormat="1" x14ac:dyDescent="0.25">
      <c r="A1926" s="119"/>
      <c r="B1926" s="138" t="str">
        <f t="shared" ref="B1926:B1989" si="98">IF(F1926="Legacy","n.a.",IF(F1926="","","Windrow"))</f>
        <v>Windrow</v>
      </c>
      <c r="C1926" s="138" t="str">
        <f t="shared" si="96"/>
        <v>Base_With Amendment</v>
      </c>
      <c r="D1926" s="118" t="s">
        <v>136</v>
      </c>
      <c r="E1926" s="118" t="s">
        <v>180</v>
      </c>
      <c r="F1926" s="118" t="s">
        <v>46</v>
      </c>
      <c r="G1926" s="153"/>
      <c r="H1926" s="155">
        <v>3.9899999999999998E-2</v>
      </c>
      <c r="I1926" s="154" t="s">
        <v>148</v>
      </c>
      <c r="J1926" s="203">
        <v>0.14599000000000001</v>
      </c>
      <c r="K1926" s="154" t="s">
        <v>15</v>
      </c>
      <c r="L1926" s="154" t="str">
        <f>IF(OpenLCAbasic!K1926="CTUh", "Fill in Manually",IF(OR(K1926="Unit", K1926=""), "", INDEX(LookUps!$E$5:$E$12, MATCH(OpenLCAbasic!K1926,LookUps!$D$5:$D$12,0))))</f>
        <v>Cumulative Energy Demand (CED) - MJ</v>
      </c>
      <c r="M1926" s="154" t="str">
        <f t="shared" si="97"/>
        <v>Low_Medium_Base_Upgraded_Cumulative Energy Demand (CED) - MJ_Control Building; at upgraded wastewater treatment plant - US_Base_With Amendment_Windrow</v>
      </c>
    </row>
    <row r="1927" spans="1:13" s="120" customFormat="1" x14ac:dyDescent="0.25">
      <c r="A1927" s="119"/>
      <c r="B1927" s="138" t="str">
        <f t="shared" si="98"/>
        <v>Windrow</v>
      </c>
      <c r="C1927" s="138" t="str">
        <f t="shared" ref="C1927:C1990" si="99">IF(E1927&lt;&gt;"", "Base_With Amendment","")</f>
        <v>Base_With Amendment</v>
      </c>
      <c r="D1927" s="118" t="s">
        <v>136</v>
      </c>
      <c r="E1927" s="118" t="s">
        <v>180</v>
      </c>
      <c r="F1927" s="118" t="s">
        <v>46</v>
      </c>
      <c r="G1927" s="153"/>
      <c r="H1927" s="155">
        <v>3.6400000000000002E-2</v>
      </c>
      <c r="I1927" s="154" t="s">
        <v>48</v>
      </c>
      <c r="J1927" s="203">
        <v>0.13321</v>
      </c>
      <c r="K1927" s="154" t="s">
        <v>15</v>
      </c>
      <c r="L1927" s="154" t="str">
        <f>IF(OpenLCAbasic!K1927="CTUh", "Fill in Manually",IF(OR(K1927="Unit", K1927=""), "", INDEX(LookUps!$E$5:$E$12, MATCH(OpenLCAbasic!K1927,LookUps!$D$5:$D$12,0))))</f>
        <v>Cumulative Energy Demand (CED) - MJ</v>
      </c>
      <c r="M1927" s="154" t="str">
        <f t="shared" ref="M1927:M1990" si="100">CONCATENATE(E1927,"_",D1927,"_",F1927,"_",L1927, "_",I1927,"_", C1927,"_", B1927)</f>
        <v>Low_Medium_Base_Upgraded_Cumulative Energy Demand (CED) - MJ_Effluent release; wastewater treatment unit; at surface water; m3 wastewater - US_Base_With Amendment_Windrow</v>
      </c>
    </row>
    <row r="1928" spans="1:13" s="120" customFormat="1" x14ac:dyDescent="0.25">
      <c r="A1928" s="119"/>
      <c r="B1928" s="138" t="str">
        <f t="shared" si="98"/>
        <v>Windrow</v>
      </c>
      <c r="C1928" s="138" t="str">
        <f t="shared" si="99"/>
        <v>Base_With Amendment</v>
      </c>
      <c r="D1928" s="118" t="s">
        <v>136</v>
      </c>
      <c r="E1928" s="118" t="s">
        <v>180</v>
      </c>
      <c r="F1928" s="118" t="s">
        <v>46</v>
      </c>
      <c r="G1928" s="153"/>
      <c r="H1928" s="155">
        <v>2.9000000000000001E-2</v>
      </c>
      <c r="I1928" s="154" t="s">
        <v>59</v>
      </c>
      <c r="J1928" s="203">
        <v>0.10638</v>
      </c>
      <c r="K1928" s="154" t="s">
        <v>15</v>
      </c>
      <c r="L1928" s="154" t="str">
        <f>IF(OpenLCAbasic!K1928="CTUh", "Fill in Manually",IF(OR(K1928="Unit", K1928=""), "", INDEX(LookUps!$E$5:$E$12, MATCH(OpenLCAbasic!K1928,LookUps!$D$5:$D$12,0))))</f>
        <v>Cumulative Energy Demand (CED) - MJ</v>
      </c>
      <c r="M1928" s="154" t="str">
        <f t="shared" si="100"/>
        <v>Low_Medium_Base_Upgraded_Cumulative Energy Demand (CED) - MJ_Blend Tank; wastewater treatment unit; at updated plant - US_Base_With Amendment_Windrow</v>
      </c>
    </row>
    <row r="1929" spans="1:13" s="120" customFormat="1" x14ac:dyDescent="0.25">
      <c r="A1929" s="119"/>
      <c r="B1929" s="138" t="str">
        <f t="shared" si="98"/>
        <v>Windrow</v>
      </c>
      <c r="C1929" s="138" t="str">
        <f t="shared" si="99"/>
        <v>Base_With Amendment</v>
      </c>
      <c r="D1929" s="118" t="s">
        <v>136</v>
      </c>
      <c r="E1929" s="118" t="s">
        <v>180</v>
      </c>
      <c r="F1929" s="118" t="s">
        <v>46</v>
      </c>
      <c r="G1929" s="153"/>
      <c r="H1929" s="155">
        <v>1.3899999999999999E-2</v>
      </c>
      <c r="I1929" s="154" t="s">
        <v>168</v>
      </c>
      <c r="J1929" s="203">
        <v>5.0930000000000003E-2</v>
      </c>
      <c r="K1929" s="154" t="s">
        <v>15</v>
      </c>
      <c r="L1929" s="154" t="str">
        <f>IF(OpenLCAbasic!K1929="CTUh", "Fill in Manually",IF(OR(K1929="Unit", K1929=""), "", INDEX(LookUps!$E$5:$E$12, MATCH(OpenLCAbasic!K1929,LookUps!$D$5:$D$12,0))))</f>
        <v>Cumulative Energy Demand (CED) - MJ</v>
      </c>
      <c r="M1929" s="154" t="str">
        <f t="shared" si="100"/>
        <v>Low_Medium_Base_Upgraded_Cumulative Energy Demand (CED) - MJ_ClearCove SCP; wastewater treatment unit; at updated plant - US_Base_With Amendment_Windrow</v>
      </c>
    </row>
    <row r="1930" spans="1:13" s="120" customFormat="1" x14ac:dyDescent="0.25">
      <c r="A1930" s="119"/>
      <c r="B1930" s="138" t="str">
        <f t="shared" si="98"/>
        <v>Windrow</v>
      </c>
      <c r="C1930" s="138" t="str">
        <f t="shared" si="99"/>
        <v>Base_With Amendment</v>
      </c>
      <c r="D1930" s="118" t="s">
        <v>136</v>
      </c>
      <c r="E1930" s="118" t="s">
        <v>180</v>
      </c>
      <c r="F1930" s="118" t="s">
        <v>46</v>
      </c>
      <c r="G1930" s="153"/>
      <c r="H1930" s="155">
        <v>7.7999999999999996E-3</v>
      </c>
      <c r="I1930" s="154" t="s">
        <v>271</v>
      </c>
      <c r="J1930" s="203">
        <v>2.8510000000000001E-2</v>
      </c>
      <c r="K1930" s="154" t="s">
        <v>15</v>
      </c>
      <c r="L1930" s="154" t="str">
        <f>IF(OpenLCAbasic!K1930="CTUh", "Fill in Manually",IF(OR(K1930="Unit", K1930=""), "", INDEX(LookUps!$E$5:$E$12, MATCH(OpenLCAbasic!K1930,LookUps!$D$5:$D$12,0))))</f>
        <v>Cumulative Energy Demand (CED) - MJ</v>
      </c>
      <c r="M1930" s="154" t="str">
        <f t="shared" si="100"/>
        <v>Low_Medium_Base_Upgraded_Cumulative Energy Demand (CED) - MJ_Biosolids composting; windrow composting; wastewater treatment unit; at updated plant - US_Base_With Amendment_Windrow</v>
      </c>
    </row>
    <row r="1931" spans="1:13" s="120" customFormat="1" x14ac:dyDescent="0.25">
      <c r="A1931" s="119"/>
      <c r="B1931" s="138" t="str">
        <f t="shared" si="98"/>
        <v>Windrow</v>
      </c>
      <c r="C1931" s="138" t="str">
        <f t="shared" si="99"/>
        <v>Base_With Amendment</v>
      </c>
      <c r="D1931" s="118" t="s">
        <v>136</v>
      </c>
      <c r="E1931" s="118" t="s">
        <v>180</v>
      </c>
      <c r="F1931" s="118" t="s">
        <v>46</v>
      </c>
      <c r="G1931" s="153"/>
      <c r="H1931" s="155">
        <v>-0.17810000000000001</v>
      </c>
      <c r="I1931" s="154" t="s">
        <v>62</v>
      </c>
      <c r="J1931" s="203">
        <v>-0.65253000000000005</v>
      </c>
      <c r="K1931" s="154" t="s">
        <v>15</v>
      </c>
      <c r="L1931" s="154" t="str">
        <f>IF(OpenLCAbasic!K1931="CTUh", "Fill in Manually",IF(OR(K1931="Unit", K1931=""), "", INDEX(LookUps!$E$5:$E$12, MATCH(OpenLCAbasic!K1931,LookUps!$D$5:$D$12,0))))</f>
        <v>Cumulative Energy Demand (CED) - MJ</v>
      </c>
      <c r="M1931" s="154" t="str">
        <f t="shared" si="100"/>
        <v>Low_Medium_Base_Upgraded_Cumulative Energy Demand (CED) - MJ_Land application of compost; wastewater treatment unit; at updated plant - US_Base_With Amendment_Windrow</v>
      </c>
    </row>
    <row r="1932" spans="1:13" s="120" customFormat="1" x14ac:dyDescent="0.25">
      <c r="A1932" s="119"/>
      <c r="B1932" s="138" t="str">
        <f t="shared" si="98"/>
        <v>Windrow</v>
      </c>
      <c r="C1932" s="138" t="str">
        <f t="shared" si="99"/>
        <v>Base_With Amendment</v>
      </c>
      <c r="D1932" s="118" t="s">
        <v>136</v>
      </c>
      <c r="E1932" s="118" t="s">
        <v>180</v>
      </c>
      <c r="F1932" s="118" t="s">
        <v>46</v>
      </c>
      <c r="G1932" s="153"/>
      <c r="H1932" s="155">
        <v>-2.3420000000000001</v>
      </c>
      <c r="I1932" s="154" t="s">
        <v>149</v>
      </c>
      <c r="J1932" s="157">
        <v>-8.5788899999999995</v>
      </c>
      <c r="K1932" s="154" t="s">
        <v>15</v>
      </c>
      <c r="L1932" s="154" t="str">
        <f>IF(OpenLCAbasic!K1932="CTUh", "Fill in Manually",IF(OR(K1932="Unit", K1932=""), "", INDEX(LookUps!$E$5:$E$12, MATCH(OpenLCAbasic!K1932,LookUps!$D$5:$D$12,0))))</f>
        <v>Cumulative Energy Demand (CED) - MJ</v>
      </c>
      <c r="M1932" s="154" t="str">
        <f t="shared" si="100"/>
        <v>Low_Medium_Base_Upgraded_Cumulative Energy Demand (CED) - MJ_Anaerobic Digestion; wastewater treatment unit; at updated plant - US_Base_With Amendment_Windrow</v>
      </c>
    </row>
    <row r="1933" spans="1:13" s="120" customFormat="1" x14ac:dyDescent="0.25">
      <c r="A1933" s="119"/>
      <c r="B1933" s="138" t="str">
        <f t="shared" si="98"/>
        <v>Windrow</v>
      </c>
      <c r="C1933" s="138" t="str">
        <f t="shared" si="99"/>
        <v>Base_With Amendment</v>
      </c>
      <c r="D1933" s="118" t="s">
        <v>136</v>
      </c>
      <c r="E1933" s="118" t="s">
        <v>180</v>
      </c>
      <c r="F1933" s="118" t="s">
        <v>46</v>
      </c>
      <c r="G1933" s="153" t="s">
        <v>51</v>
      </c>
      <c r="H1933" s="154"/>
      <c r="I1933" s="154" t="s">
        <v>47</v>
      </c>
      <c r="J1933" s="154" t="s">
        <v>52</v>
      </c>
      <c r="K1933" s="154" t="s">
        <v>27</v>
      </c>
      <c r="L1933" s="154" t="str">
        <f>IF(OpenLCAbasic!K1933="CTUh", "Fill in Manually",IF(OR(K1933="Unit", K1933=""), "", INDEX(LookUps!$E$5:$E$12, MATCH(OpenLCAbasic!K1933,LookUps!$D$5:$D$12,0))))</f>
        <v/>
      </c>
      <c r="M1933" s="154" t="str">
        <f t="shared" si="100"/>
        <v>Low_Medium_Base_Upgraded__Process_Base_With Amendment_Windrow</v>
      </c>
    </row>
    <row r="1934" spans="1:13" s="120" customFormat="1" x14ac:dyDescent="0.25">
      <c r="A1934" s="119"/>
      <c r="B1934" s="138" t="str">
        <f t="shared" si="98"/>
        <v>Windrow</v>
      </c>
      <c r="C1934" s="138" t="str">
        <f t="shared" si="99"/>
        <v>Base_With Amendment</v>
      </c>
      <c r="D1934" s="118" t="s">
        <v>136</v>
      </c>
      <c r="E1934" s="118" t="s">
        <v>180</v>
      </c>
      <c r="F1934" s="118" t="s">
        <v>46</v>
      </c>
      <c r="G1934" s="153"/>
      <c r="H1934" s="155">
        <v>0.74080000000000001</v>
      </c>
      <c r="I1934" s="154" t="s">
        <v>48</v>
      </c>
      <c r="J1934" s="203">
        <v>1.1610000000000001E-2</v>
      </c>
      <c r="K1934" s="154" t="s">
        <v>13</v>
      </c>
      <c r="L1934" s="154" t="str">
        <f>IF(OpenLCAbasic!K1934="CTUh", "Fill in Manually",IF(OR(K1934="Unit", K1934=""), "", INDEX(LookUps!$E$5:$E$12, MATCH(OpenLCAbasic!K1934,LookUps!$D$5:$D$12,0))))</f>
        <v>Eutrophication Potential (EP) - kg N eq</v>
      </c>
      <c r="M1934" s="154" t="str">
        <f t="shared" si="100"/>
        <v>Low_Medium_Base_Upgraded_Eutrophication Potential (EP) - kg N eq_Effluent release; wastewater treatment unit; at surface water; m3 wastewater - US_Base_With Amendment_Windrow</v>
      </c>
    </row>
    <row r="1935" spans="1:13" s="120" customFormat="1" x14ac:dyDescent="0.25">
      <c r="A1935" s="119"/>
      <c r="B1935" s="138" t="str">
        <f t="shared" si="98"/>
        <v>Windrow</v>
      </c>
      <c r="C1935" s="138" t="str">
        <f t="shared" si="99"/>
        <v>Base_With Amendment</v>
      </c>
      <c r="D1935" s="118" t="s">
        <v>136</v>
      </c>
      <c r="E1935" s="118" t="s">
        <v>180</v>
      </c>
      <c r="F1935" s="118" t="s">
        <v>46</v>
      </c>
      <c r="G1935" s="153"/>
      <c r="H1935" s="155">
        <v>0.18729999999999999</v>
      </c>
      <c r="I1935" s="154" t="s">
        <v>62</v>
      </c>
      <c r="J1935" s="204">
        <v>2.9399999999999999E-3</v>
      </c>
      <c r="K1935" s="154" t="s">
        <v>13</v>
      </c>
      <c r="L1935" s="154" t="str">
        <f>IF(OpenLCAbasic!K1935="CTUh", "Fill in Manually",IF(OR(K1935="Unit", K1935=""), "", INDEX(LookUps!$E$5:$E$12, MATCH(OpenLCAbasic!K1935,LookUps!$D$5:$D$12,0))))</f>
        <v>Eutrophication Potential (EP) - kg N eq</v>
      </c>
      <c r="M1935" s="154" t="str">
        <f t="shared" si="100"/>
        <v>Low_Medium_Base_Upgraded_Eutrophication Potential (EP) - kg N eq_Land application of compost; wastewater treatment unit; at updated plant - US_Base_With Amendment_Windrow</v>
      </c>
    </row>
    <row r="1936" spans="1:13" s="120" customFormat="1" x14ac:dyDescent="0.25">
      <c r="A1936" s="119"/>
      <c r="B1936" s="138" t="str">
        <f t="shared" si="98"/>
        <v>Windrow</v>
      </c>
      <c r="C1936" s="138" t="str">
        <f t="shared" si="99"/>
        <v>Base_With Amendment</v>
      </c>
      <c r="D1936" s="118" t="s">
        <v>136</v>
      </c>
      <c r="E1936" s="118" t="s">
        <v>180</v>
      </c>
      <c r="F1936" s="118" t="s">
        <v>46</v>
      </c>
      <c r="G1936" s="153"/>
      <c r="H1936" s="155">
        <v>3.49E-2</v>
      </c>
      <c r="I1936" s="154" t="s">
        <v>55</v>
      </c>
      <c r="J1936" s="204">
        <v>5.5000000000000003E-4</v>
      </c>
      <c r="K1936" s="154" t="s">
        <v>13</v>
      </c>
      <c r="L1936" s="154" t="str">
        <f>IF(OpenLCAbasic!K1936="CTUh", "Fill in Manually",IF(OR(K1936="Unit", K1936=""), "", INDEX(LookUps!$E$5:$E$12, MATCH(OpenLCAbasic!K1936,LookUps!$D$5:$D$12,0))))</f>
        <v>Eutrophication Potential (EP) - kg N eq</v>
      </c>
      <c r="M1936" s="154" t="str">
        <f t="shared" si="100"/>
        <v>Low_Medium_Base_Upgraded_Eutrophication Potential (EP) - kg N eq_Aeration Tanks; wastewater treatment unit; at updated plant - US_Base_With Amendment_Windrow</v>
      </c>
    </row>
    <row r="1937" spans="1:13" s="120" customFormat="1" x14ac:dyDescent="0.25">
      <c r="A1937" s="119"/>
      <c r="B1937" s="138" t="str">
        <f t="shared" si="98"/>
        <v>Windrow</v>
      </c>
      <c r="C1937" s="138" t="str">
        <f t="shared" si="99"/>
        <v>Base_With Amendment</v>
      </c>
      <c r="D1937" s="118" t="s">
        <v>136</v>
      </c>
      <c r="E1937" s="118" t="s">
        <v>180</v>
      </c>
      <c r="F1937" s="118" t="s">
        <v>46</v>
      </c>
      <c r="G1937" s="153"/>
      <c r="H1937" s="155">
        <v>1.5900000000000001E-2</v>
      </c>
      <c r="I1937" s="154" t="s">
        <v>147</v>
      </c>
      <c r="J1937" s="204">
        <v>2.5000000000000001E-4</v>
      </c>
      <c r="K1937" s="154" t="s">
        <v>13</v>
      </c>
      <c r="L1937" s="154" t="str">
        <f>IF(OpenLCAbasic!K1937="CTUh", "Fill in Manually",IF(OR(K1937="Unit", K1937=""), "", INDEX(LookUps!$E$5:$E$12, MATCH(OpenLCAbasic!K1937,LookUps!$D$5:$D$12,0))))</f>
        <v>Eutrophication Potential (EP) - kg N eq</v>
      </c>
      <c r="M1937" s="154" t="str">
        <f t="shared" si="100"/>
        <v>Low_Medium_Base_Upgraded_Eutrophication Potential (EP) - kg N eq_Influent Pump Station; wastewater treatment unit; at updated plant - US_Base_With Amendment_Windrow</v>
      </c>
    </row>
    <row r="1938" spans="1:13" s="120" customFormat="1" x14ac:dyDescent="0.25">
      <c r="A1938" s="119"/>
      <c r="B1938" s="138" t="str">
        <f t="shared" si="98"/>
        <v>Windrow</v>
      </c>
      <c r="C1938" s="138" t="str">
        <f t="shared" si="99"/>
        <v>Base_With Amendment</v>
      </c>
      <c r="D1938" s="118" t="s">
        <v>136</v>
      </c>
      <c r="E1938" s="118" t="s">
        <v>180</v>
      </c>
      <c r="F1938" s="118" t="s">
        <v>46</v>
      </c>
      <c r="G1938" s="153"/>
      <c r="H1938" s="155">
        <v>1.26E-2</v>
      </c>
      <c r="I1938" s="154" t="s">
        <v>54</v>
      </c>
      <c r="J1938" s="204">
        <v>2.0000000000000001E-4</v>
      </c>
      <c r="K1938" s="154" t="s">
        <v>13</v>
      </c>
      <c r="L1938" s="154" t="str">
        <f>IF(OpenLCAbasic!K1938="CTUh", "Fill in Manually",IF(OR(K1938="Unit", K1938=""), "", INDEX(LookUps!$E$5:$E$12, MATCH(OpenLCAbasic!K1938,LookUps!$D$5:$D$12,0))))</f>
        <v>Eutrophication Potential (EP) - kg N eq</v>
      </c>
      <c r="M1938" s="154" t="str">
        <f t="shared" si="100"/>
        <v>Low_Medium_Base_Upgraded_Eutrophication Potential (EP) - kg N eq_Clear Cove Primary Clarification; wastewater treatment unit; at updated plant - US_Base_With Amendment_Windrow</v>
      </c>
    </row>
    <row r="1939" spans="1:13" s="120" customFormat="1" x14ac:dyDescent="0.25">
      <c r="A1939" s="119"/>
      <c r="B1939" s="138" t="str">
        <f t="shared" si="98"/>
        <v>Windrow</v>
      </c>
      <c r="C1939" s="138" t="str">
        <f t="shared" si="99"/>
        <v>Base_With Amendment</v>
      </c>
      <c r="D1939" s="118" t="s">
        <v>136</v>
      </c>
      <c r="E1939" s="118" t="s">
        <v>180</v>
      </c>
      <c r="F1939" s="118" t="s">
        <v>46</v>
      </c>
      <c r="G1939" s="153"/>
      <c r="H1939" s="155">
        <v>1.2200000000000001E-2</v>
      </c>
      <c r="I1939" s="154" t="s">
        <v>167</v>
      </c>
      <c r="J1939" s="204">
        <v>1.9000000000000001E-4</v>
      </c>
      <c r="K1939" s="154" t="s">
        <v>13</v>
      </c>
      <c r="L1939" s="154" t="str">
        <f>IF(OpenLCAbasic!K1939="CTUh", "Fill in Manually",IF(OR(K1939="Unit", K1939=""), "", INDEX(LookUps!$E$5:$E$12, MATCH(OpenLCAbasic!K1939,LookUps!$D$5:$D$12,0))))</f>
        <v>Eutrophication Potential (EP) - kg N eq</v>
      </c>
      <c r="M1939" s="154" t="str">
        <f t="shared" si="100"/>
        <v>Low_Medium_Base_Upgraded_Eutrophication Potential (EP) - kg N eq_Waste Receiving and Holding; wastewater treatment unit; at updated plant - US_Base_With Amendment_Windrow</v>
      </c>
    </row>
    <row r="1940" spans="1:13" s="120" customFormat="1" x14ac:dyDescent="0.25">
      <c r="A1940" s="119"/>
      <c r="B1940" s="138" t="str">
        <f t="shared" si="98"/>
        <v>Windrow</v>
      </c>
      <c r="C1940" s="138" t="str">
        <f t="shared" si="99"/>
        <v>Base_With Amendment</v>
      </c>
      <c r="D1940" s="118" t="s">
        <v>136</v>
      </c>
      <c r="E1940" s="118" t="s">
        <v>180</v>
      </c>
      <c r="F1940" s="118" t="s">
        <v>46</v>
      </c>
      <c r="G1940" s="153"/>
      <c r="H1940" s="155">
        <v>8.6999999999999994E-3</v>
      </c>
      <c r="I1940" s="154" t="s">
        <v>58</v>
      </c>
      <c r="J1940" s="204">
        <v>1.3999999999999999E-4</v>
      </c>
      <c r="K1940" s="154" t="s">
        <v>13</v>
      </c>
      <c r="L1940" s="154" t="str">
        <f>IF(OpenLCAbasic!K1940="CTUh", "Fill in Manually",IF(OR(K1940="Unit", K1940=""), "", INDEX(LookUps!$E$5:$E$12, MATCH(OpenLCAbasic!K1940,LookUps!$D$5:$D$12,0))))</f>
        <v>Eutrophication Potential (EP) - kg N eq</v>
      </c>
      <c r="M1940" s="154" t="str">
        <f t="shared" si="100"/>
        <v>Low_Medium_Base_Upgraded_Eutrophication Potential (EP) - kg N eq_Pre-Anoxic &amp; Swing tank; wastewater treatment unit; at updated plant - US_Base_With Amendment_Windrow</v>
      </c>
    </row>
    <row r="1941" spans="1:13" s="120" customFormat="1" x14ac:dyDescent="0.25">
      <c r="A1941" s="119"/>
      <c r="B1941" s="138" t="str">
        <f t="shared" si="98"/>
        <v>Windrow</v>
      </c>
      <c r="C1941" s="138" t="str">
        <f t="shared" si="99"/>
        <v>Base_With Amendment</v>
      </c>
      <c r="D1941" s="118" t="s">
        <v>136</v>
      </c>
      <c r="E1941" s="118" t="s">
        <v>180</v>
      </c>
      <c r="F1941" s="118" t="s">
        <v>46</v>
      </c>
      <c r="G1941" s="153"/>
      <c r="H1941" s="155">
        <v>6.8999999999999999E-3</v>
      </c>
      <c r="I1941" s="154" t="s">
        <v>53</v>
      </c>
      <c r="J1941" s="204">
        <v>1.1E-4</v>
      </c>
      <c r="K1941" s="154" t="s">
        <v>13</v>
      </c>
      <c r="L1941" s="154" t="str">
        <f>IF(OpenLCAbasic!K1941="CTUh", "Fill in Manually",IF(OR(K1941="Unit", K1941=""), "", INDEX(LookUps!$E$5:$E$12, MATCH(OpenLCAbasic!K1941,LookUps!$D$5:$D$12,0))))</f>
        <v>Eutrophication Potential (EP) - kg N eq</v>
      </c>
      <c r="M1941" s="154" t="str">
        <f t="shared" si="100"/>
        <v>Low_Medium_Base_Upgraded_Eutrophication Potential (EP) - kg N eq_Wet Well and Sump Station; wastewater treatment unit; at updated plant - US_Base_With Amendment_Windrow</v>
      </c>
    </row>
    <row r="1942" spans="1:13" s="120" customFormat="1" x14ac:dyDescent="0.25">
      <c r="A1942" s="119"/>
      <c r="B1942" s="138" t="str">
        <f t="shared" si="98"/>
        <v>Windrow</v>
      </c>
      <c r="C1942" s="138" t="str">
        <f t="shared" si="99"/>
        <v>Base_With Amendment</v>
      </c>
      <c r="D1942" s="118" t="s">
        <v>136</v>
      </c>
      <c r="E1942" s="118" t="s">
        <v>180</v>
      </c>
      <c r="F1942" s="118" t="s">
        <v>46</v>
      </c>
      <c r="G1942" s="153"/>
      <c r="H1942" s="155">
        <v>5.7999999999999996E-3</v>
      </c>
      <c r="I1942" s="154" t="s">
        <v>271</v>
      </c>
      <c r="J1942" s="204">
        <v>9.0459199999999996E-5</v>
      </c>
      <c r="K1942" s="154" t="s">
        <v>13</v>
      </c>
      <c r="L1942" s="154" t="str">
        <f>IF(OpenLCAbasic!K1942="CTUh", "Fill in Manually",IF(OR(K1942="Unit", K1942=""), "", INDEX(LookUps!$E$5:$E$12, MATCH(OpenLCAbasic!K1942,LookUps!$D$5:$D$12,0))))</f>
        <v>Eutrophication Potential (EP) - kg N eq</v>
      </c>
      <c r="M1942" s="154" t="str">
        <f t="shared" si="100"/>
        <v>Low_Medium_Base_Upgraded_Eutrophication Potential (EP) - kg N eq_Biosolids composting; windrow composting; wastewater treatment unit; at updated plant - US_Base_With Amendment_Windrow</v>
      </c>
    </row>
    <row r="1943" spans="1:13" s="120" customFormat="1" x14ac:dyDescent="0.25">
      <c r="A1943" s="119"/>
      <c r="B1943" s="138" t="str">
        <f t="shared" si="98"/>
        <v>Windrow</v>
      </c>
      <c r="C1943" s="138" t="str">
        <f t="shared" si="99"/>
        <v>Base_With Amendment</v>
      </c>
      <c r="D1943" s="118" t="s">
        <v>136</v>
      </c>
      <c r="E1943" s="118" t="s">
        <v>180</v>
      </c>
      <c r="F1943" s="118" t="s">
        <v>46</v>
      </c>
      <c r="G1943" s="153"/>
      <c r="H1943" s="155">
        <v>4.4999999999999997E-3</v>
      </c>
      <c r="I1943" s="154" t="s">
        <v>60</v>
      </c>
      <c r="J1943" s="204">
        <v>6.9922100000000006E-5</v>
      </c>
      <c r="K1943" s="154" t="s">
        <v>13</v>
      </c>
      <c r="L1943" s="154" t="str">
        <f>IF(OpenLCAbasic!K1943="CTUh", "Fill in Manually",IF(OR(K1943="Unit", K1943=""), "", INDEX(LookUps!$E$5:$E$12, MATCH(OpenLCAbasic!K1943,LookUps!$D$5:$D$12,0))))</f>
        <v>Eutrophication Potential (EP) - kg N eq</v>
      </c>
      <c r="M1943" s="154" t="str">
        <f t="shared" si="100"/>
        <v>Low_Medium_Base_Upgraded_Eutrophication Potential (EP) - kg N eq_Belt filter press; wastewater treatment unit; at updated plant - US_Base_With Amendment_Windrow</v>
      </c>
    </row>
    <row r="1944" spans="1:13" s="120" customFormat="1" x14ac:dyDescent="0.25">
      <c r="A1944" s="119"/>
      <c r="B1944" s="138" t="str">
        <f t="shared" si="98"/>
        <v>Windrow</v>
      </c>
      <c r="C1944" s="138" t="str">
        <f t="shared" si="99"/>
        <v>Base_With Amendment</v>
      </c>
      <c r="D1944" s="118" t="s">
        <v>136</v>
      </c>
      <c r="E1944" s="118" t="s">
        <v>180</v>
      </c>
      <c r="F1944" s="118" t="s">
        <v>46</v>
      </c>
      <c r="G1944" s="153"/>
      <c r="H1944" s="155">
        <v>3.8999999999999998E-3</v>
      </c>
      <c r="I1944" s="154" t="s">
        <v>57</v>
      </c>
      <c r="J1944" s="204">
        <v>6.0590300000000002E-5</v>
      </c>
      <c r="K1944" s="154" t="s">
        <v>13</v>
      </c>
      <c r="L1944" s="154" t="str">
        <f>IF(OpenLCAbasic!K1944="CTUh", "Fill in Manually",IF(OR(K1944="Unit", K1944=""), "", INDEX(LookUps!$E$5:$E$12, MATCH(OpenLCAbasic!K1944,LookUps!$D$5:$D$12,0))))</f>
        <v>Eutrophication Potential (EP) - kg N eq</v>
      </c>
      <c r="M1944" s="154" t="str">
        <f t="shared" si="100"/>
        <v>Low_Medium_Base_Upgraded_Eutrophication Potential (EP) - kg N eq_Gravity Belt Thickener; wastewater treatment unit; at updated plant - US_Base_With Amendment_Windrow</v>
      </c>
    </row>
    <row r="1945" spans="1:13" s="120" customFormat="1" x14ac:dyDescent="0.25">
      <c r="A1945" s="119"/>
      <c r="B1945" s="138" t="str">
        <f t="shared" si="98"/>
        <v>Windrow</v>
      </c>
      <c r="C1945" s="138" t="str">
        <f t="shared" si="99"/>
        <v>Base_With Amendment</v>
      </c>
      <c r="D1945" s="118" t="s">
        <v>136</v>
      </c>
      <c r="E1945" s="118" t="s">
        <v>180</v>
      </c>
      <c r="F1945" s="118" t="s">
        <v>46</v>
      </c>
      <c r="G1945" s="153"/>
      <c r="H1945" s="155">
        <v>2.3999999999999998E-3</v>
      </c>
      <c r="I1945" s="154" t="s">
        <v>128</v>
      </c>
      <c r="J1945" s="204">
        <v>3.7559799999999999E-5</v>
      </c>
      <c r="K1945" s="154" t="s">
        <v>13</v>
      </c>
      <c r="L1945" s="154" t="str">
        <f>IF(OpenLCAbasic!K1945="CTUh", "Fill in Manually",IF(OR(K1945="Unit", K1945=""), "", INDEX(LookUps!$E$5:$E$12, MATCH(OpenLCAbasic!K1945,LookUps!$D$5:$D$12,0))))</f>
        <v>Eutrophication Potential (EP) - kg N eq</v>
      </c>
      <c r="M1945" s="154" t="str">
        <f t="shared" si="100"/>
        <v>Low_Medium_Base_Upgraded_Eutrophication Potential (EP) - kg N eq_Wastewater collection; operation and infrastructure; m3 wastewater_Base_With Amendment_Windrow</v>
      </c>
    </row>
    <row r="1946" spans="1:13" s="120" customFormat="1" x14ac:dyDescent="0.25">
      <c r="A1946" s="119"/>
      <c r="B1946" s="138" t="str">
        <f t="shared" si="98"/>
        <v>Windrow</v>
      </c>
      <c r="C1946" s="138" t="str">
        <f t="shared" si="99"/>
        <v>Base_With Amendment</v>
      </c>
      <c r="D1946" s="118" t="s">
        <v>136</v>
      </c>
      <c r="E1946" s="118" t="s">
        <v>180</v>
      </c>
      <c r="F1946" s="118" t="s">
        <v>46</v>
      </c>
      <c r="G1946" s="153"/>
      <c r="H1946" s="155">
        <v>2.3999999999999998E-3</v>
      </c>
      <c r="I1946" s="154" t="s">
        <v>148</v>
      </c>
      <c r="J1946" s="204">
        <v>3.6874600000000001E-5</v>
      </c>
      <c r="K1946" s="154" t="s">
        <v>13</v>
      </c>
      <c r="L1946" s="154" t="str">
        <f>IF(OpenLCAbasic!K1946="CTUh", "Fill in Manually",IF(OR(K1946="Unit", K1946=""), "", INDEX(LookUps!$E$5:$E$12, MATCH(OpenLCAbasic!K1946,LookUps!$D$5:$D$12,0))))</f>
        <v>Eutrophication Potential (EP) - kg N eq</v>
      </c>
      <c r="M1946" s="154" t="str">
        <f t="shared" si="100"/>
        <v>Low_Medium_Base_Upgraded_Eutrophication Potential (EP) - kg N eq_Control Building; at upgraded wastewater treatment plant - US_Base_With Amendment_Windrow</v>
      </c>
    </row>
    <row r="1947" spans="1:13" s="120" customFormat="1" x14ac:dyDescent="0.25">
      <c r="A1947" s="119"/>
      <c r="B1947" s="138" t="str">
        <f t="shared" si="98"/>
        <v>Windrow</v>
      </c>
      <c r="C1947" s="138" t="str">
        <f t="shared" si="99"/>
        <v>Base_With Amendment</v>
      </c>
      <c r="D1947" s="118" t="s">
        <v>136</v>
      </c>
      <c r="E1947" s="118" t="s">
        <v>180</v>
      </c>
      <c r="F1947" s="118" t="s">
        <v>46</v>
      </c>
      <c r="G1947" s="153"/>
      <c r="H1947" s="155">
        <v>1E-3</v>
      </c>
      <c r="I1947" s="154" t="s">
        <v>59</v>
      </c>
      <c r="J1947" s="204">
        <v>1.6215700000000001E-5</v>
      </c>
      <c r="K1947" s="154" t="s">
        <v>13</v>
      </c>
      <c r="L1947" s="154" t="str">
        <f>IF(OpenLCAbasic!K1947="CTUh", "Fill in Manually",IF(OR(K1947="Unit", K1947=""), "", INDEX(LookUps!$E$5:$E$12, MATCH(OpenLCAbasic!K1947,LookUps!$D$5:$D$12,0))))</f>
        <v>Eutrophication Potential (EP) - kg N eq</v>
      </c>
      <c r="M1947" s="154" t="str">
        <f t="shared" si="100"/>
        <v>Low_Medium_Base_Upgraded_Eutrophication Potential (EP) - kg N eq_Blend Tank; wastewater treatment unit; at updated plant - US_Base_With Amendment_Windrow</v>
      </c>
    </row>
    <row r="1948" spans="1:13" s="120" customFormat="1" x14ac:dyDescent="0.25">
      <c r="A1948" s="119"/>
      <c r="B1948" s="138" t="str">
        <f t="shared" si="98"/>
        <v>Windrow</v>
      </c>
      <c r="C1948" s="138" t="str">
        <f t="shared" si="99"/>
        <v>Base_With Amendment</v>
      </c>
      <c r="D1948" s="118" t="s">
        <v>136</v>
      </c>
      <c r="E1948" s="118" t="s">
        <v>180</v>
      </c>
      <c r="F1948" s="118" t="s">
        <v>46</v>
      </c>
      <c r="G1948" s="153"/>
      <c r="H1948" s="155">
        <v>5.0000000000000001E-4</v>
      </c>
      <c r="I1948" s="154" t="s">
        <v>168</v>
      </c>
      <c r="J1948" s="204">
        <v>7.7567199999999995E-6</v>
      </c>
      <c r="K1948" s="154" t="s">
        <v>13</v>
      </c>
      <c r="L1948" s="154" t="str">
        <f>IF(OpenLCAbasic!K1948="CTUh", "Fill in Manually",IF(OR(K1948="Unit", K1948=""), "", INDEX(LookUps!$E$5:$E$12, MATCH(OpenLCAbasic!K1948,LookUps!$D$5:$D$12,0))))</f>
        <v>Eutrophication Potential (EP) - kg N eq</v>
      </c>
      <c r="M1948" s="154" t="str">
        <f t="shared" si="100"/>
        <v>Low_Medium_Base_Upgraded_Eutrophication Potential (EP) - kg N eq_ClearCove SCP; wastewater treatment unit; at updated plant - US_Base_With Amendment_Windrow</v>
      </c>
    </row>
    <row r="1949" spans="1:13" s="120" customFormat="1" x14ac:dyDescent="0.25">
      <c r="A1949" s="119"/>
      <c r="B1949" s="138" t="str">
        <f t="shared" si="98"/>
        <v>Windrow</v>
      </c>
      <c r="C1949" s="138" t="str">
        <f t="shared" si="99"/>
        <v>Base_With Amendment</v>
      </c>
      <c r="D1949" s="118" t="s">
        <v>136</v>
      </c>
      <c r="E1949" s="118" t="s">
        <v>180</v>
      </c>
      <c r="F1949" s="118" t="s">
        <v>46</v>
      </c>
      <c r="G1949" s="153"/>
      <c r="H1949" s="155">
        <v>-3.95E-2</v>
      </c>
      <c r="I1949" s="154" t="s">
        <v>149</v>
      </c>
      <c r="J1949" s="204">
        <v>-6.2E-4</v>
      </c>
      <c r="K1949" s="154" t="s">
        <v>13</v>
      </c>
      <c r="L1949" s="154" t="str">
        <f>IF(OpenLCAbasic!K1949="CTUh", "Fill in Manually",IF(OR(K1949="Unit", K1949=""), "", INDEX(LookUps!$E$5:$E$12, MATCH(OpenLCAbasic!K1949,LookUps!$D$5:$D$12,0))))</f>
        <v>Eutrophication Potential (EP) - kg N eq</v>
      </c>
      <c r="M1949" s="154" t="str">
        <f t="shared" si="100"/>
        <v>Low_Medium_Base_Upgraded_Eutrophication Potential (EP) - kg N eq_Anaerobic Digestion; wastewater treatment unit; at updated plant - US_Base_With Amendment_Windrow</v>
      </c>
    </row>
    <row r="1950" spans="1:13" s="120" customFormat="1" x14ac:dyDescent="0.25">
      <c r="A1950" s="119"/>
      <c r="B1950" s="138" t="str">
        <f t="shared" si="98"/>
        <v>Windrow</v>
      </c>
      <c r="C1950" s="138" t="str">
        <f t="shared" si="99"/>
        <v>Base_With Amendment</v>
      </c>
      <c r="D1950" s="118" t="s">
        <v>136</v>
      </c>
      <c r="E1950" s="118" t="s">
        <v>180</v>
      </c>
      <c r="F1950" s="118" t="s">
        <v>46</v>
      </c>
      <c r="G1950" s="153" t="s">
        <v>51</v>
      </c>
      <c r="H1950" s="154"/>
      <c r="I1950" s="154" t="s">
        <v>47</v>
      </c>
      <c r="J1950" s="154" t="s">
        <v>52</v>
      </c>
      <c r="K1950" s="154" t="s">
        <v>27</v>
      </c>
      <c r="L1950" s="154" t="str">
        <f>IF(OpenLCAbasic!K1950="CTUh", "Fill in Manually",IF(OR(K1950="Unit", K1950=""), "", INDEX(LookUps!$E$5:$E$12, MATCH(OpenLCAbasic!K1950,LookUps!$D$5:$D$12,0))))</f>
        <v/>
      </c>
      <c r="M1950" s="154" t="str">
        <f t="shared" si="100"/>
        <v>Low_Medium_Base_Upgraded__Process_Base_With Amendment_Windrow</v>
      </c>
    </row>
    <row r="1951" spans="1:13" s="120" customFormat="1" x14ac:dyDescent="0.25">
      <c r="A1951" s="119"/>
      <c r="B1951" s="138" t="str">
        <f t="shared" si="98"/>
        <v>Windrow</v>
      </c>
      <c r="C1951" s="138" t="str">
        <f t="shared" si="99"/>
        <v>Base_With Amendment</v>
      </c>
      <c r="D1951" s="118" t="s">
        <v>136</v>
      </c>
      <c r="E1951" s="118" t="s">
        <v>180</v>
      </c>
      <c r="F1951" s="118" t="s">
        <v>46</v>
      </c>
      <c r="G1951" s="153"/>
      <c r="H1951" s="155">
        <v>0.70050000000000001</v>
      </c>
      <c r="I1951" s="154" t="s">
        <v>55</v>
      </c>
      <c r="J1951" s="203">
        <v>1.7219999999999999E-2</v>
      </c>
      <c r="K1951" s="154" t="s">
        <v>24</v>
      </c>
      <c r="L1951" s="154" t="str">
        <f>IF(OpenLCAbasic!K1951="CTUh", "Fill in Manually",IF(OR(K1951="Unit", K1951=""), "", INDEX(LookUps!$E$5:$E$12, MATCH(OpenLCAbasic!K1951,LookUps!$D$5:$D$12,0))))</f>
        <v>Acidification Potential (AP) - kg SO2 eq</v>
      </c>
      <c r="M1951" s="154" t="str">
        <f t="shared" si="100"/>
        <v>Low_Medium_Base_Upgraded_Acidification Potential (AP) - kg SO2 eq_Aeration Tanks; wastewater treatment unit; at updated plant - US_Base_With Amendment_Windrow</v>
      </c>
    </row>
    <row r="1952" spans="1:13" s="120" customFormat="1" x14ac:dyDescent="0.25">
      <c r="A1952" s="119"/>
      <c r="B1952" s="138" t="str">
        <f t="shared" si="98"/>
        <v>Windrow</v>
      </c>
      <c r="C1952" s="138" t="str">
        <f t="shared" si="99"/>
        <v>Base_With Amendment</v>
      </c>
      <c r="D1952" s="118" t="s">
        <v>136</v>
      </c>
      <c r="E1952" s="118" t="s">
        <v>180</v>
      </c>
      <c r="F1952" s="118" t="s">
        <v>46</v>
      </c>
      <c r="G1952" s="153"/>
      <c r="H1952" s="155">
        <v>0.2026</v>
      </c>
      <c r="I1952" s="154" t="s">
        <v>54</v>
      </c>
      <c r="J1952" s="204">
        <v>4.9800000000000001E-3</v>
      </c>
      <c r="K1952" s="154" t="s">
        <v>24</v>
      </c>
      <c r="L1952" s="154" t="str">
        <f>IF(OpenLCAbasic!K1952="CTUh", "Fill in Manually",IF(OR(K1952="Unit", K1952=""), "", INDEX(LookUps!$E$5:$E$12, MATCH(OpenLCAbasic!K1952,LookUps!$D$5:$D$12,0))))</f>
        <v>Acidification Potential (AP) - kg SO2 eq</v>
      </c>
      <c r="M1952" s="154" t="str">
        <f t="shared" si="100"/>
        <v>Low_Medium_Base_Upgraded_Acidification Potential (AP) - kg SO2 eq_Clear Cove Primary Clarification; wastewater treatment unit; at updated plant - US_Base_With Amendment_Windrow</v>
      </c>
    </row>
    <row r="1953" spans="1:13" s="120" customFormat="1" x14ac:dyDescent="0.25">
      <c r="A1953" s="119"/>
      <c r="B1953" s="138" t="str">
        <f t="shared" si="98"/>
        <v>Windrow</v>
      </c>
      <c r="C1953" s="138" t="str">
        <f t="shared" si="99"/>
        <v>Base_With Amendment</v>
      </c>
      <c r="D1953" s="118" t="s">
        <v>136</v>
      </c>
      <c r="E1953" s="118" t="s">
        <v>180</v>
      </c>
      <c r="F1953" s="118" t="s">
        <v>46</v>
      </c>
      <c r="G1953" s="153"/>
      <c r="H1953" s="155">
        <v>0.17680000000000001</v>
      </c>
      <c r="I1953" s="154" t="s">
        <v>58</v>
      </c>
      <c r="J1953" s="204">
        <v>4.3499999999999997E-3</v>
      </c>
      <c r="K1953" s="154" t="s">
        <v>24</v>
      </c>
      <c r="L1953" s="154" t="str">
        <f>IF(OpenLCAbasic!K1953="CTUh", "Fill in Manually",IF(OR(K1953="Unit", K1953=""), "", INDEX(LookUps!$E$5:$E$12, MATCH(OpenLCAbasic!K1953,LookUps!$D$5:$D$12,0))))</f>
        <v>Acidification Potential (AP) - kg SO2 eq</v>
      </c>
      <c r="M1953" s="154" t="str">
        <f t="shared" si="100"/>
        <v>Low_Medium_Base_Upgraded_Acidification Potential (AP) - kg SO2 eq_Pre-Anoxic &amp; Swing tank; wastewater treatment unit; at updated plant - US_Base_With Amendment_Windrow</v>
      </c>
    </row>
    <row r="1954" spans="1:13" s="120" customFormat="1" x14ac:dyDescent="0.25">
      <c r="A1954" s="119"/>
      <c r="B1954" s="138" t="str">
        <f t="shared" si="98"/>
        <v>Windrow</v>
      </c>
      <c r="C1954" s="138" t="str">
        <f t="shared" si="99"/>
        <v>Base_With Amendment</v>
      </c>
      <c r="D1954" s="118" t="s">
        <v>136</v>
      </c>
      <c r="E1954" s="118" t="s">
        <v>180</v>
      </c>
      <c r="F1954" s="118" t="s">
        <v>46</v>
      </c>
      <c r="G1954" s="153"/>
      <c r="H1954" s="155">
        <v>0.16689999999999999</v>
      </c>
      <c r="I1954" s="154" t="s">
        <v>62</v>
      </c>
      <c r="J1954" s="204">
        <v>4.1000000000000003E-3</v>
      </c>
      <c r="K1954" s="154" t="s">
        <v>24</v>
      </c>
      <c r="L1954" s="154" t="str">
        <f>IF(OpenLCAbasic!K1954="CTUh", "Fill in Manually",IF(OR(K1954="Unit", K1954=""), "", INDEX(LookUps!$E$5:$E$12, MATCH(OpenLCAbasic!K1954,LookUps!$D$5:$D$12,0))))</f>
        <v>Acidification Potential (AP) - kg SO2 eq</v>
      </c>
      <c r="M1954" s="154" t="str">
        <f t="shared" si="100"/>
        <v>Low_Medium_Base_Upgraded_Acidification Potential (AP) - kg SO2 eq_Land application of compost; wastewater treatment unit; at updated plant - US_Base_With Amendment_Windrow</v>
      </c>
    </row>
    <row r="1955" spans="1:13" s="120" customFormat="1" x14ac:dyDescent="0.25">
      <c r="A1955" s="119"/>
      <c r="B1955" s="138" t="str">
        <f t="shared" si="98"/>
        <v>Windrow</v>
      </c>
      <c r="C1955" s="138" t="str">
        <f t="shared" si="99"/>
        <v>Base_With Amendment</v>
      </c>
      <c r="D1955" s="118" t="s">
        <v>136</v>
      </c>
      <c r="E1955" s="118" t="s">
        <v>180</v>
      </c>
      <c r="F1955" s="118" t="s">
        <v>46</v>
      </c>
      <c r="G1955" s="153"/>
      <c r="H1955" s="155">
        <v>0.1404</v>
      </c>
      <c r="I1955" s="154" t="s">
        <v>53</v>
      </c>
      <c r="J1955" s="204">
        <v>3.4499999999999999E-3</v>
      </c>
      <c r="K1955" s="154" t="s">
        <v>24</v>
      </c>
      <c r="L1955" s="154" t="str">
        <f>IF(OpenLCAbasic!K1955="CTUh", "Fill in Manually",IF(OR(K1955="Unit", K1955=""), "", INDEX(LookUps!$E$5:$E$12, MATCH(OpenLCAbasic!K1955,LookUps!$D$5:$D$12,0))))</f>
        <v>Acidification Potential (AP) - kg SO2 eq</v>
      </c>
      <c r="M1955" s="154" t="str">
        <f t="shared" si="100"/>
        <v>Low_Medium_Base_Upgraded_Acidification Potential (AP) - kg SO2 eq_Wet Well and Sump Station; wastewater treatment unit; at updated plant - US_Base_With Amendment_Windrow</v>
      </c>
    </row>
    <row r="1956" spans="1:13" s="120" customFormat="1" x14ac:dyDescent="0.25">
      <c r="A1956" s="119"/>
      <c r="B1956" s="138" t="str">
        <f t="shared" si="98"/>
        <v>Windrow</v>
      </c>
      <c r="C1956" s="138" t="str">
        <f t="shared" si="99"/>
        <v>Base_With Amendment</v>
      </c>
      <c r="D1956" s="118" t="s">
        <v>136</v>
      </c>
      <c r="E1956" s="118" t="s">
        <v>180</v>
      </c>
      <c r="F1956" s="118" t="s">
        <v>46</v>
      </c>
      <c r="G1956" s="153"/>
      <c r="H1956" s="155">
        <v>0.10299999999999999</v>
      </c>
      <c r="I1956" s="154" t="s">
        <v>167</v>
      </c>
      <c r="J1956" s="204">
        <v>2.5300000000000001E-3</v>
      </c>
      <c r="K1956" s="154" t="s">
        <v>24</v>
      </c>
      <c r="L1956" s="154" t="str">
        <f>IF(OpenLCAbasic!K1956="CTUh", "Fill in Manually",IF(OR(K1956="Unit", K1956=""), "", INDEX(LookUps!$E$5:$E$12, MATCH(OpenLCAbasic!K1956,LookUps!$D$5:$D$12,0))))</f>
        <v>Acidification Potential (AP) - kg SO2 eq</v>
      </c>
      <c r="M1956" s="154" t="str">
        <f t="shared" si="100"/>
        <v>Low_Medium_Base_Upgraded_Acidification Potential (AP) - kg SO2 eq_Waste Receiving and Holding; wastewater treatment unit; at updated plant - US_Base_With Amendment_Windrow</v>
      </c>
    </row>
    <row r="1957" spans="1:13" s="120" customFormat="1" x14ac:dyDescent="0.25">
      <c r="A1957" s="119"/>
      <c r="B1957" s="138" t="str">
        <f t="shared" si="98"/>
        <v>Windrow</v>
      </c>
      <c r="C1957" s="138" t="str">
        <f t="shared" si="99"/>
        <v>Base_With Amendment</v>
      </c>
      <c r="D1957" s="118" t="s">
        <v>136</v>
      </c>
      <c r="E1957" s="118" t="s">
        <v>180</v>
      </c>
      <c r="F1957" s="118" t="s">
        <v>46</v>
      </c>
      <c r="G1957" s="153"/>
      <c r="H1957" s="155">
        <v>8.4099999999999994E-2</v>
      </c>
      <c r="I1957" s="154" t="s">
        <v>147</v>
      </c>
      <c r="J1957" s="204">
        <v>2.0699999999999998E-3</v>
      </c>
      <c r="K1957" s="154" t="s">
        <v>24</v>
      </c>
      <c r="L1957" s="154" t="str">
        <f>IF(OpenLCAbasic!K1957="CTUh", "Fill in Manually",IF(OR(K1957="Unit", K1957=""), "", INDEX(LookUps!$E$5:$E$12, MATCH(OpenLCAbasic!K1957,LookUps!$D$5:$D$12,0))))</f>
        <v>Acidification Potential (AP) - kg SO2 eq</v>
      </c>
      <c r="M1957" s="154" t="str">
        <f t="shared" si="100"/>
        <v>Low_Medium_Base_Upgraded_Acidification Potential (AP) - kg SO2 eq_Influent Pump Station; wastewater treatment unit; at updated plant - US_Base_With Amendment_Windrow</v>
      </c>
    </row>
    <row r="1958" spans="1:13" s="120" customFormat="1" x14ac:dyDescent="0.25">
      <c r="A1958" s="119"/>
      <c r="B1958" s="138" t="str">
        <f t="shared" si="98"/>
        <v>Windrow</v>
      </c>
      <c r="C1958" s="138" t="str">
        <f t="shared" si="99"/>
        <v>Base_With Amendment</v>
      </c>
      <c r="D1958" s="118" t="s">
        <v>136</v>
      </c>
      <c r="E1958" s="118" t="s">
        <v>180</v>
      </c>
      <c r="F1958" s="118" t="s">
        <v>46</v>
      </c>
      <c r="G1958" s="153"/>
      <c r="H1958" s="155">
        <v>5.8599999999999999E-2</v>
      </c>
      <c r="I1958" s="154" t="s">
        <v>271</v>
      </c>
      <c r="J1958" s="204">
        <v>1.4400000000000001E-3</v>
      </c>
      <c r="K1958" s="154" t="s">
        <v>24</v>
      </c>
      <c r="L1958" s="154" t="str">
        <f>IF(OpenLCAbasic!K1958="CTUh", "Fill in Manually",IF(OR(K1958="Unit", K1958=""), "", INDEX(LookUps!$E$5:$E$12, MATCH(OpenLCAbasic!K1958,LookUps!$D$5:$D$12,0))))</f>
        <v>Acidification Potential (AP) - kg SO2 eq</v>
      </c>
      <c r="M1958" s="154" t="str">
        <f t="shared" si="100"/>
        <v>Low_Medium_Base_Upgraded_Acidification Potential (AP) - kg SO2 eq_Biosolids composting; windrow composting; wastewater treatment unit; at updated plant - US_Base_With Amendment_Windrow</v>
      </c>
    </row>
    <row r="1959" spans="1:13" s="120" customFormat="1" x14ac:dyDescent="0.25">
      <c r="A1959" s="119"/>
      <c r="B1959" s="138" t="str">
        <f t="shared" si="98"/>
        <v>Windrow</v>
      </c>
      <c r="C1959" s="138" t="str">
        <f t="shared" si="99"/>
        <v>Base_With Amendment</v>
      </c>
      <c r="D1959" s="118" t="s">
        <v>136</v>
      </c>
      <c r="E1959" s="118" t="s">
        <v>180</v>
      </c>
      <c r="F1959" s="118" t="s">
        <v>46</v>
      </c>
      <c r="G1959" s="153"/>
      <c r="H1959" s="155">
        <v>5.0200000000000002E-2</v>
      </c>
      <c r="I1959" s="154" t="s">
        <v>128</v>
      </c>
      <c r="J1959" s="204">
        <v>1.23E-3</v>
      </c>
      <c r="K1959" s="154" t="s">
        <v>24</v>
      </c>
      <c r="L1959" s="154" t="str">
        <f>IF(OpenLCAbasic!K1959="CTUh", "Fill in Manually",IF(OR(K1959="Unit", K1959=""), "", INDEX(LookUps!$E$5:$E$12, MATCH(OpenLCAbasic!K1959,LookUps!$D$5:$D$12,0))))</f>
        <v>Acidification Potential (AP) - kg SO2 eq</v>
      </c>
      <c r="M1959" s="154" t="str">
        <f t="shared" si="100"/>
        <v>Low_Medium_Base_Upgraded_Acidification Potential (AP) - kg SO2 eq_Wastewater collection; operation and infrastructure; m3 wastewater_Base_With Amendment_Windrow</v>
      </c>
    </row>
    <row r="1960" spans="1:13" s="120" customFormat="1" x14ac:dyDescent="0.25">
      <c r="A1960" s="119"/>
      <c r="B1960" s="138" t="str">
        <f t="shared" si="98"/>
        <v>Windrow</v>
      </c>
      <c r="C1960" s="138" t="str">
        <f t="shared" si="99"/>
        <v>Base_With Amendment</v>
      </c>
      <c r="D1960" s="118" t="s">
        <v>136</v>
      </c>
      <c r="E1960" s="118" t="s">
        <v>180</v>
      </c>
      <c r="F1960" s="118" t="s">
        <v>46</v>
      </c>
      <c r="G1960" s="153"/>
      <c r="H1960" s="155">
        <v>4.3400000000000001E-2</v>
      </c>
      <c r="I1960" s="154" t="s">
        <v>60</v>
      </c>
      <c r="J1960" s="204">
        <v>1.07E-3</v>
      </c>
      <c r="K1960" s="154" t="s">
        <v>24</v>
      </c>
      <c r="L1960" s="154" t="str">
        <f>IF(OpenLCAbasic!K1960="CTUh", "Fill in Manually",IF(OR(K1960="Unit", K1960=""), "", INDEX(LookUps!$E$5:$E$12, MATCH(OpenLCAbasic!K1960,LookUps!$D$5:$D$12,0))))</f>
        <v>Acidification Potential (AP) - kg SO2 eq</v>
      </c>
      <c r="M1960" s="154" t="str">
        <f t="shared" si="100"/>
        <v>Low_Medium_Base_Upgraded_Acidification Potential (AP) - kg SO2 eq_Belt filter press; wastewater treatment unit; at updated plant - US_Base_With Amendment_Windrow</v>
      </c>
    </row>
    <row r="1961" spans="1:13" s="120" customFormat="1" x14ac:dyDescent="0.25">
      <c r="A1961" s="119"/>
      <c r="B1961" s="138" t="str">
        <f t="shared" si="98"/>
        <v>Windrow</v>
      </c>
      <c r="C1961" s="138" t="str">
        <f t="shared" si="99"/>
        <v>Base_With Amendment</v>
      </c>
      <c r="D1961" s="118" t="s">
        <v>136</v>
      </c>
      <c r="E1961" s="118" t="s">
        <v>180</v>
      </c>
      <c r="F1961" s="118" t="s">
        <v>46</v>
      </c>
      <c r="G1961" s="153"/>
      <c r="H1961" s="155">
        <v>2.86E-2</v>
      </c>
      <c r="I1961" s="154" t="s">
        <v>57</v>
      </c>
      <c r="J1961" s="204">
        <v>6.9999999999999999E-4</v>
      </c>
      <c r="K1961" s="154" t="s">
        <v>24</v>
      </c>
      <c r="L1961" s="154" t="str">
        <f>IF(OpenLCAbasic!K1961="CTUh", "Fill in Manually",IF(OR(K1961="Unit", K1961=""), "", INDEX(LookUps!$E$5:$E$12, MATCH(OpenLCAbasic!K1961,LookUps!$D$5:$D$12,0))))</f>
        <v>Acidification Potential (AP) - kg SO2 eq</v>
      </c>
      <c r="M1961" s="154" t="str">
        <f t="shared" si="100"/>
        <v>Low_Medium_Base_Upgraded_Acidification Potential (AP) - kg SO2 eq_Gravity Belt Thickener; wastewater treatment unit; at updated plant - US_Base_With Amendment_Windrow</v>
      </c>
    </row>
    <row r="1962" spans="1:13" s="120" customFormat="1" x14ac:dyDescent="0.25">
      <c r="A1962" s="119"/>
      <c r="B1962" s="138" t="str">
        <f t="shared" si="98"/>
        <v>Windrow</v>
      </c>
      <c r="C1962" s="138" t="str">
        <f t="shared" si="99"/>
        <v>Base_With Amendment</v>
      </c>
      <c r="D1962" s="118" t="s">
        <v>136</v>
      </c>
      <c r="E1962" s="118" t="s">
        <v>180</v>
      </c>
      <c r="F1962" s="118" t="s">
        <v>46</v>
      </c>
      <c r="G1962" s="153"/>
      <c r="H1962" s="155">
        <v>2.1000000000000001E-2</v>
      </c>
      <c r="I1962" s="154" t="s">
        <v>59</v>
      </c>
      <c r="J1962" s="204">
        <v>5.1999999999999995E-4</v>
      </c>
      <c r="K1962" s="154" t="s">
        <v>24</v>
      </c>
      <c r="L1962" s="154" t="str">
        <f>IF(OpenLCAbasic!K1962="CTUh", "Fill in Manually",IF(OR(K1962="Unit", K1962=""), "", INDEX(LookUps!$E$5:$E$12, MATCH(OpenLCAbasic!K1962,LookUps!$D$5:$D$12,0))))</f>
        <v>Acidification Potential (AP) - kg SO2 eq</v>
      </c>
      <c r="M1962" s="154" t="str">
        <f t="shared" si="100"/>
        <v>Low_Medium_Base_Upgraded_Acidification Potential (AP) - kg SO2 eq_Blend Tank; wastewater treatment unit; at updated plant - US_Base_With Amendment_Windrow</v>
      </c>
    </row>
    <row r="1963" spans="1:13" s="120" customFormat="1" x14ac:dyDescent="0.25">
      <c r="A1963" s="119"/>
      <c r="B1963" s="138" t="str">
        <f t="shared" si="98"/>
        <v>Windrow</v>
      </c>
      <c r="C1963" s="138" t="str">
        <f t="shared" si="99"/>
        <v>Base_With Amendment</v>
      </c>
      <c r="D1963" s="118" t="s">
        <v>136</v>
      </c>
      <c r="E1963" s="118" t="s">
        <v>180</v>
      </c>
      <c r="F1963" s="118" t="s">
        <v>46</v>
      </c>
      <c r="G1963" s="153"/>
      <c r="H1963" s="155">
        <v>1.41E-2</v>
      </c>
      <c r="I1963" s="154" t="s">
        <v>48</v>
      </c>
      <c r="J1963" s="204">
        <v>3.5E-4</v>
      </c>
      <c r="K1963" s="154" t="s">
        <v>24</v>
      </c>
      <c r="L1963" s="154" t="str">
        <f>IF(OpenLCAbasic!K1963="CTUh", "Fill in Manually",IF(OR(K1963="Unit", K1963=""), "", INDEX(LookUps!$E$5:$E$12, MATCH(OpenLCAbasic!K1963,LookUps!$D$5:$D$12,0))))</f>
        <v>Acidification Potential (AP) - kg SO2 eq</v>
      </c>
      <c r="M1963" s="154" t="str">
        <f t="shared" si="100"/>
        <v>Low_Medium_Base_Upgraded_Acidification Potential (AP) - kg SO2 eq_Effluent release; wastewater treatment unit; at surface water; m3 wastewater - US_Base_With Amendment_Windrow</v>
      </c>
    </row>
    <row r="1964" spans="1:13" s="120" customFormat="1" x14ac:dyDescent="0.25">
      <c r="A1964" s="119"/>
      <c r="B1964" s="138" t="str">
        <f t="shared" si="98"/>
        <v>Windrow</v>
      </c>
      <c r="C1964" s="138" t="str">
        <f t="shared" si="99"/>
        <v>Base_With Amendment</v>
      </c>
      <c r="D1964" s="118" t="s">
        <v>136</v>
      </c>
      <c r="E1964" s="118" t="s">
        <v>180</v>
      </c>
      <c r="F1964" s="118" t="s">
        <v>46</v>
      </c>
      <c r="G1964" s="153"/>
      <c r="H1964" s="155">
        <v>1.04E-2</v>
      </c>
      <c r="I1964" s="154" t="s">
        <v>168</v>
      </c>
      <c r="J1964" s="204">
        <v>2.5999999999999998E-4</v>
      </c>
      <c r="K1964" s="154" t="s">
        <v>24</v>
      </c>
      <c r="L1964" s="154" t="str">
        <f>IF(OpenLCAbasic!K1964="CTUh", "Fill in Manually",IF(OR(K1964="Unit", K1964=""), "", INDEX(LookUps!$E$5:$E$12, MATCH(OpenLCAbasic!K1964,LookUps!$D$5:$D$12,0))))</f>
        <v>Acidification Potential (AP) - kg SO2 eq</v>
      </c>
      <c r="M1964" s="154" t="str">
        <f t="shared" si="100"/>
        <v>Low_Medium_Base_Upgraded_Acidification Potential (AP) - kg SO2 eq_ClearCove SCP; wastewater treatment unit; at updated plant - US_Base_With Amendment_Windrow</v>
      </c>
    </row>
    <row r="1965" spans="1:13" s="120" customFormat="1" x14ac:dyDescent="0.25">
      <c r="A1965" s="119"/>
      <c r="B1965" s="138" t="str">
        <f t="shared" si="98"/>
        <v>Windrow</v>
      </c>
      <c r="C1965" s="138" t="str">
        <f t="shared" si="99"/>
        <v>Base_With Amendment</v>
      </c>
      <c r="D1965" s="118" t="s">
        <v>136</v>
      </c>
      <c r="E1965" s="118" t="s">
        <v>180</v>
      </c>
      <c r="F1965" s="118" t="s">
        <v>46</v>
      </c>
      <c r="G1965" s="153"/>
      <c r="H1965" s="155">
        <v>1.6000000000000001E-3</v>
      </c>
      <c r="I1965" s="154" t="s">
        <v>148</v>
      </c>
      <c r="J1965" s="204">
        <v>4.0354700000000002E-5</v>
      </c>
      <c r="K1965" s="154" t="s">
        <v>24</v>
      </c>
      <c r="L1965" s="154" t="str">
        <f>IF(OpenLCAbasic!K1965="CTUh", "Fill in Manually",IF(OR(K1965="Unit", K1965=""), "", INDEX(LookUps!$E$5:$E$12, MATCH(OpenLCAbasic!K1965,LookUps!$D$5:$D$12,0))))</f>
        <v>Acidification Potential (AP) - kg SO2 eq</v>
      </c>
      <c r="M1965" s="154" t="str">
        <f t="shared" si="100"/>
        <v>Low_Medium_Base_Upgraded_Acidification Potential (AP) - kg SO2 eq_Control Building; at upgraded wastewater treatment plant - US_Base_With Amendment_Windrow</v>
      </c>
    </row>
    <row r="1966" spans="1:13" s="120" customFormat="1" x14ac:dyDescent="0.25">
      <c r="A1966" s="119"/>
      <c r="B1966" s="138" t="str">
        <f t="shared" si="98"/>
        <v>Windrow</v>
      </c>
      <c r="C1966" s="138" t="str">
        <f t="shared" si="99"/>
        <v>Base_With Amendment</v>
      </c>
      <c r="D1966" s="118" t="s">
        <v>136</v>
      </c>
      <c r="E1966" s="118" t="s">
        <v>180</v>
      </c>
      <c r="F1966" s="118" t="s">
        <v>46</v>
      </c>
      <c r="G1966" s="153"/>
      <c r="H1966" s="155">
        <v>-0.80210000000000004</v>
      </c>
      <c r="I1966" s="154" t="s">
        <v>149</v>
      </c>
      <c r="J1966" s="203">
        <v>-1.9720000000000001E-2</v>
      </c>
      <c r="K1966" s="154" t="s">
        <v>24</v>
      </c>
      <c r="L1966" s="154" t="str">
        <f>IF(OpenLCAbasic!K1966="CTUh", "Fill in Manually",IF(OR(K1966="Unit", K1966=""), "", INDEX(LookUps!$E$5:$E$12, MATCH(OpenLCAbasic!K1966,LookUps!$D$5:$D$12,0))))</f>
        <v>Acidification Potential (AP) - kg SO2 eq</v>
      </c>
      <c r="M1966" s="154" t="str">
        <f t="shared" si="100"/>
        <v>Low_Medium_Base_Upgraded_Acidification Potential (AP) - kg SO2 eq_Anaerobic Digestion; wastewater treatment unit; at updated plant - US_Base_With Amendment_Windrow</v>
      </c>
    </row>
    <row r="1967" spans="1:13" s="120" customFormat="1" x14ac:dyDescent="0.25">
      <c r="A1967" s="119"/>
      <c r="B1967" s="138" t="str">
        <f t="shared" si="98"/>
        <v>Windrow</v>
      </c>
      <c r="C1967" s="138" t="str">
        <f t="shared" si="99"/>
        <v>Base_With Amendment</v>
      </c>
      <c r="D1967" s="118" t="s">
        <v>136</v>
      </c>
      <c r="E1967" s="118" t="s">
        <v>180</v>
      </c>
      <c r="F1967" s="118" t="s">
        <v>46</v>
      </c>
      <c r="G1967" s="153" t="s">
        <v>51</v>
      </c>
      <c r="H1967" s="154"/>
      <c r="I1967" s="154" t="s">
        <v>47</v>
      </c>
      <c r="J1967" s="154" t="s">
        <v>52</v>
      </c>
      <c r="K1967" s="154" t="s">
        <v>27</v>
      </c>
      <c r="L1967" s="154" t="str">
        <f>IF(OpenLCAbasic!K1967="CTUh", "Fill in Manually",IF(OR(K1967="Unit", K1967=""), "", INDEX(LookUps!$E$5:$E$12, MATCH(OpenLCAbasic!K1967,LookUps!$D$5:$D$12,0))))</f>
        <v/>
      </c>
      <c r="M1967" s="154" t="str">
        <f t="shared" si="100"/>
        <v>Low_Medium_Base_Upgraded__Process_Base_With Amendment_Windrow</v>
      </c>
    </row>
    <row r="1968" spans="1:13" s="120" customFormat="1" x14ac:dyDescent="0.25">
      <c r="A1968" s="119"/>
      <c r="B1968" s="138" t="str">
        <f t="shared" si="98"/>
        <v>Windrow</v>
      </c>
      <c r="C1968" s="138" t="str">
        <f t="shared" si="99"/>
        <v>Base_With Amendment</v>
      </c>
      <c r="D1968" s="118" t="s">
        <v>136</v>
      </c>
      <c r="E1968" s="118" t="s">
        <v>180</v>
      </c>
      <c r="F1968" s="118" t="s">
        <v>46</v>
      </c>
      <c r="G1968" s="153"/>
      <c r="H1968" s="155">
        <v>1.5375000000000001</v>
      </c>
      <c r="I1968" s="154" t="s">
        <v>167</v>
      </c>
      <c r="J1968" s="203">
        <v>9.7259999999999999E-2</v>
      </c>
      <c r="K1968" s="154" t="s">
        <v>14</v>
      </c>
      <c r="L1968" s="154" t="str">
        <f>IF(OpenLCAbasic!K1968="CTUh", "Fill in Manually",IF(OR(K1968="Unit", K1968=""), "", INDEX(LookUps!$E$5:$E$12, MATCH(OpenLCAbasic!K1968,LookUps!$D$5:$D$12,0))))</f>
        <v>Fossil Depletion Potential (FDP) - kg oil eq</v>
      </c>
      <c r="M1968" s="154" t="str">
        <f t="shared" si="100"/>
        <v>Low_Medium_Base_Upgraded_Fossil Depletion Potential (FDP) - kg oil eq_Waste Receiving and Holding; wastewater treatment unit; at updated plant - US_Base_With Amendment_Windrow</v>
      </c>
    </row>
    <row r="1969" spans="1:13" s="120" customFormat="1" x14ac:dyDescent="0.25">
      <c r="A1969" s="119"/>
      <c r="B1969" s="138" t="str">
        <f t="shared" si="98"/>
        <v>Windrow</v>
      </c>
      <c r="C1969" s="138" t="str">
        <f t="shared" si="99"/>
        <v>Base_With Amendment</v>
      </c>
      <c r="D1969" s="118" t="s">
        <v>136</v>
      </c>
      <c r="E1969" s="118" t="s">
        <v>180</v>
      </c>
      <c r="F1969" s="118" t="s">
        <v>46</v>
      </c>
      <c r="G1969" s="153"/>
      <c r="H1969" s="155">
        <v>1.0053000000000001</v>
      </c>
      <c r="I1969" s="154" t="s">
        <v>55</v>
      </c>
      <c r="J1969" s="203">
        <v>6.3589999999999994E-2</v>
      </c>
      <c r="K1969" s="154" t="s">
        <v>14</v>
      </c>
      <c r="L1969" s="154" t="str">
        <f>IF(OpenLCAbasic!K1969="CTUh", "Fill in Manually",IF(OR(K1969="Unit", K1969=""), "", INDEX(LookUps!$E$5:$E$12, MATCH(OpenLCAbasic!K1969,LookUps!$D$5:$D$12,0))))</f>
        <v>Fossil Depletion Potential (FDP) - kg oil eq</v>
      </c>
      <c r="M1969" s="154" t="str">
        <f t="shared" si="100"/>
        <v>Low_Medium_Base_Upgraded_Fossil Depletion Potential (FDP) - kg oil eq_Aeration Tanks; wastewater treatment unit; at updated plant - US_Base_With Amendment_Windrow</v>
      </c>
    </row>
    <row r="1970" spans="1:13" s="120" customFormat="1" x14ac:dyDescent="0.25">
      <c r="A1970" s="119"/>
      <c r="B1970" s="138" t="str">
        <f t="shared" si="98"/>
        <v>Windrow</v>
      </c>
      <c r="C1970" s="138" t="str">
        <f t="shared" si="99"/>
        <v>Base_With Amendment</v>
      </c>
      <c r="D1970" s="118" t="s">
        <v>136</v>
      </c>
      <c r="E1970" s="118" t="s">
        <v>180</v>
      </c>
      <c r="F1970" s="118" t="s">
        <v>46</v>
      </c>
      <c r="G1970" s="153"/>
      <c r="H1970" s="155">
        <v>0.33279999999999998</v>
      </c>
      <c r="I1970" s="154" t="s">
        <v>54</v>
      </c>
      <c r="J1970" s="203">
        <v>2.1049999999999999E-2</v>
      </c>
      <c r="K1970" s="154" t="s">
        <v>14</v>
      </c>
      <c r="L1970" s="154" t="str">
        <f>IF(OpenLCAbasic!K1970="CTUh", "Fill in Manually",IF(OR(K1970="Unit", K1970=""), "", INDEX(LookUps!$E$5:$E$12, MATCH(OpenLCAbasic!K1970,LookUps!$D$5:$D$12,0))))</f>
        <v>Fossil Depletion Potential (FDP) - kg oil eq</v>
      </c>
      <c r="M1970" s="154" t="str">
        <f t="shared" si="100"/>
        <v>Low_Medium_Base_Upgraded_Fossil Depletion Potential (FDP) - kg oil eq_Clear Cove Primary Clarification; wastewater treatment unit; at updated plant - US_Base_With Amendment_Windrow</v>
      </c>
    </row>
    <row r="1971" spans="1:13" s="120" customFormat="1" x14ac:dyDescent="0.25">
      <c r="A1971" s="119"/>
      <c r="B1971" s="138" t="str">
        <f t="shared" si="98"/>
        <v>Windrow</v>
      </c>
      <c r="C1971" s="138" t="str">
        <f t="shared" si="99"/>
        <v>Base_With Amendment</v>
      </c>
      <c r="D1971" s="118" t="s">
        <v>136</v>
      </c>
      <c r="E1971" s="118" t="s">
        <v>180</v>
      </c>
      <c r="F1971" s="118" t="s">
        <v>46</v>
      </c>
      <c r="G1971" s="153"/>
      <c r="H1971" s="155">
        <v>0.25259999999999999</v>
      </c>
      <c r="I1971" s="154" t="s">
        <v>58</v>
      </c>
      <c r="J1971" s="203">
        <v>1.5980000000000001E-2</v>
      </c>
      <c r="K1971" s="154" t="s">
        <v>14</v>
      </c>
      <c r="L1971" s="154" t="str">
        <f>IF(OpenLCAbasic!K1971="CTUh", "Fill in Manually",IF(OR(K1971="Unit", K1971=""), "", INDEX(LookUps!$E$5:$E$12, MATCH(OpenLCAbasic!K1971,LookUps!$D$5:$D$12,0))))</f>
        <v>Fossil Depletion Potential (FDP) - kg oil eq</v>
      </c>
      <c r="M1971" s="154" t="str">
        <f t="shared" si="100"/>
        <v>Low_Medium_Base_Upgraded_Fossil Depletion Potential (FDP) - kg oil eq_Pre-Anoxic &amp; Swing tank; wastewater treatment unit; at updated plant - US_Base_With Amendment_Windrow</v>
      </c>
    </row>
    <row r="1972" spans="1:13" s="120" customFormat="1" x14ac:dyDescent="0.25">
      <c r="A1972" s="119"/>
      <c r="B1972" s="138" t="str">
        <f t="shared" si="98"/>
        <v>Windrow</v>
      </c>
      <c r="C1972" s="138" t="str">
        <f t="shared" si="99"/>
        <v>Base_With Amendment</v>
      </c>
      <c r="D1972" s="118" t="s">
        <v>136</v>
      </c>
      <c r="E1972" s="118" t="s">
        <v>180</v>
      </c>
      <c r="F1972" s="118" t="s">
        <v>46</v>
      </c>
      <c r="G1972" s="153"/>
      <c r="H1972" s="155">
        <v>0.23849999999999999</v>
      </c>
      <c r="I1972" s="154" t="s">
        <v>147</v>
      </c>
      <c r="J1972" s="203">
        <v>1.5089999999999999E-2</v>
      </c>
      <c r="K1972" s="154" t="s">
        <v>14</v>
      </c>
      <c r="L1972" s="154" t="str">
        <f>IF(OpenLCAbasic!K1972="CTUh", "Fill in Manually",IF(OR(K1972="Unit", K1972=""), "", INDEX(LookUps!$E$5:$E$12, MATCH(OpenLCAbasic!K1972,LookUps!$D$5:$D$12,0))))</f>
        <v>Fossil Depletion Potential (FDP) - kg oil eq</v>
      </c>
      <c r="M1972" s="154" t="str">
        <f t="shared" si="100"/>
        <v>Low_Medium_Base_Upgraded_Fossil Depletion Potential (FDP) - kg oil eq_Influent Pump Station; wastewater treatment unit; at updated plant - US_Base_With Amendment_Windrow</v>
      </c>
    </row>
    <row r="1973" spans="1:13" s="120" customFormat="1" x14ac:dyDescent="0.25">
      <c r="A1973" s="119"/>
      <c r="B1973" s="138" t="str">
        <f t="shared" si="98"/>
        <v>Windrow</v>
      </c>
      <c r="C1973" s="138" t="str">
        <f t="shared" si="99"/>
        <v>Base_With Amendment</v>
      </c>
      <c r="D1973" s="118" t="s">
        <v>136</v>
      </c>
      <c r="E1973" s="118" t="s">
        <v>180</v>
      </c>
      <c r="F1973" s="118" t="s">
        <v>46</v>
      </c>
      <c r="G1973" s="153"/>
      <c r="H1973" s="155">
        <v>0.19739999999999999</v>
      </c>
      <c r="I1973" s="154" t="s">
        <v>53</v>
      </c>
      <c r="J1973" s="203">
        <v>1.2489999999999999E-2</v>
      </c>
      <c r="K1973" s="154" t="s">
        <v>14</v>
      </c>
      <c r="L1973" s="154" t="str">
        <f>IF(OpenLCAbasic!K1973="CTUh", "Fill in Manually",IF(OR(K1973="Unit", K1973=""), "", INDEX(LookUps!$E$5:$E$12, MATCH(OpenLCAbasic!K1973,LookUps!$D$5:$D$12,0))))</f>
        <v>Fossil Depletion Potential (FDP) - kg oil eq</v>
      </c>
      <c r="M1973" s="154" t="str">
        <f t="shared" si="100"/>
        <v>Low_Medium_Base_Upgraded_Fossil Depletion Potential (FDP) - kg oil eq_Wet Well and Sump Station; wastewater treatment unit; at updated plant - US_Base_With Amendment_Windrow</v>
      </c>
    </row>
    <row r="1974" spans="1:13" s="120" customFormat="1" x14ac:dyDescent="0.25">
      <c r="A1974" s="119"/>
      <c r="B1974" s="138" t="str">
        <f t="shared" si="98"/>
        <v>Windrow</v>
      </c>
      <c r="C1974" s="138" t="str">
        <f t="shared" si="99"/>
        <v>Base_With Amendment</v>
      </c>
      <c r="D1974" s="118" t="s">
        <v>136</v>
      </c>
      <c r="E1974" s="118" t="s">
        <v>180</v>
      </c>
      <c r="F1974" s="118" t="s">
        <v>46</v>
      </c>
      <c r="G1974" s="153"/>
      <c r="H1974" s="155">
        <v>0.12690000000000001</v>
      </c>
      <c r="I1974" s="154" t="s">
        <v>60</v>
      </c>
      <c r="J1974" s="204">
        <v>8.0300000000000007E-3</v>
      </c>
      <c r="K1974" s="154" t="s">
        <v>14</v>
      </c>
      <c r="L1974" s="154" t="str">
        <f>IF(OpenLCAbasic!K1974="CTUh", "Fill in Manually",IF(OR(K1974="Unit", K1974=""), "", INDEX(LookUps!$E$5:$E$12, MATCH(OpenLCAbasic!K1974,LookUps!$D$5:$D$12,0))))</f>
        <v>Fossil Depletion Potential (FDP) - kg oil eq</v>
      </c>
      <c r="M1974" s="154" t="str">
        <f t="shared" si="100"/>
        <v>Low_Medium_Base_Upgraded_Fossil Depletion Potential (FDP) - kg oil eq_Belt filter press; wastewater treatment unit; at updated plant - US_Base_With Amendment_Windrow</v>
      </c>
    </row>
    <row r="1975" spans="1:13" s="120" customFormat="1" x14ac:dyDescent="0.25">
      <c r="A1975" s="119"/>
      <c r="B1975" s="138" t="str">
        <f t="shared" si="98"/>
        <v>Windrow</v>
      </c>
      <c r="C1975" s="138" t="str">
        <f t="shared" si="99"/>
        <v>Base_With Amendment</v>
      </c>
      <c r="D1975" s="118" t="s">
        <v>136</v>
      </c>
      <c r="E1975" s="118" t="s">
        <v>180</v>
      </c>
      <c r="F1975" s="118" t="s">
        <v>46</v>
      </c>
      <c r="G1975" s="153"/>
      <c r="H1975" s="155">
        <v>0.10929999999999999</v>
      </c>
      <c r="I1975" s="154" t="s">
        <v>57</v>
      </c>
      <c r="J1975" s="204">
        <v>6.9199999999999999E-3</v>
      </c>
      <c r="K1975" s="154" t="s">
        <v>14</v>
      </c>
      <c r="L1975" s="154" t="str">
        <f>IF(OpenLCAbasic!K1975="CTUh", "Fill in Manually",IF(OR(K1975="Unit", K1975=""), "", INDEX(LookUps!$E$5:$E$12, MATCH(OpenLCAbasic!K1975,LookUps!$D$5:$D$12,0))))</f>
        <v>Fossil Depletion Potential (FDP) - kg oil eq</v>
      </c>
      <c r="M1975" s="154" t="str">
        <f t="shared" si="100"/>
        <v>Low_Medium_Base_Upgraded_Fossil Depletion Potential (FDP) - kg oil eq_Gravity Belt Thickener; wastewater treatment unit; at updated plant - US_Base_With Amendment_Windrow</v>
      </c>
    </row>
    <row r="1976" spans="1:13" s="120" customFormat="1" x14ac:dyDescent="0.25">
      <c r="A1976" s="119"/>
      <c r="B1976" s="138" t="str">
        <f t="shared" si="98"/>
        <v>Windrow</v>
      </c>
      <c r="C1976" s="138" t="str">
        <f t="shared" si="99"/>
        <v>Base_With Amendment</v>
      </c>
      <c r="D1976" s="118" t="s">
        <v>136</v>
      </c>
      <c r="E1976" s="118" t="s">
        <v>180</v>
      </c>
      <c r="F1976" s="118" t="s">
        <v>46</v>
      </c>
      <c r="G1976" s="153"/>
      <c r="H1976" s="155">
        <v>7.1099999999999997E-2</v>
      </c>
      <c r="I1976" s="154" t="s">
        <v>128</v>
      </c>
      <c r="J1976" s="204">
        <v>4.4999999999999997E-3</v>
      </c>
      <c r="K1976" s="154" t="s">
        <v>14</v>
      </c>
      <c r="L1976" s="154" t="str">
        <f>IF(OpenLCAbasic!K1976="CTUh", "Fill in Manually",IF(OR(K1976="Unit", K1976=""), "", INDEX(LookUps!$E$5:$E$12, MATCH(OpenLCAbasic!K1976,LookUps!$D$5:$D$12,0))))</f>
        <v>Fossil Depletion Potential (FDP) - kg oil eq</v>
      </c>
      <c r="M1976" s="154" t="str">
        <f t="shared" si="100"/>
        <v>Low_Medium_Base_Upgraded_Fossil Depletion Potential (FDP) - kg oil eq_Wastewater collection; operation and infrastructure; m3 wastewater_Base_With Amendment_Windrow</v>
      </c>
    </row>
    <row r="1977" spans="1:13" s="120" customFormat="1" x14ac:dyDescent="0.25">
      <c r="A1977" s="119"/>
      <c r="B1977" s="138" t="str">
        <f t="shared" si="98"/>
        <v>Windrow</v>
      </c>
      <c r="C1977" s="138" t="str">
        <f t="shared" si="99"/>
        <v>Base_With Amendment</v>
      </c>
      <c r="D1977" s="118" t="s">
        <v>136</v>
      </c>
      <c r="E1977" s="118" t="s">
        <v>180</v>
      </c>
      <c r="F1977" s="118" t="s">
        <v>46</v>
      </c>
      <c r="G1977" s="153"/>
      <c r="H1977" s="155">
        <v>4.4200000000000003E-2</v>
      </c>
      <c r="I1977" s="154" t="s">
        <v>148</v>
      </c>
      <c r="J1977" s="204">
        <v>2.8E-3</v>
      </c>
      <c r="K1977" s="154" t="s">
        <v>14</v>
      </c>
      <c r="L1977" s="154" t="str">
        <f>IF(OpenLCAbasic!K1977="CTUh", "Fill in Manually",IF(OR(K1977="Unit", K1977=""), "", INDEX(LookUps!$E$5:$E$12, MATCH(OpenLCAbasic!K1977,LookUps!$D$5:$D$12,0))))</f>
        <v>Fossil Depletion Potential (FDP) - kg oil eq</v>
      </c>
      <c r="M1977" s="154" t="str">
        <f t="shared" si="100"/>
        <v>Low_Medium_Base_Upgraded_Fossil Depletion Potential (FDP) - kg oil eq_Control Building; at upgraded wastewater treatment plant - US_Base_With Amendment_Windrow</v>
      </c>
    </row>
    <row r="1978" spans="1:13" s="120" customFormat="1" x14ac:dyDescent="0.25">
      <c r="A1978" s="119"/>
      <c r="B1978" s="138" t="str">
        <f t="shared" si="98"/>
        <v>Windrow</v>
      </c>
      <c r="C1978" s="138" t="str">
        <f t="shared" si="99"/>
        <v>Base_With Amendment</v>
      </c>
      <c r="D1978" s="118" t="s">
        <v>136</v>
      </c>
      <c r="E1978" s="118" t="s">
        <v>180</v>
      </c>
      <c r="F1978" s="118" t="s">
        <v>46</v>
      </c>
      <c r="G1978" s="153"/>
      <c r="H1978" s="155">
        <v>3.7400000000000003E-2</v>
      </c>
      <c r="I1978" s="154" t="s">
        <v>48</v>
      </c>
      <c r="J1978" s="204">
        <v>2.3600000000000001E-3</v>
      </c>
      <c r="K1978" s="154" t="s">
        <v>14</v>
      </c>
      <c r="L1978" s="154" t="str">
        <f>IF(OpenLCAbasic!K1978="CTUh", "Fill in Manually",IF(OR(K1978="Unit", K1978=""), "", INDEX(LookUps!$E$5:$E$12, MATCH(OpenLCAbasic!K1978,LookUps!$D$5:$D$12,0))))</f>
        <v>Fossil Depletion Potential (FDP) - kg oil eq</v>
      </c>
      <c r="M1978" s="154" t="str">
        <f t="shared" si="100"/>
        <v>Low_Medium_Base_Upgraded_Fossil Depletion Potential (FDP) - kg oil eq_Effluent release; wastewater treatment unit; at surface water; m3 wastewater - US_Base_With Amendment_Windrow</v>
      </c>
    </row>
    <row r="1979" spans="1:13" s="120" customFormat="1" x14ac:dyDescent="0.25">
      <c r="A1979" s="119"/>
      <c r="B1979" s="138" t="str">
        <f t="shared" si="98"/>
        <v>Windrow</v>
      </c>
      <c r="C1979" s="138" t="str">
        <f t="shared" si="99"/>
        <v>Base_With Amendment</v>
      </c>
      <c r="D1979" s="118" t="s">
        <v>136</v>
      </c>
      <c r="E1979" s="118" t="s">
        <v>180</v>
      </c>
      <c r="F1979" s="118" t="s">
        <v>46</v>
      </c>
      <c r="G1979" s="153"/>
      <c r="H1979" s="155">
        <v>3.0300000000000001E-2</v>
      </c>
      <c r="I1979" s="154" t="s">
        <v>59</v>
      </c>
      <c r="J1979" s="204">
        <v>1.92E-3</v>
      </c>
      <c r="K1979" s="154" t="s">
        <v>14</v>
      </c>
      <c r="L1979" s="154" t="str">
        <f>IF(OpenLCAbasic!K1979="CTUh", "Fill in Manually",IF(OR(K1979="Unit", K1979=""), "", INDEX(LookUps!$E$5:$E$12, MATCH(OpenLCAbasic!K1979,LookUps!$D$5:$D$12,0))))</f>
        <v>Fossil Depletion Potential (FDP) - kg oil eq</v>
      </c>
      <c r="M1979" s="154" t="str">
        <f t="shared" si="100"/>
        <v>Low_Medium_Base_Upgraded_Fossil Depletion Potential (FDP) - kg oil eq_Blend Tank; wastewater treatment unit; at updated plant - US_Base_With Amendment_Windrow</v>
      </c>
    </row>
    <row r="1980" spans="1:13" s="120" customFormat="1" x14ac:dyDescent="0.25">
      <c r="A1980" s="119"/>
      <c r="B1980" s="138" t="str">
        <f t="shared" si="98"/>
        <v>Windrow</v>
      </c>
      <c r="C1980" s="138" t="str">
        <f t="shared" si="99"/>
        <v>Base_With Amendment</v>
      </c>
      <c r="D1980" s="118" t="s">
        <v>136</v>
      </c>
      <c r="E1980" s="118" t="s">
        <v>180</v>
      </c>
      <c r="F1980" s="118" t="s">
        <v>46</v>
      </c>
      <c r="G1980" s="153"/>
      <c r="H1980" s="155">
        <v>1.4500000000000001E-2</v>
      </c>
      <c r="I1980" s="154" t="s">
        <v>168</v>
      </c>
      <c r="J1980" s="204">
        <v>9.1E-4</v>
      </c>
      <c r="K1980" s="154" t="s">
        <v>14</v>
      </c>
      <c r="L1980" s="154" t="str">
        <f>IF(OpenLCAbasic!K1980="CTUh", "Fill in Manually",IF(OR(K1980="Unit", K1980=""), "", INDEX(LookUps!$E$5:$E$12, MATCH(OpenLCAbasic!K1980,LookUps!$D$5:$D$12,0))))</f>
        <v>Fossil Depletion Potential (FDP) - kg oil eq</v>
      </c>
      <c r="M1980" s="154" t="str">
        <f t="shared" si="100"/>
        <v>Low_Medium_Base_Upgraded_Fossil Depletion Potential (FDP) - kg oil eq_ClearCove SCP; wastewater treatment unit; at updated plant - US_Base_With Amendment_Windrow</v>
      </c>
    </row>
    <row r="1981" spans="1:13" s="120" customFormat="1" x14ac:dyDescent="0.25">
      <c r="A1981" s="119"/>
      <c r="B1981" s="138" t="str">
        <f t="shared" si="98"/>
        <v>Windrow</v>
      </c>
      <c r="C1981" s="138" t="str">
        <f t="shared" si="99"/>
        <v>Base_With Amendment</v>
      </c>
      <c r="D1981" s="118" t="s">
        <v>136</v>
      </c>
      <c r="E1981" s="118" t="s">
        <v>180</v>
      </c>
      <c r="F1981" s="118" t="s">
        <v>46</v>
      </c>
      <c r="G1981" s="153"/>
      <c r="H1981" s="155">
        <v>9.5999999999999992E-3</v>
      </c>
      <c r="I1981" s="154" t="s">
        <v>271</v>
      </c>
      <c r="J1981" s="204">
        <v>6.0999999999999997E-4</v>
      </c>
      <c r="K1981" s="154" t="s">
        <v>14</v>
      </c>
      <c r="L1981" s="154" t="str">
        <f>IF(OpenLCAbasic!K1981="CTUh", "Fill in Manually",IF(OR(K1981="Unit", K1981=""), "", INDEX(LookUps!$E$5:$E$12, MATCH(OpenLCAbasic!K1981,LookUps!$D$5:$D$12,0))))</f>
        <v>Fossil Depletion Potential (FDP) - kg oil eq</v>
      </c>
      <c r="M1981" s="154" t="str">
        <f t="shared" si="100"/>
        <v>Low_Medium_Base_Upgraded_Fossil Depletion Potential (FDP) - kg oil eq_Biosolids composting; windrow composting; wastewater treatment unit; at updated plant - US_Base_With Amendment_Windrow</v>
      </c>
    </row>
    <row r="1982" spans="1:13" s="120" customFormat="1" x14ac:dyDescent="0.25">
      <c r="A1982" s="119"/>
      <c r="B1982" s="138" t="str">
        <f t="shared" si="98"/>
        <v>Windrow</v>
      </c>
      <c r="C1982" s="138" t="str">
        <f t="shared" si="99"/>
        <v>Base_With Amendment</v>
      </c>
      <c r="D1982" s="118" t="s">
        <v>136</v>
      </c>
      <c r="E1982" s="118" t="s">
        <v>180</v>
      </c>
      <c r="F1982" s="118" t="s">
        <v>46</v>
      </c>
      <c r="G1982" s="153"/>
      <c r="H1982" s="155">
        <v>-0.14729999999999999</v>
      </c>
      <c r="I1982" s="154" t="s">
        <v>62</v>
      </c>
      <c r="J1982" s="203">
        <v>-9.3200000000000002E-3</v>
      </c>
      <c r="K1982" s="154" t="s">
        <v>14</v>
      </c>
      <c r="L1982" s="154" t="str">
        <f>IF(OpenLCAbasic!K1982="CTUh", "Fill in Manually",IF(OR(K1982="Unit", K1982=""), "", INDEX(LookUps!$E$5:$E$12, MATCH(OpenLCAbasic!K1982,LookUps!$D$5:$D$12,0))))</f>
        <v>Fossil Depletion Potential (FDP) - kg oil eq</v>
      </c>
      <c r="M1982" s="154" t="str">
        <f t="shared" si="100"/>
        <v>Low_Medium_Base_Upgraded_Fossil Depletion Potential (FDP) - kg oil eq_Land application of compost; wastewater treatment unit; at updated plant - US_Base_With Amendment_Windrow</v>
      </c>
    </row>
    <row r="1983" spans="1:13" s="120" customFormat="1" x14ac:dyDescent="0.25">
      <c r="A1983" s="119"/>
      <c r="B1983" s="138" t="str">
        <f t="shared" si="98"/>
        <v>Windrow</v>
      </c>
      <c r="C1983" s="138" t="str">
        <f t="shared" si="99"/>
        <v>Base_With Amendment</v>
      </c>
      <c r="D1983" s="118" t="s">
        <v>136</v>
      </c>
      <c r="E1983" s="118" t="s">
        <v>180</v>
      </c>
      <c r="F1983" s="118" t="s">
        <v>46</v>
      </c>
      <c r="G1983" s="153"/>
      <c r="H1983" s="155">
        <v>-2.8601999999999999</v>
      </c>
      <c r="I1983" s="154" t="s">
        <v>149</v>
      </c>
      <c r="J1983" s="203">
        <v>-0.18092</v>
      </c>
      <c r="K1983" s="154" t="s">
        <v>14</v>
      </c>
      <c r="L1983" s="154" t="str">
        <f>IF(OpenLCAbasic!K1983="CTUh", "Fill in Manually",IF(OR(K1983="Unit", K1983=""), "", INDEX(LookUps!$E$5:$E$12, MATCH(OpenLCAbasic!K1983,LookUps!$D$5:$D$12,0))))</f>
        <v>Fossil Depletion Potential (FDP) - kg oil eq</v>
      </c>
      <c r="M1983" s="154" t="str">
        <f t="shared" si="100"/>
        <v>Low_Medium_Base_Upgraded_Fossil Depletion Potential (FDP) - kg oil eq_Anaerobic Digestion; wastewater treatment unit; at updated plant - US_Base_With Amendment_Windrow</v>
      </c>
    </row>
    <row r="1984" spans="1:13" s="120" customFormat="1" x14ac:dyDescent="0.25">
      <c r="A1984" s="119"/>
      <c r="B1984" s="138" t="str">
        <f t="shared" si="98"/>
        <v>Windrow</v>
      </c>
      <c r="C1984" s="138" t="str">
        <f t="shared" si="99"/>
        <v>Base_With Amendment</v>
      </c>
      <c r="D1984" s="118" t="s">
        <v>136</v>
      </c>
      <c r="E1984" s="118" t="s">
        <v>180</v>
      </c>
      <c r="F1984" s="118" t="s">
        <v>46</v>
      </c>
      <c r="G1984" s="153" t="s">
        <v>51</v>
      </c>
      <c r="H1984" s="154"/>
      <c r="I1984" s="154" t="s">
        <v>47</v>
      </c>
      <c r="J1984" s="154" t="s">
        <v>52</v>
      </c>
      <c r="K1984" s="154" t="s">
        <v>27</v>
      </c>
      <c r="L1984" s="154" t="str">
        <f>IF(OpenLCAbasic!K1984="CTUh", "Fill in Manually",IF(OR(K1984="Unit", K1984=""), "", INDEX(LookUps!$E$5:$E$12, MATCH(OpenLCAbasic!K1984,LookUps!$D$5:$D$12,0))))</f>
        <v/>
      </c>
      <c r="M1984" s="154" t="str">
        <f t="shared" si="100"/>
        <v>Low_Medium_Base_Upgraded__Process_Base_With Amendment_Windrow</v>
      </c>
    </row>
    <row r="1985" spans="1:13" s="120" customFormat="1" x14ac:dyDescent="0.25">
      <c r="A1985" s="119"/>
      <c r="B1985" s="138" t="str">
        <f t="shared" si="98"/>
        <v>Windrow</v>
      </c>
      <c r="C1985" s="138" t="str">
        <f t="shared" si="99"/>
        <v>Base_With Amendment</v>
      </c>
      <c r="D1985" s="118" t="s">
        <v>136</v>
      </c>
      <c r="E1985" s="118" t="s">
        <v>180</v>
      </c>
      <c r="F1985" s="118" t="s">
        <v>46</v>
      </c>
      <c r="G1985" s="153"/>
      <c r="H1985" s="155">
        <v>0.86309999999999998</v>
      </c>
      <c r="I1985" s="154" t="s">
        <v>55</v>
      </c>
      <c r="J1985" s="204">
        <v>2.33E-3</v>
      </c>
      <c r="K1985" s="154" t="s">
        <v>145</v>
      </c>
      <c r="L1985" s="154" t="str">
        <f>IF(OpenLCAbasic!K1985="CTUh", "Fill in Manually",IF(OR(K1985="Unit", K1985=""), "", INDEX(LookUps!$E$5:$E$12, MATCH(OpenLCAbasic!K1985,LookUps!$D$5:$D$12,0))))</f>
        <v>Particulate Matter Formation Potential (PMFP) - kg PM2.5 eq</v>
      </c>
      <c r="M1985" s="154" t="str">
        <f t="shared" si="100"/>
        <v>Low_Medium_Base_Upgraded_Particulate Matter Formation Potential (PMFP) - kg PM2.5 eq_Aeration Tanks; wastewater treatment unit; at updated plant - US_Base_With Amendment_Windrow</v>
      </c>
    </row>
    <row r="1986" spans="1:13" s="120" customFormat="1" x14ac:dyDescent="0.25">
      <c r="A1986" s="119"/>
      <c r="B1986" s="138" t="str">
        <f t="shared" si="98"/>
        <v>Windrow</v>
      </c>
      <c r="C1986" s="138" t="str">
        <f t="shared" si="99"/>
        <v>Base_With Amendment</v>
      </c>
      <c r="D1986" s="118" t="s">
        <v>136</v>
      </c>
      <c r="E1986" s="118" t="s">
        <v>180</v>
      </c>
      <c r="F1986" s="118" t="s">
        <v>46</v>
      </c>
      <c r="G1986" s="153"/>
      <c r="H1986" s="155">
        <v>0.25119999999999998</v>
      </c>
      <c r="I1986" s="154" t="s">
        <v>54</v>
      </c>
      <c r="J1986" s="204">
        <v>6.8000000000000005E-4</v>
      </c>
      <c r="K1986" s="154" t="s">
        <v>145</v>
      </c>
      <c r="L1986" s="154" t="str">
        <f>IF(OpenLCAbasic!K1986="CTUh", "Fill in Manually",IF(OR(K1986="Unit", K1986=""), "", INDEX(LookUps!$E$5:$E$12, MATCH(OpenLCAbasic!K1986,LookUps!$D$5:$D$12,0))))</f>
        <v>Particulate Matter Formation Potential (PMFP) - kg PM2.5 eq</v>
      </c>
      <c r="M1986" s="154" t="str">
        <f t="shared" si="100"/>
        <v>Low_Medium_Base_Upgraded_Particulate Matter Formation Potential (PMFP) - kg PM2.5 eq_Clear Cove Primary Clarification; wastewater treatment unit; at updated plant - US_Base_With Amendment_Windrow</v>
      </c>
    </row>
    <row r="1987" spans="1:13" s="120" customFormat="1" x14ac:dyDescent="0.25">
      <c r="A1987" s="119"/>
      <c r="B1987" s="138" t="str">
        <f t="shared" si="98"/>
        <v>Windrow</v>
      </c>
      <c r="C1987" s="138" t="str">
        <f t="shared" si="99"/>
        <v>Base_With Amendment</v>
      </c>
      <c r="D1987" s="118" t="s">
        <v>136</v>
      </c>
      <c r="E1987" s="118" t="s">
        <v>180</v>
      </c>
      <c r="F1987" s="118" t="s">
        <v>46</v>
      </c>
      <c r="G1987" s="153"/>
      <c r="H1987" s="155">
        <v>0.2177</v>
      </c>
      <c r="I1987" s="154" t="s">
        <v>58</v>
      </c>
      <c r="J1987" s="204">
        <v>5.9000000000000003E-4</v>
      </c>
      <c r="K1987" s="154" t="s">
        <v>145</v>
      </c>
      <c r="L1987" s="154" t="str">
        <f>IF(OpenLCAbasic!K1987="CTUh", "Fill in Manually",IF(OR(K1987="Unit", K1987=""), "", INDEX(LookUps!$E$5:$E$12, MATCH(OpenLCAbasic!K1987,LookUps!$D$5:$D$12,0))))</f>
        <v>Particulate Matter Formation Potential (PMFP) - kg PM2.5 eq</v>
      </c>
      <c r="M1987" s="154" t="str">
        <f t="shared" si="100"/>
        <v>Low_Medium_Base_Upgraded_Particulate Matter Formation Potential (PMFP) - kg PM2.5 eq_Pre-Anoxic &amp; Swing tank; wastewater treatment unit; at updated plant - US_Base_With Amendment_Windrow</v>
      </c>
    </row>
    <row r="1988" spans="1:13" s="120" customFormat="1" x14ac:dyDescent="0.25">
      <c r="A1988" s="119"/>
      <c r="B1988" s="138" t="str">
        <f t="shared" si="98"/>
        <v>Windrow</v>
      </c>
      <c r="C1988" s="138" t="str">
        <f t="shared" si="99"/>
        <v>Base_With Amendment</v>
      </c>
      <c r="D1988" s="118" t="s">
        <v>136</v>
      </c>
      <c r="E1988" s="118" t="s">
        <v>180</v>
      </c>
      <c r="F1988" s="118" t="s">
        <v>46</v>
      </c>
      <c r="G1988" s="153"/>
      <c r="H1988" s="155">
        <v>0.1726</v>
      </c>
      <c r="I1988" s="154" t="s">
        <v>53</v>
      </c>
      <c r="J1988" s="204">
        <v>4.6999999999999999E-4</v>
      </c>
      <c r="K1988" s="154" t="s">
        <v>145</v>
      </c>
      <c r="L1988" s="154" t="str">
        <f>IF(OpenLCAbasic!K1988="CTUh", "Fill in Manually",IF(OR(K1988="Unit", K1988=""), "", INDEX(LookUps!$E$5:$E$12, MATCH(OpenLCAbasic!K1988,LookUps!$D$5:$D$12,0))))</f>
        <v>Particulate Matter Formation Potential (PMFP) - kg PM2.5 eq</v>
      </c>
      <c r="M1988" s="154" t="str">
        <f t="shared" si="100"/>
        <v>Low_Medium_Base_Upgraded_Particulate Matter Formation Potential (PMFP) - kg PM2.5 eq_Wet Well and Sump Station; wastewater treatment unit; at updated plant - US_Base_With Amendment_Windrow</v>
      </c>
    </row>
    <row r="1989" spans="1:13" s="120" customFormat="1" x14ac:dyDescent="0.25">
      <c r="A1989" s="119"/>
      <c r="B1989" s="138" t="str">
        <f t="shared" si="98"/>
        <v>Windrow</v>
      </c>
      <c r="C1989" s="138" t="str">
        <f t="shared" si="99"/>
        <v>Base_With Amendment</v>
      </c>
      <c r="D1989" s="118" t="s">
        <v>136</v>
      </c>
      <c r="E1989" s="118" t="s">
        <v>180</v>
      </c>
      <c r="F1989" s="118" t="s">
        <v>46</v>
      </c>
      <c r="G1989" s="153"/>
      <c r="H1989" s="155">
        <v>0.1164</v>
      </c>
      <c r="I1989" s="154" t="s">
        <v>167</v>
      </c>
      <c r="J1989" s="204">
        <v>3.1E-4</v>
      </c>
      <c r="K1989" s="154" t="s">
        <v>145</v>
      </c>
      <c r="L1989" s="154" t="str">
        <f>IF(OpenLCAbasic!K1989="CTUh", "Fill in Manually",IF(OR(K1989="Unit", K1989=""), "", INDEX(LookUps!$E$5:$E$12, MATCH(OpenLCAbasic!K1989,LookUps!$D$5:$D$12,0))))</f>
        <v>Particulate Matter Formation Potential (PMFP) - kg PM2.5 eq</v>
      </c>
      <c r="M1989" s="154" t="str">
        <f t="shared" si="100"/>
        <v>Low_Medium_Base_Upgraded_Particulate Matter Formation Potential (PMFP) - kg PM2.5 eq_Waste Receiving and Holding; wastewater treatment unit; at updated plant - US_Base_With Amendment_Windrow</v>
      </c>
    </row>
    <row r="1990" spans="1:13" s="120" customFormat="1" x14ac:dyDescent="0.25">
      <c r="A1990" s="119"/>
      <c r="B1990" s="138" t="str">
        <f t="shared" ref="B1990:B2053" si="101">IF(F1990="Legacy","n.a.",IF(F1990="","","Windrow"))</f>
        <v>Windrow</v>
      </c>
      <c r="C1990" s="138" t="str">
        <f t="shared" si="99"/>
        <v>Base_With Amendment</v>
      </c>
      <c r="D1990" s="118" t="s">
        <v>136</v>
      </c>
      <c r="E1990" s="118" t="s">
        <v>180</v>
      </c>
      <c r="F1990" s="118" t="s">
        <v>46</v>
      </c>
      <c r="G1990" s="153"/>
      <c r="H1990" s="155">
        <v>9.8599999999999993E-2</v>
      </c>
      <c r="I1990" s="154" t="s">
        <v>147</v>
      </c>
      <c r="J1990" s="204">
        <v>2.7E-4</v>
      </c>
      <c r="K1990" s="154" t="s">
        <v>145</v>
      </c>
      <c r="L1990" s="154" t="str">
        <f>IF(OpenLCAbasic!K1990="CTUh", "Fill in Manually",IF(OR(K1990="Unit", K1990=""), "", INDEX(LookUps!$E$5:$E$12, MATCH(OpenLCAbasic!K1990,LookUps!$D$5:$D$12,0))))</f>
        <v>Particulate Matter Formation Potential (PMFP) - kg PM2.5 eq</v>
      </c>
      <c r="M1990" s="154" t="str">
        <f t="shared" si="100"/>
        <v>Low_Medium_Base_Upgraded_Particulate Matter Formation Potential (PMFP) - kg PM2.5 eq_Influent Pump Station; wastewater treatment unit; at updated plant - US_Base_With Amendment_Windrow</v>
      </c>
    </row>
    <row r="1991" spans="1:13" s="120" customFormat="1" x14ac:dyDescent="0.25">
      <c r="A1991" s="119"/>
      <c r="B1991" s="138" t="str">
        <f t="shared" si="101"/>
        <v>Windrow</v>
      </c>
      <c r="C1991" s="138" t="str">
        <f t="shared" ref="C1991:C2054" si="102">IF(E1991&lt;&gt;"", "Base_With Amendment","")</f>
        <v>Base_With Amendment</v>
      </c>
      <c r="D1991" s="118" t="s">
        <v>136</v>
      </c>
      <c r="E1991" s="118" t="s">
        <v>180</v>
      </c>
      <c r="F1991" s="118" t="s">
        <v>46</v>
      </c>
      <c r="G1991" s="153"/>
      <c r="H1991" s="155">
        <v>6.1600000000000002E-2</v>
      </c>
      <c r="I1991" s="154" t="s">
        <v>128</v>
      </c>
      <c r="J1991" s="204">
        <v>1.7000000000000001E-4</v>
      </c>
      <c r="K1991" s="154" t="s">
        <v>145</v>
      </c>
      <c r="L1991" s="154" t="str">
        <f>IF(OpenLCAbasic!K1991="CTUh", "Fill in Manually",IF(OR(K1991="Unit", K1991=""), "", INDEX(LookUps!$E$5:$E$12, MATCH(OpenLCAbasic!K1991,LookUps!$D$5:$D$12,0))))</f>
        <v>Particulate Matter Formation Potential (PMFP) - kg PM2.5 eq</v>
      </c>
      <c r="M1991" s="154" t="str">
        <f t="shared" ref="M1991:M2054" si="103">CONCATENATE(E1991,"_",D1991,"_",F1991,"_",L1991, "_",I1991,"_", C1991,"_", B1991)</f>
        <v>Low_Medium_Base_Upgraded_Particulate Matter Formation Potential (PMFP) - kg PM2.5 eq_Wastewater collection; operation and infrastructure; m3 wastewater_Base_With Amendment_Windrow</v>
      </c>
    </row>
    <row r="1992" spans="1:13" s="120" customFormat="1" x14ac:dyDescent="0.25">
      <c r="A1992" s="119"/>
      <c r="B1992" s="138" t="str">
        <f t="shared" si="101"/>
        <v>Windrow</v>
      </c>
      <c r="C1992" s="138" t="str">
        <f t="shared" si="102"/>
        <v>Base_With Amendment</v>
      </c>
      <c r="D1992" s="118" t="s">
        <v>136</v>
      </c>
      <c r="E1992" s="118" t="s">
        <v>180</v>
      </c>
      <c r="F1992" s="118" t="s">
        <v>46</v>
      </c>
      <c r="G1992" s="153"/>
      <c r="H1992" s="155">
        <v>5.33E-2</v>
      </c>
      <c r="I1992" s="154" t="s">
        <v>60</v>
      </c>
      <c r="J1992" s="204">
        <v>1.3999999999999999E-4</v>
      </c>
      <c r="K1992" s="154" t="s">
        <v>145</v>
      </c>
      <c r="L1992" s="154" t="str">
        <f>IF(OpenLCAbasic!K1992="CTUh", "Fill in Manually",IF(OR(K1992="Unit", K1992=""), "", INDEX(LookUps!$E$5:$E$12, MATCH(OpenLCAbasic!K1992,LookUps!$D$5:$D$12,0))))</f>
        <v>Particulate Matter Formation Potential (PMFP) - kg PM2.5 eq</v>
      </c>
      <c r="M1992" s="154" t="str">
        <f t="shared" si="103"/>
        <v>Low_Medium_Base_Upgraded_Particulate Matter Formation Potential (PMFP) - kg PM2.5 eq_Belt filter press; wastewater treatment unit; at updated plant - US_Base_With Amendment_Windrow</v>
      </c>
    </row>
    <row r="1993" spans="1:13" s="120" customFormat="1" x14ac:dyDescent="0.25">
      <c r="A1993" s="119"/>
      <c r="B1993" s="138" t="str">
        <f t="shared" si="101"/>
        <v>Windrow</v>
      </c>
      <c r="C1993" s="138" t="str">
        <f t="shared" si="102"/>
        <v>Base_With Amendment</v>
      </c>
      <c r="D1993" s="118" t="s">
        <v>136</v>
      </c>
      <c r="E1993" s="118" t="s">
        <v>180</v>
      </c>
      <c r="F1993" s="118" t="s">
        <v>46</v>
      </c>
      <c r="G1993" s="153"/>
      <c r="H1993" s="155">
        <v>3.5200000000000002E-2</v>
      </c>
      <c r="I1993" s="154" t="s">
        <v>57</v>
      </c>
      <c r="J1993" s="204">
        <v>9.5153800000000004E-5</v>
      </c>
      <c r="K1993" s="154" t="s">
        <v>145</v>
      </c>
      <c r="L1993" s="154" t="str">
        <f>IF(OpenLCAbasic!K1993="CTUh", "Fill in Manually",IF(OR(K1993="Unit", K1993=""), "", INDEX(LookUps!$E$5:$E$12, MATCH(OpenLCAbasic!K1993,LookUps!$D$5:$D$12,0))))</f>
        <v>Particulate Matter Formation Potential (PMFP) - kg PM2.5 eq</v>
      </c>
      <c r="M1993" s="154" t="str">
        <f t="shared" si="103"/>
        <v>Low_Medium_Base_Upgraded_Particulate Matter Formation Potential (PMFP) - kg PM2.5 eq_Gravity Belt Thickener; wastewater treatment unit; at updated plant - US_Base_With Amendment_Windrow</v>
      </c>
    </row>
    <row r="1994" spans="1:13" s="120" customFormat="1" x14ac:dyDescent="0.25">
      <c r="A1994" s="119"/>
      <c r="B1994" s="138" t="str">
        <f t="shared" si="101"/>
        <v>Windrow</v>
      </c>
      <c r="C1994" s="138" t="str">
        <f t="shared" si="102"/>
        <v>Base_With Amendment</v>
      </c>
      <c r="D1994" s="118" t="s">
        <v>136</v>
      </c>
      <c r="E1994" s="118" t="s">
        <v>180</v>
      </c>
      <c r="F1994" s="118" t="s">
        <v>46</v>
      </c>
      <c r="G1994" s="153"/>
      <c r="H1994" s="155">
        <v>2.6499999999999999E-2</v>
      </c>
      <c r="I1994" s="154" t="s">
        <v>62</v>
      </c>
      <c r="J1994" s="204">
        <v>7.17427E-5</v>
      </c>
      <c r="K1994" s="154" t="s">
        <v>145</v>
      </c>
      <c r="L1994" s="154" t="str">
        <f>IF(OpenLCAbasic!K1994="CTUh", "Fill in Manually",IF(OR(K1994="Unit", K1994=""), "", INDEX(LookUps!$E$5:$E$12, MATCH(OpenLCAbasic!K1994,LookUps!$D$5:$D$12,0))))</f>
        <v>Particulate Matter Formation Potential (PMFP) - kg PM2.5 eq</v>
      </c>
      <c r="M1994" s="154" t="str">
        <f t="shared" si="103"/>
        <v>Low_Medium_Base_Upgraded_Particulate Matter Formation Potential (PMFP) - kg PM2.5 eq_Land application of compost; wastewater treatment unit; at updated plant - US_Base_With Amendment_Windrow</v>
      </c>
    </row>
    <row r="1995" spans="1:13" s="120" customFormat="1" x14ac:dyDescent="0.25">
      <c r="A1995" s="119"/>
      <c r="B1995" s="138" t="str">
        <f t="shared" si="101"/>
        <v>Windrow</v>
      </c>
      <c r="C1995" s="138" t="str">
        <f t="shared" si="102"/>
        <v>Base_With Amendment</v>
      </c>
      <c r="D1995" s="118" t="s">
        <v>136</v>
      </c>
      <c r="E1995" s="118" t="s">
        <v>180</v>
      </c>
      <c r="F1995" s="118" t="s">
        <v>46</v>
      </c>
      <c r="G1995" s="153"/>
      <c r="H1995" s="155">
        <v>2.5899999999999999E-2</v>
      </c>
      <c r="I1995" s="154" t="s">
        <v>59</v>
      </c>
      <c r="J1995" s="204">
        <v>6.9942200000000003E-5</v>
      </c>
      <c r="K1995" s="154" t="s">
        <v>145</v>
      </c>
      <c r="L1995" s="154" t="str">
        <f>IF(OpenLCAbasic!K1995="CTUh", "Fill in Manually",IF(OR(K1995="Unit", K1995=""), "", INDEX(LookUps!$E$5:$E$12, MATCH(OpenLCAbasic!K1995,LookUps!$D$5:$D$12,0))))</f>
        <v>Particulate Matter Formation Potential (PMFP) - kg PM2.5 eq</v>
      </c>
      <c r="M1995" s="154" t="str">
        <f t="shared" si="103"/>
        <v>Low_Medium_Base_Upgraded_Particulate Matter Formation Potential (PMFP) - kg PM2.5 eq_Blend Tank; wastewater treatment unit; at updated plant - US_Base_With Amendment_Windrow</v>
      </c>
    </row>
    <row r="1996" spans="1:13" s="120" customFormat="1" x14ac:dyDescent="0.25">
      <c r="A1996" s="119"/>
      <c r="B1996" s="138" t="str">
        <f t="shared" si="101"/>
        <v>Windrow</v>
      </c>
      <c r="C1996" s="138" t="str">
        <f t="shared" si="102"/>
        <v>Base_With Amendment</v>
      </c>
      <c r="D1996" s="118" t="s">
        <v>136</v>
      </c>
      <c r="E1996" s="118" t="s">
        <v>180</v>
      </c>
      <c r="F1996" s="118" t="s">
        <v>46</v>
      </c>
      <c r="G1996" s="153"/>
      <c r="H1996" s="155">
        <v>2.01E-2</v>
      </c>
      <c r="I1996" s="154" t="s">
        <v>271</v>
      </c>
      <c r="J1996" s="204">
        <v>5.4398000000000003E-5</v>
      </c>
      <c r="K1996" s="154" t="s">
        <v>145</v>
      </c>
      <c r="L1996" s="154" t="str">
        <f>IF(OpenLCAbasic!K1996="CTUh", "Fill in Manually",IF(OR(K1996="Unit", K1996=""), "", INDEX(LookUps!$E$5:$E$12, MATCH(OpenLCAbasic!K1996,LookUps!$D$5:$D$12,0))))</f>
        <v>Particulate Matter Formation Potential (PMFP) - kg PM2.5 eq</v>
      </c>
      <c r="M1996" s="154" t="str">
        <f t="shared" si="103"/>
        <v>Low_Medium_Base_Upgraded_Particulate Matter Formation Potential (PMFP) - kg PM2.5 eq_Biosolids composting; windrow composting; wastewater treatment unit; at updated plant - US_Base_With Amendment_Windrow</v>
      </c>
    </row>
    <row r="1997" spans="1:13" s="120" customFormat="1" x14ac:dyDescent="0.25">
      <c r="A1997" s="119"/>
      <c r="B1997" s="138" t="str">
        <f t="shared" si="101"/>
        <v>Windrow</v>
      </c>
      <c r="C1997" s="138" t="str">
        <f t="shared" si="102"/>
        <v>Base_With Amendment</v>
      </c>
      <c r="D1997" s="118" t="s">
        <v>136</v>
      </c>
      <c r="E1997" s="118" t="s">
        <v>180</v>
      </c>
      <c r="F1997" s="118" t="s">
        <v>46</v>
      </c>
      <c r="G1997" s="153"/>
      <c r="H1997" s="155">
        <v>1.8499999999999999E-2</v>
      </c>
      <c r="I1997" s="154" t="s">
        <v>48</v>
      </c>
      <c r="J1997" s="204">
        <v>4.99741E-5</v>
      </c>
      <c r="K1997" s="154" t="s">
        <v>145</v>
      </c>
      <c r="L1997" s="154" t="str">
        <f>IF(OpenLCAbasic!K1997="CTUh", "Fill in Manually",IF(OR(K1997="Unit", K1997=""), "", INDEX(LookUps!$E$5:$E$12, MATCH(OpenLCAbasic!K1997,LookUps!$D$5:$D$12,0))))</f>
        <v>Particulate Matter Formation Potential (PMFP) - kg PM2.5 eq</v>
      </c>
      <c r="M1997" s="154" t="str">
        <f t="shared" si="103"/>
        <v>Low_Medium_Base_Upgraded_Particulate Matter Formation Potential (PMFP) - kg PM2.5 eq_Effluent release; wastewater treatment unit; at surface water; m3 wastewater - US_Base_With Amendment_Windrow</v>
      </c>
    </row>
    <row r="1998" spans="1:13" s="120" customFormat="1" x14ac:dyDescent="0.25">
      <c r="A1998" s="119"/>
      <c r="B1998" s="138" t="str">
        <f t="shared" si="101"/>
        <v>Windrow</v>
      </c>
      <c r="C1998" s="138" t="str">
        <f t="shared" si="102"/>
        <v>Base_With Amendment</v>
      </c>
      <c r="D1998" s="118" t="s">
        <v>136</v>
      </c>
      <c r="E1998" s="118" t="s">
        <v>180</v>
      </c>
      <c r="F1998" s="118" t="s">
        <v>46</v>
      </c>
      <c r="G1998" s="153"/>
      <c r="H1998" s="155">
        <v>1.2800000000000001E-2</v>
      </c>
      <c r="I1998" s="154" t="s">
        <v>168</v>
      </c>
      <c r="J1998" s="204">
        <v>3.4562199999999999E-5</v>
      </c>
      <c r="K1998" s="154" t="s">
        <v>145</v>
      </c>
      <c r="L1998" s="154" t="str">
        <f>IF(OpenLCAbasic!K1998="CTUh", "Fill in Manually",IF(OR(K1998="Unit", K1998=""), "", INDEX(LookUps!$E$5:$E$12, MATCH(OpenLCAbasic!K1998,LookUps!$D$5:$D$12,0))))</f>
        <v>Particulate Matter Formation Potential (PMFP) - kg PM2.5 eq</v>
      </c>
      <c r="M1998" s="154" t="str">
        <f t="shared" si="103"/>
        <v>Low_Medium_Base_Upgraded_Particulate Matter Formation Potential (PMFP) - kg PM2.5 eq_ClearCove SCP; wastewater treatment unit; at updated plant - US_Base_With Amendment_Windrow</v>
      </c>
    </row>
    <row r="1999" spans="1:13" s="120" customFormat="1" x14ac:dyDescent="0.25">
      <c r="A1999" s="119"/>
      <c r="B1999" s="138" t="str">
        <f t="shared" si="101"/>
        <v>Windrow</v>
      </c>
      <c r="C1999" s="138" t="str">
        <f t="shared" si="102"/>
        <v>Base_With Amendment</v>
      </c>
      <c r="D1999" s="118" t="s">
        <v>136</v>
      </c>
      <c r="E1999" s="118" t="s">
        <v>180</v>
      </c>
      <c r="F1999" s="118" t="s">
        <v>46</v>
      </c>
      <c r="G1999" s="153"/>
      <c r="H1999" s="155">
        <v>3.3E-3</v>
      </c>
      <c r="I1999" s="154" t="s">
        <v>148</v>
      </c>
      <c r="J1999" s="204">
        <v>8.8212999999999997E-6</v>
      </c>
      <c r="K1999" s="154" t="s">
        <v>145</v>
      </c>
      <c r="L1999" s="154" t="str">
        <f>IF(OpenLCAbasic!K1999="CTUh", "Fill in Manually",IF(OR(K1999="Unit", K1999=""), "", INDEX(LookUps!$E$5:$E$12, MATCH(OpenLCAbasic!K1999,LookUps!$D$5:$D$12,0))))</f>
        <v>Particulate Matter Formation Potential (PMFP) - kg PM2.5 eq</v>
      </c>
      <c r="M1999" s="154" t="str">
        <f t="shared" si="103"/>
        <v>Low_Medium_Base_Upgraded_Particulate Matter Formation Potential (PMFP) - kg PM2.5 eq_Control Building; at upgraded wastewater treatment plant - US_Base_With Amendment_Windrow</v>
      </c>
    </row>
    <row r="2000" spans="1:13" s="120" customFormat="1" x14ac:dyDescent="0.25">
      <c r="A2000" s="119"/>
      <c r="B2000" s="138" t="str">
        <f t="shared" si="101"/>
        <v>Windrow</v>
      </c>
      <c r="C2000" s="138" t="str">
        <f t="shared" si="102"/>
        <v>Base_With Amendment</v>
      </c>
      <c r="D2000" s="118" t="s">
        <v>136</v>
      </c>
      <c r="E2000" s="118" t="s">
        <v>180</v>
      </c>
      <c r="F2000" s="118" t="s">
        <v>46</v>
      </c>
      <c r="G2000" s="153"/>
      <c r="H2000" s="155">
        <v>-0.97670000000000001</v>
      </c>
      <c r="I2000" s="154" t="s">
        <v>149</v>
      </c>
      <c r="J2000" s="204">
        <v>-2.64E-3</v>
      </c>
      <c r="K2000" s="154" t="s">
        <v>145</v>
      </c>
      <c r="L2000" s="154" t="str">
        <f>IF(OpenLCAbasic!K2000="CTUh", "Fill in Manually",IF(OR(K2000="Unit", K2000=""), "", INDEX(LookUps!$E$5:$E$12, MATCH(OpenLCAbasic!K2000,LookUps!$D$5:$D$12,0))))</f>
        <v>Particulate Matter Formation Potential (PMFP) - kg PM2.5 eq</v>
      </c>
      <c r="M2000" s="154" t="str">
        <f t="shared" si="103"/>
        <v>Low_Medium_Base_Upgraded_Particulate Matter Formation Potential (PMFP) - kg PM2.5 eq_Anaerobic Digestion; wastewater treatment unit; at updated plant - US_Base_With Amendment_Windrow</v>
      </c>
    </row>
    <row r="2001" spans="1:13" s="120" customFormat="1" x14ac:dyDescent="0.25">
      <c r="A2001" s="119"/>
      <c r="B2001" s="138" t="str">
        <f t="shared" si="101"/>
        <v>Windrow</v>
      </c>
      <c r="C2001" s="138" t="str">
        <f t="shared" si="102"/>
        <v>Base_With Amendment</v>
      </c>
      <c r="D2001" s="118" t="s">
        <v>136</v>
      </c>
      <c r="E2001" s="118" t="s">
        <v>180</v>
      </c>
      <c r="F2001" s="118" t="s">
        <v>46</v>
      </c>
      <c r="G2001" s="153" t="s">
        <v>51</v>
      </c>
      <c r="H2001" s="154"/>
      <c r="I2001" s="154" t="s">
        <v>47</v>
      </c>
      <c r="J2001" s="154" t="s">
        <v>52</v>
      </c>
      <c r="K2001" s="154" t="s">
        <v>27</v>
      </c>
      <c r="L2001" s="154" t="str">
        <f>IF(OpenLCAbasic!K2001="CTUh", "Fill in Manually",IF(OR(K2001="Unit", K2001=""), "", INDEX(LookUps!$E$5:$E$12, MATCH(OpenLCAbasic!K2001,LookUps!$D$5:$D$12,0))))</f>
        <v/>
      </c>
      <c r="M2001" s="154" t="str">
        <f t="shared" si="103"/>
        <v>Low_Medium_Base_Upgraded__Process_Base_With Amendment_Windrow</v>
      </c>
    </row>
    <row r="2002" spans="1:13" s="120" customFormat="1" x14ac:dyDescent="0.25">
      <c r="A2002" s="119"/>
      <c r="B2002" s="138" t="str">
        <f t="shared" si="101"/>
        <v>Windrow</v>
      </c>
      <c r="C2002" s="138" t="str">
        <f t="shared" si="102"/>
        <v>Base_With Amendment</v>
      </c>
      <c r="D2002" s="118" t="s">
        <v>136</v>
      </c>
      <c r="E2002" s="118" t="s">
        <v>180</v>
      </c>
      <c r="F2002" s="118" t="s">
        <v>46</v>
      </c>
      <c r="G2002" s="153"/>
      <c r="H2002" s="155">
        <v>0.8861</v>
      </c>
      <c r="I2002" s="154" t="s">
        <v>55</v>
      </c>
      <c r="J2002" s="203">
        <v>0.16577</v>
      </c>
      <c r="K2002" s="154" t="s">
        <v>25</v>
      </c>
      <c r="L2002" s="154" t="str">
        <f>IF(OpenLCAbasic!K2002="CTUh", "Fill in Manually",IF(OR(K2002="Unit", K2002=""), "", INDEX(LookUps!$E$5:$E$12, MATCH(OpenLCAbasic!K2002,LookUps!$D$5:$D$12,0))))</f>
        <v>Smog Formation Potential (SFP) - kg O3 eq</v>
      </c>
      <c r="M2002" s="154" t="str">
        <f t="shared" si="103"/>
        <v>Low_Medium_Base_Upgraded_Smog Formation Potential (SFP) - kg O3 eq_Aeration Tanks; wastewater treatment unit; at updated plant - US_Base_With Amendment_Windrow</v>
      </c>
    </row>
    <row r="2003" spans="1:13" s="120" customFormat="1" x14ac:dyDescent="0.25">
      <c r="A2003" s="119"/>
      <c r="B2003" s="138" t="str">
        <f t="shared" si="101"/>
        <v>Windrow</v>
      </c>
      <c r="C2003" s="138" t="str">
        <f t="shared" si="102"/>
        <v>Base_With Amendment</v>
      </c>
      <c r="D2003" s="118" t="s">
        <v>136</v>
      </c>
      <c r="E2003" s="118" t="s">
        <v>180</v>
      </c>
      <c r="F2003" s="118" t="s">
        <v>46</v>
      </c>
      <c r="G2003" s="153"/>
      <c r="H2003" s="155">
        <v>0.25700000000000001</v>
      </c>
      <c r="I2003" s="154" t="s">
        <v>54</v>
      </c>
      <c r="J2003" s="203">
        <v>4.8070000000000002E-2</v>
      </c>
      <c r="K2003" s="154" t="s">
        <v>25</v>
      </c>
      <c r="L2003" s="154" t="str">
        <f>IF(OpenLCAbasic!K2003="CTUh", "Fill in Manually",IF(OR(K2003="Unit", K2003=""), "", INDEX(LookUps!$E$5:$E$12, MATCH(OpenLCAbasic!K2003,LookUps!$D$5:$D$12,0))))</f>
        <v>Smog Formation Potential (SFP) - kg O3 eq</v>
      </c>
      <c r="M2003" s="154" t="str">
        <f t="shared" si="103"/>
        <v>Low_Medium_Base_Upgraded_Smog Formation Potential (SFP) - kg O3 eq_Clear Cove Primary Clarification; wastewater treatment unit; at updated plant - US_Base_With Amendment_Windrow</v>
      </c>
    </row>
    <row r="2004" spans="1:13" s="120" customFormat="1" x14ac:dyDescent="0.25">
      <c r="A2004" s="119"/>
      <c r="B2004" s="138" t="str">
        <f t="shared" si="101"/>
        <v>Windrow</v>
      </c>
      <c r="C2004" s="138" t="str">
        <f t="shared" si="102"/>
        <v>Base_With Amendment</v>
      </c>
      <c r="D2004" s="118" t="s">
        <v>136</v>
      </c>
      <c r="E2004" s="118" t="s">
        <v>180</v>
      </c>
      <c r="F2004" s="118" t="s">
        <v>46</v>
      </c>
      <c r="G2004" s="153"/>
      <c r="H2004" s="155">
        <v>0.22409999999999999</v>
      </c>
      <c r="I2004" s="154" t="s">
        <v>58</v>
      </c>
      <c r="J2004" s="203">
        <v>4.1919999999999999E-2</v>
      </c>
      <c r="K2004" s="154" t="s">
        <v>25</v>
      </c>
      <c r="L2004" s="154" t="str">
        <f>IF(OpenLCAbasic!K2004="CTUh", "Fill in Manually",IF(OR(K2004="Unit", K2004=""), "", INDEX(LookUps!$E$5:$E$12, MATCH(OpenLCAbasic!K2004,LookUps!$D$5:$D$12,0))))</f>
        <v>Smog Formation Potential (SFP) - kg O3 eq</v>
      </c>
      <c r="M2004" s="154" t="str">
        <f t="shared" si="103"/>
        <v>Low_Medium_Base_Upgraded_Smog Formation Potential (SFP) - kg O3 eq_Pre-Anoxic &amp; Swing tank; wastewater treatment unit; at updated plant - US_Base_With Amendment_Windrow</v>
      </c>
    </row>
    <row r="2005" spans="1:13" s="120" customFormat="1" x14ac:dyDescent="0.25">
      <c r="A2005" s="119"/>
      <c r="B2005" s="138" t="str">
        <f t="shared" si="101"/>
        <v>Windrow</v>
      </c>
      <c r="C2005" s="138" t="str">
        <f t="shared" si="102"/>
        <v>Base_With Amendment</v>
      </c>
      <c r="D2005" s="118" t="s">
        <v>136</v>
      </c>
      <c r="E2005" s="118" t="s">
        <v>180</v>
      </c>
      <c r="F2005" s="118" t="s">
        <v>46</v>
      </c>
      <c r="G2005" s="153"/>
      <c r="H2005" s="155">
        <v>0.17710000000000001</v>
      </c>
      <c r="I2005" s="154" t="s">
        <v>53</v>
      </c>
      <c r="J2005" s="203">
        <v>3.313E-2</v>
      </c>
      <c r="K2005" s="154" t="s">
        <v>25</v>
      </c>
      <c r="L2005" s="154" t="str">
        <f>IF(OpenLCAbasic!K2005="CTUh", "Fill in Manually",IF(OR(K2005="Unit", K2005=""), "", INDEX(LookUps!$E$5:$E$12, MATCH(OpenLCAbasic!K2005,LookUps!$D$5:$D$12,0))))</f>
        <v>Smog Formation Potential (SFP) - kg O3 eq</v>
      </c>
      <c r="M2005" s="154" t="str">
        <f t="shared" si="103"/>
        <v>Low_Medium_Base_Upgraded_Smog Formation Potential (SFP) - kg O3 eq_Wet Well and Sump Station; wastewater treatment unit; at updated plant - US_Base_With Amendment_Windrow</v>
      </c>
    </row>
    <row r="2006" spans="1:13" s="120" customFormat="1" x14ac:dyDescent="0.25">
      <c r="A2006" s="119"/>
      <c r="B2006" s="138" t="str">
        <f t="shared" si="101"/>
        <v>Windrow</v>
      </c>
      <c r="C2006" s="138" t="str">
        <f t="shared" si="102"/>
        <v>Base_With Amendment</v>
      </c>
      <c r="D2006" s="118" t="s">
        <v>136</v>
      </c>
      <c r="E2006" s="118" t="s">
        <v>180</v>
      </c>
      <c r="F2006" s="118" t="s">
        <v>46</v>
      </c>
      <c r="G2006" s="153"/>
      <c r="H2006" s="155">
        <v>0.16420000000000001</v>
      </c>
      <c r="I2006" s="154" t="s">
        <v>167</v>
      </c>
      <c r="J2006" s="203">
        <v>3.0710000000000001E-2</v>
      </c>
      <c r="K2006" s="154" t="s">
        <v>25</v>
      </c>
      <c r="L2006" s="154" t="str">
        <f>IF(OpenLCAbasic!K2006="CTUh", "Fill in Manually",IF(OR(K2006="Unit", K2006=""), "", INDEX(LookUps!$E$5:$E$12, MATCH(OpenLCAbasic!K2006,LookUps!$D$5:$D$12,0))))</f>
        <v>Smog Formation Potential (SFP) - kg O3 eq</v>
      </c>
      <c r="M2006" s="154" t="str">
        <f t="shared" si="103"/>
        <v>Low_Medium_Base_Upgraded_Smog Formation Potential (SFP) - kg O3 eq_Waste Receiving and Holding; wastewater treatment unit; at updated plant - US_Base_With Amendment_Windrow</v>
      </c>
    </row>
    <row r="2007" spans="1:13" s="120" customFormat="1" x14ac:dyDescent="0.25">
      <c r="A2007" s="119"/>
      <c r="B2007" s="138" t="str">
        <f t="shared" si="101"/>
        <v>Windrow</v>
      </c>
      <c r="C2007" s="138" t="str">
        <f t="shared" si="102"/>
        <v>Base_With Amendment</v>
      </c>
      <c r="D2007" s="118" t="s">
        <v>136</v>
      </c>
      <c r="E2007" s="118" t="s">
        <v>180</v>
      </c>
      <c r="F2007" s="118" t="s">
        <v>46</v>
      </c>
      <c r="G2007" s="153"/>
      <c r="H2007" s="155">
        <v>0.1037</v>
      </c>
      <c r="I2007" s="154" t="s">
        <v>147</v>
      </c>
      <c r="J2007" s="203">
        <v>1.9400000000000001E-2</v>
      </c>
      <c r="K2007" s="154" t="s">
        <v>25</v>
      </c>
      <c r="L2007" s="154" t="str">
        <f>IF(OpenLCAbasic!K2007="CTUh", "Fill in Manually",IF(OR(K2007="Unit", K2007=""), "", INDEX(LookUps!$E$5:$E$12, MATCH(OpenLCAbasic!K2007,LookUps!$D$5:$D$12,0))))</f>
        <v>Smog Formation Potential (SFP) - kg O3 eq</v>
      </c>
      <c r="M2007" s="154" t="str">
        <f t="shared" si="103"/>
        <v>Low_Medium_Base_Upgraded_Smog Formation Potential (SFP) - kg O3 eq_Influent Pump Station; wastewater treatment unit; at updated plant - US_Base_With Amendment_Windrow</v>
      </c>
    </row>
    <row r="2008" spans="1:13" s="120" customFormat="1" x14ac:dyDescent="0.25">
      <c r="A2008" s="119"/>
      <c r="B2008" s="138" t="str">
        <f t="shared" si="101"/>
        <v>Windrow</v>
      </c>
      <c r="C2008" s="138" t="str">
        <f t="shared" si="102"/>
        <v>Base_With Amendment</v>
      </c>
      <c r="D2008" s="118" t="s">
        <v>136</v>
      </c>
      <c r="E2008" s="118" t="s">
        <v>180</v>
      </c>
      <c r="F2008" s="118" t="s">
        <v>46</v>
      </c>
      <c r="G2008" s="153"/>
      <c r="H2008" s="155">
        <v>6.3700000000000007E-2</v>
      </c>
      <c r="I2008" s="154" t="s">
        <v>128</v>
      </c>
      <c r="J2008" s="204">
        <v>1.192E-2</v>
      </c>
      <c r="K2008" s="154" t="s">
        <v>25</v>
      </c>
      <c r="L2008" s="154" t="str">
        <f>IF(OpenLCAbasic!K2008="CTUh", "Fill in Manually",IF(OR(K2008="Unit", K2008=""), "", INDEX(LookUps!$E$5:$E$12, MATCH(OpenLCAbasic!K2008,LookUps!$D$5:$D$12,0))))</f>
        <v>Smog Formation Potential (SFP) - kg O3 eq</v>
      </c>
      <c r="M2008" s="154" t="str">
        <f t="shared" si="103"/>
        <v>Low_Medium_Base_Upgraded_Smog Formation Potential (SFP) - kg O3 eq_Wastewater collection; operation and infrastructure; m3 wastewater_Base_With Amendment_Windrow</v>
      </c>
    </row>
    <row r="2009" spans="1:13" s="120" customFormat="1" x14ac:dyDescent="0.25">
      <c r="A2009" s="119"/>
      <c r="B2009" s="138" t="str">
        <f t="shared" si="101"/>
        <v>Windrow</v>
      </c>
      <c r="C2009" s="138" t="str">
        <f t="shared" si="102"/>
        <v>Base_With Amendment</v>
      </c>
      <c r="D2009" s="118" t="s">
        <v>136</v>
      </c>
      <c r="E2009" s="118" t="s">
        <v>180</v>
      </c>
      <c r="F2009" s="118" t="s">
        <v>46</v>
      </c>
      <c r="G2009" s="153"/>
      <c r="H2009" s="155">
        <v>5.4199999999999998E-2</v>
      </c>
      <c r="I2009" s="154" t="s">
        <v>60</v>
      </c>
      <c r="J2009" s="204">
        <v>1.014E-2</v>
      </c>
      <c r="K2009" s="154" t="s">
        <v>25</v>
      </c>
      <c r="L2009" s="154" t="str">
        <f>IF(OpenLCAbasic!K2009="CTUh", "Fill in Manually",IF(OR(K2009="Unit", K2009=""), "", INDEX(LookUps!$E$5:$E$12, MATCH(OpenLCAbasic!K2009,LookUps!$D$5:$D$12,0))))</f>
        <v>Smog Formation Potential (SFP) - kg O3 eq</v>
      </c>
      <c r="M2009" s="154" t="str">
        <f t="shared" si="103"/>
        <v>Low_Medium_Base_Upgraded_Smog Formation Potential (SFP) - kg O3 eq_Belt filter press; wastewater treatment unit; at updated plant - US_Base_With Amendment_Windrow</v>
      </c>
    </row>
    <row r="2010" spans="1:13" s="120" customFormat="1" x14ac:dyDescent="0.25">
      <c r="A2010" s="119"/>
      <c r="B2010" s="138" t="str">
        <f t="shared" si="101"/>
        <v>Windrow</v>
      </c>
      <c r="C2010" s="138" t="str">
        <f t="shared" si="102"/>
        <v>Base_With Amendment</v>
      </c>
      <c r="D2010" s="118" t="s">
        <v>136</v>
      </c>
      <c r="E2010" s="118" t="s">
        <v>180</v>
      </c>
      <c r="F2010" s="118" t="s">
        <v>46</v>
      </c>
      <c r="G2010" s="153"/>
      <c r="H2010" s="155">
        <v>3.56E-2</v>
      </c>
      <c r="I2010" s="154" t="s">
        <v>57</v>
      </c>
      <c r="J2010" s="204">
        <v>6.6499999999999997E-3</v>
      </c>
      <c r="K2010" s="154" t="s">
        <v>25</v>
      </c>
      <c r="L2010" s="154" t="str">
        <f>IF(OpenLCAbasic!K2010="CTUh", "Fill in Manually",IF(OR(K2010="Unit", K2010=""), "", INDEX(LookUps!$E$5:$E$12, MATCH(OpenLCAbasic!K2010,LookUps!$D$5:$D$12,0))))</f>
        <v>Smog Formation Potential (SFP) - kg O3 eq</v>
      </c>
      <c r="M2010" s="154" t="str">
        <f t="shared" si="103"/>
        <v>Low_Medium_Base_Upgraded_Smog Formation Potential (SFP) - kg O3 eq_Gravity Belt Thickener; wastewater treatment unit; at updated plant - US_Base_With Amendment_Windrow</v>
      </c>
    </row>
    <row r="2011" spans="1:13" s="120" customFormat="1" x14ac:dyDescent="0.25">
      <c r="A2011" s="119"/>
      <c r="B2011" s="138" t="str">
        <f t="shared" si="101"/>
        <v>Windrow</v>
      </c>
      <c r="C2011" s="138" t="str">
        <f t="shared" si="102"/>
        <v>Base_With Amendment</v>
      </c>
      <c r="D2011" s="118" t="s">
        <v>136</v>
      </c>
      <c r="E2011" s="118" t="s">
        <v>180</v>
      </c>
      <c r="F2011" s="118" t="s">
        <v>46</v>
      </c>
      <c r="G2011" s="153"/>
      <c r="H2011" s="155">
        <v>2.6599999999999999E-2</v>
      </c>
      <c r="I2011" s="154" t="s">
        <v>59</v>
      </c>
      <c r="J2011" s="204">
        <v>4.9699999999999996E-3</v>
      </c>
      <c r="K2011" s="154" t="s">
        <v>25</v>
      </c>
      <c r="L2011" s="154" t="str">
        <f>IF(OpenLCAbasic!K2011="CTUh", "Fill in Manually",IF(OR(K2011="Unit", K2011=""), "", INDEX(LookUps!$E$5:$E$12, MATCH(OpenLCAbasic!K2011,LookUps!$D$5:$D$12,0))))</f>
        <v>Smog Formation Potential (SFP) - kg O3 eq</v>
      </c>
      <c r="M2011" s="154" t="str">
        <f t="shared" si="103"/>
        <v>Low_Medium_Base_Upgraded_Smog Formation Potential (SFP) - kg O3 eq_Blend Tank; wastewater treatment unit; at updated plant - US_Base_With Amendment_Windrow</v>
      </c>
    </row>
    <row r="2012" spans="1:13" s="120" customFormat="1" x14ac:dyDescent="0.25">
      <c r="A2012" s="119"/>
      <c r="B2012" s="138" t="str">
        <f t="shared" si="101"/>
        <v>Windrow</v>
      </c>
      <c r="C2012" s="138" t="str">
        <f t="shared" si="102"/>
        <v>Base_With Amendment</v>
      </c>
      <c r="D2012" s="118" t="s">
        <v>136</v>
      </c>
      <c r="E2012" s="118" t="s">
        <v>180</v>
      </c>
      <c r="F2012" s="118" t="s">
        <v>46</v>
      </c>
      <c r="G2012" s="153"/>
      <c r="H2012" s="155">
        <v>1.8100000000000002E-2</v>
      </c>
      <c r="I2012" s="154" t="s">
        <v>48</v>
      </c>
      <c r="J2012" s="204">
        <v>3.3899999999999998E-3</v>
      </c>
      <c r="K2012" s="154" t="s">
        <v>25</v>
      </c>
      <c r="L2012" s="154" t="str">
        <f>IF(OpenLCAbasic!K2012="CTUh", "Fill in Manually",IF(OR(K2012="Unit", K2012=""), "", INDEX(LookUps!$E$5:$E$12, MATCH(OpenLCAbasic!K2012,LookUps!$D$5:$D$12,0))))</f>
        <v>Smog Formation Potential (SFP) - kg O3 eq</v>
      </c>
      <c r="M2012" s="154" t="str">
        <f t="shared" si="103"/>
        <v>Low_Medium_Base_Upgraded_Smog Formation Potential (SFP) - kg O3 eq_Effluent release; wastewater treatment unit; at surface water; m3 wastewater - US_Base_With Amendment_Windrow</v>
      </c>
    </row>
    <row r="2013" spans="1:13" s="120" customFormat="1" x14ac:dyDescent="0.25">
      <c r="A2013" s="119"/>
      <c r="B2013" s="138" t="str">
        <f t="shared" si="101"/>
        <v>Windrow</v>
      </c>
      <c r="C2013" s="138" t="str">
        <f t="shared" si="102"/>
        <v>Base_With Amendment</v>
      </c>
      <c r="D2013" s="118" t="s">
        <v>136</v>
      </c>
      <c r="E2013" s="118" t="s">
        <v>180</v>
      </c>
      <c r="F2013" s="118" t="s">
        <v>46</v>
      </c>
      <c r="G2013" s="153"/>
      <c r="H2013" s="155">
        <v>1.3100000000000001E-2</v>
      </c>
      <c r="I2013" s="154" t="s">
        <v>168</v>
      </c>
      <c r="J2013" s="204">
        <v>2.4599999999999999E-3</v>
      </c>
      <c r="K2013" s="154" t="s">
        <v>25</v>
      </c>
      <c r="L2013" s="154" t="str">
        <f>IF(OpenLCAbasic!K2013="CTUh", "Fill in Manually",IF(OR(K2013="Unit", K2013=""), "", INDEX(LookUps!$E$5:$E$12, MATCH(OpenLCAbasic!K2013,LookUps!$D$5:$D$12,0))))</f>
        <v>Smog Formation Potential (SFP) - kg O3 eq</v>
      </c>
      <c r="M2013" s="154" t="str">
        <f t="shared" si="103"/>
        <v>Low_Medium_Base_Upgraded_Smog Formation Potential (SFP) - kg O3 eq_ClearCove SCP; wastewater treatment unit; at updated plant - US_Base_With Amendment_Windrow</v>
      </c>
    </row>
    <row r="2014" spans="1:13" s="120" customFormat="1" x14ac:dyDescent="0.25">
      <c r="A2014" s="119"/>
      <c r="B2014" s="138" t="str">
        <f t="shared" si="101"/>
        <v>Windrow</v>
      </c>
      <c r="C2014" s="138" t="str">
        <f t="shared" si="102"/>
        <v>Base_With Amendment</v>
      </c>
      <c r="D2014" s="118" t="s">
        <v>136</v>
      </c>
      <c r="E2014" s="118" t="s">
        <v>180</v>
      </c>
      <c r="F2014" s="118" t="s">
        <v>46</v>
      </c>
      <c r="G2014" s="153"/>
      <c r="H2014" s="155">
        <v>7.1999999999999998E-3</v>
      </c>
      <c r="I2014" s="154" t="s">
        <v>271</v>
      </c>
      <c r="J2014" s="204">
        <v>1.3500000000000001E-3</v>
      </c>
      <c r="K2014" s="154" t="s">
        <v>25</v>
      </c>
      <c r="L2014" s="154" t="str">
        <f>IF(OpenLCAbasic!K2014="CTUh", "Fill in Manually",IF(OR(K2014="Unit", K2014=""), "", INDEX(LookUps!$E$5:$E$12, MATCH(OpenLCAbasic!K2014,LookUps!$D$5:$D$12,0))))</f>
        <v>Smog Formation Potential (SFP) - kg O3 eq</v>
      </c>
      <c r="M2014" s="154" t="str">
        <f t="shared" si="103"/>
        <v>Low_Medium_Base_Upgraded_Smog Formation Potential (SFP) - kg O3 eq_Biosolids composting; windrow composting; wastewater treatment unit; at updated plant - US_Base_With Amendment_Windrow</v>
      </c>
    </row>
    <row r="2015" spans="1:13" s="120" customFormat="1" x14ac:dyDescent="0.25">
      <c r="A2015" s="119"/>
      <c r="B2015" s="138" t="str">
        <f t="shared" si="101"/>
        <v>Windrow</v>
      </c>
      <c r="C2015" s="138" t="str">
        <f t="shared" si="102"/>
        <v>Base_With Amendment</v>
      </c>
      <c r="D2015" s="118" t="s">
        <v>136</v>
      </c>
      <c r="E2015" s="118" t="s">
        <v>180</v>
      </c>
      <c r="F2015" s="118" t="s">
        <v>46</v>
      </c>
      <c r="G2015" s="153"/>
      <c r="H2015" s="155">
        <v>2.8999999999999998E-3</v>
      </c>
      <c r="I2015" s="154" t="s">
        <v>148</v>
      </c>
      <c r="J2015" s="204">
        <v>5.4000000000000001E-4</v>
      </c>
      <c r="K2015" s="154" t="s">
        <v>25</v>
      </c>
      <c r="L2015" s="154" t="str">
        <f>IF(OpenLCAbasic!K2015="CTUh", "Fill in Manually",IF(OR(K2015="Unit", K2015=""), "", INDEX(LookUps!$E$5:$E$12, MATCH(OpenLCAbasic!K2015,LookUps!$D$5:$D$12,0))))</f>
        <v>Smog Formation Potential (SFP) - kg O3 eq</v>
      </c>
      <c r="M2015" s="154" t="str">
        <f t="shared" si="103"/>
        <v>Low_Medium_Base_Upgraded_Smog Formation Potential (SFP) - kg O3 eq_Control Building; at upgraded wastewater treatment plant - US_Base_With Amendment_Windrow</v>
      </c>
    </row>
    <row r="2016" spans="1:13" s="120" customFormat="1" x14ac:dyDescent="0.25">
      <c r="A2016" s="119"/>
      <c r="B2016" s="138" t="str">
        <f t="shared" si="101"/>
        <v>Windrow</v>
      </c>
      <c r="C2016" s="138" t="str">
        <f t="shared" si="102"/>
        <v>Base_With Amendment</v>
      </c>
      <c r="D2016" s="118" t="s">
        <v>136</v>
      </c>
      <c r="E2016" s="118" t="s">
        <v>180</v>
      </c>
      <c r="F2016" s="118" t="s">
        <v>46</v>
      </c>
      <c r="G2016" s="153"/>
      <c r="H2016" s="155">
        <v>-2.12E-2</v>
      </c>
      <c r="I2016" s="154" t="s">
        <v>62</v>
      </c>
      <c r="J2016" s="204">
        <v>-3.98E-3</v>
      </c>
      <c r="K2016" s="154" t="s">
        <v>25</v>
      </c>
      <c r="L2016" s="154" t="str">
        <f>IF(OpenLCAbasic!K2016="CTUh", "Fill in Manually",IF(OR(K2016="Unit", K2016=""), "", INDEX(LookUps!$E$5:$E$12, MATCH(OpenLCAbasic!K2016,LookUps!$D$5:$D$12,0))))</f>
        <v>Smog Formation Potential (SFP) - kg O3 eq</v>
      </c>
      <c r="M2016" s="154" t="str">
        <f t="shared" si="103"/>
        <v>Low_Medium_Base_Upgraded_Smog Formation Potential (SFP) - kg O3 eq_Land application of compost; wastewater treatment unit; at updated plant - US_Base_With Amendment_Windrow</v>
      </c>
    </row>
    <row r="2017" spans="1:13" s="120" customFormat="1" x14ac:dyDescent="0.25">
      <c r="A2017" s="119"/>
      <c r="B2017" s="138" t="str">
        <f t="shared" si="101"/>
        <v>Windrow</v>
      </c>
      <c r="C2017" s="138" t="str">
        <f t="shared" si="102"/>
        <v>Base_With Amendment</v>
      </c>
      <c r="D2017" s="118" t="s">
        <v>136</v>
      </c>
      <c r="E2017" s="118" t="s">
        <v>180</v>
      </c>
      <c r="F2017" s="118" t="s">
        <v>46</v>
      </c>
      <c r="G2017" s="153"/>
      <c r="H2017" s="155">
        <v>-1.0122</v>
      </c>
      <c r="I2017" s="154" t="s">
        <v>149</v>
      </c>
      <c r="J2017" s="203">
        <v>-0.18936</v>
      </c>
      <c r="K2017" s="154" t="s">
        <v>25</v>
      </c>
      <c r="L2017" s="154" t="str">
        <f>IF(OpenLCAbasic!K2017="CTUh", "Fill in Manually",IF(OR(K2017="Unit", K2017=""), "", INDEX(LookUps!$E$5:$E$12, MATCH(OpenLCAbasic!K2017,LookUps!$D$5:$D$12,0))))</f>
        <v>Smog Formation Potential (SFP) - kg O3 eq</v>
      </c>
      <c r="M2017" s="154" t="str">
        <f t="shared" si="103"/>
        <v>Low_Medium_Base_Upgraded_Smog Formation Potential (SFP) - kg O3 eq_Anaerobic Digestion; wastewater treatment unit; at updated plant - US_Base_With Amendment_Windrow</v>
      </c>
    </row>
    <row r="2018" spans="1:13" s="120" customFormat="1" x14ac:dyDescent="0.25">
      <c r="A2018" s="119"/>
      <c r="B2018" s="138" t="str">
        <f t="shared" si="101"/>
        <v>Windrow</v>
      </c>
      <c r="C2018" s="138" t="str">
        <f t="shared" si="102"/>
        <v>Base_With Amendment</v>
      </c>
      <c r="D2018" s="118" t="s">
        <v>136</v>
      </c>
      <c r="E2018" s="118" t="s">
        <v>180</v>
      </c>
      <c r="F2018" s="118" t="s">
        <v>46</v>
      </c>
      <c r="G2018" s="153" t="s">
        <v>51</v>
      </c>
      <c r="H2018" s="154"/>
      <c r="I2018" s="154" t="s">
        <v>47</v>
      </c>
      <c r="J2018" s="154" t="s">
        <v>52</v>
      </c>
      <c r="K2018" s="154" t="s">
        <v>27</v>
      </c>
      <c r="L2018" s="154" t="str">
        <f>IF(OpenLCAbasic!K2018="CTUh", "Fill in Manually",IF(OR(K2018="Unit", K2018=""), "", INDEX(LookUps!$E$5:$E$12, MATCH(OpenLCAbasic!K2018,LookUps!$D$5:$D$12,0))))</f>
        <v/>
      </c>
      <c r="M2018" s="154" t="str">
        <f t="shared" si="103"/>
        <v>Low_Medium_Base_Upgraded__Process_Base_With Amendment_Windrow</v>
      </c>
    </row>
    <row r="2019" spans="1:13" s="120" customFormat="1" x14ac:dyDescent="0.25">
      <c r="A2019" s="119"/>
      <c r="B2019" s="138" t="str">
        <f t="shared" si="101"/>
        <v>Windrow</v>
      </c>
      <c r="C2019" s="138" t="str">
        <f t="shared" si="102"/>
        <v>Base_With Amendment</v>
      </c>
      <c r="D2019" s="118" t="s">
        <v>136</v>
      </c>
      <c r="E2019" s="118" t="s">
        <v>180</v>
      </c>
      <c r="F2019" s="118" t="s">
        <v>46</v>
      </c>
      <c r="G2019" s="153"/>
      <c r="H2019" s="155">
        <v>0.59519999999999995</v>
      </c>
      <c r="I2019" s="154" t="s">
        <v>167</v>
      </c>
      <c r="J2019" s="204">
        <v>2.7999999999999998E-4</v>
      </c>
      <c r="K2019" s="154" t="s">
        <v>26</v>
      </c>
      <c r="L2019" s="154" t="str">
        <f>IF(OpenLCAbasic!K2019="CTUh", "Fill in Manually",IF(OR(K2019="Unit", K2019=""), "", INDEX(LookUps!$E$5:$E$12, MATCH(OpenLCAbasic!K2019,LookUps!$D$5:$D$12,0))))</f>
        <v>Water Use (WU) - m3 H2O</v>
      </c>
      <c r="M2019" s="154" t="str">
        <f t="shared" si="103"/>
        <v>Low_Medium_Base_Upgraded_Water Use (WU) - m3 H2O_Waste Receiving and Holding; wastewater treatment unit; at updated plant - US_Base_With Amendment_Windrow</v>
      </c>
    </row>
    <row r="2020" spans="1:13" s="120" customFormat="1" x14ac:dyDescent="0.25">
      <c r="A2020" s="119"/>
      <c r="B2020" s="138" t="str">
        <f t="shared" si="101"/>
        <v>Windrow</v>
      </c>
      <c r="C2020" s="138" t="str">
        <f t="shared" si="102"/>
        <v>Base_With Amendment</v>
      </c>
      <c r="D2020" s="118" t="s">
        <v>136</v>
      </c>
      <c r="E2020" s="118" t="s">
        <v>180</v>
      </c>
      <c r="F2020" s="118" t="s">
        <v>46</v>
      </c>
      <c r="G2020" s="153"/>
      <c r="H2020" s="155">
        <v>0.38850000000000001</v>
      </c>
      <c r="I2020" s="154" t="s">
        <v>147</v>
      </c>
      <c r="J2020" s="204">
        <v>1.8000000000000001E-4</v>
      </c>
      <c r="K2020" s="154" t="s">
        <v>26</v>
      </c>
      <c r="L2020" s="154" t="str">
        <f>IF(OpenLCAbasic!K2020="CTUh", "Fill in Manually",IF(OR(K2020="Unit", K2020=""), "", INDEX(LookUps!$E$5:$E$12, MATCH(OpenLCAbasic!K2020,LookUps!$D$5:$D$12,0))))</f>
        <v>Water Use (WU) - m3 H2O</v>
      </c>
      <c r="M2020" s="154" t="str">
        <f t="shared" si="103"/>
        <v>Low_Medium_Base_Upgraded_Water Use (WU) - m3 H2O_Influent Pump Station; wastewater treatment unit; at updated plant - US_Base_With Amendment_Windrow</v>
      </c>
    </row>
    <row r="2021" spans="1:13" s="120" customFormat="1" x14ac:dyDescent="0.25">
      <c r="A2021" s="119"/>
      <c r="B2021" s="138" t="str">
        <f t="shared" si="101"/>
        <v>Windrow</v>
      </c>
      <c r="C2021" s="138" t="str">
        <f t="shared" si="102"/>
        <v>Base_With Amendment</v>
      </c>
      <c r="D2021" s="118" t="s">
        <v>136</v>
      </c>
      <c r="E2021" s="118" t="s">
        <v>180</v>
      </c>
      <c r="F2021" s="118" t="s">
        <v>46</v>
      </c>
      <c r="G2021" s="153"/>
      <c r="H2021" s="155">
        <v>0.37909999999999999</v>
      </c>
      <c r="I2021" s="154" t="s">
        <v>54</v>
      </c>
      <c r="J2021" s="204">
        <v>1.8000000000000001E-4</v>
      </c>
      <c r="K2021" s="154" t="s">
        <v>26</v>
      </c>
      <c r="L2021" s="154" t="str">
        <f>IF(OpenLCAbasic!K2021="CTUh", "Fill in Manually",IF(OR(K2021="Unit", K2021=""), "", INDEX(LookUps!$E$5:$E$12, MATCH(OpenLCAbasic!K2021,LookUps!$D$5:$D$12,0))))</f>
        <v>Water Use (WU) - m3 H2O</v>
      </c>
      <c r="M2021" s="154" t="str">
        <f t="shared" si="103"/>
        <v>Low_Medium_Base_Upgraded_Water Use (WU) - m3 H2O_Clear Cove Primary Clarification; wastewater treatment unit; at updated plant - US_Base_With Amendment_Windrow</v>
      </c>
    </row>
    <row r="2022" spans="1:13" s="120" customFormat="1" x14ac:dyDescent="0.25">
      <c r="A2022" s="119"/>
      <c r="B2022" s="138" t="str">
        <f t="shared" si="101"/>
        <v>Windrow</v>
      </c>
      <c r="C2022" s="138" t="str">
        <f t="shared" si="102"/>
        <v>Base_With Amendment</v>
      </c>
      <c r="D2022" s="118" t="s">
        <v>136</v>
      </c>
      <c r="E2022" s="118" t="s">
        <v>180</v>
      </c>
      <c r="F2022" s="118" t="s">
        <v>46</v>
      </c>
      <c r="G2022" s="153"/>
      <c r="H2022" s="155">
        <v>0.34389999999999998</v>
      </c>
      <c r="I2022" s="154" t="s">
        <v>55</v>
      </c>
      <c r="J2022" s="204">
        <v>1.6000000000000001E-4</v>
      </c>
      <c r="K2022" s="154" t="s">
        <v>26</v>
      </c>
      <c r="L2022" s="154" t="str">
        <f>IF(OpenLCAbasic!K2022="CTUh", "Fill in Manually",IF(OR(K2022="Unit", K2022=""), "", INDEX(LookUps!$E$5:$E$12, MATCH(OpenLCAbasic!K2022,LookUps!$D$5:$D$12,0))))</f>
        <v>Water Use (WU) - m3 H2O</v>
      </c>
      <c r="M2022" s="154" t="str">
        <f t="shared" si="103"/>
        <v>Low_Medium_Base_Upgraded_Water Use (WU) - m3 H2O_Aeration Tanks; wastewater treatment unit; at updated plant - US_Base_With Amendment_Windrow</v>
      </c>
    </row>
    <row r="2023" spans="1:13" s="120" customFormat="1" x14ac:dyDescent="0.25">
      <c r="A2023" s="119"/>
      <c r="B2023" s="138" t="str">
        <f t="shared" si="101"/>
        <v>Windrow</v>
      </c>
      <c r="C2023" s="138" t="str">
        <f t="shared" si="102"/>
        <v>Base_With Amendment</v>
      </c>
      <c r="D2023" s="118" t="s">
        <v>136</v>
      </c>
      <c r="E2023" s="118" t="s">
        <v>180</v>
      </c>
      <c r="F2023" s="118" t="s">
        <v>46</v>
      </c>
      <c r="G2023" s="153"/>
      <c r="H2023" s="155">
        <v>0.31330000000000002</v>
      </c>
      <c r="I2023" s="154" t="s">
        <v>148</v>
      </c>
      <c r="J2023" s="204">
        <v>1.4999999999999999E-4</v>
      </c>
      <c r="K2023" s="154" t="s">
        <v>26</v>
      </c>
      <c r="L2023" s="154" t="str">
        <f>IF(OpenLCAbasic!K2023="CTUh", "Fill in Manually",IF(OR(K2023="Unit", K2023=""), "", INDEX(LookUps!$E$5:$E$12, MATCH(OpenLCAbasic!K2023,LookUps!$D$5:$D$12,0))))</f>
        <v>Water Use (WU) - m3 H2O</v>
      </c>
      <c r="M2023" s="154" t="str">
        <f t="shared" si="103"/>
        <v>Low_Medium_Base_Upgraded_Water Use (WU) - m3 H2O_Control Building; at upgraded wastewater treatment plant - US_Base_With Amendment_Windrow</v>
      </c>
    </row>
    <row r="2024" spans="1:13" s="120" customFormat="1" x14ac:dyDescent="0.25">
      <c r="A2024" s="119"/>
      <c r="B2024" s="138" t="str">
        <f t="shared" si="101"/>
        <v>Windrow</v>
      </c>
      <c r="C2024" s="138" t="str">
        <f t="shared" si="102"/>
        <v>Base_With Amendment</v>
      </c>
      <c r="D2024" s="118" t="s">
        <v>136</v>
      </c>
      <c r="E2024" s="118" t="s">
        <v>180</v>
      </c>
      <c r="F2024" s="118" t="s">
        <v>46</v>
      </c>
      <c r="G2024" s="153"/>
      <c r="H2024" s="155">
        <v>0.14549999999999999</v>
      </c>
      <c r="I2024" s="154" t="s">
        <v>48</v>
      </c>
      <c r="J2024" s="204">
        <v>6.8836400000000004E-5</v>
      </c>
      <c r="K2024" s="154" t="s">
        <v>26</v>
      </c>
      <c r="L2024" s="154" t="str">
        <f>IF(OpenLCAbasic!K2024="CTUh", "Fill in Manually",IF(OR(K2024="Unit", K2024=""), "", INDEX(LookUps!$E$5:$E$12, MATCH(OpenLCAbasic!K2024,LookUps!$D$5:$D$12,0))))</f>
        <v>Water Use (WU) - m3 H2O</v>
      </c>
      <c r="M2024" s="154" t="str">
        <f t="shared" si="103"/>
        <v>Low_Medium_Base_Upgraded_Water Use (WU) - m3 H2O_Effluent release; wastewater treatment unit; at surface water; m3 wastewater - US_Base_With Amendment_Windrow</v>
      </c>
    </row>
    <row r="2025" spans="1:13" s="120" customFormat="1" x14ac:dyDescent="0.25">
      <c r="A2025" s="119"/>
      <c r="B2025" s="138" t="str">
        <f t="shared" si="101"/>
        <v>Windrow</v>
      </c>
      <c r="C2025" s="138" t="str">
        <f t="shared" si="102"/>
        <v>Base_With Amendment</v>
      </c>
      <c r="D2025" s="118" t="s">
        <v>136</v>
      </c>
      <c r="E2025" s="118" t="s">
        <v>180</v>
      </c>
      <c r="F2025" s="118" t="s">
        <v>46</v>
      </c>
      <c r="G2025" s="153"/>
      <c r="H2025" s="155">
        <v>9.1399999999999995E-2</v>
      </c>
      <c r="I2025" s="154" t="s">
        <v>58</v>
      </c>
      <c r="J2025" s="204">
        <v>4.3235300000000003E-5</v>
      </c>
      <c r="K2025" s="154" t="s">
        <v>26</v>
      </c>
      <c r="L2025" s="154" t="str">
        <f>IF(OpenLCAbasic!K2025="CTUh", "Fill in Manually",IF(OR(K2025="Unit", K2025=""), "", INDEX(LookUps!$E$5:$E$12, MATCH(OpenLCAbasic!K2025,LookUps!$D$5:$D$12,0))))</f>
        <v>Water Use (WU) - m3 H2O</v>
      </c>
      <c r="M2025" s="154" t="str">
        <f t="shared" si="103"/>
        <v>Low_Medium_Base_Upgraded_Water Use (WU) - m3 H2O_Pre-Anoxic &amp; Swing tank; wastewater treatment unit; at updated plant - US_Base_With Amendment_Windrow</v>
      </c>
    </row>
    <row r="2026" spans="1:13" s="120" customFormat="1" x14ac:dyDescent="0.25">
      <c r="A2026" s="119"/>
      <c r="B2026" s="138" t="str">
        <f t="shared" si="101"/>
        <v>Windrow</v>
      </c>
      <c r="C2026" s="138" t="str">
        <f t="shared" si="102"/>
        <v>Base_With Amendment</v>
      </c>
      <c r="D2026" s="118" t="s">
        <v>136</v>
      </c>
      <c r="E2026" s="118" t="s">
        <v>180</v>
      </c>
      <c r="F2026" s="118" t="s">
        <v>46</v>
      </c>
      <c r="G2026" s="153"/>
      <c r="H2026" s="155">
        <v>6.4299999999999996E-2</v>
      </c>
      <c r="I2026" s="154" t="s">
        <v>57</v>
      </c>
      <c r="J2026" s="204">
        <v>3.0408100000000001E-5</v>
      </c>
      <c r="K2026" s="154" t="s">
        <v>26</v>
      </c>
      <c r="L2026" s="154" t="str">
        <f>IF(OpenLCAbasic!K2026="CTUh", "Fill in Manually",IF(OR(K2026="Unit", K2026=""), "", INDEX(LookUps!$E$5:$E$12, MATCH(OpenLCAbasic!K2026,LookUps!$D$5:$D$12,0))))</f>
        <v>Water Use (WU) - m3 H2O</v>
      </c>
      <c r="M2026" s="154" t="str">
        <f t="shared" si="103"/>
        <v>Low_Medium_Base_Upgraded_Water Use (WU) - m3 H2O_Gravity Belt Thickener; wastewater treatment unit; at updated plant - US_Base_With Amendment_Windrow</v>
      </c>
    </row>
    <row r="2027" spans="1:13" s="120" customFormat="1" x14ac:dyDescent="0.25">
      <c r="A2027" s="119"/>
      <c r="B2027" s="138" t="str">
        <f t="shared" si="101"/>
        <v>Windrow</v>
      </c>
      <c r="C2027" s="138" t="str">
        <f t="shared" si="102"/>
        <v>Base_With Amendment</v>
      </c>
      <c r="D2027" s="118" t="s">
        <v>136</v>
      </c>
      <c r="E2027" s="118" t="s">
        <v>180</v>
      </c>
      <c r="F2027" s="118" t="s">
        <v>46</v>
      </c>
      <c r="G2027" s="153"/>
      <c r="H2027" s="155">
        <v>6.4000000000000001E-2</v>
      </c>
      <c r="I2027" s="154" t="s">
        <v>60</v>
      </c>
      <c r="J2027" s="204">
        <v>3.0289000000000001E-5</v>
      </c>
      <c r="K2027" s="154" t="s">
        <v>26</v>
      </c>
      <c r="L2027" s="154" t="str">
        <f>IF(OpenLCAbasic!K2027="CTUh", "Fill in Manually",IF(OR(K2027="Unit", K2027=""), "", INDEX(LookUps!$E$5:$E$12, MATCH(OpenLCAbasic!K2027,LookUps!$D$5:$D$12,0))))</f>
        <v>Water Use (WU) - m3 H2O</v>
      </c>
      <c r="M2027" s="154" t="str">
        <f t="shared" si="103"/>
        <v>Low_Medium_Base_Upgraded_Water Use (WU) - m3 H2O_Belt filter press; wastewater treatment unit; at updated plant - US_Base_With Amendment_Windrow</v>
      </c>
    </row>
    <row r="2028" spans="1:13" s="120" customFormat="1" x14ac:dyDescent="0.25">
      <c r="A2028" s="119"/>
      <c r="B2028" s="138" t="str">
        <f t="shared" si="101"/>
        <v>Windrow</v>
      </c>
      <c r="C2028" s="138" t="str">
        <f t="shared" si="102"/>
        <v>Base_With Amendment</v>
      </c>
      <c r="D2028" s="118" t="s">
        <v>136</v>
      </c>
      <c r="E2028" s="118" t="s">
        <v>180</v>
      </c>
      <c r="F2028" s="118" t="s">
        <v>46</v>
      </c>
      <c r="G2028" s="153"/>
      <c r="H2028" s="155">
        <v>3.6999999999999998E-2</v>
      </c>
      <c r="I2028" s="154" t="s">
        <v>53</v>
      </c>
      <c r="J2028" s="204">
        <v>1.75069E-5</v>
      </c>
      <c r="K2028" s="154" t="s">
        <v>26</v>
      </c>
      <c r="L2028" s="154" t="str">
        <f>IF(OpenLCAbasic!K2028="CTUh", "Fill in Manually",IF(OR(K2028="Unit", K2028=""), "", INDEX(LookUps!$E$5:$E$12, MATCH(OpenLCAbasic!K2028,LookUps!$D$5:$D$12,0))))</f>
        <v>Water Use (WU) - m3 H2O</v>
      </c>
      <c r="M2028" s="154" t="str">
        <f t="shared" si="103"/>
        <v>Low_Medium_Base_Upgraded_Water Use (WU) - m3 H2O_Wet Well and Sump Station; wastewater treatment unit; at updated plant - US_Base_With Amendment_Windrow</v>
      </c>
    </row>
    <row r="2029" spans="1:13" s="120" customFormat="1" x14ac:dyDescent="0.25">
      <c r="A2029" s="119"/>
      <c r="B2029" s="138" t="str">
        <f t="shared" si="101"/>
        <v>Windrow</v>
      </c>
      <c r="C2029" s="138" t="str">
        <f t="shared" si="102"/>
        <v>Base_With Amendment</v>
      </c>
      <c r="D2029" s="118" t="s">
        <v>136</v>
      </c>
      <c r="E2029" s="118" t="s">
        <v>180</v>
      </c>
      <c r="F2029" s="118" t="s">
        <v>46</v>
      </c>
      <c r="G2029" s="153"/>
      <c r="H2029" s="155">
        <v>1.4800000000000001E-2</v>
      </c>
      <c r="I2029" s="154" t="s">
        <v>59</v>
      </c>
      <c r="J2029" s="204">
        <v>7.0179500000000003E-6</v>
      </c>
      <c r="K2029" s="154" t="s">
        <v>26</v>
      </c>
      <c r="L2029" s="154" t="str">
        <f>IF(OpenLCAbasic!K2029="CTUh", "Fill in Manually",IF(OR(K2029="Unit", K2029=""), "", INDEX(LookUps!$E$5:$E$12, MATCH(OpenLCAbasic!K2029,LookUps!$D$5:$D$12,0))))</f>
        <v>Water Use (WU) - m3 H2O</v>
      </c>
      <c r="M2029" s="154" t="str">
        <f t="shared" si="103"/>
        <v>Low_Medium_Base_Upgraded_Water Use (WU) - m3 H2O_Blend Tank; wastewater treatment unit; at updated plant - US_Base_With Amendment_Windrow</v>
      </c>
    </row>
    <row r="2030" spans="1:13" s="120" customFormat="1" x14ac:dyDescent="0.25">
      <c r="A2030" s="119"/>
      <c r="B2030" s="138" t="str">
        <f t="shared" si="101"/>
        <v>Windrow</v>
      </c>
      <c r="C2030" s="138" t="str">
        <f t="shared" si="102"/>
        <v>Base_With Amendment</v>
      </c>
      <c r="D2030" s="118" t="s">
        <v>136</v>
      </c>
      <c r="E2030" s="118" t="s">
        <v>180</v>
      </c>
      <c r="F2030" s="118" t="s">
        <v>46</v>
      </c>
      <c r="G2030" s="153"/>
      <c r="H2030" s="155">
        <v>1.0699999999999999E-2</v>
      </c>
      <c r="I2030" s="154" t="s">
        <v>128</v>
      </c>
      <c r="J2030" s="204">
        <v>5.0608900000000003E-6</v>
      </c>
      <c r="K2030" s="154" t="s">
        <v>26</v>
      </c>
      <c r="L2030" s="154" t="str">
        <f>IF(OpenLCAbasic!K2030="CTUh", "Fill in Manually",IF(OR(K2030="Unit", K2030=""), "", INDEX(LookUps!$E$5:$E$12, MATCH(OpenLCAbasic!K2030,LookUps!$D$5:$D$12,0))))</f>
        <v>Water Use (WU) - m3 H2O</v>
      </c>
      <c r="M2030" s="154" t="str">
        <f t="shared" si="103"/>
        <v>Low_Medium_Base_Upgraded_Water Use (WU) - m3 H2O_Wastewater collection; operation and infrastructure; m3 wastewater_Base_With Amendment_Windrow</v>
      </c>
    </row>
    <row r="2031" spans="1:13" s="120" customFormat="1" x14ac:dyDescent="0.25">
      <c r="A2031" s="119"/>
      <c r="B2031" s="138" t="str">
        <f t="shared" si="101"/>
        <v>Windrow</v>
      </c>
      <c r="C2031" s="138" t="str">
        <f t="shared" si="102"/>
        <v>Base_With Amendment</v>
      </c>
      <c r="D2031" s="118" t="s">
        <v>136</v>
      </c>
      <c r="E2031" s="118" t="s">
        <v>180</v>
      </c>
      <c r="F2031" s="118" t="s">
        <v>46</v>
      </c>
      <c r="G2031" s="153"/>
      <c r="H2031" s="155">
        <v>3.0999999999999999E-3</v>
      </c>
      <c r="I2031" s="154" t="s">
        <v>271</v>
      </c>
      <c r="J2031" s="204">
        <v>1.47648E-6</v>
      </c>
      <c r="K2031" s="154" t="s">
        <v>26</v>
      </c>
      <c r="L2031" s="154" t="str">
        <f>IF(OpenLCAbasic!K2031="CTUh", "Fill in Manually",IF(OR(K2031="Unit", K2031=""), "", INDEX(LookUps!$E$5:$E$12, MATCH(OpenLCAbasic!K2031,LookUps!$D$5:$D$12,0))))</f>
        <v>Water Use (WU) - m3 H2O</v>
      </c>
      <c r="M2031" s="154" t="str">
        <f t="shared" si="103"/>
        <v>Low_Medium_Base_Upgraded_Water Use (WU) - m3 H2O_Biosolids composting; windrow composting; wastewater treatment unit; at updated plant - US_Base_With Amendment_Windrow</v>
      </c>
    </row>
    <row r="2032" spans="1:13" s="120" customFormat="1" x14ac:dyDescent="0.25">
      <c r="A2032" s="119"/>
      <c r="B2032" s="138" t="str">
        <f t="shared" si="101"/>
        <v>Windrow</v>
      </c>
      <c r="C2032" s="138" t="str">
        <f t="shared" si="102"/>
        <v>Base_With Amendment</v>
      </c>
      <c r="D2032" s="118" t="s">
        <v>136</v>
      </c>
      <c r="E2032" s="118" t="s">
        <v>180</v>
      </c>
      <c r="F2032" s="118" t="s">
        <v>46</v>
      </c>
      <c r="G2032" s="153"/>
      <c r="H2032" s="155">
        <v>1.6000000000000001E-3</v>
      </c>
      <c r="I2032" s="154" t="s">
        <v>168</v>
      </c>
      <c r="J2032" s="204">
        <v>7.6697000000000004E-7</v>
      </c>
      <c r="K2032" s="154" t="s">
        <v>26</v>
      </c>
      <c r="L2032" s="154" t="str">
        <f>IF(OpenLCAbasic!K2032="CTUh", "Fill in Manually",IF(OR(K2032="Unit", K2032=""), "", INDEX(LookUps!$E$5:$E$12, MATCH(OpenLCAbasic!K2032,LookUps!$D$5:$D$12,0))))</f>
        <v>Water Use (WU) - m3 H2O</v>
      </c>
      <c r="M2032" s="154" t="str">
        <f t="shared" si="103"/>
        <v>Low_Medium_Base_Upgraded_Water Use (WU) - m3 H2O_ClearCove SCP; wastewater treatment unit; at updated plant - US_Base_With Amendment_Windrow</v>
      </c>
    </row>
    <row r="2033" spans="1:13" s="120" customFormat="1" x14ac:dyDescent="0.25">
      <c r="A2033" s="119"/>
      <c r="B2033" s="138" t="str">
        <f t="shared" si="101"/>
        <v>Windrow</v>
      </c>
      <c r="C2033" s="138" t="str">
        <f t="shared" si="102"/>
        <v>Base_With Amendment</v>
      </c>
      <c r="D2033" s="118" t="s">
        <v>136</v>
      </c>
      <c r="E2033" s="118" t="s">
        <v>180</v>
      </c>
      <c r="F2033" s="118" t="s">
        <v>46</v>
      </c>
      <c r="G2033" s="153"/>
      <c r="H2033" s="155">
        <v>-8.1600000000000006E-2</v>
      </c>
      <c r="I2033" s="154" t="s">
        <v>149</v>
      </c>
      <c r="J2033" s="204">
        <v>-3.8591399999999998E-5</v>
      </c>
      <c r="K2033" s="154" t="s">
        <v>26</v>
      </c>
      <c r="L2033" s="154" t="str">
        <f>IF(OpenLCAbasic!K2033="CTUh", "Fill in Manually",IF(OR(K2033="Unit", K2033=""), "", INDEX(LookUps!$E$5:$E$12, MATCH(OpenLCAbasic!K2033,LookUps!$D$5:$D$12,0))))</f>
        <v>Water Use (WU) - m3 H2O</v>
      </c>
      <c r="M2033" s="154" t="str">
        <f t="shared" si="103"/>
        <v>Low_Medium_Base_Upgraded_Water Use (WU) - m3 H2O_Anaerobic Digestion; wastewater treatment unit; at updated plant - US_Base_With Amendment_Windrow</v>
      </c>
    </row>
    <row r="2034" spans="1:13" s="120" customFormat="1" x14ac:dyDescent="0.25">
      <c r="A2034" s="213"/>
      <c r="B2034" s="138" t="str">
        <f t="shared" si="101"/>
        <v>Windrow</v>
      </c>
      <c r="C2034" s="138" t="str">
        <f t="shared" si="102"/>
        <v>Base_With Amendment</v>
      </c>
      <c r="D2034" s="118" t="s">
        <v>136</v>
      </c>
      <c r="E2034" s="118" t="s">
        <v>180</v>
      </c>
      <c r="F2034" s="118" t="s">
        <v>46</v>
      </c>
      <c r="G2034" s="153"/>
      <c r="H2034" s="155">
        <v>-3.3706999999999998</v>
      </c>
      <c r="I2034" s="154" t="s">
        <v>62</v>
      </c>
      <c r="J2034" s="204">
        <v>-1.6000000000000001E-3</v>
      </c>
      <c r="K2034" s="154" t="s">
        <v>26</v>
      </c>
      <c r="L2034" s="154" t="str">
        <f>IF(OpenLCAbasic!K2034="CTUh", "Fill in Manually",IF(OR(K2034="Unit", K2034=""), "", INDEX(LookUps!$E$5:$E$12, MATCH(OpenLCAbasic!K2034,LookUps!$D$5:$D$12,0))))</f>
        <v>Water Use (WU) - m3 H2O</v>
      </c>
      <c r="M2034" s="154" t="str">
        <f t="shared" si="103"/>
        <v>Low_Medium_Base_Upgraded_Water Use (WU) - m3 H2O_Land application of compost; wastewater treatment unit; at updated plant - US_Base_With Amendment_Windrow</v>
      </c>
    </row>
    <row r="2035" spans="1:13" s="120" customFormat="1" x14ac:dyDescent="0.25">
      <c r="A2035" s="119"/>
      <c r="B2035" s="138" t="str">
        <f t="shared" si="101"/>
        <v/>
      </c>
      <c r="C2035" s="138" t="str">
        <f t="shared" si="102"/>
        <v/>
      </c>
      <c r="D2035" s="138"/>
      <c r="E2035" s="138"/>
      <c r="F2035" s="138"/>
      <c r="G2035" s="153"/>
      <c r="H2035" s="160"/>
      <c r="I2035" s="160"/>
      <c r="J2035" s="207"/>
      <c r="K2035" s="160"/>
      <c r="L2035" s="154" t="str">
        <f>IF(OpenLCAbasic!K2035="CTUh", "Fill in Manually",IF(OR(K2035="Unit", K2035=""), "", INDEX(LookUps!$E$5:$E$12, MATCH(OpenLCAbasic!K2035,LookUps!$D$5:$D$12,0))))</f>
        <v/>
      </c>
      <c r="M2035" s="154" t="str">
        <f t="shared" si="103"/>
        <v>______</v>
      </c>
    </row>
    <row r="2036" spans="1:13" s="120" customFormat="1" x14ac:dyDescent="0.25">
      <c r="A2036" s="119"/>
      <c r="B2036" s="138" t="str">
        <f t="shared" si="101"/>
        <v>Windrow</v>
      </c>
      <c r="C2036" s="138" t="str">
        <f t="shared" si="102"/>
        <v>Base_With Amendment</v>
      </c>
      <c r="D2036" s="118" t="s">
        <v>137</v>
      </c>
      <c r="E2036" s="118" t="s">
        <v>180</v>
      </c>
      <c r="F2036" s="118" t="s">
        <v>46</v>
      </c>
      <c r="G2036" s="153" t="s">
        <v>51</v>
      </c>
      <c r="H2036" s="154"/>
      <c r="I2036" s="154" t="s">
        <v>47</v>
      </c>
      <c r="J2036" s="154" t="s">
        <v>52</v>
      </c>
      <c r="K2036" s="154" t="s">
        <v>27</v>
      </c>
      <c r="L2036" s="154" t="str">
        <f>IF(OpenLCAbasic!K2036="CTUh", "Fill in Manually",IF(OR(K2036="Unit", K2036=""), "", INDEX(LookUps!$E$5:$E$12, MATCH(OpenLCAbasic!K2036,LookUps!$D$5:$D$12,0))))</f>
        <v/>
      </c>
      <c r="M2036" s="154" t="str">
        <f t="shared" si="103"/>
        <v>Low_Medium_High_Upgraded__Process_Base_With Amendment_Windrow</v>
      </c>
    </row>
    <row r="2037" spans="1:13" s="120" customFormat="1" x14ac:dyDescent="0.25">
      <c r="A2037" s="119"/>
      <c r="B2037" s="138" t="str">
        <f t="shared" si="101"/>
        <v>Windrow</v>
      </c>
      <c r="C2037" s="138" t="str">
        <f t="shared" si="102"/>
        <v>Base_With Amendment</v>
      </c>
      <c r="D2037" s="118" t="s">
        <v>137</v>
      </c>
      <c r="E2037" s="118" t="s">
        <v>180</v>
      </c>
      <c r="F2037" s="118" t="s">
        <v>46</v>
      </c>
      <c r="G2037" s="153"/>
      <c r="H2037" s="155">
        <v>0.80430000000000001</v>
      </c>
      <c r="I2037" s="154" t="s">
        <v>58</v>
      </c>
      <c r="J2037" s="203">
        <v>0.24568999999999999</v>
      </c>
      <c r="K2037" s="154" t="s">
        <v>23</v>
      </c>
      <c r="L2037" s="154" t="str">
        <f>IF(OpenLCAbasic!K2037="CTUh", "Fill in Manually",IF(OR(K2037="Unit", K2037=""), "", INDEX(LookUps!$E$5:$E$12, MATCH(OpenLCAbasic!K2037,LookUps!$D$5:$D$12,0))))</f>
        <v>Global Warming Potential (GWP) - kg CO2 eq</v>
      </c>
      <c r="M2037" s="154" t="str">
        <f t="shared" si="103"/>
        <v>Low_Medium_High_Upgraded_Global Warming Potential (GWP) - kg CO2 eq_Pre-Anoxic &amp; Swing tank; wastewater treatment unit; at updated plant - US_Base_With Amendment_Windrow</v>
      </c>
    </row>
    <row r="2038" spans="1:13" s="120" customFormat="1" x14ac:dyDescent="0.25">
      <c r="A2038" s="119"/>
      <c r="B2038" s="138" t="str">
        <f t="shared" si="101"/>
        <v>Windrow</v>
      </c>
      <c r="C2038" s="138" t="str">
        <f t="shared" si="102"/>
        <v>Base_With Amendment</v>
      </c>
      <c r="D2038" s="118" t="s">
        <v>137</v>
      </c>
      <c r="E2038" s="118" t="s">
        <v>180</v>
      </c>
      <c r="F2038" s="118" t="s">
        <v>46</v>
      </c>
      <c r="G2038" s="153"/>
      <c r="H2038" s="155">
        <v>0.55069999999999997</v>
      </c>
      <c r="I2038" s="154" t="s">
        <v>55</v>
      </c>
      <c r="J2038" s="203">
        <v>0.16822000000000001</v>
      </c>
      <c r="K2038" s="154" t="s">
        <v>23</v>
      </c>
      <c r="L2038" s="154" t="str">
        <f>IF(OpenLCAbasic!K2038="CTUh", "Fill in Manually",IF(OR(K2038="Unit", K2038=""), "", INDEX(LookUps!$E$5:$E$12, MATCH(OpenLCAbasic!K2038,LookUps!$D$5:$D$12,0))))</f>
        <v>Global Warming Potential (GWP) - kg CO2 eq</v>
      </c>
      <c r="M2038" s="154" t="str">
        <f t="shared" si="103"/>
        <v>Low_Medium_High_Upgraded_Global Warming Potential (GWP) - kg CO2 eq_Aeration Tanks; wastewater treatment unit; at updated plant - US_Base_With Amendment_Windrow</v>
      </c>
    </row>
    <row r="2039" spans="1:13" s="120" customFormat="1" x14ac:dyDescent="0.25">
      <c r="A2039" s="119"/>
      <c r="B2039" s="138" t="str">
        <f t="shared" si="101"/>
        <v>Windrow</v>
      </c>
      <c r="C2039" s="138" t="str">
        <f t="shared" si="102"/>
        <v>Base_With Amendment</v>
      </c>
      <c r="D2039" s="118" t="s">
        <v>137</v>
      </c>
      <c r="E2039" s="118" t="s">
        <v>180</v>
      </c>
      <c r="F2039" s="118" t="s">
        <v>46</v>
      </c>
      <c r="G2039" s="153"/>
      <c r="H2039" s="155">
        <v>0.41160000000000002</v>
      </c>
      <c r="I2039" s="154" t="s">
        <v>271</v>
      </c>
      <c r="J2039" s="203">
        <v>0.12575</v>
      </c>
      <c r="K2039" s="154" t="s">
        <v>23</v>
      </c>
      <c r="L2039" s="154" t="str">
        <f>IF(OpenLCAbasic!K2039="CTUh", "Fill in Manually",IF(OR(K2039="Unit", K2039=""), "", INDEX(LookUps!$E$5:$E$12, MATCH(OpenLCAbasic!K2039,LookUps!$D$5:$D$12,0))))</f>
        <v>Global Warming Potential (GWP) - kg CO2 eq</v>
      </c>
      <c r="M2039" s="154" t="str">
        <f t="shared" si="103"/>
        <v>Low_Medium_High_Upgraded_Global Warming Potential (GWP) - kg CO2 eq_Biosolids composting; windrow composting; wastewater treatment unit; at updated plant - US_Base_With Amendment_Windrow</v>
      </c>
    </row>
    <row r="2040" spans="1:13" s="120" customFormat="1" x14ac:dyDescent="0.25">
      <c r="A2040" s="119"/>
      <c r="B2040" s="138" t="str">
        <f t="shared" si="101"/>
        <v>Windrow</v>
      </c>
      <c r="C2040" s="138" t="str">
        <f t="shared" si="102"/>
        <v>Base_With Amendment</v>
      </c>
      <c r="D2040" s="118" t="s">
        <v>137</v>
      </c>
      <c r="E2040" s="118" t="s">
        <v>180</v>
      </c>
      <c r="F2040" s="118" t="s">
        <v>46</v>
      </c>
      <c r="G2040" s="153"/>
      <c r="H2040" s="155">
        <v>0.40439999999999998</v>
      </c>
      <c r="I2040" s="154" t="s">
        <v>167</v>
      </c>
      <c r="J2040" s="203">
        <v>0.12354999999999999</v>
      </c>
      <c r="K2040" s="154" t="s">
        <v>23</v>
      </c>
      <c r="L2040" s="154" t="str">
        <f>IF(OpenLCAbasic!K2040="CTUh", "Fill in Manually",IF(OR(K2040="Unit", K2040=""), "", INDEX(LookUps!$E$5:$E$12, MATCH(OpenLCAbasic!K2040,LookUps!$D$5:$D$12,0))))</f>
        <v>Global Warming Potential (GWP) - kg CO2 eq</v>
      </c>
      <c r="M2040" s="154" t="str">
        <f t="shared" si="103"/>
        <v>Low_Medium_High_Upgraded_Global Warming Potential (GWP) - kg CO2 eq_Waste Receiving and Holding; wastewater treatment unit; at updated plant - US_Base_With Amendment_Windrow</v>
      </c>
    </row>
    <row r="2041" spans="1:13" s="120" customFormat="1" x14ac:dyDescent="0.25">
      <c r="A2041" s="119"/>
      <c r="B2041" s="138" t="str">
        <f t="shared" si="101"/>
        <v>Windrow</v>
      </c>
      <c r="C2041" s="138" t="str">
        <f t="shared" si="102"/>
        <v>Base_With Amendment</v>
      </c>
      <c r="D2041" s="118" t="s">
        <v>137</v>
      </c>
      <c r="E2041" s="118" t="s">
        <v>180</v>
      </c>
      <c r="F2041" s="118" t="s">
        <v>46</v>
      </c>
      <c r="G2041" s="153"/>
      <c r="H2041" s="155">
        <v>0.18690000000000001</v>
      </c>
      <c r="I2041" s="154" t="s">
        <v>54</v>
      </c>
      <c r="J2041" s="203">
        <v>5.7079999999999999E-2</v>
      </c>
      <c r="K2041" s="154" t="s">
        <v>23</v>
      </c>
      <c r="L2041" s="154" t="str">
        <f>IF(OpenLCAbasic!K2041="CTUh", "Fill in Manually",IF(OR(K2041="Unit", K2041=""), "", INDEX(LookUps!$E$5:$E$12, MATCH(OpenLCAbasic!K2041,LookUps!$D$5:$D$12,0))))</f>
        <v>Global Warming Potential (GWP) - kg CO2 eq</v>
      </c>
      <c r="M2041" s="154" t="str">
        <f t="shared" si="103"/>
        <v>Low_Medium_High_Upgraded_Global Warming Potential (GWP) - kg CO2 eq_Clear Cove Primary Clarification; wastewater treatment unit; at updated plant - US_Base_With Amendment_Windrow</v>
      </c>
    </row>
    <row r="2042" spans="1:13" s="120" customFormat="1" x14ac:dyDescent="0.25">
      <c r="A2042" s="119"/>
      <c r="B2042" s="138" t="str">
        <f t="shared" si="101"/>
        <v>Windrow</v>
      </c>
      <c r="C2042" s="138" t="str">
        <f t="shared" si="102"/>
        <v>Base_With Amendment</v>
      </c>
      <c r="D2042" s="118" t="s">
        <v>137</v>
      </c>
      <c r="E2042" s="118" t="s">
        <v>180</v>
      </c>
      <c r="F2042" s="118" t="s">
        <v>46</v>
      </c>
      <c r="G2042" s="153"/>
      <c r="H2042" s="155">
        <v>0.17230000000000001</v>
      </c>
      <c r="I2042" s="154" t="s">
        <v>48</v>
      </c>
      <c r="J2042" s="203">
        <v>5.2639999999999999E-2</v>
      </c>
      <c r="K2042" s="154" t="s">
        <v>23</v>
      </c>
      <c r="L2042" s="154" t="str">
        <f>IF(OpenLCAbasic!K2042="CTUh", "Fill in Manually",IF(OR(K2042="Unit", K2042=""), "", INDEX(LookUps!$E$5:$E$12, MATCH(OpenLCAbasic!K2042,LookUps!$D$5:$D$12,0))))</f>
        <v>Global Warming Potential (GWP) - kg CO2 eq</v>
      </c>
      <c r="M2042" s="154" t="str">
        <f t="shared" si="103"/>
        <v>Low_Medium_High_Upgraded_Global Warming Potential (GWP) - kg CO2 eq_Effluent release; wastewater treatment unit; at surface water; m3 wastewater - US_Base_With Amendment_Windrow</v>
      </c>
    </row>
    <row r="2043" spans="1:13" s="120" customFormat="1" x14ac:dyDescent="0.25">
      <c r="A2043" s="119"/>
      <c r="B2043" s="138" t="str">
        <f t="shared" si="101"/>
        <v>Windrow</v>
      </c>
      <c r="C2043" s="138" t="str">
        <f t="shared" si="102"/>
        <v>Base_With Amendment</v>
      </c>
      <c r="D2043" s="118" t="s">
        <v>137</v>
      </c>
      <c r="E2043" s="118" t="s">
        <v>180</v>
      </c>
      <c r="F2043" s="118" t="s">
        <v>46</v>
      </c>
      <c r="G2043" s="153"/>
      <c r="H2043" s="155">
        <v>0.1653</v>
      </c>
      <c r="I2043" s="154" t="s">
        <v>147</v>
      </c>
      <c r="J2043" s="203">
        <v>5.0500000000000003E-2</v>
      </c>
      <c r="K2043" s="154" t="s">
        <v>23</v>
      </c>
      <c r="L2043" s="154" t="str">
        <f>IF(OpenLCAbasic!K2043="CTUh", "Fill in Manually",IF(OR(K2043="Unit", K2043=""), "", INDEX(LookUps!$E$5:$E$12, MATCH(OpenLCAbasic!K2043,LookUps!$D$5:$D$12,0))))</f>
        <v>Global Warming Potential (GWP) - kg CO2 eq</v>
      </c>
      <c r="M2043" s="154" t="str">
        <f t="shared" si="103"/>
        <v>Low_Medium_High_Upgraded_Global Warming Potential (GWP) - kg CO2 eq_Influent Pump Station; wastewater treatment unit; at updated plant - US_Base_With Amendment_Windrow</v>
      </c>
    </row>
    <row r="2044" spans="1:13" s="120" customFormat="1" x14ac:dyDescent="0.25">
      <c r="A2044" s="119"/>
      <c r="B2044" s="138" t="str">
        <f t="shared" si="101"/>
        <v>Windrow</v>
      </c>
      <c r="C2044" s="138" t="str">
        <f t="shared" si="102"/>
        <v>Base_With Amendment</v>
      </c>
      <c r="D2044" s="118" t="s">
        <v>137</v>
      </c>
      <c r="E2044" s="118" t="s">
        <v>180</v>
      </c>
      <c r="F2044" s="118" t="s">
        <v>46</v>
      </c>
      <c r="G2044" s="153"/>
      <c r="H2044" s="155">
        <v>0.1089</v>
      </c>
      <c r="I2044" s="154" t="s">
        <v>53</v>
      </c>
      <c r="J2044" s="203">
        <v>3.3259999999999998E-2</v>
      </c>
      <c r="K2044" s="154" t="s">
        <v>23</v>
      </c>
      <c r="L2044" s="154" t="str">
        <f>IF(OpenLCAbasic!K2044="CTUh", "Fill in Manually",IF(OR(K2044="Unit", K2044=""), "", INDEX(LookUps!$E$5:$E$12, MATCH(OpenLCAbasic!K2044,LookUps!$D$5:$D$12,0))))</f>
        <v>Global Warming Potential (GWP) - kg CO2 eq</v>
      </c>
      <c r="M2044" s="154" t="str">
        <f t="shared" si="103"/>
        <v>Low_Medium_High_Upgraded_Global Warming Potential (GWP) - kg CO2 eq_Wet Well and Sump Station; wastewater treatment unit; at updated plant - US_Base_With Amendment_Windrow</v>
      </c>
    </row>
    <row r="2045" spans="1:13" s="120" customFormat="1" x14ac:dyDescent="0.25">
      <c r="A2045" s="119"/>
      <c r="B2045" s="138" t="str">
        <f t="shared" si="101"/>
        <v>Windrow</v>
      </c>
      <c r="C2045" s="138" t="str">
        <f t="shared" si="102"/>
        <v>Base_With Amendment</v>
      </c>
      <c r="D2045" s="118" t="s">
        <v>137</v>
      </c>
      <c r="E2045" s="118" t="s">
        <v>180</v>
      </c>
      <c r="F2045" s="118" t="s">
        <v>46</v>
      </c>
      <c r="G2045" s="153"/>
      <c r="H2045" s="155">
        <v>5.5300000000000002E-2</v>
      </c>
      <c r="I2045" s="154" t="s">
        <v>60</v>
      </c>
      <c r="J2045" s="203">
        <v>1.6879999999999999E-2</v>
      </c>
      <c r="K2045" s="154" t="s">
        <v>23</v>
      </c>
      <c r="L2045" s="154" t="str">
        <f>IF(OpenLCAbasic!K2045="CTUh", "Fill in Manually",IF(OR(K2045="Unit", K2045=""), "", INDEX(LookUps!$E$5:$E$12, MATCH(OpenLCAbasic!K2045,LookUps!$D$5:$D$12,0))))</f>
        <v>Global Warming Potential (GWP) - kg CO2 eq</v>
      </c>
      <c r="M2045" s="154" t="str">
        <f t="shared" si="103"/>
        <v>Low_Medium_High_Upgraded_Global Warming Potential (GWP) - kg CO2 eq_Belt filter press; wastewater treatment unit; at updated plant - US_Base_With Amendment_Windrow</v>
      </c>
    </row>
    <row r="2046" spans="1:13" s="120" customFormat="1" x14ac:dyDescent="0.25">
      <c r="A2046" s="119"/>
      <c r="B2046" s="138" t="str">
        <f t="shared" si="101"/>
        <v>Windrow</v>
      </c>
      <c r="C2046" s="138" t="str">
        <f t="shared" si="102"/>
        <v>Base_With Amendment</v>
      </c>
      <c r="D2046" s="118" t="s">
        <v>137</v>
      </c>
      <c r="E2046" s="118" t="s">
        <v>180</v>
      </c>
      <c r="F2046" s="118" t="s">
        <v>46</v>
      </c>
      <c r="G2046" s="153"/>
      <c r="H2046" s="155">
        <v>4.7600000000000003E-2</v>
      </c>
      <c r="I2046" s="154" t="s">
        <v>57</v>
      </c>
      <c r="J2046" s="203">
        <v>1.455E-2</v>
      </c>
      <c r="K2046" s="154" t="s">
        <v>23</v>
      </c>
      <c r="L2046" s="154" t="str">
        <f>IF(OpenLCAbasic!K2046="CTUh", "Fill in Manually",IF(OR(K2046="Unit", K2046=""), "", INDEX(LookUps!$E$5:$E$12, MATCH(OpenLCAbasic!K2046,LookUps!$D$5:$D$12,0))))</f>
        <v>Global Warming Potential (GWP) - kg CO2 eq</v>
      </c>
      <c r="M2046" s="154" t="str">
        <f t="shared" si="103"/>
        <v>Low_Medium_High_Upgraded_Global Warming Potential (GWP) - kg CO2 eq_Gravity Belt Thickener; wastewater treatment unit; at updated plant - US_Base_With Amendment_Windrow</v>
      </c>
    </row>
    <row r="2047" spans="1:13" s="120" customFormat="1" x14ac:dyDescent="0.25">
      <c r="A2047" s="119"/>
      <c r="B2047" s="138" t="str">
        <f t="shared" si="101"/>
        <v>Windrow</v>
      </c>
      <c r="C2047" s="138" t="str">
        <f t="shared" si="102"/>
        <v>Base_With Amendment</v>
      </c>
      <c r="D2047" s="118" t="s">
        <v>137</v>
      </c>
      <c r="E2047" s="118" t="s">
        <v>180</v>
      </c>
      <c r="F2047" s="118" t="s">
        <v>46</v>
      </c>
      <c r="G2047" s="153"/>
      <c r="H2047" s="155">
        <v>4.4200000000000003E-2</v>
      </c>
      <c r="I2047" s="154" t="s">
        <v>128</v>
      </c>
      <c r="J2047" s="204">
        <v>1.3509999999999999E-2</v>
      </c>
      <c r="K2047" s="154" t="s">
        <v>23</v>
      </c>
      <c r="L2047" s="154" t="str">
        <f>IF(OpenLCAbasic!K2047="CTUh", "Fill in Manually",IF(OR(K2047="Unit", K2047=""), "", INDEX(LookUps!$E$5:$E$12, MATCH(OpenLCAbasic!K2047,LookUps!$D$5:$D$12,0))))</f>
        <v>Global Warming Potential (GWP) - kg CO2 eq</v>
      </c>
      <c r="M2047" s="154" t="str">
        <f t="shared" si="103"/>
        <v>Low_Medium_High_Upgraded_Global Warming Potential (GWP) - kg CO2 eq_Wastewater collection; operation and infrastructure; m3 wastewater_Base_With Amendment_Windrow</v>
      </c>
    </row>
    <row r="2048" spans="1:13" s="120" customFormat="1" x14ac:dyDescent="0.25">
      <c r="A2048" s="119"/>
      <c r="B2048" s="138" t="str">
        <f t="shared" si="101"/>
        <v>Windrow</v>
      </c>
      <c r="C2048" s="138" t="str">
        <f t="shared" si="102"/>
        <v>Base_With Amendment</v>
      </c>
      <c r="D2048" s="118" t="s">
        <v>137</v>
      </c>
      <c r="E2048" s="118" t="s">
        <v>180</v>
      </c>
      <c r="F2048" s="118" t="s">
        <v>46</v>
      </c>
      <c r="G2048" s="153"/>
      <c r="H2048" s="155">
        <v>2.7199999999999998E-2</v>
      </c>
      <c r="I2048" s="154" t="s">
        <v>148</v>
      </c>
      <c r="J2048" s="204">
        <v>8.3000000000000001E-3</v>
      </c>
      <c r="K2048" s="154" t="s">
        <v>23</v>
      </c>
      <c r="L2048" s="154" t="str">
        <f>IF(OpenLCAbasic!K2048="CTUh", "Fill in Manually",IF(OR(K2048="Unit", K2048=""), "", INDEX(LookUps!$E$5:$E$12, MATCH(OpenLCAbasic!K2048,LookUps!$D$5:$D$12,0))))</f>
        <v>Global Warming Potential (GWP) - kg CO2 eq</v>
      </c>
      <c r="M2048" s="154" t="str">
        <f t="shared" si="103"/>
        <v>Low_Medium_High_Upgraded_Global Warming Potential (GWP) - kg CO2 eq_Control Building; at upgraded wastewater treatment plant - US_Base_With Amendment_Windrow</v>
      </c>
    </row>
    <row r="2049" spans="1:13" s="120" customFormat="1" x14ac:dyDescent="0.25">
      <c r="A2049" s="119"/>
      <c r="B2049" s="138" t="str">
        <f t="shared" si="101"/>
        <v>Windrow</v>
      </c>
      <c r="C2049" s="138" t="str">
        <f t="shared" si="102"/>
        <v>Base_With Amendment</v>
      </c>
      <c r="D2049" s="118" t="s">
        <v>137</v>
      </c>
      <c r="E2049" s="118" t="s">
        <v>180</v>
      </c>
      <c r="F2049" s="118" t="s">
        <v>46</v>
      </c>
      <c r="G2049" s="153"/>
      <c r="H2049" s="155">
        <v>1.6500000000000001E-2</v>
      </c>
      <c r="I2049" s="154" t="s">
        <v>59</v>
      </c>
      <c r="J2049" s="204">
        <v>5.0400000000000002E-3</v>
      </c>
      <c r="K2049" s="154" t="s">
        <v>23</v>
      </c>
      <c r="L2049" s="154" t="str">
        <f>IF(OpenLCAbasic!K2049="CTUh", "Fill in Manually",IF(OR(K2049="Unit", K2049=""), "", INDEX(LookUps!$E$5:$E$12, MATCH(OpenLCAbasic!K2049,LookUps!$D$5:$D$12,0))))</f>
        <v>Global Warming Potential (GWP) - kg CO2 eq</v>
      </c>
      <c r="M2049" s="154" t="str">
        <f t="shared" si="103"/>
        <v>Low_Medium_High_Upgraded_Global Warming Potential (GWP) - kg CO2 eq_Blend Tank; wastewater treatment unit; at updated plant - US_Base_With Amendment_Windrow</v>
      </c>
    </row>
    <row r="2050" spans="1:13" s="120" customFormat="1" x14ac:dyDescent="0.25">
      <c r="A2050" s="119"/>
      <c r="B2050" s="138" t="str">
        <f t="shared" si="101"/>
        <v>Windrow</v>
      </c>
      <c r="C2050" s="138" t="str">
        <f t="shared" si="102"/>
        <v>Base_With Amendment</v>
      </c>
      <c r="D2050" s="118" t="s">
        <v>137</v>
      </c>
      <c r="E2050" s="118" t="s">
        <v>180</v>
      </c>
      <c r="F2050" s="118" t="s">
        <v>46</v>
      </c>
      <c r="G2050" s="153"/>
      <c r="H2050" s="155">
        <v>7.9000000000000008E-3</v>
      </c>
      <c r="I2050" s="154" t="s">
        <v>168</v>
      </c>
      <c r="J2050" s="204">
        <v>2.4099999999999998E-3</v>
      </c>
      <c r="K2050" s="154" t="s">
        <v>23</v>
      </c>
      <c r="L2050" s="154" t="str">
        <f>IF(OpenLCAbasic!K2050="CTUh", "Fill in Manually",IF(OR(K2050="Unit", K2050=""), "", INDEX(LookUps!$E$5:$E$12, MATCH(OpenLCAbasic!K2050,LookUps!$D$5:$D$12,0))))</f>
        <v>Global Warming Potential (GWP) - kg CO2 eq</v>
      </c>
      <c r="M2050" s="154" t="str">
        <f t="shared" si="103"/>
        <v>Low_Medium_High_Upgraded_Global Warming Potential (GWP) - kg CO2 eq_ClearCove SCP; wastewater treatment unit; at updated plant - US_Base_With Amendment_Windrow</v>
      </c>
    </row>
    <row r="2051" spans="1:13" s="120" customFormat="1" x14ac:dyDescent="0.25">
      <c r="A2051" s="119"/>
      <c r="B2051" s="138" t="str">
        <f t="shared" si="101"/>
        <v>Windrow</v>
      </c>
      <c r="C2051" s="138" t="str">
        <f t="shared" si="102"/>
        <v>Base_With Amendment</v>
      </c>
      <c r="D2051" s="118" t="s">
        <v>137</v>
      </c>
      <c r="E2051" s="118" t="s">
        <v>180</v>
      </c>
      <c r="F2051" s="118" t="s">
        <v>46</v>
      </c>
      <c r="G2051" s="153"/>
      <c r="H2051" s="155">
        <v>-1.9676</v>
      </c>
      <c r="I2051" s="154" t="s">
        <v>149</v>
      </c>
      <c r="J2051" s="203">
        <v>-0.60107999999999995</v>
      </c>
      <c r="K2051" s="154" t="s">
        <v>23</v>
      </c>
      <c r="L2051" s="154" t="str">
        <f>IF(OpenLCAbasic!K2051="CTUh", "Fill in Manually",IF(OR(K2051="Unit", K2051=""), "", INDEX(LookUps!$E$5:$E$12, MATCH(OpenLCAbasic!K2051,LookUps!$D$5:$D$12,0))))</f>
        <v>Global Warming Potential (GWP) - kg CO2 eq</v>
      </c>
      <c r="M2051" s="154" t="str">
        <f t="shared" si="103"/>
        <v>Low_Medium_High_Upgraded_Global Warming Potential (GWP) - kg CO2 eq_Anaerobic Digestion; wastewater treatment unit; at updated plant - US_Base_With Amendment_Windrow</v>
      </c>
    </row>
    <row r="2052" spans="1:13" s="120" customFormat="1" x14ac:dyDescent="0.25">
      <c r="A2052" s="119"/>
      <c r="B2052" s="138" t="str">
        <f t="shared" si="101"/>
        <v>Windrow</v>
      </c>
      <c r="C2052" s="138" t="str">
        <f t="shared" si="102"/>
        <v>Base_With Amendment</v>
      </c>
      <c r="D2052" s="118" t="s">
        <v>137</v>
      </c>
      <c r="E2052" s="118" t="s">
        <v>180</v>
      </c>
      <c r="F2052" s="118" t="s">
        <v>46</v>
      </c>
      <c r="G2052" s="153"/>
      <c r="H2052" s="155">
        <v>-2.0354000000000001</v>
      </c>
      <c r="I2052" s="154" t="s">
        <v>62</v>
      </c>
      <c r="J2052" s="203">
        <v>-0.62178999999999995</v>
      </c>
      <c r="K2052" s="154" t="s">
        <v>23</v>
      </c>
      <c r="L2052" s="154" t="str">
        <f>IF(OpenLCAbasic!K2052="CTUh", "Fill in Manually",IF(OR(K2052="Unit", K2052=""), "", INDEX(LookUps!$E$5:$E$12, MATCH(OpenLCAbasic!K2052,LookUps!$D$5:$D$12,0))))</f>
        <v>Global Warming Potential (GWP) - kg CO2 eq</v>
      </c>
      <c r="M2052" s="154" t="str">
        <f t="shared" si="103"/>
        <v>Low_Medium_High_Upgraded_Global Warming Potential (GWP) - kg CO2 eq_Land application of compost; wastewater treatment unit; at updated plant - US_Base_With Amendment_Windrow</v>
      </c>
    </row>
    <row r="2053" spans="1:13" s="120" customFormat="1" x14ac:dyDescent="0.25">
      <c r="A2053" s="119"/>
      <c r="B2053" s="138" t="str">
        <f t="shared" si="101"/>
        <v>Windrow</v>
      </c>
      <c r="C2053" s="138" t="str">
        <f t="shared" si="102"/>
        <v>Base_With Amendment</v>
      </c>
      <c r="D2053" s="118" t="s">
        <v>137</v>
      </c>
      <c r="E2053" s="118" t="s">
        <v>180</v>
      </c>
      <c r="F2053" s="118" t="s">
        <v>46</v>
      </c>
      <c r="G2053" s="153" t="s">
        <v>51</v>
      </c>
      <c r="H2053" s="154"/>
      <c r="I2053" s="154" t="s">
        <v>47</v>
      </c>
      <c r="J2053" s="154" t="s">
        <v>52</v>
      </c>
      <c r="K2053" s="154" t="s">
        <v>27</v>
      </c>
      <c r="L2053" s="154" t="str">
        <f>IF(OpenLCAbasic!K2053="CTUh", "Fill in Manually",IF(OR(K2053="Unit", K2053=""), "", INDEX(LookUps!$E$5:$E$12, MATCH(OpenLCAbasic!K2053,LookUps!$D$5:$D$12,0))))</f>
        <v/>
      </c>
      <c r="M2053" s="154" t="str">
        <f t="shared" si="103"/>
        <v>Low_Medium_High_Upgraded__Process_Base_With Amendment_Windrow</v>
      </c>
    </row>
    <row r="2054" spans="1:13" s="120" customFormat="1" x14ac:dyDescent="0.25">
      <c r="A2054" s="119"/>
      <c r="B2054" s="138" t="str">
        <f t="shared" ref="B2054:B2117" si="104">IF(F2054="Legacy","n.a.",IF(F2054="","","Windrow"))</f>
        <v>Windrow</v>
      </c>
      <c r="C2054" s="138" t="str">
        <f t="shared" si="102"/>
        <v>Base_With Amendment</v>
      </c>
      <c r="D2054" s="118" t="s">
        <v>137</v>
      </c>
      <c r="E2054" s="118" t="s">
        <v>180</v>
      </c>
      <c r="F2054" s="118" t="s">
        <v>46</v>
      </c>
      <c r="G2054" s="153"/>
      <c r="H2054" s="155">
        <v>0.80689999999999995</v>
      </c>
      <c r="I2054" s="154" t="s">
        <v>48</v>
      </c>
      <c r="J2054" s="203">
        <v>1.1610000000000001E-2</v>
      </c>
      <c r="K2054" s="154" t="s">
        <v>13</v>
      </c>
      <c r="L2054" s="154" t="str">
        <f>IF(OpenLCAbasic!K2054="CTUh", "Fill in Manually",IF(OR(K2054="Unit", K2054=""), "", INDEX(LookUps!$E$5:$E$12, MATCH(OpenLCAbasic!K2054,LookUps!$D$5:$D$12,0))))</f>
        <v>Eutrophication Potential (EP) - kg N eq</v>
      </c>
      <c r="M2054" s="154" t="str">
        <f t="shared" si="103"/>
        <v>Low_Medium_High_Upgraded_Eutrophication Potential (EP) - kg N eq_Effluent release; wastewater treatment unit; at surface water; m3 wastewater - US_Base_With Amendment_Windrow</v>
      </c>
    </row>
    <row r="2055" spans="1:13" s="120" customFormat="1" x14ac:dyDescent="0.25">
      <c r="A2055" s="119"/>
      <c r="B2055" s="138" t="str">
        <f t="shared" si="104"/>
        <v>Windrow</v>
      </c>
      <c r="C2055" s="138" t="str">
        <f t="shared" ref="C2055:C2118" si="105">IF(E2055&lt;&gt;"", "Base_With Amendment","")</f>
        <v>Base_With Amendment</v>
      </c>
      <c r="D2055" s="118" t="s">
        <v>137</v>
      </c>
      <c r="E2055" s="118" t="s">
        <v>180</v>
      </c>
      <c r="F2055" s="118" t="s">
        <v>46</v>
      </c>
      <c r="G2055" s="153"/>
      <c r="H2055" s="155">
        <v>0.19600000000000001</v>
      </c>
      <c r="I2055" s="154" t="s">
        <v>62</v>
      </c>
      <c r="J2055" s="204">
        <v>2.82E-3</v>
      </c>
      <c r="K2055" s="154" t="s">
        <v>13</v>
      </c>
      <c r="L2055" s="154" t="str">
        <f>IF(OpenLCAbasic!K2055="CTUh", "Fill in Manually",IF(OR(K2055="Unit", K2055=""), "", INDEX(LookUps!$E$5:$E$12, MATCH(OpenLCAbasic!K2055,LookUps!$D$5:$D$12,0))))</f>
        <v>Eutrophication Potential (EP) - kg N eq</v>
      </c>
      <c r="M2055" s="154" t="str">
        <f t="shared" ref="M2055:M2118" si="106">CONCATENATE(E2055,"_",D2055,"_",F2055,"_",L2055, "_",I2055,"_", C2055,"_", B2055)</f>
        <v>Low_Medium_High_Upgraded_Eutrophication Potential (EP) - kg N eq_Land application of compost; wastewater treatment unit; at updated plant - US_Base_With Amendment_Windrow</v>
      </c>
    </row>
    <row r="2056" spans="1:13" s="120" customFormat="1" x14ac:dyDescent="0.25">
      <c r="A2056" s="119"/>
      <c r="B2056" s="138" t="str">
        <f t="shared" si="104"/>
        <v>Windrow</v>
      </c>
      <c r="C2056" s="138" t="str">
        <f t="shared" si="105"/>
        <v>Base_With Amendment</v>
      </c>
      <c r="D2056" s="118" t="s">
        <v>137</v>
      </c>
      <c r="E2056" s="118" t="s">
        <v>180</v>
      </c>
      <c r="F2056" s="118" t="s">
        <v>46</v>
      </c>
      <c r="G2056" s="153"/>
      <c r="H2056" s="155">
        <v>3.7999999999999999E-2</v>
      </c>
      <c r="I2056" s="154" t="s">
        <v>55</v>
      </c>
      <c r="J2056" s="204">
        <v>5.5000000000000003E-4</v>
      </c>
      <c r="K2056" s="154" t="s">
        <v>13</v>
      </c>
      <c r="L2056" s="154" t="str">
        <f>IF(OpenLCAbasic!K2056="CTUh", "Fill in Manually",IF(OR(K2056="Unit", K2056=""), "", INDEX(LookUps!$E$5:$E$12, MATCH(OpenLCAbasic!K2056,LookUps!$D$5:$D$12,0))))</f>
        <v>Eutrophication Potential (EP) - kg N eq</v>
      </c>
      <c r="M2056" s="154" t="str">
        <f t="shared" si="106"/>
        <v>Low_Medium_High_Upgraded_Eutrophication Potential (EP) - kg N eq_Aeration Tanks; wastewater treatment unit; at updated plant - US_Base_With Amendment_Windrow</v>
      </c>
    </row>
    <row r="2057" spans="1:13" s="120" customFormat="1" x14ac:dyDescent="0.25">
      <c r="A2057" s="119"/>
      <c r="B2057" s="138" t="str">
        <f t="shared" si="104"/>
        <v>Windrow</v>
      </c>
      <c r="C2057" s="138" t="str">
        <f t="shared" si="105"/>
        <v>Base_With Amendment</v>
      </c>
      <c r="D2057" s="118" t="s">
        <v>137</v>
      </c>
      <c r="E2057" s="118" t="s">
        <v>180</v>
      </c>
      <c r="F2057" s="118" t="s">
        <v>46</v>
      </c>
      <c r="G2057" s="153"/>
      <c r="H2057" s="155">
        <v>1.7299999999999999E-2</v>
      </c>
      <c r="I2057" s="154" t="s">
        <v>147</v>
      </c>
      <c r="J2057" s="204">
        <v>2.5000000000000001E-4</v>
      </c>
      <c r="K2057" s="154" t="s">
        <v>13</v>
      </c>
      <c r="L2057" s="154" t="str">
        <f>IF(OpenLCAbasic!K2057="CTUh", "Fill in Manually",IF(OR(K2057="Unit", K2057=""), "", INDEX(LookUps!$E$5:$E$12, MATCH(OpenLCAbasic!K2057,LookUps!$D$5:$D$12,0))))</f>
        <v>Eutrophication Potential (EP) - kg N eq</v>
      </c>
      <c r="M2057" s="154" t="str">
        <f t="shared" si="106"/>
        <v>Low_Medium_High_Upgraded_Eutrophication Potential (EP) - kg N eq_Influent Pump Station; wastewater treatment unit; at updated plant - US_Base_With Amendment_Windrow</v>
      </c>
    </row>
    <row r="2058" spans="1:13" s="120" customFormat="1" x14ac:dyDescent="0.25">
      <c r="A2058" s="119"/>
      <c r="B2058" s="138" t="str">
        <f t="shared" si="104"/>
        <v>Windrow</v>
      </c>
      <c r="C2058" s="138" t="str">
        <f t="shared" si="105"/>
        <v>Base_With Amendment</v>
      </c>
      <c r="D2058" s="118" t="s">
        <v>137</v>
      </c>
      <c r="E2058" s="118" t="s">
        <v>180</v>
      </c>
      <c r="F2058" s="118" t="s">
        <v>46</v>
      </c>
      <c r="G2058" s="153"/>
      <c r="H2058" s="155">
        <v>1.38E-2</v>
      </c>
      <c r="I2058" s="154" t="s">
        <v>54</v>
      </c>
      <c r="J2058" s="204">
        <v>2.0000000000000001E-4</v>
      </c>
      <c r="K2058" s="154" t="s">
        <v>13</v>
      </c>
      <c r="L2058" s="154" t="str">
        <f>IF(OpenLCAbasic!K2058="CTUh", "Fill in Manually",IF(OR(K2058="Unit", K2058=""), "", INDEX(LookUps!$E$5:$E$12, MATCH(OpenLCAbasic!K2058,LookUps!$D$5:$D$12,0))))</f>
        <v>Eutrophication Potential (EP) - kg N eq</v>
      </c>
      <c r="M2058" s="154" t="str">
        <f t="shared" si="106"/>
        <v>Low_Medium_High_Upgraded_Eutrophication Potential (EP) - kg N eq_Clear Cove Primary Clarification; wastewater treatment unit; at updated plant - US_Base_With Amendment_Windrow</v>
      </c>
    </row>
    <row r="2059" spans="1:13" s="120" customFormat="1" x14ac:dyDescent="0.25">
      <c r="A2059" s="119"/>
      <c r="B2059" s="138" t="str">
        <f t="shared" si="104"/>
        <v>Windrow</v>
      </c>
      <c r="C2059" s="138" t="str">
        <f t="shared" si="105"/>
        <v>Base_With Amendment</v>
      </c>
      <c r="D2059" s="118" t="s">
        <v>137</v>
      </c>
      <c r="E2059" s="118" t="s">
        <v>180</v>
      </c>
      <c r="F2059" s="118" t="s">
        <v>46</v>
      </c>
      <c r="G2059" s="153"/>
      <c r="H2059" s="155">
        <v>1.3299999999999999E-2</v>
      </c>
      <c r="I2059" s="154" t="s">
        <v>167</v>
      </c>
      <c r="J2059" s="204">
        <v>1.9000000000000001E-4</v>
      </c>
      <c r="K2059" s="154" t="s">
        <v>13</v>
      </c>
      <c r="L2059" s="154" t="str">
        <f>IF(OpenLCAbasic!K2059="CTUh", "Fill in Manually",IF(OR(K2059="Unit", K2059=""), "", INDEX(LookUps!$E$5:$E$12, MATCH(OpenLCAbasic!K2059,LookUps!$D$5:$D$12,0))))</f>
        <v>Eutrophication Potential (EP) - kg N eq</v>
      </c>
      <c r="M2059" s="154" t="str">
        <f t="shared" si="106"/>
        <v>Low_Medium_High_Upgraded_Eutrophication Potential (EP) - kg N eq_Waste Receiving and Holding; wastewater treatment unit; at updated plant - US_Base_With Amendment_Windrow</v>
      </c>
    </row>
    <row r="2060" spans="1:13" s="120" customFormat="1" x14ac:dyDescent="0.25">
      <c r="A2060" s="119"/>
      <c r="B2060" s="138" t="str">
        <f t="shared" si="104"/>
        <v>Windrow</v>
      </c>
      <c r="C2060" s="138" t="str">
        <f t="shared" si="105"/>
        <v>Base_With Amendment</v>
      </c>
      <c r="D2060" s="118" t="s">
        <v>137</v>
      </c>
      <c r="E2060" s="118" t="s">
        <v>180</v>
      </c>
      <c r="F2060" s="118" t="s">
        <v>46</v>
      </c>
      <c r="G2060" s="153"/>
      <c r="H2060" s="155">
        <v>9.4000000000000004E-3</v>
      </c>
      <c r="I2060" s="154" t="s">
        <v>58</v>
      </c>
      <c r="J2060" s="204">
        <v>1.3999999999999999E-4</v>
      </c>
      <c r="K2060" s="154" t="s">
        <v>13</v>
      </c>
      <c r="L2060" s="154" t="str">
        <f>IF(OpenLCAbasic!K2060="CTUh", "Fill in Manually",IF(OR(K2060="Unit", K2060=""), "", INDEX(LookUps!$E$5:$E$12, MATCH(OpenLCAbasic!K2060,LookUps!$D$5:$D$12,0))))</f>
        <v>Eutrophication Potential (EP) - kg N eq</v>
      </c>
      <c r="M2060" s="154" t="str">
        <f t="shared" si="106"/>
        <v>Low_Medium_High_Upgraded_Eutrophication Potential (EP) - kg N eq_Pre-Anoxic &amp; Swing tank; wastewater treatment unit; at updated plant - US_Base_With Amendment_Windrow</v>
      </c>
    </row>
    <row r="2061" spans="1:13" s="120" customFormat="1" x14ac:dyDescent="0.25">
      <c r="A2061" s="119"/>
      <c r="B2061" s="138" t="str">
        <f t="shared" si="104"/>
        <v>Windrow</v>
      </c>
      <c r="C2061" s="138" t="str">
        <f t="shared" si="105"/>
        <v>Base_With Amendment</v>
      </c>
      <c r="D2061" s="118" t="s">
        <v>137</v>
      </c>
      <c r="E2061" s="118" t="s">
        <v>180</v>
      </c>
      <c r="F2061" s="118" t="s">
        <v>46</v>
      </c>
      <c r="G2061" s="153"/>
      <c r="H2061" s="155">
        <v>7.4999999999999997E-3</v>
      </c>
      <c r="I2061" s="154" t="s">
        <v>53</v>
      </c>
      <c r="J2061" s="204">
        <v>1.1E-4</v>
      </c>
      <c r="K2061" s="154" t="s">
        <v>13</v>
      </c>
      <c r="L2061" s="154" t="str">
        <f>IF(OpenLCAbasic!K2061="CTUh", "Fill in Manually",IF(OR(K2061="Unit", K2061=""), "", INDEX(LookUps!$E$5:$E$12, MATCH(OpenLCAbasic!K2061,LookUps!$D$5:$D$12,0))))</f>
        <v>Eutrophication Potential (EP) - kg N eq</v>
      </c>
      <c r="M2061" s="154" t="str">
        <f t="shared" si="106"/>
        <v>Low_Medium_High_Upgraded_Eutrophication Potential (EP) - kg N eq_Wet Well and Sump Station; wastewater treatment unit; at updated plant - US_Base_With Amendment_Windrow</v>
      </c>
    </row>
    <row r="2062" spans="1:13" s="120" customFormat="1" x14ac:dyDescent="0.25">
      <c r="A2062" s="119"/>
      <c r="B2062" s="138" t="str">
        <f t="shared" si="104"/>
        <v>Windrow</v>
      </c>
      <c r="C2062" s="138" t="str">
        <f t="shared" si="105"/>
        <v>Base_With Amendment</v>
      </c>
      <c r="D2062" s="118" t="s">
        <v>137</v>
      </c>
      <c r="E2062" s="118" t="s">
        <v>180</v>
      </c>
      <c r="F2062" s="118" t="s">
        <v>46</v>
      </c>
      <c r="G2062" s="153"/>
      <c r="H2062" s="155">
        <v>5.8999999999999999E-3</v>
      </c>
      <c r="I2062" s="154" t="s">
        <v>271</v>
      </c>
      <c r="J2062" s="204">
        <v>8.4723599999999996E-5</v>
      </c>
      <c r="K2062" s="154" t="s">
        <v>13</v>
      </c>
      <c r="L2062" s="154" t="str">
        <f>IF(OpenLCAbasic!K2062="CTUh", "Fill in Manually",IF(OR(K2062="Unit", K2062=""), "", INDEX(LookUps!$E$5:$E$12, MATCH(OpenLCAbasic!K2062,LookUps!$D$5:$D$12,0))))</f>
        <v>Eutrophication Potential (EP) - kg N eq</v>
      </c>
      <c r="M2062" s="154" t="str">
        <f t="shared" si="106"/>
        <v>Low_Medium_High_Upgraded_Eutrophication Potential (EP) - kg N eq_Biosolids composting; windrow composting; wastewater treatment unit; at updated plant - US_Base_With Amendment_Windrow</v>
      </c>
    </row>
    <row r="2063" spans="1:13" s="120" customFormat="1" x14ac:dyDescent="0.25">
      <c r="A2063" s="119"/>
      <c r="B2063" s="138" t="str">
        <f t="shared" si="104"/>
        <v>Windrow</v>
      </c>
      <c r="C2063" s="138" t="str">
        <f t="shared" si="105"/>
        <v>Base_With Amendment</v>
      </c>
      <c r="D2063" s="118" t="s">
        <v>137</v>
      </c>
      <c r="E2063" s="118" t="s">
        <v>180</v>
      </c>
      <c r="F2063" s="118" t="s">
        <v>46</v>
      </c>
      <c r="G2063" s="153"/>
      <c r="H2063" s="155">
        <v>4.5999999999999999E-3</v>
      </c>
      <c r="I2063" s="154" t="s">
        <v>60</v>
      </c>
      <c r="J2063" s="204">
        <v>6.69155E-5</v>
      </c>
      <c r="K2063" s="154" t="s">
        <v>13</v>
      </c>
      <c r="L2063" s="154" t="str">
        <f>IF(OpenLCAbasic!K2063="CTUh", "Fill in Manually",IF(OR(K2063="Unit", K2063=""), "", INDEX(LookUps!$E$5:$E$12, MATCH(OpenLCAbasic!K2063,LookUps!$D$5:$D$12,0))))</f>
        <v>Eutrophication Potential (EP) - kg N eq</v>
      </c>
      <c r="M2063" s="154" t="str">
        <f t="shared" si="106"/>
        <v>Low_Medium_High_Upgraded_Eutrophication Potential (EP) - kg N eq_Belt filter press; wastewater treatment unit; at updated plant - US_Base_With Amendment_Windrow</v>
      </c>
    </row>
    <row r="2064" spans="1:13" s="120" customFormat="1" x14ac:dyDescent="0.25">
      <c r="A2064" s="119"/>
      <c r="B2064" s="138" t="str">
        <f t="shared" si="104"/>
        <v>Windrow</v>
      </c>
      <c r="C2064" s="138" t="str">
        <f t="shared" si="105"/>
        <v>Base_With Amendment</v>
      </c>
      <c r="D2064" s="118" t="s">
        <v>137</v>
      </c>
      <c r="E2064" s="118" t="s">
        <v>180</v>
      </c>
      <c r="F2064" s="118" t="s">
        <v>46</v>
      </c>
      <c r="G2064" s="153"/>
      <c r="H2064" s="155">
        <v>4.1999999999999997E-3</v>
      </c>
      <c r="I2064" s="154" t="s">
        <v>57</v>
      </c>
      <c r="J2064" s="204">
        <v>6.0590300000000002E-5</v>
      </c>
      <c r="K2064" s="154" t="s">
        <v>13</v>
      </c>
      <c r="L2064" s="154" t="str">
        <f>IF(OpenLCAbasic!K2064="CTUh", "Fill in Manually",IF(OR(K2064="Unit", K2064=""), "", INDEX(LookUps!$E$5:$E$12, MATCH(OpenLCAbasic!K2064,LookUps!$D$5:$D$12,0))))</f>
        <v>Eutrophication Potential (EP) - kg N eq</v>
      </c>
      <c r="M2064" s="154" t="str">
        <f t="shared" si="106"/>
        <v>Low_Medium_High_Upgraded_Eutrophication Potential (EP) - kg N eq_Gravity Belt Thickener; wastewater treatment unit; at updated plant - US_Base_With Amendment_Windrow</v>
      </c>
    </row>
    <row r="2065" spans="1:13" s="120" customFormat="1" x14ac:dyDescent="0.25">
      <c r="A2065" s="119"/>
      <c r="B2065" s="138" t="str">
        <f t="shared" si="104"/>
        <v>Windrow</v>
      </c>
      <c r="C2065" s="138" t="str">
        <f t="shared" si="105"/>
        <v>Base_With Amendment</v>
      </c>
      <c r="D2065" s="118" t="s">
        <v>137</v>
      </c>
      <c r="E2065" s="118" t="s">
        <v>180</v>
      </c>
      <c r="F2065" s="118" t="s">
        <v>46</v>
      </c>
      <c r="G2065" s="153"/>
      <c r="H2065" s="155">
        <v>2.5999999999999999E-3</v>
      </c>
      <c r="I2065" s="154" t="s">
        <v>128</v>
      </c>
      <c r="J2065" s="204">
        <v>3.7559799999999999E-5</v>
      </c>
      <c r="K2065" s="154" t="s">
        <v>13</v>
      </c>
      <c r="L2065" s="154" t="str">
        <f>IF(OpenLCAbasic!K2065="CTUh", "Fill in Manually",IF(OR(K2065="Unit", K2065=""), "", INDEX(LookUps!$E$5:$E$12, MATCH(OpenLCAbasic!K2065,LookUps!$D$5:$D$12,0))))</f>
        <v>Eutrophication Potential (EP) - kg N eq</v>
      </c>
      <c r="M2065" s="154" t="str">
        <f t="shared" si="106"/>
        <v>Low_Medium_High_Upgraded_Eutrophication Potential (EP) - kg N eq_Wastewater collection; operation and infrastructure; m3 wastewater_Base_With Amendment_Windrow</v>
      </c>
    </row>
    <row r="2066" spans="1:13" s="120" customFormat="1" x14ac:dyDescent="0.25">
      <c r="A2066" s="119"/>
      <c r="B2066" s="138" t="str">
        <f t="shared" si="104"/>
        <v>Windrow</v>
      </c>
      <c r="C2066" s="138" t="str">
        <f t="shared" si="105"/>
        <v>Base_With Amendment</v>
      </c>
      <c r="D2066" s="118" t="s">
        <v>137</v>
      </c>
      <c r="E2066" s="118" t="s">
        <v>180</v>
      </c>
      <c r="F2066" s="118" t="s">
        <v>46</v>
      </c>
      <c r="G2066" s="153"/>
      <c r="H2066" s="155">
        <v>2.5999999999999999E-3</v>
      </c>
      <c r="I2066" s="154" t="s">
        <v>148</v>
      </c>
      <c r="J2066" s="204">
        <v>3.6874600000000001E-5</v>
      </c>
      <c r="K2066" s="154" t="s">
        <v>13</v>
      </c>
      <c r="L2066" s="154" t="str">
        <f>IF(OpenLCAbasic!K2066="CTUh", "Fill in Manually",IF(OR(K2066="Unit", K2066=""), "", INDEX(LookUps!$E$5:$E$12, MATCH(OpenLCAbasic!K2066,LookUps!$D$5:$D$12,0))))</f>
        <v>Eutrophication Potential (EP) - kg N eq</v>
      </c>
      <c r="M2066" s="154" t="str">
        <f t="shared" si="106"/>
        <v>Low_Medium_High_Upgraded_Eutrophication Potential (EP) - kg N eq_Control Building; at upgraded wastewater treatment plant - US_Base_With Amendment_Windrow</v>
      </c>
    </row>
    <row r="2067" spans="1:13" s="120" customFormat="1" x14ac:dyDescent="0.25">
      <c r="A2067" s="119"/>
      <c r="B2067" s="138" t="str">
        <f t="shared" si="104"/>
        <v>Windrow</v>
      </c>
      <c r="C2067" s="138" t="str">
        <f t="shared" si="105"/>
        <v>Base_With Amendment</v>
      </c>
      <c r="D2067" s="118" t="s">
        <v>137</v>
      </c>
      <c r="E2067" s="118" t="s">
        <v>180</v>
      </c>
      <c r="F2067" s="118" t="s">
        <v>46</v>
      </c>
      <c r="G2067" s="153"/>
      <c r="H2067" s="155">
        <v>1.1000000000000001E-3</v>
      </c>
      <c r="I2067" s="154" t="s">
        <v>59</v>
      </c>
      <c r="J2067" s="204">
        <v>1.6215700000000001E-5</v>
      </c>
      <c r="K2067" s="154" t="s">
        <v>13</v>
      </c>
      <c r="L2067" s="154" t="str">
        <f>IF(OpenLCAbasic!K2067="CTUh", "Fill in Manually",IF(OR(K2067="Unit", K2067=""), "", INDEX(LookUps!$E$5:$E$12, MATCH(OpenLCAbasic!K2067,LookUps!$D$5:$D$12,0))))</f>
        <v>Eutrophication Potential (EP) - kg N eq</v>
      </c>
      <c r="M2067" s="154" t="str">
        <f t="shared" si="106"/>
        <v>Low_Medium_High_Upgraded_Eutrophication Potential (EP) - kg N eq_Blend Tank; wastewater treatment unit; at updated plant - US_Base_With Amendment_Windrow</v>
      </c>
    </row>
    <row r="2068" spans="1:13" s="120" customFormat="1" x14ac:dyDescent="0.25">
      <c r="A2068" s="119"/>
      <c r="B2068" s="138" t="str">
        <f t="shared" si="104"/>
        <v>Windrow</v>
      </c>
      <c r="C2068" s="138" t="str">
        <f t="shared" si="105"/>
        <v>Base_With Amendment</v>
      </c>
      <c r="D2068" s="118" t="s">
        <v>137</v>
      </c>
      <c r="E2068" s="118" t="s">
        <v>180</v>
      </c>
      <c r="F2068" s="118" t="s">
        <v>46</v>
      </c>
      <c r="G2068" s="153"/>
      <c r="H2068" s="155">
        <v>5.0000000000000001E-4</v>
      </c>
      <c r="I2068" s="154" t="s">
        <v>168</v>
      </c>
      <c r="J2068" s="204">
        <v>7.7567199999999995E-6</v>
      </c>
      <c r="K2068" s="154" t="s">
        <v>13</v>
      </c>
      <c r="L2068" s="154" t="str">
        <f>IF(OpenLCAbasic!K2068="CTUh", "Fill in Manually",IF(OR(K2068="Unit", K2068=""), "", INDEX(LookUps!$E$5:$E$12, MATCH(OpenLCAbasic!K2068,LookUps!$D$5:$D$12,0))))</f>
        <v>Eutrophication Potential (EP) - kg N eq</v>
      </c>
      <c r="M2068" s="154" t="str">
        <f t="shared" si="106"/>
        <v>Low_Medium_High_Upgraded_Eutrophication Potential (EP) - kg N eq_ClearCove SCP; wastewater treatment unit; at updated plant - US_Base_With Amendment_Windrow</v>
      </c>
    </row>
    <row r="2069" spans="1:13" s="120" customFormat="1" x14ac:dyDescent="0.25">
      <c r="A2069" s="119"/>
      <c r="B2069" s="138" t="str">
        <f t="shared" si="104"/>
        <v>Windrow</v>
      </c>
      <c r="C2069" s="138" t="str">
        <f t="shared" si="105"/>
        <v>Base_With Amendment</v>
      </c>
      <c r="D2069" s="118" t="s">
        <v>137</v>
      </c>
      <c r="E2069" s="118" t="s">
        <v>180</v>
      </c>
      <c r="F2069" s="118" t="s">
        <v>46</v>
      </c>
      <c r="G2069" s="153"/>
      <c r="H2069" s="155">
        <v>-0.1237</v>
      </c>
      <c r="I2069" s="154" t="s">
        <v>149</v>
      </c>
      <c r="J2069" s="204">
        <v>-1.7799999999999999E-3</v>
      </c>
      <c r="K2069" s="154" t="s">
        <v>13</v>
      </c>
      <c r="L2069" s="154" t="str">
        <f>IF(OpenLCAbasic!K2069="CTUh", "Fill in Manually",IF(OR(K2069="Unit", K2069=""), "", INDEX(LookUps!$E$5:$E$12, MATCH(OpenLCAbasic!K2069,LookUps!$D$5:$D$12,0))))</f>
        <v>Eutrophication Potential (EP) - kg N eq</v>
      </c>
      <c r="M2069" s="154" t="str">
        <f t="shared" si="106"/>
        <v>Low_Medium_High_Upgraded_Eutrophication Potential (EP) - kg N eq_Anaerobic Digestion; wastewater treatment unit; at updated plant - US_Base_With Amendment_Windrow</v>
      </c>
    </row>
    <row r="2070" spans="1:13" s="120" customFormat="1" x14ac:dyDescent="0.25">
      <c r="A2070" s="119"/>
      <c r="B2070" s="138" t="str">
        <f t="shared" si="104"/>
        <v>Windrow</v>
      </c>
      <c r="C2070" s="138" t="str">
        <f t="shared" si="105"/>
        <v>Base_With Amendment</v>
      </c>
      <c r="D2070" s="118" t="s">
        <v>137</v>
      </c>
      <c r="E2070" s="118" t="s">
        <v>180</v>
      </c>
      <c r="F2070" s="118" t="s">
        <v>46</v>
      </c>
      <c r="G2070" s="153" t="s">
        <v>51</v>
      </c>
      <c r="H2070" s="154"/>
      <c r="I2070" s="154" t="s">
        <v>47</v>
      </c>
      <c r="J2070" s="154" t="s">
        <v>52</v>
      </c>
      <c r="K2070" s="154" t="s">
        <v>27</v>
      </c>
      <c r="L2070" s="154" t="str">
        <f>IF(OpenLCAbasic!K2070="CTUh", "Fill in Manually",IF(OR(K2070="Unit", K2070=""), "", INDEX(LookUps!$E$5:$E$12, MATCH(OpenLCAbasic!K2070,LookUps!$D$5:$D$12,0))))</f>
        <v/>
      </c>
      <c r="M2070" s="154" t="str">
        <f t="shared" si="106"/>
        <v>Low_Medium_High_Upgraded__Process_Base_With Amendment_Windrow</v>
      </c>
    </row>
    <row r="2071" spans="1:13" s="120" customFormat="1" x14ac:dyDescent="0.25">
      <c r="A2071" s="119"/>
      <c r="B2071" s="138" t="str">
        <f t="shared" si="104"/>
        <v>Windrow</v>
      </c>
      <c r="C2071" s="138" t="str">
        <f t="shared" si="105"/>
        <v>Base_With Amendment</v>
      </c>
      <c r="D2071" s="118" t="s">
        <v>137</v>
      </c>
      <c r="E2071" s="118" t="s">
        <v>180</v>
      </c>
      <c r="F2071" s="118" t="s">
        <v>46</v>
      </c>
      <c r="G2071" s="153"/>
      <c r="H2071" s="155">
        <v>1.3278000000000001</v>
      </c>
      <c r="I2071" s="154" t="s">
        <v>167</v>
      </c>
      <c r="J2071" s="157">
        <v>4.2789599999999997</v>
      </c>
      <c r="K2071" s="154" t="s">
        <v>15</v>
      </c>
      <c r="L2071" s="154" t="str">
        <f>IF(OpenLCAbasic!K2071="CTUh", "Fill in Manually",IF(OR(K2071="Unit", K2071=""), "", INDEX(LookUps!$E$5:$E$12, MATCH(OpenLCAbasic!K2071,LookUps!$D$5:$D$12,0))))</f>
        <v>Cumulative Energy Demand (CED) - MJ</v>
      </c>
      <c r="M2071" s="154" t="str">
        <f t="shared" si="106"/>
        <v>Low_Medium_High_Upgraded_Cumulative Energy Demand (CED) - MJ_Waste Receiving and Holding; wastewater treatment unit; at updated plant - US_Base_With Amendment_Windrow</v>
      </c>
    </row>
    <row r="2072" spans="1:13" s="120" customFormat="1" x14ac:dyDescent="0.25">
      <c r="A2072" s="119"/>
      <c r="B2072" s="138" t="str">
        <f t="shared" si="104"/>
        <v>Windrow</v>
      </c>
      <c r="C2072" s="138" t="str">
        <f t="shared" si="105"/>
        <v>Base_With Amendment</v>
      </c>
      <c r="D2072" s="118" t="s">
        <v>137</v>
      </c>
      <c r="E2072" s="118" t="s">
        <v>180</v>
      </c>
      <c r="F2072" s="118" t="s">
        <v>46</v>
      </c>
      <c r="G2072" s="153"/>
      <c r="H2072" s="155">
        <v>1.0964</v>
      </c>
      <c r="I2072" s="154" t="s">
        <v>55</v>
      </c>
      <c r="J2072" s="157">
        <v>3.5330499999999998</v>
      </c>
      <c r="K2072" s="154" t="s">
        <v>15</v>
      </c>
      <c r="L2072" s="154" t="str">
        <f>IF(OpenLCAbasic!K2072="CTUh", "Fill in Manually",IF(OR(K2072="Unit", K2072=""), "", INDEX(LookUps!$E$5:$E$12, MATCH(OpenLCAbasic!K2072,LookUps!$D$5:$D$12,0))))</f>
        <v>Cumulative Energy Demand (CED) - MJ</v>
      </c>
      <c r="M2072" s="154" t="str">
        <f t="shared" si="106"/>
        <v>Low_Medium_High_Upgraded_Cumulative Energy Demand (CED) - MJ_Aeration Tanks; wastewater treatment unit; at updated plant - US_Base_With Amendment_Windrow</v>
      </c>
    </row>
    <row r="2073" spans="1:13" s="120" customFormat="1" x14ac:dyDescent="0.25">
      <c r="A2073" s="119"/>
      <c r="B2073" s="138" t="str">
        <f t="shared" si="104"/>
        <v>Windrow</v>
      </c>
      <c r="C2073" s="138" t="str">
        <f t="shared" si="105"/>
        <v>Base_With Amendment</v>
      </c>
      <c r="D2073" s="118" t="s">
        <v>137</v>
      </c>
      <c r="E2073" s="118" t="s">
        <v>180</v>
      </c>
      <c r="F2073" s="118" t="s">
        <v>46</v>
      </c>
      <c r="G2073" s="153"/>
      <c r="H2073" s="155">
        <v>0.3609</v>
      </c>
      <c r="I2073" s="154" t="s">
        <v>54</v>
      </c>
      <c r="J2073" s="157">
        <v>1.16289</v>
      </c>
      <c r="K2073" s="154" t="s">
        <v>15</v>
      </c>
      <c r="L2073" s="154" t="str">
        <f>IF(OpenLCAbasic!K2073="CTUh", "Fill in Manually",IF(OR(K2073="Unit", K2073=""), "", INDEX(LookUps!$E$5:$E$12, MATCH(OpenLCAbasic!K2073,LookUps!$D$5:$D$12,0))))</f>
        <v>Cumulative Energy Demand (CED) - MJ</v>
      </c>
      <c r="M2073" s="154" t="str">
        <f t="shared" si="106"/>
        <v>Low_Medium_High_Upgraded_Cumulative Energy Demand (CED) - MJ_Clear Cove Primary Clarification; wastewater treatment unit; at updated plant - US_Base_With Amendment_Windrow</v>
      </c>
    </row>
    <row r="2074" spans="1:13" s="120" customFormat="1" x14ac:dyDescent="0.25">
      <c r="A2074" s="119"/>
      <c r="B2074" s="138" t="str">
        <f t="shared" si="104"/>
        <v>Windrow</v>
      </c>
      <c r="C2074" s="138" t="str">
        <f t="shared" si="105"/>
        <v>Base_With Amendment</v>
      </c>
      <c r="D2074" s="118" t="s">
        <v>137</v>
      </c>
      <c r="E2074" s="118" t="s">
        <v>180</v>
      </c>
      <c r="F2074" s="118" t="s">
        <v>46</v>
      </c>
      <c r="G2074" s="153"/>
      <c r="H2074" s="155">
        <v>0.27529999999999999</v>
      </c>
      <c r="I2074" s="154" t="s">
        <v>58</v>
      </c>
      <c r="J2074" s="203">
        <v>0.88705000000000001</v>
      </c>
      <c r="K2074" s="154" t="s">
        <v>15</v>
      </c>
      <c r="L2074" s="154" t="str">
        <f>IF(OpenLCAbasic!K2074="CTUh", "Fill in Manually",IF(OR(K2074="Unit", K2074=""), "", INDEX(LookUps!$E$5:$E$12, MATCH(OpenLCAbasic!K2074,LookUps!$D$5:$D$12,0))))</f>
        <v>Cumulative Energy Demand (CED) - MJ</v>
      </c>
      <c r="M2074" s="154" t="str">
        <f t="shared" si="106"/>
        <v>Low_Medium_High_Upgraded_Cumulative Energy Demand (CED) - MJ_Pre-Anoxic &amp; Swing tank; wastewater treatment unit; at updated plant - US_Base_With Amendment_Windrow</v>
      </c>
    </row>
    <row r="2075" spans="1:13" s="120" customFormat="1" x14ac:dyDescent="0.25">
      <c r="A2075" s="119"/>
      <c r="B2075" s="138" t="str">
        <f t="shared" si="104"/>
        <v>Windrow</v>
      </c>
      <c r="C2075" s="138" t="str">
        <f t="shared" si="105"/>
        <v>Base_With Amendment</v>
      </c>
      <c r="D2075" s="118" t="s">
        <v>137</v>
      </c>
      <c r="E2075" s="118" t="s">
        <v>180</v>
      </c>
      <c r="F2075" s="118" t="s">
        <v>46</v>
      </c>
      <c r="G2075" s="153"/>
      <c r="H2075" s="155">
        <v>0.27400000000000002</v>
      </c>
      <c r="I2075" s="154" t="s">
        <v>147</v>
      </c>
      <c r="J2075" s="203">
        <v>0.88297000000000003</v>
      </c>
      <c r="K2075" s="154" t="s">
        <v>15</v>
      </c>
      <c r="L2075" s="154" t="str">
        <f>IF(OpenLCAbasic!K2075="CTUh", "Fill in Manually",IF(OR(K2075="Unit", K2075=""), "", INDEX(LookUps!$E$5:$E$12, MATCH(OpenLCAbasic!K2075,LookUps!$D$5:$D$12,0))))</f>
        <v>Cumulative Energy Demand (CED) - MJ</v>
      </c>
      <c r="M2075" s="154" t="str">
        <f t="shared" si="106"/>
        <v>Low_Medium_High_Upgraded_Cumulative Energy Demand (CED) - MJ_Influent Pump Station; wastewater treatment unit; at updated plant - US_Base_With Amendment_Windrow</v>
      </c>
    </row>
    <row r="2076" spans="1:13" s="120" customFormat="1" x14ac:dyDescent="0.25">
      <c r="A2076" s="119"/>
      <c r="B2076" s="138" t="str">
        <f t="shared" si="104"/>
        <v>Windrow</v>
      </c>
      <c r="C2076" s="138" t="str">
        <f t="shared" si="105"/>
        <v>Base_With Amendment</v>
      </c>
      <c r="D2076" s="118" t="s">
        <v>137</v>
      </c>
      <c r="E2076" s="118" t="s">
        <v>180</v>
      </c>
      <c r="F2076" s="118" t="s">
        <v>46</v>
      </c>
      <c r="G2076" s="153"/>
      <c r="H2076" s="155">
        <v>0.21609999999999999</v>
      </c>
      <c r="I2076" s="154" t="s">
        <v>53</v>
      </c>
      <c r="J2076" s="203">
        <v>0.69645000000000001</v>
      </c>
      <c r="K2076" s="154" t="s">
        <v>15</v>
      </c>
      <c r="L2076" s="154" t="str">
        <f>IF(OpenLCAbasic!K2076="CTUh", "Fill in Manually",IF(OR(K2076="Unit", K2076=""), "", INDEX(LookUps!$E$5:$E$12, MATCH(OpenLCAbasic!K2076,LookUps!$D$5:$D$12,0))))</f>
        <v>Cumulative Energy Demand (CED) - MJ</v>
      </c>
      <c r="M2076" s="154" t="str">
        <f t="shared" si="106"/>
        <v>Low_Medium_High_Upgraded_Cumulative Energy Demand (CED) - MJ_Wet Well and Sump Station; wastewater treatment unit; at updated plant - US_Base_With Amendment_Windrow</v>
      </c>
    </row>
    <row r="2077" spans="1:13" s="120" customFormat="1" x14ac:dyDescent="0.25">
      <c r="A2077" s="119"/>
      <c r="B2077" s="138" t="str">
        <f t="shared" si="104"/>
        <v>Windrow</v>
      </c>
      <c r="C2077" s="138" t="str">
        <f t="shared" si="105"/>
        <v>Base_With Amendment</v>
      </c>
      <c r="D2077" s="118" t="s">
        <v>137</v>
      </c>
      <c r="E2077" s="118" t="s">
        <v>180</v>
      </c>
      <c r="F2077" s="118" t="s">
        <v>46</v>
      </c>
      <c r="G2077" s="153"/>
      <c r="H2077" s="155">
        <v>0.1182</v>
      </c>
      <c r="I2077" s="154" t="s">
        <v>60</v>
      </c>
      <c r="J2077" s="203">
        <v>0.38092999999999999</v>
      </c>
      <c r="K2077" s="154" t="s">
        <v>15</v>
      </c>
      <c r="L2077" s="154" t="str">
        <f>IF(OpenLCAbasic!K2077="CTUh", "Fill in Manually",IF(OR(K2077="Unit", K2077=""), "", INDEX(LookUps!$E$5:$E$12, MATCH(OpenLCAbasic!K2077,LookUps!$D$5:$D$12,0))))</f>
        <v>Cumulative Energy Demand (CED) - MJ</v>
      </c>
      <c r="M2077" s="154" t="str">
        <f t="shared" si="106"/>
        <v>Low_Medium_High_Upgraded_Cumulative Energy Demand (CED) - MJ_Belt filter press; wastewater treatment unit; at updated plant - US_Base_With Amendment_Windrow</v>
      </c>
    </row>
    <row r="2078" spans="1:13" s="120" customFormat="1" x14ac:dyDescent="0.25">
      <c r="A2078" s="119"/>
      <c r="B2078" s="138" t="str">
        <f t="shared" si="104"/>
        <v>Windrow</v>
      </c>
      <c r="C2078" s="138" t="str">
        <f t="shared" si="105"/>
        <v>Base_With Amendment</v>
      </c>
      <c r="D2078" s="118" t="s">
        <v>137</v>
      </c>
      <c r="E2078" s="118" t="s">
        <v>180</v>
      </c>
      <c r="F2078" s="118" t="s">
        <v>46</v>
      </c>
      <c r="G2078" s="153"/>
      <c r="H2078" s="155">
        <v>0.1037</v>
      </c>
      <c r="I2078" s="154" t="s">
        <v>57</v>
      </c>
      <c r="J2078" s="203">
        <v>0.33404</v>
      </c>
      <c r="K2078" s="154" t="s">
        <v>15</v>
      </c>
      <c r="L2078" s="154" t="str">
        <f>IF(OpenLCAbasic!K2078="CTUh", "Fill in Manually",IF(OR(K2078="Unit", K2078=""), "", INDEX(LookUps!$E$5:$E$12, MATCH(OpenLCAbasic!K2078,LookUps!$D$5:$D$12,0))))</f>
        <v>Cumulative Energy Demand (CED) - MJ</v>
      </c>
      <c r="M2078" s="154" t="str">
        <f t="shared" si="106"/>
        <v>Low_Medium_High_Upgraded_Cumulative Energy Demand (CED) - MJ_Gravity Belt Thickener; wastewater treatment unit; at updated plant - US_Base_With Amendment_Windrow</v>
      </c>
    </row>
    <row r="2079" spans="1:13" s="120" customFormat="1" x14ac:dyDescent="0.25">
      <c r="A2079" s="119"/>
      <c r="B2079" s="138" t="str">
        <f t="shared" si="104"/>
        <v>Windrow</v>
      </c>
      <c r="C2079" s="138" t="str">
        <f t="shared" si="105"/>
        <v>Base_With Amendment</v>
      </c>
      <c r="D2079" s="118" t="s">
        <v>137</v>
      </c>
      <c r="E2079" s="118" t="s">
        <v>180</v>
      </c>
      <c r="F2079" s="118" t="s">
        <v>46</v>
      </c>
      <c r="G2079" s="153"/>
      <c r="H2079" s="155">
        <v>7.9500000000000001E-2</v>
      </c>
      <c r="I2079" s="154" t="s">
        <v>128</v>
      </c>
      <c r="J2079" s="203">
        <v>0.25606000000000001</v>
      </c>
      <c r="K2079" s="154" t="s">
        <v>15</v>
      </c>
      <c r="L2079" s="154" t="str">
        <f>IF(OpenLCAbasic!K2079="CTUh", "Fill in Manually",IF(OR(K2079="Unit", K2079=""), "", INDEX(LookUps!$E$5:$E$12, MATCH(OpenLCAbasic!K2079,LookUps!$D$5:$D$12,0))))</f>
        <v>Cumulative Energy Demand (CED) - MJ</v>
      </c>
      <c r="M2079" s="154" t="str">
        <f t="shared" si="106"/>
        <v>Low_Medium_High_Upgraded_Cumulative Energy Demand (CED) - MJ_Wastewater collection; operation and infrastructure; m3 wastewater_Base_With Amendment_Windrow</v>
      </c>
    </row>
    <row r="2080" spans="1:13" s="120" customFormat="1" x14ac:dyDescent="0.25">
      <c r="A2080" s="119"/>
      <c r="B2080" s="138" t="str">
        <f t="shared" si="104"/>
        <v>Windrow</v>
      </c>
      <c r="C2080" s="138" t="str">
        <f t="shared" si="105"/>
        <v>Base_With Amendment</v>
      </c>
      <c r="D2080" s="118" t="s">
        <v>137</v>
      </c>
      <c r="E2080" s="118" t="s">
        <v>180</v>
      </c>
      <c r="F2080" s="118" t="s">
        <v>46</v>
      </c>
      <c r="G2080" s="153"/>
      <c r="H2080" s="155">
        <v>4.53E-2</v>
      </c>
      <c r="I2080" s="154" t="s">
        <v>148</v>
      </c>
      <c r="J2080" s="203">
        <v>0.14599000000000001</v>
      </c>
      <c r="K2080" s="154" t="s">
        <v>15</v>
      </c>
      <c r="L2080" s="154" t="str">
        <f>IF(OpenLCAbasic!K2080="CTUh", "Fill in Manually",IF(OR(K2080="Unit", K2080=""), "", INDEX(LookUps!$E$5:$E$12, MATCH(OpenLCAbasic!K2080,LookUps!$D$5:$D$12,0))))</f>
        <v>Cumulative Energy Demand (CED) - MJ</v>
      </c>
      <c r="M2080" s="154" t="str">
        <f t="shared" si="106"/>
        <v>Low_Medium_High_Upgraded_Cumulative Energy Demand (CED) - MJ_Control Building; at upgraded wastewater treatment plant - US_Base_With Amendment_Windrow</v>
      </c>
    </row>
    <row r="2081" spans="1:13" s="120" customFormat="1" x14ac:dyDescent="0.25">
      <c r="A2081" s="119"/>
      <c r="B2081" s="138" t="str">
        <f t="shared" si="104"/>
        <v>Windrow</v>
      </c>
      <c r="C2081" s="138" t="str">
        <f t="shared" si="105"/>
        <v>Base_With Amendment</v>
      </c>
      <c r="D2081" s="118" t="s">
        <v>137</v>
      </c>
      <c r="E2081" s="118" t="s">
        <v>180</v>
      </c>
      <c r="F2081" s="118" t="s">
        <v>46</v>
      </c>
      <c r="G2081" s="153"/>
      <c r="H2081" s="155">
        <v>4.1300000000000003E-2</v>
      </c>
      <c r="I2081" s="154" t="s">
        <v>48</v>
      </c>
      <c r="J2081" s="203">
        <v>0.13321</v>
      </c>
      <c r="K2081" s="154" t="s">
        <v>15</v>
      </c>
      <c r="L2081" s="154" t="str">
        <f>IF(OpenLCAbasic!K2081="CTUh", "Fill in Manually",IF(OR(K2081="Unit", K2081=""), "", INDEX(LookUps!$E$5:$E$12, MATCH(OpenLCAbasic!K2081,LookUps!$D$5:$D$12,0))))</f>
        <v>Cumulative Energy Demand (CED) - MJ</v>
      </c>
      <c r="M2081" s="154" t="str">
        <f t="shared" si="106"/>
        <v>Low_Medium_High_Upgraded_Cumulative Energy Demand (CED) - MJ_Effluent release; wastewater treatment unit; at surface water; m3 wastewater - US_Base_With Amendment_Windrow</v>
      </c>
    </row>
    <row r="2082" spans="1:13" s="120" customFormat="1" x14ac:dyDescent="0.25">
      <c r="A2082" s="119"/>
      <c r="B2082" s="138" t="str">
        <f t="shared" si="104"/>
        <v>Windrow</v>
      </c>
      <c r="C2082" s="138" t="str">
        <f t="shared" si="105"/>
        <v>Base_With Amendment</v>
      </c>
      <c r="D2082" s="118" t="s">
        <v>137</v>
      </c>
      <c r="E2082" s="118" t="s">
        <v>180</v>
      </c>
      <c r="F2082" s="118" t="s">
        <v>46</v>
      </c>
      <c r="G2082" s="153"/>
      <c r="H2082" s="155">
        <v>3.3000000000000002E-2</v>
      </c>
      <c r="I2082" s="154" t="s">
        <v>59</v>
      </c>
      <c r="J2082" s="203">
        <v>0.10638</v>
      </c>
      <c r="K2082" s="154" t="s">
        <v>15</v>
      </c>
      <c r="L2082" s="154" t="str">
        <f>IF(OpenLCAbasic!K2082="CTUh", "Fill in Manually",IF(OR(K2082="Unit", K2082=""), "", INDEX(LookUps!$E$5:$E$12, MATCH(OpenLCAbasic!K2082,LookUps!$D$5:$D$12,0))))</f>
        <v>Cumulative Energy Demand (CED) - MJ</v>
      </c>
      <c r="M2082" s="154" t="str">
        <f t="shared" si="106"/>
        <v>Low_Medium_High_Upgraded_Cumulative Energy Demand (CED) - MJ_Blend Tank; wastewater treatment unit; at updated plant - US_Base_With Amendment_Windrow</v>
      </c>
    </row>
    <row r="2083" spans="1:13" s="120" customFormat="1" x14ac:dyDescent="0.25">
      <c r="A2083" s="119"/>
      <c r="B2083" s="138" t="str">
        <f t="shared" si="104"/>
        <v>Windrow</v>
      </c>
      <c r="C2083" s="138" t="str">
        <f t="shared" si="105"/>
        <v>Base_With Amendment</v>
      </c>
      <c r="D2083" s="118" t="s">
        <v>137</v>
      </c>
      <c r="E2083" s="118" t="s">
        <v>180</v>
      </c>
      <c r="F2083" s="118" t="s">
        <v>46</v>
      </c>
      <c r="G2083" s="153"/>
      <c r="H2083" s="155">
        <v>1.5800000000000002E-2</v>
      </c>
      <c r="I2083" s="154" t="s">
        <v>168</v>
      </c>
      <c r="J2083" s="203">
        <v>5.0930000000000003E-2</v>
      </c>
      <c r="K2083" s="154" t="s">
        <v>15</v>
      </c>
      <c r="L2083" s="154" t="str">
        <f>IF(OpenLCAbasic!K2083="CTUh", "Fill in Manually",IF(OR(K2083="Unit", K2083=""), "", INDEX(LookUps!$E$5:$E$12, MATCH(OpenLCAbasic!K2083,LookUps!$D$5:$D$12,0))))</f>
        <v>Cumulative Energy Demand (CED) - MJ</v>
      </c>
      <c r="M2083" s="154" t="str">
        <f t="shared" si="106"/>
        <v>Low_Medium_High_Upgraded_Cumulative Energy Demand (CED) - MJ_ClearCove SCP; wastewater treatment unit; at updated plant - US_Base_With Amendment_Windrow</v>
      </c>
    </row>
    <row r="2084" spans="1:13" s="120" customFormat="1" x14ac:dyDescent="0.25">
      <c r="A2084" s="119"/>
      <c r="B2084" s="138" t="str">
        <f t="shared" si="104"/>
        <v>Windrow</v>
      </c>
      <c r="C2084" s="138" t="str">
        <f t="shared" si="105"/>
        <v>Base_With Amendment</v>
      </c>
      <c r="D2084" s="118" t="s">
        <v>137</v>
      </c>
      <c r="E2084" s="118" t="s">
        <v>180</v>
      </c>
      <c r="F2084" s="118" t="s">
        <v>46</v>
      </c>
      <c r="G2084" s="153"/>
      <c r="H2084" s="155">
        <v>8.3999999999999995E-3</v>
      </c>
      <c r="I2084" s="154" t="s">
        <v>271</v>
      </c>
      <c r="J2084" s="203">
        <v>2.7210000000000002E-2</v>
      </c>
      <c r="K2084" s="154" t="s">
        <v>15</v>
      </c>
      <c r="L2084" s="154" t="str">
        <f>IF(OpenLCAbasic!K2084="CTUh", "Fill in Manually",IF(OR(K2084="Unit", K2084=""), "", INDEX(LookUps!$E$5:$E$12, MATCH(OpenLCAbasic!K2084,LookUps!$D$5:$D$12,0))))</f>
        <v>Cumulative Energy Demand (CED) - MJ</v>
      </c>
      <c r="M2084" s="154" t="str">
        <f t="shared" si="106"/>
        <v>Low_Medium_High_Upgraded_Cumulative Energy Demand (CED) - MJ_Biosolids composting; windrow composting; wastewater treatment unit; at updated plant - US_Base_With Amendment_Windrow</v>
      </c>
    </row>
    <row r="2085" spans="1:13" s="120" customFormat="1" x14ac:dyDescent="0.25">
      <c r="A2085" s="119"/>
      <c r="B2085" s="138" t="str">
        <f t="shared" si="104"/>
        <v>Windrow</v>
      </c>
      <c r="C2085" s="138" t="str">
        <f t="shared" si="105"/>
        <v>Base_With Amendment</v>
      </c>
      <c r="D2085" s="118" t="s">
        <v>137</v>
      </c>
      <c r="E2085" s="118" t="s">
        <v>180</v>
      </c>
      <c r="F2085" s="118" t="s">
        <v>46</v>
      </c>
      <c r="G2085" s="153"/>
      <c r="H2085" s="155">
        <v>-0.19450000000000001</v>
      </c>
      <c r="I2085" s="154" t="s">
        <v>62</v>
      </c>
      <c r="J2085" s="203">
        <v>-0.62687000000000004</v>
      </c>
      <c r="K2085" s="154" t="s">
        <v>15</v>
      </c>
      <c r="L2085" s="154" t="str">
        <f>IF(OpenLCAbasic!K2085="CTUh", "Fill in Manually",IF(OR(K2085="Unit", K2085=""), "", INDEX(LookUps!$E$5:$E$12, MATCH(OpenLCAbasic!K2085,LookUps!$D$5:$D$12,0))))</f>
        <v>Cumulative Energy Demand (CED) - MJ</v>
      </c>
      <c r="M2085" s="154" t="str">
        <f t="shared" si="106"/>
        <v>Low_Medium_High_Upgraded_Cumulative Energy Demand (CED) - MJ_Land application of compost; wastewater treatment unit; at updated plant - US_Base_With Amendment_Windrow</v>
      </c>
    </row>
    <row r="2086" spans="1:13" s="120" customFormat="1" x14ac:dyDescent="0.25">
      <c r="A2086" s="119"/>
      <c r="B2086" s="138" t="str">
        <f t="shared" si="104"/>
        <v>Windrow</v>
      </c>
      <c r="C2086" s="138" t="str">
        <f t="shared" si="105"/>
        <v>Base_With Amendment</v>
      </c>
      <c r="D2086" s="118" t="s">
        <v>137</v>
      </c>
      <c r="E2086" s="118" t="s">
        <v>180</v>
      </c>
      <c r="F2086" s="118" t="s">
        <v>46</v>
      </c>
      <c r="G2086" s="153"/>
      <c r="H2086" s="155">
        <v>-4.8010999999999999</v>
      </c>
      <c r="I2086" s="154" t="s">
        <v>149</v>
      </c>
      <c r="J2086" s="206">
        <v>-15.471780000000001</v>
      </c>
      <c r="K2086" s="154" t="s">
        <v>15</v>
      </c>
      <c r="L2086" s="154" t="str">
        <f>IF(OpenLCAbasic!K2086="CTUh", "Fill in Manually",IF(OR(K2086="Unit", K2086=""), "", INDEX(LookUps!$E$5:$E$12, MATCH(OpenLCAbasic!K2086,LookUps!$D$5:$D$12,0))))</f>
        <v>Cumulative Energy Demand (CED) - MJ</v>
      </c>
      <c r="M2086" s="154" t="str">
        <f t="shared" si="106"/>
        <v>Low_Medium_High_Upgraded_Cumulative Energy Demand (CED) - MJ_Anaerobic Digestion; wastewater treatment unit; at updated plant - US_Base_With Amendment_Windrow</v>
      </c>
    </row>
    <row r="2087" spans="1:13" s="120" customFormat="1" x14ac:dyDescent="0.25">
      <c r="A2087" s="119"/>
      <c r="B2087" s="138" t="str">
        <f t="shared" si="104"/>
        <v>Windrow</v>
      </c>
      <c r="C2087" s="138" t="str">
        <f t="shared" si="105"/>
        <v>Base_With Amendment</v>
      </c>
      <c r="D2087" s="118" t="s">
        <v>137</v>
      </c>
      <c r="E2087" s="118" t="s">
        <v>180</v>
      </c>
      <c r="F2087" s="118" t="s">
        <v>46</v>
      </c>
      <c r="G2087" s="153" t="s">
        <v>51</v>
      </c>
      <c r="H2087" s="154"/>
      <c r="I2087" s="154" t="s">
        <v>47</v>
      </c>
      <c r="J2087" s="154" t="s">
        <v>52</v>
      </c>
      <c r="K2087" s="154" t="s">
        <v>27</v>
      </c>
      <c r="L2087" s="154" t="str">
        <f>IF(OpenLCAbasic!K2087="CTUh", "Fill in Manually",IF(OR(K2087="Unit", K2087=""), "", INDEX(LookUps!$E$5:$E$12, MATCH(OpenLCAbasic!K2087,LookUps!$D$5:$D$12,0))))</f>
        <v/>
      </c>
      <c r="M2087" s="154" t="str">
        <f t="shared" si="106"/>
        <v>Low_Medium_High_Upgraded__Process_Base_With Amendment_Windrow</v>
      </c>
    </row>
    <row r="2088" spans="1:13" s="120" customFormat="1" x14ac:dyDescent="0.25">
      <c r="A2088" s="119"/>
      <c r="B2088" s="138" t="str">
        <f t="shared" si="104"/>
        <v>Windrow</v>
      </c>
      <c r="C2088" s="138" t="str">
        <f t="shared" si="105"/>
        <v>Base_With Amendment</v>
      </c>
      <c r="D2088" s="118" t="s">
        <v>137</v>
      </c>
      <c r="E2088" s="118" t="s">
        <v>180</v>
      </c>
      <c r="F2088" s="118" t="s">
        <v>46</v>
      </c>
      <c r="G2088" s="153"/>
      <c r="H2088" s="155">
        <v>1.2295</v>
      </c>
      <c r="I2088" s="154" t="s">
        <v>55</v>
      </c>
      <c r="J2088" s="203">
        <v>1.7219999999999999E-2</v>
      </c>
      <c r="K2088" s="154" t="s">
        <v>24</v>
      </c>
      <c r="L2088" s="154" t="str">
        <f>IF(OpenLCAbasic!K2088="CTUh", "Fill in Manually",IF(OR(K2088="Unit", K2088=""), "", INDEX(LookUps!$E$5:$E$12, MATCH(OpenLCAbasic!K2088,LookUps!$D$5:$D$12,0))))</f>
        <v>Acidification Potential (AP) - kg SO2 eq</v>
      </c>
      <c r="M2088" s="154" t="str">
        <f t="shared" si="106"/>
        <v>Low_Medium_High_Upgraded_Acidification Potential (AP) - kg SO2 eq_Aeration Tanks; wastewater treatment unit; at updated plant - US_Base_With Amendment_Windrow</v>
      </c>
    </row>
    <row r="2089" spans="1:13" s="120" customFormat="1" x14ac:dyDescent="0.25">
      <c r="A2089" s="119"/>
      <c r="B2089" s="138" t="str">
        <f t="shared" si="104"/>
        <v>Windrow</v>
      </c>
      <c r="C2089" s="138" t="str">
        <f t="shared" si="105"/>
        <v>Base_With Amendment</v>
      </c>
      <c r="D2089" s="118" t="s">
        <v>137</v>
      </c>
      <c r="E2089" s="118" t="s">
        <v>180</v>
      </c>
      <c r="F2089" s="118" t="s">
        <v>46</v>
      </c>
      <c r="G2089" s="153"/>
      <c r="H2089" s="155">
        <v>0.35560000000000003</v>
      </c>
      <c r="I2089" s="154" t="s">
        <v>54</v>
      </c>
      <c r="J2089" s="204">
        <v>4.9800000000000001E-3</v>
      </c>
      <c r="K2089" s="154" t="s">
        <v>24</v>
      </c>
      <c r="L2089" s="154" t="str">
        <f>IF(OpenLCAbasic!K2089="CTUh", "Fill in Manually",IF(OR(K2089="Unit", K2089=""), "", INDEX(LookUps!$E$5:$E$12, MATCH(OpenLCAbasic!K2089,LookUps!$D$5:$D$12,0))))</f>
        <v>Acidification Potential (AP) - kg SO2 eq</v>
      </c>
      <c r="M2089" s="154" t="str">
        <f t="shared" si="106"/>
        <v>Low_Medium_High_Upgraded_Acidification Potential (AP) - kg SO2 eq_Clear Cove Primary Clarification; wastewater treatment unit; at updated plant - US_Base_With Amendment_Windrow</v>
      </c>
    </row>
    <row r="2090" spans="1:13" s="120" customFormat="1" x14ac:dyDescent="0.25">
      <c r="A2090" s="119"/>
      <c r="B2090" s="138" t="str">
        <f t="shared" si="104"/>
        <v>Windrow</v>
      </c>
      <c r="C2090" s="138" t="str">
        <f t="shared" si="105"/>
        <v>Base_With Amendment</v>
      </c>
      <c r="D2090" s="118" t="s">
        <v>137</v>
      </c>
      <c r="E2090" s="118" t="s">
        <v>180</v>
      </c>
      <c r="F2090" s="118" t="s">
        <v>46</v>
      </c>
      <c r="G2090" s="153"/>
      <c r="H2090" s="155">
        <v>0.31030000000000002</v>
      </c>
      <c r="I2090" s="154" t="s">
        <v>58</v>
      </c>
      <c r="J2090" s="204">
        <v>4.3499999999999997E-3</v>
      </c>
      <c r="K2090" s="154" t="s">
        <v>24</v>
      </c>
      <c r="L2090" s="154" t="str">
        <f>IF(OpenLCAbasic!K2090="CTUh", "Fill in Manually",IF(OR(K2090="Unit", K2090=""), "", INDEX(LookUps!$E$5:$E$12, MATCH(OpenLCAbasic!K2090,LookUps!$D$5:$D$12,0))))</f>
        <v>Acidification Potential (AP) - kg SO2 eq</v>
      </c>
      <c r="M2090" s="154" t="str">
        <f t="shared" si="106"/>
        <v>Low_Medium_High_Upgraded_Acidification Potential (AP) - kg SO2 eq_Pre-Anoxic &amp; Swing tank; wastewater treatment unit; at updated plant - US_Base_With Amendment_Windrow</v>
      </c>
    </row>
    <row r="2091" spans="1:13" s="120" customFormat="1" x14ac:dyDescent="0.25">
      <c r="A2091" s="119"/>
      <c r="B2091" s="138" t="str">
        <f t="shared" si="104"/>
        <v>Windrow</v>
      </c>
      <c r="C2091" s="138" t="str">
        <f t="shared" si="105"/>
        <v>Base_With Amendment</v>
      </c>
      <c r="D2091" s="118" t="s">
        <v>137</v>
      </c>
      <c r="E2091" s="118" t="s">
        <v>180</v>
      </c>
      <c r="F2091" s="118" t="s">
        <v>46</v>
      </c>
      <c r="G2091" s="153"/>
      <c r="H2091" s="155">
        <v>0.28149999999999997</v>
      </c>
      <c r="I2091" s="154" t="s">
        <v>62</v>
      </c>
      <c r="J2091" s="204">
        <v>3.9399999999999999E-3</v>
      </c>
      <c r="K2091" s="154" t="s">
        <v>24</v>
      </c>
      <c r="L2091" s="154" t="str">
        <f>IF(OpenLCAbasic!K2091="CTUh", "Fill in Manually",IF(OR(K2091="Unit", K2091=""), "", INDEX(LookUps!$E$5:$E$12, MATCH(OpenLCAbasic!K2091,LookUps!$D$5:$D$12,0))))</f>
        <v>Acidification Potential (AP) - kg SO2 eq</v>
      </c>
      <c r="M2091" s="154" t="str">
        <f t="shared" si="106"/>
        <v>Low_Medium_High_Upgraded_Acidification Potential (AP) - kg SO2 eq_Land application of compost; wastewater treatment unit; at updated plant - US_Base_With Amendment_Windrow</v>
      </c>
    </row>
    <row r="2092" spans="1:13" s="120" customFormat="1" x14ac:dyDescent="0.25">
      <c r="A2092" s="119"/>
      <c r="B2092" s="138" t="str">
        <f t="shared" si="104"/>
        <v>Windrow</v>
      </c>
      <c r="C2092" s="138" t="str">
        <f t="shared" si="105"/>
        <v>Base_With Amendment</v>
      </c>
      <c r="D2092" s="118" t="s">
        <v>137</v>
      </c>
      <c r="E2092" s="118" t="s">
        <v>180</v>
      </c>
      <c r="F2092" s="118" t="s">
        <v>46</v>
      </c>
      <c r="G2092" s="153"/>
      <c r="H2092" s="155">
        <v>0.24640000000000001</v>
      </c>
      <c r="I2092" s="154" t="s">
        <v>53</v>
      </c>
      <c r="J2092" s="204">
        <v>3.4499999999999999E-3</v>
      </c>
      <c r="K2092" s="154" t="s">
        <v>24</v>
      </c>
      <c r="L2092" s="154" t="str">
        <f>IF(OpenLCAbasic!K2092="CTUh", "Fill in Manually",IF(OR(K2092="Unit", K2092=""), "", INDEX(LookUps!$E$5:$E$12, MATCH(OpenLCAbasic!K2092,LookUps!$D$5:$D$12,0))))</f>
        <v>Acidification Potential (AP) - kg SO2 eq</v>
      </c>
      <c r="M2092" s="154" t="str">
        <f t="shared" si="106"/>
        <v>Low_Medium_High_Upgraded_Acidification Potential (AP) - kg SO2 eq_Wet Well and Sump Station; wastewater treatment unit; at updated plant - US_Base_With Amendment_Windrow</v>
      </c>
    </row>
    <row r="2093" spans="1:13" s="120" customFormat="1" x14ac:dyDescent="0.25">
      <c r="A2093" s="119"/>
      <c r="B2093" s="138" t="str">
        <f t="shared" si="104"/>
        <v>Windrow</v>
      </c>
      <c r="C2093" s="138" t="str">
        <f t="shared" si="105"/>
        <v>Base_With Amendment</v>
      </c>
      <c r="D2093" s="118" t="s">
        <v>137</v>
      </c>
      <c r="E2093" s="118" t="s">
        <v>180</v>
      </c>
      <c r="F2093" s="118" t="s">
        <v>46</v>
      </c>
      <c r="G2093" s="153"/>
      <c r="H2093" s="155">
        <v>0.1807</v>
      </c>
      <c r="I2093" s="154" t="s">
        <v>167</v>
      </c>
      <c r="J2093" s="204">
        <v>2.5300000000000001E-3</v>
      </c>
      <c r="K2093" s="154" t="s">
        <v>24</v>
      </c>
      <c r="L2093" s="154" t="str">
        <f>IF(OpenLCAbasic!K2093="CTUh", "Fill in Manually",IF(OR(K2093="Unit", K2093=""), "", INDEX(LookUps!$E$5:$E$12, MATCH(OpenLCAbasic!K2093,LookUps!$D$5:$D$12,0))))</f>
        <v>Acidification Potential (AP) - kg SO2 eq</v>
      </c>
      <c r="M2093" s="154" t="str">
        <f t="shared" si="106"/>
        <v>Low_Medium_High_Upgraded_Acidification Potential (AP) - kg SO2 eq_Waste Receiving and Holding; wastewater treatment unit; at updated plant - US_Base_With Amendment_Windrow</v>
      </c>
    </row>
    <row r="2094" spans="1:13" s="120" customFormat="1" x14ac:dyDescent="0.25">
      <c r="A2094" s="119"/>
      <c r="B2094" s="138" t="str">
        <f t="shared" si="104"/>
        <v>Windrow</v>
      </c>
      <c r="C2094" s="138" t="str">
        <f t="shared" si="105"/>
        <v>Base_With Amendment</v>
      </c>
      <c r="D2094" s="118" t="s">
        <v>137</v>
      </c>
      <c r="E2094" s="118" t="s">
        <v>180</v>
      </c>
      <c r="F2094" s="118" t="s">
        <v>46</v>
      </c>
      <c r="G2094" s="153"/>
      <c r="H2094" s="155">
        <v>0.1477</v>
      </c>
      <c r="I2094" s="154" t="s">
        <v>147</v>
      </c>
      <c r="J2094" s="204">
        <v>2.0699999999999998E-3</v>
      </c>
      <c r="K2094" s="154" t="s">
        <v>24</v>
      </c>
      <c r="L2094" s="154" t="str">
        <f>IF(OpenLCAbasic!K2094="CTUh", "Fill in Manually",IF(OR(K2094="Unit", K2094=""), "", INDEX(LookUps!$E$5:$E$12, MATCH(OpenLCAbasic!K2094,LookUps!$D$5:$D$12,0))))</f>
        <v>Acidification Potential (AP) - kg SO2 eq</v>
      </c>
      <c r="M2094" s="154" t="str">
        <f t="shared" si="106"/>
        <v>Low_Medium_High_Upgraded_Acidification Potential (AP) - kg SO2 eq_Influent Pump Station; wastewater treatment unit; at updated plant - US_Base_With Amendment_Windrow</v>
      </c>
    </row>
    <row r="2095" spans="1:13" s="120" customFormat="1" x14ac:dyDescent="0.25">
      <c r="A2095" s="119"/>
      <c r="B2095" s="138" t="str">
        <f t="shared" si="104"/>
        <v>Windrow</v>
      </c>
      <c r="C2095" s="138" t="str">
        <f t="shared" si="105"/>
        <v>Base_With Amendment</v>
      </c>
      <c r="D2095" s="118" t="s">
        <v>137</v>
      </c>
      <c r="E2095" s="118" t="s">
        <v>180</v>
      </c>
      <c r="F2095" s="118" t="s">
        <v>46</v>
      </c>
      <c r="G2095" s="153"/>
      <c r="H2095" s="155">
        <v>9.6299999999999997E-2</v>
      </c>
      <c r="I2095" s="154" t="s">
        <v>271</v>
      </c>
      <c r="J2095" s="204">
        <v>1.3500000000000001E-3</v>
      </c>
      <c r="K2095" s="154" t="s">
        <v>24</v>
      </c>
      <c r="L2095" s="154" t="str">
        <f>IF(OpenLCAbasic!K2095="CTUh", "Fill in Manually",IF(OR(K2095="Unit", K2095=""), "", INDEX(LookUps!$E$5:$E$12, MATCH(OpenLCAbasic!K2095,LookUps!$D$5:$D$12,0))))</f>
        <v>Acidification Potential (AP) - kg SO2 eq</v>
      </c>
      <c r="M2095" s="154" t="str">
        <f t="shared" si="106"/>
        <v>Low_Medium_High_Upgraded_Acidification Potential (AP) - kg SO2 eq_Biosolids composting; windrow composting; wastewater treatment unit; at updated plant - US_Base_With Amendment_Windrow</v>
      </c>
    </row>
    <row r="2096" spans="1:13" s="120" customFormat="1" x14ac:dyDescent="0.25">
      <c r="A2096" s="119"/>
      <c r="B2096" s="138" t="str">
        <f t="shared" si="104"/>
        <v>Windrow</v>
      </c>
      <c r="C2096" s="138" t="str">
        <f t="shared" si="105"/>
        <v>Base_With Amendment</v>
      </c>
      <c r="D2096" s="118" t="s">
        <v>137</v>
      </c>
      <c r="E2096" s="118" t="s">
        <v>180</v>
      </c>
      <c r="F2096" s="118" t="s">
        <v>46</v>
      </c>
      <c r="G2096" s="153"/>
      <c r="H2096" s="155">
        <v>8.7999999999999995E-2</v>
      </c>
      <c r="I2096" s="154" t="s">
        <v>128</v>
      </c>
      <c r="J2096" s="204">
        <v>1.23E-3</v>
      </c>
      <c r="K2096" s="154" t="s">
        <v>24</v>
      </c>
      <c r="L2096" s="154" t="str">
        <f>IF(OpenLCAbasic!K2096="CTUh", "Fill in Manually",IF(OR(K2096="Unit", K2096=""), "", INDEX(LookUps!$E$5:$E$12, MATCH(OpenLCAbasic!K2096,LookUps!$D$5:$D$12,0))))</f>
        <v>Acidification Potential (AP) - kg SO2 eq</v>
      </c>
      <c r="M2096" s="154" t="str">
        <f t="shared" si="106"/>
        <v>Low_Medium_High_Upgraded_Acidification Potential (AP) - kg SO2 eq_Wastewater collection; operation and infrastructure; m3 wastewater_Base_With Amendment_Windrow</v>
      </c>
    </row>
    <row r="2097" spans="1:13" s="120" customFormat="1" x14ac:dyDescent="0.25">
      <c r="A2097" s="119"/>
      <c r="B2097" s="138" t="str">
        <f t="shared" si="104"/>
        <v>Windrow</v>
      </c>
      <c r="C2097" s="138" t="str">
        <f t="shared" si="105"/>
        <v>Base_With Amendment</v>
      </c>
      <c r="D2097" s="118" t="s">
        <v>137</v>
      </c>
      <c r="E2097" s="118" t="s">
        <v>180</v>
      </c>
      <c r="F2097" s="118" t="s">
        <v>46</v>
      </c>
      <c r="G2097" s="153"/>
      <c r="H2097" s="155">
        <v>7.2800000000000004E-2</v>
      </c>
      <c r="I2097" s="154" t="s">
        <v>60</v>
      </c>
      <c r="J2097" s="204">
        <v>1.0200000000000001E-3</v>
      </c>
      <c r="K2097" s="154" t="s">
        <v>24</v>
      </c>
      <c r="L2097" s="154" t="str">
        <f>IF(OpenLCAbasic!K2097="CTUh", "Fill in Manually",IF(OR(K2097="Unit", K2097=""), "", INDEX(LookUps!$E$5:$E$12, MATCH(OpenLCAbasic!K2097,LookUps!$D$5:$D$12,0))))</f>
        <v>Acidification Potential (AP) - kg SO2 eq</v>
      </c>
      <c r="M2097" s="154" t="str">
        <f t="shared" si="106"/>
        <v>Low_Medium_High_Upgraded_Acidification Potential (AP) - kg SO2 eq_Belt filter press; wastewater treatment unit; at updated plant - US_Base_With Amendment_Windrow</v>
      </c>
    </row>
    <row r="2098" spans="1:13" s="120" customFormat="1" x14ac:dyDescent="0.25">
      <c r="A2098" s="119"/>
      <c r="B2098" s="138" t="str">
        <f t="shared" si="104"/>
        <v>Windrow</v>
      </c>
      <c r="C2098" s="138" t="str">
        <f t="shared" si="105"/>
        <v>Base_With Amendment</v>
      </c>
      <c r="D2098" s="118" t="s">
        <v>137</v>
      </c>
      <c r="E2098" s="118" t="s">
        <v>180</v>
      </c>
      <c r="F2098" s="118" t="s">
        <v>46</v>
      </c>
      <c r="G2098" s="153"/>
      <c r="H2098" s="155">
        <v>5.0299999999999997E-2</v>
      </c>
      <c r="I2098" s="154" t="s">
        <v>57</v>
      </c>
      <c r="J2098" s="204">
        <v>6.9999999999999999E-4</v>
      </c>
      <c r="K2098" s="154" t="s">
        <v>24</v>
      </c>
      <c r="L2098" s="154" t="str">
        <f>IF(OpenLCAbasic!K2098="CTUh", "Fill in Manually",IF(OR(K2098="Unit", K2098=""), "", INDEX(LookUps!$E$5:$E$12, MATCH(OpenLCAbasic!K2098,LookUps!$D$5:$D$12,0))))</f>
        <v>Acidification Potential (AP) - kg SO2 eq</v>
      </c>
      <c r="M2098" s="154" t="str">
        <f t="shared" si="106"/>
        <v>Low_Medium_High_Upgraded_Acidification Potential (AP) - kg SO2 eq_Gravity Belt Thickener; wastewater treatment unit; at updated plant - US_Base_With Amendment_Windrow</v>
      </c>
    </row>
    <row r="2099" spans="1:13" s="120" customFormat="1" x14ac:dyDescent="0.25">
      <c r="A2099" s="119"/>
      <c r="B2099" s="138" t="str">
        <f t="shared" si="104"/>
        <v>Windrow</v>
      </c>
      <c r="C2099" s="138" t="str">
        <f t="shared" si="105"/>
        <v>Base_With Amendment</v>
      </c>
      <c r="D2099" s="118" t="s">
        <v>137</v>
      </c>
      <c r="E2099" s="118" t="s">
        <v>180</v>
      </c>
      <c r="F2099" s="118" t="s">
        <v>46</v>
      </c>
      <c r="G2099" s="153"/>
      <c r="H2099" s="155">
        <v>3.6900000000000002E-2</v>
      </c>
      <c r="I2099" s="154" t="s">
        <v>59</v>
      </c>
      <c r="J2099" s="204">
        <v>5.1999999999999995E-4</v>
      </c>
      <c r="K2099" s="154" t="s">
        <v>24</v>
      </c>
      <c r="L2099" s="154" t="str">
        <f>IF(OpenLCAbasic!K2099="CTUh", "Fill in Manually",IF(OR(K2099="Unit", K2099=""), "", INDEX(LookUps!$E$5:$E$12, MATCH(OpenLCAbasic!K2099,LookUps!$D$5:$D$12,0))))</f>
        <v>Acidification Potential (AP) - kg SO2 eq</v>
      </c>
      <c r="M2099" s="154" t="str">
        <f t="shared" si="106"/>
        <v>Low_Medium_High_Upgraded_Acidification Potential (AP) - kg SO2 eq_Blend Tank; wastewater treatment unit; at updated plant - US_Base_With Amendment_Windrow</v>
      </c>
    </row>
    <row r="2100" spans="1:13" s="120" customFormat="1" x14ac:dyDescent="0.25">
      <c r="A2100" s="119"/>
      <c r="B2100" s="138" t="str">
        <f t="shared" si="104"/>
        <v>Windrow</v>
      </c>
      <c r="C2100" s="138" t="str">
        <f t="shared" si="105"/>
        <v>Base_With Amendment</v>
      </c>
      <c r="D2100" s="118" t="s">
        <v>137</v>
      </c>
      <c r="E2100" s="118" t="s">
        <v>180</v>
      </c>
      <c r="F2100" s="118" t="s">
        <v>46</v>
      </c>
      <c r="G2100" s="153"/>
      <c r="H2100" s="155">
        <v>2.47E-2</v>
      </c>
      <c r="I2100" s="154" t="s">
        <v>48</v>
      </c>
      <c r="J2100" s="204">
        <v>3.5E-4</v>
      </c>
      <c r="K2100" s="154" t="s">
        <v>24</v>
      </c>
      <c r="L2100" s="154" t="str">
        <f>IF(OpenLCAbasic!K2100="CTUh", "Fill in Manually",IF(OR(K2100="Unit", K2100=""), "", INDEX(LookUps!$E$5:$E$12, MATCH(OpenLCAbasic!K2100,LookUps!$D$5:$D$12,0))))</f>
        <v>Acidification Potential (AP) - kg SO2 eq</v>
      </c>
      <c r="M2100" s="154" t="str">
        <f t="shared" si="106"/>
        <v>Low_Medium_High_Upgraded_Acidification Potential (AP) - kg SO2 eq_Effluent release; wastewater treatment unit; at surface water; m3 wastewater - US_Base_With Amendment_Windrow</v>
      </c>
    </row>
    <row r="2101" spans="1:13" s="120" customFormat="1" x14ac:dyDescent="0.25">
      <c r="A2101" s="119"/>
      <c r="B2101" s="138" t="str">
        <f t="shared" si="104"/>
        <v>Windrow</v>
      </c>
      <c r="C2101" s="138" t="str">
        <f t="shared" si="105"/>
        <v>Base_With Amendment</v>
      </c>
      <c r="D2101" s="118" t="s">
        <v>137</v>
      </c>
      <c r="E2101" s="118" t="s">
        <v>180</v>
      </c>
      <c r="F2101" s="118" t="s">
        <v>46</v>
      </c>
      <c r="G2101" s="153"/>
      <c r="H2101" s="155">
        <v>1.8200000000000001E-2</v>
      </c>
      <c r="I2101" s="154" t="s">
        <v>168</v>
      </c>
      <c r="J2101" s="204">
        <v>2.5999999999999998E-4</v>
      </c>
      <c r="K2101" s="154" t="s">
        <v>24</v>
      </c>
      <c r="L2101" s="154" t="str">
        <f>IF(OpenLCAbasic!K2101="CTUh", "Fill in Manually",IF(OR(K2101="Unit", K2101=""), "", INDEX(LookUps!$E$5:$E$12, MATCH(OpenLCAbasic!K2101,LookUps!$D$5:$D$12,0))))</f>
        <v>Acidification Potential (AP) - kg SO2 eq</v>
      </c>
      <c r="M2101" s="154" t="str">
        <f t="shared" si="106"/>
        <v>Low_Medium_High_Upgraded_Acidification Potential (AP) - kg SO2 eq_ClearCove SCP; wastewater treatment unit; at updated plant - US_Base_With Amendment_Windrow</v>
      </c>
    </row>
    <row r="2102" spans="1:13" s="120" customFormat="1" x14ac:dyDescent="0.25">
      <c r="A2102" s="119"/>
      <c r="B2102" s="138" t="str">
        <f t="shared" si="104"/>
        <v>Windrow</v>
      </c>
      <c r="C2102" s="138" t="str">
        <f t="shared" si="105"/>
        <v>Base_With Amendment</v>
      </c>
      <c r="D2102" s="118" t="s">
        <v>137</v>
      </c>
      <c r="E2102" s="118" t="s">
        <v>180</v>
      </c>
      <c r="F2102" s="118" t="s">
        <v>46</v>
      </c>
      <c r="G2102" s="153"/>
      <c r="H2102" s="155">
        <v>2.8999999999999998E-3</v>
      </c>
      <c r="I2102" s="154" t="s">
        <v>148</v>
      </c>
      <c r="J2102" s="204">
        <v>4.0354700000000002E-5</v>
      </c>
      <c r="K2102" s="154" t="s">
        <v>24</v>
      </c>
      <c r="L2102" s="154" t="str">
        <f>IF(OpenLCAbasic!K2102="CTUh", "Fill in Manually",IF(OR(K2102="Unit", K2102=""), "", INDEX(LookUps!$E$5:$E$12, MATCH(OpenLCAbasic!K2102,LookUps!$D$5:$D$12,0))))</f>
        <v>Acidification Potential (AP) - kg SO2 eq</v>
      </c>
      <c r="M2102" s="154" t="str">
        <f t="shared" si="106"/>
        <v>Low_Medium_High_Upgraded_Acidification Potential (AP) - kg SO2 eq_Control Building; at upgraded wastewater treatment plant - US_Base_With Amendment_Windrow</v>
      </c>
    </row>
    <row r="2103" spans="1:13" s="120" customFormat="1" x14ac:dyDescent="0.25">
      <c r="A2103" s="119"/>
      <c r="B2103" s="138" t="str">
        <f t="shared" si="104"/>
        <v>Windrow</v>
      </c>
      <c r="C2103" s="138" t="str">
        <f t="shared" si="105"/>
        <v>Base_With Amendment</v>
      </c>
      <c r="D2103" s="118" t="s">
        <v>137</v>
      </c>
      <c r="E2103" s="118" t="s">
        <v>180</v>
      </c>
      <c r="F2103" s="118" t="s">
        <v>46</v>
      </c>
      <c r="G2103" s="153"/>
      <c r="H2103" s="155">
        <v>-4.1417999999999999</v>
      </c>
      <c r="I2103" s="154" t="s">
        <v>149</v>
      </c>
      <c r="J2103" s="203">
        <v>-5.8009999999999999E-2</v>
      </c>
      <c r="K2103" s="154" t="s">
        <v>24</v>
      </c>
      <c r="L2103" s="154" t="str">
        <f>IF(OpenLCAbasic!K2103="CTUh", "Fill in Manually",IF(OR(K2103="Unit", K2103=""), "", INDEX(LookUps!$E$5:$E$12, MATCH(OpenLCAbasic!K2103,LookUps!$D$5:$D$12,0))))</f>
        <v>Acidification Potential (AP) - kg SO2 eq</v>
      </c>
      <c r="M2103" s="154" t="str">
        <f t="shared" si="106"/>
        <v>Low_Medium_High_Upgraded_Acidification Potential (AP) - kg SO2 eq_Anaerobic Digestion; wastewater treatment unit; at updated plant - US_Base_With Amendment_Windrow</v>
      </c>
    </row>
    <row r="2104" spans="1:13" s="120" customFormat="1" x14ac:dyDescent="0.25">
      <c r="A2104" s="119"/>
      <c r="B2104" s="138" t="str">
        <f t="shared" si="104"/>
        <v>Windrow</v>
      </c>
      <c r="C2104" s="138" t="str">
        <f t="shared" si="105"/>
        <v>Base_With Amendment</v>
      </c>
      <c r="D2104" s="118" t="s">
        <v>137</v>
      </c>
      <c r="E2104" s="118" t="s">
        <v>180</v>
      </c>
      <c r="F2104" s="118" t="s">
        <v>46</v>
      </c>
      <c r="G2104" s="153" t="s">
        <v>51</v>
      </c>
      <c r="H2104" s="154"/>
      <c r="I2104" s="154" t="s">
        <v>47</v>
      </c>
      <c r="J2104" s="154" t="s">
        <v>52</v>
      </c>
      <c r="K2104" s="154" t="s">
        <v>27</v>
      </c>
      <c r="L2104" s="154" t="str">
        <f>IF(OpenLCAbasic!K2104="CTUh", "Fill in Manually",IF(OR(K2104="Unit", K2104=""), "", INDEX(LookUps!$E$5:$E$12, MATCH(OpenLCAbasic!K2104,LookUps!$D$5:$D$12,0))))</f>
        <v/>
      </c>
      <c r="M2104" s="154" t="str">
        <f t="shared" si="106"/>
        <v>Low_Medium_High_Upgraded__Process_Base_With Amendment_Windrow</v>
      </c>
    </row>
    <row r="2105" spans="1:13" s="120" customFormat="1" x14ac:dyDescent="0.25">
      <c r="A2105" s="119"/>
      <c r="B2105" s="138" t="str">
        <f t="shared" si="104"/>
        <v>Windrow</v>
      </c>
      <c r="C2105" s="138" t="str">
        <f t="shared" si="105"/>
        <v>Base_With Amendment</v>
      </c>
      <c r="D2105" s="118" t="s">
        <v>137</v>
      </c>
      <c r="E2105" s="118" t="s">
        <v>180</v>
      </c>
      <c r="F2105" s="118" t="s">
        <v>46</v>
      </c>
      <c r="G2105" s="153"/>
      <c r="H2105" s="155">
        <v>1.73</v>
      </c>
      <c r="I2105" s="154" t="s">
        <v>167</v>
      </c>
      <c r="J2105" s="203">
        <v>9.7259999999999999E-2</v>
      </c>
      <c r="K2105" s="154" t="s">
        <v>14</v>
      </c>
      <c r="L2105" s="154" t="str">
        <f>IF(OpenLCAbasic!K2105="CTUh", "Fill in Manually",IF(OR(K2105="Unit", K2105=""), "", INDEX(LookUps!$E$5:$E$12, MATCH(OpenLCAbasic!K2105,LookUps!$D$5:$D$12,0))))</f>
        <v>Fossil Depletion Potential (FDP) - kg oil eq</v>
      </c>
      <c r="M2105" s="154" t="str">
        <f t="shared" si="106"/>
        <v>Low_Medium_High_Upgraded_Fossil Depletion Potential (FDP) - kg oil eq_Waste Receiving and Holding; wastewater treatment unit; at updated plant - US_Base_With Amendment_Windrow</v>
      </c>
    </row>
    <row r="2106" spans="1:13" s="120" customFormat="1" x14ac:dyDescent="0.25">
      <c r="A2106" s="119"/>
      <c r="B2106" s="138" t="str">
        <f t="shared" si="104"/>
        <v>Windrow</v>
      </c>
      <c r="C2106" s="138" t="str">
        <f t="shared" si="105"/>
        <v>Base_With Amendment</v>
      </c>
      <c r="D2106" s="118" t="s">
        <v>137</v>
      </c>
      <c r="E2106" s="118" t="s">
        <v>180</v>
      </c>
      <c r="F2106" s="118" t="s">
        <v>46</v>
      </c>
      <c r="G2106" s="153"/>
      <c r="H2106" s="155">
        <v>1.1312</v>
      </c>
      <c r="I2106" s="154" t="s">
        <v>55</v>
      </c>
      <c r="J2106" s="203">
        <v>6.3589999999999994E-2</v>
      </c>
      <c r="K2106" s="154" t="s">
        <v>14</v>
      </c>
      <c r="L2106" s="154" t="str">
        <f>IF(OpenLCAbasic!K2106="CTUh", "Fill in Manually",IF(OR(K2106="Unit", K2106=""), "", INDEX(LookUps!$E$5:$E$12, MATCH(OpenLCAbasic!K2106,LookUps!$D$5:$D$12,0))))</f>
        <v>Fossil Depletion Potential (FDP) - kg oil eq</v>
      </c>
      <c r="M2106" s="154" t="str">
        <f t="shared" si="106"/>
        <v>Low_Medium_High_Upgraded_Fossil Depletion Potential (FDP) - kg oil eq_Aeration Tanks; wastewater treatment unit; at updated plant - US_Base_With Amendment_Windrow</v>
      </c>
    </row>
    <row r="2107" spans="1:13" s="120" customFormat="1" x14ac:dyDescent="0.25">
      <c r="A2107" s="119"/>
      <c r="B2107" s="138" t="str">
        <f t="shared" si="104"/>
        <v>Windrow</v>
      </c>
      <c r="C2107" s="138" t="str">
        <f t="shared" si="105"/>
        <v>Base_With Amendment</v>
      </c>
      <c r="D2107" s="118" t="s">
        <v>137</v>
      </c>
      <c r="E2107" s="118" t="s">
        <v>180</v>
      </c>
      <c r="F2107" s="118" t="s">
        <v>46</v>
      </c>
      <c r="G2107" s="153"/>
      <c r="H2107" s="155">
        <v>0.37440000000000001</v>
      </c>
      <c r="I2107" s="154" t="s">
        <v>54</v>
      </c>
      <c r="J2107" s="203">
        <v>2.1049999999999999E-2</v>
      </c>
      <c r="K2107" s="154" t="s">
        <v>14</v>
      </c>
      <c r="L2107" s="154" t="str">
        <f>IF(OpenLCAbasic!K2107="CTUh", "Fill in Manually",IF(OR(K2107="Unit", K2107=""), "", INDEX(LookUps!$E$5:$E$12, MATCH(OpenLCAbasic!K2107,LookUps!$D$5:$D$12,0))))</f>
        <v>Fossil Depletion Potential (FDP) - kg oil eq</v>
      </c>
      <c r="M2107" s="154" t="str">
        <f t="shared" si="106"/>
        <v>Low_Medium_High_Upgraded_Fossil Depletion Potential (FDP) - kg oil eq_Clear Cove Primary Clarification; wastewater treatment unit; at updated plant - US_Base_With Amendment_Windrow</v>
      </c>
    </row>
    <row r="2108" spans="1:13" s="120" customFormat="1" x14ac:dyDescent="0.25">
      <c r="A2108" s="119"/>
      <c r="B2108" s="138" t="str">
        <f t="shared" si="104"/>
        <v>Windrow</v>
      </c>
      <c r="C2108" s="138" t="str">
        <f t="shared" si="105"/>
        <v>Base_With Amendment</v>
      </c>
      <c r="D2108" s="118" t="s">
        <v>137</v>
      </c>
      <c r="E2108" s="118" t="s">
        <v>180</v>
      </c>
      <c r="F2108" s="118" t="s">
        <v>46</v>
      </c>
      <c r="G2108" s="153"/>
      <c r="H2108" s="155">
        <v>0.28420000000000001</v>
      </c>
      <c r="I2108" s="154" t="s">
        <v>58</v>
      </c>
      <c r="J2108" s="203">
        <v>1.5980000000000001E-2</v>
      </c>
      <c r="K2108" s="154" t="s">
        <v>14</v>
      </c>
      <c r="L2108" s="154" t="str">
        <f>IF(OpenLCAbasic!K2108="CTUh", "Fill in Manually",IF(OR(K2108="Unit", K2108=""), "", INDEX(LookUps!$E$5:$E$12, MATCH(OpenLCAbasic!K2108,LookUps!$D$5:$D$12,0))))</f>
        <v>Fossil Depletion Potential (FDP) - kg oil eq</v>
      </c>
      <c r="M2108" s="154" t="str">
        <f t="shared" si="106"/>
        <v>Low_Medium_High_Upgraded_Fossil Depletion Potential (FDP) - kg oil eq_Pre-Anoxic &amp; Swing tank; wastewater treatment unit; at updated plant - US_Base_With Amendment_Windrow</v>
      </c>
    </row>
    <row r="2109" spans="1:13" s="120" customFormat="1" x14ac:dyDescent="0.25">
      <c r="A2109" s="119"/>
      <c r="B2109" s="138" t="str">
        <f t="shared" si="104"/>
        <v>Windrow</v>
      </c>
      <c r="C2109" s="138" t="str">
        <f t="shared" si="105"/>
        <v>Base_With Amendment</v>
      </c>
      <c r="D2109" s="118" t="s">
        <v>137</v>
      </c>
      <c r="E2109" s="118" t="s">
        <v>180</v>
      </c>
      <c r="F2109" s="118" t="s">
        <v>46</v>
      </c>
      <c r="G2109" s="153"/>
      <c r="H2109" s="155">
        <v>0.26840000000000003</v>
      </c>
      <c r="I2109" s="154" t="s">
        <v>147</v>
      </c>
      <c r="J2109" s="203">
        <v>1.5089999999999999E-2</v>
      </c>
      <c r="K2109" s="154" t="s">
        <v>14</v>
      </c>
      <c r="L2109" s="154" t="str">
        <f>IF(OpenLCAbasic!K2109="CTUh", "Fill in Manually",IF(OR(K2109="Unit", K2109=""), "", INDEX(LookUps!$E$5:$E$12, MATCH(OpenLCAbasic!K2109,LookUps!$D$5:$D$12,0))))</f>
        <v>Fossil Depletion Potential (FDP) - kg oil eq</v>
      </c>
      <c r="M2109" s="154" t="str">
        <f t="shared" si="106"/>
        <v>Low_Medium_High_Upgraded_Fossil Depletion Potential (FDP) - kg oil eq_Influent Pump Station; wastewater treatment unit; at updated plant - US_Base_With Amendment_Windrow</v>
      </c>
    </row>
    <row r="2110" spans="1:13" s="120" customFormat="1" x14ac:dyDescent="0.25">
      <c r="A2110" s="119"/>
      <c r="B2110" s="138" t="str">
        <f t="shared" si="104"/>
        <v>Windrow</v>
      </c>
      <c r="C2110" s="138" t="str">
        <f t="shared" si="105"/>
        <v>Base_With Amendment</v>
      </c>
      <c r="D2110" s="118" t="s">
        <v>137</v>
      </c>
      <c r="E2110" s="118" t="s">
        <v>180</v>
      </c>
      <c r="F2110" s="118" t="s">
        <v>46</v>
      </c>
      <c r="G2110" s="153"/>
      <c r="H2110" s="155">
        <v>0.22220000000000001</v>
      </c>
      <c r="I2110" s="154" t="s">
        <v>53</v>
      </c>
      <c r="J2110" s="203">
        <v>1.2489999999999999E-2</v>
      </c>
      <c r="K2110" s="154" t="s">
        <v>14</v>
      </c>
      <c r="L2110" s="154" t="str">
        <f>IF(OpenLCAbasic!K2110="CTUh", "Fill in Manually",IF(OR(K2110="Unit", K2110=""), "", INDEX(LookUps!$E$5:$E$12, MATCH(OpenLCAbasic!K2110,LookUps!$D$5:$D$12,0))))</f>
        <v>Fossil Depletion Potential (FDP) - kg oil eq</v>
      </c>
      <c r="M2110" s="154" t="str">
        <f t="shared" si="106"/>
        <v>Low_Medium_High_Upgraded_Fossil Depletion Potential (FDP) - kg oil eq_Wet Well and Sump Station; wastewater treatment unit; at updated plant - US_Base_With Amendment_Windrow</v>
      </c>
    </row>
    <row r="2111" spans="1:13" s="120" customFormat="1" x14ac:dyDescent="0.25">
      <c r="A2111" s="119"/>
      <c r="B2111" s="138" t="str">
        <f t="shared" si="104"/>
        <v>Windrow</v>
      </c>
      <c r="C2111" s="138" t="str">
        <f t="shared" si="105"/>
        <v>Base_With Amendment</v>
      </c>
      <c r="D2111" s="118" t="s">
        <v>137</v>
      </c>
      <c r="E2111" s="118" t="s">
        <v>180</v>
      </c>
      <c r="F2111" s="118" t="s">
        <v>46</v>
      </c>
      <c r="G2111" s="153"/>
      <c r="H2111" s="155">
        <v>0.1366</v>
      </c>
      <c r="I2111" s="154" t="s">
        <v>60</v>
      </c>
      <c r="J2111" s="204">
        <v>7.6800000000000002E-3</v>
      </c>
      <c r="K2111" s="154" t="s">
        <v>14</v>
      </c>
      <c r="L2111" s="154" t="str">
        <f>IF(OpenLCAbasic!K2111="CTUh", "Fill in Manually",IF(OR(K2111="Unit", K2111=""), "", INDEX(LookUps!$E$5:$E$12, MATCH(OpenLCAbasic!K2111,LookUps!$D$5:$D$12,0))))</f>
        <v>Fossil Depletion Potential (FDP) - kg oil eq</v>
      </c>
      <c r="M2111" s="154" t="str">
        <f t="shared" si="106"/>
        <v>Low_Medium_High_Upgraded_Fossil Depletion Potential (FDP) - kg oil eq_Belt filter press; wastewater treatment unit; at updated plant - US_Base_With Amendment_Windrow</v>
      </c>
    </row>
    <row r="2112" spans="1:13" s="120" customFormat="1" x14ac:dyDescent="0.25">
      <c r="A2112" s="119"/>
      <c r="B2112" s="138" t="str">
        <f t="shared" si="104"/>
        <v>Windrow</v>
      </c>
      <c r="C2112" s="138" t="str">
        <f t="shared" si="105"/>
        <v>Base_With Amendment</v>
      </c>
      <c r="D2112" s="118" t="s">
        <v>137</v>
      </c>
      <c r="E2112" s="118" t="s">
        <v>180</v>
      </c>
      <c r="F2112" s="118" t="s">
        <v>46</v>
      </c>
      <c r="G2112" s="153"/>
      <c r="H2112" s="155">
        <v>0.123</v>
      </c>
      <c r="I2112" s="154" t="s">
        <v>57</v>
      </c>
      <c r="J2112" s="204">
        <v>6.9199999999999999E-3</v>
      </c>
      <c r="K2112" s="154" t="s">
        <v>14</v>
      </c>
      <c r="L2112" s="154" t="str">
        <f>IF(OpenLCAbasic!K2112="CTUh", "Fill in Manually",IF(OR(K2112="Unit", K2112=""), "", INDEX(LookUps!$E$5:$E$12, MATCH(OpenLCAbasic!K2112,LookUps!$D$5:$D$12,0))))</f>
        <v>Fossil Depletion Potential (FDP) - kg oil eq</v>
      </c>
      <c r="M2112" s="154" t="str">
        <f t="shared" si="106"/>
        <v>Low_Medium_High_Upgraded_Fossil Depletion Potential (FDP) - kg oil eq_Gravity Belt Thickener; wastewater treatment unit; at updated plant - US_Base_With Amendment_Windrow</v>
      </c>
    </row>
    <row r="2113" spans="1:13" s="120" customFormat="1" x14ac:dyDescent="0.25">
      <c r="A2113" s="119"/>
      <c r="B2113" s="138" t="str">
        <f t="shared" si="104"/>
        <v>Windrow</v>
      </c>
      <c r="C2113" s="138" t="str">
        <f t="shared" si="105"/>
        <v>Base_With Amendment</v>
      </c>
      <c r="D2113" s="118" t="s">
        <v>137</v>
      </c>
      <c r="E2113" s="118" t="s">
        <v>180</v>
      </c>
      <c r="F2113" s="118" t="s">
        <v>46</v>
      </c>
      <c r="G2113" s="153"/>
      <c r="H2113" s="155">
        <v>0.08</v>
      </c>
      <c r="I2113" s="154" t="s">
        <v>128</v>
      </c>
      <c r="J2113" s="204">
        <v>4.4999999999999997E-3</v>
      </c>
      <c r="K2113" s="154" t="s">
        <v>14</v>
      </c>
      <c r="L2113" s="154" t="str">
        <f>IF(OpenLCAbasic!K2113="CTUh", "Fill in Manually",IF(OR(K2113="Unit", K2113=""), "", INDEX(LookUps!$E$5:$E$12, MATCH(OpenLCAbasic!K2113,LookUps!$D$5:$D$12,0))))</f>
        <v>Fossil Depletion Potential (FDP) - kg oil eq</v>
      </c>
      <c r="M2113" s="154" t="str">
        <f t="shared" si="106"/>
        <v>Low_Medium_High_Upgraded_Fossil Depletion Potential (FDP) - kg oil eq_Wastewater collection; operation and infrastructure; m3 wastewater_Base_With Amendment_Windrow</v>
      </c>
    </row>
    <row r="2114" spans="1:13" s="120" customFormat="1" x14ac:dyDescent="0.25">
      <c r="A2114" s="119"/>
      <c r="B2114" s="138" t="str">
        <f t="shared" si="104"/>
        <v>Windrow</v>
      </c>
      <c r="C2114" s="138" t="str">
        <f t="shared" si="105"/>
        <v>Base_With Amendment</v>
      </c>
      <c r="D2114" s="118" t="s">
        <v>137</v>
      </c>
      <c r="E2114" s="118" t="s">
        <v>180</v>
      </c>
      <c r="F2114" s="118" t="s">
        <v>46</v>
      </c>
      <c r="G2114" s="153"/>
      <c r="H2114" s="155">
        <v>4.9799999999999997E-2</v>
      </c>
      <c r="I2114" s="154" t="s">
        <v>148</v>
      </c>
      <c r="J2114" s="204">
        <v>2.8E-3</v>
      </c>
      <c r="K2114" s="154" t="s">
        <v>14</v>
      </c>
      <c r="L2114" s="154" t="str">
        <f>IF(OpenLCAbasic!K2114="CTUh", "Fill in Manually",IF(OR(K2114="Unit", K2114=""), "", INDEX(LookUps!$E$5:$E$12, MATCH(OpenLCAbasic!K2114,LookUps!$D$5:$D$12,0))))</f>
        <v>Fossil Depletion Potential (FDP) - kg oil eq</v>
      </c>
      <c r="M2114" s="154" t="str">
        <f t="shared" si="106"/>
        <v>Low_Medium_High_Upgraded_Fossil Depletion Potential (FDP) - kg oil eq_Control Building; at upgraded wastewater treatment plant - US_Base_With Amendment_Windrow</v>
      </c>
    </row>
    <row r="2115" spans="1:13" s="120" customFormat="1" x14ac:dyDescent="0.25">
      <c r="A2115" s="119"/>
      <c r="B2115" s="138" t="str">
        <f t="shared" si="104"/>
        <v>Windrow</v>
      </c>
      <c r="C2115" s="138" t="str">
        <f t="shared" si="105"/>
        <v>Base_With Amendment</v>
      </c>
      <c r="D2115" s="118" t="s">
        <v>137</v>
      </c>
      <c r="E2115" s="118" t="s">
        <v>180</v>
      </c>
      <c r="F2115" s="118" t="s">
        <v>46</v>
      </c>
      <c r="G2115" s="153"/>
      <c r="H2115" s="155">
        <v>4.2000000000000003E-2</v>
      </c>
      <c r="I2115" s="154" t="s">
        <v>48</v>
      </c>
      <c r="J2115" s="204">
        <v>2.3600000000000001E-3</v>
      </c>
      <c r="K2115" s="154" t="s">
        <v>14</v>
      </c>
      <c r="L2115" s="154" t="str">
        <f>IF(OpenLCAbasic!K2115="CTUh", "Fill in Manually",IF(OR(K2115="Unit", K2115=""), "", INDEX(LookUps!$E$5:$E$12, MATCH(OpenLCAbasic!K2115,LookUps!$D$5:$D$12,0))))</f>
        <v>Fossil Depletion Potential (FDP) - kg oil eq</v>
      </c>
      <c r="M2115" s="154" t="str">
        <f t="shared" si="106"/>
        <v>Low_Medium_High_Upgraded_Fossil Depletion Potential (FDP) - kg oil eq_Effluent release; wastewater treatment unit; at surface water; m3 wastewater - US_Base_With Amendment_Windrow</v>
      </c>
    </row>
    <row r="2116" spans="1:13" s="120" customFormat="1" x14ac:dyDescent="0.25">
      <c r="A2116" s="119"/>
      <c r="B2116" s="138" t="str">
        <f t="shared" si="104"/>
        <v>Windrow</v>
      </c>
      <c r="C2116" s="138" t="str">
        <f t="shared" si="105"/>
        <v>Base_With Amendment</v>
      </c>
      <c r="D2116" s="118" t="s">
        <v>137</v>
      </c>
      <c r="E2116" s="118" t="s">
        <v>180</v>
      </c>
      <c r="F2116" s="118" t="s">
        <v>46</v>
      </c>
      <c r="G2116" s="153"/>
      <c r="H2116" s="155">
        <v>3.4099999999999998E-2</v>
      </c>
      <c r="I2116" s="154" t="s">
        <v>59</v>
      </c>
      <c r="J2116" s="204">
        <v>1.92E-3</v>
      </c>
      <c r="K2116" s="154" t="s">
        <v>14</v>
      </c>
      <c r="L2116" s="154" t="str">
        <f>IF(OpenLCAbasic!K2116="CTUh", "Fill in Manually",IF(OR(K2116="Unit", K2116=""), "", INDEX(LookUps!$E$5:$E$12, MATCH(OpenLCAbasic!K2116,LookUps!$D$5:$D$12,0))))</f>
        <v>Fossil Depletion Potential (FDP) - kg oil eq</v>
      </c>
      <c r="M2116" s="154" t="str">
        <f t="shared" si="106"/>
        <v>Low_Medium_High_Upgraded_Fossil Depletion Potential (FDP) - kg oil eq_Blend Tank; wastewater treatment unit; at updated plant - US_Base_With Amendment_Windrow</v>
      </c>
    </row>
    <row r="2117" spans="1:13" s="120" customFormat="1" x14ac:dyDescent="0.25">
      <c r="A2117" s="119"/>
      <c r="B2117" s="138" t="str">
        <f t="shared" si="104"/>
        <v>Windrow</v>
      </c>
      <c r="C2117" s="138" t="str">
        <f t="shared" si="105"/>
        <v>Base_With Amendment</v>
      </c>
      <c r="D2117" s="118" t="s">
        <v>137</v>
      </c>
      <c r="E2117" s="118" t="s">
        <v>180</v>
      </c>
      <c r="F2117" s="118" t="s">
        <v>46</v>
      </c>
      <c r="G2117" s="153"/>
      <c r="H2117" s="155">
        <v>1.6299999999999999E-2</v>
      </c>
      <c r="I2117" s="154" t="s">
        <v>168</v>
      </c>
      <c r="J2117" s="204">
        <v>9.1E-4</v>
      </c>
      <c r="K2117" s="154" t="s">
        <v>14</v>
      </c>
      <c r="L2117" s="154" t="str">
        <f>IF(OpenLCAbasic!K2117="CTUh", "Fill in Manually",IF(OR(K2117="Unit", K2117=""), "", INDEX(LookUps!$E$5:$E$12, MATCH(OpenLCAbasic!K2117,LookUps!$D$5:$D$12,0))))</f>
        <v>Fossil Depletion Potential (FDP) - kg oil eq</v>
      </c>
      <c r="M2117" s="154" t="str">
        <f t="shared" si="106"/>
        <v>Low_Medium_High_Upgraded_Fossil Depletion Potential (FDP) - kg oil eq_ClearCove SCP; wastewater treatment unit; at updated plant - US_Base_With Amendment_Windrow</v>
      </c>
    </row>
    <row r="2118" spans="1:13" s="120" customFormat="1" x14ac:dyDescent="0.25">
      <c r="A2118" s="119"/>
      <c r="B2118" s="138" t="str">
        <f t="shared" ref="B2118:B2181" si="107">IF(F2118="Legacy","n.a.",IF(F2118="","","Windrow"))</f>
        <v>Windrow</v>
      </c>
      <c r="C2118" s="138" t="str">
        <f t="shared" si="105"/>
        <v>Base_With Amendment</v>
      </c>
      <c r="D2118" s="118" t="s">
        <v>137</v>
      </c>
      <c r="E2118" s="118" t="s">
        <v>180</v>
      </c>
      <c r="F2118" s="118" t="s">
        <v>46</v>
      </c>
      <c r="G2118" s="153"/>
      <c r="H2118" s="155">
        <v>1.03E-2</v>
      </c>
      <c r="I2118" s="154" t="s">
        <v>271</v>
      </c>
      <c r="J2118" s="204">
        <v>5.8E-4</v>
      </c>
      <c r="K2118" s="154" t="s">
        <v>14</v>
      </c>
      <c r="L2118" s="154" t="str">
        <f>IF(OpenLCAbasic!K2118="CTUh", "Fill in Manually",IF(OR(K2118="Unit", K2118=""), "", INDEX(LookUps!$E$5:$E$12, MATCH(OpenLCAbasic!K2118,LookUps!$D$5:$D$12,0))))</f>
        <v>Fossil Depletion Potential (FDP) - kg oil eq</v>
      </c>
      <c r="M2118" s="154" t="str">
        <f t="shared" si="106"/>
        <v>Low_Medium_High_Upgraded_Fossil Depletion Potential (FDP) - kg oil eq_Biosolids composting; windrow composting; wastewater treatment unit; at updated plant - US_Base_With Amendment_Windrow</v>
      </c>
    </row>
    <row r="2119" spans="1:13" s="120" customFormat="1" x14ac:dyDescent="0.25">
      <c r="A2119" s="119"/>
      <c r="B2119" s="138" t="str">
        <f t="shared" si="107"/>
        <v>Windrow</v>
      </c>
      <c r="C2119" s="138" t="str">
        <f t="shared" ref="C2119:C2182" si="108">IF(E2119&lt;&gt;"", "Base_With Amendment","")</f>
        <v>Base_With Amendment</v>
      </c>
      <c r="D2119" s="118" t="s">
        <v>137</v>
      </c>
      <c r="E2119" s="118" t="s">
        <v>180</v>
      </c>
      <c r="F2119" s="118" t="s">
        <v>46</v>
      </c>
      <c r="G2119" s="153"/>
      <c r="H2119" s="155">
        <v>-0.1593</v>
      </c>
      <c r="I2119" s="154" t="s">
        <v>62</v>
      </c>
      <c r="J2119" s="203">
        <v>-8.9499999999999996E-3</v>
      </c>
      <c r="K2119" s="154" t="s">
        <v>14</v>
      </c>
      <c r="L2119" s="154" t="str">
        <f>IF(OpenLCAbasic!K2119="CTUh", "Fill in Manually",IF(OR(K2119="Unit", K2119=""), "", INDEX(LookUps!$E$5:$E$12, MATCH(OpenLCAbasic!K2119,LookUps!$D$5:$D$12,0))))</f>
        <v>Fossil Depletion Potential (FDP) - kg oil eq</v>
      </c>
      <c r="M2119" s="154" t="str">
        <f t="shared" ref="M2119:M2182" si="109">CONCATENATE(E2119,"_",D2119,"_",F2119,"_",L2119, "_",I2119,"_", C2119,"_", B2119)</f>
        <v>Low_Medium_High_Upgraded_Fossil Depletion Potential (FDP) - kg oil eq_Land application of compost; wastewater treatment unit; at updated plant - US_Base_With Amendment_Windrow</v>
      </c>
    </row>
    <row r="2120" spans="1:13" s="120" customFormat="1" x14ac:dyDescent="0.25">
      <c r="A2120" s="119"/>
      <c r="B2120" s="138" t="str">
        <f t="shared" si="107"/>
        <v>Windrow</v>
      </c>
      <c r="C2120" s="138" t="str">
        <f t="shared" si="108"/>
        <v>Base_With Amendment</v>
      </c>
      <c r="D2120" s="118" t="s">
        <v>137</v>
      </c>
      <c r="E2120" s="118" t="s">
        <v>180</v>
      </c>
      <c r="F2120" s="118" t="s">
        <v>46</v>
      </c>
      <c r="G2120" s="153"/>
      <c r="H2120" s="155">
        <v>-5.3433000000000002</v>
      </c>
      <c r="I2120" s="154" t="s">
        <v>149</v>
      </c>
      <c r="J2120" s="203">
        <v>-0.30038999999999999</v>
      </c>
      <c r="K2120" s="154" t="s">
        <v>14</v>
      </c>
      <c r="L2120" s="154" t="str">
        <f>IF(OpenLCAbasic!K2120="CTUh", "Fill in Manually",IF(OR(K2120="Unit", K2120=""), "", INDEX(LookUps!$E$5:$E$12, MATCH(OpenLCAbasic!K2120,LookUps!$D$5:$D$12,0))))</f>
        <v>Fossil Depletion Potential (FDP) - kg oil eq</v>
      </c>
      <c r="M2120" s="154" t="str">
        <f t="shared" si="109"/>
        <v>Low_Medium_High_Upgraded_Fossil Depletion Potential (FDP) - kg oil eq_Anaerobic Digestion; wastewater treatment unit; at updated plant - US_Base_With Amendment_Windrow</v>
      </c>
    </row>
    <row r="2121" spans="1:13" s="120" customFormat="1" x14ac:dyDescent="0.25">
      <c r="A2121" s="119"/>
      <c r="B2121" s="138" t="str">
        <f t="shared" si="107"/>
        <v>Windrow</v>
      </c>
      <c r="C2121" s="138" t="str">
        <f t="shared" si="108"/>
        <v>Base_With Amendment</v>
      </c>
      <c r="D2121" s="118" t="s">
        <v>137</v>
      </c>
      <c r="E2121" s="118" t="s">
        <v>180</v>
      </c>
      <c r="F2121" s="118" t="s">
        <v>46</v>
      </c>
      <c r="G2121" s="153" t="s">
        <v>51</v>
      </c>
      <c r="H2121" s="154"/>
      <c r="I2121" s="154" t="s">
        <v>47</v>
      </c>
      <c r="J2121" s="154" t="s">
        <v>52</v>
      </c>
      <c r="K2121" s="154" t="s">
        <v>27</v>
      </c>
      <c r="L2121" s="154" t="str">
        <f>IF(OpenLCAbasic!K2121="CTUh", "Fill in Manually",IF(OR(K2121="Unit", K2121=""), "", INDEX(LookUps!$E$5:$E$12, MATCH(OpenLCAbasic!K2121,LookUps!$D$5:$D$12,0))))</f>
        <v/>
      </c>
      <c r="M2121" s="154" t="str">
        <f t="shared" si="109"/>
        <v>Low_Medium_High_Upgraded__Process_Base_With Amendment_Windrow</v>
      </c>
    </row>
    <row r="2122" spans="1:13" s="120" customFormat="1" x14ac:dyDescent="0.25">
      <c r="A2122" s="119"/>
      <c r="B2122" s="138" t="str">
        <f t="shared" si="107"/>
        <v>Windrow</v>
      </c>
      <c r="C2122" s="138" t="str">
        <f t="shared" si="108"/>
        <v>Base_With Amendment</v>
      </c>
      <c r="D2122" s="118" t="s">
        <v>137</v>
      </c>
      <c r="E2122" s="118" t="s">
        <v>180</v>
      </c>
      <c r="F2122" s="118" t="s">
        <v>46</v>
      </c>
      <c r="G2122" s="153"/>
      <c r="H2122" s="155">
        <v>0.93410000000000004</v>
      </c>
      <c r="I2122" s="154" t="s">
        <v>55</v>
      </c>
      <c r="J2122" s="204">
        <v>2.33E-3</v>
      </c>
      <c r="K2122" s="154" t="s">
        <v>145</v>
      </c>
      <c r="L2122" s="154" t="str">
        <f>IF(OpenLCAbasic!K2122="CTUh", "Fill in Manually",IF(OR(K2122="Unit", K2122=""), "", INDEX(LookUps!$E$5:$E$12, MATCH(OpenLCAbasic!K2122,LookUps!$D$5:$D$12,0))))</f>
        <v>Particulate Matter Formation Potential (PMFP) - kg PM2.5 eq</v>
      </c>
      <c r="M2122" s="154" t="str">
        <f t="shared" si="109"/>
        <v>Low_Medium_High_Upgraded_Particulate Matter Formation Potential (PMFP) - kg PM2.5 eq_Aeration Tanks; wastewater treatment unit; at updated plant - US_Base_With Amendment_Windrow</v>
      </c>
    </row>
    <row r="2123" spans="1:13" s="120" customFormat="1" x14ac:dyDescent="0.25">
      <c r="A2123" s="119"/>
      <c r="B2123" s="138" t="str">
        <f t="shared" si="107"/>
        <v>Windrow</v>
      </c>
      <c r="C2123" s="138" t="str">
        <f t="shared" si="108"/>
        <v>Base_With Amendment</v>
      </c>
      <c r="D2123" s="118" t="s">
        <v>137</v>
      </c>
      <c r="E2123" s="118" t="s">
        <v>180</v>
      </c>
      <c r="F2123" s="118" t="s">
        <v>46</v>
      </c>
      <c r="G2123" s="153"/>
      <c r="H2123" s="155">
        <v>0.27179999999999999</v>
      </c>
      <c r="I2123" s="154" t="s">
        <v>54</v>
      </c>
      <c r="J2123" s="204">
        <v>6.8000000000000005E-4</v>
      </c>
      <c r="K2123" s="154" t="s">
        <v>145</v>
      </c>
      <c r="L2123" s="154" t="str">
        <f>IF(OpenLCAbasic!K2123="CTUh", "Fill in Manually",IF(OR(K2123="Unit", K2123=""), "", INDEX(LookUps!$E$5:$E$12, MATCH(OpenLCAbasic!K2123,LookUps!$D$5:$D$12,0))))</f>
        <v>Particulate Matter Formation Potential (PMFP) - kg PM2.5 eq</v>
      </c>
      <c r="M2123" s="154" t="str">
        <f t="shared" si="109"/>
        <v>Low_Medium_High_Upgraded_Particulate Matter Formation Potential (PMFP) - kg PM2.5 eq_Clear Cove Primary Clarification; wastewater treatment unit; at updated plant - US_Base_With Amendment_Windrow</v>
      </c>
    </row>
    <row r="2124" spans="1:13" s="120" customFormat="1" x14ac:dyDescent="0.25">
      <c r="A2124" s="119"/>
      <c r="B2124" s="138" t="str">
        <f t="shared" si="107"/>
        <v>Windrow</v>
      </c>
      <c r="C2124" s="138" t="str">
        <f t="shared" si="108"/>
        <v>Base_With Amendment</v>
      </c>
      <c r="D2124" s="118" t="s">
        <v>137</v>
      </c>
      <c r="E2124" s="118" t="s">
        <v>180</v>
      </c>
      <c r="F2124" s="118" t="s">
        <v>46</v>
      </c>
      <c r="G2124" s="153"/>
      <c r="H2124" s="155">
        <v>0.2356</v>
      </c>
      <c r="I2124" s="154" t="s">
        <v>58</v>
      </c>
      <c r="J2124" s="204">
        <v>5.9000000000000003E-4</v>
      </c>
      <c r="K2124" s="154" t="s">
        <v>145</v>
      </c>
      <c r="L2124" s="154" t="str">
        <f>IF(OpenLCAbasic!K2124="CTUh", "Fill in Manually",IF(OR(K2124="Unit", K2124=""), "", INDEX(LookUps!$E$5:$E$12, MATCH(OpenLCAbasic!K2124,LookUps!$D$5:$D$12,0))))</f>
        <v>Particulate Matter Formation Potential (PMFP) - kg PM2.5 eq</v>
      </c>
      <c r="M2124" s="154" t="str">
        <f t="shared" si="109"/>
        <v>Low_Medium_High_Upgraded_Particulate Matter Formation Potential (PMFP) - kg PM2.5 eq_Pre-Anoxic &amp; Swing tank; wastewater treatment unit; at updated plant - US_Base_With Amendment_Windrow</v>
      </c>
    </row>
    <row r="2125" spans="1:13" s="120" customFormat="1" x14ac:dyDescent="0.25">
      <c r="A2125" s="119"/>
      <c r="B2125" s="138" t="str">
        <f t="shared" si="107"/>
        <v>Windrow</v>
      </c>
      <c r="C2125" s="138" t="str">
        <f t="shared" si="108"/>
        <v>Base_With Amendment</v>
      </c>
      <c r="D2125" s="118" t="s">
        <v>137</v>
      </c>
      <c r="E2125" s="118" t="s">
        <v>180</v>
      </c>
      <c r="F2125" s="118" t="s">
        <v>46</v>
      </c>
      <c r="G2125" s="153"/>
      <c r="H2125" s="155">
        <v>0.18679999999999999</v>
      </c>
      <c r="I2125" s="154" t="s">
        <v>53</v>
      </c>
      <c r="J2125" s="204">
        <v>4.6999999999999999E-4</v>
      </c>
      <c r="K2125" s="154" t="s">
        <v>145</v>
      </c>
      <c r="L2125" s="154" t="str">
        <f>IF(OpenLCAbasic!K2125="CTUh", "Fill in Manually",IF(OR(K2125="Unit", K2125=""), "", INDEX(LookUps!$E$5:$E$12, MATCH(OpenLCAbasic!K2125,LookUps!$D$5:$D$12,0))))</f>
        <v>Particulate Matter Formation Potential (PMFP) - kg PM2.5 eq</v>
      </c>
      <c r="M2125" s="154" t="str">
        <f t="shared" si="109"/>
        <v>Low_Medium_High_Upgraded_Particulate Matter Formation Potential (PMFP) - kg PM2.5 eq_Wet Well and Sump Station; wastewater treatment unit; at updated plant - US_Base_With Amendment_Windrow</v>
      </c>
    </row>
    <row r="2126" spans="1:13" s="120" customFormat="1" x14ac:dyDescent="0.25">
      <c r="A2126" s="119"/>
      <c r="B2126" s="138" t="str">
        <f t="shared" si="107"/>
        <v>Windrow</v>
      </c>
      <c r="C2126" s="138" t="str">
        <f t="shared" si="108"/>
        <v>Base_With Amendment</v>
      </c>
      <c r="D2126" s="118" t="s">
        <v>137</v>
      </c>
      <c r="E2126" s="118" t="s">
        <v>180</v>
      </c>
      <c r="F2126" s="118" t="s">
        <v>46</v>
      </c>
      <c r="G2126" s="153"/>
      <c r="H2126" s="155">
        <v>0.12590000000000001</v>
      </c>
      <c r="I2126" s="154" t="s">
        <v>167</v>
      </c>
      <c r="J2126" s="204">
        <v>3.1E-4</v>
      </c>
      <c r="K2126" s="154" t="s">
        <v>145</v>
      </c>
      <c r="L2126" s="154" t="str">
        <f>IF(OpenLCAbasic!K2126="CTUh", "Fill in Manually",IF(OR(K2126="Unit", K2126=""), "", INDEX(LookUps!$E$5:$E$12, MATCH(OpenLCAbasic!K2126,LookUps!$D$5:$D$12,0))))</f>
        <v>Particulate Matter Formation Potential (PMFP) - kg PM2.5 eq</v>
      </c>
      <c r="M2126" s="154" t="str">
        <f t="shared" si="109"/>
        <v>Low_Medium_High_Upgraded_Particulate Matter Formation Potential (PMFP) - kg PM2.5 eq_Waste Receiving and Holding; wastewater treatment unit; at updated plant - US_Base_With Amendment_Windrow</v>
      </c>
    </row>
    <row r="2127" spans="1:13" s="120" customFormat="1" x14ac:dyDescent="0.25">
      <c r="A2127" s="119"/>
      <c r="B2127" s="138" t="str">
        <f t="shared" si="107"/>
        <v>Windrow</v>
      </c>
      <c r="C2127" s="138" t="str">
        <f t="shared" si="108"/>
        <v>Base_With Amendment</v>
      </c>
      <c r="D2127" s="118" t="s">
        <v>137</v>
      </c>
      <c r="E2127" s="118" t="s">
        <v>180</v>
      </c>
      <c r="F2127" s="118" t="s">
        <v>46</v>
      </c>
      <c r="G2127" s="153"/>
      <c r="H2127" s="155">
        <v>0.10680000000000001</v>
      </c>
      <c r="I2127" s="154" t="s">
        <v>147</v>
      </c>
      <c r="J2127" s="204">
        <v>2.7E-4</v>
      </c>
      <c r="K2127" s="154" t="s">
        <v>145</v>
      </c>
      <c r="L2127" s="154" t="str">
        <f>IF(OpenLCAbasic!K2127="CTUh", "Fill in Manually",IF(OR(K2127="Unit", K2127=""), "", INDEX(LookUps!$E$5:$E$12, MATCH(OpenLCAbasic!K2127,LookUps!$D$5:$D$12,0))))</f>
        <v>Particulate Matter Formation Potential (PMFP) - kg PM2.5 eq</v>
      </c>
      <c r="M2127" s="154" t="str">
        <f t="shared" si="109"/>
        <v>Low_Medium_High_Upgraded_Particulate Matter Formation Potential (PMFP) - kg PM2.5 eq_Influent Pump Station; wastewater treatment unit; at updated plant - US_Base_With Amendment_Windrow</v>
      </c>
    </row>
    <row r="2128" spans="1:13" s="120" customFormat="1" x14ac:dyDescent="0.25">
      <c r="A2128" s="119"/>
      <c r="B2128" s="138" t="str">
        <f t="shared" si="107"/>
        <v>Windrow</v>
      </c>
      <c r="C2128" s="138" t="str">
        <f t="shared" si="108"/>
        <v>Base_With Amendment</v>
      </c>
      <c r="D2128" s="118" t="s">
        <v>137</v>
      </c>
      <c r="E2128" s="118" t="s">
        <v>180</v>
      </c>
      <c r="F2128" s="118" t="s">
        <v>46</v>
      </c>
      <c r="G2128" s="153"/>
      <c r="H2128" s="155">
        <v>6.6600000000000006E-2</v>
      </c>
      <c r="I2128" s="154" t="s">
        <v>128</v>
      </c>
      <c r="J2128" s="204">
        <v>1.7000000000000001E-4</v>
      </c>
      <c r="K2128" s="154" t="s">
        <v>145</v>
      </c>
      <c r="L2128" s="154" t="str">
        <f>IF(OpenLCAbasic!K2128="CTUh", "Fill in Manually",IF(OR(K2128="Unit", K2128=""), "", INDEX(LookUps!$E$5:$E$12, MATCH(OpenLCAbasic!K2128,LookUps!$D$5:$D$12,0))))</f>
        <v>Particulate Matter Formation Potential (PMFP) - kg PM2.5 eq</v>
      </c>
      <c r="M2128" s="154" t="str">
        <f t="shared" si="109"/>
        <v>Low_Medium_High_Upgraded_Particulate Matter Formation Potential (PMFP) - kg PM2.5 eq_Wastewater collection; operation and infrastructure; m3 wastewater_Base_With Amendment_Windrow</v>
      </c>
    </row>
    <row r="2129" spans="1:13" s="120" customFormat="1" x14ac:dyDescent="0.25">
      <c r="A2129" s="119"/>
      <c r="B2129" s="138" t="str">
        <f t="shared" si="107"/>
        <v>Windrow</v>
      </c>
      <c r="C2129" s="138" t="str">
        <f t="shared" si="108"/>
        <v>Base_With Amendment</v>
      </c>
      <c r="D2129" s="118" t="s">
        <v>137</v>
      </c>
      <c r="E2129" s="118" t="s">
        <v>180</v>
      </c>
      <c r="F2129" s="118" t="s">
        <v>46</v>
      </c>
      <c r="G2129" s="153"/>
      <c r="H2129" s="155">
        <v>5.5199999999999999E-2</v>
      </c>
      <c r="I2129" s="154" t="s">
        <v>60</v>
      </c>
      <c r="J2129" s="204">
        <v>1.3999999999999999E-4</v>
      </c>
      <c r="K2129" s="154" t="s">
        <v>145</v>
      </c>
      <c r="L2129" s="154" t="str">
        <f>IF(OpenLCAbasic!K2129="CTUh", "Fill in Manually",IF(OR(K2129="Unit", K2129=""), "", INDEX(LookUps!$E$5:$E$12, MATCH(OpenLCAbasic!K2129,LookUps!$D$5:$D$12,0))))</f>
        <v>Particulate Matter Formation Potential (PMFP) - kg PM2.5 eq</v>
      </c>
      <c r="M2129" s="154" t="str">
        <f t="shared" si="109"/>
        <v>Low_Medium_High_Upgraded_Particulate Matter Formation Potential (PMFP) - kg PM2.5 eq_Belt filter press; wastewater treatment unit; at updated plant - US_Base_With Amendment_Windrow</v>
      </c>
    </row>
    <row r="2130" spans="1:13" s="120" customFormat="1" x14ac:dyDescent="0.25">
      <c r="A2130" s="119"/>
      <c r="B2130" s="138" t="str">
        <f t="shared" si="107"/>
        <v>Windrow</v>
      </c>
      <c r="C2130" s="138" t="str">
        <f t="shared" si="108"/>
        <v>Base_With Amendment</v>
      </c>
      <c r="D2130" s="118" t="s">
        <v>137</v>
      </c>
      <c r="E2130" s="118" t="s">
        <v>180</v>
      </c>
      <c r="F2130" s="118" t="s">
        <v>46</v>
      </c>
      <c r="G2130" s="153"/>
      <c r="H2130" s="155">
        <v>3.8100000000000002E-2</v>
      </c>
      <c r="I2130" s="154" t="s">
        <v>57</v>
      </c>
      <c r="J2130" s="204">
        <v>9.5153800000000004E-5</v>
      </c>
      <c r="K2130" s="154" t="s">
        <v>145</v>
      </c>
      <c r="L2130" s="154" t="str">
        <f>IF(OpenLCAbasic!K2130="CTUh", "Fill in Manually",IF(OR(K2130="Unit", K2130=""), "", INDEX(LookUps!$E$5:$E$12, MATCH(OpenLCAbasic!K2130,LookUps!$D$5:$D$12,0))))</f>
        <v>Particulate Matter Formation Potential (PMFP) - kg PM2.5 eq</v>
      </c>
      <c r="M2130" s="154" t="str">
        <f t="shared" si="109"/>
        <v>Low_Medium_High_Upgraded_Particulate Matter Formation Potential (PMFP) - kg PM2.5 eq_Gravity Belt Thickener; wastewater treatment unit; at updated plant - US_Base_With Amendment_Windrow</v>
      </c>
    </row>
    <row r="2131" spans="1:13" s="120" customFormat="1" x14ac:dyDescent="0.25">
      <c r="A2131" s="119"/>
      <c r="B2131" s="138" t="str">
        <f t="shared" si="107"/>
        <v>Windrow</v>
      </c>
      <c r="C2131" s="138" t="str">
        <f t="shared" si="108"/>
        <v>Base_With Amendment</v>
      </c>
      <c r="D2131" s="118" t="s">
        <v>137</v>
      </c>
      <c r="E2131" s="118" t="s">
        <v>180</v>
      </c>
      <c r="F2131" s="118" t="s">
        <v>46</v>
      </c>
      <c r="G2131" s="153"/>
      <c r="H2131" s="155">
        <v>2.8000000000000001E-2</v>
      </c>
      <c r="I2131" s="154" t="s">
        <v>59</v>
      </c>
      <c r="J2131" s="204">
        <v>6.9942200000000003E-5</v>
      </c>
      <c r="K2131" s="154" t="s">
        <v>145</v>
      </c>
      <c r="L2131" s="154" t="str">
        <f>IF(OpenLCAbasic!K2131="CTUh", "Fill in Manually",IF(OR(K2131="Unit", K2131=""), "", INDEX(LookUps!$E$5:$E$12, MATCH(OpenLCAbasic!K2131,LookUps!$D$5:$D$12,0))))</f>
        <v>Particulate Matter Formation Potential (PMFP) - kg PM2.5 eq</v>
      </c>
      <c r="M2131" s="154" t="str">
        <f t="shared" si="109"/>
        <v>Low_Medium_High_Upgraded_Particulate Matter Formation Potential (PMFP) - kg PM2.5 eq_Blend Tank; wastewater treatment unit; at updated plant - US_Base_With Amendment_Windrow</v>
      </c>
    </row>
    <row r="2132" spans="1:13" s="120" customFormat="1" x14ac:dyDescent="0.25">
      <c r="A2132" s="119"/>
      <c r="B2132" s="138" t="str">
        <f t="shared" si="107"/>
        <v>Windrow</v>
      </c>
      <c r="C2132" s="138" t="str">
        <f t="shared" si="108"/>
        <v>Base_With Amendment</v>
      </c>
      <c r="D2132" s="118" t="s">
        <v>137</v>
      </c>
      <c r="E2132" s="118" t="s">
        <v>180</v>
      </c>
      <c r="F2132" s="118" t="s">
        <v>46</v>
      </c>
      <c r="G2132" s="153"/>
      <c r="H2132" s="155">
        <v>2.76E-2</v>
      </c>
      <c r="I2132" s="154" t="s">
        <v>62</v>
      </c>
      <c r="J2132" s="204">
        <v>6.8921800000000001E-5</v>
      </c>
      <c r="K2132" s="154" t="s">
        <v>145</v>
      </c>
      <c r="L2132" s="154" t="str">
        <f>IF(OpenLCAbasic!K2132="CTUh", "Fill in Manually",IF(OR(K2132="Unit", K2132=""), "", INDEX(LookUps!$E$5:$E$12, MATCH(OpenLCAbasic!K2132,LookUps!$D$5:$D$12,0))))</f>
        <v>Particulate Matter Formation Potential (PMFP) - kg PM2.5 eq</v>
      </c>
      <c r="M2132" s="154" t="str">
        <f t="shared" si="109"/>
        <v>Low_Medium_High_Upgraded_Particulate Matter Formation Potential (PMFP) - kg PM2.5 eq_Land application of compost; wastewater treatment unit; at updated plant - US_Base_With Amendment_Windrow</v>
      </c>
    </row>
    <row r="2133" spans="1:13" s="120" customFormat="1" x14ac:dyDescent="0.25">
      <c r="A2133" s="119"/>
      <c r="B2133" s="138" t="str">
        <f t="shared" si="107"/>
        <v>Windrow</v>
      </c>
      <c r="C2133" s="138" t="str">
        <f t="shared" si="108"/>
        <v>Base_With Amendment</v>
      </c>
      <c r="D2133" s="118" t="s">
        <v>137</v>
      </c>
      <c r="E2133" s="118" t="s">
        <v>180</v>
      </c>
      <c r="F2133" s="118" t="s">
        <v>46</v>
      </c>
      <c r="G2133" s="153"/>
      <c r="H2133" s="155">
        <v>2.0400000000000001E-2</v>
      </c>
      <c r="I2133" s="154" t="s">
        <v>271</v>
      </c>
      <c r="J2133" s="204">
        <v>5.0985200000000001E-5</v>
      </c>
      <c r="K2133" s="154" t="s">
        <v>145</v>
      </c>
      <c r="L2133" s="154" t="str">
        <f>IF(OpenLCAbasic!K2133="CTUh", "Fill in Manually",IF(OR(K2133="Unit", K2133=""), "", INDEX(LookUps!$E$5:$E$12, MATCH(OpenLCAbasic!K2133,LookUps!$D$5:$D$12,0))))</f>
        <v>Particulate Matter Formation Potential (PMFP) - kg PM2.5 eq</v>
      </c>
      <c r="M2133" s="154" t="str">
        <f t="shared" si="109"/>
        <v>Low_Medium_High_Upgraded_Particulate Matter Formation Potential (PMFP) - kg PM2.5 eq_Biosolids composting; windrow composting; wastewater treatment unit; at updated plant - US_Base_With Amendment_Windrow</v>
      </c>
    </row>
    <row r="2134" spans="1:13" s="120" customFormat="1" x14ac:dyDescent="0.25">
      <c r="A2134" s="119"/>
      <c r="B2134" s="138" t="str">
        <f t="shared" si="107"/>
        <v>Windrow</v>
      </c>
      <c r="C2134" s="138" t="str">
        <f t="shared" si="108"/>
        <v>Base_With Amendment</v>
      </c>
      <c r="D2134" s="118" t="s">
        <v>137</v>
      </c>
      <c r="E2134" s="118" t="s">
        <v>180</v>
      </c>
      <c r="F2134" s="118" t="s">
        <v>46</v>
      </c>
      <c r="G2134" s="153"/>
      <c r="H2134" s="155">
        <v>0.02</v>
      </c>
      <c r="I2134" s="154" t="s">
        <v>48</v>
      </c>
      <c r="J2134" s="204">
        <v>4.99741E-5</v>
      </c>
      <c r="K2134" s="154" t="s">
        <v>145</v>
      </c>
      <c r="L2134" s="154" t="str">
        <f>IF(OpenLCAbasic!K2134="CTUh", "Fill in Manually",IF(OR(K2134="Unit", K2134=""), "", INDEX(LookUps!$E$5:$E$12, MATCH(OpenLCAbasic!K2134,LookUps!$D$5:$D$12,0))))</f>
        <v>Particulate Matter Formation Potential (PMFP) - kg PM2.5 eq</v>
      </c>
      <c r="M2134" s="154" t="str">
        <f t="shared" si="109"/>
        <v>Low_Medium_High_Upgraded_Particulate Matter Formation Potential (PMFP) - kg PM2.5 eq_Effluent release; wastewater treatment unit; at surface water; m3 wastewater - US_Base_With Amendment_Windrow</v>
      </c>
    </row>
    <row r="2135" spans="1:13" s="120" customFormat="1" x14ac:dyDescent="0.25">
      <c r="A2135" s="119"/>
      <c r="B2135" s="138" t="str">
        <f t="shared" si="107"/>
        <v>Windrow</v>
      </c>
      <c r="C2135" s="138" t="str">
        <f t="shared" si="108"/>
        <v>Base_With Amendment</v>
      </c>
      <c r="D2135" s="118" t="s">
        <v>137</v>
      </c>
      <c r="E2135" s="118" t="s">
        <v>180</v>
      </c>
      <c r="F2135" s="118" t="s">
        <v>46</v>
      </c>
      <c r="G2135" s="153"/>
      <c r="H2135" s="155">
        <v>1.38E-2</v>
      </c>
      <c r="I2135" s="154" t="s">
        <v>168</v>
      </c>
      <c r="J2135" s="204">
        <v>3.4562199999999999E-5</v>
      </c>
      <c r="K2135" s="154" t="s">
        <v>145</v>
      </c>
      <c r="L2135" s="154" t="str">
        <f>IF(OpenLCAbasic!K2135="CTUh", "Fill in Manually",IF(OR(K2135="Unit", K2135=""), "", INDEX(LookUps!$E$5:$E$12, MATCH(OpenLCAbasic!K2135,LookUps!$D$5:$D$12,0))))</f>
        <v>Particulate Matter Formation Potential (PMFP) - kg PM2.5 eq</v>
      </c>
      <c r="M2135" s="154" t="str">
        <f t="shared" si="109"/>
        <v>Low_Medium_High_Upgraded_Particulate Matter Formation Potential (PMFP) - kg PM2.5 eq_ClearCove SCP; wastewater treatment unit; at updated plant - US_Base_With Amendment_Windrow</v>
      </c>
    </row>
    <row r="2136" spans="1:13" s="120" customFormat="1" x14ac:dyDescent="0.25">
      <c r="A2136" s="119"/>
      <c r="B2136" s="138" t="str">
        <f t="shared" si="107"/>
        <v>Windrow</v>
      </c>
      <c r="C2136" s="138" t="str">
        <f t="shared" si="108"/>
        <v>Base_With Amendment</v>
      </c>
      <c r="D2136" s="118" t="s">
        <v>137</v>
      </c>
      <c r="E2136" s="118" t="s">
        <v>180</v>
      </c>
      <c r="F2136" s="118" t="s">
        <v>46</v>
      </c>
      <c r="G2136" s="153"/>
      <c r="H2136" s="155">
        <v>3.5000000000000001E-3</v>
      </c>
      <c r="I2136" s="154" t="s">
        <v>148</v>
      </c>
      <c r="J2136" s="204">
        <v>8.8212999999999997E-6</v>
      </c>
      <c r="K2136" s="154" t="s">
        <v>145</v>
      </c>
      <c r="L2136" s="154" t="str">
        <f>IF(OpenLCAbasic!K2136="CTUh", "Fill in Manually",IF(OR(K2136="Unit", K2136=""), "", INDEX(LookUps!$E$5:$E$12, MATCH(OpenLCAbasic!K2136,LookUps!$D$5:$D$12,0))))</f>
        <v>Particulate Matter Formation Potential (PMFP) - kg PM2.5 eq</v>
      </c>
      <c r="M2136" s="154" t="str">
        <f t="shared" si="109"/>
        <v>Low_Medium_High_Upgraded_Particulate Matter Formation Potential (PMFP) - kg PM2.5 eq_Control Building; at upgraded wastewater treatment plant - US_Base_With Amendment_Windrow</v>
      </c>
    </row>
    <row r="2137" spans="1:13" s="120" customFormat="1" x14ac:dyDescent="0.25">
      <c r="A2137" s="119"/>
      <c r="B2137" s="138" t="str">
        <f t="shared" si="107"/>
        <v>Windrow</v>
      </c>
      <c r="C2137" s="138" t="str">
        <f t="shared" si="108"/>
        <v>Base_With Amendment</v>
      </c>
      <c r="D2137" s="118" t="s">
        <v>137</v>
      </c>
      <c r="E2137" s="118" t="s">
        <v>180</v>
      </c>
      <c r="F2137" s="118" t="s">
        <v>46</v>
      </c>
      <c r="G2137" s="153"/>
      <c r="H2137" s="155">
        <v>-3.1343999999999999</v>
      </c>
      <c r="I2137" s="154" t="s">
        <v>149</v>
      </c>
      <c r="J2137" s="204">
        <v>-7.8300000000000002E-3</v>
      </c>
      <c r="K2137" s="154" t="s">
        <v>145</v>
      </c>
      <c r="L2137" s="154" t="str">
        <f>IF(OpenLCAbasic!K2137="CTUh", "Fill in Manually",IF(OR(K2137="Unit", K2137=""), "", INDEX(LookUps!$E$5:$E$12, MATCH(OpenLCAbasic!K2137,LookUps!$D$5:$D$12,0))))</f>
        <v>Particulate Matter Formation Potential (PMFP) - kg PM2.5 eq</v>
      </c>
      <c r="M2137" s="154" t="str">
        <f t="shared" si="109"/>
        <v>Low_Medium_High_Upgraded_Particulate Matter Formation Potential (PMFP) - kg PM2.5 eq_Anaerobic Digestion; wastewater treatment unit; at updated plant - US_Base_With Amendment_Windrow</v>
      </c>
    </row>
    <row r="2138" spans="1:13" s="120" customFormat="1" x14ac:dyDescent="0.25">
      <c r="A2138" s="119"/>
      <c r="B2138" s="138" t="str">
        <f t="shared" si="107"/>
        <v>Windrow</v>
      </c>
      <c r="C2138" s="138" t="str">
        <f t="shared" si="108"/>
        <v>Base_With Amendment</v>
      </c>
      <c r="D2138" s="118" t="s">
        <v>137</v>
      </c>
      <c r="E2138" s="118" t="s">
        <v>180</v>
      </c>
      <c r="F2138" s="118" t="s">
        <v>46</v>
      </c>
      <c r="G2138" s="153" t="s">
        <v>51</v>
      </c>
      <c r="H2138" s="154"/>
      <c r="I2138" s="154" t="s">
        <v>47</v>
      </c>
      <c r="J2138" s="154" t="s">
        <v>52</v>
      </c>
      <c r="K2138" s="154" t="s">
        <v>27</v>
      </c>
      <c r="L2138" s="154" t="str">
        <f>IF(OpenLCAbasic!K2138="CTUh", "Fill in Manually",IF(OR(K2138="Unit", K2138=""), "", INDEX(LookUps!$E$5:$E$12, MATCH(OpenLCAbasic!K2138,LookUps!$D$5:$D$12,0))))</f>
        <v/>
      </c>
      <c r="M2138" s="154" t="str">
        <f t="shared" si="109"/>
        <v>Low_Medium_High_Upgraded__Process_Base_With Amendment_Windrow</v>
      </c>
    </row>
    <row r="2139" spans="1:13" s="120" customFormat="1" x14ac:dyDescent="0.25">
      <c r="A2139" s="119"/>
      <c r="B2139" s="138" t="str">
        <f t="shared" si="107"/>
        <v>Windrow</v>
      </c>
      <c r="C2139" s="138" t="str">
        <f t="shared" si="108"/>
        <v>Base_With Amendment</v>
      </c>
      <c r="D2139" s="118" t="s">
        <v>137</v>
      </c>
      <c r="E2139" s="118" t="s">
        <v>180</v>
      </c>
      <c r="F2139" s="118" t="s">
        <v>46</v>
      </c>
      <c r="G2139" s="153"/>
      <c r="H2139" s="155">
        <v>0.91269999999999996</v>
      </c>
      <c r="I2139" s="154" t="s">
        <v>55</v>
      </c>
      <c r="J2139" s="203">
        <v>0.16577</v>
      </c>
      <c r="K2139" s="154" t="s">
        <v>25</v>
      </c>
      <c r="L2139" s="154" t="str">
        <f>IF(OpenLCAbasic!K2139="CTUh", "Fill in Manually",IF(OR(K2139="Unit", K2139=""), "", INDEX(LookUps!$E$5:$E$12, MATCH(OpenLCAbasic!K2139,LookUps!$D$5:$D$12,0))))</f>
        <v>Smog Formation Potential (SFP) - kg O3 eq</v>
      </c>
      <c r="M2139" s="154" t="str">
        <f t="shared" si="109"/>
        <v>Low_Medium_High_Upgraded_Smog Formation Potential (SFP) - kg O3 eq_Aeration Tanks; wastewater treatment unit; at updated plant - US_Base_With Amendment_Windrow</v>
      </c>
    </row>
    <row r="2140" spans="1:13" s="120" customFormat="1" x14ac:dyDescent="0.25">
      <c r="A2140" s="119"/>
      <c r="B2140" s="138" t="str">
        <f t="shared" si="107"/>
        <v>Windrow</v>
      </c>
      <c r="C2140" s="138" t="str">
        <f t="shared" si="108"/>
        <v>Base_With Amendment</v>
      </c>
      <c r="D2140" s="118" t="s">
        <v>137</v>
      </c>
      <c r="E2140" s="118" t="s">
        <v>180</v>
      </c>
      <c r="F2140" s="118" t="s">
        <v>46</v>
      </c>
      <c r="G2140" s="153"/>
      <c r="H2140" s="155">
        <v>0.26469999999999999</v>
      </c>
      <c r="I2140" s="154" t="s">
        <v>54</v>
      </c>
      <c r="J2140" s="203">
        <v>4.8070000000000002E-2</v>
      </c>
      <c r="K2140" s="154" t="s">
        <v>25</v>
      </c>
      <c r="L2140" s="154" t="str">
        <f>IF(OpenLCAbasic!K2140="CTUh", "Fill in Manually",IF(OR(K2140="Unit", K2140=""), "", INDEX(LookUps!$E$5:$E$12, MATCH(OpenLCAbasic!K2140,LookUps!$D$5:$D$12,0))))</f>
        <v>Smog Formation Potential (SFP) - kg O3 eq</v>
      </c>
      <c r="M2140" s="154" t="str">
        <f t="shared" si="109"/>
        <v>Low_Medium_High_Upgraded_Smog Formation Potential (SFP) - kg O3 eq_Clear Cove Primary Clarification; wastewater treatment unit; at updated plant - US_Base_With Amendment_Windrow</v>
      </c>
    </row>
    <row r="2141" spans="1:13" s="120" customFormat="1" x14ac:dyDescent="0.25">
      <c r="A2141" s="119"/>
      <c r="B2141" s="138" t="str">
        <f t="shared" si="107"/>
        <v>Windrow</v>
      </c>
      <c r="C2141" s="138" t="str">
        <f t="shared" si="108"/>
        <v>Base_With Amendment</v>
      </c>
      <c r="D2141" s="118" t="s">
        <v>137</v>
      </c>
      <c r="E2141" s="118" t="s">
        <v>180</v>
      </c>
      <c r="F2141" s="118" t="s">
        <v>46</v>
      </c>
      <c r="G2141" s="153"/>
      <c r="H2141" s="155">
        <v>0.23080000000000001</v>
      </c>
      <c r="I2141" s="154" t="s">
        <v>58</v>
      </c>
      <c r="J2141" s="203">
        <v>4.1919999999999999E-2</v>
      </c>
      <c r="K2141" s="154" t="s">
        <v>25</v>
      </c>
      <c r="L2141" s="154" t="str">
        <f>IF(OpenLCAbasic!K2141="CTUh", "Fill in Manually",IF(OR(K2141="Unit", K2141=""), "", INDEX(LookUps!$E$5:$E$12, MATCH(OpenLCAbasic!K2141,LookUps!$D$5:$D$12,0))))</f>
        <v>Smog Formation Potential (SFP) - kg O3 eq</v>
      </c>
      <c r="M2141" s="154" t="str">
        <f t="shared" si="109"/>
        <v>Low_Medium_High_Upgraded_Smog Formation Potential (SFP) - kg O3 eq_Pre-Anoxic &amp; Swing tank; wastewater treatment unit; at updated plant - US_Base_With Amendment_Windrow</v>
      </c>
    </row>
    <row r="2142" spans="1:13" s="120" customFormat="1" x14ac:dyDescent="0.25">
      <c r="A2142" s="119"/>
      <c r="B2142" s="138" t="str">
        <f t="shared" si="107"/>
        <v>Windrow</v>
      </c>
      <c r="C2142" s="138" t="str">
        <f t="shared" si="108"/>
        <v>Base_With Amendment</v>
      </c>
      <c r="D2142" s="118" t="s">
        <v>137</v>
      </c>
      <c r="E2142" s="118" t="s">
        <v>180</v>
      </c>
      <c r="F2142" s="118" t="s">
        <v>46</v>
      </c>
      <c r="G2142" s="153"/>
      <c r="H2142" s="155">
        <v>0.18240000000000001</v>
      </c>
      <c r="I2142" s="154" t="s">
        <v>53</v>
      </c>
      <c r="J2142" s="203">
        <v>3.313E-2</v>
      </c>
      <c r="K2142" s="154" t="s">
        <v>25</v>
      </c>
      <c r="L2142" s="154" t="str">
        <f>IF(OpenLCAbasic!K2142="CTUh", "Fill in Manually",IF(OR(K2142="Unit", K2142=""), "", INDEX(LookUps!$E$5:$E$12, MATCH(OpenLCAbasic!K2142,LookUps!$D$5:$D$12,0))))</f>
        <v>Smog Formation Potential (SFP) - kg O3 eq</v>
      </c>
      <c r="M2142" s="154" t="str">
        <f t="shared" si="109"/>
        <v>Low_Medium_High_Upgraded_Smog Formation Potential (SFP) - kg O3 eq_Wet Well and Sump Station; wastewater treatment unit; at updated plant - US_Base_With Amendment_Windrow</v>
      </c>
    </row>
    <row r="2143" spans="1:13" s="120" customFormat="1" x14ac:dyDescent="0.25">
      <c r="A2143" s="119"/>
      <c r="B2143" s="138" t="str">
        <f t="shared" si="107"/>
        <v>Windrow</v>
      </c>
      <c r="C2143" s="138" t="str">
        <f t="shared" si="108"/>
        <v>Base_With Amendment</v>
      </c>
      <c r="D2143" s="118" t="s">
        <v>137</v>
      </c>
      <c r="E2143" s="118" t="s">
        <v>180</v>
      </c>
      <c r="F2143" s="118" t="s">
        <v>46</v>
      </c>
      <c r="G2143" s="153"/>
      <c r="H2143" s="155">
        <v>0.1691</v>
      </c>
      <c r="I2143" s="154" t="s">
        <v>167</v>
      </c>
      <c r="J2143" s="203">
        <v>3.0710000000000001E-2</v>
      </c>
      <c r="K2143" s="154" t="s">
        <v>25</v>
      </c>
      <c r="L2143" s="154" t="str">
        <f>IF(OpenLCAbasic!K2143="CTUh", "Fill in Manually",IF(OR(K2143="Unit", K2143=""), "", INDEX(LookUps!$E$5:$E$12, MATCH(OpenLCAbasic!K2143,LookUps!$D$5:$D$12,0))))</f>
        <v>Smog Formation Potential (SFP) - kg O3 eq</v>
      </c>
      <c r="M2143" s="154" t="str">
        <f t="shared" si="109"/>
        <v>Low_Medium_High_Upgraded_Smog Formation Potential (SFP) - kg O3 eq_Waste Receiving and Holding; wastewater treatment unit; at updated plant - US_Base_With Amendment_Windrow</v>
      </c>
    </row>
    <row r="2144" spans="1:13" s="120" customFormat="1" x14ac:dyDescent="0.25">
      <c r="A2144" s="119"/>
      <c r="B2144" s="138" t="str">
        <f t="shared" si="107"/>
        <v>Windrow</v>
      </c>
      <c r="C2144" s="138" t="str">
        <f t="shared" si="108"/>
        <v>Base_With Amendment</v>
      </c>
      <c r="D2144" s="118" t="s">
        <v>137</v>
      </c>
      <c r="E2144" s="118" t="s">
        <v>180</v>
      </c>
      <c r="F2144" s="118" t="s">
        <v>46</v>
      </c>
      <c r="G2144" s="153"/>
      <c r="H2144" s="155">
        <v>0.10680000000000001</v>
      </c>
      <c r="I2144" s="154" t="s">
        <v>147</v>
      </c>
      <c r="J2144" s="203">
        <v>1.9400000000000001E-2</v>
      </c>
      <c r="K2144" s="154" t="s">
        <v>25</v>
      </c>
      <c r="L2144" s="154" t="str">
        <f>IF(OpenLCAbasic!K2144="CTUh", "Fill in Manually",IF(OR(K2144="Unit", K2144=""), "", INDEX(LookUps!$E$5:$E$12, MATCH(OpenLCAbasic!K2144,LookUps!$D$5:$D$12,0))))</f>
        <v>Smog Formation Potential (SFP) - kg O3 eq</v>
      </c>
      <c r="M2144" s="154" t="str">
        <f t="shared" si="109"/>
        <v>Low_Medium_High_Upgraded_Smog Formation Potential (SFP) - kg O3 eq_Influent Pump Station; wastewater treatment unit; at updated plant - US_Base_With Amendment_Windrow</v>
      </c>
    </row>
    <row r="2145" spans="1:13" s="120" customFormat="1" x14ac:dyDescent="0.25">
      <c r="A2145" s="119"/>
      <c r="B2145" s="138" t="str">
        <f t="shared" si="107"/>
        <v>Windrow</v>
      </c>
      <c r="C2145" s="138" t="str">
        <f t="shared" si="108"/>
        <v>Base_With Amendment</v>
      </c>
      <c r="D2145" s="118" t="s">
        <v>137</v>
      </c>
      <c r="E2145" s="118" t="s">
        <v>180</v>
      </c>
      <c r="F2145" s="118" t="s">
        <v>46</v>
      </c>
      <c r="G2145" s="153"/>
      <c r="H2145" s="155">
        <v>6.5600000000000006E-2</v>
      </c>
      <c r="I2145" s="154" t="s">
        <v>128</v>
      </c>
      <c r="J2145" s="204">
        <v>1.192E-2</v>
      </c>
      <c r="K2145" s="154" t="s">
        <v>25</v>
      </c>
      <c r="L2145" s="154" t="str">
        <f>IF(OpenLCAbasic!K2145="CTUh", "Fill in Manually",IF(OR(K2145="Unit", K2145=""), "", INDEX(LookUps!$E$5:$E$12, MATCH(OpenLCAbasic!K2145,LookUps!$D$5:$D$12,0))))</f>
        <v>Smog Formation Potential (SFP) - kg O3 eq</v>
      </c>
      <c r="M2145" s="154" t="str">
        <f t="shared" si="109"/>
        <v>Low_Medium_High_Upgraded_Smog Formation Potential (SFP) - kg O3 eq_Wastewater collection; operation and infrastructure; m3 wastewater_Base_With Amendment_Windrow</v>
      </c>
    </row>
    <row r="2146" spans="1:13" s="120" customFormat="1" x14ac:dyDescent="0.25">
      <c r="A2146" s="119"/>
      <c r="B2146" s="138" t="str">
        <f t="shared" si="107"/>
        <v>Windrow</v>
      </c>
      <c r="C2146" s="138" t="str">
        <f t="shared" si="108"/>
        <v>Base_With Amendment</v>
      </c>
      <c r="D2146" s="118" t="s">
        <v>137</v>
      </c>
      <c r="E2146" s="118" t="s">
        <v>180</v>
      </c>
      <c r="F2146" s="118" t="s">
        <v>46</v>
      </c>
      <c r="G2146" s="153"/>
      <c r="H2146" s="155">
        <v>5.3400000000000003E-2</v>
      </c>
      <c r="I2146" s="154" t="s">
        <v>60</v>
      </c>
      <c r="J2146" s="204">
        <v>9.7099999999999999E-3</v>
      </c>
      <c r="K2146" s="154" t="s">
        <v>25</v>
      </c>
      <c r="L2146" s="154" t="str">
        <f>IF(OpenLCAbasic!K2146="CTUh", "Fill in Manually",IF(OR(K2146="Unit", K2146=""), "", INDEX(LookUps!$E$5:$E$12, MATCH(OpenLCAbasic!K2146,LookUps!$D$5:$D$12,0))))</f>
        <v>Smog Formation Potential (SFP) - kg O3 eq</v>
      </c>
      <c r="M2146" s="154" t="str">
        <f t="shared" si="109"/>
        <v>Low_Medium_High_Upgraded_Smog Formation Potential (SFP) - kg O3 eq_Belt filter press; wastewater treatment unit; at updated plant - US_Base_With Amendment_Windrow</v>
      </c>
    </row>
    <row r="2147" spans="1:13" s="120" customFormat="1" x14ac:dyDescent="0.25">
      <c r="A2147" s="119"/>
      <c r="B2147" s="138" t="str">
        <f t="shared" si="107"/>
        <v>Windrow</v>
      </c>
      <c r="C2147" s="138" t="str">
        <f t="shared" si="108"/>
        <v>Base_With Amendment</v>
      </c>
      <c r="D2147" s="118" t="s">
        <v>137</v>
      </c>
      <c r="E2147" s="118" t="s">
        <v>180</v>
      </c>
      <c r="F2147" s="118" t="s">
        <v>46</v>
      </c>
      <c r="G2147" s="153"/>
      <c r="H2147" s="155">
        <v>3.6600000000000001E-2</v>
      </c>
      <c r="I2147" s="154" t="s">
        <v>57</v>
      </c>
      <c r="J2147" s="204">
        <v>6.6499999999999997E-3</v>
      </c>
      <c r="K2147" s="154" t="s">
        <v>25</v>
      </c>
      <c r="L2147" s="154" t="str">
        <f>IF(OpenLCAbasic!K2147="CTUh", "Fill in Manually",IF(OR(K2147="Unit", K2147=""), "", INDEX(LookUps!$E$5:$E$12, MATCH(OpenLCAbasic!K2147,LookUps!$D$5:$D$12,0))))</f>
        <v>Smog Formation Potential (SFP) - kg O3 eq</v>
      </c>
      <c r="M2147" s="154" t="str">
        <f t="shared" si="109"/>
        <v>Low_Medium_High_Upgraded_Smog Formation Potential (SFP) - kg O3 eq_Gravity Belt Thickener; wastewater treatment unit; at updated plant - US_Base_With Amendment_Windrow</v>
      </c>
    </row>
    <row r="2148" spans="1:13" s="120" customFormat="1" x14ac:dyDescent="0.25">
      <c r="A2148" s="119"/>
      <c r="B2148" s="138" t="str">
        <f t="shared" si="107"/>
        <v>Windrow</v>
      </c>
      <c r="C2148" s="138" t="str">
        <f t="shared" si="108"/>
        <v>Base_With Amendment</v>
      </c>
      <c r="D2148" s="118" t="s">
        <v>137</v>
      </c>
      <c r="E2148" s="118" t="s">
        <v>180</v>
      </c>
      <c r="F2148" s="118" t="s">
        <v>46</v>
      </c>
      <c r="G2148" s="153"/>
      <c r="H2148" s="155">
        <v>2.7400000000000001E-2</v>
      </c>
      <c r="I2148" s="154" t="s">
        <v>59</v>
      </c>
      <c r="J2148" s="204">
        <v>4.9699999999999996E-3</v>
      </c>
      <c r="K2148" s="154" t="s">
        <v>25</v>
      </c>
      <c r="L2148" s="154" t="str">
        <f>IF(OpenLCAbasic!K2148="CTUh", "Fill in Manually",IF(OR(K2148="Unit", K2148=""), "", INDEX(LookUps!$E$5:$E$12, MATCH(OpenLCAbasic!K2148,LookUps!$D$5:$D$12,0))))</f>
        <v>Smog Formation Potential (SFP) - kg O3 eq</v>
      </c>
      <c r="M2148" s="154" t="str">
        <f t="shared" si="109"/>
        <v>Low_Medium_High_Upgraded_Smog Formation Potential (SFP) - kg O3 eq_Blend Tank; wastewater treatment unit; at updated plant - US_Base_With Amendment_Windrow</v>
      </c>
    </row>
    <row r="2149" spans="1:13" s="120" customFormat="1" x14ac:dyDescent="0.25">
      <c r="A2149" s="119"/>
      <c r="B2149" s="138" t="str">
        <f t="shared" si="107"/>
        <v>Windrow</v>
      </c>
      <c r="C2149" s="138" t="str">
        <f t="shared" si="108"/>
        <v>Base_With Amendment</v>
      </c>
      <c r="D2149" s="118" t="s">
        <v>137</v>
      </c>
      <c r="E2149" s="118" t="s">
        <v>180</v>
      </c>
      <c r="F2149" s="118" t="s">
        <v>46</v>
      </c>
      <c r="G2149" s="153"/>
      <c r="H2149" s="155">
        <v>1.8599999999999998E-2</v>
      </c>
      <c r="I2149" s="154" t="s">
        <v>48</v>
      </c>
      <c r="J2149" s="204">
        <v>3.3899999999999998E-3</v>
      </c>
      <c r="K2149" s="154" t="s">
        <v>25</v>
      </c>
      <c r="L2149" s="154" t="str">
        <f>IF(OpenLCAbasic!K2149="CTUh", "Fill in Manually",IF(OR(K2149="Unit", K2149=""), "", INDEX(LookUps!$E$5:$E$12, MATCH(OpenLCAbasic!K2149,LookUps!$D$5:$D$12,0))))</f>
        <v>Smog Formation Potential (SFP) - kg O3 eq</v>
      </c>
      <c r="M2149" s="154" t="str">
        <f t="shared" si="109"/>
        <v>Low_Medium_High_Upgraded_Smog Formation Potential (SFP) - kg O3 eq_Effluent release; wastewater treatment unit; at surface water; m3 wastewater - US_Base_With Amendment_Windrow</v>
      </c>
    </row>
    <row r="2150" spans="1:13" s="120" customFormat="1" x14ac:dyDescent="0.25">
      <c r="A2150" s="119"/>
      <c r="B2150" s="138" t="str">
        <f t="shared" si="107"/>
        <v>Windrow</v>
      </c>
      <c r="C2150" s="138" t="str">
        <f t="shared" si="108"/>
        <v>Base_With Amendment</v>
      </c>
      <c r="D2150" s="118" t="s">
        <v>137</v>
      </c>
      <c r="E2150" s="118" t="s">
        <v>180</v>
      </c>
      <c r="F2150" s="118" t="s">
        <v>46</v>
      </c>
      <c r="G2150" s="153"/>
      <c r="H2150" s="155">
        <v>1.35E-2</v>
      </c>
      <c r="I2150" s="154" t="s">
        <v>168</v>
      </c>
      <c r="J2150" s="204">
        <v>2.4599999999999999E-3</v>
      </c>
      <c r="K2150" s="154" t="s">
        <v>25</v>
      </c>
      <c r="L2150" s="154" t="str">
        <f>IF(OpenLCAbasic!K2150="CTUh", "Fill in Manually",IF(OR(K2150="Unit", K2150=""), "", INDEX(LookUps!$E$5:$E$12, MATCH(OpenLCAbasic!K2150,LookUps!$D$5:$D$12,0))))</f>
        <v>Smog Formation Potential (SFP) - kg O3 eq</v>
      </c>
      <c r="M2150" s="154" t="str">
        <f t="shared" si="109"/>
        <v>Low_Medium_High_Upgraded_Smog Formation Potential (SFP) - kg O3 eq_ClearCove SCP; wastewater treatment unit; at updated plant - US_Base_With Amendment_Windrow</v>
      </c>
    </row>
    <row r="2151" spans="1:13" s="120" customFormat="1" x14ac:dyDescent="0.25">
      <c r="A2151" s="119"/>
      <c r="B2151" s="138" t="str">
        <f t="shared" si="107"/>
        <v>Windrow</v>
      </c>
      <c r="C2151" s="138" t="str">
        <f t="shared" si="108"/>
        <v>Base_With Amendment</v>
      </c>
      <c r="D2151" s="118" t="s">
        <v>137</v>
      </c>
      <c r="E2151" s="118" t="s">
        <v>180</v>
      </c>
      <c r="F2151" s="118" t="s">
        <v>46</v>
      </c>
      <c r="G2151" s="153"/>
      <c r="H2151" s="155">
        <v>7.0000000000000001E-3</v>
      </c>
      <c r="I2151" s="154" t="s">
        <v>271</v>
      </c>
      <c r="J2151" s="204">
        <v>1.2700000000000001E-3</v>
      </c>
      <c r="K2151" s="154" t="s">
        <v>25</v>
      </c>
      <c r="L2151" s="154" t="str">
        <f>IF(OpenLCAbasic!K2151="CTUh", "Fill in Manually",IF(OR(K2151="Unit", K2151=""), "", INDEX(LookUps!$E$5:$E$12, MATCH(OpenLCAbasic!K2151,LookUps!$D$5:$D$12,0))))</f>
        <v>Smog Formation Potential (SFP) - kg O3 eq</v>
      </c>
      <c r="M2151" s="154" t="str">
        <f t="shared" si="109"/>
        <v>Low_Medium_High_Upgraded_Smog Formation Potential (SFP) - kg O3 eq_Biosolids composting; windrow composting; wastewater treatment unit; at updated plant - US_Base_With Amendment_Windrow</v>
      </c>
    </row>
    <row r="2152" spans="1:13" s="120" customFormat="1" x14ac:dyDescent="0.25">
      <c r="A2152" s="119"/>
      <c r="B2152" s="138" t="str">
        <f t="shared" si="107"/>
        <v>Windrow</v>
      </c>
      <c r="C2152" s="138" t="str">
        <f t="shared" si="108"/>
        <v>Base_With Amendment</v>
      </c>
      <c r="D2152" s="118" t="s">
        <v>137</v>
      </c>
      <c r="E2152" s="118" t="s">
        <v>180</v>
      </c>
      <c r="F2152" s="118" t="s">
        <v>46</v>
      </c>
      <c r="G2152" s="153"/>
      <c r="H2152" s="155">
        <v>3.0000000000000001E-3</v>
      </c>
      <c r="I2152" s="154" t="s">
        <v>148</v>
      </c>
      <c r="J2152" s="204">
        <v>5.4000000000000001E-4</v>
      </c>
      <c r="K2152" s="154" t="s">
        <v>25</v>
      </c>
      <c r="L2152" s="154" t="str">
        <f>IF(OpenLCAbasic!K2152="CTUh", "Fill in Manually",IF(OR(K2152="Unit", K2152=""), "", INDEX(LookUps!$E$5:$E$12, MATCH(OpenLCAbasic!K2152,LookUps!$D$5:$D$12,0))))</f>
        <v>Smog Formation Potential (SFP) - kg O3 eq</v>
      </c>
      <c r="M2152" s="154" t="str">
        <f t="shared" si="109"/>
        <v>Low_Medium_High_Upgraded_Smog Formation Potential (SFP) - kg O3 eq_Control Building; at upgraded wastewater treatment plant - US_Base_With Amendment_Windrow</v>
      </c>
    </row>
    <row r="2153" spans="1:13" s="120" customFormat="1" x14ac:dyDescent="0.25">
      <c r="A2153" s="119"/>
      <c r="B2153" s="138" t="str">
        <f t="shared" si="107"/>
        <v>Windrow</v>
      </c>
      <c r="C2153" s="138" t="str">
        <f t="shared" si="108"/>
        <v>Base_With Amendment</v>
      </c>
      <c r="D2153" s="118" t="s">
        <v>137</v>
      </c>
      <c r="E2153" s="118" t="s">
        <v>180</v>
      </c>
      <c r="F2153" s="118" t="s">
        <v>46</v>
      </c>
      <c r="G2153" s="153"/>
      <c r="H2153" s="155">
        <v>-2.1000000000000001E-2</v>
      </c>
      <c r="I2153" s="154" t="s">
        <v>62</v>
      </c>
      <c r="J2153" s="204">
        <v>-3.82E-3</v>
      </c>
      <c r="K2153" s="154" t="s">
        <v>25</v>
      </c>
      <c r="L2153" s="154" t="str">
        <f>IF(OpenLCAbasic!K2153="CTUh", "Fill in Manually",IF(OR(K2153="Unit", K2153=""), "", INDEX(LookUps!$E$5:$E$12, MATCH(OpenLCAbasic!K2153,LookUps!$D$5:$D$12,0))))</f>
        <v>Smog Formation Potential (SFP) - kg O3 eq</v>
      </c>
      <c r="M2153" s="154" t="str">
        <f t="shared" si="109"/>
        <v>Low_Medium_High_Upgraded_Smog Formation Potential (SFP) - kg O3 eq_Land application of compost; wastewater treatment unit; at updated plant - US_Base_With Amendment_Windrow</v>
      </c>
    </row>
    <row r="2154" spans="1:13" s="120" customFormat="1" x14ac:dyDescent="0.25">
      <c r="A2154" s="119"/>
      <c r="B2154" s="138" t="str">
        <f t="shared" si="107"/>
        <v>Windrow</v>
      </c>
      <c r="C2154" s="138" t="str">
        <f t="shared" si="108"/>
        <v>Base_With Amendment</v>
      </c>
      <c r="D2154" s="118" t="s">
        <v>137</v>
      </c>
      <c r="E2154" s="118" t="s">
        <v>180</v>
      </c>
      <c r="F2154" s="118" t="s">
        <v>46</v>
      </c>
      <c r="G2154" s="153"/>
      <c r="H2154" s="155">
        <v>-3.0705</v>
      </c>
      <c r="I2154" s="154" t="s">
        <v>149</v>
      </c>
      <c r="J2154" s="203">
        <v>-0.55771000000000004</v>
      </c>
      <c r="K2154" s="154" t="s">
        <v>25</v>
      </c>
      <c r="L2154" s="154" t="str">
        <f>IF(OpenLCAbasic!K2154="CTUh", "Fill in Manually",IF(OR(K2154="Unit", K2154=""), "", INDEX(LookUps!$E$5:$E$12, MATCH(OpenLCAbasic!K2154,LookUps!$D$5:$D$12,0))))</f>
        <v>Smog Formation Potential (SFP) - kg O3 eq</v>
      </c>
      <c r="M2154" s="154" t="str">
        <f t="shared" si="109"/>
        <v>Low_Medium_High_Upgraded_Smog Formation Potential (SFP) - kg O3 eq_Anaerobic Digestion; wastewater treatment unit; at updated plant - US_Base_With Amendment_Windrow</v>
      </c>
    </row>
    <row r="2155" spans="1:13" s="120" customFormat="1" x14ac:dyDescent="0.25">
      <c r="A2155" s="119"/>
      <c r="B2155" s="138" t="str">
        <f t="shared" si="107"/>
        <v>Windrow</v>
      </c>
      <c r="C2155" s="138" t="str">
        <f t="shared" si="108"/>
        <v>Base_With Amendment</v>
      </c>
      <c r="D2155" s="118" t="s">
        <v>137</v>
      </c>
      <c r="E2155" s="118" t="s">
        <v>180</v>
      </c>
      <c r="F2155" s="118" t="s">
        <v>46</v>
      </c>
      <c r="G2155" s="153" t="s">
        <v>51</v>
      </c>
      <c r="H2155" s="154"/>
      <c r="I2155" s="154" t="s">
        <v>47</v>
      </c>
      <c r="J2155" s="154" t="s">
        <v>52</v>
      </c>
      <c r="K2155" s="154" t="s">
        <v>27</v>
      </c>
      <c r="L2155" s="154" t="str">
        <f>IF(OpenLCAbasic!K2155="CTUh", "Fill in Manually",IF(OR(K2155="Unit", K2155=""), "", INDEX(LookUps!$E$5:$E$12, MATCH(OpenLCAbasic!K2155,LookUps!$D$5:$D$12,0))))</f>
        <v/>
      </c>
      <c r="M2155" s="154" t="str">
        <f t="shared" si="109"/>
        <v>Low_Medium_High_Upgraded__Process_Base_With Amendment_Windrow</v>
      </c>
    </row>
    <row r="2156" spans="1:13" s="120" customFormat="1" x14ac:dyDescent="0.25">
      <c r="A2156" s="119"/>
      <c r="B2156" s="138" t="str">
        <f t="shared" si="107"/>
        <v>Windrow</v>
      </c>
      <c r="C2156" s="138" t="str">
        <f t="shared" si="108"/>
        <v>Base_With Amendment</v>
      </c>
      <c r="D2156" s="118" t="s">
        <v>137</v>
      </c>
      <c r="E2156" s="118" t="s">
        <v>180</v>
      </c>
      <c r="F2156" s="118" t="s">
        <v>46</v>
      </c>
      <c r="G2156" s="153"/>
      <c r="H2156" s="155">
        <v>0.53659999999999997</v>
      </c>
      <c r="I2156" s="154" t="s">
        <v>167</v>
      </c>
      <c r="J2156" s="204">
        <v>2.7999999999999998E-4</v>
      </c>
      <c r="K2156" s="154" t="s">
        <v>26</v>
      </c>
      <c r="L2156" s="154" t="str">
        <f>IF(OpenLCAbasic!K2156="CTUh", "Fill in Manually",IF(OR(K2156="Unit", K2156=""), "", INDEX(LookUps!$E$5:$E$12, MATCH(OpenLCAbasic!K2156,LookUps!$D$5:$D$12,0))))</f>
        <v>Water Use (WU) - m3 H2O</v>
      </c>
      <c r="M2156" s="154" t="str">
        <f t="shared" si="109"/>
        <v>Low_Medium_High_Upgraded_Water Use (WU) - m3 H2O_Waste Receiving and Holding; wastewater treatment unit; at updated plant - US_Base_With Amendment_Windrow</v>
      </c>
    </row>
    <row r="2157" spans="1:13" s="120" customFormat="1" x14ac:dyDescent="0.25">
      <c r="A2157" s="119"/>
      <c r="B2157" s="138" t="str">
        <f t="shared" si="107"/>
        <v>Windrow</v>
      </c>
      <c r="C2157" s="138" t="str">
        <f t="shared" si="108"/>
        <v>Base_With Amendment</v>
      </c>
      <c r="D2157" s="118" t="s">
        <v>137</v>
      </c>
      <c r="E2157" s="118" t="s">
        <v>180</v>
      </c>
      <c r="F2157" s="118" t="s">
        <v>46</v>
      </c>
      <c r="G2157" s="153"/>
      <c r="H2157" s="155">
        <v>0.3503</v>
      </c>
      <c r="I2157" s="154" t="s">
        <v>147</v>
      </c>
      <c r="J2157" s="204">
        <v>1.8000000000000001E-4</v>
      </c>
      <c r="K2157" s="154" t="s">
        <v>26</v>
      </c>
      <c r="L2157" s="154" t="str">
        <f>IF(OpenLCAbasic!K2157="CTUh", "Fill in Manually",IF(OR(K2157="Unit", K2157=""), "", INDEX(LookUps!$E$5:$E$12, MATCH(OpenLCAbasic!K2157,LookUps!$D$5:$D$12,0))))</f>
        <v>Water Use (WU) - m3 H2O</v>
      </c>
      <c r="M2157" s="154" t="str">
        <f t="shared" si="109"/>
        <v>Low_Medium_High_Upgraded_Water Use (WU) - m3 H2O_Influent Pump Station; wastewater treatment unit; at updated plant - US_Base_With Amendment_Windrow</v>
      </c>
    </row>
    <row r="2158" spans="1:13" s="120" customFormat="1" x14ac:dyDescent="0.25">
      <c r="A2158" s="119"/>
      <c r="B2158" s="138" t="str">
        <f t="shared" si="107"/>
        <v>Windrow</v>
      </c>
      <c r="C2158" s="138" t="str">
        <f t="shared" si="108"/>
        <v>Base_With Amendment</v>
      </c>
      <c r="D2158" s="118" t="s">
        <v>137</v>
      </c>
      <c r="E2158" s="118" t="s">
        <v>180</v>
      </c>
      <c r="F2158" s="118" t="s">
        <v>46</v>
      </c>
      <c r="G2158" s="153"/>
      <c r="H2158" s="155">
        <v>0.34179999999999999</v>
      </c>
      <c r="I2158" s="154" t="s">
        <v>54</v>
      </c>
      <c r="J2158" s="204">
        <v>1.8000000000000001E-4</v>
      </c>
      <c r="K2158" s="154" t="s">
        <v>26</v>
      </c>
      <c r="L2158" s="154" t="str">
        <f>IF(OpenLCAbasic!K2158="CTUh", "Fill in Manually",IF(OR(K2158="Unit", K2158=""), "", INDEX(LookUps!$E$5:$E$12, MATCH(OpenLCAbasic!K2158,LookUps!$D$5:$D$12,0))))</f>
        <v>Water Use (WU) - m3 H2O</v>
      </c>
      <c r="M2158" s="154" t="str">
        <f t="shared" si="109"/>
        <v>Low_Medium_High_Upgraded_Water Use (WU) - m3 H2O_Clear Cove Primary Clarification; wastewater treatment unit; at updated plant - US_Base_With Amendment_Windrow</v>
      </c>
    </row>
    <row r="2159" spans="1:13" s="120" customFormat="1" x14ac:dyDescent="0.25">
      <c r="A2159" s="119"/>
      <c r="B2159" s="138" t="str">
        <f t="shared" si="107"/>
        <v>Windrow</v>
      </c>
      <c r="C2159" s="138" t="str">
        <f t="shared" si="108"/>
        <v>Base_With Amendment</v>
      </c>
      <c r="D2159" s="118" t="s">
        <v>137</v>
      </c>
      <c r="E2159" s="118" t="s">
        <v>180</v>
      </c>
      <c r="F2159" s="118" t="s">
        <v>46</v>
      </c>
      <c r="G2159" s="153"/>
      <c r="H2159" s="155">
        <v>0.31009999999999999</v>
      </c>
      <c r="I2159" s="154" t="s">
        <v>55</v>
      </c>
      <c r="J2159" s="204">
        <v>1.6000000000000001E-4</v>
      </c>
      <c r="K2159" s="154" t="s">
        <v>26</v>
      </c>
      <c r="L2159" s="154" t="str">
        <f>IF(OpenLCAbasic!K2159="CTUh", "Fill in Manually",IF(OR(K2159="Unit", K2159=""), "", INDEX(LookUps!$E$5:$E$12, MATCH(OpenLCAbasic!K2159,LookUps!$D$5:$D$12,0))))</f>
        <v>Water Use (WU) - m3 H2O</v>
      </c>
      <c r="M2159" s="154" t="str">
        <f t="shared" si="109"/>
        <v>Low_Medium_High_Upgraded_Water Use (WU) - m3 H2O_Aeration Tanks; wastewater treatment unit; at updated plant - US_Base_With Amendment_Windrow</v>
      </c>
    </row>
    <row r="2160" spans="1:13" s="120" customFormat="1" x14ac:dyDescent="0.25">
      <c r="A2160" s="119"/>
      <c r="B2160" s="138" t="str">
        <f t="shared" si="107"/>
        <v>Windrow</v>
      </c>
      <c r="C2160" s="138" t="str">
        <f t="shared" si="108"/>
        <v>Base_With Amendment</v>
      </c>
      <c r="D2160" s="118" t="s">
        <v>137</v>
      </c>
      <c r="E2160" s="118" t="s">
        <v>180</v>
      </c>
      <c r="F2160" s="118" t="s">
        <v>46</v>
      </c>
      <c r="G2160" s="153"/>
      <c r="H2160" s="155">
        <v>0.28239999999999998</v>
      </c>
      <c r="I2160" s="154" t="s">
        <v>148</v>
      </c>
      <c r="J2160" s="204">
        <v>1.4999999999999999E-4</v>
      </c>
      <c r="K2160" s="154" t="s">
        <v>26</v>
      </c>
      <c r="L2160" s="154" t="str">
        <f>IF(OpenLCAbasic!K2160="CTUh", "Fill in Manually",IF(OR(K2160="Unit", K2160=""), "", INDEX(LookUps!$E$5:$E$12, MATCH(OpenLCAbasic!K2160,LookUps!$D$5:$D$12,0))))</f>
        <v>Water Use (WU) - m3 H2O</v>
      </c>
      <c r="M2160" s="154" t="str">
        <f t="shared" si="109"/>
        <v>Low_Medium_High_Upgraded_Water Use (WU) - m3 H2O_Control Building; at upgraded wastewater treatment plant - US_Base_With Amendment_Windrow</v>
      </c>
    </row>
    <row r="2161" spans="1:13" s="120" customFormat="1" x14ac:dyDescent="0.25">
      <c r="A2161" s="119"/>
      <c r="B2161" s="138" t="str">
        <f t="shared" si="107"/>
        <v>Windrow</v>
      </c>
      <c r="C2161" s="138" t="str">
        <f t="shared" si="108"/>
        <v>Base_With Amendment</v>
      </c>
      <c r="D2161" s="118" t="s">
        <v>137</v>
      </c>
      <c r="E2161" s="118" t="s">
        <v>180</v>
      </c>
      <c r="F2161" s="118" t="s">
        <v>46</v>
      </c>
      <c r="G2161" s="153"/>
      <c r="H2161" s="155">
        <v>0.13120000000000001</v>
      </c>
      <c r="I2161" s="154" t="s">
        <v>48</v>
      </c>
      <c r="J2161" s="204">
        <v>6.8836400000000004E-5</v>
      </c>
      <c r="K2161" s="154" t="s">
        <v>26</v>
      </c>
      <c r="L2161" s="154" t="str">
        <f>IF(OpenLCAbasic!K2161="CTUh", "Fill in Manually",IF(OR(K2161="Unit", K2161=""), "", INDEX(LookUps!$E$5:$E$12, MATCH(OpenLCAbasic!K2161,LookUps!$D$5:$D$12,0))))</f>
        <v>Water Use (WU) - m3 H2O</v>
      </c>
      <c r="M2161" s="154" t="str">
        <f t="shared" si="109"/>
        <v>Low_Medium_High_Upgraded_Water Use (WU) - m3 H2O_Effluent release; wastewater treatment unit; at surface water; m3 wastewater - US_Base_With Amendment_Windrow</v>
      </c>
    </row>
    <row r="2162" spans="1:13" s="120" customFormat="1" x14ac:dyDescent="0.25">
      <c r="A2162" s="119"/>
      <c r="B2162" s="138" t="str">
        <f t="shared" si="107"/>
        <v>Windrow</v>
      </c>
      <c r="C2162" s="138" t="str">
        <f t="shared" si="108"/>
        <v>Base_With Amendment</v>
      </c>
      <c r="D2162" s="118" t="s">
        <v>137</v>
      </c>
      <c r="E2162" s="118" t="s">
        <v>180</v>
      </c>
      <c r="F2162" s="118" t="s">
        <v>46</v>
      </c>
      <c r="G2162" s="153"/>
      <c r="H2162" s="155">
        <v>8.2400000000000001E-2</v>
      </c>
      <c r="I2162" s="154" t="s">
        <v>58</v>
      </c>
      <c r="J2162" s="204">
        <v>4.3235300000000003E-5</v>
      </c>
      <c r="K2162" s="154" t="s">
        <v>26</v>
      </c>
      <c r="L2162" s="154" t="str">
        <f>IF(OpenLCAbasic!K2162="CTUh", "Fill in Manually",IF(OR(K2162="Unit", K2162=""), "", INDEX(LookUps!$E$5:$E$12, MATCH(OpenLCAbasic!K2162,LookUps!$D$5:$D$12,0))))</f>
        <v>Water Use (WU) - m3 H2O</v>
      </c>
      <c r="M2162" s="154" t="str">
        <f t="shared" si="109"/>
        <v>Low_Medium_High_Upgraded_Water Use (WU) - m3 H2O_Pre-Anoxic &amp; Swing tank; wastewater treatment unit; at updated plant - US_Base_With Amendment_Windrow</v>
      </c>
    </row>
    <row r="2163" spans="1:13" s="120" customFormat="1" x14ac:dyDescent="0.25">
      <c r="A2163" s="119"/>
      <c r="B2163" s="138" t="str">
        <f t="shared" si="107"/>
        <v>Windrow</v>
      </c>
      <c r="C2163" s="138" t="str">
        <f t="shared" si="108"/>
        <v>Base_With Amendment</v>
      </c>
      <c r="D2163" s="118" t="s">
        <v>137</v>
      </c>
      <c r="E2163" s="118" t="s">
        <v>180</v>
      </c>
      <c r="F2163" s="118" t="s">
        <v>46</v>
      </c>
      <c r="G2163" s="153"/>
      <c r="H2163" s="155">
        <v>5.79E-2</v>
      </c>
      <c r="I2163" s="154" t="s">
        <v>57</v>
      </c>
      <c r="J2163" s="204">
        <v>3.0408100000000001E-5</v>
      </c>
      <c r="K2163" s="154" t="s">
        <v>26</v>
      </c>
      <c r="L2163" s="154" t="str">
        <f>IF(OpenLCAbasic!K2163="CTUh", "Fill in Manually",IF(OR(K2163="Unit", K2163=""), "", INDEX(LookUps!$E$5:$E$12, MATCH(OpenLCAbasic!K2163,LookUps!$D$5:$D$12,0))))</f>
        <v>Water Use (WU) - m3 H2O</v>
      </c>
      <c r="M2163" s="154" t="str">
        <f t="shared" si="109"/>
        <v>Low_Medium_High_Upgraded_Water Use (WU) - m3 H2O_Gravity Belt Thickener; wastewater treatment unit; at updated plant - US_Base_With Amendment_Windrow</v>
      </c>
    </row>
    <row r="2164" spans="1:13" s="120" customFormat="1" x14ac:dyDescent="0.25">
      <c r="A2164" s="119"/>
      <c r="B2164" s="138" t="str">
        <f t="shared" si="107"/>
        <v>Windrow</v>
      </c>
      <c r="C2164" s="138" t="str">
        <f t="shared" si="108"/>
        <v>Base_With Amendment</v>
      </c>
      <c r="D2164" s="118" t="s">
        <v>137</v>
      </c>
      <c r="E2164" s="118" t="s">
        <v>180</v>
      </c>
      <c r="F2164" s="118" t="s">
        <v>46</v>
      </c>
      <c r="G2164" s="153"/>
      <c r="H2164" s="155">
        <v>5.5199999999999999E-2</v>
      </c>
      <c r="I2164" s="154" t="s">
        <v>60</v>
      </c>
      <c r="J2164" s="204">
        <v>2.8986600000000001E-5</v>
      </c>
      <c r="K2164" s="154" t="s">
        <v>26</v>
      </c>
      <c r="L2164" s="154" t="str">
        <f>IF(OpenLCAbasic!K2164="CTUh", "Fill in Manually",IF(OR(K2164="Unit", K2164=""), "", INDEX(LookUps!$E$5:$E$12, MATCH(OpenLCAbasic!K2164,LookUps!$D$5:$D$12,0))))</f>
        <v>Water Use (WU) - m3 H2O</v>
      </c>
      <c r="M2164" s="154" t="str">
        <f t="shared" si="109"/>
        <v>Low_Medium_High_Upgraded_Water Use (WU) - m3 H2O_Belt filter press; wastewater treatment unit; at updated plant - US_Base_With Amendment_Windrow</v>
      </c>
    </row>
    <row r="2165" spans="1:13" s="120" customFormat="1" x14ac:dyDescent="0.25">
      <c r="A2165" s="119"/>
      <c r="B2165" s="138" t="str">
        <f t="shared" si="107"/>
        <v>Windrow</v>
      </c>
      <c r="C2165" s="138" t="str">
        <f t="shared" si="108"/>
        <v>Base_With Amendment</v>
      </c>
      <c r="D2165" s="118" t="s">
        <v>137</v>
      </c>
      <c r="E2165" s="118" t="s">
        <v>180</v>
      </c>
      <c r="F2165" s="118" t="s">
        <v>46</v>
      </c>
      <c r="G2165" s="153"/>
      <c r="H2165" s="155">
        <v>3.3399999999999999E-2</v>
      </c>
      <c r="I2165" s="154" t="s">
        <v>53</v>
      </c>
      <c r="J2165" s="204">
        <v>1.75069E-5</v>
      </c>
      <c r="K2165" s="154" t="s">
        <v>26</v>
      </c>
      <c r="L2165" s="154" t="str">
        <f>IF(OpenLCAbasic!K2165="CTUh", "Fill in Manually",IF(OR(K2165="Unit", K2165=""), "", INDEX(LookUps!$E$5:$E$12, MATCH(OpenLCAbasic!K2165,LookUps!$D$5:$D$12,0))))</f>
        <v>Water Use (WU) - m3 H2O</v>
      </c>
      <c r="M2165" s="154" t="str">
        <f t="shared" si="109"/>
        <v>Low_Medium_High_Upgraded_Water Use (WU) - m3 H2O_Wet Well and Sump Station; wastewater treatment unit; at updated plant - US_Base_With Amendment_Windrow</v>
      </c>
    </row>
    <row r="2166" spans="1:13" s="120" customFormat="1" x14ac:dyDescent="0.25">
      <c r="A2166" s="119"/>
      <c r="B2166" s="138" t="str">
        <f t="shared" si="107"/>
        <v>Windrow</v>
      </c>
      <c r="C2166" s="138" t="str">
        <f t="shared" si="108"/>
        <v>Base_With Amendment</v>
      </c>
      <c r="D2166" s="118" t="s">
        <v>137</v>
      </c>
      <c r="E2166" s="118" t="s">
        <v>180</v>
      </c>
      <c r="F2166" s="118" t="s">
        <v>46</v>
      </c>
      <c r="G2166" s="153"/>
      <c r="H2166" s="155">
        <v>1.34E-2</v>
      </c>
      <c r="I2166" s="154" t="s">
        <v>59</v>
      </c>
      <c r="J2166" s="204">
        <v>7.0179500000000003E-6</v>
      </c>
      <c r="K2166" s="154" t="s">
        <v>26</v>
      </c>
      <c r="L2166" s="154" t="str">
        <f>IF(OpenLCAbasic!K2166="CTUh", "Fill in Manually",IF(OR(K2166="Unit", K2166=""), "", INDEX(LookUps!$E$5:$E$12, MATCH(OpenLCAbasic!K2166,LookUps!$D$5:$D$12,0))))</f>
        <v>Water Use (WU) - m3 H2O</v>
      </c>
      <c r="M2166" s="154" t="str">
        <f t="shared" si="109"/>
        <v>Low_Medium_High_Upgraded_Water Use (WU) - m3 H2O_Blend Tank; wastewater treatment unit; at updated plant - US_Base_With Amendment_Windrow</v>
      </c>
    </row>
    <row r="2167" spans="1:13" s="120" customFormat="1" x14ac:dyDescent="0.25">
      <c r="A2167" s="119"/>
      <c r="B2167" s="138" t="str">
        <f t="shared" si="107"/>
        <v>Windrow</v>
      </c>
      <c r="C2167" s="138" t="str">
        <f t="shared" si="108"/>
        <v>Base_With Amendment</v>
      </c>
      <c r="D2167" s="118" t="s">
        <v>137</v>
      </c>
      <c r="E2167" s="118" t="s">
        <v>180</v>
      </c>
      <c r="F2167" s="118" t="s">
        <v>46</v>
      </c>
      <c r="G2167" s="153"/>
      <c r="H2167" s="155">
        <v>9.5999999999999992E-3</v>
      </c>
      <c r="I2167" s="154" t="s">
        <v>128</v>
      </c>
      <c r="J2167" s="204">
        <v>5.0608900000000003E-6</v>
      </c>
      <c r="K2167" s="154" t="s">
        <v>26</v>
      </c>
      <c r="L2167" s="154" t="str">
        <f>IF(OpenLCAbasic!K2167="CTUh", "Fill in Manually",IF(OR(K2167="Unit", K2167=""), "", INDEX(LookUps!$E$5:$E$12, MATCH(OpenLCAbasic!K2167,LookUps!$D$5:$D$12,0))))</f>
        <v>Water Use (WU) - m3 H2O</v>
      </c>
      <c r="M2167" s="154" t="str">
        <f t="shared" si="109"/>
        <v>Low_Medium_High_Upgraded_Water Use (WU) - m3 H2O_Wastewater collection; operation and infrastructure; m3 wastewater_Base_With Amendment_Windrow</v>
      </c>
    </row>
    <row r="2168" spans="1:13" s="120" customFormat="1" x14ac:dyDescent="0.25">
      <c r="A2168" s="119"/>
      <c r="B2168" s="138" t="str">
        <f t="shared" si="107"/>
        <v>Windrow</v>
      </c>
      <c r="C2168" s="138" t="str">
        <f t="shared" si="108"/>
        <v>Base_With Amendment</v>
      </c>
      <c r="D2168" s="118" t="s">
        <v>137</v>
      </c>
      <c r="E2168" s="118" t="s">
        <v>180</v>
      </c>
      <c r="F2168" s="118" t="s">
        <v>46</v>
      </c>
      <c r="G2168" s="153"/>
      <c r="H2168" s="155">
        <v>2.7000000000000001E-3</v>
      </c>
      <c r="I2168" s="154" t="s">
        <v>271</v>
      </c>
      <c r="J2168" s="204">
        <v>1.4113900000000001E-6</v>
      </c>
      <c r="K2168" s="154" t="s">
        <v>26</v>
      </c>
      <c r="L2168" s="154" t="str">
        <f>IF(OpenLCAbasic!K2168="CTUh", "Fill in Manually",IF(OR(K2168="Unit", K2168=""), "", INDEX(LookUps!$E$5:$E$12, MATCH(OpenLCAbasic!K2168,LookUps!$D$5:$D$12,0))))</f>
        <v>Water Use (WU) - m3 H2O</v>
      </c>
      <c r="M2168" s="154" t="str">
        <f t="shared" si="109"/>
        <v>Low_Medium_High_Upgraded_Water Use (WU) - m3 H2O_Biosolids composting; windrow composting; wastewater treatment unit; at updated plant - US_Base_With Amendment_Windrow</v>
      </c>
    </row>
    <row r="2169" spans="1:13" s="120" customFormat="1" x14ac:dyDescent="0.25">
      <c r="A2169" s="119"/>
      <c r="B2169" s="138" t="str">
        <f t="shared" si="107"/>
        <v>Windrow</v>
      </c>
      <c r="C2169" s="138" t="str">
        <f t="shared" si="108"/>
        <v>Base_With Amendment</v>
      </c>
      <c r="D2169" s="118" t="s">
        <v>137</v>
      </c>
      <c r="E2169" s="118" t="s">
        <v>180</v>
      </c>
      <c r="F2169" s="118" t="s">
        <v>46</v>
      </c>
      <c r="G2169" s="153"/>
      <c r="H2169" s="155">
        <v>1.5E-3</v>
      </c>
      <c r="I2169" s="154" t="s">
        <v>168</v>
      </c>
      <c r="J2169" s="204">
        <v>7.6697000000000004E-7</v>
      </c>
      <c r="K2169" s="154" t="s">
        <v>26</v>
      </c>
      <c r="L2169" s="154" t="str">
        <f>IF(OpenLCAbasic!K2169="CTUh", "Fill in Manually",IF(OR(K2169="Unit", K2169=""), "", INDEX(LookUps!$E$5:$E$12, MATCH(OpenLCAbasic!K2169,LookUps!$D$5:$D$12,0))))</f>
        <v>Water Use (WU) - m3 H2O</v>
      </c>
      <c r="M2169" s="154" t="str">
        <f t="shared" si="109"/>
        <v>Low_Medium_High_Upgraded_Water Use (WU) - m3 H2O_ClearCove SCP; wastewater treatment unit; at updated plant - US_Base_With Amendment_Windrow</v>
      </c>
    </row>
    <row r="2170" spans="1:13" s="120" customFormat="1" x14ac:dyDescent="0.25">
      <c r="A2170" s="119"/>
      <c r="B2170" s="138" t="str">
        <f t="shared" si="107"/>
        <v>Windrow</v>
      </c>
      <c r="C2170" s="138" t="str">
        <f t="shared" si="108"/>
        <v>Base_With Amendment</v>
      </c>
      <c r="D2170" s="118" t="s">
        <v>137</v>
      </c>
      <c r="E2170" s="118" t="s">
        <v>180</v>
      </c>
      <c r="F2170" s="118" t="s">
        <v>46</v>
      </c>
      <c r="G2170" s="153"/>
      <c r="H2170" s="155">
        <v>-0.28889999999999999</v>
      </c>
      <c r="I2170" s="154" t="s">
        <v>149</v>
      </c>
      <c r="J2170" s="204">
        <v>-1.4999999999999999E-4</v>
      </c>
      <c r="K2170" s="154" t="s">
        <v>26</v>
      </c>
      <c r="L2170" s="154" t="str">
        <f>IF(OpenLCAbasic!K2170="CTUh", "Fill in Manually",IF(OR(K2170="Unit", K2170=""), "", INDEX(LookUps!$E$5:$E$12, MATCH(OpenLCAbasic!K2170,LookUps!$D$5:$D$12,0))))</f>
        <v>Water Use (WU) - m3 H2O</v>
      </c>
      <c r="M2170" s="154" t="str">
        <f t="shared" si="109"/>
        <v>Low_Medium_High_Upgraded_Water Use (WU) - m3 H2O_Anaerobic Digestion; wastewater treatment unit; at updated plant - US_Base_With Amendment_Windrow</v>
      </c>
    </row>
    <row r="2171" spans="1:13" s="120" customFormat="1" x14ac:dyDescent="0.25">
      <c r="A2171" s="213"/>
      <c r="B2171" s="138" t="str">
        <f t="shared" si="107"/>
        <v>Windrow</v>
      </c>
      <c r="C2171" s="138" t="str">
        <f t="shared" si="108"/>
        <v>Base_With Amendment</v>
      </c>
      <c r="D2171" s="118" t="s">
        <v>137</v>
      </c>
      <c r="E2171" s="118" t="s">
        <v>180</v>
      </c>
      <c r="F2171" s="118" t="s">
        <v>46</v>
      </c>
      <c r="G2171" s="153"/>
      <c r="H2171" s="155">
        <v>-2.9195000000000002</v>
      </c>
      <c r="I2171" s="154" t="s">
        <v>62</v>
      </c>
      <c r="J2171" s="204">
        <v>-1.5299999999999999E-3</v>
      </c>
      <c r="K2171" s="154" t="s">
        <v>26</v>
      </c>
      <c r="L2171" s="154" t="str">
        <f>IF(OpenLCAbasic!K2171="CTUh", "Fill in Manually",IF(OR(K2171="Unit", K2171=""), "", INDEX(LookUps!$E$5:$E$12, MATCH(OpenLCAbasic!K2171,LookUps!$D$5:$D$12,0))))</f>
        <v>Water Use (WU) - m3 H2O</v>
      </c>
      <c r="M2171" s="154" t="str">
        <f t="shared" si="109"/>
        <v>Low_Medium_High_Upgraded_Water Use (WU) - m3 H2O_Land application of compost; wastewater treatment unit; at updated plant - US_Base_With Amendment_Windrow</v>
      </c>
    </row>
    <row r="2172" spans="1:13" s="120" customFormat="1" x14ac:dyDescent="0.25">
      <c r="A2172" s="119"/>
      <c r="B2172" s="138" t="str">
        <f t="shared" si="107"/>
        <v/>
      </c>
      <c r="C2172" s="138" t="str">
        <f t="shared" si="108"/>
        <v/>
      </c>
      <c r="D2172" s="138"/>
      <c r="E2172" s="138"/>
      <c r="F2172" s="138"/>
      <c r="G2172" s="153"/>
      <c r="H2172" s="160"/>
      <c r="I2172" s="160"/>
      <c r="J2172" s="207"/>
      <c r="K2172" s="160"/>
      <c r="L2172" s="154" t="str">
        <f>IF(OpenLCAbasic!K2172="CTUh", "Fill in Manually",IF(OR(K2172="Unit", K2172=""), "", INDEX(LookUps!$E$5:$E$12, MATCH(OpenLCAbasic!K2172,LookUps!$D$5:$D$12,0))))</f>
        <v/>
      </c>
      <c r="M2172" s="154" t="str">
        <f t="shared" si="109"/>
        <v>______</v>
      </c>
    </row>
    <row r="2173" spans="1:13" s="120" customFormat="1" x14ac:dyDescent="0.25">
      <c r="A2173" s="119"/>
      <c r="B2173" s="138" t="str">
        <f t="shared" si="107"/>
        <v>Windrow</v>
      </c>
      <c r="C2173" s="138" t="str">
        <f t="shared" si="108"/>
        <v>Base_With Amendment</v>
      </c>
      <c r="D2173" s="118" t="s">
        <v>138</v>
      </c>
      <c r="E2173" s="118" t="s">
        <v>180</v>
      </c>
      <c r="F2173" s="118" t="s">
        <v>46</v>
      </c>
      <c r="G2173" s="153" t="s">
        <v>51</v>
      </c>
      <c r="H2173" s="154"/>
      <c r="I2173" s="154" t="s">
        <v>47</v>
      </c>
      <c r="J2173" s="154" t="s">
        <v>52</v>
      </c>
      <c r="K2173" s="154" t="s">
        <v>27</v>
      </c>
      <c r="L2173" s="154" t="str">
        <f>IF(OpenLCAbasic!K2173="CTUh", "Fill in Manually",IF(OR(K2173="Unit", K2173=""), "", INDEX(LookUps!$E$5:$E$12, MATCH(OpenLCAbasic!K2173,LookUps!$D$5:$D$12,0))))</f>
        <v/>
      </c>
      <c r="M2173" s="154" t="str">
        <f t="shared" si="109"/>
        <v>Low_High_Low_Upgraded__Process_Base_With Amendment_Windrow</v>
      </c>
    </row>
    <row r="2174" spans="1:13" s="120" customFormat="1" x14ac:dyDescent="0.25">
      <c r="A2174" s="119"/>
      <c r="B2174" s="138" t="str">
        <f t="shared" si="107"/>
        <v>Windrow</v>
      </c>
      <c r="C2174" s="138" t="str">
        <f t="shared" si="108"/>
        <v>Base_With Amendment</v>
      </c>
      <c r="D2174" s="118" t="s">
        <v>138</v>
      </c>
      <c r="E2174" s="118" t="s">
        <v>180</v>
      </c>
      <c r="F2174" s="118" t="s">
        <v>46</v>
      </c>
      <c r="G2174" s="153"/>
      <c r="H2174" s="155">
        <v>1.9478</v>
      </c>
      <c r="I2174" s="154" t="s">
        <v>58</v>
      </c>
      <c r="J2174" s="203">
        <v>0.24992</v>
      </c>
      <c r="K2174" s="154" t="s">
        <v>23</v>
      </c>
      <c r="L2174" s="154" t="str">
        <f>IF(OpenLCAbasic!K2174="CTUh", "Fill in Manually",IF(OR(K2174="Unit", K2174=""), "", INDEX(LookUps!$E$5:$E$12, MATCH(OpenLCAbasic!K2174,LookUps!$D$5:$D$12,0))))</f>
        <v>Global Warming Potential (GWP) - kg CO2 eq</v>
      </c>
      <c r="M2174" s="154" t="str">
        <f t="shared" si="109"/>
        <v>Low_High_Low_Upgraded_Global Warming Potential (GWP) - kg CO2 eq_Pre-Anoxic &amp; Swing tank; wastewater treatment unit; at updated plant - US_Base_With Amendment_Windrow</v>
      </c>
    </row>
    <row r="2175" spans="1:13" s="120" customFormat="1" x14ac:dyDescent="0.25">
      <c r="A2175" s="119"/>
      <c r="B2175" s="138" t="str">
        <f t="shared" si="107"/>
        <v>Windrow</v>
      </c>
      <c r="C2175" s="138" t="str">
        <f t="shared" si="108"/>
        <v>Base_With Amendment</v>
      </c>
      <c r="D2175" s="118" t="s">
        <v>138</v>
      </c>
      <c r="E2175" s="118" t="s">
        <v>180</v>
      </c>
      <c r="F2175" s="118" t="s">
        <v>46</v>
      </c>
      <c r="G2175" s="153"/>
      <c r="H2175" s="155">
        <v>1.5586</v>
      </c>
      <c r="I2175" s="154" t="s">
        <v>271</v>
      </c>
      <c r="J2175" s="203">
        <v>0.19997999999999999</v>
      </c>
      <c r="K2175" s="154" t="s">
        <v>23</v>
      </c>
      <c r="L2175" s="154" t="str">
        <f>IF(OpenLCAbasic!K2175="CTUh", "Fill in Manually",IF(OR(K2175="Unit", K2175=""), "", INDEX(LookUps!$E$5:$E$12, MATCH(OpenLCAbasic!K2175,LookUps!$D$5:$D$12,0))))</f>
        <v>Global Warming Potential (GWP) - kg CO2 eq</v>
      </c>
      <c r="M2175" s="154" t="str">
        <f t="shared" si="109"/>
        <v>Low_High_Low_Upgraded_Global Warming Potential (GWP) - kg CO2 eq_Biosolids composting; windrow composting; wastewater treatment unit; at updated plant - US_Base_With Amendment_Windrow</v>
      </c>
    </row>
    <row r="2176" spans="1:13" s="120" customFormat="1" x14ac:dyDescent="0.25">
      <c r="A2176" s="119"/>
      <c r="B2176" s="138" t="str">
        <f t="shared" si="107"/>
        <v>Windrow</v>
      </c>
      <c r="C2176" s="138" t="str">
        <f t="shared" si="108"/>
        <v>Base_With Amendment</v>
      </c>
      <c r="D2176" s="118" t="s">
        <v>138</v>
      </c>
      <c r="E2176" s="118" t="s">
        <v>180</v>
      </c>
      <c r="F2176" s="118" t="s">
        <v>46</v>
      </c>
      <c r="G2176" s="153"/>
      <c r="H2176" s="155">
        <v>1.3110999999999999</v>
      </c>
      <c r="I2176" s="154" t="s">
        <v>55</v>
      </c>
      <c r="J2176" s="203">
        <v>0.16822000000000001</v>
      </c>
      <c r="K2176" s="154" t="s">
        <v>23</v>
      </c>
      <c r="L2176" s="154" t="str">
        <f>IF(OpenLCAbasic!K2176="CTUh", "Fill in Manually",IF(OR(K2176="Unit", K2176=""), "", INDEX(LookUps!$E$5:$E$12, MATCH(OpenLCAbasic!K2176,LookUps!$D$5:$D$12,0))))</f>
        <v>Global Warming Potential (GWP) - kg CO2 eq</v>
      </c>
      <c r="M2176" s="154" t="str">
        <f t="shared" si="109"/>
        <v>Low_High_Low_Upgraded_Global Warming Potential (GWP) - kg CO2 eq_Aeration Tanks; wastewater treatment unit; at updated plant - US_Base_With Amendment_Windrow</v>
      </c>
    </row>
    <row r="2177" spans="1:13" s="120" customFormat="1" x14ac:dyDescent="0.25">
      <c r="A2177" s="119"/>
      <c r="B2177" s="138" t="str">
        <f t="shared" si="107"/>
        <v>Windrow</v>
      </c>
      <c r="C2177" s="138" t="str">
        <f t="shared" si="108"/>
        <v>Base_With Amendment</v>
      </c>
      <c r="D2177" s="118" t="s">
        <v>138</v>
      </c>
      <c r="E2177" s="118" t="s">
        <v>180</v>
      </c>
      <c r="F2177" s="118" t="s">
        <v>46</v>
      </c>
      <c r="G2177" s="153"/>
      <c r="H2177" s="155">
        <v>1.1445000000000001</v>
      </c>
      <c r="I2177" s="154" t="s">
        <v>167</v>
      </c>
      <c r="J2177" s="203">
        <v>0.14685000000000001</v>
      </c>
      <c r="K2177" s="154" t="s">
        <v>23</v>
      </c>
      <c r="L2177" s="154" t="str">
        <f>IF(OpenLCAbasic!K2177="CTUh", "Fill in Manually",IF(OR(K2177="Unit", K2177=""), "", INDEX(LookUps!$E$5:$E$12, MATCH(OpenLCAbasic!K2177,LookUps!$D$5:$D$12,0))))</f>
        <v>Global Warming Potential (GWP) - kg CO2 eq</v>
      </c>
      <c r="M2177" s="154" t="str">
        <f t="shared" si="109"/>
        <v>Low_High_Low_Upgraded_Global Warming Potential (GWP) - kg CO2 eq_Waste Receiving and Holding; wastewater treatment unit; at updated plant - US_Base_With Amendment_Windrow</v>
      </c>
    </row>
    <row r="2178" spans="1:13" s="120" customFormat="1" x14ac:dyDescent="0.25">
      <c r="A2178" s="119"/>
      <c r="B2178" s="138" t="str">
        <f t="shared" si="107"/>
        <v>Windrow</v>
      </c>
      <c r="C2178" s="138" t="str">
        <f t="shared" si="108"/>
        <v>Base_With Amendment</v>
      </c>
      <c r="D2178" s="118" t="s">
        <v>138</v>
      </c>
      <c r="E2178" s="118" t="s">
        <v>180</v>
      </c>
      <c r="F2178" s="118" t="s">
        <v>46</v>
      </c>
      <c r="G2178" s="153"/>
      <c r="H2178" s="155">
        <v>0.44490000000000002</v>
      </c>
      <c r="I2178" s="154" t="s">
        <v>54</v>
      </c>
      <c r="J2178" s="203">
        <v>5.7079999999999999E-2</v>
      </c>
      <c r="K2178" s="154" t="s">
        <v>23</v>
      </c>
      <c r="L2178" s="154" t="str">
        <f>IF(OpenLCAbasic!K2178="CTUh", "Fill in Manually",IF(OR(K2178="Unit", K2178=""), "", INDEX(LookUps!$E$5:$E$12, MATCH(OpenLCAbasic!K2178,LookUps!$D$5:$D$12,0))))</f>
        <v>Global Warming Potential (GWP) - kg CO2 eq</v>
      </c>
      <c r="M2178" s="154" t="str">
        <f t="shared" si="109"/>
        <v>Low_High_Low_Upgraded_Global Warming Potential (GWP) - kg CO2 eq_Clear Cove Primary Clarification; wastewater treatment unit; at updated plant - US_Base_With Amendment_Windrow</v>
      </c>
    </row>
    <row r="2179" spans="1:13" s="120" customFormat="1" x14ac:dyDescent="0.25">
      <c r="A2179" s="119"/>
      <c r="B2179" s="138" t="str">
        <f t="shared" si="107"/>
        <v>Windrow</v>
      </c>
      <c r="C2179" s="138" t="str">
        <f t="shared" si="108"/>
        <v>Base_With Amendment</v>
      </c>
      <c r="D2179" s="118" t="s">
        <v>138</v>
      </c>
      <c r="E2179" s="118" t="s">
        <v>180</v>
      </c>
      <c r="F2179" s="118" t="s">
        <v>46</v>
      </c>
      <c r="G2179" s="153"/>
      <c r="H2179" s="155">
        <v>0.41020000000000001</v>
      </c>
      <c r="I2179" s="154" t="s">
        <v>48</v>
      </c>
      <c r="J2179" s="203">
        <v>5.2639999999999999E-2</v>
      </c>
      <c r="K2179" s="154" t="s">
        <v>23</v>
      </c>
      <c r="L2179" s="154" t="str">
        <f>IF(OpenLCAbasic!K2179="CTUh", "Fill in Manually",IF(OR(K2179="Unit", K2179=""), "", INDEX(LookUps!$E$5:$E$12, MATCH(OpenLCAbasic!K2179,LookUps!$D$5:$D$12,0))))</f>
        <v>Global Warming Potential (GWP) - kg CO2 eq</v>
      </c>
      <c r="M2179" s="154" t="str">
        <f t="shared" si="109"/>
        <v>Low_High_Low_Upgraded_Global Warming Potential (GWP) - kg CO2 eq_Effluent release; wastewater treatment unit; at surface water; m3 wastewater - US_Base_With Amendment_Windrow</v>
      </c>
    </row>
    <row r="2180" spans="1:13" s="120" customFormat="1" x14ac:dyDescent="0.25">
      <c r="A2180" s="119"/>
      <c r="B2180" s="138" t="str">
        <f t="shared" si="107"/>
        <v>Windrow</v>
      </c>
      <c r="C2180" s="138" t="str">
        <f t="shared" si="108"/>
        <v>Base_With Amendment</v>
      </c>
      <c r="D2180" s="118" t="s">
        <v>138</v>
      </c>
      <c r="E2180" s="118" t="s">
        <v>180</v>
      </c>
      <c r="F2180" s="118" t="s">
        <v>46</v>
      </c>
      <c r="G2180" s="153"/>
      <c r="H2180" s="155">
        <v>0.39360000000000001</v>
      </c>
      <c r="I2180" s="154" t="s">
        <v>147</v>
      </c>
      <c r="J2180" s="203">
        <v>5.0500000000000003E-2</v>
      </c>
      <c r="K2180" s="154" t="s">
        <v>23</v>
      </c>
      <c r="L2180" s="154" t="str">
        <f>IF(OpenLCAbasic!K2180="CTUh", "Fill in Manually",IF(OR(K2180="Unit", K2180=""), "", INDEX(LookUps!$E$5:$E$12, MATCH(OpenLCAbasic!K2180,LookUps!$D$5:$D$12,0))))</f>
        <v>Global Warming Potential (GWP) - kg CO2 eq</v>
      </c>
      <c r="M2180" s="154" t="str">
        <f t="shared" si="109"/>
        <v>Low_High_Low_Upgraded_Global Warming Potential (GWP) - kg CO2 eq_Influent Pump Station; wastewater treatment unit; at updated plant - US_Base_With Amendment_Windrow</v>
      </c>
    </row>
    <row r="2181" spans="1:13" s="120" customFormat="1" x14ac:dyDescent="0.25">
      <c r="A2181" s="119"/>
      <c r="B2181" s="138" t="str">
        <f t="shared" si="107"/>
        <v>Windrow</v>
      </c>
      <c r="C2181" s="138" t="str">
        <f t="shared" si="108"/>
        <v>Base_With Amendment</v>
      </c>
      <c r="D2181" s="118" t="s">
        <v>138</v>
      </c>
      <c r="E2181" s="118" t="s">
        <v>180</v>
      </c>
      <c r="F2181" s="118" t="s">
        <v>46</v>
      </c>
      <c r="G2181" s="153"/>
      <c r="H2181" s="155">
        <v>0.25919999999999999</v>
      </c>
      <c r="I2181" s="154" t="s">
        <v>53</v>
      </c>
      <c r="J2181" s="203">
        <v>3.3259999999999998E-2</v>
      </c>
      <c r="K2181" s="154" t="s">
        <v>23</v>
      </c>
      <c r="L2181" s="154" t="str">
        <f>IF(OpenLCAbasic!K2181="CTUh", "Fill in Manually",IF(OR(K2181="Unit", K2181=""), "", INDEX(LookUps!$E$5:$E$12, MATCH(OpenLCAbasic!K2181,LookUps!$D$5:$D$12,0))))</f>
        <v>Global Warming Potential (GWP) - kg CO2 eq</v>
      </c>
      <c r="M2181" s="154" t="str">
        <f t="shared" si="109"/>
        <v>Low_High_Low_Upgraded_Global Warming Potential (GWP) - kg CO2 eq_Wet Well and Sump Station; wastewater treatment unit; at updated plant - US_Base_With Amendment_Windrow</v>
      </c>
    </row>
    <row r="2182" spans="1:13" s="120" customFormat="1" x14ac:dyDescent="0.25">
      <c r="A2182" s="119"/>
      <c r="B2182" s="138" t="str">
        <f t="shared" ref="B2182:B2245" si="110">IF(F2182="Legacy","n.a.",IF(F2182="","","Windrow"))</f>
        <v>Windrow</v>
      </c>
      <c r="C2182" s="138" t="str">
        <f t="shared" si="108"/>
        <v>Base_With Amendment</v>
      </c>
      <c r="D2182" s="118" t="s">
        <v>138</v>
      </c>
      <c r="E2182" s="118" t="s">
        <v>180</v>
      </c>
      <c r="F2182" s="118" t="s">
        <v>46</v>
      </c>
      <c r="G2182" s="153"/>
      <c r="H2182" s="155">
        <v>0.21679999999999999</v>
      </c>
      <c r="I2182" s="154" t="s">
        <v>60</v>
      </c>
      <c r="J2182" s="203">
        <v>2.7820000000000001E-2</v>
      </c>
      <c r="K2182" s="154" t="s">
        <v>23</v>
      </c>
      <c r="L2182" s="154" t="str">
        <f>IF(OpenLCAbasic!K2182="CTUh", "Fill in Manually",IF(OR(K2182="Unit", K2182=""), "", INDEX(LookUps!$E$5:$E$12, MATCH(OpenLCAbasic!K2182,LookUps!$D$5:$D$12,0))))</f>
        <v>Global Warming Potential (GWP) - kg CO2 eq</v>
      </c>
      <c r="M2182" s="154" t="str">
        <f t="shared" si="109"/>
        <v>Low_High_Low_Upgraded_Global Warming Potential (GWP) - kg CO2 eq_Belt filter press; wastewater treatment unit; at updated plant - US_Base_With Amendment_Windrow</v>
      </c>
    </row>
    <row r="2183" spans="1:13" s="120" customFormat="1" x14ac:dyDescent="0.25">
      <c r="A2183" s="119"/>
      <c r="B2183" s="138" t="str">
        <f t="shared" si="110"/>
        <v>Windrow</v>
      </c>
      <c r="C2183" s="138" t="str">
        <f t="shared" ref="C2183:C2246" si="111">IF(E2183&lt;&gt;"", "Base_With Amendment","")</f>
        <v>Base_With Amendment</v>
      </c>
      <c r="D2183" s="118" t="s">
        <v>138</v>
      </c>
      <c r="E2183" s="118" t="s">
        <v>180</v>
      </c>
      <c r="F2183" s="118" t="s">
        <v>46</v>
      </c>
      <c r="G2183" s="153"/>
      <c r="H2183" s="155">
        <v>0.1134</v>
      </c>
      <c r="I2183" s="154" t="s">
        <v>57</v>
      </c>
      <c r="J2183" s="203">
        <v>1.455E-2</v>
      </c>
      <c r="K2183" s="154" t="s">
        <v>23</v>
      </c>
      <c r="L2183" s="154" t="str">
        <f>IF(OpenLCAbasic!K2183="CTUh", "Fill in Manually",IF(OR(K2183="Unit", K2183=""), "", INDEX(LookUps!$E$5:$E$12, MATCH(OpenLCAbasic!K2183,LookUps!$D$5:$D$12,0))))</f>
        <v>Global Warming Potential (GWP) - kg CO2 eq</v>
      </c>
      <c r="M2183" s="154" t="str">
        <f t="shared" ref="M2183:M2246" si="112">CONCATENATE(E2183,"_",D2183,"_",F2183,"_",L2183, "_",I2183,"_", C2183,"_", B2183)</f>
        <v>Low_High_Low_Upgraded_Global Warming Potential (GWP) - kg CO2 eq_Gravity Belt Thickener; wastewater treatment unit; at updated plant - US_Base_With Amendment_Windrow</v>
      </c>
    </row>
    <row r="2184" spans="1:13" s="120" customFormat="1" x14ac:dyDescent="0.25">
      <c r="A2184" s="119"/>
      <c r="B2184" s="138" t="str">
        <f t="shared" si="110"/>
        <v>Windrow</v>
      </c>
      <c r="C2184" s="138" t="str">
        <f t="shared" si="111"/>
        <v>Base_With Amendment</v>
      </c>
      <c r="D2184" s="118" t="s">
        <v>138</v>
      </c>
      <c r="E2184" s="118" t="s">
        <v>180</v>
      </c>
      <c r="F2184" s="118" t="s">
        <v>46</v>
      </c>
      <c r="G2184" s="153"/>
      <c r="H2184" s="155">
        <v>0.1053</v>
      </c>
      <c r="I2184" s="154" t="s">
        <v>128</v>
      </c>
      <c r="J2184" s="204">
        <v>1.3509999999999999E-2</v>
      </c>
      <c r="K2184" s="154" t="s">
        <v>23</v>
      </c>
      <c r="L2184" s="154" t="str">
        <f>IF(OpenLCAbasic!K2184="CTUh", "Fill in Manually",IF(OR(K2184="Unit", K2184=""), "", INDEX(LookUps!$E$5:$E$12, MATCH(OpenLCAbasic!K2184,LookUps!$D$5:$D$12,0))))</f>
        <v>Global Warming Potential (GWP) - kg CO2 eq</v>
      </c>
      <c r="M2184" s="154" t="str">
        <f t="shared" si="112"/>
        <v>Low_High_Low_Upgraded_Global Warming Potential (GWP) - kg CO2 eq_Wastewater collection; operation and infrastructure; m3 wastewater_Base_With Amendment_Windrow</v>
      </c>
    </row>
    <row r="2185" spans="1:13" s="120" customFormat="1" x14ac:dyDescent="0.25">
      <c r="A2185" s="119"/>
      <c r="B2185" s="138" t="str">
        <f t="shared" si="110"/>
        <v>Windrow</v>
      </c>
      <c r="C2185" s="138" t="str">
        <f t="shared" si="111"/>
        <v>Base_With Amendment</v>
      </c>
      <c r="D2185" s="118" t="s">
        <v>138</v>
      </c>
      <c r="E2185" s="118" t="s">
        <v>180</v>
      </c>
      <c r="F2185" s="118" t="s">
        <v>46</v>
      </c>
      <c r="G2185" s="153"/>
      <c r="H2185" s="155">
        <v>6.4699999999999994E-2</v>
      </c>
      <c r="I2185" s="154" t="s">
        <v>148</v>
      </c>
      <c r="J2185" s="204">
        <v>8.3000000000000001E-3</v>
      </c>
      <c r="K2185" s="154" t="s">
        <v>23</v>
      </c>
      <c r="L2185" s="154" t="str">
        <f>IF(OpenLCAbasic!K2185="CTUh", "Fill in Manually",IF(OR(K2185="Unit", K2185=""), "", INDEX(LookUps!$E$5:$E$12, MATCH(OpenLCAbasic!K2185,LookUps!$D$5:$D$12,0))))</f>
        <v>Global Warming Potential (GWP) - kg CO2 eq</v>
      </c>
      <c r="M2185" s="154" t="str">
        <f t="shared" si="112"/>
        <v>Low_High_Low_Upgraded_Global Warming Potential (GWP) - kg CO2 eq_Control Building; at upgraded wastewater treatment plant - US_Base_With Amendment_Windrow</v>
      </c>
    </row>
    <row r="2186" spans="1:13" s="120" customFormat="1" x14ac:dyDescent="0.25">
      <c r="A2186" s="119"/>
      <c r="B2186" s="138" t="str">
        <f t="shared" si="110"/>
        <v>Windrow</v>
      </c>
      <c r="C2186" s="138" t="str">
        <f t="shared" si="111"/>
        <v>Base_With Amendment</v>
      </c>
      <c r="D2186" s="118" t="s">
        <v>138</v>
      </c>
      <c r="E2186" s="118" t="s">
        <v>180</v>
      </c>
      <c r="F2186" s="118" t="s">
        <v>46</v>
      </c>
      <c r="G2186" s="153"/>
      <c r="H2186" s="155">
        <v>3.9300000000000002E-2</v>
      </c>
      <c r="I2186" s="154" t="s">
        <v>59</v>
      </c>
      <c r="J2186" s="204">
        <v>5.0400000000000002E-3</v>
      </c>
      <c r="K2186" s="154" t="s">
        <v>23</v>
      </c>
      <c r="L2186" s="154" t="str">
        <f>IF(OpenLCAbasic!K2186="CTUh", "Fill in Manually",IF(OR(K2186="Unit", K2186=""), "", INDEX(LookUps!$E$5:$E$12, MATCH(OpenLCAbasic!K2186,LookUps!$D$5:$D$12,0))))</f>
        <v>Global Warming Potential (GWP) - kg CO2 eq</v>
      </c>
      <c r="M2186" s="154" t="str">
        <f t="shared" si="112"/>
        <v>Low_High_Low_Upgraded_Global Warming Potential (GWP) - kg CO2 eq_Blend Tank; wastewater treatment unit; at updated plant - US_Base_With Amendment_Windrow</v>
      </c>
    </row>
    <row r="2187" spans="1:13" s="120" customFormat="1" x14ac:dyDescent="0.25">
      <c r="A2187" s="119"/>
      <c r="B2187" s="138" t="str">
        <f t="shared" si="110"/>
        <v>Windrow</v>
      </c>
      <c r="C2187" s="138" t="str">
        <f t="shared" si="111"/>
        <v>Base_With Amendment</v>
      </c>
      <c r="D2187" s="118" t="s">
        <v>138</v>
      </c>
      <c r="E2187" s="118" t="s">
        <v>180</v>
      </c>
      <c r="F2187" s="118" t="s">
        <v>46</v>
      </c>
      <c r="G2187" s="153"/>
      <c r="H2187" s="155">
        <v>1.8800000000000001E-2</v>
      </c>
      <c r="I2187" s="154" t="s">
        <v>168</v>
      </c>
      <c r="J2187" s="204">
        <v>2.4099999999999998E-3</v>
      </c>
      <c r="K2187" s="154" t="s">
        <v>23</v>
      </c>
      <c r="L2187" s="154" t="str">
        <f>IF(OpenLCAbasic!K2187="CTUh", "Fill in Manually",IF(OR(K2187="Unit", K2187=""), "", INDEX(LookUps!$E$5:$E$12, MATCH(OpenLCAbasic!K2187,LookUps!$D$5:$D$12,0))))</f>
        <v>Global Warming Potential (GWP) - kg CO2 eq</v>
      </c>
      <c r="M2187" s="154" t="str">
        <f t="shared" si="112"/>
        <v>Low_High_Low_Upgraded_Global Warming Potential (GWP) - kg CO2 eq_ClearCove SCP; wastewater treatment unit; at updated plant - US_Base_With Amendment_Windrow</v>
      </c>
    </row>
    <row r="2188" spans="1:13" s="120" customFormat="1" x14ac:dyDescent="0.25">
      <c r="A2188" s="119"/>
      <c r="B2188" s="138" t="str">
        <f t="shared" si="110"/>
        <v>Windrow</v>
      </c>
      <c r="C2188" s="138" t="str">
        <f t="shared" si="111"/>
        <v>Base_With Amendment</v>
      </c>
      <c r="D2188" s="118" t="s">
        <v>138</v>
      </c>
      <c r="E2188" s="118" t="s">
        <v>180</v>
      </c>
      <c r="F2188" s="118" t="s">
        <v>46</v>
      </c>
      <c r="G2188" s="153"/>
      <c r="H2188" s="155">
        <v>-1.3292999999999999</v>
      </c>
      <c r="I2188" s="154" t="s">
        <v>149</v>
      </c>
      <c r="J2188" s="203">
        <v>-0.17055999999999999</v>
      </c>
      <c r="K2188" s="154" t="s">
        <v>23</v>
      </c>
      <c r="L2188" s="154" t="str">
        <f>IF(OpenLCAbasic!K2188="CTUh", "Fill in Manually",IF(OR(K2188="Unit", K2188=""), "", INDEX(LookUps!$E$5:$E$12, MATCH(OpenLCAbasic!K2188,LookUps!$D$5:$D$12,0))))</f>
        <v>Global Warming Potential (GWP) - kg CO2 eq</v>
      </c>
      <c r="M2188" s="154" t="str">
        <f t="shared" si="112"/>
        <v>Low_High_Low_Upgraded_Global Warming Potential (GWP) - kg CO2 eq_Anaerobic Digestion; wastewater treatment unit; at updated plant - US_Base_With Amendment_Windrow</v>
      </c>
    </row>
    <row r="2189" spans="1:13" s="120" customFormat="1" x14ac:dyDescent="0.25">
      <c r="A2189" s="119"/>
      <c r="B2189" s="138" t="str">
        <f t="shared" si="110"/>
        <v>Windrow</v>
      </c>
      <c r="C2189" s="138" t="str">
        <f t="shared" si="111"/>
        <v>Base_With Amendment</v>
      </c>
      <c r="D2189" s="118" t="s">
        <v>138</v>
      </c>
      <c r="E2189" s="118" t="s">
        <v>180</v>
      </c>
      <c r="F2189" s="118" t="s">
        <v>46</v>
      </c>
      <c r="G2189" s="153"/>
      <c r="H2189" s="155">
        <v>-7.6989999999999998</v>
      </c>
      <c r="I2189" s="154" t="s">
        <v>62</v>
      </c>
      <c r="J2189" s="203">
        <v>-0.98782999999999999</v>
      </c>
      <c r="K2189" s="154" t="s">
        <v>23</v>
      </c>
      <c r="L2189" s="154" t="str">
        <f>IF(OpenLCAbasic!K2189="CTUh", "Fill in Manually",IF(OR(K2189="Unit", K2189=""), "", INDEX(LookUps!$E$5:$E$12, MATCH(OpenLCAbasic!K2189,LookUps!$D$5:$D$12,0))))</f>
        <v>Global Warming Potential (GWP) - kg CO2 eq</v>
      </c>
      <c r="M2189" s="154" t="str">
        <f t="shared" si="112"/>
        <v>Low_High_Low_Upgraded_Global Warming Potential (GWP) - kg CO2 eq_Land application of compost; wastewater treatment unit; at updated plant - US_Base_With Amendment_Windrow</v>
      </c>
    </row>
    <row r="2190" spans="1:13" s="120" customFormat="1" x14ac:dyDescent="0.25">
      <c r="A2190" s="119"/>
      <c r="B2190" s="138" t="str">
        <f t="shared" si="110"/>
        <v>Windrow</v>
      </c>
      <c r="C2190" s="138" t="str">
        <f t="shared" si="111"/>
        <v>Base_With Amendment</v>
      </c>
      <c r="D2190" s="118" t="s">
        <v>138</v>
      </c>
      <c r="E2190" s="118" t="s">
        <v>180</v>
      </c>
      <c r="F2190" s="118" t="s">
        <v>46</v>
      </c>
      <c r="G2190" s="153" t="s">
        <v>51</v>
      </c>
      <c r="H2190" s="154"/>
      <c r="I2190" s="154" t="s">
        <v>47</v>
      </c>
      <c r="J2190" s="154" t="s">
        <v>52</v>
      </c>
      <c r="K2190" s="154" t="s">
        <v>27</v>
      </c>
      <c r="L2190" s="154" t="str">
        <f>IF(OpenLCAbasic!K2190="CTUh", "Fill in Manually",IF(OR(K2190="Unit", K2190=""), "", INDEX(LookUps!$E$5:$E$12, MATCH(OpenLCAbasic!K2190,LookUps!$D$5:$D$12,0))))</f>
        <v/>
      </c>
      <c r="M2190" s="154" t="str">
        <f t="shared" si="112"/>
        <v>Low_High_Low_Upgraded__Process_Base_With Amendment_Windrow</v>
      </c>
    </row>
    <row r="2191" spans="1:13" s="120" customFormat="1" x14ac:dyDescent="0.25">
      <c r="A2191" s="119"/>
      <c r="B2191" s="138" t="str">
        <f t="shared" si="110"/>
        <v>Windrow</v>
      </c>
      <c r="C2191" s="138" t="str">
        <f t="shared" si="111"/>
        <v>Base_With Amendment</v>
      </c>
      <c r="D2191" s="118" t="s">
        <v>138</v>
      </c>
      <c r="E2191" s="118" t="s">
        <v>180</v>
      </c>
      <c r="F2191" s="118" t="s">
        <v>46</v>
      </c>
      <c r="G2191" s="153"/>
      <c r="H2191" s="155">
        <v>0.65869999999999995</v>
      </c>
      <c r="I2191" s="154" t="s">
        <v>48</v>
      </c>
      <c r="J2191" s="203">
        <v>1.1610000000000001E-2</v>
      </c>
      <c r="K2191" s="154" t="s">
        <v>13</v>
      </c>
      <c r="L2191" s="154" t="str">
        <f>IF(OpenLCAbasic!K2191="CTUh", "Fill in Manually",IF(OR(K2191="Unit", K2191=""), "", INDEX(LookUps!$E$5:$E$12, MATCH(OpenLCAbasic!K2191,LookUps!$D$5:$D$12,0))))</f>
        <v>Eutrophication Potential (EP) - kg N eq</v>
      </c>
      <c r="M2191" s="154" t="str">
        <f t="shared" si="112"/>
        <v>Low_High_Low_Upgraded_Eutrophication Potential (EP) - kg N eq_Effluent release; wastewater treatment unit; at surface water; m3 wastewater - US_Base_With Amendment_Windrow</v>
      </c>
    </row>
    <row r="2192" spans="1:13" s="120" customFormat="1" x14ac:dyDescent="0.25">
      <c r="A2192" s="119"/>
      <c r="B2192" s="138" t="str">
        <f t="shared" si="110"/>
        <v>Windrow</v>
      </c>
      <c r="C2192" s="138" t="str">
        <f t="shared" si="111"/>
        <v>Base_With Amendment</v>
      </c>
      <c r="D2192" s="118" t="s">
        <v>138</v>
      </c>
      <c r="E2192" s="118" t="s">
        <v>180</v>
      </c>
      <c r="F2192" s="118" t="s">
        <v>46</v>
      </c>
      <c r="G2192" s="153"/>
      <c r="H2192" s="155">
        <v>0.25879999999999997</v>
      </c>
      <c r="I2192" s="154" t="s">
        <v>62</v>
      </c>
      <c r="J2192" s="204">
        <v>4.5599999999999998E-3</v>
      </c>
      <c r="K2192" s="154" t="s">
        <v>13</v>
      </c>
      <c r="L2192" s="154" t="str">
        <f>IF(OpenLCAbasic!K2192="CTUh", "Fill in Manually",IF(OR(K2192="Unit", K2192=""), "", INDEX(LookUps!$E$5:$E$12, MATCH(OpenLCAbasic!K2192,LookUps!$D$5:$D$12,0))))</f>
        <v>Eutrophication Potential (EP) - kg N eq</v>
      </c>
      <c r="M2192" s="154" t="str">
        <f t="shared" si="112"/>
        <v>Low_High_Low_Upgraded_Eutrophication Potential (EP) - kg N eq_Land application of compost; wastewater treatment unit; at updated plant - US_Base_With Amendment_Windrow</v>
      </c>
    </row>
    <row r="2193" spans="1:13" s="120" customFormat="1" x14ac:dyDescent="0.25">
      <c r="A2193" s="119"/>
      <c r="B2193" s="138" t="str">
        <f t="shared" si="110"/>
        <v>Windrow</v>
      </c>
      <c r="C2193" s="138" t="str">
        <f t="shared" si="111"/>
        <v>Base_With Amendment</v>
      </c>
      <c r="D2193" s="118" t="s">
        <v>138</v>
      </c>
      <c r="E2193" s="118" t="s">
        <v>180</v>
      </c>
      <c r="F2193" s="118" t="s">
        <v>46</v>
      </c>
      <c r="G2193" s="153"/>
      <c r="H2193" s="155">
        <v>3.1E-2</v>
      </c>
      <c r="I2193" s="154" t="s">
        <v>55</v>
      </c>
      <c r="J2193" s="204">
        <v>5.5000000000000003E-4</v>
      </c>
      <c r="K2193" s="154" t="s">
        <v>13</v>
      </c>
      <c r="L2193" s="154" t="str">
        <f>IF(OpenLCAbasic!K2193="CTUh", "Fill in Manually",IF(OR(K2193="Unit", K2193=""), "", INDEX(LookUps!$E$5:$E$12, MATCH(OpenLCAbasic!K2193,LookUps!$D$5:$D$12,0))))</f>
        <v>Eutrophication Potential (EP) - kg N eq</v>
      </c>
      <c r="M2193" s="154" t="str">
        <f t="shared" si="112"/>
        <v>Low_High_Low_Upgraded_Eutrophication Potential (EP) - kg N eq_Aeration Tanks; wastewater treatment unit; at updated plant - US_Base_With Amendment_Windrow</v>
      </c>
    </row>
    <row r="2194" spans="1:13" s="120" customFormat="1" x14ac:dyDescent="0.25">
      <c r="A2194" s="119"/>
      <c r="B2194" s="138" t="str">
        <f t="shared" si="110"/>
        <v>Windrow</v>
      </c>
      <c r="C2194" s="138" t="str">
        <f t="shared" si="111"/>
        <v>Base_With Amendment</v>
      </c>
      <c r="D2194" s="118" t="s">
        <v>138</v>
      </c>
      <c r="E2194" s="118" t="s">
        <v>180</v>
      </c>
      <c r="F2194" s="118" t="s">
        <v>46</v>
      </c>
      <c r="G2194" s="153"/>
      <c r="H2194" s="155">
        <v>1.4200000000000001E-2</v>
      </c>
      <c r="I2194" s="154" t="s">
        <v>147</v>
      </c>
      <c r="J2194" s="204">
        <v>2.5000000000000001E-4</v>
      </c>
      <c r="K2194" s="154" t="s">
        <v>13</v>
      </c>
      <c r="L2194" s="154" t="str">
        <f>IF(OpenLCAbasic!K2194="CTUh", "Fill in Manually",IF(OR(K2194="Unit", K2194=""), "", INDEX(LookUps!$E$5:$E$12, MATCH(OpenLCAbasic!K2194,LookUps!$D$5:$D$12,0))))</f>
        <v>Eutrophication Potential (EP) - kg N eq</v>
      </c>
      <c r="M2194" s="154" t="str">
        <f t="shared" si="112"/>
        <v>Low_High_Low_Upgraded_Eutrophication Potential (EP) - kg N eq_Influent Pump Station; wastewater treatment unit; at updated plant - US_Base_With Amendment_Windrow</v>
      </c>
    </row>
    <row r="2195" spans="1:13" s="120" customFormat="1" x14ac:dyDescent="0.25">
      <c r="A2195" s="119"/>
      <c r="B2195" s="138" t="str">
        <f t="shared" si="110"/>
        <v>Windrow</v>
      </c>
      <c r="C2195" s="138" t="str">
        <f t="shared" si="111"/>
        <v>Base_With Amendment</v>
      </c>
      <c r="D2195" s="118" t="s">
        <v>138</v>
      </c>
      <c r="E2195" s="118" t="s">
        <v>180</v>
      </c>
      <c r="F2195" s="118" t="s">
        <v>46</v>
      </c>
      <c r="G2195" s="153"/>
      <c r="H2195" s="155">
        <v>1.2500000000000001E-2</v>
      </c>
      <c r="I2195" s="154" t="s">
        <v>167</v>
      </c>
      <c r="J2195" s="204">
        <v>2.2000000000000001E-4</v>
      </c>
      <c r="K2195" s="154" t="s">
        <v>13</v>
      </c>
      <c r="L2195" s="154" t="str">
        <f>IF(OpenLCAbasic!K2195="CTUh", "Fill in Manually",IF(OR(K2195="Unit", K2195=""), "", INDEX(LookUps!$E$5:$E$12, MATCH(OpenLCAbasic!K2195,LookUps!$D$5:$D$12,0))))</f>
        <v>Eutrophication Potential (EP) - kg N eq</v>
      </c>
      <c r="M2195" s="154" t="str">
        <f t="shared" si="112"/>
        <v>Low_High_Low_Upgraded_Eutrophication Potential (EP) - kg N eq_Waste Receiving and Holding; wastewater treatment unit; at updated plant - US_Base_With Amendment_Windrow</v>
      </c>
    </row>
    <row r="2196" spans="1:13" s="120" customFormat="1" x14ac:dyDescent="0.25">
      <c r="A2196" s="119"/>
      <c r="B2196" s="138" t="str">
        <f t="shared" si="110"/>
        <v>Windrow</v>
      </c>
      <c r="C2196" s="138" t="str">
        <f t="shared" si="111"/>
        <v>Base_With Amendment</v>
      </c>
      <c r="D2196" s="118" t="s">
        <v>138</v>
      </c>
      <c r="E2196" s="118" t="s">
        <v>180</v>
      </c>
      <c r="F2196" s="118" t="s">
        <v>46</v>
      </c>
      <c r="G2196" s="153"/>
      <c r="H2196" s="155">
        <v>1.12E-2</v>
      </c>
      <c r="I2196" s="154" t="s">
        <v>54</v>
      </c>
      <c r="J2196" s="204">
        <v>2.0000000000000001E-4</v>
      </c>
      <c r="K2196" s="154" t="s">
        <v>13</v>
      </c>
      <c r="L2196" s="154" t="str">
        <f>IF(OpenLCAbasic!K2196="CTUh", "Fill in Manually",IF(OR(K2196="Unit", K2196=""), "", INDEX(LookUps!$E$5:$E$12, MATCH(OpenLCAbasic!K2196,LookUps!$D$5:$D$12,0))))</f>
        <v>Eutrophication Potential (EP) - kg N eq</v>
      </c>
      <c r="M2196" s="154" t="str">
        <f t="shared" si="112"/>
        <v>Low_High_Low_Upgraded_Eutrophication Potential (EP) - kg N eq_Clear Cove Primary Clarification; wastewater treatment unit; at updated plant - US_Base_With Amendment_Windrow</v>
      </c>
    </row>
    <row r="2197" spans="1:13" s="120" customFormat="1" x14ac:dyDescent="0.25">
      <c r="A2197" s="119"/>
      <c r="B2197" s="138" t="str">
        <f t="shared" si="110"/>
        <v>Windrow</v>
      </c>
      <c r="C2197" s="138" t="str">
        <f t="shared" si="111"/>
        <v>Base_With Amendment</v>
      </c>
      <c r="D2197" s="118" t="s">
        <v>138</v>
      </c>
      <c r="E2197" s="118" t="s">
        <v>180</v>
      </c>
      <c r="F2197" s="118" t="s">
        <v>46</v>
      </c>
      <c r="G2197" s="153"/>
      <c r="H2197" s="155">
        <v>7.7999999999999996E-3</v>
      </c>
      <c r="I2197" s="154" t="s">
        <v>271</v>
      </c>
      <c r="J2197" s="204">
        <v>1.3999999999999999E-4</v>
      </c>
      <c r="K2197" s="154" t="s">
        <v>13</v>
      </c>
      <c r="L2197" s="154" t="str">
        <f>IF(OpenLCAbasic!K2197="CTUh", "Fill in Manually",IF(OR(K2197="Unit", K2197=""), "", INDEX(LookUps!$E$5:$E$12, MATCH(OpenLCAbasic!K2197,LookUps!$D$5:$D$12,0))))</f>
        <v>Eutrophication Potential (EP) - kg N eq</v>
      </c>
      <c r="M2197" s="154" t="str">
        <f t="shared" si="112"/>
        <v>Low_High_Low_Upgraded_Eutrophication Potential (EP) - kg N eq_Biosolids composting; windrow composting; wastewater treatment unit; at updated plant - US_Base_With Amendment_Windrow</v>
      </c>
    </row>
    <row r="2198" spans="1:13" s="120" customFormat="1" x14ac:dyDescent="0.25">
      <c r="A2198" s="119"/>
      <c r="B2198" s="138" t="str">
        <f t="shared" si="110"/>
        <v>Windrow</v>
      </c>
      <c r="C2198" s="138" t="str">
        <f t="shared" si="111"/>
        <v>Base_With Amendment</v>
      </c>
      <c r="D2198" s="118" t="s">
        <v>138</v>
      </c>
      <c r="E2198" s="118" t="s">
        <v>180</v>
      </c>
      <c r="F2198" s="118" t="s">
        <v>46</v>
      </c>
      <c r="G2198" s="153"/>
      <c r="H2198" s="155">
        <v>7.7000000000000002E-3</v>
      </c>
      <c r="I2198" s="154" t="s">
        <v>58</v>
      </c>
      <c r="J2198" s="204">
        <v>1.3999999999999999E-4</v>
      </c>
      <c r="K2198" s="154" t="s">
        <v>13</v>
      </c>
      <c r="L2198" s="154" t="str">
        <f>IF(OpenLCAbasic!K2198="CTUh", "Fill in Manually",IF(OR(K2198="Unit", K2198=""), "", INDEX(LookUps!$E$5:$E$12, MATCH(OpenLCAbasic!K2198,LookUps!$D$5:$D$12,0))))</f>
        <v>Eutrophication Potential (EP) - kg N eq</v>
      </c>
      <c r="M2198" s="154" t="str">
        <f t="shared" si="112"/>
        <v>Low_High_Low_Upgraded_Eutrophication Potential (EP) - kg N eq_Pre-Anoxic &amp; Swing tank; wastewater treatment unit; at updated plant - US_Base_With Amendment_Windrow</v>
      </c>
    </row>
    <row r="2199" spans="1:13" s="120" customFormat="1" x14ac:dyDescent="0.25">
      <c r="A2199" s="119"/>
      <c r="B2199" s="138" t="str">
        <f t="shared" si="110"/>
        <v>Windrow</v>
      </c>
      <c r="C2199" s="138" t="str">
        <f t="shared" si="111"/>
        <v>Base_With Amendment</v>
      </c>
      <c r="D2199" s="118" t="s">
        <v>138</v>
      </c>
      <c r="E2199" s="118" t="s">
        <v>180</v>
      </c>
      <c r="F2199" s="118" t="s">
        <v>46</v>
      </c>
      <c r="G2199" s="153"/>
      <c r="H2199" s="155">
        <v>6.3E-3</v>
      </c>
      <c r="I2199" s="154" t="s">
        <v>60</v>
      </c>
      <c r="J2199" s="204">
        <v>1.1E-4</v>
      </c>
      <c r="K2199" s="154" t="s">
        <v>13</v>
      </c>
      <c r="L2199" s="154" t="str">
        <f>IF(OpenLCAbasic!K2199="CTUh", "Fill in Manually",IF(OR(K2199="Unit", K2199=""), "", INDEX(LookUps!$E$5:$E$12, MATCH(OpenLCAbasic!K2199,LookUps!$D$5:$D$12,0))))</f>
        <v>Eutrophication Potential (EP) - kg N eq</v>
      </c>
      <c r="M2199" s="154" t="str">
        <f t="shared" si="112"/>
        <v>Low_High_Low_Upgraded_Eutrophication Potential (EP) - kg N eq_Belt filter press; wastewater treatment unit; at updated plant - US_Base_With Amendment_Windrow</v>
      </c>
    </row>
    <row r="2200" spans="1:13" s="120" customFormat="1" x14ac:dyDescent="0.25">
      <c r="A2200" s="119"/>
      <c r="B2200" s="138" t="str">
        <f t="shared" si="110"/>
        <v>Windrow</v>
      </c>
      <c r="C2200" s="138" t="str">
        <f t="shared" si="111"/>
        <v>Base_With Amendment</v>
      </c>
      <c r="D2200" s="118" t="s">
        <v>138</v>
      </c>
      <c r="E2200" s="118" t="s">
        <v>180</v>
      </c>
      <c r="F2200" s="118" t="s">
        <v>46</v>
      </c>
      <c r="G2200" s="153"/>
      <c r="H2200" s="155">
        <v>6.1000000000000004E-3</v>
      </c>
      <c r="I2200" s="154" t="s">
        <v>53</v>
      </c>
      <c r="J2200" s="204">
        <v>1.1E-4</v>
      </c>
      <c r="K2200" s="154" t="s">
        <v>13</v>
      </c>
      <c r="L2200" s="154" t="str">
        <f>IF(OpenLCAbasic!K2200="CTUh", "Fill in Manually",IF(OR(K2200="Unit", K2200=""), "", INDEX(LookUps!$E$5:$E$12, MATCH(OpenLCAbasic!K2200,LookUps!$D$5:$D$12,0))))</f>
        <v>Eutrophication Potential (EP) - kg N eq</v>
      </c>
      <c r="M2200" s="154" t="str">
        <f t="shared" si="112"/>
        <v>Low_High_Low_Upgraded_Eutrophication Potential (EP) - kg N eq_Wet Well and Sump Station; wastewater treatment unit; at updated plant - US_Base_With Amendment_Windrow</v>
      </c>
    </row>
    <row r="2201" spans="1:13" s="120" customFormat="1" x14ac:dyDescent="0.25">
      <c r="A2201" s="119"/>
      <c r="B2201" s="138" t="str">
        <f t="shared" si="110"/>
        <v>Windrow</v>
      </c>
      <c r="C2201" s="138" t="str">
        <f t="shared" si="111"/>
        <v>Base_With Amendment</v>
      </c>
      <c r="D2201" s="118" t="s">
        <v>138</v>
      </c>
      <c r="E2201" s="118" t="s">
        <v>180</v>
      </c>
      <c r="F2201" s="118" t="s">
        <v>46</v>
      </c>
      <c r="G2201" s="153"/>
      <c r="H2201" s="155">
        <v>3.3999999999999998E-3</v>
      </c>
      <c r="I2201" s="154" t="s">
        <v>57</v>
      </c>
      <c r="J2201" s="204">
        <v>6.0590300000000002E-5</v>
      </c>
      <c r="K2201" s="154" t="s">
        <v>13</v>
      </c>
      <c r="L2201" s="154" t="str">
        <f>IF(OpenLCAbasic!K2201="CTUh", "Fill in Manually",IF(OR(K2201="Unit", K2201=""), "", INDEX(LookUps!$E$5:$E$12, MATCH(OpenLCAbasic!K2201,LookUps!$D$5:$D$12,0))))</f>
        <v>Eutrophication Potential (EP) - kg N eq</v>
      </c>
      <c r="M2201" s="154" t="str">
        <f t="shared" si="112"/>
        <v>Low_High_Low_Upgraded_Eutrophication Potential (EP) - kg N eq_Gravity Belt Thickener; wastewater treatment unit; at updated plant - US_Base_With Amendment_Windrow</v>
      </c>
    </row>
    <row r="2202" spans="1:13" s="120" customFormat="1" x14ac:dyDescent="0.25">
      <c r="A2202" s="119"/>
      <c r="B2202" s="138" t="str">
        <f t="shared" si="110"/>
        <v>Windrow</v>
      </c>
      <c r="C2202" s="138" t="str">
        <f t="shared" si="111"/>
        <v>Base_With Amendment</v>
      </c>
      <c r="D2202" s="118" t="s">
        <v>138</v>
      </c>
      <c r="E2202" s="118" t="s">
        <v>180</v>
      </c>
      <c r="F2202" s="118" t="s">
        <v>46</v>
      </c>
      <c r="G2202" s="153"/>
      <c r="H2202" s="155">
        <v>2.0999999999999999E-3</v>
      </c>
      <c r="I2202" s="154" t="s">
        <v>128</v>
      </c>
      <c r="J2202" s="204">
        <v>3.7559799999999999E-5</v>
      </c>
      <c r="K2202" s="154" t="s">
        <v>13</v>
      </c>
      <c r="L2202" s="154" t="str">
        <f>IF(OpenLCAbasic!K2202="CTUh", "Fill in Manually",IF(OR(K2202="Unit", K2202=""), "", INDEX(LookUps!$E$5:$E$12, MATCH(OpenLCAbasic!K2202,LookUps!$D$5:$D$12,0))))</f>
        <v>Eutrophication Potential (EP) - kg N eq</v>
      </c>
      <c r="M2202" s="154" t="str">
        <f t="shared" si="112"/>
        <v>Low_High_Low_Upgraded_Eutrophication Potential (EP) - kg N eq_Wastewater collection; operation and infrastructure; m3 wastewater_Base_With Amendment_Windrow</v>
      </c>
    </row>
    <row r="2203" spans="1:13" s="120" customFormat="1" x14ac:dyDescent="0.25">
      <c r="A2203" s="119"/>
      <c r="B2203" s="138" t="str">
        <f t="shared" si="110"/>
        <v>Windrow</v>
      </c>
      <c r="C2203" s="138" t="str">
        <f t="shared" si="111"/>
        <v>Base_With Amendment</v>
      </c>
      <c r="D2203" s="118" t="s">
        <v>138</v>
      </c>
      <c r="E2203" s="118" t="s">
        <v>180</v>
      </c>
      <c r="F2203" s="118" t="s">
        <v>46</v>
      </c>
      <c r="G2203" s="153"/>
      <c r="H2203" s="155">
        <v>2.0999999999999999E-3</v>
      </c>
      <c r="I2203" s="154" t="s">
        <v>148</v>
      </c>
      <c r="J2203" s="204">
        <v>3.6874600000000001E-5</v>
      </c>
      <c r="K2203" s="154" t="s">
        <v>13</v>
      </c>
      <c r="L2203" s="154" t="str">
        <f>IF(OpenLCAbasic!K2203="CTUh", "Fill in Manually",IF(OR(K2203="Unit", K2203=""), "", INDEX(LookUps!$E$5:$E$12, MATCH(OpenLCAbasic!K2203,LookUps!$D$5:$D$12,0))))</f>
        <v>Eutrophication Potential (EP) - kg N eq</v>
      </c>
      <c r="M2203" s="154" t="str">
        <f t="shared" si="112"/>
        <v>Low_High_Low_Upgraded_Eutrophication Potential (EP) - kg N eq_Control Building; at upgraded wastewater treatment plant - US_Base_With Amendment_Windrow</v>
      </c>
    </row>
    <row r="2204" spans="1:13" s="120" customFormat="1" x14ac:dyDescent="0.25">
      <c r="A2204" s="119"/>
      <c r="B2204" s="138" t="str">
        <f t="shared" si="110"/>
        <v>Windrow</v>
      </c>
      <c r="C2204" s="138" t="str">
        <f t="shared" si="111"/>
        <v>Base_With Amendment</v>
      </c>
      <c r="D2204" s="118" t="s">
        <v>138</v>
      </c>
      <c r="E2204" s="118" t="s">
        <v>180</v>
      </c>
      <c r="F2204" s="118" t="s">
        <v>46</v>
      </c>
      <c r="G2204" s="153"/>
      <c r="H2204" s="155">
        <v>8.9999999999999998E-4</v>
      </c>
      <c r="I2204" s="154" t="s">
        <v>59</v>
      </c>
      <c r="J2204" s="204">
        <v>1.6215700000000001E-5</v>
      </c>
      <c r="K2204" s="154" t="s">
        <v>13</v>
      </c>
      <c r="L2204" s="154" t="str">
        <f>IF(OpenLCAbasic!K2204="CTUh", "Fill in Manually",IF(OR(K2204="Unit", K2204=""), "", INDEX(LookUps!$E$5:$E$12, MATCH(OpenLCAbasic!K2204,LookUps!$D$5:$D$12,0))))</f>
        <v>Eutrophication Potential (EP) - kg N eq</v>
      </c>
      <c r="M2204" s="154" t="str">
        <f t="shared" si="112"/>
        <v>Low_High_Low_Upgraded_Eutrophication Potential (EP) - kg N eq_Blend Tank; wastewater treatment unit; at updated plant - US_Base_With Amendment_Windrow</v>
      </c>
    </row>
    <row r="2205" spans="1:13" s="120" customFormat="1" x14ac:dyDescent="0.25">
      <c r="A2205" s="119"/>
      <c r="B2205" s="138" t="str">
        <f t="shared" si="110"/>
        <v>Windrow</v>
      </c>
      <c r="C2205" s="138" t="str">
        <f t="shared" si="111"/>
        <v>Base_With Amendment</v>
      </c>
      <c r="D2205" s="118" t="s">
        <v>138</v>
      </c>
      <c r="E2205" s="118" t="s">
        <v>180</v>
      </c>
      <c r="F2205" s="118" t="s">
        <v>46</v>
      </c>
      <c r="G2205" s="153"/>
      <c r="H2205" s="155">
        <v>4.0000000000000002E-4</v>
      </c>
      <c r="I2205" s="154" t="s">
        <v>168</v>
      </c>
      <c r="J2205" s="204">
        <v>7.7567199999999995E-6</v>
      </c>
      <c r="K2205" s="154" t="s">
        <v>13</v>
      </c>
      <c r="L2205" s="154" t="str">
        <f>IF(OpenLCAbasic!K2205="CTUh", "Fill in Manually",IF(OR(K2205="Unit", K2205=""), "", INDEX(LookUps!$E$5:$E$12, MATCH(OpenLCAbasic!K2205,LookUps!$D$5:$D$12,0))))</f>
        <v>Eutrophication Potential (EP) - kg N eq</v>
      </c>
      <c r="M2205" s="154" t="str">
        <f t="shared" si="112"/>
        <v>Low_High_Low_Upgraded_Eutrophication Potential (EP) - kg N eq_ClearCove SCP; wastewater treatment unit; at updated plant - US_Base_With Amendment_Windrow</v>
      </c>
    </row>
    <row r="2206" spans="1:13" s="120" customFormat="1" x14ac:dyDescent="0.25">
      <c r="A2206" s="119"/>
      <c r="B2206" s="138" t="str">
        <f t="shared" si="110"/>
        <v>Windrow</v>
      </c>
      <c r="C2206" s="138" t="str">
        <f t="shared" si="111"/>
        <v>Base_With Amendment</v>
      </c>
      <c r="D2206" s="118" t="s">
        <v>138</v>
      </c>
      <c r="E2206" s="118" t="s">
        <v>180</v>
      </c>
      <c r="F2206" s="118" t="s">
        <v>46</v>
      </c>
      <c r="G2206" s="153"/>
      <c r="H2206" s="155">
        <v>-2.3300000000000001E-2</v>
      </c>
      <c r="I2206" s="154" t="s">
        <v>149</v>
      </c>
      <c r="J2206" s="204">
        <v>-4.0999999999999999E-4</v>
      </c>
      <c r="K2206" s="154" t="s">
        <v>13</v>
      </c>
      <c r="L2206" s="154" t="str">
        <f>IF(OpenLCAbasic!K2206="CTUh", "Fill in Manually",IF(OR(K2206="Unit", K2206=""), "", INDEX(LookUps!$E$5:$E$12, MATCH(OpenLCAbasic!K2206,LookUps!$D$5:$D$12,0))))</f>
        <v>Eutrophication Potential (EP) - kg N eq</v>
      </c>
      <c r="M2206" s="154" t="str">
        <f t="shared" si="112"/>
        <v>Low_High_Low_Upgraded_Eutrophication Potential (EP) - kg N eq_Anaerobic Digestion; wastewater treatment unit; at updated plant - US_Base_With Amendment_Windrow</v>
      </c>
    </row>
    <row r="2207" spans="1:13" s="120" customFormat="1" x14ac:dyDescent="0.25">
      <c r="A2207" s="119"/>
      <c r="B2207" s="138" t="str">
        <f t="shared" si="110"/>
        <v>Windrow</v>
      </c>
      <c r="C2207" s="138" t="str">
        <f t="shared" si="111"/>
        <v>Base_With Amendment</v>
      </c>
      <c r="D2207" s="118" t="s">
        <v>138</v>
      </c>
      <c r="E2207" s="118" t="s">
        <v>180</v>
      </c>
      <c r="F2207" s="118" t="s">
        <v>46</v>
      </c>
      <c r="G2207" s="153" t="s">
        <v>51</v>
      </c>
      <c r="H2207" s="154"/>
      <c r="I2207" s="154" t="s">
        <v>47</v>
      </c>
      <c r="J2207" s="154" t="s">
        <v>52</v>
      </c>
      <c r="K2207" s="154" t="s">
        <v>27</v>
      </c>
      <c r="L2207" s="154" t="str">
        <f>IF(OpenLCAbasic!K2207="CTUh", "Fill in Manually",IF(OR(K2207="Unit", K2207=""), "", INDEX(LookUps!$E$5:$E$12, MATCH(OpenLCAbasic!K2207,LookUps!$D$5:$D$12,0))))</f>
        <v/>
      </c>
      <c r="M2207" s="154" t="str">
        <f t="shared" si="112"/>
        <v>Low_High_Low_Upgraded__Process_Base_With Amendment_Windrow</v>
      </c>
    </row>
    <row r="2208" spans="1:13" s="120" customFormat="1" x14ac:dyDescent="0.25">
      <c r="A2208" s="119"/>
      <c r="B2208" s="138" t="str">
        <f t="shared" si="110"/>
        <v>Windrow</v>
      </c>
      <c r="C2208" s="138" t="str">
        <f t="shared" si="111"/>
        <v>Base_With Amendment</v>
      </c>
      <c r="D2208" s="118" t="s">
        <v>138</v>
      </c>
      <c r="E2208" s="118" t="s">
        <v>180</v>
      </c>
      <c r="F2208" s="118" t="s">
        <v>46</v>
      </c>
      <c r="G2208" s="153"/>
      <c r="H2208" s="155">
        <v>0.62729999999999997</v>
      </c>
      <c r="I2208" s="154" t="s">
        <v>167</v>
      </c>
      <c r="J2208" s="157">
        <v>5.1393399999999998</v>
      </c>
      <c r="K2208" s="154" t="s">
        <v>15</v>
      </c>
      <c r="L2208" s="154" t="str">
        <f>IF(OpenLCAbasic!K2208="CTUh", "Fill in Manually",IF(OR(K2208="Unit", K2208=""), "", INDEX(LookUps!$E$5:$E$12, MATCH(OpenLCAbasic!K2208,LookUps!$D$5:$D$12,0))))</f>
        <v>Cumulative Energy Demand (CED) - MJ</v>
      </c>
      <c r="M2208" s="154" t="str">
        <f t="shared" si="112"/>
        <v>Low_High_Low_Upgraded_Cumulative Energy Demand (CED) - MJ_Waste Receiving and Holding; wastewater treatment unit; at updated plant - US_Base_With Amendment_Windrow</v>
      </c>
    </row>
    <row r="2209" spans="1:13" s="120" customFormat="1" x14ac:dyDescent="0.25">
      <c r="A2209" s="119"/>
      <c r="B2209" s="138" t="str">
        <f t="shared" si="110"/>
        <v>Windrow</v>
      </c>
      <c r="C2209" s="138" t="str">
        <f t="shared" si="111"/>
        <v>Base_With Amendment</v>
      </c>
      <c r="D2209" s="118" t="s">
        <v>138</v>
      </c>
      <c r="E2209" s="118" t="s">
        <v>180</v>
      </c>
      <c r="F2209" s="118" t="s">
        <v>46</v>
      </c>
      <c r="G2209" s="153"/>
      <c r="H2209" s="155">
        <v>0.43120000000000003</v>
      </c>
      <c r="I2209" s="154" t="s">
        <v>55</v>
      </c>
      <c r="J2209" s="157">
        <v>3.5330499999999998</v>
      </c>
      <c r="K2209" s="154" t="s">
        <v>15</v>
      </c>
      <c r="L2209" s="154" t="str">
        <f>IF(OpenLCAbasic!K2209="CTUh", "Fill in Manually",IF(OR(K2209="Unit", K2209=""), "", INDEX(LookUps!$E$5:$E$12, MATCH(OpenLCAbasic!K2209,LookUps!$D$5:$D$12,0))))</f>
        <v>Cumulative Energy Demand (CED) - MJ</v>
      </c>
      <c r="M2209" s="154" t="str">
        <f t="shared" si="112"/>
        <v>Low_High_Low_Upgraded_Cumulative Energy Demand (CED) - MJ_Aeration Tanks; wastewater treatment unit; at updated plant - US_Base_With Amendment_Windrow</v>
      </c>
    </row>
    <row r="2210" spans="1:13" s="120" customFormat="1" x14ac:dyDescent="0.25">
      <c r="A2210" s="119"/>
      <c r="B2210" s="138" t="str">
        <f t="shared" si="110"/>
        <v>Windrow</v>
      </c>
      <c r="C2210" s="138" t="str">
        <f t="shared" si="111"/>
        <v>Base_With Amendment</v>
      </c>
      <c r="D2210" s="118" t="s">
        <v>138</v>
      </c>
      <c r="E2210" s="118" t="s">
        <v>180</v>
      </c>
      <c r="F2210" s="118" t="s">
        <v>46</v>
      </c>
      <c r="G2210" s="153"/>
      <c r="H2210" s="155">
        <v>0.1419</v>
      </c>
      <c r="I2210" s="154" t="s">
        <v>54</v>
      </c>
      <c r="J2210" s="157">
        <v>1.16289</v>
      </c>
      <c r="K2210" s="154" t="s">
        <v>15</v>
      </c>
      <c r="L2210" s="154" t="str">
        <f>IF(OpenLCAbasic!K2210="CTUh", "Fill in Manually",IF(OR(K2210="Unit", K2210=""), "", INDEX(LookUps!$E$5:$E$12, MATCH(OpenLCAbasic!K2210,LookUps!$D$5:$D$12,0))))</f>
        <v>Cumulative Energy Demand (CED) - MJ</v>
      </c>
      <c r="M2210" s="154" t="str">
        <f t="shared" si="112"/>
        <v>Low_High_Low_Upgraded_Cumulative Energy Demand (CED) - MJ_Clear Cove Primary Clarification; wastewater treatment unit; at updated plant - US_Base_With Amendment_Windrow</v>
      </c>
    </row>
    <row r="2211" spans="1:13" s="120" customFormat="1" x14ac:dyDescent="0.25">
      <c r="A2211" s="119"/>
      <c r="B2211" s="138" t="str">
        <f t="shared" si="110"/>
        <v>Windrow</v>
      </c>
      <c r="C2211" s="138" t="str">
        <f t="shared" si="111"/>
        <v>Base_With Amendment</v>
      </c>
      <c r="D2211" s="118" t="s">
        <v>138</v>
      </c>
      <c r="E2211" s="118" t="s">
        <v>180</v>
      </c>
      <c r="F2211" s="118" t="s">
        <v>46</v>
      </c>
      <c r="G2211" s="153"/>
      <c r="H2211" s="155">
        <v>0.1087</v>
      </c>
      <c r="I2211" s="154" t="s">
        <v>58</v>
      </c>
      <c r="J2211" s="203">
        <v>0.89063999999999999</v>
      </c>
      <c r="K2211" s="154" t="s">
        <v>15</v>
      </c>
      <c r="L2211" s="154" t="str">
        <f>IF(OpenLCAbasic!K2211="CTUh", "Fill in Manually",IF(OR(K2211="Unit", K2211=""), "", INDEX(LookUps!$E$5:$E$12, MATCH(OpenLCAbasic!K2211,LookUps!$D$5:$D$12,0))))</f>
        <v>Cumulative Energy Demand (CED) - MJ</v>
      </c>
      <c r="M2211" s="154" t="str">
        <f t="shared" si="112"/>
        <v>Low_High_Low_Upgraded_Cumulative Energy Demand (CED) - MJ_Pre-Anoxic &amp; Swing tank; wastewater treatment unit; at updated plant - US_Base_With Amendment_Windrow</v>
      </c>
    </row>
    <row r="2212" spans="1:13" s="120" customFormat="1" x14ac:dyDescent="0.25">
      <c r="A2212" s="119"/>
      <c r="B2212" s="138" t="str">
        <f t="shared" si="110"/>
        <v>Windrow</v>
      </c>
      <c r="C2212" s="138" t="str">
        <f t="shared" si="111"/>
        <v>Base_With Amendment</v>
      </c>
      <c r="D2212" s="118" t="s">
        <v>138</v>
      </c>
      <c r="E2212" s="118" t="s">
        <v>180</v>
      </c>
      <c r="F2212" s="118" t="s">
        <v>46</v>
      </c>
      <c r="G2212" s="153"/>
      <c r="H2212" s="155">
        <v>0.10780000000000001</v>
      </c>
      <c r="I2212" s="154" t="s">
        <v>147</v>
      </c>
      <c r="J2212" s="203">
        <v>0.88297000000000003</v>
      </c>
      <c r="K2212" s="154" t="s">
        <v>15</v>
      </c>
      <c r="L2212" s="154" t="str">
        <f>IF(OpenLCAbasic!K2212="CTUh", "Fill in Manually",IF(OR(K2212="Unit", K2212=""), "", INDEX(LookUps!$E$5:$E$12, MATCH(OpenLCAbasic!K2212,LookUps!$D$5:$D$12,0))))</f>
        <v>Cumulative Energy Demand (CED) - MJ</v>
      </c>
      <c r="M2212" s="154" t="str">
        <f t="shared" si="112"/>
        <v>Low_High_Low_Upgraded_Cumulative Energy Demand (CED) - MJ_Influent Pump Station; wastewater treatment unit; at updated plant - US_Base_With Amendment_Windrow</v>
      </c>
    </row>
    <row r="2213" spans="1:13" s="120" customFormat="1" x14ac:dyDescent="0.25">
      <c r="A2213" s="119"/>
      <c r="B2213" s="138" t="str">
        <f t="shared" si="110"/>
        <v>Windrow</v>
      </c>
      <c r="C2213" s="138" t="str">
        <f t="shared" si="111"/>
        <v>Base_With Amendment</v>
      </c>
      <c r="D2213" s="118" t="s">
        <v>138</v>
      </c>
      <c r="E2213" s="118" t="s">
        <v>180</v>
      </c>
      <c r="F2213" s="118" t="s">
        <v>46</v>
      </c>
      <c r="G2213" s="153"/>
      <c r="H2213" s="155">
        <v>8.5000000000000006E-2</v>
      </c>
      <c r="I2213" s="154" t="s">
        <v>53</v>
      </c>
      <c r="J2213" s="203">
        <v>0.69645000000000001</v>
      </c>
      <c r="K2213" s="154" t="s">
        <v>15</v>
      </c>
      <c r="L2213" s="154" t="str">
        <f>IF(OpenLCAbasic!K2213="CTUh", "Fill in Manually",IF(OR(K2213="Unit", K2213=""), "", INDEX(LookUps!$E$5:$E$12, MATCH(OpenLCAbasic!K2213,LookUps!$D$5:$D$12,0))))</f>
        <v>Cumulative Energy Demand (CED) - MJ</v>
      </c>
      <c r="M2213" s="154" t="str">
        <f t="shared" si="112"/>
        <v>Low_High_Low_Upgraded_Cumulative Energy Demand (CED) - MJ_Wet Well and Sump Station; wastewater treatment unit; at updated plant - US_Base_With Amendment_Windrow</v>
      </c>
    </row>
    <row r="2214" spans="1:13" s="120" customFormat="1" x14ac:dyDescent="0.25">
      <c r="A2214" s="119"/>
      <c r="B2214" s="138" t="str">
        <f t="shared" si="110"/>
        <v>Windrow</v>
      </c>
      <c r="C2214" s="138" t="str">
        <f t="shared" si="111"/>
        <v>Base_With Amendment</v>
      </c>
      <c r="D2214" s="118" t="s">
        <v>138</v>
      </c>
      <c r="E2214" s="118" t="s">
        <v>180</v>
      </c>
      <c r="F2214" s="118" t="s">
        <v>46</v>
      </c>
      <c r="G2214" s="153"/>
      <c r="H2214" s="155">
        <v>7.6600000000000001E-2</v>
      </c>
      <c r="I2214" s="154" t="s">
        <v>60</v>
      </c>
      <c r="J2214" s="203">
        <v>0.62775999999999998</v>
      </c>
      <c r="K2214" s="154" t="s">
        <v>15</v>
      </c>
      <c r="L2214" s="154" t="str">
        <f>IF(OpenLCAbasic!K2214="CTUh", "Fill in Manually",IF(OR(K2214="Unit", K2214=""), "", INDEX(LookUps!$E$5:$E$12, MATCH(OpenLCAbasic!K2214,LookUps!$D$5:$D$12,0))))</f>
        <v>Cumulative Energy Demand (CED) - MJ</v>
      </c>
      <c r="M2214" s="154" t="str">
        <f t="shared" si="112"/>
        <v>Low_High_Low_Upgraded_Cumulative Energy Demand (CED) - MJ_Belt filter press; wastewater treatment unit; at updated plant - US_Base_With Amendment_Windrow</v>
      </c>
    </row>
    <row r="2215" spans="1:13" s="120" customFormat="1" x14ac:dyDescent="0.25">
      <c r="A2215" s="119"/>
      <c r="B2215" s="138" t="str">
        <f t="shared" si="110"/>
        <v>Windrow</v>
      </c>
      <c r="C2215" s="138" t="str">
        <f t="shared" si="111"/>
        <v>Base_With Amendment</v>
      </c>
      <c r="D2215" s="118" t="s">
        <v>138</v>
      </c>
      <c r="E2215" s="118" t="s">
        <v>180</v>
      </c>
      <c r="F2215" s="118" t="s">
        <v>46</v>
      </c>
      <c r="G2215" s="153"/>
      <c r="H2215" s="155">
        <v>4.0800000000000003E-2</v>
      </c>
      <c r="I2215" s="154" t="s">
        <v>57</v>
      </c>
      <c r="J2215" s="203">
        <v>0.33404</v>
      </c>
      <c r="K2215" s="154" t="s">
        <v>15</v>
      </c>
      <c r="L2215" s="154" t="str">
        <f>IF(OpenLCAbasic!K2215="CTUh", "Fill in Manually",IF(OR(K2215="Unit", K2215=""), "", INDEX(LookUps!$E$5:$E$12, MATCH(OpenLCAbasic!K2215,LookUps!$D$5:$D$12,0))))</f>
        <v>Cumulative Energy Demand (CED) - MJ</v>
      </c>
      <c r="M2215" s="154" t="str">
        <f t="shared" si="112"/>
        <v>Low_High_Low_Upgraded_Cumulative Energy Demand (CED) - MJ_Gravity Belt Thickener; wastewater treatment unit; at updated plant - US_Base_With Amendment_Windrow</v>
      </c>
    </row>
    <row r="2216" spans="1:13" s="120" customFormat="1" x14ac:dyDescent="0.25">
      <c r="A2216" s="119"/>
      <c r="B2216" s="138" t="str">
        <f t="shared" si="110"/>
        <v>Windrow</v>
      </c>
      <c r="C2216" s="138" t="str">
        <f t="shared" si="111"/>
        <v>Base_With Amendment</v>
      </c>
      <c r="D2216" s="118" t="s">
        <v>138</v>
      </c>
      <c r="E2216" s="118" t="s">
        <v>180</v>
      </c>
      <c r="F2216" s="118" t="s">
        <v>46</v>
      </c>
      <c r="G2216" s="153"/>
      <c r="H2216" s="155">
        <v>3.1300000000000001E-2</v>
      </c>
      <c r="I2216" s="154" t="s">
        <v>128</v>
      </c>
      <c r="J2216" s="203">
        <v>0.25606000000000001</v>
      </c>
      <c r="K2216" s="154" t="s">
        <v>15</v>
      </c>
      <c r="L2216" s="154" t="str">
        <f>IF(OpenLCAbasic!K2216="CTUh", "Fill in Manually",IF(OR(K2216="Unit", K2216=""), "", INDEX(LookUps!$E$5:$E$12, MATCH(OpenLCAbasic!K2216,LookUps!$D$5:$D$12,0))))</f>
        <v>Cumulative Energy Demand (CED) - MJ</v>
      </c>
      <c r="M2216" s="154" t="str">
        <f t="shared" si="112"/>
        <v>Low_High_Low_Upgraded_Cumulative Energy Demand (CED) - MJ_Wastewater collection; operation and infrastructure; m3 wastewater_Base_With Amendment_Windrow</v>
      </c>
    </row>
    <row r="2217" spans="1:13" s="120" customFormat="1" x14ac:dyDescent="0.25">
      <c r="A2217" s="119"/>
      <c r="B2217" s="138" t="str">
        <f t="shared" si="110"/>
        <v>Windrow</v>
      </c>
      <c r="C2217" s="138" t="str">
        <f t="shared" si="111"/>
        <v>Base_With Amendment</v>
      </c>
      <c r="D2217" s="118" t="s">
        <v>138</v>
      </c>
      <c r="E2217" s="118" t="s">
        <v>180</v>
      </c>
      <c r="F2217" s="118" t="s">
        <v>46</v>
      </c>
      <c r="G2217" s="153"/>
      <c r="H2217" s="155">
        <v>1.78E-2</v>
      </c>
      <c r="I2217" s="154" t="s">
        <v>148</v>
      </c>
      <c r="J2217" s="203">
        <v>0.14599000000000001</v>
      </c>
      <c r="K2217" s="154" t="s">
        <v>15</v>
      </c>
      <c r="L2217" s="154" t="str">
        <f>IF(OpenLCAbasic!K2217="CTUh", "Fill in Manually",IF(OR(K2217="Unit", K2217=""), "", INDEX(LookUps!$E$5:$E$12, MATCH(OpenLCAbasic!K2217,LookUps!$D$5:$D$12,0))))</f>
        <v>Cumulative Energy Demand (CED) - MJ</v>
      </c>
      <c r="M2217" s="154" t="str">
        <f t="shared" si="112"/>
        <v>Low_High_Low_Upgraded_Cumulative Energy Demand (CED) - MJ_Control Building; at upgraded wastewater treatment plant - US_Base_With Amendment_Windrow</v>
      </c>
    </row>
    <row r="2218" spans="1:13" s="120" customFormat="1" x14ac:dyDescent="0.25">
      <c r="A2218" s="119"/>
      <c r="B2218" s="138" t="str">
        <f t="shared" si="110"/>
        <v>Windrow</v>
      </c>
      <c r="C2218" s="138" t="str">
        <f t="shared" si="111"/>
        <v>Base_With Amendment</v>
      </c>
      <c r="D2218" s="118" t="s">
        <v>138</v>
      </c>
      <c r="E2218" s="118" t="s">
        <v>180</v>
      </c>
      <c r="F2218" s="118" t="s">
        <v>46</v>
      </c>
      <c r="G2218" s="153"/>
      <c r="H2218" s="155">
        <v>1.6299999999999999E-2</v>
      </c>
      <c r="I2218" s="154" t="s">
        <v>48</v>
      </c>
      <c r="J2218" s="203">
        <v>0.13321</v>
      </c>
      <c r="K2218" s="154" t="s">
        <v>15</v>
      </c>
      <c r="L2218" s="154" t="str">
        <f>IF(OpenLCAbasic!K2218="CTUh", "Fill in Manually",IF(OR(K2218="Unit", K2218=""), "", INDEX(LookUps!$E$5:$E$12, MATCH(OpenLCAbasic!K2218,LookUps!$D$5:$D$12,0))))</f>
        <v>Cumulative Energy Demand (CED) - MJ</v>
      </c>
      <c r="M2218" s="154" t="str">
        <f t="shared" si="112"/>
        <v>Low_High_Low_Upgraded_Cumulative Energy Demand (CED) - MJ_Effluent release; wastewater treatment unit; at surface water; m3 wastewater - US_Base_With Amendment_Windrow</v>
      </c>
    </row>
    <row r="2219" spans="1:13" s="120" customFormat="1" x14ac:dyDescent="0.25">
      <c r="A2219" s="119"/>
      <c r="B2219" s="138" t="str">
        <f t="shared" si="110"/>
        <v>Windrow</v>
      </c>
      <c r="C2219" s="138" t="str">
        <f t="shared" si="111"/>
        <v>Base_With Amendment</v>
      </c>
      <c r="D2219" s="118" t="s">
        <v>138</v>
      </c>
      <c r="E2219" s="118" t="s">
        <v>180</v>
      </c>
      <c r="F2219" s="118" t="s">
        <v>46</v>
      </c>
      <c r="G2219" s="153"/>
      <c r="H2219" s="155">
        <v>1.2999999999999999E-2</v>
      </c>
      <c r="I2219" s="154" t="s">
        <v>59</v>
      </c>
      <c r="J2219" s="203">
        <v>0.10638</v>
      </c>
      <c r="K2219" s="154" t="s">
        <v>15</v>
      </c>
      <c r="L2219" s="154" t="str">
        <f>IF(OpenLCAbasic!K2219="CTUh", "Fill in Manually",IF(OR(K2219="Unit", K2219=""), "", INDEX(LookUps!$E$5:$E$12, MATCH(OpenLCAbasic!K2219,LookUps!$D$5:$D$12,0))))</f>
        <v>Cumulative Energy Demand (CED) - MJ</v>
      </c>
      <c r="M2219" s="154" t="str">
        <f t="shared" si="112"/>
        <v>Low_High_Low_Upgraded_Cumulative Energy Demand (CED) - MJ_Blend Tank; wastewater treatment unit; at updated plant - US_Base_With Amendment_Windrow</v>
      </c>
    </row>
    <row r="2220" spans="1:13" s="120" customFormat="1" x14ac:dyDescent="0.25">
      <c r="A2220" s="119"/>
      <c r="B2220" s="138" t="str">
        <f t="shared" si="110"/>
        <v>Windrow</v>
      </c>
      <c r="C2220" s="138" t="str">
        <f t="shared" si="111"/>
        <v>Base_With Amendment</v>
      </c>
      <c r="D2220" s="118" t="s">
        <v>138</v>
      </c>
      <c r="E2220" s="118" t="s">
        <v>180</v>
      </c>
      <c r="F2220" s="118" t="s">
        <v>46</v>
      </c>
      <c r="G2220" s="153"/>
      <c r="H2220" s="155">
        <v>6.1999999999999998E-3</v>
      </c>
      <c r="I2220" s="154" t="s">
        <v>168</v>
      </c>
      <c r="J2220" s="203">
        <v>5.0930000000000003E-2</v>
      </c>
      <c r="K2220" s="154" t="s">
        <v>15</v>
      </c>
      <c r="L2220" s="154" t="str">
        <f>IF(OpenLCAbasic!K2220="CTUh", "Fill in Manually",IF(OR(K2220="Unit", K2220=""), "", INDEX(LookUps!$E$5:$E$12, MATCH(OpenLCAbasic!K2220,LookUps!$D$5:$D$12,0))))</f>
        <v>Cumulative Energy Demand (CED) - MJ</v>
      </c>
      <c r="M2220" s="154" t="str">
        <f t="shared" si="112"/>
        <v>Low_High_Low_Upgraded_Cumulative Energy Demand (CED) - MJ_ClearCove SCP; wastewater treatment unit; at updated plant - US_Base_With Amendment_Windrow</v>
      </c>
    </row>
    <row r="2221" spans="1:13" s="120" customFormat="1" x14ac:dyDescent="0.25">
      <c r="A2221" s="119"/>
      <c r="B2221" s="138" t="str">
        <f t="shared" si="110"/>
        <v>Windrow</v>
      </c>
      <c r="C2221" s="138" t="str">
        <f t="shared" si="111"/>
        <v>Base_With Amendment</v>
      </c>
      <c r="D2221" s="118" t="s">
        <v>138</v>
      </c>
      <c r="E2221" s="118" t="s">
        <v>180</v>
      </c>
      <c r="F2221" s="118" t="s">
        <v>46</v>
      </c>
      <c r="G2221" s="153"/>
      <c r="H2221" s="155">
        <v>5.4999999999999997E-3</v>
      </c>
      <c r="I2221" s="154" t="s">
        <v>271</v>
      </c>
      <c r="J2221" s="203">
        <v>4.5190000000000001E-2</v>
      </c>
      <c r="K2221" s="154" t="s">
        <v>15</v>
      </c>
      <c r="L2221" s="154" t="str">
        <f>IF(OpenLCAbasic!K2221="CTUh", "Fill in Manually",IF(OR(K2221="Unit", K2221=""), "", INDEX(LookUps!$E$5:$E$12, MATCH(OpenLCAbasic!K2221,LookUps!$D$5:$D$12,0))))</f>
        <v>Cumulative Energy Demand (CED) - MJ</v>
      </c>
      <c r="M2221" s="154" t="str">
        <f t="shared" si="112"/>
        <v>Low_High_Low_Upgraded_Cumulative Energy Demand (CED) - MJ_Biosolids composting; windrow composting; wastewater treatment unit; at updated plant - US_Base_With Amendment_Windrow</v>
      </c>
    </row>
    <row r="2222" spans="1:13" s="120" customFormat="1" x14ac:dyDescent="0.25">
      <c r="A2222" s="119"/>
      <c r="B2222" s="138" t="str">
        <f t="shared" si="110"/>
        <v>Windrow</v>
      </c>
      <c r="C2222" s="138" t="str">
        <f t="shared" si="111"/>
        <v>Base_With Amendment</v>
      </c>
      <c r="D2222" s="118" t="s">
        <v>138</v>
      </c>
      <c r="E2222" s="118" t="s">
        <v>180</v>
      </c>
      <c r="F2222" s="118" t="s">
        <v>46</v>
      </c>
      <c r="G2222" s="153"/>
      <c r="H2222" s="155">
        <v>-0.1239</v>
      </c>
      <c r="I2222" s="154" t="s">
        <v>62</v>
      </c>
      <c r="J2222" s="157">
        <v>-1.0146900000000001</v>
      </c>
      <c r="K2222" s="154" t="s">
        <v>15</v>
      </c>
      <c r="L2222" s="154" t="str">
        <f>IF(OpenLCAbasic!K2222="CTUh", "Fill in Manually",IF(OR(K2222="Unit", K2222=""), "", INDEX(LookUps!$E$5:$E$12, MATCH(OpenLCAbasic!K2222,LookUps!$D$5:$D$12,0))))</f>
        <v>Cumulative Energy Demand (CED) - MJ</v>
      </c>
      <c r="M2222" s="154" t="str">
        <f t="shared" si="112"/>
        <v>Low_High_Low_Upgraded_Cumulative Energy Demand (CED) - MJ_Land application of compost; wastewater treatment unit; at updated plant - US_Base_With Amendment_Windrow</v>
      </c>
    </row>
    <row r="2223" spans="1:13" s="120" customFormat="1" x14ac:dyDescent="0.25">
      <c r="A2223" s="119"/>
      <c r="B2223" s="138" t="str">
        <f t="shared" si="110"/>
        <v>Windrow</v>
      </c>
      <c r="C2223" s="138" t="str">
        <f t="shared" si="111"/>
        <v>Base_With Amendment</v>
      </c>
      <c r="D2223" s="118" t="s">
        <v>138</v>
      </c>
      <c r="E2223" s="118" t="s">
        <v>180</v>
      </c>
      <c r="F2223" s="118" t="s">
        <v>46</v>
      </c>
      <c r="G2223" s="153"/>
      <c r="H2223" s="155">
        <v>-0.58560000000000001</v>
      </c>
      <c r="I2223" s="154" t="s">
        <v>149</v>
      </c>
      <c r="J2223" s="157">
        <v>-4.7974600000000001</v>
      </c>
      <c r="K2223" s="154" t="s">
        <v>15</v>
      </c>
      <c r="L2223" s="154" t="str">
        <f>IF(OpenLCAbasic!K2223="CTUh", "Fill in Manually",IF(OR(K2223="Unit", K2223=""), "", INDEX(LookUps!$E$5:$E$12, MATCH(OpenLCAbasic!K2223,LookUps!$D$5:$D$12,0))))</f>
        <v>Cumulative Energy Demand (CED) - MJ</v>
      </c>
      <c r="M2223" s="154" t="str">
        <f t="shared" si="112"/>
        <v>Low_High_Low_Upgraded_Cumulative Energy Demand (CED) - MJ_Anaerobic Digestion; wastewater treatment unit; at updated plant - US_Base_With Amendment_Windrow</v>
      </c>
    </row>
    <row r="2224" spans="1:13" s="120" customFormat="1" x14ac:dyDescent="0.25">
      <c r="A2224" s="119"/>
      <c r="B2224" s="138" t="str">
        <f t="shared" si="110"/>
        <v>Windrow</v>
      </c>
      <c r="C2224" s="138" t="str">
        <f t="shared" si="111"/>
        <v>Base_With Amendment</v>
      </c>
      <c r="D2224" s="118" t="s">
        <v>138</v>
      </c>
      <c r="E2224" s="118" t="s">
        <v>180</v>
      </c>
      <c r="F2224" s="118" t="s">
        <v>46</v>
      </c>
      <c r="G2224" s="153" t="s">
        <v>51</v>
      </c>
      <c r="H2224" s="154"/>
      <c r="I2224" s="154" t="s">
        <v>47</v>
      </c>
      <c r="J2224" s="154" t="s">
        <v>52</v>
      </c>
      <c r="K2224" s="154" t="s">
        <v>27</v>
      </c>
      <c r="L2224" s="154" t="str">
        <f>IF(OpenLCAbasic!K2224="CTUh", "Fill in Manually",IF(OR(K2224="Unit", K2224=""), "", INDEX(LookUps!$E$5:$E$12, MATCH(OpenLCAbasic!K2224,LookUps!$D$5:$D$12,0))))</f>
        <v/>
      </c>
      <c r="M2224" s="154" t="str">
        <f t="shared" si="112"/>
        <v>Low_High_Low_Upgraded__Process_Base_With Amendment_Windrow</v>
      </c>
    </row>
    <row r="2225" spans="1:13" s="120" customFormat="1" x14ac:dyDescent="0.25">
      <c r="A2225" s="119"/>
      <c r="B2225" s="138" t="str">
        <f t="shared" si="110"/>
        <v>Windrow</v>
      </c>
      <c r="C2225" s="138" t="str">
        <f t="shared" si="111"/>
        <v>Base_With Amendment</v>
      </c>
      <c r="D2225" s="118" t="s">
        <v>138</v>
      </c>
      <c r="E2225" s="118" t="s">
        <v>180</v>
      </c>
      <c r="F2225" s="118" t="s">
        <v>46</v>
      </c>
      <c r="G2225" s="153"/>
      <c r="H2225" s="155">
        <v>0.49359999999999998</v>
      </c>
      <c r="I2225" s="154" t="s">
        <v>55</v>
      </c>
      <c r="J2225" s="203">
        <v>1.7219999999999999E-2</v>
      </c>
      <c r="K2225" s="154" t="s">
        <v>24</v>
      </c>
      <c r="L2225" s="154" t="str">
        <f>IF(OpenLCAbasic!K2225="CTUh", "Fill in Manually",IF(OR(K2225="Unit", K2225=""), "", INDEX(LookUps!$E$5:$E$12, MATCH(OpenLCAbasic!K2225,LookUps!$D$5:$D$12,0))))</f>
        <v>Acidification Potential (AP) - kg SO2 eq</v>
      </c>
      <c r="M2225" s="154" t="str">
        <f t="shared" si="112"/>
        <v>Low_High_Low_Upgraded_Acidification Potential (AP) - kg SO2 eq_Aeration Tanks; wastewater treatment unit; at updated plant - US_Base_With Amendment_Windrow</v>
      </c>
    </row>
    <row r="2226" spans="1:13" s="120" customFormat="1" x14ac:dyDescent="0.25">
      <c r="A2226" s="119"/>
      <c r="B2226" s="138" t="str">
        <f t="shared" si="110"/>
        <v>Windrow</v>
      </c>
      <c r="C2226" s="138" t="str">
        <f t="shared" si="111"/>
        <v>Base_With Amendment</v>
      </c>
      <c r="D2226" s="118" t="s">
        <v>138</v>
      </c>
      <c r="E2226" s="118" t="s">
        <v>180</v>
      </c>
      <c r="F2226" s="118" t="s">
        <v>46</v>
      </c>
      <c r="G2226" s="153"/>
      <c r="H2226" s="155">
        <v>0.183</v>
      </c>
      <c r="I2226" s="154" t="s">
        <v>62</v>
      </c>
      <c r="J2226" s="204">
        <v>6.3899999999999998E-3</v>
      </c>
      <c r="K2226" s="154" t="s">
        <v>24</v>
      </c>
      <c r="L2226" s="154" t="str">
        <f>IF(OpenLCAbasic!K2226="CTUh", "Fill in Manually",IF(OR(K2226="Unit", K2226=""), "", INDEX(LookUps!$E$5:$E$12, MATCH(OpenLCAbasic!K2226,LookUps!$D$5:$D$12,0))))</f>
        <v>Acidification Potential (AP) - kg SO2 eq</v>
      </c>
      <c r="M2226" s="154" t="str">
        <f t="shared" si="112"/>
        <v>Low_High_Low_Upgraded_Acidification Potential (AP) - kg SO2 eq_Land application of compost; wastewater treatment unit; at updated plant - US_Base_With Amendment_Windrow</v>
      </c>
    </row>
    <row r="2227" spans="1:13" s="120" customFormat="1" x14ac:dyDescent="0.25">
      <c r="A2227" s="119"/>
      <c r="B2227" s="138" t="str">
        <f t="shared" si="110"/>
        <v>Windrow</v>
      </c>
      <c r="C2227" s="138" t="str">
        <f t="shared" si="111"/>
        <v>Base_With Amendment</v>
      </c>
      <c r="D2227" s="118" t="s">
        <v>138</v>
      </c>
      <c r="E2227" s="118" t="s">
        <v>180</v>
      </c>
      <c r="F2227" s="118" t="s">
        <v>46</v>
      </c>
      <c r="G2227" s="153"/>
      <c r="H2227" s="155">
        <v>0.14280000000000001</v>
      </c>
      <c r="I2227" s="154" t="s">
        <v>54</v>
      </c>
      <c r="J2227" s="204">
        <v>4.9800000000000001E-3</v>
      </c>
      <c r="K2227" s="154" t="s">
        <v>24</v>
      </c>
      <c r="L2227" s="154" t="str">
        <f>IF(OpenLCAbasic!K2227="CTUh", "Fill in Manually",IF(OR(K2227="Unit", K2227=""), "", INDEX(LookUps!$E$5:$E$12, MATCH(OpenLCAbasic!K2227,LookUps!$D$5:$D$12,0))))</f>
        <v>Acidification Potential (AP) - kg SO2 eq</v>
      </c>
      <c r="M2227" s="154" t="str">
        <f t="shared" si="112"/>
        <v>Low_High_Low_Upgraded_Acidification Potential (AP) - kg SO2 eq_Clear Cove Primary Clarification; wastewater treatment unit; at updated plant - US_Base_With Amendment_Windrow</v>
      </c>
    </row>
    <row r="2228" spans="1:13" s="120" customFormat="1" x14ac:dyDescent="0.25">
      <c r="A2228" s="119"/>
      <c r="B2228" s="138" t="str">
        <f t="shared" si="110"/>
        <v>Windrow</v>
      </c>
      <c r="C2228" s="138" t="str">
        <f t="shared" si="111"/>
        <v>Base_With Amendment</v>
      </c>
      <c r="D2228" s="118" t="s">
        <v>138</v>
      </c>
      <c r="E2228" s="118" t="s">
        <v>180</v>
      </c>
      <c r="F2228" s="118" t="s">
        <v>46</v>
      </c>
      <c r="G2228" s="153"/>
      <c r="H2228" s="155">
        <v>0.12509999999999999</v>
      </c>
      <c r="I2228" s="154" t="s">
        <v>58</v>
      </c>
      <c r="J2228" s="204">
        <v>4.3600000000000002E-3</v>
      </c>
      <c r="K2228" s="154" t="s">
        <v>24</v>
      </c>
      <c r="L2228" s="154" t="str">
        <f>IF(OpenLCAbasic!K2228="CTUh", "Fill in Manually",IF(OR(K2228="Unit", K2228=""), "", INDEX(LookUps!$E$5:$E$12, MATCH(OpenLCAbasic!K2228,LookUps!$D$5:$D$12,0))))</f>
        <v>Acidification Potential (AP) - kg SO2 eq</v>
      </c>
      <c r="M2228" s="154" t="str">
        <f t="shared" si="112"/>
        <v>Low_High_Low_Upgraded_Acidification Potential (AP) - kg SO2 eq_Pre-Anoxic &amp; Swing tank; wastewater treatment unit; at updated plant - US_Base_With Amendment_Windrow</v>
      </c>
    </row>
    <row r="2229" spans="1:13" s="120" customFormat="1" x14ac:dyDescent="0.25">
      <c r="A2229" s="119"/>
      <c r="B2229" s="138" t="str">
        <f t="shared" si="110"/>
        <v>Windrow</v>
      </c>
      <c r="C2229" s="138" t="str">
        <f t="shared" si="111"/>
        <v>Base_With Amendment</v>
      </c>
      <c r="D2229" s="118" t="s">
        <v>138</v>
      </c>
      <c r="E2229" s="118" t="s">
        <v>180</v>
      </c>
      <c r="F2229" s="118" t="s">
        <v>46</v>
      </c>
      <c r="G2229" s="153"/>
      <c r="H2229" s="155">
        <v>9.8900000000000002E-2</v>
      </c>
      <c r="I2229" s="154" t="s">
        <v>53</v>
      </c>
      <c r="J2229" s="204">
        <v>3.4499999999999999E-3</v>
      </c>
      <c r="K2229" s="154" t="s">
        <v>24</v>
      </c>
      <c r="L2229" s="154" t="str">
        <f>IF(OpenLCAbasic!K2229="CTUh", "Fill in Manually",IF(OR(K2229="Unit", K2229=""), "", INDEX(LookUps!$E$5:$E$12, MATCH(OpenLCAbasic!K2229,LookUps!$D$5:$D$12,0))))</f>
        <v>Acidification Potential (AP) - kg SO2 eq</v>
      </c>
      <c r="M2229" s="154" t="str">
        <f t="shared" si="112"/>
        <v>Low_High_Low_Upgraded_Acidification Potential (AP) - kg SO2 eq_Wet Well and Sump Station; wastewater treatment unit; at updated plant - US_Base_With Amendment_Windrow</v>
      </c>
    </row>
    <row r="2230" spans="1:13" s="120" customFormat="1" x14ac:dyDescent="0.25">
      <c r="A2230" s="119"/>
      <c r="B2230" s="138" t="str">
        <f t="shared" si="110"/>
        <v>Windrow</v>
      </c>
      <c r="C2230" s="138" t="str">
        <f t="shared" si="111"/>
        <v>Base_With Amendment</v>
      </c>
      <c r="D2230" s="118" t="s">
        <v>138</v>
      </c>
      <c r="E2230" s="118" t="s">
        <v>180</v>
      </c>
      <c r="F2230" s="118" t="s">
        <v>46</v>
      </c>
      <c r="G2230" s="153"/>
      <c r="H2230" s="155">
        <v>7.7499999999999999E-2</v>
      </c>
      <c r="I2230" s="154" t="s">
        <v>167</v>
      </c>
      <c r="J2230" s="204">
        <v>2.7000000000000001E-3</v>
      </c>
      <c r="K2230" s="154" t="s">
        <v>24</v>
      </c>
      <c r="L2230" s="154" t="str">
        <f>IF(OpenLCAbasic!K2230="CTUh", "Fill in Manually",IF(OR(K2230="Unit", K2230=""), "", INDEX(LookUps!$E$5:$E$12, MATCH(OpenLCAbasic!K2230,LookUps!$D$5:$D$12,0))))</f>
        <v>Acidification Potential (AP) - kg SO2 eq</v>
      </c>
      <c r="M2230" s="154" t="str">
        <f t="shared" si="112"/>
        <v>Low_High_Low_Upgraded_Acidification Potential (AP) - kg SO2 eq_Waste Receiving and Holding; wastewater treatment unit; at updated plant - US_Base_With Amendment_Windrow</v>
      </c>
    </row>
    <row r="2231" spans="1:13" s="120" customFormat="1" x14ac:dyDescent="0.25">
      <c r="A2231" s="119"/>
      <c r="B2231" s="138" t="str">
        <f t="shared" si="110"/>
        <v>Windrow</v>
      </c>
      <c r="C2231" s="138" t="str">
        <f t="shared" si="111"/>
        <v>Base_With Amendment</v>
      </c>
      <c r="D2231" s="118" t="s">
        <v>138</v>
      </c>
      <c r="E2231" s="118" t="s">
        <v>180</v>
      </c>
      <c r="F2231" s="118" t="s">
        <v>46</v>
      </c>
      <c r="G2231" s="153"/>
      <c r="H2231" s="155">
        <v>6.2700000000000006E-2</v>
      </c>
      <c r="I2231" s="154" t="s">
        <v>271</v>
      </c>
      <c r="J2231" s="204">
        <v>2.1900000000000001E-3</v>
      </c>
      <c r="K2231" s="154" t="s">
        <v>24</v>
      </c>
      <c r="L2231" s="154" t="str">
        <f>IF(OpenLCAbasic!K2231="CTUh", "Fill in Manually",IF(OR(K2231="Unit", K2231=""), "", INDEX(LookUps!$E$5:$E$12, MATCH(OpenLCAbasic!K2231,LookUps!$D$5:$D$12,0))))</f>
        <v>Acidification Potential (AP) - kg SO2 eq</v>
      </c>
      <c r="M2231" s="154" t="str">
        <f t="shared" si="112"/>
        <v>Low_High_Low_Upgraded_Acidification Potential (AP) - kg SO2 eq_Biosolids composting; windrow composting; wastewater treatment unit; at updated plant - US_Base_With Amendment_Windrow</v>
      </c>
    </row>
    <row r="2232" spans="1:13" s="120" customFormat="1" x14ac:dyDescent="0.25">
      <c r="A2232" s="119"/>
      <c r="B2232" s="138" t="str">
        <f t="shared" si="110"/>
        <v>Windrow</v>
      </c>
      <c r="C2232" s="138" t="str">
        <f t="shared" si="111"/>
        <v>Base_With Amendment</v>
      </c>
      <c r="D2232" s="118" t="s">
        <v>138</v>
      </c>
      <c r="E2232" s="118" t="s">
        <v>180</v>
      </c>
      <c r="F2232" s="118" t="s">
        <v>46</v>
      </c>
      <c r="G2232" s="153"/>
      <c r="H2232" s="155">
        <v>5.9299999999999999E-2</v>
      </c>
      <c r="I2232" s="154" t="s">
        <v>147</v>
      </c>
      <c r="J2232" s="204">
        <v>2.0699999999999998E-3</v>
      </c>
      <c r="K2232" s="154" t="s">
        <v>24</v>
      </c>
      <c r="L2232" s="154" t="str">
        <f>IF(OpenLCAbasic!K2232="CTUh", "Fill in Manually",IF(OR(K2232="Unit", K2232=""), "", INDEX(LookUps!$E$5:$E$12, MATCH(OpenLCAbasic!K2232,LookUps!$D$5:$D$12,0))))</f>
        <v>Acidification Potential (AP) - kg SO2 eq</v>
      </c>
      <c r="M2232" s="154" t="str">
        <f t="shared" si="112"/>
        <v>Low_High_Low_Upgraded_Acidification Potential (AP) - kg SO2 eq_Influent Pump Station; wastewater treatment unit; at updated plant - US_Base_With Amendment_Windrow</v>
      </c>
    </row>
    <row r="2233" spans="1:13" s="120" customFormat="1" x14ac:dyDescent="0.25">
      <c r="A2233" s="119"/>
      <c r="B2233" s="138" t="str">
        <f t="shared" si="110"/>
        <v>Windrow</v>
      </c>
      <c r="C2233" s="138" t="str">
        <f t="shared" si="111"/>
        <v>Base_With Amendment</v>
      </c>
      <c r="D2233" s="118" t="s">
        <v>138</v>
      </c>
      <c r="E2233" s="118" t="s">
        <v>180</v>
      </c>
      <c r="F2233" s="118" t="s">
        <v>46</v>
      </c>
      <c r="G2233" s="153"/>
      <c r="H2233" s="155">
        <v>4.82E-2</v>
      </c>
      <c r="I2233" s="154" t="s">
        <v>60</v>
      </c>
      <c r="J2233" s="204">
        <v>1.6800000000000001E-3</v>
      </c>
      <c r="K2233" s="154" t="s">
        <v>24</v>
      </c>
      <c r="L2233" s="154" t="str">
        <f>IF(OpenLCAbasic!K2233="CTUh", "Fill in Manually",IF(OR(K2233="Unit", K2233=""), "", INDEX(LookUps!$E$5:$E$12, MATCH(OpenLCAbasic!K2233,LookUps!$D$5:$D$12,0))))</f>
        <v>Acidification Potential (AP) - kg SO2 eq</v>
      </c>
      <c r="M2233" s="154" t="str">
        <f t="shared" si="112"/>
        <v>Low_High_Low_Upgraded_Acidification Potential (AP) - kg SO2 eq_Belt filter press; wastewater treatment unit; at updated plant - US_Base_With Amendment_Windrow</v>
      </c>
    </row>
    <row r="2234" spans="1:13" s="120" customFormat="1" x14ac:dyDescent="0.25">
      <c r="A2234" s="119"/>
      <c r="B2234" s="138" t="str">
        <f t="shared" si="110"/>
        <v>Windrow</v>
      </c>
      <c r="C2234" s="138" t="str">
        <f t="shared" si="111"/>
        <v>Base_With Amendment</v>
      </c>
      <c r="D2234" s="118" t="s">
        <v>138</v>
      </c>
      <c r="E2234" s="118" t="s">
        <v>180</v>
      </c>
      <c r="F2234" s="118" t="s">
        <v>46</v>
      </c>
      <c r="G2234" s="153"/>
      <c r="H2234" s="155">
        <v>3.5299999999999998E-2</v>
      </c>
      <c r="I2234" s="154" t="s">
        <v>128</v>
      </c>
      <c r="J2234" s="204">
        <v>1.23E-3</v>
      </c>
      <c r="K2234" s="154" t="s">
        <v>24</v>
      </c>
      <c r="L2234" s="154" t="str">
        <f>IF(OpenLCAbasic!K2234="CTUh", "Fill in Manually",IF(OR(K2234="Unit", K2234=""), "", INDEX(LookUps!$E$5:$E$12, MATCH(OpenLCAbasic!K2234,LookUps!$D$5:$D$12,0))))</f>
        <v>Acidification Potential (AP) - kg SO2 eq</v>
      </c>
      <c r="M2234" s="154" t="str">
        <f t="shared" si="112"/>
        <v>Low_High_Low_Upgraded_Acidification Potential (AP) - kg SO2 eq_Wastewater collection; operation and infrastructure; m3 wastewater_Base_With Amendment_Windrow</v>
      </c>
    </row>
    <row r="2235" spans="1:13" s="120" customFormat="1" x14ac:dyDescent="0.25">
      <c r="A2235" s="119"/>
      <c r="B2235" s="138" t="str">
        <f t="shared" si="110"/>
        <v>Windrow</v>
      </c>
      <c r="C2235" s="138" t="str">
        <f t="shared" si="111"/>
        <v>Base_With Amendment</v>
      </c>
      <c r="D2235" s="118" t="s">
        <v>138</v>
      </c>
      <c r="E2235" s="118" t="s">
        <v>180</v>
      </c>
      <c r="F2235" s="118" t="s">
        <v>46</v>
      </c>
      <c r="G2235" s="153"/>
      <c r="H2235" s="155">
        <v>2.0199999999999999E-2</v>
      </c>
      <c r="I2235" s="154" t="s">
        <v>57</v>
      </c>
      <c r="J2235" s="204">
        <v>6.9999999999999999E-4</v>
      </c>
      <c r="K2235" s="154" t="s">
        <v>24</v>
      </c>
      <c r="L2235" s="154" t="str">
        <f>IF(OpenLCAbasic!K2235="CTUh", "Fill in Manually",IF(OR(K2235="Unit", K2235=""), "", INDEX(LookUps!$E$5:$E$12, MATCH(OpenLCAbasic!K2235,LookUps!$D$5:$D$12,0))))</f>
        <v>Acidification Potential (AP) - kg SO2 eq</v>
      </c>
      <c r="M2235" s="154" t="str">
        <f t="shared" si="112"/>
        <v>Low_High_Low_Upgraded_Acidification Potential (AP) - kg SO2 eq_Gravity Belt Thickener; wastewater treatment unit; at updated plant - US_Base_With Amendment_Windrow</v>
      </c>
    </row>
    <row r="2236" spans="1:13" s="120" customFormat="1" x14ac:dyDescent="0.25">
      <c r="A2236" s="119"/>
      <c r="B2236" s="138" t="str">
        <f t="shared" si="110"/>
        <v>Windrow</v>
      </c>
      <c r="C2236" s="138" t="str">
        <f t="shared" si="111"/>
        <v>Base_With Amendment</v>
      </c>
      <c r="D2236" s="118" t="s">
        <v>138</v>
      </c>
      <c r="E2236" s="118" t="s">
        <v>180</v>
      </c>
      <c r="F2236" s="118" t="s">
        <v>46</v>
      </c>
      <c r="G2236" s="153"/>
      <c r="H2236" s="155">
        <v>1.4800000000000001E-2</v>
      </c>
      <c r="I2236" s="154" t="s">
        <v>59</v>
      </c>
      <c r="J2236" s="204">
        <v>5.1999999999999995E-4</v>
      </c>
      <c r="K2236" s="154" t="s">
        <v>24</v>
      </c>
      <c r="L2236" s="154" t="str">
        <f>IF(OpenLCAbasic!K2236="CTUh", "Fill in Manually",IF(OR(K2236="Unit", K2236=""), "", INDEX(LookUps!$E$5:$E$12, MATCH(OpenLCAbasic!K2236,LookUps!$D$5:$D$12,0))))</f>
        <v>Acidification Potential (AP) - kg SO2 eq</v>
      </c>
      <c r="M2236" s="154" t="str">
        <f t="shared" si="112"/>
        <v>Low_High_Low_Upgraded_Acidification Potential (AP) - kg SO2 eq_Blend Tank; wastewater treatment unit; at updated plant - US_Base_With Amendment_Windrow</v>
      </c>
    </row>
    <row r="2237" spans="1:13" s="120" customFormat="1" x14ac:dyDescent="0.25">
      <c r="A2237" s="119"/>
      <c r="B2237" s="138" t="str">
        <f t="shared" si="110"/>
        <v>Windrow</v>
      </c>
      <c r="C2237" s="138" t="str">
        <f t="shared" si="111"/>
        <v>Base_With Amendment</v>
      </c>
      <c r="D2237" s="118" t="s">
        <v>138</v>
      </c>
      <c r="E2237" s="118" t="s">
        <v>180</v>
      </c>
      <c r="F2237" s="118" t="s">
        <v>46</v>
      </c>
      <c r="G2237" s="153"/>
      <c r="H2237" s="155">
        <v>9.9000000000000008E-3</v>
      </c>
      <c r="I2237" s="154" t="s">
        <v>48</v>
      </c>
      <c r="J2237" s="204">
        <v>3.5E-4</v>
      </c>
      <c r="K2237" s="154" t="s">
        <v>24</v>
      </c>
      <c r="L2237" s="154" t="str">
        <f>IF(OpenLCAbasic!K2237="CTUh", "Fill in Manually",IF(OR(K2237="Unit", K2237=""), "", INDEX(LookUps!$E$5:$E$12, MATCH(OpenLCAbasic!K2237,LookUps!$D$5:$D$12,0))))</f>
        <v>Acidification Potential (AP) - kg SO2 eq</v>
      </c>
      <c r="M2237" s="154" t="str">
        <f t="shared" si="112"/>
        <v>Low_High_Low_Upgraded_Acidification Potential (AP) - kg SO2 eq_Effluent release; wastewater treatment unit; at surface water; m3 wastewater - US_Base_With Amendment_Windrow</v>
      </c>
    </row>
    <row r="2238" spans="1:13" s="120" customFormat="1" x14ac:dyDescent="0.25">
      <c r="A2238" s="119"/>
      <c r="B2238" s="138" t="str">
        <f t="shared" si="110"/>
        <v>Windrow</v>
      </c>
      <c r="C2238" s="138" t="str">
        <f t="shared" si="111"/>
        <v>Base_With Amendment</v>
      </c>
      <c r="D2238" s="118" t="s">
        <v>138</v>
      </c>
      <c r="E2238" s="118" t="s">
        <v>180</v>
      </c>
      <c r="F2238" s="118" t="s">
        <v>46</v>
      </c>
      <c r="G2238" s="153"/>
      <c r="H2238" s="155">
        <v>7.3000000000000001E-3</v>
      </c>
      <c r="I2238" s="154" t="s">
        <v>168</v>
      </c>
      <c r="J2238" s="204">
        <v>2.5999999999999998E-4</v>
      </c>
      <c r="K2238" s="154" t="s">
        <v>24</v>
      </c>
      <c r="L2238" s="154" t="str">
        <f>IF(OpenLCAbasic!K2238="CTUh", "Fill in Manually",IF(OR(K2238="Unit", K2238=""), "", INDEX(LookUps!$E$5:$E$12, MATCH(OpenLCAbasic!K2238,LookUps!$D$5:$D$12,0))))</f>
        <v>Acidification Potential (AP) - kg SO2 eq</v>
      </c>
      <c r="M2238" s="154" t="str">
        <f t="shared" si="112"/>
        <v>Low_High_Low_Upgraded_Acidification Potential (AP) - kg SO2 eq_ClearCove SCP; wastewater treatment unit; at updated plant - US_Base_With Amendment_Windrow</v>
      </c>
    </row>
    <row r="2239" spans="1:13" s="120" customFormat="1" x14ac:dyDescent="0.25">
      <c r="A2239" s="119"/>
      <c r="B2239" s="138" t="str">
        <f t="shared" si="110"/>
        <v>Windrow</v>
      </c>
      <c r="C2239" s="138" t="str">
        <f t="shared" si="111"/>
        <v>Base_With Amendment</v>
      </c>
      <c r="D2239" s="118" t="s">
        <v>138</v>
      </c>
      <c r="E2239" s="118" t="s">
        <v>180</v>
      </c>
      <c r="F2239" s="118" t="s">
        <v>46</v>
      </c>
      <c r="G2239" s="153"/>
      <c r="H2239" s="155">
        <v>1.1999999999999999E-3</v>
      </c>
      <c r="I2239" s="154" t="s">
        <v>148</v>
      </c>
      <c r="J2239" s="204">
        <v>4.0354700000000002E-5</v>
      </c>
      <c r="K2239" s="154" t="s">
        <v>24</v>
      </c>
      <c r="L2239" s="154" t="str">
        <f>IF(OpenLCAbasic!K2239="CTUh", "Fill in Manually",IF(OR(K2239="Unit", K2239=""), "", INDEX(LookUps!$E$5:$E$12, MATCH(OpenLCAbasic!K2239,LookUps!$D$5:$D$12,0))))</f>
        <v>Acidification Potential (AP) - kg SO2 eq</v>
      </c>
      <c r="M2239" s="154" t="str">
        <f t="shared" si="112"/>
        <v>Low_High_Low_Upgraded_Acidification Potential (AP) - kg SO2 eq_Control Building; at upgraded wastewater treatment plant - US_Base_With Amendment_Windrow</v>
      </c>
    </row>
    <row r="2240" spans="1:13" s="120" customFormat="1" x14ac:dyDescent="0.25">
      <c r="A2240" s="119"/>
      <c r="B2240" s="138" t="str">
        <f t="shared" si="110"/>
        <v>Windrow</v>
      </c>
      <c r="C2240" s="138" t="str">
        <f t="shared" si="111"/>
        <v>Base_With Amendment</v>
      </c>
      <c r="D2240" s="118" t="s">
        <v>138</v>
      </c>
      <c r="E2240" s="118" t="s">
        <v>180</v>
      </c>
      <c r="F2240" s="118" t="s">
        <v>46</v>
      </c>
      <c r="G2240" s="153"/>
      <c r="H2240" s="155">
        <v>-0.37969999999999998</v>
      </c>
      <c r="I2240" s="154" t="s">
        <v>149</v>
      </c>
      <c r="J2240" s="203">
        <v>-1.325E-2</v>
      </c>
      <c r="K2240" s="154" t="s">
        <v>24</v>
      </c>
      <c r="L2240" s="154" t="str">
        <f>IF(OpenLCAbasic!K2240="CTUh", "Fill in Manually",IF(OR(K2240="Unit", K2240=""), "", INDEX(LookUps!$E$5:$E$12, MATCH(OpenLCAbasic!K2240,LookUps!$D$5:$D$12,0))))</f>
        <v>Acidification Potential (AP) - kg SO2 eq</v>
      </c>
      <c r="M2240" s="154" t="str">
        <f t="shared" si="112"/>
        <v>Low_High_Low_Upgraded_Acidification Potential (AP) - kg SO2 eq_Anaerobic Digestion; wastewater treatment unit; at updated plant - US_Base_With Amendment_Windrow</v>
      </c>
    </row>
    <row r="2241" spans="1:13" s="120" customFormat="1" x14ac:dyDescent="0.25">
      <c r="A2241" s="119"/>
      <c r="B2241" s="138" t="str">
        <f t="shared" si="110"/>
        <v>Windrow</v>
      </c>
      <c r="C2241" s="138" t="str">
        <f t="shared" si="111"/>
        <v>Base_With Amendment</v>
      </c>
      <c r="D2241" s="118" t="s">
        <v>138</v>
      </c>
      <c r="E2241" s="118" t="s">
        <v>180</v>
      </c>
      <c r="F2241" s="118" t="s">
        <v>46</v>
      </c>
      <c r="G2241" s="153" t="s">
        <v>51</v>
      </c>
      <c r="H2241" s="154"/>
      <c r="I2241" s="154" t="s">
        <v>47</v>
      </c>
      <c r="J2241" s="154" t="s">
        <v>52</v>
      </c>
      <c r="K2241" s="154" t="s">
        <v>27</v>
      </c>
      <c r="L2241" s="154" t="str">
        <f>IF(OpenLCAbasic!K2241="CTUh", "Fill in Manually",IF(OR(K2241="Unit", K2241=""), "", INDEX(LookUps!$E$5:$E$12, MATCH(OpenLCAbasic!K2241,LookUps!$D$5:$D$12,0))))</f>
        <v/>
      </c>
      <c r="M2241" s="154" t="str">
        <f t="shared" si="112"/>
        <v>Low_High_Low_Upgraded__Process_Base_With Amendment_Windrow</v>
      </c>
    </row>
    <row r="2242" spans="1:13" s="120" customFormat="1" x14ac:dyDescent="0.25">
      <c r="A2242" s="119"/>
      <c r="B2242" s="138" t="str">
        <f t="shared" si="110"/>
        <v>Windrow</v>
      </c>
      <c r="C2242" s="138" t="str">
        <f t="shared" si="111"/>
        <v>Base_With Amendment</v>
      </c>
      <c r="D2242" s="118" t="s">
        <v>138</v>
      </c>
      <c r="E2242" s="118" t="s">
        <v>180</v>
      </c>
      <c r="F2242" s="118" t="s">
        <v>46</v>
      </c>
      <c r="G2242" s="153"/>
      <c r="H2242" s="155">
        <v>0.70879999999999999</v>
      </c>
      <c r="I2242" s="154" t="s">
        <v>167</v>
      </c>
      <c r="J2242" s="203">
        <v>0.11719</v>
      </c>
      <c r="K2242" s="154" t="s">
        <v>14</v>
      </c>
      <c r="L2242" s="154" t="str">
        <f>IF(OpenLCAbasic!K2242="CTUh", "Fill in Manually",IF(OR(K2242="Unit", K2242=""), "", INDEX(LookUps!$E$5:$E$12, MATCH(OpenLCAbasic!K2242,LookUps!$D$5:$D$12,0))))</f>
        <v>Fossil Depletion Potential (FDP) - kg oil eq</v>
      </c>
      <c r="M2242" s="154" t="str">
        <f t="shared" si="112"/>
        <v>Low_High_Low_Upgraded_Fossil Depletion Potential (FDP) - kg oil eq_Waste Receiving and Holding; wastewater treatment unit; at updated plant - US_Base_With Amendment_Windrow</v>
      </c>
    </row>
    <row r="2243" spans="1:13" s="120" customFormat="1" x14ac:dyDescent="0.25">
      <c r="A2243" s="119"/>
      <c r="B2243" s="138" t="str">
        <f t="shared" si="110"/>
        <v>Windrow</v>
      </c>
      <c r="C2243" s="138" t="str">
        <f t="shared" si="111"/>
        <v>Base_With Amendment</v>
      </c>
      <c r="D2243" s="118" t="s">
        <v>138</v>
      </c>
      <c r="E2243" s="118" t="s">
        <v>180</v>
      </c>
      <c r="F2243" s="118" t="s">
        <v>46</v>
      </c>
      <c r="G2243" s="153"/>
      <c r="H2243" s="155">
        <v>0.3846</v>
      </c>
      <c r="I2243" s="154" t="s">
        <v>55</v>
      </c>
      <c r="J2243" s="203">
        <v>6.3589999999999994E-2</v>
      </c>
      <c r="K2243" s="154" t="s">
        <v>14</v>
      </c>
      <c r="L2243" s="154" t="str">
        <f>IF(OpenLCAbasic!K2243="CTUh", "Fill in Manually",IF(OR(K2243="Unit", K2243=""), "", INDEX(LookUps!$E$5:$E$12, MATCH(OpenLCAbasic!K2243,LookUps!$D$5:$D$12,0))))</f>
        <v>Fossil Depletion Potential (FDP) - kg oil eq</v>
      </c>
      <c r="M2243" s="154" t="str">
        <f t="shared" si="112"/>
        <v>Low_High_Low_Upgraded_Fossil Depletion Potential (FDP) - kg oil eq_Aeration Tanks; wastewater treatment unit; at updated plant - US_Base_With Amendment_Windrow</v>
      </c>
    </row>
    <row r="2244" spans="1:13" s="120" customFormat="1" x14ac:dyDescent="0.25">
      <c r="A2244" s="119"/>
      <c r="B2244" s="138" t="str">
        <f t="shared" si="110"/>
        <v>Windrow</v>
      </c>
      <c r="C2244" s="138" t="str">
        <f t="shared" si="111"/>
        <v>Base_With Amendment</v>
      </c>
      <c r="D2244" s="118" t="s">
        <v>138</v>
      </c>
      <c r="E2244" s="118" t="s">
        <v>180</v>
      </c>
      <c r="F2244" s="118" t="s">
        <v>46</v>
      </c>
      <c r="G2244" s="153"/>
      <c r="H2244" s="155">
        <v>0.1273</v>
      </c>
      <c r="I2244" s="154" t="s">
        <v>54</v>
      </c>
      <c r="J2244" s="203">
        <v>2.1049999999999999E-2</v>
      </c>
      <c r="K2244" s="154" t="s">
        <v>14</v>
      </c>
      <c r="L2244" s="154" t="str">
        <f>IF(OpenLCAbasic!K2244="CTUh", "Fill in Manually",IF(OR(K2244="Unit", K2244=""), "", INDEX(LookUps!$E$5:$E$12, MATCH(OpenLCAbasic!K2244,LookUps!$D$5:$D$12,0))))</f>
        <v>Fossil Depletion Potential (FDP) - kg oil eq</v>
      </c>
      <c r="M2244" s="154" t="str">
        <f t="shared" si="112"/>
        <v>Low_High_Low_Upgraded_Fossil Depletion Potential (FDP) - kg oil eq_Clear Cove Primary Clarification; wastewater treatment unit; at updated plant - US_Base_With Amendment_Windrow</v>
      </c>
    </row>
    <row r="2245" spans="1:13" s="120" customFormat="1" x14ac:dyDescent="0.25">
      <c r="A2245" s="119"/>
      <c r="B2245" s="138" t="str">
        <f t="shared" si="110"/>
        <v>Windrow</v>
      </c>
      <c r="C2245" s="138" t="str">
        <f t="shared" si="111"/>
        <v>Base_With Amendment</v>
      </c>
      <c r="D2245" s="118" t="s">
        <v>138</v>
      </c>
      <c r="E2245" s="118" t="s">
        <v>180</v>
      </c>
      <c r="F2245" s="118" t="s">
        <v>46</v>
      </c>
      <c r="G2245" s="153"/>
      <c r="H2245" s="155">
        <v>9.7000000000000003E-2</v>
      </c>
      <c r="I2245" s="154" t="s">
        <v>58</v>
      </c>
      <c r="J2245" s="203">
        <v>1.6039999999999999E-2</v>
      </c>
      <c r="K2245" s="154" t="s">
        <v>14</v>
      </c>
      <c r="L2245" s="154" t="str">
        <f>IF(OpenLCAbasic!K2245="CTUh", "Fill in Manually",IF(OR(K2245="Unit", K2245=""), "", INDEX(LookUps!$E$5:$E$12, MATCH(OpenLCAbasic!K2245,LookUps!$D$5:$D$12,0))))</f>
        <v>Fossil Depletion Potential (FDP) - kg oil eq</v>
      </c>
      <c r="M2245" s="154" t="str">
        <f t="shared" si="112"/>
        <v>Low_High_Low_Upgraded_Fossil Depletion Potential (FDP) - kg oil eq_Pre-Anoxic &amp; Swing tank; wastewater treatment unit; at updated plant - US_Base_With Amendment_Windrow</v>
      </c>
    </row>
    <row r="2246" spans="1:13" s="120" customFormat="1" x14ac:dyDescent="0.25">
      <c r="A2246" s="119"/>
      <c r="B2246" s="138" t="str">
        <f t="shared" ref="B2246:B2309" si="113">IF(F2246="Legacy","n.a.",IF(F2246="","","Windrow"))</f>
        <v>Windrow</v>
      </c>
      <c r="C2246" s="138" t="str">
        <f t="shared" si="111"/>
        <v>Base_With Amendment</v>
      </c>
      <c r="D2246" s="118" t="s">
        <v>138</v>
      </c>
      <c r="E2246" s="118" t="s">
        <v>180</v>
      </c>
      <c r="F2246" s="118" t="s">
        <v>46</v>
      </c>
      <c r="G2246" s="153"/>
      <c r="H2246" s="155">
        <v>9.1300000000000006E-2</v>
      </c>
      <c r="I2246" s="154" t="s">
        <v>147</v>
      </c>
      <c r="J2246" s="203">
        <v>1.5089999999999999E-2</v>
      </c>
      <c r="K2246" s="154" t="s">
        <v>14</v>
      </c>
      <c r="L2246" s="154" t="str">
        <f>IF(OpenLCAbasic!K2246="CTUh", "Fill in Manually",IF(OR(K2246="Unit", K2246=""), "", INDEX(LookUps!$E$5:$E$12, MATCH(OpenLCAbasic!K2246,LookUps!$D$5:$D$12,0))))</f>
        <v>Fossil Depletion Potential (FDP) - kg oil eq</v>
      </c>
      <c r="M2246" s="154" t="str">
        <f t="shared" si="112"/>
        <v>Low_High_Low_Upgraded_Fossil Depletion Potential (FDP) - kg oil eq_Influent Pump Station; wastewater treatment unit; at updated plant - US_Base_With Amendment_Windrow</v>
      </c>
    </row>
    <row r="2247" spans="1:13" s="120" customFormat="1" x14ac:dyDescent="0.25">
      <c r="A2247" s="119"/>
      <c r="B2247" s="138" t="str">
        <f t="shared" si="113"/>
        <v>Windrow</v>
      </c>
      <c r="C2247" s="138" t="str">
        <f t="shared" ref="C2247:C2310" si="114">IF(E2247&lt;&gt;"", "Base_With Amendment","")</f>
        <v>Base_With Amendment</v>
      </c>
      <c r="D2247" s="118" t="s">
        <v>138</v>
      </c>
      <c r="E2247" s="118" t="s">
        <v>180</v>
      </c>
      <c r="F2247" s="118" t="s">
        <v>46</v>
      </c>
      <c r="G2247" s="153"/>
      <c r="H2247" s="155">
        <v>7.6600000000000001E-2</v>
      </c>
      <c r="I2247" s="154" t="s">
        <v>60</v>
      </c>
      <c r="J2247" s="203">
        <v>1.2659999999999999E-2</v>
      </c>
      <c r="K2247" s="154" t="s">
        <v>14</v>
      </c>
      <c r="L2247" s="154" t="str">
        <f>IF(OpenLCAbasic!K2247="CTUh", "Fill in Manually",IF(OR(K2247="Unit", K2247=""), "", INDEX(LookUps!$E$5:$E$12, MATCH(OpenLCAbasic!K2247,LookUps!$D$5:$D$12,0))))</f>
        <v>Fossil Depletion Potential (FDP) - kg oil eq</v>
      </c>
      <c r="M2247" s="154" t="str">
        <f t="shared" ref="M2247:M2310" si="115">CONCATENATE(E2247,"_",D2247,"_",F2247,"_",L2247, "_",I2247,"_", C2247,"_", B2247)</f>
        <v>Low_High_Low_Upgraded_Fossil Depletion Potential (FDP) - kg oil eq_Belt filter press; wastewater treatment unit; at updated plant - US_Base_With Amendment_Windrow</v>
      </c>
    </row>
    <row r="2248" spans="1:13" s="120" customFormat="1" x14ac:dyDescent="0.25">
      <c r="A2248" s="119"/>
      <c r="B2248" s="138" t="str">
        <f t="shared" si="113"/>
        <v>Windrow</v>
      </c>
      <c r="C2248" s="138" t="str">
        <f t="shared" si="114"/>
        <v>Base_With Amendment</v>
      </c>
      <c r="D2248" s="118" t="s">
        <v>138</v>
      </c>
      <c r="E2248" s="118" t="s">
        <v>180</v>
      </c>
      <c r="F2248" s="118" t="s">
        <v>46</v>
      </c>
      <c r="G2248" s="153"/>
      <c r="H2248" s="155">
        <v>7.5499999999999998E-2</v>
      </c>
      <c r="I2248" s="154" t="s">
        <v>53</v>
      </c>
      <c r="J2248" s="204">
        <v>1.2489999999999999E-2</v>
      </c>
      <c r="K2248" s="154" t="s">
        <v>14</v>
      </c>
      <c r="L2248" s="154" t="str">
        <f>IF(OpenLCAbasic!K2248="CTUh", "Fill in Manually",IF(OR(K2248="Unit", K2248=""), "", INDEX(LookUps!$E$5:$E$12, MATCH(OpenLCAbasic!K2248,LookUps!$D$5:$D$12,0))))</f>
        <v>Fossil Depletion Potential (FDP) - kg oil eq</v>
      </c>
      <c r="M2248" s="154" t="str">
        <f t="shared" si="115"/>
        <v>Low_High_Low_Upgraded_Fossil Depletion Potential (FDP) - kg oil eq_Wet Well and Sump Station; wastewater treatment unit; at updated plant - US_Base_With Amendment_Windrow</v>
      </c>
    </row>
    <row r="2249" spans="1:13" s="120" customFormat="1" x14ac:dyDescent="0.25">
      <c r="A2249" s="119"/>
      <c r="B2249" s="138" t="str">
        <f t="shared" si="113"/>
        <v>Windrow</v>
      </c>
      <c r="C2249" s="138" t="str">
        <f t="shared" si="114"/>
        <v>Base_With Amendment</v>
      </c>
      <c r="D2249" s="118" t="s">
        <v>138</v>
      </c>
      <c r="E2249" s="118" t="s">
        <v>180</v>
      </c>
      <c r="F2249" s="118" t="s">
        <v>46</v>
      </c>
      <c r="G2249" s="153"/>
      <c r="H2249" s="155">
        <v>4.1799999999999997E-2</v>
      </c>
      <c r="I2249" s="154" t="s">
        <v>57</v>
      </c>
      <c r="J2249" s="204">
        <v>6.9199999999999999E-3</v>
      </c>
      <c r="K2249" s="154" t="s">
        <v>14</v>
      </c>
      <c r="L2249" s="154" t="str">
        <f>IF(OpenLCAbasic!K2249="CTUh", "Fill in Manually",IF(OR(K2249="Unit", K2249=""), "", INDEX(LookUps!$E$5:$E$12, MATCH(OpenLCAbasic!K2249,LookUps!$D$5:$D$12,0))))</f>
        <v>Fossil Depletion Potential (FDP) - kg oil eq</v>
      </c>
      <c r="M2249" s="154" t="str">
        <f t="shared" si="115"/>
        <v>Low_High_Low_Upgraded_Fossil Depletion Potential (FDP) - kg oil eq_Gravity Belt Thickener; wastewater treatment unit; at updated plant - US_Base_With Amendment_Windrow</v>
      </c>
    </row>
    <row r="2250" spans="1:13" s="120" customFormat="1" x14ac:dyDescent="0.25">
      <c r="A2250" s="119"/>
      <c r="B2250" s="138" t="str">
        <f t="shared" si="113"/>
        <v>Windrow</v>
      </c>
      <c r="C2250" s="138" t="str">
        <f t="shared" si="114"/>
        <v>Base_With Amendment</v>
      </c>
      <c r="D2250" s="118" t="s">
        <v>138</v>
      </c>
      <c r="E2250" s="118" t="s">
        <v>180</v>
      </c>
      <c r="F2250" s="118" t="s">
        <v>46</v>
      </c>
      <c r="G2250" s="153"/>
      <c r="H2250" s="155">
        <v>2.7199999999999998E-2</v>
      </c>
      <c r="I2250" s="154" t="s">
        <v>128</v>
      </c>
      <c r="J2250" s="204">
        <v>4.4999999999999997E-3</v>
      </c>
      <c r="K2250" s="154" t="s">
        <v>14</v>
      </c>
      <c r="L2250" s="154" t="str">
        <f>IF(OpenLCAbasic!K2250="CTUh", "Fill in Manually",IF(OR(K2250="Unit", K2250=""), "", INDEX(LookUps!$E$5:$E$12, MATCH(OpenLCAbasic!K2250,LookUps!$D$5:$D$12,0))))</f>
        <v>Fossil Depletion Potential (FDP) - kg oil eq</v>
      </c>
      <c r="M2250" s="154" t="str">
        <f t="shared" si="115"/>
        <v>Low_High_Low_Upgraded_Fossil Depletion Potential (FDP) - kg oil eq_Wastewater collection; operation and infrastructure; m3 wastewater_Base_With Amendment_Windrow</v>
      </c>
    </row>
    <row r="2251" spans="1:13" s="120" customFormat="1" x14ac:dyDescent="0.25">
      <c r="A2251" s="119"/>
      <c r="B2251" s="138" t="str">
        <f t="shared" si="113"/>
        <v>Windrow</v>
      </c>
      <c r="C2251" s="138" t="str">
        <f t="shared" si="114"/>
        <v>Base_With Amendment</v>
      </c>
      <c r="D2251" s="118" t="s">
        <v>138</v>
      </c>
      <c r="E2251" s="118" t="s">
        <v>180</v>
      </c>
      <c r="F2251" s="118" t="s">
        <v>46</v>
      </c>
      <c r="G2251" s="153"/>
      <c r="H2251" s="155">
        <v>1.6899999999999998E-2</v>
      </c>
      <c r="I2251" s="154" t="s">
        <v>148</v>
      </c>
      <c r="J2251" s="204">
        <v>2.8E-3</v>
      </c>
      <c r="K2251" s="154" t="s">
        <v>14</v>
      </c>
      <c r="L2251" s="154" t="str">
        <f>IF(OpenLCAbasic!K2251="CTUh", "Fill in Manually",IF(OR(K2251="Unit", K2251=""), "", INDEX(LookUps!$E$5:$E$12, MATCH(OpenLCAbasic!K2251,LookUps!$D$5:$D$12,0))))</f>
        <v>Fossil Depletion Potential (FDP) - kg oil eq</v>
      </c>
      <c r="M2251" s="154" t="str">
        <f t="shared" si="115"/>
        <v>Low_High_Low_Upgraded_Fossil Depletion Potential (FDP) - kg oil eq_Control Building; at upgraded wastewater treatment plant - US_Base_With Amendment_Windrow</v>
      </c>
    </row>
    <row r="2252" spans="1:13" s="120" customFormat="1" x14ac:dyDescent="0.25">
      <c r="A2252" s="119"/>
      <c r="B2252" s="138" t="str">
        <f t="shared" si="113"/>
        <v>Windrow</v>
      </c>
      <c r="C2252" s="138" t="str">
        <f t="shared" si="114"/>
        <v>Base_With Amendment</v>
      </c>
      <c r="D2252" s="118" t="s">
        <v>138</v>
      </c>
      <c r="E2252" s="118" t="s">
        <v>180</v>
      </c>
      <c r="F2252" s="118" t="s">
        <v>46</v>
      </c>
      <c r="G2252" s="153"/>
      <c r="H2252" s="155">
        <v>1.43E-2</v>
      </c>
      <c r="I2252" s="154" t="s">
        <v>48</v>
      </c>
      <c r="J2252" s="204">
        <v>2.3600000000000001E-3</v>
      </c>
      <c r="K2252" s="154" t="s">
        <v>14</v>
      </c>
      <c r="L2252" s="154" t="str">
        <f>IF(OpenLCAbasic!K2252="CTUh", "Fill in Manually",IF(OR(K2252="Unit", K2252=""), "", INDEX(LookUps!$E$5:$E$12, MATCH(OpenLCAbasic!K2252,LookUps!$D$5:$D$12,0))))</f>
        <v>Fossil Depletion Potential (FDP) - kg oil eq</v>
      </c>
      <c r="M2252" s="154" t="str">
        <f t="shared" si="115"/>
        <v>Low_High_Low_Upgraded_Fossil Depletion Potential (FDP) - kg oil eq_Effluent release; wastewater treatment unit; at surface water; m3 wastewater - US_Base_With Amendment_Windrow</v>
      </c>
    </row>
    <row r="2253" spans="1:13" s="120" customFormat="1" x14ac:dyDescent="0.25">
      <c r="A2253" s="119"/>
      <c r="B2253" s="138" t="str">
        <f t="shared" si="113"/>
        <v>Windrow</v>
      </c>
      <c r="C2253" s="138" t="str">
        <f t="shared" si="114"/>
        <v>Base_With Amendment</v>
      </c>
      <c r="D2253" s="118" t="s">
        <v>138</v>
      </c>
      <c r="E2253" s="118" t="s">
        <v>180</v>
      </c>
      <c r="F2253" s="118" t="s">
        <v>46</v>
      </c>
      <c r="G2253" s="153"/>
      <c r="H2253" s="155">
        <v>1.1599999999999999E-2</v>
      </c>
      <c r="I2253" s="154" t="s">
        <v>59</v>
      </c>
      <c r="J2253" s="204">
        <v>1.92E-3</v>
      </c>
      <c r="K2253" s="154" t="s">
        <v>14</v>
      </c>
      <c r="L2253" s="154" t="str">
        <f>IF(OpenLCAbasic!K2253="CTUh", "Fill in Manually",IF(OR(K2253="Unit", K2253=""), "", INDEX(LookUps!$E$5:$E$12, MATCH(OpenLCAbasic!K2253,LookUps!$D$5:$D$12,0))))</f>
        <v>Fossil Depletion Potential (FDP) - kg oil eq</v>
      </c>
      <c r="M2253" s="154" t="str">
        <f t="shared" si="115"/>
        <v>Low_High_Low_Upgraded_Fossil Depletion Potential (FDP) - kg oil eq_Blend Tank; wastewater treatment unit; at updated plant - US_Base_With Amendment_Windrow</v>
      </c>
    </row>
    <row r="2254" spans="1:13" s="120" customFormat="1" x14ac:dyDescent="0.25">
      <c r="A2254" s="119"/>
      <c r="B2254" s="138" t="str">
        <f t="shared" si="113"/>
        <v>Windrow</v>
      </c>
      <c r="C2254" s="138" t="str">
        <f t="shared" si="114"/>
        <v>Base_With Amendment</v>
      </c>
      <c r="D2254" s="118" t="s">
        <v>138</v>
      </c>
      <c r="E2254" s="118" t="s">
        <v>180</v>
      </c>
      <c r="F2254" s="118" t="s">
        <v>46</v>
      </c>
      <c r="G2254" s="153"/>
      <c r="H2254" s="155">
        <v>5.7999999999999996E-3</v>
      </c>
      <c r="I2254" s="154" t="s">
        <v>271</v>
      </c>
      <c r="J2254" s="204">
        <v>9.6000000000000002E-4</v>
      </c>
      <c r="K2254" s="154" t="s">
        <v>14</v>
      </c>
      <c r="L2254" s="154" t="str">
        <f>IF(OpenLCAbasic!K2254="CTUh", "Fill in Manually",IF(OR(K2254="Unit", K2254=""), "", INDEX(LookUps!$E$5:$E$12, MATCH(OpenLCAbasic!K2254,LookUps!$D$5:$D$12,0))))</f>
        <v>Fossil Depletion Potential (FDP) - kg oil eq</v>
      </c>
      <c r="M2254" s="154" t="str">
        <f t="shared" si="115"/>
        <v>Low_High_Low_Upgraded_Fossil Depletion Potential (FDP) - kg oil eq_Biosolids composting; windrow composting; wastewater treatment unit; at updated plant - US_Base_With Amendment_Windrow</v>
      </c>
    </row>
    <row r="2255" spans="1:13" s="120" customFormat="1" x14ac:dyDescent="0.25">
      <c r="A2255" s="119"/>
      <c r="B2255" s="138" t="str">
        <f t="shared" si="113"/>
        <v>Windrow</v>
      </c>
      <c r="C2255" s="138" t="str">
        <f t="shared" si="114"/>
        <v>Base_With Amendment</v>
      </c>
      <c r="D2255" s="118" t="s">
        <v>138</v>
      </c>
      <c r="E2255" s="118" t="s">
        <v>180</v>
      </c>
      <c r="F2255" s="118" t="s">
        <v>46</v>
      </c>
      <c r="G2255" s="153"/>
      <c r="H2255" s="155">
        <v>5.4999999999999997E-3</v>
      </c>
      <c r="I2255" s="154" t="s">
        <v>168</v>
      </c>
      <c r="J2255" s="204">
        <v>9.1E-4</v>
      </c>
      <c r="K2255" s="154" t="s">
        <v>14</v>
      </c>
      <c r="L2255" s="154" t="str">
        <f>IF(OpenLCAbasic!K2255="CTUh", "Fill in Manually",IF(OR(K2255="Unit", K2255=""), "", INDEX(LookUps!$E$5:$E$12, MATCH(OpenLCAbasic!K2255,LookUps!$D$5:$D$12,0))))</f>
        <v>Fossil Depletion Potential (FDP) - kg oil eq</v>
      </c>
      <c r="M2255" s="154" t="str">
        <f t="shared" si="115"/>
        <v>Low_High_Low_Upgraded_Fossil Depletion Potential (FDP) - kg oil eq_ClearCove SCP; wastewater treatment unit; at updated plant - US_Base_With Amendment_Windrow</v>
      </c>
    </row>
    <row r="2256" spans="1:13" s="120" customFormat="1" x14ac:dyDescent="0.25">
      <c r="A2256" s="119"/>
      <c r="B2256" s="138" t="str">
        <f t="shared" si="113"/>
        <v>Windrow</v>
      </c>
      <c r="C2256" s="138" t="str">
        <f t="shared" si="114"/>
        <v>Base_With Amendment</v>
      </c>
      <c r="D2256" s="118" t="s">
        <v>138</v>
      </c>
      <c r="E2256" s="118" t="s">
        <v>180</v>
      </c>
      <c r="F2256" s="118" t="s">
        <v>46</v>
      </c>
      <c r="G2256" s="153"/>
      <c r="H2256" s="155">
        <v>-8.77E-2</v>
      </c>
      <c r="I2256" s="154" t="s">
        <v>62</v>
      </c>
      <c r="J2256" s="203">
        <v>-1.4500000000000001E-2</v>
      </c>
      <c r="K2256" s="154" t="s">
        <v>14</v>
      </c>
      <c r="L2256" s="154" t="str">
        <f>IF(OpenLCAbasic!K2256="CTUh", "Fill in Manually",IF(OR(K2256="Unit", K2256=""), "", INDEX(LookUps!$E$5:$E$12, MATCH(OpenLCAbasic!K2256,LookUps!$D$5:$D$12,0))))</f>
        <v>Fossil Depletion Potential (FDP) - kg oil eq</v>
      </c>
      <c r="M2256" s="154" t="str">
        <f t="shared" si="115"/>
        <v>Low_High_Low_Upgraded_Fossil Depletion Potential (FDP) - kg oil eq_Land application of compost; wastewater treatment unit; at updated plant - US_Base_With Amendment_Windrow</v>
      </c>
    </row>
    <row r="2257" spans="1:13" s="120" customFormat="1" x14ac:dyDescent="0.25">
      <c r="A2257" s="119"/>
      <c r="B2257" s="138" t="str">
        <f t="shared" si="113"/>
        <v>Windrow</v>
      </c>
      <c r="C2257" s="138" t="str">
        <f t="shared" si="114"/>
        <v>Base_With Amendment</v>
      </c>
      <c r="D2257" s="118" t="s">
        <v>138</v>
      </c>
      <c r="E2257" s="118" t="s">
        <v>180</v>
      </c>
      <c r="F2257" s="118" t="s">
        <v>46</v>
      </c>
      <c r="G2257" s="153"/>
      <c r="H2257" s="155">
        <v>-0.59660000000000002</v>
      </c>
      <c r="I2257" s="154" t="s">
        <v>149</v>
      </c>
      <c r="J2257" s="203">
        <v>-9.8640000000000005E-2</v>
      </c>
      <c r="K2257" s="154" t="s">
        <v>14</v>
      </c>
      <c r="L2257" s="154" t="str">
        <f>IF(OpenLCAbasic!K2257="CTUh", "Fill in Manually",IF(OR(K2257="Unit", K2257=""), "", INDEX(LookUps!$E$5:$E$12, MATCH(OpenLCAbasic!K2257,LookUps!$D$5:$D$12,0))))</f>
        <v>Fossil Depletion Potential (FDP) - kg oil eq</v>
      </c>
      <c r="M2257" s="154" t="str">
        <f t="shared" si="115"/>
        <v>Low_High_Low_Upgraded_Fossil Depletion Potential (FDP) - kg oil eq_Anaerobic Digestion; wastewater treatment unit; at updated plant - US_Base_With Amendment_Windrow</v>
      </c>
    </row>
    <row r="2258" spans="1:13" s="120" customFormat="1" x14ac:dyDescent="0.25">
      <c r="A2258" s="119"/>
      <c r="B2258" s="138" t="str">
        <f t="shared" si="113"/>
        <v>Windrow</v>
      </c>
      <c r="C2258" s="138" t="str">
        <f t="shared" si="114"/>
        <v>Base_With Amendment</v>
      </c>
      <c r="D2258" s="118" t="s">
        <v>138</v>
      </c>
      <c r="E2258" s="118" t="s">
        <v>180</v>
      </c>
      <c r="F2258" s="118" t="s">
        <v>46</v>
      </c>
      <c r="G2258" s="153" t="s">
        <v>51</v>
      </c>
      <c r="H2258" s="154"/>
      <c r="I2258" s="154" t="s">
        <v>47</v>
      </c>
      <c r="J2258" s="154" t="s">
        <v>52</v>
      </c>
      <c r="K2258" s="154" t="s">
        <v>27</v>
      </c>
      <c r="L2258" s="154" t="str">
        <f>IF(OpenLCAbasic!K2258="CTUh", "Fill in Manually",IF(OR(K2258="Unit", K2258=""), "", INDEX(LookUps!$E$5:$E$12, MATCH(OpenLCAbasic!K2258,LookUps!$D$5:$D$12,0))))</f>
        <v/>
      </c>
      <c r="M2258" s="154" t="str">
        <f t="shared" si="115"/>
        <v>Low_High_Low_Upgraded__Process_Base_With Amendment_Windrow</v>
      </c>
    </row>
    <row r="2259" spans="1:13" s="120" customFormat="1" x14ac:dyDescent="0.25">
      <c r="A2259" s="119"/>
      <c r="B2259" s="138" t="str">
        <f t="shared" si="113"/>
        <v>Windrow</v>
      </c>
      <c r="C2259" s="138" t="str">
        <f t="shared" si="114"/>
        <v>Base_With Amendment</v>
      </c>
      <c r="D2259" s="118" t="s">
        <v>138</v>
      </c>
      <c r="E2259" s="118" t="s">
        <v>180</v>
      </c>
      <c r="F2259" s="118" t="s">
        <v>46</v>
      </c>
      <c r="G2259" s="153"/>
      <c r="H2259" s="155">
        <v>0.62480000000000002</v>
      </c>
      <c r="I2259" s="154" t="s">
        <v>55</v>
      </c>
      <c r="J2259" s="204">
        <v>2.33E-3</v>
      </c>
      <c r="K2259" s="154" t="s">
        <v>145</v>
      </c>
      <c r="L2259" s="154" t="str">
        <f>IF(OpenLCAbasic!K2259="CTUh", "Fill in Manually",IF(OR(K2259="Unit", K2259=""), "", INDEX(LookUps!$E$5:$E$12, MATCH(OpenLCAbasic!K2259,LookUps!$D$5:$D$12,0))))</f>
        <v>Particulate Matter Formation Potential (PMFP) - kg PM2.5 eq</v>
      </c>
      <c r="M2259" s="154" t="str">
        <f t="shared" si="115"/>
        <v>Low_High_Low_Upgraded_Particulate Matter Formation Potential (PMFP) - kg PM2.5 eq_Aeration Tanks; wastewater treatment unit; at updated plant - US_Base_With Amendment_Windrow</v>
      </c>
    </row>
    <row r="2260" spans="1:13" s="120" customFormat="1" x14ac:dyDescent="0.25">
      <c r="A2260" s="119"/>
      <c r="B2260" s="138" t="str">
        <f t="shared" si="113"/>
        <v>Windrow</v>
      </c>
      <c r="C2260" s="138" t="str">
        <f t="shared" si="114"/>
        <v>Base_With Amendment</v>
      </c>
      <c r="D2260" s="118" t="s">
        <v>138</v>
      </c>
      <c r="E2260" s="118" t="s">
        <v>180</v>
      </c>
      <c r="F2260" s="118" t="s">
        <v>46</v>
      </c>
      <c r="G2260" s="153"/>
      <c r="H2260" s="155">
        <v>0.18179999999999999</v>
      </c>
      <c r="I2260" s="154" t="s">
        <v>54</v>
      </c>
      <c r="J2260" s="204">
        <v>6.8000000000000005E-4</v>
      </c>
      <c r="K2260" s="154" t="s">
        <v>145</v>
      </c>
      <c r="L2260" s="154" t="str">
        <f>IF(OpenLCAbasic!K2260="CTUh", "Fill in Manually",IF(OR(K2260="Unit", K2260=""), "", INDEX(LookUps!$E$5:$E$12, MATCH(OpenLCAbasic!K2260,LookUps!$D$5:$D$12,0))))</f>
        <v>Particulate Matter Formation Potential (PMFP) - kg PM2.5 eq</v>
      </c>
      <c r="M2260" s="154" t="str">
        <f t="shared" si="115"/>
        <v>Low_High_Low_Upgraded_Particulate Matter Formation Potential (PMFP) - kg PM2.5 eq_Clear Cove Primary Clarification; wastewater treatment unit; at updated plant - US_Base_With Amendment_Windrow</v>
      </c>
    </row>
    <row r="2261" spans="1:13" s="120" customFormat="1" x14ac:dyDescent="0.25">
      <c r="A2261" s="119"/>
      <c r="B2261" s="138" t="str">
        <f t="shared" si="113"/>
        <v>Windrow</v>
      </c>
      <c r="C2261" s="138" t="str">
        <f t="shared" si="114"/>
        <v>Base_With Amendment</v>
      </c>
      <c r="D2261" s="118" t="s">
        <v>138</v>
      </c>
      <c r="E2261" s="118" t="s">
        <v>180</v>
      </c>
      <c r="F2261" s="118" t="s">
        <v>46</v>
      </c>
      <c r="G2261" s="153"/>
      <c r="H2261" s="155">
        <v>0.15820000000000001</v>
      </c>
      <c r="I2261" s="154" t="s">
        <v>58</v>
      </c>
      <c r="J2261" s="204">
        <v>5.9000000000000003E-4</v>
      </c>
      <c r="K2261" s="154" t="s">
        <v>145</v>
      </c>
      <c r="L2261" s="154" t="str">
        <f>IF(OpenLCAbasic!K2261="CTUh", "Fill in Manually",IF(OR(K2261="Unit", K2261=""), "", INDEX(LookUps!$E$5:$E$12, MATCH(OpenLCAbasic!K2261,LookUps!$D$5:$D$12,0))))</f>
        <v>Particulate Matter Formation Potential (PMFP) - kg PM2.5 eq</v>
      </c>
      <c r="M2261" s="154" t="str">
        <f t="shared" si="115"/>
        <v>Low_High_Low_Upgraded_Particulate Matter Formation Potential (PMFP) - kg PM2.5 eq_Pre-Anoxic &amp; Swing tank; wastewater treatment unit; at updated plant - US_Base_With Amendment_Windrow</v>
      </c>
    </row>
    <row r="2262" spans="1:13" s="120" customFormat="1" x14ac:dyDescent="0.25">
      <c r="A2262" s="119"/>
      <c r="B2262" s="138" t="str">
        <f t="shared" si="113"/>
        <v>Windrow</v>
      </c>
      <c r="C2262" s="138" t="str">
        <f t="shared" si="114"/>
        <v>Base_With Amendment</v>
      </c>
      <c r="D2262" s="118" t="s">
        <v>138</v>
      </c>
      <c r="E2262" s="118" t="s">
        <v>180</v>
      </c>
      <c r="F2262" s="118" t="s">
        <v>46</v>
      </c>
      <c r="G2262" s="153"/>
      <c r="H2262" s="155">
        <v>0.1249</v>
      </c>
      <c r="I2262" s="154" t="s">
        <v>53</v>
      </c>
      <c r="J2262" s="204">
        <v>4.6999999999999999E-4</v>
      </c>
      <c r="K2262" s="154" t="s">
        <v>145</v>
      </c>
      <c r="L2262" s="154" t="str">
        <f>IF(OpenLCAbasic!K2262="CTUh", "Fill in Manually",IF(OR(K2262="Unit", K2262=""), "", INDEX(LookUps!$E$5:$E$12, MATCH(OpenLCAbasic!K2262,LookUps!$D$5:$D$12,0))))</f>
        <v>Particulate Matter Formation Potential (PMFP) - kg PM2.5 eq</v>
      </c>
      <c r="M2262" s="154" t="str">
        <f t="shared" si="115"/>
        <v>Low_High_Low_Upgraded_Particulate Matter Formation Potential (PMFP) - kg PM2.5 eq_Wet Well and Sump Station; wastewater treatment unit; at updated plant - US_Base_With Amendment_Windrow</v>
      </c>
    </row>
    <row r="2263" spans="1:13" s="120" customFormat="1" x14ac:dyDescent="0.25">
      <c r="A2263" s="119"/>
      <c r="B2263" s="138" t="str">
        <f t="shared" si="113"/>
        <v>Windrow</v>
      </c>
      <c r="C2263" s="138" t="str">
        <f t="shared" si="114"/>
        <v>Base_With Amendment</v>
      </c>
      <c r="D2263" s="118" t="s">
        <v>138</v>
      </c>
      <c r="E2263" s="118" t="s">
        <v>180</v>
      </c>
      <c r="F2263" s="118" t="s">
        <v>46</v>
      </c>
      <c r="G2263" s="153"/>
      <c r="H2263" s="155">
        <v>8.8800000000000004E-2</v>
      </c>
      <c r="I2263" s="154" t="s">
        <v>167</v>
      </c>
      <c r="J2263" s="204">
        <v>3.3E-4</v>
      </c>
      <c r="K2263" s="154" t="s">
        <v>145</v>
      </c>
      <c r="L2263" s="154" t="str">
        <f>IF(OpenLCAbasic!K2263="CTUh", "Fill in Manually",IF(OR(K2263="Unit", K2263=""), "", INDEX(LookUps!$E$5:$E$12, MATCH(OpenLCAbasic!K2263,LookUps!$D$5:$D$12,0))))</f>
        <v>Particulate Matter Formation Potential (PMFP) - kg PM2.5 eq</v>
      </c>
      <c r="M2263" s="154" t="str">
        <f t="shared" si="115"/>
        <v>Low_High_Low_Upgraded_Particulate Matter Formation Potential (PMFP) - kg PM2.5 eq_Waste Receiving and Holding; wastewater treatment unit; at updated plant - US_Base_With Amendment_Windrow</v>
      </c>
    </row>
    <row r="2264" spans="1:13" s="120" customFormat="1" x14ac:dyDescent="0.25">
      <c r="A2264" s="119"/>
      <c r="B2264" s="138" t="str">
        <f t="shared" si="113"/>
        <v>Windrow</v>
      </c>
      <c r="C2264" s="138" t="str">
        <f t="shared" si="114"/>
        <v>Base_With Amendment</v>
      </c>
      <c r="D2264" s="118" t="s">
        <v>138</v>
      </c>
      <c r="E2264" s="118" t="s">
        <v>180</v>
      </c>
      <c r="F2264" s="118" t="s">
        <v>46</v>
      </c>
      <c r="G2264" s="153"/>
      <c r="H2264" s="155">
        <v>7.1400000000000005E-2</v>
      </c>
      <c r="I2264" s="154" t="s">
        <v>147</v>
      </c>
      <c r="J2264" s="204">
        <v>2.7E-4</v>
      </c>
      <c r="K2264" s="154" t="s">
        <v>145</v>
      </c>
      <c r="L2264" s="154" t="str">
        <f>IF(OpenLCAbasic!K2264="CTUh", "Fill in Manually",IF(OR(K2264="Unit", K2264=""), "", INDEX(LookUps!$E$5:$E$12, MATCH(OpenLCAbasic!K2264,LookUps!$D$5:$D$12,0))))</f>
        <v>Particulate Matter Formation Potential (PMFP) - kg PM2.5 eq</v>
      </c>
      <c r="M2264" s="154" t="str">
        <f t="shared" si="115"/>
        <v>Low_High_Low_Upgraded_Particulate Matter Formation Potential (PMFP) - kg PM2.5 eq_Influent Pump Station; wastewater treatment unit; at updated plant - US_Base_With Amendment_Windrow</v>
      </c>
    </row>
    <row r="2265" spans="1:13" s="120" customFormat="1" x14ac:dyDescent="0.25">
      <c r="A2265" s="119"/>
      <c r="B2265" s="138" t="str">
        <f t="shared" si="113"/>
        <v>Windrow</v>
      </c>
      <c r="C2265" s="138" t="str">
        <f t="shared" si="114"/>
        <v>Base_With Amendment</v>
      </c>
      <c r="D2265" s="118" t="s">
        <v>138</v>
      </c>
      <c r="E2265" s="118" t="s">
        <v>180</v>
      </c>
      <c r="F2265" s="118" t="s">
        <v>46</v>
      </c>
      <c r="G2265" s="153"/>
      <c r="H2265" s="155">
        <v>6.0900000000000003E-2</v>
      </c>
      <c r="I2265" s="154" t="s">
        <v>60</v>
      </c>
      <c r="J2265" s="204">
        <v>2.3000000000000001E-4</v>
      </c>
      <c r="K2265" s="154" t="s">
        <v>145</v>
      </c>
      <c r="L2265" s="154" t="str">
        <f>IF(OpenLCAbasic!K2265="CTUh", "Fill in Manually",IF(OR(K2265="Unit", K2265=""), "", INDEX(LookUps!$E$5:$E$12, MATCH(OpenLCAbasic!K2265,LookUps!$D$5:$D$12,0))))</f>
        <v>Particulate Matter Formation Potential (PMFP) - kg PM2.5 eq</v>
      </c>
      <c r="M2265" s="154" t="str">
        <f t="shared" si="115"/>
        <v>Low_High_Low_Upgraded_Particulate Matter Formation Potential (PMFP) - kg PM2.5 eq_Belt filter press; wastewater treatment unit; at updated plant - US_Base_With Amendment_Windrow</v>
      </c>
    </row>
    <row r="2266" spans="1:13" s="120" customFormat="1" x14ac:dyDescent="0.25">
      <c r="A2266" s="119"/>
      <c r="B2266" s="138" t="str">
        <f t="shared" si="113"/>
        <v>Windrow</v>
      </c>
      <c r="C2266" s="138" t="str">
        <f t="shared" si="114"/>
        <v>Base_With Amendment</v>
      </c>
      <c r="D2266" s="118" t="s">
        <v>138</v>
      </c>
      <c r="E2266" s="118" t="s">
        <v>180</v>
      </c>
      <c r="F2266" s="118" t="s">
        <v>46</v>
      </c>
      <c r="G2266" s="153"/>
      <c r="H2266" s="155">
        <v>4.4600000000000001E-2</v>
      </c>
      <c r="I2266" s="154" t="s">
        <v>128</v>
      </c>
      <c r="J2266" s="204">
        <v>1.7000000000000001E-4</v>
      </c>
      <c r="K2266" s="154" t="s">
        <v>145</v>
      </c>
      <c r="L2266" s="154" t="str">
        <f>IF(OpenLCAbasic!K2266="CTUh", "Fill in Manually",IF(OR(K2266="Unit", K2266=""), "", INDEX(LookUps!$E$5:$E$12, MATCH(OpenLCAbasic!K2266,LookUps!$D$5:$D$12,0))))</f>
        <v>Particulate Matter Formation Potential (PMFP) - kg PM2.5 eq</v>
      </c>
      <c r="M2266" s="154" t="str">
        <f t="shared" si="115"/>
        <v>Low_High_Low_Upgraded_Particulate Matter Formation Potential (PMFP) - kg PM2.5 eq_Wastewater collection; operation and infrastructure; m3 wastewater_Base_With Amendment_Windrow</v>
      </c>
    </row>
    <row r="2267" spans="1:13" s="120" customFormat="1" x14ac:dyDescent="0.25">
      <c r="A2267" s="119"/>
      <c r="B2267" s="138" t="str">
        <f t="shared" si="113"/>
        <v>Windrow</v>
      </c>
      <c r="C2267" s="138" t="str">
        <f t="shared" si="114"/>
        <v>Base_With Amendment</v>
      </c>
      <c r="D2267" s="118" t="s">
        <v>138</v>
      </c>
      <c r="E2267" s="118" t="s">
        <v>180</v>
      </c>
      <c r="F2267" s="118" t="s">
        <v>46</v>
      </c>
      <c r="G2267" s="153"/>
      <c r="H2267" s="155">
        <v>2.9899999999999999E-2</v>
      </c>
      <c r="I2267" s="154" t="s">
        <v>62</v>
      </c>
      <c r="J2267" s="204">
        <v>1.1E-4</v>
      </c>
      <c r="K2267" s="154" t="s">
        <v>145</v>
      </c>
      <c r="L2267" s="154" t="str">
        <f>IF(OpenLCAbasic!K2267="CTUh", "Fill in Manually",IF(OR(K2267="Unit", K2267=""), "", INDEX(LookUps!$E$5:$E$12, MATCH(OpenLCAbasic!K2267,LookUps!$D$5:$D$12,0))))</f>
        <v>Particulate Matter Formation Potential (PMFP) - kg PM2.5 eq</v>
      </c>
      <c r="M2267" s="154" t="str">
        <f t="shared" si="115"/>
        <v>Low_High_Low_Upgraded_Particulate Matter Formation Potential (PMFP) - kg PM2.5 eq_Land application of compost; wastewater treatment unit; at updated plant - US_Base_With Amendment_Windrow</v>
      </c>
    </row>
    <row r="2268" spans="1:13" s="120" customFormat="1" x14ac:dyDescent="0.25">
      <c r="A2268" s="119"/>
      <c r="B2268" s="138" t="str">
        <f t="shared" si="113"/>
        <v>Windrow</v>
      </c>
      <c r="C2268" s="138" t="str">
        <f t="shared" si="114"/>
        <v>Base_With Amendment</v>
      </c>
      <c r="D2268" s="118" t="s">
        <v>138</v>
      </c>
      <c r="E2268" s="118" t="s">
        <v>180</v>
      </c>
      <c r="F2268" s="118" t="s">
        <v>46</v>
      </c>
      <c r="G2268" s="153"/>
      <c r="H2268" s="155">
        <v>2.5499999999999998E-2</v>
      </c>
      <c r="I2268" s="154" t="s">
        <v>57</v>
      </c>
      <c r="J2268" s="204">
        <v>9.5153800000000004E-5</v>
      </c>
      <c r="K2268" s="154" t="s">
        <v>145</v>
      </c>
      <c r="L2268" s="154" t="str">
        <f>IF(OpenLCAbasic!K2268="CTUh", "Fill in Manually",IF(OR(K2268="Unit", K2268=""), "", INDEX(LookUps!$E$5:$E$12, MATCH(OpenLCAbasic!K2268,LookUps!$D$5:$D$12,0))))</f>
        <v>Particulate Matter Formation Potential (PMFP) - kg PM2.5 eq</v>
      </c>
      <c r="M2268" s="154" t="str">
        <f t="shared" si="115"/>
        <v>Low_High_Low_Upgraded_Particulate Matter Formation Potential (PMFP) - kg PM2.5 eq_Gravity Belt Thickener; wastewater treatment unit; at updated plant - US_Base_With Amendment_Windrow</v>
      </c>
    </row>
    <row r="2269" spans="1:13" s="120" customFormat="1" x14ac:dyDescent="0.25">
      <c r="A2269" s="119"/>
      <c r="B2269" s="138" t="str">
        <f t="shared" si="113"/>
        <v>Windrow</v>
      </c>
      <c r="C2269" s="138" t="str">
        <f t="shared" si="114"/>
        <v>Base_With Amendment</v>
      </c>
      <c r="D2269" s="118" t="s">
        <v>138</v>
      </c>
      <c r="E2269" s="118" t="s">
        <v>180</v>
      </c>
      <c r="F2269" s="118" t="s">
        <v>46</v>
      </c>
      <c r="G2269" s="153"/>
      <c r="H2269" s="155">
        <v>2.2200000000000001E-2</v>
      </c>
      <c r="I2269" s="154" t="s">
        <v>271</v>
      </c>
      <c r="J2269" s="204">
        <v>8.28741E-5</v>
      </c>
      <c r="K2269" s="154" t="s">
        <v>145</v>
      </c>
      <c r="L2269" s="154" t="str">
        <f>IF(OpenLCAbasic!K2269="CTUh", "Fill in Manually",IF(OR(K2269="Unit", K2269=""), "", INDEX(LookUps!$E$5:$E$12, MATCH(OpenLCAbasic!K2269,LookUps!$D$5:$D$12,0))))</f>
        <v>Particulate Matter Formation Potential (PMFP) - kg PM2.5 eq</v>
      </c>
      <c r="M2269" s="154" t="str">
        <f t="shared" si="115"/>
        <v>Low_High_Low_Upgraded_Particulate Matter Formation Potential (PMFP) - kg PM2.5 eq_Biosolids composting; windrow composting; wastewater treatment unit; at updated plant - US_Base_With Amendment_Windrow</v>
      </c>
    </row>
    <row r="2270" spans="1:13" s="120" customFormat="1" x14ac:dyDescent="0.25">
      <c r="A2270" s="119"/>
      <c r="B2270" s="138" t="str">
        <f t="shared" si="113"/>
        <v>Windrow</v>
      </c>
      <c r="C2270" s="138" t="str">
        <f t="shared" si="114"/>
        <v>Base_With Amendment</v>
      </c>
      <c r="D2270" s="118" t="s">
        <v>138</v>
      </c>
      <c r="E2270" s="118" t="s">
        <v>180</v>
      </c>
      <c r="F2270" s="118" t="s">
        <v>46</v>
      </c>
      <c r="G2270" s="153"/>
      <c r="H2270" s="155">
        <v>1.8700000000000001E-2</v>
      </c>
      <c r="I2270" s="154" t="s">
        <v>59</v>
      </c>
      <c r="J2270" s="204">
        <v>6.9942200000000003E-5</v>
      </c>
      <c r="K2270" s="154" t="s">
        <v>145</v>
      </c>
      <c r="L2270" s="154" t="str">
        <f>IF(OpenLCAbasic!K2270="CTUh", "Fill in Manually",IF(OR(K2270="Unit", K2270=""), "", INDEX(LookUps!$E$5:$E$12, MATCH(OpenLCAbasic!K2270,LookUps!$D$5:$D$12,0))))</f>
        <v>Particulate Matter Formation Potential (PMFP) - kg PM2.5 eq</v>
      </c>
      <c r="M2270" s="154" t="str">
        <f t="shared" si="115"/>
        <v>Low_High_Low_Upgraded_Particulate Matter Formation Potential (PMFP) - kg PM2.5 eq_Blend Tank; wastewater treatment unit; at updated plant - US_Base_With Amendment_Windrow</v>
      </c>
    </row>
    <row r="2271" spans="1:13" s="120" customFormat="1" x14ac:dyDescent="0.25">
      <c r="A2271" s="119"/>
      <c r="B2271" s="138" t="str">
        <f t="shared" si="113"/>
        <v>Windrow</v>
      </c>
      <c r="C2271" s="138" t="str">
        <f t="shared" si="114"/>
        <v>Base_With Amendment</v>
      </c>
      <c r="D2271" s="118" t="s">
        <v>138</v>
      </c>
      <c r="E2271" s="118" t="s">
        <v>180</v>
      </c>
      <c r="F2271" s="118" t="s">
        <v>46</v>
      </c>
      <c r="G2271" s="153"/>
      <c r="H2271" s="155">
        <v>1.34E-2</v>
      </c>
      <c r="I2271" s="154" t="s">
        <v>48</v>
      </c>
      <c r="J2271" s="204">
        <v>4.99741E-5</v>
      </c>
      <c r="K2271" s="154" t="s">
        <v>145</v>
      </c>
      <c r="L2271" s="154" t="str">
        <f>IF(OpenLCAbasic!K2271="CTUh", "Fill in Manually",IF(OR(K2271="Unit", K2271=""), "", INDEX(LookUps!$E$5:$E$12, MATCH(OpenLCAbasic!K2271,LookUps!$D$5:$D$12,0))))</f>
        <v>Particulate Matter Formation Potential (PMFP) - kg PM2.5 eq</v>
      </c>
      <c r="M2271" s="154" t="str">
        <f t="shared" si="115"/>
        <v>Low_High_Low_Upgraded_Particulate Matter Formation Potential (PMFP) - kg PM2.5 eq_Effluent release; wastewater treatment unit; at surface water; m3 wastewater - US_Base_With Amendment_Windrow</v>
      </c>
    </row>
    <row r="2272" spans="1:13" s="120" customFormat="1" x14ac:dyDescent="0.25">
      <c r="A2272" s="119"/>
      <c r="B2272" s="138" t="str">
        <f t="shared" si="113"/>
        <v>Windrow</v>
      </c>
      <c r="C2272" s="138" t="str">
        <f t="shared" si="114"/>
        <v>Base_With Amendment</v>
      </c>
      <c r="D2272" s="118" t="s">
        <v>138</v>
      </c>
      <c r="E2272" s="118" t="s">
        <v>180</v>
      </c>
      <c r="F2272" s="118" t="s">
        <v>46</v>
      </c>
      <c r="G2272" s="153"/>
      <c r="H2272" s="155">
        <v>9.2999999999999992E-3</v>
      </c>
      <c r="I2272" s="154" t="s">
        <v>168</v>
      </c>
      <c r="J2272" s="204">
        <v>3.4562199999999999E-5</v>
      </c>
      <c r="K2272" s="154" t="s">
        <v>145</v>
      </c>
      <c r="L2272" s="154" t="str">
        <f>IF(OpenLCAbasic!K2272="CTUh", "Fill in Manually",IF(OR(K2272="Unit", K2272=""), "", INDEX(LookUps!$E$5:$E$12, MATCH(OpenLCAbasic!K2272,LookUps!$D$5:$D$12,0))))</f>
        <v>Particulate Matter Formation Potential (PMFP) - kg PM2.5 eq</v>
      </c>
      <c r="M2272" s="154" t="str">
        <f t="shared" si="115"/>
        <v>Low_High_Low_Upgraded_Particulate Matter Formation Potential (PMFP) - kg PM2.5 eq_ClearCove SCP; wastewater treatment unit; at updated plant - US_Base_With Amendment_Windrow</v>
      </c>
    </row>
    <row r="2273" spans="1:13" s="120" customFormat="1" x14ac:dyDescent="0.25">
      <c r="A2273" s="119"/>
      <c r="B2273" s="138" t="str">
        <f t="shared" si="113"/>
        <v>Windrow</v>
      </c>
      <c r="C2273" s="138" t="str">
        <f t="shared" si="114"/>
        <v>Base_With Amendment</v>
      </c>
      <c r="D2273" s="118" t="s">
        <v>138</v>
      </c>
      <c r="E2273" s="118" t="s">
        <v>180</v>
      </c>
      <c r="F2273" s="118" t="s">
        <v>46</v>
      </c>
      <c r="G2273" s="153"/>
      <c r="H2273" s="155">
        <v>2.3999999999999998E-3</v>
      </c>
      <c r="I2273" s="154" t="s">
        <v>148</v>
      </c>
      <c r="J2273" s="204">
        <v>8.8212999999999997E-6</v>
      </c>
      <c r="K2273" s="154" t="s">
        <v>145</v>
      </c>
      <c r="L2273" s="154" t="str">
        <f>IF(OpenLCAbasic!K2273="CTUh", "Fill in Manually",IF(OR(K2273="Unit", K2273=""), "", INDEX(LookUps!$E$5:$E$12, MATCH(OpenLCAbasic!K2273,LookUps!$D$5:$D$12,0))))</f>
        <v>Particulate Matter Formation Potential (PMFP) - kg PM2.5 eq</v>
      </c>
      <c r="M2273" s="154" t="str">
        <f t="shared" si="115"/>
        <v>Low_High_Low_Upgraded_Particulate Matter Formation Potential (PMFP) - kg PM2.5 eq_Control Building; at upgraded wastewater treatment plant - US_Base_With Amendment_Windrow</v>
      </c>
    </row>
    <row r="2274" spans="1:13" s="120" customFormat="1" x14ac:dyDescent="0.25">
      <c r="A2274" s="119"/>
      <c r="B2274" s="138" t="str">
        <f t="shared" si="113"/>
        <v>Windrow</v>
      </c>
      <c r="C2274" s="138" t="str">
        <f t="shared" si="114"/>
        <v>Base_With Amendment</v>
      </c>
      <c r="D2274" s="118" t="s">
        <v>138</v>
      </c>
      <c r="E2274" s="118" t="s">
        <v>180</v>
      </c>
      <c r="F2274" s="118" t="s">
        <v>46</v>
      </c>
      <c r="G2274" s="153"/>
      <c r="H2274" s="155">
        <v>-0.47660000000000002</v>
      </c>
      <c r="I2274" s="154" t="s">
        <v>149</v>
      </c>
      <c r="J2274" s="204">
        <v>-1.7799999999999999E-3</v>
      </c>
      <c r="K2274" s="154" t="s">
        <v>145</v>
      </c>
      <c r="L2274" s="154" t="str">
        <f>IF(OpenLCAbasic!K2274="CTUh", "Fill in Manually",IF(OR(K2274="Unit", K2274=""), "", INDEX(LookUps!$E$5:$E$12, MATCH(OpenLCAbasic!K2274,LookUps!$D$5:$D$12,0))))</f>
        <v>Particulate Matter Formation Potential (PMFP) - kg PM2.5 eq</v>
      </c>
      <c r="M2274" s="154" t="str">
        <f t="shared" si="115"/>
        <v>Low_High_Low_Upgraded_Particulate Matter Formation Potential (PMFP) - kg PM2.5 eq_Anaerobic Digestion; wastewater treatment unit; at updated plant - US_Base_With Amendment_Windrow</v>
      </c>
    </row>
    <row r="2275" spans="1:13" s="120" customFormat="1" x14ac:dyDescent="0.25">
      <c r="A2275" s="119"/>
      <c r="B2275" s="138" t="str">
        <f t="shared" si="113"/>
        <v>Windrow</v>
      </c>
      <c r="C2275" s="138" t="str">
        <f t="shared" si="114"/>
        <v>Base_With Amendment</v>
      </c>
      <c r="D2275" s="118" t="s">
        <v>138</v>
      </c>
      <c r="E2275" s="118" t="s">
        <v>180</v>
      </c>
      <c r="F2275" s="118" t="s">
        <v>46</v>
      </c>
      <c r="G2275" s="153" t="s">
        <v>51</v>
      </c>
      <c r="H2275" s="154"/>
      <c r="I2275" s="154" t="s">
        <v>47</v>
      </c>
      <c r="J2275" s="154" t="s">
        <v>52</v>
      </c>
      <c r="K2275" s="154" t="s">
        <v>27</v>
      </c>
      <c r="L2275" s="154" t="str">
        <f>IF(OpenLCAbasic!K2275="CTUh", "Fill in Manually",IF(OR(K2275="Unit", K2275=""), "", INDEX(LookUps!$E$5:$E$12, MATCH(OpenLCAbasic!K2275,LookUps!$D$5:$D$12,0))))</f>
        <v/>
      </c>
      <c r="M2275" s="154" t="str">
        <f t="shared" si="115"/>
        <v>Low_High_Low_Upgraded__Process_Base_With Amendment_Windrow</v>
      </c>
    </row>
    <row r="2276" spans="1:13" s="120" customFormat="1" x14ac:dyDescent="0.25">
      <c r="A2276" s="119"/>
      <c r="B2276" s="138" t="str">
        <f t="shared" si="113"/>
        <v>Windrow</v>
      </c>
      <c r="C2276" s="138" t="str">
        <f t="shared" si="114"/>
        <v>Base_With Amendment</v>
      </c>
      <c r="D2276" s="118" t="s">
        <v>138</v>
      </c>
      <c r="E2276" s="118" t="s">
        <v>180</v>
      </c>
      <c r="F2276" s="118" t="s">
        <v>46</v>
      </c>
      <c r="G2276" s="153"/>
      <c r="H2276" s="155">
        <v>0.64559999999999995</v>
      </c>
      <c r="I2276" s="154" t="s">
        <v>55</v>
      </c>
      <c r="J2276" s="203">
        <v>0.16577</v>
      </c>
      <c r="K2276" s="154" t="s">
        <v>25</v>
      </c>
      <c r="L2276" s="154" t="str">
        <f>IF(OpenLCAbasic!K2276="CTUh", "Fill in Manually",IF(OR(K2276="Unit", K2276=""), "", INDEX(LookUps!$E$5:$E$12, MATCH(OpenLCAbasic!K2276,LookUps!$D$5:$D$12,0))))</f>
        <v>Smog Formation Potential (SFP) - kg O3 eq</v>
      </c>
      <c r="M2276" s="154" t="str">
        <f t="shared" si="115"/>
        <v>Low_High_Low_Upgraded_Smog Formation Potential (SFP) - kg O3 eq_Aeration Tanks; wastewater treatment unit; at updated plant - US_Base_With Amendment_Windrow</v>
      </c>
    </row>
    <row r="2277" spans="1:13" s="120" customFormat="1" x14ac:dyDescent="0.25">
      <c r="A2277" s="119"/>
      <c r="B2277" s="138" t="str">
        <f t="shared" si="113"/>
        <v>Windrow</v>
      </c>
      <c r="C2277" s="138" t="str">
        <f t="shared" si="114"/>
        <v>Base_With Amendment</v>
      </c>
      <c r="D2277" s="118" t="s">
        <v>138</v>
      </c>
      <c r="E2277" s="118" t="s">
        <v>180</v>
      </c>
      <c r="F2277" s="118" t="s">
        <v>46</v>
      </c>
      <c r="G2277" s="153"/>
      <c r="H2277" s="155">
        <v>0.18720000000000001</v>
      </c>
      <c r="I2277" s="154" t="s">
        <v>54</v>
      </c>
      <c r="J2277" s="203">
        <v>4.8070000000000002E-2</v>
      </c>
      <c r="K2277" s="154" t="s">
        <v>25</v>
      </c>
      <c r="L2277" s="154" t="str">
        <f>IF(OpenLCAbasic!K2277="CTUh", "Fill in Manually",IF(OR(K2277="Unit", K2277=""), "", INDEX(LookUps!$E$5:$E$12, MATCH(OpenLCAbasic!K2277,LookUps!$D$5:$D$12,0))))</f>
        <v>Smog Formation Potential (SFP) - kg O3 eq</v>
      </c>
      <c r="M2277" s="154" t="str">
        <f t="shared" si="115"/>
        <v>Low_High_Low_Upgraded_Smog Formation Potential (SFP) - kg O3 eq_Clear Cove Primary Clarification; wastewater treatment unit; at updated plant - US_Base_With Amendment_Windrow</v>
      </c>
    </row>
    <row r="2278" spans="1:13" s="120" customFormat="1" x14ac:dyDescent="0.25">
      <c r="A2278" s="119"/>
      <c r="B2278" s="138" t="str">
        <f t="shared" si="113"/>
        <v>Windrow</v>
      </c>
      <c r="C2278" s="138" t="str">
        <f t="shared" si="114"/>
        <v>Base_With Amendment</v>
      </c>
      <c r="D2278" s="118" t="s">
        <v>138</v>
      </c>
      <c r="E2278" s="118" t="s">
        <v>180</v>
      </c>
      <c r="F2278" s="118" t="s">
        <v>46</v>
      </c>
      <c r="G2278" s="153"/>
      <c r="H2278" s="155">
        <v>0.16389999999999999</v>
      </c>
      <c r="I2278" s="154" t="s">
        <v>58</v>
      </c>
      <c r="J2278" s="203">
        <v>4.2090000000000002E-2</v>
      </c>
      <c r="K2278" s="154" t="s">
        <v>25</v>
      </c>
      <c r="L2278" s="154" t="str">
        <f>IF(OpenLCAbasic!K2278="CTUh", "Fill in Manually",IF(OR(K2278="Unit", K2278=""), "", INDEX(LookUps!$E$5:$E$12, MATCH(OpenLCAbasic!K2278,LookUps!$D$5:$D$12,0))))</f>
        <v>Smog Formation Potential (SFP) - kg O3 eq</v>
      </c>
      <c r="M2278" s="154" t="str">
        <f t="shared" si="115"/>
        <v>Low_High_Low_Upgraded_Smog Formation Potential (SFP) - kg O3 eq_Pre-Anoxic &amp; Swing tank; wastewater treatment unit; at updated plant - US_Base_With Amendment_Windrow</v>
      </c>
    </row>
    <row r="2279" spans="1:13" s="120" customFormat="1" x14ac:dyDescent="0.25">
      <c r="A2279" s="119"/>
      <c r="B2279" s="138" t="str">
        <f t="shared" si="113"/>
        <v>Windrow</v>
      </c>
      <c r="C2279" s="138" t="str">
        <f t="shared" si="114"/>
        <v>Base_With Amendment</v>
      </c>
      <c r="D2279" s="118" t="s">
        <v>138</v>
      </c>
      <c r="E2279" s="118" t="s">
        <v>180</v>
      </c>
      <c r="F2279" s="118" t="s">
        <v>46</v>
      </c>
      <c r="G2279" s="153"/>
      <c r="H2279" s="155">
        <v>0.13150000000000001</v>
      </c>
      <c r="I2279" s="154" t="s">
        <v>167</v>
      </c>
      <c r="J2279" s="203">
        <v>3.3759999999999998E-2</v>
      </c>
      <c r="K2279" s="154" t="s">
        <v>25</v>
      </c>
      <c r="L2279" s="154" t="str">
        <f>IF(OpenLCAbasic!K2279="CTUh", "Fill in Manually",IF(OR(K2279="Unit", K2279=""), "", INDEX(LookUps!$E$5:$E$12, MATCH(OpenLCAbasic!K2279,LookUps!$D$5:$D$12,0))))</f>
        <v>Smog Formation Potential (SFP) - kg O3 eq</v>
      </c>
      <c r="M2279" s="154" t="str">
        <f t="shared" si="115"/>
        <v>Low_High_Low_Upgraded_Smog Formation Potential (SFP) - kg O3 eq_Waste Receiving and Holding; wastewater treatment unit; at updated plant - US_Base_With Amendment_Windrow</v>
      </c>
    </row>
    <row r="2280" spans="1:13" s="120" customFormat="1" x14ac:dyDescent="0.25">
      <c r="A2280" s="119"/>
      <c r="B2280" s="138" t="str">
        <f t="shared" si="113"/>
        <v>Windrow</v>
      </c>
      <c r="C2280" s="138" t="str">
        <f t="shared" si="114"/>
        <v>Base_With Amendment</v>
      </c>
      <c r="D2280" s="118" t="s">
        <v>138</v>
      </c>
      <c r="E2280" s="118" t="s">
        <v>180</v>
      </c>
      <c r="F2280" s="118" t="s">
        <v>46</v>
      </c>
      <c r="G2280" s="153"/>
      <c r="H2280" s="155">
        <v>0.129</v>
      </c>
      <c r="I2280" s="154" t="s">
        <v>53</v>
      </c>
      <c r="J2280" s="203">
        <v>3.313E-2</v>
      </c>
      <c r="K2280" s="154" t="s">
        <v>25</v>
      </c>
      <c r="L2280" s="154" t="str">
        <f>IF(OpenLCAbasic!K2280="CTUh", "Fill in Manually",IF(OR(K2280="Unit", K2280=""), "", INDEX(LookUps!$E$5:$E$12, MATCH(OpenLCAbasic!K2280,LookUps!$D$5:$D$12,0))))</f>
        <v>Smog Formation Potential (SFP) - kg O3 eq</v>
      </c>
      <c r="M2280" s="154" t="str">
        <f t="shared" si="115"/>
        <v>Low_High_Low_Upgraded_Smog Formation Potential (SFP) - kg O3 eq_Wet Well and Sump Station; wastewater treatment unit; at updated plant - US_Base_With Amendment_Windrow</v>
      </c>
    </row>
    <row r="2281" spans="1:13" s="120" customFormat="1" x14ac:dyDescent="0.25">
      <c r="A2281" s="119"/>
      <c r="B2281" s="138" t="str">
        <f t="shared" si="113"/>
        <v>Windrow</v>
      </c>
      <c r="C2281" s="138" t="str">
        <f t="shared" si="114"/>
        <v>Base_With Amendment</v>
      </c>
      <c r="D2281" s="118" t="s">
        <v>138</v>
      </c>
      <c r="E2281" s="118" t="s">
        <v>180</v>
      </c>
      <c r="F2281" s="118" t="s">
        <v>46</v>
      </c>
      <c r="G2281" s="153"/>
      <c r="H2281" s="155">
        <v>7.5499999999999998E-2</v>
      </c>
      <c r="I2281" s="154" t="s">
        <v>147</v>
      </c>
      <c r="J2281" s="203">
        <v>1.9400000000000001E-2</v>
      </c>
      <c r="K2281" s="154" t="s">
        <v>25</v>
      </c>
      <c r="L2281" s="154" t="str">
        <f>IF(OpenLCAbasic!K2281="CTUh", "Fill in Manually",IF(OR(K2281="Unit", K2281=""), "", INDEX(LookUps!$E$5:$E$12, MATCH(OpenLCAbasic!K2281,LookUps!$D$5:$D$12,0))))</f>
        <v>Smog Formation Potential (SFP) - kg O3 eq</v>
      </c>
      <c r="M2281" s="154" t="str">
        <f t="shared" si="115"/>
        <v>Low_High_Low_Upgraded_Smog Formation Potential (SFP) - kg O3 eq_Influent Pump Station; wastewater treatment unit; at updated plant - US_Base_With Amendment_Windrow</v>
      </c>
    </row>
    <row r="2282" spans="1:13" s="120" customFormat="1" x14ac:dyDescent="0.25">
      <c r="A2282" s="119"/>
      <c r="B2282" s="138" t="str">
        <f t="shared" si="113"/>
        <v>Windrow</v>
      </c>
      <c r="C2282" s="138" t="str">
        <f t="shared" si="114"/>
        <v>Base_With Amendment</v>
      </c>
      <c r="D2282" s="118" t="s">
        <v>138</v>
      </c>
      <c r="E2282" s="118" t="s">
        <v>180</v>
      </c>
      <c r="F2282" s="118" t="s">
        <v>46</v>
      </c>
      <c r="G2282" s="153"/>
      <c r="H2282" s="155">
        <v>6.2300000000000001E-2</v>
      </c>
      <c r="I2282" s="154" t="s">
        <v>60</v>
      </c>
      <c r="J2282" s="204">
        <v>1.5990000000000001E-2</v>
      </c>
      <c r="K2282" s="154" t="s">
        <v>25</v>
      </c>
      <c r="L2282" s="154" t="str">
        <f>IF(OpenLCAbasic!K2282="CTUh", "Fill in Manually",IF(OR(K2282="Unit", K2282=""), "", INDEX(LookUps!$E$5:$E$12, MATCH(OpenLCAbasic!K2282,LookUps!$D$5:$D$12,0))))</f>
        <v>Smog Formation Potential (SFP) - kg O3 eq</v>
      </c>
      <c r="M2282" s="154" t="str">
        <f t="shared" si="115"/>
        <v>Low_High_Low_Upgraded_Smog Formation Potential (SFP) - kg O3 eq_Belt filter press; wastewater treatment unit; at updated plant - US_Base_With Amendment_Windrow</v>
      </c>
    </row>
    <row r="2283" spans="1:13" s="120" customFormat="1" x14ac:dyDescent="0.25">
      <c r="A2283" s="119"/>
      <c r="B2283" s="138" t="str">
        <f t="shared" si="113"/>
        <v>Windrow</v>
      </c>
      <c r="C2283" s="138" t="str">
        <f t="shared" si="114"/>
        <v>Base_With Amendment</v>
      </c>
      <c r="D2283" s="118" t="s">
        <v>138</v>
      </c>
      <c r="E2283" s="118" t="s">
        <v>180</v>
      </c>
      <c r="F2283" s="118" t="s">
        <v>46</v>
      </c>
      <c r="G2283" s="153"/>
      <c r="H2283" s="155">
        <v>4.6399999999999997E-2</v>
      </c>
      <c r="I2283" s="154" t="s">
        <v>128</v>
      </c>
      <c r="J2283" s="204">
        <v>1.192E-2</v>
      </c>
      <c r="K2283" s="154" t="s">
        <v>25</v>
      </c>
      <c r="L2283" s="154" t="str">
        <f>IF(OpenLCAbasic!K2283="CTUh", "Fill in Manually",IF(OR(K2283="Unit", K2283=""), "", INDEX(LookUps!$E$5:$E$12, MATCH(OpenLCAbasic!K2283,LookUps!$D$5:$D$12,0))))</f>
        <v>Smog Formation Potential (SFP) - kg O3 eq</v>
      </c>
      <c r="M2283" s="154" t="str">
        <f t="shared" si="115"/>
        <v>Low_High_Low_Upgraded_Smog Formation Potential (SFP) - kg O3 eq_Wastewater collection; operation and infrastructure; m3 wastewater_Base_With Amendment_Windrow</v>
      </c>
    </row>
    <row r="2284" spans="1:13" s="120" customFormat="1" x14ac:dyDescent="0.25">
      <c r="A2284" s="119"/>
      <c r="B2284" s="138" t="str">
        <f t="shared" si="113"/>
        <v>Windrow</v>
      </c>
      <c r="C2284" s="138" t="str">
        <f t="shared" si="114"/>
        <v>Base_With Amendment</v>
      </c>
      <c r="D2284" s="118" t="s">
        <v>138</v>
      </c>
      <c r="E2284" s="118" t="s">
        <v>180</v>
      </c>
      <c r="F2284" s="118" t="s">
        <v>46</v>
      </c>
      <c r="G2284" s="153"/>
      <c r="H2284" s="155">
        <v>2.5899999999999999E-2</v>
      </c>
      <c r="I2284" s="154" t="s">
        <v>57</v>
      </c>
      <c r="J2284" s="204">
        <v>6.6499999999999997E-3</v>
      </c>
      <c r="K2284" s="154" t="s">
        <v>25</v>
      </c>
      <c r="L2284" s="154" t="str">
        <f>IF(OpenLCAbasic!K2284="CTUh", "Fill in Manually",IF(OR(K2284="Unit", K2284=""), "", INDEX(LookUps!$E$5:$E$12, MATCH(OpenLCAbasic!K2284,LookUps!$D$5:$D$12,0))))</f>
        <v>Smog Formation Potential (SFP) - kg O3 eq</v>
      </c>
      <c r="M2284" s="154" t="str">
        <f t="shared" si="115"/>
        <v>Low_High_Low_Upgraded_Smog Formation Potential (SFP) - kg O3 eq_Gravity Belt Thickener; wastewater treatment unit; at updated plant - US_Base_With Amendment_Windrow</v>
      </c>
    </row>
    <row r="2285" spans="1:13" s="120" customFormat="1" x14ac:dyDescent="0.25">
      <c r="A2285" s="119"/>
      <c r="B2285" s="138" t="str">
        <f t="shared" si="113"/>
        <v>Windrow</v>
      </c>
      <c r="C2285" s="138" t="str">
        <f t="shared" si="114"/>
        <v>Base_With Amendment</v>
      </c>
      <c r="D2285" s="118" t="s">
        <v>138</v>
      </c>
      <c r="E2285" s="118" t="s">
        <v>180</v>
      </c>
      <c r="F2285" s="118" t="s">
        <v>46</v>
      </c>
      <c r="G2285" s="153"/>
      <c r="H2285" s="155">
        <v>1.9400000000000001E-2</v>
      </c>
      <c r="I2285" s="154" t="s">
        <v>59</v>
      </c>
      <c r="J2285" s="204">
        <v>4.9699999999999996E-3</v>
      </c>
      <c r="K2285" s="154" t="s">
        <v>25</v>
      </c>
      <c r="L2285" s="154" t="str">
        <f>IF(OpenLCAbasic!K2285="CTUh", "Fill in Manually",IF(OR(K2285="Unit", K2285=""), "", INDEX(LookUps!$E$5:$E$12, MATCH(OpenLCAbasic!K2285,LookUps!$D$5:$D$12,0))))</f>
        <v>Smog Formation Potential (SFP) - kg O3 eq</v>
      </c>
      <c r="M2285" s="154" t="str">
        <f t="shared" si="115"/>
        <v>Low_High_Low_Upgraded_Smog Formation Potential (SFP) - kg O3 eq_Blend Tank; wastewater treatment unit; at updated plant - US_Base_With Amendment_Windrow</v>
      </c>
    </row>
    <row r="2286" spans="1:13" s="120" customFormat="1" x14ac:dyDescent="0.25">
      <c r="A2286" s="119"/>
      <c r="B2286" s="138" t="str">
        <f t="shared" si="113"/>
        <v>Windrow</v>
      </c>
      <c r="C2286" s="138" t="str">
        <f t="shared" si="114"/>
        <v>Base_With Amendment</v>
      </c>
      <c r="D2286" s="118" t="s">
        <v>138</v>
      </c>
      <c r="E2286" s="118" t="s">
        <v>180</v>
      </c>
      <c r="F2286" s="118" t="s">
        <v>46</v>
      </c>
      <c r="G2286" s="153"/>
      <c r="H2286" s="155">
        <v>1.32E-2</v>
      </c>
      <c r="I2286" s="154" t="s">
        <v>48</v>
      </c>
      <c r="J2286" s="204">
        <v>3.3899999999999998E-3</v>
      </c>
      <c r="K2286" s="154" t="s">
        <v>25</v>
      </c>
      <c r="L2286" s="154" t="str">
        <f>IF(OpenLCAbasic!K2286="CTUh", "Fill in Manually",IF(OR(K2286="Unit", K2286=""), "", INDEX(LookUps!$E$5:$E$12, MATCH(OpenLCAbasic!K2286,LookUps!$D$5:$D$12,0))))</f>
        <v>Smog Formation Potential (SFP) - kg O3 eq</v>
      </c>
      <c r="M2286" s="154" t="str">
        <f t="shared" si="115"/>
        <v>Low_High_Low_Upgraded_Smog Formation Potential (SFP) - kg O3 eq_Effluent release; wastewater treatment unit; at surface water; m3 wastewater - US_Base_With Amendment_Windrow</v>
      </c>
    </row>
    <row r="2287" spans="1:13" s="120" customFormat="1" x14ac:dyDescent="0.25">
      <c r="A2287" s="119"/>
      <c r="B2287" s="138" t="str">
        <f t="shared" si="113"/>
        <v>Windrow</v>
      </c>
      <c r="C2287" s="138" t="str">
        <f t="shared" si="114"/>
        <v>Base_With Amendment</v>
      </c>
      <c r="D2287" s="118" t="s">
        <v>138</v>
      </c>
      <c r="E2287" s="118" t="s">
        <v>180</v>
      </c>
      <c r="F2287" s="118" t="s">
        <v>46</v>
      </c>
      <c r="G2287" s="153"/>
      <c r="H2287" s="155">
        <v>9.5999999999999992E-3</v>
      </c>
      <c r="I2287" s="154" t="s">
        <v>168</v>
      </c>
      <c r="J2287" s="204">
        <v>2.4599999999999999E-3</v>
      </c>
      <c r="K2287" s="154" t="s">
        <v>25</v>
      </c>
      <c r="L2287" s="154" t="str">
        <f>IF(OpenLCAbasic!K2287="CTUh", "Fill in Manually",IF(OR(K2287="Unit", K2287=""), "", INDEX(LookUps!$E$5:$E$12, MATCH(OpenLCAbasic!K2287,LookUps!$D$5:$D$12,0))))</f>
        <v>Smog Formation Potential (SFP) - kg O3 eq</v>
      </c>
      <c r="M2287" s="154" t="str">
        <f t="shared" si="115"/>
        <v>Low_High_Low_Upgraded_Smog Formation Potential (SFP) - kg O3 eq_ClearCove SCP; wastewater treatment unit; at updated plant - US_Base_With Amendment_Windrow</v>
      </c>
    </row>
    <row r="2288" spans="1:13" s="120" customFormat="1" x14ac:dyDescent="0.25">
      <c r="A2288" s="119"/>
      <c r="B2288" s="138" t="str">
        <f t="shared" si="113"/>
        <v>Windrow</v>
      </c>
      <c r="C2288" s="138" t="str">
        <f t="shared" si="114"/>
        <v>Base_With Amendment</v>
      </c>
      <c r="D2288" s="118" t="s">
        <v>138</v>
      </c>
      <c r="E2288" s="118" t="s">
        <v>180</v>
      </c>
      <c r="F2288" s="118" t="s">
        <v>46</v>
      </c>
      <c r="G2288" s="153"/>
      <c r="H2288" s="155">
        <v>8.0999999999999996E-3</v>
      </c>
      <c r="I2288" s="154" t="s">
        <v>271</v>
      </c>
      <c r="J2288" s="204">
        <v>2.0699999999999998E-3</v>
      </c>
      <c r="K2288" s="154" t="s">
        <v>25</v>
      </c>
      <c r="L2288" s="154" t="str">
        <f>IF(OpenLCAbasic!K2288="CTUh", "Fill in Manually",IF(OR(K2288="Unit", K2288=""), "", INDEX(LookUps!$E$5:$E$12, MATCH(OpenLCAbasic!K2288,LookUps!$D$5:$D$12,0))))</f>
        <v>Smog Formation Potential (SFP) - kg O3 eq</v>
      </c>
      <c r="M2288" s="154" t="str">
        <f t="shared" si="115"/>
        <v>Low_High_Low_Upgraded_Smog Formation Potential (SFP) - kg O3 eq_Biosolids composting; windrow composting; wastewater treatment unit; at updated plant - US_Base_With Amendment_Windrow</v>
      </c>
    </row>
    <row r="2289" spans="1:13" s="120" customFormat="1" x14ac:dyDescent="0.25">
      <c r="A2289" s="119"/>
      <c r="B2289" s="138" t="str">
        <f t="shared" si="113"/>
        <v>Windrow</v>
      </c>
      <c r="C2289" s="138" t="str">
        <f t="shared" si="114"/>
        <v>Base_With Amendment</v>
      </c>
      <c r="D2289" s="118" t="s">
        <v>138</v>
      </c>
      <c r="E2289" s="118" t="s">
        <v>180</v>
      </c>
      <c r="F2289" s="118" t="s">
        <v>46</v>
      </c>
      <c r="G2289" s="153"/>
      <c r="H2289" s="155">
        <v>2.0999999999999999E-3</v>
      </c>
      <c r="I2289" s="154" t="s">
        <v>148</v>
      </c>
      <c r="J2289" s="204">
        <v>5.4000000000000001E-4</v>
      </c>
      <c r="K2289" s="154" t="s">
        <v>25</v>
      </c>
      <c r="L2289" s="154" t="str">
        <f>IF(OpenLCAbasic!K2289="CTUh", "Fill in Manually",IF(OR(K2289="Unit", K2289=""), "", INDEX(LookUps!$E$5:$E$12, MATCH(OpenLCAbasic!K2289,LookUps!$D$5:$D$12,0))))</f>
        <v>Smog Formation Potential (SFP) - kg O3 eq</v>
      </c>
      <c r="M2289" s="154" t="str">
        <f t="shared" si="115"/>
        <v>Low_High_Low_Upgraded_Smog Formation Potential (SFP) - kg O3 eq_Control Building; at upgraded wastewater treatment plant - US_Base_With Amendment_Windrow</v>
      </c>
    </row>
    <row r="2290" spans="1:13" s="120" customFormat="1" x14ac:dyDescent="0.25">
      <c r="A2290" s="119"/>
      <c r="B2290" s="138" t="str">
        <f t="shared" si="113"/>
        <v>Windrow</v>
      </c>
      <c r="C2290" s="138" t="str">
        <f t="shared" si="114"/>
        <v>Base_With Amendment</v>
      </c>
      <c r="D2290" s="118" t="s">
        <v>138</v>
      </c>
      <c r="E2290" s="118" t="s">
        <v>180</v>
      </c>
      <c r="F2290" s="118" t="s">
        <v>46</v>
      </c>
      <c r="G2290" s="153"/>
      <c r="H2290" s="155">
        <v>-2.41E-2</v>
      </c>
      <c r="I2290" s="154" t="s">
        <v>62</v>
      </c>
      <c r="J2290" s="204">
        <v>-6.1799999999999997E-3</v>
      </c>
      <c r="K2290" s="154" t="s">
        <v>25</v>
      </c>
      <c r="L2290" s="154" t="str">
        <f>IF(OpenLCAbasic!K2290="CTUh", "Fill in Manually",IF(OR(K2290="Unit", K2290=""), "", INDEX(LookUps!$E$5:$E$12, MATCH(OpenLCAbasic!K2290,LookUps!$D$5:$D$12,0))))</f>
        <v>Smog Formation Potential (SFP) - kg O3 eq</v>
      </c>
      <c r="M2290" s="154" t="str">
        <f t="shared" si="115"/>
        <v>Low_High_Low_Upgraded_Smog Formation Potential (SFP) - kg O3 eq_Land application of compost; wastewater treatment unit; at updated plant - US_Base_With Amendment_Windrow</v>
      </c>
    </row>
    <row r="2291" spans="1:13" s="120" customFormat="1" x14ac:dyDescent="0.25">
      <c r="A2291" s="119"/>
      <c r="B2291" s="138" t="str">
        <f t="shared" si="113"/>
        <v>Windrow</v>
      </c>
      <c r="C2291" s="138" t="str">
        <f t="shared" si="114"/>
        <v>Base_With Amendment</v>
      </c>
      <c r="D2291" s="118" t="s">
        <v>138</v>
      </c>
      <c r="E2291" s="118" t="s">
        <v>180</v>
      </c>
      <c r="F2291" s="118" t="s">
        <v>46</v>
      </c>
      <c r="G2291" s="153"/>
      <c r="H2291" s="155">
        <v>-0.49559999999999998</v>
      </c>
      <c r="I2291" s="154" t="s">
        <v>149</v>
      </c>
      <c r="J2291" s="203">
        <v>-0.12725</v>
      </c>
      <c r="K2291" s="154" t="s">
        <v>25</v>
      </c>
      <c r="L2291" s="154" t="str">
        <f>IF(OpenLCAbasic!K2291="CTUh", "Fill in Manually",IF(OR(K2291="Unit", K2291=""), "", INDEX(LookUps!$E$5:$E$12, MATCH(OpenLCAbasic!K2291,LookUps!$D$5:$D$12,0))))</f>
        <v>Smog Formation Potential (SFP) - kg O3 eq</v>
      </c>
      <c r="M2291" s="154" t="str">
        <f t="shared" si="115"/>
        <v>Low_High_Low_Upgraded_Smog Formation Potential (SFP) - kg O3 eq_Anaerobic Digestion; wastewater treatment unit; at updated plant - US_Base_With Amendment_Windrow</v>
      </c>
    </row>
    <row r="2292" spans="1:13" s="120" customFormat="1" x14ac:dyDescent="0.25">
      <c r="A2292" s="119"/>
      <c r="B2292" s="138" t="str">
        <f t="shared" si="113"/>
        <v>Windrow</v>
      </c>
      <c r="C2292" s="138" t="str">
        <f t="shared" si="114"/>
        <v>Base_With Amendment</v>
      </c>
      <c r="D2292" s="118" t="s">
        <v>138</v>
      </c>
      <c r="E2292" s="118" t="s">
        <v>180</v>
      </c>
      <c r="F2292" s="118" t="s">
        <v>46</v>
      </c>
      <c r="G2292" s="153" t="s">
        <v>51</v>
      </c>
      <c r="H2292" s="154"/>
      <c r="I2292" s="154" t="s">
        <v>47</v>
      </c>
      <c r="J2292" s="154" t="s">
        <v>52</v>
      </c>
      <c r="K2292" s="154" t="s">
        <v>27</v>
      </c>
      <c r="L2292" s="154" t="str">
        <f>IF(OpenLCAbasic!K2292="CTUh", "Fill in Manually",IF(OR(K2292="Unit", K2292=""), "", INDEX(LookUps!$E$5:$E$12, MATCH(OpenLCAbasic!K2292,LookUps!$D$5:$D$12,0))))</f>
        <v/>
      </c>
      <c r="M2292" s="154" t="str">
        <f t="shared" si="115"/>
        <v>Low_High_Low_Upgraded__Process_Base_With Amendment_Windrow</v>
      </c>
    </row>
    <row r="2293" spans="1:13" s="120" customFormat="1" x14ac:dyDescent="0.25">
      <c r="A2293" s="119"/>
      <c r="B2293" s="138" t="str">
        <f t="shared" si="113"/>
        <v>Windrow</v>
      </c>
      <c r="C2293" s="138" t="str">
        <f t="shared" si="114"/>
        <v>Base_With Amendment</v>
      </c>
      <c r="D2293" s="118" t="s">
        <v>138</v>
      </c>
      <c r="E2293" s="118" t="s">
        <v>180</v>
      </c>
      <c r="F2293" s="118" t="s">
        <v>46</v>
      </c>
      <c r="G2293" s="153"/>
      <c r="H2293" s="155">
        <v>0.26740000000000003</v>
      </c>
      <c r="I2293" s="154" t="s">
        <v>167</v>
      </c>
      <c r="J2293" s="204">
        <v>3.4000000000000002E-4</v>
      </c>
      <c r="K2293" s="154" t="s">
        <v>26</v>
      </c>
      <c r="L2293" s="154" t="str">
        <f>IF(OpenLCAbasic!K2293="CTUh", "Fill in Manually",IF(OR(K2293="Unit", K2293=""), "", INDEX(LookUps!$E$5:$E$12, MATCH(OpenLCAbasic!K2293,LookUps!$D$5:$D$12,0))))</f>
        <v>Water Use (WU) - m3 H2O</v>
      </c>
      <c r="M2293" s="154" t="str">
        <f t="shared" si="115"/>
        <v>Low_High_Low_Upgraded_Water Use (WU) - m3 H2O_Waste Receiving and Holding; wastewater treatment unit; at updated plant - US_Base_With Amendment_Windrow</v>
      </c>
    </row>
    <row r="2294" spans="1:13" s="120" customFormat="1" x14ac:dyDescent="0.25">
      <c r="A2294" s="119"/>
      <c r="B2294" s="138" t="str">
        <f t="shared" si="113"/>
        <v>Windrow</v>
      </c>
      <c r="C2294" s="138" t="str">
        <f t="shared" si="114"/>
        <v>Base_With Amendment</v>
      </c>
      <c r="D2294" s="118" t="s">
        <v>138</v>
      </c>
      <c r="E2294" s="118" t="s">
        <v>180</v>
      </c>
      <c r="F2294" s="118" t="s">
        <v>46</v>
      </c>
      <c r="G2294" s="153"/>
      <c r="H2294" s="155">
        <v>0.14630000000000001</v>
      </c>
      <c r="I2294" s="154" t="s">
        <v>147</v>
      </c>
      <c r="J2294" s="204">
        <v>1.8000000000000001E-4</v>
      </c>
      <c r="K2294" s="154" t="s">
        <v>26</v>
      </c>
      <c r="L2294" s="154" t="str">
        <f>IF(OpenLCAbasic!K2294="CTUh", "Fill in Manually",IF(OR(K2294="Unit", K2294=""), "", INDEX(LookUps!$E$5:$E$12, MATCH(OpenLCAbasic!K2294,LookUps!$D$5:$D$12,0))))</f>
        <v>Water Use (WU) - m3 H2O</v>
      </c>
      <c r="M2294" s="154" t="str">
        <f t="shared" si="115"/>
        <v>Low_High_Low_Upgraded_Water Use (WU) - m3 H2O_Influent Pump Station; wastewater treatment unit; at updated plant - US_Base_With Amendment_Windrow</v>
      </c>
    </row>
    <row r="2295" spans="1:13" s="120" customFormat="1" x14ac:dyDescent="0.25">
      <c r="A2295" s="119"/>
      <c r="B2295" s="138" t="str">
        <f t="shared" si="113"/>
        <v>Windrow</v>
      </c>
      <c r="C2295" s="138" t="str">
        <f t="shared" si="114"/>
        <v>Base_With Amendment</v>
      </c>
      <c r="D2295" s="118" t="s">
        <v>138</v>
      </c>
      <c r="E2295" s="118" t="s">
        <v>180</v>
      </c>
      <c r="F2295" s="118" t="s">
        <v>46</v>
      </c>
      <c r="G2295" s="153"/>
      <c r="H2295" s="155">
        <v>0.14280000000000001</v>
      </c>
      <c r="I2295" s="154" t="s">
        <v>54</v>
      </c>
      <c r="J2295" s="204">
        <v>1.8000000000000001E-4</v>
      </c>
      <c r="K2295" s="154" t="s">
        <v>26</v>
      </c>
      <c r="L2295" s="154" t="str">
        <f>IF(OpenLCAbasic!K2295="CTUh", "Fill in Manually",IF(OR(K2295="Unit", K2295=""), "", INDEX(LookUps!$E$5:$E$12, MATCH(OpenLCAbasic!K2295,LookUps!$D$5:$D$12,0))))</f>
        <v>Water Use (WU) - m3 H2O</v>
      </c>
      <c r="M2295" s="154" t="str">
        <f t="shared" si="115"/>
        <v>Low_High_Low_Upgraded_Water Use (WU) - m3 H2O_Clear Cove Primary Clarification; wastewater treatment unit; at updated plant - US_Base_With Amendment_Windrow</v>
      </c>
    </row>
    <row r="2296" spans="1:13" s="120" customFormat="1" x14ac:dyDescent="0.25">
      <c r="A2296" s="119"/>
      <c r="B2296" s="138" t="str">
        <f t="shared" si="113"/>
        <v>Windrow</v>
      </c>
      <c r="C2296" s="138" t="str">
        <f t="shared" si="114"/>
        <v>Base_With Amendment</v>
      </c>
      <c r="D2296" s="118" t="s">
        <v>138</v>
      </c>
      <c r="E2296" s="118" t="s">
        <v>180</v>
      </c>
      <c r="F2296" s="118" t="s">
        <v>46</v>
      </c>
      <c r="G2296" s="153"/>
      <c r="H2296" s="155">
        <v>0.1295</v>
      </c>
      <c r="I2296" s="154" t="s">
        <v>55</v>
      </c>
      <c r="J2296" s="204">
        <v>1.6000000000000001E-4</v>
      </c>
      <c r="K2296" s="154" t="s">
        <v>26</v>
      </c>
      <c r="L2296" s="154" t="str">
        <f>IF(OpenLCAbasic!K2296="CTUh", "Fill in Manually",IF(OR(K2296="Unit", K2296=""), "", INDEX(LookUps!$E$5:$E$12, MATCH(OpenLCAbasic!K2296,LookUps!$D$5:$D$12,0))))</f>
        <v>Water Use (WU) - m3 H2O</v>
      </c>
      <c r="M2296" s="154" t="str">
        <f t="shared" si="115"/>
        <v>Low_High_Low_Upgraded_Water Use (WU) - m3 H2O_Aeration Tanks; wastewater treatment unit; at updated plant - US_Base_With Amendment_Windrow</v>
      </c>
    </row>
    <row r="2297" spans="1:13" s="120" customFormat="1" x14ac:dyDescent="0.25">
      <c r="A2297" s="119"/>
      <c r="B2297" s="138" t="str">
        <f t="shared" si="113"/>
        <v>Windrow</v>
      </c>
      <c r="C2297" s="138" t="str">
        <f t="shared" si="114"/>
        <v>Base_With Amendment</v>
      </c>
      <c r="D2297" s="118" t="s">
        <v>138</v>
      </c>
      <c r="E2297" s="118" t="s">
        <v>180</v>
      </c>
      <c r="F2297" s="118" t="s">
        <v>46</v>
      </c>
      <c r="G2297" s="153"/>
      <c r="H2297" s="155">
        <v>0.11799999999999999</v>
      </c>
      <c r="I2297" s="154" t="s">
        <v>148</v>
      </c>
      <c r="J2297" s="204">
        <v>1.4999999999999999E-4</v>
      </c>
      <c r="K2297" s="154" t="s">
        <v>26</v>
      </c>
      <c r="L2297" s="154" t="str">
        <f>IF(OpenLCAbasic!K2297="CTUh", "Fill in Manually",IF(OR(K2297="Unit", K2297=""), "", INDEX(LookUps!$E$5:$E$12, MATCH(OpenLCAbasic!K2297,LookUps!$D$5:$D$12,0))))</f>
        <v>Water Use (WU) - m3 H2O</v>
      </c>
      <c r="M2297" s="154" t="str">
        <f t="shared" si="115"/>
        <v>Low_High_Low_Upgraded_Water Use (WU) - m3 H2O_Control Building; at upgraded wastewater treatment plant - US_Base_With Amendment_Windrow</v>
      </c>
    </row>
    <row r="2298" spans="1:13" s="120" customFormat="1" x14ac:dyDescent="0.25">
      <c r="A2298" s="119"/>
      <c r="B2298" s="138" t="str">
        <f t="shared" si="113"/>
        <v>Windrow</v>
      </c>
      <c r="C2298" s="138" t="str">
        <f t="shared" si="114"/>
        <v>Base_With Amendment</v>
      </c>
      <c r="D2298" s="118" t="s">
        <v>138</v>
      </c>
      <c r="E2298" s="118" t="s">
        <v>180</v>
      </c>
      <c r="F2298" s="118" t="s">
        <v>46</v>
      </c>
      <c r="G2298" s="153"/>
      <c r="H2298" s="155">
        <v>5.4800000000000001E-2</v>
      </c>
      <c r="I2298" s="154" t="s">
        <v>48</v>
      </c>
      <c r="J2298" s="204">
        <v>6.8836400000000004E-5</v>
      </c>
      <c r="K2298" s="154" t="s">
        <v>26</v>
      </c>
      <c r="L2298" s="154" t="str">
        <f>IF(OpenLCAbasic!K2298="CTUh", "Fill in Manually",IF(OR(K2298="Unit", K2298=""), "", INDEX(LookUps!$E$5:$E$12, MATCH(OpenLCAbasic!K2298,LookUps!$D$5:$D$12,0))))</f>
        <v>Water Use (WU) - m3 H2O</v>
      </c>
      <c r="M2298" s="154" t="str">
        <f t="shared" si="115"/>
        <v>Low_High_Low_Upgraded_Water Use (WU) - m3 H2O_Effluent release; wastewater treatment unit; at surface water; m3 wastewater - US_Base_With Amendment_Windrow</v>
      </c>
    </row>
    <row r="2299" spans="1:13" s="120" customFormat="1" x14ac:dyDescent="0.25">
      <c r="A2299" s="119"/>
      <c r="B2299" s="138" t="str">
        <f t="shared" si="113"/>
        <v>Windrow</v>
      </c>
      <c r="C2299" s="138" t="str">
        <f t="shared" si="114"/>
        <v>Base_With Amendment</v>
      </c>
      <c r="D2299" s="118" t="s">
        <v>138</v>
      </c>
      <c r="E2299" s="118" t="s">
        <v>180</v>
      </c>
      <c r="F2299" s="118" t="s">
        <v>46</v>
      </c>
      <c r="G2299" s="153"/>
      <c r="H2299" s="155">
        <v>3.7999999999999999E-2</v>
      </c>
      <c r="I2299" s="154" t="s">
        <v>60</v>
      </c>
      <c r="J2299" s="204">
        <v>4.7769200000000003E-5</v>
      </c>
      <c r="K2299" s="154" t="s">
        <v>26</v>
      </c>
      <c r="L2299" s="154" t="str">
        <f>IF(OpenLCAbasic!K2299="CTUh", "Fill in Manually",IF(OR(K2299="Unit", K2299=""), "", INDEX(LookUps!$E$5:$E$12, MATCH(OpenLCAbasic!K2299,LookUps!$D$5:$D$12,0))))</f>
        <v>Water Use (WU) - m3 H2O</v>
      </c>
      <c r="M2299" s="154" t="str">
        <f t="shared" si="115"/>
        <v>Low_High_Low_Upgraded_Water Use (WU) - m3 H2O_Belt filter press; wastewater treatment unit; at updated plant - US_Base_With Amendment_Windrow</v>
      </c>
    </row>
    <row r="2300" spans="1:13" s="120" customFormat="1" x14ac:dyDescent="0.25">
      <c r="A2300" s="119"/>
      <c r="B2300" s="138" t="str">
        <f t="shared" si="113"/>
        <v>Windrow</v>
      </c>
      <c r="C2300" s="138" t="str">
        <f t="shared" si="114"/>
        <v>Base_With Amendment</v>
      </c>
      <c r="D2300" s="118" t="s">
        <v>138</v>
      </c>
      <c r="E2300" s="118" t="s">
        <v>180</v>
      </c>
      <c r="F2300" s="118" t="s">
        <v>46</v>
      </c>
      <c r="G2300" s="153"/>
      <c r="H2300" s="155">
        <v>3.4500000000000003E-2</v>
      </c>
      <c r="I2300" s="154" t="s">
        <v>58</v>
      </c>
      <c r="J2300" s="204">
        <v>4.3289399999999999E-5</v>
      </c>
      <c r="K2300" s="154" t="s">
        <v>26</v>
      </c>
      <c r="L2300" s="154" t="str">
        <f>IF(OpenLCAbasic!K2300="CTUh", "Fill in Manually",IF(OR(K2300="Unit", K2300=""), "", INDEX(LookUps!$E$5:$E$12, MATCH(OpenLCAbasic!K2300,LookUps!$D$5:$D$12,0))))</f>
        <v>Water Use (WU) - m3 H2O</v>
      </c>
      <c r="M2300" s="154" t="str">
        <f t="shared" si="115"/>
        <v>Low_High_Low_Upgraded_Water Use (WU) - m3 H2O_Pre-Anoxic &amp; Swing tank; wastewater treatment unit; at updated plant - US_Base_With Amendment_Windrow</v>
      </c>
    </row>
    <row r="2301" spans="1:13" s="120" customFormat="1" x14ac:dyDescent="0.25">
      <c r="A2301" s="119"/>
      <c r="B2301" s="138" t="str">
        <f t="shared" si="113"/>
        <v>Windrow</v>
      </c>
      <c r="C2301" s="138" t="str">
        <f t="shared" si="114"/>
        <v>Base_With Amendment</v>
      </c>
      <c r="D2301" s="118" t="s">
        <v>138</v>
      </c>
      <c r="E2301" s="118" t="s">
        <v>180</v>
      </c>
      <c r="F2301" s="118" t="s">
        <v>46</v>
      </c>
      <c r="G2301" s="153"/>
      <c r="H2301" s="155">
        <v>2.4199999999999999E-2</v>
      </c>
      <c r="I2301" s="154" t="s">
        <v>57</v>
      </c>
      <c r="J2301" s="204">
        <v>3.0408100000000001E-5</v>
      </c>
      <c r="K2301" s="154" t="s">
        <v>26</v>
      </c>
      <c r="L2301" s="154" t="str">
        <f>IF(OpenLCAbasic!K2301="CTUh", "Fill in Manually",IF(OR(K2301="Unit", K2301=""), "", INDEX(LookUps!$E$5:$E$12, MATCH(OpenLCAbasic!K2301,LookUps!$D$5:$D$12,0))))</f>
        <v>Water Use (WU) - m3 H2O</v>
      </c>
      <c r="M2301" s="154" t="str">
        <f t="shared" si="115"/>
        <v>Low_High_Low_Upgraded_Water Use (WU) - m3 H2O_Gravity Belt Thickener; wastewater treatment unit; at updated plant - US_Base_With Amendment_Windrow</v>
      </c>
    </row>
    <row r="2302" spans="1:13" s="120" customFormat="1" x14ac:dyDescent="0.25">
      <c r="A2302" s="119"/>
      <c r="B2302" s="138" t="str">
        <f t="shared" si="113"/>
        <v>Windrow</v>
      </c>
      <c r="C2302" s="138" t="str">
        <f t="shared" si="114"/>
        <v>Base_With Amendment</v>
      </c>
      <c r="D2302" s="118" t="s">
        <v>138</v>
      </c>
      <c r="E2302" s="118" t="s">
        <v>180</v>
      </c>
      <c r="F2302" s="118" t="s">
        <v>46</v>
      </c>
      <c r="G2302" s="153"/>
      <c r="H2302" s="155">
        <v>1.3899999999999999E-2</v>
      </c>
      <c r="I2302" s="154" t="s">
        <v>53</v>
      </c>
      <c r="J2302" s="204">
        <v>1.75069E-5</v>
      </c>
      <c r="K2302" s="154" t="s">
        <v>26</v>
      </c>
      <c r="L2302" s="154" t="str">
        <f>IF(OpenLCAbasic!K2302="CTUh", "Fill in Manually",IF(OR(K2302="Unit", K2302=""), "", INDEX(LookUps!$E$5:$E$12, MATCH(OpenLCAbasic!K2302,LookUps!$D$5:$D$12,0))))</f>
        <v>Water Use (WU) - m3 H2O</v>
      </c>
      <c r="M2302" s="154" t="str">
        <f t="shared" si="115"/>
        <v>Low_High_Low_Upgraded_Water Use (WU) - m3 H2O_Wet Well and Sump Station; wastewater treatment unit; at updated plant - US_Base_With Amendment_Windrow</v>
      </c>
    </row>
    <row r="2303" spans="1:13" s="120" customFormat="1" x14ac:dyDescent="0.25">
      <c r="A2303" s="119"/>
      <c r="B2303" s="138" t="str">
        <f t="shared" si="113"/>
        <v>Windrow</v>
      </c>
      <c r="C2303" s="138" t="str">
        <f t="shared" si="114"/>
        <v>Base_With Amendment</v>
      </c>
      <c r="D2303" s="118" t="s">
        <v>138</v>
      </c>
      <c r="E2303" s="118" t="s">
        <v>180</v>
      </c>
      <c r="F2303" s="118" t="s">
        <v>46</v>
      </c>
      <c r="G2303" s="153"/>
      <c r="H2303" s="155">
        <v>5.5999999999999999E-3</v>
      </c>
      <c r="I2303" s="154" t="s">
        <v>59</v>
      </c>
      <c r="J2303" s="204">
        <v>7.0179500000000003E-6</v>
      </c>
      <c r="K2303" s="154" t="s">
        <v>26</v>
      </c>
      <c r="L2303" s="154" t="str">
        <f>IF(OpenLCAbasic!K2303="CTUh", "Fill in Manually",IF(OR(K2303="Unit", K2303=""), "", INDEX(LookUps!$E$5:$E$12, MATCH(OpenLCAbasic!K2303,LookUps!$D$5:$D$12,0))))</f>
        <v>Water Use (WU) - m3 H2O</v>
      </c>
      <c r="M2303" s="154" t="str">
        <f t="shared" si="115"/>
        <v>Low_High_Low_Upgraded_Water Use (WU) - m3 H2O_Blend Tank; wastewater treatment unit; at updated plant - US_Base_With Amendment_Windrow</v>
      </c>
    </row>
    <row r="2304" spans="1:13" s="120" customFormat="1" x14ac:dyDescent="0.25">
      <c r="A2304" s="119"/>
      <c r="B2304" s="138" t="str">
        <f t="shared" si="113"/>
        <v>Windrow</v>
      </c>
      <c r="C2304" s="138" t="str">
        <f t="shared" si="114"/>
        <v>Base_With Amendment</v>
      </c>
      <c r="D2304" s="118" t="s">
        <v>138</v>
      </c>
      <c r="E2304" s="118" t="s">
        <v>180</v>
      </c>
      <c r="F2304" s="118" t="s">
        <v>46</v>
      </c>
      <c r="G2304" s="153"/>
      <c r="H2304" s="155">
        <v>4.0000000000000001E-3</v>
      </c>
      <c r="I2304" s="154" t="s">
        <v>128</v>
      </c>
      <c r="J2304" s="204">
        <v>5.0608900000000003E-6</v>
      </c>
      <c r="K2304" s="154" t="s">
        <v>26</v>
      </c>
      <c r="L2304" s="154" t="str">
        <f>IF(OpenLCAbasic!K2304="CTUh", "Fill in Manually",IF(OR(K2304="Unit", K2304=""), "", INDEX(LookUps!$E$5:$E$12, MATCH(OpenLCAbasic!K2304,LookUps!$D$5:$D$12,0))))</f>
        <v>Water Use (WU) - m3 H2O</v>
      </c>
      <c r="M2304" s="154" t="str">
        <f t="shared" si="115"/>
        <v>Low_High_Low_Upgraded_Water Use (WU) - m3 H2O_Wastewater collection; operation and infrastructure; m3 wastewater_Base_With Amendment_Windrow</v>
      </c>
    </row>
    <row r="2305" spans="1:13" s="120" customFormat="1" x14ac:dyDescent="0.25">
      <c r="A2305" s="119"/>
      <c r="B2305" s="138" t="str">
        <f t="shared" si="113"/>
        <v>Windrow</v>
      </c>
      <c r="C2305" s="138" t="str">
        <f t="shared" si="114"/>
        <v>Base_With Amendment</v>
      </c>
      <c r="D2305" s="118" t="s">
        <v>138</v>
      </c>
      <c r="E2305" s="118" t="s">
        <v>180</v>
      </c>
      <c r="F2305" s="118" t="s">
        <v>46</v>
      </c>
      <c r="G2305" s="153"/>
      <c r="H2305" s="155">
        <v>1.9E-3</v>
      </c>
      <c r="I2305" s="154" t="s">
        <v>271</v>
      </c>
      <c r="J2305" s="204">
        <v>2.3342E-6</v>
      </c>
      <c r="K2305" s="154" t="s">
        <v>26</v>
      </c>
      <c r="L2305" s="154" t="str">
        <f>IF(OpenLCAbasic!K2305="CTUh", "Fill in Manually",IF(OR(K2305="Unit", K2305=""), "", INDEX(LookUps!$E$5:$E$12, MATCH(OpenLCAbasic!K2305,LookUps!$D$5:$D$12,0))))</f>
        <v>Water Use (WU) - m3 H2O</v>
      </c>
      <c r="M2305" s="154" t="str">
        <f t="shared" si="115"/>
        <v>Low_High_Low_Upgraded_Water Use (WU) - m3 H2O_Biosolids composting; windrow composting; wastewater treatment unit; at updated plant - US_Base_With Amendment_Windrow</v>
      </c>
    </row>
    <row r="2306" spans="1:13" s="120" customFormat="1" x14ac:dyDescent="0.25">
      <c r="A2306" s="119"/>
      <c r="B2306" s="138" t="str">
        <f t="shared" si="113"/>
        <v>Windrow</v>
      </c>
      <c r="C2306" s="138" t="str">
        <f t="shared" si="114"/>
        <v>Base_With Amendment</v>
      </c>
      <c r="D2306" s="118" t="s">
        <v>138</v>
      </c>
      <c r="E2306" s="118" t="s">
        <v>180</v>
      </c>
      <c r="F2306" s="118" t="s">
        <v>46</v>
      </c>
      <c r="G2306" s="153"/>
      <c r="H2306" s="155">
        <v>5.9999999999999995E-4</v>
      </c>
      <c r="I2306" s="154" t="s">
        <v>168</v>
      </c>
      <c r="J2306" s="204">
        <v>7.6697000000000004E-7</v>
      </c>
      <c r="K2306" s="154" t="s">
        <v>26</v>
      </c>
      <c r="L2306" s="154" t="str">
        <f>IF(OpenLCAbasic!K2306="CTUh", "Fill in Manually",IF(OR(K2306="Unit", K2306=""), "", INDEX(LookUps!$E$5:$E$12, MATCH(OpenLCAbasic!K2306,LookUps!$D$5:$D$12,0))))</f>
        <v>Water Use (WU) - m3 H2O</v>
      </c>
      <c r="M2306" s="154" t="str">
        <f t="shared" si="115"/>
        <v>Low_High_Low_Upgraded_Water Use (WU) - m3 H2O_ClearCove SCP; wastewater treatment unit; at updated plant - US_Base_With Amendment_Windrow</v>
      </c>
    </row>
    <row r="2307" spans="1:13" s="120" customFormat="1" x14ac:dyDescent="0.25">
      <c r="A2307" s="119"/>
      <c r="B2307" s="138" t="str">
        <f t="shared" si="113"/>
        <v>Windrow</v>
      </c>
      <c r="C2307" s="138" t="str">
        <f t="shared" si="114"/>
        <v>Base_With Amendment</v>
      </c>
      <c r="D2307" s="118" t="s">
        <v>138</v>
      </c>
      <c r="E2307" s="118" t="s">
        <v>180</v>
      </c>
      <c r="F2307" s="118" t="s">
        <v>46</v>
      </c>
      <c r="G2307" s="153"/>
      <c r="H2307" s="155">
        <v>-9.7999999999999997E-3</v>
      </c>
      <c r="I2307" s="154" t="s">
        <v>149</v>
      </c>
      <c r="J2307" s="204">
        <v>-1.22975E-5</v>
      </c>
      <c r="K2307" s="154" t="s">
        <v>26</v>
      </c>
      <c r="L2307" s="154" t="str">
        <f>IF(OpenLCAbasic!K2307="CTUh", "Fill in Manually",IF(OR(K2307="Unit", K2307=""), "", INDEX(LookUps!$E$5:$E$12, MATCH(OpenLCAbasic!K2307,LookUps!$D$5:$D$12,0))))</f>
        <v>Water Use (WU) - m3 H2O</v>
      </c>
      <c r="M2307" s="154" t="str">
        <f t="shared" si="115"/>
        <v>Low_High_Low_Upgraded_Water Use (WU) - m3 H2O_Anaerobic Digestion; wastewater treatment unit; at updated plant - US_Base_With Amendment_Windrow</v>
      </c>
    </row>
    <row r="2308" spans="1:13" s="120" customFormat="1" x14ac:dyDescent="0.25">
      <c r="A2308" s="213"/>
      <c r="B2308" s="138" t="str">
        <f t="shared" si="113"/>
        <v>Windrow</v>
      </c>
      <c r="C2308" s="138" t="str">
        <f t="shared" si="114"/>
        <v>Base_With Amendment</v>
      </c>
      <c r="D2308" s="118" t="s">
        <v>138</v>
      </c>
      <c r="E2308" s="118" t="s">
        <v>180</v>
      </c>
      <c r="F2308" s="118" t="s">
        <v>46</v>
      </c>
      <c r="G2308" s="153"/>
      <c r="H2308" s="155">
        <v>-1.9717</v>
      </c>
      <c r="I2308" s="154" t="s">
        <v>62</v>
      </c>
      <c r="J2308" s="204">
        <v>-2.48E-3</v>
      </c>
      <c r="K2308" s="154" t="s">
        <v>26</v>
      </c>
      <c r="L2308" s="154" t="str">
        <f>IF(OpenLCAbasic!K2308="CTUh", "Fill in Manually",IF(OR(K2308="Unit", K2308=""), "", INDEX(LookUps!$E$5:$E$12, MATCH(OpenLCAbasic!K2308,LookUps!$D$5:$D$12,0))))</f>
        <v>Water Use (WU) - m3 H2O</v>
      </c>
      <c r="M2308" s="154" t="str">
        <f t="shared" si="115"/>
        <v>Low_High_Low_Upgraded_Water Use (WU) - m3 H2O_Land application of compost; wastewater treatment unit; at updated plant - US_Base_With Amendment_Windrow</v>
      </c>
    </row>
    <row r="2309" spans="1:13" s="120" customFormat="1" x14ac:dyDescent="0.25">
      <c r="A2309" s="119"/>
      <c r="B2309" s="138" t="str">
        <f t="shared" si="113"/>
        <v/>
      </c>
      <c r="C2309" s="138" t="str">
        <f t="shared" si="114"/>
        <v/>
      </c>
      <c r="D2309" s="138"/>
      <c r="E2309" s="138"/>
      <c r="F2309" s="138"/>
      <c r="G2309" s="153"/>
      <c r="H2309" s="160"/>
      <c r="I2309" s="160"/>
      <c r="J2309" s="207"/>
      <c r="K2309" s="160"/>
      <c r="L2309" s="154" t="str">
        <f>IF(OpenLCAbasic!K2309="CTUh", "Fill in Manually",IF(OR(K2309="Unit", K2309=""), "", INDEX(LookUps!$E$5:$E$12, MATCH(OpenLCAbasic!K2309,LookUps!$D$5:$D$12,0))))</f>
        <v/>
      </c>
      <c r="M2309" s="154" t="str">
        <f t="shared" si="115"/>
        <v>______</v>
      </c>
    </row>
    <row r="2310" spans="1:13" s="120" customFormat="1" x14ac:dyDescent="0.25">
      <c r="A2310" s="119"/>
      <c r="B2310" s="138" t="str">
        <f t="shared" ref="B2310:B2373" si="116">IF(F2310="Legacy","n.a.",IF(F2310="","","Windrow"))</f>
        <v>Windrow</v>
      </c>
      <c r="C2310" s="138" t="str">
        <f t="shared" si="114"/>
        <v>Base_With Amendment</v>
      </c>
      <c r="D2310" s="118" t="s">
        <v>139</v>
      </c>
      <c r="E2310" s="118" t="s">
        <v>180</v>
      </c>
      <c r="F2310" s="118" t="s">
        <v>46</v>
      </c>
      <c r="G2310" s="153" t="s">
        <v>51</v>
      </c>
      <c r="H2310" s="154"/>
      <c r="I2310" s="154" t="s">
        <v>47</v>
      </c>
      <c r="J2310" s="154" t="s">
        <v>52</v>
      </c>
      <c r="K2310" s="154" t="s">
        <v>27</v>
      </c>
      <c r="L2310" s="154" t="str">
        <f>IF(OpenLCAbasic!K2310="CTUh", "Fill in Manually",IF(OR(K2310="Unit", K2310=""), "", INDEX(LookUps!$E$5:$E$12, MATCH(OpenLCAbasic!K2310,LookUps!$D$5:$D$12,0))))</f>
        <v/>
      </c>
      <c r="M2310" s="154" t="str">
        <f t="shared" si="115"/>
        <v>Low_High_Base_Upgraded__Process_Base_With Amendment_Windrow</v>
      </c>
    </row>
    <row r="2311" spans="1:13" s="120" customFormat="1" x14ac:dyDescent="0.25">
      <c r="A2311" s="119"/>
      <c r="B2311" s="138" t="str">
        <f t="shared" si="116"/>
        <v>Windrow</v>
      </c>
      <c r="C2311" s="138" t="str">
        <f t="shared" ref="C2311:C2374" si="117">IF(E2311&lt;&gt;"", "Base_With Amendment","")</f>
        <v>Base_With Amendment</v>
      </c>
      <c r="D2311" s="118" t="s">
        <v>139</v>
      </c>
      <c r="E2311" s="118" t="s">
        <v>180</v>
      </c>
      <c r="F2311" s="118" t="s">
        <v>46</v>
      </c>
      <c r="G2311" s="153"/>
      <c r="H2311" s="155">
        <v>0.55149999999999999</v>
      </c>
      <c r="I2311" s="154" t="s">
        <v>58</v>
      </c>
      <c r="J2311" s="203">
        <v>0.24992</v>
      </c>
      <c r="K2311" s="154" t="s">
        <v>23</v>
      </c>
      <c r="L2311" s="154" t="str">
        <f>IF(OpenLCAbasic!K2311="CTUh", "Fill in Manually",IF(OR(K2311="Unit", K2311=""), "", INDEX(LookUps!$E$5:$E$12, MATCH(OpenLCAbasic!K2311,LookUps!$D$5:$D$12,0))))</f>
        <v>Global Warming Potential (GWP) - kg CO2 eq</v>
      </c>
      <c r="M2311" s="154" t="str">
        <f t="shared" ref="M2311:M2374" si="118">CONCATENATE(E2311,"_",D2311,"_",F2311,"_",L2311, "_",I2311,"_", C2311,"_", B2311)</f>
        <v>Low_High_Base_Upgraded_Global Warming Potential (GWP) - kg CO2 eq_Pre-Anoxic &amp; Swing tank; wastewater treatment unit; at updated plant - US_Base_With Amendment_Windrow</v>
      </c>
    </row>
    <row r="2312" spans="1:13" s="120" customFormat="1" x14ac:dyDescent="0.25">
      <c r="A2312" s="119"/>
      <c r="B2312" s="138" t="str">
        <f t="shared" si="116"/>
        <v>Windrow</v>
      </c>
      <c r="C2312" s="138" t="str">
        <f t="shared" si="117"/>
        <v>Base_With Amendment</v>
      </c>
      <c r="D2312" s="118" t="s">
        <v>139</v>
      </c>
      <c r="E2312" s="118" t="s">
        <v>180</v>
      </c>
      <c r="F2312" s="118" t="s">
        <v>46</v>
      </c>
      <c r="G2312" s="153"/>
      <c r="H2312" s="155">
        <v>0.40379999999999999</v>
      </c>
      <c r="I2312" s="154" t="s">
        <v>271</v>
      </c>
      <c r="J2312" s="203">
        <v>0.18298</v>
      </c>
      <c r="K2312" s="154" t="s">
        <v>23</v>
      </c>
      <c r="L2312" s="154" t="str">
        <f>IF(OpenLCAbasic!K2312="CTUh", "Fill in Manually",IF(OR(K2312="Unit", K2312=""), "", INDEX(LookUps!$E$5:$E$12, MATCH(OpenLCAbasic!K2312,LookUps!$D$5:$D$12,0))))</f>
        <v>Global Warming Potential (GWP) - kg CO2 eq</v>
      </c>
      <c r="M2312" s="154" t="str">
        <f t="shared" si="118"/>
        <v>Low_High_Base_Upgraded_Global Warming Potential (GWP) - kg CO2 eq_Biosolids composting; windrow composting; wastewater treatment unit; at updated plant - US_Base_With Amendment_Windrow</v>
      </c>
    </row>
    <row r="2313" spans="1:13" s="120" customFormat="1" x14ac:dyDescent="0.25">
      <c r="A2313" s="119"/>
      <c r="B2313" s="138" t="str">
        <f t="shared" si="116"/>
        <v>Windrow</v>
      </c>
      <c r="C2313" s="138" t="str">
        <f t="shared" si="117"/>
        <v>Base_With Amendment</v>
      </c>
      <c r="D2313" s="118" t="s">
        <v>139</v>
      </c>
      <c r="E2313" s="118" t="s">
        <v>180</v>
      </c>
      <c r="F2313" s="118" t="s">
        <v>46</v>
      </c>
      <c r="G2313" s="153"/>
      <c r="H2313" s="155">
        <v>0.37119999999999997</v>
      </c>
      <c r="I2313" s="154" t="s">
        <v>55</v>
      </c>
      <c r="J2313" s="203">
        <v>0.16822000000000001</v>
      </c>
      <c r="K2313" s="154" t="s">
        <v>23</v>
      </c>
      <c r="L2313" s="154" t="str">
        <f>IF(OpenLCAbasic!K2313="CTUh", "Fill in Manually",IF(OR(K2313="Unit", K2313=""), "", INDEX(LookUps!$E$5:$E$12, MATCH(OpenLCAbasic!K2313,LookUps!$D$5:$D$12,0))))</f>
        <v>Global Warming Potential (GWP) - kg CO2 eq</v>
      </c>
      <c r="M2313" s="154" t="str">
        <f t="shared" si="118"/>
        <v>Low_High_Base_Upgraded_Global Warming Potential (GWP) - kg CO2 eq_Aeration Tanks; wastewater treatment unit; at updated plant - US_Base_With Amendment_Windrow</v>
      </c>
    </row>
    <row r="2314" spans="1:13" s="120" customFormat="1" x14ac:dyDescent="0.25">
      <c r="A2314" s="119"/>
      <c r="B2314" s="138" t="str">
        <f t="shared" si="116"/>
        <v>Windrow</v>
      </c>
      <c r="C2314" s="138" t="str">
        <f t="shared" si="117"/>
        <v>Base_With Amendment</v>
      </c>
      <c r="D2314" s="118" t="s">
        <v>139</v>
      </c>
      <c r="E2314" s="118" t="s">
        <v>180</v>
      </c>
      <c r="F2314" s="118" t="s">
        <v>46</v>
      </c>
      <c r="G2314" s="153"/>
      <c r="H2314" s="155">
        <v>0.32400000000000001</v>
      </c>
      <c r="I2314" s="154" t="s">
        <v>167</v>
      </c>
      <c r="J2314" s="203">
        <v>0.14685000000000001</v>
      </c>
      <c r="K2314" s="154" t="s">
        <v>23</v>
      </c>
      <c r="L2314" s="154" t="str">
        <f>IF(OpenLCAbasic!K2314="CTUh", "Fill in Manually",IF(OR(K2314="Unit", K2314=""), "", INDEX(LookUps!$E$5:$E$12, MATCH(OpenLCAbasic!K2314,LookUps!$D$5:$D$12,0))))</f>
        <v>Global Warming Potential (GWP) - kg CO2 eq</v>
      </c>
      <c r="M2314" s="154" t="str">
        <f t="shared" si="118"/>
        <v>Low_High_Base_Upgraded_Global Warming Potential (GWP) - kg CO2 eq_Waste Receiving and Holding; wastewater treatment unit; at updated plant - US_Base_With Amendment_Windrow</v>
      </c>
    </row>
    <row r="2315" spans="1:13" s="120" customFormat="1" x14ac:dyDescent="0.25">
      <c r="A2315" s="119"/>
      <c r="B2315" s="138" t="str">
        <f t="shared" si="116"/>
        <v>Windrow</v>
      </c>
      <c r="C2315" s="138" t="str">
        <f t="shared" si="117"/>
        <v>Base_With Amendment</v>
      </c>
      <c r="D2315" s="118" t="s">
        <v>139</v>
      </c>
      <c r="E2315" s="118" t="s">
        <v>180</v>
      </c>
      <c r="F2315" s="118" t="s">
        <v>46</v>
      </c>
      <c r="G2315" s="153"/>
      <c r="H2315" s="155">
        <v>0.126</v>
      </c>
      <c r="I2315" s="154" t="s">
        <v>54</v>
      </c>
      <c r="J2315" s="203">
        <v>5.7079999999999999E-2</v>
      </c>
      <c r="K2315" s="154" t="s">
        <v>23</v>
      </c>
      <c r="L2315" s="154" t="str">
        <f>IF(OpenLCAbasic!K2315="CTUh", "Fill in Manually",IF(OR(K2315="Unit", K2315=""), "", INDEX(LookUps!$E$5:$E$12, MATCH(OpenLCAbasic!K2315,LookUps!$D$5:$D$12,0))))</f>
        <v>Global Warming Potential (GWP) - kg CO2 eq</v>
      </c>
      <c r="M2315" s="154" t="str">
        <f t="shared" si="118"/>
        <v>Low_High_Base_Upgraded_Global Warming Potential (GWP) - kg CO2 eq_Clear Cove Primary Clarification; wastewater treatment unit; at updated plant - US_Base_With Amendment_Windrow</v>
      </c>
    </row>
    <row r="2316" spans="1:13" s="120" customFormat="1" x14ac:dyDescent="0.25">
      <c r="A2316" s="119"/>
      <c r="B2316" s="138" t="str">
        <f t="shared" si="116"/>
        <v>Windrow</v>
      </c>
      <c r="C2316" s="138" t="str">
        <f t="shared" si="117"/>
        <v>Base_With Amendment</v>
      </c>
      <c r="D2316" s="118" t="s">
        <v>139</v>
      </c>
      <c r="E2316" s="118" t="s">
        <v>180</v>
      </c>
      <c r="F2316" s="118" t="s">
        <v>46</v>
      </c>
      <c r="G2316" s="153"/>
      <c r="H2316" s="155">
        <v>0.11609999999999999</v>
      </c>
      <c r="I2316" s="154" t="s">
        <v>48</v>
      </c>
      <c r="J2316" s="203">
        <v>5.2639999999999999E-2</v>
      </c>
      <c r="K2316" s="154" t="s">
        <v>23</v>
      </c>
      <c r="L2316" s="154" t="str">
        <f>IF(OpenLCAbasic!K2316="CTUh", "Fill in Manually",IF(OR(K2316="Unit", K2316=""), "", INDEX(LookUps!$E$5:$E$12, MATCH(OpenLCAbasic!K2316,LookUps!$D$5:$D$12,0))))</f>
        <v>Global Warming Potential (GWP) - kg CO2 eq</v>
      </c>
      <c r="M2316" s="154" t="str">
        <f t="shared" si="118"/>
        <v>Low_High_Base_Upgraded_Global Warming Potential (GWP) - kg CO2 eq_Effluent release; wastewater treatment unit; at surface water; m3 wastewater - US_Base_With Amendment_Windrow</v>
      </c>
    </row>
    <row r="2317" spans="1:13" s="120" customFormat="1" x14ac:dyDescent="0.25">
      <c r="A2317" s="119"/>
      <c r="B2317" s="138" t="str">
        <f t="shared" si="116"/>
        <v>Windrow</v>
      </c>
      <c r="C2317" s="138" t="str">
        <f t="shared" si="117"/>
        <v>Base_With Amendment</v>
      </c>
      <c r="D2317" s="118" t="s">
        <v>139</v>
      </c>
      <c r="E2317" s="118" t="s">
        <v>180</v>
      </c>
      <c r="F2317" s="118" t="s">
        <v>46</v>
      </c>
      <c r="G2317" s="153"/>
      <c r="H2317" s="155">
        <v>0.1114</v>
      </c>
      <c r="I2317" s="154" t="s">
        <v>147</v>
      </c>
      <c r="J2317" s="203">
        <v>5.0500000000000003E-2</v>
      </c>
      <c r="K2317" s="154" t="s">
        <v>23</v>
      </c>
      <c r="L2317" s="154" t="str">
        <f>IF(OpenLCAbasic!K2317="CTUh", "Fill in Manually",IF(OR(K2317="Unit", K2317=""), "", INDEX(LookUps!$E$5:$E$12, MATCH(OpenLCAbasic!K2317,LookUps!$D$5:$D$12,0))))</f>
        <v>Global Warming Potential (GWP) - kg CO2 eq</v>
      </c>
      <c r="M2317" s="154" t="str">
        <f t="shared" si="118"/>
        <v>Low_High_Base_Upgraded_Global Warming Potential (GWP) - kg CO2 eq_Influent Pump Station; wastewater treatment unit; at updated plant - US_Base_With Amendment_Windrow</v>
      </c>
    </row>
    <row r="2318" spans="1:13" s="120" customFormat="1" x14ac:dyDescent="0.25">
      <c r="A2318" s="119"/>
      <c r="B2318" s="138" t="str">
        <f t="shared" si="116"/>
        <v>Windrow</v>
      </c>
      <c r="C2318" s="138" t="str">
        <f t="shared" si="117"/>
        <v>Base_With Amendment</v>
      </c>
      <c r="D2318" s="118" t="s">
        <v>139</v>
      </c>
      <c r="E2318" s="118" t="s">
        <v>180</v>
      </c>
      <c r="F2318" s="118" t="s">
        <v>46</v>
      </c>
      <c r="G2318" s="153"/>
      <c r="H2318" s="155">
        <v>7.3400000000000007E-2</v>
      </c>
      <c r="I2318" s="154" t="s">
        <v>53</v>
      </c>
      <c r="J2318" s="203">
        <v>3.3259999999999998E-2</v>
      </c>
      <c r="K2318" s="154" t="s">
        <v>23</v>
      </c>
      <c r="L2318" s="154" t="str">
        <f>IF(OpenLCAbasic!K2318="CTUh", "Fill in Manually",IF(OR(K2318="Unit", K2318=""), "", INDEX(LookUps!$E$5:$E$12, MATCH(OpenLCAbasic!K2318,LookUps!$D$5:$D$12,0))))</f>
        <v>Global Warming Potential (GWP) - kg CO2 eq</v>
      </c>
      <c r="M2318" s="154" t="str">
        <f t="shared" si="118"/>
        <v>Low_High_Base_Upgraded_Global Warming Potential (GWP) - kg CO2 eq_Wet Well and Sump Station; wastewater treatment unit; at updated plant - US_Base_With Amendment_Windrow</v>
      </c>
    </row>
    <row r="2319" spans="1:13" s="120" customFormat="1" x14ac:dyDescent="0.25">
      <c r="A2319" s="119"/>
      <c r="B2319" s="138" t="str">
        <f t="shared" si="116"/>
        <v>Windrow</v>
      </c>
      <c r="C2319" s="138" t="str">
        <f t="shared" si="117"/>
        <v>Base_With Amendment</v>
      </c>
      <c r="D2319" s="118" t="s">
        <v>139</v>
      </c>
      <c r="E2319" s="118" t="s">
        <v>180</v>
      </c>
      <c r="F2319" s="118" t="s">
        <v>46</v>
      </c>
      <c r="G2319" s="153"/>
      <c r="H2319" s="155">
        <v>5.3199999999999997E-2</v>
      </c>
      <c r="I2319" s="154" t="s">
        <v>60</v>
      </c>
      <c r="J2319" s="203">
        <v>2.4119999999999999E-2</v>
      </c>
      <c r="K2319" s="154" t="s">
        <v>23</v>
      </c>
      <c r="L2319" s="154" t="str">
        <f>IF(OpenLCAbasic!K2319="CTUh", "Fill in Manually",IF(OR(K2319="Unit", K2319=""), "", INDEX(LookUps!$E$5:$E$12, MATCH(OpenLCAbasic!K2319,LookUps!$D$5:$D$12,0))))</f>
        <v>Global Warming Potential (GWP) - kg CO2 eq</v>
      </c>
      <c r="M2319" s="154" t="str">
        <f t="shared" si="118"/>
        <v>Low_High_Base_Upgraded_Global Warming Potential (GWP) - kg CO2 eq_Belt filter press; wastewater treatment unit; at updated plant - US_Base_With Amendment_Windrow</v>
      </c>
    </row>
    <row r="2320" spans="1:13" s="120" customFormat="1" x14ac:dyDescent="0.25">
      <c r="A2320" s="119"/>
      <c r="B2320" s="138" t="str">
        <f t="shared" si="116"/>
        <v>Windrow</v>
      </c>
      <c r="C2320" s="138" t="str">
        <f t="shared" si="117"/>
        <v>Base_With Amendment</v>
      </c>
      <c r="D2320" s="118" t="s">
        <v>139</v>
      </c>
      <c r="E2320" s="118" t="s">
        <v>180</v>
      </c>
      <c r="F2320" s="118" t="s">
        <v>46</v>
      </c>
      <c r="G2320" s="153"/>
      <c r="H2320" s="155">
        <v>3.2099999999999997E-2</v>
      </c>
      <c r="I2320" s="154" t="s">
        <v>57</v>
      </c>
      <c r="J2320" s="203">
        <v>1.455E-2</v>
      </c>
      <c r="K2320" s="154" t="s">
        <v>23</v>
      </c>
      <c r="L2320" s="154" t="str">
        <f>IF(OpenLCAbasic!K2320="CTUh", "Fill in Manually",IF(OR(K2320="Unit", K2320=""), "", INDEX(LookUps!$E$5:$E$12, MATCH(OpenLCAbasic!K2320,LookUps!$D$5:$D$12,0))))</f>
        <v>Global Warming Potential (GWP) - kg CO2 eq</v>
      </c>
      <c r="M2320" s="154" t="str">
        <f t="shared" si="118"/>
        <v>Low_High_Base_Upgraded_Global Warming Potential (GWP) - kg CO2 eq_Gravity Belt Thickener; wastewater treatment unit; at updated plant - US_Base_With Amendment_Windrow</v>
      </c>
    </row>
    <row r="2321" spans="1:13" s="120" customFormat="1" x14ac:dyDescent="0.25">
      <c r="A2321" s="119"/>
      <c r="B2321" s="138" t="str">
        <f t="shared" si="116"/>
        <v>Windrow</v>
      </c>
      <c r="C2321" s="138" t="str">
        <f t="shared" si="117"/>
        <v>Base_With Amendment</v>
      </c>
      <c r="D2321" s="118" t="s">
        <v>139</v>
      </c>
      <c r="E2321" s="118" t="s">
        <v>180</v>
      </c>
      <c r="F2321" s="118" t="s">
        <v>46</v>
      </c>
      <c r="G2321" s="153"/>
      <c r="H2321" s="155">
        <v>2.98E-2</v>
      </c>
      <c r="I2321" s="154" t="s">
        <v>128</v>
      </c>
      <c r="J2321" s="204">
        <v>1.3509999999999999E-2</v>
      </c>
      <c r="K2321" s="154" t="s">
        <v>23</v>
      </c>
      <c r="L2321" s="154" t="str">
        <f>IF(OpenLCAbasic!K2321="CTUh", "Fill in Manually",IF(OR(K2321="Unit", K2321=""), "", INDEX(LookUps!$E$5:$E$12, MATCH(OpenLCAbasic!K2321,LookUps!$D$5:$D$12,0))))</f>
        <v>Global Warming Potential (GWP) - kg CO2 eq</v>
      </c>
      <c r="M2321" s="154" t="str">
        <f t="shared" si="118"/>
        <v>Low_High_Base_Upgraded_Global Warming Potential (GWP) - kg CO2 eq_Wastewater collection; operation and infrastructure; m3 wastewater_Base_With Amendment_Windrow</v>
      </c>
    </row>
    <row r="2322" spans="1:13" s="120" customFormat="1" x14ac:dyDescent="0.25">
      <c r="A2322" s="119"/>
      <c r="B2322" s="138" t="str">
        <f t="shared" si="116"/>
        <v>Windrow</v>
      </c>
      <c r="C2322" s="138" t="str">
        <f t="shared" si="117"/>
        <v>Base_With Amendment</v>
      </c>
      <c r="D2322" s="118" t="s">
        <v>139</v>
      </c>
      <c r="E2322" s="118" t="s">
        <v>180</v>
      </c>
      <c r="F2322" s="118" t="s">
        <v>46</v>
      </c>
      <c r="G2322" s="153"/>
      <c r="H2322" s="155">
        <v>1.83E-2</v>
      </c>
      <c r="I2322" s="154" t="s">
        <v>148</v>
      </c>
      <c r="J2322" s="204">
        <v>8.3000000000000001E-3</v>
      </c>
      <c r="K2322" s="154" t="s">
        <v>23</v>
      </c>
      <c r="L2322" s="154" t="str">
        <f>IF(OpenLCAbasic!K2322="CTUh", "Fill in Manually",IF(OR(K2322="Unit", K2322=""), "", INDEX(LookUps!$E$5:$E$12, MATCH(OpenLCAbasic!K2322,LookUps!$D$5:$D$12,0))))</f>
        <v>Global Warming Potential (GWP) - kg CO2 eq</v>
      </c>
      <c r="M2322" s="154" t="str">
        <f t="shared" si="118"/>
        <v>Low_High_Base_Upgraded_Global Warming Potential (GWP) - kg CO2 eq_Control Building; at upgraded wastewater treatment plant - US_Base_With Amendment_Windrow</v>
      </c>
    </row>
    <row r="2323" spans="1:13" s="120" customFormat="1" x14ac:dyDescent="0.25">
      <c r="A2323" s="119"/>
      <c r="B2323" s="138" t="str">
        <f t="shared" si="116"/>
        <v>Windrow</v>
      </c>
      <c r="C2323" s="138" t="str">
        <f t="shared" si="117"/>
        <v>Base_With Amendment</v>
      </c>
      <c r="D2323" s="118" t="s">
        <v>139</v>
      </c>
      <c r="E2323" s="118" t="s">
        <v>180</v>
      </c>
      <c r="F2323" s="118" t="s">
        <v>46</v>
      </c>
      <c r="G2323" s="153"/>
      <c r="H2323" s="155">
        <v>1.11E-2</v>
      </c>
      <c r="I2323" s="154" t="s">
        <v>59</v>
      </c>
      <c r="J2323" s="204">
        <v>5.0400000000000002E-3</v>
      </c>
      <c r="K2323" s="154" t="s">
        <v>23</v>
      </c>
      <c r="L2323" s="154" t="str">
        <f>IF(OpenLCAbasic!K2323="CTUh", "Fill in Manually",IF(OR(K2323="Unit", K2323=""), "", INDEX(LookUps!$E$5:$E$12, MATCH(OpenLCAbasic!K2323,LookUps!$D$5:$D$12,0))))</f>
        <v>Global Warming Potential (GWP) - kg CO2 eq</v>
      </c>
      <c r="M2323" s="154" t="str">
        <f t="shared" si="118"/>
        <v>Low_High_Base_Upgraded_Global Warming Potential (GWP) - kg CO2 eq_Blend Tank; wastewater treatment unit; at updated plant - US_Base_With Amendment_Windrow</v>
      </c>
    </row>
    <row r="2324" spans="1:13" s="120" customFormat="1" x14ac:dyDescent="0.25">
      <c r="A2324" s="119"/>
      <c r="B2324" s="138" t="str">
        <f t="shared" si="116"/>
        <v>Windrow</v>
      </c>
      <c r="C2324" s="138" t="str">
        <f t="shared" si="117"/>
        <v>Base_With Amendment</v>
      </c>
      <c r="D2324" s="118" t="s">
        <v>139</v>
      </c>
      <c r="E2324" s="118" t="s">
        <v>180</v>
      </c>
      <c r="F2324" s="118" t="s">
        <v>46</v>
      </c>
      <c r="G2324" s="153"/>
      <c r="H2324" s="155">
        <v>5.3E-3</v>
      </c>
      <c r="I2324" s="154" t="s">
        <v>168</v>
      </c>
      <c r="J2324" s="204">
        <v>2.4099999999999998E-3</v>
      </c>
      <c r="K2324" s="154" t="s">
        <v>23</v>
      </c>
      <c r="L2324" s="154" t="str">
        <f>IF(OpenLCAbasic!K2324="CTUh", "Fill in Manually",IF(OR(K2324="Unit", K2324=""), "", INDEX(LookUps!$E$5:$E$12, MATCH(OpenLCAbasic!K2324,LookUps!$D$5:$D$12,0))))</f>
        <v>Global Warming Potential (GWP) - kg CO2 eq</v>
      </c>
      <c r="M2324" s="154" t="str">
        <f t="shared" si="118"/>
        <v>Low_High_Base_Upgraded_Global Warming Potential (GWP) - kg CO2 eq_ClearCove SCP; wastewater treatment unit; at updated plant - US_Base_With Amendment_Windrow</v>
      </c>
    </row>
    <row r="2325" spans="1:13" s="120" customFormat="1" x14ac:dyDescent="0.25">
      <c r="A2325" s="119"/>
      <c r="B2325" s="138" t="str">
        <f t="shared" si="116"/>
        <v>Windrow</v>
      </c>
      <c r="C2325" s="138" t="str">
        <f t="shared" si="117"/>
        <v>Base_With Amendment</v>
      </c>
      <c r="D2325" s="118" t="s">
        <v>139</v>
      </c>
      <c r="E2325" s="118" t="s">
        <v>180</v>
      </c>
      <c r="F2325" s="118" t="s">
        <v>46</v>
      </c>
      <c r="G2325" s="153"/>
      <c r="H2325" s="155">
        <v>-1.2599</v>
      </c>
      <c r="I2325" s="154" t="s">
        <v>149</v>
      </c>
      <c r="J2325" s="203">
        <v>-0.57099</v>
      </c>
      <c r="K2325" s="154" t="s">
        <v>23</v>
      </c>
      <c r="L2325" s="154" t="str">
        <f>IF(OpenLCAbasic!K2325="CTUh", "Fill in Manually",IF(OR(K2325="Unit", K2325=""), "", INDEX(LookUps!$E$5:$E$12, MATCH(OpenLCAbasic!K2325,LookUps!$D$5:$D$12,0))))</f>
        <v>Global Warming Potential (GWP) - kg CO2 eq</v>
      </c>
      <c r="M2325" s="154" t="str">
        <f t="shared" si="118"/>
        <v>Low_High_Base_Upgraded_Global Warming Potential (GWP) - kg CO2 eq_Anaerobic Digestion; wastewater treatment unit; at updated plant - US_Base_With Amendment_Windrow</v>
      </c>
    </row>
    <row r="2326" spans="1:13" s="120" customFormat="1" x14ac:dyDescent="0.25">
      <c r="A2326" s="119"/>
      <c r="B2326" s="138" t="str">
        <f t="shared" si="116"/>
        <v>Windrow</v>
      </c>
      <c r="C2326" s="138" t="str">
        <f t="shared" si="117"/>
        <v>Base_With Amendment</v>
      </c>
      <c r="D2326" s="118" t="s">
        <v>139</v>
      </c>
      <c r="E2326" s="118" t="s">
        <v>180</v>
      </c>
      <c r="F2326" s="118" t="s">
        <v>46</v>
      </c>
      <c r="G2326" s="153"/>
      <c r="H2326" s="155">
        <v>-1.9673</v>
      </c>
      <c r="I2326" s="154" t="s">
        <v>62</v>
      </c>
      <c r="J2326" s="203">
        <v>-0.89158000000000004</v>
      </c>
      <c r="K2326" s="154" t="s">
        <v>23</v>
      </c>
      <c r="L2326" s="154" t="str">
        <f>IF(OpenLCAbasic!K2326="CTUh", "Fill in Manually",IF(OR(K2326="Unit", K2326=""), "", INDEX(LookUps!$E$5:$E$12, MATCH(OpenLCAbasic!K2326,LookUps!$D$5:$D$12,0))))</f>
        <v>Global Warming Potential (GWP) - kg CO2 eq</v>
      </c>
      <c r="M2326" s="154" t="str">
        <f t="shared" si="118"/>
        <v>Low_High_Base_Upgraded_Global Warming Potential (GWP) - kg CO2 eq_Land application of compost; wastewater treatment unit; at updated plant - US_Base_With Amendment_Windrow</v>
      </c>
    </row>
    <row r="2327" spans="1:13" s="120" customFormat="1" x14ac:dyDescent="0.25">
      <c r="A2327" s="119"/>
      <c r="B2327" s="138" t="str">
        <f t="shared" si="116"/>
        <v>Windrow</v>
      </c>
      <c r="C2327" s="138" t="str">
        <f t="shared" si="117"/>
        <v>Base_With Amendment</v>
      </c>
      <c r="D2327" s="118" t="s">
        <v>139</v>
      </c>
      <c r="E2327" s="118" t="s">
        <v>180</v>
      </c>
      <c r="F2327" s="118" t="s">
        <v>46</v>
      </c>
      <c r="G2327" s="153" t="s">
        <v>51</v>
      </c>
      <c r="H2327" s="154"/>
      <c r="I2327" s="154" t="s">
        <v>47</v>
      </c>
      <c r="J2327" s="154" t="s">
        <v>52</v>
      </c>
      <c r="K2327" s="154" t="s">
        <v>27</v>
      </c>
      <c r="L2327" s="154" t="str">
        <f>IF(OpenLCAbasic!K2327="CTUh", "Fill in Manually",IF(OR(K2327="Unit", K2327=""), "", INDEX(LookUps!$E$5:$E$12, MATCH(OpenLCAbasic!K2327,LookUps!$D$5:$D$12,0))))</f>
        <v/>
      </c>
      <c r="M2327" s="154" t="str">
        <f t="shared" si="118"/>
        <v>Low_High_Base_Upgraded__Process_Base_With Amendment_Windrow</v>
      </c>
    </row>
    <row r="2328" spans="1:13" s="120" customFormat="1" x14ac:dyDescent="0.25">
      <c r="A2328" s="119"/>
      <c r="B2328" s="138" t="str">
        <f t="shared" si="116"/>
        <v>Windrow</v>
      </c>
      <c r="C2328" s="138" t="str">
        <f t="shared" si="117"/>
        <v>Base_With Amendment</v>
      </c>
      <c r="D2328" s="118" t="s">
        <v>139</v>
      </c>
      <c r="E2328" s="118" t="s">
        <v>180</v>
      </c>
      <c r="F2328" s="118" t="s">
        <v>46</v>
      </c>
      <c r="G2328" s="153"/>
      <c r="H2328" s="155">
        <v>0.72109999999999996</v>
      </c>
      <c r="I2328" s="154" t="s">
        <v>48</v>
      </c>
      <c r="J2328" s="203">
        <v>1.1610000000000001E-2</v>
      </c>
      <c r="K2328" s="154" t="s">
        <v>13</v>
      </c>
      <c r="L2328" s="154" t="str">
        <f>IF(OpenLCAbasic!K2328="CTUh", "Fill in Manually",IF(OR(K2328="Unit", K2328=""), "", INDEX(LookUps!$E$5:$E$12, MATCH(OpenLCAbasic!K2328,LookUps!$D$5:$D$12,0))))</f>
        <v>Eutrophication Potential (EP) - kg N eq</v>
      </c>
      <c r="M2328" s="154" t="str">
        <f t="shared" si="118"/>
        <v>Low_High_Base_Upgraded_Eutrophication Potential (EP) - kg N eq_Effluent release; wastewater treatment unit; at surface water; m3 wastewater - US_Base_With Amendment_Windrow</v>
      </c>
    </row>
    <row r="2329" spans="1:13" s="120" customFormat="1" x14ac:dyDescent="0.25">
      <c r="A2329" s="119"/>
      <c r="B2329" s="138" t="str">
        <f t="shared" si="116"/>
        <v>Windrow</v>
      </c>
      <c r="C2329" s="138" t="str">
        <f t="shared" si="117"/>
        <v>Base_With Amendment</v>
      </c>
      <c r="D2329" s="118" t="s">
        <v>139</v>
      </c>
      <c r="E2329" s="118" t="s">
        <v>180</v>
      </c>
      <c r="F2329" s="118" t="s">
        <v>46</v>
      </c>
      <c r="G2329" s="153"/>
      <c r="H2329" s="155">
        <v>0.25059999999999999</v>
      </c>
      <c r="I2329" s="154" t="s">
        <v>62</v>
      </c>
      <c r="J2329" s="204">
        <v>4.0400000000000002E-3</v>
      </c>
      <c r="K2329" s="154" t="s">
        <v>13</v>
      </c>
      <c r="L2329" s="154" t="str">
        <f>IF(OpenLCAbasic!K2329="CTUh", "Fill in Manually",IF(OR(K2329="Unit", K2329=""), "", INDEX(LookUps!$E$5:$E$12, MATCH(OpenLCAbasic!K2329,LookUps!$D$5:$D$12,0))))</f>
        <v>Eutrophication Potential (EP) - kg N eq</v>
      </c>
      <c r="M2329" s="154" t="str">
        <f t="shared" si="118"/>
        <v>Low_High_Base_Upgraded_Eutrophication Potential (EP) - kg N eq_Land application of compost; wastewater treatment unit; at updated plant - US_Base_With Amendment_Windrow</v>
      </c>
    </row>
    <row r="2330" spans="1:13" s="120" customFormat="1" x14ac:dyDescent="0.25">
      <c r="A2330" s="119"/>
      <c r="B2330" s="138" t="str">
        <f t="shared" si="116"/>
        <v>Windrow</v>
      </c>
      <c r="C2330" s="138" t="str">
        <f t="shared" si="117"/>
        <v>Base_With Amendment</v>
      </c>
      <c r="D2330" s="118" t="s">
        <v>139</v>
      </c>
      <c r="E2330" s="118" t="s">
        <v>180</v>
      </c>
      <c r="F2330" s="118" t="s">
        <v>46</v>
      </c>
      <c r="G2330" s="153"/>
      <c r="H2330" s="155">
        <v>3.39E-2</v>
      </c>
      <c r="I2330" s="154" t="s">
        <v>55</v>
      </c>
      <c r="J2330" s="204">
        <v>5.5000000000000003E-4</v>
      </c>
      <c r="K2330" s="154" t="s">
        <v>13</v>
      </c>
      <c r="L2330" s="154" t="str">
        <f>IF(OpenLCAbasic!K2330="CTUh", "Fill in Manually",IF(OR(K2330="Unit", K2330=""), "", INDEX(LookUps!$E$5:$E$12, MATCH(OpenLCAbasic!K2330,LookUps!$D$5:$D$12,0))))</f>
        <v>Eutrophication Potential (EP) - kg N eq</v>
      </c>
      <c r="M2330" s="154" t="str">
        <f t="shared" si="118"/>
        <v>Low_High_Base_Upgraded_Eutrophication Potential (EP) - kg N eq_Aeration Tanks; wastewater treatment unit; at updated plant - US_Base_With Amendment_Windrow</v>
      </c>
    </row>
    <row r="2331" spans="1:13" s="120" customFormat="1" x14ac:dyDescent="0.25">
      <c r="A2331" s="119"/>
      <c r="B2331" s="138" t="str">
        <f t="shared" si="116"/>
        <v>Windrow</v>
      </c>
      <c r="C2331" s="138" t="str">
        <f t="shared" si="117"/>
        <v>Base_With Amendment</v>
      </c>
      <c r="D2331" s="118" t="s">
        <v>139</v>
      </c>
      <c r="E2331" s="118" t="s">
        <v>180</v>
      </c>
      <c r="F2331" s="118" t="s">
        <v>46</v>
      </c>
      <c r="G2331" s="153"/>
      <c r="H2331" s="155">
        <v>1.55E-2</v>
      </c>
      <c r="I2331" s="154" t="s">
        <v>147</v>
      </c>
      <c r="J2331" s="204">
        <v>2.5000000000000001E-4</v>
      </c>
      <c r="K2331" s="154" t="s">
        <v>13</v>
      </c>
      <c r="L2331" s="154" t="str">
        <f>IF(OpenLCAbasic!K2331="CTUh", "Fill in Manually",IF(OR(K2331="Unit", K2331=""), "", INDEX(LookUps!$E$5:$E$12, MATCH(OpenLCAbasic!K2331,LookUps!$D$5:$D$12,0))))</f>
        <v>Eutrophication Potential (EP) - kg N eq</v>
      </c>
      <c r="M2331" s="154" t="str">
        <f t="shared" si="118"/>
        <v>Low_High_Base_Upgraded_Eutrophication Potential (EP) - kg N eq_Influent Pump Station; wastewater treatment unit; at updated plant - US_Base_With Amendment_Windrow</v>
      </c>
    </row>
    <row r="2332" spans="1:13" s="120" customFormat="1" x14ac:dyDescent="0.25">
      <c r="A2332" s="119"/>
      <c r="B2332" s="138" t="str">
        <f t="shared" si="116"/>
        <v>Windrow</v>
      </c>
      <c r="C2332" s="138" t="str">
        <f t="shared" si="117"/>
        <v>Base_With Amendment</v>
      </c>
      <c r="D2332" s="118" t="s">
        <v>139</v>
      </c>
      <c r="E2332" s="118" t="s">
        <v>180</v>
      </c>
      <c r="F2332" s="118" t="s">
        <v>46</v>
      </c>
      <c r="G2332" s="153"/>
      <c r="H2332" s="155">
        <v>1.37E-2</v>
      </c>
      <c r="I2332" s="154" t="s">
        <v>167</v>
      </c>
      <c r="J2332" s="204">
        <v>2.2000000000000001E-4</v>
      </c>
      <c r="K2332" s="154" t="s">
        <v>13</v>
      </c>
      <c r="L2332" s="154" t="str">
        <f>IF(OpenLCAbasic!K2332="CTUh", "Fill in Manually",IF(OR(K2332="Unit", K2332=""), "", INDEX(LookUps!$E$5:$E$12, MATCH(OpenLCAbasic!K2332,LookUps!$D$5:$D$12,0))))</f>
        <v>Eutrophication Potential (EP) - kg N eq</v>
      </c>
      <c r="M2332" s="154" t="str">
        <f t="shared" si="118"/>
        <v>Low_High_Base_Upgraded_Eutrophication Potential (EP) - kg N eq_Waste Receiving and Holding; wastewater treatment unit; at updated plant - US_Base_With Amendment_Windrow</v>
      </c>
    </row>
    <row r="2333" spans="1:13" s="120" customFormat="1" x14ac:dyDescent="0.25">
      <c r="A2333" s="119"/>
      <c r="B2333" s="138" t="str">
        <f t="shared" si="116"/>
        <v>Windrow</v>
      </c>
      <c r="C2333" s="138" t="str">
        <f t="shared" si="117"/>
        <v>Base_With Amendment</v>
      </c>
      <c r="D2333" s="118" t="s">
        <v>139</v>
      </c>
      <c r="E2333" s="118" t="s">
        <v>180</v>
      </c>
      <c r="F2333" s="118" t="s">
        <v>46</v>
      </c>
      <c r="G2333" s="153"/>
      <c r="H2333" s="155">
        <v>1.23E-2</v>
      </c>
      <c r="I2333" s="154" t="s">
        <v>54</v>
      </c>
      <c r="J2333" s="204">
        <v>2.0000000000000001E-4</v>
      </c>
      <c r="K2333" s="154" t="s">
        <v>13</v>
      </c>
      <c r="L2333" s="154" t="str">
        <f>IF(OpenLCAbasic!K2333="CTUh", "Fill in Manually",IF(OR(K2333="Unit", K2333=""), "", INDEX(LookUps!$E$5:$E$12, MATCH(OpenLCAbasic!K2333,LookUps!$D$5:$D$12,0))))</f>
        <v>Eutrophication Potential (EP) - kg N eq</v>
      </c>
      <c r="M2333" s="154" t="str">
        <f t="shared" si="118"/>
        <v>Low_High_Base_Upgraded_Eutrophication Potential (EP) - kg N eq_Clear Cove Primary Clarification; wastewater treatment unit; at updated plant - US_Base_With Amendment_Windrow</v>
      </c>
    </row>
    <row r="2334" spans="1:13" s="120" customFormat="1" x14ac:dyDescent="0.25">
      <c r="A2334" s="119"/>
      <c r="B2334" s="138" t="str">
        <f t="shared" si="116"/>
        <v>Windrow</v>
      </c>
      <c r="C2334" s="138" t="str">
        <f t="shared" si="117"/>
        <v>Base_With Amendment</v>
      </c>
      <c r="D2334" s="118" t="s">
        <v>139</v>
      </c>
      <c r="E2334" s="118" t="s">
        <v>180</v>
      </c>
      <c r="F2334" s="118" t="s">
        <v>46</v>
      </c>
      <c r="G2334" s="153"/>
      <c r="H2334" s="155">
        <v>8.5000000000000006E-3</v>
      </c>
      <c r="I2334" s="154" t="s">
        <v>58</v>
      </c>
      <c r="J2334" s="204">
        <v>1.3999999999999999E-4</v>
      </c>
      <c r="K2334" s="154" t="s">
        <v>13</v>
      </c>
      <c r="L2334" s="154" t="str">
        <f>IF(OpenLCAbasic!K2334="CTUh", "Fill in Manually",IF(OR(K2334="Unit", K2334=""), "", INDEX(LookUps!$E$5:$E$12, MATCH(OpenLCAbasic!K2334,LookUps!$D$5:$D$12,0))))</f>
        <v>Eutrophication Potential (EP) - kg N eq</v>
      </c>
      <c r="M2334" s="154" t="str">
        <f t="shared" si="118"/>
        <v>Low_High_Base_Upgraded_Eutrophication Potential (EP) - kg N eq_Pre-Anoxic &amp; Swing tank; wastewater treatment unit; at updated plant - US_Base_With Amendment_Windrow</v>
      </c>
    </row>
    <row r="2335" spans="1:13" s="120" customFormat="1" x14ac:dyDescent="0.25">
      <c r="A2335" s="119"/>
      <c r="B2335" s="138" t="str">
        <f t="shared" si="116"/>
        <v>Windrow</v>
      </c>
      <c r="C2335" s="138" t="str">
        <f t="shared" si="117"/>
        <v>Base_With Amendment</v>
      </c>
      <c r="D2335" s="118" t="s">
        <v>139</v>
      </c>
      <c r="E2335" s="118" t="s">
        <v>180</v>
      </c>
      <c r="F2335" s="118" t="s">
        <v>46</v>
      </c>
      <c r="G2335" s="153"/>
      <c r="H2335" s="155">
        <v>7.7999999999999996E-3</v>
      </c>
      <c r="I2335" s="154" t="s">
        <v>271</v>
      </c>
      <c r="J2335" s="204">
        <v>1.2999999999999999E-4</v>
      </c>
      <c r="K2335" s="154" t="s">
        <v>13</v>
      </c>
      <c r="L2335" s="154" t="str">
        <f>IF(OpenLCAbasic!K2335="CTUh", "Fill in Manually",IF(OR(K2335="Unit", K2335=""), "", INDEX(LookUps!$E$5:$E$12, MATCH(OpenLCAbasic!K2335,LookUps!$D$5:$D$12,0))))</f>
        <v>Eutrophication Potential (EP) - kg N eq</v>
      </c>
      <c r="M2335" s="154" t="str">
        <f t="shared" si="118"/>
        <v>Low_High_Base_Upgraded_Eutrophication Potential (EP) - kg N eq_Biosolids composting; windrow composting; wastewater treatment unit; at updated plant - US_Base_With Amendment_Windrow</v>
      </c>
    </row>
    <row r="2336" spans="1:13" s="120" customFormat="1" x14ac:dyDescent="0.25">
      <c r="A2336" s="119"/>
      <c r="B2336" s="138" t="str">
        <f t="shared" si="116"/>
        <v>Windrow</v>
      </c>
      <c r="C2336" s="138" t="str">
        <f t="shared" si="117"/>
        <v>Base_With Amendment</v>
      </c>
      <c r="D2336" s="118" t="s">
        <v>139</v>
      </c>
      <c r="E2336" s="118" t="s">
        <v>180</v>
      </c>
      <c r="F2336" s="118" t="s">
        <v>46</v>
      </c>
      <c r="G2336" s="153"/>
      <c r="H2336" s="155">
        <v>6.7000000000000002E-3</v>
      </c>
      <c r="I2336" s="154" t="s">
        <v>53</v>
      </c>
      <c r="J2336" s="204">
        <v>1.1E-4</v>
      </c>
      <c r="K2336" s="154" t="s">
        <v>13</v>
      </c>
      <c r="L2336" s="154" t="str">
        <f>IF(OpenLCAbasic!K2336="CTUh", "Fill in Manually",IF(OR(K2336="Unit", K2336=""), "", INDEX(LookUps!$E$5:$E$12, MATCH(OpenLCAbasic!K2336,LookUps!$D$5:$D$12,0))))</f>
        <v>Eutrophication Potential (EP) - kg N eq</v>
      </c>
      <c r="M2336" s="154" t="str">
        <f t="shared" si="118"/>
        <v>Low_High_Base_Upgraded_Eutrophication Potential (EP) - kg N eq_Wet Well and Sump Station; wastewater treatment unit; at updated plant - US_Base_With Amendment_Windrow</v>
      </c>
    </row>
    <row r="2337" spans="1:13" s="120" customFormat="1" x14ac:dyDescent="0.25">
      <c r="A2337" s="119"/>
      <c r="B2337" s="138" t="str">
        <f t="shared" si="116"/>
        <v>Windrow</v>
      </c>
      <c r="C2337" s="138" t="str">
        <f t="shared" si="117"/>
        <v>Base_With Amendment</v>
      </c>
      <c r="D2337" s="118" t="s">
        <v>139</v>
      </c>
      <c r="E2337" s="118" t="s">
        <v>180</v>
      </c>
      <c r="F2337" s="118" t="s">
        <v>46</v>
      </c>
      <c r="G2337" s="153"/>
      <c r="H2337" s="155">
        <v>5.8999999999999999E-3</v>
      </c>
      <c r="I2337" s="154" t="s">
        <v>60</v>
      </c>
      <c r="J2337" s="204">
        <v>9.5601799999999997E-5</v>
      </c>
      <c r="K2337" s="154" t="s">
        <v>13</v>
      </c>
      <c r="L2337" s="154" t="str">
        <f>IF(OpenLCAbasic!K2337="CTUh", "Fill in Manually",IF(OR(K2337="Unit", K2337=""), "", INDEX(LookUps!$E$5:$E$12, MATCH(OpenLCAbasic!K2337,LookUps!$D$5:$D$12,0))))</f>
        <v>Eutrophication Potential (EP) - kg N eq</v>
      </c>
      <c r="M2337" s="154" t="str">
        <f t="shared" si="118"/>
        <v>Low_High_Base_Upgraded_Eutrophication Potential (EP) - kg N eq_Belt filter press; wastewater treatment unit; at updated plant - US_Base_With Amendment_Windrow</v>
      </c>
    </row>
    <row r="2338" spans="1:13" s="120" customFormat="1" x14ac:dyDescent="0.25">
      <c r="A2338" s="119"/>
      <c r="B2338" s="138" t="str">
        <f t="shared" si="116"/>
        <v>Windrow</v>
      </c>
      <c r="C2338" s="138" t="str">
        <f t="shared" si="117"/>
        <v>Base_With Amendment</v>
      </c>
      <c r="D2338" s="118" t="s">
        <v>139</v>
      </c>
      <c r="E2338" s="118" t="s">
        <v>180</v>
      </c>
      <c r="F2338" s="118" t="s">
        <v>46</v>
      </c>
      <c r="G2338" s="153"/>
      <c r="H2338" s="155">
        <v>3.8E-3</v>
      </c>
      <c r="I2338" s="154" t="s">
        <v>57</v>
      </c>
      <c r="J2338" s="204">
        <v>6.0590300000000002E-5</v>
      </c>
      <c r="K2338" s="154" t="s">
        <v>13</v>
      </c>
      <c r="L2338" s="154" t="str">
        <f>IF(OpenLCAbasic!K2338="CTUh", "Fill in Manually",IF(OR(K2338="Unit", K2338=""), "", INDEX(LookUps!$E$5:$E$12, MATCH(OpenLCAbasic!K2338,LookUps!$D$5:$D$12,0))))</f>
        <v>Eutrophication Potential (EP) - kg N eq</v>
      </c>
      <c r="M2338" s="154" t="str">
        <f t="shared" si="118"/>
        <v>Low_High_Base_Upgraded_Eutrophication Potential (EP) - kg N eq_Gravity Belt Thickener; wastewater treatment unit; at updated plant - US_Base_With Amendment_Windrow</v>
      </c>
    </row>
    <row r="2339" spans="1:13" s="120" customFormat="1" x14ac:dyDescent="0.25">
      <c r="A2339" s="119"/>
      <c r="B2339" s="138" t="str">
        <f t="shared" si="116"/>
        <v>Windrow</v>
      </c>
      <c r="C2339" s="138" t="str">
        <f t="shared" si="117"/>
        <v>Base_With Amendment</v>
      </c>
      <c r="D2339" s="118" t="s">
        <v>139</v>
      </c>
      <c r="E2339" s="118" t="s">
        <v>180</v>
      </c>
      <c r="F2339" s="118" t="s">
        <v>46</v>
      </c>
      <c r="G2339" s="153"/>
      <c r="H2339" s="155">
        <v>2.3E-3</v>
      </c>
      <c r="I2339" s="154" t="s">
        <v>128</v>
      </c>
      <c r="J2339" s="204">
        <v>3.7559799999999999E-5</v>
      </c>
      <c r="K2339" s="154" t="s">
        <v>13</v>
      </c>
      <c r="L2339" s="154" t="str">
        <f>IF(OpenLCAbasic!K2339="CTUh", "Fill in Manually",IF(OR(K2339="Unit", K2339=""), "", INDEX(LookUps!$E$5:$E$12, MATCH(OpenLCAbasic!K2339,LookUps!$D$5:$D$12,0))))</f>
        <v>Eutrophication Potential (EP) - kg N eq</v>
      </c>
      <c r="M2339" s="154" t="str">
        <f t="shared" si="118"/>
        <v>Low_High_Base_Upgraded_Eutrophication Potential (EP) - kg N eq_Wastewater collection; operation and infrastructure; m3 wastewater_Base_With Amendment_Windrow</v>
      </c>
    </row>
    <row r="2340" spans="1:13" s="120" customFormat="1" x14ac:dyDescent="0.25">
      <c r="A2340" s="119"/>
      <c r="B2340" s="138" t="str">
        <f t="shared" si="116"/>
        <v>Windrow</v>
      </c>
      <c r="C2340" s="138" t="str">
        <f t="shared" si="117"/>
        <v>Base_With Amendment</v>
      </c>
      <c r="D2340" s="118" t="s">
        <v>139</v>
      </c>
      <c r="E2340" s="118" t="s">
        <v>180</v>
      </c>
      <c r="F2340" s="118" t="s">
        <v>46</v>
      </c>
      <c r="G2340" s="153"/>
      <c r="H2340" s="155">
        <v>2.3E-3</v>
      </c>
      <c r="I2340" s="154" t="s">
        <v>148</v>
      </c>
      <c r="J2340" s="204">
        <v>3.6874600000000001E-5</v>
      </c>
      <c r="K2340" s="154" t="s">
        <v>13</v>
      </c>
      <c r="L2340" s="154" t="str">
        <f>IF(OpenLCAbasic!K2340="CTUh", "Fill in Manually",IF(OR(K2340="Unit", K2340=""), "", INDEX(LookUps!$E$5:$E$12, MATCH(OpenLCAbasic!K2340,LookUps!$D$5:$D$12,0))))</f>
        <v>Eutrophication Potential (EP) - kg N eq</v>
      </c>
      <c r="M2340" s="154" t="str">
        <f t="shared" si="118"/>
        <v>Low_High_Base_Upgraded_Eutrophication Potential (EP) - kg N eq_Control Building; at upgraded wastewater treatment plant - US_Base_With Amendment_Windrow</v>
      </c>
    </row>
    <row r="2341" spans="1:13" s="120" customFormat="1" x14ac:dyDescent="0.25">
      <c r="A2341" s="119"/>
      <c r="B2341" s="138" t="str">
        <f t="shared" si="116"/>
        <v>Windrow</v>
      </c>
      <c r="C2341" s="138" t="str">
        <f t="shared" si="117"/>
        <v>Base_With Amendment</v>
      </c>
      <c r="D2341" s="118" t="s">
        <v>139</v>
      </c>
      <c r="E2341" s="118" t="s">
        <v>180</v>
      </c>
      <c r="F2341" s="118" t="s">
        <v>46</v>
      </c>
      <c r="G2341" s="153"/>
      <c r="H2341" s="155">
        <v>1E-3</v>
      </c>
      <c r="I2341" s="154" t="s">
        <v>59</v>
      </c>
      <c r="J2341" s="204">
        <v>1.6215700000000001E-5</v>
      </c>
      <c r="K2341" s="154" t="s">
        <v>13</v>
      </c>
      <c r="L2341" s="154" t="str">
        <f>IF(OpenLCAbasic!K2341="CTUh", "Fill in Manually",IF(OR(K2341="Unit", K2341=""), "", INDEX(LookUps!$E$5:$E$12, MATCH(OpenLCAbasic!K2341,LookUps!$D$5:$D$12,0))))</f>
        <v>Eutrophication Potential (EP) - kg N eq</v>
      </c>
      <c r="M2341" s="154" t="str">
        <f t="shared" si="118"/>
        <v>Low_High_Base_Upgraded_Eutrophication Potential (EP) - kg N eq_Blend Tank; wastewater treatment unit; at updated plant - US_Base_With Amendment_Windrow</v>
      </c>
    </row>
    <row r="2342" spans="1:13" s="120" customFormat="1" x14ac:dyDescent="0.25">
      <c r="A2342" s="119"/>
      <c r="B2342" s="138" t="str">
        <f t="shared" si="116"/>
        <v>Windrow</v>
      </c>
      <c r="C2342" s="138" t="str">
        <f t="shared" si="117"/>
        <v>Base_With Amendment</v>
      </c>
      <c r="D2342" s="118" t="s">
        <v>139</v>
      </c>
      <c r="E2342" s="118" t="s">
        <v>180</v>
      </c>
      <c r="F2342" s="118" t="s">
        <v>46</v>
      </c>
      <c r="G2342" s="153"/>
      <c r="H2342" s="155">
        <v>5.0000000000000001E-4</v>
      </c>
      <c r="I2342" s="154" t="s">
        <v>168</v>
      </c>
      <c r="J2342" s="204">
        <v>7.7567199999999995E-6</v>
      </c>
      <c r="K2342" s="154" t="s">
        <v>13</v>
      </c>
      <c r="L2342" s="154" t="str">
        <f>IF(OpenLCAbasic!K2342="CTUh", "Fill in Manually",IF(OR(K2342="Unit", K2342=""), "", INDEX(LookUps!$E$5:$E$12, MATCH(OpenLCAbasic!K2342,LookUps!$D$5:$D$12,0))))</f>
        <v>Eutrophication Potential (EP) - kg N eq</v>
      </c>
      <c r="M2342" s="154" t="str">
        <f t="shared" si="118"/>
        <v>Low_High_Base_Upgraded_Eutrophication Potential (EP) - kg N eq_ClearCove SCP; wastewater treatment unit; at updated plant - US_Base_With Amendment_Windrow</v>
      </c>
    </row>
    <row r="2343" spans="1:13" s="120" customFormat="1" x14ac:dyDescent="0.25">
      <c r="A2343" s="119"/>
      <c r="B2343" s="138" t="str">
        <f t="shared" si="116"/>
        <v>Windrow</v>
      </c>
      <c r="C2343" s="138" t="str">
        <f t="shared" si="117"/>
        <v>Base_With Amendment</v>
      </c>
      <c r="D2343" s="118" t="s">
        <v>139</v>
      </c>
      <c r="E2343" s="118" t="s">
        <v>180</v>
      </c>
      <c r="F2343" s="118" t="s">
        <v>46</v>
      </c>
      <c r="G2343" s="153"/>
      <c r="H2343" s="155">
        <v>-8.5800000000000001E-2</v>
      </c>
      <c r="I2343" s="154" t="s">
        <v>149</v>
      </c>
      <c r="J2343" s="204">
        <v>-1.3799999999999999E-3</v>
      </c>
      <c r="K2343" s="154" t="s">
        <v>13</v>
      </c>
      <c r="L2343" s="154" t="str">
        <f>IF(OpenLCAbasic!K2343="CTUh", "Fill in Manually",IF(OR(K2343="Unit", K2343=""), "", INDEX(LookUps!$E$5:$E$12, MATCH(OpenLCAbasic!K2343,LookUps!$D$5:$D$12,0))))</f>
        <v>Eutrophication Potential (EP) - kg N eq</v>
      </c>
      <c r="M2343" s="154" t="str">
        <f t="shared" si="118"/>
        <v>Low_High_Base_Upgraded_Eutrophication Potential (EP) - kg N eq_Anaerobic Digestion; wastewater treatment unit; at updated plant - US_Base_With Amendment_Windrow</v>
      </c>
    </row>
    <row r="2344" spans="1:13" s="120" customFormat="1" x14ac:dyDescent="0.25">
      <c r="A2344" s="119"/>
      <c r="B2344" s="138" t="str">
        <f t="shared" si="116"/>
        <v>Windrow</v>
      </c>
      <c r="C2344" s="138" t="str">
        <f t="shared" si="117"/>
        <v>Base_With Amendment</v>
      </c>
      <c r="D2344" s="118" t="s">
        <v>139</v>
      </c>
      <c r="E2344" s="118" t="s">
        <v>180</v>
      </c>
      <c r="F2344" s="118" t="s">
        <v>46</v>
      </c>
      <c r="G2344" s="153" t="s">
        <v>51</v>
      </c>
      <c r="H2344" s="154"/>
      <c r="I2344" s="154" t="s">
        <v>47</v>
      </c>
      <c r="J2344" s="154" t="s">
        <v>52</v>
      </c>
      <c r="K2344" s="154" t="s">
        <v>27</v>
      </c>
      <c r="L2344" s="154" t="str">
        <f>IF(OpenLCAbasic!K2344="CTUh", "Fill in Manually",IF(OR(K2344="Unit", K2344=""), "", INDEX(LookUps!$E$5:$E$12, MATCH(OpenLCAbasic!K2344,LookUps!$D$5:$D$12,0))))</f>
        <v/>
      </c>
      <c r="M2344" s="154" t="str">
        <f t="shared" si="118"/>
        <v>Low_High_Base_Upgraded__Process_Base_With Amendment_Windrow</v>
      </c>
    </row>
    <row r="2345" spans="1:13" s="120" customFormat="1" x14ac:dyDescent="0.25">
      <c r="A2345" s="119"/>
      <c r="B2345" s="138" t="str">
        <f t="shared" si="116"/>
        <v>Windrow</v>
      </c>
      <c r="C2345" s="138" t="str">
        <f t="shared" si="117"/>
        <v>Base_With Amendment</v>
      </c>
      <c r="D2345" s="118" t="s">
        <v>139</v>
      </c>
      <c r="E2345" s="118" t="s">
        <v>180</v>
      </c>
      <c r="F2345" s="118" t="s">
        <v>46</v>
      </c>
      <c r="G2345" s="153"/>
      <c r="H2345" s="155">
        <v>4.4241999999999999</v>
      </c>
      <c r="I2345" s="154" t="s">
        <v>167</v>
      </c>
      <c r="J2345" s="157">
        <v>5.1393399999999998</v>
      </c>
      <c r="K2345" s="154" t="s">
        <v>15</v>
      </c>
      <c r="L2345" s="154" t="str">
        <f>IF(OpenLCAbasic!K2345="CTUh", "Fill in Manually",IF(OR(K2345="Unit", K2345=""), "", INDEX(LookUps!$E$5:$E$12, MATCH(OpenLCAbasic!K2345,LookUps!$D$5:$D$12,0))))</f>
        <v>Cumulative Energy Demand (CED) - MJ</v>
      </c>
      <c r="M2345" s="154" t="str">
        <f t="shared" si="118"/>
        <v>Low_High_Base_Upgraded_Cumulative Energy Demand (CED) - MJ_Waste Receiving and Holding; wastewater treatment unit; at updated plant - US_Base_With Amendment_Windrow</v>
      </c>
    </row>
    <row r="2346" spans="1:13" s="120" customFormat="1" x14ac:dyDescent="0.25">
      <c r="A2346" s="119"/>
      <c r="B2346" s="138" t="str">
        <f t="shared" si="116"/>
        <v>Windrow</v>
      </c>
      <c r="C2346" s="138" t="str">
        <f t="shared" si="117"/>
        <v>Base_With Amendment</v>
      </c>
      <c r="D2346" s="118" t="s">
        <v>139</v>
      </c>
      <c r="E2346" s="118" t="s">
        <v>180</v>
      </c>
      <c r="F2346" s="118" t="s">
        <v>46</v>
      </c>
      <c r="G2346" s="153"/>
      <c r="H2346" s="155">
        <v>3.0413999999999999</v>
      </c>
      <c r="I2346" s="154" t="s">
        <v>55</v>
      </c>
      <c r="J2346" s="157">
        <v>3.5330499999999998</v>
      </c>
      <c r="K2346" s="154" t="s">
        <v>15</v>
      </c>
      <c r="L2346" s="154" t="str">
        <f>IF(OpenLCAbasic!K2346="CTUh", "Fill in Manually",IF(OR(K2346="Unit", K2346=""), "", INDEX(LookUps!$E$5:$E$12, MATCH(OpenLCAbasic!K2346,LookUps!$D$5:$D$12,0))))</f>
        <v>Cumulative Energy Demand (CED) - MJ</v>
      </c>
      <c r="M2346" s="154" t="str">
        <f t="shared" si="118"/>
        <v>Low_High_Base_Upgraded_Cumulative Energy Demand (CED) - MJ_Aeration Tanks; wastewater treatment unit; at updated plant - US_Base_With Amendment_Windrow</v>
      </c>
    </row>
    <row r="2347" spans="1:13" s="120" customFormat="1" x14ac:dyDescent="0.25">
      <c r="A2347" s="119"/>
      <c r="B2347" s="138" t="str">
        <f t="shared" si="116"/>
        <v>Windrow</v>
      </c>
      <c r="C2347" s="138" t="str">
        <f t="shared" si="117"/>
        <v>Base_With Amendment</v>
      </c>
      <c r="D2347" s="118" t="s">
        <v>139</v>
      </c>
      <c r="E2347" s="118" t="s">
        <v>180</v>
      </c>
      <c r="F2347" s="118" t="s">
        <v>46</v>
      </c>
      <c r="G2347" s="153"/>
      <c r="H2347" s="155">
        <v>1.0011000000000001</v>
      </c>
      <c r="I2347" s="154" t="s">
        <v>54</v>
      </c>
      <c r="J2347" s="157">
        <v>1.16289</v>
      </c>
      <c r="K2347" s="154" t="s">
        <v>15</v>
      </c>
      <c r="L2347" s="154" t="str">
        <f>IF(OpenLCAbasic!K2347="CTUh", "Fill in Manually",IF(OR(K2347="Unit", K2347=""), "", INDEX(LookUps!$E$5:$E$12, MATCH(OpenLCAbasic!K2347,LookUps!$D$5:$D$12,0))))</f>
        <v>Cumulative Energy Demand (CED) - MJ</v>
      </c>
      <c r="M2347" s="154" t="str">
        <f t="shared" si="118"/>
        <v>Low_High_Base_Upgraded_Cumulative Energy Demand (CED) - MJ_Clear Cove Primary Clarification; wastewater treatment unit; at updated plant - US_Base_With Amendment_Windrow</v>
      </c>
    </row>
    <row r="2348" spans="1:13" s="120" customFormat="1" x14ac:dyDescent="0.25">
      <c r="A2348" s="119"/>
      <c r="B2348" s="138" t="str">
        <f t="shared" si="116"/>
        <v>Windrow</v>
      </c>
      <c r="C2348" s="138" t="str">
        <f t="shared" si="117"/>
        <v>Base_With Amendment</v>
      </c>
      <c r="D2348" s="118" t="s">
        <v>139</v>
      </c>
      <c r="E2348" s="118" t="s">
        <v>180</v>
      </c>
      <c r="F2348" s="118" t="s">
        <v>46</v>
      </c>
      <c r="G2348" s="153"/>
      <c r="H2348" s="155">
        <v>0.76670000000000005</v>
      </c>
      <c r="I2348" s="154" t="s">
        <v>58</v>
      </c>
      <c r="J2348" s="203">
        <v>0.89063999999999999</v>
      </c>
      <c r="K2348" s="154" t="s">
        <v>15</v>
      </c>
      <c r="L2348" s="154" t="str">
        <f>IF(OpenLCAbasic!K2348="CTUh", "Fill in Manually",IF(OR(K2348="Unit", K2348=""), "", INDEX(LookUps!$E$5:$E$12, MATCH(OpenLCAbasic!K2348,LookUps!$D$5:$D$12,0))))</f>
        <v>Cumulative Energy Demand (CED) - MJ</v>
      </c>
      <c r="M2348" s="154" t="str">
        <f t="shared" si="118"/>
        <v>Low_High_Base_Upgraded_Cumulative Energy Demand (CED) - MJ_Pre-Anoxic &amp; Swing tank; wastewater treatment unit; at updated plant - US_Base_With Amendment_Windrow</v>
      </c>
    </row>
    <row r="2349" spans="1:13" s="120" customFormat="1" x14ac:dyDescent="0.25">
      <c r="A2349" s="119"/>
      <c r="B2349" s="138" t="str">
        <f t="shared" si="116"/>
        <v>Windrow</v>
      </c>
      <c r="C2349" s="138" t="str">
        <f t="shared" si="117"/>
        <v>Base_With Amendment</v>
      </c>
      <c r="D2349" s="118" t="s">
        <v>139</v>
      </c>
      <c r="E2349" s="118" t="s">
        <v>180</v>
      </c>
      <c r="F2349" s="118" t="s">
        <v>46</v>
      </c>
      <c r="G2349" s="153"/>
      <c r="H2349" s="155">
        <v>0.7601</v>
      </c>
      <c r="I2349" s="154" t="s">
        <v>147</v>
      </c>
      <c r="J2349" s="203">
        <v>0.88297000000000003</v>
      </c>
      <c r="K2349" s="154" t="s">
        <v>15</v>
      </c>
      <c r="L2349" s="154" t="str">
        <f>IF(OpenLCAbasic!K2349="CTUh", "Fill in Manually",IF(OR(K2349="Unit", K2349=""), "", INDEX(LookUps!$E$5:$E$12, MATCH(OpenLCAbasic!K2349,LookUps!$D$5:$D$12,0))))</f>
        <v>Cumulative Energy Demand (CED) - MJ</v>
      </c>
      <c r="M2349" s="154" t="str">
        <f t="shared" si="118"/>
        <v>Low_High_Base_Upgraded_Cumulative Energy Demand (CED) - MJ_Influent Pump Station; wastewater treatment unit; at updated plant - US_Base_With Amendment_Windrow</v>
      </c>
    </row>
    <row r="2350" spans="1:13" s="120" customFormat="1" x14ac:dyDescent="0.25">
      <c r="A2350" s="119"/>
      <c r="B2350" s="138" t="str">
        <f t="shared" si="116"/>
        <v>Windrow</v>
      </c>
      <c r="C2350" s="138" t="str">
        <f t="shared" si="117"/>
        <v>Base_With Amendment</v>
      </c>
      <c r="D2350" s="118" t="s">
        <v>139</v>
      </c>
      <c r="E2350" s="118" t="s">
        <v>180</v>
      </c>
      <c r="F2350" s="118" t="s">
        <v>46</v>
      </c>
      <c r="G2350" s="153"/>
      <c r="H2350" s="155">
        <v>0.59950000000000003</v>
      </c>
      <c r="I2350" s="154" t="s">
        <v>53</v>
      </c>
      <c r="J2350" s="203">
        <v>0.69645000000000001</v>
      </c>
      <c r="K2350" s="154" t="s">
        <v>15</v>
      </c>
      <c r="L2350" s="154" t="str">
        <f>IF(OpenLCAbasic!K2350="CTUh", "Fill in Manually",IF(OR(K2350="Unit", K2350=""), "", INDEX(LookUps!$E$5:$E$12, MATCH(OpenLCAbasic!K2350,LookUps!$D$5:$D$12,0))))</f>
        <v>Cumulative Energy Demand (CED) - MJ</v>
      </c>
      <c r="M2350" s="154" t="str">
        <f t="shared" si="118"/>
        <v>Low_High_Base_Upgraded_Cumulative Energy Demand (CED) - MJ_Wet Well and Sump Station; wastewater treatment unit; at updated plant - US_Base_With Amendment_Windrow</v>
      </c>
    </row>
    <row r="2351" spans="1:13" s="120" customFormat="1" x14ac:dyDescent="0.25">
      <c r="A2351" s="119"/>
      <c r="B2351" s="138" t="str">
        <f t="shared" si="116"/>
        <v>Windrow</v>
      </c>
      <c r="C2351" s="138" t="str">
        <f t="shared" si="117"/>
        <v>Base_With Amendment</v>
      </c>
      <c r="D2351" s="118" t="s">
        <v>139</v>
      </c>
      <c r="E2351" s="118" t="s">
        <v>180</v>
      </c>
      <c r="F2351" s="118" t="s">
        <v>46</v>
      </c>
      <c r="G2351" s="153"/>
      <c r="H2351" s="155">
        <v>0.46850000000000003</v>
      </c>
      <c r="I2351" s="154" t="s">
        <v>60</v>
      </c>
      <c r="J2351" s="203">
        <v>0.54422999999999999</v>
      </c>
      <c r="K2351" s="154" t="s">
        <v>15</v>
      </c>
      <c r="L2351" s="154" t="str">
        <f>IF(OpenLCAbasic!K2351="CTUh", "Fill in Manually",IF(OR(K2351="Unit", K2351=""), "", INDEX(LookUps!$E$5:$E$12, MATCH(OpenLCAbasic!K2351,LookUps!$D$5:$D$12,0))))</f>
        <v>Cumulative Energy Demand (CED) - MJ</v>
      </c>
      <c r="M2351" s="154" t="str">
        <f t="shared" si="118"/>
        <v>Low_High_Base_Upgraded_Cumulative Energy Demand (CED) - MJ_Belt filter press; wastewater treatment unit; at updated plant - US_Base_With Amendment_Windrow</v>
      </c>
    </row>
    <row r="2352" spans="1:13" s="120" customFormat="1" x14ac:dyDescent="0.25">
      <c r="A2352" s="119"/>
      <c r="B2352" s="138" t="str">
        <f t="shared" si="116"/>
        <v>Windrow</v>
      </c>
      <c r="C2352" s="138" t="str">
        <f t="shared" si="117"/>
        <v>Base_With Amendment</v>
      </c>
      <c r="D2352" s="118" t="s">
        <v>139</v>
      </c>
      <c r="E2352" s="118" t="s">
        <v>180</v>
      </c>
      <c r="F2352" s="118" t="s">
        <v>46</v>
      </c>
      <c r="G2352" s="153"/>
      <c r="H2352" s="155">
        <v>0.28760000000000002</v>
      </c>
      <c r="I2352" s="154" t="s">
        <v>57</v>
      </c>
      <c r="J2352" s="203">
        <v>0.33404</v>
      </c>
      <c r="K2352" s="154" t="s">
        <v>15</v>
      </c>
      <c r="L2352" s="154" t="str">
        <f>IF(OpenLCAbasic!K2352="CTUh", "Fill in Manually",IF(OR(K2352="Unit", K2352=""), "", INDEX(LookUps!$E$5:$E$12, MATCH(OpenLCAbasic!K2352,LookUps!$D$5:$D$12,0))))</f>
        <v>Cumulative Energy Demand (CED) - MJ</v>
      </c>
      <c r="M2352" s="154" t="str">
        <f t="shared" si="118"/>
        <v>Low_High_Base_Upgraded_Cumulative Energy Demand (CED) - MJ_Gravity Belt Thickener; wastewater treatment unit; at updated plant - US_Base_With Amendment_Windrow</v>
      </c>
    </row>
    <row r="2353" spans="1:13" s="120" customFormat="1" x14ac:dyDescent="0.25">
      <c r="A2353" s="119"/>
      <c r="B2353" s="138" t="str">
        <f t="shared" si="116"/>
        <v>Windrow</v>
      </c>
      <c r="C2353" s="138" t="str">
        <f t="shared" si="117"/>
        <v>Base_With Amendment</v>
      </c>
      <c r="D2353" s="118" t="s">
        <v>139</v>
      </c>
      <c r="E2353" s="118" t="s">
        <v>180</v>
      </c>
      <c r="F2353" s="118" t="s">
        <v>46</v>
      </c>
      <c r="G2353" s="153"/>
      <c r="H2353" s="155">
        <v>0.22040000000000001</v>
      </c>
      <c r="I2353" s="154" t="s">
        <v>128</v>
      </c>
      <c r="J2353" s="203">
        <v>0.25606000000000001</v>
      </c>
      <c r="K2353" s="154" t="s">
        <v>15</v>
      </c>
      <c r="L2353" s="154" t="str">
        <f>IF(OpenLCAbasic!K2353="CTUh", "Fill in Manually",IF(OR(K2353="Unit", K2353=""), "", INDEX(LookUps!$E$5:$E$12, MATCH(OpenLCAbasic!K2353,LookUps!$D$5:$D$12,0))))</f>
        <v>Cumulative Energy Demand (CED) - MJ</v>
      </c>
      <c r="M2353" s="154" t="str">
        <f t="shared" si="118"/>
        <v>Low_High_Base_Upgraded_Cumulative Energy Demand (CED) - MJ_Wastewater collection; operation and infrastructure; m3 wastewater_Base_With Amendment_Windrow</v>
      </c>
    </row>
    <row r="2354" spans="1:13" s="120" customFormat="1" x14ac:dyDescent="0.25">
      <c r="A2354" s="119"/>
      <c r="B2354" s="138" t="str">
        <f t="shared" si="116"/>
        <v>Windrow</v>
      </c>
      <c r="C2354" s="138" t="str">
        <f t="shared" si="117"/>
        <v>Base_With Amendment</v>
      </c>
      <c r="D2354" s="118" t="s">
        <v>139</v>
      </c>
      <c r="E2354" s="118" t="s">
        <v>180</v>
      </c>
      <c r="F2354" s="118" t="s">
        <v>46</v>
      </c>
      <c r="G2354" s="153"/>
      <c r="H2354" s="155">
        <v>0.12570000000000001</v>
      </c>
      <c r="I2354" s="154" t="s">
        <v>148</v>
      </c>
      <c r="J2354" s="203">
        <v>0.14599000000000001</v>
      </c>
      <c r="K2354" s="154" t="s">
        <v>15</v>
      </c>
      <c r="L2354" s="154" t="str">
        <f>IF(OpenLCAbasic!K2354="CTUh", "Fill in Manually",IF(OR(K2354="Unit", K2354=""), "", INDEX(LookUps!$E$5:$E$12, MATCH(OpenLCAbasic!K2354,LookUps!$D$5:$D$12,0))))</f>
        <v>Cumulative Energy Demand (CED) - MJ</v>
      </c>
      <c r="M2354" s="154" t="str">
        <f t="shared" si="118"/>
        <v>Low_High_Base_Upgraded_Cumulative Energy Demand (CED) - MJ_Control Building; at upgraded wastewater treatment plant - US_Base_With Amendment_Windrow</v>
      </c>
    </row>
    <row r="2355" spans="1:13" s="120" customFormat="1" x14ac:dyDescent="0.25">
      <c r="A2355" s="119"/>
      <c r="B2355" s="138" t="str">
        <f t="shared" si="116"/>
        <v>Windrow</v>
      </c>
      <c r="C2355" s="138" t="str">
        <f t="shared" si="117"/>
        <v>Base_With Amendment</v>
      </c>
      <c r="D2355" s="118" t="s">
        <v>139</v>
      </c>
      <c r="E2355" s="118" t="s">
        <v>180</v>
      </c>
      <c r="F2355" s="118" t="s">
        <v>46</v>
      </c>
      <c r="G2355" s="153"/>
      <c r="H2355" s="155">
        <v>0.1147</v>
      </c>
      <c r="I2355" s="154" t="s">
        <v>48</v>
      </c>
      <c r="J2355" s="203">
        <v>0.13321</v>
      </c>
      <c r="K2355" s="154" t="s">
        <v>15</v>
      </c>
      <c r="L2355" s="154" t="str">
        <f>IF(OpenLCAbasic!K2355="CTUh", "Fill in Manually",IF(OR(K2355="Unit", K2355=""), "", INDEX(LookUps!$E$5:$E$12, MATCH(OpenLCAbasic!K2355,LookUps!$D$5:$D$12,0))))</f>
        <v>Cumulative Energy Demand (CED) - MJ</v>
      </c>
      <c r="M2355" s="154" t="str">
        <f t="shared" si="118"/>
        <v>Low_High_Base_Upgraded_Cumulative Energy Demand (CED) - MJ_Effluent release; wastewater treatment unit; at surface water; m3 wastewater - US_Base_With Amendment_Windrow</v>
      </c>
    </row>
    <row r="2356" spans="1:13" s="120" customFormat="1" x14ac:dyDescent="0.25">
      <c r="A2356" s="119"/>
      <c r="B2356" s="138" t="str">
        <f t="shared" si="116"/>
        <v>Windrow</v>
      </c>
      <c r="C2356" s="138" t="str">
        <f t="shared" si="117"/>
        <v>Base_With Amendment</v>
      </c>
      <c r="D2356" s="118" t="s">
        <v>139</v>
      </c>
      <c r="E2356" s="118" t="s">
        <v>180</v>
      </c>
      <c r="F2356" s="118" t="s">
        <v>46</v>
      </c>
      <c r="G2356" s="153"/>
      <c r="H2356" s="155">
        <v>9.1600000000000001E-2</v>
      </c>
      <c r="I2356" s="154" t="s">
        <v>59</v>
      </c>
      <c r="J2356" s="203">
        <v>0.10638</v>
      </c>
      <c r="K2356" s="154" t="s">
        <v>15</v>
      </c>
      <c r="L2356" s="154" t="str">
        <f>IF(OpenLCAbasic!K2356="CTUh", "Fill in Manually",IF(OR(K2356="Unit", K2356=""), "", INDEX(LookUps!$E$5:$E$12, MATCH(OpenLCAbasic!K2356,LookUps!$D$5:$D$12,0))))</f>
        <v>Cumulative Energy Demand (CED) - MJ</v>
      </c>
      <c r="M2356" s="154" t="str">
        <f t="shared" si="118"/>
        <v>Low_High_Base_Upgraded_Cumulative Energy Demand (CED) - MJ_Blend Tank; wastewater treatment unit; at updated plant - US_Base_With Amendment_Windrow</v>
      </c>
    </row>
    <row r="2357" spans="1:13" s="120" customFormat="1" x14ac:dyDescent="0.25">
      <c r="A2357" s="119"/>
      <c r="B2357" s="138" t="str">
        <f t="shared" si="116"/>
        <v>Windrow</v>
      </c>
      <c r="C2357" s="138" t="str">
        <f t="shared" si="117"/>
        <v>Base_With Amendment</v>
      </c>
      <c r="D2357" s="118" t="s">
        <v>139</v>
      </c>
      <c r="E2357" s="118" t="s">
        <v>180</v>
      </c>
      <c r="F2357" s="118" t="s">
        <v>46</v>
      </c>
      <c r="G2357" s="153"/>
      <c r="H2357" s="155">
        <v>4.3799999999999999E-2</v>
      </c>
      <c r="I2357" s="154" t="s">
        <v>168</v>
      </c>
      <c r="J2357" s="203">
        <v>5.0930000000000003E-2</v>
      </c>
      <c r="K2357" s="154" t="s">
        <v>15</v>
      </c>
      <c r="L2357" s="154" t="str">
        <f>IF(OpenLCAbasic!K2357="CTUh", "Fill in Manually",IF(OR(K2357="Unit", K2357=""), "", INDEX(LookUps!$E$5:$E$12, MATCH(OpenLCAbasic!K2357,LookUps!$D$5:$D$12,0))))</f>
        <v>Cumulative Energy Demand (CED) - MJ</v>
      </c>
      <c r="M2357" s="154" t="str">
        <f t="shared" si="118"/>
        <v>Low_High_Base_Upgraded_Cumulative Energy Demand (CED) - MJ_ClearCove SCP; wastewater treatment unit; at updated plant - US_Base_With Amendment_Windrow</v>
      </c>
    </row>
    <row r="2358" spans="1:13" s="120" customFormat="1" x14ac:dyDescent="0.25">
      <c r="A2358" s="119"/>
      <c r="B2358" s="138" t="str">
        <f t="shared" si="116"/>
        <v>Windrow</v>
      </c>
      <c r="C2358" s="138" t="str">
        <f t="shared" si="117"/>
        <v>Base_With Amendment</v>
      </c>
      <c r="D2358" s="118" t="s">
        <v>139</v>
      </c>
      <c r="E2358" s="118" t="s">
        <v>180</v>
      </c>
      <c r="F2358" s="118" t="s">
        <v>46</v>
      </c>
      <c r="G2358" s="153"/>
      <c r="H2358" s="155">
        <v>3.3399999999999999E-2</v>
      </c>
      <c r="I2358" s="154" t="s">
        <v>271</v>
      </c>
      <c r="J2358" s="203">
        <v>3.882E-2</v>
      </c>
      <c r="K2358" s="154" t="s">
        <v>15</v>
      </c>
      <c r="L2358" s="154" t="str">
        <f>IF(OpenLCAbasic!K2358="CTUh", "Fill in Manually",IF(OR(K2358="Unit", K2358=""), "", INDEX(LookUps!$E$5:$E$12, MATCH(OpenLCAbasic!K2358,LookUps!$D$5:$D$12,0))))</f>
        <v>Cumulative Energy Demand (CED) - MJ</v>
      </c>
      <c r="M2358" s="154" t="str">
        <f t="shared" si="118"/>
        <v>Low_High_Base_Upgraded_Cumulative Energy Demand (CED) - MJ_Biosolids composting; windrow composting; wastewater treatment unit; at updated plant - US_Base_With Amendment_Windrow</v>
      </c>
    </row>
    <row r="2359" spans="1:13" s="120" customFormat="1" x14ac:dyDescent="0.25">
      <c r="A2359" s="119"/>
      <c r="B2359" s="138" t="str">
        <f t="shared" si="116"/>
        <v>Windrow</v>
      </c>
      <c r="C2359" s="138" t="str">
        <f t="shared" si="117"/>
        <v>Base_With Amendment</v>
      </c>
      <c r="D2359" s="118" t="s">
        <v>139</v>
      </c>
      <c r="E2359" s="118" t="s">
        <v>180</v>
      </c>
      <c r="F2359" s="118" t="s">
        <v>46</v>
      </c>
      <c r="G2359" s="153"/>
      <c r="H2359" s="155">
        <v>-0.77210000000000001</v>
      </c>
      <c r="I2359" s="154" t="s">
        <v>62</v>
      </c>
      <c r="J2359" s="203">
        <v>-0.89685999999999999</v>
      </c>
      <c r="K2359" s="154" t="s">
        <v>15</v>
      </c>
      <c r="L2359" s="154" t="str">
        <f>IF(OpenLCAbasic!K2359="CTUh", "Fill in Manually",IF(OR(K2359="Unit", K2359=""), "", INDEX(LookUps!$E$5:$E$12, MATCH(OpenLCAbasic!K2359,LookUps!$D$5:$D$12,0))))</f>
        <v>Cumulative Energy Demand (CED) - MJ</v>
      </c>
      <c r="M2359" s="154" t="str">
        <f t="shared" si="118"/>
        <v>Low_High_Base_Upgraded_Cumulative Energy Demand (CED) - MJ_Land application of compost; wastewater treatment unit; at updated plant - US_Base_With Amendment_Windrow</v>
      </c>
    </row>
    <row r="2360" spans="1:13" s="120" customFormat="1" x14ac:dyDescent="0.25">
      <c r="A2360" s="119"/>
      <c r="B2360" s="138" t="str">
        <f t="shared" si="116"/>
        <v>Windrow</v>
      </c>
      <c r="C2360" s="138" t="str">
        <f t="shared" si="117"/>
        <v>Base_With Amendment</v>
      </c>
      <c r="D2360" s="118" t="s">
        <v>139</v>
      </c>
      <c r="E2360" s="118" t="s">
        <v>180</v>
      </c>
      <c r="F2360" s="118" t="s">
        <v>46</v>
      </c>
      <c r="G2360" s="153"/>
      <c r="H2360" s="155">
        <v>-12.2066</v>
      </c>
      <c r="I2360" s="154" t="s">
        <v>149</v>
      </c>
      <c r="J2360" s="157">
        <v>-14.179790000000001</v>
      </c>
      <c r="K2360" s="154" t="s">
        <v>15</v>
      </c>
      <c r="L2360" s="154" t="str">
        <f>IF(OpenLCAbasic!K2360="CTUh", "Fill in Manually",IF(OR(K2360="Unit", K2360=""), "", INDEX(LookUps!$E$5:$E$12, MATCH(OpenLCAbasic!K2360,LookUps!$D$5:$D$12,0))))</f>
        <v>Cumulative Energy Demand (CED) - MJ</v>
      </c>
      <c r="M2360" s="154" t="str">
        <f t="shared" si="118"/>
        <v>Low_High_Base_Upgraded_Cumulative Energy Demand (CED) - MJ_Anaerobic Digestion; wastewater treatment unit; at updated plant - US_Base_With Amendment_Windrow</v>
      </c>
    </row>
    <row r="2361" spans="1:13" s="120" customFormat="1" x14ac:dyDescent="0.25">
      <c r="A2361" s="119"/>
      <c r="B2361" s="138" t="str">
        <f t="shared" si="116"/>
        <v>Windrow</v>
      </c>
      <c r="C2361" s="138" t="str">
        <f t="shared" si="117"/>
        <v>Base_With Amendment</v>
      </c>
      <c r="D2361" s="118" t="s">
        <v>139</v>
      </c>
      <c r="E2361" s="118" t="s">
        <v>180</v>
      </c>
      <c r="F2361" s="118" t="s">
        <v>46</v>
      </c>
      <c r="G2361" s="153" t="s">
        <v>51</v>
      </c>
      <c r="H2361" s="154"/>
      <c r="I2361" s="154" t="s">
        <v>47</v>
      </c>
      <c r="J2361" s="154" t="s">
        <v>52</v>
      </c>
      <c r="K2361" s="154" t="s">
        <v>27</v>
      </c>
      <c r="L2361" s="154" t="str">
        <f>IF(OpenLCAbasic!K2361="CTUh", "Fill in Manually",IF(OR(K2361="Unit", K2361=""), "", INDEX(LookUps!$E$5:$E$12, MATCH(OpenLCAbasic!K2361,LookUps!$D$5:$D$12,0))))</f>
        <v/>
      </c>
      <c r="M2361" s="154" t="str">
        <f t="shared" si="118"/>
        <v>Low_High_Base_Upgraded__Process_Base_With Amendment_Windrow</v>
      </c>
    </row>
    <row r="2362" spans="1:13" s="120" customFormat="1" x14ac:dyDescent="0.25">
      <c r="A2362" s="119"/>
      <c r="B2362" s="138" t="str">
        <f t="shared" si="116"/>
        <v>Windrow</v>
      </c>
      <c r="C2362" s="138" t="str">
        <f t="shared" si="117"/>
        <v>Base_With Amendment</v>
      </c>
      <c r="D2362" s="118" t="s">
        <v>139</v>
      </c>
      <c r="E2362" s="118" t="s">
        <v>180</v>
      </c>
      <c r="F2362" s="118" t="s">
        <v>46</v>
      </c>
      <c r="G2362" s="153"/>
      <c r="H2362" s="155">
        <v>5.5288000000000004</v>
      </c>
      <c r="I2362" s="154" t="s">
        <v>167</v>
      </c>
      <c r="J2362" s="203">
        <v>0.11719</v>
      </c>
      <c r="K2362" s="154" t="s">
        <v>14</v>
      </c>
      <c r="L2362" s="154" t="str">
        <f>IF(OpenLCAbasic!K2362="CTUh", "Fill in Manually",IF(OR(K2362="Unit", K2362=""), "", INDEX(LookUps!$E$5:$E$12, MATCH(OpenLCAbasic!K2362,LookUps!$D$5:$D$12,0))))</f>
        <v>Fossil Depletion Potential (FDP) - kg oil eq</v>
      </c>
      <c r="M2362" s="154" t="str">
        <f t="shared" si="118"/>
        <v>Low_High_Base_Upgraded_Fossil Depletion Potential (FDP) - kg oil eq_Waste Receiving and Holding; wastewater treatment unit; at updated plant - US_Base_With Amendment_Windrow</v>
      </c>
    </row>
    <row r="2363" spans="1:13" s="120" customFormat="1" x14ac:dyDescent="0.25">
      <c r="A2363" s="119"/>
      <c r="B2363" s="138" t="str">
        <f t="shared" si="116"/>
        <v>Windrow</v>
      </c>
      <c r="C2363" s="138" t="str">
        <f t="shared" si="117"/>
        <v>Base_With Amendment</v>
      </c>
      <c r="D2363" s="118" t="s">
        <v>139</v>
      </c>
      <c r="E2363" s="118" t="s">
        <v>180</v>
      </c>
      <c r="F2363" s="118" t="s">
        <v>46</v>
      </c>
      <c r="G2363" s="153"/>
      <c r="H2363" s="155">
        <v>3.0001000000000002</v>
      </c>
      <c r="I2363" s="154" t="s">
        <v>55</v>
      </c>
      <c r="J2363" s="203">
        <v>6.3589999999999994E-2</v>
      </c>
      <c r="K2363" s="154" t="s">
        <v>14</v>
      </c>
      <c r="L2363" s="154" t="str">
        <f>IF(OpenLCAbasic!K2363="CTUh", "Fill in Manually",IF(OR(K2363="Unit", K2363=""), "", INDEX(LookUps!$E$5:$E$12, MATCH(OpenLCAbasic!K2363,LookUps!$D$5:$D$12,0))))</f>
        <v>Fossil Depletion Potential (FDP) - kg oil eq</v>
      </c>
      <c r="M2363" s="154" t="str">
        <f t="shared" si="118"/>
        <v>Low_High_Base_Upgraded_Fossil Depletion Potential (FDP) - kg oil eq_Aeration Tanks; wastewater treatment unit; at updated plant - US_Base_With Amendment_Windrow</v>
      </c>
    </row>
    <row r="2364" spans="1:13" s="120" customFormat="1" x14ac:dyDescent="0.25">
      <c r="A2364" s="119"/>
      <c r="B2364" s="138" t="str">
        <f t="shared" si="116"/>
        <v>Windrow</v>
      </c>
      <c r="C2364" s="138" t="str">
        <f t="shared" si="117"/>
        <v>Base_With Amendment</v>
      </c>
      <c r="D2364" s="118" t="s">
        <v>139</v>
      </c>
      <c r="E2364" s="118" t="s">
        <v>180</v>
      </c>
      <c r="F2364" s="118" t="s">
        <v>46</v>
      </c>
      <c r="G2364" s="153"/>
      <c r="H2364" s="155">
        <v>0.99309999999999998</v>
      </c>
      <c r="I2364" s="154" t="s">
        <v>54</v>
      </c>
      <c r="J2364" s="203">
        <v>2.1049999999999999E-2</v>
      </c>
      <c r="K2364" s="154" t="s">
        <v>14</v>
      </c>
      <c r="L2364" s="154" t="str">
        <f>IF(OpenLCAbasic!K2364="CTUh", "Fill in Manually",IF(OR(K2364="Unit", K2364=""), "", INDEX(LookUps!$E$5:$E$12, MATCH(OpenLCAbasic!K2364,LookUps!$D$5:$D$12,0))))</f>
        <v>Fossil Depletion Potential (FDP) - kg oil eq</v>
      </c>
      <c r="M2364" s="154" t="str">
        <f t="shared" si="118"/>
        <v>Low_High_Base_Upgraded_Fossil Depletion Potential (FDP) - kg oil eq_Clear Cove Primary Clarification; wastewater treatment unit; at updated plant - US_Base_With Amendment_Windrow</v>
      </c>
    </row>
    <row r="2365" spans="1:13" s="120" customFormat="1" x14ac:dyDescent="0.25">
      <c r="A2365" s="119"/>
      <c r="B2365" s="138" t="str">
        <f t="shared" si="116"/>
        <v>Windrow</v>
      </c>
      <c r="C2365" s="138" t="str">
        <f t="shared" si="117"/>
        <v>Base_With Amendment</v>
      </c>
      <c r="D2365" s="118" t="s">
        <v>139</v>
      </c>
      <c r="E2365" s="118" t="s">
        <v>180</v>
      </c>
      <c r="F2365" s="118" t="s">
        <v>46</v>
      </c>
      <c r="G2365" s="153"/>
      <c r="H2365" s="155">
        <v>0.75680000000000003</v>
      </c>
      <c r="I2365" s="154" t="s">
        <v>58</v>
      </c>
      <c r="J2365" s="203">
        <v>1.6039999999999999E-2</v>
      </c>
      <c r="K2365" s="154" t="s">
        <v>14</v>
      </c>
      <c r="L2365" s="154" t="str">
        <f>IF(OpenLCAbasic!K2365="CTUh", "Fill in Manually",IF(OR(K2365="Unit", K2365=""), "", INDEX(LookUps!$E$5:$E$12, MATCH(OpenLCAbasic!K2365,LookUps!$D$5:$D$12,0))))</f>
        <v>Fossil Depletion Potential (FDP) - kg oil eq</v>
      </c>
      <c r="M2365" s="154" t="str">
        <f t="shared" si="118"/>
        <v>Low_High_Base_Upgraded_Fossil Depletion Potential (FDP) - kg oil eq_Pre-Anoxic &amp; Swing tank; wastewater treatment unit; at updated plant - US_Base_With Amendment_Windrow</v>
      </c>
    </row>
    <row r="2366" spans="1:13" s="120" customFormat="1" x14ac:dyDescent="0.25">
      <c r="A2366" s="119"/>
      <c r="B2366" s="138" t="str">
        <f t="shared" si="116"/>
        <v>Windrow</v>
      </c>
      <c r="C2366" s="138" t="str">
        <f t="shared" si="117"/>
        <v>Base_With Amendment</v>
      </c>
      <c r="D2366" s="118" t="s">
        <v>139</v>
      </c>
      <c r="E2366" s="118" t="s">
        <v>180</v>
      </c>
      <c r="F2366" s="118" t="s">
        <v>46</v>
      </c>
      <c r="G2366" s="153"/>
      <c r="H2366" s="155">
        <v>0.71179999999999999</v>
      </c>
      <c r="I2366" s="154" t="s">
        <v>147</v>
      </c>
      <c r="J2366" s="203">
        <v>1.5089999999999999E-2</v>
      </c>
      <c r="K2366" s="154" t="s">
        <v>14</v>
      </c>
      <c r="L2366" s="154" t="str">
        <f>IF(OpenLCAbasic!K2366="CTUh", "Fill in Manually",IF(OR(K2366="Unit", K2366=""), "", INDEX(LookUps!$E$5:$E$12, MATCH(OpenLCAbasic!K2366,LookUps!$D$5:$D$12,0))))</f>
        <v>Fossil Depletion Potential (FDP) - kg oil eq</v>
      </c>
      <c r="M2366" s="154" t="str">
        <f t="shared" si="118"/>
        <v>Low_High_Base_Upgraded_Fossil Depletion Potential (FDP) - kg oil eq_Influent Pump Station; wastewater treatment unit; at updated plant - US_Base_With Amendment_Windrow</v>
      </c>
    </row>
    <row r="2367" spans="1:13" s="120" customFormat="1" x14ac:dyDescent="0.25">
      <c r="A2367" s="119"/>
      <c r="B2367" s="138" t="str">
        <f t="shared" si="116"/>
        <v>Windrow</v>
      </c>
      <c r="C2367" s="138" t="str">
        <f t="shared" si="117"/>
        <v>Base_With Amendment</v>
      </c>
      <c r="D2367" s="118" t="s">
        <v>139</v>
      </c>
      <c r="E2367" s="118" t="s">
        <v>180</v>
      </c>
      <c r="F2367" s="118" t="s">
        <v>46</v>
      </c>
      <c r="G2367" s="153"/>
      <c r="H2367" s="155">
        <v>0.58919999999999995</v>
      </c>
      <c r="I2367" s="154" t="s">
        <v>53</v>
      </c>
      <c r="J2367" s="203">
        <v>1.2489999999999999E-2</v>
      </c>
      <c r="K2367" s="154" t="s">
        <v>14</v>
      </c>
      <c r="L2367" s="154" t="str">
        <f>IF(OpenLCAbasic!K2367="CTUh", "Fill in Manually",IF(OR(K2367="Unit", K2367=""), "", INDEX(LookUps!$E$5:$E$12, MATCH(OpenLCAbasic!K2367,LookUps!$D$5:$D$12,0))))</f>
        <v>Fossil Depletion Potential (FDP) - kg oil eq</v>
      </c>
      <c r="M2367" s="154" t="str">
        <f t="shared" si="118"/>
        <v>Low_High_Base_Upgraded_Fossil Depletion Potential (FDP) - kg oil eq_Wet Well and Sump Station; wastewater treatment unit; at updated plant - US_Base_With Amendment_Windrow</v>
      </c>
    </row>
    <row r="2368" spans="1:13" s="120" customFormat="1" x14ac:dyDescent="0.25">
      <c r="A2368" s="119"/>
      <c r="B2368" s="138" t="str">
        <f t="shared" si="116"/>
        <v>Windrow</v>
      </c>
      <c r="C2368" s="138" t="str">
        <f t="shared" si="117"/>
        <v>Base_With Amendment</v>
      </c>
      <c r="D2368" s="118" t="s">
        <v>139</v>
      </c>
      <c r="E2368" s="118" t="s">
        <v>180</v>
      </c>
      <c r="F2368" s="118" t="s">
        <v>46</v>
      </c>
      <c r="G2368" s="153"/>
      <c r="H2368" s="155">
        <v>0.51770000000000005</v>
      </c>
      <c r="I2368" s="154" t="s">
        <v>60</v>
      </c>
      <c r="J2368" s="204">
        <v>1.0970000000000001E-2</v>
      </c>
      <c r="K2368" s="154" t="s">
        <v>14</v>
      </c>
      <c r="L2368" s="154" t="str">
        <f>IF(OpenLCAbasic!K2368="CTUh", "Fill in Manually",IF(OR(K2368="Unit", K2368=""), "", INDEX(LookUps!$E$5:$E$12, MATCH(OpenLCAbasic!K2368,LookUps!$D$5:$D$12,0))))</f>
        <v>Fossil Depletion Potential (FDP) - kg oil eq</v>
      </c>
      <c r="M2368" s="154" t="str">
        <f t="shared" si="118"/>
        <v>Low_High_Base_Upgraded_Fossil Depletion Potential (FDP) - kg oil eq_Belt filter press; wastewater treatment unit; at updated plant - US_Base_With Amendment_Windrow</v>
      </c>
    </row>
    <row r="2369" spans="1:13" s="120" customFormat="1" x14ac:dyDescent="0.25">
      <c r="A2369" s="119"/>
      <c r="B2369" s="138" t="str">
        <f t="shared" si="116"/>
        <v>Windrow</v>
      </c>
      <c r="C2369" s="138" t="str">
        <f t="shared" si="117"/>
        <v>Base_With Amendment</v>
      </c>
      <c r="D2369" s="118" t="s">
        <v>139</v>
      </c>
      <c r="E2369" s="118" t="s">
        <v>180</v>
      </c>
      <c r="F2369" s="118" t="s">
        <v>46</v>
      </c>
      <c r="G2369" s="153"/>
      <c r="H2369" s="155">
        <v>0.32629999999999998</v>
      </c>
      <c r="I2369" s="154" t="s">
        <v>57</v>
      </c>
      <c r="J2369" s="204">
        <v>6.9199999999999999E-3</v>
      </c>
      <c r="K2369" s="154" t="s">
        <v>14</v>
      </c>
      <c r="L2369" s="154" t="str">
        <f>IF(OpenLCAbasic!K2369="CTUh", "Fill in Manually",IF(OR(K2369="Unit", K2369=""), "", INDEX(LookUps!$E$5:$E$12, MATCH(OpenLCAbasic!K2369,LookUps!$D$5:$D$12,0))))</f>
        <v>Fossil Depletion Potential (FDP) - kg oil eq</v>
      </c>
      <c r="M2369" s="154" t="str">
        <f t="shared" si="118"/>
        <v>Low_High_Base_Upgraded_Fossil Depletion Potential (FDP) - kg oil eq_Gravity Belt Thickener; wastewater treatment unit; at updated plant - US_Base_With Amendment_Windrow</v>
      </c>
    </row>
    <row r="2370" spans="1:13" s="120" customFormat="1" x14ac:dyDescent="0.25">
      <c r="A2370" s="119"/>
      <c r="B2370" s="138" t="str">
        <f t="shared" si="116"/>
        <v>Windrow</v>
      </c>
      <c r="C2370" s="138" t="str">
        <f t="shared" si="117"/>
        <v>Base_With Amendment</v>
      </c>
      <c r="D2370" s="118" t="s">
        <v>139</v>
      </c>
      <c r="E2370" s="118" t="s">
        <v>180</v>
      </c>
      <c r="F2370" s="118" t="s">
        <v>46</v>
      </c>
      <c r="G2370" s="153"/>
      <c r="H2370" s="155">
        <v>0.2122</v>
      </c>
      <c r="I2370" s="154" t="s">
        <v>128</v>
      </c>
      <c r="J2370" s="204">
        <v>4.4999999999999997E-3</v>
      </c>
      <c r="K2370" s="154" t="s">
        <v>14</v>
      </c>
      <c r="L2370" s="154" t="str">
        <f>IF(OpenLCAbasic!K2370="CTUh", "Fill in Manually",IF(OR(K2370="Unit", K2370=""), "", INDEX(LookUps!$E$5:$E$12, MATCH(OpenLCAbasic!K2370,LookUps!$D$5:$D$12,0))))</f>
        <v>Fossil Depletion Potential (FDP) - kg oil eq</v>
      </c>
      <c r="M2370" s="154" t="str">
        <f t="shared" si="118"/>
        <v>Low_High_Base_Upgraded_Fossil Depletion Potential (FDP) - kg oil eq_Wastewater collection; operation and infrastructure; m3 wastewater_Base_With Amendment_Windrow</v>
      </c>
    </row>
    <row r="2371" spans="1:13" s="120" customFormat="1" x14ac:dyDescent="0.25">
      <c r="A2371" s="119"/>
      <c r="B2371" s="138" t="str">
        <f t="shared" si="116"/>
        <v>Windrow</v>
      </c>
      <c r="C2371" s="138" t="str">
        <f t="shared" si="117"/>
        <v>Base_With Amendment</v>
      </c>
      <c r="D2371" s="118" t="s">
        <v>139</v>
      </c>
      <c r="E2371" s="118" t="s">
        <v>180</v>
      </c>
      <c r="F2371" s="118" t="s">
        <v>46</v>
      </c>
      <c r="G2371" s="153"/>
      <c r="H2371" s="155">
        <v>0.13200000000000001</v>
      </c>
      <c r="I2371" s="154" t="s">
        <v>148</v>
      </c>
      <c r="J2371" s="204">
        <v>2.8E-3</v>
      </c>
      <c r="K2371" s="154" t="s">
        <v>14</v>
      </c>
      <c r="L2371" s="154" t="str">
        <f>IF(OpenLCAbasic!K2371="CTUh", "Fill in Manually",IF(OR(K2371="Unit", K2371=""), "", INDEX(LookUps!$E$5:$E$12, MATCH(OpenLCAbasic!K2371,LookUps!$D$5:$D$12,0))))</f>
        <v>Fossil Depletion Potential (FDP) - kg oil eq</v>
      </c>
      <c r="M2371" s="154" t="str">
        <f t="shared" si="118"/>
        <v>Low_High_Base_Upgraded_Fossil Depletion Potential (FDP) - kg oil eq_Control Building; at upgraded wastewater treatment plant - US_Base_With Amendment_Windrow</v>
      </c>
    </row>
    <row r="2372" spans="1:13" s="120" customFormat="1" x14ac:dyDescent="0.25">
      <c r="A2372" s="119"/>
      <c r="B2372" s="138" t="str">
        <f t="shared" si="116"/>
        <v>Windrow</v>
      </c>
      <c r="C2372" s="138" t="str">
        <f t="shared" si="117"/>
        <v>Base_With Amendment</v>
      </c>
      <c r="D2372" s="118" t="s">
        <v>139</v>
      </c>
      <c r="E2372" s="118" t="s">
        <v>180</v>
      </c>
      <c r="F2372" s="118" t="s">
        <v>46</v>
      </c>
      <c r="G2372" s="153"/>
      <c r="H2372" s="155">
        <v>0.1115</v>
      </c>
      <c r="I2372" s="154" t="s">
        <v>48</v>
      </c>
      <c r="J2372" s="204">
        <v>2.3600000000000001E-3</v>
      </c>
      <c r="K2372" s="154" t="s">
        <v>14</v>
      </c>
      <c r="L2372" s="154" t="str">
        <f>IF(OpenLCAbasic!K2372="CTUh", "Fill in Manually",IF(OR(K2372="Unit", K2372=""), "", INDEX(LookUps!$E$5:$E$12, MATCH(OpenLCAbasic!K2372,LookUps!$D$5:$D$12,0))))</f>
        <v>Fossil Depletion Potential (FDP) - kg oil eq</v>
      </c>
      <c r="M2372" s="154" t="str">
        <f t="shared" si="118"/>
        <v>Low_High_Base_Upgraded_Fossil Depletion Potential (FDP) - kg oil eq_Effluent release; wastewater treatment unit; at surface water; m3 wastewater - US_Base_With Amendment_Windrow</v>
      </c>
    </row>
    <row r="2373" spans="1:13" s="120" customFormat="1" x14ac:dyDescent="0.25">
      <c r="A2373" s="119"/>
      <c r="B2373" s="138" t="str">
        <f t="shared" si="116"/>
        <v>Windrow</v>
      </c>
      <c r="C2373" s="138" t="str">
        <f t="shared" si="117"/>
        <v>Base_With Amendment</v>
      </c>
      <c r="D2373" s="118" t="s">
        <v>139</v>
      </c>
      <c r="E2373" s="118" t="s">
        <v>180</v>
      </c>
      <c r="F2373" s="118" t="s">
        <v>46</v>
      </c>
      <c r="G2373" s="153"/>
      <c r="H2373" s="155">
        <v>9.06E-2</v>
      </c>
      <c r="I2373" s="154" t="s">
        <v>59</v>
      </c>
      <c r="J2373" s="204">
        <v>1.92E-3</v>
      </c>
      <c r="K2373" s="154" t="s">
        <v>14</v>
      </c>
      <c r="L2373" s="154" t="str">
        <f>IF(OpenLCAbasic!K2373="CTUh", "Fill in Manually",IF(OR(K2373="Unit", K2373=""), "", INDEX(LookUps!$E$5:$E$12, MATCH(OpenLCAbasic!K2373,LookUps!$D$5:$D$12,0))))</f>
        <v>Fossil Depletion Potential (FDP) - kg oil eq</v>
      </c>
      <c r="M2373" s="154" t="str">
        <f t="shared" si="118"/>
        <v>Low_High_Base_Upgraded_Fossil Depletion Potential (FDP) - kg oil eq_Blend Tank; wastewater treatment unit; at updated plant - US_Base_With Amendment_Windrow</v>
      </c>
    </row>
    <row r="2374" spans="1:13" s="120" customFormat="1" x14ac:dyDescent="0.25">
      <c r="A2374" s="119"/>
      <c r="B2374" s="138" t="str">
        <f t="shared" ref="B2374:B2437" si="119">IF(F2374="Legacy","n.a.",IF(F2374="","","Windrow"))</f>
        <v>Windrow</v>
      </c>
      <c r="C2374" s="138" t="str">
        <f t="shared" si="117"/>
        <v>Base_With Amendment</v>
      </c>
      <c r="D2374" s="118" t="s">
        <v>139</v>
      </c>
      <c r="E2374" s="118" t="s">
        <v>180</v>
      </c>
      <c r="F2374" s="118" t="s">
        <v>46</v>
      </c>
      <c r="G2374" s="153"/>
      <c r="H2374" s="155">
        <v>4.3200000000000002E-2</v>
      </c>
      <c r="I2374" s="154" t="s">
        <v>168</v>
      </c>
      <c r="J2374" s="204">
        <v>9.1E-4</v>
      </c>
      <c r="K2374" s="154" t="s">
        <v>14</v>
      </c>
      <c r="L2374" s="154" t="str">
        <f>IF(OpenLCAbasic!K2374="CTUh", "Fill in Manually",IF(OR(K2374="Unit", K2374=""), "", INDEX(LookUps!$E$5:$E$12, MATCH(OpenLCAbasic!K2374,LookUps!$D$5:$D$12,0))))</f>
        <v>Fossil Depletion Potential (FDP) - kg oil eq</v>
      </c>
      <c r="M2374" s="154" t="str">
        <f t="shared" si="118"/>
        <v>Low_High_Base_Upgraded_Fossil Depletion Potential (FDP) - kg oil eq_ClearCove SCP; wastewater treatment unit; at updated plant - US_Base_With Amendment_Windrow</v>
      </c>
    </row>
    <row r="2375" spans="1:13" s="120" customFormat="1" x14ac:dyDescent="0.25">
      <c r="A2375" s="119"/>
      <c r="B2375" s="138" t="str">
        <f t="shared" si="119"/>
        <v>Windrow</v>
      </c>
      <c r="C2375" s="138" t="str">
        <f t="shared" ref="C2375:C2438" si="120">IF(E2375&lt;&gt;"", "Base_With Amendment","")</f>
        <v>Base_With Amendment</v>
      </c>
      <c r="D2375" s="118" t="s">
        <v>139</v>
      </c>
      <c r="E2375" s="118" t="s">
        <v>180</v>
      </c>
      <c r="F2375" s="118" t="s">
        <v>46</v>
      </c>
      <c r="G2375" s="153"/>
      <c r="H2375" s="155">
        <v>3.9E-2</v>
      </c>
      <c r="I2375" s="154" t="s">
        <v>271</v>
      </c>
      <c r="J2375" s="204">
        <v>8.3000000000000001E-4</v>
      </c>
      <c r="K2375" s="154" t="s">
        <v>14</v>
      </c>
      <c r="L2375" s="154" t="str">
        <f>IF(OpenLCAbasic!K2375="CTUh", "Fill in Manually",IF(OR(K2375="Unit", K2375=""), "", INDEX(LookUps!$E$5:$E$12, MATCH(OpenLCAbasic!K2375,LookUps!$D$5:$D$12,0))))</f>
        <v>Fossil Depletion Potential (FDP) - kg oil eq</v>
      </c>
      <c r="M2375" s="154" t="str">
        <f t="shared" ref="M2375:M2438" si="121">CONCATENATE(E2375,"_",D2375,"_",F2375,"_",L2375, "_",I2375,"_", C2375,"_", B2375)</f>
        <v>Low_High_Base_Upgraded_Fossil Depletion Potential (FDP) - kg oil eq_Biosolids composting; windrow composting; wastewater treatment unit; at updated plant - US_Base_With Amendment_Windrow</v>
      </c>
    </row>
    <row r="2376" spans="1:13" s="120" customFormat="1" x14ac:dyDescent="0.25">
      <c r="A2376" s="119"/>
      <c r="B2376" s="138" t="str">
        <f t="shared" si="119"/>
        <v>Windrow</v>
      </c>
      <c r="C2376" s="138" t="str">
        <f t="shared" si="120"/>
        <v>Base_With Amendment</v>
      </c>
      <c r="D2376" s="118" t="s">
        <v>139</v>
      </c>
      <c r="E2376" s="118" t="s">
        <v>180</v>
      </c>
      <c r="F2376" s="118" t="s">
        <v>46</v>
      </c>
      <c r="G2376" s="153"/>
      <c r="H2376" s="155">
        <v>-0.60419999999999996</v>
      </c>
      <c r="I2376" s="154" t="s">
        <v>62</v>
      </c>
      <c r="J2376" s="203">
        <v>-1.281E-2</v>
      </c>
      <c r="K2376" s="154" t="s">
        <v>14</v>
      </c>
      <c r="L2376" s="154" t="str">
        <f>IF(OpenLCAbasic!K2376="CTUh", "Fill in Manually",IF(OR(K2376="Unit", K2376=""), "", INDEX(LookUps!$E$5:$E$12, MATCH(OpenLCAbasic!K2376,LookUps!$D$5:$D$12,0))))</f>
        <v>Fossil Depletion Potential (FDP) - kg oil eq</v>
      </c>
      <c r="M2376" s="154" t="str">
        <f t="shared" si="121"/>
        <v>Low_High_Base_Upgraded_Fossil Depletion Potential (FDP) - kg oil eq_Land application of compost; wastewater treatment unit; at updated plant - US_Base_With Amendment_Windrow</v>
      </c>
    </row>
    <row r="2377" spans="1:13" s="120" customFormat="1" x14ac:dyDescent="0.25">
      <c r="A2377" s="119"/>
      <c r="B2377" s="138" t="str">
        <f t="shared" si="119"/>
        <v>Windrow</v>
      </c>
      <c r="C2377" s="138" t="str">
        <f t="shared" si="120"/>
        <v>Base_With Amendment</v>
      </c>
      <c r="D2377" s="118" t="s">
        <v>139</v>
      </c>
      <c r="E2377" s="118" t="s">
        <v>180</v>
      </c>
      <c r="F2377" s="118" t="s">
        <v>46</v>
      </c>
      <c r="G2377" s="153"/>
      <c r="H2377" s="155">
        <v>-13.448</v>
      </c>
      <c r="I2377" s="154" t="s">
        <v>149</v>
      </c>
      <c r="J2377" s="203">
        <v>-0.28505000000000003</v>
      </c>
      <c r="K2377" s="154" t="s">
        <v>14</v>
      </c>
      <c r="L2377" s="154" t="str">
        <f>IF(OpenLCAbasic!K2377="CTUh", "Fill in Manually",IF(OR(K2377="Unit", K2377=""), "", INDEX(LookUps!$E$5:$E$12, MATCH(OpenLCAbasic!K2377,LookUps!$D$5:$D$12,0))))</f>
        <v>Fossil Depletion Potential (FDP) - kg oil eq</v>
      </c>
      <c r="M2377" s="154" t="str">
        <f t="shared" si="121"/>
        <v>Low_High_Base_Upgraded_Fossil Depletion Potential (FDP) - kg oil eq_Anaerobic Digestion; wastewater treatment unit; at updated plant - US_Base_With Amendment_Windrow</v>
      </c>
    </row>
    <row r="2378" spans="1:13" s="120" customFormat="1" x14ac:dyDescent="0.25">
      <c r="A2378" s="119"/>
      <c r="B2378" s="138" t="str">
        <f t="shared" si="119"/>
        <v>Windrow</v>
      </c>
      <c r="C2378" s="138" t="str">
        <f t="shared" si="120"/>
        <v>Base_With Amendment</v>
      </c>
      <c r="D2378" s="118" t="s">
        <v>139</v>
      </c>
      <c r="E2378" s="118" t="s">
        <v>180</v>
      </c>
      <c r="F2378" s="118" t="s">
        <v>46</v>
      </c>
      <c r="G2378" s="153" t="s">
        <v>51</v>
      </c>
      <c r="H2378" s="154"/>
      <c r="I2378" s="154" t="s">
        <v>47</v>
      </c>
      <c r="J2378" s="154" t="s">
        <v>52</v>
      </c>
      <c r="K2378" s="154" t="s">
        <v>27</v>
      </c>
      <c r="L2378" s="154" t="str">
        <f>IF(OpenLCAbasic!K2378="CTUh", "Fill in Manually",IF(OR(K2378="Unit", K2378=""), "", INDEX(LookUps!$E$5:$E$12, MATCH(OpenLCAbasic!K2378,LookUps!$D$5:$D$12,0))))</f>
        <v/>
      </c>
      <c r="M2378" s="154" t="str">
        <f t="shared" si="121"/>
        <v>Low_High_Base_Upgraded__Process_Base_With Amendment_Windrow</v>
      </c>
    </row>
    <row r="2379" spans="1:13" s="120" customFormat="1" x14ac:dyDescent="0.25">
      <c r="A2379" s="119"/>
      <c r="B2379" s="138" t="str">
        <f t="shared" si="119"/>
        <v>Windrow</v>
      </c>
      <c r="C2379" s="138" t="str">
        <f t="shared" si="120"/>
        <v>Base_With Amendment</v>
      </c>
      <c r="D2379" s="118" t="s">
        <v>139</v>
      </c>
      <c r="E2379" s="118" t="s">
        <v>180</v>
      </c>
      <c r="F2379" s="118" t="s">
        <v>46</v>
      </c>
      <c r="G2379" s="153"/>
      <c r="H2379" s="155">
        <v>4.1999000000000004</v>
      </c>
      <c r="I2379" s="154" t="s">
        <v>55</v>
      </c>
      <c r="J2379" s="204">
        <v>2.33E-3</v>
      </c>
      <c r="K2379" s="154" t="s">
        <v>145</v>
      </c>
      <c r="L2379" s="154" t="str">
        <f>IF(OpenLCAbasic!K2379="CTUh", "Fill in Manually",IF(OR(K2379="Unit", K2379=""), "", INDEX(LookUps!$E$5:$E$12, MATCH(OpenLCAbasic!K2379,LookUps!$D$5:$D$12,0))))</f>
        <v>Particulate Matter Formation Potential (PMFP) - kg PM2.5 eq</v>
      </c>
      <c r="M2379" s="154" t="str">
        <f t="shared" si="121"/>
        <v>Low_High_Base_Upgraded_Particulate Matter Formation Potential (PMFP) - kg PM2.5 eq_Aeration Tanks; wastewater treatment unit; at updated plant - US_Base_With Amendment_Windrow</v>
      </c>
    </row>
    <row r="2380" spans="1:13" s="120" customFormat="1" x14ac:dyDescent="0.25">
      <c r="A2380" s="119"/>
      <c r="B2380" s="138" t="str">
        <f t="shared" si="119"/>
        <v>Windrow</v>
      </c>
      <c r="C2380" s="138" t="str">
        <f t="shared" si="120"/>
        <v>Base_With Amendment</v>
      </c>
      <c r="D2380" s="118" t="s">
        <v>139</v>
      </c>
      <c r="E2380" s="118" t="s">
        <v>180</v>
      </c>
      <c r="F2380" s="118" t="s">
        <v>46</v>
      </c>
      <c r="G2380" s="153"/>
      <c r="H2380" s="155">
        <v>1.2221</v>
      </c>
      <c r="I2380" s="154" t="s">
        <v>54</v>
      </c>
      <c r="J2380" s="204">
        <v>6.8000000000000005E-4</v>
      </c>
      <c r="K2380" s="154" t="s">
        <v>145</v>
      </c>
      <c r="L2380" s="154" t="str">
        <f>IF(OpenLCAbasic!K2380="CTUh", "Fill in Manually",IF(OR(K2380="Unit", K2380=""), "", INDEX(LookUps!$E$5:$E$12, MATCH(OpenLCAbasic!K2380,LookUps!$D$5:$D$12,0))))</f>
        <v>Particulate Matter Formation Potential (PMFP) - kg PM2.5 eq</v>
      </c>
      <c r="M2380" s="154" t="str">
        <f t="shared" si="121"/>
        <v>Low_High_Base_Upgraded_Particulate Matter Formation Potential (PMFP) - kg PM2.5 eq_Clear Cove Primary Clarification; wastewater treatment unit; at updated plant - US_Base_With Amendment_Windrow</v>
      </c>
    </row>
    <row r="2381" spans="1:13" s="120" customFormat="1" x14ac:dyDescent="0.25">
      <c r="A2381" s="119"/>
      <c r="B2381" s="138" t="str">
        <f t="shared" si="119"/>
        <v>Windrow</v>
      </c>
      <c r="C2381" s="138" t="str">
        <f t="shared" si="120"/>
        <v>Base_With Amendment</v>
      </c>
      <c r="D2381" s="118" t="s">
        <v>139</v>
      </c>
      <c r="E2381" s="118" t="s">
        <v>180</v>
      </c>
      <c r="F2381" s="118" t="s">
        <v>46</v>
      </c>
      <c r="G2381" s="153"/>
      <c r="H2381" s="155">
        <v>1.0638000000000001</v>
      </c>
      <c r="I2381" s="154" t="s">
        <v>58</v>
      </c>
      <c r="J2381" s="204">
        <v>5.9000000000000003E-4</v>
      </c>
      <c r="K2381" s="154" t="s">
        <v>145</v>
      </c>
      <c r="L2381" s="154" t="str">
        <f>IF(OpenLCAbasic!K2381="CTUh", "Fill in Manually",IF(OR(K2381="Unit", K2381=""), "", INDEX(LookUps!$E$5:$E$12, MATCH(OpenLCAbasic!K2381,LookUps!$D$5:$D$12,0))))</f>
        <v>Particulate Matter Formation Potential (PMFP) - kg PM2.5 eq</v>
      </c>
      <c r="M2381" s="154" t="str">
        <f t="shared" si="121"/>
        <v>Low_High_Base_Upgraded_Particulate Matter Formation Potential (PMFP) - kg PM2.5 eq_Pre-Anoxic &amp; Swing tank; wastewater treatment unit; at updated plant - US_Base_With Amendment_Windrow</v>
      </c>
    </row>
    <row r="2382" spans="1:13" s="120" customFormat="1" x14ac:dyDescent="0.25">
      <c r="A2382" s="119"/>
      <c r="B2382" s="138" t="str">
        <f t="shared" si="119"/>
        <v>Windrow</v>
      </c>
      <c r="C2382" s="138" t="str">
        <f t="shared" si="120"/>
        <v>Base_With Amendment</v>
      </c>
      <c r="D2382" s="118" t="s">
        <v>139</v>
      </c>
      <c r="E2382" s="118" t="s">
        <v>180</v>
      </c>
      <c r="F2382" s="118" t="s">
        <v>46</v>
      </c>
      <c r="G2382" s="153"/>
      <c r="H2382" s="155">
        <v>0.8397</v>
      </c>
      <c r="I2382" s="154" t="s">
        <v>53</v>
      </c>
      <c r="J2382" s="204">
        <v>4.6999999999999999E-4</v>
      </c>
      <c r="K2382" s="154" t="s">
        <v>145</v>
      </c>
      <c r="L2382" s="154" t="str">
        <f>IF(OpenLCAbasic!K2382="CTUh", "Fill in Manually",IF(OR(K2382="Unit", K2382=""), "", INDEX(LookUps!$E$5:$E$12, MATCH(OpenLCAbasic!K2382,LookUps!$D$5:$D$12,0))))</f>
        <v>Particulate Matter Formation Potential (PMFP) - kg PM2.5 eq</v>
      </c>
      <c r="M2382" s="154" t="str">
        <f t="shared" si="121"/>
        <v>Low_High_Base_Upgraded_Particulate Matter Formation Potential (PMFP) - kg PM2.5 eq_Wet Well and Sump Station; wastewater treatment unit; at updated plant - US_Base_With Amendment_Windrow</v>
      </c>
    </row>
    <row r="2383" spans="1:13" s="120" customFormat="1" x14ac:dyDescent="0.25">
      <c r="A2383" s="119"/>
      <c r="B2383" s="138" t="str">
        <f t="shared" si="119"/>
        <v>Windrow</v>
      </c>
      <c r="C2383" s="138" t="str">
        <f t="shared" si="120"/>
        <v>Base_With Amendment</v>
      </c>
      <c r="D2383" s="118" t="s">
        <v>139</v>
      </c>
      <c r="E2383" s="118" t="s">
        <v>180</v>
      </c>
      <c r="F2383" s="118" t="s">
        <v>46</v>
      </c>
      <c r="G2383" s="153"/>
      <c r="H2383" s="155">
        <v>0.59689999999999999</v>
      </c>
      <c r="I2383" s="154" t="s">
        <v>167</v>
      </c>
      <c r="J2383" s="204">
        <v>3.3E-4</v>
      </c>
      <c r="K2383" s="154" t="s">
        <v>145</v>
      </c>
      <c r="L2383" s="154" t="str">
        <f>IF(OpenLCAbasic!K2383="CTUh", "Fill in Manually",IF(OR(K2383="Unit", K2383=""), "", INDEX(LookUps!$E$5:$E$12, MATCH(OpenLCAbasic!K2383,LookUps!$D$5:$D$12,0))))</f>
        <v>Particulate Matter Formation Potential (PMFP) - kg PM2.5 eq</v>
      </c>
      <c r="M2383" s="154" t="str">
        <f t="shared" si="121"/>
        <v>Low_High_Base_Upgraded_Particulate Matter Formation Potential (PMFP) - kg PM2.5 eq_Waste Receiving and Holding; wastewater treatment unit; at updated plant - US_Base_With Amendment_Windrow</v>
      </c>
    </row>
    <row r="2384" spans="1:13" s="120" customFormat="1" x14ac:dyDescent="0.25">
      <c r="A2384" s="119"/>
      <c r="B2384" s="138" t="str">
        <f t="shared" si="119"/>
        <v>Windrow</v>
      </c>
      <c r="C2384" s="138" t="str">
        <f t="shared" si="120"/>
        <v>Base_With Amendment</v>
      </c>
      <c r="D2384" s="118" t="s">
        <v>139</v>
      </c>
      <c r="E2384" s="118" t="s">
        <v>180</v>
      </c>
      <c r="F2384" s="118" t="s">
        <v>46</v>
      </c>
      <c r="G2384" s="153"/>
      <c r="H2384" s="155">
        <v>0.48</v>
      </c>
      <c r="I2384" s="154" t="s">
        <v>147</v>
      </c>
      <c r="J2384" s="204">
        <v>2.7E-4</v>
      </c>
      <c r="K2384" s="154" t="s">
        <v>145</v>
      </c>
      <c r="L2384" s="154" t="str">
        <f>IF(OpenLCAbasic!K2384="CTUh", "Fill in Manually",IF(OR(K2384="Unit", K2384=""), "", INDEX(LookUps!$E$5:$E$12, MATCH(OpenLCAbasic!K2384,LookUps!$D$5:$D$12,0))))</f>
        <v>Particulate Matter Formation Potential (PMFP) - kg PM2.5 eq</v>
      </c>
      <c r="M2384" s="154" t="str">
        <f t="shared" si="121"/>
        <v>Low_High_Base_Upgraded_Particulate Matter Formation Potential (PMFP) - kg PM2.5 eq_Influent Pump Station; wastewater treatment unit; at updated plant - US_Base_With Amendment_Windrow</v>
      </c>
    </row>
    <row r="2385" spans="1:13" s="120" customFormat="1" x14ac:dyDescent="0.25">
      <c r="A2385" s="119"/>
      <c r="B2385" s="138" t="str">
        <f t="shared" si="119"/>
        <v>Windrow</v>
      </c>
      <c r="C2385" s="138" t="str">
        <f t="shared" si="120"/>
        <v>Base_With Amendment</v>
      </c>
      <c r="D2385" s="118" t="s">
        <v>139</v>
      </c>
      <c r="E2385" s="118" t="s">
        <v>180</v>
      </c>
      <c r="F2385" s="118" t="s">
        <v>46</v>
      </c>
      <c r="G2385" s="153"/>
      <c r="H2385" s="155">
        <v>0.3548</v>
      </c>
      <c r="I2385" s="154" t="s">
        <v>60</v>
      </c>
      <c r="J2385" s="204">
        <v>2.0000000000000001E-4</v>
      </c>
      <c r="K2385" s="154" t="s">
        <v>145</v>
      </c>
      <c r="L2385" s="154" t="str">
        <f>IF(OpenLCAbasic!K2385="CTUh", "Fill in Manually",IF(OR(K2385="Unit", K2385=""), "", INDEX(LookUps!$E$5:$E$12, MATCH(OpenLCAbasic!K2385,LookUps!$D$5:$D$12,0))))</f>
        <v>Particulate Matter Formation Potential (PMFP) - kg PM2.5 eq</v>
      </c>
      <c r="M2385" s="154" t="str">
        <f t="shared" si="121"/>
        <v>Low_High_Base_Upgraded_Particulate Matter Formation Potential (PMFP) - kg PM2.5 eq_Belt filter press; wastewater treatment unit; at updated plant - US_Base_With Amendment_Windrow</v>
      </c>
    </row>
    <row r="2386" spans="1:13" s="120" customFormat="1" x14ac:dyDescent="0.25">
      <c r="A2386" s="119"/>
      <c r="B2386" s="138" t="str">
        <f t="shared" si="119"/>
        <v>Windrow</v>
      </c>
      <c r="C2386" s="138" t="str">
        <f t="shared" si="120"/>
        <v>Base_With Amendment</v>
      </c>
      <c r="D2386" s="118" t="s">
        <v>139</v>
      </c>
      <c r="E2386" s="118" t="s">
        <v>180</v>
      </c>
      <c r="F2386" s="118" t="s">
        <v>46</v>
      </c>
      <c r="G2386" s="153"/>
      <c r="H2386" s="155">
        <v>0.29959999999999998</v>
      </c>
      <c r="I2386" s="154" t="s">
        <v>128</v>
      </c>
      <c r="J2386" s="204">
        <v>1.7000000000000001E-4</v>
      </c>
      <c r="K2386" s="154" t="s">
        <v>145</v>
      </c>
      <c r="L2386" s="154" t="str">
        <f>IF(OpenLCAbasic!K2386="CTUh", "Fill in Manually",IF(OR(K2386="Unit", K2386=""), "", INDEX(LookUps!$E$5:$E$12, MATCH(OpenLCAbasic!K2386,LookUps!$D$5:$D$12,0))))</f>
        <v>Particulate Matter Formation Potential (PMFP) - kg PM2.5 eq</v>
      </c>
      <c r="M2386" s="154" t="str">
        <f t="shared" si="121"/>
        <v>Low_High_Base_Upgraded_Particulate Matter Formation Potential (PMFP) - kg PM2.5 eq_Wastewater collection; operation and infrastructure; m3 wastewater_Base_With Amendment_Windrow</v>
      </c>
    </row>
    <row r="2387" spans="1:13" s="120" customFormat="1" x14ac:dyDescent="0.25">
      <c r="A2387" s="119"/>
      <c r="B2387" s="138" t="str">
        <f t="shared" si="119"/>
        <v>Windrow</v>
      </c>
      <c r="C2387" s="138" t="str">
        <f t="shared" si="120"/>
        <v>Base_With Amendment</v>
      </c>
      <c r="D2387" s="118" t="s">
        <v>139</v>
      </c>
      <c r="E2387" s="118" t="s">
        <v>180</v>
      </c>
      <c r="F2387" s="118" t="s">
        <v>46</v>
      </c>
      <c r="G2387" s="153"/>
      <c r="H2387" s="155">
        <v>0.17730000000000001</v>
      </c>
      <c r="I2387" s="154" t="s">
        <v>62</v>
      </c>
      <c r="J2387" s="204">
        <v>9.8531399999999997E-5</v>
      </c>
      <c r="K2387" s="154" t="s">
        <v>145</v>
      </c>
      <c r="L2387" s="154" t="str">
        <f>IF(OpenLCAbasic!K2387="CTUh", "Fill in Manually",IF(OR(K2387="Unit", K2387=""), "", INDEX(LookUps!$E$5:$E$12, MATCH(OpenLCAbasic!K2387,LookUps!$D$5:$D$12,0))))</f>
        <v>Particulate Matter Formation Potential (PMFP) - kg PM2.5 eq</v>
      </c>
      <c r="M2387" s="154" t="str">
        <f t="shared" si="121"/>
        <v>Low_High_Base_Upgraded_Particulate Matter Formation Potential (PMFP) - kg PM2.5 eq_Land application of compost; wastewater treatment unit; at updated plant - US_Base_With Amendment_Windrow</v>
      </c>
    </row>
    <row r="2388" spans="1:13" s="120" customFormat="1" x14ac:dyDescent="0.25">
      <c r="A2388" s="119"/>
      <c r="B2388" s="138" t="str">
        <f t="shared" si="119"/>
        <v>Windrow</v>
      </c>
      <c r="C2388" s="138" t="str">
        <f t="shared" si="120"/>
        <v>Base_With Amendment</v>
      </c>
      <c r="D2388" s="118" t="s">
        <v>139</v>
      </c>
      <c r="E2388" s="118" t="s">
        <v>180</v>
      </c>
      <c r="F2388" s="118" t="s">
        <v>46</v>
      </c>
      <c r="G2388" s="153"/>
      <c r="H2388" s="155">
        <v>0.17119999999999999</v>
      </c>
      <c r="I2388" s="154" t="s">
        <v>57</v>
      </c>
      <c r="J2388" s="204">
        <v>9.5153800000000004E-5</v>
      </c>
      <c r="K2388" s="154" t="s">
        <v>145</v>
      </c>
      <c r="L2388" s="154" t="str">
        <f>IF(OpenLCAbasic!K2388="CTUh", "Fill in Manually",IF(OR(K2388="Unit", K2388=""), "", INDEX(LookUps!$E$5:$E$12, MATCH(OpenLCAbasic!K2388,LookUps!$D$5:$D$12,0))))</f>
        <v>Particulate Matter Formation Potential (PMFP) - kg PM2.5 eq</v>
      </c>
      <c r="M2388" s="154" t="str">
        <f t="shared" si="121"/>
        <v>Low_High_Base_Upgraded_Particulate Matter Formation Potential (PMFP) - kg PM2.5 eq_Gravity Belt Thickener; wastewater treatment unit; at updated plant - US_Base_With Amendment_Windrow</v>
      </c>
    </row>
    <row r="2389" spans="1:13" s="120" customFormat="1" x14ac:dyDescent="0.25">
      <c r="A2389" s="119"/>
      <c r="B2389" s="138" t="str">
        <f t="shared" si="119"/>
        <v>Windrow</v>
      </c>
      <c r="C2389" s="138" t="str">
        <f t="shared" si="120"/>
        <v>Base_With Amendment</v>
      </c>
      <c r="D2389" s="118" t="s">
        <v>139</v>
      </c>
      <c r="E2389" s="118" t="s">
        <v>180</v>
      </c>
      <c r="F2389" s="118" t="s">
        <v>46</v>
      </c>
      <c r="G2389" s="153"/>
      <c r="H2389" s="155">
        <v>0.13550000000000001</v>
      </c>
      <c r="I2389" s="154" t="s">
        <v>271</v>
      </c>
      <c r="J2389" s="204">
        <v>7.5302200000000006E-5</v>
      </c>
      <c r="K2389" s="154" t="s">
        <v>145</v>
      </c>
      <c r="L2389" s="154" t="str">
        <f>IF(OpenLCAbasic!K2389="CTUh", "Fill in Manually",IF(OR(K2389="Unit", K2389=""), "", INDEX(LookUps!$E$5:$E$12, MATCH(OpenLCAbasic!K2389,LookUps!$D$5:$D$12,0))))</f>
        <v>Particulate Matter Formation Potential (PMFP) - kg PM2.5 eq</v>
      </c>
      <c r="M2389" s="154" t="str">
        <f t="shared" si="121"/>
        <v>Low_High_Base_Upgraded_Particulate Matter Formation Potential (PMFP) - kg PM2.5 eq_Biosolids composting; windrow composting; wastewater treatment unit; at updated plant - US_Base_With Amendment_Windrow</v>
      </c>
    </row>
    <row r="2390" spans="1:13" s="120" customFormat="1" x14ac:dyDescent="0.25">
      <c r="A2390" s="119"/>
      <c r="B2390" s="138" t="str">
        <f t="shared" si="119"/>
        <v>Windrow</v>
      </c>
      <c r="C2390" s="138" t="str">
        <f t="shared" si="120"/>
        <v>Base_With Amendment</v>
      </c>
      <c r="D2390" s="118" t="s">
        <v>139</v>
      </c>
      <c r="E2390" s="118" t="s">
        <v>180</v>
      </c>
      <c r="F2390" s="118" t="s">
        <v>46</v>
      </c>
      <c r="G2390" s="153"/>
      <c r="H2390" s="155">
        <v>0.12590000000000001</v>
      </c>
      <c r="I2390" s="154" t="s">
        <v>59</v>
      </c>
      <c r="J2390" s="204">
        <v>6.9942200000000003E-5</v>
      </c>
      <c r="K2390" s="154" t="s">
        <v>145</v>
      </c>
      <c r="L2390" s="154" t="str">
        <f>IF(OpenLCAbasic!K2390="CTUh", "Fill in Manually",IF(OR(K2390="Unit", K2390=""), "", INDEX(LookUps!$E$5:$E$12, MATCH(OpenLCAbasic!K2390,LookUps!$D$5:$D$12,0))))</f>
        <v>Particulate Matter Formation Potential (PMFP) - kg PM2.5 eq</v>
      </c>
      <c r="M2390" s="154" t="str">
        <f t="shared" si="121"/>
        <v>Low_High_Base_Upgraded_Particulate Matter Formation Potential (PMFP) - kg PM2.5 eq_Blend Tank; wastewater treatment unit; at updated plant - US_Base_With Amendment_Windrow</v>
      </c>
    </row>
    <row r="2391" spans="1:13" s="120" customFormat="1" x14ac:dyDescent="0.25">
      <c r="A2391" s="119"/>
      <c r="B2391" s="138" t="str">
        <f t="shared" si="119"/>
        <v>Windrow</v>
      </c>
      <c r="C2391" s="138" t="str">
        <f t="shared" si="120"/>
        <v>Base_With Amendment</v>
      </c>
      <c r="D2391" s="118" t="s">
        <v>139</v>
      </c>
      <c r="E2391" s="118" t="s">
        <v>180</v>
      </c>
      <c r="F2391" s="118" t="s">
        <v>46</v>
      </c>
      <c r="G2391" s="153"/>
      <c r="H2391" s="155">
        <v>8.9899999999999994E-2</v>
      </c>
      <c r="I2391" s="154" t="s">
        <v>48</v>
      </c>
      <c r="J2391" s="204">
        <v>4.99741E-5</v>
      </c>
      <c r="K2391" s="154" t="s">
        <v>145</v>
      </c>
      <c r="L2391" s="154" t="str">
        <f>IF(OpenLCAbasic!K2391="CTUh", "Fill in Manually",IF(OR(K2391="Unit", K2391=""), "", INDEX(LookUps!$E$5:$E$12, MATCH(OpenLCAbasic!K2391,LookUps!$D$5:$D$12,0))))</f>
        <v>Particulate Matter Formation Potential (PMFP) - kg PM2.5 eq</v>
      </c>
      <c r="M2391" s="154" t="str">
        <f t="shared" si="121"/>
        <v>Low_High_Base_Upgraded_Particulate Matter Formation Potential (PMFP) - kg PM2.5 eq_Effluent release; wastewater treatment unit; at surface water; m3 wastewater - US_Base_With Amendment_Windrow</v>
      </c>
    </row>
    <row r="2392" spans="1:13" s="120" customFormat="1" x14ac:dyDescent="0.25">
      <c r="A2392" s="119"/>
      <c r="B2392" s="138" t="str">
        <f t="shared" si="119"/>
        <v>Windrow</v>
      </c>
      <c r="C2392" s="138" t="str">
        <f t="shared" si="120"/>
        <v>Base_With Amendment</v>
      </c>
      <c r="D2392" s="118" t="s">
        <v>139</v>
      </c>
      <c r="E2392" s="118" t="s">
        <v>180</v>
      </c>
      <c r="F2392" s="118" t="s">
        <v>46</v>
      </c>
      <c r="G2392" s="153"/>
      <c r="H2392" s="155">
        <v>6.2199999999999998E-2</v>
      </c>
      <c r="I2392" s="154" t="s">
        <v>168</v>
      </c>
      <c r="J2392" s="204">
        <v>3.4562199999999999E-5</v>
      </c>
      <c r="K2392" s="154" t="s">
        <v>145</v>
      </c>
      <c r="L2392" s="154" t="str">
        <f>IF(OpenLCAbasic!K2392="CTUh", "Fill in Manually",IF(OR(K2392="Unit", K2392=""), "", INDEX(LookUps!$E$5:$E$12, MATCH(OpenLCAbasic!K2392,LookUps!$D$5:$D$12,0))))</f>
        <v>Particulate Matter Formation Potential (PMFP) - kg PM2.5 eq</v>
      </c>
      <c r="M2392" s="154" t="str">
        <f t="shared" si="121"/>
        <v>Low_High_Base_Upgraded_Particulate Matter Formation Potential (PMFP) - kg PM2.5 eq_ClearCove SCP; wastewater treatment unit; at updated plant - US_Base_With Amendment_Windrow</v>
      </c>
    </row>
    <row r="2393" spans="1:13" s="120" customFormat="1" x14ac:dyDescent="0.25">
      <c r="A2393" s="119"/>
      <c r="B2393" s="138" t="str">
        <f t="shared" si="119"/>
        <v>Windrow</v>
      </c>
      <c r="C2393" s="138" t="str">
        <f t="shared" si="120"/>
        <v>Base_With Amendment</v>
      </c>
      <c r="D2393" s="118" t="s">
        <v>139</v>
      </c>
      <c r="E2393" s="118" t="s">
        <v>180</v>
      </c>
      <c r="F2393" s="118" t="s">
        <v>46</v>
      </c>
      <c r="G2393" s="153"/>
      <c r="H2393" s="155">
        <v>1.5900000000000001E-2</v>
      </c>
      <c r="I2393" s="154" t="s">
        <v>148</v>
      </c>
      <c r="J2393" s="204">
        <v>8.8212999999999997E-6</v>
      </c>
      <c r="K2393" s="154" t="s">
        <v>145</v>
      </c>
      <c r="L2393" s="154" t="str">
        <f>IF(OpenLCAbasic!K2393="CTUh", "Fill in Manually",IF(OR(K2393="Unit", K2393=""), "", INDEX(LookUps!$E$5:$E$12, MATCH(OpenLCAbasic!K2393,LookUps!$D$5:$D$12,0))))</f>
        <v>Particulate Matter Formation Potential (PMFP) - kg PM2.5 eq</v>
      </c>
      <c r="M2393" s="154" t="str">
        <f t="shared" si="121"/>
        <v>Low_High_Base_Upgraded_Particulate Matter Formation Potential (PMFP) - kg PM2.5 eq_Control Building; at upgraded wastewater treatment plant - US_Base_With Amendment_Windrow</v>
      </c>
    </row>
    <row r="2394" spans="1:13" s="120" customFormat="1" x14ac:dyDescent="0.25">
      <c r="A2394" s="119"/>
      <c r="B2394" s="138" t="str">
        <f t="shared" si="119"/>
        <v>Windrow</v>
      </c>
      <c r="C2394" s="138" t="str">
        <f t="shared" si="120"/>
        <v>Base_With Amendment</v>
      </c>
      <c r="D2394" s="118" t="s">
        <v>139</v>
      </c>
      <c r="E2394" s="118" t="s">
        <v>180</v>
      </c>
      <c r="F2394" s="118" t="s">
        <v>46</v>
      </c>
      <c r="G2394" s="153"/>
      <c r="H2394" s="155">
        <v>-10.8346</v>
      </c>
      <c r="I2394" s="154" t="s">
        <v>149</v>
      </c>
      <c r="J2394" s="204">
        <v>-6.0200000000000002E-3</v>
      </c>
      <c r="K2394" s="154" t="s">
        <v>145</v>
      </c>
      <c r="L2394" s="154" t="str">
        <f>IF(OpenLCAbasic!K2394="CTUh", "Fill in Manually",IF(OR(K2394="Unit", K2394=""), "", INDEX(LookUps!$E$5:$E$12, MATCH(OpenLCAbasic!K2394,LookUps!$D$5:$D$12,0))))</f>
        <v>Particulate Matter Formation Potential (PMFP) - kg PM2.5 eq</v>
      </c>
      <c r="M2394" s="154" t="str">
        <f t="shared" si="121"/>
        <v>Low_High_Base_Upgraded_Particulate Matter Formation Potential (PMFP) - kg PM2.5 eq_Anaerobic Digestion; wastewater treatment unit; at updated plant - US_Base_With Amendment_Windrow</v>
      </c>
    </row>
    <row r="2395" spans="1:13" s="120" customFormat="1" x14ac:dyDescent="0.25">
      <c r="A2395" s="119"/>
      <c r="B2395" s="138" t="str">
        <f t="shared" si="119"/>
        <v>Windrow</v>
      </c>
      <c r="C2395" s="138" t="str">
        <f t="shared" si="120"/>
        <v>Base_With Amendment</v>
      </c>
      <c r="D2395" s="118" t="s">
        <v>139</v>
      </c>
      <c r="E2395" s="118" t="s">
        <v>180</v>
      </c>
      <c r="F2395" s="118" t="s">
        <v>46</v>
      </c>
      <c r="G2395" s="153" t="s">
        <v>51</v>
      </c>
      <c r="H2395" s="154"/>
      <c r="I2395" s="154" t="s">
        <v>47</v>
      </c>
      <c r="J2395" s="154" t="s">
        <v>52</v>
      </c>
      <c r="K2395" s="154" t="s">
        <v>27</v>
      </c>
      <c r="L2395" s="154" t="str">
        <f>IF(OpenLCAbasic!K2395="CTUh", "Fill in Manually",IF(OR(K2395="Unit", K2395=""), "", INDEX(LookUps!$E$5:$E$12, MATCH(OpenLCAbasic!K2395,LookUps!$D$5:$D$12,0))))</f>
        <v/>
      </c>
      <c r="M2395" s="154" t="str">
        <f t="shared" si="121"/>
        <v>Low_High_Base_Upgraded__Process_Base_With Amendment_Windrow</v>
      </c>
    </row>
    <row r="2396" spans="1:13" s="120" customFormat="1" x14ac:dyDescent="0.25">
      <c r="A2396" s="119"/>
      <c r="B2396" s="138" t="str">
        <f t="shared" si="119"/>
        <v>Windrow</v>
      </c>
      <c r="C2396" s="138" t="str">
        <f t="shared" si="120"/>
        <v>Base_With Amendment</v>
      </c>
      <c r="D2396" s="118" t="s">
        <v>139</v>
      </c>
      <c r="E2396" s="118" t="s">
        <v>180</v>
      </c>
      <c r="F2396" s="118" t="s">
        <v>46</v>
      </c>
      <c r="G2396" s="153"/>
      <c r="H2396" s="155">
        <v>3.5072999999999999</v>
      </c>
      <c r="I2396" s="154" t="s">
        <v>55</v>
      </c>
      <c r="J2396" s="203">
        <v>0.16577</v>
      </c>
      <c r="K2396" s="154" t="s">
        <v>25</v>
      </c>
      <c r="L2396" s="154" t="str">
        <f>IF(OpenLCAbasic!K2396="CTUh", "Fill in Manually",IF(OR(K2396="Unit", K2396=""), "", INDEX(LookUps!$E$5:$E$12, MATCH(OpenLCAbasic!K2396,LookUps!$D$5:$D$12,0))))</f>
        <v>Smog Formation Potential (SFP) - kg O3 eq</v>
      </c>
      <c r="M2396" s="154" t="str">
        <f t="shared" si="121"/>
        <v>Low_High_Base_Upgraded_Smog Formation Potential (SFP) - kg O3 eq_Aeration Tanks; wastewater treatment unit; at updated plant - US_Base_With Amendment_Windrow</v>
      </c>
    </row>
    <row r="2397" spans="1:13" s="120" customFormat="1" x14ac:dyDescent="0.25">
      <c r="A2397" s="119"/>
      <c r="B2397" s="138" t="str">
        <f t="shared" si="119"/>
        <v>Windrow</v>
      </c>
      <c r="C2397" s="138" t="str">
        <f t="shared" si="120"/>
        <v>Base_With Amendment</v>
      </c>
      <c r="D2397" s="118" t="s">
        <v>139</v>
      </c>
      <c r="E2397" s="118" t="s">
        <v>180</v>
      </c>
      <c r="F2397" s="118" t="s">
        <v>46</v>
      </c>
      <c r="G2397" s="153"/>
      <c r="H2397" s="155">
        <v>1.0170999999999999</v>
      </c>
      <c r="I2397" s="154" t="s">
        <v>54</v>
      </c>
      <c r="J2397" s="203">
        <v>4.8070000000000002E-2</v>
      </c>
      <c r="K2397" s="154" t="s">
        <v>25</v>
      </c>
      <c r="L2397" s="154" t="str">
        <f>IF(OpenLCAbasic!K2397="CTUh", "Fill in Manually",IF(OR(K2397="Unit", K2397=""), "", INDEX(LookUps!$E$5:$E$12, MATCH(OpenLCAbasic!K2397,LookUps!$D$5:$D$12,0))))</f>
        <v>Smog Formation Potential (SFP) - kg O3 eq</v>
      </c>
      <c r="M2397" s="154" t="str">
        <f t="shared" si="121"/>
        <v>Low_High_Base_Upgraded_Smog Formation Potential (SFP) - kg O3 eq_Clear Cove Primary Clarification; wastewater treatment unit; at updated plant - US_Base_With Amendment_Windrow</v>
      </c>
    </row>
    <row r="2398" spans="1:13" s="120" customFormat="1" x14ac:dyDescent="0.25">
      <c r="A2398" s="119"/>
      <c r="B2398" s="138" t="str">
        <f t="shared" si="119"/>
        <v>Windrow</v>
      </c>
      <c r="C2398" s="138" t="str">
        <f t="shared" si="120"/>
        <v>Base_With Amendment</v>
      </c>
      <c r="D2398" s="118" t="s">
        <v>139</v>
      </c>
      <c r="E2398" s="118" t="s">
        <v>180</v>
      </c>
      <c r="F2398" s="118" t="s">
        <v>46</v>
      </c>
      <c r="G2398" s="153"/>
      <c r="H2398" s="155">
        <v>0.89059999999999995</v>
      </c>
      <c r="I2398" s="154" t="s">
        <v>58</v>
      </c>
      <c r="J2398" s="203">
        <v>4.2090000000000002E-2</v>
      </c>
      <c r="K2398" s="154" t="s">
        <v>25</v>
      </c>
      <c r="L2398" s="154" t="str">
        <f>IF(OpenLCAbasic!K2398="CTUh", "Fill in Manually",IF(OR(K2398="Unit", K2398=""), "", INDEX(LookUps!$E$5:$E$12, MATCH(OpenLCAbasic!K2398,LookUps!$D$5:$D$12,0))))</f>
        <v>Smog Formation Potential (SFP) - kg O3 eq</v>
      </c>
      <c r="M2398" s="154" t="str">
        <f t="shared" si="121"/>
        <v>Low_High_Base_Upgraded_Smog Formation Potential (SFP) - kg O3 eq_Pre-Anoxic &amp; Swing tank; wastewater treatment unit; at updated plant - US_Base_With Amendment_Windrow</v>
      </c>
    </row>
    <row r="2399" spans="1:13" s="120" customFormat="1" x14ac:dyDescent="0.25">
      <c r="A2399" s="119"/>
      <c r="B2399" s="138" t="str">
        <f t="shared" si="119"/>
        <v>Windrow</v>
      </c>
      <c r="C2399" s="138" t="str">
        <f t="shared" si="120"/>
        <v>Base_With Amendment</v>
      </c>
      <c r="D2399" s="118" t="s">
        <v>139</v>
      </c>
      <c r="E2399" s="118" t="s">
        <v>180</v>
      </c>
      <c r="F2399" s="118" t="s">
        <v>46</v>
      </c>
      <c r="G2399" s="153"/>
      <c r="H2399" s="155">
        <v>0.71419999999999995</v>
      </c>
      <c r="I2399" s="154" t="s">
        <v>167</v>
      </c>
      <c r="J2399" s="203">
        <v>3.3759999999999998E-2</v>
      </c>
      <c r="K2399" s="154" t="s">
        <v>25</v>
      </c>
      <c r="L2399" s="154" t="str">
        <f>IF(OpenLCAbasic!K2399="CTUh", "Fill in Manually",IF(OR(K2399="Unit", K2399=""), "", INDEX(LookUps!$E$5:$E$12, MATCH(OpenLCAbasic!K2399,LookUps!$D$5:$D$12,0))))</f>
        <v>Smog Formation Potential (SFP) - kg O3 eq</v>
      </c>
      <c r="M2399" s="154" t="str">
        <f t="shared" si="121"/>
        <v>Low_High_Base_Upgraded_Smog Formation Potential (SFP) - kg O3 eq_Waste Receiving and Holding; wastewater treatment unit; at updated plant - US_Base_With Amendment_Windrow</v>
      </c>
    </row>
    <row r="2400" spans="1:13" s="120" customFormat="1" x14ac:dyDescent="0.25">
      <c r="A2400" s="119"/>
      <c r="B2400" s="138" t="str">
        <f t="shared" si="119"/>
        <v>Windrow</v>
      </c>
      <c r="C2400" s="138" t="str">
        <f t="shared" si="120"/>
        <v>Base_With Amendment</v>
      </c>
      <c r="D2400" s="118" t="s">
        <v>139</v>
      </c>
      <c r="E2400" s="118" t="s">
        <v>180</v>
      </c>
      <c r="F2400" s="118" t="s">
        <v>46</v>
      </c>
      <c r="G2400" s="153"/>
      <c r="H2400" s="155">
        <v>0.70079999999999998</v>
      </c>
      <c r="I2400" s="154" t="s">
        <v>53</v>
      </c>
      <c r="J2400" s="203">
        <v>3.313E-2</v>
      </c>
      <c r="K2400" s="154" t="s">
        <v>25</v>
      </c>
      <c r="L2400" s="154" t="str">
        <f>IF(OpenLCAbasic!K2400="CTUh", "Fill in Manually",IF(OR(K2400="Unit", K2400=""), "", INDEX(LookUps!$E$5:$E$12, MATCH(OpenLCAbasic!K2400,LookUps!$D$5:$D$12,0))))</f>
        <v>Smog Formation Potential (SFP) - kg O3 eq</v>
      </c>
      <c r="M2400" s="154" t="str">
        <f t="shared" si="121"/>
        <v>Low_High_Base_Upgraded_Smog Formation Potential (SFP) - kg O3 eq_Wet Well and Sump Station; wastewater treatment unit; at updated plant - US_Base_With Amendment_Windrow</v>
      </c>
    </row>
    <row r="2401" spans="1:13" s="120" customFormat="1" x14ac:dyDescent="0.25">
      <c r="A2401" s="119"/>
      <c r="B2401" s="138" t="str">
        <f t="shared" si="119"/>
        <v>Windrow</v>
      </c>
      <c r="C2401" s="138" t="str">
        <f t="shared" si="120"/>
        <v>Base_With Amendment</v>
      </c>
      <c r="D2401" s="118" t="s">
        <v>139</v>
      </c>
      <c r="E2401" s="118" t="s">
        <v>180</v>
      </c>
      <c r="F2401" s="118" t="s">
        <v>46</v>
      </c>
      <c r="G2401" s="153"/>
      <c r="H2401" s="155">
        <v>0.41039999999999999</v>
      </c>
      <c r="I2401" s="154" t="s">
        <v>147</v>
      </c>
      <c r="J2401" s="203">
        <v>1.9400000000000001E-2</v>
      </c>
      <c r="K2401" s="154" t="s">
        <v>25</v>
      </c>
      <c r="L2401" s="154" t="str">
        <f>IF(OpenLCAbasic!K2401="CTUh", "Fill in Manually",IF(OR(K2401="Unit", K2401=""), "", INDEX(LookUps!$E$5:$E$12, MATCH(OpenLCAbasic!K2401,LookUps!$D$5:$D$12,0))))</f>
        <v>Smog Formation Potential (SFP) - kg O3 eq</v>
      </c>
      <c r="M2401" s="154" t="str">
        <f t="shared" si="121"/>
        <v>Low_High_Base_Upgraded_Smog Formation Potential (SFP) - kg O3 eq_Influent Pump Station; wastewater treatment unit; at updated plant - US_Base_With Amendment_Windrow</v>
      </c>
    </row>
    <row r="2402" spans="1:13" s="120" customFormat="1" x14ac:dyDescent="0.25">
      <c r="A2402" s="119"/>
      <c r="B2402" s="138" t="str">
        <f t="shared" si="119"/>
        <v>Windrow</v>
      </c>
      <c r="C2402" s="138" t="str">
        <f t="shared" si="120"/>
        <v>Base_With Amendment</v>
      </c>
      <c r="D2402" s="118" t="s">
        <v>139</v>
      </c>
      <c r="E2402" s="118" t="s">
        <v>180</v>
      </c>
      <c r="F2402" s="118" t="s">
        <v>46</v>
      </c>
      <c r="G2402" s="153"/>
      <c r="H2402" s="155">
        <v>0.29339999999999999</v>
      </c>
      <c r="I2402" s="154" t="s">
        <v>60</v>
      </c>
      <c r="J2402" s="204">
        <v>1.387E-2</v>
      </c>
      <c r="K2402" s="154" t="s">
        <v>25</v>
      </c>
      <c r="L2402" s="154" t="str">
        <f>IF(OpenLCAbasic!K2402="CTUh", "Fill in Manually",IF(OR(K2402="Unit", K2402=""), "", INDEX(LookUps!$E$5:$E$12, MATCH(OpenLCAbasic!K2402,LookUps!$D$5:$D$12,0))))</f>
        <v>Smog Formation Potential (SFP) - kg O3 eq</v>
      </c>
      <c r="M2402" s="154" t="str">
        <f t="shared" si="121"/>
        <v>Low_High_Base_Upgraded_Smog Formation Potential (SFP) - kg O3 eq_Belt filter press; wastewater treatment unit; at updated plant - US_Base_With Amendment_Windrow</v>
      </c>
    </row>
    <row r="2403" spans="1:13" s="120" customFormat="1" x14ac:dyDescent="0.25">
      <c r="A2403" s="119"/>
      <c r="B2403" s="138" t="str">
        <f t="shared" si="119"/>
        <v>Windrow</v>
      </c>
      <c r="C2403" s="138" t="str">
        <f t="shared" si="120"/>
        <v>Base_With Amendment</v>
      </c>
      <c r="D2403" s="118" t="s">
        <v>139</v>
      </c>
      <c r="E2403" s="118" t="s">
        <v>180</v>
      </c>
      <c r="F2403" s="118" t="s">
        <v>46</v>
      </c>
      <c r="G2403" s="153"/>
      <c r="H2403" s="155">
        <v>0.25219999999999998</v>
      </c>
      <c r="I2403" s="154" t="s">
        <v>128</v>
      </c>
      <c r="J2403" s="204">
        <v>1.192E-2</v>
      </c>
      <c r="K2403" s="154" t="s">
        <v>25</v>
      </c>
      <c r="L2403" s="154" t="str">
        <f>IF(OpenLCAbasic!K2403="CTUh", "Fill in Manually",IF(OR(K2403="Unit", K2403=""), "", INDEX(LookUps!$E$5:$E$12, MATCH(OpenLCAbasic!K2403,LookUps!$D$5:$D$12,0))))</f>
        <v>Smog Formation Potential (SFP) - kg O3 eq</v>
      </c>
      <c r="M2403" s="154" t="str">
        <f t="shared" si="121"/>
        <v>Low_High_Base_Upgraded_Smog Formation Potential (SFP) - kg O3 eq_Wastewater collection; operation and infrastructure; m3 wastewater_Base_With Amendment_Windrow</v>
      </c>
    </row>
    <row r="2404" spans="1:13" s="120" customFormat="1" x14ac:dyDescent="0.25">
      <c r="A2404" s="119"/>
      <c r="B2404" s="138" t="str">
        <f t="shared" si="119"/>
        <v>Windrow</v>
      </c>
      <c r="C2404" s="138" t="str">
        <f t="shared" si="120"/>
        <v>Base_With Amendment</v>
      </c>
      <c r="D2404" s="118" t="s">
        <v>139</v>
      </c>
      <c r="E2404" s="118" t="s">
        <v>180</v>
      </c>
      <c r="F2404" s="118" t="s">
        <v>46</v>
      </c>
      <c r="G2404" s="153"/>
      <c r="H2404" s="155">
        <v>0.14080000000000001</v>
      </c>
      <c r="I2404" s="154" t="s">
        <v>57</v>
      </c>
      <c r="J2404" s="204">
        <v>6.6499999999999997E-3</v>
      </c>
      <c r="K2404" s="154" t="s">
        <v>25</v>
      </c>
      <c r="L2404" s="154" t="str">
        <f>IF(OpenLCAbasic!K2404="CTUh", "Fill in Manually",IF(OR(K2404="Unit", K2404=""), "", INDEX(LookUps!$E$5:$E$12, MATCH(OpenLCAbasic!K2404,LookUps!$D$5:$D$12,0))))</f>
        <v>Smog Formation Potential (SFP) - kg O3 eq</v>
      </c>
      <c r="M2404" s="154" t="str">
        <f t="shared" si="121"/>
        <v>Low_High_Base_Upgraded_Smog Formation Potential (SFP) - kg O3 eq_Gravity Belt Thickener; wastewater treatment unit; at updated plant - US_Base_With Amendment_Windrow</v>
      </c>
    </row>
    <row r="2405" spans="1:13" s="120" customFormat="1" x14ac:dyDescent="0.25">
      <c r="A2405" s="119"/>
      <c r="B2405" s="138" t="str">
        <f t="shared" si="119"/>
        <v>Windrow</v>
      </c>
      <c r="C2405" s="138" t="str">
        <f t="shared" si="120"/>
        <v>Base_With Amendment</v>
      </c>
      <c r="D2405" s="118" t="s">
        <v>139</v>
      </c>
      <c r="E2405" s="118" t="s">
        <v>180</v>
      </c>
      <c r="F2405" s="118" t="s">
        <v>46</v>
      </c>
      <c r="G2405" s="153"/>
      <c r="H2405" s="155">
        <v>0.1052</v>
      </c>
      <c r="I2405" s="154" t="s">
        <v>59</v>
      </c>
      <c r="J2405" s="204">
        <v>4.9699999999999996E-3</v>
      </c>
      <c r="K2405" s="154" t="s">
        <v>25</v>
      </c>
      <c r="L2405" s="154" t="str">
        <f>IF(OpenLCAbasic!K2405="CTUh", "Fill in Manually",IF(OR(K2405="Unit", K2405=""), "", INDEX(LookUps!$E$5:$E$12, MATCH(OpenLCAbasic!K2405,LookUps!$D$5:$D$12,0))))</f>
        <v>Smog Formation Potential (SFP) - kg O3 eq</v>
      </c>
      <c r="M2405" s="154" t="str">
        <f t="shared" si="121"/>
        <v>Low_High_Base_Upgraded_Smog Formation Potential (SFP) - kg O3 eq_Blend Tank; wastewater treatment unit; at updated plant - US_Base_With Amendment_Windrow</v>
      </c>
    </row>
    <row r="2406" spans="1:13" s="120" customFormat="1" x14ac:dyDescent="0.25">
      <c r="A2406" s="119"/>
      <c r="B2406" s="138" t="str">
        <f t="shared" si="119"/>
        <v>Windrow</v>
      </c>
      <c r="C2406" s="138" t="str">
        <f t="shared" si="120"/>
        <v>Base_With Amendment</v>
      </c>
      <c r="D2406" s="118" t="s">
        <v>139</v>
      </c>
      <c r="E2406" s="118" t="s">
        <v>180</v>
      </c>
      <c r="F2406" s="118" t="s">
        <v>46</v>
      </c>
      <c r="G2406" s="153"/>
      <c r="H2406" s="155">
        <v>7.1599999999999997E-2</v>
      </c>
      <c r="I2406" s="154" t="s">
        <v>48</v>
      </c>
      <c r="J2406" s="204">
        <v>3.3899999999999998E-3</v>
      </c>
      <c r="K2406" s="154" t="s">
        <v>25</v>
      </c>
      <c r="L2406" s="154" t="str">
        <f>IF(OpenLCAbasic!K2406="CTUh", "Fill in Manually",IF(OR(K2406="Unit", K2406=""), "", INDEX(LookUps!$E$5:$E$12, MATCH(OpenLCAbasic!K2406,LookUps!$D$5:$D$12,0))))</f>
        <v>Smog Formation Potential (SFP) - kg O3 eq</v>
      </c>
      <c r="M2406" s="154" t="str">
        <f t="shared" si="121"/>
        <v>Low_High_Base_Upgraded_Smog Formation Potential (SFP) - kg O3 eq_Effluent release; wastewater treatment unit; at surface water; m3 wastewater - US_Base_With Amendment_Windrow</v>
      </c>
    </row>
    <row r="2407" spans="1:13" s="120" customFormat="1" x14ac:dyDescent="0.25">
      <c r="A2407" s="119"/>
      <c r="B2407" s="138" t="str">
        <f t="shared" si="119"/>
        <v>Windrow</v>
      </c>
      <c r="C2407" s="138" t="str">
        <f t="shared" si="120"/>
        <v>Base_With Amendment</v>
      </c>
      <c r="D2407" s="118" t="s">
        <v>139</v>
      </c>
      <c r="E2407" s="118" t="s">
        <v>180</v>
      </c>
      <c r="F2407" s="118" t="s">
        <v>46</v>
      </c>
      <c r="G2407" s="153"/>
      <c r="H2407" s="155">
        <v>5.1900000000000002E-2</v>
      </c>
      <c r="I2407" s="154" t="s">
        <v>168</v>
      </c>
      <c r="J2407" s="204">
        <v>2.4599999999999999E-3</v>
      </c>
      <c r="K2407" s="154" t="s">
        <v>25</v>
      </c>
      <c r="L2407" s="154" t="str">
        <f>IF(OpenLCAbasic!K2407="CTUh", "Fill in Manually",IF(OR(K2407="Unit", K2407=""), "", INDEX(LookUps!$E$5:$E$12, MATCH(OpenLCAbasic!K2407,LookUps!$D$5:$D$12,0))))</f>
        <v>Smog Formation Potential (SFP) - kg O3 eq</v>
      </c>
      <c r="M2407" s="154" t="str">
        <f t="shared" si="121"/>
        <v>Low_High_Base_Upgraded_Smog Formation Potential (SFP) - kg O3 eq_ClearCove SCP; wastewater treatment unit; at updated plant - US_Base_With Amendment_Windrow</v>
      </c>
    </row>
    <row r="2408" spans="1:13" s="120" customFormat="1" x14ac:dyDescent="0.25">
      <c r="A2408" s="119"/>
      <c r="B2408" s="138" t="str">
        <f t="shared" si="119"/>
        <v>Windrow</v>
      </c>
      <c r="C2408" s="138" t="str">
        <f t="shared" si="120"/>
        <v>Base_With Amendment</v>
      </c>
      <c r="D2408" s="118" t="s">
        <v>139</v>
      </c>
      <c r="E2408" s="118" t="s">
        <v>180</v>
      </c>
      <c r="F2408" s="118" t="s">
        <v>46</v>
      </c>
      <c r="G2408" s="153"/>
      <c r="H2408" s="155">
        <v>3.9199999999999999E-2</v>
      </c>
      <c r="I2408" s="154" t="s">
        <v>271</v>
      </c>
      <c r="J2408" s="204">
        <v>1.8600000000000001E-3</v>
      </c>
      <c r="K2408" s="154" t="s">
        <v>25</v>
      </c>
      <c r="L2408" s="154" t="str">
        <f>IF(OpenLCAbasic!K2408="CTUh", "Fill in Manually",IF(OR(K2408="Unit", K2408=""), "", INDEX(LookUps!$E$5:$E$12, MATCH(OpenLCAbasic!K2408,LookUps!$D$5:$D$12,0))))</f>
        <v>Smog Formation Potential (SFP) - kg O3 eq</v>
      </c>
      <c r="M2408" s="154" t="str">
        <f t="shared" si="121"/>
        <v>Low_High_Base_Upgraded_Smog Formation Potential (SFP) - kg O3 eq_Biosolids composting; windrow composting; wastewater treatment unit; at updated plant - US_Base_With Amendment_Windrow</v>
      </c>
    </row>
    <row r="2409" spans="1:13" s="120" customFormat="1" x14ac:dyDescent="0.25">
      <c r="A2409" s="119"/>
      <c r="B2409" s="138" t="str">
        <f t="shared" si="119"/>
        <v>Windrow</v>
      </c>
      <c r="C2409" s="138" t="str">
        <f t="shared" si="120"/>
        <v>Base_With Amendment</v>
      </c>
      <c r="D2409" s="118" t="s">
        <v>139</v>
      </c>
      <c r="E2409" s="118" t="s">
        <v>180</v>
      </c>
      <c r="F2409" s="118" t="s">
        <v>46</v>
      </c>
      <c r="G2409" s="153"/>
      <c r="H2409" s="155">
        <v>1.14E-2</v>
      </c>
      <c r="I2409" s="154" t="s">
        <v>148</v>
      </c>
      <c r="J2409" s="204">
        <v>5.4000000000000001E-4</v>
      </c>
      <c r="K2409" s="154" t="s">
        <v>25</v>
      </c>
      <c r="L2409" s="154" t="str">
        <f>IF(OpenLCAbasic!K2409="CTUh", "Fill in Manually",IF(OR(K2409="Unit", K2409=""), "", INDEX(LookUps!$E$5:$E$12, MATCH(OpenLCAbasic!K2409,LookUps!$D$5:$D$12,0))))</f>
        <v>Smog Formation Potential (SFP) - kg O3 eq</v>
      </c>
      <c r="M2409" s="154" t="str">
        <f t="shared" si="121"/>
        <v>Low_High_Base_Upgraded_Smog Formation Potential (SFP) - kg O3 eq_Control Building; at upgraded wastewater treatment plant - US_Base_With Amendment_Windrow</v>
      </c>
    </row>
    <row r="2410" spans="1:13" s="120" customFormat="1" x14ac:dyDescent="0.25">
      <c r="A2410" s="119"/>
      <c r="B2410" s="138" t="str">
        <f t="shared" si="119"/>
        <v>Windrow</v>
      </c>
      <c r="C2410" s="138" t="str">
        <f t="shared" si="120"/>
        <v>Base_With Amendment</v>
      </c>
      <c r="D2410" s="118" t="s">
        <v>139</v>
      </c>
      <c r="E2410" s="118" t="s">
        <v>180</v>
      </c>
      <c r="F2410" s="118" t="s">
        <v>46</v>
      </c>
      <c r="G2410" s="153"/>
      <c r="H2410" s="155">
        <v>-0.11559999999999999</v>
      </c>
      <c r="I2410" s="154" t="s">
        <v>62</v>
      </c>
      <c r="J2410" s="204">
        <v>-5.4599999999999996E-3</v>
      </c>
      <c r="K2410" s="154" t="s">
        <v>25</v>
      </c>
      <c r="L2410" s="154" t="str">
        <f>IF(OpenLCAbasic!K2410="CTUh", "Fill in Manually",IF(OR(K2410="Unit", K2410=""), "", INDEX(LookUps!$E$5:$E$12, MATCH(OpenLCAbasic!K2410,LookUps!$D$5:$D$12,0))))</f>
        <v>Smog Formation Potential (SFP) - kg O3 eq</v>
      </c>
      <c r="M2410" s="154" t="str">
        <f t="shared" si="121"/>
        <v>Low_High_Base_Upgraded_Smog Formation Potential (SFP) - kg O3 eq_Land application of compost; wastewater treatment unit; at updated plant - US_Base_With Amendment_Windrow</v>
      </c>
    </row>
    <row r="2411" spans="1:13" s="120" customFormat="1" x14ac:dyDescent="0.25">
      <c r="A2411" s="119"/>
      <c r="B2411" s="138" t="str">
        <f t="shared" si="119"/>
        <v>Windrow</v>
      </c>
      <c r="C2411" s="138" t="str">
        <f t="shared" si="120"/>
        <v>Base_With Amendment</v>
      </c>
      <c r="D2411" s="118" t="s">
        <v>139</v>
      </c>
      <c r="E2411" s="118" t="s">
        <v>180</v>
      </c>
      <c r="F2411" s="118" t="s">
        <v>46</v>
      </c>
      <c r="G2411" s="153"/>
      <c r="H2411" s="155">
        <v>-9.0905000000000005</v>
      </c>
      <c r="I2411" s="154" t="s">
        <v>149</v>
      </c>
      <c r="J2411" s="203">
        <v>-0.42965999999999999</v>
      </c>
      <c r="K2411" s="154" t="s">
        <v>25</v>
      </c>
      <c r="L2411" s="154" t="str">
        <f>IF(OpenLCAbasic!K2411="CTUh", "Fill in Manually",IF(OR(K2411="Unit", K2411=""), "", INDEX(LookUps!$E$5:$E$12, MATCH(OpenLCAbasic!K2411,LookUps!$D$5:$D$12,0))))</f>
        <v>Smog Formation Potential (SFP) - kg O3 eq</v>
      </c>
      <c r="M2411" s="154" t="str">
        <f t="shared" si="121"/>
        <v>Low_High_Base_Upgraded_Smog Formation Potential (SFP) - kg O3 eq_Anaerobic Digestion; wastewater treatment unit; at updated plant - US_Base_With Amendment_Windrow</v>
      </c>
    </row>
    <row r="2412" spans="1:13" s="120" customFormat="1" x14ac:dyDescent="0.25">
      <c r="A2412" s="119"/>
      <c r="B2412" s="138" t="str">
        <f t="shared" si="119"/>
        <v>Windrow</v>
      </c>
      <c r="C2412" s="138" t="str">
        <f t="shared" si="120"/>
        <v>Base_With Amendment</v>
      </c>
      <c r="D2412" s="118" t="s">
        <v>139</v>
      </c>
      <c r="E2412" s="118" t="s">
        <v>180</v>
      </c>
      <c r="F2412" s="118" t="s">
        <v>46</v>
      </c>
      <c r="G2412" s="153" t="s">
        <v>51</v>
      </c>
      <c r="H2412" s="154"/>
      <c r="I2412" s="154" t="s">
        <v>47</v>
      </c>
      <c r="J2412" s="154" t="s">
        <v>52</v>
      </c>
      <c r="K2412" s="154" t="s">
        <v>27</v>
      </c>
      <c r="L2412" s="154" t="str">
        <f>IF(OpenLCAbasic!K2412="CTUh", "Fill in Manually",IF(OR(K2412="Unit", K2412=""), "", INDEX(LookUps!$E$5:$E$12, MATCH(OpenLCAbasic!K2412,LookUps!$D$5:$D$12,0))))</f>
        <v/>
      </c>
      <c r="M2412" s="154" t="str">
        <f t="shared" si="121"/>
        <v>Low_High_Base_Upgraded__Process_Base_With Amendment_Windrow</v>
      </c>
    </row>
    <row r="2413" spans="1:13" s="120" customFormat="1" x14ac:dyDescent="0.25">
      <c r="A2413" s="119"/>
      <c r="B2413" s="138" t="str">
        <f t="shared" si="119"/>
        <v>Windrow</v>
      </c>
      <c r="C2413" s="138" t="str">
        <f t="shared" si="120"/>
        <v>Base_With Amendment</v>
      </c>
      <c r="D2413" s="118" t="s">
        <v>139</v>
      </c>
      <c r="E2413" s="118" t="s">
        <v>180</v>
      </c>
      <c r="F2413" s="118" t="s">
        <v>46</v>
      </c>
      <c r="G2413" s="153"/>
      <c r="H2413" s="155">
        <v>0.3105</v>
      </c>
      <c r="I2413" s="154" t="s">
        <v>167</v>
      </c>
      <c r="J2413" s="204">
        <v>3.4000000000000002E-4</v>
      </c>
      <c r="K2413" s="154" t="s">
        <v>26</v>
      </c>
      <c r="L2413" s="154" t="str">
        <f>IF(OpenLCAbasic!K2413="CTUh", "Fill in Manually",IF(OR(K2413="Unit", K2413=""), "", INDEX(LookUps!$E$5:$E$12, MATCH(OpenLCAbasic!K2413,LookUps!$D$5:$D$12,0))))</f>
        <v>Water Use (WU) - m3 H2O</v>
      </c>
      <c r="M2413" s="154" t="str">
        <f t="shared" si="121"/>
        <v>Low_High_Base_Upgraded_Water Use (WU) - m3 H2O_Waste Receiving and Holding; wastewater treatment unit; at updated plant - US_Base_With Amendment_Windrow</v>
      </c>
    </row>
    <row r="2414" spans="1:13" s="120" customFormat="1" x14ac:dyDescent="0.25">
      <c r="A2414" s="119"/>
      <c r="B2414" s="138" t="str">
        <f t="shared" si="119"/>
        <v>Windrow</v>
      </c>
      <c r="C2414" s="138" t="str">
        <f t="shared" si="120"/>
        <v>Base_With Amendment</v>
      </c>
      <c r="D2414" s="118" t="s">
        <v>139</v>
      </c>
      <c r="E2414" s="118" t="s">
        <v>180</v>
      </c>
      <c r="F2414" s="118" t="s">
        <v>46</v>
      </c>
      <c r="G2414" s="153"/>
      <c r="H2414" s="155">
        <v>0.1699</v>
      </c>
      <c r="I2414" s="154" t="s">
        <v>147</v>
      </c>
      <c r="J2414" s="204">
        <v>1.8000000000000001E-4</v>
      </c>
      <c r="K2414" s="154" t="s">
        <v>26</v>
      </c>
      <c r="L2414" s="154" t="str">
        <f>IF(OpenLCAbasic!K2414="CTUh", "Fill in Manually",IF(OR(K2414="Unit", K2414=""), "", INDEX(LookUps!$E$5:$E$12, MATCH(OpenLCAbasic!K2414,LookUps!$D$5:$D$12,0))))</f>
        <v>Water Use (WU) - m3 H2O</v>
      </c>
      <c r="M2414" s="154" t="str">
        <f t="shared" si="121"/>
        <v>Low_High_Base_Upgraded_Water Use (WU) - m3 H2O_Influent Pump Station; wastewater treatment unit; at updated plant - US_Base_With Amendment_Windrow</v>
      </c>
    </row>
    <row r="2415" spans="1:13" s="120" customFormat="1" x14ac:dyDescent="0.25">
      <c r="A2415" s="119"/>
      <c r="B2415" s="138" t="str">
        <f t="shared" si="119"/>
        <v>Windrow</v>
      </c>
      <c r="C2415" s="138" t="str">
        <f t="shared" si="120"/>
        <v>Base_With Amendment</v>
      </c>
      <c r="D2415" s="118" t="s">
        <v>139</v>
      </c>
      <c r="E2415" s="118" t="s">
        <v>180</v>
      </c>
      <c r="F2415" s="118" t="s">
        <v>46</v>
      </c>
      <c r="G2415" s="153"/>
      <c r="H2415" s="155">
        <v>0.1658</v>
      </c>
      <c r="I2415" s="154" t="s">
        <v>54</v>
      </c>
      <c r="J2415" s="204">
        <v>1.8000000000000001E-4</v>
      </c>
      <c r="K2415" s="154" t="s">
        <v>26</v>
      </c>
      <c r="L2415" s="154" t="str">
        <f>IF(OpenLCAbasic!K2415="CTUh", "Fill in Manually",IF(OR(K2415="Unit", K2415=""), "", INDEX(LookUps!$E$5:$E$12, MATCH(OpenLCAbasic!K2415,LookUps!$D$5:$D$12,0))))</f>
        <v>Water Use (WU) - m3 H2O</v>
      </c>
      <c r="M2415" s="154" t="str">
        <f t="shared" si="121"/>
        <v>Low_High_Base_Upgraded_Water Use (WU) - m3 H2O_Clear Cove Primary Clarification; wastewater treatment unit; at updated plant - US_Base_With Amendment_Windrow</v>
      </c>
    </row>
    <row r="2416" spans="1:13" s="120" customFormat="1" x14ac:dyDescent="0.25">
      <c r="A2416" s="119"/>
      <c r="B2416" s="138" t="str">
        <f t="shared" si="119"/>
        <v>Windrow</v>
      </c>
      <c r="C2416" s="138" t="str">
        <f t="shared" si="120"/>
        <v>Base_With Amendment</v>
      </c>
      <c r="D2416" s="118" t="s">
        <v>139</v>
      </c>
      <c r="E2416" s="118" t="s">
        <v>180</v>
      </c>
      <c r="F2416" s="118" t="s">
        <v>46</v>
      </c>
      <c r="G2416" s="153"/>
      <c r="H2416" s="155">
        <v>0.15040000000000001</v>
      </c>
      <c r="I2416" s="154" t="s">
        <v>55</v>
      </c>
      <c r="J2416" s="204">
        <v>1.6000000000000001E-4</v>
      </c>
      <c r="K2416" s="154" t="s">
        <v>26</v>
      </c>
      <c r="L2416" s="154" t="str">
        <f>IF(OpenLCAbasic!K2416="CTUh", "Fill in Manually",IF(OR(K2416="Unit", K2416=""), "", INDEX(LookUps!$E$5:$E$12, MATCH(OpenLCAbasic!K2416,LookUps!$D$5:$D$12,0))))</f>
        <v>Water Use (WU) - m3 H2O</v>
      </c>
      <c r="M2416" s="154" t="str">
        <f t="shared" si="121"/>
        <v>Low_High_Base_Upgraded_Water Use (WU) - m3 H2O_Aeration Tanks; wastewater treatment unit; at updated plant - US_Base_With Amendment_Windrow</v>
      </c>
    </row>
    <row r="2417" spans="1:13" s="120" customFormat="1" x14ac:dyDescent="0.25">
      <c r="A2417" s="119"/>
      <c r="B2417" s="138" t="str">
        <f t="shared" si="119"/>
        <v>Windrow</v>
      </c>
      <c r="C2417" s="138" t="str">
        <f t="shared" si="120"/>
        <v>Base_With Amendment</v>
      </c>
      <c r="D2417" s="118" t="s">
        <v>139</v>
      </c>
      <c r="E2417" s="118" t="s">
        <v>180</v>
      </c>
      <c r="F2417" s="118" t="s">
        <v>46</v>
      </c>
      <c r="G2417" s="153"/>
      <c r="H2417" s="155">
        <v>0.13700000000000001</v>
      </c>
      <c r="I2417" s="154" t="s">
        <v>148</v>
      </c>
      <c r="J2417" s="204">
        <v>1.4999999999999999E-4</v>
      </c>
      <c r="K2417" s="154" t="s">
        <v>26</v>
      </c>
      <c r="L2417" s="154" t="str">
        <f>IF(OpenLCAbasic!K2417="CTUh", "Fill in Manually",IF(OR(K2417="Unit", K2417=""), "", INDEX(LookUps!$E$5:$E$12, MATCH(OpenLCAbasic!K2417,LookUps!$D$5:$D$12,0))))</f>
        <v>Water Use (WU) - m3 H2O</v>
      </c>
      <c r="M2417" s="154" t="str">
        <f t="shared" si="121"/>
        <v>Low_High_Base_Upgraded_Water Use (WU) - m3 H2O_Control Building; at upgraded wastewater treatment plant - US_Base_With Amendment_Windrow</v>
      </c>
    </row>
    <row r="2418" spans="1:13" s="120" customFormat="1" x14ac:dyDescent="0.25">
      <c r="A2418" s="119"/>
      <c r="B2418" s="138" t="str">
        <f t="shared" si="119"/>
        <v>Windrow</v>
      </c>
      <c r="C2418" s="138" t="str">
        <f t="shared" si="120"/>
        <v>Base_With Amendment</v>
      </c>
      <c r="D2418" s="118" t="s">
        <v>139</v>
      </c>
      <c r="E2418" s="118" t="s">
        <v>180</v>
      </c>
      <c r="F2418" s="118" t="s">
        <v>46</v>
      </c>
      <c r="G2418" s="153"/>
      <c r="H2418" s="155">
        <v>6.3600000000000004E-2</v>
      </c>
      <c r="I2418" s="154" t="s">
        <v>48</v>
      </c>
      <c r="J2418" s="204">
        <v>6.8836400000000004E-5</v>
      </c>
      <c r="K2418" s="154" t="s">
        <v>26</v>
      </c>
      <c r="L2418" s="154" t="str">
        <f>IF(OpenLCAbasic!K2418="CTUh", "Fill in Manually",IF(OR(K2418="Unit", K2418=""), "", INDEX(LookUps!$E$5:$E$12, MATCH(OpenLCAbasic!K2418,LookUps!$D$5:$D$12,0))))</f>
        <v>Water Use (WU) - m3 H2O</v>
      </c>
      <c r="M2418" s="154" t="str">
        <f t="shared" si="121"/>
        <v>Low_High_Base_Upgraded_Water Use (WU) - m3 H2O_Effluent release; wastewater treatment unit; at surface water; m3 wastewater - US_Base_With Amendment_Windrow</v>
      </c>
    </row>
    <row r="2419" spans="1:13" s="120" customFormat="1" x14ac:dyDescent="0.25">
      <c r="A2419" s="119"/>
      <c r="B2419" s="138" t="str">
        <f t="shared" si="119"/>
        <v>Windrow</v>
      </c>
      <c r="C2419" s="138" t="str">
        <f t="shared" si="120"/>
        <v>Base_With Amendment</v>
      </c>
      <c r="D2419" s="118" t="s">
        <v>139</v>
      </c>
      <c r="E2419" s="118" t="s">
        <v>180</v>
      </c>
      <c r="F2419" s="118" t="s">
        <v>46</v>
      </c>
      <c r="G2419" s="153"/>
      <c r="H2419" s="155">
        <v>0.04</v>
      </c>
      <c r="I2419" s="154" t="s">
        <v>58</v>
      </c>
      <c r="J2419" s="204">
        <v>4.3289399999999999E-5</v>
      </c>
      <c r="K2419" s="154" t="s">
        <v>26</v>
      </c>
      <c r="L2419" s="154" t="str">
        <f>IF(OpenLCAbasic!K2419="CTUh", "Fill in Manually",IF(OR(K2419="Unit", K2419=""), "", INDEX(LookUps!$E$5:$E$12, MATCH(OpenLCAbasic!K2419,LookUps!$D$5:$D$12,0))))</f>
        <v>Water Use (WU) - m3 H2O</v>
      </c>
      <c r="M2419" s="154" t="str">
        <f t="shared" si="121"/>
        <v>Low_High_Base_Upgraded_Water Use (WU) - m3 H2O_Pre-Anoxic &amp; Swing tank; wastewater treatment unit; at updated plant - US_Base_With Amendment_Windrow</v>
      </c>
    </row>
    <row r="2420" spans="1:13" s="120" customFormat="1" x14ac:dyDescent="0.25">
      <c r="A2420" s="119"/>
      <c r="B2420" s="138" t="str">
        <f t="shared" si="119"/>
        <v>Windrow</v>
      </c>
      <c r="C2420" s="138" t="str">
        <f t="shared" si="120"/>
        <v>Base_With Amendment</v>
      </c>
      <c r="D2420" s="118" t="s">
        <v>139</v>
      </c>
      <c r="E2420" s="118" t="s">
        <v>180</v>
      </c>
      <c r="F2420" s="118" t="s">
        <v>46</v>
      </c>
      <c r="G2420" s="153"/>
      <c r="H2420" s="155">
        <v>3.8300000000000001E-2</v>
      </c>
      <c r="I2420" s="154" t="s">
        <v>60</v>
      </c>
      <c r="J2420" s="204">
        <v>4.1413099999999998E-5</v>
      </c>
      <c r="K2420" s="154" t="s">
        <v>26</v>
      </c>
      <c r="L2420" s="154" t="str">
        <f>IF(OpenLCAbasic!K2420="CTUh", "Fill in Manually",IF(OR(K2420="Unit", K2420=""), "", INDEX(LookUps!$E$5:$E$12, MATCH(OpenLCAbasic!K2420,LookUps!$D$5:$D$12,0))))</f>
        <v>Water Use (WU) - m3 H2O</v>
      </c>
      <c r="M2420" s="154" t="str">
        <f t="shared" si="121"/>
        <v>Low_High_Base_Upgraded_Water Use (WU) - m3 H2O_Belt filter press; wastewater treatment unit; at updated plant - US_Base_With Amendment_Windrow</v>
      </c>
    </row>
    <row r="2421" spans="1:13" s="120" customFormat="1" x14ac:dyDescent="0.25">
      <c r="A2421" s="119"/>
      <c r="B2421" s="138" t="str">
        <f t="shared" si="119"/>
        <v>Windrow</v>
      </c>
      <c r="C2421" s="138" t="str">
        <f t="shared" si="120"/>
        <v>Base_With Amendment</v>
      </c>
      <c r="D2421" s="118" t="s">
        <v>139</v>
      </c>
      <c r="E2421" s="118" t="s">
        <v>180</v>
      </c>
      <c r="F2421" s="118" t="s">
        <v>46</v>
      </c>
      <c r="G2421" s="153"/>
      <c r="H2421" s="155">
        <v>2.81E-2</v>
      </c>
      <c r="I2421" s="154" t="s">
        <v>57</v>
      </c>
      <c r="J2421" s="204">
        <v>3.0408100000000001E-5</v>
      </c>
      <c r="K2421" s="154" t="s">
        <v>26</v>
      </c>
      <c r="L2421" s="154" t="str">
        <f>IF(OpenLCAbasic!K2421="CTUh", "Fill in Manually",IF(OR(K2421="Unit", K2421=""), "", INDEX(LookUps!$E$5:$E$12, MATCH(OpenLCAbasic!K2421,LookUps!$D$5:$D$12,0))))</f>
        <v>Water Use (WU) - m3 H2O</v>
      </c>
      <c r="M2421" s="154" t="str">
        <f t="shared" si="121"/>
        <v>Low_High_Base_Upgraded_Water Use (WU) - m3 H2O_Gravity Belt Thickener; wastewater treatment unit; at updated plant - US_Base_With Amendment_Windrow</v>
      </c>
    </row>
    <row r="2422" spans="1:13" s="120" customFormat="1" x14ac:dyDescent="0.25">
      <c r="A2422" s="119"/>
      <c r="B2422" s="138" t="str">
        <f t="shared" si="119"/>
        <v>Windrow</v>
      </c>
      <c r="C2422" s="138" t="str">
        <f t="shared" si="120"/>
        <v>Base_With Amendment</v>
      </c>
      <c r="D2422" s="118" t="s">
        <v>139</v>
      </c>
      <c r="E2422" s="118" t="s">
        <v>180</v>
      </c>
      <c r="F2422" s="118" t="s">
        <v>46</v>
      </c>
      <c r="G2422" s="153"/>
      <c r="H2422" s="155">
        <v>1.6199999999999999E-2</v>
      </c>
      <c r="I2422" s="154" t="s">
        <v>53</v>
      </c>
      <c r="J2422" s="204">
        <v>1.75069E-5</v>
      </c>
      <c r="K2422" s="154" t="s">
        <v>26</v>
      </c>
      <c r="L2422" s="154" t="str">
        <f>IF(OpenLCAbasic!K2422="CTUh", "Fill in Manually",IF(OR(K2422="Unit", K2422=""), "", INDEX(LookUps!$E$5:$E$12, MATCH(OpenLCAbasic!K2422,LookUps!$D$5:$D$12,0))))</f>
        <v>Water Use (WU) - m3 H2O</v>
      </c>
      <c r="M2422" s="154" t="str">
        <f t="shared" si="121"/>
        <v>Low_High_Base_Upgraded_Water Use (WU) - m3 H2O_Wet Well and Sump Station; wastewater treatment unit; at updated plant - US_Base_With Amendment_Windrow</v>
      </c>
    </row>
    <row r="2423" spans="1:13" s="120" customFormat="1" x14ac:dyDescent="0.25">
      <c r="A2423" s="119"/>
      <c r="B2423" s="138" t="str">
        <f t="shared" si="119"/>
        <v>Windrow</v>
      </c>
      <c r="C2423" s="138" t="str">
        <f t="shared" si="120"/>
        <v>Base_With Amendment</v>
      </c>
      <c r="D2423" s="118" t="s">
        <v>139</v>
      </c>
      <c r="E2423" s="118" t="s">
        <v>180</v>
      </c>
      <c r="F2423" s="118" t="s">
        <v>46</v>
      </c>
      <c r="G2423" s="153"/>
      <c r="H2423" s="155">
        <v>6.4999999999999997E-3</v>
      </c>
      <c r="I2423" s="154" t="s">
        <v>59</v>
      </c>
      <c r="J2423" s="204">
        <v>7.0179500000000003E-6</v>
      </c>
      <c r="K2423" s="154" t="s">
        <v>26</v>
      </c>
      <c r="L2423" s="154" t="str">
        <f>IF(OpenLCAbasic!K2423="CTUh", "Fill in Manually",IF(OR(K2423="Unit", K2423=""), "", INDEX(LookUps!$E$5:$E$12, MATCH(OpenLCAbasic!K2423,LookUps!$D$5:$D$12,0))))</f>
        <v>Water Use (WU) - m3 H2O</v>
      </c>
      <c r="M2423" s="154" t="str">
        <f t="shared" si="121"/>
        <v>Low_High_Base_Upgraded_Water Use (WU) - m3 H2O_Blend Tank; wastewater treatment unit; at updated plant - US_Base_With Amendment_Windrow</v>
      </c>
    </row>
    <row r="2424" spans="1:13" s="120" customFormat="1" x14ac:dyDescent="0.25">
      <c r="A2424" s="119"/>
      <c r="B2424" s="138" t="str">
        <f t="shared" si="119"/>
        <v>Windrow</v>
      </c>
      <c r="C2424" s="138" t="str">
        <f t="shared" si="120"/>
        <v>Base_With Amendment</v>
      </c>
      <c r="D2424" s="118" t="s">
        <v>139</v>
      </c>
      <c r="E2424" s="118" t="s">
        <v>180</v>
      </c>
      <c r="F2424" s="118" t="s">
        <v>46</v>
      </c>
      <c r="G2424" s="153"/>
      <c r="H2424" s="155">
        <v>4.7000000000000002E-3</v>
      </c>
      <c r="I2424" s="154" t="s">
        <v>128</v>
      </c>
      <c r="J2424" s="204">
        <v>5.0608900000000003E-6</v>
      </c>
      <c r="K2424" s="154" t="s">
        <v>26</v>
      </c>
      <c r="L2424" s="154" t="str">
        <f>IF(OpenLCAbasic!K2424="CTUh", "Fill in Manually",IF(OR(K2424="Unit", K2424=""), "", INDEX(LookUps!$E$5:$E$12, MATCH(OpenLCAbasic!K2424,LookUps!$D$5:$D$12,0))))</f>
        <v>Water Use (WU) - m3 H2O</v>
      </c>
      <c r="M2424" s="154" t="str">
        <f t="shared" si="121"/>
        <v>Low_High_Base_Upgraded_Water Use (WU) - m3 H2O_Wastewater collection; operation and infrastructure; m3 wastewater_Base_With Amendment_Windrow</v>
      </c>
    </row>
    <row r="2425" spans="1:13" s="120" customFormat="1" x14ac:dyDescent="0.25">
      <c r="A2425" s="119"/>
      <c r="B2425" s="138" t="str">
        <f t="shared" si="119"/>
        <v>Windrow</v>
      </c>
      <c r="C2425" s="138" t="str">
        <f t="shared" si="120"/>
        <v>Base_With Amendment</v>
      </c>
      <c r="D2425" s="118" t="s">
        <v>139</v>
      </c>
      <c r="E2425" s="118" t="s">
        <v>180</v>
      </c>
      <c r="F2425" s="118" t="s">
        <v>46</v>
      </c>
      <c r="G2425" s="153"/>
      <c r="H2425" s="155">
        <v>1.9E-3</v>
      </c>
      <c r="I2425" s="154" t="s">
        <v>271</v>
      </c>
      <c r="J2425" s="204">
        <v>2.0151899999999999E-6</v>
      </c>
      <c r="K2425" s="154" t="s">
        <v>26</v>
      </c>
      <c r="L2425" s="154" t="str">
        <f>IF(OpenLCAbasic!K2425="CTUh", "Fill in Manually",IF(OR(K2425="Unit", K2425=""), "", INDEX(LookUps!$E$5:$E$12, MATCH(OpenLCAbasic!K2425,LookUps!$D$5:$D$12,0))))</f>
        <v>Water Use (WU) - m3 H2O</v>
      </c>
      <c r="M2425" s="154" t="str">
        <f t="shared" si="121"/>
        <v>Low_High_Base_Upgraded_Water Use (WU) - m3 H2O_Biosolids composting; windrow composting; wastewater treatment unit; at updated plant - US_Base_With Amendment_Windrow</v>
      </c>
    </row>
    <row r="2426" spans="1:13" s="120" customFormat="1" x14ac:dyDescent="0.25">
      <c r="A2426" s="119"/>
      <c r="B2426" s="138" t="str">
        <f t="shared" si="119"/>
        <v>Windrow</v>
      </c>
      <c r="C2426" s="138" t="str">
        <f t="shared" si="120"/>
        <v>Base_With Amendment</v>
      </c>
      <c r="D2426" s="118" t="s">
        <v>139</v>
      </c>
      <c r="E2426" s="118" t="s">
        <v>180</v>
      </c>
      <c r="F2426" s="118" t="s">
        <v>46</v>
      </c>
      <c r="G2426" s="153"/>
      <c r="H2426" s="155">
        <v>6.9999999999999999E-4</v>
      </c>
      <c r="I2426" s="154" t="s">
        <v>168</v>
      </c>
      <c r="J2426" s="204">
        <v>7.6697000000000004E-7</v>
      </c>
      <c r="K2426" s="154" t="s">
        <v>26</v>
      </c>
      <c r="L2426" s="154" t="str">
        <f>IF(OpenLCAbasic!K2426="CTUh", "Fill in Manually",IF(OR(K2426="Unit", K2426=""), "", INDEX(LookUps!$E$5:$E$12, MATCH(OpenLCAbasic!K2426,LookUps!$D$5:$D$12,0))))</f>
        <v>Water Use (WU) - m3 H2O</v>
      </c>
      <c r="M2426" s="154" t="str">
        <f t="shared" si="121"/>
        <v>Low_High_Base_Upgraded_Water Use (WU) - m3 H2O_ClearCove SCP; wastewater treatment unit; at updated plant - US_Base_With Amendment_Windrow</v>
      </c>
    </row>
    <row r="2427" spans="1:13" s="120" customFormat="1" x14ac:dyDescent="0.25">
      <c r="A2427" s="119"/>
      <c r="B2427" s="138" t="str">
        <f t="shared" si="119"/>
        <v>Windrow</v>
      </c>
      <c r="C2427" s="138" t="str">
        <f t="shared" si="120"/>
        <v>Base_With Amendment</v>
      </c>
      <c r="D2427" s="118" t="s">
        <v>139</v>
      </c>
      <c r="E2427" s="118" t="s">
        <v>180</v>
      </c>
      <c r="F2427" s="118" t="s">
        <v>46</v>
      </c>
      <c r="G2427" s="153"/>
      <c r="H2427" s="155">
        <v>-0.1066</v>
      </c>
      <c r="I2427" s="154" t="s">
        <v>149</v>
      </c>
      <c r="J2427" s="204">
        <v>-1.2E-4</v>
      </c>
      <c r="K2427" s="154" t="s">
        <v>26</v>
      </c>
      <c r="L2427" s="154" t="str">
        <f>IF(OpenLCAbasic!K2427="CTUh", "Fill in Manually",IF(OR(K2427="Unit", K2427=""), "", INDEX(LookUps!$E$5:$E$12, MATCH(OpenLCAbasic!K2427,LookUps!$D$5:$D$12,0))))</f>
        <v>Water Use (WU) - m3 H2O</v>
      </c>
      <c r="M2427" s="154" t="str">
        <f t="shared" si="121"/>
        <v>Low_High_Base_Upgraded_Water Use (WU) - m3 H2O_Anaerobic Digestion; wastewater treatment unit; at updated plant - US_Base_With Amendment_Windrow</v>
      </c>
    </row>
    <row r="2428" spans="1:13" s="120" customFormat="1" x14ac:dyDescent="0.25">
      <c r="A2428" s="119"/>
      <c r="B2428" s="138" t="str">
        <f t="shared" si="119"/>
        <v>Windrow</v>
      </c>
      <c r="C2428" s="138" t="str">
        <f t="shared" si="120"/>
        <v>Base_With Amendment</v>
      </c>
      <c r="D2428" s="118" t="s">
        <v>139</v>
      </c>
      <c r="E2428" s="118" t="s">
        <v>180</v>
      </c>
      <c r="F2428" s="118" t="s">
        <v>46</v>
      </c>
      <c r="G2428" s="153"/>
      <c r="H2428" s="155">
        <v>-2.0268000000000002</v>
      </c>
      <c r="I2428" s="154" t="s">
        <v>62</v>
      </c>
      <c r="J2428" s="204">
        <v>-2.1900000000000001E-3</v>
      </c>
      <c r="K2428" s="154" t="s">
        <v>26</v>
      </c>
      <c r="L2428" s="154" t="str">
        <f>IF(OpenLCAbasic!K2428="CTUh", "Fill in Manually",IF(OR(K2428="Unit", K2428=""), "", INDEX(LookUps!$E$5:$E$12, MATCH(OpenLCAbasic!K2428,LookUps!$D$5:$D$12,0))))</f>
        <v>Water Use (WU) - m3 H2O</v>
      </c>
      <c r="M2428" s="154" t="str">
        <f t="shared" si="121"/>
        <v>Low_High_Base_Upgraded_Water Use (WU) - m3 H2O_Land application of compost; wastewater treatment unit; at updated plant - US_Base_With Amendment_Windrow</v>
      </c>
    </row>
    <row r="2429" spans="1:13" s="120" customFormat="1" x14ac:dyDescent="0.25">
      <c r="A2429" s="119"/>
      <c r="B2429" s="138" t="str">
        <f t="shared" si="119"/>
        <v>Windrow</v>
      </c>
      <c r="C2429" s="138" t="str">
        <f t="shared" si="120"/>
        <v>Base_With Amendment</v>
      </c>
      <c r="D2429" s="118" t="s">
        <v>139</v>
      </c>
      <c r="E2429" s="118" t="s">
        <v>180</v>
      </c>
      <c r="F2429" s="118" t="s">
        <v>46</v>
      </c>
      <c r="G2429" s="153" t="s">
        <v>51</v>
      </c>
      <c r="H2429" s="155"/>
      <c r="I2429" s="154" t="s">
        <v>47</v>
      </c>
      <c r="J2429" s="154" t="s">
        <v>52</v>
      </c>
      <c r="K2429" s="154" t="s">
        <v>27</v>
      </c>
      <c r="L2429" s="154" t="str">
        <f>IF(OpenLCAbasic!K2429="CTUh", "Fill in Manually",IF(OR(K2429="Unit", K2429=""), "", INDEX(LookUps!$E$5:$E$12, MATCH(OpenLCAbasic!K2429,LookUps!$D$5:$D$12,0))))</f>
        <v/>
      </c>
      <c r="M2429" s="154" t="str">
        <f t="shared" si="121"/>
        <v>Low_High_Base_Upgraded__Process_Base_With Amendment_Windrow</v>
      </c>
    </row>
    <row r="2430" spans="1:13" s="120" customFormat="1" x14ac:dyDescent="0.25">
      <c r="A2430" s="119"/>
      <c r="B2430" s="138" t="str">
        <f t="shared" si="119"/>
        <v>Windrow</v>
      </c>
      <c r="C2430" s="138" t="str">
        <f t="shared" si="120"/>
        <v>Base_With Amendment</v>
      </c>
      <c r="D2430" s="118" t="s">
        <v>139</v>
      </c>
      <c r="E2430" s="118" t="s">
        <v>180</v>
      </c>
      <c r="F2430" s="118" t="s">
        <v>46</v>
      </c>
      <c r="G2430" s="153"/>
      <c r="H2430" s="155">
        <v>7.5884</v>
      </c>
      <c r="I2430" s="154" t="s">
        <v>55</v>
      </c>
      <c r="J2430" s="203">
        <v>1.7219999999999999E-2</v>
      </c>
      <c r="K2430" s="154" t="s">
        <v>24</v>
      </c>
      <c r="L2430" s="154" t="str">
        <f>IF(OpenLCAbasic!K2430="CTUh", "Fill in Manually",IF(OR(K2430="Unit", K2430=""), "", INDEX(LookUps!$E$5:$E$12, MATCH(OpenLCAbasic!K2430,LookUps!$D$5:$D$12,0))))</f>
        <v>Acidification Potential (AP) - kg SO2 eq</v>
      </c>
      <c r="M2430" s="154" t="str">
        <f t="shared" si="121"/>
        <v>Low_High_Base_Upgraded_Acidification Potential (AP) - kg SO2 eq_Aeration Tanks; wastewater treatment unit; at updated plant - US_Base_With Amendment_Windrow</v>
      </c>
    </row>
    <row r="2431" spans="1:13" s="120" customFormat="1" x14ac:dyDescent="0.25">
      <c r="A2431" s="119"/>
      <c r="B2431" s="138" t="str">
        <f t="shared" si="119"/>
        <v>Windrow</v>
      </c>
      <c r="C2431" s="138" t="str">
        <f t="shared" si="120"/>
        <v>Base_With Amendment</v>
      </c>
      <c r="D2431" s="118" t="s">
        <v>139</v>
      </c>
      <c r="E2431" s="118" t="s">
        <v>180</v>
      </c>
      <c r="F2431" s="118" t="s">
        <v>46</v>
      </c>
      <c r="G2431" s="153"/>
      <c r="H2431" s="155">
        <v>2.4845999999999999</v>
      </c>
      <c r="I2431" s="154" t="s">
        <v>62</v>
      </c>
      <c r="J2431" s="204">
        <v>5.64E-3</v>
      </c>
      <c r="K2431" s="154" t="s">
        <v>24</v>
      </c>
      <c r="L2431" s="154" t="str">
        <f>IF(OpenLCAbasic!K2431="CTUh", "Fill in Manually",IF(OR(K2431="Unit", K2431=""), "", INDEX(LookUps!$E$5:$E$12, MATCH(OpenLCAbasic!K2431,LookUps!$D$5:$D$12,0))))</f>
        <v>Acidification Potential (AP) - kg SO2 eq</v>
      </c>
      <c r="M2431" s="154" t="str">
        <f t="shared" si="121"/>
        <v>Low_High_Base_Upgraded_Acidification Potential (AP) - kg SO2 eq_Land application of compost; wastewater treatment unit; at updated plant - US_Base_With Amendment_Windrow</v>
      </c>
    </row>
    <row r="2432" spans="1:13" s="120" customFormat="1" x14ac:dyDescent="0.25">
      <c r="A2432" s="119"/>
      <c r="B2432" s="138" t="str">
        <f t="shared" si="119"/>
        <v>Windrow</v>
      </c>
      <c r="C2432" s="138" t="str">
        <f t="shared" si="120"/>
        <v>Base_With Amendment</v>
      </c>
      <c r="D2432" s="118" t="s">
        <v>139</v>
      </c>
      <c r="E2432" s="118" t="s">
        <v>180</v>
      </c>
      <c r="F2432" s="118" t="s">
        <v>46</v>
      </c>
      <c r="G2432" s="153"/>
      <c r="H2432" s="155">
        <v>2.1947999999999999</v>
      </c>
      <c r="I2432" s="154" t="s">
        <v>54</v>
      </c>
      <c r="J2432" s="204">
        <v>4.9800000000000001E-3</v>
      </c>
      <c r="K2432" s="154" t="s">
        <v>24</v>
      </c>
      <c r="L2432" s="154" t="str">
        <f>IF(OpenLCAbasic!K2432="CTUh", "Fill in Manually",IF(OR(K2432="Unit", K2432=""), "", INDEX(LookUps!$E$5:$E$12, MATCH(OpenLCAbasic!K2432,LookUps!$D$5:$D$12,0))))</f>
        <v>Acidification Potential (AP) - kg SO2 eq</v>
      </c>
      <c r="M2432" s="154" t="str">
        <f t="shared" si="121"/>
        <v>Low_High_Base_Upgraded_Acidification Potential (AP) - kg SO2 eq_Clear Cove Primary Clarification; wastewater treatment unit; at updated plant - US_Base_With Amendment_Windrow</v>
      </c>
    </row>
    <row r="2433" spans="1:13" s="120" customFormat="1" x14ac:dyDescent="0.25">
      <c r="A2433" s="119"/>
      <c r="B2433" s="138" t="str">
        <f t="shared" si="119"/>
        <v>Windrow</v>
      </c>
      <c r="C2433" s="138" t="str">
        <f t="shared" si="120"/>
        <v>Base_With Amendment</v>
      </c>
      <c r="D2433" s="118" t="s">
        <v>139</v>
      </c>
      <c r="E2433" s="118" t="s">
        <v>180</v>
      </c>
      <c r="F2433" s="118" t="s">
        <v>46</v>
      </c>
      <c r="G2433" s="153"/>
      <c r="H2433" s="155">
        <v>1.9231</v>
      </c>
      <c r="I2433" s="154" t="s">
        <v>58</v>
      </c>
      <c r="J2433" s="204">
        <v>4.3600000000000002E-3</v>
      </c>
      <c r="K2433" s="154" t="s">
        <v>24</v>
      </c>
      <c r="L2433" s="154" t="str">
        <f>IF(OpenLCAbasic!K2433="CTUh", "Fill in Manually",IF(OR(K2433="Unit", K2433=""), "", INDEX(LookUps!$E$5:$E$12, MATCH(OpenLCAbasic!K2433,LookUps!$D$5:$D$12,0))))</f>
        <v>Acidification Potential (AP) - kg SO2 eq</v>
      </c>
      <c r="M2433" s="154" t="str">
        <f t="shared" si="121"/>
        <v>Low_High_Base_Upgraded_Acidification Potential (AP) - kg SO2 eq_Pre-Anoxic &amp; Swing tank; wastewater treatment unit; at updated plant - US_Base_With Amendment_Windrow</v>
      </c>
    </row>
    <row r="2434" spans="1:13" s="120" customFormat="1" x14ac:dyDescent="0.25">
      <c r="A2434" s="119"/>
      <c r="B2434" s="138" t="str">
        <f t="shared" si="119"/>
        <v>Windrow</v>
      </c>
      <c r="C2434" s="138" t="str">
        <f t="shared" si="120"/>
        <v>Base_With Amendment</v>
      </c>
      <c r="D2434" s="118" t="s">
        <v>139</v>
      </c>
      <c r="E2434" s="118" t="s">
        <v>180</v>
      </c>
      <c r="F2434" s="118" t="s">
        <v>46</v>
      </c>
      <c r="G2434" s="153"/>
      <c r="H2434" s="155">
        <v>1.5206999999999999</v>
      </c>
      <c r="I2434" s="154" t="s">
        <v>53</v>
      </c>
      <c r="J2434" s="204">
        <v>3.4499999999999999E-3</v>
      </c>
      <c r="K2434" s="154" t="s">
        <v>24</v>
      </c>
      <c r="L2434" s="154" t="str">
        <f>IF(OpenLCAbasic!K2434="CTUh", "Fill in Manually",IF(OR(K2434="Unit", K2434=""), "", INDEX(LookUps!$E$5:$E$12, MATCH(OpenLCAbasic!K2434,LookUps!$D$5:$D$12,0))))</f>
        <v>Acidification Potential (AP) - kg SO2 eq</v>
      </c>
      <c r="M2434" s="154" t="str">
        <f t="shared" si="121"/>
        <v>Low_High_Base_Upgraded_Acidification Potential (AP) - kg SO2 eq_Wet Well and Sump Station; wastewater treatment unit; at updated plant - US_Base_With Amendment_Windrow</v>
      </c>
    </row>
    <row r="2435" spans="1:13" s="120" customFormat="1" x14ac:dyDescent="0.25">
      <c r="A2435" s="119"/>
      <c r="B2435" s="138" t="str">
        <f t="shared" si="119"/>
        <v>Windrow</v>
      </c>
      <c r="C2435" s="138" t="str">
        <f t="shared" si="120"/>
        <v>Base_With Amendment</v>
      </c>
      <c r="D2435" s="118" t="s">
        <v>139</v>
      </c>
      <c r="E2435" s="118" t="s">
        <v>180</v>
      </c>
      <c r="F2435" s="118" t="s">
        <v>46</v>
      </c>
      <c r="G2435" s="153"/>
      <c r="H2435" s="155">
        <v>1.1912</v>
      </c>
      <c r="I2435" s="154" t="s">
        <v>167</v>
      </c>
      <c r="J2435" s="204">
        <v>2.7000000000000001E-3</v>
      </c>
      <c r="K2435" s="154" t="s">
        <v>24</v>
      </c>
      <c r="L2435" s="154" t="str">
        <f>IF(OpenLCAbasic!K2435="CTUh", "Fill in Manually",IF(OR(K2435="Unit", K2435=""), "", INDEX(LookUps!$E$5:$E$12, MATCH(OpenLCAbasic!K2435,LookUps!$D$5:$D$12,0))))</f>
        <v>Acidification Potential (AP) - kg SO2 eq</v>
      </c>
      <c r="M2435" s="154" t="str">
        <f t="shared" si="121"/>
        <v>Low_High_Base_Upgraded_Acidification Potential (AP) - kg SO2 eq_Waste Receiving and Holding; wastewater treatment unit; at updated plant - US_Base_With Amendment_Windrow</v>
      </c>
    </row>
    <row r="2436" spans="1:13" s="120" customFormat="1" x14ac:dyDescent="0.25">
      <c r="A2436" s="119"/>
      <c r="B2436" s="138" t="str">
        <f t="shared" si="119"/>
        <v>Windrow</v>
      </c>
      <c r="C2436" s="138" t="str">
        <f t="shared" si="120"/>
        <v>Base_With Amendment</v>
      </c>
      <c r="D2436" s="118" t="s">
        <v>139</v>
      </c>
      <c r="E2436" s="118" t="s">
        <v>180</v>
      </c>
      <c r="F2436" s="118" t="s">
        <v>46</v>
      </c>
      <c r="G2436" s="153"/>
      <c r="H2436" s="155">
        <v>0.91159999999999997</v>
      </c>
      <c r="I2436" s="154" t="s">
        <v>147</v>
      </c>
      <c r="J2436" s="204">
        <v>2.0699999999999998E-3</v>
      </c>
      <c r="K2436" s="154" t="s">
        <v>24</v>
      </c>
      <c r="L2436" s="154" t="str">
        <f>IF(OpenLCAbasic!K2436="CTUh", "Fill in Manually",IF(OR(K2436="Unit", K2436=""), "", INDEX(LookUps!$E$5:$E$12, MATCH(OpenLCAbasic!K2436,LookUps!$D$5:$D$12,0))))</f>
        <v>Acidification Potential (AP) - kg SO2 eq</v>
      </c>
      <c r="M2436" s="154" t="str">
        <f t="shared" si="121"/>
        <v>Low_High_Base_Upgraded_Acidification Potential (AP) - kg SO2 eq_Influent Pump Station; wastewater treatment unit; at updated plant - US_Base_With Amendment_Windrow</v>
      </c>
    </row>
    <row r="2437" spans="1:13" s="120" customFormat="1" x14ac:dyDescent="0.25">
      <c r="A2437" s="119"/>
      <c r="B2437" s="138" t="str">
        <f t="shared" si="119"/>
        <v>Windrow</v>
      </c>
      <c r="C2437" s="138" t="str">
        <f t="shared" si="120"/>
        <v>Base_With Amendment</v>
      </c>
      <c r="D2437" s="118" t="s">
        <v>139</v>
      </c>
      <c r="E2437" s="118" t="s">
        <v>180</v>
      </c>
      <c r="F2437" s="118" t="s">
        <v>46</v>
      </c>
      <c r="G2437" s="153"/>
      <c r="H2437" s="155">
        <v>0.88</v>
      </c>
      <c r="I2437" s="154" t="s">
        <v>271</v>
      </c>
      <c r="J2437" s="204">
        <v>2E-3</v>
      </c>
      <c r="K2437" s="154" t="s">
        <v>24</v>
      </c>
      <c r="L2437" s="154" t="str">
        <f>IF(OpenLCAbasic!K2437="CTUh", "Fill in Manually",IF(OR(K2437="Unit", K2437=""), "", INDEX(LookUps!$E$5:$E$12, MATCH(OpenLCAbasic!K2437,LookUps!$D$5:$D$12,0))))</f>
        <v>Acidification Potential (AP) - kg SO2 eq</v>
      </c>
      <c r="M2437" s="154" t="str">
        <f t="shared" si="121"/>
        <v>Low_High_Base_Upgraded_Acidification Potential (AP) - kg SO2 eq_Biosolids composting; windrow composting; wastewater treatment unit; at updated plant - US_Base_With Amendment_Windrow</v>
      </c>
    </row>
    <row r="2438" spans="1:13" s="120" customFormat="1" x14ac:dyDescent="0.25">
      <c r="A2438" s="119"/>
      <c r="B2438" s="138" t="str">
        <f t="shared" ref="B2438:B2501" si="122">IF(F2438="Legacy","n.a.",IF(F2438="","","Windrow"))</f>
        <v>Windrow</v>
      </c>
      <c r="C2438" s="138" t="str">
        <f t="shared" si="120"/>
        <v>Base_With Amendment</v>
      </c>
      <c r="D2438" s="118" t="s">
        <v>139</v>
      </c>
      <c r="E2438" s="118" t="s">
        <v>180</v>
      </c>
      <c r="F2438" s="118" t="s">
        <v>46</v>
      </c>
      <c r="G2438" s="153"/>
      <c r="H2438" s="155">
        <v>0.64229999999999998</v>
      </c>
      <c r="I2438" s="154" t="s">
        <v>60</v>
      </c>
      <c r="J2438" s="204">
        <v>1.4599999999999999E-3</v>
      </c>
      <c r="K2438" s="154" t="s">
        <v>24</v>
      </c>
      <c r="L2438" s="154" t="str">
        <f>IF(OpenLCAbasic!K2438="CTUh", "Fill in Manually",IF(OR(K2438="Unit", K2438=""), "", INDEX(LookUps!$E$5:$E$12, MATCH(OpenLCAbasic!K2438,LookUps!$D$5:$D$12,0))))</f>
        <v>Acidification Potential (AP) - kg SO2 eq</v>
      </c>
      <c r="M2438" s="154" t="str">
        <f t="shared" si="121"/>
        <v>Low_High_Base_Upgraded_Acidification Potential (AP) - kg SO2 eq_Belt filter press; wastewater treatment unit; at updated plant - US_Base_With Amendment_Windrow</v>
      </c>
    </row>
    <row r="2439" spans="1:13" s="120" customFormat="1" x14ac:dyDescent="0.25">
      <c r="A2439" s="119"/>
      <c r="B2439" s="138" t="str">
        <f t="shared" si="122"/>
        <v>Windrow</v>
      </c>
      <c r="C2439" s="138" t="str">
        <f t="shared" ref="C2439:C2502" si="123">IF(E2439&lt;&gt;"", "Base_With Amendment","")</f>
        <v>Base_With Amendment</v>
      </c>
      <c r="D2439" s="118" t="s">
        <v>139</v>
      </c>
      <c r="E2439" s="118" t="s">
        <v>180</v>
      </c>
      <c r="F2439" s="118" t="s">
        <v>46</v>
      </c>
      <c r="G2439" s="153"/>
      <c r="H2439" s="155">
        <v>0.54339999999999999</v>
      </c>
      <c r="I2439" s="154" t="s">
        <v>128</v>
      </c>
      <c r="J2439" s="204">
        <v>1.23E-3</v>
      </c>
      <c r="K2439" s="154" t="s">
        <v>24</v>
      </c>
      <c r="L2439" s="154" t="str">
        <f>IF(OpenLCAbasic!K2439="CTUh", "Fill in Manually",IF(OR(K2439="Unit", K2439=""), "", INDEX(LookUps!$E$5:$E$12, MATCH(OpenLCAbasic!K2439,LookUps!$D$5:$D$12,0))))</f>
        <v>Acidification Potential (AP) - kg SO2 eq</v>
      </c>
      <c r="M2439" s="154" t="str">
        <f t="shared" ref="M2439:M2502" si="124">CONCATENATE(E2439,"_",D2439,"_",F2439,"_",L2439, "_",I2439,"_", C2439,"_", B2439)</f>
        <v>Low_High_Base_Upgraded_Acidification Potential (AP) - kg SO2 eq_Wastewater collection; operation and infrastructure; m3 wastewater_Base_With Amendment_Windrow</v>
      </c>
    </row>
    <row r="2440" spans="1:13" s="120" customFormat="1" x14ac:dyDescent="0.25">
      <c r="A2440" s="119"/>
      <c r="B2440" s="138" t="str">
        <f t="shared" si="122"/>
        <v>Windrow</v>
      </c>
      <c r="C2440" s="138" t="str">
        <f t="shared" si="123"/>
        <v>Base_With Amendment</v>
      </c>
      <c r="D2440" s="118" t="s">
        <v>139</v>
      </c>
      <c r="E2440" s="118" t="s">
        <v>180</v>
      </c>
      <c r="F2440" s="118" t="s">
        <v>46</v>
      </c>
      <c r="G2440" s="153"/>
      <c r="H2440" s="155">
        <v>0.31019999999999998</v>
      </c>
      <c r="I2440" s="154" t="s">
        <v>57</v>
      </c>
      <c r="J2440" s="204">
        <v>6.9999999999999999E-4</v>
      </c>
      <c r="K2440" s="154" t="s">
        <v>24</v>
      </c>
      <c r="L2440" s="154" t="str">
        <f>IF(OpenLCAbasic!K2440="CTUh", "Fill in Manually",IF(OR(K2440="Unit", K2440=""), "", INDEX(LookUps!$E$5:$E$12, MATCH(OpenLCAbasic!K2440,LookUps!$D$5:$D$12,0))))</f>
        <v>Acidification Potential (AP) - kg SO2 eq</v>
      </c>
      <c r="M2440" s="154" t="str">
        <f t="shared" si="124"/>
        <v>Low_High_Base_Upgraded_Acidification Potential (AP) - kg SO2 eq_Gravity Belt Thickener; wastewater treatment unit; at updated plant - US_Base_With Amendment_Windrow</v>
      </c>
    </row>
    <row r="2441" spans="1:13" s="120" customFormat="1" x14ac:dyDescent="0.25">
      <c r="A2441" s="119"/>
      <c r="B2441" s="138" t="str">
        <f t="shared" si="122"/>
        <v>Windrow</v>
      </c>
      <c r="C2441" s="138" t="str">
        <f t="shared" si="123"/>
        <v>Base_With Amendment</v>
      </c>
      <c r="D2441" s="118" t="s">
        <v>139</v>
      </c>
      <c r="E2441" s="118" t="s">
        <v>180</v>
      </c>
      <c r="F2441" s="118" t="s">
        <v>46</v>
      </c>
      <c r="G2441" s="153"/>
      <c r="H2441" s="155">
        <v>0.22750000000000001</v>
      </c>
      <c r="I2441" s="154" t="s">
        <v>59</v>
      </c>
      <c r="J2441" s="204">
        <v>5.1999999999999995E-4</v>
      </c>
      <c r="K2441" s="154" t="s">
        <v>24</v>
      </c>
      <c r="L2441" s="154" t="str">
        <f>IF(OpenLCAbasic!K2441="CTUh", "Fill in Manually",IF(OR(K2441="Unit", K2441=""), "", INDEX(LookUps!$E$5:$E$12, MATCH(OpenLCAbasic!K2441,LookUps!$D$5:$D$12,0))))</f>
        <v>Acidification Potential (AP) - kg SO2 eq</v>
      </c>
      <c r="M2441" s="154" t="str">
        <f t="shared" si="124"/>
        <v>Low_High_Base_Upgraded_Acidification Potential (AP) - kg SO2 eq_Blend Tank; wastewater treatment unit; at updated plant - US_Base_With Amendment_Windrow</v>
      </c>
    </row>
    <row r="2442" spans="1:13" s="120" customFormat="1" x14ac:dyDescent="0.25">
      <c r="A2442" s="119"/>
      <c r="B2442" s="138" t="str">
        <f t="shared" si="122"/>
        <v>Windrow</v>
      </c>
      <c r="C2442" s="138" t="str">
        <f t="shared" si="123"/>
        <v>Base_With Amendment</v>
      </c>
      <c r="D2442" s="118" t="s">
        <v>139</v>
      </c>
      <c r="E2442" s="118" t="s">
        <v>180</v>
      </c>
      <c r="F2442" s="118" t="s">
        <v>46</v>
      </c>
      <c r="G2442" s="153"/>
      <c r="H2442" s="155">
        <v>0.1527</v>
      </c>
      <c r="I2442" s="154" t="s">
        <v>48</v>
      </c>
      <c r="J2442" s="204">
        <v>3.5E-4</v>
      </c>
      <c r="K2442" s="154" t="s">
        <v>24</v>
      </c>
      <c r="L2442" s="154" t="str">
        <f>IF(OpenLCAbasic!K2442="CTUh", "Fill in Manually",IF(OR(K2442="Unit", K2442=""), "", INDEX(LookUps!$E$5:$E$12, MATCH(OpenLCAbasic!K2442,LookUps!$D$5:$D$12,0))))</f>
        <v>Acidification Potential (AP) - kg SO2 eq</v>
      </c>
      <c r="M2442" s="154" t="str">
        <f t="shared" si="124"/>
        <v>Low_High_Base_Upgraded_Acidification Potential (AP) - kg SO2 eq_Effluent release; wastewater treatment unit; at surface water; m3 wastewater - US_Base_With Amendment_Windrow</v>
      </c>
    </row>
    <row r="2443" spans="1:13" s="120" customFormat="1" x14ac:dyDescent="0.25">
      <c r="A2443" s="119"/>
      <c r="B2443" s="138" t="str">
        <f t="shared" si="122"/>
        <v>Windrow</v>
      </c>
      <c r="C2443" s="138" t="str">
        <f t="shared" si="123"/>
        <v>Base_With Amendment</v>
      </c>
      <c r="D2443" s="118" t="s">
        <v>139</v>
      </c>
      <c r="E2443" s="118" t="s">
        <v>180</v>
      </c>
      <c r="F2443" s="118" t="s">
        <v>46</v>
      </c>
      <c r="G2443" s="153"/>
      <c r="H2443" s="155">
        <v>0.1125</v>
      </c>
      <c r="I2443" s="154" t="s">
        <v>168</v>
      </c>
      <c r="J2443" s="204">
        <v>2.5999999999999998E-4</v>
      </c>
      <c r="K2443" s="154" t="s">
        <v>24</v>
      </c>
      <c r="L2443" s="154" t="str">
        <f>IF(OpenLCAbasic!K2443="CTUh", "Fill in Manually",IF(OR(K2443="Unit", K2443=""), "", INDEX(LookUps!$E$5:$E$12, MATCH(OpenLCAbasic!K2443,LookUps!$D$5:$D$12,0))))</f>
        <v>Acidification Potential (AP) - kg SO2 eq</v>
      </c>
      <c r="M2443" s="154" t="str">
        <f t="shared" si="124"/>
        <v>Low_High_Base_Upgraded_Acidification Potential (AP) - kg SO2 eq_ClearCove SCP; wastewater treatment unit; at updated plant - US_Base_With Amendment_Windrow</v>
      </c>
    </row>
    <row r="2444" spans="1:13" s="120" customFormat="1" x14ac:dyDescent="0.25">
      <c r="A2444" s="119"/>
      <c r="B2444" s="138" t="str">
        <f t="shared" si="122"/>
        <v>Windrow</v>
      </c>
      <c r="C2444" s="138" t="str">
        <f t="shared" si="123"/>
        <v>Base_With Amendment</v>
      </c>
      <c r="D2444" s="118" t="s">
        <v>139</v>
      </c>
      <c r="E2444" s="118" t="s">
        <v>180</v>
      </c>
      <c r="F2444" s="118" t="s">
        <v>46</v>
      </c>
      <c r="G2444" s="153"/>
      <c r="H2444" s="155">
        <v>1.78E-2</v>
      </c>
      <c r="I2444" s="154" t="s">
        <v>148</v>
      </c>
      <c r="J2444" s="204">
        <v>4.0354700000000002E-5</v>
      </c>
      <c r="K2444" s="154" t="s">
        <v>24</v>
      </c>
      <c r="L2444" s="154" t="str">
        <f>IF(OpenLCAbasic!K2444="CTUh", "Fill in Manually",IF(OR(K2444="Unit", K2444=""), "", INDEX(LookUps!$E$5:$E$12, MATCH(OpenLCAbasic!K2444,LookUps!$D$5:$D$12,0))))</f>
        <v>Acidification Potential (AP) - kg SO2 eq</v>
      </c>
      <c r="M2444" s="154" t="str">
        <f t="shared" si="124"/>
        <v>Low_High_Base_Upgraded_Acidification Potential (AP) - kg SO2 eq_Control Building; at upgraded wastewater treatment plant - US_Base_With Amendment_Windrow</v>
      </c>
    </row>
    <row r="2445" spans="1:13" s="120" customFormat="1" x14ac:dyDescent="0.25">
      <c r="A2445" s="213"/>
      <c r="B2445" s="138" t="str">
        <f t="shared" si="122"/>
        <v>Windrow</v>
      </c>
      <c r="C2445" s="138" t="str">
        <f t="shared" si="123"/>
        <v>Base_With Amendment</v>
      </c>
      <c r="D2445" s="118" t="s">
        <v>139</v>
      </c>
      <c r="E2445" s="118" t="s">
        <v>180</v>
      </c>
      <c r="F2445" s="118" t="s">
        <v>46</v>
      </c>
      <c r="G2445" s="153"/>
      <c r="H2445" s="155">
        <v>-19.700900000000001</v>
      </c>
      <c r="I2445" s="154" t="s">
        <v>149</v>
      </c>
      <c r="J2445" s="203">
        <v>-4.4699999999999997E-2</v>
      </c>
      <c r="K2445" s="154" t="s">
        <v>24</v>
      </c>
      <c r="L2445" s="154" t="str">
        <f>IF(OpenLCAbasic!K2445="CTUh", "Fill in Manually",IF(OR(K2445="Unit", K2445=""), "", INDEX(LookUps!$E$5:$E$12, MATCH(OpenLCAbasic!K2445,LookUps!$D$5:$D$12,0))))</f>
        <v>Acidification Potential (AP) - kg SO2 eq</v>
      </c>
      <c r="M2445" s="154" t="str">
        <f t="shared" si="124"/>
        <v>Low_High_Base_Upgraded_Acidification Potential (AP) - kg SO2 eq_Anaerobic Digestion; wastewater treatment unit; at updated plant - US_Base_With Amendment_Windrow</v>
      </c>
    </row>
    <row r="2446" spans="1:13" s="120" customFormat="1" x14ac:dyDescent="0.25">
      <c r="A2446" s="119"/>
      <c r="B2446" s="138" t="str">
        <f t="shared" si="122"/>
        <v/>
      </c>
      <c r="C2446" s="138" t="str">
        <f t="shared" si="123"/>
        <v/>
      </c>
      <c r="D2446" s="138"/>
      <c r="E2446" s="138"/>
      <c r="F2446" s="138"/>
      <c r="G2446" s="153"/>
      <c r="H2446" s="160"/>
      <c r="I2446" s="160"/>
      <c r="J2446" s="207"/>
      <c r="K2446" s="160"/>
      <c r="L2446" s="154" t="str">
        <f>IF(OpenLCAbasic!K2446="CTUh", "Fill in Manually",IF(OR(K2446="Unit", K2446=""), "", INDEX(LookUps!$E$5:$E$12, MATCH(OpenLCAbasic!K2446,LookUps!$D$5:$D$12,0))))</f>
        <v/>
      </c>
      <c r="M2446" s="154" t="str">
        <f t="shared" si="124"/>
        <v>______</v>
      </c>
    </row>
    <row r="2447" spans="1:13" s="120" customFormat="1" x14ac:dyDescent="0.25">
      <c r="A2447" s="119"/>
      <c r="B2447" s="138" t="str">
        <f t="shared" si="122"/>
        <v>Windrow</v>
      </c>
      <c r="C2447" s="138" t="str">
        <f t="shared" si="123"/>
        <v>Base_With Amendment</v>
      </c>
      <c r="D2447" s="118" t="s">
        <v>140</v>
      </c>
      <c r="E2447" s="118" t="s">
        <v>180</v>
      </c>
      <c r="F2447" s="118" t="s">
        <v>46</v>
      </c>
      <c r="G2447" s="153" t="s">
        <v>51</v>
      </c>
      <c r="H2447" s="154"/>
      <c r="I2447" s="154" t="s">
        <v>47</v>
      </c>
      <c r="J2447" s="154" t="s">
        <v>52</v>
      </c>
      <c r="K2447" s="154" t="s">
        <v>27</v>
      </c>
      <c r="L2447" s="154" t="str">
        <f>IF(OpenLCAbasic!K2447="CTUh", "Fill in Manually",IF(OR(K2447="Unit", K2447=""), "", INDEX(LookUps!$E$5:$E$12, MATCH(OpenLCAbasic!K2447,LookUps!$D$5:$D$12,0))))</f>
        <v/>
      </c>
      <c r="M2447" s="154" t="str">
        <f t="shared" si="124"/>
        <v>Low_High_High_Upgraded__Process_Base_With Amendment_Windrow</v>
      </c>
    </row>
    <row r="2448" spans="1:13" s="120" customFormat="1" x14ac:dyDescent="0.25">
      <c r="A2448" s="119"/>
      <c r="B2448" s="138" t="str">
        <f t="shared" si="122"/>
        <v>Windrow</v>
      </c>
      <c r="C2448" s="138" t="str">
        <f t="shared" si="123"/>
        <v>Base_With Amendment</v>
      </c>
      <c r="D2448" s="118" t="s">
        <v>140</v>
      </c>
      <c r="E2448" s="118" t="s">
        <v>180</v>
      </c>
      <c r="F2448" s="118" t="s">
        <v>46</v>
      </c>
      <c r="G2448" s="153"/>
      <c r="H2448" s="155">
        <v>0.34320000000000001</v>
      </c>
      <c r="I2448" s="154" t="s">
        <v>58</v>
      </c>
      <c r="J2448" s="203">
        <v>0.24992</v>
      </c>
      <c r="K2448" s="154" t="s">
        <v>23</v>
      </c>
      <c r="L2448" s="154" t="str">
        <f>IF(OpenLCAbasic!K2448="CTUh", "Fill in Manually",IF(OR(K2448="Unit", K2448=""), "", INDEX(LookUps!$E$5:$E$12, MATCH(OpenLCAbasic!K2448,LookUps!$D$5:$D$12,0))))</f>
        <v>Global Warming Potential (GWP) - kg CO2 eq</v>
      </c>
      <c r="M2448" s="154" t="str">
        <f t="shared" si="124"/>
        <v>Low_High_High_Upgraded_Global Warming Potential (GWP) - kg CO2 eq_Pre-Anoxic &amp; Swing tank; wastewater treatment unit; at updated plant - US_Base_With Amendment_Windrow</v>
      </c>
    </row>
    <row r="2449" spans="1:13" s="120" customFormat="1" x14ac:dyDescent="0.25">
      <c r="A2449" s="119"/>
      <c r="B2449" s="138" t="str">
        <f t="shared" si="122"/>
        <v>Windrow</v>
      </c>
      <c r="C2449" s="138" t="str">
        <f t="shared" si="123"/>
        <v>Base_With Amendment</v>
      </c>
      <c r="D2449" s="118" t="s">
        <v>140</v>
      </c>
      <c r="E2449" s="118" t="s">
        <v>180</v>
      </c>
      <c r="F2449" s="118" t="s">
        <v>46</v>
      </c>
      <c r="G2449" s="153"/>
      <c r="H2449" s="155">
        <v>0.23180000000000001</v>
      </c>
      <c r="I2449" s="154" t="s">
        <v>271</v>
      </c>
      <c r="J2449" s="203">
        <v>0.16880000000000001</v>
      </c>
      <c r="K2449" s="154" t="s">
        <v>23</v>
      </c>
      <c r="L2449" s="154" t="str">
        <f>IF(OpenLCAbasic!K2449="CTUh", "Fill in Manually",IF(OR(K2449="Unit", K2449=""), "", INDEX(LookUps!$E$5:$E$12, MATCH(OpenLCAbasic!K2449,LookUps!$D$5:$D$12,0))))</f>
        <v>Global Warming Potential (GWP) - kg CO2 eq</v>
      </c>
      <c r="M2449" s="154" t="str">
        <f t="shared" si="124"/>
        <v>Low_High_High_Upgraded_Global Warming Potential (GWP) - kg CO2 eq_Biosolids composting; windrow composting; wastewater treatment unit; at updated plant - US_Base_With Amendment_Windrow</v>
      </c>
    </row>
    <row r="2450" spans="1:13" s="120" customFormat="1" x14ac:dyDescent="0.25">
      <c r="A2450" s="119"/>
      <c r="B2450" s="138" t="str">
        <f t="shared" si="122"/>
        <v>Windrow</v>
      </c>
      <c r="C2450" s="138" t="str">
        <f t="shared" si="123"/>
        <v>Base_With Amendment</v>
      </c>
      <c r="D2450" s="118" t="s">
        <v>140</v>
      </c>
      <c r="E2450" s="118" t="s">
        <v>180</v>
      </c>
      <c r="F2450" s="118" t="s">
        <v>46</v>
      </c>
      <c r="G2450" s="153"/>
      <c r="H2450" s="155">
        <v>0.23100000000000001</v>
      </c>
      <c r="I2450" s="154" t="s">
        <v>55</v>
      </c>
      <c r="J2450" s="203">
        <v>0.16822000000000001</v>
      </c>
      <c r="K2450" s="154" t="s">
        <v>23</v>
      </c>
      <c r="L2450" s="154" t="str">
        <f>IF(OpenLCAbasic!K2450="CTUh", "Fill in Manually",IF(OR(K2450="Unit", K2450=""), "", INDEX(LookUps!$E$5:$E$12, MATCH(OpenLCAbasic!K2450,LookUps!$D$5:$D$12,0))))</f>
        <v>Global Warming Potential (GWP) - kg CO2 eq</v>
      </c>
      <c r="M2450" s="154" t="str">
        <f t="shared" si="124"/>
        <v>Low_High_High_Upgraded_Global Warming Potential (GWP) - kg CO2 eq_Aeration Tanks; wastewater treatment unit; at updated plant - US_Base_With Amendment_Windrow</v>
      </c>
    </row>
    <row r="2451" spans="1:13" s="120" customFormat="1" x14ac:dyDescent="0.25">
      <c r="A2451" s="119"/>
      <c r="B2451" s="138" t="str">
        <f t="shared" si="122"/>
        <v>Windrow</v>
      </c>
      <c r="C2451" s="138" t="str">
        <f t="shared" si="123"/>
        <v>Base_With Amendment</v>
      </c>
      <c r="D2451" s="118" t="s">
        <v>140</v>
      </c>
      <c r="E2451" s="118" t="s">
        <v>180</v>
      </c>
      <c r="F2451" s="118" t="s">
        <v>46</v>
      </c>
      <c r="G2451" s="153"/>
      <c r="H2451" s="155">
        <v>0.2016</v>
      </c>
      <c r="I2451" s="154" t="s">
        <v>167</v>
      </c>
      <c r="J2451" s="203">
        <v>0.14685000000000001</v>
      </c>
      <c r="K2451" s="154" t="s">
        <v>23</v>
      </c>
      <c r="L2451" s="154" t="str">
        <f>IF(OpenLCAbasic!K2451="CTUh", "Fill in Manually",IF(OR(K2451="Unit", K2451=""), "", INDEX(LookUps!$E$5:$E$12, MATCH(OpenLCAbasic!K2451,LookUps!$D$5:$D$12,0))))</f>
        <v>Global Warming Potential (GWP) - kg CO2 eq</v>
      </c>
      <c r="M2451" s="154" t="str">
        <f t="shared" si="124"/>
        <v>Low_High_High_Upgraded_Global Warming Potential (GWP) - kg CO2 eq_Waste Receiving and Holding; wastewater treatment unit; at updated plant - US_Base_With Amendment_Windrow</v>
      </c>
    </row>
    <row r="2452" spans="1:13" s="120" customFormat="1" x14ac:dyDescent="0.25">
      <c r="A2452" s="119"/>
      <c r="B2452" s="138" t="str">
        <f t="shared" si="122"/>
        <v>Windrow</v>
      </c>
      <c r="C2452" s="138" t="str">
        <f t="shared" si="123"/>
        <v>Base_With Amendment</v>
      </c>
      <c r="D2452" s="118" t="s">
        <v>140</v>
      </c>
      <c r="E2452" s="118" t="s">
        <v>180</v>
      </c>
      <c r="F2452" s="118" t="s">
        <v>46</v>
      </c>
      <c r="G2452" s="153"/>
      <c r="H2452" s="155">
        <v>7.8399999999999997E-2</v>
      </c>
      <c r="I2452" s="154" t="s">
        <v>54</v>
      </c>
      <c r="J2452" s="203">
        <v>5.7079999999999999E-2</v>
      </c>
      <c r="K2452" s="154" t="s">
        <v>23</v>
      </c>
      <c r="L2452" s="154" t="str">
        <f>IF(OpenLCAbasic!K2452="CTUh", "Fill in Manually",IF(OR(K2452="Unit", K2452=""), "", INDEX(LookUps!$E$5:$E$12, MATCH(OpenLCAbasic!K2452,LookUps!$D$5:$D$12,0))))</f>
        <v>Global Warming Potential (GWP) - kg CO2 eq</v>
      </c>
      <c r="M2452" s="154" t="str">
        <f t="shared" si="124"/>
        <v>Low_High_High_Upgraded_Global Warming Potential (GWP) - kg CO2 eq_Clear Cove Primary Clarification; wastewater treatment unit; at updated plant - US_Base_With Amendment_Windrow</v>
      </c>
    </row>
    <row r="2453" spans="1:13" s="120" customFormat="1" x14ac:dyDescent="0.25">
      <c r="A2453" s="119"/>
      <c r="B2453" s="138" t="str">
        <f t="shared" si="122"/>
        <v>Windrow</v>
      </c>
      <c r="C2453" s="138" t="str">
        <f t="shared" si="123"/>
        <v>Base_With Amendment</v>
      </c>
      <c r="D2453" s="118" t="s">
        <v>140</v>
      </c>
      <c r="E2453" s="118" t="s">
        <v>180</v>
      </c>
      <c r="F2453" s="118" t="s">
        <v>46</v>
      </c>
      <c r="G2453" s="153"/>
      <c r="H2453" s="155">
        <v>7.2300000000000003E-2</v>
      </c>
      <c r="I2453" s="154" t="s">
        <v>48</v>
      </c>
      <c r="J2453" s="203">
        <v>5.2639999999999999E-2</v>
      </c>
      <c r="K2453" s="154" t="s">
        <v>23</v>
      </c>
      <c r="L2453" s="154" t="str">
        <f>IF(OpenLCAbasic!K2453="CTUh", "Fill in Manually",IF(OR(K2453="Unit", K2453=""), "", INDEX(LookUps!$E$5:$E$12, MATCH(OpenLCAbasic!K2453,LookUps!$D$5:$D$12,0))))</f>
        <v>Global Warming Potential (GWP) - kg CO2 eq</v>
      </c>
      <c r="M2453" s="154" t="str">
        <f t="shared" si="124"/>
        <v>Low_High_High_Upgraded_Global Warming Potential (GWP) - kg CO2 eq_Effluent release; wastewater treatment unit; at surface water; m3 wastewater - US_Base_With Amendment_Windrow</v>
      </c>
    </row>
    <row r="2454" spans="1:13" s="120" customFormat="1" x14ac:dyDescent="0.25">
      <c r="A2454" s="119"/>
      <c r="B2454" s="138" t="str">
        <f t="shared" si="122"/>
        <v>Windrow</v>
      </c>
      <c r="C2454" s="138" t="str">
        <f t="shared" si="123"/>
        <v>Base_With Amendment</v>
      </c>
      <c r="D2454" s="118" t="s">
        <v>140</v>
      </c>
      <c r="E2454" s="118" t="s">
        <v>180</v>
      </c>
      <c r="F2454" s="118" t="s">
        <v>46</v>
      </c>
      <c r="G2454" s="153"/>
      <c r="H2454" s="155">
        <v>6.93E-2</v>
      </c>
      <c r="I2454" s="154" t="s">
        <v>147</v>
      </c>
      <c r="J2454" s="203">
        <v>5.0500000000000003E-2</v>
      </c>
      <c r="K2454" s="154" t="s">
        <v>23</v>
      </c>
      <c r="L2454" s="154" t="str">
        <f>IF(OpenLCAbasic!K2454="CTUh", "Fill in Manually",IF(OR(K2454="Unit", K2454=""), "", INDEX(LookUps!$E$5:$E$12, MATCH(OpenLCAbasic!K2454,LookUps!$D$5:$D$12,0))))</f>
        <v>Global Warming Potential (GWP) - kg CO2 eq</v>
      </c>
      <c r="M2454" s="154" t="str">
        <f t="shared" si="124"/>
        <v>Low_High_High_Upgraded_Global Warming Potential (GWP) - kg CO2 eq_Influent Pump Station; wastewater treatment unit; at updated plant - US_Base_With Amendment_Windrow</v>
      </c>
    </row>
    <row r="2455" spans="1:13" s="120" customFormat="1" x14ac:dyDescent="0.25">
      <c r="A2455" s="119"/>
      <c r="B2455" s="138" t="str">
        <f t="shared" si="122"/>
        <v>Windrow</v>
      </c>
      <c r="C2455" s="138" t="str">
        <f t="shared" si="123"/>
        <v>Base_With Amendment</v>
      </c>
      <c r="D2455" s="118" t="s">
        <v>140</v>
      </c>
      <c r="E2455" s="118" t="s">
        <v>180</v>
      </c>
      <c r="F2455" s="118" t="s">
        <v>46</v>
      </c>
      <c r="G2455" s="153"/>
      <c r="H2455" s="155">
        <v>4.5699999999999998E-2</v>
      </c>
      <c r="I2455" s="154" t="s">
        <v>53</v>
      </c>
      <c r="J2455" s="203">
        <v>3.3259999999999998E-2</v>
      </c>
      <c r="K2455" s="154" t="s">
        <v>23</v>
      </c>
      <c r="L2455" s="154" t="str">
        <f>IF(OpenLCAbasic!K2455="CTUh", "Fill in Manually",IF(OR(K2455="Unit", K2455=""), "", INDEX(LookUps!$E$5:$E$12, MATCH(OpenLCAbasic!K2455,LookUps!$D$5:$D$12,0))))</f>
        <v>Global Warming Potential (GWP) - kg CO2 eq</v>
      </c>
      <c r="M2455" s="154" t="str">
        <f t="shared" si="124"/>
        <v>Low_High_High_Upgraded_Global Warming Potential (GWP) - kg CO2 eq_Wet Well and Sump Station; wastewater treatment unit; at updated plant - US_Base_With Amendment_Windrow</v>
      </c>
    </row>
    <row r="2456" spans="1:13" s="120" customFormat="1" x14ac:dyDescent="0.25">
      <c r="A2456" s="119"/>
      <c r="B2456" s="138" t="str">
        <f t="shared" si="122"/>
        <v>Windrow</v>
      </c>
      <c r="C2456" s="138" t="str">
        <f t="shared" si="123"/>
        <v>Base_With Amendment</v>
      </c>
      <c r="D2456" s="118" t="s">
        <v>140</v>
      </c>
      <c r="E2456" s="118" t="s">
        <v>180</v>
      </c>
      <c r="F2456" s="118" t="s">
        <v>46</v>
      </c>
      <c r="G2456" s="153"/>
      <c r="H2456" s="155">
        <v>3.1399999999999997E-2</v>
      </c>
      <c r="I2456" s="154" t="s">
        <v>60</v>
      </c>
      <c r="J2456" s="203">
        <v>2.2880000000000001E-2</v>
      </c>
      <c r="K2456" s="154" t="s">
        <v>23</v>
      </c>
      <c r="L2456" s="154" t="str">
        <f>IF(OpenLCAbasic!K2456="CTUh", "Fill in Manually",IF(OR(K2456="Unit", K2456=""), "", INDEX(LookUps!$E$5:$E$12, MATCH(OpenLCAbasic!K2456,LookUps!$D$5:$D$12,0))))</f>
        <v>Global Warming Potential (GWP) - kg CO2 eq</v>
      </c>
      <c r="M2456" s="154" t="str">
        <f t="shared" si="124"/>
        <v>Low_High_High_Upgraded_Global Warming Potential (GWP) - kg CO2 eq_Belt filter press; wastewater treatment unit; at updated plant - US_Base_With Amendment_Windrow</v>
      </c>
    </row>
    <row r="2457" spans="1:13" s="120" customFormat="1" x14ac:dyDescent="0.25">
      <c r="A2457" s="119"/>
      <c r="B2457" s="138" t="str">
        <f t="shared" si="122"/>
        <v>Windrow</v>
      </c>
      <c r="C2457" s="138" t="str">
        <f t="shared" si="123"/>
        <v>Base_With Amendment</v>
      </c>
      <c r="D2457" s="118" t="s">
        <v>140</v>
      </c>
      <c r="E2457" s="118" t="s">
        <v>180</v>
      </c>
      <c r="F2457" s="118" t="s">
        <v>46</v>
      </c>
      <c r="G2457" s="153"/>
      <c r="H2457" s="155">
        <v>0.02</v>
      </c>
      <c r="I2457" s="154" t="s">
        <v>57</v>
      </c>
      <c r="J2457" s="203">
        <v>1.455E-2</v>
      </c>
      <c r="K2457" s="154" t="s">
        <v>23</v>
      </c>
      <c r="L2457" s="154" t="str">
        <f>IF(OpenLCAbasic!K2457="CTUh", "Fill in Manually",IF(OR(K2457="Unit", K2457=""), "", INDEX(LookUps!$E$5:$E$12, MATCH(OpenLCAbasic!K2457,LookUps!$D$5:$D$12,0))))</f>
        <v>Global Warming Potential (GWP) - kg CO2 eq</v>
      </c>
      <c r="M2457" s="154" t="str">
        <f t="shared" si="124"/>
        <v>Low_High_High_Upgraded_Global Warming Potential (GWP) - kg CO2 eq_Gravity Belt Thickener; wastewater treatment unit; at updated plant - US_Base_With Amendment_Windrow</v>
      </c>
    </row>
    <row r="2458" spans="1:13" s="120" customFormat="1" x14ac:dyDescent="0.25">
      <c r="A2458" s="119"/>
      <c r="B2458" s="138" t="str">
        <f t="shared" si="122"/>
        <v>Windrow</v>
      </c>
      <c r="C2458" s="138" t="str">
        <f t="shared" si="123"/>
        <v>Base_With Amendment</v>
      </c>
      <c r="D2458" s="118" t="s">
        <v>140</v>
      </c>
      <c r="E2458" s="118" t="s">
        <v>180</v>
      </c>
      <c r="F2458" s="118" t="s">
        <v>46</v>
      </c>
      <c r="G2458" s="153"/>
      <c r="H2458" s="155">
        <v>1.8499999999999999E-2</v>
      </c>
      <c r="I2458" s="154" t="s">
        <v>128</v>
      </c>
      <c r="J2458" s="204">
        <v>1.3509999999999999E-2</v>
      </c>
      <c r="K2458" s="154" t="s">
        <v>23</v>
      </c>
      <c r="L2458" s="154" t="str">
        <f>IF(OpenLCAbasic!K2458="CTUh", "Fill in Manually",IF(OR(K2458="Unit", K2458=""), "", INDEX(LookUps!$E$5:$E$12, MATCH(OpenLCAbasic!K2458,LookUps!$D$5:$D$12,0))))</f>
        <v>Global Warming Potential (GWP) - kg CO2 eq</v>
      </c>
      <c r="M2458" s="154" t="str">
        <f t="shared" si="124"/>
        <v>Low_High_High_Upgraded_Global Warming Potential (GWP) - kg CO2 eq_Wastewater collection; operation and infrastructure; m3 wastewater_Base_With Amendment_Windrow</v>
      </c>
    </row>
    <row r="2459" spans="1:13" s="120" customFormat="1" x14ac:dyDescent="0.25">
      <c r="A2459" s="119"/>
      <c r="B2459" s="138" t="str">
        <f t="shared" si="122"/>
        <v>Windrow</v>
      </c>
      <c r="C2459" s="138" t="str">
        <f t="shared" si="123"/>
        <v>Base_With Amendment</v>
      </c>
      <c r="D2459" s="118" t="s">
        <v>140</v>
      </c>
      <c r="E2459" s="118" t="s">
        <v>180</v>
      </c>
      <c r="F2459" s="118" t="s">
        <v>46</v>
      </c>
      <c r="G2459" s="153"/>
      <c r="H2459" s="155">
        <v>1.14E-2</v>
      </c>
      <c r="I2459" s="154" t="s">
        <v>148</v>
      </c>
      <c r="J2459" s="204">
        <v>8.3000000000000001E-3</v>
      </c>
      <c r="K2459" s="154" t="s">
        <v>23</v>
      </c>
      <c r="L2459" s="154" t="str">
        <f>IF(OpenLCAbasic!K2459="CTUh", "Fill in Manually",IF(OR(K2459="Unit", K2459=""), "", INDEX(LookUps!$E$5:$E$12, MATCH(OpenLCAbasic!K2459,LookUps!$D$5:$D$12,0))))</f>
        <v>Global Warming Potential (GWP) - kg CO2 eq</v>
      </c>
      <c r="M2459" s="154" t="str">
        <f t="shared" si="124"/>
        <v>Low_High_High_Upgraded_Global Warming Potential (GWP) - kg CO2 eq_Control Building; at upgraded wastewater treatment plant - US_Base_With Amendment_Windrow</v>
      </c>
    </row>
    <row r="2460" spans="1:13" s="120" customFormat="1" x14ac:dyDescent="0.25">
      <c r="A2460" s="119"/>
      <c r="B2460" s="138" t="str">
        <f t="shared" si="122"/>
        <v>Windrow</v>
      </c>
      <c r="C2460" s="138" t="str">
        <f t="shared" si="123"/>
        <v>Base_With Amendment</v>
      </c>
      <c r="D2460" s="118" t="s">
        <v>140</v>
      </c>
      <c r="E2460" s="118" t="s">
        <v>180</v>
      </c>
      <c r="F2460" s="118" t="s">
        <v>46</v>
      </c>
      <c r="G2460" s="153"/>
      <c r="H2460" s="155">
        <v>6.8999999999999999E-3</v>
      </c>
      <c r="I2460" s="154" t="s">
        <v>59</v>
      </c>
      <c r="J2460" s="204">
        <v>5.0400000000000002E-3</v>
      </c>
      <c r="K2460" s="154" t="s">
        <v>23</v>
      </c>
      <c r="L2460" s="154" t="str">
        <f>IF(OpenLCAbasic!K2460="CTUh", "Fill in Manually",IF(OR(K2460="Unit", K2460=""), "", INDEX(LookUps!$E$5:$E$12, MATCH(OpenLCAbasic!K2460,LookUps!$D$5:$D$12,0))))</f>
        <v>Global Warming Potential (GWP) - kg CO2 eq</v>
      </c>
      <c r="M2460" s="154" t="str">
        <f t="shared" si="124"/>
        <v>Low_High_High_Upgraded_Global Warming Potential (GWP) - kg CO2 eq_Blend Tank; wastewater treatment unit; at updated plant - US_Base_With Amendment_Windrow</v>
      </c>
    </row>
    <row r="2461" spans="1:13" s="120" customFormat="1" x14ac:dyDescent="0.25">
      <c r="A2461" s="119"/>
      <c r="B2461" s="138" t="str">
        <f t="shared" si="122"/>
        <v>Windrow</v>
      </c>
      <c r="C2461" s="138" t="str">
        <f t="shared" si="123"/>
        <v>Base_With Amendment</v>
      </c>
      <c r="D2461" s="118" t="s">
        <v>140</v>
      </c>
      <c r="E2461" s="118" t="s">
        <v>180</v>
      </c>
      <c r="F2461" s="118" t="s">
        <v>46</v>
      </c>
      <c r="G2461" s="153"/>
      <c r="H2461" s="155">
        <v>3.3E-3</v>
      </c>
      <c r="I2461" s="154" t="s">
        <v>168</v>
      </c>
      <c r="J2461" s="204">
        <v>2.4099999999999998E-3</v>
      </c>
      <c r="K2461" s="154" t="s">
        <v>23</v>
      </c>
      <c r="L2461" s="154" t="str">
        <f>IF(OpenLCAbasic!K2461="CTUh", "Fill in Manually",IF(OR(K2461="Unit", K2461=""), "", INDEX(LookUps!$E$5:$E$12, MATCH(OpenLCAbasic!K2461,LookUps!$D$5:$D$12,0))))</f>
        <v>Global Warming Potential (GWP) - kg CO2 eq</v>
      </c>
      <c r="M2461" s="154" t="str">
        <f t="shared" si="124"/>
        <v>Low_High_High_Upgraded_Global Warming Potential (GWP) - kg CO2 eq_ClearCove SCP; wastewater treatment unit; at updated plant - US_Base_With Amendment_Windrow</v>
      </c>
    </row>
    <row r="2462" spans="1:13" s="120" customFormat="1" x14ac:dyDescent="0.25">
      <c r="A2462" s="119"/>
      <c r="B2462" s="138" t="str">
        <f t="shared" si="122"/>
        <v>Windrow</v>
      </c>
      <c r="C2462" s="138" t="str">
        <f t="shared" si="123"/>
        <v>Base_With Amendment</v>
      </c>
      <c r="D2462" s="118" t="s">
        <v>140</v>
      </c>
      <c r="E2462" s="118" t="s">
        <v>180</v>
      </c>
      <c r="F2462" s="118" t="s">
        <v>46</v>
      </c>
      <c r="G2462" s="153"/>
      <c r="H2462" s="155">
        <v>-1.1429</v>
      </c>
      <c r="I2462" s="154" t="s">
        <v>62</v>
      </c>
      <c r="J2462" s="203">
        <v>-0.83233999999999997</v>
      </c>
      <c r="K2462" s="154" t="s">
        <v>23</v>
      </c>
      <c r="L2462" s="154" t="str">
        <f>IF(OpenLCAbasic!K2462="CTUh", "Fill in Manually",IF(OR(K2462="Unit", K2462=""), "", INDEX(LookUps!$E$5:$E$12, MATCH(OpenLCAbasic!K2462,LookUps!$D$5:$D$12,0))))</f>
        <v>Global Warming Potential (GWP) - kg CO2 eq</v>
      </c>
      <c r="M2462" s="154" t="str">
        <f t="shared" si="124"/>
        <v>Low_High_High_Upgraded_Global Warming Potential (GWP) - kg CO2 eq_Land application of compost; wastewater treatment unit; at updated plant - US_Base_With Amendment_Windrow</v>
      </c>
    </row>
    <row r="2463" spans="1:13" s="120" customFormat="1" x14ac:dyDescent="0.25">
      <c r="A2463" s="119"/>
      <c r="B2463" s="138" t="str">
        <f t="shared" si="122"/>
        <v>Windrow</v>
      </c>
      <c r="C2463" s="138" t="str">
        <f t="shared" si="123"/>
        <v>Base_With Amendment</v>
      </c>
      <c r="D2463" s="118" t="s">
        <v>140</v>
      </c>
      <c r="E2463" s="118" t="s">
        <v>180</v>
      </c>
      <c r="F2463" s="118" t="s">
        <v>46</v>
      </c>
      <c r="G2463" s="153"/>
      <c r="H2463" s="155">
        <v>-1.2219</v>
      </c>
      <c r="I2463" s="154" t="s">
        <v>149</v>
      </c>
      <c r="J2463" s="203">
        <v>-0.88992000000000004</v>
      </c>
      <c r="K2463" s="154" t="s">
        <v>23</v>
      </c>
      <c r="L2463" s="154" t="str">
        <f>IF(OpenLCAbasic!K2463="CTUh", "Fill in Manually",IF(OR(K2463="Unit", K2463=""), "", INDEX(LookUps!$E$5:$E$12, MATCH(OpenLCAbasic!K2463,LookUps!$D$5:$D$12,0))))</f>
        <v>Global Warming Potential (GWP) - kg CO2 eq</v>
      </c>
      <c r="M2463" s="154" t="str">
        <f t="shared" si="124"/>
        <v>Low_High_High_Upgraded_Global Warming Potential (GWP) - kg CO2 eq_Anaerobic Digestion; wastewater treatment unit; at updated plant - US_Base_With Amendment_Windrow</v>
      </c>
    </row>
    <row r="2464" spans="1:13" s="120" customFormat="1" x14ac:dyDescent="0.25">
      <c r="A2464" s="119"/>
      <c r="B2464" s="138" t="str">
        <f t="shared" si="122"/>
        <v>Windrow</v>
      </c>
      <c r="C2464" s="138" t="str">
        <f t="shared" si="123"/>
        <v>Base_With Amendment</v>
      </c>
      <c r="D2464" s="118" t="s">
        <v>140</v>
      </c>
      <c r="E2464" s="118" t="s">
        <v>180</v>
      </c>
      <c r="F2464" s="118" t="s">
        <v>46</v>
      </c>
      <c r="G2464" s="153" t="s">
        <v>51</v>
      </c>
      <c r="H2464" s="154"/>
      <c r="I2464" s="154" t="s">
        <v>47</v>
      </c>
      <c r="J2464" s="154" t="s">
        <v>52</v>
      </c>
      <c r="K2464" s="154" t="s">
        <v>27</v>
      </c>
      <c r="L2464" s="154" t="str">
        <f>IF(OpenLCAbasic!K2464="CTUh", "Fill in Manually",IF(OR(K2464="Unit", K2464=""), "", INDEX(LookUps!$E$5:$E$12, MATCH(OpenLCAbasic!K2464,LookUps!$D$5:$D$12,0))))</f>
        <v/>
      </c>
      <c r="M2464" s="154" t="str">
        <f t="shared" si="124"/>
        <v>Low_High_High_Upgraded__Process_Base_With Amendment_Windrow</v>
      </c>
    </row>
    <row r="2465" spans="1:13" s="120" customFormat="1" x14ac:dyDescent="0.25">
      <c r="A2465" s="119"/>
      <c r="B2465" s="138" t="str">
        <f t="shared" si="122"/>
        <v>Windrow</v>
      </c>
      <c r="C2465" s="138" t="str">
        <f t="shared" si="123"/>
        <v>Base_With Amendment</v>
      </c>
      <c r="D2465" s="118" t="s">
        <v>140</v>
      </c>
      <c r="E2465" s="118" t="s">
        <v>180</v>
      </c>
      <c r="F2465" s="118" t="s">
        <v>46</v>
      </c>
      <c r="G2465" s="153"/>
      <c r="H2465" s="155">
        <v>0.81359999999999999</v>
      </c>
      <c r="I2465" s="154" t="s">
        <v>48</v>
      </c>
      <c r="J2465" s="203">
        <v>1.1610000000000001E-2</v>
      </c>
      <c r="K2465" s="154" t="s">
        <v>13</v>
      </c>
      <c r="L2465" s="154" t="str">
        <f>IF(OpenLCAbasic!K2465="CTUh", "Fill in Manually",IF(OR(K2465="Unit", K2465=""), "", INDEX(LookUps!$E$5:$E$12, MATCH(OpenLCAbasic!K2465,LookUps!$D$5:$D$12,0))))</f>
        <v>Eutrophication Potential (EP) - kg N eq</v>
      </c>
      <c r="M2465" s="154" t="str">
        <f t="shared" si="124"/>
        <v>Low_High_High_Upgraded_Eutrophication Potential (EP) - kg N eq_Effluent release; wastewater treatment unit; at surface water; m3 wastewater - US_Base_With Amendment_Windrow</v>
      </c>
    </row>
    <row r="2466" spans="1:13" s="120" customFormat="1" x14ac:dyDescent="0.25">
      <c r="A2466" s="119"/>
      <c r="B2466" s="138" t="str">
        <f t="shared" si="122"/>
        <v>Windrow</v>
      </c>
      <c r="C2466" s="138" t="str">
        <f t="shared" si="123"/>
        <v>Base_With Amendment</v>
      </c>
      <c r="D2466" s="118" t="s">
        <v>140</v>
      </c>
      <c r="E2466" s="118" t="s">
        <v>180</v>
      </c>
      <c r="F2466" s="118" t="s">
        <v>46</v>
      </c>
      <c r="G2466" s="153"/>
      <c r="H2466" s="155">
        <v>0.26619999999999999</v>
      </c>
      <c r="I2466" s="154" t="s">
        <v>62</v>
      </c>
      <c r="J2466" s="204">
        <v>3.8E-3</v>
      </c>
      <c r="K2466" s="154" t="s">
        <v>13</v>
      </c>
      <c r="L2466" s="154" t="str">
        <f>IF(OpenLCAbasic!K2466="CTUh", "Fill in Manually",IF(OR(K2466="Unit", K2466=""), "", INDEX(LookUps!$E$5:$E$12, MATCH(OpenLCAbasic!K2466,LookUps!$D$5:$D$12,0))))</f>
        <v>Eutrophication Potential (EP) - kg N eq</v>
      </c>
      <c r="M2466" s="154" t="str">
        <f t="shared" si="124"/>
        <v>Low_High_High_Upgraded_Eutrophication Potential (EP) - kg N eq_Land application of compost; wastewater treatment unit; at updated plant - US_Base_With Amendment_Windrow</v>
      </c>
    </row>
    <row r="2467" spans="1:13" s="120" customFormat="1" x14ac:dyDescent="0.25">
      <c r="A2467" s="119"/>
      <c r="B2467" s="138" t="str">
        <f t="shared" si="122"/>
        <v>Windrow</v>
      </c>
      <c r="C2467" s="138" t="str">
        <f t="shared" si="123"/>
        <v>Base_With Amendment</v>
      </c>
      <c r="D2467" s="118" t="s">
        <v>140</v>
      </c>
      <c r="E2467" s="118" t="s">
        <v>180</v>
      </c>
      <c r="F2467" s="118" t="s">
        <v>46</v>
      </c>
      <c r="G2467" s="153"/>
      <c r="H2467" s="155">
        <v>3.8300000000000001E-2</v>
      </c>
      <c r="I2467" s="154" t="s">
        <v>55</v>
      </c>
      <c r="J2467" s="204">
        <v>5.5000000000000003E-4</v>
      </c>
      <c r="K2467" s="154" t="s">
        <v>13</v>
      </c>
      <c r="L2467" s="154" t="str">
        <f>IF(OpenLCAbasic!K2467="CTUh", "Fill in Manually",IF(OR(K2467="Unit", K2467=""), "", INDEX(LookUps!$E$5:$E$12, MATCH(OpenLCAbasic!K2467,LookUps!$D$5:$D$12,0))))</f>
        <v>Eutrophication Potential (EP) - kg N eq</v>
      </c>
      <c r="M2467" s="154" t="str">
        <f t="shared" si="124"/>
        <v>Low_High_High_Upgraded_Eutrophication Potential (EP) - kg N eq_Aeration Tanks; wastewater treatment unit; at updated plant - US_Base_With Amendment_Windrow</v>
      </c>
    </row>
    <row r="2468" spans="1:13" s="120" customFormat="1" x14ac:dyDescent="0.25">
      <c r="A2468" s="119"/>
      <c r="B2468" s="138" t="str">
        <f t="shared" si="122"/>
        <v>Windrow</v>
      </c>
      <c r="C2468" s="138" t="str">
        <f t="shared" si="123"/>
        <v>Base_With Amendment</v>
      </c>
      <c r="D2468" s="118" t="s">
        <v>140</v>
      </c>
      <c r="E2468" s="118" t="s">
        <v>180</v>
      </c>
      <c r="F2468" s="118" t="s">
        <v>46</v>
      </c>
      <c r="G2468" s="153"/>
      <c r="H2468" s="155">
        <v>1.7500000000000002E-2</v>
      </c>
      <c r="I2468" s="154" t="s">
        <v>147</v>
      </c>
      <c r="J2468" s="204">
        <v>2.5000000000000001E-4</v>
      </c>
      <c r="K2468" s="154" t="s">
        <v>13</v>
      </c>
      <c r="L2468" s="154" t="str">
        <f>IF(OpenLCAbasic!K2468="CTUh", "Fill in Manually",IF(OR(K2468="Unit", K2468=""), "", INDEX(LookUps!$E$5:$E$12, MATCH(OpenLCAbasic!K2468,LookUps!$D$5:$D$12,0))))</f>
        <v>Eutrophication Potential (EP) - kg N eq</v>
      </c>
      <c r="M2468" s="154" t="str">
        <f t="shared" si="124"/>
        <v>Low_High_High_Upgraded_Eutrophication Potential (EP) - kg N eq_Influent Pump Station; wastewater treatment unit; at updated plant - US_Base_With Amendment_Windrow</v>
      </c>
    </row>
    <row r="2469" spans="1:13" s="120" customFormat="1" x14ac:dyDescent="0.25">
      <c r="A2469" s="119"/>
      <c r="B2469" s="138" t="str">
        <f t="shared" si="122"/>
        <v>Windrow</v>
      </c>
      <c r="C2469" s="138" t="str">
        <f t="shared" si="123"/>
        <v>Base_With Amendment</v>
      </c>
      <c r="D2469" s="118" t="s">
        <v>140</v>
      </c>
      <c r="E2469" s="118" t="s">
        <v>180</v>
      </c>
      <c r="F2469" s="118" t="s">
        <v>46</v>
      </c>
      <c r="G2469" s="153"/>
      <c r="H2469" s="155">
        <v>1.54E-2</v>
      </c>
      <c r="I2469" s="154" t="s">
        <v>167</v>
      </c>
      <c r="J2469" s="204">
        <v>2.2000000000000001E-4</v>
      </c>
      <c r="K2469" s="154" t="s">
        <v>13</v>
      </c>
      <c r="L2469" s="154" t="str">
        <f>IF(OpenLCAbasic!K2469="CTUh", "Fill in Manually",IF(OR(K2469="Unit", K2469=""), "", INDEX(LookUps!$E$5:$E$12, MATCH(OpenLCAbasic!K2469,LookUps!$D$5:$D$12,0))))</f>
        <v>Eutrophication Potential (EP) - kg N eq</v>
      </c>
      <c r="M2469" s="154" t="str">
        <f t="shared" si="124"/>
        <v>Low_High_High_Upgraded_Eutrophication Potential (EP) - kg N eq_Waste Receiving and Holding; wastewater treatment unit; at updated plant - US_Base_With Amendment_Windrow</v>
      </c>
    </row>
    <row r="2470" spans="1:13" s="120" customFormat="1" x14ac:dyDescent="0.25">
      <c r="A2470" s="119"/>
      <c r="B2470" s="138" t="str">
        <f t="shared" si="122"/>
        <v>Windrow</v>
      </c>
      <c r="C2470" s="138" t="str">
        <f t="shared" si="123"/>
        <v>Base_With Amendment</v>
      </c>
      <c r="D2470" s="118" t="s">
        <v>140</v>
      </c>
      <c r="E2470" s="118" t="s">
        <v>180</v>
      </c>
      <c r="F2470" s="118" t="s">
        <v>46</v>
      </c>
      <c r="G2470" s="153"/>
      <c r="H2470" s="155">
        <v>1.3899999999999999E-2</v>
      </c>
      <c r="I2470" s="154" t="s">
        <v>54</v>
      </c>
      <c r="J2470" s="204">
        <v>2.0000000000000001E-4</v>
      </c>
      <c r="K2470" s="154" t="s">
        <v>13</v>
      </c>
      <c r="L2470" s="154" t="str">
        <f>IF(OpenLCAbasic!K2470="CTUh", "Fill in Manually",IF(OR(K2470="Unit", K2470=""), "", INDEX(LookUps!$E$5:$E$12, MATCH(OpenLCAbasic!K2470,LookUps!$D$5:$D$12,0))))</f>
        <v>Eutrophication Potential (EP) - kg N eq</v>
      </c>
      <c r="M2470" s="154" t="str">
        <f t="shared" si="124"/>
        <v>Low_High_High_Upgraded_Eutrophication Potential (EP) - kg N eq_Clear Cove Primary Clarification; wastewater treatment unit; at updated plant - US_Base_With Amendment_Windrow</v>
      </c>
    </row>
    <row r="2471" spans="1:13" s="120" customFormat="1" x14ac:dyDescent="0.25">
      <c r="A2471" s="119"/>
      <c r="B2471" s="138" t="str">
        <f t="shared" si="122"/>
        <v>Windrow</v>
      </c>
      <c r="C2471" s="138" t="str">
        <f t="shared" si="123"/>
        <v>Base_With Amendment</v>
      </c>
      <c r="D2471" s="118" t="s">
        <v>140</v>
      </c>
      <c r="E2471" s="118" t="s">
        <v>180</v>
      </c>
      <c r="F2471" s="118" t="s">
        <v>46</v>
      </c>
      <c r="G2471" s="153"/>
      <c r="H2471" s="155">
        <v>9.4999999999999998E-3</v>
      </c>
      <c r="I2471" s="154" t="s">
        <v>58</v>
      </c>
      <c r="J2471" s="204">
        <v>1.3999999999999999E-4</v>
      </c>
      <c r="K2471" s="154" t="s">
        <v>13</v>
      </c>
      <c r="L2471" s="154" t="str">
        <f>IF(OpenLCAbasic!K2471="CTUh", "Fill in Manually",IF(OR(K2471="Unit", K2471=""), "", INDEX(LookUps!$E$5:$E$12, MATCH(OpenLCAbasic!K2471,LookUps!$D$5:$D$12,0))))</f>
        <v>Eutrophication Potential (EP) - kg N eq</v>
      </c>
      <c r="M2471" s="154" t="str">
        <f t="shared" si="124"/>
        <v>Low_High_High_Upgraded_Eutrophication Potential (EP) - kg N eq_Pre-Anoxic &amp; Swing tank; wastewater treatment unit; at updated plant - US_Base_With Amendment_Windrow</v>
      </c>
    </row>
    <row r="2472" spans="1:13" s="120" customFormat="1" x14ac:dyDescent="0.25">
      <c r="A2472" s="119"/>
      <c r="B2472" s="138" t="str">
        <f t="shared" si="122"/>
        <v>Windrow</v>
      </c>
      <c r="C2472" s="138" t="str">
        <f t="shared" si="123"/>
        <v>Base_With Amendment</v>
      </c>
      <c r="D2472" s="118" t="s">
        <v>140</v>
      </c>
      <c r="E2472" s="118" t="s">
        <v>180</v>
      </c>
      <c r="F2472" s="118" t="s">
        <v>46</v>
      </c>
      <c r="G2472" s="153"/>
      <c r="H2472" s="155">
        <v>8.0999999999999996E-3</v>
      </c>
      <c r="I2472" s="154" t="s">
        <v>271</v>
      </c>
      <c r="J2472" s="204">
        <v>1.1E-4</v>
      </c>
      <c r="K2472" s="154" t="s">
        <v>13</v>
      </c>
      <c r="L2472" s="154" t="str">
        <f>IF(OpenLCAbasic!K2472="CTUh", "Fill in Manually",IF(OR(K2472="Unit", K2472=""), "", INDEX(LookUps!$E$5:$E$12, MATCH(OpenLCAbasic!K2472,LookUps!$D$5:$D$12,0))))</f>
        <v>Eutrophication Potential (EP) - kg N eq</v>
      </c>
      <c r="M2472" s="154" t="str">
        <f t="shared" si="124"/>
        <v>Low_High_High_Upgraded_Eutrophication Potential (EP) - kg N eq_Biosolids composting; windrow composting; wastewater treatment unit; at updated plant - US_Base_With Amendment_Windrow</v>
      </c>
    </row>
    <row r="2473" spans="1:13" s="120" customFormat="1" x14ac:dyDescent="0.25">
      <c r="A2473" s="119"/>
      <c r="B2473" s="138" t="str">
        <f t="shared" si="122"/>
        <v>Windrow</v>
      </c>
      <c r="C2473" s="138" t="str">
        <f t="shared" si="123"/>
        <v>Base_With Amendment</v>
      </c>
      <c r="D2473" s="118" t="s">
        <v>140</v>
      </c>
      <c r="E2473" s="118" t="s">
        <v>180</v>
      </c>
      <c r="F2473" s="118" t="s">
        <v>46</v>
      </c>
      <c r="G2473" s="153"/>
      <c r="H2473" s="155">
        <v>7.4999999999999997E-3</v>
      </c>
      <c r="I2473" s="154" t="s">
        <v>53</v>
      </c>
      <c r="J2473" s="204">
        <v>1.1E-4</v>
      </c>
      <c r="K2473" s="154" t="s">
        <v>13</v>
      </c>
      <c r="L2473" s="154" t="str">
        <f>IF(OpenLCAbasic!K2473="CTUh", "Fill in Manually",IF(OR(K2473="Unit", K2473=""), "", INDEX(LookUps!$E$5:$E$12, MATCH(OpenLCAbasic!K2473,LookUps!$D$5:$D$12,0))))</f>
        <v>Eutrophication Potential (EP) - kg N eq</v>
      </c>
      <c r="M2473" s="154" t="str">
        <f t="shared" si="124"/>
        <v>Low_High_High_Upgraded_Eutrophication Potential (EP) - kg N eq_Wet Well and Sump Station; wastewater treatment unit; at updated plant - US_Base_With Amendment_Windrow</v>
      </c>
    </row>
    <row r="2474" spans="1:13" s="120" customFormat="1" x14ac:dyDescent="0.25">
      <c r="A2474" s="119"/>
      <c r="B2474" s="138" t="str">
        <f t="shared" si="122"/>
        <v>Windrow</v>
      </c>
      <c r="C2474" s="138" t="str">
        <f t="shared" si="123"/>
        <v>Base_With Amendment</v>
      </c>
      <c r="D2474" s="118" t="s">
        <v>140</v>
      </c>
      <c r="E2474" s="118" t="s">
        <v>180</v>
      </c>
      <c r="F2474" s="118" t="s">
        <v>46</v>
      </c>
      <c r="G2474" s="153"/>
      <c r="H2474" s="155">
        <v>6.4000000000000003E-3</v>
      </c>
      <c r="I2474" s="154" t="s">
        <v>60</v>
      </c>
      <c r="J2474" s="204">
        <v>9.0710800000000006E-5</v>
      </c>
      <c r="K2474" s="154" t="s">
        <v>13</v>
      </c>
      <c r="L2474" s="154" t="str">
        <f>IF(OpenLCAbasic!K2474="CTUh", "Fill in Manually",IF(OR(K2474="Unit", K2474=""), "", INDEX(LookUps!$E$5:$E$12, MATCH(OpenLCAbasic!K2474,LookUps!$D$5:$D$12,0))))</f>
        <v>Eutrophication Potential (EP) - kg N eq</v>
      </c>
      <c r="M2474" s="154" t="str">
        <f t="shared" si="124"/>
        <v>Low_High_High_Upgraded_Eutrophication Potential (EP) - kg N eq_Belt filter press; wastewater treatment unit; at updated plant - US_Base_With Amendment_Windrow</v>
      </c>
    </row>
    <row r="2475" spans="1:13" s="120" customFormat="1" x14ac:dyDescent="0.25">
      <c r="A2475" s="119"/>
      <c r="B2475" s="138" t="str">
        <f t="shared" si="122"/>
        <v>Windrow</v>
      </c>
      <c r="C2475" s="138" t="str">
        <f t="shared" si="123"/>
        <v>Base_With Amendment</v>
      </c>
      <c r="D2475" s="118" t="s">
        <v>140</v>
      </c>
      <c r="E2475" s="118" t="s">
        <v>180</v>
      </c>
      <c r="F2475" s="118" t="s">
        <v>46</v>
      </c>
      <c r="G2475" s="153"/>
      <c r="H2475" s="155">
        <v>4.1999999999999997E-3</v>
      </c>
      <c r="I2475" s="154" t="s">
        <v>57</v>
      </c>
      <c r="J2475" s="204">
        <v>6.0590300000000002E-5</v>
      </c>
      <c r="K2475" s="154" t="s">
        <v>13</v>
      </c>
      <c r="L2475" s="154" t="str">
        <f>IF(OpenLCAbasic!K2475="CTUh", "Fill in Manually",IF(OR(K2475="Unit", K2475=""), "", INDEX(LookUps!$E$5:$E$12, MATCH(OpenLCAbasic!K2475,LookUps!$D$5:$D$12,0))))</f>
        <v>Eutrophication Potential (EP) - kg N eq</v>
      </c>
      <c r="M2475" s="154" t="str">
        <f t="shared" si="124"/>
        <v>Low_High_High_Upgraded_Eutrophication Potential (EP) - kg N eq_Gravity Belt Thickener; wastewater treatment unit; at updated plant - US_Base_With Amendment_Windrow</v>
      </c>
    </row>
    <row r="2476" spans="1:13" s="120" customFormat="1" x14ac:dyDescent="0.25">
      <c r="A2476" s="119"/>
      <c r="B2476" s="138" t="str">
        <f t="shared" si="122"/>
        <v>Windrow</v>
      </c>
      <c r="C2476" s="138" t="str">
        <f t="shared" si="123"/>
        <v>Base_With Amendment</v>
      </c>
      <c r="D2476" s="118" t="s">
        <v>140</v>
      </c>
      <c r="E2476" s="118" t="s">
        <v>180</v>
      </c>
      <c r="F2476" s="118" t="s">
        <v>46</v>
      </c>
      <c r="G2476" s="153"/>
      <c r="H2476" s="155">
        <v>2.5999999999999999E-3</v>
      </c>
      <c r="I2476" s="154" t="s">
        <v>128</v>
      </c>
      <c r="J2476" s="204">
        <v>3.7559799999999999E-5</v>
      </c>
      <c r="K2476" s="154" t="s">
        <v>13</v>
      </c>
      <c r="L2476" s="154" t="str">
        <f>IF(OpenLCAbasic!K2476="CTUh", "Fill in Manually",IF(OR(K2476="Unit", K2476=""), "", INDEX(LookUps!$E$5:$E$12, MATCH(OpenLCAbasic!K2476,LookUps!$D$5:$D$12,0))))</f>
        <v>Eutrophication Potential (EP) - kg N eq</v>
      </c>
      <c r="M2476" s="154" t="str">
        <f t="shared" si="124"/>
        <v>Low_High_High_Upgraded_Eutrophication Potential (EP) - kg N eq_Wastewater collection; operation and infrastructure; m3 wastewater_Base_With Amendment_Windrow</v>
      </c>
    </row>
    <row r="2477" spans="1:13" s="120" customFormat="1" x14ac:dyDescent="0.25">
      <c r="A2477" s="119"/>
      <c r="B2477" s="138" t="str">
        <f t="shared" si="122"/>
        <v>Windrow</v>
      </c>
      <c r="C2477" s="138" t="str">
        <f t="shared" si="123"/>
        <v>Base_With Amendment</v>
      </c>
      <c r="D2477" s="118" t="s">
        <v>140</v>
      </c>
      <c r="E2477" s="118" t="s">
        <v>180</v>
      </c>
      <c r="F2477" s="118" t="s">
        <v>46</v>
      </c>
      <c r="G2477" s="153"/>
      <c r="H2477" s="155">
        <v>2.5999999999999999E-3</v>
      </c>
      <c r="I2477" s="154" t="s">
        <v>148</v>
      </c>
      <c r="J2477" s="204">
        <v>3.6874600000000001E-5</v>
      </c>
      <c r="K2477" s="154" t="s">
        <v>13</v>
      </c>
      <c r="L2477" s="154" t="str">
        <f>IF(OpenLCAbasic!K2477="CTUh", "Fill in Manually",IF(OR(K2477="Unit", K2477=""), "", INDEX(LookUps!$E$5:$E$12, MATCH(OpenLCAbasic!K2477,LookUps!$D$5:$D$12,0))))</f>
        <v>Eutrophication Potential (EP) - kg N eq</v>
      </c>
      <c r="M2477" s="154" t="str">
        <f t="shared" si="124"/>
        <v>Low_High_High_Upgraded_Eutrophication Potential (EP) - kg N eq_Control Building; at upgraded wastewater treatment plant - US_Base_With Amendment_Windrow</v>
      </c>
    </row>
    <row r="2478" spans="1:13" s="120" customFormat="1" x14ac:dyDescent="0.25">
      <c r="A2478" s="119"/>
      <c r="B2478" s="138" t="str">
        <f t="shared" si="122"/>
        <v>Windrow</v>
      </c>
      <c r="C2478" s="138" t="str">
        <f t="shared" si="123"/>
        <v>Base_With Amendment</v>
      </c>
      <c r="D2478" s="118" t="s">
        <v>140</v>
      </c>
      <c r="E2478" s="118" t="s">
        <v>180</v>
      </c>
      <c r="F2478" s="118" t="s">
        <v>46</v>
      </c>
      <c r="G2478" s="153"/>
      <c r="H2478" s="155">
        <v>1.1000000000000001E-3</v>
      </c>
      <c r="I2478" s="154" t="s">
        <v>59</v>
      </c>
      <c r="J2478" s="204">
        <v>1.6215700000000001E-5</v>
      </c>
      <c r="K2478" s="154" t="s">
        <v>13</v>
      </c>
      <c r="L2478" s="154" t="str">
        <f>IF(OpenLCAbasic!K2478="CTUh", "Fill in Manually",IF(OR(K2478="Unit", K2478=""), "", INDEX(LookUps!$E$5:$E$12, MATCH(OpenLCAbasic!K2478,LookUps!$D$5:$D$12,0))))</f>
        <v>Eutrophication Potential (EP) - kg N eq</v>
      </c>
      <c r="M2478" s="154" t="str">
        <f t="shared" si="124"/>
        <v>Low_High_High_Upgraded_Eutrophication Potential (EP) - kg N eq_Blend Tank; wastewater treatment unit; at updated plant - US_Base_With Amendment_Windrow</v>
      </c>
    </row>
    <row r="2479" spans="1:13" s="120" customFormat="1" x14ac:dyDescent="0.25">
      <c r="A2479" s="119"/>
      <c r="B2479" s="138" t="str">
        <f t="shared" si="122"/>
        <v>Windrow</v>
      </c>
      <c r="C2479" s="138" t="str">
        <f t="shared" si="123"/>
        <v>Base_With Amendment</v>
      </c>
      <c r="D2479" s="118" t="s">
        <v>140</v>
      </c>
      <c r="E2479" s="118" t="s">
        <v>180</v>
      </c>
      <c r="F2479" s="118" t="s">
        <v>46</v>
      </c>
      <c r="G2479" s="153"/>
      <c r="H2479" s="155">
        <v>5.0000000000000001E-4</v>
      </c>
      <c r="I2479" s="154" t="s">
        <v>168</v>
      </c>
      <c r="J2479" s="204">
        <v>7.7567199999999995E-6</v>
      </c>
      <c r="K2479" s="154" t="s">
        <v>13</v>
      </c>
      <c r="L2479" s="154" t="str">
        <f>IF(OpenLCAbasic!K2479="CTUh", "Fill in Manually",IF(OR(K2479="Unit", K2479=""), "", INDEX(LookUps!$E$5:$E$12, MATCH(OpenLCAbasic!K2479,LookUps!$D$5:$D$12,0))))</f>
        <v>Eutrophication Potential (EP) - kg N eq</v>
      </c>
      <c r="M2479" s="154" t="str">
        <f t="shared" si="124"/>
        <v>Low_High_High_Upgraded_Eutrophication Potential (EP) - kg N eq_ClearCove SCP; wastewater treatment unit; at updated plant - US_Base_With Amendment_Windrow</v>
      </c>
    </row>
    <row r="2480" spans="1:13" s="120" customFormat="1" x14ac:dyDescent="0.25">
      <c r="A2480" s="119"/>
      <c r="B2480" s="138" t="str">
        <f t="shared" si="122"/>
        <v>Windrow</v>
      </c>
      <c r="C2480" s="138" t="str">
        <f t="shared" si="123"/>
        <v>Base_With Amendment</v>
      </c>
      <c r="D2480" s="118" t="s">
        <v>140</v>
      </c>
      <c r="E2480" s="118" t="s">
        <v>180</v>
      </c>
      <c r="F2480" s="118" t="s">
        <v>46</v>
      </c>
      <c r="G2480" s="153"/>
      <c r="H2480" s="155">
        <v>-0.20749999999999999</v>
      </c>
      <c r="I2480" s="154" t="s">
        <v>149</v>
      </c>
      <c r="J2480" s="204">
        <v>-2.96E-3</v>
      </c>
      <c r="K2480" s="154" t="s">
        <v>13</v>
      </c>
      <c r="L2480" s="154" t="str">
        <f>IF(OpenLCAbasic!K2480="CTUh", "Fill in Manually",IF(OR(K2480="Unit", K2480=""), "", INDEX(LookUps!$E$5:$E$12, MATCH(OpenLCAbasic!K2480,LookUps!$D$5:$D$12,0))))</f>
        <v>Eutrophication Potential (EP) - kg N eq</v>
      </c>
      <c r="M2480" s="154" t="str">
        <f t="shared" si="124"/>
        <v>Low_High_High_Upgraded_Eutrophication Potential (EP) - kg N eq_Anaerobic Digestion; wastewater treatment unit; at updated plant - US_Base_With Amendment_Windrow</v>
      </c>
    </row>
    <row r="2481" spans="1:13" s="120" customFormat="1" x14ac:dyDescent="0.25">
      <c r="A2481" s="119"/>
      <c r="B2481" s="138" t="str">
        <f t="shared" si="122"/>
        <v>Windrow</v>
      </c>
      <c r="C2481" s="138" t="str">
        <f t="shared" si="123"/>
        <v>Base_With Amendment</v>
      </c>
      <c r="D2481" s="118" t="s">
        <v>140</v>
      </c>
      <c r="E2481" s="118" t="s">
        <v>180</v>
      </c>
      <c r="F2481" s="118" t="s">
        <v>46</v>
      </c>
      <c r="G2481" s="153" t="s">
        <v>51</v>
      </c>
      <c r="H2481" s="154"/>
      <c r="I2481" s="154" t="s">
        <v>47</v>
      </c>
      <c r="J2481" s="154" t="s">
        <v>52</v>
      </c>
      <c r="K2481" s="154" t="s">
        <v>27</v>
      </c>
      <c r="L2481" s="154" t="str">
        <f>IF(OpenLCAbasic!K2481="CTUh", "Fill in Manually",IF(OR(K2481="Unit", K2481=""), "", INDEX(LookUps!$E$5:$E$12, MATCH(OpenLCAbasic!K2481,LookUps!$D$5:$D$12,0))))</f>
        <v/>
      </c>
      <c r="M2481" s="154" t="str">
        <f t="shared" si="124"/>
        <v>Low_High_High_Upgraded__Process_Base_With Amendment_Windrow</v>
      </c>
    </row>
    <row r="2482" spans="1:13" s="120" customFormat="1" x14ac:dyDescent="0.25">
      <c r="A2482" s="119"/>
      <c r="B2482" s="138" t="str">
        <f t="shared" si="122"/>
        <v>Windrow</v>
      </c>
      <c r="C2482" s="138" t="str">
        <f t="shared" si="123"/>
        <v>Base_With Amendment</v>
      </c>
      <c r="D2482" s="118" t="s">
        <v>140</v>
      </c>
      <c r="E2482" s="118" t="s">
        <v>180</v>
      </c>
      <c r="F2482" s="118" t="s">
        <v>46</v>
      </c>
      <c r="G2482" s="153"/>
      <c r="H2482" s="155">
        <v>0.48820000000000002</v>
      </c>
      <c r="I2482" s="154" t="s">
        <v>167</v>
      </c>
      <c r="J2482" s="157">
        <v>5.1393399999999998</v>
      </c>
      <c r="K2482" s="154" t="s">
        <v>15</v>
      </c>
      <c r="L2482" s="154" t="str">
        <f>IF(OpenLCAbasic!K2482="CTUh", "Fill in Manually",IF(OR(K2482="Unit", K2482=""), "", INDEX(LookUps!$E$5:$E$12, MATCH(OpenLCAbasic!K2482,LookUps!$D$5:$D$12,0))))</f>
        <v>Cumulative Energy Demand (CED) - MJ</v>
      </c>
      <c r="M2482" s="154" t="str">
        <f t="shared" si="124"/>
        <v>Low_High_High_Upgraded_Cumulative Energy Demand (CED) - MJ_Waste Receiving and Holding; wastewater treatment unit; at updated plant - US_Base_With Amendment_Windrow</v>
      </c>
    </row>
    <row r="2483" spans="1:13" s="120" customFormat="1" x14ac:dyDescent="0.25">
      <c r="A2483" s="119"/>
      <c r="B2483" s="138" t="str">
        <f t="shared" si="122"/>
        <v>Windrow</v>
      </c>
      <c r="C2483" s="138" t="str">
        <f t="shared" si="123"/>
        <v>Base_With Amendment</v>
      </c>
      <c r="D2483" s="118" t="s">
        <v>140</v>
      </c>
      <c r="E2483" s="118" t="s">
        <v>180</v>
      </c>
      <c r="F2483" s="118" t="s">
        <v>46</v>
      </c>
      <c r="G2483" s="153"/>
      <c r="H2483" s="155">
        <v>0.33560000000000001</v>
      </c>
      <c r="I2483" s="154" t="s">
        <v>55</v>
      </c>
      <c r="J2483" s="157">
        <v>3.5330499999999998</v>
      </c>
      <c r="K2483" s="154" t="s">
        <v>15</v>
      </c>
      <c r="L2483" s="154" t="str">
        <f>IF(OpenLCAbasic!K2483="CTUh", "Fill in Manually",IF(OR(K2483="Unit", K2483=""), "", INDEX(LookUps!$E$5:$E$12, MATCH(OpenLCAbasic!K2483,LookUps!$D$5:$D$12,0))))</f>
        <v>Cumulative Energy Demand (CED) - MJ</v>
      </c>
      <c r="M2483" s="154" t="str">
        <f t="shared" si="124"/>
        <v>Low_High_High_Upgraded_Cumulative Energy Demand (CED) - MJ_Aeration Tanks; wastewater treatment unit; at updated plant - US_Base_With Amendment_Windrow</v>
      </c>
    </row>
    <row r="2484" spans="1:13" s="120" customFormat="1" x14ac:dyDescent="0.25">
      <c r="A2484" s="119"/>
      <c r="B2484" s="138" t="str">
        <f t="shared" si="122"/>
        <v>Windrow</v>
      </c>
      <c r="C2484" s="138" t="str">
        <f t="shared" si="123"/>
        <v>Base_With Amendment</v>
      </c>
      <c r="D2484" s="118" t="s">
        <v>140</v>
      </c>
      <c r="E2484" s="118" t="s">
        <v>180</v>
      </c>
      <c r="F2484" s="118" t="s">
        <v>46</v>
      </c>
      <c r="G2484" s="153"/>
      <c r="H2484" s="155">
        <v>0.1105</v>
      </c>
      <c r="I2484" s="154" t="s">
        <v>54</v>
      </c>
      <c r="J2484" s="157">
        <v>1.16289</v>
      </c>
      <c r="K2484" s="154" t="s">
        <v>15</v>
      </c>
      <c r="L2484" s="154" t="str">
        <f>IF(OpenLCAbasic!K2484="CTUh", "Fill in Manually",IF(OR(K2484="Unit", K2484=""), "", INDEX(LookUps!$E$5:$E$12, MATCH(OpenLCAbasic!K2484,LookUps!$D$5:$D$12,0))))</f>
        <v>Cumulative Energy Demand (CED) - MJ</v>
      </c>
      <c r="M2484" s="154" t="str">
        <f t="shared" si="124"/>
        <v>Low_High_High_Upgraded_Cumulative Energy Demand (CED) - MJ_Clear Cove Primary Clarification; wastewater treatment unit; at updated plant - US_Base_With Amendment_Windrow</v>
      </c>
    </row>
    <row r="2485" spans="1:13" s="120" customFormat="1" x14ac:dyDescent="0.25">
      <c r="A2485" s="119"/>
      <c r="B2485" s="138" t="str">
        <f t="shared" si="122"/>
        <v>Windrow</v>
      </c>
      <c r="C2485" s="138" t="str">
        <f t="shared" si="123"/>
        <v>Base_With Amendment</v>
      </c>
      <c r="D2485" s="118" t="s">
        <v>140</v>
      </c>
      <c r="E2485" s="118" t="s">
        <v>180</v>
      </c>
      <c r="F2485" s="118" t="s">
        <v>46</v>
      </c>
      <c r="G2485" s="153"/>
      <c r="H2485" s="155">
        <v>8.4599999999999995E-2</v>
      </c>
      <c r="I2485" s="154" t="s">
        <v>58</v>
      </c>
      <c r="J2485" s="203">
        <v>0.89063999999999999</v>
      </c>
      <c r="K2485" s="154" t="s">
        <v>15</v>
      </c>
      <c r="L2485" s="154" t="str">
        <f>IF(OpenLCAbasic!K2485="CTUh", "Fill in Manually",IF(OR(K2485="Unit", K2485=""), "", INDEX(LookUps!$E$5:$E$12, MATCH(OpenLCAbasic!K2485,LookUps!$D$5:$D$12,0))))</f>
        <v>Cumulative Energy Demand (CED) - MJ</v>
      </c>
      <c r="M2485" s="154" t="str">
        <f t="shared" si="124"/>
        <v>Low_High_High_Upgraded_Cumulative Energy Demand (CED) - MJ_Pre-Anoxic &amp; Swing tank; wastewater treatment unit; at updated plant - US_Base_With Amendment_Windrow</v>
      </c>
    </row>
    <row r="2486" spans="1:13" s="120" customFormat="1" x14ac:dyDescent="0.25">
      <c r="A2486" s="119"/>
      <c r="B2486" s="138" t="str">
        <f t="shared" si="122"/>
        <v>Windrow</v>
      </c>
      <c r="C2486" s="138" t="str">
        <f t="shared" si="123"/>
        <v>Base_With Amendment</v>
      </c>
      <c r="D2486" s="118" t="s">
        <v>140</v>
      </c>
      <c r="E2486" s="118" t="s">
        <v>180</v>
      </c>
      <c r="F2486" s="118" t="s">
        <v>46</v>
      </c>
      <c r="G2486" s="153"/>
      <c r="H2486" s="155">
        <v>8.3900000000000002E-2</v>
      </c>
      <c r="I2486" s="154" t="s">
        <v>147</v>
      </c>
      <c r="J2486" s="203">
        <v>0.88297000000000003</v>
      </c>
      <c r="K2486" s="154" t="s">
        <v>15</v>
      </c>
      <c r="L2486" s="154" t="str">
        <f>IF(OpenLCAbasic!K2486="CTUh", "Fill in Manually",IF(OR(K2486="Unit", K2486=""), "", INDEX(LookUps!$E$5:$E$12, MATCH(OpenLCAbasic!K2486,LookUps!$D$5:$D$12,0))))</f>
        <v>Cumulative Energy Demand (CED) - MJ</v>
      </c>
      <c r="M2486" s="154" t="str">
        <f t="shared" si="124"/>
        <v>Low_High_High_Upgraded_Cumulative Energy Demand (CED) - MJ_Influent Pump Station; wastewater treatment unit; at updated plant - US_Base_With Amendment_Windrow</v>
      </c>
    </row>
    <row r="2487" spans="1:13" s="120" customFormat="1" x14ac:dyDescent="0.25">
      <c r="A2487" s="119"/>
      <c r="B2487" s="138" t="str">
        <f t="shared" si="122"/>
        <v>Windrow</v>
      </c>
      <c r="C2487" s="138" t="str">
        <f t="shared" si="123"/>
        <v>Base_With Amendment</v>
      </c>
      <c r="D2487" s="118" t="s">
        <v>140</v>
      </c>
      <c r="E2487" s="118" t="s">
        <v>180</v>
      </c>
      <c r="F2487" s="118" t="s">
        <v>46</v>
      </c>
      <c r="G2487" s="153"/>
      <c r="H2487" s="155">
        <v>6.6199999999999995E-2</v>
      </c>
      <c r="I2487" s="154" t="s">
        <v>53</v>
      </c>
      <c r="J2487" s="203">
        <v>0.69645000000000001</v>
      </c>
      <c r="K2487" s="154" t="s">
        <v>15</v>
      </c>
      <c r="L2487" s="154" t="str">
        <f>IF(OpenLCAbasic!K2487="CTUh", "Fill in Manually",IF(OR(K2487="Unit", K2487=""), "", INDEX(LookUps!$E$5:$E$12, MATCH(OpenLCAbasic!K2487,LookUps!$D$5:$D$12,0))))</f>
        <v>Cumulative Energy Demand (CED) - MJ</v>
      </c>
      <c r="M2487" s="154" t="str">
        <f t="shared" si="124"/>
        <v>Low_High_High_Upgraded_Cumulative Energy Demand (CED) - MJ_Wet Well and Sump Station; wastewater treatment unit; at updated plant - US_Base_With Amendment_Windrow</v>
      </c>
    </row>
    <row r="2488" spans="1:13" s="120" customFormat="1" x14ac:dyDescent="0.25">
      <c r="A2488" s="119"/>
      <c r="B2488" s="138" t="str">
        <f t="shared" si="122"/>
        <v>Windrow</v>
      </c>
      <c r="C2488" s="138" t="str">
        <f t="shared" si="123"/>
        <v>Base_With Amendment</v>
      </c>
      <c r="D2488" s="118" t="s">
        <v>140</v>
      </c>
      <c r="E2488" s="118" t="s">
        <v>180</v>
      </c>
      <c r="F2488" s="118" t="s">
        <v>46</v>
      </c>
      <c r="G2488" s="153"/>
      <c r="H2488" s="155">
        <v>4.9099999999999998E-2</v>
      </c>
      <c r="I2488" s="154" t="s">
        <v>60</v>
      </c>
      <c r="J2488" s="203">
        <v>0.51639000000000002</v>
      </c>
      <c r="K2488" s="154" t="s">
        <v>15</v>
      </c>
      <c r="L2488" s="154" t="str">
        <f>IF(OpenLCAbasic!K2488="CTUh", "Fill in Manually",IF(OR(K2488="Unit", K2488=""), "", INDEX(LookUps!$E$5:$E$12, MATCH(OpenLCAbasic!K2488,LookUps!$D$5:$D$12,0))))</f>
        <v>Cumulative Energy Demand (CED) - MJ</v>
      </c>
      <c r="M2488" s="154" t="str">
        <f t="shared" si="124"/>
        <v>Low_High_High_Upgraded_Cumulative Energy Demand (CED) - MJ_Belt filter press; wastewater treatment unit; at updated plant - US_Base_With Amendment_Windrow</v>
      </c>
    </row>
    <row r="2489" spans="1:13" s="120" customFormat="1" x14ac:dyDescent="0.25">
      <c r="A2489" s="119"/>
      <c r="B2489" s="138" t="str">
        <f t="shared" si="122"/>
        <v>Windrow</v>
      </c>
      <c r="C2489" s="138" t="str">
        <f t="shared" si="123"/>
        <v>Base_With Amendment</v>
      </c>
      <c r="D2489" s="118" t="s">
        <v>140</v>
      </c>
      <c r="E2489" s="118" t="s">
        <v>180</v>
      </c>
      <c r="F2489" s="118" t="s">
        <v>46</v>
      </c>
      <c r="G2489" s="153"/>
      <c r="H2489" s="155">
        <v>3.1699999999999999E-2</v>
      </c>
      <c r="I2489" s="154" t="s">
        <v>57</v>
      </c>
      <c r="J2489" s="203">
        <v>0.33404</v>
      </c>
      <c r="K2489" s="154" t="s">
        <v>15</v>
      </c>
      <c r="L2489" s="154" t="str">
        <f>IF(OpenLCAbasic!K2489="CTUh", "Fill in Manually",IF(OR(K2489="Unit", K2489=""), "", INDEX(LookUps!$E$5:$E$12, MATCH(OpenLCAbasic!K2489,LookUps!$D$5:$D$12,0))))</f>
        <v>Cumulative Energy Demand (CED) - MJ</v>
      </c>
      <c r="M2489" s="154" t="str">
        <f t="shared" si="124"/>
        <v>Low_High_High_Upgraded_Cumulative Energy Demand (CED) - MJ_Gravity Belt Thickener; wastewater treatment unit; at updated plant - US_Base_With Amendment_Windrow</v>
      </c>
    </row>
    <row r="2490" spans="1:13" s="120" customFormat="1" x14ac:dyDescent="0.25">
      <c r="A2490" s="119"/>
      <c r="B2490" s="138" t="str">
        <f t="shared" si="122"/>
        <v>Windrow</v>
      </c>
      <c r="C2490" s="138" t="str">
        <f t="shared" si="123"/>
        <v>Base_With Amendment</v>
      </c>
      <c r="D2490" s="118" t="s">
        <v>140</v>
      </c>
      <c r="E2490" s="118" t="s">
        <v>180</v>
      </c>
      <c r="F2490" s="118" t="s">
        <v>46</v>
      </c>
      <c r="G2490" s="153"/>
      <c r="H2490" s="155">
        <v>2.4299999999999999E-2</v>
      </c>
      <c r="I2490" s="154" t="s">
        <v>128</v>
      </c>
      <c r="J2490" s="203">
        <v>0.25606000000000001</v>
      </c>
      <c r="K2490" s="154" t="s">
        <v>15</v>
      </c>
      <c r="L2490" s="154" t="str">
        <f>IF(OpenLCAbasic!K2490="CTUh", "Fill in Manually",IF(OR(K2490="Unit", K2490=""), "", INDEX(LookUps!$E$5:$E$12, MATCH(OpenLCAbasic!K2490,LookUps!$D$5:$D$12,0))))</f>
        <v>Cumulative Energy Demand (CED) - MJ</v>
      </c>
      <c r="M2490" s="154" t="str">
        <f t="shared" si="124"/>
        <v>Low_High_High_Upgraded_Cumulative Energy Demand (CED) - MJ_Wastewater collection; operation and infrastructure; m3 wastewater_Base_With Amendment_Windrow</v>
      </c>
    </row>
    <row r="2491" spans="1:13" s="120" customFormat="1" x14ac:dyDescent="0.25">
      <c r="A2491" s="119"/>
      <c r="B2491" s="138" t="str">
        <f t="shared" si="122"/>
        <v>Windrow</v>
      </c>
      <c r="C2491" s="138" t="str">
        <f t="shared" si="123"/>
        <v>Base_With Amendment</v>
      </c>
      <c r="D2491" s="118" t="s">
        <v>140</v>
      </c>
      <c r="E2491" s="118" t="s">
        <v>180</v>
      </c>
      <c r="F2491" s="118" t="s">
        <v>46</v>
      </c>
      <c r="G2491" s="153"/>
      <c r="H2491" s="155">
        <v>1.3899999999999999E-2</v>
      </c>
      <c r="I2491" s="154" t="s">
        <v>148</v>
      </c>
      <c r="J2491" s="203">
        <v>0.14599000000000001</v>
      </c>
      <c r="K2491" s="154" t="s">
        <v>15</v>
      </c>
      <c r="L2491" s="154" t="str">
        <f>IF(OpenLCAbasic!K2491="CTUh", "Fill in Manually",IF(OR(K2491="Unit", K2491=""), "", INDEX(LookUps!$E$5:$E$12, MATCH(OpenLCAbasic!K2491,LookUps!$D$5:$D$12,0))))</f>
        <v>Cumulative Energy Demand (CED) - MJ</v>
      </c>
      <c r="M2491" s="154" t="str">
        <f t="shared" si="124"/>
        <v>Low_High_High_Upgraded_Cumulative Energy Demand (CED) - MJ_Control Building; at upgraded wastewater treatment plant - US_Base_With Amendment_Windrow</v>
      </c>
    </row>
    <row r="2492" spans="1:13" s="120" customFormat="1" x14ac:dyDescent="0.25">
      <c r="A2492" s="119"/>
      <c r="B2492" s="138" t="str">
        <f t="shared" si="122"/>
        <v>Windrow</v>
      </c>
      <c r="C2492" s="138" t="str">
        <f t="shared" si="123"/>
        <v>Base_With Amendment</v>
      </c>
      <c r="D2492" s="118" t="s">
        <v>140</v>
      </c>
      <c r="E2492" s="118" t="s">
        <v>180</v>
      </c>
      <c r="F2492" s="118" t="s">
        <v>46</v>
      </c>
      <c r="G2492" s="153"/>
      <c r="H2492" s="155">
        <v>1.2699999999999999E-2</v>
      </c>
      <c r="I2492" s="154" t="s">
        <v>48</v>
      </c>
      <c r="J2492" s="203">
        <v>0.13321</v>
      </c>
      <c r="K2492" s="154" t="s">
        <v>15</v>
      </c>
      <c r="L2492" s="154" t="str">
        <f>IF(OpenLCAbasic!K2492="CTUh", "Fill in Manually",IF(OR(K2492="Unit", K2492=""), "", INDEX(LookUps!$E$5:$E$12, MATCH(OpenLCAbasic!K2492,LookUps!$D$5:$D$12,0))))</f>
        <v>Cumulative Energy Demand (CED) - MJ</v>
      </c>
      <c r="M2492" s="154" t="str">
        <f t="shared" si="124"/>
        <v>Low_High_High_Upgraded_Cumulative Energy Demand (CED) - MJ_Effluent release; wastewater treatment unit; at surface water; m3 wastewater - US_Base_With Amendment_Windrow</v>
      </c>
    </row>
    <row r="2493" spans="1:13" s="120" customFormat="1" x14ac:dyDescent="0.25">
      <c r="A2493" s="119"/>
      <c r="B2493" s="138" t="str">
        <f t="shared" si="122"/>
        <v>Windrow</v>
      </c>
      <c r="C2493" s="138" t="str">
        <f t="shared" si="123"/>
        <v>Base_With Amendment</v>
      </c>
      <c r="D2493" s="118" t="s">
        <v>140</v>
      </c>
      <c r="E2493" s="118" t="s">
        <v>180</v>
      </c>
      <c r="F2493" s="118" t="s">
        <v>46</v>
      </c>
      <c r="G2493" s="153"/>
      <c r="H2493" s="155">
        <v>1.01E-2</v>
      </c>
      <c r="I2493" s="154" t="s">
        <v>59</v>
      </c>
      <c r="J2493" s="203">
        <v>0.10638</v>
      </c>
      <c r="K2493" s="154" t="s">
        <v>15</v>
      </c>
      <c r="L2493" s="154" t="str">
        <f>IF(OpenLCAbasic!K2493="CTUh", "Fill in Manually",IF(OR(K2493="Unit", K2493=""), "", INDEX(LookUps!$E$5:$E$12, MATCH(OpenLCAbasic!K2493,LookUps!$D$5:$D$12,0))))</f>
        <v>Cumulative Energy Demand (CED) - MJ</v>
      </c>
      <c r="M2493" s="154" t="str">
        <f t="shared" si="124"/>
        <v>Low_High_High_Upgraded_Cumulative Energy Demand (CED) - MJ_Blend Tank; wastewater treatment unit; at updated plant - US_Base_With Amendment_Windrow</v>
      </c>
    </row>
    <row r="2494" spans="1:13" s="120" customFormat="1" x14ac:dyDescent="0.25">
      <c r="A2494" s="119"/>
      <c r="B2494" s="138" t="str">
        <f t="shared" si="122"/>
        <v>Windrow</v>
      </c>
      <c r="C2494" s="138" t="str">
        <f t="shared" si="123"/>
        <v>Base_With Amendment</v>
      </c>
      <c r="D2494" s="118" t="s">
        <v>140</v>
      </c>
      <c r="E2494" s="118" t="s">
        <v>180</v>
      </c>
      <c r="F2494" s="118" t="s">
        <v>46</v>
      </c>
      <c r="G2494" s="153"/>
      <c r="H2494" s="155">
        <v>4.7999999999999996E-3</v>
      </c>
      <c r="I2494" s="154" t="s">
        <v>168</v>
      </c>
      <c r="J2494" s="203">
        <v>5.0930000000000003E-2</v>
      </c>
      <c r="K2494" s="154" t="s">
        <v>15</v>
      </c>
      <c r="L2494" s="154" t="str">
        <f>IF(OpenLCAbasic!K2494="CTUh", "Fill in Manually",IF(OR(K2494="Unit", K2494=""), "", INDEX(LookUps!$E$5:$E$12, MATCH(OpenLCAbasic!K2494,LookUps!$D$5:$D$12,0))))</f>
        <v>Cumulative Energy Demand (CED) - MJ</v>
      </c>
      <c r="M2494" s="154" t="str">
        <f t="shared" si="124"/>
        <v>Low_High_High_Upgraded_Cumulative Energy Demand (CED) - MJ_ClearCove SCP; wastewater treatment unit; at updated plant - US_Base_With Amendment_Windrow</v>
      </c>
    </row>
    <row r="2495" spans="1:13" s="120" customFormat="1" x14ac:dyDescent="0.25">
      <c r="A2495" s="119"/>
      <c r="B2495" s="138" t="str">
        <f t="shared" si="122"/>
        <v>Windrow</v>
      </c>
      <c r="C2495" s="138" t="str">
        <f t="shared" si="123"/>
        <v>Base_With Amendment</v>
      </c>
      <c r="D2495" s="118" t="s">
        <v>140</v>
      </c>
      <c r="E2495" s="118" t="s">
        <v>180</v>
      </c>
      <c r="F2495" s="118" t="s">
        <v>46</v>
      </c>
      <c r="G2495" s="153"/>
      <c r="H2495" s="155">
        <v>3.5000000000000001E-3</v>
      </c>
      <c r="I2495" s="154" t="s">
        <v>271</v>
      </c>
      <c r="J2495" s="203">
        <v>3.7069999999999999E-2</v>
      </c>
      <c r="K2495" s="154" t="s">
        <v>15</v>
      </c>
      <c r="L2495" s="154" t="str">
        <f>IF(OpenLCAbasic!K2495="CTUh", "Fill in Manually",IF(OR(K2495="Unit", K2495=""), "", INDEX(LookUps!$E$5:$E$12, MATCH(OpenLCAbasic!K2495,LookUps!$D$5:$D$12,0))))</f>
        <v>Cumulative Energy Demand (CED) - MJ</v>
      </c>
      <c r="M2495" s="154" t="str">
        <f t="shared" si="124"/>
        <v>Low_High_High_Upgraded_Cumulative Energy Demand (CED) - MJ_Biosolids composting; windrow composting; wastewater treatment unit; at updated plant - US_Base_With Amendment_Windrow</v>
      </c>
    </row>
    <row r="2496" spans="1:13" s="120" customFormat="1" x14ac:dyDescent="0.25">
      <c r="A2496" s="119"/>
      <c r="B2496" s="138" t="str">
        <f t="shared" si="122"/>
        <v>Windrow</v>
      </c>
      <c r="C2496" s="138" t="str">
        <f t="shared" si="123"/>
        <v>Base_With Amendment</v>
      </c>
      <c r="D2496" s="118" t="s">
        <v>140</v>
      </c>
      <c r="E2496" s="118" t="s">
        <v>180</v>
      </c>
      <c r="F2496" s="118" t="s">
        <v>46</v>
      </c>
      <c r="G2496" s="153"/>
      <c r="H2496" s="155">
        <v>-8.0199999999999994E-2</v>
      </c>
      <c r="I2496" s="154" t="s">
        <v>62</v>
      </c>
      <c r="J2496" s="203">
        <v>-0.84469000000000005</v>
      </c>
      <c r="K2496" s="154" t="s">
        <v>15</v>
      </c>
      <c r="L2496" s="154" t="str">
        <f>IF(OpenLCAbasic!K2496="CTUh", "Fill in Manually",IF(OR(K2496="Unit", K2496=""), "", INDEX(LookUps!$E$5:$E$12, MATCH(OpenLCAbasic!K2496,LookUps!$D$5:$D$12,0))))</f>
        <v>Cumulative Energy Demand (CED) - MJ</v>
      </c>
      <c r="M2496" s="154" t="str">
        <f t="shared" si="124"/>
        <v>Low_High_High_Upgraded_Cumulative Energy Demand (CED) - MJ_Land application of compost; wastewater treatment unit; at updated plant - US_Base_With Amendment_Windrow</v>
      </c>
    </row>
    <row r="2497" spans="1:13" s="120" customFormat="1" x14ac:dyDescent="0.25">
      <c r="A2497" s="119"/>
      <c r="B2497" s="138" t="str">
        <f t="shared" si="122"/>
        <v>Windrow</v>
      </c>
      <c r="C2497" s="138" t="str">
        <f t="shared" si="123"/>
        <v>Base_With Amendment</v>
      </c>
      <c r="D2497" s="118" t="s">
        <v>140</v>
      </c>
      <c r="E2497" s="118" t="s">
        <v>180</v>
      </c>
      <c r="F2497" s="118" t="s">
        <v>46</v>
      </c>
      <c r="G2497" s="153"/>
      <c r="H2497" s="155">
        <v>-2.2389000000000001</v>
      </c>
      <c r="I2497" s="154" t="s">
        <v>149</v>
      </c>
      <c r="J2497" s="206">
        <v>-23.56711</v>
      </c>
      <c r="K2497" s="154" t="s">
        <v>15</v>
      </c>
      <c r="L2497" s="154" t="str">
        <f>IF(OpenLCAbasic!K2497="CTUh", "Fill in Manually",IF(OR(K2497="Unit", K2497=""), "", INDEX(LookUps!$E$5:$E$12, MATCH(OpenLCAbasic!K2497,LookUps!$D$5:$D$12,0))))</f>
        <v>Cumulative Energy Demand (CED) - MJ</v>
      </c>
      <c r="M2497" s="154" t="str">
        <f t="shared" si="124"/>
        <v>Low_High_High_Upgraded_Cumulative Energy Demand (CED) - MJ_Anaerobic Digestion; wastewater treatment unit; at updated plant - US_Base_With Amendment_Windrow</v>
      </c>
    </row>
    <row r="2498" spans="1:13" s="120" customFormat="1" x14ac:dyDescent="0.25">
      <c r="A2498" s="119"/>
      <c r="B2498" s="138" t="str">
        <f t="shared" si="122"/>
        <v>Windrow</v>
      </c>
      <c r="C2498" s="138" t="str">
        <f t="shared" si="123"/>
        <v>Base_With Amendment</v>
      </c>
      <c r="D2498" s="118" t="s">
        <v>140</v>
      </c>
      <c r="E2498" s="118" t="s">
        <v>180</v>
      </c>
      <c r="F2498" s="118" t="s">
        <v>46</v>
      </c>
      <c r="G2498" s="153" t="s">
        <v>51</v>
      </c>
      <c r="H2498" s="154"/>
      <c r="I2498" s="154" t="s">
        <v>47</v>
      </c>
      <c r="J2498" s="154" t="s">
        <v>52</v>
      </c>
      <c r="K2498" s="154" t="s">
        <v>27</v>
      </c>
      <c r="L2498" s="154" t="str">
        <f>IF(OpenLCAbasic!K2498="CTUh", "Fill in Manually",IF(OR(K2498="Unit", K2498=""), "", INDEX(LookUps!$E$5:$E$12, MATCH(OpenLCAbasic!K2498,LookUps!$D$5:$D$12,0))))</f>
        <v/>
      </c>
      <c r="M2498" s="154" t="str">
        <f t="shared" si="124"/>
        <v>Low_High_High_Upgraded__Process_Base_With Amendment_Windrow</v>
      </c>
    </row>
    <row r="2499" spans="1:13" s="120" customFormat="1" x14ac:dyDescent="0.25">
      <c r="A2499" s="119"/>
      <c r="B2499" s="138" t="str">
        <f t="shared" si="122"/>
        <v>Windrow</v>
      </c>
      <c r="C2499" s="138" t="str">
        <f t="shared" si="123"/>
        <v>Base_With Amendment</v>
      </c>
      <c r="D2499" s="118" t="s">
        <v>140</v>
      </c>
      <c r="E2499" s="118" t="s">
        <v>180</v>
      </c>
      <c r="F2499" s="118" t="s">
        <v>46</v>
      </c>
      <c r="G2499" s="153"/>
      <c r="H2499" s="155">
        <v>0.34139999999999998</v>
      </c>
      <c r="I2499" s="154" t="s">
        <v>55</v>
      </c>
      <c r="J2499" s="203">
        <v>1.7219999999999999E-2</v>
      </c>
      <c r="K2499" s="154" t="s">
        <v>24</v>
      </c>
      <c r="L2499" s="154" t="str">
        <f>IF(OpenLCAbasic!K2499="CTUh", "Fill in Manually",IF(OR(K2499="Unit", K2499=""), "", INDEX(LookUps!$E$5:$E$12, MATCH(OpenLCAbasic!K2499,LookUps!$D$5:$D$12,0))))</f>
        <v>Acidification Potential (AP) - kg SO2 eq</v>
      </c>
      <c r="M2499" s="154" t="str">
        <f t="shared" si="124"/>
        <v>Low_High_High_Upgraded_Acidification Potential (AP) - kg SO2 eq_Aeration Tanks; wastewater treatment unit; at updated plant - US_Base_With Amendment_Windrow</v>
      </c>
    </row>
    <row r="2500" spans="1:13" s="120" customFormat="1" x14ac:dyDescent="0.25">
      <c r="A2500" s="119"/>
      <c r="B2500" s="138" t="str">
        <f t="shared" si="122"/>
        <v>Windrow</v>
      </c>
      <c r="C2500" s="138" t="str">
        <f t="shared" si="123"/>
        <v>Base_With Amendment</v>
      </c>
      <c r="D2500" s="118" t="s">
        <v>140</v>
      </c>
      <c r="E2500" s="118" t="s">
        <v>180</v>
      </c>
      <c r="F2500" s="118" t="s">
        <v>46</v>
      </c>
      <c r="G2500" s="153"/>
      <c r="H2500" s="155">
        <v>0.10539999999999999</v>
      </c>
      <c r="I2500" s="154" t="s">
        <v>62</v>
      </c>
      <c r="J2500" s="204">
        <v>5.3099999999999996E-3</v>
      </c>
      <c r="K2500" s="154" t="s">
        <v>24</v>
      </c>
      <c r="L2500" s="154" t="str">
        <f>IF(OpenLCAbasic!K2500="CTUh", "Fill in Manually",IF(OR(K2500="Unit", K2500=""), "", INDEX(LookUps!$E$5:$E$12, MATCH(OpenLCAbasic!K2500,LookUps!$D$5:$D$12,0))))</f>
        <v>Acidification Potential (AP) - kg SO2 eq</v>
      </c>
      <c r="M2500" s="154" t="str">
        <f t="shared" si="124"/>
        <v>Low_High_High_Upgraded_Acidification Potential (AP) - kg SO2 eq_Land application of compost; wastewater treatment unit; at updated plant - US_Base_With Amendment_Windrow</v>
      </c>
    </row>
    <row r="2501" spans="1:13" s="120" customFormat="1" x14ac:dyDescent="0.25">
      <c r="A2501" s="119"/>
      <c r="B2501" s="138" t="str">
        <f t="shared" si="122"/>
        <v>Windrow</v>
      </c>
      <c r="C2501" s="138" t="str">
        <f t="shared" si="123"/>
        <v>Base_With Amendment</v>
      </c>
      <c r="D2501" s="118" t="s">
        <v>140</v>
      </c>
      <c r="E2501" s="118" t="s">
        <v>180</v>
      </c>
      <c r="F2501" s="118" t="s">
        <v>46</v>
      </c>
      <c r="G2501" s="153"/>
      <c r="H2501" s="155">
        <v>9.8699999999999996E-2</v>
      </c>
      <c r="I2501" s="154" t="s">
        <v>54</v>
      </c>
      <c r="J2501" s="204">
        <v>4.9800000000000001E-3</v>
      </c>
      <c r="K2501" s="154" t="s">
        <v>24</v>
      </c>
      <c r="L2501" s="154" t="str">
        <f>IF(OpenLCAbasic!K2501="CTUh", "Fill in Manually",IF(OR(K2501="Unit", K2501=""), "", INDEX(LookUps!$E$5:$E$12, MATCH(OpenLCAbasic!K2501,LookUps!$D$5:$D$12,0))))</f>
        <v>Acidification Potential (AP) - kg SO2 eq</v>
      </c>
      <c r="M2501" s="154" t="str">
        <f t="shared" si="124"/>
        <v>Low_High_High_Upgraded_Acidification Potential (AP) - kg SO2 eq_Clear Cove Primary Clarification; wastewater treatment unit; at updated plant - US_Base_With Amendment_Windrow</v>
      </c>
    </row>
    <row r="2502" spans="1:13" s="120" customFormat="1" x14ac:dyDescent="0.25">
      <c r="A2502" s="119"/>
      <c r="B2502" s="138" t="str">
        <f t="shared" ref="B2502:B2565" si="125">IF(F2502="Legacy","n.a.",IF(F2502="","","Windrow"))</f>
        <v>Windrow</v>
      </c>
      <c r="C2502" s="138" t="str">
        <f t="shared" si="123"/>
        <v>Base_With Amendment</v>
      </c>
      <c r="D2502" s="118" t="s">
        <v>140</v>
      </c>
      <c r="E2502" s="118" t="s">
        <v>180</v>
      </c>
      <c r="F2502" s="118" t="s">
        <v>46</v>
      </c>
      <c r="G2502" s="153"/>
      <c r="H2502" s="155">
        <v>8.6499999999999994E-2</v>
      </c>
      <c r="I2502" s="154" t="s">
        <v>58</v>
      </c>
      <c r="J2502" s="204">
        <v>4.3600000000000002E-3</v>
      </c>
      <c r="K2502" s="154" t="s">
        <v>24</v>
      </c>
      <c r="L2502" s="154" t="str">
        <f>IF(OpenLCAbasic!K2502="CTUh", "Fill in Manually",IF(OR(K2502="Unit", K2502=""), "", INDEX(LookUps!$E$5:$E$12, MATCH(OpenLCAbasic!K2502,LookUps!$D$5:$D$12,0))))</f>
        <v>Acidification Potential (AP) - kg SO2 eq</v>
      </c>
      <c r="M2502" s="154" t="str">
        <f t="shared" si="124"/>
        <v>Low_High_High_Upgraded_Acidification Potential (AP) - kg SO2 eq_Pre-Anoxic &amp; Swing tank; wastewater treatment unit; at updated plant - US_Base_With Amendment_Windrow</v>
      </c>
    </row>
    <row r="2503" spans="1:13" s="120" customFormat="1" x14ac:dyDescent="0.25">
      <c r="A2503" s="119"/>
      <c r="B2503" s="138" t="str">
        <f t="shared" si="125"/>
        <v>Windrow</v>
      </c>
      <c r="C2503" s="138" t="str">
        <f t="shared" ref="C2503:C2566" si="126">IF(E2503&lt;&gt;"", "Base_With Amendment","")</f>
        <v>Base_With Amendment</v>
      </c>
      <c r="D2503" s="118" t="s">
        <v>140</v>
      </c>
      <c r="E2503" s="118" t="s">
        <v>180</v>
      </c>
      <c r="F2503" s="118" t="s">
        <v>46</v>
      </c>
      <c r="G2503" s="153"/>
      <c r="H2503" s="155">
        <v>6.8400000000000002E-2</v>
      </c>
      <c r="I2503" s="154" t="s">
        <v>53</v>
      </c>
      <c r="J2503" s="204">
        <v>3.4499999999999999E-3</v>
      </c>
      <c r="K2503" s="154" t="s">
        <v>24</v>
      </c>
      <c r="L2503" s="154" t="str">
        <f>IF(OpenLCAbasic!K2503="CTUh", "Fill in Manually",IF(OR(K2503="Unit", K2503=""), "", INDEX(LookUps!$E$5:$E$12, MATCH(OpenLCAbasic!K2503,LookUps!$D$5:$D$12,0))))</f>
        <v>Acidification Potential (AP) - kg SO2 eq</v>
      </c>
      <c r="M2503" s="154" t="str">
        <f t="shared" ref="M2503:M2566" si="127">CONCATENATE(E2503,"_",D2503,"_",F2503,"_",L2503, "_",I2503,"_", C2503,"_", B2503)</f>
        <v>Low_High_High_Upgraded_Acidification Potential (AP) - kg SO2 eq_Wet Well and Sump Station; wastewater treatment unit; at updated plant - US_Base_With Amendment_Windrow</v>
      </c>
    </row>
    <row r="2504" spans="1:13" s="120" customFormat="1" x14ac:dyDescent="0.25">
      <c r="A2504" s="119"/>
      <c r="B2504" s="138" t="str">
        <f t="shared" si="125"/>
        <v>Windrow</v>
      </c>
      <c r="C2504" s="138" t="str">
        <f t="shared" si="126"/>
        <v>Base_With Amendment</v>
      </c>
      <c r="D2504" s="118" t="s">
        <v>140</v>
      </c>
      <c r="E2504" s="118" t="s">
        <v>180</v>
      </c>
      <c r="F2504" s="118" t="s">
        <v>46</v>
      </c>
      <c r="G2504" s="153"/>
      <c r="H2504" s="155">
        <v>5.3600000000000002E-2</v>
      </c>
      <c r="I2504" s="154" t="s">
        <v>167</v>
      </c>
      <c r="J2504" s="204">
        <v>2.7000000000000001E-3</v>
      </c>
      <c r="K2504" s="154" t="s">
        <v>24</v>
      </c>
      <c r="L2504" s="154" t="str">
        <f>IF(OpenLCAbasic!K2504="CTUh", "Fill in Manually",IF(OR(K2504="Unit", K2504=""), "", INDEX(LookUps!$E$5:$E$12, MATCH(OpenLCAbasic!K2504,LookUps!$D$5:$D$12,0))))</f>
        <v>Acidification Potential (AP) - kg SO2 eq</v>
      </c>
      <c r="M2504" s="154" t="str">
        <f t="shared" si="127"/>
        <v>Low_High_High_Upgraded_Acidification Potential (AP) - kg SO2 eq_Waste Receiving and Holding; wastewater treatment unit; at updated plant - US_Base_With Amendment_Windrow</v>
      </c>
    </row>
    <row r="2505" spans="1:13" s="120" customFormat="1" x14ac:dyDescent="0.25">
      <c r="A2505" s="119"/>
      <c r="B2505" s="138" t="str">
        <f t="shared" si="125"/>
        <v>Windrow</v>
      </c>
      <c r="C2505" s="138" t="str">
        <f t="shared" si="126"/>
        <v>Base_With Amendment</v>
      </c>
      <c r="D2505" s="118" t="s">
        <v>140</v>
      </c>
      <c r="E2505" s="118" t="s">
        <v>180</v>
      </c>
      <c r="F2505" s="118" t="s">
        <v>46</v>
      </c>
      <c r="G2505" s="153"/>
      <c r="H2505" s="155">
        <v>4.1000000000000002E-2</v>
      </c>
      <c r="I2505" s="154" t="s">
        <v>147</v>
      </c>
      <c r="J2505" s="204">
        <v>2.0699999999999998E-3</v>
      </c>
      <c r="K2505" s="154" t="s">
        <v>24</v>
      </c>
      <c r="L2505" s="154" t="str">
        <f>IF(OpenLCAbasic!K2505="CTUh", "Fill in Manually",IF(OR(K2505="Unit", K2505=""), "", INDEX(LookUps!$E$5:$E$12, MATCH(OpenLCAbasic!K2505,LookUps!$D$5:$D$12,0))))</f>
        <v>Acidification Potential (AP) - kg SO2 eq</v>
      </c>
      <c r="M2505" s="154" t="str">
        <f t="shared" si="127"/>
        <v>Low_High_High_Upgraded_Acidification Potential (AP) - kg SO2 eq_Influent Pump Station; wastewater treatment unit; at updated plant - US_Base_With Amendment_Windrow</v>
      </c>
    </row>
    <row r="2506" spans="1:13" s="120" customFormat="1" x14ac:dyDescent="0.25">
      <c r="A2506" s="119"/>
      <c r="B2506" s="138" t="str">
        <f t="shared" si="125"/>
        <v>Windrow</v>
      </c>
      <c r="C2506" s="138" t="str">
        <f t="shared" si="126"/>
        <v>Base_With Amendment</v>
      </c>
      <c r="D2506" s="118" t="s">
        <v>140</v>
      </c>
      <c r="E2506" s="118" t="s">
        <v>180</v>
      </c>
      <c r="F2506" s="118" t="s">
        <v>46</v>
      </c>
      <c r="G2506" s="153"/>
      <c r="H2506" s="155">
        <v>3.6299999999999999E-2</v>
      </c>
      <c r="I2506" s="154" t="s">
        <v>271</v>
      </c>
      <c r="J2506" s="204">
        <v>1.83E-3</v>
      </c>
      <c r="K2506" s="154" t="s">
        <v>24</v>
      </c>
      <c r="L2506" s="154" t="str">
        <f>IF(OpenLCAbasic!K2506="CTUh", "Fill in Manually",IF(OR(K2506="Unit", K2506=""), "", INDEX(LookUps!$E$5:$E$12, MATCH(OpenLCAbasic!K2506,LookUps!$D$5:$D$12,0))))</f>
        <v>Acidification Potential (AP) - kg SO2 eq</v>
      </c>
      <c r="M2506" s="154" t="str">
        <f t="shared" si="127"/>
        <v>Low_High_High_Upgraded_Acidification Potential (AP) - kg SO2 eq_Biosolids composting; windrow composting; wastewater treatment unit; at updated plant - US_Base_With Amendment_Windrow</v>
      </c>
    </row>
    <row r="2507" spans="1:13" s="120" customFormat="1" x14ac:dyDescent="0.25">
      <c r="A2507" s="119"/>
      <c r="B2507" s="138" t="str">
        <f t="shared" si="125"/>
        <v>Windrow</v>
      </c>
      <c r="C2507" s="138" t="str">
        <f t="shared" si="126"/>
        <v>Base_With Amendment</v>
      </c>
      <c r="D2507" s="118" t="s">
        <v>140</v>
      </c>
      <c r="E2507" s="118" t="s">
        <v>180</v>
      </c>
      <c r="F2507" s="118" t="s">
        <v>46</v>
      </c>
      <c r="G2507" s="153"/>
      <c r="H2507" s="155">
        <v>2.7400000000000001E-2</v>
      </c>
      <c r="I2507" s="154" t="s">
        <v>60</v>
      </c>
      <c r="J2507" s="204">
        <v>1.3799999999999999E-3</v>
      </c>
      <c r="K2507" s="154" t="s">
        <v>24</v>
      </c>
      <c r="L2507" s="154" t="str">
        <f>IF(OpenLCAbasic!K2507="CTUh", "Fill in Manually",IF(OR(K2507="Unit", K2507=""), "", INDEX(LookUps!$E$5:$E$12, MATCH(OpenLCAbasic!K2507,LookUps!$D$5:$D$12,0))))</f>
        <v>Acidification Potential (AP) - kg SO2 eq</v>
      </c>
      <c r="M2507" s="154" t="str">
        <f t="shared" si="127"/>
        <v>Low_High_High_Upgraded_Acidification Potential (AP) - kg SO2 eq_Belt filter press; wastewater treatment unit; at updated plant - US_Base_With Amendment_Windrow</v>
      </c>
    </row>
    <row r="2508" spans="1:13" s="120" customFormat="1" x14ac:dyDescent="0.25">
      <c r="A2508" s="119"/>
      <c r="B2508" s="138" t="str">
        <f t="shared" si="125"/>
        <v>Windrow</v>
      </c>
      <c r="C2508" s="138" t="str">
        <f t="shared" si="126"/>
        <v>Base_With Amendment</v>
      </c>
      <c r="D2508" s="118" t="s">
        <v>140</v>
      </c>
      <c r="E2508" s="118" t="s">
        <v>180</v>
      </c>
      <c r="F2508" s="118" t="s">
        <v>46</v>
      </c>
      <c r="G2508" s="153"/>
      <c r="H2508" s="155">
        <v>2.4400000000000002E-2</v>
      </c>
      <c r="I2508" s="154" t="s">
        <v>128</v>
      </c>
      <c r="J2508" s="204">
        <v>1.23E-3</v>
      </c>
      <c r="K2508" s="154" t="s">
        <v>24</v>
      </c>
      <c r="L2508" s="154" t="str">
        <f>IF(OpenLCAbasic!K2508="CTUh", "Fill in Manually",IF(OR(K2508="Unit", K2508=""), "", INDEX(LookUps!$E$5:$E$12, MATCH(OpenLCAbasic!K2508,LookUps!$D$5:$D$12,0))))</f>
        <v>Acidification Potential (AP) - kg SO2 eq</v>
      </c>
      <c r="M2508" s="154" t="str">
        <f t="shared" si="127"/>
        <v>Low_High_High_Upgraded_Acidification Potential (AP) - kg SO2 eq_Wastewater collection; operation and infrastructure; m3 wastewater_Base_With Amendment_Windrow</v>
      </c>
    </row>
    <row r="2509" spans="1:13" s="120" customFormat="1" x14ac:dyDescent="0.25">
      <c r="A2509" s="119"/>
      <c r="B2509" s="138" t="str">
        <f t="shared" si="125"/>
        <v>Windrow</v>
      </c>
      <c r="C2509" s="138" t="str">
        <f t="shared" si="126"/>
        <v>Base_With Amendment</v>
      </c>
      <c r="D2509" s="118" t="s">
        <v>140</v>
      </c>
      <c r="E2509" s="118" t="s">
        <v>180</v>
      </c>
      <c r="F2509" s="118" t="s">
        <v>46</v>
      </c>
      <c r="G2509" s="153"/>
      <c r="H2509" s="155">
        <v>1.4E-2</v>
      </c>
      <c r="I2509" s="154" t="s">
        <v>57</v>
      </c>
      <c r="J2509" s="204">
        <v>6.9999999999999999E-4</v>
      </c>
      <c r="K2509" s="154" t="s">
        <v>24</v>
      </c>
      <c r="L2509" s="154" t="str">
        <f>IF(OpenLCAbasic!K2509="CTUh", "Fill in Manually",IF(OR(K2509="Unit", K2509=""), "", INDEX(LookUps!$E$5:$E$12, MATCH(OpenLCAbasic!K2509,LookUps!$D$5:$D$12,0))))</f>
        <v>Acidification Potential (AP) - kg SO2 eq</v>
      </c>
      <c r="M2509" s="154" t="str">
        <f t="shared" si="127"/>
        <v>Low_High_High_Upgraded_Acidification Potential (AP) - kg SO2 eq_Gravity Belt Thickener; wastewater treatment unit; at updated plant - US_Base_With Amendment_Windrow</v>
      </c>
    </row>
    <row r="2510" spans="1:13" s="120" customFormat="1" x14ac:dyDescent="0.25">
      <c r="A2510" s="119"/>
      <c r="B2510" s="138" t="str">
        <f t="shared" si="125"/>
        <v>Windrow</v>
      </c>
      <c r="C2510" s="138" t="str">
        <f t="shared" si="126"/>
        <v>Base_With Amendment</v>
      </c>
      <c r="D2510" s="118" t="s">
        <v>140</v>
      </c>
      <c r="E2510" s="118" t="s">
        <v>180</v>
      </c>
      <c r="F2510" s="118" t="s">
        <v>46</v>
      </c>
      <c r="G2510" s="153"/>
      <c r="H2510" s="155">
        <v>1.0200000000000001E-2</v>
      </c>
      <c r="I2510" s="154" t="s">
        <v>59</v>
      </c>
      <c r="J2510" s="204">
        <v>5.1999999999999995E-4</v>
      </c>
      <c r="K2510" s="154" t="s">
        <v>24</v>
      </c>
      <c r="L2510" s="154" t="str">
        <f>IF(OpenLCAbasic!K2510="CTUh", "Fill in Manually",IF(OR(K2510="Unit", K2510=""), "", INDEX(LookUps!$E$5:$E$12, MATCH(OpenLCAbasic!K2510,LookUps!$D$5:$D$12,0))))</f>
        <v>Acidification Potential (AP) - kg SO2 eq</v>
      </c>
      <c r="M2510" s="154" t="str">
        <f t="shared" si="127"/>
        <v>Low_High_High_Upgraded_Acidification Potential (AP) - kg SO2 eq_Blend Tank; wastewater treatment unit; at updated plant - US_Base_With Amendment_Windrow</v>
      </c>
    </row>
    <row r="2511" spans="1:13" s="120" customFormat="1" x14ac:dyDescent="0.25">
      <c r="A2511" s="119"/>
      <c r="B2511" s="138" t="str">
        <f t="shared" si="125"/>
        <v>Windrow</v>
      </c>
      <c r="C2511" s="138" t="str">
        <f t="shared" si="126"/>
        <v>Base_With Amendment</v>
      </c>
      <c r="D2511" s="118" t="s">
        <v>140</v>
      </c>
      <c r="E2511" s="118" t="s">
        <v>180</v>
      </c>
      <c r="F2511" s="118" t="s">
        <v>46</v>
      </c>
      <c r="G2511" s="153"/>
      <c r="H2511" s="155">
        <v>6.8999999999999999E-3</v>
      </c>
      <c r="I2511" s="154" t="s">
        <v>48</v>
      </c>
      <c r="J2511" s="204">
        <v>3.5E-4</v>
      </c>
      <c r="K2511" s="154" t="s">
        <v>24</v>
      </c>
      <c r="L2511" s="154" t="str">
        <f>IF(OpenLCAbasic!K2511="CTUh", "Fill in Manually",IF(OR(K2511="Unit", K2511=""), "", INDEX(LookUps!$E$5:$E$12, MATCH(OpenLCAbasic!K2511,LookUps!$D$5:$D$12,0))))</f>
        <v>Acidification Potential (AP) - kg SO2 eq</v>
      </c>
      <c r="M2511" s="154" t="str">
        <f t="shared" si="127"/>
        <v>Low_High_High_Upgraded_Acidification Potential (AP) - kg SO2 eq_Effluent release; wastewater treatment unit; at surface water; m3 wastewater - US_Base_With Amendment_Windrow</v>
      </c>
    </row>
    <row r="2512" spans="1:13" s="120" customFormat="1" x14ac:dyDescent="0.25">
      <c r="A2512" s="119"/>
      <c r="B2512" s="138" t="str">
        <f t="shared" si="125"/>
        <v>Windrow</v>
      </c>
      <c r="C2512" s="138" t="str">
        <f t="shared" si="126"/>
        <v>Base_With Amendment</v>
      </c>
      <c r="D2512" s="118" t="s">
        <v>140</v>
      </c>
      <c r="E2512" s="118" t="s">
        <v>180</v>
      </c>
      <c r="F2512" s="118" t="s">
        <v>46</v>
      </c>
      <c r="G2512" s="153"/>
      <c r="H2512" s="155">
        <v>5.1000000000000004E-3</v>
      </c>
      <c r="I2512" s="154" t="s">
        <v>168</v>
      </c>
      <c r="J2512" s="204">
        <v>2.5999999999999998E-4</v>
      </c>
      <c r="K2512" s="154" t="s">
        <v>24</v>
      </c>
      <c r="L2512" s="154" t="str">
        <f>IF(OpenLCAbasic!K2512="CTUh", "Fill in Manually",IF(OR(K2512="Unit", K2512=""), "", INDEX(LookUps!$E$5:$E$12, MATCH(OpenLCAbasic!K2512,LookUps!$D$5:$D$12,0))))</f>
        <v>Acidification Potential (AP) - kg SO2 eq</v>
      </c>
      <c r="M2512" s="154" t="str">
        <f t="shared" si="127"/>
        <v>Low_High_High_Upgraded_Acidification Potential (AP) - kg SO2 eq_ClearCove SCP; wastewater treatment unit; at updated plant - US_Base_With Amendment_Windrow</v>
      </c>
    </row>
    <row r="2513" spans="1:13" s="120" customFormat="1" x14ac:dyDescent="0.25">
      <c r="A2513" s="119"/>
      <c r="B2513" s="138" t="str">
        <f t="shared" si="125"/>
        <v>Windrow</v>
      </c>
      <c r="C2513" s="138" t="str">
        <f t="shared" si="126"/>
        <v>Base_With Amendment</v>
      </c>
      <c r="D2513" s="118" t="s">
        <v>140</v>
      </c>
      <c r="E2513" s="118" t="s">
        <v>180</v>
      </c>
      <c r="F2513" s="118" t="s">
        <v>46</v>
      </c>
      <c r="G2513" s="153"/>
      <c r="H2513" s="155">
        <v>8.0000000000000004E-4</v>
      </c>
      <c r="I2513" s="154" t="s">
        <v>148</v>
      </c>
      <c r="J2513" s="204">
        <v>4.0354700000000002E-5</v>
      </c>
      <c r="K2513" s="154" t="s">
        <v>24</v>
      </c>
      <c r="L2513" s="154" t="str">
        <f>IF(OpenLCAbasic!K2513="CTUh", "Fill in Manually",IF(OR(K2513="Unit", K2513=""), "", INDEX(LookUps!$E$5:$E$12, MATCH(OpenLCAbasic!K2513,LookUps!$D$5:$D$12,0))))</f>
        <v>Acidification Potential (AP) - kg SO2 eq</v>
      </c>
      <c r="M2513" s="154" t="str">
        <f t="shared" si="127"/>
        <v>Low_High_High_Upgraded_Acidification Potential (AP) - kg SO2 eq_Control Building; at upgraded wastewater treatment plant - US_Base_With Amendment_Windrow</v>
      </c>
    </row>
    <row r="2514" spans="1:13" s="120" customFormat="1" x14ac:dyDescent="0.25">
      <c r="A2514" s="119"/>
      <c r="B2514" s="138" t="str">
        <f t="shared" si="125"/>
        <v>Windrow</v>
      </c>
      <c r="C2514" s="138" t="str">
        <f t="shared" si="126"/>
        <v>Base_With Amendment</v>
      </c>
      <c r="D2514" s="118" t="s">
        <v>140</v>
      </c>
      <c r="E2514" s="118" t="s">
        <v>180</v>
      </c>
      <c r="F2514" s="118" t="s">
        <v>46</v>
      </c>
      <c r="G2514" s="153"/>
      <c r="H2514" s="155">
        <v>-1.9200999999999999</v>
      </c>
      <c r="I2514" s="154" t="s">
        <v>149</v>
      </c>
      <c r="J2514" s="203">
        <v>-9.6839999999999996E-2</v>
      </c>
      <c r="K2514" s="154" t="s">
        <v>24</v>
      </c>
      <c r="L2514" s="154" t="str">
        <f>IF(OpenLCAbasic!K2514="CTUh", "Fill in Manually",IF(OR(K2514="Unit", K2514=""), "", INDEX(LookUps!$E$5:$E$12, MATCH(OpenLCAbasic!K2514,LookUps!$D$5:$D$12,0))))</f>
        <v>Acidification Potential (AP) - kg SO2 eq</v>
      </c>
      <c r="M2514" s="154" t="str">
        <f t="shared" si="127"/>
        <v>Low_High_High_Upgraded_Acidification Potential (AP) - kg SO2 eq_Anaerobic Digestion; wastewater treatment unit; at updated plant - US_Base_With Amendment_Windrow</v>
      </c>
    </row>
    <row r="2515" spans="1:13" s="120" customFormat="1" x14ac:dyDescent="0.25">
      <c r="A2515" s="119"/>
      <c r="B2515" s="138" t="str">
        <f t="shared" si="125"/>
        <v>Windrow</v>
      </c>
      <c r="C2515" s="138" t="str">
        <f t="shared" si="126"/>
        <v>Base_With Amendment</v>
      </c>
      <c r="D2515" s="118" t="s">
        <v>140</v>
      </c>
      <c r="E2515" s="118" t="s">
        <v>180</v>
      </c>
      <c r="F2515" s="118" t="s">
        <v>46</v>
      </c>
      <c r="G2515" s="153" t="s">
        <v>51</v>
      </c>
      <c r="H2515" s="154"/>
      <c r="I2515" s="154" t="s">
        <v>47</v>
      </c>
      <c r="J2515" s="154" t="s">
        <v>52</v>
      </c>
      <c r="K2515" s="154" t="s">
        <v>27</v>
      </c>
      <c r="L2515" s="154" t="str">
        <f>IF(OpenLCAbasic!K2515="CTUh", "Fill in Manually",IF(OR(K2515="Unit", K2515=""), "", INDEX(LookUps!$E$5:$E$12, MATCH(OpenLCAbasic!K2515,LookUps!$D$5:$D$12,0))))</f>
        <v/>
      </c>
      <c r="M2515" s="154" t="str">
        <f t="shared" si="127"/>
        <v>Low_High_High_Upgraded__Process_Base_With Amendment_Windrow</v>
      </c>
    </row>
    <row r="2516" spans="1:13" s="120" customFormat="1" x14ac:dyDescent="0.25">
      <c r="A2516" s="119"/>
      <c r="B2516" s="138" t="str">
        <f t="shared" si="125"/>
        <v>Windrow</v>
      </c>
      <c r="C2516" s="138" t="str">
        <f t="shared" si="126"/>
        <v>Base_With Amendment</v>
      </c>
      <c r="D2516" s="118" t="s">
        <v>140</v>
      </c>
      <c r="E2516" s="118" t="s">
        <v>180</v>
      </c>
      <c r="F2516" s="118" t="s">
        <v>46</v>
      </c>
      <c r="G2516" s="153"/>
      <c r="H2516" s="155">
        <v>0.63770000000000004</v>
      </c>
      <c r="I2516" s="154" t="s">
        <v>167</v>
      </c>
      <c r="J2516" s="203">
        <v>0.11719</v>
      </c>
      <c r="K2516" s="154" t="s">
        <v>14</v>
      </c>
      <c r="L2516" s="154" t="str">
        <f>IF(OpenLCAbasic!K2516="CTUh", "Fill in Manually",IF(OR(K2516="Unit", K2516=""), "", INDEX(LookUps!$E$5:$E$12, MATCH(OpenLCAbasic!K2516,LookUps!$D$5:$D$12,0))))</f>
        <v>Fossil Depletion Potential (FDP) - kg oil eq</v>
      </c>
      <c r="M2516" s="154" t="str">
        <f t="shared" si="127"/>
        <v>Low_High_High_Upgraded_Fossil Depletion Potential (FDP) - kg oil eq_Waste Receiving and Holding; wastewater treatment unit; at updated plant - US_Base_With Amendment_Windrow</v>
      </c>
    </row>
    <row r="2517" spans="1:13" s="120" customFormat="1" x14ac:dyDescent="0.25">
      <c r="A2517" s="119"/>
      <c r="B2517" s="138" t="str">
        <f t="shared" si="125"/>
        <v>Windrow</v>
      </c>
      <c r="C2517" s="138" t="str">
        <f t="shared" si="126"/>
        <v>Base_With Amendment</v>
      </c>
      <c r="D2517" s="118" t="s">
        <v>140</v>
      </c>
      <c r="E2517" s="118" t="s">
        <v>180</v>
      </c>
      <c r="F2517" s="118" t="s">
        <v>46</v>
      </c>
      <c r="G2517" s="153"/>
      <c r="H2517" s="155">
        <v>0.34610000000000002</v>
      </c>
      <c r="I2517" s="154" t="s">
        <v>55</v>
      </c>
      <c r="J2517" s="203">
        <v>6.3589999999999994E-2</v>
      </c>
      <c r="K2517" s="154" t="s">
        <v>14</v>
      </c>
      <c r="L2517" s="154" t="str">
        <f>IF(OpenLCAbasic!K2517="CTUh", "Fill in Manually",IF(OR(K2517="Unit", K2517=""), "", INDEX(LookUps!$E$5:$E$12, MATCH(OpenLCAbasic!K2517,LookUps!$D$5:$D$12,0))))</f>
        <v>Fossil Depletion Potential (FDP) - kg oil eq</v>
      </c>
      <c r="M2517" s="154" t="str">
        <f t="shared" si="127"/>
        <v>Low_High_High_Upgraded_Fossil Depletion Potential (FDP) - kg oil eq_Aeration Tanks; wastewater treatment unit; at updated plant - US_Base_With Amendment_Windrow</v>
      </c>
    </row>
    <row r="2518" spans="1:13" s="120" customFormat="1" x14ac:dyDescent="0.25">
      <c r="A2518" s="119"/>
      <c r="B2518" s="138" t="str">
        <f t="shared" si="125"/>
        <v>Windrow</v>
      </c>
      <c r="C2518" s="138" t="str">
        <f t="shared" si="126"/>
        <v>Base_With Amendment</v>
      </c>
      <c r="D2518" s="118" t="s">
        <v>140</v>
      </c>
      <c r="E2518" s="118" t="s">
        <v>180</v>
      </c>
      <c r="F2518" s="118" t="s">
        <v>46</v>
      </c>
      <c r="G2518" s="153"/>
      <c r="H2518" s="155">
        <v>0.11459999999999999</v>
      </c>
      <c r="I2518" s="154" t="s">
        <v>54</v>
      </c>
      <c r="J2518" s="203">
        <v>2.1049999999999999E-2</v>
      </c>
      <c r="K2518" s="154" t="s">
        <v>14</v>
      </c>
      <c r="L2518" s="154" t="str">
        <f>IF(OpenLCAbasic!K2518="CTUh", "Fill in Manually",IF(OR(K2518="Unit", K2518=""), "", INDEX(LookUps!$E$5:$E$12, MATCH(OpenLCAbasic!K2518,LookUps!$D$5:$D$12,0))))</f>
        <v>Fossil Depletion Potential (FDP) - kg oil eq</v>
      </c>
      <c r="M2518" s="154" t="str">
        <f t="shared" si="127"/>
        <v>Low_High_High_Upgraded_Fossil Depletion Potential (FDP) - kg oil eq_Clear Cove Primary Clarification; wastewater treatment unit; at updated plant - US_Base_With Amendment_Windrow</v>
      </c>
    </row>
    <row r="2519" spans="1:13" s="120" customFormat="1" x14ac:dyDescent="0.25">
      <c r="A2519" s="119"/>
      <c r="B2519" s="138" t="str">
        <f t="shared" si="125"/>
        <v>Windrow</v>
      </c>
      <c r="C2519" s="138" t="str">
        <f t="shared" si="126"/>
        <v>Base_With Amendment</v>
      </c>
      <c r="D2519" s="118" t="s">
        <v>140</v>
      </c>
      <c r="E2519" s="118" t="s">
        <v>180</v>
      </c>
      <c r="F2519" s="118" t="s">
        <v>46</v>
      </c>
      <c r="G2519" s="153"/>
      <c r="H2519" s="155">
        <v>8.7300000000000003E-2</v>
      </c>
      <c r="I2519" s="154" t="s">
        <v>58</v>
      </c>
      <c r="J2519" s="203">
        <v>1.6039999999999999E-2</v>
      </c>
      <c r="K2519" s="154" t="s">
        <v>14</v>
      </c>
      <c r="L2519" s="154" t="str">
        <f>IF(OpenLCAbasic!K2519="CTUh", "Fill in Manually",IF(OR(K2519="Unit", K2519=""), "", INDEX(LookUps!$E$5:$E$12, MATCH(OpenLCAbasic!K2519,LookUps!$D$5:$D$12,0))))</f>
        <v>Fossil Depletion Potential (FDP) - kg oil eq</v>
      </c>
      <c r="M2519" s="154" t="str">
        <f t="shared" si="127"/>
        <v>Low_High_High_Upgraded_Fossil Depletion Potential (FDP) - kg oil eq_Pre-Anoxic &amp; Swing tank; wastewater treatment unit; at updated plant - US_Base_With Amendment_Windrow</v>
      </c>
    </row>
    <row r="2520" spans="1:13" s="120" customFormat="1" x14ac:dyDescent="0.25">
      <c r="A2520" s="119"/>
      <c r="B2520" s="138" t="str">
        <f t="shared" si="125"/>
        <v>Windrow</v>
      </c>
      <c r="C2520" s="138" t="str">
        <f t="shared" si="126"/>
        <v>Base_With Amendment</v>
      </c>
      <c r="D2520" s="118" t="s">
        <v>140</v>
      </c>
      <c r="E2520" s="118" t="s">
        <v>180</v>
      </c>
      <c r="F2520" s="118" t="s">
        <v>46</v>
      </c>
      <c r="G2520" s="153"/>
      <c r="H2520" s="155">
        <v>8.2100000000000006E-2</v>
      </c>
      <c r="I2520" s="154" t="s">
        <v>147</v>
      </c>
      <c r="J2520" s="203">
        <v>1.5089999999999999E-2</v>
      </c>
      <c r="K2520" s="154" t="s">
        <v>14</v>
      </c>
      <c r="L2520" s="154" t="str">
        <f>IF(OpenLCAbasic!K2520="CTUh", "Fill in Manually",IF(OR(K2520="Unit", K2520=""), "", INDEX(LookUps!$E$5:$E$12, MATCH(OpenLCAbasic!K2520,LookUps!$D$5:$D$12,0))))</f>
        <v>Fossil Depletion Potential (FDP) - kg oil eq</v>
      </c>
      <c r="M2520" s="154" t="str">
        <f t="shared" si="127"/>
        <v>Low_High_High_Upgraded_Fossil Depletion Potential (FDP) - kg oil eq_Influent Pump Station; wastewater treatment unit; at updated plant - US_Base_With Amendment_Windrow</v>
      </c>
    </row>
    <row r="2521" spans="1:13" s="120" customFormat="1" x14ac:dyDescent="0.25">
      <c r="A2521" s="119"/>
      <c r="B2521" s="138" t="str">
        <f t="shared" si="125"/>
        <v>Windrow</v>
      </c>
      <c r="C2521" s="138" t="str">
        <f t="shared" si="126"/>
        <v>Base_With Amendment</v>
      </c>
      <c r="D2521" s="118" t="s">
        <v>140</v>
      </c>
      <c r="E2521" s="118" t="s">
        <v>180</v>
      </c>
      <c r="F2521" s="118" t="s">
        <v>46</v>
      </c>
      <c r="G2521" s="153"/>
      <c r="H2521" s="155">
        <v>6.8000000000000005E-2</v>
      </c>
      <c r="I2521" s="154" t="s">
        <v>53</v>
      </c>
      <c r="J2521" s="203">
        <v>1.2489999999999999E-2</v>
      </c>
      <c r="K2521" s="154" t="s">
        <v>14</v>
      </c>
      <c r="L2521" s="154" t="str">
        <f>IF(OpenLCAbasic!K2521="CTUh", "Fill in Manually",IF(OR(K2521="Unit", K2521=""), "", INDEX(LookUps!$E$5:$E$12, MATCH(OpenLCAbasic!K2521,LookUps!$D$5:$D$12,0))))</f>
        <v>Fossil Depletion Potential (FDP) - kg oil eq</v>
      </c>
      <c r="M2521" s="154" t="str">
        <f t="shared" si="127"/>
        <v>Low_High_High_Upgraded_Fossil Depletion Potential (FDP) - kg oil eq_Wet Well and Sump Station; wastewater treatment unit; at updated plant - US_Base_With Amendment_Windrow</v>
      </c>
    </row>
    <row r="2522" spans="1:13" s="120" customFormat="1" x14ac:dyDescent="0.25">
      <c r="A2522" s="119"/>
      <c r="B2522" s="138" t="str">
        <f t="shared" si="125"/>
        <v>Windrow</v>
      </c>
      <c r="C2522" s="138" t="str">
        <f t="shared" si="126"/>
        <v>Base_With Amendment</v>
      </c>
      <c r="D2522" s="118" t="s">
        <v>140</v>
      </c>
      <c r="E2522" s="118" t="s">
        <v>180</v>
      </c>
      <c r="F2522" s="118" t="s">
        <v>46</v>
      </c>
      <c r="G2522" s="153"/>
      <c r="H2522" s="155">
        <v>5.67E-2</v>
      </c>
      <c r="I2522" s="154" t="s">
        <v>60</v>
      </c>
      <c r="J2522" s="204">
        <v>1.0410000000000001E-2</v>
      </c>
      <c r="K2522" s="154" t="s">
        <v>14</v>
      </c>
      <c r="L2522" s="154" t="str">
        <f>IF(OpenLCAbasic!K2522="CTUh", "Fill in Manually",IF(OR(K2522="Unit", K2522=""), "", INDEX(LookUps!$E$5:$E$12, MATCH(OpenLCAbasic!K2522,LookUps!$D$5:$D$12,0))))</f>
        <v>Fossil Depletion Potential (FDP) - kg oil eq</v>
      </c>
      <c r="M2522" s="154" t="str">
        <f t="shared" si="127"/>
        <v>Low_High_High_Upgraded_Fossil Depletion Potential (FDP) - kg oil eq_Belt filter press; wastewater treatment unit; at updated plant - US_Base_With Amendment_Windrow</v>
      </c>
    </row>
    <row r="2523" spans="1:13" s="120" customFormat="1" x14ac:dyDescent="0.25">
      <c r="A2523" s="119"/>
      <c r="B2523" s="138" t="str">
        <f t="shared" si="125"/>
        <v>Windrow</v>
      </c>
      <c r="C2523" s="138" t="str">
        <f t="shared" si="126"/>
        <v>Base_With Amendment</v>
      </c>
      <c r="D2523" s="118" t="s">
        <v>140</v>
      </c>
      <c r="E2523" s="118" t="s">
        <v>180</v>
      </c>
      <c r="F2523" s="118" t="s">
        <v>46</v>
      </c>
      <c r="G2523" s="153"/>
      <c r="H2523" s="155">
        <v>3.7600000000000001E-2</v>
      </c>
      <c r="I2523" s="154" t="s">
        <v>57</v>
      </c>
      <c r="J2523" s="204">
        <v>6.9199999999999999E-3</v>
      </c>
      <c r="K2523" s="154" t="s">
        <v>14</v>
      </c>
      <c r="L2523" s="154" t="str">
        <f>IF(OpenLCAbasic!K2523="CTUh", "Fill in Manually",IF(OR(K2523="Unit", K2523=""), "", INDEX(LookUps!$E$5:$E$12, MATCH(OpenLCAbasic!K2523,LookUps!$D$5:$D$12,0))))</f>
        <v>Fossil Depletion Potential (FDP) - kg oil eq</v>
      </c>
      <c r="M2523" s="154" t="str">
        <f t="shared" si="127"/>
        <v>Low_High_High_Upgraded_Fossil Depletion Potential (FDP) - kg oil eq_Gravity Belt Thickener; wastewater treatment unit; at updated plant - US_Base_With Amendment_Windrow</v>
      </c>
    </row>
    <row r="2524" spans="1:13" s="120" customFormat="1" x14ac:dyDescent="0.25">
      <c r="A2524" s="119"/>
      <c r="B2524" s="138" t="str">
        <f t="shared" si="125"/>
        <v>Windrow</v>
      </c>
      <c r="C2524" s="138" t="str">
        <f t="shared" si="126"/>
        <v>Base_With Amendment</v>
      </c>
      <c r="D2524" s="118" t="s">
        <v>140</v>
      </c>
      <c r="E2524" s="118" t="s">
        <v>180</v>
      </c>
      <c r="F2524" s="118" t="s">
        <v>46</v>
      </c>
      <c r="G2524" s="153"/>
      <c r="H2524" s="155">
        <v>2.4500000000000001E-2</v>
      </c>
      <c r="I2524" s="154" t="s">
        <v>128</v>
      </c>
      <c r="J2524" s="204">
        <v>4.4999999999999997E-3</v>
      </c>
      <c r="K2524" s="154" t="s">
        <v>14</v>
      </c>
      <c r="L2524" s="154" t="str">
        <f>IF(OpenLCAbasic!K2524="CTUh", "Fill in Manually",IF(OR(K2524="Unit", K2524=""), "", INDEX(LookUps!$E$5:$E$12, MATCH(OpenLCAbasic!K2524,LookUps!$D$5:$D$12,0))))</f>
        <v>Fossil Depletion Potential (FDP) - kg oil eq</v>
      </c>
      <c r="M2524" s="154" t="str">
        <f t="shared" si="127"/>
        <v>Low_High_High_Upgraded_Fossil Depletion Potential (FDP) - kg oil eq_Wastewater collection; operation and infrastructure; m3 wastewater_Base_With Amendment_Windrow</v>
      </c>
    </row>
    <row r="2525" spans="1:13" s="120" customFormat="1" x14ac:dyDescent="0.25">
      <c r="A2525" s="119"/>
      <c r="B2525" s="138" t="str">
        <f t="shared" si="125"/>
        <v>Windrow</v>
      </c>
      <c r="C2525" s="138" t="str">
        <f t="shared" si="126"/>
        <v>Base_With Amendment</v>
      </c>
      <c r="D2525" s="118" t="s">
        <v>140</v>
      </c>
      <c r="E2525" s="118" t="s">
        <v>180</v>
      </c>
      <c r="F2525" s="118" t="s">
        <v>46</v>
      </c>
      <c r="G2525" s="153"/>
      <c r="H2525" s="155">
        <v>1.52E-2</v>
      </c>
      <c r="I2525" s="154" t="s">
        <v>148</v>
      </c>
      <c r="J2525" s="204">
        <v>2.8E-3</v>
      </c>
      <c r="K2525" s="154" t="s">
        <v>14</v>
      </c>
      <c r="L2525" s="154" t="str">
        <f>IF(OpenLCAbasic!K2525="CTUh", "Fill in Manually",IF(OR(K2525="Unit", K2525=""), "", INDEX(LookUps!$E$5:$E$12, MATCH(OpenLCAbasic!K2525,LookUps!$D$5:$D$12,0))))</f>
        <v>Fossil Depletion Potential (FDP) - kg oil eq</v>
      </c>
      <c r="M2525" s="154" t="str">
        <f t="shared" si="127"/>
        <v>Low_High_High_Upgraded_Fossil Depletion Potential (FDP) - kg oil eq_Control Building; at upgraded wastewater treatment plant - US_Base_With Amendment_Windrow</v>
      </c>
    </row>
    <row r="2526" spans="1:13" s="120" customFormat="1" x14ac:dyDescent="0.25">
      <c r="A2526" s="119"/>
      <c r="B2526" s="138" t="str">
        <f t="shared" si="125"/>
        <v>Windrow</v>
      </c>
      <c r="C2526" s="138" t="str">
        <f t="shared" si="126"/>
        <v>Base_With Amendment</v>
      </c>
      <c r="D2526" s="118" t="s">
        <v>140</v>
      </c>
      <c r="E2526" s="118" t="s">
        <v>180</v>
      </c>
      <c r="F2526" s="118" t="s">
        <v>46</v>
      </c>
      <c r="G2526" s="153"/>
      <c r="H2526" s="155">
        <v>1.29E-2</v>
      </c>
      <c r="I2526" s="154" t="s">
        <v>48</v>
      </c>
      <c r="J2526" s="204">
        <v>2.3600000000000001E-3</v>
      </c>
      <c r="K2526" s="154" t="s">
        <v>14</v>
      </c>
      <c r="L2526" s="154" t="str">
        <f>IF(OpenLCAbasic!K2526="CTUh", "Fill in Manually",IF(OR(K2526="Unit", K2526=""), "", INDEX(LookUps!$E$5:$E$12, MATCH(OpenLCAbasic!K2526,LookUps!$D$5:$D$12,0))))</f>
        <v>Fossil Depletion Potential (FDP) - kg oil eq</v>
      </c>
      <c r="M2526" s="154" t="str">
        <f t="shared" si="127"/>
        <v>Low_High_High_Upgraded_Fossil Depletion Potential (FDP) - kg oil eq_Effluent release; wastewater treatment unit; at surface water; m3 wastewater - US_Base_With Amendment_Windrow</v>
      </c>
    </row>
    <row r="2527" spans="1:13" s="120" customFormat="1" x14ac:dyDescent="0.25">
      <c r="A2527" s="119"/>
      <c r="B2527" s="138" t="str">
        <f t="shared" si="125"/>
        <v>Windrow</v>
      </c>
      <c r="C2527" s="138" t="str">
        <f t="shared" si="126"/>
        <v>Base_With Amendment</v>
      </c>
      <c r="D2527" s="118" t="s">
        <v>140</v>
      </c>
      <c r="E2527" s="118" t="s">
        <v>180</v>
      </c>
      <c r="F2527" s="118" t="s">
        <v>46</v>
      </c>
      <c r="G2527" s="153"/>
      <c r="H2527" s="155">
        <v>1.04E-2</v>
      </c>
      <c r="I2527" s="154" t="s">
        <v>59</v>
      </c>
      <c r="J2527" s="204">
        <v>1.92E-3</v>
      </c>
      <c r="K2527" s="154" t="s">
        <v>14</v>
      </c>
      <c r="L2527" s="154" t="str">
        <f>IF(OpenLCAbasic!K2527="CTUh", "Fill in Manually",IF(OR(K2527="Unit", K2527=""), "", INDEX(LookUps!$E$5:$E$12, MATCH(OpenLCAbasic!K2527,LookUps!$D$5:$D$12,0))))</f>
        <v>Fossil Depletion Potential (FDP) - kg oil eq</v>
      </c>
      <c r="M2527" s="154" t="str">
        <f t="shared" si="127"/>
        <v>Low_High_High_Upgraded_Fossil Depletion Potential (FDP) - kg oil eq_Blend Tank; wastewater treatment unit; at updated plant - US_Base_With Amendment_Windrow</v>
      </c>
    </row>
    <row r="2528" spans="1:13" s="120" customFormat="1" x14ac:dyDescent="0.25">
      <c r="A2528" s="119"/>
      <c r="B2528" s="138" t="str">
        <f t="shared" si="125"/>
        <v>Windrow</v>
      </c>
      <c r="C2528" s="138" t="str">
        <f t="shared" si="126"/>
        <v>Base_With Amendment</v>
      </c>
      <c r="D2528" s="118" t="s">
        <v>140</v>
      </c>
      <c r="E2528" s="118" t="s">
        <v>180</v>
      </c>
      <c r="F2528" s="118" t="s">
        <v>46</v>
      </c>
      <c r="G2528" s="153"/>
      <c r="H2528" s="155">
        <v>5.0000000000000001E-3</v>
      </c>
      <c r="I2528" s="154" t="s">
        <v>168</v>
      </c>
      <c r="J2528" s="204">
        <v>9.1E-4</v>
      </c>
      <c r="K2528" s="154" t="s">
        <v>14</v>
      </c>
      <c r="L2528" s="154" t="str">
        <f>IF(OpenLCAbasic!K2528="CTUh", "Fill in Manually",IF(OR(K2528="Unit", K2528=""), "", INDEX(LookUps!$E$5:$E$12, MATCH(OpenLCAbasic!K2528,LookUps!$D$5:$D$12,0))))</f>
        <v>Fossil Depletion Potential (FDP) - kg oil eq</v>
      </c>
      <c r="M2528" s="154" t="str">
        <f t="shared" si="127"/>
        <v>Low_High_High_Upgraded_Fossil Depletion Potential (FDP) - kg oil eq_ClearCove SCP; wastewater treatment unit; at updated plant - US_Base_With Amendment_Windrow</v>
      </c>
    </row>
    <row r="2529" spans="1:13" s="120" customFormat="1" x14ac:dyDescent="0.25">
      <c r="A2529" s="119"/>
      <c r="B2529" s="138" t="str">
        <f t="shared" si="125"/>
        <v>Windrow</v>
      </c>
      <c r="C2529" s="138" t="str">
        <f t="shared" si="126"/>
        <v>Base_With Amendment</v>
      </c>
      <c r="D2529" s="118" t="s">
        <v>140</v>
      </c>
      <c r="E2529" s="118" t="s">
        <v>180</v>
      </c>
      <c r="F2529" s="118" t="s">
        <v>46</v>
      </c>
      <c r="G2529" s="153"/>
      <c r="H2529" s="155">
        <v>4.3E-3</v>
      </c>
      <c r="I2529" s="154" t="s">
        <v>271</v>
      </c>
      <c r="J2529" s="204">
        <v>7.9000000000000001E-4</v>
      </c>
      <c r="K2529" s="154" t="s">
        <v>14</v>
      </c>
      <c r="L2529" s="154" t="str">
        <f>IF(OpenLCAbasic!K2529="CTUh", "Fill in Manually",IF(OR(K2529="Unit", K2529=""), "", INDEX(LookUps!$E$5:$E$12, MATCH(OpenLCAbasic!K2529,LookUps!$D$5:$D$12,0))))</f>
        <v>Fossil Depletion Potential (FDP) - kg oil eq</v>
      </c>
      <c r="M2529" s="154" t="str">
        <f t="shared" si="127"/>
        <v>Low_High_High_Upgraded_Fossil Depletion Potential (FDP) - kg oil eq_Biosolids composting; windrow composting; wastewater treatment unit; at updated plant - US_Base_With Amendment_Windrow</v>
      </c>
    </row>
    <row r="2530" spans="1:13" s="120" customFormat="1" x14ac:dyDescent="0.25">
      <c r="A2530" s="119"/>
      <c r="B2530" s="138" t="str">
        <f t="shared" si="125"/>
        <v>Windrow</v>
      </c>
      <c r="C2530" s="138" t="str">
        <f t="shared" si="126"/>
        <v>Base_With Amendment</v>
      </c>
      <c r="D2530" s="118" t="s">
        <v>140</v>
      </c>
      <c r="E2530" s="118" t="s">
        <v>180</v>
      </c>
      <c r="F2530" s="118" t="s">
        <v>46</v>
      </c>
      <c r="G2530" s="153"/>
      <c r="H2530" s="155">
        <v>-6.5699999999999995E-2</v>
      </c>
      <c r="I2530" s="154" t="s">
        <v>62</v>
      </c>
      <c r="J2530" s="203">
        <v>-1.2070000000000001E-2</v>
      </c>
      <c r="K2530" s="154" t="s">
        <v>14</v>
      </c>
      <c r="L2530" s="154" t="str">
        <f>IF(OpenLCAbasic!K2530="CTUh", "Fill in Manually",IF(OR(K2530="Unit", K2530=""), "", INDEX(LookUps!$E$5:$E$12, MATCH(OpenLCAbasic!K2530,LookUps!$D$5:$D$12,0))))</f>
        <v>Fossil Depletion Potential (FDP) - kg oil eq</v>
      </c>
      <c r="M2530" s="154" t="str">
        <f t="shared" si="127"/>
        <v>Low_High_High_Upgraded_Fossil Depletion Potential (FDP) - kg oil eq_Land application of compost; wastewater treatment unit; at updated plant - US_Base_With Amendment_Windrow</v>
      </c>
    </row>
    <row r="2531" spans="1:13" s="120" customFormat="1" x14ac:dyDescent="0.25">
      <c r="A2531" s="119"/>
      <c r="B2531" s="138" t="str">
        <f t="shared" si="125"/>
        <v>Windrow</v>
      </c>
      <c r="C2531" s="138" t="str">
        <f t="shared" si="126"/>
        <v>Base_With Amendment</v>
      </c>
      <c r="D2531" s="118" t="s">
        <v>140</v>
      </c>
      <c r="E2531" s="118" t="s">
        <v>180</v>
      </c>
      <c r="F2531" s="118" t="s">
        <v>46</v>
      </c>
      <c r="G2531" s="153"/>
      <c r="H2531" s="155">
        <v>-2.4365999999999999</v>
      </c>
      <c r="I2531" s="154" t="s">
        <v>149</v>
      </c>
      <c r="J2531" s="203">
        <v>-0.44775999999999999</v>
      </c>
      <c r="K2531" s="154" t="s">
        <v>14</v>
      </c>
      <c r="L2531" s="154" t="str">
        <f>IF(OpenLCAbasic!K2531="CTUh", "Fill in Manually",IF(OR(K2531="Unit", K2531=""), "", INDEX(LookUps!$E$5:$E$12, MATCH(OpenLCAbasic!K2531,LookUps!$D$5:$D$12,0))))</f>
        <v>Fossil Depletion Potential (FDP) - kg oil eq</v>
      </c>
      <c r="M2531" s="154" t="str">
        <f t="shared" si="127"/>
        <v>Low_High_High_Upgraded_Fossil Depletion Potential (FDP) - kg oil eq_Anaerobic Digestion; wastewater treatment unit; at updated plant - US_Base_With Amendment_Windrow</v>
      </c>
    </row>
    <row r="2532" spans="1:13" s="120" customFormat="1" x14ac:dyDescent="0.25">
      <c r="A2532" s="119"/>
      <c r="B2532" s="138" t="str">
        <f t="shared" si="125"/>
        <v>Windrow</v>
      </c>
      <c r="C2532" s="138" t="str">
        <f t="shared" si="126"/>
        <v>Base_With Amendment</v>
      </c>
      <c r="D2532" s="118" t="s">
        <v>140</v>
      </c>
      <c r="E2532" s="118" t="s">
        <v>180</v>
      </c>
      <c r="F2532" s="118" t="s">
        <v>46</v>
      </c>
      <c r="G2532" s="153" t="s">
        <v>51</v>
      </c>
      <c r="H2532" s="154"/>
      <c r="I2532" s="154" t="s">
        <v>47</v>
      </c>
      <c r="J2532" s="154" t="s">
        <v>52</v>
      </c>
      <c r="K2532" s="154" t="s">
        <v>27</v>
      </c>
      <c r="L2532" s="154" t="str">
        <f>IF(OpenLCAbasic!K2532="CTUh", "Fill in Manually",IF(OR(K2532="Unit", K2532=""), "", INDEX(LookUps!$E$5:$E$12, MATCH(OpenLCAbasic!K2532,LookUps!$D$5:$D$12,0))))</f>
        <v/>
      </c>
      <c r="M2532" s="154" t="str">
        <f t="shared" si="127"/>
        <v>Low_High_High_Upgraded__Process_Base_With Amendment_Windrow</v>
      </c>
    </row>
    <row r="2533" spans="1:13" s="120" customFormat="1" x14ac:dyDescent="0.25">
      <c r="A2533" s="119"/>
      <c r="B2533" s="138" t="str">
        <f t="shared" si="125"/>
        <v>Windrow</v>
      </c>
      <c r="C2533" s="138" t="str">
        <f t="shared" si="126"/>
        <v>Base_With Amendment</v>
      </c>
      <c r="D2533" s="118" t="s">
        <v>140</v>
      </c>
      <c r="E2533" s="118" t="s">
        <v>180</v>
      </c>
      <c r="F2533" s="118" t="s">
        <v>46</v>
      </c>
      <c r="G2533" s="153"/>
      <c r="H2533" s="155">
        <v>0.30530000000000002</v>
      </c>
      <c r="I2533" s="154" t="s">
        <v>55</v>
      </c>
      <c r="J2533" s="204">
        <v>2.33E-3</v>
      </c>
      <c r="K2533" s="154" t="s">
        <v>145</v>
      </c>
      <c r="L2533" s="154" t="str">
        <f>IF(OpenLCAbasic!K2533="CTUh", "Fill in Manually",IF(OR(K2533="Unit", K2533=""), "", INDEX(LookUps!$E$5:$E$12, MATCH(OpenLCAbasic!K2533,LookUps!$D$5:$D$12,0))))</f>
        <v>Particulate Matter Formation Potential (PMFP) - kg PM2.5 eq</v>
      </c>
      <c r="M2533" s="154" t="str">
        <f t="shared" si="127"/>
        <v>Low_High_High_Upgraded_Particulate Matter Formation Potential (PMFP) - kg PM2.5 eq_Aeration Tanks; wastewater treatment unit; at updated plant - US_Base_With Amendment_Windrow</v>
      </c>
    </row>
    <row r="2534" spans="1:13" s="120" customFormat="1" x14ac:dyDescent="0.25">
      <c r="A2534" s="119"/>
      <c r="B2534" s="138" t="str">
        <f t="shared" si="125"/>
        <v>Windrow</v>
      </c>
      <c r="C2534" s="138" t="str">
        <f t="shared" si="126"/>
        <v>Base_With Amendment</v>
      </c>
      <c r="D2534" s="118" t="s">
        <v>140</v>
      </c>
      <c r="E2534" s="118" t="s">
        <v>180</v>
      </c>
      <c r="F2534" s="118" t="s">
        <v>46</v>
      </c>
      <c r="G2534" s="153"/>
      <c r="H2534" s="155">
        <v>8.8800000000000004E-2</v>
      </c>
      <c r="I2534" s="154" t="s">
        <v>54</v>
      </c>
      <c r="J2534" s="204">
        <v>6.8000000000000005E-4</v>
      </c>
      <c r="K2534" s="154" t="s">
        <v>145</v>
      </c>
      <c r="L2534" s="154" t="str">
        <f>IF(OpenLCAbasic!K2534="CTUh", "Fill in Manually",IF(OR(K2534="Unit", K2534=""), "", INDEX(LookUps!$E$5:$E$12, MATCH(OpenLCAbasic!K2534,LookUps!$D$5:$D$12,0))))</f>
        <v>Particulate Matter Formation Potential (PMFP) - kg PM2.5 eq</v>
      </c>
      <c r="M2534" s="154" t="str">
        <f t="shared" si="127"/>
        <v>Low_High_High_Upgraded_Particulate Matter Formation Potential (PMFP) - kg PM2.5 eq_Clear Cove Primary Clarification; wastewater treatment unit; at updated plant - US_Base_With Amendment_Windrow</v>
      </c>
    </row>
    <row r="2535" spans="1:13" s="120" customFormat="1" x14ac:dyDescent="0.25">
      <c r="A2535" s="119"/>
      <c r="B2535" s="138" t="str">
        <f t="shared" si="125"/>
        <v>Windrow</v>
      </c>
      <c r="C2535" s="138" t="str">
        <f t="shared" si="126"/>
        <v>Base_With Amendment</v>
      </c>
      <c r="D2535" s="118" t="s">
        <v>140</v>
      </c>
      <c r="E2535" s="118" t="s">
        <v>180</v>
      </c>
      <c r="F2535" s="118" t="s">
        <v>46</v>
      </c>
      <c r="G2535" s="153"/>
      <c r="H2535" s="155">
        <v>7.7299999999999994E-2</v>
      </c>
      <c r="I2535" s="154" t="s">
        <v>58</v>
      </c>
      <c r="J2535" s="204">
        <v>5.9000000000000003E-4</v>
      </c>
      <c r="K2535" s="154" t="s">
        <v>145</v>
      </c>
      <c r="L2535" s="154" t="str">
        <f>IF(OpenLCAbasic!K2535="CTUh", "Fill in Manually",IF(OR(K2535="Unit", K2535=""), "", INDEX(LookUps!$E$5:$E$12, MATCH(OpenLCAbasic!K2535,LookUps!$D$5:$D$12,0))))</f>
        <v>Particulate Matter Formation Potential (PMFP) - kg PM2.5 eq</v>
      </c>
      <c r="M2535" s="154" t="str">
        <f t="shared" si="127"/>
        <v>Low_High_High_Upgraded_Particulate Matter Formation Potential (PMFP) - kg PM2.5 eq_Pre-Anoxic &amp; Swing tank; wastewater treatment unit; at updated plant - US_Base_With Amendment_Windrow</v>
      </c>
    </row>
    <row r="2536" spans="1:13" s="120" customFormat="1" x14ac:dyDescent="0.25">
      <c r="A2536" s="119"/>
      <c r="B2536" s="138" t="str">
        <f t="shared" si="125"/>
        <v>Windrow</v>
      </c>
      <c r="C2536" s="138" t="str">
        <f t="shared" si="126"/>
        <v>Base_With Amendment</v>
      </c>
      <c r="D2536" s="118" t="s">
        <v>140</v>
      </c>
      <c r="E2536" s="118" t="s">
        <v>180</v>
      </c>
      <c r="F2536" s="118" t="s">
        <v>46</v>
      </c>
      <c r="G2536" s="153"/>
      <c r="H2536" s="155">
        <v>6.0999999999999999E-2</v>
      </c>
      <c r="I2536" s="154" t="s">
        <v>53</v>
      </c>
      <c r="J2536" s="204">
        <v>4.6999999999999999E-4</v>
      </c>
      <c r="K2536" s="154" t="s">
        <v>145</v>
      </c>
      <c r="L2536" s="154" t="str">
        <f>IF(OpenLCAbasic!K2536="CTUh", "Fill in Manually",IF(OR(K2536="Unit", K2536=""), "", INDEX(LookUps!$E$5:$E$12, MATCH(OpenLCAbasic!K2536,LookUps!$D$5:$D$12,0))))</f>
        <v>Particulate Matter Formation Potential (PMFP) - kg PM2.5 eq</v>
      </c>
      <c r="M2536" s="154" t="str">
        <f t="shared" si="127"/>
        <v>Low_High_High_Upgraded_Particulate Matter Formation Potential (PMFP) - kg PM2.5 eq_Wet Well and Sump Station; wastewater treatment unit; at updated plant - US_Base_With Amendment_Windrow</v>
      </c>
    </row>
    <row r="2537" spans="1:13" s="120" customFormat="1" x14ac:dyDescent="0.25">
      <c r="A2537" s="119"/>
      <c r="B2537" s="138" t="str">
        <f t="shared" si="125"/>
        <v>Windrow</v>
      </c>
      <c r="C2537" s="138" t="str">
        <f t="shared" si="126"/>
        <v>Base_With Amendment</v>
      </c>
      <c r="D2537" s="118" t="s">
        <v>140</v>
      </c>
      <c r="E2537" s="118" t="s">
        <v>180</v>
      </c>
      <c r="F2537" s="118" t="s">
        <v>46</v>
      </c>
      <c r="G2537" s="153"/>
      <c r="H2537" s="155">
        <v>4.3400000000000001E-2</v>
      </c>
      <c r="I2537" s="154" t="s">
        <v>167</v>
      </c>
      <c r="J2537" s="204">
        <v>3.3E-4</v>
      </c>
      <c r="K2537" s="154" t="s">
        <v>145</v>
      </c>
      <c r="L2537" s="154" t="str">
        <f>IF(OpenLCAbasic!K2537="CTUh", "Fill in Manually",IF(OR(K2537="Unit", K2537=""), "", INDEX(LookUps!$E$5:$E$12, MATCH(OpenLCAbasic!K2537,LookUps!$D$5:$D$12,0))))</f>
        <v>Particulate Matter Formation Potential (PMFP) - kg PM2.5 eq</v>
      </c>
      <c r="M2537" s="154" t="str">
        <f t="shared" si="127"/>
        <v>Low_High_High_Upgraded_Particulate Matter Formation Potential (PMFP) - kg PM2.5 eq_Waste Receiving and Holding; wastewater treatment unit; at updated plant - US_Base_With Amendment_Windrow</v>
      </c>
    </row>
    <row r="2538" spans="1:13" s="120" customFormat="1" x14ac:dyDescent="0.25">
      <c r="A2538" s="119"/>
      <c r="B2538" s="138" t="str">
        <f t="shared" si="125"/>
        <v>Windrow</v>
      </c>
      <c r="C2538" s="138" t="str">
        <f t="shared" si="126"/>
        <v>Base_With Amendment</v>
      </c>
      <c r="D2538" s="118" t="s">
        <v>140</v>
      </c>
      <c r="E2538" s="118" t="s">
        <v>180</v>
      </c>
      <c r="F2538" s="118" t="s">
        <v>46</v>
      </c>
      <c r="G2538" s="153"/>
      <c r="H2538" s="155">
        <v>3.49E-2</v>
      </c>
      <c r="I2538" s="154" t="s">
        <v>147</v>
      </c>
      <c r="J2538" s="204">
        <v>2.7E-4</v>
      </c>
      <c r="K2538" s="154" t="s">
        <v>145</v>
      </c>
      <c r="L2538" s="154" t="str">
        <f>IF(OpenLCAbasic!K2538="CTUh", "Fill in Manually",IF(OR(K2538="Unit", K2538=""), "", INDEX(LookUps!$E$5:$E$12, MATCH(OpenLCAbasic!K2538,LookUps!$D$5:$D$12,0))))</f>
        <v>Particulate Matter Formation Potential (PMFP) - kg PM2.5 eq</v>
      </c>
      <c r="M2538" s="154" t="str">
        <f t="shared" si="127"/>
        <v>Low_High_High_Upgraded_Particulate Matter Formation Potential (PMFP) - kg PM2.5 eq_Influent Pump Station; wastewater treatment unit; at updated plant - US_Base_With Amendment_Windrow</v>
      </c>
    </row>
    <row r="2539" spans="1:13" s="120" customFormat="1" x14ac:dyDescent="0.25">
      <c r="A2539" s="119"/>
      <c r="B2539" s="138" t="str">
        <f t="shared" si="125"/>
        <v>Windrow</v>
      </c>
      <c r="C2539" s="138" t="str">
        <f t="shared" si="126"/>
        <v>Base_With Amendment</v>
      </c>
      <c r="D2539" s="118" t="s">
        <v>140</v>
      </c>
      <c r="E2539" s="118" t="s">
        <v>180</v>
      </c>
      <c r="F2539" s="118" t="s">
        <v>46</v>
      </c>
      <c r="G2539" s="153"/>
      <c r="H2539" s="155">
        <v>2.4500000000000001E-2</v>
      </c>
      <c r="I2539" s="154" t="s">
        <v>60</v>
      </c>
      <c r="J2539" s="204">
        <v>1.9000000000000001E-4</v>
      </c>
      <c r="K2539" s="154" t="s">
        <v>145</v>
      </c>
      <c r="L2539" s="154" t="str">
        <f>IF(OpenLCAbasic!K2539="CTUh", "Fill in Manually",IF(OR(K2539="Unit", K2539=""), "", INDEX(LookUps!$E$5:$E$12, MATCH(OpenLCAbasic!K2539,LookUps!$D$5:$D$12,0))))</f>
        <v>Particulate Matter Formation Potential (PMFP) - kg PM2.5 eq</v>
      </c>
      <c r="M2539" s="154" t="str">
        <f t="shared" si="127"/>
        <v>Low_High_High_Upgraded_Particulate Matter Formation Potential (PMFP) - kg PM2.5 eq_Belt filter press; wastewater treatment unit; at updated plant - US_Base_With Amendment_Windrow</v>
      </c>
    </row>
    <row r="2540" spans="1:13" s="120" customFormat="1" x14ac:dyDescent="0.25">
      <c r="A2540" s="119"/>
      <c r="B2540" s="138" t="str">
        <f t="shared" si="125"/>
        <v>Windrow</v>
      </c>
      <c r="C2540" s="138" t="str">
        <f t="shared" si="126"/>
        <v>Base_With Amendment</v>
      </c>
      <c r="D2540" s="118" t="s">
        <v>140</v>
      </c>
      <c r="E2540" s="118" t="s">
        <v>180</v>
      </c>
      <c r="F2540" s="118" t="s">
        <v>46</v>
      </c>
      <c r="G2540" s="153"/>
      <c r="H2540" s="155">
        <v>2.18E-2</v>
      </c>
      <c r="I2540" s="154" t="s">
        <v>128</v>
      </c>
      <c r="J2540" s="204">
        <v>1.7000000000000001E-4</v>
      </c>
      <c r="K2540" s="154" t="s">
        <v>145</v>
      </c>
      <c r="L2540" s="154" t="str">
        <f>IF(OpenLCAbasic!K2540="CTUh", "Fill in Manually",IF(OR(K2540="Unit", K2540=""), "", INDEX(LookUps!$E$5:$E$12, MATCH(OpenLCAbasic!K2540,LookUps!$D$5:$D$12,0))))</f>
        <v>Particulate Matter Formation Potential (PMFP) - kg PM2.5 eq</v>
      </c>
      <c r="M2540" s="154" t="str">
        <f t="shared" si="127"/>
        <v>Low_High_High_Upgraded_Particulate Matter Formation Potential (PMFP) - kg PM2.5 eq_Wastewater collection; operation and infrastructure; m3 wastewater_Base_With Amendment_Windrow</v>
      </c>
    </row>
    <row r="2541" spans="1:13" s="120" customFormat="1" x14ac:dyDescent="0.25">
      <c r="A2541" s="119"/>
      <c r="B2541" s="138" t="str">
        <f t="shared" si="125"/>
        <v>Windrow</v>
      </c>
      <c r="C2541" s="138" t="str">
        <f t="shared" si="126"/>
        <v>Base_With Amendment</v>
      </c>
      <c r="D2541" s="118" t="s">
        <v>140</v>
      </c>
      <c r="E2541" s="118" t="s">
        <v>180</v>
      </c>
      <c r="F2541" s="118" t="s">
        <v>46</v>
      </c>
      <c r="G2541" s="153"/>
      <c r="H2541" s="155">
        <v>1.24E-2</v>
      </c>
      <c r="I2541" s="154" t="s">
        <v>57</v>
      </c>
      <c r="J2541" s="204">
        <v>9.5153800000000004E-5</v>
      </c>
      <c r="K2541" s="154" t="s">
        <v>145</v>
      </c>
      <c r="L2541" s="154" t="str">
        <f>IF(OpenLCAbasic!K2541="CTUh", "Fill in Manually",IF(OR(K2541="Unit", K2541=""), "", INDEX(LookUps!$E$5:$E$12, MATCH(OpenLCAbasic!K2541,LookUps!$D$5:$D$12,0))))</f>
        <v>Particulate Matter Formation Potential (PMFP) - kg PM2.5 eq</v>
      </c>
      <c r="M2541" s="154" t="str">
        <f t="shared" si="127"/>
        <v>Low_High_High_Upgraded_Particulate Matter Formation Potential (PMFP) - kg PM2.5 eq_Gravity Belt Thickener; wastewater treatment unit; at updated plant - US_Base_With Amendment_Windrow</v>
      </c>
    </row>
    <row r="2542" spans="1:13" s="120" customFormat="1" x14ac:dyDescent="0.25">
      <c r="A2542" s="119"/>
      <c r="B2542" s="138" t="str">
        <f t="shared" si="125"/>
        <v>Windrow</v>
      </c>
      <c r="C2542" s="138" t="str">
        <f t="shared" si="126"/>
        <v>Base_With Amendment</v>
      </c>
      <c r="D2542" s="118" t="s">
        <v>140</v>
      </c>
      <c r="E2542" s="118" t="s">
        <v>180</v>
      </c>
      <c r="F2542" s="118" t="s">
        <v>46</v>
      </c>
      <c r="G2542" s="153"/>
      <c r="H2542" s="155">
        <v>1.2200000000000001E-2</v>
      </c>
      <c r="I2542" s="154" t="s">
        <v>62</v>
      </c>
      <c r="J2542" s="204">
        <v>9.2968999999999997E-5</v>
      </c>
      <c r="K2542" s="154" t="s">
        <v>145</v>
      </c>
      <c r="L2542" s="154" t="str">
        <f>IF(OpenLCAbasic!K2542="CTUh", "Fill in Manually",IF(OR(K2542="Unit", K2542=""), "", INDEX(LookUps!$E$5:$E$12, MATCH(OpenLCAbasic!K2542,LookUps!$D$5:$D$12,0))))</f>
        <v>Particulate Matter Formation Potential (PMFP) - kg PM2.5 eq</v>
      </c>
      <c r="M2542" s="154" t="str">
        <f t="shared" si="127"/>
        <v>Low_High_High_Upgraded_Particulate Matter Formation Potential (PMFP) - kg PM2.5 eq_Land application of compost; wastewater treatment unit; at updated plant - US_Base_With Amendment_Windrow</v>
      </c>
    </row>
    <row r="2543" spans="1:13" s="120" customFormat="1" x14ac:dyDescent="0.25">
      <c r="A2543" s="119"/>
      <c r="B2543" s="138" t="str">
        <f t="shared" si="125"/>
        <v>Windrow</v>
      </c>
      <c r="C2543" s="138" t="str">
        <f t="shared" si="126"/>
        <v>Base_With Amendment</v>
      </c>
      <c r="D2543" s="118" t="s">
        <v>140</v>
      </c>
      <c r="E2543" s="118" t="s">
        <v>180</v>
      </c>
      <c r="F2543" s="118" t="s">
        <v>46</v>
      </c>
      <c r="G2543" s="153"/>
      <c r="H2543" s="155">
        <v>9.1000000000000004E-3</v>
      </c>
      <c r="I2543" s="154" t="s">
        <v>59</v>
      </c>
      <c r="J2543" s="204">
        <v>6.9942200000000003E-5</v>
      </c>
      <c r="K2543" s="154" t="s">
        <v>145</v>
      </c>
      <c r="L2543" s="154" t="str">
        <f>IF(OpenLCAbasic!K2543="CTUh", "Fill in Manually",IF(OR(K2543="Unit", K2543=""), "", INDEX(LookUps!$E$5:$E$12, MATCH(OpenLCAbasic!K2543,LookUps!$D$5:$D$12,0))))</f>
        <v>Particulate Matter Formation Potential (PMFP) - kg PM2.5 eq</v>
      </c>
      <c r="M2543" s="154" t="str">
        <f t="shared" si="127"/>
        <v>Low_High_High_Upgraded_Particulate Matter Formation Potential (PMFP) - kg PM2.5 eq_Blend Tank; wastewater treatment unit; at updated plant - US_Base_With Amendment_Windrow</v>
      </c>
    </row>
    <row r="2544" spans="1:13" s="120" customFormat="1" x14ac:dyDescent="0.25">
      <c r="A2544" s="119"/>
      <c r="B2544" s="138" t="str">
        <f t="shared" si="125"/>
        <v>Windrow</v>
      </c>
      <c r="C2544" s="138" t="str">
        <f t="shared" si="126"/>
        <v>Base_With Amendment</v>
      </c>
      <c r="D2544" s="118" t="s">
        <v>140</v>
      </c>
      <c r="E2544" s="118" t="s">
        <v>180</v>
      </c>
      <c r="F2544" s="118" t="s">
        <v>46</v>
      </c>
      <c r="G2544" s="153"/>
      <c r="H2544" s="155">
        <v>9.1000000000000004E-3</v>
      </c>
      <c r="I2544" s="154" t="s">
        <v>271</v>
      </c>
      <c r="J2544" s="204">
        <v>6.9215799999999996E-5</v>
      </c>
      <c r="K2544" s="154" t="s">
        <v>145</v>
      </c>
      <c r="L2544" s="154" t="str">
        <f>IF(OpenLCAbasic!K2544="CTUh", "Fill in Manually",IF(OR(K2544="Unit", K2544=""), "", INDEX(LookUps!$E$5:$E$12, MATCH(OpenLCAbasic!K2544,LookUps!$D$5:$D$12,0))))</f>
        <v>Particulate Matter Formation Potential (PMFP) - kg PM2.5 eq</v>
      </c>
      <c r="M2544" s="154" t="str">
        <f t="shared" si="127"/>
        <v>Low_High_High_Upgraded_Particulate Matter Formation Potential (PMFP) - kg PM2.5 eq_Biosolids composting; windrow composting; wastewater treatment unit; at updated plant - US_Base_With Amendment_Windrow</v>
      </c>
    </row>
    <row r="2545" spans="1:13" s="120" customFormat="1" x14ac:dyDescent="0.25">
      <c r="A2545" s="119"/>
      <c r="B2545" s="138" t="str">
        <f t="shared" si="125"/>
        <v>Windrow</v>
      </c>
      <c r="C2545" s="138" t="str">
        <f t="shared" si="126"/>
        <v>Base_With Amendment</v>
      </c>
      <c r="D2545" s="118" t="s">
        <v>140</v>
      </c>
      <c r="E2545" s="118" t="s">
        <v>180</v>
      </c>
      <c r="F2545" s="118" t="s">
        <v>46</v>
      </c>
      <c r="G2545" s="153"/>
      <c r="H2545" s="155">
        <v>6.4999999999999997E-3</v>
      </c>
      <c r="I2545" s="154" t="s">
        <v>48</v>
      </c>
      <c r="J2545" s="204">
        <v>4.99741E-5</v>
      </c>
      <c r="K2545" s="154" t="s">
        <v>145</v>
      </c>
      <c r="L2545" s="154" t="str">
        <f>IF(OpenLCAbasic!K2545="CTUh", "Fill in Manually",IF(OR(K2545="Unit", K2545=""), "", INDEX(LookUps!$E$5:$E$12, MATCH(OpenLCAbasic!K2545,LookUps!$D$5:$D$12,0))))</f>
        <v>Particulate Matter Formation Potential (PMFP) - kg PM2.5 eq</v>
      </c>
      <c r="M2545" s="154" t="str">
        <f t="shared" si="127"/>
        <v>Low_High_High_Upgraded_Particulate Matter Formation Potential (PMFP) - kg PM2.5 eq_Effluent release; wastewater treatment unit; at surface water; m3 wastewater - US_Base_With Amendment_Windrow</v>
      </c>
    </row>
    <row r="2546" spans="1:13" s="120" customFormat="1" x14ac:dyDescent="0.25">
      <c r="A2546" s="119"/>
      <c r="B2546" s="138" t="str">
        <f t="shared" si="125"/>
        <v>Windrow</v>
      </c>
      <c r="C2546" s="138" t="str">
        <f t="shared" si="126"/>
        <v>Base_With Amendment</v>
      </c>
      <c r="D2546" s="118" t="s">
        <v>140</v>
      </c>
      <c r="E2546" s="118" t="s">
        <v>180</v>
      </c>
      <c r="F2546" s="118" t="s">
        <v>46</v>
      </c>
      <c r="G2546" s="153"/>
      <c r="H2546" s="155">
        <v>4.4999999999999997E-3</v>
      </c>
      <c r="I2546" s="154" t="s">
        <v>168</v>
      </c>
      <c r="J2546" s="204">
        <v>3.4562199999999999E-5</v>
      </c>
      <c r="K2546" s="154" t="s">
        <v>145</v>
      </c>
      <c r="L2546" s="154" t="str">
        <f>IF(OpenLCAbasic!K2546="CTUh", "Fill in Manually",IF(OR(K2546="Unit", K2546=""), "", INDEX(LookUps!$E$5:$E$12, MATCH(OpenLCAbasic!K2546,LookUps!$D$5:$D$12,0))))</f>
        <v>Particulate Matter Formation Potential (PMFP) - kg PM2.5 eq</v>
      </c>
      <c r="M2546" s="154" t="str">
        <f t="shared" si="127"/>
        <v>Low_High_High_Upgraded_Particulate Matter Formation Potential (PMFP) - kg PM2.5 eq_ClearCove SCP; wastewater treatment unit; at updated plant - US_Base_With Amendment_Windrow</v>
      </c>
    </row>
    <row r="2547" spans="1:13" s="120" customFormat="1" x14ac:dyDescent="0.25">
      <c r="A2547" s="119"/>
      <c r="B2547" s="138" t="str">
        <f t="shared" si="125"/>
        <v>Windrow</v>
      </c>
      <c r="C2547" s="138" t="str">
        <f t="shared" si="126"/>
        <v>Base_With Amendment</v>
      </c>
      <c r="D2547" s="118" t="s">
        <v>140</v>
      </c>
      <c r="E2547" s="118" t="s">
        <v>180</v>
      </c>
      <c r="F2547" s="118" t="s">
        <v>46</v>
      </c>
      <c r="G2547" s="153"/>
      <c r="H2547" s="155">
        <v>1.1999999999999999E-3</v>
      </c>
      <c r="I2547" s="154" t="s">
        <v>148</v>
      </c>
      <c r="J2547" s="204">
        <v>8.8212999999999997E-6</v>
      </c>
      <c r="K2547" s="154" t="s">
        <v>145</v>
      </c>
      <c r="L2547" s="154" t="str">
        <f>IF(OpenLCAbasic!K2547="CTUh", "Fill in Manually",IF(OR(K2547="Unit", K2547=""), "", INDEX(LookUps!$E$5:$E$12, MATCH(OpenLCAbasic!K2547,LookUps!$D$5:$D$12,0))))</f>
        <v>Particulate Matter Formation Potential (PMFP) - kg PM2.5 eq</v>
      </c>
      <c r="M2547" s="154" t="str">
        <f t="shared" si="127"/>
        <v>Low_High_High_Upgraded_Particulate Matter Formation Potential (PMFP) - kg PM2.5 eq_Control Building; at upgraded wastewater treatment plant - US_Base_With Amendment_Windrow</v>
      </c>
    </row>
    <row r="2548" spans="1:13" s="120" customFormat="1" x14ac:dyDescent="0.25">
      <c r="A2548" s="119"/>
      <c r="B2548" s="138" t="str">
        <f t="shared" si="125"/>
        <v>Windrow</v>
      </c>
      <c r="C2548" s="138" t="str">
        <f t="shared" si="126"/>
        <v>Base_With Amendment</v>
      </c>
      <c r="D2548" s="118" t="s">
        <v>140</v>
      </c>
      <c r="E2548" s="118" t="s">
        <v>180</v>
      </c>
      <c r="F2548" s="118" t="s">
        <v>46</v>
      </c>
      <c r="G2548" s="153"/>
      <c r="H2548" s="155">
        <v>-1.712</v>
      </c>
      <c r="I2548" s="154" t="s">
        <v>149</v>
      </c>
      <c r="J2548" s="203">
        <v>-1.3089999999999999E-2</v>
      </c>
      <c r="K2548" s="154" t="s">
        <v>145</v>
      </c>
      <c r="L2548" s="154" t="str">
        <f>IF(OpenLCAbasic!K2548="CTUh", "Fill in Manually",IF(OR(K2548="Unit", K2548=""), "", INDEX(LookUps!$E$5:$E$12, MATCH(OpenLCAbasic!K2548,LookUps!$D$5:$D$12,0))))</f>
        <v>Particulate Matter Formation Potential (PMFP) - kg PM2.5 eq</v>
      </c>
      <c r="M2548" s="154" t="str">
        <f t="shared" si="127"/>
        <v>Low_High_High_Upgraded_Particulate Matter Formation Potential (PMFP) - kg PM2.5 eq_Anaerobic Digestion; wastewater treatment unit; at updated plant - US_Base_With Amendment_Windrow</v>
      </c>
    </row>
    <row r="2549" spans="1:13" s="120" customFormat="1" x14ac:dyDescent="0.25">
      <c r="A2549" s="119"/>
      <c r="B2549" s="138" t="str">
        <f t="shared" si="125"/>
        <v>Windrow</v>
      </c>
      <c r="C2549" s="138" t="str">
        <f t="shared" si="126"/>
        <v>Base_With Amendment</v>
      </c>
      <c r="D2549" s="118" t="s">
        <v>140</v>
      </c>
      <c r="E2549" s="118" t="s">
        <v>180</v>
      </c>
      <c r="F2549" s="118" t="s">
        <v>46</v>
      </c>
      <c r="G2549" s="153" t="s">
        <v>51</v>
      </c>
      <c r="H2549" s="154"/>
      <c r="I2549" s="154" t="s">
        <v>47</v>
      </c>
      <c r="J2549" s="154" t="s">
        <v>52</v>
      </c>
      <c r="K2549" s="154" t="s">
        <v>27</v>
      </c>
      <c r="L2549" s="154" t="str">
        <f>IF(OpenLCAbasic!K2549="CTUh", "Fill in Manually",IF(OR(K2549="Unit", K2549=""), "", INDEX(LookUps!$E$5:$E$12, MATCH(OpenLCAbasic!K2549,LookUps!$D$5:$D$12,0))))</f>
        <v/>
      </c>
      <c r="M2549" s="154" t="str">
        <f t="shared" si="127"/>
        <v>Low_High_High_Upgraded__Process_Base_With Amendment_Windrow</v>
      </c>
    </row>
    <row r="2550" spans="1:13" s="120" customFormat="1" x14ac:dyDescent="0.25">
      <c r="A2550" s="119"/>
      <c r="B2550" s="138" t="str">
        <f t="shared" si="125"/>
        <v>Windrow</v>
      </c>
      <c r="C2550" s="138" t="str">
        <f t="shared" si="126"/>
        <v>Base_With Amendment</v>
      </c>
      <c r="D2550" s="118" t="s">
        <v>140</v>
      </c>
      <c r="E2550" s="118" t="s">
        <v>180</v>
      </c>
      <c r="F2550" s="118" t="s">
        <v>46</v>
      </c>
      <c r="G2550" s="153"/>
      <c r="H2550" s="155">
        <v>0.30170000000000002</v>
      </c>
      <c r="I2550" s="154" t="s">
        <v>55</v>
      </c>
      <c r="J2550" s="203">
        <v>0.16577</v>
      </c>
      <c r="K2550" s="154" t="s">
        <v>25</v>
      </c>
      <c r="L2550" s="154" t="str">
        <f>IF(OpenLCAbasic!K2550="CTUh", "Fill in Manually",IF(OR(K2550="Unit", K2550=""), "", INDEX(LookUps!$E$5:$E$12, MATCH(OpenLCAbasic!K2550,LookUps!$D$5:$D$12,0))))</f>
        <v>Smog Formation Potential (SFP) - kg O3 eq</v>
      </c>
      <c r="M2550" s="154" t="str">
        <f t="shared" si="127"/>
        <v>Low_High_High_Upgraded_Smog Formation Potential (SFP) - kg O3 eq_Aeration Tanks; wastewater treatment unit; at updated plant - US_Base_With Amendment_Windrow</v>
      </c>
    </row>
    <row r="2551" spans="1:13" s="120" customFormat="1" x14ac:dyDescent="0.25">
      <c r="A2551" s="119"/>
      <c r="B2551" s="138" t="str">
        <f t="shared" si="125"/>
        <v>Windrow</v>
      </c>
      <c r="C2551" s="138" t="str">
        <f t="shared" si="126"/>
        <v>Base_With Amendment</v>
      </c>
      <c r="D2551" s="118" t="s">
        <v>140</v>
      </c>
      <c r="E2551" s="118" t="s">
        <v>180</v>
      </c>
      <c r="F2551" s="118" t="s">
        <v>46</v>
      </c>
      <c r="G2551" s="153"/>
      <c r="H2551" s="155">
        <v>8.7499999999999994E-2</v>
      </c>
      <c r="I2551" s="154" t="s">
        <v>54</v>
      </c>
      <c r="J2551" s="203">
        <v>4.8070000000000002E-2</v>
      </c>
      <c r="K2551" s="154" t="s">
        <v>25</v>
      </c>
      <c r="L2551" s="154" t="str">
        <f>IF(OpenLCAbasic!K2551="CTUh", "Fill in Manually",IF(OR(K2551="Unit", K2551=""), "", INDEX(LookUps!$E$5:$E$12, MATCH(OpenLCAbasic!K2551,LookUps!$D$5:$D$12,0))))</f>
        <v>Smog Formation Potential (SFP) - kg O3 eq</v>
      </c>
      <c r="M2551" s="154" t="str">
        <f t="shared" si="127"/>
        <v>Low_High_High_Upgraded_Smog Formation Potential (SFP) - kg O3 eq_Clear Cove Primary Clarification; wastewater treatment unit; at updated plant - US_Base_With Amendment_Windrow</v>
      </c>
    </row>
    <row r="2552" spans="1:13" s="120" customFormat="1" x14ac:dyDescent="0.25">
      <c r="A2552" s="119"/>
      <c r="B2552" s="138" t="str">
        <f t="shared" si="125"/>
        <v>Windrow</v>
      </c>
      <c r="C2552" s="138" t="str">
        <f t="shared" si="126"/>
        <v>Base_With Amendment</v>
      </c>
      <c r="D2552" s="118" t="s">
        <v>140</v>
      </c>
      <c r="E2552" s="118" t="s">
        <v>180</v>
      </c>
      <c r="F2552" s="118" t="s">
        <v>46</v>
      </c>
      <c r="G2552" s="153"/>
      <c r="H2552" s="155">
        <v>7.6600000000000001E-2</v>
      </c>
      <c r="I2552" s="154" t="s">
        <v>58</v>
      </c>
      <c r="J2552" s="203">
        <v>4.2090000000000002E-2</v>
      </c>
      <c r="K2552" s="154" t="s">
        <v>25</v>
      </c>
      <c r="L2552" s="154" t="str">
        <f>IF(OpenLCAbasic!K2552="CTUh", "Fill in Manually",IF(OR(K2552="Unit", K2552=""), "", INDEX(LookUps!$E$5:$E$12, MATCH(OpenLCAbasic!K2552,LookUps!$D$5:$D$12,0))))</f>
        <v>Smog Formation Potential (SFP) - kg O3 eq</v>
      </c>
      <c r="M2552" s="154" t="str">
        <f t="shared" si="127"/>
        <v>Low_High_High_Upgraded_Smog Formation Potential (SFP) - kg O3 eq_Pre-Anoxic &amp; Swing tank; wastewater treatment unit; at updated plant - US_Base_With Amendment_Windrow</v>
      </c>
    </row>
    <row r="2553" spans="1:13" s="120" customFormat="1" x14ac:dyDescent="0.25">
      <c r="A2553" s="119"/>
      <c r="B2553" s="138" t="str">
        <f t="shared" si="125"/>
        <v>Windrow</v>
      </c>
      <c r="C2553" s="138" t="str">
        <f t="shared" si="126"/>
        <v>Base_With Amendment</v>
      </c>
      <c r="D2553" s="118" t="s">
        <v>140</v>
      </c>
      <c r="E2553" s="118" t="s">
        <v>180</v>
      </c>
      <c r="F2553" s="118" t="s">
        <v>46</v>
      </c>
      <c r="G2553" s="153"/>
      <c r="H2553" s="155">
        <v>6.1400000000000003E-2</v>
      </c>
      <c r="I2553" s="154" t="s">
        <v>167</v>
      </c>
      <c r="J2553" s="203">
        <v>3.3759999999999998E-2</v>
      </c>
      <c r="K2553" s="154" t="s">
        <v>25</v>
      </c>
      <c r="L2553" s="154" t="str">
        <f>IF(OpenLCAbasic!K2553="CTUh", "Fill in Manually",IF(OR(K2553="Unit", K2553=""), "", INDEX(LookUps!$E$5:$E$12, MATCH(OpenLCAbasic!K2553,LookUps!$D$5:$D$12,0))))</f>
        <v>Smog Formation Potential (SFP) - kg O3 eq</v>
      </c>
      <c r="M2553" s="154" t="str">
        <f t="shared" si="127"/>
        <v>Low_High_High_Upgraded_Smog Formation Potential (SFP) - kg O3 eq_Waste Receiving and Holding; wastewater treatment unit; at updated plant - US_Base_With Amendment_Windrow</v>
      </c>
    </row>
    <row r="2554" spans="1:13" s="120" customFormat="1" x14ac:dyDescent="0.25">
      <c r="A2554" s="119"/>
      <c r="B2554" s="138" t="str">
        <f t="shared" si="125"/>
        <v>Windrow</v>
      </c>
      <c r="C2554" s="138" t="str">
        <f t="shared" si="126"/>
        <v>Base_With Amendment</v>
      </c>
      <c r="D2554" s="118" t="s">
        <v>140</v>
      </c>
      <c r="E2554" s="118" t="s">
        <v>180</v>
      </c>
      <c r="F2554" s="118" t="s">
        <v>46</v>
      </c>
      <c r="G2554" s="153"/>
      <c r="H2554" s="155">
        <v>6.0299999999999999E-2</v>
      </c>
      <c r="I2554" s="154" t="s">
        <v>53</v>
      </c>
      <c r="J2554" s="203">
        <v>3.313E-2</v>
      </c>
      <c r="K2554" s="154" t="s">
        <v>25</v>
      </c>
      <c r="L2554" s="154" t="str">
        <f>IF(OpenLCAbasic!K2554="CTUh", "Fill in Manually",IF(OR(K2554="Unit", K2554=""), "", INDEX(LookUps!$E$5:$E$12, MATCH(OpenLCAbasic!K2554,LookUps!$D$5:$D$12,0))))</f>
        <v>Smog Formation Potential (SFP) - kg O3 eq</v>
      </c>
      <c r="M2554" s="154" t="str">
        <f t="shared" si="127"/>
        <v>Low_High_High_Upgraded_Smog Formation Potential (SFP) - kg O3 eq_Wet Well and Sump Station; wastewater treatment unit; at updated plant - US_Base_With Amendment_Windrow</v>
      </c>
    </row>
    <row r="2555" spans="1:13" s="120" customFormat="1" x14ac:dyDescent="0.25">
      <c r="A2555" s="119"/>
      <c r="B2555" s="138" t="str">
        <f t="shared" si="125"/>
        <v>Windrow</v>
      </c>
      <c r="C2555" s="138" t="str">
        <f t="shared" si="126"/>
        <v>Base_With Amendment</v>
      </c>
      <c r="D2555" s="118" t="s">
        <v>140</v>
      </c>
      <c r="E2555" s="118" t="s">
        <v>180</v>
      </c>
      <c r="F2555" s="118" t="s">
        <v>46</v>
      </c>
      <c r="G2555" s="153"/>
      <c r="H2555" s="155">
        <v>3.5299999999999998E-2</v>
      </c>
      <c r="I2555" s="154" t="s">
        <v>147</v>
      </c>
      <c r="J2555" s="203">
        <v>1.9400000000000001E-2</v>
      </c>
      <c r="K2555" s="154" t="s">
        <v>25</v>
      </c>
      <c r="L2555" s="154" t="str">
        <f>IF(OpenLCAbasic!K2555="CTUh", "Fill in Manually",IF(OR(K2555="Unit", K2555=""), "", INDEX(LookUps!$E$5:$E$12, MATCH(OpenLCAbasic!K2555,LookUps!$D$5:$D$12,0))))</f>
        <v>Smog Formation Potential (SFP) - kg O3 eq</v>
      </c>
      <c r="M2555" s="154" t="str">
        <f t="shared" si="127"/>
        <v>Low_High_High_Upgraded_Smog Formation Potential (SFP) - kg O3 eq_Influent Pump Station; wastewater treatment unit; at updated plant - US_Base_With Amendment_Windrow</v>
      </c>
    </row>
    <row r="2556" spans="1:13" s="120" customFormat="1" x14ac:dyDescent="0.25">
      <c r="A2556" s="119"/>
      <c r="B2556" s="138" t="str">
        <f t="shared" si="125"/>
        <v>Windrow</v>
      </c>
      <c r="C2556" s="138" t="str">
        <f t="shared" si="126"/>
        <v>Base_With Amendment</v>
      </c>
      <c r="D2556" s="118" t="s">
        <v>140</v>
      </c>
      <c r="E2556" s="118" t="s">
        <v>180</v>
      </c>
      <c r="F2556" s="118" t="s">
        <v>46</v>
      </c>
      <c r="G2556" s="153"/>
      <c r="H2556" s="155">
        <v>2.3900000000000001E-2</v>
      </c>
      <c r="I2556" s="154" t="s">
        <v>60</v>
      </c>
      <c r="J2556" s="204">
        <v>1.316E-2</v>
      </c>
      <c r="K2556" s="154" t="s">
        <v>25</v>
      </c>
      <c r="L2556" s="154" t="str">
        <f>IF(OpenLCAbasic!K2556="CTUh", "Fill in Manually",IF(OR(K2556="Unit", K2556=""), "", INDEX(LookUps!$E$5:$E$12, MATCH(OpenLCAbasic!K2556,LookUps!$D$5:$D$12,0))))</f>
        <v>Smog Formation Potential (SFP) - kg O3 eq</v>
      </c>
      <c r="M2556" s="154" t="str">
        <f t="shared" si="127"/>
        <v>Low_High_High_Upgraded_Smog Formation Potential (SFP) - kg O3 eq_Belt filter press; wastewater treatment unit; at updated plant - US_Base_With Amendment_Windrow</v>
      </c>
    </row>
    <row r="2557" spans="1:13" s="120" customFormat="1" x14ac:dyDescent="0.25">
      <c r="A2557" s="119"/>
      <c r="B2557" s="138" t="str">
        <f t="shared" si="125"/>
        <v>Windrow</v>
      </c>
      <c r="C2557" s="138" t="str">
        <f t="shared" si="126"/>
        <v>Base_With Amendment</v>
      </c>
      <c r="D2557" s="118" t="s">
        <v>140</v>
      </c>
      <c r="E2557" s="118" t="s">
        <v>180</v>
      </c>
      <c r="F2557" s="118" t="s">
        <v>46</v>
      </c>
      <c r="G2557" s="153"/>
      <c r="H2557" s="155">
        <v>2.1700000000000001E-2</v>
      </c>
      <c r="I2557" s="154" t="s">
        <v>128</v>
      </c>
      <c r="J2557" s="204">
        <v>1.192E-2</v>
      </c>
      <c r="K2557" s="154" t="s">
        <v>25</v>
      </c>
      <c r="L2557" s="154" t="str">
        <f>IF(OpenLCAbasic!K2557="CTUh", "Fill in Manually",IF(OR(K2557="Unit", K2557=""), "", INDEX(LookUps!$E$5:$E$12, MATCH(OpenLCAbasic!K2557,LookUps!$D$5:$D$12,0))))</f>
        <v>Smog Formation Potential (SFP) - kg O3 eq</v>
      </c>
      <c r="M2557" s="154" t="str">
        <f t="shared" si="127"/>
        <v>Low_High_High_Upgraded_Smog Formation Potential (SFP) - kg O3 eq_Wastewater collection; operation and infrastructure; m3 wastewater_Base_With Amendment_Windrow</v>
      </c>
    </row>
    <row r="2558" spans="1:13" s="120" customFormat="1" x14ac:dyDescent="0.25">
      <c r="A2558" s="119"/>
      <c r="B2558" s="138" t="str">
        <f t="shared" si="125"/>
        <v>Windrow</v>
      </c>
      <c r="C2558" s="138" t="str">
        <f t="shared" si="126"/>
        <v>Base_With Amendment</v>
      </c>
      <c r="D2558" s="118" t="s">
        <v>140</v>
      </c>
      <c r="E2558" s="118" t="s">
        <v>180</v>
      </c>
      <c r="F2558" s="118" t="s">
        <v>46</v>
      </c>
      <c r="G2558" s="153"/>
      <c r="H2558" s="155">
        <v>1.21E-2</v>
      </c>
      <c r="I2558" s="154" t="s">
        <v>57</v>
      </c>
      <c r="J2558" s="204">
        <v>6.6499999999999997E-3</v>
      </c>
      <c r="K2558" s="154" t="s">
        <v>25</v>
      </c>
      <c r="L2558" s="154" t="str">
        <f>IF(OpenLCAbasic!K2558="CTUh", "Fill in Manually",IF(OR(K2558="Unit", K2558=""), "", INDEX(LookUps!$E$5:$E$12, MATCH(OpenLCAbasic!K2558,LookUps!$D$5:$D$12,0))))</f>
        <v>Smog Formation Potential (SFP) - kg O3 eq</v>
      </c>
      <c r="M2558" s="154" t="str">
        <f t="shared" si="127"/>
        <v>Low_High_High_Upgraded_Smog Formation Potential (SFP) - kg O3 eq_Gravity Belt Thickener; wastewater treatment unit; at updated plant - US_Base_With Amendment_Windrow</v>
      </c>
    </row>
    <row r="2559" spans="1:13" s="120" customFormat="1" x14ac:dyDescent="0.25">
      <c r="A2559" s="119"/>
      <c r="B2559" s="138" t="str">
        <f t="shared" si="125"/>
        <v>Windrow</v>
      </c>
      <c r="C2559" s="138" t="str">
        <f t="shared" si="126"/>
        <v>Base_With Amendment</v>
      </c>
      <c r="D2559" s="118" t="s">
        <v>140</v>
      </c>
      <c r="E2559" s="118" t="s">
        <v>180</v>
      </c>
      <c r="F2559" s="118" t="s">
        <v>46</v>
      </c>
      <c r="G2559" s="153"/>
      <c r="H2559" s="155">
        <v>9.1000000000000004E-3</v>
      </c>
      <c r="I2559" s="154" t="s">
        <v>59</v>
      </c>
      <c r="J2559" s="204">
        <v>4.9699999999999996E-3</v>
      </c>
      <c r="K2559" s="154" t="s">
        <v>25</v>
      </c>
      <c r="L2559" s="154" t="str">
        <f>IF(OpenLCAbasic!K2559="CTUh", "Fill in Manually",IF(OR(K2559="Unit", K2559=""), "", INDEX(LookUps!$E$5:$E$12, MATCH(OpenLCAbasic!K2559,LookUps!$D$5:$D$12,0))))</f>
        <v>Smog Formation Potential (SFP) - kg O3 eq</v>
      </c>
      <c r="M2559" s="154" t="str">
        <f t="shared" si="127"/>
        <v>Low_High_High_Upgraded_Smog Formation Potential (SFP) - kg O3 eq_Blend Tank; wastewater treatment unit; at updated plant - US_Base_With Amendment_Windrow</v>
      </c>
    </row>
    <row r="2560" spans="1:13" s="120" customFormat="1" x14ac:dyDescent="0.25">
      <c r="A2560" s="119"/>
      <c r="B2560" s="138" t="str">
        <f t="shared" si="125"/>
        <v>Windrow</v>
      </c>
      <c r="C2560" s="138" t="str">
        <f t="shared" si="126"/>
        <v>Base_With Amendment</v>
      </c>
      <c r="D2560" s="118" t="s">
        <v>140</v>
      </c>
      <c r="E2560" s="118" t="s">
        <v>180</v>
      </c>
      <c r="F2560" s="118" t="s">
        <v>46</v>
      </c>
      <c r="G2560" s="153"/>
      <c r="H2560" s="155">
        <v>6.1999999999999998E-3</v>
      </c>
      <c r="I2560" s="154" t="s">
        <v>48</v>
      </c>
      <c r="J2560" s="204">
        <v>3.3899999999999998E-3</v>
      </c>
      <c r="K2560" s="154" t="s">
        <v>25</v>
      </c>
      <c r="L2560" s="154" t="str">
        <f>IF(OpenLCAbasic!K2560="CTUh", "Fill in Manually",IF(OR(K2560="Unit", K2560=""), "", INDEX(LookUps!$E$5:$E$12, MATCH(OpenLCAbasic!K2560,LookUps!$D$5:$D$12,0))))</f>
        <v>Smog Formation Potential (SFP) - kg O3 eq</v>
      </c>
      <c r="M2560" s="154" t="str">
        <f t="shared" si="127"/>
        <v>Low_High_High_Upgraded_Smog Formation Potential (SFP) - kg O3 eq_Effluent release; wastewater treatment unit; at surface water; m3 wastewater - US_Base_With Amendment_Windrow</v>
      </c>
    </row>
    <row r="2561" spans="1:13" s="120" customFormat="1" x14ac:dyDescent="0.25">
      <c r="A2561" s="119"/>
      <c r="B2561" s="138" t="str">
        <f t="shared" si="125"/>
        <v>Windrow</v>
      </c>
      <c r="C2561" s="138" t="str">
        <f t="shared" si="126"/>
        <v>Base_With Amendment</v>
      </c>
      <c r="D2561" s="118" t="s">
        <v>140</v>
      </c>
      <c r="E2561" s="118" t="s">
        <v>180</v>
      </c>
      <c r="F2561" s="118" t="s">
        <v>46</v>
      </c>
      <c r="G2561" s="153"/>
      <c r="H2561" s="155">
        <v>4.4999999999999997E-3</v>
      </c>
      <c r="I2561" s="154" t="s">
        <v>168</v>
      </c>
      <c r="J2561" s="204">
        <v>2.4599999999999999E-3</v>
      </c>
      <c r="K2561" s="154" t="s">
        <v>25</v>
      </c>
      <c r="L2561" s="154" t="str">
        <f>IF(OpenLCAbasic!K2561="CTUh", "Fill in Manually",IF(OR(K2561="Unit", K2561=""), "", INDEX(LookUps!$E$5:$E$12, MATCH(OpenLCAbasic!K2561,LookUps!$D$5:$D$12,0))))</f>
        <v>Smog Formation Potential (SFP) - kg O3 eq</v>
      </c>
      <c r="M2561" s="154" t="str">
        <f t="shared" si="127"/>
        <v>Low_High_High_Upgraded_Smog Formation Potential (SFP) - kg O3 eq_ClearCove SCP; wastewater treatment unit; at updated plant - US_Base_With Amendment_Windrow</v>
      </c>
    </row>
    <row r="2562" spans="1:13" s="120" customFormat="1" x14ac:dyDescent="0.25">
      <c r="A2562" s="119"/>
      <c r="B2562" s="138" t="str">
        <f t="shared" si="125"/>
        <v>Windrow</v>
      </c>
      <c r="C2562" s="138" t="str">
        <f t="shared" si="126"/>
        <v>Base_With Amendment</v>
      </c>
      <c r="D2562" s="118" t="s">
        <v>140</v>
      </c>
      <c r="E2562" s="118" t="s">
        <v>180</v>
      </c>
      <c r="F2562" s="118" t="s">
        <v>46</v>
      </c>
      <c r="G2562" s="153"/>
      <c r="H2562" s="155">
        <v>3.0999999999999999E-3</v>
      </c>
      <c r="I2562" s="154" t="s">
        <v>271</v>
      </c>
      <c r="J2562" s="204">
        <v>1.72E-3</v>
      </c>
      <c r="K2562" s="154" t="s">
        <v>25</v>
      </c>
      <c r="L2562" s="154" t="str">
        <f>IF(OpenLCAbasic!K2562="CTUh", "Fill in Manually",IF(OR(K2562="Unit", K2562=""), "", INDEX(LookUps!$E$5:$E$12, MATCH(OpenLCAbasic!K2562,LookUps!$D$5:$D$12,0))))</f>
        <v>Smog Formation Potential (SFP) - kg O3 eq</v>
      </c>
      <c r="M2562" s="154" t="str">
        <f t="shared" si="127"/>
        <v>Low_High_High_Upgraded_Smog Formation Potential (SFP) - kg O3 eq_Biosolids composting; windrow composting; wastewater treatment unit; at updated plant - US_Base_With Amendment_Windrow</v>
      </c>
    </row>
    <row r="2563" spans="1:13" s="120" customFormat="1" x14ac:dyDescent="0.25">
      <c r="A2563" s="119"/>
      <c r="B2563" s="138" t="str">
        <f t="shared" si="125"/>
        <v>Windrow</v>
      </c>
      <c r="C2563" s="138" t="str">
        <f t="shared" si="126"/>
        <v>Base_With Amendment</v>
      </c>
      <c r="D2563" s="118" t="s">
        <v>140</v>
      </c>
      <c r="E2563" s="118" t="s">
        <v>180</v>
      </c>
      <c r="F2563" s="118" t="s">
        <v>46</v>
      </c>
      <c r="G2563" s="153"/>
      <c r="H2563" s="155">
        <v>1E-3</v>
      </c>
      <c r="I2563" s="154" t="s">
        <v>148</v>
      </c>
      <c r="J2563" s="204">
        <v>5.4000000000000001E-4</v>
      </c>
      <c r="K2563" s="154" t="s">
        <v>25</v>
      </c>
      <c r="L2563" s="154" t="str">
        <f>IF(OpenLCAbasic!K2563="CTUh", "Fill in Manually",IF(OR(K2563="Unit", K2563=""), "", INDEX(LookUps!$E$5:$E$12, MATCH(OpenLCAbasic!K2563,LookUps!$D$5:$D$12,0))))</f>
        <v>Smog Formation Potential (SFP) - kg O3 eq</v>
      </c>
      <c r="M2563" s="154" t="str">
        <f t="shared" si="127"/>
        <v>Low_High_High_Upgraded_Smog Formation Potential (SFP) - kg O3 eq_Control Building; at upgraded wastewater treatment plant - US_Base_With Amendment_Windrow</v>
      </c>
    </row>
    <row r="2564" spans="1:13" s="120" customFormat="1" x14ac:dyDescent="0.25">
      <c r="A2564" s="119"/>
      <c r="B2564" s="138" t="str">
        <f t="shared" si="125"/>
        <v>Windrow</v>
      </c>
      <c r="C2564" s="138" t="str">
        <f t="shared" si="126"/>
        <v>Base_With Amendment</v>
      </c>
      <c r="D2564" s="118" t="s">
        <v>140</v>
      </c>
      <c r="E2564" s="118" t="s">
        <v>180</v>
      </c>
      <c r="F2564" s="118" t="s">
        <v>46</v>
      </c>
      <c r="G2564" s="153"/>
      <c r="H2564" s="155">
        <v>-9.4000000000000004E-3</v>
      </c>
      <c r="I2564" s="154" t="s">
        <v>62</v>
      </c>
      <c r="J2564" s="204">
        <v>-5.1399999999999996E-3</v>
      </c>
      <c r="K2564" s="154" t="s">
        <v>25</v>
      </c>
      <c r="L2564" s="154" t="str">
        <f>IF(OpenLCAbasic!K2564="CTUh", "Fill in Manually",IF(OR(K2564="Unit", K2564=""), "", INDEX(LookUps!$E$5:$E$12, MATCH(OpenLCAbasic!K2564,LookUps!$D$5:$D$12,0))))</f>
        <v>Smog Formation Potential (SFP) - kg O3 eq</v>
      </c>
      <c r="M2564" s="154" t="str">
        <f t="shared" si="127"/>
        <v>Low_High_High_Upgraded_Smog Formation Potential (SFP) - kg O3 eq_Land application of compost; wastewater treatment unit; at updated plant - US_Base_With Amendment_Windrow</v>
      </c>
    </row>
    <row r="2565" spans="1:13" s="120" customFormat="1" x14ac:dyDescent="0.25">
      <c r="A2565" s="119"/>
      <c r="B2565" s="138" t="str">
        <f t="shared" si="125"/>
        <v>Windrow</v>
      </c>
      <c r="C2565" s="138" t="str">
        <f t="shared" si="126"/>
        <v>Base_With Amendment</v>
      </c>
      <c r="D2565" s="118" t="s">
        <v>140</v>
      </c>
      <c r="E2565" s="118" t="s">
        <v>180</v>
      </c>
      <c r="F2565" s="118" t="s">
        <v>46</v>
      </c>
      <c r="G2565" s="153"/>
      <c r="H2565" s="155">
        <v>-1.6951000000000001</v>
      </c>
      <c r="I2565" s="154" t="s">
        <v>149</v>
      </c>
      <c r="J2565" s="203">
        <v>-0.93125999999999998</v>
      </c>
      <c r="K2565" s="154" t="s">
        <v>25</v>
      </c>
      <c r="L2565" s="154" t="str">
        <f>IF(OpenLCAbasic!K2565="CTUh", "Fill in Manually",IF(OR(K2565="Unit", K2565=""), "", INDEX(LookUps!$E$5:$E$12, MATCH(OpenLCAbasic!K2565,LookUps!$D$5:$D$12,0))))</f>
        <v>Smog Formation Potential (SFP) - kg O3 eq</v>
      </c>
      <c r="M2565" s="154" t="str">
        <f t="shared" si="127"/>
        <v>Low_High_High_Upgraded_Smog Formation Potential (SFP) - kg O3 eq_Anaerobic Digestion; wastewater treatment unit; at updated plant - US_Base_With Amendment_Windrow</v>
      </c>
    </row>
    <row r="2566" spans="1:13" s="120" customFormat="1" x14ac:dyDescent="0.25">
      <c r="A2566" s="119"/>
      <c r="B2566" s="138" t="str">
        <f t="shared" ref="B2566:B2629" si="128">IF(F2566="Legacy","n.a.",IF(F2566="","","Windrow"))</f>
        <v>Windrow</v>
      </c>
      <c r="C2566" s="138" t="str">
        <f t="shared" si="126"/>
        <v>Base_With Amendment</v>
      </c>
      <c r="D2566" s="118" t="s">
        <v>140</v>
      </c>
      <c r="E2566" s="118" t="s">
        <v>180</v>
      </c>
      <c r="F2566" s="118" t="s">
        <v>46</v>
      </c>
      <c r="G2566" s="153" t="s">
        <v>51</v>
      </c>
      <c r="H2566" s="154"/>
      <c r="I2566" s="154" t="s">
        <v>47</v>
      </c>
      <c r="J2566" s="154" t="s">
        <v>52</v>
      </c>
      <c r="K2566" s="154" t="s">
        <v>27</v>
      </c>
      <c r="L2566" s="154" t="str">
        <f>IF(OpenLCAbasic!K2566="CTUh", "Fill in Manually",IF(OR(K2566="Unit", K2566=""), "", INDEX(LookUps!$E$5:$E$12, MATCH(OpenLCAbasic!K2566,LookUps!$D$5:$D$12,0))))</f>
        <v/>
      </c>
      <c r="M2566" s="154" t="str">
        <f t="shared" si="127"/>
        <v>Low_High_High_Upgraded__Process_Base_With Amendment_Windrow</v>
      </c>
    </row>
    <row r="2567" spans="1:13" s="120" customFormat="1" x14ac:dyDescent="0.25">
      <c r="A2567" s="119"/>
      <c r="B2567" s="138" t="str">
        <f t="shared" si="128"/>
        <v>Windrow</v>
      </c>
      <c r="C2567" s="138" t="str">
        <f t="shared" ref="C2567:C2630" si="129">IF(E2567&lt;&gt;"", "Base_With Amendment","")</f>
        <v>Base_With Amendment</v>
      </c>
      <c r="D2567" s="118" t="s">
        <v>140</v>
      </c>
      <c r="E2567" s="118" t="s">
        <v>180</v>
      </c>
      <c r="F2567" s="118" t="s">
        <v>46</v>
      </c>
      <c r="G2567" s="153"/>
      <c r="H2567" s="155">
        <v>0.30309999999999998</v>
      </c>
      <c r="I2567" s="154" t="s">
        <v>167</v>
      </c>
      <c r="J2567" s="204">
        <v>3.4000000000000002E-4</v>
      </c>
      <c r="K2567" s="154" t="s">
        <v>26</v>
      </c>
      <c r="L2567" s="154" t="str">
        <f>IF(OpenLCAbasic!K2567="CTUh", "Fill in Manually",IF(OR(K2567="Unit", K2567=""), "", INDEX(LookUps!$E$5:$E$12, MATCH(OpenLCAbasic!K2567,LookUps!$D$5:$D$12,0))))</f>
        <v>Water Use (WU) - m3 H2O</v>
      </c>
      <c r="M2567" s="154" t="str">
        <f t="shared" ref="M2567:M2630" si="130">CONCATENATE(E2567,"_",D2567,"_",F2567,"_",L2567, "_",I2567,"_", C2567,"_", B2567)</f>
        <v>Low_High_High_Upgraded_Water Use (WU) - m3 H2O_Waste Receiving and Holding; wastewater treatment unit; at updated plant - US_Base_With Amendment_Windrow</v>
      </c>
    </row>
    <row r="2568" spans="1:13" s="120" customFormat="1" x14ac:dyDescent="0.25">
      <c r="A2568" s="119"/>
      <c r="B2568" s="138" t="str">
        <f t="shared" si="128"/>
        <v>Windrow</v>
      </c>
      <c r="C2568" s="138" t="str">
        <f t="shared" si="129"/>
        <v>Base_With Amendment</v>
      </c>
      <c r="D2568" s="118" t="s">
        <v>140</v>
      </c>
      <c r="E2568" s="118" t="s">
        <v>180</v>
      </c>
      <c r="F2568" s="118" t="s">
        <v>46</v>
      </c>
      <c r="G2568" s="153"/>
      <c r="H2568" s="155">
        <v>0.1658</v>
      </c>
      <c r="I2568" s="154" t="s">
        <v>147</v>
      </c>
      <c r="J2568" s="204">
        <v>1.8000000000000001E-4</v>
      </c>
      <c r="K2568" s="154" t="s">
        <v>26</v>
      </c>
      <c r="L2568" s="154" t="str">
        <f>IF(OpenLCAbasic!K2568="CTUh", "Fill in Manually",IF(OR(K2568="Unit", K2568=""), "", INDEX(LookUps!$E$5:$E$12, MATCH(OpenLCAbasic!K2568,LookUps!$D$5:$D$12,0))))</f>
        <v>Water Use (WU) - m3 H2O</v>
      </c>
      <c r="M2568" s="154" t="str">
        <f t="shared" si="130"/>
        <v>Low_High_High_Upgraded_Water Use (WU) - m3 H2O_Influent Pump Station; wastewater treatment unit; at updated plant - US_Base_With Amendment_Windrow</v>
      </c>
    </row>
    <row r="2569" spans="1:13" s="120" customFormat="1" x14ac:dyDescent="0.25">
      <c r="A2569" s="119"/>
      <c r="B2569" s="138" t="str">
        <f t="shared" si="128"/>
        <v>Windrow</v>
      </c>
      <c r="C2569" s="138" t="str">
        <f t="shared" si="129"/>
        <v>Base_With Amendment</v>
      </c>
      <c r="D2569" s="118" t="s">
        <v>140</v>
      </c>
      <c r="E2569" s="118" t="s">
        <v>180</v>
      </c>
      <c r="F2569" s="118" t="s">
        <v>46</v>
      </c>
      <c r="G2569" s="153"/>
      <c r="H2569" s="155">
        <v>0.1618</v>
      </c>
      <c r="I2569" s="154" t="s">
        <v>54</v>
      </c>
      <c r="J2569" s="204">
        <v>1.8000000000000001E-4</v>
      </c>
      <c r="K2569" s="154" t="s">
        <v>26</v>
      </c>
      <c r="L2569" s="154" t="str">
        <f>IF(OpenLCAbasic!K2569="CTUh", "Fill in Manually",IF(OR(K2569="Unit", K2569=""), "", INDEX(LookUps!$E$5:$E$12, MATCH(OpenLCAbasic!K2569,LookUps!$D$5:$D$12,0))))</f>
        <v>Water Use (WU) - m3 H2O</v>
      </c>
      <c r="M2569" s="154" t="str">
        <f t="shared" si="130"/>
        <v>Low_High_High_Upgraded_Water Use (WU) - m3 H2O_Clear Cove Primary Clarification; wastewater treatment unit; at updated plant - US_Base_With Amendment_Windrow</v>
      </c>
    </row>
    <row r="2570" spans="1:13" s="120" customFormat="1" x14ac:dyDescent="0.25">
      <c r="A2570" s="119"/>
      <c r="B2570" s="138" t="str">
        <f t="shared" si="128"/>
        <v>Windrow</v>
      </c>
      <c r="C2570" s="138" t="str">
        <f t="shared" si="129"/>
        <v>Base_With Amendment</v>
      </c>
      <c r="D2570" s="118" t="s">
        <v>140</v>
      </c>
      <c r="E2570" s="118" t="s">
        <v>180</v>
      </c>
      <c r="F2570" s="118" t="s">
        <v>46</v>
      </c>
      <c r="G2570" s="153"/>
      <c r="H2570" s="155">
        <v>0.14680000000000001</v>
      </c>
      <c r="I2570" s="154" t="s">
        <v>55</v>
      </c>
      <c r="J2570" s="204">
        <v>1.6000000000000001E-4</v>
      </c>
      <c r="K2570" s="154" t="s">
        <v>26</v>
      </c>
      <c r="L2570" s="154" t="str">
        <f>IF(OpenLCAbasic!K2570="CTUh", "Fill in Manually",IF(OR(K2570="Unit", K2570=""), "", INDEX(LookUps!$E$5:$E$12, MATCH(OpenLCAbasic!K2570,LookUps!$D$5:$D$12,0))))</f>
        <v>Water Use (WU) - m3 H2O</v>
      </c>
      <c r="M2570" s="154" t="str">
        <f t="shared" si="130"/>
        <v>Low_High_High_Upgraded_Water Use (WU) - m3 H2O_Aeration Tanks; wastewater treatment unit; at updated plant - US_Base_With Amendment_Windrow</v>
      </c>
    </row>
    <row r="2571" spans="1:13" s="120" customFormat="1" x14ac:dyDescent="0.25">
      <c r="A2571" s="119"/>
      <c r="B2571" s="138" t="str">
        <f t="shared" si="128"/>
        <v>Windrow</v>
      </c>
      <c r="C2571" s="138" t="str">
        <f t="shared" si="129"/>
        <v>Base_With Amendment</v>
      </c>
      <c r="D2571" s="118" t="s">
        <v>140</v>
      </c>
      <c r="E2571" s="118" t="s">
        <v>180</v>
      </c>
      <c r="F2571" s="118" t="s">
        <v>46</v>
      </c>
      <c r="G2571" s="153"/>
      <c r="H2571" s="155">
        <v>0.13370000000000001</v>
      </c>
      <c r="I2571" s="154" t="s">
        <v>148</v>
      </c>
      <c r="J2571" s="204">
        <v>1.4999999999999999E-4</v>
      </c>
      <c r="K2571" s="154" t="s">
        <v>26</v>
      </c>
      <c r="L2571" s="154" t="str">
        <f>IF(OpenLCAbasic!K2571="CTUh", "Fill in Manually",IF(OR(K2571="Unit", K2571=""), "", INDEX(LookUps!$E$5:$E$12, MATCH(OpenLCAbasic!K2571,LookUps!$D$5:$D$12,0))))</f>
        <v>Water Use (WU) - m3 H2O</v>
      </c>
      <c r="M2571" s="154" t="str">
        <f t="shared" si="130"/>
        <v>Low_High_High_Upgraded_Water Use (WU) - m3 H2O_Control Building; at upgraded wastewater treatment plant - US_Base_With Amendment_Windrow</v>
      </c>
    </row>
    <row r="2572" spans="1:13" s="120" customFormat="1" x14ac:dyDescent="0.25">
      <c r="A2572" s="119"/>
      <c r="B2572" s="138" t="str">
        <f t="shared" si="128"/>
        <v>Windrow</v>
      </c>
      <c r="C2572" s="138" t="str">
        <f t="shared" si="129"/>
        <v>Base_With Amendment</v>
      </c>
      <c r="D2572" s="118" t="s">
        <v>140</v>
      </c>
      <c r="E2572" s="118" t="s">
        <v>180</v>
      </c>
      <c r="F2572" s="118" t="s">
        <v>46</v>
      </c>
      <c r="G2572" s="153"/>
      <c r="H2572" s="155">
        <v>6.2100000000000002E-2</v>
      </c>
      <c r="I2572" s="154" t="s">
        <v>48</v>
      </c>
      <c r="J2572" s="204">
        <v>6.8836400000000004E-5</v>
      </c>
      <c r="K2572" s="154" t="s">
        <v>26</v>
      </c>
      <c r="L2572" s="154" t="str">
        <f>IF(OpenLCAbasic!K2572="CTUh", "Fill in Manually",IF(OR(K2572="Unit", K2572=""), "", INDEX(LookUps!$E$5:$E$12, MATCH(OpenLCAbasic!K2572,LookUps!$D$5:$D$12,0))))</f>
        <v>Water Use (WU) - m3 H2O</v>
      </c>
      <c r="M2572" s="154" t="str">
        <f t="shared" si="130"/>
        <v>Low_High_High_Upgraded_Water Use (WU) - m3 H2O_Effluent release; wastewater treatment unit; at surface water; m3 wastewater - US_Base_With Amendment_Windrow</v>
      </c>
    </row>
    <row r="2573" spans="1:13" s="120" customFormat="1" x14ac:dyDescent="0.25">
      <c r="A2573" s="119"/>
      <c r="B2573" s="138" t="str">
        <f t="shared" si="128"/>
        <v>Windrow</v>
      </c>
      <c r="C2573" s="138" t="str">
        <f t="shared" si="129"/>
        <v>Base_With Amendment</v>
      </c>
      <c r="D2573" s="118" t="s">
        <v>140</v>
      </c>
      <c r="E2573" s="118" t="s">
        <v>180</v>
      </c>
      <c r="F2573" s="118" t="s">
        <v>46</v>
      </c>
      <c r="G2573" s="153"/>
      <c r="H2573" s="155">
        <v>3.9E-2</v>
      </c>
      <c r="I2573" s="154" t="s">
        <v>58</v>
      </c>
      <c r="J2573" s="204">
        <v>4.3289399999999999E-5</v>
      </c>
      <c r="K2573" s="154" t="s">
        <v>26</v>
      </c>
      <c r="L2573" s="154" t="str">
        <f>IF(OpenLCAbasic!K2573="CTUh", "Fill in Manually",IF(OR(K2573="Unit", K2573=""), "", INDEX(LookUps!$E$5:$E$12, MATCH(OpenLCAbasic!K2573,LookUps!$D$5:$D$12,0))))</f>
        <v>Water Use (WU) - m3 H2O</v>
      </c>
      <c r="M2573" s="154" t="str">
        <f t="shared" si="130"/>
        <v>Low_High_High_Upgraded_Water Use (WU) - m3 H2O_Pre-Anoxic &amp; Swing tank; wastewater treatment unit; at updated plant - US_Base_With Amendment_Windrow</v>
      </c>
    </row>
    <row r="2574" spans="1:13" s="120" customFormat="1" x14ac:dyDescent="0.25">
      <c r="A2574" s="119"/>
      <c r="B2574" s="138" t="str">
        <f t="shared" si="128"/>
        <v>Windrow</v>
      </c>
      <c r="C2574" s="138" t="str">
        <f t="shared" si="129"/>
        <v>Base_With Amendment</v>
      </c>
      <c r="D2574" s="118" t="s">
        <v>140</v>
      </c>
      <c r="E2574" s="118" t="s">
        <v>180</v>
      </c>
      <c r="F2574" s="118" t="s">
        <v>46</v>
      </c>
      <c r="G2574" s="153"/>
      <c r="H2574" s="155">
        <v>3.5400000000000001E-2</v>
      </c>
      <c r="I2574" s="154" t="s">
        <v>60</v>
      </c>
      <c r="J2574" s="204">
        <v>3.9294400000000001E-5</v>
      </c>
      <c r="K2574" s="154" t="s">
        <v>26</v>
      </c>
      <c r="L2574" s="154" t="str">
        <f>IF(OpenLCAbasic!K2574="CTUh", "Fill in Manually",IF(OR(K2574="Unit", K2574=""), "", INDEX(LookUps!$E$5:$E$12, MATCH(OpenLCAbasic!K2574,LookUps!$D$5:$D$12,0))))</f>
        <v>Water Use (WU) - m3 H2O</v>
      </c>
      <c r="M2574" s="154" t="str">
        <f t="shared" si="130"/>
        <v>Low_High_High_Upgraded_Water Use (WU) - m3 H2O_Belt filter press; wastewater treatment unit; at updated plant - US_Base_With Amendment_Windrow</v>
      </c>
    </row>
    <row r="2575" spans="1:13" s="120" customFormat="1" x14ac:dyDescent="0.25">
      <c r="A2575" s="119"/>
      <c r="B2575" s="138" t="str">
        <f t="shared" si="128"/>
        <v>Windrow</v>
      </c>
      <c r="C2575" s="138" t="str">
        <f t="shared" si="129"/>
        <v>Base_With Amendment</v>
      </c>
      <c r="D2575" s="118" t="s">
        <v>140</v>
      </c>
      <c r="E2575" s="118" t="s">
        <v>180</v>
      </c>
      <c r="F2575" s="118" t="s">
        <v>46</v>
      </c>
      <c r="G2575" s="153"/>
      <c r="H2575" s="155">
        <v>2.7400000000000001E-2</v>
      </c>
      <c r="I2575" s="154" t="s">
        <v>57</v>
      </c>
      <c r="J2575" s="204">
        <v>3.0408100000000001E-5</v>
      </c>
      <c r="K2575" s="154" t="s">
        <v>26</v>
      </c>
      <c r="L2575" s="154" t="str">
        <f>IF(OpenLCAbasic!K2575="CTUh", "Fill in Manually",IF(OR(K2575="Unit", K2575=""), "", INDEX(LookUps!$E$5:$E$12, MATCH(OpenLCAbasic!K2575,LookUps!$D$5:$D$12,0))))</f>
        <v>Water Use (WU) - m3 H2O</v>
      </c>
      <c r="M2575" s="154" t="str">
        <f t="shared" si="130"/>
        <v>Low_High_High_Upgraded_Water Use (WU) - m3 H2O_Gravity Belt Thickener; wastewater treatment unit; at updated plant - US_Base_With Amendment_Windrow</v>
      </c>
    </row>
    <row r="2576" spans="1:13" s="120" customFormat="1" x14ac:dyDescent="0.25">
      <c r="A2576" s="119"/>
      <c r="B2576" s="138" t="str">
        <f t="shared" si="128"/>
        <v>Windrow</v>
      </c>
      <c r="C2576" s="138" t="str">
        <f t="shared" si="129"/>
        <v>Base_With Amendment</v>
      </c>
      <c r="D2576" s="118" t="s">
        <v>140</v>
      </c>
      <c r="E2576" s="118" t="s">
        <v>180</v>
      </c>
      <c r="F2576" s="118" t="s">
        <v>46</v>
      </c>
      <c r="G2576" s="153"/>
      <c r="H2576" s="155">
        <v>1.5800000000000002E-2</v>
      </c>
      <c r="I2576" s="154" t="s">
        <v>53</v>
      </c>
      <c r="J2576" s="204">
        <v>1.75069E-5</v>
      </c>
      <c r="K2576" s="154" t="s">
        <v>26</v>
      </c>
      <c r="L2576" s="154" t="str">
        <f>IF(OpenLCAbasic!K2576="CTUh", "Fill in Manually",IF(OR(K2576="Unit", K2576=""), "", INDEX(LookUps!$E$5:$E$12, MATCH(OpenLCAbasic!K2576,LookUps!$D$5:$D$12,0))))</f>
        <v>Water Use (WU) - m3 H2O</v>
      </c>
      <c r="M2576" s="154" t="str">
        <f t="shared" si="130"/>
        <v>Low_High_High_Upgraded_Water Use (WU) - m3 H2O_Wet Well and Sump Station; wastewater treatment unit; at updated plant - US_Base_With Amendment_Windrow</v>
      </c>
    </row>
    <row r="2577" spans="1:13" s="120" customFormat="1" x14ac:dyDescent="0.25">
      <c r="A2577" s="119"/>
      <c r="B2577" s="138" t="str">
        <f t="shared" si="128"/>
        <v>Windrow</v>
      </c>
      <c r="C2577" s="138" t="str">
        <f t="shared" si="129"/>
        <v>Base_With Amendment</v>
      </c>
      <c r="D2577" s="118" t="s">
        <v>140</v>
      </c>
      <c r="E2577" s="118" t="s">
        <v>180</v>
      </c>
      <c r="F2577" s="118" t="s">
        <v>46</v>
      </c>
      <c r="G2577" s="153"/>
      <c r="H2577" s="155">
        <v>6.3E-3</v>
      </c>
      <c r="I2577" s="154" t="s">
        <v>59</v>
      </c>
      <c r="J2577" s="204">
        <v>7.0179500000000003E-6</v>
      </c>
      <c r="K2577" s="154" t="s">
        <v>26</v>
      </c>
      <c r="L2577" s="154" t="str">
        <f>IF(OpenLCAbasic!K2577="CTUh", "Fill in Manually",IF(OR(K2577="Unit", K2577=""), "", INDEX(LookUps!$E$5:$E$12, MATCH(OpenLCAbasic!K2577,LookUps!$D$5:$D$12,0))))</f>
        <v>Water Use (WU) - m3 H2O</v>
      </c>
      <c r="M2577" s="154" t="str">
        <f t="shared" si="130"/>
        <v>Low_High_High_Upgraded_Water Use (WU) - m3 H2O_Blend Tank; wastewater treatment unit; at updated plant - US_Base_With Amendment_Windrow</v>
      </c>
    </row>
    <row r="2578" spans="1:13" s="120" customFormat="1" x14ac:dyDescent="0.25">
      <c r="A2578" s="119"/>
      <c r="B2578" s="138" t="str">
        <f t="shared" si="128"/>
        <v>Windrow</v>
      </c>
      <c r="C2578" s="138" t="str">
        <f t="shared" si="129"/>
        <v>Base_With Amendment</v>
      </c>
      <c r="D2578" s="118" t="s">
        <v>140</v>
      </c>
      <c r="E2578" s="118" t="s">
        <v>180</v>
      </c>
      <c r="F2578" s="118" t="s">
        <v>46</v>
      </c>
      <c r="G2578" s="153"/>
      <c r="H2578" s="155">
        <v>4.5999999999999999E-3</v>
      </c>
      <c r="I2578" s="154" t="s">
        <v>128</v>
      </c>
      <c r="J2578" s="204">
        <v>5.0608900000000003E-6</v>
      </c>
      <c r="K2578" s="154" t="s">
        <v>26</v>
      </c>
      <c r="L2578" s="154" t="str">
        <f>IF(OpenLCAbasic!K2578="CTUh", "Fill in Manually",IF(OR(K2578="Unit", K2578=""), "", INDEX(LookUps!$E$5:$E$12, MATCH(OpenLCAbasic!K2578,LookUps!$D$5:$D$12,0))))</f>
        <v>Water Use (WU) - m3 H2O</v>
      </c>
      <c r="M2578" s="154" t="str">
        <f t="shared" si="130"/>
        <v>Low_High_High_Upgraded_Water Use (WU) - m3 H2O_Wastewater collection; operation and infrastructure; m3 wastewater_Base_With Amendment_Windrow</v>
      </c>
    </row>
    <row r="2579" spans="1:13" s="120" customFormat="1" x14ac:dyDescent="0.25">
      <c r="A2579" s="119"/>
      <c r="B2579" s="138" t="str">
        <f t="shared" si="128"/>
        <v>Windrow</v>
      </c>
      <c r="C2579" s="138" t="str">
        <f t="shared" si="129"/>
        <v>Base_With Amendment</v>
      </c>
      <c r="D2579" s="118" t="s">
        <v>140</v>
      </c>
      <c r="E2579" s="118" t="s">
        <v>180</v>
      </c>
      <c r="F2579" s="118" t="s">
        <v>46</v>
      </c>
      <c r="G2579" s="153"/>
      <c r="H2579" s="155">
        <v>1.6999999999999999E-3</v>
      </c>
      <c r="I2579" s="154" t="s">
        <v>271</v>
      </c>
      <c r="J2579" s="204">
        <v>1.9172200000000002E-6</v>
      </c>
      <c r="K2579" s="154" t="s">
        <v>26</v>
      </c>
      <c r="L2579" s="154" t="str">
        <f>IF(OpenLCAbasic!K2579="CTUh", "Fill in Manually",IF(OR(K2579="Unit", K2579=""), "", INDEX(LookUps!$E$5:$E$12, MATCH(OpenLCAbasic!K2579,LookUps!$D$5:$D$12,0))))</f>
        <v>Water Use (WU) - m3 H2O</v>
      </c>
      <c r="M2579" s="154" t="str">
        <f t="shared" si="130"/>
        <v>Low_High_High_Upgraded_Water Use (WU) - m3 H2O_Biosolids composting; windrow composting; wastewater treatment unit; at updated plant - US_Base_With Amendment_Windrow</v>
      </c>
    </row>
    <row r="2580" spans="1:13" s="120" customFormat="1" x14ac:dyDescent="0.25">
      <c r="A2580" s="119"/>
      <c r="B2580" s="138" t="str">
        <f t="shared" si="128"/>
        <v>Windrow</v>
      </c>
      <c r="C2580" s="138" t="str">
        <f t="shared" si="129"/>
        <v>Base_With Amendment</v>
      </c>
      <c r="D2580" s="118" t="s">
        <v>140</v>
      </c>
      <c r="E2580" s="118" t="s">
        <v>180</v>
      </c>
      <c r="F2580" s="118" t="s">
        <v>46</v>
      </c>
      <c r="G2580" s="153"/>
      <c r="H2580" s="155">
        <v>6.9999999999999999E-4</v>
      </c>
      <c r="I2580" s="154" t="s">
        <v>168</v>
      </c>
      <c r="J2580" s="204">
        <v>7.6697000000000004E-7</v>
      </c>
      <c r="K2580" s="154" t="s">
        <v>26</v>
      </c>
      <c r="L2580" s="154" t="str">
        <f>IF(OpenLCAbasic!K2580="CTUh", "Fill in Manually",IF(OR(K2580="Unit", K2580=""), "", INDEX(LookUps!$E$5:$E$12, MATCH(OpenLCAbasic!K2580,LookUps!$D$5:$D$12,0))))</f>
        <v>Water Use (WU) - m3 H2O</v>
      </c>
      <c r="M2580" s="154" t="str">
        <f t="shared" si="130"/>
        <v>Low_High_High_Upgraded_Water Use (WU) - m3 H2O_ClearCove SCP; wastewater treatment unit; at updated plant - US_Base_With Amendment_Windrow</v>
      </c>
    </row>
    <row r="2581" spans="1:13" s="120" customFormat="1" x14ac:dyDescent="0.25">
      <c r="A2581" s="119"/>
      <c r="B2581" s="138" t="str">
        <f t="shared" si="128"/>
        <v>Windrow</v>
      </c>
      <c r="C2581" s="138" t="str">
        <f t="shared" si="129"/>
        <v>Base_With Amendment</v>
      </c>
      <c r="D2581" s="118" t="s">
        <v>140</v>
      </c>
      <c r="E2581" s="118" t="s">
        <v>180</v>
      </c>
      <c r="F2581" s="118" t="s">
        <v>46</v>
      </c>
      <c r="G2581" s="153"/>
      <c r="H2581" s="155">
        <v>-0.2429</v>
      </c>
      <c r="I2581" s="154" t="s">
        <v>149</v>
      </c>
      <c r="J2581" s="204">
        <v>-2.7E-4</v>
      </c>
      <c r="K2581" s="154" t="s">
        <v>26</v>
      </c>
      <c r="L2581" s="154" t="str">
        <f>IF(OpenLCAbasic!K2581="CTUh", "Fill in Manually",IF(OR(K2581="Unit", K2581=""), "", INDEX(LookUps!$E$5:$E$12, MATCH(OpenLCAbasic!K2581,LookUps!$D$5:$D$12,0))))</f>
        <v>Water Use (WU) - m3 H2O</v>
      </c>
      <c r="M2581" s="154" t="str">
        <f t="shared" si="130"/>
        <v>Low_High_High_Upgraded_Water Use (WU) - m3 H2O_Anaerobic Digestion; wastewater treatment unit; at updated plant - US_Base_With Amendment_Windrow</v>
      </c>
    </row>
    <row r="2582" spans="1:13" s="120" customFormat="1" x14ac:dyDescent="0.25">
      <c r="A2582" s="213"/>
      <c r="B2582" s="138" t="str">
        <f t="shared" si="128"/>
        <v>Windrow</v>
      </c>
      <c r="C2582" s="138" t="str">
        <f t="shared" si="129"/>
        <v>Base_With Amendment</v>
      </c>
      <c r="D2582" s="118" t="s">
        <v>140</v>
      </c>
      <c r="E2582" s="118" t="s">
        <v>180</v>
      </c>
      <c r="F2582" s="118" t="s">
        <v>46</v>
      </c>
      <c r="G2582" s="153"/>
      <c r="H2582" s="155">
        <v>-1.8614999999999999</v>
      </c>
      <c r="I2582" s="154" t="s">
        <v>62</v>
      </c>
      <c r="J2582" s="204">
        <v>-2.0600000000000002E-3</v>
      </c>
      <c r="K2582" s="154" t="s">
        <v>26</v>
      </c>
      <c r="L2582" s="154" t="str">
        <f>IF(OpenLCAbasic!K2582="CTUh", "Fill in Manually",IF(OR(K2582="Unit", K2582=""), "", INDEX(LookUps!$E$5:$E$12, MATCH(OpenLCAbasic!K2582,LookUps!$D$5:$D$12,0))))</f>
        <v>Water Use (WU) - m3 H2O</v>
      </c>
      <c r="M2582" s="154" t="str">
        <f t="shared" si="130"/>
        <v>Low_High_High_Upgraded_Water Use (WU) - m3 H2O_Land application of compost; wastewater treatment unit; at updated plant - US_Base_With Amendment_Windrow</v>
      </c>
    </row>
    <row r="2583" spans="1:13" s="120" customFormat="1" x14ac:dyDescent="0.25">
      <c r="A2583" s="119"/>
      <c r="B2583" s="138" t="str">
        <f t="shared" si="128"/>
        <v/>
      </c>
      <c r="C2583" s="138" t="str">
        <f t="shared" si="129"/>
        <v/>
      </c>
      <c r="D2583" s="138"/>
      <c r="E2583" s="138"/>
      <c r="F2583" s="138"/>
      <c r="G2583" s="153"/>
      <c r="H2583" s="160"/>
      <c r="I2583" s="160"/>
      <c r="J2583" s="207"/>
      <c r="K2583" s="160"/>
      <c r="L2583" s="154" t="str">
        <f>IF(OpenLCAbasic!K2583="CTUh", "Fill in Manually",IF(OR(K2583="Unit", K2583=""), "", INDEX(LookUps!$E$5:$E$12, MATCH(OpenLCAbasic!K2583,LookUps!$D$5:$D$12,0))))</f>
        <v/>
      </c>
      <c r="M2583" s="154" t="str">
        <f t="shared" si="130"/>
        <v>______</v>
      </c>
    </row>
    <row r="2584" spans="1:13" s="120" customFormat="1" x14ac:dyDescent="0.25">
      <c r="A2584" s="119"/>
      <c r="B2584" s="138" t="str">
        <f t="shared" si="128"/>
        <v>Windrow</v>
      </c>
      <c r="C2584" s="138" t="str">
        <f t="shared" si="129"/>
        <v>Base_With Amendment</v>
      </c>
      <c r="D2584" s="118" t="s">
        <v>133</v>
      </c>
      <c r="E2584" s="118" t="s">
        <v>181</v>
      </c>
      <c r="F2584" s="118" t="s">
        <v>46</v>
      </c>
      <c r="G2584" s="153" t="s">
        <v>51</v>
      </c>
      <c r="H2584" s="154"/>
      <c r="I2584" s="154" t="s">
        <v>47</v>
      </c>
      <c r="J2584" s="154" t="s">
        <v>52</v>
      </c>
      <c r="K2584" s="154" t="s">
        <v>27</v>
      </c>
      <c r="L2584" s="154" t="str">
        <f>IF(OpenLCAbasic!K2584="CTUh", "Fill in Manually",IF(OR(K2584="Unit", K2584=""), "", INDEX(LookUps!$E$5:$E$12, MATCH(OpenLCAbasic!K2584,LookUps!$D$5:$D$12,0))))</f>
        <v/>
      </c>
      <c r="M2584" s="154" t="str">
        <f t="shared" si="130"/>
        <v>High_Base_Low_Upgraded__Process_Base_With Amendment_Windrow</v>
      </c>
    </row>
    <row r="2585" spans="1:13" s="120" customFormat="1" x14ac:dyDescent="0.25">
      <c r="A2585" s="119"/>
      <c r="B2585" s="138" t="str">
        <f t="shared" si="128"/>
        <v>Windrow</v>
      </c>
      <c r="C2585" s="138" t="str">
        <f t="shared" si="129"/>
        <v>Base_With Amendment</v>
      </c>
      <c r="D2585" s="118" t="s">
        <v>133</v>
      </c>
      <c r="E2585" s="118" t="s">
        <v>181</v>
      </c>
      <c r="F2585" s="118" t="s">
        <v>46</v>
      </c>
      <c r="G2585" s="153"/>
      <c r="H2585" s="155">
        <v>0.81010000000000004</v>
      </c>
      <c r="I2585" s="154" t="s">
        <v>271</v>
      </c>
      <c r="J2585" s="157">
        <v>1.77807</v>
      </c>
      <c r="K2585" s="154" t="s">
        <v>23</v>
      </c>
      <c r="L2585" s="154" t="str">
        <f>IF(OpenLCAbasic!K2585="CTUh", "Fill in Manually",IF(OR(K2585="Unit", K2585=""), "", INDEX(LookUps!$E$5:$E$12, MATCH(OpenLCAbasic!K2585,LookUps!$D$5:$D$12,0))))</f>
        <v>Global Warming Potential (GWP) - kg CO2 eq</v>
      </c>
      <c r="M2585" s="154" t="str">
        <f t="shared" si="130"/>
        <v>High_Base_Low_Upgraded_Global Warming Potential (GWP) - kg CO2 eq_Biosolids composting; windrow composting; wastewater treatment unit; at updated plant - US_Base_With Amendment_Windrow</v>
      </c>
    </row>
    <row r="2586" spans="1:13" s="120" customFormat="1" x14ac:dyDescent="0.25">
      <c r="A2586" s="119"/>
      <c r="B2586" s="138" t="str">
        <f t="shared" si="128"/>
        <v>Windrow</v>
      </c>
      <c r="C2586" s="138" t="str">
        <f t="shared" si="129"/>
        <v>Base_With Amendment</v>
      </c>
      <c r="D2586" s="118" t="s">
        <v>133</v>
      </c>
      <c r="E2586" s="118" t="s">
        <v>181</v>
      </c>
      <c r="F2586" s="118" t="s">
        <v>46</v>
      </c>
      <c r="G2586" s="153"/>
      <c r="H2586" s="155">
        <v>0.1106</v>
      </c>
      <c r="I2586" s="154" t="s">
        <v>58</v>
      </c>
      <c r="J2586" s="203">
        <v>0.24279999999999999</v>
      </c>
      <c r="K2586" s="154" t="s">
        <v>23</v>
      </c>
      <c r="L2586" s="154" t="str">
        <f>IF(OpenLCAbasic!K2586="CTUh", "Fill in Manually",IF(OR(K2586="Unit", K2586=""), "", INDEX(LookUps!$E$5:$E$12, MATCH(OpenLCAbasic!K2586,LookUps!$D$5:$D$12,0))))</f>
        <v>Global Warming Potential (GWP) - kg CO2 eq</v>
      </c>
      <c r="M2586" s="154" t="str">
        <f t="shared" si="130"/>
        <v>High_Base_Low_Upgraded_Global Warming Potential (GWP) - kg CO2 eq_Pre-Anoxic &amp; Swing tank; wastewater treatment unit; at updated plant - US_Base_With Amendment_Windrow</v>
      </c>
    </row>
    <row r="2587" spans="1:13" s="120" customFormat="1" x14ac:dyDescent="0.25">
      <c r="A2587" s="119"/>
      <c r="B2587" s="138" t="str">
        <f t="shared" si="128"/>
        <v>Windrow</v>
      </c>
      <c r="C2587" s="138" t="str">
        <f t="shared" si="129"/>
        <v>Base_With Amendment</v>
      </c>
      <c r="D2587" s="118" t="s">
        <v>133</v>
      </c>
      <c r="E2587" s="118" t="s">
        <v>181</v>
      </c>
      <c r="F2587" s="118" t="s">
        <v>46</v>
      </c>
      <c r="G2587" s="153"/>
      <c r="H2587" s="155">
        <v>7.9899999999999999E-2</v>
      </c>
      <c r="I2587" s="154" t="s">
        <v>149</v>
      </c>
      <c r="J2587" s="203">
        <v>0.17544999999999999</v>
      </c>
      <c r="K2587" s="154" t="s">
        <v>23</v>
      </c>
      <c r="L2587" s="154" t="str">
        <f>IF(OpenLCAbasic!K2587="CTUh", "Fill in Manually",IF(OR(K2587="Unit", K2587=""), "", INDEX(LookUps!$E$5:$E$12, MATCH(OpenLCAbasic!K2587,LookUps!$D$5:$D$12,0))))</f>
        <v>Global Warming Potential (GWP) - kg CO2 eq</v>
      </c>
      <c r="M2587" s="154" t="str">
        <f t="shared" si="130"/>
        <v>High_Base_Low_Upgraded_Global Warming Potential (GWP) - kg CO2 eq_Anaerobic Digestion; wastewater treatment unit; at updated plant - US_Base_With Amendment_Windrow</v>
      </c>
    </row>
    <row r="2588" spans="1:13" s="120" customFormat="1" x14ac:dyDescent="0.25">
      <c r="A2588" s="119"/>
      <c r="B2588" s="138" t="str">
        <f t="shared" si="128"/>
        <v>Windrow</v>
      </c>
      <c r="C2588" s="138" t="str">
        <f t="shared" si="129"/>
        <v>Base_With Amendment</v>
      </c>
      <c r="D2588" s="118" t="s">
        <v>133</v>
      </c>
      <c r="E2588" s="118" t="s">
        <v>181</v>
      </c>
      <c r="F2588" s="118" t="s">
        <v>46</v>
      </c>
      <c r="G2588" s="153"/>
      <c r="H2588" s="155">
        <v>7.6600000000000001E-2</v>
      </c>
      <c r="I2588" s="154" t="s">
        <v>55</v>
      </c>
      <c r="J2588" s="203">
        <v>0.16822000000000001</v>
      </c>
      <c r="K2588" s="154" t="s">
        <v>23</v>
      </c>
      <c r="L2588" s="154" t="str">
        <f>IF(OpenLCAbasic!K2588="CTUh", "Fill in Manually",IF(OR(K2588="Unit", K2588=""), "", INDEX(LookUps!$E$5:$E$12, MATCH(OpenLCAbasic!K2588,LookUps!$D$5:$D$12,0))))</f>
        <v>Global Warming Potential (GWP) - kg CO2 eq</v>
      </c>
      <c r="M2588" s="154" t="str">
        <f t="shared" si="130"/>
        <v>High_Base_Low_Upgraded_Global Warming Potential (GWP) - kg CO2 eq_Aeration Tanks; wastewater treatment unit; at updated plant - US_Base_With Amendment_Windrow</v>
      </c>
    </row>
    <row r="2589" spans="1:13" s="120" customFormat="1" x14ac:dyDescent="0.25">
      <c r="A2589" s="119"/>
      <c r="B2589" s="138" t="str">
        <f t="shared" si="128"/>
        <v>Windrow</v>
      </c>
      <c r="C2589" s="138" t="str">
        <f t="shared" si="129"/>
        <v>Base_With Amendment</v>
      </c>
      <c r="D2589" s="118" t="s">
        <v>133</v>
      </c>
      <c r="E2589" s="118" t="s">
        <v>181</v>
      </c>
      <c r="F2589" s="118" t="s">
        <v>46</v>
      </c>
      <c r="G2589" s="153"/>
      <c r="H2589" s="155">
        <v>4.6699999999999998E-2</v>
      </c>
      <c r="I2589" s="154" t="s">
        <v>167</v>
      </c>
      <c r="J2589" s="203">
        <v>0.10241</v>
      </c>
      <c r="K2589" s="154" t="s">
        <v>23</v>
      </c>
      <c r="L2589" s="154" t="str">
        <f>IF(OpenLCAbasic!K2589="CTUh", "Fill in Manually",IF(OR(K2589="Unit", K2589=""), "", INDEX(LookUps!$E$5:$E$12, MATCH(OpenLCAbasic!K2589,LookUps!$D$5:$D$12,0))))</f>
        <v>Global Warming Potential (GWP) - kg CO2 eq</v>
      </c>
      <c r="M2589" s="154" t="str">
        <f t="shared" si="130"/>
        <v>High_Base_Low_Upgraded_Global Warming Potential (GWP) - kg CO2 eq_Waste Receiving and Holding; wastewater treatment unit; at updated plant - US_Base_With Amendment_Windrow</v>
      </c>
    </row>
    <row r="2590" spans="1:13" s="120" customFormat="1" x14ac:dyDescent="0.25">
      <c r="A2590" s="119"/>
      <c r="B2590" s="138" t="str">
        <f t="shared" si="128"/>
        <v>Windrow</v>
      </c>
      <c r="C2590" s="138" t="str">
        <f t="shared" si="129"/>
        <v>Base_With Amendment</v>
      </c>
      <c r="D2590" s="118" t="s">
        <v>133</v>
      </c>
      <c r="E2590" s="118" t="s">
        <v>181</v>
      </c>
      <c r="F2590" s="118" t="s">
        <v>46</v>
      </c>
      <c r="G2590" s="153"/>
      <c r="H2590" s="155">
        <v>2.5999999999999999E-2</v>
      </c>
      <c r="I2590" s="154" t="s">
        <v>54</v>
      </c>
      <c r="J2590" s="203">
        <v>5.7079999999999999E-2</v>
      </c>
      <c r="K2590" s="154" t="s">
        <v>23</v>
      </c>
      <c r="L2590" s="154" t="str">
        <f>IF(OpenLCAbasic!K2590="CTUh", "Fill in Manually",IF(OR(K2590="Unit", K2590=""), "", INDEX(LookUps!$E$5:$E$12, MATCH(OpenLCAbasic!K2590,LookUps!$D$5:$D$12,0))))</f>
        <v>Global Warming Potential (GWP) - kg CO2 eq</v>
      </c>
      <c r="M2590" s="154" t="str">
        <f t="shared" si="130"/>
        <v>High_Base_Low_Upgraded_Global Warming Potential (GWP) - kg CO2 eq_Clear Cove Primary Clarification; wastewater treatment unit; at updated plant - US_Base_With Amendment_Windrow</v>
      </c>
    </row>
    <row r="2591" spans="1:13" s="120" customFormat="1" x14ac:dyDescent="0.25">
      <c r="A2591" s="119"/>
      <c r="B2591" s="138" t="str">
        <f t="shared" si="128"/>
        <v>Windrow</v>
      </c>
      <c r="C2591" s="138" t="str">
        <f t="shared" si="129"/>
        <v>Base_With Amendment</v>
      </c>
      <c r="D2591" s="118" t="s">
        <v>133</v>
      </c>
      <c r="E2591" s="118" t="s">
        <v>181</v>
      </c>
      <c r="F2591" s="118" t="s">
        <v>46</v>
      </c>
      <c r="G2591" s="153"/>
      <c r="H2591" s="155">
        <v>2.4E-2</v>
      </c>
      <c r="I2591" s="154" t="s">
        <v>48</v>
      </c>
      <c r="J2591" s="203">
        <v>5.2639999999999999E-2</v>
      </c>
      <c r="K2591" s="154" t="s">
        <v>23</v>
      </c>
      <c r="L2591" s="154" t="str">
        <f>IF(OpenLCAbasic!K2591="CTUh", "Fill in Manually",IF(OR(K2591="Unit", K2591=""), "", INDEX(LookUps!$E$5:$E$12, MATCH(OpenLCAbasic!K2591,LookUps!$D$5:$D$12,0))))</f>
        <v>Global Warming Potential (GWP) - kg CO2 eq</v>
      </c>
      <c r="M2591" s="154" t="str">
        <f t="shared" si="130"/>
        <v>High_Base_Low_Upgraded_Global Warming Potential (GWP) - kg CO2 eq_Effluent release; wastewater treatment unit; at surface water; m3 wastewater - US_Base_With Amendment_Windrow</v>
      </c>
    </row>
    <row r="2592" spans="1:13" s="120" customFormat="1" x14ac:dyDescent="0.25">
      <c r="A2592" s="119"/>
      <c r="B2592" s="138" t="str">
        <f t="shared" si="128"/>
        <v>Windrow</v>
      </c>
      <c r="C2592" s="138" t="str">
        <f t="shared" si="129"/>
        <v>Base_With Amendment</v>
      </c>
      <c r="D2592" s="118" t="s">
        <v>133</v>
      </c>
      <c r="E2592" s="118" t="s">
        <v>181</v>
      </c>
      <c r="F2592" s="118" t="s">
        <v>46</v>
      </c>
      <c r="G2592" s="153"/>
      <c r="H2592" s="155">
        <v>2.3E-2</v>
      </c>
      <c r="I2592" s="154" t="s">
        <v>147</v>
      </c>
      <c r="J2592" s="203">
        <v>5.0500000000000003E-2</v>
      </c>
      <c r="K2592" s="154" t="s">
        <v>23</v>
      </c>
      <c r="L2592" s="154" t="str">
        <f>IF(OpenLCAbasic!K2592="CTUh", "Fill in Manually",IF(OR(K2592="Unit", K2592=""), "", INDEX(LookUps!$E$5:$E$12, MATCH(OpenLCAbasic!K2592,LookUps!$D$5:$D$12,0))))</f>
        <v>Global Warming Potential (GWP) - kg CO2 eq</v>
      </c>
      <c r="M2592" s="154" t="str">
        <f t="shared" si="130"/>
        <v>High_Base_Low_Upgraded_Global Warming Potential (GWP) - kg CO2 eq_Influent Pump Station; wastewater treatment unit; at updated plant - US_Base_With Amendment_Windrow</v>
      </c>
    </row>
    <row r="2593" spans="1:13" s="120" customFormat="1" x14ac:dyDescent="0.25">
      <c r="A2593" s="119"/>
      <c r="B2593" s="138" t="str">
        <f t="shared" si="128"/>
        <v>Windrow</v>
      </c>
      <c r="C2593" s="138" t="str">
        <f t="shared" si="129"/>
        <v>Base_With Amendment</v>
      </c>
      <c r="D2593" s="118" t="s">
        <v>133</v>
      </c>
      <c r="E2593" s="118" t="s">
        <v>181</v>
      </c>
      <c r="F2593" s="118" t="s">
        <v>46</v>
      </c>
      <c r="G2593" s="153"/>
      <c r="H2593" s="155">
        <v>1.52E-2</v>
      </c>
      <c r="I2593" s="154" t="s">
        <v>53</v>
      </c>
      <c r="J2593" s="203">
        <v>3.3259999999999998E-2</v>
      </c>
      <c r="K2593" s="154" t="s">
        <v>23</v>
      </c>
      <c r="L2593" s="154" t="str">
        <f>IF(OpenLCAbasic!K2593="CTUh", "Fill in Manually",IF(OR(K2593="Unit", K2593=""), "", INDEX(LookUps!$E$5:$E$12, MATCH(OpenLCAbasic!K2593,LookUps!$D$5:$D$12,0))))</f>
        <v>Global Warming Potential (GWP) - kg CO2 eq</v>
      </c>
      <c r="M2593" s="154" t="str">
        <f t="shared" si="130"/>
        <v>High_Base_Low_Upgraded_Global Warming Potential (GWP) - kg CO2 eq_Wet Well and Sump Station; wastewater treatment unit; at updated plant - US_Base_With Amendment_Windrow</v>
      </c>
    </row>
    <row r="2594" spans="1:13" s="120" customFormat="1" x14ac:dyDescent="0.25">
      <c r="A2594" s="119"/>
      <c r="B2594" s="138" t="str">
        <f t="shared" si="128"/>
        <v>Windrow</v>
      </c>
      <c r="C2594" s="138" t="str">
        <f t="shared" si="129"/>
        <v>Base_With Amendment</v>
      </c>
      <c r="D2594" s="118" t="s">
        <v>133</v>
      </c>
      <c r="E2594" s="118" t="s">
        <v>181</v>
      </c>
      <c r="F2594" s="118" t="s">
        <v>46</v>
      </c>
      <c r="G2594" s="153"/>
      <c r="H2594" s="155">
        <v>6.6E-3</v>
      </c>
      <c r="I2594" s="154" t="s">
        <v>57</v>
      </c>
      <c r="J2594" s="203">
        <v>1.455E-2</v>
      </c>
      <c r="K2594" s="154" t="s">
        <v>23</v>
      </c>
      <c r="L2594" s="154" t="str">
        <f>IF(OpenLCAbasic!K2594="CTUh", "Fill in Manually",IF(OR(K2594="Unit", K2594=""), "", INDEX(LookUps!$E$5:$E$12, MATCH(OpenLCAbasic!K2594,LookUps!$D$5:$D$12,0))))</f>
        <v>Global Warming Potential (GWP) - kg CO2 eq</v>
      </c>
      <c r="M2594" s="154" t="str">
        <f t="shared" si="130"/>
        <v>High_Base_Low_Upgraded_Global Warming Potential (GWP) - kg CO2 eq_Gravity Belt Thickener; wastewater treatment unit; at updated plant - US_Base_With Amendment_Windrow</v>
      </c>
    </row>
    <row r="2595" spans="1:13" s="120" customFormat="1" x14ac:dyDescent="0.25">
      <c r="A2595" s="119"/>
      <c r="B2595" s="138" t="str">
        <f t="shared" si="128"/>
        <v>Windrow</v>
      </c>
      <c r="C2595" s="138" t="str">
        <f t="shared" si="129"/>
        <v>Base_With Amendment</v>
      </c>
      <c r="D2595" s="118" t="s">
        <v>133</v>
      </c>
      <c r="E2595" s="118" t="s">
        <v>181</v>
      </c>
      <c r="F2595" s="118" t="s">
        <v>46</v>
      </c>
      <c r="G2595" s="153"/>
      <c r="H2595" s="155">
        <v>6.4999999999999997E-3</v>
      </c>
      <c r="I2595" s="154" t="s">
        <v>60</v>
      </c>
      <c r="J2595" s="203">
        <v>1.418E-2</v>
      </c>
      <c r="K2595" s="154" t="s">
        <v>23</v>
      </c>
      <c r="L2595" s="154" t="str">
        <f>IF(OpenLCAbasic!K2595="CTUh", "Fill in Manually",IF(OR(K2595="Unit", K2595=""), "", INDEX(LookUps!$E$5:$E$12, MATCH(OpenLCAbasic!K2595,LookUps!$D$5:$D$12,0))))</f>
        <v>Global Warming Potential (GWP) - kg CO2 eq</v>
      </c>
      <c r="M2595" s="154" t="str">
        <f t="shared" si="130"/>
        <v>High_Base_Low_Upgraded_Global Warming Potential (GWP) - kg CO2 eq_Belt filter press; wastewater treatment unit; at updated plant - US_Base_With Amendment_Windrow</v>
      </c>
    </row>
    <row r="2596" spans="1:13" s="120" customFormat="1" x14ac:dyDescent="0.25">
      <c r="A2596" s="119"/>
      <c r="B2596" s="138" t="str">
        <f t="shared" si="128"/>
        <v>Windrow</v>
      </c>
      <c r="C2596" s="138" t="str">
        <f t="shared" si="129"/>
        <v>Base_With Amendment</v>
      </c>
      <c r="D2596" s="118" t="s">
        <v>133</v>
      </c>
      <c r="E2596" s="118" t="s">
        <v>181</v>
      </c>
      <c r="F2596" s="118" t="s">
        <v>46</v>
      </c>
      <c r="G2596" s="153"/>
      <c r="H2596" s="155">
        <v>6.1999999999999998E-3</v>
      </c>
      <c r="I2596" s="154" t="s">
        <v>128</v>
      </c>
      <c r="J2596" s="204">
        <v>1.3509999999999999E-2</v>
      </c>
      <c r="K2596" s="154" t="s">
        <v>23</v>
      </c>
      <c r="L2596" s="154" t="str">
        <f>IF(OpenLCAbasic!K2596="CTUh", "Fill in Manually",IF(OR(K2596="Unit", K2596=""), "", INDEX(LookUps!$E$5:$E$12, MATCH(OpenLCAbasic!K2596,LookUps!$D$5:$D$12,0))))</f>
        <v>Global Warming Potential (GWP) - kg CO2 eq</v>
      </c>
      <c r="M2596" s="154" t="str">
        <f t="shared" si="130"/>
        <v>High_Base_Low_Upgraded_Global Warming Potential (GWP) - kg CO2 eq_Wastewater collection; operation and infrastructure; m3 wastewater_Base_With Amendment_Windrow</v>
      </c>
    </row>
    <row r="2597" spans="1:13" s="120" customFormat="1" x14ac:dyDescent="0.25">
      <c r="A2597" s="119"/>
      <c r="B2597" s="138" t="str">
        <f t="shared" si="128"/>
        <v>Windrow</v>
      </c>
      <c r="C2597" s="138" t="str">
        <f t="shared" si="129"/>
        <v>Base_With Amendment</v>
      </c>
      <c r="D2597" s="118" t="s">
        <v>133</v>
      </c>
      <c r="E2597" s="118" t="s">
        <v>181</v>
      </c>
      <c r="F2597" s="118" t="s">
        <v>46</v>
      </c>
      <c r="G2597" s="153"/>
      <c r="H2597" s="155">
        <v>3.8E-3</v>
      </c>
      <c r="I2597" s="154" t="s">
        <v>148</v>
      </c>
      <c r="J2597" s="204">
        <v>8.3000000000000001E-3</v>
      </c>
      <c r="K2597" s="154" t="s">
        <v>23</v>
      </c>
      <c r="L2597" s="154" t="str">
        <f>IF(OpenLCAbasic!K2597="CTUh", "Fill in Manually",IF(OR(K2597="Unit", K2597=""), "", INDEX(LookUps!$E$5:$E$12, MATCH(OpenLCAbasic!K2597,LookUps!$D$5:$D$12,0))))</f>
        <v>Global Warming Potential (GWP) - kg CO2 eq</v>
      </c>
      <c r="M2597" s="154" t="str">
        <f t="shared" si="130"/>
        <v>High_Base_Low_Upgraded_Global Warming Potential (GWP) - kg CO2 eq_Control Building; at upgraded wastewater treatment plant - US_Base_With Amendment_Windrow</v>
      </c>
    </row>
    <row r="2598" spans="1:13" s="120" customFormat="1" x14ac:dyDescent="0.25">
      <c r="A2598" s="119"/>
      <c r="B2598" s="138" t="str">
        <f t="shared" si="128"/>
        <v>Windrow</v>
      </c>
      <c r="C2598" s="138" t="str">
        <f t="shared" si="129"/>
        <v>Base_With Amendment</v>
      </c>
      <c r="D2598" s="118" t="s">
        <v>133</v>
      </c>
      <c r="E2598" s="118" t="s">
        <v>181</v>
      </c>
      <c r="F2598" s="118" t="s">
        <v>46</v>
      </c>
      <c r="G2598" s="153"/>
      <c r="H2598" s="155">
        <v>2.3E-3</v>
      </c>
      <c r="I2598" s="154" t="s">
        <v>59</v>
      </c>
      <c r="J2598" s="204">
        <v>5.0400000000000002E-3</v>
      </c>
      <c r="K2598" s="154" t="s">
        <v>23</v>
      </c>
      <c r="L2598" s="154" t="str">
        <f>IF(OpenLCAbasic!K2598="CTUh", "Fill in Manually",IF(OR(K2598="Unit", K2598=""), "", INDEX(LookUps!$E$5:$E$12, MATCH(OpenLCAbasic!K2598,LookUps!$D$5:$D$12,0))))</f>
        <v>Global Warming Potential (GWP) - kg CO2 eq</v>
      </c>
      <c r="M2598" s="154" t="str">
        <f t="shared" si="130"/>
        <v>High_Base_Low_Upgraded_Global Warming Potential (GWP) - kg CO2 eq_Blend Tank; wastewater treatment unit; at updated plant - US_Base_With Amendment_Windrow</v>
      </c>
    </row>
    <row r="2599" spans="1:13" s="120" customFormat="1" x14ac:dyDescent="0.25">
      <c r="A2599" s="119"/>
      <c r="B2599" s="138" t="str">
        <f t="shared" si="128"/>
        <v>Windrow</v>
      </c>
      <c r="C2599" s="138" t="str">
        <f t="shared" si="129"/>
        <v>Base_With Amendment</v>
      </c>
      <c r="D2599" s="118" t="s">
        <v>133</v>
      </c>
      <c r="E2599" s="118" t="s">
        <v>181</v>
      </c>
      <c r="F2599" s="118" t="s">
        <v>46</v>
      </c>
      <c r="G2599" s="153"/>
      <c r="H2599" s="155">
        <v>1.1000000000000001E-3</v>
      </c>
      <c r="I2599" s="154" t="s">
        <v>168</v>
      </c>
      <c r="J2599" s="204">
        <v>2.4099999999999998E-3</v>
      </c>
      <c r="K2599" s="154" t="s">
        <v>23</v>
      </c>
      <c r="L2599" s="154" t="str">
        <f>IF(OpenLCAbasic!K2599="CTUh", "Fill in Manually",IF(OR(K2599="Unit", K2599=""), "", INDEX(LookUps!$E$5:$E$12, MATCH(OpenLCAbasic!K2599,LookUps!$D$5:$D$12,0))))</f>
        <v>Global Warming Potential (GWP) - kg CO2 eq</v>
      </c>
      <c r="M2599" s="154" t="str">
        <f t="shared" si="130"/>
        <v>High_Base_Low_Upgraded_Global Warming Potential (GWP) - kg CO2 eq_ClearCove SCP; wastewater treatment unit; at updated plant - US_Base_With Amendment_Windrow</v>
      </c>
    </row>
    <row r="2600" spans="1:13" s="120" customFormat="1" x14ac:dyDescent="0.25">
      <c r="A2600" s="119"/>
      <c r="B2600" s="138" t="str">
        <f t="shared" si="128"/>
        <v>Windrow</v>
      </c>
      <c r="C2600" s="138" t="str">
        <f t="shared" si="129"/>
        <v>Base_With Amendment</v>
      </c>
      <c r="D2600" s="118" t="s">
        <v>133</v>
      </c>
      <c r="E2600" s="118" t="s">
        <v>181</v>
      </c>
      <c r="F2600" s="118" t="s">
        <v>46</v>
      </c>
      <c r="G2600" s="153"/>
      <c r="H2600" s="155">
        <v>-0.23860000000000001</v>
      </c>
      <c r="I2600" s="154" t="s">
        <v>62</v>
      </c>
      <c r="J2600" s="203">
        <v>-0.52361000000000002</v>
      </c>
      <c r="K2600" s="154" t="s">
        <v>23</v>
      </c>
      <c r="L2600" s="154" t="str">
        <f>IF(OpenLCAbasic!K2600="CTUh", "Fill in Manually",IF(OR(K2600="Unit", K2600=""), "", INDEX(LookUps!$E$5:$E$12, MATCH(OpenLCAbasic!K2600,LookUps!$D$5:$D$12,0))))</f>
        <v>Global Warming Potential (GWP) - kg CO2 eq</v>
      </c>
      <c r="M2600" s="154" t="str">
        <f t="shared" si="130"/>
        <v>High_Base_Low_Upgraded_Global Warming Potential (GWP) - kg CO2 eq_Land application of compost; wastewater treatment unit; at updated plant - US_Base_With Amendment_Windrow</v>
      </c>
    </row>
    <row r="2601" spans="1:13" s="120" customFormat="1" x14ac:dyDescent="0.25">
      <c r="A2601" s="119"/>
      <c r="B2601" s="138" t="str">
        <f t="shared" si="128"/>
        <v>Windrow</v>
      </c>
      <c r="C2601" s="138" t="str">
        <f t="shared" si="129"/>
        <v>Base_With Amendment</v>
      </c>
      <c r="D2601" s="118" t="s">
        <v>133</v>
      </c>
      <c r="E2601" s="118" t="s">
        <v>181</v>
      </c>
      <c r="F2601" s="118" t="s">
        <v>46</v>
      </c>
      <c r="G2601" s="153" t="s">
        <v>51</v>
      </c>
      <c r="H2601" s="154"/>
      <c r="I2601" s="154" t="s">
        <v>47</v>
      </c>
      <c r="J2601" s="154" t="s">
        <v>52</v>
      </c>
      <c r="K2601" s="154" t="s">
        <v>27</v>
      </c>
      <c r="L2601" s="154" t="str">
        <f>IF(OpenLCAbasic!K2601="CTUh", "Fill in Manually",IF(OR(K2601="Unit", K2601=""), "", INDEX(LookUps!$E$5:$E$12, MATCH(OpenLCAbasic!K2601,LookUps!$D$5:$D$12,0))))</f>
        <v/>
      </c>
      <c r="M2601" s="154" t="str">
        <f t="shared" si="130"/>
        <v>High_Base_Low_Upgraded__Process_Base_With Amendment_Windrow</v>
      </c>
    </row>
    <row r="2602" spans="1:13" s="120" customFormat="1" x14ac:dyDescent="0.25">
      <c r="A2602" s="119"/>
      <c r="B2602" s="138" t="str">
        <f t="shared" si="128"/>
        <v>Windrow</v>
      </c>
      <c r="C2602" s="138" t="str">
        <f t="shared" si="129"/>
        <v>Base_With Amendment</v>
      </c>
      <c r="D2602" s="118" t="s">
        <v>133</v>
      </c>
      <c r="E2602" s="118" t="s">
        <v>181</v>
      </c>
      <c r="F2602" s="118" t="s">
        <v>46</v>
      </c>
      <c r="G2602" s="153"/>
      <c r="H2602" s="155">
        <v>0.7147</v>
      </c>
      <c r="I2602" s="154" t="s">
        <v>48</v>
      </c>
      <c r="J2602" s="203">
        <v>1.1610000000000001E-2</v>
      </c>
      <c r="K2602" s="154" t="s">
        <v>13</v>
      </c>
      <c r="L2602" s="154" t="str">
        <f>IF(OpenLCAbasic!K2602="CTUh", "Fill in Manually",IF(OR(K2602="Unit", K2602=""), "", INDEX(LookUps!$E$5:$E$12, MATCH(OpenLCAbasic!K2602,LookUps!$D$5:$D$12,0))))</f>
        <v>Eutrophication Potential (EP) - kg N eq</v>
      </c>
      <c r="M2602" s="154" t="str">
        <f t="shared" si="130"/>
        <v>High_Base_Low_Upgraded_Eutrophication Potential (EP) - kg N eq_Effluent release; wastewater treatment unit; at surface water; m3 wastewater - US_Base_With Amendment_Windrow</v>
      </c>
    </row>
    <row r="2603" spans="1:13" s="120" customFormat="1" x14ac:dyDescent="0.25">
      <c r="A2603" s="119"/>
      <c r="B2603" s="138" t="str">
        <f t="shared" si="128"/>
        <v>Windrow</v>
      </c>
      <c r="C2603" s="138" t="str">
        <f t="shared" si="129"/>
        <v>Base_With Amendment</v>
      </c>
      <c r="D2603" s="118" t="s">
        <v>133</v>
      </c>
      <c r="E2603" s="118" t="s">
        <v>181</v>
      </c>
      <c r="F2603" s="118" t="s">
        <v>46</v>
      </c>
      <c r="G2603" s="153"/>
      <c r="H2603" s="155">
        <v>0.1348</v>
      </c>
      <c r="I2603" s="154" t="s">
        <v>62</v>
      </c>
      <c r="J2603" s="204">
        <v>2.1900000000000001E-3</v>
      </c>
      <c r="K2603" s="154" t="s">
        <v>13</v>
      </c>
      <c r="L2603" s="154" t="str">
        <f>IF(OpenLCAbasic!K2603="CTUh", "Fill in Manually",IF(OR(K2603="Unit", K2603=""), "", INDEX(LookUps!$E$5:$E$12, MATCH(OpenLCAbasic!K2603,LookUps!$D$5:$D$12,0))))</f>
        <v>Eutrophication Potential (EP) - kg N eq</v>
      </c>
      <c r="M2603" s="154" t="str">
        <f t="shared" si="130"/>
        <v>High_Base_Low_Upgraded_Eutrophication Potential (EP) - kg N eq_Land application of compost; wastewater treatment unit; at updated plant - US_Base_With Amendment_Windrow</v>
      </c>
    </row>
    <row r="2604" spans="1:13" s="120" customFormat="1" x14ac:dyDescent="0.25">
      <c r="A2604" s="119"/>
      <c r="B2604" s="138" t="str">
        <f t="shared" si="128"/>
        <v>Windrow</v>
      </c>
      <c r="C2604" s="138" t="str">
        <f t="shared" si="129"/>
        <v>Base_With Amendment</v>
      </c>
      <c r="D2604" s="118" t="s">
        <v>133</v>
      </c>
      <c r="E2604" s="118" t="s">
        <v>181</v>
      </c>
      <c r="F2604" s="118" t="s">
        <v>46</v>
      </c>
      <c r="G2604" s="153"/>
      <c r="H2604" s="155">
        <v>4.53E-2</v>
      </c>
      <c r="I2604" s="154" t="s">
        <v>271</v>
      </c>
      <c r="J2604" s="204">
        <v>7.3999999999999999E-4</v>
      </c>
      <c r="K2604" s="154" t="s">
        <v>13</v>
      </c>
      <c r="L2604" s="154" t="str">
        <f>IF(OpenLCAbasic!K2604="CTUh", "Fill in Manually",IF(OR(K2604="Unit", K2604=""), "", INDEX(LookUps!$E$5:$E$12, MATCH(OpenLCAbasic!K2604,LookUps!$D$5:$D$12,0))))</f>
        <v>Eutrophication Potential (EP) - kg N eq</v>
      </c>
      <c r="M2604" s="154" t="str">
        <f t="shared" si="130"/>
        <v>High_Base_Low_Upgraded_Eutrophication Potential (EP) - kg N eq_Biosolids composting; windrow composting; wastewater treatment unit; at updated plant - US_Base_With Amendment_Windrow</v>
      </c>
    </row>
    <row r="2605" spans="1:13" s="120" customFormat="1" x14ac:dyDescent="0.25">
      <c r="A2605" s="119"/>
      <c r="B2605" s="138" t="str">
        <f t="shared" si="128"/>
        <v>Windrow</v>
      </c>
      <c r="C2605" s="138" t="str">
        <f t="shared" si="129"/>
        <v>Base_With Amendment</v>
      </c>
      <c r="D2605" s="118" t="s">
        <v>133</v>
      </c>
      <c r="E2605" s="118" t="s">
        <v>181</v>
      </c>
      <c r="F2605" s="118" t="s">
        <v>46</v>
      </c>
      <c r="G2605" s="153"/>
      <c r="H2605" s="155">
        <v>3.3599999999999998E-2</v>
      </c>
      <c r="I2605" s="154" t="s">
        <v>55</v>
      </c>
      <c r="J2605" s="204">
        <v>5.5000000000000003E-4</v>
      </c>
      <c r="K2605" s="154" t="s">
        <v>13</v>
      </c>
      <c r="L2605" s="154" t="str">
        <f>IF(OpenLCAbasic!K2605="CTUh", "Fill in Manually",IF(OR(K2605="Unit", K2605=""), "", INDEX(LookUps!$E$5:$E$12, MATCH(OpenLCAbasic!K2605,LookUps!$D$5:$D$12,0))))</f>
        <v>Eutrophication Potential (EP) - kg N eq</v>
      </c>
      <c r="M2605" s="154" t="str">
        <f t="shared" si="130"/>
        <v>High_Base_Low_Upgraded_Eutrophication Potential (EP) - kg N eq_Aeration Tanks; wastewater treatment unit; at updated plant - US_Base_With Amendment_Windrow</v>
      </c>
    </row>
    <row r="2606" spans="1:13" s="120" customFormat="1" x14ac:dyDescent="0.25">
      <c r="A2606" s="119"/>
      <c r="B2606" s="138" t="str">
        <f t="shared" si="128"/>
        <v>Windrow</v>
      </c>
      <c r="C2606" s="138" t="str">
        <f t="shared" si="129"/>
        <v>Base_With Amendment</v>
      </c>
      <c r="D2606" s="118" t="s">
        <v>133</v>
      </c>
      <c r="E2606" s="118" t="s">
        <v>181</v>
      </c>
      <c r="F2606" s="118" t="s">
        <v>46</v>
      </c>
      <c r="G2606" s="153"/>
      <c r="H2606" s="155">
        <v>1.54E-2</v>
      </c>
      <c r="I2606" s="154" t="s">
        <v>147</v>
      </c>
      <c r="J2606" s="204">
        <v>2.5000000000000001E-4</v>
      </c>
      <c r="K2606" s="154" t="s">
        <v>13</v>
      </c>
      <c r="L2606" s="154" t="str">
        <f>IF(OpenLCAbasic!K2606="CTUh", "Fill in Manually",IF(OR(K2606="Unit", K2606=""), "", INDEX(LookUps!$E$5:$E$12, MATCH(OpenLCAbasic!K2606,LookUps!$D$5:$D$12,0))))</f>
        <v>Eutrophication Potential (EP) - kg N eq</v>
      </c>
      <c r="M2606" s="154" t="str">
        <f t="shared" si="130"/>
        <v>High_Base_Low_Upgraded_Eutrophication Potential (EP) - kg N eq_Influent Pump Station; wastewater treatment unit; at updated plant - US_Base_With Amendment_Windrow</v>
      </c>
    </row>
    <row r="2607" spans="1:13" s="120" customFormat="1" x14ac:dyDescent="0.25">
      <c r="A2607" s="119"/>
      <c r="B2607" s="138" t="str">
        <f t="shared" si="128"/>
        <v>Windrow</v>
      </c>
      <c r="C2607" s="138" t="str">
        <f t="shared" si="129"/>
        <v>Base_With Amendment</v>
      </c>
      <c r="D2607" s="118" t="s">
        <v>133</v>
      </c>
      <c r="E2607" s="118" t="s">
        <v>181</v>
      </c>
      <c r="F2607" s="118" t="s">
        <v>46</v>
      </c>
      <c r="G2607" s="153"/>
      <c r="H2607" s="155">
        <v>1.2200000000000001E-2</v>
      </c>
      <c r="I2607" s="154" t="s">
        <v>54</v>
      </c>
      <c r="J2607" s="204">
        <v>2.0000000000000001E-4</v>
      </c>
      <c r="K2607" s="154" t="s">
        <v>13</v>
      </c>
      <c r="L2607" s="154" t="str">
        <f>IF(OpenLCAbasic!K2607="CTUh", "Fill in Manually",IF(OR(K2607="Unit", K2607=""), "", INDEX(LookUps!$E$5:$E$12, MATCH(OpenLCAbasic!K2607,LookUps!$D$5:$D$12,0))))</f>
        <v>Eutrophication Potential (EP) - kg N eq</v>
      </c>
      <c r="M2607" s="154" t="str">
        <f t="shared" si="130"/>
        <v>High_Base_Low_Upgraded_Eutrophication Potential (EP) - kg N eq_Clear Cove Primary Clarification; wastewater treatment unit; at updated plant - US_Base_With Amendment_Windrow</v>
      </c>
    </row>
    <row r="2608" spans="1:13" s="120" customFormat="1" x14ac:dyDescent="0.25">
      <c r="A2608" s="119"/>
      <c r="B2608" s="138" t="str">
        <f t="shared" si="128"/>
        <v>Windrow</v>
      </c>
      <c r="C2608" s="138" t="str">
        <f t="shared" si="129"/>
        <v>Base_With Amendment</v>
      </c>
      <c r="D2608" s="118" t="s">
        <v>133</v>
      </c>
      <c r="E2608" s="118" t="s">
        <v>181</v>
      </c>
      <c r="F2608" s="118" t="s">
        <v>46</v>
      </c>
      <c r="G2608" s="153"/>
      <c r="H2608" s="155">
        <v>1.01E-2</v>
      </c>
      <c r="I2608" s="154" t="s">
        <v>167</v>
      </c>
      <c r="J2608" s="204">
        <v>1.6000000000000001E-4</v>
      </c>
      <c r="K2608" s="154" t="s">
        <v>13</v>
      </c>
      <c r="L2608" s="154" t="str">
        <f>IF(OpenLCAbasic!K2608="CTUh", "Fill in Manually",IF(OR(K2608="Unit", K2608=""), "", INDEX(LookUps!$E$5:$E$12, MATCH(OpenLCAbasic!K2608,LookUps!$D$5:$D$12,0))))</f>
        <v>Eutrophication Potential (EP) - kg N eq</v>
      </c>
      <c r="M2608" s="154" t="str">
        <f t="shared" si="130"/>
        <v>High_Base_Low_Upgraded_Eutrophication Potential (EP) - kg N eq_Waste Receiving and Holding; wastewater treatment unit; at updated plant - US_Base_With Amendment_Windrow</v>
      </c>
    </row>
    <row r="2609" spans="1:13" s="120" customFormat="1" x14ac:dyDescent="0.25">
      <c r="A2609" s="119"/>
      <c r="B2609" s="138" t="str">
        <f t="shared" si="128"/>
        <v>Windrow</v>
      </c>
      <c r="C2609" s="138" t="str">
        <f t="shared" si="129"/>
        <v>Base_With Amendment</v>
      </c>
      <c r="D2609" s="118" t="s">
        <v>133</v>
      </c>
      <c r="E2609" s="118" t="s">
        <v>181</v>
      </c>
      <c r="F2609" s="118" t="s">
        <v>46</v>
      </c>
      <c r="G2609" s="153"/>
      <c r="H2609" s="155">
        <v>8.3000000000000001E-3</v>
      </c>
      <c r="I2609" s="154" t="s">
        <v>58</v>
      </c>
      <c r="J2609" s="204">
        <v>1.3999999999999999E-4</v>
      </c>
      <c r="K2609" s="154" t="s">
        <v>13</v>
      </c>
      <c r="L2609" s="154" t="str">
        <f>IF(OpenLCAbasic!K2609="CTUh", "Fill in Manually",IF(OR(K2609="Unit", K2609=""), "", INDEX(LookUps!$E$5:$E$12, MATCH(OpenLCAbasic!K2609,LookUps!$D$5:$D$12,0))))</f>
        <v>Eutrophication Potential (EP) - kg N eq</v>
      </c>
      <c r="M2609" s="154" t="str">
        <f t="shared" si="130"/>
        <v>High_Base_Low_Upgraded_Eutrophication Potential (EP) - kg N eq_Pre-Anoxic &amp; Swing tank; wastewater treatment unit; at updated plant - US_Base_With Amendment_Windrow</v>
      </c>
    </row>
    <row r="2610" spans="1:13" s="120" customFormat="1" x14ac:dyDescent="0.25">
      <c r="A2610" s="119"/>
      <c r="B2610" s="138" t="str">
        <f t="shared" si="128"/>
        <v>Windrow</v>
      </c>
      <c r="C2610" s="138" t="str">
        <f t="shared" si="129"/>
        <v>Base_With Amendment</v>
      </c>
      <c r="D2610" s="118" t="s">
        <v>133</v>
      </c>
      <c r="E2610" s="118" t="s">
        <v>181</v>
      </c>
      <c r="F2610" s="118" t="s">
        <v>46</v>
      </c>
      <c r="G2610" s="153"/>
      <c r="H2610" s="155">
        <v>6.6E-3</v>
      </c>
      <c r="I2610" s="154" t="s">
        <v>53</v>
      </c>
      <c r="J2610" s="204">
        <v>1.1E-4</v>
      </c>
      <c r="K2610" s="154" t="s">
        <v>13</v>
      </c>
      <c r="L2610" s="154" t="str">
        <f>IF(OpenLCAbasic!K2610="CTUh", "Fill in Manually",IF(OR(K2610="Unit", K2610=""), "", INDEX(LookUps!$E$5:$E$12, MATCH(OpenLCAbasic!K2610,LookUps!$D$5:$D$12,0))))</f>
        <v>Eutrophication Potential (EP) - kg N eq</v>
      </c>
      <c r="M2610" s="154" t="str">
        <f t="shared" si="130"/>
        <v>High_Base_Low_Upgraded_Eutrophication Potential (EP) - kg N eq_Wet Well and Sump Station; wastewater treatment unit; at updated plant - US_Base_With Amendment_Windrow</v>
      </c>
    </row>
    <row r="2611" spans="1:13" s="120" customFormat="1" x14ac:dyDescent="0.25">
      <c r="A2611" s="119"/>
      <c r="B2611" s="138" t="str">
        <f t="shared" si="128"/>
        <v>Windrow</v>
      </c>
      <c r="C2611" s="138" t="str">
        <f t="shared" si="129"/>
        <v>Base_With Amendment</v>
      </c>
      <c r="D2611" s="118" t="s">
        <v>133</v>
      </c>
      <c r="E2611" s="118" t="s">
        <v>181</v>
      </c>
      <c r="F2611" s="118" t="s">
        <v>46</v>
      </c>
      <c r="G2611" s="153"/>
      <c r="H2611" s="155">
        <v>5.7000000000000002E-3</v>
      </c>
      <c r="I2611" s="154" t="s">
        <v>149</v>
      </c>
      <c r="J2611" s="204">
        <v>9.1798299999999998E-5</v>
      </c>
      <c r="K2611" s="154" t="s">
        <v>13</v>
      </c>
      <c r="L2611" s="154" t="str">
        <f>IF(OpenLCAbasic!K2611="CTUh", "Fill in Manually",IF(OR(K2611="Unit", K2611=""), "", INDEX(LookUps!$E$5:$E$12, MATCH(OpenLCAbasic!K2611,LookUps!$D$5:$D$12,0))))</f>
        <v>Eutrophication Potential (EP) - kg N eq</v>
      </c>
      <c r="M2611" s="154" t="str">
        <f t="shared" si="130"/>
        <v>High_Base_Low_Upgraded_Eutrophication Potential (EP) - kg N eq_Anaerobic Digestion; wastewater treatment unit; at updated plant - US_Base_With Amendment_Windrow</v>
      </c>
    </row>
    <row r="2612" spans="1:13" s="120" customFormat="1" x14ac:dyDescent="0.25">
      <c r="A2612" s="119"/>
      <c r="B2612" s="138" t="str">
        <f t="shared" si="128"/>
        <v>Windrow</v>
      </c>
      <c r="C2612" s="138" t="str">
        <f t="shared" si="129"/>
        <v>Base_With Amendment</v>
      </c>
      <c r="D2612" s="118" t="s">
        <v>133</v>
      </c>
      <c r="E2612" s="118" t="s">
        <v>181</v>
      </c>
      <c r="F2612" s="118" t="s">
        <v>46</v>
      </c>
      <c r="G2612" s="153"/>
      <c r="H2612" s="155">
        <v>3.7000000000000002E-3</v>
      </c>
      <c r="I2612" s="154" t="s">
        <v>57</v>
      </c>
      <c r="J2612" s="204">
        <v>6.0590300000000002E-5</v>
      </c>
      <c r="K2612" s="154" t="s">
        <v>13</v>
      </c>
      <c r="L2612" s="154" t="str">
        <f>IF(OpenLCAbasic!K2612="CTUh", "Fill in Manually",IF(OR(K2612="Unit", K2612=""), "", INDEX(LookUps!$E$5:$E$12, MATCH(OpenLCAbasic!K2612,LookUps!$D$5:$D$12,0))))</f>
        <v>Eutrophication Potential (EP) - kg N eq</v>
      </c>
      <c r="M2612" s="154" t="str">
        <f t="shared" si="130"/>
        <v>High_Base_Low_Upgraded_Eutrophication Potential (EP) - kg N eq_Gravity Belt Thickener; wastewater treatment unit; at updated plant - US_Base_With Amendment_Windrow</v>
      </c>
    </row>
    <row r="2613" spans="1:13" s="120" customFormat="1" x14ac:dyDescent="0.25">
      <c r="A2613" s="119"/>
      <c r="B2613" s="138" t="str">
        <f t="shared" si="128"/>
        <v>Windrow</v>
      </c>
      <c r="C2613" s="138" t="str">
        <f t="shared" si="129"/>
        <v>Base_With Amendment</v>
      </c>
      <c r="D2613" s="118" t="s">
        <v>133</v>
      </c>
      <c r="E2613" s="118" t="s">
        <v>181</v>
      </c>
      <c r="F2613" s="118" t="s">
        <v>46</v>
      </c>
      <c r="G2613" s="153"/>
      <c r="H2613" s="155">
        <v>3.5000000000000001E-3</v>
      </c>
      <c r="I2613" s="154" t="s">
        <v>60</v>
      </c>
      <c r="J2613" s="204">
        <v>5.62289E-5</v>
      </c>
      <c r="K2613" s="154" t="s">
        <v>13</v>
      </c>
      <c r="L2613" s="154" t="str">
        <f>IF(OpenLCAbasic!K2613="CTUh", "Fill in Manually",IF(OR(K2613="Unit", K2613=""), "", INDEX(LookUps!$E$5:$E$12, MATCH(OpenLCAbasic!K2613,LookUps!$D$5:$D$12,0))))</f>
        <v>Eutrophication Potential (EP) - kg N eq</v>
      </c>
      <c r="M2613" s="154" t="str">
        <f t="shared" si="130"/>
        <v>High_Base_Low_Upgraded_Eutrophication Potential (EP) - kg N eq_Belt filter press; wastewater treatment unit; at updated plant - US_Base_With Amendment_Windrow</v>
      </c>
    </row>
    <row r="2614" spans="1:13" s="120" customFormat="1" x14ac:dyDescent="0.25">
      <c r="A2614" s="119"/>
      <c r="B2614" s="138" t="str">
        <f t="shared" si="128"/>
        <v>Windrow</v>
      </c>
      <c r="C2614" s="138" t="str">
        <f t="shared" si="129"/>
        <v>Base_With Amendment</v>
      </c>
      <c r="D2614" s="118" t="s">
        <v>133</v>
      </c>
      <c r="E2614" s="118" t="s">
        <v>181</v>
      </c>
      <c r="F2614" s="118" t="s">
        <v>46</v>
      </c>
      <c r="G2614" s="153"/>
      <c r="H2614" s="155">
        <v>2.3E-3</v>
      </c>
      <c r="I2614" s="154" t="s">
        <v>128</v>
      </c>
      <c r="J2614" s="204">
        <v>3.7559799999999999E-5</v>
      </c>
      <c r="K2614" s="154" t="s">
        <v>13</v>
      </c>
      <c r="L2614" s="154" t="str">
        <f>IF(OpenLCAbasic!K2614="CTUh", "Fill in Manually",IF(OR(K2614="Unit", K2614=""), "", INDEX(LookUps!$E$5:$E$12, MATCH(OpenLCAbasic!K2614,LookUps!$D$5:$D$12,0))))</f>
        <v>Eutrophication Potential (EP) - kg N eq</v>
      </c>
      <c r="M2614" s="154" t="str">
        <f t="shared" si="130"/>
        <v>High_Base_Low_Upgraded_Eutrophication Potential (EP) - kg N eq_Wastewater collection; operation and infrastructure; m3 wastewater_Base_With Amendment_Windrow</v>
      </c>
    </row>
    <row r="2615" spans="1:13" s="120" customFormat="1" x14ac:dyDescent="0.25">
      <c r="A2615" s="119"/>
      <c r="B2615" s="138" t="str">
        <f t="shared" si="128"/>
        <v>Windrow</v>
      </c>
      <c r="C2615" s="138" t="str">
        <f t="shared" si="129"/>
        <v>Base_With Amendment</v>
      </c>
      <c r="D2615" s="118" t="s">
        <v>133</v>
      </c>
      <c r="E2615" s="118" t="s">
        <v>181</v>
      </c>
      <c r="F2615" s="118" t="s">
        <v>46</v>
      </c>
      <c r="G2615" s="153"/>
      <c r="H2615" s="155">
        <v>2.3E-3</v>
      </c>
      <c r="I2615" s="154" t="s">
        <v>148</v>
      </c>
      <c r="J2615" s="204">
        <v>3.6874600000000001E-5</v>
      </c>
      <c r="K2615" s="154" t="s">
        <v>13</v>
      </c>
      <c r="L2615" s="154" t="str">
        <f>IF(OpenLCAbasic!K2615="CTUh", "Fill in Manually",IF(OR(K2615="Unit", K2615=""), "", INDEX(LookUps!$E$5:$E$12, MATCH(OpenLCAbasic!K2615,LookUps!$D$5:$D$12,0))))</f>
        <v>Eutrophication Potential (EP) - kg N eq</v>
      </c>
      <c r="M2615" s="154" t="str">
        <f t="shared" si="130"/>
        <v>High_Base_Low_Upgraded_Eutrophication Potential (EP) - kg N eq_Control Building; at upgraded wastewater treatment plant - US_Base_With Amendment_Windrow</v>
      </c>
    </row>
    <row r="2616" spans="1:13" s="120" customFormat="1" x14ac:dyDescent="0.25">
      <c r="A2616" s="119"/>
      <c r="B2616" s="138" t="str">
        <f t="shared" si="128"/>
        <v>Windrow</v>
      </c>
      <c r="C2616" s="138" t="str">
        <f t="shared" si="129"/>
        <v>Base_With Amendment</v>
      </c>
      <c r="D2616" s="118" t="s">
        <v>133</v>
      </c>
      <c r="E2616" s="118" t="s">
        <v>181</v>
      </c>
      <c r="F2616" s="118" t="s">
        <v>46</v>
      </c>
      <c r="G2616" s="153"/>
      <c r="H2616" s="155">
        <v>1E-3</v>
      </c>
      <c r="I2616" s="154" t="s">
        <v>59</v>
      </c>
      <c r="J2616" s="204">
        <v>1.6215700000000001E-5</v>
      </c>
      <c r="K2616" s="154" t="s">
        <v>13</v>
      </c>
      <c r="L2616" s="154" t="str">
        <f>IF(OpenLCAbasic!K2616="CTUh", "Fill in Manually",IF(OR(K2616="Unit", K2616=""), "", INDEX(LookUps!$E$5:$E$12, MATCH(OpenLCAbasic!K2616,LookUps!$D$5:$D$12,0))))</f>
        <v>Eutrophication Potential (EP) - kg N eq</v>
      </c>
      <c r="M2616" s="154" t="str">
        <f t="shared" si="130"/>
        <v>High_Base_Low_Upgraded_Eutrophication Potential (EP) - kg N eq_Blend Tank; wastewater treatment unit; at updated plant - US_Base_With Amendment_Windrow</v>
      </c>
    </row>
    <row r="2617" spans="1:13" s="120" customFormat="1" x14ac:dyDescent="0.25">
      <c r="A2617" s="119"/>
      <c r="B2617" s="138" t="str">
        <f t="shared" si="128"/>
        <v>Windrow</v>
      </c>
      <c r="C2617" s="138" t="str">
        <f t="shared" si="129"/>
        <v>Base_With Amendment</v>
      </c>
      <c r="D2617" s="118" t="s">
        <v>133</v>
      </c>
      <c r="E2617" s="118" t="s">
        <v>181</v>
      </c>
      <c r="F2617" s="118" t="s">
        <v>46</v>
      </c>
      <c r="G2617" s="153"/>
      <c r="H2617" s="155">
        <v>5.0000000000000001E-4</v>
      </c>
      <c r="I2617" s="154" t="s">
        <v>168</v>
      </c>
      <c r="J2617" s="204">
        <v>7.7567199999999995E-6</v>
      </c>
      <c r="K2617" s="154" t="s">
        <v>13</v>
      </c>
      <c r="L2617" s="154" t="str">
        <f>IF(OpenLCAbasic!K2617="CTUh", "Fill in Manually",IF(OR(K2617="Unit", K2617=""), "", INDEX(LookUps!$E$5:$E$12, MATCH(OpenLCAbasic!K2617,LookUps!$D$5:$D$12,0))))</f>
        <v>Eutrophication Potential (EP) - kg N eq</v>
      </c>
      <c r="M2617" s="154" t="str">
        <f t="shared" si="130"/>
        <v>High_Base_Low_Upgraded_Eutrophication Potential (EP) - kg N eq_ClearCove SCP; wastewater treatment unit; at updated plant - US_Base_With Amendment_Windrow</v>
      </c>
    </row>
    <row r="2618" spans="1:13" s="120" customFormat="1" x14ac:dyDescent="0.25">
      <c r="A2618" s="119"/>
      <c r="B2618" s="138" t="str">
        <f t="shared" si="128"/>
        <v>Windrow</v>
      </c>
      <c r="C2618" s="138" t="str">
        <f t="shared" si="129"/>
        <v>Base_With Amendment</v>
      </c>
      <c r="D2618" s="118" t="s">
        <v>133</v>
      </c>
      <c r="E2618" s="118" t="s">
        <v>181</v>
      </c>
      <c r="F2618" s="118" t="s">
        <v>46</v>
      </c>
      <c r="G2618" s="153" t="s">
        <v>51</v>
      </c>
      <c r="H2618" s="154"/>
      <c r="I2618" s="154" t="s">
        <v>47</v>
      </c>
      <c r="J2618" s="154" t="s">
        <v>52</v>
      </c>
      <c r="K2618" s="154" t="s">
        <v>27</v>
      </c>
      <c r="L2618" s="154" t="str">
        <f>IF(OpenLCAbasic!K2618="CTUh", "Fill in Manually",IF(OR(K2618="Unit", K2618=""), "", INDEX(LookUps!$E$5:$E$12, MATCH(OpenLCAbasic!K2618,LookUps!$D$5:$D$12,0))))</f>
        <v/>
      </c>
      <c r="M2618" s="154" t="str">
        <f t="shared" si="130"/>
        <v>High_Base_Low_Upgraded__Process_Base_With Amendment_Windrow</v>
      </c>
    </row>
    <row r="2619" spans="1:13" s="120" customFormat="1" x14ac:dyDescent="0.25">
      <c r="A2619" s="119"/>
      <c r="B2619" s="138" t="str">
        <f t="shared" si="128"/>
        <v>Windrow</v>
      </c>
      <c r="C2619" s="138" t="str">
        <f t="shared" si="129"/>
        <v>Base_With Amendment</v>
      </c>
      <c r="D2619" s="118" t="s">
        <v>133</v>
      </c>
      <c r="E2619" s="118" t="s">
        <v>181</v>
      </c>
      <c r="F2619" s="118" t="s">
        <v>46</v>
      </c>
      <c r="G2619" s="153"/>
      <c r="H2619" s="155">
        <v>0.247</v>
      </c>
      <c r="I2619" s="154" t="s">
        <v>55</v>
      </c>
      <c r="J2619" s="157">
        <v>3.5330499999999998</v>
      </c>
      <c r="K2619" s="154" t="s">
        <v>15</v>
      </c>
      <c r="L2619" s="154" t="str">
        <f>IF(OpenLCAbasic!K2619="CTUh", "Fill in Manually",IF(OR(K2619="Unit", K2619=""), "", INDEX(LookUps!$E$5:$E$12, MATCH(OpenLCAbasic!K2619,LookUps!$D$5:$D$12,0))))</f>
        <v>Cumulative Energy Demand (CED) - MJ</v>
      </c>
      <c r="M2619" s="154" t="str">
        <f t="shared" si="130"/>
        <v>High_Base_Low_Upgraded_Cumulative Energy Demand (CED) - MJ_Aeration Tanks; wastewater treatment unit; at updated plant - US_Base_With Amendment_Windrow</v>
      </c>
    </row>
    <row r="2620" spans="1:13" s="120" customFormat="1" x14ac:dyDescent="0.25">
      <c r="A2620" s="119"/>
      <c r="B2620" s="138" t="str">
        <f t="shared" si="128"/>
        <v>Windrow</v>
      </c>
      <c r="C2620" s="138" t="str">
        <f t="shared" si="129"/>
        <v>Base_With Amendment</v>
      </c>
      <c r="D2620" s="118" t="s">
        <v>133</v>
      </c>
      <c r="E2620" s="118" t="s">
        <v>181</v>
      </c>
      <c r="F2620" s="118" t="s">
        <v>46</v>
      </c>
      <c r="G2620" s="153"/>
      <c r="H2620" s="155">
        <v>0.24460000000000001</v>
      </c>
      <c r="I2620" s="154" t="s">
        <v>167</v>
      </c>
      <c r="J2620" s="157">
        <v>3.4982700000000002</v>
      </c>
      <c r="K2620" s="154" t="s">
        <v>15</v>
      </c>
      <c r="L2620" s="154" t="str">
        <f>IF(OpenLCAbasic!K2620="CTUh", "Fill in Manually",IF(OR(K2620="Unit", K2620=""), "", INDEX(LookUps!$E$5:$E$12, MATCH(OpenLCAbasic!K2620,LookUps!$D$5:$D$12,0))))</f>
        <v>Cumulative Energy Demand (CED) - MJ</v>
      </c>
      <c r="M2620" s="154" t="str">
        <f t="shared" si="130"/>
        <v>High_Base_Low_Upgraded_Cumulative Energy Demand (CED) - MJ_Waste Receiving and Holding; wastewater treatment unit; at updated plant - US_Base_With Amendment_Windrow</v>
      </c>
    </row>
    <row r="2621" spans="1:13" s="120" customFormat="1" x14ac:dyDescent="0.25">
      <c r="A2621" s="119"/>
      <c r="B2621" s="138" t="str">
        <f t="shared" si="128"/>
        <v>Windrow</v>
      </c>
      <c r="C2621" s="138" t="str">
        <f t="shared" si="129"/>
        <v>Base_With Amendment</v>
      </c>
      <c r="D2621" s="118" t="s">
        <v>133</v>
      </c>
      <c r="E2621" s="118" t="s">
        <v>181</v>
      </c>
      <c r="F2621" s="118" t="s">
        <v>46</v>
      </c>
      <c r="G2621" s="153"/>
      <c r="H2621" s="155">
        <v>0.19109999999999999</v>
      </c>
      <c r="I2621" s="154" t="s">
        <v>149</v>
      </c>
      <c r="J2621" s="157">
        <v>2.7332200000000002</v>
      </c>
      <c r="K2621" s="154" t="s">
        <v>15</v>
      </c>
      <c r="L2621" s="154" t="str">
        <f>IF(OpenLCAbasic!K2621="CTUh", "Fill in Manually",IF(OR(K2621="Unit", K2621=""), "", INDEX(LookUps!$E$5:$E$12, MATCH(OpenLCAbasic!K2621,LookUps!$D$5:$D$12,0))))</f>
        <v>Cumulative Energy Demand (CED) - MJ</v>
      </c>
      <c r="M2621" s="154" t="str">
        <f t="shared" si="130"/>
        <v>High_Base_Low_Upgraded_Cumulative Energy Demand (CED) - MJ_Anaerobic Digestion; wastewater treatment unit; at updated plant - US_Base_With Amendment_Windrow</v>
      </c>
    </row>
    <row r="2622" spans="1:13" s="120" customFormat="1" x14ac:dyDescent="0.25">
      <c r="A2622" s="119"/>
      <c r="B2622" s="138" t="str">
        <f t="shared" si="128"/>
        <v>Windrow</v>
      </c>
      <c r="C2622" s="138" t="str">
        <f t="shared" si="129"/>
        <v>Base_With Amendment</v>
      </c>
      <c r="D2622" s="118" t="s">
        <v>133</v>
      </c>
      <c r="E2622" s="118" t="s">
        <v>181</v>
      </c>
      <c r="F2622" s="118" t="s">
        <v>46</v>
      </c>
      <c r="G2622" s="153"/>
      <c r="H2622" s="155">
        <v>8.1299999999999997E-2</v>
      </c>
      <c r="I2622" s="154" t="s">
        <v>54</v>
      </c>
      <c r="J2622" s="203">
        <v>1.16289</v>
      </c>
      <c r="K2622" s="154" t="s">
        <v>15</v>
      </c>
      <c r="L2622" s="154" t="str">
        <f>IF(OpenLCAbasic!K2622="CTUh", "Fill in Manually",IF(OR(K2622="Unit", K2622=""), "", INDEX(LookUps!$E$5:$E$12, MATCH(OpenLCAbasic!K2622,LookUps!$D$5:$D$12,0))))</f>
        <v>Cumulative Energy Demand (CED) - MJ</v>
      </c>
      <c r="M2622" s="154" t="str">
        <f t="shared" si="130"/>
        <v>High_Base_Low_Upgraded_Cumulative Energy Demand (CED) - MJ_Clear Cove Primary Clarification; wastewater treatment unit; at updated plant - US_Base_With Amendment_Windrow</v>
      </c>
    </row>
    <row r="2623" spans="1:13" s="120" customFormat="1" x14ac:dyDescent="0.25">
      <c r="A2623" s="119"/>
      <c r="B2623" s="138" t="str">
        <f t="shared" si="128"/>
        <v>Windrow</v>
      </c>
      <c r="C2623" s="138" t="str">
        <f t="shared" si="129"/>
        <v>Base_With Amendment</v>
      </c>
      <c r="D2623" s="118" t="s">
        <v>133</v>
      </c>
      <c r="E2623" s="118" t="s">
        <v>181</v>
      </c>
      <c r="F2623" s="118" t="s">
        <v>46</v>
      </c>
      <c r="G2623" s="153"/>
      <c r="H2623" s="155">
        <v>6.1800000000000001E-2</v>
      </c>
      <c r="I2623" s="154" t="s">
        <v>58</v>
      </c>
      <c r="J2623" s="203">
        <v>0.88417000000000001</v>
      </c>
      <c r="K2623" s="154" t="s">
        <v>15</v>
      </c>
      <c r="L2623" s="154" t="str">
        <f>IF(OpenLCAbasic!K2623="CTUh", "Fill in Manually",IF(OR(K2623="Unit", K2623=""), "", INDEX(LookUps!$E$5:$E$12, MATCH(OpenLCAbasic!K2623,LookUps!$D$5:$D$12,0))))</f>
        <v>Cumulative Energy Demand (CED) - MJ</v>
      </c>
      <c r="M2623" s="154" t="str">
        <f t="shared" si="130"/>
        <v>High_Base_Low_Upgraded_Cumulative Energy Demand (CED) - MJ_Pre-Anoxic &amp; Swing tank; wastewater treatment unit; at updated plant - US_Base_With Amendment_Windrow</v>
      </c>
    </row>
    <row r="2624" spans="1:13" s="120" customFormat="1" x14ac:dyDescent="0.25">
      <c r="A2624" s="119"/>
      <c r="B2624" s="138" t="str">
        <f t="shared" si="128"/>
        <v>Windrow</v>
      </c>
      <c r="C2624" s="138" t="str">
        <f t="shared" si="129"/>
        <v>Base_With Amendment</v>
      </c>
      <c r="D2624" s="118" t="s">
        <v>133</v>
      </c>
      <c r="E2624" s="118" t="s">
        <v>181</v>
      </c>
      <c r="F2624" s="118" t="s">
        <v>46</v>
      </c>
      <c r="G2624" s="153"/>
      <c r="H2624" s="155">
        <v>6.1699999999999998E-2</v>
      </c>
      <c r="I2624" s="154" t="s">
        <v>147</v>
      </c>
      <c r="J2624" s="203">
        <v>0.88297000000000003</v>
      </c>
      <c r="K2624" s="154" t="s">
        <v>15</v>
      </c>
      <c r="L2624" s="154" t="str">
        <f>IF(OpenLCAbasic!K2624="CTUh", "Fill in Manually",IF(OR(K2624="Unit", K2624=""), "", INDEX(LookUps!$E$5:$E$12, MATCH(OpenLCAbasic!K2624,LookUps!$D$5:$D$12,0))))</f>
        <v>Cumulative Energy Demand (CED) - MJ</v>
      </c>
      <c r="M2624" s="154" t="str">
        <f t="shared" si="130"/>
        <v>High_Base_Low_Upgraded_Cumulative Energy Demand (CED) - MJ_Influent Pump Station; wastewater treatment unit; at updated plant - US_Base_With Amendment_Windrow</v>
      </c>
    </row>
    <row r="2625" spans="1:13" s="120" customFormat="1" x14ac:dyDescent="0.25">
      <c r="A2625" s="119"/>
      <c r="B2625" s="138" t="str">
        <f t="shared" si="128"/>
        <v>Windrow</v>
      </c>
      <c r="C2625" s="138" t="str">
        <f t="shared" si="129"/>
        <v>Base_With Amendment</v>
      </c>
      <c r="D2625" s="118" t="s">
        <v>133</v>
      </c>
      <c r="E2625" s="118" t="s">
        <v>181</v>
      </c>
      <c r="F2625" s="118" t="s">
        <v>46</v>
      </c>
      <c r="G2625" s="153"/>
      <c r="H2625" s="155">
        <v>4.87E-2</v>
      </c>
      <c r="I2625" s="154" t="s">
        <v>53</v>
      </c>
      <c r="J2625" s="203">
        <v>0.69645000000000001</v>
      </c>
      <c r="K2625" s="154" t="s">
        <v>15</v>
      </c>
      <c r="L2625" s="154" t="str">
        <f>IF(OpenLCAbasic!K2625="CTUh", "Fill in Manually",IF(OR(K2625="Unit", K2625=""), "", INDEX(LookUps!$E$5:$E$12, MATCH(OpenLCAbasic!K2625,LookUps!$D$5:$D$12,0))))</f>
        <v>Cumulative Energy Demand (CED) - MJ</v>
      </c>
      <c r="M2625" s="154" t="str">
        <f t="shared" si="130"/>
        <v>High_Base_Low_Upgraded_Cumulative Energy Demand (CED) - MJ_Wet Well and Sump Station; wastewater treatment unit; at updated plant - US_Base_With Amendment_Windrow</v>
      </c>
    </row>
    <row r="2626" spans="1:13" s="120" customFormat="1" x14ac:dyDescent="0.25">
      <c r="A2626" s="119"/>
      <c r="B2626" s="138" t="str">
        <f t="shared" si="128"/>
        <v>Windrow</v>
      </c>
      <c r="C2626" s="138" t="str">
        <f t="shared" si="129"/>
        <v>Base_With Amendment</v>
      </c>
      <c r="D2626" s="118" t="s">
        <v>133</v>
      </c>
      <c r="E2626" s="118" t="s">
        <v>181</v>
      </c>
      <c r="F2626" s="118" t="s">
        <v>46</v>
      </c>
      <c r="G2626" s="153"/>
      <c r="H2626" s="155">
        <v>2.3400000000000001E-2</v>
      </c>
      <c r="I2626" s="154" t="s">
        <v>57</v>
      </c>
      <c r="J2626" s="203">
        <v>0.33404</v>
      </c>
      <c r="K2626" s="154" t="s">
        <v>15</v>
      </c>
      <c r="L2626" s="154" t="str">
        <f>IF(OpenLCAbasic!K2626="CTUh", "Fill in Manually",IF(OR(K2626="Unit", K2626=""), "", INDEX(LookUps!$E$5:$E$12, MATCH(OpenLCAbasic!K2626,LookUps!$D$5:$D$12,0))))</f>
        <v>Cumulative Energy Demand (CED) - MJ</v>
      </c>
      <c r="M2626" s="154" t="str">
        <f t="shared" si="130"/>
        <v>High_Base_Low_Upgraded_Cumulative Energy Demand (CED) - MJ_Gravity Belt Thickener; wastewater treatment unit; at updated plant - US_Base_With Amendment_Windrow</v>
      </c>
    </row>
    <row r="2627" spans="1:13" s="120" customFormat="1" x14ac:dyDescent="0.25">
      <c r="A2627" s="119"/>
      <c r="B2627" s="138" t="str">
        <f t="shared" si="128"/>
        <v>Windrow</v>
      </c>
      <c r="C2627" s="138" t="str">
        <f t="shared" si="129"/>
        <v>Base_With Amendment</v>
      </c>
      <c r="D2627" s="118" t="s">
        <v>133</v>
      </c>
      <c r="E2627" s="118" t="s">
        <v>181</v>
      </c>
      <c r="F2627" s="118" t="s">
        <v>46</v>
      </c>
      <c r="G2627" s="153"/>
      <c r="H2627" s="155">
        <v>2.24E-2</v>
      </c>
      <c r="I2627" s="154" t="s">
        <v>60</v>
      </c>
      <c r="J2627" s="203">
        <v>0.32008999999999999</v>
      </c>
      <c r="K2627" s="154" t="s">
        <v>15</v>
      </c>
      <c r="L2627" s="154" t="str">
        <f>IF(OpenLCAbasic!K2627="CTUh", "Fill in Manually",IF(OR(K2627="Unit", K2627=""), "", INDEX(LookUps!$E$5:$E$12, MATCH(OpenLCAbasic!K2627,LookUps!$D$5:$D$12,0))))</f>
        <v>Cumulative Energy Demand (CED) - MJ</v>
      </c>
      <c r="M2627" s="154" t="str">
        <f t="shared" si="130"/>
        <v>High_Base_Low_Upgraded_Cumulative Energy Demand (CED) - MJ_Belt filter press; wastewater treatment unit; at updated plant - US_Base_With Amendment_Windrow</v>
      </c>
    </row>
    <row r="2628" spans="1:13" s="120" customFormat="1" x14ac:dyDescent="0.25">
      <c r="A2628" s="119"/>
      <c r="B2628" s="138" t="str">
        <f t="shared" si="128"/>
        <v>Windrow</v>
      </c>
      <c r="C2628" s="138" t="str">
        <f t="shared" si="129"/>
        <v>Base_With Amendment</v>
      </c>
      <c r="D2628" s="118" t="s">
        <v>133</v>
      </c>
      <c r="E2628" s="118" t="s">
        <v>181</v>
      </c>
      <c r="F2628" s="118" t="s">
        <v>46</v>
      </c>
      <c r="G2628" s="153"/>
      <c r="H2628" s="155">
        <v>1.7899999999999999E-2</v>
      </c>
      <c r="I2628" s="154" t="s">
        <v>128</v>
      </c>
      <c r="J2628" s="203">
        <v>0.25606000000000001</v>
      </c>
      <c r="K2628" s="154" t="s">
        <v>15</v>
      </c>
      <c r="L2628" s="154" t="str">
        <f>IF(OpenLCAbasic!K2628="CTUh", "Fill in Manually",IF(OR(K2628="Unit", K2628=""), "", INDEX(LookUps!$E$5:$E$12, MATCH(OpenLCAbasic!K2628,LookUps!$D$5:$D$12,0))))</f>
        <v>Cumulative Energy Demand (CED) - MJ</v>
      </c>
      <c r="M2628" s="154" t="str">
        <f t="shared" si="130"/>
        <v>High_Base_Low_Upgraded_Cumulative Energy Demand (CED) - MJ_Wastewater collection; operation and infrastructure; m3 wastewater_Base_With Amendment_Windrow</v>
      </c>
    </row>
    <row r="2629" spans="1:13" s="120" customFormat="1" x14ac:dyDescent="0.25">
      <c r="A2629" s="119"/>
      <c r="B2629" s="138" t="str">
        <f t="shared" si="128"/>
        <v>Windrow</v>
      </c>
      <c r="C2629" s="138" t="str">
        <f t="shared" si="129"/>
        <v>Base_With Amendment</v>
      </c>
      <c r="D2629" s="118" t="s">
        <v>133</v>
      </c>
      <c r="E2629" s="118" t="s">
        <v>181</v>
      </c>
      <c r="F2629" s="118" t="s">
        <v>46</v>
      </c>
      <c r="G2629" s="153"/>
      <c r="H2629" s="155">
        <v>1.0200000000000001E-2</v>
      </c>
      <c r="I2629" s="154" t="s">
        <v>148</v>
      </c>
      <c r="J2629" s="203">
        <v>0.14599000000000001</v>
      </c>
      <c r="K2629" s="154" t="s">
        <v>15</v>
      </c>
      <c r="L2629" s="154" t="str">
        <f>IF(OpenLCAbasic!K2629="CTUh", "Fill in Manually",IF(OR(K2629="Unit", K2629=""), "", INDEX(LookUps!$E$5:$E$12, MATCH(OpenLCAbasic!K2629,LookUps!$D$5:$D$12,0))))</f>
        <v>Cumulative Energy Demand (CED) - MJ</v>
      </c>
      <c r="M2629" s="154" t="str">
        <f t="shared" si="130"/>
        <v>High_Base_Low_Upgraded_Cumulative Energy Demand (CED) - MJ_Control Building; at upgraded wastewater treatment plant - US_Base_With Amendment_Windrow</v>
      </c>
    </row>
    <row r="2630" spans="1:13" s="120" customFormat="1" x14ac:dyDescent="0.25">
      <c r="A2630" s="119"/>
      <c r="B2630" s="138" t="str">
        <f t="shared" ref="B2630:B2693" si="131">IF(F2630="Legacy","n.a.",IF(F2630="","","Windrow"))</f>
        <v>Windrow</v>
      </c>
      <c r="C2630" s="138" t="str">
        <f t="shared" si="129"/>
        <v>Base_With Amendment</v>
      </c>
      <c r="D2630" s="118" t="s">
        <v>133</v>
      </c>
      <c r="E2630" s="118" t="s">
        <v>181</v>
      </c>
      <c r="F2630" s="118" t="s">
        <v>46</v>
      </c>
      <c r="G2630" s="153"/>
      <c r="H2630" s="155">
        <v>9.2999999999999992E-3</v>
      </c>
      <c r="I2630" s="154" t="s">
        <v>48</v>
      </c>
      <c r="J2630" s="203">
        <v>0.13321</v>
      </c>
      <c r="K2630" s="154" t="s">
        <v>15</v>
      </c>
      <c r="L2630" s="154" t="str">
        <f>IF(OpenLCAbasic!K2630="CTUh", "Fill in Manually",IF(OR(K2630="Unit", K2630=""), "", INDEX(LookUps!$E$5:$E$12, MATCH(OpenLCAbasic!K2630,LookUps!$D$5:$D$12,0))))</f>
        <v>Cumulative Energy Demand (CED) - MJ</v>
      </c>
      <c r="M2630" s="154" t="str">
        <f t="shared" si="130"/>
        <v>High_Base_Low_Upgraded_Cumulative Energy Demand (CED) - MJ_Effluent release; wastewater treatment unit; at surface water; m3 wastewater - US_Base_With Amendment_Windrow</v>
      </c>
    </row>
    <row r="2631" spans="1:13" s="120" customFormat="1" x14ac:dyDescent="0.25">
      <c r="A2631" s="119"/>
      <c r="B2631" s="138" t="str">
        <f t="shared" si="131"/>
        <v>Windrow</v>
      </c>
      <c r="C2631" s="138" t="str">
        <f t="shared" ref="C2631:C2694" si="132">IF(E2631&lt;&gt;"", "Base_With Amendment","")</f>
        <v>Base_With Amendment</v>
      </c>
      <c r="D2631" s="118" t="s">
        <v>133</v>
      </c>
      <c r="E2631" s="118" t="s">
        <v>181</v>
      </c>
      <c r="F2631" s="118" t="s">
        <v>46</v>
      </c>
      <c r="G2631" s="153"/>
      <c r="H2631" s="155">
        <v>7.4000000000000003E-3</v>
      </c>
      <c r="I2631" s="154" t="s">
        <v>59</v>
      </c>
      <c r="J2631" s="203">
        <v>0.10638</v>
      </c>
      <c r="K2631" s="154" t="s">
        <v>15</v>
      </c>
      <c r="L2631" s="154" t="str">
        <f>IF(OpenLCAbasic!K2631="CTUh", "Fill in Manually",IF(OR(K2631="Unit", K2631=""), "", INDEX(LookUps!$E$5:$E$12, MATCH(OpenLCAbasic!K2631,LookUps!$D$5:$D$12,0))))</f>
        <v>Cumulative Energy Demand (CED) - MJ</v>
      </c>
      <c r="M2631" s="154" t="str">
        <f t="shared" ref="M2631:M2694" si="133">CONCATENATE(E2631,"_",D2631,"_",F2631,"_",L2631, "_",I2631,"_", C2631,"_", B2631)</f>
        <v>High_Base_Low_Upgraded_Cumulative Energy Demand (CED) - MJ_Blend Tank; wastewater treatment unit; at updated plant - US_Base_With Amendment_Windrow</v>
      </c>
    </row>
    <row r="2632" spans="1:13" s="120" customFormat="1" x14ac:dyDescent="0.25">
      <c r="A2632" s="119"/>
      <c r="B2632" s="138" t="str">
        <f t="shared" si="131"/>
        <v>Windrow</v>
      </c>
      <c r="C2632" s="138" t="str">
        <f t="shared" si="132"/>
        <v>Base_With Amendment</v>
      </c>
      <c r="D2632" s="118" t="s">
        <v>133</v>
      </c>
      <c r="E2632" s="118" t="s">
        <v>181</v>
      </c>
      <c r="F2632" s="118" t="s">
        <v>46</v>
      </c>
      <c r="G2632" s="153"/>
      <c r="H2632" s="155">
        <v>3.5999999999999999E-3</v>
      </c>
      <c r="I2632" s="154" t="s">
        <v>168</v>
      </c>
      <c r="J2632" s="203">
        <v>5.0930000000000003E-2</v>
      </c>
      <c r="K2632" s="154" t="s">
        <v>15</v>
      </c>
      <c r="L2632" s="154" t="str">
        <f>IF(OpenLCAbasic!K2632="CTUh", "Fill in Manually",IF(OR(K2632="Unit", K2632=""), "", INDEX(LookUps!$E$5:$E$12, MATCH(OpenLCAbasic!K2632,LookUps!$D$5:$D$12,0))))</f>
        <v>Cumulative Energy Demand (CED) - MJ</v>
      </c>
      <c r="M2632" s="154" t="str">
        <f t="shared" si="133"/>
        <v>High_Base_Low_Upgraded_Cumulative Energy Demand (CED) - MJ_ClearCove SCP; wastewater treatment unit; at updated plant - US_Base_With Amendment_Windrow</v>
      </c>
    </row>
    <row r="2633" spans="1:13" s="120" customFormat="1" x14ac:dyDescent="0.25">
      <c r="A2633" s="119"/>
      <c r="B2633" s="138" t="str">
        <f t="shared" si="131"/>
        <v>Windrow</v>
      </c>
      <c r="C2633" s="138" t="str">
        <f t="shared" si="132"/>
        <v>Base_With Amendment</v>
      </c>
      <c r="D2633" s="118" t="s">
        <v>133</v>
      </c>
      <c r="E2633" s="118" t="s">
        <v>181</v>
      </c>
      <c r="F2633" s="118" t="s">
        <v>46</v>
      </c>
      <c r="G2633" s="153"/>
      <c r="H2633" s="155">
        <v>1.6000000000000001E-3</v>
      </c>
      <c r="I2633" s="154" t="s">
        <v>271</v>
      </c>
      <c r="J2633" s="203">
        <v>2.2919999999999999E-2</v>
      </c>
      <c r="K2633" s="154" t="s">
        <v>15</v>
      </c>
      <c r="L2633" s="154" t="str">
        <f>IF(OpenLCAbasic!K2633="CTUh", "Fill in Manually",IF(OR(K2633="Unit", K2633=""), "", INDEX(LookUps!$E$5:$E$12, MATCH(OpenLCAbasic!K2633,LookUps!$D$5:$D$12,0))))</f>
        <v>Cumulative Energy Demand (CED) - MJ</v>
      </c>
      <c r="M2633" s="154" t="str">
        <f t="shared" si="133"/>
        <v>High_Base_Low_Upgraded_Cumulative Energy Demand (CED) - MJ_Biosolids composting; windrow composting; wastewater treatment unit; at updated plant - US_Base_With Amendment_Windrow</v>
      </c>
    </row>
    <row r="2634" spans="1:13" s="120" customFormat="1" x14ac:dyDescent="0.25">
      <c r="A2634" s="119"/>
      <c r="B2634" s="138" t="str">
        <f t="shared" si="131"/>
        <v>Windrow</v>
      </c>
      <c r="C2634" s="138" t="str">
        <f t="shared" si="132"/>
        <v>Base_With Amendment</v>
      </c>
      <c r="D2634" s="118" t="s">
        <v>133</v>
      </c>
      <c r="E2634" s="118" t="s">
        <v>181</v>
      </c>
      <c r="F2634" s="118" t="s">
        <v>46</v>
      </c>
      <c r="G2634" s="153"/>
      <c r="H2634" s="155">
        <v>-3.2099999999999997E-2</v>
      </c>
      <c r="I2634" s="154" t="s">
        <v>62</v>
      </c>
      <c r="J2634" s="203">
        <v>-0.4587</v>
      </c>
      <c r="K2634" s="154" t="s">
        <v>15</v>
      </c>
      <c r="L2634" s="154" t="str">
        <f>IF(OpenLCAbasic!K2634="CTUh", "Fill in Manually",IF(OR(K2634="Unit", K2634=""), "", INDEX(LookUps!$E$5:$E$12, MATCH(OpenLCAbasic!K2634,LookUps!$D$5:$D$12,0))))</f>
        <v>Cumulative Energy Demand (CED) - MJ</v>
      </c>
      <c r="M2634" s="154" t="str">
        <f t="shared" si="133"/>
        <v>High_Base_Low_Upgraded_Cumulative Energy Demand (CED) - MJ_Land application of compost; wastewater treatment unit; at updated plant - US_Base_With Amendment_Windrow</v>
      </c>
    </row>
    <row r="2635" spans="1:13" s="120" customFormat="1" x14ac:dyDescent="0.25">
      <c r="A2635" s="119"/>
      <c r="B2635" s="138" t="str">
        <f t="shared" si="131"/>
        <v>Windrow</v>
      </c>
      <c r="C2635" s="138" t="str">
        <f t="shared" si="132"/>
        <v>Base_With Amendment</v>
      </c>
      <c r="D2635" s="118" t="s">
        <v>133</v>
      </c>
      <c r="E2635" s="118" t="s">
        <v>181</v>
      </c>
      <c r="F2635" s="118" t="s">
        <v>46</v>
      </c>
      <c r="G2635" s="153" t="s">
        <v>51</v>
      </c>
      <c r="H2635" s="154"/>
      <c r="I2635" s="154" t="s">
        <v>47</v>
      </c>
      <c r="J2635" s="154" t="s">
        <v>52</v>
      </c>
      <c r="K2635" s="154" t="s">
        <v>27</v>
      </c>
      <c r="L2635" s="154" t="str">
        <f>IF(OpenLCAbasic!K2635="CTUh", "Fill in Manually",IF(OR(K2635="Unit", K2635=""), "", INDEX(LookUps!$E$5:$E$12, MATCH(OpenLCAbasic!K2635,LookUps!$D$5:$D$12,0))))</f>
        <v/>
      </c>
      <c r="M2635" s="154" t="str">
        <f t="shared" si="133"/>
        <v>High_Base_Low_Upgraded__Process_Base_With Amendment_Windrow</v>
      </c>
    </row>
    <row r="2636" spans="1:13" s="120" customFormat="1" x14ac:dyDescent="0.25">
      <c r="A2636" s="119"/>
      <c r="B2636" s="138" t="str">
        <f t="shared" si="131"/>
        <v>Windrow</v>
      </c>
      <c r="C2636" s="138" t="str">
        <f t="shared" si="132"/>
        <v>Base_With Amendment</v>
      </c>
      <c r="D2636" s="118" t="s">
        <v>133</v>
      </c>
      <c r="E2636" s="118" t="s">
        <v>181</v>
      </c>
      <c r="F2636" s="118" t="s">
        <v>46</v>
      </c>
      <c r="G2636" s="153"/>
      <c r="H2636" s="155">
        <v>0.31159999999999999</v>
      </c>
      <c r="I2636" s="154" t="s">
        <v>55</v>
      </c>
      <c r="J2636" s="203">
        <v>1.7219999999999999E-2</v>
      </c>
      <c r="K2636" s="154" t="s">
        <v>24</v>
      </c>
      <c r="L2636" s="154" t="str">
        <f>IF(OpenLCAbasic!K2636="CTUh", "Fill in Manually",IF(OR(K2636="Unit", K2636=""), "", INDEX(LookUps!$E$5:$E$12, MATCH(OpenLCAbasic!K2636,LookUps!$D$5:$D$12,0))))</f>
        <v>Acidification Potential (AP) - kg SO2 eq</v>
      </c>
      <c r="M2636" s="154" t="str">
        <f t="shared" si="133"/>
        <v>High_Base_Low_Upgraded_Acidification Potential (AP) - kg SO2 eq_Aeration Tanks; wastewater treatment unit; at updated plant - US_Base_With Amendment_Windrow</v>
      </c>
    </row>
    <row r="2637" spans="1:13" s="120" customFormat="1" x14ac:dyDescent="0.25">
      <c r="A2637" s="119"/>
      <c r="B2637" s="138" t="str">
        <f t="shared" si="131"/>
        <v>Windrow</v>
      </c>
      <c r="C2637" s="138" t="str">
        <f t="shared" si="132"/>
        <v>Base_With Amendment</v>
      </c>
      <c r="D2637" s="118" t="s">
        <v>133</v>
      </c>
      <c r="E2637" s="118" t="s">
        <v>181</v>
      </c>
      <c r="F2637" s="118" t="s">
        <v>46</v>
      </c>
      <c r="G2637" s="153"/>
      <c r="H2637" s="155">
        <v>0.2112</v>
      </c>
      <c r="I2637" s="154" t="s">
        <v>271</v>
      </c>
      <c r="J2637" s="203">
        <v>1.167E-2</v>
      </c>
      <c r="K2637" s="154" t="s">
        <v>24</v>
      </c>
      <c r="L2637" s="154" t="str">
        <f>IF(OpenLCAbasic!K2637="CTUh", "Fill in Manually",IF(OR(K2637="Unit", K2637=""), "", INDEX(LookUps!$E$5:$E$12, MATCH(OpenLCAbasic!K2637,LookUps!$D$5:$D$12,0))))</f>
        <v>Acidification Potential (AP) - kg SO2 eq</v>
      </c>
      <c r="M2637" s="154" t="str">
        <f t="shared" si="133"/>
        <v>High_Base_Low_Upgraded_Acidification Potential (AP) - kg SO2 eq_Biosolids composting; windrow composting; wastewater treatment unit; at updated plant - US_Base_With Amendment_Windrow</v>
      </c>
    </row>
    <row r="2638" spans="1:13" s="120" customFormat="1" x14ac:dyDescent="0.25">
      <c r="A2638" s="119"/>
      <c r="B2638" s="138" t="str">
        <f t="shared" si="131"/>
        <v>Windrow</v>
      </c>
      <c r="C2638" s="138" t="str">
        <f t="shared" si="132"/>
        <v>Base_With Amendment</v>
      </c>
      <c r="D2638" s="118" t="s">
        <v>133</v>
      </c>
      <c r="E2638" s="118" t="s">
        <v>181</v>
      </c>
      <c r="F2638" s="118" t="s">
        <v>46</v>
      </c>
      <c r="G2638" s="153"/>
      <c r="H2638" s="155">
        <v>9.01E-2</v>
      </c>
      <c r="I2638" s="154" t="s">
        <v>54</v>
      </c>
      <c r="J2638" s="204">
        <v>4.9800000000000001E-3</v>
      </c>
      <c r="K2638" s="154" t="s">
        <v>24</v>
      </c>
      <c r="L2638" s="154" t="str">
        <f>IF(OpenLCAbasic!K2638="CTUh", "Fill in Manually",IF(OR(K2638="Unit", K2638=""), "", INDEX(LookUps!$E$5:$E$12, MATCH(OpenLCAbasic!K2638,LookUps!$D$5:$D$12,0))))</f>
        <v>Acidification Potential (AP) - kg SO2 eq</v>
      </c>
      <c r="M2638" s="154" t="str">
        <f t="shared" si="133"/>
        <v>High_Base_Low_Upgraded_Acidification Potential (AP) - kg SO2 eq_Clear Cove Primary Clarification; wastewater treatment unit; at updated plant - US_Base_With Amendment_Windrow</v>
      </c>
    </row>
    <row r="2639" spans="1:13" s="120" customFormat="1" x14ac:dyDescent="0.25">
      <c r="A2639" s="119"/>
      <c r="B2639" s="138" t="str">
        <f t="shared" si="131"/>
        <v>Windrow</v>
      </c>
      <c r="C2639" s="138" t="str">
        <f t="shared" si="132"/>
        <v>Base_With Amendment</v>
      </c>
      <c r="D2639" s="118" t="s">
        <v>133</v>
      </c>
      <c r="E2639" s="118" t="s">
        <v>181</v>
      </c>
      <c r="F2639" s="118" t="s">
        <v>46</v>
      </c>
      <c r="G2639" s="153"/>
      <c r="H2639" s="155">
        <v>7.8399999999999997E-2</v>
      </c>
      <c r="I2639" s="154" t="s">
        <v>58</v>
      </c>
      <c r="J2639" s="204">
        <v>4.3299999999999996E-3</v>
      </c>
      <c r="K2639" s="154" t="s">
        <v>24</v>
      </c>
      <c r="L2639" s="154" t="str">
        <f>IF(OpenLCAbasic!K2639="CTUh", "Fill in Manually",IF(OR(K2639="Unit", K2639=""), "", INDEX(LookUps!$E$5:$E$12, MATCH(OpenLCAbasic!K2639,LookUps!$D$5:$D$12,0))))</f>
        <v>Acidification Potential (AP) - kg SO2 eq</v>
      </c>
      <c r="M2639" s="154" t="str">
        <f t="shared" si="133"/>
        <v>High_Base_Low_Upgraded_Acidification Potential (AP) - kg SO2 eq_Pre-Anoxic &amp; Swing tank; wastewater treatment unit; at updated plant - US_Base_With Amendment_Windrow</v>
      </c>
    </row>
    <row r="2640" spans="1:13" s="120" customFormat="1" x14ac:dyDescent="0.25">
      <c r="A2640" s="119"/>
      <c r="B2640" s="138" t="str">
        <f t="shared" si="131"/>
        <v>Windrow</v>
      </c>
      <c r="C2640" s="138" t="str">
        <f t="shared" si="132"/>
        <v>Base_With Amendment</v>
      </c>
      <c r="D2640" s="118" t="s">
        <v>133</v>
      </c>
      <c r="E2640" s="118" t="s">
        <v>181</v>
      </c>
      <c r="F2640" s="118" t="s">
        <v>46</v>
      </c>
      <c r="G2640" s="153"/>
      <c r="H2640" s="155">
        <v>6.25E-2</v>
      </c>
      <c r="I2640" s="154" t="s">
        <v>53</v>
      </c>
      <c r="J2640" s="204">
        <v>3.4499999999999999E-3</v>
      </c>
      <c r="K2640" s="154" t="s">
        <v>24</v>
      </c>
      <c r="L2640" s="154" t="str">
        <f>IF(OpenLCAbasic!K2640="CTUh", "Fill in Manually",IF(OR(K2640="Unit", K2640=""), "", INDEX(LookUps!$E$5:$E$12, MATCH(OpenLCAbasic!K2640,LookUps!$D$5:$D$12,0))))</f>
        <v>Acidification Potential (AP) - kg SO2 eq</v>
      </c>
      <c r="M2640" s="154" t="str">
        <f t="shared" si="133"/>
        <v>High_Base_Low_Upgraded_Acidification Potential (AP) - kg SO2 eq_Wet Well and Sump Station; wastewater treatment unit; at updated plant - US_Base_With Amendment_Windrow</v>
      </c>
    </row>
    <row r="2641" spans="1:13" s="120" customFormat="1" x14ac:dyDescent="0.25">
      <c r="A2641" s="119"/>
      <c r="B2641" s="138" t="str">
        <f t="shared" si="131"/>
        <v>Windrow</v>
      </c>
      <c r="C2641" s="138" t="str">
        <f t="shared" si="132"/>
        <v>Base_With Amendment</v>
      </c>
      <c r="D2641" s="118" t="s">
        <v>133</v>
      </c>
      <c r="E2641" s="118" t="s">
        <v>181</v>
      </c>
      <c r="F2641" s="118" t="s">
        <v>46</v>
      </c>
      <c r="G2641" s="153"/>
      <c r="H2641" s="155">
        <v>4.7199999999999999E-2</v>
      </c>
      <c r="I2641" s="154" t="s">
        <v>62</v>
      </c>
      <c r="J2641" s="204">
        <v>2.6099999999999999E-3</v>
      </c>
      <c r="K2641" s="154" t="s">
        <v>24</v>
      </c>
      <c r="L2641" s="154" t="str">
        <f>IF(OpenLCAbasic!K2641="CTUh", "Fill in Manually",IF(OR(K2641="Unit", K2641=""), "", INDEX(LookUps!$E$5:$E$12, MATCH(OpenLCAbasic!K2641,LookUps!$D$5:$D$12,0))))</f>
        <v>Acidification Potential (AP) - kg SO2 eq</v>
      </c>
      <c r="M2641" s="154" t="str">
        <f t="shared" si="133"/>
        <v>High_Base_Low_Upgraded_Acidification Potential (AP) - kg SO2 eq_Land application of compost; wastewater treatment unit; at updated plant - US_Base_With Amendment_Windrow</v>
      </c>
    </row>
    <row r="2642" spans="1:13" s="120" customFormat="1" x14ac:dyDescent="0.25">
      <c r="A2642" s="119"/>
      <c r="B2642" s="138" t="str">
        <f t="shared" si="131"/>
        <v>Windrow</v>
      </c>
      <c r="C2642" s="138" t="str">
        <f t="shared" si="132"/>
        <v>Base_With Amendment</v>
      </c>
      <c r="D2642" s="118" t="s">
        <v>133</v>
      </c>
      <c r="E2642" s="118" t="s">
        <v>181</v>
      </c>
      <c r="F2642" s="118" t="s">
        <v>46</v>
      </c>
      <c r="G2642" s="153"/>
      <c r="H2642" s="155">
        <v>4.7E-2</v>
      </c>
      <c r="I2642" s="154" t="s">
        <v>149</v>
      </c>
      <c r="J2642" s="204">
        <v>2.5999999999999999E-3</v>
      </c>
      <c r="K2642" s="154" t="s">
        <v>24</v>
      </c>
      <c r="L2642" s="154" t="str">
        <f>IF(OpenLCAbasic!K2642="CTUh", "Fill in Manually",IF(OR(K2642="Unit", K2642=""), "", INDEX(LookUps!$E$5:$E$12, MATCH(OpenLCAbasic!K2642,LookUps!$D$5:$D$12,0))))</f>
        <v>Acidification Potential (AP) - kg SO2 eq</v>
      </c>
      <c r="M2642" s="154" t="str">
        <f t="shared" si="133"/>
        <v>High_Base_Low_Upgraded_Acidification Potential (AP) - kg SO2 eq_Anaerobic Digestion; wastewater treatment unit; at updated plant - US_Base_With Amendment_Windrow</v>
      </c>
    </row>
    <row r="2643" spans="1:13" s="120" customFormat="1" x14ac:dyDescent="0.25">
      <c r="A2643" s="119"/>
      <c r="B2643" s="138" t="str">
        <f t="shared" si="131"/>
        <v>Windrow</v>
      </c>
      <c r="C2643" s="138" t="str">
        <f t="shared" si="132"/>
        <v>Base_With Amendment</v>
      </c>
      <c r="D2643" s="118" t="s">
        <v>133</v>
      </c>
      <c r="E2643" s="118" t="s">
        <v>181</v>
      </c>
      <c r="F2643" s="118" t="s">
        <v>46</v>
      </c>
      <c r="G2643" s="153"/>
      <c r="H2643" s="155">
        <v>4.2999999999999997E-2</v>
      </c>
      <c r="I2643" s="154" t="s">
        <v>167</v>
      </c>
      <c r="J2643" s="204">
        <v>2.3800000000000002E-3</v>
      </c>
      <c r="K2643" s="154" t="s">
        <v>24</v>
      </c>
      <c r="L2643" s="154" t="str">
        <f>IF(OpenLCAbasic!K2643="CTUh", "Fill in Manually",IF(OR(K2643="Unit", K2643=""), "", INDEX(LookUps!$E$5:$E$12, MATCH(OpenLCAbasic!K2643,LookUps!$D$5:$D$12,0))))</f>
        <v>Acidification Potential (AP) - kg SO2 eq</v>
      </c>
      <c r="M2643" s="154" t="str">
        <f t="shared" si="133"/>
        <v>High_Base_Low_Upgraded_Acidification Potential (AP) - kg SO2 eq_Waste Receiving and Holding; wastewater treatment unit; at updated plant - US_Base_With Amendment_Windrow</v>
      </c>
    </row>
    <row r="2644" spans="1:13" s="120" customFormat="1" x14ac:dyDescent="0.25">
      <c r="A2644" s="119"/>
      <c r="B2644" s="138" t="str">
        <f t="shared" si="131"/>
        <v>Windrow</v>
      </c>
      <c r="C2644" s="138" t="str">
        <f t="shared" si="132"/>
        <v>Base_With Amendment</v>
      </c>
      <c r="D2644" s="118" t="s">
        <v>133</v>
      </c>
      <c r="E2644" s="118" t="s">
        <v>181</v>
      </c>
      <c r="F2644" s="118" t="s">
        <v>46</v>
      </c>
      <c r="G2644" s="153"/>
      <c r="H2644" s="155">
        <v>3.7400000000000003E-2</v>
      </c>
      <c r="I2644" s="154" t="s">
        <v>147</v>
      </c>
      <c r="J2644" s="204">
        <v>2.0699999999999998E-3</v>
      </c>
      <c r="K2644" s="154" t="s">
        <v>24</v>
      </c>
      <c r="L2644" s="154" t="str">
        <f>IF(OpenLCAbasic!K2644="CTUh", "Fill in Manually",IF(OR(K2644="Unit", K2644=""), "", INDEX(LookUps!$E$5:$E$12, MATCH(OpenLCAbasic!K2644,LookUps!$D$5:$D$12,0))))</f>
        <v>Acidification Potential (AP) - kg SO2 eq</v>
      </c>
      <c r="M2644" s="154" t="str">
        <f t="shared" si="133"/>
        <v>High_Base_Low_Upgraded_Acidification Potential (AP) - kg SO2 eq_Influent Pump Station; wastewater treatment unit; at updated plant - US_Base_With Amendment_Windrow</v>
      </c>
    </row>
    <row r="2645" spans="1:13" s="120" customFormat="1" x14ac:dyDescent="0.25">
      <c r="A2645" s="119"/>
      <c r="B2645" s="138" t="str">
        <f t="shared" si="131"/>
        <v>Windrow</v>
      </c>
      <c r="C2645" s="138" t="str">
        <f t="shared" si="132"/>
        <v>Base_With Amendment</v>
      </c>
      <c r="D2645" s="118" t="s">
        <v>133</v>
      </c>
      <c r="E2645" s="118" t="s">
        <v>181</v>
      </c>
      <c r="F2645" s="118" t="s">
        <v>46</v>
      </c>
      <c r="G2645" s="153"/>
      <c r="H2645" s="155">
        <v>2.23E-2</v>
      </c>
      <c r="I2645" s="154" t="s">
        <v>128</v>
      </c>
      <c r="J2645" s="204">
        <v>1.23E-3</v>
      </c>
      <c r="K2645" s="154" t="s">
        <v>24</v>
      </c>
      <c r="L2645" s="154" t="str">
        <f>IF(OpenLCAbasic!K2645="CTUh", "Fill in Manually",IF(OR(K2645="Unit", K2645=""), "", INDEX(LookUps!$E$5:$E$12, MATCH(OpenLCAbasic!K2645,LookUps!$D$5:$D$12,0))))</f>
        <v>Acidification Potential (AP) - kg SO2 eq</v>
      </c>
      <c r="M2645" s="154" t="str">
        <f t="shared" si="133"/>
        <v>High_Base_Low_Upgraded_Acidification Potential (AP) - kg SO2 eq_Wastewater collection; operation and infrastructure; m3 wastewater_Base_With Amendment_Windrow</v>
      </c>
    </row>
    <row r="2646" spans="1:13" s="120" customFormat="1" x14ac:dyDescent="0.25">
      <c r="A2646" s="119"/>
      <c r="B2646" s="138" t="str">
        <f t="shared" si="131"/>
        <v>Windrow</v>
      </c>
      <c r="C2646" s="138" t="str">
        <f t="shared" si="132"/>
        <v>Base_With Amendment</v>
      </c>
      <c r="D2646" s="118" t="s">
        <v>133</v>
      </c>
      <c r="E2646" s="118" t="s">
        <v>181</v>
      </c>
      <c r="F2646" s="118" t="s">
        <v>46</v>
      </c>
      <c r="G2646" s="153"/>
      <c r="H2646" s="155">
        <v>1.55E-2</v>
      </c>
      <c r="I2646" s="154" t="s">
        <v>60</v>
      </c>
      <c r="J2646" s="204">
        <v>8.5999999999999998E-4</v>
      </c>
      <c r="K2646" s="154" t="s">
        <v>24</v>
      </c>
      <c r="L2646" s="154" t="str">
        <f>IF(OpenLCAbasic!K2646="CTUh", "Fill in Manually",IF(OR(K2646="Unit", K2646=""), "", INDEX(LookUps!$E$5:$E$12, MATCH(OpenLCAbasic!K2646,LookUps!$D$5:$D$12,0))))</f>
        <v>Acidification Potential (AP) - kg SO2 eq</v>
      </c>
      <c r="M2646" s="154" t="str">
        <f t="shared" si="133"/>
        <v>High_Base_Low_Upgraded_Acidification Potential (AP) - kg SO2 eq_Belt filter press; wastewater treatment unit; at updated plant - US_Base_With Amendment_Windrow</v>
      </c>
    </row>
    <row r="2647" spans="1:13" s="120" customFormat="1" x14ac:dyDescent="0.25">
      <c r="A2647" s="119"/>
      <c r="B2647" s="138" t="str">
        <f t="shared" si="131"/>
        <v>Windrow</v>
      </c>
      <c r="C2647" s="138" t="str">
        <f t="shared" si="132"/>
        <v>Base_With Amendment</v>
      </c>
      <c r="D2647" s="118" t="s">
        <v>133</v>
      </c>
      <c r="E2647" s="118" t="s">
        <v>181</v>
      </c>
      <c r="F2647" s="118" t="s">
        <v>46</v>
      </c>
      <c r="G2647" s="153"/>
      <c r="H2647" s="155">
        <v>1.2699999999999999E-2</v>
      </c>
      <c r="I2647" s="154" t="s">
        <v>57</v>
      </c>
      <c r="J2647" s="204">
        <v>6.9999999999999999E-4</v>
      </c>
      <c r="K2647" s="154" t="s">
        <v>24</v>
      </c>
      <c r="L2647" s="154" t="str">
        <f>IF(OpenLCAbasic!K2647="CTUh", "Fill in Manually",IF(OR(K2647="Unit", K2647=""), "", INDEX(LookUps!$E$5:$E$12, MATCH(OpenLCAbasic!K2647,LookUps!$D$5:$D$12,0))))</f>
        <v>Acidification Potential (AP) - kg SO2 eq</v>
      </c>
      <c r="M2647" s="154" t="str">
        <f t="shared" si="133"/>
        <v>High_Base_Low_Upgraded_Acidification Potential (AP) - kg SO2 eq_Gravity Belt Thickener; wastewater treatment unit; at updated plant - US_Base_With Amendment_Windrow</v>
      </c>
    </row>
    <row r="2648" spans="1:13" s="120" customFormat="1" x14ac:dyDescent="0.25">
      <c r="A2648" s="119"/>
      <c r="B2648" s="138" t="str">
        <f t="shared" si="131"/>
        <v>Windrow</v>
      </c>
      <c r="C2648" s="138" t="str">
        <f t="shared" si="132"/>
        <v>Base_With Amendment</v>
      </c>
      <c r="D2648" s="118" t="s">
        <v>133</v>
      </c>
      <c r="E2648" s="118" t="s">
        <v>181</v>
      </c>
      <c r="F2648" s="118" t="s">
        <v>46</v>
      </c>
      <c r="G2648" s="153"/>
      <c r="H2648" s="155">
        <v>9.2999999999999992E-3</v>
      </c>
      <c r="I2648" s="154" t="s">
        <v>59</v>
      </c>
      <c r="J2648" s="204">
        <v>5.1999999999999995E-4</v>
      </c>
      <c r="K2648" s="154" t="s">
        <v>24</v>
      </c>
      <c r="L2648" s="154" t="str">
        <f>IF(OpenLCAbasic!K2648="CTUh", "Fill in Manually",IF(OR(K2648="Unit", K2648=""), "", INDEX(LookUps!$E$5:$E$12, MATCH(OpenLCAbasic!K2648,LookUps!$D$5:$D$12,0))))</f>
        <v>Acidification Potential (AP) - kg SO2 eq</v>
      </c>
      <c r="M2648" s="154" t="str">
        <f t="shared" si="133"/>
        <v>High_Base_Low_Upgraded_Acidification Potential (AP) - kg SO2 eq_Blend Tank; wastewater treatment unit; at updated plant - US_Base_With Amendment_Windrow</v>
      </c>
    </row>
    <row r="2649" spans="1:13" s="120" customFormat="1" x14ac:dyDescent="0.25">
      <c r="A2649" s="119"/>
      <c r="B2649" s="138" t="str">
        <f t="shared" si="131"/>
        <v>Windrow</v>
      </c>
      <c r="C2649" s="138" t="str">
        <f t="shared" si="132"/>
        <v>Base_With Amendment</v>
      </c>
      <c r="D2649" s="118" t="s">
        <v>133</v>
      </c>
      <c r="E2649" s="118" t="s">
        <v>181</v>
      </c>
      <c r="F2649" s="118" t="s">
        <v>46</v>
      </c>
      <c r="G2649" s="153"/>
      <c r="H2649" s="155">
        <v>6.3E-3</v>
      </c>
      <c r="I2649" s="154" t="s">
        <v>48</v>
      </c>
      <c r="J2649" s="204">
        <v>3.5E-4</v>
      </c>
      <c r="K2649" s="154" t="s">
        <v>24</v>
      </c>
      <c r="L2649" s="154" t="str">
        <f>IF(OpenLCAbasic!K2649="CTUh", "Fill in Manually",IF(OR(K2649="Unit", K2649=""), "", INDEX(LookUps!$E$5:$E$12, MATCH(OpenLCAbasic!K2649,LookUps!$D$5:$D$12,0))))</f>
        <v>Acidification Potential (AP) - kg SO2 eq</v>
      </c>
      <c r="M2649" s="154" t="str">
        <f t="shared" si="133"/>
        <v>High_Base_Low_Upgraded_Acidification Potential (AP) - kg SO2 eq_Effluent release; wastewater treatment unit; at surface water; m3 wastewater - US_Base_With Amendment_Windrow</v>
      </c>
    </row>
    <row r="2650" spans="1:13" s="120" customFormat="1" x14ac:dyDescent="0.25">
      <c r="A2650" s="119"/>
      <c r="B2650" s="138" t="str">
        <f t="shared" si="131"/>
        <v>Windrow</v>
      </c>
      <c r="C2650" s="138" t="str">
        <f t="shared" si="132"/>
        <v>Base_With Amendment</v>
      </c>
      <c r="D2650" s="118" t="s">
        <v>133</v>
      </c>
      <c r="E2650" s="118" t="s">
        <v>181</v>
      </c>
      <c r="F2650" s="118" t="s">
        <v>46</v>
      </c>
      <c r="G2650" s="153"/>
      <c r="H2650" s="155">
        <v>4.5999999999999999E-3</v>
      </c>
      <c r="I2650" s="154" t="s">
        <v>168</v>
      </c>
      <c r="J2650" s="204">
        <v>2.5999999999999998E-4</v>
      </c>
      <c r="K2650" s="154" t="s">
        <v>24</v>
      </c>
      <c r="L2650" s="154" t="str">
        <f>IF(OpenLCAbasic!K2650="CTUh", "Fill in Manually",IF(OR(K2650="Unit", K2650=""), "", INDEX(LookUps!$E$5:$E$12, MATCH(OpenLCAbasic!K2650,LookUps!$D$5:$D$12,0))))</f>
        <v>Acidification Potential (AP) - kg SO2 eq</v>
      </c>
      <c r="M2650" s="154" t="str">
        <f t="shared" si="133"/>
        <v>High_Base_Low_Upgraded_Acidification Potential (AP) - kg SO2 eq_ClearCove SCP; wastewater treatment unit; at updated plant - US_Base_With Amendment_Windrow</v>
      </c>
    </row>
    <row r="2651" spans="1:13" s="120" customFormat="1" x14ac:dyDescent="0.25">
      <c r="A2651" s="119"/>
      <c r="B2651" s="138" t="str">
        <f t="shared" si="131"/>
        <v>Windrow</v>
      </c>
      <c r="C2651" s="138" t="str">
        <f t="shared" si="132"/>
        <v>Base_With Amendment</v>
      </c>
      <c r="D2651" s="118" t="s">
        <v>133</v>
      </c>
      <c r="E2651" s="118" t="s">
        <v>181</v>
      </c>
      <c r="F2651" s="118" t="s">
        <v>46</v>
      </c>
      <c r="G2651" s="153"/>
      <c r="H2651" s="155">
        <v>6.9999999999999999E-4</v>
      </c>
      <c r="I2651" s="154" t="s">
        <v>148</v>
      </c>
      <c r="J2651" s="204">
        <v>4.0354700000000002E-5</v>
      </c>
      <c r="K2651" s="154" t="s">
        <v>24</v>
      </c>
      <c r="L2651" s="154" t="str">
        <f>IF(OpenLCAbasic!K2651="CTUh", "Fill in Manually",IF(OR(K2651="Unit", K2651=""), "", INDEX(LookUps!$E$5:$E$12, MATCH(OpenLCAbasic!K2651,LookUps!$D$5:$D$12,0))))</f>
        <v>Acidification Potential (AP) - kg SO2 eq</v>
      </c>
      <c r="M2651" s="154" t="str">
        <f t="shared" si="133"/>
        <v>High_Base_Low_Upgraded_Acidification Potential (AP) - kg SO2 eq_Control Building; at upgraded wastewater treatment plant - US_Base_With Amendment_Windrow</v>
      </c>
    </row>
    <row r="2652" spans="1:13" s="120" customFormat="1" x14ac:dyDescent="0.25">
      <c r="A2652" s="119"/>
      <c r="B2652" s="138" t="str">
        <f t="shared" si="131"/>
        <v>Windrow</v>
      </c>
      <c r="C2652" s="138" t="str">
        <f t="shared" si="132"/>
        <v>Base_With Amendment</v>
      </c>
      <c r="D2652" s="118" t="s">
        <v>133</v>
      </c>
      <c r="E2652" s="118" t="s">
        <v>181</v>
      </c>
      <c r="F2652" s="118" t="s">
        <v>46</v>
      </c>
      <c r="G2652" s="153" t="s">
        <v>51</v>
      </c>
      <c r="H2652" s="154"/>
      <c r="I2652" s="154" t="s">
        <v>47</v>
      </c>
      <c r="J2652" s="154" t="s">
        <v>52</v>
      </c>
      <c r="K2652" s="154" t="s">
        <v>27</v>
      </c>
      <c r="L2652" s="154" t="str">
        <f>IF(OpenLCAbasic!K2652="CTUh", "Fill in Manually",IF(OR(K2652="Unit", K2652=""), "", INDEX(LookUps!$E$5:$E$12, MATCH(OpenLCAbasic!K2652,LookUps!$D$5:$D$12,0))))</f>
        <v/>
      </c>
      <c r="M2652" s="154" t="str">
        <f t="shared" si="133"/>
        <v>High_Base_Low_Upgraded__Process_Base_With Amendment_Windrow</v>
      </c>
    </row>
    <row r="2653" spans="1:13" s="120" customFormat="1" x14ac:dyDescent="0.25">
      <c r="A2653" s="119"/>
      <c r="B2653" s="138" t="str">
        <f t="shared" si="131"/>
        <v>Windrow</v>
      </c>
      <c r="C2653" s="138" t="str">
        <f t="shared" si="132"/>
        <v>Base_With Amendment</v>
      </c>
      <c r="D2653" s="118" t="s">
        <v>133</v>
      </c>
      <c r="E2653" s="118" t="s">
        <v>181</v>
      </c>
      <c r="F2653" s="118" t="s">
        <v>46</v>
      </c>
      <c r="G2653" s="153"/>
      <c r="H2653" s="155">
        <v>0.2737</v>
      </c>
      <c r="I2653" s="154" t="s">
        <v>167</v>
      </c>
      <c r="J2653" s="203">
        <v>7.9170000000000004E-2</v>
      </c>
      <c r="K2653" s="154" t="s">
        <v>14</v>
      </c>
      <c r="L2653" s="154" t="str">
        <f>IF(OpenLCAbasic!K2653="CTUh", "Fill in Manually",IF(OR(K2653="Unit", K2653=""), "", INDEX(LookUps!$E$5:$E$12, MATCH(OpenLCAbasic!K2653,LookUps!$D$5:$D$12,0))))</f>
        <v>Fossil Depletion Potential (FDP) - kg oil eq</v>
      </c>
      <c r="M2653" s="154" t="str">
        <f t="shared" si="133"/>
        <v>High_Base_Low_Upgraded_Fossil Depletion Potential (FDP) - kg oil eq_Waste Receiving and Holding; wastewater treatment unit; at updated plant - US_Base_With Amendment_Windrow</v>
      </c>
    </row>
    <row r="2654" spans="1:13" s="120" customFormat="1" x14ac:dyDescent="0.25">
      <c r="A2654" s="119"/>
      <c r="B2654" s="138" t="str">
        <f t="shared" si="131"/>
        <v>Windrow</v>
      </c>
      <c r="C2654" s="138" t="str">
        <f t="shared" si="132"/>
        <v>Base_With Amendment</v>
      </c>
      <c r="D2654" s="118" t="s">
        <v>133</v>
      </c>
      <c r="E2654" s="118" t="s">
        <v>181</v>
      </c>
      <c r="F2654" s="118" t="s">
        <v>46</v>
      </c>
      <c r="G2654" s="153"/>
      <c r="H2654" s="155">
        <v>0.2198</v>
      </c>
      <c r="I2654" s="154" t="s">
        <v>55</v>
      </c>
      <c r="J2654" s="203">
        <v>6.3589999999999994E-2</v>
      </c>
      <c r="K2654" s="154" t="s">
        <v>14</v>
      </c>
      <c r="L2654" s="154" t="str">
        <f>IF(OpenLCAbasic!K2654="CTUh", "Fill in Manually",IF(OR(K2654="Unit", K2654=""), "", INDEX(LookUps!$E$5:$E$12, MATCH(OpenLCAbasic!K2654,LookUps!$D$5:$D$12,0))))</f>
        <v>Fossil Depletion Potential (FDP) - kg oil eq</v>
      </c>
      <c r="M2654" s="154" t="str">
        <f t="shared" si="133"/>
        <v>High_Base_Low_Upgraded_Fossil Depletion Potential (FDP) - kg oil eq_Aeration Tanks; wastewater treatment unit; at updated plant - US_Base_With Amendment_Windrow</v>
      </c>
    </row>
    <row r="2655" spans="1:13" s="120" customFormat="1" x14ac:dyDescent="0.25">
      <c r="A2655" s="119"/>
      <c r="B2655" s="138" t="str">
        <f t="shared" si="131"/>
        <v>Windrow</v>
      </c>
      <c r="C2655" s="138" t="str">
        <f t="shared" si="132"/>
        <v>Base_With Amendment</v>
      </c>
      <c r="D2655" s="118" t="s">
        <v>133</v>
      </c>
      <c r="E2655" s="118" t="s">
        <v>181</v>
      </c>
      <c r="F2655" s="118" t="s">
        <v>46</v>
      </c>
      <c r="G2655" s="153"/>
      <c r="H2655" s="155">
        <v>0.2137</v>
      </c>
      <c r="I2655" s="154" t="s">
        <v>149</v>
      </c>
      <c r="J2655" s="203">
        <v>6.1809999999999997E-2</v>
      </c>
      <c r="K2655" s="154" t="s">
        <v>14</v>
      </c>
      <c r="L2655" s="154" t="str">
        <f>IF(OpenLCAbasic!K2655="CTUh", "Fill in Manually",IF(OR(K2655="Unit", K2655=""), "", INDEX(LookUps!$E$5:$E$12, MATCH(OpenLCAbasic!K2655,LookUps!$D$5:$D$12,0))))</f>
        <v>Fossil Depletion Potential (FDP) - kg oil eq</v>
      </c>
      <c r="M2655" s="154" t="str">
        <f t="shared" si="133"/>
        <v>High_Base_Low_Upgraded_Fossil Depletion Potential (FDP) - kg oil eq_Anaerobic Digestion; wastewater treatment unit; at updated plant - US_Base_With Amendment_Windrow</v>
      </c>
    </row>
    <row r="2656" spans="1:13" s="120" customFormat="1" x14ac:dyDescent="0.25">
      <c r="A2656" s="119"/>
      <c r="B2656" s="138" t="str">
        <f t="shared" si="131"/>
        <v>Windrow</v>
      </c>
      <c r="C2656" s="138" t="str">
        <f t="shared" si="132"/>
        <v>Base_With Amendment</v>
      </c>
      <c r="D2656" s="118" t="s">
        <v>133</v>
      </c>
      <c r="E2656" s="118" t="s">
        <v>181</v>
      </c>
      <c r="F2656" s="118" t="s">
        <v>46</v>
      </c>
      <c r="G2656" s="153"/>
      <c r="H2656" s="155">
        <v>7.2800000000000004E-2</v>
      </c>
      <c r="I2656" s="154" t="s">
        <v>54</v>
      </c>
      <c r="J2656" s="203">
        <v>2.1049999999999999E-2</v>
      </c>
      <c r="K2656" s="154" t="s">
        <v>14</v>
      </c>
      <c r="L2656" s="154" t="str">
        <f>IF(OpenLCAbasic!K2656="CTUh", "Fill in Manually",IF(OR(K2656="Unit", K2656=""), "", INDEX(LookUps!$E$5:$E$12, MATCH(OpenLCAbasic!K2656,LookUps!$D$5:$D$12,0))))</f>
        <v>Fossil Depletion Potential (FDP) - kg oil eq</v>
      </c>
      <c r="M2656" s="154" t="str">
        <f t="shared" si="133"/>
        <v>High_Base_Low_Upgraded_Fossil Depletion Potential (FDP) - kg oil eq_Clear Cove Primary Clarification; wastewater treatment unit; at updated plant - US_Base_With Amendment_Windrow</v>
      </c>
    </row>
    <row r="2657" spans="1:13" s="120" customFormat="1" x14ac:dyDescent="0.25">
      <c r="A2657" s="119"/>
      <c r="B2657" s="138" t="str">
        <f t="shared" si="131"/>
        <v>Windrow</v>
      </c>
      <c r="C2657" s="138" t="str">
        <f t="shared" si="132"/>
        <v>Base_With Amendment</v>
      </c>
      <c r="D2657" s="118" t="s">
        <v>133</v>
      </c>
      <c r="E2657" s="118" t="s">
        <v>181</v>
      </c>
      <c r="F2657" s="118" t="s">
        <v>46</v>
      </c>
      <c r="G2657" s="153"/>
      <c r="H2657" s="155">
        <v>5.5E-2</v>
      </c>
      <c r="I2657" s="154" t="s">
        <v>58</v>
      </c>
      <c r="J2657" s="203">
        <v>1.592E-2</v>
      </c>
      <c r="K2657" s="154" t="s">
        <v>14</v>
      </c>
      <c r="L2657" s="154" t="str">
        <f>IF(OpenLCAbasic!K2657="CTUh", "Fill in Manually",IF(OR(K2657="Unit", K2657=""), "", INDEX(LookUps!$E$5:$E$12, MATCH(OpenLCAbasic!K2657,LookUps!$D$5:$D$12,0))))</f>
        <v>Fossil Depletion Potential (FDP) - kg oil eq</v>
      </c>
      <c r="M2657" s="154" t="str">
        <f t="shared" si="133"/>
        <v>High_Base_Low_Upgraded_Fossil Depletion Potential (FDP) - kg oil eq_Pre-Anoxic &amp; Swing tank; wastewater treatment unit; at updated plant - US_Base_With Amendment_Windrow</v>
      </c>
    </row>
    <row r="2658" spans="1:13" s="120" customFormat="1" x14ac:dyDescent="0.25">
      <c r="A2658" s="119"/>
      <c r="B2658" s="138" t="str">
        <f t="shared" si="131"/>
        <v>Windrow</v>
      </c>
      <c r="C2658" s="138" t="str">
        <f t="shared" si="132"/>
        <v>Base_With Amendment</v>
      </c>
      <c r="D2658" s="118" t="s">
        <v>133</v>
      </c>
      <c r="E2658" s="118" t="s">
        <v>181</v>
      </c>
      <c r="F2658" s="118" t="s">
        <v>46</v>
      </c>
      <c r="G2658" s="153"/>
      <c r="H2658" s="155">
        <v>5.2200000000000003E-2</v>
      </c>
      <c r="I2658" s="154" t="s">
        <v>147</v>
      </c>
      <c r="J2658" s="203">
        <v>1.5089999999999999E-2</v>
      </c>
      <c r="K2658" s="154" t="s">
        <v>14</v>
      </c>
      <c r="L2658" s="154" t="str">
        <f>IF(OpenLCAbasic!K2658="CTUh", "Fill in Manually",IF(OR(K2658="Unit", K2658=""), "", INDEX(LookUps!$E$5:$E$12, MATCH(OpenLCAbasic!K2658,LookUps!$D$5:$D$12,0))))</f>
        <v>Fossil Depletion Potential (FDP) - kg oil eq</v>
      </c>
      <c r="M2658" s="154" t="str">
        <f t="shared" si="133"/>
        <v>High_Base_Low_Upgraded_Fossil Depletion Potential (FDP) - kg oil eq_Influent Pump Station; wastewater treatment unit; at updated plant - US_Base_With Amendment_Windrow</v>
      </c>
    </row>
    <row r="2659" spans="1:13" s="120" customFormat="1" x14ac:dyDescent="0.25">
      <c r="A2659" s="119"/>
      <c r="B2659" s="138" t="str">
        <f t="shared" si="131"/>
        <v>Windrow</v>
      </c>
      <c r="C2659" s="138" t="str">
        <f t="shared" si="132"/>
        <v>Base_With Amendment</v>
      </c>
      <c r="D2659" s="118" t="s">
        <v>133</v>
      </c>
      <c r="E2659" s="118" t="s">
        <v>181</v>
      </c>
      <c r="F2659" s="118" t="s">
        <v>46</v>
      </c>
      <c r="G2659" s="153"/>
      <c r="H2659" s="155">
        <v>4.3200000000000002E-2</v>
      </c>
      <c r="I2659" s="154" t="s">
        <v>53</v>
      </c>
      <c r="J2659" s="204">
        <v>1.2489999999999999E-2</v>
      </c>
      <c r="K2659" s="154" t="s">
        <v>14</v>
      </c>
      <c r="L2659" s="154" t="str">
        <f>IF(OpenLCAbasic!K2659="CTUh", "Fill in Manually",IF(OR(K2659="Unit", K2659=""), "", INDEX(LookUps!$E$5:$E$12, MATCH(OpenLCAbasic!K2659,LookUps!$D$5:$D$12,0))))</f>
        <v>Fossil Depletion Potential (FDP) - kg oil eq</v>
      </c>
      <c r="M2659" s="154" t="str">
        <f t="shared" si="133"/>
        <v>High_Base_Low_Upgraded_Fossil Depletion Potential (FDP) - kg oil eq_Wet Well and Sump Station; wastewater treatment unit; at updated plant - US_Base_With Amendment_Windrow</v>
      </c>
    </row>
    <row r="2660" spans="1:13" s="120" customFormat="1" x14ac:dyDescent="0.25">
      <c r="A2660" s="119"/>
      <c r="B2660" s="138" t="str">
        <f t="shared" si="131"/>
        <v>Windrow</v>
      </c>
      <c r="C2660" s="138" t="str">
        <f t="shared" si="132"/>
        <v>Base_With Amendment</v>
      </c>
      <c r="D2660" s="118" t="s">
        <v>133</v>
      </c>
      <c r="E2660" s="118" t="s">
        <v>181</v>
      </c>
      <c r="F2660" s="118" t="s">
        <v>46</v>
      </c>
      <c r="G2660" s="153"/>
      <c r="H2660" s="155">
        <v>2.3900000000000001E-2</v>
      </c>
      <c r="I2660" s="154" t="s">
        <v>57</v>
      </c>
      <c r="J2660" s="204">
        <v>6.9199999999999999E-3</v>
      </c>
      <c r="K2660" s="154" t="s">
        <v>14</v>
      </c>
      <c r="L2660" s="154" t="str">
        <f>IF(OpenLCAbasic!K2660="CTUh", "Fill in Manually",IF(OR(K2660="Unit", K2660=""), "", INDEX(LookUps!$E$5:$E$12, MATCH(OpenLCAbasic!K2660,LookUps!$D$5:$D$12,0))))</f>
        <v>Fossil Depletion Potential (FDP) - kg oil eq</v>
      </c>
      <c r="M2660" s="154" t="str">
        <f t="shared" si="133"/>
        <v>High_Base_Low_Upgraded_Fossil Depletion Potential (FDP) - kg oil eq_Gravity Belt Thickener; wastewater treatment unit; at updated plant - US_Base_With Amendment_Windrow</v>
      </c>
    </row>
    <row r="2661" spans="1:13" s="120" customFormat="1" x14ac:dyDescent="0.25">
      <c r="A2661" s="119"/>
      <c r="B2661" s="138" t="str">
        <f t="shared" si="131"/>
        <v>Windrow</v>
      </c>
      <c r="C2661" s="138" t="str">
        <f t="shared" si="132"/>
        <v>Base_With Amendment</v>
      </c>
      <c r="D2661" s="118" t="s">
        <v>133</v>
      </c>
      <c r="E2661" s="118" t="s">
        <v>181</v>
      </c>
      <c r="F2661" s="118" t="s">
        <v>46</v>
      </c>
      <c r="G2661" s="153"/>
      <c r="H2661" s="155">
        <v>2.23E-2</v>
      </c>
      <c r="I2661" s="154" t="s">
        <v>60</v>
      </c>
      <c r="J2661" s="204">
        <v>6.45E-3</v>
      </c>
      <c r="K2661" s="154" t="s">
        <v>14</v>
      </c>
      <c r="L2661" s="154" t="str">
        <f>IF(OpenLCAbasic!K2661="CTUh", "Fill in Manually",IF(OR(K2661="Unit", K2661=""), "", INDEX(LookUps!$E$5:$E$12, MATCH(OpenLCAbasic!K2661,LookUps!$D$5:$D$12,0))))</f>
        <v>Fossil Depletion Potential (FDP) - kg oil eq</v>
      </c>
      <c r="M2661" s="154" t="str">
        <f t="shared" si="133"/>
        <v>High_Base_Low_Upgraded_Fossil Depletion Potential (FDP) - kg oil eq_Belt filter press; wastewater treatment unit; at updated plant - US_Base_With Amendment_Windrow</v>
      </c>
    </row>
    <row r="2662" spans="1:13" s="120" customFormat="1" x14ac:dyDescent="0.25">
      <c r="A2662" s="119"/>
      <c r="B2662" s="138" t="str">
        <f t="shared" si="131"/>
        <v>Windrow</v>
      </c>
      <c r="C2662" s="138" t="str">
        <f t="shared" si="132"/>
        <v>Base_With Amendment</v>
      </c>
      <c r="D2662" s="118" t="s">
        <v>133</v>
      </c>
      <c r="E2662" s="118" t="s">
        <v>181</v>
      </c>
      <c r="F2662" s="118" t="s">
        <v>46</v>
      </c>
      <c r="G2662" s="153"/>
      <c r="H2662" s="155">
        <v>1.5599999999999999E-2</v>
      </c>
      <c r="I2662" s="154" t="s">
        <v>128</v>
      </c>
      <c r="J2662" s="204">
        <v>4.4999999999999997E-3</v>
      </c>
      <c r="K2662" s="154" t="s">
        <v>14</v>
      </c>
      <c r="L2662" s="154" t="str">
        <f>IF(OpenLCAbasic!K2662="CTUh", "Fill in Manually",IF(OR(K2662="Unit", K2662=""), "", INDEX(LookUps!$E$5:$E$12, MATCH(OpenLCAbasic!K2662,LookUps!$D$5:$D$12,0))))</f>
        <v>Fossil Depletion Potential (FDP) - kg oil eq</v>
      </c>
      <c r="M2662" s="154" t="str">
        <f t="shared" si="133"/>
        <v>High_Base_Low_Upgraded_Fossil Depletion Potential (FDP) - kg oil eq_Wastewater collection; operation and infrastructure; m3 wastewater_Base_With Amendment_Windrow</v>
      </c>
    </row>
    <row r="2663" spans="1:13" s="120" customFormat="1" x14ac:dyDescent="0.25">
      <c r="A2663" s="119"/>
      <c r="B2663" s="138" t="str">
        <f t="shared" si="131"/>
        <v>Windrow</v>
      </c>
      <c r="C2663" s="138" t="str">
        <f t="shared" si="132"/>
        <v>Base_With Amendment</v>
      </c>
      <c r="D2663" s="118" t="s">
        <v>133</v>
      </c>
      <c r="E2663" s="118" t="s">
        <v>181</v>
      </c>
      <c r="F2663" s="118" t="s">
        <v>46</v>
      </c>
      <c r="G2663" s="153"/>
      <c r="H2663" s="155">
        <v>9.7000000000000003E-3</v>
      </c>
      <c r="I2663" s="154" t="s">
        <v>148</v>
      </c>
      <c r="J2663" s="204">
        <v>2.8E-3</v>
      </c>
      <c r="K2663" s="154" t="s">
        <v>14</v>
      </c>
      <c r="L2663" s="154" t="str">
        <f>IF(OpenLCAbasic!K2663="CTUh", "Fill in Manually",IF(OR(K2663="Unit", K2663=""), "", INDEX(LookUps!$E$5:$E$12, MATCH(OpenLCAbasic!K2663,LookUps!$D$5:$D$12,0))))</f>
        <v>Fossil Depletion Potential (FDP) - kg oil eq</v>
      </c>
      <c r="M2663" s="154" t="str">
        <f t="shared" si="133"/>
        <v>High_Base_Low_Upgraded_Fossil Depletion Potential (FDP) - kg oil eq_Control Building; at upgraded wastewater treatment plant - US_Base_With Amendment_Windrow</v>
      </c>
    </row>
    <row r="2664" spans="1:13" s="120" customFormat="1" x14ac:dyDescent="0.25">
      <c r="A2664" s="119"/>
      <c r="B2664" s="138" t="str">
        <f t="shared" si="131"/>
        <v>Windrow</v>
      </c>
      <c r="C2664" s="138" t="str">
        <f t="shared" si="132"/>
        <v>Base_With Amendment</v>
      </c>
      <c r="D2664" s="118" t="s">
        <v>133</v>
      </c>
      <c r="E2664" s="118" t="s">
        <v>181</v>
      </c>
      <c r="F2664" s="118" t="s">
        <v>46</v>
      </c>
      <c r="G2664" s="153"/>
      <c r="H2664" s="155">
        <v>8.2000000000000007E-3</v>
      </c>
      <c r="I2664" s="154" t="s">
        <v>48</v>
      </c>
      <c r="J2664" s="204">
        <v>2.3600000000000001E-3</v>
      </c>
      <c r="K2664" s="154" t="s">
        <v>14</v>
      </c>
      <c r="L2664" s="154" t="str">
        <f>IF(OpenLCAbasic!K2664="CTUh", "Fill in Manually",IF(OR(K2664="Unit", K2664=""), "", INDEX(LookUps!$E$5:$E$12, MATCH(OpenLCAbasic!K2664,LookUps!$D$5:$D$12,0))))</f>
        <v>Fossil Depletion Potential (FDP) - kg oil eq</v>
      </c>
      <c r="M2664" s="154" t="str">
        <f t="shared" si="133"/>
        <v>High_Base_Low_Upgraded_Fossil Depletion Potential (FDP) - kg oil eq_Effluent release; wastewater treatment unit; at surface water; m3 wastewater - US_Base_With Amendment_Windrow</v>
      </c>
    </row>
    <row r="2665" spans="1:13" s="120" customFormat="1" x14ac:dyDescent="0.25">
      <c r="A2665" s="119"/>
      <c r="B2665" s="138" t="str">
        <f t="shared" si="131"/>
        <v>Windrow</v>
      </c>
      <c r="C2665" s="138" t="str">
        <f t="shared" si="132"/>
        <v>Base_With Amendment</v>
      </c>
      <c r="D2665" s="118" t="s">
        <v>133</v>
      </c>
      <c r="E2665" s="118" t="s">
        <v>181</v>
      </c>
      <c r="F2665" s="118" t="s">
        <v>46</v>
      </c>
      <c r="G2665" s="153"/>
      <c r="H2665" s="155">
        <v>6.6E-3</v>
      </c>
      <c r="I2665" s="154" t="s">
        <v>59</v>
      </c>
      <c r="J2665" s="204">
        <v>1.92E-3</v>
      </c>
      <c r="K2665" s="154" t="s">
        <v>14</v>
      </c>
      <c r="L2665" s="154" t="str">
        <f>IF(OpenLCAbasic!K2665="CTUh", "Fill in Manually",IF(OR(K2665="Unit", K2665=""), "", INDEX(LookUps!$E$5:$E$12, MATCH(OpenLCAbasic!K2665,LookUps!$D$5:$D$12,0))))</f>
        <v>Fossil Depletion Potential (FDP) - kg oil eq</v>
      </c>
      <c r="M2665" s="154" t="str">
        <f t="shared" si="133"/>
        <v>High_Base_Low_Upgraded_Fossil Depletion Potential (FDP) - kg oil eq_Blend Tank; wastewater treatment unit; at updated plant - US_Base_With Amendment_Windrow</v>
      </c>
    </row>
    <row r="2666" spans="1:13" s="120" customFormat="1" x14ac:dyDescent="0.25">
      <c r="A2666" s="119"/>
      <c r="B2666" s="138" t="str">
        <f t="shared" si="131"/>
        <v>Windrow</v>
      </c>
      <c r="C2666" s="138" t="str">
        <f t="shared" si="132"/>
        <v>Base_With Amendment</v>
      </c>
      <c r="D2666" s="118" t="s">
        <v>133</v>
      </c>
      <c r="E2666" s="118" t="s">
        <v>181</v>
      </c>
      <c r="F2666" s="118" t="s">
        <v>46</v>
      </c>
      <c r="G2666" s="153"/>
      <c r="H2666" s="155">
        <v>3.2000000000000002E-3</v>
      </c>
      <c r="I2666" s="154" t="s">
        <v>168</v>
      </c>
      <c r="J2666" s="204">
        <v>9.1E-4</v>
      </c>
      <c r="K2666" s="154" t="s">
        <v>14</v>
      </c>
      <c r="L2666" s="154" t="str">
        <f>IF(OpenLCAbasic!K2666="CTUh", "Fill in Manually",IF(OR(K2666="Unit", K2666=""), "", INDEX(LookUps!$E$5:$E$12, MATCH(OpenLCAbasic!K2666,LookUps!$D$5:$D$12,0))))</f>
        <v>Fossil Depletion Potential (FDP) - kg oil eq</v>
      </c>
      <c r="M2666" s="154" t="str">
        <f t="shared" si="133"/>
        <v>High_Base_Low_Upgraded_Fossil Depletion Potential (FDP) - kg oil eq_ClearCove SCP; wastewater treatment unit; at updated plant - US_Base_With Amendment_Windrow</v>
      </c>
    </row>
    <row r="2667" spans="1:13" s="120" customFormat="1" x14ac:dyDescent="0.25">
      <c r="A2667" s="119"/>
      <c r="B2667" s="138" t="str">
        <f t="shared" si="131"/>
        <v>Windrow</v>
      </c>
      <c r="C2667" s="138" t="str">
        <f t="shared" si="132"/>
        <v>Base_With Amendment</v>
      </c>
      <c r="D2667" s="118" t="s">
        <v>133</v>
      </c>
      <c r="E2667" s="118" t="s">
        <v>181</v>
      </c>
      <c r="F2667" s="118" t="s">
        <v>46</v>
      </c>
      <c r="G2667" s="153"/>
      <c r="H2667" s="155">
        <v>1.6999999999999999E-3</v>
      </c>
      <c r="I2667" s="154" t="s">
        <v>271</v>
      </c>
      <c r="J2667" s="204">
        <v>4.8999999999999998E-4</v>
      </c>
      <c r="K2667" s="154" t="s">
        <v>14</v>
      </c>
      <c r="L2667" s="154" t="str">
        <f>IF(OpenLCAbasic!K2667="CTUh", "Fill in Manually",IF(OR(K2667="Unit", K2667=""), "", INDEX(LookUps!$E$5:$E$12, MATCH(OpenLCAbasic!K2667,LookUps!$D$5:$D$12,0))))</f>
        <v>Fossil Depletion Potential (FDP) - kg oil eq</v>
      </c>
      <c r="M2667" s="154" t="str">
        <f t="shared" si="133"/>
        <v>High_Base_Low_Upgraded_Fossil Depletion Potential (FDP) - kg oil eq_Biosolids composting; windrow composting; wastewater treatment unit; at updated plant - US_Base_With Amendment_Windrow</v>
      </c>
    </row>
    <row r="2668" spans="1:13" s="120" customFormat="1" x14ac:dyDescent="0.25">
      <c r="A2668" s="119"/>
      <c r="B2668" s="138" t="str">
        <f t="shared" si="131"/>
        <v>Windrow</v>
      </c>
      <c r="C2668" s="138" t="str">
        <f t="shared" si="132"/>
        <v>Base_With Amendment</v>
      </c>
      <c r="D2668" s="118" t="s">
        <v>133</v>
      </c>
      <c r="E2668" s="118" t="s">
        <v>181</v>
      </c>
      <c r="F2668" s="118" t="s">
        <v>46</v>
      </c>
      <c r="G2668" s="153"/>
      <c r="H2668" s="155">
        <v>-2.1399999999999999E-2</v>
      </c>
      <c r="I2668" s="154" t="s">
        <v>62</v>
      </c>
      <c r="J2668" s="204">
        <v>-6.1900000000000002E-3</v>
      </c>
      <c r="K2668" s="154" t="s">
        <v>14</v>
      </c>
      <c r="L2668" s="154" t="str">
        <f>IF(OpenLCAbasic!K2668="CTUh", "Fill in Manually",IF(OR(K2668="Unit", K2668=""), "", INDEX(LookUps!$E$5:$E$12, MATCH(OpenLCAbasic!K2668,LookUps!$D$5:$D$12,0))))</f>
        <v>Fossil Depletion Potential (FDP) - kg oil eq</v>
      </c>
      <c r="M2668" s="154" t="str">
        <f t="shared" si="133"/>
        <v>High_Base_Low_Upgraded_Fossil Depletion Potential (FDP) - kg oil eq_Land application of compost; wastewater treatment unit; at updated plant - US_Base_With Amendment_Windrow</v>
      </c>
    </row>
    <row r="2669" spans="1:13" s="120" customFormat="1" x14ac:dyDescent="0.25">
      <c r="A2669" s="119"/>
      <c r="B2669" s="138" t="str">
        <f t="shared" si="131"/>
        <v>Windrow</v>
      </c>
      <c r="C2669" s="138" t="str">
        <f t="shared" si="132"/>
        <v>Base_With Amendment</v>
      </c>
      <c r="D2669" s="118" t="s">
        <v>133</v>
      </c>
      <c r="E2669" s="118" t="s">
        <v>181</v>
      </c>
      <c r="F2669" s="118" t="s">
        <v>46</v>
      </c>
      <c r="G2669" s="153" t="s">
        <v>51</v>
      </c>
      <c r="H2669" s="154"/>
      <c r="I2669" s="154" t="s">
        <v>47</v>
      </c>
      <c r="J2669" s="154" t="s">
        <v>52</v>
      </c>
      <c r="K2669" s="154" t="s">
        <v>27</v>
      </c>
      <c r="L2669" s="154" t="str">
        <f>IF(OpenLCAbasic!K2669="CTUh", "Fill in Manually",IF(OR(K2669="Unit", K2669=""), "", INDEX(LookUps!$E$5:$E$12, MATCH(OpenLCAbasic!K2669,LookUps!$D$5:$D$12,0))))</f>
        <v/>
      </c>
      <c r="M2669" s="154" t="str">
        <f t="shared" si="133"/>
        <v>High_Base_Low_Upgraded__Process_Base_With Amendment_Windrow</v>
      </c>
    </row>
    <row r="2670" spans="1:13" s="120" customFormat="1" x14ac:dyDescent="0.25">
      <c r="A2670" s="119"/>
      <c r="B2670" s="138" t="str">
        <f t="shared" si="131"/>
        <v>Windrow</v>
      </c>
      <c r="C2670" s="138" t="str">
        <f t="shared" si="132"/>
        <v>Base_With Amendment</v>
      </c>
      <c r="D2670" s="118" t="s">
        <v>133</v>
      </c>
      <c r="E2670" s="118" t="s">
        <v>181</v>
      </c>
      <c r="F2670" s="118" t="s">
        <v>46</v>
      </c>
      <c r="G2670" s="153"/>
      <c r="H2670" s="155">
        <v>0.39129999999999998</v>
      </c>
      <c r="I2670" s="154" t="s">
        <v>55</v>
      </c>
      <c r="J2670" s="204">
        <v>2.33E-3</v>
      </c>
      <c r="K2670" s="154" t="s">
        <v>145</v>
      </c>
      <c r="L2670" s="154" t="str">
        <f>IF(OpenLCAbasic!K2670="CTUh", "Fill in Manually",IF(OR(K2670="Unit", K2670=""), "", INDEX(LookUps!$E$5:$E$12, MATCH(OpenLCAbasic!K2670,LookUps!$D$5:$D$12,0))))</f>
        <v>Particulate Matter Formation Potential (PMFP) - kg PM2.5 eq</v>
      </c>
      <c r="M2670" s="154" t="str">
        <f t="shared" si="133"/>
        <v>High_Base_Low_Upgraded_Particulate Matter Formation Potential (PMFP) - kg PM2.5 eq_Aeration Tanks; wastewater treatment unit; at updated plant - US_Base_With Amendment_Windrow</v>
      </c>
    </row>
    <row r="2671" spans="1:13" s="120" customFormat="1" x14ac:dyDescent="0.25">
      <c r="A2671" s="119"/>
      <c r="B2671" s="138" t="str">
        <f t="shared" si="131"/>
        <v>Windrow</v>
      </c>
      <c r="C2671" s="138" t="str">
        <f t="shared" si="132"/>
        <v>Base_With Amendment</v>
      </c>
      <c r="D2671" s="118" t="s">
        <v>133</v>
      </c>
      <c r="E2671" s="118" t="s">
        <v>181</v>
      </c>
      <c r="F2671" s="118" t="s">
        <v>46</v>
      </c>
      <c r="G2671" s="153"/>
      <c r="H2671" s="155">
        <v>0.1139</v>
      </c>
      <c r="I2671" s="154" t="s">
        <v>54</v>
      </c>
      <c r="J2671" s="204">
        <v>6.8000000000000005E-4</v>
      </c>
      <c r="K2671" s="154" t="s">
        <v>145</v>
      </c>
      <c r="L2671" s="154" t="str">
        <f>IF(OpenLCAbasic!K2671="CTUh", "Fill in Manually",IF(OR(K2671="Unit", K2671=""), "", INDEX(LookUps!$E$5:$E$12, MATCH(OpenLCAbasic!K2671,LookUps!$D$5:$D$12,0))))</f>
        <v>Particulate Matter Formation Potential (PMFP) - kg PM2.5 eq</v>
      </c>
      <c r="M2671" s="154" t="str">
        <f t="shared" si="133"/>
        <v>High_Base_Low_Upgraded_Particulate Matter Formation Potential (PMFP) - kg PM2.5 eq_Clear Cove Primary Clarification; wastewater treatment unit; at updated plant - US_Base_With Amendment_Windrow</v>
      </c>
    </row>
    <row r="2672" spans="1:13" s="120" customFormat="1" x14ac:dyDescent="0.25">
      <c r="A2672" s="119"/>
      <c r="B2672" s="138" t="str">
        <f t="shared" si="131"/>
        <v>Windrow</v>
      </c>
      <c r="C2672" s="138" t="str">
        <f t="shared" si="132"/>
        <v>Base_With Amendment</v>
      </c>
      <c r="D2672" s="118" t="s">
        <v>133</v>
      </c>
      <c r="E2672" s="118" t="s">
        <v>181</v>
      </c>
      <c r="F2672" s="118" t="s">
        <v>46</v>
      </c>
      <c r="G2672" s="153"/>
      <c r="H2672" s="155">
        <v>9.8400000000000001E-2</v>
      </c>
      <c r="I2672" s="154" t="s">
        <v>58</v>
      </c>
      <c r="J2672" s="204">
        <v>5.9000000000000003E-4</v>
      </c>
      <c r="K2672" s="154" t="s">
        <v>145</v>
      </c>
      <c r="L2672" s="154" t="str">
        <f>IF(OpenLCAbasic!K2672="CTUh", "Fill in Manually",IF(OR(K2672="Unit", K2672=""), "", INDEX(LookUps!$E$5:$E$12, MATCH(OpenLCAbasic!K2672,LookUps!$D$5:$D$12,0))))</f>
        <v>Particulate Matter Formation Potential (PMFP) - kg PM2.5 eq</v>
      </c>
      <c r="M2672" s="154" t="str">
        <f t="shared" si="133"/>
        <v>High_Base_Low_Upgraded_Particulate Matter Formation Potential (PMFP) - kg PM2.5 eq_Pre-Anoxic &amp; Swing tank; wastewater treatment unit; at updated plant - US_Base_With Amendment_Windrow</v>
      </c>
    </row>
    <row r="2673" spans="1:13" s="120" customFormat="1" x14ac:dyDescent="0.25">
      <c r="A2673" s="119"/>
      <c r="B2673" s="138" t="str">
        <f t="shared" si="131"/>
        <v>Windrow</v>
      </c>
      <c r="C2673" s="138" t="str">
        <f t="shared" si="132"/>
        <v>Base_With Amendment</v>
      </c>
      <c r="D2673" s="118" t="s">
        <v>133</v>
      </c>
      <c r="E2673" s="118" t="s">
        <v>181</v>
      </c>
      <c r="F2673" s="118" t="s">
        <v>46</v>
      </c>
      <c r="G2673" s="153"/>
      <c r="H2673" s="155">
        <v>7.8200000000000006E-2</v>
      </c>
      <c r="I2673" s="154" t="s">
        <v>53</v>
      </c>
      <c r="J2673" s="204">
        <v>4.6999999999999999E-4</v>
      </c>
      <c r="K2673" s="154" t="s">
        <v>145</v>
      </c>
      <c r="L2673" s="154" t="str">
        <f>IF(OpenLCAbasic!K2673="CTUh", "Fill in Manually",IF(OR(K2673="Unit", K2673=""), "", INDEX(LookUps!$E$5:$E$12, MATCH(OpenLCAbasic!K2673,LookUps!$D$5:$D$12,0))))</f>
        <v>Particulate Matter Formation Potential (PMFP) - kg PM2.5 eq</v>
      </c>
      <c r="M2673" s="154" t="str">
        <f t="shared" si="133"/>
        <v>High_Base_Low_Upgraded_Particulate Matter Formation Potential (PMFP) - kg PM2.5 eq_Wet Well and Sump Station; wastewater treatment unit; at updated plant - US_Base_With Amendment_Windrow</v>
      </c>
    </row>
    <row r="2674" spans="1:13" s="120" customFormat="1" x14ac:dyDescent="0.25">
      <c r="A2674" s="119"/>
      <c r="B2674" s="138" t="str">
        <f t="shared" si="131"/>
        <v>Windrow</v>
      </c>
      <c r="C2674" s="138" t="str">
        <f t="shared" si="132"/>
        <v>Base_With Amendment</v>
      </c>
      <c r="D2674" s="118" t="s">
        <v>133</v>
      </c>
      <c r="E2674" s="118" t="s">
        <v>181</v>
      </c>
      <c r="F2674" s="118" t="s">
        <v>46</v>
      </c>
      <c r="G2674" s="153"/>
      <c r="H2674" s="155">
        <v>6.9800000000000001E-2</v>
      </c>
      <c r="I2674" s="154" t="s">
        <v>271</v>
      </c>
      <c r="J2674" s="204">
        <v>4.2000000000000002E-4</v>
      </c>
      <c r="K2674" s="154" t="s">
        <v>145</v>
      </c>
      <c r="L2674" s="154" t="str">
        <f>IF(OpenLCAbasic!K2674="CTUh", "Fill in Manually",IF(OR(K2674="Unit", K2674=""), "", INDEX(LookUps!$E$5:$E$12, MATCH(OpenLCAbasic!K2674,LookUps!$D$5:$D$12,0))))</f>
        <v>Particulate Matter Formation Potential (PMFP) - kg PM2.5 eq</v>
      </c>
      <c r="M2674" s="154" t="str">
        <f t="shared" si="133"/>
        <v>High_Base_Low_Upgraded_Particulate Matter Formation Potential (PMFP) - kg PM2.5 eq_Biosolids composting; windrow composting; wastewater treatment unit; at updated plant - US_Base_With Amendment_Windrow</v>
      </c>
    </row>
    <row r="2675" spans="1:13" s="120" customFormat="1" x14ac:dyDescent="0.25">
      <c r="A2675" s="119"/>
      <c r="B2675" s="138" t="str">
        <f t="shared" si="131"/>
        <v>Windrow</v>
      </c>
      <c r="C2675" s="138" t="str">
        <f t="shared" si="132"/>
        <v>Base_With Amendment</v>
      </c>
      <c r="D2675" s="118" t="s">
        <v>133</v>
      </c>
      <c r="E2675" s="118" t="s">
        <v>181</v>
      </c>
      <c r="F2675" s="118" t="s">
        <v>46</v>
      </c>
      <c r="G2675" s="153"/>
      <c r="H2675" s="155">
        <v>5.6599999999999998E-2</v>
      </c>
      <c r="I2675" s="154" t="s">
        <v>149</v>
      </c>
      <c r="J2675" s="204">
        <v>3.4000000000000002E-4</v>
      </c>
      <c r="K2675" s="154" t="s">
        <v>145</v>
      </c>
      <c r="L2675" s="154" t="str">
        <f>IF(OpenLCAbasic!K2675="CTUh", "Fill in Manually",IF(OR(K2675="Unit", K2675=""), "", INDEX(LookUps!$E$5:$E$12, MATCH(OpenLCAbasic!K2675,LookUps!$D$5:$D$12,0))))</f>
        <v>Particulate Matter Formation Potential (PMFP) - kg PM2.5 eq</v>
      </c>
      <c r="M2675" s="154" t="str">
        <f t="shared" si="133"/>
        <v>High_Base_Low_Upgraded_Particulate Matter Formation Potential (PMFP) - kg PM2.5 eq_Anaerobic Digestion; wastewater treatment unit; at updated plant - US_Base_With Amendment_Windrow</v>
      </c>
    </row>
    <row r="2676" spans="1:13" s="120" customFormat="1" x14ac:dyDescent="0.25">
      <c r="A2676" s="119"/>
      <c r="B2676" s="138" t="str">
        <f t="shared" si="131"/>
        <v>Windrow</v>
      </c>
      <c r="C2676" s="138" t="str">
        <f t="shared" si="132"/>
        <v>Base_With Amendment</v>
      </c>
      <c r="D2676" s="118" t="s">
        <v>133</v>
      </c>
      <c r="E2676" s="118" t="s">
        <v>181</v>
      </c>
      <c r="F2676" s="118" t="s">
        <v>46</v>
      </c>
      <c r="G2676" s="153"/>
      <c r="H2676" s="155">
        <v>5.0200000000000002E-2</v>
      </c>
      <c r="I2676" s="154" t="s">
        <v>167</v>
      </c>
      <c r="J2676" s="204">
        <v>2.9999999999999997E-4</v>
      </c>
      <c r="K2676" s="154" t="s">
        <v>145</v>
      </c>
      <c r="L2676" s="154" t="str">
        <f>IF(OpenLCAbasic!K2676="CTUh", "Fill in Manually",IF(OR(K2676="Unit", K2676=""), "", INDEX(LookUps!$E$5:$E$12, MATCH(OpenLCAbasic!K2676,LookUps!$D$5:$D$12,0))))</f>
        <v>Particulate Matter Formation Potential (PMFP) - kg PM2.5 eq</v>
      </c>
      <c r="M2676" s="154" t="str">
        <f t="shared" si="133"/>
        <v>High_Base_Low_Upgraded_Particulate Matter Formation Potential (PMFP) - kg PM2.5 eq_Waste Receiving and Holding; wastewater treatment unit; at updated plant - US_Base_With Amendment_Windrow</v>
      </c>
    </row>
    <row r="2677" spans="1:13" s="120" customFormat="1" x14ac:dyDescent="0.25">
      <c r="A2677" s="119"/>
      <c r="B2677" s="138" t="str">
        <f t="shared" si="131"/>
        <v>Windrow</v>
      </c>
      <c r="C2677" s="138" t="str">
        <f t="shared" si="132"/>
        <v>Base_With Amendment</v>
      </c>
      <c r="D2677" s="118" t="s">
        <v>133</v>
      </c>
      <c r="E2677" s="118" t="s">
        <v>181</v>
      </c>
      <c r="F2677" s="118" t="s">
        <v>46</v>
      </c>
      <c r="G2677" s="153"/>
      <c r="H2677" s="155">
        <v>4.4699999999999997E-2</v>
      </c>
      <c r="I2677" s="154" t="s">
        <v>147</v>
      </c>
      <c r="J2677" s="204">
        <v>2.7E-4</v>
      </c>
      <c r="K2677" s="154" t="s">
        <v>145</v>
      </c>
      <c r="L2677" s="154" t="str">
        <f>IF(OpenLCAbasic!K2677="CTUh", "Fill in Manually",IF(OR(K2677="Unit", K2677=""), "", INDEX(LookUps!$E$5:$E$12, MATCH(OpenLCAbasic!K2677,LookUps!$D$5:$D$12,0))))</f>
        <v>Particulate Matter Formation Potential (PMFP) - kg PM2.5 eq</v>
      </c>
      <c r="M2677" s="154" t="str">
        <f t="shared" si="133"/>
        <v>High_Base_Low_Upgraded_Particulate Matter Formation Potential (PMFP) - kg PM2.5 eq_Influent Pump Station; wastewater treatment unit; at updated plant - US_Base_With Amendment_Windrow</v>
      </c>
    </row>
    <row r="2678" spans="1:13" s="120" customFormat="1" x14ac:dyDescent="0.25">
      <c r="A2678" s="119"/>
      <c r="B2678" s="138" t="str">
        <f t="shared" si="131"/>
        <v>Windrow</v>
      </c>
      <c r="C2678" s="138" t="str">
        <f t="shared" si="132"/>
        <v>Base_With Amendment</v>
      </c>
      <c r="D2678" s="118" t="s">
        <v>133</v>
      </c>
      <c r="E2678" s="118" t="s">
        <v>181</v>
      </c>
      <c r="F2678" s="118" t="s">
        <v>46</v>
      </c>
      <c r="G2678" s="153"/>
      <c r="H2678" s="155">
        <v>2.7900000000000001E-2</v>
      </c>
      <c r="I2678" s="154" t="s">
        <v>128</v>
      </c>
      <c r="J2678" s="204">
        <v>1.7000000000000001E-4</v>
      </c>
      <c r="K2678" s="154" t="s">
        <v>145</v>
      </c>
      <c r="L2678" s="154" t="str">
        <f>IF(OpenLCAbasic!K2678="CTUh", "Fill in Manually",IF(OR(K2678="Unit", K2678=""), "", INDEX(LookUps!$E$5:$E$12, MATCH(OpenLCAbasic!K2678,LookUps!$D$5:$D$12,0))))</f>
        <v>Particulate Matter Formation Potential (PMFP) - kg PM2.5 eq</v>
      </c>
      <c r="M2678" s="154" t="str">
        <f t="shared" si="133"/>
        <v>High_Base_Low_Upgraded_Particulate Matter Formation Potential (PMFP) - kg PM2.5 eq_Wastewater collection; operation and infrastructure; m3 wastewater_Base_With Amendment_Windrow</v>
      </c>
    </row>
    <row r="2679" spans="1:13" s="120" customFormat="1" x14ac:dyDescent="0.25">
      <c r="A2679" s="119"/>
      <c r="B2679" s="138" t="str">
        <f t="shared" si="131"/>
        <v>Windrow</v>
      </c>
      <c r="C2679" s="138" t="str">
        <f t="shared" si="132"/>
        <v>Base_With Amendment</v>
      </c>
      <c r="D2679" s="118" t="s">
        <v>133</v>
      </c>
      <c r="E2679" s="118" t="s">
        <v>181</v>
      </c>
      <c r="F2679" s="118" t="s">
        <v>46</v>
      </c>
      <c r="G2679" s="153"/>
      <c r="H2679" s="155">
        <v>1.9400000000000001E-2</v>
      </c>
      <c r="I2679" s="154" t="s">
        <v>60</v>
      </c>
      <c r="J2679" s="204">
        <v>1.2E-4</v>
      </c>
      <c r="K2679" s="154" t="s">
        <v>145</v>
      </c>
      <c r="L2679" s="154" t="str">
        <f>IF(OpenLCAbasic!K2679="CTUh", "Fill in Manually",IF(OR(K2679="Unit", K2679=""), "", INDEX(LookUps!$E$5:$E$12, MATCH(OpenLCAbasic!K2679,LookUps!$D$5:$D$12,0))))</f>
        <v>Particulate Matter Formation Potential (PMFP) - kg PM2.5 eq</v>
      </c>
      <c r="M2679" s="154" t="str">
        <f t="shared" si="133"/>
        <v>High_Base_Low_Upgraded_Particulate Matter Formation Potential (PMFP) - kg PM2.5 eq_Belt filter press; wastewater treatment unit; at updated plant - US_Base_With Amendment_Windrow</v>
      </c>
    </row>
    <row r="2680" spans="1:13" s="120" customFormat="1" x14ac:dyDescent="0.25">
      <c r="A2680" s="119"/>
      <c r="B2680" s="138" t="str">
        <f t="shared" si="131"/>
        <v>Windrow</v>
      </c>
      <c r="C2680" s="138" t="str">
        <f t="shared" si="132"/>
        <v>Base_With Amendment</v>
      </c>
      <c r="D2680" s="118" t="s">
        <v>133</v>
      </c>
      <c r="E2680" s="118" t="s">
        <v>181</v>
      </c>
      <c r="F2680" s="118" t="s">
        <v>46</v>
      </c>
      <c r="G2680" s="153"/>
      <c r="H2680" s="155">
        <v>1.6E-2</v>
      </c>
      <c r="I2680" s="154" t="s">
        <v>57</v>
      </c>
      <c r="J2680" s="204">
        <v>9.5153800000000004E-5</v>
      </c>
      <c r="K2680" s="154" t="s">
        <v>145</v>
      </c>
      <c r="L2680" s="154" t="str">
        <f>IF(OpenLCAbasic!K2680="CTUh", "Fill in Manually",IF(OR(K2680="Unit", K2680=""), "", INDEX(LookUps!$E$5:$E$12, MATCH(OpenLCAbasic!K2680,LookUps!$D$5:$D$12,0))))</f>
        <v>Particulate Matter Formation Potential (PMFP) - kg PM2.5 eq</v>
      </c>
      <c r="M2680" s="154" t="str">
        <f t="shared" si="133"/>
        <v>High_Base_Low_Upgraded_Particulate Matter Formation Potential (PMFP) - kg PM2.5 eq_Gravity Belt Thickener; wastewater treatment unit; at updated plant - US_Base_With Amendment_Windrow</v>
      </c>
    </row>
    <row r="2681" spans="1:13" s="120" customFormat="1" x14ac:dyDescent="0.25">
      <c r="A2681" s="119"/>
      <c r="B2681" s="138" t="str">
        <f t="shared" si="131"/>
        <v>Windrow</v>
      </c>
      <c r="C2681" s="138" t="str">
        <f t="shared" si="132"/>
        <v>Base_With Amendment</v>
      </c>
      <c r="D2681" s="118" t="s">
        <v>133</v>
      </c>
      <c r="E2681" s="118" t="s">
        <v>181</v>
      </c>
      <c r="F2681" s="118" t="s">
        <v>46</v>
      </c>
      <c r="G2681" s="153"/>
      <c r="H2681" s="155">
        <v>1.17E-2</v>
      </c>
      <c r="I2681" s="154" t="s">
        <v>59</v>
      </c>
      <c r="J2681" s="204">
        <v>6.9942200000000003E-5</v>
      </c>
      <c r="K2681" s="154" t="s">
        <v>145</v>
      </c>
      <c r="L2681" s="154" t="str">
        <f>IF(OpenLCAbasic!K2681="CTUh", "Fill in Manually",IF(OR(K2681="Unit", K2681=""), "", INDEX(LookUps!$E$5:$E$12, MATCH(OpenLCAbasic!K2681,LookUps!$D$5:$D$12,0))))</f>
        <v>Particulate Matter Formation Potential (PMFP) - kg PM2.5 eq</v>
      </c>
      <c r="M2681" s="154" t="str">
        <f t="shared" si="133"/>
        <v>High_Base_Low_Upgraded_Particulate Matter Formation Potential (PMFP) - kg PM2.5 eq_Blend Tank; wastewater treatment unit; at updated plant - US_Base_With Amendment_Windrow</v>
      </c>
    </row>
    <row r="2682" spans="1:13" s="120" customFormat="1" x14ac:dyDescent="0.25">
      <c r="A2682" s="119"/>
      <c r="B2682" s="138" t="str">
        <f t="shared" si="131"/>
        <v>Windrow</v>
      </c>
      <c r="C2682" s="138" t="str">
        <f t="shared" si="132"/>
        <v>Base_With Amendment</v>
      </c>
      <c r="D2682" s="118" t="s">
        <v>133</v>
      </c>
      <c r="E2682" s="118" t="s">
        <v>181</v>
      </c>
      <c r="F2682" s="118" t="s">
        <v>46</v>
      </c>
      <c r="G2682" s="153"/>
      <c r="H2682" s="155">
        <v>8.3999999999999995E-3</v>
      </c>
      <c r="I2682" s="154" t="s">
        <v>48</v>
      </c>
      <c r="J2682" s="204">
        <v>4.99741E-5</v>
      </c>
      <c r="K2682" s="154" t="s">
        <v>145</v>
      </c>
      <c r="L2682" s="154" t="str">
        <f>IF(OpenLCAbasic!K2682="CTUh", "Fill in Manually",IF(OR(K2682="Unit", K2682=""), "", INDEX(LookUps!$E$5:$E$12, MATCH(OpenLCAbasic!K2682,LookUps!$D$5:$D$12,0))))</f>
        <v>Particulate Matter Formation Potential (PMFP) - kg PM2.5 eq</v>
      </c>
      <c r="M2682" s="154" t="str">
        <f t="shared" si="133"/>
        <v>High_Base_Low_Upgraded_Particulate Matter Formation Potential (PMFP) - kg PM2.5 eq_Effluent release; wastewater treatment unit; at surface water; m3 wastewater - US_Base_With Amendment_Windrow</v>
      </c>
    </row>
    <row r="2683" spans="1:13" s="120" customFormat="1" x14ac:dyDescent="0.25">
      <c r="A2683" s="119"/>
      <c r="B2683" s="138" t="str">
        <f t="shared" si="131"/>
        <v>Windrow</v>
      </c>
      <c r="C2683" s="138" t="str">
        <f t="shared" si="132"/>
        <v>Base_With Amendment</v>
      </c>
      <c r="D2683" s="118" t="s">
        <v>133</v>
      </c>
      <c r="E2683" s="118" t="s">
        <v>181</v>
      </c>
      <c r="F2683" s="118" t="s">
        <v>46</v>
      </c>
      <c r="G2683" s="153"/>
      <c r="H2683" s="155">
        <v>6.4000000000000003E-3</v>
      </c>
      <c r="I2683" s="154" t="s">
        <v>62</v>
      </c>
      <c r="J2683" s="204">
        <v>3.8018500000000002E-5</v>
      </c>
      <c r="K2683" s="154" t="s">
        <v>145</v>
      </c>
      <c r="L2683" s="154" t="str">
        <f>IF(OpenLCAbasic!K2683="CTUh", "Fill in Manually",IF(OR(K2683="Unit", K2683=""), "", INDEX(LookUps!$E$5:$E$12, MATCH(OpenLCAbasic!K2683,LookUps!$D$5:$D$12,0))))</f>
        <v>Particulate Matter Formation Potential (PMFP) - kg PM2.5 eq</v>
      </c>
      <c r="M2683" s="154" t="str">
        <f t="shared" si="133"/>
        <v>High_Base_Low_Upgraded_Particulate Matter Formation Potential (PMFP) - kg PM2.5 eq_Land application of compost; wastewater treatment unit; at updated plant - US_Base_With Amendment_Windrow</v>
      </c>
    </row>
    <row r="2684" spans="1:13" s="120" customFormat="1" x14ac:dyDescent="0.25">
      <c r="A2684" s="119"/>
      <c r="B2684" s="138" t="str">
        <f t="shared" si="131"/>
        <v>Windrow</v>
      </c>
      <c r="C2684" s="138" t="str">
        <f t="shared" si="132"/>
        <v>Base_With Amendment</v>
      </c>
      <c r="D2684" s="118" t="s">
        <v>133</v>
      </c>
      <c r="E2684" s="118" t="s">
        <v>181</v>
      </c>
      <c r="F2684" s="118" t="s">
        <v>46</v>
      </c>
      <c r="G2684" s="153"/>
      <c r="H2684" s="155">
        <v>5.7999999999999996E-3</v>
      </c>
      <c r="I2684" s="154" t="s">
        <v>168</v>
      </c>
      <c r="J2684" s="204">
        <v>3.4562199999999999E-5</v>
      </c>
      <c r="K2684" s="154" t="s">
        <v>145</v>
      </c>
      <c r="L2684" s="154" t="str">
        <f>IF(OpenLCAbasic!K2684="CTUh", "Fill in Manually",IF(OR(K2684="Unit", K2684=""), "", INDEX(LookUps!$E$5:$E$12, MATCH(OpenLCAbasic!K2684,LookUps!$D$5:$D$12,0))))</f>
        <v>Particulate Matter Formation Potential (PMFP) - kg PM2.5 eq</v>
      </c>
      <c r="M2684" s="154" t="str">
        <f t="shared" si="133"/>
        <v>High_Base_Low_Upgraded_Particulate Matter Formation Potential (PMFP) - kg PM2.5 eq_ClearCove SCP; wastewater treatment unit; at updated plant - US_Base_With Amendment_Windrow</v>
      </c>
    </row>
    <row r="2685" spans="1:13" s="120" customFormat="1" x14ac:dyDescent="0.25">
      <c r="A2685" s="119"/>
      <c r="B2685" s="138" t="str">
        <f t="shared" si="131"/>
        <v>Windrow</v>
      </c>
      <c r="C2685" s="138" t="str">
        <f t="shared" si="132"/>
        <v>Base_With Amendment</v>
      </c>
      <c r="D2685" s="118" t="s">
        <v>133</v>
      </c>
      <c r="E2685" s="118" t="s">
        <v>181</v>
      </c>
      <c r="F2685" s="118" t="s">
        <v>46</v>
      </c>
      <c r="G2685" s="153"/>
      <c r="H2685" s="155">
        <v>1.5E-3</v>
      </c>
      <c r="I2685" s="154" t="s">
        <v>148</v>
      </c>
      <c r="J2685" s="204">
        <v>8.8212999999999997E-6</v>
      </c>
      <c r="K2685" s="154" t="s">
        <v>145</v>
      </c>
      <c r="L2685" s="154" t="str">
        <f>IF(OpenLCAbasic!K2685="CTUh", "Fill in Manually",IF(OR(K2685="Unit", K2685=""), "", INDEX(LookUps!$E$5:$E$12, MATCH(OpenLCAbasic!K2685,LookUps!$D$5:$D$12,0))))</f>
        <v>Particulate Matter Formation Potential (PMFP) - kg PM2.5 eq</v>
      </c>
      <c r="M2685" s="154" t="str">
        <f t="shared" si="133"/>
        <v>High_Base_Low_Upgraded_Particulate Matter Formation Potential (PMFP) - kg PM2.5 eq_Control Building; at upgraded wastewater treatment plant - US_Base_With Amendment_Windrow</v>
      </c>
    </row>
    <row r="2686" spans="1:13" s="120" customFormat="1" x14ac:dyDescent="0.25">
      <c r="A2686" s="119"/>
      <c r="B2686" s="138" t="str">
        <f t="shared" si="131"/>
        <v>Windrow</v>
      </c>
      <c r="C2686" s="138" t="str">
        <f t="shared" si="132"/>
        <v>Base_With Amendment</v>
      </c>
      <c r="D2686" s="118" t="s">
        <v>133</v>
      </c>
      <c r="E2686" s="118" t="s">
        <v>181</v>
      </c>
      <c r="F2686" s="118" t="s">
        <v>46</v>
      </c>
      <c r="G2686" s="153" t="s">
        <v>51</v>
      </c>
      <c r="H2686" s="154"/>
      <c r="I2686" s="154" t="s">
        <v>47</v>
      </c>
      <c r="J2686" s="154" t="s">
        <v>52</v>
      </c>
      <c r="K2686" s="154" t="s">
        <v>27</v>
      </c>
      <c r="L2686" s="154" t="str">
        <f>IF(OpenLCAbasic!K2686="CTUh", "Fill in Manually",IF(OR(K2686="Unit", K2686=""), "", INDEX(LookUps!$E$5:$E$12, MATCH(OpenLCAbasic!K2686,LookUps!$D$5:$D$12,0))))</f>
        <v/>
      </c>
      <c r="M2686" s="154" t="str">
        <f t="shared" si="133"/>
        <v>High_Base_Low_Upgraded__Process_Base_With Amendment_Windrow</v>
      </c>
    </row>
    <row r="2687" spans="1:13" s="120" customFormat="1" x14ac:dyDescent="0.25">
      <c r="A2687" s="119"/>
      <c r="B2687" s="138" t="str">
        <f t="shared" si="131"/>
        <v>Windrow</v>
      </c>
      <c r="C2687" s="138" t="str">
        <f t="shared" si="132"/>
        <v>Base_With Amendment</v>
      </c>
      <c r="D2687" s="118" t="s">
        <v>133</v>
      </c>
      <c r="E2687" s="118" t="s">
        <v>181</v>
      </c>
      <c r="F2687" s="118" t="s">
        <v>46</v>
      </c>
      <c r="G2687" s="153"/>
      <c r="H2687" s="155">
        <v>0.41689999999999999</v>
      </c>
      <c r="I2687" s="154" t="s">
        <v>55</v>
      </c>
      <c r="J2687" s="203">
        <v>0.16577</v>
      </c>
      <c r="K2687" s="154" t="s">
        <v>25</v>
      </c>
      <c r="L2687" s="154" t="str">
        <f>IF(OpenLCAbasic!K2687="CTUh", "Fill in Manually",IF(OR(K2687="Unit", K2687=""), "", INDEX(LookUps!$E$5:$E$12, MATCH(OpenLCAbasic!K2687,LookUps!$D$5:$D$12,0))))</f>
        <v>Smog Formation Potential (SFP) - kg O3 eq</v>
      </c>
      <c r="M2687" s="154" t="str">
        <f t="shared" si="133"/>
        <v>High_Base_Low_Upgraded_Smog Formation Potential (SFP) - kg O3 eq_Aeration Tanks; wastewater treatment unit; at updated plant - US_Base_With Amendment_Windrow</v>
      </c>
    </row>
    <row r="2688" spans="1:13" s="120" customFormat="1" x14ac:dyDescent="0.25">
      <c r="A2688" s="119"/>
      <c r="B2688" s="138" t="str">
        <f t="shared" si="131"/>
        <v>Windrow</v>
      </c>
      <c r="C2688" s="138" t="str">
        <f t="shared" si="132"/>
        <v>Base_With Amendment</v>
      </c>
      <c r="D2688" s="118" t="s">
        <v>133</v>
      </c>
      <c r="E2688" s="118" t="s">
        <v>181</v>
      </c>
      <c r="F2688" s="118" t="s">
        <v>46</v>
      </c>
      <c r="G2688" s="153"/>
      <c r="H2688" s="155">
        <v>0.12089999999999999</v>
      </c>
      <c r="I2688" s="154" t="s">
        <v>54</v>
      </c>
      <c r="J2688" s="203">
        <v>4.8070000000000002E-2</v>
      </c>
      <c r="K2688" s="154" t="s">
        <v>25</v>
      </c>
      <c r="L2688" s="154" t="str">
        <f>IF(OpenLCAbasic!K2688="CTUh", "Fill in Manually",IF(OR(K2688="Unit", K2688=""), "", INDEX(LookUps!$E$5:$E$12, MATCH(OpenLCAbasic!K2688,LookUps!$D$5:$D$12,0))))</f>
        <v>Smog Formation Potential (SFP) - kg O3 eq</v>
      </c>
      <c r="M2688" s="154" t="str">
        <f t="shared" si="133"/>
        <v>High_Base_Low_Upgraded_Smog Formation Potential (SFP) - kg O3 eq_Clear Cove Primary Clarification; wastewater treatment unit; at updated plant - US_Base_With Amendment_Windrow</v>
      </c>
    </row>
    <row r="2689" spans="1:13" s="120" customFormat="1" x14ac:dyDescent="0.25">
      <c r="A2689" s="119"/>
      <c r="B2689" s="138" t="str">
        <f t="shared" si="131"/>
        <v>Windrow</v>
      </c>
      <c r="C2689" s="138" t="str">
        <f t="shared" si="132"/>
        <v>Base_With Amendment</v>
      </c>
      <c r="D2689" s="118" t="s">
        <v>133</v>
      </c>
      <c r="E2689" s="118" t="s">
        <v>181</v>
      </c>
      <c r="F2689" s="118" t="s">
        <v>46</v>
      </c>
      <c r="G2689" s="153"/>
      <c r="H2689" s="155">
        <v>0.1051</v>
      </c>
      <c r="I2689" s="154" t="s">
        <v>58</v>
      </c>
      <c r="J2689" s="203">
        <v>4.1779999999999998E-2</v>
      </c>
      <c r="K2689" s="154" t="s">
        <v>25</v>
      </c>
      <c r="L2689" s="154" t="str">
        <f>IF(OpenLCAbasic!K2689="CTUh", "Fill in Manually",IF(OR(K2689="Unit", K2689=""), "", INDEX(LookUps!$E$5:$E$12, MATCH(OpenLCAbasic!K2689,LookUps!$D$5:$D$12,0))))</f>
        <v>Smog Formation Potential (SFP) - kg O3 eq</v>
      </c>
      <c r="M2689" s="154" t="str">
        <f t="shared" si="133"/>
        <v>High_Base_Low_Upgraded_Smog Formation Potential (SFP) - kg O3 eq_Pre-Anoxic &amp; Swing tank; wastewater treatment unit; at updated plant - US_Base_With Amendment_Windrow</v>
      </c>
    </row>
    <row r="2690" spans="1:13" s="120" customFormat="1" x14ac:dyDescent="0.25">
      <c r="A2690" s="119"/>
      <c r="B2690" s="138" t="str">
        <f t="shared" si="131"/>
        <v>Windrow</v>
      </c>
      <c r="C2690" s="138" t="str">
        <f t="shared" si="132"/>
        <v>Base_With Amendment</v>
      </c>
      <c r="D2690" s="118" t="s">
        <v>133</v>
      </c>
      <c r="E2690" s="118" t="s">
        <v>181</v>
      </c>
      <c r="F2690" s="118" t="s">
        <v>46</v>
      </c>
      <c r="G2690" s="153"/>
      <c r="H2690" s="155">
        <v>8.3299999999999999E-2</v>
      </c>
      <c r="I2690" s="154" t="s">
        <v>53</v>
      </c>
      <c r="J2690" s="203">
        <v>3.313E-2</v>
      </c>
      <c r="K2690" s="154" t="s">
        <v>25</v>
      </c>
      <c r="L2690" s="154" t="str">
        <f>IF(OpenLCAbasic!K2690="CTUh", "Fill in Manually",IF(OR(K2690="Unit", K2690=""), "", INDEX(LookUps!$E$5:$E$12, MATCH(OpenLCAbasic!K2690,LookUps!$D$5:$D$12,0))))</f>
        <v>Smog Formation Potential (SFP) - kg O3 eq</v>
      </c>
      <c r="M2690" s="154" t="str">
        <f t="shared" si="133"/>
        <v>High_Base_Low_Upgraded_Smog Formation Potential (SFP) - kg O3 eq_Wet Well and Sump Station; wastewater treatment unit; at updated plant - US_Base_With Amendment_Windrow</v>
      </c>
    </row>
    <row r="2691" spans="1:13" s="120" customFormat="1" x14ac:dyDescent="0.25">
      <c r="A2691" s="119"/>
      <c r="B2691" s="138" t="str">
        <f t="shared" si="131"/>
        <v>Windrow</v>
      </c>
      <c r="C2691" s="138" t="str">
        <f t="shared" si="132"/>
        <v>Base_With Amendment</v>
      </c>
      <c r="D2691" s="118" t="s">
        <v>133</v>
      </c>
      <c r="E2691" s="118" t="s">
        <v>181</v>
      </c>
      <c r="F2691" s="118" t="s">
        <v>46</v>
      </c>
      <c r="G2691" s="153"/>
      <c r="H2691" s="155">
        <v>7.0300000000000001E-2</v>
      </c>
      <c r="I2691" s="154" t="s">
        <v>167</v>
      </c>
      <c r="J2691" s="203">
        <v>2.7949999999999999E-2</v>
      </c>
      <c r="K2691" s="154" t="s">
        <v>25</v>
      </c>
      <c r="L2691" s="154" t="str">
        <f>IF(OpenLCAbasic!K2691="CTUh", "Fill in Manually",IF(OR(K2691="Unit", K2691=""), "", INDEX(LookUps!$E$5:$E$12, MATCH(OpenLCAbasic!K2691,LookUps!$D$5:$D$12,0))))</f>
        <v>Smog Formation Potential (SFP) - kg O3 eq</v>
      </c>
      <c r="M2691" s="154" t="str">
        <f t="shared" si="133"/>
        <v>High_Base_Low_Upgraded_Smog Formation Potential (SFP) - kg O3 eq_Waste Receiving and Holding; wastewater treatment unit; at updated plant - US_Base_With Amendment_Windrow</v>
      </c>
    </row>
    <row r="2692" spans="1:13" s="120" customFormat="1" x14ac:dyDescent="0.25">
      <c r="A2692" s="119"/>
      <c r="B2692" s="138" t="str">
        <f t="shared" si="131"/>
        <v>Windrow</v>
      </c>
      <c r="C2692" s="138" t="str">
        <f t="shared" si="132"/>
        <v>Base_With Amendment</v>
      </c>
      <c r="D2692" s="118" t="s">
        <v>133</v>
      </c>
      <c r="E2692" s="118" t="s">
        <v>181</v>
      </c>
      <c r="F2692" s="118" t="s">
        <v>46</v>
      </c>
      <c r="G2692" s="153"/>
      <c r="H2692" s="155">
        <v>6.2600000000000003E-2</v>
      </c>
      <c r="I2692" s="154" t="s">
        <v>149</v>
      </c>
      <c r="J2692" s="203">
        <v>2.4889999999999999E-2</v>
      </c>
      <c r="K2692" s="154" t="s">
        <v>25</v>
      </c>
      <c r="L2692" s="154" t="str">
        <f>IF(OpenLCAbasic!K2692="CTUh", "Fill in Manually",IF(OR(K2692="Unit", K2692=""), "", INDEX(LookUps!$E$5:$E$12, MATCH(OpenLCAbasic!K2692,LookUps!$D$5:$D$12,0))))</f>
        <v>Smog Formation Potential (SFP) - kg O3 eq</v>
      </c>
      <c r="M2692" s="154" t="str">
        <f t="shared" si="133"/>
        <v>High_Base_Low_Upgraded_Smog Formation Potential (SFP) - kg O3 eq_Anaerobic Digestion; wastewater treatment unit; at updated plant - US_Base_With Amendment_Windrow</v>
      </c>
    </row>
    <row r="2693" spans="1:13" s="120" customFormat="1" x14ac:dyDescent="0.25">
      <c r="A2693" s="119"/>
      <c r="B2693" s="138" t="str">
        <f t="shared" si="131"/>
        <v>Windrow</v>
      </c>
      <c r="C2693" s="138" t="str">
        <f t="shared" si="132"/>
        <v>Base_With Amendment</v>
      </c>
      <c r="D2693" s="118" t="s">
        <v>133</v>
      </c>
      <c r="E2693" s="118" t="s">
        <v>181</v>
      </c>
      <c r="F2693" s="118" t="s">
        <v>46</v>
      </c>
      <c r="G2693" s="153"/>
      <c r="H2693" s="155">
        <v>4.8800000000000003E-2</v>
      </c>
      <c r="I2693" s="154" t="s">
        <v>147</v>
      </c>
      <c r="J2693" s="203">
        <v>1.9400000000000001E-2</v>
      </c>
      <c r="K2693" s="154" t="s">
        <v>25</v>
      </c>
      <c r="L2693" s="154" t="str">
        <f>IF(OpenLCAbasic!K2693="CTUh", "Fill in Manually",IF(OR(K2693="Unit", K2693=""), "", INDEX(LookUps!$E$5:$E$12, MATCH(OpenLCAbasic!K2693,LookUps!$D$5:$D$12,0))))</f>
        <v>Smog Formation Potential (SFP) - kg O3 eq</v>
      </c>
      <c r="M2693" s="154" t="str">
        <f t="shared" si="133"/>
        <v>High_Base_Low_Upgraded_Smog Formation Potential (SFP) - kg O3 eq_Influent Pump Station; wastewater treatment unit; at updated plant - US_Base_With Amendment_Windrow</v>
      </c>
    </row>
    <row r="2694" spans="1:13" s="120" customFormat="1" x14ac:dyDescent="0.25">
      <c r="A2694" s="119"/>
      <c r="B2694" s="138" t="str">
        <f t="shared" ref="B2694:B2757" si="134">IF(F2694="Legacy","n.a.",IF(F2694="","","Windrow"))</f>
        <v>Windrow</v>
      </c>
      <c r="C2694" s="138" t="str">
        <f t="shared" si="132"/>
        <v>Base_With Amendment</v>
      </c>
      <c r="D2694" s="118" t="s">
        <v>133</v>
      </c>
      <c r="E2694" s="118" t="s">
        <v>181</v>
      </c>
      <c r="F2694" s="118" t="s">
        <v>46</v>
      </c>
      <c r="G2694" s="153"/>
      <c r="H2694" s="155">
        <v>0.03</v>
      </c>
      <c r="I2694" s="154" t="s">
        <v>128</v>
      </c>
      <c r="J2694" s="204">
        <v>1.192E-2</v>
      </c>
      <c r="K2694" s="154" t="s">
        <v>25</v>
      </c>
      <c r="L2694" s="154" t="str">
        <f>IF(OpenLCAbasic!K2694="CTUh", "Fill in Manually",IF(OR(K2694="Unit", K2694=""), "", INDEX(LookUps!$E$5:$E$12, MATCH(OpenLCAbasic!K2694,LookUps!$D$5:$D$12,0))))</f>
        <v>Smog Formation Potential (SFP) - kg O3 eq</v>
      </c>
      <c r="M2694" s="154" t="str">
        <f t="shared" si="133"/>
        <v>High_Base_Low_Upgraded_Smog Formation Potential (SFP) - kg O3 eq_Wastewater collection; operation and infrastructure; m3 wastewater_Base_With Amendment_Windrow</v>
      </c>
    </row>
    <row r="2695" spans="1:13" s="120" customFormat="1" x14ac:dyDescent="0.25">
      <c r="A2695" s="119"/>
      <c r="B2695" s="138" t="str">
        <f t="shared" si="134"/>
        <v>Windrow</v>
      </c>
      <c r="C2695" s="138" t="str">
        <f t="shared" ref="C2695:C2758" si="135">IF(E2695&lt;&gt;"", "Base_With Amendment","")</f>
        <v>Base_With Amendment</v>
      </c>
      <c r="D2695" s="118" t="s">
        <v>133</v>
      </c>
      <c r="E2695" s="118" t="s">
        <v>181</v>
      </c>
      <c r="F2695" s="118" t="s">
        <v>46</v>
      </c>
      <c r="G2695" s="153"/>
      <c r="H2695" s="155">
        <v>2.0500000000000001E-2</v>
      </c>
      <c r="I2695" s="154" t="s">
        <v>60</v>
      </c>
      <c r="J2695" s="204">
        <v>8.1600000000000006E-3</v>
      </c>
      <c r="K2695" s="154" t="s">
        <v>25</v>
      </c>
      <c r="L2695" s="154" t="str">
        <f>IF(OpenLCAbasic!K2695="CTUh", "Fill in Manually",IF(OR(K2695="Unit", K2695=""), "", INDEX(LookUps!$E$5:$E$12, MATCH(OpenLCAbasic!K2695,LookUps!$D$5:$D$12,0))))</f>
        <v>Smog Formation Potential (SFP) - kg O3 eq</v>
      </c>
      <c r="M2695" s="154" t="str">
        <f t="shared" ref="M2695:M2758" si="136">CONCATENATE(E2695,"_",D2695,"_",F2695,"_",L2695, "_",I2695,"_", C2695,"_", B2695)</f>
        <v>High_Base_Low_Upgraded_Smog Formation Potential (SFP) - kg O3 eq_Belt filter press; wastewater treatment unit; at updated plant - US_Base_With Amendment_Windrow</v>
      </c>
    </row>
    <row r="2696" spans="1:13" s="120" customFormat="1" x14ac:dyDescent="0.25">
      <c r="A2696" s="119"/>
      <c r="B2696" s="138" t="str">
        <f t="shared" si="134"/>
        <v>Windrow</v>
      </c>
      <c r="C2696" s="138" t="str">
        <f t="shared" si="135"/>
        <v>Base_With Amendment</v>
      </c>
      <c r="D2696" s="118" t="s">
        <v>133</v>
      </c>
      <c r="E2696" s="118" t="s">
        <v>181</v>
      </c>
      <c r="F2696" s="118" t="s">
        <v>46</v>
      </c>
      <c r="G2696" s="153"/>
      <c r="H2696" s="155">
        <v>1.67E-2</v>
      </c>
      <c r="I2696" s="154" t="s">
        <v>57</v>
      </c>
      <c r="J2696" s="204">
        <v>6.6499999999999997E-3</v>
      </c>
      <c r="K2696" s="154" t="s">
        <v>25</v>
      </c>
      <c r="L2696" s="154" t="str">
        <f>IF(OpenLCAbasic!K2696="CTUh", "Fill in Manually",IF(OR(K2696="Unit", K2696=""), "", INDEX(LookUps!$E$5:$E$12, MATCH(OpenLCAbasic!K2696,LookUps!$D$5:$D$12,0))))</f>
        <v>Smog Formation Potential (SFP) - kg O3 eq</v>
      </c>
      <c r="M2696" s="154" t="str">
        <f t="shared" si="136"/>
        <v>High_Base_Low_Upgraded_Smog Formation Potential (SFP) - kg O3 eq_Gravity Belt Thickener; wastewater treatment unit; at updated plant - US_Base_With Amendment_Windrow</v>
      </c>
    </row>
    <row r="2697" spans="1:13" s="120" customFormat="1" x14ac:dyDescent="0.25">
      <c r="A2697" s="119"/>
      <c r="B2697" s="138" t="str">
        <f t="shared" si="134"/>
        <v>Windrow</v>
      </c>
      <c r="C2697" s="138" t="str">
        <f t="shared" si="135"/>
        <v>Base_With Amendment</v>
      </c>
      <c r="D2697" s="118" t="s">
        <v>133</v>
      </c>
      <c r="E2697" s="118" t="s">
        <v>181</v>
      </c>
      <c r="F2697" s="118" t="s">
        <v>46</v>
      </c>
      <c r="G2697" s="153"/>
      <c r="H2697" s="155">
        <v>1.2500000000000001E-2</v>
      </c>
      <c r="I2697" s="154" t="s">
        <v>59</v>
      </c>
      <c r="J2697" s="204">
        <v>4.9699999999999996E-3</v>
      </c>
      <c r="K2697" s="154" t="s">
        <v>25</v>
      </c>
      <c r="L2697" s="154" t="str">
        <f>IF(OpenLCAbasic!K2697="CTUh", "Fill in Manually",IF(OR(K2697="Unit", K2697=""), "", INDEX(LookUps!$E$5:$E$12, MATCH(OpenLCAbasic!K2697,LookUps!$D$5:$D$12,0))))</f>
        <v>Smog Formation Potential (SFP) - kg O3 eq</v>
      </c>
      <c r="M2697" s="154" t="str">
        <f t="shared" si="136"/>
        <v>High_Base_Low_Upgraded_Smog Formation Potential (SFP) - kg O3 eq_Blend Tank; wastewater treatment unit; at updated plant - US_Base_With Amendment_Windrow</v>
      </c>
    </row>
    <row r="2698" spans="1:13" s="120" customFormat="1" x14ac:dyDescent="0.25">
      <c r="A2698" s="119"/>
      <c r="B2698" s="138" t="str">
        <f t="shared" si="134"/>
        <v>Windrow</v>
      </c>
      <c r="C2698" s="138" t="str">
        <f t="shared" si="135"/>
        <v>Base_With Amendment</v>
      </c>
      <c r="D2698" s="118" t="s">
        <v>133</v>
      </c>
      <c r="E2698" s="118" t="s">
        <v>181</v>
      </c>
      <c r="F2698" s="118" t="s">
        <v>46</v>
      </c>
      <c r="G2698" s="153"/>
      <c r="H2698" s="155">
        <v>8.5000000000000006E-3</v>
      </c>
      <c r="I2698" s="154" t="s">
        <v>48</v>
      </c>
      <c r="J2698" s="204">
        <v>3.3899999999999998E-3</v>
      </c>
      <c r="K2698" s="154" t="s">
        <v>25</v>
      </c>
      <c r="L2698" s="154" t="str">
        <f>IF(OpenLCAbasic!K2698="CTUh", "Fill in Manually",IF(OR(K2698="Unit", K2698=""), "", INDEX(LookUps!$E$5:$E$12, MATCH(OpenLCAbasic!K2698,LookUps!$D$5:$D$12,0))))</f>
        <v>Smog Formation Potential (SFP) - kg O3 eq</v>
      </c>
      <c r="M2698" s="154" t="str">
        <f t="shared" si="136"/>
        <v>High_Base_Low_Upgraded_Smog Formation Potential (SFP) - kg O3 eq_Effluent release; wastewater treatment unit; at surface water; m3 wastewater - US_Base_With Amendment_Windrow</v>
      </c>
    </row>
    <row r="2699" spans="1:13" s="120" customFormat="1" x14ac:dyDescent="0.25">
      <c r="A2699" s="119"/>
      <c r="B2699" s="138" t="str">
        <f t="shared" si="134"/>
        <v>Windrow</v>
      </c>
      <c r="C2699" s="138" t="str">
        <f t="shared" si="135"/>
        <v>Base_With Amendment</v>
      </c>
      <c r="D2699" s="118" t="s">
        <v>133</v>
      </c>
      <c r="E2699" s="118" t="s">
        <v>181</v>
      </c>
      <c r="F2699" s="118" t="s">
        <v>46</v>
      </c>
      <c r="G2699" s="153"/>
      <c r="H2699" s="155">
        <v>6.1999999999999998E-3</v>
      </c>
      <c r="I2699" s="154" t="s">
        <v>168</v>
      </c>
      <c r="J2699" s="204">
        <v>2.4599999999999999E-3</v>
      </c>
      <c r="K2699" s="154" t="s">
        <v>25</v>
      </c>
      <c r="L2699" s="154" t="str">
        <f>IF(OpenLCAbasic!K2699="CTUh", "Fill in Manually",IF(OR(K2699="Unit", K2699=""), "", INDEX(LookUps!$E$5:$E$12, MATCH(OpenLCAbasic!K2699,LookUps!$D$5:$D$12,0))))</f>
        <v>Smog Formation Potential (SFP) - kg O3 eq</v>
      </c>
      <c r="M2699" s="154" t="str">
        <f t="shared" si="136"/>
        <v>High_Base_Low_Upgraded_Smog Formation Potential (SFP) - kg O3 eq_ClearCove SCP; wastewater treatment unit; at updated plant - US_Base_With Amendment_Windrow</v>
      </c>
    </row>
    <row r="2700" spans="1:13" s="120" customFormat="1" x14ac:dyDescent="0.25">
      <c r="A2700" s="119"/>
      <c r="B2700" s="138" t="str">
        <f t="shared" si="134"/>
        <v>Windrow</v>
      </c>
      <c r="C2700" s="138" t="str">
        <f t="shared" si="135"/>
        <v>Base_With Amendment</v>
      </c>
      <c r="D2700" s="118" t="s">
        <v>133</v>
      </c>
      <c r="E2700" s="118" t="s">
        <v>181</v>
      </c>
      <c r="F2700" s="118" t="s">
        <v>46</v>
      </c>
      <c r="G2700" s="153"/>
      <c r="H2700" s="155">
        <v>3.8999999999999998E-3</v>
      </c>
      <c r="I2700" s="154" t="s">
        <v>271</v>
      </c>
      <c r="J2700" s="204">
        <v>1.56E-3</v>
      </c>
      <c r="K2700" s="154" t="s">
        <v>25</v>
      </c>
      <c r="L2700" s="154" t="str">
        <f>IF(OpenLCAbasic!K2700="CTUh", "Fill in Manually",IF(OR(K2700="Unit", K2700=""), "", INDEX(LookUps!$E$5:$E$12, MATCH(OpenLCAbasic!K2700,LookUps!$D$5:$D$12,0))))</f>
        <v>Smog Formation Potential (SFP) - kg O3 eq</v>
      </c>
      <c r="M2700" s="154" t="str">
        <f t="shared" si="136"/>
        <v>High_Base_Low_Upgraded_Smog Formation Potential (SFP) - kg O3 eq_Biosolids composting; windrow composting; wastewater treatment unit; at updated plant - US_Base_With Amendment_Windrow</v>
      </c>
    </row>
    <row r="2701" spans="1:13" s="120" customFormat="1" x14ac:dyDescent="0.25">
      <c r="A2701" s="119"/>
      <c r="B2701" s="138" t="str">
        <f t="shared" si="134"/>
        <v>Windrow</v>
      </c>
      <c r="C2701" s="138" t="str">
        <f t="shared" si="135"/>
        <v>Base_With Amendment</v>
      </c>
      <c r="D2701" s="118" t="s">
        <v>133</v>
      </c>
      <c r="E2701" s="118" t="s">
        <v>181</v>
      </c>
      <c r="F2701" s="118" t="s">
        <v>46</v>
      </c>
      <c r="G2701" s="153"/>
      <c r="H2701" s="155">
        <v>1.4E-3</v>
      </c>
      <c r="I2701" s="154" t="s">
        <v>148</v>
      </c>
      <c r="J2701" s="204">
        <v>5.4000000000000001E-4</v>
      </c>
      <c r="K2701" s="154" t="s">
        <v>25</v>
      </c>
      <c r="L2701" s="154" t="str">
        <f>IF(OpenLCAbasic!K2701="CTUh", "Fill in Manually",IF(OR(K2701="Unit", K2701=""), "", INDEX(LookUps!$E$5:$E$12, MATCH(OpenLCAbasic!K2701,LookUps!$D$5:$D$12,0))))</f>
        <v>Smog Formation Potential (SFP) - kg O3 eq</v>
      </c>
      <c r="M2701" s="154" t="str">
        <f t="shared" si="136"/>
        <v>High_Base_Low_Upgraded_Smog Formation Potential (SFP) - kg O3 eq_Control Building; at upgraded wastewater treatment plant - US_Base_With Amendment_Windrow</v>
      </c>
    </row>
    <row r="2702" spans="1:13" s="120" customFormat="1" x14ac:dyDescent="0.25">
      <c r="A2702" s="119"/>
      <c r="B2702" s="138" t="str">
        <f t="shared" si="134"/>
        <v>Windrow</v>
      </c>
      <c r="C2702" s="138" t="str">
        <f t="shared" si="135"/>
        <v>Base_With Amendment</v>
      </c>
      <c r="D2702" s="118" t="s">
        <v>133</v>
      </c>
      <c r="E2702" s="118" t="s">
        <v>181</v>
      </c>
      <c r="F2702" s="118" t="s">
        <v>46</v>
      </c>
      <c r="G2702" s="153"/>
      <c r="H2702" s="155">
        <v>-7.4999999999999997E-3</v>
      </c>
      <c r="I2702" s="154" t="s">
        <v>62</v>
      </c>
      <c r="J2702" s="204">
        <v>-2.98E-3</v>
      </c>
      <c r="K2702" s="154" t="s">
        <v>25</v>
      </c>
      <c r="L2702" s="154" t="str">
        <f>IF(OpenLCAbasic!K2702="CTUh", "Fill in Manually",IF(OR(K2702="Unit", K2702=""), "", INDEX(LookUps!$E$5:$E$12, MATCH(OpenLCAbasic!K2702,LookUps!$D$5:$D$12,0))))</f>
        <v>Smog Formation Potential (SFP) - kg O3 eq</v>
      </c>
      <c r="M2702" s="154" t="str">
        <f t="shared" si="136"/>
        <v>High_Base_Low_Upgraded_Smog Formation Potential (SFP) - kg O3 eq_Land application of compost; wastewater treatment unit; at updated plant - US_Base_With Amendment_Windrow</v>
      </c>
    </row>
    <row r="2703" spans="1:13" s="120" customFormat="1" x14ac:dyDescent="0.25">
      <c r="A2703" s="119"/>
      <c r="B2703" s="138" t="str">
        <f t="shared" si="134"/>
        <v>Windrow</v>
      </c>
      <c r="C2703" s="138" t="str">
        <f t="shared" si="135"/>
        <v>Base_With Amendment</v>
      </c>
      <c r="D2703" s="118" t="s">
        <v>133</v>
      </c>
      <c r="E2703" s="118" t="s">
        <v>181</v>
      </c>
      <c r="F2703" s="118" t="s">
        <v>46</v>
      </c>
      <c r="G2703" s="153" t="s">
        <v>51</v>
      </c>
      <c r="H2703" s="154"/>
      <c r="I2703" s="154" t="s">
        <v>47</v>
      </c>
      <c r="J2703" s="154" t="s">
        <v>52</v>
      </c>
      <c r="K2703" s="154" t="s">
        <v>27</v>
      </c>
      <c r="L2703" s="154" t="str">
        <f>IF(OpenLCAbasic!K2703="CTUh", "Fill in Manually",IF(OR(K2703="Unit", K2703=""), "", INDEX(LookUps!$E$5:$E$12, MATCH(OpenLCAbasic!K2703,LookUps!$D$5:$D$12,0))))</f>
        <v/>
      </c>
      <c r="M2703" s="154" t="str">
        <f t="shared" si="136"/>
        <v>High_Base_Low_Upgraded__Process_Base_With Amendment_Windrow</v>
      </c>
    </row>
    <row r="2704" spans="1:13" s="120" customFormat="1" x14ac:dyDescent="0.25">
      <c r="A2704" s="119"/>
      <c r="B2704" s="138" t="str">
        <f t="shared" si="134"/>
        <v>Windrow</v>
      </c>
      <c r="C2704" s="138" t="str">
        <f t="shared" si="135"/>
        <v>Base_With Amendment</v>
      </c>
      <c r="D2704" s="118" t="s">
        <v>133</v>
      </c>
      <c r="E2704" s="118" t="s">
        <v>181</v>
      </c>
      <c r="F2704" s="118" t="s">
        <v>46</v>
      </c>
      <c r="G2704" s="153"/>
      <c r="H2704" s="155">
        <v>1.9004000000000001</v>
      </c>
      <c r="I2704" s="154" t="s">
        <v>167</v>
      </c>
      <c r="J2704" s="204">
        <v>2.3000000000000001E-4</v>
      </c>
      <c r="K2704" s="154" t="s">
        <v>26</v>
      </c>
      <c r="L2704" s="154" t="str">
        <f>IF(OpenLCAbasic!K2704="CTUh", "Fill in Manually",IF(OR(K2704="Unit", K2704=""), "", INDEX(LookUps!$E$5:$E$12, MATCH(OpenLCAbasic!K2704,LookUps!$D$5:$D$12,0))))</f>
        <v>Water Use (WU) - m3 H2O</v>
      </c>
      <c r="M2704" s="154" t="str">
        <f t="shared" si="136"/>
        <v>High_Base_Low_Upgraded_Water Use (WU) - m3 H2O_Waste Receiving and Holding; wastewater treatment unit; at updated plant - US_Base_With Amendment_Windrow</v>
      </c>
    </row>
    <row r="2705" spans="1:13" s="120" customFormat="1" x14ac:dyDescent="0.25">
      <c r="A2705" s="119"/>
      <c r="B2705" s="138" t="str">
        <f t="shared" si="134"/>
        <v>Windrow</v>
      </c>
      <c r="C2705" s="138" t="str">
        <f t="shared" si="135"/>
        <v>Base_With Amendment</v>
      </c>
      <c r="D2705" s="118" t="s">
        <v>133</v>
      </c>
      <c r="E2705" s="118" t="s">
        <v>181</v>
      </c>
      <c r="F2705" s="118" t="s">
        <v>46</v>
      </c>
      <c r="G2705" s="153"/>
      <c r="H2705" s="155">
        <v>1.5037</v>
      </c>
      <c r="I2705" s="154" t="s">
        <v>147</v>
      </c>
      <c r="J2705" s="204">
        <v>1.8000000000000001E-4</v>
      </c>
      <c r="K2705" s="154" t="s">
        <v>26</v>
      </c>
      <c r="L2705" s="154" t="str">
        <f>IF(OpenLCAbasic!K2705="CTUh", "Fill in Manually",IF(OR(K2705="Unit", K2705=""), "", INDEX(LookUps!$E$5:$E$12, MATCH(OpenLCAbasic!K2705,LookUps!$D$5:$D$12,0))))</f>
        <v>Water Use (WU) - m3 H2O</v>
      </c>
      <c r="M2705" s="154" t="str">
        <f t="shared" si="136"/>
        <v>High_Base_Low_Upgraded_Water Use (WU) - m3 H2O_Influent Pump Station; wastewater treatment unit; at updated plant - US_Base_With Amendment_Windrow</v>
      </c>
    </row>
    <row r="2706" spans="1:13" s="120" customFormat="1" x14ac:dyDescent="0.25">
      <c r="A2706" s="119"/>
      <c r="B2706" s="138" t="str">
        <f t="shared" si="134"/>
        <v>Windrow</v>
      </c>
      <c r="C2706" s="138" t="str">
        <f t="shared" si="135"/>
        <v>Base_With Amendment</v>
      </c>
      <c r="D2706" s="118" t="s">
        <v>133</v>
      </c>
      <c r="E2706" s="118" t="s">
        <v>181</v>
      </c>
      <c r="F2706" s="118" t="s">
        <v>46</v>
      </c>
      <c r="G2706" s="153"/>
      <c r="H2706" s="155">
        <v>1.4672000000000001</v>
      </c>
      <c r="I2706" s="154" t="s">
        <v>54</v>
      </c>
      <c r="J2706" s="204">
        <v>1.8000000000000001E-4</v>
      </c>
      <c r="K2706" s="154" t="s">
        <v>26</v>
      </c>
      <c r="L2706" s="154" t="str">
        <f>IF(OpenLCAbasic!K2706="CTUh", "Fill in Manually",IF(OR(K2706="Unit", K2706=""), "", INDEX(LookUps!$E$5:$E$12, MATCH(OpenLCAbasic!K2706,LookUps!$D$5:$D$12,0))))</f>
        <v>Water Use (WU) - m3 H2O</v>
      </c>
      <c r="M2706" s="154" t="str">
        <f t="shared" si="136"/>
        <v>High_Base_Low_Upgraded_Water Use (WU) - m3 H2O_Clear Cove Primary Clarification; wastewater treatment unit; at updated plant - US_Base_With Amendment_Windrow</v>
      </c>
    </row>
    <row r="2707" spans="1:13" s="120" customFormat="1" x14ac:dyDescent="0.25">
      <c r="A2707" s="119"/>
      <c r="B2707" s="138" t="str">
        <f t="shared" si="134"/>
        <v>Windrow</v>
      </c>
      <c r="C2707" s="138" t="str">
        <f t="shared" si="135"/>
        <v>Base_With Amendment</v>
      </c>
      <c r="D2707" s="118" t="s">
        <v>133</v>
      </c>
      <c r="E2707" s="118" t="s">
        <v>181</v>
      </c>
      <c r="F2707" s="118" t="s">
        <v>46</v>
      </c>
      <c r="G2707" s="153"/>
      <c r="H2707" s="155">
        <v>1.331</v>
      </c>
      <c r="I2707" s="154" t="s">
        <v>55</v>
      </c>
      <c r="J2707" s="204">
        <v>1.6000000000000001E-4</v>
      </c>
      <c r="K2707" s="154" t="s">
        <v>26</v>
      </c>
      <c r="L2707" s="154" t="str">
        <f>IF(OpenLCAbasic!K2707="CTUh", "Fill in Manually",IF(OR(K2707="Unit", K2707=""), "", INDEX(LookUps!$E$5:$E$12, MATCH(OpenLCAbasic!K2707,LookUps!$D$5:$D$12,0))))</f>
        <v>Water Use (WU) - m3 H2O</v>
      </c>
      <c r="M2707" s="154" t="str">
        <f t="shared" si="136"/>
        <v>High_Base_Low_Upgraded_Water Use (WU) - m3 H2O_Aeration Tanks; wastewater treatment unit; at updated plant - US_Base_With Amendment_Windrow</v>
      </c>
    </row>
    <row r="2708" spans="1:13" s="120" customFormat="1" x14ac:dyDescent="0.25">
      <c r="A2708" s="119"/>
      <c r="B2708" s="138" t="str">
        <f t="shared" si="134"/>
        <v>Windrow</v>
      </c>
      <c r="C2708" s="138" t="str">
        <f t="shared" si="135"/>
        <v>Base_With Amendment</v>
      </c>
      <c r="D2708" s="118" t="s">
        <v>133</v>
      </c>
      <c r="E2708" s="118" t="s">
        <v>181</v>
      </c>
      <c r="F2708" s="118" t="s">
        <v>46</v>
      </c>
      <c r="G2708" s="153"/>
      <c r="H2708" s="155">
        <v>1.2123999999999999</v>
      </c>
      <c r="I2708" s="154" t="s">
        <v>148</v>
      </c>
      <c r="J2708" s="204">
        <v>1.4999999999999999E-4</v>
      </c>
      <c r="K2708" s="154" t="s">
        <v>26</v>
      </c>
      <c r="L2708" s="154" t="str">
        <f>IF(OpenLCAbasic!K2708="CTUh", "Fill in Manually",IF(OR(K2708="Unit", K2708=""), "", INDEX(LookUps!$E$5:$E$12, MATCH(OpenLCAbasic!K2708,LookUps!$D$5:$D$12,0))))</f>
        <v>Water Use (WU) - m3 H2O</v>
      </c>
      <c r="M2708" s="154" t="str">
        <f t="shared" si="136"/>
        <v>High_Base_Low_Upgraded_Water Use (WU) - m3 H2O_Control Building; at upgraded wastewater treatment plant - US_Base_With Amendment_Windrow</v>
      </c>
    </row>
    <row r="2709" spans="1:13" s="120" customFormat="1" x14ac:dyDescent="0.25">
      <c r="A2709" s="119"/>
      <c r="B2709" s="138" t="str">
        <f t="shared" si="134"/>
        <v>Windrow</v>
      </c>
      <c r="C2709" s="138" t="str">
        <f t="shared" si="135"/>
        <v>Base_With Amendment</v>
      </c>
      <c r="D2709" s="118" t="s">
        <v>133</v>
      </c>
      <c r="E2709" s="118" t="s">
        <v>181</v>
      </c>
      <c r="F2709" s="118" t="s">
        <v>46</v>
      </c>
      <c r="G2709" s="153"/>
      <c r="H2709" s="155">
        <v>0.56299999999999994</v>
      </c>
      <c r="I2709" s="154" t="s">
        <v>48</v>
      </c>
      <c r="J2709" s="204">
        <v>6.8836400000000004E-5</v>
      </c>
      <c r="K2709" s="154" t="s">
        <v>26</v>
      </c>
      <c r="L2709" s="154" t="str">
        <f>IF(OpenLCAbasic!K2709="CTUh", "Fill in Manually",IF(OR(K2709="Unit", K2709=""), "", INDEX(LookUps!$E$5:$E$12, MATCH(OpenLCAbasic!K2709,LookUps!$D$5:$D$12,0))))</f>
        <v>Water Use (WU) - m3 H2O</v>
      </c>
      <c r="M2709" s="154" t="str">
        <f t="shared" si="136"/>
        <v>High_Base_Low_Upgraded_Water Use (WU) - m3 H2O_Effluent release; wastewater treatment unit; at surface water; m3 wastewater - US_Base_With Amendment_Windrow</v>
      </c>
    </row>
    <row r="2710" spans="1:13" s="120" customFormat="1" x14ac:dyDescent="0.25">
      <c r="A2710" s="119"/>
      <c r="B2710" s="138" t="str">
        <f t="shared" si="134"/>
        <v>Windrow</v>
      </c>
      <c r="C2710" s="138" t="str">
        <f t="shared" si="135"/>
        <v>Base_With Amendment</v>
      </c>
      <c r="D2710" s="118" t="s">
        <v>133</v>
      </c>
      <c r="E2710" s="118" t="s">
        <v>181</v>
      </c>
      <c r="F2710" s="118" t="s">
        <v>46</v>
      </c>
      <c r="G2710" s="153"/>
      <c r="H2710" s="155">
        <v>0.3871</v>
      </c>
      <c r="I2710" s="154" t="s">
        <v>149</v>
      </c>
      <c r="J2710" s="204">
        <v>4.7332900000000002E-5</v>
      </c>
      <c r="K2710" s="154" t="s">
        <v>26</v>
      </c>
      <c r="L2710" s="154" t="str">
        <f>IF(OpenLCAbasic!K2710="CTUh", "Fill in Manually",IF(OR(K2710="Unit", K2710=""), "", INDEX(LookUps!$E$5:$E$12, MATCH(OpenLCAbasic!K2710,LookUps!$D$5:$D$12,0))))</f>
        <v>Water Use (WU) - m3 H2O</v>
      </c>
      <c r="M2710" s="154" t="str">
        <f t="shared" si="136"/>
        <v>High_Base_Low_Upgraded_Water Use (WU) - m3 H2O_Anaerobic Digestion; wastewater treatment unit; at updated plant - US_Base_With Amendment_Windrow</v>
      </c>
    </row>
    <row r="2711" spans="1:13" s="120" customFormat="1" x14ac:dyDescent="0.25">
      <c r="A2711" s="119"/>
      <c r="B2711" s="138" t="str">
        <f t="shared" si="134"/>
        <v>Windrow</v>
      </c>
      <c r="C2711" s="138" t="str">
        <f t="shared" si="135"/>
        <v>Base_With Amendment</v>
      </c>
      <c r="D2711" s="118" t="s">
        <v>133</v>
      </c>
      <c r="E2711" s="118" t="s">
        <v>181</v>
      </c>
      <c r="F2711" s="118" t="s">
        <v>46</v>
      </c>
      <c r="G2711" s="153"/>
      <c r="H2711" s="155">
        <v>0.3533</v>
      </c>
      <c r="I2711" s="154" t="s">
        <v>58</v>
      </c>
      <c r="J2711" s="204">
        <v>4.3192100000000003E-5</v>
      </c>
      <c r="K2711" s="154" t="s">
        <v>26</v>
      </c>
      <c r="L2711" s="154" t="str">
        <f>IF(OpenLCAbasic!K2711="CTUh", "Fill in Manually",IF(OR(K2711="Unit", K2711=""), "", INDEX(LookUps!$E$5:$E$12, MATCH(OpenLCAbasic!K2711,LookUps!$D$5:$D$12,0))))</f>
        <v>Water Use (WU) - m3 H2O</v>
      </c>
      <c r="M2711" s="154" t="str">
        <f t="shared" si="136"/>
        <v>High_Base_Low_Upgraded_Water Use (WU) - m3 H2O_Pre-Anoxic &amp; Swing tank; wastewater treatment unit; at updated plant - US_Base_With Amendment_Windrow</v>
      </c>
    </row>
    <row r="2712" spans="1:13" s="120" customFormat="1" x14ac:dyDescent="0.25">
      <c r="A2712" s="119"/>
      <c r="B2712" s="138" t="str">
        <f t="shared" si="134"/>
        <v>Windrow</v>
      </c>
      <c r="C2712" s="138" t="str">
        <f t="shared" si="135"/>
        <v>Base_With Amendment</v>
      </c>
      <c r="D2712" s="118" t="s">
        <v>133</v>
      </c>
      <c r="E2712" s="118" t="s">
        <v>181</v>
      </c>
      <c r="F2712" s="118" t="s">
        <v>46</v>
      </c>
      <c r="G2712" s="153"/>
      <c r="H2712" s="155">
        <v>0.2487</v>
      </c>
      <c r="I2712" s="154" t="s">
        <v>57</v>
      </c>
      <c r="J2712" s="204">
        <v>3.0408100000000001E-5</v>
      </c>
      <c r="K2712" s="154" t="s">
        <v>26</v>
      </c>
      <c r="L2712" s="154" t="str">
        <f>IF(OpenLCAbasic!K2712="CTUh", "Fill in Manually",IF(OR(K2712="Unit", K2712=""), "", INDEX(LookUps!$E$5:$E$12, MATCH(OpenLCAbasic!K2712,LookUps!$D$5:$D$12,0))))</f>
        <v>Water Use (WU) - m3 H2O</v>
      </c>
      <c r="M2712" s="154" t="str">
        <f t="shared" si="136"/>
        <v>High_Base_Low_Upgraded_Water Use (WU) - m3 H2O_Gravity Belt Thickener; wastewater treatment unit; at updated plant - US_Base_With Amendment_Windrow</v>
      </c>
    </row>
    <row r="2713" spans="1:13" s="120" customFormat="1" x14ac:dyDescent="0.25">
      <c r="A2713" s="119"/>
      <c r="B2713" s="138" t="str">
        <f t="shared" si="134"/>
        <v>Windrow</v>
      </c>
      <c r="C2713" s="138" t="str">
        <f t="shared" si="135"/>
        <v>Base_With Amendment</v>
      </c>
      <c r="D2713" s="118" t="s">
        <v>133</v>
      </c>
      <c r="E2713" s="118" t="s">
        <v>181</v>
      </c>
      <c r="F2713" s="118" t="s">
        <v>46</v>
      </c>
      <c r="G2713" s="153"/>
      <c r="H2713" s="155">
        <v>0.19919999999999999</v>
      </c>
      <c r="I2713" s="154" t="s">
        <v>60</v>
      </c>
      <c r="J2713" s="204">
        <v>2.4357400000000002E-5</v>
      </c>
      <c r="K2713" s="154" t="s">
        <v>26</v>
      </c>
      <c r="L2713" s="154" t="str">
        <f>IF(OpenLCAbasic!K2713="CTUh", "Fill in Manually",IF(OR(K2713="Unit", K2713=""), "", INDEX(LookUps!$E$5:$E$12, MATCH(OpenLCAbasic!K2713,LookUps!$D$5:$D$12,0))))</f>
        <v>Water Use (WU) - m3 H2O</v>
      </c>
      <c r="M2713" s="154" t="str">
        <f t="shared" si="136"/>
        <v>High_Base_Low_Upgraded_Water Use (WU) - m3 H2O_Belt filter press; wastewater treatment unit; at updated plant - US_Base_With Amendment_Windrow</v>
      </c>
    </row>
    <row r="2714" spans="1:13" s="120" customFormat="1" x14ac:dyDescent="0.25">
      <c r="A2714" s="119"/>
      <c r="B2714" s="138" t="str">
        <f t="shared" si="134"/>
        <v>Windrow</v>
      </c>
      <c r="C2714" s="138" t="str">
        <f t="shared" si="135"/>
        <v>Base_With Amendment</v>
      </c>
      <c r="D2714" s="118" t="s">
        <v>133</v>
      </c>
      <c r="E2714" s="118" t="s">
        <v>181</v>
      </c>
      <c r="F2714" s="118" t="s">
        <v>46</v>
      </c>
      <c r="G2714" s="153"/>
      <c r="H2714" s="155">
        <v>0.14319999999999999</v>
      </c>
      <c r="I2714" s="154" t="s">
        <v>53</v>
      </c>
      <c r="J2714" s="204">
        <v>1.75069E-5</v>
      </c>
      <c r="K2714" s="154" t="s">
        <v>26</v>
      </c>
      <c r="L2714" s="154" t="str">
        <f>IF(OpenLCAbasic!K2714="CTUh", "Fill in Manually",IF(OR(K2714="Unit", K2714=""), "", INDEX(LookUps!$E$5:$E$12, MATCH(OpenLCAbasic!K2714,LookUps!$D$5:$D$12,0))))</f>
        <v>Water Use (WU) - m3 H2O</v>
      </c>
      <c r="M2714" s="154" t="str">
        <f t="shared" si="136"/>
        <v>High_Base_Low_Upgraded_Water Use (WU) - m3 H2O_Wet Well and Sump Station; wastewater treatment unit; at updated plant - US_Base_With Amendment_Windrow</v>
      </c>
    </row>
    <row r="2715" spans="1:13" s="120" customFormat="1" x14ac:dyDescent="0.25">
      <c r="A2715" s="119"/>
      <c r="B2715" s="138" t="str">
        <f t="shared" si="134"/>
        <v>Windrow</v>
      </c>
      <c r="C2715" s="138" t="str">
        <f t="shared" si="135"/>
        <v>Base_With Amendment</v>
      </c>
      <c r="D2715" s="118" t="s">
        <v>133</v>
      </c>
      <c r="E2715" s="118" t="s">
        <v>181</v>
      </c>
      <c r="F2715" s="118" t="s">
        <v>46</v>
      </c>
      <c r="G2715" s="153"/>
      <c r="H2715" s="155">
        <v>5.74E-2</v>
      </c>
      <c r="I2715" s="154" t="s">
        <v>59</v>
      </c>
      <c r="J2715" s="204">
        <v>7.0179500000000003E-6</v>
      </c>
      <c r="K2715" s="154" t="s">
        <v>26</v>
      </c>
      <c r="L2715" s="154" t="str">
        <f>IF(OpenLCAbasic!K2715="CTUh", "Fill in Manually",IF(OR(K2715="Unit", K2715=""), "", INDEX(LookUps!$E$5:$E$12, MATCH(OpenLCAbasic!K2715,LookUps!$D$5:$D$12,0))))</f>
        <v>Water Use (WU) - m3 H2O</v>
      </c>
      <c r="M2715" s="154" t="str">
        <f t="shared" si="136"/>
        <v>High_Base_Low_Upgraded_Water Use (WU) - m3 H2O_Blend Tank; wastewater treatment unit; at updated plant - US_Base_With Amendment_Windrow</v>
      </c>
    </row>
    <row r="2716" spans="1:13" s="120" customFormat="1" x14ac:dyDescent="0.25">
      <c r="A2716" s="119"/>
      <c r="B2716" s="138" t="str">
        <f t="shared" si="134"/>
        <v>Windrow</v>
      </c>
      <c r="C2716" s="138" t="str">
        <f t="shared" si="135"/>
        <v>Base_With Amendment</v>
      </c>
      <c r="D2716" s="118" t="s">
        <v>133</v>
      </c>
      <c r="E2716" s="118" t="s">
        <v>181</v>
      </c>
      <c r="F2716" s="118" t="s">
        <v>46</v>
      </c>
      <c r="G2716" s="153"/>
      <c r="H2716" s="155">
        <v>4.1399999999999999E-2</v>
      </c>
      <c r="I2716" s="154" t="s">
        <v>128</v>
      </c>
      <c r="J2716" s="204">
        <v>5.0608900000000003E-6</v>
      </c>
      <c r="K2716" s="154" t="s">
        <v>26</v>
      </c>
      <c r="L2716" s="154" t="str">
        <f>IF(OpenLCAbasic!K2716="CTUh", "Fill in Manually",IF(OR(K2716="Unit", K2716=""), "", INDEX(LookUps!$E$5:$E$12, MATCH(OpenLCAbasic!K2716,LookUps!$D$5:$D$12,0))))</f>
        <v>Water Use (WU) - m3 H2O</v>
      </c>
      <c r="M2716" s="154" t="str">
        <f t="shared" si="136"/>
        <v>High_Base_Low_Upgraded_Water Use (WU) - m3 H2O_Wastewater collection; operation and infrastructure; m3 wastewater_Base_With Amendment_Windrow</v>
      </c>
    </row>
    <row r="2717" spans="1:13" s="120" customFormat="1" x14ac:dyDescent="0.25">
      <c r="A2717" s="119"/>
      <c r="B2717" s="138" t="str">
        <f t="shared" si="134"/>
        <v>Windrow</v>
      </c>
      <c r="C2717" s="138" t="str">
        <f t="shared" si="135"/>
        <v>Base_With Amendment</v>
      </c>
      <c r="D2717" s="118" t="s">
        <v>133</v>
      </c>
      <c r="E2717" s="118" t="s">
        <v>181</v>
      </c>
      <c r="F2717" s="118" t="s">
        <v>46</v>
      </c>
      <c r="G2717" s="153"/>
      <c r="H2717" s="155">
        <v>9.7000000000000003E-3</v>
      </c>
      <c r="I2717" s="154" t="s">
        <v>271</v>
      </c>
      <c r="J2717" s="204">
        <v>1.1873000000000001E-6</v>
      </c>
      <c r="K2717" s="154" t="s">
        <v>26</v>
      </c>
      <c r="L2717" s="154" t="str">
        <f>IF(OpenLCAbasic!K2717="CTUh", "Fill in Manually",IF(OR(K2717="Unit", K2717=""), "", INDEX(LookUps!$E$5:$E$12, MATCH(OpenLCAbasic!K2717,LookUps!$D$5:$D$12,0))))</f>
        <v>Water Use (WU) - m3 H2O</v>
      </c>
      <c r="M2717" s="154" t="str">
        <f t="shared" si="136"/>
        <v>High_Base_Low_Upgraded_Water Use (WU) - m3 H2O_Biosolids composting; windrow composting; wastewater treatment unit; at updated plant - US_Base_With Amendment_Windrow</v>
      </c>
    </row>
    <row r="2718" spans="1:13" s="120" customFormat="1" x14ac:dyDescent="0.25">
      <c r="A2718" s="119"/>
      <c r="B2718" s="138" t="str">
        <f t="shared" si="134"/>
        <v>Windrow</v>
      </c>
      <c r="C2718" s="138" t="str">
        <f t="shared" si="135"/>
        <v>Base_With Amendment</v>
      </c>
      <c r="D2718" s="118" t="s">
        <v>133</v>
      </c>
      <c r="E2718" s="118" t="s">
        <v>181</v>
      </c>
      <c r="F2718" s="118" t="s">
        <v>46</v>
      </c>
      <c r="G2718" s="153"/>
      <c r="H2718" s="155">
        <v>6.3E-3</v>
      </c>
      <c r="I2718" s="154" t="s">
        <v>168</v>
      </c>
      <c r="J2718" s="204">
        <v>7.6697000000000004E-7</v>
      </c>
      <c r="K2718" s="154" t="s">
        <v>26</v>
      </c>
      <c r="L2718" s="154" t="str">
        <f>IF(OpenLCAbasic!K2718="CTUh", "Fill in Manually",IF(OR(K2718="Unit", K2718=""), "", INDEX(LookUps!$E$5:$E$12, MATCH(OpenLCAbasic!K2718,LookUps!$D$5:$D$12,0))))</f>
        <v>Water Use (WU) - m3 H2O</v>
      </c>
      <c r="M2718" s="154" t="str">
        <f t="shared" si="136"/>
        <v>High_Base_Low_Upgraded_Water Use (WU) - m3 H2O_ClearCove SCP; wastewater treatment unit; at updated plant - US_Base_With Amendment_Windrow</v>
      </c>
    </row>
    <row r="2719" spans="1:13" s="120" customFormat="1" x14ac:dyDescent="0.25">
      <c r="A2719" s="119"/>
      <c r="B2719" s="138" t="str">
        <f t="shared" si="134"/>
        <v>Windrow</v>
      </c>
      <c r="C2719" s="138" t="str">
        <f t="shared" si="135"/>
        <v>Base_With Amendment</v>
      </c>
      <c r="D2719" s="118" t="s">
        <v>133</v>
      </c>
      <c r="E2719" s="118" t="s">
        <v>181</v>
      </c>
      <c r="F2719" s="118" t="s">
        <v>46</v>
      </c>
      <c r="G2719" s="153"/>
      <c r="H2719" s="155">
        <v>-10.424200000000001</v>
      </c>
      <c r="I2719" s="154" t="s">
        <v>62</v>
      </c>
      <c r="J2719" s="204">
        <v>-1.2700000000000001E-3</v>
      </c>
      <c r="K2719" s="154" t="s">
        <v>26</v>
      </c>
      <c r="L2719" s="154" t="str">
        <f>IF(OpenLCAbasic!K2719="CTUh", "Fill in Manually",IF(OR(K2719="Unit", K2719=""), "", INDEX(LookUps!$E$5:$E$12, MATCH(OpenLCAbasic!K2719,LookUps!$D$5:$D$12,0))))</f>
        <v>Water Use (WU) - m3 H2O</v>
      </c>
      <c r="M2719" s="154" t="str">
        <f t="shared" si="136"/>
        <v>High_Base_Low_Upgraded_Water Use (WU) - m3 H2O_Land application of compost; wastewater treatment unit; at updated plant - US_Base_With Amendment_Windrow</v>
      </c>
    </row>
    <row r="2720" spans="1:13" s="120" customFormat="1" x14ac:dyDescent="0.25">
      <c r="A2720" s="119"/>
      <c r="B2720" s="138" t="str">
        <f t="shared" si="134"/>
        <v/>
      </c>
      <c r="C2720" s="138" t="str">
        <f t="shared" si="135"/>
        <v/>
      </c>
      <c r="D2720" s="138"/>
      <c r="E2720" s="138"/>
      <c r="F2720" s="138"/>
      <c r="G2720" s="153"/>
      <c r="H2720" s="160"/>
      <c r="I2720" s="160"/>
      <c r="J2720" s="207"/>
      <c r="K2720" s="160"/>
      <c r="L2720" s="154" t="str">
        <f>IF(OpenLCAbasic!K2720="CTUh", "Fill in Manually",IF(OR(K2720="Unit", K2720=""), "", INDEX(LookUps!$E$5:$E$12, MATCH(OpenLCAbasic!K2720,LookUps!$D$5:$D$12,0))))</f>
        <v/>
      </c>
      <c r="M2720" s="154" t="str">
        <f t="shared" si="136"/>
        <v>______</v>
      </c>
    </row>
    <row r="2721" spans="1:13" s="120" customFormat="1" x14ac:dyDescent="0.25">
      <c r="A2721" s="119"/>
      <c r="B2721" s="138" t="str">
        <f t="shared" si="134"/>
        <v>Windrow</v>
      </c>
      <c r="C2721" s="138" t="str">
        <f t="shared" si="135"/>
        <v>Base_With Amendment</v>
      </c>
      <c r="D2721" s="118" t="s">
        <v>130</v>
      </c>
      <c r="E2721" s="118" t="s">
        <v>181</v>
      </c>
      <c r="F2721" s="118" t="s">
        <v>46</v>
      </c>
      <c r="G2721" s="153" t="s">
        <v>51</v>
      </c>
      <c r="H2721" s="154"/>
      <c r="I2721" s="154" t="s">
        <v>47</v>
      </c>
      <c r="J2721" s="157" t="s">
        <v>52</v>
      </c>
      <c r="K2721" s="154" t="s">
        <v>27</v>
      </c>
      <c r="L2721" s="154" t="str">
        <f>IF(OpenLCAbasic!K2721="CTUh", "Fill in Manually",IF(OR(K2721="Unit", K2721=""), "", INDEX(LookUps!$E$5:$E$12, MATCH(OpenLCAbasic!K2721,LookUps!$D$5:$D$12,0))))</f>
        <v/>
      </c>
      <c r="M2721" s="154" t="str">
        <f t="shared" si="136"/>
        <v>High_Base_Upgraded__Process_Base_With Amendment_Windrow</v>
      </c>
    </row>
    <row r="2722" spans="1:13" s="120" customFormat="1" x14ac:dyDescent="0.25">
      <c r="A2722" s="119"/>
      <c r="B2722" s="138" t="str">
        <f t="shared" si="134"/>
        <v>Windrow</v>
      </c>
      <c r="C2722" s="138" t="str">
        <f t="shared" si="135"/>
        <v>Base_With Amendment</v>
      </c>
      <c r="D2722" s="118" t="s">
        <v>130</v>
      </c>
      <c r="E2722" s="118" t="s">
        <v>181</v>
      </c>
      <c r="F2722" s="118" t="s">
        <v>46</v>
      </c>
      <c r="G2722" s="153"/>
      <c r="H2722" s="155">
        <v>0.874</v>
      </c>
      <c r="I2722" s="154" t="s">
        <v>271</v>
      </c>
      <c r="J2722" s="157">
        <v>1.6313200000000001</v>
      </c>
      <c r="K2722" s="154" t="s">
        <v>23</v>
      </c>
      <c r="L2722" s="154" t="str">
        <f>IF(OpenLCAbasic!K2722="CTUh", "Fill in Manually",IF(OR(K2722="Unit", K2722=""), "", INDEX(LookUps!$E$5:$E$12, MATCH(OpenLCAbasic!K2722,LookUps!$D$5:$D$12,0))))</f>
        <v>Global Warming Potential (GWP) - kg CO2 eq</v>
      </c>
      <c r="M2722" s="154" t="str">
        <f t="shared" si="136"/>
        <v>High_Base_Upgraded_Global Warming Potential (GWP) - kg CO2 eq_Biosolids composting; windrow composting; wastewater treatment unit; at updated plant - US_Base_With Amendment_Windrow</v>
      </c>
    </row>
    <row r="2723" spans="1:13" s="120" customFormat="1" x14ac:dyDescent="0.25">
      <c r="A2723" s="119"/>
      <c r="B2723" s="138" t="str">
        <f t="shared" si="134"/>
        <v>Windrow</v>
      </c>
      <c r="C2723" s="138" t="str">
        <f t="shared" si="135"/>
        <v>Base_With Amendment</v>
      </c>
      <c r="D2723" s="118" t="s">
        <v>130</v>
      </c>
      <c r="E2723" s="118" t="s">
        <v>181</v>
      </c>
      <c r="F2723" s="118" t="s">
        <v>46</v>
      </c>
      <c r="G2723" s="153"/>
      <c r="H2723" s="155">
        <v>0.13009999999999999</v>
      </c>
      <c r="I2723" s="154" t="s">
        <v>58</v>
      </c>
      <c r="J2723" s="203">
        <v>0.24279999999999999</v>
      </c>
      <c r="K2723" s="154" t="s">
        <v>23</v>
      </c>
      <c r="L2723" s="154" t="str">
        <f>IF(OpenLCAbasic!K2723="CTUh", "Fill in Manually",IF(OR(K2723="Unit", K2723=""), "", INDEX(LookUps!$E$5:$E$12, MATCH(OpenLCAbasic!K2723,LookUps!$D$5:$D$12,0))))</f>
        <v>Global Warming Potential (GWP) - kg CO2 eq</v>
      </c>
      <c r="M2723" s="154" t="str">
        <f t="shared" si="136"/>
        <v>High_Base_Upgraded_Global Warming Potential (GWP) - kg CO2 eq_Pre-Anoxic &amp; Swing tank; wastewater treatment unit; at updated plant - US_Base_With Amendment_Windrow</v>
      </c>
    </row>
    <row r="2724" spans="1:13" s="120" customFormat="1" x14ac:dyDescent="0.25">
      <c r="A2724" s="119"/>
      <c r="B2724" s="138" t="str">
        <f t="shared" si="134"/>
        <v>Windrow</v>
      </c>
      <c r="C2724" s="138" t="str">
        <f t="shared" si="135"/>
        <v>Base_With Amendment</v>
      </c>
      <c r="D2724" s="118" t="s">
        <v>130</v>
      </c>
      <c r="E2724" s="118" t="s">
        <v>181</v>
      </c>
      <c r="F2724" s="118" t="s">
        <v>46</v>
      </c>
      <c r="G2724" s="153"/>
      <c r="H2724" s="155">
        <v>9.01E-2</v>
      </c>
      <c r="I2724" s="154" t="s">
        <v>55</v>
      </c>
      <c r="J2724" s="203">
        <v>0.16822000000000001</v>
      </c>
      <c r="K2724" s="154" t="s">
        <v>23</v>
      </c>
      <c r="L2724" s="154" t="str">
        <f>IF(OpenLCAbasic!K2724="CTUh", "Fill in Manually",IF(OR(K2724="Unit", K2724=""), "", INDEX(LookUps!$E$5:$E$12, MATCH(OpenLCAbasic!K2724,LookUps!$D$5:$D$12,0))))</f>
        <v>Global Warming Potential (GWP) - kg CO2 eq</v>
      </c>
      <c r="M2724" s="154" t="str">
        <f t="shared" si="136"/>
        <v>High_Base_Upgraded_Global Warming Potential (GWP) - kg CO2 eq_Aeration Tanks; wastewater treatment unit; at updated plant - US_Base_With Amendment_Windrow</v>
      </c>
    </row>
    <row r="2725" spans="1:13" s="120" customFormat="1" x14ac:dyDescent="0.25">
      <c r="A2725" s="119"/>
      <c r="B2725" s="138" t="str">
        <f t="shared" si="134"/>
        <v>Windrow</v>
      </c>
      <c r="C2725" s="138" t="str">
        <f t="shared" si="135"/>
        <v>Base_With Amendment</v>
      </c>
      <c r="D2725" s="118" t="s">
        <v>130</v>
      </c>
      <c r="E2725" s="118" t="s">
        <v>181</v>
      </c>
      <c r="F2725" s="118" t="s">
        <v>46</v>
      </c>
      <c r="G2725" s="153"/>
      <c r="H2725" s="155">
        <v>5.4899999999999997E-2</v>
      </c>
      <c r="I2725" s="154" t="s">
        <v>167</v>
      </c>
      <c r="J2725" s="203">
        <v>0.10241</v>
      </c>
      <c r="K2725" s="154" t="s">
        <v>23</v>
      </c>
      <c r="L2725" s="154" t="str">
        <f>IF(OpenLCAbasic!K2725="CTUh", "Fill in Manually",IF(OR(K2725="Unit", K2725=""), "", INDEX(LookUps!$E$5:$E$12, MATCH(OpenLCAbasic!K2725,LookUps!$D$5:$D$12,0))))</f>
        <v>Global Warming Potential (GWP) - kg CO2 eq</v>
      </c>
      <c r="M2725" s="154" t="str">
        <f t="shared" si="136"/>
        <v>High_Base_Upgraded_Global Warming Potential (GWP) - kg CO2 eq_Waste Receiving and Holding; wastewater treatment unit; at updated plant - US_Base_With Amendment_Windrow</v>
      </c>
    </row>
    <row r="2726" spans="1:13" s="120" customFormat="1" x14ac:dyDescent="0.25">
      <c r="A2726" s="119"/>
      <c r="B2726" s="138" t="str">
        <f t="shared" si="134"/>
        <v>Windrow</v>
      </c>
      <c r="C2726" s="138" t="str">
        <f t="shared" si="135"/>
        <v>Base_With Amendment</v>
      </c>
      <c r="D2726" s="118" t="s">
        <v>130</v>
      </c>
      <c r="E2726" s="118" t="s">
        <v>181</v>
      </c>
      <c r="F2726" s="118" t="s">
        <v>46</v>
      </c>
      <c r="G2726" s="153"/>
      <c r="H2726" s="155">
        <v>3.0599999999999999E-2</v>
      </c>
      <c r="I2726" s="154" t="s">
        <v>54</v>
      </c>
      <c r="J2726" s="203">
        <v>5.7079999999999999E-2</v>
      </c>
      <c r="K2726" s="154" t="s">
        <v>23</v>
      </c>
      <c r="L2726" s="154" t="str">
        <f>IF(OpenLCAbasic!K2726="CTUh", "Fill in Manually",IF(OR(K2726="Unit", K2726=""), "", INDEX(LookUps!$E$5:$E$12, MATCH(OpenLCAbasic!K2726,LookUps!$D$5:$D$12,0))))</f>
        <v>Global Warming Potential (GWP) - kg CO2 eq</v>
      </c>
      <c r="M2726" s="154" t="str">
        <f t="shared" si="136"/>
        <v>High_Base_Upgraded_Global Warming Potential (GWP) - kg CO2 eq_Clear Cove Primary Clarification; wastewater treatment unit; at updated plant - US_Base_With Amendment_Windrow</v>
      </c>
    </row>
    <row r="2727" spans="1:13" s="120" customFormat="1" x14ac:dyDescent="0.25">
      <c r="A2727" s="119"/>
      <c r="B2727" s="138" t="str">
        <f t="shared" si="134"/>
        <v>Windrow</v>
      </c>
      <c r="C2727" s="138" t="str">
        <f t="shared" si="135"/>
        <v>Base_With Amendment</v>
      </c>
      <c r="D2727" s="118" t="s">
        <v>130</v>
      </c>
      <c r="E2727" s="118" t="s">
        <v>181</v>
      </c>
      <c r="F2727" s="118" t="s">
        <v>46</v>
      </c>
      <c r="G2727" s="153"/>
      <c r="H2727" s="155">
        <v>2.8199999999999999E-2</v>
      </c>
      <c r="I2727" s="154" t="s">
        <v>48</v>
      </c>
      <c r="J2727" s="203">
        <v>5.2639999999999999E-2</v>
      </c>
      <c r="K2727" s="154" t="s">
        <v>23</v>
      </c>
      <c r="L2727" s="154" t="str">
        <f>IF(OpenLCAbasic!K2727="CTUh", "Fill in Manually",IF(OR(K2727="Unit", K2727=""), "", INDEX(LookUps!$E$5:$E$12, MATCH(OpenLCAbasic!K2727,LookUps!$D$5:$D$12,0))))</f>
        <v>Global Warming Potential (GWP) - kg CO2 eq</v>
      </c>
      <c r="M2727" s="154" t="str">
        <f t="shared" si="136"/>
        <v>High_Base_Upgraded_Global Warming Potential (GWP) - kg CO2 eq_Effluent release; wastewater treatment unit; at surface water; m3 wastewater - US_Base_With Amendment_Windrow</v>
      </c>
    </row>
    <row r="2728" spans="1:13" s="120" customFormat="1" x14ac:dyDescent="0.25">
      <c r="A2728" s="119"/>
      <c r="B2728" s="138" t="str">
        <f t="shared" si="134"/>
        <v>Windrow</v>
      </c>
      <c r="C2728" s="138" t="str">
        <f t="shared" si="135"/>
        <v>Base_With Amendment</v>
      </c>
      <c r="D2728" s="118" t="s">
        <v>130</v>
      </c>
      <c r="E2728" s="118" t="s">
        <v>181</v>
      </c>
      <c r="F2728" s="118" t="s">
        <v>46</v>
      </c>
      <c r="G2728" s="153"/>
      <c r="H2728" s="155">
        <v>2.7099999999999999E-2</v>
      </c>
      <c r="I2728" s="154" t="s">
        <v>147</v>
      </c>
      <c r="J2728" s="203">
        <v>5.0500000000000003E-2</v>
      </c>
      <c r="K2728" s="154" t="s">
        <v>23</v>
      </c>
      <c r="L2728" s="154" t="str">
        <f>IF(OpenLCAbasic!K2728="CTUh", "Fill in Manually",IF(OR(K2728="Unit", K2728=""), "", INDEX(LookUps!$E$5:$E$12, MATCH(OpenLCAbasic!K2728,LookUps!$D$5:$D$12,0))))</f>
        <v>Global Warming Potential (GWP) - kg CO2 eq</v>
      </c>
      <c r="M2728" s="154" t="str">
        <f t="shared" si="136"/>
        <v>High_Base_Upgraded_Global Warming Potential (GWP) - kg CO2 eq_Influent Pump Station; wastewater treatment unit; at updated plant - US_Base_With Amendment_Windrow</v>
      </c>
    </row>
    <row r="2729" spans="1:13" s="120" customFormat="1" x14ac:dyDescent="0.25">
      <c r="A2729" s="119"/>
      <c r="B2729" s="138" t="str">
        <f t="shared" si="134"/>
        <v>Windrow</v>
      </c>
      <c r="C2729" s="138" t="str">
        <f t="shared" si="135"/>
        <v>Base_With Amendment</v>
      </c>
      <c r="D2729" s="118" t="s">
        <v>130</v>
      </c>
      <c r="E2729" s="118" t="s">
        <v>181</v>
      </c>
      <c r="F2729" s="118" t="s">
        <v>46</v>
      </c>
      <c r="G2729" s="153"/>
      <c r="H2729" s="155">
        <v>1.78E-2</v>
      </c>
      <c r="I2729" s="154" t="s">
        <v>53</v>
      </c>
      <c r="J2729" s="203">
        <v>3.3259999999999998E-2</v>
      </c>
      <c r="K2729" s="154" t="s">
        <v>23</v>
      </c>
      <c r="L2729" s="154" t="str">
        <f>IF(OpenLCAbasic!K2729="CTUh", "Fill in Manually",IF(OR(K2729="Unit", K2729=""), "", INDEX(LookUps!$E$5:$E$12, MATCH(OpenLCAbasic!K2729,LookUps!$D$5:$D$12,0))))</f>
        <v>Global Warming Potential (GWP) - kg CO2 eq</v>
      </c>
      <c r="M2729" s="154" t="str">
        <f t="shared" si="136"/>
        <v>High_Base_Upgraded_Global Warming Potential (GWP) - kg CO2 eq_Wet Well and Sump Station; wastewater treatment unit; at updated plant - US_Base_With Amendment_Windrow</v>
      </c>
    </row>
    <row r="2730" spans="1:13" s="120" customFormat="1" x14ac:dyDescent="0.25">
      <c r="A2730" s="119"/>
      <c r="B2730" s="138" t="str">
        <f t="shared" si="134"/>
        <v>Windrow</v>
      </c>
      <c r="C2730" s="138" t="str">
        <f t="shared" si="135"/>
        <v>Base_With Amendment</v>
      </c>
      <c r="D2730" s="118" t="s">
        <v>130</v>
      </c>
      <c r="E2730" s="118" t="s">
        <v>181</v>
      </c>
      <c r="F2730" s="118" t="s">
        <v>46</v>
      </c>
      <c r="G2730" s="153"/>
      <c r="H2730" s="155">
        <v>7.7999999999999996E-3</v>
      </c>
      <c r="I2730" s="154" t="s">
        <v>57</v>
      </c>
      <c r="J2730" s="203">
        <v>1.455E-2</v>
      </c>
      <c r="K2730" s="154" t="s">
        <v>23</v>
      </c>
      <c r="L2730" s="154" t="str">
        <f>IF(OpenLCAbasic!K2730="CTUh", "Fill in Manually",IF(OR(K2730="Unit", K2730=""), "", INDEX(LookUps!$E$5:$E$12, MATCH(OpenLCAbasic!K2730,LookUps!$D$5:$D$12,0))))</f>
        <v>Global Warming Potential (GWP) - kg CO2 eq</v>
      </c>
      <c r="M2730" s="154" t="str">
        <f t="shared" si="136"/>
        <v>High_Base_Upgraded_Global Warming Potential (GWP) - kg CO2 eq_Gravity Belt Thickener; wastewater treatment unit; at updated plant - US_Base_With Amendment_Windrow</v>
      </c>
    </row>
    <row r="2731" spans="1:13" s="120" customFormat="1" x14ac:dyDescent="0.25">
      <c r="A2731" s="119"/>
      <c r="B2731" s="138" t="str">
        <f t="shared" si="134"/>
        <v>Windrow</v>
      </c>
      <c r="C2731" s="138" t="str">
        <f t="shared" si="135"/>
        <v>Base_With Amendment</v>
      </c>
      <c r="D2731" s="118" t="s">
        <v>130</v>
      </c>
      <c r="E2731" s="118" t="s">
        <v>181</v>
      </c>
      <c r="F2731" s="118" t="s">
        <v>46</v>
      </c>
      <c r="G2731" s="153"/>
      <c r="H2731" s="155">
        <v>7.1999999999999998E-3</v>
      </c>
      <c r="I2731" s="154" t="s">
        <v>128</v>
      </c>
      <c r="J2731" s="203">
        <v>1.3509999999999999E-2</v>
      </c>
      <c r="K2731" s="154" t="s">
        <v>23</v>
      </c>
      <c r="L2731" s="154" t="str">
        <f>IF(OpenLCAbasic!K2731="CTUh", "Fill in Manually",IF(OR(K2731="Unit", K2731=""), "", INDEX(LookUps!$E$5:$E$12, MATCH(OpenLCAbasic!K2731,LookUps!$D$5:$D$12,0))))</f>
        <v>Global Warming Potential (GWP) - kg CO2 eq</v>
      </c>
      <c r="M2731" s="154" t="str">
        <f t="shared" si="136"/>
        <v>High_Base_Upgraded_Global Warming Potential (GWP) - kg CO2 eq_Wastewater collection; operation and infrastructure; m3 wastewater_Base_With Amendment_Windrow</v>
      </c>
    </row>
    <row r="2732" spans="1:13" s="120" customFormat="1" x14ac:dyDescent="0.25">
      <c r="A2732" s="119"/>
      <c r="B2732" s="138" t="str">
        <f t="shared" si="134"/>
        <v>Windrow</v>
      </c>
      <c r="C2732" s="138" t="str">
        <f t="shared" si="135"/>
        <v>Base_With Amendment</v>
      </c>
      <c r="D2732" s="118" t="s">
        <v>130</v>
      </c>
      <c r="E2732" s="118" t="s">
        <v>181</v>
      </c>
      <c r="F2732" s="118" t="s">
        <v>46</v>
      </c>
      <c r="G2732" s="153"/>
      <c r="H2732" s="155">
        <v>6.7999999999999996E-3</v>
      </c>
      <c r="I2732" s="154" t="s">
        <v>60</v>
      </c>
      <c r="J2732" s="204">
        <v>1.278E-2</v>
      </c>
      <c r="K2732" s="154" t="s">
        <v>23</v>
      </c>
      <c r="L2732" s="154" t="str">
        <f>IF(OpenLCAbasic!K2732="CTUh", "Fill in Manually",IF(OR(K2732="Unit", K2732=""), "", INDEX(LookUps!$E$5:$E$12, MATCH(OpenLCAbasic!K2732,LookUps!$D$5:$D$12,0))))</f>
        <v>Global Warming Potential (GWP) - kg CO2 eq</v>
      </c>
      <c r="M2732" s="154" t="str">
        <f t="shared" si="136"/>
        <v>High_Base_Upgraded_Global Warming Potential (GWP) - kg CO2 eq_Belt filter press; wastewater treatment unit; at updated plant - US_Base_With Amendment_Windrow</v>
      </c>
    </row>
    <row r="2733" spans="1:13" s="120" customFormat="1" x14ac:dyDescent="0.25">
      <c r="A2733" s="119"/>
      <c r="B2733" s="138" t="str">
        <f t="shared" si="134"/>
        <v>Windrow</v>
      </c>
      <c r="C2733" s="138" t="str">
        <f t="shared" si="135"/>
        <v>Base_With Amendment</v>
      </c>
      <c r="D2733" s="118" t="s">
        <v>130</v>
      </c>
      <c r="E2733" s="118" t="s">
        <v>181</v>
      </c>
      <c r="F2733" s="118" t="s">
        <v>46</v>
      </c>
      <c r="G2733" s="153"/>
      <c r="H2733" s="155">
        <v>4.4000000000000003E-3</v>
      </c>
      <c r="I2733" s="154" t="s">
        <v>148</v>
      </c>
      <c r="J2733" s="204">
        <v>8.3000000000000001E-3</v>
      </c>
      <c r="K2733" s="154" t="s">
        <v>23</v>
      </c>
      <c r="L2733" s="154" t="str">
        <f>IF(OpenLCAbasic!K2733="CTUh", "Fill in Manually",IF(OR(K2733="Unit", K2733=""), "", INDEX(LookUps!$E$5:$E$12, MATCH(OpenLCAbasic!K2733,LookUps!$D$5:$D$12,0))))</f>
        <v>Global Warming Potential (GWP) - kg CO2 eq</v>
      </c>
      <c r="M2733" s="154" t="str">
        <f t="shared" si="136"/>
        <v>High_Base_Upgraded_Global Warming Potential (GWP) - kg CO2 eq_Control Building; at upgraded wastewater treatment plant - US_Base_With Amendment_Windrow</v>
      </c>
    </row>
    <row r="2734" spans="1:13" s="120" customFormat="1" x14ac:dyDescent="0.25">
      <c r="A2734" s="119"/>
      <c r="B2734" s="138" t="str">
        <f t="shared" si="134"/>
        <v>Windrow</v>
      </c>
      <c r="C2734" s="138" t="str">
        <f t="shared" si="135"/>
        <v>Base_With Amendment</v>
      </c>
      <c r="D2734" s="118" t="s">
        <v>130</v>
      </c>
      <c r="E2734" s="118" t="s">
        <v>181</v>
      </c>
      <c r="F2734" s="118" t="s">
        <v>46</v>
      </c>
      <c r="G2734" s="153"/>
      <c r="H2734" s="155">
        <v>2.7000000000000001E-3</v>
      </c>
      <c r="I2734" s="154" t="s">
        <v>59</v>
      </c>
      <c r="J2734" s="204">
        <v>5.0400000000000002E-3</v>
      </c>
      <c r="K2734" s="154" t="s">
        <v>23</v>
      </c>
      <c r="L2734" s="154" t="str">
        <f>IF(OpenLCAbasic!K2734="CTUh", "Fill in Manually",IF(OR(K2734="Unit", K2734=""), "", INDEX(LookUps!$E$5:$E$12, MATCH(OpenLCAbasic!K2734,LookUps!$D$5:$D$12,0))))</f>
        <v>Global Warming Potential (GWP) - kg CO2 eq</v>
      </c>
      <c r="M2734" s="154" t="str">
        <f t="shared" si="136"/>
        <v>High_Base_Upgraded_Global Warming Potential (GWP) - kg CO2 eq_Blend Tank; wastewater treatment unit; at updated plant - US_Base_With Amendment_Windrow</v>
      </c>
    </row>
    <row r="2735" spans="1:13" s="120" customFormat="1" x14ac:dyDescent="0.25">
      <c r="A2735" s="119"/>
      <c r="B2735" s="138" t="str">
        <f t="shared" si="134"/>
        <v>Windrow</v>
      </c>
      <c r="C2735" s="138" t="str">
        <f t="shared" si="135"/>
        <v>Base_With Amendment</v>
      </c>
      <c r="D2735" s="118" t="s">
        <v>130</v>
      </c>
      <c r="E2735" s="118" t="s">
        <v>181</v>
      </c>
      <c r="F2735" s="118" t="s">
        <v>46</v>
      </c>
      <c r="G2735" s="153"/>
      <c r="H2735" s="155">
        <v>1.2999999999999999E-3</v>
      </c>
      <c r="I2735" s="154" t="s">
        <v>168</v>
      </c>
      <c r="J2735" s="204">
        <v>2.4099999999999998E-3</v>
      </c>
      <c r="K2735" s="154" t="s">
        <v>23</v>
      </c>
      <c r="L2735" s="154" t="str">
        <f>IF(OpenLCAbasic!K2735="CTUh", "Fill in Manually",IF(OR(K2735="Unit", K2735=""), "", INDEX(LookUps!$E$5:$E$12, MATCH(OpenLCAbasic!K2735,LookUps!$D$5:$D$12,0))))</f>
        <v>Global Warming Potential (GWP) - kg CO2 eq</v>
      </c>
      <c r="M2735" s="154" t="str">
        <f t="shared" si="136"/>
        <v>High_Base_Upgraded_Global Warming Potential (GWP) - kg CO2 eq_ClearCove SCP; wastewater treatment unit; at updated plant - US_Base_With Amendment_Windrow</v>
      </c>
    </row>
    <row r="2736" spans="1:13" s="120" customFormat="1" x14ac:dyDescent="0.25">
      <c r="A2736" s="119"/>
      <c r="B2736" s="138" t="str">
        <f t="shared" si="134"/>
        <v>Windrow</v>
      </c>
      <c r="C2736" s="138" t="str">
        <f t="shared" si="135"/>
        <v>Base_With Amendment</v>
      </c>
      <c r="D2736" s="118" t="s">
        <v>130</v>
      </c>
      <c r="E2736" s="118" t="s">
        <v>181</v>
      </c>
      <c r="F2736" s="118" t="s">
        <v>46</v>
      </c>
      <c r="G2736" s="153"/>
      <c r="H2736" s="155">
        <v>-3.0300000000000001E-2</v>
      </c>
      <c r="I2736" s="154" t="s">
        <v>149</v>
      </c>
      <c r="J2736" s="204">
        <v>-5.6640000000000003E-2</v>
      </c>
      <c r="K2736" s="154" t="s">
        <v>23</v>
      </c>
      <c r="L2736" s="154" t="str">
        <f>IF(OpenLCAbasic!K2736="CTUh", "Fill in Manually",IF(OR(K2736="Unit", K2736=""), "", INDEX(LookUps!$E$5:$E$12, MATCH(OpenLCAbasic!K2736,LookUps!$D$5:$D$12,0))))</f>
        <v>Global Warming Potential (GWP) - kg CO2 eq</v>
      </c>
      <c r="M2736" s="154" t="str">
        <f t="shared" si="136"/>
        <v>High_Base_Upgraded_Global Warming Potential (GWP) - kg CO2 eq_Anaerobic Digestion; wastewater treatment unit; at updated plant - US_Base_With Amendment_Windrow</v>
      </c>
    </row>
    <row r="2737" spans="1:13" s="120" customFormat="1" x14ac:dyDescent="0.25">
      <c r="A2737" s="119"/>
      <c r="B2737" s="138" t="str">
        <f t="shared" si="134"/>
        <v>Windrow</v>
      </c>
      <c r="C2737" s="138" t="str">
        <f t="shared" si="135"/>
        <v>Base_With Amendment</v>
      </c>
      <c r="D2737" s="118" t="s">
        <v>130</v>
      </c>
      <c r="E2737" s="118" t="s">
        <v>181</v>
      </c>
      <c r="F2737" s="118" t="s">
        <v>46</v>
      </c>
      <c r="G2737" s="153"/>
      <c r="H2737" s="155">
        <v>-0.25269999999999998</v>
      </c>
      <c r="I2737" s="154" t="s">
        <v>62</v>
      </c>
      <c r="J2737" s="203">
        <v>-0.47161999999999998</v>
      </c>
      <c r="K2737" s="154" t="s">
        <v>23</v>
      </c>
      <c r="L2737" s="154" t="str">
        <f>IF(OpenLCAbasic!K2737="CTUh", "Fill in Manually",IF(OR(K2737="Unit", K2737=""), "", INDEX(LookUps!$E$5:$E$12, MATCH(OpenLCAbasic!K2737,LookUps!$D$5:$D$12,0))))</f>
        <v>Global Warming Potential (GWP) - kg CO2 eq</v>
      </c>
      <c r="M2737" s="154" t="str">
        <f t="shared" si="136"/>
        <v>High_Base_Upgraded_Global Warming Potential (GWP) - kg CO2 eq_Land application of compost; wastewater treatment unit; at updated plant - US_Base_With Amendment_Windrow</v>
      </c>
    </row>
    <row r="2738" spans="1:13" s="120" customFormat="1" x14ac:dyDescent="0.25">
      <c r="A2738" s="119"/>
      <c r="B2738" s="138" t="str">
        <f t="shared" si="134"/>
        <v>Windrow</v>
      </c>
      <c r="C2738" s="138" t="str">
        <f t="shared" si="135"/>
        <v>Base_With Amendment</v>
      </c>
      <c r="D2738" s="118" t="s">
        <v>130</v>
      </c>
      <c r="E2738" s="118" t="s">
        <v>181</v>
      </c>
      <c r="F2738" s="118" t="s">
        <v>46</v>
      </c>
      <c r="G2738" s="153" t="s">
        <v>51</v>
      </c>
      <c r="H2738" s="154"/>
      <c r="I2738" s="154" t="s">
        <v>47</v>
      </c>
      <c r="J2738" s="154" t="s">
        <v>52</v>
      </c>
      <c r="K2738" s="154" t="s">
        <v>27</v>
      </c>
      <c r="L2738" s="154" t="str">
        <f>IF(OpenLCAbasic!K2738="CTUh", "Fill in Manually",IF(OR(K2738="Unit", K2738=""), "", INDEX(LookUps!$E$5:$E$12, MATCH(OpenLCAbasic!K2738,LookUps!$D$5:$D$12,0))))</f>
        <v/>
      </c>
      <c r="M2738" s="154" t="str">
        <f t="shared" si="136"/>
        <v>High_Base_Upgraded__Process_Base_With Amendment_Windrow</v>
      </c>
    </row>
    <row r="2739" spans="1:13" s="120" customFormat="1" x14ac:dyDescent="0.25">
      <c r="A2739" s="119"/>
      <c r="B2739" s="138" t="str">
        <f t="shared" si="134"/>
        <v>Windrow</v>
      </c>
      <c r="C2739" s="138" t="str">
        <f t="shared" si="135"/>
        <v>Base_With Amendment</v>
      </c>
      <c r="D2739" s="118" t="s">
        <v>130</v>
      </c>
      <c r="E2739" s="118" t="s">
        <v>181</v>
      </c>
      <c r="F2739" s="118" t="s">
        <v>46</v>
      </c>
      <c r="G2739" s="153"/>
      <c r="H2739" s="155">
        <v>0.74060000000000004</v>
      </c>
      <c r="I2739" s="154" t="s">
        <v>48</v>
      </c>
      <c r="J2739" s="203">
        <v>1.1610000000000001E-2</v>
      </c>
      <c r="K2739" s="154" t="s">
        <v>13</v>
      </c>
      <c r="L2739" s="154" t="str">
        <f>IF(OpenLCAbasic!K2739="CTUh", "Fill in Manually",IF(OR(K2739="Unit", K2739=""), "", INDEX(LookUps!$E$5:$E$12, MATCH(OpenLCAbasic!K2739,LookUps!$D$5:$D$12,0))))</f>
        <v>Eutrophication Potential (EP) - kg N eq</v>
      </c>
      <c r="M2739" s="154" t="str">
        <f t="shared" si="136"/>
        <v>High_Base_Upgraded_Eutrophication Potential (EP) - kg N eq_Effluent release; wastewater treatment unit; at surface water; m3 wastewater - US_Base_With Amendment_Windrow</v>
      </c>
    </row>
    <row r="2740" spans="1:13" s="120" customFormat="1" x14ac:dyDescent="0.25">
      <c r="A2740" s="119"/>
      <c r="B2740" s="138" t="str">
        <f t="shared" si="134"/>
        <v>Windrow</v>
      </c>
      <c r="C2740" s="138" t="str">
        <f t="shared" si="135"/>
        <v>Base_With Amendment</v>
      </c>
      <c r="D2740" s="118" t="s">
        <v>130</v>
      </c>
      <c r="E2740" s="118" t="s">
        <v>181</v>
      </c>
      <c r="F2740" s="118" t="s">
        <v>46</v>
      </c>
      <c r="G2740" s="153"/>
      <c r="H2740" s="155">
        <v>0.1258</v>
      </c>
      <c r="I2740" s="154" t="s">
        <v>62</v>
      </c>
      <c r="J2740" s="204">
        <v>1.97E-3</v>
      </c>
      <c r="K2740" s="154" t="s">
        <v>13</v>
      </c>
      <c r="L2740" s="154" t="str">
        <f>IF(OpenLCAbasic!K2740="CTUh", "Fill in Manually",IF(OR(K2740="Unit", K2740=""), "", INDEX(LookUps!$E$5:$E$12, MATCH(OpenLCAbasic!K2740,LookUps!$D$5:$D$12,0))))</f>
        <v>Eutrophication Potential (EP) - kg N eq</v>
      </c>
      <c r="M2740" s="154" t="str">
        <f t="shared" si="136"/>
        <v>High_Base_Upgraded_Eutrophication Potential (EP) - kg N eq_Land application of compost; wastewater treatment unit; at updated plant - US_Base_With Amendment_Windrow</v>
      </c>
    </row>
    <row r="2741" spans="1:13" s="120" customFormat="1" x14ac:dyDescent="0.25">
      <c r="A2741" s="119"/>
      <c r="B2741" s="138" t="str">
        <f t="shared" si="134"/>
        <v>Windrow</v>
      </c>
      <c r="C2741" s="138" t="str">
        <f t="shared" si="135"/>
        <v>Base_With Amendment</v>
      </c>
      <c r="D2741" s="118" t="s">
        <v>130</v>
      </c>
      <c r="E2741" s="118" t="s">
        <v>181</v>
      </c>
      <c r="F2741" s="118" t="s">
        <v>46</v>
      </c>
      <c r="G2741" s="153"/>
      <c r="H2741" s="155">
        <v>4.3400000000000001E-2</v>
      </c>
      <c r="I2741" s="154" t="s">
        <v>271</v>
      </c>
      <c r="J2741" s="204">
        <v>6.8000000000000005E-4</v>
      </c>
      <c r="K2741" s="154" t="s">
        <v>13</v>
      </c>
      <c r="L2741" s="154" t="str">
        <f>IF(OpenLCAbasic!K2741="CTUh", "Fill in Manually",IF(OR(K2741="Unit", K2741=""), "", INDEX(LookUps!$E$5:$E$12, MATCH(OpenLCAbasic!K2741,LookUps!$D$5:$D$12,0))))</f>
        <v>Eutrophication Potential (EP) - kg N eq</v>
      </c>
      <c r="M2741" s="154" t="str">
        <f t="shared" si="136"/>
        <v>High_Base_Upgraded_Eutrophication Potential (EP) - kg N eq_Biosolids composting; windrow composting; wastewater treatment unit; at updated plant - US_Base_With Amendment_Windrow</v>
      </c>
    </row>
    <row r="2742" spans="1:13" s="120" customFormat="1" x14ac:dyDescent="0.25">
      <c r="A2742" s="119"/>
      <c r="B2742" s="138" t="str">
        <f t="shared" si="134"/>
        <v>Windrow</v>
      </c>
      <c r="C2742" s="138" t="str">
        <f t="shared" si="135"/>
        <v>Base_With Amendment</v>
      </c>
      <c r="D2742" s="118" t="s">
        <v>130</v>
      </c>
      <c r="E2742" s="118" t="s">
        <v>181</v>
      </c>
      <c r="F2742" s="118" t="s">
        <v>46</v>
      </c>
      <c r="G2742" s="153"/>
      <c r="H2742" s="155">
        <v>3.49E-2</v>
      </c>
      <c r="I2742" s="154" t="s">
        <v>55</v>
      </c>
      <c r="J2742" s="204">
        <v>5.5000000000000003E-4</v>
      </c>
      <c r="K2742" s="154" t="s">
        <v>13</v>
      </c>
      <c r="L2742" s="154" t="str">
        <f>IF(OpenLCAbasic!K2742="CTUh", "Fill in Manually",IF(OR(K2742="Unit", K2742=""), "", INDEX(LookUps!$E$5:$E$12, MATCH(OpenLCAbasic!K2742,LookUps!$D$5:$D$12,0))))</f>
        <v>Eutrophication Potential (EP) - kg N eq</v>
      </c>
      <c r="M2742" s="154" t="str">
        <f t="shared" si="136"/>
        <v>High_Base_Upgraded_Eutrophication Potential (EP) - kg N eq_Aeration Tanks; wastewater treatment unit; at updated plant - US_Base_With Amendment_Windrow</v>
      </c>
    </row>
    <row r="2743" spans="1:13" s="120" customFormat="1" x14ac:dyDescent="0.25">
      <c r="A2743" s="119"/>
      <c r="B2743" s="138" t="str">
        <f t="shared" si="134"/>
        <v>Windrow</v>
      </c>
      <c r="C2743" s="138" t="str">
        <f t="shared" si="135"/>
        <v>Base_With Amendment</v>
      </c>
      <c r="D2743" s="118" t="s">
        <v>130</v>
      </c>
      <c r="E2743" s="118" t="s">
        <v>181</v>
      </c>
      <c r="F2743" s="118" t="s">
        <v>46</v>
      </c>
      <c r="G2743" s="153"/>
      <c r="H2743" s="155">
        <v>1.5900000000000001E-2</v>
      </c>
      <c r="I2743" s="154" t="s">
        <v>147</v>
      </c>
      <c r="J2743" s="204">
        <v>2.5000000000000001E-4</v>
      </c>
      <c r="K2743" s="154" t="s">
        <v>13</v>
      </c>
      <c r="L2743" s="154" t="str">
        <f>IF(OpenLCAbasic!K2743="CTUh", "Fill in Manually",IF(OR(K2743="Unit", K2743=""), "", INDEX(LookUps!$E$5:$E$12, MATCH(OpenLCAbasic!K2743,LookUps!$D$5:$D$12,0))))</f>
        <v>Eutrophication Potential (EP) - kg N eq</v>
      </c>
      <c r="M2743" s="154" t="str">
        <f t="shared" si="136"/>
        <v>High_Base_Upgraded_Eutrophication Potential (EP) - kg N eq_Influent Pump Station; wastewater treatment unit; at updated plant - US_Base_With Amendment_Windrow</v>
      </c>
    </row>
    <row r="2744" spans="1:13" s="120" customFormat="1" x14ac:dyDescent="0.25">
      <c r="A2744" s="119"/>
      <c r="B2744" s="138" t="str">
        <f t="shared" si="134"/>
        <v>Windrow</v>
      </c>
      <c r="C2744" s="138" t="str">
        <f t="shared" si="135"/>
        <v>Base_With Amendment</v>
      </c>
      <c r="D2744" s="118" t="s">
        <v>130</v>
      </c>
      <c r="E2744" s="118" t="s">
        <v>181</v>
      </c>
      <c r="F2744" s="118" t="s">
        <v>46</v>
      </c>
      <c r="G2744" s="153"/>
      <c r="H2744" s="155">
        <v>1.26E-2</v>
      </c>
      <c r="I2744" s="154" t="s">
        <v>54</v>
      </c>
      <c r="J2744" s="204">
        <v>2.0000000000000001E-4</v>
      </c>
      <c r="K2744" s="154" t="s">
        <v>13</v>
      </c>
      <c r="L2744" s="154" t="str">
        <f>IF(OpenLCAbasic!K2744="CTUh", "Fill in Manually",IF(OR(K2744="Unit", K2744=""), "", INDEX(LookUps!$E$5:$E$12, MATCH(OpenLCAbasic!K2744,LookUps!$D$5:$D$12,0))))</f>
        <v>Eutrophication Potential (EP) - kg N eq</v>
      </c>
      <c r="M2744" s="154" t="str">
        <f t="shared" si="136"/>
        <v>High_Base_Upgraded_Eutrophication Potential (EP) - kg N eq_Clear Cove Primary Clarification; wastewater treatment unit; at updated plant - US_Base_With Amendment_Windrow</v>
      </c>
    </row>
    <row r="2745" spans="1:13" s="120" customFormat="1" x14ac:dyDescent="0.25">
      <c r="A2745" s="119"/>
      <c r="B2745" s="138" t="str">
        <f t="shared" si="134"/>
        <v>Windrow</v>
      </c>
      <c r="C2745" s="138" t="str">
        <f t="shared" si="135"/>
        <v>Base_With Amendment</v>
      </c>
      <c r="D2745" s="118" t="s">
        <v>130</v>
      </c>
      <c r="E2745" s="118" t="s">
        <v>181</v>
      </c>
      <c r="F2745" s="118" t="s">
        <v>46</v>
      </c>
      <c r="G2745" s="153"/>
      <c r="H2745" s="155">
        <v>1.0500000000000001E-2</v>
      </c>
      <c r="I2745" s="154" t="s">
        <v>167</v>
      </c>
      <c r="J2745" s="204">
        <v>1.6000000000000001E-4</v>
      </c>
      <c r="K2745" s="154" t="s">
        <v>13</v>
      </c>
      <c r="L2745" s="154" t="str">
        <f>IF(OpenLCAbasic!K2745="CTUh", "Fill in Manually",IF(OR(K2745="Unit", K2745=""), "", INDEX(LookUps!$E$5:$E$12, MATCH(OpenLCAbasic!K2745,LookUps!$D$5:$D$12,0))))</f>
        <v>Eutrophication Potential (EP) - kg N eq</v>
      </c>
      <c r="M2745" s="154" t="str">
        <f t="shared" si="136"/>
        <v>High_Base_Upgraded_Eutrophication Potential (EP) - kg N eq_Waste Receiving and Holding; wastewater treatment unit; at updated plant - US_Base_With Amendment_Windrow</v>
      </c>
    </row>
    <row r="2746" spans="1:13" s="120" customFormat="1" x14ac:dyDescent="0.25">
      <c r="A2746" s="119"/>
      <c r="B2746" s="138" t="str">
        <f t="shared" si="134"/>
        <v>Windrow</v>
      </c>
      <c r="C2746" s="138" t="str">
        <f t="shared" si="135"/>
        <v>Base_With Amendment</v>
      </c>
      <c r="D2746" s="118" t="s">
        <v>130</v>
      </c>
      <c r="E2746" s="118" t="s">
        <v>181</v>
      </c>
      <c r="F2746" s="118" t="s">
        <v>46</v>
      </c>
      <c r="G2746" s="153"/>
      <c r="H2746" s="155">
        <v>8.6E-3</v>
      </c>
      <c r="I2746" s="154" t="s">
        <v>58</v>
      </c>
      <c r="J2746" s="204">
        <v>1.3999999999999999E-4</v>
      </c>
      <c r="K2746" s="154" t="s">
        <v>13</v>
      </c>
      <c r="L2746" s="154" t="str">
        <f>IF(OpenLCAbasic!K2746="CTUh", "Fill in Manually",IF(OR(K2746="Unit", K2746=""), "", INDEX(LookUps!$E$5:$E$12, MATCH(OpenLCAbasic!K2746,LookUps!$D$5:$D$12,0))))</f>
        <v>Eutrophication Potential (EP) - kg N eq</v>
      </c>
      <c r="M2746" s="154" t="str">
        <f t="shared" si="136"/>
        <v>High_Base_Upgraded_Eutrophication Potential (EP) - kg N eq_Pre-Anoxic &amp; Swing tank; wastewater treatment unit; at updated plant - US_Base_With Amendment_Windrow</v>
      </c>
    </row>
    <row r="2747" spans="1:13" s="120" customFormat="1" x14ac:dyDescent="0.25">
      <c r="A2747" s="119"/>
      <c r="B2747" s="138" t="str">
        <f t="shared" si="134"/>
        <v>Windrow</v>
      </c>
      <c r="C2747" s="138" t="str">
        <f t="shared" si="135"/>
        <v>Base_With Amendment</v>
      </c>
      <c r="D2747" s="118" t="s">
        <v>130</v>
      </c>
      <c r="E2747" s="118" t="s">
        <v>181</v>
      </c>
      <c r="F2747" s="118" t="s">
        <v>46</v>
      </c>
      <c r="G2747" s="153"/>
      <c r="H2747" s="155">
        <v>6.8999999999999999E-3</v>
      </c>
      <c r="I2747" s="154" t="s">
        <v>53</v>
      </c>
      <c r="J2747" s="204">
        <v>1.1E-4</v>
      </c>
      <c r="K2747" s="154" t="s">
        <v>13</v>
      </c>
      <c r="L2747" s="154" t="str">
        <f>IF(OpenLCAbasic!K2747="CTUh", "Fill in Manually",IF(OR(K2747="Unit", K2747=""), "", INDEX(LookUps!$E$5:$E$12, MATCH(OpenLCAbasic!K2747,LookUps!$D$5:$D$12,0))))</f>
        <v>Eutrophication Potential (EP) - kg N eq</v>
      </c>
      <c r="M2747" s="154" t="str">
        <f t="shared" si="136"/>
        <v>High_Base_Upgraded_Eutrophication Potential (EP) - kg N eq_Wet Well and Sump Station; wastewater treatment unit; at updated plant - US_Base_With Amendment_Windrow</v>
      </c>
    </row>
    <row r="2748" spans="1:13" s="120" customFormat="1" x14ac:dyDescent="0.25">
      <c r="A2748" s="119"/>
      <c r="B2748" s="138" t="str">
        <f t="shared" si="134"/>
        <v>Windrow</v>
      </c>
      <c r="C2748" s="138" t="str">
        <f t="shared" si="135"/>
        <v>Base_With Amendment</v>
      </c>
      <c r="D2748" s="118" t="s">
        <v>130</v>
      </c>
      <c r="E2748" s="118" t="s">
        <v>181</v>
      </c>
      <c r="F2748" s="118" t="s">
        <v>46</v>
      </c>
      <c r="G2748" s="153"/>
      <c r="H2748" s="155">
        <v>3.8999999999999998E-3</v>
      </c>
      <c r="I2748" s="154" t="s">
        <v>57</v>
      </c>
      <c r="J2748" s="204">
        <v>6.0590300000000002E-5</v>
      </c>
      <c r="K2748" s="154" t="s">
        <v>13</v>
      </c>
      <c r="L2748" s="154" t="str">
        <f>IF(OpenLCAbasic!K2748="CTUh", "Fill in Manually",IF(OR(K2748="Unit", K2748=""), "", INDEX(LookUps!$E$5:$E$12, MATCH(OpenLCAbasic!K2748,LookUps!$D$5:$D$12,0))))</f>
        <v>Eutrophication Potential (EP) - kg N eq</v>
      </c>
      <c r="M2748" s="154" t="str">
        <f t="shared" si="136"/>
        <v>High_Base_Upgraded_Eutrophication Potential (EP) - kg N eq_Gravity Belt Thickener; wastewater treatment unit; at updated plant - US_Base_With Amendment_Windrow</v>
      </c>
    </row>
    <row r="2749" spans="1:13" s="120" customFormat="1" x14ac:dyDescent="0.25">
      <c r="A2749" s="119"/>
      <c r="B2749" s="138" t="str">
        <f t="shared" si="134"/>
        <v>Windrow</v>
      </c>
      <c r="C2749" s="138" t="str">
        <f t="shared" si="135"/>
        <v>Base_With Amendment</v>
      </c>
      <c r="D2749" s="118" t="s">
        <v>130</v>
      </c>
      <c r="E2749" s="118" t="s">
        <v>181</v>
      </c>
      <c r="F2749" s="118" t="s">
        <v>46</v>
      </c>
      <c r="G2749" s="153"/>
      <c r="H2749" s="155">
        <v>3.2000000000000002E-3</v>
      </c>
      <c r="I2749" s="154" t="s">
        <v>60</v>
      </c>
      <c r="J2749" s="204">
        <v>5.06508E-5</v>
      </c>
      <c r="K2749" s="154" t="s">
        <v>13</v>
      </c>
      <c r="L2749" s="154" t="str">
        <f>IF(OpenLCAbasic!K2749="CTUh", "Fill in Manually",IF(OR(K2749="Unit", K2749=""), "", INDEX(LookUps!$E$5:$E$12, MATCH(OpenLCAbasic!K2749,LookUps!$D$5:$D$12,0))))</f>
        <v>Eutrophication Potential (EP) - kg N eq</v>
      </c>
      <c r="M2749" s="154" t="str">
        <f t="shared" si="136"/>
        <v>High_Base_Upgraded_Eutrophication Potential (EP) - kg N eq_Belt filter press; wastewater treatment unit; at updated plant - US_Base_With Amendment_Windrow</v>
      </c>
    </row>
    <row r="2750" spans="1:13" s="120" customFormat="1" x14ac:dyDescent="0.25">
      <c r="A2750" s="119"/>
      <c r="B2750" s="138" t="str">
        <f t="shared" si="134"/>
        <v>Windrow</v>
      </c>
      <c r="C2750" s="138" t="str">
        <f t="shared" si="135"/>
        <v>Base_With Amendment</v>
      </c>
      <c r="D2750" s="118" t="s">
        <v>130</v>
      </c>
      <c r="E2750" s="118" t="s">
        <v>181</v>
      </c>
      <c r="F2750" s="118" t="s">
        <v>46</v>
      </c>
      <c r="G2750" s="153"/>
      <c r="H2750" s="155">
        <v>2.3999999999999998E-3</v>
      </c>
      <c r="I2750" s="154" t="s">
        <v>128</v>
      </c>
      <c r="J2750" s="204">
        <v>3.7559799999999999E-5</v>
      </c>
      <c r="K2750" s="154" t="s">
        <v>13</v>
      </c>
      <c r="L2750" s="154" t="str">
        <f>IF(OpenLCAbasic!K2750="CTUh", "Fill in Manually",IF(OR(K2750="Unit", K2750=""), "", INDEX(LookUps!$E$5:$E$12, MATCH(OpenLCAbasic!K2750,LookUps!$D$5:$D$12,0))))</f>
        <v>Eutrophication Potential (EP) - kg N eq</v>
      </c>
      <c r="M2750" s="154" t="str">
        <f t="shared" si="136"/>
        <v>High_Base_Upgraded_Eutrophication Potential (EP) - kg N eq_Wastewater collection; operation and infrastructure; m3 wastewater_Base_With Amendment_Windrow</v>
      </c>
    </row>
    <row r="2751" spans="1:13" s="120" customFormat="1" x14ac:dyDescent="0.25">
      <c r="A2751" s="119"/>
      <c r="B2751" s="138" t="str">
        <f t="shared" si="134"/>
        <v>Windrow</v>
      </c>
      <c r="C2751" s="138" t="str">
        <f t="shared" si="135"/>
        <v>Base_With Amendment</v>
      </c>
      <c r="D2751" s="118" t="s">
        <v>130</v>
      </c>
      <c r="E2751" s="118" t="s">
        <v>181</v>
      </c>
      <c r="F2751" s="118" t="s">
        <v>46</v>
      </c>
      <c r="G2751" s="153"/>
      <c r="H2751" s="155">
        <v>2.3999999999999998E-3</v>
      </c>
      <c r="I2751" s="154" t="s">
        <v>148</v>
      </c>
      <c r="J2751" s="204">
        <v>3.6874600000000001E-5</v>
      </c>
      <c r="K2751" s="154" t="s">
        <v>13</v>
      </c>
      <c r="L2751" s="154" t="str">
        <f>IF(OpenLCAbasic!K2751="CTUh", "Fill in Manually",IF(OR(K2751="Unit", K2751=""), "", INDEX(LookUps!$E$5:$E$12, MATCH(OpenLCAbasic!K2751,LookUps!$D$5:$D$12,0))))</f>
        <v>Eutrophication Potential (EP) - kg N eq</v>
      </c>
      <c r="M2751" s="154" t="str">
        <f t="shared" si="136"/>
        <v>High_Base_Upgraded_Eutrophication Potential (EP) - kg N eq_Control Building; at upgraded wastewater treatment plant - US_Base_With Amendment_Windrow</v>
      </c>
    </row>
    <row r="2752" spans="1:13" s="120" customFormat="1" x14ac:dyDescent="0.25">
      <c r="A2752" s="119"/>
      <c r="B2752" s="138" t="str">
        <f t="shared" si="134"/>
        <v>Windrow</v>
      </c>
      <c r="C2752" s="138" t="str">
        <f t="shared" si="135"/>
        <v>Base_With Amendment</v>
      </c>
      <c r="D2752" s="118" t="s">
        <v>130</v>
      </c>
      <c r="E2752" s="118" t="s">
        <v>181</v>
      </c>
      <c r="F2752" s="118" t="s">
        <v>46</v>
      </c>
      <c r="G2752" s="153"/>
      <c r="H2752" s="155">
        <v>1E-3</v>
      </c>
      <c r="I2752" s="154" t="s">
        <v>59</v>
      </c>
      <c r="J2752" s="204">
        <v>1.6215700000000001E-5</v>
      </c>
      <c r="K2752" s="154" t="s">
        <v>13</v>
      </c>
      <c r="L2752" s="154" t="str">
        <f>IF(OpenLCAbasic!K2752="CTUh", "Fill in Manually",IF(OR(K2752="Unit", K2752=""), "", INDEX(LookUps!$E$5:$E$12, MATCH(OpenLCAbasic!K2752,LookUps!$D$5:$D$12,0))))</f>
        <v>Eutrophication Potential (EP) - kg N eq</v>
      </c>
      <c r="M2752" s="154" t="str">
        <f t="shared" si="136"/>
        <v>High_Base_Upgraded_Eutrophication Potential (EP) - kg N eq_Blend Tank; wastewater treatment unit; at updated plant - US_Base_With Amendment_Windrow</v>
      </c>
    </row>
    <row r="2753" spans="1:13" s="120" customFormat="1" x14ac:dyDescent="0.25">
      <c r="A2753" s="119"/>
      <c r="B2753" s="138" t="str">
        <f t="shared" si="134"/>
        <v>Windrow</v>
      </c>
      <c r="C2753" s="138" t="str">
        <f t="shared" si="135"/>
        <v>Base_With Amendment</v>
      </c>
      <c r="D2753" s="118" t="s">
        <v>130</v>
      </c>
      <c r="E2753" s="118" t="s">
        <v>181</v>
      </c>
      <c r="F2753" s="118" t="s">
        <v>46</v>
      </c>
      <c r="G2753" s="153"/>
      <c r="H2753" s="155">
        <v>5.0000000000000001E-4</v>
      </c>
      <c r="I2753" s="154" t="s">
        <v>168</v>
      </c>
      <c r="J2753" s="204">
        <v>7.7567199999999995E-6</v>
      </c>
      <c r="K2753" s="154" t="s">
        <v>13</v>
      </c>
      <c r="L2753" s="154" t="str">
        <f>IF(OpenLCAbasic!K2753="CTUh", "Fill in Manually",IF(OR(K2753="Unit", K2753=""), "", INDEX(LookUps!$E$5:$E$12, MATCH(OpenLCAbasic!K2753,LookUps!$D$5:$D$12,0))))</f>
        <v>Eutrophication Potential (EP) - kg N eq</v>
      </c>
      <c r="M2753" s="154" t="str">
        <f t="shared" si="136"/>
        <v>High_Base_Upgraded_Eutrophication Potential (EP) - kg N eq_ClearCove SCP; wastewater treatment unit; at updated plant - US_Base_With Amendment_Windrow</v>
      </c>
    </row>
    <row r="2754" spans="1:13" s="120" customFormat="1" x14ac:dyDescent="0.25">
      <c r="A2754" s="119"/>
      <c r="B2754" s="138" t="str">
        <f t="shared" si="134"/>
        <v>Windrow</v>
      </c>
      <c r="C2754" s="138" t="str">
        <f t="shared" si="135"/>
        <v>Base_With Amendment</v>
      </c>
      <c r="D2754" s="118" t="s">
        <v>130</v>
      </c>
      <c r="E2754" s="118" t="s">
        <v>181</v>
      </c>
      <c r="F2754" s="118" t="s">
        <v>46</v>
      </c>
      <c r="G2754" s="153"/>
      <c r="H2754" s="155">
        <v>-1.26E-2</v>
      </c>
      <c r="I2754" s="154" t="s">
        <v>149</v>
      </c>
      <c r="J2754" s="204">
        <v>-2.0000000000000001E-4</v>
      </c>
      <c r="K2754" s="154" t="s">
        <v>13</v>
      </c>
      <c r="L2754" s="154" t="str">
        <f>IF(OpenLCAbasic!K2754="CTUh", "Fill in Manually",IF(OR(K2754="Unit", K2754=""), "", INDEX(LookUps!$E$5:$E$12, MATCH(OpenLCAbasic!K2754,LookUps!$D$5:$D$12,0))))</f>
        <v>Eutrophication Potential (EP) - kg N eq</v>
      </c>
      <c r="M2754" s="154" t="str">
        <f t="shared" si="136"/>
        <v>High_Base_Upgraded_Eutrophication Potential (EP) - kg N eq_Anaerobic Digestion; wastewater treatment unit; at updated plant - US_Base_With Amendment_Windrow</v>
      </c>
    </row>
    <row r="2755" spans="1:13" s="120" customFormat="1" x14ac:dyDescent="0.25">
      <c r="A2755" s="119"/>
      <c r="B2755" s="138" t="str">
        <f t="shared" si="134"/>
        <v>Windrow</v>
      </c>
      <c r="C2755" s="138" t="str">
        <f t="shared" si="135"/>
        <v>Base_With Amendment</v>
      </c>
      <c r="D2755" s="118" t="s">
        <v>130</v>
      </c>
      <c r="E2755" s="118" t="s">
        <v>181</v>
      </c>
      <c r="F2755" s="118" t="s">
        <v>46</v>
      </c>
      <c r="G2755" s="153" t="s">
        <v>51</v>
      </c>
      <c r="H2755" s="154"/>
      <c r="I2755" s="154" t="s">
        <v>47</v>
      </c>
      <c r="J2755" s="154" t="s">
        <v>52</v>
      </c>
      <c r="K2755" s="154" t="s">
        <v>27</v>
      </c>
      <c r="L2755" s="154" t="str">
        <f>IF(OpenLCAbasic!K2755="CTUh", "Fill in Manually",IF(OR(K2755="Unit", K2755=""), "", INDEX(LookUps!$E$5:$E$12, MATCH(OpenLCAbasic!K2755,LookUps!$D$5:$D$12,0))))</f>
        <v/>
      </c>
      <c r="M2755" s="154" t="str">
        <f t="shared" si="136"/>
        <v>High_Base_Upgraded__Process_Base_With Amendment_Windrow</v>
      </c>
    </row>
    <row r="2756" spans="1:13" s="120" customFormat="1" x14ac:dyDescent="0.25">
      <c r="A2756" s="119"/>
      <c r="B2756" s="138" t="str">
        <f t="shared" si="134"/>
        <v>Windrow</v>
      </c>
      <c r="C2756" s="138" t="str">
        <f t="shared" si="135"/>
        <v>Base_With Amendment</v>
      </c>
      <c r="D2756" s="118" t="s">
        <v>130</v>
      </c>
      <c r="E2756" s="118" t="s">
        <v>181</v>
      </c>
      <c r="F2756" s="118" t="s">
        <v>46</v>
      </c>
      <c r="G2756" s="153"/>
      <c r="H2756" s="155">
        <v>0.36870000000000003</v>
      </c>
      <c r="I2756" s="154" t="s">
        <v>55</v>
      </c>
      <c r="J2756" s="157">
        <v>3.5330499999999998</v>
      </c>
      <c r="K2756" s="154" t="s">
        <v>15</v>
      </c>
      <c r="L2756" s="154" t="str">
        <f>IF(OpenLCAbasic!K2756="CTUh", "Fill in Manually",IF(OR(K2756="Unit", K2756=""), "", INDEX(LookUps!$E$5:$E$12, MATCH(OpenLCAbasic!K2756,LookUps!$D$5:$D$12,0))))</f>
        <v>Cumulative Energy Demand (CED) - MJ</v>
      </c>
      <c r="M2756" s="154" t="str">
        <f t="shared" si="136"/>
        <v>High_Base_Upgraded_Cumulative Energy Demand (CED) - MJ_Aeration Tanks; wastewater treatment unit; at updated plant - US_Base_With Amendment_Windrow</v>
      </c>
    </row>
    <row r="2757" spans="1:13" s="120" customFormat="1" x14ac:dyDescent="0.25">
      <c r="A2757" s="119"/>
      <c r="B2757" s="138" t="str">
        <f t="shared" si="134"/>
        <v>Windrow</v>
      </c>
      <c r="C2757" s="138" t="str">
        <f t="shared" si="135"/>
        <v>Base_With Amendment</v>
      </c>
      <c r="D2757" s="118" t="s">
        <v>130</v>
      </c>
      <c r="E2757" s="118" t="s">
        <v>181</v>
      </c>
      <c r="F2757" s="118" t="s">
        <v>46</v>
      </c>
      <c r="G2757" s="153"/>
      <c r="H2757" s="155">
        <v>0.36509999999999998</v>
      </c>
      <c r="I2757" s="154" t="s">
        <v>167</v>
      </c>
      <c r="J2757" s="157">
        <v>3.4982700000000002</v>
      </c>
      <c r="K2757" s="154" t="s">
        <v>15</v>
      </c>
      <c r="L2757" s="154" t="str">
        <f>IF(OpenLCAbasic!K2757="CTUh", "Fill in Manually",IF(OR(K2757="Unit", K2757=""), "", INDEX(LookUps!$E$5:$E$12, MATCH(OpenLCAbasic!K2757,LookUps!$D$5:$D$12,0))))</f>
        <v>Cumulative Energy Demand (CED) - MJ</v>
      </c>
      <c r="M2757" s="154" t="str">
        <f t="shared" si="136"/>
        <v>High_Base_Upgraded_Cumulative Energy Demand (CED) - MJ_Waste Receiving and Holding; wastewater treatment unit; at updated plant - US_Base_With Amendment_Windrow</v>
      </c>
    </row>
    <row r="2758" spans="1:13" s="120" customFormat="1" x14ac:dyDescent="0.25">
      <c r="A2758" s="119"/>
      <c r="B2758" s="138" t="str">
        <f t="shared" ref="B2758:B2821" si="137">IF(F2758="Legacy","n.a.",IF(F2758="","","Windrow"))</f>
        <v>Windrow</v>
      </c>
      <c r="C2758" s="138" t="str">
        <f t="shared" si="135"/>
        <v>Base_With Amendment</v>
      </c>
      <c r="D2758" s="118" t="s">
        <v>130</v>
      </c>
      <c r="E2758" s="118" t="s">
        <v>181</v>
      </c>
      <c r="F2758" s="118" t="s">
        <v>46</v>
      </c>
      <c r="G2758" s="153"/>
      <c r="H2758" s="155">
        <v>0.12139999999999999</v>
      </c>
      <c r="I2758" s="154" t="s">
        <v>54</v>
      </c>
      <c r="J2758" s="157">
        <v>1.16289</v>
      </c>
      <c r="K2758" s="154" t="s">
        <v>15</v>
      </c>
      <c r="L2758" s="154" t="str">
        <f>IF(OpenLCAbasic!K2758="CTUh", "Fill in Manually",IF(OR(K2758="Unit", K2758=""), "", INDEX(LookUps!$E$5:$E$12, MATCH(OpenLCAbasic!K2758,LookUps!$D$5:$D$12,0))))</f>
        <v>Cumulative Energy Demand (CED) - MJ</v>
      </c>
      <c r="M2758" s="154" t="str">
        <f t="shared" si="136"/>
        <v>High_Base_Upgraded_Cumulative Energy Demand (CED) - MJ_Clear Cove Primary Clarification; wastewater treatment unit; at updated plant - US_Base_With Amendment_Windrow</v>
      </c>
    </row>
    <row r="2759" spans="1:13" s="120" customFormat="1" x14ac:dyDescent="0.25">
      <c r="A2759" s="119"/>
      <c r="B2759" s="138" t="str">
        <f t="shared" si="137"/>
        <v>Windrow</v>
      </c>
      <c r="C2759" s="138" t="str">
        <f t="shared" ref="C2759:C2822" si="138">IF(E2759&lt;&gt;"", "Base_With Amendment","")</f>
        <v>Base_With Amendment</v>
      </c>
      <c r="D2759" s="118" t="s">
        <v>130</v>
      </c>
      <c r="E2759" s="118" t="s">
        <v>181</v>
      </c>
      <c r="F2759" s="118" t="s">
        <v>46</v>
      </c>
      <c r="G2759" s="153"/>
      <c r="H2759" s="155">
        <v>9.2299999999999993E-2</v>
      </c>
      <c r="I2759" s="154" t="s">
        <v>58</v>
      </c>
      <c r="J2759" s="203">
        <v>0.88417000000000001</v>
      </c>
      <c r="K2759" s="154" t="s">
        <v>15</v>
      </c>
      <c r="L2759" s="154" t="str">
        <f>IF(OpenLCAbasic!K2759="CTUh", "Fill in Manually",IF(OR(K2759="Unit", K2759=""), "", INDEX(LookUps!$E$5:$E$12, MATCH(OpenLCAbasic!K2759,LookUps!$D$5:$D$12,0))))</f>
        <v>Cumulative Energy Demand (CED) - MJ</v>
      </c>
      <c r="M2759" s="154" t="str">
        <f t="shared" ref="M2759:M2822" si="139">CONCATENATE(E2759,"_",D2759,"_",F2759,"_",L2759, "_",I2759,"_", C2759,"_", B2759)</f>
        <v>High_Base_Upgraded_Cumulative Energy Demand (CED) - MJ_Pre-Anoxic &amp; Swing tank; wastewater treatment unit; at updated plant - US_Base_With Amendment_Windrow</v>
      </c>
    </row>
    <row r="2760" spans="1:13" s="120" customFormat="1" x14ac:dyDescent="0.25">
      <c r="A2760" s="119"/>
      <c r="B2760" s="138" t="str">
        <f t="shared" si="137"/>
        <v>Windrow</v>
      </c>
      <c r="C2760" s="138" t="str">
        <f t="shared" si="138"/>
        <v>Base_With Amendment</v>
      </c>
      <c r="D2760" s="118" t="s">
        <v>130</v>
      </c>
      <c r="E2760" s="118" t="s">
        <v>181</v>
      </c>
      <c r="F2760" s="118" t="s">
        <v>46</v>
      </c>
      <c r="G2760" s="153"/>
      <c r="H2760" s="155">
        <v>9.2100000000000001E-2</v>
      </c>
      <c r="I2760" s="154" t="s">
        <v>147</v>
      </c>
      <c r="J2760" s="203">
        <v>0.88297000000000003</v>
      </c>
      <c r="K2760" s="154" t="s">
        <v>15</v>
      </c>
      <c r="L2760" s="154" t="str">
        <f>IF(OpenLCAbasic!K2760="CTUh", "Fill in Manually",IF(OR(K2760="Unit", K2760=""), "", INDEX(LookUps!$E$5:$E$12, MATCH(OpenLCAbasic!K2760,LookUps!$D$5:$D$12,0))))</f>
        <v>Cumulative Energy Demand (CED) - MJ</v>
      </c>
      <c r="M2760" s="154" t="str">
        <f t="shared" si="139"/>
        <v>High_Base_Upgraded_Cumulative Energy Demand (CED) - MJ_Influent Pump Station; wastewater treatment unit; at updated plant - US_Base_With Amendment_Windrow</v>
      </c>
    </row>
    <row r="2761" spans="1:13" s="120" customFormat="1" x14ac:dyDescent="0.25">
      <c r="A2761" s="119"/>
      <c r="B2761" s="138" t="str">
        <f t="shared" si="137"/>
        <v>Windrow</v>
      </c>
      <c r="C2761" s="138" t="str">
        <f t="shared" si="138"/>
        <v>Base_With Amendment</v>
      </c>
      <c r="D2761" s="118" t="s">
        <v>130</v>
      </c>
      <c r="E2761" s="118" t="s">
        <v>181</v>
      </c>
      <c r="F2761" s="118" t="s">
        <v>46</v>
      </c>
      <c r="G2761" s="153"/>
      <c r="H2761" s="155">
        <v>7.2700000000000001E-2</v>
      </c>
      <c r="I2761" s="154" t="s">
        <v>53</v>
      </c>
      <c r="J2761" s="203">
        <v>0.69645000000000001</v>
      </c>
      <c r="K2761" s="154" t="s">
        <v>15</v>
      </c>
      <c r="L2761" s="154" t="str">
        <f>IF(OpenLCAbasic!K2761="CTUh", "Fill in Manually",IF(OR(K2761="Unit", K2761=""), "", INDEX(LookUps!$E$5:$E$12, MATCH(OpenLCAbasic!K2761,LookUps!$D$5:$D$12,0))))</f>
        <v>Cumulative Energy Demand (CED) - MJ</v>
      </c>
      <c r="M2761" s="154" t="str">
        <f t="shared" si="139"/>
        <v>High_Base_Upgraded_Cumulative Energy Demand (CED) - MJ_Wet Well and Sump Station; wastewater treatment unit; at updated plant - US_Base_With Amendment_Windrow</v>
      </c>
    </row>
    <row r="2762" spans="1:13" s="120" customFormat="1" x14ac:dyDescent="0.25">
      <c r="A2762" s="119"/>
      <c r="B2762" s="138" t="str">
        <f t="shared" si="137"/>
        <v>Windrow</v>
      </c>
      <c r="C2762" s="138" t="str">
        <f t="shared" si="138"/>
        <v>Base_With Amendment</v>
      </c>
      <c r="D2762" s="118" t="s">
        <v>130</v>
      </c>
      <c r="E2762" s="118" t="s">
        <v>181</v>
      </c>
      <c r="F2762" s="118" t="s">
        <v>46</v>
      </c>
      <c r="G2762" s="153"/>
      <c r="H2762" s="155">
        <v>3.49E-2</v>
      </c>
      <c r="I2762" s="154" t="s">
        <v>57</v>
      </c>
      <c r="J2762" s="203">
        <v>0.33404</v>
      </c>
      <c r="K2762" s="154" t="s">
        <v>15</v>
      </c>
      <c r="L2762" s="154" t="str">
        <f>IF(OpenLCAbasic!K2762="CTUh", "Fill in Manually",IF(OR(K2762="Unit", K2762=""), "", INDEX(LookUps!$E$5:$E$12, MATCH(OpenLCAbasic!K2762,LookUps!$D$5:$D$12,0))))</f>
        <v>Cumulative Energy Demand (CED) - MJ</v>
      </c>
      <c r="M2762" s="154" t="str">
        <f t="shared" si="139"/>
        <v>High_Base_Upgraded_Cumulative Energy Demand (CED) - MJ_Gravity Belt Thickener; wastewater treatment unit; at updated plant - US_Base_With Amendment_Windrow</v>
      </c>
    </row>
    <row r="2763" spans="1:13" s="120" customFormat="1" x14ac:dyDescent="0.25">
      <c r="A2763" s="119"/>
      <c r="B2763" s="138" t="str">
        <f t="shared" si="137"/>
        <v>Windrow</v>
      </c>
      <c r="C2763" s="138" t="str">
        <f t="shared" si="138"/>
        <v>Base_With Amendment</v>
      </c>
      <c r="D2763" s="118" t="s">
        <v>130</v>
      </c>
      <c r="E2763" s="118" t="s">
        <v>181</v>
      </c>
      <c r="F2763" s="118" t="s">
        <v>46</v>
      </c>
      <c r="G2763" s="153"/>
      <c r="H2763" s="155">
        <v>3.0099999999999998E-2</v>
      </c>
      <c r="I2763" s="154" t="s">
        <v>60</v>
      </c>
      <c r="J2763" s="203">
        <v>0.28833999999999999</v>
      </c>
      <c r="K2763" s="154" t="s">
        <v>15</v>
      </c>
      <c r="L2763" s="154" t="str">
        <f>IF(OpenLCAbasic!K2763="CTUh", "Fill in Manually",IF(OR(K2763="Unit", K2763=""), "", INDEX(LookUps!$E$5:$E$12, MATCH(OpenLCAbasic!K2763,LookUps!$D$5:$D$12,0))))</f>
        <v>Cumulative Energy Demand (CED) - MJ</v>
      </c>
      <c r="M2763" s="154" t="str">
        <f t="shared" si="139"/>
        <v>High_Base_Upgraded_Cumulative Energy Demand (CED) - MJ_Belt filter press; wastewater treatment unit; at updated plant - US_Base_With Amendment_Windrow</v>
      </c>
    </row>
    <row r="2764" spans="1:13" s="120" customFormat="1" x14ac:dyDescent="0.25">
      <c r="A2764" s="119"/>
      <c r="B2764" s="138" t="str">
        <f t="shared" si="137"/>
        <v>Windrow</v>
      </c>
      <c r="C2764" s="138" t="str">
        <f t="shared" si="138"/>
        <v>Base_With Amendment</v>
      </c>
      <c r="D2764" s="118" t="s">
        <v>130</v>
      </c>
      <c r="E2764" s="118" t="s">
        <v>181</v>
      </c>
      <c r="F2764" s="118" t="s">
        <v>46</v>
      </c>
      <c r="G2764" s="153"/>
      <c r="H2764" s="155">
        <v>2.6700000000000002E-2</v>
      </c>
      <c r="I2764" s="154" t="s">
        <v>128</v>
      </c>
      <c r="J2764" s="203">
        <v>0.25606000000000001</v>
      </c>
      <c r="K2764" s="154" t="s">
        <v>15</v>
      </c>
      <c r="L2764" s="154" t="str">
        <f>IF(OpenLCAbasic!K2764="CTUh", "Fill in Manually",IF(OR(K2764="Unit", K2764=""), "", INDEX(LookUps!$E$5:$E$12, MATCH(OpenLCAbasic!K2764,LookUps!$D$5:$D$12,0))))</f>
        <v>Cumulative Energy Demand (CED) - MJ</v>
      </c>
      <c r="M2764" s="154" t="str">
        <f t="shared" si="139"/>
        <v>High_Base_Upgraded_Cumulative Energy Demand (CED) - MJ_Wastewater collection; operation and infrastructure; m3 wastewater_Base_With Amendment_Windrow</v>
      </c>
    </row>
    <row r="2765" spans="1:13" s="120" customFormat="1" x14ac:dyDescent="0.25">
      <c r="A2765" s="119"/>
      <c r="B2765" s="138" t="str">
        <f t="shared" si="137"/>
        <v>Windrow</v>
      </c>
      <c r="C2765" s="138" t="str">
        <f t="shared" si="138"/>
        <v>Base_With Amendment</v>
      </c>
      <c r="D2765" s="118" t="s">
        <v>130</v>
      </c>
      <c r="E2765" s="118" t="s">
        <v>181</v>
      </c>
      <c r="F2765" s="118" t="s">
        <v>46</v>
      </c>
      <c r="G2765" s="153"/>
      <c r="H2765" s="155">
        <v>1.52E-2</v>
      </c>
      <c r="I2765" s="154" t="s">
        <v>148</v>
      </c>
      <c r="J2765" s="203">
        <v>0.14599000000000001</v>
      </c>
      <c r="K2765" s="154" t="s">
        <v>15</v>
      </c>
      <c r="L2765" s="154" t="str">
        <f>IF(OpenLCAbasic!K2765="CTUh", "Fill in Manually",IF(OR(K2765="Unit", K2765=""), "", INDEX(LookUps!$E$5:$E$12, MATCH(OpenLCAbasic!K2765,LookUps!$D$5:$D$12,0))))</f>
        <v>Cumulative Energy Demand (CED) - MJ</v>
      </c>
      <c r="M2765" s="154" t="str">
        <f t="shared" si="139"/>
        <v>High_Base_Upgraded_Cumulative Energy Demand (CED) - MJ_Control Building; at upgraded wastewater treatment plant - US_Base_With Amendment_Windrow</v>
      </c>
    </row>
    <row r="2766" spans="1:13" s="120" customFormat="1" x14ac:dyDescent="0.25">
      <c r="A2766" s="119"/>
      <c r="B2766" s="138" t="str">
        <f t="shared" si="137"/>
        <v>Windrow</v>
      </c>
      <c r="C2766" s="138" t="str">
        <f t="shared" si="138"/>
        <v>Base_With Amendment</v>
      </c>
      <c r="D2766" s="118" t="s">
        <v>130</v>
      </c>
      <c r="E2766" s="118" t="s">
        <v>181</v>
      </c>
      <c r="F2766" s="118" t="s">
        <v>46</v>
      </c>
      <c r="G2766" s="153"/>
      <c r="H2766" s="155">
        <v>1.3899999999999999E-2</v>
      </c>
      <c r="I2766" s="154" t="s">
        <v>48</v>
      </c>
      <c r="J2766" s="203">
        <v>0.13321</v>
      </c>
      <c r="K2766" s="154" t="s">
        <v>15</v>
      </c>
      <c r="L2766" s="154" t="str">
        <f>IF(OpenLCAbasic!K2766="CTUh", "Fill in Manually",IF(OR(K2766="Unit", K2766=""), "", INDEX(LookUps!$E$5:$E$12, MATCH(OpenLCAbasic!K2766,LookUps!$D$5:$D$12,0))))</f>
        <v>Cumulative Energy Demand (CED) - MJ</v>
      </c>
      <c r="M2766" s="154" t="str">
        <f t="shared" si="139"/>
        <v>High_Base_Upgraded_Cumulative Energy Demand (CED) - MJ_Effluent release; wastewater treatment unit; at surface water; m3 wastewater - US_Base_With Amendment_Windrow</v>
      </c>
    </row>
    <row r="2767" spans="1:13" s="120" customFormat="1" x14ac:dyDescent="0.25">
      <c r="A2767" s="119"/>
      <c r="B2767" s="138" t="str">
        <f t="shared" si="137"/>
        <v>Windrow</v>
      </c>
      <c r="C2767" s="138" t="str">
        <f t="shared" si="138"/>
        <v>Base_With Amendment</v>
      </c>
      <c r="D2767" s="118" t="s">
        <v>130</v>
      </c>
      <c r="E2767" s="118" t="s">
        <v>181</v>
      </c>
      <c r="F2767" s="118" t="s">
        <v>46</v>
      </c>
      <c r="G2767" s="153"/>
      <c r="H2767" s="155">
        <v>1.11E-2</v>
      </c>
      <c r="I2767" s="154" t="s">
        <v>59</v>
      </c>
      <c r="J2767" s="203">
        <v>0.10638</v>
      </c>
      <c r="K2767" s="154" t="s">
        <v>15</v>
      </c>
      <c r="L2767" s="154" t="str">
        <f>IF(OpenLCAbasic!K2767="CTUh", "Fill in Manually",IF(OR(K2767="Unit", K2767=""), "", INDEX(LookUps!$E$5:$E$12, MATCH(OpenLCAbasic!K2767,LookUps!$D$5:$D$12,0))))</f>
        <v>Cumulative Energy Demand (CED) - MJ</v>
      </c>
      <c r="M2767" s="154" t="str">
        <f t="shared" si="139"/>
        <v>High_Base_Upgraded_Cumulative Energy Demand (CED) - MJ_Blend Tank; wastewater treatment unit; at updated plant - US_Base_With Amendment_Windrow</v>
      </c>
    </row>
    <row r="2768" spans="1:13" s="120" customFormat="1" x14ac:dyDescent="0.25">
      <c r="A2768" s="119"/>
      <c r="B2768" s="138" t="str">
        <f t="shared" si="137"/>
        <v>Windrow</v>
      </c>
      <c r="C2768" s="138" t="str">
        <f t="shared" si="138"/>
        <v>Base_With Amendment</v>
      </c>
      <c r="D2768" s="118" t="s">
        <v>130</v>
      </c>
      <c r="E2768" s="118" t="s">
        <v>181</v>
      </c>
      <c r="F2768" s="118" t="s">
        <v>46</v>
      </c>
      <c r="G2768" s="153"/>
      <c r="H2768" s="155">
        <v>5.3E-3</v>
      </c>
      <c r="I2768" s="154" t="s">
        <v>168</v>
      </c>
      <c r="J2768" s="203">
        <v>5.0930000000000003E-2</v>
      </c>
      <c r="K2768" s="154" t="s">
        <v>15</v>
      </c>
      <c r="L2768" s="154" t="str">
        <f>IF(OpenLCAbasic!K2768="CTUh", "Fill in Manually",IF(OR(K2768="Unit", K2768=""), "", INDEX(LookUps!$E$5:$E$12, MATCH(OpenLCAbasic!K2768,LookUps!$D$5:$D$12,0))))</f>
        <v>Cumulative Energy Demand (CED) - MJ</v>
      </c>
      <c r="M2768" s="154" t="str">
        <f t="shared" si="139"/>
        <v>High_Base_Upgraded_Cumulative Energy Demand (CED) - MJ_ClearCove SCP; wastewater treatment unit; at updated plant - US_Base_With Amendment_Windrow</v>
      </c>
    </row>
    <row r="2769" spans="1:13" s="120" customFormat="1" x14ac:dyDescent="0.25">
      <c r="A2769" s="119"/>
      <c r="B2769" s="138" t="str">
        <f t="shared" si="137"/>
        <v>Windrow</v>
      </c>
      <c r="C2769" s="138" t="str">
        <f t="shared" si="138"/>
        <v>Base_With Amendment</v>
      </c>
      <c r="D2769" s="118" t="s">
        <v>130</v>
      </c>
      <c r="E2769" s="118" t="s">
        <v>181</v>
      </c>
      <c r="F2769" s="118" t="s">
        <v>46</v>
      </c>
      <c r="G2769" s="153"/>
      <c r="H2769" s="155">
        <v>2.2000000000000001E-3</v>
      </c>
      <c r="I2769" s="154" t="s">
        <v>271</v>
      </c>
      <c r="J2769" s="203">
        <v>2.0650000000000002E-2</v>
      </c>
      <c r="K2769" s="154" t="s">
        <v>15</v>
      </c>
      <c r="L2769" s="154" t="str">
        <f>IF(OpenLCAbasic!K2769="CTUh", "Fill in Manually",IF(OR(K2769="Unit", K2769=""), "", INDEX(LookUps!$E$5:$E$12, MATCH(OpenLCAbasic!K2769,LookUps!$D$5:$D$12,0))))</f>
        <v>Cumulative Energy Demand (CED) - MJ</v>
      </c>
      <c r="M2769" s="154" t="str">
        <f t="shared" si="139"/>
        <v>High_Base_Upgraded_Cumulative Energy Demand (CED) - MJ_Biosolids composting; windrow composting; wastewater treatment unit; at updated plant - US_Base_With Amendment_Windrow</v>
      </c>
    </row>
    <row r="2770" spans="1:13" s="120" customFormat="1" x14ac:dyDescent="0.25">
      <c r="A2770" s="119"/>
      <c r="B2770" s="138" t="str">
        <f t="shared" si="137"/>
        <v>Windrow</v>
      </c>
      <c r="C2770" s="138" t="str">
        <f t="shared" si="138"/>
        <v>Base_With Amendment</v>
      </c>
      <c r="D2770" s="118" t="s">
        <v>130</v>
      </c>
      <c r="E2770" s="118" t="s">
        <v>181</v>
      </c>
      <c r="F2770" s="118" t="s">
        <v>46</v>
      </c>
      <c r="G2770" s="153"/>
      <c r="H2770" s="155">
        <v>-4.3099999999999999E-2</v>
      </c>
      <c r="I2770" s="154" t="s">
        <v>62</v>
      </c>
      <c r="J2770" s="203">
        <v>-0.41310000000000002</v>
      </c>
      <c r="K2770" s="154" t="s">
        <v>15</v>
      </c>
      <c r="L2770" s="154" t="str">
        <f>IF(OpenLCAbasic!K2770="CTUh", "Fill in Manually",IF(OR(K2770="Unit", K2770=""), "", INDEX(LookUps!$E$5:$E$12, MATCH(OpenLCAbasic!K2770,LookUps!$D$5:$D$12,0))))</f>
        <v>Cumulative Energy Demand (CED) - MJ</v>
      </c>
      <c r="M2770" s="154" t="str">
        <f t="shared" si="139"/>
        <v>High_Base_Upgraded_Cumulative Energy Demand (CED) - MJ_Land application of compost; wastewater treatment unit; at updated plant - US_Base_With Amendment_Windrow</v>
      </c>
    </row>
    <row r="2771" spans="1:13" s="120" customFormat="1" x14ac:dyDescent="0.25">
      <c r="A2771" s="119"/>
      <c r="B2771" s="138" t="str">
        <f t="shared" si="137"/>
        <v>Windrow</v>
      </c>
      <c r="C2771" s="138" t="str">
        <f t="shared" si="138"/>
        <v>Base_With Amendment</v>
      </c>
      <c r="D2771" s="118" t="s">
        <v>130</v>
      </c>
      <c r="E2771" s="118" t="s">
        <v>181</v>
      </c>
      <c r="F2771" s="118" t="s">
        <v>46</v>
      </c>
      <c r="G2771" s="153"/>
      <c r="H2771" s="155">
        <v>-0.2084</v>
      </c>
      <c r="I2771" s="154" t="s">
        <v>149</v>
      </c>
      <c r="J2771" s="203">
        <v>-1.99752</v>
      </c>
      <c r="K2771" s="154" t="s">
        <v>15</v>
      </c>
      <c r="L2771" s="154" t="str">
        <f>IF(OpenLCAbasic!K2771="CTUh", "Fill in Manually",IF(OR(K2771="Unit", K2771=""), "", INDEX(LookUps!$E$5:$E$12, MATCH(OpenLCAbasic!K2771,LookUps!$D$5:$D$12,0))))</f>
        <v>Cumulative Energy Demand (CED) - MJ</v>
      </c>
      <c r="M2771" s="154" t="str">
        <f t="shared" si="139"/>
        <v>High_Base_Upgraded_Cumulative Energy Demand (CED) - MJ_Anaerobic Digestion; wastewater treatment unit; at updated plant - US_Base_With Amendment_Windrow</v>
      </c>
    </row>
    <row r="2772" spans="1:13" s="120" customFormat="1" x14ac:dyDescent="0.25">
      <c r="A2772" s="119"/>
      <c r="B2772" s="138" t="str">
        <f t="shared" si="137"/>
        <v>Windrow</v>
      </c>
      <c r="C2772" s="138" t="str">
        <f t="shared" si="138"/>
        <v>Base_With Amendment</v>
      </c>
      <c r="D2772" s="118" t="s">
        <v>130</v>
      </c>
      <c r="E2772" s="118" t="s">
        <v>181</v>
      </c>
      <c r="F2772" s="118" t="s">
        <v>46</v>
      </c>
      <c r="G2772" s="153" t="s">
        <v>51</v>
      </c>
      <c r="H2772" s="154"/>
      <c r="I2772" s="154" t="s">
        <v>47</v>
      </c>
      <c r="J2772" s="154" t="s">
        <v>52</v>
      </c>
      <c r="K2772" s="154" t="s">
        <v>27</v>
      </c>
      <c r="L2772" s="154" t="str">
        <f>IF(OpenLCAbasic!K2772="CTUh", "Fill in Manually",IF(OR(K2772="Unit", K2772=""), "", INDEX(LookUps!$E$5:$E$12, MATCH(OpenLCAbasic!K2772,LookUps!$D$5:$D$12,0))))</f>
        <v/>
      </c>
      <c r="M2772" s="154" t="str">
        <f t="shared" si="139"/>
        <v>High_Base_Upgraded__Process_Base_With Amendment_Windrow</v>
      </c>
    </row>
    <row r="2773" spans="1:13" s="120" customFormat="1" x14ac:dyDescent="0.25">
      <c r="A2773" s="119"/>
      <c r="B2773" s="138" t="str">
        <f t="shared" si="137"/>
        <v>Windrow</v>
      </c>
      <c r="C2773" s="138" t="str">
        <f t="shared" si="138"/>
        <v>Base_With Amendment</v>
      </c>
      <c r="D2773" s="118" t="s">
        <v>130</v>
      </c>
      <c r="E2773" s="118" t="s">
        <v>181</v>
      </c>
      <c r="F2773" s="118" t="s">
        <v>46</v>
      </c>
      <c r="G2773" s="153"/>
      <c r="H2773" s="155">
        <v>0.42249999999999999</v>
      </c>
      <c r="I2773" s="154" t="s">
        <v>167</v>
      </c>
      <c r="J2773" s="203">
        <v>7.9170000000000004E-2</v>
      </c>
      <c r="K2773" s="154" t="s">
        <v>14</v>
      </c>
      <c r="L2773" s="154" t="str">
        <f>IF(OpenLCAbasic!K2773="CTUh", "Fill in Manually",IF(OR(K2773="Unit", K2773=""), "", INDEX(LookUps!$E$5:$E$12, MATCH(OpenLCAbasic!K2773,LookUps!$D$5:$D$12,0))))</f>
        <v>Fossil Depletion Potential (FDP) - kg oil eq</v>
      </c>
      <c r="M2773" s="154" t="str">
        <f t="shared" si="139"/>
        <v>High_Base_Upgraded_Fossil Depletion Potential (FDP) - kg oil eq_Waste Receiving and Holding; wastewater treatment unit; at updated plant - US_Base_With Amendment_Windrow</v>
      </c>
    </row>
    <row r="2774" spans="1:13" s="120" customFormat="1" x14ac:dyDescent="0.25">
      <c r="A2774" s="119"/>
      <c r="B2774" s="138" t="str">
        <f t="shared" si="137"/>
        <v>Windrow</v>
      </c>
      <c r="C2774" s="138" t="str">
        <f t="shared" si="138"/>
        <v>Base_With Amendment</v>
      </c>
      <c r="D2774" s="118" t="s">
        <v>130</v>
      </c>
      <c r="E2774" s="118" t="s">
        <v>181</v>
      </c>
      <c r="F2774" s="118" t="s">
        <v>46</v>
      </c>
      <c r="G2774" s="153"/>
      <c r="H2774" s="155">
        <v>0.33939999999999998</v>
      </c>
      <c r="I2774" s="154" t="s">
        <v>55</v>
      </c>
      <c r="J2774" s="203">
        <v>6.3589999999999994E-2</v>
      </c>
      <c r="K2774" s="154" t="s">
        <v>14</v>
      </c>
      <c r="L2774" s="154" t="str">
        <f>IF(OpenLCAbasic!K2774="CTUh", "Fill in Manually",IF(OR(K2774="Unit", K2774=""), "", INDEX(LookUps!$E$5:$E$12, MATCH(OpenLCAbasic!K2774,LookUps!$D$5:$D$12,0))))</f>
        <v>Fossil Depletion Potential (FDP) - kg oil eq</v>
      </c>
      <c r="M2774" s="154" t="str">
        <f t="shared" si="139"/>
        <v>High_Base_Upgraded_Fossil Depletion Potential (FDP) - kg oil eq_Aeration Tanks; wastewater treatment unit; at updated plant - US_Base_With Amendment_Windrow</v>
      </c>
    </row>
    <row r="2775" spans="1:13" s="120" customFormat="1" x14ac:dyDescent="0.25">
      <c r="A2775" s="119"/>
      <c r="B2775" s="138" t="str">
        <f t="shared" si="137"/>
        <v>Windrow</v>
      </c>
      <c r="C2775" s="138" t="str">
        <f t="shared" si="138"/>
        <v>Base_With Amendment</v>
      </c>
      <c r="D2775" s="118" t="s">
        <v>130</v>
      </c>
      <c r="E2775" s="118" t="s">
        <v>181</v>
      </c>
      <c r="F2775" s="118" t="s">
        <v>46</v>
      </c>
      <c r="G2775" s="153"/>
      <c r="H2775" s="155">
        <v>0.1123</v>
      </c>
      <c r="I2775" s="154" t="s">
        <v>54</v>
      </c>
      <c r="J2775" s="203">
        <v>2.1049999999999999E-2</v>
      </c>
      <c r="K2775" s="154" t="s">
        <v>14</v>
      </c>
      <c r="L2775" s="154" t="str">
        <f>IF(OpenLCAbasic!K2775="CTUh", "Fill in Manually",IF(OR(K2775="Unit", K2775=""), "", INDEX(LookUps!$E$5:$E$12, MATCH(OpenLCAbasic!K2775,LookUps!$D$5:$D$12,0))))</f>
        <v>Fossil Depletion Potential (FDP) - kg oil eq</v>
      </c>
      <c r="M2775" s="154" t="str">
        <f t="shared" si="139"/>
        <v>High_Base_Upgraded_Fossil Depletion Potential (FDP) - kg oil eq_Clear Cove Primary Clarification; wastewater treatment unit; at updated plant - US_Base_With Amendment_Windrow</v>
      </c>
    </row>
    <row r="2776" spans="1:13" s="120" customFormat="1" x14ac:dyDescent="0.25">
      <c r="A2776" s="119"/>
      <c r="B2776" s="138" t="str">
        <f t="shared" si="137"/>
        <v>Windrow</v>
      </c>
      <c r="C2776" s="138" t="str">
        <f t="shared" si="138"/>
        <v>Base_With Amendment</v>
      </c>
      <c r="D2776" s="118" t="s">
        <v>130</v>
      </c>
      <c r="E2776" s="118" t="s">
        <v>181</v>
      </c>
      <c r="F2776" s="118" t="s">
        <v>46</v>
      </c>
      <c r="G2776" s="153"/>
      <c r="H2776" s="155">
        <v>8.5000000000000006E-2</v>
      </c>
      <c r="I2776" s="154" t="s">
        <v>58</v>
      </c>
      <c r="J2776" s="203">
        <v>1.592E-2</v>
      </c>
      <c r="K2776" s="154" t="s">
        <v>14</v>
      </c>
      <c r="L2776" s="154" t="str">
        <f>IF(OpenLCAbasic!K2776="CTUh", "Fill in Manually",IF(OR(K2776="Unit", K2776=""), "", INDEX(LookUps!$E$5:$E$12, MATCH(OpenLCAbasic!K2776,LookUps!$D$5:$D$12,0))))</f>
        <v>Fossil Depletion Potential (FDP) - kg oil eq</v>
      </c>
      <c r="M2776" s="154" t="str">
        <f t="shared" si="139"/>
        <v>High_Base_Upgraded_Fossil Depletion Potential (FDP) - kg oil eq_Pre-Anoxic &amp; Swing tank; wastewater treatment unit; at updated plant - US_Base_With Amendment_Windrow</v>
      </c>
    </row>
    <row r="2777" spans="1:13" s="120" customFormat="1" x14ac:dyDescent="0.25">
      <c r="A2777" s="119"/>
      <c r="B2777" s="138" t="str">
        <f t="shared" si="137"/>
        <v>Windrow</v>
      </c>
      <c r="C2777" s="138" t="str">
        <f t="shared" si="138"/>
        <v>Base_With Amendment</v>
      </c>
      <c r="D2777" s="118" t="s">
        <v>130</v>
      </c>
      <c r="E2777" s="118" t="s">
        <v>181</v>
      </c>
      <c r="F2777" s="118" t="s">
        <v>46</v>
      </c>
      <c r="G2777" s="153"/>
      <c r="H2777" s="155">
        <v>8.0500000000000002E-2</v>
      </c>
      <c r="I2777" s="154" t="s">
        <v>147</v>
      </c>
      <c r="J2777" s="203">
        <v>1.5089999999999999E-2</v>
      </c>
      <c r="K2777" s="154" t="s">
        <v>14</v>
      </c>
      <c r="L2777" s="154" t="str">
        <f>IF(OpenLCAbasic!K2777="CTUh", "Fill in Manually",IF(OR(K2777="Unit", K2777=""), "", INDEX(LookUps!$E$5:$E$12, MATCH(OpenLCAbasic!K2777,LookUps!$D$5:$D$12,0))))</f>
        <v>Fossil Depletion Potential (FDP) - kg oil eq</v>
      </c>
      <c r="M2777" s="154" t="str">
        <f t="shared" si="139"/>
        <v>High_Base_Upgraded_Fossil Depletion Potential (FDP) - kg oil eq_Influent Pump Station; wastewater treatment unit; at updated plant - US_Base_With Amendment_Windrow</v>
      </c>
    </row>
    <row r="2778" spans="1:13" s="120" customFormat="1" x14ac:dyDescent="0.25">
      <c r="A2778" s="119"/>
      <c r="B2778" s="138" t="str">
        <f t="shared" si="137"/>
        <v>Windrow</v>
      </c>
      <c r="C2778" s="138" t="str">
        <f t="shared" si="138"/>
        <v>Base_With Amendment</v>
      </c>
      <c r="D2778" s="118" t="s">
        <v>130</v>
      </c>
      <c r="E2778" s="118" t="s">
        <v>181</v>
      </c>
      <c r="F2778" s="118" t="s">
        <v>46</v>
      </c>
      <c r="G2778" s="153"/>
      <c r="H2778" s="155">
        <v>6.6699999999999995E-2</v>
      </c>
      <c r="I2778" s="154" t="s">
        <v>53</v>
      </c>
      <c r="J2778" s="203">
        <v>1.2489999999999999E-2</v>
      </c>
      <c r="K2778" s="154" t="s">
        <v>14</v>
      </c>
      <c r="L2778" s="154" t="str">
        <f>IF(OpenLCAbasic!K2778="CTUh", "Fill in Manually",IF(OR(K2778="Unit", K2778=""), "", INDEX(LookUps!$E$5:$E$12, MATCH(OpenLCAbasic!K2778,LookUps!$D$5:$D$12,0))))</f>
        <v>Fossil Depletion Potential (FDP) - kg oil eq</v>
      </c>
      <c r="M2778" s="154" t="str">
        <f t="shared" si="139"/>
        <v>High_Base_Upgraded_Fossil Depletion Potential (FDP) - kg oil eq_Wet Well and Sump Station; wastewater treatment unit; at updated plant - US_Base_With Amendment_Windrow</v>
      </c>
    </row>
    <row r="2779" spans="1:13" s="120" customFormat="1" x14ac:dyDescent="0.25">
      <c r="A2779" s="119"/>
      <c r="B2779" s="138" t="str">
        <f t="shared" si="137"/>
        <v>Windrow</v>
      </c>
      <c r="C2779" s="138" t="str">
        <f t="shared" si="138"/>
        <v>Base_With Amendment</v>
      </c>
      <c r="D2779" s="118" t="s">
        <v>130</v>
      </c>
      <c r="E2779" s="118" t="s">
        <v>181</v>
      </c>
      <c r="F2779" s="118" t="s">
        <v>46</v>
      </c>
      <c r="G2779" s="153"/>
      <c r="H2779" s="155">
        <v>3.6900000000000002E-2</v>
      </c>
      <c r="I2779" s="154" t="s">
        <v>57</v>
      </c>
      <c r="J2779" s="204">
        <v>6.9199999999999999E-3</v>
      </c>
      <c r="K2779" s="154" t="s">
        <v>14</v>
      </c>
      <c r="L2779" s="154" t="str">
        <f>IF(OpenLCAbasic!K2779="CTUh", "Fill in Manually",IF(OR(K2779="Unit", K2779=""), "", INDEX(LookUps!$E$5:$E$12, MATCH(OpenLCAbasic!K2779,LookUps!$D$5:$D$12,0))))</f>
        <v>Fossil Depletion Potential (FDP) - kg oil eq</v>
      </c>
      <c r="M2779" s="154" t="str">
        <f t="shared" si="139"/>
        <v>High_Base_Upgraded_Fossil Depletion Potential (FDP) - kg oil eq_Gravity Belt Thickener; wastewater treatment unit; at updated plant - US_Base_With Amendment_Windrow</v>
      </c>
    </row>
    <row r="2780" spans="1:13" s="120" customFormat="1" x14ac:dyDescent="0.25">
      <c r="A2780" s="119"/>
      <c r="B2780" s="138" t="str">
        <f t="shared" si="137"/>
        <v>Windrow</v>
      </c>
      <c r="C2780" s="138" t="str">
        <f t="shared" si="138"/>
        <v>Base_With Amendment</v>
      </c>
      <c r="D2780" s="118" t="s">
        <v>130</v>
      </c>
      <c r="E2780" s="118" t="s">
        <v>181</v>
      </c>
      <c r="F2780" s="118" t="s">
        <v>46</v>
      </c>
      <c r="G2780" s="153"/>
      <c r="H2780" s="155">
        <v>3.1E-2</v>
      </c>
      <c r="I2780" s="154" t="s">
        <v>60</v>
      </c>
      <c r="J2780" s="204">
        <v>5.8100000000000001E-3</v>
      </c>
      <c r="K2780" s="154" t="s">
        <v>14</v>
      </c>
      <c r="L2780" s="154" t="str">
        <f>IF(OpenLCAbasic!K2780="CTUh", "Fill in Manually",IF(OR(K2780="Unit", K2780=""), "", INDEX(LookUps!$E$5:$E$12, MATCH(OpenLCAbasic!K2780,LookUps!$D$5:$D$12,0))))</f>
        <v>Fossil Depletion Potential (FDP) - kg oil eq</v>
      </c>
      <c r="M2780" s="154" t="str">
        <f t="shared" si="139"/>
        <v>High_Base_Upgraded_Fossil Depletion Potential (FDP) - kg oil eq_Belt filter press; wastewater treatment unit; at updated plant - US_Base_With Amendment_Windrow</v>
      </c>
    </row>
    <row r="2781" spans="1:13" s="120" customFormat="1" x14ac:dyDescent="0.25">
      <c r="A2781" s="119"/>
      <c r="B2781" s="138" t="str">
        <f t="shared" si="137"/>
        <v>Windrow</v>
      </c>
      <c r="C2781" s="138" t="str">
        <f t="shared" si="138"/>
        <v>Base_With Amendment</v>
      </c>
      <c r="D2781" s="118" t="s">
        <v>130</v>
      </c>
      <c r="E2781" s="118" t="s">
        <v>181</v>
      </c>
      <c r="F2781" s="118" t="s">
        <v>46</v>
      </c>
      <c r="G2781" s="153"/>
      <c r="H2781" s="155">
        <v>2.4E-2</v>
      </c>
      <c r="I2781" s="154" t="s">
        <v>128</v>
      </c>
      <c r="J2781" s="204">
        <v>4.4999999999999997E-3</v>
      </c>
      <c r="K2781" s="154" t="s">
        <v>14</v>
      </c>
      <c r="L2781" s="154" t="str">
        <f>IF(OpenLCAbasic!K2781="CTUh", "Fill in Manually",IF(OR(K2781="Unit", K2781=""), "", INDEX(LookUps!$E$5:$E$12, MATCH(OpenLCAbasic!K2781,LookUps!$D$5:$D$12,0))))</f>
        <v>Fossil Depletion Potential (FDP) - kg oil eq</v>
      </c>
      <c r="M2781" s="154" t="str">
        <f t="shared" si="139"/>
        <v>High_Base_Upgraded_Fossil Depletion Potential (FDP) - kg oil eq_Wastewater collection; operation and infrastructure; m3 wastewater_Base_With Amendment_Windrow</v>
      </c>
    </row>
    <row r="2782" spans="1:13" s="120" customFormat="1" x14ac:dyDescent="0.25">
      <c r="A2782" s="119"/>
      <c r="B2782" s="138" t="str">
        <f t="shared" si="137"/>
        <v>Windrow</v>
      </c>
      <c r="C2782" s="138" t="str">
        <f t="shared" si="138"/>
        <v>Base_With Amendment</v>
      </c>
      <c r="D2782" s="118" t="s">
        <v>130</v>
      </c>
      <c r="E2782" s="118" t="s">
        <v>181</v>
      </c>
      <c r="F2782" s="118" t="s">
        <v>46</v>
      </c>
      <c r="G2782" s="153"/>
      <c r="H2782" s="155">
        <v>1.49E-2</v>
      </c>
      <c r="I2782" s="154" t="s">
        <v>148</v>
      </c>
      <c r="J2782" s="204">
        <v>2.8E-3</v>
      </c>
      <c r="K2782" s="154" t="s">
        <v>14</v>
      </c>
      <c r="L2782" s="154" t="str">
        <f>IF(OpenLCAbasic!K2782="CTUh", "Fill in Manually",IF(OR(K2782="Unit", K2782=""), "", INDEX(LookUps!$E$5:$E$12, MATCH(OpenLCAbasic!K2782,LookUps!$D$5:$D$12,0))))</f>
        <v>Fossil Depletion Potential (FDP) - kg oil eq</v>
      </c>
      <c r="M2782" s="154" t="str">
        <f t="shared" si="139"/>
        <v>High_Base_Upgraded_Fossil Depletion Potential (FDP) - kg oil eq_Control Building; at upgraded wastewater treatment plant - US_Base_With Amendment_Windrow</v>
      </c>
    </row>
    <row r="2783" spans="1:13" s="120" customFormat="1" x14ac:dyDescent="0.25">
      <c r="A2783" s="119"/>
      <c r="B2783" s="138" t="str">
        <f t="shared" si="137"/>
        <v>Windrow</v>
      </c>
      <c r="C2783" s="138" t="str">
        <f t="shared" si="138"/>
        <v>Base_With Amendment</v>
      </c>
      <c r="D2783" s="118" t="s">
        <v>130</v>
      </c>
      <c r="E2783" s="118" t="s">
        <v>181</v>
      </c>
      <c r="F2783" s="118" t="s">
        <v>46</v>
      </c>
      <c r="G2783" s="153"/>
      <c r="H2783" s="155">
        <v>1.26E-2</v>
      </c>
      <c r="I2783" s="154" t="s">
        <v>48</v>
      </c>
      <c r="J2783" s="204">
        <v>2.3600000000000001E-3</v>
      </c>
      <c r="K2783" s="154" t="s">
        <v>14</v>
      </c>
      <c r="L2783" s="154" t="str">
        <f>IF(OpenLCAbasic!K2783="CTUh", "Fill in Manually",IF(OR(K2783="Unit", K2783=""), "", INDEX(LookUps!$E$5:$E$12, MATCH(OpenLCAbasic!K2783,LookUps!$D$5:$D$12,0))))</f>
        <v>Fossil Depletion Potential (FDP) - kg oil eq</v>
      </c>
      <c r="M2783" s="154" t="str">
        <f t="shared" si="139"/>
        <v>High_Base_Upgraded_Fossil Depletion Potential (FDP) - kg oil eq_Effluent release; wastewater treatment unit; at surface water; m3 wastewater - US_Base_With Amendment_Windrow</v>
      </c>
    </row>
    <row r="2784" spans="1:13" s="120" customFormat="1" x14ac:dyDescent="0.25">
      <c r="A2784" s="119"/>
      <c r="B2784" s="138" t="str">
        <f t="shared" si="137"/>
        <v>Windrow</v>
      </c>
      <c r="C2784" s="138" t="str">
        <f t="shared" si="138"/>
        <v>Base_With Amendment</v>
      </c>
      <c r="D2784" s="118" t="s">
        <v>130</v>
      </c>
      <c r="E2784" s="118" t="s">
        <v>181</v>
      </c>
      <c r="F2784" s="118" t="s">
        <v>46</v>
      </c>
      <c r="G2784" s="153"/>
      <c r="H2784" s="155">
        <v>1.0200000000000001E-2</v>
      </c>
      <c r="I2784" s="154" t="s">
        <v>59</v>
      </c>
      <c r="J2784" s="204">
        <v>1.92E-3</v>
      </c>
      <c r="K2784" s="154" t="s">
        <v>14</v>
      </c>
      <c r="L2784" s="154" t="str">
        <f>IF(OpenLCAbasic!K2784="CTUh", "Fill in Manually",IF(OR(K2784="Unit", K2784=""), "", INDEX(LookUps!$E$5:$E$12, MATCH(OpenLCAbasic!K2784,LookUps!$D$5:$D$12,0))))</f>
        <v>Fossil Depletion Potential (FDP) - kg oil eq</v>
      </c>
      <c r="M2784" s="154" t="str">
        <f t="shared" si="139"/>
        <v>High_Base_Upgraded_Fossil Depletion Potential (FDP) - kg oil eq_Blend Tank; wastewater treatment unit; at updated plant - US_Base_With Amendment_Windrow</v>
      </c>
    </row>
    <row r="2785" spans="1:13" s="120" customFormat="1" x14ac:dyDescent="0.25">
      <c r="A2785" s="119"/>
      <c r="B2785" s="138" t="str">
        <f t="shared" si="137"/>
        <v>Windrow</v>
      </c>
      <c r="C2785" s="138" t="str">
        <f t="shared" si="138"/>
        <v>Base_With Amendment</v>
      </c>
      <c r="D2785" s="118" t="s">
        <v>130</v>
      </c>
      <c r="E2785" s="118" t="s">
        <v>181</v>
      </c>
      <c r="F2785" s="118" t="s">
        <v>46</v>
      </c>
      <c r="G2785" s="153"/>
      <c r="H2785" s="155">
        <v>4.8999999999999998E-3</v>
      </c>
      <c r="I2785" s="154" t="s">
        <v>168</v>
      </c>
      <c r="J2785" s="204">
        <v>9.1E-4</v>
      </c>
      <c r="K2785" s="154" t="s">
        <v>14</v>
      </c>
      <c r="L2785" s="154" t="str">
        <f>IF(OpenLCAbasic!K2785="CTUh", "Fill in Manually",IF(OR(K2785="Unit", K2785=""), "", INDEX(LookUps!$E$5:$E$12, MATCH(OpenLCAbasic!K2785,LookUps!$D$5:$D$12,0))))</f>
        <v>Fossil Depletion Potential (FDP) - kg oil eq</v>
      </c>
      <c r="M2785" s="154" t="str">
        <f t="shared" si="139"/>
        <v>High_Base_Upgraded_Fossil Depletion Potential (FDP) - kg oil eq_ClearCove SCP; wastewater treatment unit; at updated plant - US_Base_With Amendment_Windrow</v>
      </c>
    </row>
    <row r="2786" spans="1:13" s="120" customFormat="1" x14ac:dyDescent="0.25">
      <c r="A2786" s="119"/>
      <c r="B2786" s="138" t="str">
        <f t="shared" si="137"/>
        <v>Windrow</v>
      </c>
      <c r="C2786" s="138" t="str">
        <f t="shared" si="138"/>
        <v>Base_With Amendment</v>
      </c>
      <c r="D2786" s="118" t="s">
        <v>130</v>
      </c>
      <c r="E2786" s="118" t="s">
        <v>181</v>
      </c>
      <c r="F2786" s="118" t="s">
        <v>46</v>
      </c>
      <c r="G2786" s="153"/>
      <c r="H2786" s="155">
        <v>2.3E-3</v>
      </c>
      <c r="I2786" s="154" t="s">
        <v>271</v>
      </c>
      <c r="J2786" s="204">
        <v>4.4000000000000002E-4</v>
      </c>
      <c r="K2786" s="154" t="s">
        <v>14</v>
      </c>
      <c r="L2786" s="154" t="str">
        <f>IF(OpenLCAbasic!K2786="CTUh", "Fill in Manually",IF(OR(K2786="Unit", K2786=""), "", INDEX(LookUps!$E$5:$E$12, MATCH(OpenLCAbasic!K2786,LookUps!$D$5:$D$12,0))))</f>
        <v>Fossil Depletion Potential (FDP) - kg oil eq</v>
      </c>
      <c r="M2786" s="154" t="str">
        <f t="shared" si="139"/>
        <v>High_Base_Upgraded_Fossil Depletion Potential (FDP) - kg oil eq_Biosolids composting; windrow composting; wastewater treatment unit; at updated plant - US_Base_With Amendment_Windrow</v>
      </c>
    </row>
    <row r="2787" spans="1:13" s="120" customFormat="1" x14ac:dyDescent="0.25">
      <c r="A2787" s="119"/>
      <c r="B2787" s="138" t="str">
        <f t="shared" si="137"/>
        <v>Windrow</v>
      </c>
      <c r="C2787" s="138" t="str">
        <f t="shared" si="138"/>
        <v>Base_With Amendment</v>
      </c>
      <c r="D2787" s="118" t="s">
        <v>130</v>
      </c>
      <c r="E2787" s="118" t="s">
        <v>181</v>
      </c>
      <c r="F2787" s="118" t="s">
        <v>46</v>
      </c>
      <c r="G2787" s="153"/>
      <c r="H2787" s="155">
        <v>-2.9700000000000001E-2</v>
      </c>
      <c r="I2787" s="154" t="s">
        <v>62</v>
      </c>
      <c r="J2787" s="204">
        <v>-5.5700000000000003E-3</v>
      </c>
      <c r="K2787" s="154" t="s">
        <v>14</v>
      </c>
      <c r="L2787" s="154" t="str">
        <f>IF(OpenLCAbasic!K2787="CTUh", "Fill in Manually",IF(OR(K2787="Unit", K2787=""), "", INDEX(LookUps!$E$5:$E$12, MATCH(OpenLCAbasic!K2787,LookUps!$D$5:$D$12,0))))</f>
        <v>Fossil Depletion Potential (FDP) - kg oil eq</v>
      </c>
      <c r="M2787" s="154" t="str">
        <f t="shared" si="139"/>
        <v>High_Base_Upgraded_Fossil Depletion Potential (FDP) - kg oil eq_Land application of compost; wastewater treatment unit; at updated plant - US_Base_With Amendment_Windrow</v>
      </c>
    </row>
    <row r="2788" spans="1:13" s="120" customFormat="1" x14ac:dyDescent="0.25">
      <c r="A2788" s="119"/>
      <c r="B2788" s="138" t="str">
        <f t="shared" si="137"/>
        <v>Windrow</v>
      </c>
      <c r="C2788" s="138" t="str">
        <f t="shared" si="138"/>
        <v>Base_With Amendment</v>
      </c>
      <c r="D2788" s="118" t="s">
        <v>130</v>
      </c>
      <c r="E2788" s="118" t="s">
        <v>181</v>
      </c>
      <c r="F2788" s="118" t="s">
        <v>46</v>
      </c>
      <c r="G2788" s="153"/>
      <c r="H2788" s="155">
        <v>-0.21360000000000001</v>
      </c>
      <c r="I2788" s="154" t="s">
        <v>149</v>
      </c>
      <c r="J2788" s="203">
        <v>-4.0030000000000003E-2</v>
      </c>
      <c r="K2788" s="154" t="s">
        <v>14</v>
      </c>
      <c r="L2788" s="154" t="str">
        <f>IF(OpenLCAbasic!K2788="CTUh", "Fill in Manually",IF(OR(K2788="Unit", K2788=""), "", INDEX(LookUps!$E$5:$E$12, MATCH(OpenLCAbasic!K2788,LookUps!$D$5:$D$12,0))))</f>
        <v>Fossil Depletion Potential (FDP) - kg oil eq</v>
      </c>
      <c r="M2788" s="154" t="str">
        <f t="shared" si="139"/>
        <v>High_Base_Upgraded_Fossil Depletion Potential (FDP) - kg oil eq_Anaerobic Digestion; wastewater treatment unit; at updated plant - US_Base_With Amendment_Windrow</v>
      </c>
    </row>
    <row r="2789" spans="1:13" s="120" customFormat="1" x14ac:dyDescent="0.25">
      <c r="A2789" s="119"/>
      <c r="B2789" s="138" t="str">
        <f t="shared" si="137"/>
        <v>Windrow</v>
      </c>
      <c r="C2789" s="138" t="str">
        <f t="shared" si="138"/>
        <v>Base_With Amendment</v>
      </c>
      <c r="D2789" s="118" t="s">
        <v>130</v>
      </c>
      <c r="E2789" s="118" t="s">
        <v>181</v>
      </c>
      <c r="F2789" s="118" t="s">
        <v>46</v>
      </c>
      <c r="G2789" s="153" t="s">
        <v>51</v>
      </c>
      <c r="H2789" s="154"/>
      <c r="I2789" s="154" t="s">
        <v>47</v>
      </c>
      <c r="J2789" s="154" t="s">
        <v>52</v>
      </c>
      <c r="K2789" s="154" t="s">
        <v>27</v>
      </c>
      <c r="L2789" s="154" t="str">
        <f>IF(OpenLCAbasic!K2789="CTUh", "Fill in Manually",IF(OR(K2789="Unit", K2789=""), "", INDEX(LookUps!$E$5:$E$12, MATCH(OpenLCAbasic!K2789,LookUps!$D$5:$D$12,0))))</f>
        <v/>
      </c>
      <c r="M2789" s="154" t="str">
        <f t="shared" si="139"/>
        <v>High_Base_Upgraded__Process_Base_With Amendment_Windrow</v>
      </c>
    </row>
    <row r="2790" spans="1:13" s="120" customFormat="1" x14ac:dyDescent="0.25">
      <c r="A2790" s="119"/>
      <c r="B2790" s="138" t="str">
        <f t="shared" si="137"/>
        <v>Windrow</v>
      </c>
      <c r="C2790" s="138" t="str">
        <f t="shared" si="138"/>
        <v>Base_With Amendment</v>
      </c>
      <c r="D2790" s="118" t="s">
        <v>130</v>
      </c>
      <c r="E2790" s="118" t="s">
        <v>181</v>
      </c>
      <c r="F2790" s="118" t="s">
        <v>46</v>
      </c>
      <c r="G2790" s="153"/>
      <c r="H2790" s="155">
        <v>0.38290000000000002</v>
      </c>
      <c r="I2790" s="154" t="s">
        <v>55</v>
      </c>
      <c r="J2790" s="203">
        <v>1.7219999999999999E-2</v>
      </c>
      <c r="K2790" s="154" t="s">
        <v>24</v>
      </c>
      <c r="L2790" s="154" t="str">
        <f>IF(OpenLCAbasic!K2790="CTUh", "Fill in Manually",IF(OR(K2790="Unit", K2790=""), "", INDEX(LookUps!$E$5:$E$12, MATCH(OpenLCAbasic!K2790,LookUps!$D$5:$D$12,0))))</f>
        <v>Acidification Potential (AP) - kg SO2 eq</v>
      </c>
      <c r="M2790" s="154" t="str">
        <f t="shared" si="139"/>
        <v>High_Base_Upgraded_Acidification Potential (AP) - kg SO2 eq_Aeration Tanks; wastewater treatment unit; at updated plant - US_Base_With Amendment_Windrow</v>
      </c>
    </row>
    <row r="2791" spans="1:13" s="120" customFormat="1" x14ac:dyDescent="0.25">
      <c r="A2791" s="119"/>
      <c r="B2791" s="138" t="str">
        <f t="shared" si="137"/>
        <v>Windrow</v>
      </c>
      <c r="C2791" s="138" t="str">
        <f t="shared" si="138"/>
        <v>Base_With Amendment</v>
      </c>
      <c r="D2791" s="118" t="s">
        <v>130</v>
      </c>
      <c r="E2791" s="118" t="s">
        <v>181</v>
      </c>
      <c r="F2791" s="118" t="s">
        <v>46</v>
      </c>
      <c r="G2791" s="153"/>
      <c r="H2791" s="155">
        <v>0.2397</v>
      </c>
      <c r="I2791" s="154" t="s">
        <v>271</v>
      </c>
      <c r="J2791" s="203">
        <v>1.078E-2</v>
      </c>
      <c r="K2791" s="154" t="s">
        <v>24</v>
      </c>
      <c r="L2791" s="154" t="str">
        <f>IF(OpenLCAbasic!K2791="CTUh", "Fill in Manually",IF(OR(K2791="Unit", K2791=""), "", INDEX(LookUps!$E$5:$E$12, MATCH(OpenLCAbasic!K2791,LookUps!$D$5:$D$12,0))))</f>
        <v>Acidification Potential (AP) - kg SO2 eq</v>
      </c>
      <c r="M2791" s="154" t="str">
        <f t="shared" si="139"/>
        <v>High_Base_Upgraded_Acidification Potential (AP) - kg SO2 eq_Biosolids composting; windrow composting; wastewater treatment unit; at updated plant - US_Base_With Amendment_Windrow</v>
      </c>
    </row>
    <row r="2792" spans="1:13" s="120" customFormat="1" x14ac:dyDescent="0.25">
      <c r="A2792" s="119"/>
      <c r="B2792" s="138" t="str">
        <f t="shared" si="137"/>
        <v>Windrow</v>
      </c>
      <c r="C2792" s="138" t="str">
        <f t="shared" si="138"/>
        <v>Base_With Amendment</v>
      </c>
      <c r="D2792" s="118" t="s">
        <v>130</v>
      </c>
      <c r="E2792" s="118" t="s">
        <v>181</v>
      </c>
      <c r="F2792" s="118" t="s">
        <v>46</v>
      </c>
      <c r="G2792" s="153"/>
      <c r="H2792" s="155">
        <v>0.11070000000000001</v>
      </c>
      <c r="I2792" s="154" t="s">
        <v>54</v>
      </c>
      <c r="J2792" s="204">
        <v>4.9800000000000001E-3</v>
      </c>
      <c r="K2792" s="154" t="s">
        <v>24</v>
      </c>
      <c r="L2792" s="154" t="str">
        <f>IF(OpenLCAbasic!K2792="CTUh", "Fill in Manually",IF(OR(K2792="Unit", K2792=""), "", INDEX(LookUps!$E$5:$E$12, MATCH(OpenLCAbasic!K2792,LookUps!$D$5:$D$12,0))))</f>
        <v>Acidification Potential (AP) - kg SO2 eq</v>
      </c>
      <c r="M2792" s="154" t="str">
        <f t="shared" si="139"/>
        <v>High_Base_Upgraded_Acidification Potential (AP) - kg SO2 eq_Clear Cove Primary Clarification; wastewater treatment unit; at updated plant - US_Base_With Amendment_Windrow</v>
      </c>
    </row>
    <row r="2793" spans="1:13" s="120" customFormat="1" x14ac:dyDescent="0.25">
      <c r="A2793" s="119"/>
      <c r="B2793" s="138" t="str">
        <f t="shared" si="137"/>
        <v>Windrow</v>
      </c>
      <c r="C2793" s="138" t="str">
        <f t="shared" si="138"/>
        <v>Base_With Amendment</v>
      </c>
      <c r="D2793" s="118" t="s">
        <v>130</v>
      </c>
      <c r="E2793" s="118" t="s">
        <v>181</v>
      </c>
      <c r="F2793" s="118" t="s">
        <v>46</v>
      </c>
      <c r="G2793" s="153"/>
      <c r="H2793" s="155">
        <v>9.6299999999999997E-2</v>
      </c>
      <c r="I2793" s="154" t="s">
        <v>58</v>
      </c>
      <c r="J2793" s="204">
        <v>4.3299999999999996E-3</v>
      </c>
      <c r="K2793" s="154" t="s">
        <v>24</v>
      </c>
      <c r="L2793" s="154" t="str">
        <f>IF(OpenLCAbasic!K2793="CTUh", "Fill in Manually",IF(OR(K2793="Unit", K2793=""), "", INDEX(LookUps!$E$5:$E$12, MATCH(OpenLCAbasic!K2793,LookUps!$D$5:$D$12,0))))</f>
        <v>Acidification Potential (AP) - kg SO2 eq</v>
      </c>
      <c r="M2793" s="154" t="str">
        <f t="shared" si="139"/>
        <v>High_Base_Upgraded_Acidification Potential (AP) - kg SO2 eq_Pre-Anoxic &amp; Swing tank; wastewater treatment unit; at updated plant - US_Base_With Amendment_Windrow</v>
      </c>
    </row>
    <row r="2794" spans="1:13" s="120" customFormat="1" x14ac:dyDescent="0.25">
      <c r="A2794" s="119"/>
      <c r="B2794" s="138" t="str">
        <f t="shared" si="137"/>
        <v>Windrow</v>
      </c>
      <c r="C2794" s="138" t="str">
        <f t="shared" si="138"/>
        <v>Base_With Amendment</v>
      </c>
      <c r="D2794" s="118" t="s">
        <v>130</v>
      </c>
      <c r="E2794" s="118" t="s">
        <v>181</v>
      </c>
      <c r="F2794" s="118" t="s">
        <v>46</v>
      </c>
      <c r="G2794" s="153"/>
      <c r="H2794" s="155">
        <v>7.6700000000000004E-2</v>
      </c>
      <c r="I2794" s="154" t="s">
        <v>53</v>
      </c>
      <c r="J2794" s="204">
        <v>3.4499999999999999E-3</v>
      </c>
      <c r="K2794" s="154" t="s">
        <v>24</v>
      </c>
      <c r="L2794" s="154" t="str">
        <f>IF(OpenLCAbasic!K2794="CTUh", "Fill in Manually",IF(OR(K2794="Unit", K2794=""), "", INDEX(LookUps!$E$5:$E$12, MATCH(OpenLCAbasic!K2794,LookUps!$D$5:$D$12,0))))</f>
        <v>Acidification Potential (AP) - kg SO2 eq</v>
      </c>
      <c r="M2794" s="154" t="str">
        <f t="shared" si="139"/>
        <v>High_Base_Upgraded_Acidification Potential (AP) - kg SO2 eq_Wet Well and Sump Station; wastewater treatment unit; at updated plant - US_Base_With Amendment_Windrow</v>
      </c>
    </row>
    <row r="2795" spans="1:13" s="120" customFormat="1" x14ac:dyDescent="0.25">
      <c r="A2795" s="119"/>
      <c r="B2795" s="138" t="str">
        <f t="shared" si="137"/>
        <v>Windrow</v>
      </c>
      <c r="C2795" s="138" t="str">
        <f t="shared" si="138"/>
        <v>Base_With Amendment</v>
      </c>
      <c r="D2795" s="118" t="s">
        <v>130</v>
      </c>
      <c r="E2795" s="118" t="s">
        <v>181</v>
      </c>
      <c r="F2795" s="118" t="s">
        <v>46</v>
      </c>
      <c r="G2795" s="153"/>
      <c r="H2795" s="155">
        <v>5.28E-2</v>
      </c>
      <c r="I2795" s="154" t="s">
        <v>167</v>
      </c>
      <c r="J2795" s="204">
        <v>2.3800000000000002E-3</v>
      </c>
      <c r="K2795" s="154" t="s">
        <v>24</v>
      </c>
      <c r="L2795" s="154" t="str">
        <f>IF(OpenLCAbasic!K2795="CTUh", "Fill in Manually",IF(OR(K2795="Unit", K2795=""), "", INDEX(LookUps!$E$5:$E$12, MATCH(OpenLCAbasic!K2795,LookUps!$D$5:$D$12,0))))</f>
        <v>Acidification Potential (AP) - kg SO2 eq</v>
      </c>
      <c r="M2795" s="154" t="str">
        <f t="shared" si="139"/>
        <v>High_Base_Upgraded_Acidification Potential (AP) - kg SO2 eq_Waste Receiving and Holding; wastewater treatment unit; at updated plant - US_Base_With Amendment_Windrow</v>
      </c>
    </row>
    <row r="2796" spans="1:13" s="120" customFormat="1" x14ac:dyDescent="0.25">
      <c r="A2796" s="119"/>
      <c r="B2796" s="138" t="str">
        <f t="shared" si="137"/>
        <v>Windrow</v>
      </c>
      <c r="C2796" s="138" t="str">
        <f t="shared" si="138"/>
        <v>Base_With Amendment</v>
      </c>
      <c r="D2796" s="118" t="s">
        <v>130</v>
      </c>
      <c r="E2796" s="118" t="s">
        <v>181</v>
      </c>
      <c r="F2796" s="118" t="s">
        <v>46</v>
      </c>
      <c r="G2796" s="153"/>
      <c r="H2796" s="155">
        <v>5.2200000000000003E-2</v>
      </c>
      <c r="I2796" s="154" t="s">
        <v>62</v>
      </c>
      <c r="J2796" s="204">
        <v>2.3500000000000001E-3</v>
      </c>
      <c r="K2796" s="154" t="s">
        <v>24</v>
      </c>
      <c r="L2796" s="154" t="str">
        <f>IF(OpenLCAbasic!K2796="CTUh", "Fill in Manually",IF(OR(K2796="Unit", K2796=""), "", INDEX(LookUps!$E$5:$E$12, MATCH(OpenLCAbasic!K2796,LookUps!$D$5:$D$12,0))))</f>
        <v>Acidification Potential (AP) - kg SO2 eq</v>
      </c>
      <c r="M2796" s="154" t="str">
        <f t="shared" si="139"/>
        <v>High_Base_Upgraded_Acidification Potential (AP) - kg SO2 eq_Land application of compost; wastewater treatment unit; at updated plant - US_Base_With Amendment_Windrow</v>
      </c>
    </row>
    <row r="2797" spans="1:13" s="120" customFormat="1" x14ac:dyDescent="0.25">
      <c r="A2797" s="119"/>
      <c r="B2797" s="138" t="str">
        <f t="shared" si="137"/>
        <v>Windrow</v>
      </c>
      <c r="C2797" s="138" t="str">
        <f t="shared" si="138"/>
        <v>Base_With Amendment</v>
      </c>
      <c r="D2797" s="118" t="s">
        <v>130</v>
      </c>
      <c r="E2797" s="118" t="s">
        <v>181</v>
      </c>
      <c r="F2797" s="118" t="s">
        <v>46</v>
      </c>
      <c r="G2797" s="153"/>
      <c r="H2797" s="155">
        <v>4.5999999999999999E-2</v>
      </c>
      <c r="I2797" s="154" t="s">
        <v>147</v>
      </c>
      <c r="J2797" s="204">
        <v>2.0699999999999998E-3</v>
      </c>
      <c r="K2797" s="154" t="s">
        <v>24</v>
      </c>
      <c r="L2797" s="154" t="str">
        <f>IF(OpenLCAbasic!K2797="CTUh", "Fill in Manually",IF(OR(K2797="Unit", K2797=""), "", INDEX(LookUps!$E$5:$E$12, MATCH(OpenLCAbasic!K2797,LookUps!$D$5:$D$12,0))))</f>
        <v>Acidification Potential (AP) - kg SO2 eq</v>
      </c>
      <c r="M2797" s="154" t="str">
        <f t="shared" si="139"/>
        <v>High_Base_Upgraded_Acidification Potential (AP) - kg SO2 eq_Influent Pump Station; wastewater treatment unit; at updated plant - US_Base_With Amendment_Windrow</v>
      </c>
    </row>
    <row r="2798" spans="1:13" s="120" customFormat="1" x14ac:dyDescent="0.25">
      <c r="A2798" s="119"/>
      <c r="B2798" s="138" t="str">
        <f t="shared" si="137"/>
        <v>Windrow</v>
      </c>
      <c r="C2798" s="138" t="str">
        <f t="shared" si="138"/>
        <v>Base_With Amendment</v>
      </c>
      <c r="D2798" s="118" t="s">
        <v>130</v>
      </c>
      <c r="E2798" s="118" t="s">
        <v>181</v>
      </c>
      <c r="F2798" s="118" t="s">
        <v>46</v>
      </c>
      <c r="G2798" s="153"/>
      <c r="H2798" s="155">
        <v>2.7400000000000001E-2</v>
      </c>
      <c r="I2798" s="154" t="s">
        <v>128</v>
      </c>
      <c r="J2798" s="204">
        <v>1.23E-3</v>
      </c>
      <c r="K2798" s="154" t="s">
        <v>24</v>
      </c>
      <c r="L2798" s="154" t="str">
        <f>IF(OpenLCAbasic!K2798="CTUh", "Fill in Manually",IF(OR(K2798="Unit", K2798=""), "", INDEX(LookUps!$E$5:$E$12, MATCH(OpenLCAbasic!K2798,LookUps!$D$5:$D$12,0))))</f>
        <v>Acidification Potential (AP) - kg SO2 eq</v>
      </c>
      <c r="M2798" s="154" t="str">
        <f t="shared" si="139"/>
        <v>High_Base_Upgraded_Acidification Potential (AP) - kg SO2 eq_Wastewater collection; operation and infrastructure; m3 wastewater_Base_With Amendment_Windrow</v>
      </c>
    </row>
    <row r="2799" spans="1:13" s="120" customFormat="1" x14ac:dyDescent="0.25">
      <c r="A2799" s="119"/>
      <c r="B2799" s="138" t="str">
        <f t="shared" si="137"/>
        <v>Windrow</v>
      </c>
      <c r="C2799" s="138" t="str">
        <f t="shared" si="138"/>
        <v>Base_With Amendment</v>
      </c>
      <c r="D2799" s="118" t="s">
        <v>130</v>
      </c>
      <c r="E2799" s="118" t="s">
        <v>181</v>
      </c>
      <c r="F2799" s="118" t="s">
        <v>46</v>
      </c>
      <c r="G2799" s="153"/>
      <c r="H2799" s="155">
        <v>1.72E-2</v>
      </c>
      <c r="I2799" s="154" t="s">
        <v>60</v>
      </c>
      <c r="J2799" s="204">
        <v>7.6999999999999996E-4</v>
      </c>
      <c r="K2799" s="154" t="s">
        <v>24</v>
      </c>
      <c r="L2799" s="154" t="str">
        <f>IF(OpenLCAbasic!K2799="CTUh", "Fill in Manually",IF(OR(K2799="Unit", K2799=""), "", INDEX(LookUps!$E$5:$E$12, MATCH(OpenLCAbasic!K2799,LookUps!$D$5:$D$12,0))))</f>
        <v>Acidification Potential (AP) - kg SO2 eq</v>
      </c>
      <c r="M2799" s="154" t="str">
        <f t="shared" si="139"/>
        <v>High_Base_Upgraded_Acidification Potential (AP) - kg SO2 eq_Belt filter press; wastewater treatment unit; at updated plant - US_Base_With Amendment_Windrow</v>
      </c>
    </row>
    <row r="2800" spans="1:13" s="120" customFormat="1" x14ac:dyDescent="0.25">
      <c r="A2800" s="119"/>
      <c r="B2800" s="138" t="str">
        <f t="shared" si="137"/>
        <v>Windrow</v>
      </c>
      <c r="C2800" s="138" t="str">
        <f t="shared" si="138"/>
        <v>Base_With Amendment</v>
      </c>
      <c r="D2800" s="118" t="s">
        <v>130</v>
      </c>
      <c r="E2800" s="118" t="s">
        <v>181</v>
      </c>
      <c r="F2800" s="118" t="s">
        <v>46</v>
      </c>
      <c r="G2800" s="153"/>
      <c r="H2800" s="155">
        <v>1.5699999999999999E-2</v>
      </c>
      <c r="I2800" s="154" t="s">
        <v>57</v>
      </c>
      <c r="J2800" s="204">
        <v>6.9999999999999999E-4</v>
      </c>
      <c r="K2800" s="154" t="s">
        <v>24</v>
      </c>
      <c r="L2800" s="154" t="str">
        <f>IF(OpenLCAbasic!K2800="CTUh", "Fill in Manually",IF(OR(K2800="Unit", K2800=""), "", INDEX(LookUps!$E$5:$E$12, MATCH(OpenLCAbasic!K2800,LookUps!$D$5:$D$12,0))))</f>
        <v>Acidification Potential (AP) - kg SO2 eq</v>
      </c>
      <c r="M2800" s="154" t="str">
        <f t="shared" si="139"/>
        <v>High_Base_Upgraded_Acidification Potential (AP) - kg SO2 eq_Gravity Belt Thickener; wastewater treatment unit; at updated plant - US_Base_With Amendment_Windrow</v>
      </c>
    </row>
    <row r="2801" spans="1:13" s="120" customFormat="1" x14ac:dyDescent="0.25">
      <c r="A2801" s="119"/>
      <c r="B2801" s="138" t="str">
        <f t="shared" si="137"/>
        <v>Windrow</v>
      </c>
      <c r="C2801" s="138" t="str">
        <f t="shared" si="138"/>
        <v>Base_With Amendment</v>
      </c>
      <c r="D2801" s="118" t="s">
        <v>130</v>
      </c>
      <c r="E2801" s="118" t="s">
        <v>181</v>
      </c>
      <c r="F2801" s="118" t="s">
        <v>46</v>
      </c>
      <c r="G2801" s="153"/>
      <c r="H2801" s="155">
        <v>1.15E-2</v>
      </c>
      <c r="I2801" s="154" t="s">
        <v>59</v>
      </c>
      <c r="J2801" s="204">
        <v>5.1999999999999995E-4</v>
      </c>
      <c r="K2801" s="154" t="s">
        <v>24</v>
      </c>
      <c r="L2801" s="154" t="str">
        <f>IF(OpenLCAbasic!K2801="CTUh", "Fill in Manually",IF(OR(K2801="Unit", K2801=""), "", INDEX(LookUps!$E$5:$E$12, MATCH(OpenLCAbasic!K2801,LookUps!$D$5:$D$12,0))))</f>
        <v>Acidification Potential (AP) - kg SO2 eq</v>
      </c>
      <c r="M2801" s="154" t="str">
        <f t="shared" si="139"/>
        <v>High_Base_Upgraded_Acidification Potential (AP) - kg SO2 eq_Blend Tank; wastewater treatment unit; at updated plant - US_Base_With Amendment_Windrow</v>
      </c>
    </row>
    <row r="2802" spans="1:13" s="120" customFormat="1" x14ac:dyDescent="0.25">
      <c r="A2802" s="119"/>
      <c r="B2802" s="138" t="str">
        <f t="shared" si="137"/>
        <v>Windrow</v>
      </c>
      <c r="C2802" s="138" t="str">
        <f t="shared" si="138"/>
        <v>Base_With Amendment</v>
      </c>
      <c r="D2802" s="118" t="s">
        <v>130</v>
      </c>
      <c r="E2802" s="118" t="s">
        <v>181</v>
      </c>
      <c r="F2802" s="118" t="s">
        <v>46</v>
      </c>
      <c r="G2802" s="153"/>
      <c r="H2802" s="155">
        <v>7.7000000000000002E-3</v>
      </c>
      <c r="I2802" s="154" t="s">
        <v>48</v>
      </c>
      <c r="J2802" s="204">
        <v>3.5E-4</v>
      </c>
      <c r="K2802" s="154" t="s">
        <v>24</v>
      </c>
      <c r="L2802" s="154" t="str">
        <f>IF(OpenLCAbasic!K2802="CTUh", "Fill in Manually",IF(OR(K2802="Unit", K2802=""), "", INDEX(LookUps!$E$5:$E$12, MATCH(OpenLCAbasic!K2802,LookUps!$D$5:$D$12,0))))</f>
        <v>Acidification Potential (AP) - kg SO2 eq</v>
      </c>
      <c r="M2802" s="154" t="str">
        <f t="shared" si="139"/>
        <v>High_Base_Upgraded_Acidification Potential (AP) - kg SO2 eq_Effluent release; wastewater treatment unit; at surface water; m3 wastewater - US_Base_With Amendment_Windrow</v>
      </c>
    </row>
    <row r="2803" spans="1:13" s="120" customFormat="1" x14ac:dyDescent="0.25">
      <c r="A2803" s="119"/>
      <c r="B2803" s="138" t="str">
        <f t="shared" si="137"/>
        <v>Windrow</v>
      </c>
      <c r="C2803" s="138" t="str">
        <f t="shared" si="138"/>
        <v>Base_With Amendment</v>
      </c>
      <c r="D2803" s="118" t="s">
        <v>130</v>
      </c>
      <c r="E2803" s="118" t="s">
        <v>181</v>
      </c>
      <c r="F2803" s="118" t="s">
        <v>46</v>
      </c>
      <c r="G2803" s="153"/>
      <c r="H2803" s="155">
        <v>5.7000000000000002E-3</v>
      </c>
      <c r="I2803" s="154" t="s">
        <v>168</v>
      </c>
      <c r="J2803" s="204">
        <v>2.5999999999999998E-4</v>
      </c>
      <c r="K2803" s="154" t="s">
        <v>24</v>
      </c>
      <c r="L2803" s="154" t="str">
        <f>IF(OpenLCAbasic!K2803="CTUh", "Fill in Manually",IF(OR(K2803="Unit", K2803=""), "", INDEX(LookUps!$E$5:$E$12, MATCH(OpenLCAbasic!K2803,LookUps!$D$5:$D$12,0))))</f>
        <v>Acidification Potential (AP) - kg SO2 eq</v>
      </c>
      <c r="M2803" s="154" t="str">
        <f t="shared" si="139"/>
        <v>High_Base_Upgraded_Acidification Potential (AP) - kg SO2 eq_ClearCove SCP; wastewater treatment unit; at updated plant - US_Base_With Amendment_Windrow</v>
      </c>
    </row>
    <row r="2804" spans="1:13" s="120" customFormat="1" x14ac:dyDescent="0.25">
      <c r="A2804" s="119"/>
      <c r="B2804" s="138" t="str">
        <f t="shared" si="137"/>
        <v>Windrow</v>
      </c>
      <c r="C2804" s="138" t="str">
        <f t="shared" si="138"/>
        <v>Base_With Amendment</v>
      </c>
      <c r="D2804" s="118" t="s">
        <v>130</v>
      </c>
      <c r="E2804" s="118" t="s">
        <v>181</v>
      </c>
      <c r="F2804" s="118" t="s">
        <v>46</v>
      </c>
      <c r="G2804" s="153"/>
      <c r="H2804" s="155">
        <v>8.9999999999999998E-4</v>
      </c>
      <c r="I2804" s="154" t="s">
        <v>148</v>
      </c>
      <c r="J2804" s="204">
        <v>4.0354700000000002E-5</v>
      </c>
      <c r="K2804" s="154" t="s">
        <v>24</v>
      </c>
      <c r="L2804" s="154" t="str">
        <f>IF(OpenLCAbasic!K2804="CTUh", "Fill in Manually",IF(OR(K2804="Unit", K2804=""), "", INDEX(LookUps!$E$5:$E$12, MATCH(OpenLCAbasic!K2804,LookUps!$D$5:$D$12,0))))</f>
        <v>Acidification Potential (AP) - kg SO2 eq</v>
      </c>
      <c r="M2804" s="154" t="str">
        <f t="shared" si="139"/>
        <v>High_Base_Upgraded_Acidification Potential (AP) - kg SO2 eq_Control Building; at upgraded wastewater treatment plant - US_Base_With Amendment_Windrow</v>
      </c>
    </row>
    <row r="2805" spans="1:13" s="120" customFormat="1" x14ac:dyDescent="0.25">
      <c r="A2805" s="119"/>
      <c r="B2805" s="138" t="str">
        <f t="shared" si="137"/>
        <v>Windrow</v>
      </c>
      <c r="C2805" s="138" t="str">
        <f t="shared" si="138"/>
        <v>Base_With Amendment</v>
      </c>
      <c r="D2805" s="118" t="s">
        <v>130</v>
      </c>
      <c r="E2805" s="118" t="s">
        <v>181</v>
      </c>
      <c r="F2805" s="118" t="s">
        <v>46</v>
      </c>
      <c r="G2805" s="153"/>
      <c r="H2805" s="155">
        <v>-0.1434</v>
      </c>
      <c r="I2805" s="154" t="s">
        <v>149</v>
      </c>
      <c r="J2805" s="204">
        <v>-6.45E-3</v>
      </c>
      <c r="K2805" s="154" t="s">
        <v>24</v>
      </c>
      <c r="L2805" s="154" t="str">
        <f>IF(OpenLCAbasic!K2805="CTUh", "Fill in Manually",IF(OR(K2805="Unit", K2805=""), "", INDEX(LookUps!$E$5:$E$12, MATCH(OpenLCAbasic!K2805,LookUps!$D$5:$D$12,0))))</f>
        <v>Acidification Potential (AP) - kg SO2 eq</v>
      </c>
      <c r="M2805" s="154" t="str">
        <f t="shared" si="139"/>
        <v>High_Base_Upgraded_Acidification Potential (AP) - kg SO2 eq_Anaerobic Digestion; wastewater treatment unit; at updated plant - US_Base_With Amendment_Windrow</v>
      </c>
    </row>
    <row r="2806" spans="1:13" s="120" customFormat="1" x14ac:dyDescent="0.25">
      <c r="A2806" s="119"/>
      <c r="B2806" s="138" t="str">
        <f t="shared" si="137"/>
        <v>Windrow</v>
      </c>
      <c r="C2806" s="138" t="str">
        <f t="shared" si="138"/>
        <v>Base_With Amendment</v>
      </c>
      <c r="D2806" s="118" t="s">
        <v>130</v>
      </c>
      <c r="E2806" s="118" t="s">
        <v>181</v>
      </c>
      <c r="F2806" s="118" t="s">
        <v>46</v>
      </c>
      <c r="G2806" s="153" t="s">
        <v>51</v>
      </c>
      <c r="H2806" s="154"/>
      <c r="I2806" s="154" t="s">
        <v>47</v>
      </c>
      <c r="J2806" s="154" t="s">
        <v>52</v>
      </c>
      <c r="K2806" s="154" t="s">
        <v>27</v>
      </c>
      <c r="L2806" s="154" t="str">
        <f>IF(OpenLCAbasic!K2806="CTUh", "Fill in Manually",IF(OR(K2806="Unit", K2806=""), "", INDEX(LookUps!$E$5:$E$12, MATCH(OpenLCAbasic!K2806,LookUps!$D$5:$D$12,0))))</f>
        <v/>
      </c>
      <c r="M2806" s="154" t="str">
        <f t="shared" si="139"/>
        <v>High_Base_Upgraded__Process_Base_With Amendment_Windrow</v>
      </c>
    </row>
    <row r="2807" spans="1:13" s="120" customFormat="1" x14ac:dyDescent="0.25">
      <c r="A2807" s="119"/>
      <c r="B2807" s="138" t="str">
        <f t="shared" si="137"/>
        <v>Windrow</v>
      </c>
      <c r="C2807" s="138" t="str">
        <f t="shared" si="138"/>
        <v>Base_With Amendment</v>
      </c>
      <c r="D2807" s="118" t="s">
        <v>130</v>
      </c>
      <c r="E2807" s="118" t="s">
        <v>181</v>
      </c>
      <c r="F2807" s="118" t="s">
        <v>46</v>
      </c>
      <c r="G2807" s="153"/>
      <c r="H2807" s="155">
        <v>0.49540000000000001</v>
      </c>
      <c r="I2807" s="154" t="s">
        <v>55</v>
      </c>
      <c r="J2807" s="204">
        <v>2.33E-3</v>
      </c>
      <c r="K2807" s="154" t="s">
        <v>145</v>
      </c>
      <c r="L2807" s="154" t="str">
        <f>IF(OpenLCAbasic!K2807="CTUh", "Fill in Manually",IF(OR(K2807="Unit", K2807=""), "", INDEX(LookUps!$E$5:$E$12, MATCH(OpenLCAbasic!K2807,LookUps!$D$5:$D$12,0))))</f>
        <v>Particulate Matter Formation Potential (PMFP) - kg PM2.5 eq</v>
      </c>
      <c r="M2807" s="154" t="str">
        <f t="shared" si="139"/>
        <v>High_Base_Upgraded_Particulate Matter Formation Potential (PMFP) - kg PM2.5 eq_Aeration Tanks; wastewater treatment unit; at updated plant - US_Base_With Amendment_Windrow</v>
      </c>
    </row>
    <row r="2808" spans="1:13" s="120" customFormat="1" x14ac:dyDescent="0.25">
      <c r="A2808" s="119"/>
      <c r="B2808" s="138" t="str">
        <f t="shared" si="137"/>
        <v>Windrow</v>
      </c>
      <c r="C2808" s="138" t="str">
        <f t="shared" si="138"/>
        <v>Base_With Amendment</v>
      </c>
      <c r="D2808" s="118" t="s">
        <v>130</v>
      </c>
      <c r="E2808" s="118" t="s">
        <v>181</v>
      </c>
      <c r="F2808" s="118" t="s">
        <v>46</v>
      </c>
      <c r="G2808" s="153"/>
      <c r="H2808" s="155">
        <v>0.14410000000000001</v>
      </c>
      <c r="I2808" s="154" t="s">
        <v>54</v>
      </c>
      <c r="J2808" s="204">
        <v>6.8000000000000005E-4</v>
      </c>
      <c r="K2808" s="154" t="s">
        <v>145</v>
      </c>
      <c r="L2808" s="154" t="str">
        <f>IF(OpenLCAbasic!K2808="CTUh", "Fill in Manually",IF(OR(K2808="Unit", K2808=""), "", INDEX(LookUps!$E$5:$E$12, MATCH(OpenLCAbasic!K2808,LookUps!$D$5:$D$12,0))))</f>
        <v>Particulate Matter Formation Potential (PMFP) - kg PM2.5 eq</v>
      </c>
      <c r="M2808" s="154" t="str">
        <f t="shared" si="139"/>
        <v>High_Base_Upgraded_Particulate Matter Formation Potential (PMFP) - kg PM2.5 eq_Clear Cove Primary Clarification; wastewater treatment unit; at updated plant - US_Base_With Amendment_Windrow</v>
      </c>
    </row>
    <row r="2809" spans="1:13" s="120" customFormat="1" x14ac:dyDescent="0.25">
      <c r="A2809" s="119"/>
      <c r="B2809" s="138" t="str">
        <f t="shared" si="137"/>
        <v>Windrow</v>
      </c>
      <c r="C2809" s="138" t="str">
        <f t="shared" si="138"/>
        <v>Base_With Amendment</v>
      </c>
      <c r="D2809" s="118" t="s">
        <v>130</v>
      </c>
      <c r="E2809" s="118" t="s">
        <v>181</v>
      </c>
      <c r="F2809" s="118" t="s">
        <v>46</v>
      </c>
      <c r="G2809" s="153"/>
      <c r="H2809" s="155">
        <v>0.1245</v>
      </c>
      <c r="I2809" s="154" t="s">
        <v>58</v>
      </c>
      <c r="J2809" s="204">
        <v>5.9000000000000003E-4</v>
      </c>
      <c r="K2809" s="154" t="s">
        <v>145</v>
      </c>
      <c r="L2809" s="154" t="str">
        <f>IF(OpenLCAbasic!K2809="CTUh", "Fill in Manually",IF(OR(K2809="Unit", K2809=""), "", INDEX(LookUps!$E$5:$E$12, MATCH(OpenLCAbasic!K2809,LookUps!$D$5:$D$12,0))))</f>
        <v>Particulate Matter Formation Potential (PMFP) - kg PM2.5 eq</v>
      </c>
      <c r="M2809" s="154" t="str">
        <f t="shared" si="139"/>
        <v>High_Base_Upgraded_Particulate Matter Formation Potential (PMFP) - kg PM2.5 eq_Pre-Anoxic &amp; Swing tank; wastewater treatment unit; at updated plant - US_Base_With Amendment_Windrow</v>
      </c>
    </row>
    <row r="2810" spans="1:13" s="120" customFormat="1" x14ac:dyDescent="0.25">
      <c r="A2810" s="119"/>
      <c r="B2810" s="138" t="str">
        <f t="shared" si="137"/>
        <v>Windrow</v>
      </c>
      <c r="C2810" s="138" t="str">
        <f t="shared" si="138"/>
        <v>Base_With Amendment</v>
      </c>
      <c r="D2810" s="118" t="s">
        <v>130</v>
      </c>
      <c r="E2810" s="118" t="s">
        <v>181</v>
      </c>
      <c r="F2810" s="118" t="s">
        <v>46</v>
      </c>
      <c r="G2810" s="153"/>
      <c r="H2810" s="155">
        <v>9.9000000000000005E-2</v>
      </c>
      <c r="I2810" s="154" t="s">
        <v>53</v>
      </c>
      <c r="J2810" s="204">
        <v>4.6999999999999999E-4</v>
      </c>
      <c r="K2810" s="154" t="s">
        <v>145</v>
      </c>
      <c r="L2810" s="154" t="str">
        <f>IF(OpenLCAbasic!K2810="CTUh", "Fill in Manually",IF(OR(K2810="Unit", K2810=""), "", INDEX(LookUps!$E$5:$E$12, MATCH(OpenLCAbasic!K2810,LookUps!$D$5:$D$12,0))))</f>
        <v>Particulate Matter Formation Potential (PMFP) - kg PM2.5 eq</v>
      </c>
      <c r="M2810" s="154" t="str">
        <f t="shared" si="139"/>
        <v>High_Base_Upgraded_Particulate Matter Formation Potential (PMFP) - kg PM2.5 eq_Wet Well and Sump Station; wastewater treatment unit; at updated plant - US_Base_With Amendment_Windrow</v>
      </c>
    </row>
    <row r="2811" spans="1:13" s="120" customFormat="1" x14ac:dyDescent="0.25">
      <c r="A2811" s="119"/>
      <c r="B2811" s="138" t="str">
        <f t="shared" si="137"/>
        <v>Windrow</v>
      </c>
      <c r="C2811" s="138" t="str">
        <f t="shared" si="138"/>
        <v>Base_With Amendment</v>
      </c>
      <c r="D2811" s="118" t="s">
        <v>130</v>
      </c>
      <c r="E2811" s="118" t="s">
        <v>181</v>
      </c>
      <c r="F2811" s="118" t="s">
        <v>46</v>
      </c>
      <c r="G2811" s="153"/>
      <c r="H2811" s="155">
        <v>8.1600000000000006E-2</v>
      </c>
      <c r="I2811" s="154" t="s">
        <v>271</v>
      </c>
      <c r="J2811" s="204">
        <v>3.8000000000000002E-4</v>
      </c>
      <c r="K2811" s="154" t="s">
        <v>145</v>
      </c>
      <c r="L2811" s="154" t="str">
        <f>IF(OpenLCAbasic!K2811="CTUh", "Fill in Manually",IF(OR(K2811="Unit", K2811=""), "", INDEX(LookUps!$E$5:$E$12, MATCH(OpenLCAbasic!K2811,LookUps!$D$5:$D$12,0))))</f>
        <v>Particulate Matter Formation Potential (PMFP) - kg PM2.5 eq</v>
      </c>
      <c r="M2811" s="154" t="str">
        <f t="shared" si="139"/>
        <v>High_Base_Upgraded_Particulate Matter Formation Potential (PMFP) - kg PM2.5 eq_Biosolids composting; windrow composting; wastewater treatment unit; at updated plant - US_Base_With Amendment_Windrow</v>
      </c>
    </row>
    <row r="2812" spans="1:13" s="120" customFormat="1" x14ac:dyDescent="0.25">
      <c r="A2812" s="119"/>
      <c r="B2812" s="138" t="str">
        <f t="shared" si="137"/>
        <v>Windrow</v>
      </c>
      <c r="C2812" s="138" t="str">
        <f t="shared" si="138"/>
        <v>Base_With Amendment</v>
      </c>
      <c r="D2812" s="118" t="s">
        <v>130</v>
      </c>
      <c r="E2812" s="118" t="s">
        <v>181</v>
      </c>
      <c r="F2812" s="118" t="s">
        <v>46</v>
      </c>
      <c r="G2812" s="153"/>
      <c r="H2812" s="155">
        <v>6.3500000000000001E-2</v>
      </c>
      <c r="I2812" s="154" t="s">
        <v>167</v>
      </c>
      <c r="J2812" s="204">
        <v>2.9999999999999997E-4</v>
      </c>
      <c r="K2812" s="154" t="s">
        <v>145</v>
      </c>
      <c r="L2812" s="154" t="str">
        <f>IF(OpenLCAbasic!K2812="CTUh", "Fill in Manually",IF(OR(K2812="Unit", K2812=""), "", INDEX(LookUps!$E$5:$E$12, MATCH(OpenLCAbasic!K2812,LookUps!$D$5:$D$12,0))))</f>
        <v>Particulate Matter Formation Potential (PMFP) - kg PM2.5 eq</v>
      </c>
      <c r="M2812" s="154" t="str">
        <f t="shared" si="139"/>
        <v>High_Base_Upgraded_Particulate Matter Formation Potential (PMFP) - kg PM2.5 eq_Waste Receiving and Holding; wastewater treatment unit; at updated plant - US_Base_With Amendment_Windrow</v>
      </c>
    </row>
    <row r="2813" spans="1:13" s="120" customFormat="1" x14ac:dyDescent="0.25">
      <c r="A2813" s="119"/>
      <c r="B2813" s="138" t="str">
        <f t="shared" si="137"/>
        <v>Windrow</v>
      </c>
      <c r="C2813" s="138" t="str">
        <f t="shared" si="138"/>
        <v>Base_With Amendment</v>
      </c>
      <c r="D2813" s="118" t="s">
        <v>130</v>
      </c>
      <c r="E2813" s="118" t="s">
        <v>181</v>
      </c>
      <c r="F2813" s="118" t="s">
        <v>46</v>
      </c>
      <c r="G2813" s="153"/>
      <c r="H2813" s="155">
        <v>5.6599999999999998E-2</v>
      </c>
      <c r="I2813" s="154" t="s">
        <v>147</v>
      </c>
      <c r="J2813" s="204">
        <v>2.7E-4</v>
      </c>
      <c r="K2813" s="154" t="s">
        <v>145</v>
      </c>
      <c r="L2813" s="154" t="str">
        <f>IF(OpenLCAbasic!K2813="CTUh", "Fill in Manually",IF(OR(K2813="Unit", K2813=""), "", INDEX(LookUps!$E$5:$E$12, MATCH(OpenLCAbasic!K2813,LookUps!$D$5:$D$12,0))))</f>
        <v>Particulate Matter Formation Potential (PMFP) - kg PM2.5 eq</v>
      </c>
      <c r="M2813" s="154" t="str">
        <f t="shared" si="139"/>
        <v>High_Base_Upgraded_Particulate Matter Formation Potential (PMFP) - kg PM2.5 eq_Influent Pump Station; wastewater treatment unit; at updated plant - US_Base_With Amendment_Windrow</v>
      </c>
    </row>
    <row r="2814" spans="1:13" s="120" customFormat="1" x14ac:dyDescent="0.25">
      <c r="A2814" s="119"/>
      <c r="B2814" s="138" t="str">
        <f t="shared" si="137"/>
        <v>Windrow</v>
      </c>
      <c r="C2814" s="138" t="str">
        <f t="shared" si="138"/>
        <v>Base_With Amendment</v>
      </c>
      <c r="D2814" s="118" t="s">
        <v>130</v>
      </c>
      <c r="E2814" s="118" t="s">
        <v>181</v>
      </c>
      <c r="F2814" s="118" t="s">
        <v>46</v>
      </c>
      <c r="G2814" s="153"/>
      <c r="H2814" s="155">
        <v>3.5299999999999998E-2</v>
      </c>
      <c r="I2814" s="154" t="s">
        <v>128</v>
      </c>
      <c r="J2814" s="204">
        <v>1.7000000000000001E-4</v>
      </c>
      <c r="K2814" s="154" t="s">
        <v>145</v>
      </c>
      <c r="L2814" s="154" t="str">
        <f>IF(OpenLCAbasic!K2814="CTUh", "Fill in Manually",IF(OR(K2814="Unit", K2814=""), "", INDEX(LookUps!$E$5:$E$12, MATCH(OpenLCAbasic!K2814,LookUps!$D$5:$D$12,0))))</f>
        <v>Particulate Matter Formation Potential (PMFP) - kg PM2.5 eq</v>
      </c>
      <c r="M2814" s="154" t="str">
        <f t="shared" si="139"/>
        <v>High_Base_Upgraded_Particulate Matter Formation Potential (PMFP) - kg PM2.5 eq_Wastewater collection; operation and infrastructure; m3 wastewater_Base_With Amendment_Windrow</v>
      </c>
    </row>
    <row r="2815" spans="1:13" s="120" customFormat="1" x14ac:dyDescent="0.25">
      <c r="A2815" s="119"/>
      <c r="B2815" s="138" t="str">
        <f t="shared" si="137"/>
        <v>Windrow</v>
      </c>
      <c r="C2815" s="138" t="str">
        <f t="shared" si="138"/>
        <v>Base_With Amendment</v>
      </c>
      <c r="D2815" s="118" t="s">
        <v>130</v>
      </c>
      <c r="E2815" s="118" t="s">
        <v>181</v>
      </c>
      <c r="F2815" s="118" t="s">
        <v>46</v>
      </c>
      <c r="G2815" s="153"/>
      <c r="H2815" s="155">
        <v>2.2200000000000001E-2</v>
      </c>
      <c r="I2815" s="154" t="s">
        <v>60</v>
      </c>
      <c r="J2815" s="204">
        <v>1E-4</v>
      </c>
      <c r="K2815" s="154" t="s">
        <v>145</v>
      </c>
      <c r="L2815" s="154" t="str">
        <f>IF(OpenLCAbasic!K2815="CTUh", "Fill in Manually",IF(OR(K2815="Unit", K2815=""), "", INDEX(LookUps!$E$5:$E$12, MATCH(OpenLCAbasic!K2815,LookUps!$D$5:$D$12,0))))</f>
        <v>Particulate Matter Formation Potential (PMFP) - kg PM2.5 eq</v>
      </c>
      <c r="M2815" s="154" t="str">
        <f t="shared" si="139"/>
        <v>High_Base_Upgraded_Particulate Matter Formation Potential (PMFP) - kg PM2.5 eq_Belt filter press; wastewater treatment unit; at updated plant - US_Base_With Amendment_Windrow</v>
      </c>
    </row>
    <row r="2816" spans="1:13" s="120" customFormat="1" x14ac:dyDescent="0.25">
      <c r="A2816" s="119"/>
      <c r="B2816" s="138" t="str">
        <f t="shared" si="137"/>
        <v>Windrow</v>
      </c>
      <c r="C2816" s="138" t="str">
        <f t="shared" si="138"/>
        <v>Base_With Amendment</v>
      </c>
      <c r="D2816" s="118" t="s">
        <v>130</v>
      </c>
      <c r="E2816" s="118" t="s">
        <v>181</v>
      </c>
      <c r="F2816" s="118" t="s">
        <v>46</v>
      </c>
      <c r="G2816" s="153"/>
      <c r="H2816" s="155">
        <v>2.0199999999999999E-2</v>
      </c>
      <c r="I2816" s="154" t="s">
        <v>57</v>
      </c>
      <c r="J2816" s="204">
        <v>9.5153800000000004E-5</v>
      </c>
      <c r="K2816" s="154" t="s">
        <v>145</v>
      </c>
      <c r="L2816" s="154" t="str">
        <f>IF(OpenLCAbasic!K2816="CTUh", "Fill in Manually",IF(OR(K2816="Unit", K2816=""), "", INDEX(LookUps!$E$5:$E$12, MATCH(OpenLCAbasic!K2816,LookUps!$D$5:$D$12,0))))</f>
        <v>Particulate Matter Formation Potential (PMFP) - kg PM2.5 eq</v>
      </c>
      <c r="M2816" s="154" t="str">
        <f t="shared" si="139"/>
        <v>High_Base_Upgraded_Particulate Matter Formation Potential (PMFP) - kg PM2.5 eq_Gravity Belt Thickener; wastewater treatment unit; at updated plant - US_Base_With Amendment_Windrow</v>
      </c>
    </row>
    <row r="2817" spans="1:13" s="120" customFormat="1" x14ac:dyDescent="0.25">
      <c r="A2817" s="119"/>
      <c r="B2817" s="138" t="str">
        <f t="shared" si="137"/>
        <v>Windrow</v>
      </c>
      <c r="C2817" s="138" t="str">
        <f t="shared" si="138"/>
        <v>Base_With Amendment</v>
      </c>
      <c r="D2817" s="118" t="s">
        <v>130</v>
      </c>
      <c r="E2817" s="118" t="s">
        <v>181</v>
      </c>
      <c r="F2817" s="118" t="s">
        <v>46</v>
      </c>
      <c r="G2817" s="153"/>
      <c r="H2817" s="155">
        <v>1.4800000000000001E-2</v>
      </c>
      <c r="I2817" s="154" t="s">
        <v>59</v>
      </c>
      <c r="J2817" s="204">
        <v>6.9942200000000003E-5</v>
      </c>
      <c r="K2817" s="154" t="s">
        <v>145</v>
      </c>
      <c r="L2817" s="154" t="str">
        <f>IF(OpenLCAbasic!K2817="CTUh", "Fill in Manually",IF(OR(K2817="Unit", K2817=""), "", INDEX(LookUps!$E$5:$E$12, MATCH(OpenLCAbasic!K2817,LookUps!$D$5:$D$12,0))))</f>
        <v>Particulate Matter Formation Potential (PMFP) - kg PM2.5 eq</v>
      </c>
      <c r="M2817" s="154" t="str">
        <f t="shared" si="139"/>
        <v>High_Base_Upgraded_Particulate Matter Formation Potential (PMFP) - kg PM2.5 eq_Blend Tank; wastewater treatment unit; at updated plant - US_Base_With Amendment_Windrow</v>
      </c>
    </row>
    <row r="2818" spans="1:13" s="120" customFormat="1" x14ac:dyDescent="0.25">
      <c r="A2818" s="119"/>
      <c r="B2818" s="138" t="str">
        <f t="shared" si="137"/>
        <v>Windrow</v>
      </c>
      <c r="C2818" s="138" t="str">
        <f t="shared" si="138"/>
        <v>Base_With Amendment</v>
      </c>
      <c r="D2818" s="118" t="s">
        <v>130</v>
      </c>
      <c r="E2818" s="118" t="s">
        <v>181</v>
      </c>
      <c r="F2818" s="118" t="s">
        <v>46</v>
      </c>
      <c r="G2818" s="153"/>
      <c r="H2818" s="155">
        <v>1.06E-2</v>
      </c>
      <c r="I2818" s="154" t="s">
        <v>48</v>
      </c>
      <c r="J2818" s="204">
        <v>4.99741E-5</v>
      </c>
      <c r="K2818" s="154" t="s">
        <v>145</v>
      </c>
      <c r="L2818" s="154" t="str">
        <f>IF(OpenLCAbasic!K2818="CTUh", "Fill in Manually",IF(OR(K2818="Unit", K2818=""), "", INDEX(LookUps!$E$5:$E$12, MATCH(OpenLCAbasic!K2818,LookUps!$D$5:$D$12,0))))</f>
        <v>Particulate Matter Formation Potential (PMFP) - kg PM2.5 eq</v>
      </c>
      <c r="M2818" s="154" t="str">
        <f t="shared" si="139"/>
        <v>High_Base_Upgraded_Particulate Matter Formation Potential (PMFP) - kg PM2.5 eq_Effluent release; wastewater treatment unit; at surface water; m3 wastewater - US_Base_With Amendment_Windrow</v>
      </c>
    </row>
    <row r="2819" spans="1:13" s="120" customFormat="1" x14ac:dyDescent="0.25">
      <c r="A2819" s="119"/>
      <c r="B2819" s="138" t="str">
        <f t="shared" si="137"/>
        <v>Windrow</v>
      </c>
      <c r="C2819" s="138" t="str">
        <f t="shared" si="138"/>
        <v>Base_With Amendment</v>
      </c>
      <c r="D2819" s="118" t="s">
        <v>130</v>
      </c>
      <c r="E2819" s="118" t="s">
        <v>181</v>
      </c>
      <c r="F2819" s="118" t="s">
        <v>46</v>
      </c>
      <c r="G2819" s="153"/>
      <c r="H2819" s="155">
        <v>7.3000000000000001E-3</v>
      </c>
      <c r="I2819" s="154" t="s">
        <v>168</v>
      </c>
      <c r="J2819" s="204">
        <v>3.4562199999999999E-5</v>
      </c>
      <c r="K2819" s="154" t="s">
        <v>145</v>
      </c>
      <c r="L2819" s="154" t="str">
        <f>IF(OpenLCAbasic!K2819="CTUh", "Fill in Manually",IF(OR(K2819="Unit", K2819=""), "", INDEX(LookUps!$E$5:$E$12, MATCH(OpenLCAbasic!K2819,LookUps!$D$5:$D$12,0))))</f>
        <v>Particulate Matter Formation Potential (PMFP) - kg PM2.5 eq</v>
      </c>
      <c r="M2819" s="154" t="str">
        <f t="shared" si="139"/>
        <v>High_Base_Upgraded_Particulate Matter Formation Potential (PMFP) - kg PM2.5 eq_ClearCove SCP; wastewater treatment unit; at updated plant - US_Base_With Amendment_Windrow</v>
      </c>
    </row>
    <row r="2820" spans="1:13" s="120" customFormat="1" x14ac:dyDescent="0.25">
      <c r="A2820" s="119"/>
      <c r="B2820" s="138" t="str">
        <f t="shared" si="137"/>
        <v>Windrow</v>
      </c>
      <c r="C2820" s="138" t="str">
        <f t="shared" si="138"/>
        <v>Base_With Amendment</v>
      </c>
      <c r="D2820" s="118" t="s">
        <v>130</v>
      </c>
      <c r="E2820" s="118" t="s">
        <v>181</v>
      </c>
      <c r="F2820" s="118" t="s">
        <v>46</v>
      </c>
      <c r="G2820" s="153"/>
      <c r="H2820" s="155">
        <v>7.3000000000000001E-3</v>
      </c>
      <c r="I2820" s="154" t="s">
        <v>62</v>
      </c>
      <c r="J2820" s="204">
        <v>3.42258E-5</v>
      </c>
      <c r="K2820" s="154" t="s">
        <v>145</v>
      </c>
      <c r="L2820" s="154" t="str">
        <f>IF(OpenLCAbasic!K2820="CTUh", "Fill in Manually",IF(OR(K2820="Unit", K2820=""), "", INDEX(LookUps!$E$5:$E$12, MATCH(OpenLCAbasic!K2820,LookUps!$D$5:$D$12,0))))</f>
        <v>Particulate Matter Formation Potential (PMFP) - kg PM2.5 eq</v>
      </c>
      <c r="M2820" s="154" t="str">
        <f t="shared" si="139"/>
        <v>High_Base_Upgraded_Particulate Matter Formation Potential (PMFP) - kg PM2.5 eq_Land application of compost; wastewater treatment unit; at updated plant - US_Base_With Amendment_Windrow</v>
      </c>
    </row>
    <row r="2821" spans="1:13" s="120" customFormat="1" x14ac:dyDescent="0.25">
      <c r="A2821" s="119"/>
      <c r="B2821" s="138" t="str">
        <f t="shared" si="137"/>
        <v>Windrow</v>
      </c>
      <c r="C2821" s="138" t="str">
        <f t="shared" si="138"/>
        <v>Base_With Amendment</v>
      </c>
      <c r="D2821" s="118" t="s">
        <v>130</v>
      </c>
      <c r="E2821" s="118" t="s">
        <v>181</v>
      </c>
      <c r="F2821" s="118" t="s">
        <v>46</v>
      </c>
      <c r="G2821" s="153"/>
      <c r="H2821" s="155">
        <v>1.9E-3</v>
      </c>
      <c r="I2821" s="154" t="s">
        <v>148</v>
      </c>
      <c r="J2821" s="204">
        <v>8.8212999999999997E-6</v>
      </c>
      <c r="K2821" s="154" t="s">
        <v>145</v>
      </c>
      <c r="L2821" s="154" t="str">
        <f>IF(OpenLCAbasic!K2821="CTUh", "Fill in Manually",IF(OR(K2821="Unit", K2821=""), "", INDEX(LookUps!$E$5:$E$12, MATCH(OpenLCAbasic!K2821,LookUps!$D$5:$D$12,0))))</f>
        <v>Particulate Matter Formation Potential (PMFP) - kg PM2.5 eq</v>
      </c>
      <c r="M2821" s="154" t="str">
        <f t="shared" si="139"/>
        <v>High_Base_Upgraded_Particulate Matter Formation Potential (PMFP) - kg PM2.5 eq_Control Building; at upgraded wastewater treatment plant - US_Base_With Amendment_Windrow</v>
      </c>
    </row>
    <row r="2822" spans="1:13" s="120" customFormat="1" x14ac:dyDescent="0.25">
      <c r="A2822" s="119"/>
      <c r="B2822" s="138" t="str">
        <f t="shared" ref="B2822:B2885" si="140">IF(F2822="Legacy","n.a.",IF(F2822="","","Windrow"))</f>
        <v>Windrow</v>
      </c>
      <c r="C2822" s="138" t="str">
        <f t="shared" si="138"/>
        <v>Base_With Amendment</v>
      </c>
      <c r="D2822" s="118" t="s">
        <v>130</v>
      </c>
      <c r="E2822" s="118" t="s">
        <v>181</v>
      </c>
      <c r="F2822" s="118" t="s">
        <v>46</v>
      </c>
      <c r="G2822" s="153"/>
      <c r="H2822" s="155">
        <v>-0.18440000000000001</v>
      </c>
      <c r="I2822" s="154" t="s">
        <v>149</v>
      </c>
      <c r="J2822" s="204">
        <v>-8.7000000000000001E-4</v>
      </c>
      <c r="K2822" s="154" t="s">
        <v>145</v>
      </c>
      <c r="L2822" s="154" t="str">
        <f>IF(OpenLCAbasic!K2822="CTUh", "Fill in Manually",IF(OR(K2822="Unit", K2822=""), "", INDEX(LookUps!$E$5:$E$12, MATCH(OpenLCAbasic!K2822,LookUps!$D$5:$D$12,0))))</f>
        <v>Particulate Matter Formation Potential (PMFP) - kg PM2.5 eq</v>
      </c>
      <c r="M2822" s="154" t="str">
        <f t="shared" si="139"/>
        <v>High_Base_Upgraded_Particulate Matter Formation Potential (PMFP) - kg PM2.5 eq_Anaerobic Digestion; wastewater treatment unit; at updated plant - US_Base_With Amendment_Windrow</v>
      </c>
    </row>
    <row r="2823" spans="1:13" s="120" customFormat="1" x14ac:dyDescent="0.25">
      <c r="A2823" s="119"/>
      <c r="B2823" s="138" t="str">
        <f t="shared" si="140"/>
        <v>Windrow</v>
      </c>
      <c r="C2823" s="138" t="str">
        <f t="shared" ref="C2823:C2886" si="141">IF(E2823&lt;&gt;"", "Base_With Amendment","")</f>
        <v>Base_With Amendment</v>
      </c>
      <c r="D2823" s="118" t="s">
        <v>130</v>
      </c>
      <c r="E2823" s="118" t="s">
        <v>181</v>
      </c>
      <c r="F2823" s="118" t="s">
        <v>46</v>
      </c>
      <c r="G2823" s="153" t="s">
        <v>51</v>
      </c>
      <c r="H2823" s="154"/>
      <c r="I2823" s="154" t="s">
        <v>47</v>
      </c>
      <c r="J2823" s="154" t="s">
        <v>52</v>
      </c>
      <c r="K2823" s="154" t="s">
        <v>27</v>
      </c>
      <c r="L2823" s="154" t="str">
        <f>IF(OpenLCAbasic!K2823="CTUh", "Fill in Manually",IF(OR(K2823="Unit", K2823=""), "", INDEX(LookUps!$E$5:$E$12, MATCH(OpenLCAbasic!K2823,LookUps!$D$5:$D$12,0))))</f>
        <v/>
      </c>
      <c r="M2823" s="154" t="str">
        <f t="shared" ref="M2823:M2886" si="142">CONCATENATE(E2823,"_",D2823,"_",F2823,"_",L2823, "_",I2823,"_", C2823,"_", B2823)</f>
        <v>High_Base_Upgraded__Process_Base_With Amendment_Windrow</v>
      </c>
    </row>
    <row r="2824" spans="1:13" s="120" customFormat="1" x14ac:dyDescent="0.25">
      <c r="A2824" s="119"/>
      <c r="B2824" s="138" t="str">
        <f t="shared" si="140"/>
        <v>Windrow</v>
      </c>
      <c r="C2824" s="138" t="str">
        <f t="shared" si="141"/>
        <v>Base_With Amendment</v>
      </c>
      <c r="D2824" s="118" t="s">
        <v>130</v>
      </c>
      <c r="E2824" s="118" t="s">
        <v>181</v>
      </c>
      <c r="F2824" s="118" t="s">
        <v>46</v>
      </c>
      <c r="G2824" s="153"/>
      <c r="H2824" s="155">
        <v>0.53449999999999998</v>
      </c>
      <c r="I2824" s="154" t="s">
        <v>55</v>
      </c>
      <c r="J2824" s="203">
        <v>0.16577</v>
      </c>
      <c r="K2824" s="154" t="s">
        <v>25</v>
      </c>
      <c r="L2824" s="154" t="str">
        <f>IF(OpenLCAbasic!K2824="CTUh", "Fill in Manually",IF(OR(K2824="Unit", K2824=""), "", INDEX(LookUps!$E$5:$E$12, MATCH(OpenLCAbasic!K2824,LookUps!$D$5:$D$12,0))))</f>
        <v>Smog Formation Potential (SFP) - kg O3 eq</v>
      </c>
      <c r="M2824" s="154" t="str">
        <f t="shared" si="142"/>
        <v>High_Base_Upgraded_Smog Formation Potential (SFP) - kg O3 eq_Aeration Tanks; wastewater treatment unit; at updated plant - US_Base_With Amendment_Windrow</v>
      </c>
    </row>
    <row r="2825" spans="1:13" s="120" customFormat="1" x14ac:dyDescent="0.25">
      <c r="A2825" s="119"/>
      <c r="B2825" s="138" t="str">
        <f t="shared" si="140"/>
        <v>Windrow</v>
      </c>
      <c r="C2825" s="138" t="str">
        <f t="shared" si="141"/>
        <v>Base_With Amendment</v>
      </c>
      <c r="D2825" s="118" t="s">
        <v>130</v>
      </c>
      <c r="E2825" s="118" t="s">
        <v>181</v>
      </c>
      <c r="F2825" s="118" t="s">
        <v>46</v>
      </c>
      <c r="G2825" s="153"/>
      <c r="H2825" s="155">
        <v>0.155</v>
      </c>
      <c r="I2825" s="154" t="s">
        <v>54</v>
      </c>
      <c r="J2825" s="203">
        <v>4.8070000000000002E-2</v>
      </c>
      <c r="K2825" s="154" t="s">
        <v>25</v>
      </c>
      <c r="L2825" s="154" t="str">
        <f>IF(OpenLCAbasic!K2825="CTUh", "Fill in Manually",IF(OR(K2825="Unit", K2825=""), "", INDEX(LookUps!$E$5:$E$12, MATCH(OpenLCAbasic!K2825,LookUps!$D$5:$D$12,0))))</f>
        <v>Smog Formation Potential (SFP) - kg O3 eq</v>
      </c>
      <c r="M2825" s="154" t="str">
        <f t="shared" si="142"/>
        <v>High_Base_Upgraded_Smog Formation Potential (SFP) - kg O3 eq_Clear Cove Primary Clarification; wastewater treatment unit; at updated plant - US_Base_With Amendment_Windrow</v>
      </c>
    </row>
    <row r="2826" spans="1:13" s="120" customFormat="1" x14ac:dyDescent="0.25">
      <c r="A2826" s="119"/>
      <c r="B2826" s="138" t="str">
        <f t="shared" si="140"/>
        <v>Windrow</v>
      </c>
      <c r="C2826" s="138" t="str">
        <f t="shared" si="141"/>
        <v>Base_With Amendment</v>
      </c>
      <c r="D2826" s="118" t="s">
        <v>130</v>
      </c>
      <c r="E2826" s="118" t="s">
        <v>181</v>
      </c>
      <c r="F2826" s="118" t="s">
        <v>46</v>
      </c>
      <c r="G2826" s="153"/>
      <c r="H2826" s="155">
        <v>0.13469999999999999</v>
      </c>
      <c r="I2826" s="154" t="s">
        <v>58</v>
      </c>
      <c r="J2826" s="203">
        <v>4.1779999999999998E-2</v>
      </c>
      <c r="K2826" s="154" t="s">
        <v>25</v>
      </c>
      <c r="L2826" s="154" t="str">
        <f>IF(OpenLCAbasic!K2826="CTUh", "Fill in Manually",IF(OR(K2826="Unit", K2826=""), "", INDEX(LookUps!$E$5:$E$12, MATCH(OpenLCAbasic!K2826,LookUps!$D$5:$D$12,0))))</f>
        <v>Smog Formation Potential (SFP) - kg O3 eq</v>
      </c>
      <c r="M2826" s="154" t="str">
        <f t="shared" si="142"/>
        <v>High_Base_Upgraded_Smog Formation Potential (SFP) - kg O3 eq_Pre-Anoxic &amp; Swing tank; wastewater treatment unit; at updated plant - US_Base_With Amendment_Windrow</v>
      </c>
    </row>
    <row r="2827" spans="1:13" s="120" customFormat="1" x14ac:dyDescent="0.25">
      <c r="A2827" s="119"/>
      <c r="B2827" s="138" t="str">
        <f t="shared" si="140"/>
        <v>Windrow</v>
      </c>
      <c r="C2827" s="138" t="str">
        <f t="shared" si="141"/>
        <v>Base_With Amendment</v>
      </c>
      <c r="D2827" s="118" t="s">
        <v>130</v>
      </c>
      <c r="E2827" s="118" t="s">
        <v>181</v>
      </c>
      <c r="F2827" s="118" t="s">
        <v>46</v>
      </c>
      <c r="G2827" s="153"/>
      <c r="H2827" s="155">
        <v>0.10680000000000001</v>
      </c>
      <c r="I2827" s="154" t="s">
        <v>53</v>
      </c>
      <c r="J2827" s="203">
        <v>3.313E-2</v>
      </c>
      <c r="K2827" s="154" t="s">
        <v>25</v>
      </c>
      <c r="L2827" s="154" t="str">
        <f>IF(OpenLCAbasic!K2827="CTUh", "Fill in Manually",IF(OR(K2827="Unit", K2827=""), "", INDEX(LookUps!$E$5:$E$12, MATCH(OpenLCAbasic!K2827,LookUps!$D$5:$D$12,0))))</f>
        <v>Smog Formation Potential (SFP) - kg O3 eq</v>
      </c>
      <c r="M2827" s="154" t="str">
        <f t="shared" si="142"/>
        <v>High_Base_Upgraded_Smog Formation Potential (SFP) - kg O3 eq_Wet Well and Sump Station; wastewater treatment unit; at updated plant - US_Base_With Amendment_Windrow</v>
      </c>
    </row>
    <row r="2828" spans="1:13" s="120" customFormat="1" x14ac:dyDescent="0.25">
      <c r="A2828" s="119"/>
      <c r="B2828" s="138" t="str">
        <f t="shared" si="140"/>
        <v>Windrow</v>
      </c>
      <c r="C2828" s="138" t="str">
        <f t="shared" si="141"/>
        <v>Base_With Amendment</v>
      </c>
      <c r="D2828" s="118" t="s">
        <v>130</v>
      </c>
      <c r="E2828" s="118" t="s">
        <v>181</v>
      </c>
      <c r="F2828" s="118" t="s">
        <v>46</v>
      </c>
      <c r="G2828" s="153"/>
      <c r="H2828" s="155">
        <v>9.01E-2</v>
      </c>
      <c r="I2828" s="154" t="s">
        <v>167</v>
      </c>
      <c r="J2828" s="203">
        <v>2.7949999999999999E-2</v>
      </c>
      <c r="K2828" s="154" t="s">
        <v>25</v>
      </c>
      <c r="L2828" s="154" t="str">
        <f>IF(OpenLCAbasic!K2828="CTUh", "Fill in Manually",IF(OR(K2828="Unit", K2828=""), "", INDEX(LookUps!$E$5:$E$12, MATCH(OpenLCAbasic!K2828,LookUps!$D$5:$D$12,0))))</f>
        <v>Smog Formation Potential (SFP) - kg O3 eq</v>
      </c>
      <c r="M2828" s="154" t="str">
        <f t="shared" si="142"/>
        <v>High_Base_Upgraded_Smog Formation Potential (SFP) - kg O3 eq_Waste Receiving and Holding; wastewater treatment unit; at updated plant - US_Base_With Amendment_Windrow</v>
      </c>
    </row>
    <row r="2829" spans="1:13" s="120" customFormat="1" x14ac:dyDescent="0.25">
      <c r="A2829" s="119"/>
      <c r="B2829" s="138" t="str">
        <f t="shared" si="140"/>
        <v>Windrow</v>
      </c>
      <c r="C2829" s="138" t="str">
        <f t="shared" si="141"/>
        <v>Base_With Amendment</v>
      </c>
      <c r="D2829" s="118" t="s">
        <v>130</v>
      </c>
      <c r="E2829" s="118" t="s">
        <v>181</v>
      </c>
      <c r="F2829" s="118" t="s">
        <v>46</v>
      </c>
      <c r="G2829" s="153"/>
      <c r="H2829" s="155">
        <v>6.25E-2</v>
      </c>
      <c r="I2829" s="154" t="s">
        <v>147</v>
      </c>
      <c r="J2829" s="203">
        <v>1.9400000000000001E-2</v>
      </c>
      <c r="K2829" s="154" t="s">
        <v>25</v>
      </c>
      <c r="L2829" s="154" t="str">
        <f>IF(OpenLCAbasic!K2829="CTUh", "Fill in Manually",IF(OR(K2829="Unit", K2829=""), "", INDEX(LookUps!$E$5:$E$12, MATCH(OpenLCAbasic!K2829,LookUps!$D$5:$D$12,0))))</f>
        <v>Smog Formation Potential (SFP) - kg O3 eq</v>
      </c>
      <c r="M2829" s="154" t="str">
        <f t="shared" si="142"/>
        <v>High_Base_Upgraded_Smog Formation Potential (SFP) - kg O3 eq_Influent Pump Station; wastewater treatment unit; at updated plant - US_Base_With Amendment_Windrow</v>
      </c>
    </row>
    <row r="2830" spans="1:13" s="120" customFormat="1" x14ac:dyDescent="0.25">
      <c r="A2830" s="119"/>
      <c r="B2830" s="138" t="str">
        <f t="shared" si="140"/>
        <v>Windrow</v>
      </c>
      <c r="C2830" s="138" t="str">
        <f t="shared" si="141"/>
        <v>Base_With Amendment</v>
      </c>
      <c r="D2830" s="118" t="s">
        <v>130</v>
      </c>
      <c r="E2830" s="118" t="s">
        <v>181</v>
      </c>
      <c r="F2830" s="118" t="s">
        <v>46</v>
      </c>
      <c r="G2830" s="153"/>
      <c r="H2830" s="155">
        <v>3.8399999999999997E-2</v>
      </c>
      <c r="I2830" s="154" t="s">
        <v>128</v>
      </c>
      <c r="J2830" s="204">
        <v>1.192E-2</v>
      </c>
      <c r="K2830" s="154" t="s">
        <v>25</v>
      </c>
      <c r="L2830" s="154" t="str">
        <f>IF(OpenLCAbasic!K2830="CTUh", "Fill in Manually",IF(OR(K2830="Unit", K2830=""), "", INDEX(LookUps!$E$5:$E$12, MATCH(OpenLCAbasic!K2830,LookUps!$D$5:$D$12,0))))</f>
        <v>Smog Formation Potential (SFP) - kg O3 eq</v>
      </c>
      <c r="M2830" s="154" t="str">
        <f t="shared" si="142"/>
        <v>High_Base_Upgraded_Smog Formation Potential (SFP) - kg O3 eq_Wastewater collection; operation and infrastructure; m3 wastewater_Base_With Amendment_Windrow</v>
      </c>
    </row>
    <row r="2831" spans="1:13" s="120" customFormat="1" x14ac:dyDescent="0.25">
      <c r="A2831" s="119"/>
      <c r="B2831" s="138" t="str">
        <f t="shared" si="140"/>
        <v>Windrow</v>
      </c>
      <c r="C2831" s="138" t="str">
        <f t="shared" si="141"/>
        <v>Base_With Amendment</v>
      </c>
      <c r="D2831" s="118" t="s">
        <v>130</v>
      </c>
      <c r="E2831" s="118" t="s">
        <v>181</v>
      </c>
      <c r="F2831" s="118" t="s">
        <v>46</v>
      </c>
      <c r="G2831" s="153"/>
      <c r="H2831" s="155">
        <v>2.3699999999999999E-2</v>
      </c>
      <c r="I2831" s="154" t="s">
        <v>60</v>
      </c>
      <c r="J2831" s="204">
        <v>7.3499999999999998E-3</v>
      </c>
      <c r="K2831" s="154" t="s">
        <v>25</v>
      </c>
      <c r="L2831" s="154" t="str">
        <f>IF(OpenLCAbasic!K2831="CTUh", "Fill in Manually",IF(OR(K2831="Unit", K2831=""), "", INDEX(LookUps!$E$5:$E$12, MATCH(OpenLCAbasic!K2831,LookUps!$D$5:$D$12,0))))</f>
        <v>Smog Formation Potential (SFP) - kg O3 eq</v>
      </c>
      <c r="M2831" s="154" t="str">
        <f t="shared" si="142"/>
        <v>High_Base_Upgraded_Smog Formation Potential (SFP) - kg O3 eq_Belt filter press; wastewater treatment unit; at updated plant - US_Base_With Amendment_Windrow</v>
      </c>
    </row>
    <row r="2832" spans="1:13" s="120" customFormat="1" x14ac:dyDescent="0.25">
      <c r="A2832" s="119"/>
      <c r="B2832" s="138" t="str">
        <f t="shared" si="140"/>
        <v>Windrow</v>
      </c>
      <c r="C2832" s="138" t="str">
        <f t="shared" si="141"/>
        <v>Base_With Amendment</v>
      </c>
      <c r="D2832" s="118" t="s">
        <v>130</v>
      </c>
      <c r="E2832" s="118" t="s">
        <v>181</v>
      </c>
      <c r="F2832" s="118" t="s">
        <v>46</v>
      </c>
      <c r="G2832" s="153"/>
      <c r="H2832" s="155">
        <v>2.1499999999999998E-2</v>
      </c>
      <c r="I2832" s="154" t="s">
        <v>57</v>
      </c>
      <c r="J2832" s="204">
        <v>6.6499999999999997E-3</v>
      </c>
      <c r="K2832" s="154" t="s">
        <v>25</v>
      </c>
      <c r="L2832" s="154" t="str">
        <f>IF(OpenLCAbasic!K2832="CTUh", "Fill in Manually",IF(OR(K2832="Unit", K2832=""), "", INDEX(LookUps!$E$5:$E$12, MATCH(OpenLCAbasic!K2832,LookUps!$D$5:$D$12,0))))</f>
        <v>Smog Formation Potential (SFP) - kg O3 eq</v>
      </c>
      <c r="M2832" s="154" t="str">
        <f t="shared" si="142"/>
        <v>High_Base_Upgraded_Smog Formation Potential (SFP) - kg O3 eq_Gravity Belt Thickener; wastewater treatment unit; at updated plant - US_Base_With Amendment_Windrow</v>
      </c>
    </row>
    <row r="2833" spans="1:13" s="120" customFormat="1" x14ac:dyDescent="0.25">
      <c r="A2833" s="119"/>
      <c r="B2833" s="138" t="str">
        <f t="shared" si="140"/>
        <v>Windrow</v>
      </c>
      <c r="C2833" s="138" t="str">
        <f t="shared" si="141"/>
        <v>Base_With Amendment</v>
      </c>
      <c r="D2833" s="118" t="s">
        <v>130</v>
      </c>
      <c r="E2833" s="118" t="s">
        <v>181</v>
      </c>
      <c r="F2833" s="118" t="s">
        <v>46</v>
      </c>
      <c r="G2833" s="153"/>
      <c r="H2833" s="155">
        <v>1.6E-2</v>
      </c>
      <c r="I2833" s="154" t="s">
        <v>59</v>
      </c>
      <c r="J2833" s="204">
        <v>4.9699999999999996E-3</v>
      </c>
      <c r="K2833" s="154" t="s">
        <v>25</v>
      </c>
      <c r="L2833" s="154" t="str">
        <f>IF(OpenLCAbasic!K2833="CTUh", "Fill in Manually",IF(OR(K2833="Unit", K2833=""), "", INDEX(LookUps!$E$5:$E$12, MATCH(OpenLCAbasic!K2833,LookUps!$D$5:$D$12,0))))</f>
        <v>Smog Formation Potential (SFP) - kg O3 eq</v>
      </c>
      <c r="M2833" s="154" t="str">
        <f t="shared" si="142"/>
        <v>High_Base_Upgraded_Smog Formation Potential (SFP) - kg O3 eq_Blend Tank; wastewater treatment unit; at updated plant - US_Base_With Amendment_Windrow</v>
      </c>
    </row>
    <row r="2834" spans="1:13" s="120" customFormat="1" x14ac:dyDescent="0.25">
      <c r="A2834" s="119"/>
      <c r="B2834" s="138" t="str">
        <f t="shared" si="140"/>
        <v>Windrow</v>
      </c>
      <c r="C2834" s="138" t="str">
        <f t="shared" si="141"/>
        <v>Base_With Amendment</v>
      </c>
      <c r="D2834" s="118" t="s">
        <v>130</v>
      </c>
      <c r="E2834" s="118" t="s">
        <v>181</v>
      </c>
      <c r="F2834" s="118" t="s">
        <v>46</v>
      </c>
      <c r="G2834" s="153"/>
      <c r="H2834" s="155">
        <v>1.09E-2</v>
      </c>
      <c r="I2834" s="154" t="s">
        <v>48</v>
      </c>
      <c r="J2834" s="204">
        <v>3.3899999999999998E-3</v>
      </c>
      <c r="K2834" s="154" t="s">
        <v>25</v>
      </c>
      <c r="L2834" s="154" t="str">
        <f>IF(OpenLCAbasic!K2834="CTUh", "Fill in Manually",IF(OR(K2834="Unit", K2834=""), "", INDEX(LookUps!$E$5:$E$12, MATCH(OpenLCAbasic!K2834,LookUps!$D$5:$D$12,0))))</f>
        <v>Smog Formation Potential (SFP) - kg O3 eq</v>
      </c>
      <c r="M2834" s="154" t="str">
        <f t="shared" si="142"/>
        <v>High_Base_Upgraded_Smog Formation Potential (SFP) - kg O3 eq_Effluent release; wastewater treatment unit; at surface water; m3 wastewater - US_Base_With Amendment_Windrow</v>
      </c>
    </row>
    <row r="2835" spans="1:13" s="120" customFormat="1" x14ac:dyDescent="0.25">
      <c r="A2835" s="119"/>
      <c r="B2835" s="138" t="str">
        <f t="shared" si="140"/>
        <v>Windrow</v>
      </c>
      <c r="C2835" s="138" t="str">
        <f t="shared" si="141"/>
        <v>Base_With Amendment</v>
      </c>
      <c r="D2835" s="118" t="s">
        <v>130</v>
      </c>
      <c r="E2835" s="118" t="s">
        <v>181</v>
      </c>
      <c r="F2835" s="118" t="s">
        <v>46</v>
      </c>
      <c r="G2835" s="153"/>
      <c r="H2835" s="155">
        <v>7.9000000000000008E-3</v>
      </c>
      <c r="I2835" s="154" t="s">
        <v>168</v>
      </c>
      <c r="J2835" s="204">
        <v>2.4599999999999999E-3</v>
      </c>
      <c r="K2835" s="154" t="s">
        <v>25</v>
      </c>
      <c r="L2835" s="154" t="str">
        <f>IF(OpenLCAbasic!K2835="CTUh", "Fill in Manually",IF(OR(K2835="Unit", K2835=""), "", INDEX(LookUps!$E$5:$E$12, MATCH(OpenLCAbasic!K2835,LookUps!$D$5:$D$12,0))))</f>
        <v>Smog Formation Potential (SFP) - kg O3 eq</v>
      </c>
      <c r="M2835" s="154" t="str">
        <f t="shared" si="142"/>
        <v>High_Base_Upgraded_Smog Formation Potential (SFP) - kg O3 eq_ClearCove SCP; wastewater treatment unit; at updated plant - US_Base_With Amendment_Windrow</v>
      </c>
    </row>
    <row r="2836" spans="1:13" s="120" customFormat="1" x14ac:dyDescent="0.25">
      <c r="A2836" s="119"/>
      <c r="B2836" s="138" t="str">
        <f t="shared" si="140"/>
        <v>Windrow</v>
      </c>
      <c r="C2836" s="138" t="str">
        <f t="shared" si="141"/>
        <v>Base_With Amendment</v>
      </c>
      <c r="D2836" s="118" t="s">
        <v>130</v>
      </c>
      <c r="E2836" s="118" t="s">
        <v>181</v>
      </c>
      <c r="F2836" s="118" t="s">
        <v>46</v>
      </c>
      <c r="G2836" s="153"/>
      <c r="H2836" s="155">
        <v>4.5999999999999999E-3</v>
      </c>
      <c r="I2836" s="154" t="s">
        <v>271</v>
      </c>
      <c r="J2836" s="204">
        <v>1.4300000000000001E-3</v>
      </c>
      <c r="K2836" s="154" t="s">
        <v>25</v>
      </c>
      <c r="L2836" s="154" t="str">
        <f>IF(OpenLCAbasic!K2836="CTUh", "Fill in Manually",IF(OR(K2836="Unit", K2836=""), "", INDEX(LookUps!$E$5:$E$12, MATCH(OpenLCAbasic!K2836,LookUps!$D$5:$D$12,0))))</f>
        <v>Smog Formation Potential (SFP) - kg O3 eq</v>
      </c>
      <c r="M2836" s="154" t="str">
        <f t="shared" si="142"/>
        <v>High_Base_Upgraded_Smog Formation Potential (SFP) - kg O3 eq_Biosolids composting; windrow composting; wastewater treatment unit; at updated plant - US_Base_With Amendment_Windrow</v>
      </c>
    </row>
    <row r="2837" spans="1:13" s="120" customFormat="1" x14ac:dyDescent="0.25">
      <c r="A2837" s="119"/>
      <c r="B2837" s="138" t="str">
        <f t="shared" si="140"/>
        <v>Windrow</v>
      </c>
      <c r="C2837" s="138" t="str">
        <f t="shared" si="141"/>
        <v>Base_With Amendment</v>
      </c>
      <c r="D2837" s="118" t="s">
        <v>130</v>
      </c>
      <c r="E2837" s="118" t="s">
        <v>181</v>
      </c>
      <c r="F2837" s="118" t="s">
        <v>46</v>
      </c>
      <c r="G2837" s="153"/>
      <c r="H2837" s="155">
        <v>1.6999999999999999E-3</v>
      </c>
      <c r="I2837" s="154" t="s">
        <v>148</v>
      </c>
      <c r="J2837" s="204">
        <v>5.4000000000000001E-4</v>
      </c>
      <c r="K2837" s="154" t="s">
        <v>25</v>
      </c>
      <c r="L2837" s="154" t="str">
        <f>IF(OpenLCAbasic!K2837="CTUh", "Fill in Manually",IF(OR(K2837="Unit", K2837=""), "", INDEX(LookUps!$E$5:$E$12, MATCH(OpenLCAbasic!K2837,LookUps!$D$5:$D$12,0))))</f>
        <v>Smog Formation Potential (SFP) - kg O3 eq</v>
      </c>
      <c r="M2837" s="154" t="str">
        <f t="shared" si="142"/>
        <v>High_Base_Upgraded_Smog Formation Potential (SFP) - kg O3 eq_Control Building; at upgraded wastewater treatment plant - US_Base_With Amendment_Windrow</v>
      </c>
    </row>
    <row r="2838" spans="1:13" s="120" customFormat="1" x14ac:dyDescent="0.25">
      <c r="A2838" s="119"/>
      <c r="B2838" s="138" t="str">
        <f t="shared" si="140"/>
        <v>Windrow</v>
      </c>
      <c r="C2838" s="138" t="str">
        <f t="shared" si="141"/>
        <v>Base_With Amendment</v>
      </c>
      <c r="D2838" s="118" t="s">
        <v>130</v>
      </c>
      <c r="E2838" s="118" t="s">
        <v>181</v>
      </c>
      <c r="F2838" s="118" t="s">
        <v>46</v>
      </c>
      <c r="G2838" s="153"/>
      <c r="H2838" s="155">
        <v>-8.6999999999999994E-3</v>
      </c>
      <c r="I2838" s="154" t="s">
        <v>62</v>
      </c>
      <c r="J2838" s="204">
        <v>-2.6900000000000001E-3</v>
      </c>
      <c r="K2838" s="154" t="s">
        <v>25</v>
      </c>
      <c r="L2838" s="154" t="str">
        <f>IF(OpenLCAbasic!K2838="CTUh", "Fill in Manually",IF(OR(K2838="Unit", K2838=""), "", INDEX(LookUps!$E$5:$E$12, MATCH(OpenLCAbasic!K2838,LookUps!$D$5:$D$12,0))))</f>
        <v>Smog Formation Potential (SFP) - kg O3 eq</v>
      </c>
      <c r="M2838" s="154" t="str">
        <f t="shared" si="142"/>
        <v>High_Base_Upgraded_Smog Formation Potential (SFP) - kg O3 eq_Land application of compost; wastewater treatment unit; at updated plant - US_Base_With Amendment_Windrow</v>
      </c>
    </row>
    <row r="2839" spans="1:13" s="120" customFormat="1" x14ac:dyDescent="0.25">
      <c r="A2839" s="119"/>
      <c r="B2839" s="138" t="str">
        <f t="shared" si="140"/>
        <v>Windrow</v>
      </c>
      <c r="C2839" s="138" t="str">
        <f t="shared" si="141"/>
        <v>Base_With Amendment</v>
      </c>
      <c r="D2839" s="118" t="s">
        <v>130</v>
      </c>
      <c r="E2839" s="118" t="s">
        <v>181</v>
      </c>
      <c r="F2839" s="118" t="s">
        <v>46</v>
      </c>
      <c r="G2839" s="153"/>
      <c r="H2839" s="155">
        <v>-0.19969999999999999</v>
      </c>
      <c r="I2839" s="154" t="s">
        <v>149</v>
      </c>
      <c r="J2839" s="203">
        <v>-6.1940000000000002E-2</v>
      </c>
      <c r="K2839" s="154" t="s">
        <v>25</v>
      </c>
      <c r="L2839" s="154" t="str">
        <f>IF(OpenLCAbasic!K2839="CTUh", "Fill in Manually",IF(OR(K2839="Unit", K2839=""), "", INDEX(LookUps!$E$5:$E$12, MATCH(OpenLCAbasic!K2839,LookUps!$D$5:$D$12,0))))</f>
        <v>Smog Formation Potential (SFP) - kg O3 eq</v>
      </c>
      <c r="M2839" s="154" t="str">
        <f t="shared" si="142"/>
        <v>High_Base_Upgraded_Smog Formation Potential (SFP) - kg O3 eq_Anaerobic Digestion; wastewater treatment unit; at updated plant - US_Base_With Amendment_Windrow</v>
      </c>
    </row>
    <row r="2840" spans="1:13" s="120" customFormat="1" x14ac:dyDescent="0.25">
      <c r="A2840" s="119"/>
      <c r="B2840" s="138" t="str">
        <f t="shared" si="140"/>
        <v>Windrow</v>
      </c>
      <c r="C2840" s="138" t="str">
        <f t="shared" si="141"/>
        <v>Base_With Amendment</v>
      </c>
      <c r="D2840" s="118" t="s">
        <v>130</v>
      </c>
      <c r="E2840" s="118" t="s">
        <v>181</v>
      </c>
      <c r="F2840" s="118" t="s">
        <v>46</v>
      </c>
      <c r="G2840" s="153" t="s">
        <v>51</v>
      </c>
      <c r="H2840" s="154"/>
      <c r="I2840" s="154" t="s">
        <v>47</v>
      </c>
      <c r="J2840" s="154" t="s">
        <v>52</v>
      </c>
      <c r="K2840" s="154" t="s">
        <v>27</v>
      </c>
      <c r="L2840" s="154" t="str">
        <f>IF(OpenLCAbasic!K2840="CTUh", "Fill in Manually",IF(OR(K2840="Unit", K2840=""), "", INDEX(LookUps!$E$5:$E$12, MATCH(OpenLCAbasic!K2840,LookUps!$D$5:$D$12,0))))</f>
        <v/>
      </c>
      <c r="M2840" s="154" t="str">
        <f t="shared" si="142"/>
        <v>High_Base_Upgraded__Process_Base_With Amendment_Windrow</v>
      </c>
    </row>
    <row r="2841" spans="1:13" s="120" customFormat="1" x14ac:dyDescent="0.25">
      <c r="A2841" s="119"/>
      <c r="B2841" s="138" t="str">
        <f t="shared" si="140"/>
        <v>Windrow</v>
      </c>
      <c r="C2841" s="138" t="str">
        <f t="shared" si="141"/>
        <v>Base_With Amendment</v>
      </c>
      <c r="D2841" s="118" t="s">
        <v>130</v>
      </c>
      <c r="E2841" s="118" t="s">
        <v>181</v>
      </c>
      <c r="F2841" s="118" t="s">
        <v>46</v>
      </c>
      <c r="G2841" s="153"/>
      <c r="H2841" s="155">
        <v>6.9386999999999999</v>
      </c>
      <c r="I2841" s="154" t="s">
        <v>167</v>
      </c>
      <c r="J2841" s="204">
        <v>2.3000000000000001E-4</v>
      </c>
      <c r="K2841" s="154" t="s">
        <v>26</v>
      </c>
      <c r="L2841" s="154" t="str">
        <f>IF(OpenLCAbasic!K2841="CTUh", "Fill in Manually",IF(OR(K2841="Unit", K2841=""), "", INDEX(LookUps!$E$5:$E$12, MATCH(OpenLCAbasic!K2841,LookUps!$D$5:$D$12,0))))</f>
        <v>Water Use (WU) - m3 H2O</v>
      </c>
      <c r="M2841" s="154" t="str">
        <f t="shared" si="142"/>
        <v>High_Base_Upgraded_Water Use (WU) - m3 H2O_Waste Receiving and Holding; wastewater treatment unit; at updated plant - US_Base_With Amendment_Windrow</v>
      </c>
    </row>
    <row r="2842" spans="1:13" s="120" customFormat="1" x14ac:dyDescent="0.25">
      <c r="A2842" s="119"/>
      <c r="B2842" s="138" t="str">
        <f t="shared" si="140"/>
        <v>Windrow</v>
      </c>
      <c r="C2842" s="138" t="str">
        <f t="shared" si="141"/>
        <v>Base_With Amendment</v>
      </c>
      <c r="D2842" s="118" t="s">
        <v>130</v>
      </c>
      <c r="E2842" s="118" t="s">
        <v>181</v>
      </c>
      <c r="F2842" s="118" t="s">
        <v>46</v>
      </c>
      <c r="G2842" s="153"/>
      <c r="H2842" s="155">
        <v>5.4904000000000002</v>
      </c>
      <c r="I2842" s="154" t="s">
        <v>147</v>
      </c>
      <c r="J2842" s="204">
        <v>1.8000000000000001E-4</v>
      </c>
      <c r="K2842" s="154" t="s">
        <v>26</v>
      </c>
      <c r="L2842" s="154" t="str">
        <f>IF(OpenLCAbasic!K2842="CTUh", "Fill in Manually",IF(OR(K2842="Unit", K2842=""), "", INDEX(LookUps!$E$5:$E$12, MATCH(OpenLCAbasic!K2842,LookUps!$D$5:$D$12,0))))</f>
        <v>Water Use (WU) - m3 H2O</v>
      </c>
      <c r="M2842" s="154" t="str">
        <f t="shared" si="142"/>
        <v>High_Base_Upgraded_Water Use (WU) - m3 H2O_Influent Pump Station; wastewater treatment unit; at updated plant - US_Base_With Amendment_Windrow</v>
      </c>
    </row>
    <row r="2843" spans="1:13" s="120" customFormat="1" x14ac:dyDescent="0.25">
      <c r="A2843" s="119"/>
      <c r="B2843" s="138" t="str">
        <f t="shared" si="140"/>
        <v>Windrow</v>
      </c>
      <c r="C2843" s="138" t="str">
        <f t="shared" si="141"/>
        <v>Base_With Amendment</v>
      </c>
      <c r="D2843" s="118" t="s">
        <v>130</v>
      </c>
      <c r="E2843" s="118" t="s">
        <v>181</v>
      </c>
      <c r="F2843" s="118" t="s">
        <v>46</v>
      </c>
      <c r="G2843" s="153"/>
      <c r="H2843" s="155">
        <v>5.3571</v>
      </c>
      <c r="I2843" s="154" t="s">
        <v>54</v>
      </c>
      <c r="J2843" s="204">
        <v>1.8000000000000001E-4</v>
      </c>
      <c r="K2843" s="154" t="s">
        <v>26</v>
      </c>
      <c r="L2843" s="154" t="str">
        <f>IF(OpenLCAbasic!K2843="CTUh", "Fill in Manually",IF(OR(K2843="Unit", K2843=""), "", INDEX(LookUps!$E$5:$E$12, MATCH(OpenLCAbasic!K2843,LookUps!$D$5:$D$12,0))))</f>
        <v>Water Use (WU) - m3 H2O</v>
      </c>
      <c r="M2843" s="154" t="str">
        <f t="shared" si="142"/>
        <v>High_Base_Upgraded_Water Use (WU) - m3 H2O_Clear Cove Primary Clarification; wastewater treatment unit; at updated plant - US_Base_With Amendment_Windrow</v>
      </c>
    </row>
    <row r="2844" spans="1:13" s="120" customFormat="1" x14ac:dyDescent="0.25">
      <c r="A2844" s="119"/>
      <c r="B2844" s="138" t="str">
        <f t="shared" si="140"/>
        <v>Windrow</v>
      </c>
      <c r="C2844" s="138" t="str">
        <f t="shared" si="141"/>
        <v>Base_With Amendment</v>
      </c>
      <c r="D2844" s="118" t="s">
        <v>130</v>
      </c>
      <c r="E2844" s="118" t="s">
        <v>181</v>
      </c>
      <c r="F2844" s="118" t="s">
        <v>46</v>
      </c>
      <c r="G2844" s="153"/>
      <c r="H2844" s="155">
        <v>4.8597999999999999</v>
      </c>
      <c r="I2844" s="154" t="s">
        <v>55</v>
      </c>
      <c r="J2844" s="204">
        <v>1.6000000000000001E-4</v>
      </c>
      <c r="K2844" s="154" t="s">
        <v>26</v>
      </c>
      <c r="L2844" s="154" t="str">
        <f>IF(OpenLCAbasic!K2844="CTUh", "Fill in Manually",IF(OR(K2844="Unit", K2844=""), "", INDEX(LookUps!$E$5:$E$12, MATCH(OpenLCAbasic!K2844,LookUps!$D$5:$D$12,0))))</f>
        <v>Water Use (WU) - m3 H2O</v>
      </c>
      <c r="M2844" s="154" t="str">
        <f t="shared" si="142"/>
        <v>High_Base_Upgraded_Water Use (WU) - m3 H2O_Aeration Tanks; wastewater treatment unit; at updated plant - US_Base_With Amendment_Windrow</v>
      </c>
    </row>
    <row r="2845" spans="1:13" s="120" customFormat="1" x14ac:dyDescent="0.25">
      <c r="A2845" s="119"/>
      <c r="B2845" s="138" t="str">
        <f t="shared" si="140"/>
        <v>Windrow</v>
      </c>
      <c r="C2845" s="138" t="str">
        <f t="shared" si="141"/>
        <v>Base_With Amendment</v>
      </c>
      <c r="D2845" s="118" t="s">
        <v>130</v>
      </c>
      <c r="E2845" s="118" t="s">
        <v>181</v>
      </c>
      <c r="F2845" s="118" t="s">
        <v>46</v>
      </c>
      <c r="G2845" s="153"/>
      <c r="H2845" s="155">
        <v>4.4268999999999998</v>
      </c>
      <c r="I2845" s="154" t="s">
        <v>148</v>
      </c>
      <c r="J2845" s="204">
        <v>1.4999999999999999E-4</v>
      </c>
      <c r="K2845" s="154" t="s">
        <v>26</v>
      </c>
      <c r="L2845" s="154" t="str">
        <f>IF(OpenLCAbasic!K2845="CTUh", "Fill in Manually",IF(OR(K2845="Unit", K2845=""), "", INDEX(LookUps!$E$5:$E$12, MATCH(OpenLCAbasic!K2845,LookUps!$D$5:$D$12,0))))</f>
        <v>Water Use (WU) - m3 H2O</v>
      </c>
      <c r="M2845" s="154" t="str">
        <f t="shared" si="142"/>
        <v>High_Base_Upgraded_Water Use (WU) - m3 H2O_Control Building; at upgraded wastewater treatment plant - US_Base_With Amendment_Windrow</v>
      </c>
    </row>
    <row r="2846" spans="1:13" s="120" customFormat="1" x14ac:dyDescent="0.25">
      <c r="A2846" s="119"/>
      <c r="B2846" s="138" t="str">
        <f t="shared" si="140"/>
        <v>Windrow</v>
      </c>
      <c r="C2846" s="138" t="str">
        <f t="shared" si="141"/>
        <v>Base_With Amendment</v>
      </c>
      <c r="D2846" s="118" t="s">
        <v>130</v>
      </c>
      <c r="E2846" s="118" t="s">
        <v>181</v>
      </c>
      <c r="F2846" s="118" t="s">
        <v>46</v>
      </c>
      <c r="G2846" s="153"/>
      <c r="H2846" s="155">
        <v>2.0556999999999999</v>
      </c>
      <c r="I2846" s="154" t="s">
        <v>48</v>
      </c>
      <c r="J2846" s="204">
        <v>6.8836400000000004E-5</v>
      </c>
      <c r="K2846" s="154" t="s">
        <v>26</v>
      </c>
      <c r="L2846" s="154" t="str">
        <f>IF(OpenLCAbasic!K2846="CTUh", "Fill in Manually",IF(OR(K2846="Unit", K2846=""), "", INDEX(LookUps!$E$5:$E$12, MATCH(OpenLCAbasic!K2846,LookUps!$D$5:$D$12,0))))</f>
        <v>Water Use (WU) - m3 H2O</v>
      </c>
      <c r="M2846" s="154" t="str">
        <f t="shared" si="142"/>
        <v>High_Base_Upgraded_Water Use (WU) - m3 H2O_Effluent release; wastewater treatment unit; at surface water; m3 wastewater - US_Base_With Amendment_Windrow</v>
      </c>
    </row>
    <row r="2847" spans="1:13" s="120" customFormat="1" x14ac:dyDescent="0.25">
      <c r="A2847" s="119"/>
      <c r="B2847" s="138" t="str">
        <f t="shared" si="140"/>
        <v>Windrow</v>
      </c>
      <c r="C2847" s="138" t="str">
        <f t="shared" si="141"/>
        <v>Base_With Amendment</v>
      </c>
      <c r="D2847" s="118" t="s">
        <v>130</v>
      </c>
      <c r="E2847" s="118" t="s">
        <v>181</v>
      </c>
      <c r="F2847" s="118" t="s">
        <v>46</v>
      </c>
      <c r="G2847" s="153"/>
      <c r="H2847" s="155">
        <v>1.2899</v>
      </c>
      <c r="I2847" s="154" t="s">
        <v>58</v>
      </c>
      <c r="J2847" s="204">
        <v>4.3192100000000003E-5</v>
      </c>
      <c r="K2847" s="154" t="s">
        <v>26</v>
      </c>
      <c r="L2847" s="154" t="str">
        <f>IF(OpenLCAbasic!K2847="CTUh", "Fill in Manually",IF(OR(K2847="Unit", K2847=""), "", INDEX(LookUps!$E$5:$E$12, MATCH(OpenLCAbasic!K2847,LookUps!$D$5:$D$12,0))))</f>
        <v>Water Use (WU) - m3 H2O</v>
      </c>
      <c r="M2847" s="154" t="str">
        <f t="shared" si="142"/>
        <v>High_Base_Upgraded_Water Use (WU) - m3 H2O_Pre-Anoxic &amp; Swing tank; wastewater treatment unit; at updated plant - US_Base_With Amendment_Windrow</v>
      </c>
    </row>
    <row r="2848" spans="1:13" s="120" customFormat="1" x14ac:dyDescent="0.25">
      <c r="A2848" s="119"/>
      <c r="B2848" s="138" t="str">
        <f t="shared" si="140"/>
        <v>Windrow</v>
      </c>
      <c r="C2848" s="138" t="str">
        <f t="shared" si="141"/>
        <v>Base_With Amendment</v>
      </c>
      <c r="D2848" s="118" t="s">
        <v>130</v>
      </c>
      <c r="E2848" s="118" t="s">
        <v>181</v>
      </c>
      <c r="F2848" s="118" t="s">
        <v>46</v>
      </c>
      <c r="G2848" s="153"/>
      <c r="H2848" s="155">
        <v>0.90810000000000002</v>
      </c>
      <c r="I2848" s="154" t="s">
        <v>57</v>
      </c>
      <c r="J2848" s="204">
        <v>3.0408100000000001E-5</v>
      </c>
      <c r="K2848" s="154" t="s">
        <v>26</v>
      </c>
      <c r="L2848" s="154" t="str">
        <f>IF(OpenLCAbasic!K2848="CTUh", "Fill in Manually",IF(OR(K2848="Unit", K2848=""), "", INDEX(LookUps!$E$5:$E$12, MATCH(OpenLCAbasic!K2848,LookUps!$D$5:$D$12,0))))</f>
        <v>Water Use (WU) - m3 H2O</v>
      </c>
      <c r="M2848" s="154" t="str">
        <f t="shared" si="142"/>
        <v>High_Base_Upgraded_Water Use (WU) - m3 H2O_Gravity Belt Thickener; wastewater treatment unit; at updated plant - US_Base_With Amendment_Windrow</v>
      </c>
    </row>
    <row r="2849" spans="1:13" s="120" customFormat="1" x14ac:dyDescent="0.25">
      <c r="A2849" s="119"/>
      <c r="B2849" s="138" t="str">
        <f t="shared" si="140"/>
        <v>Windrow</v>
      </c>
      <c r="C2849" s="138" t="str">
        <f t="shared" si="141"/>
        <v>Base_With Amendment</v>
      </c>
      <c r="D2849" s="118" t="s">
        <v>130</v>
      </c>
      <c r="E2849" s="118" t="s">
        <v>181</v>
      </c>
      <c r="F2849" s="118" t="s">
        <v>46</v>
      </c>
      <c r="G2849" s="153"/>
      <c r="H2849" s="155">
        <v>0.6552</v>
      </c>
      <c r="I2849" s="154" t="s">
        <v>60</v>
      </c>
      <c r="J2849" s="204">
        <v>2.1941099999999999E-5</v>
      </c>
      <c r="K2849" s="154" t="s">
        <v>26</v>
      </c>
      <c r="L2849" s="154" t="str">
        <f>IF(OpenLCAbasic!K2849="CTUh", "Fill in Manually",IF(OR(K2849="Unit", K2849=""), "", INDEX(LookUps!$E$5:$E$12, MATCH(OpenLCAbasic!K2849,LookUps!$D$5:$D$12,0))))</f>
        <v>Water Use (WU) - m3 H2O</v>
      </c>
      <c r="M2849" s="154" t="str">
        <f t="shared" si="142"/>
        <v>High_Base_Upgraded_Water Use (WU) - m3 H2O_Belt filter press; wastewater treatment unit; at updated plant - US_Base_With Amendment_Windrow</v>
      </c>
    </row>
    <row r="2850" spans="1:13" s="120" customFormat="1" x14ac:dyDescent="0.25">
      <c r="A2850" s="119"/>
      <c r="B2850" s="138" t="str">
        <f t="shared" si="140"/>
        <v>Windrow</v>
      </c>
      <c r="C2850" s="138" t="str">
        <f t="shared" si="141"/>
        <v>Base_With Amendment</v>
      </c>
      <c r="D2850" s="118" t="s">
        <v>130</v>
      </c>
      <c r="E2850" s="118" t="s">
        <v>181</v>
      </c>
      <c r="F2850" s="118" t="s">
        <v>46</v>
      </c>
      <c r="G2850" s="153"/>
      <c r="H2850" s="155">
        <v>0.52280000000000004</v>
      </c>
      <c r="I2850" s="154" t="s">
        <v>53</v>
      </c>
      <c r="J2850" s="204">
        <v>1.75069E-5</v>
      </c>
      <c r="K2850" s="154" t="s">
        <v>26</v>
      </c>
      <c r="L2850" s="154" t="str">
        <f>IF(OpenLCAbasic!K2850="CTUh", "Fill in Manually",IF(OR(K2850="Unit", K2850=""), "", INDEX(LookUps!$E$5:$E$12, MATCH(OpenLCAbasic!K2850,LookUps!$D$5:$D$12,0))))</f>
        <v>Water Use (WU) - m3 H2O</v>
      </c>
      <c r="M2850" s="154" t="str">
        <f t="shared" si="142"/>
        <v>High_Base_Upgraded_Water Use (WU) - m3 H2O_Wet Well and Sump Station; wastewater treatment unit; at updated plant - US_Base_With Amendment_Windrow</v>
      </c>
    </row>
    <row r="2851" spans="1:13" s="120" customFormat="1" x14ac:dyDescent="0.25">
      <c r="A2851" s="119"/>
      <c r="B2851" s="138" t="str">
        <f t="shared" si="140"/>
        <v>Windrow</v>
      </c>
      <c r="C2851" s="138" t="str">
        <f t="shared" si="141"/>
        <v>Base_With Amendment</v>
      </c>
      <c r="D2851" s="118" t="s">
        <v>130</v>
      </c>
      <c r="E2851" s="118" t="s">
        <v>181</v>
      </c>
      <c r="F2851" s="118" t="s">
        <v>46</v>
      </c>
      <c r="G2851" s="153"/>
      <c r="H2851" s="155">
        <v>0.36149999999999999</v>
      </c>
      <c r="I2851" s="154" t="s">
        <v>149</v>
      </c>
      <c r="J2851" s="204">
        <v>1.21043E-5</v>
      </c>
      <c r="K2851" s="154" t="s">
        <v>26</v>
      </c>
      <c r="L2851" s="154" t="str">
        <f>IF(OpenLCAbasic!K2851="CTUh", "Fill in Manually",IF(OR(K2851="Unit", K2851=""), "", INDEX(LookUps!$E$5:$E$12, MATCH(OpenLCAbasic!K2851,LookUps!$D$5:$D$12,0))))</f>
        <v>Water Use (WU) - m3 H2O</v>
      </c>
      <c r="M2851" s="154" t="str">
        <f t="shared" si="142"/>
        <v>High_Base_Upgraded_Water Use (WU) - m3 H2O_Anaerobic Digestion; wastewater treatment unit; at updated plant - US_Base_With Amendment_Windrow</v>
      </c>
    </row>
    <row r="2852" spans="1:13" s="120" customFormat="1" x14ac:dyDescent="0.25">
      <c r="A2852" s="119"/>
      <c r="B2852" s="138" t="str">
        <f t="shared" si="140"/>
        <v>Windrow</v>
      </c>
      <c r="C2852" s="138" t="str">
        <f t="shared" si="141"/>
        <v>Base_With Amendment</v>
      </c>
      <c r="D2852" s="118" t="s">
        <v>130</v>
      </c>
      <c r="E2852" s="118" t="s">
        <v>181</v>
      </c>
      <c r="F2852" s="118" t="s">
        <v>46</v>
      </c>
      <c r="G2852" s="153"/>
      <c r="H2852" s="155">
        <v>0.20960000000000001</v>
      </c>
      <c r="I2852" s="154" t="s">
        <v>59</v>
      </c>
      <c r="J2852" s="204">
        <v>7.0179500000000003E-6</v>
      </c>
      <c r="K2852" s="154" t="s">
        <v>26</v>
      </c>
      <c r="L2852" s="154" t="str">
        <f>IF(OpenLCAbasic!K2852="CTUh", "Fill in Manually",IF(OR(K2852="Unit", K2852=""), "", INDEX(LookUps!$E$5:$E$12, MATCH(OpenLCAbasic!K2852,LookUps!$D$5:$D$12,0))))</f>
        <v>Water Use (WU) - m3 H2O</v>
      </c>
      <c r="M2852" s="154" t="str">
        <f t="shared" si="142"/>
        <v>High_Base_Upgraded_Water Use (WU) - m3 H2O_Blend Tank; wastewater treatment unit; at updated plant - US_Base_With Amendment_Windrow</v>
      </c>
    </row>
    <row r="2853" spans="1:13" s="120" customFormat="1" x14ac:dyDescent="0.25">
      <c r="A2853" s="119"/>
      <c r="B2853" s="138" t="str">
        <f t="shared" si="140"/>
        <v>Windrow</v>
      </c>
      <c r="C2853" s="138" t="str">
        <f t="shared" si="141"/>
        <v>Base_With Amendment</v>
      </c>
      <c r="D2853" s="118" t="s">
        <v>130</v>
      </c>
      <c r="E2853" s="118" t="s">
        <v>181</v>
      </c>
      <c r="F2853" s="118" t="s">
        <v>46</v>
      </c>
      <c r="G2853" s="153"/>
      <c r="H2853" s="155">
        <v>0.15110000000000001</v>
      </c>
      <c r="I2853" s="154" t="s">
        <v>128</v>
      </c>
      <c r="J2853" s="204">
        <v>5.0608900000000003E-6</v>
      </c>
      <c r="K2853" s="154" t="s">
        <v>26</v>
      </c>
      <c r="L2853" s="154" t="str">
        <f>IF(OpenLCAbasic!K2853="CTUh", "Fill in Manually",IF(OR(K2853="Unit", K2853=""), "", INDEX(LookUps!$E$5:$E$12, MATCH(OpenLCAbasic!K2853,LookUps!$D$5:$D$12,0))))</f>
        <v>Water Use (WU) - m3 H2O</v>
      </c>
      <c r="M2853" s="154" t="str">
        <f t="shared" si="142"/>
        <v>High_Base_Upgraded_Water Use (WU) - m3 H2O_Wastewater collection; operation and infrastructure; m3 wastewater_Base_With Amendment_Windrow</v>
      </c>
    </row>
    <row r="2854" spans="1:13" s="120" customFormat="1" x14ac:dyDescent="0.25">
      <c r="A2854" s="119"/>
      <c r="B2854" s="138" t="str">
        <f t="shared" si="140"/>
        <v>Windrow</v>
      </c>
      <c r="C2854" s="138" t="str">
        <f t="shared" si="141"/>
        <v>Base_With Amendment</v>
      </c>
      <c r="D2854" s="118" t="s">
        <v>130</v>
      </c>
      <c r="E2854" s="118" t="s">
        <v>181</v>
      </c>
      <c r="F2854" s="118" t="s">
        <v>46</v>
      </c>
      <c r="G2854" s="153"/>
      <c r="H2854" s="155">
        <v>3.1899999999999998E-2</v>
      </c>
      <c r="I2854" s="154" t="s">
        <v>271</v>
      </c>
      <c r="J2854" s="204">
        <v>1.06952E-6</v>
      </c>
      <c r="K2854" s="154" t="s">
        <v>26</v>
      </c>
      <c r="L2854" s="154" t="str">
        <f>IF(OpenLCAbasic!K2854="CTUh", "Fill in Manually",IF(OR(K2854="Unit", K2854=""), "", INDEX(LookUps!$E$5:$E$12, MATCH(OpenLCAbasic!K2854,LookUps!$D$5:$D$12,0))))</f>
        <v>Water Use (WU) - m3 H2O</v>
      </c>
      <c r="M2854" s="154" t="str">
        <f t="shared" si="142"/>
        <v>High_Base_Upgraded_Water Use (WU) - m3 H2O_Biosolids composting; windrow composting; wastewater treatment unit; at updated plant - US_Base_With Amendment_Windrow</v>
      </c>
    </row>
    <row r="2855" spans="1:13" s="120" customFormat="1" x14ac:dyDescent="0.25">
      <c r="A2855" s="119"/>
      <c r="B2855" s="138" t="str">
        <f t="shared" si="140"/>
        <v>Windrow</v>
      </c>
      <c r="C2855" s="138" t="str">
        <f t="shared" si="141"/>
        <v>Base_With Amendment</v>
      </c>
      <c r="D2855" s="118" t="s">
        <v>130</v>
      </c>
      <c r="E2855" s="118" t="s">
        <v>181</v>
      </c>
      <c r="F2855" s="118" t="s">
        <v>46</v>
      </c>
      <c r="G2855" s="153"/>
      <c r="H2855" s="155">
        <v>2.29E-2</v>
      </c>
      <c r="I2855" s="154" t="s">
        <v>168</v>
      </c>
      <c r="J2855" s="204">
        <v>7.6697000000000004E-7</v>
      </c>
      <c r="K2855" s="154" t="s">
        <v>26</v>
      </c>
      <c r="L2855" s="154" t="str">
        <f>IF(OpenLCAbasic!K2855="CTUh", "Fill in Manually",IF(OR(K2855="Unit", K2855=""), "", INDEX(LookUps!$E$5:$E$12, MATCH(OpenLCAbasic!K2855,LookUps!$D$5:$D$12,0))))</f>
        <v>Water Use (WU) - m3 H2O</v>
      </c>
      <c r="M2855" s="154" t="str">
        <f t="shared" si="142"/>
        <v>High_Base_Upgraded_Water Use (WU) - m3 H2O_ClearCove SCP; wastewater treatment unit; at updated plant - US_Base_With Amendment_Windrow</v>
      </c>
    </row>
    <row r="2856" spans="1:13" s="120" customFormat="1" ht="13.5" customHeight="1" x14ac:dyDescent="0.25">
      <c r="A2856" s="119"/>
      <c r="B2856" s="138" t="str">
        <f t="shared" si="140"/>
        <v>Windrow</v>
      </c>
      <c r="C2856" s="138" t="str">
        <f t="shared" si="141"/>
        <v>Base_With Amendment</v>
      </c>
      <c r="D2856" s="118" t="s">
        <v>130</v>
      </c>
      <c r="E2856" s="118" t="s">
        <v>181</v>
      </c>
      <c r="F2856" s="118" t="s">
        <v>46</v>
      </c>
      <c r="G2856" s="153"/>
      <c r="H2856" s="155">
        <v>-34.281700000000001</v>
      </c>
      <c r="I2856" s="154" t="s">
        <v>62</v>
      </c>
      <c r="J2856" s="204">
        <v>-1.15E-3</v>
      </c>
      <c r="K2856" s="154" t="s">
        <v>26</v>
      </c>
      <c r="L2856" s="154" t="str">
        <f>IF(OpenLCAbasic!K2856="CTUh", "Fill in Manually",IF(OR(K2856="Unit", K2856=""), "", INDEX(LookUps!$E$5:$E$12, MATCH(OpenLCAbasic!K2856,LookUps!$D$5:$D$12,0))))</f>
        <v>Water Use (WU) - m3 H2O</v>
      </c>
      <c r="M2856" s="154" t="str">
        <f t="shared" si="142"/>
        <v>High_Base_Upgraded_Water Use (WU) - m3 H2O_Land application of compost; wastewater treatment unit; at updated plant - US_Base_With Amendment_Windrow</v>
      </c>
    </row>
    <row r="2857" spans="1:13" s="120" customFormat="1" x14ac:dyDescent="0.25">
      <c r="A2857" s="119"/>
      <c r="B2857" s="138" t="str">
        <f t="shared" si="140"/>
        <v/>
      </c>
      <c r="C2857" s="138" t="str">
        <f t="shared" si="141"/>
        <v/>
      </c>
      <c r="D2857" s="138"/>
      <c r="E2857" s="138"/>
      <c r="F2857" s="138"/>
      <c r="G2857" s="153"/>
      <c r="H2857" s="160"/>
      <c r="I2857" s="160"/>
      <c r="J2857" s="207"/>
      <c r="K2857" s="160"/>
      <c r="L2857" s="154" t="str">
        <f>IF(OpenLCAbasic!K2857="CTUh", "Fill in Manually",IF(OR(K2857="Unit", K2857=""), "", INDEX(LookUps!$E$5:$E$12, MATCH(OpenLCAbasic!K2857,LookUps!$D$5:$D$12,0))))</f>
        <v/>
      </c>
      <c r="M2857" s="154" t="str">
        <f t="shared" si="142"/>
        <v>______</v>
      </c>
    </row>
    <row r="2858" spans="1:13" s="120" customFormat="1" x14ac:dyDescent="0.25">
      <c r="A2858" s="119"/>
      <c r="B2858" s="138" t="str">
        <f t="shared" si="140"/>
        <v>Windrow</v>
      </c>
      <c r="C2858" s="138" t="str">
        <f t="shared" si="141"/>
        <v>Base_With Amendment</v>
      </c>
      <c r="D2858" s="118" t="s">
        <v>134</v>
      </c>
      <c r="E2858" s="118" t="s">
        <v>181</v>
      </c>
      <c r="F2858" s="118" t="s">
        <v>46</v>
      </c>
      <c r="G2858" s="153" t="s">
        <v>51</v>
      </c>
      <c r="H2858" s="154"/>
      <c r="I2858" s="154" t="s">
        <v>47</v>
      </c>
      <c r="J2858" s="154" t="s">
        <v>52</v>
      </c>
      <c r="K2858" s="154" t="s">
        <v>27</v>
      </c>
      <c r="L2858" s="154" t="str">
        <f>IF(OpenLCAbasic!K2858="CTUh", "Fill in Manually",IF(OR(K2858="Unit", K2858=""), "", INDEX(LookUps!$E$5:$E$12, MATCH(OpenLCAbasic!K2858,LookUps!$D$5:$D$12,0))))</f>
        <v/>
      </c>
      <c r="M2858" s="154" t="str">
        <f t="shared" si="142"/>
        <v>High_Base_High_Upgraded__Process_Base_With Amendment_Windrow</v>
      </c>
    </row>
    <row r="2859" spans="1:13" s="120" customFormat="1" x14ac:dyDescent="0.25">
      <c r="A2859" s="119"/>
      <c r="B2859" s="138" t="str">
        <f t="shared" si="140"/>
        <v>Windrow</v>
      </c>
      <c r="C2859" s="138" t="str">
        <f t="shared" si="141"/>
        <v>Base_With Amendment</v>
      </c>
      <c r="D2859" s="118" t="s">
        <v>134</v>
      </c>
      <c r="E2859" s="118" t="s">
        <v>181</v>
      </c>
      <c r="F2859" s="118" t="s">
        <v>46</v>
      </c>
      <c r="G2859" s="153"/>
      <c r="H2859" s="155">
        <v>1.093</v>
      </c>
      <c r="I2859" s="154" t="s">
        <v>271</v>
      </c>
      <c r="J2859" s="157">
        <v>1.51973</v>
      </c>
      <c r="K2859" s="154" t="s">
        <v>23</v>
      </c>
      <c r="L2859" s="154" t="str">
        <f>IF(OpenLCAbasic!K2859="CTUh", "Fill in Manually",IF(OR(K2859="Unit", K2859=""), "", INDEX(LookUps!$E$5:$E$12, MATCH(OpenLCAbasic!K2859,LookUps!$D$5:$D$12,0))))</f>
        <v>Global Warming Potential (GWP) - kg CO2 eq</v>
      </c>
      <c r="M2859" s="154" t="str">
        <f t="shared" si="142"/>
        <v>High_Base_High_Upgraded_Global Warming Potential (GWP) - kg CO2 eq_Biosolids composting; windrow composting; wastewater treatment unit; at updated plant - US_Base_With Amendment_Windrow</v>
      </c>
    </row>
    <row r="2860" spans="1:13" s="120" customFormat="1" x14ac:dyDescent="0.25">
      <c r="A2860" s="119"/>
      <c r="B2860" s="138" t="str">
        <f t="shared" si="140"/>
        <v>Windrow</v>
      </c>
      <c r="C2860" s="138" t="str">
        <f t="shared" si="141"/>
        <v>Base_With Amendment</v>
      </c>
      <c r="D2860" s="118" t="s">
        <v>134</v>
      </c>
      <c r="E2860" s="118" t="s">
        <v>181</v>
      </c>
      <c r="F2860" s="118" t="s">
        <v>46</v>
      </c>
      <c r="G2860" s="153"/>
      <c r="H2860" s="155">
        <v>0.17460000000000001</v>
      </c>
      <c r="I2860" s="154" t="s">
        <v>58</v>
      </c>
      <c r="J2860" s="203">
        <v>0.24279999999999999</v>
      </c>
      <c r="K2860" s="154" t="s">
        <v>23</v>
      </c>
      <c r="L2860" s="154" t="str">
        <f>IF(OpenLCAbasic!K2860="CTUh", "Fill in Manually",IF(OR(K2860="Unit", K2860=""), "", INDEX(LookUps!$E$5:$E$12, MATCH(OpenLCAbasic!K2860,LookUps!$D$5:$D$12,0))))</f>
        <v>Global Warming Potential (GWP) - kg CO2 eq</v>
      </c>
      <c r="M2860" s="154" t="str">
        <f t="shared" si="142"/>
        <v>High_Base_High_Upgraded_Global Warming Potential (GWP) - kg CO2 eq_Pre-Anoxic &amp; Swing tank; wastewater treatment unit; at updated plant - US_Base_With Amendment_Windrow</v>
      </c>
    </row>
    <row r="2861" spans="1:13" s="120" customFormat="1" x14ac:dyDescent="0.25">
      <c r="A2861" s="119"/>
      <c r="B2861" s="138" t="str">
        <f t="shared" si="140"/>
        <v>Windrow</v>
      </c>
      <c r="C2861" s="138" t="str">
        <f t="shared" si="141"/>
        <v>Base_With Amendment</v>
      </c>
      <c r="D2861" s="118" t="s">
        <v>134</v>
      </c>
      <c r="E2861" s="118" t="s">
        <v>181</v>
      </c>
      <c r="F2861" s="118" t="s">
        <v>46</v>
      </c>
      <c r="G2861" s="153"/>
      <c r="H2861" s="155">
        <v>0.121</v>
      </c>
      <c r="I2861" s="154" t="s">
        <v>55</v>
      </c>
      <c r="J2861" s="203">
        <v>0.16822000000000001</v>
      </c>
      <c r="K2861" s="154" t="s">
        <v>23</v>
      </c>
      <c r="L2861" s="154" t="str">
        <f>IF(OpenLCAbasic!K2861="CTUh", "Fill in Manually",IF(OR(K2861="Unit", K2861=""), "", INDEX(LookUps!$E$5:$E$12, MATCH(OpenLCAbasic!K2861,LookUps!$D$5:$D$12,0))))</f>
        <v>Global Warming Potential (GWP) - kg CO2 eq</v>
      </c>
      <c r="M2861" s="154" t="str">
        <f t="shared" si="142"/>
        <v>High_Base_High_Upgraded_Global Warming Potential (GWP) - kg CO2 eq_Aeration Tanks; wastewater treatment unit; at updated plant - US_Base_With Amendment_Windrow</v>
      </c>
    </row>
    <row r="2862" spans="1:13" s="120" customFormat="1" x14ac:dyDescent="0.25">
      <c r="A2862" s="119"/>
      <c r="B2862" s="138" t="str">
        <f t="shared" si="140"/>
        <v>Windrow</v>
      </c>
      <c r="C2862" s="138" t="str">
        <f t="shared" si="141"/>
        <v>Base_With Amendment</v>
      </c>
      <c r="D2862" s="118" t="s">
        <v>134</v>
      </c>
      <c r="E2862" s="118" t="s">
        <v>181</v>
      </c>
      <c r="F2862" s="118" t="s">
        <v>46</v>
      </c>
      <c r="G2862" s="153"/>
      <c r="H2862" s="155">
        <v>7.3700000000000002E-2</v>
      </c>
      <c r="I2862" s="154" t="s">
        <v>167</v>
      </c>
      <c r="J2862" s="203">
        <v>0.10241</v>
      </c>
      <c r="K2862" s="154" t="s">
        <v>23</v>
      </c>
      <c r="L2862" s="154" t="str">
        <f>IF(OpenLCAbasic!K2862="CTUh", "Fill in Manually",IF(OR(K2862="Unit", K2862=""), "", INDEX(LookUps!$E$5:$E$12, MATCH(OpenLCAbasic!K2862,LookUps!$D$5:$D$12,0))))</f>
        <v>Global Warming Potential (GWP) - kg CO2 eq</v>
      </c>
      <c r="M2862" s="154" t="str">
        <f t="shared" si="142"/>
        <v>High_Base_High_Upgraded_Global Warming Potential (GWP) - kg CO2 eq_Waste Receiving and Holding; wastewater treatment unit; at updated plant - US_Base_With Amendment_Windrow</v>
      </c>
    </row>
    <row r="2863" spans="1:13" s="120" customFormat="1" x14ac:dyDescent="0.25">
      <c r="A2863" s="119"/>
      <c r="B2863" s="138" t="str">
        <f t="shared" si="140"/>
        <v>Windrow</v>
      </c>
      <c r="C2863" s="138" t="str">
        <f t="shared" si="141"/>
        <v>Base_With Amendment</v>
      </c>
      <c r="D2863" s="118" t="s">
        <v>134</v>
      </c>
      <c r="E2863" s="118" t="s">
        <v>181</v>
      </c>
      <c r="F2863" s="118" t="s">
        <v>46</v>
      </c>
      <c r="G2863" s="153"/>
      <c r="H2863" s="155">
        <v>4.1099999999999998E-2</v>
      </c>
      <c r="I2863" s="154" t="s">
        <v>54</v>
      </c>
      <c r="J2863" s="203">
        <v>5.7079999999999999E-2</v>
      </c>
      <c r="K2863" s="154" t="s">
        <v>23</v>
      </c>
      <c r="L2863" s="154" t="str">
        <f>IF(OpenLCAbasic!K2863="CTUh", "Fill in Manually",IF(OR(K2863="Unit", K2863=""), "", INDEX(LookUps!$E$5:$E$12, MATCH(OpenLCAbasic!K2863,LookUps!$D$5:$D$12,0))))</f>
        <v>Global Warming Potential (GWP) - kg CO2 eq</v>
      </c>
      <c r="M2863" s="154" t="str">
        <f t="shared" si="142"/>
        <v>High_Base_High_Upgraded_Global Warming Potential (GWP) - kg CO2 eq_Clear Cove Primary Clarification; wastewater treatment unit; at updated plant - US_Base_With Amendment_Windrow</v>
      </c>
    </row>
    <row r="2864" spans="1:13" s="120" customFormat="1" x14ac:dyDescent="0.25">
      <c r="A2864" s="119"/>
      <c r="B2864" s="138" t="str">
        <f t="shared" si="140"/>
        <v>Windrow</v>
      </c>
      <c r="C2864" s="138" t="str">
        <f t="shared" si="141"/>
        <v>Base_With Amendment</v>
      </c>
      <c r="D2864" s="118" t="s">
        <v>134</v>
      </c>
      <c r="E2864" s="118" t="s">
        <v>181</v>
      </c>
      <c r="F2864" s="118" t="s">
        <v>46</v>
      </c>
      <c r="G2864" s="153"/>
      <c r="H2864" s="155">
        <v>3.7900000000000003E-2</v>
      </c>
      <c r="I2864" s="154" t="s">
        <v>48</v>
      </c>
      <c r="J2864" s="203">
        <v>5.2639999999999999E-2</v>
      </c>
      <c r="K2864" s="154" t="s">
        <v>23</v>
      </c>
      <c r="L2864" s="154" t="str">
        <f>IF(OpenLCAbasic!K2864="CTUh", "Fill in Manually",IF(OR(K2864="Unit", K2864=""), "", INDEX(LookUps!$E$5:$E$12, MATCH(OpenLCAbasic!K2864,LookUps!$D$5:$D$12,0))))</f>
        <v>Global Warming Potential (GWP) - kg CO2 eq</v>
      </c>
      <c r="M2864" s="154" t="str">
        <f t="shared" si="142"/>
        <v>High_Base_High_Upgraded_Global Warming Potential (GWP) - kg CO2 eq_Effluent release; wastewater treatment unit; at surface water; m3 wastewater - US_Base_With Amendment_Windrow</v>
      </c>
    </row>
    <row r="2865" spans="1:13" s="120" customFormat="1" x14ac:dyDescent="0.25">
      <c r="A2865" s="119"/>
      <c r="B2865" s="138" t="str">
        <f t="shared" si="140"/>
        <v>Windrow</v>
      </c>
      <c r="C2865" s="138" t="str">
        <f t="shared" si="141"/>
        <v>Base_With Amendment</v>
      </c>
      <c r="D2865" s="118" t="s">
        <v>134</v>
      </c>
      <c r="E2865" s="118" t="s">
        <v>181</v>
      </c>
      <c r="F2865" s="118" t="s">
        <v>46</v>
      </c>
      <c r="G2865" s="153"/>
      <c r="H2865" s="155">
        <v>3.6299999999999999E-2</v>
      </c>
      <c r="I2865" s="154" t="s">
        <v>147</v>
      </c>
      <c r="J2865" s="203">
        <v>5.0500000000000003E-2</v>
      </c>
      <c r="K2865" s="154" t="s">
        <v>23</v>
      </c>
      <c r="L2865" s="154" t="str">
        <f>IF(OpenLCAbasic!K2865="CTUh", "Fill in Manually",IF(OR(K2865="Unit", K2865=""), "", INDEX(LookUps!$E$5:$E$12, MATCH(OpenLCAbasic!K2865,LookUps!$D$5:$D$12,0))))</f>
        <v>Global Warming Potential (GWP) - kg CO2 eq</v>
      </c>
      <c r="M2865" s="154" t="str">
        <f t="shared" si="142"/>
        <v>High_Base_High_Upgraded_Global Warming Potential (GWP) - kg CO2 eq_Influent Pump Station; wastewater treatment unit; at updated plant - US_Base_With Amendment_Windrow</v>
      </c>
    </row>
    <row r="2866" spans="1:13" s="120" customFormat="1" x14ac:dyDescent="0.25">
      <c r="A2866" s="119"/>
      <c r="B2866" s="138" t="str">
        <f t="shared" si="140"/>
        <v>Windrow</v>
      </c>
      <c r="C2866" s="138" t="str">
        <f t="shared" si="141"/>
        <v>Base_With Amendment</v>
      </c>
      <c r="D2866" s="118" t="s">
        <v>134</v>
      </c>
      <c r="E2866" s="118" t="s">
        <v>181</v>
      </c>
      <c r="F2866" s="118" t="s">
        <v>46</v>
      </c>
      <c r="G2866" s="153"/>
      <c r="H2866" s="155">
        <v>2.3900000000000001E-2</v>
      </c>
      <c r="I2866" s="154" t="s">
        <v>53</v>
      </c>
      <c r="J2866" s="203">
        <v>3.3259999999999998E-2</v>
      </c>
      <c r="K2866" s="154" t="s">
        <v>23</v>
      </c>
      <c r="L2866" s="154" t="str">
        <f>IF(OpenLCAbasic!K2866="CTUh", "Fill in Manually",IF(OR(K2866="Unit", K2866=""), "", INDEX(LookUps!$E$5:$E$12, MATCH(OpenLCAbasic!K2866,LookUps!$D$5:$D$12,0))))</f>
        <v>Global Warming Potential (GWP) - kg CO2 eq</v>
      </c>
      <c r="M2866" s="154" t="str">
        <f t="shared" si="142"/>
        <v>High_Base_High_Upgraded_Global Warming Potential (GWP) - kg CO2 eq_Wet Well and Sump Station; wastewater treatment unit; at updated plant - US_Base_With Amendment_Windrow</v>
      </c>
    </row>
    <row r="2867" spans="1:13" s="120" customFormat="1" x14ac:dyDescent="0.25">
      <c r="A2867" s="119"/>
      <c r="B2867" s="138" t="str">
        <f t="shared" si="140"/>
        <v>Windrow</v>
      </c>
      <c r="C2867" s="138" t="str">
        <f t="shared" si="141"/>
        <v>Base_With Amendment</v>
      </c>
      <c r="D2867" s="118" t="s">
        <v>134</v>
      </c>
      <c r="E2867" s="118" t="s">
        <v>181</v>
      </c>
      <c r="F2867" s="118" t="s">
        <v>46</v>
      </c>
      <c r="G2867" s="153"/>
      <c r="H2867" s="155">
        <v>1.0500000000000001E-2</v>
      </c>
      <c r="I2867" s="154" t="s">
        <v>57</v>
      </c>
      <c r="J2867" s="203">
        <v>1.455E-2</v>
      </c>
      <c r="K2867" s="154" t="s">
        <v>23</v>
      </c>
      <c r="L2867" s="154" t="str">
        <f>IF(OpenLCAbasic!K2867="CTUh", "Fill in Manually",IF(OR(K2867="Unit", K2867=""), "", INDEX(LookUps!$E$5:$E$12, MATCH(OpenLCAbasic!K2867,LookUps!$D$5:$D$12,0))))</f>
        <v>Global Warming Potential (GWP) - kg CO2 eq</v>
      </c>
      <c r="M2867" s="154" t="str">
        <f t="shared" si="142"/>
        <v>High_Base_High_Upgraded_Global Warming Potential (GWP) - kg CO2 eq_Gravity Belt Thickener; wastewater treatment unit; at updated plant - US_Base_With Amendment_Windrow</v>
      </c>
    </row>
    <row r="2868" spans="1:13" s="120" customFormat="1" x14ac:dyDescent="0.25">
      <c r="A2868" s="119"/>
      <c r="B2868" s="138" t="str">
        <f t="shared" si="140"/>
        <v>Windrow</v>
      </c>
      <c r="C2868" s="138" t="str">
        <f t="shared" si="141"/>
        <v>Base_With Amendment</v>
      </c>
      <c r="D2868" s="118" t="s">
        <v>134</v>
      </c>
      <c r="E2868" s="118" t="s">
        <v>181</v>
      </c>
      <c r="F2868" s="118" t="s">
        <v>46</v>
      </c>
      <c r="G2868" s="153"/>
      <c r="H2868" s="155">
        <v>9.7000000000000003E-3</v>
      </c>
      <c r="I2868" s="154" t="s">
        <v>128</v>
      </c>
      <c r="J2868" s="203">
        <v>1.3509999999999999E-2</v>
      </c>
      <c r="K2868" s="154" t="s">
        <v>23</v>
      </c>
      <c r="L2868" s="154" t="str">
        <f>IF(OpenLCAbasic!K2868="CTUh", "Fill in Manually",IF(OR(K2868="Unit", K2868=""), "", INDEX(LookUps!$E$5:$E$12, MATCH(OpenLCAbasic!K2868,LookUps!$D$5:$D$12,0))))</f>
        <v>Global Warming Potential (GWP) - kg CO2 eq</v>
      </c>
      <c r="M2868" s="154" t="str">
        <f t="shared" si="142"/>
        <v>High_Base_High_Upgraded_Global Warming Potential (GWP) - kg CO2 eq_Wastewater collection; operation and infrastructure; m3 wastewater_Base_With Amendment_Windrow</v>
      </c>
    </row>
    <row r="2869" spans="1:13" s="120" customFormat="1" x14ac:dyDescent="0.25">
      <c r="A2869" s="119"/>
      <c r="B2869" s="138" t="str">
        <f t="shared" si="140"/>
        <v>Windrow</v>
      </c>
      <c r="C2869" s="138" t="str">
        <f t="shared" si="141"/>
        <v>Base_With Amendment</v>
      </c>
      <c r="D2869" s="118" t="s">
        <v>134</v>
      </c>
      <c r="E2869" s="118" t="s">
        <v>181</v>
      </c>
      <c r="F2869" s="118" t="s">
        <v>46</v>
      </c>
      <c r="G2869" s="153"/>
      <c r="H2869" s="155">
        <v>8.8999999999999999E-3</v>
      </c>
      <c r="I2869" s="154" t="s">
        <v>60</v>
      </c>
      <c r="J2869" s="204">
        <v>1.231E-2</v>
      </c>
      <c r="K2869" s="154" t="s">
        <v>23</v>
      </c>
      <c r="L2869" s="154" t="str">
        <f>IF(OpenLCAbasic!K2869="CTUh", "Fill in Manually",IF(OR(K2869="Unit", K2869=""), "", INDEX(LookUps!$E$5:$E$12, MATCH(OpenLCAbasic!K2869,LookUps!$D$5:$D$12,0))))</f>
        <v>Global Warming Potential (GWP) - kg CO2 eq</v>
      </c>
      <c r="M2869" s="154" t="str">
        <f t="shared" si="142"/>
        <v>High_Base_High_Upgraded_Global Warming Potential (GWP) - kg CO2 eq_Belt filter press; wastewater treatment unit; at updated plant - US_Base_With Amendment_Windrow</v>
      </c>
    </row>
    <row r="2870" spans="1:13" s="120" customFormat="1" x14ac:dyDescent="0.25">
      <c r="A2870" s="119"/>
      <c r="B2870" s="138" t="str">
        <f t="shared" si="140"/>
        <v>Windrow</v>
      </c>
      <c r="C2870" s="138" t="str">
        <f t="shared" si="141"/>
        <v>Base_With Amendment</v>
      </c>
      <c r="D2870" s="118" t="s">
        <v>134</v>
      </c>
      <c r="E2870" s="118" t="s">
        <v>181</v>
      </c>
      <c r="F2870" s="118" t="s">
        <v>46</v>
      </c>
      <c r="G2870" s="153"/>
      <c r="H2870" s="155">
        <v>6.0000000000000001E-3</v>
      </c>
      <c r="I2870" s="154" t="s">
        <v>148</v>
      </c>
      <c r="J2870" s="204">
        <v>8.3000000000000001E-3</v>
      </c>
      <c r="K2870" s="154" t="s">
        <v>23</v>
      </c>
      <c r="L2870" s="154" t="str">
        <f>IF(OpenLCAbasic!K2870="CTUh", "Fill in Manually",IF(OR(K2870="Unit", K2870=""), "", INDEX(LookUps!$E$5:$E$12, MATCH(OpenLCAbasic!K2870,LookUps!$D$5:$D$12,0))))</f>
        <v>Global Warming Potential (GWP) - kg CO2 eq</v>
      </c>
      <c r="M2870" s="154" t="str">
        <f t="shared" si="142"/>
        <v>High_Base_High_Upgraded_Global Warming Potential (GWP) - kg CO2 eq_Control Building; at upgraded wastewater treatment plant - US_Base_With Amendment_Windrow</v>
      </c>
    </row>
    <row r="2871" spans="1:13" s="120" customFormat="1" x14ac:dyDescent="0.25">
      <c r="A2871" s="119"/>
      <c r="B2871" s="138" t="str">
        <f t="shared" si="140"/>
        <v>Windrow</v>
      </c>
      <c r="C2871" s="138" t="str">
        <f t="shared" si="141"/>
        <v>Base_With Amendment</v>
      </c>
      <c r="D2871" s="118" t="s">
        <v>134</v>
      </c>
      <c r="E2871" s="118" t="s">
        <v>181</v>
      </c>
      <c r="F2871" s="118" t="s">
        <v>46</v>
      </c>
      <c r="G2871" s="153"/>
      <c r="H2871" s="155">
        <v>3.5999999999999999E-3</v>
      </c>
      <c r="I2871" s="154" t="s">
        <v>59</v>
      </c>
      <c r="J2871" s="204">
        <v>5.0400000000000002E-3</v>
      </c>
      <c r="K2871" s="154" t="s">
        <v>23</v>
      </c>
      <c r="L2871" s="154" t="str">
        <f>IF(OpenLCAbasic!K2871="CTUh", "Fill in Manually",IF(OR(K2871="Unit", K2871=""), "", INDEX(LookUps!$E$5:$E$12, MATCH(OpenLCAbasic!K2871,LookUps!$D$5:$D$12,0))))</f>
        <v>Global Warming Potential (GWP) - kg CO2 eq</v>
      </c>
      <c r="M2871" s="154" t="str">
        <f t="shared" si="142"/>
        <v>High_Base_High_Upgraded_Global Warming Potential (GWP) - kg CO2 eq_Blend Tank; wastewater treatment unit; at updated plant - US_Base_With Amendment_Windrow</v>
      </c>
    </row>
    <row r="2872" spans="1:13" s="120" customFormat="1" x14ac:dyDescent="0.25">
      <c r="A2872" s="119"/>
      <c r="B2872" s="138" t="str">
        <f t="shared" si="140"/>
        <v>Windrow</v>
      </c>
      <c r="C2872" s="138" t="str">
        <f t="shared" si="141"/>
        <v>Base_With Amendment</v>
      </c>
      <c r="D2872" s="118" t="s">
        <v>134</v>
      </c>
      <c r="E2872" s="118" t="s">
        <v>181</v>
      </c>
      <c r="F2872" s="118" t="s">
        <v>46</v>
      </c>
      <c r="G2872" s="153"/>
      <c r="H2872" s="155">
        <v>1.6999999999999999E-3</v>
      </c>
      <c r="I2872" s="154" t="s">
        <v>168</v>
      </c>
      <c r="J2872" s="204">
        <v>2.4099999999999998E-3</v>
      </c>
      <c r="K2872" s="154" t="s">
        <v>23</v>
      </c>
      <c r="L2872" s="154" t="str">
        <f>IF(OpenLCAbasic!K2872="CTUh", "Fill in Manually",IF(OR(K2872="Unit", K2872=""), "", INDEX(LookUps!$E$5:$E$12, MATCH(OpenLCAbasic!K2872,LookUps!$D$5:$D$12,0))))</f>
        <v>Global Warming Potential (GWP) - kg CO2 eq</v>
      </c>
      <c r="M2872" s="154" t="str">
        <f t="shared" si="142"/>
        <v>High_Base_High_Upgraded_Global Warming Potential (GWP) - kg CO2 eq_ClearCove SCP; wastewater treatment unit; at updated plant - US_Base_With Amendment_Windrow</v>
      </c>
    </row>
    <row r="2873" spans="1:13" s="120" customFormat="1" x14ac:dyDescent="0.25">
      <c r="A2873" s="119"/>
      <c r="B2873" s="138" t="str">
        <f t="shared" si="140"/>
        <v>Windrow</v>
      </c>
      <c r="C2873" s="138" t="str">
        <f t="shared" si="141"/>
        <v>Base_With Amendment</v>
      </c>
      <c r="D2873" s="118" t="s">
        <v>134</v>
      </c>
      <c r="E2873" s="118" t="s">
        <v>181</v>
      </c>
      <c r="F2873" s="118" t="s">
        <v>46</v>
      </c>
      <c r="G2873" s="153"/>
      <c r="H2873" s="155">
        <v>-0.31869999999999998</v>
      </c>
      <c r="I2873" s="154" t="s">
        <v>62</v>
      </c>
      <c r="J2873" s="203">
        <v>-0.44319999999999998</v>
      </c>
      <c r="K2873" s="154" t="s">
        <v>23</v>
      </c>
      <c r="L2873" s="154" t="str">
        <f>IF(OpenLCAbasic!K2873="CTUh", "Fill in Manually",IF(OR(K2873="Unit", K2873=""), "", INDEX(LookUps!$E$5:$E$12, MATCH(OpenLCAbasic!K2873,LookUps!$D$5:$D$12,0))))</f>
        <v>Global Warming Potential (GWP) - kg CO2 eq</v>
      </c>
      <c r="M2873" s="154" t="str">
        <f t="shared" si="142"/>
        <v>High_Base_High_Upgraded_Global Warming Potential (GWP) - kg CO2 eq_Land application of compost; wastewater treatment unit; at updated plant - US_Base_With Amendment_Windrow</v>
      </c>
    </row>
    <row r="2874" spans="1:13" s="120" customFormat="1" x14ac:dyDescent="0.25">
      <c r="A2874" s="119"/>
      <c r="B2874" s="138" t="str">
        <f t="shared" si="140"/>
        <v>Windrow</v>
      </c>
      <c r="C2874" s="138" t="str">
        <f t="shared" si="141"/>
        <v>Base_With Amendment</v>
      </c>
      <c r="D2874" s="118" t="s">
        <v>134</v>
      </c>
      <c r="E2874" s="118" t="s">
        <v>181</v>
      </c>
      <c r="F2874" s="118" t="s">
        <v>46</v>
      </c>
      <c r="G2874" s="153"/>
      <c r="H2874" s="155">
        <v>-0.32300000000000001</v>
      </c>
      <c r="I2874" s="154" t="s">
        <v>149</v>
      </c>
      <c r="J2874" s="203">
        <v>-0.44908999999999999</v>
      </c>
      <c r="K2874" s="154" t="s">
        <v>23</v>
      </c>
      <c r="L2874" s="154" t="str">
        <f>IF(OpenLCAbasic!K2874="CTUh", "Fill in Manually",IF(OR(K2874="Unit", K2874=""), "", INDEX(LookUps!$E$5:$E$12, MATCH(OpenLCAbasic!K2874,LookUps!$D$5:$D$12,0))))</f>
        <v>Global Warming Potential (GWP) - kg CO2 eq</v>
      </c>
      <c r="M2874" s="154" t="str">
        <f t="shared" si="142"/>
        <v>High_Base_High_Upgraded_Global Warming Potential (GWP) - kg CO2 eq_Anaerobic Digestion; wastewater treatment unit; at updated plant - US_Base_With Amendment_Windrow</v>
      </c>
    </row>
    <row r="2875" spans="1:13" s="120" customFormat="1" x14ac:dyDescent="0.25">
      <c r="A2875" s="119"/>
      <c r="B2875" s="138" t="str">
        <f t="shared" si="140"/>
        <v>Windrow</v>
      </c>
      <c r="C2875" s="138" t="str">
        <f t="shared" si="141"/>
        <v>Base_With Amendment</v>
      </c>
      <c r="D2875" s="118" t="s">
        <v>134</v>
      </c>
      <c r="E2875" s="118" t="s">
        <v>181</v>
      </c>
      <c r="F2875" s="118" t="s">
        <v>46</v>
      </c>
      <c r="G2875" s="153" t="s">
        <v>51</v>
      </c>
      <c r="H2875" s="154"/>
      <c r="I2875" s="154" t="s">
        <v>47</v>
      </c>
      <c r="J2875" s="154" t="s">
        <v>52</v>
      </c>
      <c r="K2875" s="154" t="s">
        <v>27</v>
      </c>
      <c r="L2875" s="154" t="str">
        <f>IF(OpenLCAbasic!K2875="CTUh", "Fill in Manually",IF(OR(K2875="Unit", K2875=""), "", INDEX(LookUps!$E$5:$E$12, MATCH(OpenLCAbasic!K2875,LookUps!$D$5:$D$12,0))))</f>
        <v/>
      </c>
      <c r="M2875" s="154" t="str">
        <f t="shared" si="142"/>
        <v>High_Base_High_Upgraded__Process_Base_With Amendment_Windrow</v>
      </c>
    </row>
    <row r="2876" spans="1:13" s="120" customFormat="1" x14ac:dyDescent="0.25">
      <c r="A2876" s="119"/>
      <c r="B2876" s="138" t="str">
        <f t="shared" si="140"/>
        <v>Windrow</v>
      </c>
      <c r="C2876" s="138" t="str">
        <f t="shared" si="141"/>
        <v>Base_With Amendment</v>
      </c>
      <c r="D2876" s="118" t="s">
        <v>134</v>
      </c>
      <c r="E2876" s="118" t="s">
        <v>181</v>
      </c>
      <c r="F2876" s="118" t="s">
        <v>46</v>
      </c>
      <c r="G2876" s="153"/>
      <c r="H2876" s="155">
        <v>0.79890000000000005</v>
      </c>
      <c r="I2876" s="154" t="s">
        <v>48</v>
      </c>
      <c r="J2876" s="203">
        <v>1.1610000000000001E-2</v>
      </c>
      <c r="K2876" s="154" t="s">
        <v>13</v>
      </c>
      <c r="L2876" s="154" t="str">
        <f>IF(OpenLCAbasic!K2876="CTUh", "Fill in Manually",IF(OR(K2876="Unit", K2876=""), "", INDEX(LookUps!$E$5:$E$12, MATCH(OpenLCAbasic!K2876,LookUps!$D$5:$D$12,0))))</f>
        <v>Eutrophication Potential (EP) - kg N eq</v>
      </c>
      <c r="M2876" s="154" t="str">
        <f t="shared" si="142"/>
        <v>High_Base_High_Upgraded_Eutrophication Potential (EP) - kg N eq_Effluent release; wastewater treatment unit; at surface water; m3 wastewater - US_Base_With Amendment_Windrow</v>
      </c>
    </row>
    <row r="2877" spans="1:13" s="120" customFormat="1" x14ac:dyDescent="0.25">
      <c r="A2877" s="119"/>
      <c r="B2877" s="138" t="str">
        <f t="shared" si="140"/>
        <v>Windrow</v>
      </c>
      <c r="C2877" s="138" t="str">
        <f t="shared" si="141"/>
        <v>Base_With Amendment</v>
      </c>
      <c r="D2877" s="118" t="s">
        <v>134</v>
      </c>
      <c r="E2877" s="118" t="s">
        <v>181</v>
      </c>
      <c r="F2877" s="118" t="s">
        <v>46</v>
      </c>
      <c r="G2877" s="153"/>
      <c r="H2877" s="155">
        <v>0.12920000000000001</v>
      </c>
      <c r="I2877" s="154" t="s">
        <v>62</v>
      </c>
      <c r="J2877" s="204">
        <v>1.8799999999999999E-3</v>
      </c>
      <c r="K2877" s="154" t="s">
        <v>13</v>
      </c>
      <c r="L2877" s="154" t="str">
        <f>IF(OpenLCAbasic!K2877="CTUh", "Fill in Manually",IF(OR(K2877="Unit", K2877=""), "", INDEX(LookUps!$E$5:$E$12, MATCH(OpenLCAbasic!K2877,LookUps!$D$5:$D$12,0))))</f>
        <v>Eutrophication Potential (EP) - kg N eq</v>
      </c>
      <c r="M2877" s="154" t="str">
        <f t="shared" si="142"/>
        <v>High_Base_High_Upgraded_Eutrophication Potential (EP) - kg N eq_Land application of compost; wastewater treatment unit; at updated plant - US_Base_With Amendment_Windrow</v>
      </c>
    </row>
    <row r="2878" spans="1:13" s="120" customFormat="1" x14ac:dyDescent="0.25">
      <c r="A2878" s="119"/>
      <c r="B2878" s="138" t="str">
        <f t="shared" si="140"/>
        <v>Windrow</v>
      </c>
      <c r="C2878" s="138" t="str">
        <f t="shared" si="141"/>
        <v>Base_With Amendment</v>
      </c>
      <c r="D2878" s="118" t="s">
        <v>134</v>
      </c>
      <c r="E2878" s="118" t="s">
        <v>181</v>
      </c>
      <c r="F2878" s="118" t="s">
        <v>46</v>
      </c>
      <c r="G2878" s="153"/>
      <c r="H2878" s="155">
        <v>4.36E-2</v>
      </c>
      <c r="I2878" s="154" t="s">
        <v>271</v>
      </c>
      <c r="J2878" s="204">
        <v>6.3000000000000003E-4</v>
      </c>
      <c r="K2878" s="154" t="s">
        <v>13</v>
      </c>
      <c r="L2878" s="154" t="str">
        <f>IF(OpenLCAbasic!K2878="CTUh", "Fill in Manually",IF(OR(K2878="Unit", K2878=""), "", INDEX(LookUps!$E$5:$E$12, MATCH(OpenLCAbasic!K2878,LookUps!$D$5:$D$12,0))))</f>
        <v>Eutrophication Potential (EP) - kg N eq</v>
      </c>
      <c r="M2878" s="154" t="str">
        <f t="shared" si="142"/>
        <v>High_Base_High_Upgraded_Eutrophication Potential (EP) - kg N eq_Biosolids composting; windrow composting; wastewater treatment unit; at updated plant - US_Base_With Amendment_Windrow</v>
      </c>
    </row>
    <row r="2879" spans="1:13" s="120" customFormat="1" x14ac:dyDescent="0.25">
      <c r="A2879" s="119"/>
      <c r="B2879" s="138" t="str">
        <f t="shared" si="140"/>
        <v>Windrow</v>
      </c>
      <c r="C2879" s="138" t="str">
        <f t="shared" si="141"/>
        <v>Base_With Amendment</v>
      </c>
      <c r="D2879" s="118" t="s">
        <v>134</v>
      </c>
      <c r="E2879" s="118" t="s">
        <v>181</v>
      </c>
      <c r="F2879" s="118" t="s">
        <v>46</v>
      </c>
      <c r="G2879" s="153"/>
      <c r="H2879" s="155">
        <v>3.7600000000000001E-2</v>
      </c>
      <c r="I2879" s="154" t="s">
        <v>55</v>
      </c>
      <c r="J2879" s="204">
        <v>5.5000000000000003E-4</v>
      </c>
      <c r="K2879" s="154" t="s">
        <v>13</v>
      </c>
      <c r="L2879" s="154" t="str">
        <f>IF(OpenLCAbasic!K2879="CTUh", "Fill in Manually",IF(OR(K2879="Unit", K2879=""), "", INDEX(LookUps!$E$5:$E$12, MATCH(OpenLCAbasic!K2879,LookUps!$D$5:$D$12,0))))</f>
        <v>Eutrophication Potential (EP) - kg N eq</v>
      </c>
      <c r="M2879" s="154" t="str">
        <f t="shared" si="142"/>
        <v>High_Base_High_Upgraded_Eutrophication Potential (EP) - kg N eq_Aeration Tanks; wastewater treatment unit; at updated plant - US_Base_With Amendment_Windrow</v>
      </c>
    </row>
    <row r="2880" spans="1:13" s="120" customFormat="1" x14ac:dyDescent="0.25">
      <c r="A2880" s="119"/>
      <c r="B2880" s="138" t="str">
        <f t="shared" si="140"/>
        <v>Windrow</v>
      </c>
      <c r="C2880" s="138" t="str">
        <f t="shared" si="141"/>
        <v>Base_With Amendment</v>
      </c>
      <c r="D2880" s="118" t="s">
        <v>134</v>
      </c>
      <c r="E2880" s="118" t="s">
        <v>181</v>
      </c>
      <c r="F2880" s="118" t="s">
        <v>46</v>
      </c>
      <c r="G2880" s="153"/>
      <c r="H2880" s="155">
        <v>1.72E-2</v>
      </c>
      <c r="I2880" s="154" t="s">
        <v>147</v>
      </c>
      <c r="J2880" s="204">
        <v>2.5000000000000001E-4</v>
      </c>
      <c r="K2880" s="154" t="s">
        <v>13</v>
      </c>
      <c r="L2880" s="154" t="str">
        <f>IF(OpenLCAbasic!K2880="CTUh", "Fill in Manually",IF(OR(K2880="Unit", K2880=""), "", INDEX(LookUps!$E$5:$E$12, MATCH(OpenLCAbasic!K2880,LookUps!$D$5:$D$12,0))))</f>
        <v>Eutrophication Potential (EP) - kg N eq</v>
      </c>
      <c r="M2880" s="154" t="str">
        <f t="shared" si="142"/>
        <v>High_Base_High_Upgraded_Eutrophication Potential (EP) - kg N eq_Influent Pump Station; wastewater treatment unit; at updated plant - US_Base_With Amendment_Windrow</v>
      </c>
    </row>
    <row r="2881" spans="1:13" s="120" customFormat="1" x14ac:dyDescent="0.25">
      <c r="A2881" s="119"/>
      <c r="B2881" s="138" t="str">
        <f t="shared" si="140"/>
        <v>Windrow</v>
      </c>
      <c r="C2881" s="138" t="str">
        <f t="shared" si="141"/>
        <v>Base_With Amendment</v>
      </c>
      <c r="D2881" s="118" t="s">
        <v>134</v>
      </c>
      <c r="E2881" s="118" t="s">
        <v>181</v>
      </c>
      <c r="F2881" s="118" t="s">
        <v>46</v>
      </c>
      <c r="G2881" s="153"/>
      <c r="H2881" s="155">
        <v>1.3599999999999999E-2</v>
      </c>
      <c r="I2881" s="154" t="s">
        <v>54</v>
      </c>
      <c r="J2881" s="204">
        <v>2.0000000000000001E-4</v>
      </c>
      <c r="K2881" s="154" t="s">
        <v>13</v>
      </c>
      <c r="L2881" s="154" t="str">
        <f>IF(OpenLCAbasic!K2881="CTUh", "Fill in Manually",IF(OR(K2881="Unit", K2881=""), "", INDEX(LookUps!$E$5:$E$12, MATCH(OpenLCAbasic!K2881,LookUps!$D$5:$D$12,0))))</f>
        <v>Eutrophication Potential (EP) - kg N eq</v>
      </c>
      <c r="M2881" s="154" t="str">
        <f t="shared" si="142"/>
        <v>High_Base_High_Upgraded_Eutrophication Potential (EP) - kg N eq_Clear Cove Primary Clarification; wastewater treatment unit; at updated plant - US_Base_With Amendment_Windrow</v>
      </c>
    </row>
    <row r="2882" spans="1:13" s="120" customFormat="1" x14ac:dyDescent="0.25">
      <c r="A2882" s="119"/>
      <c r="B2882" s="138" t="str">
        <f t="shared" si="140"/>
        <v>Windrow</v>
      </c>
      <c r="C2882" s="138" t="str">
        <f t="shared" si="141"/>
        <v>Base_With Amendment</v>
      </c>
      <c r="D2882" s="118" t="s">
        <v>134</v>
      </c>
      <c r="E2882" s="118" t="s">
        <v>181</v>
      </c>
      <c r="F2882" s="118" t="s">
        <v>46</v>
      </c>
      <c r="G2882" s="153"/>
      <c r="H2882" s="155">
        <v>1.1299999999999999E-2</v>
      </c>
      <c r="I2882" s="154" t="s">
        <v>167</v>
      </c>
      <c r="J2882" s="204">
        <v>1.6000000000000001E-4</v>
      </c>
      <c r="K2882" s="154" t="s">
        <v>13</v>
      </c>
      <c r="L2882" s="154" t="str">
        <f>IF(OpenLCAbasic!K2882="CTUh", "Fill in Manually",IF(OR(K2882="Unit", K2882=""), "", INDEX(LookUps!$E$5:$E$12, MATCH(OpenLCAbasic!K2882,LookUps!$D$5:$D$12,0))))</f>
        <v>Eutrophication Potential (EP) - kg N eq</v>
      </c>
      <c r="M2882" s="154" t="str">
        <f t="shared" si="142"/>
        <v>High_Base_High_Upgraded_Eutrophication Potential (EP) - kg N eq_Waste Receiving and Holding; wastewater treatment unit; at updated plant - US_Base_With Amendment_Windrow</v>
      </c>
    </row>
    <row r="2883" spans="1:13" s="120" customFormat="1" x14ac:dyDescent="0.25">
      <c r="A2883" s="119"/>
      <c r="B2883" s="138" t="str">
        <f t="shared" si="140"/>
        <v>Windrow</v>
      </c>
      <c r="C2883" s="138" t="str">
        <f t="shared" si="141"/>
        <v>Base_With Amendment</v>
      </c>
      <c r="D2883" s="118" t="s">
        <v>134</v>
      </c>
      <c r="E2883" s="118" t="s">
        <v>181</v>
      </c>
      <c r="F2883" s="118" t="s">
        <v>46</v>
      </c>
      <c r="G2883" s="153"/>
      <c r="H2883" s="155">
        <v>9.2999999999999992E-3</v>
      </c>
      <c r="I2883" s="154" t="s">
        <v>58</v>
      </c>
      <c r="J2883" s="204">
        <v>1.3999999999999999E-4</v>
      </c>
      <c r="K2883" s="154" t="s">
        <v>13</v>
      </c>
      <c r="L2883" s="154" t="str">
        <f>IF(OpenLCAbasic!K2883="CTUh", "Fill in Manually",IF(OR(K2883="Unit", K2883=""), "", INDEX(LookUps!$E$5:$E$12, MATCH(OpenLCAbasic!K2883,LookUps!$D$5:$D$12,0))))</f>
        <v>Eutrophication Potential (EP) - kg N eq</v>
      </c>
      <c r="M2883" s="154" t="str">
        <f t="shared" si="142"/>
        <v>High_Base_High_Upgraded_Eutrophication Potential (EP) - kg N eq_Pre-Anoxic &amp; Swing tank; wastewater treatment unit; at updated plant - US_Base_With Amendment_Windrow</v>
      </c>
    </row>
    <row r="2884" spans="1:13" s="120" customFormat="1" x14ac:dyDescent="0.25">
      <c r="A2884" s="119"/>
      <c r="B2884" s="138" t="str">
        <f t="shared" si="140"/>
        <v>Windrow</v>
      </c>
      <c r="C2884" s="138" t="str">
        <f t="shared" si="141"/>
        <v>Base_With Amendment</v>
      </c>
      <c r="D2884" s="118" t="s">
        <v>134</v>
      </c>
      <c r="E2884" s="118" t="s">
        <v>181</v>
      </c>
      <c r="F2884" s="118" t="s">
        <v>46</v>
      </c>
      <c r="G2884" s="153"/>
      <c r="H2884" s="155">
        <v>7.4000000000000003E-3</v>
      </c>
      <c r="I2884" s="154" t="s">
        <v>53</v>
      </c>
      <c r="J2884" s="204">
        <v>1.1E-4</v>
      </c>
      <c r="K2884" s="154" t="s">
        <v>13</v>
      </c>
      <c r="L2884" s="154" t="str">
        <f>IF(OpenLCAbasic!K2884="CTUh", "Fill in Manually",IF(OR(K2884="Unit", K2884=""), "", INDEX(LookUps!$E$5:$E$12, MATCH(OpenLCAbasic!K2884,LookUps!$D$5:$D$12,0))))</f>
        <v>Eutrophication Potential (EP) - kg N eq</v>
      </c>
      <c r="M2884" s="154" t="str">
        <f t="shared" si="142"/>
        <v>High_Base_High_Upgraded_Eutrophication Potential (EP) - kg N eq_Wet Well and Sump Station; wastewater treatment unit; at updated plant - US_Base_With Amendment_Windrow</v>
      </c>
    </row>
    <row r="2885" spans="1:13" s="120" customFormat="1" x14ac:dyDescent="0.25">
      <c r="A2885" s="119"/>
      <c r="B2885" s="138" t="str">
        <f t="shared" si="140"/>
        <v>Windrow</v>
      </c>
      <c r="C2885" s="138" t="str">
        <f t="shared" si="141"/>
        <v>Base_With Amendment</v>
      </c>
      <c r="D2885" s="118" t="s">
        <v>134</v>
      </c>
      <c r="E2885" s="118" t="s">
        <v>181</v>
      </c>
      <c r="F2885" s="118" t="s">
        <v>46</v>
      </c>
      <c r="G2885" s="153"/>
      <c r="H2885" s="155">
        <v>4.1999999999999997E-3</v>
      </c>
      <c r="I2885" s="154" t="s">
        <v>57</v>
      </c>
      <c r="J2885" s="204">
        <v>6.0590300000000002E-5</v>
      </c>
      <c r="K2885" s="154" t="s">
        <v>13</v>
      </c>
      <c r="L2885" s="154" t="str">
        <f>IF(OpenLCAbasic!K2885="CTUh", "Fill in Manually",IF(OR(K2885="Unit", K2885=""), "", INDEX(LookUps!$E$5:$E$12, MATCH(OpenLCAbasic!K2885,LookUps!$D$5:$D$12,0))))</f>
        <v>Eutrophication Potential (EP) - kg N eq</v>
      </c>
      <c r="M2885" s="154" t="str">
        <f t="shared" si="142"/>
        <v>High_Base_High_Upgraded_Eutrophication Potential (EP) - kg N eq_Gravity Belt Thickener; wastewater treatment unit; at updated plant - US_Base_With Amendment_Windrow</v>
      </c>
    </row>
    <row r="2886" spans="1:13" s="120" customFormat="1" x14ac:dyDescent="0.25">
      <c r="A2886" s="119"/>
      <c r="B2886" s="138" t="str">
        <f t="shared" ref="B2886:B2949" si="143">IF(F2886="Legacy","n.a.",IF(F2886="","","Windrow"))</f>
        <v>Windrow</v>
      </c>
      <c r="C2886" s="138" t="str">
        <f t="shared" si="141"/>
        <v>Base_With Amendment</v>
      </c>
      <c r="D2886" s="118" t="s">
        <v>134</v>
      </c>
      <c r="E2886" s="118" t="s">
        <v>181</v>
      </c>
      <c r="F2886" s="118" t="s">
        <v>46</v>
      </c>
      <c r="G2886" s="153"/>
      <c r="H2886" s="155">
        <v>3.3999999999999998E-3</v>
      </c>
      <c r="I2886" s="154" t="s">
        <v>60</v>
      </c>
      <c r="J2886" s="204">
        <v>4.8791500000000002E-5</v>
      </c>
      <c r="K2886" s="154" t="s">
        <v>13</v>
      </c>
      <c r="L2886" s="154" t="str">
        <f>IF(OpenLCAbasic!K2886="CTUh", "Fill in Manually",IF(OR(K2886="Unit", K2886=""), "", INDEX(LookUps!$E$5:$E$12, MATCH(OpenLCAbasic!K2886,LookUps!$D$5:$D$12,0))))</f>
        <v>Eutrophication Potential (EP) - kg N eq</v>
      </c>
      <c r="M2886" s="154" t="str">
        <f t="shared" si="142"/>
        <v>High_Base_High_Upgraded_Eutrophication Potential (EP) - kg N eq_Belt filter press; wastewater treatment unit; at updated plant - US_Base_With Amendment_Windrow</v>
      </c>
    </row>
    <row r="2887" spans="1:13" s="120" customFormat="1" x14ac:dyDescent="0.25">
      <c r="A2887" s="119"/>
      <c r="B2887" s="138" t="str">
        <f t="shared" si="143"/>
        <v>Windrow</v>
      </c>
      <c r="C2887" s="138" t="str">
        <f t="shared" ref="C2887:C2950" si="144">IF(E2887&lt;&gt;"", "Base_With Amendment","")</f>
        <v>Base_With Amendment</v>
      </c>
      <c r="D2887" s="118" t="s">
        <v>134</v>
      </c>
      <c r="E2887" s="118" t="s">
        <v>181</v>
      </c>
      <c r="F2887" s="118" t="s">
        <v>46</v>
      </c>
      <c r="G2887" s="153"/>
      <c r="H2887" s="155">
        <v>2.5999999999999999E-3</v>
      </c>
      <c r="I2887" s="154" t="s">
        <v>128</v>
      </c>
      <c r="J2887" s="204">
        <v>3.7559799999999999E-5</v>
      </c>
      <c r="K2887" s="154" t="s">
        <v>13</v>
      </c>
      <c r="L2887" s="154" t="str">
        <f>IF(OpenLCAbasic!K2887="CTUh", "Fill in Manually",IF(OR(K2887="Unit", K2887=""), "", INDEX(LookUps!$E$5:$E$12, MATCH(OpenLCAbasic!K2887,LookUps!$D$5:$D$12,0))))</f>
        <v>Eutrophication Potential (EP) - kg N eq</v>
      </c>
      <c r="M2887" s="154" t="str">
        <f t="shared" ref="M2887:M2950" si="145">CONCATENATE(E2887,"_",D2887,"_",F2887,"_",L2887, "_",I2887,"_", C2887,"_", B2887)</f>
        <v>High_Base_High_Upgraded_Eutrophication Potential (EP) - kg N eq_Wastewater collection; operation and infrastructure; m3 wastewater_Base_With Amendment_Windrow</v>
      </c>
    </row>
    <row r="2888" spans="1:13" s="120" customFormat="1" x14ac:dyDescent="0.25">
      <c r="A2888" s="119"/>
      <c r="B2888" s="138" t="str">
        <f t="shared" si="143"/>
        <v>Windrow</v>
      </c>
      <c r="C2888" s="138" t="str">
        <f t="shared" si="144"/>
        <v>Base_With Amendment</v>
      </c>
      <c r="D2888" s="118" t="s">
        <v>134</v>
      </c>
      <c r="E2888" s="118" t="s">
        <v>181</v>
      </c>
      <c r="F2888" s="118" t="s">
        <v>46</v>
      </c>
      <c r="G2888" s="153"/>
      <c r="H2888" s="155">
        <v>2.5000000000000001E-3</v>
      </c>
      <c r="I2888" s="154" t="s">
        <v>148</v>
      </c>
      <c r="J2888" s="204">
        <v>3.6874600000000001E-5</v>
      </c>
      <c r="K2888" s="154" t="s">
        <v>13</v>
      </c>
      <c r="L2888" s="154" t="str">
        <f>IF(OpenLCAbasic!K2888="CTUh", "Fill in Manually",IF(OR(K2888="Unit", K2888=""), "", INDEX(LookUps!$E$5:$E$12, MATCH(OpenLCAbasic!K2888,LookUps!$D$5:$D$12,0))))</f>
        <v>Eutrophication Potential (EP) - kg N eq</v>
      </c>
      <c r="M2888" s="154" t="str">
        <f t="shared" si="145"/>
        <v>High_Base_High_Upgraded_Eutrophication Potential (EP) - kg N eq_Control Building; at upgraded wastewater treatment plant - US_Base_With Amendment_Windrow</v>
      </c>
    </row>
    <row r="2889" spans="1:13" s="120" customFormat="1" x14ac:dyDescent="0.25">
      <c r="A2889" s="119"/>
      <c r="B2889" s="138" t="str">
        <f t="shared" si="143"/>
        <v>Windrow</v>
      </c>
      <c r="C2889" s="138" t="str">
        <f t="shared" si="144"/>
        <v>Base_With Amendment</v>
      </c>
      <c r="D2889" s="118" t="s">
        <v>134</v>
      </c>
      <c r="E2889" s="118" t="s">
        <v>181</v>
      </c>
      <c r="F2889" s="118" t="s">
        <v>46</v>
      </c>
      <c r="G2889" s="153"/>
      <c r="H2889" s="155">
        <v>1.1000000000000001E-3</v>
      </c>
      <c r="I2889" s="154" t="s">
        <v>59</v>
      </c>
      <c r="J2889" s="204">
        <v>1.6215700000000001E-5</v>
      </c>
      <c r="K2889" s="154" t="s">
        <v>13</v>
      </c>
      <c r="L2889" s="154" t="str">
        <f>IF(OpenLCAbasic!K2889="CTUh", "Fill in Manually",IF(OR(K2889="Unit", K2889=""), "", INDEX(LookUps!$E$5:$E$12, MATCH(OpenLCAbasic!K2889,LookUps!$D$5:$D$12,0))))</f>
        <v>Eutrophication Potential (EP) - kg N eq</v>
      </c>
      <c r="M2889" s="154" t="str">
        <f t="shared" si="145"/>
        <v>High_Base_High_Upgraded_Eutrophication Potential (EP) - kg N eq_Blend Tank; wastewater treatment unit; at updated plant - US_Base_With Amendment_Windrow</v>
      </c>
    </row>
    <row r="2890" spans="1:13" s="120" customFormat="1" x14ac:dyDescent="0.25">
      <c r="A2890" s="119"/>
      <c r="B2890" s="138" t="str">
        <f t="shared" si="143"/>
        <v>Windrow</v>
      </c>
      <c r="C2890" s="138" t="str">
        <f t="shared" si="144"/>
        <v>Base_With Amendment</v>
      </c>
      <c r="D2890" s="118" t="s">
        <v>134</v>
      </c>
      <c r="E2890" s="118" t="s">
        <v>181</v>
      </c>
      <c r="F2890" s="118" t="s">
        <v>46</v>
      </c>
      <c r="G2890" s="153"/>
      <c r="H2890" s="155">
        <v>5.0000000000000001E-4</v>
      </c>
      <c r="I2890" s="154" t="s">
        <v>168</v>
      </c>
      <c r="J2890" s="204">
        <v>7.7567199999999995E-6</v>
      </c>
      <c r="K2890" s="154" t="s">
        <v>13</v>
      </c>
      <c r="L2890" s="154" t="str">
        <f>IF(OpenLCAbasic!K2890="CTUh", "Fill in Manually",IF(OR(K2890="Unit", K2890=""), "", INDEX(LookUps!$E$5:$E$12, MATCH(OpenLCAbasic!K2890,LookUps!$D$5:$D$12,0))))</f>
        <v>Eutrophication Potential (EP) - kg N eq</v>
      </c>
      <c r="M2890" s="154" t="str">
        <f t="shared" si="145"/>
        <v>High_Base_High_Upgraded_Eutrophication Potential (EP) - kg N eq_ClearCove SCP; wastewater treatment unit; at updated plant - US_Base_With Amendment_Windrow</v>
      </c>
    </row>
    <row r="2891" spans="1:13" s="120" customFormat="1" x14ac:dyDescent="0.25">
      <c r="A2891" s="119"/>
      <c r="B2891" s="138" t="str">
        <f t="shared" si="143"/>
        <v>Windrow</v>
      </c>
      <c r="C2891" s="138" t="str">
        <f t="shared" si="144"/>
        <v>Base_With Amendment</v>
      </c>
      <c r="D2891" s="118" t="s">
        <v>134</v>
      </c>
      <c r="E2891" s="118" t="s">
        <v>181</v>
      </c>
      <c r="F2891" s="118" t="s">
        <v>46</v>
      </c>
      <c r="G2891" s="153"/>
      <c r="H2891" s="155">
        <v>-8.2299999999999998E-2</v>
      </c>
      <c r="I2891" s="154" t="s">
        <v>149</v>
      </c>
      <c r="J2891" s="204">
        <v>-1.1999999999999999E-3</v>
      </c>
      <c r="K2891" s="154" t="s">
        <v>13</v>
      </c>
      <c r="L2891" s="154" t="str">
        <f>IF(OpenLCAbasic!K2891="CTUh", "Fill in Manually",IF(OR(K2891="Unit", K2891=""), "", INDEX(LookUps!$E$5:$E$12, MATCH(OpenLCAbasic!K2891,LookUps!$D$5:$D$12,0))))</f>
        <v>Eutrophication Potential (EP) - kg N eq</v>
      </c>
      <c r="M2891" s="154" t="str">
        <f t="shared" si="145"/>
        <v>High_Base_High_Upgraded_Eutrophication Potential (EP) - kg N eq_Anaerobic Digestion; wastewater treatment unit; at updated plant - US_Base_With Amendment_Windrow</v>
      </c>
    </row>
    <row r="2892" spans="1:13" s="120" customFormat="1" x14ac:dyDescent="0.25">
      <c r="A2892" s="119"/>
      <c r="B2892" s="138" t="str">
        <f t="shared" si="143"/>
        <v>Windrow</v>
      </c>
      <c r="C2892" s="138" t="str">
        <f t="shared" si="144"/>
        <v>Base_With Amendment</v>
      </c>
      <c r="D2892" s="118" t="s">
        <v>134</v>
      </c>
      <c r="E2892" s="118" t="s">
        <v>181</v>
      </c>
      <c r="F2892" s="118" t="s">
        <v>46</v>
      </c>
      <c r="G2892" s="153" t="s">
        <v>51</v>
      </c>
      <c r="H2892" s="154"/>
      <c r="I2892" s="154" t="s">
        <v>47</v>
      </c>
      <c r="J2892" s="154" t="s">
        <v>52</v>
      </c>
      <c r="K2892" s="154" t="s">
        <v>27</v>
      </c>
      <c r="L2892" s="154" t="str">
        <f>IF(OpenLCAbasic!K2892="CTUh", "Fill in Manually",IF(OR(K2892="Unit", K2892=""), "", INDEX(LookUps!$E$5:$E$12, MATCH(OpenLCAbasic!K2892,LookUps!$D$5:$D$12,0))))</f>
        <v/>
      </c>
      <c r="M2892" s="154" t="str">
        <f t="shared" si="145"/>
        <v>High_Base_High_Upgraded__Process_Base_With Amendment_Windrow</v>
      </c>
    </row>
    <row r="2893" spans="1:13" s="120" customFormat="1" x14ac:dyDescent="0.25">
      <c r="A2893" s="119"/>
      <c r="B2893" s="138" t="str">
        <f t="shared" si="143"/>
        <v>Windrow</v>
      </c>
      <c r="C2893" s="138" t="str">
        <f t="shared" si="144"/>
        <v>Base_With Amendment</v>
      </c>
      <c r="D2893" s="118" t="s">
        <v>134</v>
      </c>
      <c r="E2893" s="118" t="s">
        <v>181</v>
      </c>
      <c r="F2893" s="118" t="s">
        <v>46</v>
      </c>
      <c r="G2893" s="153"/>
      <c r="H2893" s="155">
        <v>12.790100000000001</v>
      </c>
      <c r="I2893" s="154" t="s">
        <v>55</v>
      </c>
      <c r="J2893" s="157">
        <v>3.5330499999999998</v>
      </c>
      <c r="K2893" s="154" t="s">
        <v>15</v>
      </c>
      <c r="L2893" s="154" t="str">
        <f>IF(OpenLCAbasic!K2893="CTUh", "Fill in Manually",IF(OR(K2893="Unit", K2893=""), "", INDEX(LookUps!$E$5:$E$12, MATCH(OpenLCAbasic!K2893,LookUps!$D$5:$D$12,0))))</f>
        <v>Cumulative Energy Demand (CED) - MJ</v>
      </c>
      <c r="M2893" s="154" t="str">
        <f t="shared" si="145"/>
        <v>High_Base_High_Upgraded_Cumulative Energy Demand (CED) - MJ_Aeration Tanks; wastewater treatment unit; at updated plant - US_Base_With Amendment_Windrow</v>
      </c>
    </row>
    <row r="2894" spans="1:13" s="120" customFormat="1" x14ac:dyDescent="0.25">
      <c r="A2894" s="119"/>
      <c r="B2894" s="138" t="str">
        <f t="shared" si="143"/>
        <v>Windrow</v>
      </c>
      <c r="C2894" s="138" t="str">
        <f t="shared" si="144"/>
        <v>Base_With Amendment</v>
      </c>
      <c r="D2894" s="118" t="s">
        <v>134</v>
      </c>
      <c r="E2894" s="118" t="s">
        <v>181</v>
      </c>
      <c r="F2894" s="118" t="s">
        <v>46</v>
      </c>
      <c r="G2894" s="153"/>
      <c r="H2894" s="155">
        <v>12.664099999999999</v>
      </c>
      <c r="I2894" s="154" t="s">
        <v>167</v>
      </c>
      <c r="J2894" s="157">
        <v>3.4982700000000002</v>
      </c>
      <c r="K2894" s="154" t="s">
        <v>15</v>
      </c>
      <c r="L2894" s="154" t="str">
        <f>IF(OpenLCAbasic!K2894="CTUh", "Fill in Manually",IF(OR(K2894="Unit", K2894=""), "", INDEX(LookUps!$E$5:$E$12, MATCH(OpenLCAbasic!K2894,LookUps!$D$5:$D$12,0))))</f>
        <v>Cumulative Energy Demand (CED) - MJ</v>
      </c>
      <c r="M2894" s="154" t="str">
        <f t="shared" si="145"/>
        <v>High_Base_High_Upgraded_Cumulative Energy Demand (CED) - MJ_Waste Receiving and Holding; wastewater treatment unit; at updated plant - US_Base_With Amendment_Windrow</v>
      </c>
    </row>
    <row r="2895" spans="1:13" s="120" customFormat="1" x14ac:dyDescent="0.25">
      <c r="A2895" s="119"/>
      <c r="B2895" s="138" t="str">
        <f t="shared" si="143"/>
        <v>Windrow</v>
      </c>
      <c r="C2895" s="138" t="str">
        <f t="shared" si="144"/>
        <v>Base_With Amendment</v>
      </c>
      <c r="D2895" s="118" t="s">
        <v>134</v>
      </c>
      <c r="E2895" s="118" t="s">
        <v>181</v>
      </c>
      <c r="F2895" s="118" t="s">
        <v>46</v>
      </c>
      <c r="G2895" s="153"/>
      <c r="H2895" s="155">
        <v>4.2098000000000004</v>
      </c>
      <c r="I2895" s="154" t="s">
        <v>54</v>
      </c>
      <c r="J2895" s="157">
        <v>1.16289</v>
      </c>
      <c r="K2895" s="154" t="s">
        <v>15</v>
      </c>
      <c r="L2895" s="154" t="str">
        <f>IF(OpenLCAbasic!K2895="CTUh", "Fill in Manually",IF(OR(K2895="Unit", K2895=""), "", INDEX(LookUps!$E$5:$E$12, MATCH(OpenLCAbasic!K2895,LookUps!$D$5:$D$12,0))))</f>
        <v>Cumulative Energy Demand (CED) - MJ</v>
      </c>
      <c r="M2895" s="154" t="str">
        <f t="shared" si="145"/>
        <v>High_Base_High_Upgraded_Cumulative Energy Demand (CED) - MJ_Clear Cove Primary Clarification; wastewater treatment unit; at updated plant - US_Base_With Amendment_Windrow</v>
      </c>
    </row>
    <row r="2896" spans="1:13" s="120" customFormat="1" x14ac:dyDescent="0.25">
      <c r="A2896" s="119"/>
      <c r="B2896" s="138" t="str">
        <f t="shared" si="143"/>
        <v>Windrow</v>
      </c>
      <c r="C2896" s="138" t="str">
        <f t="shared" si="144"/>
        <v>Base_With Amendment</v>
      </c>
      <c r="D2896" s="118" t="s">
        <v>134</v>
      </c>
      <c r="E2896" s="118" t="s">
        <v>181</v>
      </c>
      <c r="F2896" s="118" t="s">
        <v>46</v>
      </c>
      <c r="G2896" s="153"/>
      <c r="H2896" s="155">
        <v>3.2008000000000001</v>
      </c>
      <c r="I2896" s="154" t="s">
        <v>58</v>
      </c>
      <c r="J2896" s="203">
        <v>0.88417000000000001</v>
      </c>
      <c r="K2896" s="154" t="s">
        <v>15</v>
      </c>
      <c r="L2896" s="154" t="str">
        <f>IF(OpenLCAbasic!K2896="CTUh", "Fill in Manually",IF(OR(K2896="Unit", K2896=""), "", INDEX(LookUps!$E$5:$E$12, MATCH(OpenLCAbasic!K2896,LookUps!$D$5:$D$12,0))))</f>
        <v>Cumulative Energy Demand (CED) - MJ</v>
      </c>
      <c r="M2896" s="154" t="str">
        <f t="shared" si="145"/>
        <v>High_Base_High_Upgraded_Cumulative Energy Demand (CED) - MJ_Pre-Anoxic &amp; Swing tank; wastewater treatment unit; at updated plant - US_Base_With Amendment_Windrow</v>
      </c>
    </row>
    <row r="2897" spans="1:13" s="120" customFormat="1" x14ac:dyDescent="0.25">
      <c r="A2897" s="119"/>
      <c r="B2897" s="138" t="str">
        <f t="shared" si="143"/>
        <v>Windrow</v>
      </c>
      <c r="C2897" s="138" t="str">
        <f t="shared" si="144"/>
        <v>Base_With Amendment</v>
      </c>
      <c r="D2897" s="118" t="s">
        <v>134</v>
      </c>
      <c r="E2897" s="118" t="s">
        <v>181</v>
      </c>
      <c r="F2897" s="118" t="s">
        <v>46</v>
      </c>
      <c r="G2897" s="153"/>
      <c r="H2897" s="155">
        <v>3.1964999999999999</v>
      </c>
      <c r="I2897" s="154" t="s">
        <v>147</v>
      </c>
      <c r="J2897" s="203">
        <v>0.88297000000000003</v>
      </c>
      <c r="K2897" s="154" t="s">
        <v>15</v>
      </c>
      <c r="L2897" s="154" t="str">
        <f>IF(OpenLCAbasic!K2897="CTUh", "Fill in Manually",IF(OR(K2897="Unit", K2897=""), "", INDEX(LookUps!$E$5:$E$12, MATCH(OpenLCAbasic!K2897,LookUps!$D$5:$D$12,0))))</f>
        <v>Cumulative Energy Demand (CED) - MJ</v>
      </c>
      <c r="M2897" s="154" t="str">
        <f t="shared" si="145"/>
        <v>High_Base_High_Upgraded_Cumulative Energy Demand (CED) - MJ_Influent Pump Station; wastewater treatment unit; at updated plant - US_Base_With Amendment_Windrow</v>
      </c>
    </row>
    <row r="2898" spans="1:13" s="120" customFormat="1" x14ac:dyDescent="0.25">
      <c r="A2898" s="119"/>
      <c r="B2898" s="138" t="str">
        <f t="shared" si="143"/>
        <v>Windrow</v>
      </c>
      <c r="C2898" s="138" t="str">
        <f t="shared" si="144"/>
        <v>Base_With Amendment</v>
      </c>
      <c r="D2898" s="118" t="s">
        <v>134</v>
      </c>
      <c r="E2898" s="118" t="s">
        <v>181</v>
      </c>
      <c r="F2898" s="118" t="s">
        <v>46</v>
      </c>
      <c r="G2898" s="153"/>
      <c r="H2898" s="155">
        <v>2.5211999999999999</v>
      </c>
      <c r="I2898" s="154" t="s">
        <v>53</v>
      </c>
      <c r="J2898" s="203">
        <v>0.69645000000000001</v>
      </c>
      <c r="K2898" s="154" t="s">
        <v>15</v>
      </c>
      <c r="L2898" s="154" t="str">
        <f>IF(OpenLCAbasic!K2898="CTUh", "Fill in Manually",IF(OR(K2898="Unit", K2898=""), "", INDEX(LookUps!$E$5:$E$12, MATCH(OpenLCAbasic!K2898,LookUps!$D$5:$D$12,0))))</f>
        <v>Cumulative Energy Demand (CED) - MJ</v>
      </c>
      <c r="M2898" s="154" t="str">
        <f t="shared" si="145"/>
        <v>High_Base_High_Upgraded_Cumulative Energy Demand (CED) - MJ_Wet Well and Sump Station; wastewater treatment unit; at updated plant - US_Base_With Amendment_Windrow</v>
      </c>
    </row>
    <row r="2899" spans="1:13" s="120" customFormat="1" x14ac:dyDescent="0.25">
      <c r="A2899" s="119"/>
      <c r="B2899" s="138" t="str">
        <f t="shared" si="143"/>
        <v>Windrow</v>
      </c>
      <c r="C2899" s="138" t="str">
        <f t="shared" si="144"/>
        <v>Base_With Amendment</v>
      </c>
      <c r="D2899" s="118" t="s">
        <v>134</v>
      </c>
      <c r="E2899" s="118" t="s">
        <v>181</v>
      </c>
      <c r="F2899" s="118" t="s">
        <v>46</v>
      </c>
      <c r="G2899" s="153"/>
      <c r="H2899" s="155">
        <v>1.2093</v>
      </c>
      <c r="I2899" s="154" t="s">
        <v>57</v>
      </c>
      <c r="J2899" s="203">
        <v>0.33404</v>
      </c>
      <c r="K2899" s="154" t="s">
        <v>15</v>
      </c>
      <c r="L2899" s="154" t="str">
        <f>IF(OpenLCAbasic!K2899="CTUh", "Fill in Manually",IF(OR(K2899="Unit", K2899=""), "", INDEX(LookUps!$E$5:$E$12, MATCH(OpenLCAbasic!K2899,LookUps!$D$5:$D$12,0))))</f>
        <v>Cumulative Energy Demand (CED) - MJ</v>
      </c>
      <c r="M2899" s="154" t="str">
        <f t="shared" si="145"/>
        <v>High_Base_High_Upgraded_Cumulative Energy Demand (CED) - MJ_Gravity Belt Thickener; wastewater treatment unit; at updated plant - US_Base_With Amendment_Windrow</v>
      </c>
    </row>
    <row r="2900" spans="1:13" s="120" customFormat="1" x14ac:dyDescent="0.25">
      <c r="A2900" s="119"/>
      <c r="B2900" s="138" t="str">
        <f t="shared" si="143"/>
        <v>Windrow</v>
      </c>
      <c r="C2900" s="138" t="str">
        <f t="shared" si="144"/>
        <v>Base_With Amendment</v>
      </c>
      <c r="D2900" s="118" t="s">
        <v>134</v>
      </c>
      <c r="E2900" s="118" t="s">
        <v>181</v>
      </c>
      <c r="F2900" s="118" t="s">
        <v>46</v>
      </c>
      <c r="G2900" s="153"/>
      <c r="H2900" s="155">
        <v>1.0055000000000001</v>
      </c>
      <c r="I2900" s="154" t="s">
        <v>60</v>
      </c>
      <c r="J2900" s="203">
        <v>0.27775</v>
      </c>
      <c r="K2900" s="154" t="s">
        <v>15</v>
      </c>
      <c r="L2900" s="154" t="str">
        <f>IF(OpenLCAbasic!K2900="CTUh", "Fill in Manually",IF(OR(K2900="Unit", K2900=""), "", INDEX(LookUps!$E$5:$E$12, MATCH(OpenLCAbasic!K2900,LookUps!$D$5:$D$12,0))))</f>
        <v>Cumulative Energy Demand (CED) - MJ</v>
      </c>
      <c r="M2900" s="154" t="str">
        <f t="shared" si="145"/>
        <v>High_Base_High_Upgraded_Cumulative Energy Demand (CED) - MJ_Belt filter press; wastewater treatment unit; at updated plant - US_Base_With Amendment_Windrow</v>
      </c>
    </row>
    <row r="2901" spans="1:13" s="120" customFormat="1" x14ac:dyDescent="0.25">
      <c r="A2901" s="119"/>
      <c r="B2901" s="138" t="str">
        <f t="shared" si="143"/>
        <v>Windrow</v>
      </c>
      <c r="C2901" s="138" t="str">
        <f t="shared" si="144"/>
        <v>Base_With Amendment</v>
      </c>
      <c r="D2901" s="118" t="s">
        <v>134</v>
      </c>
      <c r="E2901" s="118" t="s">
        <v>181</v>
      </c>
      <c r="F2901" s="118" t="s">
        <v>46</v>
      </c>
      <c r="G2901" s="153"/>
      <c r="H2901" s="155">
        <v>0.92700000000000005</v>
      </c>
      <c r="I2901" s="154" t="s">
        <v>128</v>
      </c>
      <c r="J2901" s="203">
        <v>0.25606000000000001</v>
      </c>
      <c r="K2901" s="154" t="s">
        <v>15</v>
      </c>
      <c r="L2901" s="154" t="str">
        <f>IF(OpenLCAbasic!K2901="CTUh", "Fill in Manually",IF(OR(K2901="Unit", K2901=""), "", INDEX(LookUps!$E$5:$E$12, MATCH(OpenLCAbasic!K2901,LookUps!$D$5:$D$12,0))))</f>
        <v>Cumulative Energy Demand (CED) - MJ</v>
      </c>
      <c r="M2901" s="154" t="str">
        <f t="shared" si="145"/>
        <v>High_Base_High_Upgraded_Cumulative Energy Demand (CED) - MJ_Wastewater collection; operation and infrastructure; m3 wastewater_Base_With Amendment_Windrow</v>
      </c>
    </row>
    <row r="2902" spans="1:13" s="120" customFormat="1" x14ac:dyDescent="0.25">
      <c r="A2902" s="119"/>
      <c r="B2902" s="138" t="str">
        <f t="shared" si="143"/>
        <v>Windrow</v>
      </c>
      <c r="C2902" s="138" t="str">
        <f t="shared" si="144"/>
        <v>Base_With Amendment</v>
      </c>
      <c r="D2902" s="118" t="s">
        <v>134</v>
      </c>
      <c r="E2902" s="118" t="s">
        <v>181</v>
      </c>
      <c r="F2902" s="118" t="s">
        <v>46</v>
      </c>
      <c r="G2902" s="153"/>
      <c r="H2902" s="155">
        <v>0.52849999999999997</v>
      </c>
      <c r="I2902" s="154" t="s">
        <v>148</v>
      </c>
      <c r="J2902" s="203">
        <v>0.14599000000000001</v>
      </c>
      <c r="K2902" s="154" t="s">
        <v>15</v>
      </c>
      <c r="L2902" s="154" t="str">
        <f>IF(OpenLCAbasic!K2902="CTUh", "Fill in Manually",IF(OR(K2902="Unit", K2902=""), "", INDEX(LookUps!$E$5:$E$12, MATCH(OpenLCAbasic!K2902,LookUps!$D$5:$D$12,0))))</f>
        <v>Cumulative Energy Demand (CED) - MJ</v>
      </c>
      <c r="M2902" s="154" t="str">
        <f t="shared" si="145"/>
        <v>High_Base_High_Upgraded_Cumulative Energy Demand (CED) - MJ_Control Building; at upgraded wastewater treatment plant - US_Base_With Amendment_Windrow</v>
      </c>
    </row>
    <row r="2903" spans="1:13" s="120" customFormat="1" x14ac:dyDescent="0.25">
      <c r="A2903" s="119"/>
      <c r="B2903" s="138" t="str">
        <f t="shared" si="143"/>
        <v>Windrow</v>
      </c>
      <c r="C2903" s="138" t="str">
        <f t="shared" si="144"/>
        <v>Base_With Amendment</v>
      </c>
      <c r="D2903" s="118" t="s">
        <v>134</v>
      </c>
      <c r="E2903" s="118" t="s">
        <v>181</v>
      </c>
      <c r="F2903" s="118" t="s">
        <v>46</v>
      </c>
      <c r="G2903" s="153"/>
      <c r="H2903" s="155">
        <v>0.48220000000000002</v>
      </c>
      <c r="I2903" s="154" t="s">
        <v>48</v>
      </c>
      <c r="J2903" s="203">
        <v>0.13321</v>
      </c>
      <c r="K2903" s="154" t="s">
        <v>15</v>
      </c>
      <c r="L2903" s="154" t="str">
        <f>IF(OpenLCAbasic!K2903="CTUh", "Fill in Manually",IF(OR(K2903="Unit", K2903=""), "", INDEX(LookUps!$E$5:$E$12, MATCH(OpenLCAbasic!K2903,LookUps!$D$5:$D$12,0))))</f>
        <v>Cumulative Energy Demand (CED) - MJ</v>
      </c>
      <c r="M2903" s="154" t="str">
        <f t="shared" si="145"/>
        <v>High_Base_High_Upgraded_Cumulative Energy Demand (CED) - MJ_Effluent release; wastewater treatment unit; at surface water; m3 wastewater - US_Base_With Amendment_Windrow</v>
      </c>
    </row>
    <row r="2904" spans="1:13" s="120" customFormat="1" x14ac:dyDescent="0.25">
      <c r="A2904" s="119"/>
      <c r="B2904" s="138" t="str">
        <f t="shared" si="143"/>
        <v>Windrow</v>
      </c>
      <c r="C2904" s="138" t="str">
        <f t="shared" si="144"/>
        <v>Base_With Amendment</v>
      </c>
      <c r="D2904" s="118" t="s">
        <v>134</v>
      </c>
      <c r="E2904" s="118" t="s">
        <v>181</v>
      </c>
      <c r="F2904" s="118" t="s">
        <v>46</v>
      </c>
      <c r="G2904" s="153"/>
      <c r="H2904" s="155">
        <v>0.3851</v>
      </c>
      <c r="I2904" s="154" t="s">
        <v>59</v>
      </c>
      <c r="J2904" s="203">
        <v>0.10638</v>
      </c>
      <c r="K2904" s="154" t="s">
        <v>15</v>
      </c>
      <c r="L2904" s="154" t="str">
        <f>IF(OpenLCAbasic!K2904="CTUh", "Fill in Manually",IF(OR(K2904="Unit", K2904=""), "", INDEX(LookUps!$E$5:$E$12, MATCH(OpenLCAbasic!K2904,LookUps!$D$5:$D$12,0))))</f>
        <v>Cumulative Energy Demand (CED) - MJ</v>
      </c>
      <c r="M2904" s="154" t="str">
        <f t="shared" si="145"/>
        <v>High_Base_High_Upgraded_Cumulative Energy Demand (CED) - MJ_Blend Tank; wastewater treatment unit; at updated plant - US_Base_With Amendment_Windrow</v>
      </c>
    </row>
    <row r="2905" spans="1:13" s="120" customFormat="1" x14ac:dyDescent="0.25">
      <c r="A2905" s="119"/>
      <c r="B2905" s="138" t="str">
        <f t="shared" si="143"/>
        <v>Windrow</v>
      </c>
      <c r="C2905" s="138" t="str">
        <f t="shared" si="144"/>
        <v>Base_With Amendment</v>
      </c>
      <c r="D2905" s="118" t="s">
        <v>134</v>
      </c>
      <c r="E2905" s="118" t="s">
        <v>181</v>
      </c>
      <c r="F2905" s="118" t="s">
        <v>46</v>
      </c>
      <c r="G2905" s="153"/>
      <c r="H2905" s="155">
        <v>0.18440000000000001</v>
      </c>
      <c r="I2905" s="154" t="s">
        <v>168</v>
      </c>
      <c r="J2905" s="203">
        <v>5.0930000000000003E-2</v>
      </c>
      <c r="K2905" s="154" t="s">
        <v>15</v>
      </c>
      <c r="L2905" s="154" t="str">
        <f>IF(OpenLCAbasic!K2905="CTUh", "Fill in Manually",IF(OR(K2905="Unit", K2905=""), "", INDEX(LookUps!$E$5:$E$12, MATCH(OpenLCAbasic!K2905,LookUps!$D$5:$D$12,0))))</f>
        <v>Cumulative Energy Demand (CED) - MJ</v>
      </c>
      <c r="M2905" s="154" t="str">
        <f t="shared" si="145"/>
        <v>High_Base_High_Upgraded_Cumulative Energy Demand (CED) - MJ_ClearCove SCP; wastewater treatment unit; at updated plant - US_Base_With Amendment_Windrow</v>
      </c>
    </row>
    <row r="2906" spans="1:13" s="120" customFormat="1" x14ac:dyDescent="0.25">
      <c r="A2906" s="119"/>
      <c r="B2906" s="138" t="str">
        <f t="shared" si="143"/>
        <v>Windrow</v>
      </c>
      <c r="C2906" s="138" t="str">
        <f t="shared" si="144"/>
        <v>Base_With Amendment</v>
      </c>
      <c r="D2906" s="118" t="s">
        <v>134</v>
      </c>
      <c r="E2906" s="118" t="s">
        <v>181</v>
      </c>
      <c r="F2906" s="118" t="s">
        <v>46</v>
      </c>
      <c r="G2906" s="153"/>
      <c r="H2906" s="155">
        <v>7.2400000000000006E-2</v>
      </c>
      <c r="I2906" s="154" t="s">
        <v>271</v>
      </c>
      <c r="J2906" s="203">
        <v>2.001E-2</v>
      </c>
      <c r="K2906" s="154" t="s">
        <v>15</v>
      </c>
      <c r="L2906" s="154" t="str">
        <f>IF(OpenLCAbasic!K2906="CTUh", "Fill in Manually",IF(OR(K2906="Unit", K2906=""), "", INDEX(LookUps!$E$5:$E$12, MATCH(OpenLCAbasic!K2906,LookUps!$D$5:$D$12,0))))</f>
        <v>Cumulative Energy Demand (CED) - MJ</v>
      </c>
      <c r="M2906" s="154" t="str">
        <f t="shared" si="145"/>
        <v>High_Base_High_Upgraded_Cumulative Energy Demand (CED) - MJ_Biosolids composting; windrow composting; wastewater treatment unit; at updated plant - US_Base_With Amendment_Windrow</v>
      </c>
    </row>
    <row r="2907" spans="1:13" s="120" customFormat="1" x14ac:dyDescent="0.25">
      <c r="A2907" s="119"/>
      <c r="B2907" s="138" t="str">
        <f t="shared" si="143"/>
        <v>Windrow</v>
      </c>
      <c r="C2907" s="138" t="str">
        <f t="shared" si="144"/>
        <v>Base_With Amendment</v>
      </c>
      <c r="D2907" s="118" t="s">
        <v>134</v>
      </c>
      <c r="E2907" s="118" t="s">
        <v>181</v>
      </c>
      <c r="F2907" s="118" t="s">
        <v>46</v>
      </c>
      <c r="G2907" s="153"/>
      <c r="H2907" s="155">
        <v>-1.4239999999999999</v>
      </c>
      <c r="I2907" s="154" t="s">
        <v>62</v>
      </c>
      <c r="J2907" s="203">
        <v>-0.39335999999999999</v>
      </c>
      <c r="K2907" s="154" t="s">
        <v>15</v>
      </c>
      <c r="L2907" s="154" t="str">
        <f>IF(OpenLCAbasic!K2907="CTUh", "Fill in Manually",IF(OR(K2907="Unit", K2907=""), "", INDEX(LookUps!$E$5:$E$12, MATCH(OpenLCAbasic!K2907,LookUps!$D$5:$D$12,0))))</f>
        <v>Cumulative Energy Demand (CED) - MJ</v>
      </c>
      <c r="M2907" s="154" t="str">
        <f t="shared" si="145"/>
        <v>High_Base_High_Upgraded_Cumulative Energy Demand (CED) - MJ_Land application of compost; wastewater treatment unit; at updated plant - US_Base_With Amendment_Windrow</v>
      </c>
    </row>
    <row r="2908" spans="1:13" s="120" customFormat="1" x14ac:dyDescent="0.25">
      <c r="A2908" s="119"/>
      <c r="B2908" s="138" t="str">
        <f t="shared" si="143"/>
        <v>Windrow</v>
      </c>
      <c r="C2908" s="138" t="str">
        <f t="shared" si="144"/>
        <v>Base_With Amendment</v>
      </c>
      <c r="D2908" s="118" t="s">
        <v>134</v>
      </c>
      <c r="E2908" s="118" t="s">
        <v>181</v>
      </c>
      <c r="F2908" s="118" t="s">
        <v>46</v>
      </c>
      <c r="G2908" s="153"/>
      <c r="H2908" s="155">
        <v>-40.9529</v>
      </c>
      <c r="I2908" s="154" t="s">
        <v>149</v>
      </c>
      <c r="J2908" s="157">
        <v>-11.31259</v>
      </c>
      <c r="K2908" s="154" t="s">
        <v>15</v>
      </c>
      <c r="L2908" s="154" t="str">
        <f>IF(OpenLCAbasic!K2908="CTUh", "Fill in Manually",IF(OR(K2908="Unit", K2908=""), "", INDEX(LookUps!$E$5:$E$12, MATCH(OpenLCAbasic!K2908,LookUps!$D$5:$D$12,0))))</f>
        <v>Cumulative Energy Demand (CED) - MJ</v>
      </c>
      <c r="M2908" s="154" t="str">
        <f t="shared" si="145"/>
        <v>High_Base_High_Upgraded_Cumulative Energy Demand (CED) - MJ_Anaerobic Digestion; wastewater treatment unit; at updated plant - US_Base_With Amendment_Windrow</v>
      </c>
    </row>
    <row r="2909" spans="1:13" s="120" customFormat="1" x14ac:dyDescent="0.25">
      <c r="A2909" s="119"/>
      <c r="B2909" s="138" t="str">
        <f t="shared" si="143"/>
        <v>Windrow</v>
      </c>
      <c r="C2909" s="138" t="str">
        <f t="shared" si="144"/>
        <v>Base_With Amendment</v>
      </c>
      <c r="D2909" s="118" t="s">
        <v>134</v>
      </c>
      <c r="E2909" s="118" t="s">
        <v>181</v>
      </c>
      <c r="F2909" s="118" t="s">
        <v>46</v>
      </c>
      <c r="G2909" s="153" t="s">
        <v>51</v>
      </c>
      <c r="H2909" s="154"/>
      <c r="I2909" s="154" t="s">
        <v>47</v>
      </c>
      <c r="J2909" s="154" t="s">
        <v>52</v>
      </c>
      <c r="K2909" s="154" t="s">
        <v>27</v>
      </c>
      <c r="L2909" s="154" t="str">
        <f>IF(OpenLCAbasic!K2909="CTUh", "Fill in Manually",IF(OR(K2909="Unit", K2909=""), "", INDEX(LookUps!$E$5:$E$12, MATCH(OpenLCAbasic!K2909,LookUps!$D$5:$D$12,0))))</f>
        <v/>
      </c>
      <c r="M2909" s="154" t="str">
        <f t="shared" si="145"/>
        <v>High_Base_High_Upgraded__Process_Base_With Amendment_Windrow</v>
      </c>
    </row>
    <row r="2910" spans="1:13" s="120" customFormat="1" x14ac:dyDescent="0.25">
      <c r="A2910" s="119"/>
      <c r="B2910" s="138" t="str">
        <f t="shared" si="143"/>
        <v>Windrow</v>
      </c>
      <c r="C2910" s="138" t="str">
        <f t="shared" si="144"/>
        <v>Base_With Amendment</v>
      </c>
      <c r="D2910" s="118" t="s">
        <v>134</v>
      </c>
      <c r="E2910" s="118" t="s">
        <v>181</v>
      </c>
      <c r="F2910" s="118" t="s">
        <v>46</v>
      </c>
      <c r="G2910" s="153"/>
      <c r="H2910" s="155">
        <v>1.4743999999999999</v>
      </c>
      <c r="I2910" s="154" t="s">
        <v>55</v>
      </c>
      <c r="J2910" s="203">
        <v>1.7219999999999999E-2</v>
      </c>
      <c r="K2910" s="154" t="s">
        <v>24</v>
      </c>
      <c r="L2910" s="154" t="str">
        <f>IF(OpenLCAbasic!K2910="CTUh", "Fill in Manually",IF(OR(K2910="Unit", K2910=""), "", INDEX(LookUps!$E$5:$E$12, MATCH(OpenLCAbasic!K2910,LookUps!$D$5:$D$12,0))))</f>
        <v>Acidification Potential (AP) - kg SO2 eq</v>
      </c>
      <c r="M2910" s="154" t="str">
        <f t="shared" si="145"/>
        <v>High_Base_High_Upgraded_Acidification Potential (AP) - kg SO2 eq_Aeration Tanks; wastewater treatment unit; at updated plant - US_Base_With Amendment_Windrow</v>
      </c>
    </row>
    <row r="2911" spans="1:13" s="120" customFormat="1" x14ac:dyDescent="0.25">
      <c r="A2911" s="119"/>
      <c r="B2911" s="138" t="str">
        <f t="shared" si="143"/>
        <v>Windrow</v>
      </c>
      <c r="C2911" s="138" t="str">
        <f t="shared" si="144"/>
        <v>Base_With Amendment</v>
      </c>
      <c r="D2911" s="118" t="s">
        <v>134</v>
      </c>
      <c r="E2911" s="118" t="s">
        <v>181</v>
      </c>
      <c r="F2911" s="118" t="s">
        <v>46</v>
      </c>
      <c r="G2911" s="153"/>
      <c r="H2911" s="155">
        <v>0.86029999999999995</v>
      </c>
      <c r="I2911" s="154" t="s">
        <v>271</v>
      </c>
      <c r="J2911" s="203">
        <v>1.005E-2</v>
      </c>
      <c r="K2911" s="154" t="s">
        <v>24</v>
      </c>
      <c r="L2911" s="154" t="str">
        <f>IF(OpenLCAbasic!K2911="CTUh", "Fill in Manually",IF(OR(K2911="Unit", K2911=""), "", INDEX(LookUps!$E$5:$E$12, MATCH(OpenLCAbasic!K2911,LookUps!$D$5:$D$12,0))))</f>
        <v>Acidification Potential (AP) - kg SO2 eq</v>
      </c>
      <c r="M2911" s="154" t="str">
        <f t="shared" si="145"/>
        <v>High_Base_High_Upgraded_Acidification Potential (AP) - kg SO2 eq_Biosolids composting; windrow composting; wastewater treatment unit; at updated plant - US_Base_With Amendment_Windrow</v>
      </c>
    </row>
    <row r="2912" spans="1:13" s="120" customFormat="1" x14ac:dyDescent="0.25">
      <c r="A2912" s="119"/>
      <c r="B2912" s="138" t="str">
        <f t="shared" si="143"/>
        <v>Windrow</v>
      </c>
      <c r="C2912" s="138" t="str">
        <f t="shared" si="144"/>
        <v>Base_With Amendment</v>
      </c>
      <c r="D2912" s="118" t="s">
        <v>134</v>
      </c>
      <c r="E2912" s="118" t="s">
        <v>181</v>
      </c>
      <c r="F2912" s="118" t="s">
        <v>46</v>
      </c>
      <c r="G2912" s="153"/>
      <c r="H2912" s="155">
        <v>0.4264</v>
      </c>
      <c r="I2912" s="154" t="s">
        <v>54</v>
      </c>
      <c r="J2912" s="204">
        <v>4.9800000000000001E-3</v>
      </c>
      <c r="K2912" s="154" t="s">
        <v>24</v>
      </c>
      <c r="L2912" s="154" t="str">
        <f>IF(OpenLCAbasic!K2912="CTUh", "Fill in Manually",IF(OR(K2912="Unit", K2912=""), "", INDEX(LookUps!$E$5:$E$12, MATCH(OpenLCAbasic!K2912,LookUps!$D$5:$D$12,0))))</f>
        <v>Acidification Potential (AP) - kg SO2 eq</v>
      </c>
      <c r="M2912" s="154" t="str">
        <f t="shared" si="145"/>
        <v>High_Base_High_Upgraded_Acidification Potential (AP) - kg SO2 eq_Clear Cove Primary Clarification; wastewater treatment unit; at updated plant - US_Base_With Amendment_Windrow</v>
      </c>
    </row>
    <row r="2913" spans="1:13" s="120" customFormat="1" x14ac:dyDescent="0.25">
      <c r="A2913" s="119"/>
      <c r="B2913" s="138" t="str">
        <f t="shared" si="143"/>
        <v>Windrow</v>
      </c>
      <c r="C2913" s="138" t="str">
        <f t="shared" si="144"/>
        <v>Base_With Amendment</v>
      </c>
      <c r="D2913" s="118" t="s">
        <v>134</v>
      </c>
      <c r="E2913" s="118" t="s">
        <v>181</v>
      </c>
      <c r="F2913" s="118" t="s">
        <v>46</v>
      </c>
      <c r="G2913" s="153"/>
      <c r="H2913" s="155">
        <v>0.37090000000000001</v>
      </c>
      <c r="I2913" s="154" t="s">
        <v>58</v>
      </c>
      <c r="J2913" s="204">
        <v>4.3299999999999996E-3</v>
      </c>
      <c r="K2913" s="154" t="s">
        <v>24</v>
      </c>
      <c r="L2913" s="154" t="str">
        <f>IF(OpenLCAbasic!K2913="CTUh", "Fill in Manually",IF(OR(K2913="Unit", K2913=""), "", INDEX(LookUps!$E$5:$E$12, MATCH(OpenLCAbasic!K2913,LookUps!$D$5:$D$12,0))))</f>
        <v>Acidification Potential (AP) - kg SO2 eq</v>
      </c>
      <c r="M2913" s="154" t="str">
        <f t="shared" si="145"/>
        <v>High_Base_High_Upgraded_Acidification Potential (AP) - kg SO2 eq_Pre-Anoxic &amp; Swing tank; wastewater treatment unit; at updated plant - US_Base_With Amendment_Windrow</v>
      </c>
    </row>
    <row r="2914" spans="1:13" s="120" customFormat="1" x14ac:dyDescent="0.25">
      <c r="A2914" s="119"/>
      <c r="B2914" s="138" t="str">
        <f t="shared" si="143"/>
        <v>Windrow</v>
      </c>
      <c r="C2914" s="138" t="str">
        <f t="shared" si="144"/>
        <v>Base_With Amendment</v>
      </c>
      <c r="D2914" s="118" t="s">
        <v>134</v>
      </c>
      <c r="E2914" s="118" t="s">
        <v>181</v>
      </c>
      <c r="F2914" s="118" t="s">
        <v>46</v>
      </c>
      <c r="G2914" s="153"/>
      <c r="H2914" s="155">
        <v>0.29549999999999998</v>
      </c>
      <c r="I2914" s="154" t="s">
        <v>53</v>
      </c>
      <c r="J2914" s="204">
        <v>3.4499999999999999E-3</v>
      </c>
      <c r="K2914" s="154" t="s">
        <v>24</v>
      </c>
      <c r="L2914" s="154" t="str">
        <f>IF(OpenLCAbasic!K2914="CTUh", "Fill in Manually",IF(OR(K2914="Unit", K2914=""), "", INDEX(LookUps!$E$5:$E$12, MATCH(OpenLCAbasic!K2914,LookUps!$D$5:$D$12,0))))</f>
        <v>Acidification Potential (AP) - kg SO2 eq</v>
      </c>
      <c r="M2914" s="154" t="str">
        <f t="shared" si="145"/>
        <v>High_Base_High_Upgraded_Acidification Potential (AP) - kg SO2 eq_Wet Well and Sump Station; wastewater treatment unit; at updated plant - US_Base_With Amendment_Windrow</v>
      </c>
    </row>
    <row r="2915" spans="1:13" s="120" customFormat="1" x14ac:dyDescent="0.25">
      <c r="A2915" s="119"/>
      <c r="B2915" s="138" t="str">
        <f t="shared" si="143"/>
        <v>Windrow</v>
      </c>
      <c r="C2915" s="138" t="str">
        <f t="shared" si="144"/>
        <v>Base_With Amendment</v>
      </c>
      <c r="D2915" s="118" t="s">
        <v>134</v>
      </c>
      <c r="E2915" s="118" t="s">
        <v>181</v>
      </c>
      <c r="F2915" s="118" t="s">
        <v>46</v>
      </c>
      <c r="G2915" s="153"/>
      <c r="H2915" s="155">
        <v>0.2034</v>
      </c>
      <c r="I2915" s="154" t="s">
        <v>167</v>
      </c>
      <c r="J2915" s="204">
        <v>2.3800000000000002E-3</v>
      </c>
      <c r="K2915" s="154" t="s">
        <v>24</v>
      </c>
      <c r="L2915" s="154" t="str">
        <f>IF(OpenLCAbasic!K2915="CTUh", "Fill in Manually",IF(OR(K2915="Unit", K2915=""), "", INDEX(LookUps!$E$5:$E$12, MATCH(OpenLCAbasic!K2915,LookUps!$D$5:$D$12,0))))</f>
        <v>Acidification Potential (AP) - kg SO2 eq</v>
      </c>
      <c r="M2915" s="154" t="str">
        <f t="shared" si="145"/>
        <v>High_Base_High_Upgraded_Acidification Potential (AP) - kg SO2 eq_Waste Receiving and Holding; wastewater treatment unit; at updated plant - US_Base_With Amendment_Windrow</v>
      </c>
    </row>
    <row r="2916" spans="1:13" s="120" customFormat="1" x14ac:dyDescent="0.25">
      <c r="A2916" s="119"/>
      <c r="B2916" s="138" t="str">
        <f t="shared" si="143"/>
        <v>Windrow</v>
      </c>
      <c r="C2916" s="138" t="str">
        <f t="shared" si="144"/>
        <v>Base_With Amendment</v>
      </c>
      <c r="D2916" s="118" t="s">
        <v>134</v>
      </c>
      <c r="E2916" s="118" t="s">
        <v>181</v>
      </c>
      <c r="F2916" s="118" t="s">
        <v>46</v>
      </c>
      <c r="G2916" s="153"/>
      <c r="H2916" s="155">
        <v>0.1918</v>
      </c>
      <c r="I2916" s="154" t="s">
        <v>62</v>
      </c>
      <c r="J2916" s="204">
        <v>2.2399999999999998E-3</v>
      </c>
      <c r="K2916" s="154" t="s">
        <v>24</v>
      </c>
      <c r="L2916" s="154" t="str">
        <f>IF(OpenLCAbasic!K2916="CTUh", "Fill in Manually",IF(OR(K2916="Unit", K2916=""), "", INDEX(LookUps!$E$5:$E$12, MATCH(OpenLCAbasic!K2916,LookUps!$D$5:$D$12,0))))</f>
        <v>Acidification Potential (AP) - kg SO2 eq</v>
      </c>
      <c r="M2916" s="154" t="str">
        <f t="shared" si="145"/>
        <v>High_Base_High_Upgraded_Acidification Potential (AP) - kg SO2 eq_Land application of compost; wastewater treatment unit; at updated plant - US_Base_With Amendment_Windrow</v>
      </c>
    </row>
    <row r="2917" spans="1:13" s="120" customFormat="1" x14ac:dyDescent="0.25">
      <c r="A2917" s="119"/>
      <c r="B2917" s="138" t="str">
        <f t="shared" si="143"/>
        <v>Windrow</v>
      </c>
      <c r="C2917" s="138" t="str">
        <f t="shared" si="144"/>
        <v>Base_With Amendment</v>
      </c>
      <c r="D2917" s="118" t="s">
        <v>134</v>
      </c>
      <c r="E2917" s="118" t="s">
        <v>181</v>
      </c>
      <c r="F2917" s="118" t="s">
        <v>46</v>
      </c>
      <c r="G2917" s="153"/>
      <c r="H2917" s="155">
        <v>0.17710000000000001</v>
      </c>
      <c r="I2917" s="154" t="s">
        <v>147</v>
      </c>
      <c r="J2917" s="204">
        <v>2.0699999999999998E-3</v>
      </c>
      <c r="K2917" s="154" t="s">
        <v>24</v>
      </c>
      <c r="L2917" s="154" t="str">
        <f>IF(OpenLCAbasic!K2917="CTUh", "Fill in Manually",IF(OR(K2917="Unit", K2917=""), "", INDEX(LookUps!$E$5:$E$12, MATCH(OpenLCAbasic!K2917,LookUps!$D$5:$D$12,0))))</f>
        <v>Acidification Potential (AP) - kg SO2 eq</v>
      </c>
      <c r="M2917" s="154" t="str">
        <f t="shared" si="145"/>
        <v>High_Base_High_Upgraded_Acidification Potential (AP) - kg SO2 eq_Influent Pump Station; wastewater treatment unit; at updated plant - US_Base_With Amendment_Windrow</v>
      </c>
    </row>
    <row r="2918" spans="1:13" s="120" customFormat="1" x14ac:dyDescent="0.25">
      <c r="A2918" s="119"/>
      <c r="B2918" s="138" t="str">
        <f t="shared" si="143"/>
        <v>Windrow</v>
      </c>
      <c r="C2918" s="138" t="str">
        <f t="shared" si="144"/>
        <v>Base_With Amendment</v>
      </c>
      <c r="D2918" s="118" t="s">
        <v>134</v>
      </c>
      <c r="E2918" s="118" t="s">
        <v>181</v>
      </c>
      <c r="F2918" s="118" t="s">
        <v>46</v>
      </c>
      <c r="G2918" s="153"/>
      <c r="H2918" s="155">
        <v>0.1056</v>
      </c>
      <c r="I2918" s="154" t="s">
        <v>128</v>
      </c>
      <c r="J2918" s="204">
        <v>1.23E-3</v>
      </c>
      <c r="K2918" s="154" t="s">
        <v>24</v>
      </c>
      <c r="L2918" s="154" t="str">
        <f>IF(OpenLCAbasic!K2918="CTUh", "Fill in Manually",IF(OR(K2918="Unit", K2918=""), "", INDEX(LookUps!$E$5:$E$12, MATCH(OpenLCAbasic!K2918,LookUps!$D$5:$D$12,0))))</f>
        <v>Acidification Potential (AP) - kg SO2 eq</v>
      </c>
      <c r="M2918" s="154" t="str">
        <f t="shared" si="145"/>
        <v>High_Base_High_Upgraded_Acidification Potential (AP) - kg SO2 eq_Wastewater collection; operation and infrastructure; m3 wastewater_Base_With Amendment_Windrow</v>
      </c>
    </row>
    <row r="2919" spans="1:13" s="120" customFormat="1" x14ac:dyDescent="0.25">
      <c r="A2919" s="119"/>
      <c r="B2919" s="138" t="str">
        <f t="shared" si="143"/>
        <v>Windrow</v>
      </c>
      <c r="C2919" s="138" t="str">
        <f t="shared" si="144"/>
        <v>Base_With Amendment</v>
      </c>
      <c r="D2919" s="118" t="s">
        <v>134</v>
      </c>
      <c r="E2919" s="118" t="s">
        <v>181</v>
      </c>
      <c r="F2919" s="118" t="s">
        <v>46</v>
      </c>
      <c r="G2919" s="153"/>
      <c r="H2919" s="155">
        <v>6.3700000000000007E-2</v>
      </c>
      <c r="I2919" s="154" t="s">
        <v>60</v>
      </c>
      <c r="J2919" s="204">
        <v>7.3999999999999999E-4</v>
      </c>
      <c r="K2919" s="154" t="s">
        <v>24</v>
      </c>
      <c r="L2919" s="154" t="str">
        <f>IF(OpenLCAbasic!K2919="CTUh", "Fill in Manually",IF(OR(K2919="Unit", K2919=""), "", INDEX(LookUps!$E$5:$E$12, MATCH(OpenLCAbasic!K2919,LookUps!$D$5:$D$12,0))))</f>
        <v>Acidification Potential (AP) - kg SO2 eq</v>
      </c>
      <c r="M2919" s="154" t="str">
        <f t="shared" si="145"/>
        <v>High_Base_High_Upgraded_Acidification Potential (AP) - kg SO2 eq_Belt filter press; wastewater treatment unit; at updated plant - US_Base_With Amendment_Windrow</v>
      </c>
    </row>
    <row r="2920" spans="1:13" s="120" customFormat="1" x14ac:dyDescent="0.25">
      <c r="A2920" s="119"/>
      <c r="B2920" s="138" t="str">
        <f t="shared" si="143"/>
        <v>Windrow</v>
      </c>
      <c r="C2920" s="138" t="str">
        <f t="shared" si="144"/>
        <v>Base_With Amendment</v>
      </c>
      <c r="D2920" s="118" t="s">
        <v>134</v>
      </c>
      <c r="E2920" s="118" t="s">
        <v>181</v>
      </c>
      <c r="F2920" s="118" t="s">
        <v>46</v>
      </c>
      <c r="G2920" s="153"/>
      <c r="H2920" s="155">
        <v>6.0299999999999999E-2</v>
      </c>
      <c r="I2920" s="154" t="s">
        <v>57</v>
      </c>
      <c r="J2920" s="204">
        <v>6.9999999999999999E-4</v>
      </c>
      <c r="K2920" s="154" t="s">
        <v>24</v>
      </c>
      <c r="L2920" s="154" t="str">
        <f>IF(OpenLCAbasic!K2920="CTUh", "Fill in Manually",IF(OR(K2920="Unit", K2920=""), "", INDEX(LookUps!$E$5:$E$12, MATCH(OpenLCAbasic!K2920,LookUps!$D$5:$D$12,0))))</f>
        <v>Acidification Potential (AP) - kg SO2 eq</v>
      </c>
      <c r="M2920" s="154" t="str">
        <f t="shared" si="145"/>
        <v>High_Base_High_Upgraded_Acidification Potential (AP) - kg SO2 eq_Gravity Belt Thickener; wastewater treatment unit; at updated plant - US_Base_With Amendment_Windrow</v>
      </c>
    </row>
    <row r="2921" spans="1:13" s="120" customFormat="1" x14ac:dyDescent="0.25">
      <c r="A2921" s="119"/>
      <c r="B2921" s="138" t="str">
        <f t="shared" si="143"/>
        <v>Windrow</v>
      </c>
      <c r="C2921" s="138" t="str">
        <f t="shared" si="144"/>
        <v>Base_With Amendment</v>
      </c>
      <c r="D2921" s="118" t="s">
        <v>134</v>
      </c>
      <c r="E2921" s="118" t="s">
        <v>181</v>
      </c>
      <c r="F2921" s="118" t="s">
        <v>46</v>
      </c>
      <c r="G2921" s="153"/>
      <c r="H2921" s="155">
        <v>4.4200000000000003E-2</v>
      </c>
      <c r="I2921" s="154" t="s">
        <v>59</v>
      </c>
      <c r="J2921" s="204">
        <v>5.1999999999999995E-4</v>
      </c>
      <c r="K2921" s="154" t="s">
        <v>24</v>
      </c>
      <c r="L2921" s="154" t="str">
        <f>IF(OpenLCAbasic!K2921="CTUh", "Fill in Manually",IF(OR(K2921="Unit", K2921=""), "", INDEX(LookUps!$E$5:$E$12, MATCH(OpenLCAbasic!K2921,LookUps!$D$5:$D$12,0))))</f>
        <v>Acidification Potential (AP) - kg SO2 eq</v>
      </c>
      <c r="M2921" s="154" t="str">
        <f t="shared" si="145"/>
        <v>High_Base_High_Upgraded_Acidification Potential (AP) - kg SO2 eq_Blend Tank; wastewater treatment unit; at updated plant - US_Base_With Amendment_Windrow</v>
      </c>
    </row>
    <row r="2922" spans="1:13" s="120" customFormat="1" x14ac:dyDescent="0.25">
      <c r="A2922" s="119"/>
      <c r="B2922" s="138" t="str">
        <f t="shared" si="143"/>
        <v>Windrow</v>
      </c>
      <c r="C2922" s="138" t="str">
        <f t="shared" si="144"/>
        <v>Base_With Amendment</v>
      </c>
      <c r="D2922" s="118" t="s">
        <v>134</v>
      </c>
      <c r="E2922" s="118" t="s">
        <v>181</v>
      </c>
      <c r="F2922" s="118" t="s">
        <v>46</v>
      </c>
      <c r="G2922" s="153"/>
      <c r="H2922" s="155">
        <v>2.9700000000000001E-2</v>
      </c>
      <c r="I2922" s="154" t="s">
        <v>48</v>
      </c>
      <c r="J2922" s="204">
        <v>3.5E-4</v>
      </c>
      <c r="K2922" s="154" t="s">
        <v>24</v>
      </c>
      <c r="L2922" s="154" t="str">
        <f>IF(OpenLCAbasic!K2922="CTUh", "Fill in Manually",IF(OR(K2922="Unit", K2922=""), "", INDEX(LookUps!$E$5:$E$12, MATCH(OpenLCAbasic!K2922,LookUps!$D$5:$D$12,0))))</f>
        <v>Acidification Potential (AP) - kg SO2 eq</v>
      </c>
      <c r="M2922" s="154" t="str">
        <f t="shared" si="145"/>
        <v>High_Base_High_Upgraded_Acidification Potential (AP) - kg SO2 eq_Effluent release; wastewater treatment unit; at surface water; m3 wastewater - US_Base_With Amendment_Windrow</v>
      </c>
    </row>
    <row r="2923" spans="1:13" s="120" customFormat="1" x14ac:dyDescent="0.25">
      <c r="A2923" s="119"/>
      <c r="B2923" s="138" t="str">
        <f t="shared" si="143"/>
        <v>Windrow</v>
      </c>
      <c r="C2923" s="138" t="str">
        <f t="shared" si="144"/>
        <v>Base_With Amendment</v>
      </c>
      <c r="D2923" s="118" t="s">
        <v>134</v>
      </c>
      <c r="E2923" s="118" t="s">
        <v>181</v>
      </c>
      <c r="F2923" s="118" t="s">
        <v>46</v>
      </c>
      <c r="G2923" s="153"/>
      <c r="H2923" s="155">
        <v>2.1899999999999999E-2</v>
      </c>
      <c r="I2923" s="154" t="s">
        <v>168</v>
      </c>
      <c r="J2923" s="204">
        <v>2.5999999999999998E-4</v>
      </c>
      <c r="K2923" s="154" t="s">
        <v>24</v>
      </c>
      <c r="L2923" s="154" t="str">
        <f>IF(OpenLCAbasic!K2923="CTUh", "Fill in Manually",IF(OR(K2923="Unit", K2923=""), "", INDEX(LookUps!$E$5:$E$12, MATCH(OpenLCAbasic!K2923,LookUps!$D$5:$D$12,0))))</f>
        <v>Acidification Potential (AP) - kg SO2 eq</v>
      </c>
      <c r="M2923" s="154" t="str">
        <f t="shared" si="145"/>
        <v>High_Base_High_Upgraded_Acidification Potential (AP) - kg SO2 eq_ClearCove SCP; wastewater treatment unit; at updated plant - US_Base_With Amendment_Windrow</v>
      </c>
    </row>
    <row r="2924" spans="1:13" s="120" customFormat="1" x14ac:dyDescent="0.25">
      <c r="A2924" s="119"/>
      <c r="B2924" s="138" t="str">
        <f t="shared" si="143"/>
        <v>Windrow</v>
      </c>
      <c r="C2924" s="138" t="str">
        <f t="shared" si="144"/>
        <v>Base_With Amendment</v>
      </c>
      <c r="D2924" s="118" t="s">
        <v>134</v>
      </c>
      <c r="E2924" s="118" t="s">
        <v>181</v>
      </c>
      <c r="F2924" s="118" t="s">
        <v>46</v>
      </c>
      <c r="G2924" s="153"/>
      <c r="H2924" s="155">
        <v>3.5000000000000001E-3</v>
      </c>
      <c r="I2924" s="154" t="s">
        <v>148</v>
      </c>
      <c r="J2924" s="204">
        <v>4.0354700000000002E-5</v>
      </c>
      <c r="K2924" s="154" t="s">
        <v>24</v>
      </c>
      <c r="L2924" s="154" t="str">
        <f>IF(OpenLCAbasic!K2924="CTUh", "Fill in Manually",IF(OR(K2924="Unit", K2924=""), "", INDEX(LookUps!$E$5:$E$12, MATCH(OpenLCAbasic!K2924,LookUps!$D$5:$D$12,0))))</f>
        <v>Acidification Potential (AP) - kg SO2 eq</v>
      </c>
      <c r="M2924" s="154" t="str">
        <f t="shared" si="145"/>
        <v>High_Base_High_Upgraded_Acidification Potential (AP) - kg SO2 eq_Control Building; at upgraded wastewater treatment plant - US_Base_With Amendment_Windrow</v>
      </c>
    </row>
    <row r="2925" spans="1:13" s="120" customFormat="1" x14ac:dyDescent="0.25">
      <c r="A2925" s="119"/>
      <c r="B2925" s="138" t="str">
        <f t="shared" si="143"/>
        <v>Windrow</v>
      </c>
      <c r="C2925" s="138" t="str">
        <f t="shared" si="144"/>
        <v>Base_With Amendment</v>
      </c>
      <c r="D2925" s="118" t="s">
        <v>134</v>
      </c>
      <c r="E2925" s="118" t="s">
        <v>181</v>
      </c>
      <c r="F2925" s="118" t="s">
        <v>46</v>
      </c>
      <c r="G2925" s="153"/>
      <c r="H2925" s="155">
        <v>-3.3285</v>
      </c>
      <c r="I2925" s="154" t="s">
        <v>149</v>
      </c>
      <c r="J2925" s="203">
        <v>-3.8870000000000002E-2</v>
      </c>
      <c r="K2925" s="154" t="s">
        <v>24</v>
      </c>
      <c r="L2925" s="154" t="str">
        <f>IF(OpenLCAbasic!K2925="CTUh", "Fill in Manually",IF(OR(K2925="Unit", K2925=""), "", INDEX(LookUps!$E$5:$E$12, MATCH(OpenLCAbasic!K2925,LookUps!$D$5:$D$12,0))))</f>
        <v>Acidification Potential (AP) - kg SO2 eq</v>
      </c>
      <c r="M2925" s="154" t="str">
        <f t="shared" si="145"/>
        <v>High_Base_High_Upgraded_Acidification Potential (AP) - kg SO2 eq_Anaerobic Digestion; wastewater treatment unit; at updated plant - US_Base_With Amendment_Windrow</v>
      </c>
    </row>
    <row r="2926" spans="1:13" s="120" customFormat="1" x14ac:dyDescent="0.25">
      <c r="A2926" s="119"/>
      <c r="B2926" s="138" t="str">
        <f t="shared" si="143"/>
        <v>Windrow</v>
      </c>
      <c r="C2926" s="138" t="str">
        <f t="shared" si="144"/>
        <v>Base_With Amendment</v>
      </c>
      <c r="D2926" s="118" t="s">
        <v>134</v>
      </c>
      <c r="E2926" s="118" t="s">
        <v>181</v>
      </c>
      <c r="F2926" s="118" t="s">
        <v>46</v>
      </c>
      <c r="G2926" s="153" t="s">
        <v>51</v>
      </c>
      <c r="H2926" s="154"/>
      <c r="I2926" s="154" t="s">
        <v>47</v>
      </c>
      <c r="J2926" s="154" t="s">
        <v>52</v>
      </c>
      <c r="K2926" s="154" t="s">
        <v>27</v>
      </c>
      <c r="L2926" s="154" t="str">
        <f>IF(OpenLCAbasic!K2926="CTUh", "Fill in Manually",IF(OR(K2926="Unit", K2926=""), "", INDEX(LookUps!$E$5:$E$12, MATCH(OpenLCAbasic!K2926,LookUps!$D$5:$D$12,0))))</f>
        <v/>
      </c>
      <c r="M2926" s="154" t="str">
        <f t="shared" si="145"/>
        <v>High_Base_High_Upgraded__Process_Base_With Amendment_Windrow</v>
      </c>
    </row>
    <row r="2927" spans="1:13" s="120" customFormat="1" x14ac:dyDescent="0.25">
      <c r="A2927" s="119"/>
      <c r="B2927" s="138" t="str">
        <f t="shared" si="143"/>
        <v>Windrow</v>
      </c>
      <c r="C2927" s="138" t="str">
        <f t="shared" si="144"/>
        <v>Base_With Amendment</v>
      </c>
      <c r="D2927" s="118" t="s">
        <v>134</v>
      </c>
      <c r="E2927" s="118" t="s">
        <v>181</v>
      </c>
      <c r="F2927" s="118" t="s">
        <v>46</v>
      </c>
      <c r="G2927" s="153"/>
      <c r="H2927" s="155">
        <v>21.323799999999999</v>
      </c>
      <c r="I2927" s="154" t="s">
        <v>167</v>
      </c>
      <c r="J2927" s="203">
        <v>7.9170000000000004E-2</v>
      </c>
      <c r="K2927" s="154" t="s">
        <v>14</v>
      </c>
      <c r="L2927" s="154" t="str">
        <f>IF(OpenLCAbasic!K2927="CTUh", "Fill in Manually",IF(OR(K2927="Unit", K2927=""), "", INDEX(LookUps!$E$5:$E$12, MATCH(OpenLCAbasic!K2927,LookUps!$D$5:$D$12,0))))</f>
        <v>Fossil Depletion Potential (FDP) - kg oil eq</v>
      </c>
      <c r="M2927" s="154" t="str">
        <f t="shared" si="145"/>
        <v>High_Base_High_Upgraded_Fossil Depletion Potential (FDP) - kg oil eq_Waste Receiving and Holding; wastewater treatment unit; at updated plant - US_Base_With Amendment_Windrow</v>
      </c>
    </row>
    <row r="2928" spans="1:13" s="120" customFormat="1" x14ac:dyDescent="0.25">
      <c r="A2928" s="119"/>
      <c r="B2928" s="138" t="str">
        <f t="shared" si="143"/>
        <v>Windrow</v>
      </c>
      <c r="C2928" s="138" t="str">
        <f t="shared" si="144"/>
        <v>Base_With Amendment</v>
      </c>
      <c r="D2928" s="118" t="s">
        <v>134</v>
      </c>
      <c r="E2928" s="118" t="s">
        <v>181</v>
      </c>
      <c r="F2928" s="118" t="s">
        <v>46</v>
      </c>
      <c r="G2928" s="153"/>
      <c r="H2928" s="155">
        <v>17.127800000000001</v>
      </c>
      <c r="I2928" s="154" t="s">
        <v>55</v>
      </c>
      <c r="J2928" s="203">
        <v>6.3589999999999994E-2</v>
      </c>
      <c r="K2928" s="154" t="s">
        <v>14</v>
      </c>
      <c r="L2928" s="154" t="str">
        <f>IF(OpenLCAbasic!K2928="CTUh", "Fill in Manually",IF(OR(K2928="Unit", K2928=""), "", INDEX(LookUps!$E$5:$E$12, MATCH(OpenLCAbasic!K2928,LookUps!$D$5:$D$12,0))))</f>
        <v>Fossil Depletion Potential (FDP) - kg oil eq</v>
      </c>
      <c r="M2928" s="154" t="str">
        <f t="shared" si="145"/>
        <v>High_Base_High_Upgraded_Fossil Depletion Potential (FDP) - kg oil eq_Aeration Tanks; wastewater treatment unit; at updated plant - US_Base_With Amendment_Windrow</v>
      </c>
    </row>
    <row r="2929" spans="1:13" s="120" customFormat="1" x14ac:dyDescent="0.25">
      <c r="A2929" s="119"/>
      <c r="B2929" s="138" t="str">
        <f t="shared" si="143"/>
        <v>Windrow</v>
      </c>
      <c r="C2929" s="138" t="str">
        <f t="shared" si="144"/>
        <v>Base_With Amendment</v>
      </c>
      <c r="D2929" s="118" t="s">
        <v>134</v>
      </c>
      <c r="E2929" s="118" t="s">
        <v>181</v>
      </c>
      <c r="F2929" s="118" t="s">
        <v>46</v>
      </c>
      <c r="G2929" s="153"/>
      <c r="H2929" s="155">
        <v>5.6698000000000004</v>
      </c>
      <c r="I2929" s="154" t="s">
        <v>54</v>
      </c>
      <c r="J2929" s="203">
        <v>2.1049999999999999E-2</v>
      </c>
      <c r="K2929" s="154" t="s">
        <v>14</v>
      </c>
      <c r="L2929" s="154" t="str">
        <f>IF(OpenLCAbasic!K2929="CTUh", "Fill in Manually",IF(OR(K2929="Unit", K2929=""), "", INDEX(LookUps!$E$5:$E$12, MATCH(OpenLCAbasic!K2929,LookUps!$D$5:$D$12,0))))</f>
        <v>Fossil Depletion Potential (FDP) - kg oil eq</v>
      </c>
      <c r="M2929" s="154" t="str">
        <f t="shared" si="145"/>
        <v>High_Base_High_Upgraded_Fossil Depletion Potential (FDP) - kg oil eq_Clear Cove Primary Clarification; wastewater treatment unit; at updated plant - US_Base_With Amendment_Windrow</v>
      </c>
    </row>
    <row r="2930" spans="1:13" s="120" customFormat="1" x14ac:dyDescent="0.25">
      <c r="A2930" s="119"/>
      <c r="B2930" s="138" t="str">
        <f t="shared" si="143"/>
        <v>Windrow</v>
      </c>
      <c r="C2930" s="138" t="str">
        <f t="shared" si="144"/>
        <v>Base_With Amendment</v>
      </c>
      <c r="D2930" s="118" t="s">
        <v>134</v>
      </c>
      <c r="E2930" s="118" t="s">
        <v>181</v>
      </c>
      <c r="F2930" s="118" t="s">
        <v>46</v>
      </c>
      <c r="G2930" s="153"/>
      <c r="H2930" s="155">
        <v>4.2891000000000004</v>
      </c>
      <c r="I2930" s="154" t="s">
        <v>58</v>
      </c>
      <c r="J2930" s="203">
        <v>1.592E-2</v>
      </c>
      <c r="K2930" s="154" t="s">
        <v>14</v>
      </c>
      <c r="L2930" s="154" t="str">
        <f>IF(OpenLCAbasic!K2930="CTUh", "Fill in Manually",IF(OR(K2930="Unit", K2930=""), "", INDEX(LookUps!$E$5:$E$12, MATCH(OpenLCAbasic!K2930,LookUps!$D$5:$D$12,0))))</f>
        <v>Fossil Depletion Potential (FDP) - kg oil eq</v>
      </c>
      <c r="M2930" s="154" t="str">
        <f t="shared" si="145"/>
        <v>High_Base_High_Upgraded_Fossil Depletion Potential (FDP) - kg oil eq_Pre-Anoxic &amp; Swing tank; wastewater treatment unit; at updated plant - US_Base_With Amendment_Windrow</v>
      </c>
    </row>
    <row r="2931" spans="1:13" s="120" customFormat="1" x14ac:dyDescent="0.25">
      <c r="A2931" s="119"/>
      <c r="B2931" s="138" t="str">
        <f t="shared" si="143"/>
        <v>Windrow</v>
      </c>
      <c r="C2931" s="138" t="str">
        <f t="shared" si="144"/>
        <v>Base_With Amendment</v>
      </c>
      <c r="D2931" s="118" t="s">
        <v>134</v>
      </c>
      <c r="E2931" s="118" t="s">
        <v>181</v>
      </c>
      <c r="F2931" s="118" t="s">
        <v>46</v>
      </c>
      <c r="G2931" s="153"/>
      <c r="H2931" s="155">
        <v>4.0637999999999996</v>
      </c>
      <c r="I2931" s="154" t="s">
        <v>147</v>
      </c>
      <c r="J2931" s="203">
        <v>1.5089999999999999E-2</v>
      </c>
      <c r="K2931" s="154" t="s">
        <v>14</v>
      </c>
      <c r="L2931" s="154" t="str">
        <f>IF(OpenLCAbasic!K2931="CTUh", "Fill in Manually",IF(OR(K2931="Unit", K2931=""), "", INDEX(LookUps!$E$5:$E$12, MATCH(OpenLCAbasic!K2931,LookUps!$D$5:$D$12,0))))</f>
        <v>Fossil Depletion Potential (FDP) - kg oil eq</v>
      </c>
      <c r="M2931" s="154" t="str">
        <f t="shared" si="145"/>
        <v>High_Base_High_Upgraded_Fossil Depletion Potential (FDP) - kg oil eq_Influent Pump Station; wastewater treatment unit; at updated plant - US_Base_With Amendment_Windrow</v>
      </c>
    </row>
    <row r="2932" spans="1:13" s="120" customFormat="1" x14ac:dyDescent="0.25">
      <c r="A2932" s="119"/>
      <c r="B2932" s="138" t="str">
        <f t="shared" si="143"/>
        <v>Windrow</v>
      </c>
      <c r="C2932" s="138" t="str">
        <f t="shared" si="144"/>
        <v>Base_With Amendment</v>
      </c>
      <c r="D2932" s="118" t="s">
        <v>134</v>
      </c>
      <c r="E2932" s="118" t="s">
        <v>181</v>
      </c>
      <c r="F2932" s="118" t="s">
        <v>46</v>
      </c>
      <c r="G2932" s="153"/>
      <c r="H2932" s="155">
        <v>3.3637999999999999</v>
      </c>
      <c r="I2932" s="154" t="s">
        <v>53</v>
      </c>
      <c r="J2932" s="203">
        <v>1.2489999999999999E-2</v>
      </c>
      <c r="K2932" s="154" t="s">
        <v>14</v>
      </c>
      <c r="L2932" s="154" t="str">
        <f>IF(OpenLCAbasic!K2932="CTUh", "Fill in Manually",IF(OR(K2932="Unit", K2932=""), "", INDEX(LookUps!$E$5:$E$12, MATCH(OpenLCAbasic!K2932,LookUps!$D$5:$D$12,0))))</f>
        <v>Fossil Depletion Potential (FDP) - kg oil eq</v>
      </c>
      <c r="M2932" s="154" t="str">
        <f t="shared" si="145"/>
        <v>High_Base_High_Upgraded_Fossil Depletion Potential (FDP) - kg oil eq_Wet Well and Sump Station; wastewater treatment unit; at updated plant - US_Base_With Amendment_Windrow</v>
      </c>
    </row>
    <row r="2933" spans="1:13" s="120" customFormat="1" x14ac:dyDescent="0.25">
      <c r="A2933" s="119"/>
      <c r="B2933" s="138" t="str">
        <f t="shared" si="143"/>
        <v>Windrow</v>
      </c>
      <c r="C2933" s="138" t="str">
        <f t="shared" si="144"/>
        <v>Base_With Amendment</v>
      </c>
      <c r="D2933" s="118" t="s">
        <v>134</v>
      </c>
      <c r="E2933" s="118" t="s">
        <v>181</v>
      </c>
      <c r="F2933" s="118" t="s">
        <v>46</v>
      </c>
      <c r="G2933" s="153"/>
      <c r="H2933" s="155">
        <v>1.8628</v>
      </c>
      <c r="I2933" s="154" t="s">
        <v>57</v>
      </c>
      <c r="J2933" s="204">
        <v>6.9199999999999999E-3</v>
      </c>
      <c r="K2933" s="154" t="s">
        <v>14</v>
      </c>
      <c r="L2933" s="154" t="str">
        <f>IF(OpenLCAbasic!K2933="CTUh", "Fill in Manually",IF(OR(K2933="Unit", K2933=""), "", INDEX(LookUps!$E$5:$E$12, MATCH(OpenLCAbasic!K2933,LookUps!$D$5:$D$12,0))))</f>
        <v>Fossil Depletion Potential (FDP) - kg oil eq</v>
      </c>
      <c r="M2933" s="154" t="str">
        <f t="shared" si="145"/>
        <v>High_Base_High_Upgraded_Fossil Depletion Potential (FDP) - kg oil eq_Gravity Belt Thickener; wastewater treatment unit; at updated plant - US_Base_With Amendment_Windrow</v>
      </c>
    </row>
    <row r="2934" spans="1:13" s="120" customFormat="1" x14ac:dyDescent="0.25">
      <c r="A2934" s="119"/>
      <c r="B2934" s="138" t="str">
        <f t="shared" si="143"/>
        <v>Windrow</v>
      </c>
      <c r="C2934" s="138" t="str">
        <f t="shared" si="144"/>
        <v>Base_With Amendment</v>
      </c>
      <c r="D2934" s="118" t="s">
        <v>134</v>
      </c>
      <c r="E2934" s="118" t="s">
        <v>181</v>
      </c>
      <c r="F2934" s="118" t="s">
        <v>46</v>
      </c>
      <c r="G2934" s="153"/>
      <c r="H2934" s="155">
        <v>1.5085</v>
      </c>
      <c r="I2934" s="154" t="s">
        <v>60</v>
      </c>
      <c r="J2934" s="204">
        <v>5.5999999999999999E-3</v>
      </c>
      <c r="K2934" s="154" t="s">
        <v>14</v>
      </c>
      <c r="L2934" s="154" t="str">
        <f>IF(OpenLCAbasic!K2934="CTUh", "Fill in Manually",IF(OR(K2934="Unit", K2934=""), "", INDEX(LookUps!$E$5:$E$12, MATCH(OpenLCAbasic!K2934,LookUps!$D$5:$D$12,0))))</f>
        <v>Fossil Depletion Potential (FDP) - kg oil eq</v>
      </c>
      <c r="M2934" s="154" t="str">
        <f t="shared" si="145"/>
        <v>High_Base_High_Upgraded_Fossil Depletion Potential (FDP) - kg oil eq_Belt filter press; wastewater treatment unit; at updated plant - US_Base_With Amendment_Windrow</v>
      </c>
    </row>
    <row r="2935" spans="1:13" s="120" customFormat="1" x14ac:dyDescent="0.25">
      <c r="A2935" s="119"/>
      <c r="B2935" s="138" t="str">
        <f t="shared" si="143"/>
        <v>Windrow</v>
      </c>
      <c r="C2935" s="138" t="str">
        <f t="shared" si="144"/>
        <v>Base_With Amendment</v>
      </c>
      <c r="D2935" s="118" t="s">
        <v>134</v>
      </c>
      <c r="E2935" s="118" t="s">
        <v>181</v>
      </c>
      <c r="F2935" s="118" t="s">
        <v>46</v>
      </c>
      <c r="G2935" s="153"/>
      <c r="H2935" s="155">
        <v>1.2117</v>
      </c>
      <c r="I2935" s="154" t="s">
        <v>128</v>
      </c>
      <c r="J2935" s="204">
        <v>4.4999999999999997E-3</v>
      </c>
      <c r="K2935" s="154" t="s">
        <v>14</v>
      </c>
      <c r="L2935" s="154" t="str">
        <f>IF(OpenLCAbasic!K2935="CTUh", "Fill in Manually",IF(OR(K2935="Unit", K2935=""), "", INDEX(LookUps!$E$5:$E$12, MATCH(OpenLCAbasic!K2935,LookUps!$D$5:$D$12,0))))</f>
        <v>Fossil Depletion Potential (FDP) - kg oil eq</v>
      </c>
      <c r="M2935" s="154" t="str">
        <f t="shared" si="145"/>
        <v>High_Base_High_Upgraded_Fossil Depletion Potential (FDP) - kg oil eq_Wastewater collection; operation and infrastructure; m3 wastewater_Base_With Amendment_Windrow</v>
      </c>
    </row>
    <row r="2936" spans="1:13" s="120" customFormat="1" x14ac:dyDescent="0.25">
      <c r="A2936" s="119"/>
      <c r="B2936" s="138" t="str">
        <f t="shared" si="143"/>
        <v>Windrow</v>
      </c>
      <c r="C2936" s="138" t="str">
        <f t="shared" si="144"/>
        <v>Base_With Amendment</v>
      </c>
      <c r="D2936" s="118" t="s">
        <v>134</v>
      </c>
      <c r="E2936" s="118" t="s">
        <v>181</v>
      </c>
      <c r="F2936" s="118" t="s">
        <v>46</v>
      </c>
      <c r="G2936" s="153"/>
      <c r="H2936" s="155">
        <v>0.75349999999999995</v>
      </c>
      <c r="I2936" s="154" t="s">
        <v>148</v>
      </c>
      <c r="J2936" s="204">
        <v>2.8E-3</v>
      </c>
      <c r="K2936" s="154" t="s">
        <v>14</v>
      </c>
      <c r="L2936" s="154" t="str">
        <f>IF(OpenLCAbasic!K2936="CTUh", "Fill in Manually",IF(OR(K2936="Unit", K2936=""), "", INDEX(LookUps!$E$5:$E$12, MATCH(OpenLCAbasic!K2936,LookUps!$D$5:$D$12,0))))</f>
        <v>Fossil Depletion Potential (FDP) - kg oil eq</v>
      </c>
      <c r="M2936" s="154" t="str">
        <f t="shared" si="145"/>
        <v>High_Base_High_Upgraded_Fossil Depletion Potential (FDP) - kg oil eq_Control Building; at upgraded wastewater treatment plant - US_Base_With Amendment_Windrow</v>
      </c>
    </row>
    <row r="2937" spans="1:13" s="120" customFormat="1" x14ac:dyDescent="0.25">
      <c r="A2937" s="119"/>
      <c r="B2937" s="138" t="str">
        <f t="shared" si="143"/>
        <v>Windrow</v>
      </c>
      <c r="C2937" s="138" t="str">
        <f t="shared" si="144"/>
        <v>Base_With Amendment</v>
      </c>
      <c r="D2937" s="118" t="s">
        <v>134</v>
      </c>
      <c r="E2937" s="118" t="s">
        <v>181</v>
      </c>
      <c r="F2937" s="118" t="s">
        <v>46</v>
      </c>
      <c r="G2937" s="153"/>
      <c r="H2937" s="155">
        <v>0.63660000000000005</v>
      </c>
      <c r="I2937" s="154" t="s">
        <v>48</v>
      </c>
      <c r="J2937" s="204">
        <v>2.3600000000000001E-3</v>
      </c>
      <c r="K2937" s="154" t="s">
        <v>14</v>
      </c>
      <c r="L2937" s="154" t="str">
        <f>IF(OpenLCAbasic!K2937="CTUh", "Fill in Manually",IF(OR(K2937="Unit", K2937=""), "", INDEX(LookUps!$E$5:$E$12, MATCH(OpenLCAbasic!K2937,LookUps!$D$5:$D$12,0))))</f>
        <v>Fossil Depletion Potential (FDP) - kg oil eq</v>
      </c>
      <c r="M2937" s="154" t="str">
        <f t="shared" si="145"/>
        <v>High_Base_High_Upgraded_Fossil Depletion Potential (FDP) - kg oil eq_Effluent release; wastewater treatment unit; at surface water; m3 wastewater - US_Base_With Amendment_Windrow</v>
      </c>
    </row>
    <row r="2938" spans="1:13" s="120" customFormat="1" x14ac:dyDescent="0.25">
      <c r="A2938" s="119"/>
      <c r="B2938" s="138" t="str">
        <f t="shared" si="143"/>
        <v>Windrow</v>
      </c>
      <c r="C2938" s="138" t="str">
        <f t="shared" si="144"/>
        <v>Base_With Amendment</v>
      </c>
      <c r="D2938" s="118" t="s">
        <v>134</v>
      </c>
      <c r="E2938" s="118" t="s">
        <v>181</v>
      </c>
      <c r="F2938" s="118" t="s">
        <v>46</v>
      </c>
      <c r="G2938" s="153"/>
      <c r="H2938" s="155">
        <v>0.5171</v>
      </c>
      <c r="I2938" s="154" t="s">
        <v>59</v>
      </c>
      <c r="J2938" s="204">
        <v>1.92E-3</v>
      </c>
      <c r="K2938" s="154" t="s">
        <v>14</v>
      </c>
      <c r="L2938" s="154" t="str">
        <f>IF(OpenLCAbasic!K2938="CTUh", "Fill in Manually",IF(OR(K2938="Unit", K2938=""), "", INDEX(LookUps!$E$5:$E$12, MATCH(OpenLCAbasic!K2938,LookUps!$D$5:$D$12,0))))</f>
        <v>Fossil Depletion Potential (FDP) - kg oil eq</v>
      </c>
      <c r="M2938" s="154" t="str">
        <f t="shared" si="145"/>
        <v>High_Base_High_Upgraded_Fossil Depletion Potential (FDP) - kg oil eq_Blend Tank; wastewater treatment unit; at updated plant - US_Base_With Amendment_Windrow</v>
      </c>
    </row>
    <row r="2939" spans="1:13" s="120" customFormat="1" x14ac:dyDescent="0.25">
      <c r="A2939" s="119"/>
      <c r="B2939" s="138" t="str">
        <f t="shared" si="143"/>
        <v>Windrow</v>
      </c>
      <c r="C2939" s="138" t="str">
        <f t="shared" si="144"/>
        <v>Base_With Amendment</v>
      </c>
      <c r="D2939" s="118" t="s">
        <v>134</v>
      </c>
      <c r="E2939" s="118" t="s">
        <v>181</v>
      </c>
      <c r="F2939" s="118" t="s">
        <v>46</v>
      </c>
      <c r="G2939" s="153"/>
      <c r="H2939" s="155">
        <v>0.24640000000000001</v>
      </c>
      <c r="I2939" s="154" t="s">
        <v>168</v>
      </c>
      <c r="J2939" s="204">
        <v>9.1E-4</v>
      </c>
      <c r="K2939" s="154" t="s">
        <v>14</v>
      </c>
      <c r="L2939" s="154" t="str">
        <f>IF(OpenLCAbasic!K2939="CTUh", "Fill in Manually",IF(OR(K2939="Unit", K2939=""), "", INDEX(LookUps!$E$5:$E$12, MATCH(OpenLCAbasic!K2939,LookUps!$D$5:$D$12,0))))</f>
        <v>Fossil Depletion Potential (FDP) - kg oil eq</v>
      </c>
      <c r="M2939" s="154" t="str">
        <f t="shared" si="145"/>
        <v>High_Base_High_Upgraded_Fossil Depletion Potential (FDP) - kg oil eq_ClearCove SCP; wastewater treatment unit; at updated plant - US_Base_With Amendment_Windrow</v>
      </c>
    </row>
    <row r="2940" spans="1:13" s="120" customFormat="1" x14ac:dyDescent="0.25">
      <c r="A2940" s="119"/>
      <c r="B2940" s="138" t="str">
        <f t="shared" si="143"/>
        <v>Windrow</v>
      </c>
      <c r="C2940" s="138" t="str">
        <f t="shared" si="144"/>
        <v>Base_With Amendment</v>
      </c>
      <c r="D2940" s="118" t="s">
        <v>134</v>
      </c>
      <c r="E2940" s="118" t="s">
        <v>181</v>
      </c>
      <c r="F2940" s="118" t="s">
        <v>46</v>
      </c>
      <c r="G2940" s="153"/>
      <c r="H2940" s="155">
        <v>0.1147</v>
      </c>
      <c r="I2940" s="154" t="s">
        <v>271</v>
      </c>
      <c r="J2940" s="204">
        <v>4.2999999999999999E-4</v>
      </c>
      <c r="K2940" s="154" t="s">
        <v>14</v>
      </c>
      <c r="L2940" s="154" t="str">
        <f>IF(OpenLCAbasic!K2940="CTUh", "Fill in Manually",IF(OR(K2940="Unit", K2940=""), "", INDEX(LookUps!$E$5:$E$12, MATCH(OpenLCAbasic!K2940,LookUps!$D$5:$D$12,0))))</f>
        <v>Fossil Depletion Potential (FDP) - kg oil eq</v>
      </c>
      <c r="M2940" s="154" t="str">
        <f t="shared" si="145"/>
        <v>High_Base_High_Upgraded_Fossil Depletion Potential (FDP) - kg oil eq_Biosolids composting; windrow composting; wastewater treatment unit; at updated plant - US_Base_With Amendment_Windrow</v>
      </c>
    </row>
    <row r="2941" spans="1:13" s="120" customFormat="1" x14ac:dyDescent="0.25">
      <c r="A2941" s="119"/>
      <c r="B2941" s="138" t="str">
        <f t="shared" si="143"/>
        <v>Windrow</v>
      </c>
      <c r="C2941" s="138" t="str">
        <f t="shared" si="144"/>
        <v>Base_With Amendment</v>
      </c>
      <c r="D2941" s="118" t="s">
        <v>134</v>
      </c>
      <c r="E2941" s="118" t="s">
        <v>181</v>
      </c>
      <c r="F2941" s="118" t="s">
        <v>46</v>
      </c>
      <c r="G2941" s="153"/>
      <c r="H2941" s="155">
        <v>-1.4298</v>
      </c>
      <c r="I2941" s="154" t="s">
        <v>62</v>
      </c>
      <c r="J2941" s="204">
        <v>-5.3099999999999996E-3</v>
      </c>
      <c r="K2941" s="154" t="s">
        <v>14</v>
      </c>
      <c r="L2941" s="154" t="str">
        <f>IF(OpenLCAbasic!K2941="CTUh", "Fill in Manually",IF(OR(K2941="Unit", K2941=""), "", INDEX(LookUps!$E$5:$E$12, MATCH(OpenLCAbasic!K2941,LookUps!$D$5:$D$12,0))))</f>
        <v>Fossil Depletion Potential (FDP) - kg oil eq</v>
      </c>
      <c r="M2941" s="154" t="str">
        <f t="shared" si="145"/>
        <v>High_Base_High_Upgraded_Fossil Depletion Potential (FDP) - kg oil eq_Land application of compost; wastewater treatment unit; at updated plant - US_Base_With Amendment_Windrow</v>
      </c>
    </row>
    <row r="2942" spans="1:13" s="120" customFormat="1" x14ac:dyDescent="0.25">
      <c r="A2942" s="119"/>
      <c r="B2942" s="138" t="str">
        <f t="shared" si="143"/>
        <v>Windrow</v>
      </c>
      <c r="C2942" s="138" t="str">
        <f t="shared" si="144"/>
        <v>Base_With Amendment</v>
      </c>
      <c r="D2942" s="118" t="s">
        <v>134</v>
      </c>
      <c r="E2942" s="118" t="s">
        <v>181</v>
      </c>
      <c r="F2942" s="118" t="s">
        <v>46</v>
      </c>
      <c r="G2942" s="153"/>
      <c r="H2942" s="155">
        <v>-60.259599999999999</v>
      </c>
      <c r="I2942" s="154" t="s">
        <v>149</v>
      </c>
      <c r="J2942" s="203">
        <v>-0.22373000000000001</v>
      </c>
      <c r="K2942" s="154" t="s">
        <v>14</v>
      </c>
      <c r="L2942" s="154" t="str">
        <f>IF(OpenLCAbasic!K2942="CTUh", "Fill in Manually",IF(OR(K2942="Unit", K2942=""), "", INDEX(LookUps!$E$5:$E$12, MATCH(OpenLCAbasic!K2942,LookUps!$D$5:$D$12,0))))</f>
        <v>Fossil Depletion Potential (FDP) - kg oil eq</v>
      </c>
      <c r="M2942" s="154" t="str">
        <f t="shared" si="145"/>
        <v>High_Base_High_Upgraded_Fossil Depletion Potential (FDP) - kg oil eq_Anaerobic Digestion; wastewater treatment unit; at updated plant - US_Base_With Amendment_Windrow</v>
      </c>
    </row>
    <row r="2943" spans="1:13" s="120" customFormat="1" x14ac:dyDescent="0.25">
      <c r="A2943" s="119"/>
      <c r="B2943" s="138" t="str">
        <f t="shared" si="143"/>
        <v>Windrow</v>
      </c>
      <c r="C2943" s="138" t="str">
        <f t="shared" si="144"/>
        <v>Base_With Amendment</v>
      </c>
      <c r="D2943" s="118" t="s">
        <v>134</v>
      </c>
      <c r="E2943" s="118" t="s">
        <v>181</v>
      </c>
      <c r="F2943" s="118" t="s">
        <v>46</v>
      </c>
      <c r="G2943" s="153" t="s">
        <v>51</v>
      </c>
      <c r="H2943" s="154"/>
      <c r="I2943" s="154" t="s">
        <v>47</v>
      </c>
      <c r="J2943" s="154" t="s">
        <v>52</v>
      </c>
      <c r="K2943" s="154" t="s">
        <v>27</v>
      </c>
      <c r="L2943" s="154" t="str">
        <f>IF(OpenLCAbasic!K2943="CTUh", "Fill in Manually",IF(OR(K2943="Unit", K2943=""), "", INDEX(LookUps!$E$5:$E$12, MATCH(OpenLCAbasic!K2943,LookUps!$D$5:$D$12,0))))</f>
        <v/>
      </c>
      <c r="M2943" s="154" t="str">
        <f t="shared" si="145"/>
        <v>High_Base_High_Upgraded__Process_Base_With Amendment_Windrow</v>
      </c>
    </row>
    <row r="2944" spans="1:13" s="120" customFormat="1" x14ac:dyDescent="0.25">
      <c r="A2944" s="119"/>
      <c r="B2944" s="138" t="str">
        <f t="shared" si="143"/>
        <v>Windrow</v>
      </c>
      <c r="C2944" s="138" t="str">
        <f t="shared" si="144"/>
        <v>Base_With Amendment</v>
      </c>
      <c r="D2944" s="118" t="s">
        <v>134</v>
      </c>
      <c r="E2944" s="118" t="s">
        <v>181</v>
      </c>
      <c r="F2944" s="118" t="s">
        <v>46</v>
      </c>
      <c r="G2944" s="153"/>
      <c r="H2944" s="155">
        <v>7.5955000000000004</v>
      </c>
      <c r="I2944" s="154" t="s">
        <v>55</v>
      </c>
      <c r="J2944" s="204">
        <v>2.33E-3</v>
      </c>
      <c r="K2944" s="154" t="s">
        <v>145</v>
      </c>
      <c r="L2944" s="154" t="str">
        <f>IF(OpenLCAbasic!K2944="CTUh", "Fill in Manually",IF(OR(K2944="Unit", K2944=""), "", INDEX(LookUps!$E$5:$E$12, MATCH(OpenLCAbasic!K2944,LookUps!$D$5:$D$12,0))))</f>
        <v>Particulate Matter Formation Potential (PMFP) - kg PM2.5 eq</v>
      </c>
      <c r="M2944" s="154" t="str">
        <f t="shared" si="145"/>
        <v>High_Base_High_Upgraded_Particulate Matter Formation Potential (PMFP) - kg PM2.5 eq_Aeration Tanks; wastewater treatment unit; at updated plant - US_Base_With Amendment_Windrow</v>
      </c>
    </row>
    <row r="2945" spans="1:13" s="120" customFormat="1" x14ac:dyDescent="0.25">
      <c r="A2945" s="119"/>
      <c r="B2945" s="138" t="str">
        <f t="shared" si="143"/>
        <v>Windrow</v>
      </c>
      <c r="C2945" s="138" t="str">
        <f t="shared" si="144"/>
        <v>Base_With Amendment</v>
      </c>
      <c r="D2945" s="118" t="s">
        <v>134</v>
      </c>
      <c r="E2945" s="118" t="s">
        <v>181</v>
      </c>
      <c r="F2945" s="118" t="s">
        <v>46</v>
      </c>
      <c r="G2945" s="153"/>
      <c r="H2945" s="155">
        <v>2.2101999999999999</v>
      </c>
      <c r="I2945" s="154" t="s">
        <v>54</v>
      </c>
      <c r="J2945" s="204">
        <v>6.8000000000000005E-4</v>
      </c>
      <c r="K2945" s="154" t="s">
        <v>145</v>
      </c>
      <c r="L2945" s="154" t="str">
        <f>IF(OpenLCAbasic!K2945="CTUh", "Fill in Manually",IF(OR(K2945="Unit", K2945=""), "", INDEX(LookUps!$E$5:$E$12, MATCH(OpenLCAbasic!K2945,LookUps!$D$5:$D$12,0))))</f>
        <v>Particulate Matter Formation Potential (PMFP) - kg PM2.5 eq</v>
      </c>
      <c r="M2945" s="154" t="str">
        <f t="shared" si="145"/>
        <v>High_Base_High_Upgraded_Particulate Matter Formation Potential (PMFP) - kg PM2.5 eq_Clear Cove Primary Clarification; wastewater treatment unit; at updated plant - US_Base_With Amendment_Windrow</v>
      </c>
    </row>
    <row r="2946" spans="1:13" s="120" customFormat="1" x14ac:dyDescent="0.25">
      <c r="A2946" s="119"/>
      <c r="B2946" s="138" t="str">
        <f t="shared" si="143"/>
        <v>Windrow</v>
      </c>
      <c r="C2946" s="138" t="str">
        <f t="shared" si="144"/>
        <v>Base_With Amendment</v>
      </c>
      <c r="D2946" s="118" t="s">
        <v>134</v>
      </c>
      <c r="E2946" s="118" t="s">
        <v>181</v>
      </c>
      <c r="F2946" s="118" t="s">
        <v>46</v>
      </c>
      <c r="G2946" s="153"/>
      <c r="H2946" s="155">
        <v>1.9096</v>
      </c>
      <c r="I2946" s="154" t="s">
        <v>58</v>
      </c>
      <c r="J2946" s="204">
        <v>5.9000000000000003E-4</v>
      </c>
      <c r="K2946" s="154" t="s">
        <v>145</v>
      </c>
      <c r="L2946" s="154" t="str">
        <f>IF(OpenLCAbasic!K2946="CTUh", "Fill in Manually",IF(OR(K2946="Unit", K2946=""), "", INDEX(LookUps!$E$5:$E$12, MATCH(OpenLCAbasic!K2946,LookUps!$D$5:$D$12,0))))</f>
        <v>Particulate Matter Formation Potential (PMFP) - kg PM2.5 eq</v>
      </c>
      <c r="M2946" s="154" t="str">
        <f t="shared" si="145"/>
        <v>High_Base_High_Upgraded_Particulate Matter Formation Potential (PMFP) - kg PM2.5 eq_Pre-Anoxic &amp; Swing tank; wastewater treatment unit; at updated plant - US_Base_With Amendment_Windrow</v>
      </c>
    </row>
    <row r="2947" spans="1:13" s="120" customFormat="1" x14ac:dyDescent="0.25">
      <c r="A2947" s="119"/>
      <c r="B2947" s="138" t="str">
        <f t="shared" si="143"/>
        <v>Windrow</v>
      </c>
      <c r="C2947" s="138" t="str">
        <f t="shared" si="144"/>
        <v>Base_With Amendment</v>
      </c>
      <c r="D2947" s="118" t="s">
        <v>134</v>
      </c>
      <c r="E2947" s="118" t="s">
        <v>181</v>
      </c>
      <c r="F2947" s="118" t="s">
        <v>46</v>
      </c>
      <c r="G2947" s="153"/>
      <c r="H2947" s="155">
        <v>1.5185999999999999</v>
      </c>
      <c r="I2947" s="154" t="s">
        <v>53</v>
      </c>
      <c r="J2947" s="204">
        <v>4.6999999999999999E-4</v>
      </c>
      <c r="K2947" s="154" t="s">
        <v>145</v>
      </c>
      <c r="L2947" s="154" t="str">
        <f>IF(OpenLCAbasic!K2947="CTUh", "Fill in Manually",IF(OR(K2947="Unit", K2947=""), "", INDEX(LookUps!$E$5:$E$12, MATCH(OpenLCAbasic!K2947,LookUps!$D$5:$D$12,0))))</f>
        <v>Particulate Matter Formation Potential (PMFP) - kg PM2.5 eq</v>
      </c>
      <c r="M2947" s="154" t="str">
        <f t="shared" si="145"/>
        <v>High_Base_High_Upgraded_Particulate Matter Formation Potential (PMFP) - kg PM2.5 eq_Wet Well and Sump Station; wastewater treatment unit; at updated plant - US_Base_With Amendment_Windrow</v>
      </c>
    </row>
    <row r="2948" spans="1:13" s="120" customFormat="1" x14ac:dyDescent="0.25">
      <c r="A2948" s="119"/>
      <c r="B2948" s="138" t="str">
        <f t="shared" si="143"/>
        <v>Windrow</v>
      </c>
      <c r="C2948" s="138" t="str">
        <f t="shared" si="144"/>
        <v>Base_With Amendment</v>
      </c>
      <c r="D2948" s="118" t="s">
        <v>134</v>
      </c>
      <c r="E2948" s="118" t="s">
        <v>181</v>
      </c>
      <c r="F2948" s="118" t="s">
        <v>46</v>
      </c>
      <c r="G2948" s="153"/>
      <c r="H2948" s="155">
        <v>1.1672</v>
      </c>
      <c r="I2948" s="154" t="s">
        <v>271</v>
      </c>
      <c r="J2948" s="204">
        <v>3.6000000000000002E-4</v>
      </c>
      <c r="K2948" s="154" t="s">
        <v>145</v>
      </c>
      <c r="L2948" s="154" t="str">
        <f>IF(OpenLCAbasic!K2948="CTUh", "Fill in Manually",IF(OR(K2948="Unit", K2948=""), "", INDEX(LookUps!$E$5:$E$12, MATCH(OpenLCAbasic!K2948,LookUps!$D$5:$D$12,0))))</f>
        <v>Particulate Matter Formation Potential (PMFP) - kg PM2.5 eq</v>
      </c>
      <c r="M2948" s="154" t="str">
        <f t="shared" si="145"/>
        <v>High_Base_High_Upgraded_Particulate Matter Formation Potential (PMFP) - kg PM2.5 eq_Biosolids composting; windrow composting; wastewater treatment unit; at updated plant - US_Base_With Amendment_Windrow</v>
      </c>
    </row>
    <row r="2949" spans="1:13" s="120" customFormat="1" x14ac:dyDescent="0.25">
      <c r="A2949" s="119"/>
      <c r="B2949" s="138" t="str">
        <f t="shared" si="143"/>
        <v>Windrow</v>
      </c>
      <c r="C2949" s="138" t="str">
        <f t="shared" si="144"/>
        <v>Base_With Amendment</v>
      </c>
      <c r="D2949" s="118" t="s">
        <v>134</v>
      </c>
      <c r="E2949" s="118" t="s">
        <v>181</v>
      </c>
      <c r="F2949" s="118" t="s">
        <v>46</v>
      </c>
      <c r="G2949" s="153"/>
      <c r="H2949" s="155">
        <v>0.97360000000000002</v>
      </c>
      <c r="I2949" s="154" t="s">
        <v>167</v>
      </c>
      <c r="J2949" s="204">
        <v>2.9999999999999997E-4</v>
      </c>
      <c r="K2949" s="154" t="s">
        <v>145</v>
      </c>
      <c r="L2949" s="154" t="str">
        <f>IF(OpenLCAbasic!K2949="CTUh", "Fill in Manually",IF(OR(K2949="Unit", K2949=""), "", INDEX(LookUps!$E$5:$E$12, MATCH(OpenLCAbasic!K2949,LookUps!$D$5:$D$12,0))))</f>
        <v>Particulate Matter Formation Potential (PMFP) - kg PM2.5 eq</v>
      </c>
      <c r="M2949" s="154" t="str">
        <f t="shared" si="145"/>
        <v>High_Base_High_Upgraded_Particulate Matter Formation Potential (PMFP) - kg PM2.5 eq_Waste Receiving and Holding; wastewater treatment unit; at updated plant - US_Base_With Amendment_Windrow</v>
      </c>
    </row>
    <row r="2950" spans="1:13" s="120" customFormat="1" x14ac:dyDescent="0.25">
      <c r="A2950" s="119"/>
      <c r="B2950" s="138" t="str">
        <f t="shared" ref="B2950:B3013" si="146">IF(F2950="Legacy","n.a.",IF(F2950="","","Windrow"))</f>
        <v>Windrow</v>
      </c>
      <c r="C2950" s="138" t="str">
        <f t="shared" si="144"/>
        <v>Base_With Amendment</v>
      </c>
      <c r="D2950" s="118" t="s">
        <v>134</v>
      </c>
      <c r="E2950" s="118" t="s">
        <v>181</v>
      </c>
      <c r="F2950" s="118" t="s">
        <v>46</v>
      </c>
      <c r="G2950" s="153"/>
      <c r="H2950" s="155">
        <v>0.86799999999999999</v>
      </c>
      <c r="I2950" s="154" t="s">
        <v>147</v>
      </c>
      <c r="J2950" s="204">
        <v>2.7E-4</v>
      </c>
      <c r="K2950" s="154" t="s">
        <v>145</v>
      </c>
      <c r="L2950" s="154" t="str">
        <f>IF(OpenLCAbasic!K2950="CTUh", "Fill in Manually",IF(OR(K2950="Unit", K2950=""), "", INDEX(LookUps!$E$5:$E$12, MATCH(OpenLCAbasic!K2950,LookUps!$D$5:$D$12,0))))</f>
        <v>Particulate Matter Formation Potential (PMFP) - kg PM2.5 eq</v>
      </c>
      <c r="M2950" s="154" t="str">
        <f t="shared" si="145"/>
        <v>High_Base_High_Upgraded_Particulate Matter Formation Potential (PMFP) - kg PM2.5 eq_Influent Pump Station; wastewater treatment unit; at updated plant - US_Base_With Amendment_Windrow</v>
      </c>
    </row>
    <row r="2951" spans="1:13" s="120" customFormat="1" x14ac:dyDescent="0.25">
      <c r="A2951" s="119"/>
      <c r="B2951" s="138" t="str">
        <f t="shared" si="146"/>
        <v>Windrow</v>
      </c>
      <c r="C2951" s="138" t="str">
        <f t="shared" ref="C2951:C3014" si="147">IF(E2951&lt;&gt;"", "Base_With Amendment","")</f>
        <v>Base_With Amendment</v>
      </c>
      <c r="D2951" s="118" t="s">
        <v>134</v>
      </c>
      <c r="E2951" s="118" t="s">
        <v>181</v>
      </c>
      <c r="F2951" s="118" t="s">
        <v>46</v>
      </c>
      <c r="G2951" s="153"/>
      <c r="H2951" s="155">
        <v>0.54169999999999996</v>
      </c>
      <c r="I2951" s="154" t="s">
        <v>128</v>
      </c>
      <c r="J2951" s="204">
        <v>1.7000000000000001E-4</v>
      </c>
      <c r="K2951" s="154" t="s">
        <v>145</v>
      </c>
      <c r="L2951" s="154" t="str">
        <f>IF(OpenLCAbasic!K2951="CTUh", "Fill in Manually",IF(OR(K2951="Unit", K2951=""), "", INDEX(LookUps!$E$5:$E$12, MATCH(OpenLCAbasic!K2951,LookUps!$D$5:$D$12,0))))</f>
        <v>Particulate Matter Formation Potential (PMFP) - kg PM2.5 eq</v>
      </c>
      <c r="M2951" s="154" t="str">
        <f t="shared" ref="M2951:M3014" si="148">CONCATENATE(E2951,"_",D2951,"_",F2951,"_",L2951, "_",I2951,"_", C2951,"_", B2951)</f>
        <v>High_Base_High_Upgraded_Particulate Matter Formation Potential (PMFP) - kg PM2.5 eq_Wastewater collection; operation and infrastructure; m3 wastewater_Base_With Amendment_Windrow</v>
      </c>
    </row>
    <row r="2952" spans="1:13" s="120" customFormat="1" x14ac:dyDescent="0.25">
      <c r="A2952" s="119"/>
      <c r="B2952" s="138" t="str">
        <f t="shared" si="146"/>
        <v>Windrow</v>
      </c>
      <c r="C2952" s="138" t="str">
        <f t="shared" si="147"/>
        <v>Base_With Amendment</v>
      </c>
      <c r="D2952" s="118" t="s">
        <v>134</v>
      </c>
      <c r="E2952" s="118" t="s">
        <v>181</v>
      </c>
      <c r="F2952" s="118" t="s">
        <v>46</v>
      </c>
      <c r="G2952" s="153"/>
      <c r="H2952" s="155">
        <v>0.32740000000000002</v>
      </c>
      <c r="I2952" s="154" t="s">
        <v>60</v>
      </c>
      <c r="J2952" s="204">
        <v>1E-4</v>
      </c>
      <c r="K2952" s="154" t="s">
        <v>145</v>
      </c>
      <c r="L2952" s="154" t="str">
        <f>IF(OpenLCAbasic!K2952="CTUh", "Fill in Manually",IF(OR(K2952="Unit", K2952=""), "", INDEX(LookUps!$E$5:$E$12, MATCH(OpenLCAbasic!K2952,LookUps!$D$5:$D$12,0))))</f>
        <v>Particulate Matter Formation Potential (PMFP) - kg PM2.5 eq</v>
      </c>
      <c r="M2952" s="154" t="str">
        <f t="shared" si="148"/>
        <v>High_Base_High_Upgraded_Particulate Matter Formation Potential (PMFP) - kg PM2.5 eq_Belt filter press; wastewater treatment unit; at updated plant - US_Base_With Amendment_Windrow</v>
      </c>
    </row>
    <row r="2953" spans="1:13" s="120" customFormat="1" x14ac:dyDescent="0.25">
      <c r="A2953" s="119"/>
      <c r="B2953" s="138" t="str">
        <f t="shared" si="146"/>
        <v>Windrow</v>
      </c>
      <c r="C2953" s="138" t="str">
        <f t="shared" si="147"/>
        <v>Base_With Amendment</v>
      </c>
      <c r="D2953" s="118" t="s">
        <v>134</v>
      </c>
      <c r="E2953" s="118" t="s">
        <v>181</v>
      </c>
      <c r="F2953" s="118" t="s">
        <v>46</v>
      </c>
      <c r="G2953" s="153"/>
      <c r="H2953" s="155">
        <v>0.30969999999999998</v>
      </c>
      <c r="I2953" s="154" t="s">
        <v>57</v>
      </c>
      <c r="J2953" s="204">
        <v>9.5153800000000004E-5</v>
      </c>
      <c r="K2953" s="154" t="s">
        <v>145</v>
      </c>
      <c r="L2953" s="154" t="str">
        <f>IF(OpenLCAbasic!K2953="CTUh", "Fill in Manually",IF(OR(K2953="Unit", K2953=""), "", INDEX(LookUps!$E$5:$E$12, MATCH(OpenLCAbasic!K2953,LookUps!$D$5:$D$12,0))))</f>
        <v>Particulate Matter Formation Potential (PMFP) - kg PM2.5 eq</v>
      </c>
      <c r="M2953" s="154" t="str">
        <f t="shared" si="148"/>
        <v>High_Base_High_Upgraded_Particulate Matter Formation Potential (PMFP) - kg PM2.5 eq_Gravity Belt Thickener; wastewater treatment unit; at updated plant - US_Base_With Amendment_Windrow</v>
      </c>
    </row>
    <row r="2954" spans="1:13" s="120" customFormat="1" x14ac:dyDescent="0.25">
      <c r="A2954" s="119"/>
      <c r="B2954" s="138" t="str">
        <f t="shared" si="146"/>
        <v>Windrow</v>
      </c>
      <c r="C2954" s="138" t="str">
        <f t="shared" si="147"/>
        <v>Base_With Amendment</v>
      </c>
      <c r="D2954" s="118" t="s">
        <v>134</v>
      </c>
      <c r="E2954" s="118" t="s">
        <v>181</v>
      </c>
      <c r="F2954" s="118" t="s">
        <v>46</v>
      </c>
      <c r="G2954" s="153"/>
      <c r="H2954" s="155">
        <v>0.2276</v>
      </c>
      <c r="I2954" s="154" t="s">
        <v>59</v>
      </c>
      <c r="J2954" s="204">
        <v>6.9942200000000003E-5</v>
      </c>
      <c r="K2954" s="154" t="s">
        <v>145</v>
      </c>
      <c r="L2954" s="154" t="str">
        <f>IF(OpenLCAbasic!K2954="CTUh", "Fill in Manually",IF(OR(K2954="Unit", K2954=""), "", INDEX(LookUps!$E$5:$E$12, MATCH(OpenLCAbasic!K2954,LookUps!$D$5:$D$12,0))))</f>
        <v>Particulate Matter Formation Potential (PMFP) - kg PM2.5 eq</v>
      </c>
      <c r="M2954" s="154" t="str">
        <f t="shared" si="148"/>
        <v>High_Base_High_Upgraded_Particulate Matter Formation Potential (PMFP) - kg PM2.5 eq_Blend Tank; wastewater treatment unit; at updated plant - US_Base_With Amendment_Windrow</v>
      </c>
    </row>
    <row r="2955" spans="1:13" s="120" customFormat="1" x14ac:dyDescent="0.25">
      <c r="A2955" s="119"/>
      <c r="B2955" s="138" t="str">
        <f t="shared" si="146"/>
        <v>Windrow</v>
      </c>
      <c r="C2955" s="138" t="str">
        <f t="shared" si="147"/>
        <v>Base_With Amendment</v>
      </c>
      <c r="D2955" s="118" t="s">
        <v>134</v>
      </c>
      <c r="E2955" s="118" t="s">
        <v>181</v>
      </c>
      <c r="F2955" s="118" t="s">
        <v>46</v>
      </c>
      <c r="G2955" s="153"/>
      <c r="H2955" s="155">
        <v>0.16259999999999999</v>
      </c>
      <c r="I2955" s="154" t="s">
        <v>48</v>
      </c>
      <c r="J2955" s="204">
        <v>4.99741E-5</v>
      </c>
      <c r="K2955" s="154" t="s">
        <v>145</v>
      </c>
      <c r="L2955" s="154" t="str">
        <f>IF(OpenLCAbasic!K2955="CTUh", "Fill in Manually",IF(OR(K2955="Unit", K2955=""), "", INDEX(LookUps!$E$5:$E$12, MATCH(OpenLCAbasic!K2955,LookUps!$D$5:$D$12,0))))</f>
        <v>Particulate Matter Formation Potential (PMFP) - kg PM2.5 eq</v>
      </c>
      <c r="M2955" s="154" t="str">
        <f t="shared" si="148"/>
        <v>High_Base_High_Upgraded_Particulate Matter Formation Potential (PMFP) - kg PM2.5 eq_Effluent release; wastewater treatment unit; at surface water; m3 wastewater - US_Base_With Amendment_Windrow</v>
      </c>
    </row>
    <row r="2956" spans="1:13" s="120" customFormat="1" x14ac:dyDescent="0.25">
      <c r="A2956" s="119"/>
      <c r="B2956" s="138" t="str">
        <f t="shared" si="146"/>
        <v>Windrow</v>
      </c>
      <c r="C2956" s="138" t="str">
        <f t="shared" si="147"/>
        <v>Base_With Amendment</v>
      </c>
      <c r="D2956" s="118" t="s">
        <v>134</v>
      </c>
      <c r="E2956" s="118" t="s">
        <v>181</v>
      </c>
      <c r="F2956" s="118" t="s">
        <v>46</v>
      </c>
      <c r="G2956" s="153"/>
      <c r="H2956" s="155">
        <v>0.1125</v>
      </c>
      <c r="I2956" s="154" t="s">
        <v>168</v>
      </c>
      <c r="J2956" s="204">
        <v>3.4562199999999999E-5</v>
      </c>
      <c r="K2956" s="154" t="s">
        <v>145</v>
      </c>
      <c r="L2956" s="154" t="str">
        <f>IF(OpenLCAbasic!K2956="CTUh", "Fill in Manually",IF(OR(K2956="Unit", K2956=""), "", INDEX(LookUps!$E$5:$E$12, MATCH(OpenLCAbasic!K2956,LookUps!$D$5:$D$12,0))))</f>
        <v>Particulate Matter Formation Potential (PMFP) - kg PM2.5 eq</v>
      </c>
      <c r="M2956" s="154" t="str">
        <f t="shared" si="148"/>
        <v>High_Base_High_Upgraded_Particulate Matter Formation Potential (PMFP) - kg PM2.5 eq_ClearCove SCP; wastewater treatment unit; at updated plant - US_Base_With Amendment_Windrow</v>
      </c>
    </row>
    <row r="2957" spans="1:13" s="120" customFormat="1" x14ac:dyDescent="0.25">
      <c r="A2957" s="119"/>
      <c r="B2957" s="138" t="str">
        <f t="shared" si="146"/>
        <v>Windrow</v>
      </c>
      <c r="C2957" s="138" t="str">
        <f t="shared" si="147"/>
        <v>Base_With Amendment</v>
      </c>
      <c r="D2957" s="118" t="s">
        <v>134</v>
      </c>
      <c r="E2957" s="118" t="s">
        <v>181</v>
      </c>
      <c r="F2957" s="118" t="s">
        <v>46</v>
      </c>
      <c r="G2957" s="153"/>
      <c r="H2957" s="155">
        <v>0.10639999999999999</v>
      </c>
      <c r="I2957" s="154" t="s">
        <v>62</v>
      </c>
      <c r="J2957" s="204">
        <v>3.2704299999999998E-5</v>
      </c>
      <c r="K2957" s="154" t="s">
        <v>145</v>
      </c>
      <c r="L2957" s="154" t="str">
        <f>IF(OpenLCAbasic!K2957="CTUh", "Fill in Manually",IF(OR(K2957="Unit", K2957=""), "", INDEX(LookUps!$E$5:$E$12, MATCH(OpenLCAbasic!K2957,LookUps!$D$5:$D$12,0))))</f>
        <v>Particulate Matter Formation Potential (PMFP) - kg PM2.5 eq</v>
      </c>
      <c r="M2957" s="154" t="str">
        <f t="shared" si="148"/>
        <v>High_Base_High_Upgraded_Particulate Matter Formation Potential (PMFP) - kg PM2.5 eq_Land application of compost; wastewater treatment unit; at updated plant - US_Base_With Amendment_Windrow</v>
      </c>
    </row>
    <row r="2958" spans="1:13" s="120" customFormat="1" x14ac:dyDescent="0.25">
      <c r="A2958" s="119"/>
      <c r="B2958" s="138" t="str">
        <f t="shared" si="146"/>
        <v>Windrow</v>
      </c>
      <c r="C2958" s="138" t="str">
        <f t="shared" si="147"/>
        <v>Base_With Amendment</v>
      </c>
      <c r="D2958" s="118" t="s">
        <v>134</v>
      </c>
      <c r="E2958" s="118" t="s">
        <v>181</v>
      </c>
      <c r="F2958" s="118" t="s">
        <v>46</v>
      </c>
      <c r="G2958" s="153"/>
      <c r="H2958" s="155">
        <v>2.87E-2</v>
      </c>
      <c r="I2958" s="154" t="s">
        <v>148</v>
      </c>
      <c r="J2958" s="204">
        <v>8.8212999999999997E-6</v>
      </c>
      <c r="K2958" s="154" t="s">
        <v>145</v>
      </c>
      <c r="L2958" s="154" t="str">
        <f>IF(OpenLCAbasic!K2958="CTUh", "Fill in Manually",IF(OR(K2958="Unit", K2958=""), "", INDEX(LookUps!$E$5:$E$12, MATCH(OpenLCAbasic!K2958,LookUps!$D$5:$D$12,0))))</f>
        <v>Particulate Matter Formation Potential (PMFP) - kg PM2.5 eq</v>
      </c>
      <c r="M2958" s="154" t="str">
        <f t="shared" si="148"/>
        <v>High_Base_High_Upgraded_Particulate Matter Formation Potential (PMFP) - kg PM2.5 eq_Control Building; at upgraded wastewater treatment plant - US_Base_With Amendment_Windrow</v>
      </c>
    </row>
    <row r="2959" spans="1:13" s="120" customFormat="1" x14ac:dyDescent="0.25">
      <c r="A2959" s="119"/>
      <c r="B2959" s="138" t="str">
        <f t="shared" si="146"/>
        <v>Windrow</v>
      </c>
      <c r="C2959" s="138" t="str">
        <f t="shared" si="147"/>
        <v>Base_With Amendment</v>
      </c>
      <c r="D2959" s="118" t="s">
        <v>134</v>
      </c>
      <c r="E2959" s="118" t="s">
        <v>181</v>
      </c>
      <c r="F2959" s="118" t="s">
        <v>46</v>
      </c>
      <c r="G2959" s="153"/>
      <c r="H2959" s="155">
        <v>-17.0594</v>
      </c>
      <c r="I2959" s="154" t="s">
        <v>149</v>
      </c>
      <c r="J2959" s="204">
        <v>-5.2399999999999999E-3</v>
      </c>
      <c r="K2959" s="154" t="s">
        <v>145</v>
      </c>
      <c r="L2959" s="154" t="str">
        <f>IF(OpenLCAbasic!K2959="CTUh", "Fill in Manually",IF(OR(K2959="Unit", K2959=""), "", INDEX(LookUps!$E$5:$E$12, MATCH(OpenLCAbasic!K2959,LookUps!$D$5:$D$12,0))))</f>
        <v>Particulate Matter Formation Potential (PMFP) - kg PM2.5 eq</v>
      </c>
      <c r="M2959" s="154" t="str">
        <f t="shared" si="148"/>
        <v>High_Base_High_Upgraded_Particulate Matter Formation Potential (PMFP) - kg PM2.5 eq_Anaerobic Digestion; wastewater treatment unit; at updated plant - US_Base_With Amendment_Windrow</v>
      </c>
    </row>
    <row r="2960" spans="1:13" s="120" customFormat="1" x14ac:dyDescent="0.25">
      <c r="A2960" s="119"/>
      <c r="B2960" s="138" t="str">
        <f t="shared" si="146"/>
        <v>Windrow</v>
      </c>
      <c r="C2960" s="138" t="str">
        <f t="shared" si="147"/>
        <v>Base_With Amendment</v>
      </c>
      <c r="D2960" s="118" t="s">
        <v>134</v>
      </c>
      <c r="E2960" s="118" t="s">
        <v>181</v>
      </c>
      <c r="F2960" s="118" t="s">
        <v>46</v>
      </c>
      <c r="G2960" s="153" t="s">
        <v>51</v>
      </c>
      <c r="H2960" s="154"/>
      <c r="I2960" s="154" t="s">
        <v>47</v>
      </c>
      <c r="J2960" s="154" t="s">
        <v>52</v>
      </c>
      <c r="K2960" s="154" t="s">
        <v>27</v>
      </c>
      <c r="L2960" s="154" t="str">
        <f>IF(OpenLCAbasic!K2960="CTUh", "Fill in Manually",IF(OR(K2960="Unit", K2960=""), "", INDEX(LookUps!$E$5:$E$12, MATCH(OpenLCAbasic!K2960,LookUps!$D$5:$D$12,0))))</f>
        <v/>
      </c>
      <c r="M2960" s="154" t="str">
        <f t="shared" si="148"/>
        <v>High_Base_High_Upgraded__Process_Base_With Amendment_Windrow</v>
      </c>
    </row>
    <row r="2961" spans="1:13" s="120" customFormat="1" x14ac:dyDescent="0.25">
      <c r="A2961" s="119"/>
      <c r="B2961" s="138" t="str">
        <f t="shared" si="146"/>
        <v>Windrow</v>
      </c>
      <c r="C2961" s="138" t="str">
        <f t="shared" si="147"/>
        <v>Base_With Amendment</v>
      </c>
      <c r="D2961" s="118" t="s">
        <v>134</v>
      </c>
      <c r="E2961" s="118" t="s">
        <v>181</v>
      </c>
      <c r="F2961" s="118" t="s">
        <v>46</v>
      </c>
      <c r="G2961" s="153"/>
      <c r="H2961" s="155">
        <v>92.271799999999999</v>
      </c>
      <c r="I2961" s="154" t="s">
        <v>55</v>
      </c>
      <c r="J2961" s="203">
        <v>0.16577</v>
      </c>
      <c r="K2961" s="154" t="s">
        <v>25</v>
      </c>
      <c r="L2961" s="154" t="str">
        <f>IF(OpenLCAbasic!K2961="CTUh", "Fill in Manually",IF(OR(K2961="Unit", K2961=""), "", INDEX(LookUps!$E$5:$E$12, MATCH(OpenLCAbasic!K2961,LookUps!$D$5:$D$12,0))))</f>
        <v>Smog Formation Potential (SFP) - kg O3 eq</v>
      </c>
      <c r="M2961" s="154" t="str">
        <f t="shared" si="148"/>
        <v>High_Base_High_Upgraded_Smog Formation Potential (SFP) - kg O3 eq_Aeration Tanks; wastewater treatment unit; at updated plant - US_Base_With Amendment_Windrow</v>
      </c>
    </row>
    <row r="2962" spans="1:13" s="120" customFormat="1" x14ac:dyDescent="0.25">
      <c r="A2962" s="119"/>
      <c r="B2962" s="138" t="str">
        <f t="shared" si="146"/>
        <v>Windrow</v>
      </c>
      <c r="C2962" s="138" t="str">
        <f t="shared" si="147"/>
        <v>Base_With Amendment</v>
      </c>
      <c r="D2962" s="118" t="s">
        <v>134</v>
      </c>
      <c r="E2962" s="118" t="s">
        <v>181</v>
      </c>
      <c r="F2962" s="118" t="s">
        <v>46</v>
      </c>
      <c r="G2962" s="153"/>
      <c r="H2962" s="155">
        <v>26.758700000000001</v>
      </c>
      <c r="I2962" s="154" t="s">
        <v>54</v>
      </c>
      <c r="J2962" s="203">
        <v>4.8070000000000002E-2</v>
      </c>
      <c r="K2962" s="154" t="s">
        <v>25</v>
      </c>
      <c r="L2962" s="154" t="str">
        <f>IF(OpenLCAbasic!K2962="CTUh", "Fill in Manually",IF(OR(K2962="Unit", K2962=""), "", INDEX(LookUps!$E$5:$E$12, MATCH(OpenLCAbasic!K2962,LookUps!$D$5:$D$12,0))))</f>
        <v>Smog Formation Potential (SFP) - kg O3 eq</v>
      </c>
      <c r="M2962" s="154" t="str">
        <f t="shared" si="148"/>
        <v>High_Base_High_Upgraded_Smog Formation Potential (SFP) - kg O3 eq_Clear Cove Primary Clarification; wastewater treatment unit; at updated plant - US_Base_With Amendment_Windrow</v>
      </c>
    </row>
    <row r="2963" spans="1:13" s="120" customFormat="1" x14ac:dyDescent="0.25">
      <c r="A2963" s="119"/>
      <c r="B2963" s="138" t="str">
        <f t="shared" si="146"/>
        <v>Windrow</v>
      </c>
      <c r="C2963" s="138" t="str">
        <f t="shared" si="147"/>
        <v>Base_With Amendment</v>
      </c>
      <c r="D2963" s="118" t="s">
        <v>134</v>
      </c>
      <c r="E2963" s="118" t="s">
        <v>181</v>
      </c>
      <c r="F2963" s="118" t="s">
        <v>46</v>
      </c>
      <c r="G2963" s="153"/>
      <c r="H2963" s="155">
        <v>23.255299999999998</v>
      </c>
      <c r="I2963" s="154" t="s">
        <v>58</v>
      </c>
      <c r="J2963" s="203">
        <v>4.1779999999999998E-2</v>
      </c>
      <c r="K2963" s="154" t="s">
        <v>25</v>
      </c>
      <c r="L2963" s="154" t="str">
        <f>IF(OpenLCAbasic!K2963="CTUh", "Fill in Manually",IF(OR(K2963="Unit", K2963=""), "", INDEX(LookUps!$E$5:$E$12, MATCH(OpenLCAbasic!K2963,LookUps!$D$5:$D$12,0))))</f>
        <v>Smog Formation Potential (SFP) - kg O3 eq</v>
      </c>
      <c r="M2963" s="154" t="str">
        <f t="shared" si="148"/>
        <v>High_Base_High_Upgraded_Smog Formation Potential (SFP) - kg O3 eq_Pre-Anoxic &amp; Swing tank; wastewater treatment unit; at updated plant - US_Base_With Amendment_Windrow</v>
      </c>
    </row>
    <row r="2964" spans="1:13" s="120" customFormat="1" x14ac:dyDescent="0.25">
      <c r="A2964" s="119"/>
      <c r="B2964" s="138" t="str">
        <f t="shared" si="146"/>
        <v>Windrow</v>
      </c>
      <c r="C2964" s="138" t="str">
        <f t="shared" si="147"/>
        <v>Base_With Amendment</v>
      </c>
      <c r="D2964" s="118" t="s">
        <v>134</v>
      </c>
      <c r="E2964" s="118" t="s">
        <v>181</v>
      </c>
      <c r="F2964" s="118" t="s">
        <v>46</v>
      </c>
      <c r="G2964" s="153"/>
      <c r="H2964" s="155">
        <v>18.438300000000002</v>
      </c>
      <c r="I2964" s="154" t="s">
        <v>53</v>
      </c>
      <c r="J2964" s="203">
        <v>3.313E-2</v>
      </c>
      <c r="K2964" s="154" t="s">
        <v>25</v>
      </c>
      <c r="L2964" s="154" t="str">
        <f>IF(OpenLCAbasic!K2964="CTUh", "Fill in Manually",IF(OR(K2964="Unit", K2964=""), "", INDEX(LookUps!$E$5:$E$12, MATCH(OpenLCAbasic!K2964,LookUps!$D$5:$D$12,0))))</f>
        <v>Smog Formation Potential (SFP) - kg O3 eq</v>
      </c>
      <c r="M2964" s="154" t="str">
        <f t="shared" si="148"/>
        <v>High_Base_High_Upgraded_Smog Formation Potential (SFP) - kg O3 eq_Wet Well and Sump Station; wastewater treatment unit; at updated plant - US_Base_With Amendment_Windrow</v>
      </c>
    </row>
    <row r="2965" spans="1:13" s="120" customFormat="1" x14ac:dyDescent="0.25">
      <c r="A2965" s="119"/>
      <c r="B2965" s="138" t="str">
        <f t="shared" si="146"/>
        <v>Windrow</v>
      </c>
      <c r="C2965" s="138" t="str">
        <f t="shared" si="147"/>
        <v>Base_With Amendment</v>
      </c>
      <c r="D2965" s="118" t="s">
        <v>134</v>
      </c>
      <c r="E2965" s="118" t="s">
        <v>181</v>
      </c>
      <c r="F2965" s="118" t="s">
        <v>46</v>
      </c>
      <c r="G2965" s="153"/>
      <c r="H2965" s="155">
        <v>15.5549</v>
      </c>
      <c r="I2965" s="154" t="s">
        <v>167</v>
      </c>
      <c r="J2965" s="203">
        <v>2.7949999999999999E-2</v>
      </c>
      <c r="K2965" s="154" t="s">
        <v>25</v>
      </c>
      <c r="L2965" s="154" t="str">
        <f>IF(OpenLCAbasic!K2965="CTUh", "Fill in Manually",IF(OR(K2965="Unit", K2965=""), "", INDEX(LookUps!$E$5:$E$12, MATCH(OpenLCAbasic!K2965,LookUps!$D$5:$D$12,0))))</f>
        <v>Smog Formation Potential (SFP) - kg O3 eq</v>
      </c>
      <c r="M2965" s="154" t="str">
        <f t="shared" si="148"/>
        <v>High_Base_High_Upgraded_Smog Formation Potential (SFP) - kg O3 eq_Waste Receiving and Holding; wastewater treatment unit; at updated plant - US_Base_With Amendment_Windrow</v>
      </c>
    </row>
    <row r="2966" spans="1:13" s="120" customFormat="1" x14ac:dyDescent="0.25">
      <c r="A2966" s="119"/>
      <c r="B2966" s="138" t="str">
        <f t="shared" si="146"/>
        <v>Windrow</v>
      </c>
      <c r="C2966" s="138" t="str">
        <f t="shared" si="147"/>
        <v>Base_With Amendment</v>
      </c>
      <c r="D2966" s="118" t="s">
        <v>134</v>
      </c>
      <c r="E2966" s="118" t="s">
        <v>181</v>
      </c>
      <c r="F2966" s="118" t="s">
        <v>46</v>
      </c>
      <c r="G2966" s="153"/>
      <c r="H2966" s="155">
        <v>10.797700000000001</v>
      </c>
      <c r="I2966" s="154" t="s">
        <v>147</v>
      </c>
      <c r="J2966" s="203">
        <v>1.9400000000000001E-2</v>
      </c>
      <c r="K2966" s="154" t="s">
        <v>25</v>
      </c>
      <c r="L2966" s="154" t="str">
        <f>IF(OpenLCAbasic!K2966="CTUh", "Fill in Manually",IF(OR(K2966="Unit", K2966=""), "", INDEX(LookUps!$E$5:$E$12, MATCH(OpenLCAbasic!K2966,LookUps!$D$5:$D$12,0))))</f>
        <v>Smog Formation Potential (SFP) - kg O3 eq</v>
      </c>
      <c r="M2966" s="154" t="str">
        <f t="shared" si="148"/>
        <v>High_Base_High_Upgraded_Smog Formation Potential (SFP) - kg O3 eq_Influent Pump Station; wastewater treatment unit; at updated plant - US_Base_With Amendment_Windrow</v>
      </c>
    </row>
    <row r="2967" spans="1:13" s="120" customFormat="1" x14ac:dyDescent="0.25">
      <c r="A2967" s="119"/>
      <c r="B2967" s="138" t="str">
        <f t="shared" si="146"/>
        <v>Windrow</v>
      </c>
      <c r="C2967" s="138" t="str">
        <f t="shared" si="147"/>
        <v>Base_With Amendment</v>
      </c>
      <c r="D2967" s="118" t="s">
        <v>134</v>
      </c>
      <c r="E2967" s="118" t="s">
        <v>181</v>
      </c>
      <c r="F2967" s="118" t="s">
        <v>46</v>
      </c>
      <c r="G2967" s="153"/>
      <c r="H2967" s="155">
        <v>6.6340000000000003</v>
      </c>
      <c r="I2967" s="154" t="s">
        <v>128</v>
      </c>
      <c r="J2967" s="204">
        <v>1.192E-2</v>
      </c>
      <c r="K2967" s="154" t="s">
        <v>25</v>
      </c>
      <c r="L2967" s="154" t="str">
        <f>IF(OpenLCAbasic!K2967="CTUh", "Fill in Manually",IF(OR(K2967="Unit", K2967=""), "", INDEX(LookUps!$E$5:$E$12, MATCH(OpenLCAbasic!K2967,LookUps!$D$5:$D$12,0))))</f>
        <v>Smog Formation Potential (SFP) - kg O3 eq</v>
      </c>
      <c r="M2967" s="154" t="str">
        <f t="shared" si="148"/>
        <v>High_Base_High_Upgraded_Smog Formation Potential (SFP) - kg O3 eq_Wastewater collection; operation and infrastructure; m3 wastewater_Base_With Amendment_Windrow</v>
      </c>
    </row>
    <row r="2968" spans="1:13" s="120" customFormat="1" x14ac:dyDescent="0.25">
      <c r="A2968" s="119"/>
      <c r="B2968" s="138" t="str">
        <f t="shared" si="146"/>
        <v>Windrow</v>
      </c>
      <c r="C2968" s="138" t="str">
        <f t="shared" si="147"/>
        <v>Base_With Amendment</v>
      </c>
      <c r="D2968" s="118" t="s">
        <v>134</v>
      </c>
      <c r="E2968" s="118" t="s">
        <v>181</v>
      </c>
      <c r="F2968" s="118" t="s">
        <v>46</v>
      </c>
      <c r="G2968" s="153"/>
      <c r="H2968" s="155">
        <v>3.9388999999999998</v>
      </c>
      <c r="I2968" s="154" t="s">
        <v>60</v>
      </c>
      <c r="J2968" s="204">
        <v>7.0800000000000004E-3</v>
      </c>
      <c r="K2968" s="154" t="s">
        <v>25</v>
      </c>
      <c r="L2968" s="154" t="str">
        <f>IF(OpenLCAbasic!K2968="CTUh", "Fill in Manually",IF(OR(K2968="Unit", K2968=""), "", INDEX(LookUps!$E$5:$E$12, MATCH(OpenLCAbasic!K2968,LookUps!$D$5:$D$12,0))))</f>
        <v>Smog Formation Potential (SFP) - kg O3 eq</v>
      </c>
      <c r="M2968" s="154" t="str">
        <f t="shared" si="148"/>
        <v>High_Base_High_Upgraded_Smog Formation Potential (SFP) - kg O3 eq_Belt filter press; wastewater treatment unit; at updated plant - US_Base_With Amendment_Windrow</v>
      </c>
    </row>
    <row r="2969" spans="1:13" s="120" customFormat="1" x14ac:dyDescent="0.25">
      <c r="A2969" s="119"/>
      <c r="B2969" s="138" t="str">
        <f t="shared" si="146"/>
        <v>Windrow</v>
      </c>
      <c r="C2969" s="138" t="str">
        <f t="shared" si="147"/>
        <v>Base_With Amendment</v>
      </c>
      <c r="D2969" s="118" t="s">
        <v>134</v>
      </c>
      <c r="E2969" s="118" t="s">
        <v>181</v>
      </c>
      <c r="F2969" s="118" t="s">
        <v>46</v>
      </c>
      <c r="G2969" s="153"/>
      <c r="H2969" s="155">
        <v>3.7031999999999998</v>
      </c>
      <c r="I2969" s="154" t="s">
        <v>57</v>
      </c>
      <c r="J2969" s="204">
        <v>6.6499999999999997E-3</v>
      </c>
      <c r="K2969" s="154" t="s">
        <v>25</v>
      </c>
      <c r="L2969" s="154" t="str">
        <f>IF(OpenLCAbasic!K2969="CTUh", "Fill in Manually",IF(OR(K2969="Unit", K2969=""), "", INDEX(LookUps!$E$5:$E$12, MATCH(OpenLCAbasic!K2969,LookUps!$D$5:$D$12,0))))</f>
        <v>Smog Formation Potential (SFP) - kg O3 eq</v>
      </c>
      <c r="M2969" s="154" t="str">
        <f t="shared" si="148"/>
        <v>High_Base_High_Upgraded_Smog Formation Potential (SFP) - kg O3 eq_Gravity Belt Thickener; wastewater treatment unit; at updated plant - US_Base_With Amendment_Windrow</v>
      </c>
    </row>
    <row r="2970" spans="1:13" s="120" customFormat="1" x14ac:dyDescent="0.25">
      <c r="A2970" s="119"/>
      <c r="B2970" s="138" t="str">
        <f t="shared" si="146"/>
        <v>Windrow</v>
      </c>
      <c r="C2970" s="138" t="str">
        <f t="shared" si="147"/>
        <v>Base_With Amendment</v>
      </c>
      <c r="D2970" s="118" t="s">
        <v>134</v>
      </c>
      <c r="E2970" s="118" t="s">
        <v>181</v>
      </c>
      <c r="F2970" s="118" t="s">
        <v>46</v>
      </c>
      <c r="G2970" s="153"/>
      <c r="H2970" s="155">
        <v>2.7682000000000002</v>
      </c>
      <c r="I2970" s="154" t="s">
        <v>59</v>
      </c>
      <c r="J2970" s="204">
        <v>4.9699999999999996E-3</v>
      </c>
      <c r="K2970" s="154" t="s">
        <v>25</v>
      </c>
      <c r="L2970" s="154" t="str">
        <f>IF(OpenLCAbasic!K2970="CTUh", "Fill in Manually",IF(OR(K2970="Unit", K2970=""), "", INDEX(LookUps!$E$5:$E$12, MATCH(OpenLCAbasic!K2970,LookUps!$D$5:$D$12,0))))</f>
        <v>Smog Formation Potential (SFP) - kg O3 eq</v>
      </c>
      <c r="M2970" s="154" t="str">
        <f t="shared" si="148"/>
        <v>High_Base_High_Upgraded_Smog Formation Potential (SFP) - kg O3 eq_Blend Tank; wastewater treatment unit; at updated plant - US_Base_With Amendment_Windrow</v>
      </c>
    </row>
    <row r="2971" spans="1:13" s="120" customFormat="1" x14ac:dyDescent="0.25">
      <c r="A2971" s="119"/>
      <c r="B2971" s="138" t="str">
        <f t="shared" si="146"/>
        <v>Windrow</v>
      </c>
      <c r="C2971" s="138" t="str">
        <f t="shared" si="147"/>
        <v>Base_With Amendment</v>
      </c>
      <c r="D2971" s="118" t="s">
        <v>134</v>
      </c>
      <c r="E2971" s="118" t="s">
        <v>181</v>
      </c>
      <c r="F2971" s="118" t="s">
        <v>46</v>
      </c>
      <c r="G2971" s="153"/>
      <c r="H2971" s="155">
        <v>1.8843000000000001</v>
      </c>
      <c r="I2971" s="154" t="s">
        <v>48</v>
      </c>
      <c r="J2971" s="204">
        <v>3.3899999999999998E-3</v>
      </c>
      <c r="K2971" s="154" t="s">
        <v>25</v>
      </c>
      <c r="L2971" s="154" t="str">
        <f>IF(OpenLCAbasic!K2971="CTUh", "Fill in Manually",IF(OR(K2971="Unit", K2971=""), "", INDEX(LookUps!$E$5:$E$12, MATCH(OpenLCAbasic!K2971,LookUps!$D$5:$D$12,0))))</f>
        <v>Smog Formation Potential (SFP) - kg O3 eq</v>
      </c>
      <c r="M2971" s="154" t="str">
        <f t="shared" si="148"/>
        <v>High_Base_High_Upgraded_Smog Formation Potential (SFP) - kg O3 eq_Effluent release; wastewater treatment unit; at surface water; m3 wastewater - US_Base_With Amendment_Windrow</v>
      </c>
    </row>
    <row r="2972" spans="1:13" s="120" customFormat="1" x14ac:dyDescent="0.25">
      <c r="A2972" s="119"/>
      <c r="B2972" s="138" t="str">
        <f t="shared" si="146"/>
        <v>Windrow</v>
      </c>
      <c r="C2972" s="138" t="str">
        <f t="shared" si="147"/>
        <v>Base_With Amendment</v>
      </c>
      <c r="D2972" s="118" t="s">
        <v>134</v>
      </c>
      <c r="E2972" s="118" t="s">
        <v>181</v>
      </c>
      <c r="F2972" s="118" t="s">
        <v>46</v>
      </c>
      <c r="G2972" s="153"/>
      <c r="H2972" s="155">
        <v>1.3666</v>
      </c>
      <c r="I2972" s="154" t="s">
        <v>168</v>
      </c>
      <c r="J2972" s="204">
        <v>2.4599999999999999E-3</v>
      </c>
      <c r="K2972" s="154" t="s">
        <v>25</v>
      </c>
      <c r="L2972" s="154" t="str">
        <f>IF(OpenLCAbasic!K2972="CTUh", "Fill in Manually",IF(OR(K2972="Unit", K2972=""), "", INDEX(LookUps!$E$5:$E$12, MATCH(OpenLCAbasic!K2972,LookUps!$D$5:$D$12,0))))</f>
        <v>Smog Formation Potential (SFP) - kg O3 eq</v>
      </c>
      <c r="M2972" s="154" t="str">
        <f t="shared" si="148"/>
        <v>High_Base_High_Upgraded_Smog Formation Potential (SFP) - kg O3 eq_ClearCove SCP; wastewater treatment unit; at updated plant - US_Base_With Amendment_Windrow</v>
      </c>
    </row>
    <row r="2973" spans="1:13" s="120" customFormat="1" x14ac:dyDescent="0.25">
      <c r="A2973" s="119"/>
      <c r="B2973" s="138" t="str">
        <f t="shared" si="146"/>
        <v>Windrow</v>
      </c>
      <c r="C2973" s="138" t="str">
        <f t="shared" si="147"/>
        <v>Base_With Amendment</v>
      </c>
      <c r="D2973" s="118" t="s">
        <v>134</v>
      </c>
      <c r="E2973" s="118" t="s">
        <v>181</v>
      </c>
      <c r="F2973" s="118" t="s">
        <v>46</v>
      </c>
      <c r="G2973" s="153"/>
      <c r="H2973" s="155">
        <v>0.74629999999999996</v>
      </c>
      <c r="I2973" s="154" t="s">
        <v>271</v>
      </c>
      <c r="J2973" s="204">
        <v>1.34E-3</v>
      </c>
      <c r="K2973" s="154" t="s">
        <v>25</v>
      </c>
      <c r="L2973" s="154" t="str">
        <f>IF(OpenLCAbasic!K2973="CTUh", "Fill in Manually",IF(OR(K2973="Unit", K2973=""), "", INDEX(LookUps!$E$5:$E$12, MATCH(OpenLCAbasic!K2973,LookUps!$D$5:$D$12,0))))</f>
        <v>Smog Formation Potential (SFP) - kg O3 eq</v>
      </c>
      <c r="M2973" s="154" t="str">
        <f t="shared" si="148"/>
        <v>High_Base_High_Upgraded_Smog Formation Potential (SFP) - kg O3 eq_Biosolids composting; windrow composting; wastewater treatment unit; at updated plant - US_Base_With Amendment_Windrow</v>
      </c>
    </row>
    <row r="2974" spans="1:13" s="120" customFormat="1" x14ac:dyDescent="0.25">
      <c r="A2974" s="119"/>
      <c r="B2974" s="138" t="str">
        <f t="shared" si="146"/>
        <v>Windrow</v>
      </c>
      <c r="C2974" s="138" t="str">
        <f t="shared" si="147"/>
        <v>Base_With Amendment</v>
      </c>
      <c r="D2974" s="118" t="s">
        <v>134</v>
      </c>
      <c r="E2974" s="118" t="s">
        <v>181</v>
      </c>
      <c r="F2974" s="118" t="s">
        <v>46</v>
      </c>
      <c r="G2974" s="153"/>
      <c r="H2974" s="155">
        <v>0.29980000000000001</v>
      </c>
      <c r="I2974" s="154" t="s">
        <v>148</v>
      </c>
      <c r="J2974" s="204">
        <v>5.4000000000000001E-4</v>
      </c>
      <c r="K2974" s="154" t="s">
        <v>25</v>
      </c>
      <c r="L2974" s="154" t="str">
        <f>IF(OpenLCAbasic!K2974="CTUh", "Fill in Manually",IF(OR(K2974="Unit", K2974=""), "", INDEX(LookUps!$E$5:$E$12, MATCH(OpenLCAbasic!K2974,LookUps!$D$5:$D$12,0))))</f>
        <v>Smog Formation Potential (SFP) - kg O3 eq</v>
      </c>
      <c r="M2974" s="154" t="str">
        <f t="shared" si="148"/>
        <v>High_Base_High_Upgraded_Smog Formation Potential (SFP) - kg O3 eq_Control Building; at upgraded wastewater treatment plant - US_Base_With Amendment_Windrow</v>
      </c>
    </row>
    <row r="2975" spans="1:13" s="120" customFormat="1" x14ac:dyDescent="0.25">
      <c r="A2975" s="119"/>
      <c r="B2975" s="138" t="str">
        <f t="shared" si="146"/>
        <v>Windrow</v>
      </c>
      <c r="C2975" s="138" t="str">
        <f t="shared" si="147"/>
        <v>Base_With Amendment</v>
      </c>
      <c r="D2975" s="118" t="s">
        <v>134</v>
      </c>
      <c r="E2975" s="118" t="s">
        <v>181</v>
      </c>
      <c r="F2975" s="118" t="s">
        <v>46</v>
      </c>
      <c r="G2975" s="153"/>
      <c r="H2975" s="155">
        <v>-1.423</v>
      </c>
      <c r="I2975" s="154" t="s">
        <v>62</v>
      </c>
      <c r="J2975" s="204">
        <v>-2.5600000000000002E-3</v>
      </c>
      <c r="K2975" s="154" t="s">
        <v>25</v>
      </c>
      <c r="L2975" s="154" t="str">
        <f>IF(OpenLCAbasic!K2975="CTUh", "Fill in Manually",IF(OR(K2975="Unit", K2975=""), "", INDEX(LookUps!$E$5:$E$12, MATCH(OpenLCAbasic!K2975,LookUps!$D$5:$D$12,0))))</f>
        <v>Smog Formation Potential (SFP) - kg O3 eq</v>
      </c>
      <c r="M2975" s="154" t="str">
        <f t="shared" si="148"/>
        <v>High_Base_High_Upgraded_Smog Formation Potential (SFP) - kg O3 eq_Land application of compost; wastewater treatment unit; at updated plant - US_Base_With Amendment_Windrow</v>
      </c>
    </row>
    <row r="2976" spans="1:13" s="120" customFormat="1" x14ac:dyDescent="0.25">
      <c r="A2976" s="119"/>
      <c r="B2976" s="138" t="str">
        <f t="shared" si="146"/>
        <v>Windrow</v>
      </c>
      <c r="C2976" s="138" t="str">
        <f t="shared" si="147"/>
        <v>Base_With Amendment</v>
      </c>
      <c r="D2976" s="118" t="s">
        <v>134</v>
      </c>
      <c r="E2976" s="118" t="s">
        <v>181</v>
      </c>
      <c r="F2976" s="118" t="s">
        <v>46</v>
      </c>
      <c r="G2976" s="153"/>
      <c r="H2976" s="155">
        <v>-207.995</v>
      </c>
      <c r="I2976" s="154" t="s">
        <v>149</v>
      </c>
      <c r="J2976" s="203">
        <v>-0.37367</v>
      </c>
      <c r="K2976" s="154" t="s">
        <v>25</v>
      </c>
      <c r="L2976" s="154" t="str">
        <f>IF(OpenLCAbasic!K2976="CTUh", "Fill in Manually",IF(OR(K2976="Unit", K2976=""), "", INDEX(LookUps!$E$5:$E$12, MATCH(OpenLCAbasic!K2976,LookUps!$D$5:$D$12,0))))</f>
        <v>Smog Formation Potential (SFP) - kg O3 eq</v>
      </c>
      <c r="M2976" s="154" t="str">
        <f t="shared" si="148"/>
        <v>High_Base_High_Upgraded_Smog Formation Potential (SFP) - kg O3 eq_Anaerobic Digestion; wastewater treatment unit; at updated plant - US_Base_With Amendment_Windrow</v>
      </c>
    </row>
    <row r="2977" spans="1:13" s="120" customFormat="1" x14ac:dyDescent="0.25">
      <c r="A2977" s="119"/>
      <c r="B2977" s="138" t="str">
        <f t="shared" si="146"/>
        <v>Windrow</v>
      </c>
      <c r="C2977" s="138" t="str">
        <f t="shared" si="147"/>
        <v>Base_With Amendment</v>
      </c>
      <c r="D2977" s="118" t="s">
        <v>134</v>
      </c>
      <c r="E2977" s="118" t="s">
        <v>181</v>
      </c>
      <c r="F2977" s="118" t="s">
        <v>46</v>
      </c>
      <c r="G2977" s="153" t="s">
        <v>51</v>
      </c>
      <c r="H2977" s="154"/>
      <c r="I2977" s="154" t="s">
        <v>47</v>
      </c>
      <c r="J2977" s="154" t="s">
        <v>52</v>
      </c>
      <c r="K2977" s="154" t="s">
        <v>27</v>
      </c>
      <c r="L2977" s="154" t="str">
        <f>IF(OpenLCAbasic!K2977="CTUh", "Fill in Manually",IF(OR(K2977="Unit", K2977=""), "", INDEX(LookUps!$E$5:$E$12, MATCH(OpenLCAbasic!K2977,LookUps!$D$5:$D$12,0))))</f>
        <v/>
      </c>
      <c r="M2977" s="154" t="str">
        <f t="shared" si="148"/>
        <v>High_Base_High_Upgraded__Process_Base_With Amendment_Windrow</v>
      </c>
    </row>
    <row r="2978" spans="1:13" s="120" customFormat="1" x14ac:dyDescent="0.25">
      <c r="A2978" s="119"/>
      <c r="B2978" s="138" t="str">
        <f t="shared" si="146"/>
        <v>Windrow</v>
      </c>
      <c r="C2978" s="138" t="str">
        <f t="shared" si="147"/>
        <v>Base_With Amendment</v>
      </c>
      <c r="D2978" s="118" t="s">
        <v>134</v>
      </c>
      <c r="E2978" s="118" t="s">
        <v>181</v>
      </c>
      <c r="F2978" s="118" t="s">
        <v>46</v>
      </c>
      <c r="G2978" s="153"/>
      <c r="H2978" s="155">
        <v>2.7883</v>
      </c>
      <c r="I2978" s="154" t="s">
        <v>167</v>
      </c>
      <c r="J2978" s="204">
        <v>2.3000000000000001E-4</v>
      </c>
      <c r="K2978" s="154" t="s">
        <v>26</v>
      </c>
      <c r="L2978" s="154" t="str">
        <f>IF(OpenLCAbasic!K2978="CTUh", "Fill in Manually",IF(OR(K2978="Unit", K2978=""), "", INDEX(LookUps!$E$5:$E$12, MATCH(OpenLCAbasic!K2978,LookUps!$D$5:$D$12,0))))</f>
        <v>Water Use (WU) - m3 H2O</v>
      </c>
      <c r="M2978" s="154" t="str">
        <f t="shared" si="148"/>
        <v>High_Base_High_Upgraded_Water Use (WU) - m3 H2O_Waste Receiving and Holding; wastewater treatment unit; at updated plant - US_Base_With Amendment_Windrow</v>
      </c>
    </row>
    <row r="2979" spans="1:13" s="120" customFormat="1" x14ac:dyDescent="0.25">
      <c r="A2979" s="119"/>
      <c r="B2979" s="138" t="str">
        <f t="shared" si="146"/>
        <v>Windrow</v>
      </c>
      <c r="C2979" s="138" t="str">
        <f t="shared" si="147"/>
        <v>Base_With Amendment</v>
      </c>
      <c r="D2979" s="118" t="s">
        <v>134</v>
      </c>
      <c r="E2979" s="118" t="s">
        <v>181</v>
      </c>
      <c r="F2979" s="118" t="s">
        <v>46</v>
      </c>
      <c r="G2979" s="153"/>
      <c r="H2979" s="155">
        <v>2.2063000000000001</v>
      </c>
      <c r="I2979" s="154" t="s">
        <v>147</v>
      </c>
      <c r="J2979" s="204">
        <v>1.8000000000000001E-4</v>
      </c>
      <c r="K2979" s="154" t="s">
        <v>26</v>
      </c>
      <c r="L2979" s="154" t="str">
        <f>IF(OpenLCAbasic!K2979="CTUh", "Fill in Manually",IF(OR(K2979="Unit", K2979=""), "", INDEX(LookUps!$E$5:$E$12, MATCH(OpenLCAbasic!K2979,LookUps!$D$5:$D$12,0))))</f>
        <v>Water Use (WU) - m3 H2O</v>
      </c>
      <c r="M2979" s="154" t="str">
        <f t="shared" si="148"/>
        <v>High_Base_High_Upgraded_Water Use (WU) - m3 H2O_Influent Pump Station; wastewater treatment unit; at updated plant - US_Base_With Amendment_Windrow</v>
      </c>
    </row>
    <row r="2980" spans="1:13" s="120" customFormat="1" x14ac:dyDescent="0.25">
      <c r="A2980" s="119"/>
      <c r="B2980" s="138" t="str">
        <f t="shared" si="146"/>
        <v>Windrow</v>
      </c>
      <c r="C2980" s="138" t="str">
        <f t="shared" si="147"/>
        <v>Base_With Amendment</v>
      </c>
      <c r="D2980" s="118" t="s">
        <v>134</v>
      </c>
      <c r="E2980" s="118" t="s">
        <v>181</v>
      </c>
      <c r="F2980" s="118" t="s">
        <v>46</v>
      </c>
      <c r="G2980" s="153"/>
      <c r="H2980" s="155">
        <v>2.1526999999999998</v>
      </c>
      <c r="I2980" s="154" t="s">
        <v>54</v>
      </c>
      <c r="J2980" s="204">
        <v>1.8000000000000001E-4</v>
      </c>
      <c r="K2980" s="154" t="s">
        <v>26</v>
      </c>
      <c r="L2980" s="154" t="str">
        <f>IF(OpenLCAbasic!K2980="CTUh", "Fill in Manually",IF(OR(K2980="Unit", K2980=""), "", INDEX(LookUps!$E$5:$E$12, MATCH(OpenLCAbasic!K2980,LookUps!$D$5:$D$12,0))))</f>
        <v>Water Use (WU) - m3 H2O</v>
      </c>
      <c r="M2980" s="154" t="str">
        <f t="shared" si="148"/>
        <v>High_Base_High_Upgraded_Water Use (WU) - m3 H2O_Clear Cove Primary Clarification; wastewater treatment unit; at updated plant - US_Base_With Amendment_Windrow</v>
      </c>
    </row>
    <row r="2981" spans="1:13" s="120" customFormat="1" x14ac:dyDescent="0.25">
      <c r="A2981" s="119"/>
      <c r="B2981" s="138" t="str">
        <f t="shared" si="146"/>
        <v>Windrow</v>
      </c>
      <c r="C2981" s="138" t="str">
        <f t="shared" si="147"/>
        <v>Base_With Amendment</v>
      </c>
      <c r="D2981" s="118" t="s">
        <v>134</v>
      </c>
      <c r="E2981" s="118" t="s">
        <v>181</v>
      </c>
      <c r="F2981" s="118" t="s">
        <v>46</v>
      </c>
      <c r="G2981" s="153"/>
      <c r="H2981" s="155">
        <v>1.9529000000000001</v>
      </c>
      <c r="I2981" s="154" t="s">
        <v>55</v>
      </c>
      <c r="J2981" s="204">
        <v>1.6000000000000001E-4</v>
      </c>
      <c r="K2981" s="154" t="s">
        <v>26</v>
      </c>
      <c r="L2981" s="154" t="str">
        <f>IF(OpenLCAbasic!K2981="CTUh", "Fill in Manually",IF(OR(K2981="Unit", K2981=""), "", INDEX(LookUps!$E$5:$E$12, MATCH(OpenLCAbasic!K2981,LookUps!$D$5:$D$12,0))))</f>
        <v>Water Use (WU) - m3 H2O</v>
      </c>
      <c r="M2981" s="154" t="str">
        <f t="shared" si="148"/>
        <v>High_Base_High_Upgraded_Water Use (WU) - m3 H2O_Aeration Tanks; wastewater treatment unit; at updated plant - US_Base_With Amendment_Windrow</v>
      </c>
    </row>
    <row r="2982" spans="1:13" s="120" customFormat="1" x14ac:dyDescent="0.25">
      <c r="A2982" s="119"/>
      <c r="B2982" s="138" t="str">
        <f t="shared" si="146"/>
        <v>Windrow</v>
      </c>
      <c r="C2982" s="138" t="str">
        <f t="shared" si="147"/>
        <v>Base_With Amendment</v>
      </c>
      <c r="D2982" s="118" t="s">
        <v>134</v>
      </c>
      <c r="E2982" s="118" t="s">
        <v>181</v>
      </c>
      <c r="F2982" s="118" t="s">
        <v>46</v>
      </c>
      <c r="G2982" s="153"/>
      <c r="H2982" s="155">
        <v>1.7788999999999999</v>
      </c>
      <c r="I2982" s="154" t="s">
        <v>148</v>
      </c>
      <c r="J2982" s="204">
        <v>1.4999999999999999E-4</v>
      </c>
      <c r="K2982" s="154" t="s">
        <v>26</v>
      </c>
      <c r="L2982" s="154" t="str">
        <f>IF(OpenLCAbasic!K2982="CTUh", "Fill in Manually",IF(OR(K2982="Unit", K2982=""), "", INDEX(LookUps!$E$5:$E$12, MATCH(OpenLCAbasic!K2982,LookUps!$D$5:$D$12,0))))</f>
        <v>Water Use (WU) - m3 H2O</v>
      </c>
      <c r="M2982" s="154" t="str">
        <f t="shared" si="148"/>
        <v>High_Base_High_Upgraded_Water Use (WU) - m3 H2O_Control Building; at upgraded wastewater treatment plant - US_Base_With Amendment_Windrow</v>
      </c>
    </row>
    <row r="2983" spans="1:13" s="120" customFormat="1" x14ac:dyDescent="0.25">
      <c r="A2983" s="119"/>
      <c r="B2983" s="138" t="str">
        <f t="shared" si="146"/>
        <v>Windrow</v>
      </c>
      <c r="C2983" s="138" t="str">
        <f t="shared" si="147"/>
        <v>Base_With Amendment</v>
      </c>
      <c r="D2983" s="118" t="s">
        <v>134</v>
      </c>
      <c r="E2983" s="118" t="s">
        <v>181</v>
      </c>
      <c r="F2983" s="118" t="s">
        <v>46</v>
      </c>
      <c r="G2983" s="153"/>
      <c r="H2983" s="155">
        <v>0.82609999999999995</v>
      </c>
      <c r="I2983" s="154" t="s">
        <v>48</v>
      </c>
      <c r="J2983" s="204">
        <v>6.8836400000000004E-5</v>
      </c>
      <c r="K2983" s="154" t="s">
        <v>26</v>
      </c>
      <c r="L2983" s="154" t="str">
        <f>IF(OpenLCAbasic!K2983="CTUh", "Fill in Manually",IF(OR(K2983="Unit", K2983=""), "", INDEX(LookUps!$E$5:$E$12, MATCH(OpenLCAbasic!K2983,LookUps!$D$5:$D$12,0))))</f>
        <v>Water Use (WU) - m3 H2O</v>
      </c>
      <c r="M2983" s="154" t="str">
        <f t="shared" si="148"/>
        <v>High_Base_High_Upgraded_Water Use (WU) - m3 H2O_Effluent release; wastewater treatment unit; at surface water; m3 wastewater - US_Base_With Amendment_Windrow</v>
      </c>
    </row>
    <row r="2984" spans="1:13" s="120" customFormat="1" x14ac:dyDescent="0.25">
      <c r="A2984" s="119"/>
      <c r="B2984" s="138" t="str">
        <f t="shared" si="146"/>
        <v>Windrow</v>
      </c>
      <c r="C2984" s="138" t="str">
        <f t="shared" si="147"/>
        <v>Base_With Amendment</v>
      </c>
      <c r="D2984" s="118" t="s">
        <v>134</v>
      </c>
      <c r="E2984" s="118" t="s">
        <v>181</v>
      </c>
      <c r="F2984" s="118" t="s">
        <v>46</v>
      </c>
      <c r="G2984" s="153"/>
      <c r="H2984" s="155">
        <v>0.51829999999999998</v>
      </c>
      <c r="I2984" s="154" t="s">
        <v>58</v>
      </c>
      <c r="J2984" s="204">
        <v>4.3192100000000003E-5</v>
      </c>
      <c r="K2984" s="154" t="s">
        <v>26</v>
      </c>
      <c r="L2984" s="154" t="str">
        <f>IF(OpenLCAbasic!K2984="CTUh", "Fill in Manually",IF(OR(K2984="Unit", K2984=""), "", INDEX(LookUps!$E$5:$E$12, MATCH(OpenLCAbasic!K2984,LookUps!$D$5:$D$12,0))))</f>
        <v>Water Use (WU) - m3 H2O</v>
      </c>
      <c r="M2984" s="154" t="str">
        <f t="shared" si="148"/>
        <v>High_Base_High_Upgraded_Water Use (WU) - m3 H2O_Pre-Anoxic &amp; Swing tank; wastewater treatment unit; at updated plant - US_Base_With Amendment_Windrow</v>
      </c>
    </row>
    <row r="2985" spans="1:13" s="120" customFormat="1" x14ac:dyDescent="0.25">
      <c r="A2985" s="119"/>
      <c r="B2985" s="138" t="str">
        <f t="shared" si="146"/>
        <v>Windrow</v>
      </c>
      <c r="C2985" s="138" t="str">
        <f t="shared" si="147"/>
        <v>Base_With Amendment</v>
      </c>
      <c r="D2985" s="118" t="s">
        <v>134</v>
      </c>
      <c r="E2985" s="118" t="s">
        <v>181</v>
      </c>
      <c r="F2985" s="118" t="s">
        <v>46</v>
      </c>
      <c r="G2985" s="153"/>
      <c r="H2985" s="155">
        <v>0.3649</v>
      </c>
      <c r="I2985" s="154" t="s">
        <v>57</v>
      </c>
      <c r="J2985" s="204">
        <v>3.0408100000000001E-5</v>
      </c>
      <c r="K2985" s="154" t="s">
        <v>26</v>
      </c>
      <c r="L2985" s="154" t="str">
        <f>IF(OpenLCAbasic!K2985="CTUh", "Fill in Manually",IF(OR(K2985="Unit", K2985=""), "", INDEX(LookUps!$E$5:$E$12, MATCH(OpenLCAbasic!K2985,LookUps!$D$5:$D$12,0))))</f>
        <v>Water Use (WU) - m3 H2O</v>
      </c>
      <c r="M2985" s="154" t="str">
        <f t="shared" si="148"/>
        <v>High_Base_High_Upgraded_Water Use (WU) - m3 H2O_Gravity Belt Thickener; wastewater treatment unit; at updated plant - US_Base_With Amendment_Windrow</v>
      </c>
    </row>
    <row r="2986" spans="1:13" s="120" customFormat="1" x14ac:dyDescent="0.25">
      <c r="A2986" s="119"/>
      <c r="B2986" s="138" t="str">
        <f t="shared" si="146"/>
        <v>Windrow</v>
      </c>
      <c r="C2986" s="138" t="str">
        <f t="shared" si="147"/>
        <v>Base_With Amendment</v>
      </c>
      <c r="D2986" s="118" t="s">
        <v>134</v>
      </c>
      <c r="E2986" s="118" t="s">
        <v>181</v>
      </c>
      <c r="F2986" s="118" t="s">
        <v>46</v>
      </c>
      <c r="G2986" s="153"/>
      <c r="H2986" s="155">
        <v>0.25359999999999999</v>
      </c>
      <c r="I2986" s="154" t="s">
        <v>60</v>
      </c>
      <c r="J2986" s="204">
        <v>2.1135600000000001E-5</v>
      </c>
      <c r="K2986" s="154" t="s">
        <v>26</v>
      </c>
      <c r="L2986" s="154" t="str">
        <f>IF(OpenLCAbasic!K2986="CTUh", "Fill in Manually",IF(OR(K2986="Unit", K2986=""), "", INDEX(LookUps!$E$5:$E$12, MATCH(OpenLCAbasic!K2986,LookUps!$D$5:$D$12,0))))</f>
        <v>Water Use (WU) - m3 H2O</v>
      </c>
      <c r="M2986" s="154" t="str">
        <f t="shared" si="148"/>
        <v>High_Base_High_Upgraded_Water Use (WU) - m3 H2O_Belt filter press; wastewater treatment unit; at updated plant - US_Base_With Amendment_Windrow</v>
      </c>
    </row>
    <row r="2987" spans="1:13" s="120" customFormat="1" x14ac:dyDescent="0.25">
      <c r="A2987" s="119"/>
      <c r="B2987" s="138" t="str">
        <f t="shared" si="146"/>
        <v>Windrow</v>
      </c>
      <c r="C2987" s="138" t="str">
        <f t="shared" si="147"/>
        <v>Base_With Amendment</v>
      </c>
      <c r="D2987" s="118" t="s">
        <v>134</v>
      </c>
      <c r="E2987" s="118" t="s">
        <v>181</v>
      </c>
      <c r="F2987" s="118" t="s">
        <v>46</v>
      </c>
      <c r="G2987" s="153"/>
      <c r="H2987" s="155">
        <v>0.21010000000000001</v>
      </c>
      <c r="I2987" s="154" t="s">
        <v>53</v>
      </c>
      <c r="J2987" s="204">
        <v>1.75069E-5</v>
      </c>
      <c r="K2987" s="154" t="s">
        <v>26</v>
      </c>
      <c r="L2987" s="154" t="str">
        <f>IF(OpenLCAbasic!K2987="CTUh", "Fill in Manually",IF(OR(K2987="Unit", K2987=""), "", INDEX(LookUps!$E$5:$E$12, MATCH(OpenLCAbasic!K2987,LookUps!$D$5:$D$12,0))))</f>
        <v>Water Use (WU) - m3 H2O</v>
      </c>
      <c r="M2987" s="154" t="str">
        <f t="shared" si="148"/>
        <v>High_Base_High_Upgraded_Water Use (WU) - m3 H2O_Wet Well and Sump Station; wastewater treatment unit; at updated plant - US_Base_With Amendment_Windrow</v>
      </c>
    </row>
    <row r="2988" spans="1:13" s="120" customFormat="1" x14ac:dyDescent="0.25">
      <c r="A2988" s="119"/>
      <c r="B2988" s="138" t="str">
        <f t="shared" si="146"/>
        <v>Windrow</v>
      </c>
      <c r="C2988" s="138" t="str">
        <f t="shared" si="147"/>
        <v>Base_With Amendment</v>
      </c>
      <c r="D2988" s="118" t="s">
        <v>134</v>
      </c>
      <c r="E2988" s="118" t="s">
        <v>181</v>
      </c>
      <c r="F2988" s="118" t="s">
        <v>46</v>
      </c>
      <c r="G2988" s="153"/>
      <c r="H2988" s="155">
        <v>8.4199999999999997E-2</v>
      </c>
      <c r="I2988" s="154" t="s">
        <v>59</v>
      </c>
      <c r="J2988" s="204">
        <v>7.0179500000000003E-6</v>
      </c>
      <c r="K2988" s="154" t="s">
        <v>26</v>
      </c>
      <c r="L2988" s="154" t="str">
        <f>IF(OpenLCAbasic!K2988="CTUh", "Fill in Manually",IF(OR(K2988="Unit", K2988=""), "", INDEX(LookUps!$E$5:$E$12, MATCH(OpenLCAbasic!K2988,LookUps!$D$5:$D$12,0))))</f>
        <v>Water Use (WU) - m3 H2O</v>
      </c>
      <c r="M2988" s="154" t="str">
        <f t="shared" si="148"/>
        <v>High_Base_High_Upgraded_Water Use (WU) - m3 H2O_Blend Tank; wastewater treatment unit; at updated plant - US_Base_With Amendment_Windrow</v>
      </c>
    </row>
    <row r="2989" spans="1:13" s="120" customFormat="1" x14ac:dyDescent="0.25">
      <c r="A2989" s="119"/>
      <c r="B2989" s="138" t="str">
        <f t="shared" si="146"/>
        <v>Windrow</v>
      </c>
      <c r="C2989" s="138" t="str">
        <f t="shared" si="147"/>
        <v>Base_With Amendment</v>
      </c>
      <c r="D2989" s="118" t="s">
        <v>134</v>
      </c>
      <c r="E2989" s="118" t="s">
        <v>181</v>
      </c>
      <c r="F2989" s="118" t="s">
        <v>46</v>
      </c>
      <c r="G2989" s="153"/>
      <c r="H2989" s="155">
        <v>6.0699999999999997E-2</v>
      </c>
      <c r="I2989" s="154" t="s">
        <v>128</v>
      </c>
      <c r="J2989" s="204">
        <v>5.0608900000000003E-6</v>
      </c>
      <c r="K2989" s="154" t="s">
        <v>26</v>
      </c>
      <c r="L2989" s="154" t="str">
        <f>IF(OpenLCAbasic!K2989="CTUh", "Fill in Manually",IF(OR(K2989="Unit", K2989=""), "", INDEX(LookUps!$E$5:$E$12, MATCH(OpenLCAbasic!K2989,LookUps!$D$5:$D$12,0))))</f>
        <v>Water Use (WU) - m3 H2O</v>
      </c>
      <c r="M2989" s="154" t="str">
        <f t="shared" si="148"/>
        <v>High_Base_High_Upgraded_Water Use (WU) - m3 H2O_Wastewater collection; operation and infrastructure; m3 wastewater_Base_With Amendment_Windrow</v>
      </c>
    </row>
    <row r="2990" spans="1:13" s="120" customFormat="1" x14ac:dyDescent="0.25">
      <c r="A2990" s="119"/>
      <c r="B2990" s="138" t="str">
        <f t="shared" si="146"/>
        <v>Windrow</v>
      </c>
      <c r="C2990" s="138" t="str">
        <f t="shared" si="147"/>
        <v>Base_With Amendment</v>
      </c>
      <c r="D2990" s="118" t="s">
        <v>134</v>
      </c>
      <c r="E2990" s="118" t="s">
        <v>181</v>
      </c>
      <c r="F2990" s="118" t="s">
        <v>46</v>
      </c>
      <c r="G2990" s="153"/>
      <c r="H2990" s="155">
        <v>1.24E-2</v>
      </c>
      <c r="I2990" s="154" t="s">
        <v>271</v>
      </c>
      <c r="J2990" s="204">
        <v>1.0329300000000001E-6</v>
      </c>
      <c r="K2990" s="154" t="s">
        <v>26</v>
      </c>
      <c r="L2990" s="154" t="str">
        <f>IF(OpenLCAbasic!K2990="CTUh", "Fill in Manually",IF(OR(K2990="Unit", K2990=""), "", INDEX(LookUps!$E$5:$E$12, MATCH(OpenLCAbasic!K2990,LookUps!$D$5:$D$12,0))))</f>
        <v>Water Use (WU) - m3 H2O</v>
      </c>
      <c r="M2990" s="154" t="str">
        <f t="shared" si="148"/>
        <v>High_Base_High_Upgraded_Water Use (WU) - m3 H2O_Biosolids composting; windrow composting; wastewater treatment unit; at updated plant - US_Base_With Amendment_Windrow</v>
      </c>
    </row>
    <row r="2991" spans="1:13" s="120" customFormat="1" x14ac:dyDescent="0.25">
      <c r="A2991" s="119"/>
      <c r="B2991" s="138" t="str">
        <f t="shared" si="146"/>
        <v>Windrow</v>
      </c>
      <c r="C2991" s="138" t="str">
        <f t="shared" si="147"/>
        <v>Base_With Amendment</v>
      </c>
      <c r="D2991" s="118" t="s">
        <v>134</v>
      </c>
      <c r="E2991" s="118" t="s">
        <v>181</v>
      </c>
      <c r="F2991" s="118" t="s">
        <v>46</v>
      </c>
      <c r="G2991" s="153"/>
      <c r="H2991" s="155">
        <v>9.1999999999999998E-3</v>
      </c>
      <c r="I2991" s="154" t="s">
        <v>168</v>
      </c>
      <c r="J2991" s="204">
        <v>7.6697000000000004E-7</v>
      </c>
      <c r="K2991" s="154" t="s">
        <v>26</v>
      </c>
      <c r="L2991" s="154" t="str">
        <f>IF(OpenLCAbasic!K2991="CTUh", "Fill in Manually",IF(OR(K2991="Unit", K2991=""), "", INDEX(LookUps!$E$5:$E$12, MATCH(OpenLCAbasic!K2991,LookUps!$D$5:$D$12,0))))</f>
        <v>Water Use (WU) - m3 H2O</v>
      </c>
      <c r="M2991" s="154" t="str">
        <f t="shared" si="148"/>
        <v>High_Base_High_Upgraded_Water Use (WU) - m3 H2O_ClearCove SCP; wastewater treatment unit; at updated plant - US_Base_With Amendment_Windrow</v>
      </c>
    </row>
    <row r="2992" spans="1:13" s="120" customFormat="1" x14ac:dyDescent="0.25">
      <c r="A2992" s="119"/>
      <c r="B2992" s="138" t="str">
        <f t="shared" si="146"/>
        <v>Windrow</v>
      </c>
      <c r="C2992" s="138" t="str">
        <f t="shared" si="147"/>
        <v>Base_With Amendment</v>
      </c>
      <c r="D2992" s="118" t="s">
        <v>134</v>
      </c>
      <c r="E2992" s="118" t="s">
        <v>181</v>
      </c>
      <c r="F2992" s="118" t="s">
        <v>46</v>
      </c>
      <c r="G2992" s="153"/>
      <c r="H2992" s="155">
        <v>-1.1180000000000001</v>
      </c>
      <c r="I2992" s="154" t="s">
        <v>149</v>
      </c>
      <c r="J2992" s="204">
        <v>-9.3162899999999995E-5</v>
      </c>
      <c r="K2992" s="154" t="s">
        <v>26</v>
      </c>
      <c r="L2992" s="154" t="str">
        <f>IF(OpenLCAbasic!K2992="CTUh", "Fill in Manually",IF(OR(K2992="Unit", K2992=""), "", INDEX(LookUps!$E$5:$E$12, MATCH(OpenLCAbasic!K2992,LookUps!$D$5:$D$12,0))))</f>
        <v>Water Use (WU) - m3 H2O</v>
      </c>
      <c r="M2992" s="154" t="str">
        <f t="shared" si="148"/>
        <v>High_Base_High_Upgraded_Water Use (WU) - m3 H2O_Anaerobic Digestion; wastewater treatment unit; at updated plant - US_Base_With Amendment_Windrow</v>
      </c>
    </row>
    <row r="2993" spans="1:13" s="120" customFormat="1" x14ac:dyDescent="0.25">
      <c r="A2993" s="213"/>
      <c r="B2993" s="138" t="str">
        <f t="shared" si="146"/>
        <v>Windrow</v>
      </c>
      <c r="C2993" s="138" t="str">
        <f t="shared" si="147"/>
        <v>Base_With Amendment</v>
      </c>
      <c r="D2993" s="118" t="s">
        <v>134</v>
      </c>
      <c r="E2993" s="118" t="s">
        <v>181</v>
      </c>
      <c r="F2993" s="118" t="s">
        <v>46</v>
      </c>
      <c r="G2993" s="153"/>
      <c r="H2993" s="155">
        <v>-13.1007</v>
      </c>
      <c r="I2993" s="154" t="s">
        <v>62</v>
      </c>
      <c r="J2993" s="204">
        <v>-1.09E-3</v>
      </c>
      <c r="K2993" s="154" t="s">
        <v>26</v>
      </c>
      <c r="L2993" s="154" t="str">
        <f>IF(OpenLCAbasic!K2993="CTUh", "Fill in Manually",IF(OR(K2993="Unit", K2993=""), "", INDEX(LookUps!$E$5:$E$12, MATCH(OpenLCAbasic!K2993,LookUps!$D$5:$D$12,0))))</f>
        <v>Water Use (WU) - m3 H2O</v>
      </c>
      <c r="M2993" s="154" t="str">
        <f t="shared" si="148"/>
        <v>High_Base_High_Upgraded_Water Use (WU) - m3 H2O_Land application of compost; wastewater treatment unit; at updated plant - US_Base_With Amendment_Windrow</v>
      </c>
    </row>
    <row r="2994" spans="1:13" s="120" customFormat="1" x14ac:dyDescent="0.25">
      <c r="A2994" s="119"/>
      <c r="B2994" s="138" t="str">
        <f t="shared" si="146"/>
        <v/>
      </c>
      <c r="C2994" s="138" t="str">
        <f t="shared" si="147"/>
        <v/>
      </c>
      <c r="D2994" s="138"/>
      <c r="E2994" s="138"/>
      <c r="F2994" s="138"/>
      <c r="G2994" s="153"/>
      <c r="H2994" s="160"/>
      <c r="I2994" s="160"/>
      <c r="J2994" s="207"/>
      <c r="K2994" s="160"/>
      <c r="L2994" s="154" t="str">
        <f>IF(OpenLCAbasic!K2994="CTUh", "Fill in Manually",IF(OR(K2994="Unit", K2994=""), "", INDEX(LookUps!$E$5:$E$12, MATCH(OpenLCAbasic!K2994,LookUps!$D$5:$D$12,0))))</f>
        <v/>
      </c>
      <c r="M2994" s="154" t="str">
        <f t="shared" si="148"/>
        <v>______</v>
      </c>
    </row>
    <row r="2995" spans="1:13" s="120" customFormat="1" x14ac:dyDescent="0.25">
      <c r="A2995" s="119"/>
      <c r="B2995" s="138" t="str">
        <f t="shared" si="146"/>
        <v>Windrow</v>
      </c>
      <c r="C2995" s="138" t="str">
        <f t="shared" si="147"/>
        <v>Base_With Amendment</v>
      </c>
      <c r="D2995" s="118" t="s">
        <v>135</v>
      </c>
      <c r="E2995" s="118" t="s">
        <v>181</v>
      </c>
      <c r="F2995" s="118" t="s">
        <v>46</v>
      </c>
      <c r="G2995" s="153" t="s">
        <v>51</v>
      </c>
      <c r="H2995" s="154"/>
      <c r="I2995" s="154" t="s">
        <v>47</v>
      </c>
      <c r="J2995" s="154" t="s">
        <v>52</v>
      </c>
      <c r="K2995" s="154" t="s">
        <v>27</v>
      </c>
      <c r="L2995" s="154" t="str">
        <f>IF(OpenLCAbasic!K2995="CTUh", "Fill in Manually",IF(OR(K2995="Unit", K2995=""), "", INDEX(LookUps!$E$5:$E$12, MATCH(OpenLCAbasic!K2995,LookUps!$D$5:$D$12,0))))</f>
        <v/>
      </c>
      <c r="M2995" s="154" t="str">
        <f t="shared" si="148"/>
        <v>High_Medium_Low_Upgraded__Process_Base_With Amendment_Windrow</v>
      </c>
    </row>
    <row r="2996" spans="1:13" s="120" customFormat="1" x14ac:dyDescent="0.25">
      <c r="A2996" s="119"/>
      <c r="B2996" s="138" t="str">
        <f t="shared" si="146"/>
        <v>Windrow</v>
      </c>
      <c r="C2996" s="138" t="str">
        <f t="shared" si="147"/>
        <v>Base_With Amendment</v>
      </c>
      <c r="D2996" s="118" t="s">
        <v>135</v>
      </c>
      <c r="E2996" s="118" t="s">
        <v>181</v>
      </c>
      <c r="F2996" s="118" t="s">
        <v>46</v>
      </c>
      <c r="G2996" s="153"/>
      <c r="H2996" s="155">
        <v>0.94640000000000002</v>
      </c>
      <c r="I2996" s="154" t="s">
        <v>271</v>
      </c>
      <c r="J2996" s="157">
        <v>2.4629400000000001</v>
      </c>
      <c r="K2996" s="154" t="s">
        <v>23</v>
      </c>
      <c r="L2996" s="154" t="str">
        <f>IF(OpenLCAbasic!K2996="CTUh", "Fill in Manually",IF(OR(K2996="Unit", K2996=""), "", INDEX(LookUps!$E$5:$E$12, MATCH(OpenLCAbasic!K2996,LookUps!$D$5:$D$12,0))))</f>
        <v>Global Warming Potential (GWP) - kg CO2 eq</v>
      </c>
      <c r="M2996" s="154" t="str">
        <f t="shared" si="148"/>
        <v>High_Medium_Low_Upgraded_Global Warming Potential (GWP) - kg CO2 eq_Biosolids composting; windrow composting; wastewater treatment unit; at updated plant - US_Base_With Amendment_Windrow</v>
      </c>
    </row>
    <row r="2997" spans="1:13" s="120" customFormat="1" x14ac:dyDescent="0.25">
      <c r="A2997" s="119"/>
      <c r="B2997" s="138" t="str">
        <f t="shared" si="146"/>
        <v>Windrow</v>
      </c>
      <c r="C2997" s="138" t="str">
        <f t="shared" si="147"/>
        <v>Base_With Amendment</v>
      </c>
      <c r="D2997" s="118" t="s">
        <v>135</v>
      </c>
      <c r="E2997" s="118" t="s">
        <v>181</v>
      </c>
      <c r="F2997" s="118" t="s">
        <v>46</v>
      </c>
      <c r="G2997" s="153"/>
      <c r="H2997" s="155">
        <v>9.4399999999999998E-2</v>
      </c>
      <c r="I2997" s="154" t="s">
        <v>58</v>
      </c>
      <c r="J2997" s="203">
        <v>0.24568999999999999</v>
      </c>
      <c r="K2997" s="154" t="s">
        <v>23</v>
      </c>
      <c r="L2997" s="154" t="str">
        <f>IF(OpenLCAbasic!K2997="CTUh", "Fill in Manually",IF(OR(K2997="Unit", K2997=""), "", INDEX(LookUps!$E$5:$E$12, MATCH(OpenLCAbasic!K2997,LookUps!$D$5:$D$12,0))))</f>
        <v>Global Warming Potential (GWP) - kg CO2 eq</v>
      </c>
      <c r="M2997" s="154" t="str">
        <f t="shared" si="148"/>
        <v>High_Medium_Low_Upgraded_Global Warming Potential (GWP) - kg CO2 eq_Pre-Anoxic &amp; Swing tank; wastewater treatment unit; at updated plant - US_Base_With Amendment_Windrow</v>
      </c>
    </row>
    <row r="2998" spans="1:13" s="120" customFormat="1" x14ac:dyDescent="0.25">
      <c r="A2998" s="119"/>
      <c r="B2998" s="138" t="str">
        <f t="shared" si="146"/>
        <v>Windrow</v>
      </c>
      <c r="C2998" s="138" t="str">
        <f t="shared" si="147"/>
        <v>Base_With Amendment</v>
      </c>
      <c r="D2998" s="118" t="s">
        <v>135</v>
      </c>
      <c r="E2998" s="118" t="s">
        <v>181</v>
      </c>
      <c r="F2998" s="118" t="s">
        <v>46</v>
      </c>
      <c r="G2998" s="153"/>
      <c r="H2998" s="155">
        <v>6.4600000000000005E-2</v>
      </c>
      <c r="I2998" s="154" t="s">
        <v>55</v>
      </c>
      <c r="J2998" s="203">
        <v>0.16822000000000001</v>
      </c>
      <c r="K2998" s="154" t="s">
        <v>23</v>
      </c>
      <c r="L2998" s="154" t="str">
        <f>IF(OpenLCAbasic!K2998="CTUh", "Fill in Manually",IF(OR(K2998="Unit", K2998=""), "", INDEX(LookUps!$E$5:$E$12, MATCH(OpenLCAbasic!K2998,LookUps!$D$5:$D$12,0))))</f>
        <v>Global Warming Potential (GWP) - kg CO2 eq</v>
      </c>
      <c r="M2998" s="154" t="str">
        <f t="shared" si="148"/>
        <v>High_Medium_Low_Upgraded_Global Warming Potential (GWP) - kg CO2 eq_Aeration Tanks; wastewater treatment unit; at updated plant - US_Base_With Amendment_Windrow</v>
      </c>
    </row>
    <row r="2999" spans="1:13" s="120" customFormat="1" x14ac:dyDescent="0.25">
      <c r="A2999" s="119"/>
      <c r="B2999" s="138" t="str">
        <f t="shared" si="146"/>
        <v>Windrow</v>
      </c>
      <c r="C2999" s="138" t="str">
        <f t="shared" si="147"/>
        <v>Base_With Amendment</v>
      </c>
      <c r="D2999" s="118" t="s">
        <v>135</v>
      </c>
      <c r="E2999" s="118" t="s">
        <v>181</v>
      </c>
      <c r="F2999" s="118" t="s">
        <v>46</v>
      </c>
      <c r="G2999" s="153"/>
      <c r="H2999" s="155">
        <v>4.7500000000000001E-2</v>
      </c>
      <c r="I2999" s="154" t="s">
        <v>167</v>
      </c>
      <c r="J2999" s="203">
        <v>0.12354999999999999</v>
      </c>
      <c r="K2999" s="154" t="s">
        <v>23</v>
      </c>
      <c r="L2999" s="154" t="str">
        <f>IF(OpenLCAbasic!K2999="CTUh", "Fill in Manually",IF(OR(K2999="Unit", K2999=""), "", INDEX(LookUps!$E$5:$E$12, MATCH(OpenLCAbasic!K2999,LookUps!$D$5:$D$12,0))))</f>
        <v>Global Warming Potential (GWP) - kg CO2 eq</v>
      </c>
      <c r="M2999" s="154" t="str">
        <f t="shared" si="148"/>
        <v>High_Medium_Low_Upgraded_Global Warming Potential (GWP) - kg CO2 eq_Waste Receiving and Holding; wastewater treatment unit; at updated plant - US_Base_With Amendment_Windrow</v>
      </c>
    </row>
    <row r="3000" spans="1:13" s="120" customFormat="1" x14ac:dyDescent="0.25">
      <c r="A3000" s="119"/>
      <c r="B3000" s="138" t="str">
        <f t="shared" si="146"/>
        <v>Windrow</v>
      </c>
      <c r="C3000" s="138" t="str">
        <f t="shared" si="147"/>
        <v>Base_With Amendment</v>
      </c>
      <c r="D3000" s="118" t="s">
        <v>135</v>
      </c>
      <c r="E3000" s="118" t="s">
        <v>181</v>
      </c>
      <c r="F3000" s="118" t="s">
        <v>46</v>
      </c>
      <c r="G3000" s="153"/>
      <c r="H3000" s="155">
        <v>2.4500000000000001E-2</v>
      </c>
      <c r="I3000" s="154" t="s">
        <v>149</v>
      </c>
      <c r="J3000" s="203">
        <v>6.3659999999999994E-2</v>
      </c>
      <c r="K3000" s="154" t="s">
        <v>23</v>
      </c>
      <c r="L3000" s="154" t="str">
        <f>IF(OpenLCAbasic!K3000="CTUh", "Fill in Manually",IF(OR(K3000="Unit", K3000=""), "", INDEX(LookUps!$E$5:$E$12, MATCH(OpenLCAbasic!K3000,LookUps!$D$5:$D$12,0))))</f>
        <v>Global Warming Potential (GWP) - kg CO2 eq</v>
      </c>
      <c r="M3000" s="154" t="str">
        <f t="shared" si="148"/>
        <v>High_Medium_Low_Upgraded_Global Warming Potential (GWP) - kg CO2 eq_Anaerobic Digestion; wastewater treatment unit; at updated plant - US_Base_With Amendment_Windrow</v>
      </c>
    </row>
    <row r="3001" spans="1:13" s="120" customFormat="1" x14ac:dyDescent="0.25">
      <c r="A3001" s="119"/>
      <c r="B3001" s="138" t="str">
        <f t="shared" si="146"/>
        <v>Windrow</v>
      </c>
      <c r="C3001" s="138" t="str">
        <f t="shared" si="147"/>
        <v>Base_With Amendment</v>
      </c>
      <c r="D3001" s="118" t="s">
        <v>135</v>
      </c>
      <c r="E3001" s="118" t="s">
        <v>181</v>
      </c>
      <c r="F3001" s="118" t="s">
        <v>46</v>
      </c>
      <c r="G3001" s="153"/>
      <c r="H3001" s="155">
        <v>2.1899999999999999E-2</v>
      </c>
      <c r="I3001" s="154" t="s">
        <v>54</v>
      </c>
      <c r="J3001" s="203">
        <v>5.7079999999999999E-2</v>
      </c>
      <c r="K3001" s="154" t="s">
        <v>23</v>
      </c>
      <c r="L3001" s="154" t="str">
        <f>IF(OpenLCAbasic!K3001="CTUh", "Fill in Manually",IF(OR(K3001="Unit", K3001=""), "", INDEX(LookUps!$E$5:$E$12, MATCH(OpenLCAbasic!K3001,LookUps!$D$5:$D$12,0))))</f>
        <v>Global Warming Potential (GWP) - kg CO2 eq</v>
      </c>
      <c r="M3001" s="154" t="str">
        <f t="shared" si="148"/>
        <v>High_Medium_Low_Upgraded_Global Warming Potential (GWP) - kg CO2 eq_Clear Cove Primary Clarification; wastewater treatment unit; at updated plant - US_Base_With Amendment_Windrow</v>
      </c>
    </row>
    <row r="3002" spans="1:13" s="120" customFormat="1" x14ac:dyDescent="0.25">
      <c r="A3002" s="119"/>
      <c r="B3002" s="138" t="str">
        <f t="shared" si="146"/>
        <v>Windrow</v>
      </c>
      <c r="C3002" s="138" t="str">
        <f t="shared" si="147"/>
        <v>Base_With Amendment</v>
      </c>
      <c r="D3002" s="118" t="s">
        <v>135</v>
      </c>
      <c r="E3002" s="118" t="s">
        <v>181</v>
      </c>
      <c r="F3002" s="118" t="s">
        <v>46</v>
      </c>
      <c r="G3002" s="153"/>
      <c r="H3002" s="155">
        <v>2.0199999999999999E-2</v>
      </c>
      <c r="I3002" s="154" t="s">
        <v>48</v>
      </c>
      <c r="J3002" s="203">
        <v>5.2639999999999999E-2</v>
      </c>
      <c r="K3002" s="154" t="s">
        <v>23</v>
      </c>
      <c r="L3002" s="154" t="str">
        <f>IF(OpenLCAbasic!K3002="CTUh", "Fill in Manually",IF(OR(K3002="Unit", K3002=""), "", INDEX(LookUps!$E$5:$E$12, MATCH(OpenLCAbasic!K3002,LookUps!$D$5:$D$12,0))))</f>
        <v>Global Warming Potential (GWP) - kg CO2 eq</v>
      </c>
      <c r="M3002" s="154" t="str">
        <f t="shared" si="148"/>
        <v>High_Medium_Low_Upgraded_Global Warming Potential (GWP) - kg CO2 eq_Effluent release; wastewater treatment unit; at surface water; m3 wastewater - US_Base_With Amendment_Windrow</v>
      </c>
    </row>
    <row r="3003" spans="1:13" s="120" customFormat="1" x14ac:dyDescent="0.25">
      <c r="A3003" s="119"/>
      <c r="B3003" s="138" t="str">
        <f t="shared" si="146"/>
        <v>Windrow</v>
      </c>
      <c r="C3003" s="138" t="str">
        <f t="shared" si="147"/>
        <v>Base_With Amendment</v>
      </c>
      <c r="D3003" s="118" t="s">
        <v>135</v>
      </c>
      <c r="E3003" s="118" t="s">
        <v>181</v>
      </c>
      <c r="F3003" s="118" t="s">
        <v>46</v>
      </c>
      <c r="G3003" s="153"/>
      <c r="H3003" s="155">
        <v>1.9400000000000001E-2</v>
      </c>
      <c r="I3003" s="154" t="s">
        <v>147</v>
      </c>
      <c r="J3003" s="203">
        <v>5.0500000000000003E-2</v>
      </c>
      <c r="K3003" s="154" t="s">
        <v>23</v>
      </c>
      <c r="L3003" s="154" t="str">
        <f>IF(OpenLCAbasic!K3003="CTUh", "Fill in Manually",IF(OR(K3003="Unit", K3003=""), "", INDEX(LookUps!$E$5:$E$12, MATCH(OpenLCAbasic!K3003,LookUps!$D$5:$D$12,0))))</f>
        <v>Global Warming Potential (GWP) - kg CO2 eq</v>
      </c>
      <c r="M3003" s="154" t="str">
        <f t="shared" si="148"/>
        <v>High_Medium_Low_Upgraded_Global Warming Potential (GWP) - kg CO2 eq_Influent Pump Station; wastewater treatment unit; at updated plant - US_Base_With Amendment_Windrow</v>
      </c>
    </row>
    <row r="3004" spans="1:13" s="120" customFormat="1" x14ac:dyDescent="0.25">
      <c r="A3004" s="119"/>
      <c r="B3004" s="138" t="str">
        <f t="shared" si="146"/>
        <v>Windrow</v>
      </c>
      <c r="C3004" s="138" t="str">
        <f t="shared" si="147"/>
        <v>Base_With Amendment</v>
      </c>
      <c r="D3004" s="118" t="s">
        <v>135</v>
      </c>
      <c r="E3004" s="118" t="s">
        <v>181</v>
      </c>
      <c r="F3004" s="118" t="s">
        <v>46</v>
      </c>
      <c r="G3004" s="153"/>
      <c r="H3004" s="155">
        <v>1.2800000000000001E-2</v>
      </c>
      <c r="I3004" s="154" t="s">
        <v>53</v>
      </c>
      <c r="J3004" s="203">
        <v>3.3259999999999998E-2</v>
      </c>
      <c r="K3004" s="154" t="s">
        <v>23</v>
      </c>
      <c r="L3004" s="154" t="str">
        <f>IF(OpenLCAbasic!K3004="CTUh", "Fill in Manually",IF(OR(K3004="Unit", K3004=""), "", INDEX(LookUps!$E$5:$E$12, MATCH(OpenLCAbasic!K3004,LookUps!$D$5:$D$12,0))))</f>
        <v>Global Warming Potential (GWP) - kg CO2 eq</v>
      </c>
      <c r="M3004" s="154" t="str">
        <f t="shared" si="148"/>
        <v>High_Medium_Low_Upgraded_Global Warming Potential (GWP) - kg CO2 eq_Wet Well and Sump Station; wastewater treatment unit; at updated plant - US_Base_With Amendment_Windrow</v>
      </c>
    </row>
    <row r="3005" spans="1:13" s="120" customFormat="1" x14ac:dyDescent="0.25">
      <c r="A3005" s="119"/>
      <c r="B3005" s="138" t="str">
        <f t="shared" si="146"/>
        <v>Windrow</v>
      </c>
      <c r="C3005" s="138" t="str">
        <f t="shared" si="147"/>
        <v>Base_With Amendment</v>
      </c>
      <c r="D3005" s="118" t="s">
        <v>135</v>
      </c>
      <c r="E3005" s="118" t="s">
        <v>181</v>
      </c>
      <c r="F3005" s="118" t="s">
        <v>46</v>
      </c>
      <c r="G3005" s="153"/>
      <c r="H3005" s="155">
        <v>7.7000000000000002E-3</v>
      </c>
      <c r="I3005" s="154" t="s">
        <v>60</v>
      </c>
      <c r="J3005" s="203">
        <v>1.9910000000000001E-2</v>
      </c>
      <c r="K3005" s="154" t="s">
        <v>23</v>
      </c>
      <c r="L3005" s="154" t="str">
        <f>IF(OpenLCAbasic!K3005="CTUh", "Fill in Manually",IF(OR(K3005="Unit", K3005=""), "", INDEX(LookUps!$E$5:$E$12, MATCH(OpenLCAbasic!K3005,LookUps!$D$5:$D$12,0))))</f>
        <v>Global Warming Potential (GWP) - kg CO2 eq</v>
      </c>
      <c r="M3005" s="154" t="str">
        <f t="shared" si="148"/>
        <v>High_Medium_Low_Upgraded_Global Warming Potential (GWP) - kg CO2 eq_Belt filter press; wastewater treatment unit; at updated plant - US_Base_With Amendment_Windrow</v>
      </c>
    </row>
    <row r="3006" spans="1:13" s="120" customFormat="1" x14ac:dyDescent="0.25">
      <c r="A3006" s="119"/>
      <c r="B3006" s="138" t="str">
        <f t="shared" si="146"/>
        <v>Windrow</v>
      </c>
      <c r="C3006" s="138" t="str">
        <f t="shared" si="147"/>
        <v>Base_With Amendment</v>
      </c>
      <c r="D3006" s="118" t="s">
        <v>135</v>
      </c>
      <c r="E3006" s="118" t="s">
        <v>181</v>
      </c>
      <c r="F3006" s="118" t="s">
        <v>46</v>
      </c>
      <c r="G3006" s="153"/>
      <c r="H3006" s="155">
        <v>5.5999999999999999E-3</v>
      </c>
      <c r="I3006" s="154" t="s">
        <v>57</v>
      </c>
      <c r="J3006" s="203">
        <v>1.455E-2</v>
      </c>
      <c r="K3006" s="154" t="s">
        <v>23</v>
      </c>
      <c r="L3006" s="154" t="str">
        <f>IF(OpenLCAbasic!K3006="CTUh", "Fill in Manually",IF(OR(K3006="Unit", K3006=""), "", INDEX(LookUps!$E$5:$E$12, MATCH(OpenLCAbasic!K3006,LookUps!$D$5:$D$12,0))))</f>
        <v>Global Warming Potential (GWP) - kg CO2 eq</v>
      </c>
      <c r="M3006" s="154" t="str">
        <f t="shared" si="148"/>
        <v>High_Medium_Low_Upgraded_Global Warming Potential (GWP) - kg CO2 eq_Gravity Belt Thickener; wastewater treatment unit; at updated plant - US_Base_With Amendment_Windrow</v>
      </c>
    </row>
    <row r="3007" spans="1:13" s="120" customFormat="1" x14ac:dyDescent="0.25">
      <c r="A3007" s="119"/>
      <c r="B3007" s="138" t="str">
        <f t="shared" si="146"/>
        <v>Windrow</v>
      </c>
      <c r="C3007" s="138" t="str">
        <f t="shared" si="147"/>
        <v>Base_With Amendment</v>
      </c>
      <c r="D3007" s="118" t="s">
        <v>135</v>
      </c>
      <c r="E3007" s="118" t="s">
        <v>181</v>
      </c>
      <c r="F3007" s="118" t="s">
        <v>46</v>
      </c>
      <c r="G3007" s="153"/>
      <c r="H3007" s="155">
        <v>5.1999999999999998E-3</v>
      </c>
      <c r="I3007" s="154" t="s">
        <v>128</v>
      </c>
      <c r="J3007" s="204">
        <v>1.3509999999999999E-2</v>
      </c>
      <c r="K3007" s="154" t="s">
        <v>23</v>
      </c>
      <c r="L3007" s="154" t="str">
        <f>IF(OpenLCAbasic!K3007="CTUh", "Fill in Manually",IF(OR(K3007="Unit", K3007=""), "", INDEX(LookUps!$E$5:$E$12, MATCH(OpenLCAbasic!K3007,LookUps!$D$5:$D$12,0))))</f>
        <v>Global Warming Potential (GWP) - kg CO2 eq</v>
      </c>
      <c r="M3007" s="154" t="str">
        <f t="shared" si="148"/>
        <v>High_Medium_Low_Upgraded_Global Warming Potential (GWP) - kg CO2 eq_Wastewater collection; operation and infrastructure; m3 wastewater_Base_With Amendment_Windrow</v>
      </c>
    </row>
    <row r="3008" spans="1:13" s="120" customFormat="1" x14ac:dyDescent="0.25">
      <c r="A3008" s="119"/>
      <c r="B3008" s="138" t="str">
        <f t="shared" si="146"/>
        <v>Windrow</v>
      </c>
      <c r="C3008" s="138" t="str">
        <f t="shared" si="147"/>
        <v>Base_With Amendment</v>
      </c>
      <c r="D3008" s="118" t="s">
        <v>135</v>
      </c>
      <c r="E3008" s="118" t="s">
        <v>181</v>
      </c>
      <c r="F3008" s="118" t="s">
        <v>46</v>
      </c>
      <c r="G3008" s="153"/>
      <c r="H3008" s="155">
        <v>3.2000000000000002E-3</v>
      </c>
      <c r="I3008" s="154" t="s">
        <v>148</v>
      </c>
      <c r="J3008" s="204">
        <v>8.3000000000000001E-3</v>
      </c>
      <c r="K3008" s="154" t="s">
        <v>23</v>
      </c>
      <c r="L3008" s="154" t="str">
        <f>IF(OpenLCAbasic!K3008="CTUh", "Fill in Manually",IF(OR(K3008="Unit", K3008=""), "", INDEX(LookUps!$E$5:$E$12, MATCH(OpenLCAbasic!K3008,LookUps!$D$5:$D$12,0))))</f>
        <v>Global Warming Potential (GWP) - kg CO2 eq</v>
      </c>
      <c r="M3008" s="154" t="str">
        <f t="shared" si="148"/>
        <v>High_Medium_Low_Upgraded_Global Warming Potential (GWP) - kg CO2 eq_Control Building; at upgraded wastewater treatment plant - US_Base_With Amendment_Windrow</v>
      </c>
    </row>
    <row r="3009" spans="1:13" s="120" customFormat="1" x14ac:dyDescent="0.25">
      <c r="A3009" s="119"/>
      <c r="B3009" s="138" t="str">
        <f t="shared" si="146"/>
        <v>Windrow</v>
      </c>
      <c r="C3009" s="138" t="str">
        <f t="shared" si="147"/>
        <v>Base_With Amendment</v>
      </c>
      <c r="D3009" s="118" t="s">
        <v>135</v>
      </c>
      <c r="E3009" s="118" t="s">
        <v>181</v>
      </c>
      <c r="F3009" s="118" t="s">
        <v>46</v>
      </c>
      <c r="G3009" s="153"/>
      <c r="H3009" s="155">
        <v>1.9E-3</v>
      </c>
      <c r="I3009" s="154" t="s">
        <v>59</v>
      </c>
      <c r="J3009" s="204">
        <v>5.0400000000000002E-3</v>
      </c>
      <c r="K3009" s="154" t="s">
        <v>23</v>
      </c>
      <c r="L3009" s="154" t="str">
        <f>IF(OpenLCAbasic!K3009="CTUh", "Fill in Manually",IF(OR(K3009="Unit", K3009=""), "", INDEX(LookUps!$E$5:$E$12, MATCH(OpenLCAbasic!K3009,LookUps!$D$5:$D$12,0))))</f>
        <v>Global Warming Potential (GWP) - kg CO2 eq</v>
      </c>
      <c r="M3009" s="154" t="str">
        <f t="shared" si="148"/>
        <v>High_Medium_Low_Upgraded_Global Warming Potential (GWP) - kg CO2 eq_Blend Tank; wastewater treatment unit; at updated plant - US_Base_With Amendment_Windrow</v>
      </c>
    </row>
    <row r="3010" spans="1:13" s="120" customFormat="1" x14ac:dyDescent="0.25">
      <c r="A3010" s="119"/>
      <c r="B3010" s="138" t="str">
        <f t="shared" si="146"/>
        <v>Windrow</v>
      </c>
      <c r="C3010" s="138" t="str">
        <f t="shared" si="147"/>
        <v>Base_With Amendment</v>
      </c>
      <c r="D3010" s="118" t="s">
        <v>135</v>
      </c>
      <c r="E3010" s="118" t="s">
        <v>181</v>
      </c>
      <c r="F3010" s="118" t="s">
        <v>46</v>
      </c>
      <c r="G3010" s="153"/>
      <c r="H3010" s="155">
        <v>8.9999999999999998E-4</v>
      </c>
      <c r="I3010" s="154" t="s">
        <v>168</v>
      </c>
      <c r="J3010" s="204">
        <v>2.4099999999999998E-3</v>
      </c>
      <c r="K3010" s="154" t="s">
        <v>23</v>
      </c>
      <c r="L3010" s="154" t="str">
        <f>IF(OpenLCAbasic!K3010="CTUh", "Fill in Manually",IF(OR(K3010="Unit", K3010=""), "", INDEX(LookUps!$E$5:$E$12, MATCH(OpenLCAbasic!K3010,LookUps!$D$5:$D$12,0))))</f>
        <v>Global Warming Potential (GWP) - kg CO2 eq</v>
      </c>
      <c r="M3010" s="154" t="str">
        <f t="shared" si="148"/>
        <v>High_Medium_Low_Upgraded_Global Warming Potential (GWP) - kg CO2 eq_ClearCove SCP; wastewater treatment unit; at updated plant - US_Base_With Amendment_Windrow</v>
      </c>
    </row>
    <row r="3011" spans="1:13" s="120" customFormat="1" x14ac:dyDescent="0.25">
      <c r="A3011" s="119"/>
      <c r="B3011" s="138" t="str">
        <f t="shared" si="146"/>
        <v>Windrow</v>
      </c>
      <c r="C3011" s="138" t="str">
        <f t="shared" si="147"/>
        <v>Base_With Amendment</v>
      </c>
      <c r="D3011" s="118" t="s">
        <v>135</v>
      </c>
      <c r="E3011" s="118" t="s">
        <v>181</v>
      </c>
      <c r="F3011" s="118" t="s">
        <v>46</v>
      </c>
      <c r="G3011" s="153"/>
      <c r="H3011" s="155">
        <v>-0.27629999999999999</v>
      </c>
      <c r="I3011" s="154" t="s">
        <v>62</v>
      </c>
      <c r="J3011" s="203">
        <v>-0.71896000000000004</v>
      </c>
      <c r="K3011" s="154" t="s">
        <v>23</v>
      </c>
      <c r="L3011" s="154" t="str">
        <f>IF(OpenLCAbasic!K3011="CTUh", "Fill in Manually",IF(OR(K3011="Unit", K3011=""), "", INDEX(LookUps!$E$5:$E$12, MATCH(OpenLCAbasic!K3011,LookUps!$D$5:$D$12,0))))</f>
        <v>Global Warming Potential (GWP) - kg CO2 eq</v>
      </c>
      <c r="M3011" s="154" t="str">
        <f t="shared" si="148"/>
        <v>High_Medium_Low_Upgraded_Global Warming Potential (GWP) - kg CO2 eq_Land application of compost; wastewater treatment unit; at updated plant - US_Base_With Amendment_Windrow</v>
      </c>
    </row>
    <row r="3012" spans="1:13" s="120" customFormat="1" x14ac:dyDescent="0.25">
      <c r="A3012" s="119"/>
      <c r="B3012" s="138" t="str">
        <f t="shared" si="146"/>
        <v>Windrow</v>
      </c>
      <c r="C3012" s="138" t="str">
        <f t="shared" si="147"/>
        <v>Base_With Amendment</v>
      </c>
      <c r="D3012" s="118" t="s">
        <v>135</v>
      </c>
      <c r="E3012" s="118" t="s">
        <v>181</v>
      </c>
      <c r="F3012" s="118" t="s">
        <v>46</v>
      </c>
      <c r="G3012" s="153" t="s">
        <v>51</v>
      </c>
      <c r="H3012" s="154"/>
      <c r="I3012" s="154" t="s">
        <v>47</v>
      </c>
      <c r="J3012" s="154" t="s">
        <v>52</v>
      </c>
      <c r="K3012" s="154" t="s">
        <v>27</v>
      </c>
      <c r="L3012" s="154" t="str">
        <f>IF(OpenLCAbasic!K3012="CTUh", "Fill in Manually",IF(OR(K3012="Unit", K3012=""), "", INDEX(LookUps!$E$5:$E$12, MATCH(OpenLCAbasic!K3012,LookUps!$D$5:$D$12,0))))</f>
        <v/>
      </c>
      <c r="M3012" s="154" t="str">
        <f t="shared" si="148"/>
        <v>High_Medium_Low_Upgraded__Process_Base_With Amendment_Windrow</v>
      </c>
    </row>
    <row r="3013" spans="1:13" s="120" customFormat="1" x14ac:dyDescent="0.25">
      <c r="A3013" s="119"/>
      <c r="B3013" s="138" t="str">
        <f t="shared" si="146"/>
        <v>Windrow</v>
      </c>
      <c r="C3013" s="138" t="str">
        <f t="shared" si="147"/>
        <v>Base_With Amendment</v>
      </c>
      <c r="D3013" s="118" t="s">
        <v>135</v>
      </c>
      <c r="E3013" s="118" t="s">
        <v>181</v>
      </c>
      <c r="F3013" s="118" t="s">
        <v>46</v>
      </c>
      <c r="G3013" s="153"/>
      <c r="H3013" s="155">
        <v>0.33989999999999998</v>
      </c>
      <c r="I3013" s="154" t="s">
        <v>167</v>
      </c>
      <c r="J3013" s="157">
        <v>4.2789599999999997</v>
      </c>
      <c r="K3013" s="154" t="s">
        <v>15</v>
      </c>
      <c r="L3013" s="154" t="str">
        <f>IF(OpenLCAbasic!K3013="CTUh", "Fill in Manually",IF(OR(K3013="Unit", K3013=""), "", INDEX(LookUps!$E$5:$E$12, MATCH(OpenLCAbasic!K3013,LookUps!$D$5:$D$12,0))))</f>
        <v>Cumulative Energy Demand (CED) - MJ</v>
      </c>
      <c r="M3013" s="154" t="str">
        <f t="shared" si="148"/>
        <v>High_Medium_Low_Upgraded_Cumulative Energy Demand (CED) - MJ_Waste Receiving and Holding; wastewater treatment unit; at updated plant - US_Base_With Amendment_Windrow</v>
      </c>
    </row>
    <row r="3014" spans="1:13" s="120" customFormat="1" x14ac:dyDescent="0.25">
      <c r="A3014" s="119"/>
      <c r="B3014" s="138" t="str">
        <f t="shared" ref="B3014:B3077" si="149">IF(F3014="Legacy","n.a.",IF(F3014="","","Windrow"))</f>
        <v>Windrow</v>
      </c>
      <c r="C3014" s="138" t="str">
        <f t="shared" si="147"/>
        <v>Base_With Amendment</v>
      </c>
      <c r="D3014" s="118" t="s">
        <v>135</v>
      </c>
      <c r="E3014" s="118" t="s">
        <v>181</v>
      </c>
      <c r="F3014" s="118" t="s">
        <v>46</v>
      </c>
      <c r="G3014" s="153"/>
      <c r="H3014" s="155">
        <v>0.28070000000000001</v>
      </c>
      <c r="I3014" s="154" t="s">
        <v>55</v>
      </c>
      <c r="J3014" s="157">
        <v>3.5330499999999998</v>
      </c>
      <c r="K3014" s="154" t="s">
        <v>15</v>
      </c>
      <c r="L3014" s="154" t="str">
        <f>IF(OpenLCAbasic!K3014="CTUh", "Fill in Manually",IF(OR(K3014="Unit", K3014=""), "", INDEX(LookUps!$E$5:$E$12, MATCH(OpenLCAbasic!K3014,LookUps!$D$5:$D$12,0))))</f>
        <v>Cumulative Energy Demand (CED) - MJ</v>
      </c>
      <c r="M3014" s="154" t="str">
        <f t="shared" si="148"/>
        <v>High_Medium_Low_Upgraded_Cumulative Energy Demand (CED) - MJ_Aeration Tanks; wastewater treatment unit; at updated plant - US_Base_With Amendment_Windrow</v>
      </c>
    </row>
    <row r="3015" spans="1:13" s="120" customFormat="1" x14ac:dyDescent="0.25">
      <c r="A3015" s="119"/>
      <c r="B3015" s="138" t="str">
        <f t="shared" si="149"/>
        <v>Windrow</v>
      </c>
      <c r="C3015" s="138" t="str">
        <f t="shared" ref="C3015:C3078" si="150">IF(E3015&lt;&gt;"", "Base_With Amendment","")</f>
        <v>Base_With Amendment</v>
      </c>
      <c r="D3015" s="118" t="s">
        <v>135</v>
      </c>
      <c r="E3015" s="118" t="s">
        <v>181</v>
      </c>
      <c r="F3015" s="118" t="s">
        <v>46</v>
      </c>
      <c r="G3015" s="153"/>
      <c r="H3015" s="155">
        <v>9.2399999999999996E-2</v>
      </c>
      <c r="I3015" s="154" t="s">
        <v>54</v>
      </c>
      <c r="J3015" s="157">
        <v>1.16289</v>
      </c>
      <c r="K3015" s="154" t="s">
        <v>15</v>
      </c>
      <c r="L3015" s="154" t="str">
        <f>IF(OpenLCAbasic!K3015="CTUh", "Fill in Manually",IF(OR(K3015="Unit", K3015=""), "", INDEX(LookUps!$E$5:$E$12, MATCH(OpenLCAbasic!K3015,LookUps!$D$5:$D$12,0))))</f>
        <v>Cumulative Energy Demand (CED) - MJ</v>
      </c>
      <c r="M3015" s="154" t="str">
        <f t="shared" ref="M3015:M3078" si="151">CONCATENATE(E3015,"_",D3015,"_",F3015,"_",L3015, "_",I3015,"_", C3015,"_", B3015)</f>
        <v>High_Medium_Low_Upgraded_Cumulative Energy Demand (CED) - MJ_Clear Cove Primary Clarification; wastewater treatment unit; at updated plant - US_Base_With Amendment_Windrow</v>
      </c>
    </row>
    <row r="3016" spans="1:13" s="120" customFormat="1" x14ac:dyDescent="0.25">
      <c r="A3016" s="119"/>
      <c r="B3016" s="138" t="str">
        <f t="shared" si="149"/>
        <v>Windrow</v>
      </c>
      <c r="C3016" s="138" t="str">
        <f t="shared" si="150"/>
        <v>Base_With Amendment</v>
      </c>
      <c r="D3016" s="118" t="s">
        <v>135</v>
      </c>
      <c r="E3016" s="118" t="s">
        <v>181</v>
      </c>
      <c r="F3016" s="118" t="s">
        <v>46</v>
      </c>
      <c r="G3016" s="153"/>
      <c r="H3016" s="155">
        <v>7.0499999999999993E-2</v>
      </c>
      <c r="I3016" s="154" t="s">
        <v>58</v>
      </c>
      <c r="J3016" s="203">
        <v>0.88705000000000001</v>
      </c>
      <c r="K3016" s="154" t="s">
        <v>15</v>
      </c>
      <c r="L3016" s="154" t="str">
        <f>IF(OpenLCAbasic!K3016="CTUh", "Fill in Manually",IF(OR(K3016="Unit", K3016=""), "", INDEX(LookUps!$E$5:$E$12, MATCH(OpenLCAbasic!K3016,LookUps!$D$5:$D$12,0))))</f>
        <v>Cumulative Energy Demand (CED) - MJ</v>
      </c>
      <c r="M3016" s="154" t="str">
        <f t="shared" si="151"/>
        <v>High_Medium_Low_Upgraded_Cumulative Energy Demand (CED) - MJ_Pre-Anoxic &amp; Swing tank; wastewater treatment unit; at updated plant - US_Base_With Amendment_Windrow</v>
      </c>
    </row>
    <row r="3017" spans="1:13" s="120" customFormat="1" x14ac:dyDescent="0.25">
      <c r="A3017" s="119"/>
      <c r="B3017" s="138" t="str">
        <f t="shared" si="149"/>
        <v>Windrow</v>
      </c>
      <c r="C3017" s="138" t="str">
        <f t="shared" si="150"/>
        <v>Base_With Amendment</v>
      </c>
      <c r="D3017" s="118" t="s">
        <v>135</v>
      </c>
      <c r="E3017" s="118" t="s">
        <v>181</v>
      </c>
      <c r="F3017" s="118" t="s">
        <v>46</v>
      </c>
      <c r="G3017" s="153"/>
      <c r="H3017" s="155">
        <v>7.0099999999999996E-2</v>
      </c>
      <c r="I3017" s="154" t="s">
        <v>147</v>
      </c>
      <c r="J3017" s="203">
        <v>0.88297000000000003</v>
      </c>
      <c r="K3017" s="154" t="s">
        <v>15</v>
      </c>
      <c r="L3017" s="154" t="str">
        <f>IF(OpenLCAbasic!K3017="CTUh", "Fill in Manually",IF(OR(K3017="Unit", K3017=""), "", INDEX(LookUps!$E$5:$E$12, MATCH(OpenLCAbasic!K3017,LookUps!$D$5:$D$12,0))))</f>
        <v>Cumulative Energy Demand (CED) - MJ</v>
      </c>
      <c r="M3017" s="154" t="str">
        <f t="shared" si="151"/>
        <v>High_Medium_Low_Upgraded_Cumulative Energy Demand (CED) - MJ_Influent Pump Station; wastewater treatment unit; at updated plant - US_Base_With Amendment_Windrow</v>
      </c>
    </row>
    <row r="3018" spans="1:13" s="120" customFormat="1" x14ac:dyDescent="0.25">
      <c r="A3018" s="119"/>
      <c r="B3018" s="138" t="str">
        <f t="shared" si="149"/>
        <v>Windrow</v>
      </c>
      <c r="C3018" s="138" t="str">
        <f t="shared" si="150"/>
        <v>Base_With Amendment</v>
      </c>
      <c r="D3018" s="118" t="s">
        <v>135</v>
      </c>
      <c r="E3018" s="118" t="s">
        <v>181</v>
      </c>
      <c r="F3018" s="118" t="s">
        <v>46</v>
      </c>
      <c r="G3018" s="153"/>
      <c r="H3018" s="155">
        <v>5.5300000000000002E-2</v>
      </c>
      <c r="I3018" s="154" t="s">
        <v>53</v>
      </c>
      <c r="J3018" s="203">
        <v>0.69645000000000001</v>
      </c>
      <c r="K3018" s="154" t="s">
        <v>15</v>
      </c>
      <c r="L3018" s="154" t="str">
        <f>IF(OpenLCAbasic!K3018="CTUh", "Fill in Manually",IF(OR(K3018="Unit", K3018=""), "", INDEX(LookUps!$E$5:$E$12, MATCH(OpenLCAbasic!K3018,LookUps!$D$5:$D$12,0))))</f>
        <v>Cumulative Energy Demand (CED) - MJ</v>
      </c>
      <c r="M3018" s="154" t="str">
        <f t="shared" si="151"/>
        <v>High_Medium_Low_Upgraded_Cumulative Energy Demand (CED) - MJ_Wet Well and Sump Station; wastewater treatment unit; at updated plant - US_Base_With Amendment_Windrow</v>
      </c>
    </row>
    <row r="3019" spans="1:13" s="120" customFormat="1" x14ac:dyDescent="0.25">
      <c r="A3019" s="119"/>
      <c r="B3019" s="138" t="str">
        <f t="shared" si="149"/>
        <v>Windrow</v>
      </c>
      <c r="C3019" s="138" t="str">
        <f t="shared" si="150"/>
        <v>Base_With Amendment</v>
      </c>
      <c r="D3019" s="118" t="s">
        <v>135</v>
      </c>
      <c r="E3019" s="118" t="s">
        <v>181</v>
      </c>
      <c r="F3019" s="118" t="s">
        <v>46</v>
      </c>
      <c r="G3019" s="153"/>
      <c r="H3019" s="155">
        <v>3.5700000000000003E-2</v>
      </c>
      <c r="I3019" s="154" t="s">
        <v>60</v>
      </c>
      <c r="J3019" s="203">
        <v>0.44939000000000001</v>
      </c>
      <c r="K3019" s="154" t="s">
        <v>15</v>
      </c>
      <c r="L3019" s="154" t="str">
        <f>IF(OpenLCAbasic!K3019="CTUh", "Fill in Manually",IF(OR(K3019="Unit", K3019=""), "", INDEX(LookUps!$E$5:$E$12, MATCH(OpenLCAbasic!K3019,LookUps!$D$5:$D$12,0))))</f>
        <v>Cumulative Energy Demand (CED) - MJ</v>
      </c>
      <c r="M3019" s="154" t="str">
        <f t="shared" si="151"/>
        <v>High_Medium_Low_Upgraded_Cumulative Energy Demand (CED) - MJ_Belt filter press; wastewater treatment unit; at updated plant - US_Base_With Amendment_Windrow</v>
      </c>
    </row>
    <row r="3020" spans="1:13" s="120" customFormat="1" x14ac:dyDescent="0.25">
      <c r="A3020" s="119"/>
      <c r="B3020" s="138" t="str">
        <f t="shared" si="149"/>
        <v>Windrow</v>
      </c>
      <c r="C3020" s="138" t="str">
        <f t="shared" si="150"/>
        <v>Base_With Amendment</v>
      </c>
      <c r="D3020" s="118" t="s">
        <v>135</v>
      </c>
      <c r="E3020" s="118" t="s">
        <v>181</v>
      </c>
      <c r="F3020" s="118" t="s">
        <v>46</v>
      </c>
      <c r="G3020" s="153"/>
      <c r="H3020" s="155">
        <v>2.6499999999999999E-2</v>
      </c>
      <c r="I3020" s="154" t="s">
        <v>57</v>
      </c>
      <c r="J3020" s="203">
        <v>0.33404</v>
      </c>
      <c r="K3020" s="154" t="s">
        <v>15</v>
      </c>
      <c r="L3020" s="154" t="str">
        <f>IF(OpenLCAbasic!K3020="CTUh", "Fill in Manually",IF(OR(K3020="Unit", K3020=""), "", INDEX(LookUps!$E$5:$E$12, MATCH(OpenLCAbasic!K3020,LookUps!$D$5:$D$12,0))))</f>
        <v>Cumulative Energy Demand (CED) - MJ</v>
      </c>
      <c r="M3020" s="154" t="str">
        <f t="shared" si="151"/>
        <v>High_Medium_Low_Upgraded_Cumulative Energy Demand (CED) - MJ_Gravity Belt Thickener; wastewater treatment unit; at updated plant - US_Base_With Amendment_Windrow</v>
      </c>
    </row>
    <row r="3021" spans="1:13" s="120" customFormat="1" x14ac:dyDescent="0.25">
      <c r="A3021" s="119"/>
      <c r="B3021" s="138" t="str">
        <f t="shared" si="149"/>
        <v>Windrow</v>
      </c>
      <c r="C3021" s="138" t="str">
        <f t="shared" si="150"/>
        <v>Base_With Amendment</v>
      </c>
      <c r="D3021" s="118" t="s">
        <v>135</v>
      </c>
      <c r="E3021" s="118" t="s">
        <v>181</v>
      </c>
      <c r="F3021" s="118" t="s">
        <v>46</v>
      </c>
      <c r="G3021" s="153"/>
      <c r="H3021" s="155">
        <v>2.18E-2</v>
      </c>
      <c r="I3021" s="154" t="s">
        <v>149</v>
      </c>
      <c r="J3021" s="203">
        <v>0.27453</v>
      </c>
      <c r="K3021" s="154" t="s">
        <v>15</v>
      </c>
      <c r="L3021" s="154" t="str">
        <f>IF(OpenLCAbasic!K3021="CTUh", "Fill in Manually",IF(OR(K3021="Unit", K3021=""), "", INDEX(LookUps!$E$5:$E$12, MATCH(OpenLCAbasic!K3021,LookUps!$D$5:$D$12,0))))</f>
        <v>Cumulative Energy Demand (CED) - MJ</v>
      </c>
      <c r="M3021" s="154" t="str">
        <f t="shared" si="151"/>
        <v>High_Medium_Low_Upgraded_Cumulative Energy Demand (CED) - MJ_Anaerobic Digestion; wastewater treatment unit; at updated plant - US_Base_With Amendment_Windrow</v>
      </c>
    </row>
    <row r="3022" spans="1:13" s="120" customFormat="1" x14ac:dyDescent="0.25">
      <c r="A3022" s="119"/>
      <c r="B3022" s="138" t="str">
        <f t="shared" si="149"/>
        <v>Windrow</v>
      </c>
      <c r="C3022" s="138" t="str">
        <f t="shared" si="150"/>
        <v>Base_With Amendment</v>
      </c>
      <c r="D3022" s="118" t="s">
        <v>135</v>
      </c>
      <c r="E3022" s="118" t="s">
        <v>181</v>
      </c>
      <c r="F3022" s="118" t="s">
        <v>46</v>
      </c>
      <c r="G3022" s="153"/>
      <c r="H3022" s="155">
        <v>2.0299999999999999E-2</v>
      </c>
      <c r="I3022" s="154" t="s">
        <v>128</v>
      </c>
      <c r="J3022" s="203">
        <v>0.25606000000000001</v>
      </c>
      <c r="K3022" s="154" t="s">
        <v>15</v>
      </c>
      <c r="L3022" s="154" t="str">
        <f>IF(OpenLCAbasic!K3022="CTUh", "Fill in Manually",IF(OR(K3022="Unit", K3022=""), "", INDEX(LookUps!$E$5:$E$12, MATCH(OpenLCAbasic!K3022,LookUps!$D$5:$D$12,0))))</f>
        <v>Cumulative Energy Demand (CED) - MJ</v>
      </c>
      <c r="M3022" s="154" t="str">
        <f t="shared" si="151"/>
        <v>High_Medium_Low_Upgraded_Cumulative Energy Demand (CED) - MJ_Wastewater collection; operation and infrastructure; m3 wastewater_Base_With Amendment_Windrow</v>
      </c>
    </row>
    <row r="3023" spans="1:13" s="120" customFormat="1" x14ac:dyDescent="0.25">
      <c r="A3023" s="119"/>
      <c r="B3023" s="138" t="str">
        <f t="shared" si="149"/>
        <v>Windrow</v>
      </c>
      <c r="C3023" s="138" t="str">
        <f t="shared" si="150"/>
        <v>Base_With Amendment</v>
      </c>
      <c r="D3023" s="118" t="s">
        <v>135</v>
      </c>
      <c r="E3023" s="118" t="s">
        <v>181</v>
      </c>
      <c r="F3023" s="118" t="s">
        <v>46</v>
      </c>
      <c r="G3023" s="153"/>
      <c r="H3023" s="155">
        <v>1.1599999999999999E-2</v>
      </c>
      <c r="I3023" s="154" t="s">
        <v>148</v>
      </c>
      <c r="J3023" s="203">
        <v>0.14599000000000001</v>
      </c>
      <c r="K3023" s="154" t="s">
        <v>15</v>
      </c>
      <c r="L3023" s="154" t="str">
        <f>IF(OpenLCAbasic!K3023="CTUh", "Fill in Manually",IF(OR(K3023="Unit", K3023=""), "", INDEX(LookUps!$E$5:$E$12, MATCH(OpenLCAbasic!K3023,LookUps!$D$5:$D$12,0))))</f>
        <v>Cumulative Energy Demand (CED) - MJ</v>
      </c>
      <c r="M3023" s="154" t="str">
        <f t="shared" si="151"/>
        <v>High_Medium_Low_Upgraded_Cumulative Energy Demand (CED) - MJ_Control Building; at upgraded wastewater treatment plant - US_Base_With Amendment_Windrow</v>
      </c>
    </row>
    <row r="3024" spans="1:13" s="120" customFormat="1" x14ac:dyDescent="0.25">
      <c r="A3024" s="119"/>
      <c r="B3024" s="138" t="str">
        <f t="shared" si="149"/>
        <v>Windrow</v>
      </c>
      <c r="C3024" s="138" t="str">
        <f t="shared" si="150"/>
        <v>Base_With Amendment</v>
      </c>
      <c r="D3024" s="118" t="s">
        <v>135</v>
      </c>
      <c r="E3024" s="118" t="s">
        <v>181</v>
      </c>
      <c r="F3024" s="118" t="s">
        <v>46</v>
      </c>
      <c r="G3024" s="153"/>
      <c r="H3024" s="155">
        <v>1.06E-2</v>
      </c>
      <c r="I3024" s="154" t="s">
        <v>48</v>
      </c>
      <c r="J3024" s="203">
        <v>0.13321</v>
      </c>
      <c r="K3024" s="154" t="s">
        <v>15</v>
      </c>
      <c r="L3024" s="154" t="str">
        <f>IF(OpenLCAbasic!K3024="CTUh", "Fill in Manually",IF(OR(K3024="Unit", K3024=""), "", INDEX(LookUps!$E$5:$E$12, MATCH(OpenLCAbasic!K3024,LookUps!$D$5:$D$12,0))))</f>
        <v>Cumulative Energy Demand (CED) - MJ</v>
      </c>
      <c r="M3024" s="154" t="str">
        <f t="shared" si="151"/>
        <v>High_Medium_Low_Upgraded_Cumulative Energy Demand (CED) - MJ_Effluent release; wastewater treatment unit; at surface water; m3 wastewater - US_Base_With Amendment_Windrow</v>
      </c>
    </row>
    <row r="3025" spans="1:13" s="120" customFormat="1" x14ac:dyDescent="0.25">
      <c r="A3025" s="119"/>
      <c r="B3025" s="138" t="str">
        <f t="shared" si="149"/>
        <v>Windrow</v>
      </c>
      <c r="C3025" s="138" t="str">
        <f t="shared" si="150"/>
        <v>Base_With Amendment</v>
      </c>
      <c r="D3025" s="118" t="s">
        <v>135</v>
      </c>
      <c r="E3025" s="118" t="s">
        <v>181</v>
      </c>
      <c r="F3025" s="118" t="s">
        <v>46</v>
      </c>
      <c r="G3025" s="153"/>
      <c r="H3025" s="155">
        <v>8.5000000000000006E-3</v>
      </c>
      <c r="I3025" s="154" t="s">
        <v>59</v>
      </c>
      <c r="J3025" s="203">
        <v>0.10638</v>
      </c>
      <c r="K3025" s="154" t="s">
        <v>15</v>
      </c>
      <c r="L3025" s="154" t="str">
        <f>IF(OpenLCAbasic!K3025="CTUh", "Fill in Manually",IF(OR(K3025="Unit", K3025=""), "", INDEX(LookUps!$E$5:$E$12, MATCH(OpenLCAbasic!K3025,LookUps!$D$5:$D$12,0))))</f>
        <v>Cumulative Energy Demand (CED) - MJ</v>
      </c>
      <c r="M3025" s="154" t="str">
        <f t="shared" si="151"/>
        <v>High_Medium_Low_Upgraded_Cumulative Energy Demand (CED) - MJ_Blend Tank; wastewater treatment unit; at updated plant - US_Base_With Amendment_Windrow</v>
      </c>
    </row>
    <row r="3026" spans="1:13" s="120" customFormat="1" x14ac:dyDescent="0.25">
      <c r="A3026" s="119"/>
      <c r="B3026" s="138" t="str">
        <f t="shared" si="149"/>
        <v>Windrow</v>
      </c>
      <c r="C3026" s="138" t="str">
        <f t="shared" si="150"/>
        <v>Base_With Amendment</v>
      </c>
      <c r="D3026" s="118" t="s">
        <v>135</v>
      </c>
      <c r="E3026" s="118" t="s">
        <v>181</v>
      </c>
      <c r="F3026" s="118" t="s">
        <v>46</v>
      </c>
      <c r="G3026" s="153"/>
      <c r="H3026" s="155">
        <v>4.0000000000000001E-3</v>
      </c>
      <c r="I3026" s="154" t="s">
        <v>168</v>
      </c>
      <c r="J3026" s="203">
        <v>5.0930000000000003E-2</v>
      </c>
      <c r="K3026" s="154" t="s">
        <v>15</v>
      </c>
      <c r="L3026" s="154" t="str">
        <f>IF(OpenLCAbasic!K3026="CTUh", "Fill in Manually",IF(OR(K3026="Unit", K3026=""), "", INDEX(LookUps!$E$5:$E$12, MATCH(OpenLCAbasic!K3026,LookUps!$D$5:$D$12,0))))</f>
        <v>Cumulative Energy Demand (CED) - MJ</v>
      </c>
      <c r="M3026" s="154" t="str">
        <f t="shared" si="151"/>
        <v>High_Medium_Low_Upgraded_Cumulative Energy Demand (CED) - MJ_ClearCove SCP; wastewater treatment unit; at updated plant - US_Base_With Amendment_Windrow</v>
      </c>
    </row>
    <row r="3027" spans="1:13" s="120" customFormat="1" x14ac:dyDescent="0.25">
      <c r="A3027" s="119"/>
      <c r="B3027" s="138" t="str">
        <f t="shared" si="149"/>
        <v>Windrow</v>
      </c>
      <c r="C3027" s="138" t="str">
        <f t="shared" si="150"/>
        <v>Base_With Amendment</v>
      </c>
      <c r="D3027" s="118" t="s">
        <v>135</v>
      </c>
      <c r="E3027" s="118" t="s">
        <v>181</v>
      </c>
      <c r="F3027" s="118" t="s">
        <v>46</v>
      </c>
      <c r="G3027" s="153"/>
      <c r="H3027" s="155">
        <v>2.5999999999999999E-3</v>
      </c>
      <c r="I3027" s="154" t="s">
        <v>271</v>
      </c>
      <c r="J3027" s="203">
        <v>3.2379999999999999E-2</v>
      </c>
      <c r="K3027" s="154" t="s">
        <v>15</v>
      </c>
      <c r="L3027" s="154" t="str">
        <f>IF(OpenLCAbasic!K3027="CTUh", "Fill in Manually",IF(OR(K3027="Unit", K3027=""), "", INDEX(LookUps!$E$5:$E$12, MATCH(OpenLCAbasic!K3027,LookUps!$D$5:$D$12,0))))</f>
        <v>Cumulative Energy Demand (CED) - MJ</v>
      </c>
      <c r="M3027" s="154" t="str">
        <f t="shared" si="151"/>
        <v>High_Medium_Low_Upgraded_Cumulative Energy Demand (CED) - MJ_Biosolids composting; windrow composting; wastewater treatment unit; at updated plant - US_Base_With Amendment_Windrow</v>
      </c>
    </row>
    <row r="3028" spans="1:13" s="120" customFormat="1" x14ac:dyDescent="0.25">
      <c r="A3028" s="119"/>
      <c r="B3028" s="138" t="str">
        <f t="shared" si="149"/>
        <v>Windrow</v>
      </c>
      <c r="C3028" s="138" t="str">
        <f t="shared" si="150"/>
        <v>Base_With Amendment</v>
      </c>
      <c r="D3028" s="118" t="s">
        <v>135</v>
      </c>
      <c r="E3028" s="118" t="s">
        <v>181</v>
      </c>
      <c r="F3028" s="118" t="s">
        <v>46</v>
      </c>
      <c r="G3028" s="153"/>
      <c r="H3028" s="155">
        <v>-5.0599999999999999E-2</v>
      </c>
      <c r="I3028" s="154" t="s">
        <v>62</v>
      </c>
      <c r="J3028" s="203">
        <v>-0.63678999999999997</v>
      </c>
      <c r="K3028" s="154" t="s">
        <v>15</v>
      </c>
      <c r="L3028" s="154" t="str">
        <f>IF(OpenLCAbasic!K3028="CTUh", "Fill in Manually",IF(OR(K3028="Unit", K3028=""), "", INDEX(LookUps!$E$5:$E$12, MATCH(OpenLCAbasic!K3028,LookUps!$D$5:$D$12,0))))</f>
        <v>Cumulative Energy Demand (CED) - MJ</v>
      </c>
      <c r="M3028" s="154" t="str">
        <f t="shared" si="151"/>
        <v>High_Medium_Low_Upgraded_Cumulative Energy Demand (CED) - MJ_Land application of compost; wastewater treatment unit; at updated plant - US_Base_With Amendment_Windrow</v>
      </c>
    </row>
    <row r="3029" spans="1:13" s="120" customFormat="1" x14ac:dyDescent="0.25">
      <c r="A3029" s="119"/>
      <c r="B3029" s="138" t="str">
        <f t="shared" si="149"/>
        <v>Windrow</v>
      </c>
      <c r="C3029" s="138" t="str">
        <f t="shared" si="150"/>
        <v>Base_With Amendment</v>
      </c>
      <c r="D3029" s="118" t="s">
        <v>135</v>
      </c>
      <c r="E3029" s="118" t="s">
        <v>181</v>
      </c>
      <c r="F3029" s="118" t="s">
        <v>46</v>
      </c>
      <c r="G3029" s="153" t="s">
        <v>51</v>
      </c>
      <c r="H3029" s="154"/>
      <c r="I3029" s="154" t="s">
        <v>47</v>
      </c>
      <c r="J3029" s="154" t="s">
        <v>52</v>
      </c>
      <c r="K3029" s="154" t="s">
        <v>27</v>
      </c>
      <c r="L3029" s="154" t="str">
        <f>IF(OpenLCAbasic!K3029="CTUh", "Fill in Manually",IF(OR(K3029="Unit", K3029=""), "", INDEX(LookUps!$E$5:$E$12, MATCH(OpenLCAbasic!K3029,LookUps!$D$5:$D$12,0))))</f>
        <v/>
      </c>
      <c r="M3029" s="154" t="str">
        <f t="shared" si="151"/>
        <v>High_Medium_Low_Upgraded__Process_Base_With Amendment_Windrow</v>
      </c>
    </row>
    <row r="3030" spans="1:13" s="120" customFormat="1" x14ac:dyDescent="0.25">
      <c r="A3030" s="119"/>
      <c r="B3030" s="138" t="str">
        <f t="shared" si="149"/>
        <v>Windrow</v>
      </c>
      <c r="C3030" s="138" t="str">
        <f t="shared" si="150"/>
        <v>Base_With Amendment</v>
      </c>
      <c r="D3030" s="118" t="s">
        <v>135</v>
      </c>
      <c r="E3030" s="118" t="s">
        <v>181</v>
      </c>
      <c r="F3030" s="118" t="s">
        <v>46</v>
      </c>
      <c r="G3030" s="153"/>
      <c r="H3030" s="155">
        <v>0.67249999999999999</v>
      </c>
      <c r="I3030" s="154" t="s">
        <v>48</v>
      </c>
      <c r="J3030" s="203">
        <v>1.1610000000000001E-2</v>
      </c>
      <c r="K3030" s="154" t="s">
        <v>13</v>
      </c>
      <c r="L3030" s="154" t="str">
        <f>IF(OpenLCAbasic!K3030="CTUh", "Fill in Manually",IF(OR(K3030="Unit", K3030=""), "", INDEX(LookUps!$E$5:$E$12, MATCH(OpenLCAbasic!K3030,LookUps!$D$5:$D$12,0))))</f>
        <v>Eutrophication Potential (EP) - kg N eq</v>
      </c>
      <c r="M3030" s="154" t="str">
        <f t="shared" si="151"/>
        <v>High_Medium_Low_Upgraded_Eutrophication Potential (EP) - kg N eq_Effluent release; wastewater treatment unit; at surface water; m3 wastewater - US_Base_With Amendment_Windrow</v>
      </c>
    </row>
    <row r="3031" spans="1:13" s="120" customFormat="1" x14ac:dyDescent="0.25">
      <c r="A3031" s="119"/>
      <c r="B3031" s="138" t="str">
        <f t="shared" si="149"/>
        <v>Windrow</v>
      </c>
      <c r="C3031" s="138" t="str">
        <f t="shared" si="150"/>
        <v>Base_With Amendment</v>
      </c>
      <c r="D3031" s="118" t="s">
        <v>135</v>
      </c>
      <c r="E3031" s="118" t="s">
        <v>181</v>
      </c>
      <c r="F3031" s="118" t="s">
        <v>46</v>
      </c>
      <c r="G3031" s="153"/>
      <c r="H3031" s="155">
        <v>0.17610000000000001</v>
      </c>
      <c r="I3031" s="154" t="s">
        <v>62</v>
      </c>
      <c r="J3031" s="204">
        <v>3.0400000000000002E-3</v>
      </c>
      <c r="K3031" s="154" t="s">
        <v>13</v>
      </c>
      <c r="L3031" s="154" t="str">
        <f>IF(OpenLCAbasic!K3031="CTUh", "Fill in Manually",IF(OR(K3031="Unit", K3031=""), "", INDEX(LookUps!$E$5:$E$12, MATCH(OpenLCAbasic!K3031,LookUps!$D$5:$D$12,0))))</f>
        <v>Eutrophication Potential (EP) - kg N eq</v>
      </c>
      <c r="M3031" s="154" t="str">
        <f t="shared" si="151"/>
        <v>High_Medium_Low_Upgraded_Eutrophication Potential (EP) - kg N eq_Land application of compost; wastewater treatment unit; at updated plant - US_Base_With Amendment_Windrow</v>
      </c>
    </row>
    <row r="3032" spans="1:13" s="120" customFormat="1" x14ac:dyDescent="0.25">
      <c r="A3032" s="119"/>
      <c r="B3032" s="138" t="str">
        <f t="shared" si="149"/>
        <v>Windrow</v>
      </c>
      <c r="C3032" s="138" t="str">
        <f t="shared" si="150"/>
        <v>Base_With Amendment</v>
      </c>
      <c r="D3032" s="118" t="s">
        <v>135</v>
      </c>
      <c r="E3032" s="118" t="s">
        <v>181</v>
      </c>
      <c r="F3032" s="118" t="s">
        <v>46</v>
      </c>
      <c r="G3032" s="153"/>
      <c r="H3032" s="155">
        <v>5.9400000000000001E-2</v>
      </c>
      <c r="I3032" s="154" t="s">
        <v>271</v>
      </c>
      <c r="J3032" s="204">
        <v>1.0300000000000001E-3</v>
      </c>
      <c r="K3032" s="154" t="s">
        <v>13</v>
      </c>
      <c r="L3032" s="154" t="str">
        <f>IF(OpenLCAbasic!K3032="CTUh", "Fill in Manually",IF(OR(K3032="Unit", K3032=""), "", INDEX(LookUps!$E$5:$E$12, MATCH(OpenLCAbasic!K3032,LookUps!$D$5:$D$12,0))))</f>
        <v>Eutrophication Potential (EP) - kg N eq</v>
      </c>
      <c r="M3032" s="154" t="str">
        <f t="shared" si="151"/>
        <v>High_Medium_Low_Upgraded_Eutrophication Potential (EP) - kg N eq_Biosolids composting; windrow composting; wastewater treatment unit; at updated plant - US_Base_With Amendment_Windrow</v>
      </c>
    </row>
    <row r="3033" spans="1:13" s="120" customFormat="1" x14ac:dyDescent="0.25">
      <c r="A3033" s="119"/>
      <c r="B3033" s="138" t="str">
        <f t="shared" si="149"/>
        <v>Windrow</v>
      </c>
      <c r="C3033" s="138" t="str">
        <f t="shared" si="150"/>
        <v>Base_With Amendment</v>
      </c>
      <c r="D3033" s="118" t="s">
        <v>135</v>
      </c>
      <c r="E3033" s="118" t="s">
        <v>181</v>
      </c>
      <c r="F3033" s="118" t="s">
        <v>46</v>
      </c>
      <c r="G3033" s="153"/>
      <c r="H3033" s="155">
        <v>3.1699999999999999E-2</v>
      </c>
      <c r="I3033" s="154" t="s">
        <v>55</v>
      </c>
      <c r="J3033" s="204">
        <v>5.5000000000000003E-4</v>
      </c>
      <c r="K3033" s="154" t="s">
        <v>13</v>
      </c>
      <c r="L3033" s="154" t="str">
        <f>IF(OpenLCAbasic!K3033="CTUh", "Fill in Manually",IF(OR(K3033="Unit", K3033=""), "", INDEX(LookUps!$E$5:$E$12, MATCH(OpenLCAbasic!K3033,LookUps!$D$5:$D$12,0))))</f>
        <v>Eutrophication Potential (EP) - kg N eq</v>
      </c>
      <c r="M3033" s="154" t="str">
        <f t="shared" si="151"/>
        <v>High_Medium_Low_Upgraded_Eutrophication Potential (EP) - kg N eq_Aeration Tanks; wastewater treatment unit; at updated plant - US_Base_With Amendment_Windrow</v>
      </c>
    </row>
    <row r="3034" spans="1:13" s="120" customFormat="1" x14ac:dyDescent="0.25">
      <c r="A3034" s="119"/>
      <c r="B3034" s="138" t="str">
        <f t="shared" si="149"/>
        <v>Windrow</v>
      </c>
      <c r="C3034" s="138" t="str">
        <f t="shared" si="150"/>
        <v>Base_With Amendment</v>
      </c>
      <c r="D3034" s="118" t="s">
        <v>135</v>
      </c>
      <c r="E3034" s="118" t="s">
        <v>181</v>
      </c>
      <c r="F3034" s="118" t="s">
        <v>46</v>
      </c>
      <c r="G3034" s="153"/>
      <c r="H3034" s="155">
        <v>1.4500000000000001E-2</v>
      </c>
      <c r="I3034" s="154" t="s">
        <v>147</v>
      </c>
      <c r="J3034" s="204">
        <v>2.5000000000000001E-4</v>
      </c>
      <c r="K3034" s="154" t="s">
        <v>13</v>
      </c>
      <c r="L3034" s="154" t="str">
        <f>IF(OpenLCAbasic!K3034="CTUh", "Fill in Manually",IF(OR(K3034="Unit", K3034=""), "", INDEX(LookUps!$E$5:$E$12, MATCH(OpenLCAbasic!K3034,LookUps!$D$5:$D$12,0))))</f>
        <v>Eutrophication Potential (EP) - kg N eq</v>
      </c>
      <c r="M3034" s="154" t="str">
        <f t="shared" si="151"/>
        <v>High_Medium_Low_Upgraded_Eutrophication Potential (EP) - kg N eq_Influent Pump Station; wastewater treatment unit; at updated plant - US_Base_With Amendment_Windrow</v>
      </c>
    </row>
    <row r="3035" spans="1:13" s="120" customFormat="1" x14ac:dyDescent="0.25">
      <c r="A3035" s="119"/>
      <c r="B3035" s="138" t="str">
        <f t="shared" si="149"/>
        <v>Windrow</v>
      </c>
      <c r="C3035" s="138" t="str">
        <f t="shared" si="150"/>
        <v>Base_With Amendment</v>
      </c>
      <c r="D3035" s="118" t="s">
        <v>135</v>
      </c>
      <c r="E3035" s="118" t="s">
        <v>181</v>
      </c>
      <c r="F3035" s="118" t="s">
        <v>46</v>
      </c>
      <c r="G3035" s="153"/>
      <c r="H3035" s="155">
        <v>1.15E-2</v>
      </c>
      <c r="I3035" s="154" t="s">
        <v>54</v>
      </c>
      <c r="J3035" s="204">
        <v>2.0000000000000001E-4</v>
      </c>
      <c r="K3035" s="154" t="s">
        <v>13</v>
      </c>
      <c r="L3035" s="154" t="str">
        <f>IF(OpenLCAbasic!K3035="CTUh", "Fill in Manually",IF(OR(K3035="Unit", K3035=""), "", INDEX(LookUps!$E$5:$E$12, MATCH(OpenLCAbasic!K3035,LookUps!$D$5:$D$12,0))))</f>
        <v>Eutrophication Potential (EP) - kg N eq</v>
      </c>
      <c r="M3035" s="154" t="str">
        <f t="shared" si="151"/>
        <v>High_Medium_Low_Upgraded_Eutrophication Potential (EP) - kg N eq_Clear Cove Primary Clarification; wastewater treatment unit; at updated plant - US_Base_With Amendment_Windrow</v>
      </c>
    </row>
    <row r="3036" spans="1:13" s="120" customFormat="1" x14ac:dyDescent="0.25">
      <c r="A3036" s="119"/>
      <c r="B3036" s="138" t="str">
        <f t="shared" si="149"/>
        <v>Windrow</v>
      </c>
      <c r="C3036" s="138" t="str">
        <f t="shared" si="150"/>
        <v>Base_With Amendment</v>
      </c>
      <c r="D3036" s="118" t="s">
        <v>135</v>
      </c>
      <c r="E3036" s="118" t="s">
        <v>181</v>
      </c>
      <c r="F3036" s="118" t="s">
        <v>46</v>
      </c>
      <c r="G3036" s="153"/>
      <c r="H3036" s="155">
        <v>1.0999999999999999E-2</v>
      </c>
      <c r="I3036" s="154" t="s">
        <v>167</v>
      </c>
      <c r="J3036" s="204">
        <v>1.9000000000000001E-4</v>
      </c>
      <c r="K3036" s="154" t="s">
        <v>13</v>
      </c>
      <c r="L3036" s="154" t="str">
        <f>IF(OpenLCAbasic!K3036="CTUh", "Fill in Manually",IF(OR(K3036="Unit", K3036=""), "", INDEX(LookUps!$E$5:$E$12, MATCH(OpenLCAbasic!K3036,LookUps!$D$5:$D$12,0))))</f>
        <v>Eutrophication Potential (EP) - kg N eq</v>
      </c>
      <c r="M3036" s="154" t="str">
        <f t="shared" si="151"/>
        <v>High_Medium_Low_Upgraded_Eutrophication Potential (EP) - kg N eq_Waste Receiving and Holding; wastewater treatment unit; at updated plant - US_Base_With Amendment_Windrow</v>
      </c>
    </row>
    <row r="3037" spans="1:13" s="120" customFormat="1" x14ac:dyDescent="0.25">
      <c r="A3037" s="119"/>
      <c r="B3037" s="138" t="str">
        <f t="shared" si="149"/>
        <v>Windrow</v>
      </c>
      <c r="C3037" s="138" t="str">
        <f t="shared" si="150"/>
        <v>Base_With Amendment</v>
      </c>
      <c r="D3037" s="118" t="s">
        <v>135</v>
      </c>
      <c r="E3037" s="118" t="s">
        <v>181</v>
      </c>
      <c r="F3037" s="118" t="s">
        <v>46</v>
      </c>
      <c r="G3037" s="153"/>
      <c r="H3037" s="155">
        <v>7.9000000000000008E-3</v>
      </c>
      <c r="I3037" s="154" t="s">
        <v>58</v>
      </c>
      <c r="J3037" s="204">
        <v>1.3999999999999999E-4</v>
      </c>
      <c r="K3037" s="154" t="s">
        <v>13</v>
      </c>
      <c r="L3037" s="154" t="str">
        <f>IF(OpenLCAbasic!K3037="CTUh", "Fill in Manually",IF(OR(K3037="Unit", K3037=""), "", INDEX(LookUps!$E$5:$E$12, MATCH(OpenLCAbasic!K3037,LookUps!$D$5:$D$12,0))))</f>
        <v>Eutrophication Potential (EP) - kg N eq</v>
      </c>
      <c r="M3037" s="154" t="str">
        <f t="shared" si="151"/>
        <v>High_Medium_Low_Upgraded_Eutrophication Potential (EP) - kg N eq_Pre-Anoxic &amp; Swing tank; wastewater treatment unit; at updated plant - US_Base_With Amendment_Windrow</v>
      </c>
    </row>
    <row r="3038" spans="1:13" s="120" customFormat="1" x14ac:dyDescent="0.25">
      <c r="A3038" s="119"/>
      <c r="B3038" s="138" t="str">
        <f t="shared" si="149"/>
        <v>Windrow</v>
      </c>
      <c r="C3038" s="138" t="str">
        <f t="shared" si="150"/>
        <v>Base_With Amendment</v>
      </c>
      <c r="D3038" s="118" t="s">
        <v>135</v>
      </c>
      <c r="E3038" s="118" t="s">
        <v>181</v>
      </c>
      <c r="F3038" s="118" t="s">
        <v>46</v>
      </c>
      <c r="G3038" s="153"/>
      <c r="H3038" s="155">
        <v>6.1999999999999998E-3</v>
      </c>
      <c r="I3038" s="154" t="s">
        <v>53</v>
      </c>
      <c r="J3038" s="204">
        <v>1.1E-4</v>
      </c>
      <c r="K3038" s="154" t="s">
        <v>13</v>
      </c>
      <c r="L3038" s="154" t="str">
        <f>IF(OpenLCAbasic!K3038="CTUh", "Fill in Manually",IF(OR(K3038="Unit", K3038=""), "", INDEX(LookUps!$E$5:$E$12, MATCH(OpenLCAbasic!K3038,LookUps!$D$5:$D$12,0))))</f>
        <v>Eutrophication Potential (EP) - kg N eq</v>
      </c>
      <c r="M3038" s="154" t="str">
        <f t="shared" si="151"/>
        <v>High_Medium_Low_Upgraded_Eutrophication Potential (EP) - kg N eq_Wet Well and Sump Station; wastewater treatment unit; at updated plant - US_Base_With Amendment_Windrow</v>
      </c>
    </row>
    <row r="3039" spans="1:13" s="120" customFormat="1" x14ac:dyDescent="0.25">
      <c r="A3039" s="119"/>
      <c r="B3039" s="138" t="str">
        <f t="shared" si="149"/>
        <v>Windrow</v>
      </c>
      <c r="C3039" s="138" t="str">
        <f t="shared" si="150"/>
        <v>Base_With Amendment</v>
      </c>
      <c r="D3039" s="118" t="s">
        <v>135</v>
      </c>
      <c r="E3039" s="118" t="s">
        <v>181</v>
      </c>
      <c r="F3039" s="118" t="s">
        <v>46</v>
      </c>
      <c r="G3039" s="153"/>
      <c r="H3039" s="155">
        <v>4.5999999999999999E-3</v>
      </c>
      <c r="I3039" s="154" t="s">
        <v>60</v>
      </c>
      <c r="J3039" s="204">
        <v>7.8941800000000004E-5</v>
      </c>
      <c r="K3039" s="154" t="s">
        <v>13</v>
      </c>
      <c r="L3039" s="154" t="str">
        <f>IF(OpenLCAbasic!K3039="CTUh", "Fill in Manually",IF(OR(K3039="Unit", K3039=""), "", INDEX(LookUps!$E$5:$E$12, MATCH(OpenLCAbasic!K3039,LookUps!$D$5:$D$12,0))))</f>
        <v>Eutrophication Potential (EP) - kg N eq</v>
      </c>
      <c r="M3039" s="154" t="str">
        <f t="shared" si="151"/>
        <v>High_Medium_Low_Upgraded_Eutrophication Potential (EP) - kg N eq_Belt filter press; wastewater treatment unit; at updated plant - US_Base_With Amendment_Windrow</v>
      </c>
    </row>
    <row r="3040" spans="1:13" s="120" customFormat="1" x14ac:dyDescent="0.25">
      <c r="A3040" s="119"/>
      <c r="B3040" s="138" t="str">
        <f t="shared" si="149"/>
        <v>Windrow</v>
      </c>
      <c r="C3040" s="138" t="str">
        <f t="shared" si="150"/>
        <v>Base_With Amendment</v>
      </c>
      <c r="D3040" s="118" t="s">
        <v>135</v>
      </c>
      <c r="E3040" s="118" t="s">
        <v>181</v>
      </c>
      <c r="F3040" s="118" t="s">
        <v>46</v>
      </c>
      <c r="G3040" s="153"/>
      <c r="H3040" s="155">
        <v>3.5000000000000001E-3</v>
      </c>
      <c r="I3040" s="154" t="s">
        <v>57</v>
      </c>
      <c r="J3040" s="204">
        <v>6.0590300000000002E-5</v>
      </c>
      <c r="K3040" s="154" t="s">
        <v>13</v>
      </c>
      <c r="L3040" s="154" t="str">
        <f>IF(OpenLCAbasic!K3040="CTUh", "Fill in Manually",IF(OR(K3040="Unit", K3040=""), "", INDEX(LookUps!$E$5:$E$12, MATCH(OpenLCAbasic!K3040,LookUps!$D$5:$D$12,0))))</f>
        <v>Eutrophication Potential (EP) - kg N eq</v>
      </c>
      <c r="M3040" s="154" t="str">
        <f t="shared" si="151"/>
        <v>High_Medium_Low_Upgraded_Eutrophication Potential (EP) - kg N eq_Gravity Belt Thickener; wastewater treatment unit; at updated plant - US_Base_With Amendment_Windrow</v>
      </c>
    </row>
    <row r="3041" spans="1:13" s="120" customFormat="1" x14ac:dyDescent="0.25">
      <c r="A3041" s="119"/>
      <c r="B3041" s="138" t="str">
        <f t="shared" si="149"/>
        <v>Windrow</v>
      </c>
      <c r="C3041" s="138" t="str">
        <f t="shared" si="150"/>
        <v>Base_With Amendment</v>
      </c>
      <c r="D3041" s="118" t="s">
        <v>135</v>
      </c>
      <c r="E3041" s="118" t="s">
        <v>181</v>
      </c>
      <c r="F3041" s="118" t="s">
        <v>46</v>
      </c>
      <c r="G3041" s="153"/>
      <c r="H3041" s="155">
        <v>2.2000000000000001E-3</v>
      </c>
      <c r="I3041" s="154" t="s">
        <v>128</v>
      </c>
      <c r="J3041" s="204">
        <v>3.7559799999999999E-5</v>
      </c>
      <c r="K3041" s="154" t="s">
        <v>13</v>
      </c>
      <c r="L3041" s="154" t="str">
        <f>IF(OpenLCAbasic!K3041="CTUh", "Fill in Manually",IF(OR(K3041="Unit", K3041=""), "", INDEX(LookUps!$E$5:$E$12, MATCH(OpenLCAbasic!K3041,LookUps!$D$5:$D$12,0))))</f>
        <v>Eutrophication Potential (EP) - kg N eq</v>
      </c>
      <c r="M3041" s="154" t="str">
        <f t="shared" si="151"/>
        <v>High_Medium_Low_Upgraded_Eutrophication Potential (EP) - kg N eq_Wastewater collection; operation and infrastructure; m3 wastewater_Base_With Amendment_Windrow</v>
      </c>
    </row>
    <row r="3042" spans="1:13" s="120" customFormat="1" x14ac:dyDescent="0.25">
      <c r="A3042" s="119"/>
      <c r="B3042" s="138" t="str">
        <f t="shared" si="149"/>
        <v>Windrow</v>
      </c>
      <c r="C3042" s="138" t="str">
        <f t="shared" si="150"/>
        <v>Base_With Amendment</v>
      </c>
      <c r="D3042" s="118" t="s">
        <v>135</v>
      </c>
      <c r="E3042" s="118" t="s">
        <v>181</v>
      </c>
      <c r="F3042" s="118" t="s">
        <v>46</v>
      </c>
      <c r="G3042" s="153"/>
      <c r="H3042" s="155">
        <v>2.0999999999999999E-3</v>
      </c>
      <c r="I3042" s="154" t="s">
        <v>148</v>
      </c>
      <c r="J3042" s="204">
        <v>3.6874600000000001E-5</v>
      </c>
      <c r="K3042" s="154" t="s">
        <v>13</v>
      </c>
      <c r="L3042" s="154" t="str">
        <f>IF(OpenLCAbasic!K3042="CTUh", "Fill in Manually",IF(OR(K3042="Unit", K3042=""), "", INDEX(LookUps!$E$5:$E$12, MATCH(OpenLCAbasic!K3042,LookUps!$D$5:$D$12,0))))</f>
        <v>Eutrophication Potential (EP) - kg N eq</v>
      </c>
      <c r="M3042" s="154" t="str">
        <f t="shared" si="151"/>
        <v>High_Medium_Low_Upgraded_Eutrophication Potential (EP) - kg N eq_Control Building; at upgraded wastewater treatment plant - US_Base_With Amendment_Windrow</v>
      </c>
    </row>
    <row r="3043" spans="1:13" s="120" customFormat="1" x14ac:dyDescent="0.25">
      <c r="A3043" s="119"/>
      <c r="B3043" s="138" t="str">
        <f t="shared" si="149"/>
        <v>Windrow</v>
      </c>
      <c r="C3043" s="138" t="str">
        <f t="shared" si="150"/>
        <v>Base_With Amendment</v>
      </c>
      <c r="D3043" s="118" t="s">
        <v>135</v>
      </c>
      <c r="E3043" s="118" t="s">
        <v>181</v>
      </c>
      <c r="F3043" s="118" t="s">
        <v>46</v>
      </c>
      <c r="G3043" s="153"/>
      <c r="H3043" s="155">
        <v>8.9999999999999998E-4</v>
      </c>
      <c r="I3043" s="154" t="s">
        <v>59</v>
      </c>
      <c r="J3043" s="204">
        <v>1.6215700000000001E-5</v>
      </c>
      <c r="K3043" s="154" t="s">
        <v>13</v>
      </c>
      <c r="L3043" s="154" t="str">
        <f>IF(OpenLCAbasic!K3043="CTUh", "Fill in Manually",IF(OR(K3043="Unit", K3043=""), "", INDEX(LookUps!$E$5:$E$12, MATCH(OpenLCAbasic!K3043,LookUps!$D$5:$D$12,0))))</f>
        <v>Eutrophication Potential (EP) - kg N eq</v>
      </c>
      <c r="M3043" s="154" t="str">
        <f t="shared" si="151"/>
        <v>High_Medium_Low_Upgraded_Eutrophication Potential (EP) - kg N eq_Blend Tank; wastewater treatment unit; at updated plant - US_Base_With Amendment_Windrow</v>
      </c>
    </row>
    <row r="3044" spans="1:13" s="120" customFormat="1" x14ac:dyDescent="0.25">
      <c r="A3044" s="119"/>
      <c r="B3044" s="138" t="str">
        <f t="shared" si="149"/>
        <v>Windrow</v>
      </c>
      <c r="C3044" s="138" t="str">
        <f t="shared" si="150"/>
        <v>Base_With Amendment</v>
      </c>
      <c r="D3044" s="118" t="s">
        <v>135</v>
      </c>
      <c r="E3044" s="118" t="s">
        <v>181</v>
      </c>
      <c r="F3044" s="118" t="s">
        <v>46</v>
      </c>
      <c r="G3044" s="153"/>
      <c r="H3044" s="155">
        <v>4.0000000000000002E-4</v>
      </c>
      <c r="I3044" s="154" t="s">
        <v>168</v>
      </c>
      <c r="J3044" s="204">
        <v>7.7567199999999995E-6</v>
      </c>
      <c r="K3044" s="154" t="s">
        <v>13</v>
      </c>
      <c r="L3044" s="154" t="str">
        <f>IF(OpenLCAbasic!K3044="CTUh", "Fill in Manually",IF(OR(K3044="Unit", K3044=""), "", INDEX(LookUps!$E$5:$E$12, MATCH(OpenLCAbasic!K3044,LookUps!$D$5:$D$12,0))))</f>
        <v>Eutrophication Potential (EP) - kg N eq</v>
      </c>
      <c r="M3044" s="154" t="str">
        <f t="shared" si="151"/>
        <v>High_Medium_Low_Upgraded_Eutrophication Potential (EP) - kg N eq_ClearCove SCP; wastewater treatment unit; at updated plant - US_Base_With Amendment_Windrow</v>
      </c>
    </row>
    <row r="3045" spans="1:13" s="120" customFormat="1" x14ac:dyDescent="0.25">
      <c r="A3045" s="119"/>
      <c r="B3045" s="138" t="str">
        <f t="shared" si="149"/>
        <v>Windrow</v>
      </c>
      <c r="C3045" s="138" t="str">
        <f t="shared" si="150"/>
        <v>Base_With Amendment</v>
      </c>
      <c r="D3045" s="118" t="s">
        <v>135</v>
      </c>
      <c r="E3045" s="118" t="s">
        <v>181</v>
      </c>
      <c r="F3045" s="118" t="s">
        <v>46</v>
      </c>
      <c r="G3045" s="153"/>
      <c r="H3045" s="155">
        <v>-4.4999999999999997E-3</v>
      </c>
      <c r="I3045" s="154" t="s">
        <v>149</v>
      </c>
      <c r="J3045" s="204">
        <v>-7.8280099999999996E-5</v>
      </c>
      <c r="K3045" s="154" t="s">
        <v>13</v>
      </c>
      <c r="L3045" s="154" t="str">
        <f>IF(OpenLCAbasic!K3045="CTUh", "Fill in Manually",IF(OR(K3045="Unit", K3045=""), "", INDEX(LookUps!$E$5:$E$12, MATCH(OpenLCAbasic!K3045,LookUps!$D$5:$D$12,0))))</f>
        <v>Eutrophication Potential (EP) - kg N eq</v>
      </c>
      <c r="M3045" s="154" t="str">
        <f t="shared" si="151"/>
        <v>High_Medium_Low_Upgraded_Eutrophication Potential (EP) - kg N eq_Anaerobic Digestion; wastewater treatment unit; at updated plant - US_Base_With Amendment_Windrow</v>
      </c>
    </row>
    <row r="3046" spans="1:13" s="120" customFormat="1" x14ac:dyDescent="0.25">
      <c r="A3046" s="119"/>
      <c r="B3046" s="138" t="str">
        <f t="shared" si="149"/>
        <v>Windrow</v>
      </c>
      <c r="C3046" s="138" t="str">
        <f t="shared" si="150"/>
        <v>Base_With Amendment</v>
      </c>
      <c r="D3046" s="118" t="s">
        <v>135</v>
      </c>
      <c r="E3046" s="118" t="s">
        <v>181</v>
      </c>
      <c r="F3046" s="118" t="s">
        <v>46</v>
      </c>
      <c r="G3046" s="153" t="s">
        <v>51</v>
      </c>
      <c r="H3046" s="154"/>
      <c r="I3046" s="154" t="s">
        <v>47</v>
      </c>
      <c r="J3046" s="154" t="s">
        <v>52</v>
      </c>
      <c r="K3046" s="154" t="s">
        <v>27</v>
      </c>
      <c r="L3046" s="154" t="str">
        <f>IF(OpenLCAbasic!K3046="CTUh", "Fill in Manually",IF(OR(K3046="Unit", K3046=""), "", INDEX(LookUps!$E$5:$E$12, MATCH(OpenLCAbasic!K3046,LookUps!$D$5:$D$12,0))))</f>
        <v/>
      </c>
      <c r="M3046" s="154" t="str">
        <f t="shared" si="151"/>
        <v>High_Medium_Low_Upgraded__Process_Base_With Amendment_Windrow</v>
      </c>
    </row>
    <row r="3047" spans="1:13" s="120" customFormat="1" x14ac:dyDescent="0.25">
      <c r="A3047" s="119"/>
      <c r="B3047" s="138" t="str">
        <f t="shared" si="149"/>
        <v>Windrow</v>
      </c>
      <c r="C3047" s="138" t="str">
        <f t="shared" si="150"/>
        <v>Base_With Amendment</v>
      </c>
      <c r="D3047" s="118" t="s">
        <v>135</v>
      </c>
      <c r="E3047" s="118" t="s">
        <v>181</v>
      </c>
      <c r="F3047" s="118" t="s">
        <v>46</v>
      </c>
      <c r="G3047" s="153"/>
      <c r="H3047" s="155">
        <v>0.3075</v>
      </c>
      <c r="I3047" s="154" t="s">
        <v>55</v>
      </c>
      <c r="J3047" s="203">
        <v>1.7219999999999999E-2</v>
      </c>
      <c r="K3047" s="154" t="s">
        <v>24</v>
      </c>
      <c r="L3047" s="154" t="str">
        <f>IF(OpenLCAbasic!K3047="CTUh", "Fill in Manually",IF(OR(K3047="Unit", K3047=""), "", INDEX(LookUps!$E$5:$E$12, MATCH(OpenLCAbasic!K3047,LookUps!$D$5:$D$12,0))))</f>
        <v>Acidification Potential (AP) - kg SO2 eq</v>
      </c>
      <c r="M3047" s="154" t="str">
        <f t="shared" si="151"/>
        <v>High_Medium_Low_Upgraded_Acidification Potential (AP) - kg SO2 eq_Aeration Tanks; wastewater treatment unit; at updated plant - US_Base_With Amendment_Windrow</v>
      </c>
    </row>
    <row r="3048" spans="1:13" s="120" customFormat="1" x14ac:dyDescent="0.25">
      <c r="A3048" s="119"/>
      <c r="B3048" s="138" t="str">
        <f t="shared" si="149"/>
        <v>Windrow</v>
      </c>
      <c r="C3048" s="138" t="str">
        <f t="shared" si="150"/>
        <v>Base_With Amendment</v>
      </c>
      <c r="D3048" s="118" t="s">
        <v>135</v>
      </c>
      <c r="E3048" s="118" t="s">
        <v>181</v>
      </c>
      <c r="F3048" s="118" t="s">
        <v>46</v>
      </c>
      <c r="G3048" s="153"/>
      <c r="H3048" s="155">
        <v>0.29039999999999999</v>
      </c>
      <c r="I3048" s="154" t="s">
        <v>271</v>
      </c>
      <c r="J3048" s="203">
        <v>1.626E-2</v>
      </c>
      <c r="K3048" s="154" t="s">
        <v>24</v>
      </c>
      <c r="L3048" s="154" t="str">
        <f>IF(OpenLCAbasic!K3048="CTUh", "Fill in Manually",IF(OR(K3048="Unit", K3048=""), "", INDEX(LookUps!$E$5:$E$12, MATCH(OpenLCAbasic!K3048,LookUps!$D$5:$D$12,0))))</f>
        <v>Acidification Potential (AP) - kg SO2 eq</v>
      </c>
      <c r="M3048" s="154" t="str">
        <f t="shared" si="151"/>
        <v>High_Medium_Low_Upgraded_Acidification Potential (AP) - kg SO2 eq_Biosolids composting; windrow composting; wastewater treatment unit; at updated plant - US_Base_With Amendment_Windrow</v>
      </c>
    </row>
    <row r="3049" spans="1:13" s="120" customFormat="1" x14ac:dyDescent="0.25">
      <c r="A3049" s="119"/>
      <c r="B3049" s="138" t="str">
        <f t="shared" si="149"/>
        <v>Windrow</v>
      </c>
      <c r="C3049" s="138" t="str">
        <f t="shared" si="150"/>
        <v>Base_With Amendment</v>
      </c>
      <c r="D3049" s="118" t="s">
        <v>135</v>
      </c>
      <c r="E3049" s="118" t="s">
        <v>181</v>
      </c>
      <c r="F3049" s="118" t="s">
        <v>46</v>
      </c>
      <c r="G3049" s="153"/>
      <c r="H3049" s="155">
        <v>8.8900000000000007E-2</v>
      </c>
      <c r="I3049" s="154" t="s">
        <v>54</v>
      </c>
      <c r="J3049" s="204">
        <v>4.9800000000000001E-3</v>
      </c>
      <c r="K3049" s="154" t="s">
        <v>24</v>
      </c>
      <c r="L3049" s="154" t="str">
        <f>IF(OpenLCAbasic!K3049="CTUh", "Fill in Manually",IF(OR(K3049="Unit", K3049=""), "", INDEX(LookUps!$E$5:$E$12, MATCH(OpenLCAbasic!K3049,LookUps!$D$5:$D$12,0))))</f>
        <v>Acidification Potential (AP) - kg SO2 eq</v>
      </c>
      <c r="M3049" s="154" t="str">
        <f t="shared" si="151"/>
        <v>High_Medium_Low_Upgraded_Acidification Potential (AP) - kg SO2 eq_Clear Cove Primary Clarification; wastewater treatment unit; at updated plant - US_Base_With Amendment_Windrow</v>
      </c>
    </row>
    <row r="3050" spans="1:13" s="120" customFormat="1" x14ac:dyDescent="0.25">
      <c r="A3050" s="119"/>
      <c r="B3050" s="138" t="str">
        <f t="shared" si="149"/>
        <v>Windrow</v>
      </c>
      <c r="C3050" s="138" t="str">
        <f t="shared" si="150"/>
        <v>Base_With Amendment</v>
      </c>
      <c r="D3050" s="118" t="s">
        <v>135</v>
      </c>
      <c r="E3050" s="118" t="s">
        <v>181</v>
      </c>
      <c r="F3050" s="118" t="s">
        <v>46</v>
      </c>
      <c r="G3050" s="153"/>
      <c r="H3050" s="155">
        <v>7.7600000000000002E-2</v>
      </c>
      <c r="I3050" s="154" t="s">
        <v>58</v>
      </c>
      <c r="J3050" s="204">
        <v>4.3499999999999997E-3</v>
      </c>
      <c r="K3050" s="154" t="s">
        <v>24</v>
      </c>
      <c r="L3050" s="154" t="str">
        <f>IF(OpenLCAbasic!K3050="CTUh", "Fill in Manually",IF(OR(K3050="Unit", K3050=""), "", INDEX(LookUps!$E$5:$E$12, MATCH(OpenLCAbasic!K3050,LookUps!$D$5:$D$12,0))))</f>
        <v>Acidification Potential (AP) - kg SO2 eq</v>
      </c>
      <c r="M3050" s="154" t="str">
        <f t="shared" si="151"/>
        <v>High_Medium_Low_Upgraded_Acidification Potential (AP) - kg SO2 eq_Pre-Anoxic &amp; Swing tank; wastewater treatment unit; at updated plant - US_Base_With Amendment_Windrow</v>
      </c>
    </row>
    <row r="3051" spans="1:13" s="120" customFormat="1" x14ac:dyDescent="0.25">
      <c r="A3051" s="119"/>
      <c r="B3051" s="138" t="str">
        <f t="shared" si="149"/>
        <v>Windrow</v>
      </c>
      <c r="C3051" s="138" t="str">
        <f t="shared" si="150"/>
        <v>Base_With Amendment</v>
      </c>
      <c r="D3051" s="118" t="s">
        <v>135</v>
      </c>
      <c r="E3051" s="118" t="s">
        <v>181</v>
      </c>
      <c r="F3051" s="118" t="s">
        <v>46</v>
      </c>
      <c r="G3051" s="153"/>
      <c r="H3051" s="155">
        <v>6.4699999999999994E-2</v>
      </c>
      <c r="I3051" s="154" t="s">
        <v>62</v>
      </c>
      <c r="J3051" s="204">
        <v>3.62E-3</v>
      </c>
      <c r="K3051" s="154" t="s">
        <v>24</v>
      </c>
      <c r="L3051" s="154" t="str">
        <f>IF(OpenLCAbasic!K3051="CTUh", "Fill in Manually",IF(OR(K3051="Unit", K3051=""), "", INDEX(LookUps!$E$5:$E$12, MATCH(OpenLCAbasic!K3051,LookUps!$D$5:$D$12,0))))</f>
        <v>Acidification Potential (AP) - kg SO2 eq</v>
      </c>
      <c r="M3051" s="154" t="str">
        <f t="shared" si="151"/>
        <v>High_Medium_Low_Upgraded_Acidification Potential (AP) - kg SO2 eq_Land application of compost; wastewater treatment unit; at updated plant - US_Base_With Amendment_Windrow</v>
      </c>
    </row>
    <row r="3052" spans="1:13" s="120" customFormat="1" x14ac:dyDescent="0.25">
      <c r="A3052" s="119"/>
      <c r="B3052" s="138" t="str">
        <f t="shared" si="149"/>
        <v>Windrow</v>
      </c>
      <c r="C3052" s="138" t="str">
        <f t="shared" si="150"/>
        <v>Base_With Amendment</v>
      </c>
      <c r="D3052" s="118" t="s">
        <v>135</v>
      </c>
      <c r="E3052" s="118" t="s">
        <v>181</v>
      </c>
      <c r="F3052" s="118" t="s">
        <v>46</v>
      </c>
      <c r="G3052" s="153"/>
      <c r="H3052" s="155">
        <v>6.1600000000000002E-2</v>
      </c>
      <c r="I3052" s="154" t="s">
        <v>53</v>
      </c>
      <c r="J3052" s="204">
        <v>3.4499999999999999E-3</v>
      </c>
      <c r="K3052" s="154" t="s">
        <v>24</v>
      </c>
      <c r="L3052" s="154" t="str">
        <f>IF(OpenLCAbasic!K3052="CTUh", "Fill in Manually",IF(OR(K3052="Unit", K3052=""), "", INDEX(LookUps!$E$5:$E$12, MATCH(OpenLCAbasic!K3052,LookUps!$D$5:$D$12,0))))</f>
        <v>Acidification Potential (AP) - kg SO2 eq</v>
      </c>
      <c r="M3052" s="154" t="str">
        <f t="shared" si="151"/>
        <v>High_Medium_Low_Upgraded_Acidification Potential (AP) - kg SO2 eq_Wet Well and Sump Station; wastewater treatment unit; at updated plant - US_Base_With Amendment_Windrow</v>
      </c>
    </row>
    <row r="3053" spans="1:13" s="120" customFormat="1" x14ac:dyDescent="0.25">
      <c r="A3053" s="119"/>
      <c r="B3053" s="138" t="str">
        <f t="shared" si="149"/>
        <v>Windrow</v>
      </c>
      <c r="C3053" s="138" t="str">
        <f t="shared" si="150"/>
        <v>Base_With Amendment</v>
      </c>
      <c r="D3053" s="118" t="s">
        <v>135</v>
      </c>
      <c r="E3053" s="118" t="s">
        <v>181</v>
      </c>
      <c r="F3053" s="118" t="s">
        <v>46</v>
      </c>
      <c r="G3053" s="153"/>
      <c r="H3053" s="155">
        <v>4.5199999999999997E-2</v>
      </c>
      <c r="I3053" s="154" t="s">
        <v>167</v>
      </c>
      <c r="J3053" s="204">
        <v>2.5300000000000001E-3</v>
      </c>
      <c r="K3053" s="154" t="s">
        <v>24</v>
      </c>
      <c r="L3053" s="154" t="str">
        <f>IF(OpenLCAbasic!K3053="CTUh", "Fill in Manually",IF(OR(K3053="Unit", K3053=""), "", INDEX(LookUps!$E$5:$E$12, MATCH(OpenLCAbasic!K3053,LookUps!$D$5:$D$12,0))))</f>
        <v>Acidification Potential (AP) - kg SO2 eq</v>
      </c>
      <c r="M3053" s="154" t="str">
        <f t="shared" si="151"/>
        <v>High_Medium_Low_Upgraded_Acidification Potential (AP) - kg SO2 eq_Waste Receiving and Holding; wastewater treatment unit; at updated plant - US_Base_With Amendment_Windrow</v>
      </c>
    </row>
    <row r="3054" spans="1:13" s="120" customFormat="1" x14ac:dyDescent="0.25">
      <c r="A3054" s="119"/>
      <c r="B3054" s="138" t="str">
        <f t="shared" si="149"/>
        <v>Windrow</v>
      </c>
      <c r="C3054" s="138" t="str">
        <f t="shared" si="150"/>
        <v>Base_With Amendment</v>
      </c>
      <c r="D3054" s="118" t="s">
        <v>135</v>
      </c>
      <c r="E3054" s="118" t="s">
        <v>181</v>
      </c>
      <c r="F3054" s="118" t="s">
        <v>46</v>
      </c>
      <c r="G3054" s="153"/>
      <c r="H3054" s="155">
        <v>3.6900000000000002E-2</v>
      </c>
      <c r="I3054" s="154" t="s">
        <v>147</v>
      </c>
      <c r="J3054" s="204">
        <v>2.0699999999999998E-3</v>
      </c>
      <c r="K3054" s="154" t="s">
        <v>24</v>
      </c>
      <c r="L3054" s="154" t="str">
        <f>IF(OpenLCAbasic!K3054="CTUh", "Fill in Manually",IF(OR(K3054="Unit", K3054=""), "", INDEX(LookUps!$E$5:$E$12, MATCH(OpenLCAbasic!K3054,LookUps!$D$5:$D$12,0))))</f>
        <v>Acidification Potential (AP) - kg SO2 eq</v>
      </c>
      <c r="M3054" s="154" t="str">
        <f t="shared" si="151"/>
        <v>High_Medium_Low_Upgraded_Acidification Potential (AP) - kg SO2 eq_Influent Pump Station; wastewater treatment unit; at updated plant - US_Base_With Amendment_Windrow</v>
      </c>
    </row>
    <row r="3055" spans="1:13" s="120" customFormat="1" x14ac:dyDescent="0.25">
      <c r="A3055" s="119"/>
      <c r="B3055" s="138" t="str">
        <f t="shared" si="149"/>
        <v>Windrow</v>
      </c>
      <c r="C3055" s="138" t="str">
        <f t="shared" si="150"/>
        <v>Base_With Amendment</v>
      </c>
      <c r="D3055" s="118" t="s">
        <v>135</v>
      </c>
      <c r="E3055" s="118" t="s">
        <v>181</v>
      </c>
      <c r="F3055" s="118" t="s">
        <v>46</v>
      </c>
      <c r="G3055" s="153"/>
      <c r="H3055" s="155">
        <v>2.1999999999999999E-2</v>
      </c>
      <c r="I3055" s="154" t="s">
        <v>128</v>
      </c>
      <c r="J3055" s="204">
        <v>1.23E-3</v>
      </c>
      <c r="K3055" s="154" t="s">
        <v>24</v>
      </c>
      <c r="L3055" s="154" t="str">
        <f>IF(OpenLCAbasic!K3055="CTUh", "Fill in Manually",IF(OR(K3055="Unit", K3055=""), "", INDEX(LookUps!$E$5:$E$12, MATCH(OpenLCAbasic!K3055,LookUps!$D$5:$D$12,0))))</f>
        <v>Acidification Potential (AP) - kg SO2 eq</v>
      </c>
      <c r="M3055" s="154" t="str">
        <f t="shared" si="151"/>
        <v>High_Medium_Low_Upgraded_Acidification Potential (AP) - kg SO2 eq_Wastewater collection; operation and infrastructure; m3 wastewater_Base_With Amendment_Windrow</v>
      </c>
    </row>
    <row r="3056" spans="1:13" s="120" customFormat="1" x14ac:dyDescent="0.25">
      <c r="A3056" s="119"/>
      <c r="B3056" s="138" t="str">
        <f t="shared" si="149"/>
        <v>Windrow</v>
      </c>
      <c r="C3056" s="138" t="str">
        <f t="shared" si="150"/>
        <v>Base_With Amendment</v>
      </c>
      <c r="D3056" s="118" t="s">
        <v>135</v>
      </c>
      <c r="E3056" s="118" t="s">
        <v>181</v>
      </c>
      <c r="F3056" s="118" t="s">
        <v>46</v>
      </c>
      <c r="G3056" s="153"/>
      <c r="H3056" s="155">
        <v>2.1499999999999998E-2</v>
      </c>
      <c r="I3056" s="154" t="s">
        <v>60</v>
      </c>
      <c r="J3056" s="204">
        <v>1.1999999999999999E-3</v>
      </c>
      <c r="K3056" s="154" t="s">
        <v>24</v>
      </c>
      <c r="L3056" s="154" t="str">
        <f>IF(OpenLCAbasic!K3056="CTUh", "Fill in Manually",IF(OR(K3056="Unit", K3056=""), "", INDEX(LookUps!$E$5:$E$12, MATCH(OpenLCAbasic!K3056,LookUps!$D$5:$D$12,0))))</f>
        <v>Acidification Potential (AP) - kg SO2 eq</v>
      </c>
      <c r="M3056" s="154" t="str">
        <f t="shared" si="151"/>
        <v>High_Medium_Low_Upgraded_Acidification Potential (AP) - kg SO2 eq_Belt filter press; wastewater treatment unit; at updated plant - US_Base_With Amendment_Windrow</v>
      </c>
    </row>
    <row r="3057" spans="1:13" s="120" customFormat="1" x14ac:dyDescent="0.25">
      <c r="A3057" s="119"/>
      <c r="B3057" s="138" t="str">
        <f t="shared" si="149"/>
        <v>Windrow</v>
      </c>
      <c r="C3057" s="138" t="str">
        <f t="shared" si="150"/>
        <v>Base_With Amendment</v>
      </c>
      <c r="D3057" s="118" t="s">
        <v>135</v>
      </c>
      <c r="E3057" s="118" t="s">
        <v>181</v>
      </c>
      <c r="F3057" s="118" t="s">
        <v>46</v>
      </c>
      <c r="G3057" s="153"/>
      <c r="H3057" s="155">
        <v>1.26E-2</v>
      </c>
      <c r="I3057" s="154" t="s">
        <v>57</v>
      </c>
      <c r="J3057" s="204">
        <v>6.9999999999999999E-4</v>
      </c>
      <c r="K3057" s="154" t="s">
        <v>24</v>
      </c>
      <c r="L3057" s="154" t="str">
        <f>IF(OpenLCAbasic!K3057="CTUh", "Fill in Manually",IF(OR(K3057="Unit", K3057=""), "", INDEX(LookUps!$E$5:$E$12, MATCH(OpenLCAbasic!K3057,LookUps!$D$5:$D$12,0))))</f>
        <v>Acidification Potential (AP) - kg SO2 eq</v>
      </c>
      <c r="M3057" s="154" t="str">
        <f t="shared" si="151"/>
        <v>High_Medium_Low_Upgraded_Acidification Potential (AP) - kg SO2 eq_Gravity Belt Thickener; wastewater treatment unit; at updated plant - US_Base_With Amendment_Windrow</v>
      </c>
    </row>
    <row r="3058" spans="1:13" s="120" customFormat="1" x14ac:dyDescent="0.25">
      <c r="A3058" s="119"/>
      <c r="B3058" s="138" t="str">
        <f t="shared" si="149"/>
        <v>Windrow</v>
      </c>
      <c r="C3058" s="138" t="str">
        <f t="shared" si="150"/>
        <v>Base_With Amendment</v>
      </c>
      <c r="D3058" s="118" t="s">
        <v>135</v>
      </c>
      <c r="E3058" s="118" t="s">
        <v>181</v>
      </c>
      <c r="F3058" s="118" t="s">
        <v>46</v>
      </c>
      <c r="G3058" s="153"/>
      <c r="H3058" s="155">
        <v>9.1999999999999998E-3</v>
      </c>
      <c r="I3058" s="154" t="s">
        <v>59</v>
      </c>
      <c r="J3058" s="204">
        <v>5.1999999999999995E-4</v>
      </c>
      <c r="K3058" s="154" t="s">
        <v>24</v>
      </c>
      <c r="L3058" s="154" t="str">
        <f>IF(OpenLCAbasic!K3058="CTUh", "Fill in Manually",IF(OR(K3058="Unit", K3058=""), "", INDEX(LookUps!$E$5:$E$12, MATCH(OpenLCAbasic!K3058,LookUps!$D$5:$D$12,0))))</f>
        <v>Acidification Potential (AP) - kg SO2 eq</v>
      </c>
      <c r="M3058" s="154" t="str">
        <f t="shared" si="151"/>
        <v>High_Medium_Low_Upgraded_Acidification Potential (AP) - kg SO2 eq_Blend Tank; wastewater treatment unit; at updated plant - US_Base_With Amendment_Windrow</v>
      </c>
    </row>
    <row r="3059" spans="1:13" s="120" customFormat="1" x14ac:dyDescent="0.25">
      <c r="A3059" s="119"/>
      <c r="B3059" s="138" t="str">
        <f t="shared" si="149"/>
        <v>Windrow</v>
      </c>
      <c r="C3059" s="138" t="str">
        <f t="shared" si="150"/>
        <v>Base_With Amendment</v>
      </c>
      <c r="D3059" s="118" t="s">
        <v>135</v>
      </c>
      <c r="E3059" s="118" t="s">
        <v>181</v>
      </c>
      <c r="F3059" s="118" t="s">
        <v>46</v>
      </c>
      <c r="G3059" s="153"/>
      <c r="H3059" s="155">
        <v>6.1999999999999998E-3</v>
      </c>
      <c r="I3059" s="154" t="s">
        <v>48</v>
      </c>
      <c r="J3059" s="204">
        <v>3.5E-4</v>
      </c>
      <c r="K3059" s="154" t="s">
        <v>24</v>
      </c>
      <c r="L3059" s="154" t="str">
        <f>IF(OpenLCAbasic!K3059="CTUh", "Fill in Manually",IF(OR(K3059="Unit", K3059=""), "", INDEX(LookUps!$E$5:$E$12, MATCH(OpenLCAbasic!K3059,LookUps!$D$5:$D$12,0))))</f>
        <v>Acidification Potential (AP) - kg SO2 eq</v>
      </c>
      <c r="M3059" s="154" t="str">
        <f t="shared" si="151"/>
        <v>High_Medium_Low_Upgraded_Acidification Potential (AP) - kg SO2 eq_Effluent release; wastewater treatment unit; at surface water; m3 wastewater - US_Base_With Amendment_Windrow</v>
      </c>
    </row>
    <row r="3060" spans="1:13" s="120" customFormat="1" x14ac:dyDescent="0.25">
      <c r="A3060" s="119"/>
      <c r="B3060" s="138" t="str">
        <f t="shared" si="149"/>
        <v>Windrow</v>
      </c>
      <c r="C3060" s="138" t="str">
        <f t="shared" si="150"/>
        <v>Base_With Amendment</v>
      </c>
      <c r="D3060" s="118" t="s">
        <v>135</v>
      </c>
      <c r="E3060" s="118" t="s">
        <v>181</v>
      </c>
      <c r="F3060" s="118" t="s">
        <v>46</v>
      </c>
      <c r="G3060" s="153"/>
      <c r="H3060" s="155">
        <v>4.5999999999999999E-3</v>
      </c>
      <c r="I3060" s="154" t="s">
        <v>168</v>
      </c>
      <c r="J3060" s="204">
        <v>2.5999999999999998E-4</v>
      </c>
      <c r="K3060" s="154" t="s">
        <v>24</v>
      </c>
      <c r="L3060" s="154" t="str">
        <f>IF(OpenLCAbasic!K3060="CTUh", "Fill in Manually",IF(OR(K3060="Unit", K3060=""), "", INDEX(LookUps!$E$5:$E$12, MATCH(OpenLCAbasic!K3060,LookUps!$D$5:$D$12,0))))</f>
        <v>Acidification Potential (AP) - kg SO2 eq</v>
      </c>
      <c r="M3060" s="154" t="str">
        <f t="shared" si="151"/>
        <v>High_Medium_Low_Upgraded_Acidification Potential (AP) - kg SO2 eq_ClearCove SCP; wastewater treatment unit; at updated plant - US_Base_With Amendment_Windrow</v>
      </c>
    </row>
    <row r="3061" spans="1:13" s="120" customFormat="1" x14ac:dyDescent="0.25">
      <c r="A3061" s="119"/>
      <c r="B3061" s="138" t="str">
        <f t="shared" si="149"/>
        <v>Windrow</v>
      </c>
      <c r="C3061" s="138" t="str">
        <f t="shared" si="150"/>
        <v>Base_With Amendment</v>
      </c>
      <c r="D3061" s="118" t="s">
        <v>135</v>
      </c>
      <c r="E3061" s="118" t="s">
        <v>181</v>
      </c>
      <c r="F3061" s="118" t="s">
        <v>46</v>
      </c>
      <c r="G3061" s="153"/>
      <c r="H3061" s="155">
        <v>6.9999999999999999E-4</v>
      </c>
      <c r="I3061" s="154" t="s">
        <v>148</v>
      </c>
      <c r="J3061" s="204">
        <v>4.0354700000000002E-5</v>
      </c>
      <c r="K3061" s="154" t="s">
        <v>24</v>
      </c>
      <c r="L3061" s="154" t="str">
        <f>IF(OpenLCAbasic!K3061="CTUh", "Fill in Manually",IF(OR(K3061="Unit", K3061=""), "", INDEX(LookUps!$E$5:$E$12, MATCH(OpenLCAbasic!K3061,LookUps!$D$5:$D$12,0))))</f>
        <v>Acidification Potential (AP) - kg SO2 eq</v>
      </c>
      <c r="M3061" s="154" t="str">
        <f t="shared" si="151"/>
        <v>High_Medium_Low_Upgraded_Acidification Potential (AP) - kg SO2 eq_Control Building; at upgraded wastewater treatment plant - US_Base_With Amendment_Windrow</v>
      </c>
    </row>
    <row r="3062" spans="1:13" s="120" customFormat="1" x14ac:dyDescent="0.25">
      <c r="A3062" s="119"/>
      <c r="B3062" s="138" t="str">
        <f t="shared" si="149"/>
        <v>Windrow</v>
      </c>
      <c r="C3062" s="138" t="str">
        <f t="shared" si="150"/>
        <v>Base_With Amendment</v>
      </c>
      <c r="D3062" s="118" t="s">
        <v>135</v>
      </c>
      <c r="E3062" s="118" t="s">
        <v>181</v>
      </c>
      <c r="F3062" s="118" t="s">
        <v>46</v>
      </c>
      <c r="G3062" s="153"/>
      <c r="H3062" s="155">
        <v>-4.9599999999999998E-2</v>
      </c>
      <c r="I3062" s="154" t="s">
        <v>149</v>
      </c>
      <c r="J3062" s="204">
        <v>-2.7799999999999999E-3</v>
      </c>
      <c r="K3062" s="154" t="s">
        <v>24</v>
      </c>
      <c r="L3062" s="154" t="str">
        <f>IF(OpenLCAbasic!K3062="CTUh", "Fill in Manually",IF(OR(K3062="Unit", K3062=""), "", INDEX(LookUps!$E$5:$E$12, MATCH(OpenLCAbasic!K3062,LookUps!$D$5:$D$12,0))))</f>
        <v>Acidification Potential (AP) - kg SO2 eq</v>
      </c>
      <c r="M3062" s="154" t="str">
        <f t="shared" si="151"/>
        <v>High_Medium_Low_Upgraded_Acidification Potential (AP) - kg SO2 eq_Anaerobic Digestion; wastewater treatment unit; at updated plant - US_Base_With Amendment_Windrow</v>
      </c>
    </row>
    <row r="3063" spans="1:13" s="120" customFormat="1" x14ac:dyDescent="0.25">
      <c r="A3063" s="119"/>
      <c r="B3063" s="138" t="str">
        <f t="shared" si="149"/>
        <v>Windrow</v>
      </c>
      <c r="C3063" s="138" t="str">
        <f t="shared" si="150"/>
        <v>Base_With Amendment</v>
      </c>
      <c r="D3063" s="118" t="s">
        <v>135</v>
      </c>
      <c r="E3063" s="118" t="s">
        <v>181</v>
      </c>
      <c r="F3063" s="118" t="s">
        <v>46</v>
      </c>
      <c r="G3063" s="153" t="s">
        <v>51</v>
      </c>
      <c r="H3063" s="154"/>
      <c r="I3063" s="154" t="s">
        <v>47</v>
      </c>
      <c r="J3063" s="154" t="s">
        <v>52</v>
      </c>
      <c r="K3063" s="154" t="s">
        <v>27</v>
      </c>
      <c r="L3063" s="154" t="str">
        <f>IF(OpenLCAbasic!K3063="CTUh", "Fill in Manually",IF(OR(K3063="Unit", K3063=""), "", INDEX(LookUps!$E$5:$E$12, MATCH(OpenLCAbasic!K3063,LookUps!$D$5:$D$12,0))))</f>
        <v/>
      </c>
      <c r="M3063" s="154" t="str">
        <f t="shared" si="151"/>
        <v>High_Medium_Low_Upgraded__Process_Base_With Amendment_Windrow</v>
      </c>
    </row>
    <row r="3064" spans="1:13" s="120" customFormat="1" x14ac:dyDescent="0.25">
      <c r="A3064" s="119"/>
      <c r="B3064" s="138" t="str">
        <f t="shared" si="149"/>
        <v>Windrow</v>
      </c>
      <c r="C3064" s="138" t="str">
        <f t="shared" si="150"/>
        <v>Base_With Amendment</v>
      </c>
      <c r="D3064" s="118" t="s">
        <v>135</v>
      </c>
      <c r="E3064" s="118" t="s">
        <v>181</v>
      </c>
      <c r="F3064" s="118" t="s">
        <v>46</v>
      </c>
      <c r="G3064" s="153"/>
      <c r="H3064" s="155">
        <v>0.38040000000000002</v>
      </c>
      <c r="I3064" s="154" t="s">
        <v>167</v>
      </c>
      <c r="J3064" s="203">
        <v>9.7259999999999999E-2</v>
      </c>
      <c r="K3064" s="154" t="s">
        <v>14</v>
      </c>
      <c r="L3064" s="154" t="str">
        <f>IF(OpenLCAbasic!K3064="CTUh", "Fill in Manually",IF(OR(K3064="Unit", K3064=""), "", INDEX(LookUps!$E$5:$E$12, MATCH(OpenLCAbasic!K3064,LookUps!$D$5:$D$12,0))))</f>
        <v>Fossil Depletion Potential (FDP) - kg oil eq</v>
      </c>
      <c r="M3064" s="154" t="str">
        <f t="shared" si="151"/>
        <v>High_Medium_Low_Upgraded_Fossil Depletion Potential (FDP) - kg oil eq_Waste Receiving and Holding; wastewater treatment unit; at updated plant - US_Base_With Amendment_Windrow</v>
      </c>
    </row>
    <row r="3065" spans="1:13" s="120" customFormat="1" x14ac:dyDescent="0.25">
      <c r="A3065" s="119"/>
      <c r="B3065" s="138" t="str">
        <f t="shared" si="149"/>
        <v>Windrow</v>
      </c>
      <c r="C3065" s="138" t="str">
        <f t="shared" si="150"/>
        <v>Base_With Amendment</v>
      </c>
      <c r="D3065" s="118" t="s">
        <v>135</v>
      </c>
      <c r="E3065" s="118" t="s">
        <v>181</v>
      </c>
      <c r="F3065" s="118" t="s">
        <v>46</v>
      </c>
      <c r="G3065" s="153"/>
      <c r="H3065" s="155">
        <v>0.2487</v>
      </c>
      <c r="I3065" s="154" t="s">
        <v>55</v>
      </c>
      <c r="J3065" s="203">
        <v>6.3589999999999994E-2</v>
      </c>
      <c r="K3065" s="154" t="s">
        <v>14</v>
      </c>
      <c r="L3065" s="154" t="str">
        <f>IF(OpenLCAbasic!K3065="CTUh", "Fill in Manually",IF(OR(K3065="Unit", K3065=""), "", INDEX(LookUps!$E$5:$E$12, MATCH(OpenLCAbasic!K3065,LookUps!$D$5:$D$12,0))))</f>
        <v>Fossil Depletion Potential (FDP) - kg oil eq</v>
      </c>
      <c r="M3065" s="154" t="str">
        <f t="shared" si="151"/>
        <v>High_Medium_Low_Upgraded_Fossil Depletion Potential (FDP) - kg oil eq_Aeration Tanks; wastewater treatment unit; at updated plant - US_Base_With Amendment_Windrow</v>
      </c>
    </row>
    <row r="3066" spans="1:13" s="120" customFormat="1" x14ac:dyDescent="0.25">
      <c r="A3066" s="119"/>
      <c r="B3066" s="138" t="str">
        <f t="shared" si="149"/>
        <v>Windrow</v>
      </c>
      <c r="C3066" s="138" t="str">
        <f t="shared" si="150"/>
        <v>Base_With Amendment</v>
      </c>
      <c r="D3066" s="118" t="s">
        <v>135</v>
      </c>
      <c r="E3066" s="118" t="s">
        <v>181</v>
      </c>
      <c r="F3066" s="118" t="s">
        <v>46</v>
      </c>
      <c r="G3066" s="153"/>
      <c r="H3066" s="155">
        <v>8.2299999999999998E-2</v>
      </c>
      <c r="I3066" s="154" t="s">
        <v>54</v>
      </c>
      <c r="J3066" s="203">
        <v>2.1049999999999999E-2</v>
      </c>
      <c r="K3066" s="154" t="s">
        <v>14</v>
      </c>
      <c r="L3066" s="154" t="str">
        <f>IF(OpenLCAbasic!K3066="CTUh", "Fill in Manually",IF(OR(K3066="Unit", K3066=""), "", INDEX(LookUps!$E$5:$E$12, MATCH(OpenLCAbasic!K3066,LookUps!$D$5:$D$12,0))))</f>
        <v>Fossil Depletion Potential (FDP) - kg oil eq</v>
      </c>
      <c r="M3066" s="154" t="str">
        <f t="shared" si="151"/>
        <v>High_Medium_Low_Upgraded_Fossil Depletion Potential (FDP) - kg oil eq_Clear Cove Primary Clarification; wastewater treatment unit; at updated plant - US_Base_With Amendment_Windrow</v>
      </c>
    </row>
    <row r="3067" spans="1:13" s="120" customFormat="1" x14ac:dyDescent="0.25">
      <c r="A3067" s="119"/>
      <c r="B3067" s="138" t="str">
        <f t="shared" si="149"/>
        <v>Windrow</v>
      </c>
      <c r="C3067" s="138" t="str">
        <f t="shared" si="150"/>
        <v>Base_With Amendment</v>
      </c>
      <c r="D3067" s="118" t="s">
        <v>135</v>
      </c>
      <c r="E3067" s="118" t="s">
        <v>181</v>
      </c>
      <c r="F3067" s="118" t="s">
        <v>46</v>
      </c>
      <c r="G3067" s="153"/>
      <c r="H3067" s="155">
        <v>6.25E-2</v>
      </c>
      <c r="I3067" s="154" t="s">
        <v>58</v>
      </c>
      <c r="J3067" s="203">
        <v>1.5980000000000001E-2</v>
      </c>
      <c r="K3067" s="154" t="s">
        <v>14</v>
      </c>
      <c r="L3067" s="154" t="str">
        <f>IF(OpenLCAbasic!K3067="CTUh", "Fill in Manually",IF(OR(K3067="Unit", K3067=""), "", INDEX(LookUps!$E$5:$E$12, MATCH(OpenLCAbasic!K3067,LookUps!$D$5:$D$12,0))))</f>
        <v>Fossil Depletion Potential (FDP) - kg oil eq</v>
      </c>
      <c r="M3067" s="154" t="str">
        <f t="shared" si="151"/>
        <v>High_Medium_Low_Upgraded_Fossil Depletion Potential (FDP) - kg oil eq_Pre-Anoxic &amp; Swing tank; wastewater treatment unit; at updated plant - US_Base_With Amendment_Windrow</v>
      </c>
    </row>
    <row r="3068" spans="1:13" s="120" customFormat="1" x14ac:dyDescent="0.25">
      <c r="A3068" s="119"/>
      <c r="B3068" s="138" t="str">
        <f t="shared" si="149"/>
        <v>Windrow</v>
      </c>
      <c r="C3068" s="138" t="str">
        <f t="shared" si="150"/>
        <v>Base_With Amendment</v>
      </c>
      <c r="D3068" s="118" t="s">
        <v>135</v>
      </c>
      <c r="E3068" s="118" t="s">
        <v>181</v>
      </c>
      <c r="F3068" s="118" t="s">
        <v>46</v>
      </c>
      <c r="G3068" s="153"/>
      <c r="H3068" s="155">
        <v>5.8999999999999997E-2</v>
      </c>
      <c r="I3068" s="154" t="s">
        <v>147</v>
      </c>
      <c r="J3068" s="203">
        <v>1.5089999999999999E-2</v>
      </c>
      <c r="K3068" s="154" t="s">
        <v>14</v>
      </c>
      <c r="L3068" s="154" t="str">
        <f>IF(OpenLCAbasic!K3068="CTUh", "Fill in Manually",IF(OR(K3068="Unit", K3068=""), "", INDEX(LookUps!$E$5:$E$12, MATCH(OpenLCAbasic!K3068,LookUps!$D$5:$D$12,0))))</f>
        <v>Fossil Depletion Potential (FDP) - kg oil eq</v>
      </c>
      <c r="M3068" s="154" t="str">
        <f t="shared" si="151"/>
        <v>High_Medium_Low_Upgraded_Fossil Depletion Potential (FDP) - kg oil eq_Influent Pump Station; wastewater treatment unit; at updated plant - US_Base_With Amendment_Windrow</v>
      </c>
    </row>
    <row r="3069" spans="1:13" s="120" customFormat="1" x14ac:dyDescent="0.25">
      <c r="A3069" s="119"/>
      <c r="B3069" s="138" t="str">
        <f t="shared" si="149"/>
        <v>Windrow</v>
      </c>
      <c r="C3069" s="138" t="str">
        <f t="shared" si="150"/>
        <v>Base_With Amendment</v>
      </c>
      <c r="D3069" s="118" t="s">
        <v>135</v>
      </c>
      <c r="E3069" s="118" t="s">
        <v>181</v>
      </c>
      <c r="F3069" s="118" t="s">
        <v>46</v>
      </c>
      <c r="G3069" s="153"/>
      <c r="H3069" s="155">
        <v>4.8800000000000003E-2</v>
      </c>
      <c r="I3069" s="154" t="s">
        <v>53</v>
      </c>
      <c r="J3069" s="203">
        <v>1.2489999999999999E-2</v>
      </c>
      <c r="K3069" s="154" t="s">
        <v>14</v>
      </c>
      <c r="L3069" s="154" t="str">
        <f>IF(OpenLCAbasic!K3069="CTUh", "Fill in Manually",IF(OR(K3069="Unit", K3069=""), "", INDEX(LookUps!$E$5:$E$12, MATCH(OpenLCAbasic!K3069,LookUps!$D$5:$D$12,0))))</f>
        <v>Fossil Depletion Potential (FDP) - kg oil eq</v>
      </c>
      <c r="M3069" s="154" t="str">
        <f t="shared" si="151"/>
        <v>High_Medium_Low_Upgraded_Fossil Depletion Potential (FDP) - kg oil eq_Wet Well and Sump Station; wastewater treatment unit; at updated plant - US_Base_With Amendment_Windrow</v>
      </c>
    </row>
    <row r="3070" spans="1:13" s="120" customFormat="1" x14ac:dyDescent="0.25">
      <c r="A3070" s="119"/>
      <c r="B3070" s="138" t="str">
        <f t="shared" si="149"/>
        <v>Windrow</v>
      </c>
      <c r="C3070" s="138" t="str">
        <f t="shared" si="150"/>
        <v>Base_With Amendment</v>
      </c>
      <c r="D3070" s="118" t="s">
        <v>135</v>
      </c>
      <c r="E3070" s="118" t="s">
        <v>181</v>
      </c>
      <c r="F3070" s="118" t="s">
        <v>46</v>
      </c>
      <c r="G3070" s="153"/>
      <c r="H3070" s="155">
        <v>3.78E-2</v>
      </c>
      <c r="I3070" s="154" t="s">
        <v>149</v>
      </c>
      <c r="J3070" s="204">
        <v>9.6600000000000002E-3</v>
      </c>
      <c r="K3070" s="154" t="s">
        <v>14</v>
      </c>
      <c r="L3070" s="154" t="str">
        <f>IF(OpenLCAbasic!K3070="CTUh", "Fill in Manually",IF(OR(K3070="Unit", K3070=""), "", INDEX(LookUps!$E$5:$E$12, MATCH(OpenLCAbasic!K3070,LookUps!$D$5:$D$12,0))))</f>
        <v>Fossil Depletion Potential (FDP) - kg oil eq</v>
      </c>
      <c r="M3070" s="154" t="str">
        <f t="shared" si="151"/>
        <v>High_Medium_Low_Upgraded_Fossil Depletion Potential (FDP) - kg oil eq_Anaerobic Digestion; wastewater treatment unit; at updated plant - US_Base_With Amendment_Windrow</v>
      </c>
    </row>
    <row r="3071" spans="1:13" s="120" customFormat="1" x14ac:dyDescent="0.25">
      <c r="A3071" s="119"/>
      <c r="B3071" s="138" t="str">
        <f t="shared" si="149"/>
        <v>Windrow</v>
      </c>
      <c r="C3071" s="138" t="str">
        <f t="shared" si="150"/>
        <v>Base_With Amendment</v>
      </c>
      <c r="D3071" s="118" t="s">
        <v>135</v>
      </c>
      <c r="E3071" s="118" t="s">
        <v>181</v>
      </c>
      <c r="F3071" s="118" t="s">
        <v>46</v>
      </c>
      <c r="G3071" s="153"/>
      <c r="H3071" s="155">
        <v>3.5400000000000001E-2</v>
      </c>
      <c r="I3071" s="154" t="s">
        <v>60</v>
      </c>
      <c r="J3071" s="204">
        <v>9.0600000000000003E-3</v>
      </c>
      <c r="K3071" s="154" t="s">
        <v>14</v>
      </c>
      <c r="L3071" s="154" t="str">
        <f>IF(OpenLCAbasic!K3071="CTUh", "Fill in Manually",IF(OR(K3071="Unit", K3071=""), "", INDEX(LookUps!$E$5:$E$12, MATCH(OpenLCAbasic!K3071,LookUps!$D$5:$D$12,0))))</f>
        <v>Fossil Depletion Potential (FDP) - kg oil eq</v>
      </c>
      <c r="M3071" s="154" t="str">
        <f t="shared" si="151"/>
        <v>High_Medium_Low_Upgraded_Fossil Depletion Potential (FDP) - kg oil eq_Belt filter press; wastewater treatment unit; at updated plant - US_Base_With Amendment_Windrow</v>
      </c>
    </row>
    <row r="3072" spans="1:13" s="120" customFormat="1" x14ac:dyDescent="0.25">
      <c r="A3072" s="119"/>
      <c r="B3072" s="138" t="str">
        <f t="shared" si="149"/>
        <v>Windrow</v>
      </c>
      <c r="C3072" s="138" t="str">
        <f t="shared" si="150"/>
        <v>Base_With Amendment</v>
      </c>
      <c r="D3072" s="118" t="s">
        <v>135</v>
      </c>
      <c r="E3072" s="118" t="s">
        <v>181</v>
      </c>
      <c r="F3072" s="118" t="s">
        <v>46</v>
      </c>
      <c r="G3072" s="153"/>
      <c r="H3072" s="155">
        <v>2.7E-2</v>
      </c>
      <c r="I3072" s="154" t="s">
        <v>57</v>
      </c>
      <c r="J3072" s="204">
        <v>6.9199999999999999E-3</v>
      </c>
      <c r="K3072" s="154" t="s">
        <v>14</v>
      </c>
      <c r="L3072" s="154" t="str">
        <f>IF(OpenLCAbasic!K3072="CTUh", "Fill in Manually",IF(OR(K3072="Unit", K3072=""), "", INDEX(LookUps!$E$5:$E$12, MATCH(OpenLCAbasic!K3072,LookUps!$D$5:$D$12,0))))</f>
        <v>Fossil Depletion Potential (FDP) - kg oil eq</v>
      </c>
      <c r="M3072" s="154" t="str">
        <f t="shared" si="151"/>
        <v>High_Medium_Low_Upgraded_Fossil Depletion Potential (FDP) - kg oil eq_Gravity Belt Thickener; wastewater treatment unit; at updated plant - US_Base_With Amendment_Windrow</v>
      </c>
    </row>
    <row r="3073" spans="1:13" s="120" customFormat="1" x14ac:dyDescent="0.25">
      <c r="A3073" s="119"/>
      <c r="B3073" s="138" t="str">
        <f t="shared" si="149"/>
        <v>Windrow</v>
      </c>
      <c r="C3073" s="138" t="str">
        <f t="shared" si="150"/>
        <v>Base_With Amendment</v>
      </c>
      <c r="D3073" s="118" t="s">
        <v>135</v>
      </c>
      <c r="E3073" s="118" t="s">
        <v>181</v>
      </c>
      <c r="F3073" s="118" t="s">
        <v>46</v>
      </c>
      <c r="G3073" s="153"/>
      <c r="H3073" s="155">
        <v>1.7600000000000001E-2</v>
      </c>
      <c r="I3073" s="154" t="s">
        <v>128</v>
      </c>
      <c r="J3073" s="204">
        <v>4.4999999999999997E-3</v>
      </c>
      <c r="K3073" s="154" t="s">
        <v>14</v>
      </c>
      <c r="L3073" s="154" t="str">
        <f>IF(OpenLCAbasic!K3073="CTUh", "Fill in Manually",IF(OR(K3073="Unit", K3073=""), "", INDEX(LookUps!$E$5:$E$12, MATCH(OpenLCAbasic!K3073,LookUps!$D$5:$D$12,0))))</f>
        <v>Fossil Depletion Potential (FDP) - kg oil eq</v>
      </c>
      <c r="M3073" s="154" t="str">
        <f t="shared" si="151"/>
        <v>High_Medium_Low_Upgraded_Fossil Depletion Potential (FDP) - kg oil eq_Wastewater collection; operation and infrastructure; m3 wastewater_Base_With Amendment_Windrow</v>
      </c>
    </row>
    <row r="3074" spans="1:13" s="120" customFormat="1" x14ac:dyDescent="0.25">
      <c r="A3074" s="119"/>
      <c r="B3074" s="138" t="str">
        <f t="shared" si="149"/>
        <v>Windrow</v>
      </c>
      <c r="C3074" s="138" t="str">
        <f t="shared" si="150"/>
        <v>Base_With Amendment</v>
      </c>
      <c r="D3074" s="118" t="s">
        <v>135</v>
      </c>
      <c r="E3074" s="118" t="s">
        <v>181</v>
      </c>
      <c r="F3074" s="118" t="s">
        <v>46</v>
      </c>
      <c r="G3074" s="153"/>
      <c r="H3074" s="155">
        <v>1.09E-2</v>
      </c>
      <c r="I3074" s="154" t="s">
        <v>148</v>
      </c>
      <c r="J3074" s="204">
        <v>2.8E-3</v>
      </c>
      <c r="K3074" s="154" t="s">
        <v>14</v>
      </c>
      <c r="L3074" s="154" t="str">
        <f>IF(OpenLCAbasic!K3074="CTUh", "Fill in Manually",IF(OR(K3074="Unit", K3074=""), "", INDEX(LookUps!$E$5:$E$12, MATCH(OpenLCAbasic!K3074,LookUps!$D$5:$D$12,0))))</f>
        <v>Fossil Depletion Potential (FDP) - kg oil eq</v>
      </c>
      <c r="M3074" s="154" t="str">
        <f t="shared" si="151"/>
        <v>High_Medium_Low_Upgraded_Fossil Depletion Potential (FDP) - kg oil eq_Control Building; at upgraded wastewater treatment plant - US_Base_With Amendment_Windrow</v>
      </c>
    </row>
    <row r="3075" spans="1:13" s="120" customFormat="1" x14ac:dyDescent="0.25">
      <c r="A3075" s="119"/>
      <c r="B3075" s="138" t="str">
        <f t="shared" si="149"/>
        <v>Windrow</v>
      </c>
      <c r="C3075" s="138" t="str">
        <f t="shared" si="150"/>
        <v>Base_With Amendment</v>
      </c>
      <c r="D3075" s="118" t="s">
        <v>135</v>
      </c>
      <c r="E3075" s="118" t="s">
        <v>181</v>
      </c>
      <c r="F3075" s="118" t="s">
        <v>46</v>
      </c>
      <c r="G3075" s="153"/>
      <c r="H3075" s="155">
        <v>9.1999999999999998E-3</v>
      </c>
      <c r="I3075" s="154" t="s">
        <v>48</v>
      </c>
      <c r="J3075" s="204">
        <v>2.3600000000000001E-3</v>
      </c>
      <c r="K3075" s="154" t="s">
        <v>14</v>
      </c>
      <c r="L3075" s="154" t="str">
        <f>IF(OpenLCAbasic!K3075="CTUh", "Fill in Manually",IF(OR(K3075="Unit", K3075=""), "", INDEX(LookUps!$E$5:$E$12, MATCH(OpenLCAbasic!K3075,LookUps!$D$5:$D$12,0))))</f>
        <v>Fossil Depletion Potential (FDP) - kg oil eq</v>
      </c>
      <c r="M3075" s="154" t="str">
        <f t="shared" si="151"/>
        <v>High_Medium_Low_Upgraded_Fossil Depletion Potential (FDP) - kg oil eq_Effluent release; wastewater treatment unit; at surface water; m3 wastewater - US_Base_With Amendment_Windrow</v>
      </c>
    </row>
    <row r="3076" spans="1:13" s="120" customFormat="1" x14ac:dyDescent="0.25">
      <c r="A3076" s="119"/>
      <c r="B3076" s="138" t="str">
        <f t="shared" si="149"/>
        <v>Windrow</v>
      </c>
      <c r="C3076" s="138" t="str">
        <f t="shared" si="150"/>
        <v>Base_With Amendment</v>
      </c>
      <c r="D3076" s="118" t="s">
        <v>135</v>
      </c>
      <c r="E3076" s="118" t="s">
        <v>181</v>
      </c>
      <c r="F3076" s="118" t="s">
        <v>46</v>
      </c>
      <c r="G3076" s="153"/>
      <c r="H3076" s="155">
        <v>7.4999999999999997E-3</v>
      </c>
      <c r="I3076" s="154" t="s">
        <v>59</v>
      </c>
      <c r="J3076" s="204">
        <v>1.92E-3</v>
      </c>
      <c r="K3076" s="154" t="s">
        <v>14</v>
      </c>
      <c r="L3076" s="154" t="str">
        <f>IF(OpenLCAbasic!K3076="CTUh", "Fill in Manually",IF(OR(K3076="Unit", K3076=""), "", INDEX(LookUps!$E$5:$E$12, MATCH(OpenLCAbasic!K3076,LookUps!$D$5:$D$12,0))))</f>
        <v>Fossil Depletion Potential (FDP) - kg oil eq</v>
      </c>
      <c r="M3076" s="154" t="str">
        <f t="shared" si="151"/>
        <v>High_Medium_Low_Upgraded_Fossil Depletion Potential (FDP) - kg oil eq_Blend Tank; wastewater treatment unit; at updated plant - US_Base_With Amendment_Windrow</v>
      </c>
    </row>
    <row r="3077" spans="1:13" s="120" customFormat="1" x14ac:dyDescent="0.25">
      <c r="A3077" s="119"/>
      <c r="B3077" s="138" t="str">
        <f t="shared" si="149"/>
        <v>Windrow</v>
      </c>
      <c r="C3077" s="138" t="str">
        <f t="shared" si="150"/>
        <v>Base_With Amendment</v>
      </c>
      <c r="D3077" s="118" t="s">
        <v>135</v>
      </c>
      <c r="E3077" s="118" t="s">
        <v>181</v>
      </c>
      <c r="F3077" s="118" t="s">
        <v>46</v>
      </c>
      <c r="G3077" s="153"/>
      <c r="H3077" s="155">
        <v>3.5999999999999999E-3</v>
      </c>
      <c r="I3077" s="154" t="s">
        <v>168</v>
      </c>
      <c r="J3077" s="204">
        <v>9.1E-4</v>
      </c>
      <c r="K3077" s="154" t="s">
        <v>14</v>
      </c>
      <c r="L3077" s="154" t="str">
        <f>IF(OpenLCAbasic!K3077="CTUh", "Fill in Manually",IF(OR(K3077="Unit", K3077=""), "", INDEX(LookUps!$E$5:$E$12, MATCH(OpenLCAbasic!K3077,LookUps!$D$5:$D$12,0))))</f>
        <v>Fossil Depletion Potential (FDP) - kg oil eq</v>
      </c>
      <c r="M3077" s="154" t="str">
        <f t="shared" si="151"/>
        <v>High_Medium_Low_Upgraded_Fossil Depletion Potential (FDP) - kg oil eq_ClearCove SCP; wastewater treatment unit; at updated plant - US_Base_With Amendment_Windrow</v>
      </c>
    </row>
    <row r="3078" spans="1:13" s="120" customFormat="1" x14ac:dyDescent="0.25">
      <c r="A3078" s="119"/>
      <c r="B3078" s="138" t="str">
        <f t="shared" ref="B3078:B3141" si="152">IF(F3078="Legacy","n.a.",IF(F3078="","","Windrow"))</f>
        <v>Windrow</v>
      </c>
      <c r="C3078" s="138" t="str">
        <f t="shared" si="150"/>
        <v>Base_With Amendment</v>
      </c>
      <c r="D3078" s="118" t="s">
        <v>135</v>
      </c>
      <c r="E3078" s="118" t="s">
        <v>181</v>
      </c>
      <c r="F3078" s="118" t="s">
        <v>46</v>
      </c>
      <c r="G3078" s="153"/>
      <c r="H3078" s="155">
        <v>2.7000000000000001E-3</v>
      </c>
      <c r="I3078" s="154" t="s">
        <v>271</v>
      </c>
      <c r="J3078" s="203">
        <v>6.8999999999999997E-4</v>
      </c>
      <c r="K3078" s="154" t="s">
        <v>14</v>
      </c>
      <c r="L3078" s="154" t="str">
        <f>IF(OpenLCAbasic!K3078="CTUh", "Fill in Manually",IF(OR(K3078="Unit", K3078=""), "", INDEX(LookUps!$E$5:$E$12, MATCH(OpenLCAbasic!K3078,LookUps!$D$5:$D$12,0))))</f>
        <v>Fossil Depletion Potential (FDP) - kg oil eq</v>
      </c>
      <c r="M3078" s="154" t="str">
        <f t="shared" si="151"/>
        <v>High_Medium_Low_Upgraded_Fossil Depletion Potential (FDP) - kg oil eq_Biosolids composting; windrow composting; wastewater treatment unit; at updated plant - US_Base_With Amendment_Windrow</v>
      </c>
    </row>
    <row r="3079" spans="1:13" s="120" customFormat="1" x14ac:dyDescent="0.25">
      <c r="A3079" s="119"/>
      <c r="B3079" s="138" t="str">
        <f t="shared" si="152"/>
        <v>Windrow</v>
      </c>
      <c r="C3079" s="138" t="str">
        <f t="shared" ref="C3079:C3142" si="153">IF(E3079&lt;&gt;"", "Base_With Amendment","")</f>
        <v>Base_With Amendment</v>
      </c>
      <c r="D3079" s="118" t="s">
        <v>135</v>
      </c>
      <c r="E3079" s="118" t="s">
        <v>181</v>
      </c>
      <c r="F3079" s="118" t="s">
        <v>46</v>
      </c>
      <c r="G3079" s="153"/>
      <c r="H3079" s="155">
        <v>-3.3599999999999998E-2</v>
      </c>
      <c r="I3079" s="154" t="s">
        <v>62</v>
      </c>
      <c r="J3079" s="203">
        <v>-8.5900000000000004E-3</v>
      </c>
      <c r="K3079" s="154" t="s">
        <v>14</v>
      </c>
      <c r="L3079" s="154" t="str">
        <f>IF(OpenLCAbasic!K3079="CTUh", "Fill in Manually",IF(OR(K3079="Unit", K3079=""), "", INDEX(LookUps!$E$5:$E$12, MATCH(OpenLCAbasic!K3079,LookUps!$D$5:$D$12,0))))</f>
        <v>Fossil Depletion Potential (FDP) - kg oil eq</v>
      </c>
      <c r="M3079" s="154" t="str">
        <f t="shared" ref="M3079:M3142" si="154">CONCATENATE(E3079,"_",D3079,"_",F3079,"_",L3079, "_",I3079,"_", C3079,"_", B3079)</f>
        <v>High_Medium_Low_Upgraded_Fossil Depletion Potential (FDP) - kg oil eq_Land application of compost; wastewater treatment unit; at updated plant - US_Base_With Amendment_Windrow</v>
      </c>
    </row>
    <row r="3080" spans="1:13" s="120" customFormat="1" x14ac:dyDescent="0.25">
      <c r="A3080" s="119"/>
      <c r="B3080" s="138" t="str">
        <f t="shared" si="152"/>
        <v>Windrow</v>
      </c>
      <c r="C3080" s="138" t="str">
        <f t="shared" si="153"/>
        <v>Base_With Amendment</v>
      </c>
      <c r="D3080" s="118" t="s">
        <v>135</v>
      </c>
      <c r="E3080" s="118" t="s">
        <v>181</v>
      </c>
      <c r="F3080" s="118" t="s">
        <v>46</v>
      </c>
      <c r="G3080" s="153" t="s">
        <v>51</v>
      </c>
      <c r="H3080" s="154"/>
      <c r="I3080" s="154" t="s">
        <v>47</v>
      </c>
      <c r="J3080" s="154" t="s">
        <v>52</v>
      </c>
      <c r="K3080" s="154" t="s">
        <v>27</v>
      </c>
      <c r="L3080" s="154" t="str">
        <f>IF(OpenLCAbasic!K3080="CTUh", "Fill in Manually",IF(OR(K3080="Unit", K3080=""), "", INDEX(LookUps!$E$5:$E$12, MATCH(OpenLCAbasic!K3080,LookUps!$D$5:$D$12,0))))</f>
        <v/>
      </c>
      <c r="M3080" s="154" t="str">
        <f t="shared" si="154"/>
        <v>High_Medium_Low_Upgraded__Process_Base_With Amendment_Windrow</v>
      </c>
    </row>
    <row r="3081" spans="1:13" s="120" customFormat="1" x14ac:dyDescent="0.25">
      <c r="A3081" s="119"/>
      <c r="B3081" s="138" t="str">
        <f t="shared" si="152"/>
        <v>Windrow</v>
      </c>
      <c r="C3081" s="138" t="str">
        <f t="shared" si="153"/>
        <v>Base_With Amendment</v>
      </c>
      <c r="D3081" s="118" t="s">
        <v>135</v>
      </c>
      <c r="E3081" s="118" t="s">
        <v>181</v>
      </c>
      <c r="F3081" s="118" t="s">
        <v>46</v>
      </c>
      <c r="G3081" s="153"/>
      <c r="H3081" s="155">
        <v>0.42520000000000002</v>
      </c>
      <c r="I3081" s="154" t="s">
        <v>55</v>
      </c>
      <c r="J3081" s="204">
        <v>2.33E-3</v>
      </c>
      <c r="K3081" s="154" t="s">
        <v>145</v>
      </c>
      <c r="L3081" s="154" t="str">
        <f>IF(OpenLCAbasic!K3081="CTUh", "Fill in Manually",IF(OR(K3081="Unit", K3081=""), "", INDEX(LookUps!$E$5:$E$12, MATCH(OpenLCAbasic!K3081,LookUps!$D$5:$D$12,0))))</f>
        <v>Particulate Matter Formation Potential (PMFP) - kg PM2.5 eq</v>
      </c>
      <c r="M3081" s="154" t="str">
        <f t="shared" si="154"/>
        <v>High_Medium_Low_Upgraded_Particulate Matter Formation Potential (PMFP) - kg PM2.5 eq_Aeration Tanks; wastewater treatment unit; at updated plant - US_Base_With Amendment_Windrow</v>
      </c>
    </row>
    <row r="3082" spans="1:13" s="120" customFormat="1" x14ac:dyDescent="0.25">
      <c r="A3082" s="119"/>
      <c r="B3082" s="138" t="str">
        <f t="shared" si="152"/>
        <v>Windrow</v>
      </c>
      <c r="C3082" s="138" t="str">
        <f t="shared" si="153"/>
        <v>Base_With Amendment</v>
      </c>
      <c r="D3082" s="118" t="s">
        <v>135</v>
      </c>
      <c r="E3082" s="118" t="s">
        <v>181</v>
      </c>
      <c r="F3082" s="118" t="s">
        <v>46</v>
      </c>
      <c r="G3082" s="153"/>
      <c r="H3082" s="155">
        <v>0.1237</v>
      </c>
      <c r="I3082" s="154" t="s">
        <v>54</v>
      </c>
      <c r="J3082" s="204">
        <v>6.8000000000000005E-4</v>
      </c>
      <c r="K3082" s="154" t="s">
        <v>145</v>
      </c>
      <c r="L3082" s="154" t="str">
        <f>IF(OpenLCAbasic!K3082="CTUh", "Fill in Manually",IF(OR(K3082="Unit", K3082=""), "", INDEX(LookUps!$E$5:$E$12, MATCH(OpenLCAbasic!K3082,LookUps!$D$5:$D$12,0))))</f>
        <v>Particulate Matter Formation Potential (PMFP) - kg PM2.5 eq</v>
      </c>
      <c r="M3082" s="154" t="str">
        <f t="shared" si="154"/>
        <v>High_Medium_Low_Upgraded_Particulate Matter Formation Potential (PMFP) - kg PM2.5 eq_Clear Cove Primary Clarification; wastewater treatment unit; at updated plant - US_Base_With Amendment_Windrow</v>
      </c>
    </row>
    <row r="3083" spans="1:13" s="120" customFormat="1" x14ac:dyDescent="0.25">
      <c r="A3083" s="119"/>
      <c r="B3083" s="138" t="str">
        <f t="shared" si="152"/>
        <v>Windrow</v>
      </c>
      <c r="C3083" s="138" t="str">
        <f t="shared" si="153"/>
        <v>Base_With Amendment</v>
      </c>
      <c r="D3083" s="118" t="s">
        <v>135</v>
      </c>
      <c r="E3083" s="118" t="s">
        <v>181</v>
      </c>
      <c r="F3083" s="118" t="s">
        <v>46</v>
      </c>
      <c r="G3083" s="153"/>
      <c r="H3083" s="155">
        <v>0.10730000000000001</v>
      </c>
      <c r="I3083" s="154" t="s">
        <v>58</v>
      </c>
      <c r="J3083" s="204">
        <v>5.9000000000000003E-4</v>
      </c>
      <c r="K3083" s="154" t="s">
        <v>145</v>
      </c>
      <c r="L3083" s="154" t="str">
        <f>IF(OpenLCAbasic!K3083="CTUh", "Fill in Manually",IF(OR(K3083="Unit", K3083=""), "", INDEX(LookUps!$E$5:$E$12, MATCH(OpenLCAbasic!K3083,LookUps!$D$5:$D$12,0))))</f>
        <v>Particulate Matter Formation Potential (PMFP) - kg PM2.5 eq</v>
      </c>
      <c r="M3083" s="154" t="str">
        <f t="shared" si="154"/>
        <v>High_Medium_Low_Upgraded_Particulate Matter Formation Potential (PMFP) - kg PM2.5 eq_Pre-Anoxic &amp; Swing tank; wastewater treatment unit; at updated plant - US_Base_With Amendment_Windrow</v>
      </c>
    </row>
    <row r="3084" spans="1:13" s="120" customFormat="1" x14ac:dyDescent="0.25">
      <c r="A3084" s="119"/>
      <c r="B3084" s="138" t="str">
        <f t="shared" si="152"/>
        <v>Windrow</v>
      </c>
      <c r="C3084" s="138" t="str">
        <f t="shared" si="153"/>
        <v>Base_With Amendment</v>
      </c>
      <c r="D3084" s="118" t="s">
        <v>135</v>
      </c>
      <c r="E3084" s="118" t="s">
        <v>181</v>
      </c>
      <c r="F3084" s="118" t="s">
        <v>46</v>
      </c>
      <c r="G3084" s="153"/>
      <c r="H3084" s="155">
        <v>0.10580000000000001</v>
      </c>
      <c r="I3084" s="154" t="s">
        <v>271</v>
      </c>
      <c r="J3084" s="204">
        <v>5.8E-4</v>
      </c>
      <c r="K3084" s="154" t="s">
        <v>145</v>
      </c>
      <c r="L3084" s="154" t="str">
        <f>IF(OpenLCAbasic!K3084="CTUh", "Fill in Manually",IF(OR(K3084="Unit", K3084=""), "", INDEX(LookUps!$E$5:$E$12, MATCH(OpenLCAbasic!K3084,LookUps!$D$5:$D$12,0))))</f>
        <v>Particulate Matter Formation Potential (PMFP) - kg PM2.5 eq</v>
      </c>
      <c r="M3084" s="154" t="str">
        <f t="shared" si="154"/>
        <v>High_Medium_Low_Upgraded_Particulate Matter Formation Potential (PMFP) - kg PM2.5 eq_Biosolids composting; windrow composting; wastewater treatment unit; at updated plant - US_Base_With Amendment_Windrow</v>
      </c>
    </row>
    <row r="3085" spans="1:13" s="120" customFormat="1" x14ac:dyDescent="0.25">
      <c r="A3085" s="119"/>
      <c r="B3085" s="138" t="str">
        <f t="shared" si="152"/>
        <v>Windrow</v>
      </c>
      <c r="C3085" s="138" t="str">
        <f t="shared" si="153"/>
        <v>Base_With Amendment</v>
      </c>
      <c r="D3085" s="118" t="s">
        <v>135</v>
      </c>
      <c r="E3085" s="118" t="s">
        <v>181</v>
      </c>
      <c r="F3085" s="118" t="s">
        <v>46</v>
      </c>
      <c r="G3085" s="153"/>
      <c r="H3085" s="155">
        <v>8.5000000000000006E-2</v>
      </c>
      <c r="I3085" s="154" t="s">
        <v>53</v>
      </c>
      <c r="J3085" s="204">
        <v>4.6999999999999999E-4</v>
      </c>
      <c r="K3085" s="154" t="s">
        <v>145</v>
      </c>
      <c r="L3085" s="154" t="str">
        <f>IF(OpenLCAbasic!K3085="CTUh", "Fill in Manually",IF(OR(K3085="Unit", K3085=""), "", INDEX(LookUps!$E$5:$E$12, MATCH(OpenLCAbasic!K3085,LookUps!$D$5:$D$12,0))))</f>
        <v>Particulate Matter Formation Potential (PMFP) - kg PM2.5 eq</v>
      </c>
      <c r="M3085" s="154" t="str">
        <f t="shared" si="154"/>
        <v>High_Medium_Low_Upgraded_Particulate Matter Formation Potential (PMFP) - kg PM2.5 eq_Wet Well and Sump Station; wastewater treatment unit; at updated plant - US_Base_With Amendment_Windrow</v>
      </c>
    </row>
    <row r="3086" spans="1:13" s="120" customFormat="1" x14ac:dyDescent="0.25">
      <c r="A3086" s="119"/>
      <c r="B3086" s="138" t="str">
        <f t="shared" si="152"/>
        <v>Windrow</v>
      </c>
      <c r="C3086" s="138" t="str">
        <f t="shared" si="153"/>
        <v>Base_With Amendment</v>
      </c>
      <c r="D3086" s="118" t="s">
        <v>135</v>
      </c>
      <c r="E3086" s="118" t="s">
        <v>181</v>
      </c>
      <c r="F3086" s="118" t="s">
        <v>46</v>
      </c>
      <c r="G3086" s="153"/>
      <c r="H3086" s="155">
        <v>5.7299999999999997E-2</v>
      </c>
      <c r="I3086" s="154" t="s">
        <v>167</v>
      </c>
      <c r="J3086" s="204">
        <v>3.1E-4</v>
      </c>
      <c r="K3086" s="154" t="s">
        <v>145</v>
      </c>
      <c r="L3086" s="154" t="str">
        <f>IF(OpenLCAbasic!K3086="CTUh", "Fill in Manually",IF(OR(K3086="Unit", K3086=""), "", INDEX(LookUps!$E$5:$E$12, MATCH(OpenLCAbasic!K3086,LookUps!$D$5:$D$12,0))))</f>
        <v>Particulate Matter Formation Potential (PMFP) - kg PM2.5 eq</v>
      </c>
      <c r="M3086" s="154" t="str">
        <f t="shared" si="154"/>
        <v>High_Medium_Low_Upgraded_Particulate Matter Formation Potential (PMFP) - kg PM2.5 eq_Waste Receiving and Holding; wastewater treatment unit; at updated plant - US_Base_With Amendment_Windrow</v>
      </c>
    </row>
    <row r="3087" spans="1:13" s="120" customFormat="1" x14ac:dyDescent="0.25">
      <c r="A3087" s="119"/>
      <c r="B3087" s="138" t="str">
        <f t="shared" si="152"/>
        <v>Windrow</v>
      </c>
      <c r="C3087" s="138" t="str">
        <f t="shared" si="153"/>
        <v>Base_With Amendment</v>
      </c>
      <c r="D3087" s="118" t="s">
        <v>135</v>
      </c>
      <c r="E3087" s="118" t="s">
        <v>181</v>
      </c>
      <c r="F3087" s="118" t="s">
        <v>46</v>
      </c>
      <c r="G3087" s="153"/>
      <c r="H3087" s="155">
        <v>4.8599999999999997E-2</v>
      </c>
      <c r="I3087" s="154" t="s">
        <v>147</v>
      </c>
      <c r="J3087" s="204">
        <v>2.7E-4</v>
      </c>
      <c r="K3087" s="154" t="s">
        <v>145</v>
      </c>
      <c r="L3087" s="154" t="str">
        <f>IF(OpenLCAbasic!K3087="CTUh", "Fill in Manually",IF(OR(K3087="Unit", K3087=""), "", INDEX(LookUps!$E$5:$E$12, MATCH(OpenLCAbasic!K3087,LookUps!$D$5:$D$12,0))))</f>
        <v>Particulate Matter Formation Potential (PMFP) - kg PM2.5 eq</v>
      </c>
      <c r="M3087" s="154" t="str">
        <f t="shared" si="154"/>
        <v>High_Medium_Low_Upgraded_Particulate Matter Formation Potential (PMFP) - kg PM2.5 eq_Influent Pump Station; wastewater treatment unit; at updated plant - US_Base_With Amendment_Windrow</v>
      </c>
    </row>
    <row r="3088" spans="1:13" s="120" customFormat="1" x14ac:dyDescent="0.25">
      <c r="A3088" s="119"/>
      <c r="B3088" s="138" t="str">
        <f t="shared" si="152"/>
        <v>Windrow</v>
      </c>
      <c r="C3088" s="138" t="str">
        <f t="shared" si="153"/>
        <v>Base_With Amendment</v>
      </c>
      <c r="D3088" s="118" t="s">
        <v>135</v>
      </c>
      <c r="E3088" s="118" t="s">
        <v>181</v>
      </c>
      <c r="F3088" s="118" t="s">
        <v>46</v>
      </c>
      <c r="G3088" s="153"/>
      <c r="H3088" s="155">
        <v>3.0300000000000001E-2</v>
      </c>
      <c r="I3088" s="154" t="s">
        <v>128</v>
      </c>
      <c r="J3088" s="204">
        <v>1.7000000000000001E-4</v>
      </c>
      <c r="K3088" s="154" t="s">
        <v>145</v>
      </c>
      <c r="L3088" s="154" t="str">
        <f>IF(OpenLCAbasic!K3088="CTUh", "Fill in Manually",IF(OR(K3088="Unit", K3088=""), "", INDEX(LookUps!$E$5:$E$12, MATCH(OpenLCAbasic!K3088,LookUps!$D$5:$D$12,0))))</f>
        <v>Particulate Matter Formation Potential (PMFP) - kg PM2.5 eq</v>
      </c>
      <c r="M3088" s="154" t="str">
        <f t="shared" si="154"/>
        <v>High_Medium_Low_Upgraded_Particulate Matter Formation Potential (PMFP) - kg PM2.5 eq_Wastewater collection; operation and infrastructure; m3 wastewater_Base_With Amendment_Windrow</v>
      </c>
    </row>
    <row r="3089" spans="1:13" s="120" customFormat="1" x14ac:dyDescent="0.25">
      <c r="A3089" s="119"/>
      <c r="B3089" s="138" t="str">
        <f t="shared" si="152"/>
        <v>Windrow</v>
      </c>
      <c r="C3089" s="138" t="str">
        <f t="shared" si="153"/>
        <v>Base_With Amendment</v>
      </c>
      <c r="D3089" s="118" t="s">
        <v>135</v>
      </c>
      <c r="E3089" s="118" t="s">
        <v>181</v>
      </c>
      <c r="F3089" s="118" t="s">
        <v>46</v>
      </c>
      <c r="G3089" s="153"/>
      <c r="H3089" s="155">
        <v>2.9700000000000001E-2</v>
      </c>
      <c r="I3089" s="154" t="s">
        <v>60</v>
      </c>
      <c r="J3089" s="204">
        <v>1.6000000000000001E-4</v>
      </c>
      <c r="K3089" s="154" t="s">
        <v>145</v>
      </c>
      <c r="L3089" s="154" t="str">
        <f>IF(OpenLCAbasic!K3089="CTUh", "Fill in Manually",IF(OR(K3089="Unit", K3089=""), "", INDEX(LookUps!$E$5:$E$12, MATCH(OpenLCAbasic!K3089,LookUps!$D$5:$D$12,0))))</f>
        <v>Particulate Matter Formation Potential (PMFP) - kg PM2.5 eq</v>
      </c>
      <c r="M3089" s="154" t="str">
        <f t="shared" si="154"/>
        <v>High_Medium_Low_Upgraded_Particulate Matter Formation Potential (PMFP) - kg PM2.5 eq_Belt filter press; wastewater treatment unit; at updated plant - US_Base_With Amendment_Windrow</v>
      </c>
    </row>
    <row r="3090" spans="1:13" s="120" customFormat="1" x14ac:dyDescent="0.25">
      <c r="A3090" s="119"/>
      <c r="B3090" s="138" t="str">
        <f t="shared" si="152"/>
        <v>Windrow</v>
      </c>
      <c r="C3090" s="138" t="str">
        <f t="shared" si="153"/>
        <v>Base_With Amendment</v>
      </c>
      <c r="D3090" s="118" t="s">
        <v>135</v>
      </c>
      <c r="E3090" s="118" t="s">
        <v>181</v>
      </c>
      <c r="F3090" s="118" t="s">
        <v>46</v>
      </c>
      <c r="G3090" s="153"/>
      <c r="H3090" s="155">
        <v>1.7299999999999999E-2</v>
      </c>
      <c r="I3090" s="154" t="s">
        <v>57</v>
      </c>
      <c r="J3090" s="204">
        <v>9.5153800000000004E-5</v>
      </c>
      <c r="K3090" s="154" t="s">
        <v>145</v>
      </c>
      <c r="L3090" s="154" t="str">
        <f>IF(OpenLCAbasic!K3090="CTUh", "Fill in Manually",IF(OR(K3090="Unit", K3090=""), "", INDEX(LookUps!$E$5:$E$12, MATCH(OpenLCAbasic!K3090,LookUps!$D$5:$D$12,0))))</f>
        <v>Particulate Matter Formation Potential (PMFP) - kg PM2.5 eq</v>
      </c>
      <c r="M3090" s="154" t="str">
        <f t="shared" si="154"/>
        <v>High_Medium_Low_Upgraded_Particulate Matter Formation Potential (PMFP) - kg PM2.5 eq_Gravity Belt Thickener; wastewater treatment unit; at updated plant - US_Base_With Amendment_Windrow</v>
      </c>
    </row>
    <row r="3091" spans="1:13" s="120" customFormat="1" x14ac:dyDescent="0.25">
      <c r="A3091" s="119"/>
      <c r="B3091" s="138" t="str">
        <f t="shared" si="152"/>
        <v>Windrow</v>
      </c>
      <c r="C3091" s="138" t="str">
        <f t="shared" si="153"/>
        <v>Base_With Amendment</v>
      </c>
      <c r="D3091" s="118" t="s">
        <v>135</v>
      </c>
      <c r="E3091" s="118" t="s">
        <v>181</v>
      </c>
      <c r="F3091" s="118" t="s">
        <v>46</v>
      </c>
      <c r="G3091" s="153"/>
      <c r="H3091" s="155">
        <v>1.2699999999999999E-2</v>
      </c>
      <c r="I3091" s="154" t="s">
        <v>59</v>
      </c>
      <c r="J3091" s="204">
        <v>6.9942200000000003E-5</v>
      </c>
      <c r="K3091" s="154" t="s">
        <v>145</v>
      </c>
      <c r="L3091" s="154" t="str">
        <f>IF(OpenLCAbasic!K3091="CTUh", "Fill in Manually",IF(OR(K3091="Unit", K3091=""), "", INDEX(LookUps!$E$5:$E$12, MATCH(OpenLCAbasic!K3091,LookUps!$D$5:$D$12,0))))</f>
        <v>Particulate Matter Formation Potential (PMFP) - kg PM2.5 eq</v>
      </c>
      <c r="M3091" s="154" t="str">
        <f t="shared" si="154"/>
        <v>High_Medium_Low_Upgraded_Particulate Matter Formation Potential (PMFP) - kg PM2.5 eq_Blend Tank; wastewater treatment unit; at updated plant - US_Base_With Amendment_Windrow</v>
      </c>
    </row>
    <row r="3092" spans="1:13" s="120" customFormat="1" x14ac:dyDescent="0.25">
      <c r="A3092" s="119"/>
      <c r="B3092" s="138" t="str">
        <f t="shared" si="152"/>
        <v>Windrow</v>
      </c>
      <c r="C3092" s="138" t="str">
        <f t="shared" si="153"/>
        <v>Base_With Amendment</v>
      </c>
      <c r="D3092" s="118" t="s">
        <v>135</v>
      </c>
      <c r="E3092" s="118" t="s">
        <v>181</v>
      </c>
      <c r="F3092" s="118" t="s">
        <v>46</v>
      </c>
      <c r="G3092" s="153"/>
      <c r="H3092" s="155">
        <v>9.5999999999999992E-3</v>
      </c>
      <c r="I3092" s="154" t="s">
        <v>62</v>
      </c>
      <c r="J3092" s="204">
        <v>5.28514E-5</v>
      </c>
      <c r="K3092" s="154" t="s">
        <v>145</v>
      </c>
      <c r="L3092" s="154" t="str">
        <f>IF(OpenLCAbasic!K3092="CTUh", "Fill in Manually",IF(OR(K3092="Unit", K3092=""), "", INDEX(LookUps!$E$5:$E$12, MATCH(OpenLCAbasic!K3092,LookUps!$D$5:$D$12,0))))</f>
        <v>Particulate Matter Formation Potential (PMFP) - kg PM2.5 eq</v>
      </c>
      <c r="M3092" s="154" t="str">
        <f t="shared" si="154"/>
        <v>High_Medium_Low_Upgraded_Particulate Matter Formation Potential (PMFP) - kg PM2.5 eq_Land application of compost; wastewater treatment unit; at updated plant - US_Base_With Amendment_Windrow</v>
      </c>
    </row>
    <row r="3093" spans="1:13" s="120" customFormat="1" x14ac:dyDescent="0.25">
      <c r="A3093" s="119"/>
      <c r="B3093" s="138" t="str">
        <f t="shared" si="152"/>
        <v>Windrow</v>
      </c>
      <c r="C3093" s="138" t="str">
        <f t="shared" si="153"/>
        <v>Base_With Amendment</v>
      </c>
      <c r="D3093" s="118" t="s">
        <v>135</v>
      </c>
      <c r="E3093" s="118" t="s">
        <v>181</v>
      </c>
      <c r="F3093" s="118" t="s">
        <v>46</v>
      </c>
      <c r="G3093" s="153"/>
      <c r="H3093" s="155">
        <v>9.1000000000000004E-3</v>
      </c>
      <c r="I3093" s="154" t="s">
        <v>48</v>
      </c>
      <c r="J3093" s="204">
        <v>4.99741E-5</v>
      </c>
      <c r="K3093" s="154" t="s">
        <v>145</v>
      </c>
      <c r="L3093" s="154" t="str">
        <f>IF(OpenLCAbasic!K3093="CTUh", "Fill in Manually",IF(OR(K3093="Unit", K3093=""), "", INDEX(LookUps!$E$5:$E$12, MATCH(OpenLCAbasic!K3093,LookUps!$D$5:$D$12,0))))</f>
        <v>Particulate Matter Formation Potential (PMFP) - kg PM2.5 eq</v>
      </c>
      <c r="M3093" s="154" t="str">
        <f t="shared" si="154"/>
        <v>High_Medium_Low_Upgraded_Particulate Matter Formation Potential (PMFP) - kg PM2.5 eq_Effluent release; wastewater treatment unit; at surface water; m3 wastewater - US_Base_With Amendment_Windrow</v>
      </c>
    </row>
    <row r="3094" spans="1:13" s="120" customFormat="1" x14ac:dyDescent="0.25">
      <c r="A3094" s="119"/>
      <c r="B3094" s="138" t="str">
        <f t="shared" si="152"/>
        <v>Windrow</v>
      </c>
      <c r="C3094" s="138" t="str">
        <f t="shared" si="153"/>
        <v>Base_With Amendment</v>
      </c>
      <c r="D3094" s="118" t="s">
        <v>135</v>
      </c>
      <c r="E3094" s="118" t="s">
        <v>181</v>
      </c>
      <c r="F3094" s="118" t="s">
        <v>46</v>
      </c>
      <c r="G3094" s="153"/>
      <c r="H3094" s="155">
        <v>6.3E-3</v>
      </c>
      <c r="I3094" s="154" t="s">
        <v>168</v>
      </c>
      <c r="J3094" s="204">
        <v>3.4562199999999999E-5</v>
      </c>
      <c r="K3094" s="154" t="s">
        <v>145</v>
      </c>
      <c r="L3094" s="154" t="str">
        <f>IF(OpenLCAbasic!K3094="CTUh", "Fill in Manually",IF(OR(K3094="Unit", K3094=""), "", INDEX(LookUps!$E$5:$E$12, MATCH(OpenLCAbasic!K3094,LookUps!$D$5:$D$12,0))))</f>
        <v>Particulate Matter Formation Potential (PMFP) - kg PM2.5 eq</v>
      </c>
      <c r="M3094" s="154" t="str">
        <f t="shared" si="154"/>
        <v>High_Medium_Low_Upgraded_Particulate Matter Formation Potential (PMFP) - kg PM2.5 eq_ClearCove SCP; wastewater treatment unit; at updated plant - US_Base_With Amendment_Windrow</v>
      </c>
    </row>
    <row r="3095" spans="1:13" s="120" customFormat="1" x14ac:dyDescent="0.25">
      <c r="A3095" s="119"/>
      <c r="B3095" s="138" t="str">
        <f t="shared" si="152"/>
        <v>Windrow</v>
      </c>
      <c r="C3095" s="138" t="str">
        <f t="shared" si="153"/>
        <v>Base_With Amendment</v>
      </c>
      <c r="D3095" s="118" t="s">
        <v>135</v>
      </c>
      <c r="E3095" s="118" t="s">
        <v>181</v>
      </c>
      <c r="F3095" s="118" t="s">
        <v>46</v>
      </c>
      <c r="G3095" s="153"/>
      <c r="H3095" s="155">
        <v>1.6000000000000001E-3</v>
      </c>
      <c r="I3095" s="154" t="s">
        <v>148</v>
      </c>
      <c r="J3095" s="204">
        <v>8.8212999999999997E-6</v>
      </c>
      <c r="K3095" s="154" t="s">
        <v>145</v>
      </c>
      <c r="L3095" s="154" t="str">
        <f>IF(OpenLCAbasic!K3095="CTUh", "Fill in Manually",IF(OR(K3095="Unit", K3095=""), "", INDEX(LookUps!$E$5:$E$12, MATCH(OpenLCAbasic!K3095,LookUps!$D$5:$D$12,0))))</f>
        <v>Particulate Matter Formation Potential (PMFP) - kg PM2.5 eq</v>
      </c>
      <c r="M3095" s="154" t="str">
        <f t="shared" si="154"/>
        <v>High_Medium_Low_Upgraded_Particulate Matter Formation Potential (PMFP) - kg PM2.5 eq_Control Building; at upgraded wastewater treatment plant - US_Base_With Amendment_Windrow</v>
      </c>
    </row>
    <row r="3096" spans="1:13" s="120" customFormat="1" x14ac:dyDescent="0.25">
      <c r="A3096" s="119"/>
      <c r="B3096" s="138" t="str">
        <f t="shared" si="152"/>
        <v>Windrow</v>
      </c>
      <c r="C3096" s="138" t="str">
        <f t="shared" si="153"/>
        <v>Base_With Amendment</v>
      </c>
      <c r="D3096" s="118" t="s">
        <v>135</v>
      </c>
      <c r="E3096" s="118" t="s">
        <v>181</v>
      </c>
      <c r="F3096" s="118" t="s">
        <v>46</v>
      </c>
      <c r="G3096" s="153"/>
      <c r="H3096" s="155">
        <v>-6.9500000000000006E-2</v>
      </c>
      <c r="I3096" s="154" t="s">
        <v>149</v>
      </c>
      <c r="J3096" s="204">
        <v>-3.8000000000000002E-4</v>
      </c>
      <c r="K3096" s="154" t="s">
        <v>145</v>
      </c>
      <c r="L3096" s="154" t="str">
        <f>IF(OpenLCAbasic!K3096="CTUh", "Fill in Manually",IF(OR(K3096="Unit", K3096=""), "", INDEX(LookUps!$E$5:$E$12, MATCH(OpenLCAbasic!K3096,LookUps!$D$5:$D$12,0))))</f>
        <v>Particulate Matter Formation Potential (PMFP) - kg PM2.5 eq</v>
      </c>
      <c r="M3096" s="154" t="str">
        <f t="shared" si="154"/>
        <v>High_Medium_Low_Upgraded_Particulate Matter Formation Potential (PMFP) - kg PM2.5 eq_Anaerobic Digestion; wastewater treatment unit; at updated plant - US_Base_With Amendment_Windrow</v>
      </c>
    </row>
    <row r="3097" spans="1:13" s="120" customFormat="1" x14ac:dyDescent="0.25">
      <c r="A3097" s="119"/>
      <c r="B3097" s="138" t="str">
        <f t="shared" si="152"/>
        <v>Windrow</v>
      </c>
      <c r="C3097" s="138" t="str">
        <f t="shared" si="153"/>
        <v>Base_With Amendment</v>
      </c>
      <c r="D3097" s="118" t="s">
        <v>135</v>
      </c>
      <c r="E3097" s="118" t="s">
        <v>181</v>
      </c>
      <c r="F3097" s="118" t="s">
        <v>46</v>
      </c>
      <c r="G3097" s="153" t="s">
        <v>51</v>
      </c>
      <c r="H3097" s="154"/>
      <c r="I3097" s="154" t="s">
        <v>47</v>
      </c>
      <c r="J3097" s="154" t="s">
        <v>52</v>
      </c>
      <c r="K3097" s="154" t="s">
        <v>27</v>
      </c>
      <c r="L3097" s="154" t="str">
        <f>IF(OpenLCAbasic!K3097="CTUh", "Fill in Manually",IF(OR(K3097="Unit", K3097=""), "", INDEX(LookUps!$E$5:$E$12, MATCH(OpenLCAbasic!K3097,LookUps!$D$5:$D$12,0))))</f>
        <v/>
      </c>
      <c r="M3097" s="154" t="str">
        <f t="shared" si="154"/>
        <v>High_Medium_Low_Upgraded__Process_Base_With Amendment_Windrow</v>
      </c>
    </row>
    <row r="3098" spans="1:13" s="120" customFormat="1" x14ac:dyDescent="0.25">
      <c r="A3098" s="119"/>
      <c r="B3098" s="138" t="str">
        <f t="shared" si="152"/>
        <v>Windrow</v>
      </c>
      <c r="C3098" s="138" t="str">
        <f t="shared" si="153"/>
        <v>Base_With Amendment</v>
      </c>
      <c r="D3098" s="118" t="s">
        <v>135</v>
      </c>
      <c r="E3098" s="118" t="s">
        <v>181</v>
      </c>
      <c r="F3098" s="118" t="s">
        <v>46</v>
      </c>
      <c r="G3098" s="153"/>
      <c r="H3098" s="155">
        <v>0.47139999999999999</v>
      </c>
      <c r="I3098" s="154" t="s">
        <v>55</v>
      </c>
      <c r="J3098" s="203">
        <v>0.16577</v>
      </c>
      <c r="K3098" s="154" t="s">
        <v>25</v>
      </c>
      <c r="L3098" s="154" t="str">
        <f>IF(OpenLCAbasic!K3098="CTUh", "Fill in Manually",IF(OR(K3098="Unit", K3098=""), "", INDEX(LookUps!$E$5:$E$12, MATCH(OpenLCAbasic!K3098,LookUps!$D$5:$D$12,0))))</f>
        <v>Smog Formation Potential (SFP) - kg O3 eq</v>
      </c>
      <c r="M3098" s="154" t="str">
        <f t="shared" si="154"/>
        <v>High_Medium_Low_Upgraded_Smog Formation Potential (SFP) - kg O3 eq_Aeration Tanks; wastewater treatment unit; at updated plant - US_Base_With Amendment_Windrow</v>
      </c>
    </row>
    <row r="3099" spans="1:13" s="120" customFormat="1" x14ac:dyDescent="0.25">
      <c r="A3099" s="119"/>
      <c r="B3099" s="138" t="str">
        <f t="shared" si="152"/>
        <v>Windrow</v>
      </c>
      <c r="C3099" s="138" t="str">
        <f t="shared" si="153"/>
        <v>Base_With Amendment</v>
      </c>
      <c r="D3099" s="118" t="s">
        <v>135</v>
      </c>
      <c r="E3099" s="118" t="s">
        <v>181</v>
      </c>
      <c r="F3099" s="118" t="s">
        <v>46</v>
      </c>
      <c r="G3099" s="153"/>
      <c r="H3099" s="155">
        <v>0.13669999999999999</v>
      </c>
      <c r="I3099" s="154" t="s">
        <v>54</v>
      </c>
      <c r="J3099" s="203">
        <v>4.8070000000000002E-2</v>
      </c>
      <c r="K3099" s="154" t="s">
        <v>25</v>
      </c>
      <c r="L3099" s="154" t="str">
        <f>IF(OpenLCAbasic!K3099="CTUh", "Fill in Manually",IF(OR(K3099="Unit", K3099=""), "", INDEX(LookUps!$E$5:$E$12, MATCH(OpenLCAbasic!K3099,LookUps!$D$5:$D$12,0))))</f>
        <v>Smog Formation Potential (SFP) - kg O3 eq</v>
      </c>
      <c r="M3099" s="154" t="str">
        <f t="shared" si="154"/>
        <v>High_Medium_Low_Upgraded_Smog Formation Potential (SFP) - kg O3 eq_Clear Cove Primary Clarification; wastewater treatment unit; at updated plant - US_Base_With Amendment_Windrow</v>
      </c>
    </row>
    <row r="3100" spans="1:13" s="120" customFormat="1" x14ac:dyDescent="0.25">
      <c r="A3100" s="119"/>
      <c r="B3100" s="138" t="str">
        <f t="shared" si="152"/>
        <v>Windrow</v>
      </c>
      <c r="C3100" s="138" t="str">
        <f t="shared" si="153"/>
        <v>Base_With Amendment</v>
      </c>
      <c r="D3100" s="118" t="s">
        <v>135</v>
      </c>
      <c r="E3100" s="118" t="s">
        <v>181</v>
      </c>
      <c r="F3100" s="118" t="s">
        <v>46</v>
      </c>
      <c r="G3100" s="153"/>
      <c r="H3100" s="155">
        <v>0.1192</v>
      </c>
      <c r="I3100" s="154" t="s">
        <v>58</v>
      </c>
      <c r="J3100" s="203">
        <v>4.1919999999999999E-2</v>
      </c>
      <c r="K3100" s="154" t="s">
        <v>25</v>
      </c>
      <c r="L3100" s="154" t="str">
        <f>IF(OpenLCAbasic!K3100="CTUh", "Fill in Manually",IF(OR(K3100="Unit", K3100=""), "", INDEX(LookUps!$E$5:$E$12, MATCH(OpenLCAbasic!K3100,LookUps!$D$5:$D$12,0))))</f>
        <v>Smog Formation Potential (SFP) - kg O3 eq</v>
      </c>
      <c r="M3100" s="154" t="str">
        <f t="shared" si="154"/>
        <v>High_Medium_Low_Upgraded_Smog Formation Potential (SFP) - kg O3 eq_Pre-Anoxic &amp; Swing tank; wastewater treatment unit; at updated plant - US_Base_With Amendment_Windrow</v>
      </c>
    </row>
    <row r="3101" spans="1:13" s="120" customFormat="1" x14ac:dyDescent="0.25">
      <c r="A3101" s="119"/>
      <c r="B3101" s="138" t="str">
        <f t="shared" si="152"/>
        <v>Windrow</v>
      </c>
      <c r="C3101" s="138" t="str">
        <f t="shared" si="153"/>
        <v>Base_With Amendment</v>
      </c>
      <c r="D3101" s="118" t="s">
        <v>135</v>
      </c>
      <c r="E3101" s="118" t="s">
        <v>181</v>
      </c>
      <c r="F3101" s="118" t="s">
        <v>46</v>
      </c>
      <c r="G3101" s="153"/>
      <c r="H3101" s="155">
        <v>9.4200000000000006E-2</v>
      </c>
      <c r="I3101" s="154" t="s">
        <v>53</v>
      </c>
      <c r="J3101" s="203">
        <v>3.313E-2</v>
      </c>
      <c r="K3101" s="154" t="s">
        <v>25</v>
      </c>
      <c r="L3101" s="154" t="str">
        <f>IF(OpenLCAbasic!K3101="CTUh", "Fill in Manually",IF(OR(K3101="Unit", K3101=""), "", INDEX(LookUps!$E$5:$E$12, MATCH(OpenLCAbasic!K3101,LookUps!$D$5:$D$12,0))))</f>
        <v>Smog Formation Potential (SFP) - kg O3 eq</v>
      </c>
      <c r="M3101" s="154" t="str">
        <f t="shared" si="154"/>
        <v>High_Medium_Low_Upgraded_Smog Formation Potential (SFP) - kg O3 eq_Wet Well and Sump Station; wastewater treatment unit; at updated plant - US_Base_With Amendment_Windrow</v>
      </c>
    </row>
    <row r="3102" spans="1:13" s="120" customFormat="1" x14ac:dyDescent="0.25">
      <c r="A3102" s="119"/>
      <c r="B3102" s="138" t="str">
        <f t="shared" si="152"/>
        <v>Windrow</v>
      </c>
      <c r="C3102" s="138" t="str">
        <f t="shared" si="153"/>
        <v>Base_With Amendment</v>
      </c>
      <c r="D3102" s="118" t="s">
        <v>135</v>
      </c>
      <c r="E3102" s="118" t="s">
        <v>181</v>
      </c>
      <c r="F3102" s="118" t="s">
        <v>46</v>
      </c>
      <c r="G3102" s="153"/>
      <c r="H3102" s="155">
        <v>8.7300000000000003E-2</v>
      </c>
      <c r="I3102" s="154" t="s">
        <v>167</v>
      </c>
      <c r="J3102" s="203">
        <v>3.0710000000000001E-2</v>
      </c>
      <c r="K3102" s="154" t="s">
        <v>25</v>
      </c>
      <c r="L3102" s="154" t="str">
        <f>IF(OpenLCAbasic!K3102="CTUh", "Fill in Manually",IF(OR(K3102="Unit", K3102=""), "", INDEX(LookUps!$E$5:$E$12, MATCH(OpenLCAbasic!K3102,LookUps!$D$5:$D$12,0))))</f>
        <v>Smog Formation Potential (SFP) - kg O3 eq</v>
      </c>
      <c r="M3102" s="154" t="str">
        <f t="shared" si="154"/>
        <v>High_Medium_Low_Upgraded_Smog Formation Potential (SFP) - kg O3 eq_Waste Receiving and Holding; wastewater treatment unit; at updated plant - US_Base_With Amendment_Windrow</v>
      </c>
    </row>
    <row r="3103" spans="1:13" s="120" customFormat="1" x14ac:dyDescent="0.25">
      <c r="A3103" s="119"/>
      <c r="B3103" s="138" t="str">
        <f t="shared" si="152"/>
        <v>Windrow</v>
      </c>
      <c r="C3103" s="138" t="str">
        <f t="shared" si="153"/>
        <v>Base_With Amendment</v>
      </c>
      <c r="D3103" s="118" t="s">
        <v>135</v>
      </c>
      <c r="E3103" s="118" t="s">
        <v>181</v>
      </c>
      <c r="F3103" s="118" t="s">
        <v>46</v>
      </c>
      <c r="G3103" s="153"/>
      <c r="H3103" s="155">
        <v>5.5199999999999999E-2</v>
      </c>
      <c r="I3103" s="154" t="s">
        <v>147</v>
      </c>
      <c r="J3103" s="203">
        <v>1.9400000000000001E-2</v>
      </c>
      <c r="K3103" s="154" t="s">
        <v>25</v>
      </c>
      <c r="L3103" s="154" t="str">
        <f>IF(OpenLCAbasic!K3103="CTUh", "Fill in Manually",IF(OR(K3103="Unit", K3103=""), "", INDEX(LookUps!$E$5:$E$12, MATCH(OpenLCAbasic!K3103,LookUps!$D$5:$D$12,0))))</f>
        <v>Smog Formation Potential (SFP) - kg O3 eq</v>
      </c>
      <c r="M3103" s="154" t="str">
        <f t="shared" si="154"/>
        <v>High_Medium_Low_Upgraded_Smog Formation Potential (SFP) - kg O3 eq_Influent Pump Station; wastewater treatment unit; at updated plant - US_Base_With Amendment_Windrow</v>
      </c>
    </row>
    <row r="3104" spans="1:13" s="120" customFormat="1" x14ac:dyDescent="0.25">
      <c r="A3104" s="119"/>
      <c r="B3104" s="138" t="str">
        <f t="shared" si="152"/>
        <v>Windrow</v>
      </c>
      <c r="C3104" s="138" t="str">
        <f t="shared" si="153"/>
        <v>Base_With Amendment</v>
      </c>
      <c r="D3104" s="118" t="s">
        <v>135</v>
      </c>
      <c r="E3104" s="118" t="s">
        <v>181</v>
      </c>
      <c r="F3104" s="118" t="s">
        <v>46</v>
      </c>
      <c r="G3104" s="153"/>
      <c r="H3104" s="155">
        <v>3.39E-2</v>
      </c>
      <c r="I3104" s="154" t="s">
        <v>128</v>
      </c>
      <c r="J3104" s="204">
        <v>1.192E-2</v>
      </c>
      <c r="K3104" s="154" t="s">
        <v>25</v>
      </c>
      <c r="L3104" s="154" t="str">
        <f>IF(OpenLCAbasic!K3104="CTUh", "Fill in Manually",IF(OR(K3104="Unit", K3104=""), "", INDEX(LookUps!$E$5:$E$12, MATCH(OpenLCAbasic!K3104,LookUps!$D$5:$D$12,0))))</f>
        <v>Smog Formation Potential (SFP) - kg O3 eq</v>
      </c>
      <c r="M3104" s="154" t="str">
        <f t="shared" si="154"/>
        <v>High_Medium_Low_Upgraded_Smog Formation Potential (SFP) - kg O3 eq_Wastewater collection; operation and infrastructure; m3 wastewater_Base_With Amendment_Windrow</v>
      </c>
    </row>
    <row r="3105" spans="1:13" s="120" customFormat="1" x14ac:dyDescent="0.25">
      <c r="A3105" s="119"/>
      <c r="B3105" s="138" t="str">
        <f t="shared" si="152"/>
        <v>Windrow</v>
      </c>
      <c r="C3105" s="138" t="str">
        <f t="shared" si="153"/>
        <v>Base_With Amendment</v>
      </c>
      <c r="D3105" s="118" t="s">
        <v>135</v>
      </c>
      <c r="E3105" s="118" t="s">
        <v>181</v>
      </c>
      <c r="F3105" s="118" t="s">
        <v>46</v>
      </c>
      <c r="G3105" s="153"/>
      <c r="H3105" s="155">
        <v>3.2599999999999997E-2</v>
      </c>
      <c r="I3105" s="154" t="s">
        <v>60</v>
      </c>
      <c r="J3105" s="204">
        <v>1.145E-2</v>
      </c>
      <c r="K3105" s="154" t="s">
        <v>25</v>
      </c>
      <c r="L3105" s="154" t="str">
        <f>IF(OpenLCAbasic!K3105="CTUh", "Fill in Manually",IF(OR(K3105="Unit", K3105=""), "", INDEX(LookUps!$E$5:$E$12, MATCH(OpenLCAbasic!K3105,LookUps!$D$5:$D$12,0))))</f>
        <v>Smog Formation Potential (SFP) - kg O3 eq</v>
      </c>
      <c r="M3105" s="154" t="str">
        <f t="shared" si="154"/>
        <v>High_Medium_Low_Upgraded_Smog Formation Potential (SFP) - kg O3 eq_Belt filter press; wastewater treatment unit; at updated plant - US_Base_With Amendment_Windrow</v>
      </c>
    </row>
    <row r="3106" spans="1:13" s="120" customFormat="1" x14ac:dyDescent="0.25">
      <c r="A3106" s="119"/>
      <c r="B3106" s="138" t="str">
        <f t="shared" si="152"/>
        <v>Windrow</v>
      </c>
      <c r="C3106" s="138" t="str">
        <f t="shared" si="153"/>
        <v>Base_With Amendment</v>
      </c>
      <c r="D3106" s="118" t="s">
        <v>135</v>
      </c>
      <c r="E3106" s="118" t="s">
        <v>181</v>
      </c>
      <c r="F3106" s="118" t="s">
        <v>46</v>
      </c>
      <c r="G3106" s="153"/>
      <c r="H3106" s="155">
        <v>1.89E-2</v>
      </c>
      <c r="I3106" s="154" t="s">
        <v>57</v>
      </c>
      <c r="J3106" s="204">
        <v>6.6499999999999997E-3</v>
      </c>
      <c r="K3106" s="154" t="s">
        <v>25</v>
      </c>
      <c r="L3106" s="154" t="str">
        <f>IF(OpenLCAbasic!K3106="CTUh", "Fill in Manually",IF(OR(K3106="Unit", K3106=""), "", INDEX(LookUps!$E$5:$E$12, MATCH(OpenLCAbasic!K3106,LookUps!$D$5:$D$12,0))))</f>
        <v>Smog Formation Potential (SFP) - kg O3 eq</v>
      </c>
      <c r="M3106" s="154" t="str">
        <f t="shared" si="154"/>
        <v>High_Medium_Low_Upgraded_Smog Formation Potential (SFP) - kg O3 eq_Gravity Belt Thickener; wastewater treatment unit; at updated plant - US_Base_With Amendment_Windrow</v>
      </c>
    </row>
    <row r="3107" spans="1:13" s="120" customFormat="1" x14ac:dyDescent="0.25">
      <c r="A3107" s="119"/>
      <c r="B3107" s="138" t="str">
        <f t="shared" si="152"/>
        <v>Windrow</v>
      </c>
      <c r="C3107" s="138" t="str">
        <f t="shared" si="153"/>
        <v>Base_With Amendment</v>
      </c>
      <c r="D3107" s="118" t="s">
        <v>135</v>
      </c>
      <c r="E3107" s="118" t="s">
        <v>181</v>
      </c>
      <c r="F3107" s="118" t="s">
        <v>46</v>
      </c>
      <c r="G3107" s="153"/>
      <c r="H3107" s="155">
        <v>1.41E-2</v>
      </c>
      <c r="I3107" s="154" t="s">
        <v>59</v>
      </c>
      <c r="J3107" s="204">
        <v>4.9699999999999996E-3</v>
      </c>
      <c r="K3107" s="154" t="s">
        <v>25</v>
      </c>
      <c r="L3107" s="154" t="str">
        <f>IF(OpenLCAbasic!K3107="CTUh", "Fill in Manually",IF(OR(K3107="Unit", K3107=""), "", INDEX(LookUps!$E$5:$E$12, MATCH(OpenLCAbasic!K3107,LookUps!$D$5:$D$12,0))))</f>
        <v>Smog Formation Potential (SFP) - kg O3 eq</v>
      </c>
      <c r="M3107" s="154" t="str">
        <f t="shared" si="154"/>
        <v>High_Medium_Low_Upgraded_Smog Formation Potential (SFP) - kg O3 eq_Blend Tank; wastewater treatment unit; at updated plant - US_Base_With Amendment_Windrow</v>
      </c>
    </row>
    <row r="3108" spans="1:13" s="120" customFormat="1" x14ac:dyDescent="0.25">
      <c r="A3108" s="119"/>
      <c r="B3108" s="138" t="str">
        <f t="shared" si="152"/>
        <v>Windrow</v>
      </c>
      <c r="C3108" s="138" t="str">
        <f t="shared" si="153"/>
        <v>Base_With Amendment</v>
      </c>
      <c r="D3108" s="118" t="s">
        <v>135</v>
      </c>
      <c r="E3108" s="118" t="s">
        <v>181</v>
      </c>
      <c r="F3108" s="118" t="s">
        <v>46</v>
      </c>
      <c r="G3108" s="153"/>
      <c r="H3108" s="155">
        <v>9.5999999999999992E-3</v>
      </c>
      <c r="I3108" s="154" t="s">
        <v>48</v>
      </c>
      <c r="J3108" s="204">
        <v>3.3899999999999998E-3</v>
      </c>
      <c r="K3108" s="154" t="s">
        <v>25</v>
      </c>
      <c r="L3108" s="154" t="str">
        <f>IF(OpenLCAbasic!K3108="CTUh", "Fill in Manually",IF(OR(K3108="Unit", K3108=""), "", INDEX(LookUps!$E$5:$E$12, MATCH(OpenLCAbasic!K3108,LookUps!$D$5:$D$12,0))))</f>
        <v>Smog Formation Potential (SFP) - kg O3 eq</v>
      </c>
      <c r="M3108" s="154" t="str">
        <f t="shared" si="154"/>
        <v>High_Medium_Low_Upgraded_Smog Formation Potential (SFP) - kg O3 eq_Effluent release; wastewater treatment unit; at surface water; m3 wastewater - US_Base_With Amendment_Windrow</v>
      </c>
    </row>
    <row r="3109" spans="1:13" s="120" customFormat="1" x14ac:dyDescent="0.25">
      <c r="A3109" s="119"/>
      <c r="B3109" s="138" t="str">
        <f t="shared" si="152"/>
        <v>Windrow</v>
      </c>
      <c r="C3109" s="138" t="str">
        <f t="shared" si="153"/>
        <v>Base_With Amendment</v>
      </c>
      <c r="D3109" s="118" t="s">
        <v>135</v>
      </c>
      <c r="E3109" s="118" t="s">
        <v>181</v>
      </c>
      <c r="F3109" s="118" t="s">
        <v>46</v>
      </c>
      <c r="G3109" s="153"/>
      <c r="H3109" s="155">
        <v>7.0000000000000001E-3</v>
      </c>
      <c r="I3109" s="154" t="s">
        <v>168</v>
      </c>
      <c r="J3109" s="204">
        <v>2.4599999999999999E-3</v>
      </c>
      <c r="K3109" s="154" t="s">
        <v>25</v>
      </c>
      <c r="L3109" s="154" t="str">
        <f>IF(OpenLCAbasic!K3109="CTUh", "Fill in Manually",IF(OR(K3109="Unit", K3109=""), "", INDEX(LookUps!$E$5:$E$12, MATCH(OpenLCAbasic!K3109,LookUps!$D$5:$D$12,0))))</f>
        <v>Smog Formation Potential (SFP) - kg O3 eq</v>
      </c>
      <c r="M3109" s="154" t="str">
        <f t="shared" si="154"/>
        <v>High_Medium_Low_Upgraded_Smog Formation Potential (SFP) - kg O3 eq_ClearCove SCP; wastewater treatment unit; at updated plant - US_Base_With Amendment_Windrow</v>
      </c>
    </row>
    <row r="3110" spans="1:13" s="120" customFormat="1" x14ac:dyDescent="0.25">
      <c r="A3110" s="119"/>
      <c r="B3110" s="138" t="str">
        <f t="shared" si="152"/>
        <v>Windrow</v>
      </c>
      <c r="C3110" s="138" t="str">
        <f t="shared" si="153"/>
        <v>Base_With Amendment</v>
      </c>
      <c r="D3110" s="118" t="s">
        <v>135</v>
      </c>
      <c r="E3110" s="118" t="s">
        <v>181</v>
      </c>
      <c r="F3110" s="118" t="s">
        <v>46</v>
      </c>
      <c r="G3110" s="153"/>
      <c r="H3110" s="155">
        <v>6.1999999999999998E-3</v>
      </c>
      <c r="I3110" s="154" t="s">
        <v>271</v>
      </c>
      <c r="J3110" s="204">
        <v>2.1700000000000001E-3</v>
      </c>
      <c r="K3110" s="154" t="s">
        <v>25</v>
      </c>
      <c r="L3110" s="154" t="str">
        <f>IF(OpenLCAbasic!K3110="CTUh", "Fill in Manually",IF(OR(K3110="Unit", K3110=""), "", INDEX(LookUps!$E$5:$E$12, MATCH(OpenLCAbasic!K3110,LookUps!$D$5:$D$12,0))))</f>
        <v>Smog Formation Potential (SFP) - kg O3 eq</v>
      </c>
      <c r="M3110" s="154" t="str">
        <f t="shared" si="154"/>
        <v>High_Medium_Low_Upgraded_Smog Formation Potential (SFP) - kg O3 eq_Biosolids composting; windrow composting; wastewater treatment unit; at updated plant - US_Base_With Amendment_Windrow</v>
      </c>
    </row>
    <row r="3111" spans="1:13" s="120" customFormat="1" x14ac:dyDescent="0.25">
      <c r="A3111" s="119"/>
      <c r="B3111" s="138" t="str">
        <f t="shared" si="152"/>
        <v>Windrow</v>
      </c>
      <c r="C3111" s="138" t="str">
        <f t="shared" si="153"/>
        <v>Base_With Amendment</v>
      </c>
      <c r="D3111" s="118" t="s">
        <v>135</v>
      </c>
      <c r="E3111" s="118" t="s">
        <v>181</v>
      </c>
      <c r="F3111" s="118" t="s">
        <v>46</v>
      </c>
      <c r="G3111" s="153"/>
      <c r="H3111" s="155">
        <v>1.5E-3</v>
      </c>
      <c r="I3111" s="154" t="s">
        <v>148</v>
      </c>
      <c r="J3111" s="204">
        <v>5.4000000000000001E-4</v>
      </c>
      <c r="K3111" s="154" t="s">
        <v>25</v>
      </c>
      <c r="L3111" s="154" t="str">
        <f>IF(OpenLCAbasic!K3111="CTUh", "Fill in Manually",IF(OR(K3111="Unit", K3111=""), "", INDEX(LookUps!$E$5:$E$12, MATCH(OpenLCAbasic!K3111,LookUps!$D$5:$D$12,0))))</f>
        <v>Smog Formation Potential (SFP) - kg O3 eq</v>
      </c>
      <c r="M3111" s="154" t="str">
        <f t="shared" si="154"/>
        <v>High_Medium_Low_Upgraded_Smog Formation Potential (SFP) - kg O3 eq_Control Building; at upgraded wastewater treatment plant - US_Base_With Amendment_Windrow</v>
      </c>
    </row>
    <row r="3112" spans="1:13" s="120" customFormat="1" x14ac:dyDescent="0.25">
      <c r="A3112" s="119"/>
      <c r="B3112" s="138" t="str">
        <f t="shared" si="152"/>
        <v>Windrow</v>
      </c>
      <c r="C3112" s="138" t="str">
        <f t="shared" si="153"/>
        <v>Base_With Amendment</v>
      </c>
      <c r="D3112" s="118" t="s">
        <v>135</v>
      </c>
      <c r="E3112" s="118" t="s">
        <v>181</v>
      </c>
      <c r="F3112" s="118" t="s">
        <v>46</v>
      </c>
      <c r="G3112" s="153"/>
      <c r="H3112" s="155">
        <v>-1.18E-2</v>
      </c>
      <c r="I3112" s="154" t="s">
        <v>62</v>
      </c>
      <c r="J3112" s="204">
        <v>-4.1399999999999996E-3</v>
      </c>
      <c r="K3112" s="154" t="s">
        <v>25</v>
      </c>
      <c r="L3112" s="154" t="str">
        <f>IF(OpenLCAbasic!K3112="CTUh", "Fill in Manually",IF(OR(K3112="Unit", K3112=""), "", INDEX(LookUps!$E$5:$E$12, MATCH(OpenLCAbasic!K3112,LookUps!$D$5:$D$12,0))))</f>
        <v>Smog Formation Potential (SFP) - kg O3 eq</v>
      </c>
      <c r="M3112" s="154" t="str">
        <f t="shared" si="154"/>
        <v>High_Medium_Low_Upgraded_Smog Formation Potential (SFP) - kg O3 eq_Land application of compost; wastewater treatment unit; at updated plant - US_Base_With Amendment_Windrow</v>
      </c>
    </row>
    <row r="3113" spans="1:13" s="120" customFormat="1" x14ac:dyDescent="0.25">
      <c r="A3113" s="119"/>
      <c r="B3113" s="138" t="str">
        <f t="shared" si="152"/>
        <v>Windrow</v>
      </c>
      <c r="C3113" s="138" t="str">
        <f t="shared" si="153"/>
        <v>Base_With Amendment</v>
      </c>
      <c r="D3113" s="118" t="s">
        <v>135</v>
      </c>
      <c r="E3113" s="118" t="s">
        <v>181</v>
      </c>
      <c r="F3113" s="118" t="s">
        <v>46</v>
      </c>
      <c r="G3113" s="153"/>
      <c r="H3113" s="155">
        <v>-7.5999999999999998E-2</v>
      </c>
      <c r="I3113" s="154" t="s">
        <v>149</v>
      </c>
      <c r="J3113" s="203">
        <v>-2.673E-2</v>
      </c>
      <c r="K3113" s="154" t="s">
        <v>25</v>
      </c>
      <c r="L3113" s="154" t="str">
        <f>IF(OpenLCAbasic!K3113="CTUh", "Fill in Manually",IF(OR(K3113="Unit", K3113=""), "", INDEX(LookUps!$E$5:$E$12, MATCH(OpenLCAbasic!K3113,LookUps!$D$5:$D$12,0))))</f>
        <v>Smog Formation Potential (SFP) - kg O3 eq</v>
      </c>
      <c r="M3113" s="154" t="str">
        <f t="shared" si="154"/>
        <v>High_Medium_Low_Upgraded_Smog Formation Potential (SFP) - kg O3 eq_Anaerobic Digestion; wastewater treatment unit; at updated plant - US_Base_With Amendment_Windrow</v>
      </c>
    </row>
    <row r="3114" spans="1:13" s="120" customFormat="1" x14ac:dyDescent="0.25">
      <c r="A3114" s="119"/>
      <c r="B3114" s="138" t="str">
        <f t="shared" si="152"/>
        <v>Windrow</v>
      </c>
      <c r="C3114" s="138" t="str">
        <f t="shared" si="153"/>
        <v>Base_With Amendment</v>
      </c>
      <c r="D3114" s="118" t="s">
        <v>135</v>
      </c>
      <c r="E3114" s="118" t="s">
        <v>181</v>
      </c>
      <c r="F3114" s="118" t="s">
        <v>46</v>
      </c>
      <c r="G3114" s="153" t="s">
        <v>51</v>
      </c>
      <c r="H3114" s="154"/>
      <c r="I3114" s="154" t="s">
        <v>47</v>
      </c>
      <c r="J3114" s="154" t="s">
        <v>52</v>
      </c>
      <c r="K3114" s="154" t="s">
        <v>27</v>
      </c>
      <c r="L3114" s="154" t="str">
        <f>IF(OpenLCAbasic!K3114="CTUh", "Fill in Manually",IF(OR(K3114="Unit", K3114=""), "", INDEX(LookUps!$E$5:$E$12, MATCH(OpenLCAbasic!K3114,LookUps!$D$5:$D$12,0))))</f>
        <v/>
      </c>
      <c r="M3114" s="154" t="str">
        <f t="shared" si="154"/>
        <v>High_Medium_Low_Upgraded__Process_Base_With Amendment_Windrow</v>
      </c>
    </row>
    <row r="3115" spans="1:13" s="120" customFormat="1" x14ac:dyDescent="0.25">
      <c r="A3115" s="119"/>
      <c r="B3115" s="138" t="str">
        <f t="shared" si="152"/>
        <v>Windrow</v>
      </c>
      <c r="C3115" s="138" t="str">
        <f t="shared" si="153"/>
        <v>Base_With Amendment</v>
      </c>
      <c r="D3115" s="118" t="s">
        <v>135</v>
      </c>
      <c r="E3115" s="118" t="s">
        <v>181</v>
      </c>
      <c r="F3115" s="118" t="s">
        <v>46</v>
      </c>
      <c r="G3115" s="153"/>
      <c r="H3115" s="155">
        <v>0.48859999999999998</v>
      </c>
      <c r="I3115" s="154" t="s">
        <v>167</v>
      </c>
      <c r="J3115" s="204">
        <v>2.7999999999999998E-4</v>
      </c>
      <c r="K3115" s="154" t="s">
        <v>26</v>
      </c>
      <c r="L3115" s="154" t="str">
        <f>IF(OpenLCAbasic!K3115="CTUh", "Fill in Manually",IF(OR(K3115="Unit", K3115=""), "", INDEX(LookUps!$E$5:$E$12, MATCH(OpenLCAbasic!K3115,LookUps!$D$5:$D$12,0))))</f>
        <v>Water Use (WU) - m3 H2O</v>
      </c>
      <c r="M3115" s="154" t="str">
        <f t="shared" si="154"/>
        <v>High_Medium_Low_Upgraded_Water Use (WU) - m3 H2O_Waste Receiving and Holding; wastewater treatment unit; at updated plant - US_Base_With Amendment_Windrow</v>
      </c>
    </row>
    <row r="3116" spans="1:13" s="120" customFormat="1" x14ac:dyDescent="0.25">
      <c r="A3116" s="119"/>
      <c r="B3116" s="138" t="str">
        <f t="shared" si="152"/>
        <v>Windrow</v>
      </c>
      <c r="C3116" s="138" t="str">
        <f t="shared" si="153"/>
        <v>Base_With Amendment</v>
      </c>
      <c r="D3116" s="118" t="s">
        <v>135</v>
      </c>
      <c r="E3116" s="118" t="s">
        <v>181</v>
      </c>
      <c r="F3116" s="118" t="s">
        <v>46</v>
      </c>
      <c r="G3116" s="153"/>
      <c r="H3116" s="155">
        <v>0.31890000000000002</v>
      </c>
      <c r="I3116" s="154" t="s">
        <v>147</v>
      </c>
      <c r="J3116" s="204">
        <v>1.8000000000000001E-4</v>
      </c>
      <c r="K3116" s="154" t="s">
        <v>26</v>
      </c>
      <c r="L3116" s="154" t="str">
        <f>IF(OpenLCAbasic!K3116="CTUh", "Fill in Manually",IF(OR(K3116="Unit", K3116=""), "", INDEX(LookUps!$E$5:$E$12, MATCH(OpenLCAbasic!K3116,LookUps!$D$5:$D$12,0))))</f>
        <v>Water Use (WU) - m3 H2O</v>
      </c>
      <c r="M3116" s="154" t="str">
        <f t="shared" si="154"/>
        <v>High_Medium_Low_Upgraded_Water Use (WU) - m3 H2O_Influent Pump Station; wastewater treatment unit; at updated plant - US_Base_With Amendment_Windrow</v>
      </c>
    </row>
    <row r="3117" spans="1:13" s="120" customFormat="1" x14ac:dyDescent="0.25">
      <c r="A3117" s="119"/>
      <c r="B3117" s="138" t="str">
        <f t="shared" si="152"/>
        <v>Windrow</v>
      </c>
      <c r="C3117" s="138" t="str">
        <f t="shared" si="153"/>
        <v>Base_With Amendment</v>
      </c>
      <c r="D3117" s="118" t="s">
        <v>135</v>
      </c>
      <c r="E3117" s="118" t="s">
        <v>181</v>
      </c>
      <c r="F3117" s="118" t="s">
        <v>46</v>
      </c>
      <c r="G3117" s="153"/>
      <c r="H3117" s="155">
        <v>0.31119999999999998</v>
      </c>
      <c r="I3117" s="154" t="s">
        <v>54</v>
      </c>
      <c r="J3117" s="204">
        <v>1.8000000000000001E-4</v>
      </c>
      <c r="K3117" s="154" t="s">
        <v>26</v>
      </c>
      <c r="L3117" s="154" t="str">
        <f>IF(OpenLCAbasic!K3117="CTUh", "Fill in Manually",IF(OR(K3117="Unit", K3117=""), "", INDEX(LookUps!$E$5:$E$12, MATCH(OpenLCAbasic!K3117,LookUps!$D$5:$D$12,0))))</f>
        <v>Water Use (WU) - m3 H2O</v>
      </c>
      <c r="M3117" s="154" t="str">
        <f t="shared" si="154"/>
        <v>High_Medium_Low_Upgraded_Water Use (WU) - m3 H2O_Clear Cove Primary Clarification; wastewater treatment unit; at updated plant - US_Base_With Amendment_Windrow</v>
      </c>
    </row>
    <row r="3118" spans="1:13" s="120" customFormat="1" x14ac:dyDescent="0.25">
      <c r="A3118" s="119"/>
      <c r="B3118" s="138" t="str">
        <f t="shared" si="152"/>
        <v>Windrow</v>
      </c>
      <c r="C3118" s="138" t="str">
        <f t="shared" si="153"/>
        <v>Base_With Amendment</v>
      </c>
      <c r="D3118" s="118" t="s">
        <v>135</v>
      </c>
      <c r="E3118" s="118" t="s">
        <v>181</v>
      </c>
      <c r="F3118" s="118" t="s">
        <v>46</v>
      </c>
      <c r="G3118" s="153"/>
      <c r="H3118" s="155">
        <v>0.2823</v>
      </c>
      <c r="I3118" s="154" t="s">
        <v>55</v>
      </c>
      <c r="J3118" s="204">
        <v>1.6000000000000001E-4</v>
      </c>
      <c r="K3118" s="154" t="s">
        <v>26</v>
      </c>
      <c r="L3118" s="154" t="str">
        <f>IF(OpenLCAbasic!K3118="CTUh", "Fill in Manually",IF(OR(K3118="Unit", K3118=""), "", INDEX(LookUps!$E$5:$E$12, MATCH(OpenLCAbasic!K3118,LookUps!$D$5:$D$12,0))))</f>
        <v>Water Use (WU) - m3 H2O</v>
      </c>
      <c r="M3118" s="154" t="str">
        <f t="shared" si="154"/>
        <v>High_Medium_Low_Upgraded_Water Use (WU) - m3 H2O_Aeration Tanks; wastewater treatment unit; at updated plant - US_Base_With Amendment_Windrow</v>
      </c>
    </row>
    <row r="3119" spans="1:13" s="120" customFormat="1" x14ac:dyDescent="0.25">
      <c r="A3119" s="119"/>
      <c r="B3119" s="138" t="str">
        <f t="shared" si="152"/>
        <v>Windrow</v>
      </c>
      <c r="C3119" s="138" t="str">
        <f t="shared" si="153"/>
        <v>Base_With Amendment</v>
      </c>
      <c r="D3119" s="118" t="s">
        <v>135</v>
      </c>
      <c r="E3119" s="118" t="s">
        <v>181</v>
      </c>
      <c r="F3119" s="118" t="s">
        <v>46</v>
      </c>
      <c r="G3119" s="153"/>
      <c r="H3119" s="155">
        <v>0.2571</v>
      </c>
      <c r="I3119" s="154" t="s">
        <v>148</v>
      </c>
      <c r="J3119" s="204">
        <v>1.4999999999999999E-4</v>
      </c>
      <c r="K3119" s="154" t="s">
        <v>26</v>
      </c>
      <c r="L3119" s="154" t="str">
        <f>IF(OpenLCAbasic!K3119="CTUh", "Fill in Manually",IF(OR(K3119="Unit", K3119=""), "", INDEX(LookUps!$E$5:$E$12, MATCH(OpenLCAbasic!K3119,LookUps!$D$5:$D$12,0))))</f>
        <v>Water Use (WU) - m3 H2O</v>
      </c>
      <c r="M3119" s="154" t="str">
        <f t="shared" si="154"/>
        <v>High_Medium_Low_Upgraded_Water Use (WU) - m3 H2O_Control Building; at upgraded wastewater treatment plant - US_Base_With Amendment_Windrow</v>
      </c>
    </row>
    <row r="3120" spans="1:13" s="120" customFormat="1" x14ac:dyDescent="0.25">
      <c r="A3120" s="119"/>
      <c r="B3120" s="138" t="str">
        <f t="shared" si="152"/>
        <v>Windrow</v>
      </c>
      <c r="C3120" s="138" t="str">
        <f t="shared" si="153"/>
        <v>Base_With Amendment</v>
      </c>
      <c r="D3120" s="118" t="s">
        <v>135</v>
      </c>
      <c r="E3120" s="118" t="s">
        <v>181</v>
      </c>
      <c r="F3120" s="118" t="s">
        <v>46</v>
      </c>
      <c r="G3120" s="153"/>
      <c r="H3120" s="155">
        <v>0.11940000000000001</v>
      </c>
      <c r="I3120" s="154" t="s">
        <v>48</v>
      </c>
      <c r="J3120" s="204">
        <v>6.8836400000000004E-5</v>
      </c>
      <c r="K3120" s="154" t="s">
        <v>26</v>
      </c>
      <c r="L3120" s="154" t="str">
        <f>IF(OpenLCAbasic!K3120="CTUh", "Fill in Manually",IF(OR(K3120="Unit", K3120=""), "", INDEX(LookUps!$E$5:$E$12, MATCH(OpenLCAbasic!K3120,LookUps!$D$5:$D$12,0))))</f>
        <v>Water Use (WU) - m3 H2O</v>
      </c>
      <c r="M3120" s="154" t="str">
        <f t="shared" si="154"/>
        <v>High_Medium_Low_Upgraded_Water Use (WU) - m3 H2O_Effluent release; wastewater treatment unit; at surface water; m3 wastewater - US_Base_With Amendment_Windrow</v>
      </c>
    </row>
    <row r="3121" spans="1:13" s="120" customFormat="1" x14ac:dyDescent="0.25">
      <c r="A3121" s="119"/>
      <c r="B3121" s="138" t="str">
        <f t="shared" si="152"/>
        <v>Windrow</v>
      </c>
      <c r="C3121" s="138" t="str">
        <f t="shared" si="153"/>
        <v>Base_With Amendment</v>
      </c>
      <c r="D3121" s="118" t="s">
        <v>135</v>
      </c>
      <c r="E3121" s="118" t="s">
        <v>181</v>
      </c>
      <c r="F3121" s="118" t="s">
        <v>46</v>
      </c>
      <c r="G3121" s="153"/>
      <c r="H3121" s="155">
        <v>7.4999999999999997E-2</v>
      </c>
      <c r="I3121" s="154" t="s">
        <v>58</v>
      </c>
      <c r="J3121" s="204">
        <v>4.3235300000000003E-5</v>
      </c>
      <c r="K3121" s="154" t="s">
        <v>26</v>
      </c>
      <c r="L3121" s="154" t="str">
        <f>IF(OpenLCAbasic!K3121="CTUh", "Fill in Manually",IF(OR(K3121="Unit", K3121=""), "", INDEX(LookUps!$E$5:$E$12, MATCH(OpenLCAbasic!K3121,LookUps!$D$5:$D$12,0))))</f>
        <v>Water Use (WU) - m3 H2O</v>
      </c>
      <c r="M3121" s="154" t="str">
        <f t="shared" si="154"/>
        <v>High_Medium_Low_Upgraded_Water Use (WU) - m3 H2O_Pre-Anoxic &amp; Swing tank; wastewater treatment unit; at updated plant - US_Base_With Amendment_Windrow</v>
      </c>
    </row>
    <row r="3122" spans="1:13" s="120" customFormat="1" x14ac:dyDescent="0.25">
      <c r="A3122" s="119"/>
      <c r="B3122" s="138" t="str">
        <f t="shared" si="152"/>
        <v>Windrow</v>
      </c>
      <c r="C3122" s="138" t="str">
        <f t="shared" si="153"/>
        <v>Base_With Amendment</v>
      </c>
      <c r="D3122" s="118" t="s">
        <v>135</v>
      </c>
      <c r="E3122" s="118" t="s">
        <v>181</v>
      </c>
      <c r="F3122" s="118" t="s">
        <v>46</v>
      </c>
      <c r="G3122" s="153"/>
      <c r="H3122" s="155">
        <v>5.9299999999999999E-2</v>
      </c>
      <c r="I3122" s="154" t="s">
        <v>60</v>
      </c>
      <c r="J3122" s="204">
        <v>3.4196200000000003E-5</v>
      </c>
      <c r="K3122" s="154" t="s">
        <v>26</v>
      </c>
      <c r="L3122" s="154" t="str">
        <f>IF(OpenLCAbasic!K3122="CTUh", "Fill in Manually",IF(OR(K3122="Unit", K3122=""), "", INDEX(LookUps!$E$5:$E$12, MATCH(OpenLCAbasic!K3122,LookUps!$D$5:$D$12,0))))</f>
        <v>Water Use (WU) - m3 H2O</v>
      </c>
      <c r="M3122" s="154" t="str">
        <f t="shared" si="154"/>
        <v>High_Medium_Low_Upgraded_Water Use (WU) - m3 H2O_Belt filter press; wastewater treatment unit; at updated plant - US_Base_With Amendment_Windrow</v>
      </c>
    </row>
    <row r="3123" spans="1:13" s="120" customFormat="1" x14ac:dyDescent="0.25">
      <c r="A3123" s="119"/>
      <c r="B3123" s="138" t="str">
        <f t="shared" si="152"/>
        <v>Windrow</v>
      </c>
      <c r="C3123" s="138" t="str">
        <f t="shared" si="153"/>
        <v>Base_With Amendment</v>
      </c>
      <c r="D3123" s="118" t="s">
        <v>135</v>
      </c>
      <c r="E3123" s="118" t="s">
        <v>181</v>
      </c>
      <c r="F3123" s="118" t="s">
        <v>46</v>
      </c>
      <c r="G3123" s="153"/>
      <c r="H3123" s="155">
        <v>5.2699999999999997E-2</v>
      </c>
      <c r="I3123" s="154" t="s">
        <v>57</v>
      </c>
      <c r="J3123" s="204">
        <v>3.0408100000000001E-5</v>
      </c>
      <c r="K3123" s="154" t="s">
        <v>26</v>
      </c>
      <c r="L3123" s="154" t="str">
        <f>IF(OpenLCAbasic!K3123="CTUh", "Fill in Manually",IF(OR(K3123="Unit", K3123=""), "", INDEX(LookUps!$E$5:$E$12, MATCH(OpenLCAbasic!K3123,LookUps!$D$5:$D$12,0))))</f>
        <v>Water Use (WU) - m3 H2O</v>
      </c>
      <c r="M3123" s="154" t="str">
        <f t="shared" si="154"/>
        <v>High_Medium_Low_Upgraded_Water Use (WU) - m3 H2O_Gravity Belt Thickener; wastewater treatment unit; at updated plant - US_Base_With Amendment_Windrow</v>
      </c>
    </row>
    <row r="3124" spans="1:13" s="120" customFormat="1" x14ac:dyDescent="0.25">
      <c r="A3124" s="119"/>
      <c r="B3124" s="138" t="str">
        <f t="shared" si="152"/>
        <v>Windrow</v>
      </c>
      <c r="C3124" s="138" t="str">
        <f t="shared" si="153"/>
        <v>Base_With Amendment</v>
      </c>
      <c r="D3124" s="118" t="s">
        <v>135</v>
      </c>
      <c r="E3124" s="118" t="s">
        <v>181</v>
      </c>
      <c r="F3124" s="118" t="s">
        <v>46</v>
      </c>
      <c r="G3124" s="153"/>
      <c r="H3124" s="155">
        <v>4.7500000000000001E-2</v>
      </c>
      <c r="I3124" s="154" t="s">
        <v>149</v>
      </c>
      <c r="J3124" s="204">
        <v>2.7368600000000001E-5</v>
      </c>
      <c r="K3124" s="154" t="s">
        <v>26</v>
      </c>
      <c r="L3124" s="154" t="str">
        <f>IF(OpenLCAbasic!K3124="CTUh", "Fill in Manually",IF(OR(K3124="Unit", K3124=""), "", INDEX(LookUps!$E$5:$E$12, MATCH(OpenLCAbasic!K3124,LookUps!$D$5:$D$12,0))))</f>
        <v>Water Use (WU) - m3 H2O</v>
      </c>
      <c r="M3124" s="154" t="str">
        <f t="shared" si="154"/>
        <v>High_Medium_Low_Upgraded_Water Use (WU) - m3 H2O_Anaerobic Digestion; wastewater treatment unit; at updated plant - US_Base_With Amendment_Windrow</v>
      </c>
    </row>
    <row r="3125" spans="1:13" s="120" customFormat="1" x14ac:dyDescent="0.25">
      <c r="A3125" s="119"/>
      <c r="B3125" s="138" t="str">
        <f t="shared" si="152"/>
        <v>Windrow</v>
      </c>
      <c r="C3125" s="138" t="str">
        <f t="shared" si="153"/>
        <v>Base_With Amendment</v>
      </c>
      <c r="D3125" s="118" t="s">
        <v>135</v>
      </c>
      <c r="E3125" s="118" t="s">
        <v>181</v>
      </c>
      <c r="F3125" s="118" t="s">
        <v>46</v>
      </c>
      <c r="G3125" s="153"/>
      <c r="H3125" s="155">
        <v>3.04E-2</v>
      </c>
      <c r="I3125" s="154" t="s">
        <v>53</v>
      </c>
      <c r="J3125" s="204">
        <v>1.75069E-5</v>
      </c>
      <c r="K3125" s="154" t="s">
        <v>26</v>
      </c>
      <c r="L3125" s="154" t="str">
        <f>IF(OpenLCAbasic!K3125="CTUh", "Fill in Manually",IF(OR(K3125="Unit", K3125=""), "", INDEX(LookUps!$E$5:$E$12, MATCH(OpenLCAbasic!K3125,LookUps!$D$5:$D$12,0))))</f>
        <v>Water Use (WU) - m3 H2O</v>
      </c>
      <c r="M3125" s="154" t="str">
        <f t="shared" si="154"/>
        <v>High_Medium_Low_Upgraded_Water Use (WU) - m3 H2O_Wet Well and Sump Station; wastewater treatment unit; at updated plant - US_Base_With Amendment_Windrow</v>
      </c>
    </row>
    <row r="3126" spans="1:13" s="120" customFormat="1" x14ac:dyDescent="0.25">
      <c r="A3126" s="119"/>
      <c r="B3126" s="138" t="str">
        <f t="shared" si="152"/>
        <v>Windrow</v>
      </c>
      <c r="C3126" s="138" t="str">
        <f t="shared" si="153"/>
        <v>Base_With Amendment</v>
      </c>
      <c r="D3126" s="118" t="s">
        <v>135</v>
      </c>
      <c r="E3126" s="118" t="s">
        <v>181</v>
      </c>
      <c r="F3126" s="118" t="s">
        <v>46</v>
      </c>
      <c r="G3126" s="153"/>
      <c r="H3126" s="155">
        <v>1.2200000000000001E-2</v>
      </c>
      <c r="I3126" s="154" t="s">
        <v>59</v>
      </c>
      <c r="J3126" s="204">
        <v>7.0179500000000003E-6</v>
      </c>
      <c r="K3126" s="154" t="s">
        <v>26</v>
      </c>
      <c r="L3126" s="154" t="str">
        <f>IF(OpenLCAbasic!K3126="CTUh", "Fill in Manually",IF(OR(K3126="Unit", K3126=""), "", INDEX(LookUps!$E$5:$E$12, MATCH(OpenLCAbasic!K3126,LookUps!$D$5:$D$12,0))))</f>
        <v>Water Use (WU) - m3 H2O</v>
      </c>
      <c r="M3126" s="154" t="str">
        <f t="shared" si="154"/>
        <v>High_Medium_Low_Upgraded_Water Use (WU) - m3 H2O_Blend Tank; wastewater treatment unit; at updated plant - US_Base_With Amendment_Windrow</v>
      </c>
    </row>
    <row r="3127" spans="1:13" s="120" customFormat="1" x14ac:dyDescent="0.25">
      <c r="A3127" s="119"/>
      <c r="B3127" s="138" t="str">
        <f t="shared" si="152"/>
        <v>Windrow</v>
      </c>
      <c r="C3127" s="138" t="str">
        <f t="shared" si="153"/>
        <v>Base_With Amendment</v>
      </c>
      <c r="D3127" s="118" t="s">
        <v>135</v>
      </c>
      <c r="E3127" s="118" t="s">
        <v>181</v>
      </c>
      <c r="F3127" s="118" t="s">
        <v>46</v>
      </c>
      <c r="G3127" s="153"/>
      <c r="H3127" s="155">
        <v>8.8000000000000005E-3</v>
      </c>
      <c r="I3127" s="154" t="s">
        <v>128</v>
      </c>
      <c r="J3127" s="204">
        <v>5.0608900000000003E-6</v>
      </c>
      <c r="K3127" s="154" t="s">
        <v>26</v>
      </c>
      <c r="L3127" s="154" t="str">
        <f>IF(OpenLCAbasic!K3127="CTUh", "Fill in Manually",IF(OR(K3127="Unit", K3127=""), "", INDEX(LookUps!$E$5:$E$12, MATCH(OpenLCAbasic!K3127,LookUps!$D$5:$D$12,0))))</f>
        <v>Water Use (WU) - m3 H2O</v>
      </c>
      <c r="M3127" s="154" t="str">
        <f t="shared" si="154"/>
        <v>High_Medium_Low_Upgraded_Water Use (WU) - m3 H2O_Wastewater collection; operation and infrastructure; m3 wastewater_Base_With Amendment_Windrow</v>
      </c>
    </row>
    <row r="3128" spans="1:13" s="120" customFormat="1" x14ac:dyDescent="0.25">
      <c r="A3128" s="119"/>
      <c r="B3128" s="138" t="str">
        <f t="shared" si="152"/>
        <v>Windrow</v>
      </c>
      <c r="C3128" s="138" t="str">
        <f t="shared" si="153"/>
        <v>Base_With Amendment</v>
      </c>
      <c r="D3128" s="118" t="s">
        <v>135</v>
      </c>
      <c r="E3128" s="118" t="s">
        <v>181</v>
      </c>
      <c r="F3128" s="118" t="s">
        <v>46</v>
      </c>
      <c r="G3128" s="153"/>
      <c r="H3128" s="155">
        <v>2.8999999999999998E-3</v>
      </c>
      <c r="I3128" s="154" t="s">
        <v>271</v>
      </c>
      <c r="J3128" s="204">
        <v>1.67133E-6</v>
      </c>
      <c r="K3128" s="154" t="s">
        <v>26</v>
      </c>
      <c r="L3128" s="154" t="str">
        <f>IF(OpenLCAbasic!K3128="CTUh", "Fill in Manually",IF(OR(K3128="Unit", K3128=""), "", INDEX(LookUps!$E$5:$E$12, MATCH(OpenLCAbasic!K3128,LookUps!$D$5:$D$12,0))))</f>
        <v>Water Use (WU) - m3 H2O</v>
      </c>
      <c r="M3128" s="154" t="str">
        <f t="shared" si="154"/>
        <v>High_Medium_Low_Upgraded_Water Use (WU) - m3 H2O_Biosolids composting; windrow composting; wastewater treatment unit; at updated plant - US_Base_With Amendment_Windrow</v>
      </c>
    </row>
    <row r="3129" spans="1:13" s="120" customFormat="1" x14ac:dyDescent="0.25">
      <c r="A3129" s="119"/>
      <c r="B3129" s="138" t="str">
        <f t="shared" si="152"/>
        <v>Windrow</v>
      </c>
      <c r="C3129" s="138" t="str">
        <f t="shared" si="153"/>
        <v>Base_With Amendment</v>
      </c>
      <c r="D3129" s="118" t="s">
        <v>135</v>
      </c>
      <c r="E3129" s="118" t="s">
        <v>181</v>
      </c>
      <c r="F3129" s="118" t="s">
        <v>46</v>
      </c>
      <c r="G3129" s="153"/>
      <c r="H3129" s="155">
        <v>1.2999999999999999E-3</v>
      </c>
      <c r="I3129" s="154" t="s">
        <v>168</v>
      </c>
      <c r="J3129" s="204">
        <v>7.6697000000000004E-7</v>
      </c>
      <c r="K3129" s="154" t="s">
        <v>26</v>
      </c>
      <c r="L3129" s="154" t="str">
        <f>IF(OpenLCAbasic!K3129="CTUh", "Fill in Manually",IF(OR(K3129="Unit", K3129=""), "", INDEX(LookUps!$E$5:$E$12, MATCH(OpenLCAbasic!K3129,LookUps!$D$5:$D$12,0))))</f>
        <v>Water Use (WU) - m3 H2O</v>
      </c>
      <c r="M3129" s="154" t="str">
        <f t="shared" si="154"/>
        <v>High_Medium_Low_Upgraded_Water Use (WU) - m3 H2O_ClearCove SCP; wastewater treatment unit; at updated plant - US_Base_With Amendment_Windrow</v>
      </c>
    </row>
    <row r="3130" spans="1:13" s="120" customFormat="1" x14ac:dyDescent="0.25">
      <c r="A3130" s="213"/>
      <c r="B3130" s="138" t="str">
        <f t="shared" si="152"/>
        <v>Windrow</v>
      </c>
      <c r="C3130" s="138" t="str">
        <f t="shared" si="153"/>
        <v>Base_With Amendment</v>
      </c>
      <c r="D3130" s="118" t="s">
        <v>135</v>
      </c>
      <c r="E3130" s="118" t="s">
        <v>181</v>
      </c>
      <c r="F3130" s="118" t="s">
        <v>46</v>
      </c>
      <c r="G3130" s="153"/>
      <c r="H3130" s="155">
        <v>-3.0676000000000001</v>
      </c>
      <c r="I3130" s="154" t="s">
        <v>62</v>
      </c>
      <c r="J3130" s="204">
        <v>-1.7700000000000001E-3</v>
      </c>
      <c r="K3130" s="154" t="s">
        <v>26</v>
      </c>
      <c r="L3130" s="154" t="str">
        <f>IF(OpenLCAbasic!K3130="CTUh", "Fill in Manually",IF(OR(K3130="Unit", K3130=""), "", INDEX(LookUps!$E$5:$E$12, MATCH(OpenLCAbasic!K3130,LookUps!$D$5:$D$12,0))))</f>
        <v>Water Use (WU) - m3 H2O</v>
      </c>
      <c r="M3130" s="154" t="str">
        <f t="shared" si="154"/>
        <v>High_Medium_Low_Upgraded_Water Use (WU) - m3 H2O_Land application of compost; wastewater treatment unit; at updated plant - US_Base_With Amendment_Windrow</v>
      </c>
    </row>
    <row r="3131" spans="1:13" s="120" customFormat="1" x14ac:dyDescent="0.25">
      <c r="A3131" s="119"/>
      <c r="B3131" s="138" t="str">
        <f t="shared" si="152"/>
        <v>Windrow</v>
      </c>
      <c r="C3131" s="138" t="str">
        <f t="shared" si="153"/>
        <v/>
      </c>
      <c r="D3131" s="138"/>
      <c r="E3131" s="138"/>
      <c r="F3131" s="138" t="s">
        <v>46</v>
      </c>
      <c r="G3131" s="153"/>
      <c r="H3131" s="160"/>
      <c r="I3131" s="160"/>
      <c r="J3131" s="207"/>
      <c r="K3131" s="160"/>
      <c r="L3131" s="154" t="str">
        <f>IF(OpenLCAbasic!K3131="CTUh", "Fill in Manually",IF(OR(K3131="Unit", K3131=""), "", INDEX(LookUps!$E$5:$E$12, MATCH(OpenLCAbasic!K3131,LookUps!$D$5:$D$12,0))))</f>
        <v/>
      </c>
      <c r="M3131" s="154" t="str">
        <f t="shared" si="154"/>
        <v>__Upgraded____Windrow</v>
      </c>
    </row>
    <row r="3132" spans="1:13" s="120" customFormat="1" x14ac:dyDescent="0.25">
      <c r="A3132" s="119"/>
      <c r="B3132" s="138" t="str">
        <f t="shared" si="152"/>
        <v>Windrow</v>
      </c>
      <c r="C3132" s="138" t="str">
        <f t="shared" si="153"/>
        <v>Base_With Amendment</v>
      </c>
      <c r="D3132" s="118" t="s">
        <v>136</v>
      </c>
      <c r="E3132" s="118" t="s">
        <v>181</v>
      </c>
      <c r="F3132" s="118" t="s">
        <v>46</v>
      </c>
      <c r="G3132" s="153" t="s">
        <v>51</v>
      </c>
      <c r="H3132" s="154"/>
      <c r="I3132" s="154" t="s">
        <v>47</v>
      </c>
      <c r="J3132" s="154" t="s">
        <v>52</v>
      </c>
      <c r="K3132" s="154" t="s">
        <v>27</v>
      </c>
      <c r="L3132" s="154" t="str">
        <f>IF(OpenLCAbasic!K3132="CTUh", "Fill in Manually",IF(OR(K3132="Unit", K3132=""), "", INDEX(LookUps!$E$5:$E$12, MATCH(OpenLCAbasic!K3132,LookUps!$D$5:$D$12,0))))</f>
        <v/>
      </c>
      <c r="M3132" s="154" t="str">
        <f t="shared" si="154"/>
        <v>High_Medium_Base_Upgraded__Process_Base_With Amendment_Windrow</v>
      </c>
    </row>
    <row r="3133" spans="1:13" s="120" customFormat="1" x14ac:dyDescent="0.25">
      <c r="A3133" s="119"/>
      <c r="B3133" s="138" t="str">
        <f t="shared" si="152"/>
        <v>Windrow</v>
      </c>
      <c r="C3133" s="138" t="str">
        <f t="shared" si="153"/>
        <v>Base_With Amendment</v>
      </c>
      <c r="D3133" s="118" t="s">
        <v>136</v>
      </c>
      <c r="E3133" s="118" t="s">
        <v>181</v>
      </c>
      <c r="F3133" s="118" t="s">
        <v>46</v>
      </c>
      <c r="G3133" s="153"/>
      <c r="H3133" s="155">
        <v>1.1122000000000001</v>
      </c>
      <c r="I3133" s="154" t="s">
        <v>271</v>
      </c>
      <c r="J3133" s="157">
        <v>2.26417</v>
      </c>
      <c r="K3133" s="154" t="s">
        <v>23</v>
      </c>
      <c r="L3133" s="154" t="str">
        <f>IF(OpenLCAbasic!K3133="CTUh", "Fill in Manually",IF(OR(K3133="Unit", K3133=""), "", INDEX(LookUps!$E$5:$E$12, MATCH(OpenLCAbasic!K3133,LookUps!$D$5:$D$12,0))))</f>
        <v>Global Warming Potential (GWP) - kg CO2 eq</v>
      </c>
      <c r="M3133" s="154" t="str">
        <f t="shared" si="154"/>
        <v>High_Medium_Base_Upgraded_Global Warming Potential (GWP) - kg CO2 eq_Biosolids composting; windrow composting; wastewater treatment unit; at updated plant - US_Base_With Amendment_Windrow</v>
      </c>
    </row>
    <row r="3134" spans="1:13" s="120" customFormat="1" x14ac:dyDescent="0.25">
      <c r="A3134" s="119"/>
      <c r="B3134" s="138" t="str">
        <f t="shared" si="152"/>
        <v>Windrow</v>
      </c>
      <c r="C3134" s="138" t="str">
        <f t="shared" si="153"/>
        <v>Base_With Amendment</v>
      </c>
      <c r="D3134" s="118" t="s">
        <v>136</v>
      </c>
      <c r="E3134" s="118" t="s">
        <v>181</v>
      </c>
      <c r="F3134" s="118" t="s">
        <v>46</v>
      </c>
      <c r="G3134" s="153"/>
      <c r="H3134" s="155">
        <v>0.1207</v>
      </c>
      <c r="I3134" s="154" t="s">
        <v>58</v>
      </c>
      <c r="J3134" s="203">
        <v>0.24568999999999999</v>
      </c>
      <c r="K3134" s="154" t="s">
        <v>23</v>
      </c>
      <c r="L3134" s="154" t="str">
        <f>IF(OpenLCAbasic!K3134="CTUh", "Fill in Manually",IF(OR(K3134="Unit", K3134=""), "", INDEX(LookUps!$E$5:$E$12, MATCH(OpenLCAbasic!K3134,LookUps!$D$5:$D$12,0))))</f>
        <v>Global Warming Potential (GWP) - kg CO2 eq</v>
      </c>
      <c r="M3134" s="154" t="str">
        <f t="shared" si="154"/>
        <v>High_Medium_Base_Upgraded_Global Warming Potential (GWP) - kg CO2 eq_Pre-Anoxic &amp; Swing tank; wastewater treatment unit; at updated plant - US_Base_With Amendment_Windrow</v>
      </c>
    </row>
    <row r="3135" spans="1:13" s="120" customFormat="1" x14ac:dyDescent="0.25">
      <c r="A3135" s="119"/>
      <c r="B3135" s="138" t="str">
        <f t="shared" si="152"/>
        <v>Windrow</v>
      </c>
      <c r="C3135" s="138" t="str">
        <f t="shared" si="153"/>
        <v>Base_With Amendment</v>
      </c>
      <c r="D3135" s="118" t="s">
        <v>136</v>
      </c>
      <c r="E3135" s="118" t="s">
        <v>181</v>
      </c>
      <c r="F3135" s="118" t="s">
        <v>46</v>
      </c>
      <c r="G3135" s="153"/>
      <c r="H3135" s="155">
        <v>8.2600000000000007E-2</v>
      </c>
      <c r="I3135" s="154" t="s">
        <v>55</v>
      </c>
      <c r="J3135" s="203">
        <v>0.16822000000000001</v>
      </c>
      <c r="K3135" s="154" t="s">
        <v>23</v>
      </c>
      <c r="L3135" s="154" t="str">
        <f>IF(OpenLCAbasic!K3135="CTUh", "Fill in Manually",IF(OR(K3135="Unit", K3135=""), "", INDEX(LookUps!$E$5:$E$12, MATCH(OpenLCAbasic!K3135,LookUps!$D$5:$D$12,0))))</f>
        <v>Global Warming Potential (GWP) - kg CO2 eq</v>
      </c>
      <c r="M3135" s="154" t="str">
        <f t="shared" si="154"/>
        <v>High_Medium_Base_Upgraded_Global Warming Potential (GWP) - kg CO2 eq_Aeration Tanks; wastewater treatment unit; at updated plant - US_Base_With Amendment_Windrow</v>
      </c>
    </row>
    <row r="3136" spans="1:13" s="120" customFormat="1" x14ac:dyDescent="0.25">
      <c r="A3136" s="119"/>
      <c r="B3136" s="138" t="str">
        <f t="shared" si="152"/>
        <v>Windrow</v>
      </c>
      <c r="C3136" s="138" t="str">
        <f t="shared" si="153"/>
        <v>Base_With Amendment</v>
      </c>
      <c r="D3136" s="118" t="s">
        <v>136</v>
      </c>
      <c r="E3136" s="118" t="s">
        <v>181</v>
      </c>
      <c r="F3136" s="118" t="s">
        <v>46</v>
      </c>
      <c r="G3136" s="153"/>
      <c r="H3136" s="155">
        <v>6.0699999999999997E-2</v>
      </c>
      <c r="I3136" s="154" t="s">
        <v>167</v>
      </c>
      <c r="J3136" s="203">
        <v>0.12354999999999999</v>
      </c>
      <c r="K3136" s="154" t="s">
        <v>23</v>
      </c>
      <c r="L3136" s="154" t="str">
        <f>IF(OpenLCAbasic!K3136="CTUh", "Fill in Manually",IF(OR(K3136="Unit", K3136=""), "", INDEX(LookUps!$E$5:$E$12, MATCH(OpenLCAbasic!K3136,LookUps!$D$5:$D$12,0))))</f>
        <v>Global Warming Potential (GWP) - kg CO2 eq</v>
      </c>
      <c r="M3136" s="154" t="str">
        <f t="shared" si="154"/>
        <v>High_Medium_Base_Upgraded_Global Warming Potential (GWP) - kg CO2 eq_Waste Receiving and Holding; wastewater treatment unit; at updated plant - US_Base_With Amendment_Windrow</v>
      </c>
    </row>
    <row r="3137" spans="1:13" s="120" customFormat="1" x14ac:dyDescent="0.25">
      <c r="A3137" s="119"/>
      <c r="B3137" s="138" t="str">
        <f t="shared" si="152"/>
        <v>Windrow</v>
      </c>
      <c r="C3137" s="138" t="str">
        <f t="shared" si="153"/>
        <v>Base_With Amendment</v>
      </c>
      <c r="D3137" s="118" t="s">
        <v>136</v>
      </c>
      <c r="E3137" s="118" t="s">
        <v>181</v>
      </c>
      <c r="F3137" s="118" t="s">
        <v>46</v>
      </c>
      <c r="G3137" s="153"/>
      <c r="H3137" s="155">
        <v>2.8000000000000001E-2</v>
      </c>
      <c r="I3137" s="154" t="s">
        <v>54</v>
      </c>
      <c r="J3137" s="203">
        <v>5.7079999999999999E-2</v>
      </c>
      <c r="K3137" s="154" t="s">
        <v>23</v>
      </c>
      <c r="L3137" s="154" t="str">
        <f>IF(OpenLCAbasic!K3137="CTUh", "Fill in Manually",IF(OR(K3137="Unit", K3137=""), "", INDEX(LookUps!$E$5:$E$12, MATCH(OpenLCAbasic!K3137,LookUps!$D$5:$D$12,0))))</f>
        <v>Global Warming Potential (GWP) - kg CO2 eq</v>
      </c>
      <c r="M3137" s="154" t="str">
        <f t="shared" si="154"/>
        <v>High_Medium_Base_Upgraded_Global Warming Potential (GWP) - kg CO2 eq_Clear Cove Primary Clarification; wastewater treatment unit; at updated plant - US_Base_With Amendment_Windrow</v>
      </c>
    </row>
    <row r="3138" spans="1:13" s="120" customFormat="1" x14ac:dyDescent="0.25">
      <c r="A3138" s="119"/>
      <c r="B3138" s="138" t="str">
        <f t="shared" si="152"/>
        <v>Windrow</v>
      </c>
      <c r="C3138" s="138" t="str">
        <f t="shared" si="153"/>
        <v>Base_With Amendment</v>
      </c>
      <c r="D3138" s="118" t="s">
        <v>136</v>
      </c>
      <c r="E3138" s="118" t="s">
        <v>181</v>
      </c>
      <c r="F3138" s="118" t="s">
        <v>46</v>
      </c>
      <c r="G3138" s="153"/>
      <c r="H3138" s="155">
        <v>2.5899999999999999E-2</v>
      </c>
      <c r="I3138" s="154" t="s">
        <v>48</v>
      </c>
      <c r="J3138" s="203">
        <v>5.2639999999999999E-2</v>
      </c>
      <c r="K3138" s="154" t="s">
        <v>23</v>
      </c>
      <c r="L3138" s="154" t="str">
        <f>IF(OpenLCAbasic!K3138="CTUh", "Fill in Manually",IF(OR(K3138="Unit", K3138=""), "", INDEX(LookUps!$E$5:$E$12, MATCH(OpenLCAbasic!K3138,LookUps!$D$5:$D$12,0))))</f>
        <v>Global Warming Potential (GWP) - kg CO2 eq</v>
      </c>
      <c r="M3138" s="154" t="str">
        <f t="shared" si="154"/>
        <v>High_Medium_Base_Upgraded_Global Warming Potential (GWP) - kg CO2 eq_Effluent release; wastewater treatment unit; at surface water; m3 wastewater - US_Base_With Amendment_Windrow</v>
      </c>
    </row>
    <row r="3139" spans="1:13" s="120" customFormat="1" x14ac:dyDescent="0.25">
      <c r="A3139" s="119"/>
      <c r="B3139" s="138" t="str">
        <f t="shared" si="152"/>
        <v>Windrow</v>
      </c>
      <c r="C3139" s="138" t="str">
        <f t="shared" si="153"/>
        <v>Base_With Amendment</v>
      </c>
      <c r="D3139" s="118" t="s">
        <v>136</v>
      </c>
      <c r="E3139" s="118" t="s">
        <v>181</v>
      </c>
      <c r="F3139" s="118" t="s">
        <v>46</v>
      </c>
      <c r="G3139" s="153"/>
      <c r="H3139" s="155">
        <v>2.4799999999999999E-2</v>
      </c>
      <c r="I3139" s="154" t="s">
        <v>147</v>
      </c>
      <c r="J3139" s="203">
        <v>5.0500000000000003E-2</v>
      </c>
      <c r="K3139" s="154" t="s">
        <v>23</v>
      </c>
      <c r="L3139" s="154" t="str">
        <f>IF(OpenLCAbasic!K3139="CTUh", "Fill in Manually",IF(OR(K3139="Unit", K3139=""), "", INDEX(LookUps!$E$5:$E$12, MATCH(OpenLCAbasic!K3139,LookUps!$D$5:$D$12,0))))</f>
        <v>Global Warming Potential (GWP) - kg CO2 eq</v>
      </c>
      <c r="M3139" s="154" t="str">
        <f t="shared" si="154"/>
        <v>High_Medium_Base_Upgraded_Global Warming Potential (GWP) - kg CO2 eq_Influent Pump Station; wastewater treatment unit; at updated plant - US_Base_With Amendment_Windrow</v>
      </c>
    </row>
    <row r="3140" spans="1:13" s="120" customFormat="1" x14ac:dyDescent="0.25">
      <c r="A3140" s="119"/>
      <c r="B3140" s="138" t="str">
        <f t="shared" si="152"/>
        <v>Windrow</v>
      </c>
      <c r="C3140" s="138" t="str">
        <f t="shared" si="153"/>
        <v>Base_With Amendment</v>
      </c>
      <c r="D3140" s="118" t="s">
        <v>136</v>
      </c>
      <c r="E3140" s="118" t="s">
        <v>181</v>
      </c>
      <c r="F3140" s="118" t="s">
        <v>46</v>
      </c>
      <c r="G3140" s="153"/>
      <c r="H3140" s="155">
        <v>1.6299999999999999E-2</v>
      </c>
      <c r="I3140" s="154" t="s">
        <v>53</v>
      </c>
      <c r="J3140" s="203">
        <v>3.3259999999999998E-2</v>
      </c>
      <c r="K3140" s="154" t="s">
        <v>23</v>
      </c>
      <c r="L3140" s="154" t="str">
        <f>IF(OpenLCAbasic!K3140="CTUh", "Fill in Manually",IF(OR(K3140="Unit", K3140=""), "", INDEX(LookUps!$E$5:$E$12, MATCH(OpenLCAbasic!K3140,LookUps!$D$5:$D$12,0))))</f>
        <v>Global Warming Potential (GWP) - kg CO2 eq</v>
      </c>
      <c r="M3140" s="154" t="str">
        <f t="shared" si="154"/>
        <v>High_Medium_Base_Upgraded_Global Warming Potential (GWP) - kg CO2 eq_Wet Well and Sump Station; wastewater treatment unit; at updated plant - US_Base_With Amendment_Windrow</v>
      </c>
    </row>
    <row r="3141" spans="1:13" s="120" customFormat="1" x14ac:dyDescent="0.25">
      <c r="A3141" s="119"/>
      <c r="B3141" s="138" t="str">
        <f t="shared" si="152"/>
        <v>Windrow</v>
      </c>
      <c r="C3141" s="138" t="str">
        <f t="shared" si="153"/>
        <v>Base_With Amendment</v>
      </c>
      <c r="D3141" s="118" t="s">
        <v>136</v>
      </c>
      <c r="E3141" s="118" t="s">
        <v>181</v>
      </c>
      <c r="F3141" s="118" t="s">
        <v>46</v>
      </c>
      <c r="G3141" s="153"/>
      <c r="H3141" s="155">
        <v>8.6999999999999994E-3</v>
      </c>
      <c r="I3141" s="154" t="s">
        <v>60</v>
      </c>
      <c r="J3141" s="203">
        <v>1.7639999999999999E-2</v>
      </c>
      <c r="K3141" s="154" t="s">
        <v>23</v>
      </c>
      <c r="L3141" s="154" t="str">
        <f>IF(OpenLCAbasic!K3141="CTUh", "Fill in Manually",IF(OR(K3141="Unit", K3141=""), "", INDEX(LookUps!$E$5:$E$12, MATCH(OpenLCAbasic!K3141,LookUps!$D$5:$D$12,0))))</f>
        <v>Global Warming Potential (GWP) - kg CO2 eq</v>
      </c>
      <c r="M3141" s="154" t="str">
        <f t="shared" si="154"/>
        <v>High_Medium_Base_Upgraded_Global Warming Potential (GWP) - kg CO2 eq_Belt filter press; wastewater treatment unit; at updated plant - US_Base_With Amendment_Windrow</v>
      </c>
    </row>
    <row r="3142" spans="1:13" s="120" customFormat="1" x14ac:dyDescent="0.25">
      <c r="A3142" s="119"/>
      <c r="B3142" s="138" t="str">
        <f t="shared" ref="B3142:B3205" si="155">IF(F3142="Legacy","n.a.",IF(F3142="","","Windrow"))</f>
        <v>Windrow</v>
      </c>
      <c r="C3142" s="138" t="str">
        <f t="shared" si="153"/>
        <v>Base_With Amendment</v>
      </c>
      <c r="D3142" s="118" t="s">
        <v>136</v>
      </c>
      <c r="E3142" s="118" t="s">
        <v>181</v>
      </c>
      <c r="F3142" s="118" t="s">
        <v>46</v>
      </c>
      <c r="G3142" s="153"/>
      <c r="H3142" s="155">
        <v>7.1000000000000004E-3</v>
      </c>
      <c r="I3142" s="154" t="s">
        <v>57</v>
      </c>
      <c r="J3142" s="203">
        <v>1.455E-2</v>
      </c>
      <c r="K3142" s="154" t="s">
        <v>23</v>
      </c>
      <c r="L3142" s="154" t="str">
        <f>IF(OpenLCAbasic!K3142="CTUh", "Fill in Manually",IF(OR(K3142="Unit", K3142=""), "", INDEX(LookUps!$E$5:$E$12, MATCH(OpenLCAbasic!K3142,LookUps!$D$5:$D$12,0))))</f>
        <v>Global Warming Potential (GWP) - kg CO2 eq</v>
      </c>
      <c r="M3142" s="154" t="str">
        <f t="shared" si="154"/>
        <v>High_Medium_Base_Upgraded_Global Warming Potential (GWP) - kg CO2 eq_Gravity Belt Thickener; wastewater treatment unit; at updated plant - US_Base_With Amendment_Windrow</v>
      </c>
    </row>
    <row r="3143" spans="1:13" s="120" customFormat="1" x14ac:dyDescent="0.25">
      <c r="A3143" s="119"/>
      <c r="B3143" s="138" t="str">
        <f t="shared" si="155"/>
        <v>Windrow</v>
      </c>
      <c r="C3143" s="138" t="str">
        <f t="shared" ref="C3143:C3206" si="156">IF(E3143&lt;&gt;"", "Base_With Amendment","")</f>
        <v>Base_With Amendment</v>
      </c>
      <c r="D3143" s="118" t="s">
        <v>136</v>
      </c>
      <c r="E3143" s="118" t="s">
        <v>181</v>
      </c>
      <c r="F3143" s="118" t="s">
        <v>46</v>
      </c>
      <c r="G3143" s="153"/>
      <c r="H3143" s="155">
        <v>6.6E-3</v>
      </c>
      <c r="I3143" s="154" t="s">
        <v>128</v>
      </c>
      <c r="J3143" s="204">
        <v>1.3509999999999999E-2</v>
      </c>
      <c r="K3143" s="154" t="s">
        <v>23</v>
      </c>
      <c r="L3143" s="154" t="str">
        <f>IF(OpenLCAbasic!K3143="CTUh", "Fill in Manually",IF(OR(K3143="Unit", K3143=""), "", INDEX(LookUps!$E$5:$E$12, MATCH(OpenLCAbasic!K3143,LookUps!$D$5:$D$12,0))))</f>
        <v>Global Warming Potential (GWP) - kg CO2 eq</v>
      </c>
      <c r="M3143" s="154" t="str">
        <f t="shared" ref="M3143:M3206" si="157">CONCATENATE(E3143,"_",D3143,"_",F3143,"_",L3143, "_",I3143,"_", C3143,"_", B3143)</f>
        <v>High_Medium_Base_Upgraded_Global Warming Potential (GWP) - kg CO2 eq_Wastewater collection; operation and infrastructure; m3 wastewater_Base_With Amendment_Windrow</v>
      </c>
    </row>
    <row r="3144" spans="1:13" s="120" customFormat="1" x14ac:dyDescent="0.25">
      <c r="A3144" s="119"/>
      <c r="B3144" s="138" t="str">
        <f t="shared" si="155"/>
        <v>Windrow</v>
      </c>
      <c r="C3144" s="138" t="str">
        <f t="shared" si="156"/>
        <v>Base_With Amendment</v>
      </c>
      <c r="D3144" s="118" t="s">
        <v>136</v>
      </c>
      <c r="E3144" s="118" t="s">
        <v>181</v>
      </c>
      <c r="F3144" s="118" t="s">
        <v>46</v>
      </c>
      <c r="G3144" s="153"/>
      <c r="H3144" s="155">
        <v>4.1000000000000003E-3</v>
      </c>
      <c r="I3144" s="154" t="s">
        <v>148</v>
      </c>
      <c r="J3144" s="204">
        <v>8.3000000000000001E-3</v>
      </c>
      <c r="K3144" s="154" t="s">
        <v>23</v>
      </c>
      <c r="L3144" s="154" t="str">
        <f>IF(OpenLCAbasic!K3144="CTUh", "Fill in Manually",IF(OR(K3144="Unit", K3144=""), "", INDEX(LookUps!$E$5:$E$12, MATCH(OpenLCAbasic!K3144,LookUps!$D$5:$D$12,0))))</f>
        <v>Global Warming Potential (GWP) - kg CO2 eq</v>
      </c>
      <c r="M3144" s="154" t="str">
        <f t="shared" si="157"/>
        <v>High_Medium_Base_Upgraded_Global Warming Potential (GWP) - kg CO2 eq_Control Building; at upgraded wastewater treatment plant - US_Base_With Amendment_Windrow</v>
      </c>
    </row>
    <row r="3145" spans="1:13" s="120" customFormat="1" x14ac:dyDescent="0.25">
      <c r="A3145" s="119"/>
      <c r="B3145" s="138" t="str">
        <f t="shared" si="155"/>
        <v>Windrow</v>
      </c>
      <c r="C3145" s="138" t="str">
        <f t="shared" si="156"/>
        <v>Base_With Amendment</v>
      </c>
      <c r="D3145" s="118" t="s">
        <v>136</v>
      </c>
      <c r="E3145" s="118" t="s">
        <v>181</v>
      </c>
      <c r="F3145" s="118" t="s">
        <v>46</v>
      </c>
      <c r="G3145" s="153"/>
      <c r="H3145" s="155">
        <v>2.5000000000000001E-3</v>
      </c>
      <c r="I3145" s="154" t="s">
        <v>59</v>
      </c>
      <c r="J3145" s="204">
        <v>5.0400000000000002E-3</v>
      </c>
      <c r="K3145" s="154" t="s">
        <v>23</v>
      </c>
      <c r="L3145" s="154" t="str">
        <f>IF(OpenLCAbasic!K3145="CTUh", "Fill in Manually",IF(OR(K3145="Unit", K3145=""), "", INDEX(LookUps!$E$5:$E$12, MATCH(OpenLCAbasic!K3145,LookUps!$D$5:$D$12,0))))</f>
        <v>Global Warming Potential (GWP) - kg CO2 eq</v>
      </c>
      <c r="M3145" s="154" t="str">
        <f t="shared" si="157"/>
        <v>High_Medium_Base_Upgraded_Global Warming Potential (GWP) - kg CO2 eq_Blend Tank; wastewater treatment unit; at updated plant - US_Base_With Amendment_Windrow</v>
      </c>
    </row>
    <row r="3146" spans="1:13" s="120" customFormat="1" x14ac:dyDescent="0.25">
      <c r="A3146" s="119"/>
      <c r="B3146" s="138" t="str">
        <f t="shared" si="155"/>
        <v>Windrow</v>
      </c>
      <c r="C3146" s="138" t="str">
        <f t="shared" si="156"/>
        <v>Base_With Amendment</v>
      </c>
      <c r="D3146" s="118" t="s">
        <v>136</v>
      </c>
      <c r="E3146" s="118" t="s">
        <v>181</v>
      </c>
      <c r="F3146" s="118" t="s">
        <v>46</v>
      </c>
      <c r="G3146" s="153"/>
      <c r="H3146" s="155">
        <v>1.1999999999999999E-3</v>
      </c>
      <c r="I3146" s="154" t="s">
        <v>168</v>
      </c>
      <c r="J3146" s="204">
        <v>2.4099999999999998E-3</v>
      </c>
      <c r="K3146" s="154" t="s">
        <v>23</v>
      </c>
      <c r="L3146" s="154" t="str">
        <f>IF(OpenLCAbasic!K3146="CTUh", "Fill in Manually",IF(OR(K3146="Unit", K3146=""), "", INDEX(LookUps!$E$5:$E$12, MATCH(OpenLCAbasic!K3146,LookUps!$D$5:$D$12,0))))</f>
        <v>Global Warming Potential (GWP) - kg CO2 eq</v>
      </c>
      <c r="M3146" s="154" t="str">
        <f t="shared" si="157"/>
        <v>High_Medium_Base_Upgraded_Global Warming Potential (GWP) - kg CO2 eq_ClearCove SCP; wastewater treatment unit; at updated plant - US_Base_With Amendment_Windrow</v>
      </c>
    </row>
    <row r="3147" spans="1:13" s="120" customFormat="1" x14ac:dyDescent="0.25">
      <c r="A3147" s="119"/>
      <c r="B3147" s="138" t="str">
        <f t="shared" si="155"/>
        <v>Windrow</v>
      </c>
      <c r="C3147" s="138" t="str">
        <f t="shared" si="156"/>
        <v>Base_With Amendment</v>
      </c>
      <c r="D3147" s="118" t="s">
        <v>136</v>
      </c>
      <c r="E3147" s="118" t="s">
        <v>181</v>
      </c>
      <c r="F3147" s="118" t="s">
        <v>46</v>
      </c>
      <c r="G3147" s="153"/>
      <c r="H3147" s="155">
        <v>-0.1817</v>
      </c>
      <c r="I3147" s="154" t="s">
        <v>149</v>
      </c>
      <c r="J3147" s="203">
        <v>-0.36997999999999998</v>
      </c>
      <c r="K3147" s="154" t="s">
        <v>23</v>
      </c>
      <c r="L3147" s="154" t="str">
        <f>IF(OpenLCAbasic!K3147="CTUh", "Fill in Manually",IF(OR(K3147="Unit", K3147=""), "", INDEX(LookUps!$E$5:$E$12, MATCH(OpenLCAbasic!K3147,LookUps!$D$5:$D$12,0))))</f>
        <v>Global Warming Potential (GWP) - kg CO2 eq</v>
      </c>
      <c r="M3147" s="154" t="str">
        <f t="shared" si="157"/>
        <v>High_Medium_Base_Upgraded_Global Warming Potential (GWP) - kg CO2 eq_Anaerobic Digestion; wastewater treatment unit; at updated plant - US_Base_With Amendment_Windrow</v>
      </c>
    </row>
    <row r="3148" spans="1:13" s="120" customFormat="1" x14ac:dyDescent="0.25">
      <c r="A3148" s="119"/>
      <c r="B3148" s="138" t="str">
        <f t="shared" si="155"/>
        <v>Windrow</v>
      </c>
      <c r="C3148" s="138" t="str">
        <f t="shared" si="156"/>
        <v>Base_With Amendment</v>
      </c>
      <c r="D3148" s="118" t="s">
        <v>136</v>
      </c>
      <c r="E3148" s="118" t="s">
        <v>181</v>
      </c>
      <c r="F3148" s="118" t="s">
        <v>46</v>
      </c>
      <c r="G3148" s="153"/>
      <c r="H3148" s="155">
        <v>-0.31969999999999998</v>
      </c>
      <c r="I3148" s="154" t="s">
        <v>62</v>
      </c>
      <c r="J3148" s="203">
        <v>-0.65086999999999995</v>
      </c>
      <c r="K3148" s="154" t="s">
        <v>23</v>
      </c>
      <c r="L3148" s="154" t="str">
        <f>IF(OpenLCAbasic!K3148="CTUh", "Fill in Manually",IF(OR(K3148="Unit", K3148=""), "", INDEX(LookUps!$E$5:$E$12, MATCH(OpenLCAbasic!K3148,LookUps!$D$5:$D$12,0))))</f>
        <v>Global Warming Potential (GWP) - kg CO2 eq</v>
      </c>
      <c r="M3148" s="154" t="str">
        <f t="shared" si="157"/>
        <v>High_Medium_Base_Upgraded_Global Warming Potential (GWP) - kg CO2 eq_Land application of compost; wastewater treatment unit; at updated plant - US_Base_With Amendment_Windrow</v>
      </c>
    </row>
    <row r="3149" spans="1:13" s="120" customFormat="1" x14ac:dyDescent="0.25">
      <c r="A3149" s="119"/>
      <c r="B3149" s="138" t="str">
        <f t="shared" si="155"/>
        <v>Windrow</v>
      </c>
      <c r="C3149" s="138" t="str">
        <f t="shared" si="156"/>
        <v>Base_With Amendment</v>
      </c>
      <c r="D3149" s="118" t="s">
        <v>136</v>
      </c>
      <c r="E3149" s="118" t="s">
        <v>181</v>
      </c>
      <c r="F3149" s="118" t="s">
        <v>46</v>
      </c>
      <c r="G3149" s="153" t="s">
        <v>51</v>
      </c>
      <c r="H3149" s="154"/>
      <c r="I3149" s="154" t="s">
        <v>47</v>
      </c>
      <c r="J3149" s="154" t="s">
        <v>52</v>
      </c>
      <c r="K3149" s="154" t="s">
        <v>27</v>
      </c>
      <c r="L3149" s="154" t="str">
        <f>IF(OpenLCAbasic!K3149="CTUh", "Fill in Manually",IF(OR(K3149="Unit", K3149=""), "", INDEX(LookUps!$E$5:$E$12, MATCH(OpenLCAbasic!K3149,LookUps!$D$5:$D$12,0))))</f>
        <v/>
      </c>
      <c r="M3149" s="154" t="str">
        <f t="shared" si="157"/>
        <v>High_Medium_Base_Upgraded__Process_Base_With Amendment_Windrow</v>
      </c>
    </row>
    <row r="3150" spans="1:13" s="120" customFormat="1" x14ac:dyDescent="0.25">
      <c r="A3150" s="119"/>
      <c r="B3150" s="138" t="str">
        <f t="shared" si="155"/>
        <v>Windrow</v>
      </c>
      <c r="C3150" s="138" t="str">
        <f t="shared" si="156"/>
        <v>Base_With Amendment</v>
      </c>
      <c r="D3150" s="118" t="s">
        <v>136</v>
      </c>
      <c r="E3150" s="118" t="s">
        <v>181</v>
      </c>
      <c r="F3150" s="118" t="s">
        <v>46</v>
      </c>
      <c r="G3150" s="153"/>
      <c r="H3150" s="155">
        <v>0.71160000000000001</v>
      </c>
      <c r="I3150" s="154" t="s">
        <v>48</v>
      </c>
      <c r="J3150" s="203">
        <v>1.1610000000000001E-2</v>
      </c>
      <c r="K3150" s="154" t="s">
        <v>13</v>
      </c>
      <c r="L3150" s="154" t="str">
        <f>IF(OpenLCAbasic!K3150="CTUh", "Fill in Manually",IF(OR(K3150="Unit", K3150=""), "", INDEX(LookUps!$E$5:$E$12, MATCH(OpenLCAbasic!K3150,LookUps!$D$5:$D$12,0))))</f>
        <v>Eutrophication Potential (EP) - kg N eq</v>
      </c>
      <c r="M3150" s="154" t="str">
        <f t="shared" si="157"/>
        <v>High_Medium_Base_Upgraded_Eutrophication Potential (EP) - kg N eq_Effluent release; wastewater treatment unit; at surface water; m3 wastewater - US_Base_With Amendment_Windrow</v>
      </c>
    </row>
    <row r="3151" spans="1:13" s="120" customFormat="1" x14ac:dyDescent="0.25">
      <c r="A3151" s="119"/>
      <c r="B3151" s="138" t="str">
        <f t="shared" si="155"/>
        <v>Windrow</v>
      </c>
      <c r="C3151" s="138" t="str">
        <f t="shared" si="156"/>
        <v>Base_With Amendment</v>
      </c>
      <c r="D3151" s="118" t="s">
        <v>136</v>
      </c>
      <c r="E3151" s="118" t="s">
        <v>181</v>
      </c>
      <c r="F3151" s="118" t="s">
        <v>46</v>
      </c>
      <c r="G3151" s="153"/>
      <c r="H3151" s="155">
        <v>0.16689999999999999</v>
      </c>
      <c r="I3151" s="154" t="s">
        <v>62</v>
      </c>
      <c r="J3151" s="204">
        <v>2.7200000000000002E-3</v>
      </c>
      <c r="K3151" s="154" t="s">
        <v>13</v>
      </c>
      <c r="L3151" s="154" t="str">
        <f>IF(OpenLCAbasic!K3151="CTUh", "Fill in Manually",IF(OR(K3151="Unit", K3151=""), "", INDEX(LookUps!$E$5:$E$12, MATCH(OpenLCAbasic!K3151,LookUps!$D$5:$D$12,0))))</f>
        <v>Eutrophication Potential (EP) - kg N eq</v>
      </c>
      <c r="M3151" s="154" t="str">
        <f t="shared" si="157"/>
        <v>High_Medium_Base_Upgraded_Eutrophication Potential (EP) - kg N eq_Land application of compost; wastewater treatment unit; at updated plant - US_Base_With Amendment_Windrow</v>
      </c>
    </row>
    <row r="3152" spans="1:13" s="120" customFormat="1" x14ac:dyDescent="0.25">
      <c r="A3152" s="119"/>
      <c r="B3152" s="138" t="str">
        <f t="shared" si="155"/>
        <v>Windrow</v>
      </c>
      <c r="C3152" s="138" t="str">
        <f t="shared" si="156"/>
        <v>Base_With Amendment</v>
      </c>
      <c r="D3152" s="118" t="s">
        <v>136</v>
      </c>
      <c r="E3152" s="118" t="s">
        <v>181</v>
      </c>
      <c r="F3152" s="118" t="s">
        <v>46</v>
      </c>
      <c r="G3152" s="153"/>
      <c r="H3152" s="155">
        <v>5.79E-2</v>
      </c>
      <c r="I3152" s="154" t="s">
        <v>271</v>
      </c>
      <c r="J3152" s="204">
        <v>9.3999999999999997E-4</v>
      </c>
      <c r="K3152" s="154" t="s">
        <v>13</v>
      </c>
      <c r="L3152" s="154" t="str">
        <f>IF(OpenLCAbasic!K3152="CTUh", "Fill in Manually",IF(OR(K3152="Unit", K3152=""), "", INDEX(LookUps!$E$5:$E$12, MATCH(OpenLCAbasic!K3152,LookUps!$D$5:$D$12,0))))</f>
        <v>Eutrophication Potential (EP) - kg N eq</v>
      </c>
      <c r="M3152" s="154" t="str">
        <f t="shared" si="157"/>
        <v>High_Medium_Base_Upgraded_Eutrophication Potential (EP) - kg N eq_Biosolids composting; windrow composting; wastewater treatment unit; at updated plant - US_Base_With Amendment_Windrow</v>
      </c>
    </row>
    <row r="3153" spans="1:13" s="120" customFormat="1" x14ac:dyDescent="0.25">
      <c r="A3153" s="119"/>
      <c r="B3153" s="138" t="str">
        <f t="shared" si="155"/>
        <v>Windrow</v>
      </c>
      <c r="C3153" s="138" t="str">
        <f t="shared" si="156"/>
        <v>Base_With Amendment</v>
      </c>
      <c r="D3153" s="118" t="s">
        <v>136</v>
      </c>
      <c r="E3153" s="118" t="s">
        <v>181</v>
      </c>
      <c r="F3153" s="118" t="s">
        <v>46</v>
      </c>
      <c r="G3153" s="153"/>
      <c r="H3153" s="155">
        <v>3.3500000000000002E-2</v>
      </c>
      <c r="I3153" s="154" t="s">
        <v>55</v>
      </c>
      <c r="J3153" s="204">
        <v>5.5000000000000003E-4</v>
      </c>
      <c r="K3153" s="154" t="s">
        <v>13</v>
      </c>
      <c r="L3153" s="154" t="str">
        <f>IF(OpenLCAbasic!K3153="CTUh", "Fill in Manually",IF(OR(K3153="Unit", K3153=""), "", INDEX(LookUps!$E$5:$E$12, MATCH(OpenLCAbasic!K3153,LookUps!$D$5:$D$12,0))))</f>
        <v>Eutrophication Potential (EP) - kg N eq</v>
      </c>
      <c r="M3153" s="154" t="str">
        <f t="shared" si="157"/>
        <v>High_Medium_Base_Upgraded_Eutrophication Potential (EP) - kg N eq_Aeration Tanks; wastewater treatment unit; at updated plant - US_Base_With Amendment_Windrow</v>
      </c>
    </row>
    <row r="3154" spans="1:13" s="120" customFormat="1" x14ac:dyDescent="0.25">
      <c r="A3154" s="119"/>
      <c r="B3154" s="138" t="str">
        <f t="shared" si="155"/>
        <v>Windrow</v>
      </c>
      <c r="C3154" s="138" t="str">
        <f t="shared" si="156"/>
        <v>Base_With Amendment</v>
      </c>
      <c r="D3154" s="118" t="s">
        <v>136</v>
      </c>
      <c r="E3154" s="118" t="s">
        <v>181</v>
      </c>
      <c r="F3154" s="118" t="s">
        <v>46</v>
      </c>
      <c r="G3154" s="153"/>
      <c r="H3154" s="155">
        <v>1.5299999999999999E-2</v>
      </c>
      <c r="I3154" s="154" t="s">
        <v>147</v>
      </c>
      <c r="J3154" s="204">
        <v>2.5000000000000001E-4</v>
      </c>
      <c r="K3154" s="154" t="s">
        <v>13</v>
      </c>
      <c r="L3154" s="154" t="str">
        <f>IF(OpenLCAbasic!K3154="CTUh", "Fill in Manually",IF(OR(K3154="Unit", K3154=""), "", INDEX(LookUps!$E$5:$E$12, MATCH(OpenLCAbasic!K3154,LookUps!$D$5:$D$12,0))))</f>
        <v>Eutrophication Potential (EP) - kg N eq</v>
      </c>
      <c r="M3154" s="154" t="str">
        <f t="shared" si="157"/>
        <v>High_Medium_Base_Upgraded_Eutrophication Potential (EP) - kg N eq_Influent Pump Station; wastewater treatment unit; at updated plant - US_Base_With Amendment_Windrow</v>
      </c>
    </row>
    <row r="3155" spans="1:13" s="120" customFormat="1" x14ac:dyDescent="0.25">
      <c r="A3155" s="119"/>
      <c r="B3155" s="138" t="str">
        <f t="shared" si="155"/>
        <v>Windrow</v>
      </c>
      <c r="C3155" s="138" t="str">
        <f t="shared" si="156"/>
        <v>Base_With Amendment</v>
      </c>
      <c r="D3155" s="118" t="s">
        <v>136</v>
      </c>
      <c r="E3155" s="118" t="s">
        <v>181</v>
      </c>
      <c r="F3155" s="118" t="s">
        <v>46</v>
      </c>
      <c r="G3155" s="153"/>
      <c r="H3155" s="155">
        <v>1.21E-2</v>
      </c>
      <c r="I3155" s="154" t="s">
        <v>54</v>
      </c>
      <c r="J3155" s="204">
        <v>2.0000000000000001E-4</v>
      </c>
      <c r="K3155" s="154" t="s">
        <v>13</v>
      </c>
      <c r="L3155" s="154" t="str">
        <f>IF(OpenLCAbasic!K3155="CTUh", "Fill in Manually",IF(OR(K3155="Unit", K3155=""), "", INDEX(LookUps!$E$5:$E$12, MATCH(OpenLCAbasic!K3155,LookUps!$D$5:$D$12,0))))</f>
        <v>Eutrophication Potential (EP) - kg N eq</v>
      </c>
      <c r="M3155" s="154" t="str">
        <f t="shared" si="157"/>
        <v>High_Medium_Base_Upgraded_Eutrophication Potential (EP) - kg N eq_Clear Cove Primary Clarification; wastewater treatment unit; at updated plant - US_Base_With Amendment_Windrow</v>
      </c>
    </row>
    <row r="3156" spans="1:13" s="120" customFormat="1" x14ac:dyDescent="0.25">
      <c r="A3156" s="119"/>
      <c r="B3156" s="138" t="str">
        <f t="shared" si="155"/>
        <v>Windrow</v>
      </c>
      <c r="C3156" s="138" t="str">
        <f t="shared" si="156"/>
        <v>Base_With Amendment</v>
      </c>
      <c r="D3156" s="118" t="s">
        <v>136</v>
      </c>
      <c r="E3156" s="118" t="s">
        <v>181</v>
      </c>
      <c r="F3156" s="118" t="s">
        <v>46</v>
      </c>
      <c r="G3156" s="153"/>
      <c r="H3156" s="155">
        <v>1.17E-2</v>
      </c>
      <c r="I3156" s="154" t="s">
        <v>167</v>
      </c>
      <c r="J3156" s="204">
        <v>1.9000000000000001E-4</v>
      </c>
      <c r="K3156" s="154" t="s">
        <v>13</v>
      </c>
      <c r="L3156" s="154" t="str">
        <f>IF(OpenLCAbasic!K3156="CTUh", "Fill in Manually",IF(OR(K3156="Unit", K3156=""), "", INDEX(LookUps!$E$5:$E$12, MATCH(OpenLCAbasic!K3156,LookUps!$D$5:$D$12,0))))</f>
        <v>Eutrophication Potential (EP) - kg N eq</v>
      </c>
      <c r="M3156" s="154" t="str">
        <f t="shared" si="157"/>
        <v>High_Medium_Base_Upgraded_Eutrophication Potential (EP) - kg N eq_Waste Receiving and Holding; wastewater treatment unit; at updated plant - US_Base_With Amendment_Windrow</v>
      </c>
    </row>
    <row r="3157" spans="1:13" s="120" customFormat="1" x14ac:dyDescent="0.25">
      <c r="A3157" s="119"/>
      <c r="B3157" s="138" t="str">
        <f t="shared" si="155"/>
        <v>Windrow</v>
      </c>
      <c r="C3157" s="138" t="str">
        <f t="shared" si="156"/>
        <v>Base_With Amendment</v>
      </c>
      <c r="D3157" s="118" t="s">
        <v>136</v>
      </c>
      <c r="E3157" s="118" t="s">
        <v>181</v>
      </c>
      <c r="F3157" s="118" t="s">
        <v>46</v>
      </c>
      <c r="G3157" s="153"/>
      <c r="H3157" s="155">
        <v>8.3000000000000001E-3</v>
      </c>
      <c r="I3157" s="154" t="s">
        <v>58</v>
      </c>
      <c r="J3157" s="204">
        <v>1.3999999999999999E-4</v>
      </c>
      <c r="K3157" s="154" t="s">
        <v>13</v>
      </c>
      <c r="L3157" s="154" t="str">
        <f>IF(OpenLCAbasic!K3157="CTUh", "Fill in Manually",IF(OR(K3157="Unit", K3157=""), "", INDEX(LookUps!$E$5:$E$12, MATCH(OpenLCAbasic!K3157,LookUps!$D$5:$D$12,0))))</f>
        <v>Eutrophication Potential (EP) - kg N eq</v>
      </c>
      <c r="M3157" s="154" t="str">
        <f t="shared" si="157"/>
        <v>High_Medium_Base_Upgraded_Eutrophication Potential (EP) - kg N eq_Pre-Anoxic &amp; Swing tank; wastewater treatment unit; at updated plant - US_Base_With Amendment_Windrow</v>
      </c>
    </row>
    <row r="3158" spans="1:13" s="120" customFormat="1" x14ac:dyDescent="0.25">
      <c r="A3158" s="119"/>
      <c r="B3158" s="138" t="str">
        <f t="shared" si="155"/>
        <v>Windrow</v>
      </c>
      <c r="C3158" s="138" t="str">
        <f t="shared" si="156"/>
        <v>Base_With Amendment</v>
      </c>
      <c r="D3158" s="118" t="s">
        <v>136</v>
      </c>
      <c r="E3158" s="118" t="s">
        <v>181</v>
      </c>
      <c r="F3158" s="118" t="s">
        <v>46</v>
      </c>
      <c r="G3158" s="153"/>
      <c r="H3158" s="155">
        <v>6.6E-3</v>
      </c>
      <c r="I3158" s="154" t="s">
        <v>53</v>
      </c>
      <c r="J3158" s="204">
        <v>1.1E-4</v>
      </c>
      <c r="K3158" s="154" t="s">
        <v>13</v>
      </c>
      <c r="L3158" s="154" t="str">
        <f>IF(OpenLCAbasic!K3158="CTUh", "Fill in Manually",IF(OR(K3158="Unit", K3158=""), "", INDEX(LookUps!$E$5:$E$12, MATCH(OpenLCAbasic!K3158,LookUps!$D$5:$D$12,0))))</f>
        <v>Eutrophication Potential (EP) - kg N eq</v>
      </c>
      <c r="M3158" s="154" t="str">
        <f t="shared" si="157"/>
        <v>High_Medium_Base_Upgraded_Eutrophication Potential (EP) - kg N eq_Wet Well and Sump Station; wastewater treatment unit; at updated plant - US_Base_With Amendment_Windrow</v>
      </c>
    </row>
    <row r="3159" spans="1:13" s="120" customFormat="1" x14ac:dyDescent="0.25">
      <c r="A3159" s="119"/>
      <c r="B3159" s="138" t="str">
        <f t="shared" si="155"/>
        <v>Windrow</v>
      </c>
      <c r="C3159" s="138" t="str">
        <f t="shared" si="156"/>
        <v>Base_With Amendment</v>
      </c>
      <c r="D3159" s="118" t="s">
        <v>136</v>
      </c>
      <c r="E3159" s="118" t="s">
        <v>181</v>
      </c>
      <c r="F3159" s="118" t="s">
        <v>46</v>
      </c>
      <c r="G3159" s="153"/>
      <c r="H3159" s="155">
        <v>4.3E-3</v>
      </c>
      <c r="I3159" s="154" t="s">
        <v>60</v>
      </c>
      <c r="J3159" s="204">
        <v>6.9922100000000006E-5</v>
      </c>
      <c r="K3159" s="154" t="s">
        <v>13</v>
      </c>
      <c r="L3159" s="154" t="str">
        <f>IF(OpenLCAbasic!K3159="CTUh", "Fill in Manually",IF(OR(K3159="Unit", K3159=""), "", INDEX(LookUps!$E$5:$E$12, MATCH(OpenLCAbasic!K3159,LookUps!$D$5:$D$12,0))))</f>
        <v>Eutrophication Potential (EP) - kg N eq</v>
      </c>
      <c r="M3159" s="154" t="str">
        <f t="shared" si="157"/>
        <v>High_Medium_Base_Upgraded_Eutrophication Potential (EP) - kg N eq_Belt filter press; wastewater treatment unit; at updated plant - US_Base_With Amendment_Windrow</v>
      </c>
    </row>
    <row r="3160" spans="1:13" s="120" customFormat="1" x14ac:dyDescent="0.25">
      <c r="A3160" s="119"/>
      <c r="B3160" s="138" t="str">
        <f t="shared" si="155"/>
        <v>Windrow</v>
      </c>
      <c r="C3160" s="138" t="str">
        <f t="shared" si="156"/>
        <v>Base_With Amendment</v>
      </c>
      <c r="D3160" s="118" t="s">
        <v>136</v>
      </c>
      <c r="E3160" s="118" t="s">
        <v>181</v>
      </c>
      <c r="F3160" s="118" t="s">
        <v>46</v>
      </c>
      <c r="G3160" s="153"/>
      <c r="H3160" s="155">
        <v>3.7000000000000002E-3</v>
      </c>
      <c r="I3160" s="154" t="s">
        <v>57</v>
      </c>
      <c r="J3160" s="204">
        <v>6.0590300000000002E-5</v>
      </c>
      <c r="K3160" s="154" t="s">
        <v>13</v>
      </c>
      <c r="L3160" s="154" t="str">
        <f>IF(OpenLCAbasic!K3160="CTUh", "Fill in Manually",IF(OR(K3160="Unit", K3160=""), "", INDEX(LookUps!$E$5:$E$12, MATCH(OpenLCAbasic!K3160,LookUps!$D$5:$D$12,0))))</f>
        <v>Eutrophication Potential (EP) - kg N eq</v>
      </c>
      <c r="M3160" s="154" t="str">
        <f t="shared" si="157"/>
        <v>High_Medium_Base_Upgraded_Eutrophication Potential (EP) - kg N eq_Gravity Belt Thickener; wastewater treatment unit; at updated plant - US_Base_With Amendment_Windrow</v>
      </c>
    </row>
    <row r="3161" spans="1:13" s="120" customFormat="1" x14ac:dyDescent="0.25">
      <c r="A3161" s="119"/>
      <c r="B3161" s="138" t="str">
        <f t="shared" si="155"/>
        <v>Windrow</v>
      </c>
      <c r="C3161" s="138" t="str">
        <f t="shared" si="156"/>
        <v>Base_With Amendment</v>
      </c>
      <c r="D3161" s="118" t="s">
        <v>136</v>
      </c>
      <c r="E3161" s="118" t="s">
        <v>181</v>
      </c>
      <c r="F3161" s="118" t="s">
        <v>46</v>
      </c>
      <c r="G3161" s="153"/>
      <c r="H3161" s="155">
        <v>2.3E-3</v>
      </c>
      <c r="I3161" s="154" t="s">
        <v>128</v>
      </c>
      <c r="J3161" s="204">
        <v>3.7559799999999999E-5</v>
      </c>
      <c r="K3161" s="154" t="s">
        <v>13</v>
      </c>
      <c r="L3161" s="154" t="str">
        <f>IF(OpenLCAbasic!K3161="CTUh", "Fill in Manually",IF(OR(K3161="Unit", K3161=""), "", INDEX(LookUps!$E$5:$E$12, MATCH(OpenLCAbasic!K3161,LookUps!$D$5:$D$12,0))))</f>
        <v>Eutrophication Potential (EP) - kg N eq</v>
      </c>
      <c r="M3161" s="154" t="str">
        <f t="shared" si="157"/>
        <v>High_Medium_Base_Upgraded_Eutrophication Potential (EP) - kg N eq_Wastewater collection; operation and infrastructure; m3 wastewater_Base_With Amendment_Windrow</v>
      </c>
    </row>
    <row r="3162" spans="1:13" s="120" customFormat="1" x14ac:dyDescent="0.25">
      <c r="A3162" s="119"/>
      <c r="B3162" s="138" t="str">
        <f t="shared" si="155"/>
        <v>Windrow</v>
      </c>
      <c r="C3162" s="138" t="str">
        <f t="shared" si="156"/>
        <v>Base_With Amendment</v>
      </c>
      <c r="D3162" s="118" t="s">
        <v>136</v>
      </c>
      <c r="E3162" s="118" t="s">
        <v>181</v>
      </c>
      <c r="F3162" s="118" t="s">
        <v>46</v>
      </c>
      <c r="G3162" s="153"/>
      <c r="H3162" s="155">
        <v>2.3E-3</v>
      </c>
      <c r="I3162" s="154" t="s">
        <v>148</v>
      </c>
      <c r="J3162" s="204">
        <v>3.6874600000000001E-5</v>
      </c>
      <c r="K3162" s="154" t="s">
        <v>13</v>
      </c>
      <c r="L3162" s="154" t="str">
        <f>IF(OpenLCAbasic!K3162="CTUh", "Fill in Manually",IF(OR(K3162="Unit", K3162=""), "", INDEX(LookUps!$E$5:$E$12, MATCH(OpenLCAbasic!K3162,LookUps!$D$5:$D$12,0))))</f>
        <v>Eutrophication Potential (EP) - kg N eq</v>
      </c>
      <c r="M3162" s="154" t="str">
        <f t="shared" si="157"/>
        <v>High_Medium_Base_Upgraded_Eutrophication Potential (EP) - kg N eq_Control Building; at upgraded wastewater treatment plant - US_Base_With Amendment_Windrow</v>
      </c>
    </row>
    <row r="3163" spans="1:13" s="120" customFormat="1" x14ac:dyDescent="0.25">
      <c r="A3163" s="119"/>
      <c r="B3163" s="138" t="str">
        <f t="shared" si="155"/>
        <v>Windrow</v>
      </c>
      <c r="C3163" s="138" t="str">
        <f t="shared" si="156"/>
        <v>Base_With Amendment</v>
      </c>
      <c r="D3163" s="118" t="s">
        <v>136</v>
      </c>
      <c r="E3163" s="118" t="s">
        <v>181</v>
      </c>
      <c r="F3163" s="118" t="s">
        <v>46</v>
      </c>
      <c r="G3163" s="153"/>
      <c r="H3163" s="155">
        <v>1E-3</v>
      </c>
      <c r="I3163" s="154" t="s">
        <v>59</v>
      </c>
      <c r="J3163" s="204">
        <v>1.6215700000000001E-5</v>
      </c>
      <c r="K3163" s="154" t="s">
        <v>13</v>
      </c>
      <c r="L3163" s="154" t="str">
        <f>IF(OpenLCAbasic!K3163="CTUh", "Fill in Manually",IF(OR(K3163="Unit", K3163=""), "", INDEX(LookUps!$E$5:$E$12, MATCH(OpenLCAbasic!K3163,LookUps!$D$5:$D$12,0))))</f>
        <v>Eutrophication Potential (EP) - kg N eq</v>
      </c>
      <c r="M3163" s="154" t="str">
        <f t="shared" si="157"/>
        <v>High_Medium_Base_Upgraded_Eutrophication Potential (EP) - kg N eq_Blend Tank; wastewater treatment unit; at updated plant - US_Base_With Amendment_Windrow</v>
      </c>
    </row>
    <row r="3164" spans="1:13" s="120" customFormat="1" x14ac:dyDescent="0.25">
      <c r="A3164" s="119"/>
      <c r="B3164" s="138" t="str">
        <f t="shared" si="155"/>
        <v>Windrow</v>
      </c>
      <c r="C3164" s="138" t="str">
        <f t="shared" si="156"/>
        <v>Base_With Amendment</v>
      </c>
      <c r="D3164" s="118" t="s">
        <v>136</v>
      </c>
      <c r="E3164" s="118" t="s">
        <v>181</v>
      </c>
      <c r="F3164" s="118" t="s">
        <v>46</v>
      </c>
      <c r="G3164" s="153"/>
      <c r="H3164" s="155">
        <v>5.0000000000000001E-4</v>
      </c>
      <c r="I3164" s="154" t="s">
        <v>168</v>
      </c>
      <c r="J3164" s="204">
        <v>7.7567199999999995E-6</v>
      </c>
      <c r="K3164" s="154" t="s">
        <v>13</v>
      </c>
      <c r="L3164" s="154" t="str">
        <f>IF(OpenLCAbasic!K3164="CTUh", "Fill in Manually",IF(OR(K3164="Unit", K3164=""), "", INDEX(LookUps!$E$5:$E$12, MATCH(OpenLCAbasic!K3164,LookUps!$D$5:$D$12,0))))</f>
        <v>Eutrophication Potential (EP) - kg N eq</v>
      </c>
      <c r="M3164" s="154" t="str">
        <f t="shared" si="157"/>
        <v>High_Medium_Base_Upgraded_Eutrophication Potential (EP) - kg N eq_ClearCove SCP; wastewater treatment unit; at updated plant - US_Base_With Amendment_Windrow</v>
      </c>
    </row>
    <row r="3165" spans="1:13" s="120" customFormat="1" x14ac:dyDescent="0.25">
      <c r="A3165" s="119"/>
      <c r="B3165" s="138" t="str">
        <f t="shared" si="155"/>
        <v>Windrow</v>
      </c>
      <c r="C3165" s="138" t="str">
        <f t="shared" si="156"/>
        <v>Base_With Amendment</v>
      </c>
      <c r="D3165" s="118" t="s">
        <v>136</v>
      </c>
      <c r="E3165" s="118" t="s">
        <v>181</v>
      </c>
      <c r="F3165" s="118" t="s">
        <v>46</v>
      </c>
      <c r="G3165" s="153"/>
      <c r="H3165" s="155">
        <v>-3.7999999999999999E-2</v>
      </c>
      <c r="I3165" s="154" t="s">
        <v>149</v>
      </c>
      <c r="J3165" s="204">
        <v>-6.2E-4</v>
      </c>
      <c r="K3165" s="154" t="s">
        <v>13</v>
      </c>
      <c r="L3165" s="154" t="str">
        <f>IF(OpenLCAbasic!K3165="CTUh", "Fill in Manually",IF(OR(K3165="Unit", K3165=""), "", INDEX(LookUps!$E$5:$E$12, MATCH(OpenLCAbasic!K3165,LookUps!$D$5:$D$12,0))))</f>
        <v>Eutrophication Potential (EP) - kg N eq</v>
      </c>
      <c r="M3165" s="154" t="str">
        <f t="shared" si="157"/>
        <v>High_Medium_Base_Upgraded_Eutrophication Potential (EP) - kg N eq_Anaerobic Digestion; wastewater treatment unit; at updated plant - US_Base_With Amendment_Windrow</v>
      </c>
    </row>
    <row r="3166" spans="1:13" s="120" customFormat="1" x14ac:dyDescent="0.25">
      <c r="A3166" s="119"/>
      <c r="B3166" s="138" t="str">
        <f t="shared" si="155"/>
        <v>Windrow</v>
      </c>
      <c r="C3166" s="138" t="str">
        <f t="shared" si="156"/>
        <v>Base_With Amendment</v>
      </c>
      <c r="D3166" s="118" t="s">
        <v>136</v>
      </c>
      <c r="E3166" s="118" t="s">
        <v>181</v>
      </c>
      <c r="F3166" s="118" t="s">
        <v>46</v>
      </c>
      <c r="G3166" s="153" t="s">
        <v>51</v>
      </c>
      <c r="H3166" s="154"/>
      <c r="I3166" s="154" t="s">
        <v>47</v>
      </c>
      <c r="J3166" s="154" t="s">
        <v>52</v>
      </c>
      <c r="K3166" s="154" t="s">
        <v>27</v>
      </c>
      <c r="L3166" s="154" t="str">
        <f>IF(OpenLCAbasic!K3166="CTUh", "Fill in Manually",IF(OR(K3166="Unit", K3166=""), "", INDEX(LookUps!$E$5:$E$12, MATCH(OpenLCAbasic!K3166,LookUps!$D$5:$D$12,0))))</f>
        <v/>
      </c>
      <c r="M3166" s="154" t="str">
        <f t="shared" si="157"/>
        <v>High_Medium_Base_Upgraded__Process_Base_With Amendment_Windrow</v>
      </c>
    </row>
    <row r="3167" spans="1:13" s="120" customFormat="1" x14ac:dyDescent="0.25">
      <c r="A3167" s="119"/>
      <c r="B3167" s="138" t="str">
        <f t="shared" si="155"/>
        <v>Windrow</v>
      </c>
      <c r="C3167" s="138" t="str">
        <f t="shared" si="156"/>
        <v>Base_With Amendment</v>
      </c>
      <c r="D3167" s="118" t="s">
        <v>136</v>
      </c>
      <c r="E3167" s="118" t="s">
        <v>181</v>
      </c>
      <c r="F3167" s="118" t="s">
        <v>46</v>
      </c>
      <c r="G3167" s="153"/>
      <c r="H3167" s="155">
        <v>1.1424000000000001</v>
      </c>
      <c r="I3167" s="154" t="s">
        <v>167</v>
      </c>
      <c r="J3167" s="157">
        <v>4.2789599999999997</v>
      </c>
      <c r="K3167" s="154" t="s">
        <v>15</v>
      </c>
      <c r="L3167" s="154" t="str">
        <f>IF(OpenLCAbasic!K3167="CTUh", "Fill in Manually",IF(OR(K3167="Unit", K3167=""), "", INDEX(LookUps!$E$5:$E$12, MATCH(OpenLCAbasic!K3167,LookUps!$D$5:$D$12,0))))</f>
        <v>Cumulative Energy Demand (CED) - MJ</v>
      </c>
      <c r="M3167" s="154" t="str">
        <f t="shared" si="157"/>
        <v>High_Medium_Base_Upgraded_Cumulative Energy Demand (CED) - MJ_Waste Receiving and Holding; wastewater treatment unit; at updated plant - US_Base_With Amendment_Windrow</v>
      </c>
    </row>
    <row r="3168" spans="1:13" s="120" customFormat="1" x14ac:dyDescent="0.25">
      <c r="A3168" s="119"/>
      <c r="B3168" s="138" t="str">
        <f t="shared" si="155"/>
        <v>Windrow</v>
      </c>
      <c r="C3168" s="138" t="str">
        <f t="shared" si="156"/>
        <v>Base_With Amendment</v>
      </c>
      <c r="D3168" s="118" t="s">
        <v>136</v>
      </c>
      <c r="E3168" s="118" t="s">
        <v>181</v>
      </c>
      <c r="F3168" s="118" t="s">
        <v>46</v>
      </c>
      <c r="G3168" s="153"/>
      <c r="H3168" s="155">
        <v>0.94320000000000004</v>
      </c>
      <c r="I3168" s="154" t="s">
        <v>55</v>
      </c>
      <c r="J3168" s="157">
        <v>3.5330499999999998</v>
      </c>
      <c r="K3168" s="154" t="s">
        <v>15</v>
      </c>
      <c r="L3168" s="154" t="str">
        <f>IF(OpenLCAbasic!K3168="CTUh", "Fill in Manually",IF(OR(K3168="Unit", K3168=""), "", INDEX(LookUps!$E$5:$E$12, MATCH(OpenLCAbasic!K3168,LookUps!$D$5:$D$12,0))))</f>
        <v>Cumulative Energy Demand (CED) - MJ</v>
      </c>
      <c r="M3168" s="154" t="str">
        <f t="shared" si="157"/>
        <v>High_Medium_Base_Upgraded_Cumulative Energy Demand (CED) - MJ_Aeration Tanks; wastewater treatment unit; at updated plant - US_Base_With Amendment_Windrow</v>
      </c>
    </row>
    <row r="3169" spans="1:13" s="120" customFormat="1" x14ac:dyDescent="0.25">
      <c r="A3169" s="119"/>
      <c r="B3169" s="138" t="str">
        <f t="shared" si="155"/>
        <v>Windrow</v>
      </c>
      <c r="C3169" s="138" t="str">
        <f t="shared" si="156"/>
        <v>Base_With Amendment</v>
      </c>
      <c r="D3169" s="118" t="s">
        <v>136</v>
      </c>
      <c r="E3169" s="118" t="s">
        <v>181</v>
      </c>
      <c r="F3169" s="118" t="s">
        <v>46</v>
      </c>
      <c r="G3169" s="153"/>
      <c r="H3169" s="155">
        <v>0.3105</v>
      </c>
      <c r="I3169" s="154" t="s">
        <v>54</v>
      </c>
      <c r="J3169" s="157">
        <v>1.16289</v>
      </c>
      <c r="K3169" s="154" t="s">
        <v>15</v>
      </c>
      <c r="L3169" s="154" t="str">
        <f>IF(OpenLCAbasic!K3169="CTUh", "Fill in Manually",IF(OR(K3169="Unit", K3169=""), "", INDEX(LookUps!$E$5:$E$12, MATCH(OpenLCAbasic!K3169,LookUps!$D$5:$D$12,0))))</f>
        <v>Cumulative Energy Demand (CED) - MJ</v>
      </c>
      <c r="M3169" s="154" t="str">
        <f t="shared" si="157"/>
        <v>High_Medium_Base_Upgraded_Cumulative Energy Demand (CED) - MJ_Clear Cove Primary Clarification; wastewater treatment unit; at updated plant - US_Base_With Amendment_Windrow</v>
      </c>
    </row>
    <row r="3170" spans="1:13" s="120" customFormat="1" x14ac:dyDescent="0.25">
      <c r="A3170" s="119"/>
      <c r="B3170" s="138" t="str">
        <f t="shared" si="155"/>
        <v>Windrow</v>
      </c>
      <c r="C3170" s="138" t="str">
        <f t="shared" si="156"/>
        <v>Base_With Amendment</v>
      </c>
      <c r="D3170" s="118" t="s">
        <v>136</v>
      </c>
      <c r="E3170" s="118" t="s">
        <v>181</v>
      </c>
      <c r="F3170" s="118" t="s">
        <v>46</v>
      </c>
      <c r="G3170" s="153"/>
      <c r="H3170" s="155">
        <v>0.23680000000000001</v>
      </c>
      <c r="I3170" s="154" t="s">
        <v>58</v>
      </c>
      <c r="J3170" s="203">
        <v>0.88705000000000001</v>
      </c>
      <c r="K3170" s="154" t="s">
        <v>15</v>
      </c>
      <c r="L3170" s="154" t="str">
        <f>IF(OpenLCAbasic!K3170="CTUh", "Fill in Manually",IF(OR(K3170="Unit", K3170=""), "", INDEX(LookUps!$E$5:$E$12, MATCH(OpenLCAbasic!K3170,LookUps!$D$5:$D$12,0))))</f>
        <v>Cumulative Energy Demand (CED) - MJ</v>
      </c>
      <c r="M3170" s="154" t="str">
        <f t="shared" si="157"/>
        <v>High_Medium_Base_Upgraded_Cumulative Energy Demand (CED) - MJ_Pre-Anoxic &amp; Swing tank; wastewater treatment unit; at updated plant - US_Base_With Amendment_Windrow</v>
      </c>
    </row>
    <row r="3171" spans="1:13" s="120" customFormat="1" x14ac:dyDescent="0.25">
      <c r="A3171" s="119"/>
      <c r="B3171" s="138" t="str">
        <f t="shared" si="155"/>
        <v>Windrow</v>
      </c>
      <c r="C3171" s="138" t="str">
        <f t="shared" si="156"/>
        <v>Base_With Amendment</v>
      </c>
      <c r="D3171" s="118" t="s">
        <v>136</v>
      </c>
      <c r="E3171" s="118" t="s">
        <v>181</v>
      </c>
      <c r="F3171" s="118" t="s">
        <v>46</v>
      </c>
      <c r="G3171" s="153"/>
      <c r="H3171" s="155">
        <v>0.23569999999999999</v>
      </c>
      <c r="I3171" s="154" t="s">
        <v>147</v>
      </c>
      <c r="J3171" s="203">
        <v>0.88297000000000003</v>
      </c>
      <c r="K3171" s="154" t="s">
        <v>15</v>
      </c>
      <c r="L3171" s="154" t="str">
        <f>IF(OpenLCAbasic!K3171="CTUh", "Fill in Manually",IF(OR(K3171="Unit", K3171=""), "", INDEX(LookUps!$E$5:$E$12, MATCH(OpenLCAbasic!K3171,LookUps!$D$5:$D$12,0))))</f>
        <v>Cumulative Energy Demand (CED) - MJ</v>
      </c>
      <c r="M3171" s="154" t="str">
        <f t="shared" si="157"/>
        <v>High_Medium_Base_Upgraded_Cumulative Energy Demand (CED) - MJ_Influent Pump Station; wastewater treatment unit; at updated plant - US_Base_With Amendment_Windrow</v>
      </c>
    </row>
    <row r="3172" spans="1:13" s="120" customFormat="1" x14ac:dyDescent="0.25">
      <c r="A3172" s="119"/>
      <c r="B3172" s="138" t="str">
        <f t="shared" si="155"/>
        <v>Windrow</v>
      </c>
      <c r="C3172" s="138" t="str">
        <f t="shared" si="156"/>
        <v>Base_With Amendment</v>
      </c>
      <c r="D3172" s="118" t="s">
        <v>136</v>
      </c>
      <c r="E3172" s="118" t="s">
        <v>181</v>
      </c>
      <c r="F3172" s="118" t="s">
        <v>46</v>
      </c>
      <c r="G3172" s="153"/>
      <c r="H3172" s="155">
        <v>0.18590000000000001</v>
      </c>
      <c r="I3172" s="154" t="s">
        <v>53</v>
      </c>
      <c r="J3172" s="203">
        <v>0.69645000000000001</v>
      </c>
      <c r="K3172" s="154" t="s">
        <v>15</v>
      </c>
      <c r="L3172" s="154" t="str">
        <f>IF(OpenLCAbasic!K3172="CTUh", "Fill in Manually",IF(OR(K3172="Unit", K3172=""), "", INDEX(LookUps!$E$5:$E$12, MATCH(OpenLCAbasic!K3172,LookUps!$D$5:$D$12,0))))</f>
        <v>Cumulative Energy Demand (CED) - MJ</v>
      </c>
      <c r="M3172" s="154" t="str">
        <f t="shared" si="157"/>
        <v>High_Medium_Base_Upgraded_Cumulative Energy Demand (CED) - MJ_Wet Well and Sump Station; wastewater treatment unit; at updated plant - US_Base_With Amendment_Windrow</v>
      </c>
    </row>
    <row r="3173" spans="1:13" s="120" customFormat="1" x14ac:dyDescent="0.25">
      <c r="A3173" s="119"/>
      <c r="B3173" s="138" t="str">
        <f t="shared" si="155"/>
        <v>Windrow</v>
      </c>
      <c r="C3173" s="138" t="str">
        <f t="shared" si="156"/>
        <v>Base_With Amendment</v>
      </c>
      <c r="D3173" s="118" t="s">
        <v>136</v>
      </c>
      <c r="E3173" s="118" t="s">
        <v>181</v>
      </c>
      <c r="F3173" s="118" t="s">
        <v>46</v>
      </c>
      <c r="G3173" s="153"/>
      <c r="H3173" s="155">
        <v>0.10630000000000001</v>
      </c>
      <c r="I3173" s="154" t="s">
        <v>60</v>
      </c>
      <c r="J3173" s="203">
        <v>0.39804</v>
      </c>
      <c r="K3173" s="154" t="s">
        <v>15</v>
      </c>
      <c r="L3173" s="154" t="str">
        <f>IF(OpenLCAbasic!K3173="CTUh", "Fill in Manually",IF(OR(K3173="Unit", K3173=""), "", INDEX(LookUps!$E$5:$E$12, MATCH(OpenLCAbasic!K3173,LookUps!$D$5:$D$12,0))))</f>
        <v>Cumulative Energy Demand (CED) - MJ</v>
      </c>
      <c r="M3173" s="154" t="str">
        <f t="shared" si="157"/>
        <v>High_Medium_Base_Upgraded_Cumulative Energy Demand (CED) - MJ_Belt filter press; wastewater treatment unit; at updated plant - US_Base_With Amendment_Windrow</v>
      </c>
    </row>
    <row r="3174" spans="1:13" s="120" customFormat="1" x14ac:dyDescent="0.25">
      <c r="A3174" s="119"/>
      <c r="B3174" s="138" t="str">
        <f t="shared" si="155"/>
        <v>Windrow</v>
      </c>
      <c r="C3174" s="138" t="str">
        <f t="shared" si="156"/>
        <v>Base_With Amendment</v>
      </c>
      <c r="D3174" s="118" t="s">
        <v>136</v>
      </c>
      <c r="E3174" s="118" t="s">
        <v>181</v>
      </c>
      <c r="F3174" s="118" t="s">
        <v>46</v>
      </c>
      <c r="G3174" s="153"/>
      <c r="H3174" s="155">
        <v>8.9200000000000002E-2</v>
      </c>
      <c r="I3174" s="154" t="s">
        <v>57</v>
      </c>
      <c r="J3174" s="203">
        <v>0.33404</v>
      </c>
      <c r="K3174" s="154" t="s">
        <v>15</v>
      </c>
      <c r="L3174" s="154" t="str">
        <f>IF(OpenLCAbasic!K3174="CTUh", "Fill in Manually",IF(OR(K3174="Unit", K3174=""), "", INDEX(LookUps!$E$5:$E$12, MATCH(OpenLCAbasic!K3174,LookUps!$D$5:$D$12,0))))</f>
        <v>Cumulative Energy Demand (CED) - MJ</v>
      </c>
      <c r="M3174" s="154" t="str">
        <f t="shared" si="157"/>
        <v>High_Medium_Base_Upgraded_Cumulative Energy Demand (CED) - MJ_Gravity Belt Thickener; wastewater treatment unit; at updated plant - US_Base_With Amendment_Windrow</v>
      </c>
    </row>
    <row r="3175" spans="1:13" s="120" customFormat="1" x14ac:dyDescent="0.25">
      <c r="A3175" s="119"/>
      <c r="B3175" s="138" t="str">
        <f t="shared" si="155"/>
        <v>Windrow</v>
      </c>
      <c r="C3175" s="138" t="str">
        <f t="shared" si="156"/>
        <v>Base_With Amendment</v>
      </c>
      <c r="D3175" s="118" t="s">
        <v>136</v>
      </c>
      <c r="E3175" s="118" t="s">
        <v>181</v>
      </c>
      <c r="F3175" s="118" t="s">
        <v>46</v>
      </c>
      <c r="G3175" s="153"/>
      <c r="H3175" s="155">
        <v>6.8400000000000002E-2</v>
      </c>
      <c r="I3175" s="154" t="s">
        <v>128</v>
      </c>
      <c r="J3175" s="203">
        <v>0.25606000000000001</v>
      </c>
      <c r="K3175" s="154" t="s">
        <v>15</v>
      </c>
      <c r="L3175" s="154" t="str">
        <f>IF(OpenLCAbasic!K3175="CTUh", "Fill in Manually",IF(OR(K3175="Unit", K3175=""), "", INDEX(LookUps!$E$5:$E$12, MATCH(OpenLCAbasic!K3175,LookUps!$D$5:$D$12,0))))</f>
        <v>Cumulative Energy Demand (CED) - MJ</v>
      </c>
      <c r="M3175" s="154" t="str">
        <f t="shared" si="157"/>
        <v>High_Medium_Base_Upgraded_Cumulative Energy Demand (CED) - MJ_Wastewater collection; operation and infrastructure; m3 wastewater_Base_With Amendment_Windrow</v>
      </c>
    </row>
    <row r="3176" spans="1:13" s="120" customFormat="1" x14ac:dyDescent="0.25">
      <c r="A3176" s="119"/>
      <c r="B3176" s="138" t="str">
        <f t="shared" si="155"/>
        <v>Windrow</v>
      </c>
      <c r="C3176" s="138" t="str">
        <f t="shared" si="156"/>
        <v>Base_With Amendment</v>
      </c>
      <c r="D3176" s="118" t="s">
        <v>136</v>
      </c>
      <c r="E3176" s="118" t="s">
        <v>181</v>
      </c>
      <c r="F3176" s="118" t="s">
        <v>46</v>
      </c>
      <c r="G3176" s="153"/>
      <c r="H3176" s="155">
        <v>3.9E-2</v>
      </c>
      <c r="I3176" s="154" t="s">
        <v>148</v>
      </c>
      <c r="J3176" s="203">
        <v>0.14599000000000001</v>
      </c>
      <c r="K3176" s="154" t="s">
        <v>15</v>
      </c>
      <c r="L3176" s="154" t="str">
        <f>IF(OpenLCAbasic!K3176="CTUh", "Fill in Manually",IF(OR(K3176="Unit", K3176=""), "", INDEX(LookUps!$E$5:$E$12, MATCH(OpenLCAbasic!K3176,LookUps!$D$5:$D$12,0))))</f>
        <v>Cumulative Energy Demand (CED) - MJ</v>
      </c>
      <c r="M3176" s="154" t="str">
        <f t="shared" si="157"/>
        <v>High_Medium_Base_Upgraded_Cumulative Energy Demand (CED) - MJ_Control Building; at upgraded wastewater treatment plant - US_Base_With Amendment_Windrow</v>
      </c>
    </row>
    <row r="3177" spans="1:13" s="120" customFormat="1" x14ac:dyDescent="0.25">
      <c r="A3177" s="119"/>
      <c r="B3177" s="138" t="str">
        <f t="shared" si="155"/>
        <v>Windrow</v>
      </c>
      <c r="C3177" s="138" t="str">
        <f t="shared" si="156"/>
        <v>Base_With Amendment</v>
      </c>
      <c r="D3177" s="118" t="s">
        <v>136</v>
      </c>
      <c r="E3177" s="118" t="s">
        <v>181</v>
      </c>
      <c r="F3177" s="118" t="s">
        <v>46</v>
      </c>
      <c r="G3177" s="153"/>
      <c r="H3177" s="155">
        <v>3.56E-2</v>
      </c>
      <c r="I3177" s="154" t="s">
        <v>48</v>
      </c>
      <c r="J3177" s="203">
        <v>0.13321</v>
      </c>
      <c r="K3177" s="154" t="s">
        <v>15</v>
      </c>
      <c r="L3177" s="154" t="str">
        <f>IF(OpenLCAbasic!K3177="CTUh", "Fill in Manually",IF(OR(K3177="Unit", K3177=""), "", INDEX(LookUps!$E$5:$E$12, MATCH(OpenLCAbasic!K3177,LookUps!$D$5:$D$12,0))))</f>
        <v>Cumulative Energy Demand (CED) - MJ</v>
      </c>
      <c r="M3177" s="154" t="str">
        <f t="shared" si="157"/>
        <v>High_Medium_Base_Upgraded_Cumulative Energy Demand (CED) - MJ_Effluent release; wastewater treatment unit; at surface water; m3 wastewater - US_Base_With Amendment_Windrow</v>
      </c>
    </row>
    <row r="3178" spans="1:13" s="120" customFormat="1" x14ac:dyDescent="0.25">
      <c r="A3178" s="119"/>
      <c r="B3178" s="138" t="str">
        <f t="shared" si="155"/>
        <v>Windrow</v>
      </c>
      <c r="C3178" s="138" t="str">
        <f t="shared" si="156"/>
        <v>Base_With Amendment</v>
      </c>
      <c r="D3178" s="118" t="s">
        <v>136</v>
      </c>
      <c r="E3178" s="118" t="s">
        <v>181</v>
      </c>
      <c r="F3178" s="118" t="s">
        <v>46</v>
      </c>
      <c r="G3178" s="153"/>
      <c r="H3178" s="155">
        <v>2.8400000000000002E-2</v>
      </c>
      <c r="I3178" s="154" t="s">
        <v>59</v>
      </c>
      <c r="J3178" s="203">
        <v>0.10638</v>
      </c>
      <c r="K3178" s="154" t="s">
        <v>15</v>
      </c>
      <c r="L3178" s="154" t="str">
        <f>IF(OpenLCAbasic!K3178="CTUh", "Fill in Manually",IF(OR(K3178="Unit", K3178=""), "", INDEX(LookUps!$E$5:$E$12, MATCH(OpenLCAbasic!K3178,LookUps!$D$5:$D$12,0))))</f>
        <v>Cumulative Energy Demand (CED) - MJ</v>
      </c>
      <c r="M3178" s="154" t="str">
        <f t="shared" si="157"/>
        <v>High_Medium_Base_Upgraded_Cumulative Energy Demand (CED) - MJ_Blend Tank; wastewater treatment unit; at updated plant - US_Base_With Amendment_Windrow</v>
      </c>
    </row>
    <row r="3179" spans="1:13" s="120" customFormat="1" x14ac:dyDescent="0.25">
      <c r="A3179" s="119"/>
      <c r="B3179" s="138" t="str">
        <f t="shared" si="155"/>
        <v>Windrow</v>
      </c>
      <c r="C3179" s="138" t="str">
        <f t="shared" si="156"/>
        <v>Base_With Amendment</v>
      </c>
      <c r="D3179" s="118" t="s">
        <v>136</v>
      </c>
      <c r="E3179" s="118" t="s">
        <v>181</v>
      </c>
      <c r="F3179" s="118" t="s">
        <v>46</v>
      </c>
      <c r="G3179" s="153"/>
      <c r="H3179" s="155">
        <v>1.3599999999999999E-2</v>
      </c>
      <c r="I3179" s="154" t="s">
        <v>168</v>
      </c>
      <c r="J3179" s="203">
        <v>5.0930000000000003E-2</v>
      </c>
      <c r="K3179" s="154" t="s">
        <v>15</v>
      </c>
      <c r="L3179" s="154" t="str">
        <f>IF(OpenLCAbasic!K3179="CTUh", "Fill in Manually",IF(OR(K3179="Unit", K3179=""), "", INDEX(LookUps!$E$5:$E$12, MATCH(OpenLCAbasic!K3179,LookUps!$D$5:$D$12,0))))</f>
        <v>Cumulative Energy Demand (CED) - MJ</v>
      </c>
      <c r="M3179" s="154" t="str">
        <f t="shared" si="157"/>
        <v>High_Medium_Base_Upgraded_Cumulative Energy Demand (CED) - MJ_ClearCove SCP; wastewater treatment unit; at updated plant - US_Base_With Amendment_Windrow</v>
      </c>
    </row>
    <row r="3180" spans="1:13" s="120" customFormat="1" x14ac:dyDescent="0.25">
      <c r="A3180" s="119"/>
      <c r="B3180" s="138" t="str">
        <f t="shared" si="155"/>
        <v>Windrow</v>
      </c>
      <c r="C3180" s="138" t="str">
        <f t="shared" si="156"/>
        <v>Base_With Amendment</v>
      </c>
      <c r="D3180" s="118" t="s">
        <v>136</v>
      </c>
      <c r="E3180" s="118" t="s">
        <v>181</v>
      </c>
      <c r="F3180" s="118" t="s">
        <v>46</v>
      </c>
      <c r="G3180" s="153"/>
      <c r="H3180" s="155">
        <v>7.6E-3</v>
      </c>
      <c r="I3180" s="154" t="s">
        <v>271</v>
      </c>
      <c r="J3180" s="203">
        <v>2.8510000000000001E-2</v>
      </c>
      <c r="K3180" s="154" t="s">
        <v>15</v>
      </c>
      <c r="L3180" s="154" t="str">
        <f>IF(OpenLCAbasic!K3180="CTUh", "Fill in Manually",IF(OR(K3180="Unit", K3180=""), "", INDEX(LookUps!$E$5:$E$12, MATCH(OpenLCAbasic!K3180,LookUps!$D$5:$D$12,0))))</f>
        <v>Cumulative Energy Demand (CED) - MJ</v>
      </c>
      <c r="M3180" s="154" t="str">
        <f t="shared" si="157"/>
        <v>High_Medium_Base_Upgraded_Cumulative Energy Demand (CED) - MJ_Biosolids composting; windrow composting; wastewater treatment unit; at updated plant - US_Base_With Amendment_Windrow</v>
      </c>
    </row>
    <row r="3181" spans="1:13" s="120" customFormat="1" x14ac:dyDescent="0.25">
      <c r="A3181" s="119"/>
      <c r="B3181" s="138" t="str">
        <f t="shared" si="155"/>
        <v>Windrow</v>
      </c>
      <c r="C3181" s="138" t="str">
        <f t="shared" si="156"/>
        <v>Base_With Amendment</v>
      </c>
      <c r="D3181" s="118" t="s">
        <v>136</v>
      </c>
      <c r="E3181" s="118" t="s">
        <v>181</v>
      </c>
      <c r="F3181" s="118" t="s">
        <v>46</v>
      </c>
      <c r="G3181" s="153"/>
      <c r="H3181" s="155">
        <v>-0.1522</v>
      </c>
      <c r="I3181" s="154" t="s">
        <v>62</v>
      </c>
      <c r="J3181" s="203">
        <v>-0.56996999999999998</v>
      </c>
      <c r="K3181" s="154" t="s">
        <v>15</v>
      </c>
      <c r="L3181" s="154" t="str">
        <f>IF(OpenLCAbasic!K3181="CTUh", "Fill in Manually",IF(OR(K3181="Unit", K3181=""), "", INDEX(LookUps!$E$5:$E$12, MATCH(OpenLCAbasic!K3181,LookUps!$D$5:$D$12,0))))</f>
        <v>Cumulative Energy Demand (CED) - MJ</v>
      </c>
      <c r="M3181" s="154" t="str">
        <f t="shared" si="157"/>
        <v>High_Medium_Base_Upgraded_Cumulative Energy Demand (CED) - MJ_Land application of compost; wastewater treatment unit; at updated plant - US_Base_With Amendment_Windrow</v>
      </c>
    </row>
    <row r="3182" spans="1:13" s="120" customFormat="1" x14ac:dyDescent="0.25">
      <c r="A3182" s="119"/>
      <c r="B3182" s="138" t="str">
        <f t="shared" si="155"/>
        <v>Windrow</v>
      </c>
      <c r="C3182" s="138" t="str">
        <f t="shared" si="156"/>
        <v>Base_With Amendment</v>
      </c>
      <c r="D3182" s="118" t="s">
        <v>136</v>
      </c>
      <c r="E3182" s="118" t="s">
        <v>181</v>
      </c>
      <c r="F3182" s="118" t="s">
        <v>46</v>
      </c>
      <c r="G3182" s="153"/>
      <c r="H3182" s="155">
        <v>-2.2902999999999998</v>
      </c>
      <c r="I3182" s="154" t="s">
        <v>149</v>
      </c>
      <c r="J3182" s="157">
        <v>-8.5788899999999995</v>
      </c>
      <c r="K3182" s="154" t="s">
        <v>15</v>
      </c>
      <c r="L3182" s="154" t="str">
        <f>IF(OpenLCAbasic!K3182="CTUh", "Fill in Manually",IF(OR(K3182="Unit", K3182=""), "", INDEX(LookUps!$E$5:$E$12, MATCH(OpenLCAbasic!K3182,LookUps!$D$5:$D$12,0))))</f>
        <v>Cumulative Energy Demand (CED) - MJ</v>
      </c>
      <c r="M3182" s="154" t="str">
        <f t="shared" si="157"/>
        <v>High_Medium_Base_Upgraded_Cumulative Energy Demand (CED) - MJ_Anaerobic Digestion; wastewater treatment unit; at updated plant - US_Base_With Amendment_Windrow</v>
      </c>
    </row>
    <row r="3183" spans="1:13" s="120" customFormat="1" x14ac:dyDescent="0.25">
      <c r="A3183" s="119"/>
      <c r="B3183" s="138" t="str">
        <f t="shared" si="155"/>
        <v>Windrow</v>
      </c>
      <c r="C3183" s="138" t="str">
        <f t="shared" si="156"/>
        <v>Base_With Amendment</v>
      </c>
      <c r="D3183" s="118" t="s">
        <v>136</v>
      </c>
      <c r="E3183" s="118" t="s">
        <v>181</v>
      </c>
      <c r="F3183" s="118" t="s">
        <v>46</v>
      </c>
      <c r="G3183" s="153" t="s">
        <v>51</v>
      </c>
      <c r="H3183" s="154"/>
      <c r="I3183" s="154" t="s">
        <v>47</v>
      </c>
      <c r="J3183" s="154" t="s">
        <v>52</v>
      </c>
      <c r="K3183" s="154" t="s">
        <v>27</v>
      </c>
      <c r="L3183" s="154" t="str">
        <f>IF(OpenLCAbasic!K3183="CTUh", "Fill in Manually",IF(OR(K3183="Unit", K3183=""), "", INDEX(LookUps!$E$5:$E$12, MATCH(OpenLCAbasic!K3183,LookUps!$D$5:$D$12,0))))</f>
        <v/>
      </c>
      <c r="M3183" s="154" t="str">
        <f t="shared" si="157"/>
        <v>High_Medium_Base_Upgraded__Process_Base_With Amendment_Windrow</v>
      </c>
    </row>
    <row r="3184" spans="1:13" s="120" customFormat="1" x14ac:dyDescent="0.25">
      <c r="A3184" s="119"/>
      <c r="B3184" s="138" t="str">
        <f t="shared" si="155"/>
        <v>Windrow</v>
      </c>
      <c r="C3184" s="138" t="str">
        <f t="shared" si="156"/>
        <v>Base_With Amendment</v>
      </c>
      <c r="D3184" s="118" t="s">
        <v>136</v>
      </c>
      <c r="E3184" s="118" t="s">
        <v>181</v>
      </c>
      <c r="F3184" s="118" t="s">
        <v>46</v>
      </c>
      <c r="G3184" s="153"/>
      <c r="H3184" s="155">
        <v>0.46210000000000001</v>
      </c>
      <c r="I3184" s="154" t="s">
        <v>55</v>
      </c>
      <c r="J3184" s="203">
        <v>1.7219999999999999E-2</v>
      </c>
      <c r="K3184" s="154" t="s">
        <v>24</v>
      </c>
      <c r="L3184" s="154" t="str">
        <f>IF(OpenLCAbasic!K3184="CTUh", "Fill in Manually",IF(OR(K3184="Unit", K3184=""), "", INDEX(LookUps!$E$5:$E$12, MATCH(OpenLCAbasic!K3184,LookUps!$D$5:$D$12,0))))</f>
        <v>Acidification Potential (AP) - kg SO2 eq</v>
      </c>
      <c r="M3184" s="154" t="str">
        <f t="shared" si="157"/>
        <v>High_Medium_Base_Upgraded_Acidification Potential (AP) - kg SO2 eq_Aeration Tanks; wastewater treatment unit; at updated plant - US_Base_With Amendment_Windrow</v>
      </c>
    </row>
    <row r="3185" spans="1:13" s="120" customFormat="1" x14ac:dyDescent="0.25">
      <c r="A3185" s="119"/>
      <c r="B3185" s="138" t="str">
        <f t="shared" si="155"/>
        <v>Windrow</v>
      </c>
      <c r="C3185" s="138" t="str">
        <f t="shared" si="156"/>
        <v>Base_With Amendment</v>
      </c>
      <c r="D3185" s="118" t="s">
        <v>136</v>
      </c>
      <c r="E3185" s="118" t="s">
        <v>181</v>
      </c>
      <c r="F3185" s="118" t="s">
        <v>46</v>
      </c>
      <c r="G3185" s="153"/>
      <c r="H3185" s="155">
        <v>0.40210000000000001</v>
      </c>
      <c r="I3185" s="154" t="s">
        <v>271</v>
      </c>
      <c r="J3185" s="203">
        <v>1.499E-2</v>
      </c>
      <c r="K3185" s="154" t="s">
        <v>24</v>
      </c>
      <c r="L3185" s="154" t="str">
        <f>IF(OpenLCAbasic!K3185="CTUh", "Fill in Manually",IF(OR(K3185="Unit", K3185=""), "", INDEX(LookUps!$E$5:$E$12, MATCH(OpenLCAbasic!K3185,LookUps!$D$5:$D$12,0))))</f>
        <v>Acidification Potential (AP) - kg SO2 eq</v>
      </c>
      <c r="M3185" s="154" t="str">
        <f t="shared" si="157"/>
        <v>High_Medium_Base_Upgraded_Acidification Potential (AP) - kg SO2 eq_Biosolids composting; windrow composting; wastewater treatment unit; at updated plant - US_Base_With Amendment_Windrow</v>
      </c>
    </row>
    <row r="3186" spans="1:13" s="120" customFormat="1" x14ac:dyDescent="0.25">
      <c r="A3186" s="119"/>
      <c r="B3186" s="138" t="str">
        <f t="shared" si="155"/>
        <v>Windrow</v>
      </c>
      <c r="C3186" s="138" t="str">
        <f t="shared" si="156"/>
        <v>Base_With Amendment</v>
      </c>
      <c r="D3186" s="118" t="s">
        <v>136</v>
      </c>
      <c r="E3186" s="118" t="s">
        <v>181</v>
      </c>
      <c r="F3186" s="118" t="s">
        <v>46</v>
      </c>
      <c r="G3186" s="153"/>
      <c r="H3186" s="155">
        <v>0.1336</v>
      </c>
      <c r="I3186" s="154" t="s">
        <v>54</v>
      </c>
      <c r="J3186" s="204">
        <v>4.9800000000000001E-3</v>
      </c>
      <c r="K3186" s="154" t="s">
        <v>24</v>
      </c>
      <c r="L3186" s="154" t="str">
        <f>IF(OpenLCAbasic!K3186="CTUh", "Fill in Manually",IF(OR(K3186="Unit", K3186=""), "", INDEX(LookUps!$E$5:$E$12, MATCH(OpenLCAbasic!K3186,LookUps!$D$5:$D$12,0))))</f>
        <v>Acidification Potential (AP) - kg SO2 eq</v>
      </c>
      <c r="M3186" s="154" t="str">
        <f t="shared" si="157"/>
        <v>High_Medium_Base_Upgraded_Acidification Potential (AP) - kg SO2 eq_Clear Cove Primary Clarification; wastewater treatment unit; at updated plant - US_Base_With Amendment_Windrow</v>
      </c>
    </row>
    <row r="3187" spans="1:13" s="120" customFormat="1" x14ac:dyDescent="0.25">
      <c r="A3187" s="119"/>
      <c r="B3187" s="138" t="str">
        <f t="shared" si="155"/>
        <v>Windrow</v>
      </c>
      <c r="C3187" s="138" t="str">
        <f t="shared" si="156"/>
        <v>Base_With Amendment</v>
      </c>
      <c r="D3187" s="118" t="s">
        <v>136</v>
      </c>
      <c r="E3187" s="118" t="s">
        <v>181</v>
      </c>
      <c r="F3187" s="118" t="s">
        <v>46</v>
      </c>
      <c r="G3187" s="153"/>
      <c r="H3187" s="155">
        <v>0.1166</v>
      </c>
      <c r="I3187" s="154" t="s">
        <v>58</v>
      </c>
      <c r="J3187" s="204">
        <v>4.3499999999999997E-3</v>
      </c>
      <c r="K3187" s="154" t="s">
        <v>24</v>
      </c>
      <c r="L3187" s="154" t="str">
        <f>IF(OpenLCAbasic!K3187="CTUh", "Fill in Manually",IF(OR(K3187="Unit", K3187=""), "", INDEX(LookUps!$E$5:$E$12, MATCH(OpenLCAbasic!K3187,LookUps!$D$5:$D$12,0))))</f>
        <v>Acidification Potential (AP) - kg SO2 eq</v>
      </c>
      <c r="M3187" s="154" t="str">
        <f t="shared" si="157"/>
        <v>High_Medium_Base_Upgraded_Acidification Potential (AP) - kg SO2 eq_Pre-Anoxic &amp; Swing tank; wastewater treatment unit; at updated plant - US_Base_With Amendment_Windrow</v>
      </c>
    </row>
    <row r="3188" spans="1:13" s="120" customFormat="1" x14ac:dyDescent="0.25">
      <c r="A3188" s="119"/>
      <c r="B3188" s="138" t="str">
        <f t="shared" si="155"/>
        <v>Windrow</v>
      </c>
      <c r="C3188" s="138" t="str">
        <f t="shared" si="156"/>
        <v>Base_With Amendment</v>
      </c>
      <c r="D3188" s="118" t="s">
        <v>136</v>
      </c>
      <c r="E3188" s="118" t="s">
        <v>181</v>
      </c>
      <c r="F3188" s="118" t="s">
        <v>46</v>
      </c>
      <c r="G3188" s="153"/>
      <c r="H3188" s="155">
        <v>9.2600000000000002E-2</v>
      </c>
      <c r="I3188" s="154" t="s">
        <v>53</v>
      </c>
      <c r="J3188" s="204">
        <v>3.4499999999999999E-3</v>
      </c>
      <c r="K3188" s="154" t="s">
        <v>24</v>
      </c>
      <c r="L3188" s="154" t="str">
        <f>IF(OpenLCAbasic!K3188="CTUh", "Fill in Manually",IF(OR(K3188="Unit", K3188=""), "", INDEX(LookUps!$E$5:$E$12, MATCH(OpenLCAbasic!K3188,LookUps!$D$5:$D$12,0))))</f>
        <v>Acidification Potential (AP) - kg SO2 eq</v>
      </c>
      <c r="M3188" s="154" t="str">
        <f t="shared" si="157"/>
        <v>High_Medium_Base_Upgraded_Acidification Potential (AP) - kg SO2 eq_Wet Well and Sump Station; wastewater treatment unit; at updated plant - US_Base_With Amendment_Windrow</v>
      </c>
    </row>
    <row r="3189" spans="1:13" s="120" customFormat="1" x14ac:dyDescent="0.25">
      <c r="A3189" s="119"/>
      <c r="B3189" s="138" t="str">
        <f t="shared" si="155"/>
        <v>Windrow</v>
      </c>
      <c r="C3189" s="138" t="str">
        <f t="shared" si="156"/>
        <v>Base_With Amendment</v>
      </c>
      <c r="D3189" s="118" t="s">
        <v>136</v>
      </c>
      <c r="E3189" s="118" t="s">
        <v>181</v>
      </c>
      <c r="F3189" s="118" t="s">
        <v>46</v>
      </c>
      <c r="G3189" s="153"/>
      <c r="H3189" s="155">
        <v>8.6999999999999994E-2</v>
      </c>
      <c r="I3189" s="154" t="s">
        <v>62</v>
      </c>
      <c r="J3189" s="204">
        <v>3.2399999999999998E-3</v>
      </c>
      <c r="K3189" s="154" t="s">
        <v>24</v>
      </c>
      <c r="L3189" s="154" t="str">
        <f>IF(OpenLCAbasic!K3189="CTUh", "Fill in Manually",IF(OR(K3189="Unit", K3189=""), "", INDEX(LookUps!$E$5:$E$12, MATCH(OpenLCAbasic!K3189,LookUps!$D$5:$D$12,0))))</f>
        <v>Acidification Potential (AP) - kg SO2 eq</v>
      </c>
      <c r="M3189" s="154" t="str">
        <f t="shared" si="157"/>
        <v>High_Medium_Base_Upgraded_Acidification Potential (AP) - kg SO2 eq_Land application of compost; wastewater treatment unit; at updated plant - US_Base_With Amendment_Windrow</v>
      </c>
    </row>
    <row r="3190" spans="1:13" s="120" customFormat="1" x14ac:dyDescent="0.25">
      <c r="A3190" s="119"/>
      <c r="B3190" s="138" t="str">
        <f t="shared" si="155"/>
        <v>Windrow</v>
      </c>
      <c r="C3190" s="138" t="str">
        <f t="shared" si="156"/>
        <v>Base_With Amendment</v>
      </c>
      <c r="D3190" s="118" t="s">
        <v>136</v>
      </c>
      <c r="E3190" s="118" t="s">
        <v>181</v>
      </c>
      <c r="F3190" s="118" t="s">
        <v>46</v>
      </c>
      <c r="G3190" s="153"/>
      <c r="H3190" s="155">
        <v>6.7900000000000002E-2</v>
      </c>
      <c r="I3190" s="154" t="s">
        <v>167</v>
      </c>
      <c r="J3190" s="204">
        <v>2.5300000000000001E-3</v>
      </c>
      <c r="K3190" s="154" t="s">
        <v>24</v>
      </c>
      <c r="L3190" s="154" t="str">
        <f>IF(OpenLCAbasic!K3190="CTUh", "Fill in Manually",IF(OR(K3190="Unit", K3190=""), "", INDEX(LookUps!$E$5:$E$12, MATCH(OpenLCAbasic!K3190,LookUps!$D$5:$D$12,0))))</f>
        <v>Acidification Potential (AP) - kg SO2 eq</v>
      </c>
      <c r="M3190" s="154" t="str">
        <f t="shared" si="157"/>
        <v>High_Medium_Base_Upgraded_Acidification Potential (AP) - kg SO2 eq_Waste Receiving and Holding; wastewater treatment unit; at updated plant - US_Base_With Amendment_Windrow</v>
      </c>
    </row>
    <row r="3191" spans="1:13" s="120" customFormat="1" x14ac:dyDescent="0.25">
      <c r="A3191" s="119"/>
      <c r="B3191" s="138" t="str">
        <f t="shared" si="155"/>
        <v>Windrow</v>
      </c>
      <c r="C3191" s="138" t="str">
        <f t="shared" si="156"/>
        <v>Base_With Amendment</v>
      </c>
      <c r="D3191" s="118" t="s">
        <v>136</v>
      </c>
      <c r="E3191" s="118" t="s">
        <v>181</v>
      </c>
      <c r="F3191" s="118" t="s">
        <v>46</v>
      </c>
      <c r="G3191" s="153"/>
      <c r="H3191" s="155">
        <v>5.5500000000000001E-2</v>
      </c>
      <c r="I3191" s="154" t="s">
        <v>147</v>
      </c>
      <c r="J3191" s="204">
        <v>2.0699999999999998E-3</v>
      </c>
      <c r="K3191" s="154" t="s">
        <v>24</v>
      </c>
      <c r="L3191" s="154" t="str">
        <f>IF(OpenLCAbasic!K3191="CTUh", "Fill in Manually",IF(OR(K3191="Unit", K3191=""), "", INDEX(LookUps!$E$5:$E$12, MATCH(OpenLCAbasic!K3191,LookUps!$D$5:$D$12,0))))</f>
        <v>Acidification Potential (AP) - kg SO2 eq</v>
      </c>
      <c r="M3191" s="154" t="str">
        <f t="shared" si="157"/>
        <v>High_Medium_Base_Upgraded_Acidification Potential (AP) - kg SO2 eq_Influent Pump Station; wastewater treatment unit; at updated plant - US_Base_With Amendment_Windrow</v>
      </c>
    </row>
    <row r="3192" spans="1:13" s="120" customFormat="1" x14ac:dyDescent="0.25">
      <c r="A3192" s="119"/>
      <c r="B3192" s="138" t="str">
        <f t="shared" si="155"/>
        <v>Windrow</v>
      </c>
      <c r="C3192" s="138" t="str">
        <f t="shared" si="156"/>
        <v>Base_With Amendment</v>
      </c>
      <c r="D3192" s="118" t="s">
        <v>136</v>
      </c>
      <c r="E3192" s="118" t="s">
        <v>181</v>
      </c>
      <c r="F3192" s="118" t="s">
        <v>46</v>
      </c>
      <c r="G3192" s="153"/>
      <c r="H3192" s="155">
        <v>3.3099999999999997E-2</v>
      </c>
      <c r="I3192" s="154" t="s">
        <v>128</v>
      </c>
      <c r="J3192" s="204">
        <v>1.23E-3</v>
      </c>
      <c r="K3192" s="154" t="s">
        <v>24</v>
      </c>
      <c r="L3192" s="154" t="str">
        <f>IF(OpenLCAbasic!K3192="CTUh", "Fill in Manually",IF(OR(K3192="Unit", K3192=""), "", INDEX(LookUps!$E$5:$E$12, MATCH(OpenLCAbasic!K3192,LookUps!$D$5:$D$12,0))))</f>
        <v>Acidification Potential (AP) - kg SO2 eq</v>
      </c>
      <c r="M3192" s="154" t="str">
        <f t="shared" si="157"/>
        <v>High_Medium_Base_Upgraded_Acidification Potential (AP) - kg SO2 eq_Wastewater collection; operation and infrastructure; m3 wastewater_Base_With Amendment_Windrow</v>
      </c>
    </row>
    <row r="3193" spans="1:13" s="120" customFormat="1" x14ac:dyDescent="0.25">
      <c r="A3193" s="119"/>
      <c r="B3193" s="138" t="str">
        <f t="shared" si="155"/>
        <v>Windrow</v>
      </c>
      <c r="C3193" s="138" t="str">
        <f t="shared" si="156"/>
        <v>Base_With Amendment</v>
      </c>
      <c r="D3193" s="118" t="s">
        <v>136</v>
      </c>
      <c r="E3193" s="118" t="s">
        <v>181</v>
      </c>
      <c r="F3193" s="118" t="s">
        <v>46</v>
      </c>
      <c r="G3193" s="153"/>
      <c r="H3193" s="155">
        <v>2.86E-2</v>
      </c>
      <c r="I3193" s="154" t="s">
        <v>60</v>
      </c>
      <c r="J3193" s="204">
        <v>1.07E-3</v>
      </c>
      <c r="K3193" s="154" t="s">
        <v>24</v>
      </c>
      <c r="L3193" s="154" t="str">
        <f>IF(OpenLCAbasic!K3193="CTUh", "Fill in Manually",IF(OR(K3193="Unit", K3193=""), "", INDEX(LookUps!$E$5:$E$12, MATCH(OpenLCAbasic!K3193,LookUps!$D$5:$D$12,0))))</f>
        <v>Acidification Potential (AP) - kg SO2 eq</v>
      </c>
      <c r="M3193" s="154" t="str">
        <f t="shared" si="157"/>
        <v>High_Medium_Base_Upgraded_Acidification Potential (AP) - kg SO2 eq_Belt filter press; wastewater treatment unit; at updated plant - US_Base_With Amendment_Windrow</v>
      </c>
    </row>
    <row r="3194" spans="1:13" s="120" customFormat="1" x14ac:dyDescent="0.25">
      <c r="A3194" s="119"/>
      <c r="B3194" s="138" t="str">
        <f t="shared" si="155"/>
        <v>Windrow</v>
      </c>
      <c r="C3194" s="138" t="str">
        <f t="shared" si="156"/>
        <v>Base_With Amendment</v>
      </c>
      <c r="D3194" s="118" t="s">
        <v>136</v>
      </c>
      <c r="E3194" s="118" t="s">
        <v>181</v>
      </c>
      <c r="F3194" s="118" t="s">
        <v>46</v>
      </c>
      <c r="G3194" s="153"/>
      <c r="H3194" s="155">
        <v>1.89E-2</v>
      </c>
      <c r="I3194" s="154" t="s">
        <v>57</v>
      </c>
      <c r="J3194" s="204">
        <v>6.9999999999999999E-4</v>
      </c>
      <c r="K3194" s="154" t="s">
        <v>24</v>
      </c>
      <c r="L3194" s="154" t="str">
        <f>IF(OpenLCAbasic!K3194="CTUh", "Fill in Manually",IF(OR(K3194="Unit", K3194=""), "", INDEX(LookUps!$E$5:$E$12, MATCH(OpenLCAbasic!K3194,LookUps!$D$5:$D$12,0))))</f>
        <v>Acidification Potential (AP) - kg SO2 eq</v>
      </c>
      <c r="M3194" s="154" t="str">
        <f t="shared" si="157"/>
        <v>High_Medium_Base_Upgraded_Acidification Potential (AP) - kg SO2 eq_Gravity Belt Thickener; wastewater treatment unit; at updated plant - US_Base_With Amendment_Windrow</v>
      </c>
    </row>
    <row r="3195" spans="1:13" s="120" customFormat="1" x14ac:dyDescent="0.25">
      <c r="A3195" s="119"/>
      <c r="B3195" s="138" t="str">
        <f t="shared" si="155"/>
        <v>Windrow</v>
      </c>
      <c r="C3195" s="138" t="str">
        <f t="shared" si="156"/>
        <v>Base_With Amendment</v>
      </c>
      <c r="D3195" s="118" t="s">
        <v>136</v>
      </c>
      <c r="E3195" s="118" t="s">
        <v>181</v>
      </c>
      <c r="F3195" s="118" t="s">
        <v>46</v>
      </c>
      <c r="G3195" s="153"/>
      <c r="H3195" s="155">
        <v>1.3899999999999999E-2</v>
      </c>
      <c r="I3195" s="154" t="s">
        <v>59</v>
      </c>
      <c r="J3195" s="204">
        <v>5.1999999999999995E-4</v>
      </c>
      <c r="K3195" s="154" t="s">
        <v>24</v>
      </c>
      <c r="L3195" s="154" t="str">
        <f>IF(OpenLCAbasic!K3195="CTUh", "Fill in Manually",IF(OR(K3195="Unit", K3195=""), "", INDEX(LookUps!$E$5:$E$12, MATCH(OpenLCAbasic!K3195,LookUps!$D$5:$D$12,0))))</f>
        <v>Acidification Potential (AP) - kg SO2 eq</v>
      </c>
      <c r="M3195" s="154" t="str">
        <f t="shared" si="157"/>
        <v>High_Medium_Base_Upgraded_Acidification Potential (AP) - kg SO2 eq_Blend Tank; wastewater treatment unit; at updated plant - US_Base_With Amendment_Windrow</v>
      </c>
    </row>
    <row r="3196" spans="1:13" s="120" customFormat="1" x14ac:dyDescent="0.25">
      <c r="A3196" s="119"/>
      <c r="B3196" s="138" t="str">
        <f t="shared" si="155"/>
        <v>Windrow</v>
      </c>
      <c r="C3196" s="138" t="str">
        <f t="shared" si="156"/>
        <v>Base_With Amendment</v>
      </c>
      <c r="D3196" s="118" t="s">
        <v>136</v>
      </c>
      <c r="E3196" s="118" t="s">
        <v>181</v>
      </c>
      <c r="F3196" s="118" t="s">
        <v>46</v>
      </c>
      <c r="G3196" s="153"/>
      <c r="H3196" s="155">
        <v>9.2999999999999992E-3</v>
      </c>
      <c r="I3196" s="154" t="s">
        <v>48</v>
      </c>
      <c r="J3196" s="204">
        <v>3.5E-4</v>
      </c>
      <c r="K3196" s="154" t="s">
        <v>24</v>
      </c>
      <c r="L3196" s="154" t="str">
        <f>IF(OpenLCAbasic!K3196="CTUh", "Fill in Manually",IF(OR(K3196="Unit", K3196=""), "", INDEX(LookUps!$E$5:$E$12, MATCH(OpenLCAbasic!K3196,LookUps!$D$5:$D$12,0))))</f>
        <v>Acidification Potential (AP) - kg SO2 eq</v>
      </c>
      <c r="M3196" s="154" t="str">
        <f t="shared" si="157"/>
        <v>High_Medium_Base_Upgraded_Acidification Potential (AP) - kg SO2 eq_Effluent release; wastewater treatment unit; at surface water; m3 wastewater - US_Base_With Amendment_Windrow</v>
      </c>
    </row>
    <row r="3197" spans="1:13" s="120" customFormat="1" x14ac:dyDescent="0.25">
      <c r="A3197" s="119"/>
      <c r="B3197" s="138" t="str">
        <f t="shared" si="155"/>
        <v>Windrow</v>
      </c>
      <c r="C3197" s="138" t="str">
        <f t="shared" si="156"/>
        <v>Base_With Amendment</v>
      </c>
      <c r="D3197" s="118" t="s">
        <v>136</v>
      </c>
      <c r="E3197" s="118" t="s">
        <v>181</v>
      </c>
      <c r="F3197" s="118" t="s">
        <v>46</v>
      </c>
      <c r="G3197" s="153"/>
      <c r="H3197" s="155">
        <v>6.7999999999999996E-3</v>
      </c>
      <c r="I3197" s="154" t="s">
        <v>168</v>
      </c>
      <c r="J3197" s="204">
        <v>2.5999999999999998E-4</v>
      </c>
      <c r="K3197" s="154" t="s">
        <v>24</v>
      </c>
      <c r="L3197" s="154" t="str">
        <f>IF(OpenLCAbasic!K3197="CTUh", "Fill in Manually",IF(OR(K3197="Unit", K3197=""), "", INDEX(LookUps!$E$5:$E$12, MATCH(OpenLCAbasic!K3197,LookUps!$D$5:$D$12,0))))</f>
        <v>Acidification Potential (AP) - kg SO2 eq</v>
      </c>
      <c r="M3197" s="154" t="str">
        <f t="shared" si="157"/>
        <v>High_Medium_Base_Upgraded_Acidification Potential (AP) - kg SO2 eq_ClearCove SCP; wastewater treatment unit; at updated plant - US_Base_With Amendment_Windrow</v>
      </c>
    </row>
    <row r="3198" spans="1:13" s="120" customFormat="1" x14ac:dyDescent="0.25">
      <c r="A3198" s="119"/>
      <c r="B3198" s="138" t="str">
        <f t="shared" si="155"/>
        <v>Windrow</v>
      </c>
      <c r="C3198" s="138" t="str">
        <f t="shared" si="156"/>
        <v>Base_With Amendment</v>
      </c>
      <c r="D3198" s="118" t="s">
        <v>136</v>
      </c>
      <c r="E3198" s="118" t="s">
        <v>181</v>
      </c>
      <c r="F3198" s="118" t="s">
        <v>46</v>
      </c>
      <c r="G3198" s="153"/>
      <c r="H3198" s="155">
        <v>1.1000000000000001E-3</v>
      </c>
      <c r="I3198" s="154" t="s">
        <v>148</v>
      </c>
      <c r="J3198" s="204">
        <v>4.0354700000000002E-5</v>
      </c>
      <c r="K3198" s="154" t="s">
        <v>24</v>
      </c>
      <c r="L3198" s="154" t="str">
        <f>IF(OpenLCAbasic!K3198="CTUh", "Fill in Manually",IF(OR(K3198="Unit", K3198=""), "", INDEX(LookUps!$E$5:$E$12, MATCH(OpenLCAbasic!K3198,LookUps!$D$5:$D$12,0))))</f>
        <v>Acidification Potential (AP) - kg SO2 eq</v>
      </c>
      <c r="M3198" s="154" t="str">
        <f t="shared" si="157"/>
        <v>High_Medium_Base_Upgraded_Acidification Potential (AP) - kg SO2 eq_Control Building; at upgraded wastewater treatment plant - US_Base_With Amendment_Windrow</v>
      </c>
    </row>
    <row r="3199" spans="1:13" s="120" customFormat="1" x14ac:dyDescent="0.25">
      <c r="A3199" s="119"/>
      <c r="B3199" s="138" t="str">
        <f t="shared" si="155"/>
        <v>Windrow</v>
      </c>
      <c r="C3199" s="138" t="str">
        <f t="shared" si="156"/>
        <v>Base_With Amendment</v>
      </c>
      <c r="D3199" s="118" t="s">
        <v>136</v>
      </c>
      <c r="E3199" s="118" t="s">
        <v>181</v>
      </c>
      <c r="F3199" s="118" t="s">
        <v>46</v>
      </c>
      <c r="G3199" s="153"/>
      <c r="H3199" s="155">
        <v>-0.52910000000000001</v>
      </c>
      <c r="I3199" s="154" t="s">
        <v>149</v>
      </c>
      <c r="J3199" s="203">
        <v>-1.9720000000000001E-2</v>
      </c>
      <c r="K3199" s="154" t="s">
        <v>24</v>
      </c>
      <c r="L3199" s="154" t="str">
        <f>IF(OpenLCAbasic!K3199="CTUh", "Fill in Manually",IF(OR(K3199="Unit", K3199=""), "", INDEX(LookUps!$E$5:$E$12, MATCH(OpenLCAbasic!K3199,LookUps!$D$5:$D$12,0))))</f>
        <v>Acidification Potential (AP) - kg SO2 eq</v>
      </c>
      <c r="M3199" s="154" t="str">
        <f t="shared" si="157"/>
        <v>High_Medium_Base_Upgraded_Acidification Potential (AP) - kg SO2 eq_Anaerobic Digestion; wastewater treatment unit; at updated plant - US_Base_With Amendment_Windrow</v>
      </c>
    </row>
    <row r="3200" spans="1:13" s="120" customFormat="1" x14ac:dyDescent="0.25">
      <c r="A3200" s="119"/>
      <c r="B3200" s="138" t="str">
        <f t="shared" si="155"/>
        <v>Windrow</v>
      </c>
      <c r="C3200" s="138" t="str">
        <f t="shared" si="156"/>
        <v>Base_With Amendment</v>
      </c>
      <c r="D3200" s="118" t="s">
        <v>136</v>
      </c>
      <c r="E3200" s="118" t="s">
        <v>181</v>
      </c>
      <c r="F3200" s="118" t="s">
        <v>46</v>
      </c>
      <c r="G3200" s="153" t="s">
        <v>51</v>
      </c>
      <c r="H3200" s="154"/>
      <c r="I3200" s="154" t="s">
        <v>47</v>
      </c>
      <c r="J3200" s="154" t="s">
        <v>52</v>
      </c>
      <c r="K3200" s="154" t="s">
        <v>27</v>
      </c>
      <c r="L3200" s="154" t="str">
        <f>IF(OpenLCAbasic!K3200="CTUh", "Fill in Manually",IF(OR(K3200="Unit", K3200=""), "", INDEX(LookUps!$E$5:$E$12, MATCH(OpenLCAbasic!K3200,LookUps!$D$5:$D$12,0))))</f>
        <v/>
      </c>
      <c r="M3200" s="154" t="str">
        <f t="shared" si="157"/>
        <v>High_Medium_Base_Upgraded__Process_Base_With Amendment_Windrow</v>
      </c>
    </row>
    <row r="3201" spans="1:13" s="120" customFormat="1" x14ac:dyDescent="0.25">
      <c r="A3201" s="119"/>
      <c r="B3201" s="138" t="str">
        <f t="shared" si="155"/>
        <v>Windrow</v>
      </c>
      <c r="C3201" s="138" t="str">
        <f t="shared" si="156"/>
        <v>Base_With Amendment</v>
      </c>
      <c r="D3201" s="118" t="s">
        <v>136</v>
      </c>
      <c r="E3201" s="118" t="s">
        <v>181</v>
      </c>
      <c r="F3201" s="118" t="s">
        <v>46</v>
      </c>
      <c r="G3201" s="153"/>
      <c r="H3201" s="155">
        <v>1.4987999999999999</v>
      </c>
      <c r="I3201" s="154" t="s">
        <v>167</v>
      </c>
      <c r="J3201" s="203">
        <v>9.7259999999999999E-2</v>
      </c>
      <c r="K3201" s="154" t="s">
        <v>14</v>
      </c>
      <c r="L3201" s="154" t="str">
        <f>IF(OpenLCAbasic!K3201="CTUh", "Fill in Manually",IF(OR(K3201="Unit", K3201=""), "", INDEX(LookUps!$E$5:$E$12, MATCH(OpenLCAbasic!K3201,LookUps!$D$5:$D$12,0))))</f>
        <v>Fossil Depletion Potential (FDP) - kg oil eq</v>
      </c>
      <c r="M3201" s="154" t="str">
        <f t="shared" si="157"/>
        <v>High_Medium_Base_Upgraded_Fossil Depletion Potential (FDP) - kg oil eq_Waste Receiving and Holding; wastewater treatment unit; at updated plant - US_Base_With Amendment_Windrow</v>
      </c>
    </row>
    <row r="3202" spans="1:13" s="120" customFormat="1" x14ac:dyDescent="0.25">
      <c r="A3202" s="119"/>
      <c r="B3202" s="138" t="str">
        <f t="shared" si="155"/>
        <v>Windrow</v>
      </c>
      <c r="C3202" s="138" t="str">
        <f t="shared" si="156"/>
        <v>Base_With Amendment</v>
      </c>
      <c r="D3202" s="118" t="s">
        <v>136</v>
      </c>
      <c r="E3202" s="118" t="s">
        <v>181</v>
      </c>
      <c r="F3202" s="118" t="s">
        <v>46</v>
      </c>
      <c r="G3202" s="153"/>
      <c r="H3202" s="155">
        <v>0.98</v>
      </c>
      <c r="I3202" s="154" t="s">
        <v>55</v>
      </c>
      <c r="J3202" s="203">
        <v>6.3589999999999994E-2</v>
      </c>
      <c r="K3202" s="154" t="s">
        <v>14</v>
      </c>
      <c r="L3202" s="154" t="str">
        <f>IF(OpenLCAbasic!K3202="CTUh", "Fill in Manually",IF(OR(K3202="Unit", K3202=""), "", INDEX(LookUps!$E$5:$E$12, MATCH(OpenLCAbasic!K3202,LookUps!$D$5:$D$12,0))))</f>
        <v>Fossil Depletion Potential (FDP) - kg oil eq</v>
      </c>
      <c r="M3202" s="154" t="str">
        <f t="shared" si="157"/>
        <v>High_Medium_Base_Upgraded_Fossil Depletion Potential (FDP) - kg oil eq_Aeration Tanks; wastewater treatment unit; at updated plant - US_Base_With Amendment_Windrow</v>
      </c>
    </row>
    <row r="3203" spans="1:13" s="120" customFormat="1" x14ac:dyDescent="0.25">
      <c r="A3203" s="119"/>
      <c r="B3203" s="138" t="str">
        <f t="shared" si="155"/>
        <v>Windrow</v>
      </c>
      <c r="C3203" s="138" t="str">
        <f t="shared" si="156"/>
        <v>Base_With Amendment</v>
      </c>
      <c r="D3203" s="118" t="s">
        <v>136</v>
      </c>
      <c r="E3203" s="118" t="s">
        <v>181</v>
      </c>
      <c r="F3203" s="118" t="s">
        <v>46</v>
      </c>
      <c r="G3203" s="153"/>
      <c r="H3203" s="155">
        <v>0.32440000000000002</v>
      </c>
      <c r="I3203" s="154" t="s">
        <v>54</v>
      </c>
      <c r="J3203" s="203">
        <v>2.1049999999999999E-2</v>
      </c>
      <c r="K3203" s="154" t="s">
        <v>14</v>
      </c>
      <c r="L3203" s="154" t="str">
        <f>IF(OpenLCAbasic!K3203="CTUh", "Fill in Manually",IF(OR(K3203="Unit", K3203=""), "", INDEX(LookUps!$E$5:$E$12, MATCH(OpenLCAbasic!K3203,LookUps!$D$5:$D$12,0))))</f>
        <v>Fossil Depletion Potential (FDP) - kg oil eq</v>
      </c>
      <c r="M3203" s="154" t="str">
        <f t="shared" si="157"/>
        <v>High_Medium_Base_Upgraded_Fossil Depletion Potential (FDP) - kg oil eq_Clear Cove Primary Clarification; wastewater treatment unit; at updated plant - US_Base_With Amendment_Windrow</v>
      </c>
    </row>
    <row r="3204" spans="1:13" s="120" customFormat="1" x14ac:dyDescent="0.25">
      <c r="A3204" s="119"/>
      <c r="B3204" s="138" t="str">
        <f t="shared" si="155"/>
        <v>Windrow</v>
      </c>
      <c r="C3204" s="138" t="str">
        <f t="shared" si="156"/>
        <v>Base_With Amendment</v>
      </c>
      <c r="D3204" s="118" t="s">
        <v>136</v>
      </c>
      <c r="E3204" s="118" t="s">
        <v>181</v>
      </c>
      <c r="F3204" s="118" t="s">
        <v>46</v>
      </c>
      <c r="G3204" s="153"/>
      <c r="H3204" s="155">
        <v>0.2462</v>
      </c>
      <c r="I3204" s="154" t="s">
        <v>58</v>
      </c>
      <c r="J3204" s="203">
        <v>1.5980000000000001E-2</v>
      </c>
      <c r="K3204" s="154" t="s">
        <v>14</v>
      </c>
      <c r="L3204" s="154" t="str">
        <f>IF(OpenLCAbasic!K3204="CTUh", "Fill in Manually",IF(OR(K3204="Unit", K3204=""), "", INDEX(LookUps!$E$5:$E$12, MATCH(OpenLCAbasic!K3204,LookUps!$D$5:$D$12,0))))</f>
        <v>Fossil Depletion Potential (FDP) - kg oil eq</v>
      </c>
      <c r="M3204" s="154" t="str">
        <f t="shared" si="157"/>
        <v>High_Medium_Base_Upgraded_Fossil Depletion Potential (FDP) - kg oil eq_Pre-Anoxic &amp; Swing tank; wastewater treatment unit; at updated plant - US_Base_With Amendment_Windrow</v>
      </c>
    </row>
    <row r="3205" spans="1:13" s="120" customFormat="1" x14ac:dyDescent="0.25">
      <c r="A3205" s="119"/>
      <c r="B3205" s="138" t="str">
        <f t="shared" si="155"/>
        <v>Windrow</v>
      </c>
      <c r="C3205" s="138" t="str">
        <f t="shared" si="156"/>
        <v>Base_With Amendment</v>
      </c>
      <c r="D3205" s="118" t="s">
        <v>136</v>
      </c>
      <c r="E3205" s="118" t="s">
        <v>181</v>
      </c>
      <c r="F3205" s="118" t="s">
        <v>46</v>
      </c>
      <c r="G3205" s="153"/>
      <c r="H3205" s="155">
        <v>0.23250000000000001</v>
      </c>
      <c r="I3205" s="154" t="s">
        <v>147</v>
      </c>
      <c r="J3205" s="203">
        <v>1.5089999999999999E-2</v>
      </c>
      <c r="K3205" s="154" t="s">
        <v>14</v>
      </c>
      <c r="L3205" s="154" t="str">
        <f>IF(OpenLCAbasic!K3205="CTUh", "Fill in Manually",IF(OR(K3205="Unit", K3205=""), "", INDEX(LookUps!$E$5:$E$12, MATCH(OpenLCAbasic!K3205,LookUps!$D$5:$D$12,0))))</f>
        <v>Fossil Depletion Potential (FDP) - kg oil eq</v>
      </c>
      <c r="M3205" s="154" t="str">
        <f t="shared" si="157"/>
        <v>High_Medium_Base_Upgraded_Fossil Depletion Potential (FDP) - kg oil eq_Influent Pump Station; wastewater treatment unit; at updated plant - US_Base_With Amendment_Windrow</v>
      </c>
    </row>
    <row r="3206" spans="1:13" s="120" customFormat="1" x14ac:dyDescent="0.25">
      <c r="A3206" s="119"/>
      <c r="B3206" s="138" t="str">
        <f t="shared" ref="B3206:B3269" si="158">IF(F3206="Legacy","n.a.",IF(F3206="","","Windrow"))</f>
        <v>Windrow</v>
      </c>
      <c r="C3206" s="138" t="str">
        <f t="shared" si="156"/>
        <v>Base_With Amendment</v>
      </c>
      <c r="D3206" s="118" t="s">
        <v>136</v>
      </c>
      <c r="E3206" s="118" t="s">
        <v>181</v>
      </c>
      <c r="F3206" s="118" t="s">
        <v>46</v>
      </c>
      <c r="G3206" s="153"/>
      <c r="H3206" s="155">
        <v>0.1925</v>
      </c>
      <c r="I3206" s="154" t="s">
        <v>53</v>
      </c>
      <c r="J3206" s="203">
        <v>1.2489999999999999E-2</v>
      </c>
      <c r="K3206" s="154" t="s">
        <v>14</v>
      </c>
      <c r="L3206" s="154" t="str">
        <f>IF(OpenLCAbasic!K3206="CTUh", "Fill in Manually",IF(OR(K3206="Unit", K3206=""), "", INDEX(LookUps!$E$5:$E$12, MATCH(OpenLCAbasic!K3206,LookUps!$D$5:$D$12,0))))</f>
        <v>Fossil Depletion Potential (FDP) - kg oil eq</v>
      </c>
      <c r="M3206" s="154" t="str">
        <f t="shared" si="157"/>
        <v>High_Medium_Base_Upgraded_Fossil Depletion Potential (FDP) - kg oil eq_Wet Well and Sump Station; wastewater treatment unit; at updated plant - US_Base_With Amendment_Windrow</v>
      </c>
    </row>
    <row r="3207" spans="1:13" s="120" customFormat="1" x14ac:dyDescent="0.25">
      <c r="A3207" s="119"/>
      <c r="B3207" s="138" t="str">
        <f t="shared" si="158"/>
        <v>Windrow</v>
      </c>
      <c r="C3207" s="138" t="str">
        <f t="shared" ref="C3207:C3270" si="159">IF(E3207&lt;&gt;"", "Base_With Amendment","")</f>
        <v>Base_With Amendment</v>
      </c>
      <c r="D3207" s="118" t="s">
        <v>136</v>
      </c>
      <c r="E3207" s="118" t="s">
        <v>181</v>
      </c>
      <c r="F3207" s="118" t="s">
        <v>46</v>
      </c>
      <c r="G3207" s="153"/>
      <c r="H3207" s="155">
        <v>0.1237</v>
      </c>
      <c r="I3207" s="154" t="s">
        <v>60</v>
      </c>
      <c r="J3207" s="204">
        <v>8.0300000000000007E-3</v>
      </c>
      <c r="K3207" s="154" t="s">
        <v>14</v>
      </c>
      <c r="L3207" s="154" t="str">
        <f>IF(OpenLCAbasic!K3207="CTUh", "Fill in Manually",IF(OR(K3207="Unit", K3207=""), "", INDEX(LookUps!$E$5:$E$12, MATCH(OpenLCAbasic!K3207,LookUps!$D$5:$D$12,0))))</f>
        <v>Fossil Depletion Potential (FDP) - kg oil eq</v>
      </c>
      <c r="M3207" s="154" t="str">
        <f t="shared" ref="M3207:M3270" si="160">CONCATENATE(E3207,"_",D3207,"_",F3207,"_",L3207, "_",I3207,"_", C3207,"_", B3207)</f>
        <v>High_Medium_Base_Upgraded_Fossil Depletion Potential (FDP) - kg oil eq_Belt filter press; wastewater treatment unit; at updated plant - US_Base_With Amendment_Windrow</v>
      </c>
    </row>
    <row r="3208" spans="1:13" s="120" customFormat="1" x14ac:dyDescent="0.25">
      <c r="A3208" s="119"/>
      <c r="B3208" s="138" t="str">
        <f t="shared" si="158"/>
        <v>Windrow</v>
      </c>
      <c r="C3208" s="138" t="str">
        <f t="shared" si="159"/>
        <v>Base_With Amendment</v>
      </c>
      <c r="D3208" s="118" t="s">
        <v>136</v>
      </c>
      <c r="E3208" s="118" t="s">
        <v>181</v>
      </c>
      <c r="F3208" s="118" t="s">
        <v>46</v>
      </c>
      <c r="G3208" s="153"/>
      <c r="H3208" s="155">
        <v>0.1066</v>
      </c>
      <c r="I3208" s="154" t="s">
        <v>57</v>
      </c>
      <c r="J3208" s="204">
        <v>6.9199999999999999E-3</v>
      </c>
      <c r="K3208" s="154" t="s">
        <v>14</v>
      </c>
      <c r="L3208" s="154" t="str">
        <f>IF(OpenLCAbasic!K3208="CTUh", "Fill in Manually",IF(OR(K3208="Unit", K3208=""), "", INDEX(LookUps!$E$5:$E$12, MATCH(OpenLCAbasic!K3208,LookUps!$D$5:$D$12,0))))</f>
        <v>Fossil Depletion Potential (FDP) - kg oil eq</v>
      </c>
      <c r="M3208" s="154" t="str">
        <f t="shared" si="160"/>
        <v>High_Medium_Base_Upgraded_Fossil Depletion Potential (FDP) - kg oil eq_Gravity Belt Thickener; wastewater treatment unit; at updated plant - US_Base_With Amendment_Windrow</v>
      </c>
    </row>
    <row r="3209" spans="1:13" s="120" customFormat="1" x14ac:dyDescent="0.25">
      <c r="A3209" s="119"/>
      <c r="B3209" s="138" t="str">
        <f t="shared" si="158"/>
        <v>Windrow</v>
      </c>
      <c r="C3209" s="138" t="str">
        <f t="shared" si="159"/>
        <v>Base_With Amendment</v>
      </c>
      <c r="D3209" s="118" t="s">
        <v>136</v>
      </c>
      <c r="E3209" s="118" t="s">
        <v>181</v>
      </c>
      <c r="F3209" s="118" t="s">
        <v>46</v>
      </c>
      <c r="G3209" s="153"/>
      <c r="H3209" s="155">
        <v>6.93E-2</v>
      </c>
      <c r="I3209" s="154" t="s">
        <v>128</v>
      </c>
      <c r="J3209" s="204">
        <v>4.4999999999999997E-3</v>
      </c>
      <c r="K3209" s="154" t="s">
        <v>14</v>
      </c>
      <c r="L3209" s="154" t="str">
        <f>IF(OpenLCAbasic!K3209="CTUh", "Fill in Manually",IF(OR(K3209="Unit", K3209=""), "", INDEX(LookUps!$E$5:$E$12, MATCH(OpenLCAbasic!K3209,LookUps!$D$5:$D$12,0))))</f>
        <v>Fossil Depletion Potential (FDP) - kg oil eq</v>
      </c>
      <c r="M3209" s="154" t="str">
        <f t="shared" si="160"/>
        <v>High_Medium_Base_Upgraded_Fossil Depletion Potential (FDP) - kg oil eq_Wastewater collection; operation and infrastructure; m3 wastewater_Base_With Amendment_Windrow</v>
      </c>
    </row>
    <row r="3210" spans="1:13" s="120" customFormat="1" x14ac:dyDescent="0.25">
      <c r="A3210" s="119"/>
      <c r="B3210" s="138" t="str">
        <f t="shared" si="158"/>
        <v>Windrow</v>
      </c>
      <c r="C3210" s="138" t="str">
        <f t="shared" si="159"/>
        <v>Base_With Amendment</v>
      </c>
      <c r="D3210" s="118" t="s">
        <v>136</v>
      </c>
      <c r="E3210" s="118" t="s">
        <v>181</v>
      </c>
      <c r="F3210" s="118" t="s">
        <v>46</v>
      </c>
      <c r="G3210" s="153"/>
      <c r="H3210" s="155">
        <v>4.3099999999999999E-2</v>
      </c>
      <c r="I3210" s="154" t="s">
        <v>148</v>
      </c>
      <c r="J3210" s="204">
        <v>2.8E-3</v>
      </c>
      <c r="K3210" s="154" t="s">
        <v>14</v>
      </c>
      <c r="L3210" s="154" t="str">
        <f>IF(OpenLCAbasic!K3210="CTUh", "Fill in Manually",IF(OR(K3210="Unit", K3210=""), "", INDEX(LookUps!$E$5:$E$12, MATCH(OpenLCAbasic!K3210,LookUps!$D$5:$D$12,0))))</f>
        <v>Fossil Depletion Potential (FDP) - kg oil eq</v>
      </c>
      <c r="M3210" s="154" t="str">
        <f t="shared" si="160"/>
        <v>High_Medium_Base_Upgraded_Fossil Depletion Potential (FDP) - kg oil eq_Control Building; at upgraded wastewater treatment plant - US_Base_With Amendment_Windrow</v>
      </c>
    </row>
    <row r="3211" spans="1:13" s="120" customFormat="1" x14ac:dyDescent="0.25">
      <c r="A3211" s="119"/>
      <c r="B3211" s="138" t="str">
        <f t="shared" si="158"/>
        <v>Windrow</v>
      </c>
      <c r="C3211" s="138" t="str">
        <f t="shared" si="159"/>
        <v>Base_With Amendment</v>
      </c>
      <c r="D3211" s="118" t="s">
        <v>136</v>
      </c>
      <c r="E3211" s="118" t="s">
        <v>181</v>
      </c>
      <c r="F3211" s="118" t="s">
        <v>46</v>
      </c>
      <c r="G3211" s="153"/>
      <c r="H3211" s="155">
        <v>3.6400000000000002E-2</v>
      </c>
      <c r="I3211" s="154" t="s">
        <v>48</v>
      </c>
      <c r="J3211" s="204">
        <v>2.3600000000000001E-3</v>
      </c>
      <c r="K3211" s="154" t="s">
        <v>14</v>
      </c>
      <c r="L3211" s="154" t="str">
        <f>IF(OpenLCAbasic!K3211="CTUh", "Fill in Manually",IF(OR(K3211="Unit", K3211=""), "", INDEX(LookUps!$E$5:$E$12, MATCH(OpenLCAbasic!K3211,LookUps!$D$5:$D$12,0))))</f>
        <v>Fossil Depletion Potential (FDP) - kg oil eq</v>
      </c>
      <c r="M3211" s="154" t="str">
        <f t="shared" si="160"/>
        <v>High_Medium_Base_Upgraded_Fossil Depletion Potential (FDP) - kg oil eq_Effluent release; wastewater treatment unit; at surface water; m3 wastewater - US_Base_With Amendment_Windrow</v>
      </c>
    </row>
    <row r="3212" spans="1:13" s="120" customFormat="1" x14ac:dyDescent="0.25">
      <c r="A3212" s="119"/>
      <c r="B3212" s="138" t="str">
        <f t="shared" si="158"/>
        <v>Windrow</v>
      </c>
      <c r="C3212" s="138" t="str">
        <f t="shared" si="159"/>
        <v>Base_With Amendment</v>
      </c>
      <c r="D3212" s="118" t="s">
        <v>136</v>
      </c>
      <c r="E3212" s="118" t="s">
        <v>181</v>
      </c>
      <c r="F3212" s="118" t="s">
        <v>46</v>
      </c>
      <c r="G3212" s="153"/>
      <c r="H3212" s="155">
        <v>2.9600000000000001E-2</v>
      </c>
      <c r="I3212" s="154" t="s">
        <v>59</v>
      </c>
      <c r="J3212" s="204">
        <v>1.92E-3</v>
      </c>
      <c r="K3212" s="154" t="s">
        <v>14</v>
      </c>
      <c r="L3212" s="154" t="str">
        <f>IF(OpenLCAbasic!K3212="CTUh", "Fill in Manually",IF(OR(K3212="Unit", K3212=""), "", INDEX(LookUps!$E$5:$E$12, MATCH(OpenLCAbasic!K3212,LookUps!$D$5:$D$12,0))))</f>
        <v>Fossil Depletion Potential (FDP) - kg oil eq</v>
      </c>
      <c r="M3212" s="154" t="str">
        <f t="shared" si="160"/>
        <v>High_Medium_Base_Upgraded_Fossil Depletion Potential (FDP) - kg oil eq_Blend Tank; wastewater treatment unit; at updated plant - US_Base_With Amendment_Windrow</v>
      </c>
    </row>
    <row r="3213" spans="1:13" s="120" customFormat="1" x14ac:dyDescent="0.25">
      <c r="A3213" s="119"/>
      <c r="B3213" s="138" t="str">
        <f t="shared" si="158"/>
        <v>Windrow</v>
      </c>
      <c r="C3213" s="138" t="str">
        <f t="shared" si="159"/>
        <v>Base_With Amendment</v>
      </c>
      <c r="D3213" s="118" t="s">
        <v>136</v>
      </c>
      <c r="E3213" s="118" t="s">
        <v>181</v>
      </c>
      <c r="F3213" s="118" t="s">
        <v>46</v>
      </c>
      <c r="G3213" s="153"/>
      <c r="H3213" s="155">
        <v>1.41E-2</v>
      </c>
      <c r="I3213" s="154" t="s">
        <v>168</v>
      </c>
      <c r="J3213" s="204">
        <v>9.1E-4</v>
      </c>
      <c r="K3213" s="154" t="s">
        <v>14</v>
      </c>
      <c r="L3213" s="154" t="str">
        <f>IF(OpenLCAbasic!K3213="CTUh", "Fill in Manually",IF(OR(K3213="Unit", K3213=""), "", INDEX(LookUps!$E$5:$E$12, MATCH(OpenLCAbasic!K3213,LookUps!$D$5:$D$12,0))))</f>
        <v>Fossil Depletion Potential (FDP) - kg oil eq</v>
      </c>
      <c r="M3213" s="154" t="str">
        <f t="shared" si="160"/>
        <v>High_Medium_Base_Upgraded_Fossil Depletion Potential (FDP) - kg oil eq_ClearCove SCP; wastewater treatment unit; at updated plant - US_Base_With Amendment_Windrow</v>
      </c>
    </row>
    <row r="3214" spans="1:13" s="120" customFormat="1" x14ac:dyDescent="0.25">
      <c r="A3214" s="119"/>
      <c r="B3214" s="138" t="str">
        <f t="shared" si="158"/>
        <v>Windrow</v>
      </c>
      <c r="C3214" s="138" t="str">
        <f t="shared" si="159"/>
        <v>Base_With Amendment</v>
      </c>
      <c r="D3214" s="118" t="s">
        <v>136</v>
      </c>
      <c r="E3214" s="118" t="s">
        <v>181</v>
      </c>
      <c r="F3214" s="118" t="s">
        <v>46</v>
      </c>
      <c r="G3214" s="153"/>
      <c r="H3214" s="155">
        <v>9.4000000000000004E-3</v>
      </c>
      <c r="I3214" s="154" t="s">
        <v>271</v>
      </c>
      <c r="J3214" s="204">
        <v>6.0999999999999997E-4</v>
      </c>
      <c r="K3214" s="154" t="s">
        <v>14</v>
      </c>
      <c r="L3214" s="154" t="str">
        <f>IF(OpenLCAbasic!K3214="CTUh", "Fill in Manually",IF(OR(K3214="Unit", K3214=""), "", INDEX(LookUps!$E$5:$E$12, MATCH(OpenLCAbasic!K3214,LookUps!$D$5:$D$12,0))))</f>
        <v>Fossil Depletion Potential (FDP) - kg oil eq</v>
      </c>
      <c r="M3214" s="154" t="str">
        <f t="shared" si="160"/>
        <v>High_Medium_Base_Upgraded_Fossil Depletion Potential (FDP) - kg oil eq_Biosolids composting; windrow composting; wastewater treatment unit; at updated plant - US_Base_With Amendment_Windrow</v>
      </c>
    </row>
    <row r="3215" spans="1:13" s="120" customFormat="1" x14ac:dyDescent="0.25">
      <c r="A3215" s="119"/>
      <c r="B3215" s="138" t="str">
        <f t="shared" si="158"/>
        <v>Windrow</v>
      </c>
      <c r="C3215" s="138" t="str">
        <f t="shared" si="159"/>
        <v>Base_With Amendment</v>
      </c>
      <c r="D3215" s="118" t="s">
        <v>136</v>
      </c>
      <c r="E3215" s="118" t="s">
        <v>181</v>
      </c>
      <c r="F3215" s="118" t="s">
        <v>46</v>
      </c>
      <c r="G3215" s="153"/>
      <c r="H3215" s="155">
        <v>-0.11840000000000001</v>
      </c>
      <c r="I3215" s="154" t="s">
        <v>62</v>
      </c>
      <c r="J3215" s="204">
        <v>-7.6899999999999998E-3</v>
      </c>
      <c r="K3215" s="154" t="s">
        <v>14</v>
      </c>
      <c r="L3215" s="154" t="str">
        <f>IF(OpenLCAbasic!K3215="CTUh", "Fill in Manually",IF(OR(K3215="Unit", K3215=""), "", INDEX(LookUps!$E$5:$E$12, MATCH(OpenLCAbasic!K3215,LookUps!$D$5:$D$12,0))))</f>
        <v>Fossil Depletion Potential (FDP) - kg oil eq</v>
      </c>
      <c r="M3215" s="154" t="str">
        <f t="shared" si="160"/>
        <v>High_Medium_Base_Upgraded_Fossil Depletion Potential (FDP) - kg oil eq_Land application of compost; wastewater treatment unit; at updated plant - US_Base_With Amendment_Windrow</v>
      </c>
    </row>
    <row r="3216" spans="1:13" s="120" customFormat="1" x14ac:dyDescent="0.25">
      <c r="A3216" s="119"/>
      <c r="B3216" s="138" t="str">
        <f t="shared" si="158"/>
        <v>Windrow</v>
      </c>
      <c r="C3216" s="138" t="str">
        <f t="shared" si="159"/>
        <v>Base_With Amendment</v>
      </c>
      <c r="D3216" s="118" t="s">
        <v>136</v>
      </c>
      <c r="E3216" s="118" t="s">
        <v>181</v>
      </c>
      <c r="F3216" s="118" t="s">
        <v>46</v>
      </c>
      <c r="G3216" s="153"/>
      <c r="H3216" s="155">
        <v>-2.7881</v>
      </c>
      <c r="I3216" s="154" t="s">
        <v>149</v>
      </c>
      <c r="J3216" s="203">
        <v>-0.18092</v>
      </c>
      <c r="K3216" s="154" t="s">
        <v>14</v>
      </c>
      <c r="L3216" s="154" t="str">
        <f>IF(OpenLCAbasic!K3216="CTUh", "Fill in Manually",IF(OR(K3216="Unit", K3216=""), "", INDEX(LookUps!$E$5:$E$12, MATCH(OpenLCAbasic!K3216,LookUps!$D$5:$D$12,0))))</f>
        <v>Fossil Depletion Potential (FDP) - kg oil eq</v>
      </c>
      <c r="M3216" s="154" t="str">
        <f t="shared" si="160"/>
        <v>High_Medium_Base_Upgraded_Fossil Depletion Potential (FDP) - kg oil eq_Anaerobic Digestion; wastewater treatment unit; at updated plant - US_Base_With Amendment_Windrow</v>
      </c>
    </row>
    <row r="3217" spans="1:13" s="120" customFormat="1" x14ac:dyDescent="0.25">
      <c r="A3217" s="119"/>
      <c r="B3217" s="138" t="str">
        <f t="shared" si="158"/>
        <v>Windrow</v>
      </c>
      <c r="C3217" s="138" t="str">
        <f t="shared" si="159"/>
        <v>Base_With Amendment</v>
      </c>
      <c r="D3217" s="118" t="s">
        <v>136</v>
      </c>
      <c r="E3217" s="118" t="s">
        <v>181</v>
      </c>
      <c r="F3217" s="118" t="s">
        <v>46</v>
      </c>
      <c r="G3217" s="153" t="s">
        <v>51</v>
      </c>
      <c r="H3217" s="154"/>
      <c r="I3217" s="154" t="s">
        <v>47</v>
      </c>
      <c r="J3217" s="154" t="s">
        <v>52</v>
      </c>
      <c r="K3217" s="154" t="s">
        <v>27</v>
      </c>
      <c r="L3217" s="154" t="str">
        <f>IF(OpenLCAbasic!K3217="CTUh", "Fill in Manually",IF(OR(K3217="Unit", K3217=""), "", INDEX(LookUps!$E$5:$E$12, MATCH(OpenLCAbasic!K3217,LookUps!$D$5:$D$12,0))))</f>
        <v/>
      </c>
      <c r="M3217" s="154" t="str">
        <f t="shared" si="160"/>
        <v>High_Medium_Base_Upgraded__Process_Base_With Amendment_Windrow</v>
      </c>
    </row>
    <row r="3218" spans="1:13" s="120" customFormat="1" x14ac:dyDescent="0.25">
      <c r="A3218" s="119"/>
      <c r="B3218" s="138" t="str">
        <f t="shared" si="158"/>
        <v>Windrow</v>
      </c>
      <c r="C3218" s="138" t="str">
        <f t="shared" si="159"/>
        <v>Base_With Amendment</v>
      </c>
      <c r="D3218" s="118" t="s">
        <v>136</v>
      </c>
      <c r="E3218" s="118" t="s">
        <v>181</v>
      </c>
      <c r="F3218" s="118" t="s">
        <v>46</v>
      </c>
      <c r="G3218" s="153"/>
      <c r="H3218" s="155">
        <v>0.73860000000000003</v>
      </c>
      <c r="I3218" s="154" t="s">
        <v>55</v>
      </c>
      <c r="J3218" s="204">
        <v>2.33E-3</v>
      </c>
      <c r="K3218" s="154" t="s">
        <v>145</v>
      </c>
      <c r="L3218" s="154" t="str">
        <f>IF(OpenLCAbasic!K3218="CTUh", "Fill in Manually",IF(OR(K3218="Unit", K3218=""), "", INDEX(LookUps!$E$5:$E$12, MATCH(OpenLCAbasic!K3218,LookUps!$D$5:$D$12,0))))</f>
        <v>Particulate Matter Formation Potential (PMFP) - kg PM2.5 eq</v>
      </c>
      <c r="M3218" s="154" t="str">
        <f t="shared" si="160"/>
        <v>High_Medium_Base_Upgraded_Particulate Matter Formation Potential (PMFP) - kg PM2.5 eq_Aeration Tanks; wastewater treatment unit; at updated plant - US_Base_With Amendment_Windrow</v>
      </c>
    </row>
    <row r="3219" spans="1:13" s="120" customFormat="1" x14ac:dyDescent="0.25">
      <c r="A3219" s="119"/>
      <c r="B3219" s="138" t="str">
        <f t="shared" si="158"/>
        <v>Windrow</v>
      </c>
      <c r="C3219" s="138" t="str">
        <f t="shared" si="159"/>
        <v>Base_With Amendment</v>
      </c>
      <c r="D3219" s="118" t="s">
        <v>136</v>
      </c>
      <c r="E3219" s="118" t="s">
        <v>181</v>
      </c>
      <c r="F3219" s="118" t="s">
        <v>46</v>
      </c>
      <c r="G3219" s="153"/>
      <c r="H3219" s="155">
        <v>0.21490000000000001</v>
      </c>
      <c r="I3219" s="154" t="s">
        <v>54</v>
      </c>
      <c r="J3219" s="204">
        <v>6.8000000000000005E-4</v>
      </c>
      <c r="K3219" s="154" t="s">
        <v>145</v>
      </c>
      <c r="L3219" s="154" t="str">
        <f>IF(OpenLCAbasic!K3219="CTUh", "Fill in Manually",IF(OR(K3219="Unit", K3219=""), "", INDEX(LookUps!$E$5:$E$12, MATCH(OpenLCAbasic!K3219,LookUps!$D$5:$D$12,0))))</f>
        <v>Particulate Matter Formation Potential (PMFP) - kg PM2.5 eq</v>
      </c>
      <c r="M3219" s="154" t="str">
        <f t="shared" si="160"/>
        <v>High_Medium_Base_Upgraded_Particulate Matter Formation Potential (PMFP) - kg PM2.5 eq_Clear Cove Primary Clarification; wastewater treatment unit; at updated plant - US_Base_With Amendment_Windrow</v>
      </c>
    </row>
    <row r="3220" spans="1:13" s="120" customFormat="1" x14ac:dyDescent="0.25">
      <c r="A3220" s="119"/>
      <c r="B3220" s="138" t="str">
        <f t="shared" si="158"/>
        <v>Windrow</v>
      </c>
      <c r="C3220" s="138" t="str">
        <f t="shared" si="159"/>
        <v>Base_With Amendment</v>
      </c>
      <c r="D3220" s="118" t="s">
        <v>136</v>
      </c>
      <c r="E3220" s="118" t="s">
        <v>181</v>
      </c>
      <c r="F3220" s="118" t="s">
        <v>46</v>
      </c>
      <c r="G3220" s="153"/>
      <c r="H3220" s="155">
        <v>0.18629999999999999</v>
      </c>
      <c r="I3220" s="154" t="s">
        <v>58</v>
      </c>
      <c r="J3220" s="204">
        <v>5.9000000000000003E-4</v>
      </c>
      <c r="K3220" s="154" t="s">
        <v>145</v>
      </c>
      <c r="L3220" s="154" t="str">
        <f>IF(OpenLCAbasic!K3220="CTUh", "Fill in Manually",IF(OR(K3220="Unit", K3220=""), "", INDEX(LookUps!$E$5:$E$12, MATCH(OpenLCAbasic!K3220,LookUps!$D$5:$D$12,0))))</f>
        <v>Particulate Matter Formation Potential (PMFP) - kg PM2.5 eq</v>
      </c>
      <c r="M3220" s="154" t="str">
        <f t="shared" si="160"/>
        <v>High_Medium_Base_Upgraded_Particulate Matter Formation Potential (PMFP) - kg PM2.5 eq_Pre-Anoxic &amp; Swing tank; wastewater treatment unit; at updated plant - US_Base_With Amendment_Windrow</v>
      </c>
    </row>
    <row r="3221" spans="1:13" s="120" customFormat="1" x14ac:dyDescent="0.25">
      <c r="A3221" s="119"/>
      <c r="B3221" s="138" t="str">
        <f t="shared" si="158"/>
        <v>Windrow</v>
      </c>
      <c r="C3221" s="138" t="str">
        <f t="shared" si="159"/>
        <v>Base_With Amendment</v>
      </c>
      <c r="D3221" s="118" t="s">
        <v>136</v>
      </c>
      <c r="E3221" s="118" t="s">
        <v>181</v>
      </c>
      <c r="F3221" s="118" t="s">
        <v>46</v>
      </c>
      <c r="G3221" s="153"/>
      <c r="H3221" s="155">
        <v>0.16919999999999999</v>
      </c>
      <c r="I3221" s="154" t="s">
        <v>271</v>
      </c>
      <c r="J3221" s="204">
        <v>5.2999999999999998E-4</v>
      </c>
      <c r="K3221" s="154" t="s">
        <v>145</v>
      </c>
      <c r="L3221" s="154" t="str">
        <f>IF(OpenLCAbasic!K3221="CTUh", "Fill in Manually",IF(OR(K3221="Unit", K3221=""), "", INDEX(LookUps!$E$5:$E$12, MATCH(OpenLCAbasic!K3221,LookUps!$D$5:$D$12,0))))</f>
        <v>Particulate Matter Formation Potential (PMFP) - kg PM2.5 eq</v>
      </c>
      <c r="M3221" s="154" t="str">
        <f t="shared" si="160"/>
        <v>High_Medium_Base_Upgraded_Particulate Matter Formation Potential (PMFP) - kg PM2.5 eq_Biosolids composting; windrow composting; wastewater treatment unit; at updated plant - US_Base_With Amendment_Windrow</v>
      </c>
    </row>
    <row r="3222" spans="1:13" s="120" customFormat="1" x14ac:dyDescent="0.25">
      <c r="A3222" s="119"/>
      <c r="B3222" s="138" t="str">
        <f t="shared" si="158"/>
        <v>Windrow</v>
      </c>
      <c r="C3222" s="138" t="str">
        <f t="shared" si="159"/>
        <v>Base_With Amendment</v>
      </c>
      <c r="D3222" s="118" t="s">
        <v>136</v>
      </c>
      <c r="E3222" s="118" t="s">
        <v>181</v>
      </c>
      <c r="F3222" s="118" t="s">
        <v>46</v>
      </c>
      <c r="G3222" s="153"/>
      <c r="H3222" s="155">
        <v>0.1477</v>
      </c>
      <c r="I3222" s="154" t="s">
        <v>53</v>
      </c>
      <c r="J3222" s="204">
        <v>4.6999999999999999E-4</v>
      </c>
      <c r="K3222" s="154" t="s">
        <v>145</v>
      </c>
      <c r="L3222" s="154" t="str">
        <f>IF(OpenLCAbasic!K3222="CTUh", "Fill in Manually",IF(OR(K3222="Unit", K3222=""), "", INDEX(LookUps!$E$5:$E$12, MATCH(OpenLCAbasic!K3222,LookUps!$D$5:$D$12,0))))</f>
        <v>Particulate Matter Formation Potential (PMFP) - kg PM2.5 eq</v>
      </c>
      <c r="M3222" s="154" t="str">
        <f t="shared" si="160"/>
        <v>High_Medium_Base_Upgraded_Particulate Matter Formation Potential (PMFP) - kg PM2.5 eq_Wet Well and Sump Station; wastewater treatment unit; at updated plant - US_Base_With Amendment_Windrow</v>
      </c>
    </row>
    <row r="3223" spans="1:13" s="120" customFormat="1" x14ac:dyDescent="0.25">
      <c r="A3223" s="119"/>
      <c r="B3223" s="138" t="str">
        <f t="shared" si="158"/>
        <v>Windrow</v>
      </c>
      <c r="C3223" s="138" t="str">
        <f t="shared" si="159"/>
        <v>Base_With Amendment</v>
      </c>
      <c r="D3223" s="118" t="s">
        <v>136</v>
      </c>
      <c r="E3223" s="118" t="s">
        <v>181</v>
      </c>
      <c r="F3223" s="118" t="s">
        <v>46</v>
      </c>
      <c r="G3223" s="153"/>
      <c r="H3223" s="155">
        <v>9.9599999999999994E-2</v>
      </c>
      <c r="I3223" s="154" t="s">
        <v>167</v>
      </c>
      <c r="J3223" s="204">
        <v>3.1E-4</v>
      </c>
      <c r="K3223" s="154" t="s">
        <v>145</v>
      </c>
      <c r="L3223" s="154" t="str">
        <f>IF(OpenLCAbasic!K3223="CTUh", "Fill in Manually",IF(OR(K3223="Unit", K3223=""), "", INDEX(LookUps!$E$5:$E$12, MATCH(OpenLCAbasic!K3223,LookUps!$D$5:$D$12,0))))</f>
        <v>Particulate Matter Formation Potential (PMFP) - kg PM2.5 eq</v>
      </c>
      <c r="M3223" s="154" t="str">
        <f t="shared" si="160"/>
        <v>High_Medium_Base_Upgraded_Particulate Matter Formation Potential (PMFP) - kg PM2.5 eq_Waste Receiving and Holding; wastewater treatment unit; at updated plant - US_Base_With Amendment_Windrow</v>
      </c>
    </row>
    <row r="3224" spans="1:13" s="120" customFormat="1" x14ac:dyDescent="0.25">
      <c r="A3224" s="119"/>
      <c r="B3224" s="138" t="str">
        <f t="shared" si="158"/>
        <v>Windrow</v>
      </c>
      <c r="C3224" s="138" t="str">
        <f t="shared" si="159"/>
        <v>Base_With Amendment</v>
      </c>
      <c r="D3224" s="118" t="s">
        <v>136</v>
      </c>
      <c r="E3224" s="118" t="s">
        <v>181</v>
      </c>
      <c r="F3224" s="118" t="s">
        <v>46</v>
      </c>
      <c r="G3224" s="153"/>
      <c r="H3224" s="155">
        <v>8.4400000000000003E-2</v>
      </c>
      <c r="I3224" s="154" t="s">
        <v>147</v>
      </c>
      <c r="J3224" s="204">
        <v>2.7E-4</v>
      </c>
      <c r="K3224" s="154" t="s">
        <v>145</v>
      </c>
      <c r="L3224" s="154" t="str">
        <f>IF(OpenLCAbasic!K3224="CTUh", "Fill in Manually",IF(OR(K3224="Unit", K3224=""), "", INDEX(LookUps!$E$5:$E$12, MATCH(OpenLCAbasic!K3224,LookUps!$D$5:$D$12,0))))</f>
        <v>Particulate Matter Formation Potential (PMFP) - kg PM2.5 eq</v>
      </c>
      <c r="M3224" s="154" t="str">
        <f t="shared" si="160"/>
        <v>High_Medium_Base_Upgraded_Particulate Matter Formation Potential (PMFP) - kg PM2.5 eq_Influent Pump Station; wastewater treatment unit; at updated plant - US_Base_With Amendment_Windrow</v>
      </c>
    </row>
    <row r="3225" spans="1:13" s="120" customFormat="1" x14ac:dyDescent="0.25">
      <c r="A3225" s="119"/>
      <c r="B3225" s="138" t="str">
        <f t="shared" si="158"/>
        <v>Windrow</v>
      </c>
      <c r="C3225" s="138" t="str">
        <f t="shared" si="159"/>
        <v>Base_With Amendment</v>
      </c>
      <c r="D3225" s="118" t="s">
        <v>136</v>
      </c>
      <c r="E3225" s="118" t="s">
        <v>181</v>
      </c>
      <c r="F3225" s="118" t="s">
        <v>46</v>
      </c>
      <c r="G3225" s="153"/>
      <c r="H3225" s="155">
        <v>5.2699999999999997E-2</v>
      </c>
      <c r="I3225" s="154" t="s">
        <v>128</v>
      </c>
      <c r="J3225" s="204">
        <v>1.7000000000000001E-4</v>
      </c>
      <c r="K3225" s="154" t="s">
        <v>145</v>
      </c>
      <c r="L3225" s="154" t="str">
        <f>IF(OpenLCAbasic!K3225="CTUh", "Fill in Manually",IF(OR(K3225="Unit", K3225=""), "", INDEX(LookUps!$E$5:$E$12, MATCH(OpenLCAbasic!K3225,LookUps!$D$5:$D$12,0))))</f>
        <v>Particulate Matter Formation Potential (PMFP) - kg PM2.5 eq</v>
      </c>
      <c r="M3225" s="154" t="str">
        <f t="shared" si="160"/>
        <v>High_Medium_Base_Upgraded_Particulate Matter Formation Potential (PMFP) - kg PM2.5 eq_Wastewater collection; operation and infrastructure; m3 wastewater_Base_With Amendment_Windrow</v>
      </c>
    </row>
    <row r="3226" spans="1:13" s="120" customFormat="1" x14ac:dyDescent="0.25">
      <c r="A3226" s="119"/>
      <c r="B3226" s="138" t="str">
        <f t="shared" si="158"/>
        <v>Windrow</v>
      </c>
      <c r="C3226" s="138" t="str">
        <f t="shared" si="159"/>
        <v>Base_With Amendment</v>
      </c>
      <c r="D3226" s="118" t="s">
        <v>136</v>
      </c>
      <c r="E3226" s="118" t="s">
        <v>181</v>
      </c>
      <c r="F3226" s="118" t="s">
        <v>46</v>
      </c>
      <c r="G3226" s="153"/>
      <c r="H3226" s="155">
        <v>4.5600000000000002E-2</v>
      </c>
      <c r="I3226" s="154" t="s">
        <v>60</v>
      </c>
      <c r="J3226" s="204">
        <v>1.3999999999999999E-4</v>
      </c>
      <c r="K3226" s="154" t="s">
        <v>145</v>
      </c>
      <c r="L3226" s="154" t="str">
        <f>IF(OpenLCAbasic!K3226="CTUh", "Fill in Manually",IF(OR(K3226="Unit", K3226=""), "", INDEX(LookUps!$E$5:$E$12, MATCH(OpenLCAbasic!K3226,LookUps!$D$5:$D$12,0))))</f>
        <v>Particulate Matter Formation Potential (PMFP) - kg PM2.5 eq</v>
      </c>
      <c r="M3226" s="154" t="str">
        <f t="shared" si="160"/>
        <v>High_Medium_Base_Upgraded_Particulate Matter Formation Potential (PMFP) - kg PM2.5 eq_Belt filter press; wastewater treatment unit; at updated plant - US_Base_With Amendment_Windrow</v>
      </c>
    </row>
    <row r="3227" spans="1:13" s="120" customFormat="1" x14ac:dyDescent="0.25">
      <c r="A3227" s="119"/>
      <c r="B3227" s="138" t="str">
        <f t="shared" si="158"/>
        <v>Windrow</v>
      </c>
      <c r="C3227" s="138" t="str">
        <f t="shared" si="159"/>
        <v>Base_With Amendment</v>
      </c>
      <c r="D3227" s="118" t="s">
        <v>136</v>
      </c>
      <c r="E3227" s="118" t="s">
        <v>181</v>
      </c>
      <c r="F3227" s="118" t="s">
        <v>46</v>
      </c>
      <c r="G3227" s="153"/>
      <c r="H3227" s="155">
        <v>3.0099999999999998E-2</v>
      </c>
      <c r="I3227" s="154" t="s">
        <v>57</v>
      </c>
      <c r="J3227" s="204">
        <v>9.5153800000000004E-5</v>
      </c>
      <c r="K3227" s="154" t="s">
        <v>145</v>
      </c>
      <c r="L3227" s="154" t="str">
        <f>IF(OpenLCAbasic!K3227="CTUh", "Fill in Manually",IF(OR(K3227="Unit", K3227=""), "", INDEX(LookUps!$E$5:$E$12, MATCH(OpenLCAbasic!K3227,LookUps!$D$5:$D$12,0))))</f>
        <v>Particulate Matter Formation Potential (PMFP) - kg PM2.5 eq</v>
      </c>
      <c r="M3227" s="154" t="str">
        <f t="shared" si="160"/>
        <v>High_Medium_Base_Upgraded_Particulate Matter Formation Potential (PMFP) - kg PM2.5 eq_Gravity Belt Thickener; wastewater treatment unit; at updated plant - US_Base_With Amendment_Windrow</v>
      </c>
    </row>
    <row r="3228" spans="1:13" s="120" customFormat="1" x14ac:dyDescent="0.25">
      <c r="A3228" s="119"/>
      <c r="B3228" s="138" t="str">
        <f t="shared" si="158"/>
        <v>Windrow</v>
      </c>
      <c r="C3228" s="138" t="str">
        <f t="shared" si="159"/>
        <v>Base_With Amendment</v>
      </c>
      <c r="D3228" s="118" t="s">
        <v>136</v>
      </c>
      <c r="E3228" s="118" t="s">
        <v>181</v>
      </c>
      <c r="F3228" s="118" t="s">
        <v>46</v>
      </c>
      <c r="G3228" s="153"/>
      <c r="H3228" s="155">
        <v>2.2100000000000002E-2</v>
      </c>
      <c r="I3228" s="154" t="s">
        <v>59</v>
      </c>
      <c r="J3228" s="204">
        <v>6.9942200000000003E-5</v>
      </c>
      <c r="K3228" s="154" t="s">
        <v>145</v>
      </c>
      <c r="L3228" s="154" t="str">
        <f>IF(OpenLCAbasic!K3228="CTUh", "Fill in Manually",IF(OR(K3228="Unit", K3228=""), "", INDEX(LookUps!$E$5:$E$12, MATCH(OpenLCAbasic!K3228,LookUps!$D$5:$D$12,0))))</f>
        <v>Particulate Matter Formation Potential (PMFP) - kg PM2.5 eq</v>
      </c>
      <c r="M3228" s="154" t="str">
        <f t="shared" si="160"/>
        <v>High_Medium_Base_Upgraded_Particulate Matter Formation Potential (PMFP) - kg PM2.5 eq_Blend Tank; wastewater treatment unit; at updated plant - US_Base_With Amendment_Windrow</v>
      </c>
    </row>
    <row r="3229" spans="1:13" s="120" customFormat="1" x14ac:dyDescent="0.25">
      <c r="A3229" s="119"/>
      <c r="B3229" s="138" t="str">
        <f t="shared" si="158"/>
        <v>Windrow</v>
      </c>
      <c r="C3229" s="138" t="str">
        <f t="shared" si="159"/>
        <v>Base_With Amendment</v>
      </c>
      <c r="D3229" s="118" t="s">
        <v>136</v>
      </c>
      <c r="E3229" s="118" t="s">
        <v>181</v>
      </c>
      <c r="F3229" s="118" t="s">
        <v>46</v>
      </c>
      <c r="G3229" s="153"/>
      <c r="H3229" s="155">
        <v>1.5800000000000002E-2</v>
      </c>
      <c r="I3229" s="154" t="s">
        <v>48</v>
      </c>
      <c r="J3229" s="204">
        <v>4.99741E-5</v>
      </c>
      <c r="K3229" s="154" t="s">
        <v>145</v>
      </c>
      <c r="L3229" s="154" t="str">
        <f>IF(OpenLCAbasic!K3229="CTUh", "Fill in Manually",IF(OR(K3229="Unit", K3229=""), "", INDEX(LookUps!$E$5:$E$12, MATCH(OpenLCAbasic!K3229,LookUps!$D$5:$D$12,0))))</f>
        <v>Particulate Matter Formation Potential (PMFP) - kg PM2.5 eq</v>
      </c>
      <c r="M3229" s="154" t="str">
        <f t="shared" si="160"/>
        <v>High_Medium_Base_Upgraded_Particulate Matter Formation Potential (PMFP) - kg PM2.5 eq_Effluent release; wastewater treatment unit; at surface water; m3 wastewater - US_Base_With Amendment_Windrow</v>
      </c>
    </row>
    <row r="3230" spans="1:13" s="120" customFormat="1" x14ac:dyDescent="0.25">
      <c r="A3230" s="119"/>
      <c r="B3230" s="138" t="str">
        <f t="shared" si="158"/>
        <v>Windrow</v>
      </c>
      <c r="C3230" s="138" t="str">
        <f t="shared" si="159"/>
        <v>Base_With Amendment</v>
      </c>
      <c r="D3230" s="118" t="s">
        <v>136</v>
      </c>
      <c r="E3230" s="118" t="s">
        <v>181</v>
      </c>
      <c r="F3230" s="118" t="s">
        <v>46</v>
      </c>
      <c r="G3230" s="153"/>
      <c r="H3230" s="155">
        <v>1.49E-2</v>
      </c>
      <c r="I3230" s="154" t="s">
        <v>62</v>
      </c>
      <c r="J3230" s="204">
        <v>4.7185199999999997E-5</v>
      </c>
      <c r="K3230" s="154" t="s">
        <v>145</v>
      </c>
      <c r="L3230" s="154" t="str">
        <f>IF(OpenLCAbasic!K3230="CTUh", "Fill in Manually",IF(OR(K3230="Unit", K3230=""), "", INDEX(LookUps!$E$5:$E$12, MATCH(OpenLCAbasic!K3230,LookUps!$D$5:$D$12,0))))</f>
        <v>Particulate Matter Formation Potential (PMFP) - kg PM2.5 eq</v>
      </c>
      <c r="M3230" s="154" t="str">
        <f t="shared" si="160"/>
        <v>High_Medium_Base_Upgraded_Particulate Matter Formation Potential (PMFP) - kg PM2.5 eq_Land application of compost; wastewater treatment unit; at updated plant - US_Base_With Amendment_Windrow</v>
      </c>
    </row>
    <row r="3231" spans="1:13" s="120" customFormat="1" x14ac:dyDescent="0.25">
      <c r="A3231" s="119"/>
      <c r="B3231" s="138" t="str">
        <f t="shared" si="158"/>
        <v>Windrow</v>
      </c>
      <c r="C3231" s="138" t="str">
        <f t="shared" si="159"/>
        <v>Base_With Amendment</v>
      </c>
      <c r="D3231" s="118" t="s">
        <v>136</v>
      </c>
      <c r="E3231" s="118" t="s">
        <v>181</v>
      </c>
      <c r="F3231" s="118" t="s">
        <v>46</v>
      </c>
      <c r="G3231" s="153"/>
      <c r="H3231" s="155">
        <v>1.09E-2</v>
      </c>
      <c r="I3231" s="154" t="s">
        <v>168</v>
      </c>
      <c r="J3231" s="204">
        <v>3.4562199999999999E-5</v>
      </c>
      <c r="K3231" s="154" t="s">
        <v>145</v>
      </c>
      <c r="L3231" s="154" t="str">
        <f>IF(OpenLCAbasic!K3231="CTUh", "Fill in Manually",IF(OR(K3231="Unit", K3231=""), "", INDEX(LookUps!$E$5:$E$12, MATCH(OpenLCAbasic!K3231,LookUps!$D$5:$D$12,0))))</f>
        <v>Particulate Matter Formation Potential (PMFP) - kg PM2.5 eq</v>
      </c>
      <c r="M3231" s="154" t="str">
        <f t="shared" si="160"/>
        <v>High_Medium_Base_Upgraded_Particulate Matter Formation Potential (PMFP) - kg PM2.5 eq_ClearCove SCP; wastewater treatment unit; at updated plant - US_Base_With Amendment_Windrow</v>
      </c>
    </row>
    <row r="3232" spans="1:13" s="120" customFormat="1" x14ac:dyDescent="0.25">
      <c r="A3232" s="119"/>
      <c r="B3232" s="138" t="str">
        <f t="shared" si="158"/>
        <v>Windrow</v>
      </c>
      <c r="C3232" s="138" t="str">
        <f t="shared" si="159"/>
        <v>Base_With Amendment</v>
      </c>
      <c r="D3232" s="118" t="s">
        <v>136</v>
      </c>
      <c r="E3232" s="118" t="s">
        <v>181</v>
      </c>
      <c r="F3232" s="118" t="s">
        <v>46</v>
      </c>
      <c r="G3232" s="153"/>
      <c r="H3232" s="155">
        <v>2.8E-3</v>
      </c>
      <c r="I3232" s="154" t="s">
        <v>148</v>
      </c>
      <c r="J3232" s="204">
        <v>8.8212999999999997E-6</v>
      </c>
      <c r="K3232" s="154" t="s">
        <v>145</v>
      </c>
      <c r="L3232" s="154" t="str">
        <f>IF(OpenLCAbasic!K3232="CTUh", "Fill in Manually",IF(OR(K3232="Unit", K3232=""), "", INDEX(LookUps!$E$5:$E$12, MATCH(OpenLCAbasic!K3232,LookUps!$D$5:$D$12,0))))</f>
        <v>Particulate Matter Formation Potential (PMFP) - kg PM2.5 eq</v>
      </c>
      <c r="M3232" s="154" t="str">
        <f t="shared" si="160"/>
        <v>High_Medium_Base_Upgraded_Particulate Matter Formation Potential (PMFP) - kg PM2.5 eq_Control Building; at upgraded wastewater treatment plant - US_Base_With Amendment_Windrow</v>
      </c>
    </row>
    <row r="3233" spans="1:13" s="120" customFormat="1" x14ac:dyDescent="0.25">
      <c r="A3233" s="119"/>
      <c r="B3233" s="138" t="str">
        <f t="shared" si="158"/>
        <v>Windrow</v>
      </c>
      <c r="C3233" s="138" t="str">
        <f t="shared" si="159"/>
        <v>Base_With Amendment</v>
      </c>
      <c r="D3233" s="118" t="s">
        <v>136</v>
      </c>
      <c r="E3233" s="118" t="s">
        <v>181</v>
      </c>
      <c r="F3233" s="118" t="s">
        <v>46</v>
      </c>
      <c r="G3233" s="153"/>
      <c r="H3233" s="155">
        <v>-0.83579999999999999</v>
      </c>
      <c r="I3233" s="154" t="s">
        <v>149</v>
      </c>
      <c r="J3233" s="204">
        <v>-2.64E-3</v>
      </c>
      <c r="K3233" s="154" t="s">
        <v>145</v>
      </c>
      <c r="L3233" s="154" t="str">
        <f>IF(OpenLCAbasic!K3233="CTUh", "Fill in Manually",IF(OR(K3233="Unit", K3233=""), "", INDEX(LookUps!$E$5:$E$12, MATCH(OpenLCAbasic!K3233,LookUps!$D$5:$D$12,0))))</f>
        <v>Particulate Matter Formation Potential (PMFP) - kg PM2.5 eq</v>
      </c>
      <c r="M3233" s="154" t="str">
        <f t="shared" si="160"/>
        <v>High_Medium_Base_Upgraded_Particulate Matter Formation Potential (PMFP) - kg PM2.5 eq_Anaerobic Digestion; wastewater treatment unit; at updated plant - US_Base_With Amendment_Windrow</v>
      </c>
    </row>
    <row r="3234" spans="1:13" s="120" customFormat="1" x14ac:dyDescent="0.25">
      <c r="A3234" s="119"/>
      <c r="B3234" s="138" t="str">
        <f t="shared" si="158"/>
        <v>Windrow</v>
      </c>
      <c r="C3234" s="138" t="str">
        <f t="shared" si="159"/>
        <v>Base_With Amendment</v>
      </c>
      <c r="D3234" s="118" t="s">
        <v>136</v>
      </c>
      <c r="E3234" s="118" t="s">
        <v>181</v>
      </c>
      <c r="F3234" s="118" t="s">
        <v>46</v>
      </c>
      <c r="G3234" s="153" t="s">
        <v>51</v>
      </c>
      <c r="H3234" s="154"/>
      <c r="I3234" s="154" t="s">
        <v>47</v>
      </c>
      <c r="J3234" s="154" t="s">
        <v>52</v>
      </c>
      <c r="K3234" s="154" t="s">
        <v>27</v>
      </c>
      <c r="L3234" s="154" t="str">
        <f>IF(OpenLCAbasic!K3234="CTUh", "Fill in Manually",IF(OR(K3234="Unit", K3234=""), "", INDEX(LookUps!$E$5:$E$12, MATCH(OpenLCAbasic!K3234,LookUps!$D$5:$D$12,0))))</f>
        <v/>
      </c>
      <c r="M3234" s="154" t="str">
        <f t="shared" si="160"/>
        <v>High_Medium_Base_Upgraded__Process_Base_With Amendment_Windrow</v>
      </c>
    </row>
    <row r="3235" spans="1:13" s="120" customFormat="1" x14ac:dyDescent="0.25">
      <c r="A3235" s="119"/>
      <c r="B3235" s="138" t="str">
        <f t="shared" si="158"/>
        <v>Windrow</v>
      </c>
      <c r="C3235" s="138" t="str">
        <f t="shared" si="159"/>
        <v>Base_With Amendment</v>
      </c>
      <c r="D3235" s="118" t="s">
        <v>136</v>
      </c>
      <c r="E3235" s="118" t="s">
        <v>181</v>
      </c>
      <c r="F3235" s="118" t="s">
        <v>46</v>
      </c>
      <c r="G3235" s="153"/>
      <c r="H3235" s="155">
        <v>0.88190000000000002</v>
      </c>
      <c r="I3235" s="154" t="s">
        <v>55</v>
      </c>
      <c r="J3235" s="203">
        <v>0.16577</v>
      </c>
      <c r="K3235" s="154" t="s">
        <v>25</v>
      </c>
      <c r="L3235" s="154" t="str">
        <f>IF(OpenLCAbasic!K3235="CTUh", "Fill in Manually",IF(OR(K3235="Unit", K3235=""), "", INDEX(LookUps!$E$5:$E$12, MATCH(OpenLCAbasic!K3235,LookUps!$D$5:$D$12,0))))</f>
        <v>Smog Formation Potential (SFP) - kg O3 eq</v>
      </c>
      <c r="M3235" s="154" t="str">
        <f t="shared" si="160"/>
        <v>High_Medium_Base_Upgraded_Smog Formation Potential (SFP) - kg O3 eq_Aeration Tanks; wastewater treatment unit; at updated plant - US_Base_With Amendment_Windrow</v>
      </c>
    </row>
    <row r="3236" spans="1:13" s="120" customFormat="1" x14ac:dyDescent="0.25">
      <c r="A3236" s="119"/>
      <c r="B3236" s="138" t="str">
        <f t="shared" si="158"/>
        <v>Windrow</v>
      </c>
      <c r="C3236" s="138" t="str">
        <f t="shared" si="159"/>
        <v>Base_With Amendment</v>
      </c>
      <c r="D3236" s="118" t="s">
        <v>136</v>
      </c>
      <c r="E3236" s="118" t="s">
        <v>181</v>
      </c>
      <c r="F3236" s="118" t="s">
        <v>46</v>
      </c>
      <c r="G3236" s="153"/>
      <c r="H3236" s="155">
        <v>0.25569999999999998</v>
      </c>
      <c r="I3236" s="154" t="s">
        <v>54</v>
      </c>
      <c r="J3236" s="203">
        <v>4.8070000000000002E-2</v>
      </c>
      <c r="K3236" s="154" t="s">
        <v>25</v>
      </c>
      <c r="L3236" s="154" t="str">
        <f>IF(OpenLCAbasic!K3236="CTUh", "Fill in Manually",IF(OR(K3236="Unit", K3236=""), "", INDEX(LookUps!$E$5:$E$12, MATCH(OpenLCAbasic!K3236,LookUps!$D$5:$D$12,0))))</f>
        <v>Smog Formation Potential (SFP) - kg O3 eq</v>
      </c>
      <c r="M3236" s="154" t="str">
        <f t="shared" si="160"/>
        <v>High_Medium_Base_Upgraded_Smog Formation Potential (SFP) - kg O3 eq_Clear Cove Primary Clarification; wastewater treatment unit; at updated plant - US_Base_With Amendment_Windrow</v>
      </c>
    </row>
    <row r="3237" spans="1:13" s="120" customFormat="1" x14ac:dyDescent="0.25">
      <c r="A3237" s="119"/>
      <c r="B3237" s="138" t="str">
        <f t="shared" si="158"/>
        <v>Windrow</v>
      </c>
      <c r="C3237" s="138" t="str">
        <f t="shared" si="159"/>
        <v>Base_With Amendment</v>
      </c>
      <c r="D3237" s="118" t="s">
        <v>136</v>
      </c>
      <c r="E3237" s="118" t="s">
        <v>181</v>
      </c>
      <c r="F3237" s="118" t="s">
        <v>46</v>
      </c>
      <c r="G3237" s="153"/>
      <c r="H3237" s="155">
        <v>0.223</v>
      </c>
      <c r="I3237" s="154" t="s">
        <v>58</v>
      </c>
      <c r="J3237" s="203">
        <v>4.1919999999999999E-2</v>
      </c>
      <c r="K3237" s="154" t="s">
        <v>25</v>
      </c>
      <c r="L3237" s="154" t="str">
        <f>IF(OpenLCAbasic!K3237="CTUh", "Fill in Manually",IF(OR(K3237="Unit", K3237=""), "", INDEX(LookUps!$E$5:$E$12, MATCH(OpenLCAbasic!K3237,LookUps!$D$5:$D$12,0))))</f>
        <v>Smog Formation Potential (SFP) - kg O3 eq</v>
      </c>
      <c r="M3237" s="154" t="str">
        <f t="shared" si="160"/>
        <v>High_Medium_Base_Upgraded_Smog Formation Potential (SFP) - kg O3 eq_Pre-Anoxic &amp; Swing tank; wastewater treatment unit; at updated plant - US_Base_With Amendment_Windrow</v>
      </c>
    </row>
    <row r="3238" spans="1:13" s="120" customFormat="1" x14ac:dyDescent="0.25">
      <c r="A3238" s="119"/>
      <c r="B3238" s="138" t="str">
        <f t="shared" si="158"/>
        <v>Windrow</v>
      </c>
      <c r="C3238" s="138" t="str">
        <f t="shared" si="159"/>
        <v>Base_With Amendment</v>
      </c>
      <c r="D3238" s="118" t="s">
        <v>136</v>
      </c>
      <c r="E3238" s="118" t="s">
        <v>181</v>
      </c>
      <c r="F3238" s="118" t="s">
        <v>46</v>
      </c>
      <c r="G3238" s="153"/>
      <c r="H3238" s="155">
        <v>0.1762</v>
      </c>
      <c r="I3238" s="154" t="s">
        <v>53</v>
      </c>
      <c r="J3238" s="203">
        <v>3.313E-2</v>
      </c>
      <c r="K3238" s="154" t="s">
        <v>25</v>
      </c>
      <c r="L3238" s="154" t="str">
        <f>IF(OpenLCAbasic!K3238="CTUh", "Fill in Manually",IF(OR(K3238="Unit", K3238=""), "", INDEX(LookUps!$E$5:$E$12, MATCH(OpenLCAbasic!K3238,LookUps!$D$5:$D$12,0))))</f>
        <v>Smog Formation Potential (SFP) - kg O3 eq</v>
      </c>
      <c r="M3238" s="154" t="str">
        <f t="shared" si="160"/>
        <v>High_Medium_Base_Upgraded_Smog Formation Potential (SFP) - kg O3 eq_Wet Well and Sump Station; wastewater treatment unit; at updated plant - US_Base_With Amendment_Windrow</v>
      </c>
    </row>
    <row r="3239" spans="1:13" s="120" customFormat="1" x14ac:dyDescent="0.25">
      <c r="A3239" s="119"/>
      <c r="B3239" s="138" t="str">
        <f t="shared" si="158"/>
        <v>Windrow</v>
      </c>
      <c r="C3239" s="138" t="str">
        <f t="shared" si="159"/>
        <v>Base_With Amendment</v>
      </c>
      <c r="D3239" s="118" t="s">
        <v>136</v>
      </c>
      <c r="E3239" s="118" t="s">
        <v>181</v>
      </c>
      <c r="F3239" s="118" t="s">
        <v>46</v>
      </c>
      <c r="G3239" s="153"/>
      <c r="H3239" s="155">
        <v>0.16339999999999999</v>
      </c>
      <c r="I3239" s="154" t="s">
        <v>167</v>
      </c>
      <c r="J3239" s="203">
        <v>3.0710000000000001E-2</v>
      </c>
      <c r="K3239" s="154" t="s">
        <v>25</v>
      </c>
      <c r="L3239" s="154" t="str">
        <f>IF(OpenLCAbasic!K3239="CTUh", "Fill in Manually",IF(OR(K3239="Unit", K3239=""), "", INDEX(LookUps!$E$5:$E$12, MATCH(OpenLCAbasic!K3239,LookUps!$D$5:$D$12,0))))</f>
        <v>Smog Formation Potential (SFP) - kg O3 eq</v>
      </c>
      <c r="M3239" s="154" t="str">
        <f t="shared" si="160"/>
        <v>High_Medium_Base_Upgraded_Smog Formation Potential (SFP) - kg O3 eq_Waste Receiving and Holding; wastewater treatment unit; at updated plant - US_Base_With Amendment_Windrow</v>
      </c>
    </row>
    <row r="3240" spans="1:13" s="120" customFormat="1" x14ac:dyDescent="0.25">
      <c r="A3240" s="119"/>
      <c r="B3240" s="138" t="str">
        <f t="shared" si="158"/>
        <v>Windrow</v>
      </c>
      <c r="C3240" s="138" t="str">
        <f t="shared" si="159"/>
        <v>Base_With Amendment</v>
      </c>
      <c r="D3240" s="118" t="s">
        <v>136</v>
      </c>
      <c r="E3240" s="118" t="s">
        <v>181</v>
      </c>
      <c r="F3240" s="118" t="s">
        <v>46</v>
      </c>
      <c r="G3240" s="153"/>
      <c r="H3240" s="155">
        <v>0.1032</v>
      </c>
      <c r="I3240" s="154" t="s">
        <v>147</v>
      </c>
      <c r="J3240" s="203">
        <v>1.9400000000000001E-2</v>
      </c>
      <c r="K3240" s="154" t="s">
        <v>25</v>
      </c>
      <c r="L3240" s="154" t="str">
        <f>IF(OpenLCAbasic!K3240="CTUh", "Fill in Manually",IF(OR(K3240="Unit", K3240=""), "", INDEX(LookUps!$E$5:$E$12, MATCH(OpenLCAbasic!K3240,LookUps!$D$5:$D$12,0))))</f>
        <v>Smog Formation Potential (SFP) - kg O3 eq</v>
      </c>
      <c r="M3240" s="154" t="str">
        <f t="shared" si="160"/>
        <v>High_Medium_Base_Upgraded_Smog Formation Potential (SFP) - kg O3 eq_Influent Pump Station; wastewater treatment unit; at updated plant - US_Base_With Amendment_Windrow</v>
      </c>
    </row>
    <row r="3241" spans="1:13" s="120" customFormat="1" x14ac:dyDescent="0.25">
      <c r="A3241" s="119"/>
      <c r="B3241" s="138" t="str">
        <f t="shared" si="158"/>
        <v>Windrow</v>
      </c>
      <c r="C3241" s="138" t="str">
        <f t="shared" si="159"/>
        <v>Base_With Amendment</v>
      </c>
      <c r="D3241" s="118" t="s">
        <v>136</v>
      </c>
      <c r="E3241" s="118" t="s">
        <v>181</v>
      </c>
      <c r="F3241" s="118" t="s">
        <v>46</v>
      </c>
      <c r="G3241" s="153"/>
      <c r="H3241" s="155">
        <v>6.3399999999999998E-2</v>
      </c>
      <c r="I3241" s="154" t="s">
        <v>128</v>
      </c>
      <c r="J3241" s="204">
        <v>1.192E-2</v>
      </c>
      <c r="K3241" s="154" t="s">
        <v>25</v>
      </c>
      <c r="L3241" s="154" t="str">
        <f>IF(OpenLCAbasic!K3241="CTUh", "Fill in Manually",IF(OR(K3241="Unit", K3241=""), "", INDEX(LookUps!$E$5:$E$12, MATCH(OpenLCAbasic!K3241,LookUps!$D$5:$D$12,0))))</f>
        <v>Smog Formation Potential (SFP) - kg O3 eq</v>
      </c>
      <c r="M3241" s="154" t="str">
        <f t="shared" si="160"/>
        <v>High_Medium_Base_Upgraded_Smog Formation Potential (SFP) - kg O3 eq_Wastewater collection; operation and infrastructure; m3 wastewater_Base_With Amendment_Windrow</v>
      </c>
    </row>
    <row r="3242" spans="1:13" s="120" customFormat="1" x14ac:dyDescent="0.25">
      <c r="A3242" s="119"/>
      <c r="B3242" s="138" t="str">
        <f t="shared" si="158"/>
        <v>Windrow</v>
      </c>
      <c r="C3242" s="138" t="str">
        <f t="shared" si="159"/>
        <v>Base_With Amendment</v>
      </c>
      <c r="D3242" s="118" t="s">
        <v>136</v>
      </c>
      <c r="E3242" s="118" t="s">
        <v>181</v>
      </c>
      <c r="F3242" s="118" t="s">
        <v>46</v>
      </c>
      <c r="G3242" s="153"/>
      <c r="H3242" s="155">
        <v>5.3900000000000003E-2</v>
      </c>
      <c r="I3242" s="154" t="s">
        <v>60</v>
      </c>
      <c r="J3242" s="204">
        <v>1.014E-2</v>
      </c>
      <c r="K3242" s="154" t="s">
        <v>25</v>
      </c>
      <c r="L3242" s="154" t="str">
        <f>IF(OpenLCAbasic!K3242="CTUh", "Fill in Manually",IF(OR(K3242="Unit", K3242=""), "", INDEX(LookUps!$E$5:$E$12, MATCH(OpenLCAbasic!K3242,LookUps!$D$5:$D$12,0))))</f>
        <v>Smog Formation Potential (SFP) - kg O3 eq</v>
      </c>
      <c r="M3242" s="154" t="str">
        <f t="shared" si="160"/>
        <v>High_Medium_Base_Upgraded_Smog Formation Potential (SFP) - kg O3 eq_Belt filter press; wastewater treatment unit; at updated plant - US_Base_With Amendment_Windrow</v>
      </c>
    </row>
    <row r="3243" spans="1:13" s="120" customFormat="1" x14ac:dyDescent="0.25">
      <c r="A3243" s="119"/>
      <c r="B3243" s="138" t="str">
        <f t="shared" si="158"/>
        <v>Windrow</v>
      </c>
      <c r="C3243" s="138" t="str">
        <f t="shared" si="159"/>
        <v>Base_With Amendment</v>
      </c>
      <c r="D3243" s="118" t="s">
        <v>136</v>
      </c>
      <c r="E3243" s="118" t="s">
        <v>181</v>
      </c>
      <c r="F3243" s="118" t="s">
        <v>46</v>
      </c>
      <c r="G3243" s="153"/>
      <c r="H3243" s="155">
        <v>3.5400000000000001E-2</v>
      </c>
      <c r="I3243" s="154" t="s">
        <v>57</v>
      </c>
      <c r="J3243" s="204">
        <v>6.6499999999999997E-3</v>
      </c>
      <c r="K3243" s="154" t="s">
        <v>25</v>
      </c>
      <c r="L3243" s="154" t="str">
        <f>IF(OpenLCAbasic!K3243="CTUh", "Fill in Manually",IF(OR(K3243="Unit", K3243=""), "", INDEX(LookUps!$E$5:$E$12, MATCH(OpenLCAbasic!K3243,LookUps!$D$5:$D$12,0))))</f>
        <v>Smog Formation Potential (SFP) - kg O3 eq</v>
      </c>
      <c r="M3243" s="154" t="str">
        <f t="shared" si="160"/>
        <v>High_Medium_Base_Upgraded_Smog Formation Potential (SFP) - kg O3 eq_Gravity Belt Thickener; wastewater treatment unit; at updated plant - US_Base_With Amendment_Windrow</v>
      </c>
    </row>
    <row r="3244" spans="1:13" s="120" customFormat="1" x14ac:dyDescent="0.25">
      <c r="A3244" s="119"/>
      <c r="B3244" s="138" t="str">
        <f t="shared" si="158"/>
        <v>Windrow</v>
      </c>
      <c r="C3244" s="138" t="str">
        <f t="shared" si="159"/>
        <v>Base_With Amendment</v>
      </c>
      <c r="D3244" s="118" t="s">
        <v>136</v>
      </c>
      <c r="E3244" s="118" t="s">
        <v>181</v>
      </c>
      <c r="F3244" s="118" t="s">
        <v>46</v>
      </c>
      <c r="G3244" s="153"/>
      <c r="H3244" s="155">
        <v>2.6499999999999999E-2</v>
      </c>
      <c r="I3244" s="154" t="s">
        <v>59</v>
      </c>
      <c r="J3244" s="204">
        <v>4.9699999999999996E-3</v>
      </c>
      <c r="K3244" s="154" t="s">
        <v>25</v>
      </c>
      <c r="L3244" s="154" t="str">
        <f>IF(OpenLCAbasic!K3244="CTUh", "Fill in Manually",IF(OR(K3244="Unit", K3244=""), "", INDEX(LookUps!$E$5:$E$12, MATCH(OpenLCAbasic!K3244,LookUps!$D$5:$D$12,0))))</f>
        <v>Smog Formation Potential (SFP) - kg O3 eq</v>
      </c>
      <c r="M3244" s="154" t="str">
        <f t="shared" si="160"/>
        <v>High_Medium_Base_Upgraded_Smog Formation Potential (SFP) - kg O3 eq_Blend Tank; wastewater treatment unit; at updated plant - US_Base_With Amendment_Windrow</v>
      </c>
    </row>
    <row r="3245" spans="1:13" s="120" customFormat="1" x14ac:dyDescent="0.25">
      <c r="A3245" s="119"/>
      <c r="B3245" s="138" t="str">
        <f t="shared" si="158"/>
        <v>Windrow</v>
      </c>
      <c r="C3245" s="138" t="str">
        <f t="shared" si="159"/>
        <v>Base_With Amendment</v>
      </c>
      <c r="D3245" s="118" t="s">
        <v>136</v>
      </c>
      <c r="E3245" s="118" t="s">
        <v>181</v>
      </c>
      <c r="F3245" s="118" t="s">
        <v>46</v>
      </c>
      <c r="G3245" s="153"/>
      <c r="H3245" s="155">
        <v>1.7999999999999999E-2</v>
      </c>
      <c r="I3245" s="154" t="s">
        <v>48</v>
      </c>
      <c r="J3245" s="204">
        <v>3.3899999999999998E-3</v>
      </c>
      <c r="K3245" s="154" t="s">
        <v>25</v>
      </c>
      <c r="L3245" s="154" t="str">
        <f>IF(OpenLCAbasic!K3245="CTUh", "Fill in Manually",IF(OR(K3245="Unit", K3245=""), "", INDEX(LookUps!$E$5:$E$12, MATCH(OpenLCAbasic!K3245,LookUps!$D$5:$D$12,0))))</f>
        <v>Smog Formation Potential (SFP) - kg O3 eq</v>
      </c>
      <c r="M3245" s="154" t="str">
        <f t="shared" si="160"/>
        <v>High_Medium_Base_Upgraded_Smog Formation Potential (SFP) - kg O3 eq_Effluent release; wastewater treatment unit; at surface water; m3 wastewater - US_Base_With Amendment_Windrow</v>
      </c>
    </row>
    <row r="3246" spans="1:13" s="120" customFormat="1" x14ac:dyDescent="0.25">
      <c r="A3246" s="119"/>
      <c r="B3246" s="138" t="str">
        <f t="shared" si="158"/>
        <v>Windrow</v>
      </c>
      <c r="C3246" s="138" t="str">
        <f t="shared" si="159"/>
        <v>Base_With Amendment</v>
      </c>
      <c r="D3246" s="118" t="s">
        <v>136</v>
      </c>
      <c r="E3246" s="118" t="s">
        <v>181</v>
      </c>
      <c r="F3246" s="118" t="s">
        <v>46</v>
      </c>
      <c r="G3246" s="153"/>
      <c r="H3246" s="155">
        <v>1.3100000000000001E-2</v>
      </c>
      <c r="I3246" s="154" t="s">
        <v>168</v>
      </c>
      <c r="J3246" s="204">
        <v>2.4599999999999999E-3</v>
      </c>
      <c r="K3246" s="154" t="s">
        <v>25</v>
      </c>
      <c r="L3246" s="154" t="str">
        <f>IF(OpenLCAbasic!K3246="CTUh", "Fill in Manually",IF(OR(K3246="Unit", K3246=""), "", INDEX(LookUps!$E$5:$E$12, MATCH(OpenLCAbasic!K3246,LookUps!$D$5:$D$12,0))))</f>
        <v>Smog Formation Potential (SFP) - kg O3 eq</v>
      </c>
      <c r="M3246" s="154" t="str">
        <f t="shared" si="160"/>
        <v>High_Medium_Base_Upgraded_Smog Formation Potential (SFP) - kg O3 eq_ClearCove SCP; wastewater treatment unit; at updated plant - US_Base_With Amendment_Windrow</v>
      </c>
    </row>
    <row r="3247" spans="1:13" s="120" customFormat="1" x14ac:dyDescent="0.25">
      <c r="A3247" s="119"/>
      <c r="B3247" s="138" t="str">
        <f t="shared" si="158"/>
        <v>Windrow</v>
      </c>
      <c r="C3247" s="138" t="str">
        <f t="shared" si="159"/>
        <v>Base_With Amendment</v>
      </c>
      <c r="D3247" s="118" t="s">
        <v>136</v>
      </c>
      <c r="E3247" s="118" t="s">
        <v>181</v>
      </c>
      <c r="F3247" s="118" t="s">
        <v>46</v>
      </c>
      <c r="G3247" s="153"/>
      <c r="H3247" s="155">
        <v>1.0500000000000001E-2</v>
      </c>
      <c r="I3247" s="154" t="s">
        <v>271</v>
      </c>
      <c r="J3247" s="204">
        <v>1.98E-3</v>
      </c>
      <c r="K3247" s="154" t="s">
        <v>25</v>
      </c>
      <c r="L3247" s="154" t="str">
        <f>IF(OpenLCAbasic!K3247="CTUh", "Fill in Manually",IF(OR(K3247="Unit", K3247=""), "", INDEX(LookUps!$E$5:$E$12, MATCH(OpenLCAbasic!K3247,LookUps!$D$5:$D$12,0))))</f>
        <v>Smog Formation Potential (SFP) - kg O3 eq</v>
      </c>
      <c r="M3247" s="154" t="str">
        <f t="shared" si="160"/>
        <v>High_Medium_Base_Upgraded_Smog Formation Potential (SFP) - kg O3 eq_Biosolids composting; windrow composting; wastewater treatment unit; at updated plant - US_Base_With Amendment_Windrow</v>
      </c>
    </row>
    <row r="3248" spans="1:13" s="120" customFormat="1" x14ac:dyDescent="0.25">
      <c r="A3248" s="119"/>
      <c r="B3248" s="138" t="str">
        <f t="shared" si="158"/>
        <v>Windrow</v>
      </c>
      <c r="C3248" s="138" t="str">
        <f t="shared" si="159"/>
        <v>Base_With Amendment</v>
      </c>
      <c r="D3248" s="118" t="s">
        <v>136</v>
      </c>
      <c r="E3248" s="118" t="s">
        <v>181</v>
      </c>
      <c r="F3248" s="118" t="s">
        <v>46</v>
      </c>
      <c r="G3248" s="153"/>
      <c r="H3248" s="155">
        <v>2.8999999999999998E-3</v>
      </c>
      <c r="I3248" s="154" t="s">
        <v>148</v>
      </c>
      <c r="J3248" s="204">
        <v>5.4000000000000001E-4</v>
      </c>
      <c r="K3248" s="154" t="s">
        <v>25</v>
      </c>
      <c r="L3248" s="154" t="str">
        <f>IF(OpenLCAbasic!K3248="CTUh", "Fill in Manually",IF(OR(K3248="Unit", K3248=""), "", INDEX(LookUps!$E$5:$E$12, MATCH(OpenLCAbasic!K3248,LookUps!$D$5:$D$12,0))))</f>
        <v>Smog Formation Potential (SFP) - kg O3 eq</v>
      </c>
      <c r="M3248" s="154" t="str">
        <f t="shared" si="160"/>
        <v>High_Medium_Base_Upgraded_Smog Formation Potential (SFP) - kg O3 eq_Control Building; at upgraded wastewater treatment plant - US_Base_With Amendment_Windrow</v>
      </c>
    </row>
    <row r="3249" spans="1:13" s="120" customFormat="1" x14ac:dyDescent="0.25">
      <c r="A3249" s="119"/>
      <c r="B3249" s="138" t="str">
        <f t="shared" si="158"/>
        <v>Windrow</v>
      </c>
      <c r="C3249" s="138" t="str">
        <f t="shared" si="159"/>
        <v>Base_With Amendment</v>
      </c>
      <c r="D3249" s="118" t="s">
        <v>136</v>
      </c>
      <c r="E3249" s="118" t="s">
        <v>181</v>
      </c>
      <c r="F3249" s="118" t="s">
        <v>46</v>
      </c>
      <c r="G3249" s="153"/>
      <c r="H3249" s="155">
        <v>-1.9699999999999999E-2</v>
      </c>
      <c r="I3249" s="154" t="s">
        <v>62</v>
      </c>
      <c r="J3249" s="204">
        <v>-3.7100000000000002E-3</v>
      </c>
      <c r="K3249" s="154" t="s">
        <v>25</v>
      </c>
      <c r="L3249" s="154" t="str">
        <f>IF(OpenLCAbasic!K3249="CTUh", "Fill in Manually",IF(OR(K3249="Unit", K3249=""), "", INDEX(LookUps!$E$5:$E$12, MATCH(OpenLCAbasic!K3249,LookUps!$D$5:$D$12,0))))</f>
        <v>Smog Formation Potential (SFP) - kg O3 eq</v>
      </c>
      <c r="M3249" s="154" t="str">
        <f t="shared" si="160"/>
        <v>High_Medium_Base_Upgraded_Smog Formation Potential (SFP) - kg O3 eq_Land application of compost; wastewater treatment unit; at updated plant - US_Base_With Amendment_Windrow</v>
      </c>
    </row>
    <row r="3250" spans="1:13" s="120" customFormat="1" x14ac:dyDescent="0.25">
      <c r="A3250" s="119"/>
      <c r="B3250" s="138" t="str">
        <f t="shared" si="158"/>
        <v>Windrow</v>
      </c>
      <c r="C3250" s="138" t="str">
        <f t="shared" si="159"/>
        <v>Base_With Amendment</v>
      </c>
      <c r="D3250" s="118" t="s">
        <v>136</v>
      </c>
      <c r="E3250" s="118" t="s">
        <v>181</v>
      </c>
      <c r="F3250" s="118" t="s">
        <v>46</v>
      </c>
      <c r="G3250" s="153"/>
      <c r="H3250" s="155">
        <v>-1.0073000000000001</v>
      </c>
      <c r="I3250" s="154" t="s">
        <v>149</v>
      </c>
      <c r="J3250" s="203">
        <v>-0.18936</v>
      </c>
      <c r="K3250" s="154" t="s">
        <v>25</v>
      </c>
      <c r="L3250" s="154" t="str">
        <f>IF(OpenLCAbasic!K3250="CTUh", "Fill in Manually",IF(OR(K3250="Unit", K3250=""), "", INDEX(LookUps!$E$5:$E$12, MATCH(OpenLCAbasic!K3250,LookUps!$D$5:$D$12,0))))</f>
        <v>Smog Formation Potential (SFP) - kg O3 eq</v>
      </c>
      <c r="M3250" s="154" t="str">
        <f t="shared" si="160"/>
        <v>High_Medium_Base_Upgraded_Smog Formation Potential (SFP) - kg O3 eq_Anaerobic Digestion; wastewater treatment unit; at updated plant - US_Base_With Amendment_Windrow</v>
      </c>
    </row>
    <row r="3251" spans="1:13" s="120" customFormat="1" x14ac:dyDescent="0.25">
      <c r="A3251" s="119"/>
      <c r="B3251" s="138" t="str">
        <f t="shared" si="158"/>
        <v>Windrow</v>
      </c>
      <c r="C3251" s="138" t="str">
        <f t="shared" si="159"/>
        <v>Base_With Amendment</v>
      </c>
      <c r="D3251" s="118" t="s">
        <v>136</v>
      </c>
      <c r="E3251" s="118" t="s">
        <v>181</v>
      </c>
      <c r="F3251" s="118" t="s">
        <v>46</v>
      </c>
      <c r="G3251" s="153" t="s">
        <v>51</v>
      </c>
      <c r="H3251" s="154"/>
      <c r="I3251" s="154" t="s">
        <v>47</v>
      </c>
      <c r="J3251" s="154" t="s">
        <v>52</v>
      </c>
      <c r="K3251" s="154" t="s">
        <v>27</v>
      </c>
      <c r="L3251" s="154" t="str">
        <f>IF(OpenLCAbasic!K3251="CTUh", "Fill in Manually",IF(OR(K3251="Unit", K3251=""), "", INDEX(LookUps!$E$5:$E$12, MATCH(OpenLCAbasic!K3251,LookUps!$D$5:$D$12,0))))</f>
        <v/>
      </c>
      <c r="M3251" s="154" t="str">
        <f t="shared" si="160"/>
        <v>High_Medium_Base_Upgraded__Process_Base_With Amendment_Windrow</v>
      </c>
    </row>
    <row r="3252" spans="1:13" s="120" customFormat="1" x14ac:dyDescent="0.25">
      <c r="A3252" s="119"/>
      <c r="B3252" s="138" t="str">
        <f t="shared" si="158"/>
        <v>Windrow</v>
      </c>
      <c r="C3252" s="138" t="str">
        <f t="shared" si="159"/>
        <v>Base_With Amendment</v>
      </c>
      <c r="D3252" s="118" t="s">
        <v>136</v>
      </c>
      <c r="E3252" s="118" t="s">
        <v>181</v>
      </c>
      <c r="F3252" s="118" t="s">
        <v>46</v>
      </c>
      <c r="G3252" s="153"/>
      <c r="H3252" s="155">
        <v>0.60899999999999999</v>
      </c>
      <c r="I3252" s="154" t="s">
        <v>167</v>
      </c>
      <c r="J3252" s="204">
        <v>2.7999999999999998E-4</v>
      </c>
      <c r="K3252" s="154" t="s">
        <v>26</v>
      </c>
      <c r="L3252" s="154" t="str">
        <f>IF(OpenLCAbasic!K3252="CTUh", "Fill in Manually",IF(OR(K3252="Unit", K3252=""), "", INDEX(LookUps!$E$5:$E$12, MATCH(OpenLCAbasic!K3252,LookUps!$D$5:$D$12,0))))</f>
        <v>Water Use (WU) - m3 H2O</v>
      </c>
      <c r="M3252" s="154" t="str">
        <f t="shared" si="160"/>
        <v>High_Medium_Base_Upgraded_Water Use (WU) - m3 H2O_Waste Receiving and Holding; wastewater treatment unit; at updated plant - US_Base_With Amendment_Windrow</v>
      </c>
    </row>
    <row r="3253" spans="1:13" s="120" customFormat="1" x14ac:dyDescent="0.25">
      <c r="A3253" s="119"/>
      <c r="B3253" s="138" t="str">
        <f t="shared" si="158"/>
        <v>Windrow</v>
      </c>
      <c r="C3253" s="138" t="str">
        <f t="shared" si="159"/>
        <v>Base_With Amendment</v>
      </c>
      <c r="D3253" s="118" t="s">
        <v>136</v>
      </c>
      <c r="E3253" s="118" t="s">
        <v>181</v>
      </c>
      <c r="F3253" s="118" t="s">
        <v>46</v>
      </c>
      <c r="G3253" s="153"/>
      <c r="H3253" s="155">
        <v>0.39750000000000002</v>
      </c>
      <c r="I3253" s="154" t="s">
        <v>147</v>
      </c>
      <c r="J3253" s="204">
        <v>1.8000000000000001E-4</v>
      </c>
      <c r="K3253" s="154" t="s">
        <v>26</v>
      </c>
      <c r="L3253" s="154" t="str">
        <f>IF(OpenLCAbasic!K3253="CTUh", "Fill in Manually",IF(OR(K3253="Unit", K3253=""), "", INDEX(LookUps!$E$5:$E$12, MATCH(OpenLCAbasic!K3253,LookUps!$D$5:$D$12,0))))</f>
        <v>Water Use (WU) - m3 H2O</v>
      </c>
      <c r="M3253" s="154" t="str">
        <f t="shared" si="160"/>
        <v>High_Medium_Base_Upgraded_Water Use (WU) - m3 H2O_Influent Pump Station; wastewater treatment unit; at updated plant - US_Base_With Amendment_Windrow</v>
      </c>
    </row>
    <row r="3254" spans="1:13" s="120" customFormat="1" x14ac:dyDescent="0.25">
      <c r="A3254" s="119"/>
      <c r="B3254" s="138" t="str">
        <f t="shared" si="158"/>
        <v>Windrow</v>
      </c>
      <c r="C3254" s="138" t="str">
        <f t="shared" si="159"/>
        <v>Base_With Amendment</v>
      </c>
      <c r="D3254" s="118" t="s">
        <v>136</v>
      </c>
      <c r="E3254" s="118" t="s">
        <v>181</v>
      </c>
      <c r="F3254" s="118" t="s">
        <v>46</v>
      </c>
      <c r="G3254" s="153"/>
      <c r="H3254" s="155">
        <v>0.38790000000000002</v>
      </c>
      <c r="I3254" s="154" t="s">
        <v>54</v>
      </c>
      <c r="J3254" s="204">
        <v>1.8000000000000001E-4</v>
      </c>
      <c r="K3254" s="154" t="s">
        <v>26</v>
      </c>
      <c r="L3254" s="154" t="str">
        <f>IF(OpenLCAbasic!K3254="CTUh", "Fill in Manually",IF(OR(K3254="Unit", K3254=""), "", INDEX(LookUps!$E$5:$E$12, MATCH(OpenLCAbasic!K3254,LookUps!$D$5:$D$12,0))))</f>
        <v>Water Use (WU) - m3 H2O</v>
      </c>
      <c r="M3254" s="154" t="str">
        <f t="shared" si="160"/>
        <v>High_Medium_Base_Upgraded_Water Use (WU) - m3 H2O_Clear Cove Primary Clarification; wastewater treatment unit; at updated plant - US_Base_With Amendment_Windrow</v>
      </c>
    </row>
    <row r="3255" spans="1:13" s="120" customFormat="1" x14ac:dyDescent="0.25">
      <c r="A3255" s="119"/>
      <c r="B3255" s="138" t="str">
        <f t="shared" si="158"/>
        <v>Windrow</v>
      </c>
      <c r="C3255" s="138" t="str">
        <f t="shared" si="159"/>
        <v>Base_With Amendment</v>
      </c>
      <c r="D3255" s="118" t="s">
        <v>136</v>
      </c>
      <c r="E3255" s="118" t="s">
        <v>181</v>
      </c>
      <c r="F3255" s="118" t="s">
        <v>46</v>
      </c>
      <c r="G3255" s="153"/>
      <c r="H3255" s="155">
        <v>0.35189999999999999</v>
      </c>
      <c r="I3255" s="154" t="s">
        <v>55</v>
      </c>
      <c r="J3255" s="204">
        <v>1.6000000000000001E-4</v>
      </c>
      <c r="K3255" s="154" t="s">
        <v>26</v>
      </c>
      <c r="L3255" s="154" t="str">
        <f>IF(OpenLCAbasic!K3255="CTUh", "Fill in Manually",IF(OR(K3255="Unit", K3255=""), "", INDEX(LookUps!$E$5:$E$12, MATCH(OpenLCAbasic!K3255,LookUps!$D$5:$D$12,0))))</f>
        <v>Water Use (WU) - m3 H2O</v>
      </c>
      <c r="M3255" s="154" t="str">
        <f t="shared" si="160"/>
        <v>High_Medium_Base_Upgraded_Water Use (WU) - m3 H2O_Aeration Tanks; wastewater treatment unit; at updated plant - US_Base_With Amendment_Windrow</v>
      </c>
    </row>
    <row r="3256" spans="1:13" s="120" customFormat="1" x14ac:dyDescent="0.25">
      <c r="A3256" s="119"/>
      <c r="B3256" s="138" t="str">
        <f t="shared" si="158"/>
        <v>Windrow</v>
      </c>
      <c r="C3256" s="138" t="str">
        <f t="shared" si="159"/>
        <v>Base_With Amendment</v>
      </c>
      <c r="D3256" s="118" t="s">
        <v>136</v>
      </c>
      <c r="E3256" s="118" t="s">
        <v>181</v>
      </c>
      <c r="F3256" s="118" t="s">
        <v>46</v>
      </c>
      <c r="G3256" s="153"/>
      <c r="H3256" s="155">
        <v>0.32050000000000001</v>
      </c>
      <c r="I3256" s="154" t="s">
        <v>148</v>
      </c>
      <c r="J3256" s="204">
        <v>1.4999999999999999E-4</v>
      </c>
      <c r="K3256" s="154" t="s">
        <v>26</v>
      </c>
      <c r="L3256" s="154" t="str">
        <f>IF(OpenLCAbasic!K3256="CTUh", "Fill in Manually",IF(OR(K3256="Unit", K3256=""), "", INDEX(LookUps!$E$5:$E$12, MATCH(OpenLCAbasic!K3256,LookUps!$D$5:$D$12,0))))</f>
        <v>Water Use (WU) - m3 H2O</v>
      </c>
      <c r="M3256" s="154" t="str">
        <f t="shared" si="160"/>
        <v>High_Medium_Base_Upgraded_Water Use (WU) - m3 H2O_Control Building; at upgraded wastewater treatment plant - US_Base_With Amendment_Windrow</v>
      </c>
    </row>
    <row r="3257" spans="1:13" s="120" customFormat="1" x14ac:dyDescent="0.25">
      <c r="A3257" s="119"/>
      <c r="B3257" s="138" t="str">
        <f t="shared" si="158"/>
        <v>Windrow</v>
      </c>
      <c r="C3257" s="138" t="str">
        <f t="shared" si="159"/>
        <v>Base_With Amendment</v>
      </c>
      <c r="D3257" s="118" t="s">
        <v>136</v>
      </c>
      <c r="E3257" s="118" t="s">
        <v>181</v>
      </c>
      <c r="F3257" s="118" t="s">
        <v>46</v>
      </c>
      <c r="G3257" s="153"/>
      <c r="H3257" s="155">
        <v>0.14879999999999999</v>
      </c>
      <c r="I3257" s="154" t="s">
        <v>48</v>
      </c>
      <c r="J3257" s="204">
        <v>6.8836400000000004E-5</v>
      </c>
      <c r="K3257" s="154" t="s">
        <v>26</v>
      </c>
      <c r="L3257" s="154" t="str">
        <f>IF(OpenLCAbasic!K3257="CTUh", "Fill in Manually",IF(OR(K3257="Unit", K3257=""), "", INDEX(LookUps!$E$5:$E$12, MATCH(OpenLCAbasic!K3257,LookUps!$D$5:$D$12,0))))</f>
        <v>Water Use (WU) - m3 H2O</v>
      </c>
      <c r="M3257" s="154" t="str">
        <f t="shared" si="160"/>
        <v>High_Medium_Base_Upgraded_Water Use (WU) - m3 H2O_Effluent release; wastewater treatment unit; at surface water; m3 wastewater - US_Base_With Amendment_Windrow</v>
      </c>
    </row>
    <row r="3258" spans="1:13" s="120" customFormat="1" x14ac:dyDescent="0.25">
      <c r="A3258" s="119"/>
      <c r="B3258" s="138" t="str">
        <f t="shared" si="158"/>
        <v>Windrow</v>
      </c>
      <c r="C3258" s="138" t="str">
        <f t="shared" si="159"/>
        <v>Base_With Amendment</v>
      </c>
      <c r="D3258" s="118" t="s">
        <v>136</v>
      </c>
      <c r="E3258" s="118" t="s">
        <v>181</v>
      </c>
      <c r="F3258" s="118" t="s">
        <v>46</v>
      </c>
      <c r="G3258" s="153"/>
      <c r="H3258" s="155">
        <v>9.35E-2</v>
      </c>
      <c r="I3258" s="154" t="s">
        <v>58</v>
      </c>
      <c r="J3258" s="204">
        <v>4.3235300000000003E-5</v>
      </c>
      <c r="K3258" s="154" t="s">
        <v>26</v>
      </c>
      <c r="L3258" s="154" t="str">
        <f>IF(OpenLCAbasic!K3258="CTUh", "Fill in Manually",IF(OR(K3258="Unit", K3258=""), "", INDEX(LookUps!$E$5:$E$12, MATCH(OpenLCAbasic!K3258,LookUps!$D$5:$D$12,0))))</f>
        <v>Water Use (WU) - m3 H2O</v>
      </c>
      <c r="M3258" s="154" t="str">
        <f t="shared" si="160"/>
        <v>High_Medium_Base_Upgraded_Water Use (WU) - m3 H2O_Pre-Anoxic &amp; Swing tank; wastewater treatment unit; at updated plant - US_Base_With Amendment_Windrow</v>
      </c>
    </row>
    <row r="3259" spans="1:13" s="120" customFormat="1" x14ac:dyDescent="0.25">
      <c r="A3259" s="119"/>
      <c r="B3259" s="138" t="str">
        <f t="shared" si="158"/>
        <v>Windrow</v>
      </c>
      <c r="C3259" s="138" t="str">
        <f t="shared" si="159"/>
        <v>Base_With Amendment</v>
      </c>
      <c r="D3259" s="118" t="s">
        <v>136</v>
      </c>
      <c r="E3259" s="118" t="s">
        <v>181</v>
      </c>
      <c r="F3259" s="118" t="s">
        <v>46</v>
      </c>
      <c r="G3259" s="153"/>
      <c r="H3259" s="155">
        <v>6.5799999999999997E-2</v>
      </c>
      <c r="I3259" s="154" t="s">
        <v>57</v>
      </c>
      <c r="J3259" s="204">
        <v>3.0408100000000001E-5</v>
      </c>
      <c r="K3259" s="154" t="s">
        <v>26</v>
      </c>
      <c r="L3259" s="154" t="str">
        <f>IF(OpenLCAbasic!K3259="CTUh", "Fill in Manually",IF(OR(K3259="Unit", K3259=""), "", INDEX(LookUps!$E$5:$E$12, MATCH(OpenLCAbasic!K3259,LookUps!$D$5:$D$12,0))))</f>
        <v>Water Use (WU) - m3 H2O</v>
      </c>
      <c r="M3259" s="154" t="str">
        <f t="shared" si="160"/>
        <v>High_Medium_Base_Upgraded_Water Use (WU) - m3 H2O_Gravity Belt Thickener; wastewater treatment unit; at updated plant - US_Base_With Amendment_Windrow</v>
      </c>
    </row>
    <row r="3260" spans="1:13" s="120" customFormat="1" x14ac:dyDescent="0.25">
      <c r="A3260" s="119"/>
      <c r="B3260" s="138" t="str">
        <f t="shared" si="158"/>
        <v>Windrow</v>
      </c>
      <c r="C3260" s="138" t="str">
        <f t="shared" si="159"/>
        <v>Base_With Amendment</v>
      </c>
      <c r="D3260" s="118" t="s">
        <v>136</v>
      </c>
      <c r="E3260" s="118" t="s">
        <v>181</v>
      </c>
      <c r="F3260" s="118" t="s">
        <v>46</v>
      </c>
      <c r="G3260" s="153"/>
      <c r="H3260" s="155">
        <v>6.5500000000000003E-2</v>
      </c>
      <c r="I3260" s="154" t="s">
        <v>60</v>
      </c>
      <c r="J3260" s="204">
        <v>3.0289000000000001E-5</v>
      </c>
      <c r="K3260" s="154" t="s">
        <v>26</v>
      </c>
      <c r="L3260" s="154" t="str">
        <f>IF(OpenLCAbasic!K3260="CTUh", "Fill in Manually",IF(OR(K3260="Unit", K3260=""), "", INDEX(LookUps!$E$5:$E$12, MATCH(OpenLCAbasic!K3260,LookUps!$D$5:$D$12,0))))</f>
        <v>Water Use (WU) - m3 H2O</v>
      </c>
      <c r="M3260" s="154" t="str">
        <f t="shared" si="160"/>
        <v>High_Medium_Base_Upgraded_Water Use (WU) - m3 H2O_Belt filter press; wastewater treatment unit; at updated plant - US_Base_With Amendment_Windrow</v>
      </c>
    </row>
    <row r="3261" spans="1:13" s="120" customFormat="1" x14ac:dyDescent="0.25">
      <c r="A3261" s="119"/>
      <c r="B3261" s="138" t="str">
        <f t="shared" si="158"/>
        <v>Windrow</v>
      </c>
      <c r="C3261" s="138" t="str">
        <f t="shared" si="159"/>
        <v>Base_With Amendment</v>
      </c>
      <c r="D3261" s="118" t="s">
        <v>136</v>
      </c>
      <c r="E3261" s="118" t="s">
        <v>181</v>
      </c>
      <c r="F3261" s="118" t="s">
        <v>46</v>
      </c>
      <c r="G3261" s="153"/>
      <c r="H3261" s="155">
        <v>3.7900000000000003E-2</v>
      </c>
      <c r="I3261" s="154" t="s">
        <v>53</v>
      </c>
      <c r="J3261" s="204">
        <v>1.75069E-5</v>
      </c>
      <c r="K3261" s="154" t="s">
        <v>26</v>
      </c>
      <c r="L3261" s="154" t="str">
        <f>IF(OpenLCAbasic!K3261="CTUh", "Fill in Manually",IF(OR(K3261="Unit", K3261=""), "", INDEX(LookUps!$E$5:$E$12, MATCH(OpenLCAbasic!K3261,LookUps!$D$5:$D$12,0))))</f>
        <v>Water Use (WU) - m3 H2O</v>
      </c>
      <c r="M3261" s="154" t="str">
        <f t="shared" si="160"/>
        <v>High_Medium_Base_Upgraded_Water Use (WU) - m3 H2O_Wet Well and Sump Station; wastewater treatment unit; at updated plant - US_Base_With Amendment_Windrow</v>
      </c>
    </row>
    <row r="3262" spans="1:13" s="120" customFormat="1" x14ac:dyDescent="0.25">
      <c r="A3262" s="119"/>
      <c r="B3262" s="138" t="str">
        <f t="shared" si="158"/>
        <v>Windrow</v>
      </c>
      <c r="C3262" s="138" t="str">
        <f t="shared" si="159"/>
        <v>Base_With Amendment</v>
      </c>
      <c r="D3262" s="118" t="s">
        <v>136</v>
      </c>
      <c r="E3262" s="118" t="s">
        <v>181</v>
      </c>
      <c r="F3262" s="118" t="s">
        <v>46</v>
      </c>
      <c r="G3262" s="153"/>
      <c r="H3262" s="155">
        <v>1.52E-2</v>
      </c>
      <c r="I3262" s="154" t="s">
        <v>59</v>
      </c>
      <c r="J3262" s="204">
        <v>7.0179500000000003E-6</v>
      </c>
      <c r="K3262" s="154" t="s">
        <v>26</v>
      </c>
      <c r="L3262" s="154" t="str">
        <f>IF(OpenLCAbasic!K3262="CTUh", "Fill in Manually",IF(OR(K3262="Unit", K3262=""), "", INDEX(LookUps!$E$5:$E$12, MATCH(OpenLCAbasic!K3262,LookUps!$D$5:$D$12,0))))</f>
        <v>Water Use (WU) - m3 H2O</v>
      </c>
      <c r="M3262" s="154" t="str">
        <f t="shared" si="160"/>
        <v>High_Medium_Base_Upgraded_Water Use (WU) - m3 H2O_Blend Tank; wastewater treatment unit; at updated plant - US_Base_With Amendment_Windrow</v>
      </c>
    </row>
    <row r="3263" spans="1:13" s="120" customFormat="1" x14ac:dyDescent="0.25">
      <c r="A3263" s="119"/>
      <c r="B3263" s="138" t="str">
        <f t="shared" si="158"/>
        <v>Windrow</v>
      </c>
      <c r="C3263" s="138" t="str">
        <f t="shared" si="159"/>
        <v>Base_With Amendment</v>
      </c>
      <c r="D3263" s="118" t="s">
        <v>136</v>
      </c>
      <c r="E3263" s="118" t="s">
        <v>181</v>
      </c>
      <c r="F3263" s="118" t="s">
        <v>46</v>
      </c>
      <c r="G3263" s="153"/>
      <c r="H3263" s="155">
        <v>1.09E-2</v>
      </c>
      <c r="I3263" s="154" t="s">
        <v>128</v>
      </c>
      <c r="J3263" s="204">
        <v>5.0608900000000003E-6</v>
      </c>
      <c r="K3263" s="154" t="s">
        <v>26</v>
      </c>
      <c r="L3263" s="154" t="str">
        <f>IF(OpenLCAbasic!K3263="CTUh", "Fill in Manually",IF(OR(K3263="Unit", K3263=""), "", INDEX(LookUps!$E$5:$E$12, MATCH(OpenLCAbasic!K3263,LookUps!$D$5:$D$12,0))))</f>
        <v>Water Use (WU) - m3 H2O</v>
      </c>
      <c r="M3263" s="154" t="str">
        <f t="shared" si="160"/>
        <v>High_Medium_Base_Upgraded_Water Use (WU) - m3 H2O_Wastewater collection; operation and infrastructure; m3 wastewater_Base_With Amendment_Windrow</v>
      </c>
    </row>
    <row r="3264" spans="1:13" s="120" customFormat="1" x14ac:dyDescent="0.25">
      <c r="A3264" s="119"/>
      <c r="B3264" s="138" t="str">
        <f t="shared" si="158"/>
        <v>Windrow</v>
      </c>
      <c r="C3264" s="138" t="str">
        <f t="shared" si="159"/>
        <v>Base_With Amendment</v>
      </c>
      <c r="D3264" s="118" t="s">
        <v>136</v>
      </c>
      <c r="E3264" s="118" t="s">
        <v>181</v>
      </c>
      <c r="F3264" s="118" t="s">
        <v>46</v>
      </c>
      <c r="G3264" s="153"/>
      <c r="H3264" s="155">
        <v>3.2000000000000002E-3</v>
      </c>
      <c r="I3264" s="154" t="s">
        <v>271</v>
      </c>
      <c r="J3264" s="204">
        <v>1.47648E-6</v>
      </c>
      <c r="K3264" s="154" t="s">
        <v>26</v>
      </c>
      <c r="L3264" s="154" t="str">
        <f>IF(OpenLCAbasic!K3264="CTUh", "Fill in Manually",IF(OR(K3264="Unit", K3264=""), "", INDEX(LookUps!$E$5:$E$12, MATCH(OpenLCAbasic!K3264,LookUps!$D$5:$D$12,0))))</f>
        <v>Water Use (WU) - m3 H2O</v>
      </c>
      <c r="M3264" s="154" t="str">
        <f t="shared" si="160"/>
        <v>High_Medium_Base_Upgraded_Water Use (WU) - m3 H2O_Biosolids composting; windrow composting; wastewater treatment unit; at updated plant - US_Base_With Amendment_Windrow</v>
      </c>
    </row>
    <row r="3265" spans="1:13" s="120" customFormat="1" x14ac:dyDescent="0.25">
      <c r="A3265" s="119"/>
      <c r="B3265" s="138" t="str">
        <f t="shared" si="158"/>
        <v>Windrow</v>
      </c>
      <c r="C3265" s="138" t="str">
        <f t="shared" si="159"/>
        <v>Base_With Amendment</v>
      </c>
      <c r="D3265" s="118" t="s">
        <v>136</v>
      </c>
      <c r="E3265" s="118" t="s">
        <v>181</v>
      </c>
      <c r="F3265" s="118" t="s">
        <v>46</v>
      </c>
      <c r="G3265" s="153"/>
      <c r="H3265" s="155">
        <v>1.6999999999999999E-3</v>
      </c>
      <c r="I3265" s="154" t="s">
        <v>168</v>
      </c>
      <c r="J3265" s="204">
        <v>7.6697000000000004E-7</v>
      </c>
      <c r="K3265" s="154" t="s">
        <v>26</v>
      </c>
      <c r="L3265" s="154" t="str">
        <f>IF(OpenLCAbasic!K3265="CTUh", "Fill in Manually",IF(OR(K3265="Unit", K3265=""), "", INDEX(LookUps!$E$5:$E$12, MATCH(OpenLCAbasic!K3265,LookUps!$D$5:$D$12,0))))</f>
        <v>Water Use (WU) - m3 H2O</v>
      </c>
      <c r="M3265" s="154" t="str">
        <f t="shared" si="160"/>
        <v>High_Medium_Base_Upgraded_Water Use (WU) - m3 H2O_ClearCove SCP; wastewater treatment unit; at updated plant - US_Base_With Amendment_Windrow</v>
      </c>
    </row>
    <row r="3266" spans="1:13" s="120" customFormat="1" x14ac:dyDescent="0.25">
      <c r="A3266" s="119"/>
      <c r="B3266" s="138" t="str">
        <f t="shared" si="158"/>
        <v>Windrow</v>
      </c>
      <c r="C3266" s="138" t="str">
        <f t="shared" si="159"/>
        <v>Base_With Amendment</v>
      </c>
      <c r="D3266" s="118" t="s">
        <v>136</v>
      </c>
      <c r="E3266" s="118" t="s">
        <v>181</v>
      </c>
      <c r="F3266" s="118" t="s">
        <v>46</v>
      </c>
      <c r="G3266" s="153"/>
      <c r="H3266" s="155">
        <v>-8.3400000000000002E-2</v>
      </c>
      <c r="I3266" s="154" t="s">
        <v>149</v>
      </c>
      <c r="J3266" s="204">
        <v>-3.8591399999999998E-5</v>
      </c>
      <c r="K3266" s="154" t="s">
        <v>26</v>
      </c>
      <c r="L3266" s="154" t="str">
        <f>IF(OpenLCAbasic!K3266="CTUh", "Fill in Manually",IF(OR(K3266="Unit", K3266=""), "", INDEX(LookUps!$E$5:$E$12, MATCH(OpenLCAbasic!K3266,LookUps!$D$5:$D$12,0))))</f>
        <v>Water Use (WU) - m3 H2O</v>
      </c>
      <c r="M3266" s="154" t="str">
        <f t="shared" si="160"/>
        <v>High_Medium_Base_Upgraded_Water Use (WU) - m3 H2O_Anaerobic Digestion; wastewater treatment unit; at updated plant - US_Base_With Amendment_Windrow</v>
      </c>
    </row>
    <row r="3267" spans="1:13" s="120" customFormat="1" x14ac:dyDescent="0.25">
      <c r="A3267" s="213"/>
      <c r="B3267" s="138" t="str">
        <f t="shared" si="158"/>
        <v>Windrow</v>
      </c>
      <c r="C3267" s="138" t="str">
        <f t="shared" si="159"/>
        <v>Base_With Amendment</v>
      </c>
      <c r="D3267" s="118" t="s">
        <v>136</v>
      </c>
      <c r="E3267" s="118" t="s">
        <v>181</v>
      </c>
      <c r="F3267" s="118" t="s">
        <v>46</v>
      </c>
      <c r="G3267" s="153"/>
      <c r="H3267" s="155">
        <v>-3.4258000000000002</v>
      </c>
      <c r="I3267" s="154" t="s">
        <v>62</v>
      </c>
      <c r="J3267" s="204">
        <v>-1.58E-3</v>
      </c>
      <c r="K3267" s="154" t="s">
        <v>26</v>
      </c>
      <c r="L3267" s="154" t="str">
        <f>IF(OpenLCAbasic!K3267="CTUh", "Fill in Manually",IF(OR(K3267="Unit", K3267=""), "", INDEX(LookUps!$E$5:$E$12, MATCH(OpenLCAbasic!K3267,LookUps!$D$5:$D$12,0))))</f>
        <v>Water Use (WU) - m3 H2O</v>
      </c>
      <c r="M3267" s="154" t="str">
        <f t="shared" si="160"/>
        <v>High_Medium_Base_Upgraded_Water Use (WU) - m3 H2O_Land application of compost; wastewater treatment unit; at updated plant - US_Base_With Amendment_Windrow</v>
      </c>
    </row>
    <row r="3268" spans="1:13" s="120" customFormat="1" x14ac:dyDescent="0.25">
      <c r="A3268" s="119"/>
      <c r="B3268" s="138" t="str">
        <f t="shared" si="158"/>
        <v>Windrow</v>
      </c>
      <c r="C3268" s="138" t="str">
        <f t="shared" si="159"/>
        <v/>
      </c>
      <c r="D3268" s="138"/>
      <c r="E3268" s="138"/>
      <c r="F3268" s="138" t="s">
        <v>46</v>
      </c>
      <c r="G3268" s="153"/>
      <c r="H3268" s="160"/>
      <c r="I3268" s="160"/>
      <c r="J3268" s="207"/>
      <c r="K3268" s="160"/>
      <c r="L3268" s="154" t="str">
        <f>IF(OpenLCAbasic!K3268="CTUh", "Fill in Manually",IF(OR(K3268="Unit", K3268=""), "", INDEX(LookUps!$E$5:$E$12, MATCH(OpenLCAbasic!K3268,LookUps!$D$5:$D$12,0))))</f>
        <v/>
      </c>
      <c r="M3268" s="154" t="str">
        <f t="shared" si="160"/>
        <v>__Upgraded____Windrow</v>
      </c>
    </row>
    <row r="3269" spans="1:13" s="120" customFormat="1" x14ac:dyDescent="0.25">
      <c r="A3269" s="119"/>
      <c r="B3269" s="138" t="str">
        <f t="shared" si="158"/>
        <v>Windrow</v>
      </c>
      <c r="C3269" s="138" t="str">
        <f t="shared" si="159"/>
        <v>Base_With Amendment</v>
      </c>
      <c r="D3269" s="118" t="s">
        <v>137</v>
      </c>
      <c r="E3269" s="118" t="s">
        <v>181</v>
      </c>
      <c r="F3269" s="118" t="s">
        <v>46</v>
      </c>
      <c r="G3269" s="153" t="s">
        <v>51</v>
      </c>
      <c r="H3269" s="154"/>
      <c r="I3269" s="154" t="s">
        <v>47</v>
      </c>
      <c r="J3269" s="154" t="s">
        <v>52</v>
      </c>
      <c r="K3269" s="154" t="s">
        <v>27</v>
      </c>
      <c r="L3269" s="154" t="str">
        <f>IF(OpenLCAbasic!K3269="CTUh", "Fill in Manually",IF(OR(K3269="Unit", K3269=""), "", INDEX(LookUps!$E$5:$E$12, MATCH(OpenLCAbasic!K3269,LookUps!$D$5:$D$12,0))))</f>
        <v/>
      </c>
      <c r="M3269" s="154" t="str">
        <f t="shared" si="160"/>
        <v>High_Medium_High_Upgraded__Process_Base_With Amendment_Windrow</v>
      </c>
    </row>
    <row r="3270" spans="1:13" s="120" customFormat="1" x14ac:dyDescent="0.25">
      <c r="A3270" s="119"/>
      <c r="B3270" s="138" t="str">
        <f t="shared" ref="B3270:B3333" si="161">IF(F3270="Legacy","n.a.",IF(F3270="","","Windrow"))</f>
        <v>Windrow</v>
      </c>
      <c r="C3270" s="138" t="str">
        <f t="shared" si="159"/>
        <v>Base_With Amendment</v>
      </c>
      <c r="D3270" s="118" t="s">
        <v>137</v>
      </c>
      <c r="E3270" s="118" t="s">
        <v>181</v>
      </c>
      <c r="F3270" s="118" t="s">
        <v>46</v>
      </c>
      <c r="G3270" s="153"/>
      <c r="H3270" s="155">
        <v>1.2567999999999999</v>
      </c>
      <c r="I3270" s="154" t="s">
        <v>271</v>
      </c>
      <c r="J3270" s="157">
        <v>2.1375700000000002</v>
      </c>
      <c r="K3270" s="154" t="s">
        <v>23</v>
      </c>
      <c r="L3270" s="154" t="str">
        <f>IF(OpenLCAbasic!K3270="CTUh", "Fill in Manually",IF(OR(K3270="Unit", K3270=""), "", INDEX(LookUps!$E$5:$E$12, MATCH(OpenLCAbasic!K3270,LookUps!$D$5:$D$12,0))))</f>
        <v>Global Warming Potential (GWP) - kg CO2 eq</v>
      </c>
      <c r="M3270" s="154" t="str">
        <f t="shared" si="160"/>
        <v>High_Medium_High_Upgraded_Global Warming Potential (GWP) - kg CO2 eq_Biosolids composting; windrow composting; wastewater treatment unit; at updated plant - US_Base_With Amendment_Windrow</v>
      </c>
    </row>
    <row r="3271" spans="1:13" s="120" customFormat="1" x14ac:dyDescent="0.25">
      <c r="A3271" s="119"/>
      <c r="B3271" s="138" t="str">
        <f t="shared" si="161"/>
        <v>Windrow</v>
      </c>
      <c r="C3271" s="138" t="str">
        <f t="shared" ref="C3271:C3334" si="162">IF(E3271&lt;&gt;"", "Base_With Amendment","")</f>
        <v>Base_With Amendment</v>
      </c>
      <c r="D3271" s="118" t="s">
        <v>137</v>
      </c>
      <c r="E3271" s="118" t="s">
        <v>181</v>
      </c>
      <c r="F3271" s="118" t="s">
        <v>46</v>
      </c>
      <c r="G3271" s="153"/>
      <c r="H3271" s="155">
        <v>0.14449999999999999</v>
      </c>
      <c r="I3271" s="154" t="s">
        <v>58</v>
      </c>
      <c r="J3271" s="203">
        <v>0.24568999999999999</v>
      </c>
      <c r="K3271" s="154" t="s">
        <v>23</v>
      </c>
      <c r="L3271" s="154" t="str">
        <f>IF(OpenLCAbasic!K3271="CTUh", "Fill in Manually",IF(OR(K3271="Unit", K3271=""), "", INDEX(LookUps!$E$5:$E$12, MATCH(OpenLCAbasic!K3271,LookUps!$D$5:$D$12,0))))</f>
        <v>Global Warming Potential (GWP) - kg CO2 eq</v>
      </c>
      <c r="M3271" s="154" t="str">
        <f t="shared" ref="M3271:M3334" si="163">CONCATENATE(E3271,"_",D3271,"_",F3271,"_",L3271, "_",I3271,"_", C3271,"_", B3271)</f>
        <v>High_Medium_High_Upgraded_Global Warming Potential (GWP) - kg CO2 eq_Pre-Anoxic &amp; Swing tank; wastewater treatment unit; at updated plant - US_Base_With Amendment_Windrow</v>
      </c>
    </row>
    <row r="3272" spans="1:13" s="120" customFormat="1" x14ac:dyDescent="0.25">
      <c r="A3272" s="119"/>
      <c r="B3272" s="138" t="str">
        <f t="shared" si="161"/>
        <v>Windrow</v>
      </c>
      <c r="C3272" s="138" t="str">
        <f t="shared" si="162"/>
        <v>Base_With Amendment</v>
      </c>
      <c r="D3272" s="118" t="s">
        <v>137</v>
      </c>
      <c r="E3272" s="118" t="s">
        <v>181</v>
      </c>
      <c r="F3272" s="118" t="s">
        <v>46</v>
      </c>
      <c r="G3272" s="153"/>
      <c r="H3272" s="155">
        <v>9.8900000000000002E-2</v>
      </c>
      <c r="I3272" s="154" t="s">
        <v>55</v>
      </c>
      <c r="J3272" s="203">
        <v>0.16822000000000001</v>
      </c>
      <c r="K3272" s="154" t="s">
        <v>23</v>
      </c>
      <c r="L3272" s="154" t="str">
        <f>IF(OpenLCAbasic!K3272="CTUh", "Fill in Manually",IF(OR(K3272="Unit", K3272=""), "", INDEX(LookUps!$E$5:$E$12, MATCH(OpenLCAbasic!K3272,LookUps!$D$5:$D$12,0))))</f>
        <v>Global Warming Potential (GWP) - kg CO2 eq</v>
      </c>
      <c r="M3272" s="154" t="str">
        <f t="shared" si="163"/>
        <v>High_Medium_High_Upgraded_Global Warming Potential (GWP) - kg CO2 eq_Aeration Tanks; wastewater treatment unit; at updated plant - US_Base_With Amendment_Windrow</v>
      </c>
    </row>
    <row r="3273" spans="1:13" s="120" customFormat="1" x14ac:dyDescent="0.25">
      <c r="A3273" s="119"/>
      <c r="B3273" s="138" t="str">
        <f t="shared" si="161"/>
        <v>Windrow</v>
      </c>
      <c r="C3273" s="138" t="str">
        <f t="shared" si="162"/>
        <v>Base_With Amendment</v>
      </c>
      <c r="D3273" s="118" t="s">
        <v>137</v>
      </c>
      <c r="E3273" s="118" t="s">
        <v>181</v>
      </c>
      <c r="F3273" s="118" t="s">
        <v>46</v>
      </c>
      <c r="G3273" s="153"/>
      <c r="H3273" s="155">
        <v>7.2599999999999998E-2</v>
      </c>
      <c r="I3273" s="154" t="s">
        <v>167</v>
      </c>
      <c r="J3273" s="203">
        <v>0.12354999999999999</v>
      </c>
      <c r="K3273" s="154" t="s">
        <v>23</v>
      </c>
      <c r="L3273" s="154" t="str">
        <f>IF(OpenLCAbasic!K3273="CTUh", "Fill in Manually",IF(OR(K3273="Unit", K3273=""), "", INDEX(LookUps!$E$5:$E$12, MATCH(OpenLCAbasic!K3273,LookUps!$D$5:$D$12,0))))</f>
        <v>Global Warming Potential (GWP) - kg CO2 eq</v>
      </c>
      <c r="M3273" s="154" t="str">
        <f t="shared" si="163"/>
        <v>High_Medium_High_Upgraded_Global Warming Potential (GWP) - kg CO2 eq_Waste Receiving and Holding; wastewater treatment unit; at updated plant - US_Base_With Amendment_Windrow</v>
      </c>
    </row>
    <row r="3274" spans="1:13" s="120" customFormat="1" x14ac:dyDescent="0.25">
      <c r="A3274" s="119"/>
      <c r="B3274" s="138" t="str">
        <f t="shared" si="161"/>
        <v>Windrow</v>
      </c>
      <c r="C3274" s="138" t="str">
        <f t="shared" si="162"/>
        <v>Base_With Amendment</v>
      </c>
      <c r="D3274" s="118" t="s">
        <v>137</v>
      </c>
      <c r="E3274" s="118" t="s">
        <v>181</v>
      </c>
      <c r="F3274" s="118" t="s">
        <v>46</v>
      </c>
      <c r="G3274" s="153"/>
      <c r="H3274" s="155">
        <v>3.3599999999999998E-2</v>
      </c>
      <c r="I3274" s="154" t="s">
        <v>54</v>
      </c>
      <c r="J3274" s="203">
        <v>5.7079999999999999E-2</v>
      </c>
      <c r="K3274" s="154" t="s">
        <v>23</v>
      </c>
      <c r="L3274" s="154" t="str">
        <f>IF(OpenLCAbasic!K3274="CTUh", "Fill in Manually",IF(OR(K3274="Unit", K3274=""), "", INDEX(LookUps!$E$5:$E$12, MATCH(OpenLCAbasic!K3274,LookUps!$D$5:$D$12,0))))</f>
        <v>Global Warming Potential (GWP) - kg CO2 eq</v>
      </c>
      <c r="M3274" s="154" t="str">
        <f t="shared" si="163"/>
        <v>High_Medium_High_Upgraded_Global Warming Potential (GWP) - kg CO2 eq_Clear Cove Primary Clarification; wastewater treatment unit; at updated plant - US_Base_With Amendment_Windrow</v>
      </c>
    </row>
    <row r="3275" spans="1:13" s="120" customFormat="1" x14ac:dyDescent="0.25">
      <c r="A3275" s="119"/>
      <c r="B3275" s="138" t="str">
        <f t="shared" si="161"/>
        <v>Windrow</v>
      </c>
      <c r="C3275" s="138" t="str">
        <f t="shared" si="162"/>
        <v>Base_With Amendment</v>
      </c>
      <c r="D3275" s="118" t="s">
        <v>137</v>
      </c>
      <c r="E3275" s="118" t="s">
        <v>181</v>
      </c>
      <c r="F3275" s="118" t="s">
        <v>46</v>
      </c>
      <c r="G3275" s="153"/>
      <c r="H3275" s="155">
        <v>3.09E-2</v>
      </c>
      <c r="I3275" s="154" t="s">
        <v>48</v>
      </c>
      <c r="J3275" s="203">
        <v>5.2639999999999999E-2</v>
      </c>
      <c r="K3275" s="154" t="s">
        <v>23</v>
      </c>
      <c r="L3275" s="154" t="str">
        <f>IF(OpenLCAbasic!K3275="CTUh", "Fill in Manually",IF(OR(K3275="Unit", K3275=""), "", INDEX(LookUps!$E$5:$E$12, MATCH(OpenLCAbasic!K3275,LookUps!$D$5:$D$12,0))))</f>
        <v>Global Warming Potential (GWP) - kg CO2 eq</v>
      </c>
      <c r="M3275" s="154" t="str">
        <f t="shared" si="163"/>
        <v>High_Medium_High_Upgraded_Global Warming Potential (GWP) - kg CO2 eq_Effluent release; wastewater treatment unit; at surface water; m3 wastewater - US_Base_With Amendment_Windrow</v>
      </c>
    </row>
    <row r="3276" spans="1:13" s="120" customFormat="1" x14ac:dyDescent="0.25">
      <c r="A3276" s="119"/>
      <c r="B3276" s="138" t="str">
        <f t="shared" si="161"/>
        <v>Windrow</v>
      </c>
      <c r="C3276" s="138" t="str">
        <f t="shared" si="162"/>
        <v>Base_With Amendment</v>
      </c>
      <c r="D3276" s="118" t="s">
        <v>137</v>
      </c>
      <c r="E3276" s="118" t="s">
        <v>181</v>
      </c>
      <c r="F3276" s="118" t="s">
        <v>46</v>
      </c>
      <c r="G3276" s="153"/>
      <c r="H3276" s="155">
        <v>2.9700000000000001E-2</v>
      </c>
      <c r="I3276" s="154" t="s">
        <v>147</v>
      </c>
      <c r="J3276" s="203">
        <v>5.0500000000000003E-2</v>
      </c>
      <c r="K3276" s="154" t="s">
        <v>23</v>
      </c>
      <c r="L3276" s="154" t="str">
        <f>IF(OpenLCAbasic!K3276="CTUh", "Fill in Manually",IF(OR(K3276="Unit", K3276=""), "", INDEX(LookUps!$E$5:$E$12, MATCH(OpenLCAbasic!K3276,LookUps!$D$5:$D$12,0))))</f>
        <v>Global Warming Potential (GWP) - kg CO2 eq</v>
      </c>
      <c r="M3276" s="154" t="str">
        <f t="shared" si="163"/>
        <v>High_Medium_High_Upgraded_Global Warming Potential (GWP) - kg CO2 eq_Influent Pump Station; wastewater treatment unit; at updated plant - US_Base_With Amendment_Windrow</v>
      </c>
    </row>
    <row r="3277" spans="1:13" s="120" customFormat="1" x14ac:dyDescent="0.25">
      <c r="A3277" s="119"/>
      <c r="B3277" s="138" t="str">
        <f t="shared" si="161"/>
        <v>Windrow</v>
      </c>
      <c r="C3277" s="138" t="str">
        <f t="shared" si="162"/>
        <v>Base_With Amendment</v>
      </c>
      <c r="D3277" s="118" t="s">
        <v>137</v>
      </c>
      <c r="E3277" s="118" t="s">
        <v>181</v>
      </c>
      <c r="F3277" s="118" t="s">
        <v>46</v>
      </c>
      <c r="G3277" s="153"/>
      <c r="H3277" s="155">
        <v>1.9599999999999999E-2</v>
      </c>
      <c r="I3277" s="154" t="s">
        <v>53</v>
      </c>
      <c r="J3277" s="203">
        <v>3.3259999999999998E-2</v>
      </c>
      <c r="K3277" s="154" t="s">
        <v>23</v>
      </c>
      <c r="L3277" s="154" t="str">
        <f>IF(OpenLCAbasic!K3277="CTUh", "Fill in Manually",IF(OR(K3277="Unit", K3277=""), "", INDEX(LookUps!$E$5:$E$12, MATCH(OpenLCAbasic!K3277,LookUps!$D$5:$D$12,0))))</f>
        <v>Global Warming Potential (GWP) - kg CO2 eq</v>
      </c>
      <c r="M3277" s="154" t="str">
        <f t="shared" si="163"/>
        <v>High_Medium_High_Upgraded_Global Warming Potential (GWP) - kg CO2 eq_Wet Well and Sump Station; wastewater treatment unit; at updated plant - US_Base_With Amendment_Windrow</v>
      </c>
    </row>
    <row r="3278" spans="1:13" s="120" customFormat="1" x14ac:dyDescent="0.25">
      <c r="A3278" s="119"/>
      <c r="B3278" s="138" t="str">
        <f t="shared" si="161"/>
        <v>Windrow</v>
      </c>
      <c r="C3278" s="138" t="str">
        <f t="shared" si="162"/>
        <v>Base_With Amendment</v>
      </c>
      <c r="D3278" s="118" t="s">
        <v>137</v>
      </c>
      <c r="E3278" s="118" t="s">
        <v>181</v>
      </c>
      <c r="F3278" s="118" t="s">
        <v>46</v>
      </c>
      <c r="G3278" s="153"/>
      <c r="H3278" s="155">
        <v>9.9000000000000008E-3</v>
      </c>
      <c r="I3278" s="154" t="s">
        <v>60</v>
      </c>
      <c r="J3278" s="203">
        <v>1.6879999999999999E-2</v>
      </c>
      <c r="K3278" s="154" t="s">
        <v>23</v>
      </c>
      <c r="L3278" s="154" t="str">
        <f>IF(OpenLCAbasic!K3278="CTUh", "Fill in Manually",IF(OR(K3278="Unit", K3278=""), "", INDEX(LookUps!$E$5:$E$12, MATCH(OpenLCAbasic!K3278,LookUps!$D$5:$D$12,0))))</f>
        <v>Global Warming Potential (GWP) - kg CO2 eq</v>
      </c>
      <c r="M3278" s="154" t="str">
        <f t="shared" si="163"/>
        <v>High_Medium_High_Upgraded_Global Warming Potential (GWP) - kg CO2 eq_Belt filter press; wastewater treatment unit; at updated plant - US_Base_With Amendment_Windrow</v>
      </c>
    </row>
    <row r="3279" spans="1:13" s="120" customFormat="1" x14ac:dyDescent="0.25">
      <c r="A3279" s="119"/>
      <c r="B3279" s="138" t="str">
        <f t="shared" si="161"/>
        <v>Windrow</v>
      </c>
      <c r="C3279" s="138" t="str">
        <f t="shared" si="162"/>
        <v>Base_With Amendment</v>
      </c>
      <c r="D3279" s="118" t="s">
        <v>137</v>
      </c>
      <c r="E3279" s="118" t="s">
        <v>181</v>
      </c>
      <c r="F3279" s="118" t="s">
        <v>46</v>
      </c>
      <c r="G3279" s="153"/>
      <c r="H3279" s="155">
        <v>8.6E-3</v>
      </c>
      <c r="I3279" s="154" t="s">
        <v>57</v>
      </c>
      <c r="J3279" s="203">
        <v>1.455E-2</v>
      </c>
      <c r="K3279" s="154" t="s">
        <v>23</v>
      </c>
      <c r="L3279" s="154" t="str">
        <f>IF(OpenLCAbasic!K3279="CTUh", "Fill in Manually",IF(OR(K3279="Unit", K3279=""), "", INDEX(LookUps!$E$5:$E$12, MATCH(OpenLCAbasic!K3279,LookUps!$D$5:$D$12,0))))</f>
        <v>Global Warming Potential (GWP) - kg CO2 eq</v>
      </c>
      <c r="M3279" s="154" t="str">
        <f t="shared" si="163"/>
        <v>High_Medium_High_Upgraded_Global Warming Potential (GWP) - kg CO2 eq_Gravity Belt Thickener; wastewater treatment unit; at updated plant - US_Base_With Amendment_Windrow</v>
      </c>
    </row>
    <row r="3280" spans="1:13" s="120" customFormat="1" x14ac:dyDescent="0.25">
      <c r="A3280" s="119"/>
      <c r="B3280" s="138" t="str">
        <f t="shared" si="161"/>
        <v>Windrow</v>
      </c>
      <c r="C3280" s="138" t="str">
        <f t="shared" si="162"/>
        <v>Base_With Amendment</v>
      </c>
      <c r="D3280" s="118" t="s">
        <v>137</v>
      </c>
      <c r="E3280" s="118" t="s">
        <v>181</v>
      </c>
      <c r="F3280" s="118" t="s">
        <v>46</v>
      </c>
      <c r="G3280" s="153"/>
      <c r="H3280" s="155">
        <v>7.9000000000000008E-3</v>
      </c>
      <c r="I3280" s="154" t="s">
        <v>128</v>
      </c>
      <c r="J3280" s="204">
        <v>1.3509999999999999E-2</v>
      </c>
      <c r="K3280" s="154" t="s">
        <v>23</v>
      </c>
      <c r="L3280" s="154" t="str">
        <f>IF(OpenLCAbasic!K3280="CTUh", "Fill in Manually",IF(OR(K3280="Unit", K3280=""), "", INDEX(LookUps!$E$5:$E$12, MATCH(OpenLCAbasic!K3280,LookUps!$D$5:$D$12,0))))</f>
        <v>Global Warming Potential (GWP) - kg CO2 eq</v>
      </c>
      <c r="M3280" s="154" t="str">
        <f t="shared" si="163"/>
        <v>High_Medium_High_Upgraded_Global Warming Potential (GWP) - kg CO2 eq_Wastewater collection; operation and infrastructure; m3 wastewater_Base_With Amendment_Windrow</v>
      </c>
    </row>
    <row r="3281" spans="1:13" s="120" customFormat="1" x14ac:dyDescent="0.25">
      <c r="A3281" s="119"/>
      <c r="B3281" s="138" t="str">
        <f t="shared" si="161"/>
        <v>Windrow</v>
      </c>
      <c r="C3281" s="138" t="str">
        <f t="shared" si="162"/>
        <v>Base_With Amendment</v>
      </c>
      <c r="D3281" s="118" t="s">
        <v>137</v>
      </c>
      <c r="E3281" s="118" t="s">
        <v>181</v>
      </c>
      <c r="F3281" s="118" t="s">
        <v>46</v>
      </c>
      <c r="G3281" s="153"/>
      <c r="H3281" s="155">
        <v>4.8999999999999998E-3</v>
      </c>
      <c r="I3281" s="154" t="s">
        <v>148</v>
      </c>
      <c r="J3281" s="204">
        <v>8.3000000000000001E-3</v>
      </c>
      <c r="K3281" s="154" t="s">
        <v>23</v>
      </c>
      <c r="L3281" s="154" t="str">
        <f>IF(OpenLCAbasic!K3281="CTUh", "Fill in Manually",IF(OR(K3281="Unit", K3281=""), "", INDEX(LookUps!$E$5:$E$12, MATCH(OpenLCAbasic!K3281,LookUps!$D$5:$D$12,0))))</f>
        <v>Global Warming Potential (GWP) - kg CO2 eq</v>
      </c>
      <c r="M3281" s="154" t="str">
        <f t="shared" si="163"/>
        <v>High_Medium_High_Upgraded_Global Warming Potential (GWP) - kg CO2 eq_Control Building; at upgraded wastewater treatment plant - US_Base_With Amendment_Windrow</v>
      </c>
    </row>
    <row r="3282" spans="1:13" s="120" customFormat="1" x14ac:dyDescent="0.25">
      <c r="A3282" s="119"/>
      <c r="B3282" s="138" t="str">
        <f t="shared" si="161"/>
        <v>Windrow</v>
      </c>
      <c r="C3282" s="138" t="str">
        <f t="shared" si="162"/>
        <v>Base_With Amendment</v>
      </c>
      <c r="D3282" s="118" t="s">
        <v>137</v>
      </c>
      <c r="E3282" s="118" t="s">
        <v>181</v>
      </c>
      <c r="F3282" s="118" t="s">
        <v>46</v>
      </c>
      <c r="G3282" s="153"/>
      <c r="H3282" s="155">
        <v>3.0000000000000001E-3</v>
      </c>
      <c r="I3282" s="154" t="s">
        <v>59</v>
      </c>
      <c r="J3282" s="204">
        <v>5.0400000000000002E-3</v>
      </c>
      <c r="K3282" s="154" t="s">
        <v>23</v>
      </c>
      <c r="L3282" s="154" t="str">
        <f>IF(OpenLCAbasic!K3282="CTUh", "Fill in Manually",IF(OR(K3282="Unit", K3282=""), "", INDEX(LookUps!$E$5:$E$12, MATCH(OpenLCAbasic!K3282,LookUps!$D$5:$D$12,0))))</f>
        <v>Global Warming Potential (GWP) - kg CO2 eq</v>
      </c>
      <c r="M3282" s="154" t="str">
        <f t="shared" si="163"/>
        <v>High_Medium_High_Upgraded_Global Warming Potential (GWP) - kg CO2 eq_Blend Tank; wastewater treatment unit; at updated plant - US_Base_With Amendment_Windrow</v>
      </c>
    </row>
    <row r="3283" spans="1:13" s="120" customFormat="1" x14ac:dyDescent="0.25">
      <c r="A3283" s="119"/>
      <c r="B3283" s="138" t="str">
        <f t="shared" si="161"/>
        <v>Windrow</v>
      </c>
      <c r="C3283" s="138" t="str">
        <f t="shared" si="162"/>
        <v>Base_With Amendment</v>
      </c>
      <c r="D3283" s="118" t="s">
        <v>137</v>
      </c>
      <c r="E3283" s="118" t="s">
        <v>181</v>
      </c>
      <c r="F3283" s="118" t="s">
        <v>46</v>
      </c>
      <c r="G3283" s="153"/>
      <c r="H3283" s="155">
        <v>1.4E-3</v>
      </c>
      <c r="I3283" s="154" t="s">
        <v>168</v>
      </c>
      <c r="J3283" s="204">
        <v>2.4099999999999998E-3</v>
      </c>
      <c r="K3283" s="154" t="s">
        <v>23</v>
      </c>
      <c r="L3283" s="154" t="str">
        <f>IF(OpenLCAbasic!K3283="CTUh", "Fill in Manually",IF(OR(K3283="Unit", K3283=""), "", INDEX(LookUps!$E$5:$E$12, MATCH(OpenLCAbasic!K3283,LookUps!$D$5:$D$12,0))))</f>
        <v>Global Warming Potential (GWP) - kg CO2 eq</v>
      </c>
      <c r="M3283" s="154" t="str">
        <f t="shared" si="163"/>
        <v>High_Medium_High_Upgraded_Global Warming Potential (GWP) - kg CO2 eq_ClearCove SCP; wastewater treatment unit; at updated plant - US_Base_With Amendment_Windrow</v>
      </c>
    </row>
    <row r="3284" spans="1:13" s="120" customFormat="1" x14ac:dyDescent="0.25">
      <c r="A3284" s="119"/>
      <c r="B3284" s="138" t="str">
        <f t="shared" si="161"/>
        <v>Windrow</v>
      </c>
      <c r="C3284" s="138" t="str">
        <f t="shared" si="162"/>
        <v>Base_With Amendment</v>
      </c>
      <c r="D3284" s="118" t="s">
        <v>137</v>
      </c>
      <c r="E3284" s="118" t="s">
        <v>181</v>
      </c>
      <c r="F3284" s="118" t="s">
        <v>46</v>
      </c>
      <c r="G3284" s="153"/>
      <c r="H3284" s="155">
        <v>-0.35339999999999999</v>
      </c>
      <c r="I3284" s="154" t="s">
        <v>149</v>
      </c>
      <c r="J3284" s="203">
        <v>-0.60107999999999995</v>
      </c>
      <c r="K3284" s="154" t="s">
        <v>23</v>
      </c>
      <c r="L3284" s="154" t="str">
        <f>IF(OpenLCAbasic!K3284="CTUh", "Fill in Manually",IF(OR(K3284="Unit", K3284=""), "", INDEX(LookUps!$E$5:$E$12, MATCH(OpenLCAbasic!K3284,LookUps!$D$5:$D$12,0))))</f>
        <v>Global Warming Potential (GWP) - kg CO2 eq</v>
      </c>
      <c r="M3284" s="154" t="str">
        <f t="shared" si="163"/>
        <v>High_Medium_High_Upgraded_Global Warming Potential (GWP) - kg CO2 eq_Anaerobic Digestion; wastewater treatment unit; at updated plant - US_Base_With Amendment_Windrow</v>
      </c>
    </row>
    <row r="3285" spans="1:13" s="120" customFormat="1" x14ac:dyDescent="0.25">
      <c r="A3285" s="119"/>
      <c r="B3285" s="138" t="str">
        <f t="shared" si="161"/>
        <v>Windrow</v>
      </c>
      <c r="C3285" s="138" t="str">
        <f t="shared" si="162"/>
        <v>Base_With Amendment</v>
      </c>
      <c r="D3285" s="118" t="s">
        <v>137</v>
      </c>
      <c r="E3285" s="118" t="s">
        <v>181</v>
      </c>
      <c r="F3285" s="118" t="s">
        <v>46</v>
      </c>
      <c r="G3285" s="153"/>
      <c r="H3285" s="155">
        <v>-0.36880000000000002</v>
      </c>
      <c r="I3285" s="154" t="s">
        <v>62</v>
      </c>
      <c r="J3285" s="203">
        <v>-0.62729999999999997</v>
      </c>
      <c r="K3285" s="154" t="s">
        <v>23</v>
      </c>
      <c r="L3285" s="154" t="str">
        <f>IF(OpenLCAbasic!K3285="CTUh", "Fill in Manually",IF(OR(K3285="Unit", K3285=""), "", INDEX(LookUps!$E$5:$E$12, MATCH(OpenLCAbasic!K3285,LookUps!$D$5:$D$12,0))))</f>
        <v>Global Warming Potential (GWP) - kg CO2 eq</v>
      </c>
      <c r="M3285" s="154" t="str">
        <f t="shared" si="163"/>
        <v>High_Medium_High_Upgraded_Global Warming Potential (GWP) - kg CO2 eq_Land application of compost; wastewater treatment unit; at updated plant - US_Base_With Amendment_Windrow</v>
      </c>
    </row>
    <row r="3286" spans="1:13" s="120" customFormat="1" x14ac:dyDescent="0.25">
      <c r="A3286" s="119"/>
      <c r="B3286" s="138" t="str">
        <f t="shared" si="161"/>
        <v>Windrow</v>
      </c>
      <c r="C3286" s="138" t="str">
        <f t="shared" si="162"/>
        <v>Base_With Amendment</v>
      </c>
      <c r="D3286" s="118" t="s">
        <v>137</v>
      </c>
      <c r="E3286" s="118" t="s">
        <v>181</v>
      </c>
      <c r="F3286" s="118" t="s">
        <v>46</v>
      </c>
      <c r="G3286" s="153" t="s">
        <v>51</v>
      </c>
      <c r="H3286" s="154"/>
      <c r="I3286" s="154" t="s">
        <v>47</v>
      </c>
      <c r="J3286" s="154" t="s">
        <v>52</v>
      </c>
      <c r="K3286" s="154" t="s">
        <v>27</v>
      </c>
      <c r="L3286" s="154" t="str">
        <f>IF(OpenLCAbasic!K3286="CTUh", "Fill in Manually",IF(OR(K3286="Unit", K3286=""), "", INDEX(LookUps!$E$5:$E$12, MATCH(OpenLCAbasic!K3286,LookUps!$D$5:$D$12,0))))</f>
        <v/>
      </c>
      <c r="M3286" s="154" t="str">
        <f t="shared" si="163"/>
        <v>High_Medium_High_Upgraded__Process_Base_With Amendment_Windrow</v>
      </c>
    </row>
    <row r="3287" spans="1:13" s="120" customFormat="1" x14ac:dyDescent="0.25">
      <c r="A3287" s="119"/>
      <c r="B3287" s="138" t="str">
        <f t="shared" si="161"/>
        <v>Windrow</v>
      </c>
      <c r="C3287" s="138" t="str">
        <f t="shared" si="162"/>
        <v>Base_With Amendment</v>
      </c>
      <c r="D3287" s="118" t="s">
        <v>137</v>
      </c>
      <c r="E3287" s="118" t="s">
        <v>181</v>
      </c>
      <c r="F3287" s="118" t="s">
        <v>46</v>
      </c>
      <c r="G3287" s="153"/>
      <c r="H3287" s="155">
        <v>1.3613</v>
      </c>
      <c r="I3287" s="154" t="s">
        <v>167</v>
      </c>
      <c r="J3287" s="157">
        <v>4.2789599999999997</v>
      </c>
      <c r="K3287" s="154" t="s">
        <v>15</v>
      </c>
      <c r="L3287" s="154" t="str">
        <f>IF(OpenLCAbasic!K3287="CTUh", "Fill in Manually",IF(OR(K3287="Unit", K3287=""), "", INDEX(LookUps!$E$5:$E$12, MATCH(OpenLCAbasic!K3287,LookUps!$D$5:$D$12,0))))</f>
        <v>Cumulative Energy Demand (CED) - MJ</v>
      </c>
      <c r="M3287" s="154" t="str">
        <f t="shared" si="163"/>
        <v>High_Medium_High_Upgraded_Cumulative Energy Demand (CED) - MJ_Waste Receiving and Holding; wastewater treatment unit; at updated plant - US_Base_With Amendment_Windrow</v>
      </c>
    </row>
    <row r="3288" spans="1:13" s="120" customFormat="1" x14ac:dyDescent="0.25">
      <c r="A3288" s="119"/>
      <c r="B3288" s="138" t="str">
        <f t="shared" si="161"/>
        <v>Windrow</v>
      </c>
      <c r="C3288" s="138" t="str">
        <f t="shared" si="162"/>
        <v>Base_With Amendment</v>
      </c>
      <c r="D3288" s="118" t="s">
        <v>137</v>
      </c>
      <c r="E3288" s="118" t="s">
        <v>181</v>
      </c>
      <c r="F3288" s="118" t="s">
        <v>46</v>
      </c>
      <c r="G3288" s="153"/>
      <c r="H3288" s="155">
        <v>1.1240000000000001</v>
      </c>
      <c r="I3288" s="154" t="s">
        <v>55</v>
      </c>
      <c r="J3288" s="157">
        <v>3.5330499999999998</v>
      </c>
      <c r="K3288" s="154" t="s">
        <v>15</v>
      </c>
      <c r="L3288" s="154" t="str">
        <f>IF(OpenLCAbasic!K3288="CTUh", "Fill in Manually",IF(OR(K3288="Unit", K3288=""), "", INDEX(LookUps!$E$5:$E$12, MATCH(OpenLCAbasic!K3288,LookUps!$D$5:$D$12,0))))</f>
        <v>Cumulative Energy Demand (CED) - MJ</v>
      </c>
      <c r="M3288" s="154" t="str">
        <f t="shared" si="163"/>
        <v>High_Medium_High_Upgraded_Cumulative Energy Demand (CED) - MJ_Aeration Tanks; wastewater treatment unit; at updated plant - US_Base_With Amendment_Windrow</v>
      </c>
    </row>
    <row r="3289" spans="1:13" s="120" customFormat="1" x14ac:dyDescent="0.25">
      <c r="A3289" s="119"/>
      <c r="B3289" s="138" t="str">
        <f t="shared" si="161"/>
        <v>Windrow</v>
      </c>
      <c r="C3289" s="138" t="str">
        <f t="shared" si="162"/>
        <v>Base_With Amendment</v>
      </c>
      <c r="D3289" s="118" t="s">
        <v>137</v>
      </c>
      <c r="E3289" s="118" t="s">
        <v>181</v>
      </c>
      <c r="F3289" s="118" t="s">
        <v>46</v>
      </c>
      <c r="G3289" s="153"/>
      <c r="H3289" s="155">
        <v>0.37</v>
      </c>
      <c r="I3289" s="154" t="s">
        <v>54</v>
      </c>
      <c r="J3289" s="157">
        <v>1.16289</v>
      </c>
      <c r="K3289" s="154" t="s">
        <v>15</v>
      </c>
      <c r="L3289" s="154" t="str">
        <f>IF(OpenLCAbasic!K3289="CTUh", "Fill in Manually",IF(OR(K3289="Unit", K3289=""), "", INDEX(LookUps!$E$5:$E$12, MATCH(OpenLCAbasic!K3289,LookUps!$D$5:$D$12,0))))</f>
        <v>Cumulative Energy Demand (CED) - MJ</v>
      </c>
      <c r="M3289" s="154" t="str">
        <f t="shared" si="163"/>
        <v>High_Medium_High_Upgraded_Cumulative Energy Demand (CED) - MJ_Clear Cove Primary Clarification; wastewater treatment unit; at updated plant - US_Base_With Amendment_Windrow</v>
      </c>
    </row>
    <row r="3290" spans="1:13" s="120" customFormat="1" x14ac:dyDescent="0.25">
      <c r="A3290" s="119"/>
      <c r="B3290" s="138" t="str">
        <f t="shared" si="161"/>
        <v>Windrow</v>
      </c>
      <c r="C3290" s="138" t="str">
        <f t="shared" si="162"/>
        <v>Base_With Amendment</v>
      </c>
      <c r="D3290" s="118" t="s">
        <v>137</v>
      </c>
      <c r="E3290" s="118" t="s">
        <v>181</v>
      </c>
      <c r="F3290" s="118" t="s">
        <v>46</v>
      </c>
      <c r="G3290" s="153"/>
      <c r="H3290" s="155">
        <v>0.28220000000000001</v>
      </c>
      <c r="I3290" s="154" t="s">
        <v>58</v>
      </c>
      <c r="J3290" s="203">
        <v>0.88705000000000001</v>
      </c>
      <c r="K3290" s="154" t="s">
        <v>15</v>
      </c>
      <c r="L3290" s="154" t="str">
        <f>IF(OpenLCAbasic!K3290="CTUh", "Fill in Manually",IF(OR(K3290="Unit", K3290=""), "", INDEX(LookUps!$E$5:$E$12, MATCH(OpenLCAbasic!K3290,LookUps!$D$5:$D$12,0))))</f>
        <v>Cumulative Energy Demand (CED) - MJ</v>
      </c>
      <c r="M3290" s="154" t="str">
        <f t="shared" si="163"/>
        <v>High_Medium_High_Upgraded_Cumulative Energy Demand (CED) - MJ_Pre-Anoxic &amp; Swing tank; wastewater treatment unit; at updated plant - US_Base_With Amendment_Windrow</v>
      </c>
    </row>
    <row r="3291" spans="1:13" s="120" customFormat="1" x14ac:dyDescent="0.25">
      <c r="A3291" s="119"/>
      <c r="B3291" s="138" t="str">
        <f t="shared" si="161"/>
        <v>Windrow</v>
      </c>
      <c r="C3291" s="138" t="str">
        <f t="shared" si="162"/>
        <v>Base_With Amendment</v>
      </c>
      <c r="D3291" s="118" t="s">
        <v>137</v>
      </c>
      <c r="E3291" s="118" t="s">
        <v>181</v>
      </c>
      <c r="F3291" s="118" t="s">
        <v>46</v>
      </c>
      <c r="G3291" s="153"/>
      <c r="H3291" s="155">
        <v>0.28089999999999998</v>
      </c>
      <c r="I3291" s="154" t="s">
        <v>147</v>
      </c>
      <c r="J3291" s="203">
        <v>0.88297000000000003</v>
      </c>
      <c r="K3291" s="154" t="s">
        <v>15</v>
      </c>
      <c r="L3291" s="154" t="str">
        <f>IF(OpenLCAbasic!K3291="CTUh", "Fill in Manually",IF(OR(K3291="Unit", K3291=""), "", INDEX(LookUps!$E$5:$E$12, MATCH(OpenLCAbasic!K3291,LookUps!$D$5:$D$12,0))))</f>
        <v>Cumulative Energy Demand (CED) - MJ</v>
      </c>
      <c r="M3291" s="154" t="str">
        <f t="shared" si="163"/>
        <v>High_Medium_High_Upgraded_Cumulative Energy Demand (CED) - MJ_Influent Pump Station; wastewater treatment unit; at updated plant - US_Base_With Amendment_Windrow</v>
      </c>
    </row>
    <row r="3292" spans="1:13" s="120" customFormat="1" x14ac:dyDescent="0.25">
      <c r="A3292" s="119"/>
      <c r="B3292" s="138" t="str">
        <f t="shared" si="161"/>
        <v>Windrow</v>
      </c>
      <c r="C3292" s="138" t="str">
        <f t="shared" si="162"/>
        <v>Base_With Amendment</v>
      </c>
      <c r="D3292" s="118" t="s">
        <v>137</v>
      </c>
      <c r="E3292" s="118" t="s">
        <v>181</v>
      </c>
      <c r="F3292" s="118" t="s">
        <v>46</v>
      </c>
      <c r="G3292" s="153"/>
      <c r="H3292" s="155">
        <v>0.22159999999999999</v>
      </c>
      <c r="I3292" s="154" t="s">
        <v>53</v>
      </c>
      <c r="J3292" s="203">
        <v>0.69645000000000001</v>
      </c>
      <c r="K3292" s="154" t="s">
        <v>15</v>
      </c>
      <c r="L3292" s="154" t="str">
        <f>IF(OpenLCAbasic!K3292="CTUh", "Fill in Manually",IF(OR(K3292="Unit", K3292=""), "", INDEX(LookUps!$E$5:$E$12, MATCH(OpenLCAbasic!K3292,LookUps!$D$5:$D$12,0))))</f>
        <v>Cumulative Energy Demand (CED) - MJ</v>
      </c>
      <c r="M3292" s="154" t="str">
        <f t="shared" si="163"/>
        <v>High_Medium_High_Upgraded_Cumulative Energy Demand (CED) - MJ_Wet Well and Sump Station; wastewater treatment unit; at updated plant - US_Base_With Amendment_Windrow</v>
      </c>
    </row>
    <row r="3293" spans="1:13" s="120" customFormat="1" x14ac:dyDescent="0.25">
      <c r="A3293" s="119"/>
      <c r="B3293" s="138" t="str">
        <f t="shared" si="161"/>
        <v>Windrow</v>
      </c>
      <c r="C3293" s="138" t="str">
        <f t="shared" si="162"/>
        <v>Base_With Amendment</v>
      </c>
      <c r="D3293" s="118" t="s">
        <v>137</v>
      </c>
      <c r="E3293" s="118" t="s">
        <v>181</v>
      </c>
      <c r="F3293" s="118" t="s">
        <v>46</v>
      </c>
      <c r="G3293" s="153"/>
      <c r="H3293" s="155">
        <v>0.1212</v>
      </c>
      <c r="I3293" s="154" t="s">
        <v>60</v>
      </c>
      <c r="J3293" s="203">
        <v>0.38092999999999999</v>
      </c>
      <c r="K3293" s="154" t="s">
        <v>15</v>
      </c>
      <c r="L3293" s="154" t="str">
        <f>IF(OpenLCAbasic!K3293="CTUh", "Fill in Manually",IF(OR(K3293="Unit", K3293=""), "", INDEX(LookUps!$E$5:$E$12, MATCH(OpenLCAbasic!K3293,LookUps!$D$5:$D$12,0))))</f>
        <v>Cumulative Energy Demand (CED) - MJ</v>
      </c>
      <c r="M3293" s="154" t="str">
        <f t="shared" si="163"/>
        <v>High_Medium_High_Upgraded_Cumulative Energy Demand (CED) - MJ_Belt filter press; wastewater treatment unit; at updated plant - US_Base_With Amendment_Windrow</v>
      </c>
    </row>
    <row r="3294" spans="1:13" s="120" customFormat="1" x14ac:dyDescent="0.25">
      <c r="A3294" s="119"/>
      <c r="B3294" s="138" t="str">
        <f t="shared" si="161"/>
        <v>Windrow</v>
      </c>
      <c r="C3294" s="138" t="str">
        <f t="shared" si="162"/>
        <v>Base_With Amendment</v>
      </c>
      <c r="D3294" s="118" t="s">
        <v>137</v>
      </c>
      <c r="E3294" s="118" t="s">
        <v>181</v>
      </c>
      <c r="F3294" s="118" t="s">
        <v>46</v>
      </c>
      <c r="G3294" s="153"/>
      <c r="H3294" s="155">
        <v>0.10630000000000001</v>
      </c>
      <c r="I3294" s="154" t="s">
        <v>57</v>
      </c>
      <c r="J3294" s="203">
        <v>0.33404</v>
      </c>
      <c r="K3294" s="154" t="s">
        <v>15</v>
      </c>
      <c r="L3294" s="154" t="str">
        <f>IF(OpenLCAbasic!K3294="CTUh", "Fill in Manually",IF(OR(K3294="Unit", K3294=""), "", INDEX(LookUps!$E$5:$E$12, MATCH(OpenLCAbasic!K3294,LookUps!$D$5:$D$12,0))))</f>
        <v>Cumulative Energy Demand (CED) - MJ</v>
      </c>
      <c r="M3294" s="154" t="str">
        <f t="shared" si="163"/>
        <v>High_Medium_High_Upgraded_Cumulative Energy Demand (CED) - MJ_Gravity Belt Thickener; wastewater treatment unit; at updated plant - US_Base_With Amendment_Windrow</v>
      </c>
    </row>
    <row r="3295" spans="1:13" s="120" customFormat="1" x14ac:dyDescent="0.25">
      <c r="A3295" s="119"/>
      <c r="B3295" s="138" t="str">
        <f t="shared" si="161"/>
        <v>Windrow</v>
      </c>
      <c r="C3295" s="138" t="str">
        <f t="shared" si="162"/>
        <v>Base_With Amendment</v>
      </c>
      <c r="D3295" s="118" t="s">
        <v>137</v>
      </c>
      <c r="E3295" s="118" t="s">
        <v>181</v>
      </c>
      <c r="F3295" s="118" t="s">
        <v>46</v>
      </c>
      <c r="G3295" s="153"/>
      <c r="H3295" s="155">
        <v>8.1500000000000003E-2</v>
      </c>
      <c r="I3295" s="154" t="s">
        <v>128</v>
      </c>
      <c r="J3295" s="203">
        <v>0.25606000000000001</v>
      </c>
      <c r="K3295" s="154" t="s">
        <v>15</v>
      </c>
      <c r="L3295" s="154" t="str">
        <f>IF(OpenLCAbasic!K3295="CTUh", "Fill in Manually",IF(OR(K3295="Unit", K3295=""), "", INDEX(LookUps!$E$5:$E$12, MATCH(OpenLCAbasic!K3295,LookUps!$D$5:$D$12,0))))</f>
        <v>Cumulative Energy Demand (CED) - MJ</v>
      </c>
      <c r="M3295" s="154" t="str">
        <f t="shared" si="163"/>
        <v>High_Medium_High_Upgraded_Cumulative Energy Demand (CED) - MJ_Wastewater collection; operation and infrastructure; m3 wastewater_Base_With Amendment_Windrow</v>
      </c>
    </row>
    <row r="3296" spans="1:13" s="120" customFormat="1" x14ac:dyDescent="0.25">
      <c r="A3296" s="119"/>
      <c r="B3296" s="138" t="str">
        <f t="shared" si="161"/>
        <v>Windrow</v>
      </c>
      <c r="C3296" s="138" t="str">
        <f t="shared" si="162"/>
        <v>Base_With Amendment</v>
      </c>
      <c r="D3296" s="118" t="s">
        <v>137</v>
      </c>
      <c r="E3296" s="118" t="s">
        <v>181</v>
      </c>
      <c r="F3296" s="118" t="s">
        <v>46</v>
      </c>
      <c r="G3296" s="153"/>
      <c r="H3296" s="155">
        <v>4.6399999999999997E-2</v>
      </c>
      <c r="I3296" s="154" t="s">
        <v>148</v>
      </c>
      <c r="J3296" s="203">
        <v>0.14599000000000001</v>
      </c>
      <c r="K3296" s="154" t="s">
        <v>15</v>
      </c>
      <c r="L3296" s="154" t="str">
        <f>IF(OpenLCAbasic!K3296="CTUh", "Fill in Manually",IF(OR(K3296="Unit", K3296=""), "", INDEX(LookUps!$E$5:$E$12, MATCH(OpenLCAbasic!K3296,LookUps!$D$5:$D$12,0))))</f>
        <v>Cumulative Energy Demand (CED) - MJ</v>
      </c>
      <c r="M3296" s="154" t="str">
        <f t="shared" si="163"/>
        <v>High_Medium_High_Upgraded_Cumulative Energy Demand (CED) - MJ_Control Building; at upgraded wastewater treatment plant - US_Base_With Amendment_Windrow</v>
      </c>
    </row>
    <row r="3297" spans="1:13" s="120" customFormat="1" x14ac:dyDescent="0.25">
      <c r="A3297" s="119"/>
      <c r="B3297" s="138" t="str">
        <f t="shared" si="161"/>
        <v>Windrow</v>
      </c>
      <c r="C3297" s="138" t="str">
        <f t="shared" si="162"/>
        <v>Base_With Amendment</v>
      </c>
      <c r="D3297" s="118" t="s">
        <v>137</v>
      </c>
      <c r="E3297" s="118" t="s">
        <v>181</v>
      </c>
      <c r="F3297" s="118" t="s">
        <v>46</v>
      </c>
      <c r="G3297" s="153"/>
      <c r="H3297" s="155">
        <v>4.24E-2</v>
      </c>
      <c r="I3297" s="154" t="s">
        <v>48</v>
      </c>
      <c r="J3297" s="203">
        <v>0.13321</v>
      </c>
      <c r="K3297" s="154" t="s">
        <v>15</v>
      </c>
      <c r="L3297" s="154" t="str">
        <f>IF(OpenLCAbasic!K3297="CTUh", "Fill in Manually",IF(OR(K3297="Unit", K3297=""), "", INDEX(LookUps!$E$5:$E$12, MATCH(OpenLCAbasic!K3297,LookUps!$D$5:$D$12,0))))</f>
        <v>Cumulative Energy Demand (CED) - MJ</v>
      </c>
      <c r="M3297" s="154" t="str">
        <f t="shared" si="163"/>
        <v>High_Medium_High_Upgraded_Cumulative Energy Demand (CED) - MJ_Effluent release; wastewater treatment unit; at surface water; m3 wastewater - US_Base_With Amendment_Windrow</v>
      </c>
    </row>
    <row r="3298" spans="1:13" s="120" customFormat="1" x14ac:dyDescent="0.25">
      <c r="A3298" s="119"/>
      <c r="B3298" s="138" t="str">
        <f t="shared" si="161"/>
        <v>Windrow</v>
      </c>
      <c r="C3298" s="138" t="str">
        <f t="shared" si="162"/>
        <v>Base_With Amendment</v>
      </c>
      <c r="D3298" s="118" t="s">
        <v>137</v>
      </c>
      <c r="E3298" s="118" t="s">
        <v>181</v>
      </c>
      <c r="F3298" s="118" t="s">
        <v>46</v>
      </c>
      <c r="G3298" s="153"/>
      <c r="H3298" s="155">
        <v>3.3799999999999997E-2</v>
      </c>
      <c r="I3298" s="154" t="s">
        <v>59</v>
      </c>
      <c r="J3298" s="203">
        <v>0.10638</v>
      </c>
      <c r="K3298" s="154" t="s">
        <v>15</v>
      </c>
      <c r="L3298" s="154" t="str">
        <f>IF(OpenLCAbasic!K3298="CTUh", "Fill in Manually",IF(OR(K3298="Unit", K3298=""), "", INDEX(LookUps!$E$5:$E$12, MATCH(OpenLCAbasic!K3298,LookUps!$D$5:$D$12,0))))</f>
        <v>Cumulative Energy Demand (CED) - MJ</v>
      </c>
      <c r="M3298" s="154" t="str">
        <f t="shared" si="163"/>
        <v>High_Medium_High_Upgraded_Cumulative Energy Demand (CED) - MJ_Blend Tank; wastewater treatment unit; at updated plant - US_Base_With Amendment_Windrow</v>
      </c>
    </row>
    <row r="3299" spans="1:13" s="120" customFormat="1" x14ac:dyDescent="0.25">
      <c r="A3299" s="119"/>
      <c r="B3299" s="138" t="str">
        <f t="shared" si="161"/>
        <v>Windrow</v>
      </c>
      <c r="C3299" s="138" t="str">
        <f t="shared" si="162"/>
        <v>Base_With Amendment</v>
      </c>
      <c r="D3299" s="118" t="s">
        <v>137</v>
      </c>
      <c r="E3299" s="118" t="s">
        <v>181</v>
      </c>
      <c r="F3299" s="118" t="s">
        <v>46</v>
      </c>
      <c r="G3299" s="153"/>
      <c r="H3299" s="155">
        <v>1.6199999999999999E-2</v>
      </c>
      <c r="I3299" s="154" t="s">
        <v>168</v>
      </c>
      <c r="J3299" s="203">
        <v>5.0930000000000003E-2</v>
      </c>
      <c r="K3299" s="154" t="s">
        <v>15</v>
      </c>
      <c r="L3299" s="154" t="str">
        <f>IF(OpenLCAbasic!K3299="CTUh", "Fill in Manually",IF(OR(K3299="Unit", K3299=""), "", INDEX(LookUps!$E$5:$E$12, MATCH(OpenLCAbasic!K3299,LookUps!$D$5:$D$12,0))))</f>
        <v>Cumulative Energy Demand (CED) - MJ</v>
      </c>
      <c r="M3299" s="154" t="str">
        <f t="shared" si="163"/>
        <v>High_Medium_High_Upgraded_Cumulative Energy Demand (CED) - MJ_ClearCove SCP; wastewater treatment unit; at updated plant - US_Base_With Amendment_Windrow</v>
      </c>
    </row>
    <row r="3300" spans="1:13" s="120" customFormat="1" x14ac:dyDescent="0.25">
      <c r="A3300" s="119"/>
      <c r="B3300" s="138" t="str">
        <f t="shared" si="161"/>
        <v>Windrow</v>
      </c>
      <c r="C3300" s="138" t="str">
        <f t="shared" si="162"/>
        <v>Base_With Amendment</v>
      </c>
      <c r="D3300" s="118" t="s">
        <v>137</v>
      </c>
      <c r="E3300" s="118" t="s">
        <v>181</v>
      </c>
      <c r="F3300" s="118" t="s">
        <v>46</v>
      </c>
      <c r="G3300" s="153"/>
      <c r="H3300" s="155">
        <v>8.6999999999999994E-3</v>
      </c>
      <c r="I3300" s="154" t="s">
        <v>271</v>
      </c>
      <c r="J3300" s="203">
        <v>2.7210000000000002E-2</v>
      </c>
      <c r="K3300" s="154" t="s">
        <v>15</v>
      </c>
      <c r="L3300" s="154" t="str">
        <f>IF(OpenLCAbasic!K3300="CTUh", "Fill in Manually",IF(OR(K3300="Unit", K3300=""), "", INDEX(LookUps!$E$5:$E$12, MATCH(OpenLCAbasic!K3300,LookUps!$D$5:$D$12,0))))</f>
        <v>Cumulative Energy Demand (CED) - MJ</v>
      </c>
      <c r="M3300" s="154" t="str">
        <f t="shared" si="163"/>
        <v>High_Medium_High_Upgraded_Cumulative Energy Demand (CED) - MJ_Biosolids composting; windrow composting; wastewater treatment unit; at updated plant - US_Base_With Amendment_Windrow</v>
      </c>
    </row>
    <row r="3301" spans="1:13" s="120" customFormat="1" x14ac:dyDescent="0.25">
      <c r="A3301" s="119"/>
      <c r="B3301" s="138" t="str">
        <f t="shared" si="161"/>
        <v>Windrow</v>
      </c>
      <c r="C3301" s="138" t="str">
        <f t="shared" si="162"/>
        <v>Base_With Amendment</v>
      </c>
      <c r="D3301" s="118" t="s">
        <v>137</v>
      </c>
      <c r="E3301" s="118" t="s">
        <v>181</v>
      </c>
      <c r="F3301" s="118" t="s">
        <v>46</v>
      </c>
      <c r="G3301" s="153"/>
      <c r="H3301" s="155">
        <v>-0.17419999999999999</v>
      </c>
      <c r="I3301" s="154" t="s">
        <v>62</v>
      </c>
      <c r="J3301" s="203">
        <v>-0.54757999999999996</v>
      </c>
      <c r="K3301" s="154" t="s">
        <v>15</v>
      </c>
      <c r="L3301" s="154" t="str">
        <f>IF(OpenLCAbasic!K3301="CTUh", "Fill in Manually",IF(OR(K3301="Unit", K3301=""), "", INDEX(LookUps!$E$5:$E$12, MATCH(OpenLCAbasic!K3301,LookUps!$D$5:$D$12,0))))</f>
        <v>Cumulative Energy Demand (CED) - MJ</v>
      </c>
      <c r="M3301" s="154" t="str">
        <f t="shared" si="163"/>
        <v>High_Medium_High_Upgraded_Cumulative Energy Demand (CED) - MJ_Land application of compost; wastewater treatment unit; at updated plant - US_Base_With Amendment_Windrow</v>
      </c>
    </row>
    <row r="3302" spans="1:13" s="120" customFormat="1" x14ac:dyDescent="0.25">
      <c r="A3302" s="119"/>
      <c r="B3302" s="138" t="str">
        <f t="shared" si="161"/>
        <v>Windrow</v>
      </c>
      <c r="C3302" s="138" t="str">
        <f t="shared" si="162"/>
        <v>Base_With Amendment</v>
      </c>
      <c r="D3302" s="118" t="s">
        <v>137</v>
      </c>
      <c r="E3302" s="118" t="s">
        <v>181</v>
      </c>
      <c r="F3302" s="118" t="s">
        <v>46</v>
      </c>
      <c r="G3302" s="153"/>
      <c r="H3302" s="155">
        <v>-4.9222999999999999</v>
      </c>
      <c r="I3302" s="154" t="s">
        <v>149</v>
      </c>
      <c r="J3302" s="206">
        <v>-15.471780000000001</v>
      </c>
      <c r="K3302" s="154" t="s">
        <v>15</v>
      </c>
      <c r="L3302" s="154" t="str">
        <f>IF(OpenLCAbasic!K3302="CTUh", "Fill in Manually",IF(OR(K3302="Unit", K3302=""), "", INDEX(LookUps!$E$5:$E$12, MATCH(OpenLCAbasic!K3302,LookUps!$D$5:$D$12,0))))</f>
        <v>Cumulative Energy Demand (CED) - MJ</v>
      </c>
      <c r="M3302" s="154" t="str">
        <f t="shared" si="163"/>
        <v>High_Medium_High_Upgraded_Cumulative Energy Demand (CED) - MJ_Anaerobic Digestion; wastewater treatment unit; at updated plant - US_Base_With Amendment_Windrow</v>
      </c>
    </row>
    <row r="3303" spans="1:13" s="120" customFormat="1" x14ac:dyDescent="0.25">
      <c r="A3303" s="119"/>
      <c r="B3303" s="138" t="str">
        <f t="shared" si="161"/>
        <v>Windrow</v>
      </c>
      <c r="C3303" s="138" t="str">
        <f t="shared" si="162"/>
        <v>Base_With Amendment</v>
      </c>
      <c r="D3303" s="118" t="s">
        <v>137</v>
      </c>
      <c r="E3303" s="118" t="s">
        <v>181</v>
      </c>
      <c r="F3303" s="118" t="s">
        <v>46</v>
      </c>
      <c r="G3303" s="153" t="s">
        <v>51</v>
      </c>
      <c r="H3303" s="154"/>
      <c r="I3303" s="154" t="s">
        <v>47</v>
      </c>
      <c r="J3303" s="154" t="s">
        <v>52</v>
      </c>
      <c r="K3303" s="154" t="s">
        <v>27</v>
      </c>
      <c r="L3303" s="154" t="str">
        <f>IF(OpenLCAbasic!K3303="CTUh", "Fill in Manually",IF(OR(K3303="Unit", K3303=""), "", INDEX(LookUps!$E$5:$E$12, MATCH(OpenLCAbasic!K3303,LookUps!$D$5:$D$12,0))))</f>
        <v/>
      </c>
      <c r="M3303" s="154" t="str">
        <f t="shared" si="163"/>
        <v>High_Medium_High_Upgraded__Process_Base_With Amendment_Windrow</v>
      </c>
    </row>
    <row r="3304" spans="1:13" s="120" customFormat="1" x14ac:dyDescent="0.25">
      <c r="A3304" s="119"/>
      <c r="B3304" s="138" t="str">
        <f t="shared" si="161"/>
        <v>Windrow</v>
      </c>
      <c r="C3304" s="138" t="str">
        <f t="shared" si="162"/>
        <v>Base_With Amendment</v>
      </c>
      <c r="D3304" s="118" t="s">
        <v>137</v>
      </c>
      <c r="E3304" s="118" t="s">
        <v>181</v>
      </c>
      <c r="F3304" s="118" t="s">
        <v>46</v>
      </c>
      <c r="G3304" s="153"/>
      <c r="H3304" s="155">
        <v>0.77480000000000004</v>
      </c>
      <c r="I3304" s="154" t="s">
        <v>48</v>
      </c>
      <c r="J3304" s="203">
        <v>1.1610000000000001E-2</v>
      </c>
      <c r="K3304" s="154" t="s">
        <v>13</v>
      </c>
      <c r="L3304" s="154" t="str">
        <f>IF(OpenLCAbasic!K3304="CTUh", "Fill in Manually",IF(OR(K3304="Unit", K3304=""), "", INDEX(LookUps!$E$5:$E$12, MATCH(OpenLCAbasic!K3304,LookUps!$D$5:$D$12,0))))</f>
        <v>Eutrophication Potential (EP) - kg N eq</v>
      </c>
      <c r="M3304" s="154" t="str">
        <f t="shared" si="163"/>
        <v>High_Medium_High_Upgraded_Eutrophication Potential (EP) - kg N eq_Effluent release; wastewater treatment unit; at surface water; m3 wastewater - US_Base_With Amendment_Windrow</v>
      </c>
    </row>
    <row r="3305" spans="1:13" s="120" customFormat="1" x14ac:dyDescent="0.25">
      <c r="A3305" s="119"/>
      <c r="B3305" s="138" t="str">
        <f t="shared" si="161"/>
        <v>Windrow</v>
      </c>
      <c r="C3305" s="138" t="str">
        <f t="shared" si="162"/>
        <v>Base_With Amendment</v>
      </c>
      <c r="D3305" s="118" t="s">
        <v>137</v>
      </c>
      <c r="E3305" s="118" t="s">
        <v>181</v>
      </c>
      <c r="F3305" s="118" t="s">
        <v>46</v>
      </c>
      <c r="G3305" s="153"/>
      <c r="H3305" s="155">
        <v>0.17449999999999999</v>
      </c>
      <c r="I3305" s="154" t="s">
        <v>62</v>
      </c>
      <c r="J3305" s="204">
        <v>2.6199999999999999E-3</v>
      </c>
      <c r="K3305" s="154" t="s">
        <v>13</v>
      </c>
      <c r="L3305" s="154" t="str">
        <f>IF(OpenLCAbasic!K3305="CTUh", "Fill in Manually",IF(OR(K3305="Unit", K3305=""), "", INDEX(LookUps!$E$5:$E$12, MATCH(OpenLCAbasic!K3305,LookUps!$D$5:$D$12,0))))</f>
        <v>Eutrophication Potential (EP) - kg N eq</v>
      </c>
      <c r="M3305" s="154" t="str">
        <f t="shared" si="163"/>
        <v>High_Medium_High_Upgraded_Eutrophication Potential (EP) - kg N eq_Land application of compost; wastewater treatment unit; at updated plant - US_Base_With Amendment_Windrow</v>
      </c>
    </row>
    <row r="3306" spans="1:13" s="120" customFormat="1" x14ac:dyDescent="0.25">
      <c r="A3306" s="119"/>
      <c r="B3306" s="138" t="str">
        <f t="shared" si="161"/>
        <v>Windrow</v>
      </c>
      <c r="C3306" s="138" t="str">
        <f t="shared" si="162"/>
        <v>Base_With Amendment</v>
      </c>
      <c r="D3306" s="118" t="s">
        <v>137</v>
      </c>
      <c r="E3306" s="118" t="s">
        <v>181</v>
      </c>
      <c r="F3306" s="118" t="s">
        <v>46</v>
      </c>
      <c r="G3306" s="153"/>
      <c r="H3306" s="155">
        <v>5.8999999999999997E-2</v>
      </c>
      <c r="I3306" s="154" t="s">
        <v>271</v>
      </c>
      <c r="J3306" s="204">
        <v>8.8000000000000003E-4</v>
      </c>
      <c r="K3306" s="154" t="s">
        <v>13</v>
      </c>
      <c r="L3306" s="154" t="str">
        <f>IF(OpenLCAbasic!K3306="CTUh", "Fill in Manually",IF(OR(K3306="Unit", K3306=""), "", INDEX(LookUps!$E$5:$E$12, MATCH(OpenLCAbasic!K3306,LookUps!$D$5:$D$12,0))))</f>
        <v>Eutrophication Potential (EP) - kg N eq</v>
      </c>
      <c r="M3306" s="154" t="str">
        <f t="shared" si="163"/>
        <v>High_Medium_High_Upgraded_Eutrophication Potential (EP) - kg N eq_Biosolids composting; windrow composting; wastewater treatment unit; at updated plant - US_Base_With Amendment_Windrow</v>
      </c>
    </row>
    <row r="3307" spans="1:13" s="120" customFormat="1" x14ac:dyDescent="0.25">
      <c r="A3307" s="119"/>
      <c r="B3307" s="138" t="str">
        <f t="shared" si="161"/>
        <v>Windrow</v>
      </c>
      <c r="C3307" s="138" t="str">
        <f t="shared" si="162"/>
        <v>Base_With Amendment</v>
      </c>
      <c r="D3307" s="118" t="s">
        <v>137</v>
      </c>
      <c r="E3307" s="118" t="s">
        <v>181</v>
      </c>
      <c r="F3307" s="118" t="s">
        <v>46</v>
      </c>
      <c r="G3307" s="153"/>
      <c r="H3307" s="155">
        <v>3.6499999999999998E-2</v>
      </c>
      <c r="I3307" s="154" t="s">
        <v>55</v>
      </c>
      <c r="J3307" s="204">
        <v>5.5000000000000003E-4</v>
      </c>
      <c r="K3307" s="154" t="s">
        <v>13</v>
      </c>
      <c r="L3307" s="154" t="str">
        <f>IF(OpenLCAbasic!K3307="CTUh", "Fill in Manually",IF(OR(K3307="Unit", K3307=""), "", INDEX(LookUps!$E$5:$E$12, MATCH(OpenLCAbasic!K3307,LookUps!$D$5:$D$12,0))))</f>
        <v>Eutrophication Potential (EP) - kg N eq</v>
      </c>
      <c r="M3307" s="154" t="str">
        <f t="shared" si="163"/>
        <v>High_Medium_High_Upgraded_Eutrophication Potential (EP) - kg N eq_Aeration Tanks; wastewater treatment unit; at updated plant - US_Base_With Amendment_Windrow</v>
      </c>
    </row>
    <row r="3308" spans="1:13" s="120" customFormat="1" x14ac:dyDescent="0.25">
      <c r="A3308" s="119"/>
      <c r="B3308" s="138" t="str">
        <f t="shared" si="161"/>
        <v>Windrow</v>
      </c>
      <c r="C3308" s="138" t="str">
        <f t="shared" si="162"/>
        <v>Base_With Amendment</v>
      </c>
      <c r="D3308" s="118" t="s">
        <v>137</v>
      </c>
      <c r="E3308" s="118" t="s">
        <v>181</v>
      </c>
      <c r="F3308" s="118" t="s">
        <v>46</v>
      </c>
      <c r="G3308" s="153"/>
      <c r="H3308" s="155">
        <v>1.67E-2</v>
      </c>
      <c r="I3308" s="154" t="s">
        <v>147</v>
      </c>
      <c r="J3308" s="204">
        <v>2.5000000000000001E-4</v>
      </c>
      <c r="K3308" s="154" t="s">
        <v>13</v>
      </c>
      <c r="L3308" s="154" t="str">
        <f>IF(OpenLCAbasic!K3308="CTUh", "Fill in Manually",IF(OR(K3308="Unit", K3308=""), "", INDEX(LookUps!$E$5:$E$12, MATCH(OpenLCAbasic!K3308,LookUps!$D$5:$D$12,0))))</f>
        <v>Eutrophication Potential (EP) - kg N eq</v>
      </c>
      <c r="M3308" s="154" t="str">
        <f t="shared" si="163"/>
        <v>High_Medium_High_Upgraded_Eutrophication Potential (EP) - kg N eq_Influent Pump Station; wastewater treatment unit; at updated plant - US_Base_With Amendment_Windrow</v>
      </c>
    </row>
    <row r="3309" spans="1:13" s="120" customFormat="1" x14ac:dyDescent="0.25">
      <c r="A3309" s="119"/>
      <c r="B3309" s="138" t="str">
        <f t="shared" si="161"/>
        <v>Windrow</v>
      </c>
      <c r="C3309" s="138" t="str">
        <f t="shared" si="162"/>
        <v>Base_With Amendment</v>
      </c>
      <c r="D3309" s="118" t="s">
        <v>137</v>
      </c>
      <c r="E3309" s="118" t="s">
        <v>181</v>
      </c>
      <c r="F3309" s="118" t="s">
        <v>46</v>
      </c>
      <c r="G3309" s="153"/>
      <c r="H3309" s="155">
        <v>1.32E-2</v>
      </c>
      <c r="I3309" s="154" t="s">
        <v>54</v>
      </c>
      <c r="J3309" s="204">
        <v>2.0000000000000001E-4</v>
      </c>
      <c r="K3309" s="154" t="s">
        <v>13</v>
      </c>
      <c r="L3309" s="154" t="str">
        <f>IF(OpenLCAbasic!K3309="CTUh", "Fill in Manually",IF(OR(K3309="Unit", K3309=""), "", INDEX(LookUps!$E$5:$E$12, MATCH(OpenLCAbasic!K3309,LookUps!$D$5:$D$12,0))))</f>
        <v>Eutrophication Potential (EP) - kg N eq</v>
      </c>
      <c r="M3309" s="154" t="str">
        <f t="shared" si="163"/>
        <v>High_Medium_High_Upgraded_Eutrophication Potential (EP) - kg N eq_Clear Cove Primary Clarification; wastewater treatment unit; at updated plant - US_Base_With Amendment_Windrow</v>
      </c>
    </row>
    <row r="3310" spans="1:13" s="120" customFormat="1" x14ac:dyDescent="0.25">
      <c r="A3310" s="119"/>
      <c r="B3310" s="138" t="str">
        <f t="shared" si="161"/>
        <v>Windrow</v>
      </c>
      <c r="C3310" s="138" t="str">
        <f t="shared" si="162"/>
        <v>Base_With Amendment</v>
      </c>
      <c r="D3310" s="118" t="s">
        <v>137</v>
      </c>
      <c r="E3310" s="118" t="s">
        <v>181</v>
      </c>
      <c r="F3310" s="118" t="s">
        <v>46</v>
      </c>
      <c r="G3310" s="153"/>
      <c r="H3310" s="155">
        <v>1.2699999999999999E-2</v>
      </c>
      <c r="I3310" s="154" t="s">
        <v>167</v>
      </c>
      <c r="J3310" s="204">
        <v>1.9000000000000001E-4</v>
      </c>
      <c r="K3310" s="154" t="s">
        <v>13</v>
      </c>
      <c r="L3310" s="154" t="str">
        <f>IF(OpenLCAbasic!K3310="CTUh", "Fill in Manually",IF(OR(K3310="Unit", K3310=""), "", INDEX(LookUps!$E$5:$E$12, MATCH(OpenLCAbasic!K3310,LookUps!$D$5:$D$12,0))))</f>
        <v>Eutrophication Potential (EP) - kg N eq</v>
      </c>
      <c r="M3310" s="154" t="str">
        <f t="shared" si="163"/>
        <v>High_Medium_High_Upgraded_Eutrophication Potential (EP) - kg N eq_Waste Receiving and Holding; wastewater treatment unit; at updated plant - US_Base_With Amendment_Windrow</v>
      </c>
    </row>
    <row r="3311" spans="1:13" s="120" customFormat="1" x14ac:dyDescent="0.25">
      <c r="A3311" s="119"/>
      <c r="B3311" s="138" t="str">
        <f t="shared" si="161"/>
        <v>Windrow</v>
      </c>
      <c r="C3311" s="138" t="str">
        <f t="shared" si="162"/>
        <v>Base_With Amendment</v>
      </c>
      <c r="D3311" s="118" t="s">
        <v>137</v>
      </c>
      <c r="E3311" s="118" t="s">
        <v>181</v>
      </c>
      <c r="F3311" s="118" t="s">
        <v>46</v>
      </c>
      <c r="G3311" s="153"/>
      <c r="H3311" s="155">
        <v>9.1000000000000004E-3</v>
      </c>
      <c r="I3311" s="154" t="s">
        <v>58</v>
      </c>
      <c r="J3311" s="204">
        <v>1.3999999999999999E-4</v>
      </c>
      <c r="K3311" s="154" t="s">
        <v>13</v>
      </c>
      <c r="L3311" s="154" t="str">
        <f>IF(OpenLCAbasic!K3311="CTUh", "Fill in Manually",IF(OR(K3311="Unit", K3311=""), "", INDEX(LookUps!$E$5:$E$12, MATCH(OpenLCAbasic!K3311,LookUps!$D$5:$D$12,0))))</f>
        <v>Eutrophication Potential (EP) - kg N eq</v>
      </c>
      <c r="M3311" s="154" t="str">
        <f t="shared" si="163"/>
        <v>High_Medium_High_Upgraded_Eutrophication Potential (EP) - kg N eq_Pre-Anoxic &amp; Swing tank; wastewater treatment unit; at updated plant - US_Base_With Amendment_Windrow</v>
      </c>
    </row>
    <row r="3312" spans="1:13" s="120" customFormat="1" x14ac:dyDescent="0.25">
      <c r="A3312" s="119"/>
      <c r="B3312" s="138" t="str">
        <f t="shared" si="161"/>
        <v>Windrow</v>
      </c>
      <c r="C3312" s="138" t="str">
        <f t="shared" si="162"/>
        <v>Base_With Amendment</v>
      </c>
      <c r="D3312" s="118" t="s">
        <v>137</v>
      </c>
      <c r="E3312" s="118" t="s">
        <v>181</v>
      </c>
      <c r="F3312" s="118" t="s">
        <v>46</v>
      </c>
      <c r="G3312" s="153"/>
      <c r="H3312" s="155">
        <v>7.1999999999999998E-3</v>
      </c>
      <c r="I3312" s="154" t="s">
        <v>53</v>
      </c>
      <c r="J3312" s="204">
        <v>1.1E-4</v>
      </c>
      <c r="K3312" s="154" t="s">
        <v>13</v>
      </c>
      <c r="L3312" s="154" t="str">
        <f>IF(OpenLCAbasic!K3312="CTUh", "Fill in Manually",IF(OR(K3312="Unit", K3312=""), "", INDEX(LookUps!$E$5:$E$12, MATCH(OpenLCAbasic!K3312,LookUps!$D$5:$D$12,0))))</f>
        <v>Eutrophication Potential (EP) - kg N eq</v>
      </c>
      <c r="M3312" s="154" t="str">
        <f t="shared" si="163"/>
        <v>High_Medium_High_Upgraded_Eutrophication Potential (EP) - kg N eq_Wet Well and Sump Station; wastewater treatment unit; at updated plant - US_Base_With Amendment_Windrow</v>
      </c>
    </row>
    <row r="3313" spans="1:13" s="120" customFormat="1" x14ac:dyDescent="0.25">
      <c r="A3313" s="119"/>
      <c r="B3313" s="138" t="str">
        <f t="shared" si="161"/>
        <v>Windrow</v>
      </c>
      <c r="C3313" s="138" t="str">
        <f t="shared" si="162"/>
        <v>Base_With Amendment</v>
      </c>
      <c r="D3313" s="118" t="s">
        <v>137</v>
      </c>
      <c r="E3313" s="118" t="s">
        <v>181</v>
      </c>
      <c r="F3313" s="118" t="s">
        <v>46</v>
      </c>
      <c r="G3313" s="153"/>
      <c r="H3313" s="155">
        <v>4.4999999999999997E-3</v>
      </c>
      <c r="I3313" s="154" t="s">
        <v>60</v>
      </c>
      <c r="J3313" s="204">
        <v>6.69155E-5</v>
      </c>
      <c r="K3313" s="154" t="s">
        <v>13</v>
      </c>
      <c r="L3313" s="154" t="str">
        <f>IF(OpenLCAbasic!K3313="CTUh", "Fill in Manually",IF(OR(K3313="Unit", K3313=""), "", INDEX(LookUps!$E$5:$E$12, MATCH(OpenLCAbasic!K3313,LookUps!$D$5:$D$12,0))))</f>
        <v>Eutrophication Potential (EP) - kg N eq</v>
      </c>
      <c r="M3313" s="154" t="str">
        <f t="shared" si="163"/>
        <v>High_Medium_High_Upgraded_Eutrophication Potential (EP) - kg N eq_Belt filter press; wastewater treatment unit; at updated plant - US_Base_With Amendment_Windrow</v>
      </c>
    </row>
    <row r="3314" spans="1:13" s="120" customFormat="1" x14ac:dyDescent="0.25">
      <c r="A3314" s="119"/>
      <c r="B3314" s="138" t="str">
        <f t="shared" si="161"/>
        <v>Windrow</v>
      </c>
      <c r="C3314" s="138" t="str">
        <f t="shared" si="162"/>
        <v>Base_With Amendment</v>
      </c>
      <c r="D3314" s="118" t="s">
        <v>137</v>
      </c>
      <c r="E3314" s="118" t="s">
        <v>181</v>
      </c>
      <c r="F3314" s="118" t="s">
        <v>46</v>
      </c>
      <c r="G3314" s="153"/>
      <c r="H3314" s="155">
        <v>4.0000000000000001E-3</v>
      </c>
      <c r="I3314" s="154" t="s">
        <v>57</v>
      </c>
      <c r="J3314" s="204">
        <v>6.0590300000000002E-5</v>
      </c>
      <c r="K3314" s="154" t="s">
        <v>13</v>
      </c>
      <c r="L3314" s="154" t="str">
        <f>IF(OpenLCAbasic!K3314="CTUh", "Fill in Manually",IF(OR(K3314="Unit", K3314=""), "", INDEX(LookUps!$E$5:$E$12, MATCH(OpenLCAbasic!K3314,LookUps!$D$5:$D$12,0))))</f>
        <v>Eutrophication Potential (EP) - kg N eq</v>
      </c>
      <c r="M3314" s="154" t="str">
        <f t="shared" si="163"/>
        <v>High_Medium_High_Upgraded_Eutrophication Potential (EP) - kg N eq_Gravity Belt Thickener; wastewater treatment unit; at updated plant - US_Base_With Amendment_Windrow</v>
      </c>
    </row>
    <row r="3315" spans="1:13" s="120" customFormat="1" x14ac:dyDescent="0.25">
      <c r="A3315" s="119"/>
      <c r="B3315" s="138" t="str">
        <f t="shared" si="161"/>
        <v>Windrow</v>
      </c>
      <c r="C3315" s="138" t="str">
        <f t="shared" si="162"/>
        <v>Base_With Amendment</v>
      </c>
      <c r="D3315" s="118" t="s">
        <v>137</v>
      </c>
      <c r="E3315" s="118" t="s">
        <v>181</v>
      </c>
      <c r="F3315" s="118" t="s">
        <v>46</v>
      </c>
      <c r="G3315" s="153"/>
      <c r="H3315" s="155">
        <v>2.5000000000000001E-3</v>
      </c>
      <c r="I3315" s="154" t="s">
        <v>128</v>
      </c>
      <c r="J3315" s="204">
        <v>3.7559799999999999E-5</v>
      </c>
      <c r="K3315" s="154" t="s">
        <v>13</v>
      </c>
      <c r="L3315" s="154" t="str">
        <f>IF(OpenLCAbasic!K3315="CTUh", "Fill in Manually",IF(OR(K3315="Unit", K3315=""), "", INDEX(LookUps!$E$5:$E$12, MATCH(OpenLCAbasic!K3315,LookUps!$D$5:$D$12,0))))</f>
        <v>Eutrophication Potential (EP) - kg N eq</v>
      </c>
      <c r="M3315" s="154" t="str">
        <f t="shared" si="163"/>
        <v>High_Medium_High_Upgraded_Eutrophication Potential (EP) - kg N eq_Wastewater collection; operation and infrastructure; m3 wastewater_Base_With Amendment_Windrow</v>
      </c>
    </row>
    <row r="3316" spans="1:13" s="120" customFormat="1" x14ac:dyDescent="0.25">
      <c r="A3316" s="119"/>
      <c r="B3316" s="138" t="str">
        <f t="shared" si="161"/>
        <v>Windrow</v>
      </c>
      <c r="C3316" s="138" t="str">
        <f t="shared" si="162"/>
        <v>Base_With Amendment</v>
      </c>
      <c r="D3316" s="118" t="s">
        <v>137</v>
      </c>
      <c r="E3316" s="118" t="s">
        <v>181</v>
      </c>
      <c r="F3316" s="118" t="s">
        <v>46</v>
      </c>
      <c r="G3316" s="153"/>
      <c r="H3316" s="155">
        <v>2.5000000000000001E-3</v>
      </c>
      <c r="I3316" s="154" t="s">
        <v>148</v>
      </c>
      <c r="J3316" s="204">
        <v>3.6874600000000001E-5</v>
      </c>
      <c r="K3316" s="154" t="s">
        <v>13</v>
      </c>
      <c r="L3316" s="154" t="str">
        <f>IF(OpenLCAbasic!K3316="CTUh", "Fill in Manually",IF(OR(K3316="Unit", K3316=""), "", INDEX(LookUps!$E$5:$E$12, MATCH(OpenLCAbasic!K3316,LookUps!$D$5:$D$12,0))))</f>
        <v>Eutrophication Potential (EP) - kg N eq</v>
      </c>
      <c r="M3316" s="154" t="str">
        <f t="shared" si="163"/>
        <v>High_Medium_High_Upgraded_Eutrophication Potential (EP) - kg N eq_Control Building; at upgraded wastewater treatment plant - US_Base_With Amendment_Windrow</v>
      </c>
    </row>
    <row r="3317" spans="1:13" s="120" customFormat="1" x14ac:dyDescent="0.25">
      <c r="A3317" s="119"/>
      <c r="B3317" s="138" t="str">
        <f t="shared" si="161"/>
        <v>Windrow</v>
      </c>
      <c r="C3317" s="138" t="str">
        <f t="shared" si="162"/>
        <v>Base_With Amendment</v>
      </c>
      <c r="D3317" s="118" t="s">
        <v>137</v>
      </c>
      <c r="E3317" s="118" t="s">
        <v>181</v>
      </c>
      <c r="F3317" s="118" t="s">
        <v>46</v>
      </c>
      <c r="G3317" s="153"/>
      <c r="H3317" s="155">
        <v>1.1000000000000001E-3</v>
      </c>
      <c r="I3317" s="154" t="s">
        <v>59</v>
      </c>
      <c r="J3317" s="204">
        <v>1.6215700000000001E-5</v>
      </c>
      <c r="K3317" s="154" t="s">
        <v>13</v>
      </c>
      <c r="L3317" s="154" t="str">
        <f>IF(OpenLCAbasic!K3317="CTUh", "Fill in Manually",IF(OR(K3317="Unit", K3317=""), "", INDEX(LookUps!$E$5:$E$12, MATCH(OpenLCAbasic!K3317,LookUps!$D$5:$D$12,0))))</f>
        <v>Eutrophication Potential (EP) - kg N eq</v>
      </c>
      <c r="M3317" s="154" t="str">
        <f t="shared" si="163"/>
        <v>High_Medium_High_Upgraded_Eutrophication Potential (EP) - kg N eq_Blend Tank; wastewater treatment unit; at updated plant - US_Base_With Amendment_Windrow</v>
      </c>
    </row>
    <row r="3318" spans="1:13" s="120" customFormat="1" x14ac:dyDescent="0.25">
      <c r="A3318" s="119"/>
      <c r="B3318" s="138" t="str">
        <f t="shared" si="161"/>
        <v>Windrow</v>
      </c>
      <c r="C3318" s="138" t="str">
        <f t="shared" si="162"/>
        <v>Base_With Amendment</v>
      </c>
      <c r="D3318" s="118" t="s">
        <v>137</v>
      </c>
      <c r="E3318" s="118" t="s">
        <v>181</v>
      </c>
      <c r="F3318" s="118" t="s">
        <v>46</v>
      </c>
      <c r="G3318" s="153"/>
      <c r="H3318" s="155">
        <v>5.0000000000000001E-4</v>
      </c>
      <c r="I3318" s="154" t="s">
        <v>168</v>
      </c>
      <c r="J3318" s="204">
        <v>7.7567199999999995E-6</v>
      </c>
      <c r="K3318" s="154" t="s">
        <v>13</v>
      </c>
      <c r="L3318" s="154" t="str">
        <f>IF(OpenLCAbasic!K3318="CTUh", "Fill in Manually",IF(OR(K3318="Unit", K3318=""), "", INDEX(LookUps!$E$5:$E$12, MATCH(OpenLCAbasic!K3318,LookUps!$D$5:$D$12,0))))</f>
        <v>Eutrophication Potential (EP) - kg N eq</v>
      </c>
      <c r="M3318" s="154" t="str">
        <f t="shared" si="163"/>
        <v>High_Medium_High_Upgraded_Eutrophication Potential (EP) - kg N eq_ClearCove SCP; wastewater treatment unit; at updated plant - US_Base_With Amendment_Windrow</v>
      </c>
    </row>
    <row r="3319" spans="1:13" s="120" customFormat="1" x14ac:dyDescent="0.25">
      <c r="A3319" s="119"/>
      <c r="B3319" s="138" t="str">
        <f t="shared" si="161"/>
        <v>Windrow</v>
      </c>
      <c r="C3319" s="138" t="str">
        <f t="shared" si="162"/>
        <v>Base_With Amendment</v>
      </c>
      <c r="D3319" s="118" t="s">
        <v>137</v>
      </c>
      <c r="E3319" s="118" t="s">
        <v>181</v>
      </c>
      <c r="F3319" s="118" t="s">
        <v>46</v>
      </c>
      <c r="G3319" s="153"/>
      <c r="H3319" s="155">
        <v>-0.1188</v>
      </c>
      <c r="I3319" s="154" t="s">
        <v>149</v>
      </c>
      <c r="J3319" s="204">
        <v>-1.7799999999999999E-3</v>
      </c>
      <c r="K3319" s="154" t="s">
        <v>13</v>
      </c>
      <c r="L3319" s="154" t="str">
        <f>IF(OpenLCAbasic!K3319="CTUh", "Fill in Manually",IF(OR(K3319="Unit", K3319=""), "", INDEX(LookUps!$E$5:$E$12, MATCH(OpenLCAbasic!K3319,LookUps!$D$5:$D$12,0))))</f>
        <v>Eutrophication Potential (EP) - kg N eq</v>
      </c>
      <c r="M3319" s="154" t="str">
        <f t="shared" si="163"/>
        <v>High_Medium_High_Upgraded_Eutrophication Potential (EP) - kg N eq_Anaerobic Digestion; wastewater treatment unit; at updated plant - US_Base_With Amendment_Windrow</v>
      </c>
    </row>
    <row r="3320" spans="1:13" s="120" customFormat="1" x14ac:dyDescent="0.25">
      <c r="A3320" s="119"/>
      <c r="B3320" s="138" t="str">
        <f t="shared" si="161"/>
        <v>Windrow</v>
      </c>
      <c r="C3320" s="138" t="str">
        <f t="shared" si="162"/>
        <v>Base_With Amendment</v>
      </c>
      <c r="D3320" s="118" t="s">
        <v>137</v>
      </c>
      <c r="E3320" s="118" t="s">
        <v>181</v>
      </c>
      <c r="F3320" s="118" t="s">
        <v>46</v>
      </c>
      <c r="G3320" s="153" t="s">
        <v>51</v>
      </c>
      <c r="H3320" s="154"/>
      <c r="I3320" s="154" t="s">
        <v>47</v>
      </c>
      <c r="J3320" s="154" t="s">
        <v>52</v>
      </c>
      <c r="K3320" s="154" t="s">
        <v>27</v>
      </c>
      <c r="L3320" s="154" t="str">
        <f>IF(OpenLCAbasic!K3320="CTUh", "Fill in Manually",IF(OR(K3320="Unit", K3320=""), "", INDEX(LookUps!$E$5:$E$12, MATCH(OpenLCAbasic!K3320,LookUps!$D$5:$D$12,0))))</f>
        <v/>
      </c>
      <c r="M3320" s="154" t="str">
        <f t="shared" si="163"/>
        <v>High_Medium_High_Upgraded__Process_Base_With Amendment_Windrow</v>
      </c>
    </row>
    <row r="3321" spans="1:13" s="120" customFormat="1" x14ac:dyDescent="0.25">
      <c r="A3321" s="119"/>
      <c r="B3321" s="138" t="str">
        <f t="shared" si="161"/>
        <v>Windrow</v>
      </c>
      <c r="C3321" s="138" t="str">
        <f t="shared" si="162"/>
        <v>Base_With Amendment</v>
      </c>
      <c r="D3321" s="118" t="s">
        <v>137</v>
      </c>
      <c r="E3321" s="118" t="s">
        <v>181</v>
      </c>
      <c r="F3321" s="118" t="s">
        <v>46</v>
      </c>
      <c r="G3321" s="153"/>
      <c r="H3321" s="155">
        <v>8.0111000000000008</v>
      </c>
      <c r="I3321" s="154" t="s">
        <v>55</v>
      </c>
      <c r="J3321" s="203">
        <v>1.7219999999999999E-2</v>
      </c>
      <c r="K3321" s="154" t="s">
        <v>24</v>
      </c>
      <c r="L3321" s="154" t="str">
        <f>IF(OpenLCAbasic!K3321="CTUh", "Fill in Manually",IF(OR(K3321="Unit", K3321=""), "", INDEX(LookUps!$E$5:$E$12, MATCH(OpenLCAbasic!K3321,LookUps!$D$5:$D$12,0))))</f>
        <v>Acidification Potential (AP) - kg SO2 eq</v>
      </c>
      <c r="M3321" s="154" t="str">
        <f t="shared" si="163"/>
        <v>High_Medium_High_Upgraded_Acidification Potential (AP) - kg SO2 eq_Aeration Tanks; wastewater treatment unit; at updated plant - US_Base_With Amendment_Windrow</v>
      </c>
    </row>
    <row r="3322" spans="1:13" s="120" customFormat="1" x14ac:dyDescent="0.25">
      <c r="A3322" s="119"/>
      <c r="B3322" s="138" t="str">
        <f t="shared" si="161"/>
        <v>Windrow</v>
      </c>
      <c r="C3322" s="138" t="str">
        <f t="shared" si="162"/>
        <v>Base_With Amendment</v>
      </c>
      <c r="D3322" s="118" t="s">
        <v>137</v>
      </c>
      <c r="E3322" s="118" t="s">
        <v>181</v>
      </c>
      <c r="F3322" s="118" t="s">
        <v>46</v>
      </c>
      <c r="G3322" s="153"/>
      <c r="H3322" s="155">
        <v>6.5288000000000004</v>
      </c>
      <c r="I3322" s="154" t="s">
        <v>271</v>
      </c>
      <c r="J3322" s="203">
        <v>1.4030000000000001E-2</v>
      </c>
      <c r="K3322" s="154" t="s">
        <v>24</v>
      </c>
      <c r="L3322" s="154" t="str">
        <f>IF(OpenLCAbasic!K3322="CTUh", "Fill in Manually",IF(OR(K3322="Unit", K3322=""), "", INDEX(LookUps!$E$5:$E$12, MATCH(OpenLCAbasic!K3322,LookUps!$D$5:$D$12,0))))</f>
        <v>Acidification Potential (AP) - kg SO2 eq</v>
      </c>
      <c r="M3322" s="154" t="str">
        <f t="shared" si="163"/>
        <v>High_Medium_High_Upgraded_Acidification Potential (AP) - kg SO2 eq_Biosolids composting; windrow composting; wastewater treatment unit; at updated plant - US_Base_With Amendment_Windrow</v>
      </c>
    </row>
    <row r="3323" spans="1:13" s="120" customFormat="1" x14ac:dyDescent="0.25">
      <c r="A3323" s="119"/>
      <c r="B3323" s="138" t="str">
        <f t="shared" si="161"/>
        <v>Windrow</v>
      </c>
      <c r="C3323" s="138" t="str">
        <f t="shared" si="162"/>
        <v>Base_With Amendment</v>
      </c>
      <c r="D3323" s="118" t="s">
        <v>137</v>
      </c>
      <c r="E3323" s="118" t="s">
        <v>181</v>
      </c>
      <c r="F3323" s="118" t="s">
        <v>46</v>
      </c>
      <c r="G3323" s="153"/>
      <c r="H3323" s="155">
        <v>2.3170999999999999</v>
      </c>
      <c r="I3323" s="154" t="s">
        <v>54</v>
      </c>
      <c r="J3323" s="204">
        <v>4.9800000000000001E-3</v>
      </c>
      <c r="K3323" s="154" t="s">
        <v>24</v>
      </c>
      <c r="L3323" s="154" t="str">
        <f>IF(OpenLCAbasic!K3323="CTUh", "Fill in Manually",IF(OR(K3323="Unit", K3323=""), "", INDEX(LookUps!$E$5:$E$12, MATCH(OpenLCAbasic!K3323,LookUps!$D$5:$D$12,0))))</f>
        <v>Acidification Potential (AP) - kg SO2 eq</v>
      </c>
      <c r="M3323" s="154" t="str">
        <f t="shared" si="163"/>
        <v>High_Medium_High_Upgraded_Acidification Potential (AP) - kg SO2 eq_Clear Cove Primary Clarification; wastewater treatment unit; at updated plant - US_Base_With Amendment_Windrow</v>
      </c>
    </row>
    <row r="3324" spans="1:13" s="120" customFormat="1" x14ac:dyDescent="0.25">
      <c r="A3324" s="119"/>
      <c r="B3324" s="138" t="str">
        <f t="shared" si="161"/>
        <v>Windrow</v>
      </c>
      <c r="C3324" s="138" t="str">
        <f t="shared" si="162"/>
        <v>Base_With Amendment</v>
      </c>
      <c r="D3324" s="118" t="s">
        <v>137</v>
      </c>
      <c r="E3324" s="118" t="s">
        <v>181</v>
      </c>
      <c r="F3324" s="118" t="s">
        <v>46</v>
      </c>
      <c r="G3324" s="153"/>
      <c r="H3324" s="155">
        <v>2.0219</v>
      </c>
      <c r="I3324" s="154" t="s">
        <v>58</v>
      </c>
      <c r="J3324" s="204">
        <v>4.3499999999999997E-3</v>
      </c>
      <c r="K3324" s="154" t="s">
        <v>24</v>
      </c>
      <c r="L3324" s="154" t="str">
        <f>IF(OpenLCAbasic!K3324="CTUh", "Fill in Manually",IF(OR(K3324="Unit", K3324=""), "", INDEX(LookUps!$E$5:$E$12, MATCH(OpenLCAbasic!K3324,LookUps!$D$5:$D$12,0))))</f>
        <v>Acidification Potential (AP) - kg SO2 eq</v>
      </c>
      <c r="M3324" s="154" t="str">
        <f t="shared" si="163"/>
        <v>High_Medium_High_Upgraded_Acidification Potential (AP) - kg SO2 eq_Pre-Anoxic &amp; Swing tank; wastewater treatment unit; at updated plant - US_Base_With Amendment_Windrow</v>
      </c>
    </row>
    <row r="3325" spans="1:13" s="120" customFormat="1" x14ac:dyDescent="0.25">
      <c r="A3325" s="119"/>
      <c r="B3325" s="138" t="str">
        <f t="shared" si="161"/>
        <v>Windrow</v>
      </c>
      <c r="C3325" s="138" t="str">
        <f t="shared" si="162"/>
        <v>Base_With Amendment</v>
      </c>
      <c r="D3325" s="118" t="s">
        <v>137</v>
      </c>
      <c r="E3325" s="118" t="s">
        <v>181</v>
      </c>
      <c r="F3325" s="118" t="s">
        <v>46</v>
      </c>
      <c r="G3325" s="153"/>
      <c r="H3325" s="155">
        <v>1.6053999999999999</v>
      </c>
      <c r="I3325" s="154" t="s">
        <v>53</v>
      </c>
      <c r="J3325" s="204">
        <v>3.4499999999999999E-3</v>
      </c>
      <c r="K3325" s="154" t="s">
        <v>24</v>
      </c>
      <c r="L3325" s="154" t="str">
        <f>IF(OpenLCAbasic!K3325="CTUh", "Fill in Manually",IF(OR(K3325="Unit", K3325=""), "", INDEX(LookUps!$E$5:$E$12, MATCH(OpenLCAbasic!K3325,LookUps!$D$5:$D$12,0))))</f>
        <v>Acidification Potential (AP) - kg SO2 eq</v>
      </c>
      <c r="M3325" s="154" t="str">
        <f t="shared" si="163"/>
        <v>High_Medium_High_Upgraded_Acidification Potential (AP) - kg SO2 eq_Wet Well and Sump Station; wastewater treatment unit; at updated plant - US_Base_With Amendment_Windrow</v>
      </c>
    </row>
    <row r="3326" spans="1:13" s="120" customFormat="1" x14ac:dyDescent="0.25">
      <c r="A3326" s="119"/>
      <c r="B3326" s="138" t="str">
        <f t="shared" si="161"/>
        <v>Windrow</v>
      </c>
      <c r="C3326" s="138" t="str">
        <f t="shared" si="162"/>
        <v>Base_With Amendment</v>
      </c>
      <c r="D3326" s="118" t="s">
        <v>137</v>
      </c>
      <c r="E3326" s="118" t="s">
        <v>181</v>
      </c>
      <c r="F3326" s="118" t="s">
        <v>46</v>
      </c>
      <c r="G3326" s="153"/>
      <c r="H3326" s="155">
        <v>1.4484999999999999</v>
      </c>
      <c r="I3326" s="154" t="s">
        <v>62</v>
      </c>
      <c r="J3326" s="204">
        <v>3.1099999999999999E-3</v>
      </c>
      <c r="K3326" s="154" t="s">
        <v>24</v>
      </c>
      <c r="L3326" s="154" t="str">
        <f>IF(OpenLCAbasic!K3326="CTUh", "Fill in Manually",IF(OR(K3326="Unit", K3326=""), "", INDEX(LookUps!$E$5:$E$12, MATCH(OpenLCAbasic!K3326,LookUps!$D$5:$D$12,0))))</f>
        <v>Acidification Potential (AP) - kg SO2 eq</v>
      </c>
      <c r="M3326" s="154" t="str">
        <f t="shared" si="163"/>
        <v>High_Medium_High_Upgraded_Acidification Potential (AP) - kg SO2 eq_Land application of compost; wastewater treatment unit; at updated plant - US_Base_With Amendment_Windrow</v>
      </c>
    </row>
    <row r="3327" spans="1:13" s="120" customFormat="1" x14ac:dyDescent="0.25">
      <c r="A3327" s="119"/>
      <c r="B3327" s="138" t="str">
        <f t="shared" si="161"/>
        <v>Windrow</v>
      </c>
      <c r="C3327" s="138" t="str">
        <f t="shared" si="162"/>
        <v>Base_With Amendment</v>
      </c>
      <c r="D3327" s="118" t="s">
        <v>137</v>
      </c>
      <c r="E3327" s="118" t="s">
        <v>181</v>
      </c>
      <c r="F3327" s="118" t="s">
        <v>46</v>
      </c>
      <c r="G3327" s="153"/>
      <c r="H3327" s="155">
        <v>1.1776</v>
      </c>
      <c r="I3327" s="154" t="s">
        <v>167</v>
      </c>
      <c r="J3327" s="204">
        <v>2.5300000000000001E-3</v>
      </c>
      <c r="K3327" s="154" t="s">
        <v>24</v>
      </c>
      <c r="L3327" s="154" t="str">
        <f>IF(OpenLCAbasic!K3327="CTUh", "Fill in Manually",IF(OR(K3327="Unit", K3327=""), "", INDEX(LookUps!$E$5:$E$12, MATCH(OpenLCAbasic!K3327,LookUps!$D$5:$D$12,0))))</f>
        <v>Acidification Potential (AP) - kg SO2 eq</v>
      </c>
      <c r="M3327" s="154" t="str">
        <f t="shared" si="163"/>
        <v>High_Medium_High_Upgraded_Acidification Potential (AP) - kg SO2 eq_Waste Receiving and Holding; wastewater treatment unit; at updated plant - US_Base_With Amendment_Windrow</v>
      </c>
    </row>
    <row r="3328" spans="1:13" s="120" customFormat="1" x14ac:dyDescent="0.25">
      <c r="A3328" s="119"/>
      <c r="B3328" s="138" t="str">
        <f t="shared" si="161"/>
        <v>Windrow</v>
      </c>
      <c r="C3328" s="138" t="str">
        <f t="shared" si="162"/>
        <v>Base_With Amendment</v>
      </c>
      <c r="D3328" s="118" t="s">
        <v>137</v>
      </c>
      <c r="E3328" s="118" t="s">
        <v>181</v>
      </c>
      <c r="F3328" s="118" t="s">
        <v>46</v>
      </c>
      <c r="G3328" s="153"/>
      <c r="H3328" s="155">
        <v>0.96240000000000003</v>
      </c>
      <c r="I3328" s="154" t="s">
        <v>147</v>
      </c>
      <c r="J3328" s="204">
        <v>2.0699999999999998E-3</v>
      </c>
      <c r="K3328" s="154" t="s">
        <v>24</v>
      </c>
      <c r="L3328" s="154" t="str">
        <f>IF(OpenLCAbasic!K3328="CTUh", "Fill in Manually",IF(OR(K3328="Unit", K3328=""), "", INDEX(LookUps!$E$5:$E$12, MATCH(OpenLCAbasic!K3328,LookUps!$D$5:$D$12,0))))</f>
        <v>Acidification Potential (AP) - kg SO2 eq</v>
      </c>
      <c r="M3328" s="154" t="str">
        <f t="shared" si="163"/>
        <v>High_Medium_High_Upgraded_Acidification Potential (AP) - kg SO2 eq_Influent Pump Station; wastewater treatment unit; at updated plant - US_Base_With Amendment_Windrow</v>
      </c>
    </row>
    <row r="3329" spans="1:13" s="120" customFormat="1" x14ac:dyDescent="0.25">
      <c r="A3329" s="119"/>
      <c r="B3329" s="138" t="str">
        <f t="shared" si="161"/>
        <v>Windrow</v>
      </c>
      <c r="C3329" s="138" t="str">
        <f t="shared" si="162"/>
        <v>Base_With Amendment</v>
      </c>
      <c r="D3329" s="118" t="s">
        <v>137</v>
      </c>
      <c r="E3329" s="118" t="s">
        <v>181</v>
      </c>
      <c r="F3329" s="118" t="s">
        <v>46</v>
      </c>
      <c r="G3329" s="153"/>
      <c r="H3329" s="155">
        <v>0.5736</v>
      </c>
      <c r="I3329" s="154" t="s">
        <v>128</v>
      </c>
      <c r="J3329" s="204">
        <v>1.23E-3</v>
      </c>
      <c r="K3329" s="154" t="s">
        <v>24</v>
      </c>
      <c r="L3329" s="154" t="str">
        <f>IF(OpenLCAbasic!K3329="CTUh", "Fill in Manually",IF(OR(K3329="Unit", K3329=""), "", INDEX(LookUps!$E$5:$E$12, MATCH(OpenLCAbasic!K3329,LookUps!$D$5:$D$12,0))))</f>
        <v>Acidification Potential (AP) - kg SO2 eq</v>
      </c>
      <c r="M3329" s="154" t="str">
        <f t="shared" si="163"/>
        <v>High_Medium_High_Upgraded_Acidification Potential (AP) - kg SO2 eq_Wastewater collection; operation and infrastructure; m3 wastewater_Base_With Amendment_Windrow</v>
      </c>
    </row>
    <row r="3330" spans="1:13" s="120" customFormat="1" x14ac:dyDescent="0.25">
      <c r="A3330" s="119"/>
      <c r="B3330" s="138" t="str">
        <f t="shared" si="161"/>
        <v>Windrow</v>
      </c>
      <c r="C3330" s="138" t="str">
        <f t="shared" si="162"/>
        <v>Base_With Amendment</v>
      </c>
      <c r="D3330" s="118" t="s">
        <v>137</v>
      </c>
      <c r="E3330" s="118" t="s">
        <v>181</v>
      </c>
      <c r="F3330" s="118" t="s">
        <v>46</v>
      </c>
      <c r="G3330" s="153"/>
      <c r="H3330" s="155">
        <v>0.47460000000000002</v>
      </c>
      <c r="I3330" s="154" t="s">
        <v>60</v>
      </c>
      <c r="J3330" s="204">
        <v>1.0200000000000001E-3</v>
      </c>
      <c r="K3330" s="154" t="s">
        <v>24</v>
      </c>
      <c r="L3330" s="154" t="str">
        <f>IF(OpenLCAbasic!K3330="CTUh", "Fill in Manually",IF(OR(K3330="Unit", K3330=""), "", INDEX(LookUps!$E$5:$E$12, MATCH(OpenLCAbasic!K3330,LookUps!$D$5:$D$12,0))))</f>
        <v>Acidification Potential (AP) - kg SO2 eq</v>
      </c>
      <c r="M3330" s="154" t="str">
        <f t="shared" si="163"/>
        <v>High_Medium_High_Upgraded_Acidification Potential (AP) - kg SO2 eq_Belt filter press; wastewater treatment unit; at updated plant - US_Base_With Amendment_Windrow</v>
      </c>
    </row>
    <row r="3331" spans="1:13" s="120" customFormat="1" x14ac:dyDescent="0.25">
      <c r="A3331" s="119"/>
      <c r="B3331" s="138" t="str">
        <f t="shared" si="161"/>
        <v>Windrow</v>
      </c>
      <c r="C3331" s="138" t="str">
        <f t="shared" si="162"/>
        <v>Base_With Amendment</v>
      </c>
      <c r="D3331" s="118" t="s">
        <v>137</v>
      </c>
      <c r="E3331" s="118" t="s">
        <v>181</v>
      </c>
      <c r="F3331" s="118" t="s">
        <v>46</v>
      </c>
      <c r="G3331" s="153"/>
      <c r="H3331" s="155">
        <v>0.32750000000000001</v>
      </c>
      <c r="I3331" s="154" t="s">
        <v>57</v>
      </c>
      <c r="J3331" s="204">
        <v>6.9999999999999999E-4</v>
      </c>
      <c r="K3331" s="154" t="s">
        <v>24</v>
      </c>
      <c r="L3331" s="154" t="str">
        <f>IF(OpenLCAbasic!K3331="CTUh", "Fill in Manually",IF(OR(K3331="Unit", K3331=""), "", INDEX(LookUps!$E$5:$E$12, MATCH(OpenLCAbasic!K3331,LookUps!$D$5:$D$12,0))))</f>
        <v>Acidification Potential (AP) - kg SO2 eq</v>
      </c>
      <c r="M3331" s="154" t="str">
        <f t="shared" si="163"/>
        <v>High_Medium_High_Upgraded_Acidification Potential (AP) - kg SO2 eq_Gravity Belt Thickener; wastewater treatment unit; at updated plant - US_Base_With Amendment_Windrow</v>
      </c>
    </row>
    <row r="3332" spans="1:13" s="120" customFormat="1" x14ac:dyDescent="0.25">
      <c r="A3332" s="119"/>
      <c r="B3332" s="138" t="str">
        <f t="shared" si="161"/>
        <v>Windrow</v>
      </c>
      <c r="C3332" s="138" t="str">
        <f t="shared" si="162"/>
        <v>Base_With Amendment</v>
      </c>
      <c r="D3332" s="118" t="s">
        <v>137</v>
      </c>
      <c r="E3332" s="118" t="s">
        <v>181</v>
      </c>
      <c r="F3332" s="118" t="s">
        <v>46</v>
      </c>
      <c r="G3332" s="153"/>
      <c r="H3332" s="155">
        <v>0.2402</v>
      </c>
      <c r="I3332" s="154" t="s">
        <v>59</v>
      </c>
      <c r="J3332" s="204">
        <v>5.1999999999999995E-4</v>
      </c>
      <c r="K3332" s="154" t="s">
        <v>24</v>
      </c>
      <c r="L3332" s="154" t="str">
        <f>IF(OpenLCAbasic!K3332="CTUh", "Fill in Manually",IF(OR(K3332="Unit", K3332=""), "", INDEX(LookUps!$E$5:$E$12, MATCH(OpenLCAbasic!K3332,LookUps!$D$5:$D$12,0))))</f>
        <v>Acidification Potential (AP) - kg SO2 eq</v>
      </c>
      <c r="M3332" s="154" t="str">
        <f t="shared" si="163"/>
        <v>High_Medium_High_Upgraded_Acidification Potential (AP) - kg SO2 eq_Blend Tank; wastewater treatment unit; at updated plant - US_Base_With Amendment_Windrow</v>
      </c>
    </row>
    <row r="3333" spans="1:13" s="120" customFormat="1" x14ac:dyDescent="0.25">
      <c r="A3333" s="119"/>
      <c r="B3333" s="138" t="str">
        <f t="shared" si="161"/>
        <v>Windrow</v>
      </c>
      <c r="C3333" s="138" t="str">
        <f t="shared" si="162"/>
        <v>Base_With Amendment</v>
      </c>
      <c r="D3333" s="118" t="s">
        <v>137</v>
      </c>
      <c r="E3333" s="118" t="s">
        <v>181</v>
      </c>
      <c r="F3333" s="118" t="s">
        <v>46</v>
      </c>
      <c r="G3333" s="153"/>
      <c r="H3333" s="155">
        <v>0.16120000000000001</v>
      </c>
      <c r="I3333" s="154" t="s">
        <v>48</v>
      </c>
      <c r="J3333" s="204">
        <v>3.5E-4</v>
      </c>
      <c r="K3333" s="154" t="s">
        <v>24</v>
      </c>
      <c r="L3333" s="154" t="str">
        <f>IF(OpenLCAbasic!K3333="CTUh", "Fill in Manually",IF(OR(K3333="Unit", K3333=""), "", INDEX(LookUps!$E$5:$E$12, MATCH(OpenLCAbasic!K3333,LookUps!$D$5:$D$12,0))))</f>
        <v>Acidification Potential (AP) - kg SO2 eq</v>
      </c>
      <c r="M3333" s="154" t="str">
        <f t="shared" si="163"/>
        <v>High_Medium_High_Upgraded_Acidification Potential (AP) - kg SO2 eq_Effluent release; wastewater treatment unit; at surface water; m3 wastewater - US_Base_With Amendment_Windrow</v>
      </c>
    </row>
    <row r="3334" spans="1:13" s="120" customFormat="1" x14ac:dyDescent="0.25">
      <c r="A3334" s="119"/>
      <c r="B3334" s="138" t="str">
        <f t="shared" ref="B3334:B3397" si="164">IF(F3334="Legacy","n.a.",IF(F3334="","","Windrow"))</f>
        <v>Windrow</v>
      </c>
      <c r="C3334" s="138" t="str">
        <f t="shared" si="162"/>
        <v>Base_With Amendment</v>
      </c>
      <c r="D3334" s="118" t="s">
        <v>137</v>
      </c>
      <c r="E3334" s="118" t="s">
        <v>181</v>
      </c>
      <c r="F3334" s="118" t="s">
        <v>46</v>
      </c>
      <c r="G3334" s="153"/>
      <c r="H3334" s="155">
        <v>0.1187</v>
      </c>
      <c r="I3334" s="154" t="s">
        <v>168</v>
      </c>
      <c r="J3334" s="204">
        <v>2.5999999999999998E-4</v>
      </c>
      <c r="K3334" s="154" t="s">
        <v>24</v>
      </c>
      <c r="L3334" s="154" t="str">
        <f>IF(OpenLCAbasic!K3334="CTUh", "Fill in Manually",IF(OR(K3334="Unit", K3334=""), "", INDEX(LookUps!$E$5:$E$12, MATCH(OpenLCAbasic!K3334,LookUps!$D$5:$D$12,0))))</f>
        <v>Acidification Potential (AP) - kg SO2 eq</v>
      </c>
      <c r="M3334" s="154" t="str">
        <f t="shared" si="163"/>
        <v>High_Medium_High_Upgraded_Acidification Potential (AP) - kg SO2 eq_ClearCove SCP; wastewater treatment unit; at updated plant - US_Base_With Amendment_Windrow</v>
      </c>
    </row>
    <row r="3335" spans="1:13" s="120" customFormat="1" x14ac:dyDescent="0.25">
      <c r="A3335" s="119"/>
      <c r="B3335" s="138" t="str">
        <f t="shared" si="164"/>
        <v>Windrow</v>
      </c>
      <c r="C3335" s="138" t="str">
        <f t="shared" ref="C3335:C3398" si="165">IF(E3335&lt;&gt;"", "Base_With Amendment","")</f>
        <v>Base_With Amendment</v>
      </c>
      <c r="D3335" s="118" t="s">
        <v>137</v>
      </c>
      <c r="E3335" s="118" t="s">
        <v>181</v>
      </c>
      <c r="F3335" s="118" t="s">
        <v>46</v>
      </c>
      <c r="G3335" s="153"/>
      <c r="H3335" s="155">
        <v>1.8800000000000001E-2</v>
      </c>
      <c r="I3335" s="154" t="s">
        <v>148</v>
      </c>
      <c r="J3335" s="204">
        <v>4.0354700000000002E-5</v>
      </c>
      <c r="K3335" s="154" t="s">
        <v>24</v>
      </c>
      <c r="L3335" s="154" t="str">
        <f>IF(OpenLCAbasic!K3335="CTUh", "Fill in Manually",IF(OR(K3335="Unit", K3335=""), "", INDEX(LookUps!$E$5:$E$12, MATCH(OpenLCAbasic!K3335,LookUps!$D$5:$D$12,0))))</f>
        <v>Acidification Potential (AP) - kg SO2 eq</v>
      </c>
      <c r="M3335" s="154" t="str">
        <f t="shared" ref="M3335:M3398" si="166">CONCATENATE(E3335,"_",D3335,"_",F3335,"_",L3335, "_",I3335,"_", C3335,"_", B3335)</f>
        <v>High_Medium_High_Upgraded_Acidification Potential (AP) - kg SO2 eq_Control Building; at upgraded wastewater treatment plant - US_Base_With Amendment_Windrow</v>
      </c>
    </row>
    <row r="3336" spans="1:13" s="120" customFormat="1" x14ac:dyDescent="0.25">
      <c r="A3336" s="119"/>
      <c r="B3336" s="138" t="str">
        <f t="shared" si="164"/>
        <v>Windrow</v>
      </c>
      <c r="C3336" s="138" t="str">
        <f t="shared" si="165"/>
        <v>Base_With Amendment</v>
      </c>
      <c r="D3336" s="118" t="s">
        <v>137</v>
      </c>
      <c r="E3336" s="118" t="s">
        <v>181</v>
      </c>
      <c r="F3336" s="118" t="s">
        <v>46</v>
      </c>
      <c r="G3336" s="153"/>
      <c r="H3336" s="155">
        <v>-26.987300000000001</v>
      </c>
      <c r="I3336" s="154" t="s">
        <v>149</v>
      </c>
      <c r="J3336" s="203">
        <v>-5.8009999999999999E-2</v>
      </c>
      <c r="K3336" s="154" t="s">
        <v>24</v>
      </c>
      <c r="L3336" s="154" t="str">
        <f>IF(OpenLCAbasic!K3336="CTUh", "Fill in Manually",IF(OR(K3336="Unit", K3336=""), "", INDEX(LookUps!$E$5:$E$12, MATCH(OpenLCAbasic!K3336,LookUps!$D$5:$D$12,0))))</f>
        <v>Acidification Potential (AP) - kg SO2 eq</v>
      </c>
      <c r="M3336" s="154" t="str">
        <f t="shared" si="166"/>
        <v>High_Medium_High_Upgraded_Acidification Potential (AP) - kg SO2 eq_Anaerobic Digestion; wastewater treatment unit; at updated plant - US_Base_With Amendment_Windrow</v>
      </c>
    </row>
    <row r="3337" spans="1:13" s="120" customFormat="1" x14ac:dyDescent="0.25">
      <c r="A3337" s="119"/>
      <c r="B3337" s="138" t="str">
        <f t="shared" si="164"/>
        <v>Windrow</v>
      </c>
      <c r="C3337" s="138" t="str">
        <f t="shared" si="165"/>
        <v>Base_With Amendment</v>
      </c>
      <c r="D3337" s="118" t="s">
        <v>137</v>
      </c>
      <c r="E3337" s="118" t="s">
        <v>181</v>
      </c>
      <c r="F3337" s="118" t="s">
        <v>46</v>
      </c>
      <c r="G3337" s="153" t="s">
        <v>51</v>
      </c>
      <c r="H3337" s="154"/>
      <c r="I3337" s="154" t="s">
        <v>47</v>
      </c>
      <c r="J3337" s="154" t="s">
        <v>52</v>
      </c>
      <c r="K3337" s="154" t="s">
        <v>27</v>
      </c>
      <c r="L3337" s="154" t="str">
        <f>IF(OpenLCAbasic!K3337="CTUh", "Fill in Manually",IF(OR(K3337="Unit", K3337=""), "", INDEX(LookUps!$E$5:$E$12, MATCH(OpenLCAbasic!K3337,LookUps!$D$5:$D$12,0))))</f>
        <v/>
      </c>
      <c r="M3337" s="154" t="str">
        <f t="shared" si="166"/>
        <v>High_Medium_High_Upgraded__Process_Base_With Amendment_Windrow</v>
      </c>
    </row>
    <row r="3338" spans="1:13" s="120" customFormat="1" x14ac:dyDescent="0.25">
      <c r="A3338" s="119"/>
      <c r="B3338" s="138" t="str">
        <f t="shared" si="164"/>
        <v>Windrow</v>
      </c>
      <c r="C3338" s="138" t="str">
        <f t="shared" si="165"/>
        <v>Base_With Amendment</v>
      </c>
      <c r="D3338" s="118" t="s">
        <v>137</v>
      </c>
      <c r="E3338" s="118" t="s">
        <v>181</v>
      </c>
      <c r="F3338" s="118" t="s">
        <v>46</v>
      </c>
      <c r="G3338" s="153"/>
      <c r="H3338" s="155">
        <v>1.7797000000000001</v>
      </c>
      <c r="I3338" s="154" t="s">
        <v>167</v>
      </c>
      <c r="J3338" s="203">
        <v>9.7259999999999999E-2</v>
      </c>
      <c r="K3338" s="154" t="s">
        <v>14</v>
      </c>
      <c r="L3338" s="154" t="str">
        <f>IF(OpenLCAbasic!K3338="CTUh", "Fill in Manually",IF(OR(K3338="Unit", K3338=""), "", INDEX(LookUps!$E$5:$E$12, MATCH(OpenLCAbasic!K3338,LookUps!$D$5:$D$12,0))))</f>
        <v>Fossil Depletion Potential (FDP) - kg oil eq</v>
      </c>
      <c r="M3338" s="154" t="str">
        <f t="shared" si="166"/>
        <v>High_Medium_High_Upgraded_Fossil Depletion Potential (FDP) - kg oil eq_Waste Receiving and Holding; wastewater treatment unit; at updated plant - US_Base_With Amendment_Windrow</v>
      </c>
    </row>
    <row r="3339" spans="1:13" s="120" customFormat="1" x14ac:dyDescent="0.25">
      <c r="A3339" s="119"/>
      <c r="B3339" s="138" t="str">
        <f t="shared" si="164"/>
        <v>Windrow</v>
      </c>
      <c r="C3339" s="138" t="str">
        <f t="shared" si="165"/>
        <v>Base_With Amendment</v>
      </c>
      <c r="D3339" s="118" t="s">
        <v>137</v>
      </c>
      <c r="E3339" s="118" t="s">
        <v>181</v>
      </c>
      <c r="F3339" s="118" t="s">
        <v>46</v>
      </c>
      <c r="G3339" s="153"/>
      <c r="H3339" s="155">
        <v>1.1637</v>
      </c>
      <c r="I3339" s="154" t="s">
        <v>55</v>
      </c>
      <c r="J3339" s="203">
        <v>6.3589999999999994E-2</v>
      </c>
      <c r="K3339" s="154" t="s">
        <v>14</v>
      </c>
      <c r="L3339" s="154" t="str">
        <f>IF(OpenLCAbasic!K3339="CTUh", "Fill in Manually",IF(OR(K3339="Unit", K3339=""), "", INDEX(LookUps!$E$5:$E$12, MATCH(OpenLCAbasic!K3339,LookUps!$D$5:$D$12,0))))</f>
        <v>Fossil Depletion Potential (FDP) - kg oil eq</v>
      </c>
      <c r="M3339" s="154" t="str">
        <f t="shared" si="166"/>
        <v>High_Medium_High_Upgraded_Fossil Depletion Potential (FDP) - kg oil eq_Aeration Tanks; wastewater treatment unit; at updated plant - US_Base_With Amendment_Windrow</v>
      </c>
    </row>
    <row r="3340" spans="1:13" s="120" customFormat="1" x14ac:dyDescent="0.25">
      <c r="A3340" s="119"/>
      <c r="B3340" s="138" t="str">
        <f t="shared" si="164"/>
        <v>Windrow</v>
      </c>
      <c r="C3340" s="138" t="str">
        <f t="shared" si="165"/>
        <v>Base_With Amendment</v>
      </c>
      <c r="D3340" s="118" t="s">
        <v>137</v>
      </c>
      <c r="E3340" s="118" t="s">
        <v>181</v>
      </c>
      <c r="F3340" s="118" t="s">
        <v>46</v>
      </c>
      <c r="G3340" s="153"/>
      <c r="H3340" s="155">
        <v>0.38519999999999999</v>
      </c>
      <c r="I3340" s="154" t="s">
        <v>54</v>
      </c>
      <c r="J3340" s="203">
        <v>2.1049999999999999E-2</v>
      </c>
      <c r="K3340" s="154" t="s">
        <v>14</v>
      </c>
      <c r="L3340" s="154" t="str">
        <f>IF(OpenLCAbasic!K3340="CTUh", "Fill in Manually",IF(OR(K3340="Unit", K3340=""), "", INDEX(LookUps!$E$5:$E$12, MATCH(OpenLCAbasic!K3340,LookUps!$D$5:$D$12,0))))</f>
        <v>Fossil Depletion Potential (FDP) - kg oil eq</v>
      </c>
      <c r="M3340" s="154" t="str">
        <f t="shared" si="166"/>
        <v>High_Medium_High_Upgraded_Fossil Depletion Potential (FDP) - kg oil eq_Clear Cove Primary Clarification; wastewater treatment unit; at updated plant - US_Base_With Amendment_Windrow</v>
      </c>
    </row>
    <row r="3341" spans="1:13" s="120" customFormat="1" x14ac:dyDescent="0.25">
      <c r="A3341" s="119"/>
      <c r="B3341" s="138" t="str">
        <f t="shared" si="164"/>
        <v>Windrow</v>
      </c>
      <c r="C3341" s="138" t="str">
        <f t="shared" si="165"/>
        <v>Base_With Amendment</v>
      </c>
      <c r="D3341" s="118" t="s">
        <v>137</v>
      </c>
      <c r="E3341" s="118" t="s">
        <v>181</v>
      </c>
      <c r="F3341" s="118" t="s">
        <v>46</v>
      </c>
      <c r="G3341" s="153"/>
      <c r="H3341" s="155">
        <v>0.2923</v>
      </c>
      <c r="I3341" s="154" t="s">
        <v>58</v>
      </c>
      <c r="J3341" s="203">
        <v>1.5980000000000001E-2</v>
      </c>
      <c r="K3341" s="154" t="s">
        <v>14</v>
      </c>
      <c r="L3341" s="154" t="str">
        <f>IF(OpenLCAbasic!K3341="CTUh", "Fill in Manually",IF(OR(K3341="Unit", K3341=""), "", INDEX(LookUps!$E$5:$E$12, MATCH(OpenLCAbasic!K3341,LookUps!$D$5:$D$12,0))))</f>
        <v>Fossil Depletion Potential (FDP) - kg oil eq</v>
      </c>
      <c r="M3341" s="154" t="str">
        <f t="shared" si="166"/>
        <v>High_Medium_High_Upgraded_Fossil Depletion Potential (FDP) - kg oil eq_Pre-Anoxic &amp; Swing tank; wastewater treatment unit; at updated plant - US_Base_With Amendment_Windrow</v>
      </c>
    </row>
    <row r="3342" spans="1:13" s="120" customFormat="1" x14ac:dyDescent="0.25">
      <c r="A3342" s="119"/>
      <c r="B3342" s="138" t="str">
        <f t="shared" si="164"/>
        <v>Windrow</v>
      </c>
      <c r="C3342" s="138" t="str">
        <f t="shared" si="165"/>
        <v>Base_With Amendment</v>
      </c>
      <c r="D3342" s="118" t="s">
        <v>137</v>
      </c>
      <c r="E3342" s="118" t="s">
        <v>181</v>
      </c>
      <c r="F3342" s="118" t="s">
        <v>46</v>
      </c>
      <c r="G3342" s="153"/>
      <c r="H3342" s="155">
        <v>0.27610000000000001</v>
      </c>
      <c r="I3342" s="154" t="s">
        <v>147</v>
      </c>
      <c r="J3342" s="203">
        <v>1.5089999999999999E-2</v>
      </c>
      <c r="K3342" s="154" t="s">
        <v>14</v>
      </c>
      <c r="L3342" s="154" t="str">
        <f>IF(OpenLCAbasic!K3342="CTUh", "Fill in Manually",IF(OR(K3342="Unit", K3342=""), "", INDEX(LookUps!$E$5:$E$12, MATCH(OpenLCAbasic!K3342,LookUps!$D$5:$D$12,0))))</f>
        <v>Fossil Depletion Potential (FDP) - kg oil eq</v>
      </c>
      <c r="M3342" s="154" t="str">
        <f t="shared" si="166"/>
        <v>High_Medium_High_Upgraded_Fossil Depletion Potential (FDP) - kg oil eq_Influent Pump Station; wastewater treatment unit; at updated plant - US_Base_With Amendment_Windrow</v>
      </c>
    </row>
    <row r="3343" spans="1:13" s="120" customFormat="1" x14ac:dyDescent="0.25">
      <c r="A3343" s="119"/>
      <c r="B3343" s="138" t="str">
        <f t="shared" si="164"/>
        <v>Windrow</v>
      </c>
      <c r="C3343" s="138" t="str">
        <f t="shared" si="165"/>
        <v>Base_With Amendment</v>
      </c>
      <c r="D3343" s="118" t="s">
        <v>137</v>
      </c>
      <c r="E3343" s="118" t="s">
        <v>181</v>
      </c>
      <c r="F3343" s="118" t="s">
        <v>46</v>
      </c>
      <c r="G3343" s="153"/>
      <c r="H3343" s="155">
        <v>0.22850000000000001</v>
      </c>
      <c r="I3343" s="154" t="s">
        <v>53</v>
      </c>
      <c r="J3343" s="203">
        <v>1.2489999999999999E-2</v>
      </c>
      <c r="K3343" s="154" t="s">
        <v>14</v>
      </c>
      <c r="L3343" s="154" t="str">
        <f>IF(OpenLCAbasic!K3343="CTUh", "Fill in Manually",IF(OR(K3343="Unit", K3343=""), "", INDEX(LookUps!$E$5:$E$12, MATCH(OpenLCAbasic!K3343,LookUps!$D$5:$D$12,0))))</f>
        <v>Fossil Depletion Potential (FDP) - kg oil eq</v>
      </c>
      <c r="M3343" s="154" t="str">
        <f t="shared" si="166"/>
        <v>High_Medium_High_Upgraded_Fossil Depletion Potential (FDP) - kg oil eq_Wet Well and Sump Station; wastewater treatment unit; at updated plant - US_Base_With Amendment_Windrow</v>
      </c>
    </row>
    <row r="3344" spans="1:13" s="120" customFormat="1" x14ac:dyDescent="0.25">
      <c r="A3344" s="119"/>
      <c r="B3344" s="138" t="str">
        <f t="shared" si="164"/>
        <v>Windrow</v>
      </c>
      <c r="C3344" s="138" t="str">
        <f t="shared" si="165"/>
        <v>Base_With Amendment</v>
      </c>
      <c r="D3344" s="118" t="s">
        <v>137</v>
      </c>
      <c r="E3344" s="118" t="s">
        <v>181</v>
      </c>
      <c r="F3344" s="118" t="s">
        <v>46</v>
      </c>
      <c r="G3344" s="153"/>
      <c r="H3344" s="155">
        <v>0.1406</v>
      </c>
      <c r="I3344" s="154" t="s">
        <v>60</v>
      </c>
      <c r="J3344" s="204">
        <v>7.6800000000000002E-3</v>
      </c>
      <c r="K3344" s="154" t="s">
        <v>14</v>
      </c>
      <c r="L3344" s="154" t="str">
        <f>IF(OpenLCAbasic!K3344="CTUh", "Fill in Manually",IF(OR(K3344="Unit", K3344=""), "", INDEX(LookUps!$E$5:$E$12, MATCH(OpenLCAbasic!K3344,LookUps!$D$5:$D$12,0))))</f>
        <v>Fossil Depletion Potential (FDP) - kg oil eq</v>
      </c>
      <c r="M3344" s="154" t="str">
        <f t="shared" si="166"/>
        <v>High_Medium_High_Upgraded_Fossil Depletion Potential (FDP) - kg oil eq_Belt filter press; wastewater treatment unit; at updated plant - US_Base_With Amendment_Windrow</v>
      </c>
    </row>
    <row r="3345" spans="1:13" s="120" customFormat="1" x14ac:dyDescent="0.25">
      <c r="A3345" s="119"/>
      <c r="B3345" s="138" t="str">
        <f t="shared" si="164"/>
        <v>Windrow</v>
      </c>
      <c r="C3345" s="138" t="str">
        <f t="shared" si="165"/>
        <v>Base_With Amendment</v>
      </c>
      <c r="D3345" s="118" t="s">
        <v>137</v>
      </c>
      <c r="E3345" s="118" t="s">
        <v>181</v>
      </c>
      <c r="F3345" s="118" t="s">
        <v>46</v>
      </c>
      <c r="G3345" s="153"/>
      <c r="H3345" s="155">
        <v>0.12659999999999999</v>
      </c>
      <c r="I3345" s="154" t="s">
        <v>57</v>
      </c>
      <c r="J3345" s="204">
        <v>6.9199999999999999E-3</v>
      </c>
      <c r="K3345" s="154" t="s">
        <v>14</v>
      </c>
      <c r="L3345" s="154" t="str">
        <f>IF(OpenLCAbasic!K3345="CTUh", "Fill in Manually",IF(OR(K3345="Unit", K3345=""), "", INDEX(LookUps!$E$5:$E$12, MATCH(OpenLCAbasic!K3345,LookUps!$D$5:$D$12,0))))</f>
        <v>Fossil Depletion Potential (FDP) - kg oil eq</v>
      </c>
      <c r="M3345" s="154" t="str">
        <f t="shared" si="166"/>
        <v>High_Medium_High_Upgraded_Fossil Depletion Potential (FDP) - kg oil eq_Gravity Belt Thickener; wastewater treatment unit; at updated plant - US_Base_With Amendment_Windrow</v>
      </c>
    </row>
    <row r="3346" spans="1:13" s="120" customFormat="1" x14ac:dyDescent="0.25">
      <c r="A3346" s="119"/>
      <c r="B3346" s="138" t="str">
        <f t="shared" si="164"/>
        <v>Windrow</v>
      </c>
      <c r="C3346" s="138" t="str">
        <f t="shared" si="165"/>
        <v>Base_With Amendment</v>
      </c>
      <c r="D3346" s="118" t="s">
        <v>137</v>
      </c>
      <c r="E3346" s="118" t="s">
        <v>181</v>
      </c>
      <c r="F3346" s="118" t="s">
        <v>46</v>
      </c>
      <c r="G3346" s="153"/>
      <c r="H3346" s="155">
        <v>8.2299999999999998E-2</v>
      </c>
      <c r="I3346" s="154" t="s">
        <v>128</v>
      </c>
      <c r="J3346" s="204">
        <v>4.4999999999999997E-3</v>
      </c>
      <c r="K3346" s="154" t="s">
        <v>14</v>
      </c>
      <c r="L3346" s="154" t="str">
        <f>IF(OpenLCAbasic!K3346="CTUh", "Fill in Manually",IF(OR(K3346="Unit", K3346=""), "", INDEX(LookUps!$E$5:$E$12, MATCH(OpenLCAbasic!K3346,LookUps!$D$5:$D$12,0))))</f>
        <v>Fossil Depletion Potential (FDP) - kg oil eq</v>
      </c>
      <c r="M3346" s="154" t="str">
        <f t="shared" si="166"/>
        <v>High_Medium_High_Upgraded_Fossil Depletion Potential (FDP) - kg oil eq_Wastewater collection; operation and infrastructure; m3 wastewater_Base_With Amendment_Windrow</v>
      </c>
    </row>
    <row r="3347" spans="1:13" s="120" customFormat="1" x14ac:dyDescent="0.25">
      <c r="A3347" s="119"/>
      <c r="B3347" s="138" t="str">
        <f t="shared" si="164"/>
        <v>Windrow</v>
      </c>
      <c r="C3347" s="138" t="str">
        <f t="shared" si="165"/>
        <v>Base_With Amendment</v>
      </c>
      <c r="D3347" s="118" t="s">
        <v>137</v>
      </c>
      <c r="E3347" s="118" t="s">
        <v>181</v>
      </c>
      <c r="F3347" s="118" t="s">
        <v>46</v>
      </c>
      <c r="G3347" s="153"/>
      <c r="H3347" s="155">
        <v>5.1200000000000002E-2</v>
      </c>
      <c r="I3347" s="154" t="s">
        <v>148</v>
      </c>
      <c r="J3347" s="204">
        <v>2.8E-3</v>
      </c>
      <c r="K3347" s="154" t="s">
        <v>14</v>
      </c>
      <c r="L3347" s="154" t="str">
        <f>IF(OpenLCAbasic!K3347="CTUh", "Fill in Manually",IF(OR(K3347="Unit", K3347=""), "", INDEX(LookUps!$E$5:$E$12, MATCH(OpenLCAbasic!K3347,LookUps!$D$5:$D$12,0))))</f>
        <v>Fossil Depletion Potential (FDP) - kg oil eq</v>
      </c>
      <c r="M3347" s="154" t="str">
        <f t="shared" si="166"/>
        <v>High_Medium_High_Upgraded_Fossil Depletion Potential (FDP) - kg oil eq_Control Building; at upgraded wastewater treatment plant - US_Base_With Amendment_Windrow</v>
      </c>
    </row>
    <row r="3348" spans="1:13" s="120" customFormat="1" x14ac:dyDescent="0.25">
      <c r="A3348" s="119"/>
      <c r="B3348" s="138" t="str">
        <f t="shared" si="164"/>
        <v>Windrow</v>
      </c>
      <c r="C3348" s="138" t="str">
        <f t="shared" si="165"/>
        <v>Base_With Amendment</v>
      </c>
      <c r="D3348" s="118" t="s">
        <v>137</v>
      </c>
      <c r="E3348" s="118" t="s">
        <v>181</v>
      </c>
      <c r="F3348" s="118" t="s">
        <v>46</v>
      </c>
      <c r="G3348" s="153"/>
      <c r="H3348" s="155">
        <v>4.3299999999999998E-2</v>
      </c>
      <c r="I3348" s="154" t="s">
        <v>48</v>
      </c>
      <c r="J3348" s="204">
        <v>2.3600000000000001E-3</v>
      </c>
      <c r="K3348" s="154" t="s">
        <v>14</v>
      </c>
      <c r="L3348" s="154" t="str">
        <f>IF(OpenLCAbasic!K3348="CTUh", "Fill in Manually",IF(OR(K3348="Unit", K3348=""), "", INDEX(LookUps!$E$5:$E$12, MATCH(OpenLCAbasic!K3348,LookUps!$D$5:$D$12,0))))</f>
        <v>Fossil Depletion Potential (FDP) - kg oil eq</v>
      </c>
      <c r="M3348" s="154" t="str">
        <f t="shared" si="166"/>
        <v>High_Medium_High_Upgraded_Fossil Depletion Potential (FDP) - kg oil eq_Effluent release; wastewater treatment unit; at surface water; m3 wastewater - US_Base_With Amendment_Windrow</v>
      </c>
    </row>
    <row r="3349" spans="1:13" s="120" customFormat="1" x14ac:dyDescent="0.25">
      <c r="A3349" s="119"/>
      <c r="B3349" s="138" t="str">
        <f t="shared" si="164"/>
        <v>Windrow</v>
      </c>
      <c r="C3349" s="138" t="str">
        <f t="shared" si="165"/>
        <v>Base_With Amendment</v>
      </c>
      <c r="D3349" s="118" t="s">
        <v>137</v>
      </c>
      <c r="E3349" s="118" t="s">
        <v>181</v>
      </c>
      <c r="F3349" s="118" t="s">
        <v>46</v>
      </c>
      <c r="G3349" s="153"/>
      <c r="H3349" s="155">
        <v>3.5099999999999999E-2</v>
      </c>
      <c r="I3349" s="154" t="s">
        <v>59</v>
      </c>
      <c r="J3349" s="204">
        <v>1.92E-3</v>
      </c>
      <c r="K3349" s="154" t="s">
        <v>14</v>
      </c>
      <c r="L3349" s="154" t="str">
        <f>IF(OpenLCAbasic!K3349="CTUh", "Fill in Manually",IF(OR(K3349="Unit", K3349=""), "", INDEX(LookUps!$E$5:$E$12, MATCH(OpenLCAbasic!K3349,LookUps!$D$5:$D$12,0))))</f>
        <v>Fossil Depletion Potential (FDP) - kg oil eq</v>
      </c>
      <c r="M3349" s="154" t="str">
        <f t="shared" si="166"/>
        <v>High_Medium_High_Upgraded_Fossil Depletion Potential (FDP) - kg oil eq_Blend Tank; wastewater treatment unit; at updated plant - US_Base_With Amendment_Windrow</v>
      </c>
    </row>
    <row r="3350" spans="1:13" s="120" customFormat="1" x14ac:dyDescent="0.25">
      <c r="A3350" s="119"/>
      <c r="B3350" s="138" t="str">
        <f t="shared" si="164"/>
        <v>Windrow</v>
      </c>
      <c r="C3350" s="138" t="str">
        <f t="shared" si="165"/>
        <v>Base_With Amendment</v>
      </c>
      <c r="D3350" s="118" t="s">
        <v>137</v>
      </c>
      <c r="E3350" s="118" t="s">
        <v>181</v>
      </c>
      <c r="F3350" s="118" t="s">
        <v>46</v>
      </c>
      <c r="G3350" s="153"/>
      <c r="H3350" s="155">
        <v>1.67E-2</v>
      </c>
      <c r="I3350" s="154" t="s">
        <v>168</v>
      </c>
      <c r="J3350" s="204">
        <v>9.1E-4</v>
      </c>
      <c r="K3350" s="154" t="s">
        <v>14</v>
      </c>
      <c r="L3350" s="154" t="str">
        <f>IF(OpenLCAbasic!K3350="CTUh", "Fill in Manually",IF(OR(K3350="Unit", K3350=""), "", INDEX(LookUps!$E$5:$E$12, MATCH(OpenLCAbasic!K3350,LookUps!$D$5:$D$12,0))))</f>
        <v>Fossil Depletion Potential (FDP) - kg oil eq</v>
      </c>
      <c r="M3350" s="154" t="str">
        <f t="shared" si="166"/>
        <v>High_Medium_High_Upgraded_Fossil Depletion Potential (FDP) - kg oil eq_ClearCove SCP; wastewater treatment unit; at updated plant - US_Base_With Amendment_Windrow</v>
      </c>
    </row>
    <row r="3351" spans="1:13" s="120" customFormat="1" x14ac:dyDescent="0.25">
      <c r="A3351" s="119"/>
      <c r="B3351" s="138" t="str">
        <f t="shared" si="164"/>
        <v>Windrow</v>
      </c>
      <c r="C3351" s="138" t="str">
        <f t="shared" si="165"/>
        <v>Base_With Amendment</v>
      </c>
      <c r="D3351" s="118" t="s">
        <v>137</v>
      </c>
      <c r="E3351" s="118" t="s">
        <v>181</v>
      </c>
      <c r="F3351" s="118" t="s">
        <v>46</v>
      </c>
      <c r="G3351" s="153"/>
      <c r="H3351" s="155">
        <v>1.06E-2</v>
      </c>
      <c r="I3351" s="154" t="s">
        <v>271</v>
      </c>
      <c r="J3351" s="204">
        <v>5.8E-4</v>
      </c>
      <c r="K3351" s="154" t="s">
        <v>14</v>
      </c>
      <c r="L3351" s="154" t="str">
        <f>IF(OpenLCAbasic!K3351="CTUh", "Fill in Manually",IF(OR(K3351="Unit", K3351=""), "", INDEX(LookUps!$E$5:$E$12, MATCH(OpenLCAbasic!K3351,LookUps!$D$5:$D$12,0))))</f>
        <v>Fossil Depletion Potential (FDP) - kg oil eq</v>
      </c>
      <c r="M3351" s="154" t="str">
        <f t="shared" si="166"/>
        <v>High_Medium_High_Upgraded_Fossil Depletion Potential (FDP) - kg oil eq_Biosolids composting; windrow composting; wastewater treatment unit; at updated plant - US_Base_With Amendment_Windrow</v>
      </c>
    </row>
    <row r="3352" spans="1:13" s="120" customFormat="1" x14ac:dyDescent="0.25">
      <c r="A3352" s="119"/>
      <c r="B3352" s="138" t="str">
        <f t="shared" si="164"/>
        <v>Windrow</v>
      </c>
      <c r="C3352" s="138" t="str">
        <f t="shared" si="165"/>
        <v>Base_With Amendment</v>
      </c>
      <c r="D3352" s="118" t="s">
        <v>137</v>
      </c>
      <c r="E3352" s="118" t="s">
        <v>181</v>
      </c>
      <c r="F3352" s="118" t="s">
        <v>46</v>
      </c>
      <c r="G3352" s="153"/>
      <c r="H3352" s="155">
        <v>-0.1351</v>
      </c>
      <c r="I3352" s="154" t="s">
        <v>62</v>
      </c>
      <c r="J3352" s="204">
        <v>-7.3800000000000003E-3</v>
      </c>
      <c r="K3352" s="154" t="s">
        <v>14</v>
      </c>
      <c r="L3352" s="154" t="str">
        <f>IF(OpenLCAbasic!K3352="CTUh", "Fill in Manually",IF(OR(K3352="Unit", K3352=""), "", INDEX(LookUps!$E$5:$E$12, MATCH(OpenLCAbasic!K3352,LookUps!$D$5:$D$12,0))))</f>
        <v>Fossil Depletion Potential (FDP) - kg oil eq</v>
      </c>
      <c r="M3352" s="154" t="str">
        <f t="shared" si="166"/>
        <v>High_Medium_High_Upgraded_Fossil Depletion Potential (FDP) - kg oil eq_Land application of compost; wastewater treatment unit; at updated plant - US_Base_With Amendment_Windrow</v>
      </c>
    </row>
    <row r="3353" spans="1:13" s="120" customFormat="1" x14ac:dyDescent="0.25">
      <c r="A3353" s="119"/>
      <c r="B3353" s="138" t="str">
        <f t="shared" si="164"/>
        <v>Windrow</v>
      </c>
      <c r="C3353" s="138" t="str">
        <f t="shared" si="165"/>
        <v>Base_With Amendment</v>
      </c>
      <c r="D3353" s="118" t="s">
        <v>137</v>
      </c>
      <c r="E3353" s="118" t="s">
        <v>181</v>
      </c>
      <c r="F3353" s="118" t="s">
        <v>46</v>
      </c>
      <c r="G3353" s="153"/>
      <c r="H3353" s="155">
        <v>-5.4968000000000004</v>
      </c>
      <c r="I3353" s="154" t="s">
        <v>149</v>
      </c>
      <c r="J3353" s="203">
        <v>-0.30038999999999999</v>
      </c>
      <c r="K3353" s="154" t="s">
        <v>14</v>
      </c>
      <c r="L3353" s="154" t="str">
        <f>IF(OpenLCAbasic!K3353="CTUh", "Fill in Manually",IF(OR(K3353="Unit", K3353=""), "", INDEX(LookUps!$E$5:$E$12, MATCH(OpenLCAbasic!K3353,LookUps!$D$5:$D$12,0))))</f>
        <v>Fossil Depletion Potential (FDP) - kg oil eq</v>
      </c>
      <c r="M3353" s="154" t="str">
        <f t="shared" si="166"/>
        <v>High_Medium_High_Upgraded_Fossil Depletion Potential (FDP) - kg oil eq_Anaerobic Digestion; wastewater treatment unit; at updated plant - US_Base_With Amendment_Windrow</v>
      </c>
    </row>
    <row r="3354" spans="1:13" s="120" customFormat="1" x14ac:dyDescent="0.25">
      <c r="A3354" s="119"/>
      <c r="B3354" s="138" t="str">
        <f t="shared" si="164"/>
        <v>Windrow</v>
      </c>
      <c r="C3354" s="138" t="str">
        <f t="shared" si="165"/>
        <v>Base_With Amendment</v>
      </c>
      <c r="D3354" s="118" t="s">
        <v>137</v>
      </c>
      <c r="E3354" s="118" t="s">
        <v>181</v>
      </c>
      <c r="F3354" s="118" t="s">
        <v>46</v>
      </c>
      <c r="G3354" s="153" t="s">
        <v>51</v>
      </c>
      <c r="H3354" s="154"/>
      <c r="I3354" s="154" t="s">
        <v>47</v>
      </c>
      <c r="J3354" s="154" t="s">
        <v>52</v>
      </c>
      <c r="K3354" s="154" t="s">
        <v>27</v>
      </c>
      <c r="L3354" s="154" t="str">
        <f>IF(OpenLCAbasic!K3354="CTUh", "Fill in Manually",IF(OR(K3354="Unit", K3354=""), "", INDEX(LookUps!$E$5:$E$12, MATCH(OpenLCAbasic!K3354,LookUps!$D$5:$D$12,0))))</f>
        <v/>
      </c>
      <c r="M3354" s="154" t="str">
        <f t="shared" si="166"/>
        <v>High_Medium_High_Upgraded__Process_Base_With Amendment_Windrow</v>
      </c>
    </row>
    <row r="3355" spans="1:13" s="120" customFormat="1" x14ac:dyDescent="0.25">
      <c r="A3355" s="119"/>
      <c r="B3355" s="138" t="str">
        <f t="shared" si="164"/>
        <v>Windrow</v>
      </c>
      <c r="C3355" s="138" t="str">
        <f t="shared" si="165"/>
        <v>Base_With Amendment</v>
      </c>
      <c r="D3355" s="118" t="s">
        <v>137</v>
      </c>
      <c r="E3355" s="118" t="s">
        <v>181</v>
      </c>
      <c r="F3355" s="118" t="s">
        <v>46</v>
      </c>
      <c r="G3355" s="153"/>
      <c r="H3355" s="155">
        <v>1.1263000000000001</v>
      </c>
      <c r="I3355" s="154" t="s">
        <v>55</v>
      </c>
      <c r="J3355" s="204">
        <v>2.33E-3</v>
      </c>
      <c r="K3355" s="154" t="s">
        <v>145</v>
      </c>
      <c r="L3355" s="154" t="str">
        <f>IF(OpenLCAbasic!K3355="CTUh", "Fill in Manually",IF(OR(K3355="Unit", K3355=""), "", INDEX(LookUps!$E$5:$E$12, MATCH(OpenLCAbasic!K3355,LookUps!$D$5:$D$12,0))))</f>
        <v>Particulate Matter Formation Potential (PMFP) - kg PM2.5 eq</v>
      </c>
      <c r="M3355" s="154" t="str">
        <f t="shared" si="166"/>
        <v>High_Medium_High_Upgraded_Particulate Matter Formation Potential (PMFP) - kg PM2.5 eq_Aeration Tanks; wastewater treatment unit; at updated plant - US_Base_With Amendment_Windrow</v>
      </c>
    </row>
    <row r="3356" spans="1:13" s="120" customFormat="1" x14ac:dyDescent="0.25">
      <c r="A3356" s="119"/>
      <c r="B3356" s="138" t="str">
        <f t="shared" si="164"/>
        <v>Windrow</v>
      </c>
      <c r="C3356" s="138" t="str">
        <f t="shared" si="165"/>
        <v>Base_With Amendment</v>
      </c>
      <c r="D3356" s="118" t="s">
        <v>137</v>
      </c>
      <c r="E3356" s="118" t="s">
        <v>181</v>
      </c>
      <c r="F3356" s="118" t="s">
        <v>46</v>
      </c>
      <c r="G3356" s="153"/>
      <c r="H3356" s="155">
        <v>0.32769999999999999</v>
      </c>
      <c r="I3356" s="154" t="s">
        <v>54</v>
      </c>
      <c r="J3356" s="204">
        <v>6.8000000000000005E-4</v>
      </c>
      <c r="K3356" s="154" t="s">
        <v>145</v>
      </c>
      <c r="L3356" s="154" t="str">
        <f>IF(OpenLCAbasic!K3356="CTUh", "Fill in Manually",IF(OR(K3356="Unit", K3356=""), "", INDEX(LookUps!$E$5:$E$12, MATCH(OpenLCAbasic!K3356,LookUps!$D$5:$D$12,0))))</f>
        <v>Particulate Matter Formation Potential (PMFP) - kg PM2.5 eq</v>
      </c>
      <c r="M3356" s="154" t="str">
        <f t="shared" si="166"/>
        <v>High_Medium_High_Upgraded_Particulate Matter Formation Potential (PMFP) - kg PM2.5 eq_Clear Cove Primary Clarification; wastewater treatment unit; at updated plant - US_Base_With Amendment_Windrow</v>
      </c>
    </row>
    <row r="3357" spans="1:13" s="120" customFormat="1" x14ac:dyDescent="0.25">
      <c r="A3357" s="119"/>
      <c r="B3357" s="138" t="str">
        <f t="shared" si="164"/>
        <v>Windrow</v>
      </c>
      <c r="C3357" s="138" t="str">
        <f t="shared" si="165"/>
        <v>Base_With Amendment</v>
      </c>
      <c r="D3357" s="118" t="s">
        <v>137</v>
      </c>
      <c r="E3357" s="118" t="s">
        <v>181</v>
      </c>
      <c r="F3357" s="118" t="s">
        <v>46</v>
      </c>
      <c r="G3357" s="153"/>
      <c r="H3357" s="155">
        <v>0.28410000000000002</v>
      </c>
      <c r="I3357" s="154" t="s">
        <v>58</v>
      </c>
      <c r="J3357" s="204">
        <v>5.9000000000000003E-4</v>
      </c>
      <c r="K3357" s="154" t="s">
        <v>145</v>
      </c>
      <c r="L3357" s="154" t="str">
        <f>IF(OpenLCAbasic!K3357="CTUh", "Fill in Manually",IF(OR(K3357="Unit", K3357=""), "", INDEX(LookUps!$E$5:$E$12, MATCH(OpenLCAbasic!K3357,LookUps!$D$5:$D$12,0))))</f>
        <v>Particulate Matter Formation Potential (PMFP) - kg PM2.5 eq</v>
      </c>
      <c r="M3357" s="154" t="str">
        <f t="shared" si="166"/>
        <v>High_Medium_High_Upgraded_Particulate Matter Formation Potential (PMFP) - kg PM2.5 eq_Pre-Anoxic &amp; Swing tank; wastewater treatment unit; at updated plant - US_Base_With Amendment_Windrow</v>
      </c>
    </row>
    <row r="3358" spans="1:13" s="120" customFormat="1" x14ac:dyDescent="0.25">
      <c r="A3358" s="119"/>
      <c r="B3358" s="138" t="str">
        <f t="shared" si="164"/>
        <v>Windrow</v>
      </c>
      <c r="C3358" s="138" t="str">
        <f t="shared" si="165"/>
        <v>Base_With Amendment</v>
      </c>
      <c r="D3358" s="118" t="s">
        <v>137</v>
      </c>
      <c r="E3358" s="118" t="s">
        <v>181</v>
      </c>
      <c r="F3358" s="118" t="s">
        <v>46</v>
      </c>
      <c r="G3358" s="153"/>
      <c r="H3358" s="155">
        <v>0.2417</v>
      </c>
      <c r="I3358" s="154" t="s">
        <v>271</v>
      </c>
      <c r="J3358" s="204">
        <v>5.0000000000000001E-4</v>
      </c>
      <c r="K3358" s="154" t="s">
        <v>145</v>
      </c>
      <c r="L3358" s="154" t="str">
        <f>IF(OpenLCAbasic!K3358="CTUh", "Fill in Manually",IF(OR(K3358="Unit", K3358=""), "", INDEX(LookUps!$E$5:$E$12, MATCH(OpenLCAbasic!K3358,LookUps!$D$5:$D$12,0))))</f>
        <v>Particulate Matter Formation Potential (PMFP) - kg PM2.5 eq</v>
      </c>
      <c r="M3358" s="154" t="str">
        <f t="shared" si="166"/>
        <v>High_Medium_High_Upgraded_Particulate Matter Formation Potential (PMFP) - kg PM2.5 eq_Biosolids composting; windrow composting; wastewater treatment unit; at updated plant - US_Base_With Amendment_Windrow</v>
      </c>
    </row>
    <row r="3359" spans="1:13" s="120" customFormat="1" x14ac:dyDescent="0.25">
      <c r="A3359" s="119"/>
      <c r="B3359" s="138" t="str">
        <f t="shared" si="164"/>
        <v>Windrow</v>
      </c>
      <c r="C3359" s="138" t="str">
        <f t="shared" si="165"/>
        <v>Base_With Amendment</v>
      </c>
      <c r="D3359" s="118" t="s">
        <v>137</v>
      </c>
      <c r="E3359" s="118" t="s">
        <v>181</v>
      </c>
      <c r="F3359" s="118" t="s">
        <v>46</v>
      </c>
      <c r="G3359" s="153"/>
      <c r="H3359" s="155">
        <v>0.22520000000000001</v>
      </c>
      <c r="I3359" s="154" t="s">
        <v>53</v>
      </c>
      <c r="J3359" s="204">
        <v>4.6999999999999999E-4</v>
      </c>
      <c r="K3359" s="154" t="s">
        <v>145</v>
      </c>
      <c r="L3359" s="154" t="str">
        <f>IF(OpenLCAbasic!K3359="CTUh", "Fill in Manually",IF(OR(K3359="Unit", K3359=""), "", INDEX(LookUps!$E$5:$E$12, MATCH(OpenLCAbasic!K3359,LookUps!$D$5:$D$12,0))))</f>
        <v>Particulate Matter Formation Potential (PMFP) - kg PM2.5 eq</v>
      </c>
      <c r="M3359" s="154" t="str">
        <f t="shared" si="166"/>
        <v>High_Medium_High_Upgraded_Particulate Matter Formation Potential (PMFP) - kg PM2.5 eq_Wet Well and Sump Station; wastewater treatment unit; at updated plant - US_Base_With Amendment_Windrow</v>
      </c>
    </row>
    <row r="3360" spans="1:13" s="120" customFormat="1" x14ac:dyDescent="0.25">
      <c r="A3360" s="119"/>
      <c r="B3360" s="138" t="str">
        <f t="shared" si="164"/>
        <v>Windrow</v>
      </c>
      <c r="C3360" s="138" t="str">
        <f t="shared" si="165"/>
        <v>Base_With Amendment</v>
      </c>
      <c r="D3360" s="118" t="s">
        <v>137</v>
      </c>
      <c r="E3360" s="118" t="s">
        <v>181</v>
      </c>
      <c r="F3360" s="118" t="s">
        <v>46</v>
      </c>
      <c r="G3360" s="153"/>
      <c r="H3360" s="155">
        <v>0.15179999999999999</v>
      </c>
      <c r="I3360" s="154" t="s">
        <v>167</v>
      </c>
      <c r="J3360" s="204">
        <v>3.1E-4</v>
      </c>
      <c r="K3360" s="154" t="s">
        <v>145</v>
      </c>
      <c r="L3360" s="154" t="str">
        <f>IF(OpenLCAbasic!K3360="CTUh", "Fill in Manually",IF(OR(K3360="Unit", K3360=""), "", INDEX(LookUps!$E$5:$E$12, MATCH(OpenLCAbasic!K3360,LookUps!$D$5:$D$12,0))))</f>
        <v>Particulate Matter Formation Potential (PMFP) - kg PM2.5 eq</v>
      </c>
      <c r="M3360" s="154" t="str">
        <f t="shared" si="166"/>
        <v>High_Medium_High_Upgraded_Particulate Matter Formation Potential (PMFP) - kg PM2.5 eq_Waste Receiving and Holding; wastewater treatment unit; at updated plant - US_Base_With Amendment_Windrow</v>
      </c>
    </row>
    <row r="3361" spans="1:13" s="120" customFormat="1" x14ac:dyDescent="0.25">
      <c r="A3361" s="119"/>
      <c r="B3361" s="138" t="str">
        <f t="shared" si="164"/>
        <v>Windrow</v>
      </c>
      <c r="C3361" s="138" t="str">
        <f t="shared" si="165"/>
        <v>Base_With Amendment</v>
      </c>
      <c r="D3361" s="118" t="s">
        <v>137</v>
      </c>
      <c r="E3361" s="118" t="s">
        <v>181</v>
      </c>
      <c r="F3361" s="118" t="s">
        <v>46</v>
      </c>
      <c r="G3361" s="153"/>
      <c r="H3361" s="155">
        <v>0.12870000000000001</v>
      </c>
      <c r="I3361" s="154" t="s">
        <v>147</v>
      </c>
      <c r="J3361" s="204">
        <v>2.7E-4</v>
      </c>
      <c r="K3361" s="154" t="s">
        <v>145</v>
      </c>
      <c r="L3361" s="154" t="str">
        <f>IF(OpenLCAbasic!K3361="CTUh", "Fill in Manually",IF(OR(K3361="Unit", K3361=""), "", INDEX(LookUps!$E$5:$E$12, MATCH(OpenLCAbasic!K3361,LookUps!$D$5:$D$12,0))))</f>
        <v>Particulate Matter Formation Potential (PMFP) - kg PM2.5 eq</v>
      </c>
      <c r="M3361" s="154" t="str">
        <f t="shared" si="166"/>
        <v>High_Medium_High_Upgraded_Particulate Matter Formation Potential (PMFP) - kg PM2.5 eq_Influent Pump Station; wastewater treatment unit; at updated plant - US_Base_With Amendment_Windrow</v>
      </c>
    </row>
    <row r="3362" spans="1:13" s="120" customFormat="1" x14ac:dyDescent="0.25">
      <c r="A3362" s="119"/>
      <c r="B3362" s="138" t="str">
        <f t="shared" si="164"/>
        <v>Windrow</v>
      </c>
      <c r="C3362" s="138" t="str">
        <f t="shared" si="165"/>
        <v>Base_With Amendment</v>
      </c>
      <c r="D3362" s="118" t="s">
        <v>137</v>
      </c>
      <c r="E3362" s="118" t="s">
        <v>181</v>
      </c>
      <c r="F3362" s="118" t="s">
        <v>46</v>
      </c>
      <c r="G3362" s="153"/>
      <c r="H3362" s="155">
        <v>8.0299999999999996E-2</v>
      </c>
      <c r="I3362" s="154" t="s">
        <v>128</v>
      </c>
      <c r="J3362" s="204">
        <v>1.7000000000000001E-4</v>
      </c>
      <c r="K3362" s="154" t="s">
        <v>145</v>
      </c>
      <c r="L3362" s="154" t="str">
        <f>IF(OpenLCAbasic!K3362="CTUh", "Fill in Manually",IF(OR(K3362="Unit", K3362=""), "", INDEX(LookUps!$E$5:$E$12, MATCH(OpenLCAbasic!K3362,LookUps!$D$5:$D$12,0))))</f>
        <v>Particulate Matter Formation Potential (PMFP) - kg PM2.5 eq</v>
      </c>
      <c r="M3362" s="154" t="str">
        <f t="shared" si="166"/>
        <v>High_Medium_High_Upgraded_Particulate Matter Formation Potential (PMFP) - kg PM2.5 eq_Wastewater collection; operation and infrastructure; m3 wastewater_Base_With Amendment_Windrow</v>
      </c>
    </row>
    <row r="3363" spans="1:13" s="120" customFormat="1" x14ac:dyDescent="0.25">
      <c r="A3363" s="119"/>
      <c r="B3363" s="138" t="str">
        <f t="shared" si="164"/>
        <v>Windrow</v>
      </c>
      <c r="C3363" s="138" t="str">
        <f t="shared" si="165"/>
        <v>Base_With Amendment</v>
      </c>
      <c r="D3363" s="118" t="s">
        <v>137</v>
      </c>
      <c r="E3363" s="118" t="s">
        <v>181</v>
      </c>
      <c r="F3363" s="118" t="s">
        <v>46</v>
      </c>
      <c r="G3363" s="153"/>
      <c r="H3363" s="155">
        <v>6.6600000000000006E-2</v>
      </c>
      <c r="I3363" s="154" t="s">
        <v>60</v>
      </c>
      <c r="J3363" s="204">
        <v>1.3999999999999999E-4</v>
      </c>
      <c r="K3363" s="154" t="s">
        <v>145</v>
      </c>
      <c r="L3363" s="154" t="str">
        <f>IF(OpenLCAbasic!K3363="CTUh", "Fill in Manually",IF(OR(K3363="Unit", K3363=""), "", INDEX(LookUps!$E$5:$E$12, MATCH(OpenLCAbasic!K3363,LookUps!$D$5:$D$12,0))))</f>
        <v>Particulate Matter Formation Potential (PMFP) - kg PM2.5 eq</v>
      </c>
      <c r="M3363" s="154" t="str">
        <f t="shared" si="166"/>
        <v>High_Medium_High_Upgraded_Particulate Matter Formation Potential (PMFP) - kg PM2.5 eq_Belt filter press; wastewater treatment unit; at updated plant - US_Base_With Amendment_Windrow</v>
      </c>
    </row>
    <row r="3364" spans="1:13" s="120" customFormat="1" x14ac:dyDescent="0.25">
      <c r="A3364" s="119"/>
      <c r="B3364" s="138" t="str">
        <f t="shared" si="164"/>
        <v>Windrow</v>
      </c>
      <c r="C3364" s="138" t="str">
        <f t="shared" si="165"/>
        <v>Base_With Amendment</v>
      </c>
      <c r="D3364" s="118" t="s">
        <v>137</v>
      </c>
      <c r="E3364" s="118" t="s">
        <v>181</v>
      </c>
      <c r="F3364" s="118" t="s">
        <v>46</v>
      </c>
      <c r="G3364" s="153"/>
      <c r="H3364" s="155">
        <v>4.5900000000000003E-2</v>
      </c>
      <c r="I3364" s="154" t="s">
        <v>57</v>
      </c>
      <c r="J3364" s="204">
        <v>9.5153800000000004E-5</v>
      </c>
      <c r="K3364" s="154" t="s">
        <v>145</v>
      </c>
      <c r="L3364" s="154" t="str">
        <f>IF(OpenLCAbasic!K3364="CTUh", "Fill in Manually",IF(OR(K3364="Unit", K3364=""), "", INDEX(LookUps!$E$5:$E$12, MATCH(OpenLCAbasic!K3364,LookUps!$D$5:$D$12,0))))</f>
        <v>Particulate Matter Formation Potential (PMFP) - kg PM2.5 eq</v>
      </c>
      <c r="M3364" s="154" t="str">
        <f t="shared" si="166"/>
        <v>High_Medium_High_Upgraded_Particulate Matter Formation Potential (PMFP) - kg PM2.5 eq_Gravity Belt Thickener; wastewater treatment unit; at updated plant - US_Base_With Amendment_Windrow</v>
      </c>
    </row>
    <row r="3365" spans="1:13" s="120" customFormat="1" x14ac:dyDescent="0.25">
      <c r="A3365" s="119"/>
      <c r="B3365" s="138" t="str">
        <f t="shared" si="164"/>
        <v>Windrow</v>
      </c>
      <c r="C3365" s="138" t="str">
        <f t="shared" si="165"/>
        <v>Base_With Amendment</v>
      </c>
      <c r="D3365" s="118" t="s">
        <v>137</v>
      </c>
      <c r="E3365" s="118" t="s">
        <v>181</v>
      </c>
      <c r="F3365" s="118" t="s">
        <v>46</v>
      </c>
      <c r="G3365" s="153"/>
      <c r="H3365" s="155">
        <v>3.3799999999999997E-2</v>
      </c>
      <c r="I3365" s="154" t="s">
        <v>59</v>
      </c>
      <c r="J3365" s="204">
        <v>6.9942200000000003E-5</v>
      </c>
      <c r="K3365" s="154" t="s">
        <v>145</v>
      </c>
      <c r="L3365" s="154" t="str">
        <f>IF(OpenLCAbasic!K3365="CTUh", "Fill in Manually",IF(OR(K3365="Unit", K3365=""), "", INDEX(LookUps!$E$5:$E$12, MATCH(OpenLCAbasic!K3365,LookUps!$D$5:$D$12,0))))</f>
        <v>Particulate Matter Formation Potential (PMFP) - kg PM2.5 eq</v>
      </c>
      <c r="M3365" s="154" t="str">
        <f t="shared" si="166"/>
        <v>High_Medium_High_Upgraded_Particulate Matter Formation Potential (PMFP) - kg PM2.5 eq_Blend Tank; wastewater treatment unit; at updated plant - US_Base_With Amendment_Windrow</v>
      </c>
    </row>
    <row r="3366" spans="1:13" s="120" customFormat="1" x14ac:dyDescent="0.25">
      <c r="A3366" s="119"/>
      <c r="B3366" s="138" t="str">
        <f t="shared" si="164"/>
        <v>Windrow</v>
      </c>
      <c r="C3366" s="138" t="str">
        <f t="shared" si="165"/>
        <v>Base_With Amendment</v>
      </c>
      <c r="D3366" s="118" t="s">
        <v>137</v>
      </c>
      <c r="E3366" s="118" t="s">
        <v>181</v>
      </c>
      <c r="F3366" s="118" t="s">
        <v>46</v>
      </c>
      <c r="G3366" s="153"/>
      <c r="H3366" s="155">
        <v>2.41E-2</v>
      </c>
      <c r="I3366" s="154" t="s">
        <v>48</v>
      </c>
      <c r="J3366" s="204">
        <v>4.99741E-5</v>
      </c>
      <c r="K3366" s="154" t="s">
        <v>145</v>
      </c>
      <c r="L3366" s="154" t="str">
        <f>IF(OpenLCAbasic!K3366="CTUh", "Fill in Manually",IF(OR(K3366="Unit", K3366=""), "", INDEX(LookUps!$E$5:$E$12, MATCH(OpenLCAbasic!K3366,LookUps!$D$5:$D$12,0))))</f>
        <v>Particulate Matter Formation Potential (PMFP) - kg PM2.5 eq</v>
      </c>
      <c r="M3366" s="154" t="str">
        <f t="shared" si="166"/>
        <v>High_Medium_High_Upgraded_Particulate Matter Formation Potential (PMFP) - kg PM2.5 eq_Effluent release; wastewater treatment unit; at surface water; m3 wastewater - US_Base_With Amendment_Windrow</v>
      </c>
    </row>
    <row r="3367" spans="1:13" s="120" customFormat="1" x14ac:dyDescent="0.25">
      <c r="A3367" s="119"/>
      <c r="B3367" s="138" t="str">
        <f t="shared" si="164"/>
        <v>Windrow</v>
      </c>
      <c r="C3367" s="138" t="str">
        <f t="shared" si="165"/>
        <v>Base_With Amendment</v>
      </c>
      <c r="D3367" s="118" t="s">
        <v>137</v>
      </c>
      <c r="E3367" s="118" t="s">
        <v>181</v>
      </c>
      <c r="F3367" s="118" t="s">
        <v>46</v>
      </c>
      <c r="G3367" s="153"/>
      <c r="H3367" s="155">
        <v>2.1899999999999999E-2</v>
      </c>
      <c r="I3367" s="154" t="s">
        <v>62</v>
      </c>
      <c r="J3367" s="204">
        <v>4.5337699999999998E-5</v>
      </c>
      <c r="K3367" s="154" t="s">
        <v>145</v>
      </c>
      <c r="L3367" s="154" t="str">
        <f>IF(OpenLCAbasic!K3367="CTUh", "Fill in Manually",IF(OR(K3367="Unit", K3367=""), "", INDEX(LookUps!$E$5:$E$12, MATCH(OpenLCAbasic!K3367,LookUps!$D$5:$D$12,0))))</f>
        <v>Particulate Matter Formation Potential (PMFP) - kg PM2.5 eq</v>
      </c>
      <c r="M3367" s="154" t="str">
        <f t="shared" si="166"/>
        <v>High_Medium_High_Upgraded_Particulate Matter Formation Potential (PMFP) - kg PM2.5 eq_Land application of compost; wastewater treatment unit; at updated plant - US_Base_With Amendment_Windrow</v>
      </c>
    </row>
    <row r="3368" spans="1:13" s="120" customFormat="1" x14ac:dyDescent="0.25">
      <c r="A3368" s="119"/>
      <c r="B3368" s="138" t="str">
        <f t="shared" si="164"/>
        <v>Windrow</v>
      </c>
      <c r="C3368" s="138" t="str">
        <f t="shared" si="165"/>
        <v>Base_With Amendment</v>
      </c>
      <c r="D3368" s="118" t="s">
        <v>137</v>
      </c>
      <c r="E3368" s="118" t="s">
        <v>181</v>
      </c>
      <c r="F3368" s="118" t="s">
        <v>46</v>
      </c>
      <c r="G3368" s="153"/>
      <c r="H3368" s="155">
        <v>1.67E-2</v>
      </c>
      <c r="I3368" s="154" t="s">
        <v>168</v>
      </c>
      <c r="J3368" s="204">
        <v>3.4562199999999999E-5</v>
      </c>
      <c r="K3368" s="154" t="s">
        <v>145</v>
      </c>
      <c r="L3368" s="154" t="str">
        <f>IF(OpenLCAbasic!K3368="CTUh", "Fill in Manually",IF(OR(K3368="Unit", K3368=""), "", INDEX(LookUps!$E$5:$E$12, MATCH(OpenLCAbasic!K3368,LookUps!$D$5:$D$12,0))))</f>
        <v>Particulate Matter Formation Potential (PMFP) - kg PM2.5 eq</v>
      </c>
      <c r="M3368" s="154" t="str">
        <f t="shared" si="166"/>
        <v>High_Medium_High_Upgraded_Particulate Matter Formation Potential (PMFP) - kg PM2.5 eq_ClearCove SCP; wastewater treatment unit; at updated plant - US_Base_With Amendment_Windrow</v>
      </c>
    </row>
    <row r="3369" spans="1:13" s="120" customFormat="1" x14ac:dyDescent="0.25">
      <c r="A3369" s="119"/>
      <c r="B3369" s="138" t="str">
        <f t="shared" si="164"/>
        <v>Windrow</v>
      </c>
      <c r="C3369" s="138" t="str">
        <f t="shared" si="165"/>
        <v>Base_With Amendment</v>
      </c>
      <c r="D3369" s="118" t="s">
        <v>137</v>
      </c>
      <c r="E3369" s="118" t="s">
        <v>181</v>
      </c>
      <c r="F3369" s="118" t="s">
        <v>46</v>
      </c>
      <c r="G3369" s="153"/>
      <c r="H3369" s="155">
        <v>4.3E-3</v>
      </c>
      <c r="I3369" s="154" t="s">
        <v>148</v>
      </c>
      <c r="J3369" s="204">
        <v>8.8212999999999997E-6</v>
      </c>
      <c r="K3369" s="154" t="s">
        <v>145</v>
      </c>
      <c r="L3369" s="154" t="str">
        <f>IF(OpenLCAbasic!K3369="CTUh", "Fill in Manually",IF(OR(K3369="Unit", K3369=""), "", INDEX(LookUps!$E$5:$E$12, MATCH(OpenLCAbasic!K3369,LookUps!$D$5:$D$12,0))))</f>
        <v>Particulate Matter Formation Potential (PMFP) - kg PM2.5 eq</v>
      </c>
      <c r="M3369" s="154" t="str">
        <f t="shared" si="166"/>
        <v>High_Medium_High_Upgraded_Particulate Matter Formation Potential (PMFP) - kg PM2.5 eq_Control Building; at upgraded wastewater treatment plant - US_Base_With Amendment_Windrow</v>
      </c>
    </row>
    <row r="3370" spans="1:13" s="120" customFormat="1" x14ac:dyDescent="0.25">
      <c r="A3370" s="119"/>
      <c r="B3370" s="138" t="str">
        <f t="shared" si="164"/>
        <v>Windrow</v>
      </c>
      <c r="C3370" s="138" t="str">
        <f t="shared" si="165"/>
        <v>Base_With Amendment</v>
      </c>
      <c r="D3370" s="118" t="s">
        <v>137</v>
      </c>
      <c r="E3370" s="118" t="s">
        <v>181</v>
      </c>
      <c r="F3370" s="118" t="s">
        <v>46</v>
      </c>
      <c r="G3370" s="153"/>
      <c r="H3370" s="155">
        <v>-3.7789999999999999</v>
      </c>
      <c r="I3370" s="154" t="s">
        <v>149</v>
      </c>
      <c r="J3370" s="204">
        <v>-7.8300000000000002E-3</v>
      </c>
      <c r="K3370" s="154" t="s">
        <v>145</v>
      </c>
      <c r="L3370" s="154" t="str">
        <f>IF(OpenLCAbasic!K3370="CTUh", "Fill in Manually",IF(OR(K3370="Unit", K3370=""), "", INDEX(LookUps!$E$5:$E$12, MATCH(OpenLCAbasic!K3370,LookUps!$D$5:$D$12,0))))</f>
        <v>Particulate Matter Formation Potential (PMFP) - kg PM2.5 eq</v>
      </c>
      <c r="M3370" s="154" t="str">
        <f t="shared" si="166"/>
        <v>High_Medium_High_Upgraded_Particulate Matter Formation Potential (PMFP) - kg PM2.5 eq_Anaerobic Digestion; wastewater treatment unit; at updated plant - US_Base_With Amendment_Windrow</v>
      </c>
    </row>
    <row r="3371" spans="1:13" s="120" customFormat="1" x14ac:dyDescent="0.25">
      <c r="A3371" s="119"/>
      <c r="B3371" s="138" t="str">
        <f t="shared" si="164"/>
        <v>Windrow</v>
      </c>
      <c r="C3371" s="138" t="str">
        <f t="shared" si="165"/>
        <v>Base_With Amendment</v>
      </c>
      <c r="D3371" s="118" t="s">
        <v>137</v>
      </c>
      <c r="E3371" s="118" t="s">
        <v>181</v>
      </c>
      <c r="F3371" s="118" t="s">
        <v>46</v>
      </c>
      <c r="G3371" s="153" t="s">
        <v>51</v>
      </c>
      <c r="H3371" s="154"/>
      <c r="I3371" s="154" t="s">
        <v>47</v>
      </c>
      <c r="J3371" s="154" t="s">
        <v>52</v>
      </c>
      <c r="K3371" s="154" t="s">
        <v>27</v>
      </c>
      <c r="L3371" s="154" t="str">
        <f>IF(OpenLCAbasic!K3371="CTUh", "Fill in Manually",IF(OR(K3371="Unit", K3371=""), "", INDEX(LookUps!$E$5:$E$12, MATCH(OpenLCAbasic!K3371,LookUps!$D$5:$D$12,0))))</f>
        <v/>
      </c>
      <c r="M3371" s="154" t="str">
        <f t="shared" si="166"/>
        <v>High_Medium_High_Upgraded__Process_Base_With Amendment_Windrow</v>
      </c>
    </row>
    <row r="3372" spans="1:13" s="120" customFormat="1" x14ac:dyDescent="0.25">
      <c r="A3372" s="119"/>
      <c r="B3372" s="138" t="str">
        <f t="shared" si="164"/>
        <v>Windrow</v>
      </c>
      <c r="C3372" s="138" t="str">
        <f t="shared" si="165"/>
        <v>Base_With Amendment</v>
      </c>
      <c r="D3372" s="118" t="s">
        <v>137</v>
      </c>
      <c r="E3372" s="118" t="s">
        <v>181</v>
      </c>
      <c r="F3372" s="118" t="s">
        <v>46</v>
      </c>
      <c r="G3372" s="153"/>
      <c r="H3372" s="155">
        <v>0.91700000000000004</v>
      </c>
      <c r="I3372" s="154" t="s">
        <v>55</v>
      </c>
      <c r="J3372" s="203">
        <v>0.16577</v>
      </c>
      <c r="K3372" s="154" t="s">
        <v>25</v>
      </c>
      <c r="L3372" s="154" t="str">
        <f>IF(OpenLCAbasic!K3372="CTUh", "Fill in Manually",IF(OR(K3372="Unit", K3372=""), "", INDEX(LookUps!$E$5:$E$12, MATCH(OpenLCAbasic!K3372,LookUps!$D$5:$D$12,0))))</f>
        <v>Smog Formation Potential (SFP) - kg O3 eq</v>
      </c>
      <c r="M3372" s="154" t="str">
        <f t="shared" si="166"/>
        <v>High_Medium_High_Upgraded_Smog Formation Potential (SFP) - kg O3 eq_Aeration Tanks; wastewater treatment unit; at updated plant - US_Base_With Amendment_Windrow</v>
      </c>
    </row>
    <row r="3373" spans="1:13" s="120" customFormat="1" x14ac:dyDescent="0.25">
      <c r="A3373" s="119"/>
      <c r="B3373" s="138" t="str">
        <f t="shared" si="164"/>
        <v>Windrow</v>
      </c>
      <c r="C3373" s="138" t="str">
        <f t="shared" si="165"/>
        <v>Base_With Amendment</v>
      </c>
      <c r="D3373" s="118" t="s">
        <v>137</v>
      </c>
      <c r="E3373" s="118" t="s">
        <v>181</v>
      </c>
      <c r="F3373" s="118" t="s">
        <v>46</v>
      </c>
      <c r="G3373" s="153"/>
      <c r="H3373" s="155">
        <v>0.26590000000000003</v>
      </c>
      <c r="I3373" s="154" t="s">
        <v>54</v>
      </c>
      <c r="J3373" s="203">
        <v>4.8070000000000002E-2</v>
      </c>
      <c r="K3373" s="154" t="s">
        <v>25</v>
      </c>
      <c r="L3373" s="154" t="str">
        <f>IF(OpenLCAbasic!K3373="CTUh", "Fill in Manually",IF(OR(K3373="Unit", K3373=""), "", INDEX(LookUps!$E$5:$E$12, MATCH(OpenLCAbasic!K3373,LookUps!$D$5:$D$12,0))))</f>
        <v>Smog Formation Potential (SFP) - kg O3 eq</v>
      </c>
      <c r="M3373" s="154" t="str">
        <f t="shared" si="166"/>
        <v>High_Medium_High_Upgraded_Smog Formation Potential (SFP) - kg O3 eq_Clear Cove Primary Clarification; wastewater treatment unit; at updated plant - US_Base_With Amendment_Windrow</v>
      </c>
    </row>
    <row r="3374" spans="1:13" s="120" customFormat="1" x14ac:dyDescent="0.25">
      <c r="A3374" s="119"/>
      <c r="B3374" s="138" t="str">
        <f t="shared" si="164"/>
        <v>Windrow</v>
      </c>
      <c r="C3374" s="138" t="str">
        <f t="shared" si="165"/>
        <v>Base_With Amendment</v>
      </c>
      <c r="D3374" s="118" t="s">
        <v>137</v>
      </c>
      <c r="E3374" s="118" t="s">
        <v>181</v>
      </c>
      <c r="F3374" s="118" t="s">
        <v>46</v>
      </c>
      <c r="G3374" s="153"/>
      <c r="H3374" s="155">
        <v>0.2319</v>
      </c>
      <c r="I3374" s="154" t="s">
        <v>58</v>
      </c>
      <c r="J3374" s="203">
        <v>4.1919999999999999E-2</v>
      </c>
      <c r="K3374" s="154" t="s">
        <v>25</v>
      </c>
      <c r="L3374" s="154" t="str">
        <f>IF(OpenLCAbasic!K3374="CTUh", "Fill in Manually",IF(OR(K3374="Unit", K3374=""), "", INDEX(LookUps!$E$5:$E$12, MATCH(OpenLCAbasic!K3374,LookUps!$D$5:$D$12,0))))</f>
        <v>Smog Formation Potential (SFP) - kg O3 eq</v>
      </c>
      <c r="M3374" s="154" t="str">
        <f t="shared" si="166"/>
        <v>High_Medium_High_Upgraded_Smog Formation Potential (SFP) - kg O3 eq_Pre-Anoxic &amp; Swing tank; wastewater treatment unit; at updated plant - US_Base_With Amendment_Windrow</v>
      </c>
    </row>
    <row r="3375" spans="1:13" s="120" customFormat="1" x14ac:dyDescent="0.25">
      <c r="A3375" s="119"/>
      <c r="B3375" s="138" t="str">
        <f t="shared" si="164"/>
        <v>Windrow</v>
      </c>
      <c r="C3375" s="138" t="str">
        <f t="shared" si="165"/>
        <v>Base_With Amendment</v>
      </c>
      <c r="D3375" s="118" t="s">
        <v>137</v>
      </c>
      <c r="E3375" s="118" t="s">
        <v>181</v>
      </c>
      <c r="F3375" s="118" t="s">
        <v>46</v>
      </c>
      <c r="G3375" s="153"/>
      <c r="H3375" s="155">
        <v>0.1832</v>
      </c>
      <c r="I3375" s="154" t="s">
        <v>53</v>
      </c>
      <c r="J3375" s="203">
        <v>3.313E-2</v>
      </c>
      <c r="K3375" s="154" t="s">
        <v>25</v>
      </c>
      <c r="L3375" s="154" t="str">
        <f>IF(OpenLCAbasic!K3375="CTUh", "Fill in Manually",IF(OR(K3375="Unit", K3375=""), "", INDEX(LookUps!$E$5:$E$12, MATCH(OpenLCAbasic!K3375,LookUps!$D$5:$D$12,0))))</f>
        <v>Smog Formation Potential (SFP) - kg O3 eq</v>
      </c>
      <c r="M3375" s="154" t="str">
        <f t="shared" si="166"/>
        <v>High_Medium_High_Upgraded_Smog Formation Potential (SFP) - kg O3 eq_Wet Well and Sump Station; wastewater treatment unit; at updated plant - US_Base_With Amendment_Windrow</v>
      </c>
    </row>
    <row r="3376" spans="1:13" s="120" customFormat="1" x14ac:dyDescent="0.25">
      <c r="A3376" s="119"/>
      <c r="B3376" s="138" t="str">
        <f t="shared" si="164"/>
        <v>Windrow</v>
      </c>
      <c r="C3376" s="138" t="str">
        <f t="shared" si="165"/>
        <v>Base_With Amendment</v>
      </c>
      <c r="D3376" s="118" t="s">
        <v>137</v>
      </c>
      <c r="E3376" s="118" t="s">
        <v>181</v>
      </c>
      <c r="F3376" s="118" t="s">
        <v>46</v>
      </c>
      <c r="G3376" s="153"/>
      <c r="H3376" s="155">
        <v>0.1699</v>
      </c>
      <c r="I3376" s="154" t="s">
        <v>167</v>
      </c>
      <c r="J3376" s="203">
        <v>3.0710000000000001E-2</v>
      </c>
      <c r="K3376" s="154" t="s">
        <v>25</v>
      </c>
      <c r="L3376" s="154" t="str">
        <f>IF(OpenLCAbasic!K3376="CTUh", "Fill in Manually",IF(OR(K3376="Unit", K3376=""), "", INDEX(LookUps!$E$5:$E$12, MATCH(OpenLCAbasic!K3376,LookUps!$D$5:$D$12,0))))</f>
        <v>Smog Formation Potential (SFP) - kg O3 eq</v>
      </c>
      <c r="M3376" s="154" t="str">
        <f t="shared" si="166"/>
        <v>High_Medium_High_Upgraded_Smog Formation Potential (SFP) - kg O3 eq_Waste Receiving and Holding; wastewater treatment unit; at updated plant - US_Base_With Amendment_Windrow</v>
      </c>
    </row>
    <row r="3377" spans="1:13" s="120" customFormat="1" x14ac:dyDescent="0.25">
      <c r="A3377" s="119"/>
      <c r="B3377" s="138" t="str">
        <f t="shared" si="164"/>
        <v>Windrow</v>
      </c>
      <c r="C3377" s="138" t="str">
        <f t="shared" si="165"/>
        <v>Base_With Amendment</v>
      </c>
      <c r="D3377" s="118" t="s">
        <v>137</v>
      </c>
      <c r="E3377" s="118" t="s">
        <v>181</v>
      </c>
      <c r="F3377" s="118" t="s">
        <v>46</v>
      </c>
      <c r="G3377" s="153"/>
      <c r="H3377" s="155">
        <v>0.10730000000000001</v>
      </c>
      <c r="I3377" s="154" t="s">
        <v>147</v>
      </c>
      <c r="J3377" s="203">
        <v>1.9400000000000001E-2</v>
      </c>
      <c r="K3377" s="154" t="s">
        <v>25</v>
      </c>
      <c r="L3377" s="154" t="str">
        <f>IF(OpenLCAbasic!K3377="CTUh", "Fill in Manually",IF(OR(K3377="Unit", K3377=""), "", INDEX(LookUps!$E$5:$E$12, MATCH(OpenLCAbasic!K3377,LookUps!$D$5:$D$12,0))))</f>
        <v>Smog Formation Potential (SFP) - kg O3 eq</v>
      </c>
      <c r="M3377" s="154" t="str">
        <f t="shared" si="166"/>
        <v>High_Medium_High_Upgraded_Smog Formation Potential (SFP) - kg O3 eq_Influent Pump Station; wastewater treatment unit; at updated plant - US_Base_With Amendment_Windrow</v>
      </c>
    </row>
    <row r="3378" spans="1:13" s="120" customFormat="1" x14ac:dyDescent="0.25">
      <c r="A3378" s="119"/>
      <c r="B3378" s="138" t="str">
        <f t="shared" si="164"/>
        <v>Windrow</v>
      </c>
      <c r="C3378" s="138" t="str">
        <f t="shared" si="165"/>
        <v>Base_With Amendment</v>
      </c>
      <c r="D3378" s="118" t="s">
        <v>137</v>
      </c>
      <c r="E3378" s="118" t="s">
        <v>181</v>
      </c>
      <c r="F3378" s="118" t="s">
        <v>46</v>
      </c>
      <c r="G3378" s="153"/>
      <c r="H3378" s="155">
        <v>6.59E-2</v>
      </c>
      <c r="I3378" s="154" t="s">
        <v>128</v>
      </c>
      <c r="J3378" s="204">
        <v>1.192E-2</v>
      </c>
      <c r="K3378" s="154" t="s">
        <v>25</v>
      </c>
      <c r="L3378" s="154" t="str">
        <f>IF(OpenLCAbasic!K3378="CTUh", "Fill in Manually",IF(OR(K3378="Unit", K3378=""), "", INDEX(LookUps!$E$5:$E$12, MATCH(OpenLCAbasic!K3378,LookUps!$D$5:$D$12,0))))</f>
        <v>Smog Formation Potential (SFP) - kg O3 eq</v>
      </c>
      <c r="M3378" s="154" t="str">
        <f t="shared" si="166"/>
        <v>High_Medium_High_Upgraded_Smog Formation Potential (SFP) - kg O3 eq_Wastewater collection; operation and infrastructure; m3 wastewater_Base_With Amendment_Windrow</v>
      </c>
    </row>
    <row r="3379" spans="1:13" s="120" customFormat="1" x14ac:dyDescent="0.25">
      <c r="A3379" s="119"/>
      <c r="B3379" s="138" t="str">
        <f t="shared" si="164"/>
        <v>Windrow</v>
      </c>
      <c r="C3379" s="138" t="str">
        <f t="shared" si="165"/>
        <v>Base_With Amendment</v>
      </c>
      <c r="D3379" s="118" t="s">
        <v>137</v>
      </c>
      <c r="E3379" s="118" t="s">
        <v>181</v>
      </c>
      <c r="F3379" s="118" t="s">
        <v>46</v>
      </c>
      <c r="G3379" s="153"/>
      <c r="H3379" s="155">
        <v>5.3699999999999998E-2</v>
      </c>
      <c r="I3379" s="154" t="s">
        <v>60</v>
      </c>
      <c r="J3379" s="204">
        <v>9.7099999999999999E-3</v>
      </c>
      <c r="K3379" s="154" t="s">
        <v>25</v>
      </c>
      <c r="L3379" s="154" t="str">
        <f>IF(OpenLCAbasic!K3379="CTUh", "Fill in Manually",IF(OR(K3379="Unit", K3379=""), "", INDEX(LookUps!$E$5:$E$12, MATCH(OpenLCAbasic!K3379,LookUps!$D$5:$D$12,0))))</f>
        <v>Smog Formation Potential (SFP) - kg O3 eq</v>
      </c>
      <c r="M3379" s="154" t="str">
        <f t="shared" si="166"/>
        <v>High_Medium_High_Upgraded_Smog Formation Potential (SFP) - kg O3 eq_Belt filter press; wastewater treatment unit; at updated plant - US_Base_With Amendment_Windrow</v>
      </c>
    </row>
    <row r="3380" spans="1:13" s="120" customFormat="1" x14ac:dyDescent="0.25">
      <c r="A3380" s="119"/>
      <c r="B3380" s="138" t="str">
        <f t="shared" si="164"/>
        <v>Windrow</v>
      </c>
      <c r="C3380" s="138" t="str">
        <f t="shared" si="165"/>
        <v>Base_With Amendment</v>
      </c>
      <c r="D3380" s="118" t="s">
        <v>137</v>
      </c>
      <c r="E3380" s="118" t="s">
        <v>181</v>
      </c>
      <c r="F3380" s="118" t="s">
        <v>46</v>
      </c>
      <c r="G3380" s="153"/>
      <c r="H3380" s="155">
        <v>3.6799999999999999E-2</v>
      </c>
      <c r="I3380" s="154" t="s">
        <v>57</v>
      </c>
      <c r="J3380" s="204">
        <v>6.6499999999999997E-3</v>
      </c>
      <c r="K3380" s="154" t="s">
        <v>25</v>
      </c>
      <c r="L3380" s="154" t="str">
        <f>IF(OpenLCAbasic!K3380="CTUh", "Fill in Manually",IF(OR(K3380="Unit", K3380=""), "", INDEX(LookUps!$E$5:$E$12, MATCH(OpenLCAbasic!K3380,LookUps!$D$5:$D$12,0))))</f>
        <v>Smog Formation Potential (SFP) - kg O3 eq</v>
      </c>
      <c r="M3380" s="154" t="str">
        <f t="shared" si="166"/>
        <v>High_Medium_High_Upgraded_Smog Formation Potential (SFP) - kg O3 eq_Gravity Belt Thickener; wastewater treatment unit; at updated plant - US_Base_With Amendment_Windrow</v>
      </c>
    </row>
    <row r="3381" spans="1:13" s="120" customFormat="1" x14ac:dyDescent="0.25">
      <c r="A3381" s="119"/>
      <c r="B3381" s="138" t="str">
        <f t="shared" si="164"/>
        <v>Windrow</v>
      </c>
      <c r="C3381" s="138" t="str">
        <f t="shared" si="165"/>
        <v>Base_With Amendment</v>
      </c>
      <c r="D3381" s="118" t="s">
        <v>137</v>
      </c>
      <c r="E3381" s="118" t="s">
        <v>181</v>
      </c>
      <c r="F3381" s="118" t="s">
        <v>46</v>
      </c>
      <c r="G3381" s="153"/>
      <c r="H3381" s="155">
        <v>2.75E-2</v>
      </c>
      <c r="I3381" s="154" t="s">
        <v>59</v>
      </c>
      <c r="J3381" s="204">
        <v>4.9699999999999996E-3</v>
      </c>
      <c r="K3381" s="154" t="s">
        <v>25</v>
      </c>
      <c r="L3381" s="154" t="str">
        <f>IF(OpenLCAbasic!K3381="CTUh", "Fill in Manually",IF(OR(K3381="Unit", K3381=""), "", INDEX(LookUps!$E$5:$E$12, MATCH(OpenLCAbasic!K3381,LookUps!$D$5:$D$12,0))))</f>
        <v>Smog Formation Potential (SFP) - kg O3 eq</v>
      </c>
      <c r="M3381" s="154" t="str">
        <f t="shared" si="166"/>
        <v>High_Medium_High_Upgraded_Smog Formation Potential (SFP) - kg O3 eq_Blend Tank; wastewater treatment unit; at updated plant - US_Base_With Amendment_Windrow</v>
      </c>
    </row>
    <row r="3382" spans="1:13" s="120" customFormat="1" x14ac:dyDescent="0.25">
      <c r="A3382" s="119"/>
      <c r="B3382" s="138" t="str">
        <f t="shared" si="164"/>
        <v>Windrow</v>
      </c>
      <c r="C3382" s="138" t="str">
        <f t="shared" si="165"/>
        <v>Base_With Amendment</v>
      </c>
      <c r="D3382" s="118" t="s">
        <v>137</v>
      </c>
      <c r="E3382" s="118" t="s">
        <v>181</v>
      </c>
      <c r="F3382" s="118" t="s">
        <v>46</v>
      </c>
      <c r="G3382" s="153"/>
      <c r="H3382" s="155">
        <v>1.8700000000000001E-2</v>
      </c>
      <c r="I3382" s="154" t="s">
        <v>48</v>
      </c>
      <c r="J3382" s="204">
        <v>3.3899999999999998E-3</v>
      </c>
      <c r="K3382" s="154" t="s">
        <v>25</v>
      </c>
      <c r="L3382" s="154" t="str">
        <f>IF(OpenLCAbasic!K3382="CTUh", "Fill in Manually",IF(OR(K3382="Unit", K3382=""), "", INDEX(LookUps!$E$5:$E$12, MATCH(OpenLCAbasic!K3382,LookUps!$D$5:$D$12,0))))</f>
        <v>Smog Formation Potential (SFP) - kg O3 eq</v>
      </c>
      <c r="M3382" s="154" t="str">
        <f t="shared" si="166"/>
        <v>High_Medium_High_Upgraded_Smog Formation Potential (SFP) - kg O3 eq_Effluent release; wastewater treatment unit; at surface water; m3 wastewater - US_Base_With Amendment_Windrow</v>
      </c>
    </row>
    <row r="3383" spans="1:13" s="120" customFormat="1" x14ac:dyDescent="0.25">
      <c r="A3383" s="119"/>
      <c r="B3383" s="138" t="str">
        <f t="shared" si="164"/>
        <v>Windrow</v>
      </c>
      <c r="C3383" s="138" t="str">
        <f t="shared" si="165"/>
        <v>Base_With Amendment</v>
      </c>
      <c r="D3383" s="118" t="s">
        <v>137</v>
      </c>
      <c r="E3383" s="118" t="s">
        <v>181</v>
      </c>
      <c r="F3383" s="118" t="s">
        <v>46</v>
      </c>
      <c r="G3383" s="153"/>
      <c r="H3383" s="155">
        <v>1.3599999999999999E-2</v>
      </c>
      <c r="I3383" s="154" t="s">
        <v>168</v>
      </c>
      <c r="J3383" s="204">
        <v>2.4599999999999999E-3</v>
      </c>
      <c r="K3383" s="154" t="s">
        <v>25</v>
      </c>
      <c r="L3383" s="154" t="str">
        <f>IF(OpenLCAbasic!K3383="CTUh", "Fill in Manually",IF(OR(K3383="Unit", K3383=""), "", INDEX(LookUps!$E$5:$E$12, MATCH(OpenLCAbasic!K3383,LookUps!$D$5:$D$12,0))))</f>
        <v>Smog Formation Potential (SFP) - kg O3 eq</v>
      </c>
      <c r="M3383" s="154" t="str">
        <f t="shared" si="166"/>
        <v>High_Medium_High_Upgraded_Smog Formation Potential (SFP) - kg O3 eq_ClearCove SCP; wastewater treatment unit; at updated plant - US_Base_With Amendment_Windrow</v>
      </c>
    </row>
    <row r="3384" spans="1:13" s="120" customFormat="1" x14ac:dyDescent="0.25">
      <c r="A3384" s="119"/>
      <c r="B3384" s="138" t="str">
        <f t="shared" si="164"/>
        <v>Windrow</v>
      </c>
      <c r="C3384" s="138" t="str">
        <f t="shared" si="165"/>
        <v>Base_With Amendment</v>
      </c>
      <c r="D3384" s="118" t="s">
        <v>137</v>
      </c>
      <c r="E3384" s="118" t="s">
        <v>181</v>
      </c>
      <c r="F3384" s="118" t="s">
        <v>46</v>
      </c>
      <c r="G3384" s="153"/>
      <c r="H3384" s="155">
        <v>1.03E-2</v>
      </c>
      <c r="I3384" s="154" t="s">
        <v>271</v>
      </c>
      <c r="J3384" s="204">
        <v>1.8699999999999999E-3</v>
      </c>
      <c r="K3384" s="154" t="s">
        <v>25</v>
      </c>
      <c r="L3384" s="154" t="str">
        <f>IF(OpenLCAbasic!K3384="CTUh", "Fill in Manually",IF(OR(K3384="Unit", K3384=""), "", INDEX(LookUps!$E$5:$E$12, MATCH(OpenLCAbasic!K3384,LookUps!$D$5:$D$12,0))))</f>
        <v>Smog Formation Potential (SFP) - kg O3 eq</v>
      </c>
      <c r="M3384" s="154" t="str">
        <f t="shared" si="166"/>
        <v>High_Medium_High_Upgraded_Smog Formation Potential (SFP) - kg O3 eq_Biosolids composting; windrow composting; wastewater treatment unit; at updated plant - US_Base_With Amendment_Windrow</v>
      </c>
    </row>
    <row r="3385" spans="1:13" s="120" customFormat="1" x14ac:dyDescent="0.25">
      <c r="A3385" s="119"/>
      <c r="B3385" s="138" t="str">
        <f t="shared" si="164"/>
        <v>Windrow</v>
      </c>
      <c r="C3385" s="138" t="str">
        <f t="shared" si="165"/>
        <v>Base_With Amendment</v>
      </c>
      <c r="D3385" s="118" t="s">
        <v>137</v>
      </c>
      <c r="E3385" s="118" t="s">
        <v>181</v>
      </c>
      <c r="F3385" s="118" t="s">
        <v>46</v>
      </c>
      <c r="G3385" s="153"/>
      <c r="H3385" s="155">
        <v>3.0000000000000001E-3</v>
      </c>
      <c r="I3385" s="154" t="s">
        <v>148</v>
      </c>
      <c r="J3385" s="204">
        <v>5.4000000000000001E-4</v>
      </c>
      <c r="K3385" s="154" t="s">
        <v>25</v>
      </c>
      <c r="L3385" s="154" t="str">
        <f>IF(OpenLCAbasic!K3385="CTUh", "Fill in Manually",IF(OR(K3385="Unit", K3385=""), "", INDEX(LookUps!$E$5:$E$12, MATCH(OpenLCAbasic!K3385,LookUps!$D$5:$D$12,0))))</f>
        <v>Smog Formation Potential (SFP) - kg O3 eq</v>
      </c>
      <c r="M3385" s="154" t="str">
        <f t="shared" si="166"/>
        <v>High_Medium_High_Upgraded_Smog Formation Potential (SFP) - kg O3 eq_Control Building; at upgraded wastewater treatment plant - US_Base_With Amendment_Windrow</v>
      </c>
    </row>
    <row r="3386" spans="1:13" s="120" customFormat="1" x14ac:dyDescent="0.25">
      <c r="A3386" s="119"/>
      <c r="B3386" s="138" t="str">
        <f t="shared" si="164"/>
        <v>Windrow</v>
      </c>
      <c r="C3386" s="138" t="str">
        <f t="shared" si="165"/>
        <v>Base_With Amendment</v>
      </c>
      <c r="D3386" s="118" t="s">
        <v>137</v>
      </c>
      <c r="E3386" s="118" t="s">
        <v>181</v>
      </c>
      <c r="F3386" s="118" t="s">
        <v>46</v>
      </c>
      <c r="G3386" s="153"/>
      <c r="H3386" s="155">
        <v>-1.9699999999999999E-2</v>
      </c>
      <c r="I3386" s="154" t="s">
        <v>62</v>
      </c>
      <c r="J3386" s="204">
        <v>-3.5599999999999998E-3</v>
      </c>
      <c r="K3386" s="154" t="s">
        <v>25</v>
      </c>
      <c r="L3386" s="154" t="str">
        <f>IF(OpenLCAbasic!K3386="CTUh", "Fill in Manually",IF(OR(K3386="Unit", K3386=""), "", INDEX(LookUps!$E$5:$E$12, MATCH(OpenLCAbasic!K3386,LookUps!$D$5:$D$12,0))))</f>
        <v>Smog Formation Potential (SFP) - kg O3 eq</v>
      </c>
      <c r="M3386" s="154" t="str">
        <f t="shared" si="166"/>
        <v>High_Medium_High_Upgraded_Smog Formation Potential (SFP) - kg O3 eq_Land application of compost; wastewater treatment unit; at updated plant - US_Base_With Amendment_Windrow</v>
      </c>
    </row>
    <row r="3387" spans="1:13" s="120" customFormat="1" x14ac:dyDescent="0.25">
      <c r="A3387" s="119"/>
      <c r="B3387" s="138" t="str">
        <f t="shared" si="164"/>
        <v>Windrow</v>
      </c>
      <c r="C3387" s="138" t="str">
        <f t="shared" si="165"/>
        <v>Base_With Amendment</v>
      </c>
      <c r="D3387" s="118" t="s">
        <v>137</v>
      </c>
      <c r="E3387" s="118" t="s">
        <v>181</v>
      </c>
      <c r="F3387" s="118" t="s">
        <v>46</v>
      </c>
      <c r="G3387" s="153"/>
      <c r="H3387" s="155">
        <v>-3.0851000000000002</v>
      </c>
      <c r="I3387" s="154" t="s">
        <v>149</v>
      </c>
      <c r="J3387" s="203">
        <v>-0.55771000000000004</v>
      </c>
      <c r="K3387" s="154" t="s">
        <v>25</v>
      </c>
      <c r="L3387" s="154" t="str">
        <f>IF(OpenLCAbasic!K3387="CTUh", "Fill in Manually",IF(OR(K3387="Unit", K3387=""), "", INDEX(LookUps!$E$5:$E$12, MATCH(OpenLCAbasic!K3387,LookUps!$D$5:$D$12,0))))</f>
        <v>Smog Formation Potential (SFP) - kg O3 eq</v>
      </c>
      <c r="M3387" s="154" t="str">
        <f t="shared" si="166"/>
        <v>High_Medium_High_Upgraded_Smog Formation Potential (SFP) - kg O3 eq_Anaerobic Digestion; wastewater treatment unit; at updated plant - US_Base_With Amendment_Windrow</v>
      </c>
    </row>
    <row r="3388" spans="1:13" s="120" customFormat="1" x14ac:dyDescent="0.25">
      <c r="A3388" s="119"/>
      <c r="B3388" s="138" t="str">
        <f t="shared" si="164"/>
        <v>Windrow</v>
      </c>
      <c r="C3388" s="138" t="str">
        <f t="shared" si="165"/>
        <v>Base_With Amendment</v>
      </c>
      <c r="D3388" s="118" t="s">
        <v>137</v>
      </c>
      <c r="E3388" s="118" t="s">
        <v>181</v>
      </c>
      <c r="F3388" s="118" t="s">
        <v>46</v>
      </c>
      <c r="G3388" s="153" t="s">
        <v>51</v>
      </c>
      <c r="H3388" s="154"/>
      <c r="I3388" s="154" t="s">
        <v>47</v>
      </c>
      <c r="J3388" s="154" t="s">
        <v>52</v>
      </c>
      <c r="K3388" s="154" t="s">
        <v>27</v>
      </c>
      <c r="L3388" s="154" t="str">
        <f>IF(OpenLCAbasic!K3388="CTUh", "Fill in Manually",IF(OR(K3388="Unit", K3388=""), "", INDEX(LookUps!$E$5:$E$12, MATCH(OpenLCAbasic!K3388,LookUps!$D$5:$D$12,0))))</f>
        <v/>
      </c>
      <c r="M3388" s="154" t="str">
        <f t="shared" si="166"/>
        <v>High_Medium_High_Upgraded__Process_Base_With Amendment_Windrow</v>
      </c>
    </row>
    <row r="3389" spans="1:13" s="120" customFormat="1" x14ac:dyDescent="0.25">
      <c r="A3389" s="119"/>
      <c r="B3389" s="138" t="str">
        <f t="shared" si="164"/>
        <v>Windrow</v>
      </c>
      <c r="C3389" s="138" t="str">
        <f t="shared" si="165"/>
        <v>Base_With Amendment</v>
      </c>
      <c r="D3389" s="118" t="s">
        <v>137</v>
      </c>
      <c r="E3389" s="118" t="s">
        <v>181</v>
      </c>
      <c r="F3389" s="118" t="s">
        <v>46</v>
      </c>
      <c r="G3389" s="153"/>
      <c r="H3389" s="155">
        <v>0.5474</v>
      </c>
      <c r="I3389" s="154" t="s">
        <v>167</v>
      </c>
      <c r="J3389" s="204">
        <v>2.7999999999999998E-4</v>
      </c>
      <c r="K3389" s="154" t="s">
        <v>26</v>
      </c>
      <c r="L3389" s="154" t="str">
        <f>IF(OpenLCAbasic!K3389="CTUh", "Fill in Manually",IF(OR(K3389="Unit", K3389=""), "", INDEX(LookUps!$E$5:$E$12, MATCH(OpenLCAbasic!K3389,LookUps!$D$5:$D$12,0))))</f>
        <v>Water Use (WU) - m3 H2O</v>
      </c>
      <c r="M3389" s="154" t="str">
        <f t="shared" si="166"/>
        <v>High_Medium_High_Upgraded_Water Use (WU) - m3 H2O_Waste Receiving and Holding; wastewater treatment unit; at updated plant - US_Base_With Amendment_Windrow</v>
      </c>
    </row>
    <row r="3390" spans="1:13" s="120" customFormat="1" x14ac:dyDescent="0.25">
      <c r="A3390" s="119"/>
      <c r="B3390" s="138" t="str">
        <f t="shared" si="164"/>
        <v>Windrow</v>
      </c>
      <c r="C3390" s="138" t="str">
        <f t="shared" si="165"/>
        <v>Base_With Amendment</v>
      </c>
      <c r="D3390" s="118" t="s">
        <v>137</v>
      </c>
      <c r="E3390" s="118" t="s">
        <v>181</v>
      </c>
      <c r="F3390" s="118" t="s">
        <v>46</v>
      </c>
      <c r="G3390" s="153"/>
      <c r="H3390" s="155">
        <v>0.35730000000000001</v>
      </c>
      <c r="I3390" s="154" t="s">
        <v>147</v>
      </c>
      <c r="J3390" s="204">
        <v>1.8000000000000001E-4</v>
      </c>
      <c r="K3390" s="154" t="s">
        <v>26</v>
      </c>
      <c r="L3390" s="154" t="str">
        <f>IF(OpenLCAbasic!K3390="CTUh", "Fill in Manually",IF(OR(K3390="Unit", K3390=""), "", INDEX(LookUps!$E$5:$E$12, MATCH(OpenLCAbasic!K3390,LookUps!$D$5:$D$12,0))))</f>
        <v>Water Use (WU) - m3 H2O</v>
      </c>
      <c r="M3390" s="154" t="str">
        <f t="shared" si="166"/>
        <v>High_Medium_High_Upgraded_Water Use (WU) - m3 H2O_Influent Pump Station; wastewater treatment unit; at updated plant - US_Base_With Amendment_Windrow</v>
      </c>
    </row>
    <row r="3391" spans="1:13" s="120" customFormat="1" x14ac:dyDescent="0.25">
      <c r="A3391" s="119"/>
      <c r="B3391" s="138" t="str">
        <f t="shared" si="164"/>
        <v>Windrow</v>
      </c>
      <c r="C3391" s="138" t="str">
        <f t="shared" si="165"/>
        <v>Base_With Amendment</v>
      </c>
      <c r="D3391" s="118" t="s">
        <v>137</v>
      </c>
      <c r="E3391" s="118" t="s">
        <v>181</v>
      </c>
      <c r="F3391" s="118" t="s">
        <v>46</v>
      </c>
      <c r="G3391" s="153"/>
      <c r="H3391" s="155">
        <v>0.34860000000000002</v>
      </c>
      <c r="I3391" s="154" t="s">
        <v>54</v>
      </c>
      <c r="J3391" s="204">
        <v>1.8000000000000001E-4</v>
      </c>
      <c r="K3391" s="154" t="s">
        <v>26</v>
      </c>
      <c r="L3391" s="154" t="str">
        <f>IF(OpenLCAbasic!K3391="CTUh", "Fill in Manually",IF(OR(K3391="Unit", K3391=""), "", INDEX(LookUps!$E$5:$E$12, MATCH(OpenLCAbasic!K3391,LookUps!$D$5:$D$12,0))))</f>
        <v>Water Use (WU) - m3 H2O</v>
      </c>
      <c r="M3391" s="154" t="str">
        <f t="shared" si="166"/>
        <v>High_Medium_High_Upgraded_Water Use (WU) - m3 H2O_Clear Cove Primary Clarification; wastewater treatment unit; at updated plant - US_Base_With Amendment_Windrow</v>
      </c>
    </row>
    <row r="3392" spans="1:13" s="120" customFormat="1" x14ac:dyDescent="0.25">
      <c r="A3392" s="119"/>
      <c r="B3392" s="138" t="str">
        <f t="shared" si="164"/>
        <v>Windrow</v>
      </c>
      <c r="C3392" s="138" t="str">
        <f t="shared" si="165"/>
        <v>Base_With Amendment</v>
      </c>
      <c r="D3392" s="118" t="s">
        <v>137</v>
      </c>
      <c r="E3392" s="118" t="s">
        <v>181</v>
      </c>
      <c r="F3392" s="118" t="s">
        <v>46</v>
      </c>
      <c r="G3392" s="153"/>
      <c r="H3392" s="155">
        <v>0.31630000000000003</v>
      </c>
      <c r="I3392" s="154" t="s">
        <v>55</v>
      </c>
      <c r="J3392" s="204">
        <v>1.6000000000000001E-4</v>
      </c>
      <c r="K3392" s="154" t="s">
        <v>26</v>
      </c>
      <c r="L3392" s="154" t="str">
        <f>IF(OpenLCAbasic!K3392="CTUh", "Fill in Manually",IF(OR(K3392="Unit", K3392=""), "", INDEX(LookUps!$E$5:$E$12, MATCH(OpenLCAbasic!K3392,LookUps!$D$5:$D$12,0))))</f>
        <v>Water Use (WU) - m3 H2O</v>
      </c>
      <c r="M3392" s="154" t="str">
        <f t="shared" si="166"/>
        <v>High_Medium_High_Upgraded_Water Use (WU) - m3 H2O_Aeration Tanks; wastewater treatment unit; at updated plant - US_Base_With Amendment_Windrow</v>
      </c>
    </row>
    <row r="3393" spans="1:13" s="120" customFormat="1" x14ac:dyDescent="0.25">
      <c r="A3393" s="119"/>
      <c r="B3393" s="138" t="str">
        <f t="shared" si="164"/>
        <v>Windrow</v>
      </c>
      <c r="C3393" s="138" t="str">
        <f t="shared" si="165"/>
        <v>Base_With Amendment</v>
      </c>
      <c r="D3393" s="118" t="s">
        <v>137</v>
      </c>
      <c r="E3393" s="118" t="s">
        <v>181</v>
      </c>
      <c r="F3393" s="118" t="s">
        <v>46</v>
      </c>
      <c r="G3393" s="153"/>
      <c r="H3393" s="155">
        <v>0.28810000000000002</v>
      </c>
      <c r="I3393" s="154" t="s">
        <v>148</v>
      </c>
      <c r="J3393" s="204">
        <v>1.4999999999999999E-4</v>
      </c>
      <c r="K3393" s="154" t="s">
        <v>26</v>
      </c>
      <c r="L3393" s="154" t="str">
        <f>IF(OpenLCAbasic!K3393="CTUh", "Fill in Manually",IF(OR(K3393="Unit", K3393=""), "", INDEX(LookUps!$E$5:$E$12, MATCH(OpenLCAbasic!K3393,LookUps!$D$5:$D$12,0))))</f>
        <v>Water Use (WU) - m3 H2O</v>
      </c>
      <c r="M3393" s="154" t="str">
        <f t="shared" si="166"/>
        <v>High_Medium_High_Upgraded_Water Use (WU) - m3 H2O_Control Building; at upgraded wastewater treatment plant - US_Base_With Amendment_Windrow</v>
      </c>
    </row>
    <row r="3394" spans="1:13" s="120" customFormat="1" x14ac:dyDescent="0.25">
      <c r="A3394" s="119"/>
      <c r="B3394" s="138" t="str">
        <f t="shared" si="164"/>
        <v>Windrow</v>
      </c>
      <c r="C3394" s="138" t="str">
        <f t="shared" si="165"/>
        <v>Base_With Amendment</v>
      </c>
      <c r="D3394" s="118" t="s">
        <v>137</v>
      </c>
      <c r="E3394" s="118" t="s">
        <v>181</v>
      </c>
      <c r="F3394" s="118" t="s">
        <v>46</v>
      </c>
      <c r="G3394" s="153"/>
      <c r="H3394" s="155">
        <v>0.1338</v>
      </c>
      <c r="I3394" s="154" t="s">
        <v>48</v>
      </c>
      <c r="J3394" s="204">
        <v>6.8836400000000004E-5</v>
      </c>
      <c r="K3394" s="154" t="s">
        <v>26</v>
      </c>
      <c r="L3394" s="154" t="str">
        <f>IF(OpenLCAbasic!K3394="CTUh", "Fill in Manually",IF(OR(K3394="Unit", K3394=""), "", INDEX(LookUps!$E$5:$E$12, MATCH(OpenLCAbasic!K3394,LookUps!$D$5:$D$12,0))))</f>
        <v>Water Use (WU) - m3 H2O</v>
      </c>
      <c r="M3394" s="154" t="str">
        <f t="shared" si="166"/>
        <v>High_Medium_High_Upgraded_Water Use (WU) - m3 H2O_Effluent release; wastewater treatment unit; at surface water; m3 wastewater - US_Base_With Amendment_Windrow</v>
      </c>
    </row>
    <row r="3395" spans="1:13" s="120" customFormat="1" x14ac:dyDescent="0.25">
      <c r="A3395" s="119"/>
      <c r="B3395" s="138" t="str">
        <f t="shared" si="164"/>
        <v>Windrow</v>
      </c>
      <c r="C3395" s="138" t="str">
        <f t="shared" si="165"/>
        <v>Base_With Amendment</v>
      </c>
      <c r="D3395" s="118" t="s">
        <v>137</v>
      </c>
      <c r="E3395" s="118" t="s">
        <v>181</v>
      </c>
      <c r="F3395" s="118" t="s">
        <v>46</v>
      </c>
      <c r="G3395" s="153"/>
      <c r="H3395" s="155">
        <v>8.4000000000000005E-2</v>
      </c>
      <c r="I3395" s="154" t="s">
        <v>58</v>
      </c>
      <c r="J3395" s="204">
        <v>4.3235300000000003E-5</v>
      </c>
      <c r="K3395" s="154" t="s">
        <v>26</v>
      </c>
      <c r="L3395" s="154" t="str">
        <f>IF(OpenLCAbasic!K3395="CTUh", "Fill in Manually",IF(OR(K3395="Unit", K3395=""), "", INDEX(LookUps!$E$5:$E$12, MATCH(OpenLCAbasic!K3395,LookUps!$D$5:$D$12,0))))</f>
        <v>Water Use (WU) - m3 H2O</v>
      </c>
      <c r="M3395" s="154" t="str">
        <f t="shared" si="166"/>
        <v>High_Medium_High_Upgraded_Water Use (WU) - m3 H2O_Pre-Anoxic &amp; Swing tank; wastewater treatment unit; at updated plant - US_Base_With Amendment_Windrow</v>
      </c>
    </row>
    <row r="3396" spans="1:13" s="120" customFormat="1" x14ac:dyDescent="0.25">
      <c r="A3396" s="119"/>
      <c r="B3396" s="138" t="str">
        <f t="shared" si="164"/>
        <v>Windrow</v>
      </c>
      <c r="C3396" s="138" t="str">
        <f t="shared" si="165"/>
        <v>Base_With Amendment</v>
      </c>
      <c r="D3396" s="118" t="s">
        <v>137</v>
      </c>
      <c r="E3396" s="118" t="s">
        <v>181</v>
      </c>
      <c r="F3396" s="118" t="s">
        <v>46</v>
      </c>
      <c r="G3396" s="153"/>
      <c r="H3396" s="155">
        <v>5.91E-2</v>
      </c>
      <c r="I3396" s="154" t="s">
        <v>57</v>
      </c>
      <c r="J3396" s="204">
        <v>3.0408100000000001E-5</v>
      </c>
      <c r="K3396" s="154" t="s">
        <v>26</v>
      </c>
      <c r="L3396" s="154" t="str">
        <f>IF(OpenLCAbasic!K3396="CTUh", "Fill in Manually",IF(OR(K3396="Unit", K3396=""), "", INDEX(LookUps!$E$5:$E$12, MATCH(OpenLCAbasic!K3396,LookUps!$D$5:$D$12,0))))</f>
        <v>Water Use (WU) - m3 H2O</v>
      </c>
      <c r="M3396" s="154" t="str">
        <f t="shared" si="166"/>
        <v>High_Medium_High_Upgraded_Water Use (WU) - m3 H2O_Gravity Belt Thickener; wastewater treatment unit; at updated plant - US_Base_With Amendment_Windrow</v>
      </c>
    </row>
    <row r="3397" spans="1:13" s="120" customFormat="1" x14ac:dyDescent="0.25">
      <c r="A3397" s="119"/>
      <c r="B3397" s="138" t="str">
        <f t="shared" si="164"/>
        <v>Windrow</v>
      </c>
      <c r="C3397" s="138" t="str">
        <f t="shared" si="165"/>
        <v>Base_With Amendment</v>
      </c>
      <c r="D3397" s="118" t="s">
        <v>137</v>
      </c>
      <c r="E3397" s="118" t="s">
        <v>181</v>
      </c>
      <c r="F3397" s="118" t="s">
        <v>46</v>
      </c>
      <c r="G3397" s="153"/>
      <c r="H3397" s="155">
        <v>5.6300000000000003E-2</v>
      </c>
      <c r="I3397" s="154" t="s">
        <v>60</v>
      </c>
      <c r="J3397" s="204">
        <v>2.8986600000000001E-5</v>
      </c>
      <c r="K3397" s="154" t="s">
        <v>26</v>
      </c>
      <c r="L3397" s="154" t="str">
        <f>IF(OpenLCAbasic!K3397="CTUh", "Fill in Manually",IF(OR(K3397="Unit", K3397=""), "", INDEX(LookUps!$E$5:$E$12, MATCH(OpenLCAbasic!K3397,LookUps!$D$5:$D$12,0))))</f>
        <v>Water Use (WU) - m3 H2O</v>
      </c>
      <c r="M3397" s="154" t="str">
        <f t="shared" si="166"/>
        <v>High_Medium_High_Upgraded_Water Use (WU) - m3 H2O_Belt filter press; wastewater treatment unit; at updated plant - US_Base_With Amendment_Windrow</v>
      </c>
    </row>
    <row r="3398" spans="1:13" s="120" customFormat="1" x14ac:dyDescent="0.25">
      <c r="A3398" s="119"/>
      <c r="B3398" s="138" t="str">
        <f t="shared" ref="B3398:B3461" si="167">IF(F3398="Legacy","n.a.",IF(F3398="","","Windrow"))</f>
        <v>Windrow</v>
      </c>
      <c r="C3398" s="138" t="str">
        <f t="shared" si="165"/>
        <v>Base_With Amendment</v>
      </c>
      <c r="D3398" s="118" t="s">
        <v>137</v>
      </c>
      <c r="E3398" s="118" t="s">
        <v>181</v>
      </c>
      <c r="F3398" s="118" t="s">
        <v>46</v>
      </c>
      <c r="G3398" s="153"/>
      <c r="H3398" s="155">
        <v>3.4000000000000002E-2</v>
      </c>
      <c r="I3398" s="154" t="s">
        <v>53</v>
      </c>
      <c r="J3398" s="204">
        <v>1.75069E-5</v>
      </c>
      <c r="K3398" s="154" t="s">
        <v>26</v>
      </c>
      <c r="L3398" s="154" t="str">
        <f>IF(OpenLCAbasic!K3398="CTUh", "Fill in Manually",IF(OR(K3398="Unit", K3398=""), "", INDEX(LookUps!$E$5:$E$12, MATCH(OpenLCAbasic!K3398,LookUps!$D$5:$D$12,0))))</f>
        <v>Water Use (WU) - m3 H2O</v>
      </c>
      <c r="M3398" s="154" t="str">
        <f t="shared" si="166"/>
        <v>High_Medium_High_Upgraded_Water Use (WU) - m3 H2O_Wet Well and Sump Station; wastewater treatment unit; at updated plant - US_Base_With Amendment_Windrow</v>
      </c>
    </row>
    <row r="3399" spans="1:13" s="120" customFormat="1" x14ac:dyDescent="0.25">
      <c r="A3399" s="119"/>
      <c r="B3399" s="138" t="str">
        <f t="shared" si="167"/>
        <v>Windrow</v>
      </c>
      <c r="C3399" s="138" t="str">
        <f t="shared" ref="C3399:C3462" si="168">IF(E3399&lt;&gt;"", "Base_With Amendment","")</f>
        <v>Base_With Amendment</v>
      </c>
      <c r="D3399" s="118" t="s">
        <v>137</v>
      </c>
      <c r="E3399" s="118" t="s">
        <v>181</v>
      </c>
      <c r="F3399" s="118" t="s">
        <v>46</v>
      </c>
      <c r="G3399" s="153"/>
      <c r="H3399" s="155">
        <v>1.3599999999999999E-2</v>
      </c>
      <c r="I3399" s="154" t="s">
        <v>59</v>
      </c>
      <c r="J3399" s="204">
        <v>7.0179500000000003E-6</v>
      </c>
      <c r="K3399" s="154" t="s">
        <v>26</v>
      </c>
      <c r="L3399" s="154" t="str">
        <f>IF(OpenLCAbasic!K3399="CTUh", "Fill in Manually",IF(OR(K3399="Unit", K3399=""), "", INDEX(LookUps!$E$5:$E$12, MATCH(OpenLCAbasic!K3399,LookUps!$D$5:$D$12,0))))</f>
        <v>Water Use (WU) - m3 H2O</v>
      </c>
      <c r="M3399" s="154" t="str">
        <f t="shared" ref="M3399:M3462" si="169">CONCATENATE(E3399,"_",D3399,"_",F3399,"_",L3399, "_",I3399,"_", C3399,"_", B3399)</f>
        <v>High_Medium_High_Upgraded_Water Use (WU) - m3 H2O_Blend Tank; wastewater treatment unit; at updated plant - US_Base_With Amendment_Windrow</v>
      </c>
    </row>
    <row r="3400" spans="1:13" s="120" customFormat="1" x14ac:dyDescent="0.25">
      <c r="A3400" s="119"/>
      <c r="B3400" s="138" t="str">
        <f t="shared" si="167"/>
        <v>Windrow</v>
      </c>
      <c r="C3400" s="138" t="str">
        <f t="shared" si="168"/>
        <v>Base_With Amendment</v>
      </c>
      <c r="D3400" s="118" t="s">
        <v>137</v>
      </c>
      <c r="E3400" s="118" t="s">
        <v>181</v>
      </c>
      <c r="F3400" s="118" t="s">
        <v>46</v>
      </c>
      <c r="G3400" s="153"/>
      <c r="H3400" s="155">
        <v>9.7999999999999997E-3</v>
      </c>
      <c r="I3400" s="154" t="s">
        <v>128</v>
      </c>
      <c r="J3400" s="204">
        <v>5.0608900000000003E-6</v>
      </c>
      <c r="K3400" s="154" t="s">
        <v>26</v>
      </c>
      <c r="L3400" s="154" t="str">
        <f>IF(OpenLCAbasic!K3400="CTUh", "Fill in Manually",IF(OR(K3400="Unit", K3400=""), "", INDEX(LookUps!$E$5:$E$12, MATCH(OpenLCAbasic!K3400,LookUps!$D$5:$D$12,0))))</f>
        <v>Water Use (WU) - m3 H2O</v>
      </c>
      <c r="M3400" s="154" t="str">
        <f t="shared" si="169"/>
        <v>High_Medium_High_Upgraded_Water Use (WU) - m3 H2O_Wastewater collection; operation and infrastructure; m3 wastewater_Base_With Amendment_Windrow</v>
      </c>
    </row>
    <row r="3401" spans="1:13" s="120" customFormat="1" x14ac:dyDescent="0.25">
      <c r="A3401" s="119"/>
      <c r="B3401" s="138" t="str">
        <f t="shared" si="167"/>
        <v>Windrow</v>
      </c>
      <c r="C3401" s="138" t="str">
        <f t="shared" si="168"/>
        <v>Base_With Amendment</v>
      </c>
      <c r="D3401" s="118" t="s">
        <v>137</v>
      </c>
      <c r="E3401" s="118" t="s">
        <v>181</v>
      </c>
      <c r="F3401" s="118" t="s">
        <v>46</v>
      </c>
      <c r="G3401" s="153"/>
      <c r="H3401" s="155">
        <v>2.7000000000000001E-3</v>
      </c>
      <c r="I3401" s="154" t="s">
        <v>271</v>
      </c>
      <c r="J3401" s="204">
        <v>1.4113900000000001E-6</v>
      </c>
      <c r="K3401" s="154" t="s">
        <v>26</v>
      </c>
      <c r="L3401" s="154" t="str">
        <f>IF(OpenLCAbasic!K3401="CTUh", "Fill in Manually",IF(OR(K3401="Unit", K3401=""), "", INDEX(LookUps!$E$5:$E$12, MATCH(OpenLCAbasic!K3401,LookUps!$D$5:$D$12,0))))</f>
        <v>Water Use (WU) - m3 H2O</v>
      </c>
      <c r="M3401" s="154" t="str">
        <f t="shared" si="169"/>
        <v>High_Medium_High_Upgraded_Water Use (WU) - m3 H2O_Biosolids composting; windrow composting; wastewater treatment unit; at updated plant - US_Base_With Amendment_Windrow</v>
      </c>
    </row>
    <row r="3402" spans="1:13" s="120" customFormat="1" x14ac:dyDescent="0.25">
      <c r="A3402" s="119"/>
      <c r="B3402" s="138" t="str">
        <f t="shared" si="167"/>
        <v>Windrow</v>
      </c>
      <c r="C3402" s="138" t="str">
        <f t="shared" si="168"/>
        <v>Base_With Amendment</v>
      </c>
      <c r="D3402" s="118" t="s">
        <v>137</v>
      </c>
      <c r="E3402" s="118" t="s">
        <v>181</v>
      </c>
      <c r="F3402" s="118" t="s">
        <v>46</v>
      </c>
      <c r="G3402" s="153"/>
      <c r="H3402" s="155">
        <v>1.5E-3</v>
      </c>
      <c r="I3402" s="154" t="s">
        <v>168</v>
      </c>
      <c r="J3402" s="204">
        <v>7.6697000000000004E-7</v>
      </c>
      <c r="K3402" s="154" t="s">
        <v>26</v>
      </c>
      <c r="L3402" s="154" t="str">
        <f>IF(OpenLCAbasic!K3402="CTUh", "Fill in Manually",IF(OR(K3402="Unit", K3402=""), "", INDEX(LookUps!$E$5:$E$12, MATCH(OpenLCAbasic!K3402,LookUps!$D$5:$D$12,0))))</f>
        <v>Water Use (WU) - m3 H2O</v>
      </c>
      <c r="M3402" s="154" t="str">
        <f t="shared" si="169"/>
        <v>High_Medium_High_Upgraded_Water Use (WU) - m3 H2O_ClearCove SCP; wastewater treatment unit; at updated plant - US_Base_With Amendment_Windrow</v>
      </c>
    </row>
    <row r="3403" spans="1:13" s="120" customFormat="1" x14ac:dyDescent="0.25">
      <c r="A3403" s="119"/>
      <c r="B3403" s="138" t="str">
        <f t="shared" si="167"/>
        <v>Windrow</v>
      </c>
      <c r="C3403" s="138" t="str">
        <f t="shared" si="168"/>
        <v>Base_With Amendment</v>
      </c>
      <c r="D3403" s="118" t="s">
        <v>137</v>
      </c>
      <c r="E3403" s="118" t="s">
        <v>181</v>
      </c>
      <c r="F3403" s="118" t="s">
        <v>46</v>
      </c>
      <c r="G3403" s="153"/>
      <c r="H3403" s="155">
        <v>-0.29459999999999997</v>
      </c>
      <c r="I3403" s="154" t="s">
        <v>149</v>
      </c>
      <c r="J3403" s="204">
        <v>-1.4999999999999999E-4</v>
      </c>
      <c r="K3403" s="154" t="s">
        <v>26</v>
      </c>
      <c r="L3403" s="154" t="str">
        <f>IF(OpenLCAbasic!K3403="CTUh", "Fill in Manually",IF(OR(K3403="Unit", K3403=""), "", INDEX(LookUps!$E$5:$E$12, MATCH(OpenLCAbasic!K3403,LookUps!$D$5:$D$12,0))))</f>
        <v>Water Use (WU) - m3 H2O</v>
      </c>
      <c r="M3403" s="154" t="str">
        <f t="shared" si="169"/>
        <v>High_Medium_High_Upgraded_Water Use (WU) - m3 H2O_Anaerobic Digestion; wastewater treatment unit; at updated plant - US_Base_With Amendment_Windrow</v>
      </c>
    </row>
    <row r="3404" spans="1:13" s="120" customFormat="1" x14ac:dyDescent="0.25">
      <c r="A3404" s="213"/>
      <c r="B3404" s="138" t="str">
        <f t="shared" si="167"/>
        <v>Windrow</v>
      </c>
      <c r="C3404" s="138" t="str">
        <f t="shared" si="168"/>
        <v>Base_With Amendment</v>
      </c>
      <c r="D3404" s="118" t="s">
        <v>137</v>
      </c>
      <c r="E3404" s="118" t="s">
        <v>181</v>
      </c>
      <c r="F3404" s="118" t="s">
        <v>46</v>
      </c>
      <c r="G3404" s="153"/>
      <c r="H3404" s="155">
        <v>-2.9581</v>
      </c>
      <c r="I3404" s="154" t="s">
        <v>62</v>
      </c>
      <c r="J3404" s="204">
        <v>-1.5200000000000001E-3</v>
      </c>
      <c r="K3404" s="154" t="s">
        <v>26</v>
      </c>
      <c r="L3404" s="154" t="str">
        <f>IF(OpenLCAbasic!K3404="CTUh", "Fill in Manually",IF(OR(K3404="Unit", K3404=""), "", INDEX(LookUps!$E$5:$E$12, MATCH(OpenLCAbasic!K3404,LookUps!$D$5:$D$12,0))))</f>
        <v>Water Use (WU) - m3 H2O</v>
      </c>
      <c r="M3404" s="154" t="str">
        <f t="shared" si="169"/>
        <v>High_Medium_High_Upgraded_Water Use (WU) - m3 H2O_Land application of compost; wastewater treatment unit; at updated plant - US_Base_With Amendment_Windrow</v>
      </c>
    </row>
    <row r="3405" spans="1:13" s="120" customFormat="1" x14ac:dyDescent="0.25">
      <c r="A3405" s="119"/>
      <c r="B3405" s="138" t="str">
        <f t="shared" si="167"/>
        <v/>
      </c>
      <c r="C3405" s="138" t="str">
        <f t="shared" si="168"/>
        <v/>
      </c>
      <c r="D3405" s="138"/>
      <c r="E3405" s="138"/>
      <c r="F3405" s="138"/>
      <c r="G3405" s="153"/>
      <c r="H3405" s="160"/>
      <c r="I3405" s="160"/>
      <c r="J3405" s="207"/>
      <c r="K3405" s="160"/>
      <c r="L3405" s="154" t="str">
        <f>IF(OpenLCAbasic!K3405="CTUh", "Fill in Manually",IF(OR(K3405="Unit", K3405=""), "", INDEX(LookUps!$E$5:$E$12, MATCH(OpenLCAbasic!K3405,LookUps!$D$5:$D$12,0))))</f>
        <v/>
      </c>
      <c r="M3405" s="154" t="str">
        <f t="shared" si="169"/>
        <v>______</v>
      </c>
    </row>
    <row r="3406" spans="1:13" s="120" customFormat="1" x14ac:dyDescent="0.25">
      <c r="A3406" s="119"/>
      <c r="B3406" s="138" t="str">
        <f t="shared" si="167"/>
        <v>Windrow</v>
      </c>
      <c r="C3406" s="138" t="str">
        <f t="shared" si="168"/>
        <v>Base_With Amendment</v>
      </c>
      <c r="D3406" s="118" t="s">
        <v>138</v>
      </c>
      <c r="E3406" s="118" t="s">
        <v>181</v>
      </c>
      <c r="F3406" s="118" t="s">
        <v>46</v>
      </c>
      <c r="G3406" s="153" t="s">
        <v>51</v>
      </c>
      <c r="H3406" s="154"/>
      <c r="I3406" s="154" t="s">
        <v>47</v>
      </c>
      <c r="J3406" s="154" t="s">
        <v>52</v>
      </c>
      <c r="K3406" s="154" t="s">
        <v>27</v>
      </c>
      <c r="L3406" s="154" t="str">
        <f>IF(OpenLCAbasic!K3406="CTUh", "Fill in Manually",IF(OR(K3406="Unit", K3406=""), "", INDEX(LookUps!$E$5:$E$12, MATCH(OpenLCAbasic!K3406,LookUps!$D$5:$D$12,0))))</f>
        <v/>
      </c>
      <c r="M3406" s="154" t="str">
        <f t="shared" si="169"/>
        <v>High_High_Low_Upgraded__Process_Base_With Amendment_Windrow</v>
      </c>
    </row>
    <row r="3407" spans="1:13" s="120" customFormat="1" x14ac:dyDescent="0.25">
      <c r="A3407" s="119"/>
      <c r="B3407" s="138" t="str">
        <f t="shared" si="167"/>
        <v>Windrow</v>
      </c>
      <c r="C3407" s="138" t="str">
        <f t="shared" si="168"/>
        <v>Base_With Amendment</v>
      </c>
      <c r="D3407" s="118" t="s">
        <v>138</v>
      </c>
      <c r="E3407" s="118" t="s">
        <v>181</v>
      </c>
      <c r="F3407" s="118" t="s">
        <v>46</v>
      </c>
      <c r="G3407" s="153"/>
      <c r="H3407" s="155">
        <v>1.109</v>
      </c>
      <c r="I3407" s="154" t="s">
        <v>271</v>
      </c>
      <c r="J3407" s="157">
        <v>3.4323199999999998</v>
      </c>
      <c r="K3407" s="154" t="s">
        <v>23</v>
      </c>
      <c r="L3407" s="154" t="str">
        <f>IF(OpenLCAbasic!K3407="CTUh", "Fill in Manually",IF(OR(K3407="Unit", K3407=""), "", INDEX(LookUps!$E$5:$E$12, MATCH(OpenLCAbasic!K3407,LookUps!$D$5:$D$12,0))))</f>
        <v>Global Warming Potential (GWP) - kg CO2 eq</v>
      </c>
      <c r="M3407" s="154" t="str">
        <f t="shared" si="169"/>
        <v>High_High_Low_Upgraded_Global Warming Potential (GWP) - kg CO2 eq_Biosolids composting; windrow composting; wastewater treatment unit; at updated plant - US_Base_With Amendment_Windrow</v>
      </c>
    </row>
    <row r="3408" spans="1:13" s="120" customFormat="1" x14ac:dyDescent="0.25">
      <c r="A3408" s="119"/>
      <c r="B3408" s="138" t="str">
        <f t="shared" si="167"/>
        <v>Windrow</v>
      </c>
      <c r="C3408" s="138" t="str">
        <f t="shared" si="168"/>
        <v>Base_With Amendment</v>
      </c>
      <c r="D3408" s="118" t="s">
        <v>138</v>
      </c>
      <c r="E3408" s="118" t="s">
        <v>181</v>
      </c>
      <c r="F3408" s="118" t="s">
        <v>46</v>
      </c>
      <c r="G3408" s="153"/>
      <c r="H3408" s="155">
        <v>8.0699999999999994E-2</v>
      </c>
      <c r="I3408" s="154" t="s">
        <v>58</v>
      </c>
      <c r="J3408" s="203">
        <v>0.24992</v>
      </c>
      <c r="K3408" s="154" t="s">
        <v>23</v>
      </c>
      <c r="L3408" s="154" t="str">
        <f>IF(OpenLCAbasic!K3408="CTUh", "Fill in Manually",IF(OR(K3408="Unit", K3408=""), "", INDEX(LookUps!$E$5:$E$12, MATCH(OpenLCAbasic!K3408,LookUps!$D$5:$D$12,0))))</f>
        <v>Global Warming Potential (GWP) - kg CO2 eq</v>
      </c>
      <c r="M3408" s="154" t="str">
        <f t="shared" si="169"/>
        <v>High_High_Low_Upgraded_Global Warming Potential (GWP) - kg CO2 eq_Pre-Anoxic &amp; Swing tank; wastewater treatment unit; at updated plant - US_Base_With Amendment_Windrow</v>
      </c>
    </row>
    <row r="3409" spans="1:13" s="120" customFormat="1" x14ac:dyDescent="0.25">
      <c r="A3409" s="119"/>
      <c r="B3409" s="138" t="str">
        <f t="shared" si="167"/>
        <v>Windrow</v>
      </c>
      <c r="C3409" s="138" t="str">
        <f t="shared" si="168"/>
        <v>Base_With Amendment</v>
      </c>
      <c r="D3409" s="118" t="s">
        <v>138</v>
      </c>
      <c r="E3409" s="118" t="s">
        <v>181</v>
      </c>
      <c r="F3409" s="118" t="s">
        <v>46</v>
      </c>
      <c r="G3409" s="153"/>
      <c r="H3409" s="155">
        <v>5.4399999999999997E-2</v>
      </c>
      <c r="I3409" s="154" t="s">
        <v>55</v>
      </c>
      <c r="J3409" s="203">
        <v>0.16822000000000001</v>
      </c>
      <c r="K3409" s="154" t="s">
        <v>23</v>
      </c>
      <c r="L3409" s="154" t="str">
        <f>IF(OpenLCAbasic!K3409="CTUh", "Fill in Manually",IF(OR(K3409="Unit", K3409=""), "", INDEX(LookUps!$E$5:$E$12, MATCH(OpenLCAbasic!K3409,LookUps!$D$5:$D$12,0))))</f>
        <v>Global Warming Potential (GWP) - kg CO2 eq</v>
      </c>
      <c r="M3409" s="154" t="str">
        <f t="shared" si="169"/>
        <v>High_High_Low_Upgraded_Global Warming Potential (GWP) - kg CO2 eq_Aeration Tanks; wastewater treatment unit; at updated plant - US_Base_With Amendment_Windrow</v>
      </c>
    </row>
    <row r="3410" spans="1:13" s="120" customFormat="1" x14ac:dyDescent="0.25">
      <c r="A3410" s="119"/>
      <c r="B3410" s="138" t="str">
        <f t="shared" si="167"/>
        <v>Windrow</v>
      </c>
      <c r="C3410" s="138" t="str">
        <f t="shared" si="168"/>
        <v>Base_With Amendment</v>
      </c>
      <c r="D3410" s="118" t="s">
        <v>138</v>
      </c>
      <c r="E3410" s="118" t="s">
        <v>181</v>
      </c>
      <c r="F3410" s="118" t="s">
        <v>46</v>
      </c>
      <c r="G3410" s="153"/>
      <c r="H3410" s="155">
        <v>4.7399999999999998E-2</v>
      </c>
      <c r="I3410" s="154" t="s">
        <v>167</v>
      </c>
      <c r="J3410" s="203">
        <v>0.14685000000000001</v>
      </c>
      <c r="K3410" s="154" t="s">
        <v>23</v>
      </c>
      <c r="L3410" s="154" t="str">
        <f>IF(OpenLCAbasic!K3410="CTUh", "Fill in Manually",IF(OR(K3410="Unit", K3410=""), "", INDEX(LookUps!$E$5:$E$12, MATCH(OpenLCAbasic!K3410,LookUps!$D$5:$D$12,0))))</f>
        <v>Global Warming Potential (GWP) - kg CO2 eq</v>
      </c>
      <c r="M3410" s="154" t="str">
        <f t="shared" si="169"/>
        <v>High_High_Low_Upgraded_Global Warming Potential (GWP) - kg CO2 eq_Waste Receiving and Holding; wastewater treatment unit; at updated plant - US_Base_With Amendment_Windrow</v>
      </c>
    </row>
    <row r="3411" spans="1:13" s="120" customFormat="1" x14ac:dyDescent="0.25">
      <c r="A3411" s="119"/>
      <c r="B3411" s="138" t="str">
        <f t="shared" si="167"/>
        <v>Windrow</v>
      </c>
      <c r="C3411" s="138" t="str">
        <f t="shared" si="168"/>
        <v>Base_With Amendment</v>
      </c>
      <c r="D3411" s="118" t="s">
        <v>138</v>
      </c>
      <c r="E3411" s="118" t="s">
        <v>181</v>
      </c>
      <c r="F3411" s="118" t="s">
        <v>46</v>
      </c>
      <c r="G3411" s="153"/>
      <c r="H3411" s="155">
        <v>1.84E-2</v>
      </c>
      <c r="I3411" s="154" t="s">
        <v>54</v>
      </c>
      <c r="J3411" s="203">
        <v>5.7079999999999999E-2</v>
      </c>
      <c r="K3411" s="154" t="s">
        <v>23</v>
      </c>
      <c r="L3411" s="154" t="str">
        <f>IF(OpenLCAbasic!K3411="CTUh", "Fill in Manually",IF(OR(K3411="Unit", K3411=""), "", INDEX(LookUps!$E$5:$E$12, MATCH(OpenLCAbasic!K3411,LookUps!$D$5:$D$12,0))))</f>
        <v>Global Warming Potential (GWP) - kg CO2 eq</v>
      </c>
      <c r="M3411" s="154" t="str">
        <f t="shared" si="169"/>
        <v>High_High_Low_Upgraded_Global Warming Potential (GWP) - kg CO2 eq_Clear Cove Primary Clarification; wastewater treatment unit; at updated plant - US_Base_With Amendment_Windrow</v>
      </c>
    </row>
    <row r="3412" spans="1:13" s="120" customFormat="1" x14ac:dyDescent="0.25">
      <c r="A3412" s="119"/>
      <c r="B3412" s="138" t="str">
        <f t="shared" si="167"/>
        <v>Windrow</v>
      </c>
      <c r="C3412" s="138" t="str">
        <f t="shared" si="168"/>
        <v>Base_With Amendment</v>
      </c>
      <c r="D3412" s="118" t="s">
        <v>138</v>
      </c>
      <c r="E3412" s="118" t="s">
        <v>181</v>
      </c>
      <c r="F3412" s="118" t="s">
        <v>46</v>
      </c>
      <c r="G3412" s="153"/>
      <c r="H3412" s="155">
        <v>1.7000000000000001E-2</v>
      </c>
      <c r="I3412" s="154" t="s">
        <v>48</v>
      </c>
      <c r="J3412" s="203">
        <v>5.2639999999999999E-2</v>
      </c>
      <c r="K3412" s="154" t="s">
        <v>23</v>
      </c>
      <c r="L3412" s="154" t="str">
        <f>IF(OpenLCAbasic!K3412="CTUh", "Fill in Manually",IF(OR(K3412="Unit", K3412=""), "", INDEX(LookUps!$E$5:$E$12, MATCH(OpenLCAbasic!K3412,LookUps!$D$5:$D$12,0))))</f>
        <v>Global Warming Potential (GWP) - kg CO2 eq</v>
      </c>
      <c r="M3412" s="154" t="str">
        <f t="shared" si="169"/>
        <v>High_High_Low_Upgraded_Global Warming Potential (GWP) - kg CO2 eq_Effluent release; wastewater treatment unit; at surface water; m3 wastewater - US_Base_With Amendment_Windrow</v>
      </c>
    </row>
    <row r="3413" spans="1:13" s="120" customFormat="1" x14ac:dyDescent="0.25">
      <c r="A3413" s="119"/>
      <c r="B3413" s="138" t="str">
        <f t="shared" si="167"/>
        <v>Windrow</v>
      </c>
      <c r="C3413" s="138" t="str">
        <f t="shared" si="168"/>
        <v>Base_With Amendment</v>
      </c>
      <c r="D3413" s="118" t="s">
        <v>138</v>
      </c>
      <c r="E3413" s="118" t="s">
        <v>181</v>
      </c>
      <c r="F3413" s="118" t="s">
        <v>46</v>
      </c>
      <c r="G3413" s="153"/>
      <c r="H3413" s="155">
        <v>1.6299999999999999E-2</v>
      </c>
      <c r="I3413" s="154" t="s">
        <v>147</v>
      </c>
      <c r="J3413" s="203">
        <v>5.0500000000000003E-2</v>
      </c>
      <c r="K3413" s="154" t="s">
        <v>23</v>
      </c>
      <c r="L3413" s="154" t="str">
        <f>IF(OpenLCAbasic!K3413="CTUh", "Fill in Manually",IF(OR(K3413="Unit", K3413=""), "", INDEX(LookUps!$E$5:$E$12, MATCH(OpenLCAbasic!K3413,LookUps!$D$5:$D$12,0))))</f>
        <v>Global Warming Potential (GWP) - kg CO2 eq</v>
      </c>
      <c r="M3413" s="154" t="str">
        <f t="shared" si="169"/>
        <v>High_High_Low_Upgraded_Global Warming Potential (GWP) - kg CO2 eq_Influent Pump Station; wastewater treatment unit; at updated plant - US_Base_With Amendment_Windrow</v>
      </c>
    </row>
    <row r="3414" spans="1:13" s="120" customFormat="1" x14ac:dyDescent="0.25">
      <c r="A3414" s="119"/>
      <c r="B3414" s="138" t="str">
        <f t="shared" si="167"/>
        <v>Windrow</v>
      </c>
      <c r="C3414" s="138" t="str">
        <f t="shared" si="168"/>
        <v>Base_With Amendment</v>
      </c>
      <c r="D3414" s="118" t="s">
        <v>138</v>
      </c>
      <c r="E3414" s="118" t="s">
        <v>181</v>
      </c>
      <c r="F3414" s="118" t="s">
        <v>46</v>
      </c>
      <c r="G3414" s="153"/>
      <c r="H3414" s="155">
        <v>1.0699999999999999E-2</v>
      </c>
      <c r="I3414" s="154" t="s">
        <v>53</v>
      </c>
      <c r="J3414" s="203">
        <v>3.3259999999999998E-2</v>
      </c>
      <c r="K3414" s="154" t="s">
        <v>23</v>
      </c>
      <c r="L3414" s="154" t="str">
        <f>IF(OpenLCAbasic!K3414="CTUh", "Fill in Manually",IF(OR(K3414="Unit", K3414=""), "", INDEX(LookUps!$E$5:$E$12, MATCH(OpenLCAbasic!K3414,LookUps!$D$5:$D$12,0))))</f>
        <v>Global Warming Potential (GWP) - kg CO2 eq</v>
      </c>
      <c r="M3414" s="154" t="str">
        <f t="shared" si="169"/>
        <v>High_High_Low_Upgraded_Global Warming Potential (GWP) - kg CO2 eq_Wet Well and Sump Station; wastewater treatment unit; at updated plant - US_Base_With Amendment_Windrow</v>
      </c>
    </row>
    <row r="3415" spans="1:13" s="120" customFormat="1" x14ac:dyDescent="0.25">
      <c r="A3415" s="119"/>
      <c r="B3415" s="138" t="str">
        <f t="shared" si="167"/>
        <v>Windrow</v>
      </c>
      <c r="C3415" s="138" t="str">
        <f t="shared" si="168"/>
        <v>Base_With Amendment</v>
      </c>
      <c r="D3415" s="118" t="s">
        <v>138</v>
      </c>
      <c r="E3415" s="118" t="s">
        <v>181</v>
      </c>
      <c r="F3415" s="118" t="s">
        <v>46</v>
      </c>
      <c r="G3415" s="153"/>
      <c r="H3415" s="155">
        <v>8.9999999999999993E-3</v>
      </c>
      <c r="I3415" s="154" t="s">
        <v>60</v>
      </c>
      <c r="J3415" s="203">
        <v>2.7820000000000001E-2</v>
      </c>
      <c r="K3415" s="154" t="s">
        <v>23</v>
      </c>
      <c r="L3415" s="154" t="str">
        <f>IF(OpenLCAbasic!K3415="CTUh", "Fill in Manually",IF(OR(K3415="Unit", K3415=""), "", INDEX(LookUps!$E$5:$E$12, MATCH(OpenLCAbasic!K3415,LookUps!$D$5:$D$12,0))))</f>
        <v>Global Warming Potential (GWP) - kg CO2 eq</v>
      </c>
      <c r="M3415" s="154" t="str">
        <f t="shared" si="169"/>
        <v>High_High_Low_Upgraded_Global Warming Potential (GWP) - kg CO2 eq_Belt filter press; wastewater treatment unit; at updated plant - US_Base_With Amendment_Windrow</v>
      </c>
    </row>
    <row r="3416" spans="1:13" s="120" customFormat="1" x14ac:dyDescent="0.25">
      <c r="A3416" s="119"/>
      <c r="B3416" s="138" t="str">
        <f t="shared" si="167"/>
        <v>Windrow</v>
      </c>
      <c r="C3416" s="138" t="str">
        <f t="shared" si="168"/>
        <v>Base_With Amendment</v>
      </c>
      <c r="D3416" s="118" t="s">
        <v>138</v>
      </c>
      <c r="E3416" s="118" t="s">
        <v>181</v>
      </c>
      <c r="F3416" s="118" t="s">
        <v>46</v>
      </c>
      <c r="G3416" s="153"/>
      <c r="H3416" s="155">
        <v>4.7000000000000002E-3</v>
      </c>
      <c r="I3416" s="154" t="s">
        <v>57</v>
      </c>
      <c r="J3416" s="203">
        <v>1.455E-2</v>
      </c>
      <c r="K3416" s="154" t="s">
        <v>23</v>
      </c>
      <c r="L3416" s="154" t="str">
        <f>IF(OpenLCAbasic!K3416="CTUh", "Fill in Manually",IF(OR(K3416="Unit", K3416=""), "", INDEX(LookUps!$E$5:$E$12, MATCH(OpenLCAbasic!K3416,LookUps!$D$5:$D$12,0))))</f>
        <v>Global Warming Potential (GWP) - kg CO2 eq</v>
      </c>
      <c r="M3416" s="154" t="str">
        <f t="shared" si="169"/>
        <v>High_High_Low_Upgraded_Global Warming Potential (GWP) - kg CO2 eq_Gravity Belt Thickener; wastewater treatment unit; at updated plant - US_Base_With Amendment_Windrow</v>
      </c>
    </row>
    <row r="3417" spans="1:13" s="120" customFormat="1" x14ac:dyDescent="0.25">
      <c r="A3417" s="119"/>
      <c r="B3417" s="138" t="str">
        <f t="shared" si="167"/>
        <v>Windrow</v>
      </c>
      <c r="C3417" s="138" t="str">
        <f t="shared" si="168"/>
        <v>Base_With Amendment</v>
      </c>
      <c r="D3417" s="118" t="s">
        <v>138</v>
      </c>
      <c r="E3417" s="118" t="s">
        <v>181</v>
      </c>
      <c r="F3417" s="118" t="s">
        <v>46</v>
      </c>
      <c r="G3417" s="153"/>
      <c r="H3417" s="155">
        <v>4.4000000000000003E-3</v>
      </c>
      <c r="I3417" s="154" t="s">
        <v>128</v>
      </c>
      <c r="J3417" s="204">
        <v>1.3509999999999999E-2</v>
      </c>
      <c r="K3417" s="154" t="s">
        <v>23</v>
      </c>
      <c r="L3417" s="154" t="str">
        <f>IF(OpenLCAbasic!K3417="CTUh", "Fill in Manually",IF(OR(K3417="Unit", K3417=""), "", INDEX(LookUps!$E$5:$E$12, MATCH(OpenLCAbasic!K3417,LookUps!$D$5:$D$12,0))))</f>
        <v>Global Warming Potential (GWP) - kg CO2 eq</v>
      </c>
      <c r="M3417" s="154" t="str">
        <f t="shared" si="169"/>
        <v>High_High_Low_Upgraded_Global Warming Potential (GWP) - kg CO2 eq_Wastewater collection; operation and infrastructure; m3 wastewater_Base_With Amendment_Windrow</v>
      </c>
    </row>
    <row r="3418" spans="1:13" s="120" customFormat="1" x14ac:dyDescent="0.25">
      <c r="A3418" s="119"/>
      <c r="B3418" s="138" t="str">
        <f t="shared" si="167"/>
        <v>Windrow</v>
      </c>
      <c r="C3418" s="138" t="str">
        <f t="shared" si="168"/>
        <v>Base_With Amendment</v>
      </c>
      <c r="D3418" s="118" t="s">
        <v>138</v>
      </c>
      <c r="E3418" s="118" t="s">
        <v>181</v>
      </c>
      <c r="F3418" s="118" t="s">
        <v>46</v>
      </c>
      <c r="G3418" s="153"/>
      <c r="H3418" s="155">
        <v>2.7000000000000001E-3</v>
      </c>
      <c r="I3418" s="154" t="s">
        <v>148</v>
      </c>
      <c r="J3418" s="204">
        <v>8.3000000000000001E-3</v>
      </c>
      <c r="K3418" s="154" t="s">
        <v>23</v>
      </c>
      <c r="L3418" s="154" t="str">
        <f>IF(OpenLCAbasic!K3418="CTUh", "Fill in Manually",IF(OR(K3418="Unit", K3418=""), "", INDEX(LookUps!$E$5:$E$12, MATCH(OpenLCAbasic!K3418,LookUps!$D$5:$D$12,0))))</f>
        <v>Global Warming Potential (GWP) - kg CO2 eq</v>
      </c>
      <c r="M3418" s="154" t="str">
        <f t="shared" si="169"/>
        <v>High_High_Low_Upgraded_Global Warming Potential (GWP) - kg CO2 eq_Control Building; at upgraded wastewater treatment plant - US_Base_With Amendment_Windrow</v>
      </c>
    </row>
    <row r="3419" spans="1:13" s="120" customFormat="1" x14ac:dyDescent="0.25">
      <c r="A3419" s="119"/>
      <c r="B3419" s="138" t="str">
        <f t="shared" si="167"/>
        <v>Windrow</v>
      </c>
      <c r="C3419" s="138" t="str">
        <f t="shared" si="168"/>
        <v>Base_With Amendment</v>
      </c>
      <c r="D3419" s="118" t="s">
        <v>138</v>
      </c>
      <c r="E3419" s="118" t="s">
        <v>181</v>
      </c>
      <c r="F3419" s="118" t="s">
        <v>46</v>
      </c>
      <c r="G3419" s="153"/>
      <c r="H3419" s="155">
        <v>1.6000000000000001E-3</v>
      </c>
      <c r="I3419" s="154" t="s">
        <v>59</v>
      </c>
      <c r="J3419" s="204">
        <v>5.0400000000000002E-3</v>
      </c>
      <c r="K3419" s="154" t="s">
        <v>23</v>
      </c>
      <c r="L3419" s="154" t="str">
        <f>IF(OpenLCAbasic!K3419="CTUh", "Fill in Manually",IF(OR(K3419="Unit", K3419=""), "", INDEX(LookUps!$E$5:$E$12, MATCH(OpenLCAbasic!K3419,LookUps!$D$5:$D$12,0))))</f>
        <v>Global Warming Potential (GWP) - kg CO2 eq</v>
      </c>
      <c r="M3419" s="154" t="str">
        <f t="shared" si="169"/>
        <v>High_High_Low_Upgraded_Global Warming Potential (GWP) - kg CO2 eq_Blend Tank; wastewater treatment unit; at updated plant - US_Base_With Amendment_Windrow</v>
      </c>
    </row>
    <row r="3420" spans="1:13" s="120" customFormat="1" x14ac:dyDescent="0.25">
      <c r="A3420" s="119"/>
      <c r="B3420" s="138" t="str">
        <f t="shared" si="167"/>
        <v>Windrow</v>
      </c>
      <c r="C3420" s="138" t="str">
        <f t="shared" si="168"/>
        <v>Base_With Amendment</v>
      </c>
      <c r="D3420" s="118" t="s">
        <v>138</v>
      </c>
      <c r="E3420" s="118" t="s">
        <v>181</v>
      </c>
      <c r="F3420" s="118" t="s">
        <v>46</v>
      </c>
      <c r="G3420" s="153"/>
      <c r="H3420" s="155">
        <v>8.0000000000000004E-4</v>
      </c>
      <c r="I3420" s="154" t="s">
        <v>168</v>
      </c>
      <c r="J3420" s="204">
        <v>2.4099999999999998E-3</v>
      </c>
      <c r="K3420" s="154" t="s">
        <v>23</v>
      </c>
      <c r="L3420" s="154" t="str">
        <f>IF(OpenLCAbasic!K3420="CTUh", "Fill in Manually",IF(OR(K3420="Unit", K3420=""), "", INDEX(LookUps!$E$5:$E$12, MATCH(OpenLCAbasic!K3420,LookUps!$D$5:$D$12,0))))</f>
        <v>Global Warming Potential (GWP) - kg CO2 eq</v>
      </c>
      <c r="M3420" s="154" t="str">
        <f t="shared" si="169"/>
        <v>High_High_Low_Upgraded_Global Warming Potential (GWP) - kg CO2 eq_ClearCove SCP; wastewater treatment unit; at updated plant - US_Base_With Amendment_Windrow</v>
      </c>
    </row>
    <row r="3421" spans="1:13" s="120" customFormat="1" x14ac:dyDescent="0.25">
      <c r="A3421" s="119"/>
      <c r="B3421" s="138" t="str">
        <f t="shared" si="167"/>
        <v>Windrow</v>
      </c>
      <c r="C3421" s="138" t="str">
        <f t="shared" si="168"/>
        <v>Base_With Amendment</v>
      </c>
      <c r="D3421" s="118" t="s">
        <v>138</v>
      </c>
      <c r="E3421" s="118" t="s">
        <v>181</v>
      </c>
      <c r="F3421" s="118" t="s">
        <v>46</v>
      </c>
      <c r="G3421" s="153"/>
      <c r="H3421" s="155">
        <v>-5.5100000000000003E-2</v>
      </c>
      <c r="I3421" s="154" t="s">
        <v>149</v>
      </c>
      <c r="J3421" s="203">
        <v>-0.17055999999999999</v>
      </c>
      <c r="K3421" s="154" t="s">
        <v>23</v>
      </c>
      <c r="L3421" s="154" t="str">
        <f>IF(OpenLCAbasic!K3421="CTUh", "Fill in Manually",IF(OR(K3421="Unit", K3421=""), "", INDEX(LookUps!$E$5:$E$12, MATCH(OpenLCAbasic!K3421,LookUps!$D$5:$D$12,0))))</f>
        <v>Global Warming Potential (GWP) - kg CO2 eq</v>
      </c>
      <c r="M3421" s="154" t="str">
        <f t="shared" si="169"/>
        <v>High_High_Low_Upgraded_Global Warming Potential (GWP) - kg CO2 eq_Anaerobic Digestion; wastewater treatment unit; at updated plant - US_Base_With Amendment_Windrow</v>
      </c>
    </row>
    <row r="3422" spans="1:13" s="120" customFormat="1" x14ac:dyDescent="0.25">
      <c r="A3422" s="119"/>
      <c r="B3422" s="138" t="str">
        <f t="shared" si="167"/>
        <v>Windrow</v>
      </c>
      <c r="C3422" s="138" t="str">
        <f t="shared" si="168"/>
        <v>Base_With Amendment</v>
      </c>
      <c r="D3422" s="118" t="s">
        <v>138</v>
      </c>
      <c r="E3422" s="118" t="s">
        <v>181</v>
      </c>
      <c r="F3422" s="118" t="s">
        <v>46</v>
      </c>
      <c r="G3422" s="153"/>
      <c r="H3422" s="155">
        <v>-0.32200000000000001</v>
      </c>
      <c r="I3422" s="154" t="s">
        <v>62</v>
      </c>
      <c r="J3422" s="203">
        <v>-0.99675999999999998</v>
      </c>
      <c r="K3422" s="154" t="s">
        <v>23</v>
      </c>
      <c r="L3422" s="154" t="str">
        <f>IF(OpenLCAbasic!K3422="CTUh", "Fill in Manually",IF(OR(K3422="Unit", K3422=""), "", INDEX(LookUps!$E$5:$E$12, MATCH(OpenLCAbasic!K3422,LookUps!$D$5:$D$12,0))))</f>
        <v>Global Warming Potential (GWP) - kg CO2 eq</v>
      </c>
      <c r="M3422" s="154" t="str">
        <f t="shared" si="169"/>
        <v>High_High_Low_Upgraded_Global Warming Potential (GWP) - kg CO2 eq_Land application of compost; wastewater treatment unit; at updated plant - US_Base_With Amendment_Windrow</v>
      </c>
    </row>
    <row r="3423" spans="1:13" s="120" customFormat="1" x14ac:dyDescent="0.25">
      <c r="A3423" s="119"/>
      <c r="B3423" s="138" t="str">
        <f t="shared" si="167"/>
        <v>Windrow</v>
      </c>
      <c r="C3423" s="138" t="str">
        <f t="shared" si="168"/>
        <v>Base_With Amendment</v>
      </c>
      <c r="D3423" s="118" t="s">
        <v>138</v>
      </c>
      <c r="E3423" s="118" t="s">
        <v>181</v>
      </c>
      <c r="F3423" s="118" t="s">
        <v>46</v>
      </c>
      <c r="G3423" s="153" t="s">
        <v>51</v>
      </c>
      <c r="H3423" s="154"/>
      <c r="I3423" s="154" t="s">
        <v>47</v>
      </c>
      <c r="J3423" s="154" t="s">
        <v>52</v>
      </c>
      <c r="K3423" s="154" t="s">
        <v>27</v>
      </c>
      <c r="L3423" s="154" t="str">
        <f>IF(OpenLCAbasic!K3423="CTUh", "Fill in Manually",IF(OR(K3423="Unit", K3423=""), "", INDEX(LookUps!$E$5:$E$12, MATCH(OpenLCAbasic!K3423,LookUps!$D$5:$D$12,0))))</f>
        <v/>
      </c>
      <c r="M3423" s="154" t="str">
        <f t="shared" si="169"/>
        <v>High_High_Low_Upgraded__Process_Base_With Amendment_Windrow</v>
      </c>
    </row>
    <row r="3424" spans="1:13" s="120" customFormat="1" x14ac:dyDescent="0.25">
      <c r="A3424" s="119"/>
      <c r="B3424" s="138" t="str">
        <f t="shared" si="167"/>
        <v>Windrow</v>
      </c>
      <c r="C3424" s="138" t="str">
        <f t="shared" si="168"/>
        <v>Base_With Amendment</v>
      </c>
      <c r="D3424" s="118" t="s">
        <v>138</v>
      </c>
      <c r="E3424" s="118" t="s">
        <v>181</v>
      </c>
      <c r="F3424" s="118" t="s">
        <v>46</v>
      </c>
      <c r="G3424" s="153"/>
      <c r="H3424" s="155">
        <v>0.62450000000000006</v>
      </c>
      <c r="I3424" s="154" t="s">
        <v>48</v>
      </c>
      <c r="J3424" s="203">
        <v>1.1610000000000001E-2</v>
      </c>
      <c r="K3424" s="154" t="s">
        <v>13</v>
      </c>
      <c r="L3424" s="154" t="str">
        <f>IF(OpenLCAbasic!K3424="CTUh", "Fill in Manually",IF(OR(K3424="Unit", K3424=""), "", INDEX(LookUps!$E$5:$E$12, MATCH(OpenLCAbasic!K3424,LookUps!$D$5:$D$12,0))))</f>
        <v>Eutrophication Potential (EP) - kg N eq</v>
      </c>
      <c r="M3424" s="154" t="str">
        <f t="shared" si="169"/>
        <v>High_High_Low_Upgraded_Eutrophication Potential (EP) - kg N eq_Effluent release; wastewater treatment unit; at surface water; m3 wastewater - US_Base_With Amendment_Windrow</v>
      </c>
    </row>
    <row r="3425" spans="1:13" s="120" customFormat="1" x14ac:dyDescent="0.25">
      <c r="A3425" s="119"/>
      <c r="B3425" s="138" t="str">
        <f t="shared" si="167"/>
        <v>Windrow</v>
      </c>
      <c r="C3425" s="138" t="str">
        <f t="shared" si="168"/>
        <v>Base_With Amendment</v>
      </c>
      <c r="D3425" s="118" t="s">
        <v>138</v>
      </c>
      <c r="E3425" s="118" t="s">
        <v>181</v>
      </c>
      <c r="F3425" s="118" t="s">
        <v>46</v>
      </c>
      <c r="G3425" s="153"/>
      <c r="H3425" s="155">
        <v>0.2276</v>
      </c>
      <c r="I3425" s="154" t="s">
        <v>62</v>
      </c>
      <c r="J3425" s="204">
        <v>4.2300000000000003E-3</v>
      </c>
      <c r="K3425" s="154" t="s">
        <v>13</v>
      </c>
      <c r="L3425" s="154" t="str">
        <f>IF(OpenLCAbasic!K3425="CTUh", "Fill in Manually",IF(OR(K3425="Unit", K3425=""), "", INDEX(LookUps!$E$5:$E$12, MATCH(OpenLCAbasic!K3425,LookUps!$D$5:$D$12,0))))</f>
        <v>Eutrophication Potential (EP) - kg N eq</v>
      </c>
      <c r="M3425" s="154" t="str">
        <f t="shared" si="169"/>
        <v>High_High_Low_Upgraded_Eutrophication Potential (EP) - kg N eq_Land application of compost; wastewater treatment unit; at updated plant - US_Base_With Amendment_Windrow</v>
      </c>
    </row>
    <row r="3426" spans="1:13" s="120" customFormat="1" x14ac:dyDescent="0.25">
      <c r="A3426" s="119"/>
      <c r="B3426" s="138" t="str">
        <f t="shared" si="167"/>
        <v>Windrow</v>
      </c>
      <c r="C3426" s="138" t="str">
        <f t="shared" si="168"/>
        <v>Base_With Amendment</v>
      </c>
      <c r="D3426" s="118" t="s">
        <v>138</v>
      </c>
      <c r="E3426" s="118" t="s">
        <v>181</v>
      </c>
      <c r="F3426" s="118" t="s">
        <v>46</v>
      </c>
      <c r="G3426" s="153"/>
      <c r="H3426" s="155">
        <v>7.7100000000000002E-2</v>
      </c>
      <c r="I3426" s="154" t="s">
        <v>271</v>
      </c>
      <c r="J3426" s="204">
        <v>1.4300000000000001E-3</v>
      </c>
      <c r="K3426" s="154" t="s">
        <v>13</v>
      </c>
      <c r="L3426" s="154" t="str">
        <f>IF(OpenLCAbasic!K3426="CTUh", "Fill in Manually",IF(OR(K3426="Unit", K3426=""), "", INDEX(LookUps!$E$5:$E$12, MATCH(OpenLCAbasic!K3426,LookUps!$D$5:$D$12,0))))</f>
        <v>Eutrophication Potential (EP) - kg N eq</v>
      </c>
      <c r="M3426" s="154" t="str">
        <f t="shared" si="169"/>
        <v>High_High_Low_Upgraded_Eutrophication Potential (EP) - kg N eq_Biosolids composting; windrow composting; wastewater treatment unit; at updated plant - US_Base_With Amendment_Windrow</v>
      </c>
    </row>
    <row r="3427" spans="1:13" s="120" customFormat="1" x14ac:dyDescent="0.25">
      <c r="A3427" s="119"/>
      <c r="B3427" s="138" t="str">
        <f t="shared" si="167"/>
        <v>Windrow</v>
      </c>
      <c r="C3427" s="138" t="str">
        <f t="shared" si="168"/>
        <v>Base_With Amendment</v>
      </c>
      <c r="D3427" s="118" t="s">
        <v>138</v>
      </c>
      <c r="E3427" s="118" t="s">
        <v>181</v>
      </c>
      <c r="F3427" s="118" t="s">
        <v>46</v>
      </c>
      <c r="G3427" s="153"/>
      <c r="H3427" s="155">
        <v>2.9399999999999999E-2</v>
      </c>
      <c r="I3427" s="154" t="s">
        <v>55</v>
      </c>
      <c r="J3427" s="204">
        <v>5.5000000000000003E-4</v>
      </c>
      <c r="K3427" s="154" t="s">
        <v>13</v>
      </c>
      <c r="L3427" s="154" t="str">
        <f>IF(OpenLCAbasic!K3427="CTUh", "Fill in Manually",IF(OR(K3427="Unit", K3427=""), "", INDEX(LookUps!$E$5:$E$12, MATCH(OpenLCAbasic!K3427,LookUps!$D$5:$D$12,0))))</f>
        <v>Eutrophication Potential (EP) - kg N eq</v>
      </c>
      <c r="M3427" s="154" t="str">
        <f t="shared" si="169"/>
        <v>High_High_Low_Upgraded_Eutrophication Potential (EP) - kg N eq_Aeration Tanks; wastewater treatment unit; at updated plant - US_Base_With Amendment_Windrow</v>
      </c>
    </row>
    <row r="3428" spans="1:13" s="120" customFormat="1" x14ac:dyDescent="0.25">
      <c r="A3428" s="119"/>
      <c r="B3428" s="138" t="str">
        <f t="shared" si="167"/>
        <v>Windrow</v>
      </c>
      <c r="C3428" s="138" t="str">
        <f t="shared" si="168"/>
        <v>Base_With Amendment</v>
      </c>
      <c r="D3428" s="118" t="s">
        <v>138</v>
      </c>
      <c r="E3428" s="118" t="s">
        <v>181</v>
      </c>
      <c r="F3428" s="118" t="s">
        <v>46</v>
      </c>
      <c r="G3428" s="153"/>
      <c r="H3428" s="155">
        <v>1.34E-2</v>
      </c>
      <c r="I3428" s="154" t="s">
        <v>147</v>
      </c>
      <c r="J3428" s="204">
        <v>2.5000000000000001E-4</v>
      </c>
      <c r="K3428" s="154" t="s">
        <v>13</v>
      </c>
      <c r="L3428" s="154" t="str">
        <f>IF(OpenLCAbasic!K3428="CTUh", "Fill in Manually",IF(OR(K3428="Unit", K3428=""), "", INDEX(LookUps!$E$5:$E$12, MATCH(OpenLCAbasic!K3428,LookUps!$D$5:$D$12,0))))</f>
        <v>Eutrophication Potential (EP) - kg N eq</v>
      </c>
      <c r="M3428" s="154" t="str">
        <f t="shared" si="169"/>
        <v>High_High_Low_Upgraded_Eutrophication Potential (EP) - kg N eq_Influent Pump Station; wastewater treatment unit; at updated plant - US_Base_With Amendment_Windrow</v>
      </c>
    </row>
    <row r="3429" spans="1:13" s="120" customFormat="1" x14ac:dyDescent="0.25">
      <c r="A3429" s="119"/>
      <c r="B3429" s="138" t="str">
        <f t="shared" si="167"/>
        <v>Windrow</v>
      </c>
      <c r="C3429" s="138" t="str">
        <f t="shared" si="168"/>
        <v>Base_With Amendment</v>
      </c>
      <c r="D3429" s="118" t="s">
        <v>138</v>
      </c>
      <c r="E3429" s="118" t="s">
        <v>181</v>
      </c>
      <c r="F3429" s="118" t="s">
        <v>46</v>
      </c>
      <c r="G3429" s="153"/>
      <c r="H3429" s="155">
        <v>1.18E-2</v>
      </c>
      <c r="I3429" s="154" t="s">
        <v>167</v>
      </c>
      <c r="J3429" s="204">
        <v>2.2000000000000001E-4</v>
      </c>
      <c r="K3429" s="154" t="s">
        <v>13</v>
      </c>
      <c r="L3429" s="154" t="str">
        <f>IF(OpenLCAbasic!K3429="CTUh", "Fill in Manually",IF(OR(K3429="Unit", K3429=""), "", INDEX(LookUps!$E$5:$E$12, MATCH(OpenLCAbasic!K3429,LookUps!$D$5:$D$12,0))))</f>
        <v>Eutrophication Potential (EP) - kg N eq</v>
      </c>
      <c r="M3429" s="154" t="str">
        <f t="shared" si="169"/>
        <v>High_High_Low_Upgraded_Eutrophication Potential (EP) - kg N eq_Waste Receiving and Holding; wastewater treatment unit; at updated plant - US_Base_With Amendment_Windrow</v>
      </c>
    </row>
    <row r="3430" spans="1:13" s="120" customFormat="1" x14ac:dyDescent="0.25">
      <c r="A3430" s="119"/>
      <c r="B3430" s="138" t="str">
        <f t="shared" si="167"/>
        <v>Windrow</v>
      </c>
      <c r="C3430" s="138" t="str">
        <f t="shared" si="168"/>
        <v>Base_With Amendment</v>
      </c>
      <c r="D3430" s="118" t="s">
        <v>138</v>
      </c>
      <c r="E3430" s="118" t="s">
        <v>181</v>
      </c>
      <c r="F3430" s="118" t="s">
        <v>46</v>
      </c>
      <c r="G3430" s="153"/>
      <c r="H3430" s="155">
        <v>1.0699999999999999E-2</v>
      </c>
      <c r="I3430" s="154" t="s">
        <v>54</v>
      </c>
      <c r="J3430" s="204">
        <v>2.0000000000000001E-4</v>
      </c>
      <c r="K3430" s="154" t="s">
        <v>13</v>
      </c>
      <c r="L3430" s="154" t="str">
        <f>IF(OpenLCAbasic!K3430="CTUh", "Fill in Manually",IF(OR(K3430="Unit", K3430=""), "", INDEX(LookUps!$E$5:$E$12, MATCH(OpenLCAbasic!K3430,LookUps!$D$5:$D$12,0))))</f>
        <v>Eutrophication Potential (EP) - kg N eq</v>
      </c>
      <c r="M3430" s="154" t="str">
        <f t="shared" si="169"/>
        <v>High_High_Low_Upgraded_Eutrophication Potential (EP) - kg N eq_Clear Cove Primary Clarification; wastewater treatment unit; at updated plant - US_Base_With Amendment_Windrow</v>
      </c>
    </row>
    <row r="3431" spans="1:13" s="120" customFormat="1" x14ac:dyDescent="0.25">
      <c r="A3431" s="119"/>
      <c r="B3431" s="138" t="str">
        <f t="shared" si="167"/>
        <v>Windrow</v>
      </c>
      <c r="C3431" s="138" t="str">
        <f t="shared" si="168"/>
        <v>Base_With Amendment</v>
      </c>
      <c r="D3431" s="118" t="s">
        <v>138</v>
      </c>
      <c r="E3431" s="118" t="s">
        <v>181</v>
      </c>
      <c r="F3431" s="118" t="s">
        <v>46</v>
      </c>
      <c r="G3431" s="153"/>
      <c r="H3431" s="155">
        <v>7.3000000000000001E-3</v>
      </c>
      <c r="I3431" s="154" t="s">
        <v>58</v>
      </c>
      <c r="J3431" s="204">
        <v>1.3999999999999999E-4</v>
      </c>
      <c r="K3431" s="154" t="s">
        <v>13</v>
      </c>
      <c r="L3431" s="154" t="str">
        <f>IF(OpenLCAbasic!K3431="CTUh", "Fill in Manually",IF(OR(K3431="Unit", K3431=""), "", INDEX(LookUps!$E$5:$E$12, MATCH(OpenLCAbasic!K3431,LookUps!$D$5:$D$12,0))))</f>
        <v>Eutrophication Potential (EP) - kg N eq</v>
      </c>
      <c r="M3431" s="154" t="str">
        <f t="shared" si="169"/>
        <v>High_High_Low_Upgraded_Eutrophication Potential (EP) - kg N eq_Pre-Anoxic &amp; Swing tank; wastewater treatment unit; at updated plant - US_Base_With Amendment_Windrow</v>
      </c>
    </row>
    <row r="3432" spans="1:13" s="120" customFormat="1" x14ac:dyDescent="0.25">
      <c r="A3432" s="119"/>
      <c r="B3432" s="138" t="str">
        <f t="shared" si="167"/>
        <v>Windrow</v>
      </c>
      <c r="C3432" s="138" t="str">
        <f t="shared" si="168"/>
        <v>Base_With Amendment</v>
      </c>
      <c r="D3432" s="118" t="s">
        <v>138</v>
      </c>
      <c r="E3432" s="118" t="s">
        <v>181</v>
      </c>
      <c r="F3432" s="118" t="s">
        <v>46</v>
      </c>
      <c r="G3432" s="153"/>
      <c r="H3432" s="155">
        <v>5.8999999999999999E-3</v>
      </c>
      <c r="I3432" s="154" t="s">
        <v>60</v>
      </c>
      <c r="J3432" s="204">
        <v>1.1E-4</v>
      </c>
      <c r="K3432" s="154" t="s">
        <v>13</v>
      </c>
      <c r="L3432" s="154" t="str">
        <f>IF(OpenLCAbasic!K3432="CTUh", "Fill in Manually",IF(OR(K3432="Unit", K3432=""), "", INDEX(LookUps!$E$5:$E$12, MATCH(OpenLCAbasic!K3432,LookUps!$D$5:$D$12,0))))</f>
        <v>Eutrophication Potential (EP) - kg N eq</v>
      </c>
      <c r="M3432" s="154" t="str">
        <f t="shared" si="169"/>
        <v>High_High_Low_Upgraded_Eutrophication Potential (EP) - kg N eq_Belt filter press; wastewater treatment unit; at updated plant - US_Base_With Amendment_Windrow</v>
      </c>
    </row>
    <row r="3433" spans="1:13" s="120" customFormat="1" x14ac:dyDescent="0.25">
      <c r="A3433" s="119"/>
      <c r="B3433" s="138" t="str">
        <f t="shared" si="167"/>
        <v>Windrow</v>
      </c>
      <c r="C3433" s="138" t="str">
        <f t="shared" si="168"/>
        <v>Base_With Amendment</v>
      </c>
      <c r="D3433" s="118" t="s">
        <v>138</v>
      </c>
      <c r="E3433" s="118" t="s">
        <v>181</v>
      </c>
      <c r="F3433" s="118" t="s">
        <v>46</v>
      </c>
      <c r="G3433" s="153"/>
      <c r="H3433" s="155">
        <v>5.7999999999999996E-3</v>
      </c>
      <c r="I3433" s="154" t="s">
        <v>53</v>
      </c>
      <c r="J3433" s="204">
        <v>1.1E-4</v>
      </c>
      <c r="K3433" s="154" t="s">
        <v>13</v>
      </c>
      <c r="L3433" s="154" t="str">
        <f>IF(OpenLCAbasic!K3433="CTUh", "Fill in Manually",IF(OR(K3433="Unit", K3433=""), "", INDEX(LookUps!$E$5:$E$12, MATCH(OpenLCAbasic!K3433,LookUps!$D$5:$D$12,0))))</f>
        <v>Eutrophication Potential (EP) - kg N eq</v>
      </c>
      <c r="M3433" s="154" t="str">
        <f t="shared" si="169"/>
        <v>High_High_Low_Upgraded_Eutrophication Potential (EP) - kg N eq_Wet Well and Sump Station; wastewater treatment unit; at updated plant - US_Base_With Amendment_Windrow</v>
      </c>
    </row>
    <row r="3434" spans="1:13" s="120" customFormat="1" x14ac:dyDescent="0.25">
      <c r="A3434" s="119"/>
      <c r="B3434" s="138" t="str">
        <f t="shared" si="167"/>
        <v>Windrow</v>
      </c>
      <c r="C3434" s="138" t="str">
        <f t="shared" si="168"/>
        <v>Base_With Amendment</v>
      </c>
      <c r="D3434" s="118" t="s">
        <v>138</v>
      </c>
      <c r="E3434" s="118" t="s">
        <v>181</v>
      </c>
      <c r="F3434" s="118" t="s">
        <v>46</v>
      </c>
      <c r="G3434" s="153"/>
      <c r="H3434" s="155">
        <v>3.3E-3</v>
      </c>
      <c r="I3434" s="154" t="s">
        <v>57</v>
      </c>
      <c r="J3434" s="204">
        <v>6.0590300000000002E-5</v>
      </c>
      <c r="K3434" s="154" t="s">
        <v>13</v>
      </c>
      <c r="L3434" s="154" t="str">
        <f>IF(OpenLCAbasic!K3434="CTUh", "Fill in Manually",IF(OR(K3434="Unit", K3434=""), "", INDEX(LookUps!$E$5:$E$12, MATCH(OpenLCAbasic!K3434,LookUps!$D$5:$D$12,0))))</f>
        <v>Eutrophication Potential (EP) - kg N eq</v>
      </c>
      <c r="M3434" s="154" t="str">
        <f t="shared" si="169"/>
        <v>High_High_Low_Upgraded_Eutrophication Potential (EP) - kg N eq_Gravity Belt Thickener; wastewater treatment unit; at updated plant - US_Base_With Amendment_Windrow</v>
      </c>
    </row>
    <row r="3435" spans="1:13" s="120" customFormat="1" x14ac:dyDescent="0.25">
      <c r="A3435" s="119"/>
      <c r="B3435" s="138" t="str">
        <f t="shared" si="167"/>
        <v>Windrow</v>
      </c>
      <c r="C3435" s="138" t="str">
        <f t="shared" si="168"/>
        <v>Base_With Amendment</v>
      </c>
      <c r="D3435" s="118" t="s">
        <v>138</v>
      </c>
      <c r="E3435" s="118" t="s">
        <v>181</v>
      </c>
      <c r="F3435" s="118" t="s">
        <v>46</v>
      </c>
      <c r="G3435" s="153"/>
      <c r="H3435" s="155">
        <v>2E-3</v>
      </c>
      <c r="I3435" s="154" t="s">
        <v>128</v>
      </c>
      <c r="J3435" s="204">
        <v>3.7559799999999999E-5</v>
      </c>
      <c r="K3435" s="154" t="s">
        <v>13</v>
      </c>
      <c r="L3435" s="154" t="str">
        <f>IF(OpenLCAbasic!K3435="CTUh", "Fill in Manually",IF(OR(K3435="Unit", K3435=""), "", INDEX(LookUps!$E$5:$E$12, MATCH(OpenLCAbasic!K3435,LookUps!$D$5:$D$12,0))))</f>
        <v>Eutrophication Potential (EP) - kg N eq</v>
      </c>
      <c r="M3435" s="154" t="str">
        <f t="shared" si="169"/>
        <v>High_High_Low_Upgraded_Eutrophication Potential (EP) - kg N eq_Wastewater collection; operation and infrastructure; m3 wastewater_Base_With Amendment_Windrow</v>
      </c>
    </row>
    <row r="3436" spans="1:13" s="120" customFormat="1" x14ac:dyDescent="0.25">
      <c r="A3436" s="119"/>
      <c r="B3436" s="138" t="str">
        <f t="shared" si="167"/>
        <v>Windrow</v>
      </c>
      <c r="C3436" s="138" t="str">
        <f t="shared" si="168"/>
        <v>Base_With Amendment</v>
      </c>
      <c r="D3436" s="118" t="s">
        <v>138</v>
      </c>
      <c r="E3436" s="118" t="s">
        <v>181</v>
      </c>
      <c r="F3436" s="118" t="s">
        <v>46</v>
      </c>
      <c r="G3436" s="153"/>
      <c r="H3436" s="155">
        <v>2E-3</v>
      </c>
      <c r="I3436" s="154" t="s">
        <v>148</v>
      </c>
      <c r="J3436" s="204">
        <v>3.6874600000000001E-5</v>
      </c>
      <c r="K3436" s="154" t="s">
        <v>13</v>
      </c>
      <c r="L3436" s="154" t="str">
        <f>IF(OpenLCAbasic!K3436="CTUh", "Fill in Manually",IF(OR(K3436="Unit", K3436=""), "", INDEX(LookUps!$E$5:$E$12, MATCH(OpenLCAbasic!K3436,LookUps!$D$5:$D$12,0))))</f>
        <v>Eutrophication Potential (EP) - kg N eq</v>
      </c>
      <c r="M3436" s="154" t="str">
        <f t="shared" si="169"/>
        <v>High_High_Low_Upgraded_Eutrophication Potential (EP) - kg N eq_Control Building; at upgraded wastewater treatment plant - US_Base_With Amendment_Windrow</v>
      </c>
    </row>
    <row r="3437" spans="1:13" s="120" customFormat="1" x14ac:dyDescent="0.25">
      <c r="A3437" s="119"/>
      <c r="B3437" s="138" t="str">
        <f t="shared" si="167"/>
        <v>Windrow</v>
      </c>
      <c r="C3437" s="138" t="str">
        <f t="shared" si="168"/>
        <v>Base_With Amendment</v>
      </c>
      <c r="D3437" s="118" t="s">
        <v>138</v>
      </c>
      <c r="E3437" s="118" t="s">
        <v>181</v>
      </c>
      <c r="F3437" s="118" t="s">
        <v>46</v>
      </c>
      <c r="G3437" s="153"/>
      <c r="H3437" s="155">
        <v>8.9999999999999998E-4</v>
      </c>
      <c r="I3437" s="154" t="s">
        <v>59</v>
      </c>
      <c r="J3437" s="204">
        <v>1.6215700000000001E-5</v>
      </c>
      <c r="K3437" s="154" t="s">
        <v>13</v>
      </c>
      <c r="L3437" s="154" t="str">
        <f>IF(OpenLCAbasic!K3437="CTUh", "Fill in Manually",IF(OR(K3437="Unit", K3437=""), "", INDEX(LookUps!$E$5:$E$12, MATCH(OpenLCAbasic!K3437,LookUps!$D$5:$D$12,0))))</f>
        <v>Eutrophication Potential (EP) - kg N eq</v>
      </c>
      <c r="M3437" s="154" t="str">
        <f t="shared" si="169"/>
        <v>High_High_Low_Upgraded_Eutrophication Potential (EP) - kg N eq_Blend Tank; wastewater treatment unit; at updated plant - US_Base_With Amendment_Windrow</v>
      </c>
    </row>
    <row r="3438" spans="1:13" s="120" customFormat="1" x14ac:dyDescent="0.25">
      <c r="A3438" s="119"/>
      <c r="B3438" s="138" t="str">
        <f t="shared" si="167"/>
        <v>Windrow</v>
      </c>
      <c r="C3438" s="138" t="str">
        <f t="shared" si="168"/>
        <v>Base_With Amendment</v>
      </c>
      <c r="D3438" s="118" t="s">
        <v>138</v>
      </c>
      <c r="E3438" s="118" t="s">
        <v>181</v>
      </c>
      <c r="F3438" s="118" t="s">
        <v>46</v>
      </c>
      <c r="G3438" s="153"/>
      <c r="H3438" s="155">
        <v>4.0000000000000002E-4</v>
      </c>
      <c r="I3438" s="154" t="s">
        <v>168</v>
      </c>
      <c r="J3438" s="204">
        <v>7.7567199999999995E-6</v>
      </c>
      <c r="K3438" s="154" t="s">
        <v>13</v>
      </c>
      <c r="L3438" s="154" t="str">
        <f>IF(OpenLCAbasic!K3438="CTUh", "Fill in Manually",IF(OR(K3438="Unit", K3438=""), "", INDEX(LookUps!$E$5:$E$12, MATCH(OpenLCAbasic!K3438,LookUps!$D$5:$D$12,0))))</f>
        <v>Eutrophication Potential (EP) - kg N eq</v>
      </c>
      <c r="M3438" s="154" t="str">
        <f t="shared" si="169"/>
        <v>High_High_Low_Upgraded_Eutrophication Potential (EP) - kg N eq_ClearCove SCP; wastewater treatment unit; at updated plant - US_Base_With Amendment_Windrow</v>
      </c>
    </row>
    <row r="3439" spans="1:13" s="120" customFormat="1" x14ac:dyDescent="0.25">
      <c r="A3439" s="119"/>
      <c r="B3439" s="138" t="str">
        <f t="shared" si="167"/>
        <v>Windrow</v>
      </c>
      <c r="C3439" s="138" t="str">
        <f t="shared" si="168"/>
        <v>Base_With Amendment</v>
      </c>
      <c r="D3439" s="118" t="s">
        <v>138</v>
      </c>
      <c r="E3439" s="118" t="s">
        <v>181</v>
      </c>
      <c r="F3439" s="118" t="s">
        <v>46</v>
      </c>
      <c r="G3439" s="153"/>
      <c r="H3439" s="155">
        <v>-2.2100000000000002E-2</v>
      </c>
      <c r="I3439" s="154" t="s">
        <v>149</v>
      </c>
      <c r="J3439" s="204">
        <v>-4.0999999999999999E-4</v>
      </c>
      <c r="K3439" s="154" t="s">
        <v>13</v>
      </c>
      <c r="L3439" s="154" t="str">
        <f>IF(OpenLCAbasic!K3439="CTUh", "Fill in Manually",IF(OR(K3439="Unit", K3439=""), "", INDEX(LookUps!$E$5:$E$12, MATCH(OpenLCAbasic!K3439,LookUps!$D$5:$D$12,0))))</f>
        <v>Eutrophication Potential (EP) - kg N eq</v>
      </c>
      <c r="M3439" s="154" t="str">
        <f t="shared" si="169"/>
        <v>High_High_Low_Upgraded_Eutrophication Potential (EP) - kg N eq_Anaerobic Digestion; wastewater treatment unit; at updated plant - US_Base_With Amendment_Windrow</v>
      </c>
    </row>
    <row r="3440" spans="1:13" s="120" customFormat="1" x14ac:dyDescent="0.25">
      <c r="A3440" s="119"/>
      <c r="B3440" s="138" t="str">
        <f t="shared" si="167"/>
        <v>Windrow</v>
      </c>
      <c r="C3440" s="138" t="str">
        <f t="shared" si="168"/>
        <v>Base_With Amendment</v>
      </c>
      <c r="D3440" s="118" t="s">
        <v>138</v>
      </c>
      <c r="E3440" s="118" t="s">
        <v>181</v>
      </c>
      <c r="F3440" s="118" t="s">
        <v>46</v>
      </c>
      <c r="G3440" s="153" t="s">
        <v>51</v>
      </c>
      <c r="H3440" s="154"/>
      <c r="I3440" s="154" t="s">
        <v>47</v>
      </c>
      <c r="J3440" s="154" t="s">
        <v>52</v>
      </c>
      <c r="K3440" s="154" t="s">
        <v>27</v>
      </c>
      <c r="L3440" s="154" t="str">
        <f>IF(OpenLCAbasic!K3440="CTUh", "Fill in Manually",IF(OR(K3440="Unit", K3440=""), "", INDEX(LookUps!$E$5:$E$12, MATCH(OpenLCAbasic!K3440,LookUps!$D$5:$D$12,0))))</f>
        <v/>
      </c>
      <c r="M3440" s="154" t="str">
        <f t="shared" si="169"/>
        <v>High_High_Low_Upgraded__Process_Base_With Amendment_Windrow</v>
      </c>
    </row>
    <row r="3441" spans="1:13" s="120" customFormat="1" x14ac:dyDescent="0.25">
      <c r="A3441" s="119"/>
      <c r="B3441" s="138" t="str">
        <f t="shared" si="167"/>
        <v>Windrow</v>
      </c>
      <c r="C3441" s="138" t="str">
        <f t="shared" si="168"/>
        <v>Base_With Amendment</v>
      </c>
      <c r="D3441" s="118" t="s">
        <v>138</v>
      </c>
      <c r="E3441" s="118" t="s">
        <v>181</v>
      </c>
      <c r="F3441" s="118" t="s">
        <v>46</v>
      </c>
      <c r="G3441" s="153"/>
      <c r="H3441" s="155">
        <v>0.61760000000000004</v>
      </c>
      <c r="I3441" s="154" t="s">
        <v>167</v>
      </c>
      <c r="J3441" s="157">
        <v>5.1393399999999998</v>
      </c>
      <c r="K3441" s="154" t="s">
        <v>15</v>
      </c>
      <c r="L3441" s="154" t="str">
        <f>IF(OpenLCAbasic!K3441="CTUh", "Fill in Manually",IF(OR(K3441="Unit", K3441=""), "", INDEX(LookUps!$E$5:$E$12, MATCH(OpenLCAbasic!K3441,LookUps!$D$5:$D$12,0))))</f>
        <v>Cumulative Energy Demand (CED) - MJ</v>
      </c>
      <c r="M3441" s="154" t="str">
        <f t="shared" si="169"/>
        <v>High_High_Low_Upgraded_Cumulative Energy Demand (CED) - MJ_Waste Receiving and Holding; wastewater treatment unit; at updated plant - US_Base_With Amendment_Windrow</v>
      </c>
    </row>
    <row r="3442" spans="1:13" s="120" customFormat="1" x14ac:dyDescent="0.25">
      <c r="A3442" s="119"/>
      <c r="B3442" s="138" t="str">
        <f t="shared" si="167"/>
        <v>Windrow</v>
      </c>
      <c r="C3442" s="138" t="str">
        <f t="shared" si="168"/>
        <v>Base_With Amendment</v>
      </c>
      <c r="D3442" s="118" t="s">
        <v>138</v>
      </c>
      <c r="E3442" s="118" t="s">
        <v>181</v>
      </c>
      <c r="F3442" s="118" t="s">
        <v>46</v>
      </c>
      <c r="G3442" s="153"/>
      <c r="H3442" s="155">
        <v>0.42459999999999998</v>
      </c>
      <c r="I3442" s="154" t="s">
        <v>55</v>
      </c>
      <c r="J3442" s="157">
        <v>3.5330499999999998</v>
      </c>
      <c r="K3442" s="154" t="s">
        <v>15</v>
      </c>
      <c r="L3442" s="154" t="str">
        <f>IF(OpenLCAbasic!K3442="CTUh", "Fill in Manually",IF(OR(K3442="Unit", K3442=""), "", INDEX(LookUps!$E$5:$E$12, MATCH(OpenLCAbasic!K3442,LookUps!$D$5:$D$12,0))))</f>
        <v>Cumulative Energy Demand (CED) - MJ</v>
      </c>
      <c r="M3442" s="154" t="str">
        <f t="shared" si="169"/>
        <v>High_High_Low_Upgraded_Cumulative Energy Demand (CED) - MJ_Aeration Tanks; wastewater treatment unit; at updated plant - US_Base_With Amendment_Windrow</v>
      </c>
    </row>
    <row r="3443" spans="1:13" s="120" customFormat="1" x14ac:dyDescent="0.25">
      <c r="A3443" s="119"/>
      <c r="B3443" s="138" t="str">
        <f t="shared" si="167"/>
        <v>Windrow</v>
      </c>
      <c r="C3443" s="138" t="str">
        <f t="shared" si="168"/>
        <v>Base_With Amendment</v>
      </c>
      <c r="D3443" s="118" t="s">
        <v>138</v>
      </c>
      <c r="E3443" s="118" t="s">
        <v>181</v>
      </c>
      <c r="F3443" s="118" t="s">
        <v>46</v>
      </c>
      <c r="G3443" s="153"/>
      <c r="H3443" s="155">
        <v>0.13980000000000001</v>
      </c>
      <c r="I3443" s="154" t="s">
        <v>54</v>
      </c>
      <c r="J3443" s="157">
        <v>1.16289</v>
      </c>
      <c r="K3443" s="154" t="s">
        <v>15</v>
      </c>
      <c r="L3443" s="154" t="str">
        <f>IF(OpenLCAbasic!K3443="CTUh", "Fill in Manually",IF(OR(K3443="Unit", K3443=""), "", INDEX(LookUps!$E$5:$E$12, MATCH(OpenLCAbasic!K3443,LookUps!$D$5:$D$12,0))))</f>
        <v>Cumulative Energy Demand (CED) - MJ</v>
      </c>
      <c r="M3443" s="154" t="str">
        <f t="shared" si="169"/>
        <v>High_High_Low_Upgraded_Cumulative Energy Demand (CED) - MJ_Clear Cove Primary Clarification; wastewater treatment unit; at updated plant - US_Base_With Amendment_Windrow</v>
      </c>
    </row>
    <row r="3444" spans="1:13" s="120" customFormat="1" x14ac:dyDescent="0.25">
      <c r="A3444" s="119"/>
      <c r="B3444" s="138" t="str">
        <f t="shared" si="167"/>
        <v>Windrow</v>
      </c>
      <c r="C3444" s="138" t="str">
        <f t="shared" si="168"/>
        <v>Base_With Amendment</v>
      </c>
      <c r="D3444" s="118" t="s">
        <v>138</v>
      </c>
      <c r="E3444" s="118" t="s">
        <v>181</v>
      </c>
      <c r="F3444" s="118" t="s">
        <v>46</v>
      </c>
      <c r="G3444" s="153"/>
      <c r="H3444" s="155">
        <v>0.107</v>
      </c>
      <c r="I3444" s="154" t="s">
        <v>58</v>
      </c>
      <c r="J3444" s="203">
        <v>0.89063999999999999</v>
      </c>
      <c r="K3444" s="154" t="s">
        <v>15</v>
      </c>
      <c r="L3444" s="154" t="str">
        <f>IF(OpenLCAbasic!K3444="CTUh", "Fill in Manually",IF(OR(K3444="Unit", K3444=""), "", INDEX(LookUps!$E$5:$E$12, MATCH(OpenLCAbasic!K3444,LookUps!$D$5:$D$12,0))))</f>
        <v>Cumulative Energy Demand (CED) - MJ</v>
      </c>
      <c r="M3444" s="154" t="str">
        <f t="shared" si="169"/>
        <v>High_High_Low_Upgraded_Cumulative Energy Demand (CED) - MJ_Pre-Anoxic &amp; Swing tank; wastewater treatment unit; at updated plant - US_Base_With Amendment_Windrow</v>
      </c>
    </row>
    <row r="3445" spans="1:13" s="120" customFormat="1" x14ac:dyDescent="0.25">
      <c r="A3445" s="119"/>
      <c r="B3445" s="138" t="str">
        <f t="shared" si="167"/>
        <v>Windrow</v>
      </c>
      <c r="C3445" s="138" t="str">
        <f t="shared" si="168"/>
        <v>Base_With Amendment</v>
      </c>
      <c r="D3445" s="118" t="s">
        <v>138</v>
      </c>
      <c r="E3445" s="118" t="s">
        <v>181</v>
      </c>
      <c r="F3445" s="118" t="s">
        <v>46</v>
      </c>
      <c r="G3445" s="153"/>
      <c r="H3445" s="155">
        <v>0.1061</v>
      </c>
      <c r="I3445" s="154" t="s">
        <v>147</v>
      </c>
      <c r="J3445" s="203">
        <v>0.88297000000000003</v>
      </c>
      <c r="K3445" s="154" t="s">
        <v>15</v>
      </c>
      <c r="L3445" s="154" t="str">
        <f>IF(OpenLCAbasic!K3445="CTUh", "Fill in Manually",IF(OR(K3445="Unit", K3445=""), "", INDEX(LookUps!$E$5:$E$12, MATCH(OpenLCAbasic!K3445,LookUps!$D$5:$D$12,0))))</f>
        <v>Cumulative Energy Demand (CED) - MJ</v>
      </c>
      <c r="M3445" s="154" t="str">
        <f t="shared" si="169"/>
        <v>High_High_Low_Upgraded_Cumulative Energy Demand (CED) - MJ_Influent Pump Station; wastewater treatment unit; at updated plant - US_Base_With Amendment_Windrow</v>
      </c>
    </row>
    <row r="3446" spans="1:13" s="120" customFormat="1" x14ac:dyDescent="0.25">
      <c r="A3446" s="119"/>
      <c r="B3446" s="138" t="str">
        <f t="shared" si="167"/>
        <v>Windrow</v>
      </c>
      <c r="C3446" s="138" t="str">
        <f t="shared" si="168"/>
        <v>Base_With Amendment</v>
      </c>
      <c r="D3446" s="118" t="s">
        <v>138</v>
      </c>
      <c r="E3446" s="118" t="s">
        <v>181</v>
      </c>
      <c r="F3446" s="118" t="s">
        <v>46</v>
      </c>
      <c r="G3446" s="153"/>
      <c r="H3446" s="155">
        <v>8.3699999999999997E-2</v>
      </c>
      <c r="I3446" s="154" t="s">
        <v>53</v>
      </c>
      <c r="J3446" s="203">
        <v>0.69645000000000001</v>
      </c>
      <c r="K3446" s="154" t="s">
        <v>15</v>
      </c>
      <c r="L3446" s="154" t="str">
        <f>IF(OpenLCAbasic!K3446="CTUh", "Fill in Manually",IF(OR(K3446="Unit", K3446=""), "", INDEX(LookUps!$E$5:$E$12, MATCH(OpenLCAbasic!K3446,LookUps!$D$5:$D$12,0))))</f>
        <v>Cumulative Energy Demand (CED) - MJ</v>
      </c>
      <c r="M3446" s="154" t="str">
        <f t="shared" si="169"/>
        <v>High_High_Low_Upgraded_Cumulative Energy Demand (CED) - MJ_Wet Well and Sump Station; wastewater treatment unit; at updated plant - US_Base_With Amendment_Windrow</v>
      </c>
    </row>
    <row r="3447" spans="1:13" s="120" customFormat="1" x14ac:dyDescent="0.25">
      <c r="A3447" s="119"/>
      <c r="B3447" s="138" t="str">
        <f t="shared" si="167"/>
        <v>Windrow</v>
      </c>
      <c r="C3447" s="138" t="str">
        <f t="shared" si="168"/>
        <v>Base_With Amendment</v>
      </c>
      <c r="D3447" s="118" t="s">
        <v>138</v>
      </c>
      <c r="E3447" s="118" t="s">
        <v>181</v>
      </c>
      <c r="F3447" s="118" t="s">
        <v>46</v>
      </c>
      <c r="G3447" s="153"/>
      <c r="H3447" s="155">
        <v>7.5399999999999995E-2</v>
      </c>
      <c r="I3447" s="154" t="s">
        <v>60</v>
      </c>
      <c r="J3447" s="203">
        <v>0.62775999999999998</v>
      </c>
      <c r="K3447" s="154" t="s">
        <v>15</v>
      </c>
      <c r="L3447" s="154" t="str">
        <f>IF(OpenLCAbasic!K3447="CTUh", "Fill in Manually",IF(OR(K3447="Unit", K3447=""), "", INDEX(LookUps!$E$5:$E$12, MATCH(OpenLCAbasic!K3447,LookUps!$D$5:$D$12,0))))</f>
        <v>Cumulative Energy Demand (CED) - MJ</v>
      </c>
      <c r="M3447" s="154" t="str">
        <f t="shared" si="169"/>
        <v>High_High_Low_Upgraded_Cumulative Energy Demand (CED) - MJ_Belt filter press; wastewater treatment unit; at updated plant - US_Base_With Amendment_Windrow</v>
      </c>
    </row>
    <row r="3448" spans="1:13" s="120" customFormat="1" x14ac:dyDescent="0.25">
      <c r="A3448" s="119"/>
      <c r="B3448" s="138" t="str">
        <f t="shared" si="167"/>
        <v>Windrow</v>
      </c>
      <c r="C3448" s="138" t="str">
        <f t="shared" si="168"/>
        <v>Base_With Amendment</v>
      </c>
      <c r="D3448" s="118" t="s">
        <v>138</v>
      </c>
      <c r="E3448" s="118" t="s">
        <v>181</v>
      </c>
      <c r="F3448" s="118" t="s">
        <v>46</v>
      </c>
      <c r="G3448" s="153"/>
      <c r="H3448" s="155">
        <v>4.0099999999999997E-2</v>
      </c>
      <c r="I3448" s="154" t="s">
        <v>57</v>
      </c>
      <c r="J3448" s="203">
        <v>0.33404</v>
      </c>
      <c r="K3448" s="154" t="s">
        <v>15</v>
      </c>
      <c r="L3448" s="154" t="str">
        <f>IF(OpenLCAbasic!K3448="CTUh", "Fill in Manually",IF(OR(K3448="Unit", K3448=""), "", INDEX(LookUps!$E$5:$E$12, MATCH(OpenLCAbasic!K3448,LookUps!$D$5:$D$12,0))))</f>
        <v>Cumulative Energy Demand (CED) - MJ</v>
      </c>
      <c r="M3448" s="154" t="str">
        <f t="shared" si="169"/>
        <v>High_High_Low_Upgraded_Cumulative Energy Demand (CED) - MJ_Gravity Belt Thickener; wastewater treatment unit; at updated plant - US_Base_With Amendment_Windrow</v>
      </c>
    </row>
    <row r="3449" spans="1:13" s="120" customFormat="1" x14ac:dyDescent="0.25">
      <c r="A3449" s="119"/>
      <c r="B3449" s="138" t="str">
        <f t="shared" si="167"/>
        <v>Windrow</v>
      </c>
      <c r="C3449" s="138" t="str">
        <f t="shared" si="168"/>
        <v>Base_With Amendment</v>
      </c>
      <c r="D3449" s="118" t="s">
        <v>138</v>
      </c>
      <c r="E3449" s="118" t="s">
        <v>181</v>
      </c>
      <c r="F3449" s="118" t="s">
        <v>46</v>
      </c>
      <c r="G3449" s="153"/>
      <c r="H3449" s="155">
        <v>3.0800000000000001E-2</v>
      </c>
      <c r="I3449" s="154" t="s">
        <v>128</v>
      </c>
      <c r="J3449" s="203">
        <v>0.25606000000000001</v>
      </c>
      <c r="K3449" s="154" t="s">
        <v>15</v>
      </c>
      <c r="L3449" s="154" t="str">
        <f>IF(OpenLCAbasic!K3449="CTUh", "Fill in Manually",IF(OR(K3449="Unit", K3449=""), "", INDEX(LookUps!$E$5:$E$12, MATCH(OpenLCAbasic!K3449,LookUps!$D$5:$D$12,0))))</f>
        <v>Cumulative Energy Demand (CED) - MJ</v>
      </c>
      <c r="M3449" s="154" t="str">
        <f t="shared" si="169"/>
        <v>High_High_Low_Upgraded_Cumulative Energy Demand (CED) - MJ_Wastewater collection; operation and infrastructure; m3 wastewater_Base_With Amendment_Windrow</v>
      </c>
    </row>
    <row r="3450" spans="1:13" s="120" customFormat="1" x14ac:dyDescent="0.25">
      <c r="A3450" s="119"/>
      <c r="B3450" s="138" t="str">
        <f t="shared" si="167"/>
        <v>Windrow</v>
      </c>
      <c r="C3450" s="138" t="str">
        <f t="shared" si="168"/>
        <v>Base_With Amendment</v>
      </c>
      <c r="D3450" s="118" t="s">
        <v>138</v>
      </c>
      <c r="E3450" s="118" t="s">
        <v>181</v>
      </c>
      <c r="F3450" s="118" t="s">
        <v>46</v>
      </c>
      <c r="G3450" s="153"/>
      <c r="H3450" s="155">
        <v>1.7500000000000002E-2</v>
      </c>
      <c r="I3450" s="154" t="s">
        <v>148</v>
      </c>
      <c r="J3450" s="203">
        <v>0.14599000000000001</v>
      </c>
      <c r="K3450" s="154" t="s">
        <v>15</v>
      </c>
      <c r="L3450" s="154" t="str">
        <f>IF(OpenLCAbasic!K3450="CTUh", "Fill in Manually",IF(OR(K3450="Unit", K3450=""), "", INDEX(LookUps!$E$5:$E$12, MATCH(OpenLCAbasic!K3450,LookUps!$D$5:$D$12,0))))</f>
        <v>Cumulative Energy Demand (CED) - MJ</v>
      </c>
      <c r="M3450" s="154" t="str">
        <f t="shared" si="169"/>
        <v>High_High_Low_Upgraded_Cumulative Energy Demand (CED) - MJ_Control Building; at upgraded wastewater treatment plant - US_Base_With Amendment_Windrow</v>
      </c>
    </row>
    <row r="3451" spans="1:13" s="120" customFormat="1" x14ac:dyDescent="0.25">
      <c r="A3451" s="119"/>
      <c r="B3451" s="138" t="str">
        <f t="shared" si="167"/>
        <v>Windrow</v>
      </c>
      <c r="C3451" s="138" t="str">
        <f t="shared" si="168"/>
        <v>Base_With Amendment</v>
      </c>
      <c r="D3451" s="118" t="s">
        <v>138</v>
      </c>
      <c r="E3451" s="118" t="s">
        <v>181</v>
      </c>
      <c r="F3451" s="118" t="s">
        <v>46</v>
      </c>
      <c r="G3451" s="153"/>
      <c r="H3451" s="155">
        <v>1.6E-2</v>
      </c>
      <c r="I3451" s="154" t="s">
        <v>48</v>
      </c>
      <c r="J3451" s="203">
        <v>0.13321</v>
      </c>
      <c r="K3451" s="154" t="s">
        <v>15</v>
      </c>
      <c r="L3451" s="154" t="str">
        <f>IF(OpenLCAbasic!K3451="CTUh", "Fill in Manually",IF(OR(K3451="Unit", K3451=""), "", INDEX(LookUps!$E$5:$E$12, MATCH(OpenLCAbasic!K3451,LookUps!$D$5:$D$12,0))))</f>
        <v>Cumulative Energy Demand (CED) - MJ</v>
      </c>
      <c r="M3451" s="154" t="str">
        <f t="shared" si="169"/>
        <v>High_High_Low_Upgraded_Cumulative Energy Demand (CED) - MJ_Effluent release; wastewater treatment unit; at surface water; m3 wastewater - US_Base_With Amendment_Windrow</v>
      </c>
    </row>
    <row r="3452" spans="1:13" s="120" customFormat="1" x14ac:dyDescent="0.25">
      <c r="A3452" s="119"/>
      <c r="B3452" s="138" t="str">
        <f t="shared" si="167"/>
        <v>Windrow</v>
      </c>
      <c r="C3452" s="138" t="str">
        <f t="shared" si="168"/>
        <v>Base_With Amendment</v>
      </c>
      <c r="D3452" s="118" t="s">
        <v>138</v>
      </c>
      <c r="E3452" s="118" t="s">
        <v>181</v>
      </c>
      <c r="F3452" s="118" t="s">
        <v>46</v>
      </c>
      <c r="G3452" s="153"/>
      <c r="H3452" s="155">
        <v>1.2800000000000001E-2</v>
      </c>
      <c r="I3452" s="154" t="s">
        <v>59</v>
      </c>
      <c r="J3452" s="203">
        <v>0.10638</v>
      </c>
      <c r="K3452" s="154" t="s">
        <v>15</v>
      </c>
      <c r="L3452" s="154" t="str">
        <f>IF(OpenLCAbasic!K3452="CTUh", "Fill in Manually",IF(OR(K3452="Unit", K3452=""), "", INDEX(LookUps!$E$5:$E$12, MATCH(OpenLCAbasic!K3452,LookUps!$D$5:$D$12,0))))</f>
        <v>Cumulative Energy Demand (CED) - MJ</v>
      </c>
      <c r="M3452" s="154" t="str">
        <f t="shared" si="169"/>
        <v>High_High_Low_Upgraded_Cumulative Energy Demand (CED) - MJ_Blend Tank; wastewater treatment unit; at updated plant - US_Base_With Amendment_Windrow</v>
      </c>
    </row>
    <row r="3453" spans="1:13" s="120" customFormat="1" x14ac:dyDescent="0.25">
      <c r="A3453" s="119"/>
      <c r="B3453" s="138" t="str">
        <f t="shared" si="167"/>
        <v>Windrow</v>
      </c>
      <c r="C3453" s="138" t="str">
        <f t="shared" si="168"/>
        <v>Base_With Amendment</v>
      </c>
      <c r="D3453" s="118" t="s">
        <v>138</v>
      </c>
      <c r="E3453" s="118" t="s">
        <v>181</v>
      </c>
      <c r="F3453" s="118" t="s">
        <v>46</v>
      </c>
      <c r="G3453" s="153"/>
      <c r="H3453" s="155">
        <v>6.1000000000000004E-3</v>
      </c>
      <c r="I3453" s="154" t="s">
        <v>168</v>
      </c>
      <c r="J3453" s="203">
        <v>5.0930000000000003E-2</v>
      </c>
      <c r="K3453" s="154" t="s">
        <v>15</v>
      </c>
      <c r="L3453" s="154" t="str">
        <f>IF(OpenLCAbasic!K3453="CTUh", "Fill in Manually",IF(OR(K3453="Unit", K3453=""), "", INDEX(LookUps!$E$5:$E$12, MATCH(OpenLCAbasic!K3453,LookUps!$D$5:$D$12,0))))</f>
        <v>Cumulative Energy Demand (CED) - MJ</v>
      </c>
      <c r="M3453" s="154" t="str">
        <f t="shared" si="169"/>
        <v>High_High_Low_Upgraded_Cumulative Energy Demand (CED) - MJ_ClearCove SCP; wastewater treatment unit; at updated plant - US_Base_With Amendment_Windrow</v>
      </c>
    </row>
    <row r="3454" spans="1:13" s="120" customFormat="1" x14ac:dyDescent="0.25">
      <c r="A3454" s="119"/>
      <c r="B3454" s="138" t="str">
        <f t="shared" si="167"/>
        <v>Windrow</v>
      </c>
      <c r="C3454" s="138" t="str">
        <f t="shared" si="168"/>
        <v>Base_With Amendment</v>
      </c>
      <c r="D3454" s="118" t="s">
        <v>138</v>
      </c>
      <c r="E3454" s="118" t="s">
        <v>181</v>
      </c>
      <c r="F3454" s="118" t="s">
        <v>46</v>
      </c>
      <c r="G3454" s="153"/>
      <c r="H3454" s="155">
        <v>5.4000000000000003E-3</v>
      </c>
      <c r="I3454" s="154" t="s">
        <v>271</v>
      </c>
      <c r="J3454" s="203">
        <v>4.5190000000000001E-2</v>
      </c>
      <c r="K3454" s="154" t="s">
        <v>15</v>
      </c>
      <c r="L3454" s="154" t="str">
        <f>IF(OpenLCAbasic!K3454="CTUh", "Fill in Manually",IF(OR(K3454="Unit", K3454=""), "", INDEX(LookUps!$E$5:$E$12, MATCH(OpenLCAbasic!K3454,LookUps!$D$5:$D$12,0))))</f>
        <v>Cumulative Energy Demand (CED) - MJ</v>
      </c>
      <c r="M3454" s="154" t="str">
        <f t="shared" si="169"/>
        <v>High_High_Low_Upgraded_Cumulative Energy Demand (CED) - MJ_Biosolids composting; windrow composting; wastewater treatment unit; at updated plant - US_Base_With Amendment_Windrow</v>
      </c>
    </row>
    <row r="3455" spans="1:13" s="120" customFormat="1" x14ac:dyDescent="0.25">
      <c r="A3455" s="119"/>
      <c r="B3455" s="138" t="str">
        <f t="shared" si="167"/>
        <v>Windrow</v>
      </c>
      <c r="C3455" s="138" t="str">
        <f t="shared" si="168"/>
        <v>Base_With Amendment</v>
      </c>
      <c r="D3455" s="118" t="s">
        <v>138</v>
      </c>
      <c r="E3455" s="118" t="s">
        <v>181</v>
      </c>
      <c r="F3455" s="118" t="s">
        <v>46</v>
      </c>
      <c r="G3455" s="153"/>
      <c r="H3455" s="155">
        <v>-0.1065</v>
      </c>
      <c r="I3455" s="154" t="s">
        <v>62</v>
      </c>
      <c r="J3455" s="203">
        <v>-0.88626000000000005</v>
      </c>
      <c r="K3455" s="154" t="s">
        <v>15</v>
      </c>
      <c r="L3455" s="154" t="str">
        <f>IF(OpenLCAbasic!K3455="CTUh", "Fill in Manually",IF(OR(K3455="Unit", K3455=""), "", INDEX(LookUps!$E$5:$E$12, MATCH(OpenLCAbasic!K3455,LookUps!$D$5:$D$12,0))))</f>
        <v>Cumulative Energy Demand (CED) - MJ</v>
      </c>
      <c r="M3455" s="154" t="str">
        <f t="shared" si="169"/>
        <v>High_High_Low_Upgraded_Cumulative Energy Demand (CED) - MJ_Land application of compost; wastewater treatment unit; at updated plant - US_Base_With Amendment_Windrow</v>
      </c>
    </row>
    <row r="3456" spans="1:13" s="120" customFormat="1" x14ac:dyDescent="0.25">
      <c r="A3456" s="119"/>
      <c r="B3456" s="138" t="str">
        <f t="shared" si="167"/>
        <v>Windrow</v>
      </c>
      <c r="C3456" s="138" t="str">
        <f t="shared" si="168"/>
        <v>Base_With Amendment</v>
      </c>
      <c r="D3456" s="118" t="s">
        <v>138</v>
      </c>
      <c r="E3456" s="118" t="s">
        <v>181</v>
      </c>
      <c r="F3456" s="118" t="s">
        <v>46</v>
      </c>
      <c r="G3456" s="153"/>
      <c r="H3456" s="155">
        <v>-0.57650000000000001</v>
      </c>
      <c r="I3456" s="154" t="s">
        <v>149</v>
      </c>
      <c r="J3456" s="157">
        <v>-4.7974600000000001</v>
      </c>
      <c r="K3456" s="154" t="s">
        <v>15</v>
      </c>
      <c r="L3456" s="154" t="str">
        <f>IF(OpenLCAbasic!K3456="CTUh", "Fill in Manually",IF(OR(K3456="Unit", K3456=""), "", INDEX(LookUps!$E$5:$E$12, MATCH(OpenLCAbasic!K3456,LookUps!$D$5:$D$12,0))))</f>
        <v>Cumulative Energy Demand (CED) - MJ</v>
      </c>
      <c r="M3456" s="154" t="str">
        <f t="shared" si="169"/>
        <v>High_High_Low_Upgraded_Cumulative Energy Demand (CED) - MJ_Anaerobic Digestion; wastewater treatment unit; at updated plant - US_Base_With Amendment_Windrow</v>
      </c>
    </row>
    <row r="3457" spans="1:13" s="120" customFormat="1" x14ac:dyDescent="0.25">
      <c r="A3457" s="119"/>
      <c r="B3457" s="138" t="str">
        <f t="shared" si="167"/>
        <v>Windrow</v>
      </c>
      <c r="C3457" s="138" t="str">
        <f t="shared" si="168"/>
        <v>Base_With Amendment</v>
      </c>
      <c r="D3457" s="118" t="s">
        <v>138</v>
      </c>
      <c r="E3457" s="118" t="s">
        <v>181</v>
      </c>
      <c r="F3457" s="118" t="s">
        <v>46</v>
      </c>
      <c r="G3457" s="153" t="s">
        <v>51</v>
      </c>
      <c r="H3457" s="154"/>
      <c r="I3457" s="154" t="s">
        <v>47</v>
      </c>
      <c r="J3457" s="154" t="s">
        <v>52</v>
      </c>
      <c r="K3457" s="154" t="s">
        <v>27</v>
      </c>
      <c r="L3457" s="154" t="str">
        <f>IF(OpenLCAbasic!K3457="CTUh", "Fill in Manually",IF(OR(K3457="Unit", K3457=""), "", INDEX(LookUps!$E$5:$E$12, MATCH(OpenLCAbasic!K3457,LookUps!$D$5:$D$12,0))))</f>
        <v/>
      </c>
      <c r="M3457" s="154" t="str">
        <f t="shared" si="169"/>
        <v>High_High_Low_Upgraded__Process_Base_With Amendment_Windrow</v>
      </c>
    </row>
    <row r="3458" spans="1:13" s="120" customFormat="1" x14ac:dyDescent="0.25">
      <c r="A3458" s="119"/>
      <c r="B3458" s="138" t="str">
        <f t="shared" si="167"/>
        <v>Windrow</v>
      </c>
      <c r="C3458" s="138" t="str">
        <f t="shared" si="168"/>
        <v>Base_With Amendment</v>
      </c>
      <c r="D3458" s="118" t="s">
        <v>138</v>
      </c>
      <c r="E3458" s="118" t="s">
        <v>181</v>
      </c>
      <c r="F3458" s="118" t="s">
        <v>46</v>
      </c>
      <c r="G3458" s="153"/>
      <c r="H3458" s="155">
        <v>0.42020000000000002</v>
      </c>
      <c r="I3458" s="154" t="s">
        <v>271</v>
      </c>
      <c r="J3458" s="203">
        <v>2.273E-2</v>
      </c>
      <c r="K3458" s="154" t="s">
        <v>24</v>
      </c>
      <c r="L3458" s="154" t="str">
        <f>IF(OpenLCAbasic!K3458="CTUh", "Fill in Manually",IF(OR(K3458="Unit", K3458=""), "", INDEX(LookUps!$E$5:$E$12, MATCH(OpenLCAbasic!K3458,LookUps!$D$5:$D$12,0))))</f>
        <v>Acidification Potential (AP) - kg SO2 eq</v>
      </c>
      <c r="M3458" s="154" t="str">
        <f t="shared" si="169"/>
        <v>High_High_Low_Upgraded_Acidification Potential (AP) - kg SO2 eq_Biosolids composting; windrow composting; wastewater treatment unit; at updated plant - US_Base_With Amendment_Windrow</v>
      </c>
    </row>
    <row r="3459" spans="1:13" s="120" customFormat="1" x14ac:dyDescent="0.25">
      <c r="A3459" s="119"/>
      <c r="B3459" s="138" t="str">
        <f t="shared" si="167"/>
        <v>Windrow</v>
      </c>
      <c r="C3459" s="138" t="str">
        <f t="shared" si="168"/>
        <v>Base_With Amendment</v>
      </c>
      <c r="D3459" s="118" t="s">
        <v>138</v>
      </c>
      <c r="E3459" s="118" t="s">
        <v>181</v>
      </c>
      <c r="F3459" s="118" t="s">
        <v>46</v>
      </c>
      <c r="G3459" s="153"/>
      <c r="H3459" s="155">
        <v>0.31840000000000002</v>
      </c>
      <c r="I3459" s="154" t="s">
        <v>55</v>
      </c>
      <c r="J3459" s="203">
        <v>1.7219999999999999E-2</v>
      </c>
      <c r="K3459" s="154" t="s">
        <v>24</v>
      </c>
      <c r="L3459" s="154" t="str">
        <f>IF(OpenLCAbasic!K3459="CTUh", "Fill in Manually",IF(OR(K3459="Unit", K3459=""), "", INDEX(LookUps!$E$5:$E$12, MATCH(OpenLCAbasic!K3459,LookUps!$D$5:$D$12,0))))</f>
        <v>Acidification Potential (AP) - kg SO2 eq</v>
      </c>
      <c r="M3459" s="154" t="str">
        <f t="shared" si="169"/>
        <v>High_High_Low_Upgraded_Acidification Potential (AP) - kg SO2 eq_Aeration Tanks; wastewater treatment unit; at updated plant - US_Base_With Amendment_Windrow</v>
      </c>
    </row>
    <row r="3460" spans="1:13" s="120" customFormat="1" x14ac:dyDescent="0.25">
      <c r="A3460" s="119"/>
      <c r="B3460" s="138" t="str">
        <f t="shared" si="167"/>
        <v>Windrow</v>
      </c>
      <c r="C3460" s="138" t="str">
        <f t="shared" si="168"/>
        <v>Base_With Amendment</v>
      </c>
      <c r="D3460" s="118" t="s">
        <v>138</v>
      </c>
      <c r="E3460" s="118" t="s">
        <v>181</v>
      </c>
      <c r="F3460" s="118" t="s">
        <v>46</v>
      </c>
      <c r="G3460" s="153"/>
      <c r="H3460" s="155">
        <v>9.3299999999999994E-2</v>
      </c>
      <c r="I3460" s="154" t="s">
        <v>62</v>
      </c>
      <c r="J3460" s="204">
        <v>5.0400000000000002E-3</v>
      </c>
      <c r="K3460" s="154" t="s">
        <v>24</v>
      </c>
      <c r="L3460" s="154" t="str">
        <f>IF(OpenLCAbasic!K3460="CTUh", "Fill in Manually",IF(OR(K3460="Unit", K3460=""), "", INDEX(LookUps!$E$5:$E$12, MATCH(OpenLCAbasic!K3460,LookUps!$D$5:$D$12,0))))</f>
        <v>Acidification Potential (AP) - kg SO2 eq</v>
      </c>
      <c r="M3460" s="154" t="str">
        <f t="shared" si="169"/>
        <v>High_High_Low_Upgraded_Acidification Potential (AP) - kg SO2 eq_Land application of compost; wastewater treatment unit; at updated plant - US_Base_With Amendment_Windrow</v>
      </c>
    </row>
    <row r="3461" spans="1:13" s="120" customFormat="1" x14ac:dyDescent="0.25">
      <c r="A3461" s="119"/>
      <c r="B3461" s="138" t="str">
        <f t="shared" si="167"/>
        <v>Windrow</v>
      </c>
      <c r="C3461" s="138" t="str">
        <f t="shared" si="168"/>
        <v>Base_With Amendment</v>
      </c>
      <c r="D3461" s="118" t="s">
        <v>138</v>
      </c>
      <c r="E3461" s="118" t="s">
        <v>181</v>
      </c>
      <c r="F3461" s="118" t="s">
        <v>46</v>
      </c>
      <c r="G3461" s="153"/>
      <c r="H3461" s="155">
        <v>9.2100000000000001E-2</v>
      </c>
      <c r="I3461" s="154" t="s">
        <v>54</v>
      </c>
      <c r="J3461" s="204">
        <v>4.9800000000000001E-3</v>
      </c>
      <c r="K3461" s="154" t="s">
        <v>24</v>
      </c>
      <c r="L3461" s="154" t="str">
        <f>IF(OpenLCAbasic!K3461="CTUh", "Fill in Manually",IF(OR(K3461="Unit", K3461=""), "", INDEX(LookUps!$E$5:$E$12, MATCH(OpenLCAbasic!K3461,LookUps!$D$5:$D$12,0))))</f>
        <v>Acidification Potential (AP) - kg SO2 eq</v>
      </c>
      <c r="M3461" s="154" t="str">
        <f t="shared" si="169"/>
        <v>High_High_Low_Upgraded_Acidification Potential (AP) - kg SO2 eq_Clear Cove Primary Clarification; wastewater treatment unit; at updated plant - US_Base_With Amendment_Windrow</v>
      </c>
    </row>
    <row r="3462" spans="1:13" s="120" customFormat="1" x14ac:dyDescent="0.25">
      <c r="A3462" s="119"/>
      <c r="B3462" s="138" t="str">
        <f t="shared" ref="B3462:B3525" si="170">IF(F3462="Legacy","n.a.",IF(F3462="","","Windrow"))</f>
        <v>Windrow</v>
      </c>
      <c r="C3462" s="138" t="str">
        <f t="shared" si="168"/>
        <v>Base_With Amendment</v>
      </c>
      <c r="D3462" s="118" t="s">
        <v>138</v>
      </c>
      <c r="E3462" s="118" t="s">
        <v>181</v>
      </c>
      <c r="F3462" s="118" t="s">
        <v>46</v>
      </c>
      <c r="G3462" s="153"/>
      <c r="H3462" s="155">
        <v>8.0699999999999994E-2</v>
      </c>
      <c r="I3462" s="154" t="s">
        <v>58</v>
      </c>
      <c r="J3462" s="204">
        <v>4.3600000000000002E-3</v>
      </c>
      <c r="K3462" s="154" t="s">
        <v>24</v>
      </c>
      <c r="L3462" s="154" t="str">
        <f>IF(OpenLCAbasic!K3462="CTUh", "Fill in Manually",IF(OR(K3462="Unit", K3462=""), "", INDEX(LookUps!$E$5:$E$12, MATCH(OpenLCAbasic!K3462,LookUps!$D$5:$D$12,0))))</f>
        <v>Acidification Potential (AP) - kg SO2 eq</v>
      </c>
      <c r="M3462" s="154" t="str">
        <f t="shared" si="169"/>
        <v>High_High_Low_Upgraded_Acidification Potential (AP) - kg SO2 eq_Pre-Anoxic &amp; Swing tank; wastewater treatment unit; at updated plant - US_Base_With Amendment_Windrow</v>
      </c>
    </row>
    <row r="3463" spans="1:13" s="120" customFormat="1" x14ac:dyDescent="0.25">
      <c r="A3463" s="119"/>
      <c r="B3463" s="138" t="str">
        <f t="shared" si="170"/>
        <v>Windrow</v>
      </c>
      <c r="C3463" s="138" t="str">
        <f t="shared" ref="C3463:C3526" si="171">IF(E3463&lt;&gt;"", "Base_With Amendment","")</f>
        <v>Base_With Amendment</v>
      </c>
      <c r="D3463" s="118" t="s">
        <v>138</v>
      </c>
      <c r="E3463" s="118" t="s">
        <v>181</v>
      </c>
      <c r="F3463" s="118" t="s">
        <v>46</v>
      </c>
      <c r="G3463" s="153"/>
      <c r="H3463" s="155">
        <v>6.3799999999999996E-2</v>
      </c>
      <c r="I3463" s="154" t="s">
        <v>53</v>
      </c>
      <c r="J3463" s="204">
        <v>3.4499999999999999E-3</v>
      </c>
      <c r="K3463" s="154" t="s">
        <v>24</v>
      </c>
      <c r="L3463" s="154" t="str">
        <f>IF(OpenLCAbasic!K3463="CTUh", "Fill in Manually",IF(OR(K3463="Unit", K3463=""), "", INDEX(LookUps!$E$5:$E$12, MATCH(OpenLCAbasic!K3463,LookUps!$D$5:$D$12,0))))</f>
        <v>Acidification Potential (AP) - kg SO2 eq</v>
      </c>
      <c r="M3463" s="154" t="str">
        <f t="shared" ref="M3463:M3526" si="172">CONCATENATE(E3463,"_",D3463,"_",F3463,"_",L3463, "_",I3463,"_", C3463,"_", B3463)</f>
        <v>High_High_Low_Upgraded_Acidification Potential (AP) - kg SO2 eq_Wet Well and Sump Station; wastewater treatment unit; at updated plant - US_Base_With Amendment_Windrow</v>
      </c>
    </row>
    <row r="3464" spans="1:13" s="120" customFormat="1" x14ac:dyDescent="0.25">
      <c r="A3464" s="119"/>
      <c r="B3464" s="138" t="str">
        <f t="shared" si="170"/>
        <v>Windrow</v>
      </c>
      <c r="C3464" s="138" t="str">
        <f t="shared" si="171"/>
        <v>Base_With Amendment</v>
      </c>
      <c r="D3464" s="118" t="s">
        <v>138</v>
      </c>
      <c r="E3464" s="118" t="s">
        <v>181</v>
      </c>
      <c r="F3464" s="118" t="s">
        <v>46</v>
      </c>
      <c r="G3464" s="153"/>
      <c r="H3464" s="155">
        <v>0.05</v>
      </c>
      <c r="I3464" s="154" t="s">
        <v>167</v>
      </c>
      <c r="J3464" s="204">
        <v>2.7000000000000001E-3</v>
      </c>
      <c r="K3464" s="154" t="s">
        <v>24</v>
      </c>
      <c r="L3464" s="154" t="str">
        <f>IF(OpenLCAbasic!K3464="CTUh", "Fill in Manually",IF(OR(K3464="Unit", K3464=""), "", INDEX(LookUps!$E$5:$E$12, MATCH(OpenLCAbasic!K3464,LookUps!$D$5:$D$12,0))))</f>
        <v>Acidification Potential (AP) - kg SO2 eq</v>
      </c>
      <c r="M3464" s="154" t="str">
        <f t="shared" si="172"/>
        <v>High_High_Low_Upgraded_Acidification Potential (AP) - kg SO2 eq_Waste Receiving and Holding; wastewater treatment unit; at updated plant - US_Base_With Amendment_Windrow</v>
      </c>
    </row>
    <row r="3465" spans="1:13" s="120" customFormat="1" x14ac:dyDescent="0.25">
      <c r="A3465" s="119"/>
      <c r="B3465" s="138" t="str">
        <f t="shared" si="170"/>
        <v>Windrow</v>
      </c>
      <c r="C3465" s="138" t="str">
        <f t="shared" si="171"/>
        <v>Base_With Amendment</v>
      </c>
      <c r="D3465" s="118" t="s">
        <v>138</v>
      </c>
      <c r="E3465" s="118" t="s">
        <v>181</v>
      </c>
      <c r="F3465" s="118" t="s">
        <v>46</v>
      </c>
      <c r="G3465" s="153"/>
      <c r="H3465" s="155">
        <v>3.8199999999999998E-2</v>
      </c>
      <c r="I3465" s="154" t="s">
        <v>147</v>
      </c>
      <c r="J3465" s="204">
        <v>2.0699999999999998E-3</v>
      </c>
      <c r="K3465" s="154" t="s">
        <v>24</v>
      </c>
      <c r="L3465" s="154" t="str">
        <f>IF(OpenLCAbasic!K3465="CTUh", "Fill in Manually",IF(OR(K3465="Unit", K3465=""), "", INDEX(LookUps!$E$5:$E$12, MATCH(OpenLCAbasic!K3465,LookUps!$D$5:$D$12,0))))</f>
        <v>Acidification Potential (AP) - kg SO2 eq</v>
      </c>
      <c r="M3465" s="154" t="str">
        <f t="shared" si="172"/>
        <v>High_High_Low_Upgraded_Acidification Potential (AP) - kg SO2 eq_Influent Pump Station; wastewater treatment unit; at updated plant - US_Base_With Amendment_Windrow</v>
      </c>
    </row>
    <row r="3466" spans="1:13" s="120" customFormat="1" x14ac:dyDescent="0.25">
      <c r="A3466" s="119"/>
      <c r="B3466" s="138" t="str">
        <f t="shared" si="170"/>
        <v>Windrow</v>
      </c>
      <c r="C3466" s="138" t="str">
        <f t="shared" si="171"/>
        <v>Base_With Amendment</v>
      </c>
      <c r="D3466" s="118" t="s">
        <v>138</v>
      </c>
      <c r="E3466" s="118" t="s">
        <v>181</v>
      </c>
      <c r="F3466" s="118" t="s">
        <v>46</v>
      </c>
      <c r="G3466" s="153"/>
      <c r="H3466" s="155">
        <v>3.1099999999999999E-2</v>
      </c>
      <c r="I3466" s="154" t="s">
        <v>60</v>
      </c>
      <c r="J3466" s="204">
        <v>1.6800000000000001E-3</v>
      </c>
      <c r="K3466" s="154" t="s">
        <v>24</v>
      </c>
      <c r="L3466" s="154" t="str">
        <f>IF(OpenLCAbasic!K3466="CTUh", "Fill in Manually",IF(OR(K3466="Unit", K3466=""), "", INDEX(LookUps!$E$5:$E$12, MATCH(OpenLCAbasic!K3466,LookUps!$D$5:$D$12,0))))</f>
        <v>Acidification Potential (AP) - kg SO2 eq</v>
      </c>
      <c r="M3466" s="154" t="str">
        <f t="shared" si="172"/>
        <v>High_High_Low_Upgraded_Acidification Potential (AP) - kg SO2 eq_Belt filter press; wastewater treatment unit; at updated plant - US_Base_With Amendment_Windrow</v>
      </c>
    </row>
    <row r="3467" spans="1:13" s="120" customFormat="1" x14ac:dyDescent="0.25">
      <c r="A3467" s="119"/>
      <c r="B3467" s="138" t="str">
        <f t="shared" si="170"/>
        <v>Windrow</v>
      </c>
      <c r="C3467" s="138" t="str">
        <f t="shared" si="171"/>
        <v>Base_With Amendment</v>
      </c>
      <c r="D3467" s="118" t="s">
        <v>138</v>
      </c>
      <c r="E3467" s="118" t="s">
        <v>181</v>
      </c>
      <c r="F3467" s="118" t="s">
        <v>46</v>
      </c>
      <c r="G3467" s="153"/>
      <c r="H3467" s="155">
        <v>2.2800000000000001E-2</v>
      </c>
      <c r="I3467" s="154" t="s">
        <v>128</v>
      </c>
      <c r="J3467" s="204">
        <v>1.23E-3</v>
      </c>
      <c r="K3467" s="154" t="s">
        <v>24</v>
      </c>
      <c r="L3467" s="154" t="str">
        <f>IF(OpenLCAbasic!K3467="CTUh", "Fill in Manually",IF(OR(K3467="Unit", K3467=""), "", INDEX(LookUps!$E$5:$E$12, MATCH(OpenLCAbasic!K3467,LookUps!$D$5:$D$12,0))))</f>
        <v>Acidification Potential (AP) - kg SO2 eq</v>
      </c>
      <c r="M3467" s="154" t="str">
        <f t="shared" si="172"/>
        <v>High_High_Low_Upgraded_Acidification Potential (AP) - kg SO2 eq_Wastewater collection; operation and infrastructure; m3 wastewater_Base_With Amendment_Windrow</v>
      </c>
    </row>
    <row r="3468" spans="1:13" s="120" customFormat="1" x14ac:dyDescent="0.25">
      <c r="A3468" s="119"/>
      <c r="B3468" s="138" t="str">
        <f t="shared" si="170"/>
        <v>Windrow</v>
      </c>
      <c r="C3468" s="138" t="str">
        <f t="shared" si="171"/>
        <v>Base_With Amendment</v>
      </c>
      <c r="D3468" s="118" t="s">
        <v>138</v>
      </c>
      <c r="E3468" s="118" t="s">
        <v>181</v>
      </c>
      <c r="F3468" s="118" t="s">
        <v>46</v>
      </c>
      <c r="G3468" s="153"/>
      <c r="H3468" s="155">
        <v>1.2999999999999999E-2</v>
      </c>
      <c r="I3468" s="154" t="s">
        <v>57</v>
      </c>
      <c r="J3468" s="204">
        <v>6.9999999999999999E-4</v>
      </c>
      <c r="K3468" s="154" t="s">
        <v>24</v>
      </c>
      <c r="L3468" s="154" t="str">
        <f>IF(OpenLCAbasic!K3468="CTUh", "Fill in Manually",IF(OR(K3468="Unit", K3468=""), "", INDEX(LookUps!$E$5:$E$12, MATCH(OpenLCAbasic!K3468,LookUps!$D$5:$D$12,0))))</f>
        <v>Acidification Potential (AP) - kg SO2 eq</v>
      </c>
      <c r="M3468" s="154" t="str">
        <f t="shared" si="172"/>
        <v>High_High_Low_Upgraded_Acidification Potential (AP) - kg SO2 eq_Gravity Belt Thickener; wastewater treatment unit; at updated plant - US_Base_With Amendment_Windrow</v>
      </c>
    </row>
    <row r="3469" spans="1:13" s="120" customFormat="1" x14ac:dyDescent="0.25">
      <c r="A3469" s="119"/>
      <c r="B3469" s="138" t="str">
        <f t="shared" si="170"/>
        <v>Windrow</v>
      </c>
      <c r="C3469" s="138" t="str">
        <f t="shared" si="171"/>
        <v>Base_With Amendment</v>
      </c>
      <c r="D3469" s="118" t="s">
        <v>138</v>
      </c>
      <c r="E3469" s="118" t="s">
        <v>181</v>
      </c>
      <c r="F3469" s="118" t="s">
        <v>46</v>
      </c>
      <c r="G3469" s="153"/>
      <c r="H3469" s="155">
        <v>9.4999999999999998E-3</v>
      </c>
      <c r="I3469" s="154" t="s">
        <v>59</v>
      </c>
      <c r="J3469" s="204">
        <v>5.1999999999999995E-4</v>
      </c>
      <c r="K3469" s="154" t="s">
        <v>24</v>
      </c>
      <c r="L3469" s="154" t="str">
        <f>IF(OpenLCAbasic!K3469="CTUh", "Fill in Manually",IF(OR(K3469="Unit", K3469=""), "", INDEX(LookUps!$E$5:$E$12, MATCH(OpenLCAbasic!K3469,LookUps!$D$5:$D$12,0))))</f>
        <v>Acidification Potential (AP) - kg SO2 eq</v>
      </c>
      <c r="M3469" s="154" t="str">
        <f t="shared" si="172"/>
        <v>High_High_Low_Upgraded_Acidification Potential (AP) - kg SO2 eq_Blend Tank; wastewater treatment unit; at updated plant - US_Base_With Amendment_Windrow</v>
      </c>
    </row>
    <row r="3470" spans="1:13" s="120" customFormat="1" x14ac:dyDescent="0.25">
      <c r="A3470" s="119"/>
      <c r="B3470" s="138" t="str">
        <f t="shared" si="170"/>
        <v>Windrow</v>
      </c>
      <c r="C3470" s="138" t="str">
        <f t="shared" si="171"/>
        <v>Base_With Amendment</v>
      </c>
      <c r="D3470" s="118" t="s">
        <v>138</v>
      </c>
      <c r="E3470" s="118" t="s">
        <v>181</v>
      </c>
      <c r="F3470" s="118" t="s">
        <v>46</v>
      </c>
      <c r="G3470" s="153"/>
      <c r="H3470" s="155">
        <v>6.4000000000000003E-3</v>
      </c>
      <c r="I3470" s="154" t="s">
        <v>48</v>
      </c>
      <c r="J3470" s="204">
        <v>3.5E-4</v>
      </c>
      <c r="K3470" s="154" t="s">
        <v>24</v>
      </c>
      <c r="L3470" s="154" t="str">
        <f>IF(OpenLCAbasic!K3470="CTUh", "Fill in Manually",IF(OR(K3470="Unit", K3470=""), "", INDEX(LookUps!$E$5:$E$12, MATCH(OpenLCAbasic!K3470,LookUps!$D$5:$D$12,0))))</f>
        <v>Acidification Potential (AP) - kg SO2 eq</v>
      </c>
      <c r="M3470" s="154" t="str">
        <f t="shared" si="172"/>
        <v>High_High_Low_Upgraded_Acidification Potential (AP) - kg SO2 eq_Effluent release; wastewater treatment unit; at surface water; m3 wastewater - US_Base_With Amendment_Windrow</v>
      </c>
    </row>
    <row r="3471" spans="1:13" s="120" customFormat="1" x14ac:dyDescent="0.25">
      <c r="A3471" s="119"/>
      <c r="B3471" s="138" t="str">
        <f t="shared" si="170"/>
        <v>Windrow</v>
      </c>
      <c r="C3471" s="138" t="str">
        <f t="shared" si="171"/>
        <v>Base_With Amendment</v>
      </c>
      <c r="D3471" s="118" t="s">
        <v>138</v>
      </c>
      <c r="E3471" s="118" t="s">
        <v>181</v>
      </c>
      <c r="F3471" s="118" t="s">
        <v>46</v>
      </c>
      <c r="G3471" s="153"/>
      <c r="H3471" s="155">
        <v>4.7000000000000002E-3</v>
      </c>
      <c r="I3471" s="154" t="s">
        <v>168</v>
      </c>
      <c r="J3471" s="204">
        <v>2.5999999999999998E-4</v>
      </c>
      <c r="K3471" s="154" t="s">
        <v>24</v>
      </c>
      <c r="L3471" s="154" t="str">
        <f>IF(OpenLCAbasic!K3471="CTUh", "Fill in Manually",IF(OR(K3471="Unit", K3471=""), "", INDEX(LookUps!$E$5:$E$12, MATCH(OpenLCAbasic!K3471,LookUps!$D$5:$D$12,0))))</f>
        <v>Acidification Potential (AP) - kg SO2 eq</v>
      </c>
      <c r="M3471" s="154" t="str">
        <f t="shared" si="172"/>
        <v>High_High_Low_Upgraded_Acidification Potential (AP) - kg SO2 eq_ClearCove SCP; wastewater treatment unit; at updated plant - US_Base_With Amendment_Windrow</v>
      </c>
    </row>
    <row r="3472" spans="1:13" s="120" customFormat="1" x14ac:dyDescent="0.25">
      <c r="A3472" s="119"/>
      <c r="B3472" s="138" t="str">
        <f t="shared" si="170"/>
        <v>Windrow</v>
      </c>
      <c r="C3472" s="138" t="str">
        <f t="shared" si="171"/>
        <v>Base_With Amendment</v>
      </c>
      <c r="D3472" s="118" t="s">
        <v>138</v>
      </c>
      <c r="E3472" s="118" t="s">
        <v>181</v>
      </c>
      <c r="F3472" s="118" t="s">
        <v>46</v>
      </c>
      <c r="G3472" s="153"/>
      <c r="H3472" s="155">
        <v>6.9999999999999999E-4</v>
      </c>
      <c r="I3472" s="154" t="s">
        <v>148</v>
      </c>
      <c r="J3472" s="204">
        <v>4.0354700000000002E-5</v>
      </c>
      <c r="K3472" s="154" t="s">
        <v>24</v>
      </c>
      <c r="L3472" s="154" t="str">
        <f>IF(OpenLCAbasic!K3472="CTUh", "Fill in Manually",IF(OR(K3472="Unit", K3472=""), "", INDEX(LookUps!$E$5:$E$12, MATCH(OpenLCAbasic!K3472,LookUps!$D$5:$D$12,0))))</f>
        <v>Acidification Potential (AP) - kg SO2 eq</v>
      </c>
      <c r="M3472" s="154" t="str">
        <f t="shared" si="172"/>
        <v>High_High_Low_Upgraded_Acidification Potential (AP) - kg SO2 eq_Control Building; at upgraded wastewater treatment plant - US_Base_With Amendment_Windrow</v>
      </c>
    </row>
    <row r="3473" spans="1:13" s="120" customFormat="1" x14ac:dyDescent="0.25">
      <c r="A3473" s="119"/>
      <c r="B3473" s="138" t="str">
        <f t="shared" si="170"/>
        <v>Windrow</v>
      </c>
      <c r="C3473" s="138" t="str">
        <f t="shared" si="171"/>
        <v>Base_With Amendment</v>
      </c>
      <c r="D3473" s="118" t="s">
        <v>138</v>
      </c>
      <c r="E3473" s="118" t="s">
        <v>181</v>
      </c>
      <c r="F3473" s="118" t="s">
        <v>46</v>
      </c>
      <c r="G3473" s="153"/>
      <c r="H3473" s="155">
        <v>-0.24490000000000001</v>
      </c>
      <c r="I3473" s="154" t="s">
        <v>149</v>
      </c>
      <c r="J3473" s="203">
        <v>-1.325E-2</v>
      </c>
      <c r="K3473" s="154" t="s">
        <v>24</v>
      </c>
      <c r="L3473" s="154" t="str">
        <f>IF(OpenLCAbasic!K3473="CTUh", "Fill in Manually",IF(OR(K3473="Unit", K3473=""), "", INDEX(LookUps!$E$5:$E$12, MATCH(OpenLCAbasic!K3473,LookUps!$D$5:$D$12,0))))</f>
        <v>Acidification Potential (AP) - kg SO2 eq</v>
      </c>
      <c r="M3473" s="154" t="str">
        <f t="shared" si="172"/>
        <v>High_High_Low_Upgraded_Acidification Potential (AP) - kg SO2 eq_Anaerobic Digestion; wastewater treatment unit; at updated plant - US_Base_With Amendment_Windrow</v>
      </c>
    </row>
    <row r="3474" spans="1:13" s="120" customFormat="1" x14ac:dyDescent="0.25">
      <c r="A3474" s="119"/>
      <c r="B3474" s="138" t="str">
        <f t="shared" si="170"/>
        <v>Windrow</v>
      </c>
      <c r="C3474" s="138" t="str">
        <f t="shared" si="171"/>
        <v>Base_With Amendment</v>
      </c>
      <c r="D3474" s="118" t="s">
        <v>138</v>
      </c>
      <c r="E3474" s="118" t="s">
        <v>181</v>
      </c>
      <c r="F3474" s="118" t="s">
        <v>46</v>
      </c>
      <c r="G3474" s="153" t="s">
        <v>51</v>
      </c>
      <c r="H3474" s="154"/>
      <c r="I3474" s="154" t="s">
        <v>47</v>
      </c>
      <c r="J3474" s="154" t="s">
        <v>52</v>
      </c>
      <c r="K3474" s="154" t="s">
        <v>27</v>
      </c>
      <c r="L3474" s="154" t="str">
        <f>IF(OpenLCAbasic!K3474="CTUh", "Fill in Manually",IF(OR(K3474="Unit", K3474=""), "", INDEX(LookUps!$E$5:$E$12, MATCH(OpenLCAbasic!K3474,LookUps!$D$5:$D$12,0))))</f>
        <v/>
      </c>
      <c r="M3474" s="154" t="str">
        <f t="shared" si="172"/>
        <v>High_High_Low_Upgraded__Process_Base_With Amendment_Windrow</v>
      </c>
    </row>
    <row r="3475" spans="1:13" s="120" customFormat="1" x14ac:dyDescent="0.25">
      <c r="A3475" s="119"/>
      <c r="B3475" s="138" t="str">
        <f t="shared" si="170"/>
        <v>Windrow</v>
      </c>
      <c r="C3475" s="138" t="str">
        <f t="shared" si="171"/>
        <v>Base_With Amendment</v>
      </c>
      <c r="D3475" s="118" t="s">
        <v>138</v>
      </c>
      <c r="E3475" s="118" t="s">
        <v>181</v>
      </c>
      <c r="F3475" s="118" t="s">
        <v>46</v>
      </c>
      <c r="G3475" s="153"/>
      <c r="H3475" s="155">
        <v>0.69810000000000005</v>
      </c>
      <c r="I3475" s="154" t="s">
        <v>167</v>
      </c>
      <c r="J3475" s="203">
        <v>0.11719</v>
      </c>
      <c r="K3475" s="154" t="s">
        <v>14</v>
      </c>
      <c r="L3475" s="154" t="str">
        <f>IF(OpenLCAbasic!K3475="CTUh", "Fill in Manually",IF(OR(K3475="Unit", K3475=""), "", INDEX(LookUps!$E$5:$E$12, MATCH(OpenLCAbasic!K3475,LookUps!$D$5:$D$12,0))))</f>
        <v>Fossil Depletion Potential (FDP) - kg oil eq</v>
      </c>
      <c r="M3475" s="154" t="str">
        <f t="shared" si="172"/>
        <v>High_High_Low_Upgraded_Fossil Depletion Potential (FDP) - kg oil eq_Waste Receiving and Holding; wastewater treatment unit; at updated plant - US_Base_With Amendment_Windrow</v>
      </c>
    </row>
    <row r="3476" spans="1:13" s="120" customFormat="1" x14ac:dyDescent="0.25">
      <c r="A3476" s="119"/>
      <c r="B3476" s="138" t="str">
        <f t="shared" si="170"/>
        <v>Windrow</v>
      </c>
      <c r="C3476" s="138" t="str">
        <f t="shared" si="171"/>
        <v>Base_With Amendment</v>
      </c>
      <c r="D3476" s="118" t="s">
        <v>138</v>
      </c>
      <c r="E3476" s="118" t="s">
        <v>181</v>
      </c>
      <c r="F3476" s="118" t="s">
        <v>46</v>
      </c>
      <c r="G3476" s="153"/>
      <c r="H3476" s="155">
        <v>0.37880000000000003</v>
      </c>
      <c r="I3476" s="154" t="s">
        <v>55</v>
      </c>
      <c r="J3476" s="203">
        <v>6.3589999999999994E-2</v>
      </c>
      <c r="K3476" s="154" t="s">
        <v>14</v>
      </c>
      <c r="L3476" s="154" t="str">
        <f>IF(OpenLCAbasic!K3476="CTUh", "Fill in Manually",IF(OR(K3476="Unit", K3476=""), "", INDEX(LookUps!$E$5:$E$12, MATCH(OpenLCAbasic!K3476,LookUps!$D$5:$D$12,0))))</f>
        <v>Fossil Depletion Potential (FDP) - kg oil eq</v>
      </c>
      <c r="M3476" s="154" t="str">
        <f t="shared" si="172"/>
        <v>High_High_Low_Upgraded_Fossil Depletion Potential (FDP) - kg oil eq_Aeration Tanks; wastewater treatment unit; at updated plant - US_Base_With Amendment_Windrow</v>
      </c>
    </row>
    <row r="3477" spans="1:13" s="120" customFormat="1" x14ac:dyDescent="0.25">
      <c r="A3477" s="119"/>
      <c r="B3477" s="138" t="str">
        <f t="shared" si="170"/>
        <v>Windrow</v>
      </c>
      <c r="C3477" s="138" t="str">
        <f t="shared" si="171"/>
        <v>Base_With Amendment</v>
      </c>
      <c r="D3477" s="118" t="s">
        <v>138</v>
      </c>
      <c r="E3477" s="118" t="s">
        <v>181</v>
      </c>
      <c r="F3477" s="118" t="s">
        <v>46</v>
      </c>
      <c r="G3477" s="153"/>
      <c r="H3477" s="155">
        <v>0.12540000000000001</v>
      </c>
      <c r="I3477" s="154" t="s">
        <v>54</v>
      </c>
      <c r="J3477" s="203">
        <v>2.1049999999999999E-2</v>
      </c>
      <c r="K3477" s="154" t="s">
        <v>14</v>
      </c>
      <c r="L3477" s="154" t="str">
        <f>IF(OpenLCAbasic!K3477="CTUh", "Fill in Manually",IF(OR(K3477="Unit", K3477=""), "", INDEX(LookUps!$E$5:$E$12, MATCH(OpenLCAbasic!K3477,LookUps!$D$5:$D$12,0))))</f>
        <v>Fossil Depletion Potential (FDP) - kg oil eq</v>
      </c>
      <c r="M3477" s="154" t="str">
        <f t="shared" si="172"/>
        <v>High_High_Low_Upgraded_Fossil Depletion Potential (FDP) - kg oil eq_Clear Cove Primary Clarification; wastewater treatment unit; at updated plant - US_Base_With Amendment_Windrow</v>
      </c>
    </row>
    <row r="3478" spans="1:13" s="120" customFormat="1" x14ac:dyDescent="0.25">
      <c r="A3478" s="119"/>
      <c r="B3478" s="138" t="str">
        <f t="shared" si="170"/>
        <v>Windrow</v>
      </c>
      <c r="C3478" s="138" t="str">
        <f t="shared" si="171"/>
        <v>Base_With Amendment</v>
      </c>
      <c r="D3478" s="118" t="s">
        <v>138</v>
      </c>
      <c r="E3478" s="118" t="s">
        <v>181</v>
      </c>
      <c r="F3478" s="118" t="s">
        <v>46</v>
      </c>
      <c r="G3478" s="153"/>
      <c r="H3478" s="155">
        <v>9.5500000000000002E-2</v>
      </c>
      <c r="I3478" s="154" t="s">
        <v>58</v>
      </c>
      <c r="J3478" s="203">
        <v>1.6039999999999999E-2</v>
      </c>
      <c r="K3478" s="154" t="s">
        <v>14</v>
      </c>
      <c r="L3478" s="154" t="str">
        <f>IF(OpenLCAbasic!K3478="CTUh", "Fill in Manually",IF(OR(K3478="Unit", K3478=""), "", INDEX(LookUps!$E$5:$E$12, MATCH(OpenLCAbasic!K3478,LookUps!$D$5:$D$12,0))))</f>
        <v>Fossil Depletion Potential (FDP) - kg oil eq</v>
      </c>
      <c r="M3478" s="154" t="str">
        <f t="shared" si="172"/>
        <v>High_High_Low_Upgraded_Fossil Depletion Potential (FDP) - kg oil eq_Pre-Anoxic &amp; Swing tank; wastewater treatment unit; at updated plant - US_Base_With Amendment_Windrow</v>
      </c>
    </row>
    <row r="3479" spans="1:13" s="120" customFormat="1" x14ac:dyDescent="0.25">
      <c r="A3479" s="119"/>
      <c r="B3479" s="138" t="str">
        <f t="shared" si="170"/>
        <v>Windrow</v>
      </c>
      <c r="C3479" s="138" t="str">
        <f t="shared" si="171"/>
        <v>Base_With Amendment</v>
      </c>
      <c r="D3479" s="118" t="s">
        <v>138</v>
      </c>
      <c r="E3479" s="118" t="s">
        <v>181</v>
      </c>
      <c r="F3479" s="118" t="s">
        <v>46</v>
      </c>
      <c r="G3479" s="153"/>
      <c r="H3479" s="155">
        <v>8.9899999999999994E-2</v>
      </c>
      <c r="I3479" s="154" t="s">
        <v>147</v>
      </c>
      <c r="J3479" s="203">
        <v>1.5089999999999999E-2</v>
      </c>
      <c r="K3479" s="154" t="s">
        <v>14</v>
      </c>
      <c r="L3479" s="154" t="str">
        <f>IF(OpenLCAbasic!K3479="CTUh", "Fill in Manually",IF(OR(K3479="Unit", K3479=""), "", INDEX(LookUps!$E$5:$E$12, MATCH(OpenLCAbasic!K3479,LookUps!$D$5:$D$12,0))))</f>
        <v>Fossil Depletion Potential (FDP) - kg oil eq</v>
      </c>
      <c r="M3479" s="154" t="str">
        <f t="shared" si="172"/>
        <v>High_High_Low_Upgraded_Fossil Depletion Potential (FDP) - kg oil eq_Influent Pump Station; wastewater treatment unit; at updated plant - US_Base_With Amendment_Windrow</v>
      </c>
    </row>
    <row r="3480" spans="1:13" s="120" customFormat="1" x14ac:dyDescent="0.25">
      <c r="A3480" s="119"/>
      <c r="B3480" s="138" t="str">
        <f t="shared" si="170"/>
        <v>Windrow</v>
      </c>
      <c r="C3480" s="138" t="str">
        <f t="shared" si="171"/>
        <v>Base_With Amendment</v>
      </c>
      <c r="D3480" s="118" t="s">
        <v>138</v>
      </c>
      <c r="E3480" s="118" t="s">
        <v>181</v>
      </c>
      <c r="F3480" s="118" t="s">
        <v>46</v>
      </c>
      <c r="G3480" s="153"/>
      <c r="H3480" s="155">
        <v>7.5399999999999995E-2</v>
      </c>
      <c r="I3480" s="154" t="s">
        <v>60</v>
      </c>
      <c r="J3480" s="203">
        <v>1.2659999999999999E-2</v>
      </c>
      <c r="K3480" s="154" t="s">
        <v>14</v>
      </c>
      <c r="L3480" s="154" t="str">
        <f>IF(OpenLCAbasic!K3480="CTUh", "Fill in Manually",IF(OR(K3480="Unit", K3480=""), "", INDEX(LookUps!$E$5:$E$12, MATCH(OpenLCAbasic!K3480,LookUps!$D$5:$D$12,0))))</f>
        <v>Fossil Depletion Potential (FDP) - kg oil eq</v>
      </c>
      <c r="M3480" s="154" t="str">
        <f t="shared" si="172"/>
        <v>High_High_Low_Upgraded_Fossil Depletion Potential (FDP) - kg oil eq_Belt filter press; wastewater treatment unit; at updated plant - US_Base_With Amendment_Windrow</v>
      </c>
    </row>
    <row r="3481" spans="1:13" s="120" customFormat="1" x14ac:dyDescent="0.25">
      <c r="A3481" s="119"/>
      <c r="B3481" s="138" t="str">
        <f t="shared" si="170"/>
        <v>Windrow</v>
      </c>
      <c r="C3481" s="138" t="str">
        <f t="shared" si="171"/>
        <v>Base_With Amendment</v>
      </c>
      <c r="D3481" s="118" t="s">
        <v>138</v>
      </c>
      <c r="E3481" s="118" t="s">
        <v>181</v>
      </c>
      <c r="F3481" s="118" t="s">
        <v>46</v>
      </c>
      <c r="G3481" s="153"/>
      <c r="H3481" s="155">
        <v>7.4399999999999994E-2</v>
      </c>
      <c r="I3481" s="154" t="s">
        <v>53</v>
      </c>
      <c r="J3481" s="204">
        <v>1.2489999999999999E-2</v>
      </c>
      <c r="K3481" s="154" t="s">
        <v>14</v>
      </c>
      <c r="L3481" s="154" t="str">
        <f>IF(OpenLCAbasic!K3481="CTUh", "Fill in Manually",IF(OR(K3481="Unit", K3481=""), "", INDEX(LookUps!$E$5:$E$12, MATCH(OpenLCAbasic!K3481,LookUps!$D$5:$D$12,0))))</f>
        <v>Fossil Depletion Potential (FDP) - kg oil eq</v>
      </c>
      <c r="M3481" s="154" t="str">
        <f t="shared" si="172"/>
        <v>High_High_Low_Upgraded_Fossil Depletion Potential (FDP) - kg oil eq_Wet Well and Sump Station; wastewater treatment unit; at updated plant - US_Base_With Amendment_Windrow</v>
      </c>
    </row>
    <row r="3482" spans="1:13" s="120" customFormat="1" x14ac:dyDescent="0.25">
      <c r="A3482" s="119"/>
      <c r="B3482" s="138" t="str">
        <f t="shared" si="170"/>
        <v>Windrow</v>
      </c>
      <c r="C3482" s="138" t="str">
        <f t="shared" si="171"/>
        <v>Base_With Amendment</v>
      </c>
      <c r="D3482" s="118" t="s">
        <v>138</v>
      </c>
      <c r="E3482" s="118" t="s">
        <v>181</v>
      </c>
      <c r="F3482" s="118" t="s">
        <v>46</v>
      </c>
      <c r="G3482" s="153"/>
      <c r="H3482" s="155">
        <v>4.1200000000000001E-2</v>
      </c>
      <c r="I3482" s="154" t="s">
        <v>57</v>
      </c>
      <c r="J3482" s="204">
        <v>6.9199999999999999E-3</v>
      </c>
      <c r="K3482" s="154" t="s">
        <v>14</v>
      </c>
      <c r="L3482" s="154" t="str">
        <f>IF(OpenLCAbasic!K3482="CTUh", "Fill in Manually",IF(OR(K3482="Unit", K3482=""), "", INDEX(LookUps!$E$5:$E$12, MATCH(OpenLCAbasic!K3482,LookUps!$D$5:$D$12,0))))</f>
        <v>Fossil Depletion Potential (FDP) - kg oil eq</v>
      </c>
      <c r="M3482" s="154" t="str">
        <f t="shared" si="172"/>
        <v>High_High_Low_Upgraded_Fossil Depletion Potential (FDP) - kg oil eq_Gravity Belt Thickener; wastewater treatment unit; at updated plant - US_Base_With Amendment_Windrow</v>
      </c>
    </row>
    <row r="3483" spans="1:13" s="120" customFormat="1" x14ac:dyDescent="0.25">
      <c r="A3483" s="119"/>
      <c r="B3483" s="138" t="str">
        <f t="shared" si="170"/>
        <v>Windrow</v>
      </c>
      <c r="C3483" s="138" t="str">
        <f t="shared" si="171"/>
        <v>Base_With Amendment</v>
      </c>
      <c r="D3483" s="118" t="s">
        <v>138</v>
      </c>
      <c r="E3483" s="118" t="s">
        <v>181</v>
      </c>
      <c r="F3483" s="118" t="s">
        <v>46</v>
      </c>
      <c r="G3483" s="153"/>
      <c r="H3483" s="155">
        <v>2.6800000000000001E-2</v>
      </c>
      <c r="I3483" s="154" t="s">
        <v>128</v>
      </c>
      <c r="J3483" s="204">
        <v>4.4999999999999997E-3</v>
      </c>
      <c r="K3483" s="154" t="s">
        <v>14</v>
      </c>
      <c r="L3483" s="154" t="str">
        <f>IF(OpenLCAbasic!K3483="CTUh", "Fill in Manually",IF(OR(K3483="Unit", K3483=""), "", INDEX(LookUps!$E$5:$E$12, MATCH(OpenLCAbasic!K3483,LookUps!$D$5:$D$12,0))))</f>
        <v>Fossil Depletion Potential (FDP) - kg oil eq</v>
      </c>
      <c r="M3483" s="154" t="str">
        <f t="shared" si="172"/>
        <v>High_High_Low_Upgraded_Fossil Depletion Potential (FDP) - kg oil eq_Wastewater collection; operation and infrastructure; m3 wastewater_Base_With Amendment_Windrow</v>
      </c>
    </row>
    <row r="3484" spans="1:13" s="120" customFormat="1" x14ac:dyDescent="0.25">
      <c r="A3484" s="119"/>
      <c r="B3484" s="138" t="str">
        <f t="shared" si="170"/>
        <v>Windrow</v>
      </c>
      <c r="C3484" s="138" t="str">
        <f t="shared" si="171"/>
        <v>Base_With Amendment</v>
      </c>
      <c r="D3484" s="118" t="s">
        <v>138</v>
      </c>
      <c r="E3484" s="118" t="s">
        <v>181</v>
      </c>
      <c r="F3484" s="118" t="s">
        <v>46</v>
      </c>
      <c r="G3484" s="153"/>
      <c r="H3484" s="155">
        <v>1.67E-2</v>
      </c>
      <c r="I3484" s="154" t="s">
        <v>148</v>
      </c>
      <c r="J3484" s="204">
        <v>2.8E-3</v>
      </c>
      <c r="K3484" s="154" t="s">
        <v>14</v>
      </c>
      <c r="L3484" s="154" t="str">
        <f>IF(OpenLCAbasic!K3484="CTUh", "Fill in Manually",IF(OR(K3484="Unit", K3484=""), "", INDEX(LookUps!$E$5:$E$12, MATCH(OpenLCAbasic!K3484,LookUps!$D$5:$D$12,0))))</f>
        <v>Fossil Depletion Potential (FDP) - kg oil eq</v>
      </c>
      <c r="M3484" s="154" t="str">
        <f t="shared" si="172"/>
        <v>High_High_Low_Upgraded_Fossil Depletion Potential (FDP) - kg oil eq_Control Building; at upgraded wastewater treatment plant - US_Base_With Amendment_Windrow</v>
      </c>
    </row>
    <row r="3485" spans="1:13" s="120" customFormat="1" x14ac:dyDescent="0.25">
      <c r="A3485" s="119"/>
      <c r="B3485" s="138" t="str">
        <f t="shared" si="170"/>
        <v>Windrow</v>
      </c>
      <c r="C3485" s="138" t="str">
        <f t="shared" si="171"/>
        <v>Base_With Amendment</v>
      </c>
      <c r="D3485" s="118" t="s">
        <v>138</v>
      </c>
      <c r="E3485" s="118" t="s">
        <v>181</v>
      </c>
      <c r="F3485" s="118" t="s">
        <v>46</v>
      </c>
      <c r="G3485" s="153"/>
      <c r="H3485" s="155">
        <v>1.41E-2</v>
      </c>
      <c r="I3485" s="154" t="s">
        <v>48</v>
      </c>
      <c r="J3485" s="204">
        <v>2.3600000000000001E-3</v>
      </c>
      <c r="K3485" s="154" t="s">
        <v>14</v>
      </c>
      <c r="L3485" s="154" t="str">
        <f>IF(OpenLCAbasic!K3485="CTUh", "Fill in Manually",IF(OR(K3485="Unit", K3485=""), "", INDEX(LookUps!$E$5:$E$12, MATCH(OpenLCAbasic!K3485,LookUps!$D$5:$D$12,0))))</f>
        <v>Fossil Depletion Potential (FDP) - kg oil eq</v>
      </c>
      <c r="M3485" s="154" t="str">
        <f t="shared" si="172"/>
        <v>High_High_Low_Upgraded_Fossil Depletion Potential (FDP) - kg oil eq_Effluent release; wastewater treatment unit; at surface water; m3 wastewater - US_Base_With Amendment_Windrow</v>
      </c>
    </row>
    <row r="3486" spans="1:13" s="120" customFormat="1" x14ac:dyDescent="0.25">
      <c r="A3486" s="119"/>
      <c r="B3486" s="138" t="str">
        <f t="shared" si="170"/>
        <v>Windrow</v>
      </c>
      <c r="C3486" s="138" t="str">
        <f t="shared" si="171"/>
        <v>Base_With Amendment</v>
      </c>
      <c r="D3486" s="118" t="s">
        <v>138</v>
      </c>
      <c r="E3486" s="118" t="s">
        <v>181</v>
      </c>
      <c r="F3486" s="118" t="s">
        <v>46</v>
      </c>
      <c r="G3486" s="153"/>
      <c r="H3486" s="155">
        <v>1.14E-2</v>
      </c>
      <c r="I3486" s="154" t="s">
        <v>59</v>
      </c>
      <c r="J3486" s="204">
        <v>1.92E-3</v>
      </c>
      <c r="K3486" s="154" t="s">
        <v>14</v>
      </c>
      <c r="L3486" s="154" t="str">
        <f>IF(OpenLCAbasic!K3486="CTUh", "Fill in Manually",IF(OR(K3486="Unit", K3486=""), "", INDEX(LookUps!$E$5:$E$12, MATCH(OpenLCAbasic!K3486,LookUps!$D$5:$D$12,0))))</f>
        <v>Fossil Depletion Potential (FDP) - kg oil eq</v>
      </c>
      <c r="M3486" s="154" t="str">
        <f t="shared" si="172"/>
        <v>High_High_Low_Upgraded_Fossil Depletion Potential (FDP) - kg oil eq_Blend Tank; wastewater treatment unit; at updated plant - US_Base_With Amendment_Windrow</v>
      </c>
    </row>
    <row r="3487" spans="1:13" s="120" customFormat="1" x14ac:dyDescent="0.25">
      <c r="A3487" s="119"/>
      <c r="B3487" s="138" t="str">
        <f t="shared" si="170"/>
        <v>Windrow</v>
      </c>
      <c r="C3487" s="138" t="str">
        <f t="shared" si="171"/>
        <v>Base_With Amendment</v>
      </c>
      <c r="D3487" s="118" t="s">
        <v>138</v>
      </c>
      <c r="E3487" s="118" t="s">
        <v>181</v>
      </c>
      <c r="F3487" s="118" t="s">
        <v>46</v>
      </c>
      <c r="G3487" s="153"/>
      <c r="H3487" s="155">
        <v>5.7000000000000002E-3</v>
      </c>
      <c r="I3487" s="154" t="s">
        <v>271</v>
      </c>
      <c r="J3487" s="204">
        <v>9.6000000000000002E-4</v>
      </c>
      <c r="K3487" s="154" t="s">
        <v>14</v>
      </c>
      <c r="L3487" s="154" t="str">
        <f>IF(OpenLCAbasic!K3487="CTUh", "Fill in Manually",IF(OR(K3487="Unit", K3487=""), "", INDEX(LookUps!$E$5:$E$12, MATCH(OpenLCAbasic!K3487,LookUps!$D$5:$D$12,0))))</f>
        <v>Fossil Depletion Potential (FDP) - kg oil eq</v>
      </c>
      <c r="M3487" s="154" t="str">
        <f t="shared" si="172"/>
        <v>High_High_Low_Upgraded_Fossil Depletion Potential (FDP) - kg oil eq_Biosolids composting; windrow composting; wastewater treatment unit; at updated plant - US_Base_With Amendment_Windrow</v>
      </c>
    </row>
    <row r="3488" spans="1:13" s="120" customFormat="1" x14ac:dyDescent="0.25">
      <c r="A3488" s="119"/>
      <c r="B3488" s="138" t="str">
        <f t="shared" si="170"/>
        <v>Windrow</v>
      </c>
      <c r="C3488" s="138" t="str">
        <f t="shared" si="171"/>
        <v>Base_With Amendment</v>
      </c>
      <c r="D3488" s="118" t="s">
        <v>138</v>
      </c>
      <c r="E3488" s="118" t="s">
        <v>181</v>
      </c>
      <c r="F3488" s="118" t="s">
        <v>46</v>
      </c>
      <c r="G3488" s="153"/>
      <c r="H3488" s="155">
        <v>5.4000000000000003E-3</v>
      </c>
      <c r="I3488" s="154" t="s">
        <v>168</v>
      </c>
      <c r="J3488" s="204">
        <v>9.1E-4</v>
      </c>
      <c r="K3488" s="154" t="s">
        <v>14</v>
      </c>
      <c r="L3488" s="154" t="str">
        <f>IF(OpenLCAbasic!K3488="CTUh", "Fill in Manually",IF(OR(K3488="Unit", K3488=""), "", INDEX(LookUps!$E$5:$E$12, MATCH(OpenLCAbasic!K3488,LookUps!$D$5:$D$12,0))))</f>
        <v>Fossil Depletion Potential (FDP) - kg oil eq</v>
      </c>
      <c r="M3488" s="154" t="str">
        <f t="shared" si="172"/>
        <v>High_High_Low_Upgraded_Fossil Depletion Potential (FDP) - kg oil eq_ClearCove SCP; wastewater treatment unit; at updated plant - US_Base_With Amendment_Windrow</v>
      </c>
    </row>
    <row r="3489" spans="1:13" s="120" customFormat="1" x14ac:dyDescent="0.25">
      <c r="A3489" s="119"/>
      <c r="B3489" s="138" t="str">
        <f t="shared" si="170"/>
        <v>Windrow</v>
      </c>
      <c r="C3489" s="138" t="str">
        <f t="shared" si="171"/>
        <v>Base_With Amendment</v>
      </c>
      <c r="D3489" s="118" t="s">
        <v>138</v>
      </c>
      <c r="E3489" s="118" t="s">
        <v>181</v>
      </c>
      <c r="F3489" s="118" t="s">
        <v>46</v>
      </c>
      <c r="G3489" s="153"/>
      <c r="H3489" s="155">
        <v>-7.1199999999999999E-2</v>
      </c>
      <c r="I3489" s="154" t="s">
        <v>62</v>
      </c>
      <c r="J3489" s="203">
        <v>-1.196E-2</v>
      </c>
      <c r="K3489" s="154" t="s">
        <v>14</v>
      </c>
      <c r="L3489" s="154" t="str">
        <f>IF(OpenLCAbasic!K3489="CTUh", "Fill in Manually",IF(OR(K3489="Unit", K3489=""), "", INDEX(LookUps!$E$5:$E$12, MATCH(OpenLCAbasic!K3489,LookUps!$D$5:$D$12,0))))</f>
        <v>Fossil Depletion Potential (FDP) - kg oil eq</v>
      </c>
      <c r="M3489" s="154" t="str">
        <f t="shared" si="172"/>
        <v>High_High_Low_Upgraded_Fossil Depletion Potential (FDP) - kg oil eq_Land application of compost; wastewater treatment unit; at updated plant - US_Base_With Amendment_Windrow</v>
      </c>
    </row>
    <row r="3490" spans="1:13" s="120" customFormat="1" x14ac:dyDescent="0.25">
      <c r="A3490" s="119"/>
      <c r="B3490" s="138" t="str">
        <f t="shared" si="170"/>
        <v>Windrow</v>
      </c>
      <c r="C3490" s="138" t="str">
        <f t="shared" si="171"/>
        <v>Base_With Amendment</v>
      </c>
      <c r="D3490" s="118" t="s">
        <v>138</v>
      </c>
      <c r="E3490" s="118" t="s">
        <v>181</v>
      </c>
      <c r="F3490" s="118" t="s">
        <v>46</v>
      </c>
      <c r="G3490" s="153"/>
      <c r="H3490" s="155">
        <v>-0.58760000000000001</v>
      </c>
      <c r="I3490" s="154" t="s">
        <v>149</v>
      </c>
      <c r="J3490" s="203">
        <v>-9.8640000000000005E-2</v>
      </c>
      <c r="K3490" s="154" t="s">
        <v>14</v>
      </c>
      <c r="L3490" s="154" t="str">
        <f>IF(OpenLCAbasic!K3490="CTUh", "Fill in Manually",IF(OR(K3490="Unit", K3490=""), "", INDEX(LookUps!$E$5:$E$12, MATCH(OpenLCAbasic!K3490,LookUps!$D$5:$D$12,0))))</f>
        <v>Fossil Depletion Potential (FDP) - kg oil eq</v>
      </c>
      <c r="M3490" s="154" t="str">
        <f t="shared" si="172"/>
        <v>High_High_Low_Upgraded_Fossil Depletion Potential (FDP) - kg oil eq_Anaerobic Digestion; wastewater treatment unit; at updated plant - US_Base_With Amendment_Windrow</v>
      </c>
    </row>
    <row r="3491" spans="1:13" s="120" customFormat="1" x14ac:dyDescent="0.25">
      <c r="A3491" s="119"/>
      <c r="B3491" s="138" t="str">
        <f t="shared" si="170"/>
        <v>Windrow</v>
      </c>
      <c r="C3491" s="138" t="str">
        <f t="shared" si="171"/>
        <v>Base_With Amendment</v>
      </c>
      <c r="D3491" s="118" t="s">
        <v>138</v>
      </c>
      <c r="E3491" s="118" t="s">
        <v>181</v>
      </c>
      <c r="F3491" s="118" t="s">
        <v>46</v>
      </c>
      <c r="G3491" s="153" t="s">
        <v>51</v>
      </c>
      <c r="H3491" s="154"/>
      <c r="I3491" s="154" t="s">
        <v>47</v>
      </c>
      <c r="J3491" s="154" t="s">
        <v>52</v>
      </c>
      <c r="K3491" s="154" t="s">
        <v>27</v>
      </c>
      <c r="L3491" s="154" t="str">
        <f>IF(OpenLCAbasic!K3491="CTUh", "Fill in Manually",IF(OR(K3491="Unit", K3491=""), "", INDEX(LookUps!$E$5:$E$12, MATCH(OpenLCAbasic!K3491,LookUps!$D$5:$D$12,0))))</f>
        <v/>
      </c>
      <c r="M3491" s="154" t="str">
        <f t="shared" si="172"/>
        <v>High_High_Low_Upgraded__Process_Base_With Amendment_Windrow</v>
      </c>
    </row>
    <row r="3492" spans="1:13" s="120" customFormat="1" x14ac:dyDescent="0.25">
      <c r="A3492" s="119"/>
      <c r="B3492" s="138" t="str">
        <f t="shared" si="170"/>
        <v>Windrow</v>
      </c>
      <c r="C3492" s="138" t="str">
        <f t="shared" si="171"/>
        <v>Base_With Amendment</v>
      </c>
      <c r="D3492" s="118" t="s">
        <v>138</v>
      </c>
      <c r="E3492" s="118" t="s">
        <v>181</v>
      </c>
      <c r="F3492" s="118" t="s">
        <v>46</v>
      </c>
      <c r="G3492" s="153"/>
      <c r="H3492" s="155">
        <v>0.52729999999999999</v>
      </c>
      <c r="I3492" s="154" t="s">
        <v>55</v>
      </c>
      <c r="J3492" s="204">
        <v>2.33E-3</v>
      </c>
      <c r="K3492" s="154" t="s">
        <v>145</v>
      </c>
      <c r="L3492" s="154" t="str">
        <f>IF(OpenLCAbasic!K3492="CTUh", "Fill in Manually",IF(OR(K3492="Unit", K3492=""), "", INDEX(LookUps!$E$5:$E$12, MATCH(OpenLCAbasic!K3492,LookUps!$D$5:$D$12,0))))</f>
        <v>Particulate Matter Formation Potential (PMFP) - kg PM2.5 eq</v>
      </c>
      <c r="M3492" s="154" t="str">
        <f t="shared" si="172"/>
        <v>High_High_Low_Upgraded_Particulate Matter Formation Potential (PMFP) - kg PM2.5 eq_Aeration Tanks; wastewater treatment unit; at updated plant - US_Base_With Amendment_Windrow</v>
      </c>
    </row>
    <row r="3493" spans="1:13" s="120" customFormat="1" x14ac:dyDescent="0.25">
      <c r="A3493" s="119"/>
      <c r="B3493" s="138" t="str">
        <f t="shared" si="170"/>
        <v>Windrow</v>
      </c>
      <c r="C3493" s="138" t="str">
        <f t="shared" si="171"/>
        <v>Base_With Amendment</v>
      </c>
      <c r="D3493" s="118" t="s">
        <v>138</v>
      </c>
      <c r="E3493" s="118" t="s">
        <v>181</v>
      </c>
      <c r="F3493" s="118" t="s">
        <v>46</v>
      </c>
      <c r="G3493" s="153"/>
      <c r="H3493" s="155">
        <v>0.18329999999999999</v>
      </c>
      <c r="I3493" s="154" t="s">
        <v>271</v>
      </c>
      <c r="J3493" s="204">
        <v>8.0999999999999996E-4</v>
      </c>
      <c r="K3493" s="154" t="s">
        <v>145</v>
      </c>
      <c r="L3493" s="154" t="str">
        <f>IF(OpenLCAbasic!K3493="CTUh", "Fill in Manually",IF(OR(K3493="Unit", K3493=""), "", INDEX(LookUps!$E$5:$E$12, MATCH(OpenLCAbasic!K3493,LookUps!$D$5:$D$12,0))))</f>
        <v>Particulate Matter Formation Potential (PMFP) - kg PM2.5 eq</v>
      </c>
      <c r="M3493" s="154" t="str">
        <f t="shared" si="172"/>
        <v>High_High_Low_Upgraded_Particulate Matter Formation Potential (PMFP) - kg PM2.5 eq_Biosolids composting; windrow composting; wastewater treatment unit; at updated plant - US_Base_With Amendment_Windrow</v>
      </c>
    </row>
    <row r="3494" spans="1:13" s="120" customFormat="1" x14ac:dyDescent="0.25">
      <c r="A3494" s="119"/>
      <c r="B3494" s="138" t="str">
        <f t="shared" si="170"/>
        <v>Windrow</v>
      </c>
      <c r="C3494" s="138" t="str">
        <f t="shared" si="171"/>
        <v>Base_With Amendment</v>
      </c>
      <c r="D3494" s="118" t="s">
        <v>138</v>
      </c>
      <c r="E3494" s="118" t="s">
        <v>181</v>
      </c>
      <c r="F3494" s="118" t="s">
        <v>46</v>
      </c>
      <c r="G3494" s="153"/>
      <c r="H3494" s="155">
        <v>0.15340000000000001</v>
      </c>
      <c r="I3494" s="154" t="s">
        <v>54</v>
      </c>
      <c r="J3494" s="204">
        <v>6.8000000000000005E-4</v>
      </c>
      <c r="K3494" s="154" t="s">
        <v>145</v>
      </c>
      <c r="L3494" s="154" t="str">
        <f>IF(OpenLCAbasic!K3494="CTUh", "Fill in Manually",IF(OR(K3494="Unit", K3494=""), "", INDEX(LookUps!$E$5:$E$12, MATCH(OpenLCAbasic!K3494,LookUps!$D$5:$D$12,0))))</f>
        <v>Particulate Matter Formation Potential (PMFP) - kg PM2.5 eq</v>
      </c>
      <c r="M3494" s="154" t="str">
        <f t="shared" si="172"/>
        <v>High_High_Low_Upgraded_Particulate Matter Formation Potential (PMFP) - kg PM2.5 eq_Clear Cove Primary Clarification; wastewater treatment unit; at updated plant - US_Base_With Amendment_Windrow</v>
      </c>
    </row>
    <row r="3495" spans="1:13" s="120" customFormat="1" x14ac:dyDescent="0.25">
      <c r="A3495" s="119"/>
      <c r="B3495" s="138" t="str">
        <f t="shared" si="170"/>
        <v>Windrow</v>
      </c>
      <c r="C3495" s="138" t="str">
        <f t="shared" si="171"/>
        <v>Base_With Amendment</v>
      </c>
      <c r="D3495" s="118" t="s">
        <v>138</v>
      </c>
      <c r="E3495" s="118" t="s">
        <v>181</v>
      </c>
      <c r="F3495" s="118" t="s">
        <v>46</v>
      </c>
      <c r="G3495" s="153"/>
      <c r="H3495" s="155">
        <v>0.1336</v>
      </c>
      <c r="I3495" s="154" t="s">
        <v>58</v>
      </c>
      <c r="J3495" s="204">
        <v>5.9000000000000003E-4</v>
      </c>
      <c r="K3495" s="154" t="s">
        <v>145</v>
      </c>
      <c r="L3495" s="154" t="str">
        <f>IF(OpenLCAbasic!K3495="CTUh", "Fill in Manually",IF(OR(K3495="Unit", K3495=""), "", INDEX(LookUps!$E$5:$E$12, MATCH(OpenLCAbasic!K3495,LookUps!$D$5:$D$12,0))))</f>
        <v>Particulate Matter Formation Potential (PMFP) - kg PM2.5 eq</v>
      </c>
      <c r="M3495" s="154" t="str">
        <f t="shared" si="172"/>
        <v>High_High_Low_Upgraded_Particulate Matter Formation Potential (PMFP) - kg PM2.5 eq_Pre-Anoxic &amp; Swing tank; wastewater treatment unit; at updated plant - US_Base_With Amendment_Windrow</v>
      </c>
    </row>
    <row r="3496" spans="1:13" s="120" customFormat="1" x14ac:dyDescent="0.25">
      <c r="A3496" s="119"/>
      <c r="B3496" s="138" t="str">
        <f t="shared" si="170"/>
        <v>Windrow</v>
      </c>
      <c r="C3496" s="138" t="str">
        <f t="shared" si="171"/>
        <v>Base_With Amendment</v>
      </c>
      <c r="D3496" s="118" t="s">
        <v>138</v>
      </c>
      <c r="E3496" s="118" t="s">
        <v>181</v>
      </c>
      <c r="F3496" s="118" t="s">
        <v>46</v>
      </c>
      <c r="G3496" s="153"/>
      <c r="H3496" s="155">
        <v>0.10539999999999999</v>
      </c>
      <c r="I3496" s="154" t="s">
        <v>53</v>
      </c>
      <c r="J3496" s="204">
        <v>4.6999999999999999E-4</v>
      </c>
      <c r="K3496" s="154" t="s">
        <v>145</v>
      </c>
      <c r="L3496" s="154" t="str">
        <f>IF(OpenLCAbasic!K3496="CTUh", "Fill in Manually",IF(OR(K3496="Unit", K3496=""), "", INDEX(LookUps!$E$5:$E$12, MATCH(OpenLCAbasic!K3496,LookUps!$D$5:$D$12,0))))</f>
        <v>Particulate Matter Formation Potential (PMFP) - kg PM2.5 eq</v>
      </c>
      <c r="M3496" s="154" t="str">
        <f t="shared" si="172"/>
        <v>High_High_Low_Upgraded_Particulate Matter Formation Potential (PMFP) - kg PM2.5 eq_Wet Well and Sump Station; wastewater treatment unit; at updated plant - US_Base_With Amendment_Windrow</v>
      </c>
    </row>
    <row r="3497" spans="1:13" s="120" customFormat="1" x14ac:dyDescent="0.25">
      <c r="A3497" s="119"/>
      <c r="B3497" s="138" t="str">
        <f t="shared" si="170"/>
        <v>Windrow</v>
      </c>
      <c r="C3497" s="138" t="str">
        <f t="shared" si="171"/>
        <v>Base_With Amendment</v>
      </c>
      <c r="D3497" s="118" t="s">
        <v>138</v>
      </c>
      <c r="E3497" s="118" t="s">
        <v>181</v>
      </c>
      <c r="F3497" s="118" t="s">
        <v>46</v>
      </c>
      <c r="G3497" s="153"/>
      <c r="H3497" s="155">
        <v>7.4899999999999994E-2</v>
      </c>
      <c r="I3497" s="154" t="s">
        <v>167</v>
      </c>
      <c r="J3497" s="204">
        <v>3.3E-4</v>
      </c>
      <c r="K3497" s="154" t="s">
        <v>145</v>
      </c>
      <c r="L3497" s="154" t="str">
        <f>IF(OpenLCAbasic!K3497="CTUh", "Fill in Manually",IF(OR(K3497="Unit", K3497=""), "", INDEX(LookUps!$E$5:$E$12, MATCH(OpenLCAbasic!K3497,LookUps!$D$5:$D$12,0))))</f>
        <v>Particulate Matter Formation Potential (PMFP) - kg PM2.5 eq</v>
      </c>
      <c r="M3497" s="154" t="str">
        <f t="shared" si="172"/>
        <v>High_High_Low_Upgraded_Particulate Matter Formation Potential (PMFP) - kg PM2.5 eq_Waste Receiving and Holding; wastewater treatment unit; at updated plant - US_Base_With Amendment_Windrow</v>
      </c>
    </row>
    <row r="3498" spans="1:13" s="120" customFormat="1" x14ac:dyDescent="0.25">
      <c r="A3498" s="119"/>
      <c r="B3498" s="138" t="str">
        <f t="shared" si="170"/>
        <v>Windrow</v>
      </c>
      <c r="C3498" s="138" t="str">
        <f t="shared" si="171"/>
        <v>Base_With Amendment</v>
      </c>
      <c r="D3498" s="118" t="s">
        <v>138</v>
      </c>
      <c r="E3498" s="118" t="s">
        <v>181</v>
      </c>
      <c r="F3498" s="118" t="s">
        <v>46</v>
      </c>
      <c r="G3498" s="153"/>
      <c r="H3498" s="155">
        <v>6.0299999999999999E-2</v>
      </c>
      <c r="I3498" s="154" t="s">
        <v>147</v>
      </c>
      <c r="J3498" s="204">
        <v>2.7E-4</v>
      </c>
      <c r="K3498" s="154" t="s">
        <v>145</v>
      </c>
      <c r="L3498" s="154" t="str">
        <f>IF(OpenLCAbasic!K3498="CTUh", "Fill in Manually",IF(OR(K3498="Unit", K3498=""), "", INDEX(LookUps!$E$5:$E$12, MATCH(OpenLCAbasic!K3498,LookUps!$D$5:$D$12,0))))</f>
        <v>Particulate Matter Formation Potential (PMFP) - kg PM2.5 eq</v>
      </c>
      <c r="M3498" s="154" t="str">
        <f t="shared" si="172"/>
        <v>High_High_Low_Upgraded_Particulate Matter Formation Potential (PMFP) - kg PM2.5 eq_Influent Pump Station; wastewater treatment unit; at updated plant - US_Base_With Amendment_Windrow</v>
      </c>
    </row>
    <row r="3499" spans="1:13" s="120" customFormat="1" x14ac:dyDescent="0.25">
      <c r="A3499" s="119"/>
      <c r="B3499" s="138" t="str">
        <f t="shared" si="170"/>
        <v>Windrow</v>
      </c>
      <c r="C3499" s="138" t="str">
        <f t="shared" si="171"/>
        <v>Base_With Amendment</v>
      </c>
      <c r="D3499" s="118" t="s">
        <v>138</v>
      </c>
      <c r="E3499" s="118" t="s">
        <v>181</v>
      </c>
      <c r="F3499" s="118" t="s">
        <v>46</v>
      </c>
      <c r="G3499" s="153"/>
      <c r="H3499" s="155">
        <v>5.1400000000000001E-2</v>
      </c>
      <c r="I3499" s="154" t="s">
        <v>60</v>
      </c>
      <c r="J3499" s="204">
        <v>2.3000000000000001E-4</v>
      </c>
      <c r="K3499" s="154" t="s">
        <v>145</v>
      </c>
      <c r="L3499" s="154" t="str">
        <f>IF(OpenLCAbasic!K3499="CTUh", "Fill in Manually",IF(OR(K3499="Unit", K3499=""), "", INDEX(LookUps!$E$5:$E$12, MATCH(OpenLCAbasic!K3499,LookUps!$D$5:$D$12,0))))</f>
        <v>Particulate Matter Formation Potential (PMFP) - kg PM2.5 eq</v>
      </c>
      <c r="M3499" s="154" t="str">
        <f t="shared" si="172"/>
        <v>High_High_Low_Upgraded_Particulate Matter Formation Potential (PMFP) - kg PM2.5 eq_Belt filter press; wastewater treatment unit; at updated plant - US_Base_With Amendment_Windrow</v>
      </c>
    </row>
    <row r="3500" spans="1:13" s="120" customFormat="1" x14ac:dyDescent="0.25">
      <c r="A3500" s="119"/>
      <c r="B3500" s="138" t="str">
        <f t="shared" si="170"/>
        <v>Windrow</v>
      </c>
      <c r="C3500" s="138" t="str">
        <f t="shared" si="171"/>
        <v>Base_With Amendment</v>
      </c>
      <c r="D3500" s="118" t="s">
        <v>138</v>
      </c>
      <c r="E3500" s="118" t="s">
        <v>181</v>
      </c>
      <c r="F3500" s="118" t="s">
        <v>46</v>
      </c>
      <c r="G3500" s="153"/>
      <c r="H3500" s="155">
        <v>3.7600000000000001E-2</v>
      </c>
      <c r="I3500" s="154" t="s">
        <v>128</v>
      </c>
      <c r="J3500" s="204">
        <v>1.7000000000000001E-4</v>
      </c>
      <c r="K3500" s="154" t="s">
        <v>145</v>
      </c>
      <c r="L3500" s="154" t="str">
        <f>IF(OpenLCAbasic!K3500="CTUh", "Fill in Manually",IF(OR(K3500="Unit", K3500=""), "", INDEX(LookUps!$E$5:$E$12, MATCH(OpenLCAbasic!K3500,LookUps!$D$5:$D$12,0))))</f>
        <v>Particulate Matter Formation Potential (PMFP) - kg PM2.5 eq</v>
      </c>
      <c r="M3500" s="154" t="str">
        <f t="shared" si="172"/>
        <v>High_High_Low_Upgraded_Particulate Matter Formation Potential (PMFP) - kg PM2.5 eq_Wastewater collection; operation and infrastructure; m3 wastewater_Base_With Amendment_Windrow</v>
      </c>
    </row>
    <row r="3501" spans="1:13" s="120" customFormat="1" x14ac:dyDescent="0.25">
      <c r="A3501" s="119"/>
      <c r="B3501" s="138" t="str">
        <f t="shared" si="170"/>
        <v>Windrow</v>
      </c>
      <c r="C3501" s="138" t="str">
        <f t="shared" si="171"/>
        <v>Base_With Amendment</v>
      </c>
      <c r="D3501" s="118" t="s">
        <v>138</v>
      </c>
      <c r="E3501" s="118" t="s">
        <v>181</v>
      </c>
      <c r="F3501" s="118" t="s">
        <v>46</v>
      </c>
      <c r="G3501" s="153"/>
      <c r="H3501" s="155">
        <v>2.1499999999999998E-2</v>
      </c>
      <c r="I3501" s="154" t="s">
        <v>57</v>
      </c>
      <c r="J3501" s="204">
        <v>9.5153800000000004E-5</v>
      </c>
      <c r="K3501" s="154" t="s">
        <v>145</v>
      </c>
      <c r="L3501" s="154" t="str">
        <f>IF(OpenLCAbasic!K3501="CTUh", "Fill in Manually",IF(OR(K3501="Unit", K3501=""), "", INDEX(LookUps!$E$5:$E$12, MATCH(OpenLCAbasic!K3501,LookUps!$D$5:$D$12,0))))</f>
        <v>Particulate Matter Formation Potential (PMFP) - kg PM2.5 eq</v>
      </c>
      <c r="M3501" s="154" t="str">
        <f t="shared" si="172"/>
        <v>High_High_Low_Upgraded_Particulate Matter Formation Potential (PMFP) - kg PM2.5 eq_Gravity Belt Thickener; wastewater treatment unit; at updated plant - US_Base_With Amendment_Windrow</v>
      </c>
    </row>
    <row r="3502" spans="1:13" s="120" customFormat="1" x14ac:dyDescent="0.25">
      <c r="A3502" s="119"/>
      <c r="B3502" s="138" t="str">
        <f t="shared" si="170"/>
        <v>Windrow</v>
      </c>
      <c r="C3502" s="138" t="str">
        <f t="shared" si="171"/>
        <v>Base_With Amendment</v>
      </c>
      <c r="D3502" s="118" t="s">
        <v>138</v>
      </c>
      <c r="E3502" s="118" t="s">
        <v>181</v>
      </c>
      <c r="F3502" s="118" t="s">
        <v>46</v>
      </c>
      <c r="G3502" s="153"/>
      <c r="H3502" s="155">
        <v>1.66E-2</v>
      </c>
      <c r="I3502" s="154" t="s">
        <v>62</v>
      </c>
      <c r="J3502" s="204">
        <v>7.3606600000000001E-5</v>
      </c>
      <c r="K3502" s="154" t="s">
        <v>145</v>
      </c>
      <c r="L3502" s="154" t="str">
        <f>IF(OpenLCAbasic!K3502="CTUh", "Fill in Manually",IF(OR(K3502="Unit", K3502=""), "", INDEX(LookUps!$E$5:$E$12, MATCH(OpenLCAbasic!K3502,LookUps!$D$5:$D$12,0))))</f>
        <v>Particulate Matter Formation Potential (PMFP) - kg PM2.5 eq</v>
      </c>
      <c r="M3502" s="154" t="str">
        <f t="shared" si="172"/>
        <v>High_High_Low_Upgraded_Particulate Matter Formation Potential (PMFP) - kg PM2.5 eq_Land application of compost; wastewater treatment unit; at updated plant - US_Base_With Amendment_Windrow</v>
      </c>
    </row>
    <row r="3503" spans="1:13" s="120" customFormat="1" x14ac:dyDescent="0.25">
      <c r="A3503" s="119"/>
      <c r="B3503" s="138" t="str">
        <f t="shared" si="170"/>
        <v>Windrow</v>
      </c>
      <c r="C3503" s="138" t="str">
        <f t="shared" si="171"/>
        <v>Base_With Amendment</v>
      </c>
      <c r="D3503" s="118" t="s">
        <v>138</v>
      </c>
      <c r="E3503" s="118" t="s">
        <v>181</v>
      </c>
      <c r="F3503" s="118" t="s">
        <v>46</v>
      </c>
      <c r="G3503" s="153"/>
      <c r="H3503" s="155">
        <v>1.5800000000000002E-2</v>
      </c>
      <c r="I3503" s="154" t="s">
        <v>59</v>
      </c>
      <c r="J3503" s="204">
        <v>6.9942200000000003E-5</v>
      </c>
      <c r="K3503" s="154" t="s">
        <v>145</v>
      </c>
      <c r="L3503" s="154" t="str">
        <f>IF(OpenLCAbasic!K3503="CTUh", "Fill in Manually",IF(OR(K3503="Unit", K3503=""), "", INDEX(LookUps!$E$5:$E$12, MATCH(OpenLCAbasic!K3503,LookUps!$D$5:$D$12,0))))</f>
        <v>Particulate Matter Formation Potential (PMFP) - kg PM2.5 eq</v>
      </c>
      <c r="M3503" s="154" t="str">
        <f t="shared" si="172"/>
        <v>High_High_Low_Upgraded_Particulate Matter Formation Potential (PMFP) - kg PM2.5 eq_Blend Tank; wastewater treatment unit; at updated plant - US_Base_With Amendment_Windrow</v>
      </c>
    </row>
    <row r="3504" spans="1:13" s="120" customFormat="1" x14ac:dyDescent="0.25">
      <c r="A3504" s="119"/>
      <c r="B3504" s="138" t="str">
        <f t="shared" si="170"/>
        <v>Windrow</v>
      </c>
      <c r="C3504" s="138" t="str">
        <f t="shared" si="171"/>
        <v>Base_With Amendment</v>
      </c>
      <c r="D3504" s="118" t="s">
        <v>138</v>
      </c>
      <c r="E3504" s="118" t="s">
        <v>181</v>
      </c>
      <c r="F3504" s="118" t="s">
        <v>46</v>
      </c>
      <c r="G3504" s="153"/>
      <c r="H3504" s="155">
        <v>1.1299999999999999E-2</v>
      </c>
      <c r="I3504" s="154" t="s">
        <v>48</v>
      </c>
      <c r="J3504" s="204">
        <v>4.99741E-5</v>
      </c>
      <c r="K3504" s="154" t="s">
        <v>145</v>
      </c>
      <c r="L3504" s="154" t="str">
        <f>IF(OpenLCAbasic!K3504="CTUh", "Fill in Manually",IF(OR(K3504="Unit", K3504=""), "", INDEX(LookUps!$E$5:$E$12, MATCH(OpenLCAbasic!K3504,LookUps!$D$5:$D$12,0))))</f>
        <v>Particulate Matter Formation Potential (PMFP) - kg PM2.5 eq</v>
      </c>
      <c r="M3504" s="154" t="str">
        <f t="shared" si="172"/>
        <v>High_High_Low_Upgraded_Particulate Matter Formation Potential (PMFP) - kg PM2.5 eq_Effluent release; wastewater treatment unit; at surface water; m3 wastewater - US_Base_With Amendment_Windrow</v>
      </c>
    </row>
    <row r="3505" spans="1:13" s="120" customFormat="1" x14ac:dyDescent="0.25">
      <c r="A3505" s="119"/>
      <c r="B3505" s="138" t="str">
        <f t="shared" si="170"/>
        <v>Windrow</v>
      </c>
      <c r="C3505" s="138" t="str">
        <f t="shared" si="171"/>
        <v>Base_With Amendment</v>
      </c>
      <c r="D3505" s="118" t="s">
        <v>138</v>
      </c>
      <c r="E3505" s="118" t="s">
        <v>181</v>
      </c>
      <c r="F3505" s="118" t="s">
        <v>46</v>
      </c>
      <c r="G3505" s="153"/>
      <c r="H3505" s="155">
        <v>7.7999999999999996E-3</v>
      </c>
      <c r="I3505" s="154" t="s">
        <v>168</v>
      </c>
      <c r="J3505" s="204">
        <v>3.4562199999999999E-5</v>
      </c>
      <c r="K3505" s="154" t="s">
        <v>145</v>
      </c>
      <c r="L3505" s="154" t="str">
        <f>IF(OpenLCAbasic!K3505="CTUh", "Fill in Manually",IF(OR(K3505="Unit", K3505=""), "", INDEX(LookUps!$E$5:$E$12, MATCH(OpenLCAbasic!K3505,LookUps!$D$5:$D$12,0))))</f>
        <v>Particulate Matter Formation Potential (PMFP) - kg PM2.5 eq</v>
      </c>
      <c r="M3505" s="154" t="str">
        <f t="shared" si="172"/>
        <v>High_High_Low_Upgraded_Particulate Matter Formation Potential (PMFP) - kg PM2.5 eq_ClearCove SCP; wastewater treatment unit; at updated plant - US_Base_With Amendment_Windrow</v>
      </c>
    </row>
    <row r="3506" spans="1:13" s="120" customFormat="1" x14ac:dyDescent="0.25">
      <c r="A3506" s="119"/>
      <c r="B3506" s="138" t="str">
        <f t="shared" si="170"/>
        <v>Windrow</v>
      </c>
      <c r="C3506" s="138" t="str">
        <f t="shared" si="171"/>
        <v>Base_With Amendment</v>
      </c>
      <c r="D3506" s="118" t="s">
        <v>138</v>
      </c>
      <c r="E3506" s="118" t="s">
        <v>181</v>
      </c>
      <c r="F3506" s="118" t="s">
        <v>46</v>
      </c>
      <c r="G3506" s="153"/>
      <c r="H3506" s="155">
        <v>2E-3</v>
      </c>
      <c r="I3506" s="154" t="s">
        <v>148</v>
      </c>
      <c r="J3506" s="204">
        <v>8.8212999999999997E-6</v>
      </c>
      <c r="K3506" s="154" t="s">
        <v>145</v>
      </c>
      <c r="L3506" s="154" t="str">
        <f>IF(OpenLCAbasic!K3506="CTUh", "Fill in Manually",IF(OR(K3506="Unit", K3506=""), "", INDEX(LookUps!$E$5:$E$12, MATCH(OpenLCAbasic!K3506,LookUps!$D$5:$D$12,0))))</f>
        <v>Particulate Matter Formation Potential (PMFP) - kg PM2.5 eq</v>
      </c>
      <c r="M3506" s="154" t="str">
        <f t="shared" si="172"/>
        <v>High_High_Low_Upgraded_Particulate Matter Formation Potential (PMFP) - kg PM2.5 eq_Control Building; at upgraded wastewater treatment plant - US_Base_With Amendment_Windrow</v>
      </c>
    </row>
    <row r="3507" spans="1:13" s="120" customFormat="1" x14ac:dyDescent="0.25">
      <c r="A3507" s="119"/>
      <c r="B3507" s="138" t="str">
        <f t="shared" si="170"/>
        <v>Windrow</v>
      </c>
      <c r="C3507" s="138" t="str">
        <f t="shared" si="171"/>
        <v>Base_With Amendment</v>
      </c>
      <c r="D3507" s="118" t="s">
        <v>138</v>
      </c>
      <c r="E3507" s="118" t="s">
        <v>181</v>
      </c>
      <c r="F3507" s="118" t="s">
        <v>46</v>
      </c>
      <c r="G3507" s="153"/>
      <c r="H3507" s="155">
        <v>-0.40229999999999999</v>
      </c>
      <c r="I3507" s="154" t="s">
        <v>149</v>
      </c>
      <c r="J3507" s="204">
        <v>-1.7799999999999999E-3</v>
      </c>
      <c r="K3507" s="154" t="s">
        <v>145</v>
      </c>
      <c r="L3507" s="154" t="str">
        <f>IF(OpenLCAbasic!K3507="CTUh", "Fill in Manually",IF(OR(K3507="Unit", K3507=""), "", INDEX(LookUps!$E$5:$E$12, MATCH(OpenLCAbasic!K3507,LookUps!$D$5:$D$12,0))))</f>
        <v>Particulate Matter Formation Potential (PMFP) - kg PM2.5 eq</v>
      </c>
      <c r="M3507" s="154" t="str">
        <f t="shared" si="172"/>
        <v>High_High_Low_Upgraded_Particulate Matter Formation Potential (PMFP) - kg PM2.5 eq_Anaerobic Digestion; wastewater treatment unit; at updated plant - US_Base_With Amendment_Windrow</v>
      </c>
    </row>
    <row r="3508" spans="1:13" s="120" customFormat="1" x14ac:dyDescent="0.25">
      <c r="A3508" s="119"/>
      <c r="B3508" s="138" t="str">
        <f t="shared" si="170"/>
        <v>Windrow</v>
      </c>
      <c r="C3508" s="138" t="str">
        <f t="shared" si="171"/>
        <v>Base_With Amendment</v>
      </c>
      <c r="D3508" s="118" t="s">
        <v>138</v>
      </c>
      <c r="E3508" s="118" t="s">
        <v>181</v>
      </c>
      <c r="F3508" s="118" t="s">
        <v>46</v>
      </c>
      <c r="G3508" s="153" t="s">
        <v>51</v>
      </c>
      <c r="H3508" s="154"/>
      <c r="I3508" s="154" t="s">
        <v>47</v>
      </c>
      <c r="J3508" s="154" t="s">
        <v>52</v>
      </c>
      <c r="K3508" s="154" t="s">
        <v>27</v>
      </c>
      <c r="L3508" s="154" t="str">
        <f>IF(OpenLCAbasic!K3508="CTUh", "Fill in Manually",IF(OR(K3508="Unit", K3508=""), "", INDEX(LookUps!$E$5:$E$12, MATCH(OpenLCAbasic!K3508,LookUps!$D$5:$D$12,0))))</f>
        <v/>
      </c>
      <c r="M3508" s="154" t="str">
        <f t="shared" si="172"/>
        <v>High_High_Low_Upgraded__Process_Base_With Amendment_Windrow</v>
      </c>
    </row>
    <row r="3509" spans="1:13" s="120" customFormat="1" x14ac:dyDescent="0.25">
      <c r="A3509" s="119"/>
      <c r="B3509" s="138" t="str">
        <f t="shared" si="170"/>
        <v>Windrow</v>
      </c>
      <c r="C3509" s="138" t="str">
        <f t="shared" si="171"/>
        <v>Base_With Amendment</v>
      </c>
      <c r="D3509" s="118" t="s">
        <v>138</v>
      </c>
      <c r="E3509" s="118" t="s">
        <v>181</v>
      </c>
      <c r="F3509" s="118" t="s">
        <v>46</v>
      </c>
      <c r="G3509" s="153"/>
      <c r="H3509" s="155">
        <v>0.64219999999999999</v>
      </c>
      <c r="I3509" s="154" t="s">
        <v>55</v>
      </c>
      <c r="J3509" s="203">
        <v>0.16577</v>
      </c>
      <c r="K3509" s="154" t="s">
        <v>25</v>
      </c>
      <c r="L3509" s="154" t="str">
        <f>IF(OpenLCAbasic!K3509="CTUh", "Fill in Manually",IF(OR(K3509="Unit", K3509=""), "", INDEX(LookUps!$E$5:$E$12, MATCH(OpenLCAbasic!K3509,LookUps!$D$5:$D$12,0))))</f>
        <v>Smog Formation Potential (SFP) - kg O3 eq</v>
      </c>
      <c r="M3509" s="154" t="str">
        <f t="shared" si="172"/>
        <v>High_High_Low_Upgraded_Smog Formation Potential (SFP) - kg O3 eq_Aeration Tanks; wastewater treatment unit; at updated plant - US_Base_With Amendment_Windrow</v>
      </c>
    </row>
    <row r="3510" spans="1:13" s="120" customFormat="1" x14ac:dyDescent="0.25">
      <c r="A3510" s="119"/>
      <c r="B3510" s="138" t="str">
        <f t="shared" si="170"/>
        <v>Windrow</v>
      </c>
      <c r="C3510" s="138" t="str">
        <f t="shared" si="171"/>
        <v>Base_With Amendment</v>
      </c>
      <c r="D3510" s="118" t="s">
        <v>138</v>
      </c>
      <c r="E3510" s="118" t="s">
        <v>181</v>
      </c>
      <c r="F3510" s="118" t="s">
        <v>46</v>
      </c>
      <c r="G3510" s="153"/>
      <c r="H3510" s="155">
        <v>0.1862</v>
      </c>
      <c r="I3510" s="154" t="s">
        <v>54</v>
      </c>
      <c r="J3510" s="203">
        <v>4.8070000000000002E-2</v>
      </c>
      <c r="K3510" s="154" t="s">
        <v>25</v>
      </c>
      <c r="L3510" s="154" t="str">
        <f>IF(OpenLCAbasic!K3510="CTUh", "Fill in Manually",IF(OR(K3510="Unit", K3510=""), "", INDEX(LookUps!$E$5:$E$12, MATCH(OpenLCAbasic!K3510,LookUps!$D$5:$D$12,0))))</f>
        <v>Smog Formation Potential (SFP) - kg O3 eq</v>
      </c>
      <c r="M3510" s="154" t="str">
        <f t="shared" si="172"/>
        <v>High_High_Low_Upgraded_Smog Formation Potential (SFP) - kg O3 eq_Clear Cove Primary Clarification; wastewater treatment unit; at updated plant - US_Base_With Amendment_Windrow</v>
      </c>
    </row>
    <row r="3511" spans="1:13" s="120" customFormat="1" x14ac:dyDescent="0.25">
      <c r="A3511" s="119"/>
      <c r="B3511" s="138" t="str">
        <f t="shared" si="170"/>
        <v>Windrow</v>
      </c>
      <c r="C3511" s="138" t="str">
        <f t="shared" si="171"/>
        <v>Base_With Amendment</v>
      </c>
      <c r="D3511" s="118" t="s">
        <v>138</v>
      </c>
      <c r="E3511" s="118" t="s">
        <v>181</v>
      </c>
      <c r="F3511" s="118" t="s">
        <v>46</v>
      </c>
      <c r="G3511" s="153"/>
      <c r="H3511" s="155">
        <v>0.16309999999999999</v>
      </c>
      <c r="I3511" s="154" t="s">
        <v>58</v>
      </c>
      <c r="J3511" s="203">
        <v>4.2090000000000002E-2</v>
      </c>
      <c r="K3511" s="154" t="s">
        <v>25</v>
      </c>
      <c r="L3511" s="154" t="str">
        <f>IF(OpenLCAbasic!K3511="CTUh", "Fill in Manually",IF(OR(K3511="Unit", K3511=""), "", INDEX(LookUps!$E$5:$E$12, MATCH(OpenLCAbasic!K3511,LookUps!$D$5:$D$12,0))))</f>
        <v>Smog Formation Potential (SFP) - kg O3 eq</v>
      </c>
      <c r="M3511" s="154" t="str">
        <f t="shared" si="172"/>
        <v>High_High_Low_Upgraded_Smog Formation Potential (SFP) - kg O3 eq_Pre-Anoxic &amp; Swing tank; wastewater treatment unit; at updated plant - US_Base_With Amendment_Windrow</v>
      </c>
    </row>
    <row r="3512" spans="1:13" s="120" customFormat="1" x14ac:dyDescent="0.25">
      <c r="A3512" s="119"/>
      <c r="B3512" s="138" t="str">
        <f t="shared" si="170"/>
        <v>Windrow</v>
      </c>
      <c r="C3512" s="138" t="str">
        <f t="shared" si="171"/>
        <v>Base_With Amendment</v>
      </c>
      <c r="D3512" s="118" t="s">
        <v>138</v>
      </c>
      <c r="E3512" s="118" t="s">
        <v>181</v>
      </c>
      <c r="F3512" s="118" t="s">
        <v>46</v>
      </c>
      <c r="G3512" s="153"/>
      <c r="H3512" s="155">
        <v>0.1308</v>
      </c>
      <c r="I3512" s="154" t="s">
        <v>167</v>
      </c>
      <c r="J3512" s="203">
        <v>3.3759999999999998E-2</v>
      </c>
      <c r="K3512" s="154" t="s">
        <v>25</v>
      </c>
      <c r="L3512" s="154" t="str">
        <f>IF(OpenLCAbasic!K3512="CTUh", "Fill in Manually",IF(OR(K3512="Unit", K3512=""), "", INDEX(LookUps!$E$5:$E$12, MATCH(OpenLCAbasic!K3512,LookUps!$D$5:$D$12,0))))</f>
        <v>Smog Formation Potential (SFP) - kg O3 eq</v>
      </c>
      <c r="M3512" s="154" t="str">
        <f t="shared" si="172"/>
        <v>High_High_Low_Upgraded_Smog Formation Potential (SFP) - kg O3 eq_Waste Receiving and Holding; wastewater treatment unit; at updated plant - US_Base_With Amendment_Windrow</v>
      </c>
    </row>
    <row r="3513" spans="1:13" s="120" customFormat="1" x14ac:dyDescent="0.25">
      <c r="A3513" s="119"/>
      <c r="B3513" s="138" t="str">
        <f t="shared" si="170"/>
        <v>Windrow</v>
      </c>
      <c r="C3513" s="138" t="str">
        <f t="shared" si="171"/>
        <v>Base_With Amendment</v>
      </c>
      <c r="D3513" s="118" t="s">
        <v>138</v>
      </c>
      <c r="E3513" s="118" t="s">
        <v>181</v>
      </c>
      <c r="F3513" s="118" t="s">
        <v>46</v>
      </c>
      <c r="G3513" s="153"/>
      <c r="H3513" s="155">
        <v>0.1283</v>
      </c>
      <c r="I3513" s="154" t="s">
        <v>53</v>
      </c>
      <c r="J3513" s="203">
        <v>3.313E-2</v>
      </c>
      <c r="K3513" s="154" t="s">
        <v>25</v>
      </c>
      <c r="L3513" s="154" t="str">
        <f>IF(OpenLCAbasic!K3513="CTUh", "Fill in Manually",IF(OR(K3513="Unit", K3513=""), "", INDEX(LookUps!$E$5:$E$12, MATCH(OpenLCAbasic!K3513,LookUps!$D$5:$D$12,0))))</f>
        <v>Smog Formation Potential (SFP) - kg O3 eq</v>
      </c>
      <c r="M3513" s="154" t="str">
        <f t="shared" si="172"/>
        <v>High_High_Low_Upgraded_Smog Formation Potential (SFP) - kg O3 eq_Wet Well and Sump Station; wastewater treatment unit; at updated plant - US_Base_With Amendment_Windrow</v>
      </c>
    </row>
    <row r="3514" spans="1:13" s="120" customFormat="1" x14ac:dyDescent="0.25">
      <c r="A3514" s="119"/>
      <c r="B3514" s="138" t="str">
        <f t="shared" si="170"/>
        <v>Windrow</v>
      </c>
      <c r="C3514" s="138" t="str">
        <f t="shared" si="171"/>
        <v>Base_With Amendment</v>
      </c>
      <c r="D3514" s="118" t="s">
        <v>138</v>
      </c>
      <c r="E3514" s="118" t="s">
        <v>181</v>
      </c>
      <c r="F3514" s="118" t="s">
        <v>46</v>
      </c>
      <c r="G3514" s="153"/>
      <c r="H3514" s="155">
        <v>7.51E-2</v>
      </c>
      <c r="I3514" s="154" t="s">
        <v>147</v>
      </c>
      <c r="J3514" s="203">
        <v>1.9400000000000001E-2</v>
      </c>
      <c r="K3514" s="154" t="s">
        <v>25</v>
      </c>
      <c r="L3514" s="154" t="str">
        <f>IF(OpenLCAbasic!K3514="CTUh", "Fill in Manually",IF(OR(K3514="Unit", K3514=""), "", INDEX(LookUps!$E$5:$E$12, MATCH(OpenLCAbasic!K3514,LookUps!$D$5:$D$12,0))))</f>
        <v>Smog Formation Potential (SFP) - kg O3 eq</v>
      </c>
      <c r="M3514" s="154" t="str">
        <f t="shared" si="172"/>
        <v>High_High_Low_Upgraded_Smog Formation Potential (SFP) - kg O3 eq_Influent Pump Station; wastewater treatment unit; at updated plant - US_Base_With Amendment_Windrow</v>
      </c>
    </row>
    <row r="3515" spans="1:13" s="120" customFormat="1" x14ac:dyDescent="0.25">
      <c r="A3515" s="119"/>
      <c r="B3515" s="138" t="str">
        <f t="shared" si="170"/>
        <v>Windrow</v>
      </c>
      <c r="C3515" s="138" t="str">
        <f t="shared" si="171"/>
        <v>Base_With Amendment</v>
      </c>
      <c r="D3515" s="118" t="s">
        <v>138</v>
      </c>
      <c r="E3515" s="118" t="s">
        <v>181</v>
      </c>
      <c r="F3515" s="118" t="s">
        <v>46</v>
      </c>
      <c r="G3515" s="153"/>
      <c r="H3515" s="155">
        <v>6.2E-2</v>
      </c>
      <c r="I3515" s="154" t="s">
        <v>60</v>
      </c>
      <c r="J3515" s="204">
        <v>1.5990000000000001E-2</v>
      </c>
      <c r="K3515" s="154" t="s">
        <v>25</v>
      </c>
      <c r="L3515" s="154" t="str">
        <f>IF(OpenLCAbasic!K3515="CTUh", "Fill in Manually",IF(OR(K3515="Unit", K3515=""), "", INDEX(LookUps!$E$5:$E$12, MATCH(OpenLCAbasic!K3515,LookUps!$D$5:$D$12,0))))</f>
        <v>Smog Formation Potential (SFP) - kg O3 eq</v>
      </c>
      <c r="M3515" s="154" t="str">
        <f t="shared" si="172"/>
        <v>High_High_Low_Upgraded_Smog Formation Potential (SFP) - kg O3 eq_Belt filter press; wastewater treatment unit; at updated plant - US_Base_With Amendment_Windrow</v>
      </c>
    </row>
    <row r="3516" spans="1:13" s="120" customFormat="1" x14ac:dyDescent="0.25">
      <c r="A3516" s="119"/>
      <c r="B3516" s="138" t="str">
        <f t="shared" si="170"/>
        <v>Windrow</v>
      </c>
      <c r="C3516" s="138" t="str">
        <f t="shared" si="171"/>
        <v>Base_With Amendment</v>
      </c>
      <c r="D3516" s="118" t="s">
        <v>138</v>
      </c>
      <c r="E3516" s="118" t="s">
        <v>181</v>
      </c>
      <c r="F3516" s="118" t="s">
        <v>46</v>
      </c>
      <c r="G3516" s="153"/>
      <c r="H3516" s="155">
        <v>4.6199999999999998E-2</v>
      </c>
      <c r="I3516" s="154" t="s">
        <v>128</v>
      </c>
      <c r="J3516" s="204">
        <v>1.192E-2</v>
      </c>
      <c r="K3516" s="154" t="s">
        <v>25</v>
      </c>
      <c r="L3516" s="154" t="str">
        <f>IF(OpenLCAbasic!K3516="CTUh", "Fill in Manually",IF(OR(K3516="Unit", K3516=""), "", INDEX(LookUps!$E$5:$E$12, MATCH(OpenLCAbasic!K3516,LookUps!$D$5:$D$12,0))))</f>
        <v>Smog Formation Potential (SFP) - kg O3 eq</v>
      </c>
      <c r="M3516" s="154" t="str">
        <f t="shared" si="172"/>
        <v>High_High_Low_Upgraded_Smog Formation Potential (SFP) - kg O3 eq_Wastewater collection; operation and infrastructure; m3 wastewater_Base_With Amendment_Windrow</v>
      </c>
    </row>
    <row r="3517" spans="1:13" s="120" customFormat="1" x14ac:dyDescent="0.25">
      <c r="A3517" s="119"/>
      <c r="B3517" s="138" t="str">
        <f t="shared" si="170"/>
        <v>Windrow</v>
      </c>
      <c r="C3517" s="138" t="str">
        <f t="shared" si="171"/>
        <v>Base_With Amendment</v>
      </c>
      <c r="D3517" s="118" t="s">
        <v>138</v>
      </c>
      <c r="E3517" s="118" t="s">
        <v>181</v>
      </c>
      <c r="F3517" s="118" t="s">
        <v>46</v>
      </c>
      <c r="G3517" s="153"/>
      <c r="H3517" s="155">
        <v>2.58E-2</v>
      </c>
      <c r="I3517" s="154" t="s">
        <v>57</v>
      </c>
      <c r="J3517" s="204">
        <v>6.6499999999999997E-3</v>
      </c>
      <c r="K3517" s="154" t="s">
        <v>25</v>
      </c>
      <c r="L3517" s="154" t="str">
        <f>IF(OpenLCAbasic!K3517="CTUh", "Fill in Manually",IF(OR(K3517="Unit", K3517=""), "", INDEX(LookUps!$E$5:$E$12, MATCH(OpenLCAbasic!K3517,LookUps!$D$5:$D$12,0))))</f>
        <v>Smog Formation Potential (SFP) - kg O3 eq</v>
      </c>
      <c r="M3517" s="154" t="str">
        <f t="shared" si="172"/>
        <v>High_High_Low_Upgraded_Smog Formation Potential (SFP) - kg O3 eq_Gravity Belt Thickener; wastewater treatment unit; at updated plant - US_Base_With Amendment_Windrow</v>
      </c>
    </row>
    <row r="3518" spans="1:13" s="120" customFormat="1" x14ac:dyDescent="0.25">
      <c r="A3518" s="119"/>
      <c r="B3518" s="138" t="str">
        <f t="shared" si="170"/>
        <v>Windrow</v>
      </c>
      <c r="C3518" s="138" t="str">
        <f t="shared" si="171"/>
        <v>Base_With Amendment</v>
      </c>
      <c r="D3518" s="118" t="s">
        <v>138</v>
      </c>
      <c r="E3518" s="118" t="s">
        <v>181</v>
      </c>
      <c r="F3518" s="118" t="s">
        <v>46</v>
      </c>
      <c r="G3518" s="153"/>
      <c r="H3518" s="155">
        <v>1.9300000000000001E-2</v>
      </c>
      <c r="I3518" s="154" t="s">
        <v>59</v>
      </c>
      <c r="J3518" s="204">
        <v>4.9699999999999996E-3</v>
      </c>
      <c r="K3518" s="154" t="s">
        <v>25</v>
      </c>
      <c r="L3518" s="154" t="str">
        <f>IF(OpenLCAbasic!K3518="CTUh", "Fill in Manually",IF(OR(K3518="Unit", K3518=""), "", INDEX(LookUps!$E$5:$E$12, MATCH(OpenLCAbasic!K3518,LookUps!$D$5:$D$12,0))))</f>
        <v>Smog Formation Potential (SFP) - kg O3 eq</v>
      </c>
      <c r="M3518" s="154" t="str">
        <f t="shared" si="172"/>
        <v>High_High_Low_Upgraded_Smog Formation Potential (SFP) - kg O3 eq_Blend Tank; wastewater treatment unit; at updated plant - US_Base_With Amendment_Windrow</v>
      </c>
    </row>
    <row r="3519" spans="1:13" s="120" customFormat="1" x14ac:dyDescent="0.25">
      <c r="A3519" s="119"/>
      <c r="B3519" s="138" t="str">
        <f t="shared" si="170"/>
        <v>Windrow</v>
      </c>
      <c r="C3519" s="138" t="str">
        <f t="shared" si="171"/>
        <v>Base_With Amendment</v>
      </c>
      <c r="D3519" s="118" t="s">
        <v>138</v>
      </c>
      <c r="E3519" s="118" t="s">
        <v>181</v>
      </c>
      <c r="F3519" s="118" t="s">
        <v>46</v>
      </c>
      <c r="G3519" s="153"/>
      <c r="H3519" s="155">
        <v>1.3100000000000001E-2</v>
      </c>
      <c r="I3519" s="154" t="s">
        <v>48</v>
      </c>
      <c r="J3519" s="204">
        <v>3.3899999999999998E-3</v>
      </c>
      <c r="K3519" s="154" t="s">
        <v>25</v>
      </c>
      <c r="L3519" s="154" t="str">
        <f>IF(OpenLCAbasic!K3519="CTUh", "Fill in Manually",IF(OR(K3519="Unit", K3519=""), "", INDEX(LookUps!$E$5:$E$12, MATCH(OpenLCAbasic!K3519,LookUps!$D$5:$D$12,0))))</f>
        <v>Smog Formation Potential (SFP) - kg O3 eq</v>
      </c>
      <c r="M3519" s="154" t="str">
        <f t="shared" si="172"/>
        <v>High_High_Low_Upgraded_Smog Formation Potential (SFP) - kg O3 eq_Effluent release; wastewater treatment unit; at surface water; m3 wastewater - US_Base_With Amendment_Windrow</v>
      </c>
    </row>
    <row r="3520" spans="1:13" s="120" customFormat="1" x14ac:dyDescent="0.25">
      <c r="A3520" s="119"/>
      <c r="B3520" s="138" t="str">
        <f t="shared" si="170"/>
        <v>Windrow</v>
      </c>
      <c r="C3520" s="138" t="str">
        <f t="shared" si="171"/>
        <v>Base_With Amendment</v>
      </c>
      <c r="D3520" s="118" t="s">
        <v>138</v>
      </c>
      <c r="E3520" s="118" t="s">
        <v>181</v>
      </c>
      <c r="F3520" s="118" t="s">
        <v>46</v>
      </c>
      <c r="G3520" s="153"/>
      <c r="H3520" s="155">
        <v>1.17E-2</v>
      </c>
      <c r="I3520" s="154" t="s">
        <v>271</v>
      </c>
      <c r="J3520" s="204">
        <v>3.0300000000000001E-3</v>
      </c>
      <c r="K3520" s="154" t="s">
        <v>25</v>
      </c>
      <c r="L3520" s="154" t="str">
        <f>IF(OpenLCAbasic!K3520="CTUh", "Fill in Manually",IF(OR(K3520="Unit", K3520=""), "", INDEX(LookUps!$E$5:$E$12, MATCH(OpenLCAbasic!K3520,LookUps!$D$5:$D$12,0))))</f>
        <v>Smog Formation Potential (SFP) - kg O3 eq</v>
      </c>
      <c r="M3520" s="154" t="str">
        <f t="shared" si="172"/>
        <v>High_High_Low_Upgraded_Smog Formation Potential (SFP) - kg O3 eq_Biosolids composting; windrow composting; wastewater treatment unit; at updated plant - US_Base_With Amendment_Windrow</v>
      </c>
    </row>
    <row r="3521" spans="1:13" s="120" customFormat="1" x14ac:dyDescent="0.25">
      <c r="A3521" s="119"/>
      <c r="B3521" s="138" t="str">
        <f t="shared" si="170"/>
        <v>Windrow</v>
      </c>
      <c r="C3521" s="138" t="str">
        <f t="shared" si="171"/>
        <v>Base_With Amendment</v>
      </c>
      <c r="D3521" s="118" t="s">
        <v>138</v>
      </c>
      <c r="E3521" s="118" t="s">
        <v>181</v>
      </c>
      <c r="F3521" s="118" t="s">
        <v>46</v>
      </c>
      <c r="G3521" s="153"/>
      <c r="H3521" s="155">
        <v>9.4999999999999998E-3</v>
      </c>
      <c r="I3521" s="154" t="s">
        <v>168</v>
      </c>
      <c r="J3521" s="204">
        <v>2.4599999999999999E-3</v>
      </c>
      <c r="K3521" s="154" t="s">
        <v>25</v>
      </c>
      <c r="L3521" s="154" t="str">
        <f>IF(OpenLCAbasic!K3521="CTUh", "Fill in Manually",IF(OR(K3521="Unit", K3521=""), "", INDEX(LookUps!$E$5:$E$12, MATCH(OpenLCAbasic!K3521,LookUps!$D$5:$D$12,0))))</f>
        <v>Smog Formation Potential (SFP) - kg O3 eq</v>
      </c>
      <c r="M3521" s="154" t="str">
        <f t="shared" si="172"/>
        <v>High_High_Low_Upgraded_Smog Formation Potential (SFP) - kg O3 eq_ClearCove SCP; wastewater treatment unit; at updated plant - US_Base_With Amendment_Windrow</v>
      </c>
    </row>
    <row r="3522" spans="1:13" s="120" customFormat="1" x14ac:dyDescent="0.25">
      <c r="A3522" s="119"/>
      <c r="B3522" s="138" t="str">
        <f t="shared" si="170"/>
        <v>Windrow</v>
      </c>
      <c r="C3522" s="138" t="str">
        <f t="shared" si="171"/>
        <v>Base_With Amendment</v>
      </c>
      <c r="D3522" s="118" t="s">
        <v>138</v>
      </c>
      <c r="E3522" s="118" t="s">
        <v>181</v>
      </c>
      <c r="F3522" s="118" t="s">
        <v>46</v>
      </c>
      <c r="G3522" s="153"/>
      <c r="H3522" s="155">
        <v>2.0999999999999999E-3</v>
      </c>
      <c r="I3522" s="154" t="s">
        <v>148</v>
      </c>
      <c r="J3522" s="204">
        <v>5.4000000000000001E-4</v>
      </c>
      <c r="K3522" s="154" t="s">
        <v>25</v>
      </c>
      <c r="L3522" s="154" t="str">
        <f>IF(OpenLCAbasic!K3522="CTUh", "Fill in Manually",IF(OR(K3522="Unit", K3522=""), "", INDEX(LookUps!$E$5:$E$12, MATCH(OpenLCAbasic!K3522,LookUps!$D$5:$D$12,0))))</f>
        <v>Smog Formation Potential (SFP) - kg O3 eq</v>
      </c>
      <c r="M3522" s="154" t="str">
        <f t="shared" si="172"/>
        <v>High_High_Low_Upgraded_Smog Formation Potential (SFP) - kg O3 eq_Control Building; at upgraded wastewater treatment plant - US_Base_With Amendment_Windrow</v>
      </c>
    </row>
    <row r="3523" spans="1:13" s="120" customFormat="1" x14ac:dyDescent="0.25">
      <c r="A3523" s="119"/>
      <c r="B3523" s="138" t="str">
        <f t="shared" si="170"/>
        <v>Windrow</v>
      </c>
      <c r="C3523" s="138" t="str">
        <f t="shared" si="171"/>
        <v>Base_With Amendment</v>
      </c>
      <c r="D3523" s="118" t="s">
        <v>138</v>
      </c>
      <c r="E3523" s="118" t="s">
        <v>181</v>
      </c>
      <c r="F3523" s="118" t="s">
        <v>46</v>
      </c>
      <c r="G3523" s="153"/>
      <c r="H3523" s="155">
        <v>-2.23E-2</v>
      </c>
      <c r="I3523" s="154" t="s">
        <v>62</v>
      </c>
      <c r="J3523" s="204">
        <v>-5.7600000000000004E-3</v>
      </c>
      <c r="K3523" s="154" t="s">
        <v>25</v>
      </c>
      <c r="L3523" s="154" t="str">
        <f>IF(OpenLCAbasic!K3523="CTUh", "Fill in Manually",IF(OR(K3523="Unit", K3523=""), "", INDEX(LookUps!$E$5:$E$12, MATCH(OpenLCAbasic!K3523,LookUps!$D$5:$D$12,0))))</f>
        <v>Smog Formation Potential (SFP) - kg O3 eq</v>
      </c>
      <c r="M3523" s="154" t="str">
        <f t="shared" si="172"/>
        <v>High_High_Low_Upgraded_Smog Formation Potential (SFP) - kg O3 eq_Land application of compost; wastewater treatment unit; at updated plant - US_Base_With Amendment_Windrow</v>
      </c>
    </row>
    <row r="3524" spans="1:13" s="120" customFormat="1" x14ac:dyDescent="0.25">
      <c r="A3524" s="119"/>
      <c r="B3524" s="138" t="str">
        <f t="shared" si="170"/>
        <v>Windrow</v>
      </c>
      <c r="C3524" s="138" t="str">
        <f t="shared" si="171"/>
        <v>Base_With Amendment</v>
      </c>
      <c r="D3524" s="118" t="s">
        <v>138</v>
      </c>
      <c r="E3524" s="118" t="s">
        <v>181</v>
      </c>
      <c r="F3524" s="118" t="s">
        <v>46</v>
      </c>
      <c r="G3524" s="153"/>
      <c r="H3524" s="155">
        <v>-0.4929</v>
      </c>
      <c r="I3524" s="154" t="s">
        <v>149</v>
      </c>
      <c r="J3524" s="203">
        <v>-0.12725</v>
      </c>
      <c r="K3524" s="154" t="s">
        <v>25</v>
      </c>
      <c r="L3524" s="154" t="str">
        <f>IF(OpenLCAbasic!K3524="CTUh", "Fill in Manually",IF(OR(K3524="Unit", K3524=""), "", INDEX(LookUps!$E$5:$E$12, MATCH(OpenLCAbasic!K3524,LookUps!$D$5:$D$12,0))))</f>
        <v>Smog Formation Potential (SFP) - kg O3 eq</v>
      </c>
      <c r="M3524" s="154" t="str">
        <f t="shared" si="172"/>
        <v>High_High_Low_Upgraded_Smog Formation Potential (SFP) - kg O3 eq_Anaerobic Digestion; wastewater treatment unit; at updated plant - US_Base_With Amendment_Windrow</v>
      </c>
    </row>
    <row r="3525" spans="1:13" s="120" customFormat="1" x14ac:dyDescent="0.25">
      <c r="A3525" s="119"/>
      <c r="B3525" s="138" t="str">
        <f t="shared" si="170"/>
        <v>Windrow</v>
      </c>
      <c r="C3525" s="138" t="str">
        <f t="shared" si="171"/>
        <v>Base_With Amendment</v>
      </c>
      <c r="D3525" s="118" t="s">
        <v>138</v>
      </c>
      <c r="E3525" s="118" t="s">
        <v>181</v>
      </c>
      <c r="F3525" s="118" t="s">
        <v>46</v>
      </c>
      <c r="G3525" s="153" t="s">
        <v>51</v>
      </c>
      <c r="H3525" s="154"/>
      <c r="I3525" s="154" t="s">
        <v>47</v>
      </c>
      <c r="J3525" s="154" t="s">
        <v>52</v>
      </c>
      <c r="K3525" s="154" t="s">
        <v>27</v>
      </c>
      <c r="L3525" s="154" t="str">
        <f>IF(OpenLCAbasic!K3525="CTUh", "Fill in Manually",IF(OR(K3525="Unit", K3525=""), "", INDEX(LookUps!$E$5:$E$12, MATCH(OpenLCAbasic!K3525,LookUps!$D$5:$D$12,0))))</f>
        <v/>
      </c>
      <c r="M3525" s="154" t="str">
        <f t="shared" si="172"/>
        <v>High_High_Low_Upgraded__Process_Base_With Amendment_Windrow</v>
      </c>
    </row>
    <row r="3526" spans="1:13" s="120" customFormat="1" x14ac:dyDescent="0.25">
      <c r="A3526" s="119"/>
      <c r="B3526" s="138" t="str">
        <f t="shared" ref="B3526:B3589" si="173">IF(F3526="Legacy","n.a.",IF(F3526="","","Windrow"))</f>
        <v>Windrow</v>
      </c>
      <c r="C3526" s="138" t="str">
        <f t="shared" si="171"/>
        <v>Base_With Amendment</v>
      </c>
      <c r="D3526" s="118" t="s">
        <v>138</v>
      </c>
      <c r="E3526" s="118" t="s">
        <v>181</v>
      </c>
      <c r="F3526" s="118" t="s">
        <v>46</v>
      </c>
      <c r="G3526" s="153"/>
      <c r="H3526" s="155">
        <v>0.27100000000000002</v>
      </c>
      <c r="I3526" s="154" t="s">
        <v>167</v>
      </c>
      <c r="J3526" s="204">
        <v>3.4000000000000002E-4</v>
      </c>
      <c r="K3526" s="154" t="s">
        <v>26</v>
      </c>
      <c r="L3526" s="154" t="str">
        <f>IF(OpenLCAbasic!K3526="CTUh", "Fill in Manually",IF(OR(K3526="Unit", K3526=""), "", INDEX(LookUps!$E$5:$E$12, MATCH(OpenLCAbasic!K3526,LookUps!$D$5:$D$12,0))))</f>
        <v>Water Use (WU) - m3 H2O</v>
      </c>
      <c r="M3526" s="154" t="str">
        <f t="shared" si="172"/>
        <v>High_High_Low_Upgraded_Water Use (WU) - m3 H2O_Waste Receiving and Holding; wastewater treatment unit; at updated plant - US_Base_With Amendment_Windrow</v>
      </c>
    </row>
    <row r="3527" spans="1:13" s="120" customFormat="1" x14ac:dyDescent="0.25">
      <c r="A3527" s="119"/>
      <c r="B3527" s="138" t="str">
        <f t="shared" si="173"/>
        <v>Windrow</v>
      </c>
      <c r="C3527" s="138" t="str">
        <f t="shared" ref="C3527:C3590" si="174">IF(E3527&lt;&gt;"", "Base_With Amendment","")</f>
        <v>Base_With Amendment</v>
      </c>
      <c r="D3527" s="118" t="s">
        <v>138</v>
      </c>
      <c r="E3527" s="118" t="s">
        <v>181</v>
      </c>
      <c r="F3527" s="118" t="s">
        <v>46</v>
      </c>
      <c r="G3527" s="153"/>
      <c r="H3527" s="155">
        <v>0.14829999999999999</v>
      </c>
      <c r="I3527" s="154" t="s">
        <v>147</v>
      </c>
      <c r="J3527" s="204">
        <v>1.8000000000000001E-4</v>
      </c>
      <c r="K3527" s="154" t="s">
        <v>26</v>
      </c>
      <c r="L3527" s="154" t="str">
        <f>IF(OpenLCAbasic!K3527="CTUh", "Fill in Manually",IF(OR(K3527="Unit", K3527=""), "", INDEX(LookUps!$E$5:$E$12, MATCH(OpenLCAbasic!K3527,LookUps!$D$5:$D$12,0))))</f>
        <v>Water Use (WU) - m3 H2O</v>
      </c>
      <c r="M3527" s="154" t="str">
        <f t="shared" ref="M3527:M3590" si="175">CONCATENATE(E3527,"_",D3527,"_",F3527,"_",L3527, "_",I3527,"_", C3527,"_", B3527)</f>
        <v>High_High_Low_Upgraded_Water Use (WU) - m3 H2O_Influent Pump Station; wastewater treatment unit; at updated plant - US_Base_With Amendment_Windrow</v>
      </c>
    </row>
    <row r="3528" spans="1:13" s="120" customFormat="1" x14ac:dyDescent="0.25">
      <c r="A3528" s="119"/>
      <c r="B3528" s="138" t="str">
        <f t="shared" si="173"/>
        <v>Windrow</v>
      </c>
      <c r="C3528" s="138" t="str">
        <f t="shared" si="174"/>
        <v>Base_With Amendment</v>
      </c>
      <c r="D3528" s="118" t="s">
        <v>138</v>
      </c>
      <c r="E3528" s="118" t="s">
        <v>181</v>
      </c>
      <c r="F3528" s="118" t="s">
        <v>46</v>
      </c>
      <c r="G3528" s="153"/>
      <c r="H3528" s="155">
        <v>0.1447</v>
      </c>
      <c r="I3528" s="154" t="s">
        <v>54</v>
      </c>
      <c r="J3528" s="204">
        <v>1.8000000000000001E-4</v>
      </c>
      <c r="K3528" s="154" t="s">
        <v>26</v>
      </c>
      <c r="L3528" s="154" t="str">
        <f>IF(OpenLCAbasic!K3528="CTUh", "Fill in Manually",IF(OR(K3528="Unit", K3528=""), "", INDEX(LookUps!$E$5:$E$12, MATCH(OpenLCAbasic!K3528,LookUps!$D$5:$D$12,0))))</f>
        <v>Water Use (WU) - m3 H2O</v>
      </c>
      <c r="M3528" s="154" t="str">
        <f t="shared" si="175"/>
        <v>High_High_Low_Upgraded_Water Use (WU) - m3 H2O_Clear Cove Primary Clarification; wastewater treatment unit; at updated plant - US_Base_With Amendment_Windrow</v>
      </c>
    </row>
    <row r="3529" spans="1:13" s="120" customFormat="1" x14ac:dyDescent="0.25">
      <c r="A3529" s="119"/>
      <c r="B3529" s="138" t="str">
        <f t="shared" si="173"/>
        <v>Windrow</v>
      </c>
      <c r="C3529" s="138" t="str">
        <f t="shared" si="174"/>
        <v>Base_With Amendment</v>
      </c>
      <c r="D3529" s="118" t="s">
        <v>138</v>
      </c>
      <c r="E3529" s="118" t="s">
        <v>181</v>
      </c>
      <c r="F3529" s="118" t="s">
        <v>46</v>
      </c>
      <c r="G3529" s="153"/>
      <c r="H3529" s="155">
        <v>0.1313</v>
      </c>
      <c r="I3529" s="154" t="s">
        <v>55</v>
      </c>
      <c r="J3529" s="204">
        <v>1.6000000000000001E-4</v>
      </c>
      <c r="K3529" s="154" t="s">
        <v>26</v>
      </c>
      <c r="L3529" s="154" t="str">
        <f>IF(OpenLCAbasic!K3529="CTUh", "Fill in Manually",IF(OR(K3529="Unit", K3529=""), "", INDEX(LookUps!$E$5:$E$12, MATCH(OpenLCAbasic!K3529,LookUps!$D$5:$D$12,0))))</f>
        <v>Water Use (WU) - m3 H2O</v>
      </c>
      <c r="M3529" s="154" t="str">
        <f t="shared" si="175"/>
        <v>High_High_Low_Upgraded_Water Use (WU) - m3 H2O_Aeration Tanks; wastewater treatment unit; at updated plant - US_Base_With Amendment_Windrow</v>
      </c>
    </row>
    <row r="3530" spans="1:13" s="120" customFormat="1" x14ac:dyDescent="0.25">
      <c r="A3530" s="119"/>
      <c r="B3530" s="138" t="str">
        <f t="shared" si="173"/>
        <v>Windrow</v>
      </c>
      <c r="C3530" s="138" t="str">
        <f t="shared" si="174"/>
        <v>Base_With Amendment</v>
      </c>
      <c r="D3530" s="118" t="s">
        <v>138</v>
      </c>
      <c r="E3530" s="118" t="s">
        <v>181</v>
      </c>
      <c r="F3530" s="118" t="s">
        <v>46</v>
      </c>
      <c r="G3530" s="153"/>
      <c r="H3530" s="155">
        <v>0.1196</v>
      </c>
      <c r="I3530" s="154" t="s">
        <v>148</v>
      </c>
      <c r="J3530" s="204">
        <v>1.4999999999999999E-4</v>
      </c>
      <c r="K3530" s="154" t="s">
        <v>26</v>
      </c>
      <c r="L3530" s="154" t="str">
        <f>IF(OpenLCAbasic!K3530="CTUh", "Fill in Manually",IF(OR(K3530="Unit", K3530=""), "", INDEX(LookUps!$E$5:$E$12, MATCH(OpenLCAbasic!K3530,LookUps!$D$5:$D$12,0))))</f>
        <v>Water Use (WU) - m3 H2O</v>
      </c>
      <c r="M3530" s="154" t="str">
        <f t="shared" si="175"/>
        <v>High_High_Low_Upgraded_Water Use (WU) - m3 H2O_Control Building; at upgraded wastewater treatment plant - US_Base_With Amendment_Windrow</v>
      </c>
    </row>
    <row r="3531" spans="1:13" s="120" customFormat="1" x14ac:dyDescent="0.25">
      <c r="A3531" s="119"/>
      <c r="B3531" s="138" t="str">
        <f t="shared" si="173"/>
        <v>Windrow</v>
      </c>
      <c r="C3531" s="138" t="str">
        <f t="shared" si="174"/>
        <v>Base_With Amendment</v>
      </c>
      <c r="D3531" s="118" t="s">
        <v>138</v>
      </c>
      <c r="E3531" s="118" t="s">
        <v>181</v>
      </c>
      <c r="F3531" s="118" t="s">
        <v>46</v>
      </c>
      <c r="G3531" s="153"/>
      <c r="H3531" s="155">
        <v>5.5500000000000001E-2</v>
      </c>
      <c r="I3531" s="154" t="s">
        <v>48</v>
      </c>
      <c r="J3531" s="204">
        <v>6.8836400000000004E-5</v>
      </c>
      <c r="K3531" s="154" t="s">
        <v>26</v>
      </c>
      <c r="L3531" s="154" t="str">
        <f>IF(OpenLCAbasic!K3531="CTUh", "Fill in Manually",IF(OR(K3531="Unit", K3531=""), "", INDEX(LookUps!$E$5:$E$12, MATCH(OpenLCAbasic!K3531,LookUps!$D$5:$D$12,0))))</f>
        <v>Water Use (WU) - m3 H2O</v>
      </c>
      <c r="M3531" s="154" t="str">
        <f t="shared" si="175"/>
        <v>High_High_Low_Upgraded_Water Use (WU) - m3 H2O_Effluent release; wastewater treatment unit; at surface water; m3 wastewater - US_Base_With Amendment_Windrow</v>
      </c>
    </row>
    <row r="3532" spans="1:13" s="120" customFormat="1" x14ac:dyDescent="0.25">
      <c r="A3532" s="119"/>
      <c r="B3532" s="138" t="str">
        <f t="shared" si="173"/>
        <v>Windrow</v>
      </c>
      <c r="C3532" s="138" t="str">
        <f t="shared" si="174"/>
        <v>Base_With Amendment</v>
      </c>
      <c r="D3532" s="118" t="s">
        <v>138</v>
      </c>
      <c r="E3532" s="118" t="s">
        <v>181</v>
      </c>
      <c r="F3532" s="118" t="s">
        <v>46</v>
      </c>
      <c r="G3532" s="153"/>
      <c r="H3532" s="155">
        <v>3.85E-2</v>
      </c>
      <c r="I3532" s="154" t="s">
        <v>60</v>
      </c>
      <c r="J3532" s="204">
        <v>4.7769200000000003E-5</v>
      </c>
      <c r="K3532" s="154" t="s">
        <v>26</v>
      </c>
      <c r="L3532" s="154" t="str">
        <f>IF(OpenLCAbasic!K3532="CTUh", "Fill in Manually",IF(OR(K3532="Unit", K3532=""), "", INDEX(LookUps!$E$5:$E$12, MATCH(OpenLCAbasic!K3532,LookUps!$D$5:$D$12,0))))</f>
        <v>Water Use (WU) - m3 H2O</v>
      </c>
      <c r="M3532" s="154" t="str">
        <f t="shared" si="175"/>
        <v>High_High_Low_Upgraded_Water Use (WU) - m3 H2O_Belt filter press; wastewater treatment unit; at updated plant - US_Base_With Amendment_Windrow</v>
      </c>
    </row>
    <row r="3533" spans="1:13" s="120" customFormat="1" x14ac:dyDescent="0.25">
      <c r="A3533" s="119"/>
      <c r="B3533" s="138" t="str">
        <f t="shared" si="173"/>
        <v>Windrow</v>
      </c>
      <c r="C3533" s="138" t="str">
        <f t="shared" si="174"/>
        <v>Base_With Amendment</v>
      </c>
      <c r="D3533" s="118" t="s">
        <v>138</v>
      </c>
      <c r="E3533" s="118" t="s">
        <v>181</v>
      </c>
      <c r="F3533" s="118" t="s">
        <v>46</v>
      </c>
      <c r="G3533" s="153"/>
      <c r="H3533" s="155">
        <v>3.49E-2</v>
      </c>
      <c r="I3533" s="154" t="s">
        <v>58</v>
      </c>
      <c r="J3533" s="204">
        <v>4.3289399999999999E-5</v>
      </c>
      <c r="K3533" s="154" t="s">
        <v>26</v>
      </c>
      <c r="L3533" s="154" t="str">
        <f>IF(OpenLCAbasic!K3533="CTUh", "Fill in Manually",IF(OR(K3533="Unit", K3533=""), "", INDEX(LookUps!$E$5:$E$12, MATCH(OpenLCAbasic!K3533,LookUps!$D$5:$D$12,0))))</f>
        <v>Water Use (WU) - m3 H2O</v>
      </c>
      <c r="M3533" s="154" t="str">
        <f t="shared" si="175"/>
        <v>High_High_Low_Upgraded_Water Use (WU) - m3 H2O_Pre-Anoxic &amp; Swing tank; wastewater treatment unit; at updated plant - US_Base_With Amendment_Windrow</v>
      </c>
    </row>
    <row r="3534" spans="1:13" s="120" customFormat="1" x14ac:dyDescent="0.25">
      <c r="A3534" s="119"/>
      <c r="B3534" s="138" t="str">
        <f t="shared" si="173"/>
        <v>Windrow</v>
      </c>
      <c r="C3534" s="138" t="str">
        <f t="shared" si="174"/>
        <v>Base_With Amendment</v>
      </c>
      <c r="D3534" s="118" t="s">
        <v>138</v>
      </c>
      <c r="E3534" s="118" t="s">
        <v>181</v>
      </c>
      <c r="F3534" s="118" t="s">
        <v>46</v>
      </c>
      <c r="G3534" s="153"/>
      <c r="H3534" s="155">
        <v>2.4500000000000001E-2</v>
      </c>
      <c r="I3534" s="154" t="s">
        <v>57</v>
      </c>
      <c r="J3534" s="204">
        <v>3.0408100000000001E-5</v>
      </c>
      <c r="K3534" s="154" t="s">
        <v>26</v>
      </c>
      <c r="L3534" s="154" t="str">
        <f>IF(OpenLCAbasic!K3534="CTUh", "Fill in Manually",IF(OR(K3534="Unit", K3534=""), "", INDEX(LookUps!$E$5:$E$12, MATCH(OpenLCAbasic!K3534,LookUps!$D$5:$D$12,0))))</f>
        <v>Water Use (WU) - m3 H2O</v>
      </c>
      <c r="M3534" s="154" t="str">
        <f t="shared" si="175"/>
        <v>High_High_Low_Upgraded_Water Use (WU) - m3 H2O_Gravity Belt Thickener; wastewater treatment unit; at updated plant - US_Base_With Amendment_Windrow</v>
      </c>
    </row>
    <row r="3535" spans="1:13" s="120" customFormat="1" x14ac:dyDescent="0.25">
      <c r="A3535" s="119"/>
      <c r="B3535" s="138" t="str">
        <f t="shared" si="173"/>
        <v>Windrow</v>
      </c>
      <c r="C3535" s="138" t="str">
        <f t="shared" si="174"/>
        <v>Base_With Amendment</v>
      </c>
      <c r="D3535" s="118" t="s">
        <v>138</v>
      </c>
      <c r="E3535" s="118" t="s">
        <v>181</v>
      </c>
      <c r="F3535" s="118" t="s">
        <v>46</v>
      </c>
      <c r="G3535" s="153"/>
      <c r="H3535" s="155">
        <v>1.41E-2</v>
      </c>
      <c r="I3535" s="154" t="s">
        <v>53</v>
      </c>
      <c r="J3535" s="204">
        <v>1.75069E-5</v>
      </c>
      <c r="K3535" s="154" t="s">
        <v>26</v>
      </c>
      <c r="L3535" s="154" t="str">
        <f>IF(OpenLCAbasic!K3535="CTUh", "Fill in Manually",IF(OR(K3535="Unit", K3535=""), "", INDEX(LookUps!$E$5:$E$12, MATCH(OpenLCAbasic!K3535,LookUps!$D$5:$D$12,0))))</f>
        <v>Water Use (WU) - m3 H2O</v>
      </c>
      <c r="M3535" s="154" t="str">
        <f t="shared" si="175"/>
        <v>High_High_Low_Upgraded_Water Use (WU) - m3 H2O_Wet Well and Sump Station; wastewater treatment unit; at updated plant - US_Base_With Amendment_Windrow</v>
      </c>
    </row>
    <row r="3536" spans="1:13" s="120" customFormat="1" x14ac:dyDescent="0.25">
      <c r="A3536" s="119"/>
      <c r="B3536" s="138" t="str">
        <f t="shared" si="173"/>
        <v>Windrow</v>
      </c>
      <c r="C3536" s="138" t="str">
        <f t="shared" si="174"/>
        <v>Base_With Amendment</v>
      </c>
      <c r="D3536" s="118" t="s">
        <v>138</v>
      </c>
      <c r="E3536" s="118" t="s">
        <v>181</v>
      </c>
      <c r="F3536" s="118" t="s">
        <v>46</v>
      </c>
      <c r="G3536" s="153"/>
      <c r="H3536" s="155">
        <v>5.7000000000000002E-3</v>
      </c>
      <c r="I3536" s="154" t="s">
        <v>59</v>
      </c>
      <c r="J3536" s="204">
        <v>7.0179500000000003E-6</v>
      </c>
      <c r="K3536" s="154" t="s">
        <v>26</v>
      </c>
      <c r="L3536" s="154" t="str">
        <f>IF(OpenLCAbasic!K3536="CTUh", "Fill in Manually",IF(OR(K3536="Unit", K3536=""), "", INDEX(LookUps!$E$5:$E$12, MATCH(OpenLCAbasic!K3536,LookUps!$D$5:$D$12,0))))</f>
        <v>Water Use (WU) - m3 H2O</v>
      </c>
      <c r="M3536" s="154" t="str">
        <f t="shared" si="175"/>
        <v>High_High_Low_Upgraded_Water Use (WU) - m3 H2O_Blend Tank; wastewater treatment unit; at updated plant - US_Base_With Amendment_Windrow</v>
      </c>
    </row>
    <row r="3537" spans="1:13" s="120" customFormat="1" x14ac:dyDescent="0.25">
      <c r="A3537" s="119"/>
      <c r="B3537" s="138" t="str">
        <f t="shared" si="173"/>
        <v>Windrow</v>
      </c>
      <c r="C3537" s="138" t="str">
        <f t="shared" si="174"/>
        <v>Base_With Amendment</v>
      </c>
      <c r="D3537" s="118" t="s">
        <v>138</v>
      </c>
      <c r="E3537" s="118" t="s">
        <v>181</v>
      </c>
      <c r="F3537" s="118" t="s">
        <v>46</v>
      </c>
      <c r="G3537" s="153"/>
      <c r="H3537" s="155">
        <v>4.1000000000000003E-3</v>
      </c>
      <c r="I3537" s="154" t="s">
        <v>128</v>
      </c>
      <c r="J3537" s="204">
        <v>5.0608900000000003E-6</v>
      </c>
      <c r="K3537" s="154" t="s">
        <v>26</v>
      </c>
      <c r="L3537" s="154" t="str">
        <f>IF(OpenLCAbasic!K3537="CTUh", "Fill in Manually",IF(OR(K3537="Unit", K3537=""), "", INDEX(LookUps!$E$5:$E$12, MATCH(OpenLCAbasic!K3537,LookUps!$D$5:$D$12,0))))</f>
        <v>Water Use (WU) - m3 H2O</v>
      </c>
      <c r="M3537" s="154" t="str">
        <f t="shared" si="175"/>
        <v>High_High_Low_Upgraded_Water Use (WU) - m3 H2O_Wastewater collection; operation and infrastructure; m3 wastewater_Base_With Amendment_Windrow</v>
      </c>
    </row>
    <row r="3538" spans="1:13" s="120" customFormat="1" x14ac:dyDescent="0.25">
      <c r="A3538" s="119"/>
      <c r="B3538" s="138" t="str">
        <f t="shared" si="173"/>
        <v>Windrow</v>
      </c>
      <c r="C3538" s="138" t="str">
        <f t="shared" si="174"/>
        <v>Base_With Amendment</v>
      </c>
      <c r="D3538" s="118" t="s">
        <v>138</v>
      </c>
      <c r="E3538" s="118" t="s">
        <v>181</v>
      </c>
      <c r="F3538" s="118" t="s">
        <v>46</v>
      </c>
      <c r="G3538" s="153"/>
      <c r="H3538" s="155">
        <v>1.9E-3</v>
      </c>
      <c r="I3538" s="154" t="s">
        <v>271</v>
      </c>
      <c r="J3538" s="204">
        <v>2.3342E-6</v>
      </c>
      <c r="K3538" s="154" t="s">
        <v>26</v>
      </c>
      <c r="L3538" s="154" t="str">
        <f>IF(OpenLCAbasic!K3538="CTUh", "Fill in Manually",IF(OR(K3538="Unit", K3538=""), "", INDEX(LookUps!$E$5:$E$12, MATCH(OpenLCAbasic!K3538,LookUps!$D$5:$D$12,0))))</f>
        <v>Water Use (WU) - m3 H2O</v>
      </c>
      <c r="M3538" s="154" t="str">
        <f t="shared" si="175"/>
        <v>High_High_Low_Upgraded_Water Use (WU) - m3 H2O_Biosolids composting; windrow composting; wastewater treatment unit; at updated plant - US_Base_With Amendment_Windrow</v>
      </c>
    </row>
    <row r="3539" spans="1:13" s="120" customFormat="1" x14ac:dyDescent="0.25">
      <c r="A3539" s="119"/>
      <c r="B3539" s="138" t="str">
        <f t="shared" si="173"/>
        <v>Windrow</v>
      </c>
      <c r="C3539" s="138" t="str">
        <f t="shared" si="174"/>
        <v>Base_With Amendment</v>
      </c>
      <c r="D3539" s="118" t="s">
        <v>138</v>
      </c>
      <c r="E3539" s="118" t="s">
        <v>181</v>
      </c>
      <c r="F3539" s="118" t="s">
        <v>46</v>
      </c>
      <c r="G3539" s="153"/>
      <c r="H3539" s="155">
        <v>5.9999999999999995E-4</v>
      </c>
      <c r="I3539" s="154" t="s">
        <v>168</v>
      </c>
      <c r="J3539" s="204">
        <v>7.6697000000000004E-7</v>
      </c>
      <c r="K3539" s="154" t="s">
        <v>26</v>
      </c>
      <c r="L3539" s="154" t="str">
        <f>IF(OpenLCAbasic!K3539="CTUh", "Fill in Manually",IF(OR(K3539="Unit", K3539=""), "", INDEX(LookUps!$E$5:$E$12, MATCH(OpenLCAbasic!K3539,LookUps!$D$5:$D$12,0))))</f>
        <v>Water Use (WU) - m3 H2O</v>
      </c>
      <c r="M3539" s="154" t="str">
        <f t="shared" si="175"/>
        <v>High_High_Low_Upgraded_Water Use (WU) - m3 H2O_ClearCove SCP; wastewater treatment unit; at updated plant - US_Base_With Amendment_Windrow</v>
      </c>
    </row>
    <row r="3540" spans="1:13" s="120" customFormat="1" x14ac:dyDescent="0.25">
      <c r="A3540" s="119"/>
      <c r="B3540" s="138" t="str">
        <f t="shared" si="173"/>
        <v>Windrow</v>
      </c>
      <c r="C3540" s="138" t="str">
        <f t="shared" si="174"/>
        <v>Base_With Amendment</v>
      </c>
      <c r="D3540" s="118" t="s">
        <v>138</v>
      </c>
      <c r="E3540" s="118" t="s">
        <v>181</v>
      </c>
      <c r="F3540" s="118" t="s">
        <v>46</v>
      </c>
      <c r="G3540" s="153"/>
      <c r="H3540" s="155">
        <v>-9.9000000000000008E-3</v>
      </c>
      <c r="I3540" s="154" t="s">
        <v>149</v>
      </c>
      <c r="J3540" s="204">
        <v>-1.22975E-5</v>
      </c>
      <c r="K3540" s="154" t="s">
        <v>26</v>
      </c>
      <c r="L3540" s="154" t="str">
        <f>IF(OpenLCAbasic!K3540="CTUh", "Fill in Manually",IF(OR(K3540="Unit", K3540=""), "", INDEX(LookUps!$E$5:$E$12, MATCH(OpenLCAbasic!K3540,LookUps!$D$5:$D$12,0))))</f>
        <v>Water Use (WU) - m3 H2O</v>
      </c>
      <c r="M3540" s="154" t="str">
        <f t="shared" si="175"/>
        <v>High_High_Low_Upgraded_Water Use (WU) - m3 H2O_Anaerobic Digestion; wastewater treatment unit; at updated plant - US_Base_With Amendment_Windrow</v>
      </c>
    </row>
    <row r="3541" spans="1:13" s="120" customFormat="1" x14ac:dyDescent="0.25">
      <c r="A3541" s="213"/>
      <c r="B3541" s="138" t="str">
        <f t="shared" si="173"/>
        <v>Windrow</v>
      </c>
      <c r="C3541" s="138" t="str">
        <f t="shared" si="174"/>
        <v>Base_With Amendment</v>
      </c>
      <c r="D3541" s="118" t="s">
        <v>138</v>
      </c>
      <c r="E3541" s="118" t="s">
        <v>181</v>
      </c>
      <c r="F3541" s="118" t="s">
        <v>46</v>
      </c>
      <c r="G3541" s="153"/>
      <c r="H3541" s="155">
        <v>-1.9847999999999999</v>
      </c>
      <c r="I3541" s="154" t="s">
        <v>62</v>
      </c>
      <c r="J3541" s="204">
        <v>-2.4599999999999999E-3</v>
      </c>
      <c r="K3541" s="154" t="s">
        <v>26</v>
      </c>
      <c r="L3541" s="154" t="str">
        <f>IF(OpenLCAbasic!K3541="CTUh", "Fill in Manually",IF(OR(K3541="Unit", K3541=""), "", INDEX(LookUps!$E$5:$E$12, MATCH(OpenLCAbasic!K3541,LookUps!$D$5:$D$12,0))))</f>
        <v>Water Use (WU) - m3 H2O</v>
      </c>
      <c r="M3541" s="154" t="str">
        <f t="shared" si="175"/>
        <v>High_High_Low_Upgraded_Water Use (WU) - m3 H2O_Land application of compost; wastewater treatment unit; at updated plant - US_Base_With Amendment_Windrow</v>
      </c>
    </row>
    <row r="3542" spans="1:13" s="120" customFormat="1" x14ac:dyDescent="0.25">
      <c r="A3542" s="119"/>
      <c r="B3542" s="138" t="str">
        <f t="shared" si="173"/>
        <v/>
      </c>
      <c r="C3542" s="138" t="str">
        <f t="shared" si="174"/>
        <v/>
      </c>
      <c r="D3542" s="138"/>
      <c r="E3542" s="138"/>
      <c r="F3542" s="138"/>
      <c r="G3542" s="153"/>
      <c r="H3542" s="160"/>
      <c r="I3542" s="160"/>
      <c r="J3542" s="207"/>
      <c r="K3542" s="160"/>
      <c r="L3542" s="154" t="str">
        <f>IF(OpenLCAbasic!K3542="CTUh", "Fill in Manually",IF(OR(K3542="Unit", K3542=""), "", INDEX(LookUps!$E$5:$E$12, MATCH(OpenLCAbasic!K3542,LookUps!$D$5:$D$12,0))))</f>
        <v/>
      </c>
      <c r="M3542" s="154" t="str">
        <f t="shared" si="175"/>
        <v>______</v>
      </c>
    </row>
    <row r="3543" spans="1:13" s="120" customFormat="1" x14ac:dyDescent="0.25">
      <c r="A3543" s="119"/>
      <c r="B3543" s="138" t="str">
        <f t="shared" si="173"/>
        <v>Windrow</v>
      </c>
      <c r="C3543" s="138" t="str">
        <f t="shared" si="174"/>
        <v>Base_With Amendment</v>
      </c>
      <c r="D3543" s="118" t="s">
        <v>139</v>
      </c>
      <c r="E3543" s="118" t="s">
        <v>181</v>
      </c>
      <c r="F3543" s="118" t="s">
        <v>46</v>
      </c>
      <c r="G3543" s="153" t="s">
        <v>51</v>
      </c>
      <c r="H3543" s="154"/>
      <c r="I3543" s="154" t="s">
        <v>47</v>
      </c>
      <c r="J3543" s="154" t="s">
        <v>52</v>
      </c>
      <c r="K3543" s="154" t="s">
        <v>27</v>
      </c>
      <c r="L3543" s="154" t="str">
        <f>IF(OpenLCAbasic!K3543="CTUh", "Fill in Manually",IF(OR(K3543="Unit", K3543=""), "", INDEX(LookUps!$E$5:$E$12, MATCH(OpenLCAbasic!K3543,LookUps!$D$5:$D$12,0))))</f>
        <v/>
      </c>
      <c r="M3543" s="154" t="str">
        <f t="shared" si="175"/>
        <v>High_High_Base_Upgraded__Process_Base_With Amendment_Windrow</v>
      </c>
    </row>
    <row r="3544" spans="1:13" s="120" customFormat="1" x14ac:dyDescent="0.25">
      <c r="A3544" s="119"/>
      <c r="B3544" s="138" t="str">
        <f t="shared" si="173"/>
        <v>Windrow</v>
      </c>
      <c r="C3544" s="138" t="str">
        <f t="shared" si="174"/>
        <v>Base_With Amendment</v>
      </c>
      <c r="D3544" s="118" t="s">
        <v>139</v>
      </c>
      <c r="E3544" s="118" t="s">
        <v>181</v>
      </c>
      <c r="F3544" s="118" t="s">
        <v>46</v>
      </c>
      <c r="G3544" s="153"/>
      <c r="H3544" s="155">
        <v>1.2579</v>
      </c>
      <c r="I3544" s="154" t="s">
        <v>271</v>
      </c>
      <c r="J3544" s="157">
        <v>3.1415099999999998</v>
      </c>
      <c r="K3544" s="154" t="s">
        <v>23</v>
      </c>
      <c r="L3544" s="154" t="str">
        <f>IF(OpenLCAbasic!K3544="CTUh", "Fill in Manually",IF(OR(K3544="Unit", K3544=""), "", INDEX(LookUps!$E$5:$E$12, MATCH(OpenLCAbasic!K3544,LookUps!$D$5:$D$12,0))))</f>
        <v>Global Warming Potential (GWP) - kg CO2 eq</v>
      </c>
      <c r="M3544" s="154" t="str">
        <f t="shared" si="175"/>
        <v>High_High_Base_Upgraded_Global Warming Potential (GWP) - kg CO2 eq_Biosolids composting; windrow composting; wastewater treatment unit; at updated plant - US_Base_With Amendment_Windrow</v>
      </c>
    </row>
    <row r="3545" spans="1:13" s="120" customFormat="1" x14ac:dyDescent="0.25">
      <c r="A3545" s="119"/>
      <c r="B3545" s="138" t="str">
        <f t="shared" si="173"/>
        <v>Windrow</v>
      </c>
      <c r="C3545" s="138" t="str">
        <f t="shared" si="174"/>
        <v>Base_With Amendment</v>
      </c>
      <c r="D3545" s="118" t="s">
        <v>139</v>
      </c>
      <c r="E3545" s="118" t="s">
        <v>181</v>
      </c>
      <c r="F3545" s="118" t="s">
        <v>46</v>
      </c>
      <c r="G3545" s="153"/>
      <c r="H3545" s="155">
        <v>0.10009999999999999</v>
      </c>
      <c r="I3545" s="154" t="s">
        <v>58</v>
      </c>
      <c r="J3545" s="203">
        <v>0.24992</v>
      </c>
      <c r="K3545" s="154" t="s">
        <v>23</v>
      </c>
      <c r="L3545" s="154" t="str">
        <f>IF(OpenLCAbasic!K3545="CTUh", "Fill in Manually",IF(OR(K3545="Unit", K3545=""), "", INDEX(LookUps!$E$5:$E$12, MATCH(OpenLCAbasic!K3545,LookUps!$D$5:$D$12,0))))</f>
        <v>Global Warming Potential (GWP) - kg CO2 eq</v>
      </c>
      <c r="M3545" s="154" t="str">
        <f t="shared" si="175"/>
        <v>High_High_Base_Upgraded_Global Warming Potential (GWP) - kg CO2 eq_Pre-Anoxic &amp; Swing tank; wastewater treatment unit; at updated plant - US_Base_With Amendment_Windrow</v>
      </c>
    </row>
    <row r="3546" spans="1:13" s="120" customFormat="1" x14ac:dyDescent="0.25">
      <c r="A3546" s="119"/>
      <c r="B3546" s="138" t="str">
        <f t="shared" si="173"/>
        <v>Windrow</v>
      </c>
      <c r="C3546" s="138" t="str">
        <f t="shared" si="174"/>
        <v>Base_With Amendment</v>
      </c>
      <c r="D3546" s="118" t="s">
        <v>139</v>
      </c>
      <c r="E3546" s="118" t="s">
        <v>181</v>
      </c>
      <c r="F3546" s="118" t="s">
        <v>46</v>
      </c>
      <c r="G3546" s="153"/>
      <c r="H3546" s="155">
        <v>6.7400000000000002E-2</v>
      </c>
      <c r="I3546" s="154" t="s">
        <v>55</v>
      </c>
      <c r="J3546" s="203">
        <v>0.16822000000000001</v>
      </c>
      <c r="K3546" s="154" t="s">
        <v>23</v>
      </c>
      <c r="L3546" s="154" t="str">
        <f>IF(OpenLCAbasic!K3546="CTUh", "Fill in Manually",IF(OR(K3546="Unit", K3546=""), "", INDEX(LookUps!$E$5:$E$12, MATCH(OpenLCAbasic!K3546,LookUps!$D$5:$D$12,0))))</f>
        <v>Global Warming Potential (GWP) - kg CO2 eq</v>
      </c>
      <c r="M3546" s="154" t="str">
        <f t="shared" si="175"/>
        <v>High_High_Base_Upgraded_Global Warming Potential (GWP) - kg CO2 eq_Aeration Tanks; wastewater treatment unit; at updated plant - US_Base_With Amendment_Windrow</v>
      </c>
    </row>
    <row r="3547" spans="1:13" s="120" customFormat="1" x14ac:dyDescent="0.25">
      <c r="A3547" s="119"/>
      <c r="B3547" s="138" t="str">
        <f t="shared" si="173"/>
        <v>Windrow</v>
      </c>
      <c r="C3547" s="138" t="str">
        <f t="shared" si="174"/>
        <v>Base_With Amendment</v>
      </c>
      <c r="D3547" s="118" t="s">
        <v>139</v>
      </c>
      <c r="E3547" s="118" t="s">
        <v>181</v>
      </c>
      <c r="F3547" s="118" t="s">
        <v>46</v>
      </c>
      <c r="G3547" s="153"/>
      <c r="H3547" s="155">
        <v>5.8799999999999998E-2</v>
      </c>
      <c r="I3547" s="154" t="s">
        <v>167</v>
      </c>
      <c r="J3547" s="203">
        <v>0.14685000000000001</v>
      </c>
      <c r="K3547" s="154" t="s">
        <v>23</v>
      </c>
      <c r="L3547" s="154" t="str">
        <f>IF(OpenLCAbasic!K3547="CTUh", "Fill in Manually",IF(OR(K3547="Unit", K3547=""), "", INDEX(LookUps!$E$5:$E$12, MATCH(OpenLCAbasic!K3547,LookUps!$D$5:$D$12,0))))</f>
        <v>Global Warming Potential (GWP) - kg CO2 eq</v>
      </c>
      <c r="M3547" s="154" t="str">
        <f t="shared" si="175"/>
        <v>High_High_Base_Upgraded_Global Warming Potential (GWP) - kg CO2 eq_Waste Receiving and Holding; wastewater treatment unit; at updated plant - US_Base_With Amendment_Windrow</v>
      </c>
    </row>
    <row r="3548" spans="1:13" s="120" customFormat="1" x14ac:dyDescent="0.25">
      <c r="A3548" s="119"/>
      <c r="B3548" s="138" t="str">
        <f t="shared" si="173"/>
        <v>Windrow</v>
      </c>
      <c r="C3548" s="138" t="str">
        <f t="shared" si="174"/>
        <v>Base_With Amendment</v>
      </c>
      <c r="D3548" s="118" t="s">
        <v>139</v>
      </c>
      <c r="E3548" s="118" t="s">
        <v>181</v>
      </c>
      <c r="F3548" s="118" t="s">
        <v>46</v>
      </c>
      <c r="G3548" s="153"/>
      <c r="H3548" s="155">
        <v>2.29E-2</v>
      </c>
      <c r="I3548" s="154" t="s">
        <v>54</v>
      </c>
      <c r="J3548" s="203">
        <v>5.7079999999999999E-2</v>
      </c>
      <c r="K3548" s="154" t="s">
        <v>23</v>
      </c>
      <c r="L3548" s="154" t="str">
        <f>IF(OpenLCAbasic!K3548="CTUh", "Fill in Manually",IF(OR(K3548="Unit", K3548=""), "", INDEX(LookUps!$E$5:$E$12, MATCH(OpenLCAbasic!K3548,LookUps!$D$5:$D$12,0))))</f>
        <v>Global Warming Potential (GWP) - kg CO2 eq</v>
      </c>
      <c r="M3548" s="154" t="str">
        <f t="shared" si="175"/>
        <v>High_High_Base_Upgraded_Global Warming Potential (GWP) - kg CO2 eq_Clear Cove Primary Clarification; wastewater treatment unit; at updated plant - US_Base_With Amendment_Windrow</v>
      </c>
    </row>
    <row r="3549" spans="1:13" s="120" customFormat="1" x14ac:dyDescent="0.25">
      <c r="A3549" s="119"/>
      <c r="B3549" s="138" t="str">
        <f t="shared" si="173"/>
        <v>Windrow</v>
      </c>
      <c r="C3549" s="138" t="str">
        <f t="shared" si="174"/>
        <v>Base_With Amendment</v>
      </c>
      <c r="D3549" s="118" t="s">
        <v>139</v>
      </c>
      <c r="E3549" s="118" t="s">
        <v>181</v>
      </c>
      <c r="F3549" s="118" t="s">
        <v>46</v>
      </c>
      <c r="G3549" s="153"/>
      <c r="H3549" s="155">
        <v>2.1100000000000001E-2</v>
      </c>
      <c r="I3549" s="154" t="s">
        <v>48</v>
      </c>
      <c r="J3549" s="203">
        <v>5.2639999999999999E-2</v>
      </c>
      <c r="K3549" s="154" t="s">
        <v>23</v>
      </c>
      <c r="L3549" s="154" t="str">
        <f>IF(OpenLCAbasic!K3549="CTUh", "Fill in Manually",IF(OR(K3549="Unit", K3549=""), "", INDEX(LookUps!$E$5:$E$12, MATCH(OpenLCAbasic!K3549,LookUps!$D$5:$D$12,0))))</f>
        <v>Global Warming Potential (GWP) - kg CO2 eq</v>
      </c>
      <c r="M3549" s="154" t="str">
        <f t="shared" si="175"/>
        <v>High_High_Base_Upgraded_Global Warming Potential (GWP) - kg CO2 eq_Effluent release; wastewater treatment unit; at surface water; m3 wastewater - US_Base_With Amendment_Windrow</v>
      </c>
    </row>
    <row r="3550" spans="1:13" s="120" customFormat="1" x14ac:dyDescent="0.25">
      <c r="A3550" s="119"/>
      <c r="B3550" s="138" t="str">
        <f t="shared" si="173"/>
        <v>Windrow</v>
      </c>
      <c r="C3550" s="138" t="str">
        <f t="shared" si="174"/>
        <v>Base_With Amendment</v>
      </c>
      <c r="D3550" s="118" t="s">
        <v>139</v>
      </c>
      <c r="E3550" s="118" t="s">
        <v>181</v>
      </c>
      <c r="F3550" s="118" t="s">
        <v>46</v>
      </c>
      <c r="G3550" s="153"/>
      <c r="H3550" s="155">
        <v>2.0199999999999999E-2</v>
      </c>
      <c r="I3550" s="154" t="s">
        <v>147</v>
      </c>
      <c r="J3550" s="203">
        <v>5.0500000000000003E-2</v>
      </c>
      <c r="K3550" s="154" t="s">
        <v>23</v>
      </c>
      <c r="L3550" s="154" t="str">
        <f>IF(OpenLCAbasic!K3550="CTUh", "Fill in Manually",IF(OR(K3550="Unit", K3550=""), "", INDEX(LookUps!$E$5:$E$12, MATCH(OpenLCAbasic!K3550,LookUps!$D$5:$D$12,0))))</f>
        <v>Global Warming Potential (GWP) - kg CO2 eq</v>
      </c>
      <c r="M3550" s="154" t="str">
        <f t="shared" si="175"/>
        <v>High_High_Base_Upgraded_Global Warming Potential (GWP) - kg CO2 eq_Influent Pump Station; wastewater treatment unit; at updated plant - US_Base_With Amendment_Windrow</v>
      </c>
    </row>
    <row r="3551" spans="1:13" s="120" customFormat="1" x14ac:dyDescent="0.25">
      <c r="A3551" s="119"/>
      <c r="B3551" s="138" t="str">
        <f t="shared" si="173"/>
        <v>Windrow</v>
      </c>
      <c r="C3551" s="138" t="str">
        <f t="shared" si="174"/>
        <v>Base_With Amendment</v>
      </c>
      <c r="D3551" s="118" t="s">
        <v>139</v>
      </c>
      <c r="E3551" s="118" t="s">
        <v>181</v>
      </c>
      <c r="F3551" s="118" t="s">
        <v>46</v>
      </c>
      <c r="G3551" s="153"/>
      <c r="H3551" s="155">
        <v>1.3299999999999999E-2</v>
      </c>
      <c r="I3551" s="154" t="s">
        <v>53</v>
      </c>
      <c r="J3551" s="203">
        <v>3.3259999999999998E-2</v>
      </c>
      <c r="K3551" s="154" t="s">
        <v>23</v>
      </c>
      <c r="L3551" s="154" t="str">
        <f>IF(OpenLCAbasic!K3551="CTUh", "Fill in Manually",IF(OR(K3551="Unit", K3551=""), "", INDEX(LookUps!$E$5:$E$12, MATCH(OpenLCAbasic!K3551,LookUps!$D$5:$D$12,0))))</f>
        <v>Global Warming Potential (GWP) - kg CO2 eq</v>
      </c>
      <c r="M3551" s="154" t="str">
        <f t="shared" si="175"/>
        <v>High_High_Base_Upgraded_Global Warming Potential (GWP) - kg CO2 eq_Wet Well and Sump Station; wastewater treatment unit; at updated plant - US_Base_With Amendment_Windrow</v>
      </c>
    </row>
    <row r="3552" spans="1:13" s="120" customFormat="1" x14ac:dyDescent="0.25">
      <c r="A3552" s="119"/>
      <c r="B3552" s="138" t="str">
        <f t="shared" si="173"/>
        <v>Windrow</v>
      </c>
      <c r="C3552" s="138" t="str">
        <f t="shared" si="174"/>
        <v>Base_With Amendment</v>
      </c>
      <c r="D3552" s="118" t="s">
        <v>139</v>
      </c>
      <c r="E3552" s="118" t="s">
        <v>181</v>
      </c>
      <c r="F3552" s="118" t="s">
        <v>46</v>
      </c>
      <c r="G3552" s="153"/>
      <c r="H3552" s="155">
        <v>9.7000000000000003E-3</v>
      </c>
      <c r="I3552" s="154" t="s">
        <v>60</v>
      </c>
      <c r="J3552" s="203">
        <v>2.4119999999999999E-2</v>
      </c>
      <c r="K3552" s="154" t="s">
        <v>23</v>
      </c>
      <c r="L3552" s="154" t="str">
        <f>IF(OpenLCAbasic!K3552="CTUh", "Fill in Manually",IF(OR(K3552="Unit", K3552=""), "", INDEX(LookUps!$E$5:$E$12, MATCH(OpenLCAbasic!K3552,LookUps!$D$5:$D$12,0))))</f>
        <v>Global Warming Potential (GWP) - kg CO2 eq</v>
      </c>
      <c r="M3552" s="154" t="str">
        <f t="shared" si="175"/>
        <v>High_High_Base_Upgraded_Global Warming Potential (GWP) - kg CO2 eq_Belt filter press; wastewater treatment unit; at updated plant - US_Base_With Amendment_Windrow</v>
      </c>
    </row>
    <row r="3553" spans="1:13" s="120" customFormat="1" x14ac:dyDescent="0.25">
      <c r="A3553" s="119"/>
      <c r="B3553" s="138" t="str">
        <f t="shared" si="173"/>
        <v>Windrow</v>
      </c>
      <c r="C3553" s="138" t="str">
        <f t="shared" si="174"/>
        <v>Base_With Amendment</v>
      </c>
      <c r="D3553" s="118" t="s">
        <v>139</v>
      </c>
      <c r="E3553" s="118" t="s">
        <v>181</v>
      </c>
      <c r="F3553" s="118" t="s">
        <v>46</v>
      </c>
      <c r="G3553" s="153"/>
      <c r="H3553" s="155">
        <v>5.7999999999999996E-3</v>
      </c>
      <c r="I3553" s="154" t="s">
        <v>57</v>
      </c>
      <c r="J3553" s="203">
        <v>1.455E-2</v>
      </c>
      <c r="K3553" s="154" t="s">
        <v>23</v>
      </c>
      <c r="L3553" s="154" t="str">
        <f>IF(OpenLCAbasic!K3553="CTUh", "Fill in Manually",IF(OR(K3553="Unit", K3553=""), "", INDEX(LookUps!$E$5:$E$12, MATCH(OpenLCAbasic!K3553,LookUps!$D$5:$D$12,0))))</f>
        <v>Global Warming Potential (GWP) - kg CO2 eq</v>
      </c>
      <c r="M3553" s="154" t="str">
        <f t="shared" si="175"/>
        <v>High_High_Base_Upgraded_Global Warming Potential (GWP) - kg CO2 eq_Gravity Belt Thickener; wastewater treatment unit; at updated plant - US_Base_With Amendment_Windrow</v>
      </c>
    </row>
    <row r="3554" spans="1:13" s="120" customFormat="1" x14ac:dyDescent="0.25">
      <c r="A3554" s="119"/>
      <c r="B3554" s="138" t="str">
        <f t="shared" si="173"/>
        <v>Windrow</v>
      </c>
      <c r="C3554" s="138" t="str">
        <f t="shared" si="174"/>
        <v>Base_With Amendment</v>
      </c>
      <c r="D3554" s="118" t="s">
        <v>139</v>
      </c>
      <c r="E3554" s="118" t="s">
        <v>181</v>
      </c>
      <c r="F3554" s="118" t="s">
        <v>46</v>
      </c>
      <c r="G3554" s="153"/>
      <c r="H3554" s="155">
        <v>5.4000000000000003E-3</v>
      </c>
      <c r="I3554" s="154" t="s">
        <v>128</v>
      </c>
      <c r="J3554" s="204">
        <v>1.3509999999999999E-2</v>
      </c>
      <c r="K3554" s="154" t="s">
        <v>23</v>
      </c>
      <c r="L3554" s="154" t="str">
        <f>IF(OpenLCAbasic!K3554="CTUh", "Fill in Manually",IF(OR(K3554="Unit", K3554=""), "", INDEX(LookUps!$E$5:$E$12, MATCH(OpenLCAbasic!K3554,LookUps!$D$5:$D$12,0))))</f>
        <v>Global Warming Potential (GWP) - kg CO2 eq</v>
      </c>
      <c r="M3554" s="154" t="str">
        <f t="shared" si="175"/>
        <v>High_High_Base_Upgraded_Global Warming Potential (GWP) - kg CO2 eq_Wastewater collection; operation and infrastructure; m3 wastewater_Base_With Amendment_Windrow</v>
      </c>
    </row>
    <row r="3555" spans="1:13" s="120" customFormat="1" x14ac:dyDescent="0.25">
      <c r="A3555" s="119"/>
      <c r="B3555" s="138" t="str">
        <f t="shared" si="173"/>
        <v>Windrow</v>
      </c>
      <c r="C3555" s="138" t="str">
        <f t="shared" si="174"/>
        <v>Base_With Amendment</v>
      </c>
      <c r="D3555" s="118" t="s">
        <v>139</v>
      </c>
      <c r="E3555" s="118" t="s">
        <v>181</v>
      </c>
      <c r="F3555" s="118" t="s">
        <v>46</v>
      </c>
      <c r="G3555" s="153"/>
      <c r="H3555" s="155">
        <v>3.3E-3</v>
      </c>
      <c r="I3555" s="154" t="s">
        <v>148</v>
      </c>
      <c r="J3555" s="204">
        <v>8.3000000000000001E-3</v>
      </c>
      <c r="K3555" s="154" t="s">
        <v>23</v>
      </c>
      <c r="L3555" s="154" t="str">
        <f>IF(OpenLCAbasic!K3555="CTUh", "Fill in Manually",IF(OR(K3555="Unit", K3555=""), "", INDEX(LookUps!$E$5:$E$12, MATCH(OpenLCAbasic!K3555,LookUps!$D$5:$D$12,0))))</f>
        <v>Global Warming Potential (GWP) - kg CO2 eq</v>
      </c>
      <c r="M3555" s="154" t="str">
        <f t="shared" si="175"/>
        <v>High_High_Base_Upgraded_Global Warming Potential (GWP) - kg CO2 eq_Control Building; at upgraded wastewater treatment plant - US_Base_With Amendment_Windrow</v>
      </c>
    </row>
    <row r="3556" spans="1:13" s="120" customFormat="1" x14ac:dyDescent="0.25">
      <c r="A3556" s="119"/>
      <c r="B3556" s="138" t="str">
        <f t="shared" si="173"/>
        <v>Windrow</v>
      </c>
      <c r="C3556" s="138" t="str">
        <f t="shared" si="174"/>
        <v>Base_With Amendment</v>
      </c>
      <c r="D3556" s="118" t="s">
        <v>139</v>
      </c>
      <c r="E3556" s="118" t="s">
        <v>181</v>
      </c>
      <c r="F3556" s="118" t="s">
        <v>46</v>
      </c>
      <c r="G3556" s="153"/>
      <c r="H3556" s="155">
        <v>2E-3</v>
      </c>
      <c r="I3556" s="154" t="s">
        <v>59</v>
      </c>
      <c r="J3556" s="204">
        <v>5.0400000000000002E-3</v>
      </c>
      <c r="K3556" s="154" t="s">
        <v>23</v>
      </c>
      <c r="L3556" s="154" t="str">
        <f>IF(OpenLCAbasic!K3556="CTUh", "Fill in Manually",IF(OR(K3556="Unit", K3556=""), "", INDEX(LookUps!$E$5:$E$12, MATCH(OpenLCAbasic!K3556,LookUps!$D$5:$D$12,0))))</f>
        <v>Global Warming Potential (GWP) - kg CO2 eq</v>
      </c>
      <c r="M3556" s="154" t="str">
        <f t="shared" si="175"/>
        <v>High_High_Base_Upgraded_Global Warming Potential (GWP) - kg CO2 eq_Blend Tank; wastewater treatment unit; at updated plant - US_Base_With Amendment_Windrow</v>
      </c>
    </row>
    <row r="3557" spans="1:13" s="120" customFormat="1" x14ac:dyDescent="0.25">
      <c r="A3557" s="119"/>
      <c r="B3557" s="138" t="str">
        <f t="shared" si="173"/>
        <v>Windrow</v>
      </c>
      <c r="C3557" s="138" t="str">
        <f t="shared" si="174"/>
        <v>Base_With Amendment</v>
      </c>
      <c r="D3557" s="118" t="s">
        <v>139</v>
      </c>
      <c r="E3557" s="118" t="s">
        <v>181</v>
      </c>
      <c r="F3557" s="118" t="s">
        <v>46</v>
      </c>
      <c r="G3557" s="153"/>
      <c r="H3557" s="155">
        <v>1E-3</v>
      </c>
      <c r="I3557" s="154" t="s">
        <v>168</v>
      </c>
      <c r="J3557" s="204">
        <v>2.4099999999999998E-3</v>
      </c>
      <c r="K3557" s="154" t="s">
        <v>23</v>
      </c>
      <c r="L3557" s="154" t="str">
        <f>IF(OpenLCAbasic!K3557="CTUh", "Fill in Manually",IF(OR(K3557="Unit", K3557=""), "", INDEX(LookUps!$E$5:$E$12, MATCH(OpenLCAbasic!K3557,LookUps!$D$5:$D$12,0))))</f>
        <v>Global Warming Potential (GWP) - kg CO2 eq</v>
      </c>
      <c r="M3557" s="154" t="str">
        <f t="shared" si="175"/>
        <v>High_High_Base_Upgraded_Global Warming Potential (GWP) - kg CO2 eq_ClearCove SCP; wastewater treatment unit; at updated plant - US_Base_With Amendment_Windrow</v>
      </c>
    </row>
    <row r="3558" spans="1:13" s="120" customFormat="1" x14ac:dyDescent="0.25">
      <c r="A3558" s="119"/>
      <c r="B3558" s="138" t="str">
        <f t="shared" si="173"/>
        <v>Windrow</v>
      </c>
      <c r="C3558" s="138" t="str">
        <f t="shared" si="174"/>
        <v>Base_With Amendment</v>
      </c>
      <c r="D3558" s="118" t="s">
        <v>139</v>
      </c>
      <c r="E3558" s="118" t="s">
        <v>181</v>
      </c>
      <c r="F3558" s="118" t="s">
        <v>46</v>
      </c>
      <c r="G3558" s="153"/>
      <c r="H3558" s="155">
        <v>-0.2286</v>
      </c>
      <c r="I3558" s="154" t="s">
        <v>149</v>
      </c>
      <c r="J3558" s="203">
        <v>-0.57099</v>
      </c>
      <c r="K3558" s="154" t="s">
        <v>23</v>
      </c>
      <c r="L3558" s="154" t="str">
        <f>IF(OpenLCAbasic!K3558="CTUh", "Fill in Manually",IF(OR(K3558="Unit", K3558=""), "", INDEX(LookUps!$E$5:$E$12, MATCH(OpenLCAbasic!K3558,LookUps!$D$5:$D$12,0))))</f>
        <v>Global Warming Potential (GWP) - kg CO2 eq</v>
      </c>
      <c r="M3558" s="154" t="str">
        <f t="shared" si="175"/>
        <v>High_High_Base_Upgraded_Global Warming Potential (GWP) - kg CO2 eq_Anaerobic Digestion; wastewater treatment unit; at updated plant - US_Base_With Amendment_Windrow</v>
      </c>
    </row>
    <row r="3559" spans="1:13" s="120" customFormat="1" x14ac:dyDescent="0.25">
      <c r="A3559" s="119"/>
      <c r="B3559" s="138" t="str">
        <f t="shared" si="173"/>
        <v>Windrow</v>
      </c>
      <c r="C3559" s="138" t="str">
        <f t="shared" si="174"/>
        <v>Base_With Amendment</v>
      </c>
      <c r="D3559" s="118" t="s">
        <v>139</v>
      </c>
      <c r="E3559" s="118" t="s">
        <v>181</v>
      </c>
      <c r="F3559" s="118" t="s">
        <v>46</v>
      </c>
      <c r="G3559" s="153"/>
      <c r="H3559" s="155">
        <v>-0.36020000000000002</v>
      </c>
      <c r="I3559" s="154" t="s">
        <v>62</v>
      </c>
      <c r="J3559" s="203">
        <v>-0.89946999999999999</v>
      </c>
      <c r="K3559" s="154" t="s">
        <v>23</v>
      </c>
      <c r="L3559" s="154" t="str">
        <f>IF(OpenLCAbasic!K3559="CTUh", "Fill in Manually",IF(OR(K3559="Unit", K3559=""), "", INDEX(LookUps!$E$5:$E$12, MATCH(OpenLCAbasic!K3559,LookUps!$D$5:$D$12,0))))</f>
        <v>Global Warming Potential (GWP) - kg CO2 eq</v>
      </c>
      <c r="M3559" s="154" t="str">
        <f t="shared" si="175"/>
        <v>High_High_Base_Upgraded_Global Warming Potential (GWP) - kg CO2 eq_Land application of compost; wastewater treatment unit; at updated plant - US_Base_With Amendment_Windrow</v>
      </c>
    </row>
    <row r="3560" spans="1:13" s="120" customFormat="1" x14ac:dyDescent="0.25">
      <c r="A3560" s="119"/>
      <c r="B3560" s="138" t="str">
        <f t="shared" si="173"/>
        <v>Windrow</v>
      </c>
      <c r="C3560" s="138" t="str">
        <f t="shared" si="174"/>
        <v>Base_With Amendment</v>
      </c>
      <c r="D3560" s="118" t="s">
        <v>139</v>
      </c>
      <c r="E3560" s="118" t="s">
        <v>181</v>
      </c>
      <c r="F3560" s="118" t="s">
        <v>46</v>
      </c>
      <c r="G3560" s="153" t="s">
        <v>51</v>
      </c>
      <c r="H3560" s="154"/>
      <c r="I3560" s="154" t="s">
        <v>47</v>
      </c>
      <c r="J3560" s="154" t="s">
        <v>52</v>
      </c>
      <c r="K3560" s="154" t="s">
        <v>27</v>
      </c>
      <c r="L3560" s="154" t="str">
        <f>IF(OpenLCAbasic!K3560="CTUh", "Fill in Manually",IF(OR(K3560="Unit", K3560=""), "", INDEX(LookUps!$E$5:$E$12, MATCH(OpenLCAbasic!K3560,LookUps!$D$5:$D$12,0))))</f>
        <v/>
      </c>
      <c r="M3560" s="154" t="str">
        <f t="shared" si="175"/>
        <v>High_High_Base_Upgraded__Process_Base_With Amendment_Windrow</v>
      </c>
    </row>
    <row r="3561" spans="1:13" s="120" customFormat="1" x14ac:dyDescent="0.25">
      <c r="A3561" s="119"/>
      <c r="B3561" s="138" t="str">
        <f t="shared" si="173"/>
        <v>Windrow</v>
      </c>
      <c r="C3561" s="138" t="str">
        <f t="shared" si="174"/>
        <v>Base_With Amendment</v>
      </c>
      <c r="D3561" s="118" t="s">
        <v>139</v>
      </c>
      <c r="E3561" s="118" t="s">
        <v>181</v>
      </c>
      <c r="F3561" s="118" t="s">
        <v>46</v>
      </c>
      <c r="G3561" s="153"/>
      <c r="H3561" s="155">
        <v>4.9031000000000002</v>
      </c>
      <c r="I3561" s="154" t="s">
        <v>167</v>
      </c>
      <c r="J3561" s="157">
        <v>5.1393399999999998</v>
      </c>
      <c r="K3561" s="154" t="s">
        <v>15</v>
      </c>
      <c r="L3561" s="154" t="str">
        <f>IF(OpenLCAbasic!K3561="CTUh", "Fill in Manually",IF(OR(K3561="Unit", K3561=""), "", INDEX(LookUps!$E$5:$E$12, MATCH(OpenLCAbasic!K3561,LookUps!$D$5:$D$12,0))))</f>
        <v>Cumulative Energy Demand (CED) - MJ</v>
      </c>
      <c r="M3561" s="154" t="str">
        <f t="shared" si="175"/>
        <v>High_High_Base_Upgraded_Cumulative Energy Demand (CED) - MJ_Waste Receiving and Holding; wastewater treatment unit; at updated plant - US_Base_With Amendment_Windrow</v>
      </c>
    </row>
    <row r="3562" spans="1:13" s="120" customFormat="1" x14ac:dyDescent="0.25">
      <c r="A3562" s="119"/>
      <c r="B3562" s="138" t="str">
        <f t="shared" si="173"/>
        <v>Windrow</v>
      </c>
      <c r="C3562" s="138" t="str">
        <f t="shared" si="174"/>
        <v>Base_With Amendment</v>
      </c>
      <c r="D3562" s="118" t="s">
        <v>139</v>
      </c>
      <c r="E3562" s="118" t="s">
        <v>181</v>
      </c>
      <c r="F3562" s="118" t="s">
        <v>46</v>
      </c>
      <c r="G3562" s="153"/>
      <c r="H3562" s="155">
        <v>3.3706</v>
      </c>
      <c r="I3562" s="154" t="s">
        <v>55</v>
      </c>
      <c r="J3562" s="157">
        <v>3.5330499999999998</v>
      </c>
      <c r="K3562" s="154" t="s">
        <v>15</v>
      </c>
      <c r="L3562" s="154" t="str">
        <f>IF(OpenLCAbasic!K3562="CTUh", "Fill in Manually",IF(OR(K3562="Unit", K3562=""), "", INDEX(LookUps!$E$5:$E$12, MATCH(OpenLCAbasic!K3562,LookUps!$D$5:$D$12,0))))</f>
        <v>Cumulative Energy Demand (CED) - MJ</v>
      </c>
      <c r="M3562" s="154" t="str">
        <f t="shared" si="175"/>
        <v>High_High_Base_Upgraded_Cumulative Energy Demand (CED) - MJ_Aeration Tanks; wastewater treatment unit; at updated plant - US_Base_With Amendment_Windrow</v>
      </c>
    </row>
    <row r="3563" spans="1:13" s="120" customFormat="1" x14ac:dyDescent="0.25">
      <c r="A3563" s="119"/>
      <c r="B3563" s="138" t="str">
        <f t="shared" si="173"/>
        <v>Windrow</v>
      </c>
      <c r="C3563" s="138" t="str">
        <f t="shared" si="174"/>
        <v>Base_With Amendment</v>
      </c>
      <c r="D3563" s="118" t="s">
        <v>139</v>
      </c>
      <c r="E3563" s="118" t="s">
        <v>181</v>
      </c>
      <c r="F3563" s="118" t="s">
        <v>46</v>
      </c>
      <c r="G3563" s="153"/>
      <c r="H3563" s="155">
        <v>1.1093999999999999</v>
      </c>
      <c r="I3563" s="154" t="s">
        <v>54</v>
      </c>
      <c r="J3563" s="157">
        <v>1.16289</v>
      </c>
      <c r="K3563" s="154" t="s">
        <v>15</v>
      </c>
      <c r="L3563" s="154" t="str">
        <f>IF(OpenLCAbasic!K3563="CTUh", "Fill in Manually",IF(OR(K3563="Unit", K3563=""), "", INDEX(LookUps!$E$5:$E$12, MATCH(OpenLCAbasic!K3563,LookUps!$D$5:$D$12,0))))</f>
        <v>Cumulative Energy Demand (CED) - MJ</v>
      </c>
      <c r="M3563" s="154" t="str">
        <f t="shared" si="175"/>
        <v>High_High_Base_Upgraded_Cumulative Energy Demand (CED) - MJ_Clear Cove Primary Clarification; wastewater treatment unit; at updated plant - US_Base_With Amendment_Windrow</v>
      </c>
    </row>
    <row r="3564" spans="1:13" s="120" customFormat="1" x14ac:dyDescent="0.25">
      <c r="A3564" s="119"/>
      <c r="B3564" s="138" t="str">
        <f t="shared" si="173"/>
        <v>Windrow</v>
      </c>
      <c r="C3564" s="138" t="str">
        <f t="shared" si="174"/>
        <v>Base_With Amendment</v>
      </c>
      <c r="D3564" s="118" t="s">
        <v>139</v>
      </c>
      <c r="E3564" s="118" t="s">
        <v>181</v>
      </c>
      <c r="F3564" s="118" t="s">
        <v>46</v>
      </c>
      <c r="G3564" s="153"/>
      <c r="H3564" s="155">
        <v>0.84970000000000001</v>
      </c>
      <c r="I3564" s="154" t="s">
        <v>58</v>
      </c>
      <c r="J3564" s="203">
        <v>0.89063999999999999</v>
      </c>
      <c r="K3564" s="154" t="s">
        <v>15</v>
      </c>
      <c r="L3564" s="154" t="str">
        <f>IF(OpenLCAbasic!K3564="CTUh", "Fill in Manually",IF(OR(K3564="Unit", K3564=""), "", INDEX(LookUps!$E$5:$E$12, MATCH(OpenLCAbasic!K3564,LookUps!$D$5:$D$12,0))))</f>
        <v>Cumulative Energy Demand (CED) - MJ</v>
      </c>
      <c r="M3564" s="154" t="str">
        <f t="shared" si="175"/>
        <v>High_High_Base_Upgraded_Cumulative Energy Demand (CED) - MJ_Pre-Anoxic &amp; Swing tank; wastewater treatment unit; at updated plant - US_Base_With Amendment_Windrow</v>
      </c>
    </row>
    <row r="3565" spans="1:13" s="120" customFormat="1" x14ac:dyDescent="0.25">
      <c r="A3565" s="119"/>
      <c r="B3565" s="138" t="str">
        <f t="shared" si="173"/>
        <v>Windrow</v>
      </c>
      <c r="C3565" s="138" t="str">
        <f t="shared" si="174"/>
        <v>Base_With Amendment</v>
      </c>
      <c r="D3565" s="118" t="s">
        <v>139</v>
      </c>
      <c r="E3565" s="118" t="s">
        <v>181</v>
      </c>
      <c r="F3565" s="118" t="s">
        <v>46</v>
      </c>
      <c r="G3565" s="153"/>
      <c r="H3565" s="155">
        <v>0.84240000000000004</v>
      </c>
      <c r="I3565" s="154" t="s">
        <v>147</v>
      </c>
      <c r="J3565" s="203">
        <v>0.88297000000000003</v>
      </c>
      <c r="K3565" s="154" t="s">
        <v>15</v>
      </c>
      <c r="L3565" s="154" t="str">
        <f>IF(OpenLCAbasic!K3565="CTUh", "Fill in Manually",IF(OR(K3565="Unit", K3565=""), "", INDEX(LookUps!$E$5:$E$12, MATCH(OpenLCAbasic!K3565,LookUps!$D$5:$D$12,0))))</f>
        <v>Cumulative Energy Demand (CED) - MJ</v>
      </c>
      <c r="M3565" s="154" t="str">
        <f t="shared" si="175"/>
        <v>High_High_Base_Upgraded_Cumulative Energy Demand (CED) - MJ_Influent Pump Station; wastewater treatment unit; at updated plant - US_Base_With Amendment_Windrow</v>
      </c>
    </row>
    <row r="3566" spans="1:13" s="120" customFormat="1" x14ac:dyDescent="0.25">
      <c r="A3566" s="119"/>
      <c r="B3566" s="138" t="str">
        <f t="shared" si="173"/>
        <v>Windrow</v>
      </c>
      <c r="C3566" s="138" t="str">
        <f t="shared" si="174"/>
        <v>Base_With Amendment</v>
      </c>
      <c r="D3566" s="118" t="s">
        <v>139</v>
      </c>
      <c r="E3566" s="118" t="s">
        <v>181</v>
      </c>
      <c r="F3566" s="118" t="s">
        <v>46</v>
      </c>
      <c r="G3566" s="153"/>
      <c r="H3566" s="155">
        <v>0.66439999999999999</v>
      </c>
      <c r="I3566" s="154" t="s">
        <v>53</v>
      </c>
      <c r="J3566" s="203">
        <v>0.69645000000000001</v>
      </c>
      <c r="K3566" s="154" t="s">
        <v>15</v>
      </c>
      <c r="L3566" s="154" t="str">
        <f>IF(OpenLCAbasic!K3566="CTUh", "Fill in Manually",IF(OR(K3566="Unit", K3566=""), "", INDEX(LookUps!$E$5:$E$12, MATCH(OpenLCAbasic!K3566,LookUps!$D$5:$D$12,0))))</f>
        <v>Cumulative Energy Demand (CED) - MJ</v>
      </c>
      <c r="M3566" s="154" t="str">
        <f t="shared" si="175"/>
        <v>High_High_Base_Upgraded_Cumulative Energy Demand (CED) - MJ_Wet Well and Sump Station; wastewater treatment unit; at updated plant - US_Base_With Amendment_Windrow</v>
      </c>
    </row>
    <row r="3567" spans="1:13" s="120" customFormat="1" x14ac:dyDescent="0.25">
      <c r="A3567" s="119"/>
      <c r="B3567" s="138" t="str">
        <f t="shared" si="173"/>
        <v>Windrow</v>
      </c>
      <c r="C3567" s="138" t="str">
        <f t="shared" si="174"/>
        <v>Base_With Amendment</v>
      </c>
      <c r="D3567" s="118" t="s">
        <v>139</v>
      </c>
      <c r="E3567" s="118" t="s">
        <v>181</v>
      </c>
      <c r="F3567" s="118" t="s">
        <v>46</v>
      </c>
      <c r="G3567" s="153"/>
      <c r="H3567" s="155">
        <v>0.51919999999999999</v>
      </c>
      <c r="I3567" s="154" t="s">
        <v>60</v>
      </c>
      <c r="J3567" s="203">
        <v>0.54422999999999999</v>
      </c>
      <c r="K3567" s="154" t="s">
        <v>15</v>
      </c>
      <c r="L3567" s="154" t="str">
        <f>IF(OpenLCAbasic!K3567="CTUh", "Fill in Manually",IF(OR(K3567="Unit", K3567=""), "", INDEX(LookUps!$E$5:$E$12, MATCH(OpenLCAbasic!K3567,LookUps!$D$5:$D$12,0))))</f>
        <v>Cumulative Energy Demand (CED) - MJ</v>
      </c>
      <c r="M3567" s="154" t="str">
        <f t="shared" si="175"/>
        <v>High_High_Base_Upgraded_Cumulative Energy Demand (CED) - MJ_Belt filter press; wastewater treatment unit; at updated plant - US_Base_With Amendment_Windrow</v>
      </c>
    </row>
    <row r="3568" spans="1:13" s="120" customFormat="1" x14ac:dyDescent="0.25">
      <c r="A3568" s="119"/>
      <c r="B3568" s="138" t="str">
        <f t="shared" si="173"/>
        <v>Windrow</v>
      </c>
      <c r="C3568" s="138" t="str">
        <f t="shared" si="174"/>
        <v>Base_With Amendment</v>
      </c>
      <c r="D3568" s="118" t="s">
        <v>139</v>
      </c>
      <c r="E3568" s="118" t="s">
        <v>181</v>
      </c>
      <c r="F3568" s="118" t="s">
        <v>46</v>
      </c>
      <c r="G3568" s="153"/>
      <c r="H3568" s="155">
        <v>0.31869999999999998</v>
      </c>
      <c r="I3568" s="154" t="s">
        <v>57</v>
      </c>
      <c r="J3568" s="203">
        <v>0.33404</v>
      </c>
      <c r="K3568" s="154" t="s">
        <v>15</v>
      </c>
      <c r="L3568" s="154" t="str">
        <f>IF(OpenLCAbasic!K3568="CTUh", "Fill in Manually",IF(OR(K3568="Unit", K3568=""), "", INDEX(LookUps!$E$5:$E$12, MATCH(OpenLCAbasic!K3568,LookUps!$D$5:$D$12,0))))</f>
        <v>Cumulative Energy Demand (CED) - MJ</v>
      </c>
      <c r="M3568" s="154" t="str">
        <f t="shared" si="175"/>
        <v>High_High_Base_Upgraded_Cumulative Energy Demand (CED) - MJ_Gravity Belt Thickener; wastewater treatment unit; at updated plant - US_Base_With Amendment_Windrow</v>
      </c>
    </row>
    <row r="3569" spans="1:13" s="120" customFormat="1" x14ac:dyDescent="0.25">
      <c r="A3569" s="119"/>
      <c r="B3569" s="138" t="str">
        <f t="shared" si="173"/>
        <v>Windrow</v>
      </c>
      <c r="C3569" s="138" t="str">
        <f t="shared" si="174"/>
        <v>Base_With Amendment</v>
      </c>
      <c r="D3569" s="118" t="s">
        <v>139</v>
      </c>
      <c r="E3569" s="118" t="s">
        <v>181</v>
      </c>
      <c r="F3569" s="118" t="s">
        <v>46</v>
      </c>
      <c r="G3569" s="153"/>
      <c r="H3569" s="155">
        <v>0.24429999999999999</v>
      </c>
      <c r="I3569" s="154" t="s">
        <v>128</v>
      </c>
      <c r="J3569" s="203">
        <v>0.25606000000000001</v>
      </c>
      <c r="K3569" s="154" t="s">
        <v>15</v>
      </c>
      <c r="L3569" s="154" t="str">
        <f>IF(OpenLCAbasic!K3569="CTUh", "Fill in Manually",IF(OR(K3569="Unit", K3569=""), "", INDEX(LookUps!$E$5:$E$12, MATCH(OpenLCAbasic!K3569,LookUps!$D$5:$D$12,0))))</f>
        <v>Cumulative Energy Demand (CED) - MJ</v>
      </c>
      <c r="M3569" s="154" t="str">
        <f t="shared" si="175"/>
        <v>High_High_Base_Upgraded_Cumulative Energy Demand (CED) - MJ_Wastewater collection; operation and infrastructure; m3 wastewater_Base_With Amendment_Windrow</v>
      </c>
    </row>
    <row r="3570" spans="1:13" s="120" customFormat="1" x14ac:dyDescent="0.25">
      <c r="A3570" s="119"/>
      <c r="B3570" s="138" t="str">
        <f t="shared" si="173"/>
        <v>Windrow</v>
      </c>
      <c r="C3570" s="138" t="str">
        <f t="shared" si="174"/>
        <v>Base_With Amendment</v>
      </c>
      <c r="D3570" s="118" t="s">
        <v>139</v>
      </c>
      <c r="E3570" s="118" t="s">
        <v>181</v>
      </c>
      <c r="F3570" s="118" t="s">
        <v>46</v>
      </c>
      <c r="G3570" s="153"/>
      <c r="H3570" s="155">
        <v>0.13930000000000001</v>
      </c>
      <c r="I3570" s="154" t="s">
        <v>148</v>
      </c>
      <c r="J3570" s="203">
        <v>0.14599000000000001</v>
      </c>
      <c r="K3570" s="154" t="s">
        <v>15</v>
      </c>
      <c r="L3570" s="154" t="str">
        <f>IF(OpenLCAbasic!K3570="CTUh", "Fill in Manually",IF(OR(K3570="Unit", K3570=""), "", INDEX(LookUps!$E$5:$E$12, MATCH(OpenLCAbasic!K3570,LookUps!$D$5:$D$12,0))))</f>
        <v>Cumulative Energy Demand (CED) - MJ</v>
      </c>
      <c r="M3570" s="154" t="str">
        <f t="shared" si="175"/>
        <v>High_High_Base_Upgraded_Cumulative Energy Demand (CED) - MJ_Control Building; at upgraded wastewater treatment plant - US_Base_With Amendment_Windrow</v>
      </c>
    </row>
    <row r="3571" spans="1:13" s="120" customFormat="1" x14ac:dyDescent="0.25">
      <c r="A3571" s="119"/>
      <c r="B3571" s="138" t="str">
        <f t="shared" si="173"/>
        <v>Windrow</v>
      </c>
      <c r="C3571" s="138" t="str">
        <f t="shared" si="174"/>
        <v>Base_With Amendment</v>
      </c>
      <c r="D3571" s="118" t="s">
        <v>139</v>
      </c>
      <c r="E3571" s="118" t="s">
        <v>181</v>
      </c>
      <c r="F3571" s="118" t="s">
        <v>46</v>
      </c>
      <c r="G3571" s="153"/>
      <c r="H3571" s="155">
        <v>0.12709999999999999</v>
      </c>
      <c r="I3571" s="154" t="s">
        <v>48</v>
      </c>
      <c r="J3571" s="203">
        <v>0.13321</v>
      </c>
      <c r="K3571" s="154" t="s">
        <v>15</v>
      </c>
      <c r="L3571" s="154" t="str">
        <f>IF(OpenLCAbasic!K3571="CTUh", "Fill in Manually",IF(OR(K3571="Unit", K3571=""), "", INDEX(LookUps!$E$5:$E$12, MATCH(OpenLCAbasic!K3571,LookUps!$D$5:$D$12,0))))</f>
        <v>Cumulative Energy Demand (CED) - MJ</v>
      </c>
      <c r="M3571" s="154" t="str">
        <f t="shared" si="175"/>
        <v>High_High_Base_Upgraded_Cumulative Energy Demand (CED) - MJ_Effluent release; wastewater treatment unit; at surface water; m3 wastewater - US_Base_With Amendment_Windrow</v>
      </c>
    </row>
    <row r="3572" spans="1:13" s="120" customFormat="1" x14ac:dyDescent="0.25">
      <c r="A3572" s="119"/>
      <c r="B3572" s="138" t="str">
        <f t="shared" si="173"/>
        <v>Windrow</v>
      </c>
      <c r="C3572" s="138" t="str">
        <f t="shared" si="174"/>
        <v>Base_With Amendment</v>
      </c>
      <c r="D3572" s="118" t="s">
        <v>139</v>
      </c>
      <c r="E3572" s="118" t="s">
        <v>181</v>
      </c>
      <c r="F3572" s="118" t="s">
        <v>46</v>
      </c>
      <c r="G3572" s="153"/>
      <c r="H3572" s="155">
        <v>0.10150000000000001</v>
      </c>
      <c r="I3572" s="154" t="s">
        <v>59</v>
      </c>
      <c r="J3572" s="203">
        <v>0.10638</v>
      </c>
      <c r="K3572" s="154" t="s">
        <v>15</v>
      </c>
      <c r="L3572" s="154" t="str">
        <f>IF(OpenLCAbasic!K3572="CTUh", "Fill in Manually",IF(OR(K3572="Unit", K3572=""), "", INDEX(LookUps!$E$5:$E$12, MATCH(OpenLCAbasic!K3572,LookUps!$D$5:$D$12,0))))</f>
        <v>Cumulative Energy Demand (CED) - MJ</v>
      </c>
      <c r="M3572" s="154" t="str">
        <f t="shared" si="175"/>
        <v>High_High_Base_Upgraded_Cumulative Energy Demand (CED) - MJ_Blend Tank; wastewater treatment unit; at updated plant - US_Base_With Amendment_Windrow</v>
      </c>
    </row>
    <row r="3573" spans="1:13" s="120" customFormat="1" x14ac:dyDescent="0.25">
      <c r="A3573" s="119"/>
      <c r="B3573" s="138" t="str">
        <f t="shared" si="173"/>
        <v>Windrow</v>
      </c>
      <c r="C3573" s="138" t="str">
        <f t="shared" si="174"/>
        <v>Base_With Amendment</v>
      </c>
      <c r="D3573" s="118" t="s">
        <v>139</v>
      </c>
      <c r="E3573" s="118" t="s">
        <v>181</v>
      </c>
      <c r="F3573" s="118" t="s">
        <v>46</v>
      </c>
      <c r="G3573" s="153"/>
      <c r="H3573" s="155">
        <v>4.8599999999999997E-2</v>
      </c>
      <c r="I3573" s="154" t="s">
        <v>168</v>
      </c>
      <c r="J3573" s="203">
        <v>5.0930000000000003E-2</v>
      </c>
      <c r="K3573" s="154" t="s">
        <v>15</v>
      </c>
      <c r="L3573" s="154" t="str">
        <f>IF(OpenLCAbasic!K3573="CTUh", "Fill in Manually",IF(OR(K3573="Unit", K3573=""), "", INDEX(LookUps!$E$5:$E$12, MATCH(OpenLCAbasic!K3573,LookUps!$D$5:$D$12,0))))</f>
        <v>Cumulative Energy Demand (CED) - MJ</v>
      </c>
      <c r="M3573" s="154" t="str">
        <f t="shared" si="175"/>
        <v>High_High_Base_Upgraded_Cumulative Energy Demand (CED) - MJ_ClearCove SCP; wastewater treatment unit; at updated plant - US_Base_With Amendment_Windrow</v>
      </c>
    </row>
    <row r="3574" spans="1:13" s="120" customFormat="1" x14ac:dyDescent="0.25">
      <c r="A3574" s="119"/>
      <c r="B3574" s="138" t="str">
        <f t="shared" si="173"/>
        <v>Windrow</v>
      </c>
      <c r="C3574" s="138" t="str">
        <f t="shared" si="174"/>
        <v>Base_With Amendment</v>
      </c>
      <c r="D3574" s="118" t="s">
        <v>139</v>
      </c>
      <c r="E3574" s="118" t="s">
        <v>181</v>
      </c>
      <c r="F3574" s="118" t="s">
        <v>46</v>
      </c>
      <c r="G3574" s="153"/>
      <c r="H3574" s="155">
        <v>3.6999999999999998E-2</v>
      </c>
      <c r="I3574" s="154" t="s">
        <v>271</v>
      </c>
      <c r="J3574" s="203">
        <v>3.882E-2</v>
      </c>
      <c r="K3574" s="154" t="s">
        <v>15</v>
      </c>
      <c r="L3574" s="154" t="str">
        <f>IF(OpenLCAbasic!K3574="CTUh", "Fill in Manually",IF(OR(K3574="Unit", K3574=""), "", INDEX(LookUps!$E$5:$E$12, MATCH(OpenLCAbasic!K3574,LookUps!$D$5:$D$12,0))))</f>
        <v>Cumulative Energy Demand (CED) - MJ</v>
      </c>
      <c r="M3574" s="154" t="str">
        <f t="shared" si="175"/>
        <v>High_High_Base_Upgraded_Cumulative Energy Demand (CED) - MJ_Biosolids composting; windrow composting; wastewater treatment unit; at updated plant - US_Base_With Amendment_Windrow</v>
      </c>
    </row>
    <row r="3575" spans="1:13" s="120" customFormat="1" x14ac:dyDescent="0.25">
      <c r="A3575" s="119"/>
      <c r="B3575" s="138" t="str">
        <f t="shared" si="173"/>
        <v>Windrow</v>
      </c>
      <c r="C3575" s="138" t="str">
        <f t="shared" si="174"/>
        <v>Base_With Amendment</v>
      </c>
      <c r="D3575" s="118" t="s">
        <v>139</v>
      </c>
      <c r="E3575" s="118" t="s">
        <v>181</v>
      </c>
      <c r="F3575" s="118" t="s">
        <v>46</v>
      </c>
      <c r="G3575" s="153"/>
      <c r="H3575" s="155">
        <v>-0.74739999999999995</v>
      </c>
      <c r="I3575" s="154" t="s">
        <v>62</v>
      </c>
      <c r="J3575" s="203">
        <v>-0.78339000000000003</v>
      </c>
      <c r="K3575" s="154" t="s">
        <v>15</v>
      </c>
      <c r="L3575" s="154" t="str">
        <f>IF(OpenLCAbasic!K3575="CTUh", "Fill in Manually",IF(OR(K3575="Unit", K3575=""), "", INDEX(LookUps!$E$5:$E$12, MATCH(OpenLCAbasic!K3575,LookUps!$D$5:$D$12,0))))</f>
        <v>Cumulative Energy Demand (CED) - MJ</v>
      </c>
      <c r="M3575" s="154" t="str">
        <f t="shared" si="175"/>
        <v>High_High_Base_Upgraded_Cumulative Energy Demand (CED) - MJ_Land application of compost; wastewater treatment unit; at updated plant - US_Base_With Amendment_Windrow</v>
      </c>
    </row>
    <row r="3576" spans="1:13" s="120" customFormat="1" x14ac:dyDescent="0.25">
      <c r="A3576" s="119"/>
      <c r="B3576" s="138" t="str">
        <f t="shared" si="173"/>
        <v>Windrow</v>
      </c>
      <c r="C3576" s="138" t="str">
        <f t="shared" si="174"/>
        <v>Base_With Amendment</v>
      </c>
      <c r="D3576" s="118" t="s">
        <v>139</v>
      </c>
      <c r="E3576" s="118" t="s">
        <v>181</v>
      </c>
      <c r="F3576" s="118" t="s">
        <v>46</v>
      </c>
      <c r="G3576" s="153"/>
      <c r="H3576" s="155">
        <v>-13.528</v>
      </c>
      <c r="I3576" s="154" t="s">
        <v>149</v>
      </c>
      <c r="J3576" s="157">
        <v>-14.179790000000001</v>
      </c>
      <c r="K3576" s="154" t="s">
        <v>15</v>
      </c>
      <c r="L3576" s="154" t="str">
        <f>IF(OpenLCAbasic!K3576="CTUh", "Fill in Manually",IF(OR(K3576="Unit", K3576=""), "", INDEX(LookUps!$E$5:$E$12, MATCH(OpenLCAbasic!K3576,LookUps!$D$5:$D$12,0))))</f>
        <v>Cumulative Energy Demand (CED) - MJ</v>
      </c>
      <c r="M3576" s="154" t="str">
        <f t="shared" si="175"/>
        <v>High_High_Base_Upgraded_Cumulative Energy Demand (CED) - MJ_Anaerobic Digestion; wastewater treatment unit; at updated plant - US_Base_With Amendment_Windrow</v>
      </c>
    </row>
    <row r="3577" spans="1:13" s="120" customFormat="1" x14ac:dyDescent="0.25">
      <c r="A3577" s="119"/>
      <c r="B3577" s="138" t="str">
        <f t="shared" si="173"/>
        <v>Windrow</v>
      </c>
      <c r="C3577" s="138" t="str">
        <f t="shared" si="174"/>
        <v>Base_With Amendment</v>
      </c>
      <c r="D3577" s="118" t="s">
        <v>139</v>
      </c>
      <c r="E3577" s="118" t="s">
        <v>181</v>
      </c>
      <c r="F3577" s="118" t="s">
        <v>46</v>
      </c>
      <c r="G3577" s="153" t="s">
        <v>51</v>
      </c>
      <c r="H3577" s="154"/>
      <c r="I3577" s="154" t="s">
        <v>47</v>
      </c>
      <c r="J3577" s="154" t="s">
        <v>52</v>
      </c>
      <c r="K3577" s="154" t="s">
        <v>27</v>
      </c>
      <c r="L3577" s="154" t="str">
        <f>IF(OpenLCAbasic!K3577="CTUh", "Fill in Manually",IF(OR(K3577="Unit", K3577=""), "", INDEX(LookUps!$E$5:$E$12, MATCH(OpenLCAbasic!K3577,LookUps!$D$5:$D$12,0))))</f>
        <v/>
      </c>
      <c r="M3577" s="154" t="str">
        <f t="shared" si="175"/>
        <v>High_High_Base_Upgraded__Process_Base_With Amendment_Windrow</v>
      </c>
    </row>
    <row r="3578" spans="1:13" s="120" customFormat="1" x14ac:dyDescent="0.25">
      <c r="A3578" s="119"/>
      <c r="B3578" s="138" t="str">
        <f t="shared" si="173"/>
        <v>Windrow</v>
      </c>
      <c r="C3578" s="138" t="str">
        <f t="shared" si="174"/>
        <v>Base_With Amendment</v>
      </c>
      <c r="D3578" s="118" t="s">
        <v>139</v>
      </c>
      <c r="E3578" s="118" t="s">
        <v>181</v>
      </c>
      <c r="F3578" s="118" t="s">
        <v>46</v>
      </c>
      <c r="G3578" s="153"/>
      <c r="H3578" s="155">
        <v>0.68320000000000003</v>
      </c>
      <c r="I3578" s="154" t="s">
        <v>48</v>
      </c>
      <c r="J3578" s="203">
        <v>1.1610000000000001E-2</v>
      </c>
      <c r="K3578" s="154" t="s">
        <v>13</v>
      </c>
      <c r="L3578" s="154" t="str">
        <f>IF(OpenLCAbasic!K3578="CTUh", "Fill in Manually",IF(OR(K3578="Unit", K3578=""), "", INDEX(LookUps!$E$5:$E$12, MATCH(OpenLCAbasic!K3578,LookUps!$D$5:$D$12,0))))</f>
        <v>Eutrophication Potential (EP) - kg N eq</v>
      </c>
      <c r="M3578" s="154" t="str">
        <f t="shared" si="175"/>
        <v>High_High_Base_Upgraded_Eutrophication Potential (EP) - kg N eq_Effluent release; wastewater treatment unit; at surface water; m3 wastewater - US_Base_With Amendment_Windrow</v>
      </c>
    </row>
    <row r="3579" spans="1:13" s="120" customFormat="1" x14ac:dyDescent="0.25">
      <c r="A3579" s="119"/>
      <c r="B3579" s="138" t="str">
        <f t="shared" si="173"/>
        <v>Windrow</v>
      </c>
      <c r="C3579" s="138" t="str">
        <f t="shared" si="174"/>
        <v>Base_With Amendment</v>
      </c>
      <c r="D3579" s="118" t="s">
        <v>139</v>
      </c>
      <c r="E3579" s="118" t="s">
        <v>181</v>
      </c>
      <c r="F3579" s="118" t="s">
        <v>46</v>
      </c>
      <c r="G3579" s="153"/>
      <c r="H3579" s="155">
        <v>0.22020000000000001</v>
      </c>
      <c r="I3579" s="154" t="s">
        <v>62</v>
      </c>
      <c r="J3579" s="204">
        <v>3.7399999999999998E-3</v>
      </c>
      <c r="K3579" s="154" t="s">
        <v>13</v>
      </c>
      <c r="L3579" s="154" t="str">
        <f>IF(OpenLCAbasic!K3579="CTUh", "Fill in Manually",IF(OR(K3579="Unit", K3579=""), "", INDEX(LookUps!$E$5:$E$12, MATCH(OpenLCAbasic!K3579,LookUps!$D$5:$D$12,0))))</f>
        <v>Eutrophication Potential (EP) - kg N eq</v>
      </c>
      <c r="M3579" s="154" t="str">
        <f t="shared" si="175"/>
        <v>High_High_Base_Upgraded_Eutrophication Potential (EP) - kg N eq_Land application of compost; wastewater treatment unit; at updated plant - US_Base_With Amendment_Windrow</v>
      </c>
    </row>
    <row r="3580" spans="1:13" s="120" customFormat="1" x14ac:dyDescent="0.25">
      <c r="A3580" s="119"/>
      <c r="B3580" s="138" t="str">
        <f t="shared" si="173"/>
        <v>Windrow</v>
      </c>
      <c r="C3580" s="138" t="str">
        <f t="shared" si="174"/>
        <v>Base_With Amendment</v>
      </c>
      <c r="D3580" s="118" t="s">
        <v>139</v>
      </c>
      <c r="E3580" s="118" t="s">
        <v>181</v>
      </c>
      <c r="F3580" s="118" t="s">
        <v>46</v>
      </c>
      <c r="G3580" s="153"/>
      <c r="H3580" s="155">
        <v>7.7100000000000002E-2</v>
      </c>
      <c r="I3580" s="154" t="s">
        <v>271</v>
      </c>
      <c r="J3580" s="204">
        <v>1.31E-3</v>
      </c>
      <c r="K3580" s="154" t="s">
        <v>13</v>
      </c>
      <c r="L3580" s="154" t="str">
        <f>IF(OpenLCAbasic!K3580="CTUh", "Fill in Manually",IF(OR(K3580="Unit", K3580=""), "", INDEX(LookUps!$E$5:$E$12, MATCH(OpenLCAbasic!K3580,LookUps!$D$5:$D$12,0))))</f>
        <v>Eutrophication Potential (EP) - kg N eq</v>
      </c>
      <c r="M3580" s="154" t="str">
        <f t="shared" si="175"/>
        <v>High_High_Base_Upgraded_Eutrophication Potential (EP) - kg N eq_Biosolids composting; windrow composting; wastewater treatment unit; at updated plant - US_Base_With Amendment_Windrow</v>
      </c>
    </row>
    <row r="3581" spans="1:13" s="120" customFormat="1" x14ac:dyDescent="0.25">
      <c r="A3581" s="119"/>
      <c r="B3581" s="138" t="str">
        <f t="shared" si="173"/>
        <v>Windrow</v>
      </c>
      <c r="C3581" s="138" t="str">
        <f t="shared" si="174"/>
        <v>Base_With Amendment</v>
      </c>
      <c r="D3581" s="118" t="s">
        <v>139</v>
      </c>
      <c r="E3581" s="118" t="s">
        <v>181</v>
      </c>
      <c r="F3581" s="118" t="s">
        <v>46</v>
      </c>
      <c r="G3581" s="153"/>
      <c r="H3581" s="155">
        <v>3.2199999999999999E-2</v>
      </c>
      <c r="I3581" s="154" t="s">
        <v>55</v>
      </c>
      <c r="J3581" s="204">
        <v>5.5000000000000003E-4</v>
      </c>
      <c r="K3581" s="154" t="s">
        <v>13</v>
      </c>
      <c r="L3581" s="154" t="str">
        <f>IF(OpenLCAbasic!K3581="CTUh", "Fill in Manually",IF(OR(K3581="Unit", K3581=""), "", INDEX(LookUps!$E$5:$E$12, MATCH(OpenLCAbasic!K3581,LookUps!$D$5:$D$12,0))))</f>
        <v>Eutrophication Potential (EP) - kg N eq</v>
      </c>
      <c r="M3581" s="154" t="str">
        <f t="shared" si="175"/>
        <v>High_High_Base_Upgraded_Eutrophication Potential (EP) - kg N eq_Aeration Tanks; wastewater treatment unit; at updated plant - US_Base_With Amendment_Windrow</v>
      </c>
    </row>
    <row r="3582" spans="1:13" s="120" customFormat="1" x14ac:dyDescent="0.25">
      <c r="A3582" s="119"/>
      <c r="B3582" s="138" t="str">
        <f t="shared" si="173"/>
        <v>Windrow</v>
      </c>
      <c r="C3582" s="138" t="str">
        <f t="shared" si="174"/>
        <v>Base_With Amendment</v>
      </c>
      <c r="D3582" s="118" t="s">
        <v>139</v>
      </c>
      <c r="E3582" s="118" t="s">
        <v>181</v>
      </c>
      <c r="F3582" s="118" t="s">
        <v>46</v>
      </c>
      <c r="G3582" s="153"/>
      <c r="H3582" s="155">
        <v>1.47E-2</v>
      </c>
      <c r="I3582" s="154" t="s">
        <v>147</v>
      </c>
      <c r="J3582" s="204">
        <v>2.5000000000000001E-4</v>
      </c>
      <c r="K3582" s="154" t="s">
        <v>13</v>
      </c>
      <c r="L3582" s="154" t="str">
        <f>IF(OpenLCAbasic!K3582="CTUh", "Fill in Manually",IF(OR(K3582="Unit", K3582=""), "", INDEX(LookUps!$E$5:$E$12, MATCH(OpenLCAbasic!K3582,LookUps!$D$5:$D$12,0))))</f>
        <v>Eutrophication Potential (EP) - kg N eq</v>
      </c>
      <c r="M3582" s="154" t="str">
        <f t="shared" si="175"/>
        <v>High_High_Base_Upgraded_Eutrophication Potential (EP) - kg N eq_Influent Pump Station; wastewater treatment unit; at updated plant - US_Base_With Amendment_Windrow</v>
      </c>
    </row>
    <row r="3583" spans="1:13" s="120" customFormat="1" x14ac:dyDescent="0.25">
      <c r="A3583" s="119"/>
      <c r="B3583" s="138" t="str">
        <f t="shared" si="173"/>
        <v>Windrow</v>
      </c>
      <c r="C3583" s="138" t="str">
        <f t="shared" si="174"/>
        <v>Base_With Amendment</v>
      </c>
      <c r="D3583" s="118" t="s">
        <v>139</v>
      </c>
      <c r="E3583" s="118" t="s">
        <v>181</v>
      </c>
      <c r="F3583" s="118" t="s">
        <v>46</v>
      </c>
      <c r="G3583" s="153"/>
      <c r="H3583" s="155">
        <v>1.2999999999999999E-2</v>
      </c>
      <c r="I3583" s="154" t="s">
        <v>167</v>
      </c>
      <c r="J3583" s="204">
        <v>2.2000000000000001E-4</v>
      </c>
      <c r="K3583" s="154" t="s">
        <v>13</v>
      </c>
      <c r="L3583" s="154" t="str">
        <f>IF(OpenLCAbasic!K3583="CTUh", "Fill in Manually",IF(OR(K3583="Unit", K3583=""), "", INDEX(LookUps!$E$5:$E$12, MATCH(OpenLCAbasic!K3583,LookUps!$D$5:$D$12,0))))</f>
        <v>Eutrophication Potential (EP) - kg N eq</v>
      </c>
      <c r="M3583" s="154" t="str">
        <f t="shared" si="175"/>
        <v>High_High_Base_Upgraded_Eutrophication Potential (EP) - kg N eq_Waste Receiving and Holding; wastewater treatment unit; at updated plant - US_Base_With Amendment_Windrow</v>
      </c>
    </row>
    <row r="3584" spans="1:13" s="120" customFormat="1" x14ac:dyDescent="0.25">
      <c r="A3584" s="119"/>
      <c r="B3584" s="138" t="str">
        <f t="shared" si="173"/>
        <v>Windrow</v>
      </c>
      <c r="C3584" s="138" t="str">
        <f t="shared" si="174"/>
        <v>Base_With Amendment</v>
      </c>
      <c r="D3584" s="118" t="s">
        <v>139</v>
      </c>
      <c r="E3584" s="118" t="s">
        <v>181</v>
      </c>
      <c r="F3584" s="118" t="s">
        <v>46</v>
      </c>
      <c r="G3584" s="153"/>
      <c r="H3584" s="155">
        <v>1.17E-2</v>
      </c>
      <c r="I3584" s="154" t="s">
        <v>54</v>
      </c>
      <c r="J3584" s="204">
        <v>2.0000000000000001E-4</v>
      </c>
      <c r="K3584" s="154" t="s">
        <v>13</v>
      </c>
      <c r="L3584" s="154" t="str">
        <f>IF(OpenLCAbasic!K3584="CTUh", "Fill in Manually",IF(OR(K3584="Unit", K3584=""), "", INDEX(LookUps!$E$5:$E$12, MATCH(OpenLCAbasic!K3584,LookUps!$D$5:$D$12,0))))</f>
        <v>Eutrophication Potential (EP) - kg N eq</v>
      </c>
      <c r="M3584" s="154" t="str">
        <f t="shared" si="175"/>
        <v>High_High_Base_Upgraded_Eutrophication Potential (EP) - kg N eq_Clear Cove Primary Clarification; wastewater treatment unit; at updated plant - US_Base_With Amendment_Windrow</v>
      </c>
    </row>
    <row r="3585" spans="1:13" s="120" customFormat="1" x14ac:dyDescent="0.25">
      <c r="A3585" s="119"/>
      <c r="B3585" s="138" t="str">
        <f t="shared" si="173"/>
        <v>Windrow</v>
      </c>
      <c r="C3585" s="138" t="str">
        <f t="shared" si="174"/>
        <v>Base_With Amendment</v>
      </c>
      <c r="D3585" s="118" t="s">
        <v>139</v>
      </c>
      <c r="E3585" s="118" t="s">
        <v>181</v>
      </c>
      <c r="F3585" s="118" t="s">
        <v>46</v>
      </c>
      <c r="G3585" s="153"/>
      <c r="H3585" s="155">
        <v>8.0000000000000002E-3</v>
      </c>
      <c r="I3585" s="154" t="s">
        <v>58</v>
      </c>
      <c r="J3585" s="204">
        <v>1.3999999999999999E-4</v>
      </c>
      <c r="K3585" s="154" t="s">
        <v>13</v>
      </c>
      <c r="L3585" s="154" t="str">
        <f>IF(OpenLCAbasic!K3585="CTUh", "Fill in Manually",IF(OR(K3585="Unit", K3585=""), "", INDEX(LookUps!$E$5:$E$12, MATCH(OpenLCAbasic!K3585,LookUps!$D$5:$D$12,0))))</f>
        <v>Eutrophication Potential (EP) - kg N eq</v>
      </c>
      <c r="M3585" s="154" t="str">
        <f t="shared" si="175"/>
        <v>High_High_Base_Upgraded_Eutrophication Potential (EP) - kg N eq_Pre-Anoxic &amp; Swing tank; wastewater treatment unit; at updated plant - US_Base_With Amendment_Windrow</v>
      </c>
    </row>
    <row r="3586" spans="1:13" s="120" customFormat="1" x14ac:dyDescent="0.25">
      <c r="A3586" s="119"/>
      <c r="B3586" s="138" t="str">
        <f t="shared" si="173"/>
        <v>Windrow</v>
      </c>
      <c r="C3586" s="138" t="str">
        <f t="shared" si="174"/>
        <v>Base_With Amendment</v>
      </c>
      <c r="D3586" s="118" t="s">
        <v>139</v>
      </c>
      <c r="E3586" s="118" t="s">
        <v>181</v>
      </c>
      <c r="F3586" s="118" t="s">
        <v>46</v>
      </c>
      <c r="G3586" s="153"/>
      <c r="H3586" s="155">
        <v>6.3E-3</v>
      </c>
      <c r="I3586" s="154" t="s">
        <v>53</v>
      </c>
      <c r="J3586" s="204">
        <v>1.1E-4</v>
      </c>
      <c r="K3586" s="154" t="s">
        <v>13</v>
      </c>
      <c r="L3586" s="154" t="str">
        <f>IF(OpenLCAbasic!K3586="CTUh", "Fill in Manually",IF(OR(K3586="Unit", K3586=""), "", INDEX(LookUps!$E$5:$E$12, MATCH(OpenLCAbasic!K3586,LookUps!$D$5:$D$12,0))))</f>
        <v>Eutrophication Potential (EP) - kg N eq</v>
      </c>
      <c r="M3586" s="154" t="str">
        <f t="shared" si="175"/>
        <v>High_High_Base_Upgraded_Eutrophication Potential (EP) - kg N eq_Wet Well and Sump Station; wastewater treatment unit; at updated plant - US_Base_With Amendment_Windrow</v>
      </c>
    </row>
    <row r="3587" spans="1:13" s="120" customFormat="1" x14ac:dyDescent="0.25">
      <c r="A3587" s="119"/>
      <c r="B3587" s="138" t="str">
        <f t="shared" si="173"/>
        <v>Windrow</v>
      </c>
      <c r="C3587" s="138" t="str">
        <f t="shared" si="174"/>
        <v>Base_With Amendment</v>
      </c>
      <c r="D3587" s="118" t="s">
        <v>139</v>
      </c>
      <c r="E3587" s="118" t="s">
        <v>181</v>
      </c>
      <c r="F3587" s="118" t="s">
        <v>46</v>
      </c>
      <c r="G3587" s="153"/>
      <c r="H3587" s="155">
        <v>5.5999999999999999E-3</v>
      </c>
      <c r="I3587" s="154" t="s">
        <v>60</v>
      </c>
      <c r="J3587" s="204">
        <v>9.5601799999999997E-5</v>
      </c>
      <c r="K3587" s="154" t="s">
        <v>13</v>
      </c>
      <c r="L3587" s="154" t="str">
        <f>IF(OpenLCAbasic!K3587="CTUh", "Fill in Manually",IF(OR(K3587="Unit", K3587=""), "", INDEX(LookUps!$E$5:$E$12, MATCH(OpenLCAbasic!K3587,LookUps!$D$5:$D$12,0))))</f>
        <v>Eutrophication Potential (EP) - kg N eq</v>
      </c>
      <c r="M3587" s="154" t="str">
        <f t="shared" si="175"/>
        <v>High_High_Base_Upgraded_Eutrophication Potential (EP) - kg N eq_Belt filter press; wastewater treatment unit; at updated plant - US_Base_With Amendment_Windrow</v>
      </c>
    </row>
    <row r="3588" spans="1:13" s="120" customFormat="1" x14ac:dyDescent="0.25">
      <c r="A3588" s="119"/>
      <c r="B3588" s="138" t="str">
        <f t="shared" si="173"/>
        <v>Windrow</v>
      </c>
      <c r="C3588" s="138" t="str">
        <f t="shared" si="174"/>
        <v>Base_With Amendment</v>
      </c>
      <c r="D3588" s="118" t="s">
        <v>139</v>
      </c>
      <c r="E3588" s="118" t="s">
        <v>181</v>
      </c>
      <c r="F3588" s="118" t="s">
        <v>46</v>
      </c>
      <c r="G3588" s="153"/>
      <c r="H3588" s="155">
        <v>3.5999999999999999E-3</v>
      </c>
      <c r="I3588" s="154" t="s">
        <v>57</v>
      </c>
      <c r="J3588" s="204">
        <v>6.0590300000000002E-5</v>
      </c>
      <c r="K3588" s="154" t="s">
        <v>13</v>
      </c>
      <c r="L3588" s="154" t="str">
        <f>IF(OpenLCAbasic!K3588="CTUh", "Fill in Manually",IF(OR(K3588="Unit", K3588=""), "", INDEX(LookUps!$E$5:$E$12, MATCH(OpenLCAbasic!K3588,LookUps!$D$5:$D$12,0))))</f>
        <v>Eutrophication Potential (EP) - kg N eq</v>
      </c>
      <c r="M3588" s="154" t="str">
        <f t="shared" si="175"/>
        <v>High_High_Base_Upgraded_Eutrophication Potential (EP) - kg N eq_Gravity Belt Thickener; wastewater treatment unit; at updated plant - US_Base_With Amendment_Windrow</v>
      </c>
    </row>
    <row r="3589" spans="1:13" s="120" customFormat="1" x14ac:dyDescent="0.25">
      <c r="A3589" s="119"/>
      <c r="B3589" s="138" t="str">
        <f t="shared" si="173"/>
        <v>Windrow</v>
      </c>
      <c r="C3589" s="138" t="str">
        <f t="shared" si="174"/>
        <v>Base_With Amendment</v>
      </c>
      <c r="D3589" s="118" t="s">
        <v>139</v>
      </c>
      <c r="E3589" s="118" t="s">
        <v>181</v>
      </c>
      <c r="F3589" s="118" t="s">
        <v>46</v>
      </c>
      <c r="G3589" s="153"/>
      <c r="H3589" s="155">
        <v>2.2000000000000001E-3</v>
      </c>
      <c r="I3589" s="154" t="s">
        <v>128</v>
      </c>
      <c r="J3589" s="204">
        <v>3.7559799999999999E-5</v>
      </c>
      <c r="K3589" s="154" t="s">
        <v>13</v>
      </c>
      <c r="L3589" s="154" t="str">
        <f>IF(OpenLCAbasic!K3589="CTUh", "Fill in Manually",IF(OR(K3589="Unit", K3589=""), "", INDEX(LookUps!$E$5:$E$12, MATCH(OpenLCAbasic!K3589,LookUps!$D$5:$D$12,0))))</f>
        <v>Eutrophication Potential (EP) - kg N eq</v>
      </c>
      <c r="M3589" s="154" t="str">
        <f t="shared" si="175"/>
        <v>High_High_Base_Upgraded_Eutrophication Potential (EP) - kg N eq_Wastewater collection; operation and infrastructure; m3 wastewater_Base_With Amendment_Windrow</v>
      </c>
    </row>
    <row r="3590" spans="1:13" s="120" customFormat="1" x14ac:dyDescent="0.25">
      <c r="A3590" s="119"/>
      <c r="B3590" s="138" t="str">
        <f t="shared" ref="B3590:B3653" si="176">IF(F3590="Legacy","n.a.",IF(F3590="","","Windrow"))</f>
        <v>Windrow</v>
      </c>
      <c r="C3590" s="138" t="str">
        <f t="shared" si="174"/>
        <v>Base_With Amendment</v>
      </c>
      <c r="D3590" s="118" t="s">
        <v>139</v>
      </c>
      <c r="E3590" s="118" t="s">
        <v>181</v>
      </c>
      <c r="F3590" s="118" t="s">
        <v>46</v>
      </c>
      <c r="G3590" s="153"/>
      <c r="H3590" s="155">
        <v>2.2000000000000001E-3</v>
      </c>
      <c r="I3590" s="154" t="s">
        <v>148</v>
      </c>
      <c r="J3590" s="204">
        <v>3.6874600000000001E-5</v>
      </c>
      <c r="K3590" s="154" t="s">
        <v>13</v>
      </c>
      <c r="L3590" s="154" t="str">
        <f>IF(OpenLCAbasic!K3590="CTUh", "Fill in Manually",IF(OR(K3590="Unit", K3590=""), "", INDEX(LookUps!$E$5:$E$12, MATCH(OpenLCAbasic!K3590,LookUps!$D$5:$D$12,0))))</f>
        <v>Eutrophication Potential (EP) - kg N eq</v>
      </c>
      <c r="M3590" s="154" t="str">
        <f t="shared" si="175"/>
        <v>High_High_Base_Upgraded_Eutrophication Potential (EP) - kg N eq_Control Building; at upgraded wastewater treatment plant - US_Base_With Amendment_Windrow</v>
      </c>
    </row>
    <row r="3591" spans="1:13" s="120" customFormat="1" x14ac:dyDescent="0.25">
      <c r="A3591" s="119"/>
      <c r="B3591" s="138" t="str">
        <f t="shared" si="176"/>
        <v>Windrow</v>
      </c>
      <c r="C3591" s="138" t="str">
        <f t="shared" ref="C3591:C3654" si="177">IF(E3591&lt;&gt;"", "Base_With Amendment","")</f>
        <v>Base_With Amendment</v>
      </c>
      <c r="D3591" s="118" t="s">
        <v>139</v>
      </c>
      <c r="E3591" s="118" t="s">
        <v>181</v>
      </c>
      <c r="F3591" s="118" t="s">
        <v>46</v>
      </c>
      <c r="G3591" s="153"/>
      <c r="H3591" s="155">
        <v>1E-3</v>
      </c>
      <c r="I3591" s="154" t="s">
        <v>59</v>
      </c>
      <c r="J3591" s="204">
        <v>1.6215700000000001E-5</v>
      </c>
      <c r="K3591" s="154" t="s">
        <v>13</v>
      </c>
      <c r="L3591" s="154" t="str">
        <f>IF(OpenLCAbasic!K3591="CTUh", "Fill in Manually",IF(OR(K3591="Unit", K3591=""), "", INDEX(LookUps!$E$5:$E$12, MATCH(OpenLCAbasic!K3591,LookUps!$D$5:$D$12,0))))</f>
        <v>Eutrophication Potential (EP) - kg N eq</v>
      </c>
      <c r="M3591" s="154" t="str">
        <f t="shared" ref="M3591:M3654" si="178">CONCATENATE(E3591,"_",D3591,"_",F3591,"_",L3591, "_",I3591,"_", C3591,"_", B3591)</f>
        <v>High_High_Base_Upgraded_Eutrophication Potential (EP) - kg N eq_Blend Tank; wastewater treatment unit; at updated plant - US_Base_With Amendment_Windrow</v>
      </c>
    </row>
    <row r="3592" spans="1:13" s="120" customFormat="1" x14ac:dyDescent="0.25">
      <c r="A3592" s="119"/>
      <c r="B3592" s="138" t="str">
        <f t="shared" si="176"/>
        <v>Windrow</v>
      </c>
      <c r="C3592" s="138" t="str">
        <f t="shared" si="177"/>
        <v>Base_With Amendment</v>
      </c>
      <c r="D3592" s="118" t="s">
        <v>139</v>
      </c>
      <c r="E3592" s="118" t="s">
        <v>181</v>
      </c>
      <c r="F3592" s="118" t="s">
        <v>46</v>
      </c>
      <c r="G3592" s="153"/>
      <c r="H3592" s="155">
        <v>5.0000000000000001E-4</v>
      </c>
      <c r="I3592" s="154" t="s">
        <v>168</v>
      </c>
      <c r="J3592" s="204">
        <v>7.7567199999999995E-6</v>
      </c>
      <c r="K3592" s="154" t="s">
        <v>13</v>
      </c>
      <c r="L3592" s="154" t="str">
        <f>IF(OpenLCAbasic!K3592="CTUh", "Fill in Manually",IF(OR(K3592="Unit", K3592=""), "", INDEX(LookUps!$E$5:$E$12, MATCH(OpenLCAbasic!K3592,LookUps!$D$5:$D$12,0))))</f>
        <v>Eutrophication Potential (EP) - kg N eq</v>
      </c>
      <c r="M3592" s="154" t="str">
        <f t="shared" si="178"/>
        <v>High_High_Base_Upgraded_Eutrophication Potential (EP) - kg N eq_ClearCove SCP; wastewater treatment unit; at updated plant - US_Base_With Amendment_Windrow</v>
      </c>
    </row>
    <row r="3593" spans="1:13" s="120" customFormat="1" x14ac:dyDescent="0.25">
      <c r="A3593" s="119"/>
      <c r="B3593" s="138" t="str">
        <f t="shared" si="176"/>
        <v>Windrow</v>
      </c>
      <c r="C3593" s="138" t="str">
        <f t="shared" si="177"/>
        <v>Base_With Amendment</v>
      </c>
      <c r="D3593" s="118" t="s">
        <v>139</v>
      </c>
      <c r="E3593" s="118" t="s">
        <v>181</v>
      </c>
      <c r="F3593" s="118" t="s">
        <v>46</v>
      </c>
      <c r="G3593" s="153"/>
      <c r="H3593" s="155">
        <v>-8.1299999999999997E-2</v>
      </c>
      <c r="I3593" s="154" t="s">
        <v>149</v>
      </c>
      <c r="J3593" s="204">
        <v>-1.3799999999999999E-3</v>
      </c>
      <c r="K3593" s="154" t="s">
        <v>13</v>
      </c>
      <c r="L3593" s="154" t="str">
        <f>IF(OpenLCAbasic!K3593="CTUh", "Fill in Manually",IF(OR(K3593="Unit", K3593=""), "", INDEX(LookUps!$E$5:$E$12, MATCH(OpenLCAbasic!K3593,LookUps!$D$5:$D$12,0))))</f>
        <v>Eutrophication Potential (EP) - kg N eq</v>
      </c>
      <c r="M3593" s="154" t="str">
        <f t="shared" si="178"/>
        <v>High_High_Base_Upgraded_Eutrophication Potential (EP) - kg N eq_Anaerobic Digestion; wastewater treatment unit; at updated plant - US_Base_With Amendment_Windrow</v>
      </c>
    </row>
    <row r="3594" spans="1:13" s="120" customFormat="1" x14ac:dyDescent="0.25">
      <c r="A3594" s="119"/>
      <c r="B3594" s="138" t="str">
        <f t="shared" si="176"/>
        <v>Windrow</v>
      </c>
      <c r="C3594" s="138" t="str">
        <f t="shared" si="177"/>
        <v>Base_With Amendment</v>
      </c>
      <c r="D3594" s="118" t="s">
        <v>139</v>
      </c>
      <c r="E3594" s="118" t="s">
        <v>181</v>
      </c>
      <c r="F3594" s="118" t="s">
        <v>46</v>
      </c>
      <c r="G3594" s="153" t="s">
        <v>51</v>
      </c>
      <c r="H3594" s="154"/>
      <c r="I3594" s="154" t="s">
        <v>47</v>
      </c>
      <c r="J3594" s="154" t="s">
        <v>52</v>
      </c>
      <c r="K3594" s="154" t="s">
        <v>27</v>
      </c>
      <c r="L3594" s="154" t="str">
        <f>IF(OpenLCAbasic!K3594="CTUh", "Fill in Manually",IF(OR(K3594="Unit", K3594=""), "", INDEX(LookUps!$E$5:$E$12, MATCH(OpenLCAbasic!K3594,LookUps!$D$5:$D$12,0))))</f>
        <v/>
      </c>
      <c r="M3594" s="154" t="str">
        <f t="shared" si="178"/>
        <v>High_High_Base_Upgraded__Process_Base_With Amendment_Windrow</v>
      </c>
    </row>
    <row r="3595" spans="1:13" s="120" customFormat="1" x14ac:dyDescent="0.25">
      <c r="A3595" s="119"/>
      <c r="B3595" s="138" t="str">
        <f t="shared" si="176"/>
        <v>Windrow</v>
      </c>
      <c r="C3595" s="138" t="str">
        <f t="shared" si="177"/>
        <v>Base_With Amendment</v>
      </c>
      <c r="D3595" s="118" t="s">
        <v>139</v>
      </c>
      <c r="E3595" s="118" t="s">
        <v>181</v>
      </c>
      <c r="F3595" s="118" t="s">
        <v>46</v>
      </c>
      <c r="G3595" s="153"/>
      <c r="H3595" s="155">
        <v>1.0459000000000001</v>
      </c>
      <c r="I3595" s="154" t="s">
        <v>271</v>
      </c>
      <c r="J3595" s="203">
        <v>2.0789999999999999E-2</v>
      </c>
      <c r="K3595" s="154" t="s">
        <v>24</v>
      </c>
      <c r="L3595" s="154" t="str">
        <f>IF(OpenLCAbasic!K3595="CTUh", "Fill in Manually",IF(OR(K3595="Unit", K3595=""), "", INDEX(LookUps!$E$5:$E$12, MATCH(OpenLCAbasic!K3595,LookUps!$D$5:$D$12,0))))</f>
        <v>Acidification Potential (AP) - kg SO2 eq</v>
      </c>
      <c r="M3595" s="154" t="str">
        <f t="shared" si="178"/>
        <v>High_High_Base_Upgraded_Acidification Potential (AP) - kg SO2 eq_Biosolids composting; windrow composting; wastewater treatment unit; at updated plant - US_Base_With Amendment_Windrow</v>
      </c>
    </row>
    <row r="3596" spans="1:13" s="120" customFormat="1" x14ac:dyDescent="0.25">
      <c r="A3596" s="119"/>
      <c r="B3596" s="138" t="str">
        <f t="shared" si="176"/>
        <v>Windrow</v>
      </c>
      <c r="C3596" s="138" t="str">
        <f t="shared" si="177"/>
        <v>Base_With Amendment</v>
      </c>
      <c r="D3596" s="118" t="s">
        <v>139</v>
      </c>
      <c r="E3596" s="118" t="s">
        <v>181</v>
      </c>
      <c r="F3596" s="118" t="s">
        <v>46</v>
      </c>
      <c r="G3596" s="153"/>
      <c r="H3596" s="155">
        <v>0.86619999999999997</v>
      </c>
      <c r="I3596" s="154" t="s">
        <v>55</v>
      </c>
      <c r="J3596" s="203">
        <v>1.7219999999999999E-2</v>
      </c>
      <c r="K3596" s="154" t="s">
        <v>24</v>
      </c>
      <c r="L3596" s="154" t="str">
        <f>IF(OpenLCAbasic!K3596="CTUh", "Fill in Manually",IF(OR(K3596="Unit", K3596=""), "", INDEX(LookUps!$E$5:$E$12, MATCH(OpenLCAbasic!K3596,LookUps!$D$5:$D$12,0))))</f>
        <v>Acidification Potential (AP) - kg SO2 eq</v>
      </c>
      <c r="M3596" s="154" t="str">
        <f t="shared" si="178"/>
        <v>High_High_Base_Upgraded_Acidification Potential (AP) - kg SO2 eq_Aeration Tanks; wastewater treatment unit; at updated plant - US_Base_With Amendment_Windrow</v>
      </c>
    </row>
    <row r="3597" spans="1:13" s="120" customFormat="1" x14ac:dyDescent="0.25">
      <c r="A3597" s="119"/>
      <c r="B3597" s="138" t="str">
        <f t="shared" si="176"/>
        <v>Windrow</v>
      </c>
      <c r="C3597" s="138" t="str">
        <f t="shared" si="177"/>
        <v>Base_With Amendment</v>
      </c>
      <c r="D3597" s="118" t="s">
        <v>139</v>
      </c>
      <c r="E3597" s="118" t="s">
        <v>181</v>
      </c>
      <c r="F3597" s="118" t="s">
        <v>46</v>
      </c>
      <c r="G3597" s="153"/>
      <c r="H3597" s="155">
        <v>0.2505</v>
      </c>
      <c r="I3597" s="154" t="s">
        <v>54</v>
      </c>
      <c r="J3597" s="204">
        <v>4.9800000000000001E-3</v>
      </c>
      <c r="K3597" s="154" t="s">
        <v>24</v>
      </c>
      <c r="L3597" s="154" t="str">
        <f>IF(OpenLCAbasic!K3597="CTUh", "Fill in Manually",IF(OR(K3597="Unit", K3597=""), "", INDEX(LookUps!$E$5:$E$12, MATCH(OpenLCAbasic!K3597,LookUps!$D$5:$D$12,0))))</f>
        <v>Acidification Potential (AP) - kg SO2 eq</v>
      </c>
      <c r="M3597" s="154" t="str">
        <f t="shared" si="178"/>
        <v>High_High_Base_Upgraded_Acidification Potential (AP) - kg SO2 eq_Clear Cove Primary Clarification; wastewater treatment unit; at updated plant - US_Base_With Amendment_Windrow</v>
      </c>
    </row>
    <row r="3598" spans="1:13" s="120" customFormat="1" x14ac:dyDescent="0.25">
      <c r="A3598" s="119"/>
      <c r="B3598" s="138" t="str">
        <f t="shared" si="176"/>
        <v>Windrow</v>
      </c>
      <c r="C3598" s="138" t="str">
        <f t="shared" si="177"/>
        <v>Base_With Amendment</v>
      </c>
      <c r="D3598" s="118" t="s">
        <v>139</v>
      </c>
      <c r="E3598" s="118" t="s">
        <v>181</v>
      </c>
      <c r="F3598" s="118" t="s">
        <v>46</v>
      </c>
      <c r="G3598" s="153"/>
      <c r="H3598" s="155">
        <v>0.224</v>
      </c>
      <c r="I3598" s="154" t="s">
        <v>62</v>
      </c>
      <c r="J3598" s="204">
        <v>4.45E-3</v>
      </c>
      <c r="K3598" s="154" t="s">
        <v>24</v>
      </c>
      <c r="L3598" s="154" t="str">
        <f>IF(OpenLCAbasic!K3598="CTUh", "Fill in Manually",IF(OR(K3598="Unit", K3598=""), "", INDEX(LookUps!$E$5:$E$12, MATCH(OpenLCAbasic!K3598,LookUps!$D$5:$D$12,0))))</f>
        <v>Acidification Potential (AP) - kg SO2 eq</v>
      </c>
      <c r="M3598" s="154" t="str">
        <f t="shared" si="178"/>
        <v>High_High_Base_Upgraded_Acidification Potential (AP) - kg SO2 eq_Land application of compost; wastewater treatment unit; at updated plant - US_Base_With Amendment_Windrow</v>
      </c>
    </row>
    <row r="3599" spans="1:13" s="120" customFormat="1" x14ac:dyDescent="0.25">
      <c r="A3599" s="119"/>
      <c r="B3599" s="138" t="str">
        <f t="shared" si="176"/>
        <v>Windrow</v>
      </c>
      <c r="C3599" s="138" t="str">
        <f t="shared" si="177"/>
        <v>Base_With Amendment</v>
      </c>
      <c r="D3599" s="118" t="s">
        <v>139</v>
      </c>
      <c r="E3599" s="118" t="s">
        <v>181</v>
      </c>
      <c r="F3599" s="118" t="s">
        <v>46</v>
      </c>
      <c r="G3599" s="153"/>
      <c r="H3599" s="155">
        <v>0.2195</v>
      </c>
      <c r="I3599" s="154" t="s">
        <v>58</v>
      </c>
      <c r="J3599" s="204">
        <v>4.3600000000000002E-3</v>
      </c>
      <c r="K3599" s="154" t="s">
        <v>24</v>
      </c>
      <c r="L3599" s="154" t="str">
        <f>IF(OpenLCAbasic!K3599="CTUh", "Fill in Manually",IF(OR(K3599="Unit", K3599=""), "", INDEX(LookUps!$E$5:$E$12, MATCH(OpenLCAbasic!K3599,LookUps!$D$5:$D$12,0))))</f>
        <v>Acidification Potential (AP) - kg SO2 eq</v>
      </c>
      <c r="M3599" s="154" t="str">
        <f t="shared" si="178"/>
        <v>High_High_Base_Upgraded_Acidification Potential (AP) - kg SO2 eq_Pre-Anoxic &amp; Swing tank; wastewater treatment unit; at updated plant - US_Base_With Amendment_Windrow</v>
      </c>
    </row>
    <row r="3600" spans="1:13" s="120" customFormat="1" x14ac:dyDescent="0.25">
      <c r="A3600" s="119"/>
      <c r="B3600" s="138" t="str">
        <f t="shared" si="176"/>
        <v>Windrow</v>
      </c>
      <c r="C3600" s="138" t="str">
        <f t="shared" si="177"/>
        <v>Base_With Amendment</v>
      </c>
      <c r="D3600" s="118" t="s">
        <v>139</v>
      </c>
      <c r="E3600" s="118" t="s">
        <v>181</v>
      </c>
      <c r="F3600" s="118" t="s">
        <v>46</v>
      </c>
      <c r="G3600" s="153"/>
      <c r="H3600" s="155">
        <v>0.1736</v>
      </c>
      <c r="I3600" s="154" t="s">
        <v>53</v>
      </c>
      <c r="J3600" s="204">
        <v>3.4499999999999999E-3</v>
      </c>
      <c r="K3600" s="154" t="s">
        <v>24</v>
      </c>
      <c r="L3600" s="154" t="str">
        <f>IF(OpenLCAbasic!K3600="CTUh", "Fill in Manually",IF(OR(K3600="Unit", K3600=""), "", INDEX(LookUps!$E$5:$E$12, MATCH(OpenLCAbasic!K3600,LookUps!$D$5:$D$12,0))))</f>
        <v>Acidification Potential (AP) - kg SO2 eq</v>
      </c>
      <c r="M3600" s="154" t="str">
        <f t="shared" si="178"/>
        <v>High_High_Base_Upgraded_Acidification Potential (AP) - kg SO2 eq_Wet Well and Sump Station; wastewater treatment unit; at updated plant - US_Base_With Amendment_Windrow</v>
      </c>
    </row>
    <row r="3601" spans="1:13" s="120" customFormat="1" x14ac:dyDescent="0.25">
      <c r="A3601" s="119"/>
      <c r="B3601" s="138" t="str">
        <f t="shared" si="176"/>
        <v>Windrow</v>
      </c>
      <c r="C3601" s="138" t="str">
        <f t="shared" si="177"/>
        <v>Base_With Amendment</v>
      </c>
      <c r="D3601" s="118" t="s">
        <v>139</v>
      </c>
      <c r="E3601" s="118" t="s">
        <v>181</v>
      </c>
      <c r="F3601" s="118" t="s">
        <v>46</v>
      </c>
      <c r="G3601" s="153"/>
      <c r="H3601" s="155">
        <v>0.13600000000000001</v>
      </c>
      <c r="I3601" s="154" t="s">
        <v>167</v>
      </c>
      <c r="J3601" s="204">
        <v>2.7000000000000001E-3</v>
      </c>
      <c r="K3601" s="154" t="s">
        <v>24</v>
      </c>
      <c r="L3601" s="154" t="str">
        <f>IF(OpenLCAbasic!K3601="CTUh", "Fill in Manually",IF(OR(K3601="Unit", K3601=""), "", INDEX(LookUps!$E$5:$E$12, MATCH(OpenLCAbasic!K3601,LookUps!$D$5:$D$12,0))))</f>
        <v>Acidification Potential (AP) - kg SO2 eq</v>
      </c>
      <c r="M3601" s="154" t="str">
        <f t="shared" si="178"/>
        <v>High_High_Base_Upgraded_Acidification Potential (AP) - kg SO2 eq_Waste Receiving and Holding; wastewater treatment unit; at updated plant - US_Base_With Amendment_Windrow</v>
      </c>
    </row>
    <row r="3602" spans="1:13" s="120" customFormat="1" x14ac:dyDescent="0.25">
      <c r="A3602" s="119"/>
      <c r="B3602" s="138" t="str">
        <f t="shared" si="176"/>
        <v>Windrow</v>
      </c>
      <c r="C3602" s="138" t="str">
        <f t="shared" si="177"/>
        <v>Base_With Amendment</v>
      </c>
      <c r="D3602" s="118" t="s">
        <v>139</v>
      </c>
      <c r="E3602" s="118" t="s">
        <v>181</v>
      </c>
      <c r="F3602" s="118" t="s">
        <v>46</v>
      </c>
      <c r="G3602" s="153"/>
      <c r="H3602" s="155">
        <v>0.1041</v>
      </c>
      <c r="I3602" s="154" t="s">
        <v>147</v>
      </c>
      <c r="J3602" s="204">
        <v>2.0699999999999998E-3</v>
      </c>
      <c r="K3602" s="154" t="s">
        <v>24</v>
      </c>
      <c r="L3602" s="154" t="str">
        <f>IF(OpenLCAbasic!K3602="CTUh", "Fill in Manually",IF(OR(K3602="Unit", K3602=""), "", INDEX(LookUps!$E$5:$E$12, MATCH(OpenLCAbasic!K3602,LookUps!$D$5:$D$12,0))))</f>
        <v>Acidification Potential (AP) - kg SO2 eq</v>
      </c>
      <c r="M3602" s="154" t="str">
        <f t="shared" si="178"/>
        <v>High_High_Base_Upgraded_Acidification Potential (AP) - kg SO2 eq_Influent Pump Station; wastewater treatment unit; at updated plant - US_Base_With Amendment_Windrow</v>
      </c>
    </row>
    <row r="3603" spans="1:13" s="120" customFormat="1" x14ac:dyDescent="0.25">
      <c r="A3603" s="119"/>
      <c r="B3603" s="138" t="str">
        <f t="shared" si="176"/>
        <v>Windrow</v>
      </c>
      <c r="C3603" s="138" t="str">
        <f t="shared" si="177"/>
        <v>Base_With Amendment</v>
      </c>
      <c r="D3603" s="118" t="s">
        <v>139</v>
      </c>
      <c r="E3603" s="118" t="s">
        <v>181</v>
      </c>
      <c r="F3603" s="118" t="s">
        <v>46</v>
      </c>
      <c r="G3603" s="153"/>
      <c r="H3603" s="155">
        <v>7.3300000000000004E-2</v>
      </c>
      <c r="I3603" s="154" t="s">
        <v>60</v>
      </c>
      <c r="J3603" s="204">
        <v>1.4599999999999999E-3</v>
      </c>
      <c r="K3603" s="154" t="s">
        <v>24</v>
      </c>
      <c r="L3603" s="154" t="str">
        <f>IF(OpenLCAbasic!K3603="CTUh", "Fill in Manually",IF(OR(K3603="Unit", K3603=""), "", INDEX(LookUps!$E$5:$E$12, MATCH(OpenLCAbasic!K3603,LookUps!$D$5:$D$12,0))))</f>
        <v>Acidification Potential (AP) - kg SO2 eq</v>
      </c>
      <c r="M3603" s="154" t="str">
        <f t="shared" si="178"/>
        <v>High_High_Base_Upgraded_Acidification Potential (AP) - kg SO2 eq_Belt filter press; wastewater treatment unit; at updated plant - US_Base_With Amendment_Windrow</v>
      </c>
    </row>
    <row r="3604" spans="1:13" s="120" customFormat="1" x14ac:dyDescent="0.25">
      <c r="A3604" s="119"/>
      <c r="B3604" s="138" t="str">
        <f t="shared" si="176"/>
        <v>Windrow</v>
      </c>
      <c r="C3604" s="138" t="str">
        <f t="shared" si="177"/>
        <v>Base_With Amendment</v>
      </c>
      <c r="D3604" s="118" t="s">
        <v>139</v>
      </c>
      <c r="E3604" s="118" t="s">
        <v>181</v>
      </c>
      <c r="F3604" s="118" t="s">
        <v>46</v>
      </c>
      <c r="G3604" s="153"/>
      <c r="H3604" s="155">
        <v>6.2E-2</v>
      </c>
      <c r="I3604" s="154" t="s">
        <v>128</v>
      </c>
      <c r="J3604" s="204">
        <v>1.23E-3</v>
      </c>
      <c r="K3604" s="154" t="s">
        <v>24</v>
      </c>
      <c r="L3604" s="154" t="str">
        <f>IF(OpenLCAbasic!K3604="CTUh", "Fill in Manually",IF(OR(K3604="Unit", K3604=""), "", INDEX(LookUps!$E$5:$E$12, MATCH(OpenLCAbasic!K3604,LookUps!$D$5:$D$12,0))))</f>
        <v>Acidification Potential (AP) - kg SO2 eq</v>
      </c>
      <c r="M3604" s="154" t="str">
        <f t="shared" si="178"/>
        <v>High_High_Base_Upgraded_Acidification Potential (AP) - kg SO2 eq_Wastewater collection; operation and infrastructure; m3 wastewater_Base_With Amendment_Windrow</v>
      </c>
    </row>
    <row r="3605" spans="1:13" s="120" customFormat="1" x14ac:dyDescent="0.25">
      <c r="A3605" s="119"/>
      <c r="B3605" s="138" t="str">
        <f t="shared" si="176"/>
        <v>Windrow</v>
      </c>
      <c r="C3605" s="138" t="str">
        <f t="shared" si="177"/>
        <v>Base_With Amendment</v>
      </c>
      <c r="D3605" s="118" t="s">
        <v>139</v>
      </c>
      <c r="E3605" s="118" t="s">
        <v>181</v>
      </c>
      <c r="F3605" s="118" t="s">
        <v>46</v>
      </c>
      <c r="G3605" s="153"/>
      <c r="H3605" s="155">
        <v>3.5400000000000001E-2</v>
      </c>
      <c r="I3605" s="154" t="s">
        <v>57</v>
      </c>
      <c r="J3605" s="204">
        <v>6.9999999999999999E-4</v>
      </c>
      <c r="K3605" s="154" t="s">
        <v>24</v>
      </c>
      <c r="L3605" s="154" t="str">
        <f>IF(OpenLCAbasic!K3605="CTUh", "Fill in Manually",IF(OR(K3605="Unit", K3605=""), "", INDEX(LookUps!$E$5:$E$12, MATCH(OpenLCAbasic!K3605,LookUps!$D$5:$D$12,0))))</f>
        <v>Acidification Potential (AP) - kg SO2 eq</v>
      </c>
      <c r="M3605" s="154" t="str">
        <f t="shared" si="178"/>
        <v>High_High_Base_Upgraded_Acidification Potential (AP) - kg SO2 eq_Gravity Belt Thickener; wastewater treatment unit; at updated plant - US_Base_With Amendment_Windrow</v>
      </c>
    </row>
    <row r="3606" spans="1:13" s="120" customFormat="1" x14ac:dyDescent="0.25">
      <c r="A3606" s="119"/>
      <c r="B3606" s="138" t="str">
        <f t="shared" si="176"/>
        <v>Windrow</v>
      </c>
      <c r="C3606" s="138" t="str">
        <f t="shared" si="177"/>
        <v>Base_With Amendment</v>
      </c>
      <c r="D3606" s="118" t="s">
        <v>139</v>
      </c>
      <c r="E3606" s="118" t="s">
        <v>181</v>
      </c>
      <c r="F3606" s="118" t="s">
        <v>46</v>
      </c>
      <c r="G3606" s="153"/>
      <c r="H3606" s="155">
        <v>2.5999999999999999E-2</v>
      </c>
      <c r="I3606" s="154" t="s">
        <v>59</v>
      </c>
      <c r="J3606" s="204">
        <v>5.1999999999999995E-4</v>
      </c>
      <c r="K3606" s="154" t="s">
        <v>24</v>
      </c>
      <c r="L3606" s="154" t="str">
        <f>IF(OpenLCAbasic!K3606="CTUh", "Fill in Manually",IF(OR(K3606="Unit", K3606=""), "", INDEX(LookUps!$E$5:$E$12, MATCH(OpenLCAbasic!K3606,LookUps!$D$5:$D$12,0))))</f>
        <v>Acidification Potential (AP) - kg SO2 eq</v>
      </c>
      <c r="M3606" s="154" t="str">
        <f t="shared" si="178"/>
        <v>High_High_Base_Upgraded_Acidification Potential (AP) - kg SO2 eq_Blend Tank; wastewater treatment unit; at updated plant - US_Base_With Amendment_Windrow</v>
      </c>
    </row>
    <row r="3607" spans="1:13" s="120" customFormat="1" x14ac:dyDescent="0.25">
      <c r="A3607" s="119"/>
      <c r="B3607" s="138" t="str">
        <f t="shared" si="176"/>
        <v>Windrow</v>
      </c>
      <c r="C3607" s="138" t="str">
        <f t="shared" si="177"/>
        <v>Base_With Amendment</v>
      </c>
      <c r="D3607" s="118" t="s">
        <v>139</v>
      </c>
      <c r="E3607" s="118" t="s">
        <v>181</v>
      </c>
      <c r="F3607" s="118" t="s">
        <v>46</v>
      </c>
      <c r="G3607" s="153"/>
      <c r="H3607" s="155">
        <v>1.7399999999999999E-2</v>
      </c>
      <c r="I3607" s="154" t="s">
        <v>48</v>
      </c>
      <c r="J3607" s="204">
        <v>3.5E-4</v>
      </c>
      <c r="K3607" s="154" t="s">
        <v>24</v>
      </c>
      <c r="L3607" s="154" t="str">
        <f>IF(OpenLCAbasic!K3607="CTUh", "Fill in Manually",IF(OR(K3607="Unit", K3607=""), "", INDEX(LookUps!$E$5:$E$12, MATCH(OpenLCAbasic!K3607,LookUps!$D$5:$D$12,0))))</f>
        <v>Acidification Potential (AP) - kg SO2 eq</v>
      </c>
      <c r="M3607" s="154" t="str">
        <f t="shared" si="178"/>
        <v>High_High_Base_Upgraded_Acidification Potential (AP) - kg SO2 eq_Effluent release; wastewater treatment unit; at surface water; m3 wastewater - US_Base_With Amendment_Windrow</v>
      </c>
    </row>
    <row r="3608" spans="1:13" s="120" customFormat="1" x14ac:dyDescent="0.25">
      <c r="A3608" s="119"/>
      <c r="B3608" s="138" t="str">
        <f t="shared" si="176"/>
        <v>Windrow</v>
      </c>
      <c r="C3608" s="138" t="str">
        <f t="shared" si="177"/>
        <v>Base_With Amendment</v>
      </c>
      <c r="D3608" s="118" t="s">
        <v>139</v>
      </c>
      <c r="E3608" s="118" t="s">
        <v>181</v>
      </c>
      <c r="F3608" s="118" t="s">
        <v>46</v>
      </c>
      <c r="G3608" s="153"/>
      <c r="H3608" s="155">
        <v>1.2800000000000001E-2</v>
      </c>
      <c r="I3608" s="154" t="s">
        <v>168</v>
      </c>
      <c r="J3608" s="204">
        <v>2.5999999999999998E-4</v>
      </c>
      <c r="K3608" s="154" t="s">
        <v>24</v>
      </c>
      <c r="L3608" s="154" t="str">
        <f>IF(OpenLCAbasic!K3608="CTUh", "Fill in Manually",IF(OR(K3608="Unit", K3608=""), "", INDEX(LookUps!$E$5:$E$12, MATCH(OpenLCAbasic!K3608,LookUps!$D$5:$D$12,0))))</f>
        <v>Acidification Potential (AP) - kg SO2 eq</v>
      </c>
      <c r="M3608" s="154" t="str">
        <f t="shared" si="178"/>
        <v>High_High_Base_Upgraded_Acidification Potential (AP) - kg SO2 eq_ClearCove SCP; wastewater treatment unit; at updated plant - US_Base_With Amendment_Windrow</v>
      </c>
    </row>
    <row r="3609" spans="1:13" s="120" customFormat="1" x14ac:dyDescent="0.25">
      <c r="A3609" s="119"/>
      <c r="B3609" s="138" t="str">
        <f t="shared" si="176"/>
        <v>Windrow</v>
      </c>
      <c r="C3609" s="138" t="str">
        <f t="shared" si="177"/>
        <v>Base_With Amendment</v>
      </c>
      <c r="D3609" s="118" t="s">
        <v>139</v>
      </c>
      <c r="E3609" s="118" t="s">
        <v>181</v>
      </c>
      <c r="F3609" s="118" t="s">
        <v>46</v>
      </c>
      <c r="G3609" s="153"/>
      <c r="H3609" s="155">
        <v>2E-3</v>
      </c>
      <c r="I3609" s="154" t="s">
        <v>148</v>
      </c>
      <c r="J3609" s="204">
        <v>4.0354700000000002E-5</v>
      </c>
      <c r="K3609" s="154" t="s">
        <v>24</v>
      </c>
      <c r="L3609" s="154" t="str">
        <f>IF(OpenLCAbasic!K3609="CTUh", "Fill in Manually",IF(OR(K3609="Unit", K3609=""), "", INDEX(LookUps!$E$5:$E$12, MATCH(OpenLCAbasic!K3609,LookUps!$D$5:$D$12,0))))</f>
        <v>Acidification Potential (AP) - kg SO2 eq</v>
      </c>
      <c r="M3609" s="154" t="str">
        <f t="shared" si="178"/>
        <v>High_High_Base_Upgraded_Acidification Potential (AP) - kg SO2 eq_Control Building; at upgraded wastewater treatment plant - US_Base_With Amendment_Windrow</v>
      </c>
    </row>
    <row r="3610" spans="1:13" s="120" customFormat="1" x14ac:dyDescent="0.25">
      <c r="A3610" s="119"/>
      <c r="B3610" s="138" t="str">
        <f t="shared" si="176"/>
        <v>Windrow</v>
      </c>
      <c r="C3610" s="138" t="str">
        <f t="shared" si="177"/>
        <v>Base_With Amendment</v>
      </c>
      <c r="D3610" s="118" t="s">
        <v>139</v>
      </c>
      <c r="E3610" s="118" t="s">
        <v>181</v>
      </c>
      <c r="F3610" s="118" t="s">
        <v>46</v>
      </c>
      <c r="G3610" s="153"/>
      <c r="H3610" s="155">
        <v>-2.2488000000000001</v>
      </c>
      <c r="I3610" s="154" t="s">
        <v>149</v>
      </c>
      <c r="J3610" s="203">
        <v>-4.4699999999999997E-2</v>
      </c>
      <c r="K3610" s="154" t="s">
        <v>24</v>
      </c>
      <c r="L3610" s="154" t="str">
        <f>IF(OpenLCAbasic!K3610="CTUh", "Fill in Manually",IF(OR(K3610="Unit", K3610=""), "", INDEX(LookUps!$E$5:$E$12, MATCH(OpenLCAbasic!K3610,LookUps!$D$5:$D$12,0))))</f>
        <v>Acidification Potential (AP) - kg SO2 eq</v>
      </c>
      <c r="M3610" s="154" t="str">
        <f t="shared" si="178"/>
        <v>High_High_Base_Upgraded_Acidification Potential (AP) - kg SO2 eq_Anaerobic Digestion; wastewater treatment unit; at updated plant - US_Base_With Amendment_Windrow</v>
      </c>
    </row>
    <row r="3611" spans="1:13" s="120" customFormat="1" x14ac:dyDescent="0.25">
      <c r="A3611" s="119"/>
      <c r="B3611" s="138" t="str">
        <f t="shared" si="176"/>
        <v>Windrow</v>
      </c>
      <c r="C3611" s="138" t="str">
        <f t="shared" si="177"/>
        <v>Base_With Amendment</v>
      </c>
      <c r="D3611" s="118" t="s">
        <v>139</v>
      </c>
      <c r="E3611" s="118" t="s">
        <v>181</v>
      </c>
      <c r="F3611" s="118" t="s">
        <v>46</v>
      </c>
      <c r="G3611" s="153" t="s">
        <v>51</v>
      </c>
      <c r="H3611" s="154"/>
      <c r="I3611" s="154" t="s">
        <v>47</v>
      </c>
      <c r="J3611" s="154" t="s">
        <v>52</v>
      </c>
      <c r="K3611" s="154" t="s">
        <v>27</v>
      </c>
      <c r="L3611" s="154" t="str">
        <f>IF(OpenLCAbasic!K3611="CTUh", "Fill in Manually",IF(OR(K3611="Unit", K3611=""), "", INDEX(LookUps!$E$5:$E$12, MATCH(OpenLCAbasic!K3611,LookUps!$D$5:$D$12,0))))</f>
        <v/>
      </c>
      <c r="M3611" s="154" t="str">
        <f t="shared" si="178"/>
        <v>High_High_Base_Upgraded__Process_Base_With Amendment_Windrow</v>
      </c>
    </row>
    <row r="3612" spans="1:13" s="120" customFormat="1" x14ac:dyDescent="0.25">
      <c r="A3612" s="119"/>
      <c r="B3612" s="138" t="str">
        <f t="shared" si="176"/>
        <v>Windrow</v>
      </c>
      <c r="C3612" s="138" t="str">
        <f t="shared" si="177"/>
        <v>Base_With Amendment</v>
      </c>
      <c r="D3612" s="118" t="s">
        <v>139</v>
      </c>
      <c r="E3612" s="118" t="s">
        <v>181</v>
      </c>
      <c r="F3612" s="118" t="s">
        <v>46</v>
      </c>
      <c r="G3612" s="153"/>
      <c r="H3612" s="155">
        <v>6.1841999999999997</v>
      </c>
      <c r="I3612" s="154" t="s">
        <v>167</v>
      </c>
      <c r="J3612" s="203">
        <v>0.11719</v>
      </c>
      <c r="K3612" s="154" t="s">
        <v>14</v>
      </c>
      <c r="L3612" s="154" t="str">
        <f>IF(OpenLCAbasic!K3612="CTUh", "Fill in Manually",IF(OR(K3612="Unit", K3612=""), "", INDEX(LookUps!$E$5:$E$12, MATCH(OpenLCAbasic!K3612,LookUps!$D$5:$D$12,0))))</f>
        <v>Fossil Depletion Potential (FDP) - kg oil eq</v>
      </c>
      <c r="M3612" s="154" t="str">
        <f t="shared" si="178"/>
        <v>High_High_Base_Upgraded_Fossil Depletion Potential (FDP) - kg oil eq_Waste Receiving and Holding; wastewater treatment unit; at updated plant - US_Base_With Amendment_Windrow</v>
      </c>
    </row>
    <row r="3613" spans="1:13" s="120" customFormat="1" x14ac:dyDescent="0.25">
      <c r="A3613" s="119"/>
      <c r="B3613" s="138" t="str">
        <f t="shared" si="176"/>
        <v>Windrow</v>
      </c>
      <c r="C3613" s="138" t="str">
        <f t="shared" si="177"/>
        <v>Base_With Amendment</v>
      </c>
      <c r="D3613" s="118" t="s">
        <v>139</v>
      </c>
      <c r="E3613" s="118" t="s">
        <v>181</v>
      </c>
      <c r="F3613" s="118" t="s">
        <v>46</v>
      </c>
      <c r="G3613" s="153"/>
      <c r="H3613" s="155">
        <v>3.3557000000000001</v>
      </c>
      <c r="I3613" s="154" t="s">
        <v>55</v>
      </c>
      <c r="J3613" s="203">
        <v>6.3589999999999994E-2</v>
      </c>
      <c r="K3613" s="154" t="s">
        <v>14</v>
      </c>
      <c r="L3613" s="154" t="str">
        <f>IF(OpenLCAbasic!K3613="CTUh", "Fill in Manually",IF(OR(K3613="Unit", K3613=""), "", INDEX(LookUps!$E$5:$E$12, MATCH(OpenLCAbasic!K3613,LookUps!$D$5:$D$12,0))))</f>
        <v>Fossil Depletion Potential (FDP) - kg oil eq</v>
      </c>
      <c r="M3613" s="154" t="str">
        <f t="shared" si="178"/>
        <v>High_High_Base_Upgraded_Fossil Depletion Potential (FDP) - kg oil eq_Aeration Tanks; wastewater treatment unit; at updated plant - US_Base_With Amendment_Windrow</v>
      </c>
    </row>
    <row r="3614" spans="1:13" s="120" customFormat="1" x14ac:dyDescent="0.25">
      <c r="A3614" s="119"/>
      <c r="B3614" s="138" t="str">
        <f t="shared" si="176"/>
        <v>Windrow</v>
      </c>
      <c r="C3614" s="138" t="str">
        <f t="shared" si="177"/>
        <v>Base_With Amendment</v>
      </c>
      <c r="D3614" s="118" t="s">
        <v>139</v>
      </c>
      <c r="E3614" s="118" t="s">
        <v>181</v>
      </c>
      <c r="F3614" s="118" t="s">
        <v>46</v>
      </c>
      <c r="G3614" s="153"/>
      <c r="H3614" s="155">
        <v>1.1108</v>
      </c>
      <c r="I3614" s="154" t="s">
        <v>54</v>
      </c>
      <c r="J3614" s="203">
        <v>2.1049999999999999E-2</v>
      </c>
      <c r="K3614" s="154" t="s">
        <v>14</v>
      </c>
      <c r="L3614" s="154" t="str">
        <f>IF(OpenLCAbasic!K3614="CTUh", "Fill in Manually",IF(OR(K3614="Unit", K3614=""), "", INDEX(LookUps!$E$5:$E$12, MATCH(OpenLCAbasic!K3614,LookUps!$D$5:$D$12,0))))</f>
        <v>Fossil Depletion Potential (FDP) - kg oil eq</v>
      </c>
      <c r="M3614" s="154" t="str">
        <f t="shared" si="178"/>
        <v>High_High_Base_Upgraded_Fossil Depletion Potential (FDP) - kg oil eq_Clear Cove Primary Clarification; wastewater treatment unit; at updated plant - US_Base_With Amendment_Windrow</v>
      </c>
    </row>
    <row r="3615" spans="1:13" s="120" customFormat="1" x14ac:dyDescent="0.25">
      <c r="A3615" s="119"/>
      <c r="B3615" s="138" t="str">
        <f t="shared" si="176"/>
        <v>Windrow</v>
      </c>
      <c r="C3615" s="138" t="str">
        <f t="shared" si="177"/>
        <v>Base_With Amendment</v>
      </c>
      <c r="D3615" s="118" t="s">
        <v>139</v>
      </c>
      <c r="E3615" s="118" t="s">
        <v>181</v>
      </c>
      <c r="F3615" s="118" t="s">
        <v>46</v>
      </c>
      <c r="G3615" s="153"/>
      <c r="H3615" s="155">
        <v>0.84650000000000003</v>
      </c>
      <c r="I3615" s="154" t="s">
        <v>58</v>
      </c>
      <c r="J3615" s="203">
        <v>1.6039999999999999E-2</v>
      </c>
      <c r="K3615" s="154" t="s">
        <v>14</v>
      </c>
      <c r="L3615" s="154" t="str">
        <f>IF(OpenLCAbasic!K3615="CTUh", "Fill in Manually",IF(OR(K3615="Unit", K3615=""), "", INDEX(LookUps!$E$5:$E$12, MATCH(OpenLCAbasic!K3615,LookUps!$D$5:$D$12,0))))</f>
        <v>Fossil Depletion Potential (FDP) - kg oil eq</v>
      </c>
      <c r="M3615" s="154" t="str">
        <f t="shared" si="178"/>
        <v>High_High_Base_Upgraded_Fossil Depletion Potential (FDP) - kg oil eq_Pre-Anoxic &amp; Swing tank; wastewater treatment unit; at updated plant - US_Base_With Amendment_Windrow</v>
      </c>
    </row>
    <row r="3616" spans="1:13" s="120" customFormat="1" x14ac:dyDescent="0.25">
      <c r="A3616" s="119"/>
      <c r="B3616" s="138" t="str">
        <f t="shared" si="176"/>
        <v>Windrow</v>
      </c>
      <c r="C3616" s="138" t="str">
        <f t="shared" si="177"/>
        <v>Base_With Amendment</v>
      </c>
      <c r="D3616" s="118" t="s">
        <v>139</v>
      </c>
      <c r="E3616" s="118" t="s">
        <v>181</v>
      </c>
      <c r="F3616" s="118" t="s">
        <v>46</v>
      </c>
      <c r="G3616" s="153"/>
      <c r="H3616" s="155">
        <v>0.79620000000000002</v>
      </c>
      <c r="I3616" s="154" t="s">
        <v>147</v>
      </c>
      <c r="J3616" s="203">
        <v>1.5089999999999999E-2</v>
      </c>
      <c r="K3616" s="154" t="s">
        <v>14</v>
      </c>
      <c r="L3616" s="154" t="str">
        <f>IF(OpenLCAbasic!K3616="CTUh", "Fill in Manually",IF(OR(K3616="Unit", K3616=""), "", INDEX(LookUps!$E$5:$E$12, MATCH(OpenLCAbasic!K3616,LookUps!$D$5:$D$12,0))))</f>
        <v>Fossil Depletion Potential (FDP) - kg oil eq</v>
      </c>
      <c r="M3616" s="154" t="str">
        <f t="shared" si="178"/>
        <v>High_High_Base_Upgraded_Fossil Depletion Potential (FDP) - kg oil eq_Influent Pump Station; wastewater treatment unit; at updated plant - US_Base_With Amendment_Windrow</v>
      </c>
    </row>
    <row r="3617" spans="1:13" s="120" customFormat="1" x14ac:dyDescent="0.25">
      <c r="A3617" s="119"/>
      <c r="B3617" s="138" t="str">
        <f t="shared" si="176"/>
        <v>Windrow</v>
      </c>
      <c r="C3617" s="138" t="str">
        <f t="shared" si="177"/>
        <v>Base_With Amendment</v>
      </c>
      <c r="D3617" s="118" t="s">
        <v>139</v>
      </c>
      <c r="E3617" s="118" t="s">
        <v>181</v>
      </c>
      <c r="F3617" s="118" t="s">
        <v>46</v>
      </c>
      <c r="G3617" s="153"/>
      <c r="H3617" s="155">
        <v>0.65900000000000003</v>
      </c>
      <c r="I3617" s="154" t="s">
        <v>53</v>
      </c>
      <c r="J3617" s="203">
        <v>1.2489999999999999E-2</v>
      </c>
      <c r="K3617" s="154" t="s">
        <v>14</v>
      </c>
      <c r="L3617" s="154" t="str">
        <f>IF(OpenLCAbasic!K3617="CTUh", "Fill in Manually",IF(OR(K3617="Unit", K3617=""), "", INDEX(LookUps!$E$5:$E$12, MATCH(OpenLCAbasic!K3617,LookUps!$D$5:$D$12,0))))</f>
        <v>Fossil Depletion Potential (FDP) - kg oil eq</v>
      </c>
      <c r="M3617" s="154" t="str">
        <f t="shared" si="178"/>
        <v>High_High_Base_Upgraded_Fossil Depletion Potential (FDP) - kg oil eq_Wet Well and Sump Station; wastewater treatment unit; at updated plant - US_Base_With Amendment_Windrow</v>
      </c>
    </row>
    <row r="3618" spans="1:13" s="120" customFormat="1" x14ac:dyDescent="0.25">
      <c r="A3618" s="119"/>
      <c r="B3618" s="138" t="str">
        <f t="shared" si="176"/>
        <v>Windrow</v>
      </c>
      <c r="C3618" s="138" t="str">
        <f t="shared" si="177"/>
        <v>Base_With Amendment</v>
      </c>
      <c r="D3618" s="118" t="s">
        <v>139</v>
      </c>
      <c r="E3618" s="118" t="s">
        <v>181</v>
      </c>
      <c r="F3618" s="118" t="s">
        <v>46</v>
      </c>
      <c r="G3618" s="153"/>
      <c r="H3618" s="155">
        <v>0.57909999999999995</v>
      </c>
      <c r="I3618" s="154" t="s">
        <v>60</v>
      </c>
      <c r="J3618" s="204">
        <v>1.0970000000000001E-2</v>
      </c>
      <c r="K3618" s="154" t="s">
        <v>14</v>
      </c>
      <c r="L3618" s="154" t="str">
        <f>IF(OpenLCAbasic!K3618="CTUh", "Fill in Manually",IF(OR(K3618="Unit", K3618=""), "", INDEX(LookUps!$E$5:$E$12, MATCH(OpenLCAbasic!K3618,LookUps!$D$5:$D$12,0))))</f>
        <v>Fossil Depletion Potential (FDP) - kg oil eq</v>
      </c>
      <c r="M3618" s="154" t="str">
        <f t="shared" si="178"/>
        <v>High_High_Base_Upgraded_Fossil Depletion Potential (FDP) - kg oil eq_Belt filter press; wastewater treatment unit; at updated plant - US_Base_With Amendment_Windrow</v>
      </c>
    </row>
    <row r="3619" spans="1:13" s="120" customFormat="1" x14ac:dyDescent="0.25">
      <c r="A3619" s="119"/>
      <c r="B3619" s="138" t="str">
        <f t="shared" si="176"/>
        <v>Windrow</v>
      </c>
      <c r="C3619" s="138" t="str">
        <f t="shared" si="177"/>
        <v>Base_With Amendment</v>
      </c>
      <c r="D3619" s="118" t="s">
        <v>139</v>
      </c>
      <c r="E3619" s="118" t="s">
        <v>181</v>
      </c>
      <c r="F3619" s="118" t="s">
        <v>46</v>
      </c>
      <c r="G3619" s="153"/>
      <c r="H3619" s="155">
        <v>0.36499999999999999</v>
      </c>
      <c r="I3619" s="154" t="s">
        <v>57</v>
      </c>
      <c r="J3619" s="204">
        <v>6.9199999999999999E-3</v>
      </c>
      <c r="K3619" s="154" t="s">
        <v>14</v>
      </c>
      <c r="L3619" s="154" t="str">
        <f>IF(OpenLCAbasic!K3619="CTUh", "Fill in Manually",IF(OR(K3619="Unit", K3619=""), "", INDEX(LookUps!$E$5:$E$12, MATCH(OpenLCAbasic!K3619,LookUps!$D$5:$D$12,0))))</f>
        <v>Fossil Depletion Potential (FDP) - kg oil eq</v>
      </c>
      <c r="M3619" s="154" t="str">
        <f t="shared" si="178"/>
        <v>High_High_Base_Upgraded_Fossil Depletion Potential (FDP) - kg oil eq_Gravity Belt Thickener; wastewater treatment unit; at updated plant - US_Base_With Amendment_Windrow</v>
      </c>
    </row>
    <row r="3620" spans="1:13" s="120" customFormat="1" x14ac:dyDescent="0.25">
      <c r="A3620" s="119"/>
      <c r="B3620" s="138" t="str">
        <f t="shared" si="176"/>
        <v>Windrow</v>
      </c>
      <c r="C3620" s="138" t="str">
        <f t="shared" si="177"/>
        <v>Base_With Amendment</v>
      </c>
      <c r="D3620" s="118" t="s">
        <v>139</v>
      </c>
      <c r="E3620" s="118" t="s">
        <v>181</v>
      </c>
      <c r="F3620" s="118" t="s">
        <v>46</v>
      </c>
      <c r="G3620" s="153"/>
      <c r="H3620" s="155">
        <v>0.2374</v>
      </c>
      <c r="I3620" s="154" t="s">
        <v>128</v>
      </c>
      <c r="J3620" s="204">
        <v>4.4999999999999997E-3</v>
      </c>
      <c r="K3620" s="154" t="s">
        <v>14</v>
      </c>
      <c r="L3620" s="154" t="str">
        <f>IF(OpenLCAbasic!K3620="CTUh", "Fill in Manually",IF(OR(K3620="Unit", K3620=""), "", INDEX(LookUps!$E$5:$E$12, MATCH(OpenLCAbasic!K3620,LookUps!$D$5:$D$12,0))))</f>
        <v>Fossil Depletion Potential (FDP) - kg oil eq</v>
      </c>
      <c r="M3620" s="154" t="str">
        <f t="shared" si="178"/>
        <v>High_High_Base_Upgraded_Fossil Depletion Potential (FDP) - kg oil eq_Wastewater collection; operation and infrastructure; m3 wastewater_Base_With Amendment_Windrow</v>
      </c>
    </row>
    <row r="3621" spans="1:13" s="120" customFormat="1" x14ac:dyDescent="0.25">
      <c r="A3621" s="119"/>
      <c r="B3621" s="138" t="str">
        <f t="shared" si="176"/>
        <v>Windrow</v>
      </c>
      <c r="C3621" s="138" t="str">
        <f t="shared" si="177"/>
        <v>Base_With Amendment</v>
      </c>
      <c r="D3621" s="118" t="s">
        <v>139</v>
      </c>
      <c r="E3621" s="118" t="s">
        <v>181</v>
      </c>
      <c r="F3621" s="118" t="s">
        <v>46</v>
      </c>
      <c r="G3621" s="153"/>
      <c r="H3621" s="155">
        <v>0.14760000000000001</v>
      </c>
      <c r="I3621" s="154" t="s">
        <v>148</v>
      </c>
      <c r="J3621" s="204">
        <v>2.8E-3</v>
      </c>
      <c r="K3621" s="154" t="s">
        <v>14</v>
      </c>
      <c r="L3621" s="154" t="str">
        <f>IF(OpenLCAbasic!K3621="CTUh", "Fill in Manually",IF(OR(K3621="Unit", K3621=""), "", INDEX(LookUps!$E$5:$E$12, MATCH(OpenLCAbasic!K3621,LookUps!$D$5:$D$12,0))))</f>
        <v>Fossil Depletion Potential (FDP) - kg oil eq</v>
      </c>
      <c r="M3621" s="154" t="str">
        <f t="shared" si="178"/>
        <v>High_High_Base_Upgraded_Fossil Depletion Potential (FDP) - kg oil eq_Control Building; at upgraded wastewater treatment plant - US_Base_With Amendment_Windrow</v>
      </c>
    </row>
    <row r="3622" spans="1:13" s="120" customFormat="1" x14ac:dyDescent="0.25">
      <c r="A3622" s="119"/>
      <c r="B3622" s="138" t="str">
        <f t="shared" si="176"/>
        <v>Windrow</v>
      </c>
      <c r="C3622" s="138" t="str">
        <f t="shared" si="177"/>
        <v>Base_With Amendment</v>
      </c>
      <c r="D3622" s="118" t="s">
        <v>139</v>
      </c>
      <c r="E3622" s="118" t="s">
        <v>181</v>
      </c>
      <c r="F3622" s="118" t="s">
        <v>46</v>
      </c>
      <c r="G3622" s="153"/>
      <c r="H3622" s="155">
        <v>0.12470000000000001</v>
      </c>
      <c r="I3622" s="154" t="s">
        <v>48</v>
      </c>
      <c r="J3622" s="204">
        <v>2.3600000000000001E-3</v>
      </c>
      <c r="K3622" s="154" t="s">
        <v>14</v>
      </c>
      <c r="L3622" s="154" t="str">
        <f>IF(OpenLCAbasic!K3622="CTUh", "Fill in Manually",IF(OR(K3622="Unit", K3622=""), "", INDEX(LookUps!$E$5:$E$12, MATCH(OpenLCAbasic!K3622,LookUps!$D$5:$D$12,0))))</f>
        <v>Fossil Depletion Potential (FDP) - kg oil eq</v>
      </c>
      <c r="M3622" s="154" t="str">
        <f t="shared" si="178"/>
        <v>High_High_Base_Upgraded_Fossil Depletion Potential (FDP) - kg oil eq_Effluent release; wastewater treatment unit; at surface water; m3 wastewater - US_Base_With Amendment_Windrow</v>
      </c>
    </row>
    <row r="3623" spans="1:13" s="120" customFormat="1" x14ac:dyDescent="0.25">
      <c r="A3623" s="119"/>
      <c r="B3623" s="138" t="str">
        <f t="shared" si="176"/>
        <v>Windrow</v>
      </c>
      <c r="C3623" s="138" t="str">
        <f t="shared" si="177"/>
        <v>Base_With Amendment</v>
      </c>
      <c r="D3623" s="118" t="s">
        <v>139</v>
      </c>
      <c r="E3623" s="118" t="s">
        <v>181</v>
      </c>
      <c r="F3623" s="118" t="s">
        <v>46</v>
      </c>
      <c r="G3623" s="153"/>
      <c r="H3623" s="155">
        <v>0.1013</v>
      </c>
      <c r="I3623" s="154" t="s">
        <v>59</v>
      </c>
      <c r="J3623" s="204">
        <v>1.92E-3</v>
      </c>
      <c r="K3623" s="154" t="s">
        <v>14</v>
      </c>
      <c r="L3623" s="154" t="str">
        <f>IF(OpenLCAbasic!K3623="CTUh", "Fill in Manually",IF(OR(K3623="Unit", K3623=""), "", INDEX(LookUps!$E$5:$E$12, MATCH(OpenLCAbasic!K3623,LookUps!$D$5:$D$12,0))))</f>
        <v>Fossil Depletion Potential (FDP) - kg oil eq</v>
      </c>
      <c r="M3623" s="154" t="str">
        <f t="shared" si="178"/>
        <v>High_High_Base_Upgraded_Fossil Depletion Potential (FDP) - kg oil eq_Blend Tank; wastewater treatment unit; at updated plant - US_Base_With Amendment_Windrow</v>
      </c>
    </row>
    <row r="3624" spans="1:13" s="120" customFormat="1" x14ac:dyDescent="0.25">
      <c r="A3624" s="119"/>
      <c r="B3624" s="138" t="str">
        <f t="shared" si="176"/>
        <v>Windrow</v>
      </c>
      <c r="C3624" s="138" t="str">
        <f t="shared" si="177"/>
        <v>Base_With Amendment</v>
      </c>
      <c r="D3624" s="118" t="s">
        <v>139</v>
      </c>
      <c r="E3624" s="118" t="s">
        <v>181</v>
      </c>
      <c r="F3624" s="118" t="s">
        <v>46</v>
      </c>
      <c r="G3624" s="153"/>
      <c r="H3624" s="155">
        <v>4.8300000000000003E-2</v>
      </c>
      <c r="I3624" s="154" t="s">
        <v>168</v>
      </c>
      <c r="J3624" s="204">
        <v>9.1E-4</v>
      </c>
      <c r="K3624" s="154" t="s">
        <v>14</v>
      </c>
      <c r="L3624" s="154" t="str">
        <f>IF(OpenLCAbasic!K3624="CTUh", "Fill in Manually",IF(OR(K3624="Unit", K3624=""), "", INDEX(LookUps!$E$5:$E$12, MATCH(OpenLCAbasic!K3624,LookUps!$D$5:$D$12,0))))</f>
        <v>Fossil Depletion Potential (FDP) - kg oil eq</v>
      </c>
      <c r="M3624" s="154" t="str">
        <f t="shared" si="178"/>
        <v>High_High_Base_Upgraded_Fossil Depletion Potential (FDP) - kg oil eq_ClearCove SCP; wastewater treatment unit; at updated plant - US_Base_With Amendment_Windrow</v>
      </c>
    </row>
    <row r="3625" spans="1:13" s="120" customFormat="1" x14ac:dyDescent="0.25">
      <c r="A3625" s="119"/>
      <c r="B3625" s="138" t="str">
        <f t="shared" si="176"/>
        <v>Windrow</v>
      </c>
      <c r="C3625" s="138" t="str">
        <f t="shared" si="177"/>
        <v>Base_With Amendment</v>
      </c>
      <c r="D3625" s="118" t="s">
        <v>139</v>
      </c>
      <c r="E3625" s="118" t="s">
        <v>181</v>
      </c>
      <c r="F3625" s="118" t="s">
        <v>46</v>
      </c>
      <c r="G3625" s="153"/>
      <c r="H3625" s="155">
        <v>4.36E-2</v>
      </c>
      <c r="I3625" s="154" t="s">
        <v>271</v>
      </c>
      <c r="J3625" s="204">
        <v>8.3000000000000001E-4</v>
      </c>
      <c r="K3625" s="154" t="s">
        <v>14</v>
      </c>
      <c r="L3625" s="154" t="str">
        <f>IF(OpenLCAbasic!K3625="CTUh", "Fill in Manually",IF(OR(K3625="Unit", K3625=""), "", INDEX(LookUps!$E$5:$E$12, MATCH(OpenLCAbasic!K3625,LookUps!$D$5:$D$12,0))))</f>
        <v>Fossil Depletion Potential (FDP) - kg oil eq</v>
      </c>
      <c r="M3625" s="154" t="str">
        <f t="shared" si="178"/>
        <v>High_High_Base_Upgraded_Fossil Depletion Potential (FDP) - kg oil eq_Biosolids composting; windrow composting; wastewater treatment unit; at updated plant - US_Base_With Amendment_Windrow</v>
      </c>
    </row>
    <row r="3626" spans="1:13" s="120" customFormat="1" x14ac:dyDescent="0.25">
      <c r="A3626" s="119"/>
      <c r="B3626" s="138" t="str">
        <f t="shared" si="176"/>
        <v>Windrow</v>
      </c>
      <c r="C3626" s="138" t="str">
        <f t="shared" si="177"/>
        <v>Base_With Amendment</v>
      </c>
      <c r="D3626" s="118" t="s">
        <v>139</v>
      </c>
      <c r="E3626" s="118" t="s">
        <v>181</v>
      </c>
      <c r="F3626" s="118" t="s">
        <v>46</v>
      </c>
      <c r="G3626" s="153"/>
      <c r="H3626" s="155">
        <v>-0.55730000000000002</v>
      </c>
      <c r="I3626" s="154" t="s">
        <v>62</v>
      </c>
      <c r="J3626" s="203">
        <v>-1.056E-2</v>
      </c>
      <c r="K3626" s="154" t="s">
        <v>14</v>
      </c>
      <c r="L3626" s="154" t="str">
        <f>IF(OpenLCAbasic!K3626="CTUh", "Fill in Manually",IF(OR(K3626="Unit", K3626=""), "", INDEX(LookUps!$E$5:$E$12, MATCH(OpenLCAbasic!K3626,LookUps!$D$5:$D$12,0))))</f>
        <v>Fossil Depletion Potential (FDP) - kg oil eq</v>
      </c>
      <c r="M3626" s="154" t="str">
        <f t="shared" si="178"/>
        <v>High_High_Base_Upgraded_Fossil Depletion Potential (FDP) - kg oil eq_Land application of compost; wastewater treatment unit; at updated plant - US_Base_With Amendment_Windrow</v>
      </c>
    </row>
    <row r="3627" spans="1:13" s="120" customFormat="1" x14ac:dyDescent="0.25">
      <c r="A3627" s="119"/>
      <c r="B3627" s="138" t="str">
        <f t="shared" si="176"/>
        <v>Windrow</v>
      </c>
      <c r="C3627" s="138" t="str">
        <f t="shared" si="177"/>
        <v>Base_With Amendment</v>
      </c>
      <c r="D3627" s="118" t="s">
        <v>139</v>
      </c>
      <c r="E3627" s="118" t="s">
        <v>181</v>
      </c>
      <c r="F3627" s="118" t="s">
        <v>46</v>
      </c>
      <c r="G3627" s="153"/>
      <c r="H3627" s="155">
        <v>-15.0421</v>
      </c>
      <c r="I3627" s="154" t="s">
        <v>149</v>
      </c>
      <c r="J3627" s="203">
        <v>-0.28505000000000003</v>
      </c>
      <c r="K3627" s="154" t="s">
        <v>14</v>
      </c>
      <c r="L3627" s="154" t="str">
        <f>IF(OpenLCAbasic!K3627="CTUh", "Fill in Manually",IF(OR(K3627="Unit", K3627=""), "", INDEX(LookUps!$E$5:$E$12, MATCH(OpenLCAbasic!K3627,LookUps!$D$5:$D$12,0))))</f>
        <v>Fossil Depletion Potential (FDP) - kg oil eq</v>
      </c>
      <c r="M3627" s="154" t="str">
        <f t="shared" si="178"/>
        <v>High_High_Base_Upgraded_Fossil Depletion Potential (FDP) - kg oil eq_Anaerobic Digestion; wastewater treatment unit; at updated plant - US_Base_With Amendment_Windrow</v>
      </c>
    </row>
    <row r="3628" spans="1:13" s="120" customFormat="1" x14ac:dyDescent="0.25">
      <c r="A3628" s="119"/>
      <c r="B3628" s="138" t="str">
        <f t="shared" si="176"/>
        <v>Windrow</v>
      </c>
      <c r="C3628" s="138" t="str">
        <f t="shared" si="177"/>
        <v>Base_With Amendment</v>
      </c>
      <c r="D3628" s="118" t="s">
        <v>139</v>
      </c>
      <c r="E3628" s="118" t="s">
        <v>181</v>
      </c>
      <c r="F3628" s="118" t="s">
        <v>46</v>
      </c>
      <c r="G3628" s="153" t="s">
        <v>51</v>
      </c>
      <c r="H3628" s="154"/>
      <c r="I3628" s="154" t="s">
        <v>47</v>
      </c>
      <c r="J3628" s="154" t="s">
        <v>52</v>
      </c>
      <c r="K3628" s="154" t="s">
        <v>27</v>
      </c>
      <c r="L3628" s="154" t="str">
        <f>IF(OpenLCAbasic!K3628="CTUh", "Fill in Manually",IF(OR(K3628="Unit", K3628=""), "", INDEX(LookUps!$E$5:$E$12, MATCH(OpenLCAbasic!K3628,LookUps!$D$5:$D$12,0))))</f>
        <v/>
      </c>
      <c r="M3628" s="154" t="str">
        <f t="shared" si="178"/>
        <v>High_High_Base_Upgraded__Process_Base_With Amendment_Windrow</v>
      </c>
    </row>
    <row r="3629" spans="1:13" s="120" customFormat="1" x14ac:dyDescent="0.25">
      <c r="A3629" s="119"/>
      <c r="B3629" s="138" t="str">
        <f t="shared" si="176"/>
        <v>Windrow</v>
      </c>
      <c r="C3629" s="138" t="str">
        <f t="shared" si="177"/>
        <v>Base_With Amendment</v>
      </c>
      <c r="D3629" s="118" t="s">
        <v>139</v>
      </c>
      <c r="E3629" s="118" t="s">
        <v>181</v>
      </c>
      <c r="F3629" s="118" t="s">
        <v>46</v>
      </c>
      <c r="G3629" s="153"/>
      <c r="H3629" s="155">
        <v>30.301600000000001</v>
      </c>
      <c r="I3629" s="154" t="s">
        <v>55</v>
      </c>
      <c r="J3629" s="204">
        <v>2.33E-3</v>
      </c>
      <c r="K3629" s="154" t="s">
        <v>145</v>
      </c>
      <c r="L3629" s="154" t="str">
        <f>IF(OpenLCAbasic!K3629="CTUh", "Fill in Manually",IF(OR(K3629="Unit", K3629=""), "", INDEX(LookUps!$E$5:$E$12, MATCH(OpenLCAbasic!K3629,LookUps!$D$5:$D$12,0))))</f>
        <v>Particulate Matter Formation Potential (PMFP) - kg PM2.5 eq</v>
      </c>
      <c r="M3629" s="154" t="str">
        <f t="shared" si="178"/>
        <v>High_High_Base_Upgraded_Particulate Matter Formation Potential (PMFP) - kg PM2.5 eq_Aeration Tanks; wastewater treatment unit; at updated plant - US_Base_With Amendment_Windrow</v>
      </c>
    </row>
    <row r="3630" spans="1:13" s="120" customFormat="1" x14ac:dyDescent="0.25">
      <c r="A3630" s="119"/>
      <c r="B3630" s="138" t="str">
        <f t="shared" si="176"/>
        <v>Windrow</v>
      </c>
      <c r="C3630" s="138" t="str">
        <f t="shared" si="177"/>
        <v>Base_With Amendment</v>
      </c>
      <c r="D3630" s="118" t="s">
        <v>139</v>
      </c>
      <c r="E3630" s="118" t="s">
        <v>181</v>
      </c>
      <c r="F3630" s="118" t="s">
        <v>46</v>
      </c>
      <c r="G3630" s="153"/>
      <c r="H3630" s="155">
        <v>9.6305999999999994</v>
      </c>
      <c r="I3630" s="154" t="s">
        <v>271</v>
      </c>
      <c r="J3630" s="204">
        <v>7.3999999999999999E-4</v>
      </c>
      <c r="K3630" s="154" t="s">
        <v>145</v>
      </c>
      <c r="L3630" s="154" t="str">
        <f>IF(OpenLCAbasic!K3630="CTUh", "Fill in Manually",IF(OR(K3630="Unit", K3630=""), "", INDEX(LookUps!$E$5:$E$12, MATCH(OpenLCAbasic!K3630,LookUps!$D$5:$D$12,0))))</f>
        <v>Particulate Matter Formation Potential (PMFP) - kg PM2.5 eq</v>
      </c>
      <c r="M3630" s="154" t="str">
        <f t="shared" si="178"/>
        <v>High_High_Base_Upgraded_Particulate Matter Formation Potential (PMFP) - kg PM2.5 eq_Biosolids composting; windrow composting; wastewater treatment unit; at updated plant - US_Base_With Amendment_Windrow</v>
      </c>
    </row>
    <row r="3631" spans="1:13" s="120" customFormat="1" x14ac:dyDescent="0.25">
      <c r="A3631" s="119"/>
      <c r="B3631" s="138" t="str">
        <f t="shared" si="176"/>
        <v>Windrow</v>
      </c>
      <c r="C3631" s="138" t="str">
        <f t="shared" si="177"/>
        <v>Base_With Amendment</v>
      </c>
      <c r="D3631" s="118" t="s">
        <v>139</v>
      </c>
      <c r="E3631" s="118" t="s">
        <v>181</v>
      </c>
      <c r="F3631" s="118" t="s">
        <v>46</v>
      </c>
      <c r="G3631" s="153"/>
      <c r="H3631" s="155">
        <v>8.8175000000000008</v>
      </c>
      <c r="I3631" s="154" t="s">
        <v>54</v>
      </c>
      <c r="J3631" s="204">
        <v>6.8000000000000005E-4</v>
      </c>
      <c r="K3631" s="154" t="s">
        <v>145</v>
      </c>
      <c r="L3631" s="154" t="str">
        <f>IF(OpenLCAbasic!K3631="CTUh", "Fill in Manually",IF(OR(K3631="Unit", K3631=""), "", INDEX(LookUps!$E$5:$E$12, MATCH(OpenLCAbasic!K3631,LookUps!$D$5:$D$12,0))))</f>
        <v>Particulate Matter Formation Potential (PMFP) - kg PM2.5 eq</v>
      </c>
      <c r="M3631" s="154" t="str">
        <f t="shared" si="178"/>
        <v>High_High_Base_Upgraded_Particulate Matter Formation Potential (PMFP) - kg PM2.5 eq_Clear Cove Primary Clarification; wastewater treatment unit; at updated plant - US_Base_With Amendment_Windrow</v>
      </c>
    </row>
    <row r="3632" spans="1:13" s="120" customFormat="1" x14ac:dyDescent="0.25">
      <c r="A3632" s="119"/>
      <c r="B3632" s="138" t="str">
        <f t="shared" si="176"/>
        <v>Windrow</v>
      </c>
      <c r="C3632" s="138" t="str">
        <f t="shared" si="177"/>
        <v>Base_With Amendment</v>
      </c>
      <c r="D3632" s="118" t="s">
        <v>139</v>
      </c>
      <c r="E3632" s="118" t="s">
        <v>181</v>
      </c>
      <c r="F3632" s="118" t="s">
        <v>46</v>
      </c>
      <c r="G3632" s="153"/>
      <c r="H3632" s="155">
        <v>7.6750999999999996</v>
      </c>
      <c r="I3632" s="154" t="s">
        <v>58</v>
      </c>
      <c r="J3632" s="204">
        <v>5.9000000000000003E-4</v>
      </c>
      <c r="K3632" s="154" t="s">
        <v>145</v>
      </c>
      <c r="L3632" s="154" t="str">
        <f>IF(OpenLCAbasic!K3632="CTUh", "Fill in Manually",IF(OR(K3632="Unit", K3632=""), "", INDEX(LookUps!$E$5:$E$12, MATCH(OpenLCAbasic!K3632,LookUps!$D$5:$D$12,0))))</f>
        <v>Particulate Matter Formation Potential (PMFP) - kg PM2.5 eq</v>
      </c>
      <c r="M3632" s="154" t="str">
        <f t="shared" si="178"/>
        <v>High_High_Base_Upgraded_Particulate Matter Formation Potential (PMFP) - kg PM2.5 eq_Pre-Anoxic &amp; Swing tank; wastewater treatment unit; at updated plant - US_Base_With Amendment_Windrow</v>
      </c>
    </row>
    <row r="3633" spans="1:13" s="120" customFormat="1" x14ac:dyDescent="0.25">
      <c r="A3633" s="119"/>
      <c r="B3633" s="138" t="str">
        <f t="shared" si="176"/>
        <v>Windrow</v>
      </c>
      <c r="C3633" s="138" t="str">
        <f t="shared" si="177"/>
        <v>Base_With Amendment</v>
      </c>
      <c r="D3633" s="118" t="s">
        <v>139</v>
      </c>
      <c r="E3633" s="118" t="s">
        <v>181</v>
      </c>
      <c r="F3633" s="118" t="s">
        <v>46</v>
      </c>
      <c r="G3633" s="153"/>
      <c r="H3633" s="155">
        <v>6.0585000000000004</v>
      </c>
      <c r="I3633" s="154" t="s">
        <v>53</v>
      </c>
      <c r="J3633" s="204">
        <v>4.6999999999999999E-4</v>
      </c>
      <c r="K3633" s="154" t="s">
        <v>145</v>
      </c>
      <c r="L3633" s="154" t="str">
        <f>IF(OpenLCAbasic!K3633="CTUh", "Fill in Manually",IF(OR(K3633="Unit", K3633=""), "", INDEX(LookUps!$E$5:$E$12, MATCH(OpenLCAbasic!K3633,LookUps!$D$5:$D$12,0))))</f>
        <v>Particulate Matter Formation Potential (PMFP) - kg PM2.5 eq</v>
      </c>
      <c r="M3633" s="154" t="str">
        <f t="shared" si="178"/>
        <v>High_High_Base_Upgraded_Particulate Matter Formation Potential (PMFP) - kg PM2.5 eq_Wet Well and Sump Station; wastewater treatment unit; at updated plant - US_Base_With Amendment_Windrow</v>
      </c>
    </row>
    <row r="3634" spans="1:13" s="120" customFormat="1" x14ac:dyDescent="0.25">
      <c r="A3634" s="119"/>
      <c r="B3634" s="138" t="str">
        <f t="shared" si="176"/>
        <v>Windrow</v>
      </c>
      <c r="C3634" s="138" t="str">
        <f t="shared" si="177"/>
        <v>Base_With Amendment</v>
      </c>
      <c r="D3634" s="118" t="s">
        <v>139</v>
      </c>
      <c r="E3634" s="118" t="s">
        <v>181</v>
      </c>
      <c r="F3634" s="118" t="s">
        <v>46</v>
      </c>
      <c r="G3634" s="153"/>
      <c r="H3634" s="155">
        <v>4.3067000000000002</v>
      </c>
      <c r="I3634" s="154" t="s">
        <v>167</v>
      </c>
      <c r="J3634" s="204">
        <v>3.3E-4</v>
      </c>
      <c r="K3634" s="154" t="s">
        <v>145</v>
      </c>
      <c r="L3634" s="154" t="str">
        <f>IF(OpenLCAbasic!K3634="CTUh", "Fill in Manually",IF(OR(K3634="Unit", K3634=""), "", INDEX(LookUps!$E$5:$E$12, MATCH(OpenLCAbasic!K3634,LookUps!$D$5:$D$12,0))))</f>
        <v>Particulate Matter Formation Potential (PMFP) - kg PM2.5 eq</v>
      </c>
      <c r="M3634" s="154" t="str">
        <f t="shared" si="178"/>
        <v>High_High_Base_Upgraded_Particulate Matter Formation Potential (PMFP) - kg PM2.5 eq_Waste Receiving and Holding; wastewater treatment unit; at updated plant - US_Base_With Amendment_Windrow</v>
      </c>
    </row>
    <row r="3635" spans="1:13" s="120" customFormat="1" x14ac:dyDescent="0.25">
      <c r="A3635" s="119"/>
      <c r="B3635" s="138" t="str">
        <f t="shared" si="176"/>
        <v>Windrow</v>
      </c>
      <c r="C3635" s="138" t="str">
        <f t="shared" si="177"/>
        <v>Base_With Amendment</v>
      </c>
      <c r="D3635" s="118" t="s">
        <v>139</v>
      </c>
      <c r="E3635" s="118" t="s">
        <v>181</v>
      </c>
      <c r="F3635" s="118" t="s">
        <v>46</v>
      </c>
      <c r="G3635" s="153"/>
      <c r="H3635" s="155">
        <v>3.4630000000000001</v>
      </c>
      <c r="I3635" s="154" t="s">
        <v>147</v>
      </c>
      <c r="J3635" s="204">
        <v>2.7E-4</v>
      </c>
      <c r="K3635" s="154" t="s">
        <v>145</v>
      </c>
      <c r="L3635" s="154" t="str">
        <f>IF(OpenLCAbasic!K3635="CTUh", "Fill in Manually",IF(OR(K3635="Unit", K3635=""), "", INDEX(LookUps!$E$5:$E$12, MATCH(OpenLCAbasic!K3635,LookUps!$D$5:$D$12,0))))</f>
        <v>Particulate Matter Formation Potential (PMFP) - kg PM2.5 eq</v>
      </c>
      <c r="M3635" s="154" t="str">
        <f t="shared" si="178"/>
        <v>High_High_Base_Upgraded_Particulate Matter Formation Potential (PMFP) - kg PM2.5 eq_Influent Pump Station; wastewater treatment unit; at updated plant - US_Base_With Amendment_Windrow</v>
      </c>
    </row>
    <row r="3636" spans="1:13" s="120" customFormat="1" x14ac:dyDescent="0.25">
      <c r="A3636" s="119"/>
      <c r="B3636" s="138" t="str">
        <f t="shared" si="176"/>
        <v>Windrow</v>
      </c>
      <c r="C3636" s="138" t="str">
        <f t="shared" si="177"/>
        <v>Base_With Amendment</v>
      </c>
      <c r="D3636" s="118" t="s">
        <v>139</v>
      </c>
      <c r="E3636" s="118" t="s">
        <v>181</v>
      </c>
      <c r="F3636" s="118" t="s">
        <v>46</v>
      </c>
      <c r="G3636" s="153"/>
      <c r="H3636" s="155">
        <v>2.5594999999999999</v>
      </c>
      <c r="I3636" s="154" t="s">
        <v>60</v>
      </c>
      <c r="J3636" s="204">
        <v>2.0000000000000001E-4</v>
      </c>
      <c r="K3636" s="154" t="s">
        <v>145</v>
      </c>
      <c r="L3636" s="154" t="str">
        <f>IF(OpenLCAbasic!K3636="CTUh", "Fill in Manually",IF(OR(K3636="Unit", K3636=""), "", INDEX(LookUps!$E$5:$E$12, MATCH(OpenLCAbasic!K3636,LookUps!$D$5:$D$12,0))))</f>
        <v>Particulate Matter Formation Potential (PMFP) - kg PM2.5 eq</v>
      </c>
      <c r="M3636" s="154" t="str">
        <f t="shared" si="178"/>
        <v>High_High_Base_Upgraded_Particulate Matter Formation Potential (PMFP) - kg PM2.5 eq_Belt filter press; wastewater treatment unit; at updated plant - US_Base_With Amendment_Windrow</v>
      </c>
    </row>
    <row r="3637" spans="1:13" s="120" customFormat="1" x14ac:dyDescent="0.25">
      <c r="A3637" s="119"/>
      <c r="B3637" s="138" t="str">
        <f t="shared" si="176"/>
        <v>Windrow</v>
      </c>
      <c r="C3637" s="138" t="str">
        <f t="shared" si="177"/>
        <v>Base_With Amendment</v>
      </c>
      <c r="D3637" s="118" t="s">
        <v>139</v>
      </c>
      <c r="E3637" s="118" t="s">
        <v>181</v>
      </c>
      <c r="F3637" s="118" t="s">
        <v>46</v>
      </c>
      <c r="G3637" s="153"/>
      <c r="H3637" s="155">
        <v>2.1612</v>
      </c>
      <c r="I3637" s="154" t="s">
        <v>128</v>
      </c>
      <c r="J3637" s="204">
        <v>1.7000000000000001E-4</v>
      </c>
      <c r="K3637" s="154" t="s">
        <v>145</v>
      </c>
      <c r="L3637" s="154" t="str">
        <f>IF(OpenLCAbasic!K3637="CTUh", "Fill in Manually",IF(OR(K3637="Unit", K3637=""), "", INDEX(LookUps!$E$5:$E$12, MATCH(OpenLCAbasic!K3637,LookUps!$D$5:$D$12,0))))</f>
        <v>Particulate Matter Formation Potential (PMFP) - kg PM2.5 eq</v>
      </c>
      <c r="M3637" s="154" t="str">
        <f t="shared" si="178"/>
        <v>High_High_Base_Upgraded_Particulate Matter Formation Potential (PMFP) - kg PM2.5 eq_Wastewater collection; operation and infrastructure; m3 wastewater_Base_With Amendment_Windrow</v>
      </c>
    </row>
    <row r="3638" spans="1:13" s="120" customFormat="1" x14ac:dyDescent="0.25">
      <c r="A3638" s="119"/>
      <c r="B3638" s="138" t="str">
        <f t="shared" si="176"/>
        <v>Windrow</v>
      </c>
      <c r="C3638" s="138" t="str">
        <f t="shared" si="177"/>
        <v>Base_With Amendment</v>
      </c>
      <c r="D3638" s="118" t="s">
        <v>139</v>
      </c>
      <c r="E3638" s="118" t="s">
        <v>181</v>
      </c>
      <c r="F3638" s="118" t="s">
        <v>46</v>
      </c>
      <c r="G3638" s="153"/>
      <c r="H3638" s="155">
        <v>1.2353000000000001</v>
      </c>
      <c r="I3638" s="154" t="s">
        <v>57</v>
      </c>
      <c r="J3638" s="204">
        <v>9.5153800000000004E-5</v>
      </c>
      <c r="K3638" s="154" t="s">
        <v>145</v>
      </c>
      <c r="L3638" s="154" t="str">
        <f>IF(OpenLCAbasic!K3638="CTUh", "Fill in Manually",IF(OR(K3638="Unit", K3638=""), "", INDEX(LookUps!$E$5:$E$12, MATCH(OpenLCAbasic!K3638,LookUps!$D$5:$D$12,0))))</f>
        <v>Particulate Matter Formation Potential (PMFP) - kg PM2.5 eq</v>
      </c>
      <c r="M3638" s="154" t="str">
        <f t="shared" si="178"/>
        <v>High_High_Base_Upgraded_Particulate Matter Formation Potential (PMFP) - kg PM2.5 eq_Gravity Belt Thickener; wastewater treatment unit; at updated plant - US_Base_With Amendment_Windrow</v>
      </c>
    </row>
    <row r="3639" spans="1:13" s="120" customFormat="1" x14ac:dyDescent="0.25">
      <c r="A3639" s="119"/>
      <c r="B3639" s="138" t="str">
        <f t="shared" si="176"/>
        <v>Windrow</v>
      </c>
      <c r="C3639" s="138" t="str">
        <f t="shared" si="177"/>
        <v>Base_With Amendment</v>
      </c>
      <c r="D3639" s="118" t="s">
        <v>139</v>
      </c>
      <c r="E3639" s="118" t="s">
        <v>181</v>
      </c>
      <c r="F3639" s="118" t="s">
        <v>46</v>
      </c>
      <c r="G3639" s="153"/>
      <c r="H3639" s="155">
        <v>0.90800000000000003</v>
      </c>
      <c r="I3639" s="154" t="s">
        <v>59</v>
      </c>
      <c r="J3639" s="204">
        <v>6.9942200000000003E-5</v>
      </c>
      <c r="K3639" s="154" t="s">
        <v>145</v>
      </c>
      <c r="L3639" s="154" t="str">
        <f>IF(OpenLCAbasic!K3639="CTUh", "Fill in Manually",IF(OR(K3639="Unit", K3639=""), "", INDEX(LookUps!$E$5:$E$12, MATCH(OpenLCAbasic!K3639,LookUps!$D$5:$D$12,0))))</f>
        <v>Particulate Matter Formation Potential (PMFP) - kg PM2.5 eq</v>
      </c>
      <c r="M3639" s="154" t="str">
        <f t="shared" si="178"/>
        <v>High_High_Base_Upgraded_Particulate Matter Formation Potential (PMFP) - kg PM2.5 eq_Blend Tank; wastewater treatment unit; at updated plant - US_Base_With Amendment_Windrow</v>
      </c>
    </row>
    <row r="3640" spans="1:13" s="120" customFormat="1" x14ac:dyDescent="0.25">
      <c r="A3640" s="119"/>
      <c r="B3640" s="138" t="str">
        <f t="shared" si="176"/>
        <v>Windrow</v>
      </c>
      <c r="C3640" s="138" t="str">
        <f t="shared" si="177"/>
        <v>Base_With Amendment</v>
      </c>
      <c r="D3640" s="118" t="s">
        <v>139</v>
      </c>
      <c r="E3640" s="118" t="s">
        <v>181</v>
      </c>
      <c r="F3640" s="118" t="s">
        <v>46</v>
      </c>
      <c r="G3640" s="153"/>
      <c r="H3640" s="155">
        <v>0.84109999999999996</v>
      </c>
      <c r="I3640" s="154" t="s">
        <v>62</v>
      </c>
      <c r="J3640" s="204">
        <v>6.47831E-5</v>
      </c>
      <c r="K3640" s="154" t="s">
        <v>145</v>
      </c>
      <c r="L3640" s="154" t="str">
        <f>IF(OpenLCAbasic!K3640="CTUh", "Fill in Manually",IF(OR(K3640="Unit", K3640=""), "", INDEX(LookUps!$E$5:$E$12, MATCH(OpenLCAbasic!K3640,LookUps!$D$5:$D$12,0))))</f>
        <v>Particulate Matter Formation Potential (PMFP) - kg PM2.5 eq</v>
      </c>
      <c r="M3640" s="154" t="str">
        <f t="shared" si="178"/>
        <v>High_High_Base_Upgraded_Particulate Matter Formation Potential (PMFP) - kg PM2.5 eq_Land application of compost; wastewater treatment unit; at updated plant - US_Base_With Amendment_Windrow</v>
      </c>
    </row>
    <row r="3641" spans="1:13" s="120" customFormat="1" x14ac:dyDescent="0.25">
      <c r="A3641" s="119"/>
      <c r="B3641" s="138" t="str">
        <f t="shared" si="176"/>
        <v>Windrow</v>
      </c>
      <c r="C3641" s="138" t="str">
        <f t="shared" si="177"/>
        <v>Base_With Amendment</v>
      </c>
      <c r="D3641" s="118" t="s">
        <v>139</v>
      </c>
      <c r="E3641" s="118" t="s">
        <v>181</v>
      </c>
      <c r="F3641" s="118" t="s">
        <v>46</v>
      </c>
      <c r="G3641" s="153"/>
      <c r="H3641" s="155">
        <v>0.64880000000000004</v>
      </c>
      <c r="I3641" s="154" t="s">
        <v>48</v>
      </c>
      <c r="J3641" s="204">
        <v>4.99741E-5</v>
      </c>
      <c r="K3641" s="154" t="s">
        <v>145</v>
      </c>
      <c r="L3641" s="154" t="str">
        <f>IF(OpenLCAbasic!K3641="CTUh", "Fill in Manually",IF(OR(K3641="Unit", K3641=""), "", INDEX(LookUps!$E$5:$E$12, MATCH(OpenLCAbasic!K3641,LookUps!$D$5:$D$12,0))))</f>
        <v>Particulate Matter Formation Potential (PMFP) - kg PM2.5 eq</v>
      </c>
      <c r="M3641" s="154" t="str">
        <f t="shared" si="178"/>
        <v>High_High_Base_Upgraded_Particulate Matter Formation Potential (PMFP) - kg PM2.5 eq_Effluent release; wastewater treatment unit; at surface water; m3 wastewater - US_Base_With Amendment_Windrow</v>
      </c>
    </row>
    <row r="3642" spans="1:13" s="120" customFormat="1" x14ac:dyDescent="0.25">
      <c r="A3642" s="119"/>
      <c r="B3642" s="138" t="str">
        <f t="shared" si="176"/>
        <v>Windrow</v>
      </c>
      <c r="C3642" s="138" t="str">
        <f t="shared" si="177"/>
        <v>Base_With Amendment</v>
      </c>
      <c r="D3642" s="118" t="s">
        <v>139</v>
      </c>
      <c r="E3642" s="118" t="s">
        <v>181</v>
      </c>
      <c r="F3642" s="118" t="s">
        <v>46</v>
      </c>
      <c r="G3642" s="153"/>
      <c r="H3642" s="155">
        <v>0.44869999999999999</v>
      </c>
      <c r="I3642" s="154" t="s">
        <v>168</v>
      </c>
      <c r="J3642" s="204">
        <v>3.4562199999999999E-5</v>
      </c>
      <c r="K3642" s="154" t="s">
        <v>145</v>
      </c>
      <c r="L3642" s="154" t="str">
        <f>IF(OpenLCAbasic!K3642="CTUh", "Fill in Manually",IF(OR(K3642="Unit", K3642=""), "", INDEX(LookUps!$E$5:$E$12, MATCH(OpenLCAbasic!K3642,LookUps!$D$5:$D$12,0))))</f>
        <v>Particulate Matter Formation Potential (PMFP) - kg PM2.5 eq</v>
      </c>
      <c r="M3642" s="154" t="str">
        <f t="shared" si="178"/>
        <v>High_High_Base_Upgraded_Particulate Matter Formation Potential (PMFP) - kg PM2.5 eq_ClearCove SCP; wastewater treatment unit; at updated plant - US_Base_With Amendment_Windrow</v>
      </c>
    </row>
    <row r="3643" spans="1:13" s="120" customFormat="1" x14ac:dyDescent="0.25">
      <c r="A3643" s="119"/>
      <c r="B3643" s="138" t="str">
        <f t="shared" si="176"/>
        <v>Windrow</v>
      </c>
      <c r="C3643" s="138" t="str">
        <f t="shared" si="177"/>
        <v>Base_With Amendment</v>
      </c>
      <c r="D3643" s="118" t="s">
        <v>139</v>
      </c>
      <c r="E3643" s="118" t="s">
        <v>181</v>
      </c>
      <c r="F3643" s="118" t="s">
        <v>46</v>
      </c>
      <c r="G3643" s="153"/>
      <c r="H3643" s="155">
        <v>0.1145</v>
      </c>
      <c r="I3643" s="154" t="s">
        <v>148</v>
      </c>
      <c r="J3643" s="204">
        <v>8.8212999999999997E-6</v>
      </c>
      <c r="K3643" s="154" t="s">
        <v>145</v>
      </c>
      <c r="L3643" s="154" t="str">
        <f>IF(OpenLCAbasic!K3643="CTUh", "Fill in Manually",IF(OR(K3643="Unit", K3643=""), "", INDEX(LookUps!$E$5:$E$12, MATCH(OpenLCAbasic!K3643,LookUps!$D$5:$D$12,0))))</f>
        <v>Particulate Matter Formation Potential (PMFP) - kg PM2.5 eq</v>
      </c>
      <c r="M3643" s="154" t="str">
        <f t="shared" si="178"/>
        <v>High_High_Base_Upgraded_Particulate Matter Formation Potential (PMFP) - kg PM2.5 eq_Control Building; at upgraded wastewater treatment plant - US_Base_With Amendment_Windrow</v>
      </c>
    </row>
    <row r="3644" spans="1:13" s="120" customFormat="1" x14ac:dyDescent="0.25">
      <c r="A3644" s="119"/>
      <c r="B3644" s="138" t="str">
        <f t="shared" si="176"/>
        <v>Windrow</v>
      </c>
      <c r="C3644" s="138" t="str">
        <f t="shared" si="177"/>
        <v>Base_With Amendment</v>
      </c>
      <c r="D3644" s="118" t="s">
        <v>139</v>
      </c>
      <c r="E3644" s="118" t="s">
        <v>181</v>
      </c>
      <c r="F3644" s="118" t="s">
        <v>46</v>
      </c>
      <c r="G3644" s="153"/>
      <c r="H3644" s="155">
        <v>-78.170100000000005</v>
      </c>
      <c r="I3644" s="154" t="s">
        <v>149</v>
      </c>
      <c r="J3644" s="204">
        <v>-6.0200000000000002E-3</v>
      </c>
      <c r="K3644" s="154" t="s">
        <v>145</v>
      </c>
      <c r="L3644" s="154" t="str">
        <f>IF(OpenLCAbasic!K3644="CTUh", "Fill in Manually",IF(OR(K3644="Unit", K3644=""), "", INDEX(LookUps!$E$5:$E$12, MATCH(OpenLCAbasic!K3644,LookUps!$D$5:$D$12,0))))</f>
        <v>Particulate Matter Formation Potential (PMFP) - kg PM2.5 eq</v>
      </c>
      <c r="M3644" s="154" t="str">
        <f t="shared" si="178"/>
        <v>High_High_Base_Upgraded_Particulate Matter Formation Potential (PMFP) - kg PM2.5 eq_Anaerobic Digestion; wastewater treatment unit; at updated plant - US_Base_With Amendment_Windrow</v>
      </c>
    </row>
    <row r="3645" spans="1:13" s="120" customFormat="1" x14ac:dyDescent="0.25">
      <c r="A3645" s="119"/>
      <c r="B3645" s="138" t="str">
        <f t="shared" si="176"/>
        <v>Windrow</v>
      </c>
      <c r="C3645" s="138" t="str">
        <f t="shared" si="177"/>
        <v>Base_With Amendment</v>
      </c>
      <c r="D3645" s="118" t="s">
        <v>139</v>
      </c>
      <c r="E3645" s="118" t="s">
        <v>181</v>
      </c>
      <c r="F3645" s="118" t="s">
        <v>46</v>
      </c>
      <c r="G3645" s="153" t="s">
        <v>51</v>
      </c>
      <c r="H3645" s="154"/>
      <c r="I3645" s="154" t="s">
        <v>47</v>
      </c>
      <c r="J3645" s="154" t="s">
        <v>52</v>
      </c>
      <c r="K3645" s="154" t="s">
        <v>27</v>
      </c>
      <c r="L3645" s="154" t="str">
        <f>IF(OpenLCAbasic!K3645="CTUh", "Fill in Manually",IF(OR(K3645="Unit", K3645=""), "", INDEX(LookUps!$E$5:$E$12, MATCH(OpenLCAbasic!K3645,LookUps!$D$5:$D$12,0))))</f>
        <v/>
      </c>
      <c r="M3645" s="154" t="str">
        <f t="shared" si="178"/>
        <v>High_High_Base_Upgraded__Process_Base_With Amendment_Windrow</v>
      </c>
    </row>
    <row r="3646" spans="1:13" s="120" customFormat="1" x14ac:dyDescent="0.25">
      <c r="A3646" s="119"/>
      <c r="B3646" s="138" t="str">
        <f t="shared" si="176"/>
        <v>Windrow</v>
      </c>
      <c r="C3646" s="138" t="str">
        <f t="shared" si="177"/>
        <v>Base_With Amendment</v>
      </c>
      <c r="D3646" s="118" t="s">
        <v>139</v>
      </c>
      <c r="E3646" s="118" t="s">
        <v>181</v>
      </c>
      <c r="F3646" s="118" t="s">
        <v>46</v>
      </c>
      <c r="G3646" s="153"/>
      <c r="H3646" s="155">
        <v>3.6019000000000001</v>
      </c>
      <c r="I3646" s="154" t="s">
        <v>55</v>
      </c>
      <c r="J3646" s="203">
        <v>0.16577</v>
      </c>
      <c r="K3646" s="154" t="s">
        <v>25</v>
      </c>
      <c r="L3646" s="154" t="str">
        <f>IF(OpenLCAbasic!K3646="CTUh", "Fill in Manually",IF(OR(K3646="Unit", K3646=""), "", INDEX(LookUps!$E$5:$E$12, MATCH(OpenLCAbasic!K3646,LookUps!$D$5:$D$12,0))))</f>
        <v>Smog Formation Potential (SFP) - kg O3 eq</v>
      </c>
      <c r="M3646" s="154" t="str">
        <f t="shared" si="178"/>
        <v>High_High_Base_Upgraded_Smog Formation Potential (SFP) - kg O3 eq_Aeration Tanks; wastewater treatment unit; at updated plant - US_Base_With Amendment_Windrow</v>
      </c>
    </row>
    <row r="3647" spans="1:13" s="120" customFormat="1" x14ac:dyDescent="0.25">
      <c r="A3647" s="119"/>
      <c r="B3647" s="138" t="str">
        <f t="shared" si="176"/>
        <v>Windrow</v>
      </c>
      <c r="C3647" s="138" t="str">
        <f t="shared" si="177"/>
        <v>Base_With Amendment</v>
      </c>
      <c r="D3647" s="118" t="s">
        <v>139</v>
      </c>
      <c r="E3647" s="118" t="s">
        <v>181</v>
      </c>
      <c r="F3647" s="118" t="s">
        <v>46</v>
      </c>
      <c r="G3647" s="153"/>
      <c r="H3647" s="155">
        <v>1.0446</v>
      </c>
      <c r="I3647" s="154" t="s">
        <v>54</v>
      </c>
      <c r="J3647" s="203">
        <v>4.8070000000000002E-2</v>
      </c>
      <c r="K3647" s="154" t="s">
        <v>25</v>
      </c>
      <c r="L3647" s="154" t="str">
        <f>IF(OpenLCAbasic!K3647="CTUh", "Fill in Manually",IF(OR(K3647="Unit", K3647=""), "", INDEX(LookUps!$E$5:$E$12, MATCH(OpenLCAbasic!K3647,LookUps!$D$5:$D$12,0))))</f>
        <v>Smog Formation Potential (SFP) - kg O3 eq</v>
      </c>
      <c r="M3647" s="154" t="str">
        <f t="shared" si="178"/>
        <v>High_High_Base_Upgraded_Smog Formation Potential (SFP) - kg O3 eq_Clear Cove Primary Clarification; wastewater treatment unit; at updated plant - US_Base_With Amendment_Windrow</v>
      </c>
    </row>
    <row r="3648" spans="1:13" s="120" customFormat="1" x14ac:dyDescent="0.25">
      <c r="A3648" s="119"/>
      <c r="B3648" s="138" t="str">
        <f t="shared" si="176"/>
        <v>Windrow</v>
      </c>
      <c r="C3648" s="138" t="str">
        <f t="shared" si="177"/>
        <v>Base_With Amendment</v>
      </c>
      <c r="D3648" s="118" t="s">
        <v>139</v>
      </c>
      <c r="E3648" s="118" t="s">
        <v>181</v>
      </c>
      <c r="F3648" s="118" t="s">
        <v>46</v>
      </c>
      <c r="G3648" s="153"/>
      <c r="H3648" s="155">
        <v>0.91459999999999997</v>
      </c>
      <c r="I3648" s="154" t="s">
        <v>58</v>
      </c>
      <c r="J3648" s="203">
        <v>4.2090000000000002E-2</v>
      </c>
      <c r="K3648" s="154" t="s">
        <v>25</v>
      </c>
      <c r="L3648" s="154" t="str">
        <f>IF(OpenLCAbasic!K3648="CTUh", "Fill in Manually",IF(OR(K3648="Unit", K3648=""), "", INDEX(LookUps!$E$5:$E$12, MATCH(OpenLCAbasic!K3648,LookUps!$D$5:$D$12,0))))</f>
        <v>Smog Formation Potential (SFP) - kg O3 eq</v>
      </c>
      <c r="M3648" s="154" t="str">
        <f t="shared" si="178"/>
        <v>High_High_Base_Upgraded_Smog Formation Potential (SFP) - kg O3 eq_Pre-Anoxic &amp; Swing tank; wastewater treatment unit; at updated plant - US_Base_With Amendment_Windrow</v>
      </c>
    </row>
    <row r="3649" spans="1:13" s="120" customFormat="1" x14ac:dyDescent="0.25">
      <c r="A3649" s="119"/>
      <c r="B3649" s="138" t="str">
        <f t="shared" si="176"/>
        <v>Windrow</v>
      </c>
      <c r="C3649" s="138" t="str">
        <f t="shared" si="177"/>
        <v>Base_With Amendment</v>
      </c>
      <c r="D3649" s="118" t="s">
        <v>139</v>
      </c>
      <c r="E3649" s="118" t="s">
        <v>181</v>
      </c>
      <c r="F3649" s="118" t="s">
        <v>46</v>
      </c>
      <c r="G3649" s="153"/>
      <c r="H3649" s="155">
        <v>0.73350000000000004</v>
      </c>
      <c r="I3649" s="154" t="s">
        <v>167</v>
      </c>
      <c r="J3649" s="203">
        <v>3.3759999999999998E-2</v>
      </c>
      <c r="K3649" s="154" t="s">
        <v>25</v>
      </c>
      <c r="L3649" s="154" t="str">
        <f>IF(OpenLCAbasic!K3649="CTUh", "Fill in Manually",IF(OR(K3649="Unit", K3649=""), "", INDEX(LookUps!$E$5:$E$12, MATCH(OpenLCAbasic!K3649,LookUps!$D$5:$D$12,0))))</f>
        <v>Smog Formation Potential (SFP) - kg O3 eq</v>
      </c>
      <c r="M3649" s="154" t="str">
        <f t="shared" si="178"/>
        <v>High_High_Base_Upgraded_Smog Formation Potential (SFP) - kg O3 eq_Waste Receiving and Holding; wastewater treatment unit; at updated plant - US_Base_With Amendment_Windrow</v>
      </c>
    </row>
    <row r="3650" spans="1:13" s="120" customFormat="1" x14ac:dyDescent="0.25">
      <c r="A3650" s="119"/>
      <c r="B3650" s="138" t="str">
        <f t="shared" si="176"/>
        <v>Windrow</v>
      </c>
      <c r="C3650" s="138" t="str">
        <f t="shared" si="177"/>
        <v>Base_With Amendment</v>
      </c>
      <c r="D3650" s="118" t="s">
        <v>139</v>
      </c>
      <c r="E3650" s="118" t="s">
        <v>181</v>
      </c>
      <c r="F3650" s="118" t="s">
        <v>46</v>
      </c>
      <c r="G3650" s="153"/>
      <c r="H3650" s="155">
        <v>0.7198</v>
      </c>
      <c r="I3650" s="154" t="s">
        <v>53</v>
      </c>
      <c r="J3650" s="203">
        <v>3.313E-2</v>
      </c>
      <c r="K3650" s="154" t="s">
        <v>25</v>
      </c>
      <c r="L3650" s="154" t="str">
        <f>IF(OpenLCAbasic!K3650="CTUh", "Fill in Manually",IF(OR(K3650="Unit", K3650=""), "", INDEX(LookUps!$E$5:$E$12, MATCH(OpenLCAbasic!K3650,LookUps!$D$5:$D$12,0))))</f>
        <v>Smog Formation Potential (SFP) - kg O3 eq</v>
      </c>
      <c r="M3650" s="154" t="str">
        <f t="shared" si="178"/>
        <v>High_High_Base_Upgraded_Smog Formation Potential (SFP) - kg O3 eq_Wet Well and Sump Station; wastewater treatment unit; at updated plant - US_Base_With Amendment_Windrow</v>
      </c>
    </row>
    <row r="3651" spans="1:13" s="120" customFormat="1" x14ac:dyDescent="0.25">
      <c r="A3651" s="119"/>
      <c r="B3651" s="138" t="str">
        <f t="shared" si="176"/>
        <v>Windrow</v>
      </c>
      <c r="C3651" s="138" t="str">
        <f t="shared" si="177"/>
        <v>Base_With Amendment</v>
      </c>
      <c r="D3651" s="118" t="s">
        <v>139</v>
      </c>
      <c r="E3651" s="118" t="s">
        <v>181</v>
      </c>
      <c r="F3651" s="118" t="s">
        <v>46</v>
      </c>
      <c r="G3651" s="153"/>
      <c r="H3651" s="155">
        <v>0.42149999999999999</v>
      </c>
      <c r="I3651" s="154" t="s">
        <v>147</v>
      </c>
      <c r="J3651" s="203">
        <v>1.9400000000000001E-2</v>
      </c>
      <c r="K3651" s="154" t="s">
        <v>25</v>
      </c>
      <c r="L3651" s="154" t="str">
        <f>IF(OpenLCAbasic!K3651="CTUh", "Fill in Manually",IF(OR(K3651="Unit", K3651=""), "", INDEX(LookUps!$E$5:$E$12, MATCH(OpenLCAbasic!K3651,LookUps!$D$5:$D$12,0))))</f>
        <v>Smog Formation Potential (SFP) - kg O3 eq</v>
      </c>
      <c r="M3651" s="154" t="str">
        <f t="shared" si="178"/>
        <v>High_High_Base_Upgraded_Smog Formation Potential (SFP) - kg O3 eq_Influent Pump Station; wastewater treatment unit; at updated plant - US_Base_With Amendment_Windrow</v>
      </c>
    </row>
    <row r="3652" spans="1:13" s="120" customFormat="1" x14ac:dyDescent="0.25">
      <c r="A3652" s="119"/>
      <c r="B3652" s="138" t="str">
        <f t="shared" si="176"/>
        <v>Windrow</v>
      </c>
      <c r="C3652" s="138" t="str">
        <f t="shared" si="177"/>
        <v>Base_With Amendment</v>
      </c>
      <c r="D3652" s="118" t="s">
        <v>139</v>
      </c>
      <c r="E3652" s="118" t="s">
        <v>181</v>
      </c>
      <c r="F3652" s="118" t="s">
        <v>46</v>
      </c>
      <c r="G3652" s="153"/>
      <c r="H3652" s="155">
        <v>0.30130000000000001</v>
      </c>
      <c r="I3652" s="154" t="s">
        <v>60</v>
      </c>
      <c r="J3652" s="204">
        <v>1.387E-2</v>
      </c>
      <c r="K3652" s="154" t="s">
        <v>25</v>
      </c>
      <c r="L3652" s="154" t="str">
        <f>IF(OpenLCAbasic!K3652="CTUh", "Fill in Manually",IF(OR(K3652="Unit", K3652=""), "", INDEX(LookUps!$E$5:$E$12, MATCH(OpenLCAbasic!K3652,LookUps!$D$5:$D$12,0))))</f>
        <v>Smog Formation Potential (SFP) - kg O3 eq</v>
      </c>
      <c r="M3652" s="154" t="str">
        <f t="shared" si="178"/>
        <v>High_High_Base_Upgraded_Smog Formation Potential (SFP) - kg O3 eq_Belt filter press; wastewater treatment unit; at updated plant - US_Base_With Amendment_Windrow</v>
      </c>
    </row>
    <row r="3653" spans="1:13" s="120" customFormat="1" x14ac:dyDescent="0.25">
      <c r="A3653" s="119"/>
      <c r="B3653" s="138" t="str">
        <f t="shared" si="176"/>
        <v>Windrow</v>
      </c>
      <c r="C3653" s="138" t="str">
        <f t="shared" si="177"/>
        <v>Base_With Amendment</v>
      </c>
      <c r="D3653" s="118" t="s">
        <v>139</v>
      </c>
      <c r="E3653" s="118" t="s">
        <v>181</v>
      </c>
      <c r="F3653" s="118" t="s">
        <v>46</v>
      </c>
      <c r="G3653" s="153"/>
      <c r="H3653" s="155">
        <v>0.25900000000000001</v>
      </c>
      <c r="I3653" s="154" t="s">
        <v>128</v>
      </c>
      <c r="J3653" s="204">
        <v>1.192E-2</v>
      </c>
      <c r="K3653" s="154" t="s">
        <v>25</v>
      </c>
      <c r="L3653" s="154" t="str">
        <f>IF(OpenLCAbasic!K3653="CTUh", "Fill in Manually",IF(OR(K3653="Unit", K3653=""), "", INDEX(LookUps!$E$5:$E$12, MATCH(OpenLCAbasic!K3653,LookUps!$D$5:$D$12,0))))</f>
        <v>Smog Formation Potential (SFP) - kg O3 eq</v>
      </c>
      <c r="M3653" s="154" t="str">
        <f t="shared" si="178"/>
        <v>High_High_Base_Upgraded_Smog Formation Potential (SFP) - kg O3 eq_Wastewater collection; operation and infrastructure; m3 wastewater_Base_With Amendment_Windrow</v>
      </c>
    </row>
    <row r="3654" spans="1:13" s="120" customFormat="1" x14ac:dyDescent="0.25">
      <c r="A3654" s="119"/>
      <c r="B3654" s="138" t="str">
        <f t="shared" ref="B3654:B3717" si="179">IF(F3654="Legacy","n.a.",IF(F3654="","","Windrow"))</f>
        <v>Windrow</v>
      </c>
      <c r="C3654" s="138" t="str">
        <f t="shared" si="177"/>
        <v>Base_With Amendment</v>
      </c>
      <c r="D3654" s="118" t="s">
        <v>139</v>
      </c>
      <c r="E3654" s="118" t="s">
        <v>181</v>
      </c>
      <c r="F3654" s="118" t="s">
        <v>46</v>
      </c>
      <c r="G3654" s="153"/>
      <c r="H3654" s="155">
        <v>0.14460000000000001</v>
      </c>
      <c r="I3654" s="154" t="s">
        <v>57</v>
      </c>
      <c r="J3654" s="204">
        <v>6.6499999999999997E-3</v>
      </c>
      <c r="K3654" s="154" t="s">
        <v>25</v>
      </c>
      <c r="L3654" s="154" t="str">
        <f>IF(OpenLCAbasic!K3654="CTUh", "Fill in Manually",IF(OR(K3654="Unit", K3654=""), "", INDEX(LookUps!$E$5:$E$12, MATCH(OpenLCAbasic!K3654,LookUps!$D$5:$D$12,0))))</f>
        <v>Smog Formation Potential (SFP) - kg O3 eq</v>
      </c>
      <c r="M3654" s="154" t="str">
        <f t="shared" si="178"/>
        <v>High_High_Base_Upgraded_Smog Formation Potential (SFP) - kg O3 eq_Gravity Belt Thickener; wastewater treatment unit; at updated plant - US_Base_With Amendment_Windrow</v>
      </c>
    </row>
    <row r="3655" spans="1:13" s="120" customFormat="1" x14ac:dyDescent="0.25">
      <c r="A3655" s="119"/>
      <c r="B3655" s="138" t="str">
        <f t="shared" si="179"/>
        <v>Windrow</v>
      </c>
      <c r="C3655" s="138" t="str">
        <f t="shared" ref="C3655:C3718" si="180">IF(E3655&lt;&gt;"", "Base_With Amendment","")</f>
        <v>Base_With Amendment</v>
      </c>
      <c r="D3655" s="118" t="s">
        <v>139</v>
      </c>
      <c r="E3655" s="118" t="s">
        <v>181</v>
      </c>
      <c r="F3655" s="118" t="s">
        <v>46</v>
      </c>
      <c r="G3655" s="153"/>
      <c r="H3655" s="155">
        <v>0.1081</v>
      </c>
      <c r="I3655" s="154" t="s">
        <v>59</v>
      </c>
      <c r="J3655" s="204">
        <v>4.9699999999999996E-3</v>
      </c>
      <c r="K3655" s="154" t="s">
        <v>25</v>
      </c>
      <c r="L3655" s="154" t="str">
        <f>IF(OpenLCAbasic!K3655="CTUh", "Fill in Manually",IF(OR(K3655="Unit", K3655=""), "", INDEX(LookUps!$E$5:$E$12, MATCH(OpenLCAbasic!K3655,LookUps!$D$5:$D$12,0))))</f>
        <v>Smog Formation Potential (SFP) - kg O3 eq</v>
      </c>
      <c r="M3655" s="154" t="str">
        <f t="shared" ref="M3655:M3718" si="181">CONCATENATE(E3655,"_",D3655,"_",F3655,"_",L3655, "_",I3655,"_", C3655,"_", B3655)</f>
        <v>High_High_Base_Upgraded_Smog Formation Potential (SFP) - kg O3 eq_Blend Tank; wastewater treatment unit; at updated plant - US_Base_With Amendment_Windrow</v>
      </c>
    </row>
    <row r="3656" spans="1:13" s="120" customFormat="1" x14ac:dyDescent="0.25">
      <c r="A3656" s="119"/>
      <c r="B3656" s="138" t="str">
        <f t="shared" si="179"/>
        <v>Windrow</v>
      </c>
      <c r="C3656" s="138" t="str">
        <f t="shared" si="180"/>
        <v>Base_With Amendment</v>
      </c>
      <c r="D3656" s="118" t="s">
        <v>139</v>
      </c>
      <c r="E3656" s="118" t="s">
        <v>181</v>
      </c>
      <c r="F3656" s="118" t="s">
        <v>46</v>
      </c>
      <c r="G3656" s="153"/>
      <c r="H3656" s="155">
        <v>7.3599999999999999E-2</v>
      </c>
      <c r="I3656" s="154" t="s">
        <v>48</v>
      </c>
      <c r="J3656" s="204">
        <v>3.3899999999999998E-3</v>
      </c>
      <c r="K3656" s="154" t="s">
        <v>25</v>
      </c>
      <c r="L3656" s="154" t="str">
        <f>IF(OpenLCAbasic!K3656="CTUh", "Fill in Manually",IF(OR(K3656="Unit", K3656=""), "", INDEX(LookUps!$E$5:$E$12, MATCH(OpenLCAbasic!K3656,LookUps!$D$5:$D$12,0))))</f>
        <v>Smog Formation Potential (SFP) - kg O3 eq</v>
      </c>
      <c r="M3656" s="154" t="str">
        <f t="shared" si="181"/>
        <v>High_High_Base_Upgraded_Smog Formation Potential (SFP) - kg O3 eq_Effluent release; wastewater treatment unit; at surface water; m3 wastewater - US_Base_With Amendment_Windrow</v>
      </c>
    </row>
    <row r="3657" spans="1:13" s="120" customFormat="1" x14ac:dyDescent="0.25">
      <c r="A3657" s="119"/>
      <c r="B3657" s="138" t="str">
        <f t="shared" si="179"/>
        <v>Windrow</v>
      </c>
      <c r="C3657" s="138" t="str">
        <f t="shared" si="180"/>
        <v>Base_With Amendment</v>
      </c>
      <c r="D3657" s="118" t="s">
        <v>139</v>
      </c>
      <c r="E3657" s="118" t="s">
        <v>181</v>
      </c>
      <c r="F3657" s="118" t="s">
        <v>46</v>
      </c>
      <c r="G3657" s="153"/>
      <c r="H3657" s="155">
        <v>5.9299999999999999E-2</v>
      </c>
      <c r="I3657" s="154" t="s">
        <v>271</v>
      </c>
      <c r="J3657" s="204">
        <v>2.7299999999999998E-3</v>
      </c>
      <c r="K3657" s="154" t="s">
        <v>25</v>
      </c>
      <c r="L3657" s="154" t="str">
        <f>IF(OpenLCAbasic!K3657="CTUh", "Fill in Manually",IF(OR(K3657="Unit", K3657=""), "", INDEX(LookUps!$E$5:$E$12, MATCH(OpenLCAbasic!K3657,LookUps!$D$5:$D$12,0))))</f>
        <v>Smog Formation Potential (SFP) - kg O3 eq</v>
      </c>
      <c r="M3657" s="154" t="str">
        <f t="shared" si="181"/>
        <v>High_High_Base_Upgraded_Smog Formation Potential (SFP) - kg O3 eq_Biosolids composting; windrow composting; wastewater treatment unit; at updated plant - US_Base_With Amendment_Windrow</v>
      </c>
    </row>
    <row r="3658" spans="1:13" s="120" customFormat="1" x14ac:dyDescent="0.25">
      <c r="A3658" s="119"/>
      <c r="B3658" s="138" t="str">
        <f t="shared" si="179"/>
        <v>Windrow</v>
      </c>
      <c r="C3658" s="138" t="str">
        <f t="shared" si="180"/>
        <v>Base_With Amendment</v>
      </c>
      <c r="D3658" s="118" t="s">
        <v>139</v>
      </c>
      <c r="E3658" s="118" t="s">
        <v>181</v>
      </c>
      <c r="F3658" s="118" t="s">
        <v>46</v>
      </c>
      <c r="G3658" s="153"/>
      <c r="H3658" s="155">
        <v>5.33E-2</v>
      </c>
      <c r="I3658" s="154" t="s">
        <v>168</v>
      </c>
      <c r="J3658" s="204">
        <v>2.4599999999999999E-3</v>
      </c>
      <c r="K3658" s="154" t="s">
        <v>25</v>
      </c>
      <c r="L3658" s="154" t="str">
        <f>IF(OpenLCAbasic!K3658="CTUh", "Fill in Manually",IF(OR(K3658="Unit", K3658=""), "", INDEX(LookUps!$E$5:$E$12, MATCH(OpenLCAbasic!K3658,LookUps!$D$5:$D$12,0))))</f>
        <v>Smog Formation Potential (SFP) - kg O3 eq</v>
      </c>
      <c r="M3658" s="154" t="str">
        <f t="shared" si="181"/>
        <v>High_High_Base_Upgraded_Smog Formation Potential (SFP) - kg O3 eq_ClearCove SCP; wastewater treatment unit; at updated plant - US_Base_With Amendment_Windrow</v>
      </c>
    </row>
    <row r="3659" spans="1:13" s="120" customFormat="1" x14ac:dyDescent="0.25">
      <c r="A3659" s="119"/>
      <c r="B3659" s="138" t="str">
        <f t="shared" si="179"/>
        <v>Windrow</v>
      </c>
      <c r="C3659" s="138" t="str">
        <f t="shared" si="180"/>
        <v>Base_With Amendment</v>
      </c>
      <c r="D3659" s="118" t="s">
        <v>139</v>
      </c>
      <c r="E3659" s="118" t="s">
        <v>181</v>
      </c>
      <c r="F3659" s="118" t="s">
        <v>46</v>
      </c>
      <c r="G3659" s="153"/>
      <c r="H3659" s="155">
        <v>1.17E-2</v>
      </c>
      <c r="I3659" s="154" t="s">
        <v>148</v>
      </c>
      <c r="J3659" s="204">
        <v>5.4000000000000001E-4</v>
      </c>
      <c r="K3659" s="154" t="s">
        <v>25</v>
      </c>
      <c r="L3659" s="154" t="str">
        <f>IF(OpenLCAbasic!K3659="CTUh", "Fill in Manually",IF(OR(K3659="Unit", K3659=""), "", INDEX(LookUps!$E$5:$E$12, MATCH(OpenLCAbasic!K3659,LookUps!$D$5:$D$12,0))))</f>
        <v>Smog Formation Potential (SFP) - kg O3 eq</v>
      </c>
      <c r="M3659" s="154" t="str">
        <f t="shared" si="181"/>
        <v>High_High_Base_Upgraded_Smog Formation Potential (SFP) - kg O3 eq_Control Building; at upgraded wastewater treatment plant - US_Base_With Amendment_Windrow</v>
      </c>
    </row>
    <row r="3660" spans="1:13" s="120" customFormat="1" x14ac:dyDescent="0.25">
      <c r="A3660" s="119"/>
      <c r="B3660" s="138" t="str">
        <f t="shared" si="179"/>
        <v>Windrow</v>
      </c>
      <c r="C3660" s="138" t="str">
        <f t="shared" si="180"/>
        <v>Base_With Amendment</v>
      </c>
      <c r="D3660" s="118" t="s">
        <v>139</v>
      </c>
      <c r="E3660" s="118" t="s">
        <v>181</v>
      </c>
      <c r="F3660" s="118" t="s">
        <v>46</v>
      </c>
      <c r="G3660" s="153"/>
      <c r="H3660" s="155">
        <v>-0.11070000000000001</v>
      </c>
      <c r="I3660" s="154" t="s">
        <v>62</v>
      </c>
      <c r="J3660" s="204">
        <v>-5.1000000000000004E-3</v>
      </c>
      <c r="K3660" s="154" t="s">
        <v>25</v>
      </c>
      <c r="L3660" s="154" t="str">
        <f>IF(OpenLCAbasic!K3660="CTUh", "Fill in Manually",IF(OR(K3660="Unit", K3660=""), "", INDEX(LookUps!$E$5:$E$12, MATCH(OpenLCAbasic!K3660,LookUps!$D$5:$D$12,0))))</f>
        <v>Smog Formation Potential (SFP) - kg O3 eq</v>
      </c>
      <c r="M3660" s="154" t="str">
        <f t="shared" si="181"/>
        <v>High_High_Base_Upgraded_Smog Formation Potential (SFP) - kg O3 eq_Land application of compost; wastewater treatment unit; at updated plant - US_Base_With Amendment_Windrow</v>
      </c>
    </row>
    <row r="3661" spans="1:13" s="120" customFormat="1" x14ac:dyDescent="0.25">
      <c r="A3661" s="119"/>
      <c r="B3661" s="138" t="str">
        <f t="shared" si="179"/>
        <v>Windrow</v>
      </c>
      <c r="C3661" s="138" t="str">
        <f t="shared" si="180"/>
        <v>Base_With Amendment</v>
      </c>
      <c r="D3661" s="118" t="s">
        <v>139</v>
      </c>
      <c r="E3661" s="118" t="s">
        <v>181</v>
      </c>
      <c r="F3661" s="118" t="s">
        <v>46</v>
      </c>
      <c r="G3661" s="153"/>
      <c r="H3661" s="155">
        <v>-9.3358000000000008</v>
      </c>
      <c r="I3661" s="154" t="s">
        <v>149</v>
      </c>
      <c r="J3661" s="203">
        <v>-0.42965999999999999</v>
      </c>
      <c r="K3661" s="154" t="s">
        <v>25</v>
      </c>
      <c r="L3661" s="154" t="str">
        <f>IF(OpenLCAbasic!K3661="CTUh", "Fill in Manually",IF(OR(K3661="Unit", K3661=""), "", INDEX(LookUps!$E$5:$E$12, MATCH(OpenLCAbasic!K3661,LookUps!$D$5:$D$12,0))))</f>
        <v>Smog Formation Potential (SFP) - kg O3 eq</v>
      </c>
      <c r="M3661" s="154" t="str">
        <f t="shared" si="181"/>
        <v>High_High_Base_Upgraded_Smog Formation Potential (SFP) - kg O3 eq_Anaerobic Digestion; wastewater treatment unit; at updated plant - US_Base_With Amendment_Windrow</v>
      </c>
    </row>
    <row r="3662" spans="1:13" s="120" customFormat="1" x14ac:dyDescent="0.25">
      <c r="A3662" s="119"/>
      <c r="B3662" s="138" t="str">
        <f t="shared" si="179"/>
        <v>Windrow</v>
      </c>
      <c r="C3662" s="138" t="str">
        <f t="shared" si="180"/>
        <v>Base_With Amendment</v>
      </c>
      <c r="D3662" s="118" t="s">
        <v>139</v>
      </c>
      <c r="E3662" s="118" t="s">
        <v>181</v>
      </c>
      <c r="F3662" s="118" t="s">
        <v>46</v>
      </c>
      <c r="G3662" s="153" t="s">
        <v>51</v>
      </c>
      <c r="H3662" s="154"/>
      <c r="I3662" s="154" t="s">
        <v>47</v>
      </c>
      <c r="J3662" s="154" t="s">
        <v>52</v>
      </c>
      <c r="K3662" s="154" t="s">
        <v>27</v>
      </c>
      <c r="L3662" s="154" t="str">
        <f>IF(OpenLCAbasic!K3662="CTUh", "Fill in Manually",IF(OR(K3662="Unit", K3662=""), "", INDEX(LookUps!$E$5:$E$12, MATCH(OpenLCAbasic!K3662,LookUps!$D$5:$D$12,0))))</f>
        <v/>
      </c>
      <c r="M3662" s="154" t="str">
        <f t="shared" si="181"/>
        <v>High_High_Base_Upgraded__Process_Base_With Amendment_Windrow</v>
      </c>
    </row>
    <row r="3663" spans="1:13" s="120" customFormat="1" x14ac:dyDescent="0.25">
      <c r="A3663" s="119"/>
      <c r="B3663" s="138" t="str">
        <f t="shared" si="179"/>
        <v>Windrow</v>
      </c>
      <c r="C3663" s="138" t="str">
        <f t="shared" si="180"/>
        <v>Base_With Amendment</v>
      </c>
      <c r="D3663" s="118" t="s">
        <v>139</v>
      </c>
      <c r="E3663" s="118" t="s">
        <v>181</v>
      </c>
      <c r="F3663" s="118" t="s">
        <v>46</v>
      </c>
      <c r="G3663" s="153"/>
      <c r="H3663" s="155">
        <v>0.31480000000000002</v>
      </c>
      <c r="I3663" s="154" t="s">
        <v>167</v>
      </c>
      <c r="J3663" s="204">
        <v>3.4000000000000002E-4</v>
      </c>
      <c r="K3663" s="154" t="s">
        <v>26</v>
      </c>
      <c r="L3663" s="154" t="str">
        <f>IF(OpenLCAbasic!K3663="CTUh", "Fill in Manually",IF(OR(K3663="Unit", K3663=""), "", INDEX(LookUps!$E$5:$E$12, MATCH(OpenLCAbasic!K3663,LookUps!$D$5:$D$12,0))))</f>
        <v>Water Use (WU) - m3 H2O</v>
      </c>
      <c r="M3663" s="154" t="str">
        <f t="shared" si="181"/>
        <v>High_High_Base_Upgraded_Water Use (WU) - m3 H2O_Waste Receiving and Holding; wastewater treatment unit; at updated plant - US_Base_With Amendment_Windrow</v>
      </c>
    </row>
    <row r="3664" spans="1:13" s="120" customFormat="1" x14ac:dyDescent="0.25">
      <c r="A3664" s="119"/>
      <c r="B3664" s="138" t="str">
        <f t="shared" si="179"/>
        <v>Windrow</v>
      </c>
      <c r="C3664" s="138" t="str">
        <f t="shared" si="180"/>
        <v>Base_With Amendment</v>
      </c>
      <c r="D3664" s="118" t="s">
        <v>139</v>
      </c>
      <c r="E3664" s="118" t="s">
        <v>181</v>
      </c>
      <c r="F3664" s="118" t="s">
        <v>46</v>
      </c>
      <c r="G3664" s="153"/>
      <c r="H3664" s="155">
        <v>0.17230000000000001</v>
      </c>
      <c r="I3664" s="154" t="s">
        <v>147</v>
      </c>
      <c r="J3664" s="204">
        <v>1.8000000000000001E-4</v>
      </c>
      <c r="K3664" s="154" t="s">
        <v>26</v>
      </c>
      <c r="L3664" s="154" t="str">
        <f>IF(OpenLCAbasic!K3664="CTUh", "Fill in Manually",IF(OR(K3664="Unit", K3664=""), "", INDEX(LookUps!$E$5:$E$12, MATCH(OpenLCAbasic!K3664,LookUps!$D$5:$D$12,0))))</f>
        <v>Water Use (WU) - m3 H2O</v>
      </c>
      <c r="M3664" s="154" t="str">
        <f t="shared" si="181"/>
        <v>High_High_Base_Upgraded_Water Use (WU) - m3 H2O_Influent Pump Station; wastewater treatment unit; at updated plant - US_Base_With Amendment_Windrow</v>
      </c>
    </row>
    <row r="3665" spans="1:13" s="120" customFormat="1" x14ac:dyDescent="0.25">
      <c r="A3665" s="119"/>
      <c r="B3665" s="138" t="str">
        <f t="shared" si="179"/>
        <v>Windrow</v>
      </c>
      <c r="C3665" s="138" t="str">
        <f t="shared" si="180"/>
        <v>Base_With Amendment</v>
      </c>
      <c r="D3665" s="118" t="s">
        <v>139</v>
      </c>
      <c r="E3665" s="118" t="s">
        <v>181</v>
      </c>
      <c r="F3665" s="118" t="s">
        <v>46</v>
      </c>
      <c r="G3665" s="153"/>
      <c r="H3665" s="155">
        <v>0.1681</v>
      </c>
      <c r="I3665" s="154" t="s">
        <v>54</v>
      </c>
      <c r="J3665" s="204">
        <v>1.8000000000000001E-4</v>
      </c>
      <c r="K3665" s="154" t="s">
        <v>26</v>
      </c>
      <c r="L3665" s="154" t="str">
        <f>IF(OpenLCAbasic!K3665="CTUh", "Fill in Manually",IF(OR(K3665="Unit", K3665=""), "", INDEX(LookUps!$E$5:$E$12, MATCH(OpenLCAbasic!K3665,LookUps!$D$5:$D$12,0))))</f>
        <v>Water Use (WU) - m3 H2O</v>
      </c>
      <c r="M3665" s="154" t="str">
        <f t="shared" si="181"/>
        <v>High_High_Base_Upgraded_Water Use (WU) - m3 H2O_Clear Cove Primary Clarification; wastewater treatment unit; at updated plant - US_Base_With Amendment_Windrow</v>
      </c>
    </row>
    <row r="3666" spans="1:13" s="120" customFormat="1" x14ac:dyDescent="0.25">
      <c r="A3666" s="119"/>
      <c r="B3666" s="138" t="str">
        <f t="shared" si="179"/>
        <v>Windrow</v>
      </c>
      <c r="C3666" s="138" t="str">
        <f t="shared" si="180"/>
        <v>Base_With Amendment</v>
      </c>
      <c r="D3666" s="118" t="s">
        <v>139</v>
      </c>
      <c r="E3666" s="118" t="s">
        <v>181</v>
      </c>
      <c r="F3666" s="118" t="s">
        <v>46</v>
      </c>
      <c r="G3666" s="153"/>
      <c r="H3666" s="155">
        <v>0.1525</v>
      </c>
      <c r="I3666" s="154" t="s">
        <v>55</v>
      </c>
      <c r="J3666" s="204">
        <v>1.6000000000000001E-4</v>
      </c>
      <c r="K3666" s="154" t="s">
        <v>26</v>
      </c>
      <c r="L3666" s="154" t="str">
        <f>IF(OpenLCAbasic!K3666="CTUh", "Fill in Manually",IF(OR(K3666="Unit", K3666=""), "", INDEX(LookUps!$E$5:$E$12, MATCH(OpenLCAbasic!K3666,LookUps!$D$5:$D$12,0))))</f>
        <v>Water Use (WU) - m3 H2O</v>
      </c>
      <c r="M3666" s="154" t="str">
        <f t="shared" si="181"/>
        <v>High_High_Base_Upgraded_Water Use (WU) - m3 H2O_Aeration Tanks; wastewater treatment unit; at updated plant - US_Base_With Amendment_Windrow</v>
      </c>
    </row>
    <row r="3667" spans="1:13" s="120" customFormat="1" x14ac:dyDescent="0.25">
      <c r="A3667" s="119"/>
      <c r="B3667" s="138" t="str">
        <f t="shared" si="179"/>
        <v>Windrow</v>
      </c>
      <c r="C3667" s="138" t="str">
        <f t="shared" si="180"/>
        <v>Base_With Amendment</v>
      </c>
      <c r="D3667" s="118" t="s">
        <v>139</v>
      </c>
      <c r="E3667" s="118" t="s">
        <v>181</v>
      </c>
      <c r="F3667" s="118" t="s">
        <v>46</v>
      </c>
      <c r="G3667" s="153"/>
      <c r="H3667" s="155">
        <v>0.1389</v>
      </c>
      <c r="I3667" s="154" t="s">
        <v>148</v>
      </c>
      <c r="J3667" s="204">
        <v>1.4999999999999999E-4</v>
      </c>
      <c r="K3667" s="154" t="s">
        <v>26</v>
      </c>
      <c r="L3667" s="154" t="str">
        <f>IF(OpenLCAbasic!K3667="CTUh", "Fill in Manually",IF(OR(K3667="Unit", K3667=""), "", INDEX(LookUps!$E$5:$E$12, MATCH(OpenLCAbasic!K3667,LookUps!$D$5:$D$12,0))))</f>
        <v>Water Use (WU) - m3 H2O</v>
      </c>
      <c r="M3667" s="154" t="str">
        <f t="shared" si="181"/>
        <v>High_High_Base_Upgraded_Water Use (WU) - m3 H2O_Control Building; at upgraded wastewater treatment plant - US_Base_With Amendment_Windrow</v>
      </c>
    </row>
    <row r="3668" spans="1:13" s="120" customFormat="1" x14ac:dyDescent="0.25">
      <c r="A3668" s="119"/>
      <c r="B3668" s="138" t="str">
        <f t="shared" si="179"/>
        <v>Windrow</v>
      </c>
      <c r="C3668" s="138" t="str">
        <f t="shared" si="180"/>
        <v>Base_With Amendment</v>
      </c>
      <c r="D3668" s="118" t="s">
        <v>139</v>
      </c>
      <c r="E3668" s="118" t="s">
        <v>181</v>
      </c>
      <c r="F3668" s="118" t="s">
        <v>46</v>
      </c>
      <c r="G3668" s="153"/>
      <c r="H3668" s="155">
        <v>6.4500000000000002E-2</v>
      </c>
      <c r="I3668" s="154" t="s">
        <v>48</v>
      </c>
      <c r="J3668" s="204">
        <v>6.8836400000000004E-5</v>
      </c>
      <c r="K3668" s="154" t="s">
        <v>26</v>
      </c>
      <c r="L3668" s="154" t="str">
        <f>IF(OpenLCAbasic!K3668="CTUh", "Fill in Manually",IF(OR(K3668="Unit", K3668=""), "", INDEX(LookUps!$E$5:$E$12, MATCH(OpenLCAbasic!K3668,LookUps!$D$5:$D$12,0))))</f>
        <v>Water Use (WU) - m3 H2O</v>
      </c>
      <c r="M3668" s="154" t="str">
        <f t="shared" si="181"/>
        <v>High_High_Base_Upgraded_Water Use (WU) - m3 H2O_Effluent release; wastewater treatment unit; at surface water; m3 wastewater - US_Base_With Amendment_Windrow</v>
      </c>
    </row>
    <row r="3669" spans="1:13" s="120" customFormat="1" x14ac:dyDescent="0.25">
      <c r="A3669" s="119"/>
      <c r="B3669" s="138" t="str">
        <f t="shared" si="179"/>
        <v>Windrow</v>
      </c>
      <c r="C3669" s="138" t="str">
        <f t="shared" si="180"/>
        <v>Base_With Amendment</v>
      </c>
      <c r="D3669" s="118" t="s">
        <v>139</v>
      </c>
      <c r="E3669" s="118" t="s">
        <v>181</v>
      </c>
      <c r="F3669" s="118" t="s">
        <v>46</v>
      </c>
      <c r="G3669" s="153"/>
      <c r="H3669" s="155">
        <v>4.0599999999999997E-2</v>
      </c>
      <c r="I3669" s="154" t="s">
        <v>58</v>
      </c>
      <c r="J3669" s="204">
        <v>4.3289399999999999E-5</v>
      </c>
      <c r="K3669" s="154" t="s">
        <v>26</v>
      </c>
      <c r="L3669" s="154" t="str">
        <f>IF(OpenLCAbasic!K3669="CTUh", "Fill in Manually",IF(OR(K3669="Unit", K3669=""), "", INDEX(LookUps!$E$5:$E$12, MATCH(OpenLCAbasic!K3669,LookUps!$D$5:$D$12,0))))</f>
        <v>Water Use (WU) - m3 H2O</v>
      </c>
      <c r="M3669" s="154" t="str">
        <f t="shared" si="181"/>
        <v>High_High_Base_Upgraded_Water Use (WU) - m3 H2O_Pre-Anoxic &amp; Swing tank; wastewater treatment unit; at updated plant - US_Base_With Amendment_Windrow</v>
      </c>
    </row>
    <row r="3670" spans="1:13" s="120" customFormat="1" x14ac:dyDescent="0.25">
      <c r="A3670" s="119"/>
      <c r="B3670" s="138" t="str">
        <f t="shared" si="179"/>
        <v>Windrow</v>
      </c>
      <c r="C3670" s="138" t="str">
        <f t="shared" si="180"/>
        <v>Base_With Amendment</v>
      </c>
      <c r="D3670" s="118" t="s">
        <v>139</v>
      </c>
      <c r="E3670" s="118" t="s">
        <v>181</v>
      </c>
      <c r="F3670" s="118" t="s">
        <v>46</v>
      </c>
      <c r="G3670" s="153"/>
      <c r="H3670" s="155">
        <v>3.8800000000000001E-2</v>
      </c>
      <c r="I3670" s="154" t="s">
        <v>60</v>
      </c>
      <c r="J3670" s="204">
        <v>4.1413099999999998E-5</v>
      </c>
      <c r="K3670" s="154" t="s">
        <v>26</v>
      </c>
      <c r="L3670" s="154" t="str">
        <f>IF(OpenLCAbasic!K3670="CTUh", "Fill in Manually",IF(OR(K3670="Unit", K3670=""), "", INDEX(LookUps!$E$5:$E$12, MATCH(OpenLCAbasic!K3670,LookUps!$D$5:$D$12,0))))</f>
        <v>Water Use (WU) - m3 H2O</v>
      </c>
      <c r="M3670" s="154" t="str">
        <f t="shared" si="181"/>
        <v>High_High_Base_Upgraded_Water Use (WU) - m3 H2O_Belt filter press; wastewater treatment unit; at updated plant - US_Base_With Amendment_Windrow</v>
      </c>
    </row>
    <row r="3671" spans="1:13" s="120" customFormat="1" x14ac:dyDescent="0.25">
      <c r="A3671" s="119"/>
      <c r="B3671" s="138" t="str">
        <f t="shared" si="179"/>
        <v>Windrow</v>
      </c>
      <c r="C3671" s="138" t="str">
        <f t="shared" si="180"/>
        <v>Base_With Amendment</v>
      </c>
      <c r="D3671" s="118" t="s">
        <v>139</v>
      </c>
      <c r="E3671" s="118" t="s">
        <v>181</v>
      </c>
      <c r="F3671" s="118" t="s">
        <v>46</v>
      </c>
      <c r="G3671" s="153"/>
      <c r="H3671" s="155">
        <v>2.8500000000000001E-2</v>
      </c>
      <c r="I3671" s="154" t="s">
        <v>57</v>
      </c>
      <c r="J3671" s="204">
        <v>3.0408100000000001E-5</v>
      </c>
      <c r="K3671" s="154" t="s">
        <v>26</v>
      </c>
      <c r="L3671" s="154" t="str">
        <f>IF(OpenLCAbasic!K3671="CTUh", "Fill in Manually",IF(OR(K3671="Unit", K3671=""), "", INDEX(LookUps!$E$5:$E$12, MATCH(OpenLCAbasic!K3671,LookUps!$D$5:$D$12,0))))</f>
        <v>Water Use (WU) - m3 H2O</v>
      </c>
      <c r="M3671" s="154" t="str">
        <f t="shared" si="181"/>
        <v>High_High_Base_Upgraded_Water Use (WU) - m3 H2O_Gravity Belt Thickener; wastewater treatment unit; at updated plant - US_Base_With Amendment_Windrow</v>
      </c>
    </row>
    <row r="3672" spans="1:13" s="120" customFormat="1" x14ac:dyDescent="0.25">
      <c r="A3672" s="119"/>
      <c r="B3672" s="138" t="str">
        <f t="shared" si="179"/>
        <v>Windrow</v>
      </c>
      <c r="C3672" s="138" t="str">
        <f t="shared" si="180"/>
        <v>Base_With Amendment</v>
      </c>
      <c r="D3672" s="118" t="s">
        <v>139</v>
      </c>
      <c r="E3672" s="118" t="s">
        <v>181</v>
      </c>
      <c r="F3672" s="118" t="s">
        <v>46</v>
      </c>
      <c r="G3672" s="153"/>
      <c r="H3672" s="155">
        <v>1.6400000000000001E-2</v>
      </c>
      <c r="I3672" s="154" t="s">
        <v>53</v>
      </c>
      <c r="J3672" s="204">
        <v>1.75069E-5</v>
      </c>
      <c r="K3672" s="154" t="s">
        <v>26</v>
      </c>
      <c r="L3672" s="154" t="str">
        <f>IF(OpenLCAbasic!K3672="CTUh", "Fill in Manually",IF(OR(K3672="Unit", K3672=""), "", INDEX(LookUps!$E$5:$E$12, MATCH(OpenLCAbasic!K3672,LookUps!$D$5:$D$12,0))))</f>
        <v>Water Use (WU) - m3 H2O</v>
      </c>
      <c r="M3672" s="154" t="str">
        <f t="shared" si="181"/>
        <v>High_High_Base_Upgraded_Water Use (WU) - m3 H2O_Wet Well and Sump Station; wastewater treatment unit; at updated plant - US_Base_With Amendment_Windrow</v>
      </c>
    </row>
    <row r="3673" spans="1:13" s="120" customFormat="1" x14ac:dyDescent="0.25">
      <c r="A3673" s="119"/>
      <c r="B3673" s="138" t="str">
        <f t="shared" si="179"/>
        <v>Windrow</v>
      </c>
      <c r="C3673" s="138" t="str">
        <f t="shared" si="180"/>
        <v>Base_With Amendment</v>
      </c>
      <c r="D3673" s="118" t="s">
        <v>139</v>
      </c>
      <c r="E3673" s="118" t="s">
        <v>181</v>
      </c>
      <c r="F3673" s="118" t="s">
        <v>46</v>
      </c>
      <c r="G3673" s="153"/>
      <c r="H3673" s="155">
        <v>6.6E-3</v>
      </c>
      <c r="I3673" s="154" t="s">
        <v>59</v>
      </c>
      <c r="J3673" s="204">
        <v>7.0179500000000003E-6</v>
      </c>
      <c r="K3673" s="154" t="s">
        <v>26</v>
      </c>
      <c r="L3673" s="154" t="str">
        <f>IF(OpenLCAbasic!K3673="CTUh", "Fill in Manually",IF(OR(K3673="Unit", K3673=""), "", INDEX(LookUps!$E$5:$E$12, MATCH(OpenLCAbasic!K3673,LookUps!$D$5:$D$12,0))))</f>
        <v>Water Use (WU) - m3 H2O</v>
      </c>
      <c r="M3673" s="154" t="str">
        <f t="shared" si="181"/>
        <v>High_High_Base_Upgraded_Water Use (WU) - m3 H2O_Blend Tank; wastewater treatment unit; at updated plant - US_Base_With Amendment_Windrow</v>
      </c>
    </row>
    <row r="3674" spans="1:13" s="120" customFormat="1" x14ac:dyDescent="0.25">
      <c r="A3674" s="119"/>
      <c r="B3674" s="138" t="str">
        <f t="shared" si="179"/>
        <v>Windrow</v>
      </c>
      <c r="C3674" s="138" t="str">
        <f t="shared" si="180"/>
        <v>Base_With Amendment</v>
      </c>
      <c r="D3674" s="118" t="s">
        <v>139</v>
      </c>
      <c r="E3674" s="118" t="s">
        <v>181</v>
      </c>
      <c r="F3674" s="118" t="s">
        <v>46</v>
      </c>
      <c r="G3674" s="153"/>
      <c r="H3674" s="155">
        <v>4.7000000000000002E-3</v>
      </c>
      <c r="I3674" s="154" t="s">
        <v>128</v>
      </c>
      <c r="J3674" s="204">
        <v>5.0608900000000003E-6</v>
      </c>
      <c r="K3674" s="154" t="s">
        <v>26</v>
      </c>
      <c r="L3674" s="154" t="str">
        <f>IF(OpenLCAbasic!K3674="CTUh", "Fill in Manually",IF(OR(K3674="Unit", K3674=""), "", INDEX(LookUps!$E$5:$E$12, MATCH(OpenLCAbasic!K3674,LookUps!$D$5:$D$12,0))))</f>
        <v>Water Use (WU) - m3 H2O</v>
      </c>
      <c r="M3674" s="154" t="str">
        <f t="shared" si="181"/>
        <v>High_High_Base_Upgraded_Water Use (WU) - m3 H2O_Wastewater collection; operation and infrastructure; m3 wastewater_Base_With Amendment_Windrow</v>
      </c>
    </row>
    <row r="3675" spans="1:13" s="120" customFormat="1" x14ac:dyDescent="0.25">
      <c r="A3675" s="119"/>
      <c r="B3675" s="138" t="str">
        <f t="shared" si="179"/>
        <v>Windrow</v>
      </c>
      <c r="C3675" s="138" t="str">
        <f t="shared" si="180"/>
        <v>Base_With Amendment</v>
      </c>
      <c r="D3675" s="118" t="s">
        <v>139</v>
      </c>
      <c r="E3675" s="118" t="s">
        <v>181</v>
      </c>
      <c r="F3675" s="118" t="s">
        <v>46</v>
      </c>
      <c r="G3675" s="153"/>
      <c r="H3675" s="155">
        <v>1.9E-3</v>
      </c>
      <c r="I3675" s="154" t="s">
        <v>271</v>
      </c>
      <c r="J3675" s="204">
        <v>2.0151899999999999E-6</v>
      </c>
      <c r="K3675" s="154" t="s">
        <v>26</v>
      </c>
      <c r="L3675" s="154" t="str">
        <f>IF(OpenLCAbasic!K3675="CTUh", "Fill in Manually",IF(OR(K3675="Unit", K3675=""), "", INDEX(LookUps!$E$5:$E$12, MATCH(OpenLCAbasic!K3675,LookUps!$D$5:$D$12,0))))</f>
        <v>Water Use (WU) - m3 H2O</v>
      </c>
      <c r="M3675" s="154" t="str">
        <f t="shared" si="181"/>
        <v>High_High_Base_Upgraded_Water Use (WU) - m3 H2O_Biosolids composting; windrow composting; wastewater treatment unit; at updated plant - US_Base_With Amendment_Windrow</v>
      </c>
    </row>
    <row r="3676" spans="1:13" s="120" customFormat="1" x14ac:dyDescent="0.25">
      <c r="A3676" s="119"/>
      <c r="B3676" s="138" t="str">
        <f t="shared" si="179"/>
        <v>Windrow</v>
      </c>
      <c r="C3676" s="138" t="str">
        <f t="shared" si="180"/>
        <v>Base_With Amendment</v>
      </c>
      <c r="D3676" s="118" t="s">
        <v>139</v>
      </c>
      <c r="E3676" s="118" t="s">
        <v>181</v>
      </c>
      <c r="F3676" s="118" t="s">
        <v>46</v>
      </c>
      <c r="G3676" s="153"/>
      <c r="H3676" s="155">
        <v>6.9999999999999999E-4</v>
      </c>
      <c r="I3676" s="154" t="s">
        <v>168</v>
      </c>
      <c r="J3676" s="204">
        <v>7.6697000000000004E-7</v>
      </c>
      <c r="K3676" s="154" t="s">
        <v>26</v>
      </c>
      <c r="L3676" s="154" t="str">
        <f>IF(OpenLCAbasic!K3676="CTUh", "Fill in Manually",IF(OR(K3676="Unit", K3676=""), "", INDEX(LookUps!$E$5:$E$12, MATCH(OpenLCAbasic!K3676,LookUps!$D$5:$D$12,0))))</f>
        <v>Water Use (WU) - m3 H2O</v>
      </c>
      <c r="M3676" s="154" t="str">
        <f t="shared" si="181"/>
        <v>High_High_Base_Upgraded_Water Use (WU) - m3 H2O_ClearCove SCP; wastewater treatment unit; at updated plant - US_Base_With Amendment_Windrow</v>
      </c>
    </row>
    <row r="3677" spans="1:13" s="120" customFormat="1" x14ac:dyDescent="0.25">
      <c r="A3677" s="119"/>
      <c r="B3677" s="138" t="str">
        <f t="shared" si="179"/>
        <v>Windrow</v>
      </c>
      <c r="C3677" s="138" t="str">
        <f t="shared" si="180"/>
        <v>Base_With Amendment</v>
      </c>
      <c r="D3677" s="118" t="s">
        <v>139</v>
      </c>
      <c r="E3677" s="118" t="s">
        <v>181</v>
      </c>
      <c r="F3677" s="118" t="s">
        <v>46</v>
      </c>
      <c r="G3677" s="153"/>
      <c r="H3677" s="155">
        <v>-0.1081</v>
      </c>
      <c r="I3677" s="154" t="s">
        <v>149</v>
      </c>
      <c r="J3677" s="204">
        <v>-1.2E-4</v>
      </c>
      <c r="K3677" s="154" t="s">
        <v>26</v>
      </c>
      <c r="L3677" s="154" t="str">
        <f>IF(OpenLCAbasic!K3677="CTUh", "Fill in Manually",IF(OR(K3677="Unit", K3677=""), "", INDEX(LookUps!$E$5:$E$12, MATCH(OpenLCAbasic!K3677,LookUps!$D$5:$D$12,0))))</f>
        <v>Water Use (WU) - m3 H2O</v>
      </c>
      <c r="M3677" s="154" t="str">
        <f t="shared" si="181"/>
        <v>High_High_Base_Upgraded_Water Use (WU) - m3 H2O_Anaerobic Digestion; wastewater treatment unit; at updated plant - US_Base_With Amendment_Windrow</v>
      </c>
    </row>
    <row r="3678" spans="1:13" s="120" customFormat="1" x14ac:dyDescent="0.25">
      <c r="A3678" s="213"/>
      <c r="B3678" s="138" t="str">
        <f t="shared" si="179"/>
        <v>Windrow</v>
      </c>
      <c r="C3678" s="138" t="str">
        <f t="shared" si="180"/>
        <v>Base_With Amendment</v>
      </c>
      <c r="D3678" s="118" t="s">
        <v>139</v>
      </c>
      <c r="E3678" s="118" t="s">
        <v>181</v>
      </c>
      <c r="F3678" s="118" t="s">
        <v>46</v>
      </c>
      <c r="G3678" s="153"/>
      <c r="H3678" s="155">
        <v>-2.0409999999999999</v>
      </c>
      <c r="I3678" s="154" t="s">
        <v>62</v>
      </c>
      <c r="J3678" s="204">
        <v>-2.1800000000000001E-3</v>
      </c>
      <c r="K3678" s="154" t="s">
        <v>26</v>
      </c>
      <c r="L3678" s="154" t="str">
        <f>IF(OpenLCAbasic!K3678="CTUh", "Fill in Manually",IF(OR(K3678="Unit", K3678=""), "", INDEX(LookUps!$E$5:$E$12, MATCH(OpenLCAbasic!K3678,LookUps!$D$5:$D$12,0))))</f>
        <v>Water Use (WU) - m3 H2O</v>
      </c>
      <c r="M3678" s="154" t="str">
        <f t="shared" si="181"/>
        <v>High_High_Base_Upgraded_Water Use (WU) - m3 H2O_Land application of compost; wastewater treatment unit; at updated plant - US_Base_With Amendment_Windrow</v>
      </c>
    </row>
    <row r="3679" spans="1:13" s="120" customFormat="1" x14ac:dyDescent="0.25">
      <c r="A3679" s="119"/>
      <c r="B3679" s="138" t="str">
        <f t="shared" si="179"/>
        <v/>
      </c>
      <c r="C3679" s="138" t="str">
        <f t="shared" si="180"/>
        <v/>
      </c>
      <c r="D3679" s="138"/>
      <c r="E3679" s="138"/>
      <c r="F3679" s="138"/>
      <c r="G3679" s="153"/>
      <c r="H3679" s="160"/>
      <c r="I3679" s="160"/>
      <c r="J3679" s="207"/>
      <c r="K3679" s="160"/>
      <c r="L3679" s="154" t="str">
        <f>IF(OpenLCAbasic!K3679="CTUh", "Fill in Manually",IF(OR(K3679="Unit", K3679=""), "", INDEX(LookUps!$E$5:$E$12, MATCH(OpenLCAbasic!K3679,LookUps!$D$5:$D$12,0))))</f>
        <v/>
      </c>
      <c r="M3679" s="154" t="str">
        <f t="shared" si="181"/>
        <v>______</v>
      </c>
    </row>
    <row r="3680" spans="1:13" s="120" customFormat="1" x14ac:dyDescent="0.25">
      <c r="A3680" s="119"/>
      <c r="B3680" s="138" t="str">
        <f t="shared" si="179"/>
        <v>Windrow</v>
      </c>
      <c r="C3680" s="138" t="str">
        <f t="shared" si="180"/>
        <v>Base_With Amendment</v>
      </c>
      <c r="D3680" s="118" t="s">
        <v>140</v>
      </c>
      <c r="E3680" s="118" t="s">
        <v>181</v>
      </c>
      <c r="F3680" s="118" t="s">
        <v>46</v>
      </c>
      <c r="G3680" s="153" t="s">
        <v>51</v>
      </c>
      <c r="H3680" s="154"/>
      <c r="I3680" s="154" t="s">
        <v>47</v>
      </c>
      <c r="J3680" s="154" t="s">
        <v>52</v>
      </c>
      <c r="K3680" s="154" t="s">
        <v>27</v>
      </c>
      <c r="L3680" s="154" t="str">
        <f>IF(OpenLCAbasic!K3680="CTUh", "Fill in Manually",IF(OR(K3680="Unit", K3680=""), "", INDEX(LookUps!$E$5:$E$12, MATCH(OpenLCAbasic!K3680,LookUps!$D$5:$D$12,0))))</f>
        <v/>
      </c>
      <c r="M3680" s="154" t="str">
        <f t="shared" si="181"/>
        <v>High_High_High_Upgraded__Process_Base_With Amendment_Windrow</v>
      </c>
    </row>
    <row r="3681" spans="1:13" s="120" customFormat="1" x14ac:dyDescent="0.25">
      <c r="A3681" s="119"/>
      <c r="B3681" s="138" t="str">
        <f t="shared" si="179"/>
        <v>Windrow</v>
      </c>
      <c r="C3681" s="138" t="str">
        <f t="shared" si="180"/>
        <v>Base_With Amendment</v>
      </c>
      <c r="D3681" s="118" t="s">
        <v>140</v>
      </c>
      <c r="E3681" s="118" t="s">
        <v>181</v>
      </c>
      <c r="F3681" s="118" t="s">
        <v>46</v>
      </c>
      <c r="G3681" s="153"/>
      <c r="H3681" s="155">
        <v>1.4569000000000001</v>
      </c>
      <c r="I3681" s="154" t="s">
        <v>271</v>
      </c>
      <c r="J3681" s="157">
        <v>2.8841199999999998</v>
      </c>
      <c r="K3681" s="154" t="s">
        <v>23</v>
      </c>
      <c r="L3681" s="154" t="str">
        <f>IF(OpenLCAbasic!K3681="CTUh", "Fill in Manually",IF(OR(K3681="Unit", K3681=""), "", INDEX(LookUps!$E$5:$E$12, MATCH(OpenLCAbasic!K3681,LookUps!$D$5:$D$12,0))))</f>
        <v>Global Warming Potential (GWP) - kg CO2 eq</v>
      </c>
      <c r="M3681" s="154" t="str">
        <f t="shared" si="181"/>
        <v>High_High_High_Upgraded_Global Warming Potential (GWP) - kg CO2 eq_Biosolids composting; windrow composting; wastewater treatment unit; at updated plant - US_Base_With Amendment_Windrow</v>
      </c>
    </row>
    <row r="3682" spans="1:13" s="120" customFormat="1" x14ac:dyDescent="0.25">
      <c r="A3682" s="119"/>
      <c r="B3682" s="138" t="str">
        <f t="shared" si="179"/>
        <v>Windrow</v>
      </c>
      <c r="C3682" s="138" t="str">
        <f t="shared" si="180"/>
        <v>Base_With Amendment</v>
      </c>
      <c r="D3682" s="118" t="s">
        <v>140</v>
      </c>
      <c r="E3682" s="118" t="s">
        <v>181</v>
      </c>
      <c r="F3682" s="118" t="s">
        <v>46</v>
      </c>
      <c r="G3682" s="153"/>
      <c r="H3682" s="155">
        <v>0.12620000000000001</v>
      </c>
      <c r="I3682" s="154" t="s">
        <v>58</v>
      </c>
      <c r="J3682" s="203">
        <v>0.24992</v>
      </c>
      <c r="K3682" s="154" t="s">
        <v>23</v>
      </c>
      <c r="L3682" s="154" t="str">
        <f>IF(OpenLCAbasic!K3682="CTUh", "Fill in Manually",IF(OR(K3682="Unit", K3682=""), "", INDEX(LookUps!$E$5:$E$12, MATCH(OpenLCAbasic!K3682,LookUps!$D$5:$D$12,0))))</f>
        <v>Global Warming Potential (GWP) - kg CO2 eq</v>
      </c>
      <c r="M3682" s="154" t="str">
        <f t="shared" si="181"/>
        <v>High_High_High_Upgraded_Global Warming Potential (GWP) - kg CO2 eq_Pre-Anoxic &amp; Swing tank; wastewater treatment unit; at updated plant - US_Base_With Amendment_Windrow</v>
      </c>
    </row>
    <row r="3683" spans="1:13" s="120" customFormat="1" x14ac:dyDescent="0.25">
      <c r="A3683" s="119"/>
      <c r="B3683" s="138" t="str">
        <f t="shared" si="179"/>
        <v>Windrow</v>
      </c>
      <c r="C3683" s="138" t="str">
        <f t="shared" si="180"/>
        <v>Base_With Amendment</v>
      </c>
      <c r="D3683" s="118" t="s">
        <v>140</v>
      </c>
      <c r="E3683" s="118" t="s">
        <v>181</v>
      </c>
      <c r="F3683" s="118" t="s">
        <v>46</v>
      </c>
      <c r="G3683" s="153"/>
      <c r="H3683" s="155">
        <v>8.5000000000000006E-2</v>
      </c>
      <c r="I3683" s="154" t="s">
        <v>55</v>
      </c>
      <c r="J3683" s="203">
        <v>0.16822000000000001</v>
      </c>
      <c r="K3683" s="154" t="s">
        <v>23</v>
      </c>
      <c r="L3683" s="154" t="str">
        <f>IF(OpenLCAbasic!K3683="CTUh", "Fill in Manually",IF(OR(K3683="Unit", K3683=""), "", INDEX(LookUps!$E$5:$E$12, MATCH(OpenLCAbasic!K3683,LookUps!$D$5:$D$12,0))))</f>
        <v>Global Warming Potential (GWP) - kg CO2 eq</v>
      </c>
      <c r="M3683" s="154" t="str">
        <f t="shared" si="181"/>
        <v>High_High_High_Upgraded_Global Warming Potential (GWP) - kg CO2 eq_Aeration Tanks; wastewater treatment unit; at updated plant - US_Base_With Amendment_Windrow</v>
      </c>
    </row>
    <row r="3684" spans="1:13" s="120" customFormat="1" x14ac:dyDescent="0.25">
      <c r="A3684" s="119"/>
      <c r="B3684" s="138" t="str">
        <f t="shared" si="179"/>
        <v>Windrow</v>
      </c>
      <c r="C3684" s="138" t="str">
        <f t="shared" si="180"/>
        <v>Base_With Amendment</v>
      </c>
      <c r="D3684" s="118" t="s">
        <v>140</v>
      </c>
      <c r="E3684" s="118" t="s">
        <v>181</v>
      </c>
      <c r="F3684" s="118" t="s">
        <v>46</v>
      </c>
      <c r="G3684" s="153"/>
      <c r="H3684" s="155">
        <v>7.4200000000000002E-2</v>
      </c>
      <c r="I3684" s="154" t="s">
        <v>167</v>
      </c>
      <c r="J3684" s="203">
        <v>0.14685000000000001</v>
      </c>
      <c r="K3684" s="154" t="s">
        <v>23</v>
      </c>
      <c r="L3684" s="154" t="str">
        <f>IF(OpenLCAbasic!K3684="CTUh", "Fill in Manually",IF(OR(K3684="Unit", K3684=""), "", INDEX(LookUps!$E$5:$E$12, MATCH(OpenLCAbasic!K3684,LookUps!$D$5:$D$12,0))))</f>
        <v>Global Warming Potential (GWP) - kg CO2 eq</v>
      </c>
      <c r="M3684" s="154" t="str">
        <f t="shared" si="181"/>
        <v>High_High_High_Upgraded_Global Warming Potential (GWP) - kg CO2 eq_Waste Receiving and Holding; wastewater treatment unit; at updated plant - US_Base_With Amendment_Windrow</v>
      </c>
    </row>
    <row r="3685" spans="1:13" s="120" customFormat="1" x14ac:dyDescent="0.25">
      <c r="A3685" s="119"/>
      <c r="B3685" s="138" t="str">
        <f t="shared" si="179"/>
        <v>Windrow</v>
      </c>
      <c r="C3685" s="138" t="str">
        <f t="shared" si="180"/>
        <v>Base_With Amendment</v>
      </c>
      <c r="D3685" s="118" t="s">
        <v>140</v>
      </c>
      <c r="E3685" s="118" t="s">
        <v>181</v>
      </c>
      <c r="F3685" s="118" t="s">
        <v>46</v>
      </c>
      <c r="G3685" s="153"/>
      <c r="H3685" s="155">
        <v>2.8799999999999999E-2</v>
      </c>
      <c r="I3685" s="154" t="s">
        <v>54</v>
      </c>
      <c r="J3685" s="203">
        <v>5.7079999999999999E-2</v>
      </c>
      <c r="K3685" s="154" t="s">
        <v>23</v>
      </c>
      <c r="L3685" s="154" t="str">
        <f>IF(OpenLCAbasic!K3685="CTUh", "Fill in Manually",IF(OR(K3685="Unit", K3685=""), "", INDEX(LookUps!$E$5:$E$12, MATCH(OpenLCAbasic!K3685,LookUps!$D$5:$D$12,0))))</f>
        <v>Global Warming Potential (GWP) - kg CO2 eq</v>
      </c>
      <c r="M3685" s="154" t="str">
        <f t="shared" si="181"/>
        <v>High_High_High_Upgraded_Global Warming Potential (GWP) - kg CO2 eq_Clear Cove Primary Clarification; wastewater treatment unit; at updated plant - US_Base_With Amendment_Windrow</v>
      </c>
    </row>
    <row r="3686" spans="1:13" s="120" customFormat="1" x14ac:dyDescent="0.25">
      <c r="A3686" s="119"/>
      <c r="B3686" s="138" t="str">
        <f t="shared" si="179"/>
        <v>Windrow</v>
      </c>
      <c r="C3686" s="138" t="str">
        <f t="shared" si="180"/>
        <v>Base_With Amendment</v>
      </c>
      <c r="D3686" s="118" t="s">
        <v>140</v>
      </c>
      <c r="E3686" s="118" t="s">
        <v>181</v>
      </c>
      <c r="F3686" s="118" t="s">
        <v>46</v>
      </c>
      <c r="G3686" s="153"/>
      <c r="H3686" s="155">
        <v>2.6599999999999999E-2</v>
      </c>
      <c r="I3686" s="154" t="s">
        <v>48</v>
      </c>
      <c r="J3686" s="203">
        <v>5.2639999999999999E-2</v>
      </c>
      <c r="K3686" s="154" t="s">
        <v>23</v>
      </c>
      <c r="L3686" s="154" t="str">
        <f>IF(OpenLCAbasic!K3686="CTUh", "Fill in Manually",IF(OR(K3686="Unit", K3686=""), "", INDEX(LookUps!$E$5:$E$12, MATCH(OpenLCAbasic!K3686,LookUps!$D$5:$D$12,0))))</f>
        <v>Global Warming Potential (GWP) - kg CO2 eq</v>
      </c>
      <c r="M3686" s="154" t="str">
        <f t="shared" si="181"/>
        <v>High_High_High_Upgraded_Global Warming Potential (GWP) - kg CO2 eq_Effluent release; wastewater treatment unit; at surface water; m3 wastewater - US_Base_With Amendment_Windrow</v>
      </c>
    </row>
    <row r="3687" spans="1:13" s="120" customFormat="1" x14ac:dyDescent="0.25">
      <c r="A3687" s="119"/>
      <c r="B3687" s="138" t="str">
        <f t="shared" si="179"/>
        <v>Windrow</v>
      </c>
      <c r="C3687" s="138" t="str">
        <f t="shared" si="180"/>
        <v>Base_With Amendment</v>
      </c>
      <c r="D3687" s="118" t="s">
        <v>140</v>
      </c>
      <c r="E3687" s="118" t="s">
        <v>181</v>
      </c>
      <c r="F3687" s="118" t="s">
        <v>46</v>
      </c>
      <c r="G3687" s="153"/>
      <c r="H3687" s="155">
        <v>2.5499999999999998E-2</v>
      </c>
      <c r="I3687" s="154" t="s">
        <v>147</v>
      </c>
      <c r="J3687" s="203">
        <v>5.0500000000000003E-2</v>
      </c>
      <c r="K3687" s="154" t="s">
        <v>23</v>
      </c>
      <c r="L3687" s="154" t="str">
        <f>IF(OpenLCAbasic!K3687="CTUh", "Fill in Manually",IF(OR(K3687="Unit", K3687=""), "", INDEX(LookUps!$E$5:$E$12, MATCH(OpenLCAbasic!K3687,LookUps!$D$5:$D$12,0))))</f>
        <v>Global Warming Potential (GWP) - kg CO2 eq</v>
      </c>
      <c r="M3687" s="154" t="str">
        <f t="shared" si="181"/>
        <v>High_High_High_Upgraded_Global Warming Potential (GWP) - kg CO2 eq_Influent Pump Station; wastewater treatment unit; at updated plant - US_Base_With Amendment_Windrow</v>
      </c>
    </row>
    <row r="3688" spans="1:13" s="120" customFormat="1" x14ac:dyDescent="0.25">
      <c r="A3688" s="119"/>
      <c r="B3688" s="138" t="str">
        <f t="shared" si="179"/>
        <v>Windrow</v>
      </c>
      <c r="C3688" s="138" t="str">
        <f t="shared" si="180"/>
        <v>Base_With Amendment</v>
      </c>
      <c r="D3688" s="118" t="s">
        <v>140</v>
      </c>
      <c r="E3688" s="118" t="s">
        <v>181</v>
      </c>
      <c r="F3688" s="118" t="s">
        <v>46</v>
      </c>
      <c r="G3688" s="153"/>
      <c r="H3688" s="155">
        <v>1.6799999999999999E-2</v>
      </c>
      <c r="I3688" s="154" t="s">
        <v>53</v>
      </c>
      <c r="J3688" s="203">
        <v>3.3259999999999998E-2</v>
      </c>
      <c r="K3688" s="154" t="s">
        <v>23</v>
      </c>
      <c r="L3688" s="154" t="str">
        <f>IF(OpenLCAbasic!K3688="CTUh", "Fill in Manually",IF(OR(K3688="Unit", K3688=""), "", INDEX(LookUps!$E$5:$E$12, MATCH(OpenLCAbasic!K3688,LookUps!$D$5:$D$12,0))))</f>
        <v>Global Warming Potential (GWP) - kg CO2 eq</v>
      </c>
      <c r="M3688" s="154" t="str">
        <f t="shared" si="181"/>
        <v>High_High_High_Upgraded_Global Warming Potential (GWP) - kg CO2 eq_Wet Well and Sump Station; wastewater treatment unit; at updated plant - US_Base_With Amendment_Windrow</v>
      </c>
    </row>
    <row r="3689" spans="1:13" s="120" customFormat="1" x14ac:dyDescent="0.25">
      <c r="A3689" s="119"/>
      <c r="B3689" s="138" t="str">
        <f t="shared" si="179"/>
        <v>Windrow</v>
      </c>
      <c r="C3689" s="138" t="str">
        <f t="shared" si="180"/>
        <v>Base_With Amendment</v>
      </c>
      <c r="D3689" s="118" t="s">
        <v>140</v>
      </c>
      <c r="E3689" s="118" t="s">
        <v>181</v>
      </c>
      <c r="F3689" s="118" t="s">
        <v>46</v>
      </c>
      <c r="G3689" s="153"/>
      <c r="H3689" s="155">
        <v>1.1599999999999999E-2</v>
      </c>
      <c r="I3689" s="154" t="s">
        <v>60</v>
      </c>
      <c r="J3689" s="203">
        <v>2.2880000000000001E-2</v>
      </c>
      <c r="K3689" s="154" t="s">
        <v>23</v>
      </c>
      <c r="L3689" s="154" t="str">
        <f>IF(OpenLCAbasic!K3689="CTUh", "Fill in Manually",IF(OR(K3689="Unit", K3689=""), "", INDEX(LookUps!$E$5:$E$12, MATCH(OpenLCAbasic!K3689,LookUps!$D$5:$D$12,0))))</f>
        <v>Global Warming Potential (GWP) - kg CO2 eq</v>
      </c>
      <c r="M3689" s="154" t="str">
        <f t="shared" si="181"/>
        <v>High_High_High_Upgraded_Global Warming Potential (GWP) - kg CO2 eq_Belt filter press; wastewater treatment unit; at updated plant - US_Base_With Amendment_Windrow</v>
      </c>
    </row>
    <row r="3690" spans="1:13" s="120" customFormat="1" x14ac:dyDescent="0.25">
      <c r="A3690" s="119"/>
      <c r="B3690" s="138" t="str">
        <f t="shared" si="179"/>
        <v>Windrow</v>
      </c>
      <c r="C3690" s="138" t="str">
        <f t="shared" si="180"/>
        <v>Base_With Amendment</v>
      </c>
      <c r="D3690" s="118" t="s">
        <v>140</v>
      </c>
      <c r="E3690" s="118" t="s">
        <v>181</v>
      </c>
      <c r="F3690" s="118" t="s">
        <v>46</v>
      </c>
      <c r="G3690" s="153"/>
      <c r="H3690" s="155">
        <v>7.4000000000000003E-3</v>
      </c>
      <c r="I3690" s="154" t="s">
        <v>57</v>
      </c>
      <c r="J3690" s="203">
        <v>1.455E-2</v>
      </c>
      <c r="K3690" s="154" t="s">
        <v>23</v>
      </c>
      <c r="L3690" s="154" t="str">
        <f>IF(OpenLCAbasic!K3690="CTUh", "Fill in Manually",IF(OR(K3690="Unit", K3690=""), "", INDEX(LookUps!$E$5:$E$12, MATCH(OpenLCAbasic!K3690,LookUps!$D$5:$D$12,0))))</f>
        <v>Global Warming Potential (GWP) - kg CO2 eq</v>
      </c>
      <c r="M3690" s="154" t="str">
        <f t="shared" si="181"/>
        <v>High_High_High_Upgraded_Global Warming Potential (GWP) - kg CO2 eq_Gravity Belt Thickener; wastewater treatment unit; at updated plant - US_Base_With Amendment_Windrow</v>
      </c>
    </row>
    <row r="3691" spans="1:13" s="120" customFormat="1" x14ac:dyDescent="0.25">
      <c r="A3691" s="119"/>
      <c r="B3691" s="138" t="str">
        <f t="shared" si="179"/>
        <v>Windrow</v>
      </c>
      <c r="C3691" s="138" t="str">
        <f t="shared" si="180"/>
        <v>Base_With Amendment</v>
      </c>
      <c r="D3691" s="118" t="s">
        <v>140</v>
      </c>
      <c r="E3691" s="118" t="s">
        <v>181</v>
      </c>
      <c r="F3691" s="118" t="s">
        <v>46</v>
      </c>
      <c r="G3691" s="153"/>
      <c r="H3691" s="155">
        <v>6.7999999999999996E-3</v>
      </c>
      <c r="I3691" s="154" t="s">
        <v>128</v>
      </c>
      <c r="J3691" s="204">
        <v>1.3509999999999999E-2</v>
      </c>
      <c r="K3691" s="154" t="s">
        <v>23</v>
      </c>
      <c r="L3691" s="154" t="str">
        <f>IF(OpenLCAbasic!K3691="CTUh", "Fill in Manually",IF(OR(K3691="Unit", K3691=""), "", INDEX(LookUps!$E$5:$E$12, MATCH(OpenLCAbasic!K3691,LookUps!$D$5:$D$12,0))))</f>
        <v>Global Warming Potential (GWP) - kg CO2 eq</v>
      </c>
      <c r="M3691" s="154" t="str">
        <f t="shared" si="181"/>
        <v>High_High_High_Upgraded_Global Warming Potential (GWP) - kg CO2 eq_Wastewater collection; operation and infrastructure; m3 wastewater_Base_With Amendment_Windrow</v>
      </c>
    </row>
    <row r="3692" spans="1:13" s="120" customFormat="1" x14ac:dyDescent="0.25">
      <c r="A3692" s="119"/>
      <c r="B3692" s="138" t="str">
        <f t="shared" si="179"/>
        <v>Windrow</v>
      </c>
      <c r="C3692" s="138" t="str">
        <f t="shared" si="180"/>
        <v>Base_With Amendment</v>
      </c>
      <c r="D3692" s="118" t="s">
        <v>140</v>
      </c>
      <c r="E3692" s="118" t="s">
        <v>181</v>
      </c>
      <c r="F3692" s="118" t="s">
        <v>46</v>
      </c>
      <c r="G3692" s="153"/>
      <c r="H3692" s="155">
        <v>4.1999999999999997E-3</v>
      </c>
      <c r="I3692" s="154" t="s">
        <v>148</v>
      </c>
      <c r="J3692" s="204">
        <v>8.3000000000000001E-3</v>
      </c>
      <c r="K3692" s="154" t="s">
        <v>23</v>
      </c>
      <c r="L3692" s="154" t="str">
        <f>IF(OpenLCAbasic!K3692="CTUh", "Fill in Manually",IF(OR(K3692="Unit", K3692=""), "", INDEX(LookUps!$E$5:$E$12, MATCH(OpenLCAbasic!K3692,LookUps!$D$5:$D$12,0))))</f>
        <v>Global Warming Potential (GWP) - kg CO2 eq</v>
      </c>
      <c r="M3692" s="154" t="str">
        <f t="shared" si="181"/>
        <v>High_High_High_Upgraded_Global Warming Potential (GWP) - kg CO2 eq_Control Building; at upgraded wastewater treatment plant - US_Base_With Amendment_Windrow</v>
      </c>
    </row>
    <row r="3693" spans="1:13" s="120" customFormat="1" x14ac:dyDescent="0.25">
      <c r="A3693" s="119"/>
      <c r="B3693" s="138" t="str">
        <f t="shared" si="179"/>
        <v>Windrow</v>
      </c>
      <c r="C3693" s="138" t="str">
        <f t="shared" si="180"/>
        <v>Base_With Amendment</v>
      </c>
      <c r="D3693" s="118" t="s">
        <v>140</v>
      </c>
      <c r="E3693" s="118" t="s">
        <v>181</v>
      </c>
      <c r="F3693" s="118" t="s">
        <v>46</v>
      </c>
      <c r="G3693" s="153"/>
      <c r="H3693" s="155">
        <v>2.5000000000000001E-3</v>
      </c>
      <c r="I3693" s="154" t="s">
        <v>59</v>
      </c>
      <c r="J3693" s="204">
        <v>5.0400000000000002E-3</v>
      </c>
      <c r="K3693" s="154" t="s">
        <v>23</v>
      </c>
      <c r="L3693" s="154" t="str">
        <f>IF(OpenLCAbasic!K3693="CTUh", "Fill in Manually",IF(OR(K3693="Unit", K3693=""), "", INDEX(LookUps!$E$5:$E$12, MATCH(OpenLCAbasic!K3693,LookUps!$D$5:$D$12,0))))</f>
        <v>Global Warming Potential (GWP) - kg CO2 eq</v>
      </c>
      <c r="M3693" s="154" t="str">
        <f t="shared" si="181"/>
        <v>High_High_High_Upgraded_Global Warming Potential (GWP) - kg CO2 eq_Blend Tank; wastewater treatment unit; at updated plant - US_Base_With Amendment_Windrow</v>
      </c>
    </row>
    <row r="3694" spans="1:13" s="120" customFormat="1" x14ac:dyDescent="0.25">
      <c r="A3694" s="119"/>
      <c r="B3694" s="138" t="str">
        <f t="shared" si="179"/>
        <v>Windrow</v>
      </c>
      <c r="C3694" s="138" t="str">
        <f t="shared" si="180"/>
        <v>Base_With Amendment</v>
      </c>
      <c r="D3694" s="118" t="s">
        <v>140</v>
      </c>
      <c r="E3694" s="118" t="s">
        <v>181</v>
      </c>
      <c r="F3694" s="118" t="s">
        <v>46</v>
      </c>
      <c r="G3694" s="153"/>
      <c r="H3694" s="155">
        <v>1.1999999999999999E-3</v>
      </c>
      <c r="I3694" s="154" t="s">
        <v>168</v>
      </c>
      <c r="J3694" s="204">
        <v>2.4099999999999998E-3</v>
      </c>
      <c r="K3694" s="154" t="s">
        <v>23</v>
      </c>
      <c r="L3694" s="154" t="str">
        <f>IF(OpenLCAbasic!K3694="CTUh", "Fill in Manually",IF(OR(K3694="Unit", K3694=""), "", INDEX(LookUps!$E$5:$E$12, MATCH(OpenLCAbasic!K3694,LookUps!$D$5:$D$12,0))))</f>
        <v>Global Warming Potential (GWP) - kg CO2 eq</v>
      </c>
      <c r="M3694" s="154" t="str">
        <f t="shared" si="181"/>
        <v>High_High_High_Upgraded_Global Warming Potential (GWP) - kg CO2 eq_ClearCove SCP; wastewater treatment unit; at updated plant - US_Base_With Amendment_Windrow</v>
      </c>
    </row>
    <row r="3695" spans="1:13" s="120" customFormat="1" x14ac:dyDescent="0.25">
      <c r="A3695" s="119"/>
      <c r="B3695" s="138" t="str">
        <f t="shared" si="179"/>
        <v>Windrow</v>
      </c>
      <c r="C3695" s="138" t="str">
        <f t="shared" si="180"/>
        <v>Base_With Amendment</v>
      </c>
      <c r="D3695" s="118" t="s">
        <v>140</v>
      </c>
      <c r="E3695" s="118" t="s">
        <v>181</v>
      </c>
      <c r="F3695" s="118" t="s">
        <v>46</v>
      </c>
      <c r="G3695" s="153"/>
      <c r="H3695" s="155">
        <v>-0.42420000000000002</v>
      </c>
      <c r="I3695" s="154" t="s">
        <v>62</v>
      </c>
      <c r="J3695" s="203">
        <v>-0.83977000000000002</v>
      </c>
      <c r="K3695" s="154" t="s">
        <v>23</v>
      </c>
      <c r="L3695" s="154" t="str">
        <f>IF(OpenLCAbasic!K3695="CTUh", "Fill in Manually",IF(OR(K3695="Unit", K3695=""), "", INDEX(LookUps!$E$5:$E$12, MATCH(OpenLCAbasic!K3695,LookUps!$D$5:$D$12,0))))</f>
        <v>Global Warming Potential (GWP) - kg CO2 eq</v>
      </c>
      <c r="M3695" s="154" t="str">
        <f t="shared" si="181"/>
        <v>High_High_High_Upgraded_Global Warming Potential (GWP) - kg CO2 eq_Land application of compost; wastewater treatment unit; at updated plant - US_Base_With Amendment_Windrow</v>
      </c>
    </row>
    <row r="3696" spans="1:13" s="120" customFormat="1" x14ac:dyDescent="0.25">
      <c r="A3696" s="119"/>
      <c r="B3696" s="138" t="str">
        <f t="shared" si="179"/>
        <v>Windrow</v>
      </c>
      <c r="C3696" s="138" t="str">
        <f t="shared" si="180"/>
        <v>Base_With Amendment</v>
      </c>
      <c r="D3696" s="118" t="s">
        <v>140</v>
      </c>
      <c r="E3696" s="118" t="s">
        <v>181</v>
      </c>
      <c r="F3696" s="118" t="s">
        <v>46</v>
      </c>
      <c r="G3696" s="153"/>
      <c r="H3696" s="155">
        <v>-0.44950000000000001</v>
      </c>
      <c r="I3696" s="154" t="s">
        <v>149</v>
      </c>
      <c r="J3696" s="203">
        <v>-0.88992000000000004</v>
      </c>
      <c r="K3696" s="154" t="s">
        <v>23</v>
      </c>
      <c r="L3696" s="154" t="str">
        <f>IF(OpenLCAbasic!K3696="CTUh", "Fill in Manually",IF(OR(K3696="Unit", K3696=""), "", INDEX(LookUps!$E$5:$E$12, MATCH(OpenLCAbasic!K3696,LookUps!$D$5:$D$12,0))))</f>
        <v>Global Warming Potential (GWP) - kg CO2 eq</v>
      </c>
      <c r="M3696" s="154" t="str">
        <f t="shared" si="181"/>
        <v>High_High_High_Upgraded_Global Warming Potential (GWP) - kg CO2 eq_Anaerobic Digestion; wastewater treatment unit; at updated plant - US_Base_With Amendment_Windrow</v>
      </c>
    </row>
    <row r="3697" spans="1:13" s="120" customFormat="1" x14ac:dyDescent="0.25">
      <c r="A3697" s="119"/>
      <c r="B3697" s="138" t="str">
        <f t="shared" si="179"/>
        <v>Windrow</v>
      </c>
      <c r="C3697" s="138" t="str">
        <f t="shared" si="180"/>
        <v>Base_With Amendment</v>
      </c>
      <c r="D3697" s="118" t="s">
        <v>140</v>
      </c>
      <c r="E3697" s="118" t="s">
        <v>181</v>
      </c>
      <c r="F3697" s="118" t="s">
        <v>46</v>
      </c>
      <c r="G3697" s="153" t="s">
        <v>51</v>
      </c>
      <c r="H3697" s="154"/>
      <c r="I3697" s="154" t="s">
        <v>47</v>
      </c>
      <c r="J3697" s="154" t="s">
        <v>52</v>
      </c>
      <c r="K3697" s="154" t="s">
        <v>27</v>
      </c>
      <c r="L3697" s="154" t="str">
        <f>IF(OpenLCAbasic!K3697="CTUh", "Fill in Manually",IF(OR(K3697="Unit", K3697=""), "", INDEX(LookUps!$E$5:$E$12, MATCH(OpenLCAbasic!K3697,LookUps!$D$5:$D$12,0))))</f>
        <v/>
      </c>
      <c r="M3697" s="154" t="str">
        <f t="shared" si="181"/>
        <v>High_High_High_Upgraded__Process_Base_With Amendment_Windrow</v>
      </c>
    </row>
    <row r="3698" spans="1:13" s="120" customFormat="1" x14ac:dyDescent="0.25">
      <c r="A3698" s="119"/>
      <c r="B3698" s="138" t="str">
        <f t="shared" si="179"/>
        <v>Windrow</v>
      </c>
      <c r="C3698" s="138" t="str">
        <f t="shared" si="180"/>
        <v>Base_With Amendment</v>
      </c>
      <c r="D3698" s="118" t="s">
        <v>140</v>
      </c>
      <c r="E3698" s="118" t="s">
        <v>181</v>
      </c>
      <c r="F3698" s="118" t="s">
        <v>46</v>
      </c>
      <c r="G3698" s="153"/>
      <c r="H3698" s="155">
        <v>0.77</v>
      </c>
      <c r="I3698" s="154" t="s">
        <v>48</v>
      </c>
      <c r="J3698" s="203">
        <v>1.1610000000000001E-2</v>
      </c>
      <c r="K3698" s="154" t="s">
        <v>13</v>
      </c>
      <c r="L3698" s="154" t="str">
        <f>IF(OpenLCAbasic!K3698="CTUh", "Fill in Manually",IF(OR(K3698="Unit", K3698=""), "", INDEX(LookUps!$E$5:$E$12, MATCH(OpenLCAbasic!K3698,LookUps!$D$5:$D$12,0))))</f>
        <v>Eutrophication Potential (EP) - kg N eq</v>
      </c>
      <c r="M3698" s="154" t="str">
        <f t="shared" si="181"/>
        <v>High_High_High_Upgraded_Eutrophication Potential (EP) - kg N eq_Effluent release; wastewater treatment unit; at surface water; m3 wastewater - US_Base_With Amendment_Windrow</v>
      </c>
    </row>
    <row r="3699" spans="1:13" s="120" customFormat="1" x14ac:dyDescent="0.25">
      <c r="A3699" s="119"/>
      <c r="B3699" s="138" t="str">
        <f t="shared" si="179"/>
        <v>Windrow</v>
      </c>
      <c r="C3699" s="138" t="str">
        <f t="shared" si="180"/>
        <v>Base_With Amendment</v>
      </c>
      <c r="D3699" s="118" t="s">
        <v>140</v>
      </c>
      <c r="E3699" s="118" t="s">
        <v>181</v>
      </c>
      <c r="F3699" s="118" t="s">
        <v>46</v>
      </c>
      <c r="G3699" s="153"/>
      <c r="H3699" s="155">
        <v>0.2336</v>
      </c>
      <c r="I3699" s="154" t="s">
        <v>62</v>
      </c>
      <c r="J3699" s="204">
        <v>3.5200000000000001E-3</v>
      </c>
      <c r="K3699" s="154" t="s">
        <v>13</v>
      </c>
      <c r="L3699" s="154" t="str">
        <f>IF(OpenLCAbasic!K3699="CTUh", "Fill in Manually",IF(OR(K3699="Unit", K3699=""), "", INDEX(LookUps!$E$5:$E$12, MATCH(OpenLCAbasic!K3699,LookUps!$D$5:$D$12,0))))</f>
        <v>Eutrophication Potential (EP) - kg N eq</v>
      </c>
      <c r="M3699" s="154" t="str">
        <f t="shared" si="181"/>
        <v>High_High_High_Upgraded_Eutrophication Potential (EP) - kg N eq_Land application of compost; wastewater treatment unit; at updated plant - US_Base_With Amendment_Windrow</v>
      </c>
    </row>
    <row r="3700" spans="1:13" s="120" customFormat="1" x14ac:dyDescent="0.25">
      <c r="A3700" s="119"/>
      <c r="B3700" s="138" t="str">
        <f t="shared" si="179"/>
        <v>Windrow</v>
      </c>
      <c r="C3700" s="138" t="str">
        <f t="shared" si="180"/>
        <v>Base_With Amendment</v>
      </c>
      <c r="D3700" s="118" t="s">
        <v>140</v>
      </c>
      <c r="E3700" s="118" t="s">
        <v>181</v>
      </c>
      <c r="F3700" s="118" t="s">
        <v>46</v>
      </c>
      <c r="G3700" s="153"/>
      <c r="H3700" s="155">
        <v>7.9500000000000001E-2</v>
      </c>
      <c r="I3700" s="154" t="s">
        <v>271</v>
      </c>
      <c r="J3700" s="204">
        <v>1.1999999999999999E-3</v>
      </c>
      <c r="K3700" s="154" t="s">
        <v>13</v>
      </c>
      <c r="L3700" s="154" t="str">
        <f>IF(OpenLCAbasic!K3700="CTUh", "Fill in Manually",IF(OR(K3700="Unit", K3700=""), "", INDEX(LookUps!$E$5:$E$12, MATCH(OpenLCAbasic!K3700,LookUps!$D$5:$D$12,0))))</f>
        <v>Eutrophication Potential (EP) - kg N eq</v>
      </c>
      <c r="M3700" s="154" t="str">
        <f t="shared" si="181"/>
        <v>High_High_High_Upgraded_Eutrophication Potential (EP) - kg N eq_Biosolids composting; windrow composting; wastewater treatment unit; at updated plant - US_Base_With Amendment_Windrow</v>
      </c>
    </row>
    <row r="3701" spans="1:13" s="120" customFormat="1" x14ac:dyDescent="0.25">
      <c r="A3701" s="119"/>
      <c r="B3701" s="138" t="str">
        <f t="shared" si="179"/>
        <v>Windrow</v>
      </c>
      <c r="C3701" s="138" t="str">
        <f t="shared" si="180"/>
        <v>Base_With Amendment</v>
      </c>
      <c r="D3701" s="118" t="s">
        <v>140</v>
      </c>
      <c r="E3701" s="118" t="s">
        <v>181</v>
      </c>
      <c r="F3701" s="118" t="s">
        <v>46</v>
      </c>
      <c r="G3701" s="153"/>
      <c r="H3701" s="155">
        <v>3.6200000000000003E-2</v>
      </c>
      <c r="I3701" s="154" t="s">
        <v>55</v>
      </c>
      <c r="J3701" s="204">
        <v>5.5000000000000003E-4</v>
      </c>
      <c r="K3701" s="154" t="s">
        <v>13</v>
      </c>
      <c r="L3701" s="154" t="str">
        <f>IF(OpenLCAbasic!K3701="CTUh", "Fill in Manually",IF(OR(K3701="Unit", K3701=""), "", INDEX(LookUps!$E$5:$E$12, MATCH(OpenLCAbasic!K3701,LookUps!$D$5:$D$12,0))))</f>
        <v>Eutrophication Potential (EP) - kg N eq</v>
      </c>
      <c r="M3701" s="154" t="str">
        <f t="shared" si="181"/>
        <v>High_High_High_Upgraded_Eutrophication Potential (EP) - kg N eq_Aeration Tanks; wastewater treatment unit; at updated plant - US_Base_With Amendment_Windrow</v>
      </c>
    </row>
    <row r="3702" spans="1:13" s="120" customFormat="1" x14ac:dyDescent="0.25">
      <c r="A3702" s="119"/>
      <c r="B3702" s="138" t="str">
        <f t="shared" si="179"/>
        <v>Windrow</v>
      </c>
      <c r="C3702" s="138" t="str">
        <f t="shared" si="180"/>
        <v>Base_With Amendment</v>
      </c>
      <c r="D3702" s="118" t="s">
        <v>140</v>
      </c>
      <c r="E3702" s="118" t="s">
        <v>181</v>
      </c>
      <c r="F3702" s="118" t="s">
        <v>46</v>
      </c>
      <c r="G3702" s="153"/>
      <c r="H3702" s="155">
        <v>1.66E-2</v>
      </c>
      <c r="I3702" s="154" t="s">
        <v>147</v>
      </c>
      <c r="J3702" s="204">
        <v>2.5000000000000001E-4</v>
      </c>
      <c r="K3702" s="154" t="s">
        <v>13</v>
      </c>
      <c r="L3702" s="154" t="str">
        <f>IF(OpenLCAbasic!K3702="CTUh", "Fill in Manually",IF(OR(K3702="Unit", K3702=""), "", INDEX(LookUps!$E$5:$E$12, MATCH(OpenLCAbasic!K3702,LookUps!$D$5:$D$12,0))))</f>
        <v>Eutrophication Potential (EP) - kg N eq</v>
      </c>
      <c r="M3702" s="154" t="str">
        <f t="shared" si="181"/>
        <v>High_High_High_Upgraded_Eutrophication Potential (EP) - kg N eq_Influent Pump Station; wastewater treatment unit; at updated plant - US_Base_With Amendment_Windrow</v>
      </c>
    </row>
    <row r="3703" spans="1:13" s="120" customFormat="1" x14ac:dyDescent="0.25">
      <c r="A3703" s="119"/>
      <c r="B3703" s="138" t="str">
        <f t="shared" si="179"/>
        <v>Windrow</v>
      </c>
      <c r="C3703" s="138" t="str">
        <f t="shared" si="180"/>
        <v>Base_With Amendment</v>
      </c>
      <c r="D3703" s="118" t="s">
        <v>140</v>
      </c>
      <c r="E3703" s="118" t="s">
        <v>181</v>
      </c>
      <c r="F3703" s="118" t="s">
        <v>46</v>
      </c>
      <c r="G3703" s="153"/>
      <c r="H3703" s="155">
        <v>1.46E-2</v>
      </c>
      <c r="I3703" s="154" t="s">
        <v>167</v>
      </c>
      <c r="J3703" s="204">
        <v>2.2000000000000001E-4</v>
      </c>
      <c r="K3703" s="154" t="s">
        <v>13</v>
      </c>
      <c r="L3703" s="154" t="str">
        <f>IF(OpenLCAbasic!K3703="CTUh", "Fill in Manually",IF(OR(K3703="Unit", K3703=""), "", INDEX(LookUps!$E$5:$E$12, MATCH(OpenLCAbasic!K3703,LookUps!$D$5:$D$12,0))))</f>
        <v>Eutrophication Potential (EP) - kg N eq</v>
      </c>
      <c r="M3703" s="154" t="str">
        <f t="shared" si="181"/>
        <v>High_High_High_Upgraded_Eutrophication Potential (EP) - kg N eq_Waste Receiving and Holding; wastewater treatment unit; at updated plant - US_Base_With Amendment_Windrow</v>
      </c>
    </row>
    <row r="3704" spans="1:13" s="120" customFormat="1" x14ac:dyDescent="0.25">
      <c r="A3704" s="119"/>
      <c r="B3704" s="138" t="str">
        <f t="shared" si="179"/>
        <v>Windrow</v>
      </c>
      <c r="C3704" s="138" t="str">
        <f t="shared" si="180"/>
        <v>Base_With Amendment</v>
      </c>
      <c r="D3704" s="118" t="s">
        <v>140</v>
      </c>
      <c r="E3704" s="118" t="s">
        <v>181</v>
      </c>
      <c r="F3704" s="118" t="s">
        <v>46</v>
      </c>
      <c r="G3704" s="153"/>
      <c r="H3704" s="155">
        <v>1.3100000000000001E-2</v>
      </c>
      <c r="I3704" s="154" t="s">
        <v>54</v>
      </c>
      <c r="J3704" s="204">
        <v>2.0000000000000001E-4</v>
      </c>
      <c r="K3704" s="154" t="s">
        <v>13</v>
      </c>
      <c r="L3704" s="154" t="str">
        <f>IF(OpenLCAbasic!K3704="CTUh", "Fill in Manually",IF(OR(K3704="Unit", K3704=""), "", INDEX(LookUps!$E$5:$E$12, MATCH(OpenLCAbasic!K3704,LookUps!$D$5:$D$12,0))))</f>
        <v>Eutrophication Potential (EP) - kg N eq</v>
      </c>
      <c r="M3704" s="154" t="str">
        <f t="shared" si="181"/>
        <v>High_High_High_Upgraded_Eutrophication Potential (EP) - kg N eq_Clear Cove Primary Clarification; wastewater treatment unit; at updated plant - US_Base_With Amendment_Windrow</v>
      </c>
    </row>
    <row r="3705" spans="1:13" s="120" customFormat="1" x14ac:dyDescent="0.25">
      <c r="A3705" s="119"/>
      <c r="B3705" s="138" t="str">
        <f t="shared" si="179"/>
        <v>Windrow</v>
      </c>
      <c r="C3705" s="138" t="str">
        <f t="shared" si="180"/>
        <v>Base_With Amendment</v>
      </c>
      <c r="D3705" s="118" t="s">
        <v>140</v>
      </c>
      <c r="E3705" s="118" t="s">
        <v>181</v>
      </c>
      <c r="F3705" s="118" t="s">
        <v>46</v>
      </c>
      <c r="G3705" s="153"/>
      <c r="H3705" s="155">
        <v>8.9999999999999993E-3</v>
      </c>
      <c r="I3705" s="154" t="s">
        <v>58</v>
      </c>
      <c r="J3705" s="204">
        <v>1.3999999999999999E-4</v>
      </c>
      <c r="K3705" s="154" t="s">
        <v>13</v>
      </c>
      <c r="L3705" s="154" t="str">
        <f>IF(OpenLCAbasic!K3705="CTUh", "Fill in Manually",IF(OR(K3705="Unit", K3705=""), "", INDEX(LookUps!$E$5:$E$12, MATCH(OpenLCAbasic!K3705,LookUps!$D$5:$D$12,0))))</f>
        <v>Eutrophication Potential (EP) - kg N eq</v>
      </c>
      <c r="M3705" s="154" t="str">
        <f t="shared" si="181"/>
        <v>High_High_High_Upgraded_Eutrophication Potential (EP) - kg N eq_Pre-Anoxic &amp; Swing tank; wastewater treatment unit; at updated plant - US_Base_With Amendment_Windrow</v>
      </c>
    </row>
    <row r="3706" spans="1:13" s="120" customFormat="1" x14ac:dyDescent="0.25">
      <c r="A3706" s="119"/>
      <c r="B3706" s="138" t="str">
        <f t="shared" si="179"/>
        <v>Windrow</v>
      </c>
      <c r="C3706" s="138" t="str">
        <f t="shared" si="180"/>
        <v>Base_With Amendment</v>
      </c>
      <c r="D3706" s="118" t="s">
        <v>140</v>
      </c>
      <c r="E3706" s="118" t="s">
        <v>181</v>
      </c>
      <c r="F3706" s="118" t="s">
        <v>46</v>
      </c>
      <c r="G3706" s="153"/>
      <c r="H3706" s="155">
        <v>7.1000000000000004E-3</v>
      </c>
      <c r="I3706" s="154" t="s">
        <v>53</v>
      </c>
      <c r="J3706" s="204">
        <v>1.1E-4</v>
      </c>
      <c r="K3706" s="154" t="s">
        <v>13</v>
      </c>
      <c r="L3706" s="154" t="str">
        <f>IF(OpenLCAbasic!K3706="CTUh", "Fill in Manually",IF(OR(K3706="Unit", K3706=""), "", INDEX(LookUps!$E$5:$E$12, MATCH(OpenLCAbasic!K3706,LookUps!$D$5:$D$12,0))))</f>
        <v>Eutrophication Potential (EP) - kg N eq</v>
      </c>
      <c r="M3706" s="154" t="str">
        <f t="shared" si="181"/>
        <v>High_High_High_Upgraded_Eutrophication Potential (EP) - kg N eq_Wet Well and Sump Station; wastewater treatment unit; at updated plant - US_Base_With Amendment_Windrow</v>
      </c>
    </row>
    <row r="3707" spans="1:13" s="120" customFormat="1" x14ac:dyDescent="0.25">
      <c r="A3707" s="119"/>
      <c r="B3707" s="138" t="str">
        <f t="shared" si="179"/>
        <v>Windrow</v>
      </c>
      <c r="C3707" s="138" t="str">
        <f t="shared" si="180"/>
        <v>Base_With Amendment</v>
      </c>
      <c r="D3707" s="118" t="s">
        <v>140</v>
      </c>
      <c r="E3707" s="118" t="s">
        <v>181</v>
      </c>
      <c r="F3707" s="118" t="s">
        <v>46</v>
      </c>
      <c r="G3707" s="153"/>
      <c r="H3707" s="155">
        <v>6.0000000000000001E-3</v>
      </c>
      <c r="I3707" s="154" t="s">
        <v>60</v>
      </c>
      <c r="J3707" s="204">
        <v>9.0710800000000006E-5</v>
      </c>
      <c r="K3707" s="154" t="s">
        <v>13</v>
      </c>
      <c r="L3707" s="154" t="str">
        <f>IF(OpenLCAbasic!K3707="CTUh", "Fill in Manually",IF(OR(K3707="Unit", K3707=""), "", INDEX(LookUps!$E$5:$E$12, MATCH(OpenLCAbasic!K3707,LookUps!$D$5:$D$12,0))))</f>
        <v>Eutrophication Potential (EP) - kg N eq</v>
      </c>
      <c r="M3707" s="154" t="str">
        <f t="shared" si="181"/>
        <v>High_High_High_Upgraded_Eutrophication Potential (EP) - kg N eq_Belt filter press; wastewater treatment unit; at updated plant - US_Base_With Amendment_Windrow</v>
      </c>
    </row>
    <row r="3708" spans="1:13" s="120" customFormat="1" x14ac:dyDescent="0.25">
      <c r="A3708" s="119"/>
      <c r="B3708" s="138" t="str">
        <f t="shared" si="179"/>
        <v>Windrow</v>
      </c>
      <c r="C3708" s="138" t="str">
        <f t="shared" si="180"/>
        <v>Base_With Amendment</v>
      </c>
      <c r="D3708" s="118" t="s">
        <v>140</v>
      </c>
      <c r="E3708" s="118" t="s">
        <v>181</v>
      </c>
      <c r="F3708" s="118" t="s">
        <v>46</v>
      </c>
      <c r="G3708" s="153"/>
      <c r="H3708" s="155">
        <v>4.0000000000000001E-3</v>
      </c>
      <c r="I3708" s="154" t="s">
        <v>57</v>
      </c>
      <c r="J3708" s="204">
        <v>6.0590300000000002E-5</v>
      </c>
      <c r="K3708" s="154" t="s">
        <v>13</v>
      </c>
      <c r="L3708" s="154" t="str">
        <f>IF(OpenLCAbasic!K3708="CTUh", "Fill in Manually",IF(OR(K3708="Unit", K3708=""), "", INDEX(LookUps!$E$5:$E$12, MATCH(OpenLCAbasic!K3708,LookUps!$D$5:$D$12,0))))</f>
        <v>Eutrophication Potential (EP) - kg N eq</v>
      </c>
      <c r="M3708" s="154" t="str">
        <f t="shared" si="181"/>
        <v>High_High_High_Upgraded_Eutrophication Potential (EP) - kg N eq_Gravity Belt Thickener; wastewater treatment unit; at updated plant - US_Base_With Amendment_Windrow</v>
      </c>
    </row>
    <row r="3709" spans="1:13" s="120" customFormat="1" x14ac:dyDescent="0.25">
      <c r="A3709" s="119"/>
      <c r="B3709" s="138" t="str">
        <f t="shared" si="179"/>
        <v>Windrow</v>
      </c>
      <c r="C3709" s="138" t="str">
        <f t="shared" si="180"/>
        <v>Base_With Amendment</v>
      </c>
      <c r="D3709" s="118" t="s">
        <v>140</v>
      </c>
      <c r="E3709" s="118" t="s">
        <v>181</v>
      </c>
      <c r="F3709" s="118" t="s">
        <v>46</v>
      </c>
      <c r="G3709" s="153"/>
      <c r="H3709" s="155">
        <v>2.5000000000000001E-3</v>
      </c>
      <c r="I3709" s="154" t="s">
        <v>128</v>
      </c>
      <c r="J3709" s="204">
        <v>3.7559799999999999E-5</v>
      </c>
      <c r="K3709" s="154" t="s">
        <v>13</v>
      </c>
      <c r="L3709" s="154" t="str">
        <f>IF(OpenLCAbasic!K3709="CTUh", "Fill in Manually",IF(OR(K3709="Unit", K3709=""), "", INDEX(LookUps!$E$5:$E$12, MATCH(OpenLCAbasic!K3709,LookUps!$D$5:$D$12,0))))</f>
        <v>Eutrophication Potential (EP) - kg N eq</v>
      </c>
      <c r="M3709" s="154" t="str">
        <f t="shared" si="181"/>
        <v>High_High_High_Upgraded_Eutrophication Potential (EP) - kg N eq_Wastewater collection; operation and infrastructure; m3 wastewater_Base_With Amendment_Windrow</v>
      </c>
    </row>
    <row r="3710" spans="1:13" s="120" customFormat="1" x14ac:dyDescent="0.25">
      <c r="A3710" s="119"/>
      <c r="B3710" s="138" t="str">
        <f t="shared" si="179"/>
        <v>Windrow</v>
      </c>
      <c r="C3710" s="138" t="str">
        <f t="shared" si="180"/>
        <v>Base_With Amendment</v>
      </c>
      <c r="D3710" s="118" t="s">
        <v>140</v>
      </c>
      <c r="E3710" s="118" t="s">
        <v>181</v>
      </c>
      <c r="F3710" s="118" t="s">
        <v>46</v>
      </c>
      <c r="G3710" s="153"/>
      <c r="H3710" s="155">
        <v>2.3999999999999998E-3</v>
      </c>
      <c r="I3710" s="154" t="s">
        <v>148</v>
      </c>
      <c r="J3710" s="204">
        <v>3.6874600000000001E-5</v>
      </c>
      <c r="K3710" s="154" t="s">
        <v>13</v>
      </c>
      <c r="L3710" s="154" t="str">
        <f>IF(OpenLCAbasic!K3710="CTUh", "Fill in Manually",IF(OR(K3710="Unit", K3710=""), "", INDEX(LookUps!$E$5:$E$12, MATCH(OpenLCAbasic!K3710,LookUps!$D$5:$D$12,0))))</f>
        <v>Eutrophication Potential (EP) - kg N eq</v>
      </c>
      <c r="M3710" s="154" t="str">
        <f t="shared" si="181"/>
        <v>High_High_High_Upgraded_Eutrophication Potential (EP) - kg N eq_Control Building; at upgraded wastewater treatment plant - US_Base_With Amendment_Windrow</v>
      </c>
    </row>
    <row r="3711" spans="1:13" s="120" customFormat="1" x14ac:dyDescent="0.25">
      <c r="A3711" s="119"/>
      <c r="B3711" s="138" t="str">
        <f t="shared" si="179"/>
        <v>Windrow</v>
      </c>
      <c r="C3711" s="138" t="str">
        <f t="shared" si="180"/>
        <v>Base_With Amendment</v>
      </c>
      <c r="D3711" s="118" t="s">
        <v>140</v>
      </c>
      <c r="E3711" s="118" t="s">
        <v>181</v>
      </c>
      <c r="F3711" s="118" t="s">
        <v>46</v>
      </c>
      <c r="G3711" s="153"/>
      <c r="H3711" s="155">
        <v>1.1000000000000001E-3</v>
      </c>
      <c r="I3711" s="154" t="s">
        <v>59</v>
      </c>
      <c r="J3711" s="204">
        <v>1.6215700000000001E-5</v>
      </c>
      <c r="K3711" s="154" t="s">
        <v>13</v>
      </c>
      <c r="L3711" s="154" t="str">
        <f>IF(OpenLCAbasic!K3711="CTUh", "Fill in Manually",IF(OR(K3711="Unit", K3711=""), "", INDEX(LookUps!$E$5:$E$12, MATCH(OpenLCAbasic!K3711,LookUps!$D$5:$D$12,0))))</f>
        <v>Eutrophication Potential (EP) - kg N eq</v>
      </c>
      <c r="M3711" s="154" t="str">
        <f t="shared" si="181"/>
        <v>High_High_High_Upgraded_Eutrophication Potential (EP) - kg N eq_Blend Tank; wastewater treatment unit; at updated plant - US_Base_With Amendment_Windrow</v>
      </c>
    </row>
    <row r="3712" spans="1:13" s="120" customFormat="1" x14ac:dyDescent="0.25">
      <c r="A3712" s="119"/>
      <c r="B3712" s="138" t="str">
        <f t="shared" si="179"/>
        <v>Windrow</v>
      </c>
      <c r="C3712" s="138" t="str">
        <f t="shared" si="180"/>
        <v>Base_With Amendment</v>
      </c>
      <c r="D3712" s="118" t="s">
        <v>140</v>
      </c>
      <c r="E3712" s="118" t="s">
        <v>181</v>
      </c>
      <c r="F3712" s="118" t="s">
        <v>46</v>
      </c>
      <c r="G3712" s="153"/>
      <c r="H3712" s="155">
        <v>5.0000000000000001E-4</v>
      </c>
      <c r="I3712" s="154" t="s">
        <v>168</v>
      </c>
      <c r="J3712" s="204">
        <v>7.7567199999999995E-6</v>
      </c>
      <c r="K3712" s="154" t="s">
        <v>13</v>
      </c>
      <c r="L3712" s="154" t="str">
        <f>IF(OpenLCAbasic!K3712="CTUh", "Fill in Manually",IF(OR(K3712="Unit", K3712=""), "", INDEX(LookUps!$E$5:$E$12, MATCH(OpenLCAbasic!K3712,LookUps!$D$5:$D$12,0))))</f>
        <v>Eutrophication Potential (EP) - kg N eq</v>
      </c>
      <c r="M3712" s="154" t="str">
        <f t="shared" si="181"/>
        <v>High_High_High_Upgraded_Eutrophication Potential (EP) - kg N eq_ClearCove SCP; wastewater treatment unit; at updated plant - US_Base_With Amendment_Windrow</v>
      </c>
    </row>
    <row r="3713" spans="1:13" s="120" customFormat="1" x14ac:dyDescent="0.25">
      <c r="A3713" s="119"/>
      <c r="B3713" s="138" t="str">
        <f t="shared" si="179"/>
        <v>Windrow</v>
      </c>
      <c r="C3713" s="138" t="str">
        <f t="shared" si="180"/>
        <v>Base_With Amendment</v>
      </c>
      <c r="D3713" s="118" t="s">
        <v>140</v>
      </c>
      <c r="E3713" s="118" t="s">
        <v>181</v>
      </c>
      <c r="F3713" s="118" t="s">
        <v>46</v>
      </c>
      <c r="G3713" s="153"/>
      <c r="H3713" s="155">
        <v>-0.19639999999999999</v>
      </c>
      <c r="I3713" s="154" t="s">
        <v>149</v>
      </c>
      <c r="J3713" s="204">
        <v>-2.96E-3</v>
      </c>
      <c r="K3713" s="154" t="s">
        <v>13</v>
      </c>
      <c r="L3713" s="154" t="str">
        <f>IF(OpenLCAbasic!K3713="CTUh", "Fill in Manually",IF(OR(K3713="Unit", K3713=""), "", INDEX(LookUps!$E$5:$E$12, MATCH(OpenLCAbasic!K3713,LookUps!$D$5:$D$12,0))))</f>
        <v>Eutrophication Potential (EP) - kg N eq</v>
      </c>
      <c r="M3713" s="154" t="str">
        <f t="shared" si="181"/>
        <v>High_High_High_Upgraded_Eutrophication Potential (EP) - kg N eq_Anaerobic Digestion; wastewater treatment unit; at updated plant - US_Base_With Amendment_Windrow</v>
      </c>
    </row>
    <row r="3714" spans="1:13" s="120" customFormat="1" x14ac:dyDescent="0.25">
      <c r="A3714" s="119"/>
      <c r="B3714" s="138" t="str">
        <f t="shared" si="179"/>
        <v>Windrow</v>
      </c>
      <c r="C3714" s="138" t="str">
        <f t="shared" si="180"/>
        <v>Base_With Amendment</v>
      </c>
      <c r="D3714" s="118" t="s">
        <v>140</v>
      </c>
      <c r="E3714" s="118" t="s">
        <v>181</v>
      </c>
      <c r="F3714" s="118" t="s">
        <v>46</v>
      </c>
      <c r="G3714" s="153" t="s">
        <v>51</v>
      </c>
      <c r="H3714" s="154"/>
      <c r="I3714" s="154" t="s">
        <v>47</v>
      </c>
      <c r="J3714" s="154" t="s">
        <v>52</v>
      </c>
      <c r="K3714" s="154" t="s">
        <v>27</v>
      </c>
      <c r="L3714" s="154" t="str">
        <f>IF(OpenLCAbasic!K3714="CTUh", "Fill in Manually",IF(OR(K3714="Unit", K3714=""), "", INDEX(LookUps!$E$5:$E$12, MATCH(OpenLCAbasic!K3714,LookUps!$D$5:$D$12,0))))</f>
        <v/>
      </c>
      <c r="M3714" s="154" t="str">
        <f t="shared" si="181"/>
        <v>High_High_High_Upgraded__Process_Base_With Amendment_Windrow</v>
      </c>
    </row>
    <row r="3715" spans="1:13" s="120" customFormat="1" x14ac:dyDescent="0.25">
      <c r="A3715" s="119"/>
      <c r="B3715" s="138" t="str">
        <f t="shared" si="179"/>
        <v>Windrow</v>
      </c>
      <c r="C3715" s="138" t="str">
        <f t="shared" si="180"/>
        <v>Base_With Amendment</v>
      </c>
      <c r="D3715" s="118" t="s">
        <v>140</v>
      </c>
      <c r="E3715" s="118" t="s">
        <v>181</v>
      </c>
      <c r="F3715" s="118" t="s">
        <v>46</v>
      </c>
      <c r="G3715" s="153"/>
      <c r="H3715" s="155">
        <v>0.49320000000000003</v>
      </c>
      <c r="I3715" s="154" t="s">
        <v>167</v>
      </c>
      <c r="J3715" s="157">
        <v>5.1393399999999998</v>
      </c>
      <c r="K3715" s="154" t="s">
        <v>15</v>
      </c>
      <c r="L3715" s="154" t="str">
        <f>IF(OpenLCAbasic!K3715="CTUh", "Fill in Manually",IF(OR(K3715="Unit", K3715=""), "", INDEX(LookUps!$E$5:$E$12, MATCH(OpenLCAbasic!K3715,LookUps!$D$5:$D$12,0))))</f>
        <v>Cumulative Energy Demand (CED) - MJ</v>
      </c>
      <c r="M3715" s="154" t="str">
        <f t="shared" si="181"/>
        <v>High_High_High_Upgraded_Cumulative Energy Demand (CED) - MJ_Waste Receiving and Holding; wastewater treatment unit; at updated plant - US_Base_With Amendment_Windrow</v>
      </c>
    </row>
    <row r="3716" spans="1:13" s="120" customFormat="1" x14ac:dyDescent="0.25">
      <c r="A3716" s="119"/>
      <c r="B3716" s="138" t="str">
        <f t="shared" si="179"/>
        <v>Windrow</v>
      </c>
      <c r="C3716" s="138" t="str">
        <f t="shared" si="180"/>
        <v>Base_With Amendment</v>
      </c>
      <c r="D3716" s="118" t="s">
        <v>140</v>
      </c>
      <c r="E3716" s="118" t="s">
        <v>181</v>
      </c>
      <c r="F3716" s="118" t="s">
        <v>46</v>
      </c>
      <c r="G3716" s="153"/>
      <c r="H3716" s="155">
        <v>0.33910000000000001</v>
      </c>
      <c r="I3716" s="154" t="s">
        <v>55</v>
      </c>
      <c r="J3716" s="157">
        <v>3.5330499999999998</v>
      </c>
      <c r="K3716" s="154" t="s">
        <v>15</v>
      </c>
      <c r="L3716" s="154" t="str">
        <f>IF(OpenLCAbasic!K3716="CTUh", "Fill in Manually",IF(OR(K3716="Unit", K3716=""), "", INDEX(LookUps!$E$5:$E$12, MATCH(OpenLCAbasic!K3716,LookUps!$D$5:$D$12,0))))</f>
        <v>Cumulative Energy Demand (CED) - MJ</v>
      </c>
      <c r="M3716" s="154" t="str">
        <f t="shared" si="181"/>
        <v>High_High_High_Upgraded_Cumulative Energy Demand (CED) - MJ_Aeration Tanks; wastewater treatment unit; at updated plant - US_Base_With Amendment_Windrow</v>
      </c>
    </row>
    <row r="3717" spans="1:13" s="120" customFormat="1" x14ac:dyDescent="0.25">
      <c r="A3717" s="119"/>
      <c r="B3717" s="138" t="str">
        <f t="shared" si="179"/>
        <v>Windrow</v>
      </c>
      <c r="C3717" s="138" t="str">
        <f t="shared" si="180"/>
        <v>Base_With Amendment</v>
      </c>
      <c r="D3717" s="118" t="s">
        <v>140</v>
      </c>
      <c r="E3717" s="118" t="s">
        <v>181</v>
      </c>
      <c r="F3717" s="118" t="s">
        <v>46</v>
      </c>
      <c r="G3717" s="153"/>
      <c r="H3717" s="155">
        <v>0.1116</v>
      </c>
      <c r="I3717" s="154" t="s">
        <v>54</v>
      </c>
      <c r="J3717" s="157">
        <v>1.16289</v>
      </c>
      <c r="K3717" s="154" t="s">
        <v>15</v>
      </c>
      <c r="L3717" s="154" t="str">
        <f>IF(OpenLCAbasic!K3717="CTUh", "Fill in Manually",IF(OR(K3717="Unit", K3717=""), "", INDEX(LookUps!$E$5:$E$12, MATCH(OpenLCAbasic!K3717,LookUps!$D$5:$D$12,0))))</f>
        <v>Cumulative Energy Demand (CED) - MJ</v>
      </c>
      <c r="M3717" s="154" t="str">
        <f t="shared" si="181"/>
        <v>High_High_High_Upgraded_Cumulative Energy Demand (CED) - MJ_Clear Cove Primary Clarification; wastewater treatment unit; at updated plant - US_Base_With Amendment_Windrow</v>
      </c>
    </row>
    <row r="3718" spans="1:13" s="120" customFormat="1" x14ac:dyDescent="0.25">
      <c r="A3718" s="119"/>
      <c r="B3718" s="138" t="str">
        <f t="shared" ref="B3718:B3781" si="182">IF(F3718="Legacy","n.a.",IF(F3718="","","Windrow"))</f>
        <v>Windrow</v>
      </c>
      <c r="C3718" s="138" t="str">
        <f t="shared" si="180"/>
        <v>Base_With Amendment</v>
      </c>
      <c r="D3718" s="118" t="s">
        <v>140</v>
      </c>
      <c r="E3718" s="118" t="s">
        <v>181</v>
      </c>
      <c r="F3718" s="118" t="s">
        <v>46</v>
      </c>
      <c r="G3718" s="153"/>
      <c r="H3718" s="155">
        <v>8.5500000000000007E-2</v>
      </c>
      <c r="I3718" s="154" t="s">
        <v>58</v>
      </c>
      <c r="J3718" s="203">
        <v>0.89063999999999999</v>
      </c>
      <c r="K3718" s="154" t="s">
        <v>15</v>
      </c>
      <c r="L3718" s="154" t="str">
        <f>IF(OpenLCAbasic!K3718="CTUh", "Fill in Manually",IF(OR(K3718="Unit", K3718=""), "", INDEX(LookUps!$E$5:$E$12, MATCH(OpenLCAbasic!K3718,LookUps!$D$5:$D$12,0))))</f>
        <v>Cumulative Energy Demand (CED) - MJ</v>
      </c>
      <c r="M3718" s="154" t="str">
        <f t="shared" si="181"/>
        <v>High_High_High_Upgraded_Cumulative Energy Demand (CED) - MJ_Pre-Anoxic &amp; Swing tank; wastewater treatment unit; at updated plant - US_Base_With Amendment_Windrow</v>
      </c>
    </row>
    <row r="3719" spans="1:13" s="120" customFormat="1" x14ac:dyDescent="0.25">
      <c r="A3719" s="119"/>
      <c r="B3719" s="138" t="str">
        <f t="shared" si="182"/>
        <v>Windrow</v>
      </c>
      <c r="C3719" s="138" t="str">
        <f t="shared" ref="C3719:C3782" si="183">IF(E3719&lt;&gt;"", "Base_With Amendment","")</f>
        <v>Base_With Amendment</v>
      </c>
      <c r="D3719" s="118" t="s">
        <v>140</v>
      </c>
      <c r="E3719" s="118" t="s">
        <v>181</v>
      </c>
      <c r="F3719" s="118" t="s">
        <v>46</v>
      </c>
      <c r="G3719" s="153"/>
      <c r="H3719" s="155">
        <v>8.4699999999999998E-2</v>
      </c>
      <c r="I3719" s="154" t="s">
        <v>147</v>
      </c>
      <c r="J3719" s="203">
        <v>0.88297000000000003</v>
      </c>
      <c r="K3719" s="154" t="s">
        <v>15</v>
      </c>
      <c r="L3719" s="154" t="str">
        <f>IF(OpenLCAbasic!K3719="CTUh", "Fill in Manually",IF(OR(K3719="Unit", K3719=""), "", INDEX(LookUps!$E$5:$E$12, MATCH(OpenLCAbasic!K3719,LookUps!$D$5:$D$12,0))))</f>
        <v>Cumulative Energy Demand (CED) - MJ</v>
      </c>
      <c r="M3719" s="154" t="str">
        <f t="shared" ref="M3719:M3782" si="184">CONCATENATE(E3719,"_",D3719,"_",F3719,"_",L3719, "_",I3719,"_", C3719,"_", B3719)</f>
        <v>High_High_High_Upgraded_Cumulative Energy Demand (CED) - MJ_Influent Pump Station; wastewater treatment unit; at updated plant - US_Base_With Amendment_Windrow</v>
      </c>
    </row>
    <row r="3720" spans="1:13" s="120" customFormat="1" x14ac:dyDescent="0.25">
      <c r="A3720" s="119"/>
      <c r="B3720" s="138" t="str">
        <f t="shared" si="182"/>
        <v>Windrow</v>
      </c>
      <c r="C3720" s="138" t="str">
        <f t="shared" si="183"/>
        <v>Base_With Amendment</v>
      </c>
      <c r="D3720" s="118" t="s">
        <v>140</v>
      </c>
      <c r="E3720" s="118" t="s">
        <v>181</v>
      </c>
      <c r="F3720" s="118" t="s">
        <v>46</v>
      </c>
      <c r="G3720" s="153"/>
      <c r="H3720" s="155">
        <v>6.6799999999999998E-2</v>
      </c>
      <c r="I3720" s="154" t="s">
        <v>53</v>
      </c>
      <c r="J3720" s="203">
        <v>0.69645000000000001</v>
      </c>
      <c r="K3720" s="154" t="s">
        <v>15</v>
      </c>
      <c r="L3720" s="154" t="str">
        <f>IF(OpenLCAbasic!K3720="CTUh", "Fill in Manually",IF(OR(K3720="Unit", K3720=""), "", INDEX(LookUps!$E$5:$E$12, MATCH(OpenLCAbasic!K3720,LookUps!$D$5:$D$12,0))))</f>
        <v>Cumulative Energy Demand (CED) - MJ</v>
      </c>
      <c r="M3720" s="154" t="str">
        <f t="shared" si="184"/>
        <v>High_High_High_Upgraded_Cumulative Energy Demand (CED) - MJ_Wet Well and Sump Station; wastewater treatment unit; at updated plant - US_Base_With Amendment_Windrow</v>
      </c>
    </row>
    <row r="3721" spans="1:13" s="120" customFormat="1" x14ac:dyDescent="0.25">
      <c r="A3721" s="119"/>
      <c r="B3721" s="138" t="str">
        <f t="shared" si="182"/>
        <v>Windrow</v>
      </c>
      <c r="C3721" s="138" t="str">
        <f t="shared" si="183"/>
        <v>Base_With Amendment</v>
      </c>
      <c r="D3721" s="118" t="s">
        <v>140</v>
      </c>
      <c r="E3721" s="118" t="s">
        <v>181</v>
      </c>
      <c r="F3721" s="118" t="s">
        <v>46</v>
      </c>
      <c r="G3721" s="153"/>
      <c r="H3721" s="155">
        <v>4.9599999999999998E-2</v>
      </c>
      <c r="I3721" s="154" t="s">
        <v>60</v>
      </c>
      <c r="J3721" s="203">
        <v>0.51639000000000002</v>
      </c>
      <c r="K3721" s="154" t="s">
        <v>15</v>
      </c>
      <c r="L3721" s="154" t="str">
        <f>IF(OpenLCAbasic!K3721="CTUh", "Fill in Manually",IF(OR(K3721="Unit", K3721=""), "", INDEX(LookUps!$E$5:$E$12, MATCH(OpenLCAbasic!K3721,LookUps!$D$5:$D$12,0))))</f>
        <v>Cumulative Energy Demand (CED) - MJ</v>
      </c>
      <c r="M3721" s="154" t="str">
        <f t="shared" si="184"/>
        <v>High_High_High_Upgraded_Cumulative Energy Demand (CED) - MJ_Belt filter press; wastewater treatment unit; at updated plant - US_Base_With Amendment_Windrow</v>
      </c>
    </row>
    <row r="3722" spans="1:13" s="120" customFormat="1" x14ac:dyDescent="0.25">
      <c r="A3722" s="119"/>
      <c r="B3722" s="138" t="str">
        <f t="shared" si="182"/>
        <v>Windrow</v>
      </c>
      <c r="C3722" s="138" t="str">
        <f t="shared" si="183"/>
        <v>Base_With Amendment</v>
      </c>
      <c r="D3722" s="118" t="s">
        <v>140</v>
      </c>
      <c r="E3722" s="118" t="s">
        <v>181</v>
      </c>
      <c r="F3722" s="118" t="s">
        <v>46</v>
      </c>
      <c r="G3722" s="153"/>
      <c r="H3722" s="155">
        <v>3.2099999999999997E-2</v>
      </c>
      <c r="I3722" s="154" t="s">
        <v>57</v>
      </c>
      <c r="J3722" s="203">
        <v>0.33404</v>
      </c>
      <c r="K3722" s="154" t="s">
        <v>15</v>
      </c>
      <c r="L3722" s="154" t="str">
        <f>IF(OpenLCAbasic!K3722="CTUh", "Fill in Manually",IF(OR(K3722="Unit", K3722=""), "", INDEX(LookUps!$E$5:$E$12, MATCH(OpenLCAbasic!K3722,LookUps!$D$5:$D$12,0))))</f>
        <v>Cumulative Energy Demand (CED) - MJ</v>
      </c>
      <c r="M3722" s="154" t="str">
        <f t="shared" si="184"/>
        <v>High_High_High_Upgraded_Cumulative Energy Demand (CED) - MJ_Gravity Belt Thickener; wastewater treatment unit; at updated plant - US_Base_With Amendment_Windrow</v>
      </c>
    </row>
    <row r="3723" spans="1:13" s="120" customFormat="1" x14ac:dyDescent="0.25">
      <c r="A3723" s="119"/>
      <c r="B3723" s="138" t="str">
        <f t="shared" si="182"/>
        <v>Windrow</v>
      </c>
      <c r="C3723" s="138" t="str">
        <f t="shared" si="183"/>
        <v>Base_With Amendment</v>
      </c>
      <c r="D3723" s="118" t="s">
        <v>140</v>
      </c>
      <c r="E3723" s="118" t="s">
        <v>181</v>
      </c>
      <c r="F3723" s="118" t="s">
        <v>46</v>
      </c>
      <c r="G3723" s="153"/>
      <c r="H3723" s="155">
        <v>2.46E-2</v>
      </c>
      <c r="I3723" s="154" t="s">
        <v>128</v>
      </c>
      <c r="J3723" s="203">
        <v>0.25606000000000001</v>
      </c>
      <c r="K3723" s="154" t="s">
        <v>15</v>
      </c>
      <c r="L3723" s="154" t="str">
        <f>IF(OpenLCAbasic!K3723="CTUh", "Fill in Manually",IF(OR(K3723="Unit", K3723=""), "", INDEX(LookUps!$E$5:$E$12, MATCH(OpenLCAbasic!K3723,LookUps!$D$5:$D$12,0))))</f>
        <v>Cumulative Energy Demand (CED) - MJ</v>
      </c>
      <c r="M3723" s="154" t="str">
        <f t="shared" si="184"/>
        <v>High_High_High_Upgraded_Cumulative Energy Demand (CED) - MJ_Wastewater collection; operation and infrastructure; m3 wastewater_Base_With Amendment_Windrow</v>
      </c>
    </row>
    <row r="3724" spans="1:13" s="120" customFormat="1" x14ac:dyDescent="0.25">
      <c r="A3724" s="119"/>
      <c r="B3724" s="138" t="str">
        <f t="shared" si="182"/>
        <v>Windrow</v>
      </c>
      <c r="C3724" s="138" t="str">
        <f t="shared" si="183"/>
        <v>Base_With Amendment</v>
      </c>
      <c r="D3724" s="118" t="s">
        <v>140</v>
      </c>
      <c r="E3724" s="118" t="s">
        <v>181</v>
      </c>
      <c r="F3724" s="118" t="s">
        <v>46</v>
      </c>
      <c r="G3724" s="153"/>
      <c r="H3724" s="155">
        <v>1.4E-2</v>
      </c>
      <c r="I3724" s="154" t="s">
        <v>148</v>
      </c>
      <c r="J3724" s="203">
        <v>0.14599000000000001</v>
      </c>
      <c r="K3724" s="154" t="s">
        <v>15</v>
      </c>
      <c r="L3724" s="154" t="str">
        <f>IF(OpenLCAbasic!K3724="CTUh", "Fill in Manually",IF(OR(K3724="Unit", K3724=""), "", INDEX(LookUps!$E$5:$E$12, MATCH(OpenLCAbasic!K3724,LookUps!$D$5:$D$12,0))))</f>
        <v>Cumulative Energy Demand (CED) - MJ</v>
      </c>
      <c r="M3724" s="154" t="str">
        <f t="shared" si="184"/>
        <v>High_High_High_Upgraded_Cumulative Energy Demand (CED) - MJ_Control Building; at upgraded wastewater treatment plant - US_Base_With Amendment_Windrow</v>
      </c>
    </row>
    <row r="3725" spans="1:13" s="120" customFormat="1" x14ac:dyDescent="0.25">
      <c r="A3725" s="119"/>
      <c r="B3725" s="138" t="str">
        <f t="shared" si="182"/>
        <v>Windrow</v>
      </c>
      <c r="C3725" s="138" t="str">
        <f t="shared" si="183"/>
        <v>Base_With Amendment</v>
      </c>
      <c r="D3725" s="118" t="s">
        <v>140</v>
      </c>
      <c r="E3725" s="118" t="s">
        <v>181</v>
      </c>
      <c r="F3725" s="118" t="s">
        <v>46</v>
      </c>
      <c r="G3725" s="153"/>
      <c r="H3725" s="155">
        <v>1.2800000000000001E-2</v>
      </c>
      <c r="I3725" s="154" t="s">
        <v>48</v>
      </c>
      <c r="J3725" s="203">
        <v>0.13321</v>
      </c>
      <c r="K3725" s="154" t="s">
        <v>15</v>
      </c>
      <c r="L3725" s="154" t="str">
        <f>IF(OpenLCAbasic!K3725="CTUh", "Fill in Manually",IF(OR(K3725="Unit", K3725=""), "", INDEX(LookUps!$E$5:$E$12, MATCH(OpenLCAbasic!K3725,LookUps!$D$5:$D$12,0))))</f>
        <v>Cumulative Energy Demand (CED) - MJ</v>
      </c>
      <c r="M3725" s="154" t="str">
        <f t="shared" si="184"/>
        <v>High_High_High_Upgraded_Cumulative Energy Demand (CED) - MJ_Effluent release; wastewater treatment unit; at surface water; m3 wastewater - US_Base_With Amendment_Windrow</v>
      </c>
    </row>
    <row r="3726" spans="1:13" s="120" customFormat="1" x14ac:dyDescent="0.25">
      <c r="A3726" s="119"/>
      <c r="B3726" s="138" t="str">
        <f t="shared" si="182"/>
        <v>Windrow</v>
      </c>
      <c r="C3726" s="138" t="str">
        <f t="shared" si="183"/>
        <v>Base_With Amendment</v>
      </c>
      <c r="D3726" s="118" t="s">
        <v>140</v>
      </c>
      <c r="E3726" s="118" t="s">
        <v>181</v>
      </c>
      <c r="F3726" s="118" t="s">
        <v>46</v>
      </c>
      <c r="G3726" s="153"/>
      <c r="H3726" s="155">
        <v>1.0200000000000001E-2</v>
      </c>
      <c r="I3726" s="154" t="s">
        <v>59</v>
      </c>
      <c r="J3726" s="203">
        <v>0.10638</v>
      </c>
      <c r="K3726" s="154" t="s">
        <v>15</v>
      </c>
      <c r="L3726" s="154" t="str">
        <f>IF(OpenLCAbasic!K3726="CTUh", "Fill in Manually",IF(OR(K3726="Unit", K3726=""), "", INDEX(LookUps!$E$5:$E$12, MATCH(OpenLCAbasic!K3726,LookUps!$D$5:$D$12,0))))</f>
        <v>Cumulative Energy Demand (CED) - MJ</v>
      </c>
      <c r="M3726" s="154" t="str">
        <f t="shared" si="184"/>
        <v>High_High_High_Upgraded_Cumulative Energy Demand (CED) - MJ_Blend Tank; wastewater treatment unit; at updated plant - US_Base_With Amendment_Windrow</v>
      </c>
    </row>
    <row r="3727" spans="1:13" s="120" customFormat="1" x14ac:dyDescent="0.25">
      <c r="A3727" s="119"/>
      <c r="B3727" s="138" t="str">
        <f t="shared" si="182"/>
        <v>Windrow</v>
      </c>
      <c r="C3727" s="138" t="str">
        <f t="shared" si="183"/>
        <v>Base_With Amendment</v>
      </c>
      <c r="D3727" s="118" t="s">
        <v>140</v>
      </c>
      <c r="E3727" s="118" t="s">
        <v>181</v>
      </c>
      <c r="F3727" s="118" t="s">
        <v>46</v>
      </c>
      <c r="G3727" s="153"/>
      <c r="H3727" s="155">
        <v>4.8999999999999998E-3</v>
      </c>
      <c r="I3727" s="154" t="s">
        <v>168</v>
      </c>
      <c r="J3727" s="203">
        <v>5.0930000000000003E-2</v>
      </c>
      <c r="K3727" s="154" t="s">
        <v>15</v>
      </c>
      <c r="L3727" s="154" t="str">
        <f>IF(OpenLCAbasic!K3727="CTUh", "Fill in Manually",IF(OR(K3727="Unit", K3727=""), "", INDEX(LookUps!$E$5:$E$12, MATCH(OpenLCAbasic!K3727,LookUps!$D$5:$D$12,0))))</f>
        <v>Cumulative Energy Demand (CED) - MJ</v>
      </c>
      <c r="M3727" s="154" t="str">
        <f t="shared" si="184"/>
        <v>High_High_High_Upgraded_Cumulative Energy Demand (CED) - MJ_ClearCove SCP; wastewater treatment unit; at updated plant - US_Base_With Amendment_Windrow</v>
      </c>
    </row>
    <row r="3728" spans="1:13" s="120" customFormat="1" x14ac:dyDescent="0.25">
      <c r="A3728" s="119"/>
      <c r="B3728" s="138" t="str">
        <f t="shared" si="182"/>
        <v>Windrow</v>
      </c>
      <c r="C3728" s="138" t="str">
        <f t="shared" si="183"/>
        <v>Base_With Amendment</v>
      </c>
      <c r="D3728" s="118" t="s">
        <v>140</v>
      </c>
      <c r="E3728" s="118" t="s">
        <v>181</v>
      </c>
      <c r="F3728" s="118" t="s">
        <v>46</v>
      </c>
      <c r="G3728" s="153"/>
      <c r="H3728" s="155">
        <v>3.5999999999999999E-3</v>
      </c>
      <c r="I3728" s="154" t="s">
        <v>271</v>
      </c>
      <c r="J3728" s="203">
        <v>3.7069999999999999E-2</v>
      </c>
      <c r="K3728" s="154" t="s">
        <v>15</v>
      </c>
      <c r="L3728" s="154" t="str">
        <f>IF(OpenLCAbasic!K3728="CTUh", "Fill in Manually",IF(OR(K3728="Unit", K3728=""), "", INDEX(LookUps!$E$5:$E$12, MATCH(OpenLCAbasic!K3728,LookUps!$D$5:$D$12,0))))</f>
        <v>Cumulative Energy Demand (CED) - MJ</v>
      </c>
      <c r="M3728" s="154" t="str">
        <f t="shared" si="184"/>
        <v>High_High_High_Upgraded_Cumulative Energy Demand (CED) - MJ_Biosolids composting; windrow composting; wastewater treatment unit; at updated plant - US_Base_With Amendment_Windrow</v>
      </c>
    </row>
    <row r="3729" spans="1:13" s="120" customFormat="1" x14ac:dyDescent="0.25">
      <c r="A3729" s="119"/>
      <c r="B3729" s="138" t="str">
        <f t="shared" si="182"/>
        <v>Windrow</v>
      </c>
      <c r="C3729" s="138" t="str">
        <f t="shared" si="183"/>
        <v>Base_With Amendment</v>
      </c>
      <c r="D3729" s="118" t="s">
        <v>140</v>
      </c>
      <c r="E3729" s="118" t="s">
        <v>181</v>
      </c>
      <c r="F3729" s="118" t="s">
        <v>46</v>
      </c>
      <c r="G3729" s="153"/>
      <c r="H3729" s="155">
        <v>-7.0800000000000002E-2</v>
      </c>
      <c r="I3729" s="154" t="s">
        <v>62</v>
      </c>
      <c r="J3729" s="203">
        <v>-0.73780999999999997</v>
      </c>
      <c r="K3729" s="154" t="s">
        <v>15</v>
      </c>
      <c r="L3729" s="154" t="str">
        <f>IF(OpenLCAbasic!K3729="CTUh", "Fill in Manually",IF(OR(K3729="Unit", K3729=""), "", INDEX(LookUps!$E$5:$E$12, MATCH(OpenLCAbasic!K3729,LookUps!$D$5:$D$12,0))))</f>
        <v>Cumulative Energy Demand (CED) - MJ</v>
      </c>
      <c r="M3729" s="154" t="str">
        <f t="shared" si="184"/>
        <v>High_High_High_Upgraded_Cumulative Energy Demand (CED) - MJ_Land application of compost; wastewater treatment unit; at updated plant - US_Base_With Amendment_Windrow</v>
      </c>
    </row>
    <row r="3730" spans="1:13" s="120" customFormat="1" x14ac:dyDescent="0.25">
      <c r="A3730" s="119"/>
      <c r="B3730" s="138" t="str">
        <f t="shared" si="182"/>
        <v>Windrow</v>
      </c>
      <c r="C3730" s="138" t="str">
        <f t="shared" si="183"/>
        <v>Base_With Amendment</v>
      </c>
      <c r="D3730" s="118" t="s">
        <v>140</v>
      </c>
      <c r="E3730" s="118" t="s">
        <v>181</v>
      </c>
      <c r="F3730" s="118" t="s">
        <v>46</v>
      </c>
      <c r="G3730" s="153"/>
      <c r="H3730" s="155">
        <v>-2.2618</v>
      </c>
      <c r="I3730" s="154" t="s">
        <v>149</v>
      </c>
      <c r="J3730" s="206">
        <v>-23.56711</v>
      </c>
      <c r="K3730" s="154" t="s">
        <v>15</v>
      </c>
      <c r="L3730" s="154" t="str">
        <f>IF(OpenLCAbasic!K3730="CTUh", "Fill in Manually",IF(OR(K3730="Unit", K3730=""), "", INDEX(LookUps!$E$5:$E$12, MATCH(OpenLCAbasic!K3730,LookUps!$D$5:$D$12,0))))</f>
        <v>Cumulative Energy Demand (CED) - MJ</v>
      </c>
      <c r="M3730" s="154" t="str">
        <f t="shared" si="184"/>
        <v>High_High_High_Upgraded_Cumulative Energy Demand (CED) - MJ_Anaerobic Digestion; wastewater treatment unit; at updated plant - US_Base_With Amendment_Windrow</v>
      </c>
    </row>
    <row r="3731" spans="1:13" s="120" customFormat="1" x14ac:dyDescent="0.25">
      <c r="A3731" s="119"/>
      <c r="B3731" s="138" t="str">
        <f t="shared" si="182"/>
        <v>Windrow</v>
      </c>
      <c r="C3731" s="138" t="str">
        <f t="shared" si="183"/>
        <v>Base_With Amendment</v>
      </c>
      <c r="D3731" s="118" t="s">
        <v>140</v>
      </c>
      <c r="E3731" s="118" t="s">
        <v>181</v>
      </c>
      <c r="F3731" s="118" t="s">
        <v>46</v>
      </c>
      <c r="G3731" s="153" t="s">
        <v>51</v>
      </c>
      <c r="H3731" s="154"/>
      <c r="I3731" s="154" t="s">
        <v>47</v>
      </c>
      <c r="J3731" s="154" t="s">
        <v>52</v>
      </c>
      <c r="K3731" s="154" t="s">
        <v>27</v>
      </c>
      <c r="L3731" s="154" t="str">
        <f>IF(OpenLCAbasic!K3731="CTUh", "Fill in Manually",IF(OR(K3731="Unit", K3731=""), "", INDEX(LookUps!$E$5:$E$12, MATCH(OpenLCAbasic!K3731,LookUps!$D$5:$D$12,0))))</f>
        <v/>
      </c>
      <c r="M3731" s="154" t="str">
        <f t="shared" si="184"/>
        <v>High_High_High_Upgraded__Process_Base_With Amendment_Windrow</v>
      </c>
    </row>
    <row r="3732" spans="1:13" s="120" customFormat="1" x14ac:dyDescent="0.25">
      <c r="A3732" s="119"/>
      <c r="B3732" s="138" t="str">
        <f t="shared" si="182"/>
        <v>Windrow</v>
      </c>
      <c r="C3732" s="138" t="str">
        <f t="shared" si="183"/>
        <v>Base_With Amendment</v>
      </c>
      <c r="D3732" s="118" t="s">
        <v>140</v>
      </c>
      <c r="E3732" s="118" t="s">
        <v>181</v>
      </c>
      <c r="F3732" s="118" t="s">
        <v>46</v>
      </c>
      <c r="G3732" s="153"/>
      <c r="H3732" s="155">
        <v>0.55369999999999997</v>
      </c>
      <c r="I3732" s="154" t="s">
        <v>271</v>
      </c>
      <c r="J3732" s="203">
        <v>1.9019999999999999E-2</v>
      </c>
      <c r="K3732" s="154" t="s">
        <v>24</v>
      </c>
      <c r="L3732" s="154" t="str">
        <f>IF(OpenLCAbasic!K3732="CTUh", "Fill in Manually",IF(OR(K3732="Unit", K3732=""), "", INDEX(LookUps!$E$5:$E$12, MATCH(OpenLCAbasic!K3732,LookUps!$D$5:$D$12,0))))</f>
        <v>Acidification Potential (AP) - kg SO2 eq</v>
      </c>
      <c r="M3732" s="154" t="str">
        <f t="shared" si="184"/>
        <v>High_High_High_Upgraded_Acidification Potential (AP) - kg SO2 eq_Biosolids composting; windrow composting; wastewater treatment unit; at updated plant - US_Base_With Amendment_Windrow</v>
      </c>
    </row>
    <row r="3733" spans="1:13" s="120" customFormat="1" x14ac:dyDescent="0.25">
      <c r="A3733" s="119"/>
      <c r="B3733" s="138" t="str">
        <f t="shared" si="182"/>
        <v>Windrow</v>
      </c>
      <c r="C3733" s="138" t="str">
        <f t="shared" si="183"/>
        <v>Base_With Amendment</v>
      </c>
      <c r="D3733" s="118" t="s">
        <v>140</v>
      </c>
      <c r="E3733" s="118" t="s">
        <v>181</v>
      </c>
      <c r="F3733" s="118" t="s">
        <v>46</v>
      </c>
      <c r="G3733" s="153"/>
      <c r="H3733" s="155">
        <v>0.50109999999999999</v>
      </c>
      <c r="I3733" s="154" t="s">
        <v>55</v>
      </c>
      <c r="J3733" s="203">
        <v>1.7219999999999999E-2</v>
      </c>
      <c r="K3733" s="154" t="s">
        <v>24</v>
      </c>
      <c r="L3733" s="154" t="str">
        <f>IF(OpenLCAbasic!K3733="CTUh", "Fill in Manually",IF(OR(K3733="Unit", K3733=""), "", INDEX(LookUps!$E$5:$E$12, MATCH(OpenLCAbasic!K3733,LookUps!$D$5:$D$12,0))))</f>
        <v>Acidification Potential (AP) - kg SO2 eq</v>
      </c>
      <c r="M3733" s="154" t="str">
        <f t="shared" si="184"/>
        <v>High_High_High_Upgraded_Acidification Potential (AP) - kg SO2 eq_Aeration Tanks; wastewater treatment unit; at updated plant - US_Base_With Amendment_Windrow</v>
      </c>
    </row>
    <row r="3734" spans="1:13" s="120" customFormat="1" x14ac:dyDescent="0.25">
      <c r="A3734" s="119"/>
      <c r="B3734" s="138" t="str">
        <f t="shared" si="182"/>
        <v>Windrow</v>
      </c>
      <c r="C3734" s="138" t="str">
        <f t="shared" si="183"/>
        <v>Base_With Amendment</v>
      </c>
      <c r="D3734" s="118" t="s">
        <v>140</v>
      </c>
      <c r="E3734" s="118" t="s">
        <v>181</v>
      </c>
      <c r="F3734" s="118" t="s">
        <v>46</v>
      </c>
      <c r="G3734" s="153"/>
      <c r="H3734" s="155">
        <v>0.1449</v>
      </c>
      <c r="I3734" s="154" t="s">
        <v>54</v>
      </c>
      <c r="J3734" s="204">
        <v>4.9800000000000001E-3</v>
      </c>
      <c r="K3734" s="154" t="s">
        <v>24</v>
      </c>
      <c r="L3734" s="154" t="str">
        <f>IF(OpenLCAbasic!K3734="CTUh", "Fill in Manually",IF(OR(K3734="Unit", K3734=""), "", INDEX(LookUps!$E$5:$E$12, MATCH(OpenLCAbasic!K3734,LookUps!$D$5:$D$12,0))))</f>
        <v>Acidification Potential (AP) - kg SO2 eq</v>
      </c>
      <c r="M3734" s="154" t="str">
        <f t="shared" si="184"/>
        <v>High_High_High_Upgraded_Acidification Potential (AP) - kg SO2 eq_Clear Cove Primary Clarification; wastewater treatment unit; at updated plant - US_Base_With Amendment_Windrow</v>
      </c>
    </row>
    <row r="3735" spans="1:13" s="120" customFormat="1" x14ac:dyDescent="0.25">
      <c r="A3735" s="119"/>
      <c r="B3735" s="138" t="str">
        <f t="shared" si="182"/>
        <v>Windrow</v>
      </c>
      <c r="C3735" s="138" t="str">
        <f t="shared" si="183"/>
        <v>Base_With Amendment</v>
      </c>
      <c r="D3735" s="118" t="s">
        <v>140</v>
      </c>
      <c r="E3735" s="118" t="s">
        <v>181</v>
      </c>
      <c r="F3735" s="118" t="s">
        <v>46</v>
      </c>
      <c r="G3735" s="153"/>
      <c r="H3735" s="155">
        <v>0.127</v>
      </c>
      <c r="I3735" s="154" t="s">
        <v>58</v>
      </c>
      <c r="J3735" s="204">
        <v>4.3600000000000002E-3</v>
      </c>
      <c r="K3735" s="154" t="s">
        <v>24</v>
      </c>
      <c r="L3735" s="154" t="str">
        <f>IF(OpenLCAbasic!K3735="CTUh", "Fill in Manually",IF(OR(K3735="Unit", K3735=""), "", INDEX(LookUps!$E$5:$E$12, MATCH(OpenLCAbasic!K3735,LookUps!$D$5:$D$12,0))))</f>
        <v>Acidification Potential (AP) - kg SO2 eq</v>
      </c>
      <c r="M3735" s="154" t="str">
        <f t="shared" si="184"/>
        <v>High_High_High_Upgraded_Acidification Potential (AP) - kg SO2 eq_Pre-Anoxic &amp; Swing tank; wastewater treatment unit; at updated plant - US_Base_With Amendment_Windrow</v>
      </c>
    </row>
    <row r="3736" spans="1:13" s="120" customFormat="1" x14ac:dyDescent="0.25">
      <c r="A3736" s="119"/>
      <c r="B3736" s="138" t="str">
        <f t="shared" si="182"/>
        <v>Windrow</v>
      </c>
      <c r="C3736" s="138" t="str">
        <f t="shared" si="183"/>
        <v>Base_With Amendment</v>
      </c>
      <c r="D3736" s="118" t="s">
        <v>140</v>
      </c>
      <c r="E3736" s="118" t="s">
        <v>181</v>
      </c>
      <c r="F3736" s="118" t="s">
        <v>46</v>
      </c>
      <c r="G3736" s="153"/>
      <c r="H3736" s="155">
        <v>0.1221</v>
      </c>
      <c r="I3736" s="154" t="s">
        <v>62</v>
      </c>
      <c r="J3736" s="204">
        <v>4.1999999999999997E-3</v>
      </c>
      <c r="K3736" s="154" t="s">
        <v>24</v>
      </c>
      <c r="L3736" s="154" t="str">
        <f>IF(OpenLCAbasic!K3736="CTUh", "Fill in Manually",IF(OR(K3736="Unit", K3736=""), "", INDEX(LookUps!$E$5:$E$12, MATCH(OpenLCAbasic!K3736,LookUps!$D$5:$D$12,0))))</f>
        <v>Acidification Potential (AP) - kg SO2 eq</v>
      </c>
      <c r="M3736" s="154" t="str">
        <f t="shared" si="184"/>
        <v>High_High_High_Upgraded_Acidification Potential (AP) - kg SO2 eq_Land application of compost; wastewater treatment unit; at updated plant - US_Base_With Amendment_Windrow</v>
      </c>
    </row>
    <row r="3737" spans="1:13" s="120" customFormat="1" x14ac:dyDescent="0.25">
      <c r="A3737" s="119"/>
      <c r="B3737" s="138" t="str">
        <f t="shared" si="182"/>
        <v>Windrow</v>
      </c>
      <c r="C3737" s="138" t="str">
        <f t="shared" si="183"/>
        <v>Base_With Amendment</v>
      </c>
      <c r="D3737" s="118" t="s">
        <v>140</v>
      </c>
      <c r="E3737" s="118" t="s">
        <v>181</v>
      </c>
      <c r="F3737" s="118" t="s">
        <v>46</v>
      </c>
      <c r="G3737" s="153"/>
      <c r="H3737" s="155">
        <v>0.1004</v>
      </c>
      <c r="I3737" s="154" t="s">
        <v>53</v>
      </c>
      <c r="J3737" s="204">
        <v>3.4499999999999999E-3</v>
      </c>
      <c r="K3737" s="154" t="s">
        <v>24</v>
      </c>
      <c r="L3737" s="154" t="str">
        <f>IF(OpenLCAbasic!K3737="CTUh", "Fill in Manually",IF(OR(K3737="Unit", K3737=""), "", INDEX(LookUps!$E$5:$E$12, MATCH(OpenLCAbasic!K3737,LookUps!$D$5:$D$12,0))))</f>
        <v>Acidification Potential (AP) - kg SO2 eq</v>
      </c>
      <c r="M3737" s="154" t="str">
        <f t="shared" si="184"/>
        <v>High_High_High_Upgraded_Acidification Potential (AP) - kg SO2 eq_Wet Well and Sump Station; wastewater treatment unit; at updated plant - US_Base_With Amendment_Windrow</v>
      </c>
    </row>
    <row r="3738" spans="1:13" s="120" customFormat="1" x14ac:dyDescent="0.25">
      <c r="A3738" s="119"/>
      <c r="B3738" s="138" t="str">
        <f t="shared" si="182"/>
        <v>Windrow</v>
      </c>
      <c r="C3738" s="138" t="str">
        <f t="shared" si="183"/>
        <v>Base_With Amendment</v>
      </c>
      <c r="D3738" s="118" t="s">
        <v>140</v>
      </c>
      <c r="E3738" s="118" t="s">
        <v>181</v>
      </c>
      <c r="F3738" s="118" t="s">
        <v>46</v>
      </c>
      <c r="G3738" s="153"/>
      <c r="H3738" s="155">
        <v>7.8700000000000006E-2</v>
      </c>
      <c r="I3738" s="154" t="s">
        <v>167</v>
      </c>
      <c r="J3738" s="204">
        <v>2.7000000000000001E-3</v>
      </c>
      <c r="K3738" s="154" t="s">
        <v>24</v>
      </c>
      <c r="L3738" s="154" t="str">
        <f>IF(OpenLCAbasic!K3738="CTUh", "Fill in Manually",IF(OR(K3738="Unit", K3738=""), "", INDEX(LookUps!$E$5:$E$12, MATCH(OpenLCAbasic!K3738,LookUps!$D$5:$D$12,0))))</f>
        <v>Acidification Potential (AP) - kg SO2 eq</v>
      </c>
      <c r="M3738" s="154" t="str">
        <f t="shared" si="184"/>
        <v>High_High_High_Upgraded_Acidification Potential (AP) - kg SO2 eq_Waste Receiving and Holding; wastewater treatment unit; at updated plant - US_Base_With Amendment_Windrow</v>
      </c>
    </row>
    <row r="3739" spans="1:13" s="120" customFormat="1" x14ac:dyDescent="0.25">
      <c r="A3739" s="119"/>
      <c r="B3739" s="138" t="str">
        <f t="shared" si="182"/>
        <v>Windrow</v>
      </c>
      <c r="C3739" s="138" t="str">
        <f t="shared" si="183"/>
        <v>Base_With Amendment</v>
      </c>
      <c r="D3739" s="118" t="s">
        <v>140</v>
      </c>
      <c r="E3739" s="118" t="s">
        <v>181</v>
      </c>
      <c r="F3739" s="118" t="s">
        <v>46</v>
      </c>
      <c r="G3739" s="153"/>
      <c r="H3739" s="155">
        <v>6.0199999999999997E-2</v>
      </c>
      <c r="I3739" s="154" t="s">
        <v>147</v>
      </c>
      <c r="J3739" s="204">
        <v>2.0699999999999998E-3</v>
      </c>
      <c r="K3739" s="154" t="s">
        <v>24</v>
      </c>
      <c r="L3739" s="154" t="str">
        <f>IF(OpenLCAbasic!K3739="CTUh", "Fill in Manually",IF(OR(K3739="Unit", K3739=""), "", INDEX(LookUps!$E$5:$E$12, MATCH(OpenLCAbasic!K3739,LookUps!$D$5:$D$12,0))))</f>
        <v>Acidification Potential (AP) - kg SO2 eq</v>
      </c>
      <c r="M3739" s="154" t="str">
        <f t="shared" si="184"/>
        <v>High_High_High_Upgraded_Acidification Potential (AP) - kg SO2 eq_Influent Pump Station; wastewater treatment unit; at updated plant - US_Base_With Amendment_Windrow</v>
      </c>
    </row>
    <row r="3740" spans="1:13" s="120" customFormat="1" x14ac:dyDescent="0.25">
      <c r="A3740" s="119"/>
      <c r="B3740" s="138" t="str">
        <f t="shared" si="182"/>
        <v>Windrow</v>
      </c>
      <c r="C3740" s="138" t="str">
        <f t="shared" si="183"/>
        <v>Base_With Amendment</v>
      </c>
      <c r="D3740" s="118" t="s">
        <v>140</v>
      </c>
      <c r="E3740" s="118" t="s">
        <v>181</v>
      </c>
      <c r="F3740" s="118" t="s">
        <v>46</v>
      </c>
      <c r="G3740" s="153"/>
      <c r="H3740" s="155">
        <v>4.02E-2</v>
      </c>
      <c r="I3740" s="154" t="s">
        <v>60</v>
      </c>
      <c r="J3740" s="204">
        <v>1.3799999999999999E-3</v>
      </c>
      <c r="K3740" s="154" t="s">
        <v>24</v>
      </c>
      <c r="L3740" s="154" t="str">
        <f>IF(OpenLCAbasic!K3740="CTUh", "Fill in Manually",IF(OR(K3740="Unit", K3740=""), "", INDEX(LookUps!$E$5:$E$12, MATCH(OpenLCAbasic!K3740,LookUps!$D$5:$D$12,0))))</f>
        <v>Acidification Potential (AP) - kg SO2 eq</v>
      </c>
      <c r="M3740" s="154" t="str">
        <f t="shared" si="184"/>
        <v>High_High_High_Upgraded_Acidification Potential (AP) - kg SO2 eq_Belt filter press; wastewater treatment unit; at updated plant - US_Base_With Amendment_Windrow</v>
      </c>
    </row>
    <row r="3741" spans="1:13" s="120" customFormat="1" x14ac:dyDescent="0.25">
      <c r="A3741" s="119"/>
      <c r="B3741" s="138" t="str">
        <f t="shared" si="182"/>
        <v>Windrow</v>
      </c>
      <c r="C3741" s="138" t="str">
        <f t="shared" si="183"/>
        <v>Base_With Amendment</v>
      </c>
      <c r="D3741" s="118" t="s">
        <v>140</v>
      </c>
      <c r="E3741" s="118" t="s">
        <v>181</v>
      </c>
      <c r="F3741" s="118" t="s">
        <v>46</v>
      </c>
      <c r="G3741" s="153"/>
      <c r="H3741" s="155">
        <v>3.5900000000000001E-2</v>
      </c>
      <c r="I3741" s="154" t="s">
        <v>128</v>
      </c>
      <c r="J3741" s="204">
        <v>1.23E-3</v>
      </c>
      <c r="K3741" s="154" t="s">
        <v>24</v>
      </c>
      <c r="L3741" s="154" t="str">
        <f>IF(OpenLCAbasic!K3741="CTUh", "Fill in Manually",IF(OR(K3741="Unit", K3741=""), "", INDEX(LookUps!$E$5:$E$12, MATCH(OpenLCAbasic!K3741,LookUps!$D$5:$D$12,0))))</f>
        <v>Acidification Potential (AP) - kg SO2 eq</v>
      </c>
      <c r="M3741" s="154" t="str">
        <f t="shared" si="184"/>
        <v>High_High_High_Upgraded_Acidification Potential (AP) - kg SO2 eq_Wastewater collection; operation and infrastructure; m3 wastewater_Base_With Amendment_Windrow</v>
      </c>
    </row>
    <row r="3742" spans="1:13" s="120" customFormat="1" x14ac:dyDescent="0.25">
      <c r="A3742" s="119"/>
      <c r="B3742" s="138" t="str">
        <f t="shared" si="182"/>
        <v>Windrow</v>
      </c>
      <c r="C3742" s="138" t="str">
        <f t="shared" si="183"/>
        <v>Base_With Amendment</v>
      </c>
      <c r="D3742" s="118" t="s">
        <v>140</v>
      </c>
      <c r="E3742" s="118" t="s">
        <v>181</v>
      </c>
      <c r="F3742" s="118" t="s">
        <v>46</v>
      </c>
      <c r="G3742" s="153"/>
      <c r="H3742" s="155">
        <v>2.0500000000000001E-2</v>
      </c>
      <c r="I3742" s="154" t="s">
        <v>57</v>
      </c>
      <c r="J3742" s="204">
        <v>6.9999999999999999E-4</v>
      </c>
      <c r="K3742" s="154" t="s">
        <v>24</v>
      </c>
      <c r="L3742" s="154" t="str">
        <f>IF(OpenLCAbasic!K3742="CTUh", "Fill in Manually",IF(OR(K3742="Unit", K3742=""), "", INDEX(LookUps!$E$5:$E$12, MATCH(OpenLCAbasic!K3742,LookUps!$D$5:$D$12,0))))</f>
        <v>Acidification Potential (AP) - kg SO2 eq</v>
      </c>
      <c r="M3742" s="154" t="str">
        <f t="shared" si="184"/>
        <v>High_High_High_Upgraded_Acidification Potential (AP) - kg SO2 eq_Gravity Belt Thickener; wastewater treatment unit; at updated plant - US_Base_With Amendment_Windrow</v>
      </c>
    </row>
    <row r="3743" spans="1:13" s="120" customFormat="1" x14ac:dyDescent="0.25">
      <c r="A3743" s="119"/>
      <c r="B3743" s="138" t="str">
        <f t="shared" si="182"/>
        <v>Windrow</v>
      </c>
      <c r="C3743" s="138" t="str">
        <f t="shared" si="183"/>
        <v>Base_With Amendment</v>
      </c>
      <c r="D3743" s="118" t="s">
        <v>140</v>
      </c>
      <c r="E3743" s="118" t="s">
        <v>181</v>
      </c>
      <c r="F3743" s="118" t="s">
        <v>46</v>
      </c>
      <c r="G3743" s="153"/>
      <c r="H3743" s="155">
        <v>1.4999999999999999E-2</v>
      </c>
      <c r="I3743" s="154" t="s">
        <v>59</v>
      </c>
      <c r="J3743" s="204">
        <v>5.1999999999999995E-4</v>
      </c>
      <c r="K3743" s="154" t="s">
        <v>24</v>
      </c>
      <c r="L3743" s="154" t="str">
        <f>IF(OpenLCAbasic!K3743="CTUh", "Fill in Manually",IF(OR(K3743="Unit", K3743=""), "", INDEX(LookUps!$E$5:$E$12, MATCH(OpenLCAbasic!K3743,LookUps!$D$5:$D$12,0))))</f>
        <v>Acidification Potential (AP) - kg SO2 eq</v>
      </c>
      <c r="M3743" s="154" t="str">
        <f t="shared" si="184"/>
        <v>High_High_High_Upgraded_Acidification Potential (AP) - kg SO2 eq_Blend Tank; wastewater treatment unit; at updated plant - US_Base_With Amendment_Windrow</v>
      </c>
    </row>
    <row r="3744" spans="1:13" s="120" customFormat="1" x14ac:dyDescent="0.25">
      <c r="A3744" s="119"/>
      <c r="B3744" s="138" t="str">
        <f t="shared" si="182"/>
        <v>Windrow</v>
      </c>
      <c r="C3744" s="138" t="str">
        <f t="shared" si="183"/>
        <v>Base_With Amendment</v>
      </c>
      <c r="D3744" s="118" t="s">
        <v>140</v>
      </c>
      <c r="E3744" s="118" t="s">
        <v>181</v>
      </c>
      <c r="F3744" s="118" t="s">
        <v>46</v>
      </c>
      <c r="G3744" s="153"/>
      <c r="H3744" s="155">
        <v>1.01E-2</v>
      </c>
      <c r="I3744" s="154" t="s">
        <v>48</v>
      </c>
      <c r="J3744" s="204">
        <v>3.5E-4</v>
      </c>
      <c r="K3744" s="154" t="s">
        <v>24</v>
      </c>
      <c r="L3744" s="154" t="str">
        <f>IF(OpenLCAbasic!K3744="CTUh", "Fill in Manually",IF(OR(K3744="Unit", K3744=""), "", INDEX(LookUps!$E$5:$E$12, MATCH(OpenLCAbasic!K3744,LookUps!$D$5:$D$12,0))))</f>
        <v>Acidification Potential (AP) - kg SO2 eq</v>
      </c>
      <c r="M3744" s="154" t="str">
        <f t="shared" si="184"/>
        <v>High_High_High_Upgraded_Acidification Potential (AP) - kg SO2 eq_Effluent release; wastewater treatment unit; at surface water; m3 wastewater - US_Base_With Amendment_Windrow</v>
      </c>
    </row>
    <row r="3745" spans="1:13" s="120" customFormat="1" x14ac:dyDescent="0.25">
      <c r="A3745" s="119"/>
      <c r="B3745" s="138" t="str">
        <f t="shared" si="182"/>
        <v>Windrow</v>
      </c>
      <c r="C3745" s="138" t="str">
        <f t="shared" si="183"/>
        <v>Base_With Amendment</v>
      </c>
      <c r="D3745" s="118" t="s">
        <v>140</v>
      </c>
      <c r="E3745" s="118" t="s">
        <v>181</v>
      </c>
      <c r="F3745" s="118" t="s">
        <v>46</v>
      </c>
      <c r="G3745" s="153"/>
      <c r="H3745" s="155">
        <v>7.4000000000000003E-3</v>
      </c>
      <c r="I3745" s="154" t="s">
        <v>168</v>
      </c>
      <c r="J3745" s="204">
        <v>2.5999999999999998E-4</v>
      </c>
      <c r="K3745" s="154" t="s">
        <v>24</v>
      </c>
      <c r="L3745" s="154" t="str">
        <f>IF(OpenLCAbasic!K3745="CTUh", "Fill in Manually",IF(OR(K3745="Unit", K3745=""), "", INDEX(LookUps!$E$5:$E$12, MATCH(OpenLCAbasic!K3745,LookUps!$D$5:$D$12,0))))</f>
        <v>Acidification Potential (AP) - kg SO2 eq</v>
      </c>
      <c r="M3745" s="154" t="str">
        <f t="shared" si="184"/>
        <v>High_High_High_Upgraded_Acidification Potential (AP) - kg SO2 eq_ClearCove SCP; wastewater treatment unit; at updated plant - US_Base_With Amendment_Windrow</v>
      </c>
    </row>
    <row r="3746" spans="1:13" s="120" customFormat="1" x14ac:dyDescent="0.25">
      <c r="A3746" s="119"/>
      <c r="B3746" s="138" t="str">
        <f t="shared" si="182"/>
        <v>Windrow</v>
      </c>
      <c r="C3746" s="138" t="str">
        <f t="shared" si="183"/>
        <v>Base_With Amendment</v>
      </c>
      <c r="D3746" s="118" t="s">
        <v>140</v>
      </c>
      <c r="E3746" s="118" t="s">
        <v>181</v>
      </c>
      <c r="F3746" s="118" t="s">
        <v>46</v>
      </c>
      <c r="G3746" s="153"/>
      <c r="H3746" s="155">
        <v>1.1999999999999999E-3</v>
      </c>
      <c r="I3746" s="154" t="s">
        <v>148</v>
      </c>
      <c r="J3746" s="204">
        <v>4.0354700000000002E-5</v>
      </c>
      <c r="K3746" s="154" t="s">
        <v>24</v>
      </c>
      <c r="L3746" s="154" t="str">
        <f>IF(OpenLCAbasic!K3746="CTUh", "Fill in Manually",IF(OR(K3746="Unit", K3746=""), "", INDEX(LookUps!$E$5:$E$12, MATCH(OpenLCAbasic!K3746,LookUps!$D$5:$D$12,0))))</f>
        <v>Acidification Potential (AP) - kg SO2 eq</v>
      </c>
      <c r="M3746" s="154" t="str">
        <f t="shared" si="184"/>
        <v>High_High_High_Upgraded_Acidification Potential (AP) - kg SO2 eq_Control Building; at upgraded wastewater treatment plant - US_Base_With Amendment_Windrow</v>
      </c>
    </row>
    <row r="3747" spans="1:13" s="120" customFormat="1" x14ac:dyDescent="0.25">
      <c r="A3747" s="119"/>
      <c r="B3747" s="138" t="str">
        <f t="shared" si="182"/>
        <v>Windrow</v>
      </c>
      <c r="C3747" s="138" t="str">
        <f t="shared" si="183"/>
        <v>Base_With Amendment</v>
      </c>
      <c r="D3747" s="118" t="s">
        <v>140</v>
      </c>
      <c r="E3747" s="118" t="s">
        <v>181</v>
      </c>
      <c r="F3747" s="118" t="s">
        <v>46</v>
      </c>
      <c r="G3747" s="153"/>
      <c r="H3747" s="155">
        <v>-2.8184999999999998</v>
      </c>
      <c r="I3747" s="154" t="s">
        <v>149</v>
      </c>
      <c r="J3747" s="203">
        <v>-9.6839999999999996E-2</v>
      </c>
      <c r="K3747" s="154" t="s">
        <v>24</v>
      </c>
      <c r="L3747" s="154" t="str">
        <f>IF(OpenLCAbasic!K3747="CTUh", "Fill in Manually",IF(OR(K3747="Unit", K3747=""), "", INDEX(LookUps!$E$5:$E$12, MATCH(OpenLCAbasic!K3747,LookUps!$D$5:$D$12,0))))</f>
        <v>Acidification Potential (AP) - kg SO2 eq</v>
      </c>
      <c r="M3747" s="154" t="str">
        <f t="shared" si="184"/>
        <v>High_High_High_Upgraded_Acidification Potential (AP) - kg SO2 eq_Anaerobic Digestion; wastewater treatment unit; at updated plant - US_Base_With Amendment_Windrow</v>
      </c>
    </row>
    <row r="3748" spans="1:13" s="120" customFormat="1" x14ac:dyDescent="0.25">
      <c r="A3748" s="119"/>
      <c r="B3748" s="138" t="str">
        <f t="shared" si="182"/>
        <v>Windrow</v>
      </c>
      <c r="C3748" s="138" t="str">
        <f t="shared" si="183"/>
        <v>Base_With Amendment</v>
      </c>
      <c r="D3748" s="118" t="s">
        <v>140</v>
      </c>
      <c r="E3748" s="118" t="s">
        <v>181</v>
      </c>
      <c r="F3748" s="118" t="s">
        <v>46</v>
      </c>
      <c r="G3748" s="153" t="s">
        <v>51</v>
      </c>
      <c r="H3748" s="154"/>
      <c r="I3748" s="154" t="s">
        <v>47</v>
      </c>
      <c r="J3748" s="154" t="s">
        <v>52</v>
      </c>
      <c r="K3748" s="154" t="s">
        <v>27</v>
      </c>
      <c r="L3748" s="154" t="str">
        <f>IF(OpenLCAbasic!K3748="CTUh", "Fill in Manually",IF(OR(K3748="Unit", K3748=""), "", INDEX(LookUps!$E$5:$E$12, MATCH(OpenLCAbasic!K3748,LookUps!$D$5:$D$12,0))))</f>
        <v/>
      </c>
      <c r="M3748" s="154" t="str">
        <f t="shared" si="184"/>
        <v>High_High_High_Upgraded__Process_Base_With Amendment_Windrow</v>
      </c>
    </row>
    <row r="3749" spans="1:13" s="120" customFormat="1" x14ac:dyDescent="0.25">
      <c r="A3749" s="119"/>
      <c r="B3749" s="138" t="str">
        <f t="shared" si="182"/>
        <v>Windrow</v>
      </c>
      <c r="C3749" s="138" t="str">
        <f t="shared" si="183"/>
        <v>Base_With Amendment</v>
      </c>
      <c r="D3749" s="118" t="s">
        <v>140</v>
      </c>
      <c r="E3749" s="118" t="s">
        <v>181</v>
      </c>
      <c r="F3749" s="118" t="s">
        <v>46</v>
      </c>
      <c r="G3749" s="153"/>
      <c r="H3749" s="155">
        <v>0.6452</v>
      </c>
      <c r="I3749" s="154" t="s">
        <v>167</v>
      </c>
      <c r="J3749" s="203">
        <v>0.11719</v>
      </c>
      <c r="K3749" s="154" t="s">
        <v>14</v>
      </c>
      <c r="L3749" s="154" t="str">
        <f>IF(OpenLCAbasic!K3749="CTUh", "Fill in Manually",IF(OR(K3749="Unit", K3749=""), "", INDEX(LookUps!$E$5:$E$12, MATCH(OpenLCAbasic!K3749,LookUps!$D$5:$D$12,0))))</f>
        <v>Fossil Depletion Potential (FDP) - kg oil eq</v>
      </c>
      <c r="M3749" s="154" t="str">
        <f t="shared" si="184"/>
        <v>High_High_High_Upgraded_Fossil Depletion Potential (FDP) - kg oil eq_Waste Receiving and Holding; wastewater treatment unit; at updated plant - US_Base_With Amendment_Windrow</v>
      </c>
    </row>
    <row r="3750" spans="1:13" s="120" customFormat="1" x14ac:dyDescent="0.25">
      <c r="A3750" s="119"/>
      <c r="B3750" s="138" t="str">
        <f t="shared" si="182"/>
        <v>Windrow</v>
      </c>
      <c r="C3750" s="138" t="str">
        <f t="shared" si="183"/>
        <v>Base_With Amendment</v>
      </c>
      <c r="D3750" s="118" t="s">
        <v>140</v>
      </c>
      <c r="E3750" s="118" t="s">
        <v>181</v>
      </c>
      <c r="F3750" s="118" t="s">
        <v>46</v>
      </c>
      <c r="G3750" s="153"/>
      <c r="H3750" s="155">
        <v>0.35010000000000002</v>
      </c>
      <c r="I3750" s="154" t="s">
        <v>55</v>
      </c>
      <c r="J3750" s="203">
        <v>6.3589999999999994E-2</v>
      </c>
      <c r="K3750" s="154" t="s">
        <v>14</v>
      </c>
      <c r="L3750" s="154" t="str">
        <f>IF(OpenLCAbasic!K3750="CTUh", "Fill in Manually",IF(OR(K3750="Unit", K3750=""), "", INDEX(LookUps!$E$5:$E$12, MATCH(OpenLCAbasic!K3750,LookUps!$D$5:$D$12,0))))</f>
        <v>Fossil Depletion Potential (FDP) - kg oil eq</v>
      </c>
      <c r="M3750" s="154" t="str">
        <f t="shared" si="184"/>
        <v>High_High_High_Upgraded_Fossil Depletion Potential (FDP) - kg oil eq_Aeration Tanks; wastewater treatment unit; at updated plant - US_Base_With Amendment_Windrow</v>
      </c>
    </row>
    <row r="3751" spans="1:13" s="120" customFormat="1" x14ac:dyDescent="0.25">
      <c r="A3751" s="119"/>
      <c r="B3751" s="138" t="str">
        <f t="shared" si="182"/>
        <v>Windrow</v>
      </c>
      <c r="C3751" s="138" t="str">
        <f t="shared" si="183"/>
        <v>Base_With Amendment</v>
      </c>
      <c r="D3751" s="118" t="s">
        <v>140</v>
      </c>
      <c r="E3751" s="118" t="s">
        <v>181</v>
      </c>
      <c r="F3751" s="118" t="s">
        <v>46</v>
      </c>
      <c r="G3751" s="153"/>
      <c r="H3751" s="155">
        <v>0.1159</v>
      </c>
      <c r="I3751" s="154" t="s">
        <v>54</v>
      </c>
      <c r="J3751" s="203">
        <v>2.1049999999999999E-2</v>
      </c>
      <c r="K3751" s="154" t="s">
        <v>14</v>
      </c>
      <c r="L3751" s="154" t="str">
        <f>IF(OpenLCAbasic!K3751="CTUh", "Fill in Manually",IF(OR(K3751="Unit", K3751=""), "", INDEX(LookUps!$E$5:$E$12, MATCH(OpenLCAbasic!K3751,LookUps!$D$5:$D$12,0))))</f>
        <v>Fossil Depletion Potential (FDP) - kg oil eq</v>
      </c>
      <c r="M3751" s="154" t="str">
        <f t="shared" si="184"/>
        <v>High_High_High_Upgraded_Fossil Depletion Potential (FDP) - kg oil eq_Clear Cove Primary Clarification; wastewater treatment unit; at updated plant - US_Base_With Amendment_Windrow</v>
      </c>
    </row>
    <row r="3752" spans="1:13" s="120" customFormat="1" x14ac:dyDescent="0.25">
      <c r="A3752" s="119"/>
      <c r="B3752" s="138" t="str">
        <f t="shared" si="182"/>
        <v>Windrow</v>
      </c>
      <c r="C3752" s="138" t="str">
        <f t="shared" si="183"/>
        <v>Base_With Amendment</v>
      </c>
      <c r="D3752" s="118" t="s">
        <v>140</v>
      </c>
      <c r="E3752" s="118" t="s">
        <v>181</v>
      </c>
      <c r="F3752" s="118" t="s">
        <v>46</v>
      </c>
      <c r="G3752" s="153"/>
      <c r="H3752" s="155">
        <v>8.8300000000000003E-2</v>
      </c>
      <c r="I3752" s="154" t="s">
        <v>58</v>
      </c>
      <c r="J3752" s="203">
        <v>1.6039999999999999E-2</v>
      </c>
      <c r="K3752" s="154" t="s">
        <v>14</v>
      </c>
      <c r="L3752" s="154" t="str">
        <f>IF(OpenLCAbasic!K3752="CTUh", "Fill in Manually",IF(OR(K3752="Unit", K3752=""), "", INDEX(LookUps!$E$5:$E$12, MATCH(OpenLCAbasic!K3752,LookUps!$D$5:$D$12,0))))</f>
        <v>Fossil Depletion Potential (FDP) - kg oil eq</v>
      </c>
      <c r="M3752" s="154" t="str">
        <f t="shared" si="184"/>
        <v>High_High_High_Upgraded_Fossil Depletion Potential (FDP) - kg oil eq_Pre-Anoxic &amp; Swing tank; wastewater treatment unit; at updated plant - US_Base_With Amendment_Windrow</v>
      </c>
    </row>
    <row r="3753" spans="1:13" s="120" customFormat="1" x14ac:dyDescent="0.25">
      <c r="A3753" s="119"/>
      <c r="B3753" s="138" t="str">
        <f t="shared" si="182"/>
        <v>Windrow</v>
      </c>
      <c r="C3753" s="138" t="str">
        <f t="shared" si="183"/>
        <v>Base_With Amendment</v>
      </c>
      <c r="D3753" s="118" t="s">
        <v>140</v>
      </c>
      <c r="E3753" s="118" t="s">
        <v>181</v>
      </c>
      <c r="F3753" s="118" t="s">
        <v>46</v>
      </c>
      <c r="G3753" s="153"/>
      <c r="H3753" s="155">
        <v>8.3099999999999993E-2</v>
      </c>
      <c r="I3753" s="154" t="s">
        <v>147</v>
      </c>
      <c r="J3753" s="203">
        <v>1.5089999999999999E-2</v>
      </c>
      <c r="K3753" s="154" t="s">
        <v>14</v>
      </c>
      <c r="L3753" s="154" t="str">
        <f>IF(OpenLCAbasic!K3753="CTUh", "Fill in Manually",IF(OR(K3753="Unit", K3753=""), "", INDEX(LookUps!$E$5:$E$12, MATCH(OpenLCAbasic!K3753,LookUps!$D$5:$D$12,0))))</f>
        <v>Fossil Depletion Potential (FDP) - kg oil eq</v>
      </c>
      <c r="M3753" s="154" t="str">
        <f t="shared" si="184"/>
        <v>High_High_High_Upgraded_Fossil Depletion Potential (FDP) - kg oil eq_Influent Pump Station; wastewater treatment unit; at updated plant - US_Base_With Amendment_Windrow</v>
      </c>
    </row>
    <row r="3754" spans="1:13" s="120" customFormat="1" x14ac:dyDescent="0.25">
      <c r="A3754" s="119"/>
      <c r="B3754" s="138" t="str">
        <f t="shared" si="182"/>
        <v>Windrow</v>
      </c>
      <c r="C3754" s="138" t="str">
        <f t="shared" si="183"/>
        <v>Base_With Amendment</v>
      </c>
      <c r="D3754" s="118" t="s">
        <v>140</v>
      </c>
      <c r="E3754" s="118" t="s">
        <v>181</v>
      </c>
      <c r="F3754" s="118" t="s">
        <v>46</v>
      </c>
      <c r="G3754" s="153"/>
      <c r="H3754" s="155">
        <v>6.88E-2</v>
      </c>
      <c r="I3754" s="154" t="s">
        <v>53</v>
      </c>
      <c r="J3754" s="203">
        <v>1.2489999999999999E-2</v>
      </c>
      <c r="K3754" s="154" t="s">
        <v>14</v>
      </c>
      <c r="L3754" s="154" t="str">
        <f>IF(OpenLCAbasic!K3754="CTUh", "Fill in Manually",IF(OR(K3754="Unit", K3754=""), "", INDEX(LookUps!$E$5:$E$12, MATCH(OpenLCAbasic!K3754,LookUps!$D$5:$D$12,0))))</f>
        <v>Fossil Depletion Potential (FDP) - kg oil eq</v>
      </c>
      <c r="M3754" s="154" t="str">
        <f t="shared" si="184"/>
        <v>High_High_High_Upgraded_Fossil Depletion Potential (FDP) - kg oil eq_Wet Well and Sump Station; wastewater treatment unit; at updated plant - US_Base_With Amendment_Windrow</v>
      </c>
    </row>
    <row r="3755" spans="1:13" s="120" customFormat="1" x14ac:dyDescent="0.25">
      <c r="A3755" s="119"/>
      <c r="B3755" s="138" t="str">
        <f t="shared" si="182"/>
        <v>Windrow</v>
      </c>
      <c r="C3755" s="138" t="str">
        <f t="shared" si="183"/>
        <v>Base_With Amendment</v>
      </c>
      <c r="D3755" s="118" t="s">
        <v>140</v>
      </c>
      <c r="E3755" s="118" t="s">
        <v>181</v>
      </c>
      <c r="F3755" s="118" t="s">
        <v>46</v>
      </c>
      <c r="G3755" s="153"/>
      <c r="H3755" s="155">
        <v>5.7299999999999997E-2</v>
      </c>
      <c r="I3755" s="154" t="s">
        <v>60</v>
      </c>
      <c r="J3755" s="204">
        <v>1.0410000000000001E-2</v>
      </c>
      <c r="K3755" s="154" t="s">
        <v>14</v>
      </c>
      <c r="L3755" s="154" t="str">
        <f>IF(OpenLCAbasic!K3755="CTUh", "Fill in Manually",IF(OR(K3755="Unit", K3755=""), "", INDEX(LookUps!$E$5:$E$12, MATCH(OpenLCAbasic!K3755,LookUps!$D$5:$D$12,0))))</f>
        <v>Fossil Depletion Potential (FDP) - kg oil eq</v>
      </c>
      <c r="M3755" s="154" t="str">
        <f t="shared" si="184"/>
        <v>High_High_High_Upgraded_Fossil Depletion Potential (FDP) - kg oil eq_Belt filter press; wastewater treatment unit; at updated plant - US_Base_With Amendment_Windrow</v>
      </c>
    </row>
    <row r="3756" spans="1:13" s="120" customFormat="1" x14ac:dyDescent="0.25">
      <c r="A3756" s="119"/>
      <c r="B3756" s="138" t="str">
        <f t="shared" si="182"/>
        <v>Windrow</v>
      </c>
      <c r="C3756" s="138" t="str">
        <f t="shared" si="183"/>
        <v>Base_With Amendment</v>
      </c>
      <c r="D3756" s="118" t="s">
        <v>140</v>
      </c>
      <c r="E3756" s="118" t="s">
        <v>181</v>
      </c>
      <c r="F3756" s="118" t="s">
        <v>46</v>
      </c>
      <c r="G3756" s="153"/>
      <c r="H3756" s="155">
        <v>3.8100000000000002E-2</v>
      </c>
      <c r="I3756" s="154" t="s">
        <v>57</v>
      </c>
      <c r="J3756" s="204">
        <v>6.9199999999999999E-3</v>
      </c>
      <c r="K3756" s="154" t="s">
        <v>14</v>
      </c>
      <c r="L3756" s="154" t="str">
        <f>IF(OpenLCAbasic!K3756="CTUh", "Fill in Manually",IF(OR(K3756="Unit", K3756=""), "", INDEX(LookUps!$E$5:$E$12, MATCH(OpenLCAbasic!K3756,LookUps!$D$5:$D$12,0))))</f>
        <v>Fossil Depletion Potential (FDP) - kg oil eq</v>
      </c>
      <c r="M3756" s="154" t="str">
        <f t="shared" si="184"/>
        <v>High_High_High_Upgraded_Fossil Depletion Potential (FDP) - kg oil eq_Gravity Belt Thickener; wastewater treatment unit; at updated plant - US_Base_With Amendment_Windrow</v>
      </c>
    </row>
    <row r="3757" spans="1:13" s="120" customFormat="1" x14ac:dyDescent="0.25">
      <c r="A3757" s="119"/>
      <c r="B3757" s="138" t="str">
        <f t="shared" si="182"/>
        <v>Windrow</v>
      </c>
      <c r="C3757" s="138" t="str">
        <f t="shared" si="183"/>
        <v>Base_With Amendment</v>
      </c>
      <c r="D3757" s="118" t="s">
        <v>140</v>
      </c>
      <c r="E3757" s="118" t="s">
        <v>181</v>
      </c>
      <c r="F3757" s="118" t="s">
        <v>46</v>
      </c>
      <c r="G3757" s="153"/>
      <c r="H3757" s="155">
        <v>2.4799999999999999E-2</v>
      </c>
      <c r="I3757" s="154" t="s">
        <v>128</v>
      </c>
      <c r="J3757" s="204">
        <v>4.4999999999999997E-3</v>
      </c>
      <c r="K3757" s="154" t="s">
        <v>14</v>
      </c>
      <c r="L3757" s="154" t="str">
        <f>IF(OpenLCAbasic!K3757="CTUh", "Fill in Manually",IF(OR(K3757="Unit", K3757=""), "", INDEX(LookUps!$E$5:$E$12, MATCH(OpenLCAbasic!K3757,LookUps!$D$5:$D$12,0))))</f>
        <v>Fossil Depletion Potential (FDP) - kg oil eq</v>
      </c>
      <c r="M3757" s="154" t="str">
        <f t="shared" si="184"/>
        <v>High_High_High_Upgraded_Fossil Depletion Potential (FDP) - kg oil eq_Wastewater collection; operation and infrastructure; m3 wastewater_Base_With Amendment_Windrow</v>
      </c>
    </row>
    <row r="3758" spans="1:13" s="120" customFormat="1" x14ac:dyDescent="0.25">
      <c r="A3758" s="119"/>
      <c r="B3758" s="138" t="str">
        <f t="shared" si="182"/>
        <v>Windrow</v>
      </c>
      <c r="C3758" s="138" t="str">
        <f t="shared" si="183"/>
        <v>Base_With Amendment</v>
      </c>
      <c r="D3758" s="118" t="s">
        <v>140</v>
      </c>
      <c r="E3758" s="118" t="s">
        <v>181</v>
      </c>
      <c r="F3758" s="118" t="s">
        <v>46</v>
      </c>
      <c r="G3758" s="153"/>
      <c r="H3758" s="155">
        <v>1.54E-2</v>
      </c>
      <c r="I3758" s="154" t="s">
        <v>148</v>
      </c>
      <c r="J3758" s="204">
        <v>2.8E-3</v>
      </c>
      <c r="K3758" s="154" t="s">
        <v>14</v>
      </c>
      <c r="L3758" s="154" t="str">
        <f>IF(OpenLCAbasic!K3758="CTUh", "Fill in Manually",IF(OR(K3758="Unit", K3758=""), "", INDEX(LookUps!$E$5:$E$12, MATCH(OpenLCAbasic!K3758,LookUps!$D$5:$D$12,0))))</f>
        <v>Fossil Depletion Potential (FDP) - kg oil eq</v>
      </c>
      <c r="M3758" s="154" t="str">
        <f t="shared" si="184"/>
        <v>High_High_High_Upgraded_Fossil Depletion Potential (FDP) - kg oil eq_Control Building; at upgraded wastewater treatment plant - US_Base_With Amendment_Windrow</v>
      </c>
    </row>
    <row r="3759" spans="1:13" s="120" customFormat="1" x14ac:dyDescent="0.25">
      <c r="A3759" s="119"/>
      <c r="B3759" s="138" t="str">
        <f t="shared" si="182"/>
        <v>Windrow</v>
      </c>
      <c r="C3759" s="138" t="str">
        <f t="shared" si="183"/>
        <v>Base_With Amendment</v>
      </c>
      <c r="D3759" s="118" t="s">
        <v>140</v>
      </c>
      <c r="E3759" s="118" t="s">
        <v>181</v>
      </c>
      <c r="F3759" s="118" t="s">
        <v>46</v>
      </c>
      <c r="G3759" s="153"/>
      <c r="H3759" s="155">
        <v>1.2999999999999999E-2</v>
      </c>
      <c r="I3759" s="154" t="s">
        <v>48</v>
      </c>
      <c r="J3759" s="204">
        <v>2.3600000000000001E-3</v>
      </c>
      <c r="K3759" s="154" t="s">
        <v>14</v>
      </c>
      <c r="L3759" s="154" t="str">
        <f>IF(OpenLCAbasic!K3759="CTUh", "Fill in Manually",IF(OR(K3759="Unit", K3759=""), "", INDEX(LookUps!$E$5:$E$12, MATCH(OpenLCAbasic!K3759,LookUps!$D$5:$D$12,0))))</f>
        <v>Fossil Depletion Potential (FDP) - kg oil eq</v>
      </c>
      <c r="M3759" s="154" t="str">
        <f t="shared" si="184"/>
        <v>High_High_High_Upgraded_Fossil Depletion Potential (FDP) - kg oil eq_Effluent release; wastewater treatment unit; at surface water; m3 wastewater - US_Base_With Amendment_Windrow</v>
      </c>
    </row>
    <row r="3760" spans="1:13" s="120" customFormat="1" x14ac:dyDescent="0.25">
      <c r="A3760" s="119"/>
      <c r="B3760" s="138" t="str">
        <f t="shared" si="182"/>
        <v>Windrow</v>
      </c>
      <c r="C3760" s="138" t="str">
        <f t="shared" si="183"/>
        <v>Base_With Amendment</v>
      </c>
      <c r="D3760" s="118" t="s">
        <v>140</v>
      </c>
      <c r="E3760" s="118" t="s">
        <v>181</v>
      </c>
      <c r="F3760" s="118" t="s">
        <v>46</v>
      </c>
      <c r="G3760" s="153"/>
      <c r="H3760" s="155">
        <v>1.06E-2</v>
      </c>
      <c r="I3760" s="154" t="s">
        <v>59</v>
      </c>
      <c r="J3760" s="204">
        <v>1.92E-3</v>
      </c>
      <c r="K3760" s="154" t="s">
        <v>14</v>
      </c>
      <c r="L3760" s="154" t="str">
        <f>IF(OpenLCAbasic!K3760="CTUh", "Fill in Manually",IF(OR(K3760="Unit", K3760=""), "", INDEX(LookUps!$E$5:$E$12, MATCH(OpenLCAbasic!K3760,LookUps!$D$5:$D$12,0))))</f>
        <v>Fossil Depletion Potential (FDP) - kg oil eq</v>
      </c>
      <c r="M3760" s="154" t="str">
        <f t="shared" si="184"/>
        <v>High_High_High_Upgraded_Fossil Depletion Potential (FDP) - kg oil eq_Blend Tank; wastewater treatment unit; at updated plant - US_Base_With Amendment_Windrow</v>
      </c>
    </row>
    <row r="3761" spans="1:13" s="120" customFormat="1" x14ac:dyDescent="0.25">
      <c r="A3761" s="119"/>
      <c r="B3761" s="138" t="str">
        <f t="shared" si="182"/>
        <v>Windrow</v>
      </c>
      <c r="C3761" s="138" t="str">
        <f t="shared" si="183"/>
        <v>Base_With Amendment</v>
      </c>
      <c r="D3761" s="118" t="s">
        <v>140</v>
      </c>
      <c r="E3761" s="118" t="s">
        <v>181</v>
      </c>
      <c r="F3761" s="118" t="s">
        <v>46</v>
      </c>
      <c r="G3761" s="153"/>
      <c r="H3761" s="155">
        <v>5.0000000000000001E-3</v>
      </c>
      <c r="I3761" s="154" t="s">
        <v>168</v>
      </c>
      <c r="J3761" s="204">
        <v>9.1E-4</v>
      </c>
      <c r="K3761" s="154" t="s">
        <v>14</v>
      </c>
      <c r="L3761" s="154" t="str">
        <f>IF(OpenLCAbasic!K3761="CTUh", "Fill in Manually",IF(OR(K3761="Unit", K3761=""), "", INDEX(LookUps!$E$5:$E$12, MATCH(OpenLCAbasic!K3761,LookUps!$D$5:$D$12,0))))</f>
        <v>Fossil Depletion Potential (FDP) - kg oil eq</v>
      </c>
      <c r="M3761" s="154" t="str">
        <f t="shared" si="184"/>
        <v>High_High_High_Upgraded_Fossil Depletion Potential (FDP) - kg oil eq_ClearCove SCP; wastewater treatment unit; at updated plant - US_Base_With Amendment_Windrow</v>
      </c>
    </row>
    <row r="3762" spans="1:13" s="120" customFormat="1" x14ac:dyDescent="0.25">
      <c r="A3762" s="119"/>
      <c r="B3762" s="138" t="str">
        <f t="shared" si="182"/>
        <v>Windrow</v>
      </c>
      <c r="C3762" s="138" t="str">
        <f t="shared" si="183"/>
        <v>Base_With Amendment</v>
      </c>
      <c r="D3762" s="118" t="s">
        <v>140</v>
      </c>
      <c r="E3762" s="118" t="s">
        <v>181</v>
      </c>
      <c r="F3762" s="118" t="s">
        <v>46</v>
      </c>
      <c r="G3762" s="153"/>
      <c r="H3762" s="155">
        <v>4.3E-3</v>
      </c>
      <c r="I3762" s="154" t="s">
        <v>271</v>
      </c>
      <c r="J3762" s="204">
        <v>7.9000000000000001E-4</v>
      </c>
      <c r="K3762" s="154" t="s">
        <v>14</v>
      </c>
      <c r="L3762" s="154" t="str">
        <f>IF(OpenLCAbasic!K3762="CTUh", "Fill in Manually",IF(OR(K3762="Unit", K3762=""), "", INDEX(LookUps!$E$5:$E$12, MATCH(OpenLCAbasic!K3762,LookUps!$D$5:$D$12,0))))</f>
        <v>Fossil Depletion Potential (FDP) - kg oil eq</v>
      </c>
      <c r="M3762" s="154" t="str">
        <f t="shared" si="184"/>
        <v>High_High_High_Upgraded_Fossil Depletion Potential (FDP) - kg oil eq_Biosolids composting; windrow composting; wastewater treatment unit; at updated plant - US_Base_With Amendment_Windrow</v>
      </c>
    </row>
    <row r="3763" spans="1:13" s="120" customFormat="1" x14ac:dyDescent="0.25">
      <c r="A3763" s="119"/>
      <c r="B3763" s="138" t="str">
        <f t="shared" si="182"/>
        <v>Windrow</v>
      </c>
      <c r="C3763" s="138" t="str">
        <f t="shared" si="183"/>
        <v>Base_With Amendment</v>
      </c>
      <c r="D3763" s="118" t="s">
        <v>140</v>
      </c>
      <c r="E3763" s="118" t="s">
        <v>181</v>
      </c>
      <c r="F3763" s="118" t="s">
        <v>46</v>
      </c>
      <c r="G3763" s="153"/>
      <c r="H3763" s="155">
        <v>-5.4800000000000001E-2</v>
      </c>
      <c r="I3763" s="154" t="s">
        <v>62</v>
      </c>
      <c r="J3763" s="203">
        <v>-9.9500000000000005E-3</v>
      </c>
      <c r="K3763" s="154" t="s">
        <v>14</v>
      </c>
      <c r="L3763" s="154" t="str">
        <f>IF(OpenLCAbasic!K3763="CTUh", "Fill in Manually",IF(OR(K3763="Unit", K3763=""), "", INDEX(LookUps!$E$5:$E$12, MATCH(OpenLCAbasic!K3763,LookUps!$D$5:$D$12,0))))</f>
        <v>Fossil Depletion Potential (FDP) - kg oil eq</v>
      </c>
      <c r="M3763" s="154" t="str">
        <f t="shared" si="184"/>
        <v>High_High_High_Upgraded_Fossil Depletion Potential (FDP) - kg oil eq_Land application of compost; wastewater treatment unit; at updated plant - US_Base_With Amendment_Windrow</v>
      </c>
    </row>
    <row r="3764" spans="1:13" s="120" customFormat="1" x14ac:dyDescent="0.25">
      <c r="A3764" s="119"/>
      <c r="B3764" s="138" t="str">
        <f t="shared" si="182"/>
        <v>Windrow</v>
      </c>
      <c r="C3764" s="138" t="str">
        <f t="shared" si="183"/>
        <v>Base_With Amendment</v>
      </c>
      <c r="D3764" s="118" t="s">
        <v>140</v>
      </c>
      <c r="E3764" s="118" t="s">
        <v>181</v>
      </c>
      <c r="F3764" s="118" t="s">
        <v>46</v>
      </c>
      <c r="G3764" s="153"/>
      <c r="H3764" s="155">
        <v>-2.4649999999999999</v>
      </c>
      <c r="I3764" s="154" t="s">
        <v>149</v>
      </c>
      <c r="J3764" s="203">
        <v>-0.44775999999999999</v>
      </c>
      <c r="K3764" s="154" t="s">
        <v>14</v>
      </c>
      <c r="L3764" s="154" t="str">
        <f>IF(OpenLCAbasic!K3764="CTUh", "Fill in Manually",IF(OR(K3764="Unit", K3764=""), "", INDEX(LookUps!$E$5:$E$12, MATCH(OpenLCAbasic!K3764,LookUps!$D$5:$D$12,0))))</f>
        <v>Fossil Depletion Potential (FDP) - kg oil eq</v>
      </c>
      <c r="M3764" s="154" t="str">
        <f t="shared" si="184"/>
        <v>High_High_High_Upgraded_Fossil Depletion Potential (FDP) - kg oil eq_Anaerobic Digestion; wastewater treatment unit; at updated plant - US_Base_With Amendment_Windrow</v>
      </c>
    </row>
    <row r="3765" spans="1:13" s="120" customFormat="1" x14ac:dyDescent="0.25">
      <c r="A3765" s="119"/>
      <c r="B3765" s="138" t="str">
        <f t="shared" si="182"/>
        <v>Windrow</v>
      </c>
      <c r="C3765" s="138" t="str">
        <f t="shared" si="183"/>
        <v>Base_With Amendment</v>
      </c>
      <c r="D3765" s="118" t="s">
        <v>140</v>
      </c>
      <c r="E3765" s="118" t="s">
        <v>181</v>
      </c>
      <c r="F3765" s="118" t="s">
        <v>46</v>
      </c>
      <c r="G3765" s="153" t="s">
        <v>51</v>
      </c>
      <c r="H3765" s="154"/>
      <c r="I3765" s="154" t="s">
        <v>47</v>
      </c>
      <c r="J3765" s="154" t="s">
        <v>52</v>
      </c>
      <c r="K3765" s="154" t="s">
        <v>27</v>
      </c>
      <c r="L3765" s="154" t="str">
        <f>IF(OpenLCAbasic!K3765="CTUh", "Fill in Manually",IF(OR(K3765="Unit", K3765=""), "", INDEX(LookUps!$E$5:$E$12, MATCH(OpenLCAbasic!K3765,LookUps!$D$5:$D$12,0))))</f>
        <v/>
      </c>
      <c r="M3765" s="154" t="str">
        <f t="shared" si="184"/>
        <v>High_High_High_Upgraded__Process_Base_With Amendment_Windrow</v>
      </c>
    </row>
    <row r="3766" spans="1:13" s="120" customFormat="1" x14ac:dyDescent="0.25">
      <c r="A3766" s="119"/>
      <c r="B3766" s="138" t="str">
        <f t="shared" si="182"/>
        <v>Windrow</v>
      </c>
      <c r="C3766" s="138" t="str">
        <f t="shared" si="183"/>
        <v>Base_With Amendment</v>
      </c>
      <c r="D3766" s="118" t="s">
        <v>140</v>
      </c>
      <c r="E3766" s="118" t="s">
        <v>181</v>
      </c>
      <c r="F3766" s="118" t="s">
        <v>46</v>
      </c>
      <c r="G3766" s="153"/>
      <c r="H3766" s="155">
        <v>0.33029999999999998</v>
      </c>
      <c r="I3766" s="154" t="s">
        <v>55</v>
      </c>
      <c r="J3766" s="204">
        <v>2.33E-3</v>
      </c>
      <c r="K3766" s="154" t="s">
        <v>145</v>
      </c>
      <c r="L3766" s="154" t="str">
        <f>IF(OpenLCAbasic!K3766="CTUh", "Fill in Manually",IF(OR(K3766="Unit", K3766=""), "", INDEX(LookUps!$E$5:$E$12, MATCH(OpenLCAbasic!K3766,LookUps!$D$5:$D$12,0))))</f>
        <v>Particulate Matter Formation Potential (PMFP) - kg PM2.5 eq</v>
      </c>
      <c r="M3766" s="154" t="str">
        <f t="shared" si="184"/>
        <v>High_High_High_Upgraded_Particulate Matter Formation Potential (PMFP) - kg PM2.5 eq_Aeration Tanks; wastewater treatment unit; at updated plant - US_Base_With Amendment_Windrow</v>
      </c>
    </row>
    <row r="3767" spans="1:13" s="120" customFormat="1" x14ac:dyDescent="0.25">
      <c r="A3767" s="119"/>
      <c r="B3767" s="138" t="str">
        <f t="shared" si="182"/>
        <v>Windrow</v>
      </c>
      <c r="C3767" s="138" t="str">
        <f t="shared" si="183"/>
        <v>Base_With Amendment</v>
      </c>
      <c r="D3767" s="118" t="s">
        <v>140</v>
      </c>
      <c r="E3767" s="118" t="s">
        <v>181</v>
      </c>
      <c r="F3767" s="118" t="s">
        <v>46</v>
      </c>
      <c r="G3767" s="153"/>
      <c r="H3767" s="155">
        <v>9.6100000000000005E-2</v>
      </c>
      <c r="I3767" s="154" t="s">
        <v>54</v>
      </c>
      <c r="J3767" s="204">
        <v>6.8000000000000005E-4</v>
      </c>
      <c r="K3767" s="154" t="s">
        <v>145</v>
      </c>
      <c r="L3767" s="154" t="str">
        <f>IF(OpenLCAbasic!K3767="CTUh", "Fill in Manually",IF(OR(K3767="Unit", K3767=""), "", INDEX(LookUps!$E$5:$E$12, MATCH(OpenLCAbasic!K3767,LookUps!$D$5:$D$12,0))))</f>
        <v>Particulate Matter Formation Potential (PMFP) - kg PM2.5 eq</v>
      </c>
      <c r="M3767" s="154" t="str">
        <f t="shared" si="184"/>
        <v>High_High_High_Upgraded_Particulate Matter Formation Potential (PMFP) - kg PM2.5 eq_Clear Cove Primary Clarification; wastewater treatment unit; at updated plant - US_Base_With Amendment_Windrow</v>
      </c>
    </row>
    <row r="3768" spans="1:13" s="120" customFormat="1" x14ac:dyDescent="0.25">
      <c r="A3768" s="119"/>
      <c r="B3768" s="138" t="str">
        <f t="shared" si="182"/>
        <v>Windrow</v>
      </c>
      <c r="C3768" s="138" t="str">
        <f t="shared" si="183"/>
        <v>Base_With Amendment</v>
      </c>
      <c r="D3768" s="118" t="s">
        <v>140</v>
      </c>
      <c r="E3768" s="118" t="s">
        <v>181</v>
      </c>
      <c r="F3768" s="118" t="s">
        <v>46</v>
      </c>
      <c r="G3768" s="153"/>
      <c r="H3768" s="155">
        <v>9.6100000000000005E-2</v>
      </c>
      <c r="I3768" s="154" t="s">
        <v>271</v>
      </c>
      <c r="J3768" s="204">
        <v>6.8000000000000005E-4</v>
      </c>
      <c r="K3768" s="154" t="s">
        <v>145</v>
      </c>
      <c r="L3768" s="154" t="str">
        <f>IF(OpenLCAbasic!K3768="CTUh", "Fill in Manually",IF(OR(K3768="Unit", K3768=""), "", INDEX(LookUps!$E$5:$E$12, MATCH(OpenLCAbasic!K3768,LookUps!$D$5:$D$12,0))))</f>
        <v>Particulate Matter Formation Potential (PMFP) - kg PM2.5 eq</v>
      </c>
      <c r="M3768" s="154" t="str">
        <f t="shared" si="184"/>
        <v>High_High_High_Upgraded_Particulate Matter Formation Potential (PMFP) - kg PM2.5 eq_Biosolids composting; windrow composting; wastewater treatment unit; at updated plant - US_Base_With Amendment_Windrow</v>
      </c>
    </row>
    <row r="3769" spans="1:13" s="120" customFormat="1" x14ac:dyDescent="0.25">
      <c r="A3769" s="119"/>
      <c r="B3769" s="138" t="str">
        <f t="shared" si="182"/>
        <v>Windrow</v>
      </c>
      <c r="C3769" s="138" t="str">
        <f t="shared" si="183"/>
        <v>Base_With Amendment</v>
      </c>
      <c r="D3769" s="118" t="s">
        <v>140</v>
      </c>
      <c r="E3769" s="118" t="s">
        <v>181</v>
      </c>
      <c r="F3769" s="118" t="s">
        <v>46</v>
      </c>
      <c r="G3769" s="153"/>
      <c r="H3769" s="155">
        <v>8.3699999999999997E-2</v>
      </c>
      <c r="I3769" s="154" t="s">
        <v>58</v>
      </c>
      <c r="J3769" s="204">
        <v>5.9000000000000003E-4</v>
      </c>
      <c r="K3769" s="154" t="s">
        <v>145</v>
      </c>
      <c r="L3769" s="154" t="str">
        <f>IF(OpenLCAbasic!K3769="CTUh", "Fill in Manually",IF(OR(K3769="Unit", K3769=""), "", INDEX(LookUps!$E$5:$E$12, MATCH(OpenLCAbasic!K3769,LookUps!$D$5:$D$12,0))))</f>
        <v>Particulate Matter Formation Potential (PMFP) - kg PM2.5 eq</v>
      </c>
      <c r="M3769" s="154" t="str">
        <f t="shared" si="184"/>
        <v>High_High_High_Upgraded_Particulate Matter Formation Potential (PMFP) - kg PM2.5 eq_Pre-Anoxic &amp; Swing tank; wastewater treatment unit; at updated plant - US_Base_With Amendment_Windrow</v>
      </c>
    </row>
    <row r="3770" spans="1:13" s="120" customFormat="1" x14ac:dyDescent="0.25">
      <c r="A3770" s="119"/>
      <c r="B3770" s="138" t="str">
        <f t="shared" si="182"/>
        <v>Windrow</v>
      </c>
      <c r="C3770" s="138" t="str">
        <f t="shared" si="183"/>
        <v>Base_With Amendment</v>
      </c>
      <c r="D3770" s="118" t="s">
        <v>140</v>
      </c>
      <c r="E3770" s="118" t="s">
        <v>181</v>
      </c>
      <c r="F3770" s="118" t="s">
        <v>46</v>
      </c>
      <c r="G3770" s="153"/>
      <c r="H3770" s="155">
        <v>6.6000000000000003E-2</v>
      </c>
      <c r="I3770" s="154" t="s">
        <v>53</v>
      </c>
      <c r="J3770" s="204">
        <v>4.6999999999999999E-4</v>
      </c>
      <c r="K3770" s="154" t="s">
        <v>145</v>
      </c>
      <c r="L3770" s="154" t="str">
        <f>IF(OpenLCAbasic!K3770="CTUh", "Fill in Manually",IF(OR(K3770="Unit", K3770=""), "", INDEX(LookUps!$E$5:$E$12, MATCH(OpenLCAbasic!K3770,LookUps!$D$5:$D$12,0))))</f>
        <v>Particulate Matter Formation Potential (PMFP) - kg PM2.5 eq</v>
      </c>
      <c r="M3770" s="154" t="str">
        <f t="shared" si="184"/>
        <v>High_High_High_Upgraded_Particulate Matter Formation Potential (PMFP) - kg PM2.5 eq_Wet Well and Sump Station; wastewater treatment unit; at updated plant - US_Base_With Amendment_Windrow</v>
      </c>
    </row>
    <row r="3771" spans="1:13" s="120" customFormat="1" x14ac:dyDescent="0.25">
      <c r="A3771" s="119"/>
      <c r="B3771" s="138" t="str">
        <f t="shared" si="182"/>
        <v>Windrow</v>
      </c>
      <c r="C3771" s="138" t="str">
        <f t="shared" si="183"/>
        <v>Base_With Amendment</v>
      </c>
      <c r="D3771" s="118" t="s">
        <v>140</v>
      </c>
      <c r="E3771" s="118" t="s">
        <v>181</v>
      </c>
      <c r="F3771" s="118" t="s">
        <v>46</v>
      </c>
      <c r="G3771" s="153"/>
      <c r="H3771" s="155">
        <v>4.6899999999999997E-2</v>
      </c>
      <c r="I3771" s="154" t="s">
        <v>167</v>
      </c>
      <c r="J3771" s="204">
        <v>3.3E-4</v>
      </c>
      <c r="K3771" s="154" t="s">
        <v>145</v>
      </c>
      <c r="L3771" s="154" t="str">
        <f>IF(OpenLCAbasic!K3771="CTUh", "Fill in Manually",IF(OR(K3771="Unit", K3771=""), "", INDEX(LookUps!$E$5:$E$12, MATCH(OpenLCAbasic!K3771,LookUps!$D$5:$D$12,0))))</f>
        <v>Particulate Matter Formation Potential (PMFP) - kg PM2.5 eq</v>
      </c>
      <c r="M3771" s="154" t="str">
        <f t="shared" si="184"/>
        <v>High_High_High_Upgraded_Particulate Matter Formation Potential (PMFP) - kg PM2.5 eq_Waste Receiving and Holding; wastewater treatment unit; at updated plant - US_Base_With Amendment_Windrow</v>
      </c>
    </row>
    <row r="3772" spans="1:13" s="120" customFormat="1" x14ac:dyDescent="0.25">
      <c r="A3772" s="119"/>
      <c r="B3772" s="138" t="str">
        <f t="shared" si="182"/>
        <v>Windrow</v>
      </c>
      <c r="C3772" s="138" t="str">
        <f t="shared" si="183"/>
        <v>Base_With Amendment</v>
      </c>
      <c r="D3772" s="118" t="s">
        <v>140</v>
      </c>
      <c r="E3772" s="118" t="s">
        <v>181</v>
      </c>
      <c r="F3772" s="118" t="s">
        <v>46</v>
      </c>
      <c r="G3772" s="153"/>
      <c r="H3772" s="155">
        <v>3.7699999999999997E-2</v>
      </c>
      <c r="I3772" s="154" t="s">
        <v>147</v>
      </c>
      <c r="J3772" s="204">
        <v>2.7E-4</v>
      </c>
      <c r="K3772" s="154" t="s">
        <v>145</v>
      </c>
      <c r="L3772" s="154" t="str">
        <f>IF(OpenLCAbasic!K3772="CTUh", "Fill in Manually",IF(OR(K3772="Unit", K3772=""), "", INDEX(LookUps!$E$5:$E$12, MATCH(OpenLCAbasic!K3772,LookUps!$D$5:$D$12,0))))</f>
        <v>Particulate Matter Formation Potential (PMFP) - kg PM2.5 eq</v>
      </c>
      <c r="M3772" s="154" t="str">
        <f t="shared" si="184"/>
        <v>High_High_High_Upgraded_Particulate Matter Formation Potential (PMFP) - kg PM2.5 eq_Influent Pump Station; wastewater treatment unit; at updated plant - US_Base_With Amendment_Windrow</v>
      </c>
    </row>
    <row r="3773" spans="1:13" s="120" customFormat="1" x14ac:dyDescent="0.25">
      <c r="A3773" s="119"/>
      <c r="B3773" s="138" t="str">
        <f t="shared" si="182"/>
        <v>Windrow</v>
      </c>
      <c r="C3773" s="138" t="str">
        <f t="shared" si="183"/>
        <v>Base_With Amendment</v>
      </c>
      <c r="D3773" s="118" t="s">
        <v>140</v>
      </c>
      <c r="E3773" s="118" t="s">
        <v>181</v>
      </c>
      <c r="F3773" s="118" t="s">
        <v>46</v>
      </c>
      <c r="G3773" s="153"/>
      <c r="H3773" s="155">
        <v>2.6499999999999999E-2</v>
      </c>
      <c r="I3773" s="154" t="s">
        <v>60</v>
      </c>
      <c r="J3773" s="204">
        <v>1.9000000000000001E-4</v>
      </c>
      <c r="K3773" s="154" t="s">
        <v>145</v>
      </c>
      <c r="L3773" s="154" t="str">
        <f>IF(OpenLCAbasic!K3773="CTUh", "Fill in Manually",IF(OR(K3773="Unit", K3773=""), "", INDEX(LookUps!$E$5:$E$12, MATCH(OpenLCAbasic!K3773,LookUps!$D$5:$D$12,0))))</f>
        <v>Particulate Matter Formation Potential (PMFP) - kg PM2.5 eq</v>
      </c>
      <c r="M3773" s="154" t="str">
        <f t="shared" si="184"/>
        <v>High_High_High_Upgraded_Particulate Matter Formation Potential (PMFP) - kg PM2.5 eq_Belt filter press; wastewater treatment unit; at updated plant - US_Base_With Amendment_Windrow</v>
      </c>
    </row>
    <row r="3774" spans="1:13" s="120" customFormat="1" x14ac:dyDescent="0.25">
      <c r="A3774" s="119"/>
      <c r="B3774" s="138" t="str">
        <f t="shared" si="182"/>
        <v>Windrow</v>
      </c>
      <c r="C3774" s="138" t="str">
        <f t="shared" si="183"/>
        <v>Base_With Amendment</v>
      </c>
      <c r="D3774" s="118" t="s">
        <v>140</v>
      </c>
      <c r="E3774" s="118" t="s">
        <v>181</v>
      </c>
      <c r="F3774" s="118" t="s">
        <v>46</v>
      </c>
      <c r="G3774" s="153"/>
      <c r="H3774" s="155">
        <v>2.3599999999999999E-2</v>
      </c>
      <c r="I3774" s="154" t="s">
        <v>128</v>
      </c>
      <c r="J3774" s="204">
        <v>1.7000000000000001E-4</v>
      </c>
      <c r="K3774" s="154" t="s">
        <v>145</v>
      </c>
      <c r="L3774" s="154" t="str">
        <f>IF(OpenLCAbasic!K3774="CTUh", "Fill in Manually",IF(OR(K3774="Unit", K3774=""), "", INDEX(LookUps!$E$5:$E$12, MATCH(OpenLCAbasic!K3774,LookUps!$D$5:$D$12,0))))</f>
        <v>Particulate Matter Formation Potential (PMFP) - kg PM2.5 eq</v>
      </c>
      <c r="M3774" s="154" t="str">
        <f t="shared" si="184"/>
        <v>High_High_High_Upgraded_Particulate Matter Formation Potential (PMFP) - kg PM2.5 eq_Wastewater collection; operation and infrastructure; m3 wastewater_Base_With Amendment_Windrow</v>
      </c>
    </row>
    <row r="3775" spans="1:13" s="120" customFormat="1" x14ac:dyDescent="0.25">
      <c r="A3775" s="119"/>
      <c r="B3775" s="138" t="str">
        <f t="shared" si="182"/>
        <v>Windrow</v>
      </c>
      <c r="C3775" s="138" t="str">
        <f t="shared" si="183"/>
        <v>Base_With Amendment</v>
      </c>
      <c r="D3775" s="118" t="s">
        <v>140</v>
      </c>
      <c r="E3775" s="118" t="s">
        <v>181</v>
      </c>
      <c r="F3775" s="118" t="s">
        <v>46</v>
      </c>
      <c r="G3775" s="153"/>
      <c r="H3775" s="155">
        <v>1.35E-2</v>
      </c>
      <c r="I3775" s="154" t="s">
        <v>57</v>
      </c>
      <c r="J3775" s="204">
        <v>9.5153800000000004E-5</v>
      </c>
      <c r="K3775" s="154" t="s">
        <v>145</v>
      </c>
      <c r="L3775" s="154" t="str">
        <f>IF(OpenLCAbasic!K3775="CTUh", "Fill in Manually",IF(OR(K3775="Unit", K3775=""), "", INDEX(LookUps!$E$5:$E$12, MATCH(OpenLCAbasic!K3775,LookUps!$D$5:$D$12,0))))</f>
        <v>Particulate Matter Formation Potential (PMFP) - kg PM2.5 eq</v>
      </c>
      <c r="M3775" s="154" t="str">
        <f t="shared" si="184"/>
        <v>High_High_High_Upgraded_Particulate Matter Formation Potential (PMFP) - kg PM2.5 eq_Gravity Belt Thickener; wastewater treatment unit; at updated plant - US_Base_With Amendment_Windrow</v>
      </c>
    </row>
    <row r="3776" spans="1:13" s="120" customFormat="1" x14ac:dyDescent="0.25">
      <c r="A3776" s="119"/>
      <c r="B3776" s="138" t="str">
        <f t="shared" si="182"/>
        <v>Windrow</v>
      </c>
      <c r="C3776" s="138" t="str">
        <f t="shared" si="183"/>
        <v>Base_With Amendment</v>
      </c>
      <c r="D3776" s="118" t="s">
        <v>140</v>
      </c>
      <c r="E3776" s="118" t="s">
        <v>181</v>
      </c>
      <c r="F3776" s="118" t="s">
        <v>46</v>
      </c>
      <c r="G3776" s="153"/>
      <c r="H3776" s="155">
        <v>9.9000000000000008E-3</v>
      </c>
      <c r="I3776" s="154" t="s">
        <v>59</v>
      </c>
      <c r="J3776" s="204">
        <v>6.9942200000000003E-5</v>
      </c>
      <c r="K3776" s="154" t="s">
        <v>145</v>
      </c>
      <c r="L3776" s="154" t="str">
        <f>IF(OpenLCAbasic!K3776="CTUh", "Fill in Manually",IF(OR(K3776="Unit", K3776=""), "", INDEX(LookUps!$E$5:$E$12, MATCH(OpenLCAbasic!K3776,LookUps!$D$5:$D$12,0))))</f>
        <v>Particulate Matter Formation Potential (PMFP) - kg PM2.5 eq</v>
      </c>
      <c r="M3776" s="154" t="str">
        <f t="shared" si="184"/>
        <v>High_High_High_Upgraded_Particulate Matter Formation Potential (PMFP) - kg PM2.5 eq_Blend Tank; wastewater treatment unit; at updated plant - US_Base_With Amendment_Windrow</v>
      </c>
    </row>
    <row r="3777" spans="1:13" s="120" customFormat="1" x14ac:dyDescent="0.25">
      <c r="A3777" s="119"/>
      <c r="B3777" s="138" t="str">
        <f t="shared" si="182"/>
        <v>Windrow</v>
      </c>
      <c r="C3777" s="138" t="str">
        <f t="shared" si="183"/>
        <v>Base_With Amendment</v>
      </c>
      <c r="D3777" s="118" t="s">
        <v>140</v>
      </c>
      <c r="E3777" s="118" t="s">
        <v>181</v>
      </c>
      <c r="F3777" s="118" t="s">
        <v>46</v>
      </c>
      <c r="G3777" s="153"/>
      <c r="H3777" s="155">
        <v>8.6999999999999994E-3</v>
      </c>
      <c r="I3777" s="154" t="s">
        <v>62</v>
      </c>
      <c r="J3777" s="204">
        <v>6.1178299999999997E-5</v>
      </c>
      <c r="K3777" s="154" t="s">
        <v>145</v>
      </c>
      <c r="L3777" s="154" t="str">
        <f>IF(OpenLCAbasic!K3777="CTUh", "Fill in Manually",IF(OR(K3777="Unit", K3777=""), "", INDEX(LookUps!$E$5:$E$12, MATCH(OpenLCAbasic!K3777,LookUps!$D$5:$D$12,0))))</f>
        <v>Particulate Matter Formation Potential (PMFP) - kg PM2.5 eq</v>
      </c>
      <c r="M3777" s="154" t="str">
        <f t="shared" si="184"/>
        <v>High_High_High_Upgraded_Particulate Matter Formation Potential (PMFP) - kg PM2.5 eq_Land application of compost; wastewater treatment unit; at updated plant - US_Base_With Amendment_Windrow</v>
      </c>
    </row>
    <row r="3778" spans="1:13" s="120" customFormat="1" x14ac:dyDescent="0.25">
      <c r="A3778" s="119"/>
      <c r="B3778" s="138" t="str">
        <f t="shared" si="182"/>
        <v>Windrow</v>
      </c>
      <c r="C3778" s="138" t="str">
        <f t="shared" si="183"/>
        <v>Base_With Amendment</v>
      </c>
      <c r="D3778" s="118" t="s">
        <v>140</v>
      </c>
      <c r="E3778" s="118" t="s">
        <v>181</v>
      </c>
      <c r="F3778" s="118" t="s">
        <v>46</v>
      </c>
      <c r="G3778" s="153"/>
      <c r="H3778" s="155">
        <v>7.1000000000000004E-3</v>
      </c>
      <c r="I3778" s="154" t="s">
        <v>48</v>
      </c>
      <c r="J3778" s="204">
        <v>4.99741E-5</v>
      </c>
      <c r="K3778" s="154" t="s">
        <v>145</v>
      </c>
      <c r="L3778" s="154" t="str">
        <f>IF(OpenLCAbasic!K3778="CTUh", "Fill in Manually",IF(OR(K3778="Unit", K3778=""), "", INDEX(LookUps!$E$5:$E$12, MATCH(OpenLCAbasic!K3778,LookUps!$D$5:$D$12,0))))</f>
        <v>Particulate Matter Formation Potential (PMFP) - kg PM2.5 eq</v>
      </c>
      <c r="M3778" s="154" t="str">
        <f t="shared" si="184"/>
        <v>High_High_High_Upgraded_Particulate Matter Formation Potential (PMFP) - kg PM2.5 eq_Effluent release; wastewater treatment unit; at surface water; m3 wastewater - US_Base_With Amendment_Windrow</v>
      </c>
    </row>
    <row r="3779" spans="1:13" s="120" customFormat="1" x14ac:dyDescent="0.25">
      <c r="A3779" s="119"/>
      <c r="B3779" s="138" t="str">
        <f t="shared" si="182"/>
        <v>Windrow</v>
      </c>
      <c r="C3779" s="138" t="str">
        <f t="shared" si="183"/>
        <v>Base_With Amendment</v>
      </c>
      <c r="D3779" s="118" t="s">
        <v>140</v>
      </c>
      <c r="E3779" s="118" t="s">
        <v>181</v>
      </c>
      <c r="F3779" s="118" t="s">
        <v>46</v>
      </c>
      <c r="G3779" s="153"/>
      <c r="H3779" s="155">
        <v>4.8999999999999998E-3</v>
      </c>
      <c r="I3779" s="154" t="s">
        <v>168</v>
      </c>
      <c r="J3779" s="204">
        <v>3.4562199999999999E-5</v>
      </c>
      <c r="K3779" s="154" t="s">
        <v>145</v>
      </c>
      <c r="L3779" s="154" t="str">
        <f>IF(OpenLCAbasic!K3779="CTUh", "Fill in Manually",IF(OR(K3779="Unit", K3779=""), "", INDEX(LookUps!$E$5:$E$12, MATCH(OpenLCAbasic!K3779,LookUps!$D$5:$D$12,0))))</f>
        <v>Particulate Matter Formation Potential (PMFP) - kg PM2.5 eq</v>
      </c>
      <c r="M3779" s="154" t="str">
        <f t="shared" si="184"/>
        <v>High_High_High_Upgraded_Particulate Matter Formation Potential (PMFP) - kg PM2.5 eq_ClearCove SCP; wastewater treatment unit; at updated plant - US_Base_With Amendment_Windrow</v>
      </c>
    </row>
    <row r="3780" spans="1:13" s="120" customFormat="1" x14ac:dyDescent="0.25">
      <c r="A3780" s="119"/>
      <c r="B3780" s="138" t="str">
        <f t="shared" si="182"/>
        <v>Windrow</v>
      </c>
      <c r="C3780" s="138" t="str">
        <f t="shared" si="183"/>
        <v>Base_With Amendment</v>
      </c>
      <c r="D3780" s="118" t="s">
        <v>140</v>
      </c>
      <c r="E3780" s="118" t="s">
        <v>181</v>
      </c>
      <c r="F3780" s="118" t="s">
        <v>46</v>
      </c>
      <c r="G3780" s="153"/>
      <c r="H3780" s="155">
        <v>1.1999999999999999E-3</v>
      </c>
      <c r="I3780" s="154" t="s">
        <v>148</v>
      </c>
      <c r="J3780" s="204">
        <v>8.8212999999999997E-6</v>
      </c>
      <c r="K3780" s="154" t="s">
        <v>145</v>
      </c>
      <c r="L3780" s="154" t="str">
        <f>IF(OpenLCAbasic!K3780="CTUh", "Fill in Manually",IF(OR(K3780="Unit", K3780=""), "", INDEX(LookUps!$E$5:$E$12, MATCH(OpenLCAbasic!K3780,LookUps!$D$5:$D$12,0))))</f>
        <v>Particulate Matter Formation Potential (PMFP) - kg PM2.5 eq</v>
      </c>
      <c r="M3780" s="154" t="str">
        <f t="shared" si="184"/>
        <v>High_High_High_Upgraded_Particulate Matter Formation Potential (PMFP) - kg PM2.5 eq_Control Building; at upgraded wastewater treatment plant - US_Base_With Amendment_Windrow</v>
      </c>
    </row>
    <row r="3781" spans="1:13" s="120" customFormat="1" x14ac:dyDescent="0.25">
      <c r="A3781" s="119"/>
      <c r="B3781" s="138" t="str">
        <f t="shared" si="182"/>
        <v>Windrow</v>
      </c>
      <c r="C3781" s="138" t="str">
        <f t="shared" si="183"/>
        <v>Base_With Amendment</v>
      </c>
      <c r="D3781" s="118" t="s">
        <v>140</v>
      </c>
      <c r="E3781" s="118" t="s">
        <v>181</v>
      </c>
      <c r="F3781" s="118" t="s">
        <v>46</v>
      </c>
      <c r="G3781" s="153"/>
      <c r="H3781" s="155">
        <v>-1.8520000000000001</v>
      </c>
      <c r="I3781" s="154" t="s">
        <v>149</v>
      </c>
      <c r="J3781" s="203">
        <v>-1.3089999999999999E-2</v>
      </c>
      <c r="K3781" s="154" t="s">
        <v>145</v>
      </c>
      <c r="L3781" s="154" t="str">
        <f>IF(OpenLCAbasic!K3781="CTUh", "Fill in Manually",IF(OR(K3781="Unit", K3781=""), "", INDEX(LookUps!$E$5:$E$12, MATCH(OpenLCAbasic!K3781,LookUps!$D$5:$D$12,0))))</f>
        <v>Particulate Matter Formation Potential (PMFP) - kg PM2.5 eq</v>
      </c>
      <c r="M3781" s="154" t="str">
        <f t="shared" si="184"/>
        <v>High_High_High_Upgraded_Particulate Matter Formation Potential (PMFP) - kg PM2.5 eq_Anaerobic Digestion; wastewater treatment unit; at updated plant - US_Base_With Amendment_Windrow</v>
      </c>
    </row>
    <row r="3782" spans="1:13" s="120" customFormat="1" x14ac:dyDescent="0.25">
      <c r="A3782" s="119"/>
      <c r="B3782" s="138" t="str">
        <f t="shared" ref="B3782:B3845" si="185">IF(F3782="Legacy","n.a.",IF(F3782="","","Windrow"))</f>
        <v>Windrow</v>
      </c>
      <c r="C3782" s="138" t="str">
        <f t="shared" si="183"/>
        <v>Base_With Amendment</v>
      </c>
      <c r="D3782" s="118" t="s">
        <v>140</v>
      </c>
      <c r="E3782" s="118" t="s">
        <v>181</v>
      </c>
      <c r="F3782" s="118" t="s">
        <v>46</v>
      </c>
      <c r="G3782" s="153" t="s">
        <v>51</v>
      </c>
      <c r="H3782" s="154"/>
      <c r="I3782" s="154" t="s">
        <v>47</v>
      </c>
      <c r="J3782" s="154" t="s">
        <v>52</v>
      </c>
      <c r="K3782" s="154" t="s">
        <v>27</v>
      </c>
      <c r="L3782" s="154" t="str">
        <f>IF(OpenLCAbasic!K3782="CTUh", "Fill in Manually",IF(OR(K3782="Unit", K3782=""), "", INDEX(LookUps!$E$5:$E$12, MATCH(OpenLCAbasic!K3782,LookUps!$D$5:$D$12,0))))</f>
        <v/>
      </c>
      <c r="M3782" s="154" t="str">
        <f t="shared" si="184"/>
        <v>High_High_High_Upgraded__Process_Base_With Amendment_Windrow</v>
      </c>
    </row>
    <row r="3783" spans="1:13" s="120" customFormat="1" x14ac:dyDescent="0.25">
      <c r="A3783" s="119"/>
      <c r="B3783" s="138" t="str">
        <f t="shared" si="185"/>
        <v>Windrow</v>
      </c>
      <c r="C3783" s="138" t="str">
        <f t="shared" ref="C3783:C3815" si="186">IF(E3783&lt;&gt;"", "Base_With Amendment","")</f>
        <v>Base_With Amendment</v>
      </c>
      <c r="D3783" s="118" t="s">
        <v>140</v>
      </c>
      <c r="E3783" s="118" t="s">
        <v>181</v>
      </c>
      <c r="F3783" s="118" t="s">
        <v>46</v>
      </c>
      <c r="G3783" s="153"/>
      <c r="H3783" s="155">
        <v>0.3024</v>
      </c>
      <c r="I3783" s="154" t="s">
        <v>55</v>
      </c>
      <c r="J3783" s="203">
        <v>0.16577</v>
      </c>
      <c r="K3783" s="154" t="s">
        <v>25</v>
      </c>
      <c r="L3783" s="154" t="str">
        <f>IF(OpenLCAbasic!K3783="CTUh", "Fill in Manually",IF(OR(K3783="Unit", K3783=""), "", INDEX(LookUps!$E$5:$E$12, MATCH(OpenLCAbasic!K3783,LookUps!$D$5:$D$12,0))))</f>
        <v>Smog Formation Potential (SFP) - kg O3 eq</v>
      </c>
      <c r="M3783" s="154" t="str">
        <f t="shared" ref="M3783:M3846" si="187">CONCATENATE(E3783,"_",D3783,"_",F3783,"_",L3783, "_",I3783,"_", C3783,"_", B3783)</f>
        <v>High_High_High_Upgraded_Smog Formation Potential (SFP) - kg O3 eq_Aeration Tanks; wastewater treatment unit; at updated plant - US_Base_With Amendment_Windrow</v>
      </c>
    </row>
    <row r="3784" spans="1:13" s="120" customFormat="1" x14ac:dyDescent="0.25">
      <c r="A3784" s="119"/>
      <c r="B3784" s="138" t="str">
        <f t="shared" si="185"/>
        <v>Windrow</v>
      </c>
      <c r="C3784" s="138" t="str">
        <f t="shared" si="186"/>
        <v>Base_With Amendment</v>
      </c>
      <c r="D3784" s="118" t="s">
        <v>140</v>
      </c>
      <c r="E3784" s="118" t="s">
        <v>181</v>
      </c>
      <c r="F3784" s="118" t="s">
        <v>46</v>
      </c>
      <c r="G3784" s="153"/>
      <c r="H3784" s="155">
        <v>8.77E-2</v>
      </c>
      <c r="I3784" s="154" t="s">
        <v>54</v>
      </c>
      <c r="J3784" s="203">
        <v>4.8070000000000002E-2</v>
      </c>
      <c r="K3784" s="154" t="s">
        <v>25</v>
      </c>
      <c r="L3784" s="154" t="str">
        <f>IF(OpenLCAbasic!K3784="CTUh", "Fill in Manually",IF(OR(K3784="Unit", K3784=""), "", INDEX(LookUps!$E$5:$E$12, MATCH(OpenLCAbasic!K3784,LookUps!$D$5:$D$12,0))))</f>
        <v>Smog Formation Potential (SFP) - kg O3 eq</v>
      </c>
      <c r="M3784" s="154" t="str">
        <f t="shared" si="187"/>
        <v>High_High_High_Upgraded_Smog Formation Potential (SFP) - kg O3 eq_Clear Cove Primary Clarification; wastewater treatment unit; at updated plant - US_Base_With Amendment_Windrow</v>
      </c>
    </row>
    <row r="3785" spans="1:13" s="120" customFormat="1" x14ac:dyDescent="0.25">
      <c r="A3785" s="119"/>
      <c r="B3785" s="138" t="str">
        <f t="shared" si="185"/>
        <v>Windrow</v>
      </c>
      <c r="C3785" s="138" t="str">
        <f t="shared" si="186"/>
        <v>Base_With Amendment</v>
      </c>
      <c r="D3785" s="118" t="s">
        <v>140</v>
      </c>
      <c r="E3785" s="118" t="s">
        <v>181</v>
      </c>
      <c r="F3785" s="118" t="s">
        <v>46</v>
      </c>
      <c r="G3785" s="153"/>
      <c r="H3785" s="155">
        <v>7.6799999999999993E-2</v>
      </c>
      <c r="I3785" s="154" t="s">
        <v>58</v>
      </c>
      <c r="J3785" s="203">
        <v>4.2090000000000002E-2</v>
      </c>
      <c r="K3785" s="154" t="s">
        <v>25</v>
      </c>
      <c r="L3785" s="154" t="str">
        <f>IF(OpenLCAbasic!K3785="CTUh", "Fill in Manually",IF(OR(K3785="Unit", K3785=""), "", INDEX(LookUps!$E$5:$E$12, MATCH(OpenLCAbasic!K3785,LookUps!$D$5:$D$12,0))))</f>
        <v>Smog Formation Potential (SFP) - kg O3 eq</v>
      </c>
      <c r="M3785" s="154" t="str">
        <f t="shared" si="187"/>
        <v>High_High_High_Upgraded_Smog Formation Potential (SFP) - kg O3 eq_Pre-Anoxic &amp; Swing tank; wastewater treatment unit; at updated plant - US_Base_With Amendment_Windrow</v>
      </c>
    </row>
    <row r="3786" spans="1:13" s="120" customFormat="1" x14ac:dyDescent="0.25">
      <c r="A3786" s="119"/>
      <c r="B3786" s="138" t="str">
        <f t="shared" si="185"/>
        <v>Windrow</v>
      </c>
      <c r="C3786" s="138" t="str">
        <f t="shared" si="186"/>
        <v>Base_With Amendment</v>
      </c>
      <c r="D3786" s="118" t="s">
        <v>140</v>
      </c>
      <c r="E3786" s="118" t="s">
        <v>181</v>
      </c>
      <c r="F3786" s="118" t="s">
        <v>46</v>
      </c>
      <c r="G3786" s="153"/>
      <c r="H3786" s="155">
        <v>6.1600000000000002E-2</v>
      </c>
      <c r="I3786" s="154" t="s">
        <v>167</v>
      </c>
      <c r="J3786" s="203">
        <v>3.3759999999999998E-2</v>
      </c>
      <c r="K3786" s="154" t="s">
        <v>25</v>
      </c>
      <c r="L3786" s="154" t="str">
        <f>IF(OpenLCAbasic!K3786="CTUh", "Fill in Manually",IF(OR(K3786="Unit", K3786=""), "", INDEX(LookUps!$E$5:$E$12, MATCH(OpenLCAbasic!K3786,LookUps!$D$5:$D$12,0))))</f>
        <v>Smog Formation Potential (SFP) - kg O3 eq</v>
      </c>
      <c r="M3786" s="154" t="str">
        <f t="shared" si="187"/>
        <v>High_High_High_Upgraded_Smog Formation Potential (SFP) - kg O3 eq_Waste Receiving and Holding; wastewater treatment unit; at updated plant - US_Base_With Amendment_Windrow</v>
      </c>
    </row>
    <row r="3787" spans="1:13" s="120" customFormat="1" x14ac:dyDescent="0.25">
      <c r="A3787" s="119"/>
      <c r="B3787" s="138" t="str">
        <f t="shared" si="185"/>
        <v>Windrow</v>
      </c>
      <c r="C3787" s="138" t="str">
        <f t="shared" si="186"/>
        <v>Base_With Amendment</v>
      </c>
      <c r="D3787" s="118" t="s">
        <v>140</v>
      </c>
      <c r="E3787" s="118" t="s">
        <v>181</v>
      </c>
      <c r="F3787" s="118" t="s">
        <v>46</v>
      </c>
      <c r="G3787" s="153"/>
      <c r="H3787" s="155">
        <v>6.0400000000000002E-2</v>
      </c>
      <c r="I3787" s="154" t="s">
        <v>53</v>
      </c>
      <c r="J3787" s="203">
        <v>3.313E-2</v>
      </c>
      <c r="K3787" s="154" t="s">
        <v>25</v>
      </c>
      <c r="L3787" s="154" t="str">
        <f>IF(OpenLCAbasic!K3787="CTUh", "Fill in Manually",IF(OR(K3787="Unit", K3787=""), "", INDEX(LookUps!$E$5:$E$12, MATCH(OpenLCAbasic!K3787,LookUps!$D$5:$D$12,0))))</f>
        <v>Smog Formation Potential (SFP) - kg O3 eq</v>
      </c>
      <c r="M3787" s="154" t="str">
        <f t="shared" si="187"/>
        <v>High_High_High_Upgraded_Smog Formation Potential (SFP) - kg O3 eq_Wet Well and Sump Station; wastewater treatment unit; at updated plant - US_Base_With Amendment_Windrow</v>
      </c>
    </row>
    <row r="3788" spans="1:13" s="120" customFormat="1" x14ac:dyDescent="0.25">
      <c r="A3788" s="119"/>
      <c r="B3788" s="138" t="str">
        <f t="shared" si="185"/>
        <v>Windrow</v>
      </c>
      <c r="C3788" s="138" t="str">
        <f t="shared" si="186"/>
        <v>Base_With Amendment</v>
      </c>
      <c r="D3788" s="118" t="s">
        <v>140</v>
      </c>
      <c r="E3788" s="118" t="s">
        <v>181</v>
      </c>
      <c r="F3788" s="118" t="s">
        <v>46</v>
      </c>
      <c r="G3788" s="153"/>
      <c r="H3788" s="155">
        <v>3.5400000000000001E-2</v>
      </c>
      <c r="I3788" s="154" t="s">
        <v>147</v>
      </c>
      <c r="J3788" s="203">
        <v>1.9400000000000001E-2</v>
      </c>
      <c r="K3788" s="154" t="s">
        <v>25</v>
      </c>
      <c r="L3788" s="154" t="str">
        <f>IF(OpenLCAbasic!K3788="CTUh", "Fill in Manually",IF(OR(K3788="Unit", K3788=""), "", INDEX(LookUps!$E$5:$E$12, MATCH(OpenLCAbasic!K3788,LookUps!$D$5:$D$12,0))))</f>
        <v>Smog Formation Potential (SFP) - kg O3 eq</v>
      </c>
      <c r="M3788" s="154" t="str">
        <f t="shared" si="187"/>
        <v>High_High_High_Upgraded_Smog Formation Potential (SFP) - kg O3 eq_Influent Pump Station; wastewater treatment unit; at updated plant - US_Base_With Amendment_Windrow</v>
      </c>
    </row>
    <row r="3789" spans="1:13" s="120" customFormat="1" x14ac:dyDescent="0.25">
      <c r="A3789" s="119"/>
      <c r="B3789" s="138" t="str">
        <f t="shared" si="185"/>
        <v>Windrow</v>
      </c>
      <c r="C3789" s="138" t="str">
        <f t="shared" si="186"/>
        <v>Base_With Amendment</v>
      </c>
      <c r="D3789" s="118" t="s">
        <v>140</v>
      </c>
      <c r="E3789" s="118" t="s">
        <v>181</v>
      </c>
      <c r="F3789" s="118" t="s">
        <v>46</v>
      </c>
      <c r="G3789" s="153"/>
      <c r="H3789" s="155">
        <v>2.4E-2</v>
      </c>
      <c r="I3789" s="154" t="s">
        <v>60</v>
      </c>
      <c r="J3789" s="204">
        <v>1.316E-2</v>
      </c>
      <c r="K3789" s="154" t="s">
        <v>25</v>
      </c>
      <c r="L3789" s="154" t="str">
        <f>IF(OpenLCAbasic!K3789="CTUh", "Fill in Manually",IF(OR(K3789="Unit", K3789=""), "", INDEX(LookUps!$E$5:$E$12, MATCH(OpenLCAbasic!K3789,LookUps!$D$5:$D$12,0))))</f>
        <v>Smog Formation Potential (SFP) - kg O3 eq</v>
      </c>
      <c r="M3789" s="154" t="str">
        <f t="shared" si="187"/>
        <v>High_High_High_Upgraded_Smog Formation Potential (SFP) - kg O3 eq_Belt filter press; wastewater treatment unit; at updated plant - US_Base_With Amendment_Windrow</v>
      </c>
    </row>
    <row r="3790" spans="1:13" s="120" customFormat="1" x14ac:dyDescent="0.25">
      <c r="A3790" s="119"/>
      <c r="B3790" s="138" t="str">
        <f t="shared" si="185"/>
        <v>Windrow</v>
      </c>
      <c r="C3790" s="138" t="str">
        <f t="shared" si="186"/>
        <v>Base_With Amendment</v>
      </c>
      <c r="D3790" s="118" t="s">
        <v>140</v>
      </c>
      <c r="E3790" s="118" t="s">
        <v>181</v>
      </c>
      <c r="F3790" s="118" t="s">
        <v>46</v>
      </c>
      <c r="G3790" s="153"/>
      <c r="H3790" s="155">
        <v>2.1700000000000001E-2</v>
      </c>
      <c r="I3790" s="154" t="s">
        <v>128</v>
      </c>
      <c r="J3790" s="204">
        <v>1.192E-2</v>
      </c>
      <c r="K3790" s="154" t="s">
        <v>25</v>
      </c>
      <c r="L3790" s="154" t="str">
        <f>IF(OpenLCAbasic!K3790="CTUh", "Fill in Manually",IF(OR(K3790="Unit", K3790=""), "", INDEX(LookUps!$E$5:$E$12, MATCH(OpenLCAbasic!K3790,LookUps!$D$5:$D$12,0))))</f>
        <v>Smog Formation Potential (SFP) - kg O3 eq</v>
      </c>
      <c r="M3790" s="154" t="str">
        <f t="shared" si="187"/>
        <v>High_High_High_Upgraded_Smog Formation Potential (SFP) - kg O3 eq_Wastewater collection; operation and infrastructure; m3 wastewater_Base_With Amendment_Windrow</v>
      </c>
    </row>
    <row r="3791" spans="1:13" s="120" customFormat="1" x14ac:dyDescent="0.25">
      <c r="A3791" s="119"/>
      <c r="B3791" s="138" t="str">
        <f t="shared" si="185"/>
        <v>Windrow</v>
      </c>
      <c r="C3791" s="138" t="str">
        <f t="shared" si="186"/>
        <v>Base_With Amendment</v>
      </c>
      <c r="D3791" s="118" t="s">
        <v>140</v>
      </c>
      <c r="E3791" s="118" t="s">
        <v>181</v>
      </c>
      <c r="F3791" s="118" t="s">
        <v>46</v>
      </c>
      <c r="G3791" s="153"/>
      <c r="H3791" s="155">
        <v>1.21E-2</v>
      </c>
      <c r="I3791" s="154" t="s">
        <v>57</v>
      </c>
      <c r="J3791" s="204">
        <v>6.6499999999999997E-3</v>
      </c>
      <c r="K3791" s="154" t="s">
        <v>25</v>
      </c>
      <c r="L3791" s="154" t="str">
        <f>IF(OpenLCAbasic!K3791="CTUh", "Fill in Manually",IF(OR(K3791="Unit", K3791=""), "", INDEX(LookUps!$E$5:$E$12, MATCH(OpenLCAbasic!K3791,LookUps!$D$5:$D$12,0))))</f>
        <v>Smog Formation Potential (SFP) - kg O3 eq</v>
      </c>
      <c r="M3791" s="154" t="str">
        <f t="shared" si="187"/>
        <v>High_High_High_Upgraded_Smog Formation Potential (SFP) - kg O3 eq_Gravity Belt Thickener; wastewater treatment unit; at updated plant - US_Base_With Amendment_Windrow</v>
      </c>
    </row>
    <row r="3792" spans="1:13" s="120" customFormat="1" x14ac:dyDescent="0.25">
      <c r="A3792" s="119"/>
      <c r="B3792" s="138" t="str">
        <f t="shared" si="185"/>
        <v>Windrow</v>
      </c>
      <c r="C3792" s="138" t="str">
        <f t="shared" si="186"/>
        <v>Base_With Amendment</v>
      </c>
      <c r="D3792" s="118" t="s">
        <v>140</v>
      </c>
      <c r="E3792" s="118" t="s">
        <v>181</v>
      </c>
      <c r="F3792" s="118" t="s">
        <v>46</v>
      </c>
      <c r="G3792" s="153"/>
      <c r="H3792" s="155">
        <v>9.1000000000000004E-3</v>
      </c>
      <c r="I3792" s="154" t="s">
        <v>59</v>
      </c>
      <c r="J3792" s="204">
        <v>4.9699999999999996E-3</v>
      </c>
      <c r="K3792" s="154" t="s">
        <v>25</v>
      </c>
      <c r="L3792" s="154" t="str">
        <f>IF(OpenLCAbasic!K3792="CTUh", "Fill in Manually",IF(OR(K3792="Unit", K3792=""), "", INDEX(LookUps!$E$5:$E$12, MATCH(OpenLCAbasic!K3792,LookUps!$D$5:$D$12,0))))</f>
        <v>Smog Formation Potential (SFP) - kg O3 eq</v>
      </c>
      <c r="M3792" s="154" t="str">
        <f t="shared" si="187"/>
        <v>High_High_High_Upgraded_Smog Formation Potential (SFP) - kg O3 eq_Blend Tank; wastewater treatment unit; at updated plant - US_Base_With Amendment_Windrow</v>
      </c>
    </row>
    <row r="3793" spans="1:13" s="120" customFormat="1" x14ac:dyDescent="0.25">
      <c r="A3793" s="119"/>
      <c r="B3793" s="138" t="str">
        <f t="shared" si="185"/>
        <v>Windrow</v>
      </c>
      <c r="C3793" s="138" t="str">
        <f t="shared" si="186"/>
        <v>Base_With Amendment</v>
      </c>
      <c r="D3793" s="118" t="s">
        <v>140</v>
      </c>
      <c r="E3793" s="118" t="s">
        <v>181</v>
      </c>
      <c r="F3793" s="118" t="s">
        <v>46</v>
      </c>
      <c r="G3793" s="153"/>
      <c r="H3793" s="155">
        <v>6.1999999999999998E-3</v>
      </c>
      <c r="I3793" s="154" t="s">
        <v>48</v>
      </c>
      <c r="J3793" s="204">
        <v>3.3899999999999998E-3</v>
      </c>
      <c r="K3793" s="154" t="s">
        <v>25</v>
      </c>
      <c r="L3793" s="154" t="str">
        <f>IF(OpenLCAbasic!K3793="CTUh", "Fill in Manually",IF(OR(K3793="Unit", K3793=""), "", INDEX(LookUps!$E$5:$E$12, MATCH(OpenLCAbasic!K3793,LookUps!$D$5:$D$12,0))))</f>
        <v>Smog Formation Potential (SFP) - kg O3 eq</v>
      </c>
      <c r="M3793" s="154" t="str">
        <f t="shared" si="187"/>
        <v>High_High_High_Upgraded_Smog Formation Potential (SFP) - kg O3 eq_Effluent release; wastewater treatment unit; at surface water; m3 wastewater - US_Base_With Amendment_Windrow</v>
      </c>
    </row>
    <row r="3794" spans="1:13" s="120" customFormat="1" x14ac:dyDescent="0.25">
      <c r="A3794" s="119"/>
      <c r="B3794" s="138" t="str">
        <f t="shared" si="185"/>
        <v>Windrow</v>
      </c>
      <c r="C3794" s="138" t="str">
        <f t="shared" si="186"/>
        <v>Base_With Amendment</v>
      </c>
      <c r="D3794" s="118" t="s">
        <v>140</v>
      </c>
      <c r="E3794" s="118" t="s">
        <v>181</v>
      </c>
      <c r="F3794" s="118" t="s">
        <v>46</v>
      </c>
      <c r="G3794" s="153"/>
      <c r="H3794" s="155">
        <v>4.5999999999999999E-3</v>
      </c>
      <c r="I3794" s="154" t="s">
        <v>271</v>
      </c>
      <c r="J3794" s="204">
        <v>2.5300000000000001E-3</v>
      </c>
      <c r="K3794" s="154" t="s">
        <v>25</v>
      </c>
      <c r="L3794" s="154" t="str">
        <f>IF(OpenLCAbasic!K3794="CTUh", "Fill in Manually",IF(OR(K3794="Unit", K3794=""), "", INDEX(LookUps!$E$5:$E$12, MATCH(OpenLCAbasic!K3794,LookUps!$D$5:$D$12,0))))</f>
        <v>Smog Formation Potential (SFP) - kg O3 eq</v>
      </c>
      <c r="M3794" s="154" t="str">
        <f t="shared" si="187"/>
        <v>High_High_High_Upgraded_Smog Formation Potential (SFP) - kg O3 eq_Biosolids composting; windrow composting; wastewater treatment unit; at updated plant - US_Base_With Amendment_Windrow</v>
      </c>
    </row>
    <row r="3795" spans="1:13" s="120" customFormat="1" x14ac:dyDescent="0.25">
      <c r="A3795" s="119"/>
      <c r="B3795" s="138" t="str">
        <f t="shared" si="185"/>
        <v>Windrow</v>
      </c>
      <c r="C3795" s="138" t="str">
        <f t="shared" si="186"/>
        <v>Base_With Amendment</v>
      </c>
      <c r="D3795" s="118" t="s">
        <v>140</v>
      </c>
      <c r="E3795" s="118" t="s">
        <v>181</v>
      </c>
      <c r="F3795" s="118" t="s">
        <v>46</v>
      </c>
      <c r="G3795" s="153"/>
      <c r="H3795" s="155">
        <v>4.4999999999999997E-3</v>
      </c>
      <c r="I3795" s="154" t="s">
        <v>168</v>
      </c>
      <c r="J3795" s="204">
        <v>2.4599999999999999E-3</v>
      </c>
      <c r="K3795" s="154" t="s">
        <v>25</v>
      </c>
      <c r="L3795" s="154" t="str">
        <f>IF(OpenLCAbasic!K3795="CTUh", "Fill in Manually",IF(OR(K3795="Unit", K3795=""), "", INDEX(LookUps!$E$5:$E$12, MATCH(OpenLCAbasic!K3795,LookUps!$D$5:$D$12,0))))</f>
        <v>Smog Formation Potential (SFP) - kg O3 eq</v>
      </c>
      <c r="M3795" s="154" t="str">
        <f t="shared" si="187"/>
        <v>High_High_High_Upgraded_Smog Formation Potential (SFP) - kg O3 eq_ClearCove SCP; wastewater treatment unit; at updated plant - US_Base_With Amendment_Windrow</v>
      </c>
    </row>
    <row r="3796" spans="1:13" s="120" customFormat="1" x14ac:dyDescent="0.25">
      <c r="A3796" s="119"/>
      <c r="B3796" s="138" t="str">
        <f t="shared" si="185"/>
        <v>Windrow</v>
      </c>
      <c r="C3796" s="138" t="str">
        <f t="shared" si="186"/>
        <v>Base_With Amendment</v>
      </c>
      <c r="D3796" s="118" t="s">
        <v>140</v>
      </c>
      <c r="E3796" s="118" t="s">
        <v>181</v>
      </c>
      <c r="F3796" s="118" t="s">
        <v>46</v>
      </c>
      <c r="G3796" s="153"/>
      <c r="H3796" s="155">
        <v>1E-3</v>
      </c>
      <c r="I3796" s="154" t="s">
        <v>148</v>
      </c>
      <c r="J3796" s="204">
        <v>5.4000000000000001E-4</v>
      </c>
      <c r="K3796" s="154" t="s">
        <v>25</v>
      </c>
      <c r="L3796" s="154" t="str">
        <f>IF(OpenLCAbasic!K3796="CTUh", "Fill in Manually",IF(OR(K3796="Unit", K3796=""), "", INDEX(LookUps!$E$5:$E$12, MATCH(OpenLCAbasic!K3796,LookUps!$D$5:$D$12,0))))</f>
        <v>Smog Formation Potential (SFP) - kg O3 eq</v>
      </c>
      <c r="M3796" s="154" t="str">
        <f t="shared" si="187"/>
        <v>High_High_High_Upgraded_Smog Formation Potential (SFP) - kg O3 eq_Control Building; at upgraded wastewater treatment plant - US_Base_With Amendment_Windrow</v>
      </c>
    </row>
    <row r="3797" spans="1:13" s="120" customFormat="1" x14ac:dyDescent="0.25">
      <c r="A3797" s="119"/>
      <c r="B3797" s="138" t="str">
        <f t="shared" si="185"/>
        <v>Windrow</v>
      </c>
      <c r="C3797" s="138" t="str">
        <f t="shared" si="186"/>
        <v>Base_With Amendment</v>
      </c>
      <c r="D3797" s="118" t="s">
        <v>140</v>
      </c>
      <c r="E3797" s="118" t="s">
        <v>181</v>
      </c>
      <c r="F3797" s="118" t="s">
        <v>46</v>
      </c>
      <c r="G3797" s="153"/>
      <c r="H3797" s="155">
        <v>-8.8000000000000005E-3</v>
      </c>
      <c r="I3797" s="154" t="s">
        <v>62</v>
      </c>
      <c r="J3797" s="204">
        <v>-4.7999999999999996E-3</v>
      </c>
      <c r="K3797" s="154" t="s">
        <v>25</v>
      </c>
      <c r="L3797" s="154" t="str">
        <f>IF(OpenLCAbasic!K3797="CTUh", "Fill in Manually",IF(OR(K3797="Unit", K3797=""), "", INDEX(LookUps!$E$5:$E$12, MATCH(OpenLCAbasic!K3797,LookUps!$D$5:$D$12,0))))</f>
        <v>Smog Formation Potential (SFP) - kg O3 eq</v>
      </c>
      <c r="M3797" s="154" t="str">
        <f t="shared" si="187"/>
        <v>High_High_High_Upgraded_Smog Formation Potential (SFP) - kg O3 eq_Land application of compost; wastewater treatment unit; at updated plant - US_Base_With Amendment_Windrow</v>
      </c>
    </row>
    <row r="3798" spans="1:13" s="120" customFormat="1" x14ac:dyDescent="0.25">
      <c r="A3798" s="119"/>
      <c r="B3798" s="138" t="str">
        <f t="shared" si="185"/>
        <v>Windrow</v>
      </c>
      <c r="C3798" s="138" t="str">
        <f t="shared" si="186"/>
        <v>Base_With Amendment</v>
      </c>
      <c r="D3798" s="118" t="s">
        <v>140</v>
      </c>
      <c r="E3798" s="118" t="s">
        <v>181</v>
      </c>
      <c r="F3798" s="118" t="s">
        <v>46</v>
      </c>
      <c r="G3798" s="153"/>
      <c r="H3798" s="155">
        <v>-1.6987000000000001</v>
      </c>
      <c r="I3798" s="154" t="s">
        <v>149</v>
      </c>
      <c r="J3798" s="203">
        <v>-0.93125999999999998</v>
      </c>
      <c r="K3798" s="154" t="s">
        <v>25</v>
      </c>
      <c r="L3798" s="154" t="str">
        <f>IF(OpenLCAbasic!K3798="CTUh", "Fill in Manually",IF(OR(K3798="Unit", K3798=""), "", INDEX(LookUps!$E$5:$E$12, MATCH(OpenLCAbasic!K3798,LookUps!$D$5:$D$12,0))))</f>
        <v>Smog Formation Potential (SFP) - kg O3 eq</v>
      </c>
      <c r="M3798" s="154" t="str">
        <f t="shared" si="187"/>
        <v>High_High_High_Upgraded_Smog Formation Potential (SFP) - kg O3 eq_Anaerobic Digestion; wastewater treatment unit; at updated plant - US_Base_With Amendment_Windrow</v>
      </c>
    </row>
    <row r="3799" spans="1:13" s="120" customFormat="1" x14ac:dyDescent="0.25">
      <c r="A3799" s="119"/>
      <c r="B3799" s="138" t="str">
        <f t="shared" si="185"/>
        <v>Windrow</v>
      </c>
      <c r="C3799" s="138" t="str">
        <f t="shared" si="186"/>
        <v>Base_With Amendment</v>
      </c>
      <c r="D3799" s="118" t="s">
        <v>140</v>
      </c>
      <c r="E3799" s="118" t="s">
        <v>181</v>
      </c>
      <c r="F3799" s="118" t="s">
        <v>46</v>
      </c>
      <c r="G3799" s="153" t="s">
        <v>51</v>
      </c>
      <c r="H3799" s="154"/>
      <c r="I3799" s="154" t="s">
        <v>47</v>
      </c>
      <c r="J3799" s="154" t="s">
        <v>52</v>
      </c>
      <c r="K3799" s="154" t="s">
        <v>27</v>
      </c>
      <c r="L3799" s="154" t="str">
        <f>IF(OpenLCAbasic!K3799="CTUh", "Fill in Manually",IF(OR(K3799="Unit", K3799=""), "", INDEX(LookUps!$E$5:$E$12, MATCH(OpenLCAbasic!K3799,LookUps!$D$5:$D$12,0))))</f>
        <v/>
      </c>
      <c r="M3799" s="154" t="str">
        <f t="shared" si="187"/>
        <v>High_High_High_Upgraded__Process_Base_With Amendment_Windrow</v>
      </c>
    </row>
    <row r="3800" spans="1:13" s="120" customFormat="1" x14ac:dyDescent="0.25">
      <c r="A3800" s="119"/>
      <c r="B3800" s="138" t="str">
        <f t="shared" si="185"/>
        <v>Windrow</v>
      </c>
      <c r="C3800" s="138" t="str">
        <f t="shared" si="186"/>
        <v>Base_With Amendment</v>
      </c>
      <c r="D3800" s="118" t="s">
        <v>140</v>
      </c>
      <c r="E3800" s="118" t="s">
        <v>181</v>
      </c>
      <c r="F3800" s="118" t="s">
        <v>46</v>
      </c>
      <c r="G3800" s="153"/>
      <c r="H3800" s="155">
        <v>0.30690000000000001</v>
      </c>
      <c r="I3800" s="154" t="s">
        <v>167</v>
      </c>
      <c r="J3800" s="204">
        <v>3.4000000000000002E-4</v>
      </c>
      <c r="K3800" s="154" t="s">
        <v>26</v>
      </c>
      <c r="L3800" s="154" t="str">
        <f>IF(OpenLCAbasic!K3800="CTUh", "Fill in Manually",IF(OR(K3800="Unit", K3800=""), "", INDEX(LookUps!$E$5:$E$12, MATCH(OpenLCAbasic!K3800,LookUps!$D$5:$D$12,0))))</f>
        <v>Water Use (WU) - m3 H2O</v>
      </c>
      <c r="M3800" s="154" t="str">
        <f t="shared" si="187"/>
        <v>High_High_High_Upgraded_Water Use (WU) - m3 H2O_Waste Receiving and Holding; wastewater treatment unit; at updated plant - US_Base_With Amendment_Windrow</v>
      </c>
    </row>
    <row r="3801" spans="1:13" s="120" customFormat="1" x14ac:dyDescent="0.25">
      <c r="A3801" s="119"/>
      <c r="B3801" s="138" t="str">
        <f t="shared" si="185"/>
        <v>Windrow</v>
      </c>
      <c r="C3801" s="138" t="str">
        <f t="shared" si="186"/>
        <v>Base_With Amendment</v>
      </c>
      <c r="D3801" s="118" t="s">
        <v>140</v>
      </c>
      <c r="E3801" s="118" t="s">
        <v>181</v>
      </c>
      <c r="F3801" s="118" t="s">
        <v>46</v>
      </c>
      <c r="G3801" s="153"/>
      <c r="H3801" s="155">
        <v>0.16800000000000001</v>
      </c>
      <c r="I3801" s="154" t="s">
        <v>147</v>
      </c>
      <c r="J3801" s="204">
        <v>1.8000000000000001E-4</v>
      </c>
      <c r="K3801" s="154" t="s">
        <v>26</v>
      </c>
      <c r="L3801" s="154" t="str">
        <f>IF(OpenLCAbasic!K3801="CTUh", "Fill in Manually",IF(OR(K3801="Unit", K3801=""), "", INDEX(LookUps!$E$5:$E$12, MATCH(OpenLCAbasic!K3801,LookUps!$D$5:$D$12,0))))</f>
        <v>Water Use (WU) - m3 H2O</v>
      </c>
      <c r="M3801" s="154" t="str">
        <f t="shared" si="187"/>
        <v>High_High_High_Upgraded_Water Use (WU) - m3 H2O_Influent Pump Station; wastewater treatment unit; at updated plant - US_Base_With Amendment_Windrow</v>
      </c>
    </row>
    <row r="3802" spans="1:13" s="120" customFormat="1" x14ac:dyDescent="0.25">
      <c r="A3802" s="119"/>
      <c r="B3802" s="138" t="str">
        <f t="shared" si="185"/>
        <v>Windrow</v>
      </c>
      <c r="C3802" s="138" t="str">
        <f t="shared" si="186"/>
        <v>Base_With Amendment</v>
      </c>
      <c r="D3802" s="118" t="s">
        <v>140</v>
      </c>
      <c r="E3802" s="118" t="s">
        <v>181</v>
      </c>
      <c r="F3802" s="118" t="s">
        <v>46</v>
      </c>
      <c r="G3802" s="153"/>
      <c r="H3802" s="155">
        <v>0.16389999999999999</v>
      </c>
      <c r="I3802" s="154" t="s">
        <v>54</v>
      </c>
      <c r="J3802" s="204">
        <v>1.8000000000000001E-4</v>
      </c>
      <c r="K3802" s="154" t="s">
        <v>26</v>
      </c>
      <c r="L3802" s="154" t="str">
        <f>IF(OpenLCAbasic!K3802="CTUh", "Fill in Manually",IF(OR(K3802="Unit", K3802=""), "", INDEX(LookUps!$E$5:$E$12, MATCH(OpenLCAbasic!K3802,LookUps!$D$5:$D$12,0))))</f>
        <v>Water Use (WU) - m3 H2O</v>
      </c>
      <c r="M3802" s="154" t="str">
        <f t="shared" si="187"/>
        <v>High_High_High_Upgraded_Water Use (WU) - m3 H2O_Clear Cove Primary Clarification; wastewater treatment unit; at updated plant - US_Base_With Amendment_Windrow</v>
      </c>
    </row>
    <row r="3803" spans="1:13" s="120" customFormat="1" x14ac:dyDescent="0.25">
      <c r="A3803" s="119"/>
      <c r="B3803" s="138" t="str">
        <f t="shared" si="185"/>
        <v>Windrow</v>
      </c>
      <c r="C3803" s="138" t="str">
        <f t="shared" si="186"/>
        <v>Base_With Amendment</v>
      </c>
      <c r="D3803" s="118" t="s">
        <v>140</v>
      </c>
      <c r="E3803" s="118" t="s">
        <v>181</v>
      </c>
      <c r="F3803" s="118" t="s">
        <v>46</v>
      </c>
      <c r="G3803" s="153"/>
      <c r="H3803" s="155">
        <v>0.1487</v>
      </c>
      <c r="I3803" s="154" t="s">
        <v>55</v>
      </c>
      <c r="J3803" s="204">
        <v>1.6000000000000001E-4</v>
      </c>
      <c r="K3803" s="154" t="s">
        <v>26</v>
      </c>
      <c r="L3803" s="154" t="str">
        <f>IF(OpenLCAbasic!K3803="CTUh", "Fill in Manually",IF(OR(K3803="Unit", K3803=""), "", INDEX(LookUps!$E$5:$E$12, MATCH(OpenLCAbasic!K3803,LookUps!$D$5:$D$12,0))))</f>
        <v>Water Use (WU) - m3 H2O</v>
      </c>
      <c r="M3803" s="154" t="str">
        <f t="shared" si="187"/>
        <v>High_High_High_Upgraded_Water Use (WU) - m3 H2O_Aeration Tanks; wastewater treatment unit; at updated plant - US_Base_With Amendment_Windrow</v>
      </c>
    </row>
    <row r="3804" spans="1:13" s="120" customFormat="1" x14ac:dyDescent="0.25">
      <c r="A3804" s="119"/>
      <c r="B3804" s="138" t="str">
        <f t="shared" si="185"/>
        <v>Windrow</v>
      </c>
      <c r="C3804" s="138" t="str">
        <f t="shared" si="186"/>
        <v>Base_With Amendment</v>
      </c>
      <c r="D3804" s="118" t="s">
        <v>140</v>
      </c>
      <c r="E3804" s="118" t="s">
        <v>181</v>
      </c>
      <c r="F3804" s="118" t="s">
        <v>46</v>
      </c>
      <c r="G3804" s="153"/>
      <c r="H3804" s="155">
        <v>0.13539999999999999</v>
      </c>
      <c r="I3804" s="154" t="s">
        <v>148</v>
      </c>
      <c r="J3804" s="204">
        <v>1.4999999999999999E-4</v>
      </c>
      <c r="K3804" s="154" t="s">
        <v>26</v>
      </c>
      <c r="L3804" s="154" t="str">
        <f>IF(OpenLCAbasic!K3804="CTUh", "Fill in Manually",IF(OR(K3804="Unit", K3804=""), "", INDEX(LookUps!$E$5:$E$12, MATCH(OpenLCAbasic!K3804,LookUps!$D$5:$D$12,0))))</f>
        <v>Water Use (WU) - m3 H2O</v>
      </c>
      <c r="M3804" s="154" t="str">
        <f t="shared" si="187"/>
        <v>High_High_High_Upgraded_Water Use (WU) - m3 H2O_Control Building; at upgraded wastewater treatment plant - US_Base_With Amendment_Windrow</v>
      </c>
    </row>
    <row r="3805" spans="1:13" s="120" customFormat="1" x14ac:dyDescent="0.25">
      <c r="A3805" s="119"/>
      <c r="B3805" s="138" t="str">
        <f t="shared" si="185"/>
        <v>Windrow</v>
      </c>
      <c r="C3805" s="138" t="str">
        <f t="shared" si="186"/>
        <v>Base_With Amendment</v>
      </c>
      <c r="D3805" s="118" t="s">
        <v>140</v>
      </c>
      <c r="E3805" s="118" t="s">
        <v>181</v>
      </c>
      <c r="F3805" s="118" t="s">
        <v>46</v>
      </c>
      <c r="G3805" s="153"/>
      <c r="H3805" s="155">
        <v>6.2899999999999998E-2</v>
      </c>
      <c r="I3805" s="154" t="s">
        <v>48</v>
      </c>
      <c r="J3805" s="204">
        <v>6.8836400000000004E-5</v>
      </c>
      <c r="K3805" s="154" t="s">
        <v>26</v>
      </c>
      <c r="L3805" s="154" t="str">
        <f>IF(OpenLCAbasic!K3805="CTUh", "Fill in Manually",IF(OR(K3805="Unit", K3805=""), "", INDEX(LookUps!$E$5:$E$12, MATCH(OpenLCAbasic!K3805,LookUps!$D$5:$D$12,0))))</f>
        <v>Water Use (WU) - m3 H2O</v>
      </c>
      <c r="M3805" s="154" t="str">
        <f t="shared" si="187"/>
        <v>High_High_High_Upgraded_Water Use (WU) - m3 H2O_Effluent release; wastewater treatment unit; at surface water; m3 wastewater - US_Base_With Amendment_Windrow</v>
      </c>
    </row>
    <row r="3806" spans="1:13" s="120" customFormat="1" x14ac:dyDescent="0.25">
      <c r="A3806" s="119"/>
      <c r="B3806" s="138" t="str">
        <f t="shared" si="185"/>
        <v>Windrow</v>
      </c>
      <c r="C3806" s="138" t="str">
        <f t="shared" si="186"/>
        <v>Base_With Amendment</v>
      </c>
      <c r="D3806" s="118" t="s">
        <v>140</v>
      </c>
      <c r="E3806" s="118" t="s">
        <v>181</v>
      </c>
      <c r="F3806" s="118" t="s">
        <v>46</v>
      </c>
      <c r="G3806" s="153"/>
      <c r="H3806" s="155">
        <v>3.95E-2</v>
      </c>
      <c r="I3806" s="154" t="s">
        <v>58</v>
      </c>
      <c r="J3806" s="204">
        <v>4.3289399999999999E-5</v>
      </c>
      <c r="K3806" s="154" t="s">
        <v>26</v>
      </c>
      <c r="L3806" s="154" t="str">
        <f>IF(OpenLCAbasic!K3806="CTUh", "Fill in Manually",IF(OR(K3806="Unit", K3806=""), "", INDEX(LookUps!$E$5:$E$12, MATCH(OpenLCAbasic!K3806,LookUps!$D$5:$D$12,0))))</f>
        <v>Water Use (WU) - m3 H2O</v>
      </c>
      <c r="M3806" s="154" t="str">
        <f t="shared" si="187"/>
        <v>High_High_High_Upgraded_Water Use (WU) - m3 H2O_Pre-Anoxic &amp; Swing tank; wastewater treatment unit; at updated plant - US_Base_With Amendment_Windrow</v>
      </c>
    </row>
    <row r="3807" spans="1:13" s="120" customFormat="1" x14ac:dyDescent="0.25">
      <c r="A3807" s="119"/>
      <c r="B3807" s="138" t="str">
        <f t="shared" si="185"/>
        <v>Windrow</v>
      </c>
      <c r="C3807" s="138" t="str">
        <f t="shared" si="186"/>
        <v>Base_With Amendment</v>
      </c>
      <c r="D3807" s="118" t="s">
        <v>140</v>
      </c>
      <c r="E3807" s="118" t="s">
        <v>181</v>
      </c>
      <c r="F3807" s="118" t="s">
        <v>46</v>
      </c>
      <c r="G3807" s="153"/>
      <c r="H3807" s="155">
        <v>3.5900000000000001E-2</v>
      </c>
      <c r="I3807" s="154" t="s">
        <v>60</v>
      </c>
      <c r="J3807" s="204">
        <v>3.9294400000000001E-5</v>
      </c>
      <c r="K3807" s="154" t="s">
        <v>26</v>
      </c>
      <c r="L3807" s="154" t="str">
        <f>IF(OpenLCAbasic!K3807="CTUh", "Fill in Manually",IF(OR(K3807="Unit", K3807=""), "", INDEX(LookUps!$E$5:$E$12, MATCH(OpenLCAbasic!K3807,LookUps!$D$5:$D$12,0))))</f>
        <v>Water Use (WU) - m3 H2O</v>
      </c>
      <c r="M3807" s="154" t="str">
        <f t="shared" si="187"/>
        <v>High_High_High_Upgraded_Water Use (WU) - m3 H2O_Belt filter press; wastewater treatment unit; at updated plant - US_Base_With Amendment_Windrow</v>
      </c>
    </row>
    <row r="3808" spans="1:13" s="120" customFormat="1" x14ac:dyDescent="0.25">
      <c r="A3808" s="119"/>
      <c r="B3808" s="138" t="str">
        <f t="shared" si="185"/>
        <v>Windrow</v>
      </c>
      <c r="C3808" s="138" t="str">
        <f t="shared" si="186"/>
        <v>Base_With Amendment</v>
      </c>
      <c r="D3808" s="118" t="s">
        <v>140</v>
      </c>
      <c r="E3808" s="118" t="s">
        <v>181</v>
      </c>
      <c r="F3808" s="118" t="s">
        <v>46</v>
      </c>
      <c r="G3808" s="153"/>
      <c r="H3808" s="155">
        <v>2.7799999999999998E-2</v>
      </c>
      <c r="I3808" s="154" t="s">
        <v>57</v>
      </c>
      <c r="J3808" s="204">
        <v>3.0408100000000001E-5</v>
      </c>
      <c r="K3808" s="154" t="s">
        <v>26</v>
      </c>
      <c r="L3808" s="154" t="str">
        <f>IF(OpenLCAbasic!K3808="CTUh", "Fill in Manually",IF(OR(K3808="Unit", K3808=""), "", INDEX(LookUps!$E$5:$E$12, MATCH(OpenLCAbasic!K3808,LookUps!$D$5:$D$12,0))))</f>
        <v>Water Use (WU) - m3 H2O</v>
      </c>
      <c r="M3808" s="154" t="str">
        <f t="shared" si="187"/>
        <v>High_High_High_Upgraded_Water Use (WU) - m3 H2O_Gravity Belt Thickener; wastewater treatment unit; at updated plant - US_Base_With Amendment_Windrow</v>
      </c>
    </row>
    <row r="3809" spans="1:13" s="120" customFormat="1" x14ac:dyDescent="0.25">
      <c r="A3809" s="119"/>
      <c r="B3809" s="138" t="str">
        <f t="shared" si="185"/>
        <v>Windrow</v>
      </c>
      <c r="C3809" s="138" t="str">
        <f t="shared" si="186"/>
        <v>Base_With Amendment</v>
      </c>
      <c r="D3809" s="118" t="s">
        <v>140</v>
      </c>
      <c r="E3809" s="118" t="s">
        <v>181</v>
      </c>
      <c r="F3809" s="118" t="s">
        <v>46</v>
      </c>
      <c r="G3809" s="153"/>
      <c r="H3809" s="155">
        <v>1.6E-2</v>
      </c>
      <c r="I3809" s="154" t="s">
        <v>53</v>
      </c>
      <c r="J3809" s="204">
        <v>1.75069E-5</v>
      </c>
      <c r="K3809" s="154" t="s">
        <v>26</v>
      </c>
      <c r="L3809" s="154" t="str">
        <f>IF(OpenLCAbasic!K3809="CTUh", "Fill in Manually",IF(OR(K3809="Unit", K3809=""), "", INDEX(LookUps!$E$5:$E$12, MATCH(OpenLCAbasic!K3809,LookUps!$D$5:$D$12,0))))</f>
        <v>Water Use (WU) - m3 H2O</v>
      </c>
      <c r="M3809" s="154" t="str">
        <f t="shared" si="187"/>
        <v>High_High_High_Upgraded_Water Use (WU) - m3 H2O_Wet Well and Sump Station; wastewater treatment unit; at updated plant - US_Base_With Amendment_Windrow</v>
      </c>
    </row>
    <row r="3810" spans="1:13" s="120" customFormat="1" x14ac:dyDescent="0.25">
      <c r="A3810" s="119"/>
      <c r="B3810" s="138" t="str">
        <f t="shared" si="185"/>
        <v>Windrow</v>
      </c>
      <c r="C3810" s="138" t="str">
        <f t="shared" si="186"/>
        <v>Base_With Amendment</v>
      </c>
      <c r="D3810" s="118" t="s">
        <v>140</v>
      </c>
      <c r="E3810" s="118" t="s">
        <v>181</v>
      </c>
      <c r="F3810" s="118" t="s">
        <v>46</v>
      </c>
      <c r="G3810" s="153"/>
      <c r="H3810" s="155">
        <v>6.4000000000000003E-3</v>
      </c>
      <c r="I3810" s="154" t="s">
        <v>59</v>
      </c>
      <c r="J3810" s="204">
        <v>7.0179500000000003E-6</v>
      </c>
      <c r="K3810" s="154" t="s">
        <v>26</v>
      </c>
      <c r="L3810" s="154" t="str">
        <f>IF(OpenLCAbasic!K3810="CTUh", "Fill in Manually",IF(OR(K3810="Unit", K3810=""), "", INDEX(LookUps!$E$5:$E$12, MATCH(OpenLCAbasic!K3810,LookUps!$D$5:$D$12,0))))</f>
        <v>Water Use (WU) - m3 H2O</v>
      </c>
      <c r="M3810" s="154" t="str">
        <f t="shared" si="187"/>
        <v>High_High_High_Upgraded_Water Use (WU) - m3 H2O_Blend Tank; wastewater treatment unit; at updated plant - US_Base_With Amendment_Windrow</v>
      </c>
    </row>
    <row r="3811" spans="1:13" s="120" customFormat="1" x14ac:dyDescent="0.25">
      <c r="A3811" s="119"/>
      <c r="B3811" s="138" t="str">
        <f t="shared" si="185"/>
        <v>Windrow</v>
      </c>
      <c r="C3811" s="138" t="str">
        <f t="shared" si="186"/>
        <v>Base_With Amendment</v>
      </c>
      <c r="D3811" s="118" t="s">
        <v>140</v>
      </c>
      <c r="E3811" s="118" t="s">
        <v>181</v>
      </c>
      <c r="F3811" s="118" t="s">
        <v>46</v>
      </c>
      <c r="G3811" s="153"/>
      <c r="H3811" s="155">
        <v>4.5999999999999999E-3</v>
      </c>
      <c r="I3811" s="154" t="s">
        <v>128</v>
      </c>
      <c r="J3811" s="204">
        <v>5.0608900000000003E-6</v>
      </c>
      <c r="K3811" s="154" t="s">
        <v>26</v>
      </c>
      <c r="L3811" s="154" t="str">
        <f>IF(OpenLCAbasic!K3811="CTUh", "Fill in Manually",IF(OR(K3811="Unit", K3811=""), "", INDEX(LookUps!$E$5:$E$12, MATCH(OpenLCAbasic!K3811,LookUps!$D$5:$D$12,0))))</f>
        <v>Water Use (WU) - m3 H2O</v>
      </c>
      <c r="M3811" s="154" t="str">
        <f t="shared" si="187"/>
        <v>High_High_High_Upgraded_Water Use (WU) - m3 H2O_Wastewater collection; operation and infrastructure; m3 wastewater_Base_With Amendment_Windrow</v>
      </c>
    </row>
    <row r="3812" spans="1:13" s="120" customFormat="1" x14ac:dyDescent="0.25">
      <c r="A3812" s="119"/>
      <c r="B3812" s="138" t="str">
        <f t="shared" si="185"/>
        <v>Windrow</v>
      </c>
      <c r="C3812" s="138" t="str">
        <f t="shared" si="186"/>
        <v>Base_With Amendment</v>
      </c>
      <c r="D3812" s="118" t="s">
        <v>140</v>
      </c>
      <c r="E3812" s="118" t="s">
        <v>181</v>
      </c>
      <c r="F3812" s="118" t="s">
        <v>46</v>
      </c>
      <c r="G3812" s="153"/>
      <c r="H3812" s="155">
        <v>1.8E-3</v>
      </c>
      <c r="I3812" s="154" t="s">
        <v>271</v>
      </c>
      <c r="J3812" s="204">
        <v>1.9172200000000002E-6</v>
      </c>
      <c r="K3812" s="154" t="s">
        <v>26</v>
      </c>
      <c r="L3812" s="154" t="str">
        <f>IF(OpenLCAbasic!K3812="CTUh", "Fill in Manually",IF(OR(K3812="Unit", K3812=""), "", INDEX(LookUps!$E$5:$E$12, MATCH(OpenLCAbasic!K3812,LookUps!$D$5:$D$12,0))))</f>
        <v>Water Use (WU) - m3 H2O</v>
      </c>
      <c r="M3812" s="154" t="str">
        <f t="shared" si="187"/>
        <v>High_High_High_Upgraded_Water Use (WU) - m3 H2O_Biosolids composting; windrow composting; wastewater treatment unit; at updated plant - US_Base_With Amendment_Windrow</v>
      </c>
    </row>
    <row r="3813" spans="1:13" s="120" customFormat="1" x14ac:dyDescent="0.25">
      <c r="A3813" s="119"/>
      <c r="B3813" s="138" t="str">
        <f t="shared" si="185"/>
        <v>Windrow</v>
      </c>
      <c r="C3813" s="138" t="str">
        <f t="shared" si="186"/>
        <v>Base_With Amendment</v>
      </c>
      <c r="D3813" s="118" t="s">
        <v>140</v>
      </c>
      <c r="E3813" s="118" t="s">
        <v>181</v>
      </c>
      <c r="F3813" s="118" t="s">
        <v>46</v>
      </c>
      <c r="G3813" s="153"/>
      <c r="H3813" s="155">
        <v>6.9999999999999999E-4</v>
      </c>
      <c r="I3813" s="154" t="s">
        <v>168</v>
      </c>
      <c r="J3813" s="204">
        <v>7.6697000000000004E-7</v>
      </c>
      <c r="K3813" s="154" t="s">
        <v>26</v>
      </c>
      <c r="L3813" s="154" t="str">
        <f>IF(OpenLCAbasic!K3813="CTUh", "Fill in Manually",IF(OR(K3813="Unit", K3813=""), "", INDEX(LookUps!$E$5:$E$12, MATCH(OpenLCAbasic!K3813,LookUps!$D$5:$D$12,0))))</f>
        <v>Water Use (WU) - m3 H2O</v>
      </c>
      <c r="M3813" s="154" t="str">
        <f t="shared" si="187"/>
        <v>High_High_High_Upgraded_Water Use (WU) - m3 H2O_ClearCove SCP; wastewater treatment unit; at updated plant - US_Base_With Amendment_Windrow</v>
      </c>
    </row>
    <row r="3814" spans="1:13" s="120" customFormat="1" x14ac:dyDescent="0.25">
      <c r="A3814" s="119"/>
      <c r="B3814" s="138" t="str">
        <f t="shared" si="185"/>
        <v>Windrow</v>
      </c>
      <c r="C3814" s="138" t="str">
        <f t="shared" si="186"/>
        <v>Base_With Amendment</v>
      </c>
      <c r="D3814" s="118" t="s">
        <v>140</v>
      </c>
      <c r="E3814" s="118" t="s">
        <v>181</v>
      </c>
      <c r="F3814" s="118" t="s">
        <v>46</v>
      </c>
      <c r="G3814" s="153"/>
      <c r="H3814" s="155">
        <v>-0.246</v>
      </c>
      <c r="I3814" s="154" t="s">
        <v>149</v>
      </c>
      <c r="J3814" s="204">
        <v>-2.7E-4</v>
      </c>
      <c r="K3814" s="154" t="s">
        <v>26</v>
      </c>
      <c r="L3814" s="154" t="str">
        <f>IF(OpenLCAbasic!K3814="CTUh", "Fill in Manually",IF(OR(K3814="Unit", K3814=""), "", INDEX(LookUps!$E$5:$E$12, MATCH(OpenLCAbasic!K3814,LookUps!$D$5:$D$12,0))))</f>
        <v>Water Use (WU) - m3 H2O</v>
      </c>
      <c r="M3814" s="154" t="str">
        <f t="shared" si="187"/>
        <v>High_High_High_Upgraded_Water Use (WU) - m3 H2O_Anaerobic Digestion; wastewater treatment unit; at updated plant - US_Base_With Amendment_Windrow</v>
      </c>
    </row>
    <row r="3815" spans="1:13" s="120" customFormat="1" ht="17.25" customHeight="1" x14ac:dyDescent="0.25">
      <c r="A3815" s="119"/>
      <c r="B3815" s="138" t="str">
        <f t="shared" si="185"/>
        <v>Windrow</v>
      </c>
      <c r="C3815" s="138" t="str">
        <f t="shared" si="186"/>
        <v>Base_With Amendment</v>
      </c>
      <c r="D3815" s="118" t="s">
        <v>140</v>
      </c>
      <c r="E3815" s="118" t="s">
        <v>181</v>
      </c>
      <c r="F3815" s="118" t="s">
        <v>46</v>
      </c>
      <c r="G3815" s="153"/>
      <c r="H3815" s="155">
        <v>-1.8724000000000001</v>
      </c>
      <c r="I3815" s="154" t="s">
        <v>62</v>
      </c>
      <c r="J3815" s="204">
        <v>-2.0500000000000002E-3</v>
      </c>
      <c r="K3815" s="154" t="s">
        <v>26</v>
      </c>
      <c r="L3815" s="154" t="str">
        <f>IF(OpenLCAbasic!K3815="CTUh", "Fill in Manually",IF(OR(K3815="Unit", K3815=""), "", INDEX(LookUps!$E$5:$E$12, MATCH(OpenLCAbasic!K3815,LookUps!$D$5:$D$12,0))))</f>
        <v>Water Use (WU) - m3 H2O</v>
      </c>
      <c r="M3815" s="154" t="str">
        <f t="shared" si="187"/>
        <v>High_High_High_Upgraded_Water Use (WU) - m3 H2O_Land application of compost; wastewater treatment unit; at updated plant - US_Base_With Amendment_Windrow</v>
      </c>
    </row>
    <row r="3816" spans="1:13" s="120" customFormat="1" x14ac:dyDescent="0.25">
      <c r="A3816" s="119"/>
      <c r="B3816" s="138" t="str">
        <f t="shared" si="185"/>
        <v/>
      </c>
      <c r="C3816" s="138" t="str">
        <f>IF(ISNUMBER($J3816),"Landfill National","")</f>
        <v/>
      </c>
      <c r="D3816" s="138" t="str">
        <f>IF(ISNUMBER($J3816),"Base","")</f>
        <v/>
      </c>
      <c r="E3816" s="138" t="str">
        <f>IF(ISNUMBER($J3816),"Base","")</f>
        <v/>
      </c>
      <c r="F3816" s="138" t="str">
        <f>IF(ISNUMBER($J3816),"Legacy","")</f>
        <v/>
      </c>
      <c r="G3816" s="153" t="s">
        <v>51</v>
      </c>
      <c r="H3816" s="160"/>
      <c r="I3816" s="208" t="s">
        <v>47</v>
      </c>
      <c r="J3816" s="160" t="s">
        <v>52</v>
      </c>
      <c r="K3816" s="160" t="s">
        <v>27</v>
      </c>
      <c r="L3816" s="154" t="str">
        <f>IF(OpenLCAbasic!K3816="CTUh", "Fill in Manually",IF(OR(K3816="Unit", K3816=""), "", INDEX(LookUps!$E$5:$E$12, MATCH(OpenLCAbasic!K3816,LookUps!$D$5:$D$12,0))))</f>
        <v/>
      </c>
      <c r="M3816" s="154" t="str">
        <f t="shared" si="187"/>
        <v>____Process__</v>
      </c>
    </row>
    <row r="3817" spans="1:13" s="120" customFormat="1" x14ac:dyDescent="0.25">
      <c r="A3817" s="119"/>
      <c r="B3817" s="138" t="str">
        <f t="shared" si="185"/>
        <v>n.a.</v>
      </c>
      <c r="C3817" s="138" t="str">
        <f t="shared" ref="C3817:C3880" si="188">IF(ISNUMBER($J3817),"Landfill National","")</f>
        <v>Landfill National</v>
      </c>
      <c r="D3817" s="138" t="str">
        <f t="shared" ref="D3817:E3848" si="189">IF(ISNUMBER($J3817),"Base","")</f>
        <v>Base</v>
      </c>
      <c r="E3817" s="138" t="str">
        <f t="shared" si="189"/>
        <v>Base</v>
      </c>
      <c r="F3817" s="138" t="str">
        <f t="shared" ref="F3817:F3880" si="190">IF(ISNUMBER(J3817),"Legacy","")</f>
        <v>Legacy</v>
      </c>
      <c r="G3817" s="153"/>
      <c r="H3817" s="210">
        <v>0.41749999999999998</v>
      </c>
      <c r="I3817" s="208" t="s">
        <v>125</v>
      </c>
      <c r="J3817" s="160">
        <v>1.3429999999999999E-2</v>
      </c>
      <c r="K3817" s="160" t="s">
        <v>24</v>
      </c>
      <c r="L3817" s="154" t="str">
        <f>IF(OpenLCAbasic!K3817="CTUh", "Fill in Manually",IF(OR(K3817="Unit", K3817=""), "", INDEX(LookUps!$E$5:$E$12, MATCH(OpenLCAbasic!K3817,LookUps!$D$5:$D$12,0))))</f>
        <v>Acidification Potential (AP) - kg SO2 eq</v>
      </c>
      <c r="M3817" s="154" t="str">
        <f t="shared" si="187"/>
        <v>Base_Base_Legacy_Acidification Potential (AP) - kg SO2 eq_Aerobic Digester; wastewater treatment unit - US_Landfill National_n.a.</v>
      </c>
    </row>
    <row r="3818" spans="1:13" s="120" customFormat="1" x14ac:dyDescent="0.25">
      <c r="A3818" s="119"/>
      <c r="B3818" s="138" t="str">
        <f t="shared" si="185"/>
        <v>n.a.</v>
      </c>
      <c r="C3818" s="138" t="str">
        <f t="shared" si="188"/>
        <v>Landfill National</v>
      </c>
      <c r="D3818" s="138" t="str">
        <f t="shared" si="189"/>
        <v>Base</v>
      </c>
      <c r="E3818" s="138" t="str">
        <f t="shared" si="189"/>
        <v>Base</v>
      </c>
      <c r="F3818" s="138" t="str">
        <f t="shared" si="190"/>
        <v>Legacy</v>
      </c>
      <c r="G3818" s="153"/>
      <c r="H3818" s="210">
        <v>0.4078</v>
      </c>
      <c r="I3818" s="208" t="s">
        <v>124</v>
      </c>
      <c r="J3818" s="160">
        <v>1.312E-2</v>
      </c>
      <c r="K3818" s="160" t="s">
        <v>24</v>
      </c>
      <c r="L3818" s="154" t="str">
        <f>IF(OpenLCAbasic!K3818="CTUh", "Fill in Manually",IF(OR(K3818="Unit", K3818=""), "", INDEX(LookUps!$E$5:$E$12, MATCH(OpenLCAbasic!K3818,LookUps!$D$5:$D$12,0))))</f>
        <v>Acidification Potential (AP) - kg SO2 eq</v>
      </c>
      <c r="M3818" s="154" t="str">
        <f t="shared" si="187"/>
        <v>Base_Base_Legacy_Acidification Potential (AP) - kg SO2 eq_Aeration Tanks; wastewater treatment unit - US_Landfill National_n.a.</v>
      </c>
    </row>
    <row r="3819" spans="1:13" s="120" customFormat="1" x14ac:dyDescent="0.25">
      <c r="A3819" s="119"/>
      <c r="B3819" s="138" t="str">
        <f t="shared" si="185"/>
        <v>n.a.</v>
      </c>
      <c r="C3819" s="138" t="str">
        <f t="shared" si="188"/>
        <v>Landfill National</v>
      </c>
      <c r="D3819" s="138" t="str">
        <f t="shared" si="189"/>
        <v>Base</v>
      </c>
      <c r="E3819" s="138" t="str">
        <f t="shared" si="189"/>
        <v>Base</v>
      </c>
      <c r="F3819" s="138" t="str">
        <f t="shared" si="190"/>
        <v>Legacy</v>
      </c>
      <c r="G3819" s="153"/>
      <c r="H3819" s="210">
        <v>0.14480000000000001</v>
      </c>
      <c r="I3819" s="208" t="s">
        <v>126</v>
      </c>
      <c r="J3819" s="160">
        <v>4.6600000000000001E-3</v>
      </c>
      <c r="K3819" s="160" t="s">
        <v>24</v>
      </c>
      <c r="L3819" s="154" t="str">
        <f>IF(OpenLCAbasic!K3819="CTUh", "Fill in Manually",IF(OR(K3819="Unit", K3819=""), "", INDEX(LookUps!$E$5:$E$12, MATCH(OpenLCAbasic!K3819,LookUps!$D$5:$D$12,0))))</f>
        <v>Acidification Potential (AP) - kg SO2 eq</v>
      </c>
      <c r="M3819" s="154" t="str">
        <f t="shared" si="187"/>
        <v>Base_Base_Legacy_Acidification Potential (AP) - kg SO2 eq_Primary Clarifier; wastewater treatment unit - US_Landfill National_n.a.</v>
      </c>
    </row>
    <row r="3820" spans="1:13" s="120" customFormat="1" x14ac:dyDescent="0.25">
      <c r="A3820" s="119"/>
      <c r="B3820" s="138" t="str">
        <f t="shared" si="185"/>
        <v>n.a.</v>
      </c>
      <c r="C3820" s="138" t="str">
        <f t="shared" si="188"/>
        <v>Landfill National</v>
      </c>
      <c r="D3820" s="138" t="str">
        <f t="shared" si="189"/>
        <v>Base</v>
      </c>
      <c r="E3820" s="138" t="str">
        <f t="shared" si="189"/>
        <v>Base</v>
      </c>
      <c r="F3820" s="138" t="str">
        <f t="shared" si="190"/>
        <v>Legacy</v>
      </c>
      <c r="G3820" s="153"/>
      <c r="H3820" s="210">
        <v>3.8300000000000001E-2</v>
      </c>
      <c r="I3820" s="208" t="s">
        <v>128</v>
      </c>
      <c r="J3820" s="160">
        <v>1.23E-3</v>
      </c>
      <c r="K3820" s="160" t="s">
        <v>24</v>
      </c>
      <c r="L3820" s="154" t="str">
        <f>IF(OpenLCAbasic!K3820="CTUh", "Fill in Manually",IF(OR(K3820="Unit", K3820=""), "", INDEX(LookUps!$E$5:$E$12, MATCH(OpenLCAbasic!K3820,LookUps!$D$5:$D$12,0))))</f>
        <v>Acidification Potential (AP) - kg SO2 eq</v>
      </c>
      <c r="M3820" s="154" t="str">
        <f t="shared" si="187"/>
        <v>Base_Base_Legacy_Acidification Potential (AP) - kg SO2 eq_Wastewater collection; operation and infrastructure; m3 wastewater_Landfill National_n.a.</v>
      </c>
    </row>
    <row r="3821" spans="1:13" s="120" customFormat="1" x14ac:dyDescent="0.25">
      <c r="A3821" s="119"/>
      <c r="B3821" s="138" t="str">
        <f t="shared" si="185"/>
        <v>n.a.</v>
      </c>
      <c r="C3821" s="138" t="str">
        <f t="shared" si="188"/>
        <v>Landfill National</v>
      </c>
      <c r="D3821" s="138" t="str">
        <f t="shared" si="189"/>
        <v>Base</v>
      </c>
      <c r="E3821" s="138" t="str">
        <f t="shared" si="189"/>
        <v>Base</v>
      </c>
      <c r="F3821" s="138" t="str">
        <f t="shared" si="190"/>
        <v>Legacy</v>
      </c>
      <c r="G3821" s="153"/>
      <c r="H3821" s="210">
        <v>2.24E-2</v>
      </c>
      <c r="I3821" s="208" t="s">
        <v>150</v>
      </c>
      <c r="J3821" s="160">
        <v>7.2000000000000005E-4</v>
      </c>
      <c r="K3821" s="160" t="s">
        <v>24</v>
      </c>
      <c r="L3821" s="154" t="str">
        <f>IF(OpenLCAbasic!K3821="CTUh", "Fill in Manually",IF(OR(K3821="Unit", K3821=""), "", INDEX(LookUps!$E$5:$E$12, MATCH(OpenLCAbasic!K3821,LookUps!$D$5:$D$12,0))))</f>
        <v>Acidification Potential (AP) - kg SO2 eq</v>
      </c>
      <c r="M3821" s="154" t="str">
        <f t="shared" si="187"/>
        <v>Base_Base_Legacy_Acidification Potential (AP) - kg SO2 eq_Screening and Grit Removal - US_Landfill National_n.a.</v>
      </c>
    </row>
    <row r="3822" spans="1:13" s="120" customFormat="1" x14ac:dyDescent="0.25">
      <c r="A3822" s="119"/>
      <c r="B3822" s="138" t="str">
        <f t="shared" si="185"/>
        <v>n.a.</v>
      </c>
      <c r="C3822" s="138" t="str">
        <f t="shared" si="188"/>
        <v>Landfill National</v>
      </c>
      <c r="D3822" s="138" t="str">
        <f t="shared" si="189"/>
        <v>Base</v>
      </c>
      <c r="E3822" s="138" t="str">
        <f t="shared" si="189"/>
        <v>Base</v>
      </c>
      <c r="F3822" s="138" t="str">
        <f t="shared" si="190"/>
        <v>Legacy</v>
      </c>
      <c r="G3822" s="153"/>
      <c r="H3822" s="210">
        <v>1.9800000000000002E-2</v>
      </c>
      <c r="I3822" s="208" t="s">
        <v>123</v>
      </c>
      <c r="J3822" s="160">
        <v>6.4000000000000005E-4</v>
      </c>
      <c r="K3822" s="160" t="s">
        <v>24</v>
      </c>
      <c r="L3822" s="154" t="str">
        <f>IF(OpenLCAbasic!K3822="CTUh", "Fill in Manually",IF(OR(K3822="Unit", K3822=""), "", INDEX(LookUps!$E$5:$E$12, MATCH(OpenLCAbasic!K3822,LookUps!$D$5:$D$12,0))))</f>
        <v>Acidification Potential (AP) - kg SO2 eq</v>
      </c>
      <c r="M3822" s="154" t="str">
        <f t="shared" si="187"/>
        <v>Base_Base_Legacy_Acidification Potential (AP) - kg SO2 eq_Belt filter press; wastewater treatment unit - US_Landfill National_n.a.</v>
      </c>
    </row>
    <row r="3823" spans="1:13" s="120" customFormat="1" x14ac:dyDescent="0.25">
      <c r="A3823" s="119"/>
      <c r="B3823" s="138" t="str">
        <f t="shared" si="185"/>
        <v>n.a.</v>
      </c>
      <c r="C3823" s="138" t="str">
        <f t="shared" si="188"/>
        <v>Landfill National</v>
      </c>
      <c r="D3823" s="138" t="str">
        <f t="shared" si="189"/>
        <v>Base</v>
      </c>
      <c r="E3823" s="138" t="str">
        <f t="shared" si="189"/>
        <v>Base</v>
      </c>
      <c r="F3823" s="138" t="str">
        <f t="shared" si="190"/>
        <v>Legacy</v>
      </c>
      <c r="G3823" s="153"/>
      <c r="H3823" s="210">
        <v>4.1999999999999997E-3</v>
      </c>
      <c r="I3823" s="208" t="s">
        <v>56</v>
      </c>
      <c r="J3823" s="211">
        <v>1.2999999999999999E-4</v>
      </c>
      <c r="K3823" s="160" t="s">
        <v>24</v>
      </c>
      <c r="L3823" s="154" t="str">
        <f>IF(OpenLCAbasic!K3823="CTUh", "Fill in Manually",IF(OR(K3823="Unit", K3823=""), "", INDEX(LookUps!$E$5:$E$12, MATCH(OpenLCAbasic!K3823,LookUps!$D$5:$D$12,0))))</f>
        <v>Acidification Potential (AP) - kg SO2 eq</v>
      </c>
      <c r="M3823" s="154" t="str">
        <f t="shared" si="187"/>
        <v>Base_Base_Legacy_Acidification Potential (AP) - kg SO2 eq_Control Building; at wastewater treatment plant - US_Landfill National_n.a.</v>
      </c>
    </row>
    <row r="3824" spans="1:13" s="120" customFormat="1" x14ac:dyDescent="0.25">
      <c r="A3824" s="119"/>
      <c r="B3824" s="138" t="str">
        <f t="shared" si="185"/>
        <v>n.a.</v>
      </c>
      <c r="C3824" s="138" t="str">
        <f t="shared" si="188"/>
        <v>Landfill National</v>
      </c>
      <c r="D3824" s="138" t="str">
        <f t="shared" si="189"/>
        <v>Base</v>
      </c>
      <c r="E3824" s="138" t="str">
        <f t="shared" si="189"/>
        <v>Base</v>
      </c>
      <c r="F3824" s="138" t="str">
        <f t="shared" si="190"/>
        <v>Legacy</v>
      </c>
      <c r="G3824" s="153"/>
      <c r="H3824" s="210">
        <v>2.5999999999999999E-3</v>
      </c>
      <c r="I3824" s="208" t="s">
        <v>127</v>
      </c>
      <c r="J3824" s="211">
        <v>8.2876900000000006E-5</v>
      </c>
      <c r="K3824" s="160" t="s">
        <v>24</v>
      </c>
      <c r="L3824" s="154" t="str">
        <f>IF(OpenLCAbasic!K3824="CTUh", "Fill in Manually",IF(OR(K3824="Unit", K3824=""), "", INDEX(LookUps!$E$5:$E$12, MATCH(OpenLCAbasic!K3824,LookUps!$D$5:$D$12,0))))</f>
        <v>Acidification Potential (AP) - kg SO2 eq</v>
      </c>
      <c r="M3824" s="154" t="str">
        <f t="shared" si="187"/>
        <v>Base_Base_Legacy_Acidification Potential (AP) - kg SO2 eq_Sludge Thickener; wastewater treatment unit - US_Landfill National_n.a.</v>
      </c>
    </row>
    <row r="3825" spans="1:13" s="120" customFormat="1" x14ac:dyDescent="0.25">
      <c r="A3825" s="119"/>
      <c r="B3825" s="138" t="str">
        <f t="shared" si="185"/>
        <v>n.a.</v>
      </c>
      <c r="C3825" s="138" t="str">
        <f t="shared" si="188"/>
        <v>Landfill National</v>
      </c>
      <c r="D3825" s="138" t="str">
        <f t="shared" si="189"/>
        <v>Base</v>
      </c>
      <c r="E3825" s="138" t="str">
        <f t="shared" si="189"/>
        <v>Base</v>
      </c>
      <c r="F3825" s="138" t="str">
        <f t="shared" si="190"/>
        <v>Legacy</v>
      </c>
      <c r="G3825" s="153"/>
      <c r="H3825" s="210">
        <v>1E-4</v>
      </c>
      <c r="I3825" s="208" t="s">
        <v>48</v>
      </c>
      <c r="J3825" s="211">
        <v>3.9818900000000001E-6</v>
      </c>
      <c r="K3825" s="160" t="s">
        <v>24</v>
      </c>
      <c r="L3825" s="154" t="str">
        <f>IF(OpenLCAbasic!K3825="CTUh", "Fill in Manually",IF(OR(K3825="Unit", K3825=""), "", INDEX(LookUps!$E$5:$E$12, MATCH(OpenLCAbasic!K3825,LookUps!$D$5:$D$12,0))))</f>
        <v>Acidification Potential (AP) - kg SO2 eq</v>
      </c>
      <c r="M3825" s="154" t="str">
        <f t="shared" si="187"/>
        <v>Base_Base_Legacy_Acidification Potential (AP) - kg SO2 eq_Effluent release; wastewater treatment unit; at surface water; m3 wastewater - US_Landfill National_n.a.</v>
      </c>
    </row>
    <row r="3826" spans="1:13" s="120" customFormat="1" x14ac:dyDescent="0.25">
      <c r="A3826" s="119"/>
      <c r="B3826" s="138" t="str">
        <f t="shared" si="185"/>
        <v>n.a.</v>
      </c>
      <c r="C3826" s="138" t="str">
        <f t="shared" si="188"/>
        <v>Landfill National</v>
      </c>
      <c r="D3826" s="138" t="str">
        <f t="shared" si="189"/>
        <v>Base</v>
      </c>
      <c r="E3826" s="138" t="str">
        <f t="shared" si="189"/>
        <v>Base</v>
      </c>
      <c r="F3826" s="138" t="str">
        <f t="shared" si="190"/>
        <v>Legacy</v>
      </c>
      <c r="G3826" s="153"/>
      <c r="H3826" s="210">
        <v>-5.7500000000000002E-2</v>
      </c>
      <c r="I3826" s="208" t="s">
        <v>151</v>
      </c>
      <c r="J3826" s="160">
        <v>-1.8500000000000001E-3</v>
      </c>
      <c r="K3826" s="160" t="s">
        <v>24</v>
      </c>
      <c r="L3826" s="154" t="str">
        <f>IF(OpenLCAbasic!K3826="CTUh", "Fill in Manually",IF(OR(K3826="Unit", K3826=""), "", INDEX(LookUps!$E$5:$E$12, MATCH(OpenLCAbasic!K3826,LookUps!$D$5:$D$12,0))))</f>
        <v>Acidification Potential (AP) - kg SO2 eq</v>
      </c>
      <c r="M3826" s="154" t="str">
        <f t="shared" si="187"/>
        <v>Base_Base_Legacy_Acidification Potential (AP) - kg SO2 eq_Sludge Disposal; wastewater treatment unit - US_Landfill National_n.a.</v>
      </c>
    </row>
    <row r="3827" spans="1:13" s="120" customFormat="1" x14ac:dyDescent="0.25">
      <c r="A3827" s="119"/>
      <c r="B3827" s="138" t="str">
        <f t="shared" si="185"/>
        <v/>
      </c>
      <c r="C3827" s="138" t="str">
        <f t="shared" si="188"/>
        <v/>
      </c>
      <c r="D3827" s="138" t="str">
        <f t="shared" si="189"/>
        <v/>
      </c>
      <c r="E3827" s="138" t="str">
        <f t="shared" si="189"/>
        <v/>
      </c>
      <c r="F3827" s="138" t="str">
        <f t="shared" si="190"/>
        <v/>
      </c>
      <c r="G3827" s="153" t="s">
        <v>51</v>
      </c>
      <c r="H3827" s="160"/>
      <c r="I3827" s="208" t="s">
        <v>47</v>
      </c>
      <c r="J3827" s="160" t="s">
        <v>52</v>
      </c>
      <c r="K3827" s="160" t="s">
        <v>27</v>
      </c>
      <c r="L3827" s="154" t="str">
        <f>IF(OpenLCAbasic!K3827="CTUh", "Fill in Manually",IF(OR(K3827="Unit", K3827=""), "", INDEX(LookUps!$E$5:$E$12, MATCH(OpenLCAbasic!K3827,LookUps!$D$5:$D$12,0))))</f>
        <v/>
      </c>
      <c r="M3827" s="154" t="str">
        <f t="shared" si="187"/>
        <v>____Process__</v>
      </c>
    </row>
    <row r="3828" spans="1:13" s="120" customFormat="1" x14ac:dyDescent="0.25">
      <c r="A3828" s="119"/>
      <c r="B3828" s="138" t="str">
        <f t="shared" si="185"/>
        <v>n.a.</v>
      </c>
      <c r="C3828" s="138" t="str">
        <f t="shared" si="188"/>
        <v>Landfill National</v>
      </c>
      <c r="D3828" s="138" t="str">
        <f t="shared" si="189"/>
        <v>Base</v>
      </c>
      <c r="E3828" s="138" t="str">
        <f t="shared" si="189"/>
        <v>Base</v>
      </c>
      <c r="F3828" s="138" t="str">
        <f t="shared" si="190"/>
        <v>Legacy</v>
      </c>
      <c r="G3828" s="153"/>
      <c r="H3828" s="210">
        <v>0.29089999999999999</v>
      </c>
      <c r="I3828" s="208" t="s">
        <v>125</v>
      </c>
      <c r="J3828" s="160">
        <v>2.7189700000000001</v>
      </c>
      <c r="K3828" s="160" t="s">
        <v>15</v>
      </c>
      <c r="L3828" s="154" t="str">
        <f>IF(OpenLCAbasic!K3828="CTUh", "Fill in Manually",IF(OR(K3828="Unit", K3828=""), "", INDEX(LookUps!$E$5:$E$12, MATCH(OpenLCAbasic!K3828,LookUps!$D$5:$D$12,0))))</f>
        <v>Cumulative Energy Demand (CED) - MJ</v>
      </c>
      <c r="M3828" s="154" t="str">
        <f t="shared" si="187"/>
        <v>Base_Base_Legacy_Cumulative Energy Demand (CED) - MJ_Aerobic Digester; wastewater treatment unit - US_Landfill National_n.a.</v>
      </c>
    </row>
    <row r="3829" spans="1:13" s="120" customFormat="1" x14ac:dyDescent="0.25">
      <c r="A3829" s="119"/>
      <c r="B3829" s="138" t="str">
        <f t="shared" si="185"/>
        <v>n.a.</v>
      </c>
      <c r="C3829" s="138" t="str">
        <f t="shared" si="188"/>
        <v>Landfill National</v>
      </c>
      <c r="D3829" s="138" t="str">
        <f t="shared" si="189"/>
        <v>Base</v>
      </c>
      <c r="E3829" s="138" t="str">
        <f t="shared" si="189"/>
        <v>Base</v>
      </c>
      <c r="F3829" s="138" t="str">
        <f t="shared" si="190"/>
        <v>Legacy</v>
      </c>
      <c r="G3829" s="153"/>
      <c r="H3829" s="210">
        <v>0.29020000000000001</v>
      </c>
      <c r="I3829" s="208" t="s">
        <v>124</v>
      </c>
      <c r="J3829" s="160">
        <v>2.7128199999999998</v>
      </c>
      <c r="K3829" s="160" t="s">
        <v>15</v>
      </c>
      <c r="L3829" s="154" t="str">
        <f>IF(OpenLCAbasic!K3829="CTUh", "Fill in Manually",IF(OR(K3829="Unit", K3829=""), "", INDEX(LookUps!$E$5:$E$12, MATCH(OpenLCAbasic!K3829,LookUps!$D$5:$D$12,0))))</f>
        <v>Cumulative Energy Demand (CED) - MJ</v>
      </c>
      <c r="M3829" s="154" t="str">
        <f t="shared" si="187"/>
        <v>Base_Base_Legacy_Cumulative Energy Demand (CED) - MJ_Aeration Tanks; wastewater treatment unit - US_Landfill National_n.a.</v>
      </c>
    </row>
    <row r="3830" spans="1:13" s="120" customFormat="1" x14ac:dyDescent="0.25">
      <c r="A3830" s="119"/>
      <c r="B3830" s="138" t="str">
        <f t="shared" si="185"/>
        <v>n.a.</v>
      </c>
      <c r="C3830" s="138" t="str">
        <f t="shared" si="188"/>
        <v>Landfill National</v>
      </c>
      <c r="D3830" s="138" t="str">
        <f t="shared" si="189"/>
        <v>Base</v>
      </c>
      <c r="E3830" s="138" t="str">
        <f t="shared" si="189"/>
        <v>Base</v>
      </c>
      <c r="F3830" s="138" t="str">
        <f t="shared" si="190"/>
        <v>Legacy</v>
      </c>
      <c r="G3830" s="153"/>
      <c r="H3830" s="210">
        <v>0.18959999999999999</v>
      </c>
      <c r="I3830" s="208" t="s">
        <v>126</v>
      </c>
      <c r="J3830" s="160">
        <v>1.7720800000000001</v>
      </c>
      <c r="K3830" s="160" t="s">
        <v>15</v>
      </c>
      <c r="L3830" s="154" t="str">
        <f>IF(OpenLCAbasic!K3830="CTUh", "Fill in Manually",IF(OR(K3830="Unit", K3830=""), "", INDEX(LookUps!$E$5:$E$12, MATCH(OpenLCAbasic!K3830,LookUps!$D$5:$D$12,0))))</f>
        <v>Cumulative Energy Demand (CED) - MJ</v>
      </c>
      <c r="M3830" s="154" t="str">
        <f t="shared" si="187"/>
        <v>Base_Base_Legacy_Cumulative Energy Demand (CED) - MJ_Primary Clarifier; wastewater treatment unit - US_Landfill National_n.a.</v>
      </c>
    </row>
    <row r="3831" spans="1:13" s="120" customFormat="1" x14ac:dyDescent="0.25">
      <c r="A3831" s="119"/>
      <c r="B3831" s="138" t="str">
        <f t="shared" si="185"/>
        <v>n.a.</v>
      </c>
      <c r="C3831" s="138" t="str">
        <f t="shared" si="188"/>
        <v>Landfill National</v>
      </c>
      <c r="D3831" s="138" t="str">
        <f t="shared" si="189"/>
        <v>Base</v>
      </c>
      <c r="E3831" s="138" t="str">
        <f t="shared" si="189"/>
        <v>Base</v>
      </c>
      <c r="F3831" s="138" t="str">
        <f t="shared" si="190"/>
        <v>Legacy</v>
      </c>
      <c r="G3831" s="153"/>
      <c r="H3831" s="210">
        <v>9.9299999999999999E-2</v>
      </c>
      <c r="I3831" s="208" t="s">
        <v>56</v>
      </c>
      <c r="J3831" s="160">
        <v>0.92825000000000002</v>
      </c>
      <c r="K3831" s="160" t="s">
        <v>15</v>
      </c>
      <c r="L3831" s="154" t="str">
        <f>IF(OpenLCAbasic!K3831="CTUh", "Fill in Manually",IF(OR(K3831="Unit", K3831=""), "", INDEX(LookUps!$E$5:$E$12, MATCH(OpenLCAbasic!K3831,LookUps!$D$5:$D$12,0))))</f>
        <v>Cumulative Energy Demand (CED) - MJ</v>
      </c>
      <c r="M3831" s="154" t="str">
        <f t="shared" si="187"/>
        <v>Base_Base_Legacy_Cumulative Energy Demand (CED) - MJ_Control Building; at wastewater treatment plant - US_Landfill National_n.a.</v>
      </c>
    </row>
    <row r="3832" spans="1:13" s="120" customFormat="1" x14ac:dyDescent="0.25">
      <c r="A3832" s="119"/>
      <c r="B3832" s="138" t="str">
        <f t="shared" si="185"/>
        <v>n.a.</v>
      </c>
      <c r="C3832" s="138" t="str">
        <f t="shared" si="188"/>
        <v>Landfill National</v>
      </c>
      <c r="D3832" s="138" t="str">
        <f t="shared" si="189"/>
        <v>Base</v>
      </c>
      <c r="E3832" s="138" t="str">
        <f t="shared" si="189"/>
        <v>Base</v>
      </c>
      <c r="F3832" s="138" t="str">
        <f t="shared" si="190"/>
        <v>Legacy</v>
      </c>
      <c r="G3832" s="153"/>
      <c r="H3832" s="210">
        <v>6.6400000000000001E-2</v>
      </c>
      <c r="I3832" s="208" t="s">
        <v>151</v>
      </c>
      <c r="J3832" s="160">
        <v>0.62107000000000001</v>
      </c>
      <c r="K3832" s="160" t="s">
        <v>15</v>
      </c>
      <c r="L3832" s="154" t="str">
        <f>IF(OpenLCAbasic!K3832="CTUh", "Fill in Manually",IF(OR(K3832="Unit", K3832=""), "", INDEX(LookUps!$E$5:$E$12, MATCH(OpenLCAbasic!K3832,LookUps!$D$5:$D$12,0))))</f>
        <v>Cumulative Energy Demand (CED) - MJ</v>
      </c>
      <c r="M3832" s="154" t="str">
        <f t="shared" si="187"/>
        <v>Base_Base_Legacy_Cumulative Energy Demand (CED) - MJ_Sludge Disposal; wastewater treatment unit - US_Landfill National_n.a.</v>
      </c>
    </row>
    <row r="3833" spans="1:13" s="120" customFormat="1" x14ac:dyDescent="0.25">
      <c r="A3833" s="119"/>
      <c r="B3833" s="138" t="str">
        <f t="shared" si="185"/>
        <v>n.a.</v>
      </c>
      <c r="C3833" s="138" t="str">
        <f t="shared" si="188"/>
        <v>Landfill National</v>
      </c>
      <c r="D3833" s="138" t="str">
        <f t="shared" si="189"/>
        <v>Base</v>
      </c>
      <c r="E3833" s="138" t="str">
        <f t="shared" si="189"/>
        <v>Base</v>
      </c>
      <c r="F3833" s="138" t="str">
        <f t="shared" si="190"/>
        <v>Legacy</v>
      </c>
      <c r="G3833" s="153"/>
      <c r="H3833" s="210">
        <v>2.7400000000000001E-2</v>
      </c>
      <c r="I3833" s="208" t="s">
        <v>128</v>
      </c>
      <c r="J3833" s="160">
        <v>0.25606000000000001</v>
      </c>
      <c r="K3833" s="160" t="s">
        <v>15</v>
      </c>
      <c r="L3833" s="154" t="str">
        <f>IF(OpenLCAbasic!K3833="CTUh", "Fill in Manually",IF(OR(K3833="Unit", K3833=""), "", INDEX(LookUps!$E$5:$E$12, MATCH(OpenLCAbasic!K3833,LookUps!$D$5:$D$12,0))))</f>
        <v>Cumulative Energy Demand (CED) - MJ</v>
      </c>
      <c r="M3833" s="154" t="str">
        <f t="shared" si="187"/>
        <v>Base_Base_Legacy_Cumulative Energy Demand (CED) - MJ_Wastewater collection; operation and infrastructure; m3 wastewater_Landfill National_n.a.</v>
      </c>
    </row>
    <row r="3834" spans="1:13" s="120" customFormat="1" x14ac:dyDescent="0.25">
      <c r="A3834" s="119"/>
      <c r="B3834" s="138" t="str">
        <f t="shared" si="185"/>
        <v>n.a.</v>
      </c>
      <c r="C3834" s="138" t="str">
        <f t="shared" si="188"/>
        <v>Landfill National</v>
      </c>
      <c r="D3834" s="138" t="str">
        <f t="shared" si="189"/>
        <v>Base</v>
      </c>
      <c r="E3834" s="138" t="str">
        <f t="shared" si="189"/>
        <v>Base</v>
      </c>
      <c r="F3834" s="138" t="str">
        <f t="shared" si="190"/>
        <v>Legacy</v>
      </c>
      <c r="G3834" s="153"/>
      <c r="H3834" s="210">
        <v>1.7299999999999999E-2</v>
      </c>
      <c r="I3834" s="208" t="s">
        <v>123</v>
      </c>
      <c r="J3834" s="160">
        <v>0.16199</v>
      </c>
      <c r="K3834" s="160" t="s">
        <v>15</v>
      </c>
      <c r="L3834" s="154" t="str">
        <f>IF(OpenLCAbasic!K3834="CTUh", "Fill in Manually",IF(OR(K3834="Unit", K3834=""), "", INDEX(LookUps!$E$5:$E$12, MATCH(OpenLCAbasic!K3834,LookUps!$D$5:$D$12,0))))</f>
        <v>Cumulative Energy Demand (CED) - MJ</v>
      </c>
      <c r="M3834" s="154" t="str">
        <f t="shared" si="187"/>
        <v>Base_Base_Legacy_Cumulative Energy Demand (CED) - MJ_Belt filter press; wastewater treatment unit - US_Landfill National_n.a.</v>
      </c>
    </row>
    <row r="3835" spans="1:13" s="120" customFormat="1" x14ac:dyDescent="0.25">
      <c r="A3835" s="119"/>
      <c r="B3835" s="138" t="str">
        <f t="shared" si="185"/>
        <v>n.a.</v>
      </c>
      <c r="C3835" s="138" t="str">
        <f t="shared" si="188"/>
        <v>Landfill National</v>
      </c>
      <c r="D3835" s="138" t="str">
        <f t="shared" si="189"/>
        <v>Base</v>
      </c>
      <c r="E3835" s="138" t="str">
        <f t="shared" si="189"/>
        <v>Base</v>
      </c>
      <c r="F3835" s="138" t="str">
        <f t="shared" si="190"/>
        <v>Legacy</v>
      </c>
      <c r="G3835" s="153"/>
      <c r="H3835" s="210">
        <v>1.6299999999999999E-2</v>
      </c>
      <c r="I3835" s="208" t="s">
        <v>150</v>
      </c>
      <c r="J3835" s="160">
        <v>0.1525</v>
      </c>
      <c r="K3835" s="160" t="s">
        <v>15</v>
      </c>
      <c r="L3835" s="154" t="str">
        <f>IF(OpenLCAbasic!K3835="CTUh", "Fill in Manually",IF(OR(K3835="Unit", K3835=""), "", INDEX(LookUps!$E$5:$E$12, MATCH(OpenLCAbasic!K3835,LookUps!$D$5:$D$12,0))))</f>
        <v>Cumulative Energy Demand (CED) - MJ</v>
      </c>
      <c r="M3835" s="154" t="str">
        <f t="shared" si="187"/>
        <v>Base_Base_Legacy_Cumulative Energy Demand (CED) - MJ_Screening and Grit Removal - US_Landfill National_n.a.</v>
      </c>
    </row>
    <row r="3836" spans="1:13" s="120" customFormat="1" x14ac:dyDescent="0.25">
      <c r="A3836" s="119"/>
      <c r="B3836" s="138" t="str">
        <f t="shared" si="185"/>
        <v>n.a.</v>
      </c>
      <c r="C3836" s="138" t="str">
        <f t="shared" si="188"/>
        <v>Landfill National</v>
      </c>
      <c r="D3836" s="138" t="str">
        <f t="shared" si="189"/>
        <v>Base</v>
      </c>
      <c r="E3836" s="138" t="str">
        <f t="shared" si="189"/>
        <v>Base</v>
      </c>
      <c r="F3836" s="138" t="str">
        <f t="shared" si="190"/>
        <v>Legacy</v>
      </c>
      <c r="G3836" s="153"/>
      <c r="H3836" s="210">
        <v>2.0999999999999999E-3</v>
      </c>
      <c r="I3836" s="208" t="s">
        <v>127</v>
      </c>
      <c r="J3836" s="160">
        <v>1.9869999999999999E-2</v>
      </c>
      <c r="K3836" s="160" t="s">
        <v>15</v>
      </c>
      <c r="L3836" s="154" t="str">
        <f>IF(OpenLCAbasic!K3836="CTUh", "Fill in Manually",IF(OR(K3836="Unit", K3836=""), "", INDEX(LookUps!$E$5:$E$12, MATCH(OpenLCAbasic!K3836,LookUps!$D$5:$D$12,0))))</f>
        <v>Cumulative Energy Demand (CED) - MJ</v>
      </c>
      <c r="M3836" s="154" t="str">
        <f t="shared" si="187"/>
        <v>Base_Base_Legacy_Cumulative Energy Demand (CED) - MJ_Sludge Thickener; wastewater treatment unit - US_Landfill National_n.a.</v>
      </c>
    </row>
    <row r="3837" spans="1:13" s="120" customFormat="1" x14ac:dyDescent="0.25">
      <c r="A3837" s="119"/>
      <c r="B3837" s="138" t="str">
        <f t="shared" si="185"/>
        <v>n.a.</v>
      </c>
      <c r="C3837" s="138" t="str">
        <f t="shared" si="188"/>
        <v>Landfill National</v>
      </c>
      <c r="D3837" s="138" t="str">
        <f t="shared" si="189"/>
        <v>Base</v>
      </c>
      <c r="E3837" s="138" t="str">
        <f t="shared" si="189"/>
        <v>Base</v>
      </c>
      <c r="F3837" s="138" t="str">
        <f t="shared" si="190"/>
        <v>Legacy</v>
      </c>
      <c r="G3837" s="153"/>
      <c r="H3837" s="210">
        <v>4.0000000000000002E-4</v>
      </c>
      <c r="I3837" s="208" t="s">
        <v>48</v>
      </c>
      <c r="J3837" s="160">
        <v>3.47E-3</v>
      </c>
      <c r="K3837" s="160" t="s">
        <v>15</v>
      </c>
      <c r="L3837" s="154" t="str">
        <f>IF(OpenLCAbasic!K3837="CTUh", "Fill in Manually",IF(OR(K3837="Unit", K3837=""), "", INDEX(LookUps!$E$5:$E$12, MATCH(OpenLCAbasic!K3837,LookUps!$D$5:$D$12,0))))</f>
        <v>Cumulative Energy Demand (CED) - MJ</v>
      </c>
      <c r="M3837" s="154" t="str">
        <f t="shared" si="187"/>
        <v>Base_Base_Legacy_Cumulative Energy Demand (CED) - MJ_Effluent release; wastewater treatment unit; at surface water; m3 wastewater - US_Landfill National_n.a.</v>
      </c>
    </row>
    <row r="3838" spans="1:13" s="120" customFormat="1" x14ac:dyDescent="0.25">
      <c r="A3838" s="119"/>
      <c r="B3838" s="138" t="str">
        <f t="shared" si="185"/>
        <v/>
      </c>
      <c r="C3838" s="138" t="str">
        <f t="shared" si="188"/>
        <v/>
      </c>
      <c r="D3838" s="138" t="str">
        <f t="shared" si="189"/>
        <v/>
      </c>
      <c r="E3838" s="138" t="str">
        <f t="shared" si="189"/>
        <v/>
      </c>
      <c r="F3838" s="138" t="str">
        <f t="shared" si="190"/>
        <v/>
      </c>
      <c r="G3838" s="153" t="s">
        <v>51</v>
      </c>
      <c r="H3838" s="160"/>
      <c r="I3838" s="208" t="s">
        <v>47</v>
      </c>
      <c r="J3838" s="160" t="s">
        <v>52</v>
      </c>
      <c r="K3838" s="160" t="s">
        <v>27</v>
      </c>
      <c r="L3838" s="154" t="str">
        <f>IF(OpenLCAbasic!K3838="CTUh", "Fill in Manually",IF(OR(K3838="Unit", K3838=""), "", INDEX(LookUps!$E$5:$E$12, MATCH(OpenLCAbasic!K3838,LookUps!$D$5:$D$12,0))))</f>
        <v/>
      </c>
      <c r="M3838" s="154" t="str">
        <f t="shared" si="187"/>
        <v>____Process__</v>
      </c>
    </row>
    <row r="3839" spans="1:13" s="120" customFormat="1" x14ac:dyDescent="0.25">
      <c r="A3839" s="119"/>
      <c r="B3839" s="138" t="str">
        <f t="shared" si="185"/>
        <v>n.a.</v>
      </c>
      <c r="C3839" s="138" t="str">
        <f t="shared" si="188"/>
        <v>Landfill National</v>
      </c>
      <c r="D3839" s="138" t="str">
        <f t="shared" si="189"/>
        <v>Base</v>
      </c>
      <c r="E3839" s="138" t="str">
        <f t="shared" si="189"/>
        <v>Base</v>
      </c>
      <c r="F3839" s="138" t="str">
        <f t="shared" si="190"/>
        <v>Legacy</v>
      </c>
      <c r="G3839" s="153"/>
      <c r="H3839" s="210">
        <v>0.94469999999999998</v>
      </c>
      <c r="I3839" s="208" t="s">
        <v>48</v>
      </c>
      <c r="J3839" s="160">
        <v>2.3099999999999999E-2</v>
      </c>
      <c r="K3839" s="160" t="s">
        <v>13</v>
      </c>
      <c r="L3839" s="154" t="str">
        <f>IF(OpenLCAbasic!K3839="CTUh", "Fill in Manually",IF(OR(K3839="Unit", K3839=""), "", INDEX(LookUps!$E$5:$E$12, MATCH(OpenLCAbasic!K3839,LookUps!$D$5:$D$12,0))))</f>
        <v>Eutrophication Potential (EP) - kg N eq</v>
      </c>
      <c r="M3839" s="154" t="str">
        <f t="shared" si="187"/>
        <v>Base_Base_Legacy_Eutrophication Potential (EP) - kg N eq_Effluent release; wastewater treatment unit; at surface water; m3 wastewater - US_Landfill National_n.a.</v>
      </c>
    </row>
    <row r="3840" spans="1:13" s="120" customFormat="1" x14ac:dyDescent="0.25">
      <c r="A3840" s="119"/>
      <c r="B3840" s="138" t="str">
        <f t="shared" si="185"/>
        <v>n.a.</v>
      </c>
      <c r="C3840" s="138" t="str">
        <f t="shared" si="188"/>
        <v>Landfill National</v>
      </c>
      <c r="D3840" s="138" t="str">
        <f t="shared" si="189"/>
        <v>Base</v>
      </c>
      <c r="E3840" s="138" t="str">
        <f t="shared" si="189"/>
        <v>Base</v>
      </c>
      <c r="F3840" s="138" t="str">
        <f t="shared" si="190"/>
        <v>Legacy</v>
      </c>
      <c r="G3840" s="153"/>
      <c r="H3840" s="210">
        <v>1.7500000000000002E-2</v>
      </c>
      <c r="I3840" s="208" t="s">
        <v>126</v>
      </c>
      <c r="J3840" s="160">
        <v>4.2999999999999999E-4</v>
      </c>
      <c r="K3840" s="160" t="s">
        <v>13</v>
      </c>
      <c r="L3840" s="154" t="str">
        <f>IF(OpenLCAbasic!K3840="CTUh", "Fill in Manually",IF(OR(K3840="Unit", K3840=""), "", INDEX(LookUps!$E$5:$E$12, MATCH(OpenLCAbasic!K3840,LookUps!$D$5:$D$12,0))))</f>
        <v>Eutrophication Potential (EP) - kg N eq</v>
      </c>
      <c r="M3840" s="154" t="str">
        <f t="shared" si="187"/>
        <v>Base_Base_Legacy_Eutrophication Potential (EP) - kg N eq_Primary Clarifier; wastewater treatment unit - US_Landfill National_n.a.</v>
      </c>
    </row>
    <row r="3841" spans="1:13" s="120" customFormat="1" x14ac:dyDescent="0.25">
      <c r="A3841" s="119"/>
      <c r="B3841" s="138" t="str">
        <f t="shared" si="185"/>
        <v>n.a.</v>
      </c>
      <c r="C3841" s="138" t="str">
        <f t="shared" si="188"/>
        <v>Landfill National</v>
      </c>
      <c r="D3841" s="138" t="str">
        <f t="shared" si="189"/>
        <v>Base</v>
      </c>
      <c r="E3841" s="138" t="str">
        <f t="shared" si="189"/>
        <v>Base</v>
      </c>
      <c r="F3841" s="138" t="str">
        <f t="shared" si="190"/>
        <v>Legacy</v>
      </c>
      <c r="G3841" s="153"/>
      <c r="H3841" s="210">
        <v>1.72E-2</v>
      </c>
      <c r="I3841" s="208" t="s">
        <v>124</v>
      </c>
      <c r="J3841" s="160">
        <v>4.2000000000000002E-4</v>
      </c>
      <c r="K3841" s="160" t="s">
        <v>13</v>
      </c>
      <c r="L3841" s="154" t="str">
        <f>IF(OpenLCAbasic!K3841="CTUh", "Fill in Manually",IF(OR(K3841="Unit", K3841=""), "", INDEX(LookUps!$E$5:$E$12, MATCH(OpenLCAbasic!K3841,LookUps!$D$5:$D$12,0))))</f>
        <v>Eutrophication Potential (EP) - kg N eq</v>
      </c>
      <c r="M3841" s="154" t="str">
        <f t="shared" si="187"/>
        <v>Base_Base_Legacy_Eutrophication Potential (EP) - kg N eq_Aeration Tanks; wastewater treatment unit - US_Landfill National_n.a.</v>
      </c>
    </row>
    <row r="3842" spans="1:13" s="120" customFormat="1" x14ac:dyDescent="0.25">
      <c r="A3842" s="119"/>
      <c r="B3842" s="138" t="str">
        <f t="shared" si="185"/>
        <v>n.a.</v>
      </c>
      <c r="C3842" s="138" t="str">
        <f t="shared" si="188"/>
        <v>Landfill National</v>
      </c>
      <c r="D3842" s="138" t="str">
        <f t="shared" si="189"/>
        <v>Base</v>
      </c>
      <c r="E3842" s="138" t="str">
        <f t="shared" si="189"/>
        <v>Base</v>
      </c>
      <c r="F3842" s="138" t="str">
        <f t="shared" si="190"/>
        <v>Legacy</v>
      </c>
      <c r="G3842" s="153"/>
      <c r="H3842" s="210">
        <v>1.7000000000000001E-2</v>
      </c>
      <c r="I3842" s="208" t="s">
        <v>125</v>
      </c>
      <c r="J3842" s="160">
        <v>4.2000000000000002E-4</v>
      </c>
      <c r="K3842" s="160" t="s">
        <v>13</v>
      </c>
      <c r="L3842" s="154" t="str">
        <f>IF(OpenLCAbasic!K3842="CTUh", "Fill in Manually",IF(OR(K3842="Unit", K3842=""), "", INDEX(LookUps!$E$5:$E$12, MATCH(OpenLCAbasic!K3842,LookUps!$D$5:$D$12,0))))</f>
        <v>Eutrophication Potential (EP) - kg N eq</v>
      </c>
      <c r="M3842" s="154" t="str">
        <f t="shared" si="187"/>
        <v>Base_Base_Legacy_Eutrophication Potential (EP) - kg N eq_Aerobic Digester; wastewater treatment unit - US_Landfill National_n.a.</v>
      </c>
    </row>
    <row r="3843" spans="1:13" s="120" customFormat="1" x14ac:dyDescent="0.25">
      <c r="A3843" s="119"/>
      <c r="B3843" s="138" t="str">
        <f t="shared" si="185"/>
        <v>n.a.</v>
      </c>
      <c r="C3843" s="138" t="str">
        <f t="shared" si="188"/>
        <v>Landfill National</v>
      </c>
      <c r="D3843" s="138" t="str">
        <f t="shared" si="189"/>
        <v>Base</v>
      </c>
      <c r="E3843" s="138" t="str">
        <f t="shared" si="189"/>
        <v>Base</v>
      </c>
      <c r="F3843" s="138" t="str">
        <f t="shared" si="190"/>
        <v>Legacy</v>
      </c>
      <c r="G3843" s="153"/>
      <c r="H3843" s="210">
        <v>1.5E-3</v>
      </c>
      <c r="I3843" s="208" t="s">
        <v>128</v>
      </c>
      <c r="J3843" s="211">
        <v>3.7559799999999999E-5</v>
      </c>
      <c r="K3843" s="160" t="s">
        <v>13</v>
      </c>
      <c r="L3843" s="154" t="str">
        <f>IF(OpenLCAbasic!K3843="CTUh", "Fill in Manually",IF(OR(K3843="Unit", K3843=""), "", INDEX(LookUps!$E$5:$E$12, MATCH(OpenLCAbasic!K3843,LookUps!$D$5:$D$12,0))))</f>
        <v>Eutrophication Potential (EP) - kg N eq</v>
      </c>
      <c r="M3843" s="154" t="str">
        <f t="shared" si="187"/>
        <v>Base_Base_Legacy_Eutrophication Potential (EP) - kg N eq_Wastewater collection; operation and infrastructure; m3 wastewater_Landfill National_n.a.</v>
      </c>
    </row>
    <row r="3844" spans="1:13" s="120" customFormat="1" x14ac:dyDescent="0.25">
      <c r="A3844" s="119"/>
      <c r="B3844" s="138" t="str">
        <f t="shared" si="185"/>
        <v>n.a.</v>
      </c>
      <c r="C3844" s="138" t="str">
        <f t="shared" si="188"/>
        <v>Landfill National</v>
      </c>
      <c r="D3844" s="138" t="str">
        <f t="shared" si="189"/>
        <v>Base</v>
      </c>
      <c r="E3844" s="138" t="str">
        <f t="shared" si="189"/>
        <v>Base</v>
      </c>
      <c r="F3844" s="138" t="str">
        <f t="shared" si="190"/>
        <v>Legacy</v>
      </c>
      <c r="G3844" s="153"/>
      <c r="H3844" s="210">
        <v>1.4E-3</v>
      </c>
      <c r="I3844" s="208" t="s">
        <v>56</v>
      </c>
      <c r="J3844" s="211">
        <v>3.3376800000000002E-5</v>
      </c>
      <c r="K3844" s="160" t="s">
        <v>13</v>
      </c>
      <c r="L3844" s="154" t="str">
        <f>IF(OpenLCAbasic!K3844="CTUh", "Fill in Manually",IF(OR(K3844="Unit", K3844=""), "", INDEX(LookUps!$E$5:$E$12, MATCH(OpenLCAbasic!K3844,LookUps!$D$5:$D$12,0))))</f>
        <v>Eutrophication Potential (EP) - kg N eq</v>
      </c>
      <c r="M3844" s="154" t="str">
        <f t="shared" si="187"/>
        <v>Base_Base_Legacy_Eutrophication Potential (EP) - kg N eq_Control Building; at wastewater treatment plant - US_Landfill National_n.a.</v>
      </c>
    </row>
    <row r="3845" spans="1:13" s="120" customFormat="1" x14ac:dyDescent="0.25">
      <c r="A3845" s="119"/>
      <c r="B3845" s="138" t="str">
        <f t="shared" si="185"/>
        <v>n.a.</v>
      </c>
      <c r="C3845" s="138" t="str">
        <f t="shared" si="188"/>
        <v>Landfill National</v>
      </c>
      <c r="D3845" s="138" t="str">
        <f t="shared" si="189"/>
        <v>Base</v>
      </c>
      <c r="E3845" s="138" t="str">
        <f t="shared" si="189"/>
        <v>Base</v>
      </c>
      <c r="F3845" s="138" t="str">
        <f t="shared" si="190"/>
        <v>Legacy</v>
      </c>
      <c r="G3845" s="153"/>
      <c r="H3845" s="210">
        <v>1.1000000000000001E-3</v>
      </c>
      <c r="I3845" s="208" t="s">
        <v>123</v>
      </c>
      <c r="J3845" s="211">
        <v>2.6429899999999999E-5</v>
      </c>
      <c r="K3845" s="160" t="s">
        <v>13</v>
      </c>
      <c r="L3845" s="154" t="str">
        <f>IF(OpenLCAbasic!K3845="CTUh", "Fill in Manually",IF(OR(K3845="Unit", K3845=""), "", INDEX(LookUps!$E$5:$E$12, MATCH(OpenLCAbasic!K3845,LookUps!$D$5:$D$12,0))))</f>
        <v>Eutrophication Potential (EP) - kg N eq</v>
      </c>
      <c r="M3845" s="154" t="str">
        <f t="shared" si="187"/>
        <v>Base_Base_Legacy_Eutrophication Potential (EP) - kg N eq_Belt filter press; wastewater treatment unit - US_Landfill National_n.a.</v>
      </c>
    </row>
    <row r="3846" spans="1:13" s="120" customFormat="1" x14ac:dyDescent="0.25">
      <c r="A3846" s="119"/>
      <c r="B3846" s="138" t="str">
        <f t="shared" ref="B3846:B3909" si="191">IF(F3846="Legacy","n.a.",IF(F3846="","","Windrow"))</f>
        <v>n.a.</v>
      </c>
      <c r="C3846" s="138" t="str">
        <f t="shared" si="188"/>
        <v>Landfill National</v>
      </c>
      <c r="D3846" s="138" t="str">
        <f t="shared" si="189"/>
        <v>Base</v>
      </c>
      <c r="E3846" s="138" t="str">
        <f t="shared" si="189"/>
        <v>Base</v>
      </c>
      <c r="F3846" s="138" t="str">
        <f t="shared" si="190"/>
        <v>Legacy</v>
      </c>
      <c r="G3846" s="153"/>
      <c r="H3846" s="210">
        <v>1E-3</v>
      </c>
      <c r="I3846" s="208" t="s">
        <v>150</v>
      </c>
      <c r="J3846" s="211">
        <v>2.4301600000000001E-5</v>
      </c>
      <c r="K3846" s="160" t="s">
        <v>13</v>
      </c>
      <c r="L3846" s="154" t="str">
        <f>IF(OpenLCAbasic!K3846="CTUh", "Fill in Manually",IF(OR(K3846="Unit", K3846=""), "", INDEX(LookUps!$E$5:$E$12, MATCH(OpenLCAbasic!K3846,LookUps!$D$5:$D$12,0))))</f>
        <v>Eutrophication Potential (EP) - kg N eq</v>
      </c>
      <c r="M3846" s="154" t="str">
        <f t="shared" si="187"/>
        <v>Base_Base_Legacy_Eutrophication Potential (EP) - kg N eq_Screening and Grit Removal - US_Landfill National_n.a.</v>
      </c>
    </row>
    <row r="3847" spans="1:13" s="120" customFormat="1" x14ac:dyDescent="0.25">
      <c r="A3847" s="119"/>
      <c r="B3847" s="138" t="str">
        <f t="shared" si="191"/>
        <v>n.a.</v>
      </c>
      <c r="C3847" s="138" t="str">
        <f t="shared" si="188"/>
        <v>Landfill National</v>
      </c>
      <c r="D3847" s="138" t="str">
        <f t="shared" si="189"/>
        <v>Base</v>
      </c>
      <c r="E3847" s="138" t="str">
        <f t="shared" si="189"/>
        <v>Base</v>
      </c>
      <c r="F3847" s="138" t="str">
        <f t="shared" si="190"/>
        <v>Legacy</v>
      </c>
      <c r="G3847" s="153"/>
      <c r="H3847" s="210">
        <v>1E-4</v>
      </c>
      <c r="I3847" s="208" t="s">
        <v>127</v>
      </c>
      <c r="J3847" s="211">
        <v>3.0418400000000001E-6</v>
      </c>
      <c r="K3847" s="160" t="s">
        <v>13</v>
      </c>
      <c r="L3847" s="154" t="str">
        <f>IF(OpenLCAbasic!K3847="CTUh", "Fill in Manually",IF(OR(K3847="Unit", K3847=""), "", INDEX(LookUps!$E$5:$E$12, MATCH(OpenLCAbasic!K3847,LookUps!$D$5:$D$12,0))))</f>
        <v>Eutrophication Potential (EP) - kg N eq</v>
      </c>
      <c r="M3847" s="154" t="str">
        <f t="shared" ref="M3847:M3910" si="192">CONCATENATE(E3847,"_",D3847,"_",F3847,"_",L3847, "_",I3847,"_", C3847,"_", B3847)</f>
        <v>Base_Base_Legacy_Eutrophication Potential (EP) - kg N eq_Sludge Thickener; wastewater treatment unit - US_Landfill National_n.a.</v>
      </c>
    </row>
    <row r="3848" spans="1:13" s="120" customFormat="1" x14ac:dyDescent="0.25">
      <c r="A3848" s="119"/>
      <c r="B3848" s="138" t="str">
        <f t="shared" si="191"/>
        <v>n.a.</v>
      </c>
      <c r="C3848" s="138" t="str">
        <f t="shared" si="188"/>
        <v>Landfill National</v>
      </c>
      <c r="D3848" s="138" t="str">
        <f t="shared" si="189"/>
        <v>Base</v>
      </c>
      <c r="E3848" s="138" t="str">
        <f t="shared" si="189"/>
        <v>Base</v>
      </c>
      <c r="F3848" s="138" t="str">
        <f t="shared" si="190"/>
        <v>Legacy</v>
      </c>
      <c r="G3848" s="153"/>
      <c r="H3848" s="210">
        <v>-1.5E-3</v>
      </c>
      <c r="I3848" s="208" t="s">
        <v>151</v>
      </c>
      <c r="J3848" s="211">
        <v>-3.66733E-5</v>
      </c>
      <c r="K3848" s="160" t="s">
        <v>13</v>
      </c>
      <c r="L3848" s="154" t="str">
        <f>IF(OpenLCAbasic!K3848="CTUh", "Fill in Manually",IF(OR(K3848="Unit", K3848=""), "", INDEX(LookUps!$E$5:$E$12, MATCH(OpenLCAbasic!K3848,LookUps!$D$5:$D$12,0))))</f>
        <v>Eutrophication Potential (EP) - kg N eq</v>
      </c>
      <c r="M3848" s="154" t="str">
        <f t="shared" si="192"/>
        <v>Base_Base_Legacy_Eutrophication Potential (EP) - kg N eq_Sludge Disposal; wastewater treatment unit - US_Landfill National_n.a.</v>
      </c>
    </row>
    <row r="3849" spans="1:13" s="120" customFormat="1" x14ac:dyDescent="0.25">
      <c r="A3849" s="119"/>
      <c r="B3849" s="138" t="str">
        <f t="shared" si="191"/>
        <v/>
      </c>
      <c r="C3849" s="138" t="str">
        <f t="shared" si="188"/>
        <v/>
      </c>
      <c r="D3849" s="138" t="str">
        <f t="shared" ref="D3849:E3880" si="193">IF(ISNUMBER($J3849),"Base","")</f>
        <v/>
      </c>
      <c r="E3849" s="138" t="str">
        <f t="shared" si="193"/>
        <v/>
      </c>
      <c r="F3849" s="138" t="str">
        <f t="shared" si="190"/>
        <v/>
      </c>
      <c r="G3849" s="153" t="s">
        <v>51</v>
      </c>
      <c r="H3849" s="160"/>
      <c r="I3849" s="208" t="s">
        <v>47</v>
      </c>
      <c r="J3849" s="160" t="s">
        <v>52</v>
      </c>
      <c r="K3849" s="160" t="s">
        <v>27</v>
      </c>
      <c r="L3849" s="154" t="str">
        <f>IF(OpenLCAbasic!K3849="CTUh", "Fill in Manually",IF(OR(K3849="Unit", K3849=""), "", INDEX(LookUps!$E$5:$E$12, MATCH(OpenLCAbasic!K3849,LookUps!$D$5:$D$12,0))))</f>
        <v/>
      </c>
      <c r="M3849" s="154" t="str">
        <f t="shared" si="192"/>
        <v>____Process__</v>
      </c>
    </row>
    <row r="3850" spans="1:13" s="120" customFormat="1" x14ac:dyDescent="0.25">
      <c r="A3850" s="119"/>
      <c r="B3850" s="138" t="str">
        <f t="shared" si="191"/>
        <v>n.a.</v>
      </c>
      <c r="C3850" s="138" t="str">
        <f t="shared" si="188"/>
        <v>Landfill National</v>
      </c>
      <c r="D3850" s="138" t="str">
        <f t="shared" si="193"/>
        <v>Base</v>
      </c>
      <c r="E3850" s="138" t="str">
        <f t="shared" si="193"/>
        <v>Base</v>
      </c>
      <c r="F3850" s="138" t="str">
        <f t="shared" si="190"/>
        <v>Legacy</v>
      </c>
      <c r="G3850" s="153"/>
      <c r="H3850" s="210">
        <v>0.27729999999999999</v>
      </c>
      <c r="I3850" s="208" t="s">
        <v>125</v>
      </c>
      <c r="J3850" s="160">
        <v>4.8919999999999998E-2</v>
      </c>
      <c r="K3850" s="160" t="s">
        <v>14</v>
      </c>
      <c r="L3850" s="154" t="str">
        <f>IF(OpenLCAbasic!K3850="CTUh", "Fill in Manually",IF(OR(K3850="Unit", K3850=""), "", INDEX(LookUps!$E$5:$E$12, MATCH(OpenLCAbasic!K3850,LookUps!$D$5:$D$12,0))))</f>
        <v>Fossil Depletion Potential (FDP) - kg oil eq</v>
      </c>
      <c r="M3850" s="154" t="str">
        <f t="shared" si="192"/>
        <v>Base_Base_Legacy_Fossil Depletion Potential (FDP) - kg oil eq_Aerobic Digester; wastewater treatment unit - US_Landfill National_n.a.</v>
      </c>
    </row>
    <row r="3851" spans="1:13" s="120" customFormat="1" x14ac:dyDescent="0.25">
      <c r="A3851" s="119"/>
      <c r="B3851" s="138" t="str">
        <f t="shared" si="191"/>
        <v>n.a.</v>
      </c>
      <c r="C3851" s="138" t="str">
        <f t="shared" si="188"/>
        <v>Landfill National</v>
      </c>
      <c r="D3851" s="138" t="str">
        <f t="shared" si="193"/>
        <v>Base</v>
      </c>
      <c r="E3851" s="138" t="str">
        <f t="shared" si="193"/>
        <v>Base</v>
      </c>
      <c r="F3851" s="138" t="str">
        <f t="shared" si="190"/>
        <v>Legacy</v>
      </c>
      <c r="G3851" s="153"/>
      <c r="H3851" s="210">
        <v>0.27700000000000002</v>
      </c>
      <c r="I3851" s="208" t="s">
        <v>124</v>
      </c>
      <c r="J3851" s="160">
        <v>4.8860000000000001E-2</v>
      </c>
      <c r="K3851" s="160" t="s">
        <v>14</v>
      </c>
      <c r="L3851" s="154" t="str">
        <f>IF(OpenLCAbasic!K3851="CTUh", "Fill in Manually",IF(OR(K3851="Unit", K3851=""), "", INDEX(LookUps!$E$5:$E$12, MATCH(OpenLCAbasic!K3851,LookUps!$D$5:$D$12,0))))</f>
        <v>Fossil Depletion Potential (FDP) - kg oil eq</v>
      </c>
      <c r="M3851" s="154" t="str">
        <f t="shared" si="192"/>
        <v>Base_Base_Legacy_Fossil Depletion Potential (FDP) - kg oil eq_Aeration Tanks; wastewater treatment unit - US_Landfill National_n.a.</v>
      </c>
    </row>
    <row r="3852" spans="1:13" s="120" customFormat="1" x14ac:dyDescent="0.25">
      <c r="A3852" s="119"/>
      <c r="B3852" s="138" t="str">
        <f t="shared" si="191"/>
        <v>n.a.</v>
      </c>
      <c r="C3852" s="138" t="str">
        <f t="shared" si="188"/>
        <v>Landfill National</v>
      </c>
      <c r="D3852" s="138" t="str">
        <f t="shared" si="193"/>
        <v>Base</v>
      </c>
      <c r="E3852" s="138" t="str">
        <f t="shared" si="193"/>
        <v>Base</v>
      </c>
      <c r="F3852" s="138" t="str">
        <f t="shared" si="190"/>
        <v>Legacy</v>
      </c>
      <c r="G3852" s="153"/>
      <c r="H3852" s="210">
        <v>0.16800000000000001</v>
      </c>
      <c r="I3852" s="208" t="s">
        <v>126</v>
      </c>
      <c r="J3852" s="160">
        <v>2.963E-2</v>
      </c>
      <c r="K3852" s="160" t="s">
        <v>14</v>
      </c>
      <c r="L3852" s="154" t="str">
        <f>IF(OpenLCAbasic!K3852="CTUh", "Fill in Manually",IF(OR(K3852="Unit", K3852=""), "", INDEX(LookUps!$E$5:$E$12, MATCH(OpenLCAbasic!K3852,LookUps!$D$5:$D$12,0))))</f>
        <v>Fossil Depletion Potential (FDP) - kg oil eq</v>
      </c>
      <c r="M3852" s="154" t="str">
        <f t="shared" si="192"/>
        <v>Base_Base_Legacy_Fossil Depletion Potential (FDP) - kg oil eq_Primary Clarifier; wastewater treatment unit - US_Landfill National_n.a.</v>
      </c>
    </row>
    <row r="3853" spans="1:13" s="120" customFormat="1" x14ac:dyDescent="0.25">
      <c r="A3853" s="119"/>
      <c r="B3853" s="138" t="str">
        <f t="shared" si="191"/>
        <v>n.a.</v>
      </c>
      <c r="C3853" s="138" t="str">
        <f t="shared" si="188"/>
        <v>Landfill National</v>
      </c>
      <c r="D3853" s="138" t="str">
        <f t="shared" si="193"/>
        <v>Base</v>
      </c>
      <c r="E3853" s="138" t="str">
        <f t="shared" si="193"/>
        <v>Base</v>
      </c>
      <c r="F3853" s="138" t="str">
        <f t="shared" si="190"/>
        <v>Legacy</v>
      </c>
      <c r="G3853" s="153"/>
      <c r="H3853" s="210">
        <v>0.1215</v>
      </c>
      <c r="I3853" s="208" t="s">
        <v>56</v>
      </c>
      <c r="J3853" s="160">
        <v>2.1430000000000001E-2</v>
      </c>
      <c r="K3853" s="160" t="s">
        <v>14</v>
      </c>
      <c r="L3853" s="154" t="str">
        <f>IF(OpenLCAbasic!K3853="CTUh", "Fill in Manually",IF(OR(K3853="Unit", K3853=""), "", INDEX(LookUps!$E$5:$E$12, MATCH(OpenLCAbasic!K3853,LookUps!$D$5:$D$12,0))))</f>
        <v>Fossil Depletion Potential (FDP) - kg oil eq</v>
      </c>
      <c r="M3853" s="154" t="str">
        <f t="shared" si="192"/>
        <v>Base_Base_Legacy_Fossil Depletion Potential (FDP) - kg oil eq_Control Building; at wastewater treatment plant - US_Landfill National_n.a.</v>
      </c>
    </row>
    <row r="3854" spans="1:13" s="120" customFormat="1" x14ac:dyDescent="0.25">
      <c r="A3854" s="119"/>
      <c r="B3854" s="138" t="str">
        <f t="shared" si="191"/>
        <v>n.a.</v>
      </c>
      <c r="C3854" s="138" t="str">
        <f t="shared" si="188"/>
        <v>Landfill National</v>
      </c>
      <c r="D3854" s="138" t="str">
        <f t="shared" si="193"/>
        <v>Base</v>
      </c>
      <c r="E3854" s="138" t="str">
        <f t="shared" si="193"/>
        <v>Base</v>
      </c>
      <c r="F3854" s="138" t="str">
        <f t="shared" si="190"/>
        <v>Legacy</v>
      </c>
      <c r="G3854" s="153"/>
      <c r="H3854" s="210">
        <v>9.5299999999999996E-2</v>
      </c>
      <c r="I3854" s="208" t="s">
        <v>151</v>
      </c>
      <c r="J3854" s="160">
        <v>1.6809999999999999E-2</v>
      </c>
      <c r="K3854" s="160" t="s">
        <v>14</v>
      </c>
      <c r="L3854" s="154" t="str">
        <f>IF(OpenLCAbasic!K3854="CTUh", "Fill in Manually",IF(OR(K3854="Unit", K3854=""), "", INDEX(LookUps!$E$5:$E$12, MATCH(OpenLCAbasic!K3854,LookUps!$D$5:$D$12,0))))</f>
        <v>Fossil Depletion Potential (FDP) - kg oil eq</v>
      </c>
      <c r="M3854" s="154" t="str">
        <f t="shared" si="192"/>
        <v>Base_Base_Legacy_Fossil Depletion Potential (FDP) - kg oil eq_Sludge Disposal; wastewater treatment unit - US_Landfill National_n.a.</v>
      </c>
    </row>
    <row r="3855" spans="1:13" s="120" customFormat="1" x14ac:dyDescent="0.25">
      <c r="A3855" s="119"/>
      <c r="B3855" s="138" t="str">
        <f t="shared" si="191"/>
        <v>n.a.</v>
      </c>
      <c r="C3855" s="138" t="str">
        <f t="shared" si="188"/>
        <v>Landfill National</v>
      </c>
      <c r="D3855" s="138" t="str">
        <f t="shared" si="193"/>
        <v>Base</v>
      </c>
      <c r="E3855" s="138" t="str">
        <f t="shared" si="193"/>
        <v>Base</v>
      </c>
      <c r="F3855" s="138" t="str">
        <f t="shared" si="190"/>
        <v>Legacy</v>
      </c>
      <c r="G3855" s="153"/>
      <c r="H3855" s="210">
        <v>2.5499999999999998E-2</v>
      </c>
      <c r="I3855" s="208" t="s">
        <v>128</v>
      </c>
      <c r="J3855" s="160">
        <v>4.4999999999999997E-3</v>
      </c>
      <c r="K3855" s="160" t="s">
        <v>14</v>
      </c>
      <c r="L3855" s="154" t="str">
        <f>IF(OpenLCAbasic!K3855="CTUh", "Fill in Manually",IF(OR(K3855="Unit", K3855=""), "", INDEX(LookUps!$E$5:$E$12, MATCH(OpenLCAbasic!K3855,LookUps!$D$5:$D$12,0))))</f>
        <v>Fossil Depletion Potential (FDP) - kg oil eq</v>
      </c>
      <c r="M3855" s="154" t="str">
        <f t="shared" si="192"/>
        <v>Base_Base_Legacy_Fossil Depletion Potential (FDP) - kg oil eq_Wastewater collection; operation and infrastructure; m3 wastewater_Landfill National_n.a.</v>
      </c>
    </row>
    <row r="3856" spans="1:13" s="120" customFormat="1" x14ac:dyDescent="0.25">
      <c r="A3856" s="119"/>
      <c r="B3856" s="138" t="str">
        <f t="shared" si="191"/>
        <v>n.a.</v>
      </c>
      <c r="C3856" s="138" t="str">
        <f t="shared" si="188"/>
        <v>Landfill National</v>
      </c>
      <c r="D3856" s="138" t="str">
        <f t="shared" si="193"/>
        <v>Base</v>
      </c>
      <c r="E3856" s="138" t="str">
        <f t="shared" si="193"/>
        <v>Base</v>
      </c>
      <c r="F3856" s="138" t="str">
        <f t="shared" si="190"/>
        <v>Legacy</v>
      </c>
      <c r="G3856" s="153"/>
      <c r="H3856" s="210">
        <v>1.7399999999999999E-2</v>
      </c>
      <c r="I3856" s="208" t="s">
        <v>123</v>
      </c>
      <c r="J3856" s="160">
        <v>3.0799999999999998E-3</v>
      </c>
      <c r="K3856" s="160" t="s">
        <v>14</v>
      </c>
      <c r="L3856" s="154" t="str">
        <f>IF(OpenLCAbasic!K3856="CTUh", "Fill in Manually",IF(OR(K3856="Unit", K3856=""), "", INDEX(LookUps!$E$5:$E$12, MATCH(OpenLCAbasic!K3856,LookUps!$D$5:$D$12,0))))</f>
        <v>Fossil Depletion Potential (FDP) - kg oil eq</v>
      </c>
      <c r="M3856" s="154" t="str">
        <f t="shared" si="192"/>
        <v>Base_Base_Legacy_Fossil Depletion Potential (FDP) - kg oil eq_Belt filter press; wastewater treatment unit - US_Landfill National_n.a.</v>
      </c>
    </row>
    <row r="3857" spans="1:13" s="120" customFormat="1" x14ac:dyDescent="0.25">
      <c r="A3857" s="119"/>
      <c r="B3857" s="138" t="str">
        <f t="shared" si="191"/>
        <v>n.a.</v>
      </c>
      <c r="C3857" s="138" t="str">
        <f t="shared" si="188"/>
        <v>Landfill National</v>
      </c>
      <c r="D3857" s="138" t="str">
        <f t="shared" si="193"/>
        <v>Base</v>
      </c>
      <c r="E3857" s="138" t="str">
        <f t="shared" si="193"/>
        <v>Base</v>
      </c>
      <c r="F3857" s="138" t="str">
        <f t="shared" si="190"/>
        <v>Legacy</v>
      </c>
      <c r="G3857" s="153"/>
      <c r="H3857" s="210">
        <v>1.5599999999999999E-2</v>
      </c>
      <c r="I3857" s="208" t="s">
        <v>150</v>
      </c>
      <c r="J3857" s="160">
        <v>2.7499999999999998E-3</v>
      </c>
      <c r="K3857" s="160" t="s">
        <v>14</v>
      </c>
      <c r="L3857" s="154" t="str">
        <f>IF(OpenLCAbasic!K3857="CTUh", "Fill in Manually",IF(OR(K3857="Unit", K3857=""), "", INDEX(LookUps!$E$5:$E$12, MATCH(OpenLCAbasic!K3857,LookUps!$D$5:$D$12,0))))</f>
        <v>Fossil Depletion Potential (FDP) - kg oil eq</v>
      </c>
      <c r="M3857" s="154" t="str">
        <f t="shared" si="192"/>
        <v>Base_Base_Legacy_Fossil Depletion Potential (FDP) - kg oil eq_Screening and Grit Removal - US_Landfill National_n.a.</v>
      </c>
    </row>
    <row r="3858" spans="1:13" s="120" customFormat="1" x14ac:dyDescent="0.25">
      <c r="A3858" s="119"/>
      <c r="B3858" s="138" t="str">
        <f t="shared" si="191"/>
        <v>n.a.</v>
      </c>
      <c r="C3858" s="138" t="str">
        <f t="shared" si="188"/>
        <v>Landfill National</v>
      </c>
      <c r="D3858" s="138" t="str">
        <f t="shared" si="193"/>
        <v>Base</v>
      </c>
      <c r="E3858" s="138" t="str">
        <f t="shared" si="193"/>
        <v>Base</v>
      </c>
      <c r="F3858" s="138" t="str">
        <f t="shared" si="190"/>
        <v>Legacy</v>
      </c>
      <c r="G3858" s="153"/>
      <c r="H3858" s="210">
        <v>2.0999999999999999E-3</v>
      </c>
      <c r="I3858" s="208" t="s">
        <v>127</v>
      </c>
      <c r="J3858" s="160">
        <v>3.6999999999999999E-4</v>
      </c>
      <c r="K3858" s="160" t="s">
        <v>14</v>
      </c>
      <c r="L3858" s="154" t="str">
        <f>IF(OpenLCAbasic!K3858="CTUh", "Fill in Manually",IF(OR(K3858="Unit", K3858=""), "", INDEX(LookUps!$E$5:$E$12, MATCH(OpenLCAbasic!K3858,LookUps!$D$5:$D$12,0))))</f>
        <v>Fossil Depletion Potential (FDP) - kg oil eq</v>
      </c>
      <c r="M3858" s="154" t="str">
        <f t="shared" si="192"/>
        <v>Base_Base_Legacy_Fossil Depletion Potential (FDP) - kg oil eq_Sludge Thickener; wastewater treatment unit - US_Landfill National_n.a.</v>
      </c>
    </row>
    <row r="3859" spans="1:13" s="120" customFormat="1" x14ac:dyDescent="0.25">
      <c r="A3859" s="119"/>
      <c r="B3859" s="138" t="str">
        <f t="shared" si="191"/>
        <v>n.a.</v>
      </c>
      <c r="C3859" s="138" t="str">
        <f t="shared" si="188"/>
        <v>Landfill National</v>
      </c>
      <c r="D3859" s="138" t="str">
        <f t="shared" si="193"/>
        <v>Base</v>
      </c>
      <c r="E3859" s="138" t="str">
        <f t="shared" si="193"/>
        <v>Base</v>
      </c>
      <c r="F3859" s="138" t="str">
        <f t="shared" si="190"/>
        <v>Legacy</v>
      </c>
      <c r="G3859" s="153"/>
      <c r="H3859" s="210">
        <v>4.0000000000000002E-4</v>
      </c>
      <c r="I3859" s="208" t="s">
        <v>48</v>
      </c>
      <c r="J3859" s="211">
        <v>6.4186199999999999E-5</v>
      </c>
      <c r="K3859" s="160" t="s">
        <v>14</v>
      </c>
      <c r="L3859" s="154" t="str">
        <f>IF(OpenLCAbasic!K3859="CTUh", "Fill in Manually",IF(OR(K3859="Unit", K3859=""), "", INDEX(LookUps!$E$5:$E$12, MATCH(OpenLCAbasic!K3859,LookUps!$D$5:$D$12,0))))</f>
        <v>Fossil Depletion Potential (FDP) - kg oil eq</v>
      </c>
      <c r="M3859" s="154" t="str">
        <f t="shared" si="192"/>
        <v>Base_Base_Legacy_Fossil Depletion Potential (FDP) - kg oil eq_Effluent release; wastewater treatment unit; at surface water; m3 wastewater - US_Landfill National_n.a.</v>
      </c>
    </row>
    <row r="3860" spans="1:13" s="120" customFormat="1" x14ac:dyDescent="0.25">
      <c r="A3860" s="119"/>
      <c r="B3860" s="138" t="str">
        <f t="shared" si="191"/>
        <v/>
      </c>
      <c r="C3860" s="138" t="str">
        <f t="shared" si="188"/>
        <v/>
      </c>
      <c r="D3860" s="138" t="str">
        <f t="shared" si="193"/>
        <v/>
      </c>
      <c r="E3860" s="138" t="str">
        <f t="shared" si="193"/>
        <v/>
      </c>
      <c r="F3860" s="138" t="str">
        <f t="shared" si="190"/>
        <v/>
      </c>
      <c r="G3860" s="153" t="s">
        <v>51</v>
      </c>
      <c r="H3860" s="160"/>
      <c r="I3860" s="208" t="s">
        <v>47</v>
      </c>
      <c r="J3860" s="160" t="s">
        <v>52</v>
      </c>
      <c r="K3860" s="160" t="s">
        <v>27</v>
      </c>
      <c r="L3860" s="154" t="str">
        <f>IF(OpenLCAbasic!K3860="CTUh", "Fill in Manually",IF(OR(K3860="Unit", K3860=""), "", INDEX(LookUps!$E$5:$E$12, MATCH(OpenLCAbasic!K3860,LookUps!$D$5:$D$12,0))))</f>
        <v/>
      </c>
      <c r="M3860" s="154" t="str">
        <f t="shared" si="192"/>
        <v>____Process__</v>
      </c>
    </row>
    <row r="3861" spans="1:13" s="120" customFormat="1" x14ac:dyDescent="0.25">
      <c r="A3861" s="119"/>
      <c r="B3861" s="138" t="str">
        <f t="shared" si="191"/>
        <v>n.a.</v>
      </c>
      <c r="C3861" s="138" t="str">
        <f t="shared" si="188"/>
        <v>Landfill National</v>
      </c>
      <c r="D3861" s="138" t="str">
        <f t="shared" si="193"/>
        <v>Base</v>
      </c>
      <c r="E3861" s="138" t="str">
        <f t="shared" si="193"/>
        <v>Base</v>
      </c>
      <c r="F3861" s="138" t="str">
        <f t="shared" si="190"/>
        <v>Legacy</v>
      </c>
      <c r="G3861" s="153"/>
      <c r="H3861" s="210">
        <v>0.30549999999999999</v>
      </c>
      <c r="I3861" s="208" t="s">
        <v>151</v>
      </c>
      <c r="J3861" s="160">
        <v>0.28660999999999998</v>
      </c>
      <c r="K3861" s="160" t="s">
        <v>23</v>
      </c>
      <c r="L3861" s="154" t="str">
        <f>IF(OpenLCAbasic!K3861="CTUh", "Fill in Manually",IF(OR(K3861="Unit", K3861=""), "", INDEX(LookUps!$E$5:$E$12, MATCH(OpenLCAbasic!K3861,LookUps!$D$5:$D$12,0))))</f>
        <v>Global Warming Potential (GWP) - kg CO2 eq</v>
      </c>
      <c r="M3861" s="154" t="str">
        <f t="shared" si="192"/>
        <v>Base_Base_Legacy_Global Warming Potential (GWP) - kg CO2 eq_Sludge Disposal; wastewater treatment unit - US_Landfill National_n.a.</v>
      </c>
    </row>
    <row r="3862" spans="1:13" s="120" customFormat="1" x14ac:dyDescent="0.25">
      <c r="A3862" s="119"/>
      <c r="B3862" s="138" t="str">
        <f t="shared" si="191"/>
        <v>n.a.</v>
      </c>
      <c r="C3862" s="138" t="str">
        <f t="shared" si="188"/>
        <v>Landfill National</v>
      </c>
      <c r="D3862" s="138" t="str">
        <f t="shared" si="193"/>
        <v>Base</v>
      </c>
      <c r="E3862" s="138" t="str">
        <f t="shared" si="193"/>
        <v>Base</v>
      </c>
      <c r="F3862" s="138" t="str">
        <f t="shared" si="190"/>
        <v>Legacy</v>
      </c>
      <c r="G3862" s="153"/>
      <c r="H3862" s="210">
        <v>0.23780000000000001</v>
      </c>
      <c r="I3862" s="208" t="s">
        <v>125</v>
      </c>
      <c r="J3862" s="160">
        <v>0.22309000000000001</v>
      </c>
      <c r="K3862" s="160" t="s">
        <v>23</v>
      </c>
      <c r="L3862" s="154" t="str">
        <f>IF(OpenLCAbasic!K3862="CTUh", "Fill in Manually",IF(OR(K3862="Unit", K3862=""), "", INDEX(LookUps!$E$5:$E$12, MATCH(OpenLCAbasic!K3862,LookUps!$D$5:$D$12,0))))</f>
        <v>Global Warming Potential (GWP) - kg CO2 eq</v>
      </c>
      <c r="M3862" s="154" t="str">
        <f t="shared" si="192"/>
        <v>Base_Base_Legacy_Global Warming Potential (GWP) - kg CO2 eq_Aerobic Digester; wastewater treatment unit - US_Landfill National_n.a.</v>
      </c>
    </row>
    <row r="3863" spans="1:13" s="120" customFormat="1" x14ac:dyDescent="0.25">
      <c r="A3863" s="119"/>
      <c r="B3863" s="138" t="str">
        <f t="shared" si="191"/>
        <v>n.a.</v>
      </c>
      <c r="C3863" s="138" t="str">
        <f t="shared" si="188"/>
        <v>Landfill National</v>
      </c>
      <c r="D3863" s="138" t="str">
        <f t="shared" si="193"/>
        <v>Base</v>
      </c>
      <c r="E3863" s="138" t="str">
        <f t="shared" si="193"/>
        <v>Base</v>
      </c>
      <c r="F3863" s="138" t="str">
        <f t="shared" si="190"/>
        <v>Legacy</v>
      </c>
      <c r="G3863" s="153"/>
      <c r="H3863" s="210">
        <v>0.1704</v>
      </c>
      <c r="I3863" s="208" t="s">
        <v>124</v>
      </c>
      <c r="J3863" s="160">
        <v>0.15987000000000001</v>
      </c>
      <c r="K3863" s="160" t="s">
        <v>23</v>
      </c>
      <c r="L3863" s="154" t="str">
        <f>IF(OpenLCAbasic!K3863="CTUh", "Fill in Manually",IF(OR(K3863="Unit", K3863=""), "", INDEX(LookUps!$E$5:$E$12, MATCH(OpenLCAbasic!K3863,LookUps!$D$5:$D$12,0))))</f>
        <v>Global Warming Potential (GWP) - kg CO2 eq</v>
      </c>
      <c r="M3863" s="154" t="str">
        <f t="shared" si="192"/>
        <v>Base_Base_Legacy_Global Warming Potential (GWP) - kg CO2 eq_Aeration Tanks; wastewater treatment unit - US_Landfill National_n.a.</v>
      </c>
    </row>
    <row r="3864" spans="1:13" s="120" customFormat="1" x14ac:dyDescent="0.25">
      <c r="A3864" s="119"/>
      <c r="B3864" s="138" t="str">
        <f t="shared" si="191"/>
        <v>n.a.</v>
      </c>
      <c r="C3864" s="138" t="str">
        <f t="shared" si="188"/>
        <v>Landfill National</v>
      </c>
      <c r="D3864" s="138" t="str">
        <f t="shared" si="193"/>
        <v>Base</v>
      </c>
      <c r="E3864" s="138" t="str">
        <f t="shared" si="193"/>
        <v>Base</v>
      </c>
      <c r="F3864" s="138" t="str">
        <f t="shared" si="190"/>
        <v>Legacy</v>
      </c>
      <c r="G3864" s="153"/>
      <c r="H3864" s="210">
        <v>0.1201</v>
      </c>
      <c r="I3864" s="208" t="s">
        <v>126</v>
      </c>
      <c r="J3864" s="160">
        <v>0.11262999999999999</v>
      </c>
      <c r="K3864" s="160" t="s">
        <v>23</v>
      </c>
      <c r="L3864" s="154" t="str">
        <f>IF(OpenLCAbasic!K3864="CTUh", "Fill in Manually",IF(OR(K3864="Unit", K3864=""), "", INDEX(LookUps!$E$5:$E$12, MATCH(OpenLCAbasic!K3864,LookUps!$D$5:$D$12,0))))</f>
        <v>Global Warming Potential (GWP) - kg CO2 eq</v>
      </c>
      <c r="M3864" s="154" t="str">
        <f t="shared" si="192"/>
        <v>Base_Base_Legacy_Global Warming Potential (GWP) - kg CO2 eq_Primary Clarifier; wastewater treatment unit - US_Landfill National_n.a.</v>
      </c>
    </row>
    <row r="3865" spans="1:13" s="120" customFormat="1" x14ac:dyDescent="0.25">
      <c r="A3865" s="119"/>
      <c r="B3865" s="138" t="str">
        <f t="shared" si="191"/>
        <v>n.a.</v>
      </c>
      <c r="C3865" s="138" t="str">
        <f t="shared" si="188"/>
        <v>Landfill National</v>
      </c>
      <c r="D3865" s="138" t="str">
        <f t="shared" si="193"/>
        <v>Base</v>
      </c>
      <c r="E3865" s="138" t="str">
        <f t="shared" si="193"/>
        <v>Base</v>
      </c>
      <c r="F3865" s="138" t="str">
        <f t="shared" si="190"/>
        <v>Legacy</v>
      </c>
      <c r="G3865" s="153"/>
      <c r="H3865" s="210">
        <v>7.9000000000000001E-2</v>
      </c>
      <c r="I3865" s="208" t="s">
        <v>48</v>
      </c>
      <c r="J3865" s="160">
        <v>7.4099999999999999E-2</v>
      </c>
      <c r="K3865" s="160" t="s">
        <v>23</v>
      </c>
      <c r="L3865" s="154" t="str">
        <f>IF(OpenLCAbasic!K3865="CTUh", "Fill in Manually",IF(OR(K3865="Unit", K3865=""), "", INDEX(LookUps!$E$5:$E$12, MATCH(OpenLCAbasic!K3865,LookUps!$D$5:$D$12,0))))</f>
        <v>Global Warming Potential (GWP) - kg CO2 eq</v>
      </c>
      <c r="M3865" s="154" t="str">
        <f t="shared" si="192"/>
        <v>Base_Base_Legacy_Global Warming Potential (GWP) - kg CO2 eq_Effluent release; wastewater treatment unit; at surface water; m3 wastewater - US_Landfill National_n.a.</v>
      </c>
    </row>
    <row r="3866" spans="1:13" s="120" customFormat="1" x14ac:dyDescent="0.25">
      <c r="A3866" s="119"/>
      <c r="B3866" s="138" t="str">
        <f t="shared" si="191"/>
        <v>n.a.</v>
      </c>
      <c r="C3866" s="138" t="str">
        <f t="shared" si="188"/>
        <v>Landfill National</v>
      </c>
      <c r="D3866" s="138" t="str">
        <f t="shared" si="193"/>
        <v>Base</v>
      </c>
      <c r="E3866" s="138" t="str">
        <f t="shared" si="193"/>
        <v>Base</v>
      </c>
      <c r="F3866" s="138" t="str">
        <f t="shared" si="190"/>
        <v>Legacy</v>
      </c>
      <c r="G3866" s="153"/>
      <c r="H3866" s="210">
        <v>5.6000000000000001E-2</v>
      </c>
      <c r="I3866" s="208" t="s">
        <v>56</v>
      </c>
      <c r="J3866" s="160">
        <v>5.2569999999999999E-2</v>
      </c>
      <c r="K3866" s="160" t="s">
        <v>23</v>
      </c>
      <c r="L3866" s="154" t="str">
        <f>IF(OpenLCAbasic!K3866="CTUh", "Fill in Manually",IF(OR(K3866="Unit", K3866=""), "", INDEX(LookUps!$E$5:$E$12, MATCH(OpenLCAbasic!K3866,LookUps!$D$5:$D$12,0))))</f>
        <v>Global Warming Potential (GWP) - kg CO2 eq</v>
      </c>
      <c r="M3866" s="154" t="str">
        <f t="shared" si="192"/>
        <v>Base_Base_Legacy_Global Warming Potential (GWP) - kg CO2 eq_Control Building; at wastewater treatment plant - US_Landfill National_n.a.</v>
      </c>
    </row>
    <row r="3867" spans="1:13" s="120" customFormat="1" x14ac:dyDescent="0.25">
      <c r="A3867" s="119"/>
      <c r="B3867" s="138" t="str">
        <f t="shared" si="191"/>
        <v>n.a.</v>
      </c>
      <c r="C3867" s="138" t="str">
        <f t="shared" si="188"/>
        <v>Landfill National</v>
      </c>
      <c r="D3867" s="138" t="str">
        <f t="shared" si="193"/>
        <v>Base</v>
      </c>
      <c r="E3867" s="138" t="str">
        <f t="shared" si="193"/>
        <v>Base</v>
      </c>
      <c r="F3867" s="138" t="str">
        <f t="shared" si="190"/>
        <v>Legacy</v>
      </c>
      <c r="G3867" s="153"/>
      <c r="H3867" s="210">
        <v>1.44E-2</v>
      </c>
      <c r="I3867" s="208" t="s">
        <v>128</v>
      </c>
      <c r="J3867" s="160">
        <v>1.3509999999999999E-2</v>
      </c>
      <c r="K3867" s="160" t="s">
        <v>23</v>
      </c>
      <c r="L3867" s="154" t="str">
        <f>IF(OpenLCAbasic!K3867="CTUh", "Fill in Manually",IF(OR(K3867="Unit", K3867=""), "", INDEX(LookUps!$E$5:$E$12, MATCH(OpenLCAbasic!K3867,LookUps!$D$5:$D$12,0))))</f>
        <v>Global Warming Potential (GWP) - kg CO2 eq</v>
      </c>
      <c r="M3867" s="154" t="str">
        <f t="shared" si="192"/>
        <v>Base_Base_Legacy_Global Warming Potential (GWP) - kg CO2 eq_Wastewater collection; operation and infrastructure; m3 wastewater_Landfill National_n.a.</v>
      </c>
    </row>
    <row r="3868" spans="1:13" s="120" customFormat="1" x14ac:dyDescent="0.25">
      <c r="A3868" s="119"/>
      <c r="B3868" s="138" t="str">
        <f t="shared" si="191"/>
        <v>n.a.</v>
      </c>
      <c r="C3868" s="138" t="str">
        <f t="shared" si="188"/>
        <v>Landfill National</v>
      </c>
      <c r="D3868" s="138" t="str">
        <f t="shared" si="193"/>
        <v>Base</v>
      </c>
      <c r="E3868" s="138" t="str">
        <f t="shared" si="193"/>
        <v>Base</v>
      </c>
      <c r="F3868" s="138" t="str">
        <f t="shared" si="190"/>
        <v>Legacy</v>
      </c>
      <c r="G3868" s="153"/>
      <c r="H3868" s="210">
        <v>7.9000000000000008E-3</v>
      </c>
      <c r="I3868" s="208" t="s">
        <v>123</v>
      </c>
      <c r="J3868" s="160">
        <v>7.4400000000000004E-3</v>
      </c>
      <c r="K3868" s="160" t="s">
        <v>23</v>
      </c>
      <c r="L3868" s="154" t="str">
        <f>IF(OpenLCAbasic!K3868="CTUh", "Fill in Manually",IF(OR(K3868="Unit", K3868=""), "", INDEX(LookUps!$E$5:$E$12, MATCH(OpenLCAbasic!K3868,LookUps!$D$5:$D$12,0))))</f>
        <v>Global Warming Potential (GWP) - kg CO2 eq</v>
      </c>
      <c r="M3868" s="154" t="str">
        <f t="shared" si="192"/>
        <v>Base_Base_Legacy_Global Warming Potential (GWP) - kg CO2 eq_Belt filter press; wastewater treatment unit - US_Landfill National_n.a.</v>
      </c>
    </row>
    <row r="3869" spans="1:13" s="120" customFormat="1" x14ac:dyDescent="0.25">
      <c r="A3869" s="119"/>
      <c r="B3869" s="138" t="str">
        <f t="shared" si="191"/>
        <v>n.a.</v>
      </c>
      <c r="C3869" s="138" t="str">
        <f t="shared" si="188"/>
        <v>Landfill National</v>
      </c>
      <c r="D3869" s="138" t="str">
        <f t="shared" si="193"/>
        <v>Base</v>
      </c>
      <c r="E3869" s="138" t="str">
        <f t="shared" si="193"/>
        <v>Base</v>
      </c>
      <c r="F3869" s="138" t="str">
        <f t="shared" si="190"/>
        <v>Legacy</v>
      </c>
      <c r="G3869" s="153"/>
      <c r="H3869" s="210">
        <v>7.7999999999999996E-3</v>
      </c>
      <c r="I3869" s="208" t="s">
        <v>150</v>
      </c>
      <c r="J3869" s="160">
        <v>7.3200000000000001E-3</v>
      </c>
      <c r="K3869" s="160" t="s">
        <v>23</v>
      </c>
      <c r="L3869" s="154" t="str">
        <f>IF(OpenLCAbasic!K3869="CTUh", "Fill in Manually",IF(OR(K3869="Unit", K3869=""), "", INDEX(LookUps!$E$5:$E$12, MATCH(OpenLCAbasic!K3869,LookUps!$D$5:$D$12,0))))</f>
        <v>Global Warming Potential (GWP) - kg CO2 eq</v>
      </c>
      <c r="M3869" s="154" t="str">
        <f t="shared" si="192"/>
        <v>Base_Base_Legacy_Global Warming Potential (GWP) - kg CO2 eq_Screening and Grit Removal - US_Landfill National_n.a.</v>
      </c>
    </row>
    <row r="3870" spans="1:13" s="120" customFormat="1" x14ac:dyDescent="0.25">
      <c r="A3870" s="119"/>
      <c r="B3870" s="138" t="str">
        <f t="shared" si="191"/>
        <v>n.a.</v>
      </c>
      <c r="C3870" s="138" t="str">
        <f t="shared" si="188"/>
        <v>Landfill National</v>
      </c>
      <c r="D3870" s="138" t="str">
        <f t="shared" si="193"/>
        <v>Base</v>
      </c>
      <c r="E3870" s="138" t="str">
        <f t="shared" si="193"/>
        <v>Base</v>
      </c>
      <c r="F3870" s="138" t="str">
        <f t="shared" si="190"/>
        <v>Legacy</v>
      </c>
      <c r="G3870" s="153"/>
      <c r="H3870" s="210">
        <v>1E-3</v>
      </c>
      <c r="I3870" s="208" t="s">
        <v>127</v>
      </c>
      <c r="J3870" s="160">
        <v>9.3999999999999997E-4</v>
      </c>
      <c r="K3870" s="160" t="s">
        <v>23</v>
      </c>
      <c r="L3870" s="154" t="str">
        <f>IF(OpenLCAbasic!K3870="CTUh", "Fill in Manually",IF(OR(K3870="Unit", K3870=""), "", INDEX(LookUps!$E$5:$E$12, MATCH(OpenLCAbasic!K3870,LookUps!$D$5:$D$12,0))))</f>
        <v>Global Warming Potential (GWP) - kg CO2 eq</v>
      </c>
      <c r="M3870" s="154" t="str">
        <f t="shared" si="192"/>
        <v>Base_Base_Legacy_Global Warming Potential (GWP) - kg CO2 eq_Sludge Thickener; wastewater treatment unit - US_Landfill National_n.a.</v>
      </c>
    </row>
    <row r="3871" spans="1:13" s="120" customFormat="1" x14ac:dyDescent="0.25">
      <c r="A3871" s="119"/>
      <c r="B3871" s="138" t="str">
        <f t="shared" si="191"/>
        <v/>
      </c>
      <c r="C3871" s="138" t="str">
        <f t="shared" si="188"/>
        <v/>
      </c>
      <c r="D3871" s="138" t="str">
        <f t="shared" si="193"/>
        <v/>
      </c>
      <c r="E3871" s="138" t="str">
        <f t="shared" si="193"/>
        <v/>
      </c>
      <c r="F3871" s="138" t="str">
        <f t="shared" si="190"/>
        <v/>
      </c>
      <c r="G3871" s="153" t="s">
        <v>51</v>
      </c>
      <c r="H3871" s="160"/>
      <c r="I3871" s="208" t="s">
        <v>47</v>
      </c>
      <c r="J3871" s="160" t="s">
        <v>52</v>
      </c>
      <c r="K3871" s="160" t="s">
        <v>27</v>
      </c>
      <c r="L3871" s="154" t="str">
        <f>IF(OpenLCAbasic!K3871="CTUh", "Fill in Manually",IF(OR(K3871="Unit", K3871=""), "", INDEX(LookUps!$E$5:$E$12, MATCH(OpenLCAbasic!K3871,LookUps!$D$5:$D$12,0))))</f>
        <v/>
      </c>
      <c r="M3871" s="154" t="str">
        <f t="shared" si="192"/>
        <v>____Process__</v>
      </c>
    </row>
    <row r="3872" spans="1:13" s="120" customFormat="1" x14ac:dyDescent="0.25">
      <c r="A3872" s="119"/>
      <c r="B3872" s="138" t="str">
        <f t="shared" si="191"/>
        <v>n.a.</v>
      </c>
      <c r="C3872" s="138" t="str">
        <f t="shared" si="188"/>
        <v>Landfill National</v>
      </c>
      <c r="D3872" s="138" t="str">
        <f t="shared" si="193"/>
        <v>Base</v>
      </c>
      <c r="E3872" s="138" t="str">
        <f t="shared" si="193"/>
        <v>Base</v>
      </c>
      <c r="F3872" s="138" t="str">
        <f t="shared" si="190"/>
        <v>Legacy</v>
      </c>
      <c r="G3872" s="153"/>
      <c r="H3872" s="210">
        <v>0.42570000000000002</v>
      </c>
      <c r="I3872" s="208" t="s">
        <v>125</v>
      </c>
      <c r="J3872" s="160">
        <v>1.82E-3</v>
      </c>
      <c r="K3872" s="160" t="s">
        <v>145</v>
      </c>
      <c r="L3872" s="154" t="str">
        <f>IF(OpenLCAbasic!K3872="CTUh", "Fill in Manually",IF(OR(K3872="Unit", K3872=""), "", INDEX(LookUps!$E$5:$E$12, MATCH(OpenLCAbasic!K3872,LookUps!$D$5:$D$12,0))))</f>
        <v>Particulate Matter Formation Potential (PMFP) - kg PM2.5 eq</v>
      </c>
      <c r="M3872" s="154" t="str">
        <f t="shared" si="192"/>
        <v>Base_Base_Legacy_Particulate Matter Formation Potential (PMFP) - kg PM2.5 eq_Aerobic Digester; wastewater treatment unit - US_Landfill National_n.a.</v>
      </c>
    </row>
    <row r="3873" spans="1:13" s="120" customFormat="1" x14ac:dyDescent="0.25">
      <c r="A3873" s="119"/>
      <c r="B3873" s="138" t="str">
        <f t="shared" si="191"/>
        <v>n.a.</v>
      </c>
      <c r="C3873" s="138" t="str">
        <f t="shared" si="188"/>
        <v>Landfill National</v>
      </c>
      <c r="D3873" s="138" t="str">
        <f t="shared" si="193"/>
        <v>Base</v>
      </c>
      <c r="E3873" s="138" t="str">
        <f t="shared" si="193"/>
        <v>Base</v>
      </c>
      <c r="F3873" s="138" t="str">
        <f t="shared" si="190"/>
        <v>Legacy</v>
      </c>
      <c r="G3873" s="153"/>
      <c r="H3873" s="210">
        <v>0.41620000000000001</v>
      </c>
      <c r="I3873" s="208" t="s">
        <v>124</v>
      </c>
      <c r="J3873" s="160">
        <v>1.7799999999999999E-3</v>
      </c>
      <c r="K3873" s="160" t="s">
        <v>145</v>
      </c>
      <c r="L3873" s="154" t="str">
        <f>IF(OpenLCAbasic!K3873="CTUh", "Fill in Manually",IF(OR(K3873="Unit", K3873=""), "", INDEX(LookUps!$E$5:$E$12, MATCH(OpenLCAbasic!K3873,LookUps!$D$5:$D$12,0))))</f>
        <v>Particulate Matter Formation Potential (PMFP) - kg PM2.5 eq</v>
      </c>
      <c r="M3873" s="154" t="str">
        <f t="shared" si="192"/>
        <v>Base_Base_Legacy_Particulate Matter Formation Potential (PMFP) - kg PM2.5 eq_Aeration Tanks; wastewater treatment unit - US_Landfill National_n.a.</v>
      </c>
    </row>
    <row r="3874" spans="1:13" s="120" customFormat="1" x14ac:dyDescent="0.25">
      <c r="A3874" s="119"/>
      <c r="B3874" s="138" t="str">
        <f t="shared" si="191"/>
        <v>n.a.</v>
      </c>
      <c r="C3874" s="138" t="str">
        <f t="shared" si="188"/>
        <v>Landfill National</v>
      </c>
      <c r="D3874" s="138" t="str">
        <f t="shared" si="193"/>
        <v>Base</v>
      </c>
      <c r="E3874" s="138" t="str">
        <f t="shared" si="193"/>
        <v>Base</v>
      </c>
      <c r="F3874" s="138" t="str">
        <f t="shared" si="190"/>
        <v>Legacy</v>
      </c>
      <c r="G3874" s="153"/>
      <c r="H3874" s="210">
        <v>0.12959999999999999</v>
      </c>
      <c r="I3874" s="208" t="s">
        <v>126</v>
      </c>
      <c r="J3874" s="160">
        <v>5.5000000000000003E-4</v>
      </c>
      <c r="K3874" s="160" t="s">
        <v>145</v>
      </c>
      <c r="L3874" s="154" t="str">
        <f>IF(OpenLCAbasic!K3874="CTUh", "Fill in Manually",IF(OR(K3874="Unit", K3874=""), "", INDEX(LookUps!$E$5:$E$12, MATCH(OpenLCAbasic!K3874,LookUps!$D$5:$D$12,0))))</f>
        <v>Particulate Matter Formation Potential (PMFP) - kg PM2.5 eq</v>
      </c>
      <c r="M3874" s="154" t="str">
        <f t="shared" si="192"/>
        <v>Base_Base_Legacy_Particulate Matter Formation Potential (PMFP) - kg PM2.5 eq_Primary Clarifier; wastewater treatment unit - US_Landfill National_n.a.</v>
      </c>
    </row>
    <row r="3875" spans="1:13" s="120" customFormat="1" x14ac:dyDescent="0.25">
      <c r="A3875" s="119"/>
      <c r="B3875" s="138" t="str">
        <f t="shared" si="191"/>
        <v>n.a.</v>
      </c>
      <c r="C3875" s="138" t="str">
        <f t="shared" si="188"/>
        <v>Landfill National</v>
      </c>
      <c r="D3875" s="138" t="str">
        <f t="shared" si="193"/>
        <v>Base</v>
      </c>
      <c r="E3875" s="138" t="str">
        <f t="shared" si="193"/>
        <v>Base</v>
      </c>
      <c r="F3875" s="138" t="str">
        <f t="shared" si="190"/>
        <v>Legacy</v>
      </c>
      <c r="G3875" s="153"/>
      <c r="H3875" s="210">
        <v>3.9E-2</v>
      </c>
      <c r="I3875" s="208" t="s">
        <v>128</v>
      </c>
      <c r="J3875" s="160">
        <v>1.7000000000000001E-4</v>
      </c>
      <c r="K3875" s="160" t="s">
        <v>145</v>
      </c>
      <c r="L3875" s="154" t="str">
        <f>IF(OpenLCAbasic!K3875="CTUh", "Fill in Manually",IF(OR(K3875="Unit", K3875=""), "", INDEX(LookUps!$E$5:$E$12, MATCH(OpenLCAbasic!K3875,LookUps!$D$5:$D$12,0))))</f>
        <v>Particulate Matter Formation Potential (PMFP) - kg PM2.5 eq</v>
      </c>
      <c r="M3875" s="154" t="str">
        <f t="shared" si="192"/>
        <v>Base_Base_Legacy_Particulate Matter Formation Potential (PMFP) - kg PM2.5 eq_Wastewater collection; operation and infrastructure; m3 wastewater_Landfill National_n.a.</v>
      </c>
    </row>
    <row r="3876" spans="1:13" s="120" customFormat="1" x14ac:dyDescent="0.25">
      <c r="A3876" s="119"/>
      <c r="B3876" s="138" t="str">
        <f t="shared" si="191"/>
        <v>n.a.</v>
      </c>
      <c r="C3876" s="138" t="str">
        <f t="shared" si="188"/>
        <v>Landfill National</v>
      </c>
      <c r="D3876" s="138" t="str">
        <f t="shared" si="193"/>
        <v>Base</v>
      </c>
      <c r="E3876" s="138" t="str">
        <f t="shared" si="193"/>
        <v>Base</v>
      </c>
      <c r="F3876" s="138" t="str">
        <f t="shared" si="190"/>
        <v>Legacy</v>
      </c>
      <c r="G3876" s="153"/>
      <c r="H3876" s="210">
        <v>2.29E-2</v>
      </c>
      <c r="I3876" s="208" t="s">
        <v>150</v>
      </c>
      <c r="J3876" s="211">
        <v>9.7983299999999994E-5</v>
      </c>
      <c r="K3876" s="160" t="s">
        <v>145</v>
      </c>
      <c r="L3876" s="154" t="str">
        <f>IF(OpenLCAbasic!K3876="CTUh", "Fill in Manually",IF(OR(K3876="Unit", K3876=""), "", INDEX(LookUps!$E$5:$E$12, MATCH(OpenLCAbasic!K3876,LookUps!$D$5:$D$12,0))))</f>
        <v>Particulate Matter Formation Potential (PMFP) - kg PM2.5 eq</v>
      </c>
      <c r="M3876" s="154" t="str">
        <f t="shared" si="192"/>
        <v>Base_Base_Legacy_Particulate Matter Formation Potential (PMFP) - kg PM2.5 eq_Screening and Grit Removal - US_Landfill National_n.a.</v>
      </c>
    </row>
    <row r="3877" spans="1:13" s="120" customFormat="1" x14ac:dyDescent="0.25">
      <c r="A3877" s="119"/>
      <c r="B3877" s="138" t="str">
        <f t="shared" si="191"/>
        <v>n.a.</v>
      </c>
      <c r="C3877" s="138" t="str">
        <f t="shared" si="188"/>
        <v>Landfill National</v>
      </c>
      <c r="D3877" s="138" t="str">
        <f t="shared" si="193"/>
        <v>Base</v>
      </c>
      <c r="E3877" s="138" t="str">
        <f t="shared" si="193"/>
        <v>Base</v>
      </c>
      <c r="F3877" s="138" t="str">
        <f t="shared" si="190"/>
        <v>Legacy</v>
      </c>
      <c r="G3877" s="153"/>
      <c r="H3877" s="210">
        <v>2.0199999999999999E-2</v>
      </c>
      <c r="I3877" s="208" t="s">
        <v>123</v>
      </c>
      <c r="J3877" s="211">
        <v>8.6108399999999997E-5</v>
      </c>
      <c r="K3877" s="160" t="s">
        <v>145</v>
      </c>
      <c r="L3877" s="154" t="str">
        <f>IF(OpenLCAbasic!K3877="CTUh", "Fill in Manually",IF(OR(K3877="Unit", K3877=""), "", INDEX(LookUps!$E$5:$E$12, MATCH(OpenLCAbasic!K3877,LookUps!$D$5:$D$12,0))))</f>
        <v>Particulate Matter Formation Potential (PMFP) - kg PM2.5 eq</v>
      </c>
      <c r="M3877" s="154" t="str">
        <f t="shared" si="192"/>
        <v>Base_Base_Legacy_Particulate Matter Formation Potential (PMFP) - kg PM2.5 eq_Belt filter press; wastewater treatment unit - US_Landfill National_n.a.</v>
      </c>
    </row>
    <row r="3878" spans="1:13" s="120" customFormat="1" x14ac:dyDescent="0.25">
      <c r="A3878" s="119"/>
      <c r="B3878" s="138" t="str">
        <f t="shared" si="191"/>
        <v>n.a.</v>
      </c>
      <c r="C3878" s="138" t="str">
        <f t="shared" si="188"/>
        <v>Landfill National</v>
      </c>
      <c r="D3878" s="138" t="str">
        <f t="shared" si="193"/>
        <v>Base</v>
      </c>
      <c r="E3878" s="138" t="str">
        <f t="shared" si="193"/>
        <v>Base</v>
      </c>
      <c r="F3878" s="138" t="str">
        <f t="shared" si="190"/>
        <v>Legacy</v>
      </c>
      <c r="G3878" s="153"/>
      <c r="H3878" s="210">
        <v>3.5999999999999999E-3</v>
      </c>
      <c r="I3878" s="208" t="s">
        <v>56</v>
      </c>
      <c r="J3878" s="211">
        <v>1.5461800000000002E-5</v>
      </c>
      <c r="K3878" s="160" t="s">
        <v>145</v>
      </c>
      <c r="L3878" s="154" t="str">
        <f>IF(OpenLCAbasic!K3878="CTUh", "Fill in Manually",IF(OR(K3878="Unit", K3878=""), "", INDEX(LookUps!$E$5:$E$12, MATCH(OpenLCAbasic!K3878,LookUps!$D$5:$D$12,0))))</f>
        <v>Particulate Matter Formation Potential (PMFP) - kg PM2.5 eq</v>
      </c>
      <c r="M3878" s="154" t="str">
        <f t="shared" si="192"/>
        <v>Base_Base_Legacy_Particulate Matter Formation Potential (PMFP) - kg PM2.5 eq_Control Building; at wastewater treatment plant - US_Landfill National_n.a.</v>
      </c>
    </row>
    <row r="3879" spans="1:13" s="120" customFormat="1" x14ac:dyDescent="0.25">
      <c r="A3879" s="119"/>
      <c r="B3879" s="138" t="str">
        <f t="shared" si="191"/>
        <v>n.a.</v>
      </c>
      <c r="C3879" s="138" t="str">
        <f t="shared" si="188"/>
        <v>Landfill National</v>
      </c>
      <c r="D3879" s="138" t="str">
        <f t="shared" si="193"/>
        <v>Base</v>
      </c>
      <c r="E3879" s="138" t="str">
        <f t="shared" si="193"/>
        <v>Base</v>
      </c>
      <c r="F3879" s="138" t="str">
        <f t="shared" si="190"/>
        <v>Legacy</v>
      </c>
      <c r="G3879" s="153"/>
      <c r="H3879" s="210">
        <v>2.5999999999999999E-3</v>
      </c>
      <c r="I3879" s="208" t="s">
        <v>127</v>
      </c>
      <c r="J3879" s="211">
        <v>1.12426E-5</v>
      </c>
      <c r="K3879" s="160" t="s">
        <v>145</v>
      </c>
      <c r="L3879" s="154" t="str">
        <f>IF(OpenLCAbasic!K3879="CTUh", "Fill in Manually",IF(OR(K3879="Unit", K3879=""), "", INDEX(LookUps!$E$5:$E$12, MATCH(OpenLCAbasic!K3879,LookUps!$D$5:$D$12,0))))</f>
        <v>Particulate Matter Formation Potential (PMFP) - kg PM2.5 eq</v>
      </c>
      <c r="M3879" s="154" t="str">
        <f t="shared" si="192"/>
        <v>Base_Base_Legacy_Particulate Matter Formation Potential (PMFP) - kg PM2.5 eq_Sludge Thickener; wastewater treatment unit - US_Landfill National_n.a.</v>
      </c>
    </row>
    <row r="3880" spans="1:13" s="120" customFormat="1" x14ac:dyDescent="0.25">
      <c r="A3880" s="119"/>
      <c r="B3880" s="138" t="str">
        <f t="shared" si="191"/>
        <v>n.a.</v>
      </c>
      <c r="C3880" s="138" t="str">
        <f t="shared" si="188"/>
        <v>Landfill National</v>
      </c>
      <c r="D3880" s="138" t="str">
        <f t="shared" si="193"/>
        <v>Base</v>
      </c>
      <c r="E3880" s="138" t="str">
        <f t="shared" si="193"/>
        <v>Base</v>
      </c>
      <c r="F3880" s="138" t="str">
        <f t="shared" si="190"/>
        <v>Legacy</v>
      </c>
      <c r="G3880" s="153"/>
      <c r="H3880" s="210">
        <v>1E-4</v>
      </c>
      <c r="I3880" s="208" t="s">
        <v>48</v>
      </c>
      <c r="J3880" s="211">
        <v>6.2747700000000003E-7</v>
      </c>
      <c r="K3880" s="160" t="s">
        <v>145</v>
      </c>
      <c r="L3880" s="154" t="str">
        <f>IF(OpenLCAbasic!K3880="CTUh", "Fill in Manually",IF(OR(K3880="Unit", K3880=""), "", INDEX(LookUps!$E$5:$E$12, MATCH(OpenLCAbasic!K3880,LookUps!$D$5:$D$12,0))))</f>
        <v>Particulate Matter Formation Potential (PMFP) - kg PM2.5 eq</v>
      </c>
      <c r="M3880" s="154" t="str">
        <f t="shared" si="192"/>
        <v>Base_Base_Legacy_Particulate Matter Formation Potential (PMFP) - kg PM2.5 eq_Effluent release; wastewater treatment unit; at surface water; m3 wastewater - US_Landfill National_n.a.</v>
      </c>
    </row>
    <row r="3881" spans="1:13" s="120" customFormat="1" x14ac:dyDescent="0.25">
      <c r="A3881" s="119"/>
      <c r="B3881" s="138" t="str">
        <f t="shared" si="191"/>
        <v>n.a.</v>
      </c>
      <c r="C3881" s="138" t="str">
        <f t="shared" ref="C3881:C3912" si="194">IF(ISNUMBER($J3881),"Landfill National","")</f>
        <v>Landfill National</v>
      </c>
      <c r="D3881" s="138" t="str">
        <f t="shared" ref="D3881:E3902" si="195">IF(ISNUMBER($J3881),"Base","")</f>
        <v>Base</v>
      </c>
      <c r="E3881" s="138" t="str">
        <f t="shared" si="195"/>
        <v>Base</v>
      </c>
      <c r="F3881" s="138" t="str">
        <f t="shared" ref="F3881:F3903" si="196">IF(ISNUMBER(J3881),"Legacy","")</f>
        <v>Legacy</v>
      </c>
      <c r="G3881" s="153"/>
      <c r="H3881" s="210">
        <v>-5.9900000000000002E-2</v>
      </c>
      <c r="I3881" s="208" t="s">
        <v>151</v>
      </c>
      <c r="J3881" s="211">
        <v>-2.5999999999999998E-4</v>
      </c>
      <c r="K3881" s="160" t="s">
        <v>145</v>
      </c>
      <c r="L3881" s="154" t="str">
        <f>IF(OpenLCAbasic!K3881="CTUh", "Fill in Manually",IF(OR(K3881="Unit", K3881=""), "", INDEX(LookUps!$E$5:$E$12, MATCH(OpenLCAbasic!K3881,LookUps!$D$5:$D$12,0))))</f>
        <v>Particulate Matter Formation Potential (PMFP) - kg PM2.5 eq</v>
      </c>
      <c r="M3881" s="154" t="str">
        <f t="shared" si="192"/>
        <v>Base_Base_Legacy_Particulate Matter Formation Potential (PMFP) - kg PM2.5 eq_Sludge Disposal; wastewater treatment unit - US_Landfill National_n.a.</v>
      </c>
    </row>
    <row r="3882" spans="1:13" s="120" customFormat="1" x14ac:dyDescent="0.25">
      <c r="A3882" s="119"/>
      <c r="B3882" s="138" t="str">
        <f t="shared" si="191"/>
        <v/>
      </c>
      <c r="C3882" s="138" t="str">
        <f t="shared" si="194"/>
        <v/>
      </c>
      <c r="D3882" s="138" t="str">
        <f t="shared" si="195"/>
        <v/>
      </c>
      <c r="E3882" s="138" t="str">
        <f t="shared" si="195"/>
        <v/>
      </c>
      <c r="F3882" s="138" t="str">
        <f t="shared" si="196"/>
        <v/>
      </c>
      <c r="G3882" s="153" t="s">
        <v>51</v>
      </c>
      <c r="H3882" s="160"/>
      <c r="I3882" s="208" t="s">
        <v>47</v>
      </c>
      <c r="J3882" s="160" t="s">
        <v>52</v>
      </c>
      <c r="K3882" s="160" t="s">
        <v>27</v>
      </c>
      <c r="L3882" s="154" t="str">
        <f>IF(OpenLCAbasic!K3882="CTUh", "Fill in Manually",IF(OR(K3882="Unit", K3882=""), "", INDEX(LookUps!$E$5:$E$12, MATCH(OpenLCAbasic!K3882,LookUps!$D$5:$D$12,0))))</f>
        <v/>
      </c>
      <c r="M3882" s="154" t="str">
        <f t="shared" si="192"/>
        <v>____Process__</v>
      </c>
    </row>
    <row r="3883" spans="1:13" s="120" customFormat="1" x14ac:dyDescent="0.25">
      <c r="A3883" s="119"/>
      <c r="B3883" s="138" t="str">
        <f t="shared" si="191"/>
        <v>n.a.</v>
      </c>
      <c r="C3883" s="138" t="str">
        <f t="shared" si="194"/>
        <v>Landfill National</v>
      </c>
      <c r="D3883" s="138" t="str">
        <f t="shared" si="195"/>
        <v>Base</v>
      </c>
      <c r="E3883" s="138" t="str">
        <f t="shared" si="195"/>
        <v>Base</v>
      </c>
      <c r="F3883" s="138" t="str">
        <f t="shared" si="196"/>
        <v>Legacy</v>
      </c>
      <c r="G3883" s="153"/>
      <c r="H3883" s="210">
        <v>0.42759999999999998</v>
      </c>
      <c r="I3883" s="208" t="s">
        <v>125</v>
      </c>
      <c r="J3883" s="160">
        <v>0.12926000000000001</v>
      </c>
      <c r="K3883" s="160" t="s">
        <v>25</v>
      </c>
      <c r="L3883" s="154" t="str">
        <f>IF(OpenLCAbasic!K3883="CTUh", "Fill in Manually",IF(OR(K3883="Unit", K3883=""), "", INDEX(LookUps!$E$5:$E$12, MATCH(OpenLCAbasic!K3883,LookUps!$D$5:$D$12,0))))</f>
        <v>Smog Formation Potential (SFP) - kg O3 eq</v>
      </c>
      <c r="M3883" s="154" t="str">
        <f t="shared" si="192"/>
        <v>Base_Base_Legacy_Smog Formation Potential (SFP) - kg O3 eq_Aerobic Digester; wastewater treatment unit - US_Landfill National_n.a.</v>
      </c>
    </row>
    <row r="3884" spans="1:13" s="120" customFormat="1" x14ac:dyDescent="0.25">
      <c r="A3884" s="119"/>
      <c r="B3884" s="138" t="str">
        <f t="shared" si="191"/>
        <v>n.a.</v>
      </c>
      <c r="C3884" s="138" t="str">
        <f t="shared" si="194"/>
        <v>Landfill National</v>
      </c>
      <c r="D3884" s="138" t="str">
        <f t="shared" si="195"/>
        <v>Base</v>
      </c>
      <c r="E3884" s="138" t="str">
        <f t="shared" si="195"/>
        <v>Base</v>
      </c>
      <c r="F3884" s="138" t="str">
        <f t="shared" si="196"/>
        <v>Legacy</v>
      </c>
      <c r="G3884" s="153"/>
      <c r="H3884" s="210">
        <v>0.4178</v>
      </c>
      <c r="I3884" s="208" t="s">
        <v>124</v>
      </c>
      <c r="J3884" s="160">
        <v>0.12629000000000001</v>
      </c>
      <c r="K3884" s="160" t="s">
        <v>25</v>
      </c>
      <c r="L3884" s="154" t="str">
        <f>IF(OpenLCAbasic!K3884="CTUh", "Fill in Manually",IF(OR(K3884="Unit", K3884=""), "", INDEX(LookUps!$E$5:$E$12, MATCH(OpenLCAbasic!K3884,LookUps!$D$5:$D$12,0))))</f>
        <v>Smog Formation Potential (SFP) - kg O3 eq</v>
      </c>
      <c r="M3884" s="154" t="str">
        <f t="shared" si="192"/>
        <v>Base_Base_Legacy_Smog Formation Potential (SFP) - kg O3 eq_Aeration Tanks; wastewater treatment unit - US_Landfill National_n.a.</v>
      </c>
    </row>
    <row r="3885" spans="1:13" s="120" customFormat="1" x14ac:dyDescent="0.25">
      <c r="A3885" s="119"/>
      <c r="B3885" s="138" t="str">
        <f t="shared" si="191"/>
        <v>n.a.</v>
      </c>
      <c r="C3885" s="138" t="str">
        <f t="shared" si="194"/>
        <v>Landfill National</v>
      </c>
      <c r="D3885" s="138" t="str">
        <f t="shared" si="195"/>
        <v>Base</v>
      </c>
      <c r="E3885" s="138" t="str">
        <f t="shared" si="195"/>
        <v>Base</v>
      </c>
      <c r="F3885" s="138" t="str">
        <f t="shared" si="196"/>
        <v>Legacy</v>
      </c>
      <c r="G3885" s="153"/>
      <c r="H3885" s="210">
        <v>0.1207</v>
      </c>
      <c r="I3885" s="208" t="s">
        <v>126</v>
      </c>
      <c r="J3885" s="160">
        <v>3.6470000000000002E-2</v>
      </c>
      <c r="K3885" s="160" t="s">
        <v>25</v>
      </c>
      <c r="L3885" s="154" t="str">
        <f>IF(OpenLCAbasic!K3885="CTUh", "Fill in Manually",IF(OR(K3885="Unit", K3885=""), "", INDEX(LookUps!$E$5:$E$12, MATCH(OpenLCAbasic!K3885,LookUps!$D$5:$D$12,0))))</f>
        <v>Smog Formation Potential (SFP) - kg O3 eq</v>
      </c>
      <c r="M3885" s="154" t="str">
        <f t="shared" si="192"/>
        <v>Base_Base_Legacy_Smog Formation Potential (SFP) - kg O3 eq_Primary Clarifier; wastewater treatment unit - US_Landfill National_n.a.</v>
      </c>
    </row>
    <row r="3886" spans="1:13" s="120" customFormat="1" x14ac:dyDescent="0.25">
      <c r="A3886" s="119"/>
      <c r="B3886" s="138" t="str">
        <f t="shared" si="191"/>
        <v>n.a.</v>
      </c>
      <c r="C3886" s="138" t="str">
        <f t="shared" si="194"/>
        <v>Landfill National</v>
      </c>
      <c r="D3886" s="138" t="str">
        <f t="shared" si="195"/>
        <v>Base</v>
      </c>
      <c r="E3886" s="138" t="str">
        <f t="shared" si="195"/>
        <v>Base</v>
      </c>
      <c r="F3886" s="138" t="str">
        <f t="shared" si="196"/>
        <v>Legacy</v>
      </c>
      <c r="G3886" s="153"/>
      <c r="H3886" s="210">
        <v>3.9399999999999998E-2</v>
      </c>
      <c r="I3886" s="208" t="s">
        <v>128</v>
      </c>
      <c r="J3886" s="160">
        <v>1.192E-2</v>
      </c>
      <c r="K3886" s="160" t="s">
        <v>25</v>
      </c>
      <c r="L3886" s="154" t="str">
        <f>IF(OpenLCAbasic!K3886="CTUh", "Fill in Manually",IF(OR(K3886="Unit", K3886=""), "", INDEX(LookUps!$E$5:$E$12, MATCH(OpenLCAbasic!K3886,LookUps!$D$5:$D$12,0))))</f>
        <v>Smog Formation Potential (SFP) - kg O3 eq</v>
      </c>
      <c r="M3886" s="154" t="str">
        <f t="shared" si="192"/>
        <v>Base_Base_Legacy_Smog Formation Potential (SFP) - kg O3 eq_Wastewater collection; operation and infrastructure; m3 wastewater_Landfill National_n.a.</v>
      </c>
    </row>
    <row r="3887" spans="1:13" s="120" customFormat="1" x14ac:dyDescent="0.25">
      <c r="A3887" s="119"/>
      <c r="B3887" s="138" t="str">
        <f t="shared" si="191"/>
        <v>n.a.</v>
      </c>
      <c r="C3887" s="138" t="str">
        <f t="shared" si="194"/>
        <v>Landfill National</v>
      </c>
      <c r="D3887" s="138" t="str">
        <f t="shared" si="195"/>
        <v>Base</v>
      </c>
      <c r="E3887" s="138" t="str">
        <f t="shared" si="195"/>
        <v>Base</v>
      </c>
      <c r="F3887" s="138" t="str">
        <f t="shared" si="196"/>
        <v>Legacy</v>
      </c>
      <c r="G3887" s="153"/>
      <c r="H3887" s="210">
        <v>2.3E-2</v>
      </c>
      <c r="I3887" s="208" t="s">
        <v>150</v>
      </c>
      <c r="J3887" s="160">
        <v>6.9499999999999996E-3</v>
      </c>
      <c r="K3887" s="160" t="s">
        <v>25</v>
      </c>
      <c r="L3887" s="154" t="str">
        <f>IF(OpenLCAbasic!K3887="CTUh", "Fill in Manually",IF(OR(K3887="Unit", K3887=""), "", INDEX(LookUps!$E$5:$E$12, MATCH(OpenLCAbasic!K3887,LookUps!$D$5:$D$12,0))))</f>
        <v>Smog Formation Potential (SFP) - kg O3 eq</v>
      </c>
      <c r="M3887" s="154" t="str">
        <f t="shared" si="192"/>
        <v>Base_Base_Legacy_Smog Formation Potential (SFP) - kg O3 eq_Screening and Grit Removal - US_Landfill National_n.a.</v>
      </c>
    </row>
    <row r="3888" spans="1:13" s="120" customFormat="1" x14ac:dyDescent="0.25">
      <c r="A3888" s="119"/>
      <c r="B3888" s="138" t="str">
        <f t="shared" si="191"/>
        <v>n.a.</v>
      </c>
      <c r="C3888" s="138" t="str">
        <f t="shared" si="194"/>
        <v>Landfill National</v>
      </c>
      <c r="D3888" s="138" t="str">
        <f t="shared" si="195"/>
        <v>Base</v>
      </c>
      <c r="E3888" s="138" t="str">
        <f t="shared" si="195"/>
        <v>Base</v>
      </c>
      <c r="F3888" s="138" t="str">
        <f t="shared" si="196"/>
        <v>Legacy</v>
      </c>
      <c r="G3888" s="153"/>
      <c r="H3888" s="210">
        <v>2.0199999999999999E-2</v>
      </c>
      <c r="I3888" s="208" t="s">
        <v>123</v>
      </c>
      <c r="J3888" s="160">
        <v>6.1000000000000004E-3</v>
      </c>
      <c r="K3888" s="160" t="s">
        <v>25</v>
      </c>
      <c r="L3888" s="154" t="str">
        <f>IF(OpenLCAbasic!K3888="CTUh", "Fill in Manually",IF(OR(K3888="Unit", K3888=""), "", INDEX(LookUps!$E$5:$E$12, MATCH(OpenLCAbasic!K3888,LookUps!$D$5:$D$12,0))))</f>
        <v>Smog Formation Potential (SFP) - kg O3 eq</v>
      </c>
      <c r="M3888" s="154" t="str">
        <f t="shared" si="192"/>
        <v>Base_Base_Legacy_Smog Formation Potential (SFP) - kg O3 eq_Belt filter press; wastewater treatment unit - US_Landfill National_n.a.</v>
      </c>
    </row>
    <row r="3889" spans="1:13" s="120" customFormat="1" x14ac:dyDescent="0.25">
      <c r="A3889" s="119"/>
      <c r="B3889" s="138" t="str">
        <f t="shared" si="191"/>
        <v>n.a.</v>
      </c>
      <c r="C3889" s="138" t="str">
        <f t="shared" si="194"/>
        <v>Landfill National</v>
      </c>
      <c r="D3889" s="138" t="str">
        <f t="shared" si="195"/>
        <v>Base</v>
      </c>
      <c r="E3889" s="138" t="str">
        <f t="shared" si="195"/>
        <v>Base</v>
      </c>
      <c r="F3889" s="138" t="str">
        <f t="shared" si="196"/>
        <v>Legacy</v>
      </c>
      <c r="G3889" s="153"/>
      <c r="H3889" s="210">
        <v>4.4999999999999997E-3</v>
      </c>
      <c r="I3889" s="208" t="s">
        <v>56</v>
      </c>
      <c r="J3889" s="160">
        <v>1.3699999999999999E-3</v>
      </c>
      <c r="K3889" s="160" t="s">
        <v>25</v>
      </c>
      <c r="L3889" s="154" t="str">
        <f>IF(OpenLCAbasic!K3889="CTUh", "Fill in Manually",IF(OR(K3889="Unit", K3889=""), "", INDEX(LookUps!$E$5:$E$12, MATCH(OpenLCAbasic!K3889,LookUps!$D$5:$D$12,0))))</f>
        <v>Smog Formation Potential (SFP) - kg O3 eq</v>
      </c>
      <c r="M3889" s="154" t="str">
        <f t="shared" si="192"/>
        <v>Base_Base_Legacy_Smog Formation Potential (SFP) - kg O3 eq_Control Building; at wastewater treatment plant - US_Landfill National_n.a.</v>
      </c>
    </row>
    <row r="3890" spans="1:13" s="120" customFormat="1" x14ac:dyDescent="0.25">
      <c r="A3890" s="119"/>
      <c r="B3890" s="138" t="str">
        <f t="shared" si="191"/>
        <v>n.a.</v>
      </c>
      <c r="C3890" s="138" t="str">
        <f t="shared" si="194"/>
        <v>Landfill National</v>
      </c>
      <c r="D3890" s="138" t="str">
        <f t="shared" si="195"/>
        <v>Base</v>
      </c>
      <c r="E3890" s="138" t="str">
        <f t="shared" si="195"/>
        <v>Base</v>
      </c>
      <c r="F3890" s="138" t="str">
        <f t="shared" si="196"/>
        <v>Legacy</v>
      </c>
      <c r="G3890" s="153"/>
      <c r="H3890" s="210">
        <v>2.7000000000000001E-3</v>
      </c>
      <c r="I3890" s="208" t="s">
        <v>127</v>
      </c>
      <c r="J3890" s="160">
        <v>8.0000000000000004E-4</v>
      </c>
      <c r="K3890" s="160" t="s">
        <v>25</v>
      </c>
      <c r="L3890" s="154" t="str">
        <f>IF(OpenLCAbasic!K3890="CTUh", "Fill in Manually",IF(OR(K3890="Unit", K3890=""), "", INDEX(LookUps!$E$5:$E$12, MATCH(OpenLCAbasic!K3890,LookUps!$D$5:$D$12,0))))</f>
        <v>Smog Formation Potential (SFP) - kg O3 eq</v>
      </c>
      <c r="M3890" s="154" t="str">
        <f t="shared" si="192"/>
        <v>Base_Base_Legacy_Smog Formation Potential (SFP) - kg O3 eq_Sludge Thickener; wastewater treatment unit - US_Landfill National_n.a.</v>
      </c>
    </row>
    <row r="3891" spans="1:13" s="120" customFormat="1" x14ac:dyDescent="0.25">
      <c r="A3891" s="119"/>
      <c r="B3891" s="138" t="str">
        <f t="shared" si="191"/>
        <v>n.a.</v>
      </c>
      <c r="C3891" s="138" t="str">
        <f t="shared" si="194"/>
        <v>Landfill National</v>
      </c>
      <c r="D3891" s="138" t="str">
        <f t="shared" si="195"/>
        <v>Base</v>
      </c>
      <c r="E3891" s="138" t="str">
        <f t="shared" si="195"/>
        <v>Base</v>
      </c>
      <c r="F3891" s="138" t="str">
        <f t="shared" si="196"/>
        <v>Legacy</v>
      </c>
      <c r="G3891" s="153"/>
      <c r="H3891" s="210">
        <v>1E-4</v>
      </c>
      <c r="I3891" s="208" t="s">
        <v>48</v>
      </c>
      <c r="J3891" s="211">
        <v>4.0287000000000002E-5</v>
      </c>
      <c r="K3891" s="160" t="s">
        <v>25</v>
      </c>
      <c r="L3891" s="154" t="str">
        <f>IF(OpenLCAbasic!K3891="CTUh", "Fill in Manually",IF(OR(K3891="Unit", K3891=""), "", INDEX(LookUps!$E$5:$E$12, MATCH(OpenLCAbasic!K3891,LookUps!$D$5:$D$12,0))))</f>
        <v>Smog Formation Potential (SFP) - kg O3 eq</v>
      </c>
      <c r="M3891" s="154" t="str">
        <f t="shared" si="192"/>
        <v>Base_Base_Legacy_Smog Formation Potential (SFP) - kg O3 eq_Effluent release; wastewater treatment unit; at surface water; m3 wastewater - US_Landfill National_n.a.</v>
      </c>
    </row>
    <row r="3892" spans="1:13" s="120" customFormat="1" x14ac:dyDescent="0.25">
      <c r="A3892" s="119"/>
      <c r="B3892" s="138" t="str">
        <f t="shared" si="191"/>
        <v>n.a.</v>
      </c>
      <c r="C3892" s="138" t="str">
        <f t="shared" si="194"/>
        <v>Landfill National</v>
      </c>
      <c r="D3892" s="138" t="str">
        <f t="shared" si="195"/>
        <v>Base</v>
      </c>
      <c r="E3892" s="138" t="str">
        <f t="shared" si="195"/>
        <v>Base</v>
      </c>
      <c r="F3892" s="138" t="str">
        <f t="shared" si="196"/>
        <v>Legacy</v>
      </c>
      <c r="G3892" s="153"/>
      <c r="H3892" s="210">
        <v>-5.5899999999999998E-2</v>
      </c>
      <c r="I3892" s="208" t="s">
        <v>151</v>
      </c>
      <c r="J3892" s="160">
        <v>-1.6910000000000001E-2</v>
      </c>
      <c r="K3892" s="160" t="s">
        <v>25</v>
      </c>
      <c r="L3892" s="154" t="str">
        <f>IF(OpenLCAbasic!K3892="CTUh", "Fill in Manually",IF(OR(K3892="Unit", K3892=""), "", INDEX(LookUps!$E$5:$E$12, MATCH(OpenLCAbasic!K3892,LookUps!$D$5:$D$12,0))))</f>
        <v>Smog Formation Potential (SFP) - kg O3 eq</v>
      </c>
      <c r="M3892" s="154" t="str">
        <f t="shared" si="192"/>
        <v>Base_Base_Legacy_Smog Formation Potential (SFP) - kg O3 eq_Sludge Disposal; wastewater treatment unit - US_Landfill National_n.a.</v>
      </c>
    </row>
    <row r="3893" spans="1:13" s="120" customFormat="1" x14ac:dyDescent="0.25">
      <c r="A3893" s="119"/>
      <c r="B3893" s="138" t="str">
        <f t="shared" si="191"/>
        <v/>
      </c>
      <c r="C3893" s="138" t="str">
        <f t="shared" si="194"/>
        <v/>
      </c>
      <c r="D3893" s="138" t="str">
        <f t="shared" si="195"/>
        <v/>
      </c>
      <c r="E3893" s="138" t="str">
        <f t="shared" si="195"/>
        <v/>
      </c>
      <c r="F3893" s="138" t="str">
        <f t="shared" si="196"/>
        <v/>
      </c>
      <c r="G3893" s="153" t="s">
        <v>51</v>
      </c>
      <c r="H3893" s="160"/>
      <c r="I3893" s="208" t="s">
        <v>47</v>
      </c>
      <c r="J3893" s="160" t="s">
        <v>52</v>
      </c>
      <c r="K3893" s="160" t="s">
        <v>27</v>
      </c>
      <c r="L3893" s="154" t="str">
        <f>IF(OpenLCAbasic!K3893="CTUh", "Fill in Manually",IF(OR(K3893="Unit", K3893=""), "", INDEX(LookUps!$E$5:$E$12, MATCH(OpenLCAbasic!K3893,LookUps!$D$5:$D$12,0))))</f>
        <v/>
      </c>
      <c r="M3893" s="154" t="str">
        <f t="shared" si="192"/>
        <v>____Process__</v>
      </c>
    </row>
    <row r="3894" spans="1:13" s="120" customFormat="1" x14ac:dyDescent="0.25">
      <c r="A3894" s="119"/>
      <c r="B3894" s="138" t="str">
        <f t="shared" si="191"/>
        <v>n.a.</v>
      </c>
      <c r="C3894" s="138" t="str">
        <f t="shared" si="194"/>
        <v>Landfill National</v>
      </c>
      <c r="D3894" s="138" t="str">
        <f t="shared" si="195"/>
        <v>Base</v>
      </c>
      <c r="E3894" s="138" t="str">
        <f t="shared" si="195"/>
        <v>Base</v>
      </c>
      <c r="F3894" s="138" t="str">
        <f t="shared" si="196"/>
        <v>Legacy</v>
      </c>
      <c r="G3894" s="153"/>
      <c r="H3894" s="210">
        <v>0.60780000000000001</v>
      </c>
      <c r="I3894" s="208" t="s">
        <v>126</v>
      </c>
      <c r="J3894" s="160">
        <v>7.6000000000000004E-4</v>
      </c>
      <c r="K3894" s="160" t="s">
        <v>26</v>
      </c>
      <c r="L3894" s="154" t="str">
        <f>IF(OpenLCAbasic!K3894="CTUh", "Fill in Manually",IF(OR(K3894="Unit", K3894=""), "", INDEX(LookUps!$E$5:$E$12, MATCH(OpenLCAbasic!K3894,LookUps!$D$5:$D$12,0))))</f>
        <v>Water Use (WU) - m3 H2O</v>
      </c>
      <c r="M3894" s="154" t="str">
        <f t="shared" si="192"/>
        <v>Base_Base_Legacy_Water Use (WU) - m3 H2O_Primary Clarifier; wastewater treatment unit - US_Landfill National_n.a.</v>
      </c>
    </row>
    <row r="3895" spans="1:13" s="120" customFormat="1" x14ac:dyDescent="0.25">
      <c r="A3895" s="119"/>
      <c r="B3895" s="138" t="str">
        <f t="shared" si="191"/>
        <v>n.a.</v>
      </c>
      <c r="C3895" s="138" t="str">
        <f t="shared" si="194"/>
        <v>Landfill National</v>
      </c>
      <c r="D3895" s="138" t="str">
        <f t="shared" si="195"/>
        <v>Base</v>
      </c>
      <c r="E3895" s="138" t="str">
        <f t="shared" si="195"/>
        <v>Base</v>
      </c>
      <c r="F3895" s="138" t="str">
        <f t="shared" si="196"/>
        <v>Legacy</v>
      </c>
      <c r="G3895" s="153"/>
      <c r="H3895" s="210">
        <v>0.1197</v>
      </c>
      <c r="I3895" s="208" t="s">
        <v>124</v>
      </c>
      <c r="J3895" s="160">
        <v>1.4999999999999999E-4</v>
      </c>
      <c r="K3895" s="160" t="s">
        <v>26</v>
      </c>
      <c r="L3895" s="154" t="str">
        <f>IF(OpenLCAbasic!K3895="CTUh", "Fill in Manually",IF(OR(K3895="Unit", K3895=""), "", INDEX(LookUps!$E$5:$E$12, MATCH(OpenLCAbasic!K3895,LookUps!$D$5:$D$12,0))))</f>
        <v>Water Use (WU) - m3 H2O</v>
      </c>
      <c r="M3895" s="154" t="str">
        <f t="shared" si="192"/>
        <v>Base_Base_Legacy_Water Use (WU) - m3 H2O_Aeration Tanks; wastewater treatment unit - US_Landfill National_n.a.</v>
      </c>
    </row>
    <row r="3896" spans="1:13" s="120" customFormat="1" x14ac:dyDescent="0.25">
      <c r="A3896" s="119"/>
      <c r="B3896" s="138" t="str">
        <f t="shared" si="191"/>
        <v>n.a.</v>
      </c>
      <c r="C3896" s="138" t="str">
        <f t="shared" si="194"/>
        <v>Landfill National</v>
      </c>
      <c r="D3896" s="138" t="str">
        <f t="shared" si="195"/>
        <v>Base</v>
      </c>
      <c r="E3896" s="138" t="str">
        <f t="shared" si="195"/>
        <v>Base</v>
      </c>
      <c r="F3896" s="138" t="str">
        <f t="shared" si="196"/>
        <v>Legacy</v>
      </c>
      <c r="G3896" s="153"/>
      <c r="H3896" s="210">
        <v>9.5299999999999996E-2</v>
      </c>
      <c r="I3896" s="208" t="s">
        <v>56</v>
      </c>
      <c r="J3896" s="160">
        <v>1.2E-4</v>
      </c>
      <c r="K3896" s="160" t="s">
        <v>26</v>
      </c>
      <c r="L3896" s="154" t="str">
        <f>IF(OpenLCAbasic!K3896="CTUh", "Fill in Manually",IF(OR(K3896="Unit", K3896=""), "", INDEX(LookUps!$E$5:$E$12, MATCH(OpenLCAbasic!K3896,LookUps!$D$5:$D$12,0))))</f>
        <v>Water Use (WU) - m3 H2O</v>
      </c>
      <c r="M3896" s="154" t="str">
        <f t="shared" si="192"/>
        <v>Base_Base_Legacy_Water Use (WU) - m3 H2O_Control Building; at wastewater treatment plant - US_Landfill National_n.a.</v>
      </c>
    </row>
    <row r="3897" spans="1:13" s="120" customFormat="1" x14ac:dyDescent="0.25">
      <c r="A3897" s="119"/>
      <c r="B3897" s="138" t="str">
        <f t="shared" si="191"/>
        <v>n.a.</v>
      </c>
      <c r="C3897" s="138" t="str">
        <f t="shared" si="194"/>
        <v>Landfill National</v>
      </c>
      <c r="D3897" s="138" t="str">
        <f t="shared" si="195"/>
        <v>Base</v>
      </c>
      <c r="E3897" s="138" t="str">
        <f t="shared" si="195"/>
        <v>Base</v>
      </c>
      <c r="F3897" s="138" t="str">
        <f t="shared" si="196"/>
        <v>Legacy</v>
      </c>
      <c r="G3897" s="153"/>
      <c r="H3897" s="210">
        <v>8.0600000000000005E-2</v>
      </c>
      <c r="I3897" s="208" t="s">
        <v>125</v>
      </c>
      <c r="J3897" s="160">
        <v>1E-4</v>
      </c>
      <c r="K3897" s="160" t="s">
        <v>26</v>
      </c>
      <c r="L3897" s="154" t="str">
        <f>IF(OpenLCAbasic!K3897="CTUh", "Fill in Manually",IF(OR(K3897="Unit", K3897=""), "", INDEX(LookUps!$E$5:$E$12, MATCH(OpenLCAbasic!K3897,LookUps!$D$5:$D$12,0))))</f>
        <v>Water Use (WU) - m3 H2O</v>
      </c>
      <c r="M3897" s="154" t="str">
        <f t="shared" si="192"/>
        <v>Base_Base_Legacy_Water Use (WU) - m3 H2O_Aerobic Digester; wastewater treatment unit - US_Landfill National_n.a.</v>
      </c>
    </row>
    <row r="3898" spans="1:13" s="120" customFormat="1" x14ac:dyDescent="0.25">
      <c r="A3898" s="119"/>
      <c r="B3898" s="138" t="str">
        <f t="shared" si="191"/>
        <v>n.a.</v>
      </c>
      <c r="C3898" s="138" t="str">
        <f t="shared" si="194"/>
        <v>Landfill National</v>
      </c>
      <c r="D3898" s="138" t="str">
        <f t="shared" si="195"/>
        <v>Base</v>
      </c>
      <c r="E3898" s="138" t="str">
        <f t="shared" si="195"/>
        <v>Base</v>
      </c>
      <c r="F3898" s="138" t="str">
        <f t="shared" si="196"/>
        <v>Legacy</v>
      </c>
      <c r="G3898" s="153"/>
      <c r="H3898" s="210">
        <v>6.25E-2</v>
      </c>
      <c r="I3898" s="208" t="s">
        <v>123</v>
      </c>
      <c r="J3898" s="211">
        <v>7.8034799999999994E-5</v>
      </c>
      <c r="K3898" s="160" t="s">
        <v>26</v>
      </c>
      <c r="L3898" s="154" t="str">
        <f>IF(OpenLCAbasic!K3898="CTUh", "Fill in Manually",IF(OR(K3898="Unit", K3898=""), "", INDEX(LookUps!$E$5:$E$12, MATCH(OpenLCAbasic!K3898,LookUps!$D$5:$D$12,0))))</f>
        <v>Water Use (WU) - m3 H2O</v>
      </c>
      <c r="M3898" s="154" t="str">
        <f t="shared" si="192"/>
        <v>Base_Base_Legacy_Water Use (WU) - m3 H2O_Belt filter press; wastewater treatment unit - US_Landfill National_n.a.</v>
      </c>
    </row>
    <row r="3899" spans="1:13" s="120" customFormat="1" x14ac:dyDescent="0.25">
      <c r="A3899" s="119"/>
      <c r="B3899" s="138" t="str">
        <f t="shared" si="191"/>
        <v>n.a.</v>
      </c>
      <c r="C3899" s="138" t="str">
        <f t="shared" si="194"/>
        <v>Landfill National</v>
      </c>
      <c r="D3899" s="138" t="str">
        <f t="shared" si="195"/>
        <v>Base</v>
      </c>
      <c r="E3899" s="138" t="str">
        <f t="shared" si="195"/>
        <v>Base</v>
      </c>
      <c r="F3899" s="138" t="str">
        <f t="shared" si="196"/>
        <v>Legacy</v>
      </c>
      <c r="G3899" s="153"/>
      <c r="H3899" s="210">
        <v>1.5800000000000002E-2</v>
      </c>
      <c r="I3899" s="208" t="s">
        <v>151</v>
      </c>
      <c r="J3899" s="211">
        <v>1.97643E-5</v>
      </c>
      <c r="K3899" s="160" t="s">
        <v>26</v>
      </c>
      <c r="L3899" s="154" t="str">
        <f>IF(OpenLCAbasic!K3899="CTUh", "Fill in Manually",IF(OR(K3899="Unit", K3899=""), "", INDEX(LookUps!$E$5:$E$12, MATCH(OpenLCAbasic!K3899,LookUps!$D$5:$D$12,0))))</f>
        <v>Water Use (WU) - m3 H2O</v>
      </c>
      <c r="M3899" s="154" t="str">
        <f t="shared" si="192"/>
        <v>Base_Base_Legacy_Water Use (WU) - m3 H2O_Sludge Disposal; wastewater treatment unit - US_Landfill National_n.a.</v>
      </c>
    </row>
    <row r="3900" spans="1:13" s="120" customFormat="1" x14ac:dyDescent="0.25">
      <c r="A3900" s="119"/>
      <c r="B3900" s="138" t="str">
        <f t="shared" si="191"/>
        <v>n.a.</v>
      </c>
      <c r="C3900" s="138" t="str">
        <f t="shared" si="194"/>
        <v>Landfill National</v>
      </c>
      <c r="D3900" s="138" t="str">
        <f t="shared" si="195"/>
        <v>Base</v>
      </c>
      <c r="E3900" s="138" t="str">
        <f t="shared" si="195"/>
        <v>Base</v>
      </c>
      <c r="F3900" s="138" t="str">
        <f t="shared" si="196"/>
        <v>Legacy</v>
      </c>
      <c r="G3900" s="153"/>
      <c r="H3900" s="210">
        <v>8.0000000000000002E-3</v>
      </c>
      <c r="I3900" s="208" t="s">
        <v>150</v>
      </c>
      <c r="J3900" s="211">
        <v>9.9884700000000006E-6</v>
      </c>
      <c r="K3900" s="160" t="s">
        <v>26</v>
      </c>
      <c r="L3900" s="154" t="str">
        <f>IF(OpenLCAbasic!K3900="CTUh", "Fill in Manually",IF(OR(K3900="Unit", K3900=""), "", INDEX(LookUps!$E$5:$E$12, MATCH(OpenLCAbasic!K3900,LookUps!$D$5:$D$12,0))))</f>
        <v>Water Use (WU) - m3 H2O</v>
      </c>
      <c r="M3900" s="154" t="str">
        <f t="shared" si="192"/>
        <v>Base_Base_Legacy_Water Use (WU) - m3 H2O_Screening and Grit Removal - US_Landfill National_n.a.</v>
      </c>
    </row>
    <row r="3901" spans="1:13" s="120" customFormat="1" x14ac:dyDescent="0.25">
      <c r="A3901" s="119"/>
      <c r="B3901" s="138" t="str">
        <f t="shared" si="191"/>
        <v>n.a.</v>
      </c>
      <c r="C3901" s="138" t="str">
        <f t="shared" si="194"/>
        <v>Landfill National</v>
      </c>
      <c r="D3901" s="138" t="str">
        <f t="shared" si="195"/>
        <v>Base</v>
      </c>
      <c r="E3901" s="138" t="str">
        <f t="shared" si="195"/>
        <v>Base</v>
      </c>
      <c r="F3901" s="138" t="str">
        <f t="shared" si="196"/>
        <v>Legacy</v>
      </c>
      <c r="G3901" s="153"/>
      <c r="H3901" s="210">
        <v>4.5999999999999999E-3</v>
      </c>
      <c r="I3901" s="208" t="s">
        <v>127</v>
      </c>
      <c r="J3901" s="211">
        <v>5.7153500000000003E-6</v>
      </c>
      <c r="K3901" s="160" t="s">
        <v>26</v>
      </c>
      <c r="L3901" s="154" t="str">
        <f>IF(OpenLCAbasic!K3901="CTUh", "Fill in Manually",IF(OR(K3901="Unit", K3901=""), "", INDEX(LookUps!$E$5:$E$12, MATCH(OpenLCAbasic!K3901,LookUps!$D$5:$D$12,0))))</f>
        <v>Water Use (WU) - m3 H2O</v>
      </c>
      <c r="M3901" s="154" t="str">
        <f t="shared" si="192"/>
        <v>Base_Base_Legacy_Water Use (WU) - m3 H2O_Sludge Thickener; wastewater treatment unit - US_Landfill National_n.a.</v>
      </c>
    </row>
    <row r="3902" spans="1:13" s="120" customFormat="1" x14ac:dyDescent="0.25">
      <c r="A3902" s="119"/>
      <c r="B3902" s="138" t="str">
        <f t="shared" si="191"/>
        <v>n.a.</v>
      </c>
      <c r="C3902" s="138" t="str">
        <f t="shared" si="194"/>
        <v>Landfill National</v>
      </c>
      <c r="D3902" s="138" t="str">
        <f t="shared" si="195"/>
        <v>Base</v>
      </c>
      <c r="E3902" s="138" t="str">
        <f t="shared" si="195"/>
        <v>Base</v>
      </c>
      <c r="F3902" s="138" t="str">
        <f t="shared" si="196"/>
        <v>Legacy</v>
      </c>
      <c r="G3902" s="153"/>
      <c r="H3902" s="210">
        <v>4.1000000000000003E-3</v>
      </c>
      <c r="I3902" s="208" t="s">
        <v>128</v>
      </c>
      <c r="J3902" s="211">
        <v>5.0608900000000003E-6</v>
      </c>
      <c r="K3902" s="160" t="s">
        <v>26</v>
      </c>
      <c r="L3902" s="154" t="str">
        <f>IF(OpenLCAbasic!K3902="CTUh", "Fill in Manually",IF(OR(K3902="Unit", K3902=""), "", INDEX(LookUps!$E$5:$E$12, MATCH(OpenLCAbasic!K3902,LookUps!$D$5:$D$12,0))))</f>
        <v>Water Use (WU) - m3 H2O</v>
      </c>
      <c r="M3902" s="154" t="str">
        <f t="shared" si="192"/>
        <v>Base_Base_Legacy_Water Use (WU) - m3 H2O_Wastewater collection; operation and infrastructure; m3 wastewater_Landfill National_n.a.</v>
      </c>
    </row>
    <row r="3903" spans="1:13" s="120" customFormat="1" x14ac:dyDescent="0.25">
      <c r="A3903" s="119"/>
      <c r="B3903" s="138" t="str">
        <f t="shared" si="191"/>
        <v>n.a.</v>
      </c>
      <c r="C3903" s="138" t="str">
        <f t="shared" si="194"/>
        <v>Landfill National</v>
      </c>
      <c r="D3903" s="138" t="str">
        <f t="shared" ref="D3903:D3935" si="197">IF(ISNUMBER($J3903),"Base","")</f>
        <v>Base</v>
      </c>
      <c r="E3903" s="138" t="str">
        <f t="shared" ref="E3903:E3919" si="198">IF(ISNUMBER($J3903),"Low","")</f>
        <v>Low</v>
      </c>
      <c r="F3903" s="138" t="str">
        <f t="shared" si="196"/>
        <v>Legacy</v>
      </c>
      <c r="G3903" s="153"/>
      <c r="H3903" s="210">
        <v>1.6999999999999999E-3</v>
      </c>
      <c r="I3903" s="208" t="s">
        <v>48</v>
      </c>
      <c r="J3903" s="211">
        <v>2.14447E-6</v>
      </c>
      <c r="K3903" s="160" t="s">
        <v>26</v>
      </c>
      <c r="L3903" s="154" t="str">
        <f>IF(OpenLCAbasic!K3903="CTUh", "Fill in Manually",IF(OR(K3903="Unit", K3903=""), "", INDEX(LookUps!$E$5:$E$12, MATCH(OpenLCAbasic!K3903,LookUps!$D$5:$D$12,0))))</f>
        <v>Water Use (WU) - m3 H2O</v>
      </c>
      <c r="M3903" s="154" t="str">
        <f t="shared" si="192"/>
        <v>Low_Base_Legacy_Water Use (WU) - m3 H2O_Effluent release; wastewater treatment unit; at surface water; m3 wastewater - US_Landfill National_n.a.</v>
      </c>
    </row>
    <row r="3904" spans="1:13" s="120" customFormat="1" x14ac:dyDescent="0.25">
      <c r="A3904" s="119"/>
      <c r="B3904" s="138" t="str">
        <f t="shared" si="191"/>
        <v/>
      </c>
      <c r="C3904" s="138" t="str">
        <f t="shared" si="194"/>
        <v/>
      </c>
      <c r="D3904" s="138" t="str">
        <f t="shared" si="197"/>
        <v/>
      </c>
      <c r="E3904" s="138" t="str">
        <f t="shared" si="198"/>
        <v/>
      </c>
      <c r="F3904" s="138" t="str">
        <f t="shared" ref="F3904:F3919" si="199">IF(ISNUMBER(J3904),"Legacy","")</f>
        <v/>
      </c>
      <c r="G3904" s="153" t="s">
        <v>51</v>
      </c>
      <c r="H3904" s="160"/>
      <c r="I3904" s="208" t="s">
        <v>47</v>
      </c>
      <c r="J3904" s="160" t="s">
        <v>52</v>
      </c>
      <c r="K3904" s="160" t="s">
        <v>27</v>
      </c>
      <c r="L3904" s="154" t="str">
        <f>IF(OpenLCAbasic!K3904="CTUh", "Fill in Manually",IF(OR(K3904="Unit", K3904=""), "", INDEX(LookUps!$E$5:$E$12, MATCH(OpenLCAbasic!K3904,LookUps!$D$5:$D$12,0))))</f>
        <v/>
      </c>
      <c r="M3904" s="154" t="str">
        <f t="shared" si="192"/>
        <v>____Process__</v>
      </c>
    </row>
    <row r="3905" spans="1:13" s="120" customFormat="1" x14ac:dyDescent="0.25">
      <c r="A3905" s="119"/>
      <c r="B3905" s="138" t="str">
        <f t="shared" si="191"/>
        <v>n.a.</v>
      </c>
      <c r="C3905" s="138" t="str">
        <f t="shared" si="194"/>
        <v>Landfill National</v>
      </c>
      <c r="D3905" s="138" t="str">
        <f t="shared" si="197"/>
        <v>Base</v>
      </c>
      <c r="E3905" s="138" t="str">
        <f t="shared" si="198"/>
        <v>Low</v>
      </c>
      <c r="F3905" s="138" t="str">
        <f t="shared" si="199"/>
        <v>Legacy</v>
      </c>
      <c r="G3905" s="153"/>
      <c r="H3905" s="210">
        <v>-4.4699999999999997E-2</v>
      </c>
      <c r="I3905" s="208" t="s">
        <v>151</v>
      </c>
      <c r="J3905" s="160">
        <v>-1.4499999999999999E-3</v>
      </c>
      <c r="K3905" s="160" t="s">
        <v>24</v>
      </c>
      <c r="L3905" s="154" t="str">
        <f>IF(OpenLCAbasic!K3905="CTUh", "Fill in Manually",IF(OR(K3905="Unit", K3905=""), "", INDEX(LookUps!$E$5:$E$12, MATCH(OpenLCAbasic!K3905,LookUps!$D$5:$D$12,0))))</f>
        <v>Acidification Potential (AP) - kg SO2 eq</v>
      </c>
      <c r="M3905" s="154" t="str">
        <f t="shared" si="192"/>
        <v>Low_Base_Legacy_Acidification Potential (AP) - kg SO2 eq_Sludge Disposal; wastewater treatment unit - US_Landfill National_n.a.</v>
      </c>
    </row>
    <row r="3906" spans="1:13" s="120" customFormat="1" x14ac:dyDescent="0.25">
      <c r="A3906" s="119"/>
      <c r="B3906" s="138" t="str">
        <f t="shared" si="191"/>
        <v/>
      </c>
      <c r="C3906" s="138" t="str">
        <f t="shared" si="194"/>
        <v/>
      </c>
      <c r="D3906" s="138" t="str">
        <f t="shared" si="197"/>
        <v/>
      </c>
      <c r="E3906" s="138" t="str">
        <f t="shared" si="198"/>
        <v/>
      </c>
      <c r="F3906" s="138" t="str">
        <f t="shared" si="199"/>
        <v/>
      </c>
      <c r="G3906" s="153" t="s">
        <v>51</v>
      </c>
      <c r="H3906" s="160"/>
      <c r="I3906" s="208" t="s">
        <v>47</v>
      </c>
      <c r="J3906" s="160" t="s">
        <v>52</v>
      </c>
      <c r="K3906" s="160" t="s">
        <v>27</v>
      </c>
      <c r="L3906" s="154" t="str">
        <f>IF(OpenLCAbasic!K3906="CTUh", "Fill in Manually",IF(OR(K3906="Unit", K3906=""), "", INDEX(LookUps!$E$5:$E$12, MATCH(OpenLCAbasic!K3906,LookUps!$D$5:$D$12,0))))</f>
        <v/>
      </c>
      <c r="M3906" s="154" t="str">
        <f t="shared" si="192"/>
        <v>____Process__</v>
      </c>
    </row>
    <row r="3907" spans="1:13" s="120" customFormat="1" x14ac:dyDescent="0.25">
      <c r="A3907" s="119"/>
      <c r="B3907" s="138" t="str">
        <f t="shared" si="191"/>
        <v>n.a.</v>
      </c>
      <c r="C3907" s="138" t="str">
        <f t="shared" si="194"/>
        <v>Landfill National</v>
      </c>
      <c r="D3907" s="138" t="str">
        <f t="shared" si="197"/>
        <v>Base</v>
      </c>
      <c r="E3907" s="138" t="str">
        <f t="shared" si="198"/>
        <v>Low</v>
      </c>
      <c r="F3907" s="138" t="str">
        <f t="shared" si="199"/>
        <v>Legacy</v>
      </c>
      <c r="G3907" s="153"/>
      <c r="H3907" s="210">
        <v>7.4300000000000005E-2</v>
      </c>
      <c r="I3907" s="208" t="s">
        <v>151</v>
      </c>
      <c r="J3907" s="160">
        <v>0.70004</v>
      </c>
      <c r="K3907" s="160" t="s">
        <v>15</v>
      </c>
      <c r="L3907" s="154" t="str">
        <f>IF(OpenLCAbasic!K3907="CTUh", "Fill in Manually",IF(OR(K3907="Unit", K3907=""), "", INDEX(LookUps!$E$5:$E$12, MATCH(OpenLCAbasic!K3907,LookUps!$D$5:$D$12,0))))</f>
        <v>Cumulative Energy Demand (CED) - MJ</v>
      </c>
      <c r="M3907" s="154" t="str">
        <f t="shared" si="192"/>
        <v>Low_Base_Legacy_Cumulative Energy Demand (CED) - MJ_Sludge Disposal; wastewater treatment unit - US_Landfill National_n.a.</v>
      </c>
    </row>
    <row r="3908" spans="1:13" s="120" customFormat="1" x14ac:dyDescent="0.25">
      <c r="A3908" s="119"/>
      <c r="B3908" s="138" t="str">
        <f t="shared" si="191"/>
        <v/>
      </c>
      <c r="C3908" s="138" t="str">
        <f t="shared" si="194"/>
        <v/>
      </c>
      <c r="D3908" s="138" t="str">
        <f t="shared" si="197"/>
        <v/>
      </c>
      <c r="E3908" s="138" t="str">
        <f t="shared" si="198"/>
        <v/>
      </c>
      <c r="F3908" s="138" t="str">
        <f t="shared" si="199"/>
        <v/>
      </c>
      <c r="G3908" s="153" t="s">
        <v>51</v>
      </c>
      <c r="H3908" s="160"/>
      <c r="I3908" s="208" t="s">
        <v>47</v>
      </c>
      <c r="J3908" s="160" t="s">
        <v>52</v>
      </c>
      <c r="K3908" s="160" t="s">
        <v>27</v>
      </c>
      <c r="L3908" s="154" t="str">
        <f>IF(OpenLCAbasic!K3908="CTUh", "Fill in Manually",IF(OR(K3908="Unit", K3908=""), "", INDEX(LookUps!$E$5:$E$12, MATCH(OpenLCAbasic!K3908,LookUps!$D$5:$D$12,0))))</f>
        <v/>
      </c>
      <c r="M3908" s="154" t="str">
        <f t="shared" si="192"/>
        <v>____Process__</v>
      </c>
    </row>
    <row r="3909" spans="1:13" s="120" customFormat="1" x14ac:dyDescent="0.25">
      <c r="A3909" s="119"/>
      <c r="B3909" s="138" t="str">
        <f t="shared" si="191"/>
        <v>n.a.</v>
      </c>
      <c r="C3909" s="138" t="str">
        <f t="shared" si="194"/>
        <v>Landfill National</v>
      </c>
      <c r="D3909" s="138" t="str">
        <f t="shared" si="197"/>
        <v>Base</v>
      </c>
      <c r="E3909" s="138" t="str">
        <f t="shared" si="198"/>
        <v>Low</v>
      </c>
      <c r="F3909" s="138" t="str">
        <f t="shared" si="199"/>
        <v>Legacy</v>
      </c>
      <c r="G3909" s="153"/>
      <c r="H3909" s="210">
        <v>-1E-3</v>
      </c>
      <c r="I3909" s="208" t="s">
        <v>151</v>
      </c>
      <c r="J3909" s="211">
        <v>-2.4646699999999999E-5</v>
      </c>
      <c r="K3909" s="160" t="s">
        <v>13</v>
      </c>
      <c r="L3909" s="154" t="str">
        <f>IF(OpenLCAbasic!K3909="CTUh", "Fill in Manually",IF(OR(K3909="Unit", K3909=""), "", INDEX(LookUps!$E$5:$E$12, MATCH(OpenLCAbasic!K3909,LookUps!$D$5:$D$12,0))))</f>
        <v>Eutrophication Potential (EP) - kg N eq</v>
      </c>
      <c r="M3909" s="154" t="str">
        <f t="shared" si="192"/>
        <v>Low_Base_Legacy_Eutrophication Potential (EP) - kg N eq_Sludge Disposal; wastewater treatment unit - US_Landfill National_n.a.</v>
      </c>
    </row>
    <row r="3910" spans="1:13" s="120" customFormat="1" x14ac:dyDescent="0.25">
      <c r="A3910" s="119"/>
      <c r="B3910" s="138" t="str">
        <f t="shared" ref="B3910:B3973" si="200">IF(F3910="Legacy","n.a.",IF(F3910="","","Windrow"))</f>
        <v/>
      </c>
      <c r="C3910" s="138" t="str">
        <f t="shared" si="194"/>
        <v/>
      </c>
      <c r="D3910" s="138" t="str">
        <f t="shared" si="197"/>
        <v/>
      </c>
      <c r="E3910" s="138" t="str">
        <f t="shared" si="198"/>
        <v/>
      </c>
      <c r="F3910" s="138" t="str">
        <f t="shared" si="199"/>
        <v/>
      </c>
      <c r="G3910" s="153" t="s">
        <v>51</v>
      </c>
      <c r="H3910" s="160"/>
      <c r="I3910" s="208" t="s">
        <v>47</v>
      </c>
      <c r="J3910" s="160" t="s">
        <v>52</v>
      </c>
      <c r="K3910" s="160" t="s">
        <v>27</v>
      </c>
      <c r="L3910" s="154" t="str">
        <f>IF(OpenLCAbasic!K3910="CTUh", "Fill in Manually",IF(OR(K3910="Unit", K3910=""), "", INDEX(LookUps!$E$5:$E$12, MATCH(OpenLCAbasic!K3910,LookUps!$D$5:$D$12,0))))</f>
        <v/>
      </c>
      <c r="M3910" s="154" t="str">
        <f t="shared" si="192"/>
        <v>____Process__</v>
      </c>
    </row>
    <row r="3911" spans="1:13" s="120" customFormat="1" x14ac:dyDescent="0.25">
      <c r="A3911" s="119"/>
      <c r="B3911" s="138" t="str">
        <f t="shared" si="200"/>
        <v>n.a.</v>
      </c>
      <c r="C3911" s="138" t="str">
        <f t="shared" si="194"/>
        <v>Landfill National</v>
      </c>
      <c r="D3911" s="138" t="str">
        <f t="shared" si="197"/>
        <v>Base</v>
      </c>
      <c r="E3911" s="138" t="str">
        <f t="shared" si="198"/>
        <v>Low</v>
      </c>
      <c r="F3911" s="138" t="str">
        <f t="shared" si="199"/>
        <v>Legacy</v>
      </c>
      <c r="G3911" s="153"/>
      <c r="H3911" s="210">
        <v>0.10249999999999999</v>
      </c>
      <c r="I3911" s="208" t="s">
        <v>151</v>
      </c>
      <c r="J3911" s="160">
        <v>1.823E-2</v>
      </c>
      <c r="K3911" s="160" t="s">
        <v>14</v>
      </c>
      <c r="L3911" s="154" t="str">
        <f>IF(OpenLCAbasic!K3911="CTUh", "Fill in Manually",IF(OR(K3911="Unit", K3911=""), "", INDEX(LookUps!$E$5:$E$12, MATCH(OpenLCAbasic!K3911,LookUps!$D$5:$D$12,0))))</f>
        <v>Fossil Depletion Potential (FDP) - kg oil eq</v>
      </c>
      <c r="M3911" s="154" t="str">
        <f t="shared" ref="M3911:M3974" si="201">CONCATENATE(E3911,"_",D3911,"_",F3911,"_",L3911, "_",I3911,"_", C3911,"_", B3911)</f>
        <v>Low_Base_Legacy_Fossil Depletion Potential (FDP) - kg oil eq_Sludge Disposal; wastewater treatment unit - US_Landfill National_n.a.</v>
      </c>
    </row>
    <row r="3912" spans="1:13" s="120" customFormat="1" x14ac:dyDescent="0.25">
      <c r="A3912" s="119"/>
      <c r="B3912" s="138" t="str">
        <f t="shared" si="200"/>
        <v/>
      </c>
      <c r="C3912" s="138" t="str">
        <f t="shared" si="194"/>
        <v/>
      </c>
      <c r="D3912" s="138" t="str">
        <f t="shared" si="197"/>
        <v/>
      </c>
      <c r="E3912" s="138" t="str">
        <f t="shared" si="198"/>
        <v/>
      </c>
      <c r="F3912" s="138" t="str">
        <f t="shared" si="199"/>
        <v/>
      </c>
      <c r="G3912" s="153" t="s">
        <v>51</v>
      </c>
      <c r="H3912" s="160"/>
      <c r="I3912" s="208" t="s">
        <v>47</v>
      </c>
      <c r="J3912" s="160" t="s">
        <v>52</v>
      </c>
      <c r="K3912" s="160" t="s">
        <v>27</v>
      </c>
      <c r="L3912" s="154" t="str">
        <f>IF(OpenLCAbasic!K3912="CTUh", "Fill in Manually",IF(OR(K3912="Unit", K3912=""), "", INDEX(LookUps!$E$5:$E$12, MATCH(OpenLCAbasic!K3912,LookUps!$D$5:$D$12,0))))</f>
        <v/>
      </c>
      <c r="M3912" s="154" t="str">
        <f t="shared" si="201"/>
        <v>____Process__</v>
      </c>
    </row>
    <row r="3913" spans="1:13" s="120" customFormat="1" x14ac:dyDescent="0.25">
      <c r="A3913" s="119"/>
      <c r="B3913" s="138" t="str">
        <f t="shared" si="200"/>
        <v>n.a.</v>
      </c>
      <c r="C3913" s="138" t="str">
        <f t="shared" ref="C3913:C3935" si="202">IF(ISNUMBER($J3913),"Landfill National","")</f>
        <v>Landfill National</v>
      </c>
      <c r="D3913" s="138" t="str">
        <f t="shared" si="197"/>
        <v>Base</v>
      </c>
      <c r="E3913" s="138" t="str">
        <f t="shared" si="198"/>
        <v>Low</v>
      </c>
      <c r="F3913" s="138" t="str">
        <f t="shared" si="199"/>
        <v>Legacy</v>
      </c>
      <c r="G3913" s="153"/>
      <c r="H3913" s="210">
        <v>-0.1018</v>
      </c>
      <c r="I3913" s="208" t="s">
        <v>151</v>
      </c>
      <c r="J3913" s="160">
        <v>-6.0170000000000001E-2</v>
      </c>
      <c r="K3913" s="160" t="s">
        <v>23</v>
      </c>
      <c r="L3913" s="154" t="str">
        <f>IF(OpenLCAbasic!K3913="CTUh", "Fill in Manually",IF(OR(K3913="Unit", K3913=""), "", INDEX(LookUps!$E$5:$E$12, MATCH(OpenLCAbasic!K3913,LookUps!$D$5:$D$12,0))))</f>
        <v>Global Warming Potential (GWP) - kg CO2 eq</v>
      </c>
      <c r="M3913" s="154" t="str">
        <f t="shared" si="201"/>
        <v>Low_Base_Legacy_Global Warming Potential (GWP) - kg CO2 eq_Sludge Disposal; wastewater treatment unit - US_Landfill National_n.a.</v>
      </c>
    </row>
    <row r="3914" spans="1:13" s="120" customFormat="1" x14ac:dyDescent="0.25">
      <c r="A3914" s="119"/>
      <c r="B3914" s="138" t="str">
        <f t="shared" si="200"/>
        <v/>
      </c>
      <c r="C3914" s="138" t="str">
        <f t="shared" si="202"/>
        <v/>
      </c>
      <c r="D3914" s="138" t="str">
        <f t="shared" si="197"/>
        <v/>
      </c>
      <c r="E3914" s="138" t="str">
        <f t="shared" si="198"/>
        <v/>
      </c>
      <c r="F3914" s="138" t="str">
        <f t="shared" si="199"/>
        <v/>
      </c>
      <c r="G3914" s="153" t="s">
        <v>51</v>
      </c>
      <c r="H3914" s="160"/>
      <c r="I3914" s="208" t="s">
        <v>47</v>
      </c>
      <c r="J3914" s="160" t="s">
        <v>52</v>
      </c>
      <c r="K3914" s="160" t="s">
        <v>27</v>
      </c>
      <c r="L3914" s="154" t="str">
        <f>IF(OpenLCAbasic!K3914="CTUh", "Fill in Manually",IF(OR(K3914="Unit", K3914=""), "", INDEX(LookUps!$E$5:$E$12, MATCH(OpenLCAbasic!K3914,LookUps!$D$5:$D$12,0))))</f>
        <v/>
      </c>
      <c r="M3914" s="154" t="str">
        <f t="shared" si="201"/>
        <v>____Process__</v>
      </c>
    </row>
    <row r="3915" spans="1:13" s="120" customFormat="1" x14ac:dyDescent="0.25">
      <c r="A3915" s="119"/>
      <c r="B3915" s="138" t="str">
        <f t="shared" si="200"/>
        <v>n.a.</v>
      </c>
      <c r="C3915" s="138" t="str">
        <f t="shared" si="202"/>
        <v>Landfill National</v>
      </c>
      <c r="D3915" s="138" t="str">
        <f t="shared" si="197"/>
        <v>Base</v>
      </c>
      <c r="E3915" s="138" t="str">
        <f t="shared" si="198"/>
        <v>Low</v>
      </c>
      <c r="F3915" s="138" t="str">
        <f t="shared" si="199"/>
        <v>Legacy</v>
      </c>
      <c r="G3915" s="153"/>
      <c r="H3915" s="210">
        <v>-4.6800000000000001E-2</v>
      </c>
      <c r="I3915" s="208" t="s">
        <v>151</v>
      </c>
      <c r="J3915" s="160">
        <v>-2.0000000000000001E-4</v>
      </c>
      <c r="K3915" s="160" t="s">
        <v>145</v>
      </c>
      <c r="L3915" s="154" t="str">
        <f>IF(OpenLCAbasic!K3915="CTUh", "Fill in Manually",IF(OR(K3915="Unit", K3915=""), "", INDEX(LookUps!$E$5:$E$12, MATCH(OpenLCAbasic!K3915,LookUps!$D$5:$D$12,0))))</f>
        <v>Particulate Matter Formation Potential (PMFP) - kg PM2.5 eq</v>
      </c>
      <c r="M3915" s="154" t="str">
        <f t="shared" si="201"/>
        <v>Low_Base_Legacy_Particulate Matter Formation Potential (PMFP) - kg PM2.5 eq_Sludge Disposal; wastewater treatment unit - US_Landfill National_n.a.</v>
      </c>
    </row>
    <row r="3916" spans="1:13" s="120" customFormat="1" x14ac:dyDescent="0.25">
      <c r="A3916" s="119"/>
      <c r="B3916" s="138" t="str">
        <f t="shared" si="200"/>
        <v/>
      </c>
      <c r="C3916" s="138" t="str">
        <f t="shared" si="202"/>
        <v/>
      </c>
      <c r="D3916" s="138" t="str">
        <f t="shared" si="197"/>
        <v/>
      </c>
      <c r="E3916" s="138" t="str">
        <f t="shared" si="198"/>
        <v/>
      </c>
      <c r="F3916" s="138" t="str">
        <f t="shared" si="199"/>
        <v/>
      </c>
      <c r="G3916" s="153" t="s">
        <v>51</v>
      </c>
      <c r="H3916" s="160"/>
      <c r="I3916" s="208" t="s">
        <v>47</v>
      </c>
      <c r="J3916" s="160" t="s">
        <v>52</v>
      </c>
      <c r="K3916" s="160" t="s">
        <v>27</v>
      </c>
      <c r="L3916" s="154" t="str">
        <f>IF(OpenLCAbasic!K3916="CTUh", "Fill in Manually",IF(OR(K3916="Unit", K3916=""), "", INDEX(LookUps!$E$5:$E$12, MATCH(OpenLCAbasic!K3916,LookUps!$D$5:$D$12,0))))</f>
        <v/>
      </c>
      <c r="M3916" s="154" t="str">
        <f t="shared" si="201"/>
        <v>____Process__</v>
      </c>
    </row>
    <row r="3917" spans="1:13" s="120" customFormat="1" x14ac:dyDescent="0.25">
      <c r="A3917" s="119"/>
      <c r="B3917" s="138" t="str">
        <f t="shared" si="200"/>
        <v>n.a.</v>
      </c>
      <c r="C3917" s="138" t="str">
        <f t="shared" si="202"/>
        <v>Landfill National</v>
      </c>
      <c r="D3917" s="138" t="str">
        <f t="shared" si="197"/>
        <v>Base</v>
      </c>
      <c r="E3917" s="138" t="str">
        <f t="shared" si="198"/>
        <v>Low</v>
      </c>
      <c r="F3917" s="138" t="str">
        <f t="shared" si="199"/>
        <v>Legacy</v>
      </c>
      <c r="G3917" s="153"/>
      <c r="H3917" s="210">
        <v>-4.3299999999999998E-2</v>
      </c>
      <c r="I3917" s="208" t="s">
        <v>151</v>
      </c>
      <c r="J3917" s="160">
        <v>-1.324E-2</v>
      </c>
      <c r="K3917" s="160" t="s">
        <v>25</v>
      </c>
      <c r="L3917" s="154" t="str">
        <f>IF(OpenLCAbasic!K3917="CTUh", "Fill in Manually",IF(OR(K3917="Unit", K3917=""), "", INDEX(LookUps!$E$5:$E$12, MATCH(OpenLCAbasic!K3917,LookUps!$D$5:$D$12,0))))</f>
        <v>Smog Formation Potential (SFP) - kg O3 eq</v>
      </c>
      <c r="M3917" s="154" t="str">
        <f t="shared" si="201"/>
        <v>Low_Base_Legacy_Smog Formation Potential (SFP) - kg O3 eq_Sludge Disposal; wastewater treatment unit - US_Landfill National_n.a.</v>
      </c>
    </row>
    <row r="3918" spans="1:13" s="120" customFormat="1" x14ac:dyDescent="0.25">
      <c r="A3918" s="119"/>
      <c r="B3918" s="138" t="str">
        <f t="shared" si="200"/>
        <v/>
      </c>
      <c r="C3918" s="138" t="str">
        <f t="shared" si="202"/>
        <v/>
      </c>
      <c r="D3918" s="138" t="str">
        <f t="shared" si="197"/>
        <v/>
      </c>
      <c r="E3918" s="138" t="str">
        <f t="shared" si="198"/>
        <v/>
      </c>
      <c r="F3918" s="138" t="str">
        <f t="shared" si="199"/>
        <v/>
      </c>
      <c r="G3918" s="153" t="s">
        <v>51</v>
      </c>
      <c r="H3918" s="160"/>
      <c r="I3918" s="208" t="s">
        <v>47</v>
      </c>
      <c r="J3918" s="160" t="s">
        <v>52</v>
      </c>
      <c r="K3918" s="160" t="s">
        <v>27</v>
      </c>
      <c r="L3918" s="154" t="str">
        <f>IF(OpenLCAbasic!K3918="CTUh", "Fill in Manually",IF(OR(K3918="Unit", K3918=""), "", INDEX(LookUps!$E$5:$E$12, MATCH(OpenLCAbasic!K3918,LookUps!$D$5:$D$12,0))))</f>
        <v/>
      </c>
      <c r="M3918" s="154" t="str">
        <f t="shared" si="201"/>
        <v>____Process__</v>
      </c>
    </row>
    <row r="3919" spans="1:13" s="120" customFormat="1" x14ac:dyDescent="0.25">
      <c r="A3919" s="119"/>
      <c r="B3919" s="138" t="str">
        <f t="shared" si="200"/>
        <v>n.a.</v>
      </c>
      <c r="C3919" s="138" t="str">
        <f t="shared" si="202"/>
        <v>Landfill National</v>
      </c>
      <c r="D3919" s="138" t="str">
        <f t="shared" si="197"/>
        <v>Base</v>
      </c>
      <c r="E3919" s="138" t="str">
        <f t="shared" si="198"/>
        <v>Low</v>
      </c>
      <c r="F3919" s="138" t="str">
        <f t="shared" si="199"/>
        <v>Legacy</v>
      </c>
      <c r="G3919" s="153"/>
      <c r="H3919" s="210">
        <v>1.6799999999999999E-2</v>
      </c>
      <c r="I3919" s="208" t="s">
        <v>151</v>
      </c>
      <c r="J3919" s="211">
        <v>2.0953400000000002E-5</v>
      </c>
      <c r="K3919" s="160" t="s">
        <v>26</v>
      </c>
      <c r="L3919" s="154" t="str">
        <f>IF(OpenLCAbasic!K3919="CTUh", "Fill in Manually",IF(OR(K3919="Unit", K3919=""), "", INDEX(LookUps!$E$5:$E$12, MATCH(OpenLCAbasic!K3919,LookUps!$D$5:$D$12,0))))</f>
        <v>Water Use (WU) - m3 H2O</v>
      </c>
      <c r="M3919" s="154" t="str">
        <f t="shared" si="201"/>
        <v>Low_Base_Legacy_Water Use (WU) - m3 H2O_Sludge Disposal; wastewater treatment unit - US_Landfill National_n.a.</v>
      </c>
    </row>
    <row r="3920" spans="1:13" s="120" customFormat="1" x14ac:dyDescent="0.25">
      <c r="A3920" s="119"/>
      <c r="B3920" s="138" t="str">
        <f t="shared" si="200"/>
        <v/>
      </c>
      <c r="C3920" s="138" t="str">
        <f t="shared" si="202"/>
        <v/>
      </c>
      <c r="D3920" s="138" t="str">
        <f t="shared" si="197"/>
        <v/>
      </c>
      <c r="E3920" s="138" t="str">
        <f t="shared" ref="E3920:E3935" si="203">IF(ISNUMBER($J3920),"High","")</f>
        <v/>
      </c>
      <c r="F3920" s="138" t="str">
        <f t="shared" ref="F3920" si="204">IF(ISNUMBER(J3920),"Legacy","")</f>
        <v/>
      </c>
      <c r="G3920" s="153" t="s">
        <v>51</v>
      </c>
      <c r="H3920" s="160"/>
      <c r="I3920" s="208" t="s">
        <v>47</v>
      </c>
      <c r="J3920" s="160" t="s">
        <v>52</v>
      </c>
      <c r="K3920" s="160" t="s">
        <v>27</v>
      </c>
      <c r="L3920" s="154" t="str">
        <f>IF(OpenLCAbasic!K3920="CTUh", "Fill in Manually",IF(OR(K3920="Unit", K3920=""), "", INDEX(LookUps!$E$5:$E$12, MATCH(OpenLCAbasic!K3920,LookUps!$D$5:$D$12,0))))</f>
        <v/>
      </c>
      <c r="M3920" s="154" t="str">
        <f t="shared" si="201"/>
        <v>____Process__</v>
      </c>
    </row>
    <row r="3921" spans="1:13" s="120" customFormat="1" x14ac:dyDescent="0.25">
      <c r="A3921" s="119"/>
      <c r="B3921" s="138" t="str">
        <f t="shared" si="200"/>
        <v>n.a.</v>
      </c>
      <c r="C3921" s="138" t="str">
        <f t="shared" si="202"/>
        <v>Landfill National</v>
      </c>
      <c r="D3921" s="138" t="str">
        <f t="shared" si="197"/>
        <v>Base</v>
      </c>
      <c r="E3921" s="138" t="str">
        <f t="shared" si="203"/>
        <v>High</v>
      </c>
      <c r="F3921" s="138" t="str">
        <f t="shared" ref="F3921:F3935" si="205">IF(ISNUMBER(J3921),"Legacy","")</f>
        <v>Legacy</v>
      </c>
      <c r="G3921" s="153"/>
      <c r="H3921" s="210">
        <v>-6.83E-2</v>
      </c>
      <c r="I3921" s="208" t="s">
        <v>151</v>
      </c>
      <c r="J3921" s="160">
        <v>-2.1700000000000001E-3</v>
      </c>
      <c r="K3921" s="160" t="s">
        <v>24</v>
      </c>
      <c r="L3921" s="154" t="str">
        <f>IF(OpenLCAbasic!K3921="CTUh", "Fill in Manually",IF(OR(K3921="Unit", K3921=""), "", INDEX(LookUps!$E$5:$E$12, MATCH(OpenLCAbasic!K3921,LookUps!$D$5:$D$12,0))))</f>
        <v>Acidification Potential (AP) - kg SO2 eq</v>
      </c>
      <c r="M3921" s="154" t="str">
        <f t="shared" si="201"/>
        <v>High_Base_Legacy_Acidification Potential (AP) - kg SO2 eq_Sludge Disposal; wastewater treatment unit - US_Landfill National_n.a.</v>
      </c>
    </row>
    <row r="3922" spans="1:13" s="120" customFormat="1" x14ac:dyDescent="0.25">
      <c r="A3922" s="119"/>
      <c r="B3922" s="138" t="str">
        <f t="shared" si="200"/>
        <v/>
      </c>
      <c r="C3922" s="138" t="str">
        <f t="shared" si="202"/>
        <v/>
      </c>
      <c r="D3922" s="138" t="str">
        <f t="shared" si="197"/>
        <v/>
      </c>
      <c r="E3922" s="138" t="str">
        <f t="shared" si="203"/>
        <v/>
      </c>
      <c r="F3922" s="138" t="str">
        <f t="shared" si="205"/>
        <v/>
      </c>
      <c r="G3922" s="153" t="s">
        <v>51</v>
      </c>
      <c r="H3922" s="160"/>
      <c r="I3922" s="208" t="s">
        <v>47</v>
      </c>
      <c r="J3922" s="160" t="s">
        <v>52</v>
      </c>
      <c r="K3922" s="160" t="s">
        <v>27</v>
      </c>
      <c r="L3922" s="154" t="str">
        <f>IF(OpenLCAbasic!K3922="CTUh", "Fill in Manually",IF(OR(K3922="Unit", K3922=""), "", INDEX(LookUps!$E$5:$E$12, MATCH(OpenLCAbasic!K3922,LookUps!$D$5:$D$12,0))))</f>
        <v/>
      </c>
      <c r="M3922" s="154" t="str">
        <f t="shared" si="201"/>
        <v>____Process__</v>
      </c>
    </row>
    <row r="3923" spans="1:13" s="120" customFormat="1" x14ac:dyDescent="0.25">
      <c r="A3923" s="119"/>
      <c r="B3923" s="138" t="str">
        <f t="shared" si="200"/>
        <v>n.a.</v>
      </c>
      <c r="C3923" s="138" t="str">
        <f t="shared" si="202"/>
        <v>Landfill National</v>
      </c>
      <c r="D3923" s="138" t="str">
        <f t="shared" si="197"/>
        <v>Base</v>
      </c>
      <c r="E3923" s="138" t="str">
        <f t="shared" si="203"/>
        <v>High</v>
      </c>
      <c r="F3923" s="138" t="str">
        <f t="shared" si="205"/>
        <v>Legacy</v>
      </c>
      <c r="G3923" s="153"/>
      <c r="H3923" s="210">
        <v>5.9900000000000002E-2</v>
      </c>
      <c r="I3923" s="208" t="s">
        <v>151</v>
      </c>
      <c r="J3923" s="160">
        <v>0.55645999999999995</v>
      </c>
      <c r="K3923" s="160" t="s">
        <v>15</v>
      </c>
      <c r="L3923" s="154" t="str">
        <f>IF(OpenLCAbasic!K3923="CTUh", "Fill in Manually",IF(OR(K3923="Unit", K3923=""), "", INDEX(LookUps!$E$5:$E$12, MATCH(OpenLCAbasic!K3923,LookUps!$D$5:$D$12,0))))</f>
        <v>Cumulative Energy Demand (CED) - MJ</v>
      </c>
      <c r="M3923" s="154" t="str">
        <f t="shared" si="201"/>
        <v>High_Base_Legacy_Cumulative Energy Demand (CED) - MJ_Sludge Disposal; wastewater treatment unit - US_Landfill National_n.a.</v>
      </c>
    </row>
    <row r="3924" spans="1:13" s="120" customFormat="1" x14ac:dyDescent="0.25">
      <c r="A3924" s="119"/>
      <c r="B3924" s="138" t="str">
        <f t="shared" si="200"/>
        <v/>
      </c>
      <c r="C3924" s="138" t="str">
        <f t="shared" si="202"/>
        <v/>
      </c>
      <c r="D3924" s="138" t="str">
        <f t="shared" si="197"/>
        <v/>
      </c>
      <c r="E3924" s="138" t="str">
        <f t="shared" si="203"/>
        <v/>
      </c>
      <c r="F3924" s="138" t="str">
        <f t="shared" si="205"/>
        <v/>
      </c>
      <c r="G3924" s="153" t="s">
        <v>51</v>
      </c>
      <c r="H3924" s="160"/>
      <c r="I3924" s="208" t="s">
        <v>47</v>
      </c>
      <c r="J3924" s="160" t="s">
        <v>52</v>
      </c>
      <c r="K3924" s="160" t="s">
        <v>27</v>
      </c>
      <c r="L3924" s="154" t="str">
        <f>IF(OpenLCAbasic!K3924="CTUh", "Fill in Manually",IF(OR(K3924="Unit", K3924=""), "", INDEX(LookUps!$E$5:$E$12, MATCH(OpenLCAbasic!K3924,LookUps!$D$5:$D$12,0))))</f>
        <v/>
      </c>
      <c r="M3924" s="154" t="str">
        <f t="shared" si="201"/>
        <v>____Process__</v>
      </c>
    </row>
    <row r="3925" spans="1:13" s="120" customFormat="1" x14ac:dyDescent="0.25">
      <c r="A3925" s="119"/>
      <c r="B3925" s="138" t="str">
        <f t="shared" si="200"/>
        <v>n.a.</v>
      </c>
      <c r="C3925" s="138" t="str">
        <f t="shared" si="202"/>
        <v>Landfill National</v>
      </c>
      <c r="D3925" s="138" t="str">
        <f t="shared" si="197"/>
        <v>Base</v>
      </c>
      <c r="E3925" s="138" t="str">
        <f t="shared" si="203"/>
        <v>High</v>
      </c>
      <c r="F3925" s="138" t="str">
        <f t="shared" si="205"/>
        <v>Legacy</v>
      </c>
      <c r="G3925" s="153"/>
      <c r="H3925" s="210">
        <v>-1.9E-3</v>
      </c>
      <c r="I3925" s="208" t="s">
        <v>151</v>
      </c>
      <c r="J3925" s="211">
        <v>-4.65132E-5</v>
      </c>
      <c r="K3925" s="160" t="s">
        <v>13</v>
      </c>
      <c r="L3925" s="154" t="str">
        <f>IF(OpenLCAbasic!K3925="CTUh", "Fill in Manually",IF(OR(K3925="Unit", K3925=""), "", INDEX(LookUps!$E$5:$E$12, MATCH(OpenLCAbasic!K3925,LookUps!$D$5:$D$12,0))))</f>
        <v>Eutrophication Potential (EP) - kg N eq</v>
      </c>
      <c r="M3925" s="154" t="str">
        <f t="shared" si="201"/>
        <v>High_Base_Legacy_Eutrophication Potential (EP) - kg N eq_Sludge Disposal; wastewater treatment unit - US_Landfill National_n.a.</v>
      </c>
    </row>
    <row r="3926" spans="1:13" s="120" customFormat="1" x14ac:dyDescent="0.25">
      <c r="A3926" s="119"/>
      <c r="B3926" s="138" t="str">
        <f t="shared" si="200"/>
        <v/>
      </c>
      <c r="C3926" s="138" t="str">
        <f t="shared" si="202"/>
        <v/>
      </c>
      <c r="D3926" s="138" t="str">
        <f t="shared" si="197"/>
        <v/>
      </c>
      <c r="E3926" s="138" t="str">
        <f t="shared" si="203"/>
        <v/>
      </c>
      <c r="F3926" s="138" t="str">
        <f t="shared" si="205"/>
        <v/>
      </c>
      <c r="G3926" s="153" t="s">
        <v>51</v>
      </c>
      <c r="H3926" s="160"/>
      <c r="I3926" s="208" t="s">
        <v>47</v>
      </c>
      <c r="J3926" s="160" t="s">
        <v>52</v>
      </c>
      <c r="K3926" s="160" t="s">
        <v>27</v>
      </c>
      <c r="L3926" s="154" t="str">
        <f>IF(OpenLCAbasic!K3926="CTUh", "Fill in Manually",IF(OR(K3926="Unit", K3926=""), "", INDEX(LookUps!$E$5:$E$12, MATCH(OpenLCAbasic!K3926,LookUps!$D$5:$D$12,0))))</f>
        <v/>
      </c>
      <c r="M3926" s="154" t="str">
        <f t="shared" si="201"/>
        <v>____Process__</v>
      </c>
    </row>
    <row r="3927" spans="1:13" s="120" customFormat="1" x14ac:dyDescent="0.25">
      <c r="A3927" s="119"/>
      <c r="B3927" s="138" t="str">
        <f t="shared" si="200"/>
        <v>n.a.</v>
      </c>
      <c r="C3927" s="138" t="str">
        <f t="shared" si="202"/>
        <v>Landfill National</v>
      </c>
      <c r="D3927" s="138" t="str">
        <f t="shared" si="197"/>
        <v>Base</v>
      </c>
      <c r="E3927" s="138" t="str">
        <f t="shared" si="203"/>
        <v>High</v>
      </c>
      <c r="F3927" s="138" t="str">
        <f t="shared" si="205"/>
        <v>Legacy</v>
      </c>
      <c r="G3927" s="153"/>
      <c r="H3927" s="210">
        <v>8.9300000000000004E-2</v>
      </c>
      <c r="I3927" s="208" t="s">
        <v>151</v>
      </c>
      <c r="J3927" s="160">
        <v>1.5650000000000001E-2</v>
      </c>
      <c r="K3927" s="160" t="s">
        <v>14</v>
      </c>
      <c r="L3927" s="154" t="str">
        <f>IF(OpenLCAbasic!K3927="CTUh", "Fill in Manually",IF(OR(K3927="Unit", K3927=""), "", INDEX(LookUps!$E$5:$E$12, MATCH(OpenLCAbasic!K3927,LookUps!$D$5:$D$12,0))))</f>
        <v>Fossil Depletion Potential (FDP) - kg oil eq</v>
      </c>
      <c r="M3927" s="154" t="str">
        <f t="shared" si="201"/>
        <v>High_Base_Legacy_Fossil Depletion Potential (FDP) - kg oil eq_Sludge Disposal; wastewater treatment unit - US_Landfill National_n.a.</v>
      </c>
    </row>
    <row r="3928" spans="1:13" s="120" customFormat="1" x14ac:dyDescent="0.25">
      <c r="A3928" s="119"/>
      <c r="B3928" s="138" t="str">
        <f t="shared" si="200"/>
        <v/>
      </c>
      <c r="C3928" s="138" t="str">
        <f t="shared" si="202"/>
        <v/>
      </c>
      <c r="D3928" s="138" t="str">
        <f t="shared" si="197"/>
        <v/>
      </c>
      <c r="E3928" s="138" t="str">
        <f t="shared" si="203"/>
        <v/>
      </c>
      <c r="F3928" s="138" t="str">
        <f t="shared" si="205"/>
        <v/>
      </c>
      <c r="G3928" s="153" t="s">
        <v>51</v>
      </c>
      <c r="H3928" s="160"/>
      <c r="I3928" s="208" t="s">
        <v>47</v>
      </c>
      <c r="J3928" s="160" t="s">
        <v>52</v>
      </c>
      <c r="K3928" s="160" t="s">
        <v>27</v>
      </c>
      <c r="L3928" s="154" t="str">
        <f>IF(OpenLCAbasic!K3928="CTUh", "Fill in Manually",IF(OR(K3928="Unit", K3928=""), "", INDEX(LookUps!$E$5:$E$12, MATCH(OpenLCAbasic!K3928,LookUps!$D$5:$D$12,0))))</f>
        <v/>
      </c>
      <c r="M3928" s="154" t="str">
        <f t="shared" si="201"/>
        <v>____Process__</v>
      </c>
    </row>
    <row r="3929" spans="1:13" s="120" customFormat="1" x14ac:dyDescent="0.25">
      <c r="A3929" s="119"/>
      <c r="B3929" s="138" t="str">
        <f t="shared" si="200"/>
        <v>n.a.</v>
      </c>
      <c r="C3929" s="138" t="str">
        <f t="shared" si="202"/>
        <v>Landfill National</v>
      </c>
      <c r="D3929" s="138" t="str">
        <f t="shared" si="197"/>
        <v>Base</v>
      </c>
      <c r="E3929" s="138" t="str">
        <f t="shared" si="203"/>
        <v>High</v>
      </c>
      <c r="F3929" s="138" t="str">
        <f t="shared" si="205"/>
        <v>Legacy</v>
      </c>
      <c r="G3929" s="153"/>
      <c r="H3929" s="210">
        <v>0.51829999999999998</v>
      </c>
      <c r="I3929" s="208" t="s">
        <v>151</v>
      </c>
      <c r="J3929" s="160">
        <v>0.70089999999999997</v>
      </c>
      <c r="K3929" s="160" t="s">
        <v>23</v>
      </c>
      <c r="L3929" s="154" t="str">
        <f>IF(OpenLCAbasic!K3929="CTUh", "Fill in Manually",IF(OR(K3929="Unit", K3929=""), "", INDEX(LookUps!$E$5:$E$12, MATCH(OpenLCAbasic!K3929,LookUps!$D$5:$D$12,0))))</f>
        <v>Global Warming Potential (GWP) - kg CO2 eq</v>
      </c>
      <c r="M3929" s="154" t="str">
        <f t="shared" si="201"/>
        <v>High_Base_Legacy_Global Warming Potential (GWP) - kg CO2 eq_Sludge Disposal; wastewater treatment unit - US_Landfill National_n.a.</v>
      </c>
    </row>
    <row r="3930" spans="1:13" s="120" customFormat="1" x14ac:dyDescent="0.25">
      <c r="A3930" s="119"/>
      <c r="B3930" s="138" t="str">
        <f t="shared" si="200"/>
        <v/>
      </c>
      <c r="C3930" s="138" t="str">
        <f t="shared" si="202"/>
        <v/>
      </c>
      <c r="D3930" s="138" t="str">
        <f t="shared" si="197"/>
        <v/>
      </c>
      <c r="E3930" s="138" t="str">
        <f t="shared" si="203"/>
        <v/>
      </c>
      <c r="F3930" s="138" t="str">
        <f t="shared" si="205"/>
        <v/>
      </c>
      <c r="G3930" s="153" t="s">
        <v>51</v>
      </c>
      <c r="H3930" s="160"/>
      <c r="I3930" s="208" t="s">
        <v>47</v>
      </c>
      <c r="J3930" s="160" t="s">
        <v>52</v>
      </c>
      <c r="K3930" s="160" t="s">
        <v>27</v>
      </c>
      <c r="L3930" s="154" t="str">
        <f>IF(OpenLCAbasic!K3930="CTUh", "Fill in Manually",IF(OR(K3930="Unit", K3930=""), "", INDEX(LookUps!$E$5:$E$12, MATCH(OpenLCAbasic!K3930,LookUps!$D$5:$D$12,0))))</f>
        <v/>
      </c>
      <c r="M3930" s="154" t="str">
        <f t="shared" si="201"/>
        <v>____Process__</v>
      </c>
    </row>
    <row r="3931" spans="1:13" s="120" customFormat="1" x14ac:dyDescent="0.25">
      <c r="A3931" s="119"/>
      <c r="B3931" s="138" t="str">
        <f t="shared" si="200"/>
        <v>n.a.</v>
      </c>
      <c r="C3931" s="138" t="str">
        <f t="shared" si="202"/>
        <v>Landfill National</v>
      </c>
      <c r="D3931" s="138" t="str">
        <f t="shared" si="197"/>
        <v>Base</v>
      </c>
      <c r="E3931" s="138" t="str">
        <f t="shared" si="203"/>
        <v>High</v>
      </c>
      <c r="F3931" s="138" t="str">
        <f t="shared" si="205"/>
        <v>Legacy</v>
      </c>
      <c r="G3931" s="153"/>
      <c r="H3931" s="210">
        <v>-7.0900000000000005E-2</v>
      </c>
      <c r="I3931" s="208" t="s">
        <v>151</v>
      </c>
      <c r="J3931" s="160">
        <v>-2.9999999999999997E-4</v>
      </c>
      <c r="K3931" s="160" t="s">
        <v>145</v>
      </c>
      <c r="L3931" s="154" t="str">
        <f>IF(OpenLCAbasic!K3931="CTUh", "Fill in Manually",IF(OR(K3931="Unit", K3931=""), "", INDEX(LookUps!$E$5:$E$12, MATCH(OpenLCAbasic!K3931,LookUps!$D$5:$D$12,0))))</f>
        <v>Particulate Matter Formation Potential (PMFP) - kg PM2.5 eq</v>
      </c>
      <c r="M3931" s="154" t="str">
        <f t="shared" si="201"/>
        <v>High_Base_Legacy_Particulate Matter Formation Potential (PMFP) - kg PM2.5 eq_Sludge Disposal; wastewater treatment unit - US_Landfill National_n.a.</v>
      </c>
    </row>
    <row r="3932" spans="1:13" s="120" customFormat="1" x14ac:dyDescent="0.25">
      <c r="A3932" s="119"/>
      <c r="B3932" s="138" t="str">
        <f t="shared" si="200"/>
        <v/>
      </c>
      <c r="C3932" s="138" t="str">
        <f t="shared" si="202"/>
        <v/>
      </c>
      <c r="D3932" s="138" t="str">
        <f t="shared" si="197"/>
        <v/>
      </c>
      <c r="E3932" s="138" t="str">
        <f t="shared" si="203"/>
        <v/>
      </c>
      <c r="F3932" s="138" t="str">
        <f t="shared" si="205"/>
        <v/>
      </c>
      <c r="G3932" s="153" t="s">
        <v>51</v>
      </c>
      <c r="H3932" s="160"/>
      <c r="I3932" s="208" t="s">
        <v>47</v>
      </c>
      <c r="J3932" s="160" t="s">
        <v>52</v>
      </c>
      <c r="K3932" s="160" t="s">
        <v>27</v>
      </c>
      <c r="L3932" s="154" t="str">
        <f>IF(OpenLCAbasic!K3932="CTUh", "Fill in Manually",IF(OR(K3932="Unit", K3932=""), "", INDEX(LookUps!$E$5:$E$12, MATCH(OpenLCAbasic!K3932,LookUps!$D$5:$D$12,0))))</f>
        <v/>
      </c>
      <c r="M3932" s="154" t="str">
        <f t="shared" si="201"/>
        <v>____Process__</v>
      </c>
    </row>
    <row r="3933" spans="1:13" s="120" customFormat="1" x14ac:dyDescent="0.25">
      <c r="A3933" s="119"/>
      <c r="B3933" s="138" t="str">
        <f t="shared" si="200"/>
        <v>n.a.</v>
      </c>
      <c r="C3933" s="138" t="str">
        <f t="shared" si="202"/>
        <v>Landfill National</v>
      </c>
      <c r="D3933" s="138" t="str">
        <f t="shared" si="197"/>
        <v>Base</v>
      </c>
      <c r="E3933" s="138" t="str">
        <f t="shared" si="203"/>
        <v>High</v>
      </c>
      <c r="F3933" s="138" t="str">
        <f t="shared" si="205"/>
        <v>Legacy</v>
      </c>
      <c r="G3933" s="153"/>
      <c r="H3933" s="210">
        <v>-6.6400000000000001E-2</v>
      </c>
      <c r="I3933" s="208" t="s">
        <v>151</v>
      </c>
      <c r="J3933" s="160">
        <v>-1.9859999999999999E-2</v>
      </c>
      <c r="K3933" s="160" t="s">
        <v>25</v>
      </c>
      <c r="L3933" s="154" t="str">
        <f>IF(OpenLCAbasic!K3933="CTUh", "Fill in Manually",IF(OR(K3933="Unit", K3933=""), "", INDEX(LookUps!$E$5:$E$12, MATCH(OpenLCAbasic!K3933,LookUps!$D$5:$D$12,0))))</f>
        <v>Smog Formation Potential (SFP) - kg O3 eq</v>
      </c>
      <c r="M3933" s="154" t="str">
        <f t="shared" si="201"/>
        <v>High_Base_Legacy_Smog Formation Potential (SFP) - kg O3 eq_Sludge Disposal; wastewater treatment unit - US_Landfill National_n.a.</v>
      </c>
    </row>
    <row r="3934" spans="1:13" s="120" customFormat="1" x14ac:dyDescent="0.25">
      <c r="A3934" s="119"/>
      <c r="B3934" s="138" t="str">
        <f t="shared" si="200"/>
        <v/>
      </c>
      <c r="C3934" s="138" t="str">
        <f t="shared" si="202"/>
        <v/>
      </c>
      <c r="D3934" s="138" t="str">
        <f t="shared" si="197"/>
        <v/>
      </c>
      <c r="E3934" s="138" t="str">
        <f t="shared" si="203"/>
        <v/>
      </c>
      <c r="F3934" s="138" t="str">
        <f t="shared" si="205"/>
        <v/>
      </c>
      <c r="G3934" s="153" t="s">
        <v>51</v>
      </c>
      <c r="H3934" s="160"/>
      <c r="I3934" s="208" t="s">
        <v>47</v>
      </c>
      <c r="J3934" s="160" t="s">
        <v>52</v>
      </c>
      <c r="K3934" s="160" t="s">
        <v>27</v>
      </c>
      <c r="L3934" s="154" t="str">
        <f>IF(OpenLCAbasic!K3934="CTUh", "Fill in Manually",IF(OR(K3934="Unit", K3934=""), "", INDEX(LookUps!$E$5:$E$12, MATCH(OpenLCAbasic!K3934,LookUps!$D$5:$D$12,0))))</f>
        <v/>
      </c>
      <c r="M3934" s="154" t="str">
        <f t="shared" si="201"/>
        <v>____Process__</v>
      </c>
    </row>
    <row r="3935" spans="1:13" s="120" customFormat="1" x14ac:dyDescent="0.25">
      <c r="A3935" s="119"/>
      <c r="B3935" s="138" t="str">
        <f t="shared" si="200"/>
        <v>n.a.</v>
      </c>
      <c r="C3935" s="138" t="str">
        <f t="shared" si="202"/>
        <v>Landfill National</v>
      </c>
      <c r="D3935" s="138" t="str">
        <f t="shared" si="197"/>
        <v>Base</v>
      </c>
      <c r="E3935" s="138" t="str">
        <f t="shared" si="203"/>
        <v>High</v>
      </c>
      <c r="F3935" s="138" t="str">
        <f t="shared" si="205"/>
        <v>Legacy</v>
      </c>
      <c r="G3935" s="153"/>
      <c r="H3935" s="210">
        <v>1.5100000000000001E-2</v>
      </c>
      <c r="I3935" s="208" t="s">
        <v>151</v>
      </c>
      <c r="J3935" s="211">
        <v>1.8791300000000001E-5</v>
      </c>
      <c r="K3935" s="160" t="s">
        <v>26</v>
      </c>
      <c r="L3935" s="154" t="str">
        <f>IF(OpenLCAbasic!K3935="CTUh", "Fill in Manually",IF(OR(K3935="Unit", K3935=""), "", INDEX(LookUps!$E$5:$E$12, MATCH(OpenLCAbasic!K3935,LookUps!$D$5:$D$12,0))))</f>
        <v>Water Use (WU) - m3 H2O</v>
      </c>
      <c r="M3935" s="154" t="str">
        <f t="shared" si="201"/>
        <v>High_Base_Legacy_Water Use (WU) - m3 H2O_Sludge Disposal; wastewater treatment unit - US_Landfill National_n.a.</v>
      </c>
    </row>
    <row r="3936" spans="1:13" s="120" customFormat="1" x14ac:dyDescent="0.25">
      <c r="A3936" s="119"/>
      <c r="B3936" s="138" t="str">
        <f t="shared" si="200"/>
        <v/>
      </c>
      <c r="C3936" s="138" t="str">
        <f>IF(ISNUMBER($J3936),"Without Amendment","")</f>
        <v/>
      </c>
      <c r="D3936" s="138"/>
      <c r="E3936" s="138" t="str">
        <f>IF(ISNUMBER($J3936),"Base","")</f>
        <v/>
      </c>
      <c r="F3936" s="138" t="str">
        <f>IF(ISNUMBER(J3936),"Upgraded","")</f>
        <v/>
      </c>
      <c r="G3936" s="153" t="s">
        <v>51</v>
      </c>
      <c r="H3936" s="160"/>
      <c r="I3936" s="160" t="s">
        <v>47</v>
      </c>
      <c r="J3936" s="160" t="s">
        <v>52</v>
      </c>
      <c r="K3936" s="160" t="s">
        <v>27</v>
      </c>
      <c r="L3936" s="154" t="str">
        <f>IF(OpenLCAbasic!K3936="CTUh", "Fill in Manually",IF(OR(K3936="Unit", K3936=""), "", INDEX(LookUps!$E$5:$E$12, MATCH(OpenLCAbasic!K3936,LookUps!$D$5:$D$12,0))))</f>
        <v/>
      </c>
      <c r="M3936" s="154" t="str">
        <f t="shared" si="201"/>
        <v>____Process__</v>
      </c>
    </row>
    <row r="3937" spans="1:13" s="120" customFormat="1" x14ac:dyDescent="0.25">
      <c r="A3937" s="119"/>
      <c r="B3937" s="138" t="str">
        <f t="shared" si="200"/>
        <v>Windrow</v>
      </c>
      <c r="C3937" s="138" t="str">
        <f t="shared" ref="C3937:C4000" si="206">IF(ISNUMBER($J3937),"Without Amendment","")</f>
        <v>Without Amendment</v>
      </c>
      <c r="D3937" s="138" t="str">
        <f>IF(ISNUMBER($J3937),"Base","")</f>
        <v>Base</v>
      </c>
      <c r="E3937" s="138" t="str">
        <f>IF(ISNUMBER($J3937),"Base","")</f>
        <v>Base</v>
      </c>
      <c r="F3937" s="138" t="str">
        <f t="shared" ref="F3937:F3948" si="207">IF(ISNUMBER(J3937),"Upgraded","")</f>
        <v>Upgraded</v>
      </c>
      <c r="G3937" s="153"/>
      <c r="H3937" s="210">
        <v>0.4622</v>
      </c>
      <c r="I3937" s="160" t="s">
        <v>55</v>
      </c>
      <c r="J3937" s="160">
        <v>1.7219999999999999E-2</v>
      </c>
      <c r="K3937" s="160" t="s">
        <v>24</v>
      </c>
      <c r="L3937" s="154" t="str">
        <f>IF(OpenLCAbasic!K3937="CTUh", "Fill in Manually",IF(OR(K3937="Unit", K3937=""), "", INDEX(LookUps!$E$5:$E$12, MATCH(OpenLCAbasic!K3937,LookUps!$D$5:$D$12,0))))</f>
        <v>Acidification Potential (AP) - kg SO2 eq</v>
      </c>
      <c r="M3937" s="154" t="str">
        <f t="shared" si="201"/>
        <v>Base_Base_Upgraded_Acidification Potential (AP) - kg SO2 eq_Aeration Tanks; wastewater treatment unit; at updated plant - US_Without Amendment_Windrow</v>
      </c>
    </row>
    <row r="3938" spans="1:13" s="120" customFormat="1" x14ac:dyDescent="0.25">
      <c r="A3938" s="119"/>
      <c r="B3938" s="138" t="str">
        <f t="shared" si="200"/>
        <v>Windrow</v>
      </c>
      <c r="C3938" s="138" t="str">
        <f t="shared" si="206"/>
        <v>Without Amendment</v>
      </c>
      <c r="D3938" s="138" t="str">
        <f t="shared" ref="D3938:E3953" si="208">IF(ISNUMBER($J3938),"Base","")</f>
        <v>Base</v>
      </c>
      <c r="E3938" s="138" t="str">
        <f t="shared" si="208"/>
        <v>Base</v>
      </c>
      <c r="F3938" s="138" t="str">
        <f t="shared" si="207"/>
        <v>Upgraded</v>
      </c>
      <c r="G3938" s="153"/>
      <c r="H3938" s="210">
        <v>0.13370000000000001</v>
      </c>
      <c r="I3938" s="160" t="s">
        <v>54</v>
      </c>
      <c r="J3938" s="160">
        <v>4.9800000000000001E-3</v>
      </c>
      <c r="K3938" s="160" t="s">
        <v>24</v>
      </c>
      <c r="L3938" s="154" t="str">
        <f>IF(OpenLCAbasic!K3938="CTUh", "Fill in Manually",IF(OR(K3938="Unit", K3938=""), "", INDEX(LookUps!$E$5:$E$12, MATCH(OpenLCAbasic!K3938,LookUps!$D$5:$D$12,0))))</f>
        <v>Acidification Potential (AP) - kg SO2 eq</v>
      </c>
      <c r="M3938" s="154" t="str">
        <f t="shared" si="201"/>
        <v>Base_Base_Upgraded_Acidification Potential (AP) - kg SO2 eq_Clear Cove Primary Clarification; wastewater treatment unit; at updated plant - US_Without Amendment_Windrow</v>
      </c>
    </row>
    <row r="3939" spans="1:13" s="120" customFormat="1" x14ac:dyDescent="0.25">
      <c r="A3939" s="119"/>
      <c r="B3939" s="138" t="str">
        <f t="shared" si="200"/>
        <v>Windrow</v>
      </c>
      <c r="C3939" s="138" t="str">
        <f t="shared" si="206"/>
        <v>Without Amendment</v>
      </c>
      <c r="D3939" s="138" t="str">
        <f t="shared" si="208"/>
        <v>Base</v>
      </c>
      <c r="E3939" s="138" t="str">
        <f t="shared" si="208"/>
        <v>Base</v>
      </c>
      <c r="F3939" s="138" t="str">
        <f t="shared" si="207"/>
        <v>Upgraded</v>
      </c>
      <c r="G3939" s="153"/>
      <c r="H3939" s="210">
        <v>0.1163</v>
      </c>
      <c r="I3939" s="160" t="s">
        <v>58</v>
      </c>
      <c r="J3939" s="160">
        <v>4.3299999999999996E-3</v>
      </c>
      <c r="K3939" s="160" t="s">
        <v>24</v>
      </c>
      <c r="L3939" s="154" t="str">
        <f>IF(OpenLCAbasic!K3939="CTUh", "Fill in Manually",IF(OR(K3939="Unit", K3939=""), "", INDEX(LookUps!$E$5:$E$12, MATCH(OpenLCAbasic!K3939,LookUps!$D$5:$D$12,0))))</f>
        <v>Acidification Potential (AP) - kg SO2 eq</v>
      </c>
      <c r="M3939" s="154" t="str">
        <f t="shared" si="201"/>
        <v>Base_Base_Upgraded_Acidification Potential (AP) - kg SO2 eq_Pre-Anoxic &amp; Swing tank; wastewater treatment unit; at updated plant - US_Without Amendment_Windrow</v>
      </c>
    </row>
    <row r="3940" spans="1:13" s="120" customFormat="1" x14ac:dyDescent="0.25">
      <c r="A3940" s="119"/>
      <c r="B3940" s="138" t="str">
        <f t="shared" si="200"/>
        <v>Windrow</v>
      </c>
      <c r="C3940" s="138" t="str">
        <f t="shared" si="206"/>
        <v>Without Amendment</v>
      </c>
      <c r="D3940" s="138" t="str">
        <f t="shared" si="208"/>
        <v>Base</v>
      </c>
      <c r="E3940" s="138" t="str">
        <f t="shared" si="208"/>
        <v>Base</v>
      </c>
      <c r="F3940" s="138" t="str">
        <f t="shared" si="207"/>
        <v>Upgraded</v>
      </c>
      <c r="G3940" s="153"/>
      <c r="H3940" s="210">
        <v>9.8599999999999993E-2</v>
      </c>
      <c r="I3940" s="160" t="s">
        <v>271</v>
      </c>
      <c r="J3940" s="160">
        <v>3.6700000000000001E-3</v>
      </c>
      <c r="K3940" s="160" t="s">
        <v>24</v>
      </c>
      <c r="L3940" s="154" t="str">
        <f>IF(OpenLCAbasic!K3940="CTUh", "Fill in Manually",IF(OR(K3940="Unit", K3940=""), "", INDEX(LookUps!$E$5:$E$12, MATCH(OpenLCAbasic!K3940,LookUps!$D$5:$D$12,0))))</f>
        <v>Acidification Potential (AP) - kg SO2 eq</v>
      </c>
      <c r="M3940" s="154" t="str">
        <f t="shared" si="201"/>
        <v>Base_Base_Upgraded_Acidification Potential (AP) - kg SO2 eq_Biosolids composting; windrow composting; wastewater treatment unit; at updated plant - US_Without Amendment_Windrow</v>
      </c>
    </row>
    <row r="3941" spans="1:13" s="120" customFormat="1" x14ac:dyDescent="0.25">
      <c r="A3941" s="119"/>
      <c r="B3941" s="138" t="str">
        <f t="shared" si="200"/>
        <v>Windrow</v>
      </c>
      <c r="C3941" s="138" t="str">
        <f t="shared" si="206"/>
        <v>Without Amendment</v>
      </c>
      <c r="D3941" s="138" t="str">
        <f t="shared" si="208"/>
        <v>Base</v>
      </c>
      <c r="E3941" s="138" t="str">
        <f t="shared" si="208"/>
        <v>Base</v>
      </c>
      <c r="F3941" s="138" t="str">
        <f t="shared" si="207"/>
        <v>Upgraded</v>
      </c>
      <c r="G3941" s="153"/>
      <c r="H3941" s="210">
        <v>9.2600000000000002E-2</v>
      </c>
      <c r="I3941" s="160" t="s">
        <v>53</v>
      </c>
      <c r="J3941" s="160">
        <v>3.4499999999999999E-3</v>
      </c>
      <c r="K3941" s="160" t="s">
        <v>24</v>
      </c>
      <c r="L3941" s="154" t="str">
        <f>IF(OpenLCAbasic!K3941="CTUh", "Fill in Manually",IF(OR(K3941="Unit", K3941=""), "", INDEX(LookUps!$E$5:$E$12, MATCH(OpenLCAbasic!K3941,LookUps!$D$5:$D$12,0))))</f>
        <v>Acidification Potential (AP) - kg SO2 eq</v>
      </c>
      <c r="M3941" s="154" t="str">
        <f t="shared" si="201"/>
        <v>Base_Base_Upgraded_Acidification Potential (AP) - kg SO2 eq_Wet Well and Sump Station; wastewater treatment unit; at updated plant - US_Without Amendment_Windrow</v>
      </c>
    </row>
    <row r="3942" spans="1:13" s="120" customFormat="1" x14ac:dyDescent="0.25">
      <c r="A3942" s="119"/>
      <c r="B3942" s="138" t="str">
        <f t="shared" si="200"/>
        <v>Windrow</v>
      </c>
      <c r="C3942" s="138" t="str">
        <f t="shared" si="206"/>
        <v>Without Amendment</v>
      </c>
      <c r="D3942" s="138" t="str">
        <f t="shared" si="208"/>
        <v>Base</v>
      </c>
      <c r="E3942" s="138" t="str">
        <f t="shared" si="208"/>
        <v>Base</v>
      </c>
      <c r="F3942" s="138" t="str">
        <f t="shared" si="207"/>
        <v>Upgraded</v>
      </c>
      <c r="G3942" s="153"/>
      <c r="H3942" s="210">
        <v>6.3799999999999996E-2</v>
      </c>
      <c r="I3942" s="160" t="s">
        <v>167</v>
      </c>
      <c r="J3942" s="160">
        <v>2.3800000000000002E-3</v>
      </c>
      <c r="K3942" s="160" t="s">
        <v>24</v>
      </c>
      <c r="L3942" s="154" t="str">
        <f>IF(OpenLCAbasic!K3942="CTUh", "Fill in Manually",IF(OR(K3942="Unit", K3942=""), "", INDEX(LookUps!$E$5:$E$12, MATCH(OpenLCAbasic!K3942,LookUps!$D$5:$D$12,0))))</f>
        <v>Acidification Potential (AP) - kg SO2 eq</v>
      </c>
      <c r="M3942" s="154" t="str">
        <f t="shared" si="201"/>
        <v>Base_Base_Upgraded_Acidification Potential (AP) - kg SO2 eq_Waste Receiving and Holding; wastewater treatment unit; at updated plant - US_Without Amendment_Windrow</v>
      </c>
    </row>
    <row r="3943" spans="1:13" s="120" customFormat="1" x14ac:dyDescent="0.25">
      <c r="A3943" s="119"/>
      <c r="B3943" s="138" t="str">
        <f t="shared" si="200"/>
        <v>Windrow</v>
      </c>
      <c r="C3943" s="138" t="str">
        <f t="shared" si="206"/>
        <v>Without Amendment</v>
      </c>
      <c r="D3943" s="138" t="str">
        <f t="shared" si="208"/>
        <v>Base</v>
      </c>
      <c r="E3943" s="138" t="str">
        <f t="shared" si="208"/>
        <v>Base</v>
      </c>
      <c r="F3943" s="138" t="str">
        <f t="shared" si="207"/>
        <v>Upgraded</v>
      </c>
      <c r="G3943" s="153"/>
      <c r="H3943" s="210">
        <v>5.5500000000000001E-2</v>
      </c>
      <c r="I3943" s="160" t="s">
        <v>147</v>
      </c>
      <c r="J3943" s="160">
        <v>2.0699999999999998E-3</v>
      </c>
      <c r="K3943" s="160" t="s">
        <v>24</v>
      </c>
      <c r="L3943" s="154" t="str">
        <f>IF(OpenLCAbasic!K3943="CTUh", "Fill in Manually",IF(OR(K3943="Unit", K3943=""), "", INDEX(LookUps!$E$5:$E$12, MATCH(OpenLCAbasic!K3943,LookUps!$D$5:$D$12,0))))</f>
        <v>Acidification Potential (AP) - kg SO2 eq</v>
      </c>
      <c r="M3943" s="154" t="str">
        <f t="shared" si="201"/>
        <v>Base_Base_Upgraded_Acidification Potential (AP) - kg SO2 eq_Influent Pump Station; wastewater treatment unit; at updated plant - US_Without Amendment_Windrow</v>
      </c>
    </row>
    <row r="3944" spans="1:13" s="120" customFormat="1" x14ac:dyDescent="0.25">
      <c r="A3944" s="119"/>
      <c r="B3944" s="138" t="str">
        <f t="shared" si="200"/>
        <v>Windrow</v>
      </c>
      <c r="C3944" s="138" t="str">
        <f t="shared" si="206"/>
        <v>Without Amendment</v>
      </c>
      <c r="D3944" s="138" t="str">
        <f t="shared" si="208"/>
        <v>Base</v>
      </c>
      <c r="E3944" s="138" t="str">
        <f t="shared" si="208"/>
        <v>Base</v>
      </c>
      <c r="F3944" s="138" t="str">
        <f t="shared" si="207"/>
        <v>Upgraded</v>
      </c>
      <c r="G3944" s="153"/>
      <c r="H3944" s="210">
        <v>4.6600000000000003E-2</v>
      </c>
      <c r="I3944" s="160" t="s">
        <v>62</v>
      </c>
      <c r="J3944" s="160">
        <v>1.74E-3</v>
      </c>
      <c r="K3944" s="160" t="s">
        <v>24</v>
      </c>
      <c r="L3944" s="154" t="str">
        <f>IF(OpenLCAbasic!K3944="CTUh", "Fill in Manually",IF(OR(K3944="Unit", K3944=""), "", INDEX(LookUps!$E$5:$E$12, MATCH(OpenLCAbasic!K3944,LookUps!$D$5:$D$12,0))))</f>
        <v>Acidification Potential (AP) - kg SO2 eq</v>
      </c>
      <c r="M3944" s="154" t="str">
        <f t="shared" si="201"/>
        <v>Base_Base_Upgraded_Acidification Potential (AP) - kg SO2 eq_Land application of compost; wastewater treatment unit; at updated plant - US_Without Amendment_Windrow</v>
      </c>
    </row>
    <row r="3945" spans="1:13" s="120" customFormat="1" x14ac:dyDescent="0.25">
      <c r="A3945" s="119"/>
      <c r="B3945" s="138" t="str">
        <f t="shared" si="200"/>
        <v>Windrow</v>
      </c>
      <c r="C3945" s="138" t="str">
        <f t="shared" si="206"/>
        <v>Without Amendment</v>
      </c>
      <c r="D3945" s="138" t="str">
        <f t="shared" si="208"/>
        <v>Base</v>
      </c>
      <c r="E3945" s="138" t="str">
        <f t="shared" si="208"/>
        <v>Base</v>
      </c>
      <c r="F3945" s="138" t="str">
        <f t="shared" si="207"/>
        <v>Upgraded</v>
      </c>
      <c r="G3945" s="153"/>
      <c r="H3945" s="210">
        <v>3.3099999999999997E-2</v>
      </c>
      <c r="I3945" s="160" t="s">
        <v>128</v>
      </c>
      <c r="J3945" s="160">
        <v>1.23E-3</v>
      </c>
      <c r="K3945" s="160" t="s">
        <v>24</v>
      </c>
      <c r="L3945" s="154" t="str">
        <f>IF(OpenLCAbasic!K3945="CTUh", "Fill in Manually",IF(OR(K3945="Unit", K3945=""), "", INDEX(LookUps!$E$5:$E$12, MATCH(OpenLCAbasic!K3945,LookUps!$D$5:$D$12,0))))</f>
        <v>Acidification Potential (AP) - kg SO2 eq</v>
      </c>
      <c r="M3945" s="154" t="str">
        <f t="shared" si="201"/>
        <v>Base_Base_Upgraded_Acidification Potential (AP) - kg SO2 eq_Wastewater collection; operation and infrastructure; m3 wastewater_Without Amendment_Windrow</v>
      </c>
    </row>
    <row r="3946" spans="1:13" s="120" customFormat="1" x14ac:dyDescent="0.25">
      <c r="A3946" s="119"/>
      <c r="B3946" s="138" t="str">
        <f t="shared" si="200"/>
        <v>Windrow</v>
      </c>
      <c r="C3946" s="138" t="str">
        <f t="shared" si="206"/>
        <v>Without Amendment</v>
      </c>
      <c r="D3946" s="138" t="str">
        <f t="shared" si="208"/>
        <v>Base</v>
      </c>
      <c r="E3946" s="138" t="str">
        <f t="shared" si="208"/>
        <v>Base</v>
      </c>
      <c r="F3946" s="138" t="str">
        <f t="shared" si="207"/>
        <v>Upgraded</v>
      </c>
      <c r="G3946" s="153"/>
      <c r="H3946" s="210">
        <v>2.07E-2</v>
      </c>
      <c r="I3946" s="160" t="s">
        <v>60</v>
      </c>
      <c r="J3946" s="160">
        <v>7.6999999999999996E-4</v>
      </c>
      <c r="K3946" s="160" t="s">
        <v>24</v>
      </c>
      <c r="L3946" s="154" t="str">
        <f>IF(OpenLCAbasic!K3946="CTUh", "Fill in Manually",IF(OR(K3946="Unit", K3946=""), "", INDEX(LookUps!$E$5:$E$12, MATCH(OpenLCAbasic!K3946,LookUps!$D$5:$D$12,0))))</f>
        <v>Acidification Potential (AP) - kg SO2 eq</v>
      </c>
      <c r="M3946" s="154" t="str">
        <f t="shared" si="201"/>
        <v>Base_Base_Upgraded_Acidification Potential (AP) - kg SO2 eq_Belt filter press; wastewater treatment unit; at updated plant - US_Without Amendment_Windrow</v>
      </c>
    </row>
    <row r="3947" spans="1:13" s="120" customFormat="1" x14ac:dyDescent="0.25">
      <c r="A3947" s="119"/>
      <c r="B3947" s="138" t="str">
        <f t="shared" si="200"/>
        <v>Windrow</v>
      </c>
      <c r="C3947" s="138" t="str">
        <f t="shared" si="206"/>
        <v>Without Amendment</v>
      </c>
      <c r="D3947" s="138" t="str">
        <f t="shared" si="208"/>
        <v>Base</v>
      </c>
      <c r="E3947" s="138" t="str">
        <f t="shared" si="208"/>
        <v>Base</v>
      </c>
      <c r="F3947" s="138" t="str">
        <f t="shared" si="207"/>
        <v>Upgraded</v>
      </c>
      <c r="G3947" s="153"/>
      <c r="H3947" s="210">
        <v>1.89E-2</v>
      </c>
      <c r="I3947" s="160" t="s">
        <v>57</v>
      </c>
      <c r="J3947" s="160">
        <v>6.9999999999999999E-4</v>
      </c>
      <c r="K3947" s="160" t="s">
        <v>24</v>
      </c>
      <c r="L3947" s="154" t="str">
        <f>IF(OpenLCAbasic!K3947="CTUh", "Fill in Manually",IF(OR(K3947="Unit", K3947=""), "", INDEX(LookUps!$E$5:$E$12, MATCH(OpenLCAbasic!K3947,LookUps!$D$5:$D$12,0))))</f>
        <v>Acidification Potential (AP) - kg SO2 eq</v>
      </c>
      <c r="M3947" s="154" t="str">
        <f t="shared" si="201"/>
        <v>Base_Base_Upgraded_Acidification Potential (AP) - kg SO2 eq_Gravity Belt Thickener; wastewater treatment unit; at updated plant - US_Without Amendment_Windrow</v>
      </c>
    </row>
    <row r="3948" spans="1:13" s="120" customFormat="1" x14ac:dyDescent="0.25">
      <c r="A3948" s="119"/>
      <c r="B3948" s="138" t="str">
        <f t="shared" si="200"/>
        <v>Windrow</v>
      </c>
      <c r="C3948" s="138" t="str">
        <f t="shared" si="206"/>
        <v>Without Amendment</v>
      </c>
      <c r="D3948" s="138" t="str">
        <f t="shared" si="208"/>
        <v>Base</v>
      </c>
      <c r="E3948" s="138" t="str">
        <f t="shared" si="208"/>
        <v>Base</v>
      </c>
      <c r="F3948" s="138" t="str">
        <f t="shared" si="207"/>
        <v>Upgraded</v>
      </c>
      <c r="G3948" s="153"/>
      <c r="H3948" s="210">
        <v>1.3899999999999999E-2</v>
      </c>
      <c r="I3948" s="160" t="s">
        <v>59</v>
      </c>
      <c r="J3948" s="160">
        <v>5.1999999999999995E-4</v>
      </c>
      <c r="K3948" s="160" t="s">
        <v>24</v>
      </c>
      <c r="L3948" s="154" t="str">
        <f>IF(OpenLCAbasic!K3948="CTUh", "Fill in Manually",IF(OR(K3948="Unit", K3948=""), "", INDEX(LookUps!$E$5:$E$12, MATCH(OpenLCAbasic!K3948,LookUps!$D$5:$D$12,0))))</f>
        <v>Acidification Potential (AP) - kg SO2 eq</v>
      </c>
      <c r="M3948" s="154" t="str">
        <f t="shared" si="201"/>
        <v>Base_Base_Upgraded_Acidification Potential (AP) - kg SO2 eq_Blend Tank; wastewater treatment unit; at updated plant - US_Without Amendment_Windrow</v>
      </c>
    </row>
    <row r="3949" spans="1:13" s="120" customFormat="1" x14ac:dyDescent="0.25">
      <c r="A3949" s="119"/>
      <c r="B3949" s="138" t="str">
        <f t="shared" si="200"/>
        <v>Windrow</v>
      </c>
      <c r="C3949" s="138" t="str">
        <f t="shared" si="206"/>
        <v>Without Amendment</v>
      </c>
      <c r="D3949" s="138" t="str">
        <f t="shared" si="208"/>
        <v>Base</v>
      </c>
      <c r="E3949" s="138" t="str">
        <f t="shared" si="208"/>
        <v>Base</v>
      </c>
      <c r="F3949" s="138" t="str">
        <f t="shared" ref="F3949:F3975" si="209">IF(ISNUMBER(J3949),"Upgraded","")</f>
        <v>Upgraded</v>
      </c>
      <c r="G3949" s="153"/>
      <c r="H3949" s="210">
        <v>9.2999999999999992E-3</v>
      </c>
      <c r="I3949" s="160" t="s">
        <v>48</v>
      </c>
      <c r="J3949" s="160">
        <v>3.5E-4</v>
      </c>
      <c r="K3949" s="160" t="s">
        <v>24</v>
      </c>
      <c r="L3949" s="154" t="str">
        <f>IF(OpenLCAbasic!K3949="CTUh", "Fill in Manually",IF(OR(K3949="Unit", K3949=""), "", INDEX(LookUps!$E$5:$E$12, MATCH(OpenLCAbasic!K3949,LookUps!$D$5:$D$12,0))))</f>
        <v>Acidification Potential (AP) - kg SO2 eq</v>
      </c>
      <c r="M3949" s="154" t="str">
        <f t="shared" si="201"/>
        <v>Base_Base_Upgraded_Acidification Potential (AP) - kg SO2 eq_Effluent release; wastewater treatment unit; at surface water; m3 wastewater - US_Without Amendment_Windrow</v>
      </c>
    </row>
    <row r="3950" spans="1:13" s="120" customFormat="1" x14ac:dyDescent="0.25">
      <c r="A3950" s="119"/>
      <c r="B3950" s="138" t="str">
        <f t="shared" si="200"/>
        <v>Windrow</v>
      </c>
      <c r="C3950" s="138" t="str">
        <f t="shared" si="206"/>
        <v>Without Amendment</v>
      </c>
      <c r="D3950" s="138" t="str">
        <f t="shared" si="208"/>
        <v>Base</v>
      </c>
      <c r="E3950" s="138" t="str">
        <f t="shared" si="208"/>
        <v>Base</v>
      </c>
      <c r="F3950" s="138" t="str">
        <f t="shared" si="209"/>
        <v>Upgraded</v>
      </c>
      <c r="G3950" s="153"/>
      <c r="H3950" s="210">
        <v>6.8999999999999999E-3</v>
      </c>
      <c r="I3950" s="160" t="s">
        <v>168</v>
      </c>
      <c r="J3950" s="160">
        <v>2.5999999999999998E-4</v>
      </c>
      <c r="K3950" s="160" t="s">
        <v>24</v>
      </c>
      <c r="L3950" s="154" t="str">
        <f>IF(OpenLCAbasic!K3950="CTUh", "Fill in Manually",IF(OR(K3950="Unit", K3950=""), "", INDEX(LookUps!$E$5:$E$12, MATCH(OpenLCAbasic!K3950,LookUps!$D$5:$D$12,0))))</f>
        <v>Acidification Potential (AP) - kg SO2 eq</v>
      </c>
      <c r="M3950" s="154" t="str">
        <f t="shared" si="201"/>
        <v>Base_Base_Upgraded_Acidification Potential (AP) - kg SO2 eq_ClearCove SCP; wastewater treatment unit; at updated plant - US_Without Amendment_Windrow</v>
      </c>
    </row>
    <row r="3951" spans="1:13" s="120" customFormat="1" x14ac:dyDescent="0.25">
      <c r="A3951" s="119"/>
      <c r="B3951" s="138" t="str">
        <f t="shared" si="200"/>
        <v>Windrow</v>
      </c>
      <c r="C3951" s="138" t="str">
        <f t="shared" si="206"/>
        <v>Without Amendment</v>
      </c>
      <c r="D3951" s="138" t="str">
        <f t="shared" si="208"/>
        <v>Base</v>
      </c>
      <c r="E3951" s="138" t="str">
        <f t="shared" si="208"/>
        <v>Base</v>
      </c>
      <c r="F3951" s="138" t="str">
        <f t="shared" si="209"/>
        <v>Upgraded</v>
      </c>
      <c r="G3951" s="153"/>
      <c r="H3951" s="210">
        <v>1.1000000000000001E-3</v>
      </c>
      <c r="I3951" s="160" t="s">
        <v>148</v>
      </c>
      <c r="J3951" s="211">
        <v>4.0354700000000002E-5</v>
      </c>
      <c r="K3951" s="160" t="s">
        <v>24</v>
      </c>
      <c r="L3951" s="154" t="str">
        <f>IF(OpenLCAbasic!K3951="CTUh", "Fill in Manually",IF(OR(K3951="Unit", K3951=""), "", INDEX(LookUps!$E$5:$E$12, MATCH(OpenLCAbasic!K3951,LookUps!$D$5:$D$12,0))))</f>
        <v>Acidification Potential (AP) - kg SO2 eq</v>
      </c>
      <c r="M3951" s="154" t="str">
        <f t="shared" si="201"/>
        <v>Base_Base_Upgraded_Acidification Potential (AP) - kg SO2 eq_Control Building; at upgraded wastewater treatment plant - US_Without Amendment_Windrow</v>
      </c>
    </row>
    <row r="3952" spans="1:13" s="120" customFormat="1" x14ac:dyDescent="0.25">
      <c r="A3952" s="119"/>
      <c r="B3952" s="138" t="str">
        <f t="shared" si="200"/>
        <v>Windrow</v>
      </c>
      <c r="C3952" s="138" t="str">
        <f t="shared" si="206"/>
        <v>Without Amendment</v>
      </c>
      <c r="D3952" s="138" t="str">
        <f t="shared" si="208"/>
        <v>Base</v>
      </c>
      <c r="E3952" s="138" t="str">
        <f t="shared" si="208"/>
        <v>Base</v>
      </c>
      <c r="F3952" s="138" t="str">
        <f t="shared" si="209"/>
        <v>Upgraded</v>
      </c>
      <c r="G3952" s="153"/>
      <c r="H3952" s="210">
        <v>-0.1731</v>
      </c>
      <c r="I3952" s="160" t="s">
        <v>149</v>
      </c>
      <c r="J3952" s="160">
        <v>-6.45E-3</v>
      </c>
      <c r="K3952" s="160" t="s">
        <v>24</v>
      </c>
      <c r="L3952" s="154" t="str">
        <f>IF(OpenLCAbasic!K3952="CTUh", "Fill in Manually",IF(OR(K3952="Unit", K3952=""), "", INDEX(LookUps!$E$5:$E$12, MATCH(OpenLCAbasic!K3952,LookUps!$D$5:$D$12,0))))</f>
        <v>Acidification Potential (AP) - kg SO2 eq</v>
      </c>
      <c r="M3952" s="154" t="str">
        <f t="shared" si="201"/>
        <v>Base_Base_Upgraded_Acidification Potential (AP) - kg SO2 eq_Anaerobic Digestion; wastewater treatment unit; at updated plant - US_Without Amendment_Windrow</v>
      </c>
    </row>
    <row r="3953" spans="1:13" s="120" customFormat="1" x14ac:dyDescent="0.25">
      <c r="A3953" s="119"/>
      <c r="B3953" s="138" t="str">
        <f t="shared" si="200"/>
        <v/>
      </c>
      <c r="C3953" s="138" t="str">
        <f t="shared" si="206"/>
        <v/>
      </c>
      <c r="D3953" s="138" t="str">
        <f t="shared" si="208"/>
        <v/>
      </c>
      <c r="E3953" s="138" t="str">
        <f t="shared" si="208"/>
        <v/>
      </c>
      <c r="F3953" s="138" t="str">
        <f t="shared" si="209"/>
        <v/>
      </c>
      <c r="G3953" s="153" t="s">
        <v>51</v>
      </c>
      <c r="H3953" s="160"/>
      <c r="I3953" s="160" t="s">
        <v>47</v>
      </c>
      <c r="J3953" s="160" t="s">
        <v>52</v>
      </c>
      <c r="K3953" s="160" t="s">
        <v>27</v>
      </c>
      <c r="L3953" s="154" t="str">
        <f>IF(OpenLCAbasic!K3953="CTUh", "Fill in Manually",IF(OR(K3953="Unit", K3953=""), "", INDEX(LookUps!$E$5:$E$12, MATCH(OpenLCAbasic!K3953,LookUps!$D$5:$D$12,0))))</f>
        <v/>
      </c>
      <c r="M3953" s="154" t="str">
        <f t="shared" si="201"/>
        <v>____Process__</v>
      </c>
    </row>
    <row r="3954" spans="1:13" s="120" customFormat="1" x14ac:dyDescent="0.25">
      <c r="A3954" s="119"/>
      <c r="B3954" s="138" t="str">
        <f t="shared" si="200"/>
        <v>Windrow</v>
      </c>
      <c r="C3954" s="138" t="str">
        <f t="shared" si="206"/>
        <v>Without Amendment</v>
      </c>
      <c r="D3954" s="138" t="str">
        <f t="shared" ref="D3954:E3974" si="210">IF(ISNUMBER($J3954),"Base","")</f>
        <v>Base</v>
      </c>
      <c r="E3954" s="138" t="str">
        <f t="shared" si="210"/>
        <v>Base</v>
      </c>
      <c r="F3954" s="138" t="str">
        <f t="shared" si="209"/>
        <v>Upgraded</v>
      </c>
      <c r="G3954" s="153"/>
      <c r="H3954" s="210">
        <v>0.36380000000000001</v>
      </c>
      <c r="I3954" s="160" t="s">
        <v>55</v>
      </c>
      <c r="J3954" s="160">
        <v>3.5330499999999998</v>
      </c>
      <c r="K3954" s="160" t="s">
        <v>15</v>
      </c>
      <c r="L3954" s="154" t="str">
        <f>IF(OpenLCAbasic!K3954="CTUh", "Fill in Manually",IF(OR(K3954="Unit", K3954=""), "", INDEX(LookUps!$E$5:$E$12, MATCH(OpenLCAbasic!K3954,LookUps!$D$5:$D$12,0))))</f>
        <v>Cumulative Energy Demand (CED) - MJ</v>
      </c>
      <c r="M3954" s="154" t="str">
        <f t="shared" si="201"/>
        <v>Base_Base_Upgraded_Cumulative Energy Demand (CED) - MJ_Aeration Tanks; wastewater treatment unit; at updated plant - US_Without Amendment_Windrow</v>
      </c>
    </row>
    <row r="3955" spans="1:13" s="120" customFormat="1" x14ac:dyDescent="0.25">
      <c r="A3955" s="119"/>
      <c r="B3955" s="138" t="str">
        <f t="shared" si="200"/>
        <v>Windrow</v>
      </c>
      <c r="C3955" s="138" t="str">
        <f t="shared" si="206"/>
        <v>Without Amendment</v>
      </c>
      <c r="D3955" s="138" t="str">
        <f t="shared" si="210"/>
        <v>Base</v>
      </c>
      <c r="E3955" s="138" t="str">
        <f t="shared" si="210"/>
        <v>Base</v>
      </c>
      <c r="F3955" s="138" t="str">
        <f t="shared" si="209"/>
        <v>Upgraded</v>
      </c>
      <c r="G3955" s="153"/>
      <c r="H3955" s="210">
        <v>0.36020000000000002</v>
      </c>
      <c r="I3955" s="160" t="s">
        <v>167</v>
      </c>
      <c r="J3955" s="160">
        <v>3.4982700000000002</v>
      </c>
      <c r="K3955" s="160" t="s">
        <v>15</v>
      </c>
      <c r="L3955" s="154" t="str">
        <f>IF(OpenLCAbasic!K3955="CTUh", "Fill in Manually",IF(OR(K3955="Unit", K3955=""), "", INDEX(LookUps!$E$5:$E$12, MATCH(OpenLCAbasic!K3955,LookUps!$D$5:$D$12,0))))</f>
        <v>Cumulative Energy Demand (CED) - MJ</v>
      </c>
      <c r="M3955" s="154" t="str">
        <f t="shared" si="201"/>
        <v>Base_Base_Upgraded_Cumulative Energy Demand (CED) - MJ_Waste Receiving and Holding; wastewater treatment unit; at updated plant - US_Without Amendment_Windrow</v>
      </c>
    </row>
    <row r="3956" spans="1:13" s="120" customFormat="1" x14ac:dyDescent="0.25">
      <c r="A3956" s="119"/>
      <c r="B3956" s="138" t="str">
        <f t="shared" si="200"/>
        <v>Windrow</v>
      </c>
      <c r="C3956" s="138" t="str">
        <f t="shared" si="206"/>
        <v>Without Amendment</v>
      </c>
      <c r="D3956" s="138" t="str">
        <f t="shared" si="210"/>
        <v>Base</v>
      </c>
      <c r="E3956" s="138" t="str">
        <f t="shared" si="210"/>
        <v>Base</v>
      </c>
      <c r="F3956" s="138" t="str">
        <f t="shared" si="209"/>
        <v>Upgraded</v>
      </c>
      <c r="G3956" s="153"/>
      <c r="H3956" s="210">
        <v>0.1197</v>
      </c>
      <c r="I3956" s="160" t="s">
        <v>54</v>
      </c>
      <c r="J3956" s="160">
        <v>1.16289</v>
      </c>
      <c r="K3956" s="160" t="s">
        <v>15</v>
      </c>
      <c r="L3956" s="154" t="str">
        <f>IF(OpenLCAbasic!K3956="CTUh", "Fill in Manually",IF(OR(K3956="Unit", K3956=""), "", INDEX(LookUps!$E$5:$E$12, MATCH(OpenLCAbasic!K3956,LookUps!$D$5:$D$12,0))))</f>
        <v>Cumulative Energy Demand (CED) - MJ</v>
      </c>
      <c r="M3956" s="154" t="str">
        <f t="shared" si="201"/>
        <v>Base_Base_Upgraded_Cumulative Energy Demand (CED) - MJ_Clear Cove Primary Clarification; wastewater treatment unit; at updated plant - US_Without Amendment_Windrow</v>
      </c>
    </row>
    <row r="3957" spans="1:13" s="120" customFormat="1" x14ac:dyDescent="0.25">
      <c r="A3957" s="119"/>
      <c r="B3957" s="138" t="str">
        <f t="shared" si="200"/>
        <v>Windrow</v>
      </c>
      <c r="C3957" s="138" t="str">
        <f t="shared" si="206"/>
        <v>Without Amendment</v>
      </c>
      <c r="D3957" s="138" t="str">
        <f t="shared" si="210"/>
        <v>Base</v>
      </c>
      <c r="E3957" s="138" t="str">
        <f t="shared" si="210"/>
        <v>Base</v>
      </c>
      <c r="F3957" s="138" t="str">
        <f t="shared" si="209"/>
        <v>Upgraded</v>
      </c>
      <c r="G3957" s="153"/>
      <c r="H3957" s="210">
        <v>9.0999999999999998E-2</v>
      </c>
      <c r="I3957" s="160" t="s">
        <v>58</v>
      </c>
      <c r="J3957" s="160">
        <v>0.88417000000000001</v>
      </c>
      <c r="K3957" s="160" t="s">
        <v>15</v>
      </c>
      <c r="L3957" s="154" t="str">
        <f>IF(OpenLCAbasic!K3957="CTUh", "Fill in Manually",IF(OR(K3957="Unit", K3957=""), "", INDEX(LookUps!$E$5:$E$12, MATCH(OpenLCAbasic!K3957,LookUps!$D$5:$D$12,0))))</f>
        <v>Cumulative Energy Demand (CED) - MJ</v>
      </c>
      <c r="M3957" s="154" t="str">
        <f t="shared" si="201"/>
        <v>Base_Base_Upgraded_Cumulative Energy Demand (CED) - MJ_Pre-Anoxic &amp; Swing tank; wastewater treatment unit; at updated plant - US_Without Amendment_Windrow</v>
      </c>
    </row>
    <row r="3958" spans="1:13" s="120" customFormat="1" x14ac:dyDescent="0.25">
      <c r="A3958" s="119"/>
      <c r="B3958" s="138" t="str">
        <f t="shared" si="200"/>
        <v>Windrow</v>
      </c>
      <c r="C3958" s="138" t="str">
        <f t="shared" si="206"/>
        <v>Without Amendment</v>
      </c>
      <c r="D3958" s="138" t="str">
        <f t="shared" si="210"/>
        <v>Base</v>
      </c>
      <c r="E3958" s="138" t="str">
        <f t="shared" si="210"/>
        <v>Base</v>
      </c>
      <c r="F3958" s="138" t="str">
        <f t="shared" si="209"/>
        <v>Upgraded</v>
      </c>
      <c r="G3958" s="153"/>
      <c r="H3958" s="210">
        <v>9.0899999999999995E-2</v>
      </c>
      <c r="I3958" s="160" t="s">
        <v>147</v>
      </c>
      <c r="J3958" s="160">
        <v>0.88297000000000003</v>
      </c>
      <c r="K3958" s="160" t="s">
        <v>15</v>
      </c>
      <c r="L3958" s="154" t="str">
        <f>IF(OpenLCAbasic!K3958="CTUh", "Fill in Manually",IF(OR(K3958="Unit", K3958=""), "", INDEX(LookUps!$E$5:$E$12, MATCH(OpenLCAbasic!K3958,LookUps!$D$5:$D$12,0))))</f>
        <v>Cumulative Energy Demand (CED) - MJ</v>
      </c>
      <c r="M3958" s="154" t="str">
        <f t="shared" si="201"/>
        <v>Base_Base_Upgraded_Cumulative Energy Demand (CED) - MJ_Influent Pump Station; wastewater treatment unit; at updated plant - US_Without Amendment_Windrow</v>
      </c>
    </row>
    <row r="3959" spans="1:13" s="120" customFormat="1" x14ac:dyDescent="0.25">
      <c r="A3959" s="119"/>
      <c r="B3959" s="138" t="str">
        <f t="shared" si="200"/>
        <v>Windrow</v>
      </c>
      <c r="C3959" s="138" t="str">
        <f t="shared" si="206"/>
        <v>Without Amendment</v>
      </c>
      <c r="D3959" s="138" t="str">
        <f t="shared" si="210"/>
        <v>Base</v>
      </c>
      <c r="E3959" s="138" t="str">
        <f t="shared" si="210"/>
        <v>Base</v>
      </c>
      <c r="F3959" s="138" t="str">
        <f t="shared" si="209"/>
        <v>Upgraded</v>
      </c>
      <c r="G3959" s="153"/>
      <c r="H3959" s="210">
        <v>7.17E-2</v>
      </c>
      <c r="I3959" s="160" t="s">
        <v>53</v>
      </c>
      <c r="J3959" s="160">
        <v>0.69645000000000001</v>
      </c>
      <c r="K3959" s="160" t="s">
        <v>15</v>
      </c>
      <c r="L3959" s="154" t="str">
        <f>IF(OpenLCAbasic!K3959="CTUh", "Fill in Manually",IF(OR(K3959="Unit", K3959=""), "", INDEX(LookUps!$E$5:$E$12, MATCH(OpenLCAbasic!K3959,LookUps!$D$5:$D$12,0))))</f>
        <v>Cumulative Energy Demand (CED) - MJ</v>
      </c>
      <c r="M3959" s="154" t="str">
        <f t="shared" si="201"/>
        <v>Base_Base_Upgraded_Cumulative Energy Demand (CED) - MJ_Wet Well and Sump Station; wastewater treatment unit; at updated plant - US_Without Amendment_Windrow</v>
      </c>
    </row>
    <row r="3960" spans="1:13" s="120" customFormat="1" x14ac:dyDescent="0.25">
      <c r="A3960" s="119"/>
      <c r="B3960" s="138" t="str">
        <f t="shared" si="200"/>
        <v>Windrow</v>
      </c>
      <c r="C3960" s="138" t="str">
        <f t="shared" si="206"/>
        <v>Without Amendment</v>
      </c>
      <c r="D3960" s="138" t="str">
        <f t="shared" si="210"/>
        <v>Base</v>
      </c>
      <c r="E3960" s="138" t="str">
        <f t="shared" si="210"/>
        <v>Base</v>
      </c>
      <c r="F3960" s="138" t="str">
        <f t="shared" si="209"/>
        <v>Upgraded</v>
      </c>
      <c r="G3960" s="153"/>
      <c r="H3960" s="210">
        <v>3.44E-2</v>
      </c>
      <c r="I3960" s="160" t="s">
        <v>57</v>
      </c>
      <c r="J3960" s="160">
        <v>0.33404</v>
      </c>
      <c r="K3960" s="160" t="s">
        <v>15</v>
      </c>
      <c r="L3960" s="154" t="str">
        <f>IF(OpenLCAbasic!K3960="CTUh", "Fill in Manually",IF(OR(K3960="Unit", K3960=""), "", INDEX(LookUps!$E$5:$E$12, MATCH(OpenLCAbasic!K3960,LookUps!$D$5:$D$12,0))))</f>
        <v>Cumulative Energy Demand (CED) - MJ</v>
      </c>
      <c r="M3960" s="154" t="str">
        <f t="shared" si="201"/>
        <v>Base_Base_Upgraded_Cumulative Energy Demand (CED) - MJ_Gravity Belt Thickener; wastewater treatment unit; at updated plant - US_Without Amendment_Windrow</v>
      </c>
    </row>
    <row r="3961" spans="1:13" s="120" customFormat="1" x14ac:dyDescent="0.25">
      <c r="A3961" s="119"/>
      <c r="B3961" s="138" t="str">
        <f t="shared" si="200"/>
        <v>Windrow</v>
      </c>
      <c r="C3961" s="138" t="str">
        <f t="shared" si="206"/>
        <v>Without Amendment</v>
      </c>
      <c r="D3961" s="138" t="str">
        <f t="shared" si="210"/>
        <v>Base</v>
      </c>
      <c r="E3961" s="138" t="str">
        <f t="shared" si="210"/>
        <v>Base</v>
      </c>
      <c r="F3961" s="138" t="str">
        <f t="shared" si="209"/>
        <v>Upgraded</v>
      </c>
      <c r="G3961" s="153"/>
      <c r="H3961" s="210">
        <v>2.9700000000000001E-2</v>
      </c>
      <c r="I3961" s="160" t="s">
        <v>60</v>
      </c>
      <c r="J3961" s="160">
        <v>0.28833999999999999</v>
      </c>
      <c r="K3961" s="160" t="s">
        <v>15</v>
      </c>
      <c r="L3961" s="154" t="str">
        <f>IF(OpenLCAbasic!K3961="CTUh", "Fill in Manually",IF(OR(K3961="Unit", K3961=""), "", INDEX(LookUps!$E$5:$E$12, MATCH(OpenLCAbasic!K3961,LookUps!$D$5:$D$12,0))))</f>
        <v>Cumulative Energy Demand (CED) - MJ</v>
      </c>
      <c r="M3961" s="154" t="str">
        <f t="shared" si="201"/>
        <v>Base_Base_Upgraded_Cumulative Energy Demand (CED) - MJ_Belt filter press; wastewater treatment unit; at updated plant - US_Without Amendment_Windrow</v>
      </c>
    </row>
    <row r="3962" spans="1:13" s="120" customFormat="1" x14ac:dyDescent="0.25">
      <c r="A3962" s="119"/>
      <c r="B3962" s="138" t="str">
        <f t="shared" si="200"/>
        <v>Windrow</v>
      </c>
      <c r="C3962" s="138" t="str">
        <f t="shared" si="206"/>
        <v>Without Amendment</v>
      </c>
      <c r="D3962" s="138" t="str">
        <f t="shared" si="210"/>
        <v>Base</v>
      </c>
      <c r="E3962" s="138" t="str">
        <f t="shared" si="210"/>
        <v>Base</v>
      </c>
      <c r="F3962" s="138" t="str">
        <f t="shared" si="209"/>
        <v>Upgraded</v>
      </c>
      <c r="G3962" s="153"/>
      <c r="H3962" s="210">
        <v>2.64E-2</v>
      </c>
      <c r="I3962" s="160" t="s">
        <v>128</v>
      </c>
      <c r="J3962" s="160">
        <v>0.25606000000000001</v>
      </c>
      <c r="K3962" s="160" t="s">
        <v>15</v>
      </c>
      <c r="L3962" s="154" t="str">
        <f>IF(OpenLCAbasic!K3962="CTUh", "Fill in Manually",IF(OR(K3962="Unit", K3962=""), "", INDEX(LookUps!$E$5:$E$12, MATCH(OpenLCAbasic!K3962,LookUps!$D$5:$D$12,0))))</f>
        <v>Cumulative Energy Demand (CED) - MJ</v>
      </c>
      <c r="M3962" s="154" t="str">
        <f t="shared" si="201"/>
        <v>Base_Base_Upgraded_Cumulative Energy Demand (CED) - MJ_Wastewater collection; operation and infrastructure; m3 wastewater_Without Amendment_Windrow</v>
      </c>
    </row>
    <row r="3963" spans="1:13" s="120" customFormat="1" x14ac:dyDescent="0.25">
      <c r="A3963" s="119"/>
      <c r="B3963" s="138" t="str">
        <f t="shared" si="200"/>
        <v>Windrow</v>
      </c>
      <c r="C3963" s="138" t="str">
        <f t="shared" si="206"/>
        <v>Without Amendment</v>
      </c>
      <c r="D3963" s="138" t="str">
        <f t="shared" si="210"/>
        <v>Base</v>
      </c>
      <c r="E3963" s="138" t="str">
        <f t="shared" si="210"/>
        <v>Base</v>
      </c>
      <c r="F3963" s="138" t="str">
        <f t="shared" si="209"/>
        <v>Upgraded</v>
      </c>
      <c r="G3963" s="153"/>
      <c r="H3963" s="210">
        <v>1.4999999999999999E-2</v>
      </c>
      <c r="I3963" s="160" t="s">
        <v>148</v>
      </c>
      <c r="J3963" s="160">
        <v>0.14599000000000001</v>
      </c>
      <c r="K3963" s="160" t="s">
        <v>15</v>
      </c>
      <c r="L3963" s="154" t="str">
        <f>IF(OpenLCAbasic!K3963="CTUh", "Fill in Manually",IF(OR(K3963="Unit", K3963=""), "", INDEX(LookUps!$E$5:$E$12, MATCH(OpenLCAbasic!K3963,LookUps!$D$5:$D$12,0))))</f>
        <v>Cumulative Energy Demand (CED) - MJ</v>
      </c>
      <c r="M3963" s="154" t="str">
        <f t="shared" si="201"/>
        <v>Base_Base_Upgraded_Cumulative Energy Demand (CED) - MJ_Control Building; at upgraded wastewater treatment plant - US_Without Amendment_Windrow</v>
      </c>
    </row>
    <row r="3964" spans="1:13" s="120" customFormat="1" x14ac:dyDescent="0.25">
      <c r="A3964" s="119"/>
      <c r="B3964" s="138" t="str">
        <f t="shared" si="200"/>
        <v>Windrow</v>
      </c>
      <c r="C3964" s="138" t="str">
        <f t="shared" si="206"/>
        <v>Without Amendment</v>
      </c>
      <c r="D3964" s="138" t="str">
        <f t="shared" si="210"/>
        <v>Base</v>
      </c>
      <c r="E3964" s="138" t="str">
        <f t="shared" si="210"/>
        <v>Base</v>
      </c>
      <c r="F3964" s="138" t="str">
        <f t="shared" si="209"/>
        <v>Upgraded</v>
      </c>
      <c r="G3964" s="153"/>
      <c r="H3964" s="210">
        <v>1.37E-2</v>
      </c>
      <c r="I3964" s="160" t="s">
        <v>48</v>
      </c>
      <c r="J3964" s="160">
        <v>0.13321</v>
      </c>
      <c r="K3964" s="160" t="s">
        <v>15</v>
      </c>
      <c r="L3964" s="154" t="str">
        <f>IF(OpenLCAbasic!K3964="CTUh", "Fill in Manually",IF(OR(K3964="Unit", K3964=""), "", INDEX(LookUps!$E$5:$E$12, MATCH(OpenLCAbasic!K3964,LookUps!$D$5:$D$12,0))))</f>
        <v>Cumulative Energy Demand (CED) - MJ</v>
      </c>
      <c r="M3964" s="154" t="str">
        <f t="shared" si="201"/>
        <v>Base_Base_Upgraded_Cumulative Energy Demand (CED) - MJ_Effluent release; wastewater treatment unit; at surface water; m3 wastewater - US_Without Amendment_Windrow</v>
      </c>
    </row>
    <row r="3965" spans="1:13" s="120" customFormat="1" x14ac:dyDescent="0.25">
      <c r="A3965" s="119"/>
      <c r="B3965" s="138" t="str">
        <f t="shared" si="200"/>
        <v>Windrow</v>
      </c>
      <c r="C3965" s="138" t="str">
        <f t="shared" si="206"/>
        <v>Without Amendment</v>
      </c>
      <c r="D3965" s="138" t="str">
        <f t="shared" si="210"/>
        <v>Base</v>
      </c>
      <c r="E3965" s="138" t="str">
        <f t="shared" si="210"/>
        <v>Base</v>
      </c>
      <c r="F3965" s="138" t="str">
        <f t="shared" si="209"/>
        <v>Upgraded</v>
      </c>
      <c r="G3965" s="153"/>
      <c r="H3965" s="210">
        <v>1.0999999999999999E-2</v>
      </c>
      <c r="I3965" s="160" t="s">
        <v>59</v>
      </c>
      <c r="J3965" s="160">
        <v>0.10638</v>
      </c>
      <c r="K3965" s="160" t="s">
        <v>15</v>
      </c>
      <c r="L3965" s="154" t="str">
        <f>IF(OpenLCAbasic!K3965="CTUh", "Fill in Manually",IF(OR(K3965="Unit", K3965=""), "", INDEX(LookUps!$E$5:$E$12, MATCH(OpenLCAbasic!K3965,LookUps!$D$5:$D$12,0))))</f>
        <v>Cumulative Energy Demand (CED) - MJ</v>
      </c>
      <c r="M3965" s="154" t="str">
        <f t="shared" si="201"/>
        <v>Base_Base_Upgraded_Cumulative Energy Demand (CED) - MJ_Blend Tank; wastewater treatment unit; at updated plant - US_Without Amendment_Windrow</v>
      </c>
    </row>
    <row r="3966" spans="1:13" s="120" customFormat="1" x14ac:dyDescent="0.25">
      <c r="A3966" s="119"/>
      <c r="B3966" s="138" t="str">
        <f t="shared" si="200"/>
        <v>Windrow</v>
      </c>
      <c r="C3966" s="138" t="str">
        <f t="shared" si="206"/>
        <v>Without Amendment</v>
      </c>
      <c r="D3966" s="138" t="str">
        <f t="shared" si="210"/>
        <v>Base</v>
      </c>
      <c r="E3966" s="138" t="str">
        <f t="shared" si="210"/>
        <v>Base</v>
      </c>
      <c r="F3966" s="138" t="str">
        <f t="shared" si="209"/>
        <v>Upgraded</v>
      </c>
      <c r="G3966" s="153"/>
      <c r="H3966" s="210">
        <v>5.1999999999999998E-3</v>
      </c>
      <c r="I3966" s="160" t="s">
        <v>168</v>
      </c>
      <c r="J3966" s="160">
        <v>5.0930000000000003E-2</v>
      </c>
      <c r="K3966" s="160" t="s">
        <v>15</v>
      </c>
      <c r="L3966" s="154" t="str">
        <f>IF(OpenLCAbasic!K3966="CTUh", "Fill in Manually",IF(OR(K3966="Unit", K3966=""), "", INDEX(LookUps!$E$5:$E$12, MATCH(OpenLCAbasic!K3966,LookUps!$D$5:$D$12,0))))</f>
        <v>Cumulative Energy Demand (CED) - MJ</v>
      </c>
      <c r="M3966" s="154" t="str">
        <f t="shared" si="201"/>
        <v>Base_Base_Upgraded_Cumulative Energy Demand (CED) - MJ_ClearCove SCP; wastewater treatment unit; at updated plant - US_Without Amendment_Windrow</v>
      </c>
    </row>
    <row r="3967" spans="1:13" s="120" customFormat="1" x14ac:dyDescent="0.25">
      <c r="A3967" s="119"/>
      <c r="B3967" s="138" t="str">
        <f t="shared" si="200"/>
        <v>Windrow</v>
      </c>
      <c r="C3967" s="138" t="str">
        <f t="shared" si="206"/>
        <v>Without Amendment</v>
      </c>
      <c r="D3967" s="138" t="str">
        <f t="shared" si="210"/>
        <v>Base</v>
      </c>
      <c r="E3967" s="138" t="str">
        <f t="shared" si="210"/>
        <v>Base</v>
      </c>
      <c r="F3967" s="138" t="str">
        <f t="shared" si="209"/>
        <v>Upgraded</v>
      </c>
      <c r="G3967" s="153"/>
      <c r="H3967" s="210">
        <v>1.9E-3</v>
      </c>
      <c r="I3967" s="160" t="s">
        <v>271</v>
      </c>
      <c r="J3967" s="160">
        <v>1.8859999999999998E-2</v>
      </c>
      <c r="K3967" s="160" t="s">
        <v>15</v>
      </c>
      <c r="L3967" s="154" t="str">
        <f>IF(OpenLCAbasic!K3967="CTUh", "Fill in Manually",IF(OR(K3967="Unit", K3967=""), "", INDEX(LookUps!$E$5:$E$12, MATCH(OpenLCAbasic!K3967,LookUps!$D$5:$D$12,0))))</f>
        <v>Cumulative Energy Demand (CED) - MJ</v>
      </c>
      <c r="M3967" s="154" t="str">
        <f t="shared" si="201"/>
        <v>Base_Base_Upgraded_Cumulative Energy Demand (CED) - MJ_Biosolids composting; windrow composting; wastewater treatment unit; at updated plant - US_Without Amendment_Windrow</v>
      </c>
    </row>
    <row r="3968" spans="1:13" s="120" customFormat="1" x14ac:dyDescent="0.25">
      <c r="A3968" s="119"/>
      <c r="B3968" s="138" t="str">
        <f t="shared" si="200"/>
        <v>Windrow</v>
      </c>
      <c r="C3968" s="138" t="str">
        <f t="shared" si="206"/>
        <v>Without Amendment</v>
      </c>
      <c r="D3968" s="138" t="str">
        <f t="shared" si="210"/>
        <v>Base</v>
      </c>
      <c r="E3968" s="138" t="str">
        <f t="shared" si="210"/>
        <v>Base</v>
      </c>
      <c r="F3968" s="138" t="str">
        <f t="shared" si="209"/>
        <v>Upgraded</v>
      </c>
      <c r="G3968" s="153"/>
      <c r="H3968" s="210">
        <v>-2.92E-2</v>
      </c>
      <c r="I3968" s="160" t="s">
        <v>62</v>
      </c>
      <c r="J3968" s="160">
        <v>-0.28309000000000001</v>
      </c>
      <c r="K3968" s="160" t="s">
        <v>15</v>
      </c>
      <c r="L3968" s="154" t="str">
        <f>IF(OpenLCAbasic!K3968="CTUh", "Fill in Manually",IF(OR(K3968="Unit", K3968=""), "", INDEX(LookUps!$E$5:$E$12, MATCH(OpenLCAbasic!K3968,LookUps!$D$5:$D$12,0))))</f>
        <v>Cumulative Energy Demand (CED) - MJ</v>
      </c>
      <c r="M3968" s="154" t="str">
        <f t="shared" si="201"/>
        <v>Base_Base_Upgraded_Cumulative Energy Demand (CED) - MJ_Land application of compost; wastewater treatment unit; at updated plant - US_Without Amendment_Windrow</v>
      </c>
    </row>
    <row r="3969" spans="1:13" s="120" customFormat="1" x14ac:dyDescent="0.25">
      <c r="A3969" s="119"/>
      <c r="B3969" s="138" t="str">
        <f t="shared" si="200"/>
        <v>Windrow</v>
      </c>
      <c r="C3969" s="138" t="str">
        <f t="shared" si="206"/>
        <v>Without Amendment</v>
      </c>
      <c r="D3969" s="138" t="str">
        <f t="shared" si="210"/>
        <v>Base</v>
      </c>
      <c r="E3969" s="138" t="str">
        <f t="shared" si="210"/>
        <v>Base</v>
      </c>
      <c r="F3969" s="138" t="str">
        <f t="shared" si="209"/>
        <v>Upgraded</v>
      </c>
      <c r="G3969" s="153"/>
      <c r="H3969" s="210">
        <v>-0.20569999999999999</v>
      </c>
      <c r="I3969" s="160" t="s">
        <v>149</v>
      </c>
      <c r="J3969" s="160">
        <v>-1.99752</v>
      </c>
      <c r="K3969" s="160" t="s">
        <v>15</v>
      </c>
      <c r="L3969" s="154" t="str">
        <f>IF(OpenLCAbasic!K3969="CTUh", "Fill in Manually",IF(OR(K3969="Unit", K3969=""), "", INDEX(LookUps!$E$5:$E$12, MATCH(OpenLCAbasic!K3969,LookUps!$D$5:$D$12,0))))</f>
        <v>Cumulative Energy Demand (CED) - MJ</v>
      </c>
      <c r="M3969" s="154" t="str">
        <f t="shared" si="201"/>
        <v>Base_Base_Upgraded_Cumulative Energy Demand (CED) - MJ_Anaerobic Digestion; wastewater treatment unit; at updated plant - US_Without Amendment_Windrow</v>
      </c>
    </row>
    <row r="3970" spans="1:13" s="120" customFormat="1" x14ac:dyDescent="0.25">
      <c r="A3970" s="119"/>
      <c r="B3970" s="138" t="str">
        <f t="shared" si="200"/>
        <v/>
      </c>
      <c r="C3970" s="138" t="str">
        <f t="shared" si="206"/>
        <v/>
      </c>
      <c r="D3970" s="138" t="str">
        <f t="shared" si="210"/>
        <v/>
      </c>
      <c r="E3970" s="138" t="str">
        <f t="shared" si="210"/>
        <v/>
      </c>
      <c r="F3970" s="138" t="str">
        <f t="shared" si="209"/>
        <v/>
      </c>
      <c r="G3970" s="153" t="s">
        <v>51</v>
      </c>
      <c r="H3970" s="160"/>
      <c r="I3970" s="160" t="s">
        <v>47</v>
      </c>
      <c r="J3970" s="160" t="s">
        <v>52</v>
      </c>
      <c r="K3970" s="160" t="s">
        <v>27</v>
      </c>
      <c r="L3970" s="154" t="str">
        <f>IF(OpenLCAbasic!K3970="CTUh", "Fill in Manually",IF(OR(K3970="Unit", K3970=""), "", INDEX(LookUps!$E$5:$E$12, MATCH(OpenLCAbasic!K3970,LookUps!$D$5:$D$12,0))))</f>
        <v/>
      </c>
      <c r="M3970" s="154" t="str">
        <f t="shared" si="201"/>
        <v>____Process__</v>
      </c>
    </row>
    <row r="3971" spans="1:13" s="120" customFormat="1" x14ac:dyDescent="0.25">
      <c r="A3971" s="119"/>
      <c r="B3971" s="138" t="str">
        <f t="shared" si="200"/>
        <v>Windrow</v>
      </c>
      <c r="C3971" s="138" t="str">
        <f t="shared" si="206"/>
        <v>Without Amendment</v>
      </c>
      <c r="D3971" s="138" t="str">
        <f t="shared" si="210"/>
        <v>Base</v>
      </c>
      <c r="E3971" s="138" t="str">
        <f t="shared" si="210"/>
        <v>Base</v>
      </c>
      <c r="F3971" s="138" t="str">
        <f t="shared" si="209"/>
        <v>Upgraded</v>
      </c>
      <c r="G3971" s="153"/>
      <c r="H3971" s="210">
        <v>0.79820000000000002</v>
      </c>
      <c r="I3971" s="160" t="s">
        <v>48</v>
      </c>
      <c r="J3971" s="160">
        <v>1.1610000000000001E-2</v>
      </c>
      <c r="K3971" s="160" t="s">
        <v>13</v>
      </c>
      <c r="L3971" s="154" t="str">
        <f>IF(OpenLCAbasic!K3971="CTUh", "Fill in Manually",IF(OR(K3971="Unit", K3971=""), "", INDEX(LookUps!$E$5:$E$12, MATCH(OpenLCAbasic!K3971,LookUps!$D$5:$D$12,0))))</f>
        <v>Eutrophication Potential (EP) - kg N eq</v>
      </c>
      <c r="M3971" s="154" t="str">
        <f t="shared" si="201"/>
        <v>Base_Base_Upgraded_Eutrophication Potential (EP) - kg N eq_Effluent release; wastewater treatment unit; at surface water; m3 wastewater - US_Without Amendment_Windrow</v>
      </c>
    </row>
    <row r="3972" spans="1:13" s="120" customFormat="1" x14ac:dyDescent="0.25">
      <c r="A3972" s="119"/>
      <c r="B3972" s="138" t="str">
        <f t="shared" si="200"/>
        <v>Windrow</v>
      </c>
      <c r="C3972" s="138" t="str">
        <f t="shared" si="206"/>
        <v>Without Amendment</v>
      </c>
      <c r="D3972" s="138" t="str">
        <f t="shared" si="210"/>
        <v>Base</v>
      </c>
      <c r="E3972" s="138" t="str">
        <f t="shared" si="210"/>
        <v>Base</v>
      </c>
      <c r="F3972" s="138" t="str">
        <f t="shared" si="209"/>
        <v>Upgraded</v>
      </c>
      <c r="G3972" s="153"/>
      <c r="H3972" s="210">
        <v>8.8700000000000001E-2</v>
      </c>
      <c r="I3972" s="160" t="s">
        <v>62</v>
      </c>
      <c r="J3972" s="160">
        <v>1.2899999999999999E-3</v>
      </c>
      <c r="K3972" s="160" t="s">
        <v>13</v>
      </c>
      <c r="L3972" s="154" t="str">
        <f>IF(OpenLCAbasic!K3972="CTUh", "Fill in Manually",IF(OR(K3972="Unit", K3972=""), "", INDEX(LookUps!$E$5:$E$12, MATCH(OpenLCAbasic!K3972,LookUps!$D$5:$D$12,0))))</f>
        <v>Eutrophication Potential (EP) - kg N eq</v>
      </c>
      <c r="M3972" s="154" t="str">
        <f t="shared" si="201"/>
        <v>Base_Base_Upgraded_Eutrophication Potential (EP) - kg N eq_Land application of compost; wastewater treatment unit; at updated plant - US_Without Amendment_Windrow</v>
      </c>
    </row>
    <row r="3973" spans="1:13" s="120" customFormat="1" x14ac:dyDescent="0.25">
      <c r="A3973" s="119"/>
      <c r="B3973" s="138" t="str">
        <f t="shared" si="200"/>
        <v>Windrow</v>
      </c>
      <c r="C3973" s="138" t="str">
        <f t="shared" si="206"/>
        <v>Without Amendment</v>
      </c>
      <c r="D3973" s="138" t="str">
        <f t="shared" si="210"/>
        <v>Base</v>
      </c>
      <c r="E3973" s="138" t="str">
        <f t="shared" si="210"/>
        <v>Base</v>
      </c>
      <c r="F3973" s="138" t="str">
        <f t="shared" si="209"/>
        <v>Upgraded</v>
      </c>
      <c r="G3973" s="153"/>
      <c r="H3973" s="210">
        <v>3.7600000000000001E-2</v>
      </c>
      <c r="I3973" s="160" t="s">
        <v>55</v>
      </c>
      <c r="J3973" s="160">
        <v>5.5000000000000003E-4</v>
      </c>
      <c r="K3973" s="160" t="s">
        <v>13</v>
      </c>
      <c r="L3973" s="154" t="str">
        <f>IF(OpenLCAbasic!K3973="CTUh", "Fill in Manually",IF(OR(K3973="Unit", K3973=""), "", INDEX(LookUps!$E$5:$E$12, MATCH(OpenLCAbasic!K3973,LookUps!$D$5:$D$12,0))))</f>
        <v>Eutrophication Potential (EP) - kg N eq</v>
      </c>
      <c r="M3973" s="154" t="str">
        <f t="shared" si="201"/>
        <v>Base_Base_Upgraded_Eutrophication Potential (EP) - kg N eq_Aeration Tanks; wastewater treatment unit; at updated plant - US_Without Amendment_Windrow</v>
      </c>
    </row>
    <row r="3974" spans="1:13" s="120" customFormat="1" x14ac:dyDescent="0.25">
      <c r="A3974" s="119"/>
      <c r="B3974" s="138" t="str">
        <f t="shared" ref="B3974:B4037" si="211">IF(F3974="Legacy","n.a.",IF(F3974="","","Windrow"))</f>
        <v>Windrow</v>
      </c>
      <c r="C3974" s="138" t="str">
        <f t="shared" si="206"/>
        <v>Without Amendment</v>
      </c>
      <c r="D3974" s="138" t="str">
        <f t="shared" si="210"/>
        <v>Base</v>
      </c>
      <c r="E3974" s="138" t="str">
        <f t="shared" si="210"/>
        <v>Base</v>
      </c>
      <c r="F3974" s="138" t="str">
        <f t="shared" si="209"/>
        <v>Upgraded</v>
      </c>
      <c r="G3974" s="153"/>
      <c r="H3974" s="210">
        <v>1.72E-2</v>
      </c>
      <c r="I3974" s="160" t="s">
        <v>147</v>
      </c>
      <c r="J3974" s="160">
        <v>2.5000000000000001E-4</v>
      </c>
      <c r="K3974" s="160" t="s">
        <v>13</v>
      </c>
      <c r="L3974" s="154" t="str">
        <f>IF(OpenLCAbasic!K3974="CTUh", "Fill in Manually",IF(OR(K3974="Unit", K3974=""), "", INDEX(LookUps!$E$5:$E$12, MATCH(OpenLCAbasic!K3974,LookUps!$D$5:$D$12,0))))</f>
        <v>Eutrophication Potential (EP) - kg N eq</v>
      </c>
      <c r="M3974" s="154" t="str">
        <f t="shared" si="201"/>
        <v>Base_Base_Upgraded_Eutrophication Potential (EP) - kg N eq_Influent Pump Station; wastewater treatment unit; at updated plant - US_Without Amendment_Windrow</v>
      </c>
    </row>
    <row r="3975" spans="1:13" s="120" customFormat="1" x14ac:dyDescent="0.25">
      <c r="A3975" s="119"/>
      <c r="B3975" s="138" t="str">
        <f t="shared" si="211"/>
        <v>Windrow</v>
      </c>
      <c r="C3975" s="138" t="str">
        <f t="shared" si="206"/>
        <v>Without Amendment</v>
      </c>
      <c r="D3975" s="138" t="str">
        <f t="shared" ref="D3975:E4038" si="212">IF(ISNUMBER($J3975),"Base","")</f>
        <v>Base</v>
      </c>
      <c r="E3975" s="138" t="str">
        <f t="shared" si="212"/>
        <v>Base</v>
      </c>
      <c r="F3975" s="138" t="str">
        <f t="shared" si="209"/>
        <v>Upgraded</v>
      </c>
      <c r="G3975" s="153"/>
      <c r="H3975" s="210">
        <v>1.5900000000000001E-2</v>
      </c>
      <c r="I3975" s="160" t="s">
        <v>271</v>
      </c>
      <c r="J3975" s="160">
        <v>2.3000000000000001E-4</v>
      </c>
      <c r="K3975" s="160" t="s">
        <v>13</v>
      </c>
      <c r="L3975" s="154" t="str">
        <f>IF(OpenLCAbasic!K3975="CTUh", "Fill in Manually",IF(OR(K3975="Unit", K3975=""), "", INDEX(LookUps!$E$5:$E$12, MATCH(OpenLCAbasic!K3975,LookUps!$D$5:$D$12,0))))</f>
        <v>Eutrophication Potential (EP) - kg N eq</v>
      </c>
      <c r="M3975" s="154" t="str">
        <f t="shared" ref="M3975:M4038" si="213">CONCATENATE(E3975,"_",D3975,"_",F3975,"_",L3975, "_",I3975,"_", C3975,"_", B3975)</f>
        <v>Base_Base_Upgraded_Eutrophication Potential (EP) - kg N eq_Biosolids composting; windrow composting; wastewater treatment unit; at updated plant - US_Without Amendment_Windrow</v>
      </c>
    </row>
    <row r="3976" spans="1:13" s="120" customFormat="1" x14ac:dyDescent="0.25">
      <c r="A3976" s="119"/>
      <c r="B3976" s="138" t="str">
        <f t="shared" si="211"/>
        <v>Windrow</v>
      </c>
      <c r="C3976" s="138" t="str">
        <f t="shared" si="206"/>
        <v>Without Amendment</v>
      </c>
      <c r="D3976" s="138" t="str">
        <f t="shared" si="212"/>
        <v>Base</v>
      </c>
      <c r="E3976" s="138" t="str">
        <f t="shared" si="212"/>
        <v>Base</v>
      </c>
      <c r="F3976" s="138" t="str">
        <f t="shared" ref="F3976:F4039" si="214">IF(ISNUMBER(J3976),"Upgraded","")</f>
        <v>Upgraded</v>
      </c>
      <c r="G3976" s="153"/>
      <c r="H3976" s="210">
        <v>1.3599999999999999E-2</v>
      </c>
      <c r="I3976" s="160" t="s">
        <v>54</v>
      </c>
      <c r="J3976" s="160">
        <v>2.0000000000000001E-4</v>
      </c>
      <c r="K3976" s="160" t="s">
        <v>13</v>
      </c>
      <c r="L3976" s="154" t="str">
        <f>IF(OpenLCAbasic!K3976="CTUh", "Fill in Manually",IF(OR(K3976="Unit", K3976=""), "", INDEX(LookUps!$E$5:$E$12, MATCH(OpenLCAbasic!K3976,LookUps!$D$5:$D$12,0))))</f>
        <v>Eutrophication Potential (EP) - kg N eq</v>
      </c>
      <c r="M3976" s="154" t="str">
        <f t="shared" si="213"/>
        <v>Base_Base_Upgraded_Eutrophication Potential (EP) - kg N eq_Clear Cove Primary Clarification; wastewater treatment unit; at updated plant - US_Without Amendment_Windrow</v>
      </c>
    </row>
    <row r="3977" spans="1:13" s="120" customFormat="1" x14ac:dyDescent="0.25">
      <c r="A3977" s="119"/>
      <c r="B3977" s="138" t="str">
        <f t="shared" si="211"/>
        <v>Windrow</v>
      </c>
      <c r="C3977" s="138" t="str">
        <f t="shared" si="206"/>
        <v>Without Amendment</v>
      </c>
      <c r="D3977" s="138" t="str">
        <f t="shared" si="212"/>
        <v>Base</v>
      </c>
      <c r="E3977" s="138" t="str">
        <f t="shared" si="212"/>
        <v>Base</v>
      </c>
      <c r="F3977" s="138" t="str">
        <f t="shared" si="214"/>
        <v>Upgraded</v>
      </c>
      <c r="G3977" s="153"/>
      <c r="H3977" s="210">
        <v>1.1299999999999999E-2</v>
      </c>
      <c r="I3977" s="160" t="s">
        <v>167</v>
      </c>
      <c r="J3977" s="160">
        <v>1.6000000000000001E-4</v>
      </c>
      <c r="K3977" s="160" t="s">
        <v>13</v>
      </c>
      <c r="L3977" s="154" t="str">
        <f>IF(OpenLCAbasic!K3977="CTUh", "Fill in Manually",IF(OR(K3977="Unit", K3977=""), "", INDEX(LookUps!$E$5:$E$12, MATCH(OpenLCAbasic!K3977,LookUps!$D$5:$D$12,0))))</f>
        <v>Eutrophication Potential (EP) - kg N eq</v>
      </c>
      <c r="M3977" s="154" t="str">
        <f t="shared" si="213"/>
        <v>Base_Base_Upgraded_Eutrophication Potential (EP) - kg N eq_Waste Receiving and Holding; wastewater treatment unit; at updated plant - US_Without Amendment_Windrow</v>
      </c>
    </row>
    <row r="3978" spans="1:13" s="120" customFormat="1" x14ac:dyDescent="0.25">
      <c r="A3978" s="119"/>
      <c r="B3978" s="138" t="str">
        <f t="shared" si="211"/>
        <v>Windrow</v>
      </c>
      <c r="C3978" s="138" t="str">
        <f t="shared" si="206"/>
        <v>Without Amendment</v>
      </c>
      <c r="D3978" s="138" t="str">
        <f t="shared" si="212"/>
        <v>Base</v>
      </c>
      <c r="E3978" s="138" t="str">
        <f t="shared" si="212"/>
        <v>Base</v>
      </c>
      <c r="F3978" s="138" t="str">
        <f t="shared" si="214"/>
        <v>Upgraded</v>
      </c>
      <c r="G3978" s="153"/>
      <c r="H3978" s="210">
        <v>9.2999999999999992E-3</v>
      </c>
      <c r="I3978" s="160" t="s">
        <v>58</v>
      </c>
      <c r="J3978" s="160">
        <v>1.3999999999999999E-4</v>
      </c>
      <c r="K3978" s="160" t="s">
        <v>13</v>
      </c>
      <c r="L3978" s="154" t="str">
        <f>IF(OpenLCAbasic!K3978="CTUh", "Fill in Manually",IF(OR(K3978="Unit", K3978=""), "", INDEX(LookUps!$E$5:$E$12, MATCH(OpenLCAbasic!K3978,LookUps!$D$5:$D$12,0))))</f>
        <v>Eutrophication Potential (EP) - kg N eq</v>
      </c>
      <c r="M3978" s="154" t="str">
        <f t="shared" si="213"/>
        <v>Base_Base_Upgraded_Eutrophication Potential (EP) - kg N eq_Pre-Anoxic &amp; Swing tank; wastewater treatment unit; at updated plant - US_Without Amendment_Windrow</v>
      </c>
    </row>
    <row r="3979" spans="1:13" s="120" customFormat="1" x14ac:dyDescent="0.25">
      <c r="A3979" s="119"/>
      <c r="B3979" s="138" t="str">
        <f t="shared" si="211"/>
        <v>Windrow</v>
      </c>
      <c r="C3979" s="138" t="str">
        <f t="shared" si="206"/>
        <v>Without Amendment</v>
      </c>
      <c r="D3979" s="138" t="str">
        <f t="shared" si="212"/>
        <v>Base</v>
      </c>
      <c r="E3979" s="138" t="str">
        <f t="shared" si="212"/>
        <v>Base</v>
      </c>
      <c r="F3979" s="138" t="str">
        <f t="shared" si="214"/>
        <v>Upgraded</v>
      </c>
      <c r="G3979" s="153"/>
      <c r="H3979" s="210">
        <v>7.4000000000000003E-3</v>
      </c>
      <c r="I3979" s="160" t="s">
        <v>53</v>
      </c>
      <c r="J3979" s="160">
        <v>1.1E-4</v>
      </c>
      <c r="K3979" s="160" t="s">
        <v>13</v>
      </c>
      <c r="L3979" s="154" t="str">
        <f>IF(OpenLCAbasic!K3979="CTUh", "Fill in Manually",IF(OR(K3979="Unit", K3979=""), "", INDEX(LookUps!$E$5:$E$12, MATCH(OpenLCAbasic!K3979,LookUps!$D$5:$D$12,0))))</f>
        <v>Eutrophication Potential (EP) - kg N eq</v>
      </c>
      <c r="M3979" s="154" t="str">
        <f t="shared" si="213"/>
        <v>Base_Base_Upgraded_Eutrophication Potential (EP) - kg N eq_Wet Well and Sump Station; wastewater treatment unit; at updated plant - US_Without Amendment_Windrow</v>
      </c>
    </row>
    <row r="3980" spans="1:13" s="120" customFormat="1" x14ac:dyDescent="0.25">
      <c r="A3980" s="119"/>
      <c r="B3980" s="138" t="str">
        <f t="shared" si="211"/>
        <v>Windrow</v>
      </c>
      <c r="C3980" s="138" t="str">
        <f t="shared" si="206"/>
        <v>Without Amendment</v>
      </c>
      <c r="D3980" s="138" t="str">
        <f t="shared" si="212"/>
        <v>Base</v>
      </c>
      <c r="E3980" s="138" t="str">
        <f t="shared" si="212"/>
        <v>Base</v>
      </c>
      <c r="F3980" s="138" t="str">
        <f t="shared" si="214"/>
        <v>Upgraded</v>
      </c>
      <c r="G3980" s="153"/>
      <c r="H3980" s="210">
        <v>4.1999999999999997E-3</v>
      </c>
      <c r="I3980" s="160" t="s">
        <v>57</v>
      </c>
      <c r="J3980" s="211">
        <v>6.0590300000000002E-5</v>
      </c>
      <c r="K3980" s="160" t="s">
        <v>13</v>
      </c>
      <c r="L3980" s="154" t="str">
        <f>IF(OpenLCAbasic!K3980="CTUh", "Fill in Manually",IF(OR(K3980="Unit", K3980=""), "", INDEX(LookUps!$E$5:$E$12, MATCH(OpenLCAbasic!K3980,LookUps!$D$5:$D$12,0))))</f>
        <v>Eutrophication Potential (EP) - kg N eq</v>
      </c>
      <c r="M3980" s="154" t="str">
        <f t="shared" si="213"/>
        <v>Base_Base_Upgraded_Eutrophication Potential (EP) - kg N eq_Gravity Belt Thickener; wastewater treatment unit; at updated plant - US_Without Amendment_Windrow</v>
      </c>
    </row>
    <row r="3981" spans="1:13" s="120" customFormat="1" x14ac:dyDescent="0.25">
      <c r="A3981" s="119"/>
      <c r="B3981" s="138" t="str">
        <f t="shared" si="211"/>
        <v>Windrow</v>
      </c>
      <c r="C3981" s="138" t="str">
        <f t="shared" si="206"/>
        <v>Without Amendment</v>
      </c>
      <c r="D3981" s="138" t="str">
        <f t="shared" si="212"/>
        <v>Base</v>
      </c>
      <c r="E3981" s="138" t="str">
        <f t="shared" si="212"/>
        <v>Base</v>
      </c>
      <c r="F3981" s="138" t="str">
        <f t="shared" si="214"/>
        <v>Upgraded</v>
      </c>
      <c r="G3981" s="153"/>
      <c r="H3981" s="210">
        <v>3.5000000000000001E-3</v>
      </c>
      <c r="I3981" s="160" t="s">
        <v>60</v>
      </c>
      <c r="J3981" s="211">
        <v>5.06508E-5</v>
      </c>
      <c r="K3981" s="160" t="s">
        <v>13</v>
      </c>
      <c r="L3981" s="154" t="str">
        <f>IF(OpenLCAbasic!K3981="CTUh", "Fill in Manually",IF(OR(K3981="Unit", K3981=""), "", INDEX(LookUps!$E$5:$E$12, MATCH(OpenLCAbasic!K3981,LookUps!$D$5:$D$12,0))))</f>
        <v>Eutrophication Potential (EP) - kg N eq</v>
      </c>
      <c r="M3981" s="154" t="str">
        <f t="shared" si="213"/>
        <v>Base_Base_Upgraded_Eutrophication Potential (EP) - kg N eq_Belt filter press; wastewater treatment unit; at updated plant - US_Without Amendment_Windrow</v>
      </c>
    </row>
    <row r="3982" spans="1:13" s="120" customFormat="1" x14ac:dyDescent="0.25">
      <c r="A3982" s="119"/>
      <c r="B3982" s="138" t="str">
        <f t="shared" si="211"/>
        <v>Windrow</v>
      </c>
      <c r="C3982" s="138" t="str">
        <f t="shared" si="206"/>
        <v>Without Amendment</v>
      </c>
      <c r="D3982" s="138" t="str">
        <f t="shared" si="212"/>
        <v>Base</v>
      </c>
      <c r="E3982" s="138" t="str">
        <f t="shared" si="212"/>
        <v>Base</v>
      </c>
      <c r="F3982" s="138" t="str">
        <f t="shared" si="214"/>
        <v>Upgraded</v>
      </c>
      <c r="G3982" s="153"/>
      <c r="H3982" s="210">
        <v>2.5999999999999999E-3</v>
      </c>
      <c r="I3982" s="160" t="s">
        <v>128</v>
      </c>
      <c r="J3982" s="211">
        <v>3.7559799999999999E-5</v>
      </c>
      <c r="K3982" s="160" t="s">
        <v>13</v>
      </c>
      <c r="L3982" s="154" t="str">
        <f>IF(OpenLCAbasic!K3982="CTUh", "Fill in Manually",IF(OR(K3982="Unit", K3982=""), "", INDEX(LookUps!$E$5:$E$12, MATCH(OpenLCAbasic!K3982,LookUps!$D$5:$D$12,0))))</f>
        <v>Eutrophication Potential (EP) - kg N eq</v>
      </c>
      <c r="M3982" s="154" t="str">
        <f t="shared" si="213"/>
        <v>Base_Base_Upgraded_Eutrophication Potential (EP) - kg N eq_Wastewater collection; operation and infrastructure; m3 wastewater_Without Amendment_Windrow</v>
      </c>
    </row>
    <row r="3983" spans="1:13" s="120" customFormat="1" x14ac:dyDescent="0.25">
      <c r="A3983" s="119"/>
      <c r="B3983" s="138" t="str">
        <f t="shared" si="211"/>
        <v>Windrow</v>
      </c>
      <c r="C3983" s="138" t="str">
        <f t="shared" si="206"/>
        <v>Without Amendment</v>
      </c>
      <c r="D3983" s="138" t="str">
        <f t="shared" si="212"/>
        <v>Base</v>
      </c>
      <c r="E3983" s="138" t="str">
        <f t="shared" si="212"/>
        <v>Base</v>
      </c>
      <c r="F3983" s="138" t="str">
        <f t="shared" si="214"/>
        <v>Upgraded</v>
      </c>
      <c r="G3983" s="153"/>
      <c r="H3983" s="210">
        <v>2.5000000000000001E-3</v>
      </c>
      <c r="I3983" s="160" t="s">
        <v>148</v>
      </c>
      <c r="J3983" s="211">
        <v>3.6874600000000001E-5</v>
      </c>
      <c r="K3983" s="160" t="s">
        <v>13</v>
      </c>
      <c r="L3983" s="154" t="str">
        <f>IF(OpenLCAbasic!K3983="CTUh", "Fill in Manually",IF(OR(K3983="Unit", K3983=""), "", INDEX(LookUps!$E$5:$E$12, MATCH(OpenLCAbasic!K3983,LookUps!$D$5:$D$12,0))))</f>
        <v>Eutrophication Potential (EP) - kg N eq</v>
      </c>
      <c r="M3983" s="154" t="str">
        <f t="shared" si="213"/>
        <v>Base_Base_Upgraded_Eutrophication Potential (EP) - kg N eq_Control Building; at upgraded wastewater treatment plant - US_Without Amendment_Windrow</v>
      </c>
    </row>
    <row r="3984" spans="1:13" s="120" customFormat="1" x14ac:dyDescent="0.25">
      <c r="A3984" s="119"/>
      <c r="B3984" s="138" t="str">
        <f t="shared" si="211"/>
        <v>Windrow</v>
      </c>
      <c r="C3984" s="138" t="str">
        <f t="shared" si="206"/>
        <v>Without Amendment</v>
      </c>
      <c r="D3984" s="138" t="str">
        <f t="shared" si="212"/>
        <v>Base</v>
      </c>
      <c r="E3984" s="138" t="str">
        <f t="shared" si="212"/>
        <v>Base</v>
      </c>
      <c r="F3984" s="138" t="str">
        <f t="shared" si="214"/>
        <v>Upgraded</v>
      </c>
      <c r="G3984" s="153"/>
      <c r="H3984" s="210">
        <v>1.1000000000000001E-3</v>
      </c>
      <c r="I3984" s="160" t="s">
        <v>59</v>
      </c>
      <c r="J3984" s="211">
        <v>1.6215700000000001E-5</v>
      </c>
      <c r="K3984" s="160" t="s">
        <v>13</v>
      </c>
      <c r="L3984" s="154" t="str">
        <f>IF(OpenLCAbasic!K3984="CTUh", "Fill in Manually",IF(OR(K3984="Unit", K3984=""), "", INDEX(LookUps!$E$5:$E$12, MATCH(OpenLCAbasic!K3984,LookUps!$D$5:$D$12,0))))</f>
        <v>Eutrophication Potential (EP) - kg N eq</v>
      </c>
      <c r="M3984" s="154" t="str">
        <f t="shared" si="213"/>
        <v>Base_Base_Upgraded_Eutrophication Potential (EP) - kg N eq_Blend Tank; wastewater treatment unit; at updated plant - US_Without Amendment_Windrow</v>
      </c>
    </row>
    <row r="3985" spans="1:13" s="120" customFormat="1" x14ac:dyDescent="0.25">
      <c r="A3985" s="119"/>
      <c r="B3985" s="138" t="str">
        <f t="shared" si="211"/>
        <v>Windrow</v>
      </c>
      <c r="C3985" s="138" t="str">
        <f t="shared" si="206"/>
        <v>Without Amendment</v>
      </c>
      <c r="D3985" s="138" t="str">
        <f t="shared" si="212"/>
        <v>Base</v>
      </c>
      <c r="E3985" s="138" t="str">
        <f t="shared" si="212"/>
        <v>Base</v>
      </c>
      <c r="F3985" s="138" t="str">
        <f t="shared" si="214"/>
        <v>Upgraded</v>
      </c>
      <c r="G3985" s="153"/>
      <c r="H3985" s="210">
        <v>5.0000000000000001E-4</v>
      </c>
      <c r="I3985" s="160" t="s">
        <v>168</v>
      </c>
      <c r="J3985" s="211">
        <v>7.7567199999999995E-6</v>
      </c>
      <c r="K3985" s="160" t="s">
        <v>13</v>
      </c>
      <c r="L3985" s="154" t="str">
        <f>IF(OpenLCAbasic!K3985="CTUh", "Fill in Manually",IF(OR(K3985="Unit", K3985=""), "", INDEX(LookUps!$E$5:$E$12, MATCH(OpenLCAbasic!K3985,LookUps!$D$5:$D$12,0))))</f>
        <v>Eutrophication Potential (EP) - kg N eq</v>
      </c>
      <c r="M3985" s="154" t="str">
        <f t="shared" si="213"/>
        <v>Base_Base_Upgraded_Eutrophication Potential (EP) - kg N eq_ClearCove SCP; wastewater treatment unit; at updated plant - US_Without Amendment_Windrow</v>
      </c>
    </row>
    <row r="3986" spans="1:13" s="120" customFormat="1" x14ac:dyDescent="0.25">
      <c r="A3986" s="119"/>
      <c r="B3986" s="138" t="str">
        <f t="shared" si="211"/>
        <v>Windrow</v>
      </c>
      <c r="C3986" s="138" t="str">
        <f t="shared" si="206"/>
        <v>Without Amendment</v>
      </c>
      <c r="D3986" s="138" t="str">
        <f t="shared" si="212"/>
        <v>Base</v>
      </c>
      <c r="E3986" s="138" t="str">
        <f t="shared" si="212"/>
        <v>Base</v>
      </c>
      <c r="F3986" s="138" t="str">
        <f t="shared" si="214"/>
        <v>Upgraded</v>
      </c>
      <c r="G3986" s="153"/>
      <c r="H3986" s="210">
        <v>-1.3599999999999999E-2</v>
      </c>
      <c r="I3986" s="160" t="s">
        <v>149</v>
      </c>
      <c r="J3986" s="160">
        <v>-2.0000000000000001E-4</v>
      </c>
      <c r="K3986" s="160" t="s">
        <v>13</v>
      </c>
      <c r="L3986" s="154" t="str">
        <f>IF(OpenLCAbasic!K3986="CTUh", "Fill in Manually",IF(OR(K3986="Unit", K3986=""), "", INDEX(LookUps!$E$5:$E$12, MATCH(OpenLCAbasic!K3986,LookUps!$D$5:$D$12,0))))</f>
        <v>Eutrophication Potential (EP) - kg N eq</v>
      </c>
      <c r="M3986" s="154" t="str">
        <f t="shared" si="213"/>
        <v>Base_Base_Upgraded_Eutrophication Potential (EP) - kg N eq_Anaerobic Digestion; wastewater treatment unit; at updated plant - US_Without Amendment_Windrow</v>
      </c>
    </row>
    <row r="3987" spans="1:13" s="120" customFormat="1" x14ac:dyDescent="0.25">
      <c r="A3987" s="119"/>
      <c r="B3987" s="138" t="str">
        <f t="shared" si="211"/>
        <v/>
      </c>
      <c r="C3987" s="138" t="str">
        <f t="shared" si="206"/>
        <v/>
      </c>
      <c r="D3987" s="138" t="str">
        <f t="shared" si="212"/>
        <v/>
      </c>
      <c r="E3987" s="138" t="str">
        <f t="shared" si="212"/>
        <v/>
      </c>
      <c r="F3987" s="138" t="str">
        <f t="shared" si="214"/>
        <v/>
      </c>
      <c r="G3987" s="153" t="s">
        <v>51</v>
      </c>
      <c r="H3987" s="160"/>
      <c r="I3987" s="160" t="s">
        <v>47</v>
      </c>
      <c r="J3987" s="160" t="s">
        <v>52</v>
      </c>
      <c r="K3987" s="160" t="s">
        <v>27</v>
      </c>
      <c r="L3987" s="154" t="str">
        <f>IF(OpenLCAbasic!K3987="CTUh", "Fill in Manually",IF(OR(K3987="Unit", K3987=""), "", INDEX(LookUps!$E$5:$E$12, MATCH(OpenLCAbasic!K3987,LookUps!$D$5:$D$12,0))))</f>
        <v/>
      </c>
      <c r="M3987" s="154" t="str">
        <f t="shared" si="213"/>
        <v>____Process__</v>
      </c>
    </row>
    <row r="3988" spans="1:13" s="120" customFormat="1" x14ac:dyDescent="0.25">
      <c r="A3988" s="119"/>
      <c r="B3988" s="138" t="str">
        <f t="shared" si="211"/>
        <v>Windrow</v>
      </c>
      <c r="C3988" s="138" t="str">
        <f t="shared" si="206"/>
        <v>Without Amendment</v>
      </c>
      <c r="D3988" s="138" t="str">
        <f t="shared" si="212"/>
        <v>Base</v>
      </c>
      <c r="E3988" s="138" t="str">
        <f t="shared" si="212"/>
        <v>Base</v>
      </c>
      <c r="F3988" s="138" t="str">
        <f t="shared" si="214"/>
        <v>Upgraded</v>
      </c>
      <c r="G3988" s="153"/>
      <c r="H3988" s="210">
        <v>0.41909999999999997</v>
      </c>
      <c r="I3988" s="160" t="s">
        <v>167</v>
      </c>
      <c r="J3988" s="160">
        <v>7.9170000000000004E-2</v>
      </c>
      <c r="K3988" s="160" t="s">
        <v>14</v>
      </c>
      <c r="L3988" s="154" t="str">
        <f>IF(OpenLCAbasic!K3988="CTUh", "Fill in Manually",IF(OR(K3988="Unit", K3988=""), "", INDEX(LookUps!$E$5:$E$12, MATCH(OpenLCAbasic!K3988,LookUps!$D$5:$D$12,0))))</f>
        <v>Fossil Depletion Potential (FDP) - kg oil eq</v>
      </c>
      <c r="M3988" s="154" t="str">
        <f t="shared" si="213"/>
        <v>Base_Base_Upgraded_Fossil Depletion Potential (FDP) - kg oil eq_Waste Receiving and Holding; wastewater treatment unit; at updated plant - US_Without Amendment_Windrow</v>
      </c>
    </row>
    <row r="3989" spans="1:13" s="120" customFormat="1" x14ac:dyDescent="0.25">
      <c r="A3989" s="119"/>
      <c r="B3989" s="138" t="str">
        <f t="shared" si="211"/>
        <v>Windrow</v>
      </c>
      <c r="C3989" s="138" t="str">
        <f t="shared" si="206"/>
        <v>Without Amendment</v>
      </c>
      <c r="D3989" s="138" t="str">
        <f t="shared" si="212"/>
        <v>Base</v>
      </c>
      <c r="E3989" s="138" t="str">
        <f t="shared" si="212"/>
        <v>Base</v>
      </c>
      <c r="F3989" s="138" t="str">
        <f t="shared" si="214"/>
        <v>Upgraded</v>
      </c>
      <c r="G3989" s="153"/>
      <c r="H3989" s="210">
        <v>0.33660000000000001</v>
      </c>
      <c r="I3989" s="160" t="s">
        <v>55</v>
      </c>
      <c r="J3989" s="160">
        <v>6.3589999999999994E-2</v>
      </c>
      <c r="K3989" s="160" t="s">
        <v>14</v>
      </c>
      <c r="L3989" s="154" t="str">
        <f>IF(OpenLCAbasic!K3989="CTUh", "Fill in Manually",IF(OR(K3989="Unit", K3989=""), "", INDEX(LookUps!$E$5:$E$12, MATCH(OpenLCAbasic!K3989,LookUps!$D$5:$D$12,0))))</f>
        <v>Fossil Depletion Potential (FDP) - kg oil eq</v>
      </c>
      <c r="M3989" s="154" t="str">
        <f t="shared" si="213"/>
        <v>Base_Base_Upgraded_Fossil Depletion Potential (FDP) - kg oil eq_Aeration Tanks; wastewater treatment unit; at updated plant - US_Without Amendment_Windrow</v>
      </c>
    </row>
    <row r="3990" spans="1:13" s="120" customFormat="1" x14ac:dyDescent="0.25">
      <c r="A3990" s="119"/>
      <c r="B3990" s="138" t="str">
        <f t="shared" si="211"/>
        <v>Windrow</v>
      </c>
      <c r="C3990" s="138" t="str">
        <f t="shared" si="206"/>
        <v>Without Amendment</v>
      </c>
      <c r="D3990" s="138" t="str">
        <f t="shared" si="212"/>
        <v>Base</v>
      </c>
      <c r="E3990" s="138" t="str">
        <f t="shared" si="212"/>
        <v>Base</v>
      </c>
      <c r="F3990" s="138" t="str">
        <f t="shared" si="214"/>
        <v>Upgraded</v>
      </c>
      <c r="G3990" s="153"/>
      <c r="H3990" s="210">
        <v>0.1114</v>
      </c>
      <c r="I3990" s="160" t="s">
        <v>54</v>
      </c>
      <c r="J3990" s="160">
        <v>2.1049999999999999E-2</v>
      </c>
      <c r="K3990" s="160" t="s">
        <v>14</v>
      </c>
      <c r="L3990" s="154" t="str">
        <f>IF(OpenLCAbasic!K3990="CTUh", "Fill in Manually",IF(OR(K3990="Unit", K3990=""), "", INDEX(LookUps!$E$5:$E$12, MATCH(OpenLCAbasic!K3990,LookUps!$D$5:$D$12,0))))</f>
        <v>Fossil Depletion Potential (FDP) - kg oil eq</v>
      </c>
      <c r="M3990" s="154" t="str">
        <f t="shared" si="213"/>
        <v>Base_Base_Upgraded_Fossil Depletion Potential (FDP) - kg oil eq_Clear Cove Primary Clarification; wastewater treatment unit; at updated plant - US_Without Amendment_Windrow</v>
      </c>
    </row>
    <row r="3991" spans="1:13" s="120" customFormat="1" x14ac:dyDescent="0.25">
      <c r="A3991" s="119"/>
      <c r="B3991" s="138" t="str">
        <f t="shared" si="211"/>
        <v>Windrow</v>
      </c>
      <c r="C3991" s="138" t="str">
        <f t="shared" si="206"/>
        <v>Without Amendment</v>
      </c>
      <c r="D3991" s="138" t="str">
        <f t="shared" si="212"/>
        <v>Base</v>
      </c>
      <c r="E3991" s="138" t="str">
        <f t="shared" si="212"/>
        <v>Base</v>
      </c>
      <c r="F3991" s="138" t="str">
        <f t="shared" si="214"/>
        <v>Upgraded</v>
      </c>
      <c r="G3991" s="153"/>
      <c r="H3991" s="210">
        <v>8.43E-2</v>
      </c>
      <c r="I3991" s="160" t="s">
        <v>58</v>
      </c>
      <c r="J3991" s="160">
        <v>1.592E-2</v>
      </c>
      <c r="K3991" s="160" t="s">
        <v>14</v>
      </c>
      <c r="L3991" s="154" t="str">
        <f>IF(OpenLCAbasic!K3991="CTUh", "Fill in Manually",IF(OR(K3991="Unit", K3991=""), "", INDEX(LookUps!$E$5:$E$12, MATCH(OpenLCAbasic!K3991,LookUps!$D$5:$D$12,0))))</f>
        <v>Fossil Depletion Potential (FDP) - kg oil eq</v>
      </c>
      <c r="M3991" s="154" t="str">
        <f t="shared" si="213"/>
        <v>Base_Base_Upgraded_Fossil Depletion Potential (FDP) - kg oil eq_Pre-Anoxic &amp; Swing tank; wastewater treatment unit; at updated plant - US_Without Amendment_Windrow</v>
      </c>
    </row>
    <row r="3992" spans="1:13" s="120" customFormat="1" x14ac:dyDescent="0.25">
      <c r="A3992" s="119"/>
      <c r="B3992" s="138" t="str">
        <f t="shared" si="211"/>
        <v>Windrow</v>
      </c>
      <c r="C3992" s="138" t="str">
        <f t="shared" si="206"/>
        <v>Without Amendment</v>
      </c>
      <c r="D3992" s="138" t="str">
        <f t="shared" si="212"/>
        <v>Base</v>
      </c>
      <c r="E3992" s="138" t="str">
        <f t="shared" si="212"/>
        <v>Base</v>
      </c>
      <c r="F3992" s="138" t="str">
        <f t="shared" si="214"/>
        <v>Upgraded</v>
      </c>
      <c r="G3992" s="153"/>
      <c r="H3992" s="210">
        <v>7.9899999999999999E-2</v>
      </c>
      <c r="I3992" s="160" t="s">
        <v>147</v>
      </c>
      <c r="J3992" s="160">
        <v>1.5089999999999999E-2</v>
      </c>
      <c r="K3992" s="160" t="s">
        <v>14</v>
      </c>
      <c r="L3992" s="154" t="str">
        <f>IF(OpenLCAbasic!K3992="CTUh", "Fill in Manually",IF(OR(K3992="Unit", K3992=""), "", INDEX(LookUps!$E$5:$E$12, MATCH(OpenLCAbasic!K3992,LookUps!$D$5:$D$12,0))))</f>
        <v>Fossil Depletion Potential (FDP) - kg oil eq</v>
      </c>
      <c r="M3992" s="154" t="str">
        <f t="shared" si="213"/>
        <v>Base_Base_Upgraded_Fossil Depletion Potential (FDP) - kg oil eq_Influent Pump Station; wastewater treatment unit; at updated plant - US_Without Amendment_Windrow</v>
      </c>
    </row>
    <row r="3993" spans="1:13" s="120" customFormat="1" x14ac:dyDescent="0.25">
      <c r="A3993" s="119"/>
      <c r="B3993" s="138" t="str">
        <f t="shared" si="211"/>
        <v>Windrow</v>
      </c>
      <c r="C3993" s="138" t="str">
        <f t="shared" si="206"/>
        <v>Without Amendment</v>
      </c>
      <c r="D3993" s="138" t="str">
        <f t="shared" si="212"/>
        <v>Base</v>
      </c>
      <c r="E3993" s="138" t="str">
        <f t="shared" si="212"/>
        <v>Base</v>
      </c>
      <c r="F3993" s="138" t="str">
        <f t="shared" si="214"/>
        <v>Upgraded</v>
      </c>
      <c r="G3993" s="153"/>
      <c r="H3993" s="210">
        <v>6.6100000000000006E-2</v>
      </c>
      <c r="I3993" s="160" t="s">
        <v>53</v>
      </c>
      <c r="J3993" s="160">
        <v>1.2489999999999999E-2</v>
      </c>
      <c r="K3993" s="160" t="s">
        <v>14</v>
      </c>
      <c r="L3993" s="154" t="str">
        <f>IF(OpenLCAbasic!K3993="CTUh", "Fill in Manually",IF(OR(K3993="Unit", K3993=""), "", INDEX(LookUps!$E$5:$E$12, MATCH(OpenLCAbasic!K3993,LookUps!$D$5:$D$12,0))))</f>
        <v>Fossil Depletion Potential (FDP) - kg oil eq</v>
      </c>
      <c r="M3993" s="154" t="str">
        <f t="shared" si="213"/>
        <v>Base_Base_Upgraded_Fossil Depletion Potential (FDP) - kg oil eq_Wet Well and Sump Station; wastewater treatment unit; at updated plant - US_Without Amendment_Windrow</v>
      </c>
    </row>
    <row r="3994" spans="1:13" s="120" customFormat="1" x14ac:dyDescent="0.25">
      <c r="A3994" s="119"/>
      <c r="B3994" s="138" t="str">
        <f t="shared" si="211"/>
        <v>Windrow</v>
      </c>
      <c r="C3994" s="138" t="str">
        <f t="shared" si="206"/>
        <v>Without Amendment</v>
      </c>
      <c r="D3994" s="138" t="str">
        <f t="shared" si="212"/>
        <v>Base</v>
      </c>
      <c r="E3994" s="138" t="str">
        <f t="shared" si="212"/>
        <v>Base</v>
      </c>
      <c r="F3994" s="138" t="str">
        <f t="shared" si="214"/>
        <v>Upgraded</v>
      </c>
      <c r="G3994" s="153"/>
      <c r="H3994" s="210">
        <v>3.6600000000000001E-2</v>
      </c>
      <c r="I3994" s="160" t="s">
        <v>57</v>
      </c>
      <c r="J3994" s="160">
        <v>6.9199999999999999E-3</v>
      </c>
      <c r="K3994" s="160" t="s">
        <v>14</v>
      </c>
      <c r="L3994" s="154" t="str">
        <f>IF(OpenLCAbasic!K3994="CTUh", "Fill in Manually",IF(OR(K3994="Unit", K3994=""), "", INDEX(LookUps!$E$5:$E$12, MATCH(OpenLCAbasic!K3994,LookUps!$D$5:$D$12,0))))</f>
        <v>Fossil Depletion Potential (FDP) - kg oil eq</v>
      </c>
      <c r="M3994" s="154" t="str">
        <f t="shared" si="213"/>
        <v>Base_Base_Upgraded_Fossil Depletion Potential (FDP) - kg oil eq_Gravity Belt Thickener; wastewater treatment unit; at updated plant - US_Without Amendment_Windrow</v>
      </c>
    </row>
    <row r="3995" spans="1:13" s="120" customFormat="1" x14ac:dyDescent="0.25">
      <c r="A3995" s="119"/>
      <c r="B3995" s="138" t="str">
        <f t="shared" si="211"/>
        <v>Windrow</v>
      </c>
      <c r="C3995" s="138" t="str">
        <f t="shared" si="206"/>
        <v>Without Amendment</v>
      </c>
      <c r="D3995" s="138" t="str">
        <f t="shared" si="212"/>
        <v>Base</v>
      </c>
      <c r="E3995" s="138" t="str">
        <f t="shared" si="212"/>
        <v>Base</v>
      </c>
      <c r="F3995" s="138" t="str">
        <f t="shared" si="214"/>
        <v>Upgraded</v>
      </c>
      <c r="G3995" s="153"/>
      <c r="H3995" s="210">
        <v>3.0800000000000001E-2</v>
      </c>
      <c r="I3995" s="160" t="s">
        <v>60</v>
      </c>
      <c r="J3995" s="160">
        <v>5.8100000000000001E-3</v>
      </c>
      <c r="K3995" s="160" t="s">
        <v>14</v>
      </c>
      <c r="L3995" s="154" t="str">
        <f>IF(OpenLCAbasic!K3995="CTUh", "Fill in Manually",IF(OR(K3995="Unit", K3995=""), "", INDEX(LookUps!$E$5:$E$12, MATCH(OpenLCAbasic!K3995,LookUps!$D$5:$D$12,0))))</f>
        <v>Fossil Depletion Potential (FDP) - kg oil eq</v>
      </c>
      <c r="M3995" s="154" t="str">
        <f t="shared" si="213"/>
        <v>Base_Base_Upgraded_Fossil Depletion Potential (FDP) - kg oil eq_Belt filter press; wastewater treatment unit; at updated plant - US_Without Amendment_Windrow</v>
      </c>
    </row>
    <row r="3996" spans="1:13" s="120" customFormat="1" x14ac:dyDescent="0.25">
      <c r="A3996" s="119"/>
      <c r="B3996" s="138" t="str">
        <f t="shared" si="211"/>
        <v>Windrow</v>
      </c>
      <c r="C3996" s="138" t="str">
        <f t="shared" si="206"/>
        <v>Without Amendment</v>
      </c>
      <c r="D3996" s="138" t="str">
        <f t="shared" si="212"/>
        <v>Base</v>
      </c>
      <c r="E3996" s="138" t="str">
        <f t="shared" si="212"/>
        <v>Base</v>
      </c>
      <c r="F3996" s="138" t="str">
        <f t="shared" si="214"/>
        <v>Upgraded</v>
      </c>
      <c r="G3996" s="153"/>
      <c r="H3996" s="210">
        <v>2.3800000000000002E-2</v>
      </c>
      <c r="I3996" s="160" t="s">
        <v>128</v>
      </c>
      <c r="J3996" s="160">
        <v>4.4999999999999997E-3</v>
      </c>
      <c r="K3996" s="160" t="s">
        <v>14</v>
      </c>
      <c r="L3996" s="154" t="str">
        <f>IF(OpenLCAbasic!K3996="CTUh", "Fill in Manually",IF(OR(K3996="Unit", K3996=""), "", INDEX(LookUps!$E$5:$E$12, MATCH(OpenLCAbasic!K3996,LookUps!$D$5:$D$12,0))))</f>
        <v>Fossil Depletion Potential (FDP) - kg oil eq</v>
      </c>
      <c r="M3996" s="154" t="str">
        <f t="shared" si="213"/>
        <v>Base_Base_Upgraded_Fossil Depletion Potential (FDP) - kg oil eq_Wastewater collection; operation and infrastructure; m3 wastewater_Without Amendment_Windrow</v>
      </c>
    </row>
    <row r="3997" spans="1:13" s="120" customFormat="1" x14ac:dyDescent="0.25">
      <c r="A3997" s="119"/>
      <c r="B3997" s="138" t="str">
        <f t="shared" si="211"/>
        <v>Windrow</v>
      </c>
      <c r="C3997" s="138" t="str">
        <f t="shared" si="206"/>
        <v>Without Amendment</v>
      </c>
      <c r="D3997" s="138" t="str">
        <f t="shared" si="212"/>
        <v>Base</v>
      </c>
      <c r="E3997" s="138" t="str">
        <f t="shared" si="212"/>
        <v>Base</v>
      </c>
      <c r="F3997" s="138" t="str">
        <f t="shared" si="214"/>
        <v>Upgraded</v>
      </c>
      <c r="G3997" s="153"/>
      <c r="H3997" s="210">
        <v>1.4800000000000001E-2</v>
      </c>
      <c r="I3997" s="160" t="s">
        <v>148</v>
      </c>
      <c r="J3997" s="160">
        <v>2.8E-3</v>
      </c>
      <c r="K3997" s="160" t="s">
        <v>14</v>
      </c>
      <c r="L3997" s="154" t="str">
        <f>IF(OpenLCAbasic!K3997="CTUh", "Fill in Manually",IF(OR(K3997="Unit", K3997=""), "", INDEX(LookUps!$E$5:$E$12, MATCH(OpenLCAbasic!K3997,LookUps!$D$5:$D$12,0))))</f>
        <v>Fossil Depletion Potential (FDP) - kg oil eq</v>
      </c>
      <c r="M3997" s="154" t="str">
        <f t="shared" si="213"/>
        <v>Base_Base_Upgraded_Fossil Depletion Potential (FDP) - kg oil eq_Control Building; at upgraded wastewater treatment plant - US_Without Amendment_Windrow</v>
      </c>
    </row>
    <row r="3998" spans="1:13" s="120" customFormat="1" x14ac:dyDescent="0.25">
      <c r="A3998" s="119"/>
      <c r="B3998" s="138" t="str">
        <f t="shared" si="211"/>
        <v>Windrow</v>
      </c>
      <c r="C3998" s="138" t="str">
        <f t="shared" si="206"/>
        <v>Without Amendment</v>
      </c>
      <c r="D3998" s="138" t="str">
        <f t="shared" si="212"/>
        <v>Base</v>
      </c>
      <c r="E3998" s="138" t="str">
        <f t="shared" si="212"/>
        <v>Base</v>
      </c>
      <c r="F3998" s="138" t="str">
        <f t="shared" si="214"/>
        <v>Upgraded</v>
      </c>
      <c r="G3998" s="153"/>
      <c r="H3998" s="210">
        <v>1.2500000000000001E-2</v>
      </c>
      <c r="I3998" s="160" t="s">
        <v>48</v>
      </c>
      <c r="J3998" s="160">
        <v>2.3600000000000001E-3</v>
      </c>
      <c r="K3998" s="160" t="s">
        <v>14</v>
      </c>
      <c r="L3998" s="154" t="str">
        <f>IF(OpenLCAbasic!K3998="CTUh", "Fill in Manually",IF(OR(K3998="Unit", K3998=""), "", INDEX(LookUps!$E$5:$E$12, MATCH(OpenLCAbasic!K3998,LookUps!$D$5:$D$12,0))))</f>
        <v>Fossil Depletion Potential (FDP) - kg oil eq</v>
      </c>
      <c r="M3998" s="154" t="str">
        <f t="shared" si="213"/>
        <v>Base_Base_Upgraded_Fossil Depletion Potential (FDP) - kg oil eq_Effluent release; wastewater treatment unit; at surface water; m3 wastewater - US_Without Amendment_Windrow</v>
      </c>
    </row>
    <row r="3999" spans="1:13" s="120" customFormat="1" x14ac:dyDescent="0.25">
      <c r="A3999" s="119"/>
      <c r="B3999" s="138" t="str">
        <f t="shared" si="211"/>
        <v>Windrow</v>
      </c>
      <c r="C3999" s="138" t="str">
        <f t="shared" si="206"/>
        <v>Without Amendment</v>
      </c>
      <c r="D3999" s="138" t="str">
        <f t="shared" si="212"/>
        <v>Base</v>
      </c>
      <c r="E3999" s="138" t="str">
        <f t="shared" si="212"/>
        <v>Base</v>
      </c>
      <c r="F3999" s="138" t="str">
        <f t="shared" si="214"/>
        <v>Upgraded</v>
      </c>
      <c r="G3999" s="153"/>
      <c r="H3999" s="210">
        <v>1.0200000000000001E-2</v>
      </c>
      <c r="I3999" s="160" t="s">
        <v>59</v>
      </c>
      <c r="J3999" s="160">
        <v>1.92E-3</v>
      </c>
      <c r="K3999" s="160" t="s">
        <v>14</v>
      </c>
      <c r="L3999" s="154" t="str">
        <f>IF(OpenLCAbasic!K3999="CTUh", "Fill in Manually",IF(OR(K3999="Unit", K3999=""), "", INDEX(LookUps!$E$5:$E$12, MATCH(OpenLCAbasic!K3999,LookUps!$D$5:$D$12,0))))</f>
        <v>Fossil Depletion Potential (FDP) - kg oil eq</v>
      </c>
      <c r="M3999" s="154" t="str">
        <f t="shared" si="213"/>
        <v>Base_Base_Upgraded_Fossil Depletion Potential (FDP) - kg oil eq_Blend Tank; wastewater treatment unit; at updated plant - US_Without Amendment_Windrow</v>
      </c>
    </row>
    <row r="4000" spans="1:13" s="120" customFormat="1" x14ac:dyDescent="0.25">
      <c r="A4000" s="119"/>
      <c r="B4000" s="138" t="str">
        <f t="shared" si="211"/>
        <v>Windrow</v>
      </c>
      <c r="C4000" s="138" t="str">
        <f t="shared" si="206"/>
        <v>Without Amendment</v>
      </c>
      <c r="D4000" s="138" t="str">
        <f t="shared" si="212"/>
        <v>Base</v>
      </c>
      <c r="E4000" s="138" t="str">
        <f t="shared" si="212"/>
        <v>Base</v>
      </c>
      <c r="F4000" s="138" t="str">
        <f t="shared" si="214"/>
        <v>Upgraded</v>
      </c>
      <c r="G4000" s="153"/>
      <c r="H4000" s="210">
        <v>4.7999999999999996E-3</v>
      </c>
      <c r="I4000" s="160" t="s">
        <v>168</v>
      </c>
      <c r="J4000" s="160">
        <v>9.1E-4</v>
      </c>
      <c r="K4000" s="160" t="s">
        <v>14</v>
      </c>
      <c r="L4000" s="154" t="str">
        <f>IF(OpenLCAbasic!K4000="CTUh", "Fill in Manually",IF(OR(K4000="Unit", K4000=""), "", INDEX(LookUps!$E$5:$E$12, MATCH(OpenLCAbasic!K4000,LookUps!$D$5:$D$12,0))))</f>
        <v>Fossil Depletion Potential (FDP) - kg oil eq</v>
      </c>
      <c r="M4000" s="154" t="str">
        <f t="shared" si="213"/>
        <v>Base_Base_Upgraded_Fossil Depletion Potential (FDP) - kg oil eq_ClearCove SCP; wastewater treatment unit; at updated plant - US_Without Amendment_Windrow</v>
      </c>
    </row>
    <row r="4001" spans="1:13" s="120" customFormat="1" x14ac:dyDescent="0.25">
      <c r="A4001" s="119"/>
      <c r="B4001" s="138" t="str">
        <f t="shared" si="211"/>
        <v>Windrow</v>
      </c>
      <c r="C4001" s="138" t="str">
        <f t="shared" ref="C4001:C4064" si="215">IF(ISNUMBER($J4001),"Without Amendment","")</f>
        <v>Without Amendment</v>
      </c>
      <c r="D4001" s="138" t="str">
        <f t="shared" si="212"/>
        <v>Base</v>
      </c>
      <c r="E4001" s="138" t="str">
        <f t="shared" si="212"/>
        <v>Base</v>
      </c>
      <c r="F4001" s="138" t="str">
        <f t="shared" si="214"/>
        <v>Upgraded</v>
      </c>
      <c r="G4001" s="153"/>
      <c r="H4001" s="210">
        <v>2.2000000000000001E-3</v>
      </c>
      <c r="I4001" s="160" t="s">
        <v>271</v>
      </c>
      <c r="J4001" s="160">
        <v>4.0999999999999999E-4</v>
      </c>
      <c r="K4001" s="160" t="s">
        <v>14</v>
      </c>
      <c r="L4001" s="154" t="str">
        <f>IF(OpenLCAbasic!K4001="CTUh", "Fill in Manually",IF(OR(K4001="Unit", K4001=""), "", INDEX(LookUps!$E$5:$E$12, MATCH(OpenLCAbasic!K4001,LookUps!$D$5:$D$12,0))))</f>
        <v>Fossil Depletion Potential (FDP) - kg oil eq</v>
      </c>
      <c r="M4001" s="154" t="str">
        <f t="shared" si="213"/>
        <v>Base_Base_Upgraded_Fossil Depletion Potential (FDP) - kg oil eq_Biosolids composting; windrow composting; wastewater treatment unit; at updated plant - US_Without Amendment_Windrow</v>
      </c>
    </row>
    <row r="4002" spans="1:13" s="120" customFormat="1" x14ac:dyDescent="0.25">
      <c r="A4002" s="119"/>
      <c r="B4002" s="138" t="str">
        <f t="shared" si="211"/>
        <v>Windrow</v>
      </c>
      <c r="C4002" s="138" t="str">
        <f t="shared" si="215"/>
        <v>Without Amendment</v>
      </c>
      <c r="D4002" s="138" t="str">
        <f t="shared" si="212"/>
        <v>Base</v>
      </c>
      <c r="E4002" s="138" t="str">
        <f t="shared" si="212"/>
        <v>Base</v>
      </c>
      <c r="F4002" s="138" t="str">
        <f t="shared" si="214"/>
        <v>Upgraded</v>
      </c>
      <c r="G4002" s="153"/>
      <c r="H4002" s="210">
        <v>-2.12E-2</v>
      </c>
      <c r="I4002" s="160" t="s">
        <v>62</v>
      </c>
      <c r="J4002" s="160">
        <v>-4.0099999999999997E-3</v>
      </c>
      <c r="K4002" s="160" t="s">
        <v>14</v>
      </c>
      <c r="L4002" s="154" t="str">
        <f>IF(OpenLCAbasic!K4002="CTUh", "Fill in Manually",IF(OR(K4002="Unit", K4002=""), "", INDEX(LookUps!$E$5:$E$12, MATCH(OpenLCAbasic!K4002,LookUps!$D$5:$D$12,0))))</f>
        <v>Fossil Depletion Potential (FDP) - kg oil eq</v>
      </c>
      <c r="M4002" s="154" t="str">
        <f t="shared" si="213"/>
        <v>Base_Base_Upgraded_Fossil Depletion Potential (FDP) - kg oil eq_Land application of compost; wastewater treatment unit; at updated plant - US_Without Amendment_Windrow</v>
      </c>
    </row>
    <row r="4003" spans="1:13" s="120" customFormat="1" x14ac:dyDescent="0.25">
      <c r="A4003" s="119"/>
      <c r="B4003" s="138" t="str">
        <f t="shared" si="211"/>
        <v>Windrow</v>
      </c>
      <c r="C4003" s="138" t="str">
        <f t="shared" si="215"/>
        <v>Without Amendment</v>
      </c>
      <c r="D4003" s="138" t="str">
        <f t="shared" si="212"/>
        <v>Base</v>
      </c>
      <c r="E4003" s="138" t="str">
        <f t="shared" si="212"/>
        <v>Base</v>
      </c>
      <c r="F4003" s="138" t="str">
        <f t="shared" si="214"/>
        <v>Upgraded</v>
      </c>
      <c r="G4003" s="153"/>
      <c r="H4003" s="210">
        <v>-0.21190000000000001</v>
      </c>
      <c r="I4003" s="160" t="s">
        <v>149</v>
      </c>
      <c r="J4003" s="160">
        <v>-4.0030000000000003E-2</v>
      </c>
      <c r="K4003" s="160" t="s">
        <v>14</v>
      </c>
      <c r="L4003" s="154" t="str">
        <f>IF(OpenLCAbasic!K4003="CTUh", "Fill in Manually",IF(OR(K4003="Unit", K4003=""), "", INDEX(LookUps!$E$5:$E$12, MATCH(OpenLCAbasic!K4003,LookUps!$D$5:$D$12,0))))</f>
        <v>Fossil Depletion Potential (FDP) - kg oil eq</v>
      </c>
      <c r="M4003" s="154" t="str">
        <f t="shared" si="213"/>
        <v>Base_Base_Upgraded_Fossil Depletion Potential (FDP) - kg oil eq_Anaerobic Digestion; wastewater treatment unit; at updated plant - US_Without Amendment_Windrow</v>
      </c>
    </row>
    <row r="4004" spans="1:13" s="120" customFormat="1" x14ac:dyDescent="0.25">
      <c r="A4004" s="119"/>
      <c r="B4004" s="138" t="str">
        <f t="shared" si="211"/>
        <v/>
      </c>
      <c r="C4004" s="138" t="str">
        <f t="shared" si="215"/>
        <v/>
      </c>
      <c r="D4004" s="138" t="str">
        <f t="shared" si="212"/>
        <v/>
      </c>
      <c r="E4004" s="138" t="str">
        <f t="shared" si="212"/>
        <v/>
      </c>
      <c r="F4004" s="138" t="str">
        <f t="shared" si="214"/>
        <v/>
      </c>
      <c r="G4004" s="153" t="s">
        <v>51</v>
      </c>
      <c r="H4004" s="160"/>
      <c r="I4004" s="160" t="s">
        <v>47</v>
      </c>
      <c r="J4004" s="160" t="s">
        <v>52</v>
      </c>
      <c r="K4004" s="160" t="s">
        <v>27</v>
      </c>
      <c r="L4004" s="154" t="str">
        <f>IF(OpenLCAbasic!K4004="CTUh", "Fill in Manually",IF(OR(K4004="Unit", K4004=""), "", INDEX(LookUps!$E$5:$E$12, MATCH(OpenLCAbasic!K4004,LookUps!$D$5:$D$12,0))))</f>
        <v/>
      </c>
      <c r="M4004" s="154" t="str">
        <f t="shared" si="213"/>
        <v>____Process__</v>
      </c>
    </row>
    <row r="4005" spans="1:13" s="120" customFormat="1" x14ac:dyDescent="0.25">
      <c r="A4005" s="119"/>
      <c r="B4005" s="138" t="str">
        <f t="shared" si="211"/>
        <v>Windrow</v>
      </c>
      <c r="C4005" s="138" t="str">
        <f t="shared" si="215"/>
        <v>Without Amendment</v>
      </c>
      <c r="D4005" s="138" t="str">
        <f t="shared" si="212"/>
        <v>Base</v>
      </c>
      <c r="E4005" s="138" t="str">
        <f t="shared" si="212"/>
        <v>Base</v>
      </c>
      <c r="F4005" s="138" t="str">
        <f t="shared" si="214"/>
        <v>Upgraded</v>
      </c>
      <c r="G4005" s="153"/>
      <c r="H4005" s="210">
        <v>0.40089999999999998</v>
      </c>
      <c r="I4005" s="160" t="s">
        <v>271</v>
      </c>
      <c r="J4005" s="160">
        <v>0.38108999999999998</v>
      </c>
      <c r="K4005" s="160" t="s">
        <v>23</v>
      </c>
      <c r="L4005" s="154" t="str">
        <f>IF(OpenLCAbasic!K4005="CTUh", "Fill in Manually",IF(OR(K4005="Unit", K4005=""), "", INDEX(LookUps!$E$5:$E$12, MATCH(OpenLCAbasic!K4005,LookUps!$D$5:$D$12,0))))</f>
        <v>Global Warming Potential (GWP) - kg CO2 eq</v>
      </c>
      <c r="M4005" s="154" t="str">
        <f t="shared" si="213"/>
        <v>Base_Base_Upgraded_Global Warming Potential (GWP) - kg CO2 eq_Biosolids composting; windrow composting; wastewater treatment unit; at updated plant - US_Without Amendment_Windrow</v>
      </c>
    </row>
    <row r="4006" spans="1:13" s="120" customFormat="1" x14ac:dyDescent="0.25">
      <c r="A4006" s="119"/>
      <c r="B4006" s="138" t="str">
        <f t="shared" si="211"/>
        <v>Windrow</v>
      </c>
      <c r="C4006" s="138" t="str">
        <f t="shared" si="215"/>
        <v>Without Amendment</v>
      </c>
      <c r="D4006" s="138" t="str">
        <f t="shared" si="212"/>
        <v>Base</v>
      </c>
      <c r="E4006" s="138" t="str">
        <f t="shared" si="212"/>
        <v>Base</v>
      </c>
      <c r="F4006" s="138" t="str">
        <f t="shared" si="214"/>
        <v>Upgraded</v>
      </c>
      <c r="G4006" s="153"/>
      <c r="H4006" s="210">
        <v>0.25540000000000002</v>
      </c>
      <c r="I4006" s="160" t="s">
        <v>58</v>
      </c>
      <c r="J4006" s="160">
        <v>0.24279999999999999</v>
      </c>
      <c r="K4006" s="160" t="s">
        <v>23</v>
      </c>
      <c r="L4006" s="154" t="str">
        <f>IF(OpenLCAbasic!K4006="CTUh", "Fill in Manually",IF(OR(K4006="Unit", K4006=""), "", INDEX(LookUps!$E$5:$E$12, MATCH(OpenLCAbasic!K4006,LookUps!$D$5:$D$12,0))))</f>
        <v>Global Warming Potential (GWP) - kg CO2 eq</v>
      </c>
      <c r="M4006" s="154" t="str">
        <f t="shared" si="213"/>
        <v>Base_Base_Upgraded_Global Warming Potential (GWP) - kg CO2 eq_Pre-Anoxic &amp; Swing tank; wastewater treatment unit; at updated plant - US_Without Amendment_Windrow</v>
      </c>
    </row>
    <row r="4007" spans="1:13" s="120" customFormat="1" x14ac:dyDescent="0.25">
      <c r="A4007" s="119"/>
      <c r="B4007" s="138" t="str">
        <f t="shared" si="211"/>
        <v>Windrow</v>
      </c>
      <c r="C4007" s="138" t="str">
        <f t="shared" si="215"/>
        <v>Without Amendment</v>
      </c>
      <c r="D4007" s="138" t="str">
        <f t="shared" si="212"/>
        <v>Base</v>
      </c>
      <c r="E4007" s="138" t="str">
        <f t="shared" si="212"/>
        <v>Base</v>
      </c>
      <c r="F4007" s="138" t="str">
        <f t="shared" si="214"/>
        <v>Upgraded</v>
      </c>
      <c r="G4007" s="153"/>
      <c r="H4007" s="210">
        <v>0.17699999999999999</v>
      </c>
      <c r="I4007" s="160" t="s">
        <v>55</v>
      </c>
      <c r="J4007" s="160">
        <v>0.16822000000000001</v>
      </c>
      <c r="K4007" s="160" t="s">
        <v>23</v>
      </c>
      <c r="L4007" s="154" t="str">
        <f>IF(OpenLCAbasic!K4007="CTUh", "Fill in Manually",IF(OR(K4007="Unit", K4007=""), "", INDEX(LookUps!$E$5:$E$12, MATCH(OpenLCAbasic!K4007,LookUps!$D$5:$D$12,0))))</f>
        <v>Global Warming Potential (GWP) - kg CO2 eq</v>
      </c>
      <c r="M4007" s="154" t="str">
        <f t="shared" si="213"/>
        <v>Base_Base_Upgraded_Global Warming Potential (GWP) - kg CO2 eq_Aeration Tanks; wastewater treatment unit; at updated plant - US_Without Amendment_Windrow</v>
      </c>
    </row>
    <row r="4008" spans="1:13" s="120" customFormat="1" x14ac:dyDescent="0.25">
      <c r="A4008" s="119"/>
      <c r="B4008" s="138" t="str">
        <f t="shared" si="211"/>
        <v>Windrow</v>
      </c>
      <c r="C4008" s="138" t="str">
        <f t="shared" si="215"/>
        <v>Without Amendment</v>
      </c>
      <c r="D4008" s="138" t="str">
        <f t="shared" si="212"/>
        <v>Base</v>
      </c>
      <c r="E4008" s="138" t="str">
        <f t="shared" si="212"/>
        <v>Base</v>
      </c>
      <c r="F4008" s="138" t="str">
        <f t="shared" si="214"/>
        <v>Upgraded</v>
      </c>
      <c r="G4008" s="153"/>
      <c r="H4008" s="210">
        <v>0.1077</v>
      </c>
      <c r="I4008" s="160" t="s">
        <v>167</v>
      </c>
      <c r="J4008" s="160">
        <v>0.10241</v>
      </c>
      <c r="K4008" s="160" t="s">
        <v>23</v>
      </c>
      <c r="L4008" s="154" t="str">
        <f>IF(OpenLCAbasic!K4008="CTUh", "Fill in Manually",IF(OR(K4008="Unit", K4008=""), "", INDEX(LookUps!$E$5:$E$12, MATCH(OpenLCAbasic!K4008,LookUps!$D$5:$D$12,0))))</f>
        <v>Global Warming Potential (GWP) - kg CO2 eq</v>
      </c>
      <c r="M4008" s="154" t="str">
        <f t="shared" si="213"/>
        <v>Base_Base_Upgraded_Global Warming Potential (GWP) - kg CO2 eq_Waste Receiving and Holding; wastewater treatment unit; at updated plant - US_Without Amendment_Windrow</v>
      </c>
    </row>
    <row r="4009" spans="1:13" s="120" customFormat="1" x14ac:dyDescent="0.25">
      <c r="A4009" s="119"/>
      <c r="B4009" s="138" t="str">
        <f t="shared" si="211"/>
        <v>Windrow</v>
      </c>
      <c r="C4009" s="138" t="str">
        <f t="shared" si="215"/>
        <v>Without Amendment</v>
      </c>
      <c r="D4009" s="138" t="str">
        <f t="shared" si="212"/>
        <v>Base</v>
      </c>
      <c r="E4009" s="138" t="str">
        <f t="shared" si="212"/>
        <v>Base</v>
      </c>
      <c r="F4009" s="138" t="str">
        <f t="shared" si="214"/>
        <v>Upgraded</v>
      </c>
      <c r="G4009" s="153"/>
      <c r="H4009" s="210">
        <v>0.06</v>
      </c>
      <c r="I4009" s="160" t="s">
        <v>54</v>
      </c>
      <c r="J4009" s="160">
        <v>5.7079999999999999E-2</v>
      </c>
      <c r="K4009" s="160" t="s">
        <v>23</v>
      </c>
      <c r="L4009" s="154" t="str">
        <f>IF(OpenLCAbasic!K4009="CTUh", "Fill in Manually",IF(OR(K4009="Unit", K4009=""), "", INDEX(LookUps!$E$5:$E$12, MATCH(OpenLCAbasic!K4009,LookUps!$D$5:$D$12,0))))</f>
        <v>Global Warming Potential (GWP) - kg CO2 eq</v>
      </c>
      <c r="M4009" s="154" t="str">
        <f t="shared" si="213"/>
        <v>Base_Base_Upgraded_Global Warming Potential (GWP) - kg CO2 eq_Clear Cove Primary Clarification; wastewater treatment unit; at updated plant - US_Without Amendment_Windrow</v>
      </c>
    </row>
    <row r="4010" spans="1:13" s="120" customFormat="1" x14ac:dyDescent="0.25">
      <c r="A4010" s="119"/>
      <c r="B4010" s="138" t="str">
        <f t="shared" si="211"/>
        <v>Windrow</v>
      </c>
      <c r="C4010" s="138" t="str">
        <f t="shared" si="215"/>
        <v>Without Amendment</v>
      </c>
      <c r="D4010" s="138" t="str">
        <f t="shared" si="212"/>
        <v>Base</v>
      </c>
      <c r="E4010" s="138" t="str">
        <f t="shared" si="212"/>
        <v>Base</v>
      </c>
      <c r="F4010" s="138" t="str">
        <f t="shared" si="214"/>
        <v>Upgraded</v>
      </c>
      <c r="G4010" s="153"/>
      <c r="H4010" s="210">
        <v>5.5399999999999998E-2</v>
      </c>
      <c r="I4010" s="160" t="s">
        <v>48</v>
      </c>
      <c r="J4010" s="160">
        <v>5.2639999999999999E-2</v>
      </c>
      <c r="K4010" s="160" t="s">
        <v>23</v>
      </c>
      <c r="L4010" s="154" t="str">
        <f>IF(OpenLCAbasic!K4010="CTUh", "Fill in Manually",IF(OR(K4010="Unit", K4010=""), "", INDEX(LookUps!$E$5:$E$12, MATCH(OpenLCAbasic!K4010,LookUps!$D$5:$D$12,0))))</f>
        <v>Global Warming Potential (GWP) - kg CO2 eq</v>
      </c>
      <c r="M4010" s="154" t="str">
        <f t="shared" si="213"/>
        <v>Base_Base_Upgraded_Global Warming Potential (GWP) - kg CO2 eq_Effluent release; wastewater treatment unit; at surface water; m3 wastewater - US_Without Amendment_Windrow</v>
      </c>
    </row>
    <row r="4011" spans="1:13" s="120" customFormat="1" x14ac:dyDescent="0.25">
      <c r="A4011" s="119"/>
      <c r="B4011" s="138" t="str">
        <f t="shared" si="211"/>
        <v>Windrow</v>
      </c>
      <c r="C4011" s="138" t="str">
        <f t="shared" si="215"/>
        <v>Without Amendment</v>
      </c>
      <c r="D4011" s="138" t="str">
        <f t="shared" si="212"/>
        <v>Base</v>
      </c>
      <c r="E4011" s="138" t="str">
        <f t="shared" si="212"/>
        <v>Base</v>
      </c>
      <c r="F4011" s="138" t="str">
        <f t="shared" si="214"/>
        <v>Upgraded</v>
      </c>
      <c r="G4011" s="153"/>
      <c r="H4011" s="210">
        <v>5.3100000000000001E-2</v>
      </c>
      <c r="I4011" s="160" t="s">
        <v>147</v>
      </c>
      <c r="J4011" s="160">
        <v>5.0500000000000003E-2</v>
      </c>
      <c r="K4011" s="160" t="s">
        <v>23</v>
      </c>
      <c r="L4011" s="154" t="str">
        <f>IF(OpenLCAbasic!K4011="CTUh", "Fill in Manually",IF(OR(K4011="Unit", K4011=""), "", INDEX(LookUps!$E$5:$E$12, MATCH(OpenLCAbasic!K4011,LookUps!$D$5:$D$12,0))))</f>
        <v>Global Warming Potential (GWP) - kg CO2 eq</v>
      </c>
      <c r="M4011" s="154" t="str">
        <f t="shared" si="213"/>
        <v>Base_Base_Upgraded_Global Warming Potential (GWP) - kg CO2 eq_Influent Pump Station; wastewater treatment unit; at updated plant - US_Without Amendment_Windrow</v>
      </c>
    </row>
    <row r="4012" spans="1:13" s="120" customFormat="1" x14ac:dyDescent="0.25">
      <c r="A4012" s="119"/>
      <c r="B4012" s="138" t="str">
        <f t="shared" si="211"/>
        <v>Windrow</v>
      </c>
      <c r="C4012" s="138" t="str">
        <f t="shared" si="215"/>
        <v>Without Amendment</v>
      </c>
      <c r="D4012" s="138" t="str">
        <f t="shared" si="212"/>
        <v>Base</v>
      </c>
      <c r="E4012" s="138" t="str">
        <f t="shared" si="212"/>
        <v>Base</v>
      </c>
      <c r="F4012" s="138" t="str">
        <f t="shared" si="214"/>
        <v>Upgraded</v>
      </c>
      <c r="G4012" s="153"/>
      <c r="H4012" s="210">
        <v>3.5000000000000003E-2</v>
      </c>
      <c r="I4012" s="160" t="s">
        <v>53</v>
      </c>
      <c r="J4012" s="160">
        <v>3.3259999999999998E-2</v>
      </c>
      <c r="K4012" s="160" t="s">
        <v>23</v>
      </c>
      <c r="L4012" s="154" t="str">
        <f>IF(OpenLCAbasic!K4012="CTUh", "Fill in Manually",IF(OR(K4012="Unit", K4012=""), "", INDEX(LookUps!$E$5:$E$12, MATCH(OpenLCAbasic!K4012,LookUps!$D$5:$D$12,0))))</f>
        <v>Global Warming Potential (GWP) - kg CO2 eq</v>
      </c>
      <c r="M4012" s="154" t="str">
        <f t="shared" si="213"/>
        <v>Base_Base_Upgraded_Global Warming Potential (GWP) - kg CO2 eq_Wet Well and Sump Station; wastewater treatment unit; at updated plant - US_Without Amendment_Windrow</v>
      </c>
    </row>
    <row r="4013" spans="1:13" s="120" customFormat="1" x14ac:dyDescent="0.25">
      <c r="A4013" s="119"/>
      <c r="B4013" s="138" t="str">
        <f t="shared" si="211"/>
        <v>Windrow</v>
      </c>
      <c r="C4013" s="138" t="str">
        <f t="shared" si="215"/>
        <v>Without Amendment</v>
      </c>
      <c r="D4013" s="138" t="str">
        <f t="shared" si="212"/>
        <v>Base</v>
      </c>
      <c r="E4013" s="138" t="str">
        <f t="shared" si="212"/>
        <v>Base</v>
      </c>
      <c r="F4013" s="138" t="str">
        <f t="shared" si="214"/>
        <v>Upgraded</v>
      </c>
      <c r="G4013" s="153"/>
      <c r="H4013" s="210">
        <v>1.5299999999999999E-2</v>
      </c>
      <c r="I4013" s="160" t="s">
        <v>57</v>
      </c>
      <c r="J4013" s="160">
        <v>1.455E-2</v>
      </c>
      <c r="K4013" s="160" t="s">
        <v>23</v>
      </c>
      <c r="L4013" s="154" t="str">
        <f>IF(OpenLCAbasic!K4013="CTUh", "Fill in Manually",IF(OR(K4013="Unit", K4013=""), "", INDEX(LookUps!$E$5:$E$12, MATCH(OpenLCAbasic!K4013,LookUps!$D$5:$D$12,0))))</f>
        <v>Global Warming Potential (GWP) - kg CO2 eq</v>
      </c>
      <c r="M4013" s="154" t="str">
        <f t="shared" si="213"/>
        <v>Base_Base_Upgraded_Global Warming Potential (GWP) - kg CO2 eq_Gravity Belt Thickener; wastewater treatment unit; at updated plant - US_Without Amendment_Windrow</v>
      </c>
    </row>
    <row r="4014" spans="1:13" s="120" customFormat="1" x14ac:dyDescent="0.25">
      <c r="A4014" s="119"/>
      <c r="B4014" s="138" t="str">
        <f t="shared" si="211"/>
        <v>Windrow</v>
      </c>
      <c r="C4014" s="138" t="str">
        <f t="shared" si="215"/>
        <v>Without Amendment</v>
      </c>
      <c r="D4014" s="138" t="str">
        <f t="shared" si="212"/>
        <v>Base</v>
      </c>
      <c r="E4014" s="138" t="str">
        <f t="shared" si="212"/>
        <v>Base</v>
      </c>
      <c r="F4014" s="138" t="str">
        <f t="shared" si="214"/>
        <v>Upgraded</v>
      </c>
      <c r="G4014" s="153"/>
      <c r="H4014" s="210">
        <v>1.4200000000000001E-2</v>
      </c>
      <c r="I4014" s="160" t="s">
        <v>128</v>
      </c>
      <c r="J4014" s="160">
        <v>1.3509999999999999E-2</v>
      </c>
      <c r="K4014" s="160" t="s">
        <v>23</v>
      </c>
      <c r="L4014" s="154" t="str">
        <f>IF(OpenLCAbasic!K4014="CTUh", "Fill in Manually",IF(OR(K4014="Unit", K4014=""), "", INDEX(LookUps!$E$5:$E$12, MATCH(OpenLCAbasic!K4014,LookUps!$D$5:$D$12,0))))</f>
        <v>Global Warming Potential (GWP) - kg CO2 eq</v>
      </c>
      <c r="M4014" s="154" t="str">
        <f t="shared" si="213"/>
        <v>Base_Base_Upgraded_Global Warming Potential (GWP) - kg CO2 eq_Wastewater collection; operation and infrastructure; m3 wastewater_Without Amendment_Windrow</v>
      </c>
    </row>
    <row r="4015" spans="1:13" s="120" customFormat="1" x14ac:dyDescent="0.25">
      <c r="A4015" s="119"/>
      <c r="B4015" s="138" t="str">
        <f t="shared" si="211"/>
        <v>Windrow</v>
      </c>
      <c r="C4015" s="138" t="str">
        <f t="shared" si="215"/>
        <v>Without Amendment</v>
      </c>
      <c r="D4015" s="138" t="str">
        <f t="shared" si="212"/>
        <v>Base</v>
      </c>
      <c r="E4015" s="138" t="str">
        <f t="shared" si="212"/>
        <v>Base</v>
      </c>
      <c r="F4015" s="138" t="str">
        <f t="shared" si="214"/>
        <v>Upgraded</v>
      </c>
      <c r="G4015" s="153"/>
      <c r="H4015" s="210">
        <v>1.34E-2</v>
      </c>
      <c r="I4015" s="160" t="s">
        <v>60</v>
      </c>
      <c r="J4015" s="160">
        <v>1.278E-2</v>
      </c>
      <c r="K4015" s="160" t="s">
        <v>23</v>
      </c>
      <c r="L4015" s="154" t="str">
        <f>IF(OpenLCAbasic!K4015="CTUh", "Fill in Manually",IF(OR(K4015="Unit", K4015=""), "", INDEX(LookUps!$E$5:$E$12, MATCH(OpenLCAbasic!K4015,LookUps!$D$5:$D$12,0))))</f>
        <v>Global Warming Potential (GWP) - kg CO2 eq</v>
      </c>
      <c r="M4015" s="154" t="str">
        <f t="shared" si="213"/>
        <v>Base_Base_Upgraded_Global Warming Potential (GWP) - kg CO2 eq_Belt filter press; wastewater treatment unit; at updated plant - US_Without Amendment_Windrow</v>
      </c>
    </row>
    <row r="4016" spans="1:13" s="120" customFormat="1" x14ac:dyDescent="0.25">
      <c r="A4016" s="119"/>
      <c r="B4016" s="138" t="str">
        <f t="shared" si="211"/>
        <v>Windrow</v>
      </c>
      <c r="C4016" s="138" t="str">
        <f t="shared" si="215"/>
        <v>Without Amendment</v>
      </c>
      <c r="D4016" s="138" t="str">
        <f t="shared" si="212"/>
        <v>Base</v>
      </c>
      <c r="E4016" s="138" t="str">
        <f t="shared" si="212"/>
        <v>Base</v>
      </c>
      <c r="F4016" s="138" t="str">
        <f t="shared" si="214"/>
        <v>Upgraded</v>
      </c>
      <c r="G4016" s="153"/>
      <c r="H4016" s="210">
        <v>8.6999999999999994E-3</v>
      </c>
      <c r="I4016" s="160" t="s">
        <v>148</v>
      </c>
      <c r="J4016" s="160">
        <v>8.3000000000000001E-3</v>
      </c>
      <c r="K4016" s="160" t="s">
        <v>23</v>
      </c>
      <c r="L4016" s="154" t="str">
        <f>IF(OpenLCAbasic!K4016="CTUh", "Fill in Manually",IF(OR(K4016="Unit", K4016=""), "", INDEX(LookUps!$E$5:$E$12, MATCH(OpenLCAbasic!K4016,LookUps!$D$5:$D$12,0))))</f>
        <v>Global Warming Potential (GWP) - kg CO2 eq</v>
      </c>
      <c r="M4016" s="154" t="str">
        <f t="shared" si="213"/>
        <v>Base_Base_Upgraded_Global Warming Potential (GWP) - kg CO2 eq_Control Building; at upgraded wastewater treatment plant - US_Without Amendment_Windrow</v>
      </c>
    </row>
    <row r="4017" spans="1:13" s="120" customFormat="1" x14ac:dyDescent="0.25">
      <c r="A4017" s="119"/>
      <c r="B4017" s="138" t="str">
        <f t="shared" si="211"/>
        <v>Windrow</v>
      </c>
      <c r="C4017" s="138" t="str">
        <f t="shared" si="215"/>
        <v>Without Amendment</v>
      </c>
      <c r="D4017" s="138" t="str">
        <f t="shared" si="212"/>
        <v>Base</v>
      </c>
      <c r="E4017" s="138" t="str">
        <f t="shared" si="212"/>
        <v>Base</v>
      </c>
      <c r="F4017" s="138" t="str">
        <f t="shared" si="214"/>
        <v>Upgraded</v>
      </c>
      <c r="G4017" s="153"/>
      <c r="H4017" s="210">
        <v>5.3E-3</v>
      </c>
      <c r="I4017" s="160" t="s">
        <v>59</v>
      </c>
      <c r="J4017" s="160">
        <v>5.0400000000000002E-3</v>
      </c>
      <c r="K4017" s="160" t="s">
        <v>23</v>
      </c>
      <c r="L4017" s="154" t="str">
        <f>IF(OpenLCAbasic!K4017="CTUh", "Fill in Manually",IF(OR(K4017="Unit", K4017=""), "", INDEX(LookUps!$E$5:$E$12, MATCH(OpenLCAbasic!K4017,LookUps!$D$5:$D$12,0))))</f>
        <v>Global Warming Potential (GWP) - kg CO2 eq</v>
      </c>
      <c r="M4017" s="154" t="str">
        <f t="shared" si="213"/>
        <v>Base_Base_Upgraded_Global Warming Potential (GWP) - kg CO2 eq_Blend Tank; wastewater treatment unit; at updated plant - US_Without Amendment_Windrow</v>
      </c>
    </row>
    <row r="4018" spans="1:13" s="120" customFormat="1" x14ac:dyDescent="0.25">
      <c r="A4018" s="119"/>
      <c r="B4018" s="138" t="str">
        <f t="shared" si="211"/>
        <v>Windrow</v>
      </c>
      <c r="C4018" s="138" t="str">
        <f t="shared" si="215"/>
        <v>Without Amendment</v>
      </c>
      <c r="D4018" s="138" t="str">
        <f t="shared" si="212"/>
        <v>Base</v>
      </c>
      <c r="E4018" s="138" t="str">
        <f t="shared" si="212"/>
        <v>Base</v>
      </c>
      <c r="F4018" s="138" t="str">
        <f t="shared" si="214"/>
        <v>Upgraded</v>
      </c>
      <c r="G4018" s="153"/>
      <c r="H4018" s="210">
        <v>2.5000000000000001E-3</v>
      </c>
      <c r="I4018" s="160" t="s">
        <v>168</v>
      </c>
      <c r="J4018" s="160">
        <v>2.4099999999999998E-3</v>
      </c>
      <c r="K4018" s="160" t="s">
        <v>23</v>
      </c>
      <c r="L4018" s="154" t="str">
        <f>IF(OpenLCAbasic!K4018="CTUh", "Fill in Manually",IF(OR(K4018="Unit", K4018=""), "", INDEX(LookUps!$E$5:$E$12, MATCH(OpenLCAbasic!K4018,LookUps!$D$5:$D$12,0))))</f>
        <v>Global Warming Potential (GWP) - kg CO2 eq</v>
      </c>
      <c r="M4018" s="154" t="str">
        <f t="shared" si="213"/>
        <v>Base_Base_Upgraded_Global Warming Potential (GWP) - kg CO2 eq_ClearCove SCP; wastewater treatment unit; at updated plant - US_Without Amendment_Windrow</v>
      </c>
    </row>
    <row r="4019" spans="1:13" s="120" customFormat="1" x14ac:dyDescent="0.25">
      <c r="A4019" s="119"/>
      <c r="B4019" s="138" t="str">
        <f t="shared" si="211"/>
        <v>Windrow</v>
      </c>
      <c r="C4019" s="138" t="str">
        <f t="shared" si="215"/>
        <v>Without Amendment</v>
      </c>
      <c r="D4019" s="138" t="str">
        <f t="shared" si="212"/>
        <v>Base</v>
      </c>
      <c r="E4019" s="138" t="str">
        <f t="shared" si="212"/>
        <v>Base</v>
      </c>
      <c r="F4019" s="138" t="str">
        <f t="shared" si="214"/>
        <v>Upgraded</v>
      </c>
      <c r="G4019" s="153"/>
      <c r="H4019" s="210">
        <v>-5.96E-2</v>
      </c>
      <c r="I4019" s="160" t="s">
        <v>149</v>
      </c>
      <c r="J4019" s="160">
        <v>-5.6640000000000003E-2</v>
      </c>
      <c r="K4019" s="160" t="s">
        <v>23</v>
      </c>
      <c r="L4019" s="154" t="str">
        <f>IF(OpenLCAbasic!K4019="CTUh", "Fill in Manually",IF(OR(K4019="Unit", K4019=""), "", INDEX(LookUps!$E$5:$E$12, MATCH(OpenLCAbasic!K4019,LookUps!$D$5:$D$12,0))))</f>
        <v>Global Warming Potential (GWP) - kg CO2 eq</v>
      </c>
      <c r="M4019" s="154" t="str">
        <f t="shared" si="213"/>
        <v>Base_Base_Upgraded_Global Warming Potential (GWP) - kg CO2 eq_Anaerobic Digestion; wastewater treatment unit; at updated plant - US_Without Amendment_Windrow</v>
      </c>
    </row>
    <row r="4020" spans="1:13" s="120" customFormat="1" x14ac:dyDescent="0.25">
      <c r="A4020" s="119"/>
      <c r="B4020" s="138" t="str">
        <f t="shared" si="211"/>
        <v>Windrow</v>
      </c>
      <c r="C4020" s="138" t="str">
        <f t="shared" si="215"/>
        <v>Without Amendment</v>
      </c>
      <c r="D4020" s="138" t="str">
        <f t="shared" si="212"/>
        <v>Base</v>
      </c>
      <c r="E4020" s="138" t="str">
        <f t="shared" si="212"/>
        <v>Base</v>
      </c>
      <c r="F4020" s="138" t="str">
        <f t="shared" si="214"/>
        <v>Upgraded</v>
      </c>
      <c r="G4020" s="153"/>
      <c r="H4020" s="210">
        <v>-0.14449999999999999</v>
      </c>
      <c r="I4020" s="160" t="s">
        <v>62</v>
      </c>
      <c r="J4020" s="160">
        <v>-0.13733000000000001</v>
      </c>
      <c r="K4020" s="160" t="s">
        <v>23</v>
      </c>
      <c r="L4020" s="154" t="str">
        <f>IF(OpenLCAbasic!K4020="CTUh", "Fill in Manually",IF(OR(K4020="Unit", K4020=""), "", INDEX(LookUps!$E$5:$E$12, MATCH(OpenLCAbasic!K4020,LookUps!$D$5:$D$12,0))))</f>
        <v>Global Warming Potential (GWP) - kg CO2 eq</v>
      </c>
      <c r="M4020" s="154" t="str">
        <f t="shared" si="213"/>
        <v>Base_Base_Upgraded_Global Warming Potential (GWP) - kg CO2 eq_Land application of compost; wastewater treatment unit; at updated plant - US_Without Amendment_Windrow</v>
      </c>
    </row>
    <row r="4021" spans="1:13" s="120" customFormat="1" x14ac:dyDescent="0.25">
      <c r="A4021" s="119"/>
      <c r="B4021" s="138" t="str">
        <f t="shared" si="211"/>
        <v/>
      </c>
      <c r="C4021" s="138" t="str">
        <f t="shared" si="215"/>
        <v/>
      </c>
      <c r="D4021" s="138" t="str">
        <f t="shared" si="212"/>
        <v/>
      </c>
      <c r="E4021" s="138" t="str">
        <f t="shared" si="212"/>
        <v/>
      </c>
      <c r="F4021" s="138" t="str">
        <f t="shared" si="214"/>
        <v/>
      </c>
      <c r="G4021" s="153" t="s">
        <v>51</v>
      </c>
      <c r="H4021" s="160"/>
      <c r="I4021" s="160" t="s">
        <v>47</v>
      </c>
      <c r="J4021" s="160" t="s">
        <v>52</v>
      </c>
      <c r="K4021" s="160" t="s">
        <v>27</v>
      </c>
      <c r="L4021" s="154" t="str">
        <f>IF(OpenLCAbasic!K4021="CTUh", "Fill in Manually",IF(OR(K4021="Unit", K4021=""), "", INDEX(LookUps!$E$5:$E$12, MATCH(OpenLCAbasic!K4021,LookUps!$D$5:$D$12,0))))</f>
        <v/>
      </c>
      <c r="M4021" s="154" t="str">
        <f t="shared" si="213"/>
        <v>____Process__</v>
      </c>
    </row>
    <row r="4022" spans="1:13" s="120" customFormat="1" x14ac:dyDescent="0.25">
      <c r="A4022" s="119"/>
      <c r="B4022" s="138" t="str">
        <f t="shared" si="211"/>
        <v>Windrow</v>
      </c>
      <c r="C4022" s="138" t="str">
        <f t="shared" si="215"/>
        <v>Without Amendment</v>
      </c>
      <c r="D4022" s="138" t="str">
        <f t="shared" si="212"/>
        <v>Base</v>
      </c>
      <c r="E4022" s="138" t="str">
        <f t="shared" si="212"/>
        <v>Base</v>
      </c>
      <c r="F4022" s="138" t="str">
        <f t="shared" si="214"/>
        <v>Upgraded</v>
      </c>
      <c r="G4022" s="153"/>
      <c r="H4022" s="210">
        <v>0.52400000000000002</v>
      </c>
      <c r="I4022" s="160" t="s">
        <v>55</v>
      </c>
      <c r="J4022" s="160">
        <v>2.33E-3</v>
      </c>
      <c r="K4022" s="160" t="s">
        <v>145</v>
      </c>
      <c r="L4022" s="154" t="str">
        <f>IF(OpenLCAbasic!K4022="CTUh", "Fill in Manually",IF(OR(K4022="Unit", K4022=""), "", INDEX(LookUps!$E$5:$E$12, MATCH(OpenLCAbasic!K4022,LookUps!$D$5:$D$12,0))))</f>
        <v>Particulate Matter Formation Potential (PMFP) - kg PM2.5 eq</v>
      </c>
      <c r="M4022" s="154" t="str">
        <f t="shared" si="213"/>
        <v>Base_Base_Upgraded_Particulate Matter Formation Potential (PMFP) - kg PM2.5 eq_Aeration Tanks; wastewater treatment unit; at updated plant - US_Without Amendment_Windrow</v>
      </c>
    </row>
    <row r="4023" spans="1:13" s="120" customFormat="1" x14ac:dyDescent="0.25">
      <c r="A4023" s="119"/>
      <c r="B4023" s="138" t="str">
        <f t="shared" si="211"/>
        <v>Windrow</v>
      </c>
      <c r="C4023" s="138" t="str">
        <f t="shared" si="215"/>
        <v>Without Amendment</v>
      </c>
      <c r="D4023" s="138" t="str">
        <f t="shared" si="212"/>
        <v>Base</v>
      </c>
      <c r="E4023" s="138" t="str">
        <f t="shared" si="212"/>
        <v>Base</v>
      </c>
      <c r="F4023" s="138" t="str">
        <f t="shared" si="214"/>
        <v>Upgraded</v>
      </c>
      <c r="G4023" s="153"/>
      <c r="H4023" s="210">
        <v>0.1525</v>
      </c>
      <c r="I4023" s="160" t="s">
        <v>54</v>
      </c>
      <c r="J4023" s="160">
        <v>6.8000000000000005E-4</v>
      </c>
      <c r="K4023" s="160" t="s">
        <v>145</v>
      </c>
      <c r="L4023" s="154" t="str">
        <f>IF(OpenLCAbasic!K4023="CTUh", "Fill in Manually",IF(OR(K4023="Unit", K4023=""), "", INDEX(LookUps!$E$5:$E$12, MATCH(OpenLCAbasic!K4023,LookUps!$D$5:$D$12,0))))</f>
        <v>Particulate Matter Formation Potential (PMFP) - kg PM2.5 eq</v>
      </c>
      <c r="M4023" s="154" t="str">
        <f t="shared" si="213"/>
        <v>Base_Base_Upgraded_Particulate Matter Formation Potential (PMFP) - kg PM2.5 eq_Clear Cove Primary Clarification; wastewater treatment unit; at updated plant - US_Without Amendment_Windrow</v>
      </c>
    </row>
    <row r="4024" spans="1:13" s="120" customFormat="1" x14ac:dyDescent="0.25">
      <c r="A4024" s="119"/>
      <c r="B4024" s="138" t="str">
        <f t="shared" si="211"/>
        <v>Windrow</v>
      </c>
      <c r="C4024" s="138" t="str">
        <f t="shared" si="215"/>
        <v>Without Amendment</v>
      </c>
      <c r="D4024" s="138" t="str">
        <f t="shared" si="212"/>
        <v>Base</v>
      </c>
      <c r="E4024" s="138" t="str">
        <f t="shared" si="212"/>
        <v>Base</v>
      </c>
      <c r="F4024" s="138" t="str">
        <f t="shared" si="214"/>
        <v>Upgraded</v>
      </c>
      <c r="G4024" s="153"/>
      <c r="H4024" s="210">
        <v>0.13170000000000001</v>
      </c>
      <c r="I4024" s="160" t="s">
        <v>58</v>
      </c>
      <c r="J4024" s="160">
        <v>5.9000000000000003E-4</v>
      </c>
      <c r="K4024" s="160" t="s">
        <v>145</v>
      </c>
      <c r="L4024" s="154" t="str">
        <f>IF(OpenLCAbasic!K4024="CTUh", "Fill in Manually",IF(OR(K4024="Unit", K4024=""), "", INDEX(LookUps!$E$5:$E$12, MATCH(OpenLCAbasic!K4024,LookUps!$D$5:$D$12,0))))</f>
        <v>Particulate Matter Formation Potential (PMFP) - kg PM2.5 eq</v>
      </c>
      <c r="M4024" s="154" t="str">
        <f t="shared" si="213"/>
        <v>Base_Base_Upgraded_Particulate Matter Formation Potential (PMFP) - kg PM2.5 eq_Pre-Anoxic &amp; Swing tank; wastewater treatment unit; at updated plant - US_Without Amendment_Windrow</v>
      </c>
    </row>
    <row r="4025" spans="1:13" s="120" customFormat="1" x14ac:dyDescent="0.25">
      <c r="A4025" s="119"/>
      <c r="B4025" s="138" t="str">
        <f t="shared" si="211"/>
        <v>Windrow</v>
      </c>
      <c r="C4025" s="138" t="str">
        <f t="shared" si="215"/>
        <v>Without Amendment</v>
      </c>
      <c r="D4025" s="138" t="str">
        <f t="shared" si="212"/>
        <v>Base</v>
      </c>
      <c r="E4025" s="138" t="str">
        <f t="shared" si="212"/>
        <v>Base</v>
      </c>
      <c r="F4025" s="138" t="str">
        <f t="shared" si="214"/>
        <v>Upgraded</v>
      </c>
      <c r="G4025" s="153"/>
      <c r="H4025" s="210">
        <v>0.1048</v>
      </c>
      <c r="I4025" s="160" t="s">
        <v>53</v>
      </c>
      <c r="J4025" s="160">
        <v>4.6999999999999999E-4</v>
      </c>
      <c r="K4025" s="160" t="s">
        <v>145</v>
      </c>
      <c r="L4025" s="154" t="str">
        <f>IF(OpenLCAbasic!K4025="CTUh", "Fill in Manually",IF(OR(K4025="Unit", K4025=""), "", INDEX(LookUps!$E$5:$E$12, MATCH(OpenLCAbasic!K4025,LookUps!$D$5:$D$12,0))))</f>
        <v>Particulate Matter Formation Potential (PMFP) - kg PM2.5 eq</v>
      </c>
      <c r="M4025" s="154" t="str">
        <f t="shared" si="213"/>
        <v>Base_Base_Upgraded_Particulate Matter Formation Potential (PMFP) - kg PM2.5 eq_Wet Well and Sump Station; wastewater treatment unit; at updated plant - US_Without Amendment_Windrow</v>
      </c>
    </row>
    <row r="4026" spans="1:13" s="120" customFormat="1" x14ac:dyDescent="0.25">
      <c r="A4026" s="119"/>
      <c r="B4026" s="138" t="str">
        <f t="shared" si="211"/>
        <v>Windrow</v>
      </c>
      <c r="C4026" s="138" t="str">
        <f t="shared" si="215"/>
        <v>Without Amendment</v>
      </c>
      <c r="D4026" s="138" t="str">
        <f t="shared" si="212"/>
        <v>Base</v>
      </c>
      <c r="E4026" s="138" t="str">
        <f t="shared" si="212"/>
        <v>Base</v>
      </c>
      <c r="F4026" s="138" t="str">
        <f t="shared" si="214"/>
        <v>Upgraded</v>
      </c>
      <c r="G4026" s="153"/>
      <c r="H4026" s="210">
        <v>6.7199999999999996E-2</v>
      </c>
      <c r="I4026" s="160" t="s">
        <v>167</v>
      </c>
      <c r="J4026" s="160">
        <v>2.9999999999999997E-4</v>
      </c>
      <c r="K4026" s="160" t="s">
        <v>145</v>
      </c>
      <c r="L4026" s="154" t="str">
        <f>IF(OpenLCAbasic!K4026="CTUh", "Fill in Manually",IF(OR(K4026="Unit", K4026=""), "", INDEX(LookUps!$E$5:$E$12, MATCH(OpenLCAbasic!K4026,LookUps!$D$5:$D$12,0))))</f>
        <v>Particulate Matter Formation Potential (PMFP) - kg PM2.5 eq</v>
      </c>
      <c r="M4026" s="154" t="str">
        <f t="shared" si="213"/>
        <v>Base_Base_Upgraded_Particulate Matter Formation Potential (PMFP) - kg PM2.5 eq_Waste Receiving and Holding; wastewater treatment unit; at updated plant - US_Without Amendment_Windrow</v>
      </c>
    </row>
    <row r="4027" spans="1:13" s="120" customFormat="1" x14ac:dyDescent="0.25">
      <c r="A4027" s="119"/>
      <c r="B4027" s="138" t="str">
        <f t="shared" si="211"/>
        <v>Windrow</v>
      </c>
      <c r="C4027" s="138" t="str">
        <f t="shared" si="215"/>
        <v>Without Amendment</v>
      </c>
      <c r="D4027" s="138" t="str">
        <f t="shared" si="212"/>
        <v>Base</v>
      </c>
      <c r="E4027" s="138" t="str">
        <f t="shared" si="212"/>
        <v>Base</v>
      </c>
      <c r="F4027" s="138" t="str">
        <f t="shared" si="214"/>
        <v>Upgraded</v>
      </c>
      <c r="G4027" s="153"/>
      <c r="H4027" s="210">
        <v>5.9900000000000002E-2</v>
      </c>
      <c r="I4027" s="160" t="s">
        <v>147</v>
      </c>
      <c r="J4027" s="160">
        <v>2.7E-4</v>
      </c>
      <c r="K4027" s="160" t="s">
        <v>145</v>
      </c>
      <c r="L4027" s="154" t="str">
        <f>IF(OpenLCAbasic!K4027="CTUh", "Fill in Manually",IF(OR(K4027="Unit", K4027=""), "", INDEX(LookUps!$E$5:$E$12, MATCH(OpenLCAbasic!K4027,LookUps!$D$5:$D$12,0))))</f>
        <v>Particulate Matter Formation Potential (PMFP) - kg PM2.5 eq</v>
      </c>
      <c r="M4027" s="154" t="str">
        <f t="shared" si="213"/>
        <v>Base_Base_Upgraded_Particulate Matter Formation Potential (PMFP) - kg PM2.5 eq_Influent Pump Station; wastewater treatment unit; at updated plant - US_Without Amendment_Windrow</v>
      </c>
    </row>
    <row r="4028" spans="1:13" s="120" customFormat="1" x14ac:dyDescent="0.25">
      <c r="A4028" s="119"/>
      <c r="B4028" s="138" t="str">
        <f t="shared" si="211"/>
        <v>Windrow</v>
      </c>
      <c r="C4028" s="138" t="str">
        <f t="shared" si="215"/>
        <v>Without Amendment</v>
      </c>
      <c r="D4028" s="138" t="str">
        <f t="shared" si="212"/>
        <v>Base</v>
      </c>
      <c r="E4028" s="138" t="str">
        <f t="shared" si="212"/>
        <v>Base</v>
      </c>
      <c r="F4028" s="138" t="str">
        <f t="shared" si="214"/>
        <v>Upgraded</v>
      </c>
      <c r="G4028" s="153"/>
      <c r="H4028" s="210">
        <v>3.7400000000000003E-2</v>
      </c>
      <c r="I4028" s="160" t="s">
        <v>128</v>
      </c>
      <c r="J4028" s="160">
        <v>1.7000000000000001E-4</v>
      </c>
      <c r="K4028" s="160" t="s">
        <v>145</v>
      </c>
      <c r="L4028" s="154" t="str">
        <f>IF(OpenLCAbasic!K4028="CTUh", "Fill in Manually",IF(OR(K4028="Unit", K4028=""), "", INDEX(LookUps!$E$5:$E$12, MATCH(OpenLCAbasic!K4028,LookUps!$D$5:$D$12,0))))</f>
        <v>Particulate Matter Formation Potential (PMFP) - kg PM2.5 eq</v>
      </c>
      <c r="M4028" s="154" t="str">
        <f t="shared" si="213"/>
        <v>Base_Base_Upgraded_Particulate Matter Formation Potential (PMFP) - kg PM2.5 eq_Wastewater collection; operation and infrastructure; m3 wastewater_Without Amendment_Windrow</v>
      </c>
    </row>
    <row r="4029" spans="1:13" s="120" customFormat="1" x14ac:dyDescent="0.25">
      <c r="A4029" s="119"/>
      <c r="B4029" s="138" t="str">
        <f t="shared" si="211"/>
        <v>Windrow</v>
      </c>
      <c r="C4029" s="138" t="str">
        <f t="shared" si="215"/>
        <v>Without Amendment</v>
      </c>
      <c r="D4029" s="138" t="str">
        <f t="shared" si="212"/>
        <v>Base</v>
      </c>
      <c r="E4029" s="138" t="str">
        <f t="shared" si="212"/>
        <v>Base</v>
      </c>
      <c r="F4029" s="138" t="str">
        <f t="shared" si="214"/>
        <v>Upgraded</v>
      </c>
      <c r="G4029" s="153"/>
      <c r="H4029" s="210">
        <v>2.9600000000000001E-2</v>
      </c>
      <c r="I4029" s="160" t="s">
        <v>271</v>
      </c>
      <c r="J4029" s="160">
        <v>1.2999999999999999E-4</v>
      </c>
      <c r="K4029" s="160" t="s">
        <v>145</v>
      </c>
      <c r="L4029" s="154" t="str">
        <f>IF(OpenLCAbasic!K4029="CTUh", "Fill in Manually",IF(OR(K4029="Unit", K4029=""), "", INDEX(LookUps!$E$5:$E$12, MATCH(OpenLCAbasic!K4029,LookUps!$D$5:$D$12,0))))</f>
        <v>Particulate Matter Formation Potential (PMFP) - kg PM2.5 eq</v>
      </c>
      <c r="M4029" s="154" t="str">
        <f t="shared" si="213"/>
        <v>Base_Base_Upgraded_Particulate Matter Formation Potential (PMFP) - kg PM2.5 eq_Biosolids composting; windrow composting; wastewater treatment unit; at updated plant - US_Without Amendment_Windrow</v>
      </c>
    </row>
    <row r="4030" spans="1:13" s="120" customFormat="1" x14ac:dyDescent="0.25">
      <c r="A4030" s="119"/>
      <c r="B4030" s="138" t="str">
        <f t="shared" si="211"/>
        <v>Windrow</v>
      </c>
      <c r="C4030" s="138" t="str">
        <f t="shared" si="215"/>
        <v>Without Amendment</v>
      </c>
      <c r="D4030" s="138" t="str">
        <f t="shared" si="212"/>
        <v>Base</v>
      </c>
      <c r="E4030" s="138" t="str">
        <f t="shared" si="212"/>
        <v>Base</v>
      </c>
      <c r="F4030" s="138" t="str">
        <f t="shared" si="214"/>
        <v>Upgraded</v>
      </c>
      <c r="G4030" s="153"/>
      <c r="H4030" s="210">
        <v>2.35E-2</v>
      </c>
      <c r="I4030" s="160" t="s">
        <v>60</v>
      </c>
      <c r="J4030" s="160">
        <v>1E-4</v>
      </c>
      <c r="K4030" s="160" t="s">
        <v>145</v>
      </c>
      <c r="L4030" s="154" t="str">
        <f>IF(OpenLCAbasic!K4030="CTUh", "Fill in Manually",IF(OR(K4030="Unit", K4030=""), "", INDEX(LookUps!$E$5:$E$12, MATCH(OpenLCAbasic!K4030,LookUps!$D$5:$D$12,0))))</f>
        <v>Particulate Matter Formation Potential (PMFP) - kg PM2.5 eq</v>
      </c>
      <c r="M4030" s="154" t="str">
        <f t="shared" si="213"/>
        <v>Base_Base_Upgraded_Particulate Matter Formation Potential (PMFP) - kg PM2.5 eq_Belt filter press; wastewater treatment unit; at updated plant - US_Without Amendment_Windrow</v>
      </c>
    </row>
    <row r="4031" spans="1:13" s="120" customFormat="1" x14ac:dyDescent="0.25">
      <c r="A4031" s="119"/>
      <c r="B4031" s="138" t="str">
        <f t="shared" si="211"/>
        <v>Windrow</v>
      </c>
      <c r="C4031" s="138" t="str">
        <f t="shared" si="215"/>
        <v>Without Amendment</v>
      </c>
      <c r="D4031" s="138" t="str">
        <f t="shared" si="212"/>
        <v>Base</v>
      </c>
      <c r="E4031" s="138" t="str">
        <f t="shared" si="212"/>
        <v>Base</v>
      </c>
      <c r="F4031" s="138" t="str">
        <f t="shared" si="214"/>
        <v>Upgraded</v>
      </c>
      <c r="G4031" s="153"/>
      <c r="H4031" s="210">
        <v>2.1399999999999999E-2</v>
      </c>
      <c r="I4031" s="160" t="s">
        <v>57</v>
      </c>
      <c r="J4031" s="211">
        <v>9.5153800000000004E-5</v>
      </c>
      <c r="K4031" s="160" t="s">
        <v>145</v>
      </c>
      <c r="L4031" s="154" t="str">
        <f>IF(OpenLCAbasic!K4031="CTUh", "Fill in Manually",IF(OR(K4031="Unit", K4031=""), "", INDEX(LookUps!$E$5:$E$12, MATCH(OpenLCAbasic!K4031,LookUps!$D$5:$D$12,0))))</f>
        <v>Particulate Matter Formation Potential (PMFP) - kg PM2.5 eq</v>
      </c>
      <c r="M4031" s="154" t="str">
        <f t="shared" si="213"/>
        <v>Base_Base_Upgraded_Particulate Matter Formation Potential (PMFP) - kg PM2.5 eq_Gravity Belt Thickener; wastewater treatment unit; at updated plant - US_Without Amendment_Windrow</v>
      </c>
    </row>
    <row r="4032" spans="1:13" s="120" customFormat="1" x14ac:dyDescent="0.25">
      <c r="A4032" s="119"/>
      <c r="B4032" s="138" t="str">
        <f t="shared" si="211"/>
        <v>Windrow</v>
      </c>
      <c r="C4032" s="138" t="str">
        <f t="shared" si="215"/>
        <v>Without Amendment</v>
      </c>
      <c r="D4032" s="138" t="str">
        <f t="shared" si="212"/>
        <v>Base</v>
      </c>
      <c r="E4032" s="138" t="str">
        <f t="shared" si="212"/>
        <v>Base</v>
      </c>
      <c r="F4032" s="138" t="str">
        <f t="shared" si="214"/>
        <v>Upgraded</v>
      </c>
      <c r="G4032" s="153"/>
      <c r="H4032" s="210">
        <v>1.5699999999999999E-2</v>
      </c>
      <c r="I4032" s="160" t="s">
        <v>59</v>
      </c>
      <c r="J4032" s="211">
        <v>6.9942200000000003E-5</v>
      </c>
      <c r="K4032" s="160" t="s">
        <v>145</v>
      </c>
      <c r="L4032" s="154" t="str">
        <f>IF(OpenLCAbasic!K4032="CTUh", "Fill in Manually",IF(OR(K4032="Unit", K4032=""), "", INDEX(LookUps!$E$5:$E$12, MATCH(OpenLCAbasic!K4032,LookUps!$D$5:$D$12,0))))</f>
        <v>Particulate Matter Formation Potential (PMFP) - kg PM2.5 eq</v>
      </c>
      <c r="M4032" s="154" t="str">
        <f t="shared" si="213"/>
        <v>Base_Base_Upgraded_Particulate Matter Formation Potential (PMFP) - kg PM2.5 eq_Blend Tank; wastewater treatment unit; at updated plant - US_Without Amendment_Windrow</v>
      </c>
    </row>
    <row r="4033" spans="1:13" s="120" customFormat="1" x14ac:dyDescent="0.25">
      <c r="A4033" s="119"/>
      <c r="B4033" s="138" t="str">
        <f t="shared" si="211"/>
        <v>Windrow</v>
      </c>
      <c r="C4033" s="138" t="str">
        <f t="shared" si="215"/>
        <v>Without Amendment</v>
      </c>
      <c r="D4033" s="138" t="str">
        <f t="shared" si="212"/>
        <v>Base</v>
      </c>
      <c r="E4033" s="138" t="str">
        <f t="shared" si="212"/>
        <v>Base</v>
      </c>
      <c r="F4033" s="138" t="str">
        <f t="shared" si="214"/>
        <v>Upgraded</v>
      </c>
      <c r="G4033" s="153"/>
      <c r="H4033" s="210">
        <v>1.12E-2</v>
      </c>
      <c r="I4033" s="160" t="s">
        <v>48</v>
      </c>
      <c r="J4033" s="211">
        <v>4.99741E-5</v>
      </c>
      <c r="K4033" s="160" t="s">
        <v>145</v>
      </c>
      <c r="L4033" s="154" t="str">
        <f>IF(OpenLCAbasic!K4033="CTUh", "Fill in Manually",IF(OR(K4033="Unit", K4033=""), "", INDEX(LookUps!$E$5:$E$12, MATCH(OpenLCAbasic!K4033,LookUps!$D$5:$D$12,0))))</f>
        <v>Particulate Matter Formation Potential (PMFP) - kg PM2.5 eq</v>
      </c>
      <c r="M4033" s="154" t="str">
        <f t="shared" si="213"/>
        <v>Base_Base_Upgraded_Particulate Matter Formation Potential (PMFP) - kg PM2.5 eq_Effluent release; wastewater treatment unit; at surface water; m3 wastewater - US_Without Amendment_Windrow</v>
      </c>
    </row>
    <row r="4034" spans="1:13" s="120" customFormat="1" x14ac:dyDescent="0.25">
      <c r="A4034" s="119"/>
      <c r="B4034" s="138" t="str">
        <f t="shared" si="211"/>
        <v>Windrow</v>
      </c>
      <c r="C4034" s="138" t="str">
        <f t="shared" si="215"/>
        <v>Without Amendment</v>
      </c>
      <c r="D4034" s="138" t="str">
        <f t="shared" si="212"/>
        <v>Base</v>
      </c>
      <c r="E4034" s="138" t="str">
        <f t="shared" si="212"/>
        <v>Base</v>
      </c>
      <c r="F4034" s="138" t="str">
        <f t="shared" si="214"/>
        <v>Upgraded</v>
      </c>
      <c r="G4034" s="153"/>
      <c r="H4034" s="210">
        <v>7.7999999999999996E-3</v>
      </c>
      <c r="I4034" s="160" t="s">
        <v>168</v>
      </c>
      <c r="J4034" s="211">
        <v>3.4562199999999999E-5</v>
      </c>
      <c r="K4034" s="160" t="s">
        <v>145</v>
      </c>
      <c r="L4034" s="154" t="str">
        <f>IF(OpenLCAbasic!K4034="CTUh", "Fill in Manually",IF(OR(K4034="Unit", K4034=""), "", INDEX(LookUps!$E$5:$E$12, MATCH(OpenLCAbasic!K4034,LookUps!$D$5:$D$12,0))))</f>
        <v>Particulate Matter Formation Potential (PMFP) - kg PM2.5 eq</v>
      </c>
      <c r="M4034" s="154" t="str">
        <f t="shared" si="213"/>
        <v>Base_Base_Upgraded_Particulate Matter Formation Potential (PMFP) - kg PM2.5 eq_ClearCove SCP; wastewater treatment unit; at updated plant - US_Without Amendment_Windrow</v>
      </c>
    </row>
    <row r="4035" spans="1:13" s="120" customFormat="1" x14ac:dyDescent="0.25">
      <c r="A4035" s="119"/>
      <c r="B4035" s="138" t="str">
        <f t="shared" si="211"/>
        <v>Windrow</v>
      </c>
      <c r="C4035" s="138" t="str">
        <f t="shared" si="215"/>
        <v>Without Amendment</v>
      </c>
      <c r="D4035" s="138" t="str">
        <f t="shared" si="212"/>
        <v>Base</v>
      </c>
      <c r="E4035" s="138" t="str">
        <f t="shared" si="212"/>
        <v>Base</v>
      </c>
      <c r="F4035" s="138" t="str">
        <f t="shared" si="214"/>
        <v>Upgraded</v>
      </c>
      <c r="G4035" s="153"/>
      <c r="H4035" s="210">
        <v>6.6E-3</v>
      </c>
      <c r="I4035" s="160" t="s">
        <v>62</v>
      </c>
      <c r="J4035" s="211">
        <v>2.9369600000000001E-5</v>
      </c>
      <c r="K4035" s="160" t="s">
        <v>145</v>
      </c>
      <c r="L4035" s="154" t="str">
        <f>IF(OpenLCAbasic!K4035="CTUh", "Fill in Manually",IF(OR(K4035="Unit", K4035=""), "", INDEX(LookUps!$E$5:$E$12, MATCH(OpenLCAbasic!K4035,LookUps!$D$5:$D$12,0))))</f>
        <v>Particulate Matter Formation Potential (PMFP) - kg PM2.5 eq</v>
      </c>
      <c r="M4035" s="154" t="str">
        <f t="shared" si="213"/>
        <v>Base_Base_Upgraded_Particulate Matter Formation Potential (PMFP) - kg PM2.5 eq_Land application of compost; wastewater treatment unit; at updated plant - US_Without Amendment_Windrow</v>
      </c>
    </row>
    <row r="4036" spans="1:13" s="120" customFormat="1" x14ac:dyDescent="0.25">
      <c r="A4036" s="119"/>
      <c r="B4036" s="138" t="str">
        <f t="shared" si="211"/>
        <v>Windrow</v>
      </c>
      <c r="C4036" s="138" t="str">
        <f t="shared" si="215"/>
        <v>Without Amendment</v>
      </c>
      <c r="D4036" s="138" t="str">
        <f t="shared" si="212"/>
        <v>Base</v>
      </c>
      <c r="E4036" s="138" t="str">
        <f t="shared" si="212"/>
        <v>Base</v>
      </c>
      <c r="F4036" s="138" t="str">
        <f t="shared" si="214"/>
        <v>Upgraded</v>
      </c>
      <c r="G4036" s="153"/>
      <c r="H4036" s="210">
        <v>2E-3</v>
      </c>
      <c r="I4036" s="160" t="s">
        <v>148</v>
      </c>
      <c r="J4036" s="211">
        <v>8.8212999999999997E-6</v>
      </c>
      <c r="K4036" s="160" t="s">
        <v>145</v>
      </c>
      <c r="L4036" s="154" t="str">
        <f>IF(OpenLCAbasic!K4036="CTUh", "Fill in Manually",IF(OR(K4036="Unit", K4036=""), "", INDEX(LookUps!$E$5:$E$12, MATCH(OpenLCAbasic!K4036,LookUps!$D$5:$D$12,0))))</f>
        <v>Particulate Matter Formation Potential (PMFP) - kg PM2.5 eq</v>
      </c>
      <c r="M4036" s="154" t="str">
        <f t="shared" si="213"/>
        <v>Base_Base_Upgraded_Particulate Matter Formation Potential (PMFP) - kg PM2.5 eq_Control Building; at upgraded wastewater treatment plant - US_Without Amendment_Windrow</v>
      </c>
    </row>
    <row r="4037" spans="1:13" s="120" customFormat="1" x14ac:dyDescent="0.25">
      <c r="A4037" s="119"/>
      <c r="B4037" s="138" t="str">
        <f t="shared" si="211"/>
        <v>Windrow</v>
      </c>
      <c r="C4037" s="138" t="str">
        <f t="shared" si="215"/>
        <v>Without Amendment</v>
      </c>
      <c r="D4037" s="138" t="str">
        <f t="shared" si="212"/>
        <v>Base</v>
      </c>
      <c r="E4037" s="138" t="str">
        <f t="shared" si="212"/>
        <v>Base</v>
      </c>
      <c r="F4037" s="138" t="str">
        <f t="shared" si="214"/>
        <v>Upgraded</v>
      </c>
      <c r="G4037" s="153"/>
      <c r="H4037" s="210">
        <v>-0.1951</v>
      </c>
      <c r="I4037" s="160" t="s">
        <v>149</v>
      </c>
      <c r="J4037" s="160">
        <v>-8.7000000000000001E-4</v>
      </c>
      <c r="K4037" s="160" t="s">
        <v>145</v>
      </c>
      <c r="L4037" s="154" t="str">
        <f>IF(OpenLCAbasic!K4037="CTUh", "Fill in Manually",IF(OR(K4037="Unit", K4037=""), "", INDEX(LookUps!$E$5:$E$12, MATCH(OpenLCAbasic!K4037,LookUps!$D$5:$D$12,0))))</f>
        <v>Particulate Matter Formation Potential (PMFP) - kg PM2.5 eq</v>
      </c>
      <c r="M4037" s="154" t="str">
        <f t="shared" si="213"/>
        <v>Base_Base_Upgraded_Particulate Matter Formation Potential (PMFP) - kg PM2.5 eq_Anaerobic Digestion; wastewater treatment unit; at updated plant - US_Without Amendment_Windrow</v>
      </c>
    </row>
    <row r="4038" spans="1:13" s="120" customFormat="1" x14ac:dyDescent="0.25">
      <c r="A4038" s="119"/>
      <c r="B4038" s="138" t="str">
        <f t="shared" ref="B4038:B4073" si="216">IF(F4038="Legacy","n.a.",IF(F4038="","","Windrow"))</f>
        <v/>
      </c>
      <c r="C4038" s="138" t="str">
        <f t="shared" si="215"/>
        <v/>
      </c>
      <c r="D4038" s="138" t="str">
        <f t="shared" si="212"/>
        <v/>
      </c>
      <c r="E4038" s="138" t="str">
        <f t="shared" si="212"/>
        <v/>
      </c>
      <c r="F4038" s="138" t="str">
        <f t="shared" si="214"/>
        <v/>
      </c>
      <c r="G4038" s="153" t="s">
        <v>51</v>
      </c>
      <c r="H4038" s="160"/>
      <c r="I4038" s="160" t="s">
        <v>47</v>
      </c>
      <c r="J4038" s="160" t="s">
        <v>52</v>
      </c>
      <c r="K4038" s="160" t="s">
        <v>27</v>
      </c>
      <c r="L4038" s="154" t="str">
        <f>IF(OpenLCAbasic!K4038="CTUh", "Fill in Manually",IF(OR(K4038="Unit", K4038=""), "", INDEX(LookUps!$E$5:$E$12, MATCH(OpenLCAbasic!K4038,LookUps!$D$5:$D$12,0))))</f>
        <v/>
      </c>
      <c r="M4038" s="154" t="str">
        <f t="shared" si="213"/>
        <v>____Process__</v>
      </c>
    </row>
    <row r="4039" spans="1:13" s="120" customFormat="1" x14ac:dyDescent="0.25">
      <c r="A4039" s="119"/>
      <c r="B4039" s="138" t="str">
        <f t="shared" si="216"/>
        <v>Windrow</v>
      </c>
      <c r="C4039" s="138" t="str">
        <f t="shared" si="215"/>
        <v>Without Amendment</v>
      </c>
      <c r="D4039" s="138" t="str">
        <f t="shared" ref="D4039:E4071" si="217">IF(ISNUMBER($J4039),"Base","")</f>
        <v>Base</v>
      </c>
      <c r="E4039" s="138" t="str">
        <f t="shared" si="217"/>
        <v>Base</v>
      </c>
      <c r="F4039" s="138" t="str">
        <f t="shared" si="214"/>
        <v>Upgraded</v>
      </c>
      <c r="G4039" s="153"/>
      <c r="H4039" s="210">
        <v>0.53459999999999996</v>
      </c>
      <c r="I4039" s="160" t="s">
        <v>55</v>
      </c>
      <c r="J4039" s="160">
        <v>0.16577</v>
      </c>
      <c r="K4039" s="160" t="s">
        <v>25</v>
      </c>
      <c r="L4039" s="154" t="str">
        <f>IF(OpenLCAbasic!K4039="CTUh", "Fill in Manually",IF(OR(K4039="Unit", K4039=""), "", INDEX(LookUps!$E$5:$E$12, MATCH(OpenLCAbasic!K4039,LookUps!$D$5:$D$12,0))))</f>
        <v>Smog Formation Potential (SFP) - kg O3 eq</v>
      </c>
      <c r="M4039" s="154" t="str">
        <f t="shared" ref="M4039:M4102" si="218">CONCATENATE(E4039,"_",D4039,"_",F4039,"_",L4039, "_",I4039,"_", C4039,"_", B4039)</f>
        <v>Base_Base_Upgraded_Smog Formation Potential (SFP) - kg O3 eq_Aeration Tanks; wastewater treatment unit; at updated plant - US_Without Amendment_Windrow</v>
      </c>
    </row>
    <row r="4040" spans="1:13" s="120" customFormat="1" x14ac:dyDescent="0.25">
      <c r="A4040" s="119"/>
      <c r="B4040" s="138" t="str">
        <f t="shared" si="216"/>
        <v>Windrow</v>
      </c>
      <c r="C4040" s="138" t="str">
        <f t="shared" si="215"/>
        <v>Without Amendment</v>
      </c>
      <c r="D4040" s="138" t="str">
        <f t="shared" si="217"/>
        <v>Base</v>
      </c>
      <c r="E4040" s="138" t="str">
        <f t="shared" si="217"/>
        <v>Base</v>
      </c>
      <c r="F4040" s="138" t="str">
        <f t="shared" ref="F4040:F4073" si="219">IF(ISNUMBER(J4040),"Upgraded","")</f>
        <v>Upgraded</v>
      </c>
      <c r="G4040" s="153"/>
      <c r="H4040" s="210">
        <v>0.155</v>
      </c>
      <c r="I4040" s="160" t="s">
        <v>54</v>
      </c>
      <c r="J4040" s="160">
        <v>4.8070000000000002E-2</v>
      </c>
      <c r="K4040" s="160" t="s">
        <v>25</v>
      </c>
      <c r="L4040" s="154" t="str">
        <f>IF(OpenLCAbasic!K4040="CTUh", "Fill in Manually",IF(OR(K4040="Unit", K4040=""), "", INDEX(LookUps!$E$5:$E$12, MATCH(OpenLCAbasic!K4040,LookUps!$D$5:$D$12,0))))</f>
        <v>Smog Formation Potential (SFP) - kg O3 eq</v>
      </c>
      <c r="M4040" s="154" t="str">
        <f t="shared" si="218"/>
        <v>Base_Base_Upgraded_Smog Formation Potential (SFP) - kg O3 eq_Clear Cove Primary Clarification; wastewater treatment unit; at updated plant - US_Without Amendment_Windrow</v>
      </c>
    </row>
    <row r="4041" spans="1:13" s="120" customFormat="1" x14ac:dyDescent="0.25">
      <c r="A4041" s="119"/>
      <c r="B4041" s="138" t="str">
        <f t="shared" si="216"/>
        <v>Windrow</v>
      </c>
      <c r="C4041" s="138" t="str">
        <f t="shared" si="215"/>
        <v>Without Amendment</v>
      </c>
      <c r="D4041" s="138" t="str">
        <f t="shared" si="217"/>
        <v>Base</v>
      </c>
      <c r="E4041" s="138" t="str">
        <f t="shared" si="217"/>
        <v>Base</v>
      </c>
      <c r="F4041" s="138" t="str">
        <f t="shared" si="219"/>
        <v>Upgraded</v>
      </c>
      <c r="G4041" s="153"/>
      <c r="H4041" s="210">
        <v>0.13469999999999999</v>
      </c>
      <c r="I4041" s="160" t="s">
        <v>58</v>
      </c>
      <c r="J4041" s="160">
        <v>4.1779999999999998E-2</v>
      </c>
      <c r="K4041" s="160" t="s">
        <v>25</v>
      </c>
      <c r="L4041" s="154" t="str">
        <f>IF(OpenLCAbasic!K4041="CTUh", "Fill in Manually",IF(OR(K4041="Unit", K4041=""), "", INDEX(LookUps!$E$5:$E$12, MATCH(OpenLCAbasic!K4041,LookUps!$D$5:$D$12,0))))</f>
        <v>Smog Formation Potential (SFP) - kg O3 eq</v>
      </c>
      <c r="M4041" s="154" t="str">
        <f t="shared" si="218"/>
        <v>Base_Base_Upgraded_Smog Formation Potential (SFP) - kg O3 eq_Pre-Anoxic &amp; Swing tank; wastewater treatment unit; at updated plant - US_Without Amendment_Windrow</v>
      </c>
    </row>
    <row r="4042" spans="1:13" s="120" customFormat="1" x14ac:dyDescent="0.25">
      <c r="A4042" s="119"/>
      <c r="B4042" s="138" t="str">
        <f t="shared" si="216"/>
        <v>Windrow</v>
      </c>
      <c r="C4042" s="138" t="str">
        <f t="shared" si="215"/>
        <v>Without Amendment</v>
      </c>
      <c r="D4042" s="138" t="str">
        <f t="shared" si="217"/>
        <v>Base</v>
      </c>
      <c r="E4042" s="138" t="str">
        <f t="shared" si="217"/>
        <v>Base</v>
      </c>
      <c r="F4042" s="138" t="str">
        <f t="shared" si="219"/>
        <v>Upgraded</v>
      </c>
      <c r="G4042" s="153"/>
      <c r="H4042" s="210">
        <v>0.10680000000000001</v>
      </c>
      <c r="I4042" s="160" t="s">
        <v>53</v>
      </c>
      <c r="J4042" s="160">
        <v>3.313E-2</v>
      </c>
      <c r="K4042" s="160" t="s">
        <v>25</v>
      </c>
      <c r="L4042" s="154" t="str">
        <f>IF(OpenLCAbasic!K4042="CTUh", "Fill in Manually",IF(OR(K4042="Unit", K4042=""), "", INDEX(LookUps!$E$5:$E$12, MATCH(OpenLCAbasic!K4042,LookUps!$D$5:$D$12,0))))</f>
        <v>Smog Formation Potential (SFP) - kg O3 eq</v>
      </c>
      <c r="M4042" s="154" t="str">
        <f t="shared" si="218"/>
        <v>Base_Base_Upgraded_Smog Formation Potential (SFP) - kg O3 eq_Wet Well and Sump Station; wastewater treatment unit; at updated plant - US_Without Amendment_Windrow</v>
      </c>
    </row>
    <row r="4043" spans="1:13" s="120" customFormat="1" x14ac:dyDescent="0.25">
      <c r="A4043" s="119"/>
      <c r="B4043" s="138" t="str">
        <f t="shared" si="216"/>
        <v>Windrow</v>
      </c>
      <c r="C4043" s="138" t="str">
        <f t="shared" si="215"/>
        <v>Without Amendment</v>
      </c>
      <c r="D4043" s="138" t="str">
        <f t="shared" si="217"/>
        <v>Base</v>
      </c>
      <c r="E4043" s="138" t="str">
        <f t="shared" si="217"/>
        <v>Base</v>
      </c>
      <c r="F4043" s="138" t="str">
        <f t="shared" si="219"/>
        <v>Upgraded</v>
      </c>
      <c r="G4043" s="153"/>
      <c r="H4043" s="210">
        <v>9.01E-2</v>
      </c>
      <c r="I4043" s="160" t="s">
        <v>167</v>
      </c>
      <c r="J4043" s="160">
        <v>2.7949999999999999E-2</v>
      </c>
      <c r="K4043" s="160" t="s">
        <v>25</v>
      </c>
      <c r="L4043" s="154" t="str">
        <f>IF(OpenLCAbasic!K4043="CTUh", "Fill in Manually",IF(OR(K4043="Unit", K4043=""), "", INDEX(LookUps!$E$5:$E$12, MATCH(OpenLCAbasic!K4043,LookUps!$D$5:$D$12,0))))</f>
        <v>Smog Formation Potential (SFP) - kg O3 eq</v>
      </c>
      <c r="M4043" s="154" t="str">
        <f t="shared" si="218"/>
        <v>Base_Base_Upgraded_Smog Formation Potential (SFP) - kg O3 eq_Waste Receiving and Holding; wastewater treatment unit; at updated plant - US_Without Amendment_Windrow</v>
      </c>
    </row>
    <row r="4044" spans="1:13" s="120" customFormat="1" x14ac:dyDescent="0.25">
      <c r="A4044" s="119"/>
      <c r="B4044" s="138" t="str">
        <f t="shared" si="216"/>
        <v>Windrow</v>
      </c>
      <c r="C4044" s="138" t="str">
        <f t="shared" si="215"/>
        <v>Without Amendment</v>
      </c>
      <c r="D4044" s="138" t="str">
        <f t="shared" si="217"/>
        <v>Base</v>
      </c>
      <c r="E4044" s="138" t="str">
        <f t="shared" si="217"/>
        <v>Base</v>
      </c>
      <c r="F4044" s="138" t="str">
        <f t="shared" si="219"/>
        <v>Upgraded</v>
      </c>
      <c r="G4044" s="153"/>
      <c r="H4044" s="210">
        <v>6.2600000000000003E-2</v>
      </c>
      <c r="I4044" s="160" t="s">
        <v>147</v>
      </c>
      <c r="J4044" s="160">
        <v>1.9400000000000001E-2</v>
      </c>
      <c r="K4044" s="160" t="s">
        <v>25</v>
      </c>
      <c r="L4044" s="154" t="str">
        <f>IF(OpenLCAbasic!K4044="CTUh", "Fill in Manually",IF(OR(K4044="Unit", K4044=""), "", INDEX(LookUps!$E$5:$E$12, MATCH(OpenLCAbasic!K4044,LookUps!$D$5:$D$12,0))))</f>
        <v>Smog Formation Potential (SFP) - kg O3 eq</v>
      </c>
      <c r="M4044" s="154" t="str">
        <f t="shared" si="218"/>
        <v>Base_Base_Upgraded_Smog Formation Potential (SFP) - kg O3 eq_Influent Pump Station; wastewater treatment unit; at updated plant - US_Without Amendment_Windrow</v>
      </c>
    </row>
    <row r="4045" spans="1:13" s="120" customFormat="1" x14ac:dyDescent="0.25">
      <c r="A4045" s="119"/>
      <c r="B4045" s="138" t="str">
        <f t="shared" si="216"/>
        <v>Windrow</v>
      </c>
      <c r="C4045" s="138" t="str">
        <f t="shared" si="215"/>
        <v>Without Amendment</v>
      </c>
      <c r="D4045" s="138" t="str">
        <f t="shared" si="217"/>
        <v>Base</v>
      </c>
      <c r="E4045" s="138" t="str">
        <f t="shared" si="217"/>
        <v>Base</v>
      </c>
      <c r="F4045" s="138" t="str">
        <f t="shared" si="219"/>
        <v>Upgraded</v>
      </c>
      <c r="G4045" s="153"/>
      <c r="H4045" s="210">
        <v>3.8399999999999997E-2</v>
      </c>
      <c r="I4045" s="160" t="s">
        <v>128</v>
      </c>
      <c r="J4045" s="160">
        <v>1.192E-2</v>
      </c>
      <c r="K4045" s="160" t="s">
        <v>25</v>
      </c>
      <c r="L4045" s="154" t="str">
        <f>IF(OpenLCAbasic!K4045="CTUh", "Fill in Manually",IF(OR(K4045="Unit", K4045=""), "", INDEX(LookUps!$E$5:$E$12, MATCH(OpenLCAbasic!K4045,LookUps!$D$5:$D$12,0))))</f>
        <v>Smog Formation Potential (SFP) - kg O3 eq</v>
      </c>
      <c r="M4045" s="154" t="str">
        <f t="shared" si="218"/>
        <v>Base_Base_Upgraded_Smog Formation Potential (SFP) - kg O3 eq_Wastewater collection; operation and infrastructure; m3 wastewater_Without Amendment_Windrow</v>
      </c>
    </row>
    <row r="4046" spans="1:13" s="120" customFormat="1" x14ac:dyDescent="0.25">
      <c r="A4046" s="119"/>
      <c r="B4046" s="138" t="str">
        <f t="shared" si="216"/>
        <v>Windrow</v>
      </c>
      <c r="C4046" s="138" t="str">
        <f t="shared" si="215"/>
        <v>Without Amendment</v>
      </c>
      <c r="D4046" s="138" t="str">
        <f t="shared" si="217"/>
        <v>Base</v>
      </c>
      <c r="E4046" s="138" t="str">
        <f t="shared" si="217"/>
        <v>Base</v>
      </c>
      <c r="F4046" s="138" t="str">
        <f t="shared" si="219"/>
        <v>Upgraded</v>
      </c>
      <c r="G4046" s="153"/>
      <c r="H4046" s="210">
        <v>2.3699999999999999E-2</v>
      </c>
      <c r="I4046" s="160" t="s">
        <v>60</v>
      </c>
      <c r="J4046" s="160">
        <v>7.3499999999999998E-3</v>
      </c>
      <c r="K4046" s="160" t="s">
        <v>25</v>
      </c>
      <c r="L4046" s="154" t="str">
        <f>IF(OpenLCAbasic!K4046="CTUh", "Fill in Manually",IF(OR(K4046="Unit", K4046=""), "", INDEX(LookUps!$E$5:$E$12, MATCH(OpenLCAbasic!K4046,LookUps!$D$5:$D$12,0))))</f>
        <v>Smog Formation Potential (SFP) - kg O3 eq</v>
      </c>
      <c r="M4046" s="154" t="str">
        <f t="shared" si="218"/>
        <v>Base_Base_Upgraded_Smog Formation Potential (SFP) - kg O3 eq_Belt filter press; wastewater treatment unit; at updated plant - US_Without Amendment_Windrow</v>
      </c>
    </row>
    <row r="4047" spans="1:13" s="120" customFormat="1" x14ac:dyDescent="0.25">
      <c r="A4047" s="119"/>
      <c r="B4047" s="138" t="str">
        <f t="shared" si="216"/>
        <v>Windrow</v>
      </c>
      <c r="C4047" s="138" t="str">
        <f t="shared" si="215"/>
        <v>Without Amendment</v>
      </c>
      <c r="D4047" s="138" t="str">
        <f t="shared" si="217"/>
        <v>Base</v>
      </c>
      <c r="E4047" s="138" t="str">
        <f t="shared" si="217"/>
        <v>Base</v>
      </c>
      <c r="F4047" s="138" t="str">
        <f t="shared" si="219"/>
        <v>Upgraded</v>
      </c>
      <c r="G4047" s="153"/>
      <c r="H4047" s="210">
        <v>2.1499999999999998E-2</v>
      </c>
      <c r="I4047" s="160" t="s">
        <v>57</v>
      </c>
      <c r="J4047" s="160">
        <v>6.6499999999999997E-3</v>
      </c>
      <c r="K4047" s="160" t="s">
        <v>25</v>
      </c>
      <c r="L4047" s="154" t="str">
        <f>IF(OpenLCAbasic!K4047="CTUh", "Fill in Manually",IF(OR(K4047="Unit", K4047=""), "", INDEX(LookUps!$E$5:$E$12, MATCH(OpenLCAbasic!K4047,LookUps!$D$5:$D$12,0))))</f>
        <v>Smog Formation Potential (SFP) - kg O3 eq</v>
      </c>
      <c r="M4047" s="154" t="str">
        <f t="shared" si="218"/>
        <v>Base_Base_Upgraded_Smog Formation Potential (SFP) - kg O3 eq_Gravity Belt Thickener; wastewater treatment unit; at updated plant - US_Without Amendment_Windrow</v>
      </c>
    </row>
    <row r="4048" spans="1:13" s="120" customFormat="1" x14ac:dyDescent="0.25">
      <c r="A4048" s="119"/>
      <c r="B4048" s="138" t="str">
        <f t="shared" si="216"/>
        <v>Windrow</v>
      </c>
      <c r="C4048" s="138" t="str">
        <f t="shared" si="215"/>
        <v>Without Amendment</v>
      </c>
      <c r="D4048" s="138" t="str">
        <f t="shared" si="217"/>
        <v>Base</v>
      </c>
      <c r="E4048" s="138" t="str">
        <f t="shared" si="217"/>
        <v>Base</v>
      </c>
      <c r="F4048" s="138" t="str">
        <f t="shared" si="219"/>
        <v>Upgraded</v>
      </c>
      <c r="G4048" s="153"/>
      <c r="H4048" s="210">
        <v>1.6E-2</v>
      </c>
      <c r="I4048" s="160" t="s">
        <v>59</v>
      </c>
      <c r="J4048" s="160">
        <v>4.9699999999999996E-3</v>
      </c>
      <c r="K4048" s="160" t="s">
        <v>25</v>
      </c>
      <c r="L4048" s="154" t="str">
        <f>IF(OpenLCAbasic!K4048="CTUh", "Fill in Manually",IF(OR(K4048="Unit", K4048=""), "", INDEX(LookUps!$E$5:$E$12, MATCH(OpenLCAbasic!K4048,LookUps!$D$5:$D$12,0))))</f>
        <v>Smog Formation Potential (SFP) - kg O3 eq</v>
      </c>
      <c r="M4048" s="154" t="str">
        <f t="shared" si="218"/>
        <v>Base_Base_Upgraded_Smog Formation Potential (SFP) - kg O3 eq_Blend Tank; wastewater treatment unit; at updated plant - US_Without Amendment_Windrow</v>
      </c>
    </row>
    <row r="4049" spans="1:13" s="120" customFormat="1" x14ac:dyDescent="0.25">
      <c r="A4049" s="119"/>
      <c r="B4049" s="138" t="str">
        <f t="shared" si="216"/>
        <v>Windrow</v>
      </c>
      <c r="C4049" s="138" t="str">
        <f t="shared" si="215"/>
        <v>Without Amendment</v>
      </c>
      <c r="D4049" s="138" t="str">
        <f t="shared" si="217"/>
        <v>Base</v>
      </c>
      <c r="E4049" s="138" t="str">
        <f t="shared" si="217"/>
        <v>Base</v>
      </c>
      <c r="F4049" s="138" t="str">
        <f t="shared" si="219"/>
        <v>Upgraded</v>
      </c>
      <c r="G4049" s="153"/>
      <c r="H4049" s="210">
        <v>1.09E-2</v>
      </c>
      <c r="I4049" s="160" t="s">
        <v>48</v>
      </c>
      <c r="J4049" s="160">
        <v>3.3899999999999998E-3</v>
      </c>
      <c r="K4049" s="160" t="s">
        <v>25</v>
      </c>
      <c r="L4049" s="154" t="str">
        <f>IF(OpenLCAbasic!K4049="CTUh", "Fill in Manually",IF(OR(K4049="Unit", K4049=""), "", INDEX(LookUps!$E$5:$E$12, MATCH(OpenLCAbasic!K4049,LookUps!$D$5:$D$12,0))))</f>
        <v>Smog Formation Potential (SFP) - kg O3 eq</v>
      </c>
      <c r="M4049" s="154" t="str">
        <f t="shared" si="218"/>
        <v>Base_Base_Upgraded_Smog Formation Potential (SFP) - kg O3 eq_Effluent release; wastewater treatment unit; at surface water; m3 wastewater - US_Without Amendment_Windrow</v>
      </c>
    </row>
    <row r="4050" spans="1:13" s="120" customFormat="1" x14ac:dyDescent="0.25">
      <c r="A4050" s="119"/>
      <c r="B4050" s="138" t="str">
        <f t="shared" si="216"/>
        <v>Windrow</v>
      </c>
      <c r="C4050" s="138" t="str">
        <f t="shared" si="215"/>
        <v>Without Amendment</v>
      </c>
      <c r="D4050" s="138" t="str">
        <f t="shared" si="217"/>
        <v>Base</v>
      </c>
      <c r="E4050" s="138" t="str">
        <f t="shared" si="217"/>
        <v>Base</v>
      </c>
      <c r="F4050" s="138" t="str">
        <f t="shared" si="219"/>
        <v>Upgraded</v>
      </c>
      <c r="G4050" s="153"/>
      <c r="H4050" s="210">
        <v>7.9000000000000008E-3</v>
      </c>
      <c r="I4050" s="160" t="s">
        <v>168</v>
      </c>
      <c r="J4050" s="160">
        <v>2.4599999999999999E-3</v>
      </c>
      <c r="K4050" s="160" t="s">
        <v>25</v>
      </c>
      <c r="L4050" s="154" t="str">
        <f>IF(OpenLCAbasic!K4050="CTUh", "Fill in Manually",IF(OR(K4050="Unit", K4050=""), "", INDEX(LookUps!$E$5:$E$12, MATCH(OpenLCAbasic!K4050,LookUps!$D$5:$D$12,0))))</f>
        <v>Smog Formation Potential (SFP) - kg O3 eq</v>
      </c>
      <c r="M4050" s="154" t="str">
        <f t="shared" si="218"/>
        <v>Base_Base_Upgraded_Smog Formation Potential (SFP) - kg O3 eq_ClearCove SCP; wastewater treatment unit; at updated plant - US_Without Amendment_Windrow</v>
      </c>
    </row>
    <row r="4051" spans="1:13" s="120" customFormat="1" x14ac:dyDescent="0.25">
      <c r="A4051" s="119"/>
      <c r="B4051" s="138" t="str">
        <f t="shared" si="216"/>
        <v>Windrow</v>
      </c>
      <c r="C4051" s="138" t="str">
        <f t="shared" si="215"/>
        <v>Without Amendment</v>
      </c>
      <c r="D4051" s="138" t="str">
        <f t="shared" si="217"/>
        <v>Base</v>
      </c>
      <c r="E4051" s="138" t="str">
        <f t="shared" si="217"/>
        <v>Base</v>
      </c>
      <c r="F4051" s="138" t="str">
        <f t="shared" si="219"/>
        <v>Upgraded</v>
      </c>
      <c r="G4051" s="153"/>
      <c r="H4051" s="210">
        <v>1.6999999999999999E-3</v>
      </c>
      <c r="I4051" s="160" t="s">
        <v>148</v>
      </c>
      <c r="J4051" s="160">
        <v>5.4000000000000001E-4</v>
      </c>
      <c r="K4051" s="160" t="s">
        <v>25</v>
      </c>
      <c r="L4051" s="154" t="str">
        <f>IF(OpenLCAbasic!K4051="CTUh", "Fill in Manually",IF(OR(K4051="Unit", K4051=""), "", INDEX(LookUps!$E$5:$E$12, MATCH(OpenLCAbasic!K4051,LookUps!$D$5:$D$12,0))))</f>
        <v>Smog Formation Potential (SFP) - kg O3 eq</v>
      </c>
      <c r="M4051" s="154" t="str">
        <f t="shared" si="218"/>
        <v>Base_Base_Upgraded_Smog Formation Potential (SFP) - kg O3 eq_Control Building; at upgraded wastewater treatment plant - US_Without Amendment_Windrow</v>
      </c>
    </row>
    <row r="4052" spans="1:13" s="120" customFormat="1" x14ac:dyDescent="0.25">
      <c r="A4052" s="119"/>
      <c r="B4052" s="138" t="str">
        <f t="shared" si="216"/>
        <v>Windrow</v>
      </c>
      <c r="C4052" s="138" t="str">
        <f t="shared" si="215"/>
        <v>Without Amendment</v>
      </c>
      <c r="D4052" s="138" t="str">
        <f t="shared" si="217"/>
        <v>Base</v>
      </c>
      <c r="E4052" s="138" t="str">
        <f t="shared" si="217"/>
        <v>Base</v>
      </c>
      <c r="F4052" s="138" t="str">
        <f t="shared" si="219"/>
        <v>Upgraded</v>
      </c>
      <c r="G4052" s="153"/>
      <c r="H4052" s="210">
        <v>1.2999999999999999E-3</v>
      </c>
      <c r="I4052" s="160" t="s">
        <v>271</v>
      </c>
      <c r="J4052" s="160">
        <v>4.2000000000000002E-4</v>
      </c>
      <c r="K4052" s="160" t="s">
        <v>25</v>
      </c>
      <c r="L4052" s="154" t="str">
        <f>IF(OpenLCAbasic!K4052="CTUh", "Fill in Manually",IF(OR(K4052="Unit", K4052=""), "", INDEX(LookUps!$E$5:$E$12, MATCH(OpenLCAbasic!K4052,LookUps!$D$5:$D$12,0))))</f>
        <v>Smog Formation Potential (SFP) - kg O3 eq</v>
      </c>
      <c r="M4052" s="154" t="str">
        <f t="shared" si="218"/>
        <v>Base_Base_Upgraded_Smog Formation Potential (SFP) - kg O3 eq_Biosolids composting; windrow composting; wastewater treatment unit; at updated plant - US_Without Amendment_Windrow</v>
      </c>
    </row>
    <row r="4053" spans="1:13" s="120" customFormat="1" x14ac:dyDescent="0.25">
      <c r="A4053" s="119"/>
      <c r="B4053" s="138" t="str">
        <f t="shared" si="216"/>
        <v>Windrow</v>
      </c>
      <c r="C4053" s="138" t="str">
        <f t="shared" si="215"/>
        <v>Without Amendment</v>
      </c>
      <c r="D4053" s="138" t="str">
        <f t="shared" si="217"/>
        <v>Base</v>
      </c>
      <c r="E4053" s="138" t="str">
        <f t="shared" si="217"/>
        <v>Base</v>
      </c>
      <c r="F4053" s="138" t="str">
        <f t="shared" si="219"/>
        <v>Upgraded</v>
      </c>
      <c r="G4053" s="153"/>
      <c r="H4053" s="210">
        <v>-5.5999999999999999E-3</v>
      </c>
      <c r="I4053" s="160" t="s">
        <v>62</v>
      </c>
      <c r="J4053" s="160">
        <v>-1.74E-3</v>
      </c>
      <c r="K4053" s="160" t="s">
        <v>25</v>
      </c>
      <c r="L4053" s="154" t="str">
        <f>IF(OpenLCAbasic!K4053="CTUh", "Fill in Manually",IF(OR(K4053="Unit", K4053=""), "", INDEX(LookUps!$E$5:$E$12, MATCH(OpenLCAbasic!K4053,LookUps!$D$5:$D$12,0))))</f>
        <v>Smog Formation Potential (SFP) - kg O3 eq</v>
      </c>
      <c r="M4053" s="154" t="str">
        <f t="shared" si="218"/>
        <v>Base_Base_Upgraded_Smog Formation Potential (SFP) - kg O3 eq_Land application of compost; wastewater treatment unit; at updated plant - US_Without Amendment_Windrow</v>
      </c>
    </row>
    <row r="4054" spans="1:13" s="120" customFormat="1" x14ac:dyDescent="0.25">
      <c r="A4054" s="119"/>
      <c r="B4054" s="138" t="str">
        <f t="shared" si="216"/>
        <v>Windrow</v>
      </c>
      <c r="C4054" s="138" t="str">
        <f t="shared" si="215"/>
        <v>Without Amendment</v>
      </c>
      <c r="D4054" s="138" t="str">
        <f t="shared" si="217"/>
        <v>Base</v>
      </c>
      <c r="E4054" s="138" t="str">
        <f t="shared" si="217"/>
        <v>Base</v>
      </c>
      <c r="F4054" s="138" t="str">
        <f t="shared" si="219"/>
        <v>Upgraded</v>
      </c>
      <c r="G4054" s="153"/>
      <c r="H4054" s="210">
        <v>-0.19980000000000001</v>
      </c>
      <c r="I4054" s="160" t="s">
        <v>149</v>
      </c>
      <c r="J4054" s="160">
        <v>-6.1940000000000002E-2</v>
      </c>
      <c r="K4054" s="160" t="s">
        <v>25</v>
      </c>
      <c r="L4054" s="154" t="str">
        <f>IF(OpenLCAbasic!K4054="CTUh", "Fill in Manually",IF(OR(K4054="Unit", K4054=""), "", INDEX(LookUps!$E$5:$E$12, MATCH(OpenLCAbasic!K4054,LookUps!$D$5:$D$12,0))))</f>
        <v>Smog Formation Potential (SFP) - kg O3 eq</v>
      </c>
      <c r="M4054" s="154" t="str">
        <f t="shared" si="218"/>
        <v>Base_Base_Upgraded_Smog Formation Potential (SFP) - kg O3 eq_Anaerobic Digestion; wastewater treatment unit; at updated plant - US_Without Amendment_Windrow</v>
      </c>
    </row>
    <row r="4055" spans="1:13" s="120" customFormat="1" x14ac:dyDescent="0.25">
      <c r="A4055" s="119"/>
      <c r="B4055" s="138" t="str">
        <f t="shared" si="216"/>
        <v/>
      </c>
      <c r="C4055" s="138" t="str">
        <f t="shared" si="215"/>
        <v/>
      </c>
      <c r="D4055" s="138" t="str">
        <f t="shared" si="217"/>
        <v/>
      </c>
      <c r="E4055" s="138" t="str">
        <f t="shared" si="217"/>
        <v/>
      </c>
      <c r="F4055" s="138" t="str">
        <f t="shared" si="219"/>
        <v/>
      </c>
      <c r="G4055" s="153" t="s">
        <v>51</v>
      </c>
      <c r="H4055" s="160"/>
      <c r="I4055" s="160" t="s">
        <v>47</v>
      </c>
      <c r="J4055" s="160" t="s">
        <v>52</v>
      </c>
      <c r="K4055" s="160" t="s">
        <v>27</v>
      </c>
      <c r="L4055" s="154" t="str">
        <f>IF(OpenLCAbasic!K4055="CTUh", "Fill in Manually",IF(OR(K4055="Unit", K4055=""), "", INDEX(LookUps!$E$5:$E$12, MATCH(OpenLCAbasic!K4055,LookUps!$D$5:$D$12,0))))</f>
        <v/>
      </c>
      <c r="M4055" s="154" t="str">
        <f t="shared" si="218"/>
        <v>____Process__</v>
      </c>
    </row>
    <row r="4056" spans="1:13" s="120" customFormat="1" x14ac:dyDescent="0.25">
      <c r="A4056" s="119"/>
      <c r="B4056" s="138" t="str">
        <f t="shared" si="216"/>
        <v>Windrow</v>
      </c>
      <c r="C4056" s="138" t="str">
        <f t="shared" si="215"/>
        <v>Without Amendment</v>
      </c>
      <c r="D4056" s="138" t="str">
        <f t="shared" si="217"/>
        <v>Base</v>
      </c>
      <c r="E4056" s="138" t="str">
        <f t="shared" si="217"/>
        <v>Base</v>
      </c>
      <c r="F4056" s="138" t="str">
        <f t="shared" si="219"/>
        <v>Upgraded</v>
      </c>
      <c r="G4056" s="153"/>
      <c r="H4056" s="210">
        <v>0.56679999999999997</v>
      </c>
      <c r="I4056" s="160" t="s">
        <v>167</v>
      </c>
      <c r="J4056" s="160">
        <v>2.3000000000000001E-4</v>
      </c>
      <c r="K4056" s="160" t="s">
        <v>26</v>
      </c>
      <c r="L4056" s="154" t="str">
        <f>IF(OpenLCAbasic!K4056="CTUh", "Fill in Manually",IF(OR(K4056="Unit", K4056=""), "", INDEX(LookUps!$E$5:$E$12, MATCH(OpenLCAbasic!K4056,LookUps!$D$5:$D$12,0))))</f>
        <v>Water Use (WU) - m3 H2O</v>
      </c>
      <c r="M4056" s="154" t="str">
        <f t="shared" si="218"/>
        <v>Base_Base_Upgraded_Water Use (WU) - m3 H2O_Waste Receiving and Holding; wastewater treatment unit; at updated plant - US_Without Amendment_Windrow</v>
      </c>
    </row>
    <row r="4057" spans="1:13" s="120" customFormat="1" x14ac:dyDescent="0.25">
      <c r="A4057" s="119"/>
      <c r="B4057" s="138" t="str">
        <f t="shared" si="216"/>
        <v>Windrow</v>
      </c>
      <c r="C4057" s="138" t="str">
        <f t="shared" si="215"/>
        <v>Without Amendment</v>
      </c>
      <c r="D4057" s="138" t="str">
        <f t="shared" si="217"/>
        <v>Base</v>
      </c>
      <c r="E4057" s="138" t="str">
        <f t="shared" si="217"/>
        <v>Base</v>
      </c>
      <c r="F4057" s="138" t="str">
        <f t="shared" si="219"/>
        <v>Upgraded</v>
      </c>
      <c r="G4057" s="153"/>
      <c r="H4057" s="210">
        <v>0.44850000000000001</v>
      </c>
      <c r="I4057" s="160" t="s">
        <v>147</v>
      </c>
      <c r="J4057" s="160">
        <v>1.8000000000000001E-4</v>
      </c>
      <c r="K4057" s="160" t="s">
        <v>26</v>
      </c>
      <c r="L4057" s="154" t="str">
        <f>IF(OpenLCAbasic!K4057="CTUh", "Fill in Manually",IF(OR(K4057="Unit", K4057=""), "", INDEX(LookUps!$E$5:$E$12, MATCH(OpenLCAbasic!K4057,LookUps!$D$5:$D$12,0))))</f>
        <v>Water Use (WU) - m3 H2O</v>
      </c>
      <c r="M4057" s="154" t="str">
        <f t="shared" si="218"/>
        <v>Base_Base_Upgraded_Water Use (WU) - m3 H2O_Influent Pump Station; wastewater treatment unit; at updated plant - US_Without Amendment_Windrow</v>
      </c>
    </row>
    <row r="4058" spans="1:13" s="120" customFormat="1" x14ac:dyDescent="0.25">
      <c r="A4058" s="119"/>
      <c r="B4058" s="138" t="str">
        <f t="shared" si="216"/>
        <v>Windrow</v>
      </c>
      <c r="C4058" s="138" t="str">
        <f t="shared" si="215"/>
        <v>Without Amendment</v>
      </c>
      <c r="D4058" s="138" t="str">
        <f t="shared" si="217"/>
        <v>Base</v>
      </c>
      <c r="E4058" s="138" t="str">
        <f t="shared" si="217"/>
        <v>Base</v>
      </c>
      <c r="F4058" s="138" t="str">
        <f t="shared" si="219"/>
        <v>Upgraded</v>
      </c>
      <c r="G4058" s="153"/>
      <c r="H4058" s="210">
        <v>0.43759999999999999</v>
      </c>
      <c r="I4058" s="160" t="s">
        <v>54</v>
      </c>
      <c r="J4058" s="160">
        <v>1.8000000000000001E-4</v>
      </c>
      <c r="K4058" s="160" t="s">
        <v>26</v>
      </c>
      <c r="L4058" s="154" t="str">
        <f>IF(OpenLCAbasic!K4058="CTUh", "Fill in Manually",IF(OR(K4058="Unit", K4058=""), "", INDEX(LookUps!$E$5:$E$12, MATCH(OpenLCAbasic!K4058,LookUps!$D$5:$D$12,0))))</f>
        <v>Water Use (WU) - m3 H2O</v>
      </c>
      <c r="M4058" s="154" t="str">
        <f t="shared" si="218"/>
        <v>Base_Base_Upgraded_Water Use (WU) - m3 H2O_Clear Cove Primary Clarification; wastewater treatment unit; at updated plant - US_Without Amendment_Windrow</v>
      </c>
    </row>
    <row r="4059" spans="1:13" s="120" customFormat="1" x14ac:dyDescent="0.25">
      <c r="A4059" s="119"/>
      <c r="B4059" s="138" t="str">
        <f t="shared" si="216"/>
        <v>Windrow</v>
      </c>
      <c r="C4059" s="138" t="str">
        <f t="shared" si="215"/>
        <v>Without Amendment</v>
      </c>
      <c r="D4059" s="138" t="str">
        <f t="shared" si="217"/>
        <v>Base</v>
      </c>
      <c r="E4059" s="138" t="str">
        <f t="shared" si="217"/>
        <v>Base</v>
      </c>
      <c r="F4059" s="138" t="str">
        <f t="shared" si="219"/>
        <v>Upgraded</v>
      </c>
      <c r="G4059" s="153"/>
      <c r="H4059" s="210">
        <v>0.39700000000000002</v>
      </c>
      <c r="I4059" s="160" t="s">
        <v>55</v>
      </c>
      <c r="J4059" s="160">
        <v>1.6000000000000001E-4</v>
      </c>
      <c r="K4059" s="160" t="s">
        <v>26</v>
      </c>
      <c r="L4059" s="154" t="str">
        <f>IF(OpenLCAbasic!K4059="CTUh", "Fill in Manually",IF(OR(K4059="Unit", K4059=""), "", INDEX(LookUps!$E$5:$E$12, MATCH(OpenLCAbasic!K4059,LookUps!$D$5:$D$12,0))))</f>
        <v>Water Use (WU) - m3 H2O</v>
      </c>
      <c r="M4059" s="154" t="str">
        <f t="shared" si="218"/>
        <v>Base_Base_Upgraded_Water Use (WU) - m3 H2O_Aeration Tanks; wastewater treatment unit; at updated plant - US_Without Amendment_Windrow</v>
      </c>
    </row>
    <row r="4060" spans="1:13" s="120" customFormat="1" x14ac:dyDescent="0.25">
      <c r="A4060" s="119"/>
      <c r="B4060" s="138" t="str">
        <f t="shared" si="216"/>
        <v>Windrow</v>
      </c>
      <c r="C4060" s="138" t="str">
        <f t="shared" si="215"/>
        <v>Without Amendment</v>
      </c>
      <c r="D4060" s="138" t="str">
        <f t="shared" si="217"/>
        <v>Base</v>
      </c>
      <c r="E4060" s="138" t="str">
        <f t="shared" si="217"/>
        <v>Base</v>
      </c>
      <c r="F4060" s="138" t="str">
        <f t="shared" si="219"/>
        <v>Upgraded</v>
      </c>
      <c r="G4060" s="153"/>
      <c r="H4060" s="210">
        <v>0.36159999999999998</v>
      </c>
      <c r="I4060" s="160" t="s">
        <v>148</v>
      </c>
      <c r="J4060" s="160">
        <v>1.4999999999999999E-4</v>
      </c>
      <c r="K4060" s="160" t="s">
        <v>26</v>
      </c>
      <c r="L4060" s="154" t="str">
        <f>IF(OpenLCAbasic!K4060="CTUh", "Fill in Manually",IF(OR(K4060="Unit", K4060=""), "", INDEX(LookUps!$E$5:$E$12, MATCH(OpenLCAbasic!K4060,LookUps!$D$5:$D$12,0))))</f>
        <v>Water Use (WU) - m3 H2O</v>
      </c>
      <c r="M4060" s="154" t="str">
        <f t="shared" si="218"/>
        <v>Base_Base_Upgraded_Water Use (WU) - m3 H2O_Control Building; at upgraded wastewater treatment plant - US_Without Amendment_Windrow</v>
      </c>
    </row>
    <row r="4061" spans="1:13" s="120" customFormat="1" x14ac:dyDescent="0.25">
      <c r="A4061" s="119"/>
      <c r="B4061" s="138" t="str">
        <f t="shared" si="216"/>
        <v>Windrow</v>
      </c>
      <c r="C4061" s="138" t="str">
        <f t="shared" si="215"/>
        <v>Without Amendment</v>
      </c>
      <c r="D4061" s="138" t="str">
        <f t="shared" si="217"/>
        <v>Base</v>
      </c>
      <c r="E4061" s="138" t="str">
        <f t="shared" si="217"/>
        <v>Base</v>
      </c>
      <c r="F4061" s="138" t="str">
        <f t="shared" si="219"/>
        <v>Upgraded</v>
      </c>
      <c r="G4061" s="153"/>
      <c r="H4061" s="210">
        <v>0.16789999999999999</v>
      </c>
      <c r="I4061" s="160" t="s">
        <v>48</v>
      </c>
      <c r="J4061" s="211">
        <v>6.8836400000000004E-5</v>
      </c>
      <c r="K4061" s="160" t="s">
        <v>26</v>
      </c>
      <c r="L4061" s="154" t="str">
        <f>IF(OpenLCAbasic!K4061="CTUh", "Fill in Manually",IF(OR(K4061="Unit", K4061=""), "", INDEX(LookUps!$E$5:$E$12, MATCH(OpenLCAbasic!K4061,LookUps!$D$5:$D$12,0))))</f>
        <v>Water Use (WU) - m3 H2O</v>
      </c>
      <c r="M4061" s="154" t="str">
        <f t="shared" si="218"/>
        <v>Base_Base_Upgraded_Water Use (WU) - m3 H2O_Effluent release; wastewater treatment unit; at surface water; m3 wastewater - US_Without Amendment_Windrow</v>
      </c>
    </row>
    <row r="4062" spans="1:13" s="120" customFormat="1" x14ac:dyDescent="0.25">
      <c r="A4062" s="119"/>
      <c r="B4062" s="138" t="str">
        <f t="shared" si="216"/>
        <v>Windrow</v>
      </c>
      <c r="C4062" s="138" t="str">
        <f t="shared" si="215"/>
        <v>Without Amendment</v>
      </c>
      <c r="D4062" s="138" t="str">
        <f t="shared" si="217"/>
        <v>Base</v>
      </c>
      <c r="E4062" s="138" t="str">
        <f t="shared" si="217"/>
        <v>Base</v>
      </c>
      <c r="F4062" s="138" t="str">
        <f t="shared" si="219"/>
        <v>Upgraded</v>
      </c>
      <c r="G4062" s="153"/>
      <c r="H4062" s="210">
        <v>0.10539999999999999</v>
      </c>
      <c r="I4062" s="160" t="s">
        <v>58</v>
      </c>
      <c r="J4062" s="211">
        <v>4.3192100000000003E-5</v>
      </c>
      <c r="K4062" s="160" t="s">
        <v>26</v>
      </c>
      <c r="L4062" s="154" t="str">
        <f>IF(OpenLCAbasic!K4062="CTUh", "Fill in Manually",IF(OR(K4062="Unit", K4062=""), "", INDEX(LookUps!$E$5:$E$12, MATCH(OpenLCAbasic!K4062,LookUps!$D$5:$D$12,0))))</f>
        <v>Water Use (WU) - m3 H2O</v>
      </c>
      <c r="M4062" s="154" t="str">
        <f t="shared" si="218"/>
        <v>Base_Base_Upgraded_Water Use (WU) - m3 H2O_Pre-Anoxic &amp; Swing tank; wastewater treatment unit; at updated plant - US_Without Amendment_Windrow</v>
      </c>
    </row>
    <row r="4063" spans="1:13" s="120" customFormat="1" x14ac:dyDescent="0.25">
      <c r="A4063" s="119"/>
      <c r="B4063" s="138" t="str">
        <f t="shared" si="216"/>
        <v>Windrow</v>
      </c>
      <c r="C4063" s="138" t="str">
        <f t="shared" si="215"/>
        <v>Without Amendment</v>
      </c>
      <c r="D4063" s="138" t="str">
        <f t="shared" si="217"/>
        <v>Base</v>
      </c>
      <c r="E4063" s="138" t="str">
        <f t="shared" si="217"/>
        <v>Base</v>
      </c>
      <c r="F4063" s="138" t="str">
        <f t="shared" si="219"/>
        <v>Upgraded</v>
      </c>
      <c r="G4063" s="153"/>
      <c r="H4063" s="210">
        <v>7.4200000000000002E-2</v>
      </c>
      <c r="I4063" s="160" t="s">
        <v>57</v>
      </c>
      <c r="J4063" s="211">
        <v>3.0408100000000001E-5</v>
      </c>
      <c r="K4063" s="160" t="s">
        <v>26</v>
      </c>
      <c r="L4063" s="154" t="str">
        <f>IF(OpenLCAbasic!K4063="CTUh", "Fill in Manually",IF(OR(K4063="Unit", K4063=""), "", INDEX(LookUps!$E$5:$E$12, MATCH(OpenLCAbasic!K4063,LookUps!$D$5:$D$12,0))))</f>
        <v>Water Use (WU) - m3 H2O</v>
      </c>
      <c r="M4063" s="154" t="str">
        <f t="shared" si="218"/>
        <v>Base_Base_Upgraded_Water Use (WU) - m3 H2O_Gravity Belt Thickener; wastewater treatment unit; at updated plant - US_Without Amendment_Windrow</v>
      </c>
    </row>
    <row r="4064" spans="1:13" s="120" customFormat="1" x14ac:dyDescent="0.25">
      <c r="A4064" s="119"/>
      <c r="B4064" s="138" t="str">
        <f t="shared" si="216"/>
        <v>Windrow</v>
      </c>
      <c r="C4064" s="138" t="str">
        <f t="shared" si="215"/>
        <v>Without Amendment</v>
      </c>
      <c r="D4064" s="138" t="str">
        <f t="shared" si="217"/>
        <v>Base</v>
      </c>
      <c r="E4064" s="138" t="str">
        <f t="shared" si="217"/>
        <v>Base</v>
      </c>
      <c r="F4064" s="138" t="str">
        <f t="shared" si="219"/>
        <v>Upgraded</v>
      </c>
      <c r="G4064" s="153"/>
      <c r="H4064" s="210">
        <v>5.3499999999999999E-2</v>
      </c>
      <c r="I4064" s="160" t="s">
        <v>60</v>
      </c>
      <c r="J4064" s="211">
        <v>2.1941099999999999E-5</v>
      </c>
      <c r="K4064" s="160" t="s">
        <v>26</v>
      </c>
      <c r="L4064" s="154" t="str">
        <f>IF(OpenLCAbasic!K4064="CTUh", "Fill in Manually",IF(OR(K4064="Unit", K4064=""), "", INDEX(LookUps!$E$5:$E$12, MATCH(OpenLCAbasic!K4064,LookUps!$D$5:$D$12,0))))</f>
        <v>Water Use (WU) - m3 H2O</v>
      </c>
      <c r="M4064" s="154" t="str">
        <f t="shared" si="218"/>
        <v>Base_Base_Upgraded_Water Use (WU) - m3 H2O_Belt filter press; wastewater treatment unit; at updated plant - US_Without Amendment_Windrow</v>
      </c>
    </row>
    <row r="4065" spans="1:13" s="120" customFormat="1" x14ac:dyDescent="0.25">
      <c r="A4065" s="119"/>
      <c r="B4065" s="138" t="str">
        <f t="shared" si="216"/>
        <v>Windrow</v>
      </c>
      <c r="C4065" s="138" t="str">
        <f t="shared" ref="C4065:C4128" si="220">IF(ISNUMBER($J4065),"Without Amendment","")</f>
        <v>Without Amendment</v>
      </c>
      <c r="D4065" s="138" t="str">
        <f t="shared" si="217"/>
        <v>Base</v>
      </c>
      <c r="E4065" s="138" t="str">
        <f t="shared" si="217"/>
        <v>Base</v>
      </c>
      <c r="F4065" s="138" t="str">
        <f t="shared" si="219"/>
        <v>Upgraded</v>
      </c>
      <c r="G4065" s="153"/>
      <c r="H4065" s="210">
        <v>4.2700000000000002E-2</v>
      </c>
      <c r="I4065" s="160" t="s">
        <v>53</v>
      </c>
      <c r="J4065" s="211">
        <v>1.75069E-5</v>
      </c>
      <c r="K4065" s="160" t="s">
        <v>26</v>
      </c>
      <c r="L4065" s="154" t="str">
        <f>IF(OpenLCAbasic!K4065="CTUh", "Fill in Manually",IF(OR(K4065="Unit", K4065=""), "", INDEX(LookUps!$E$5:$E$12, MATCH(OpenLCAbasic!K4065,LookUps!$D$5:$D$12,0))))</f>
        <v>Water Use (WU) - m3 H2O</v>
      </c>
      <c r="M4065" s="154" t="str">
        <f t="shared" si="218"/>
        <v>Base_Base_Upgraded_Water Use (WU) - m3 H2O_Wet Well and Sump Station; wastewater treatment unit; at updated plant - US_Without Amendment_Windrow</v>
      </c>
    </row>
    <row r="4066" spans="1:13" s="120" customFormat="1" x14ac:dyDescent="0.25">
      <c r="A4066" s="119"/>
      <c r="B4066" s="138" t="str">
        <f t="shared" si="216"/>
        <v>Windrow</v>
      </c>
      <c r="C4066" s="138" t="str">
        <f t="shared" si="220"/>
        <v>Without Amendment</v>
      </c>
      <c r="D4066" s="138" t="str">
        <f t="shared" si="217"/>
        <v>Base</v>
      </c>
      <c r="E4066" s="138" t="str">
        <f t="shared" si="217"/>
        <v>Base</v>
      </c>
      <c r="F4066" s="138" t="str">
        <f t="shared" si="219"/>
        <v>Upgraded</v>
      </c>
      <c r="G4066" s="153"/>
      <c r="H4066" s="210">
        <v>2.9499999999999998E-2</v>
      </c>
      <c r="I4066" s="160" t="s">
        <v>149</v>
      </c>
      <c r="J4066" s="211">
        <v>1.21043E-5</v>
      </c>
      <c r="K4066" s="160" t="s">
        <v>26</v>
      </c>
      <c r="L4066" s="154" t="str">
        <f>IF(OpenLCAbasic!K4066="CTUh", "Fill in Manually",IF(OR(K4066="Unit", K4066=""), "", INDEX(LookUps!$E$5:$E$12, MATCH(OpenLCAbasic!K4066,LookUps!$D$5:$D$12,0))))</f>
        <v>Water Use (WU) - m3 H2O</v>
      </c>
      <c r="M4066" s="154" t="str">
        <f t="shared" si="218"/>
        <v>Base_Base_Upgraded_Water Use (WU) - m3 H2O_Anaerobic Digestion; wastewater treatment unit; at updated plant - US_Without Amendment_Windrow</v>
      </c>
    </row>
    <row r="4067" spans="1:13" s="120" customFormat="1" x14ac:dyDescent="0.25">
      <c r="A4067" s="119"/>
      <c r="B4067" s="138" t="str">
        <f t="shared" si="216"/>
        <v>Windrow</v>
      </c>
      <c r="C4067" s="138" t="str">
        <f t="shared" si="220"/>
        <v>Without Amendment</v>
      </c>
      <c r="D4067" s="138" t="str">
        <f t="shared" si="217"/>
        <v>Base</v>
      </c>
      <c r="E4067" s="138" t="str">
        <f t="shared" si="217"/>
        <v>Base</v>
      </c>
      <c r="F4067" s="138" t="str">
        <f t="shared" si="219"/>
        <v>Upgraded</v>
      </c>
      <c r="G4067" s="153"/>
      <c r="H4067" s="210">
        <v>1.7100000000000001E-2</v>
      </c>
      <c r="I4067" s="160" t="s">
        <v>59</v>
      </c>
      <c r="J4067" s="211">
        <v>7.0179500000000003E-6</v>
      </c>
      <c r="K4067" s="160" t="s">
        <v>26</v>
      </c>
      <c r="L4067" s="154" t="str">
        <f>IF(OpenLCAbasic!K4067="CTUh", "Fill in Manually",IF(OR(K4067="Unit", K4067=""), "", INDEX(LookUps!$E$5:$E$12, MATCH(OpenLCAbasic!K4067,LookUps!$D$5:$D$12,0))))</f>
        <v>Water Use (WU) - m3 H2O</v>
      </c>
      <c r="M4067" s="154" t="str">
        <f t="shared" si="218"/>
        <v>Base_Base_Upgraded_Water Use (WU) - m3 H2O_Blend Tank; wastewater treatment unit; at updated plant - US_Without Amendment_Windrow</v>
      </c>
    </row>
    <row r="4068" spans="1:13" s="120" customFormat="1" x14ac:dyDescent="0.25">
      <c r="A4068" s="119"/>
      <c r="B4068" s="138" t="str">
        <f t="shared" si="216"/>
        <v>Windrow</v>
      </c>
      <c r="C4068" s="138" t="str">
        <f t="shared" si="220"/>
        <v>Without Amendment</v>
      </c>
      <c r="D4068" s="138" t="str">
        <f t="shared" si="217"/>
        <v>Base</v>
      </c>
      <c r="E4068" s="138" t="str">
        <f t="shared" si="217"/>
        <v>Base</v>
      </c>
      <c r="F4068" s="138" t="str">
        <f t="shared" si="219"/>
        <v>Upgraded</v>
      </c>
      <c r="G4068" s="153"/>
      <c r="H4068" s="210">
        <v>1.23E-2</v>
      </c>
      <c r="I4068" s="160" t="s">
        <v>128</v>
      </c>
      <c r="J4068" s="211">
        <v>5.0608900000000003E-6</v>
      </c>
      <c r="K4068" s="160" t="s">
        <v>26</v>
      </c>
      <c r="L4068" s="154" t="str">
        <f>IF(OpenLCAbasic!K4068="CTUh", "Fill in Manually",IF(OR(K4068="Unit", K4068=""), "", INDEX(LookUps!$E$5:$E$12, MATCH(OpenLCAbasic!K4068,LookUps!$D$5:$D$12,0))))</f>
        <v>Water Use (WU) - m3 H2O</v>
      </c>
      <c r="M4068" s="154" t="str">
        <f t="shared" si="218"/>
        <v>Base_Base_Upgraded_Water Use (WU) - m3 H2O_Wastewater collection; operation and infrastructure; m3 wastewater_Without Amendment_Windrow</v>
      </c>
    </row>
    <row r="4069" spans="1:13" s="120" customFormat="1" x14ac:dyDescent="0.25">
      <c r="A4069" s="119"/>
      <c r="B4069" s="138" t="str">
        <f t="shared" si="216"/>
        <v>Windrow</v>
      </c>
      <c r="C4069" s="138" t="str">
        <f t="shared" si="220"/>
        <v>Without Amendment</v>
      </c>
      <c r="D4069" s="138" t="str">
        <f t="shared" si="217"/>
        <v>Base</v>
      </c>
      <c r="E4069" s="138" t="str">
        <f t="shared" si="217"/>
        <v>Base</v>
      </c>
      <c r="F4069" s="138" t="str">
        <f t="shared" si="219"/>
        <v>Upgraded</v>
      </c>
      <c r="G4069" s="153"/>
      <c r="H4069" s="210">
        <v>2.5999999999999999E-3</v>
      </c>
      <c r="I4069" s="160" t="s">
        <v>271</v>
      </c>
      <c r="J4069" s="211">
        <v>1.0478599999999999E-6</v>
      </c>
      <c r="K4069" s="160" t="s">
        <v>26</v>
      </c>
      <c r="L4069" s="154" t="str">
        <f>IF(OpenLCAbasic!K4069="CTUh", "Fill in Manually",IF(OR(K4069="Unit", K4069=""), "", INDEX(LookUps!$E$5:$E$12, MATCH(OpenLCAbasic!K4069,LookUps!$D$5:$D$12,0))))</f>
        <v>Water Use (WU) - m3 H2O</v>
      </c>
      <c r="M4069" s="154" t="str">
        <f t="shared" si="218"/>
        <v>Base_Base_Upgraded_Water Use (WU) - m3 H2O_Biosolids composting; windrow composting; wastewater treatment unit; at updated plant - US_Without Amendment_Windrow</v>
      </c>
    </row>
    <row r="4070" spans="1:13" s="120" customFormat="1" x14ac:dyDescent="0.25">
      <c r="A4070" s="119"/>
      <c r="B4070" s="138" t="str">
        <f t="shared" si="216"/>
        <v>Windrow</v>
      </c>
      <c r="C4070" s="138" t="str">
        <f t="shared" si="220"/>
        <v>Without Amendment</v>
      </c>
      <c r="D4070" s="138" t="str">
        <f t="shared" si="217"/>
        <v>Base</v>
      </c>
      <c r="E4070" s="138" t="str">
        <f t="shared" si="217"/>
        <v>Base</v>
      </c>
      <c r="F4070" s="138" t="str">
        <f t="shared" si="219"/>
        <v>Upgraded</v>
      </c>
      <c r="G4070" s="153"/>
      <c r="H4070" s="210">
        <v>1.9E-3</v>
      </c>
      <c r="I4070" s="160" t="s">
        <v>168</v>
      </c>
      <c r="J4070" s="211">
        <v>7.6697000000000004E-7</v>
      </c>
      <c r="K4070" s="160" t="s">
        <v>26</v>
      </c>
      <c r="L4070" s="154" t="str">
        <f>IF(OpenLCAbasic!K4070="CTUh", "Fill in Manually",IF(OR(K4070="Unit", K4070=""), "", INDEX(LookUps!$E$5:$E$12, MATCH(OpenLCAbasic!K4070,LookUps!$D$5:$D$12,0))))</f>
        <v>Water Use (WU) - m3 H2O</v>
      </c>
      <c r="M4070" s="154" t="str">
        <f t="shared" si="218"/>
        <v>Base_Base_Upgraded_Water Use (WU) - m3 H2O_ClearCove SCP; wastewater treatment unit; at updated plant - US_Without Amendment_Windrow</v>
      </c>
    </row>
    <row r="4071" spans="1:13" s="120" customFormat="1" x14ac:dyDescent="0.25">
      <c r="A4071" s="119"/>
      <c r="B4071" s="138" t="str">
        <f t="shared" si="216"/>
        <v>Windrow</v>
      </c>
      <c r="C4071" s="138" t="str">
        <f t="shared" si="220"/>
        <v>Without Amendment</v>
      </c>
      <c r="D4071" s="138" t="str">
        <f t="shared" si="217"/>
        <v>Base</v>
      </c>
      <c r="E4071" s="138" t="str">
        <f t="shared" si="217"/>
        <v>Base</v>
      </c>
      <c r="F4071" s="138" t="str">
        <f t="shared" si="219"/>
        <v>Upgraded</v>
      </c>
      <c r="G4071" s="153"/>
      <c r="H4071" s="210">
        <v>-1.7183999999999999</v>
      </c>
      <c r="I4071" s="160" t="s">
        <v>62</v>
      </c>
      <c r="J4071" s="160">
        <v>-6.9999999999999999E-4</v>
      </c>
      <c r="K4071" s="160" t="s">
        <v>26</v>
      </c>
      <c r="L4071" s="154" t="str">
        <f>IF(OpenLCAbasic!K4071="CTUh", "Fill in Manually",IF(OR(K4071="Unit", K4071=""), "", INDEX(LookUps!$E$5:$E$12, MATCH(OpenLCAbasic!K4071,LookUps!$D$5:$D$12,0))))</f>
        <v>Water Use (WU) - m3 H2O</v>
      </c>
      <c r="M4071" s="154" t="str">
        <f t="shared" si="218"/>
        <v>Base_Base_Upgraded_Water Use (WU) - m3 H2O_Land application of compost; wastewater treatment unit; at updated plant - US_Without Amendment_Windrow</v>
      </c>
    </row>
    <row r="4072" spans="1:13" s="120" customFormat="1" x14ac:dyDescent="0.25">
      <c r="A4072" s="119"/>
      <c r="B4072" s="138" t="str">
        <f t="shared" si="216"/>
        <v/>
      </c>
      <c r="C4072" s="138" t="str">
        <f t="shared" si="220"/>
        <v/>
      </c>
      <c r="D4072" s="138" t="str">
        <f t="shared" ref="D4072:D4073" si="221">IF(ISNUMBER($J4072),"High_High","")</f>
        <v/>
      </c>
      <c r="E4072" s="138" t="str">
        <f t="shared" ref="E4072:E4073" si="222">IF(ISNUMBER($J4072),"High","")</f>
        <v/>
      </c>
      <c r="F4072" s="138" t="str">
        <f t="shared" si="219"/>
        <v/>
      </c>
      <c r="G4072" s="153" t="s">
        <v>51</v>
      </c>
      <c r="H4072" s="160"/>
      <c r="I4072" s="160" t="s">
        <v>47</v>
      </c>
      <c r="J4072" s="160" t="s">
        <v>52</v>
      </c>
      <c r="K4072" s="160" t="s">
        <v>27</v>
      </c>
      <c r="L4072" s="154" t="str">
        <f>IF(OpenLCAbasic!K4072="CTUh", "Fill in Manually",IF(OR(K4072="Unit", K4072=""), "", INDEX(LookUps!$E$5:$E$12, MATCH(OpenLCAbasic!K4072,LookUps!$D$5:$D$12,0))))</f>
        <v/>
      </c>
      <c r="M4072" s="154" t="str">
        <f t="shared" si="218"/>
        <v>____Process__</v>
      </c>
    </row>
    <row r="4073" spans="1:13" s="120" customFormat="1" x14ac:dyDescent="0.25">
      <c r="A4073" s="119"/>
      <c r="B4073" s="138" t="str">
        <f t="shared" si="216"/>
        <v>Windrow</v>
      </c>
      <c r="C4073" s="138" t="str">
        <f t="shared" si="220"/>
        <v>Without Amendment</v>
      </c>
      <c r="D4073" s="138" t="str">
        <f t="shared" si="221"/>
        <v>High_High</v>
      </c>
      <c r="E4073" s="138" t="str">
        <f t="shared" si="222"/>
        <v>High</v>
      </c>
      <c r="F4073" s="138" t="str">
        <f t="shared" si="219"/>
        <v>Upgraded</v>
      </c>
      <c r="G4073" s="153"/>
      <c r="H4073" s="210">
        <v>0.4052</v>
      </c>
      <c r="I4073" s="160" t="s">
        <v>55</v>
      </c>
      <c r="J4073" s="160">
        <v>1.7219999999999999E-2</v>
      </c>
      <c r="K4073" s="160" t="s">
        <v>24</v>
      </c>
      <c r="L4073" s="154" t="str">
        <f>IF(OpenLCAbasic!K4073="CTUh", "Fill in Manually",IF(OR(K4073="Unit", K4073=""), "", INDEX(LookUps!$E$5:$E$12, MATCH(OpenLCAbasic!K4073,LookUps!$D$5:$D$12,0))))</f>
        <v>Acidification Potential (AP) - kg SO2 eq</v>
      </c>
      <c r="M4073" s="154" t="str">
        <f t="shared" si="218"/>
        <v>High_High_High_Upgraded_Acidification Potential (AP) - kg SO2 eq_Aeration Tanks; wastewater treatment unit; at updated plant - US_Without Amendment_Windrow</v>
      </c>
    </row>
    <row r="4074" spans="1:13" s="120" customFormat="1" x14ac:dyDescent="0.25">
      <c r="A4074" s="119"/>
      <c r="B4074" s="138" t="str">
        <f t="shared" ref="B4074" si="223">IF(F4074="Legacy","n.a.",IF(F4074="","","Windrow"))</f>
        <v>Windrow</v>
      </c>
      <c r="C4074" s="138" t="str">
        <f t="shared" si="220"/>
        <v>Without Amendment</v>
      </c>
      <c r="D4074" s="138" t="str">
        <f>IF(ISNUMBER($J4074),"High_High","")</f>
        <v>High_High</v>
      </c>
      <c r="E4074" s="138" t="str">
        <f>IF(ISNUMBER($J4074),"High","")</f>
        <v>High</v>
      </c>
      <c r="F4074" s="138" t="str">
        <f t="shared" ref="F4074" si="224">IF(ISNUMBER(J4074),"Upgraded","")</f>
        <v>Upgraded</v>
      </c>
      <c r="G4074" s="153"/>
      <c r="H4074" s="210">
        <v>0.2903</v>
      </c>
      <c r="I4074" s="160" t="s">
        <v>271</v>
      </c>
      <c r="J4074" s="160">
        <v>1.234E-2</v>
      </c>
      <c r="K4074" s="160" t="s">
        <v>24</v>
      </c>
      <c r="L4074" s="154" t="str">
        <f>IF(OpenLCAbasic!K4074="CTUh", "Fill in Manually",IF(OR(K4074="Unit", K4074=""), "", INDEX(LookUps!$E$5:$E$12, MATCH(OpenLCAbasic!K4074,LookUps!$D$5:$D$12,0))))</f>
        <v>Acidification Potential (AP) - kg SO2 eq</v>
      </c>
      <c r="M4074" s="154" t="str">
        <f t="shared" si="218"/>
        <v>High_High_High_Upgraded_Acidification Potential (AP) - kg SO2 eq_Biosolids composting; windrow composting; wastewater treatment unit; at updated plant - US_Without Amendment_Windrow</v>
      </c>
    </row>
    <row r="4075" spans="1:13" s="120" customFormat="1" x14ac:dyDescent="0.25">
      <c r="A4075" s="119"/>
      <c r="B4075" s="138" t="str">
        <f t="shared" ref="B4075:B4099" si="225">IF(F4075="Legacy","n.a.",IF(F4075="","","Windrow"))</f>
        <v>Windrow</v>
      </c>
      <c r="C4075" s="138" t="str">
        <f t="shared" si="220"/>
        <v>Without Amendment</v>
      </c>
      <c r="D4075" s="138" t="str">
        <f t="shared" ref="D4075:D4138" si="226">IF(ISNUMBER($J4075),"High_High","")</f>
        <v>High_High</v>
      </c>
      <c r="E4075" s="138" t="str">
        <f t="shared" ref="E4075:E4138" si="227">IF(ISNUMBER($J4075),"High","")</f>
        <v>High</v>
      </c>
      <c r="F4075" s="138" t="str">
        <f t="shared" ref="F4075:F4099" si="228">IF(ISNUMBER(J4075),"Upgraded","")</f>
        <v>Upgraded</v>
      </c>
      <c r="G4075" s="153"/>
      <c r="H4075" s="210">
        <v>0.1172</v>
      </c>
      <c r="I4075" s="160" t="s">
        <v>54</v>
      </c>
      <c r="J4075" s="160">
        <v>4.9800000000000001E-3</v>
      </c>
      <c r="K4075" s="160" t="s">
        <v>24</v>
      </c>
      <c r="L4075" s="154" t="str">
        <f>IF(OpenLCAbasic!K4075="CTUh", "Fill in Manually",IF(OR(K4075="Unit", K4075=""), "", INDEX(LookUps!$E$5:$E$12, MATCH(OpenLCAbasic!K4075,LookUps!$D$5:$D$12,0))))</f>
        <v>Acidification Potential (AP) - kg SO2 eq</v>
      </c>
      <c r="M4075" s="154" t="str">
        <f t="shared" si="218"/>
        <v>High_High_High_Upgraded_Acidification Potential (AP) - kg SO2 eq_Clear Cove Primary Clarification; wastewater treatment unit; at updated plant - US_Without Amendment_Windrow</v>
      </c>
    </row>
    <row r="4076" spans="1:13" s="120" customFormat="1" x14ac:dyDescent="0.25">
      <c r="A4076" s="119"/>
      <c r="B4076" s="138" t="str">
        <f t="shared" si="225"/>
        <v>Windrow</v>
      </c>
      <c r="C4076" s="138" t="str">
        <f t="shared" si="220"/>
        <v>Without Amendment</v>
      </c>
      <c r="D4076" s="138" t="str">
        <f t="shared" si="226"/>
        <v>High_High</v>
      </c>
      <c r="E4076" s="138" t="str">
        <f t="shared" si="227"/>
        <v>High</v>
      </c>
      <c r="F4076" s="138" t="str">
        <f t="shared" si="228"/>
        <v>Upgraded</v>
      </c>
      <c r="G4076" s="153"/>
      <c r="H4076" s="210">
        <v>0.1027</v>
      </c>
      <c r="I4076" s="160" t="s">
        <v>58</v>
      </c>
      <c r="J4076" s="160">
        <v>4.3600000000000002E-3</v>
      </c>
      <c r="K4076" s="160" t="s">
        <v>24</v>
      </c>
      <c r="L4076" s="154" t="str">
        <f>IF(OpenLCAbasic!K4076="CTUh", "Fill in Manually",IF(OR(K4076="Unit", K4076=""), "", INDEX(LookUps!$E$5:$E$12, MATCH(OpenLCAbasic!K4076,LookUps!$D$5:$D$12,0))))</f>
        <v>Acidification Potential (AP) - kg SO2 eq</v>
      </c>
      <c r="M4076" s="154" t="str">
        <f t="shared" si="218"/>
        <v>High_High_High_Upgraded_Acidification Potential (AP) - kg SO2 eq_Pre-Anoxic &amp; Swing tank; wastewater treatment unit; at updated plant - US_Without Amendment_Windrow</v>
      </c>
    </row>
    <row r="4077" spans="1:13" s="120" customFormat="1" x14ac:dyDescent="0.25">
      <c r="A4077" s="119"/>
      <c r="B4077" s="138" t="str">
        <f t="shared" si="225"/>
        <v>Windrow</v>
      </c>
      <c r="C4077" s="138" t="str">
        <f t="shared" si="220"/>
        <v>Without Amendment</v>
      </c>
      <c r="D4077" s="138" t="str">
        <f t="shared" si="226"/>
        <v>High_High</v>
      </c>
      <c r="E4077" s="138" t="str">
        <f t="shared" si="227"/>
        <v>High</v>
      </c>
      <c r="F4077" s="138" t="str">
        <f t="shared" si="228"/>
        <v>Upgraded</v>
      </c>
      <c r="G4077" s="153"/>
      <c r="H4077" s="210">
        <v>8.1199999999999994E-2</v>
      </c>
      <c r="I4077" s="160" t="s">
        <v>53</v>
      </c>
      <c r="J4077" s="160">
        <v>3.4499999999999999E-3</v>
      </c>
      <c r="K4077" s="160" t="s">
        <v>24</v>
      </c>
      <c r="L4077" s="154" t="str">
        <f>IF(OpenLCAbasic!K4077="CTUh", "Fill in Manually",IF(OR(K4077="Unit", K4077=""), "", INDEX(LookUps!$E$5:$E$12, MATCH(OpenLCAbasic!K4077,LookUps!$D$5:$D$12,0))))</f>
        <v>Acidification Potential (AP) - kg SO2 eq</v>
      </c>
      <c r="M4077" s="154" t="str">
        <f t="shared" si="218"/>
        <v>High_High_High_Upgraded_Acidification Potential (AP) - kg SO2 eq_Wet Well and Sump Station; wastewater treatment unit; at updated plant - US_Without Amendment_Windrow</v>
      </c>
    </row>
    <row r="4078" spans="1:13" s="120" customFormat="1" x14ac:dyDescent="0.25">
      <c r="A4078" s="119"/>
      <c r="B4078" s="138" t="str">
        <f t="shared" si="225"/>
        <v>Windrow</v>
      </c>
      <c r="C4078" s="138" t="str">
        <f t="shared" si="220"/>
        <v>Without Amendment</v>
      </c>
      <c r="D4078" s="138" t="str">
        <f t="shared" si="226"/>
        <v>High_High</v>
      </c>
      <c r="E4078" s="138" t="str">
        <f t="shared" si="227"/>
        <v>High</v>
      </c>
      <c r="F4078" s="138" t="str">
        <f t="shared" si="228"/>
        <v>Upgraded</v>
      </c>
      <c r="G4078" s="153"/>
      <c r="H4078" s="210">
        <v>6.4600000000000005E-2</v>
      </c>
      <c r="I4078" s="160" t="s">
        <v>62</v>
      </c>
      <c r="J4078" s="160">
        <v>2.7399999999999998E-3</v>
      </c>
      <c r="K4078" s="160" t="s">
        <v>24</v>
      </c>
      <c r="L4078" s="154" t="str">
        <f>IF(OpenLCAbasic!K4078="CTUh", "Fill in Manually",IF(OR(K4078="Unit", K4078=""), "", INDEX(LookUps!$E$5:$E$12, MATCH(OpenLCAbasic!K4078,LookUps!$D$5:$D$12,0))))</f>
        <v>Acidification Potential (AP) - kg SO2 eq</v>
      </c>
      <c r="M4078" s="154" t="str">
        <f t="shared" si="218"/>
        <v>High_High_High_Upgraded_Acidification Potential (AP) - kg SO2 eq_Land application of compost; wastewater treatment unit; at updated plant - US_Without Amendment_Windrow</v>
      </c>
    </row>
    <row r="4079" spans="1:13" s="120" customFormat="1" x14ac:dyDescent="0.25">
      <c r="A4079" s="119"/>
      <c r="B4079" s="138" t="str">
        <f t="shared" si="225"/>
        <v>Windrow</v>
      </c>
      <c r="C4079" s="138" t="str">
        <f t="shared" si="220"/>
        <v>Without Amendment</v>
      </c>
      <c r="D4079" s="138" t="str">
        <f t="shared" si="226"/>
        <v>High_High</v>
      </c>
      <c r="E4079" s="138" t="str">
        <f t="shared" si="227"/>
        <v>High</v>
      </c>
      <c r="F4079" s="138" t="str">
        <f t="shared" si="228"/>
        <v>Upgraded</v>
      </c>
      <c r="G4079" s="153"/>
      <c r="H4079" s="210">
        <v>6.3600000000000004E-2</v>
      </c>
      <c r="I4079" s="160" t="s">
        <v>167</v>
      </c>
      <c r="J4079" s="160">
        <v>2.7000000000000001E-3</v>
      </c>
      <c r="K4079" s="160" t="s">
        <v>24</v>
      </c>
      <c r="L4079" s="154" t="str">
        <f>IF(OpenLCAbasic!K4079="CTUh", "Fill in Manually",IF(OR(K4079="Unit", K4079=""), "", INDEX(LookUps!$E$5:$E$12, MATCH(OpenLCAbasic!K4079,LookUps!$D$5:$D$12,0))))</f>
        <v>Acidification Potential (AP) - kg SO2 eq</v>
      </c>
      <c r="M4079" s="154" t="str">
        <f t="shared" si="218"/>
        <v>High_High_High_Upgraded_Acidification Potential (AP) - kg SO2 eq_Waste Receiving and Holding; wastewater treatment unit; at updated plant - US_Without Amendment_Windrow</v>
      </c>
    </row>
    <row r="4080" spans="1:13" s="120" customFormat="1" x14ac:dyDescent="0.25">
      <c r="A4080" s="119"/>
      <c r="B4080" s="138" t="str">
        <f t="shared" si="225"/>
        <v>Windrow</v>
      </c>
      <c r="C4080" s="138" t="str">
        <f t="shared" si="220"/>
        <v>Without Amendment</v>
      </c>
      <c r="D4080" s="138" t="str">
        <f t="shared" si="226"/>
        <v>High_High</v>
      </c>
      <c r="E4080" s="138" t="str">
        <f t="shared" si="227"/>
        <v>High</v>
      </c>
      <c r="F4080" s="138" t="str">
        <f t="shared" si="228"/>
        <v>Upgraded</v>
      </c>
      <c r="G4080" s="153"/>
      <c r="H4080" s="210">
        <v>4.87E-2</v>
      </c>
      <c r="I4080" s="160" t="s">
        <v>147</v>
      </c>
      <c r="J4080" s="160">
        <v>2.0699999999999998E-3</v>
      </c>
      <c r="K4080" s="160" t="s">
        <v>24</v>
      </c>
      <c r="L4080" s="154" t="str">
        <f>IF(OpenLCAbasic!K4080="CTUh", "Fill in Manually",IF(OR(K4080="Unit", K4080=""), "", INDEX(LookUps!$E$5:$E$12, MATCH(OpenLCAbasic!K4080,LookUps!$D$5:$D$12,0))))</f>
        <v>Acidification Potential (AP) - kg SO2 eq</v>
      </c>
      <c r="M4080" s="154" t="str">
        <f t="shared" si="218"/>
        <v>High_High_High_Upgraded_Acidification Potential (AP) - kg SO2 eq_Influent Pump Station; wastewater treatment unit; at updated plant - US_Without Amendment_Windrow</v>
      </c>
    </row>
    <row r="4081" spans="1:13" s="120" customFormat="1" x14ac:dyDescent="0.25">
      <c r="A4081" s="119"/>
      <c r="B4081" s="138" t="str">
        <f t="shared" si="225"/>
        <v>Windrow</v>
      </c>
      <c r="C4081" s="138" t="str">
        <f t="shared" si="220"/>
        <v>Without Amendment</v>
      </c>
      <c r="D4081" s="138" t="str">
        <f t="shared" si="226"/>
        <v>High_High</v>
      </c>
      <c r="E4081" s="138" t="str">
        <f t="shared" si="227"/>
        <v>High</v>
      </c>
      <c r="F4081" s="138" t="str">
        <f t="shared" si="228"/>
        <v>Upgraded</v>
      </c>
      <c r="G4081" s="153"/>
      <c r="H4081" s="210">
        <v>3.2500000000000001E-2</v>
      </c>
      <c r="I4081" s="160" t="s">
        <v>60</v>
      </c>
      <c r="J4081" s="160">
        <v>1.3799999999999999E-3</v>
      </c>
      <c r="K4081" s="160" t="s">
        <v>24</v>
      </c>
      <c r="L4081" s="154" t="str">
        <f>IF(OpenLCAbasic!K4081="CTUh", "Fill in Manually",IF(OR(K4081="Unit", K4081=""), "", INDEX(LookUps!$E$5:$E$12, MATCH(OpenLCAbasic!K4081,LookUps!$D$5:$D$12,0))))</f>
        <v>Acidification Potential (AP) - kg SO2 eq</v>
      </c>
      <c r="M4081" s="154" t="str">
        <f t="shared" si="218"/>
        <v>High_High_High_Upgraded_Acidification Potential (AP) - kg SO2 eq_Belt filter press; wastewater treatment unit; at updated plant - US_Without Amendment_Windrow</v>
      </c>
    </row>
    <row r="4082" spans="1:13" s="120" customFormat="1" x14ac:dyDescent="0.25">
      <c r="A4082" s="119"/>
      <c r="B4082" s="138" t="str">
        <f t="shared" si="225"/>
        <v>Windrow</v>
      </c>
      <c r="C4082" s="138" t="str">
        <f t="shared" si="220"/>
        <v>Without Amendment</v>
      </c>
      <c r="D4082" s="138" t="str">
        <f t="shared" si="226"/>
        <v>High_High</v>
      </c>
      <c r="E4082" s="138" t="str">
        <f t="shared" si="227"/>
        <v>High</v>
      </c>
      <c r="F4082" s="138" t="str">
        <f t="shared" si="228"/>
        <v>Upgraded</v>
      </c>
      <c r="G4082" s="153"/>
      <c r="H4082" s="210">
        <v>2.9000000000000001E-2</v>
      </c>
      <c r="I4082" s="160" t="s">
        <v>128</v>
      </c>
      <c r="J4082" s="160">
        <v>1.23E-3</v>
      </c>
      <c r="K4082" s="160" t="s">
        <v>24</v>
      </c>
      <c r="L4082" s="154" t="str">
        <f>IF(OpenLCAbasic!K4082="CTUh", "Fill in Manually",IF(OR(K4082="Unit", K4082=""), "", INDEX(LookUps!$E$5:$E$12, MATCH(OpenLCAbasic!K4082,LookUps!$D$5:$D$12,0))))</f>
        <v>Acidification Potential (AP) - kg SO2 eq</v>
      </c>
      <c r="M4082" s="154" t="str">
        <f t="shared" si="218"/>
        <v>High_High_High_Upgraded_Acidification Potential (AP) - kg SO2 eq_Wastewater collection; operation and infrastructure; m3 wastewater_Without Amendment_Windrow</v>
      </c>
    </row>
    <row r="4083" spans="1:13" s="120" customFormat="1" x14ac:dyDescent="0.25">
      <c r="A4083" s="119"/>
      <c r="B4083" s="138" t="str">
        <f t="shared" si="225"/>
        <v>Windrow</v>
      </c>
      <c r="C4083" s="138" t="str">
        <f t="shared" si="220"/>
        <v>Without Amendment</v>
      </c>
      <c r="D4083" s="138" t="str">
        <f t="shared" si="226"/>
        <v>High_High</v>
      </c>
      <c r="E4083" s="138" t="str">
        <f t="shared" si="227"/>
        <v>High</v>
      </c>
      <c r="F4083" s="138" t="str">
        <f t="shared" si="228"/>
        <v>Upgraded</v>
      </c>
      <c r="G4083" s="153"/>
      <c r="H4083" s="210">
        <v>1.66E-2</v>
      </c>
      <c r="I4083" s="160" t="s">
        <v>57</v>
      </c>
      <c r="J4083" s="160">
        <v>6.9999999999999999E-4</v>
      </c>
      <c r="K4083" s="160" t="s">
        <v>24</v>
      </c>
      <c r="L4083" s="154" t="str">
        <f>IF(OpenLCAbasic!K4083="CTUh", "Fill in Manually",IF(OR(K4083="Unit", K4083=""), "", INDEX(LookUps!$E$5:$E$12, MATCH(OpenLCAbasic!K4083,LookUps!$D$5:$D$12,0))))</f>
        <v>Acidification Potential (AP) - kg SO2 eq</v>
      </c>
      <c r="M4083" s="154" t="str">
        <f t="shared" si="218"/>
        <v>High_High_High_Upgraded_Acidification Potential (AP) - kg SO2 eq_Gravity Belt Thickener; wastewater treatment unit; at updated plant - US_Without Amendment_Windrow</v>
      </c>
    </row>
    <row r="4084" spans="1:13" s="120" customFormat="1" x14ac:dyDescent="0.25">
      <c r="A4084" s="119"/>
      <c r="B4084" s="138" t="str">
        <f t="shared" si="225"/>
        <v>Windrow</v>
      </c>
      <c r="C4084" s="138" t="str">
        <f t="shared" si="220"/>
        <v>Without Amendment</v>
      </c>
      <c r="D4084" s="138" t="str">
        <f t="shared" si="226"/>
        <v>High_High</v>
      </c>
      <c r="E4084" s="138" t="str">
        <f t="shared" si="227"/>
        <v>High</v>
      </c>
      <c r="F4084" s="138" t="str">
        <f t="shared" si="228"/>
        <v>Upgraded</v>
      </c>
      <c r="G4084" s="153"/>
      <c r="H4084" s="210">
        <v>1.21E-2</v>
      </c>
      <c r="I4084" s="160" t="s">
        <v>59</v>
      </c>
      <c r="J4084" s="160">
        <v>5.1999999999999995E-4</v>
      </c>
      <c r="K4084" s="160" t="s">
        <v>24</v>
      </c>
      <c r="L4084" s="154" t="str">
        <f>IF(OpenLCAbasic!K4084="CTUh", "Fill in Manually",IF(OR(K4084="Unit", K4084=""), "", INDEX(LookUps!$E$5:$E$12, MATCH(OpenLCAbasic!K4084,LookUps!$D$5:$D$12,0))))</f>
        <v>Acidification Potential (AP) - kg SO2 eq</v>
      </c>
      <c r="M4084" s="154" t="str">
        <f t="shared" si="218"/>
        <v>High_High_High_Upgraded_Acidification Potential (AP) - kg SO2 eq_Blend Tank; wastewater treatment unit; at updated plant - US_Without Amendment_Windrow</v>
      </c>
    </row>
    <row r="4085" spans="1:13" s="120" customFormat="1" x14ac:dyDescent="0.25">
      <c r="A4085" s="119"/>
      <c r="B4085" s="138" t="str">
        <f t="shared" si="225"/>
        <v>Windrow</v>
      </c>
      <c r="C4085" s="138" t="str">
        <f t="shared" si="220"/>
        <v>Without Amendment</v>
      </c>
      <c r="D4085" s="138" t="str">
        <f t="shared" si="226"/>
        <v>High_High</v>
      </c>
      <c r="E4085" s="138" t="str">
        <f t="shared" si="227"/>
        <v>High</v>
      </c>
      <c r="F4085" s="138" t="str">
        <f t="shared" si="228"/>
        <v>Upgraded</v>
      </c>
      <c r="G4085" s="153"/>
      <c r="H4085" s="210">
        <v>8.2000000000000007E-3</v>
      </c>
      <c r="I4085" s="160" t="s">
        <v>48</v>
      </c>
      <c r="J4085" s="160">
        <v>3.5E-4</v>
      </c>
      <c r="K4085" s="160" t="s">
        <v>24</v>
      </c>
      <c r="L4085" s="154" t="str">
        <f>IF(OpenLCAbasic!K4085="CTUh", "Fill in Manually",IF(OR(K4085="Unit", K4085=""), "", INDEX(LookUps!$E$5:$E$12, MATCH(OpenLCAbasic!K4085,LookUps!$D$5:$D$12,0))))</f>
        <v>Acidification Potential (AP) - kg SO2 eq</v>
      </c>
      <c r="M4085" s="154" t="str">
        <f t="shared" si="218"/>
        <v>High_High_High_Upgraded_Acidification Potential (AP) - kg SO2 eq_Effluent release; wastewater treatment unit; at surface water; m3 wastewater - US_Without Amendment_Windrow</v>
      </c>
    </row>
    <row r="4086" spans="1:13" s="120" customFormat="1" x14ac:dyDescent="0.25">
      <c r="A4086" s="119"/>
      <c r="B4086" s="138" t="str">
        <f t="shared" si="225"/>
        <v>Windrow</v>
      </c>
      <c r="C4086" s="138" t="str">
        <f t="shared" si="220"/>
        <v>Without Amendment</v>
      </c>
      <c r="D4086" s="138" t="str">
        <f t="shared" si="226"/>
        <v>High_High</v>
      </c>
      <c r="E4086" s="138" t="str">
        <f t="shared" si="227"/>
        <v>High</v>
      </c>
      <c r="F4086" s="138" t="str">
        <f t="shared" si="228"/>
        <v>Upgraded</v>
      </c>
      <c r="G4086" s="153"/>
      <c r="H4086" s="210">
        <v>6.0000000000000001E-3</v>
      </c>
      <c r="I4086" s="160" t="s">
        <v>168</v>
      </c>
      <c r="J4086" s="160">
        <v>2.5999999999999998E-4</v>
      </c>
      <c r="K4086" s="160" t="s">
        <v>24</v>
      </c>
      <c r="L4086" s="154" t="str">
        <f>IF(OpenLCAbasic!K4086="CTUh", "Fill in Manually",IF(OR(K4086="Unit", K4086=""), "", INDEX(LookUps!$E$5:$E$12, MATCH(OpenLCAbasic!K4086,LookUps!$D$5:$D$12,0))))</f>
        <v>Acidification Potential (AP) - kg SO2 eq</v>
      </c>
      <c r="M4086" s="154" t="str">
        <f t="shared" si="218"/>
        <v>High_High_High_Upgraded_Acidification Potential (AP) - kg SO2 eq_ClearCove SCP; wastewater treatment unit; at updated plant - US_Without Amendment_Windrow</v>
      </c>
    </row>
    <row r="4087" spans="1:13" s="120" customFormat="1" x14ac:dyDescent="0.25">
      <c r="A4087" s="119"/>
      <c r="B4087" s="138" t="str">
        <f t="shared" si="225"/>
        <v>Windrow</v>
      </c>
      <c r="C4087" s="138" t="str">
        <f t="shared" si="220"/>
        <v>Without Amendment</v>
      </c>
      <c r="D4087" s="138" t="str">
        <f t="shared" si="226"/>
        <v>High_High</v>
      </c>
      <c r="E4087" s="138" t="str">
        <f t="shared" si="227"/>
        <v>High</v>
      </c>
      <c r="F4087" s="138" t="str">
        <f t="shared" si="228"/>
        <v>Upgraded</v>
      </c>
      <c r="G4087" s="153"/>
      <c r="H4087" s="210">
        <v>8.9999999999999998E-4</v>
      </c>
      <c r="I4087" s="160" t="s">
        <v>148</v>
      </c>
      <c r="J4087" s="211">
        <v>4.0354700000000002E-5</v>
      </c>
      <c r="K4087" s="160" t="s">
        <v>24</v>
      </c>
      <c r="L4087" s="154" t="str">
        <f>IF(OpenLCAbasic!K4087="CTUh", "Fill in Manually",IF(OR(K4087="Unit", K4087=""), "", INDEX(LookUps!$E$5:$E$12, MATCH(OpenLCAbasic!K4087,LookUps!$D$5:$D$12,0))))</f>
        <v>Acidification Potential (AP) - kg SO2 eq</v>
      </c>
      <c r="M4087" s="154" t="str">
        <f t="shared" si="218"/>
        <v>High_High_High_Upgraded_Acidification Potential (AP) - kg SO2 eq_Control Building; at upgraded wastewater treatment plant - US_Without Amendment_Windrow</v>
      </c>
    </row>
    <row r="4088" spans="1:13" s="120" customFormat="1" x14ac:dyDescent="0.25">
      <c r="A4088" s="119"/>
      <c r="B4088" s="138" t="str">
        <f t="shared" si="225"/>
        <v>Windrow</v>
      </c>
      <c r="C4088" s="138" t="str">
        <f t="shared" si="220"/>
        <v>Without Amendment</v>
      </c>
      <c r="D4088" s="138" t="str">
        <f t="shared" si="226"/>
        <v>High_High</v>
      </c>
      <c r="E4088" s="138" t="str">
        <f t="shared" si="227"/>
        <v>High</v>
      </c>
      <c r="F4088" s="138" t="str">
        <f t="shared" si="228"/>
        <v>Upgraded</v>
      </c>
      <c r="G4088" s="153"/>
      <c r="H4088" s="210">
        <v>-2.2787999999999999</v>
      </c>
      <c r="I4088" s="160" t="s">
        <v>149</v>
      </c>
      <c r="J4088" s="160">
        <v>-9.6839999999999996E-2</v>
      </c>
      <c r="K4088" s="160" t="s">
        <v>24</v>
      </c>
      <c r="L4088" s="154" t="str">
        <f>IF(OpenLCAbasic!K4088="CTUh", "Fill in Manually",IF(OR(K4088="Unit", K4088=""), "", INDEX(LookUps!$E$5:$E$12, MATCH(OpenLCAbasic!K4088,LookUps!$D$5:$D$12,0))))</f>
        <v>Acidification Potential (AP) - kg SO2 eq</v>
      </c>
      <c r="M4088" s="154" t="str">
        <f t="shared" si="218"/>
        <v>High_High_High_Upgraded_Acidification Potential (AP) - kg SO2 eq_Anaerobic Digestion; wastewater treatment unit; at updated plant - US_Without Amendment_Windrow</v>
      </c>
    </row>
    <row r="4089" spans="1:13" s="120" customFormat="1" x14ac:dyDescent="0.25">
      <c r="A4089" s="119"/>
      <c r="B4089" s="138" t="str">
        <f t="shared" si="225"/>
        <v/>
      </c>
      <c r="C4089" s="138" t="str">
        <f t="shared" si="220"/>
        <v/>
      </c>
      <c r="D4089" s="138" t="str">
        <f t="shared" si="226"/>
        <v/>
      </c>
      <c r="E4089" s="138" t="str">
        <f t="shared" si="227"/>
        <v/>
      </c>
      <c r="F4089" s="138" t="str">
        <f t="shared" si="228"/>
        <v/>
      </c>
      <c r="G4089" s="153" t="s">
        <v>51</v>
      </c>
      <c r="H4089" s="160"/>
      <c r="I4089" s="160" t="s">
        <v>47</v>
      </c>
      <c r="J4089" s="160" t="s">
        <v>52</v>
      </c>
      <c r="K4089" s="160" t="s">
        <v>27</v>
      </c>
      <c r="L4089" s="154" t="str">
        <f>IF(OpenLCAbasic!K4089="CTUh", "Fill in Manually",IF(OR(K4089="Unit", K4089=""), "", INDEX(LookUps!$E$5:$E$12, MATCH(OpenLCAbasic!K4089,LookUps!$D$5:$D$12,0))))</f>
        <v/>
      </c>
      <c r="M4089" s="154" t="str">
        <f t="shared" si="218"/>
        <v>____Process__</v>
      </c>
    </row>
    <row r="4090" spans="1:13" s="120" customFormat="1" x14ac:dyDescent="0.25">
      <c r="A4090" s="119"/>
      <c r="B4090" s="138" t="str">
        <f t="shared" si="225"/>
        <v>Windrow</v>
      </c>
      <c r="C4090" s="138" t="str">
        <f t="shared" si="220"/>
        <v>Without Amendment</v>
      </c>
      <c r="D4090" s="138" t="str">
        <f t="shared" si="226"/>
        <v>High_High</v>
      </c>
      <c r="E4090" s="138" t="str">
        <f t="shared" si="227"/>
        <v>High</v>
      </c>
      <c r="F4090" s="138" t="str">
        <f t="shared" si="228"/>
        <v>Upgraded</v>
      </c>
      <c r="G4090" s="153"/>
      <c r="H4090" s="210">
        <v>0.50600000000000001</v>
      </c>
      <c r="I4090" s="160" t="s">
        <v>167</v>
      </c>
      <c r="J4090" s="160">
        <v>5.1393399999999998</v>
      </c>
      <c r="K4090" s="160" t="s">
        <v>15</v>
      </c>
      <c r="L4090" s="154" t="str">
        <f>IF(OpenLCAbasic!K4090="CTUh", "Fill in Manually",IF(OR(K4090="Unit", K4090=""), "", INDEX(LookUps!$E$5:$E$12, MATCH(OpenLCAbasic!K4090,LookUps!$D$5:$D$12,0))))</f>
        <v>Cumulative Energy Demand (CED) - MJ</v>
      </c>
      <c r="M4090" s="154" t="str">
        <f t="shared" si="218"/>
        <v>High_High_High_Upgraded_Cumulative Energy Demand (CED) - MJ_Waste Receiving and Holding; wastewater treatment unit; at updated plant - US_Without Amendment_Windrow</v>
      </c>
    </row>
    <row r="4091" spans="1:13" s="120" customFormat="1" x14ac:dyDescent="0.25">
      <c r="A4091" s="119"/>
      <c r="B4091" s="138" t="str">
        <f t="shared" si="225"/>
        <v>Windrow</v>
      </c>
      <c r="C4091" s="138" t="str">
        <f t="shared" si="220"/>
        <v>Without Amendment</v>
      </c>
      <c r="D4091" s="138" t="str">
        <f t="shared" si="226"/>
        <v>High_High</v>
      </c>
      <c r="E4091" s="138" t="str">
        <f t="shared" si="227"/>
        <v>High</v>
      </c>
      <c r="F4091" s="138" t="str">
        <f t="shared" si="228"/>
        <v>Upgraded</v>
      </c>
      <c r="G4091" s="153"/>
      <c r="H4091" s="210">
        <v>0.3478</v>
      </c>
      <c r="I4091" s="160" t="s">
        <v>55</v>
      </c>
      <c r="J4091" s="160">
        <v>3.5330499999999998</v>
      </c>
      <c r="K4091" s="160" t="s">
        <v>15</v>
      </c>
      <c r="L4091" s="154" t="str">
        <f>IF(OpenLCAbasic!K4091="CTUh", "Fill in Manually",IF(OR(K4091="Unit", K4091=""), "", INDEX(LookUps!$E$5:$E$12, MATCH(OpenLCAbasic!K4091,LookUps!$D$5:$D$12,0))))</f>
        <v>Cumulative Energy Demand (CED) - MJ</v>
      </c>
      <c r="M4091" s="154" t="str">
        <f t="shared" si="218"/>
        <v>High_High_High_Upgraded_Cumulative Energy Demand (CED) - MJ_Aeration Tanks; wastewater treatment unit; at updated plant - US_Without Amendment_Windrow</v>
      </c>
    </row>
    <row r="4092" spans="1:13" s="120" customFormat="1" x14ac:dyDescent="0.25">
      <c r="A4092" s="119"/>
      <c r="B4092" s="138" t="str">
        <f t="shared" si="225"/>
        <v>Windrow</v>
      </c>
      <c r="C4092" s="138" t="str">
        <f t="shared" si="220"/>
        <v>Without Amendment</v>
      </c>
      <c r="D4092" s="138" t="str">
        <f t="shared" si="226"/>
        <v>High_High</v>
      </c>
      <c r="E4092" s="138" t="str">
        <f t="shared" si="227"/>
        <v>High</v>
      </c>
      <c r="F4092" s="138" t="str">
        <f t="shared" si="228"/>
        <v>Upgraded</v>
      </c>
      <c r="G4092" s="153"/>
      <c r="H4092" s="210">
        <v>0.1145</v>
      </c>
      <c r="I4092" s="160" t="s">
        <v>54</v>
      </c>
      <c r="J4092" s="160">
        <v>1.16289</v>
      </c>
      <c r="K4092" s="160" t="s">
        <v>15</v>
      </c>
      <c r="L4092" s="154" t="str">
        <f>IF(OpenLCAbasic!K4092="CTUh", "Fill in Manually",IF(OR(K4092="Unit", K4092=""), "", INDEX(LookUps!$E$5:$E$12, MATCH(OpenLCAbasic!K4092,LookUps!$D$5:$D$12,0))))</f>
        <v>Cumulative Energy Demand (CED) - MJ</v>
      </c>
      <c r="M4092" s="154" t="str">
        <f t="shared" si="218"/>
        <v>High_High_High_Upgraded_Cumulative Energy Demand (CED) - MJ_Clear Cove Primary Clarification; wastewater treatment unit; at updated plant - US_Without Amendment_Windrow</v>
      </c>
    </row>
    <row r="4093" spans="1:13" s="120" customFormat="1" x14ac:dyDescent="0.25">
      <c r="A4093" s="119"/>
      <c r="B4093" s="138" t="str">
        <f t="shared" si="225"/>
        <v>Windrow</v>
      </c>
      <c r="C4093" s="138" t="str">
        <f t="shared" si="220"/>
        <v>Without Amendment</v>
      </c>
      <c r="D4093" s="138" t="str">
        <f t="shared" si="226"/>
        <v>High_High</v>
      </c>
      <c r="E4093" s="138" t="str">
        <f t="shared" si="227"/>
        <v>High</v>
      </c>
      <c r="F4093" s="138" t="str">
        <f t="shared" si="228"/>
        <v>Upgraded</v>
      </c>
      <c r="G4093" s="153"/>
      <c r="H4093" s="210">
        <v>8.77E-2</v>
      </c>
      <c r="I4093" s="160" t="s">
        <v>58</v>
      </c>
      <c r="J4093" s="160">
        <v>0.89063999999999999</v>
      </c>
      <c r="K4093" s="160" t="s">
        <v>15</v>
      </c>
      <c r="L4093" s="154" t="str">
        <f>IF(OpenLCAbasic!K4093="CTUh", "Fill in Manually",IF(OR(K4093="Unit", K4093=""), "", INDEX(LookUps!$E$5:$E$12, MATCH(OpenLCAbasic!K4093,LookUps!$D$5:$D$12,0))))</f>
        <v>Cumulative Energy Demand (CED) - MJ</v>
      </c>
      <c r="M4093" s="154" t="str">
        <f t="shared" si="218"/>
        <v>High_High_High_Upgraded_Cumulative Energy Demand (CED) - MJ_Pre-Anoxic &amp; Swing tank; wastewater treatment unit; at updated plant - US_Without Amendment_Windrow</v>
      </c>
    </row>
    <row r="4094" spans="1:13" s="120" customFormat="1" x14ac:dyDescent="0.25">
      <c r="A4094" s="119"/>
      <c r="B4094" s="138" t="str">
        <f t="shared" si="225"/>
        <v>Windrow</v>
      </c>
      <c r="C4094" s="138" t="str">
        <f t="shared" si="220"/>
        <v>Without Amendment</v>
      </c>
      <c r="D4094" s="138" t="str">
        <f t="shared" si="226"/>
        <v>High_High</v>
      </c>
      <c r="E4094" s="138" t="str">
        <f t="shared" si="227"/>
        <v>High</v>
      </c>
      <c r="F4094" s="138" t="str">
        <f t="shared" si="228"/>
        <v>Upgraded</v>
      </c>
      <c r="G4094" s="153"/>
      <c r="H4094" s="210">
        <v>8.6900000000000005E-2</v>
      </c>
      <c r="I4094" s="160" t="s">
        <v>147</v>
      </c>
      <c r="J4094" s="160">
        <v>0.88297000000000003</v>
      </c>
      <c r="K4094" s="160" t="s">
        <v>15</v>
      </c>
      <c r="L4094" s="154" t="str">
        <f>IF(OpenLCAbasic!K4094="CTUh", "Fill in Manually",IF(OR(K4094="Unit", K4094=""), "", INDEX(LookUps!$E$5:$E$12, MATCH(OpenLCAbasic!K4094,LookUps!$D$5:$D$12,0))))</f>
        <v>Cumulative Energy Demand (CED) - MJ</v>
      </c>
      <c r="M4094" s="154" t="str">
        <f t="shared" si="218"/>
        <v>High_High_High_Upgraded_Cumulative Energy Demand (CED) - MJ_Influent Pump Station; wastewater treatment unit; at updated plant - US_Without Amendment_Windrow</v>
      </c>
    </row>
    <row r="4095" spans="1:13" s="120" customFormat="1" x14ac:dyDescent="0.25">
      <c r="A4095" s="119"/>
      <c r="B4095" s="138" t="str">
        <f t="shared" si="225"/>
        <v>Windrow</v>
      </c>
      <c r="C4095" s="138" t="str">
        <f t="shared" si="220"/>
        <v>Without Amendment</v>
      </c>
      <c r="D4095" s="138" t="str">
        <f t="shared" si="226"/>
        <v>High_High</v>
      </c>
      <c r="E4095" s="138" t="str">
        <f t="shared" si="227"/>
        <v>High</v>
      </c>
      <c r="F4095" s="138" t="str">
        <f t="shared" si="228"/>
        <v>Upgraded</v>
      </c>
      <c r="G4095" s="153"/>
      <c r="H4095" s="210">
        <v>6.8599999999999994E-2</v>
      </c>
      <c r="I4095" s="160" t="s">
        <v>53</v>
      </c>
      <c r="J4095" s="160">
        <v>0.69645000000000001</v>
      </c>
      <c r="K4095" s="160" t="s">
        <v>15</v>
      </c>
      <c r="L4095" s="154" t="str">
        <f>IF(OpenLCAbasic!K4095="CTUh", "Fill in Manually",IF(OR(K4095="Unit", K4095=""), "", INDEX(LookUps!$E$5:$E$12, MATCH(OpenLCAbasic!K4095,LookUps!$D$5:$D$12,0))))</f>
        <v>Cumulative Energy Demand (CED) - MJ</v>
      </c>
      <c r="M4095" s="154" t="str">
        <f t="shared" si="218"/>
        <v>High_High_High_Upgraded_Cumulative Energy Demand (CED) - MJ_Wet Well and Sump Station; wastewater treatment unit; at updated plant - US_Without Amendment_Windrow</v>
      </c>
    </row>
    <row r="4096" spans="1:13" s="120" customFormat="1" x14ac:dyDescent="0.25">
      <c r="A4096" s="119"/>
      <c r="B4096" s="138" t="str">
        <f t="shared" si="225"/>
        <v>Windrow</v>
      </c>
      <c r="C4096" s="138" t="str">
        <f t="shared" si="220"/>
        <v>Without Amendment</v>
      </c>
      <c r="D4096" s="138" t="str">
        <f t="shared" si="226"/>
        <v>High_High</v>
      </c>
      <c r="E4096" s="138" t="str">
        <f t="shared" si="227"/>
        <v>High</v>
      </c>
      <c r="F4096" s="138" t="str">
        <f t="shared" si="228"/>
        <v>Upgraded</v>
      </c>
      <c r="G4096" s="153"/>
      <c r="H4096" s="210">
        <v>5.0799999999999998E-2</v>
      </c>
      <c r="I4096" s="160" t="s">
        <v>60</v>
      </c>
      <c r="J4096" s="160">
        <v>0.51639000000000002</v>
      </c>
      <c r="K4096" s="160" t="s">
        <v>15</v>
      </c>
      <c r="L4096" s="154" t="str">
        <f>IF(OpenLCAbasic!K4096="CTUh", "Fill in Manually",IF(OR(K4096="Unit", K4096=""), "", INDEX(LookUps!$E$5:$E$12, MATCH(OpenLCAbasic!K4096,LookUps!$D$5:$D$12,0))))</f>
        <v>Cumulative Energy Demand (CED) - MJ</v>
      </c>
      <c r="M4096" s="154" t="str">
        <f t="shared" si="218"/>
        <v>High_High_High_Upgraded_Cumulative Energy Demand (CED) - MJ_Belt filter press; wastewater treatment unit; at updated plant - US_Without Amendment_Windrow</v>
      </c>
    </row>
    <row r="4097" spans="1:13" s="120" customFormat="1" x14ac:dyDescent="0.25">
      <c r="A4097" s="119"/>
      <c r="B4097" s="138" t="str">
        <f t="shared" si="225"/>
        <v>Windrow</v>
      </c>
      <c r="C4097" s="138" t="str">
        <f t="shared" si="220"/>
        <v>Without Amendment</v>
      </c>
      <c r="D4097" s="138" t="str">
        <f t="shared" si="226"/>
        <v>High_High</v>
      </c>
      <c r="E4097" s="138" t="str">
        <f t="shared" si="227"/>
        <v>High</v>
      </c>
      <c r="F4097" s="138" t="str">
        <f t="shared" si="228"/>
        <v>Upgraded</v>
      </c>
      <c r="G4097" s="153"/>
      <c r="H4097" s="210">
        <v>3.2899999999999999E-2</v>
      </c>
      <c r="I4097" s="160" t="s">
        <v>57</v>
      </c>
      <c r="J4097" s="160">
        <v>0.33404</v>
      </c>
      <c r="K4097" s="160" t="s">
        <v>15</v>
      </c>
      <c r="L4097" s="154" t="str">
        <f>IF(OpenLCAbasic!K4097="CTUh", "Fill in Manually",IF(OR(K4097="Unit", K4097=""), "", INDEX(LookUps!$E$5:$E$12, MATCH(OpenLCAbasic!K4097,LookUps!$D$5:$D$12,0))))</f>
        <v>Cumulative Energy Demand (CED) - MJ</v>
      </c>
      <c r="M4097" s="154" t="str">
        <f t="shared" si="218"/>
        <v>High_High_High_Upgraded_Cumulative Energy Demand (CED) - MJ_Gravity Belt Thickener; wastewater treatment unit; at updated plant - US_Without Amendment_Windrow</v>
      </c>
    </row>
    <row r="4098" spans="1:13" s="120" customFormat="1" x14ac:dyDescent="0.25">
      <c r="A4098" s="119"/>
      <c r="B4098" s="138" t="str">
        <f t="shared" si="225"/>
        <v>Windrow</v>
      </c>
      <c r="C4098" s="138" t="str">
        <f t="shared" si="220"/>
        <v>Without Amendment</v>
      </c>
      <c r="D4098" s="138" t="str">
        <f t="shared" si="226"/>
        <v>High_High</v>
      </c>
      <c r="E4098" s="138" t="str">
        <f t="shared" si="227"/>
        <v>High</v>
      </c>
      <c r="F4098" s="138" t="str">
        <f t="shared" si="228"/>
        <v>Upgraded</v>
      </c>
      <c r="G4098" s="153"/>
      <c r="H4098" s="210">
        <v>2.52E-2</v>
      </c>
      <c r="I4098" s="160" t="s">
        <v>128</v>
      </c>
      <c r="J4098" s="160">
        <v>0.25606000000000001</v>
      </c>
      <c r="K4098" s="160" t="s">
        <v>15</v>
      </c>
      <c r="L4098" s="154" t="str">
        <f>IF(OpenLCAbasic!K4098="CTUh", "Fill in Manually",IF(OR(K4098="Unit", K4098=""), "", INDEX(LookUps!$E$5:$E$12, MATCH(OpenLCAbasic!K4098,LookUps!$D$5:$D$12,0))))</f>
        <v>Cumulative Energy Demand (CED) - MJ</v>
      </c>
      <c r="M4098" s="154" t="str">
        <f t="shared" si="218"/>
        <v>High_High_High_Upgraded_Cumulative Energy Demand (CED) - MJ_Wastewater collection; operation and infrastructure; m3 wastewater_Without Amendment_Windrow</v>
      </c>
    </row>
    <row r="4099" spans="1:13" s="120" customFormat="1" x14ac:dyDescent="0.25">
      <c r="A4099" s="119"/>
      <c r="B4099" s="138" t="str">
        <f t="shared" si="225"/>
        <v>Windrow</v>
      </c>
      <c r="C4099" s="138" t="str">
        <f t="shared" si="220"/>
        <v>Without Amendment</v>
      </c>
      <c r="D4099" s="138" t="str">
        <f t="shared" si="226"/>
        <v>High_High</v>
      </c>
      <c r="E4099" s="138" t="str">
        <f t="shared" si="227"/>
        <v>High</v>
      </c>
      <c r="F4099" s="138" t="str">
        <f t="shared" si="228"/>
        <v>Upgraded</v>
      </c>
      <c r="G4099" s="153"/>
      <c r="H4099" s="210">
        <v>1.44E-2</v>
      </c>
      <c r="I4099" s="160" t="s">
        <v>148</v>
      </c>
      <c r="J4099" s="160">
        <v>0.14599000000000001</v>
      </c>
      <c r="K4099" s="160" t="s">
        <v>15</v>
      </c>
      <c r="L4099" s="154" t="str">
        <f>IF(OpenLCAbasic!K4099="CTUh", "Fill in Manually",IF(OR(K4099="Unit", K4099=""), "", INDEX(LookUps!$E$5:$E$12, MATCH(OpenLCAbasic!K4099,LookUps!$D$5:$D$12,0))))</f>
        <v>Cumulative Energy Demand (CED) - MJ</v>
      </c>
      <c r="M4099" s="154" t="str">
        <f t="shared" si="218"/>
        <v>High_High_High_Upgraded_Cumulative Energy Demand (CED) - MJ_Control Building; at upgraded wastewater treatment plant - US_Without Amendment_Windrow</v>
      </c>
    </row>
    <row r="4100" spans="1:13" s="120" customFormat="1" x14ac:dyDescent="0.25">
      <c r="A4100" s="119"/>
      <c r="B4100" s="138" t="str">
        <f t="shared" ref="B4100:B4163" si="229">IF(F4100="Legacy","n.a.",IF(F4100="","","Windrow"))</f>
        <v>Windrow</v>
      </c>
      <c r="C4100" s="138" t="str">
        <f t="shared" si="220"/>
        <v>Without Amendment</v>
      </c>
      <c r="D4100" s="138" t="str">
        <f t="shared" si="226"/>
        <v>High_High</v>
      </c>
      <c r="E4100" s="138" t="str">
        <f t="shared" si="227"/>
        <v>High</v>
      </c>
      <c r="F4100" s="138" t="str">
        <f t="shared" ref="F4100:F4163" si="230">IF(ISNUMBER(J4100),"Upgraded","")</f>
        <v>Upgraded</v>
      </c>
      <c r="G4100" s="153"/>
      <c r="H4100" s="210">
        <v>1.3100000000000001E-2</v>
      </c>
      <c r="I4100" s="160" t="s">
        <v>48</v>
      </c>
      <c r="J4100" s="160">
        <v>0.13321</v>
      </c>
      <c r="K4100" s="160" t="s">
        <v>15</v>
      </c>
      <c r="L4100" s="154" t="str">
        <f>IF(OpenLCAbasic!K4100="CTUh", "Fill in Manually",IF(OR(K4100="Unit", K4100=""), "", INDEX(LookUps!$E$5:$E$12, MATCH(OpenLCAbasic!K4100,LookUps!$D$5:$D$12,0))))</f>
        <v>Cumulative Energy Demand (CED) - MJ</v>
      </c>
      <c r="M4100" s="154" t="str">
        <f t="shared" si="218"/>
        <v>High_High_High_Upgraded_Cumulative Energy Demand (CED) - MJ_Effluent release; wastewater treatment unit; at surface water; m3 wastewater - US_Without Amendment_Windrow</v>
      </c>
    </row>
    <row r="4101" spans="1:13" s="120" customFormat="1" x14ac:dyDescent="0.25">
      <c r="A4101" s="119"/>
      <c r="B4101" s="138" t="str">
        <f t="shared" si="229"/>
        <v>Windrow</v>
      </c>
      <c r="C4101" s="138" t="str">
        <f t="shared" si="220"/>
        <v>Without Amendment</v>
      </c>
      <c r="D4101" s="138" t="str">
        <f t="shared" si="226"/>
        <v>High_High</v>
      </c>
      <c r="E4101" s="138" t="str">
        <f t="shared" si="227"/>
        <v>High</v>
      </c>
      <c r="F4101" s="138" t="str">
        <f t="shared" si="230"/>
        <v>Upgraded</v>
      </c>
      <c r="G4101" s="153"/>
      <c r="H4101" s="210">
        <v>1.0500000000000001E-2</v>
      </c>
      <c r="I4101" s="160" t="s">
        <v>59</v>
      </c>
      <c r="J4101" s="160">
        <v>0.10638</v>
      </c>
      <c r="K4101" s="160" t="s">
        <v>15</v>
      </c>
      <c r="L4101" s="154" t="str">
        <f>IF(OpenLCAbasic!K4101="CTUh", "Fill in Manually",IF(OR(K4101="Unit", K4101=""), "", INDEX(LookUps!$E$5:$E$12, MATCH(OpenLCAbasic!K4101,LookUps!$D$5:$D$12,0))))</f>
        <v>Cumulative Energy Demand (CED) - MJ</v>
      </c>
      <c r="M4101" s="154" t="str">
        <f t="shared" si="218"/>
        <v>High_High_High_Upgraded_Cumulative Energy Demand (CED) - MJ_Blend Tank; wastewater treatment unit; at updated plant - US_Without Amendment_Windrow</v>
      </c>
    </row>
    <row r="4102" spans="1:13" s="120" customFormat="1" x14ac:dyDescent="0.25">
      <c r="A4102" s="119"/>
      <c r="B4102" s="138" t="str">
        <f t="shared" si="229"/>
        <v>Windrow</v>
      </c>
      <c r="C4102" s="138" t="str">
        <f t="shared" si="220"/>
        <v>Without Amendment</v>
      </c>
      <c r="D4102" s="138" t="str">
        <f t="shared" si="226"/>
        <v>High_High</v>
      </c>
      <c r="E4102" s="138" t="str">
        <f t="shared" si="227"/>
        <v>High</v>
      </c>
      <c r="F4102" s="138" t="str">
        <f t="shared" si="230"/>
        <v>Upgraded</v>
      </c>
      <c r="G4102" s="153"/>
      <c r="H4102" s="210">
        <v>5.0000000000000001E-3</v>
      </c>
      <c r="I4102" s="160" t="s">
        <v>168</v>
      </c>
      <c r="J4102" s="160">
        <v>5.0930000000000003E-2</v>
      </c>
      <c r="K4102" s="160" t="s">
        <v>15</v>
      </c>
      <c r="L4102" s="154" t="str">
        <f>IF(OpenLCAbasic!K4102="CTUh", "Fill in Manually",IF(OR(K4102="Unit", K4102=""), "", INDEX(LookUps!$E$5:$E$12, MATCH(OpenLCAbasic!K4102,LookUps!$D$5:$D$12,0))))</f>
        <v>Cumulative Energy Demand (CED) - MJ</v>
      </c>
      <c r="M4102" s="154" t="str">
        <f t="shared" si="218"/>
        <v>High_High_High_Upgraded_Cumulative Energy Demand (CED) - MJ_ClearCove SCP; wastewater treatment unit; at updated plant - US_Without Amendment_Windrow</v>
      </c>
    </row>
    <row r="4103" spans="1:13" s="120" customFormat="1" x14ac:dyDescent="0.25">
      <c r="A4103" s="119"/>
      <c r="B4103" s="138" t="str">
        <f t="shared" si="229"/>
        <v>Windrow</v>
      </c>
      <c r="C4103" s="138" t="str">
        <f t="shared" si="220"/>
        <v>Without Amendment</v>
      </c>
      <c r="D4103" s="138" t="str">
        <f t="shared" si="226"/>
        <v>High_High</v>
      </c>
      <c r="E4103" s="138" t="str">
        <f t="shared" si="227"/>
        <v>High</v>
      </c>
      <c r="F4103" s="138" t="str">
        <f t="shared" si="230"/>
        <v>Upgraded</v>
      </c>
      <c r="G4103" s="153"/>
      <c r="H4103" s="210">
        <v>3.3E-3</v>
      </c>
      <c r="I4103" s="160" t="s">
        <v>271</v>
      </c>
      <c r="J4103" s="160">
        <v>3.3840000000000002E-2</v>
      </c>
      <c r="K4103" s="160" t="s">
        <v>15</v>
      </c>
      <c r="L4103" s="154" t="str">
        <f>IF(OpenLCAbasic!K4103="CTUh", "Fill in Manually",IF(OR(K4103="Unit", K4103=""), "", INDEX(LookUps!$E$5:$E$12, MATCH(OpenLCAbasic!K4103,LookUps!$D$5:$D$12,0))))</f>
        <v>Cumulative Energy Demand (CED) - MJ</v>
      </c>
      <c r="M4103" s="154" t="str">
        <f t="shared" ref="M4103:M4166" si="231">CONCATENATE(E4103,"_",D4103,"_",F4103,"_",L4103, "_",I4103,"_", C4103,"_", B4103)</f>
        <v>High_High_High_Upgraded_Cumulative Energy Demand (CED) - MJ_Biosolids composting; windrow composting; wastewater treatment unit; at updated plant - US_Without Amendment_Windrow</v>
      </c>
    </row>
    <row r="4104" spans="1:13" s="120" customFormat="1" x14ac:dyDescent="0.25">
      <c r="A4104" s="119"/>
      <c r="B4104" s="138" t="str">
        <f t="shared" si="229"/>
        <v>Windrow</v>
      </c>
      <c r="C4104" s="138" t="str">
        <f t="shared" si="220"/>
        <v>Without Amendment</v>
      </c>
      <c r="D4104" s="138" t="str">
        <f t="shared" si="226"/>
        <v>High_High</v>
      </c>
      <c r="E4104" s="138" t="str">
        <f t="shared" si="227"/>
        <v>High</v>
      </c>
      <c r="F4104" s="138" t="str">
        <f t="shared" si="230"/>
        <v>Upgraded</v>
      </c>
      <c r="G4104" s="153"/>
      <c r="H4104" s="210">
        <v>-4.65E-2</v>
      </c>
      <c r="I4104" s="160" t="s">
        <v>62</v>
      </c>
      <c r="J4104" s="160">
        <v>-0.47189999999999999</v>
      </c>
      <c r="K4104" s="160" t="s">
        <v>15</v>
      </c>
      <c r="L4104" s="154" t="str">
        <f>IF(OpenLCAbasic!K4104="CTUh", "Fill in Manually",IF(OR(K4104="Unit", K4104=""), "", INDEX(LookUps!$E$5:$E$12, MATCH(OpenLCAbasic!K4104,LookUps!$D$5:$D$12,0))))</f>
        <v>Cumulative Energy Demand (CED) - MJ</v>
      </c>
      <c r="M4104" s="154" t="str">
        <f t="shared" si="231"/>
        <v>High_High_High_Upgraded_Cumulative Energy Demand (CED) - MJ_Land application of compost; wastewater treatment unit; at updated plant - US_Without Amendment_Windrow</v>
      </c>
    </row>
    <row r="4105" spans="1:13" s="120" customFormat="1" x14ac:dyDescent="0.25">
      <c r="A4105" s="119"/>
      <c r="B4105" s="138" t="str">
        <f t="shared" si="229"/>
        <v>Windrow</v>
      </c>
      <c r="C4105" s="138" t="str">
        <f t="shared" si="220"/>
        <v>Without Amendment</v>
      </c>
      <c r="D4105" s="138" t="str">
        <f t="shared" si="226"/>
        <v>High_High</v>
      </c>
      <c r="E4105" s="138" t="str">
        <f t="shared" si="227"/>
        <v>High</v>
      </c>
      <c r="F4105" s="138" t="str">
        <f t="shared" si="230"/>
        <v>Upgraded</v>
      </c>
      <c r="G4105" s="153"/>
      <c r="H4105" s="210">
        <v>-2.3203</v>
      </c>
      <c r="I4105" s="160" t="s">
        <v>149</v>
      </c>
      <c r="J4105" s="160">
        <v>-23.56711</v>
      </c>
      <c r="K4105" s="160" t="s">
        <v>15</v>
      </c>
      <c r="L4105" s="154" t="str">
        <f>IF(OpenLCAbasic!K4105="CTUh", "Fill in Manually",IF(OR(K4105="Unit", K4105=""), "", INDEX(LookUps!$E$5:$E$12, MATCH(OpenLCAbasic!K4105,LookUps!$D$5:$D$12,0))))</f>
        <v>Cumulative Energy Demand (CED) - MJ</v>
      </c>
      <c r="M4105" s="154" t="str">
        <f t="shared" si="231"/>
        <v>High_High_High_Upgraded_Cumulative Energy Demand (CED) - MJ_Anaerobic Digestion; wastewater treatment unit; at updated plant - US_Without Amendment_Windrow</v>
      </c>
    </row>
    <row r="4106" spans="1:13" s="120" customFormat="1" x14ac:dyDescent="0.25">
      <c r="A4106" s="119"/>
      <c r="B4106" s="138" t="str">
        <f t="shared" si="229"/>
        <v/>
      </c>
      <c r="C4106" s="138" t="str">
        <f t="shared" si="220"/>
        <v/>
      </c>
      <c r="D4106" s="138" t="str">
        <f t="shared" si="226"/>
        <v/>
      </c>
      <c r="E4106" s="138" t="str">
        <f t="shared" si="227"/>
        <v/>
      </c>
      <c r="F4106" s="138" t="str">
        <f t="shared" si="230"/>
        <v/>
      </c>
      <c r="G4106" s="153" t="s">
        <v>51</v>
      </c>
      <c r="H4106" s="160"/>
      <c r="I4106" s="160" t="s">
        <v>47</v>
      </c>
      <c r="J4106" s="160" t="s">
        <v>52</v>
      </c>
      <c r="K4106" s="160" t="s">
        <v>27</v>
      </c>
      <c r="L4106" s="154" t="str">
        <f>IF(OpenLCAbasic!K4106="CTUh", "Fill in Manually",IF(OR(K4106="Unit", K4106=""), "", INDEX(LookUps!$E$5:$E$12, MATCH(OpenLCAbasic!K4106,LookUps!$D$5:$D$12,0))))</f>
        <v/>
      </c>
      <c r="M4106" s="154" t="str">
        <f t="shared" si="231"/>
        <v>____Process__</v>
      </c>
    </row>
    <row r="4107" spans="1:13" s="120" customFormat="1" x14ac:dyDescent="0.25">
      <c r="A4107" s="119"/>
      <c r="B4107" s="138" t="str">
        <f t="shared" si="229"/>
        <v>Windrow</v>
      </c>
      <c r="C4107" s="138" t="str">
        <f t="shared" si="220"/>
        <v>Without Amendment</v>
      </c>
      <c r="D4107" s="138" t="str">
        <f t="shared" si="226"/>
        <v>High_High</v>
      </c>
      <c r="E4107" s="138" t="str">
        <f t="shared" si="227"/>
        <v>High</v>
      </c>
      <c r="F4107" s="138" t="str">
        <f t="shared" si="230"/>
        <v>Upgraded</v>
      </c>
      <c r="G4107" s="153"/>
      <c r="H4107" s="210">
        <v>0.86929999999999996</v>
      </c>
      <c r="I4107" s="160" t="s">
        <v>48</v>
      </c>
      <c r="J4107" s="160">
        <v>1.1610000000000001E-2</v>
      </c>
      <c r="K4107" s="160" t="s">
        <v>13</v>
      </c>
      <c r="L4107" s="154" t="str">
        <f>IF(OpenLCAbasic!K4107="CTUh", "Fill in Manually",IF(OR(K4107="Unit", K4107=""), "", INDEX(LookUps!$E$5:$E$12, MATCH(OpenLCAbasic!K4107,LookUps!$D$5:$D$12,0))))</f>
        <v>Eutrophication Potential (EP) - kg N eq</v>
      </c>
      <c r="M4107" s="154" t="str">
        <f t="shared" si="231"/>
        <v>High_High_High_Upgraded_Eutrophication Potential (EP) - kg N eq_Effluent release; wastewater treatment unit; at surface water; m3 wastewater - US_Without Amendment_Windrow</v>
      </c>
    </row>
    <row r="4108" spans="1:13" s="120" customFormat="1" x14ac:dyDescent="0.25">
      <c r="A4108" s="119"/>
      <c r="B4108" s="138" t="str">
        <f t="shared" si="229"/>
        <v>Windrow</v>
      </c>
      <c r="C4108" s="138" t="str">
        <f t="shared" si="220"/>
        <v>Without Amendment</v>
      </c>
      <c r="D4108" s="138" t="str">
        <f t="shared" si="226"/>
        <v>High_High</v>
      </c>
      <c r="E4108" s="138" t="str">
        <f t="shared" si="227"/>
        <v>High</v>
      </c>
      <c r="F4108" s="138" t="str">
        <f t="shared" si="230"/>
        <v>Upgraded</v>
      </c>
      <c r="G4108" s="153"/>
      <c r="H4108" s="210">
        <v>0.1663</v>
      </c>
      <c r="I4108" s="160" t="s">
        <v>62</v>
      </c>
      <c r="J4108" s="160">
        <v>2.2200000000000002E-3</v>
      </c>
      <c r="K4108" s="160" t="s">
        <v>13</v>
      </c>
      <c r="L4108" s="154" t="str">
        <f>IF(OpenLCAbasic!K4108="CTUh", "Fill in Manually",IF(OR(K4108="Unit", K4108=""), "", INDEX(LookUps!$E$5:$E$12, MATCH(OpenLCAbasic!K4108,LookUps!$D$5:$D$12,0))))</f>
        <v>Eutrophication Potential (EP) - kg N eq</v>
      </c>
      <c r="M4108" s="154" t="str">
        <f t="shared" si="231"/>
        <v>High_High_High_Upgraded_Eutrophication Potential (EP) - kg N eq_Land application of compost; wastewater treatment unit; at updated plant - US_Without Amendment_Windrow</v>
      </c>
    </row>
    <row r="4109" spans="1:13" s="120" customFormat="1" x14ac:dyDescent="0.25">
      <c r="A4109" s="119"/>
      <c r="B4109" s="138" t="str">
        <f t="shared" si="229"/>
        <v>Windrow</v>
      </c>
      <c r="C4109" s="138" t="str">
        <f t="shared" si="220"/>
        <v>Without Amendment</v>
      </c>
      <c r="D4109" s="138" t="str">
        <f t="shared" si="226"/>
        <v>High_High</v>
      </c>
      <c r="E4109" s="138" t="str">
        <f t="shared" si="227"/>
        <v>High</v>
      </c>
      <c r="F4109" s="138" t="str">
        <f t="shared" si="230"/>
        <v>Upgraded</v>
      </c>
      <c r="G4109" s="153"/>
      <c r="H4109" s="210">
        <v>5.8299999999999998E-2</v>
      </c>
      <c r="I4109" s="160" t="s">
        <v>271</v>
      </c>
      <c r="J4109" s="160">
        <v>7.7999999999999999E-4</v>
      </c>
      <c r="K4109" s="160" t="s">
        <v>13</v>
      </c>
      <c r="L4109" s="154" t="str">
        <f>IF(OpenLCAbasic!K4109="CTUh", "Fill in Manually",IF(OR(K4109="Unit", K4109=""), "", INDEX(LookUps!$E$5:$E$12, MATCH(OpenLCAbasic!K4109,LookUps!$D$5:$D$12,0))))</f>
        <v>Eutrophication Potential (EP) - kg N eq</v>
      </c>
      <c r="M4109" s="154" t="str">
        <f t="shared" si="231"/>
        <v>High_High_High_Upgraded_Eutrophication Potential (EP) - kg N eq_Biosolids composting; windrow composting; wastewater treatment unit; at updated plant - US_Without Amendment_Windrow</v>
      </c>
    </row>
    <row r="4110" spans="1:13" s="120" customFormat="1" x14ac:dyDescent="0.25">
      <c r="A4110" s="119"/>
      <c r="B4110" s="138" t="str">
        <f t="shared" si="229"/>
        <v>Windrow</v>
      </c>
      <c r="C4110" s="138" t="str">
        <f t="shared" si="220"/>
        <v>Without Amendment</v>
      </c>
      <c r="D4110" s="138" t="str">
        <f t="shared" si="226"/>
        <v>High_High</v>
      </c>
      <c r="E4110" s="138" t="str">
        <f t="shared" si="227"/>
        <v>High</v>
      </c>
      <c r="F4110" s="138" t="str">
        <f t="shared" si="230"/>
        <v>Upgraded</v>
      </c>
      <c r="G4110" s="153"/>
      <c r="H4110" s="210">
        <v>4.0899999999999999E-2</v>
      </c>
      <c r="I4110" s="160" t="s">
        <v>55</v>
      </c>
      <c r="J4110" s="160">
        <v>5.5000000000000003E-4</v>
      </c>
      <c r="K4110" s="160" t="s">
        <v>13</v>
      </c>
      <c r="L4110" s="154" t="str">
        <f>IF(OpenLCAbasic!K4110="CTUh", "Fill in Manually",IF(OR(K4110="Unit", K4110=""), "", INDEX(LookUps!$E$5:$E$12, MATCH(OpenLCAbasic!K4110,LookUps!$D$5:$D$12,0))))</f>
        <v>Eutrophication Potential (EP) - kg N eq</v>
      </c>
      <c r="M4110" s="154" t="str">
        <f t="shared" si="231"/>
        <v>High_High_High_Upgraded_Eutrophication Potential (EP) - kg N eq_Aeration Tanks; wastewater treatment unit; at updated plant - US_Without Amendment_Windrow</v>
      </c>
    </row>
    <row r="4111" spans="1:13" s="120" customFormat="1" x14ac:dyDescent="0.25">
      <c r="A4111" s="119"/>
      <c r="B4111" s="138" t="str">
        <f t="shared" si="229"/>
        <v>Windrow</v>
      </c>
      <c r="C4111" s="138" t="str">
        <f t="shared" si="220"/>
        <v>Without Amendment</v>
      </c>
      <c r="D4111" s="138" t="str">
        <f t="shared" si="226"/>
        <v>High_High</v>
      </c>
      <c r="E4111" s="138" t="str">
        <f t="shared" si="227"/>
        <v>High</v>
      </c>
      <c r="F4111" s="138" t="str">
        <f t="shared" si="230"/>
        <v>Upgraded</v>
      </c>
      <c r="G4111" s="153"/>
      <c r="H4111" s="210">
        <v>1.8700000000000001E-2</v>
      </c>
      <c r="I4111" s="160" t="s">
        <v>147</v>
      </c>
      <c r="J4111" s="160">
        <v>2.5000000000000001E-4</v>
      </c>
      <c r="K4111" s="160" t="s">
        <v>13</v>
      </c>
      <c r="L4111" s="154" t="str">
        <f>IF(OpenLCAbasic!K4111="CTUh", "Fill in Manually",IF(OR(K4111="Unit", K4111=""), "", INDEX(LookUps!$E$5:$E$12, MATCH(OpenLCAbasic!K4111,LookUps!$D$5:$D$12,0))))</f>
        <v>Eutrophication Potential (EP) - kg N eq</v>
      </c>
      <c r="M4111" s="154" t="str">
        <f t="shared" si="231"/>
        <v>High_High_High_Upgraded_Eutrophication Potential (EP) - kg N eq_Influent Pump Station; wastewater treatment unit; at updated plant - US_Without Amendment_Windrow</v>
      </c>
    </row>
    <row r="4112" spans="1:13" s="120" customFormat="1" x14ac:dyDescent="0.25">
      <c r="A4112" s="119"/>
      <c r="B4112" s="138" t="str">
        <f t="shared" si="229"/>
        <v>Windrow</v>
      </c>
      <c r="C4112" s="138" t="str">
        <f t="shared" si="220"/>
        <v>Without Amendment</v>
      </c>
      <c r="D4112" s="138" t="str">
        <f t="shared" si="226"/>
        <v>High_High</v>
      </c>
      <c r="E4112" s="138" t="str">
        <f t="shared" si="227"/>
        <v>High</v>
      </c>
      <c r="F4112" s="138" t="str">
        <f t="shared" si="230"/>
        <v>Upgraded</v>
      </c>
      <c r="G4112" s="153"/>
      <c r="H4112" s="210">
        <v>1.6500000000000001E-2</v>
      </c>
      <c r="I4112" s="160" t="s">
        <v>167</v>
      </c>
      <c r="J4112" s="160">
        <v>2.2000000000000001E-4</v>
      </c>
      <c r="K4112" s="160" t="s">
        <v>13</v>
      </c>
      <c r="L4112" s="154" t="str">
        <f>IF(OpenLCAbasic!K4112="CTUh", "Fill in Manually",IF(OR(K4112="Unit", K4112=""), "", INDEX(LookUps!$E$5:$E$12, MATCH(OpenLCAbasic!K4112,LookUps!$D$5:$D$12,0))))</f>
        <v>Eutrophication Potential (EP) - kg N eq</v>
      </c>
      <c r="M4112" s="154" t="str">
        <f t="shared" si="231"/>
        <v>High_High_High_Upgraded_Eutrophication Potential (EP) - kg N eq_Waste Receiving and Holding; wastewater treatment unit; at updated plant - US_Without Amendment_Windrow</v>
      </c>
    </row>
    <row r="4113" spans="1:13" s="120" customFormat="1" x14ac:dyDescent="0.25">
      <c r="A4113" s="119"/>
      <c r="B4113" s="138" t="str">
        <f t="shared" si="229"/>
        <v>Windrow</v>
      </c>
      <c r="C4113" s="138" t="str">
        <f t="shared" si="220"/>
        <v>Without Amendment</v>
      </c>
      <c r="D4113" s="138" t="str">
        <f t="shared" si="226"/>
        <v>High_High</v>
      </c>
      <c r="E4113" s="138" t="str">
        <f t="shared" si="227"/>
        <v>High</v>
      </c>
      <c r="F4113" s="138" t="str">
        <f t="shared" si="230"/>
        <v>Upgraded</v>
      </c>
      <c r="G4113" s="153"/>
      <c r="H4113" s="210">
        <v>1.4800000000000001E-2</v>
      </c>
      <c r="I4113" s="160" t="s">
        <v>54</v>
      </c>
      <c r="J4113" s="160">
        <v>2.0000000000000001E-4</v>
      </c>
      <c r="K4113" s="160" t="s">
        <v>13</v>
      </c>
      <c r="L4113" s="154" t="str">
        <f>IF(OpenLCAbasic!K4113="CTUh", "Fill in Manually",IF(OR(K4113="Unit", K4113=""), "", INDEX(LookUps!$E$5:$E$12, MATCH(OpenLCAbasic!K4113,LookUps!$D$5:$D$12,0))))</f>
        <v>Eutrophication Potential (EP) - kg N eq</v>
      </c>
      <c r="M4113" s="154" t="str">
        <f t="shared" si="231"/>
        <v>High_High_High_Upgraded_Eutrophication Potential (EP) - kg N eq_Clear Cove Primary Clarification; wastewater treatment unit; at updated plant - US_Without Amendment_Windrow</v>
      </c>
    </row>
    <row r="4114" spans="1:13" s="120" customFormat="1" x14ac:dyDescent="0.25">
      <c r="A4114" s="119"/>
      <c r="B4114" s="138" t="str">
        <f t="shared" si="229"/>
        <v>Windrow</v>
      </c>
      <c r="C4114" s="138" t="str">
        <f t="shared" si="220"/>
        <v>Without Amendment</v>
      </c>
      <c r="D4114" s="138" t="str">
        <f t="shared" si="226"/>
        <v>High_High</v>
      </c>
      <c r="E4114" s="138" t="str">
        <f t="shared" si="227"/>
        <v>High</v>
      </c>
      <c r="F4114" s="138" t="str">
        <f t="shared" si="230"/>
        <v>Upgraded</v>
      </c>
      <c r="G4114" s="153"/>
      <c r="H4114" s="210">
        <v>1.0200000000000001E-2</v>
      </c>
      <c r="I4114" s="160" t="s">
        <v>58</v>
      </c>
      <c r="J4114" s="160">
        <v>1.3999999999999999E-4</v>
      </c>
      <c r="K4114" s="160" t="s">
        <v>13</v>
      </c>
      <c r="L4114" s="154" t="str">
        <f>IF(OpenLCAbasic!K4114="CTUh", "Fill in Manually",IF(OR(K4114="Unit", K4114=""), "", INDEX(LookUps!$E$5:$E$12, MATCH(OpenLCAbasic!K4114,LookUps!$D$5:$D$12,0))))</f>
        <v>Eutrophication Potential (EP) - kg N eq</v>
      </c>
      <c r="M4114" s="154" t="str">
        <f t="shared" si="231"/>
        <v>High_High_High_Upgraded_Eutrophication Potential (EP) - kg N eq_Pre-Anoxic &amp; Swing tank; wastewater treatment unit; at updated plant - US_Without Amendment_Windrow</v>
      </c>
    </row>
    <row r="4115" spans="1:13" s="120" customFormat="1" x14ac:dyDescent="0.25">
      <c r="A4115" s="119"/>
      <c r="B4115" s="138" t="str">
        <f t="shared" si="229"/>
        <v>Windrow</v>
      </c>
      <c r="C4115" s="138" t="str">
        <f t="shared" si="220"/>
        <v>Without Amendment</v>
      </c>
      <c r="D4115" s="138" t="str">
        <f t="shared" si="226"/>
        <v>High_High</v>
      </c>
      <c r="E4115" s="138" t="str">
        <f t="shared" si="227"/>
        <v>High</v>
      </c>
      <c r="F4115" s="138" t="str">
        <f t="shared" si="230"/>
        <v>Upgraded</v>
      </c>
      <c r="G4115" s="153"/>
      <c r="H4115" s="210">
        <v>8.0000000000000002E-3</v>
      </c>
      <c r="I4115" s="160" t="s">
        <v>53</v>
      </c>
      <c r="J4115" s="160">
        <v>1.1E-4</v>
      </c>
      <c r="K4115" s="160" t="s">
        <v>13</v>
      </c>
      <c r="L4115" s="154" t="str">
        <f>IF(OpenLCAbasic!K4115="CTUh", "Fill in Manually",IF(OR(K4115="Unit", K4115=""), "", INDEX(LookUps!$E$5:$E$12, MATCH(OpenLCAbasic!K4115,LookUps!$D$5:$D$12,0))))</f>
        <v>Eutrophication Potential (EP) - kg N eq</v>
      </c>
      <c r="M4115" s="154" t="str">
        <f t="shared" si="231"/>
        <v>High_High_High_Upgraded_Eutrophication Potential (EP) - kg N eq_Wet Well and Sump Station; wastewater treatment unit; at updated plant - US_Without Amendment_Windrow</v>
      </c>
    </row>
    <row r="4116" spans="1:13" s="120" customFormat="1" x14ac:dyDescent="0.25">
      <c r="A4116" s="119"/>
      <c r="B4116" s="138" t="str">
        <f t="shared" si="229"/>
        <v>Windrow</v>
      </c>
      <c r="C4116" s="138" t="str">
        <f t="shared" si="220"/>
        <v>Without Amendment</v>
      </c>
      <c r="D4116" s="138" t="str">
        <f t="shared" si="226"/>
        <v>High_High</v>
      </c>
      <c r="E4116" s="138" t="str">
        <f t="shared" si="227"/>
        <v>High</v>
      </c>
      <c r="F4116" s="138" t="str">
        <f t="shared" si="230"/>
        <v>Upgraded</v>
      </c>
      <c r="G4116" s="153"/>
      <c r="H4116" s="210">
        <v>6.7999999999999996E-3</v>
      </c>
      <c r="I4116" s="160" t="s">
        <v>60</v>
      </c>
      <c r="J4116" s="211">
        <v>9.0710800000000006E-5</v>
      </c>
      <c r="K4116" s="160" t="s">
        <v>13</v>
      </c>
      <c r="L4116" s="154" t="str">
        <f>IF(OpenLCAbasic!K4116="CTUh", "Fill in Manually",IF(OR(K4116="Unit", K4116=""), "", INDEX(LookUps!$E$5:$E$12, MATCH(OpenLCAbasic!K4116,LookUps!$D$5:$D$12,0))))</f>
        <v>Eutrophication Potential (EP) - kg N eq</v>
      </c>
      <c r="M4116" s="154" t="str">
        <f t="shared" si="231"/>
        <v>High_High_High_Upgraded_Eutrophication Potential (EP) - kg N eq_Belt filter press; wastewater treatment unit; at updated plant - US_Without Amendment_Windrow</v>
      </c>
    </row>
    <row r="4117" spans="1:13" s="120" customFormat="1" x14ac:dyDescent="0.25">
      <c r="A4117" s="119"/>
      <c r="B4117" s="138" t="str">
        <f t="shared" si="229"/>
        <v>Windrow</v>
      </c>
      <c r="C4117" s="138" t="str">
        <f t="shared" si="220"/>
        <v>Without Amendment</v>
      </c>
      <c r="D4117" s="138" t="str">
        <f t="shared" si="226"/>
        <v>High_High</v>
      </c>
      <c r="E4117" s="138" t="str">
        <f t="shared" si="227"/>
        <v>High</v>
      </c>
      <c r="F4117" s="138" t="str">
        <f t="shared" si="230"/>
        <v>Upgraded</v>
      </c>
      <c r="G4117" s="153"/>
      <c r="H4117" s="210">
        <v>4.4999999999999997E-3</v>
      </c>
      <c r="I4117" s="160" t="s">
        <v>57</v>
      </c>
      <c r="J4117" s="211">
        <v>6.0590300000000002E-5</v>
      </c>
      <c r="K4117" s="160" t="s">
        <v>13</v>
      </c>
      <c r="L4117" s="154" t="str">
        <f>IF(OpenLCAbasic!K4117="CTUh", "Fill in Manually",IF(OR(K4117="Unit", K4117=""), "", INDEX(LookUps!$E$5:$E$12, MATCH(OpenLCAbasic!K4117,LookUps!$D$5:$D$12,0))))</f>
        <v>Eutrophication Potential (EP) - kg N eq</v>
      </c>
      <c r="M4117" s="154" t="str">
        <f t="shared" si="231"/>
        <v>High_High_High_Upgraded_Eutrophication Potential (EP) - kg N eq_Gravity Belt Thickener; wastewater treatment unit; at updated plant - US_Without Amendment_Windrow</v>
      </c>
    </row>
    <row r="4118" spans="1:13" s="120" customFormat="1" x14ac:dyDescent="0.25">
      <c r="A4118" s="119"/>
      <c r="B4118" s="138" t="str">
        <f t="shared" si="229"/>
        <v>Windrow</v>
      </c>
      <c r="C4118" s="138" t="str">
        <f t="shared" si="220"/>
        <v>Without Amendment</v>
      </c>
      <c r="D4118" s="138" t="str">
        <f t="shared" si="226"/>
        <v>High_High</v>
      </c>
      <c r="E4118" s="138" t="str">
        <f t="shared" si="227"/>
        <v>High</v>
      </c>
      <c r="F4118" s="138" t="str">
        <f t="shared" si="230"/>
        <v>Upgraded</v>
      </c>
      <c r="G4118" s="153"/>
      <c r="H4118" s="210">
        <v>2.8E-3</v>
      </c>
      <c r="I4118" s="160" t="s">
        <v>128</v>
      </c>
      <c r="J4118" s="211">
        <v>3.7559799999999999E-5</v>
      </c>
      <c r="K4118" s="160" t="s">
        <v>13</v>
      </c>
      <c r="L4118" s="154" t="str">
        <f>IF(OpenLCAbasic!K4118="CTUh", "Fill in Manually",IF(OR(K4118="Unit", K4118=""), "", INDEX(LookUps!$E$5:$E$12, MATCH(OpenLCAbasic!K4118,LookUps!$D$5:$D$12,0))))</f>
        <v>Eutrophication Potential (EP) - kg N eq</v>
      </c>
      <c r="M4118" s="154" t="str">
        <f t="shared" si="231"/>
        <v>High_High_High_Upgraded_Eutrophication Potential (EP) - kg N eq_Wastewater collection; operation and infrastructure; m3 wastewater_Without Amendment_Windrow</v>
      </c>
    </row>
    <row r="4119" spans="1:13" s="120" customFormat="1" x14ac:dyDescent="0.25">
      <c r="A4119" s="119"/>
      <c r="B4119" s="138" t="str">
        <f t="shared" si="229"/>
        <v>Windrow</v>
      </c>
      <c r="C4119" s="138" t="str">
        <f t="shared" si="220"/>
        <v>Without Amendment</v>
      </c>
      <c r="D4119" s="138" t="str">
        <f t="shared" si="226"/>
        <v>High_High</v>
      </c>
      <c r="E4119" s="138" t="str">
        <f t="shared" si="227"/>
        <v>High</v>
      </c>
      <c r="F4119" s="138" t="str">
        <f t="shared" si="230"/>
        <v>Upgraded</v>
      </c>
      <c r="G4119" s="153"/>
      <c r="H4119" s="210">
        <v>2.8E-3</v>
      </c>
      <c r="I4119" s="160" t="s">
        <v>148</v>
      </c>
      <c r="J4119" s="211">
        <v>3.6874600000000001E-5</v>
      </c>
      <c r="K4119" s="160" t="s">
        <v>13</v>
      </c>
      <c r="L4119" s="154" t="str">
        <f>IF(OpenLCAbasic!K4119="CTUh", "Fill in Manually",IF(OR(K4119="Unit", K4119=""), "", INDEX(LookUps!$E$5:$E$12, MATCH(OpenLCAbasic!K4119,LookUps!$D$5:$D$12,0))))</f>
        <v>Eutrophication Potential (EP) - kg N eq</v>
      </c>
      <c r="M4119" s="154" t="str">
        <f t="shared" si="231"/>
        <v>High_High_High_Upgraded_Eutrophication Potential (EP) - kg N eq_Control Building; at upgraded wastewater treatment plant - US_Without Amendment_Windrow</v>
      </c>
    </row>
    <row r="4120" spans="1:13" s="120" customFormat="1" x14ac:dyDescent="0.25">
      <c r="A4120" s="119"/>
      <c r="B4120" s="138" t="str">
        <f t="shared" si="229"/>
        <v>Windrow</v>
      </c>
      <c r="C4120" s="138" t="str">
        <f t="shared" si="220"/>
        <v>Without Amendment</v>
      </c>
      <c r="D4120" s="138" t="str">
        <f t="shared" si="226"/>
        <v>High_High</v>
      </c>
      <c r="E4120" s="138" t="str">
        <f t="shared" si="227"/>
        <v>High</v>
      </c>
      <c r="F4120" s="138" t="str">
        <f t="shared" si="230"/>
        <v>Upgraded</v>
      </c>
      <c r="G4120" s="153"/>
      <c r="H4120" s="210">
        <v>1.1999999999999999E-3</v>
      </c>
      <c r="I4120" s="160" t="s">
        <v>59</v>
      </c>
      <c r="J4120" s="211">
        <v>1.6215700000000001E-5</v>
      </c>
      <c r="K4120" s="160" t="s">
        <v>13</v>
      </c>
      <c r="L4120" s="154" t="str">
        <f>IF(OpenLCAbasic!K4120="CTUh", "Fill in Manually",IF(OR(K4120="Unit", K4120=""), "", INDEX(LookUps!$E$5:$E$12, MATCH(OpenLCAbasic!K4120,LookUps!$D$5:$D$12,0))))</f>
        <v>Eutrophication Potential (EP) - kg N eq</v>
      </c>
      <c r="M4120" s="154" t="str">
        <f t="shared" si="231"/>
        <v>High_High_High_Upgraded_Eutrophication Potential (EP) - kg N eq_Blend Tank; wastewater treatment unit; at updated plant - US_Without Amendment_Windrow</v>
      </c>
    </row>
    <row r="4121" spans="1:13" s="120" customFormat="1" x14ac:dyDescent="0.25">
      <c r="A4121" s="119"/>
      <c r="B4121" s="138" t="str">
        <f t="shared" si="229"/>
        <v>Windrow</v>
      </c>
      <c r="C4121" s="138" t="str">
        <f t="shared" si="220"/>
        <v>Without Amendment</v>
      </c>
      <c r="D4121" s="138" t="str">
        <f t="shared" si="226"/>
        <v>High_High</v>
      </c>
      <c r="E4121" s="138" t="str">
        <f t="shared" si="227"/>
        <v>High</v>
      </c>
      <c r="F4121" s="138" t="str">
        <f t="shared" si="230"/>
        <v>Upgraded</v>
      </c>
      <c r="G4121" s="153"/>
      <c r="H4121" s="210">
        <v>5.9999999999999995E-4</v>
      </c>
      <c r="I4121" s="160" t="s">
        <v>168</v>
      </c>
      <c r="J4121" s="211">
        <v>7.7567199999999995E-6</v>
      </c>
      <c r="K4121" s="160" t="s">
        <v>13</v>
      </c>
      <c r="L4121" s="154" t="str">
        <f>IF(OpenLCAbasic!K4121="CTUh", "Fill in Manually",IF(OR(K4121="Unit", K4121=""), "", INDEX(LookUps!$E$5:$E$12, MATCH(OpenLCAbasic!K4121,LookUps!$D$5:$D$12,0))))</f>
        <v>Eutrophication Potential (EP) - kg N eq</v>
      </c>
      <c r="M4121" s="154" t="str">
        <f t="shared" si="231"/>
        <v>High_High_High_Upgraded_Eutrophication Potential (EP) - kg N eq_ClearCove SCP; wastewater treatment unit; at updated plant - US_Without Amendment_Windrow</v>
      </c>
    </row>
    <row r="4122" spans="1:13" s="120" customFormat="1" x14ac:dyDescent="0.25">
      <c r="A4122" s="119"/>
      <c r="B4122" s="138" t="str">
        <f t="shared" si="229"/>
        <v>Windrow</v>
      </c>
      <c r="C4122" s="138" t="str">
        <f t="shared" si="220"/>
        <v>Without Amendment</v>
      </c>
      <c r="D4122" s="138" t="str">
        <f t="shared" si="226"/>
        <v>High_High</v>
      </c>
      <c r="E4122" s="138" t="str">
        <f t="shared" si="227"/>
        <v>High</v>
      </c>
      <c r="F4122" s="138" t="str">
        <f t="shared" si="230"/>
        <v>Upgraded</v>
      </c>
      <c r="G4122" s="153"/>
      <c r="H4122" s="210">
        <v>-0.22170000000000001</v>
      </c>
      <c r="I4122" s="160" t="s">
        <v>149</v>
      </c>
      <c r="J4122" s="160">
        <v>-2.96E-3</v>
      </c>
      <c r="K4122" s="160" t="s">
        <v>13</v>
      </c>
      <c r="L4122" s="154" t="str">
        <f>IF(OpenLCAbasic!K4122="CTUh", "Fill in Manually",IF(OR(K4122="Unit", K4122=""), "", INDEX(LookUps!$E$5:$E$12, MATCH(OpenLCAbasic!K4122,LookUps!$D$5:$D$12,0))))</f>
        <v>Eutrophication Potential (EP) - kg N eq</v>
      </c>
      <c r="M4122" s="154" t="str">
        <f t="shared" si="231"/>
        <v>High_High_High_Upgraded_Eutrophication Potential (EP) - kg N eq_Anaerobic Digestion; wastewater treatment unit; at updated plant - US_Without Amendment_Windrow</v>
      </c>
    </row>
    <row r="4123" spans="1:13" s="120" customFormat="1" x14ac:dyDescent="0.25">
      <c r="A4123" s="119"/>
      <c r="B4123" s="138" t="str">
        <f t="shared" si="229"/>
        <v/>
      </c>
      <c r="C4123" s="138" t="str">
        <f t="shared" si="220"/>
        <v/>
      </c>
      <c r="D4123" s="138" t="str">
        <f t="shared" si="226"/>
        <v/>
      </c>
      <c r="E4123" s="138" t="str">
        <f t="shared" si="227"/>
        <v/>
      </c>
      <c r="F4123" s="138" t="str">
        <f t="shared" si="230"/>
        <v/>
      </c>
      <c r="G4123" s="153" t="s">
        <v>51</v>
      </c>
      <c r="H4123" s="160"/>
      <c r="I4123" s="160" t="s">
        <v>47</v>
      </c>
      <c r="J4123" s="160" t="s">
        <v>52</v>
      </c>
      <c r="K4123" s="160" t="s">
        <v>27</v>
      </c>
      <c r="L4123" s="154" t="str">
        <f>IF(OpenLCAbasic!K4123="CTUh", "Fill in Manually",IF(OR(K4123="Unit", K4123=""), "", INDEX(LookUps!$E$5:$E$12, MATCH(OpenLCAbasic!K4123,LookUps!$D$5:$D$12,0))))</f>
        <v/>
      </c>
      <c r="M4123" s="154" t="str">
        <f t="shared" si="231"/>
        <v>____Process__</v>
      </c>
    </row>
    <row r="4124" spans="1:13" s="120" customFormat="1" x14ac:dyDescent="0.25">
      <c r="A4124" s="119"/>
      <c r="B4124" s="138" t="str">
        <f t="shared" si="229"/>
        <v>Windrow</v>
      </c>
      <c r="C4124" s="138" t="str">
        <f t="shared" si="220"/>
        <v>Without Amendment</v>
      </c>
      <c r="D4124" s="138" t="str">
        <f t="shared" si="226"/>
        <v>High_High</v>
      </c>
      <c r="E4124" s="138" t="str">
        <f t="shared" si="227"/>
        <v>High</v>
      </c>
      <c r="F4124" s="138" t="str">
        <f t="shared" si="230"/>
        <v>Upgraded</v>
      </c>
      <c r="G4124" s="153"/>
      <c r="H4124" s="210">
        <v>0.65749999999999997</v>
      </c>
      <c r="I4124" s="160" t="s">
        <v>167</v>
      </c>
      <c r="J4124" s="160">
        <v>0.11719</v>
      </c>
      <c r="K4124" s="160" t="s">
        <v>14</v>
      </c>
      <c r="L4124" s="154" t="str">
        <f>IF(OpenLCAbasic!K4124="CTUh", "Fill in Manually",IF(OR(K4124="Unit", K4124=""), "", INDEX(LookUps!$E$5:$E$12, MATCH(OpenLCAbasic!K4124,LookUps!$D$5:$D$12,0))))</f>
        <v>Fossil Depletion Potential (FDP) - kg oil eq</v>
      </c>
      <c r="M4124" s="154" t="str">
        <f t="shared" si="231"/>
        <v>High_High_High_Upgraded_Fossil Depletion Potential (FDP) - kg oil eq_Waste Receiving and Holding; wastewater treatment unit; at updated plant - US_Without Amendment_Windrow</v>
      </c>
    </row>
    <row r="4125" spans="1:13" s="120" customFormat="1" x14ac:dyDescent="0.25">
      <c r="A4125" s="119"/>
      <c r="B4125" s="138" t="str">
        <f t="shared" si="229"/>
        <v>Windrow</v>
      </c>
      <c r="C4125" s="138" t="str">
        <f t="shared" si="220"/>
        <v>Without Amendment</v>
      </c>
      <c r="D4125" s="138" t="str">
        <f t="shared" si="226"/>
        <v>High_High</v>
      </c>
      <c r="E4125" s="138" t="str">
        <f t="shared" si="227"/>
        <v>High</v>
      </c>
      <c r="F4125" s="138" t="str">
        <f t="shared" si="230"/>
        <v>Upgraded</v>
      </c>
      <c r="G4125" s="153"/>
      <c r="H4125" s="210">
        <v>0.35680000000000001</v>
      </c>
      <c r="I4125" s="160" t="s">
        <v>55</v>
      </c>
      <c r="J4125" s="160">
        <v>6.3589999999999994E-2</v>
      </c>
      <c r="K4125" s="160" t="s">
        <v>14</v>
      </c>
      <c r="L4125" s="154" t="str">
        <f>IF(OpenLCAbasic!K4125="CTUh", "Fill in Manually",IF(OR(K4125="Unit", K4125=""), "", INDEX(LookUps!$E$5:$E$12, MATCH(OpenLCAbasic!K4125,LookUps!$D$5:$D$12,0))))</f>
        <v>Fossil Depletion Potential (FDP) - kg oil eq</v>
      </c>
      <c r="M4125" s="154" t="str">
        <f t="shared" si="231"/>
        <v>High_High_High_Upgraded_Fossil Depletion Potential (FDP) - kg oil eq_Aeration Tanks; wastewater treatment unit; at updated plant - US_Without Amendment_Windrow</v>
      </c>
    </row>
    <row r="4126" spans="1:13" s="120" customFormat="1" x14ac:dyDescent="0.25">
      <c r="A4126" s="119"/>
      <c r="B4126" s="138" t="str">
        <f t="shared" si="229"/>
        <v>Windrow</v>
      </c>
      <c r="C4126" s="138" t="str">
        <f t="shared" si="220"/>
        <v>Without Amendment</v>
      </c>
      <c r="D4126" s="138" t="str">
        <f t="shared" si="226"/>
        <v>High_High</v>
      </c>
      <c r="E4126" s="138" t="str">
        <f t="shared" si="227"/>
        <v>High</v>
      </c>
      <c r="F4126" s="138" t="str">
        <f t="shared" si="230"/>
        <v>Upgraded</v>
      </c>
      <c r="G4126" s="153"/>
      <c r="H4126" s="210">
        <v>0.1181</v>
      </c>
      <c r="I4126" s="160" t="s">
        <v>54</v>
      </c>
      <c r="J4126" s="160">
        <v>2.1049999999999999E-2</v>
      </c>
      <c r="K4126" s="160" t="s">
        <v>14</v>
      </c>
      <c r="L4126" s="154" t="str">
        <f>IF(OpenLCAbasic!K4126="CTUh", "Fill in Manually",IF(OR(K4126="Unit", K4126=""), "", INDEX(LookUps!$E$5:$E$12, MATCH(OpenLCAbasic!K4126,LookUps!$D$5:$D$12,0))))</f>
        <v>Fossil Depletion Potential (FDP) - kg oil eq</v>
      </c>
      <c r="M4126" s="154" t="str">
        <f t="shared" si="231"/>
        <v>High_High_High_Upgraded_Fossil Depletion Potential (FDP) - kg oil eq_Clear Cove Primary Clarification; wastewater treatment unit; at updated plant - US_Without Amendment_Windrow</v>
      </c>
    </row>
    <row r="4127" spans="1:13" s="120" customFormat="1" x14ac:dyDescent="0.25">
      <c r="A4127" s="119"/>
      <c r="B4127" s="138" t="str">
        <f t="shared" si="229"/>
        <v>Windrow</v>
      </c>
      <c r="C4127" s="138" t="str">
        <f t="shared" si="220"/>
        <v>Without Amendment</v>
      </c>
      <c r="D4127" s="138" t="str">
        <f t="shared" si="226"/>
        <v>High_High</v>
      </c>
      <c r="E4127" s="138" t="str">
        <f t="shared" si="227"/>
        <v>High</v>
      </c>
      <c r="F4127" s="138" t="str">
        <f t="shared" si="230"/>
        <v>Upgraded</v>
      </c>
      <c r="G4127" s="153"/>
      <c r="H4127" s="210">
        <v>0.09</v>
      </c>
      <c r="I4127" s="160" t="s">
        <v>58</v>
      </c>
      <c r="J4127" s="160">
        <v>1.6039999999999999E-2</v>
      </c>
      <c r="K4127" s="160" t="s">
        <v>14</v>
      </c>
      <c r="L4127" s="154" t="str">
        <f>IF(OpenLCAbasic!K4127="CTUh", "Fill in Manually",IF(OR(K4127="Unit", K4127=""), "", INDEX(LookUps!$E$5:$E$12, MATCH(OpenLCAbasic!K4127,LookUps!$D$5:$D$12,0))))</f>
        <v>Fossil Depletion Potential (FDP) - kg oil eq</v>
      </c>
      <c r="M4127" s="154" t="str">
        <f t="shared" si="231"/>
        <v>High_High_High_Upgraded_Fossil Depletion Potential (FDP) - kg oil eq_Pre-Anoxic &amp; Swing tank; wastewater treatment unit; at updated plant - US_Without Amendment_Windrow</v>
      </c>
    </row>
    <row r="4128" spans="1:13" s="120" customFormat="1" x14ac:dyDescent="0.25">
      <c r="A4128" s="119"/>
      <c r="B4128" s="138" t="str">
        <f t="shared" si="229"/>
        <v>Windrow</v>
      </c>
      <c r="C4128" s="138" t="str">
        <f t="shared" si="220"/>
        <v>Without Amendment</v>
      </c>
      <c r="D4128" s="138" t="str">
        <f t="shared" si="226"/>
        <v>High_High</v>
      </c>
      <c r="E4128" s="138" t="str">
        <f t="shared" si="227"/>
        <v>High</v>
      </c>
      <c r="F4128" s="138" t="str">
        <f t="shared" si="230"/>
        <v>Upgraded</v>
      </c>
      <c r="G4128" s="153"/>
      <c r="H4128" s="210">
        <v>8.4699999999999998E-2</v>
      </c>
      <c r="I4128" s="160" t="s">
        <v>147</v>
      </c>
      <c r="J4128" s="160">
        <v>1.5089999999999999E-2</v>
      </c>
      <c r="K4128" s="160" t="s">
        <v>14</v>
      </c>
      <c r="L4128" s="154" t="str">
        <f>IF(OpenLCAbasic!K4128="CTUh", "Fill in Manually",IF(OR(K4128="Unit", K4128=""), "", INDEX(LookUps!$E$5:$E$12, MATCH(OpenLCAbasic!K4128,LookUps!$D$5:$D$12,0))))</f>
        <v>Fossil Depletion Potential (FDP) - kg oil eq</v>
      </c>
      <c r="M4128" s="154" t="str">
        <f t="shared" si="231"/>
        <v>High_High_High_Upgraded_Fossil Depletion Potential (FDP) - kg oil eq_Influent Pump Station; wastewater treatment unit; at updated plant - US_Without Amendment_Windrow</v>
      </c>
    </row>
    <row r="4129" spans="1:13" s="120" customFormat="1" x14ac:dyDescent="0.25">
      <c r="A4129" s="119"/>
      <c r="B4129" s="138" t="str">
        <f t="shared" si="229"/>
        <v>Windrow</v>
      </c>
      <c r="C4129" s="138" t="str">
        <f t="shared" ref="C4129:C4192" si="232">IF(ISNUMBER($J4129),"Without Amendment","")</f>
        <v>Without Amendment</v>
      </c>
      <c r="D4129" s="138" t="str">
        <f t="shared" si="226"/>
        <v>High_High</v>
      </c>
      <c r="E4129" s="138" t="str">
        <f t="shared" si="227"/>
        <v>High</v>
      </c>
      <c r="F4129" s="138" t="str">
        <f t="shared" si="230"/>
        <v>Upgraded</v>
      </c>
      <c r="G4129" s="153"/>
      <c r="H4129" s="210">
        <v>7.0099999999999996E-2</v>
      </c>
      <c r="I4129" s="160" t="s">
        <v>53</v>
      </c>
      <c r="J4129" s="160">
        <v>1.2489999999999999E-2</v>
      </c>
      <c r="K4129" s="160" t="s">
        <v>14</v>
      </c>
      <c r="L4129" s="154" t="str">
        <f>IF(OpenLCAbasic!K4129="CTUh", "Fill in Manually",IF(OR(K4129="Unit", K4129=""), "", INDEX(LookUps!$E$5:$E$12, MATCH(OpenLCAbasic!K4129,LookUps!$D$5:$D$12,0))))</f>
        <v>Fossil Depletion Potential (FDP) - kg oil eq</v>
      </c>
      <c r="M4129" s="154" t="str">
        <f t="shared" si="231"/>
        <v>High_High_High_Upgraded_Fossil Depletion Potential (FDP) - kg oil eq_Wet Well and Sump Station; wastewater treatment unit; at updated plant - US_Without Amendment_Windrow</v>
      </c>
    </row>
    <row r="4130" spans="1:13" s="120" customFormat="1" x14ac:dyDescent="0.25">
      <c r="A4130" s="119"/>
      <c r="B4130" s="138" t="str">
        <f t="shared" si="229"/>
        <v>Windrow</v>
      </c>
      <c r="C4130" s="138" t="str">
        <f t="shared" si="232"/>
        <v>Without Amendment</v>
      </c>
      <c r="D4130" s="138" t="str">
        <f t="shared" si="226"/>
        <v>High_High</v>
      </c>
      <c r="E4130" s="138" t="str">
        <f t="shared" si="227"/>
        <v>High</v>
      </c>
      <c r="F4130" s="138" t="str">
        <f t="shared" si="230"/>
        <v>Upgraded</v>
      </c>
      <c r="G4130" s="153"/>
      <c r="H4130" s="210">
        <v>5.8400000000000001E-2</v>
      </c>
      <c r="I4130" s="160" t="s">
        <v>60</v>
      </c>
      <c r="J4130" s="160">
        <v>1.0410000000000001E-2</v>
      </c>
      <c r="K4130" s="160" t="s">
        <v>14</v>
      </c>
      <c r="L4130" s="154" t="str">
        <f>IF(OpenLCAbasic!K4130="CTUh", "Fill in Manually",IF(OR(K4130="Unit", K4130=""), "", INDEX(LookUps!$E$5:$E$12, MATCH(OpenLCAbasic!K4130,LookUps!$D$5:$D$12,0))))</f>
        <v>Fossil Depletion Potential (FDP) - kg oil eq</v>
      </c>
      <c r="M4130" s="154" t="str">
        <f t="shared" si="231"/>
        <v>High_High_High_Upgraded_Fossil Depletion Potential (FDP) - kg oil eq_Belt filter press; wastewater treatment unit; at updated plant - US_Without Amendment_Windrow</v>
      </c>
    </row>
    <row r="4131" spans="1:13" s="120" customFormat="1" x14ac:dyDescent="0.25">
      <c r="A4131" s="119"/>
      <c r="B4131" s="138" t="str">
        <f t="shared" si="229"/>
        <v>Windrow</v>
      </c>
      <c r="C4131" s="138" t="str">
        <f t="shared" si="232"/>
        <v>Without Amendment</v>
      </c>
      <c r="D4131" s="138" t="str">
        <f t="shared" si="226"/>
        <v>High_High</v>
      </c>
      <c r="E4131" s="138" t="str">
        <f t="shared" si="227"/>
        <v>High</v>
      </c>
      <c r="F4131" s="138" t="str">
        <f t="shared" si="230"/>
        <v>Upgraded</v>
      </c>
      <c r="G4131" s="153"/>
      <c r="H4131" s="210">
        <v>3.8800000000000001E-2</v>
      </c>
      <c r="I4131" s="160" t="s">
        <v>57</v>
      </c>
      <c r="J4131" s="160">
        <v>6.9199999999999999E-3</v>
      </c>
      <c r="K4131" s="160" t="s">
        <v>14</v>
      </c>
      <c r="L4131" s="154" t="str">
        <f>IF(OpenLCAbasic!K4131="CTUh", "Fill in Manually",IF(OR(K4131="Unit", K4131=""), "", INDEX(LookUps!$E$5:$E$12, MATCH(OpenLCAbasic!K4131,LookUps!$D$5:$D$12,0))))</f>
        <v>Fossil Depletion Potential (FDP) - kg oil eq</v>
      </c>
      <c r="M4131" s="154" t="str">
        <f t="shared" si="231"/>
        <v>High_High_High_Upgraded_Fossil Depletion Potential (FDP) - kg oil eq_Gravity Belt Thickener; wastewater treatment unit; at updated plant - US_Without Amendment_Windrow</v>
      </c>
    </row>
    <row r="4132" spans="1:13" s="120" customFormat="1" x14ac:dyDescent="0.25">
      <c r="A4132" s="119"/>
      <c r="B4132" s="138" t="str">
        <f t="shared" si="229"/>
        <v>Windrow</v>
      </c>
      <c r="C4132" s="138" t="str">
        <f t="shared" si="232"/>
        <v>Without Amendment</v>
      </c>
      <c r="D4132" s="138" t="str">
        <f t="shared" si="226"/>
        <v>High_High</v>
      </c>
      <c r="E4132" s="138" t="str">
        <f t="shared" si="227"/>
        <v>High</v>
      </c>
      <c r="F4132" s="138" t="str">
        <f t="shared" si="230"/>
        <v>Upgraded</v>
      </c>
      <c r="G4132" s="153"/>
      <c r="H4132" s="210">
        <v>2.52E-2</v>
      </c>
      <c r="I4132" s="160" t="s">
        <v>128</v>
      </c>
      <c r="J4132" s="160">
        <v>4.4999999999999997E-3</v>
      </c>
      <c r="K4132" s="160" t="s">
        <v>14</v>
      </c>
      <c r="L4132" s="154" t="str">
        <f>IF(OpenLCAbasic!K4132="CTUh", "Fill in Manually",IF(OR(K4132="Unit", K4132=""), "", INDEX(LookUps!$E$5:$E$12, MATCH(OpenLCAbasic!K4132,LookUps!$D$5:$D$12,0))))</f>
        <v>Fossil Depletion Potential (FDP) - kg oil eq</v>
      </c>
      <c r="M4132" s="154" t="str">
        <f t="shared" si="231"/>
        <v>High_High_High_Upgraded_Fossil Depletion Potential (FDP) - kg oil eq_Wastewater collection; operation and infrastructure; m3 wastewater_Without Amendment_Windrow</v>
      </c>
    </row>
    <row r="4133" spans="1:13" s="120" customFormat="1" x14ac:dyDescent="0.25">
      <c r="A4133" s="119"/>
      <c r="B4133" s="138" t="str">
        <f t="shared" si="229"/>
        <v>Windrow</v>
      </c>
      <c r="C4133" s="138" t="str">
        <f t="shared" si="232"/>
        <v>Without Amendment</v>
      </c>
      <c r="D4133" s="138" t="str">
        <f t="shared" si="226"/>
        <v>High_High</v>
      </c>
      <c r="E4133" s="138" t="str">
        <f t="shared" si="227"/>
        <v>High</v>
      </c>
      <c r="F4133" s="138" t="str">
        <f t="shared" si="230"/>
        <v>Upgraded</v>
      </c>
      <c r="G4133" s="153"/>
      <c r="H4133" s="210">
        <v>1.5699999999999999E-2</v>
      </c>
      <c r="I4133" s="160" t="s">
        <v>148</v>
      </c>
      <c r="J4133" s="160">
        <v>2.8E-3</v>
      </c>
      <c r="K4133" s="160" t="s">
        <v>14</v>
      </c>
      <c r="L4133" s="154" t="str">
        <f>IF(OpenLCAbasic!K4133="CTUh", "Fill in Manually",IF(OR(K4133="Unit", K4133=""), "", INDEX(LookUps!$E$5:$E$12, MATCH(OpenLCAbasic!K4133,LookUps!$D$5:$D$12,0))))</f>
        <v>Fossil Depletion Potential (FDP) - kg oil eq</v>
      </c>
      <c r="M4133" s="154" t="str">
        <f t="shared" si="231"/>
        <v>High_High_High_Upgraded_Fossil Depletion Potential (FDP) - kg oil eq_Control Building; at upgraded wastewater treatment plant - US_Without Amendment_Windrow</v>
      </c>
    </row>
    <row r="4134" spans="1:13" s="120" customFormat="1" x14ac:dyDescent="0.25">
      <c r="A4134" s="119"/>
      <c r="B4134" s="138" t="str">
        <f t="shared" si="229"/>
        <v>Windrow</v>
      </c>
      <c r="C4134" s="138" t="str">
        <f t="shared" si="232"/>
        <v>Without Amendment</v>
      </c>
      <c r="D4134" s="138" t="str">
        <f t="shared" si="226"/>
        <v>High_High</v>
      </c>
      <c r="E4134" s="138" t="str">
        <f t="shared" si="227"/>
        <v>High</v>
      </c>
      <c r="F4134" s="138" t="str">
        <f t="shared" si="230"/>
        <v>Upgraded</v>
      </c>
      <c r="G4134" s="153"/>
      <c r="H4134" s="210">
        <v>1.3299999999999999E-2</v>
      </c>
      <c r="I4134" s="160" t="s">
        <v>48</v>
      </c>
      <c r="J4134" s="160">
        <v>2.3600000000000001E-3</v>
      </c>
      <c r="K4134" s="160" t="s">
        <v>14</v>
      </c>
      <c r="L4134" s="154" t="str">
        <f>IF(OpenLCAbasic!K4134="CTUh", "Fill in Manually",IF(OR(K4134="Unit", K4134=""), "", INDEX(LookUps!$E$5:$E$12, MATCH(OpenLCAbasic!K4134,LookUps!$D$5:$D$12,0))))</f>
        <v>Fossil Depletion Potential (FDP) - kg oil eq</v>
      </c>
      <c r="M4134" s="154" t="str">
        <f t="shared" si="231"/>
        <v>High_High_High_Upgraded_Fossil Depletion Potential (FDP) - kg oil eq_Effluent release; wastewater treatment unit; at surface water; m3 wastewater - US_Without Amendment_Windrow</v>
      </c>
    </row>
    <row r="4135" spans="1:13" s="120" customFormat="1" x14ac:dyDescent="0.25">
      <c r="A4135" s="119"/>
      <c r="B4135" s="138" t="str">
        <f t="shared" si="229"/>
        <v>Windrow</v>
      </c>
      <c r="C4135" s="138" t="str">
        <f t="shared" si="232"/>
        <v>Without Amendment</v>
      </c>
      <c r="D4135" s="138" t="str">
        <f t="shared" si="226"/>
        <v>High_High</v>
      </c>
      <c r="E4135" s="138" t="str">
        <f t="shared" si="227"/>
        <v>High</v>
      </c>
      <c r="F4135" s="138" t="str">
        <f t="shared" si="230"/>
        <v>Upgraded</v>
      </c>
      <c r="G4135" s="153"/>
      <c r="H4135" s="210">
        <v>1.0800000000000001E-2</v>
      </c>
      <c r="I4135" s="160" t="s">
        <v>59</v>
      </c>
      <c r="J4135" s="160">
        <v>1.92E-3</v>
      </c>
      <c r="K4135" s="160" t="s">
        <v>14</v>
      </c>
      <c r="L4135" s="154" t="str">
        <f>IF(OpenLCAbasic!K4135="CTUh", "Fill in Manually",IF(OR(K4135="Unit", K4135=""), "", INDEX(LookUps!$E$5:$E$12, MATCH(OpenLCAbasic!K4135,LookUps!$D$5:$D$12,0))))</f>
        <v>Fossil Depletion Potential (FDP) - kg oil eq</v>
      </c>
      <c r="M4135" s="154" t="str">
        <f t="shared" si="231"/>
        <v>High_High_High_Upgraded_Fossil Depletion Potential (FDP) - kg oil eq_Blend Tank; wastewater treatment unit; at updated plant - US_Without Amendment_Windrow</v>
      </c>
    </row>
    <row r="4136" spans="1:13" s="120" customFormat="1" x14ac:dyDescent="0.25">
      <c r="A4136" s="119"/>
      <c r="B4136" s="138" t="str">
        <f t="shared" si="229"/>
        <v>Windrow</v>
      </c>
      <c r="C4136" s="138" t="str">
        <f t="shared" si="232"/>
        <v>Without Amendment</v>
      </c>
      <c r="D4136" s="138" t="str">
        <f t="shared" si="226"/>
        <v>High_High</v>
      </c>
      <c r="E4136" s="138" t="str">
        <f t="shared" si="227"/>
        <v>High</v>
      </c>
      <c r="F4136" s="138" t="str">
        <f t="shared" si="230"/>
        <v>Upgraded</v>
      </c>
      <c r="G4136" s="153"/>
      <c r="H4136" s="210">
        <v>5.1000000000000004E-3</v>
      </c>
      <c r="I4136" s="160" t="s">
        <v>168</v>
      </c>
      <c r="J4136" s="160">
        <v>9.1E-4</v>
      </c>
      <c r="K4136" s="160" t="s">
        <v>14</v>
      </c>
      <c r="L4136" s="154" t="str">
        <f>IF(OpenLCAbasic!K4136="CTUh", "Fill in Manually",IF(OR(K4136="Unit", K4136=""), "", INDEX(LookUps!$E$5:$E$12, MATCH(OpenLCAbasic!K4136,LookUps!$D$5:$D$12,0))))</f>
        <v>Fossil Depletion Potential (FDP) - kg oil eq</v>
      </c>
      <c r="M4136" s="154" t="str">
        <f t="shared" si="231"/>
        <v>High_High_High_Upgraded_Fossil Depletion Potential (FDP) - kg oil eq_ClearCove SCP; wastewater treatment unit; at updated plant - US_Without Amendment_Windrow</v>
      </c>
    </row>
    <row r="4137" spans="1:13" s="120" customFormat="1" x14ac:dyDescent="0.25">
      <c r="A4137" s="119"/>
      <c r="B4137" s="138" t="str">
        <f t="shared" si="229"/>
        <v>Windrow</v>
      </c>
      <c r="C4137" s="138" t="str">
        <f t="shared" si="232"/>
        <v>Without Amendment</v>
      </c>
      <c r="D4137" s="138" t="str">
        <f t="shared" si="226"/>
        <v>High_High</v>
      </c>
      <c r="E4137" s="138" t="str">
        <f t="shared" si="227"/>
        <v>High</v>
      </c>
      <c r="F4137" s="138" t="str">
        <f t="shared" si="230"/>
        <v>Upgraded</v>
      </c>
      <c r="G4137" s="153"/>
      <c r="H4137" s="210">
        <v>4.1999999999999997E-3</v>
      </c>
      <c r="I4137" s="160" t="s">
        <v>271</v>
      </c>
      <c r="J4137" s="160">
        <v>7.3999999999999999E-4</v>
      </c>
      <c r="K4137" s="160" t="s">
        <v>14</v>
      </c>
      <c r="L4137" s="154" t="str">
        <f>IF(OpenLCAbasic!K4137="CTUh", "Fill in Manually",IF(OR(K4137="Unit", K4137=""), "", INDEX(LookUps!$E$5:$E$12, MATCH(OpenLCAbasic!K4137,LookUps!$D$5:$D$12,0))))</f>
        <v>Fossil Depletion Potential (FDP) - kg oil eq</v>
      </c>
      <c r="M4137" s="154" t="str">
        <f t="shared" si="231"/>
        <v>High_High_High_Upgraded_Fossil Depletion Potential (FDP) - kg oil eq_Biosolids composting; windrow composting; wastewater treatment unit; at updated plant - US_Without Amendment_Windrow</v>
      </c>
    </row>
    <row r="4138" spans="1:13" s="120" customFormat="1" x14ac:dyDescent="0.25">
      <c r="A4138" s="119"/>
      <c r="B4138" s="138" t="str">
        <f t="shared" si="229"/>
        <v>Windrow</v>
      </c>
      <c r="C4138" s="138" t="str">
        <f t="shared" si="232"/>
        <v>Without Amendment</v>
      </c>
      <c r="D4138" s="138" t="str">
        <f t="shared" si="226"/>
        <v>High_High</v>
      </c>
      <c r="E4138" s="138" t="str">
        <f t="shared" si="227"/>
        <v>High</v>
      </c>
      <c r="F4138" s="138" t="str">
        <f t="shared" si="230"/>
        <v>Upgraded</v>
      </c>
      <c r="G4138" s="153"/>
      <c r="H4138" s="210">
        <v>-3.6400000000000002E-2</v>
      </c>
      <c r="I4138" s="160" t="s">
        <v>62</v>
      </c>
      <c r="J4138" s="160">
        <v>-6.4900000000000001E-3</v>
      </c>
      <c r="K4138" s="160" t="s">
        <v>14</v>
      </c>
      <c r="L4138" s="154" t="str">
        <f>IF(OpenLCAbasic!K4138="CTUh", "Fill in Manually",IF(OR(K4138="Unit", K4138=""), "", INDEX(LookUps!$E$5:$E$12, MATCH(OpenLCAbasic!K4138,LookUps!$D$5:$D$12,0))))</f>
        <v>Fossil Depletion Potential (FDP) - kg oil eq</v>
      </c>
      <c r="M4138" s="154" t="str">
        <f t="shared" si="231"/>
        <v>High_High_High_Upgraded_Fossil Depletion Potential (FDP) - kg oil eq_Land application of compost; wastewater treatment unit; at updated plant - US_Without Amendment_Windrow</v>
      </c>
    </row>
    <row r="4139" spans="1:13" s="120" customFormat="1" x14ac:dyDescent="0.25">
      <c r="A4139" s="119"/>
      <c r="B4139" s="138" t="str">
        <f t="shared" si="229"/>
        <v>Windrow</v>
      </c>
      <c r="C4139" s="138" t="str">
        <f t="shared" si="232"/>
        <v>Without Amendment</v>
      </c>
      <c r="D4139" s="138" t="str">
        <f t="shared" ref="D4139:D4202" si="233">IF(ISNUMBER($J4139),"High_High","")</f>
        <v>High_High</v>
      </c>
      <c r="E4139" s="138" t="str">
        <f t="shared" ref="E4139:E4202" si="234">IF(ISNUMBER($J4139),"High","")</f>
        <v>High</v>
      </c>
      <c r="F4139" s="138" t="str">
        <f t="shared" si="230"/>
        <v>Upgraded</v>
      </c>
      <c r="G4139" s="153"/>
      <c r="H4139" s="210">
        <v>-2.5122</v>
      </c>
      <c r="I4139" s="160" t="s">
        <v>149</v>
      </c>
      <c r="J4139" s="160">
        <v>-0.44775999999999999</v>
      </c>
      <c r="K4139" s="160" t="s">
        <v>14</v>
      </c>
      <c r="L4139" s="154" t="str">
        <f>IF(OpenLCAbasic!K4139="CTUh", "Fill in Manually",IF(OR(K4139="Unit", K4139=""), "", INDEX(LookUps!$E$5:$E$12, MATCH(OpenLCAbasic!K4139,LookUps!$D$5:$D$12,0))))</f>
        <v>Fossil Depletion Potential (FDP) - kg oil eq</v>
      </c>
      <c r="M4139" s="154" t="str">
        <f t="shared" si="231"/>
        <v>High_High_High_Upgraded_Fossil Depletion Potential (FDP) - kg oil eq_Anaerobic Digestion; wastewater treatment unit; at updated plant - US_Without Amendment_Windrow</v>
      </c>
    </row>
    <row r="4140" spans="1:13" s="120" customFormat="1" x14ac:dyDescent="0.25">
      <c r="A4140" s="119"/>
      <c r="B4140" s="138" t="str">
        <f t="shared" si="229"/>
        <v/>
      </c>
      <c r="C4140" s="138" t="str">
        <f t="shared" si="232"/>
        <v/>
      </c>
      <c r="D4140" s="138" t="str">
        <f t="shared" si="233"/>
        <v/>
      </c>
      <c r="E4140" s="138" t="str">
        <f t="shared" si="234"/>
        <v/>
      </c>
      <c r="F4140" s="138" t="str">
        <f t="shared" si="230"/>
        <v/>
      </c>
      <c r="G4140" s="153" t="s">
        <v>51</v>
      </c>
      <c r="H4140" s="160"/>
      <c r="I4140" s="160" t="s">
        <v>47</v>
      </c>
      <c r="J4140" s="160" t="s">
        <v>52</v>
      </c>
      <c r="K4140" s="160" t="s">
        <v>27</v>
      </c>
      <c r="L4140" s="154" t="str">
        <f>IF(OpenLCAbasic!K4140="CTUh", "Fill in Manually",IF(OR(K4140="Unit", K4140=""), "", INDEX(LookUps!$E$5:$E$12, MATCH(OpenLCAbasic!K4140,LookUps!$D$5:$D$12,0))))</f>
        <v/>
      </c>
      <c r="M4140" s="154" t="str">
        <f t="shared" si="231"/>
        <v>____Process__</v>
      </c>
    </row>
    <row r="4141" spans="1:13" s="120" customFormat="1" x14ac:dyDescent="0.25">
      <c r="A4141" s="119"/>
      <c r="B4141" s="138" t="str">
        <f t="shared" si="229"/>
        <v>Windrow</v>
      </c>
      <c r="C4141" s="138" t="str">
        <f t="shared" si="232"/>
        <v>Without Amendment</v>
      </c>
      <c r="D4141" s="138" t="str">
        <f t="shared" si="233"/>
        <v>High_High</v>
      </c>
      <c r="E4141" s="138" t="str">
        <f t="shared" si="234"/>
        <v>High</v>
      </c>
      <c r="F4141" s="138" t="str">
        <f t="shared" si="230"/>
        <v>Upgraded</v>
      </c>
      <c r="G4141" s="153"/>
      <c r="H4141" s="210">
        <v>1.2983</v>
      </c>
      <c r="I4141" s="160" t="s">
        <v>271</v>
      </c>
      <c r="J4141" s="160">
        <v>1.3626100000000001</v>
      </c>
      <c r="K4141" s="160" t="s">
        <v>23</v>
      </c>
      <c r="L4141" s="154" t="str">
        <f>IF(OpenLCAbasic!K4141="CTUh", "Fill in Manually",IF(OR(K4141="Unit", K4141=""), "", INDEX(LookUps!$E$5:$E$12, MATCH(OpenLCAbasic!K4141,LookUps!$D$5:$D$12,0))))</f>
        <v>Global Warming Potential (GWP) - kg CO2 eq</v>
      </c>
      <c r="M4141" s="154" t="str">
        <f t="shared" si="231"/>
        <v>High_High_High_Upgraded_Global Warming Potential (GWP) - kg CO2 eq_Biosolids composting; windrow composting; wastewater treatment unit; at updated plant - US_Without Amendment_Windrow</v>
      </c>
    </row>
    <row r="4142" spans="1:13" s="120" customFormat="1" x14ac:dyDescent="0.25">
      <c r="A4142" s="119"/>
      <c r="B4142" s="138" t="str">
        <f t="shared" si="229"/>
        <v>Windrow</v>
      </c>
      <c r="C4142" s="138" t="str">
        <f t="shared" si="232"/>
        <v>Without Amendment</v>
      </c>
      <c r="D4142" s="138" t="str">
        <f t="shared" si="233"/>
        <v>High_High</v>
      </c>
      <c r="E4142" s="138" t="str">
        <f t="shared" si="234"/>
        <v>High</v>
      </c>
      <c r="F4142" s="138" t="str">
        <f t="shared" si="230"/>
        <v>Upgraded</v>
      </c>
      <c r="G4142" s="153"/>
      <c r="H4142" s="210">
        <v>0.23810000000000001</v>
      </c>
      <c r="I4142" s="160" t="s">
        <v>58</v>
      </c>
      <c r="J4142" s="160">
        <v>0.24992</v>
      </c>
      <c r="K4142" s="160" t="s">
        <v>23</v>
      </c>
      <c r="L4142" s="154" t="str">
        <f>IF(OpenLCAbasic!K4142="CTUh", "Fill in Manually",IF(OR(K4142="Unit", K4142=""), "", INDEX(LookUps!$E$5:$E$12, MATCH(OpenLCAbasic!K4142,LookUps!$D$5:$D$12,0))))</f>
        <v>Global Warming Potential (GWP) - kg CO2 eq</v>
      </c>
      <c r="M4142" s="154" t="str">
        <f t="shared" si="231"/>
        <v>High_High_High_Upgraded_Global Warming Potential (GWP) - kg CO2 eq_Pre-Anoxic &amp; Swing tank; wastewater treatment unit; at updated plant - US_Without Amendment_Windrow</v>
      </c>
    </row>
    <row r="4143" spans="1:13" s="120" customFormat="1" x14ac:dyDescent="0.25">
      <c r="A4143" s="119"/>
      <c r="B4143" s="138" t="str">
        <f t="shared" si="229"/>
        <v>Windrow</v>
      </c>
      <c r="C4143" s="138" t="str">
        <f t="shared" si="232"/>
        <v>Without Amendment</v>
      </c>
      <c r="D4143" s="138" t="str">
        <f t="shared" si="233"/>
        <v>High_High</v>
      </c>
      <c r="E4143" s="138" t="str">
        <f t="shared" si="234"/>
        <v>High</v>
      </c>
      <c r="F4143" s="138" t="str">
        <f t="shared" si="230"/>
        <v>Upgraded</v>
      </c>
      <c r="G4143" s="153"/>
      <c r="H4143" s="210">
        <v>0.1603</v>
      </c>
      <c r="I4143" s="160" t="s">
        <v>55</v>
      </c>
      <c r="J4143" s="160">
        <v>0.16822000000000001</v>
      </c>
      <c r="K4143" s="160" t="s">
        <v>23</v>
      </c>
      <c r="L4143" s="154" t="str">
        <f>IF(OpenLCAbasic!K4143="CTUh", "Fill in Manually",IF(OR(K4143="Unit", K4143=""), "", INDEX(LookUps!$E$5:$E$12, MATCH(OpenLCAbasic!K4143,LookUps!$D$5:$D$12,0))))</f>
        <v>Global Warming Potential (GWP) - kg CO2 eq</v>
      </c>
      <c r="M4143" s="154" t="str">
        <f t="shared" si="231"/>
        <v>High_High_High_Upgraded_Global Warming Potential (GWP) - kg CO2 eq_Aeration Tanks; wastewater treatment unit; at updated plant - US_Without Amendment_Windrow</v>
      </c>
    </row>
    <row r="4144" spans="1:13" s="120" customFormat="1" x14ac:dyDescent="0.25">
      <c r="A4144" s="119"/>
      <c r="B4144" s="138" t="str">
        <f t="shared" si="229"/>
        <v>Windrow</v>
      </c>
      <c r="C4144" s="138" t="str">
        <f t="shared" si="232"/>
        <v>Without Amendment</v>
      </c>
      <c r="D4144" s="138" t="str">
        <f t="shared" si="233"/>
        <v>High_High</v>
      </c>
      <c r="E4144" s="138" t="str">
        <f t="shared" si="234"/>
        <v>High</v>
      </c>
      <c r="F4144" s="138" t="str">
        <f t="shared" si="230"/>
        <v>Upgraded</v>
      </c>
      <c r="G4144" s="153"/>
      <c r="H4144" s="210">
        <v>0.1399</v>
      </c>
      <c r="I4144" s="160" t="s">
        <v>167</v>
      </c>
      <c r="J4144" s="160">
        <v>0.14685000000000001</v>
      </c>
      <c r="K4144" s="160" t="s">
        <v>23</v>
      </c>
      <c r="L4144" s="154" t="str">
        <f>IF(OpenLCAbasic!K4144="CTUh", "Fill in Manually",IF(OR(K4144="Unit", K4144=""), "", INDEX(LookUps!$E$5:$E$12, MATCH(OpenLCAbasic!K4144,LookUps!$D$5:$D$12,0))))</f>
        <v>Global Warming Potential (GWP) - kg CO2 eq</v>
      </c>
      <c r="M4144" s="154" t="str">
        <f t="shared" si="231"/>
        <v>High_High_High_Upgraded_Global Warming Potential (GWP) - kg CO2 eq_Waste Receiving and Holding; wastewater treatment unit; at updated plant - US_Without Amendment_Windrow</v>
      </c>
    </row>
    <row r="4145" spans="1:13" s="120" customFormat="1" x14ac:dyDescent="0.25">
      <c r="A4145" s="119"/>
      <c r="B4145" s="138" t="str">
        <f t="shared" si="229"/>
        <v>Windrow</v>
      </c>
      <c r="C4145" s="138" t="str">
        <f t="shared" si="232"/>
        <v>Without Amendment</v>
      </c>
      <c r="D4145" s="138" t="str">
        <f t="shared" si="233"/>
        <v>High_High</v>
      </c>
      <c r="E4145" s="138" t="str">
        <f t="shared" si="234"/>
        <v>High</v>
      </c>
      <c r="F4145" s="138" t="str">
        <f t="shared" si="230"/>
        <v>Upgraded</v>
      </c>
      <c r="G4145" s="153"/>
      <c r="H4145" s="210">
        <v>5.4399999999999997E-2</v>
      </c>
      <c r="I4145" s="160" t="s">
        <v>54</v>
      </c>
      <c r="J4145" s="160">
        <v>5.7079999999999999E-2</v>
      </c>
      <c r="K4145" s="160" t="s">
        <v>23</v>
      </c>
      <c r="L4145" s="154" t="str">
        <f>IF(OpenLCAbasic!K4145="CTUh", "Fill in Manually",IF(OR(K4145="Unit", K4145=""), "", INDEX(LookUps!$E$5:$E$12, MATCH(OpenLCAbasic!K4145,LookUps!$D$5:$D$12,0))))</f>
        <v>Global Warming Potential (GWP) - kg CO2 eq</v>
      </c>
      <c r="M4145" s="154" t="str">
        <f t="shared" si="231"/>
        <v>High_High_High_Upgraded_Global Warming Potential (GWP) - kg CO2 eq_Clear Cove Primary Clarification; wastewater treatment unit; at updated plant - US_Without Amendment_Windrow</v>
      </c>
    </row>
    <row r="4146" spans="1:13" s="120" customFormat="1" x14ac:dyDescent="0.25">
      <c r="A4146" s="119"/>
      <c r="B4146" s="138" t="str">
        <f t="shared" si="229"/>
        <v>Windrow</v>
      </c>
      <c r="C4146" s="138" t="str">
        <f t="shared" si="232"/>
        <v>Without Amendment</v>
      </c>
      <c r="D4146" s="138" t="str">
        <f t="shared" si="233"/>
        <v>High_High</v>
      </c>
      <c r="E4146" s="138" t="str">
        <f t="shared" si="234"/>
        <v>High</v>
      </c>
      <c r="F4146" s="138" t="str">
        <f t="shared" si="230"/>
        <v>Upgraded</v>
      </c>
      <c r="G4146" s="153"/>
      <c r="H4146" s="210">
        <v>5.0200000000000002E-2</v>
      </c>
      <c r="I4146" s="160" t="s">
        <v>48</v>
      </c>
      <c r="J4146" s="160">
        <v>5.2639999999999999E-2</v>
      </c>
      <c r="K4146" s="160" t="s">
        <v>23</v>
      </c>
      <c r="L4146" s="154" t="str">
        <f>IF(OpenLCAbasic!K4146="CTUh", "Fill in Manually",IF(OR(K4146="Unit", K4146=""), "", INDEX(LookUps!$E$5:$E$12, MATCH(OpenLCAbasic!K4146,LookUps!$D$5:$D$12,0))))</f>
        <v>Global Warming Potential (GWP) - kg CO2 eq</v>
      </c>
      <c r="M4146" s="154" t="str">
        <f t="shared" si="231"/>
        <v>High_High_High_Upgraded_Global Warming Potential (GWP) - kg CO2 eq_Effluent release; wastewater treatment unit; at surface water; m3 wastewater - US_Without Amendment_Windrow</v>
      </c>
    </row>
    <row r="4147" spans="1:13" s="120" customFormat="1" x14ac:dyDescent="0.25">
      <c r="A4147" s="119"/>
      <c r="B4147" s="138" t="str">
        <f t="shared" si="229"/>
        <v>Windrow</v>
      </c>
      <c r="C4147" s="138" t="str">
        <f t="shared" si="232"/>
        <v>Without Amendment</v>
      </c>
      <c r="D4147" s="138" t="str">
        <f t="shared" si="233"/>
        <v>High_High</v>
      </c>
      <c r="E4147" s="138" t="str">
        <f t="shared" si="234"/>
        <v>High</v>
      </c>
      <c r="F4147" s="138" t="str">
        <f t="shared" si="230"/>
        <v>Upgraded</v>
      </c>
      <c r="G4147" s="153"/>
      <c r="H4147" s="210">
        <v>4.8099999999999997E-2</v>
      </c>
      <c r="I4147" s="160" t="s">
        <v>147</v>
      </c>
      <c r="J4147" s="160">
        <v>5.0500000000000003E-2</v>
      </c>
      <c r="K4147" s="160" t="s">
        <v>23</v>
      </c>
      <c r="L4147" s="154" t="str">
        <f>IF(OpenLCAbasic!K4147="CTUh", "Fill in Manually",IF(OR(K4147="Unit", K4147=""), "", INDEX(LookUps!$E$5:$E$12, MATCH(OpenLCAbasic!K4147,LookUps!$D$5:$D$12,0))))</f>
        <v>Global Warming Potential (GWP) - kg CO2 eq</v>
      </c>
      <c r="M4147" s="154" t="str">
        <f t="shared" si="231"/>
        <v>High_High_High_Upgraded_Global Warming Potential (GWP) - kg CO2 eq_Influent Pump Station; wastewater treatment unit; at updated plant - US_Without Amendment_Windrow</v>
      </c>
    </row>
    <row r="4148" spans="1:13" s="120" customFormat="1" x14ac:dyDescent="0.25">
      <c r="A4148" s="119"/>
      <c r="B4148" s="138" t="str">
        <f t="shared" si="229"/>
        <v>Windrow</v>
      </c>
      <c r="C4148" s="138" t="str">
        <f t="shared" si="232"/>
        <v>Without Amendment</v>
      </c>
      <c r="D4148" s="138" t="str">
        <f t="shared" si="233"/>
        <v>High_High</v>
      </c>
      <c r="E4148" s="138" t="str">
        <f t="shared" si="234"/>
        <v>High</v>
      </c>
      <c r="F4148" s="138" t="str">
        <f t="shared" si="230"/>
        <v>Upgraded</v>
      </c>
      <c r="G4148" s="153"/>
      <c r="H4148" s="210">
        <v>3.1699999999999999E-2</v>
      </c>
      <c r="I4148" s="160" t="s">
        <v>53</v>
      </c>
      <c r="J4148" s="160">
        <v>3.3259999999999998E-2</v>
      </c>
      <c r="K4148" s="160" t="s">
        <v>23</v>
      </c>
      <c r="L4148" s="154" t="str">
        <f>IF(OpenLCAbasic!K4148="CTUh", "Fill in Manually",IF(OR(K4148="Unit", K4148=""), "", INDEX(LookUps!$E$5:$E$12, MATCH(OpenLCAbasic!K4148,LookUps!$D$5:$D$12,0))))</f>
        <v>Global Warming Potential (GWP) - kg CO2 eq</v>
      </c>
      <c r="M4148" s="154" t="str">
        <f t="shared" si="231"/>
        <v>High_High_High_Upgraded_Global Warming Potential (GWP) - kg CO2 eq_Wet Well and Sump Station; wastewater treatment unit; at updated plant - US_Without Amendment_Windrow</v>
      </c>
    </row>
    <row r="4149" spans="1:13" s="120" customFormat="1" x14ac:dyDescent="0.25">
      <c r="A4149" s="119"/>
      <c r="B4149" s="138" t="str">
        <f t="shared" si="229"/>
        <v>Windrow</v>
      </c>
      <c r="C4149" s="138" t="str">
        <f t="shared" si="232"/>
        <v>Without Amendment</v>
      </c>
      <c r="D4149" s="138" t="str">
        <f t="shared" si="233"/>
        <v>High_High</v>
      </c>
      <c r="E4149" s="138" t="str">
        <f t="shared" si="234"/>
        <v>High</v>
      </c>
      <c r="F4149" s="138" t="str">
        <f t="shared" si="230"/>
        <v>Upgraded</v>
      </c>
      <c r="G4149" s="153"/>
      <c r="H4149" s="210">
        <v>2.18E-2</v>
      </c>
      <c r="I4149" s="160" t="s">
        <v>60</v>
      </c>
      <c r="J4149" s="160">
        <v>2.2880000000000001E-2</v>
      </c>
      <c r="K4149" s="160" t="s">
        <v>23</v>
      </c>
      <c r="L4149" s="154" t="str">
        <f>IF(OpenLCAbasic!K4149="CTUh", "Fill in Manually",IF(OR(K4149="Unit", K4149=""), "", INDEX(LookUps!$E$5:$E$12, MATCH(OpenLCAbasic!K4149,LookUps!$D$5:$D$12,0))))</f>
        <v>Global Warming Potential (GWP) - kg CO2 eq</v>
      </c>
      <c r="M4149" s="154" t="str">
        <f t="shared" si="231"/>
        <v>High_High_High_Upgraded_Global Warming Potential (GWP) - kg CO2 eq_Belt filter press; wastewater treatment unit; at updated plant - US_Without Amendment_Windrow</v>
      </c>
    </row>
    <row r="4150" spans="1:13" s="120" customFormat="1" x14ac:dyDescent="0.25">
      <c r="A4150" s="119"/>
      <c r="B4150" s="138" t="str">
        <f t="shared" si="229"/>
        <v>Windrow</v>
      </c>
      <c r="C4150" s="138" t="str">
        <f t="shared" si="232"/>
        <v>Without Amendment</v>
      </c>
      <c r="D4150" s="138" t="str">
        <f t="shared" si="233"/>
        <v>High_High</v>
      </c>
      <c r="E4150" s="138" t="str">
        <f t="shared" si="234"/>
        <v>High</v>
      </c>
      <c r="F4150" s="138" t="str">
        <f t="shared" si="230"/>
        <v>Upgraded</v>
      </c>
      <c r="G4150" s="153"/>
      <c r="H4150" s="210">
        <v>1.3899999999999999E-2</v>
      </c>
      <c r="I4150" s="160" t="s">
        <v>57</v>
      </c>
      <c r="J4150" s="160">
        <v>1.455E-2</v>
      </c>
      <c r="K4150" s="160" t="s">
        <v>23</v>
      </c>
      <c r="L4150" s="154" t="str">
        <f>IF(OpenLCAbasic!K4150="CTUh", "Fill in Manually",IF(OR(K4150="Unit", K4150=""), "", INDEX(LookUps!$E$5:$E$12, MATCH(OpenLCAbasic!K4150,LookUps!$D$5:$D$12,0))))</f>
        <v>Global Warming Potential (GWP) - kg CO2 eq</v>
      </c>
      <c r="M4150" s="154" t="str">
        <f t="shared" si="231"/>
        <v>High_High_High_Upgraded_Global Warming Potential (GWP) - kg CO2 eq_Gravity Belt Thickener; wastewater treatment unit; at updated plant - US_Without Amendment_Windrow</v>
      </c>
    </row>
    <row r="4151" spans="1:13" s="120" customFormat="1" x14ac:dyDescent="0.25">
      <c r="A4151" s="119"/>
      <c r="B4151" s="138" t="str">
        <f t="shared" si="229"/>
        <v>Windrow</v>
      </c>
      <c r="C4151" s="138" t="str">
        <f t="shared" si="232"/>
        <v>Without Amendment</v>
      </c>
      <c r="D4151" s="138" t="str">
        <f t="shared" si="233"/>
        <v>High_High</v>
      </c>
      <c r="E4151" s="138" t="str">
        <f t="shared" si="234"/>
        <v>High</v>
      </c>
      <c r="F4151" s="138" t="str">
        <f t="shared" si="230"/>
        <v>Upgraded</v>
      </c>
      <c r="G4151" s="153"/>
      <c r="H4151" s="210">
        <v>1.29E-2</v>
      </c>
      <c r="I4151" s="160" t="s">
        <v>128</v>
      </c>
      <c r="J4151" s="160">
        <v>1.3509999999999999E-2</v>
      </c>
      <c r="K4151" s="160" t="s">
        <v>23</v>
      </c>
      <c r="L4151" s="154" t="str">
        <f>IF(OpenLCAbasic!K4151="CTUh", "Fill in Manually",IF(OR(K4151="Unit", K4151=""), "", INDEX(LookUps!$E$5:$E$12, MATCH(OpenLCAbasic!K4151,LookUps!$D$5:$D$12,0))))</f>
        <v>Global Warming Potential (GWP) - kg CO2 eq</v>
      </c>
      <c r="M4151" s="154" t="str">
        <f t="shared" si="231"/>
        <v>High_High_High_Upgraded_Global Warming Potential (GWP) - kg CO2 eq_Wastewater collection; operation and infrastructure; m3 wastewater_Without Amendment_Windrow</v>
      </c>
    </row>
    <row r="4152" spans="1:13" s="120" customFormat="1" x14ac:dyDescent="0.25">
      <c r="A4152" s="119"/>
      <c r="B4152" s="138" t="str">
        <f t="shared" si="229"/>
        <v>Windrow</v>
      </c>
      <c r="C4152" s="138" t="str">
        <f t="shared" si="232"/>
        <v>Without Amendment</v>
      </c>
      <c r="D4152" s="138" t="str">
        <f t="shared" si="233"/>
        <v>High_High</v>
      </c>
      <c r="E4152" s="138" t="str">
        <f t="shared" si="234"/>
        <v>High</v>
      </c>
      <c r="F4152" s="138" t="str">
        <f t="shared" si="230"/>
        <v>Upgraded</v>
      </c>
      <c r="G4152" s="153"/>
      <c r="H4152" s="210">
        <v>7.9000000000000008E-3</v>
      </c>
      <c r="I4152" s="160" t="s">
        <v>148</v>
      </c>
      <c r="J4152" s="160">
        <v>8.3000000000000001E-3</v>
      </c>
      <c r="K4152" s="160" t="s">
        <v>23</v>
      </c>
      <c r="L4152" s="154" t="str">
        <f>IF(OpenLCAbasic!K4152="CTUh", "Fill in Manually",IF(OR(K4152="Unit", K4152=""), "", INDEX(LookUps!$E$5:$E$12, MATCH(OpenLCAbasic!K4152,LookUps!$D$5:$D$12,0))))</f>
        <v>Global Warming Potential (GWP) - kg CO2 eq</v>
      </c>
      <c r="M4152" s="154" t="str">
        <f t="shared" si="231"/>
        <v>High_High_High_Upgraded_Global Warming Potential (GWP) - kg CO2 eq_Control Building; at upgraded wastewater treatment plant - US_Without Amendment_Windrow</v>
      </c>
    </row>
    <row r="4153" spans="1:13" s="120" customFormat="1" x14ac:dyDescent="0.25">
      <c r="A4153" s="119"/>
      <c r="B4153" s="138" t="str">
        <f t="shared" si="229"/>
        <v>Windrow</v>
      </c>
      <c r="C4153" s="138" t="str">
        <f t="shared" si="232"/>
        <v>Without Amendment</v>
      </c>
      <c r="D4153" s="138" t="str">
        <f t="shared" si="233"/>
        <v>High_High</v>
      </c>
      <c r="E4153" s="138" t="str">
        <f t="shared" si="234"/>
        <v>High</v>
      </c>
      <c r="F4153" s="138" t="str">
        <f t="shared" si="230"/>
        <v>Upgraded</v>
      </c>
      <c r="G4153" s="153"/>
      <c r="H4153" s="210">
        <v>4.7999999999999996E-3</v>
      </c>
      <c r="I4153" s="160" t="s">
        <v>59</v>
      </c>
      <c r="J4153" s="160">
        <v>5.0400000000000002E-3</v>
      </c>
      <c r="K4153" s="160" t="s">
        <v>23</v>
      </c>
      <c r="L4153" s="154" t="str">
        <f>IF(OpenLCAbasic!K4153="CTUh", "Fill in Manually",IF(OR(K4153="Unit", K4153=""), "", INDEX(LookUps!$E$5:$E$12, MATCH(OpenLCAbasic!K4153,LookUps!$D$5:$D$12,0))))</f>
        <v>Global Warming Potential (GWP) - kg CO2 eq</v>
      </c>
      <c r="M4153" s="154" t="str">
        <f t="shared" si="231"/>
        <v>High_High_High_Upgraded_Global Warming Potential (GWP) - kg CO2 eq_Blend Tank; wastewater treatment unit; at updated plant - US_Without Amendment_Windrow</v>
      </c>
    </row>
    <row r="4154" spans="1:13" s="120" customFormat="1" x14ac:dyDescent="0.25">
      <c r="A4154" s="119"/>
      <c r="B4154" s="138" t="str">
        <f t="shared" si="229"/>
        <v>Windrow</v>
      </c>
      <c r="C4154" s="138" t="str">
        <f t="shared" si="232"/>
        <v>Without Amendment</v>
      </c>
      <c r="D4154" s="138" t="str">
        <f t="shared" si="233"/>
        <v>High_High</v>
      </c>
      <c r="E4154" s="138" t="str">
        <f t="shared" si="234"/>
        <v>High</v>
      </c>
      <c r="F4154" s="138" t="str">
        <f t="shared" si="230"/>
        <v>Upgraded</v>
      </c>
      <c r="G4154" s="153"/>
      <c r="H4154" s="210">
        <v>2.3E-3</v>
      </c>
      <c r="I4154" s="160" t="s">
        <v>168</v>
      </c>
      <c r="J4154" s="160">
        <v>2.4099999999999998E-3</v>
      </c>
      <c r="K4154" s="160" t="s">
        <v>23</v>
      </c>
      <c r="L4154" s="154" t="str">
        <f>IF(OpenLCAbasic!K4154="CTUh", "Fill in Manually",IF(OR(K4154="Unit", K4154=""), "", INDEX(LookUps!$E$5:$E$12, MATCH(OpenLCAbasic!K4154,LookUps!$D$5:$D$12,0))))</f>
        <v>Global Warming Potential (GWP) - kg CO2 eq</v>
      </c>
      <c r="M4154" s="154" t="str">
        <f t="shared" si="231"/>
        <v>High_High_High_Upgraded_Global Warming Potential (GWP) - kg CO2 eq_ClearCove SCP; wastewater treatment unit; at updated plant - US_Without Amendment_Windrow</v>
      </c>
    </row>
    <row r="4155" spans="1:13" s="120" customFormat="1" x14ac:dyDescent="0.25">
      <c r="A4155" s="119"/>
      <c r="B4155" s="138" t="str">
        <f t="shared" si="229"/>
        <v>Windrow</v>
      </c>
      <c r="C4155" s="138" t="str">
        <f t="shared" si="232"/>
        <v>Without Amendment</v>
      </c>
      <c r="D4155" s="138" t="str">
        <f t="shared" si="233"/>
        <v>High_High</v>
      </c>
      <c r="E4155" s="138" t="str">
        <f t="shared" si="234"/>
        <v>High</v>
      </c>
      <c r="F4155" s="138" t="str">
        <f t="shared" si="230"/>
        <v>Upgraded</v>
      </c>
      <c r="G4155" s="153"/>
      <c r="H4155" s="210">
        <v>-0.2366</v>
      </c>
      <c r="I4155" s="160" t="s">
        <v>62</v>
      </c>
      <c r="J4155" s="160">
        <v>-0.24834999999999999</v>
      </c>
      <c r="K4155" s="160" t="s">
        <v>23</v>
      </c>
      <c r="L4155" s="154" t="str">
        <f>IF(OpenLCAbasic!K4155="CTUh", "Fill in Manually",IF(OR(K4155="Unit", K4155=""), "", INDEX(LookUps!$E$5:$E$12, MATCH(OpenLCAbasic!K4155,LookUps!$D$5:$D$12,0))))</f>
        <v>Global Warming Potential (GWP) - kg CO2 eq</v>
      </c>
      <c r="M4155" s="154" t="str">
        <f t="shared" si="231"/>
        <v>High_High_High_Upgraded_Global Warming Potential (GWP) - kg CO2 eq_Land application of compost; wastewater treatment unit; at updated plant - US_Without Amendment_Windrow</v>
      </c>
    </row>
    <row r="4156" spans="1:13" s="120" customFormat="1" x14ac:dyDescent="0.25">
      <c r="A4156" s="119"/>
      <c r="B4156" s="138" t="str">
        <f t="shared" si="229"/>
        <v>Windrow</v>
      </c>
      <c r="C4156" s="138" t="str">
        <f t="shared" si="232"/>
        <v>Without Amendment</v>
      </c>
      <c r="D4156" s="138" t="str">
        <f t="shared" si="233"/>
        <v>High_High</v>
      </c>
      <c r="E4156" s="138" t="str">
        <f t="shared" si="234"/>
        <v>High</v>
      </c>
      <c r="F4156" s="138" t="str">
        <f t="shared" si="230"/>
        <v>Upgraded</v>
      </c>
      <c r="G4156" s="153"/>
      <c r="H4156" s="210">
        <v>-0.84789999999999999</v>
      </c>
      <c r="I4156" s="160" t="s">
        <v>149</v>
      </c>
      <c r="J4156" s="160">
        <v>-0.88992000000000004</v>
      </c>
      <c r="K4156" s="160" t="s">
        <v>23</v>
      </c>
      <c r="L4156" s="154" t="str">
        <f>IF(OpenLCAbasic!K4156="CTUh", "Fill in Manually",IF(OR(K4156="Unit", K4156=""), "", INDEX(LookUps!$E$5:$E$12, MATCH(OpenLCAbasic!K4156,LookUps!$D$5:$D$12,0))))</f>
        <v>Global Warming Potential (GWP) - kg CO2 eq</v>
      </c>
      <c r="M4156" s="154" t="str">
        <f t="shared" si="231"/>
        <v>High_High_High_Upgraded_Global Warming Potential (GWP) - kg CO2 eq_Anaerobic Digestion; wastewater treatment unit; at updated plant - US_Without Amendment_Windrow</v>
      </c>
    </row>
    <row r="4157" spans="1:13" s="120" customFormat="1" x14ac:dyDescent="0.25">
      <c r="A4157" s="119"/>
      <c r="B4157" s="138" t="str">
        <f t="shared" si="229"/>
        <v/>
      </c>
      <c r="C4157" s="138" t="str">
        <f t="shared" si="232"/>
        <v/>
      </c>
      <c r="D4157" s="138" t="str">
        <f t="shared" si="233"/>
        <v/>
      </c>
      <c r="E4157" s="138" t="str">
        <f t="shared" si="234"/>
        <v/>
      </c>
      <c r="F4157" s="138" t="str">
        <f t="shared" si="230"/>
        <v/>
      </c>
      <c r="G4157" s="153" t="s">
        <v>51</v>
      </c>
      <c r="H4157" s="160"/>
      <c r="I4157" s="160" t="s">
        <v>47</v>
      </c>
      <c r="J4157" s="160" t="s">
        <v>52</v>
      </c>
      <c r="K4157" s="160" t="s">
        <v>27</v>
      </c>
      <c r="L4157" s="154" t="str">
        <f>IF(OpenLCAbasic!K4157="CTUh", "Fill in Manually",IF(OR(K4157="Unit", K4157=""), "", INDEX(LookUps!$E$5:$E$12, MATCH(OpenLCAbasic!K4157,LookUps!$D$5:$D$12,0))))</f>
        <v/>
      </c>
      <c r="M4157" s="154" t="str">
        <f t="shared" si="231"/>
        <v>____Process__</v>
      </c>
    </row>
    <row r="4158" spans="1:13" s="120" customFormat="1" x14ac:dyDescent="0.25">
      <c r="A4158" s="119"/>
      <c r="B4158" s="138" t="str">
        <f t="shared" si="229"/>
        <v>Windrow</v>
      </c>
      <c r="C4158" s="138" t="str">
        <f t="shared" si="232"/>
        <v>Without Amendment</v>
      </c>
      <c r="D4158" s="138" t="str">
        <f t="shared" si="233"/>
        <v>High_High</v>
      </c>
      <c r="E4158" s="138" t="str">
        <f t="shared" si="234"/>
        <v>High</v>
      </c>
      <c r="F4158" s="138" t="str">
        <f t="shared" si="230"/>
        <v>Upgraded</v>
      </c>
      <c r="G4158" s="153"/>
      <c r="H4158" s="210">
        <v>0.31859999999999999</v>
      </c>
      <c r="I4158" s="160" t="s">
        <v>55</v>
      </c>
      <c r="J4158" s="160">
        <v>2.33E-3</v>
      </c>
      <c r="K4158" s="160" t="s">
        <v>145</v>
      </c>
      <c r="L4158" s="154" t="str">
        <f>IF(OpenLCAbasic!K4158="CTUh", "Fill in Manually",IF(OR(K4158="Unit", K4158=""), "", INDEX(LookUps!$E$5:$E$12, MATCH(OpenLCAbasic!K4158,LookUps!$D$5:$D$12,0))))</f>
        <v>Particulate Matter Formation Potential (PMFP) - kg PM2.5 eq</v>
      </c>
      <c r="M4158" s="154" t="str">
        <f t="shared" si="231"/>
        <v>High_High_High_Upgraded_Particulate Matter Formation Potential (PMFP) - kg PM2.5 eq_Aeration Tanks; wastewater treatment unit; at updated plant - US_Without Amendment_Windrow</v>
      </c>
    </row>
    <row r="4159" spans="1:13" s="120" customFormat="1" x14ac:dyDescent="0.25">
      <c r="A4159" s="119"/>
      <c r="B4159" s="138" t="str">
        <f t="shared" si="229"/>
        <v>Windrow</v>
      </c>
      <c r="C4159" s="138" t="str">
        <f t="shared" si="232"/>
        <v>Without Amendment</v>
      </c>
      <c r="D4159" s="138" t="str">
        <f t="shared" si="233"/>
        <v>High_High</v>
      </c>
      <c r="E4159" s="138" t="str">
        <f t="shared" si="234"/>
        <v>High</v>
      </c>
      <c r="F4159" s="138" t="str">
        <f t="shared" si="230"/>
        <v>Upgraded</v>
      </c>
      <c r="G4159" s="153"/>
      <c r="H4159" s="210">
        <v>9.2700000000000005E-2</v>
      </c>
      <c r="I4159" s="160" t="s">
        <v>54</v>
      </c>
      <c r="J4159" s="160">
        <v>6.8000000000000005E-4</v>
      </c>
      <c r="K4159" s="160" t="s">
        <v>145</v>
      </c>
      <c r="L4159" s="154" t="str">
        <f>IF(OpenLCAbasic!K4159="CTUh", "Fill in Manually",IF(OR(K4159="Unit", K4159=""), "", INDEX(LookUps!$E$5:$E$12, MATCH(OpenLCAbasic!K4159,LookUps!$D$5:$D$12,0))))</f>
        <v>Particulate Matter Formation Potential (PMFP) - kg PM2.5 eq</v>
      </c>
      <c r="M4159" s="154" t="str">
        <f t="shared" si="231"/>
        <v>High_High_High_Upgraded_Particulate Matter Formation Potential (PMFP) - kg PM2.5 eq_Clear Cove Primary Clarification; wastewater treatment unit; at updated plant - US_Without Amendment_Windrow</v>
      </c>
    </row>
    <row r="4160" spans="1:13" s="120" customFormat="1" x14ac:dyDescent="0.25">
      <c r="A4160" s="119"/>
      <c r="B4160" s="138" t="str">
        <f t="shared" si="229"/>
        <v>Windrow</v>
      </c>
      <c r="C4160" s="138" t="str">
        <f t="shared" si="232"/>
        <v>Without Amendment</v>
      </c>
      <c r="D4160" s="138" t="str">
        <f t="shared" si="233"/>
        <v>High_High</v>
      </c>
      <c r="E4160" s="138" t="str">
        <f t="shared" si="234"/>
        <v>High</v>
      </c>
      <c r="F4160" s="138" t="str">
        <f t="shared" si="230"/>
        <v>Upgraded</v>
      </c>
      <c r="G4160" s="153"/>
      <c r="H4160" s="210">
        <v>8.0699999999999994E-2</v>
      </c>
      <c r="I4160" s="160" t="s">
        <v>58</v>
      </c>
      <c r="J4160" s="160">
        <v>5.9000000000000003E-4</v>
      </c>
      <c r="K4160" s="160" t="s">
        <v>145</v>
      </c>
      <c r="L4160" s="154" t="str">
        <f>IF(OpenLCAbasic!K4160="CTUh", "Fill in Manually",IF(OR(K4160="Unit", K4160=""), "", INDEX(LookUps!$E$5:$E$12, MATCH(OpenLCAbasic!K4160,LookUps!$D$5:$D$12,0))))</f>
        <v>Particulate Matter Formation Potential (PMFP) - kg PM2.5 eq</v>
      </c>
      <c r="M4160" s="154" t="str">
        <f t="shared" si="231"/>
        <v>High_High_High_Upgraded_Particulate Matter Formation Potential (PMFP) - kg PM2.5 eq_Pre-Anoxic &amp; Swing tank; wastewater treatment unit; at updated plant - US_Without Amendment_Windrow</v>
      </c>
    </row>
    <row r="4161" spans="1:13" s="120" customFormat="1" x14ac:dyDescent="0.25">
      <c r="A4161" s="119"/>
      <c r="B4161" s="138" t="str">
        <f t="shared" si="229"/>
        <v>Windrow</v>
      </c>
      <c r="C4161" s="138" t="str">
        <f t="shared" si="232"/>
        <v>Without Amendment</v>
      </c>
      <c r="D4161" s="138" t="str">
        <f t="shared" si="233"/>
        <v>High_High</v>
      </c>
      <c r="E4161" s="138" t="str">
        <f t="shared" si="234"/>
        <v>High</v>
      </c>
      <c r="F4161" s="138" t="str">
        <f t="shared" si="230"/>
        <v>Upgraded</v>
      </c>
      <c r="G4161" s="153"/>
      <c r="H4161" s="210">
        <v>6.3700000000000007E-2</v>
      </c>
      <c r="I4161" s="160" t="s">
        <v>53</v>
      </c>
      <c r="J4161" s="160">
        <v>4.6999999999999999E-4</v>
      </c>
      <c r="K4161" s="160" t="s">
        <v>145</v>
      </c>
      <c r="L4161" s="154" t="str">
        <f>IF(OpenLCAbasic!K4161="CTUh", "Fill in Manually",IF(OR(K4161="Unit", K4161=""), "", INDEX(LookUps!$E$5:$E$12, MATCH(OpenLCAbasic!K4161,LookUps!$D$5:$D$12,0))))</f>
        <v>Particulate Matter Formation Potential (PMFP) - kg PM2.5 eq</v>
      </c>
      <c r="M4161" s="154" t="str">
        <f t="shared" si="231"/>
        <v>High_High_High_Upgraded_Particulate Matter Formation Potential (PMFP) - kg PM2.5 eq_Wet Well and Sump Station; wastewater treatment unit; at updated plant - US_Without Amendment_Windrow</v>
      </c>
    </row>
    <row r="4162" spans="1:13" s="120" customFormat="1" x14ac:dyDescent="0.25">
      <c r="A4162" s="119"/>
      <c r="B4162" s="138" t="str">
        <f t="shared" si="229"/>
        <v>Windrow</v>
      </c>
      <c r="C4162" s="138" t="str">
        <f t="shared" si="232"/>
        <v>Without Amendment</v>
      </c>
      <c r="D4162" s="138" t="str">
        <f t="shared" si="233"/>
        <v>High_High</v>
      </c>
      <c r="E4162" s="138" t="str">
        <f t="shared" si="234"/>
        <v>High</v>
      </c>
      <c r="F4162" s="138" t="str">
        <f t="shared" si="230"/>
        <v>Upgraded</v>
      </c>
      <c r="G4162" s="153"/>
      <c r="H4162" s="210">
        <v>6.0100000000000001E-2</v>
      </c>
      <c r="I4162" s="160" t="s">
        <v>271</v>
      </c>
      <c r="J4162" s="160">
        <v>4.4000000000000002E-4</v>
      </c>
      <c r="K4162" s="160" t="s">
        <v>145</v>
      </c>
      <c r="L4162" s="154" t="str">
        <f>IF(OpenLCAbasic!K4162="CTUh", "Fill in Manually",IF(OR(K4162="Unit", K4162=""), "", INDEX(LookUps!$E$5:$E$12, MATCH(OpenLCAbasic!K4162,LookUps!$D$5:$D$12,0))))</f>
        <v>Particulate Matter Formation Potential (PMFP) - kg PM2.5 eq</v>
      </c>
      <c r="M4162" s="154" t="str">
        <f t="shared" si="231"/>
        <v>High_High_High_Upgraded_Particulate Matter Formation Potential (PMFP) - kg PM2.5 eq_Biosolids composting; windrow composting; wastewater treatment unit; at updated plant - US_Without Amendment_Windrow</v>
      </c>
    </row>
    <row r="4163" spans="1:13" s="120" customFormat="1" x14ac:dyDescent="0.25">
      <c r="A4163" s="119"/>
      <c r="B4163" s="138" t="str">
        <f t="shared" si="229"/>
        <v>Windrow</v>
      </c>
      <c r="C4163" s="138" t="str">
        <f t="shared" si="232"/>
        <v>Without Amendment</v>
      </c>
      <c r="D4163" s="138" t="str">
        <f t="shared" si="233"/>
        <v>High_High</v>
      </c>
      <c r="E4163" s="138" t="str">
        <f t="shared" si="234"/>
        <v>High</v>
      </c>
      <c r="F4163" s="138" t="str">
        <f t="shared" si="230"/>
        <v>Upgraded</v>
      </c>
      <c r="G4163" s="153"/>
      <c r="H4163" s="210">
        <v>4.53E-2</v>
      </c>
      <c r="I4163" s="160" t="s">
        <v>167</v>
      </c>
      <c r="J4163" s="160">
        <v>3.3E-4</v>
      </c>
      <c r="K4163" s="160" t="s">
        <v>145</v>
      </c>
      <c r="L4163" s="154" t="str">
        <f>IF(OpenLCAbasic!K4163="CTUh", "Fill in Manually",IF(OR(K4163="Unit", K4163=""), "", INDEX(LookUps!$E$5:$E$12, MATCH(OpenLCAbasic!K4163,LookUps!$D$5:$D$12,0))))</f>
        <v>Particulate Matter Formation Potential (PMFP) - kg PM2.5 eq</v>
      </c>
      <c r="M4163" s="154" t="str">
        <f t="shared" si="231"/>
        <v>High_High_High_Upgraded_Particulate Matter Formation Potential (PMFP) - kg PM2.5 eq_Waste Receiving and Holding; wastewater treatment unit; at updated plant - US_Without Amendment_Windrow</v>
      </c>
    </row>
    <row r="4164" spans="1:13" s="120" customFormat="1" x14ac:dyDescent="0.25">
      <c r="A4164" s="119"/>
      <c r="B4164" s="138" t="str">
        <f t="shared" ref="B4164:B4207" si="235">IF(F4164="Legacy","n.a.",IF(F4164="","","Windrow"))</f>
        <v>Windrow</v>
      </c>
      <c r="C4164" s="138" t="str">
        <f t="shared" si="232"/>
        <v>Without Amendment</v>
      </c>
      <c r="D4164" s="138" t="str">
        <f t="shared" si="233"/>
        <v>High_High</v>
      </c>
      <c r="E4164" s="138" t="str">
        <f t="shared" si="234"/>
        <v>High</v>
      </c>
      <c r="F4164" s="138" t="str">
        <f t="shared" ref="F4164:F4207" si="236">IF(ISNUMBER(J4164),"Upgraded","")</f>
        <v>Upgraded</v>
      </c>
      <c r="G4164" s="153"/>
      <c r="H4164" s="210">
        <v>3.6400000000000002E-2</v>
      </c>
      <c r="I4164" s="160" t="s">
        <v>147</v>
      </c>
      <c r="J4164" s="160">
        <v>2.7E-4</v>
      </c>
      <c r="K4164" s="160" t="s">
        <v>145</v>
      </c>
      <c r="L4164" s="154" t="str">
        <f>IF(OpenLCAbasic!K4164="CTUh", "Fill in Manually",IF(OR(K4164="Unit", K4164=""), "", INDEX(LookUps!$E$5:$E$12, MATCH(OpenLCAbasic!K4164,LookUps!$D$5:$D$12,0))))</f>
        <v>Particulate Matter Formation Potential (PMFP) - kg PM2.5 eq</v>
      </c>
      <c r="M4164" s="154" t="str">
        <f t="shared" si="231"/>
        <v>High_High_High_Upgraded_Particulate Matter Formation Potential (PMFP) - kg PM2.5 eq_Influent Pump Station; wastewater treatment unit; at updated plant - US_Without Amendment_Windrow</v>
      </c>
    </row>
    <row r="4165" spans="1:13" s="120" customFormat="1" x14ac:dyDescent="0.25">
      <c r="A4165" s="119"/>
      <c r="B4165" s="138" t="str">
        <f t="shared" si="235"/>
        <v>Windrow</v>
      </c>
      <c r="C4165" s="138" t="str">
        <f t="shared" si="232"/>
        <v>Without Amendment</v>
      </c>
      <c r="D4165" s="138" t="str">
        <f t="shared" si="233"/>
        <v>High_High</v>
      </c>
      <c r="E4165" s="138" t="str">
        <f t="shared" si="234"/>
        <v>High</v>
      </c>
      <c r="F4165" s="138" t="str">
        <f t="shared" si="236"/>
        <v>Upgraded</v>
      </c>
      <c r="G4165" s="153"/>
      <c r="H4165" s="210">
        <v>2.5499999999999998E-2</v>
      </c>
      <c r="I4165" s="160" t="s">
        <v>60</v>
      </c>
      <c r="J4165" s="160">
        <v>1.9000000000000001E-4</v>
      </c>
      <c r="K4165" s="160" t="s">
        <v>145</v>
      </c>
      <c r="L4165" s="154" t="str">
        <f>IF(OpenLCAbasic!K4165="CTUh", "Fill in Manually",IF(OR(K4165="Unit", K4165=""), "", INDEX(LookUps!$E$5:$E$12, MATCH(OpenLCAbasic!K4165,LookUps!$D$5:$D$12,0))))</f>
        <v>Particulate Matter Formation Potential (PMFP) - kg PM2.5 eq</v>
      </c>
      <c r="M4165" s="154" t="str">
        <f t="shared" si="231"/>
        <v>High_High_High_Upgraded_Particulate Matter Formation Potential (PMFP) - kg PM2.5 eq_Belt filter press; wastewater treatment unit; at updated plant - US_Without Amendment_Windrow</v>
      </c>
    </row>
    <row r="4166" spans="1:13" s="120" customFormat="1" x14ac:dyDescent="0.25">
      <c r="A4166" s="119"/>
      <c r="B4166" s="138" t="str">
        <f t="shared" si="235"/>
        <v>Windrow</v>
      </c>
      <c r="C4166" s="138" t="str">
        <f t="shared" si="232"/>
        <v>Without Amendment</v>
      </c>
      <c r="D4166" s="138" t="str">
        <f t="shared" si="233"/>
        <v>High_High</v>
      </c>
      <c r="E4166" s="138" t="str">
        <f t="shared" si="234"/>
        <v>High</v>
      </c>
      <c r="F4166" s="138" t="str">
        <f t="shared" si="236"/>
        <v>Upgraded</v>
      </c>
      <c r="G4166" s="153"/>
      <c r="H4166" s="210">
        <v>2.2700000000000001E-2</v>
      </c>
      <c r="I4166" s="160" t="s">
        <v>128</v>
      </c>
      <c r="J4166" s="160">
        <v>1.7000000000000001E-4</v>
      </c>
      <c r="K4166" s="160" t="s">
        <v>145</v>
      </c>
      <c r="L4166" s="154" t="str">
        <f>IF(OpenLCAbasic!K4166="CTUh", "Fill in Manually",IF(OR(K4166="Unit", K4166=""), "", INDEX(LookUps!$E$5:$E$12, MATCH(OpenLCAbasic!K4166,LookUps!$D$5:$D$12,0))))</f>
        <v>Particulate Matter Formation Potential (PMFP) - kg PM2.5 eq</v>
      </c>
      <c r="M4166" s="154" t="str">
        <f t="shared" si="231"/>
        <v>High_High_High_Upgraded_Particulate Matter Formation Potential (PMFP) - kg PM2.5 eq_Wastewater collection; operation and infrastructure; m3 wastewater_Without Amendment_Windrow</v>
      </c>
    </row>
    <row r="4167" spans="1:13" s="120" customFormat="1" x14ac:dyDescent="0.25">
      <c r="A4167" s="119"/>
      <c r="B4167" s="138" t="str">
        <f t="shared" si="235"/>
        <v>Windrow</v>
      </c>
      <c r="C4167" s="138" t="str">
        <f t="shared" si="232"/>
        <v>Without Amendment</v>
      </c>
      <c r="D4167" s="138" t="str">
        <f t="shared" si="233"/>
        <v>High_High</v>
      </c>
      <c r="E4167" s="138" t="str">
        <f t="shared" si="234"/>
        <v>High</v>
      </c>
      <c r="F4167" s="138" t="str">
        <f t="shared" si="236"/>
        <v>Upgraded</v>
      </c>
      <c r="G4167" s="153"/>
      <c r="H4167" s="210">
        <v>1.2999999999999999E-2</v>
      </c>
      <c r="I4167" s="160" t="s">
        <v>57</v>
      </c>
      <c r="J4167" s="211">
        <v>9.5153800000000004E-5</v>
      </c>
      <c r="K4167" s="160" t="s">
        <v>145</v>
      </c>
      <c r="L4167" s="154" t="str">
        <f>IF(OpenLCAbasic!K4167="CTUh", "Fill in Manually",IF(OR(K4167="Unit", K4167=""), "", INDEX(LookUps!$E$5:$E$12, MATCH(OpenLCAbasic!K4167,LookUps!$D$5:$D$12,0))))</f>
        <v>Particulate Matter Formation Potential (PMFP) - kg PM2.5 eq</v>
      </c>
      <c r="M4167" s="154" t="str">
        <f t="shared" ref="M4167:M4230" si="237">CONCATENATE(E4167,"_",D4167,"_",F4167,"_",L4167, "_",I4167,"_", C4167,"_", B4167)</f>
        <v>High_High_High_Upgraded_Particulate Matter Formation Potential (PMFP) - kg PM2.5 eq_Gravity Belt Thickener; wastewater treatment unit; at updated plant - US_Without Amendment_Windrow</v>
      </c>
    </row>
    <row r="4168" spans="1:13" s="120" customFormat="1" x14ac:dyDescent="0.25">
      <c r="A4168" s="119"/>
      <c r="B4168" s="138" t="str">
        <f t="shared" si="235"/>
        <v>Windrow</v>
      </c>
      <c r="C4168" s="138" t="str">
        <f t="shared" si="232"/>
        <v>Without Amendment</v>
      </c>
      <c r="D4168" s="138" t="str">
        <f t="shared" si="233"/>
        <v>High_High</v>
      </c>
      <c r="E4168" s="138" t="str">
        <f t="shared" si="234"/>
        <v>High</v>
      </c>
      <c r="F4168" s="138" t="str">
        <f t="shared" si="236"/>
        <v>Upgraded</v>
      </c>
      <c r="G4168" s="153"/>
      <c r="H4168" s="210">
        <v>9.4999999999999998E-3</v>
      </c>
      <c r="I4168" s="160" t="s">
        <v>59</v>
      </c>
      <c r="J4168" s="211">
        <v>6.9942200000000003E-5</v>
      </c>
      <c r="K4168" s="160" t="s">
        <v>145</v>
      </c>
      <c r="L4168" s="154" t="str">
        <f>IF(OpenLCAbasic!K4168="CTUh", "Fill in Manually",IF(OR(K4168="Unit", K4168=""), "", INDEX(LookUps!$E$5:$E$12, MATCH(OpenLCAbasic!K4168,LookUps!$D$5:$D$12,0))))</f>
        <v>Particulate Matter Formation Potential (PMFP) - kg PM2.5 eq</v>
      </c>
      <c r="M4168" s="154" t="str">
        <f t="shared" si="237"/>
        <v>High_High_High_Upgraded_Particulate Matter Formation Potential (PMFP) - kg PM2.5 eq_Blend Tank; wastewater treatment unit; at updated plant - US_Without Amendment_Windrow</v>
      </c>
    </row>
    <row r="4169" spans="1:13" s="120" customFormat="1" x14ac:dyDescent="0.25">
      <c r="A4169" s="119"/>
      <c r="B4169" s="138" t="str">
        <f t="shared" si="235"/>
        <v>Windrow</v>
      </c>
      <c r="C4169" s="138" t="str">
        <f t="shared" si="232"/>
        <v>Without Amendment</v>
      </c>
      <c r="D4169" s="138" t="str">
        <f t="shared" si="233"/>
        <v>High_High</v>
      </c>
      <c r="E4169" s="138" t="str">
        <f t="shared" si="234"/>
        <v>High</v>
      </c>
      <c r="F4169" s="138" t="str">
        <f t="shared" si="236"/>
        <v>Upgraded</v>
      </c>
      <c r="G4169" s="153"/>
      <c r="H4169" s="210">
        <v>6.7999999999999996E-3</v>
      </c>
      <c r="I4169" s="160" t="s">
        <v>48</v>
      </c>
      <c r="J4169" s="211">
        <v>4.99741E-5</v>
      </c>
      <c r="K4169" s="160" t="s">
        <v>145</v>
      </c>
      <c r="L4169" s="154" t="str">
        <f>IF(OpenLCAbasic!K4169="CTUh", "Fill in Manually",IF(OR(K4169="Unit", K4169=""), "", INDEX(LookUps!$E$5:$E$12, MATCH(OpenLCAbasic!K4169,LookUps!$D$5:$D$12,0))))</f>
        <v>Particulate Matter Formation Potential (PMFP) - kg PM2.5 eq</v>
      </c>
      <c r="M4169" s="154" t="str">
        <f t="shared" si="237"/>
        <v>High_High_High_Upgraded_Particulate Matter Formation Potential (PMFP) - kg PM2.5 eq_Effluent release; wastewater treatment unit; at surface water; m3 wastewater - US_Without Amendment_Windrow</v>
      </c>
    </row>
    <row r="4170" spans="1:13" s="120" customFormat="1" x14ac:dyDescent="0.25">
      <c r="A4170" s="119"/>
      <c r="B4170" s="138" t="str">
        <f t="shared" si="235"/>
        <v>Windrow</v>
      </c>
      <c r="C4170" s="138" t="str">
        <f t="shared" si="232"/>
        <v>Without Amendment</v>
      </c>
      <c r="D4170" s="138" t="str">
        <f t="shared" si="233"/>
        <v>High_High</v>
      </c>
      <c r="E4170" s="138" t="str">
        <f t="shared" si="234"/>
        <v>High</v>
      </c>
      <c r="F4170" s="138" t="str">
        <f t="shared" si="236"/>
        <v>Upgraded</v>
      </c>
      <c r="G4170" s="153"/>
      <c r="H4170" s="210">
        <v>5.7999999999999996E-3</v>
      </c>
      <c r="I4170" s="160" t="s">
        <v>62</v>
      </c>
      <c r="J4170" s="211">
        <v>4.2181600000000003E-5</v>
      </c>
      <c r="K4170" s="160" t="s">
        <v>145</v>
      </c>
      <c r="L4170" s="154" t="str">
        <f>IF(OpenLCAbasic!K4170="CTUh", "Fill in Manually",IF(OR(K4170="Unit", K4170=""), "", INDEX(LookUps!$E$5:$E$12, MATCH(OpenLCAbasic!K4170,LookUps!$D$5:$D$12,0))))</f>
        <v>Particulate Matter Formation Potential (PMFP) - kg PM2.5 eq</v>
      </c>
      <c r="M4170" s="154" t="str">
        <f t="shared" si="237"/>
        <v>High_High_High_Upgraded_Particulate Matter Formation Potential (PMFP) - kg PM2.5 eq_Land application of compost; wastewater treatment unit; at updated plant - US_Without Amendment_Windrow</v>
      </c>
    </row>
    <row r="4171" spans="1:13" s="120" customFormat="1" x14ac:dyDescent="0.25">
      <c r="A4171" s="119"/>
      <c r="B4171" s="138" t="str">
        <f t="shared" si="235"/>
        <v>Windrow</v>
      </c>
      <c r="C4171" s="138" t="str">
        <f t="shared" si="232"/>
        <v>Without Amendment</v>
      </c>
      <c r="D4171" s="138" t="str">
        <f t="shared" si="233"/>
        <v>High_High</v>
      </c>
      <c r="E4171" s="138" t="str">
        <f t="shared" si="234"/>
        <v>High</v>
      </c>
      <c r="F4171" s="138" t="str">
        <f t="shared" si="236"/>
        <v>Upgraded</v>
      </c>
      <c r="G4171" s="153"/>
      <c r="H4171" s="210">
        <v>4.7000000000000002E-3</v>
      </c>
      <c r="I4171" s="160" t="s">
        <v>168</v>
      </c>
      <c r="J4171" s="211">
        <v>3.4562199999999999E-5</v>
      </c>
      <c r="K4171" s="160" t="s">
        <v>145</v>
      </c>
      <c r="L4171" s="154" t="str">
        <f>IF(OpenLCAbasic!K4171="CTUh", "Fill in Manually",IF(OR(K4171="Unit", K4171=""), "", INDEX(LookUps!$E$5:$E$12, MATCH(OpenLCAbasic!K4171,LookUps!$D$5:$D$12,0))))</f>
        <v>Particulate Matter Formation Potential (PMFP) - kg PM2.5 eq</v>
      </c>
      <c r="M4171" s="154" t="str">
        <f t="shared" si="237"/>
        <v>High_High_High_Upgraded_Particulate Matter Formation Potential (PMFP) - kg PM2.5 eq_ClearCove SCP; wastewater treatment unit; at updated plant - US_Without Amendment_Windrow</v>
      </c>
    </row>
    <row r="4172" spans="1:13" s="120" customFormat="1" x14ac:dyDescent="0.25">
      <c r="A4172" s="119"/>
      <c r="B4172" s="138" t="str">
        <f t="shared" si="235"/>
        <v>Windrow</v>
      </c>
      <c r="C4172" s="138" t="str">
        <f t="shared" si="232"/>
        <v>Without Amendment</v>
      </c>
      <c r="D4172" s="138" t="str">
        <f t="shared" si="233"/>
        <v>High_High</v>
      </c>
      <c r="E4172" s="138" t="str">
        <f t="shared" si="234"/>
        <v>High</v>
      </c>
      <c r="F4172" s="138" t="str">
        <f t="shared" si="236"/>
        <v>Upgraded</v>
      </c>
      <c r="G4172" s="153"/>
      <c r="H4172" s="210">
        <v>1.1999999999999999E-3</v>
      </c>
      <c r="I4172" s="160" t="s">
        <v>148</v>
      </c>
      <c r="J4172" s="211">
        <v>8.8212999999999997E-6</v>
      </c>
      <c r="K4172" s="160" t="s">
        <v>145</v>
      </c>
      <c r="L4172" s="154" t="str">
        <f>IF(OpenLCAbasic!K4172="CTUh", "Fill in Manually",IF(OR(K4172="Unit", K4172=""), "", INDEX(LookUps!$E$5:$E$12, MATCH(OpenLCAbasic!K4172,LookUps!$D$5:$D$12,0))))</f>
        <v>Particulate Matter Formation Potential (PMFP) - kg PM2.5 eq</v>
      </c>
      <c r="M4172" s="154" t="str">
        <f t="shared" si="237"/>
        <v>High_High_High_Upgraded_Particulate Matter Formation Potential (PMFP) - kg PM2.5 eq_Control Building; at upgraded wastewater treatment plant - US_Without Amendment_Windrow</v>
      </c>
    </row>
    <row r="4173" spans="1:13" s="120" customFormat="1" x14ac:dyDescent="0.25">
      <c r="A4173" s="119"/>
      <c r="B4173" s="138" t="str">
        <f t="shared" si="235"/>
        <v>Windrow</v>
      </c>
      <c r="C4173" s="138" t="str">
        <f t="shared" si="232"/>
        <v>Without Amendment</v>
      </c>
      <c r="D4173" s="138" t="str">
        <f t="shared" si="233"/>
        <v>High_High</v>
      </c>
      <c r="E4173" s="138" t="str">
        <f t="shared" si="234"/>
        <v>High</v>
      </c>
      <c r="F4173" s="138" t="str">
        <f t="shared" si="236"/>
        <v>Upgraded</v>
      </c>
      <c r="G4173" s="153"/>
      <c r="H4173" s="210">
        <v>-1.7868999999999999</v>
      </c>
      <c r="I4173" s="160" t="s">
        <v>149</v>
      </c>
      <c r="J4173" s="160">
        <v>-1.3089999999999999E-2</v>
      </c>
      <c r="K4173" s="160" t="s">
        <v>145</v>
      </c>
      <c r="L4173" s="154" t="str">
        <f>IF(OpenLCAbasic!K4173="CTUh", "Fill in Manually",IF(OR(K4173="Unit", K4173=""), "", INDEX(LookUps!$E$5:$E$12, MATCH(OpenLCAbasic!K4173,LookUps!$D$5:$D$12,0))))</f>
        <v>Particulate Matter Formation Potential (PMFP) - kg PM2.5 eq</v>
      </c>
      <c r="M4173" s="154" t="str">
        <f t="shared" si="237"/>
        <v>High_High_High_Upgraded_Particulate Matter Formation Potential (PMFP) - kg PM2.5 eq_Anaerobic Digestion; wastewater treatment unit; at updated plant - US_Without Amendment_Windrow</v>
      </c>
    </row>
    <row r="4174" spans="1:13" s="120" customFormat="1" x14ac:dyDescent="0.25">
      <c r="A4174" s="119"/>
      <c r="B4174" s="138" t="str">
        <f t="shared" si="235"/>
        <v/>
      </c>
      <c r="C4174" s="138" t="str">
        <f t="shared" si="232"/>
        <v/>
      </c>
      <c r="D4174" s="138" t="str">
        <f t="shared" si="233"/>
        <v/>
      </c>
      <c r="E4174" s="138" t="str">
        <f t="shared" si="234"/>
        <v/>
      </c>
      <c r="F4174" s="138" t="str">
        <f t="shared" si="236"/>
        <v/>
      </c>
      <c r="G4174" s="153" t="s">
        <v>51</v>
      </c>
      <c r="H4174" s="160"/>
      <c r="I4174" s="160" t="s">
        <v>47</v>
      </c>
      <c r="J4174" s="160" t="s">
        <v>52</v>
      </c>
      <c r="K4174" s="160" t="s">
        <v>27</v>
      </c>
      <c r="L4174" s="154" t="str">
        <f>IF(OpenLCAbasic!K4174="CTUh", "Fill in Manually",IF(OR(K4174="Unit", K4174=""), "", INDEX(LookUps!$E$5:$E$12, MATCH(OpenLCAbasic!K4174,LookUps!$D$5:$D$12,0))))</f>
        <v/>
      </c>
      <c r="M4174" s="154" t="str">
        <f t="shared" si="237"/>
        <v>____Process__</v>
      </c>
    </row>
    <row r="4175" spans="1:13" s="120" customFormat="1" x14ac:dyDescent="0.25">
      <c r="A4175" s="119"/>
      <c r="B4175" s="138" t="str">
        <f t="shared" si="235"/>
        <v>Windrow</v>
      </c>
      <c r="C4175" s="138" t="str">
        <f t="shared" si="232"/>
        <v>Without Amendment</v>
      </c>
      <c r="D4175" s="138" t="str">
        <f t="shared" si="233"/>
        <v>High_High</v>
      </c>
      <c r="E4175" s="138" t="str">
        <f t="shared" si="234"/>
        <v>High</v>
      </c>
      <c r="F4175" s="138" t="str">
        <f t="shared" si="236"/>
        <v>Upgraded</v>
      </c>
      <c r="G4175" s="153"/>
      <c r="H4175" s="210">
        <v>0.30249999999999999</v>
      </c>
      <c r="I4175" s="160" t="s">
        <v>55</v>
      </c>
      <c r="J4175" s="160">
        <v>0.16577</v>
      </c>
      <c r="K4175" s="160" t="s">
        <v>25</v>
      </c>
      <c r="L4175" s="154" t="str">
        <f>IF(OpenLCAbasic!K4175="CTUh", "Fill in Manually",IF(OR(K4175="Unit", K4175=""), "", INDEX(LookUps!$E$5:$E$12, MATCH(OpenLCAbasic!K4175,LookUps!$D$5:$D$12,0))))</f>
        <v>Smog Formation Potential (SFP) - kg O3 eq</v>
      </c>
      <c r="M4175" s="154" t="str">
        <f t="shared" si="237"/>
        <v>High_High_High_Upgraded_Smog Formation Potential (SFP) - kg O3 eq_Aeration Tanks; wastewater treatment unit; at updated plant - US_Without Amendment_Windrow</v>
      </c>
    </row>
    <row r="4176" spans="1:13" s="120" customFormat="1" x14ac:dyDescent="0.25">
      <c r="A4176" s="119"/>
      <c r="B4176" s="138" t="str">
        <f t="shared" si="235"/>
        <v>Windrow</v>
      </c>
      <c r="C4176" s="138" t="str">
        <f>IF(ISNUMBER($J4176),"Without Amendment","")</f>
        <v>Without Amendment</v>
      </c>
      <c r="D4176" s="138" t="str">
        <f t="shared" si="233"/>
        <v>High_High</v>
      </c>
      <c r="E4176" s="138" t="str">
        <f t="shared" si="234"/>
        <v>High</v>
      </c>
      <c r="F4176" s="138" t="str">
        <f t="shared" si="236"/>
        <v>Upgraded</v>
      </c>
      <c r="G4176" s="153"/>
      <c r="H4176" s="210">
        <v>8.77E-2</v>
      </c>
      <c r="I4176" s="160" t="s">
        <v>54</v>
      </c>
      <c r="J4176" s="160">
        <v>4.8070000000000002E-2</v>
      </c>
      <c r="K4176" s="160" t="s">
        <v>25</v>
      </c>
      <c r="L4176" s="154" t="str">
        <f>IF(OpenLCAbasic!K4176="CTUh", "Fill in Manually",IF(OR(K4176="Unit", K4176=""), "", INDEX(LookUps!$E$5:$E$12, MATCH(OpenLCAbasic!K4176,LookUps!$D$5:$D$12,0))))</f>
        <v>Smog Formation Potential (SFP) - kg O3 eq</v>
      </c>
      <c r="M4176" s="154" t="str">
        <f t="shared" si="237"/>
        <v>High_High_High_Upgraded_Smog Formation Potential (SFP) - kg O3 eq_Clear Cove Primary Clarification; wastewater treatment unit; at updated plant - US_Without Amendment_Windrow</v>
      </c>
    </row>
    <row r="4177" spans="1:13" s="120" customFormat="1" x14ac:dyDescent="0.25">
      <c r="A4177" s="119"/>
      <c r="B4177" s="138" t="str">
        <f t="shared" si="235"/>
        <v>Windrow</v>
      </c>
      <c r="C4177" s="138" t="str">
        <f t="shared" si="232"/>
        <v>Without Amendment</v>
      </c>
      <c r="D4177" s="138" t="str">
        <f t="shared" si="233"/>
        <v>High_High</v>
      </c>
      <c r="E4177" s="138" t="str">
        <f t="shared" si="234"/>
        <v>High</v>
      </c>
      <c r="F4177" s="138" t="str">
        <f t="shared" si="236"/>
        <v>Upgraded</v>
      </c>
      <c r="G4177" s="153"/>
      <c r="H4177" s="210">
        <v>7.6799999999999993E-2</v>
      </c>
      <c r="I4177" s="160" t="s">
        <v>58</v>
      </c>
      <c r="J4177" s="160">
        <v>4.2090000000000002E-2</v>
      </c>
      <c r="K4177" s="160" t="s">
        <v>25</v>
      </c>
      <c r="L4177" s="154" t="str">
        <f>IF(OpenLCAbasic!K4177="CTUh", "Fill in Manually",IF(OR(K4177="Unit", K4177=""), "", INDEX(LookUps!$E$5:$E$12, MATCH(OpenLCAbasic!K4177,LookUps!$D$5:$D$12,0))))</f>
        <v>Smog Formation Potential (SFP) - kg O3 eq</v>
      </c>
      <c r="M4177" s="154" t="str">
        <f t="shared" si="237"/>
        <v>High_High_High_Upgraded_Smog Formation Potential (SFP) - kg O3 eq_Pre-Anoxic &amp; Swing tank; wastewater treatment unit; at updated plant - US_Without Amendment_Windrow</v>
      </c>
    </row>
    <row r="4178" spans="1:13" s="120" customFormat="1" x14ac:dyDescent="0.25">
      <c r="A4178" s="119"/>
      <c r="B4178" s="138" t="str">
        <f t="shared" si="235"/>
        <v>Windrow</v>
      </c>
      <c r="C4178" s="138" t="str">
        <f t="shared" si="232"/>
        <v>Without Amendment</v>
      </c>
      <c r="D4178" s="138" t="str">
        <f t="shared" si="233"/>
        <v>High_High</v>
      </c>
      <c r="E4178" s="138" t="str">
        <f t="shared" si="234"/>
        <v>High</v>
      </c>
      <c r="F4178" s="138" t="str">
        <f t="shared" si="236"/>
        <v>Upgraded</v>
      </c>
      <c r="G4178" s="153"/>
      <c r="H4178" s="210">
        <v>6.1600000000000002E-2</v>
      </c>
      <c r="I4178" s="160" t="s">
        <v>167</v>
      </c>
      <c r="J4178" s="160">
        <v>3.3759999999999998E-2</v>
      </c>
      <c r="K4178" s="160" t="s">
        <v>25</v>
      </c>
      <c r="L4178" s="154" t="str">
        <f>IF(OpenLCAbasic!K4178="CTUh", "Fill in Manually",IF(OR(K4178="Unit", K4178=""), "", INDEX(LookUps!$E$5:$E$12, MATCH(OpenLCAbasic!K4178,LookUps!$D$5:$D$12,0))))</f>
        <v>Smog Formation Potential (SFP) - kg O3 eq</v>
      </c>
      <c r="M4178" s="154" t="str">
        <f t="shared" si="237"/>
        <v>High_High_High_Upgraded_Smog Formation Potential (SFP) - kg O3 eq_Waste Receiving and Holding; wastewater treatment unit; at updated plant - US_Without Amendment_Windrow</v>
      </c>
    </row>
    <row r="4179" spans="1:13" s="120" customFormat="1" x14ac:dyDescent="0.25">
      <c r="A4179" s="119"/>
      <c r="B4179" s="138" t="str">
        <f t="shared" si="235"/>
        <v>Windrow</v>
      </c>
      <c r="C4179" s="138" t="str">
        <f t="shared" si="232"/>
        <v>Without Amendment</v>
      </c>
      <c r="D4179" s="138" t="str">
        <f t="shared" si="233"/>
        <v>High_High</v>
      </c>
      <c r="E4179" s="138" t="str">
        <f t="shared" si="234"/>
        <v>High</v>
      </c>
      <c r="F4179" s="138" t="str">
        <f t="shared" si="236"/>
        <v>Upgraded</v>
      </c>
      <c r="G4179" s="153"/>
      <c r="H4179" s="210">
        <v>6.0400000000000002E-2</v>
      </c>
      <c r="I4179" s="160" t="s">
        <v>53</v>
      </c>
      <c r="J4179" s="160">
        <v>3.313E-2</v>
      </c>
      <c r="K4179" s="160" t="s">
        <v>25</v>
      </c>
      <c r="L4179" s="154" t="str">
        <f>IF(OpenLCAbasic!K4179="CTUh", "Fill in Manually",IF(OR(K4179="Unit", K4179=""), "", INDEX(LookUps!$E$5:$E$12, MATCH(OpenLCAbasic!K4179,LookUps!$D$5:$D$12,0))))</f>
        <v>Smog Formation Potential (SFP) - kg O3 eq</v>
      </c>
      <c r="M4179" s="154" t="str">
        <f t="shared" si="237"/>
        <v>High_High_High_Upgraded_Smog Formation Potential (SFP) - kg O3 eq_Wet Well and Sump Station; wastewater treatment unit; at updated plant - US_Without Amendment_Windrow</v>
      </c>
    </row>
    <row r="4180" spans="1:13" s="120" customFormat="1" x14ac:dyDescent="0.25">
      <c r="A4180" s="119"/>
      <c r="B4180" s="138" t="str">
        <f t="shared" si="235"/>
        <v>Windrow</v>
      </c>
      <c r="C4180" s="138" t="str">
        <f t="shared" si="232"/>
        <v>Without Amendment</v>
      </c>
      <c r="D4180" s="138" t="str">
        <f t="shared" si="233"/>
        <v>High_High</v>
      </c>
      <c r="E4180" s="138" t="str">
        <f t="shared" si="234"/>
        <v>High</v>
      </c>
      <c r="F4180" s="138" t="str">
        <f t="shared" si="236"/>
        <v>Upgraded</v>
      </c>
      <c r="G4180" s="153"/>
      <c r="H4180" s="210">
        <v>3.5400000000000001E-2</v>
      </c>
      <c r="I4180" s="160" t="s">
        <v>147</v>
      </c>
      <c r="J4180" s="160">
        <v>1.9400000000000001E-2</v>
      </c>
      <c r="K4180" s="160" t="s">
        <v>25</v>
      </c>
      <c r="L4180" s="154" t="str">
        <f>IF(OpenLCAbasic!K4180="CTUh", "Fill in Manually",IF(OR(K4180="Unit", K4180=""), "", INDEX(LookUps!$E$5:$E$12, MATCH(OpenLCAbasic!K4180,LookUps!$D$5:$D$12,0))))</f>
        <v>Smog Formation Potential (SFP) - kg O3 eq</v>
      </c>
      <c r="M4180" s="154" t="str">
        <f t="shared" si="237"/>
        <v>High_High_High_Upgraded_Smog Formation Potential (SFP) - kg O3 eq_Influent Pump Station; wastewater treatment unit; at updated plant - US_Without Amendment_Windrow</v>
      </c>
    </row>
    <row r="4181" spans="1:13" s="120" customFormat="1" x14ac:dyDescent="0.25">
      <c r="A4181" s="119"/>
      <c r="B4181" s="138" t="str">
        <f t="shared" si="235"/>
        <v>Windrow</v>
      </c>
      <c r="C4181" s="138" t="str">
        <f t="shared" si="232"/>
        <v>Without Amendment</v>
      </c>
      <c r="D4181" s="138" t="str">
        <f t="shared" si="233"/>
        <v>High_High</v>
      </c>
      <c r="E4181" s="138" t="str">
        <f t="shared" si="234"/>
        <v>High</v>
      </c>
      <c r="F4181" s="138" t="str">
        <f t="shared" si="236"/>
        <v>Upgraded</v>
      </c>
      <c r="G4181" s="153"/>
      <c r="H4181" s="210">
        <v>2.4E-2</v>
      </c>
      <c r="I4181" s="160" t="s">
        <v>60</v>
      </c>
      <c r="J4181" s="160">
        <v>1.316E-2</v>
      </c>
      <c r="K4181" s="160" t="s">
        <v>25</v>
      </c>
      <c r="L4181" s="154" t="str">
        <f>IF(OpenLCAbasic!K4181="CTUh", "Fill in Manually",IF(OR(K4181="Unit", K4181=""), "", INDEX(LookUps!$E$5:$E$12, MATCH(OpenLCAbasic!K4181,LookUps!$D$5:$D$12,0))))</f>
        <v>Smog Formation Potential (SFP) - kg O3 eq</v>
      </c>
      <c r="M4181" s="154" t="str">
        <f t="shared" si="237"/>
        <v>High_High_High_Upgraded_Smog Formation Potential (SFP) - kg O3 eq_Belt filter press; wastewater treatment unit; at updated plant - US_Without Amendment_Windrow</v>
      </c>
    </row>
    <row r="4182" spans="1:13" s="120" customFormat="1" x14ac:dyDescent="0.25">
      <c r="A4182" s="119"/>
      <c r="B4182" s="138" t="str">
        <f t="shared" si="235"/>
        <v>Windrow</v>
      </c>
      <c r="C4182" s="138" t="str">
        <f t="shared" si="232"/>
        <v>Without Amendment</v>
      </c>
      <c r="D4182" s="138" t="str">
        <f t="shared" si="233"/>
        <v>High_High</v>
      </c>
      <c r="E4182" s="138" t="str">
        <f t="shared" si="234"/>
        <v>High</v>
      </c>
      <c r="F4182" s="138" t="str">
        <f t="shared" si="236"/>
        <v>Upgraded</v>
      </c>
      <c r="G4182" s="153"/>
      <c r="H4182" s="210">
        <v>2.1700000000000001E-2</v>
      </c>
      <c r="I4182" s="160" t="s">
        <v>128</v>
      </c>
      <c r="J4182" s="160">
        <v>1.192E-2</v>
      </c>
      <c r="K4182" s="160" t="s">
        <v>25</v>
      </c>
      <c r="L4182" s="154" t="str">
        <f>IF(OpenLCAbasic!K4182="CTUh", "Fill in Manually",IF(OR(K4182="Unit", K4182=""), "", INDEX(LookUps!$E$5:$E$12, MATCH(OpenLCAbasic!K4182,LookUps!$D$5:$D$12,0))))</f>
        <v>Smog Formation Potential (SFP) - kg O3 eq</v>
      </c>
      <c r="M4182" s="154" t="str">
        <f t="shared" si="237"/>
        <v>High_High_High_Upgraded_Smog Formation Potential (SFP) - kg O3 eq_Wastewater collection; operation and infrastructure; m3 wastewater_Without Amendment_Windrow</v>
      </c>
    </row>
    <row r="4183" spans="1:13" s="120" customFormat="1" x14ac:dyDescent="0.25">
      <c r="A4183" s="119"/>
      <c r="B4183" s="138" t="str">
        <f t="shared" si="235"/>
        <v>Windrow</v>
      </c>
      <c r="C4183" s="138" t="str">
        <f t="shared" si="232"/>
        <v>Without Amendment</v>
      </c>
      <c r="D4183" s="138" t="str">
        <f t="shared" si="233"/>
        <v>High_High</v>
      </c>
      <c r="E4183" s="138" t="str">
        <f t="shared" si="234"/>
        <v>High</v>
      </c>
      <c r="F4183" s="138" t="str">
        <f t="shared" si="236"/>
        <v>Upgraded</v>
      </c>
      <c r="G4183" s="153"/>
      <c r="H4183" s="210">
        <v>1.21E-2</v>
      </c>
      <c r="I4183" s="160" t="s">
        <v>57</v>
      </c>
      <c r="J4183" s="160">
        <v>6.6499999999999997E-3</v>
      </c>
      <c r="K4183" s="160" t="s">
        <v>25</v>
      </c>
      <c r="L4183" s="154" t="str">
        <f>IF(OpenLCAbasic!K4183="CTUh", "Fill in Manually",IF(OR(K4183="Unit", K4183=""), "", INDEX(LookUps!$E$5:$E$12, MATCH(OpenLCAbasic!K4183,LookUps!$D$5:$D$12,0))))</f>
        <v>Smog Formation Potential (SFP) - kg O3 eq</v>
      </c>
      <c r="M4183" s="154" t="str">
        <f t="shared" si="237"/>
        <v>High_High_High_Upgraded_Smog Formation Potential (SFP) - kg O3 eq_Gravity Belt Thickener; wastewater treatment unit; at updated plant - US_Without Amendment_Windrow</v>
      </c>
    </row>
    <row r="4184" spans="1:13" s="120" customFormat="1" x14ac:dyDescent="0.25">
      <c r="A4184" s="119"/>
      <c r="B4184" s="138" t="str">
        <f t="shared" si="235"/>
        <v>Windrow</v>
      </c>
      <c r="C4184" s="138" t="str">
        <f t="shared" si="232"/>
        <v>Without Amendment</v>
      </c>
      <c r="D4184" s="138" t="str">
        <f t="shared" si="233"/>
        <v>High_High</v>
      </c>
      <c r="E4184" s="138" t="str">
        <f t="shared" si="234"/>
        <v>High</v>
      </c>
      <c r="F4184" s="138" t="str">
        <f t="shared" si="236"/>
        <v>Upgraded</v>
      </c>
      <c r="G4184" s="153"/>
      <c r="H4184" s="210">
        <v>9.1000000000000004E-3</v>
      </c>
      <c r="I4184" s="160" t="s">
        <v>59</v>
      </c>
      <c r="J4184" s="160">
        <v>4.9699999999999996E-3</v>
      </c>
      <c r="K4184" s="160" t="s">
        <v>25</v>
      </c>
      <c r="L4184" s="154" t="str">
        <f>IF(OpenLCAbasic!K4184="CTUh", "Fill in Manually",IF(OR(K4184="Unit", K4184=""), "", INDEX(LookUps!$E$5:$E$12, MATCH(OpenLCAbasic!K4184,LookUps!$D$5:$D$12,0))))</f>
        <v>Smog Formation Potential (SFP) - kg O3 eq</v>
      </c>
      <c r="M4184" s="154" t="str">
        <f t="shared" si="237"/>
        <v>High_High_High_Upgraded_Smog Formation Potential (SFP) - kg O3 eq_Blend Tank; wastewater treatment unit; at updated plant - US_Without Amendment_Windrow</v>
      </c>
    </row>
    <row r="4185" spans="1:13" s="120" customFormat="1" x14ac:dyDescent="0.25">
      <c r="A4185" s="119"/>
      <c r="B4185" s="138" t="str">
        <f t="shared" si="235"/>
        <v>Windrow</v>
      </c>
      <c r="C4185" s="138" t="str">
        <f t="shared" si="232"/>
        <v>Without Amendment</v>
      </c>
      <c r="D4185" s="138" t="str">
        <f t="shared" si="233"/>
        <v>High_High</v>
      </c>
      <c r="E4185" s="138" t="str">
        <f t="shared" si="234"/>
        <v>High</v>
      </c>
      <c r="F4185" s="138" t="str">
        <f t="shared" si="236"/>
        <v>Upgraded</v>
      </c>
      <c r="G4185" s="153"/>
      <c r="H4185" s="210">
        <v>6.1999999999999998E-3</v>
      </c>
      <c r="I4185" s="160" t="s">
        <v>48</v>
      </c>
      <c r="J4185" s="160">
        <v>3.3899999999999998E-3</v>
      </c>
      <c r="K4185" s="160" t="s">
        <v>25</v>
      </c>
      <c r="L4185" s="154" t="str">
        <f>IF(OpenLCAbasic!K4185="CTUh", "Fill in Manually",IF(OR(K4185="Unit", K4185=""), "", INDEX(LookUps!$E$5:$E$12, MATCH(OpenLCAbasic!K4185,LookUps!$D$5:$D$12,0))))</f>
        <v>Smog Formation Potential (SFP) - kg O3 eq</v>
      </c>
      <c r="M4185" s="154" t="str">
        <f t="shared" si="237"/>
        <v>High_High_High_Upgraded_Smog Formation Potential (SFP) - kg O3 eq_Effluent release; wastewater treatment unit; at surface water; m3 wastewater - US_Without Amendment_Windrow</v>
      </c>
    </row>
    <row r="4186" spans="1:13" s="120" customFormat="1" x14ac:dyDescent="0.25">
      <c r="A4186" s="119"/>
      <c r="B4186" s="138" t="str">
        <f t="shared" si="235"/>
        <v>Windrow</v>
      </c>
      <c r="C4186" s="138" t="str">
        <f t="shared" si="232"/>
        <v>Without Amendment</v>
      </c>
      <c r="D4186" s="138" t="str">
        <f t="shared" si="233"/>
        <v>High_High</v>
      </c>
      <c r="E4186" s="138" t="str">
        <f t="shared" si="234"/>
        <v>High</v>
      </c>
      <c r="F4186" s="138" t="str">
        <f t="shared" si="236"/>
        <v>Upgraded</v>
      </c>
      <c r="G4186" s="153"/>
      <c r="H4186" s="210">
        <v>4.4999999999999997E-3</v>
      </c>
      <c r="I4186" s="160" t="s">
        <v>168</v>
      </c>
      <c r="J4186" s="160">
        <v>2.4599999999999999E-3</v>
      </c>
      <c r="K4186" s="160" t="s">
        <v>25</v>
      </c>
      <c r="L4186" s="154" t="str">
        <f>IF(OpenLCAbasic!K4186="CTUh", "Fill in Manually",IF(OR(K4186="Unit", K4186=""), "", INDEX(LookUps!$E$5:$E$12, MATCH(OpenLCAbasic!K4186,LookUps!$D$5:$D$12,0))))</f>
        <v>Smog Formation Potential (SFP) - kg O3 eq</v>
      </c>
      <c r="M4186" s="154" t="str">
        <f t="shared" si="237"/>
        <v>High_High_High_Upgraded_Smog Formation Potential (SFP) - kg O3 eq_ClearCove SCP; wastewater treatment unit; at updated plant - US_Without Amendment_Windrow</v>
      </c>
    </row>
    <row r="4187" spans="1:13" s="120" customFormat="1" x14ac:dyDescent="0.25">
      <c r="A4187" s="119"/>
      <c r="B4187" s="138" t="str">
        <f>IF(F4187="Legacy","n.a.",IF(F4187="","","Windrow"))</f>
        <v>Windrow</v>
      </c>
      <c r="C4187" s="138" t="str">
        <f t="shared" si="232"/>
        <v>Without Amendment</v>
      </c>
      <c r="D4187" s="138" t="str">
        <f t="shared" si="233"/>
        <v>High_High</v>
      </c>
      <c r="E4187" s="138" t="str">
        <f t="shared" si="234"/>
        <v>High</v>
      </c>
      <c r="F4187" s="138" t="str">
        <f t="shared" si="236"/>
        <v>Upgraded</v>
      </c>
      <c r="G4187" s="153"/>
      <c r="H4187" s="210">
        <v>1.6999999999999999E-3</v>
      </c>
      <c r="I4187" s="160" t="s">
        <v>271</v>
      </c>
      <c r="J4187" s="160">
        <v>9.2000000000000003E-4</v>
      </c>
      <c r="K4187" s="160" t="s">
        <v>25</v>
      </c>
      <c r="L4187" s="154" t="str">
        <f>IF(OpenLCAbasic!K4187="CTUh", "Fill in Manually",IF(OR(K4187="Unit", K4187=""), "", INDEX(LookUps!$E$5:$E$12, MATCH(OpenLCAbasic!K4187,LookUps!$D$5:$D$12,0))))</f>
        <v>Smog Formation Potential (SFP) - kg O3 eq</v>
      </c>
      <c r="M4187" s="154" t="str">
        <f t="shared" si="237"/>
        <v>High_High_High_Upgraded_Smog Formation Potential (SFP) - kg O3 eq_Biosolids composting; windrow composting; wastewater treatment unit; at updated plant - US_Without Amendment_Windrow</v>
      </c>
    </row>
    <row r="4188" spans="1:13" s="120" customFormat="1" x14ac:dyDescent="0.25">
      <c r="A4188" s="119"/>
      <c r="B4188" s="138" t="str">
        <f t="shared" si="235"/>
        <v>Windrow</v>
      </c>
      <c r="C4188" s="138" t="str">
        <f t="shared" si="232"/>
        <v>Without Amendment</v>
      </c>
      <c r="D4188" s="138" t="str">
        <f t="shared" si="233"/>
        <v>High_High</v>
      </c>
      <c r="E4188" s="138" t="str">
        <f t="shared" si="234"/>
        <v>High</v>
      </c>
      <c r="F4188" s="138" t="str">
        <f t="shared" si="236"/>
        <v>Upgraded</v>
      </c>
      <c r="G4188" s="153"/>
      <c r="H4188" s="210">
        <v>1E-3</v>
      </c>
      <c r="I4188" s="160" t="s">
        <v>148</v>
      </c>
      <c r="J4188" s="160">
        <v>5.4000000000000001E-4</v>
      </c>
      <c r="K4188" s="160" t="s">
        <v>25</v>
      </c>
      <c r="L4188" s="154" t="str">
        <f>IF(OpenLCAbasic!K4188="CTUh", "Fill in Manually",IF(OR(K4188="Unit", K4188=""), "", INDEX(LookUps!$E$5:$E$12, MATCH(OpenLCAbasic!K4188,LookUps!$D$5:$D$12,0))))</f>
        <v>Smog Formation Potential (SFP) - kg O3 eq</v>
      </c>
      <c r="M4188" s="154" t="str">
        <f t="shared" si="237"/>
        <v>High_High_High_Upgraded_Smog Formation Potential (SFP) - kg O3 eq_Control Building; at upgraded wastewater treatment plant - US_Without Amendment_Windrow</v>
      </c>
    </row>
    <row r="4189" spans="1:13" s="120" customFormat="1" x14ac:dyDescent="0.25">
      <c r="A4189" s="119"/>
      <c r="B4189" s="138" t="str">
        <f t="shared" si="235"/>
        <v>Windrow</v>
      </c>
      <c r="C4189" s="138" t="str">
        <f t="shared" si="232"/>
        <v>Without Amendment</v>
      </c>
      <c r="D4189" s="138" t="str">
        <f t="shared" si="233"/>
        <v>High_High</v>
      </c>
      <c r="E4189" s="138" t="str">
        <f t="shared" si="234"/>
        <v>High</v>
      </c>
      <c r="F4189" s="138" t="str">
        <f t="shared" si="236"/>
        <v>Upgraded</v>
      </c>
      <c r="G4189" s="153"/>
      <c r="H4189" s="210">
        <v>-5.4999999999999997E-3</v>
      </c>
      <c r="I4189" s="160" t="s">
        <v>62</v>
      </c>
      <c r="J4189" s="160">
        <v>-3.0000000000000001E-3</v>
      </c>
      <c r="K4189" s="160" t="s">
        <v>25</v>
      </c>
      <c r="L4189" s="154" t="str">
        <f>IF(OpenLCAbasic!K4189="CTUh", "Fill in Manually",IF(OR(K4189="Unit", K4189=""), "", INDEX(LookUps!$E$5:$E$12, MATCH(OpenLCAbasic!K4189,LookUps!$D$5:$D$12,0))))</f>
        <v>Smog Formation Potential (SFP) - kg O3 eq</v>
      </c>
      <c r="M4189" s="154" t="str">
        <f t="shared" si="237"/>
        <v>High_High_High_Upgraded_Smog Formation Potential (SFP) - kg O3 eq_Land application of compost; wastewater treatment unit; at updated plant - US_Without Amendment_Windrow</v>
      </c>
    </row>
    <row r="4190" spans="1:13" s="120" customFormat="1" x14ac:dyDescent="0.25">
      <c r="A4190" s="119"/>
      <c r="B4190" s="138" t="str">
        <f t="shared" si="235"/>
        <v>Windrow</v>
      </c>
      <c r="C4190" s="138" t="str">
        <f t="shared" si="232"/>
        <v>Without Amendment</v>
      </c>
      <c r="D4190" s="138" t="str">
        <f t="shared" si="233"/>
        <v>High_High</v>
      </c>
      <c r="E4190" s="138" t="str">
        <f t="shared" si="234"/>
        <v>High</v>
      </c>
      <c r="F4190" s="138" t="str">
        <f t="shared" si="236"/>
        <v>Upgraded</v>
      </c>
      <c r="G4190" s="153"/>
      <c r="H4190" s="210">
        <v>-1.6992</v>
      </c>
      <c r="I4190" s="160" t="s">
        <v>149</v>
      </c>
      <c r="J4190" s="160">
        <v>-0.93125999999999998</v>
      </c>
      <c r="K4190" s="160" t="s">
        <v>25</v>
      </c>
      <c r="L4190" s="154" t="str">
        <f>IF(OpenLCAbasic!K4190="CTUh", "Fill in Manually",IF(OR(K4190="Unit", K4190=""), "", INDEX(LookUps!$E$5:$E$12, MATCH(OpenLCAbasic!K4190,LookUps!$D$5:$D$12,0))))</f>
        <v>Smog Formation Potential (SFP) - kg O3 eq</v>
      </c>
      <c r="M4190" s="154" t="str">
        <f t="shared" si="237"/>
        <v>High_High_High_Upgraded_Smog Formation Potential (SFP) - kg O3 eq_Anaerobic Digestion; wastewater treatment unit; at updated plant - US_Without Amendment_Windrow</v>
      </c>
    </row>
    <row r="4191" spans="1:13" s="120" customFormat="1" x14ac:dyDescent="0.25">
      <c r="A4191" s="119"/>
      <c r="B4191" s="138" t="str">
        <f t="shared" si="235"/>
        <v/>
      </c>
      <c r="C4191" s="138" t="str">
        <f t="shared" si="232"/>
        <v/>
      </c>
      <c r="D4191" s="138" t="str">
        <f t="shared" si="233"/>
        <v/>
      </c>
      <c r="E4191" s="138" t="str">
        <f t="shared" si="234"/>
        <v/>
      </c>
      <c r="F4191" s="138" t="str">
        <f t="shared" si="236"/>
        <v/>
      </c>
      <c r="G4191" s="153" t="s">
        <v>51</v>
      </c>
      <c r="H4191" s="160"/>
      <c r="I4191" s="160" t="s">
        <v>47</v>
      </c>
      <c r="J4191" s="160" t="s">
        <v>52</v>
      </c>
      <c r="K4191" s="160" t="s">
        <v>27</v>
      </c>
      <c r="L4191" s="154" t="str">
        <f>IF(OpenLCAbasic!K4191="CTUh", "Fill in Manually",IF(OR(K4191="Unit", K4191=""), "", INDEX(LookUps!$E$5:$E$12, MATCH(OpenLCAbasic!K4191,LookUps!$D$5:$D$12,0))))</f>
        <v/>
      </c>
      <c r="M4191" s="154" t="str">
        <f t="shared" si="237"/>
        <v>____Process__</v>
      </c>
    </row>
    <row r="4192" spans="1:13" s="120" customFormat="1" x14ac:dyDescent="0.25">
      <c r="A4192" s="119"/>
      <c r="B4192" s="138" t="str">
        <f t="shared" si="235"/>
        <v>Windrow</v>
      </c>
      <c r="C4192" s="138" t="str">
        <f t="shared" si="232"/>
        <v>Without Amendment</v>
      </c>
      <c r="D4192" s="138" t="str">
        <f t="shared" si="233"/>
        <v>High_High</v>
      </c>
      <c r="E4192" s="138" t="str">
        <f t="shared" si="234"/>
        <v>High</v>
      </c>
      <c r="F4192" s="138" t="str">
        <f t="shared" si="236"/>
        <v>Upgraded</v>
      </c>
      <c r="G4192" s="153"/>
      <c r="H4192" s="210">
        <v>1.1121000000000001</v>
      </c>
      <c r="I4192" s="160" t="s">
        <v>167</v>
      </c>
      <c r="J4192" s="160">
        <v>3.4000000000000002E-4</v>
      </c>
      <c r="K4192" s="160" t="s">
        <v>26</v>
      </c>
      <c r="L4192" s="154" t="str">
        <f>IF(OpenLCAbasic!K4192="CTUh", "Fill in Manually",IF(OR(K4192="Unit", K4192=""), "", INDEX(LookUps!$E$5:$E$12, MATCH(OpenLCAbasic!K4192,LookUps!$D$5:$D$12,0))))</f>
        <v>Water Use (WU) - m3 H2O</v>
      </c>
      <c r="M4192" s="154" t="str">
        <f t="shared" si="237"/>
        <v>High_High_High_Upgraded_Water Use (WU) - m3 H2O_Waste Receiving and Holding; wastewater treatment unit; at updated plant - US_Without Amendment_Windrow</v>
      </c>
    </row>
    <row r="4193" spans="1:13" s="120" customFormat="1" x14ac:dyDescent="0.25">
      <c r="A4193" s="119"/>
      <c r="B4193" s="138" t="str">
        <f t="shared" si="235"/>
        <v>Windrow</v>
      </c>
      <c r="C4193" s="138" t="str">
        <f t="shared" ref="C4193:C4207" si="238">IF(ISNUMBER($J4193),"Without Amendment","")</f>
        <v>Without Amendment</v>
      </c>
      <c r="D4193" s="138" t="str">
        <f t="shared" si="233"/>
        <v>High_High</v>
      </c>
      <c r="E4193" s="138" t="str">
        <f t="shared" si="234"/>
        <v>High</v>
      </c>
      <c r="F4193" s="138" t="str">
        <f t="shared" si="236"/>
        <v>Upgraded</v>
      </c>
      <c r="G4193" s="153"/>
      <c r="H4193" s="210">
        <v>0.60860000000000003</v>
      </c>
      <c r="I4193" s="160" t="s">
        <v>147</v>
      </c>
      <c r="J4193" s="160">
        <v>1.8000000000000001E-4</v>
      </c>
      <c r="K4193" s="160" t="s">
        <v>26</v>
      </c>
      <c r="L4193" s="154" t="str">
        <f>IF(OpenLCAbasic!K4193="CTUh", "Fill in Manually",IF(OR(K4193="Unit", K4193=""), "", INDEX(LookUps!$E$5:$E$12, MATCH(OpenLCAbasic!K4193,LookUps!$D$5:$D$12,0))))</f>
        <v>Water Use (WU) - m3 H2O</v>
      </c>
      <c r="M4193" s="154" t="str">
        <f t="shared" si="237"/>
        <v>High_High_High_Upgraded_Water Use (WU) - m3 H2O_Influent Pump Station; wastewater treatment unit; at updated plant - US_Without Amendment_Windrow</v>
      </c>
    </row>
    <row r="4194" spans="1:13" s="120" customFormat="1" x14ac:dyDescent="0.25">
      <c r="A4194" s="119"/>
      <c r="B4194" s="138" t="str">
        <f t="shared" si="235"/>
        <v>Windrow</v>
      </c>
      <c r="C4194" s="138" t="str">
        <f t="shared" si="238"/>
        <v>Without Amendment</v>
      </c>
      <c r="D4194" s="138" t="str">
        <f t="shared" si="233"/>
        <v>High_High</v>
      </c>
      <c r="E4194" s="138" t="str">
        <f t="shared" si="234"/>
        <v>High</v>
      </c>
      <c r="F4194" s="138" t="str">
        <f t="shared" si="236"/>
        <v>Upgraded</v>
      </c>
      <c r="G4194" s="153"/>
      <c r="H4194" s="210">
        <v>0.59379999999999999</v>
      </c>
      <c r="I4194" s="160" t="s">
        <v>54</v>
      </c>
      <c r="J4194" s="160">
        <v>1.8000000000000001E-4</v>
      </c>
      <c r="K4194" s="160" t="s">
        <v>26</v>
      </c>
      <c r="L4194" s="154" t="str">
        <f>IF(OpenLCAbasic!K4194="CTUh", "Fill in Manually",IF(OR(K4194="Unit", K4194=""), "", INDEX(LookUps!$E$5:$E$12, MATCH(OpenLCAbasic!K4194,LookUps!$D$5:$D$12,0))))</f>
        <v>Water Use (WU) - m3 H2O</v>
      </c>
      <c r="M4194" s="154" t="str">
        <f t="shared" si="237"/>
        <v>High_High_High_Upgraded_Water Use (WU) - m3 H2O_Clear Cove Primary Clarification; wastewater treatment unit; at updated plant - US_Without Amendment_Windrow</v>
      </c>
    </row>
    <row r="4195" spans="1:13" s="120" customFormat="1" x14ac:dyDescent="0.25">
      <c r="A4195" s="119"/>
      <c r="B4195" s="138" t="str">
        <f t="shared" si="235"/>
        <v>Windrow</v>
      </c>
      <c r="C4195" s="138" t="str">
        <f t="shared" si="238"/>
        <v>Without Amendment</v>
      </c>
      <c r="D4195" s="138" t="str">
        <f t="shared" si="233"/>
        <v>High_High</v>
      </c>
      <c r="E4195" s="138" t="str">
        <f t="shared" si="234"/>
        <v>High</v>
      </c>
      <c r="F4195" s="138" t="str">
        <f t="shared" si="236"/>
        <v>Upgraded</v>
      </c>
      <c r="G4195" s="153"/>
      <c r="H4195" s="210">
        <v>0.53869999999999996</v>
      </c>
      <c r="I4195" s="160" t="s">
        <v>55</v>
      </c>
      <c r="J4195" s="160">
        <v>1.6000000000000001E-4</v>
      </c>
      <c r="K4195" s="160" t="s">
        <v>26</v>
      </c>
      <c r="L4195" s="154" t="str">
        <f>IF(OpenLCAbasic!K4195="CTUh", "Fill in Manually",IF(OR(K4195="Unit", K4195=""), "", INDEX(LookUps!$E$5:$E$12, MATCH(OpenLCAbasic!K4195,LookUps!$D$5:$D$12,0))))</f>
        <v>Water Use (WU) - m3 H2O</v>
      </c>
      <c r="M4195" s="154" t="str">
        <f t="shared" si="237"/>
        <v>High_High_High_Upgraded_Water Use (WU) - m3 H2O_Aeration Tanks; wastewater treatment unit; at updated plant - US_Without Amendment_Windrow</v>
      </c>
    </row>
    <row r="4196" spans="1:13" s="120" customFormat="1" x14ac:dyDescent="0.25">
      <c r="A4196" s="119"/>
      <c r="B4196" s="138" t="str">
        <f t="shared" si="235"/>
        <v>Windrow</v>
      </c>
      <c r="C4196" s="138" t="str">
        <f t="shared" si="238"/>
        <v>Without Amendment</v>
      </c>
      <c r="D4196" s="138" t="str">
        <f t="shared" si="233"/>
        <v>High_High</v>
      </c>
      <c r="E4196" s="138" t="str">
        <f t="shared" si="234"/>
        <v>High</v>
      </c>
      <c r="F4196" s="138" t="str">
        <f t="shared" si="236"/>
        <v>Upgraded</v>
      </c>
      <c r="G4196" s="153"/>
      <c r="H4196" s="210">
        <v>0.49070000000000003</v>
      </c>
      <c r="I4196" s="160" t="s">
        <v>148</v>
      </c>
      <c r="J4196" s="160">
        <v>1.4999999999999999E-4</v>
      </c>
      <c r="K4196" s="160" t="s">
        <v>26</v>
      </c>
      <c r="L4196" s="154" t="str">
        <f>IF(OpenLCAbasic!K4196="CTUh", "Fill in Manually",IF(OR(K4196="Unit", K4196=""), "", INDEX(LookUps!$E$5:$E$12, MATCH(OpenLCAbasic!K4196,LookUps!$D$5:$D$12,0))))</f>
        <v>Water Use (WU) - m3 H2O</v>
      </c>
      <c r="M4196" s="154" t="str">
        <f t="shared" si="237"/>
        <v>High_High_High_Upgraded_Water Use (WU) - m3 H2O_Control Building; at upgraded wastewater treatment plant - US_Without Amendment_Windrow</v>
      </c>
    </row>
    <row r="4197" spans="1:13" s="120" customFormat="1" x14ac:dyDescent="0.25">
      <c r="A4197" s="119"/>
      <c r="B4197" s="138" t="str">
        <f t="shared" si="235"/>
        <v>Windrow</v>
      </c>
      <c r="C4197" s="138" t="str">
        <f t="shared" si="238"/>
        <v>Without Amendment</v>
      </c>
      <c r="D4197" s="138" t="str">
        <f t="shared" si="233"/>
        <v>High_High</v>
      </c>
      <c r="E4197" s="138" t="str">
        <f t="shared" si="234"/>
        <v>High</v>
      </c>
      <c r="F4197" s="138" t="str">
        <f t="shared" si="236"/>
        <v>Upgraded</v>
      </c>
      <c r="G4197" s="153"/>
      <c r="H4197" s="210">
        <v>0.22789999999999999</v>
      </c>
      <c r="I4197" s="160" t="s">
        <v>48</v>
      </c>
      <c r="J4197" s="211">
        <v>6.8836400000000004E-5</v>
      </c>
      <c r="K4197" s="160" t="s">
        <v>26</v>
      </c>
      <c r="L4197" s="154" t="str">
        <f>IF(OpenLCAbasic!K4197="CTUh", "Fill in Manually",IF(OR(K4197="Unit", K4197=""), "", INDEX(LookUps!$E$5:$E$12, MATCH(OpenLCAbasic!K4197,LookUps!$D$5:$D$12,0))))</f>
        <v>Water Use (WU) - m3 H2O</v>
      </c>
      <c r="M4197" s="154" t="str">
        <f t="shared" si="237"/>
        <v>High_High_High_Upgraded_Water Use (WU) - m3 H2O_Effluent release; wastewater treatment unit; at surface water; m3 wastewater - US_Without Amendment_Windrow</v>
      </c>
    </row>
    <row r="4198" spans="1:13" s="120" customFormat="1" x14ac:dyDescent="0.25">
      <c r="A4198" s="119"/>
      <c r="B4198" s="138" t="str">
        <f t="shared" si="235"/>
        <v>Windrow</v>
      </c>
      <c r="C4198" s="138" t="str">
        <f t="shared" si="238"/>
        <v>Without Amendment</v>
      </c>
      <c r="D4198" s="138" t="str">
        <f t="shared" si="233"/>
        <v>High_High</v>
      </c>
      <c r="E4198" s="138" t="str">
        <f t="shared" si="234"/>
        <v>High</v>
      </c>
      <c r="F4198" s="138" t="str">
        <f t="shared" si="236"/>
        <v>Upgraded</v>
      </c>
      <c r="G4198" s="153"/>
      <c r="H4198" s="210">
        <v>0.14330000000000001</v>
      </c>
      <c r="I4198" s="160" t="s">
        <v>58</v>
      </c>
      <c r="J4198" s="211">
        <v>4.3289399999999999E-5</v>
      </c>
      <c r="K4198" s="160" t="s">
        <v>26</v>
      </c>
      <c r="L4198" s="154" t="str">
        <f>IF(OpenLCAbasic!K4198="CTUh", "Fill in Manually",IF(OR(K4198="Unit", K4198=""), "", INDEX(LookUps!$E$5:$E$12, MATCH(OpenLCAbasic!K4198,LookUps!$D$5:$D$12,0))))</f>
        <v>Water Use (WU) - m3 H2O</v>
      </c>
      <c r="M4198" s="154" t="str">
        <f t="shared" si="237"/>
        <v>High_High_High_Upgraded_Water Use (WU) - m3 H2O_Pre-Anoxic &amp; Swing tank; wastewater treatment unit; at updated plant - US_Without Amendment_Windrow</v>
      </c>
    </row>
    <row r="4199" spans="1:13" s="120" customFormat="1" x14ac:dyDescent="0.25">
      <c r="A4199" s="119"/>
      <c r="B4199" s="138" t="str">
        <f t="shared" si="235"/>
        <v>Windrow</v>
      </c>
      <c r="C4199" s="138" t="str">
        <f t="shared" si="238"/>
        <v>Without Amendment</v>
      </c>
      <c r="D4199" s="138" t="str">
        <f t="shared" si="233"/>
        <v>High_High</v>
      </c>
      <c r="E4199" s="138" t="str">
        <f t="shared" si="234"/>
        <v>High</v>
      </c>
      <c r="F4199" s="138" t="str">
        <f t="shared" si="236"/>
        <v>Upgraded</v>
      </c>
      <c r="G4199" s="153"/>
      <c r="H4199" s="210">
        <v>0.13009999999999999</v>
      </c>
      <c r="I4199" s="160" t="s">
        <v>60</v>
      </c>
      <c r="J4199" s="211">
        <v>3.9294400000000001E-5</v>
      </c>
      <c r="K4199" s="160" t="s">
        <v>26</v>
      </c>
      <c r="L4199" s="154" t="str">
        <f>IF(OpenLCAbasic!K4199="CTUh", "Fill in Manually",IF(OR(K4199="Unit", K4199=""), "", INDEX(LookUps!$E$5:$E$12, MATCH(OpenLCAbasic!K4199,LookUps!$D$5:$D$12,0))))</f>
        <v>Water Use (WU) - m3 H2O</v>
      </c>
      <c r="M4199" s="154" t="str">
        <f t="shared" si="237"/>
        <v>High_High_High_Upgraded_Water Use (WU) - m3 H2O_Belt filter press; wastewater treatment unit; at updated plant - US_Without Amendment_Windrow</v>
      </c>
    </row>
    <row r="4200" spans="1:13" s="120" customFormat="1" x14ac:dyDescent="0.25">
      <c r="A4200" s="119"/>
      <c r="B4200" s="138" t="str">
        <f t="shared" si="235"/>
        <v>Windrow</v>
      </c>
      <c r="C4200" s="138" t="str">
        <f t="shared" si="238"/>
        <v>Without Amendment</v>
      </c>
      <c r="D4200" s="138" t="str">
        <f t="shared" si="233"/>
        <v>High_High</v>
      </c>
      <c r="E4200" s="138" t="str">
        <f t="shared" si="234"/>
        <v>High</v>
      </c>
      <c r="F4200" s="138" t="str">
        <f t="shared" si="236"/>
        <v>Upgraded</v>
      </c>
      <c r="G4200" s="153"/>
      <c r="H4200" s="210">
        <v>0.1007</v>
      </c>
      <c r="I4200" s="160" t="s">
        <v>57</v>
      </c>
      <c r="J4200" s="211">
        <v>3.0408100000000001E-5</v>
      </c>
      <c r="K4200" s="160" t="s">
        <v>26</v>
      </c>
      <c r="L4200" s="154" t="str">
        <f>IF(OpenLCAbasic!K4200="CTUh", "Fill in Manually",IF(OR(K4200="Unit", K4200=""), "", INDEX(LookUps!$E$5:$E$12, MATCH(OpenLCAbasic!K4200,LookUps!$D$5:$D$12,0))))</f>
        <v>Water Use (WU) - m3 H2O</v>
      </c>
      <c r="M4200" s="154" t="str">
        <f t="shared" si="237"/>
        <v>High_High_High_Upgraded_Water Use (WU) - m3 H2O_Gravity Belt Thickener; wastewater treatment unit; at updated plant - US_Without Amendment_Windrow</v>
      </c>
    </row>
    <row r="4201" spans="1:13" s="120" customFormat="1" x14ac:dyDescent="0.25">
      <c r="A4201" s="119"/>
      <c r="B4201" s="138" t="str">
        <f t="shared" si="235"/>
        <v>Windrow</v>
      </c>
      <c r="C4201" s="138" t="str">
        <f t="shared" si="238"/>
        <v>Without Amendment</v>
      </c>
      <c r="D4201" s="138" t="str">
        <f t="shared" si="233"/>
        <v>High_High</v>
      </c>
      <c r="E4201" s="138" t="str">
        <f t="shared" si="234"/>
        <v>High</v>
      </c>
      <c r="F4201" s="138" t="str">
        <f t="shared" si="236"/>
        <v>Upgraded</v>
      </c>
      <c r="G4201" s="153"/>
      <c r="H4201" s="210">
        <v>5.79E-2</v>
      </c>
      <c r="I4201" s="160" t="s">
        <v>53</v>
      </c>
      <c r="J4201" s="211">
        <v>1.75069E-5</v>
      </c>
      <c r="K4201" s="160" t="s">
        <v>26</v>
      </c>
      <c r="L4201" s="154" t="str">
        <f>IF(OpenLCAbasic!K4201="CTUh", "Fill in Manually",IF(OR(K4201="Unit", K4201=""), "", INDEX(LookUps!$E$5:$E$12, MATCH(OpenLCAbasic!K4201,LookUps!$D$5:$D$12,0))))</f>
        <v>Water Use (WU) - m3 H2O</v>
      </c>
      <c r="M4201" s="154" t="str">
        <f t="shared" si="237"/>
        <v>High_High_High_Upgraded_Water Use (WU) - m3 H2O_Wet Well and Sump Station; wastewater treatment unit; at updated plant - US_Without Amendment_Windrow</v>
      </c>
    </row>
    <row r="4202" spans="1:13" s="120" customFormat="1" x14ac:dyDescent="0.25">
      <c r="A4202" s="119"/>
      <c r="B4202" s="138" t="str">
        <f t="shared" si="235"/>
        <v>Windrow</v>
      </c>
      <c r="C4202" s="138" t="str">
        <f t="shared" si="238"/>
        <v>Without Amendment</v>
      </c>
      <c r="D4202" s="138" t="str">
        <f t="shared" si="233"/>
        <v>High_High</v>
      </c>
      <c r="E4202" s="138" t="str">
        <f t="shared" si="234"/>
        <v>High</v>
      </c>
      <c r="F4202" s="138" t="str">
        <f t="shared" si="236"/>
        <v>Upgraded</v>
      </c>
      <c r="G4202" s="153"/>
      <c r="H4202" s="210">
        <v>2.3199999999999998E-2</v>
      </c>
      <c r="I4202" s="160" t="s">
        <v>59</v>
      </c>
      <c r="J4202" s="211">
        <v>7.0179500000000003E-6</v>
      </c>
      <c r="K4202" s="160" t="s">
        <v>26</v>
      </c>
      <c r="L4202" s="154" t="str">
        <f>IF(OpenLCAbasic!K4202="CTUh", "Fill in Manually",IF(OR(K4202="Unit", K4202=""), "", INDEX(LookUps!$E$5:$E$12, MATCH(OpenLCAbasic!K4202,LookUps!$D$5:$D$12,0))))</f>
        <v>Water Use (WU) - m3 H2O</v>
      </c>
      <c r="M4202" s="154" t="str">
        <f t="shared" si="237"/>
        <v>High_High_High_Upgraded_Water Use (WU) - m3 H2O_Blend Tank; wastewater treatment unit; at updated plant - US_Without Amendment_Windrow</v>
      </c>
    </row>
    <row r="4203" spans="1:13" s="120" customFormat="1" x14ac:dyDescent="0.25">
      <c r="A4203" s="119"/>
      <c r="B4203" s="138" t="str">
        <f t="shared" si="235"/>
        <v>Windrow</v>
      </c>
      <c r="C4203" s="138" t="str">
        <f t="shared" si="238"/>
        <v>Without Amendment</v>
      </c>
      <c r="D4203" s="138" t="str">
        <f t="shared" ref="D4203:D4207" si="239">IF(ISNUMBER($J4203),"High_High","")</f>
        <v>High_High</v>
      </c>
      <c r="E4203" s="138" t="str">
        <f t="shared" ref="E4203:E4207" si="240">IF(ISNUMBER($J4203),"High","")</f>
        <v>High</v>
      </c>
      <c r="F4203" s="138" t="str">
        <f t="shared" si="236"/>
        <v>Upgraded</v>
      </c>
      <c r="G4203" s="153"/>
      <c r="H4203" s="210">
        <v>1.6799999999999999E-2</v>
      </c>
      <c r="I4203" s="160" t="s">
        <v>128</v>
      </c>
      <c r="J4203" s="211">
        <v>5.0608900000000003E-6</v>
      </c>
      <c r="K4203" s="160" t="s">
        <v>26</v>
      </c>
      <c r="L4203" s="154" t="str">
        <f>IF(OpenLCAbasic!K4203="CTUh", "Fill in Manually",IF(OR(K4203="Unit", K4203=""), "", INDEX(LookUps!$E$5:$E$12, MATCH(OpenLCAbasic!K4203,LookUps!$D$5:$D$12,0))))</f>
        <v>Water Use (WU) - m3 H2O</v>
      </c>
      <c r="M4203" s="154" t="str">
        <f t="shared" si="237"/>
        <v>High_High_High_Upgraded_Water Use (WU) - m3 H2O_Wastewater collection; operation and infrastructure; m3 wastewater_Without Amendment_Windrow</v>
      </c>
    </row>
    <row r="4204" spans="1:13" s="120" customFormat="1" x14ac:dyDescent="0.25">
      <c r="A4204" s="119"/>
      <c r="B4204" s="138" t="str">
        <f t="shared" si="235"/>
        <v>Windrow</v>
      </c>
      <c r="C4204" s="138" t="str">
        <f t="shared" si="238"/>
        <v>Without Amendment</v>
      </c>
      <c r="D4204" s="138" t="str">
        <f t="shared" si="239"/>
        <v>High_High</v>
      </c>
      <c r="E4204" s="138" t="str">
        <f t="shared" si="240"/>
        <v>High</v>
      </c>
      <c r="F4204" s="138" t="str">
        <f t="shared" si="236"/>
        <v>Upgraded</v>
      </c>
      <c r="G4204" s="153"/>
      <c r="H4204" s="210">
        <v>6.1999999999999998E-3</v>
      </c>
      <c r="I4204" s="160" t="s">
        <v>271</v>
      </c>
      <c r="J4204" s="211">
        <v>1.8779099999999999E-6</v>
      </c>
      <c r="K4204" s="160" t="s">
        <v>26</v>
      </c>
      <c r="L4204" s="154" t="str">
        <f>IF(OpenLCAbasic!K4204="CTUh", "Fill in Manually",IF(OR(K4204="Unit", K4204=""), "", INDEX(LookUps!$E$5:$E$12, MATCH(OpenLCAbasic!K4204,LookUps!$D$5:$D$12,0))))</f>
        <v>Water Use (WU) - m3 H2O</v>
      </c>
      <c r="M4204" s="154" t="str">
        <f t="shared" si="237"/>
        <v>High_High_High_Upgraded_Water Use (WU) - m3 H2O_Biosolids composting; windrow composting; wastewater treatment unit; at updated plant - US_Without Amendment_Windrow</v>
      </c>
    </row>
    <row r="4205" spans="1:13" s="120" customFormat="1" x14ac:dyDescent="0.25">
      <c r="A4205" s="119"/>
      <c r="B4205" s="138" t="str">
        <f t="shared" si="235"/>
        <v>Windrow</v>
      </c>
      <c r="C4205" s="138" t="str">
        <f t="shared" si="238"/>
        <v>Without Amendment</v>
      </c>
      <c r="D4205" s="138" t="str">
        <f t="shared" si="239"/>
        <v>High_High</v>
      </c>
      <c r="E4205" s="138" t="str">
        <f t="shared" si="240"/>
        <v>High</v>
      </c>
      <c r="F4205" s="138" t="str">
        <f t="shared" si="236"/>
        <v>Upgraded</v>
      </c>
      <c r="G4205" s="153"/>
      <c r="H4205" s="210">
        <v>2.5000000000000001E-3</v>
      </c>
      <c r="I4205" s="160" t="s">
        <v>168</v>
      </c>
      <c r="J4205" s="211">
        <v>7.6697000000000004E-7</v>
      </c>
      <c r="K4205" s="160" t="s">
        <v>26</v>
      </c>
      <c r="L4205" s="154" t="str">
        <f>IF(OpenLCAbasic!K4205="CTUh", "Fill in Manually",IF(OR(K4205="Unit", K4205=""), "", INDEX(LookUps!$E$5:$E$12, MATCH(OpenLCAbasic!K4205,LookUps!$D$5:$D$12,0))))</f>
        <v>Water Use (WU) - m3 H2O</v>
      </c>
      <c r="M4205" s="154" t="str">
        <f t="shared" si="237"/>
        <v>High_High_High_Upgraded_Water Use (WU) - m3 H2O_ClearCove SCP; wastewater treatment unit; at updated plant - US_Without Amendment_Windrow</v>
      </c>
    </row>
    <row r="4206" spans="1:13" s="120" customFormat="1" x14ac:dyDescent="0.25">
      <c r="A4206" s="119"/>
      <c r="B4206" s="138" t="str">
        <f t="shared" si="235"/>
        <v>Windrow</v>
      </c>
      <c r="C4206" s="138" t="str">
        <f t="shared" si="238"/>
        <v>Without Amendment</v>
      </c>
      <c r="D4206" s="138" t="str">
        <f t="shared" si="239"/>
        <v>High_High</v>
      </c>
      <c r="E4206" s="138" t="str">
        <f t="shared" si="240"/>
        <v>High</v>
      </c>
      <c r="F4206" s="138" t="str">
        <f t="shared" si="236"/>
        <v>Upgraded</v>
      </c>
      <c r="G4206" s="153"/>
      <c r="H4206" s="210">
        <v>-0.89129999999999998</v>
      </c>
      <c r="I4206" s="160" t="s">
        <v>149</v>
      </c>
      <c r="J4206" s="160">
        <v>-2.7E-4</v>
      </c>
      <c r="K4206" s="160" t="s">
        <v>26</v>
      </c>
      <c r="L4206" s="154" t="str">
        <f>IF(OpenLCAbasic!K4206="CTUh", "Fill in Manually",IF(OR(K4206="Unit", K4206=""), "", INDEX(LookUps!$E$5:$E$12, MATCH(OpenLCAbasic!K4206,LookUps!$D$5:$D$12,0))))</f>
        <v>Water Use (WU) - m3 H2O</v>
      </c>
      <c r="M4206" s="154" t="str">
        <f t="shared" si="237"/>
        <v>High_High_High_Upgraded_Water Use (WU) - m3 H2O_Anaerobic Digestion; wastewater treatment unit; at updated plant - US_Without Amendment_Windrow</v>
      </c>
    </row>
    <row r="4207" spans="1:13" s="120" customFormat="1" x14ac:dyDescent="0.25">
      <c r="A4207" s="119"/>
      <c r="B4207" s="138" t="str">
        <f t="shared" si="235"/>
        <v>Windrow</v>
      </c>
      <c r="C4207" s="138" t="str">
        <f t="shared" si="238"/>
        <v>Without Amendment</v>
      </c>
      <c r="D4207" s="138" t="str">
        <f t="shared" si="239"/>
        <v>High_High</v>
      </c>
      <c r="E4207" s="138" t="str">
        <f t="shared" si="240"/>
        <v>High</v>
      </c>
      <c r="F4207" s="138" t="str">
        <f t="shared" si="236"/>
        <v>Upgraded</v>
      </c>
      <c r="G4207" s="153"/>
      <c r="H4207" s="210">
        <v>-4.1609999999999996</v>
      </c>
      <c r="I4207" s="160" t="s">
        <v>62</v>
      </c>
      <c r="J4207" s="160">
        <v>-1.2600000000000001E-3</v>
      </c>
      <c r="K4207" s="160" t="s">
        <v>26</v>
      </c>
      <c r="L4207" s="154" t="str">
        <f>IF(OpenLCAbasic!K4207="CTUh", "Fill in Manually",IF(OR(K4207="Unit", K4207=""), "", INDEX(LookUps!$E$5:$E$12, MATCH(OpenLCAbasic!K4207,LookUps!$D$5:$D$12,0))))</f>
        <v>Water Use (WU) - m3 H2O</v>
      </c>
      <c r="M4207" s="154" t="str">
        <f t="shared" si="237"/>
        <v>High_High_High_Upgraded_Water Use (WU) - m3 H2O_Land application of compost; wastewater treatment unit; at updated plant - US_Without Amendment_Windrow</v>
      </c>
    </row>
    <row r="4208" spans="1:13" s="120" customFormat="1" x14ac:dyDescent="0.25">
      <c r="A4208" s="119"/>
      <c r="B4208" s="138" t="str">
        <f>IF(F4208="Legacy","n.a.",IF(F4208="","","Aerated Static Pile"))</f>
        <v/>
      </c>
      <c r="C4208" s="138" t="str">
        <f>IF(ISNUMBER($J4208),"Base_With Amendment","")</f>
        <v/>
      </c>
      <c r="D4208" s="138" t="str">
        <f>IF(ISNUMBER($J4208),"Base","")</f>
        <v/>
      </c>
      <c r="E4208" s="138" t="str">
        <f>IF(ISNUMBER($J4208),"Base","")</f>
        <v/>
      </c>
      <c r="F4208" s="138" t="str">
        <f t="shared" ref="F4208" si="241">IF(ISNUMBER(J4208),"Upgraded","")</f>
        <v/>
      </c>
      <c r="G4208" s="153" t="s">
        <v>51</v>
      </c>
      <c r="H4208" s="160"/>
      <c r="I4208" s="160" t="s">
        <v>47</v>
      </c>
      <c r="J4208" s="160" t="s">
        <v>52</v>
      </c>
      <c r="K4208" s="160" t="s">
        <v>27</v>
      </c>
      <c r="L4208" s="154" t="str">
        <f>IF(OpenLCAbasic!K4208="CTUh", "Fill in Manually",IF(OR(K4208="Unit", K4208=""), "", INDEX(LookUps!$E$5:$E$12, MATCH(OpenLCAbasic!K4208,LookUps!$D$5:$D$12,0))))</f>
        <v/>
      </c>
      <c r="M4208" s="154" t="str">
        <f t="shared" si="237"/>
        <v>____Process__</v>
      </c>
    </row>
    <row r="4209" spans="1:13" s="120" customFormat="1" x14ac:dyDescent="0.25">
      <c r="A4209" s="119"/>
      <c r="B4209" s="138" t="str">
        <f t="shared" ref="B4209:B4272" si="242">IF(F4209="Legacy","n.a.",IF(F4209="","","Aerated Static Pile"))</f>
        <v>Aerated Static Pile</v>
      </c>
      <c r="C4209" s="138" t="str">
        <f t="shared" ref="C4209:C4272" si="243">IF(ISNUMBER($J4209),"Base_With Amendment","")</f>
        <v>Base_With Amendment</v>
      </c>
      <c r="D4209" s="138" t="str">
        <f t="shared" ref="D4209:E4272" si="244">IF(ISNUMBER($J4209),"Base","")</f>
        <v>Base</v>
      </c>
      <c r="E4209" s="138" t="str">
        <f t="shared" si="244"/>
        <v>Base</v>
      </c>
      <c r="F4209" s="138" t="str">
        <f t="shared" ref="F4209:F4272" si="245">IF(ISNUMBER(J4209),"Upgraded","")</f>
        <v>Upgraded</v>
      </c>
      <c r="G4209" s="153"/>
      <c r="H4209" s="210">
        <v>0.42030000000000001</v>
      </c>
      <c r="I4209" s="160" t="s">
        <v>55</v>
      </c>
      <c r="J4209" s="160">
        <v>1.7219999999999999E-2</v>
      </c>
      <c r="K4209" s="160" t="s">
        <v>24</v>
      </c>
      <c r="L4209" s="154" t="str">
        <f>IF(OpenLCAbasic!K4209="CTUh", "Fill in Manually",IF(OR(K4209="Unit", K4209=""), "", INDEX(LookUps!$E$5:$E$12, MATCH(OpenLCAbasic!K4209,LookUps!$D$5:$D$12,0))))</f>
        <v>Acidification Potential (AP) - kg SO2 eq</v>
      </c>
      <c r="M4209" s="154" t="str">
        <f t="shared" si="237"/>
        <v>Base_Base_Upgraded_Acidification Potential (AP) - kg SO2 eq_Aeration Tanks; wastewater treatment unit; at updated plant - US_Base_With Amendment_Aerated Static Pile</v>
      </c>
    </row>
    <row r="4210" spans="1:13" s="120" customFormat="1" x14ac:dyDescent="0.25">
      <c r="A4210" s="119"/>
      <c r="B4210" s="138" t="str">
        <f t="shared" si="242"/>
        <v>Aerated Static Pile</v>
      </c>
      <c r="C4210" s="138" t="str">
        <f t="shared" si="243"/>
        <v>Base_With Amendment</v>
      </c>
      <c r="D4210" s="138" t="str">
        <f t="shared" si="244"/>
        <v>Base</v>
      </c>
      <c r="E4210" s="138" t="str">
        <f t="shared" si="244"/>
        <v>Base</v>
      </c>
      <c r="F4210" s="138" t="str">
        <f t="shared" si="245"/>
        <v>Upgraded</v>
      </c>
      <c r="G4210" s="153"/>
      <c r="H4210" s="210">
        <v>0.15770000000000001</v>
      </c>
      <c r="I4210" s="160" t="s">
        <v>435</v>
      </c>
      <c r="J4210" s="160">
        <v>6.4599999999999996E-3</v>
      </c>
      <c r="K4210" s="160" t="s">
        <v>24</v>
      </c>
      <c r="L4210" s="154" t="str">
        <f>IF(OpenLCAbasic!K4210="CTUh", "Fill in Manually",IF(OR(K4210="Unit", K4210=""), "", INDEX(LookUps!$E$5:$E$12, MATCH(OpenLCAbasic!K4210,LookUps!$D$5:$D$12,0))))</f>
        <v>Acidification Potential (AP) - kg SO2 eq</v>
      </c>
      <c r="M4210" s="154" t="str">
        <f t="shared" si="237"/>
        <v>Base_Base_Upgraded_Acidification Potential (AP) - kg SO2 eq_Biosolids composting; aerated static pile; wastewater treatment unit; at updated plant - US_Base_With Amendment_Aerated Static Pile</v>
      </c>
    </row>
    <row r="4211" spans="1:13" s="120" customFormat="1" x14ac:dyDescent="0.25">
      <c r="A4211" s="119"/>
      <c r="B4211" s="138" t="str">
        <f t="shared" si="242"/>
        <v>Aerated Static Pile</v>
      </c>
      <c r="C4211" s="138" t="str">
        <f t="shared" si="243"/>
        <v>Base_With Amendment</v>
      </c>
      <c r="D4211" s="138" t="str">
        <f t="shared" si="244"/>
        <v>Base</v>
      </c>
      <c r="E4211" s="138" t="str">
        <f t="shared" si="244"/>
        <v>Base</v>
      </c>
      <c r="F4211" s="138" t="str">
        <f t="shared" si="245"/>
        <v>Upgraded</v>
      </c>
      <c r="G4211" s="153"/>
      <c r="H4211" s="210">
        <v>0.1216</v>
      </c>
      <c r="I4211" s="160" t="s">
        <v>54</v>
      </c>
      <c r="J4211" s="160">
        <v>4.9800000000000001E-3</v>
      </c>
      <c r="K4211" s="160" t="s">
        <v>24</v>
      </c>
      <c r="L4211" s="154" t="str">
        <f>IF(OpenLCAbasic!K4211="CTUh", "Fill in Manually",IF(OR(K4211="Unit", K4211=""), "", INDEX(LookUps!$E$5:$E$12, MATCH(OpenLCAbasic!K4211,LookUps!$D$5:$D$12,0))))</f>
        <v>Acidification Potential (AP) - kg SO2 eq</v>
      </c>
      <c r="M4211" s="154" t="str">
        <f t="shared" si="237"/>
        <v>Base_Base_Upgraded_Acidification Potential (AP) - kg SO2 eq_Clear Cove Primary Clarification; wastewater treatment unit; at updated plant - US_Base_With Amendment_Aerated Static Pile</v>
      </c>
    </row>
    <row r="4212" spans="1:13" s="120" customFormat="1" x14ac:dyDescent="0.25">
      <c r="A4212" s="119"/>
      <c r="B4212" s="138" t="str">
        <f t="shared" si="242"/>
        <v>Aerated Static Pile</v>
      </c>
      <c r="C4212" s="138" t="str">
        <f t="shared" si="243"/>
        <v>Base_With Amendment</v>
      </c>
      <c r="D4212" s="138" t="str">
        <f t="shared" si="244"/>
        <v>Base</v>
      </c>
      <c r="E4212" s="138" t="str">
        <f t="shared" si="244"/>
        <v>Base</v>
      </c>
      <c r="F4212" s="138" t="str">
        <f t="shared" si="245"/>
        <v>Upgraded</v>
      </c>
      <c r="G4212" s="153"/>
      <c r="H4212" s="210">
        <v>0.1057</v>
      </c>
      <c r="I4212" s="160" t="s">
        <v>58</v>
      </c>
      <c r="J4212" s="160">
        <v>4.3299999999999996E-3</v>
      </c>
      <c r="K4212" s="160" t="s">
        <v>24</v>
      </c>
      <c r="L4212" s="154" t="str">
        <f>IF(OpenLCAbasic!K4212="CTUh", "Fill in Manually",IF(OR(K4212="Unit", K4212=""), "", INDEX(LookUps!$E$5:$E$12, MATCH(OpenLCAbasic!K4212,LookUps!$D$5:$D$12,0))))</f>
        <v>Acidification Potential (AP) - kg SO2 eq</v>
      </c>
      <c r="M4212" s="154" t="str">
        <f t="shared" si="237"/>
        <v>Base_Base_Upgraded_Acidification Potential (AP) - kg SO2 eq_Pre-Anoxic &amp; Swing tank; wastewater treatment unit; at updated plant - US_Base_With Amendment_Aerated Static Pile</v>
      </c>
    </row>
    <row r="4213" spans="1:13" s="120" customFormat="1" x14ac:dyDescent="0.25">
      <c r="A4213" s="119"/>
      <c r="B4213" s="138" t="str">
        <f t="shared" si="242"/>
        <v>Aerated Static Pile</v>
      </c>
      <c r="C4213" s="138" t="str">
        <f t="shared" si="243"/>
        <v>Base_With Amendment</v>
      </c>
      <c r="D4213" s="138" t="str">
        <f t="shared" si="244"/>
        <v>Base</v>
      </c>
      <c r="E4213" s="138" t="str">
        <f t="shared" si="244"/>
        <v>Base</v>
      </c>
      <c r="F4213" s="138" t="str">
        <f t="shared" si="245"/>
        <v>Upgraded</v>
      </c>
      <c r="G4213" s="153"/>
      <c r="H4213" s="210">
        <v>8.4199999999999997E-2</v>
      </c>
      <c r="I4213" s="160" t="s">
        <v>53</v>
      </c>
      <c r="J4213" s="160">
        <v>3.4499999999999999E-3</v>
      </c>
      <c r="K4213" s="160" t="s">
        <v>24</v>
      </c>
      <c r="L4213" s="154" t="str">
        <f>IF(OpenLCAbasic!K4213="CTUh", "Fill in Manually",IF(OR(K4213="Unit", K4213=""), "", INDEX(LookUps!$E$5:$E$12, MATCH(OpenLCAbasic!K4213,LookUps!$D$5:$D$12,0))))</f>
        <v>Acidification Potential (AP) - kg SO2 eq</v>
      </c>
      <c r="M4213" s="154" t="str">
        <f t="shared" si="237"/>
        <v>Base_Base_Upgraded_Acidification Potential (AP) - kg SO2 eq_Wet Well and Sump Station; wastewater treatment unit; at updated plant - US_Base_With Amendment_Aerated Static Pile</v>
      </c>
    </row>
    <row r="4214" spans="1:13" s="120" customFormat="1" x14ac:dyDescent="0.25">
      <c r="A4214" s="119"/>
      <c r="B4214" s="138" t="str">
        <f t="shared" si="242"/>
        <v>Aerated Static Pile</v>
      </c>
      <c r="C4214" s="138" t="str">
        <f t="shared" si="243"/>
        <v>Base_With Amendment</v>
      </c>
      <c r="D4214" s="138" t="str">
        <f t="shared" si="244"/>
        <v>Base</v>
      </c>
      <c r="E4214" s="138" t="str">
        <f t="shared" si="244"/>
        <v>Base</v>
      </c>
      <c r="F4214" s="138" t="str">
        <f t="shared" si="245"/>
        <v>Upgraded</v>
      </c>
      <c r="G4214" s="153"/>
      <c r="H4214" s="210">
        <v>6.5100000000000005E-2</v>
      </c>
      <c r="I4214" s="160" t="s">
        <v>62</v>
      </c>
      <c r="J4214" s="160">
        <v>2.6700000000000001E-3</v>
      </c>
      <c r="K4214" s="160" t="s">
        <v>24</v>
      </c>
      <c r="L4214" s="154" t="str">
        <f>IF(OpenLCAbasic!K4214="CTUh", "Fill in Manually",IF(OR(K4214="Unit", K4214=""), "", INDEX(LookUps!$E$5:$E$12, MATCH(OpenLCAbasic!K4214,LookUps!$D$5:$D$12,0))))</f>
        <v>Acidification Potential (AP) - kg SO2 eq</v>
      </c>
      <c r="M4214" s="154" t="str">
        <f t="shared" si="237"/>
        <v>Base_Base_Upgraded_Acidification Potential (AP) - kg SO2 eq_Land application of compost; wastewater treatment unit; at updated plant - US_Base_With Amendment_Aerated Static Pile</v>
      </c>
    </row>
    <row r="4215" spans="1:13" s="120" customFormat="1" x14ac:dyDescent="0.25">
      <c r="A4215" s="119"/>
      <c r="B4215" s="138" t="str">
        <f t="shared" si="242"/>
        <v>Aerated Static Pile</v>
      </c>
      <c r="C4215" s="138" t="str">
        <f t="shared" si="243"/>
        <v>Base_With Amendment</v>
      </c>
      <c r="D4215" s="138" t="str">
        <f t="shared" si="244"/>
        <v>Base</v>
      </c>
      <c r="E4215" s="138" t="str">
        <f t="shared" si="244"/>
        <v>Base</v>
      </c>
      <c r="F4215" s="138" t="str">
        <f t="shared" si="245"/>
        <v>Upgraded</v>
      </c>
      <c r="G4215" s="153"/>
      <c r="H4215" s="210">
        <v>5.8000000000000003E-2</v>
      </c>
      <c r="I4215" s="160" t="s">
        <v>167</v>
      </c>
      <c r="J4215" s="160">
        <v>2.3800000000000002E-3</v>
      </c>
      <c r="K4215" s="160" t="s">
        <v>24</v>
      </c>
      <c r="L4215" s="154" t="str">
        <f>IF(OpenLCAbasic!K4215="CTUh", "Fill in Manually",IF(OR(K4215="Unit", K4215=""), "", INDEX(LookUps!$E$5:$E$12, MATCH(OpenLCAbasic!K4215,LookUps!$D$5:$D$12,0))))</f>
        <v>Acidification Potential (AP) - kg SO2 eq</v>
      </c>
      <c r="M4215" s="154" t="str">
        <f t="shared" si="237"/>
        <v>Base_Base_Upgraded_Acidification Potential (AP) - kg SO2 eq_Waste Receiving and Holding; wastewater treatment unit; at updated plant - US_Base_With Amendment_Aerated Static Pile</v>
      </c>
    </row>
    <row r="4216" spans="1:13" s="120" customFormat="1" x14ac:dyDescent="0.25">
      <c r="A4216" s="119"/>
      <c r="B4216" s="138" t="str">
        <f t="shared" si="242"/>
        <v>Aerated Static Pile</v>
      </c>
      <c r="C4216" s="138" t="str">
        <f t="shared" si="243"/>
        <v>Base_With Amendment</v>
      </c>
      <c r="D4216" s="138" t="str">
        <f t="shared" si="244"/>
        <v>Base</v>
      </c>
      <c r="E4216" s="138" t="str">
        <f t="shared" si="244"/>
        <v>Base</v>
      </c>
      <c r="F4216" s="138" t="str">
        <f t="shared" si="245"/>
        <v>Upgraded</v>
      </c>
      <c r="G4216" s="153"/>
      <c r="H4216" s="210">
        <v>5.0500000000000003E-2</v>
      </c>
      <c r="I4216" s="160" t="s">
        <v>147</v>
      </c>
      <c r="J4216" s="160">
        <v>2.0699999999999998E-3</v>
      </c>
      <c r="K4216" s="160" t="s">
        <v>24</v>
      </c>
      <c r="L4216" s="154" t="str">
        <f>IF(OpenLCAbasic!K4216="CTUh", "Fill in Manually",IF(OR(K4216="Unit", K4216=""), "", INDEX(LookUps!$E$5:$E$12, MATCH(OpenLCAbasic!K4216,LookUps!$D$5:$D$12,0))))</f>
        <v>Acidification Potential (AP) - kg SO2 eq</v>
      </c>
      <c r="M4216" s="154" t="str">
        <f t="shared" si="237"/>
        <v>Base_Base_Upgraded_Acidification Potential (AP) - kg SO2 eq_Influent Pump Station; wastewater treatment unit; at updated plant - US_Base_With Amendment_Aerated Static Pile</v>
      </c>
    </row>
    <row r="4217" spans="1:13" s="120" customFormat="1" x14ac:dyDescent="0.25">
      <c r="A4217" s="119"/>
      <c r="B4217" s="138" t="str">
        <f t="shared" si="242"/>
        <v>Aerated Static Pile</v>
      </c>
      <c r="C4217" s="138" t="str">
        <f t="shared" si="243"/>
        <v>Base_With Amendment</v>
      </c>
      <c r="D4217" s="138" t="str">
        <f t="shared" si="244"/>
        <v>Base</v>
      </c>
      <c r="E4217" s="138" t="str">
        <f t="shared" si="244"/>
        <v>Base</v>
      </c>
      <c r="F4217" s="138" t="str">
        <f t="shared" si="245"/>
        <v>Upgraded</v>
      </c>
      <c r="G4217" s="153"/>
      <c r="H4217" s="210">
        <v>3.0099999999999998E-2</v>
      </c>
      <c r="I4217" s="160" t="s">
        <v>128</v>
      </c>
      <c r="J4217" s="160">
        <v>1.23E-3</v>
      </c>
      <c r="K4217" s="160" t="s">
        <v>24</v>
      </c>
      <c r="L4217" s="154" t="str">
        <f>IF(OpenLCAbasic!K4217="CTUh", "Fill in Manually",IF(OR(K4217="Unit", K4217=""), "", INDEX(LookUps!$E$5:$E$12, MATCH(OpenLCAbasic!K4217,LookUps!$D$5:$D$12,0))))</f>
        <v>Acidification Potential (AP) - kg SO2 eq</v>
      </c>
      <c r="M4217" s="154" t="str">
        <f t="shared" si="237"/>
        <v>Base_Base_Upgraded_Acidification Potential (AP) - kg SO2 eq_Wastewater collection; operation and infrastructure; m3 wastewater_Base_With Amendment_Aerated Static Pile</v>
      </c>
    </row>
    <row r="4218" spans="1:13" s="120" customFormat="1" x14ac:dyDescent="0.25">
      <c r="A4218" s="119"/>
      <c r="B4218" s="138" t="str">
        <f t="shared" si="242"/>
        <v>Aerated Static Pile</v>
      </c>
      <c r="C4218" s="138" t="str">
        <f t="shared" si="243"/>
        <v>Base_With Amendment</v>
      </c>
      <c r="D4218" s="138" t="str">
        <f t="shared" si="244"/>
        <v>Base</v>
      </c>
      <c r="E4218" s="138" t="str">
        <f t="shared" si="244"/>
        <v>Base</v>
      </c>
      <c r="F4218" s="138" t="str">
        <f t="shared" si="245"/>
        <v>Upgraded</v>
      </c>
      <c r="G4218" s="153"/>
      <c r="H4218" s="210">
        <v>1.8800000000000001E-2</v>
      </c>
      <c r="I4218" s="160" t="s">
        <v>60</v>
      </c>
      <c r="J4218" s="160">
        <v>7.6999999999999996E-4</v>
      </c>
      <c r="K4218" s="160" t="s">
        <v>24</v>
      </c>
      <c r="L4218" s="154" t="str">
        <f>IF(OpenLCAbasic!K4218="CTUh", "Fill in Manually",IF(OR(K4218="Unit", K4218=""), "", INDEX(LookUps!$E$5:$E$12, MATCH(OpenLCAbasic!K4218,LookUps!$D$5:$D$12,0))))</f>
        <v>Acidification Potential (AP) - kg SO2 eq</v>
      </c>
      <c r="M4218" s="154" t="str">
        <f t="shared" si="237"/>
        <v>Base_Base_Upgraded_Acidification Potential (AP) - kg SO2 eq_Belt filter press; wastewater treatment unit; at updated plant - US_Base_With Amendment_Aerated Static Pile</v>
      </c>
    </row>
    <row r="4219" spans="1:13" s="120" customFormat="1" x14ac:dyDescent="0.25">
      <c r="A4219" s="119"/>
      <c r="B4219" s="138" t="str">
        <f t="shared" si="242"/>
        <v>Aerated Static Pile</v>
      </c>
      <c r="C4219" s="138" t="str">
        <f t="shared" si="243"/>
        <v>Base_With Amendment</v>
      </c>
      <c r="D4219" s="138" t="str">
        <f t="shared" si="244"/>
        <v>Base</v>
      </c>
      <c r="E4219" s="138" t="str">
        <f t="shared" si="244"/>
        <v>Base</v>
      </c>
      <c r="F4219" s="138" t="str">
        <f t="shared" si="245"/>
        <v>Upgraded</v>
      </c>
      <c r="G4219" s="153"/>
      <c r="H4219" s="210">
        <v>1.72E-2</v>
      </c>
      <c r="I4219" s="160" t="s">
        <v>57</v>
      </c>
      <c r="J4219" s="160">
        <v>6.9999999999999999E-4</v>
      </c>
      <c r="K4219" s="160" t="s">
        <v>24</v>
      </c>
      <c r="L4219" s="154" t="str">
        <f>IF(OpenLCAbasic!K4219="CTUh", "Fill in Manually",IF(OR(K4219="Unit", K4219=""), "", INDEX(LookUps!$E$5:$E$12, MATCH(OpenLCAbasic!K4219,LookUps!$D$5:$D$12,0))))</f>
        <v>Acidification Potential (AP) - kg SO2 eq</v>
      </c>
      <c r="M4219" s="154" t="str">
        <f t="shared" si="237"/>
        <v>Base_Base_Upgraded_Acidification Potential (AP) - kg SO2 eq_Gravity Belt Thickener; wastewater treatment unit; at updated plant - US_Base_With Amendment_Aerated Static Pile</v>
      </c>
    </row>
    <row r="4220" spans="1:13" s="120" customFormat="1" x14ac:dyDescent="0.25">
      <c r="A4220" s="119"/>
      <c r="B4220" s="138" t="str">
        <f t="shared" si="242"/>
        <v>Aerated Static Pile</v>
      </c>
      <c r="C4220" s="138" t="str">
        <f t="shared" si="243"/>
        <v>Base_With Amendment</v>
      </c>
      <c r="D4220" s="138" t="str">
        <f t="shared" si="244"/>
        <v>Base</v>
      </c>
      <c r="E4220" s="138" t="str">
        <f t="shared" si="244"/>
        <v>Base</v>
      </c>
      <c r="F4220" s="138" t="str">
        <f t="shared" si="245"/>
        <v>Upgraded</v>
      </c>
      <c r="G4220" s="153"/>
      <c r="H4220" s="210">
        <v>1.26E-2</v>
      </c>
      <c r="I4220" s="160" t="s">
        <v>59</v>
      </c>
      <c r="J4220" s="160">
        <v>5.1999999999999995E-4</v>
      </c>
      <c r="K4220" s="160" t="s">
        <v>24</v>
      </c>
      <c r="L4220" s="154" t="str">
        <f>IF(OpenLCAbasic!K4220="CTUh", "Fill in Manually",IF(OR(K4220="Unit", K4220=""), "", INDEX(LookUps!$E$5:$E$12, MATCH(OpenLCAbasic!K4220,LookUps!$D$5:$D$12,0))))</f>
        <v>Acidification Potential (AP) - kg SO2 eq</v>
      </c>
      <c r="M4220" s="154" t="str">
        <f t="shared" si="237"/>
        <v>Base_Base_Upgraded_Acidification Potential (AP) - kg SO2 eq_Blend Tank; wastewater treatment unit; at updated plant - US_Base_With Amendment_Aerated Static Pile</v>
      </c>
    </row>
    <row r="4221" spans="1:13" s="120" customFormat="1" x14ac:dyDescent="0.25">
      <c r="A4221" s="119"/>
      <c r="B4221" s="138" t="str">
        <f t="shared" si="242"/>
        <v>Aerated Static Pile</v>
      </c>
      <c r="C4221" s="138" t="str">
        <f t="shared" si="243"/>
        <v>Base_With Amendment</v>
      </c>
      <c r="D4221" s="138" t="str">
        <f t="shared" si="244"/>
        <v>Base</v>
      </c>
      <c r="E4221" s="138" t="str">
        <f t="shared" si="244"/>
        <v>Base</v>
      </c>
      <c r="F4221" s="138" t="str">
        <f t="shared" si="245"/>
        <v>Upgraded</v>
      </c>
      <c r="G4221" s="153"/>
      <c r="H4221" s="210">
        <v>8.5000000000000006E-3</v>
      </c>
      <c r="I4221" s="160" t="s">
        <v>48</v>
      </c>
      <c r="J4221" s="160">
        <v>3.5E-4</v>
      </c>
      <c r="K4221" s="160" t="s">
        <v>24</v>
      </c>
      <c r="L4221" s="154" t="str">
        <f>IF(OpenLCAbasic!K4221="CTUh", "Fill in Manually",IF(OR(K4221="Unit", K4221=""), "", INDEX(LookUps!$E$5:$E$12, MATCH(OpenLCAbasic!K4221,LookUps!$D$5:$D$12,0))))</f>
        <v>Acidification Potential (AP) - kg SO2 eq</v>
      </c>
      <c r="M4221" s="154" t="str">
        <f t="shared" si="237"/>
        <v>Base_Base_Upgraded_Acidification Potential (AP) - kg SO2 eq_Effluent release; wastewater treatment unit; at surface water; m3 wastewater - US_Base_With Amendment_Aerated Static Pile</v>
      </c>
    </row>
    <row r="4222" spans="1:13" s="120" customFormat="1" x14ac:dyDescent="0.25">
      <c r="A4222" s="119"/>
      <c r="B4222" s="138" t="str">
        <f t="shared" si="242"/>
        <v>Aerated Static Pile</v>
      </c>
      <c r="C4222" s="138" t="str">
        <f t="shared" si="243"/>
        <v>Base_With Amendment</v>
      </c>
      <c r="D4222" s="138" t="str">
        <f t="shared" si="244"/>
        <v>Base</v>
      </c>
      <c r="E4222" s="138" t="str">
        <f t="shared" si="244"/>
        <v>Base</v>
      </c>
      <c r="F4222" s="138" t="str">
        <f t="shared" si="245"/>
        <v>Upgraded</v>
      </c>
      <c r="G4222" s="153"/>
      <c r="H4222" s="210">
        <v>6.1999999999999998E-3</v>
      </c>
      <c r="I4222" s="160" t="s">
        <v>168</v>
      </c>
      <c r="J4222" s="160">
        <v>2.5999999999999998E-4</v>
      </c>
      <c r="K4222" s="160" t="s">
        <v>24</v>
      </c>
      <c r="L4222" s="154" t="str">
        <f>IF(OpenLCAbasic!K4222="CTUh", "Fill in Manually",IF(OR(K4222="Unit", K4222=""), "", INDEX(LookUps!$E$5:$E$12, MATCH(OpenLCAbasic!K4222,LookUps!$D$5:$D$12,0))))</f>
        <v>Acidification Potential (AP) - kg SO2 eq</v>
      </c>
      <c r="M4222" s="154" t="str">
        <f t="shared" si="237"/>
        <v>Base_Base_Upgraded_Acidification Potential (AP) - kg SO2 eq_ClearCove SCP; wastewater treatment unit; at updated plant - US_Base_With Amendment_Aerated Static Pile</v>
      </c>
    </row>
    <row r="4223" spans="1:13" s="120" customFormat="1" x14ac:dyDescent="0.25">
      <c r="A4223" s="119"/>
      <c r="B4223" s="138" t="str">
        <f t="shared" si="242"/>
        <v>Aerated Static Pile</v>
      </c>
      <c r="C4223" s="138" t="str">
        <f t="shared" si="243"/>
        <v>Base_With Amendment</v>
      </c>
      <c r="D4223" s="138" t="str">
        <f t="shared" si="244"/>
        <v>Base</v>
      </c>
      <c r="E4223" s="138" t="str">
        <f t="shared" si="244"/>
        <v>Base</v>
      </c>
      <c r="F4223" s="138" t="str">
        <f t="shared" si="245"/>
        <v>Upgraded</v>
      </c>
      <c r="G4223" s="153"/>
      <c r="H4223" s="210">
        <v>1E-3</v>
      </c>
      <c r="I4223" s="160" t="s">
        <v>148</v>
      </c>
      <c r="J4223" s="211">
        <v>4.0354700000000002E-5</v>
      </c>
      <c r="K4223" s="160" t="s">
        <v>24</v>
      </c>
      <c r="L4223" s="154" t="str">
        <f>IF(OpenLCAbasic!K4223="CTUh", "Fill in Manually",IF(OR(K4223="Unit", K4223=""), "", INDEX(LookUps!$E$5:$E$12, MATCH(OpenLCAbasic!K4223,LookUps!$D$5:$D$12,0))))</f>
        <v>Acidification Potential (AP) - kg SO2 eq</v>
      </c>
      <c r="M4223" s="154" t="str">
        <f t="shared" si="237"/>
        <v>Base_Base_Upgraded_Acidification Potential (AP) - kg SO2 eq_Control Building; at upgraded wastewater treatment plant - US_Base_With Amendment_Aerated Static Pile</v>
      </c>
    </row>
    <row r="4224" spans="1:13" s="120" customFormat="1" x14ac:dyDescent="0.25">
      <c r="A4224" s="119"/>
      <c r="B4224" s="138" t="str">
        <f t="shared" si="242"/>
        <v>Aerated Static Pile</v>
      </c>
      <c r="C4224" s="138" t="str">
        <f t="shared" si="243"/>
        <v>Base_With Amendment</v>
      </c>
      <c r="D4224" s="138" t="str">
        <f t="shared" si="244"/>
        <v>Base</v>
      </c>
      <c r="E4224" s="138" t="str">
        <f t="shared" si="244"/>
        <v>Base</v>
      </c>
      <c r="F4224" s="138" t="str">
        <f t="shared" si="245"/>
        <v>Upgraded</v>
      </c>
      <c r="G4224" s="153"/>
      <c r="H4224" s="210">
        <v>-0.15740000000000001</v>
      </c>
      <c r="I4224" s="160" t="s">
        <v>149</v>
      </c>
      <c r="J4224" s="160">
        <v>-6.45E-3</v>
      </c>
      <c r="K4224" s="160" t="s">
        <v>24</v>
      </c>
      <c r="L4224" s="154" t="str">
        <f>IF(OpenLCAbasic!K4224="CTUh", "Fill in Manually",IF(OR(K4224="Unit", K4224=""), "", INDEX(LookUps!$E$5:$E$12, MATCH(OpenLCAbasic!K4224,LookUps!$D$5:$D$12,0))))</f>
        <v>Acidification Potential (AP) - kg SO2 eq</v>
      </c>
      <c r="M4224" s="154" t="str">
        <f t="shared" si="237"/>
        <v>Base_Base_Upgraded_Acidification Potential (AP) - kg SO2 eq_Anaerobic Digestion; wastewater treatment unit; at updated plant - US_Base_With Amendment_Aerated Static Pile</v>
      </c>
    </row>
    <row r="4225" spans="1:13" s="120" customFormat="1" x14ac:dyDescent="0.25">
      <c r="A4225" s="119"/>
      <c r="B4225" s="138" t="str">
        <f t="shared" si="242"/>
        <v/>
      </c>
      <c r="C4225" s="138" t="str">
        <f t="shared" si="243"/>
        <v/>
      </c>
      <c r="D4225" s="138" t="str">
        <f t="shared" si="244"/>
        <v/>
      </c>
      <c r="E4225" s="138" t="str">
        <f t="shared" si="244"/>
        <v/>
      </c>
      <c r="F4225" s="138" t="str">
        <f t="shared" si="245"/>
        <v/>
      </c>
      <c r="G4225" s="153" t="s">
        <v>51</v>
      </c>
      <c r="H4225" s="160"/>
      <c r="I4225" s="160" t="s">
        <v>47</v>
      </c>
      <c r="J4225" s="160" t="s">
        <v>52</v>
      </c>
      <c r="K4225" s="160" t="s">
        <v>27</v>
      </c>
      <c r="L4225" s="154" t="str">
        <f>IF(OpenLCAbasic!K4225="CTUh", "Fill in Manually",IF(OR(K4225="Unit", K4225=""), "", INDEX(LookUps!$E$5:$E$12, MATCH(OpenLCAbasic!K4225,LookUps!$D$5:$D$12,0))))</f>
        <v/>
      </c>
      <c r="M4225" s="154" t="str">
        <f t="shared" si="237"/>
        <v>____Process__</v>
      </c>
    </row>
    <row r="4226" spans="1:13" s="120" customFormat="1" x14ac:dyDescent="0.25">
      <c r="A4226" s="119"/>
      <c r="B4226" s="138" t="str">
        <f t="shared" si="242"/>
        <v>Aerated Static Pile</v>
      </c>
      <c r="C4226" s="138" t="str">
        <f t="shared" si="243"/>
        <v>Base_With Amendment</v>
      </c>
      <c r="D4226" s="138" t="str">
        <f t="shared" si="244"/>
        <v>Base</v>
      </c>
      <c r="E4226" s="138" t="str">
        <f t="shared" si="244"/>
        <v>Base</v>
      </c>
      <c r="F4226" s="138" t="str">
        <f t="shared" si="245"/>
        <v>Upgraded</v>
      </c>
      <c r="G4226" s="153"/>
      <c r="H4226" s="210">
        <v>0.32769999999999999</v>
      </c>
      <c r="I4226" s="160" t="s">
        <v>55</v>
      </c>
      <c r="J4226" s="160">
        <v>3.5330499999999998</v>
      </c>
      <c r="K4226" s="160" t="s">
        <v>15</v>
      </c>
      <c r="L4226" s="154" t="str">
        <f>IF(OpenLCAbasic!K4226="CTUh", "Fill in Manually",IF(OR(K4226="Unit", K4226=""), "", INDEX(LookUps!$E$5:$E$12, MATCH(OpenLCAbasic!K4226,LookUps!$D$5:$D$12,0))))</f>
        <v>Cumulative Energy Demand (CED) - MJ</v>
      </c>
      <c r="M4226" s="154" t="str">
        <f t="shared" si="237"/>
        <v>Base_Base_Upgraded_Cumulative Energy Demand (CED) - MJ_Aeration Tanks; wastewater treatment unit; at updated plant - US_Base_With Amendment_Aerated Static Pile</v>
      </c>
    </row>
    <row r="4227" spans="1:13" s="120" customFormat="1" x14ac:dyDescent="0.25">
      <c r="A4227" s="119"/>
      <c r="B4227" s="138" t="str">
        <f t="shared" si="242"/>
        <v>Aerated Static Pile</v>
      </c>
      <c r="C4227" s="138" t="str">
        <f t="shared" si="243"/>
        <v>Base_With Amendment</v>
      </c>
      <c r="D4227" s="138" t="str">
        <f t="shared" si="244"/>
        <v>Base</v>
      </c>
      <c r="E4227" s="138" t="str">
        <f t="shared" si="244"/>
        <v>Base</v>
      </c>
      <c r="F4227" s="138" t="str">
        <f t="shared" si="245"/>
        <v>Upgraded</v>
      </c>
      <c r="G4227" s="153"/>
      <c r="H4227" s="210">
        <v>0.32450000000000001</v>
      </c>
      <c r="I4227" s="160" t="s">
        <v>167</v>
      </c>
      <c r="J4227" s="160">
        <v>3.4982700000000002</v>
      </c>
      <c r="K4227" s="160" t="s">
        <v>15</v>
      </c>
      <c r="L4227" s="154" t="str">
        <f>IF(OpenLCAbasic!K4227="CTUh", "Fill in Manually",IF(OR(K4227="Unit", K4227=""), "", INDEX(LookUps!$E$5:$E$12, MATCH(OpenLCAbasic!K4227,LookUps!$D$5:$D$12,0))))</f>
        <v>Cumulative Energy Demand (CED) - MJ</v>
      </c>
      <c r="M4227" s="154" t="str">
        <f t="shared" si="237"/>
        <v>Base_Base_Upgraded_Cumulative Energy Demand (CED) - MJ_Waste Receiving and Holding; wastewater treatment unit; at updated plant - US_Base_With Amendment_Aerated Static Pile</v>
      </c>
    </row>
    <row r="4228" spans="1:13" s="120" customFormat="1" x14ac:dyDescent="0.25">
      <c r="A4228" s="119"/>
      <c r="B4228" s="138" t="str">
        <f t="shared" si="242"/>
        <v>Aerated Static Pile</v>
      </c>
      <c r="C4228" s="138" t="str">
        <f t="shared" si="243"/>
        <v>Base_With Amendment</v>
      </c>
      <c r="D4228" s="138" t="str">
        <f t="shared" si="244"/>
        <v>Base</v>
      </c>
      <c r="E4228" s="138" t="str">
        <f t="shared" si="244"/>
        <v>Base</v>
      </c>
      <c r="F4228" s="138" t="str">
        <f t="shared" si="245"/>
        <v>Upgraded</v>
      </c>
      <c r="G4228" s="153"/>
      <c r="H4228" s="210">
        <v>0.1159</v>
      </c>
      <c r="I4228" s="160" t="s">
        <v>435</v>
      </c>
      <c r="J4228" s="160">
        <v>1.2490300000000001</v>
      </c>
      <c r="K4228" s="160" t="s">
        <v>15</v>
      </c>
      <c r="L4228" s="154" t="str">
        <f>IF(OpenLCAbasic!K4228="CTUh", "Fill in Manually",IF(OR(K4228="Unit", K4228=""), "", INDEX(LookUps!$E$5:$E$12, MATCH(OpenLCAbasic!K4228,LookUps!$D$5:$D$12,0))))</f>
        <v>Cumulative Energy Demand (CED) - MJ</v>
      </c>
      <c r="M4228" s="154" t="str">
        <f t="shared" si="237"/>
        <v>Base_Base_Upgraded_Cumulative Energy Demand (CED) - MJ_Biosolids composting; aerated static pile; wastewater treatment unit; at updated plant - US_Base_With Amendment_Aerated Static Pile</v>
      </c>
    </row>
    <row r="4229" spans="1:13" s="120" customFormat="1" x14ac:dyDescent="0.25">
      <c r="A4229" s="119"/>
      <c r="B4229" s="138" t="str">
        <f t="shared" si="242"/>
        <v>Aerated Static Pile</v>
      </c>
      <c r="C4229" s="138" t="str">
        <f t="shared" si="243"/>
        <v>Base_With Amendment</v>
      </c>
      <c r="D4229" s="138" t="str">
        <f t="shared" si="244"/>
        <v>Base</v>
      </c>
      <c r="E4229" s="138" t="str">
        <f t="shared" si="244"/>
        <v>Base</v>
      </c>
      <c r="F4229" s="138" t="str">
        <f t="shared" si="245"/>
        <v>Upgraded</v>
      </c>
      <c r="G4229" s="153"/>
      <c r="H4229" s="210">
        <v>0.1079</v>
      </c>
      <c r="I4229" s="160" t="s">
        <v>54</v>
      </c>
      <c r="J4229" s="160">
        <v>1.16289</v>
      </c>
      <c r="K4229" s="160" t="s">
        <v>15</v>
      </c>
      <c r="L4229" s="154" t="str">
        <f>IF(OpenLCAbasic!K4229="CTUh", "Fill in Manually",IF(OR(K4229="Unit", K4229=""), "", INDEX(LookUps!$E$5:$E$12, MATCH(OpenLCAbasic!K4229,LookUps!$D$5:$D$12,0))))</f>
        <v>Cumulative Energy Demand (CED) - MJ</v>
      </c>
      <c r="M4229" s="154" t="str">
        <f t="shared" si="237"/>
        <v>Base_Base_Upgraded_Cumulative Energy Demand (CED) - MJ_Clear Cove Primary Clarification; wastewater treatment unit; at updated plant - US_Base_With Amendment_Aerated Static Pile</v>
      </c>
    </row>
    <row r="4230" spans="1:13" s="120" customFormat="1" x14ac:dyDescent="0.25">
      <c r="A4230" s="119"/>
      <c r="B4230" s="138" t="str">
        <f t="shared" si="242"/>
        <v>Aerated Static Pile</v>
      </c>
      <c r="C4230" s="138" t="str">
        <f t="shared" si="243"/>
        <v>Base_With Amendment</v>
      </c>
      <c r="D4230" s="138" t="str">
        <f t="shared" si="244"/>
        <v>Base</v>
      </c>
      <c r="E4230" s="138" t="str">
        <f t="shared" si="244"/>
        <v>Base</v>
      </c>
      <c r="F4230" s="138" t="str">
        <f t="shared" si="245"/>
        <v>Upgraded</v>
      </c>
      <c r="G4230" s="153"/>
      <c r="H4230" s="210">
        <v>8.2000000000000003E-2</v>
      </c>
      <c r="I4230" s="160" t="s">
        <v>58</v>
      </c>
      <c r="J4230" s="160">
        <v>0.88417000000000001</v>
      </c>
      <c r="K4230" s="160" t="s">
        <v>15</v>
      </c>
      <c r="L4230" s="154" t="str">
        <f>IF(OpenLCAbasic!K4230="CTUh", "Fill in Manually",IF(OR(K4230="Unit", K4230=""), "", INDEX(LookUps!$E$5:$E$12, MATCH(OpenLCAbasic!K4230,LookUps!$D$5:$D$12,0))))</f>
        <v>Cumulative Energy Demand (CED) - MJ</v>
      </c>
      <c r="M4230" s="154" t="str">
        <f t="shared" si="237"/>
        <v>Base_Base_Upgraded_Cumulative Energy Demand (CED) - MJ_Pre-Anoxic &amp; Swing tank; wastewater treatment unit; at updated plant - US_Base_With Amendment_Aerated Static Pile</v>
      </c>
    </row>
    <row r="4231" spans="1:13" s="120" customFormat="1" x14ac:dyDescent="0.25">
      <c r="A4231" s="119"/>
      <c r="B4231" s="138" t="str">
        <f t="shared" si="242"/>
        <v>Aerated Static Pile</v>
      </c>
      <c r="C4231" s="138" t="str">
        <f t="shared" si="243"/>
        <v>Base_With Amendment</v>
      </c>
      <c r="D4231" s="138" t="str">
        <f t="shared" si="244"/>
        <v>Base</v>
      </c>
      <c r="E4231" s="138" t="str">
        <f t="shared" si="244"/>
        <v>Base</v>
      </c>
      <c r="F4231" s="138" t="str">
        <f t="shared" si="245"/>
        <v>Upgraded</v>
      </c>
      <c r="G4231" s="153"/>
      <c r="H4231" s="210">
        <v>8.1900000000000001E-2</v>
      </c>
      <c r="I4231" s="160" t="s">
        <v>147</v>
      </c>
      <c r="J4231" s="160">
        <v>0.88297000000000003</v>
      </c>
      <c r="K4231" s="160" t="s">
        <v>15</v>
      </c>
      <c r="L4231" s="154" t="str">
        <f>IF(OpenLCAbasic!K4231="CTUh", "Fill in Manually",IF(OR(K4231="Unit", K4231=""), "", INDEX(LookUps!$E$5:$E$12, MATCH(OpenLCAbasic!K4231,LookUps!$D$5:$D$12,0))))</f>
        <v>Cumulative Energy Demand (CED) - MJ</v>
      </c>
      <c r="M4231" s="154" t="str">
        <f t="shared" ref="M4231:M4294" si="246">CONCATENATE(E4231,"_",D4231,"_",F4231,"_",L4231, "_",I4231,"_", C4231,"_", B4231)</f>
        <v>Base_Base_Upgraded_Cumulative Energy Demand (CED) - MJ_Influent Pump Station; wastewater treatment unit; at updated plant - US_Base_With Amendment_Aerated Static Pile</v>
      </c>
    </row>
    <row r="4232" spans="1:13" s="120" customFormat="1" x14ac:dyDescent="0.25">
      <c r="A4232" s="119"/>
      <c r="B4232" s="138" t="str">
        <f t="shared" si="242"/>
        <v>Aerated Static Pile</v>
      </c>
      <c r="C4232" s="138" t="str">
        <f t="shared" si="243"/>
        <v>Base_With Amendment</v>
      </c>
      <c r="D4232" s="138" t="str">
        <f t="shared" si="244"/>
        <v>Base</v>
      </c>
      <c r="E4232" s="138" t="str">
        <f t="shared" si="244"/>
        <v>Base</v>
      </c>
      <c r="F4232" s="138" t="str">
        <f t="shared" si="245"/>
        <v>Upgraded</v>
      </c>
      <c r="G4232" s="153"/>
      <c r="H4232" s="210">
        <v>6.4600000000000005E-2</v>
      </c>
      <c r="I4232" s="160" t="s">
        <v>53</v>
      </c>
      <c r="J4232" s="160">
        <v>0.69645000000000001</v>
      </c>
      <c r="K4232" s="160" t="s">
        <v>15</v>
      </c>
      <c r="L4232" s="154" t="str">
        <f>IF(OpenLCAbasic!K4232="CTUh", "Fill in Manually",IF(OR(K4232="Unit", K4232=""), "", INDEX(LookUps!$E$5:$E$12, MATCH(OpenLCAbasic!K4232,LookUps!$D$5:$D$12,0))))</f>
        <v>Cumulative Energy Demand (CED) - MJ</v>
      </c>
      <c r="M4232" s="154" t="str">
        <f t="shared" si="246"/>
        <v>Base_Base_Upgraded_Cumulative Energy Demand (CED) - MJ_Wet Well and Sump Station; wastewater treatment unit; at updated plant - US_Base_With Amendment_Aerated Static Pile</v>
      </c>
    </row>
    <row r="4233" spans="1:13" s="120" customFormat="1" x14ac:dyDescent="0.25">
      <c r="A4233" s="119"/>
      <c r="B4233" s="138" t="str">
        <f t="shared" si="242"/>
        <v>Aerated Static Pile</v>
      </c>
      <c r="C4233" s="138" t="str">
        <f t="shared" si="243"/>
        <v>Base_With Amendment</v>
      </c>
      <c r="D4233" s="138" t="str">
        <f t="shared" si="244"/>
        <v>Base</v>
      </c>
      <c r="E4233" s="138" t="str">
        <f t="shared" si="244"/>
        <v>Base</v>
      </c>
      <c r="F4233" s="138" t="str">
        <f t="shared" si="245"/>
        <v>Upgraded</v>
      </c>
      <c r="G4233" s="153"/>
      <c r="H4233" s="210">
        <v>3.1E-2</v>
      </c>
      <c r="I4233" s="160" t="s">
        <v>57</v>
      </c>
      <c r="J4233" s="160">
        <v>0.33404</v>
      </c>
      <c r="K4233" s="160" t="s">
        <v>15</v>
      </c>
      <c r="L4233" s="154" t="str">
        <f>IF(OpenLCAbasic!K4233="CTUh", "Fill in Manually",IF(OR(K4233="Unit", K4233=""), "", INDEX(LookUps!$E$5:$E$12, MATCH(OpenLCAbasic!K4233,LookUps!$D$5:$D$12,0))))</f>
        <v>Cumulative Energy Demand (CED) - MJ</v>
      </c>
      <c r="M4233" s="154" t="str">
        <f t="shared" si="246"/>
        <v>Base_Base_Upgraded_Cumulative Energy Demand (CED) - MJ_Gravity Belt Thickener; wastewater treatment unit; at updated plant - US_Base_With Amendment_Aerated Static Pile</v>
      </c>
    </row>
    <row r="4234" spans="1:13" s="120" customFormat="1" x14ac:dyDescent="0.25">
      <c r="A4234" s="119"/>
      <c r="B4234" s="138" t="str">
        <f t="shared" si="242"/>
        <v>Aerated Static Pile</v>
      </c>
      <c r="C4234" s="138" t="str">
        <f t="shared" si="243"/>
        <v>Base_With Amendment</v>
      </c>
      <c r="D4234" s="138" t="str">
        <f t="shared" si="244"/>
        <v>Base</v>
      </c>
      <c r="E4234" s="138" t="str">
        <f t="shared" si="244"/>
        <v>Base</v>
      </c>
      <c r="F4234" s="138" t="str">
        <f t="shared" si="245"/>
        <v>Upgraded</v>
      </c>
      <c r="G4234" s="153"/>
      <c r="H4234" s="210">
        <v>2.6700000000000002E-2</v>
      </c>
      <c r="I4234" s="160" t="s">
        <v>60</v>
      </c>
      <c r="J4234" s="160">
        <v>0.28833999999999999</v>
      </c>
      <c r="K4234" s="160" t="s">
        <v>15</v>
      </c>
      <c r="L4234" s="154" t="str">
        <f>IF(OpenLCAbasic!K4234="CTUh", "Fill in Manually",IF(OR(K4234="Unit", K4234=""), "", INDEX(LookUps!$E$5:$E$12, MATCH(OpenLCAbasic!K4234,LookUps!$D$5:$D$12,0))))</f>
        <v>Cumulative Energy Demand (CED) - MJ</v>
      </c>
      <c r="M4234" s="154" t="str">
        <f t="shared" si="246"/>
        <v>Base_Base_Upgraded_Cumulative Energy Demand (CED) - MJ_Belt filter press; wastewater treatment unit; at updated plant - US_Base_With Amendment_Aerated Static Pile</v>
      </c>
    </row>
    <row r="4235" spans="1:13" s="120" customFormat="1" x14ac:dyDescent="0.25">
      <c r="A4235" s="119"/>
      <c r="B4235" s="138" t="str">
        <f t="shared" si="242"/>
        <v>Aerated Static Pile</v>
      </c>
      <c r="C4235" s="138" t="str">
        <f t="shared" si="243"/>
        <v>Base_With Amendment</v>
      </c>
      <c r="D4235" s="138" t="str">
        <f t="shared" si="244"/>
        <v>Base</v>
      </c>
      <c r="E4235" s="138" t="str">
        <f t="shared" si="244"/>
        <v>Base</v>
      </c>
      <c r="F4235" s="138" t="str">
        <f t="shared" si="245"/>
        <v>Upgraded</v>
      </c>
      <c r="G4235" s="153"/>
      <c r="H4235" s="210">
        <v>2.3800000000000002E-2</v>
      </c>
      <c r="I4235" s="160" t="s">
        <v>128</v>
      </c>
      <c r="J4235" s="160">
        <v>0.25606000000000001</v>
      </c>
      <c r="K4235" s="160" t="s">
        <v>15</v>
      </c>
      <c r="L4235" s="154" t="str">
        <f>IF(OpenLCAbasic!K4235="CTUh", "Fill in Manually",IF(OR(K4235="Unit", K4235=""), "", INDEX(LookUps!$E$5:$E$12, MATCH(OpenLCAbasic!K4235,LookUps!$D$5:$D$12,0))))</f>
        <v>Cumulative Energy Demand (CED) - MJ</v>
      </c>
      <c r="M4235" s="154" t="str">
        <f t="shared" si="246"/>
        <v>Base_Base_Upgraded_Cumulative Energy Demand (CED) - MJ_Wastewater collection; operation and infrastructure; m3 wastewater_Base_With Amendment_Aerated Static Pile</v>
      </c>
    </row>
    <row r="4236" spans="1:13" s="120" customFormat="1" x14ac:dyDescent="0.25">
      <c r="A4236" s="119"/>
      <c r="B4236" s="138" t="str">
        <f t="shared" si="242"/>
        <v>Aerated Static Pile</v>
      </c>
      <c r="C4236" s="138" t="str">
        <f t="shared" si="243"/>
        <v>Base_With Amendment</v>
      </c>
      <c r="D4236" s="138" t="str">
        <f t="shared" si="244"/>
        <v>Base</v>
      </c>
      <c r="E4236" s="138" t="str">
        <f t="shared" si="244"/>
        <v>Base</v>
      </c>
      <c r="F4236" s="138" t="str">
        <f t="shared" si="245"/>
        <v>Upgraded</v>
      </c>
      <c r="G4236" s="153"/>
      <c r="H4236" s="210">
        <v>1.35E-2</v>
      </c>
      <c r="I4236" s="160" t="s">
        <v>148</v>
      </c>
      <c r="J4236" s="160">
        <v>0.14599000000000001</v>
      </c>
      <c r="K4236" s="160" t="s">
        <v>15</v>
      </c>
      <c r="L4236" s="154" t="str">
        <f>IF(OpenLCAbasic!K4236="CTUh", "Fill in Manually",IF(OR(K4236="Unit", K4236=""), "", INDEX(LookUps!$E$5:$E$12, MATCH(OpenLCAbasic!K4236,LookUps!$D$5:$D$12,0))))</f>
        <v>Cumulative Energy Demand (CED) - MJ</v>
      </c>
      <c r="M4236" s="154" t="str">
        <f t="shared" si="246"/>
        <v>Base_Base_Upgraded_Cumulative Energy Demand (CED) - MJ_Control Building; at upgraded wastewater treatment plant - US_Base_With Amendment_Aerated Static Pile</v>
      </c>
    </row>
    <row r="4237" spans="1:13" s="120" customFormat="1" x14ac:dyDescent="0.25">
      <c r="A4237" s="119"/>
      <c r="B4237" s="138" t="str">
        <f t="shared" si="242"/>
        <v>Aerated Static Pile</v>
      </c>
      <c r="C4237" s="138" t="str">
        <f t="shared" si="243"/>
        <v>Base_With Amendment</v>
      </c>
      <c r="D4237" s="138" t="str">
        <f t="shared" si="244"/>
        <v>Base</v>
      </c>
      <c r="E4237" s="138" t="str">
        <f t="shared" si="244"/>
        <v>Base</v>
      </c>
      <c r="F4237" s="138" t="str">
        <f t="shared" si="245"/>
        <v>Upgraded</v>
      </c>
      <c r="G4237" s="153"/>
      <c r="H4237" s="210">
        <v>1.24E-2</v>
      </c>
      <c r="I4237" s="160" t="s">
        <v>48</v>
      </c>
      <c r="J4237" s="160">
        <v>0.13321</v>
      </c>
      <c r="K4237" s="160" t="s">
        <v>15</v>
      </c>
      <c r="L4237" s="154" t="str">
        <f>IF(OpenLCAbasic!K4237="CTUh", "Fill in Manually",IF(OR(K4237="Unit", K4237=""), "", INDEX(LookUps!$E$5:$E$12, MATCH(OpenLCAbasic!K4237,LookUps!$D$5:$D$12,0))))</f>
        <v>Cumulative Energy Demand (CED) - MJ</v>
      </c>
      <c r="M4237" s="154" t="str">
        <f t="shared" si="246"/>
        <v>Base_Base_Upgraded_Cumulative Energy Demand (CED) - MJ_Effluent release; wastewater treatment unit; at surface water; m3 wastewater - US_Base_With Amendment_Aerated Static Pile</v>
      </c>
    </row>
    <row r="4238" spans="1:13" s="120" customFormat="1" x14ac:dyDescent="0.25">
      <c r="A4238" s="119"/>
      <c r="B4238" s="138" t="str">
        <f t="shared" si="242"/>
        <v>Aerated Static Pile</v>
      </c>
      <c r="C4238" s="138" t="str">
        <f t="shared" si="243"/>
        <v>Base_With Amendment</v>
      </c>
      <c r="D4238" s="138" t="str">
        <f t="shared" si="244"/>
        <v>Base</v>
      </c>
      <c r="E4238" s="138" t="str">
        <f t="shared" si="244"/>
        <v>Base</v>
      </c>
      <c r="F4238" s="138" t="str">
        <f t="shared" si="245"/>
        <v>Upgraded</v>
      </c>
      <c r="G4238" s="153"/>
      <c r="H4238" s="210">
        <v>9.9000000000000008E-3</v>
      </c>
      <c r="I4238" s="160" t="s">
        <v>59</v>
      </c>
      <c r="J4238" s="160">
        <v>0.10638</v>
      </c>
      <c r="K4238" s="160" t="s">
        <v>15</v>
      </c>
      <c r="L4238" s="154" t="str">
        <f>IF(OpenLCAbasic!K4238="CTUh", "Fill in Manually",IF(OR(K4238="Unit", K4238=""), "", INDEX(LookUps!$E$5:$E$12, MATCH(OpenLCAbasic!K4238,LookUps!$D$5:$D$12,0))))</f>
        <v>Cumulative Energy Demand (CED) - MJ</v>
      </c>
      <c r="M4238" s="154" t="str">
        <f t="shared" si="246"/>
        <v>Base_Base_Upgraded_Cumulative Energy Demand (CED) - MJ_Blend Tank; wastewater treatment unit; at updated plant - US_Base_With Amendment_Aerated Static Pile</v>
      </c>
    </row>
    <row r="4239" spans="1:13" s="120" customFormat="1" x14ac:dyDescent="0.25">
      <c r="A4239" s="119"/>
      <c r="B4239" s="138" t="str">
        <f t="shared" si="242"/>
        <v>Aerated Static Pile</v>
      </c>
      <c r="C4239" s="138" t="str">
        <f t="shared" si="243"/>
        <v>Base_With Amendment</v>
      </c>
      <c r="D4239" s="138" t="str">
        <f t="shared" si="244"/>
        <v>Base</v>
      </c>
      <c r="E4239" s="138" t="str">
        <f t="shared" si="244"/>
        <v>Base</v>
      </c>
      <c r="F4239" s="138" t="str">
        <f t="shared" si="245"/>
        <v>Upgraded</v>
      </c>
      <c r="G4239" s="153"/>
      <c r="H4239" s="210">
        <v>4.7000000000000002E-3</v>
      </c>
      <c r="I4239" s="160" t="s">
        <v>168</v>
      </c>
      <c r="J4239" s="160">
        <v>5.0930000000000003E-2</v>
      </c>
      <c r="K4239" s="160" t="s">
        <v>15</v>
      </c>
      <c r="L4239" s="154" t="str">
        <f>IF(OpenLCAbasic!K4239="CTUh", "Fill in Manually",IF(OR(K4239="Unit", K4239=""), "", INDEX(LookUps!$E$5:$E$12, MATCH(OpenLCAbasic!K4239,LookUps!$D$5:$D$12,0))))</f>
        <v>Cumulative Energy Demand (CED) - MJ</v>
      </c>
      <c r="M4239" s="154" t="str">
        <f t="shared" si="246"/>
        <v>Base_Base_Upgraded_Cumulative Energy Demand (CED) - MJ_ClearCove SCP; wastewater treatment unit; at updated plant - US_Base_With Amendment_Aerated Static Pile</v>
      </c>
    </row>
    <row r="4240" spans="1:13" s="120" customFormat="1" x14ac:dyDescent="0.25">
      <c r="A4240" s="119"/>
      <c r="B4240" s="138" t="str">
        <f t="shared" si="242"/>
        <v>Aerated Static Pile</v>
      </c>
      <c r="C4240" s="138" t="str">
        <f t="shared" si="243"/>
        <v>Base_With Amendment</v>
      </c>
      <c r="D4240" s="138" t="str">
        <f t="shared" si="244"/>
        <v>Base</v>
      </c>
      <c r="E4240" s="138" t="str">
        <f t="shared" si="244"/>
        <v>Base</v>
      </c>
      <c r="F4240" s="138" t="str">
        <f t="shared" si="245"/>
        <v>Upgraded</v>
      </c>
      <c r="G4240" s="153"/>
      <c r="H4240" s="210">
        <v>-4.1099999999999998E-2</v>
      </c>
      <c r="I4240" s="160" t="s">
        <v>62</v>
      </c>
      <c r="J4240" s="160">
        <v>-0.44338</v>
      </c>
      <c r="K4240" s="160" t="s">
        <v>15</v>
      </c>
      <c r="L4240" s="154" t="str">
        <f>IF(OpenLCAbasic!K4240="CTUh", "Fill in Manually",IF(OR(K4240="Unit", K4240=""), "", INDEX(LookUps!$E$5:$E$12, MATCH(OpenLCAbasic!K4240,LookUps!$D$5:$D$12,0))))</f>
        <v>Cumulative Energy Demand (CED) - MJ</v>
      </c>
      <c r="M4240" s="154" t="str">
        <f t="shared" si="246"/>
        <v>Base_Base_Upgraded_Cumulative Energy Demand (CED) - MJ_Land application of compost; wastewater treatment unit; at updated plant - US_Base_With Amendment_Aerated Static Pile</v>
      </c>
    </row>
    <row r="4241" spans="1:13" s="120" customFormat="1" x14ac:dyDescent="0.25">
      <c r="A4241" s="119"/>
      <c r="B4241" s="138" t="str">
        <f t="shared" si="242"/>
        <v>Aerated Static Pile</v>
      </c>
      <c r="C4241" s="138" t="str">
        <f t="shared" si="243"/>
        <v>Base_With Amendment</v>
      </c>
      <c r="D4241" s="138" t="str">
        <f t="shared" si="244"/>
        <v>Base</v>
      </c>
      <c r="E4241" s="138" t="str">
        <f t="shared" si="244"/>
        <v>Base</v>
      </c>
      <c r="F4241" s="138" t="str">
        <f t="shared" si="245"/>
        <v>Upgraded</v>
      </c>
      <c r="G4241" s="153"/>
      <c r="H4241" s="210">
        <v>-0.18529999999999999</v>
      </c>
      <c r="I4241" s="160" t="s">
        <v>149</v>
      </c>
      <c r="J4241" s="160">
        <v>-1.99752</v>
      </c>
      <c r="K4241" s="160" t="s">
        <v>15</v>
      </c>
      <c r="L4241" s="154" t="str">
        <f>IF(OpenLCAbasic!K4241="CTUh", "Fill in Manually",IF(OR(K4241="Unit", K4241=""), "", INDEX(LookUps!$E$5:$E$12, MATCH(OpenLCAbasic!K4241,LookUps!$D$5:$D$12,0))))</f>
        <v>Cumulative Energy Demand (CED) - MJ</v>
      </c>
      <c r="M4241" s="154" t="str">
        <f t="shared" si="246"/>
        <v>Base_Base_Upgraded_Cumulative Energy Demand (CED) - MJ_Anaerobic Digestion; wastewater treatment unit; at updated plant - US_Base_With Amendment_Aerated Static Pile</v>
      </c>
    </row>
    <row r="4242" spans="1:13" s="120" customFormat="1" x14ac:dyDescent="0.25">
      <c r="A4242" s="119"/>
      <c r="B4242" s="138" t="str">
        <f t="shared" si="242"/>
        <v/>
      </c>
      <c r="C4242" s="138" t="str">
        <f t="shared" si="243"/>
        <v/>
      </c>
      <c r="D4242" s="138" t="str">
        <f t="shared" si="244"/>
        <v/>
      </c>
      <c r="E4242" s="138" t="str">
        <f t="shared" si="244"/>
        <v/>
      </c>
      <c r="F4242" s="138" t="str">
        <f t="shared" si="245"/>
        <v/>
      </c>
      <c r="G4242" s="153" t="s">
        <v>51</v>
      </c>
      <c r="H4242" s="160"/>
      <c r="I4242" s="160" t="s">
        <v>47</v>
      </c>
      <c r="J4242" s="160" t="s">
        <v>52</v>
      </c>
      <c r="K4242" s="160" t="s">
        <v>27</v>
      </c>
      <c r="L4242" s="154" t="str">
        <f>IF(OpenLCAbasic!K4242="CTUh", "Fill in Manually",IF(OR(K4242="Unit", K4242=""), "", INDEX(LookUps!$E$5:$E$12, MATCH(OpenLCAbasic!K4242,LookUps!$D$5:$D$12,0))))</f>
        <v/>
      </c>
      <c r="M4242" s="154" t="str">
        <f t="shared" si="246"/>
        <v>____Process__</v>
      </c>
    </row>
    <row r="4243" spans="1:13" s="120" customFormat="1" x14ac:dyDescent="0.25">
      <c r="A4243" s="119"/>
      <c r="B4243" s="138" t="str">
        <f t="shared" si="242"/>
        <v>Aerated Static Pile</v>
      </c>
      <c r="C4243" s="138" t="str">
        <f t="shared" si="243"/>
        <v>Base_With Amendment</v>
      </c>
      <c r="D4243" s="138" t="str">
        <f t="shared" si="244"/>
        <v>Base</v>
      </c>
      <c r="E4243" s="138" t="str">
        <f t="shared" si="244"/>
        <v>Base</v>
      </c>
      <c r="F4243" s="138" t="str">
        <f t="shared" si="245"/>
        <v>Upgraded</v>
      </c>
      <c r="G4243" s="153"/>
      <c r="H4243" s="210">
        <v>0.75980000000000003</v>
      </c>
      <c r="I4243" s="160" t="s">
        <v>48</v>
      </c>
      <c r="J4243" s="160">
        <v>1.1610000000000001E-2</v>
      </c>
      <c r="K4243" s="160" t="s">
        <v>13</v>
      </c>
      <c r="L4243" s="154" t="str">
        <f>IF(OpenLCAbasic!K4243="CTUh", "Fill in Manually",IF(OR(K4243="Unit", K4243=""), "", INDEX(LookUps!$E$5:$E$12, MATCH(OpenLCAbasic!K4243,LookUps!$D$5:$D$12,0))))</f>
        <v>Eutrophication Potential (EP) - kg N eq</v>
      </c>
      <c r="M4243" s="154" t="str">
        <f t="shared" si="246"/>
        <v>Base_Base_Upgraded_Eutrophication Potential (EP) - kg N eq_Effluent release; wastewater treatment unit; at surface water; m3 wastewater - US_Base_With Amendment_Aerated Static Pile</v>
      </c>
    </row>
    <row r="4244" spans="1:13" s="120" customFormat="1" x14ac:dyDescent="0.25">
      <c r="A4244" s="119"/>
      <c r="B4244" s="138" t="str">
        <f t="shared" si="242"/>
        <v>Aerated Static Pile</v>
      </c>
      <c r="C4244" s="138" t="str">
        <f t="shared" si="243"/>
        <v>Base_With Amendment</v>
      </c>
      <c r="D4244" s="138" t="str">
        <f t="shared" si="244"/>
        <v>Base</v>
      </c>
      <c r="E4244" s="138" t="str">
        <f t="shared" si="244"/>
        <v>Base</v>
      </c>
      <c r="F4244" s="138" t="str">
        <f t="shared" si="245"/>
        <v>Upgraded</v>
      </c>
      <c r="G4244" s="153"/>
      <c r="H4244" s="210">
        <v>0.13420000000000001</v>
      </c>
      <c r="I4244" s="160" t="s">
        <v>62</v>
      </c>
      <c r="J4244" s="160">
        <v>2.0500000000000002E-3</v>
      </c>
      <c r="K4244" s="160" t="s">
        <v>13</v>
      </c>
      <c r="L4244" s="154" t="str">
        <f>IF(OpenLCAbasic!K4244="CTUh", "Fill in Manually",IF(OR(K4244="Unit", K4244=""), "", INDEX(LookUps!$E$5:$E$12, MATCH(OpenLCAbasic!K4244,LookUps!$D$5:$D$12,0))))</f>
        <v>Eutrophication Potential (EP) - kg N eq</v>
      </c>
      <c r="M4244" s="154" t="str">
        <f t="shared" si="246"/>
        <v>Base_Base_Upgraded_Eutrophication Potential (EP) - kg N eq_Land application of compost; wastewater treatment unit; at updated plant - US_Base_With Amendment_Aerated Static Pile</v>
      </c>
    </row>
    <row r="4245" spans="1:13" s="120" customFormat="1" x14ac:dyDescent="0.25">
      <c r="A4245" s="119"/>
      <c r="B4245" s="138" t="str">
        <f t="shared" si="242"/>
        <v>Aerated Static Pile</v>
      </c>
      <c r="C4245" s="138" t="str">
        <f t="shared" si="243"/>
        <v>Base_With Amendment</v>
      </c>
      <c r="D4245" s="138" t="str">
        <f t="shared" si="244"/>
        <v>Base</v>
      </c>
      <c r="E4245" s="138" t="str">
        <f t="shared" si="244"/>
        <v>Base</v>
      </c>
      <c r="F4245" s="138" t="str">
        <f t="shared" si="245"/>
        <v>Upgraded</v>
      </c>
      <c r="G4245" s="153"/>
      <c r="H4245" s="210">
        <v>3.5799999999999998E-2</v>
      </c>
      <c r="I4245" s="160" t="s">
        <v>55</v>
      </c>
      <c r="J4245" s="160">
        <v>5.5000000000000003E-4</v>
      </c>
      <c r="K4245" s="160" t="s">
        <v>13</v>
      </c>
      <c r="L4245" s="154" t="str">
        <f>IF(OpenLCAbasic!K4245="CTUh", "Fill in Manually",IF(OR(K4245="Unit", K4245=""), "", INDEX(LookUps!$E$5:$E$12, MATCH(OpenLCAbasic!K4245,LookUps!$D$5:$D$12,0))))</f>
        <v>Eutrophication Potential (EP) - kg N eq</v>
      </c>
      <c r="M4245" s="154" t="str">
        <f t="shared" si="246"/>
        <v>Base_Base_Upgraded_Eutrophication Potential (EP) - kg N eq_Aeration Tanks; wastewater treatment unit; at updated plant - US_Base_With Amendment_Aerated Static Pile</v>
      </c>
    </row>
    <row r="4246" spans="1:13" s="120" customFormat="1" x14ac:dyDescent="0.25">
      <c r="A4246" s="119"/>
      <c r="B4246" s="138" t="str">
        <f t="shared" si="242"/>
        <v>Aerated Static Pile</v>
      </c>
      <c r="C4246" s="138" t="str">
        <f t="shared" si="243"/>
        <v>Base_With Amendment</v>
      </c>
      <c r="D4246" s="138" t="str">
        <f t="shared" si="244"/>
        <v>Base</v>
      </c>
      <c r="E4246" s="138" t="str">
        <f t="shared" si="244"/>
        <v>Base</v>
      </c>
      <c r="F4246" s="138" t="str">
        <f t="shared" si="245"/>
        <v>Upgraded</v>
      </c>
      <c r="G4246" s="153"/>
      <c r="H4246" s="210">
        <v>1.6299999999999999E-2</v>
      </c>
      <c r="I4246" s="160" t="s">
        <v>147</v>
      </c>
      <c r="J4246" s="160">
        <v>2.5000000000000001E-4</v>
      </c>
      <c r="K4246" s="160" t="s">
        <v>13</v>
      </c>
      <c r="L4246" s="154" t="str">
        <f>IF(OpenLCAbasic!K4246="CTUh", "Fill in Manually",IF(OR(K4246="Unit", K4246=""), "", INDEX(LookUps!$E$5:$E$12, MATCH(OpenLCAbasic!K4246,LookUps!$D$5:$D$12,0))))</f>
        <v>Eutrophication Potential (EP) - kg N eq</v>
      </c>
      <c r="M4246" s="154" t="str">
        <f t="shared" si="246"/>
        <v>Base_Base_Upgraded_Eutrophication Potential (EP) - kg N eq_Influent Pump Station; wastewater treatment unit; at updated plant - US_Base_With Amendment_Aerated Static Pile</v>
      </c>
    </row>
    <row r="4247" spans="1:13" s="120" customFormat="1" x14ac:dyDescent="0.25">
      <c r="A4247" s="119"/>
      <c r="B4247" s="138" t="str">
        <f t="shared" si="242"/>
        <v>Aerated Static Pile</v>
      </c>
      <c r="C4247" s="138" t="str">
        <f t="shared" si="243"/>
        <v>Base_With Amendment</v>
      </c>
      <c r="D4247" s="138" t="str">
        <f t="shared" si="244"/>
        <v>Base</v>
      </c>
      <c r="E4247" s="138" t="str">
        <f t="shared" si="244"/>
        <v>Base</v>
      </c>
      <c r="F4247" s="138" t="str">
        <f t="shared" si="245"/>
        <v>Upgraded</v>
      </c>
      <c r="G4247" s="153"/>
      <c r="H4247" s="210">
        <v>1.35E-2</v>
      </c>
      <c r="I4247" s="160" t="s">
        <v>435</v>
      </c>
      <c r="J4247" s="160">
        <v>2.1000000000000001E-4</v>
      </c>
      <c r="K4247" s="160" t="s">
        <v>13</v>
      </c>
      <c r="L4247" s="154" t="str">
        <f>IF(OpenLCAbasic!K4247="CTUh", "Fill in Manually",IF(OR(K4247="Unit", K4247=""), "", INDEX(LookUps!$E$5:$E$12, MATCH(OpenLCAbasic!K4247,LookUps!$D$5:$D$12,0))))</f>
        <v>Eutrophication Potential (EP) - kg N eq</v>
      </c>
      <c r="M4247" s="154" t="str">
        <f t="shared" si="246"/>
        <v>Base_Base_Upgraded_Eutrophication Potential (EP) - kg N eq_Biosolids composting; aerated static pile; wastewater treatment unit; at updated plant - US_Base_With Amendment_Aerated Static Pile</v>
      </c>
    </row>
    <row r="4248" spans="1:13" s="120" customFormat="1" x14ac:dyDescent="0.25">
      <c r="A4248" s="119"/>
      <c r="B4248" s="138" t="str">
        <f t="shared" si="242"/>
        <v>Aerated Static Pile</v>
      </c>
      <c r="C4248" s="138" t="str">
        <f t="shared" si="243"/>
        <v>Base_With Amendment</v>
      </c>
      <c r="D4248" s="138" t="str">
        <f t="shared" si="244"/>
        <v>Base</v>
      </c>
      <c r="E4248" s="138" t="str">
        <f t="shared" si="244"/>
        <v>Base</v>
      </c>
      <c r="F4248" s="138" t="str">
        <f t="shared" si="245"/>
        <v>Upgraded</v>
      </c>
      <c r="G4248" s="153"/>
      <c r="H4248" s="210">
        <v>1.2999999999999999E-2</v>
      </c>
      <c r="I4248" s="160" t="s">
        <v>54</v>
      </c>
      <c r="J4248" s="160">
        <v>2.0000000000000001E-4</v>
      </c>
      <c r="K4248" s="160" t="s">
        <v>13</v>
      </c>
      <c r="L4248" s="154" t="str">
        <f>IF(OpenLCAbasic!K4248="CTUh", "Fill in Manually",IF(OR(K4248="Unit", K4248=""), "", INDEX(LookUps!$E$5:$E$12, MATCH(OpenLCAbasic!K4248,LookUps!$D$5:$D$12,0))))</f>
        <v>Eutrophication Potential (EP) - kg N eq</v>
      </c>
      <c r="M4248" s="154" t="str">
        <f t="shared" si="246"/>
        <v>Base_Base_Upgraded_Eutrophication Potential (EP) - kg N eq_Clear Cove Primary Clarification; wastewater treatment unit; at updated plant - US_Base_With Amendment_Aerated Static Pile</v>
      </c>
    </row>
    <row r="4249" spans="1:13" s="120" customFormat="1" x14ac:dyDescent="0.25">
      <c r="A4249" s="119"/>
      <c r="B4249" s="138" t="str">
        <f t="shared" si="242"/>
        <v>Aerated Static Pile</v>
      </c>
      <c r="C4249" s="138" t="str">
        <f t="shared" si="243"/>
        <v>Base_With Amendment</v>
      </c>
      <c r="D4249" s="138" t="str">
        <f t="shared" si="244"/>
        <v>Base</v>
      </c>
      <c r="E4249" s="138" t="str">
        <f t="shared" si="244"/>
        <v>Base</v>
      </c>
      <c r="F4249" s="138" t="str">
        <f t="shared" si="245"/>
        <v>Upgraded</v>
      </c>
      <c r="G4249" s="153"/>
      <c r="H4249" s="210">
        <v>1.0699999999999999E-2</v>
      </c>
      <c r="I4249" s="160" t="s">
        <v>167</v>
      </c>
      <c r="J4249" s="160">
        <v>1.6000000000000001E-4</v>
      </c>
      <c r="K4249" s="160" t="s">
        <v>13</v>
      </c>
      <c r="L4249" s="154" t="str">
        <f>IF(OpenLCAbasic!K4249="CTUh", "Fill in Manually",IF(OR(K4249="Unit", K4249=""), "", INDEX(LookUps!$E$5:$E$12, MATCH(OpenLCAbasic!K4249,LookUps!$D$5:$D$12,0))))</f>
        <v>Eutrophication Potential (EP) - kg N eq</v>
      </c>
      <c r="M4249" s="154" t="str">
        <f t="shared" si="246"/>
        <v>Base_Base_Upgraded_Eutrophication Potential (EP) - kg N eq_Waste Receiving and Holding; wastewater treatment unit; at updated plant - US_Base_With Amendment_Aerated Static Pile</v>
      </c>
    </row>
    <row r="4250" spans="1:13" s="120" customFormat="1" x14ac:dyDescent="0.25">
      <c r="A4250" s="119"/>
      <c r="B4250" s="138" t="str">
        <f t="shared" si="242"/>
        <v>Aerated Static Pile</v>
      </c>
      <c r="C4250" s="138" t="str">
        <f t="shared" si="243"/>
        <v>Base_With Amendment</v>
      </c>
      <c r="D4250" s="138" t="str">
        <f t="shared" si="244"/>
        <v>Base</v>
      </c>
      <c r="E4250" s="138" t="str">
        <f t="shared" si="244"/>
        <v>Base</v>
      </c>
      <c r="F4250" s="138" t="str">
        <f t="shared" si="245"/>
        <v>Upgraded</v>
      </c>
      <c r="G4250" s="153"/>
      <c r="H4250" s="210">
        <v>8.8999999999999999E-3</v>
      </c>
      <c r="I4250" s="160" t="s">
        <v>58</v>
      </c>
      <c r="J4250" s="160">
        <v>1.3999999999999999E-4</v>
      </c>
      <c r="K4250" s="160" t="s">
        <v>13</v>
      </c>
      <c r="L4250" s="154" t="str">
        <f>IF(OpenLCAbasic!K4250="CTUh", "Fill in Manually",IF(OR(K4250="Unit", K4250=""), "", INDEX(LookUps!$E$5:$E$12, MATCH(OpenLCAbasic!K4250,LookUps!$D$5:$D$12,0))))</f>
        <v>Eutrophication Potential (EP) - kg N eq</v>
      </c>
      <c r="M4250" s="154" t="str">
        <f t="shared" si="246"/>
        <v>Base_Base_Upgraded_Eutrophication Potential (EP) - kg N eq_Pre-Anoxic &amp; Swing tank; wastewater treatment unit; at updated plant - US_Base_With Amendment_Aerated Static Pile</v>
      </c>
    </row>
    <row r="4251" spans="1:13" s="120" customFormat="1" x14ac:dyDescent="0.25">
      <c r="A4251" s="119"/>
      <c r="B4251" s="138" t="str">
        <f t="shared" si="242"/>
        <v>Aerated Static Pile</v>
      </c>
      <c r="C4251" s="138" t="str">
        <f t="shared" si="243"/>
        <v>Base_With Amendment</v>
      </c>
      <c r="D4251" s="138" t="str">
        <f t="shared" si="244"/>
        <v>Base</v>
      </c>
      <c r="E4251" s="138" t="str">
        <f t="shared" si="244"/>
        <v>Base</v>
      </c>
      <c r="F4251" s="138" t="str">
        <f t="shared" si="245"/>
        <v>Upgraded</v>
      </c>
      <c r="G4251" s="153"/>
      <c r="H4251" s="210">
        <v>7.0000000000000001E-3</v>
      </c>
      <c r="I4251" s="160" t="s">
        <v>53</v>
      </c>
      <c r="J4251" s="160">
        <v>1.1E-4</v>
      </c>
      <c r="K4251" s="160" t="s">
        <v>13</v>
      </c>
      <c r="L4251" s="154" t="str">
        <f>IF(OpenLCAbasic!K4251="CTUh", "Fill in Manually",IF(OR(K4251="Unit", K4251=""), "", INDEX(LookUps!$E$5:$E$12, MATCH(OpenLCAbasic!K4251,LookUps!$D$5:$D$12,0))))</f>
        <v>Eutrophication Potential (EP) - kg N eq</v>
      </c>
      <c r="M4251" s="154" t="str">
        <f t="shared" si="246"/>
        <v>Base_Base_Upgraded_Eutrophication Potential (EP) - kg N eq_Wet Well and Sump Station; wastewater treatment unit; at updated plant - US_Base_With Amendment_Aerated Static Pile</v>
      </c>
    </row>
    <row r="4252" spans="1:13" s="120" customFormat="1" x14ac:dyDescent="0.25">
      <c r="A4252" s="119"/>
      <c r="B4252" s="138" t="str">
        <f t="shared" si="242"/>
        <v>Aerated Static Pile</v>
      </c>
      <c r="C4252" s="138" t="str">
        <f t="shared" si="243"/>
        <v>Base_With Amendment</v>
      </c>
      <c r="D4252" s="138" t="str">
        <f t="shared" si="244"/>
        <v>Base</v>
      </c>
      <c r="E4252" s="138" t="str">
        <f t="shared" si="244"/>
        <v>Base</v>
      </c>
      <c r="F4252" s="138" t="str">
        <f t="shared" si="245"/>
        <v>Upgraded</v>
      </c>
      <c r="G4252" s="153"/>
      <c r="H4252" s="210">
        <v>4.0000000000000001E-3</v>
      </c>
      <c r="I4252" s="160" t="s">
        <v>57</v>
      </c>
      <c r="J4252" s="211">
        <v>6.0590300000000002E-5</v>
      </c>
      <c r="K4252" s="160" t="s">
        <v>13</v>
      </c>
      <c r="L4252" s="154" t="str">
        <f>IF(OpenLCAbasic!K4252="CTUh", "Fill in Manually",IF(OR(K4252="Unit", K4252=""), "", INDEX(LookUps!$E$5:$E$12, MATCH(OpenLCAbasic!K4252,LookUps!$D$5:$D$12,0))))</f>
        <v>Eutrophication Potential (EP) - kg N eq</v>
      </c>
      <c r="M4252" s="154" t="str">
        <f t="shared" si="246"/>
        <v>Base_Base_Upgraded_Eutrophication Potential (EP) - kg N eq_Gravity Belt Thickener; wastewater treatment unit; at updated plant - US_Base_With Amendment_Aerated Static Pile</v>
      </c>
    </row>
    <row r="4253" spans="1:13" s="120" customFormat="1" x14ac:dyDescent="0.25">
      <c r="A4253" s="119"/>
      <c r="B4253" s="138" t="str">
        <f t="shared" si="242"/>
        <v>Aerated Static Pile</v>
      </c>
      <c r="C4253" s="138" t="str">
        <f t="shared" si="243"/>
        <v>Base_With Amendment</v>
      </c>
      <c r="D4253" s="138" t="str">
        <f t="shared" si="244"/>
        <v>Base</v>
      </c>
      <c r="E4253" s="138" t="str">
        <f t="shared" si="244"/>
        <v>Base</v>
      </c>
      <c r="F4253" s="138" t="str">
        <f t="shared" si="245"/>
        <v>Upgraded</v>
      </c>
      <c r="G4253" s="153"/>
      <c r="H4253" s="210">
        <v>3.3E-3</v>
      </c>
      <c r="I4253" s="160" t="s">
        <v>60</v>
      </c>
      <c r="J4253" s="211">
        <v>5.06508E-5</v>
      </c>
      <c r="K4253" s="160" t="s">
        <v>13</v>
      </c>
      <c r="L4253" s="154" t="str">
        <f>IF(OpenLCAbasic!K4253="CTUh", "Fill in Manually",IF(OR(K4253="Unit", K4253=""), "", INDEX(LookUps!$E$5:$E$12, MATCH(OpenLCAbasic!K4253,LookUps!$D$5:$D$12,0))))</f>
        <v>Eutrophication Potential (EP) - kg N eq</v>
      </c>
      <c r="M4253" s="154" t="str">
        <f t="shared" si="246"/>
        <v>Base_Base_Upgraded_Eutrophication Potential (EP) - kg N eq_Belt filter press; wastewater treatment unit; at updated plant - US_Base_With Amendment_Aerated Static Pile</v>
      </c>
    </row>
    <row r="4254" spans="1:13" s="120" customFormat="1" x14ac:dyDescent="0.25">
      <c r="A4254" s="119"/>
      <c r="B4254" s="138" t="str">
        <f t="shared" si="242"/>
        <v>Aerated Static Pile</v>
      </c>
      <c r="C4254" s="138" t="str">
        <f t="shared" si="243"/>
        <v>Base_With Amendment</v>
      </c>
      <c r="D4254" s="138" t="str">
        <f t="shared" si="244"/>
        <v>Base</v>
      </c>
      <c r="E4254" s="138" t="str">
        <f t="shared" si="244"/>
        <v>Base</v>
      </c>
      <c r="F4254" s="138" t="str">
        <f t="shared" si="245"/>
        <v>Upgraded</v>
      </c>
      <c r="G4254" s="153"/>
      <c r="H4254" s="210">
        <v>2.5000000000000001E-3</v>
      </c>
      <c r="I4254" s="160" t="s">
        <v>128</v>
      </c>
      <c r="J4254" s="211">
        <v>3.7559799999999999E-5</v>
      </c>
      <c r="K4254" s="160" t="s">
        <v>13</v>
      </c>
      <c r="L4254" s="154" t="str">
        <f>IF(OpenLCAbasic!K4254="CTUh", "Fill in Manually",IF(OR(K4254="Unit", K4254=""), "", INDEX(LookUps!$E$5:$E$12, MATCH(OpenLCAbasic!K4254,LookUps!$D$5:$D$12,0))))</f>
        <v>Eutrophication Potential (EP) - kg N eq</v>
      </c>
      <c r="M4254" s="154" t="str">
        <f t="shared" si="246"/>
        <v>Base_Base_Upgraded_Eutrophication Potential (EP) - kg N eq_Wastewater collection; operation and infrastructure; m3 wastewater_Base_With Amendment_Aerated Static Pile</v>
      </c>
    </row>
    <row r="4255" spans="1:13" s="120" customFormat="1" x14ac:dyDescent="0.25">
      <c r="A4255" s="119"/>
      <c r="B4255" s="138" t="str">
        <f t="shared" si="242"/>
        <v>Aerated Static Pile</v>
      </c>
      <c r="C4255" s="138" t="str">
        <f t="shared" si="243"/>
        <v>Base_With Amendment</v>
      </c>
      <c r="D4255" s="138" t="str">
        <f t="shared" si="244"/>
        <v>Base</v>
      </c>
      <c r="E4255" s="138" t="str">
        <f t="shared" si="244"/>
        <v>Base</v>
      </c>
      <c r="F4255" s="138" t="str">
        <f t="shared" si="245"/>
        <v>Upgraded</v>
      </c>
      <c r="G4255" s="153"/>
      <c r="H4255" s="210">
        <v>2.3999999999999998E-3</v>
      </c>
      <c r="I4255" s="160" t="s">
        <v>148</v>
      </c>
      <c r="J4255" s="211">
        <v>3.6874600000000001E-5</v>
      </c>
      <c r="K4255" s="160" t="s">
        <v>13</v>
      </c>
      <c r="L4255" s="154" t="str">
        <f>IF(OpenLCAbasic!K4255="CTUh", "Fill in Manually",IF(OR(K4255="Unit", K4255=""), "", INDEX(LookUps!$E$5:$E$12, MATCH(OpenLCAbasic!K4255,LookUps!$D$5:$D$12,0))))</f>
        <v>Eutrophication Potential (EP) - kg N eq</v>
      </c>
      <c r="M4255" s="154" t="str">
        <f t="shared" si="246"/>
        <v>Base_Base_Upgraded_Eutrophication Potential (EP) - kg N eq_Control Building; at upgraded wastewater treatment plant - US_Base_With Amendment_Aerated Static Pile</v>
      </c>
    </row>
    <row r="4256" spans="1:13" s="120" customFormat="1" x14ac:dyDescent="0.25">
      <c r="A4256" s="119"/>
      <c r="B4256" s="138" t="str">
        <f t="shared" si="242"/>
        <v>Aerated Static Pile</v>
      </c>
      <c r="C4256" s="138" t="str">
        <f t="shared" si="243"/>
        <v>Base_With Amendment</v>
      </c>
      <c r="D4256" s="138" t="str">
        <f t="shared" si="244"/>
        <v>Base</v>
      </c>
      <c r="E4256" s="138" t="str">
        <f t="shared" si="244"/>
        <v>Base</v>
      </c>
      <c r="F4256" s="138" t="str">
        <f t="shared" si="245"/>
        <v>Upgraded</v>
      </c>
      <c r="G4256" s="153"/>
      <c r="H4256" s="210">
        <v>1.1000000000000001E-3</v>
      </c>
      <c r="I4256" s="160" t="s">
        <v>59</v>
      </c>
      <c r="J4256" s="211">
        <v>1.6215700000000001E-5</v>
      </c>
      <c r="K4256" s="160" t="s">
        <v>13</v>
      </c>
      <c r="L4256" s="154" t="str">
        <f>IF(OpenLCAbasic!K4256="CTUh", "Fill in Manually",IF(OR(K4256="Unit", K4256=""), "", INDEX(LookUps!$E$5:$E$12, MATCH(OpenLCAbasic!K4256,LookUps!$D$5:$D$12,0))))</f>
        <v>Eutrophication Potential (EP) - kg N eq</v>
      </c>
      <c r="M4256" s="154" t="str">
        <f t="shared" si="246"/>
        <v>Base_Base_Upgraded_Eutrophication Potential (EP) - kg N eq_Blend Tank; wastewater treatment unit; at updated plant - US_Base_With Amendment_Aerated Static Pile</v>
      </c>
    </row>
    <row r="4257" spans="1:13" s="120" customFormat="1" x14ac:dyDescent="0.25">
      <c r="A4257" s="119"/>
      <c r="B4257" s="138" t="str">
        <f t="shared" si="242"/>
        <v>Aerated Static Pile</v>
      </c>
      <c r="C4257" s="138" t="str">
        <f t="shared" si="243"/>
        <v>Base_With Amendment</v>
      </c>
      <c r="D4257" s="138" t="str">
        <f t="shared" si="244"/>
        <v>Base</v>
      </c>
      <c r="E4257" s="138" t="str">
        <f t="shared" si="244"/>
        <v>Base</v>
      </c>
      <c r="F4257" s="138" t="str">
        <f t="shared" si="245"/>
        <v>Upgraded</v>
      </c>
      <c r="G4257" s="153"/>
      <c r="H4257" s="210">
        <v>5.0000000000000001E-4</v>
      </c>
      <c r="I4257" s="160" t="s">
        <v>168</v>
      </c>
      <c r="J4257" s="211">
        <v>7.7567199999999995E-6</v>
      </c>
      <c r="K4257" s="160" t="s">
        <v>13</v>
      </c>
      <c r="L4257" s="154" t="str">
        <f>IF(OpenLCAbasic!K4257="CTUh", "Fill in Manually",IF(OR(K4257="Unit", K4257=""), "", INDEX(LookUps!$E$5:$E$12, MATCH(OpenLCAbasic!K4257,LookUps!$D$5:$D$12,0))))</f>
        <v>Eutrophication Potential (EP) - kg N eq</v>
      </c>
      <c r="M4257" s="154" t="str">
        <f t="shared" si="246"/>
        <v>Base_Base_Upgraded_Eutrophication Potential (EP) - kg N eq_ClearCove SCP; wastewater treatment unit; at updated plant - US_Base_With Amendment_Aerated Static Pile</v>
      </c>
    </row>
    <row r="4258" spans="1:13" s="120" customFormat="1" x14ac:dyDescent="0.25">
      <c r="A4258" s="119"/>
      <c r="B4258" s="138" t="str">
        <f t="shared" si="242"/>
        <v>Aerated Static Pile</v>
      </c>
      <c r="C4258" s="138" t="str">
        <f t="shared" si="243"/>
        <v>Base_With Amendment</v>
      </c>
      <c r="D4258" s="138" t="str">
        <f t="shared" si="244"/>
        <v>Base</v>
      </c>
      <c r="E4258" s="138" t="str">
        <f t="shared" si="244"/>
        <v>Base</v>
      </c>
      <c r="F4258" s="138" t="str">
        <f t="shared" si="245"/>
        <v>Upgraded</v>
      </c>
      <c r="G4258" s="153"/>
      <c r="H4258" s="210">
        <v>-1.29E-2</v>
      </c>
      <c r="I4258" s="160" t="s">
        <v>149</v>
      </c>
      <c r="J4258" s="160">
        <v>-2.0000000000000001E-4</v>
      </c>
      <c r="K4258" s="160" t="s">
        <v>13</v>
      </c>
      <c r="L4258" s="154" t="str">
        <f>IF(OpenLCAbasic!K4258="CTUh", "Fill in Manually",IF(OR(K4258="Unit", K4258=""), "", INDEX(LookUps!$E$5:$E$12, MATCH(OpenLCAbasic!K4258,LookUps!$D$5:$D$12,0))))</f>
        <v>Eutrophication Potential (EP) - kg N eq</v>
      </c>
      <c r="M4258" s="154" t="str">
        <f t="shared" si="246"/>
        <v>Base_Base_Upgraded_Eutrophication Potential (EP) - kg N eq_Anaerobic Digestion; wastewater treatment unit; at updated plant - US_Base_With Amendment_Aerated Static Pile</v>
      </c>
    </row>
    <row r="4259" spans="1:13" s="120" customFormat="1" x14ac:dyDescent="0.25">
      <c r="A4259" s="119"/>
      <c r="B4259" s="138" t="str">
        <f t="shared" si="242"/>
        <v/>
      </c>
      <c r="C4259" s="138" t="str">
        <f t="shared" si="243"/>
        <v/>
      </c>
      <c r="D4259" s="138" t="str">
        <f t="shared" si="244"/>
        <v/>
      </c>
      <c r="E4259" s="138" t="str">
        <f t="shared" si="244"/>
        <v/>
      </c>
      <c r="F4259" s="138" t="str">
        <f t="shared" si="245"/>
        <v/>
      </c>
      <c r="G4259" s="153" t="s">
        <v>51</v>
      </c>
      <c r="H4259" s="160"/>
      <c r="I4259" s="160" t="s">
        <v>47</v>
      </c>
      <c r="J4259" s="160" t="s">
        <v>52</v>
      </c>
      <c r="K4259" s="160" t="s">
        <v>27</v>
      </c>
      <c r="L4259" s="154" t="str">
        <f>IF(OpenLCAbasic!K4259="CTUh", "Fill in Manually",IF(OR(K4259="Unit", K4259=""), "", INDEX(LookUps!$E$5:$E$12, MATCH(OpenLCAbasic!K4259,LookUps!$D$5:$D$12,0))))</f>
        <v/>
      </c>
      <c r="M4259" s="154" t="str">
        <f t="shared" si="246"/>
        <v>____Process__</v>
      </c>
    </row>
    <row r="4260" spans="1:13" s="120" customFormat="1" x14ac:dyDescent="0.25">
      <c r="A4260" s="119"/>
      <c r="B4260" s="138" t="str">
        <f t="shared" si="242"/>
        <v>Aerated Static Pile</v>
      </c>
      <c r="C4260" s="138" t="str">
        <f t="shared" si="243"/>
        <v>Base_With Amendment</v>
      </c>
      <c r="D4260" s="138" t="str">
        <f t="shared" si="244"/>
        <v>Base</v>
      </c>
      <c r="E4260" s="138" t="str">
        <f t="shared" si="244"/>
        <v>Base</v>
      </c>
      <c r="F4260" s="138" t="str">
        <f t="shared" si="245"/>
        <v>Upgraded</v>
      </c>
      <c r="G4260" s="153"/>
      <c r="H4260" s="210">
        <v>0.37909999999999999</v>
      </c>
      <c r="I4260" s="160" t="s">
        <v>167</v>
      </c>
      <c r="J4260" s="160">
        <v>7.9170000000000004E-2</v>
      </c>
      <c r="K4260" s="160" t="s">
        <v>14</v>
      </c>
      <c r="L4260" s="154" t="str">
        <f>IF(OpenLCAbasic!K4260="CTUh", "Fill in Manually",IF(OR(K4260="Unit", K4260=""), "", INDEX(LookUps!$E$5:$E$12, MATCH(OpenLCAbasic!K4260,LookUps!$D$5:$D$12,0))))</f>
        <v>Fossil Depletion Potential (FDP) - kg oil eq</v>
      </c>
      <c r="M4260" s="154" t="str">
        <f t="shared" si="246"/>
        <v>Base_Base_Upgraded_Fossil Depletion Potential (FDP) - kg oil eq_Waste Receiving and Holding; wastewater treatment unit; at updated plant - US_Base_With Amendment_Aerated Static Pile</v>
      </c>
    </row>
    <row r="4261" spans="1:13" s="120" customFormat="1" x14ac:dyDescent="0.25">
      <c r="A4261" s="119"/>
      <c r="B4261" s="138" t="str">
        <f t="shared" si="242"/>
        <v>Aerated Static Pile</v>
      </c>
      <c r="C4261" s="138" t="str">
        <f t="shared" si="243"/>
        <v>Base_With Amendment</v>
      </c>
      <c r="D4261" s="138" t="str">
        <f t="shared" si="244"/>
        <v>Base</v>
      </c>
      <c r="E4261" s="138" t="str">
        <f t="shared" si="244"/>
        <v>Base</v>
      </c>
      <c r="F4261" s="138" t="str">
        <f t="shared" si="245"/>
        <v>Upgraded</v>
      </c>
      <c r="G4261" s="153"/>
      <c r="H4261" s="210">
        <v>0.30449999999999999</v>
      </c>
      <c r="I4261" s="160" t="s">
        <v>55</v>
      </c>
      <c r="J4261" s="160">
        <v>6.3589999999999994E-2</v>
      </c>
      <c r="K4261" s="160" t="s">
        <v>14</v>
      </c>
      <c r="L4261" s="154" t="str">
        <f>IF(OpenLCAbasic!K4261="CTUh", "Fill in Manually",IF(OR(K4261="Unit", K4261=""), "", INDEX(LookUps!$E$5:$E$12, MATCH(OpenLCAbasic!K4261,LookUps!$D$5:$D$12,0))))</f>
        <v>Fossil Depletion Potential (FDP) - kg oil eq</v>
      </c>
      <c r="M4261" s="154" t="str">
        <f t="shared" si="246"/>
        <v>Base_Base_Upgraded_Fossil Depletion Potential (FDP) - kg oil eq_Aeration Tanks; wastewater treatment unit; at updated plant - US_Base_With Amendment_Aerated Static Pile</v>
      </c>
    </row>
    <row r="4262" spans="1:13" s="120" customFormat="1" x14ac:dyDescent="0.25">
      <c r="A4262" s="119"/>
      <c r="B4262" s="138" t="str">
        <f t="shared" si="242"/>
        <v>Aerated Static Pile</v>
      </c>
      <c r="C4262" s="138" t="str">
        <f t="shared" si="243"/>
        <v>Base_With Amendment</v>
      </c>
      <c r="D4262" s="138" t="str">
        <f t="shared" si="244"/>
        <v>Base</v>
      </c>
      <c r="E4262" s="138" t="str">
        <f t="shared" si="244"/>
        <v>Base</v>
      </c>
      <c r="F4262" s="138" t="str">
        <f t="shared" si="245"/>
        <v>Upgraded</v>
      </c>
      <c r="G4262" s="153"/>
      <c r="H4262" s="210">
        <v>0.10780000000000001</v>
      </c>
      <c r="I4262" s="160" t="s">
        <v>435</v>
      </c>
      <c r="J4262" s="160">
        <v>2.2509999999999999E-2</v>
      </c>
      <c r="K4262" s="160" t="s">
        <v>14</v>
      </c>
      <c r="L4262" s="154" t="str">
        <f>IF(OpenLCAbasic!K4262="CTUh", "Fill in Manually",IF(OR(K4262="Unit", K4262=""), "", INDEX(LookUps!$E$5:$E$12, MATCH(OpenLCAbasic!K4262,LookUps!$D$5:$D$12,0))))</f>
        <v>Fossil Depletion Potential (FDP) - kg oil eq</v>
      </c>
      <c r="M4262" s="154" t="str">
        <f t="shared" si="246"/>
        <v>Base_Base_Upgraded_Fossil Depletion Potential (FDP) - kg oil eq_Biosolids composting; aerated static pile; wastewater treatment unit; at updated plant - US_Base_With Amendment_Aerated Static Pile</v>
      </c>
    </row>
    <row r="4263" spans="1:13" s="120" customFormat="1" x14ac:dyDescent="0.25">
      <c r="A4263" s="119"/>
      <c r="B4263" s="138" t="str">
        <f t="shared" si="242"/>
        <v>Aerated Static Pile</v>
      </c>
      <c r="C4263" s="138" t="str">
        <f t="shared" si="243"/>
        <v>Base_With Amendment</v>
      </c>
      <c r="D4263" s="138" t="str">
        <f t="shared" si="244"/>
        <v>Base</v>
      </c>
      <c r="E4263" s="138" t="str">
        <f t="shared" si="244"/>
        <v>Base</v>
      </c>
      <c r="F4263" s="138" t="str">
        <f t="shared" si="245"/>
        <v>Upgraded</v>
      </c>
      <c r="G4263" s="153"/>
      <c r="H4263" s="210">
        <v>0.1008</v>
      </c>
      <c r="I4263" s="160" t="s">
        <v>54</v>
      </c>
      <c r="J4263" s="160">
        <v>2.1049999999999999E-2</v>
      </c>
      <c r="K4263" s="160" t="s">
        <v>14</v>
      </c>
      <c r="L4263" s="154" t="str">
        <f>IF(OpenLCAbasic!K4263="CTUh", "Fill in Manually",IF(OR(K4263="Unit", K4263=""), "", INDEX(LookUps!$E$5:$E$12, MATCH(OpenLCAbasic!K4263,LookUps!$D$5:$D$12,0))))</f>
        <v>Fossil Depletion Potential (FDP) - kg oil eq</v>
      </c>
      <c r="M4263" s="154" t="str">
        <f t="shared" si="246"/>
        <v>Base_Base_Upgraded_Fossil Depletion Potential (FDP) - kg oil eq_Clear Cove Primary Clarification; wastewater treatment unit; at updated plant - US_Base_With Amendment_Aerated Static Pile</v>
      </c>
    </row>
    <row r="4264" spans="1:13" s="120" customFormat="1" x14ac:dyDescent="0.25">
      <c r="A4264" s="119"/>
      <c r="B4264" s="138" t="str">
        <f t="shared" si="242"/>
        <v>Aerated Static Pile</v>
      </c>
      <c r="C4264" s="138" t="str">
        <f t="shared" si="243"/>
        <v>Base_With Amendment</v>
      </c>
      <c r="D4264" s="138" t="str">
        <f t="shared" si="244"/>
        <v>Base</v>
      </c>
      <c r="E4264" s="138" t="str">
        <f t="shared" si="244"/>
        <v>Base</v>
      </c>
      <c r="F4264" s="138" t="str">
        <f t="shared" si="245"/>
        <v>Upgraded</v>
      </c>
      <c r="G4264" s="153"/>
      <c r="H4264" s="210">
        <v>7.6300000000000007E-2</v>
      </c>
      <c r="I4264" s="160" t="s">
        <v>58</v>
      </c>
      <c r="J4264" s="160">
        <v>1.592E-2</v>
      </c>
      <c r="K4264" s="160" t="s">
        <v>14</v>
      </c>
      <c r="L4264" s="154" t="str">
        <f>IF(OpenLCAbasic!K4264="CTUh", "Fill in Manually",IF(OR(K4264="Unit", K4264=""), "", INDEX(LookUps!$E$5:$E$12, MATCH(OpenLCAbasic!K4264,LookUps!$D$5:$D$12,0))))</f>
        <v>Fossil Depletion Potential (FDP) - kg oil eq</v>
      </c>
      <c r="M4264" s="154" t="str">
        <f t="shared" si="246"/>
        <v>Base_Base_Upgraded_Fossil Depletion Potential (FDP) - kg oil eq_Pre-Anoxic &amp; Swing tank; wastewater treatment unit; at updated plant - US_Base_With Amendment_Aerated Static Pile</v>
      </c>
    </row>
    <row r="4265" spans="1:13" s="120" customFormat="1" x14ac:dyDescent="0.25">
      <c r="A4265" s="119"/>
      <c r="B4265" s="138" t="str">
        <f t="shared" si="242"/>
        <v>Aerated Static Pile</v>
      </c>
      <c r="C4265" s="138" t="str">
        <f t="shared" si="243"/>
        <v>Base_With Amendment</v>
      </c>
      <c r="D4265" s="138" t="str">
        <f t="shared" si="244"/>
        <v>Base</v>
      </c>
      <c r="E4265" s="138" t="str">
        <f t="shared" si="244"/>
        <v>Base</v>
      </c>
      <c r="F4265" s="138" t="str">
        <f t="shared" si="245"/>
        <v>Upgraded</v>
      </c>
      <c r="G4265" s="153"/>
      <c r="H4265" s="210">
        <v>7.22E-2</v>
      </c>
      <c r="I4265" s="160" t="s">
        <v>147</v>
      </c>
      <c r="J4265" s="160">
        <v>1.5089999999999999E-2</v>
      </c>
      <c r="K4265" s="160" t="s">
        <v>14</v>
      </c>
      <c r="L4265" s="154" t="str">
        <f>IF(OpenLCAbasic!K4265="CTUh", "Fill in Manually",IF(OR(K4265="Unit", K4265=""), "", INDEX(LookUps!$E$5:$E$12, MATCH(OpenLCAbasic!K4265,LookUps!$D$5:$D$12,0))))</f>
        <v>Fossil Depletion Potential (FDP) - kg oil eq</v>
      </c>
      <c r="M4265" s="154" t="str">
        <f t="shared" si="246"/>
        <v>Base_Base_Upgraded_Fossil Depletion Potential (FDP) - kg oil eq_Influent Pump Station; wastewater treatment unit; at updated plant - US_Base_With Amendment_Aerated Static Pile</v>
      </c>
    </row>
    <row r="4266" spans="1:13" s="120" customFormat="1" x14ac:dyDescent="0.25">
      <c r="A4266" s="119"/>
      <c r="B4266" s="138" t="str">
        <f t="shared" si="242"/>
        <v>Aerated Static Pile</v>
      </c>
      <c r="C4266" s="138" t="str">
        <f t="shared" si="243"/>
        <v>Base_With Amendment</v>
      </c>
      <c r="D4266" s="138" t="str">
        <f t="shared" si="244"/>
        <v>Base</v>
      </c>
      <c r="E4266" s="138" t="str">
        <f t="shared" si="244"/>
        <v>Base</v>
      </c>
      <c r="F4266" s="138" t="str">
        <f t="shared" si="245"/>
        <v>Upgraded</v>
      </c>
      <c r="G4266" s="153"/>
      <c r="H4266" s="210">
        <v>5.9799999999999999E-2</v>
      </c>
      <c r="I4266" s="160" t="s">
        <v>53</v>
      </c>
      <c r="J4266" s="160">
        <v>1.2489999999999999E-2</v>
      </c>
      <c r="K4266" s="160" t="s">
        <v>14</v>
      </c>
      <c r="L4266" s="154" t="str">
        <f>IF(OpenLCAbasic!K4266="CTUh", "Fill in Manually",IF(OR(K4266="Unit", K4266=""), "", INDEX(LookUps!$E$5:$E$12, MATCH(OpenLCAbasic!K4266,LookUps!$D$5:$D$12,0))))</f>
        <v>Fossil Depletion Potential (FDP) - kg oil eq</v>
      </c>
      <c r="M4266" s="154" t="str">
        <f t="shared" si="246"/>
        <v>Base_Base_Upgraded_Fossil Depletion Potential (FDP) - kg oil eq_Wet Well and Sump Station; wastewater treatment unit; at updated plant - US_Base_With Amendment_Aerated Static Pile</v>
      </c>
    </row>
    <row r="4267" spans="1:13" s="120" customFormat="1" x14ac:dyDescent="0.25">
      <c r="A4267" s="119"/>
      <c r="B4267" s="138" t="str">
        <f t="shared" si="242"/>
        <v>Aerated Static Pile</v>
      </c>
      <c r="C4267" s="138" t="str">
        <f t="shared" si="243"/>
        <v>Base_With Amendment</v>
      </c>
      <c r="D4267" s="138" t="str">
        <f t="shared" si="244"/>
        <v>Base</v>
      </c>
      <c r="E4267" s="138" t="str">
        <f t="shared" si="244"/>
        <v>Base</v>
      </c>
      <c r="F4267" s="138" t="str">
        <f t="shared" si="245"/>
        <v>Upgraded</v>
      </c>
      <c r="G4267" s="153"/>
      <c r="H4267" s="210">
        <v>3.3099999999999997E-2</v>
      </c>
      <c r="I4267" s="160" t="s">
        <v>57</v>
      </c>
      <c r="J4267" s="160">
        <v>6.9199999999999999E-3</v>
      </c>
      <c r="K4267" s="160" t="s">
        <v>14</v>
      </c>
      <c r="L4267" s="154" t="str">
        <f>IF(OpenLCAbasic!K4267="CTUh", "Fill in Manually",IF(OR(K4267="Unit", K4267=""), "", INDEX(LookUps!$E$5:$E$12, MATCH(OpenLCAbasic!K4267,LookUps!$D$5:$D$12,0))))</f>
        <v>Fossil Depletion Potential (FDP) - kg oil eq</v>
      </c>
      <c r="M4267" s="154" t="str">
        <f t="shared" si="246"/>
        <v>Base_Base_Upgraded_Fossil Depletion Potential (FDP) - kg oil eq_Gravity Belt Thickener; wastewater treatment unit; at updated plant - US_Base_With Amendment_Aerated Static Pile</v>
      </c>
    </row>
    <row r="4268" spans="1:13" s="120" customFormat="1" x14ac:dyDescent="0.25">
      <c r="A4268" s="119"/>
      <c r="B4268" s="138" t="str">
        <f t="shared" si="242"/>
        <v>Aerated Static Pile</v>
      </c>
      <c r="C4268" s="138" t="str">
        <f t="shared" si="243"/>
        <v>Base_With Amendment</v>
      </c>
      <c r="D4268" s="138" t="str">
        <f t="shared" si="244"/>
        <v>Base</v>
      </c>
      <c r="E4268" s="138" t="str">
        <f t="shared" si="244"/>
        <v>Base</v>
      </c>
      <c r="F4268" s="138" t="str">
        <f t="shared" si="245"/>
        <v>Upgraded</v>
      </c>
      <c r="G4268" s="153"/>
      <c r="H4268" s="210">
        <v>2.7799999999999998E-2</v>
      </c>
      <c r="I4268" s="160" t="s">
        <v>60</v>
      </c>
      <c r="J4268" s="160">
        <v>5.8100000000000001E-3</v>
      </c>
      <c r="K4268" s="160" t="s">
        <v>14</v>
      </c>
      <c r="L4268" s="154" t="str">
        <f>IF(OpenLCAbasic!K4268="CTUh", "Fill in Manually",IF(OR(K4268="Unit", K4268=""), "", INDEX(LookUps!$E$5:$E$12, MATCH(OpenLCAbasic!K4268,LookUps!$D$5:$D$12,0))))</f>
        <v>Fossil Depletion Potential (FDP) - kg oil eq</v>
      </c>
      <c r="M4268" s="154" t="str">
        <f t="shared" si="246"/>
        <v>Base_Base_Upgraded_Fossil Depletion Potential (FDP) - kg oil eq_Belt filter press; wastewater treatment unit; at updated plant - US_Base_With Amendment_Aerated Static Pile</v>
      </c>
    </row>
    <row r="4269" spans="1:13" s="120" customFormat="1" x14ac:dyDescent="0.25">
      <c r="A4269" s="119"/>
      <c r="B4269" s="138" t="str">
        <f t="shared" si="242"/>
        <v>Aerated Static Pile</v>
      </c>
      <c r="C4269" s="138" t="str">
        <f t="shared" si="243"/>
        <v>Base_With Amendment</v>
      </c>
      <c r="D4269" s="138" t="str">
        <f t="shared" si="244"/>
        <v>Base</v>
      </c>
      <c r="E4269" s="138" t="str">
        <f t="shared" si="244"/>
        <v>Base</v>
      </c>
      <c r="F4269" s="138" t="str">
        <f t="shared" si="245"/>
        <v>Upgraded</v>
      </c>
      <c r="G4269" s="153"/>
      <c r="H4269" s="210">
        <v>2.1499999999999998E-2</v>
      </c>
      <c r="I4269" s="160" t="s">
        <v>128</v>
      </c>
      <c r="J4269" s="160">
        <v>4.4999999999999997E-3</v>
      </c>
      <c r="K4269" s="160" t="s">
        <v>14</v>
      </c>
      <c r="L4269" s="154" t="str">
        <f>IF(OpenLCAbasic!K4269="CTUh", "Fill in Manually",IF(OR(K4269="Unit", K4269=""), "", INDEX(LookUps!$E$5:$E$12, MATCH(OpenLCAbasic!K4269,LookUps!$D$5:$D$12,0))))</f>
        <v>Fossil Depletion Potential (FDP) - kg oil eq</v>
      </c>
      <c r="M4269" s="154" t="str">
        <f t="shared" si="246"/>
        <v>Base_Base_Upgraded_Fossil Depletion Potential (FDP) - kg oil eq_Wastewater collection; operation and infrastructure; m3 wastewater_Base_With Amendment_Aerated Static Pile</v>
      </c>
    </row>
    <row r="4270" spans="1:13" s="120" customFormat="1" x14ac:dyDescent="0.25">
      <c r="A4270" s="119"/>
      <c r="B4270" s="138" t="str">
        <f t="shared" si="242"/>
        <v>Aerated Static Pile</v>
      </c>
      <c r="C4270" s="138" t="str">
        <f t="shared" si="243"/>
        <v>Base_With Amendment</v>
      </c>
      <c r="D4270" s="138" t="str">
        <f t="shared" si="244"/>
        <v>Base</v>
      </c>
      <c r="E4270" s="138" t="str">
        <f t="shared" si="244"/>
        <v>Base</v>
      </c>
      <c r="F4270" s="138" t="str">
        <f t="shared" si="245"/>
        <v>Upgraded</v>
      </c>
      <c r="G4270" s="153"/>
      <c r="H4270" s="210">
        <v>1.34E-2</v>
      </c>
      <c r="I4270" s="160" t="s">
        <v>148</v>
      </c>
      <c r="J4270" s="160">
        <v>2.8E-3</v>
      </c>
      <c r="K4270" s="160" t="s">
        <v>14</v>
      </c>
      <c r="L4270" s="154" t="str">
        <f>IF(OpenLCAbasic!K4270="CTUh", "Fill in Manually",IF(OR(K4270="Unit", K4270=""), "", INDEX(LookUps!$E$5:$E$12, MATCH(OpenLCAbasic!K4270,LookUps!$D$5:$D$12,0))))</f>
        <v>Fossil Depletion Potential (FDP) - kg oil eq</v>
      </c>
      <c r="M4270" s="154" t="str">
        <f t="shared" si="246"/>
        <v>Base_Base_Upgraded_Fossil Depletion Potential (FDP) - kg oil eq_Control Building; at upgraded wastewater treatment plant - US_Base_With Amendment_Aerated Static Pile</v>
      </c>
    </row>
    <row r="4271" spans="1:13" s="120" customFormat="1" x14ac:dyDescent="0.25">
      <c r="A4271" s="119"/>
      <c r="B4271" s="138" t="str">
        <f t="shared" si="242"/>
        <v>Aerated Static Pile</v>
      </c>
      <c r="C4271" s="138" t="str">
        <f t="shared" si="243"/>
        <v>Base_With Amendment</v>
      </c>
      <c r="D4271" s="138" t="str">
        <f t="shared" si="244"/>
        <v>Base</v>
      </c>
      <c r="E4271" s="138" t="str">
        <f t="shared" si="244"/>
        <v>Base</v>
      </c>
      <c r="F4271" s="138" t="str">
        <f t="shared" si="245"/>
        <v>Upgraded</v>
      </c>
      <c r="G4271" s="153"/>
      <c r="H4271" s="210">
        <v>1.1299999999999999E-2</v>
      </c>
      <c r="I4271" s="160" t="s">
        <v>48</v>
      </c>
      <c r="J4271" s="160">
        <v>2.3600000000000001E-3</v>
      </c>
      <c r="K4271" s="160" t="s">
        <v>14</v>
      </c>
      <c r="L4271" s="154" t="str">
        <f>IF(OpenLCAbasic!K4271="CTUh", "Fill in Manually",IF(OR(K4271="Unit", K4271=""), "", INDEX(LookUps!$E$5:$E$12, MATCH(OpenLCAbasic!K4271,LookUps!$D$5:$D$12,0))))</f>
        <v>Fossil Depletion Potential (FDP) - kg oil eq</v>
      </c>
      <c r="M4271" s="154" t="str">
        <f t="shared" si="246"/>
        <v>Base_Base_Upgraded_Fossil Depletion Potential (FDP) - kg oil eq_Effluent release; wastewater treatment unit; at surface water; m3 wastewater - US_Base_With Amendment_Aerated Static Pile</v>
      </c>
    </row>
    <row r="4272" spans="1:13" s="120" customFormat="1" x14ac:dyDescent="0.25">
      <c r="A4272" s="119"/>
      <c r="B4272" s="138" t="str">
        <f t="shared" si="242"/>
        <v>Aerated Static Pile</v>
      </c>
      <c r="C4272" s="138" t="str">
        <f t="shared" si="243"/>
        <v>Base_With Amendment</v>
      </c>
      <c r="D4272" s="138" t="str">
        <f t="shared" si="244"/>
        <v>Base</v>
      </c>
      <c r="E4272" s="138" t="str">
        <f t="shared" si="244"/>
        <v>Base</v>
      </c>
      <c r="F4272" s="138" t="str">
        <f t="shared" si="245"/>
        <v>Upgraded</v>
      </c>
      <c r="G4272" s="153"/>
      <c r="H4272" s="210">
        <v>9.1999999999999998E-3</v>
      </c>
      <c r="I4272" s="160" t="s">
        <v>59</v>
      </c>
      <c r="J4272" s="160">
        <v>1.92E-3</v>
      </c>
      <c r="K4272" s="160" t="s">
        <v>14</v>
      </c>
      <c r="L4272" s="154" t="str">
        <f>IF(OpenLCAbasic!K4272="CTUh", "Fill in Manually",IF(OR(K4272="Unit", K4272=""), "", INDEX(LookUps!$E$5:$E$12, MATCH(OpenLCAbasic!K4272,LookUps!$D$5:$D$12,0))))</f>
        <v>Fossil Depletion Potential (FDP) - kg oil eq</v>
      </c>
      <c r="M4272" s="154" t="str">
        <f t="shared" si="246"/>
        <v>Base_Base_Upgraded_Fossil Depletion Potential (FDP) - kg oil eq_Blend Tank; wastewater treatment unit; at updated plant - US_Base_With Amendment_Aerated Static Pile</v>
      </c>
    </row>
    <row r="4273" spans="1:13" s="120" customFormat="1" x14ac:dyDescent="0.25">
      <c r="A4273" s="119"/>
      <c r="B4273" s="138" t="str">
        <f t="shared" ref="B4273:B4336" si="247">IF(F4273="Legacy","n.a.",IF(F4273="","","Aerated Static Pile"))</f>
        <v>Aerated Static Pile</v>
      </c>
      <c r="C4273" s="138" t="str">
        <f t="shared" ref="C4273:C4336" si="248">IF(ISNUMBER($J4273),"Base_With Amendment","")</f>
        <v>Base_With Amendment</v>
      </c>
      <c r="D4273" s="138" t="str">
        <f t="shared" ref="D4273:E4336" si="249">IF(ISNUMBER($J4273),"Base","")</f>
        <v>Base</v>
      </c>
      <c r="E4273" s="138" t="str">
        <f t="shared" si="249"/>
        <v>Base</v>
      </c>
      <c r="F4273" s="138" t="str">
        <f t="shared" ref="F4273:F4336" si="250">IF(ISNUMBER(J4273),"Upgraded","")</f>
        <v>Upgraded</v>
      </c>
      <c r="G4273" s="153"/>
      <c r="H4273" s="210">
        <v>4.4000000000000003E-3</v>
      </c>
      <c r="I4273" s="160" t="s">
        <v>168</v>
      </c>
      <c r="J4273" s="160">
        <v>9.1E-4</v>
      </c>
      <c r="K4273" s="160" t="s">
        <v>14</v>
      </c>
      <c r="L4273" s="154" t="str">
        <f>IF(OpenLCAbasic!K4273="CTUh", "Fill in Manually",IF(OR(K4273="Unit", K4273=""), "", INDEX(LookUps!$E$5:$E$12, MATCH(OpenLCAbasic!K4273,LookUps!$D$5:$D$12,0))))</f>
        <v>Fossil Depletion Potential (FDP) - kg oil eq</v>
      </c>
      <c r="M4273" s="154" t="str">
        <f t="shared" si="246"/>
        <v>Base_Base_Upgraded_Fossil Depletion Potential (FDP) - kg oil eq_ClearCove SCP; wastewater treatment unit; at updated plant - US_Base_With Amendment_Aerated Static Pile</v>
      </c>
    </row>
    <row r="4274" spans="1:13" s="120" customFormat="1" x14ac:dyDescent="0.25">
      <c r="A4274" s="119"/>
      <c r="B4274" s="138" t="str">
        <f t="shared" si="247"/>
        <v>Aerated Static Pile</v>
      </c>
      <c r="C4274" s="138" t="str">
        <f t="shared" si="248"/>
        <v>Base_With Amendment</v>
      </c>
      <c r="D4274" s="138" t="str">
        <f t="shared" si="249"/>
        <v>Base</v>
      </c>
      <c r="E4274" s="138" t="str">
        <f t="shared" si="249"/>
        <v>Base</v>
      </c>
      <c r="F4274" s="138" t="str">
        <f t="shared" si="250"/>
        <v>Upgraded</v>
      </c>
      <c r="G4274" s="153"/>
      <c r="H4274" s="210">
        <v>-2.9499999999999998E-2</v>
      </c>
      <c r="I4274" s="160" t="s">
        <v>62</v>
      </c>
      <c r="J4274" s="160">
        <v>-6.1700000000000001E-3</v>
      </c>
      <c r="K4274" s="160" t="s">
        <v>14</v>
      </c>
      <c r="L4274" s="154" t="str">
        <f>IF(OpenLCAbasic!K4274="CTUh", "Fill in Manually",IF(OR(K4274="Unit", K4274=""), "", INDEX(LookUps!$E$5:$E$12, MATCH(OpenLCAbasic!K4274,LookUps!$D$5:$D$12,0))))</f>
        <v>Fossil Depletion Potential (FDP) - kg oil eq</v>
      </c>
      <c r="M4274" s="154" t="str">
        <f t="shared" si="246"/>
        <v>Base_Base_Upgraded_Fossil Depletion Potential (FDP) - kg oil eq_Land application of compost; wastewater treatment unit; at updated plant - US_Base_With Amendment_Aerated Static Pile</v>
      </c>
    </row>
    <row r="4275" spans="1:13" s="120" customFormat="1" x14ac:dyDescent="0.25">
      <c r="A4275" s="119"/>
      <c r="B4275" s="138" t="str">
        <f t="shared" si="247"/>
        <v>Aerated Static Pile</v>
      </c>
      <c r="C4275" s="138" t="str">
        <f t="shared" si="248"/>
        <v>Base_With Amendment</v>
      </c>
      <c r="D4275" s="138" t="str">
        <f t="shared" si="249"/>
        <v>Base</v>
      </c>
      <c r="E4275" s="138" t="str">
        <f t="shared" si="249"/>
        <v>Base</v>
      </c>
      <c r="F4275" s="138" t="str">
        <f t="shared" si="250"/>
        <v>Upgraded</v>
      </c>
      <c r="G4275" s="153"/>
      <c r="H4275" s="210">
        <v>-0.19170000000000001</v>
      </c>
      <c r="I4275" s="160" t="s">
        <v>149</v>
      </c>
      <c r="J4275" s="160">
        <v>-4.0030000000000003E-2</v>
      </c>
      <c r="K4275" s="160" t="s">
        <v>14</v>
      </c>
      <c r="L4275" s="154" t="str">
        <f>IF(OpenLCAbasic!K4275="CTUh", "Fill in Manually",IF(OR(K4275="Unit", K4275=""), "", INDEX(LookUps!$E$5:$E$12, MATCH(OpenLCAbasic!K4275,LookUps!$D$5:$D$12,0))))</f>
        <v>Fossil Depletion Potential (FDP) - kg oil eq</v>
      </c>
      <c r="M4275" s="154" t="str">
        <f t="shared" si="246"/>
        <v>Base_Base_Upgraded_Fossil Depletion Potential (FDP) - kg oil eq_Anaerobic Digestion; wastewater treatment unit; at updated plant - US_Base_With Amendment_Aerated Static Pile</v>
      </c>
    </row>
    <row r="4276" spans="1:13" s="120" customFormat="1" x14ac:dyDescent="0.25">
      <c r="A4276" s="119"/>
      <c r="B4276" s="138" t="str">
        <f t="shared" si="247"/>
        <v/>
      </c>
      <c r="C4276" s="138" t="str">
        <f t="shared" si="248"/>
        <v/>
      </c>
      <c r="D4276" s="138" t="str">
        <f t="shared" si="249"/>
        <v/>
      </c>
      <c r="E4276" s="138" t="str">
        <f t="shared" si="249"/>
        <v/>
      </c>
      <c r="F4276" s="138" t="str">
        <f t="shared" si="250"/>
        <v/>
      </c>
      <c r="G4276" s="153" t="s">
        <v>51</v>
      </c>
      <c r="H4276" s="160"/>
      <c r="I4276" s="160" t="s">
        <v>47</v>
      </c>
      <c r="J4276" s="160" t="s">
        <v>52</v>
      </c>
      <c r="K4276" s="160" t="s">
        <v>27</v>
      </c>
      <c r="L4276" s="154" t="str">
        <f>IF(OpenLCAbasic!K4276="CTUh", "Fill in Manually",IF(OR(K4276="Unit", K4276=""), "", INDEX(LookUps!$E$5:$E$12, MATCH(OpenLCAbasic!K4276,LookUps!$D$5:$D$12,0))))</f>
        <v/>
      </c>
      <c r="M4276" s="154" t="str">
        <f t="shared" si="246"/>
        <v>____Process__</v>
      </c>
    </row>
    <row r="4277" spans="1:13" s="120" customFormat="1" x14ac:dyDescent="0.25">
      <c r="A4277" s="119"/>
      <c r="B4277" s="138" t="str">
        <f t="shared" si="247"/>
        <v>Aerated Static Pile</v>
      </c>
      <c r="C4277" s="138" t="str">
        <f t="shared" si="248"/>
        <v>Base_With Amendment</v>
      </c>
      <c r="D4277" s="138" t="str">
        <f t="shared" si="249"/>
        <v>Base</v>
      </c>
      <c r="E4277" s="138" t="str">
        <f t="shared" si="249"/>
        <v>Base</v>
      </c>
      <c r="F4277" s="138" t="str">
        <f t="shared" si="250"/>
        <v>Upgraded</v>
      </c>
      <c r="G4277" s="153"/>
      <c r="H4277" s="210">
        <v>0.68740000000000001</v>
      </c>
      <c r="I4277" s="160" t="s">
        <v>435</v>
      </c>
      <c r="J4277" s="160">
        <v>0.52195000000000003</v>
      </c>
      <c r="K4277" s="160" t="s">
        <v>23</v>
      </c>
      <c r="L4277" s="154" t="str">
        <f>IF(OpenLCAbasic!K4277="CTUh", "Fill in Manually",IF(OR(K4277="Unit", K4277=""), "", INDEX(LookUps!$E$5:$E$12, MATCH(OpenLCAbasic!K4277,LookUps!$D$5:$D$12,0))))</f>
        <v>Global Warming Potential (GWP) - kg CO2 eq</v>
      </c>
      <c r="M4277" s="154" t="str">
        <f t="shared" si="246"/>
        <v>Base_Base_Upgraded_Global Warming Potential (GWP) - kg CO2 eq_Biosolids composting; aerated static pile; wastewater treatment unit; at updated plant - US_Base_With Amendment_Aerated Static Pile</v>
      </c>
    </row>
    <row r="4278" spans="1:13" s="120" customFormat="1" x14ac:dyDescent="0.25">
      <c r="A4278" s="119"/>
      <c r="B4278" s="138" t="str">
        <f t="shared" si="247"/>
        <v>Aerated Static Pile</v>
      </c>
      <c r="C4278" s="138" t="str">
        <f t="shared" si="248"/>
        <v>Base_With Amendment</v>
      </c>
      <c r="D4278" s="138" t="str">
        <f t="shared" si="249"/>
        <v>Base</v>
      </c>
      <c r="E4278" s="138" t="str">
        <f t="shared" si="249"/>
        <v>Base</v>
      </c>
      <c r="F4278" s="138" t="str">
        <f t="shared" si="250"/>
        <v>Upgraded</v>
      </c>
      <c r="G4278" s="153"/>
      <c r="H4278" s="210">
        <v>0.31979999999999997</v>
      </c>
      <c r="I4278" s="160" t="s">
        <v>58</v>
      </c>
      <c r="J4278" s="160">
        <v>0.24279999999999999</v>
      </c>
      <c r="K4278" s="160" t="s">
        <v>23</v>
      </c>
      <c r="L4278" s="154" t="str">
        <f>IF(OpenLCAbasic!K4278="CTUh", "Fill in Manually",IF(OR(K4278="Unit", K4278=""), "", INDEX(LookUps!$E$5:$E$12, MATCH(OpenLCAbasic!K4278,LookUps!$D$5:$D$12,0))))</f>
        <v>Global Warming Potential (GWP) - kg CO2 eq</v>
      </c>
      <c r="M4278" s="154" t="str">
        <f t="shared" si="246"/>
        <v>Base_Base_Upgraded_Global Warming Potential (GWP) - kg CO2 eq_Pre-Anoxic &amp; Swing tank; wastewater treatment unit; at updated plant - US_Base_With Amendment_Aerated Static Pile</v>
      </c>
    </row>
    <row r="4279" spans="1:13" s="120" customFormat="1" x14ac:dyDescent="0.25">
      <c r="A4279" s="119"/>
      <c r="B4279" s="138" t="str">
        <f t="shared" si="247"/>
        <v>Aerated Static Pile</v>
      </c>
      <c r="C4279" s="138" t="str">
        <f t="shared" si="248"/>
        <v>Base_With Amendment</v>
      </c>
      <c r="D4279" s="138" t="str">
        <f t="shared" si="249"/>
        <v>Base</v>
      </c>
      <c r="E4279" s="138" t="str">
        <f t="shared" si="249"/>
        <v>Base</v>
      </c>
      <c r="F4279" s="138" t="str">
        <f t="shared" si="250"/>
        <v>Upgraded</v>
      </c>
      <c r="G4279" s="153"/>
      <c r="H4279" s="210">
        <v>0.22159999999999999</v>
      </c>
      <c r="I4279" s="160" t="s">
        <v>55</v>
      </c>
      <c r="J4279" s="160">
        <v>0.16822000000000001</v>
      </c>
      <c r="K4279" s="160" t="s">
        <v>23</v>
      </c>
      <c r="L4279" s="154" t="str">
        <f>IF(OpenLCAbasic!K4279="CTUh", "Fill in Manually",IF(OR(K4279="Unit", K4279=""), "", INDEX(LookUps!$E$5:$E$12, MATCH(OpenLCAbasic!K4279,LookUps!$D$5:$D$12,0))))</f>
        <v>Global Warming Potential (GWP) - kg CO2 eq</v>
      </c>
      <c r="M4279" s="154" t="str">
        <f t="shared" si="246"/>
        <v>Base_Base_Upgraded_Global Warming Potential (GWP) - kg CO2 eq_Aeration Tanks; wastewater treatment unit; at updated plant - US_Base_With Amendment_Aerated Static Pile</v>
      </c>
    </row>
    <row r="4280" spans="1:13" s="120" customFormat="1" x14ac:dyDescent="0.25">
      <c r="A4280" s="119"/>
      <c r="B4280" s="138" t="str">
        <f t="shared" si="247"/>
        <v>Aerated Static Pile</v>
      </c>
      <c r="C4280" s="138" t="str">
        <f t="shared" si="248"/>
        <v>Base_With Amendment</v>
      </c>
      <c r="D4280" s="138" t="str">
        <f t="shared" si="249"/>
        <v>Base</v>
      </c>
      <c r="E4280" s="138" t="str">
        <f t="shared" si="249"/>
        <v>Base</v>
      </c>
      <c r="F4280" s="138" t="str">
        <f t="shared" si="250"/>
        <v>Upgraded</v>
      </c>
      <c r="G4280" s="153"/>
      <c r="H4280" s="210">
        <v>0.13489999999999999</v>
      </c>
      <c r="I4280" s="160" t="s">
        <v>167</v>
      </c>
      <c r="J4280" s="160">
        <v>0.10241</v>
      </c>
      <c r="K4280" s="160" t="s">
        <v>23</v>
      </c>
      <c r="L4280" s="154" t="str">
        <f>IF(OpenLCAbasic!K4280="CTUh", "Fill in Manually",IF(OR(K4280="Unit", K4280=""), "", INDEX(LookUps!$E$5:$E$12, MATCH(OpenLCAbasic!K4280,LookUps!$D$5:$D$12,0))))</f>
        <v>Global Warming Potential (GWP) - kg CO2 eq</v>
      </c>
      <c r="M4280" s="154" t="str">
        <f t="shared" si="246"/>
        <v>Base_Base_Upgraded_Global Warming Potential (GWP) - kg CO2 eq_Waste Receiving and Holding; wastewater treatment unit; at updated plant - US_Base_With Amendment_Aerated Static Pile</v>
      </c>
    </row>
    <row r="4281" spans="1:13" s="120" customFormat="1" x14ac:dyDescent="0.25">
      <c r="A4281" s="119"/>
      <c r="B4281" s="138" t="str">
        <f t="shared" si="247"/>
        <v>Aerated Static Pile</v>
      </c>
      <c r="C4281" s="138" t="str">
        <f t="shared" si="248"/>
        <v>Base_With Amendment</v>
      </c>
      <c r="D4281" s="138" t="str">
        <f t="shared" si="249"/>
        <v>Base</v>
      </c>
      <c r="E4281" s="138" t="str">
        <f t="shared" si="249"/>
        <v>Base</v>
      </c>
      <c r="F4281" s="138" t="str">
        <f t="shared" si="250"/>
        <v>Upgraded</v>
      </c>
      <c r="G4281" s="153"/>
      <c r="H4281" s="210">
        <v>7.5200000000000003E-2</v>
      </c>
      <c r="I4281" s="160" t="s">
        <v>54</v>
      </c>
      <c r="J4281" s="160">
        <v>5.7079999999999999E-2</v>
      </c>
      <c r="K4281" s="160" t="s">
        <v>23</v>
      </c>
      <c r="L4281" s="154" t="str">
        <f>IF(OpenLCAbasic!K4281="CTUh", "Fill in Manually",IF(OR(K4281="Unit", K4281=""), "", INDEX(LookUps!$E$5:$E$12, MATCH(OpenLCAbasic!K4281,LookUps!$D$5:$D$12,0))))</f>
        <v>Global Warming Potential (GWP) - kg CO2 eq</v>
      </c>
      <c r="M4281" s="154" t="str">
        <f t="shared" si="246"/>
        <v>Base_Base_Upgraded_Global Warming Potential (GWP) - kg CO2 eq_Clear Cove Primary Clarification; wastewater treatment unit; at updated plant - US_Base_With Amendment_Aerated Static Pile</v>
      </c>
    </row>
    <row r="4282" spans="1:13" s="120" customFormat="1" x14ac:dyDescent="0.25">
      <c r="A4282" s="119"/>
      <c r="B4282" s="138" t="str">
        <f t="shared" si="247"/>
        <v>Aerated Static Pile</v>
      </c>
      <c r="C4282" s="138" t="str">
        <f t="shared" si="248"/>
        <v>Base_With Amendment</v>
      </c>
      <c r="D4282" s="138" t="str">
        <f t="shared" si="249"/>
        <v>Base</v>
      </c>
      <c r="E4282" s="138" t="str">
        <f t="shared" si="249"/>
        <v>Base</v>
      </c>
      <c r="F4282" s="138" t="str">
        <f t="shared" si="250"/>
        <v>Upgraded</v>
      </c>
      <c r="G4282" s="153"/>
      <c r="H4282" s="210">
        <v>6.93E-2</v>
      </c>
      <c r="I4282" s="160" t="s">
        <v>48</v>
      </c>
      <c r="J4282" s="160">
        <v>5.2639999999999999E-2</v>
      </c>
      <c r="K4282" s="160" t="s">
        <v>23</v>
      </c>
      <c r="L4282" s="154" t="str">
        <f>IF(OpenLCAbasic!K4282="CTUh", "Fill in Manually",IF(OR(K4282="Unit", K4282=""), "", INDEX(LookUps!$E$5:$E$12, MATCH(OpenLCAbasic!K4282,LookUps!$D$5:$D$12,0))))</f>
        <v>Global Warming Potential (GWP) - kg CO2 eq</v>
      </c>
      <c r="M4282" s="154" t="str">
        <f t="shared" si="246"/>
        <v>Base_Base_Upgraded_Global Warming Potential (GWP) - kg CO2 eq_Effluent release; wastewater treatment unit; at surface water; m3 wastewater - US_Base_With Amendment_Aerated Static Pile</v>
      </c>
    </row>
    <row r="4283" spans="1:13" s="120" customFormat="1" x14ac:dyDescent="0.25">
      <c r="A4283" s="119"/>
      <c r="B4283" s="138" t="str">
        <f t="shared" si="247"/>
        <v>Aerated Static Pile</v>
      </c>
      <c r="C4283" s="138" t="str">
        <f t="shared" si="248"/>
        <v>Base_With Amendment</v>
      </c>
      <c r="D4283" s="138" t="str">
        <f t="shared" si="249"/>
        <v>Base</v>
      </c>
      <c r="E4283" s="138" t="str">
        <f t="shared" si="249"/>
        <v>Base</v>
      </c>
      <c r="F4283" s="138" t="str">
        <f t="shared" si="250"/>
        <v>Upgraded</v>
      </c>
      <c r="G4283" s="153"/>
      <c r="H4283" s="210">
        <v>6.6500000000000004E-2</v>
      </c>
      <c r="I4283" s="160" t="s">
        <v>147</v>
      </c>
      <c r="J4283" s="160">
        <v>5.0500000000000003E-2</v>
      </c>
      <c r="K4283" s="160" t="s">
        <v>23</v>
      </c>
      <c r="L4283" s="154" t="str">
        <f>IF(OpenLCAbasic!K4283="CTUh", "Fill in Manually",IF(OR(K4283="Unit", K4283=""), "", INDEX(LookUps!$E$5:$E$12, MATCH(OpenLCAbasic!K4283,LookUps!$D$5:$D$12,0))))</f>
        <v>Global Warming Potential (GWP) - kg CO2 eq</v>
      </c>
      <c r="M4283" s="154" t="str">
        <f t="shared" si="246"/>
        <v>Base_Base_Upgraded_Global Warming Potential (GWP) - kg CO2 eq_Influent Pump Station; wastewater treatment unit; at updated plant - US_Base_With Amendment_Aerated Static Pile</v>
      </c>
    </row>
    <row r="4284" spans="1:13" s="120" customFormat="1" x14ac:dyDescent="0.25">
      <c r="A4284" s="119"/>
      <c r="B4284" s="138" t="str">
        <f t="shared" si="247"/>
        <v>Aerated Static Pile</v>
      </c>
      <c r="C4284" s="138" t="str">
        <f t="shared" si="248"/>
        <v>Base_With Amendment</v>
      </c>
      <c r="D4284" s="138" t="str">
        <f t="shared" si="249"/>
        <v>Base</v>
      </c>
      <c r="E4284" s="138" t="str">
        <f t="shared" si="249"/>
        <v>Base</v>
      </c>
      <c r="F4284" s="138" t="str">
        <f t="shared" si="250"/>
        <v>Upgraded</v>
      </c>
      <c r="G4284" s="153"/>
      <c r="H4284" s="210">
        <v>4.3799999999999999E-2</v>
      </c>
      <c r="I4284" s="160" t="s">
        <v>53</v>
      </c>
      <c r="J4284" s="160">
        <v>3.3259999999999998E-2</v>
      </c>
      <c r="K4284" s="160" t="s">
        <v>23</v>
      </c>
      <c r="L4284" s="154" t="str">
        <f>IF(OpenLCAbasic!K4284="CTUh", "Fill in Manually",IF(OR(K4284="Unit", K4284=""), "", INDEX(LookUps!$E$5:$E$12, MATCH(OpenLCAbasic!K4284,LookUps!$D$5:$D$12,0))))</f>
        <v>Global Warming Potential (GWP) - kg CO2 eq</v>
      </c>
      <c r="M4284" s="154" t="str">
        <f t="shared" si="246"/>
        <v>Base_Base_Upgraded_Global Warming Potential (GWP) - kg CO2 eq_Wet Well and Sump Station; wastewater treatment unit; at updated plant - US_Base_With Amendment_Aerated Static Pile</v>
      </c>
    </row>
    <row r="4285" spans="1:13" s="120" customFormat="1" x14ac:dyDescent="0.25">
      <c r="A4285" s="119"/>
      <c r="B4285" s="138" t="str">
        <f t="shared" si="247"/>
        <v>Aerated Static Pile</v>
      </c>
      <c r="C4285" s="138" t="str">
        <f t="shared" si="248"/>
        <v>Base_With Amendment</v>
      </c>
      <c r="D4285" s="138" t="str">
        <f t="shared" si="249"/>
        <v>Base</v>
      </c>
      <c r="E4285" s="138" t="str">
        <f t="shared" si="249"/>
        <v>Base</v>
      </c>
      <c r="F4285" s="138" t="str">
        <f t="shared" si="250"/>
        <v>Upgraded</v>
      </c>
      <c r="G4285" s="153"/>
      <c r="H4285" s="210">
        <v>1.9199999999999998E-2</v>
      </c>
      <c r="I4285" s="160" t="s">
        <v>57</v>
      </c>
      <c r="J4285" s="160">
        <v>1.455E-2</v>
      </c>
      <c r="K4285" s="160" t="s">
        <v>23</v>
      </c>
      <c r="L4285" s="154" t="str">
        <f>IF(OpenLCAbasic!K4285="CTUh", "Fill in Manually",IF(OR(K4285="Unit", K4285=""), "", INDEX(LookUps!$E$5:$E$12, MATCH(OpenLCAbasic!K4285,LookUps!$D$5:$D$12,0))))</f>
        <v>Global Warming Potential (GWP) - kg CO2 eq</v>
      </c>
      <c r="M4285" s="154" t="str">
        <f t="shared" si="246"/>
        <v>Base_Base_Upgraded_Global Warming Potential (GWP) - kg CO2 eq_Gravity Belt Thickener; wastewater treatment unit; at updated plant - US_Base_With Amendment_Aerated Static Pile</v>
      </c>
    </row>
    <row r="4286" spans="1:13" s="120" customFormat="1" x14ac:dyDescent="0.25">
      <c r="A4286" s="119"/>
      <c r="B4286" s="138" t="str">
        <f t="shared" si="247"/>
        <v>Aerated Static Pile</v>
      </c>
      <c r="C4286" s="138" t="str">
        <f t="shared" si="248"/>
        <v>Base_With Amendment</v>
      </c>
      <c r="D4286" s="138" t="str">
        <f t="shared" si="249"/>
        <v>Base</v>
      </c>
      <c r="E4286" s="138" t="str">
        <f t="shared" si="249"/>
        <v>Base</v>
      </c>
      <c r="F4286" s="138" t="str">
        <f t="shared" si="250"/>
        <v>Upgraded</v>
      </c>
      <c r="G4286" s="153"/>
      <c r="H4286" s="210">
        <v>1.78E-2</v>
      </c>
      <c r="I4286" s="160" t="s">
        <v>128</v>
      </c>
      <c r="J4286" s="160">
        <v>1.3509999999999999E-2</v>
      </c>
      <c r="K4286" s="160" t="s">
        <v>23</v>
      </c>
      <c r="L4286" s="154" t="str">
        <f>IF(OpenLCAbasic!K4286="CTUh", "Fill in Manually",IF(OR(K4286="Unit", K4286=""), "", INDEX(LookUps!$E$5:$E$12, MATCH(OpenLCAbasic!K4286,LookUps!$D$5:$D$12,0))))</f>
        <v>Global Warming Potential (GWP) - kg CO2 eq</v>
      </c>
      <c r="M4286" s="154" t="str">
        <f t="shared" si="246"/>
        <v>Base_Base_Upgraded_Global Warming Potential (GWP) - kg CO2 eq_Wastewater collection; operation and infrastructure; m3 wastewater_Base_With Amendment_Aerated Static Pile</v>
      </c>
    </row>
    <row r="4287" spans="1:13" s="120" customFormat="1" x14ac:dyDescent="0.25">
      <c r="A4287" s="119"/>
      <c r="B4287" s="138" t="str">
        <f t="shared" si="247"/>
        <v>Aerated Static Pile</v>
      </c>
      <c r="C4287" s="138" t="str">
        <f t="shared" si="248"/>
        <v>Base_With Amendment</v>
      </c>
      <c r="D4287" s="138" t="str">
        <f t="shared" si="249"/>
        <v>Base</v>
      </c>
      <c r="E4287" s="138" t="str">
        <f t="shared" si="249"/>
        <v>Base</v>
      </c>
      <c r="F4287" s="138" t="str">
        <f t="shared" si="250"/>
        <v>Upgraded</v>
      </c>
      <c r="G4287" s="153"/>
      <c r="H4287" s="210">
        <v>1.6799999999999999E-2</v>
      </c>
      <c r="I4287" s="160" t="s">
        <v>60</v>
      </c>
      <c r="J4287" s="160">
        <v>1.278E-2</v>
      </c>
      <c r="K4287" s="160" t="s">
        <v>23</v>
      </c>
      <c r="L4287" s="154" t="str">
        <f>IF(OpenLCAbasic!K4287="CTUh", "Fill in Manually",IF(OR(K4287="Unit", K4287=""), "", INDEX(LookUps!$E$5:$E$12, MATCH(OpenLCAbasic!K4287,LookUps!$D$5:$D$12,0))))</f>
        <v>Global Warming Potential (GWP) - kg CO2 eq</v>
      </c>
      <c r="M4287" s="154" t="str">
        <f t="shared" si="246"/>
        <v>Base_Base_Upgraded_Global Warming Potential (GWP) - kg CO2 eq_Belt filter press; wastewater treatment unit; at updated plant - US_Base_With Amendment_Aerated Static Pile</v>
      </c>
    </row>
    <row r="4288" spans="1:13" s="120" customFormat="1" x14ac:dyDescent="0.25">
      <c r="A4288" s="119"/>
      <c r="B4288" s="138" t="str">
        <f t="shared" si="247"/>
        <v>Aerated Static Pile</v>
      </c>
      <c r="C4288" s="138" t="str">
        <f t="shared" si="248"/>
        <v>Base_With Amendment</v>
      </c>
      <c r="D4288" s="138" t="str">
        <f t="shared" si="249"/>
        <v>Base</v>
      </c>
      <c r="E4288" s="138" t="str">
        <f t="shared" si="249"/>
        <v>Base</v>
      </c>
      <c r="F4288" s="138" t="str">
        <f t="shared" si="250"/>
        <v>Upgraded</v>
      </c>
      <c r="G4288" s="153"/>
      <c r="H4288" s="210">
        <v>1.09E-2</v>
      </c>
      <c r="I4288" s="160" t="s">
        <v>148</v>
      </c>
      <c r="J4288" s="160">
        <v>8.3000000000000001E-3</v>
      </c>
      <c r="K4288" s="160" t="s">
        <v>23</v>
      </c>
      <c r="L4288" s="154" t="str">
        <f>IF(OpenLCAbasic!K4288="CTUh", "Fill in Manually",IF(OR(K4288="Unit", K4288=""), "", INDEX(LookUps!$E$5:$E$12, MATCH(OpenLCAbasic!K4288,LookUps!$D$5:$D$12,0))))</f>
        <v>Global Warming Potential (GWP) - kg CO2 eq</v>
      </c>
      <c r="M4288" s="154" t="str">
        <f t="shared" si="246"/>
        <v>Base_Base_Upgraded_Global Warming Potential (GWP) - kg CO2 eq_Control Building; at upgraded wastewater treatment plant - US_Base_With Amendment_Aerated Static Pile</v>
      </c>
    </row>
    <row r="4289" spans="1:13" s="120" customFormat="1" x14ac:dyDescent="0.25">
      <c r="A4289" s="119"/>
      <c r="B4289" s="138" t="str">
        <f t="shared" si="247"/>
        <v>Aerated Static Pile</v>
      </c>
      <c r="C4289" s="138" t="str">
        <f t="shared" si="248"/>
        <v>Base_With Amendment</v>
      </c>
      <c r="D4289" s="138" t="str">
        <f t="shared" si="249"/>
        <v>Base</v>
      </c>
      <c r="E4289" s="138" t="str">
        <f t="shared" si="249"/>
        <v>Base</v>
      </c>
      <c r="F4289" s="138" t="str">
        <f t="shared" si="250"/>
        <v>Upgraded</v>
      </c>
      <c r="G4289" s="153"/>
      <c r="H4289" s="210">
        <v>6.6E-3</v>
      </c>
      <c r="I4289" s="160" t="s">
        <v>59</v>
      </c>
      <c r="J4289" s="160">
        <v>5.0400000000000002E-3</v>
      </c>
      <c r="K4289" s="160" t="s">
        <v>23</v>
      </c>
      <c r="L4289" s="154" t="str">
        <f>IF(OpenLCAbasic!K4289="CTUh", "Fill in Manually",IF(OR(K4289="Unit", K4289=""), "", INDEX(LookUps!$E$5:$E$12, MATCH(OpenLCAbasic!K4289,LookUps!$D$5:$D$12,0))))</f>
        <v>Global Warming Potential (GWP) - kg CO2 eq</v>
      </c>
      <c r="M4289" s="154" t="str">
        <f t="shared" si="246"/>
        <v>Base_Base_Upgraded_Global Warming Potential (GWP) - kg CO2 eq_Blend Tank; wastewater treatment unit; at updated plant - US_Base_With Amendment_Aerated Static Pile</v>
      </c>
    </row>
    <row r="4290" spans="1:13" s="120" customFormat="1" x14ac:dyDescent="0.25">
      <c r="A4290" s="119"/>
      <c r="B4290" s="138" t="str">
        <f t="shared" si="247"/>
        <v>Aerated Static Pile</v>
      </c>
      <c r="C4290" s="138" t="str">
        <f t="shared" si="248"/>
        <v>Base_With Amendment</v>
      </c>
      <c r="D4290" s="138" t="str">
        <f t="shared" si="249"/>
        <v>Base</v>
      </c>
      <c r="E4290" s="138" t="str">
        <f t="shared" si="249"/>
        <v>Base</v>
      </c>
      <c r="F4290" s="138" t="str">
        <f t="shared" si="250"/>
        <v>Upgraded</v>
      </c>
      <c r="G4290" s="153"/>
      <c r="H4290" s="210">
        <v>3.2000000000000002E-3</v>
      </c>
      <c r="I4290" s="160" t="s">
        <v>168</v>
      </c>
      <c r="J4290" s="160">
        <v>2.4099999999999998E-3</v>
      </c>
      <c r="K4290" s="160" t="s">
        <v>23</v>
      </c>
      <c r="L4290" s="154" t="str">
        <f>IF(OpenLCAbasic!K4290="CTUh", "Fill in Manually",IF(OR(K4290="Unit", K4290=""), "", INDEX(LookUps!$E$5:$E$12, MATCH(OpenLCAbasic!K4290,LookUps!$D$5:$D$12,0))))</f>
        <v>Global Warming Potential (GWP) - kg CO2 eq</v>
      </c>
      <c r="M4290" s="154" t="str">
        <f t="shared" si="246"/>
        <v>Base_Base_Upgraded_Global Warming Potential (GWP) - kg CO2 eq_ClearCove SCP; wastewater treatment unit; at updated plant - US_Base_With Amendment_Aerated Static Pile</v>
      </c>
    </row>
    <row r="4291" spans="1:13" s="120" customFormat="1" x14ac:dyDescent="0.25">
      <c r="A4291" s="119"/>
      <c r="B4291" s="138" t="str">
        <f t="shared" si="247"/>
        <v>Aerated Static Pile</v>
      </c>
      <c r="C4291" s="138" t="str">
        <f t="shared" si="248"/>
        <v>Base_With Amendment</v>
      </c>
      <c r="D4291" s="138" t="str">
        <f t="shared" si="249"/>
        <v>Base</v>
      </c>
      <c r="E4291" s="138" t="str">
        <f t="shared" si="249"/>
        <v>Base</v>
      </c>
      <c r="F4291" s="138" t="str">
        <f t="shared" si="250"/>
        <v>Upgraded</v>
      </c>
      <c r="G4291" s="153"/>
      <c r="H4291" s="210">
        <v>-7.46E-2</v>
      </c>
      <c r="I4291" s="160" t="s">
        <v>149</v>
      </c>
      <c r="J4291" s="160">
        <v>-5.6640000000000003E-2</v>
      </c>
      <c r="K4291" s="160" t="s">
        <v>23</v>
      </c>
      <c r="L4291" s="154" t="str">
        <f>IF(OpenLCAbasic!K4291="CTUh", "Fill in Manually",IF(OR(K4291="Unit", K4291=""), "", INDEX(LookUps!$E$5:$E$12, MATCH(OpenLCAbasic!K4291,LookUps!$D$5:$D$12,0))))</f>
        <v>Global Warming Potential (GWP) - kg CO2 eq</v>
      </c>
      <c r="M4291" s="154" t="str">
        <f t="shared" si="246"/>
        <v>Base_Base_Upgraded_Global Warming Potential (GWP) - kg CO2 eq_Anaerobic Digestion; wastewater treatment unit; at updated plant - US_Base_With Amendment_Aerated Static Pile</v>
      </c>
    </row>
    <row r="4292" spans="1:13" s="120" customFormat="1" x14ac:dyDescent="0.25">
      <c r="A4292" s="119"/>
      <c r="B4292" s="138" t="str">
        <f t="shared" si="247"/>
        <v>Aerated Static Pile</v>
      </c>
      <c r="C4292" s="138" t="str">
        <f t="shared" si="248"/>
        <v>Base_With Amendment</v>
      </c>
      <c r="D4292" s="138" t="str">
        <f t="shared" si="249"/>
        <v>Base</v>
      </c>
      <c r="E4292" s="138" t="str">
        <f t="shared" si="249"/>
        <v>Base</v>
      </c>
      <c r="F4292" s="138" t="str">
        <f t="shared" si="250"/>
        <v>Upgraded</v>
      </c>
      <c r="G4292" s="153"/>
      <c r="H4292" s="210">
        <v>-0.61839999999999995</v>
      </c>
      <c r="I4292" s="160" t="s">
        <v>62</v>
      </c>
      <c r="J4292" s="160">
        <v>-0.46950999999999998</v>
      </c>
      <c r="K4292" s="160" t="s">
        <v>23</v>
      </c>
      <c r="L4292" s="154" t="str">
        <f>IF(OpenLCAbasic!K4292="CTUh", "Fill in Manually",IF(OR(K4292="Unit", K4292=""), "", INDEX(LookUps!$E$5:$E$12, MATCH(OpenLCAbasic!K4292,LookUps!$D$5:$D$12,0))))</f>
        <v>Global Warming Potential (GWP) - kg CO2 eq</v>
      </c>
      <c r="M4292" s="154" t="str">
        <f t="shared" si="246"/>
        <v>Base_Base_Upgraded_Global Warming Potential (GWP) - kg CO2 eq_Land application of compost; wastewater treatment unit; at updated plant - US_Base_With Amendment_Aerated Static Pile</v>
      </c>
    </row>
    <row r="4293" spans="1:13" s="120" customFormat="1" x14ac:dyDescent="0.25">
      <c r="A4293" s="119"/>
      <c r="B4293" s="138" t="str">
        <f t="shared" si="247"/>
        <v/>
      </c>
      <c r="C4293" s="138" t="str">
        <f t="shared" si="248"/>
        <v/>
      </c>
      <c r="D4293" s="138" t="str">
        <f t="shared" si="249"/>
        <v/>
      </c>
      <c r="E4293" s="138" t="str">
        <f t="shared" si="249"/>
        <v/>
      </c>
      <c r="F4293" s="138" t="str">
        <f t="shared" si="250"/>
        <v/>
      </c>
      <c r="G4293" s="153" t="s">
        <v>51</v>
      </c>
      <c r="H4293" s="160"/>
      <c r="I4293" s="160" t="s">
        <v>47</v>
      </c>
      <c r="J4293" s="160" t="s">
        <v>52</v>
      </c>
      <c r="K4293" s="160" t="s">
        <v>27</v>
      </c>
      <c r="L4293" s="154" t="str">
        <f>IF(OpenLCAbasic!K4293="CTUh", "Fill in Manually",IF(OR(K4293="Unit", K4293=""), "", INDEX(LookUps!$E$5:$E$12, MATCH(OpenLCAbasic!K4293,LookUps!$D$5:$D$12,0))))</f>
        <v/>
      </c>
      <c r="M4293" s="154" t="str">
        <f t="shared" si="246"/>
        <v>____Process__</v>
      </c>
    </row>
    <row r="4294" spans="1:13" s="120" customFormat="1" x14ac:dyDescent="0.25">
      <c r="A4294" s="119"/>
      <c r="B4294" s="138" t="str">
        <f t="shared" si="247"/>
        <v>Aerated Static Pile</v>
      </c>
      <c r="C4294" s="138" t="str">
        <f t="shared" si="248"/>
        <v>Base_With Amendment</v>
      </c>
      <c r="D4294" s="138" t="str">
        <f t="shared" si="249"/>
        <v>Base</v>
      </c>
      <c r="E4294" s="138" t="str">
        <f t="shared" si="249"/>
        <v>Base</v>
      </c>
      <c r="F4294" s="138" t="str">
        <f t="shared" si="250"/>
        <v>Upgraded</v>
      </c>
      <c r="G4294" s="153"/>
      <c r="H4294" s="210">
        <v>0.45029999999999998</v>
      </c>
      <c r="I4294" s="160" t="s">
        <v>55</v>
      </c>
      <c r="J4294" s="160">
        <v>2.33E-3</v>
      </c>
      <c r="K4294" s="160" t="s">
        <v>145</v>
      </c>
      <c r="L4294" s="154" t="str">
        <f>IF(OpenLCAbasic!K4294="CTUh", "Fill in Manually",IF(OR(K4294="Unit", K4294=""), "", INDEX(LookUps!$E$5:$E$12, MATCH(OpenLCAbasic!K4294,LookUps!$D$5:$D$12,0))))</f>
        <v>Particulate Matter Formation Potential (PMFP) - kg PM2.5 eq</v>
      </c>
      <c r="M4294" s="154" t="str">
        <f t="shared" si="246"/>
        <v>Base_Base_Upgraded_Particulate Matter Formation Potential (PMFP) - kg PM2.5 eq_Aeration Tanks; wastewater treatment unit; at updated plant - US_Base_With Amendment_Aerated Static Pile</v>
      </c>
    </row>
    <row r="4295" spans="1:13" s="120" customFormat="1" x14ac:dyDescent="0.25">
      <c r="A4295" s="119"/>
      <c r="B4295" s="138" t="str">
        <f t="shared" si="247"/>
        <v>Aerated Static Pile</v>
      </c>
      <c r="C4295" s="138" t="str">
        <f t="shared" si="248"/>
        <v>Base_With Amendment</v>
      </c>
      <c r="D4295" s="138" t="str">
        <f t="shared" si="249"/>
        <v>Base</v>
      </c>
      <c r="E4295" s="138" t="str">
        <f t="shared" si="249"/>
        <v>Base</v>
      </c>
      <c r="F4295" s="138" t="str">
        <f t="shared" si="250"/>
        <v>Upgraded</v>
      </c>
      <c r="G4295" s="153"/>
      <c r="H4295" s="210">
        <v>0.16339999999999999</v>
      </c>
      <c r="I4295" s="160" t="s">
        <v>435</v>
      </c>
      <c r="J4295" s="160">
        <v>8.4999999999999995E-4</v>
      </c>
      <c r="K4295" s="160" t="s">
        <v>145</v>
      </c>
      <c r="L4295" s="154" t="str">
        <f>IF(OpenLCAbasic!K4295="CTUh", "Fill in Manually",IF(OR(K4295="Unit", K4295=""), "", INDEX(LookUps!$E$5:$E$12, MATCH(OpenLCAbasic!K4295,LookUps!$D$5:$D$12,0))))</f>
        <v>Particulate Matter Formation Potential (PMFP) - kg PM2.5 eq</v>
      </c>
      <c r="M4295" s="154" t="str">
        <f t="shared" ref="M4295:M4358" si="251">CONCATENATE(E4295,"_",D4295,"_",F4295,"_",L4295, "_",I4295,"_", C4295,"_", B4295)</f>
        <v>Base_Base_Upgraded_Particulate Matter Formation Potential (PMFP) - kg PM2.5 eq_Biosolids composting; aerated static pile; wastewater treatment unit; at updated plant - US_Base_With Amendment_Aerated Static Pile</v>
      </c>
    </row>
    <row r="4296" spans="1:13" s="120" customFormat="1" x14ac:dyDescent="0.25">
      <c r="A4296" s="119"/>
      <c r="B4296" s="138" t="str">
        <f t="shared" si="247"/>
        <v>Aerated Static Pile</v>
      </c>
      <c r="C4296" s="138" t="str">
        <f t="shared" si="248"/>
        <v>Base_With Amendment</v>
      </c>
      <c r="D4296" s="138" t="str">
        <f t="shared" si="249"/>
        <v>Base</v>
      </c>
      <c r="E4296" s="138" t="str">
        <f t="shared" si="249"/>
        <v>Base</v>
      </c>
      <c r="F4296" s="138" t="str">
        <f t="shared" si="250"/>
        <v>Upgraded</v>
      </c>
      <c r="G4296" s="153"/>
      <c r="H4296" s="210">
        <v>0.13100000000000001</v>
      </c>
      <c r="I4296" s="160" t="s">
        <v>54</v>
      </c>
      <c r="J4296" s="160">
        <v>6.8000000000000005E-4</v>
      </c>
      <c r="K4296" s="160" t="s">
        <v>145</v>
      </c>
      <c r="L4296" s="154" t="str">
        <f>IF(OpenLCAbasic!K4296="CTUh", "Fill in Manually",IF(OR(K4296="Unit", K4296=""), "", INDEX(LookUps!$E$5:$E$12, MATCH(OpenLCAbasic!K4296,LookUps!$D$5:$D$12,0))))</f>
        <v>Particulate Matter Formation Potential (PMFP) - kg PM2.5 eq</v>
      </c>
      <c r="M4296" s="154" t="str">
        <f t="shared" si="251"/>
        <v>Base_Base_Upgraded_Particulate Matter Formation Potential (PMFP) - kg PM2.5 eq_Clear Cove Primary Clarification; wastewater treatment unit; at updated plant - US_Base_With Amendment_Aerated Static Pile</v>
      </c>
    </row>
    <row r="4297" spans="1:13" s="120" customFormat="1" x14ac:dyDescent="0.25">
      <c r="A4297" s="119"/>
      <c r="B4297" s="138" t="str">
        <f t="shared" si="247"/>
        <v>Aerated Static Pile</v>
      </c>
      <c r="C4297" s="138" t="str">
        <f t="shared" si="248"/>
        <v>Base_With Amendment</v>
      </c>
      <c r="D4297" s="138" t="str">
        <f t="shared" si="249"/>
        <v>Base</v>
      </c>
      <c r="E4297" s="138" t="str">
        <f t="shared" si="249"/>
        <v>Base</v>
      </c>
      <c r="F4297" s="138" t="str">
        <f t="shared" si="250"/>
        <v>Upgraded</v>
      </c>
      <c r="G4297" s="153"/>
      <c r="H4297" s="210">
        <v>0.1132</v>
      </c>
      <c r="I4297" s="160" t="s">
        <v>58</v>
      </c>
      <c r="J4297" s="160">
        <v>5.9000000000000003E-4</v>
      </c>
      <c r="K4297" s="160" t="s">
        <v>145</v>
      </c>
      <c r="L4297" s="154" t="str">
        <f>IF(OpenLCAbasic!K4297="CTUh", "Fill in Manually",IF(OR(K4297="Unit", K4297=""), "", INDEX(LookUps!$E$5:$E$12, MATCH(OpenLCAbasic!K4297,LookUps!$D$5:$D$12,0))))</f>
        <v>Particulate Matter Formation Potential (PMFP) - kg PM2.5 eq</v>
      </c>
      <c r="M4297" s="154" t="str">
        <f t="shared" si="251"/>
        <v>Base_Base_Upgraded_Particulate Matter Formation Potential (PMFP) - kg PM2.5 eq_Pre-Anoxic &amp; Swing tank; wastewater treatment unit; at updated plant - US_Base_With Amendment_Aerated Static Pile</v>
      </c>
    </row>
    <row r="4298" spans="1:13" s="120" customFormat="1" x14ac:dyDescent="0.25">
      <c r="A4298" s="119"/>
      <c r="B4298" s="138" t="str">
        <f t="shared" si="247"/>
        <v>Aerated Static Pile</v>
      </c>
      <c r="C4298" s="138" t="str">
        <f t="shared" si="248"/>
        <v>Base_With Amendment</v>
      </c>
      <c r="D4298" s="138" t="str">
        <f t="shared" si="249"/>
        <v>Base</v>
      </c>
      <c r="E4298" s="138" t="str">
        <f t="shared" si="249"/>
        <v>Base</v>
      </c>
      <c r="F4298" s="138" t="str">
        <f t="shared" si="250"/>
        <v>Upgraded</v>
      </c>
      <c r="G4298" s="153"/>
      <c r="H4298" s="210">
        <v>0.09</v>
      </c>
      <c r="I4298" s="160" t="s">
        <v>53</v>
      </c>
      <c r="J4298" s="160">
        <v>4.6999999999999999E-4</v>
      </c>
      <c r="K4298" s="160" t="s">
        <v>145</v>
      </c>
      <c r="L4298" s="154" t="str">
        <f>IF(OpenLCAbasic!K4298="CTUh", "Fill in Manually",IF(OR(K4298="Unit", K4298=""), "", INDEX(LookUps!$E$5:$E$12, MATCH(OpenLCAbasic!K4298,LookUps!$D$5:$D$12,0))))</f>
        <v>Particulate Matter Formation Potential (PMFP) - kg PM2.5 eq</v>
      </c>
      <c r="M4298" s="154" t="str">
        <f t="shared" si="251"/>
        <v>Base_Base_Upgraded_Particulate Matter Formation Potential (PMFP) - kg PM2.5 eq_Wet Well and Sump Station; wastewater treatment unit; at updated plant - US_Base_With Amendment_Aerated Static Pile</v>
      </c>
    </row>
    <row r="4299" spans="1:13" s="120" customFormat="1" x14ac:dyDescent="0.25">
      <c r="A4299" s="119"/>
      <c r="B4299" s="138" t="str">
        <f t="shared" si="247"/>
        <v>Aerated Static Pile</v>
      </c>
      <c r="C4299" s="138" t="str">
        <f t="shared" si="248"/>
        <v>Base_With Amendment</v>
      </c>
      <c r="D4299" s="138" t="str">
        <f t="shared" si="249"/>
        <v>Base</v>
      </c>
      <c r="E4299" s="138" t="str">
        <f t="shared" si="249"/>
        <v>Base</v>
      </c>
      <c r="F4299" s="138" t="str">
        <f t="shared" si="250"/>
        <v>Upgraded</v>
      </c>
      <c r="G4299" s="153"/>
      <c r="H4299" s="210">
        <v>5.7700000000000001E-2</v>
      </c>
      <c r="I4299" s="160" t="s">
        <v>167</v>
      </c>
      <c r="J4299" s="160">
        <v>2.9999999999999997E-4</v>
      </c>
      <c r="K4299" s="160" t="s">
        <v>145</v>
      </c>
      <c r="L4299" s="154" t="str">
        <f>IF(OpenLCAbasic!K4299="CTUh", "Fill in Manually",IF(OR(K4299="Unit", K4299=""), "", INDEX(LookUps!$E$5:$E$12, MATCH(OpenLCAbasic!K4299,LookUps!$D$5:$D$12,0))))</f>
        <v>Particulate Matter Formation Potential (PMFP) - kg PM2.5 eq</v>
      </c>
      <c r="M4299" s="154" t="str">
        <f t="shared" si="251"/>
        <v>Base_Base_Upgraded_Particulate Matter Formation Potential (PMFP) - kg PM2.5 eq_Waste Receiving and Holding; wastewater treatment unit; at updated plant - US_Base_With Amendment_Aerated Static Pile</v>
      </c>
    </row>
    <row r="4300" spans="1:13" s="120" customFormat="1" x14ac:dyDescent="0.25">
      <c r="A4300" s="119"/>
      <c r="B4300" s="138" t="str">
        <f t="shared" si="247"/>
        <v>Aerated Static Pile</v>
      </c>
      <c r="C4300" s="138" t="str">
        <f t="shared" si="248"/>
        <v>Base_With Amendment</v>
      </c>
      <c r="D4300" s="138" t="str">
        <f t="shared" si="249"/>
        <v>Base</v>
      </c>
      <c r="E4300" s="138" t="str">
        <f t="shared" si="249"/>
        <v>Base</v>
      </c>
      <c r="F4300" s="138" t="str">
        <f t="shared" si="250"/>
        <v>Upgraded</v>
      </c>
      <c r="G4300" s="153"/>
      <c r="H4300" s="210">
        <v>5.1499999999999997E-2</v>
      </c>
      <c r="I4300" s="160" t="s">
        <v>147</v>
      </c>
      <c r="J4300" s="160">
        <v>2.7E-4</v>
      </c>
      <c r="K4300" s="160" t="s">
        <v>145</v>
      </c>
      <c r="L4300" s="154" t="str">
        <f>IF(OpenLCAbasic!K4300="CTUh", "Fill in Manually",IF(OR(K4300="Unit", K4300=""), "", INDEX(LookUps!$E$5:$E$12, MATCH(OpenLCAbasic!K4300,LookUps!$D$5:$D$12,0))))</f>
        <v>Particulate Matter Formation Potential (PMFP) - kg PM2.5 eq</v>
      </c>
      <c r="M4300" s="154" t="str">
        <f t="shared" si="251"/>
        <v>Base_Base_Upgraded_Particulate Matter Formation Potential (PMFP) - kg PM2.5 eq_Influent Pump Station; wastewater treatment unit; at updated plant - US_Base_With Amendment_Aerated Static Pile</v>
      </c>
    </row>
    <row r="4301" spans="1:13" s="120" customFormat="1" x14ac:dyDescent="0.25">
      <c r="A4301" s="119"/>
      <c r="B4301" s="138" t="str">
        <f t="shared" si="247"/>
        <v>Aerated Static Pile</v>
      </c>
      <c r="C4301" s="138" t="str">
        <f t="shared" si="248"/>
        <v>Base_With Amendment</v>
      </c>
      <c r="D4301" s="138" t="str">
        <f t="shared" si="249"/>
        <v>Base</v>
      </c>
      <c r="E4301" s="138" t="str">
        <f t="shared" si="249"/>
        <v>Base</v>
      </c>
      <c r="F4301" s="138" t="str">
        <f t="shared" si="250"/>
        <v>Upgraded</v>
      </c>
      <c r="G4301" s="153"/>
      <c r="H4301" s="210">
        <v>3.2099999999999997E-2</v>
      </c>
      <c r="I4301" s="160" t="s">
        <v>128</v>
      </c>
      <c r="J4301" s="160">
        <v>1.7000000000000001E-4</v>
      </c>
      <c r="K4301" s="160" t="s">
        <v>145</v>
      </c>
      <c r="L4301" s="154" t="str">
        <f>IF(OpenLCAbasic!K4301="CTUh", "Fill in Manually",IF(OR(K4301="Unit", K4301=""), "", INDEX(LookUps!$E$5:$E$12, MATCH(OpenLCAbasic!K4301,LookUps!$D$5:$D$12,0))))</f>
        <v>Particulate Matter Formation Potential (PMFP) - kg PM2.5 eq</v>
      </c>
      <c r="M4301" s="154" t="str">
        <f t="shared" si="251"/>
        <v>Base_Base_Upgraded_Particulate Matter Formation Potential (PMFP) - kg PM2.5 eq_Wastewater collection; operation and infrastructure; m3 wastewater_Base_With Amendment_Aerated Static Pile</v>
      </c>
    </row>
    <row r="4302" spans="1:13" s="120" customFormat="1" x14ac:dyDescent="0.25">
      <c r="A4302" s="119"/>
      <c r="B4302" s="138" t="str">
        <f t="shared" si="247"/>
        <v>Aerated Static Pile</v>
      </c>
      <c r="C4302" s="138" t="str">
        <f t="shared" si="248"/>
        <v>Base_With Amendment</v>
      </c>
      <c r="D4302" s="138" t="str">
        <f t="shared" si="249"/>
        <v>Base</v>
      </c>
      <c r="E4302" s="138" t="str">
        <f t="shared" si="249"/>
        <v>Base</v>
      </c>
      <c r="F4302" s="138" t="str">
        <f t="shared" si="250"/>
        <v>Upgraded</v>
      </c>
      <c r="G4302" s="153"/>
      <c r="H4302" s="210">
        <v>2.0199999999999999E-2</v>
      </c>
      <c r="I4302" s="160" t="s">
        <v>60</v>
      </c>
      <c r="J4302" s="160">
        <v>1E-4</v>
      </c>
      <c r="K4302" s="160" t="s">
        <v>145</v>
      </c>
      <c r="L4302" s="154" t="str">
        <f>IF(OpenLCAbasic!K4302="CTUh", "Fill in Manually",IF(OR(K4302="Unit", K4302=""), "", INDEX(LookUps!$E$5:$E$12, MATCH(OpenLCAbasic!K4302,LookUps!$D$5:$D$12,0))))</f>
        <v>Particulate Matter Formation Potential (PMFP) - kg PM2.5 eq</v>
      </c>
      <c r="M4302" s="154" t="str">
        <f t="shared" si="251"/>
        <v>Base_Base_Upgraded_Particulate Matter Formation Potential (PMFP) - kg PM2.5 eq_Belt filter press; wastewater treatment unit; at updated plant - US_Base_With Amendment_Aerated Static Pile</v>
      </c>
    </row>
    <row r="4303" spans="1:13" s="120" customFormat="1" x14ac:dyDescent="0.25">
      <c r="A4303" s="119"/>
      <c r="B4303" s="138" t="str">
        <f t="shared" si="247"/>
        <v>Aerated Static Pile</v>
      </c>
      <c r="C4303" s="138" t="str">
        <f t="shared" si="248"/>
        <v>Base_With Amendment</v>
      </c>
      <c r="D4303" s="138" t="str">
        <f t="shared" si="249"/>
        <v>Base</v>
      </c>
      <c r="E4303" s="138" t="str">
        <f t="shared" si="249"/>
        <v>Base</v>
      </c>
      <c r="F4303" s="138" t="str">
        <f t="shared" si="250"/>
        <v>Upgraded</v>
      </c>
      <c r="G4303" s="153"/>
      <c r="H4303" s="210">
        <v>1.84E-2</v>
      </c>
      <c r="I4303" s="160" t="s">
        <v>57</v>
      </c>
      <c r="J4303" s="211">
        <v>9.5153800000000004E-5</v>
      </c>
      <c r="K4303" s="160" t="s">
        <v>145</v>
      </c>
      <c r="L4303" s="154" t="str">
        <f>IF(OpenLCAbasic!K4303="CTUh", "Fill in Manually",IF(OR(K4303="Unit", K4303=""), "", INDEX(LookUps!$E$5:$E$12, MATCH(OpenLCAbasic!K4303,LookUps!$D$5:$D$12,0))))</f>
        <v>Particulate Matter Formation Potential (PMFP) - kg PM2.5 eq</v>
      </c>
      <c r="M4303" s="154" t="str">
        <f t="shared" si="251"/>
        <v>Base_Base_Upgraded_Particulate Matter Formation Potential (PMFP) - kg PM2.5 eq_Gravity Belt Thickener; wastewater treatment unit; at updated plant - US_Base_With Amendment_Aerated Static Pile</v>
      </c>
    </row>
    <row r="4304" spans="1:13" s="120" customFormat="1" x14ac:dyDescent="0.25">
      <c r="A4304" s="119"/>
      <c r="B4304" s="138" t="str">
        <f t="shared" si="247"/>
        <v>Aerated Static Pile</v>
      </c>
      <c r="C4304" s="138" t="str">
        <f t="shared" si="248"/>
        <v>Base_With Amendment</v>
      </c>
      <c r="D4304" s="138" t="str">
        <f t="shared" si="249"/>
        <v>Base</v>
      </c>
      <c r="E4304" s="138" t="str">
        <f t="shared" si="249"/>
        <v>Base</v>
      </c>
      <c r="F4304" s="138" t="str">
        <f t="shared" si="250"/>
        <v>Upgraded</v>
      </c>
      <c r="G4304" s="153"/>
      <c r="H4304" s="210">
        <v>1.35E-2</v>
      </c>
      <c r="I4304" s="160" t="s">
        <v>59</v>
      </c>
      <c r="J4304" s="211">
        <v>6.9942200000000003E-5</v>
      </c>
      <c r="K4304" s="160" t="s">
        <v>145</v>
      </c>
      <c r="L4304" s="154" t="str">
        <f>IF(OpenLCAbasic!K4304="CTUh", "Fill in Manually",IF(OR(K4304="Unit", K4304=""), "", INDEX(LookUps!$E$5:$E$12, MATCH(OpenLCAbasic!K4304,LookUps!$D$5:$D$12,0))))</f>
        <v>Particulate Matter Formation Potential (PMFP) - kg PM2.5 eq</v>
      </c>
      <c r="M4304" s="154" t="str">
        <f t="shared" si="251"/>
        <v>Base_Base_Upgraded_Particulate Matter Formation Potential (PMFP) - kg PM2.5 eq_Blend Tank; wastewater treatment unit; at updated plant - US_Base_With Amendment_Aerated Static Pile</v>
      </c>
    </row>
    <row r="4305" spans="1:13" s="120" customFormat="1" x14ac:dyDescent="0.25">
      <c r="A4305" s="119"/>
      <c r="B4305" s="138" t="str">
        <f t="shared" si="247"/>
        <v>Aerated Static Pile</v>
      </c>
      <c r="C4305" s="138" t="str">
        <f t="shared" si="248"/>
        <v>Base_With Amendment</v>
      </c>
      <c r="D4305" s="138" t="str">
        <f t="shared" si="249"/>
        <v>Base</v>
      </c>
      <c r="E4305" s="138" t="str">
        <f t="shared" si="249"/>
        <v>Base</v>
      </c>
      <c r="F4305" s="138" t="str">
        <f t="shared" si="250"/>
        <v>Upgraded</v>
      </c>
      <c r="G4305" s="153"/>
      <c r="H4305" s="210">
        <v>9.5999999999999992E-3</v>
      </c>
      <c r="I4305" s="160" t="s">
        <v>48</v>
      </c>
      <c r="J4305" s="211">
        <v>4.99741E-5</v>
      </c>
      <c r="K4305" s="160" t="s">
        <v>145</v>
      </c>
      <c r="L4305" s="154" t="str">
        <f>IF(OpenLCAbasic!K4305="CTUh", "Fill in Manually",IF(OR(K4305="Unit", K4305=""), "", INDEX(LookUps!$E$5:$E$12, MATCH(OpenLCAbasic!K4305,LookUps!$D$5:$D$12,0))))</f>
        <v>Particulate Matter Formation Potential (PMFP) - kg PM2.5 eq</v>
      </c>
      <c r="M4305" s="154" t="str">
        <f t="shared" si="251"/>
        <v>Base_Base_Upgraded_Particulate Matter Formation Potential (PMFP) - kg PM2.5 eq_Effluent release; wastewater treatment unit; at surface water; m3 wastewater - US_Base_With Amendment_Aerated Static Pile</v>
      </c>
    </row>
    <row r="4306" spans="1:13" s="120" customFormat="1" x14ac:dyDescent="0.25">
      <c r="A4306" s="119"/>
      <c r="B4306" s="138" t="str">
        <f t="shared" si="247"/>
        <v>Aerated Static Pile</v>
      </c>
      <c r="C4306" s="138" t="str">
        <f t="shared" si="248"/>
        <v>Base_With Amendment</v>
      </c>
      <c r="D4306" s="138" t="str">
        <f t="shared" si="249"/>
        <v>Base</v>
      </c>
      <c r="E4306" s="138" t="str">
        <f t="shared" si="249"/>
        <v>Base</v>
      </c>
      <c r="F4306" s="138" t="str">
        <f t="shared" si="250"/>
        <v>Upgraded</v>
      </c>
      <c r="G4306" s="153"/>
      <c r="H4306" s="210">
        <v>8.3000000000000001E-3</v>
      </c>
      <c r="I4306" s="160" t="s">
        <v>62</v>
      </c>
      <c r="J4306" s="211">
        <v>4.3225800000000002E-5</v>
      </c>
      <c r="K4306" s="160" t="s">
        <v>145</v>
      </c>
      <c r="L4306" s="154" t="str">
        <f>IF(OpenLCAbasic!K4306="CTUh", "Fill in Manually",IF(OR(K4306="Unit", K4306=""), "", INDEX(LookUps!$E$5:$E$12, MATCH(OpenLCAbasic!K4306,LookUps!$D$5:$D$12,0))))</f>
        <v>Particulate Matter Formation Potential (PMFP) - kg PM2.5 eq</v>
      </c>
      <c r="M4306" s="154" t="str">
        <f t="shared" si="251"/>
        <v>Base_Base_Upgraded_Particulate Matter Formation Potential (PMFP) - kg PM2.5 eq_Land application of compost; wastewater treatment unit; at updated plant - US_Base_With Amendment_Aerated Static Pile</v>
      </c>
    </row>
    <row r="4307" spans="1:13" s="120" customFormat="1" x14ac:dyDescent="0.25">
      <c r="A4307" s="119"/>
      <c r="B4307" s="138" t="str">
        <f t="shared" si="247"/>
        <v>Aerated Static Pile</v>
      </c>
      <c r="C4307" s="138" t="str">
        <f t="shared" si="248"/>
        <v>Base_With Amendment</v>
      </c>
      <c r="D4307" s="138" t="str">
        <f t="shared" si="249"/>
        <v>Base</v>
      </c>
      <c r="E4307" s="138" t="str">
        <f t="shared" si="249"/>
        <v>Base</v>
      </c>
      <c r="F4307" s="138" t="str">
        <f t="shared" si="250"/>
        <v>Upgraded</v>
      </c>
      <c r="G4307" s="153"/>
      <c r="H4307" s="210">
        <v>6.7000000000000002E-3</v>
      </c>
      <c r="I4307" s="160" t="s">
        <v>168</v>
      </c>
      <c r="J4307" s="211">
        <v>3.4562199999999999E-5</v>
      </c>
      <c r="K4307" s="160" t="s">
        <v>145</v>
      </c>
      <c r="L4307" s="154" t="str">
        <f>IF(OpenLCAbasic!K4307="CTUh", "Fill in Manually",IF(OR(K4307="Unit", K4307=""), "", INDEX(LookUps!$E$5:$E$12, MATCH(OpenLCAbasic!K4307,LookUps!$D$5:$D$12,0))))</f>
        <v>Particulate Matter Formation Potential (PMFP) - kg PM2.5 eq</v>
      </c>
      <c r="M4307" s="154" t="str">
        <f t="shared" si="251"/>
        <v>Base_Base_Upgraded_Particulate Matter Formation Potential (PMFP) - kg PM2.5 eq_ClearCove SCP; wastewater treatment unit; at updated plant - US_Base_With Amendment_Aerated Static Pile</v>
      </c>
    </row>
    <row r="4308" spans="1:13" s="120" customFormat="1" x14ac:dyDescent="0.25">
      <c r="A4308" s="119"/>
      <c r="B4308" s="138" t="str">
        <f t="shared" si="247"/>
        <v>Aerated Static Pile</v>
      </c>
      <c r="C4308" s="138" t="str">
        <f t="shared" si="248"/>
        <v>Base_With Amendment</v>
      </c>
      <c r="D4308" s="138" t="str">
        <f t="shared" si="249"/>
        <v>Base</v>
      </c>
      <c r="E4308" s="138" t="str">
        <f t="shared" si="249"/>
        <v>Base</v>
      </c>
      <c r="F4308" s="138" t="str">
        <f t="shared" si="250"/>
        <v>Upgraded</v>
      </c>
      <c r="G4308" s="153"/>
      <c r="H4308" s="210">
        <v>1.6999999999999999E-3</v>
      </c>
      <c r="I4308" s="160" t="s">
        <v>148</v>
      </c>
      <c r="J4308" s="211">
        <v>8.8212999999999997E-6</v>
      </c>
      <c r="K4308" s="160" t="s">
        <v>145</v>
      </c>
      <c r="L4308" s="154" t="str">
        <f>IF(OpenLCAbasic!K4308="CTUh", "Fill in Manually",IF(OR(K4308="Unit", K4308=""), "", INDEX(LookUps!$E$5:$E$12, MATCH(OpenLCAbasic!K4308,LookUps!$D$5:$D$12,0))))</f>
        <v>Particulate Matter Formation Potential (PMFP) - kg PM2.5 eq</v>
      </c>
      <c r="M4308" s="154" t="str">
        <f t="shared" si="251"/>
        <v>Base_Base_Upgraded_Particulate Matter Formation Potential (PMFP) - kg PM2.5 eq_Control Building; at upgraded wastewater treatment plant - US_Base_With Amendment_Aerated Static Pile</v>
      </c>
    </row>
    <row r="4309" spans="1:13" s="120" customFormat="1" x14ac:dyDescent="0.25">
      <c r="A4309" s="119"/>
      <c r="B4309" s="138" t="str">
        <f t="shared" si="247"/>
        <v>Aerated Static Pile</v>
      </c>
      <c r="C4309" s="138" t="str">
        <f t="shared" si="248"/>
        <v>Base_With Amendment</v>
      </c>
      <c r="D4309" s="138" t="str">
        <f t="shared" si="249"/>
        <v>Base</v>
      </c>
      <c r="E4309" s="138" t="str">
        <f t="shared" si="249"/>
        <v>Base</v>
      </c>
      <c r="F4309" s="138" t="str">
        <f t="shared" si="250"/>
        <v>Upgraded</v>
      </c>
      <c r="G4309" s="153"/>
      <c r="H4309" s="210">
        <v>-0.16769999999999999</v>
      </c>
      <c r="I4309" s="160" t="s">
        <v>149</v>
      </c>
      <c r="J4309" s="160">
        <v>-8.7000000000000001E-4</v>
      </c>
      <c r="K4309" s="160" t="s">
        <v>145</v>
      </c>
      <c r="L4309" s="154" t="str">
        <f>IF(OpenLCAbasic!K4309="CTUh", "Fill in Manually",IF(OR(K4309="Unit", K4309=""), "", INDEX(LookUps!$E$5:$E$12, MATCH(OpenLCAbasic!K4309,LookUps!$D$5:$D$12,0))))</f>
        <v>Particulate Matter Formation Potential (PMFP) - kg PM2.5 eq</v>
      </c>
      <c r="M4309" s="154" t="str">
        <f t="shared" si="251"/>
        <v>Base_Base_Upgraded_Particulate Matter Formation Potential (PMFP) - kg PM2.5 eq_Anaerobic Digestion; wastewater treatment unit; at updated plant - US_Base_With Amendment_Aerated Static Pile</v>
      </c>
    </row>
    <row r="4310" spans="1:13" s="120" customFormat="1" x14ac:dyDescent="0.25">
      <c r="A4310" s="119"/>
      <c r="B4310" s="138" t="str">
        <f t="shared" si="247"/>
        <v/>
      </c>
      <c r="C4310" s="138" t="str">
        <f t="shared" si="248"/>
        <v/>
      </c>
      <c r="D4310" s="138" t="str">
        <f t="shared" si="249"/>
        <v/>
      </c>
      <c r="E4310" s="138" t="str">
        <f t="shared" si="249"/>
        <v/>
      </c>
      <c r="F4310" s="138" t="str">
        <f t="shared" si="250"/>
        <v/>
      </c>
      <c r="G4310" s="153" t="s">
        <v>51</v>
      </c>
      <c r="H4310" s="160"/>
      <c r="I4310" s="160" t="s">
        <v>47</v>
      </c>
      <c r="J4310" s="160" t="s">
        <v>52</v>
      </c>
      <c r="K4310" s="160" t="s">
        <v>27</v>
      </c>
      <c r="L4310" s="154" t="str">
        <f>IF(OpenLCAbasic!K4310="CTUh", "Fill in Manually",IF(OR(K4310="Unit", K4310=""), "", INDEX(LookUps!$E$5:$E$12, MATCH(OpenLCAbasic!K4310,LookUps!$D$5:$D$12,0))))</f>
        <v/>
      </c>
      <c r="M4310" s="154" t="str">
        <f t="shared" si="251"/>
        <v>____Process__</v>
      </c>
    </row>
    <row r="4311" spans="1:13" s="120" customFormat="1" x14ac:dyDescent="0.25">
      <c r="A4311" s="119"/>
      <c r="B4311" s="138" t="str">
        <f t="shared" si="247"/>
        <v>Aerated Static Pile</v>
      </c>
      <c r="C4311" s="138" t="str">
        <f t="shared" si="248"/>
        <v>Base_With Amendment</v>
      </c>
      <c r="D4311" s="138" t="str">
        <f t="shared" si="249"/>
        <v>Base</v>
      </c>
      <c r="E4311" s="138" t="str">
        <f t="shared" si="249"/>
        <v>Base</v>
      </c>
      <c r="F4311" s="138" t="str">
        <f t="shared" si="250"/>
        <v>Upgraded</v>
      </c>
      <c r="G4311" s="153"/>
      <c r="H4311" s="210">
        <v>0.45019999999999999</v>
      </c>
      <c r="I4311" s="160" t="s">
        <v>55</v>
      </c>
      <c r="J4311" s="160">
        <v>0.16577</v>
      </c>
      <c r="K4311" s="160" t="s">
        <v>25</v>
      </c>
      <c r="L4311" s="154" t="str">
        <f>IF(OpenLCAbasic!K4311="CTUh", "Fill in Manually",IF(OR(K4311="Unit", K4311=""), "", INDEX(LookUps!$E$5:$E$12, MATCH(OpenLCAbasic!K4311,LookUps!$D$5:$D$12,0))))</f>
        <v>Smog Formation Potential (SFP) - kg O3 eq</v>
      </c>
      <c r="M4311" s="154" t="str">
        <f t="shared" si="251"/>
        <v>Base_Base_Upgraded_Smog Formation Potential (SFP) - kg O3 eq_Aeration Tanks; wastewater treatment unit; at updated plant - US_Base_With Amendment_Aerated Static Pile</v>
      </c>
    </row>
    <row r="4312" spans="1:13" s="120" customFormat="1" x14ac:dyDescent="0.25">
      <c r="A4312" s="119"/>
      <c r="B4312" s="138" t="str">
        <f t="shared" si="247"/>
        <v>Aerated Static Pile</v>
      </c>
      <c r="C4312" s="138" t="str">
        <f t="shared" si="248"/>
        <v>Base_With Amendment</v>
      </c>
      <c r="D4312" s="138" t="str">
        <f t="shared" si="249"/>
        <v>Base</v>
      </c>
      <c r="E4312" s="138" t="str">
        <f t="shared" si="249"/>
        <v>Base</v>
      </c>
      <c r="F4312" s="138" t="str">
        <f t="shared" si="250"/>
        <v>Upgraded</v>
      </c>
      <c r="G4312" s="153"/>
      <c r="H4312" s="210">
        <v>0.1618</v>
      </c>
      <c r="I4312" s="160" t="s">
        <v>435</v>
      </c>
      <c r="J4312" s="160">
        <v>5.9569999999999998E-2</v>
      </c>
      <c r="K4312" s="160" t="s">
        <v>25</v>
      </c>
      <c r="L4312" s="154" t="str">
        <f>IF(OpenLCAbasic!K4312="CTUh", "Fill in Manually",IF(OR(K4312="Unit", K4312=""), "", INDEX(LookUps!$E$5:$E$12, MATCH(OpenLCAbasic!K4312,LookUps!$D$5:$D$12,0))))</f>
        <v>Smog Formation Potential (SFP) - kg O3 eq</v>
      </c>
      <c r="M4312" s="154" t="str">
        <f t="shared" si="251"/>
        <v>Base_Base_Upgraded_Smog Formation Potential (SFP) - kg O3 eq_Biosolids composting; aerated static pile; wastewater treatment unit; at updated plant - US_Base_With Amendment_Aerated Static Pile</v>
      </c>
    </row>
    <row r="4313" spans="1:13" s="120" customFormat="1" x14ac:dyDescent="0.25">
      <c r="A4313" s="119"/>
      <c r="B4313" s="138" t="str">
        <f t="shared" si="247"/>
        <v>Aerated Static Pile</v>
      </c>
      <c r="C4313" s="138" t="str">
        <f t="shared" si="248"/>
        <v>Base_With Amendment</v>
      </c>
      <c r="D4313" s="138" t="str">
        <f t="shared" si="249"/>
        <v>Base</v>
      </c>
      <c r="E4313" s="138" t="str">
        <f t="shared" si="249"/>
        <v>Base</v>
      </c>
      <c r="F4313" s="138" t="str">
        <f t="shared" si="250"/>
        <v>Upgraded</v>
      </c>
      <c r="G4313" s="153"/>
      <c r="H4313" s="210">
        <v>0.13059999999999999</v>
      </c>
      <c r="I4313" s="160" t="s">
        <v>54</v>
      </c>
      <c r="J4313" s="160">
        <v>4.8070000000000002E-2</v>
      </c>
      <c r="K4313" s="160" t="s">
        <v>25</v>
      </c>
      <c r="L4313" s="154" t="str">
        <f>IF(OpenLCAbasic!K4313="CTUh", "Fill in Manually",IF(OR(K4313="Unit", K4313=""), "", INDEX(LookUps!$E$5:$E$12, MATCH(OpenLCAbasic!K4313,LookUps!$D$5:$D$12,0))))</f>
        <v>Smog Formation Potential (SFP) - kg O3 eq</v>
      </c>
      <c r="M4313" s="154" t="str">
        <f t="shared" si="251"/>
        <v>Base_Base_Upgraded_Smog Formation Potential (SFP) - kg O3 eq_Clear Cove Primary Clarification; wastewater treatment unit; at updated plant - US_Base_With Amendment_Aerated Static Pile</v>
      </c>
    </row>
    <row r="4314" spans="1:13" s="120" customFormat="1" x14ac:dyDescent="0.25">
      <c r="A4314" s="119"/>
      <c r="B4314" s="138" t="str">
        <f t="shared" si="247"/>
        <v>Aerated Static Pile</v>
      </c>
      <c r="C4314" s="138" t="str">
        <f t="shared" si="248"/>
        <v>Base_With Amendment</v>
      </c>
      <c r="D4314" s="138" t="str">
        <f t="shared" si="249"/>
        <v>Base</v>
      </c>
      <c r="E4314" s="138" t="str">
        <f t="shared" si="249"/>
        <v>Base</v>
      </c>
      <c r="F4314" s="138" t="str">
        <f t="shared" si="250"/>
        <v>Upgraded</v>
      </c>
      <c r="G4314" s="153"/>
      <c r="H4314" s="210">
        <v>0.1135</v>
      </c>
      <c r="I4314" s="160" t="s">
        <v>58</v>
      </c>
      <c r="J4314" s="160">
        <v>4.1779999999999998E-2</v>
      </c>
      <c r="K4314" s="160" t="s">
        <v>25</v>
      </c>
      <c r="L4314" s="154" t="str">
        <f>IF(OpenLCAbasic!K4314="CTUh", "Fill in Manually",IF(OR(K4314="Unit", K4314=""), "", INDEX(LookUps!$E$5:$E$12, MATCH(OpenLCAbasic!K4314,LookUps!$D$5:$D$12,0))))</f>
        <v>Smog Formation Potential (SFP) - kg O3 eq</v>
      </c>
      <c r="M4314" s="154" t="str">
        <f t="shared" si="251"/>
        <v>Base_Base_Upgraded_Smog Formation Potential (SFP) - kg O3 eq_Pre-Anoxic &amp; Swing tank; wastewater treatment unit; at updated plant - US_Base_With Amendment_Aerated Static Pile</v>
      </c>
    </row>
    <row r="4315" spans="1:13" s="120" customFormat="1" x14ac:dyDescent="0.25">
      <c r="A4315" s="119"/>
      <c r="B4315" s="138" t="str">
        <f t="shared" si="247"/>
        <v>Aerated Static Pile</v>
      </c>
      <c r="C4315" s="138" t="str">
        <f t="shared" si="248"/>
        <v>Base_With Amendment</v>
      </c>
      <c r="D4315" s="138" t="str">
        <f t="shared" si="249"/>
        <v>Base</v>
      </c>
      <c r="E4315" s="138" t="str">
        <f t="shared" si="249"/>
        <v>Base</v>
      </c>
      <c r="F4315" s="138" t="str">
        <f t="shared" si="250"/>
        <v>Upgraded</v>
      </c>
      <c r="G4315" s="153"/>
      <c r="H4315" s="210">
        <v>0.09</v>
      </c>
      <c r="I4315" s="160" t="s">
        <v>53</v>
      </c>
      <c r="J4315" s="160">
        <v>3.313E-2</v>
      </c>
      <c r="K4315" s="160" t="s">
        <v>25</v>
      </c>
      <c r="L4315" s="154" t="str">
        <f>IF(OpenLCAbasic!K4315="CTUh", "Fill in Manually",IF(OR(K4315="Unit", K4315=""), "", INDEX(LookUps!$E$5:$E$12, MATCH(OpenLCAbasic!K4315,LookUps!$D$5:$D$12,0))))</f>
        <v>Smog Formation Potential (SFP) - kg O3 eq</v>
      </c>
      <c r="M4315" s="154" t="str">
        <f t="shared" si="251"/>
        <v>Base_Base_Upgraded_Smog Formation Potential (SFP) - kg O3 eq_Wet Well and Sump Station; wastewater treatment unit; at updated plant - US_Base_With Amendment_Aerated Static Pile</v>
      </c>
    </row>
    <row r="4316" spans="1:13" s="120" customFormat="1" x14ac:dyDescent="0.25">
      <c r="A4316" s="119"/>
      <c r="B4316" s="138" t="str">
        <f t="shared" si="247"/>
        <v>Aerated Static Pile</v>
      </c>
      <c r="C4316" s="138" t="str">
        <f t="shared" si="248"/>
        <v>Base_With Amendment</v>
      </c>
      <c r="D4316" s="138" t="str">
        <f t="shared" si="249"/>
        <v>Base</v>
      </c>
      <c r="E4316" s="138" t="str">
        <f t="shared" si="249"/>
        <v>Base</v>
      </c>
      <c r="F4316" s="138" t="str">
        <f t="shared" si="250"/>
        <v>Upgraded</v>
      </c>
      <c r="G4316" s="153"/>
      <c r="H4316" s="210">
        <v>7.5899999999999995E-2</v>
      </c>
      <c r="I4316" s="160" t="s">
        <v>167</v>
      </c>
      <c r="J4316" s="160">
        <v>2.7949999999999999E-2</v>
      </c>
      <c r="K4316" s="160" t="s">
        <v>25</v>
      </c>
      <c r="L4316" s="154" t="str">
        <f>IF(OpenLCAbasic!K4316="CTUh", "Fill in Manually",IF(OR(K4316="Unit", K4316=""), "", INDEX(LookUps!$E$5:$E$12, MATCH(OpenLCAbasic!K4316,LookUps!$D$5:$D$12,0))))</f>
        <v>Smog Formation Potential (SFP) - kg O3 eq</v>
      </c>
      <c r="M4316" s="154" t="str">
        <f t="shared" si="251"/>
        <v>Base_Base_Upgraded_Smog Formation Potential (SFP) - kg O3 eq_Waste Receiving and Holding; wastewater treatment unit; at updated plant - US_Base_With Amendment_Aerated Static Pile</v>
      </c>
    </row>
    <row r="4317" spans="1:13" s="120" customFormat="1" x14ac:dyDescent="0.25">
      <c r="A4317" s="119"/>
      <c r="B4317" s="138" t="str">
        <f t="shared" si="247"/>
        <v>Aerated Static Pile</v>
      </c>
      <c r="C4317" s="138" t="str">
        <f t="shared" si="248"/>
        <v>Base_With Amendment</v>
      </c>
      <c r="D4317" s="138" t="str">
        <f t="shared" si="249"/>
        <v>Base</v>
      </c>
      <c r="E4317" s="138" t="str">
        <f t="shared" si="249"/>
        <v>Base</v>
      </c>
      <c r="F4317" s="138" t="str">
        <f t="shared" si="250"/>
        <v>Upgraded</v>
      </c>
      <c r="G4317" s="153"/>
      <c r="H4317" s="210">
        <v>5.2699999999999997E-2</v>
      </c>
      <c r="I4317" s="160" t="s">
        <v>147</v>
      </c>
      <c r="J4317" s="160">
        <v>1.9400000000000001E-2</v>
      </c>
      <c r="K4317" s="160" t="s">
        <v>25</v>
      </c>
      <c r="L4317" s="154" t="str">
        <f>IF(OpenLCAbasic!K4317="CTUh", "Fill in Manually",IF(OR(K4317="Unit", K4317=""), "", INDEX(LookUps!$E$5:$E$12, MATCH(OpenLCAbasic!K4317,LookUps!$D$5:$D$12,0))))</f>
        <v>Smog Formation Potential (SFP) - kg O3 eq</v>
      </c>
      <c r="M4317" s="154" t="str">
        <f t="shared" si="251"/>
        <v>Base_Base_Upgraded_Smog Formation Potential (SFP) - kg O3 eq_Influent Pump Station; wastewater treatment unit; at updated plant - US_Base_With Amendment_Aerated Static Pile</v>
      </c>
    </row>
    <row r="4318" spans="1:13" s="120" customFormat="1" x14ac:dyDescent="0.25">
      <c r="A4318" s="119"/>
      <c r="B4318" s="138" t="str">
        <f t="shared" si="247"/>
        <v>Aerated Static Pile</v>
      </c>
      <c r="C4318" s="138" t="str">
        <f t="shared" si="248"/>
        <v>Base_With Amendment</v>
      </c>
      <c r="D4318" s="138" t="str">
        <f t="shared" si="249"/>
        <v>Base</v>
      </c>
      <c r="E4318" s="138" t="str">
        <f t="shared" si="249"/>
        <v>Base</v>
      </c>
      <c r="F4318" s="138" t="str">
        <f t="shared" si="250"/>
        <v>Upgraded</v>
      </c>
      <c r="G4318" s="153"/>
      <c r="H4318" s="210">
        <v>3.2399999999999998E-2</v>
      </c>
      <c r="I4318" s="160" t="s">
        <v>128</v>
      </c>
      <c r="J4318" s="160">
        <v>1.192E-2</v>
      </c>
      <c r="K4318" s="160" t="s">
        <v>25</v>
      </c>
      <c r="L4318" s="154" t="str">
        <f>IF(OpenLCAbasic!K4318="CTUh", "Fill in Manually",IF(OR(K4318="Unit", K4318=""), "", INDEX(LookUps!$E$5:$E$12, MATCH(OpenLCAbasic!K4318,LookUps!$D$5:$D$12,0))))</f>
        <v>Smog Formation Potential (SFP) - kg O3 eq</v>
      </c>
      <c r="M4318" s="154" t="str">
        <f t="shared" si="251"/>
        <v>Base_Base_Upgraded_Smog Formation Potential (SFP) - kg O3 eq_Wastewater collection; operation and infrastructure; m3 wastewater_Base_With Amendment_Aerated Static Pile</v>
      </c>
    </row>
    <row r="4319" spans="1:13" s="120" customFormat="1" x14ac:dyDescent="0.25">
      <c r="A4319" s="119"/>
      <c r="B4319" s="138" t="str">
        <f t="shared" si="247"/>
        <v>Aerated Static Pile</v>
      </c>
      <c r="C4319" s="138" t="str">
        <f t="shared" si="248"/>
        <v>Base_With Amendment</v>
      </c>
      <c r="D4319" s="138" t="str">
        <f t="shared" si="249"/>
        <v>Base</v>
      </c>
      <c r="E4319" s="138" t="str">
        <f t="shared" si="249"/>
        <v>Base</v>
      </c>
      <c r="F4319" s="138" t="str">
        <f t="shared" si="250"/>
        <v>Upgraded</v>
      </c>
      <c r="G4319" s="153"/>
      <c r="H4319" s="210">
        <v>0.02</v>
      </c>
      <c r="I4319" s="160" t="s">
        <v>60</v>
      </c>
      <c r="J4319" s="160">
        <v>7.3499999999999998E-3</v>
      </c>
      <c r="K4319" s="160" t="s">
        <v>25</v>
      </c>
      <c r="L4319" s="154" t="str">
        <f>IF(OpenLCAbasic!K4319="CTUh", "Fill in Manually",IF(OR(K4319="Unit", K4319=""), "", INDEX(LookUps!$E$5:$E$12, MATCH(OpenLCAbasic!K4319,LookUps!$D$5:$D$12,0))))</f>
        <v>Smog Formation Potential (SFP) - kg O3 eq</v>
      </c>
      <c r="M4319" s="154" t="str">
        <f t="shared" si="251"/>
        <v>Base_Base_Upgraded_Smog Formation Potential (SFP) - kg O3 eq_Belt filter press; wastewater treatment unit; at updated plant - US_Base_With Amendment_Aerated Static Pile</v>
      </c>
    </row>
    <row r="4320" spans="1:13" s="120" customFormat="1" x14ac:dyDescent="0.25">
      <c r="A4320" s="119"/>
      <c r="B4320" s="138" t="str">
        <f t="shared" si="247"/>
        <v>Aerated Static Pile</v>
      </c>
      <c r="C4320" s="138" t="str">
        <f t="shared" si="248"/>
        <v>Base_With Amendment</v>
      </c>
      <c r="D4320" s="138" t="str">
        <f t="shared" si="249"/>
        <v>Base</v>
      </c>
      <c r="E4320" s="138" t="str">
        <f t="shared" si="249"/>
        <v>Base</v>
      </c>
      <c r="F4320" s="138" t="str">
        <f t="shared" si="250"/>
        <v>Upgraded</v>
      </c>
      <c r="G4320" s="153"/>
      <c r="H4320" s="210">
        <v>1.8100000000000002E-2</v>
      </c>
      <c r="I4320" s="160" t="s">
        <v>57</v>
      </c>
      <c r="J4320" s="160">
        <v>6.6499999999999997E-3</v>
      </c>
      <c r="K4320" s="160" t="s">
        <v>25</v>
      </c>
      <c r="L4320" s="154" t="str">
        <f>IF(OpenLCAbasic!K4320="CTUh", "Fill in Manually",IF(OR(K4320="Unit", K4320=""), "", INDEX(LookUps!$E$5:$E$12, MATCH(OpenLCAbasic!K4320,LookUps!$D$5:$D$12,0))))</f>
        <v>Smog Formation Potential (SFP) - kg O3 eq</v>
      </c>
      <c r="M4320" s="154" t="str">
        <f t="shared" si="251"/>
        <v>Base_Base_Upgraded_Smog Formation Potential (SFP) - kg O3 eq_Gravity Belt Thickener; wastewater treatment unit; at updated plant - US_Base_With Amendment_Aerated Static Pile</v>
      </c>
    </row>
    <row r="4321" spans="1:13" s="120" customFormat="1" x14ac:dyDescent="0.25">
      <c r="A4321" s="119"/>
      <c r="B4321" s="138" t="str">
        <f t="shared" si="247"/>
        <v>Aerated Static Pile</v>
      </c>
      <c r="C4321" s="138" t="str">
        <f t="shared" si="248"/>
        <v>Base_With Amendment</v>
      </c>
      <c r="D4321" s="138" t="str">
        <f t="shared" si="249"/>
        <v>Base</v>
      </c>
      <c r="E4321" s="138" t="str">
        <f t="shared" si="249"/>
        <v>Base</v>
      </c>
      <c r="F4321" s="138" t="str">
        <f t="shared" si="250"/>
        <v>Upgraded</v>
      </c>
      <c r="G4321" s="153"/>
      <c r="H4321" s="210">
        <v>1.35E-2</v>
      </c>
      <c r="I4321" s="160" t="s">
        <v>59</v>
      </c>
      <c r="J4321" s="160">
        <v>4.9699999999999996E-3</v>
      </c>
      <c r="K4321" s="160" t="s">
        <v>25</v>
      </c>
      <c r="L4321" s="154" t="str">
        <f>IF(OpenLCAbasic!K4321="CTUh", "Fill in Manually",IF(OR(K4321="Unit", K4321=""), "", INDEX(LookUps!$E$5:$E$12, MATCH(OpenLCAbasic!K4321,LookUps!$D$5:$D$12,0))))</f>
        <v>Smog Formation Potential (SFP) - kg O3 eq</v>
      </c>
      <c r="M4321" s="154" t="str">
        <f t="shared" si="251"/>
        <v>Base_Base_Upgraded_Smog Formation Potential (SFP) - kg O3 eq_Blend Tank; wastewater treatment unit; at updated plant - US_Base_With Amendment_Aerated Static Pile</v>
      </c>
    </row>
    <row r="4322" spans="1:13" s="120" customFormat="1" x14ac:dyDescent="0.25">
      <c r="A4322" s="119"/>
      <c r="B4322" s="138" t="str">
        <f t="shared" si="247"/>
        <v>Aerated Static Pile</v>
      </c>
      <c r="C4322" s="138" t="str">
        <f t="shared" si="248"/>
        <v>Base_With Amendment</v>
      </c>
      <c r="D4322" s="138" t="str">
        <f t="shared" si="249"/>
        <v>Base</v>
      </c>
      <c r="E4322" s="138" t="str">
        <f t="shared" si="249"/>
        <v>Base</v>
      </c>
      <c r="F4322" s="138" t="str">
        <f t="shared" si="250"/>
        <v>Upgraded</v>
      </c>
      <c r="G4322" s="153"/>
      <c r="H4322" s="210">
        <v>9.1999999999999998E-3</v>
      </c>
      <c r="I4322" s="160" t="s">
        <v>48</v>
      </c>
      <c r="J4322" s="160">
        <v>3.3899999999999998E-3</v>
      </c>
      <c r="K4322" s="160" t="s">
        <v>25</v>
      </c>
      <c r="L4322" s="154" t="str">
        <f>IF(OpenLCAbasic!K4322="CTUh", "Fill in Manually",IF(OR(K4322="Unit", K4322=""), "", INDEX(LookUps!$E$5:$E$12, MATCH(OpenLCAbasic!K4322,LookUps!$D$5:$D$12,0))))</f>
        <v>Smog Formation Potential (SFP) - kg O3 eq</v>
      </c>
      <c r="M4322" s="154" t="str">
        <f t="shared" si="251"/>
        <v>Base_Base_Upgraded_Smog Formation Potential (SFP) - kg O3 eq_Effluent release; wastewater treatment unit; at surface water; m3 wastewater - US_Base_With Amendment_Aerated Static Pile</v>
      </c>
    </row>
    <row r="4323" spans="1:13" s="120" customFormat="1" x14ac:dyDescent="0.25">
      <c r="A4323" s="119"/>
      <c r="B4323" s="138" t="str">
        <f t="shared" si="247"/>
        <v>Aerated Static Pile</v>
      </c>
      <c r="C4323" s="138" t="str">
        <f t="shared" si="248"/>
        <v>Base_With Amendment</v>
      </c>
      <c r="D4323" s="138" t="str">
        <f t="shared" si="249"/>
        <v>Base</v>
      </c>
      <c r="E4323" s="138" t="str">
        <f t="shared" si="249"/>
        <v>Base</v>
      </c>
      <c r="F4323" s="138" t="str">
        <f t="shared" si="250"/>
        <v>Upgraded</v>
      </c>
      <c r="G4323" s="153"/>
      <c r="H4323" s="210">
        <v>6.7000000000000002E-3</v>
      </c>
      <c r="I4323" s="160" t="s">
        <v>168</v>
      </c>
      <c r="J4323" s="160">
        <v>2.4599999999999999E-3</v>
      </c>
      <c r="K4323" s="160" t="s">
        <v>25</v>
      </c>
      <c r="L4323" s="154" t="str">
        <f>IF(OpenLCAbasic!K4323="CTUh", "Fill in Manually",IF(OR(K4323="Unit", K4323=""), "", INDEX(LookUps!$E$5:$E$12, MATCH(OpenLCAbasic!K4323,LookUps!$D$5:$D$12,0))))</f>
        <v>Smog Formation Potential (SFP) - kg O3 eq</v>
      </c>
      <c r="M4323" s="154" t="str">
        <f t="shared" si="251"/>
        <v>Base_Base_Upgraded_Smog Formation Potential (SFP) - kg O3 eq_ClearCove SCP; wastewater treatment unit; at updated plant - US_Base_With Amendment_Aerated Static Pile</v>
      </c>
    </row>
    <row r="4324" spans="1:13" s="120" customFormat="1" x14ac:dyDescent="0.25">
      <c r="A4324" s="119"/>
      <c r="B4324" s="138" t="str">
        <f t="shared" si="247"/>
        <v>Aerated Static Pile</v>
      </c>
      <c r="C4324" s="138" t="str">
        <f t="shared" si="248"/>
        <v>Base_With Amendment</v>
      </c>
      <c r="D4324" s="138" t="str">
        <f t="shared" si="249"/>
        <v>Base</v>
      </c>
      <c r="E4324" s="138" t="str">
        <f t="shared" si="249"/>
        <v>Base</v>
      </c>
      <c r="F4324" s="138" t="str">
        <f t="shared" si="250"/>
        <v>Upgraded</v>
      </c>
      <c r="G4324" s="153"/>
      <c r="H4324" s="210">
        <v>1.5E-3</v>
      </c>
      <c r="I4324" s="160" t="s">
        <v>148</v>
      </c>
      <c r="J4324" s="160">
        <v>5.4000000000000001E-4</v>
      </c>
      <c r="K4324" s="160" t="s">
        <v>25</v>
      </c>
      <c r="L4324" s="154" t="str">
        <f>IF(OpenLCAbasic!K4324="CTUh", "Fill in Manually",IF(OR(K4324="Unit", K4324=""), "", INDEX(LookUps!$E$5:$E$12, MATCH(OpenLCAbasic!K4324,LookUps!$D$5:$D$12,0))))</f>
        <v>Smog Formation Potential (SFP) - kg O3 eq</v>
      </c>
      <c r="M4324" s="154" t="str">
        <f t="shared" si="251"/>
        <v>Base_Base_Upgraded_Smog Formation Potential (SFP) - kg O3 eq_Control Building; at upgraded wastewater treatment plant - US_Base_With Amendment_Aerated Static Pile</v>
      </c>
    </row>
    <row r="4325" spans="1:13" s="120" customFormat="1" x14ac:dyDescent="0.25">
      <c r="A4325" s="119"/>
      <c r="B4325" s="138" t="str">
        <f t="shared" si="247"/>
        <v>Aerated Static Pile</v>
      </c>
      <c r="C4325" s="138" t="str">
        <f t="shared" si="248"/>
        <v>Base_With Amendment</v>
      </c>
      <c r="D4325" s="138" t="str">
        <f t="shared" si="249"/>
        <v>Base</v>
      </c>
      <c r="E4325" s="138" t="str">
        <f t="shared" si="249"/>
        <v>Base</v>
      </c>
      <c r="F4325" s="138" t="str">
        <f t="shared" si="250"/>
        <v>Upgraded</v>
      </c>
      <c r="G4325" s="153"/>
      <c r="H4325" s="210">
        <v>-7.6E-3</v>
      </c>
      <c r="I4325" s="160" t="s">
        <v>62</v>
      </c>
      <c r="J4325" s="160">
        <v>-2.7799999999999999E-3</v>
      </c>
      <c r="K4325" s="160" t="s">
        <v>25</v>
      </c>
      <c r="L4325" s="154" t="str">
        <f>IF(OpenLCAbasic!K4325="CTUh", "Fill in Manually",IF(OR(K4325="Unit", K4325=""), "", INDEX(LookUps!$E$5:$E$12, MATCH(OpenLCAbasic!K4325,LookUps!$D$5:$D$12,0))))</f>
        <v>Smog Formation Potential (SFP) - kg O3 eq</v>
      </c>
      <c r="M4325" s="154" t="str">
        <f t="shared" si="251"/>
        <v>Base_Base_Upgraded_Smog Formation Potential (SFP) - kg O3 eq_Land application of compost; wastewater treatment unit; at updated plant - US_Base_With Amendment_Aerated Static Pile</v>
      </c>
    </row>
    <row r="4326" spans="1:13" s="120" customFormat="1" x14ac:dyDescent="0.25">
      <c r="A4326" s="119"/>
      <c r="B4326" s="138" t="str">
        <f t="shared" si="247"/>
        <v>Aerated Static Pile</v>
      </c>
      <c r="C4326" s="138" t="str">
        <f t="shared" si="248"/>
        <v>Base_With Amendment</v>
      </c>
      <c r="D4326" s="138" t="str">
        <f t="shared" si="249"/>
        <v>Base</v>
      </c>
      <c r="E4326" s="138" t="str">
        <f t="shared" si="249"/>
        <v>Base</v>
      </c>
      <c r="F4326" s="138" t="str">
        <f t="shared" si="250"/>
        <v>Upgraded</v>
      </c>
      <c r="G4326" s="153"/>
      <c r="H4326" s="210">
        <v>-0.16819999999999999</v>
      </c>
      <c r="I4326" s="160" t="s">
        <v>149</v>
      </c>
      <c r="J4326" s="160">
        <v>-6.1940000000000002E-2</v>
      </c>
      <c r="K4326" s="160" t="s">
        <v>25</v>
      </c>
      <c r="L4326" s="154" t="str">
        <f>IF(OpenLCAbasic!K4326="CTUh", "Fill in Manually",IF(OR(K4326="Unit", K4326=""), "", INDEX(LookUps!$E$5:$E$12, MATCH(OpenLCAbasic!K4326,LookUps!$D$5:$D$12,0))))</f>
        <v>Smog Formation Potential (SFP) - kg O3 eq</v>
      </c>
      <c r="M4326" s="154" t="str">
        <f t="shared" si="251"/>
        <v>Base_Base_Upgraded_Smog Formation Potential (SFP) - kg O3 eq_Anaerobic Digestion; wastewater treatment unit; at updated plant - US_Base_With Amendment_Aerated Static Pile</v>
      </c>
    </row>
    <row r="4327" spans="1:13" s="120" customFormat="1" x14ac:dyDescent="0.25">
      <c r="A4327" s="119"/>
      <c r="B4327" s="138" t="str">
        <f t="shared" si="247"/>
        <v/>
      </c>
      <c r="C4327" s="138" t="str">
        <f t="shared" si="248"/>
        <v/>
      </c>
      <c r="D4327" s="138" t="str">
        <f t="shared" si="249"/>
        <v/>
      </c>
      <c r="E4327" s="138" t="str">
        <f t="shared" si="249"/>
        <v/>
      </c>
      <c r="F4327" s="138" t="str">
        <f t="shared" si="250"/>
        <v/>
      </c>
      <c r="G4327" s="153" t="s">
        <v>51</v>
      </c>
      <c r="H4327" s="160"/>
      <c r="I4327" s="160" t="s">
        <v>47</v>
      </c>
      <c r="J4327" s="160" t="s">
        <v>52</v>
      </c>
      <c r="K4327" s="160" t="s">
        <v>27</v>
      </c>
      <c r="L4327" s="154" t="str">
        <f>IF(OpenLCAbasic!K4327="CTUh", "Fill in Manually",IF(OR(K4327="Unit", K4327=""), "", INDEX(LookUps!$E$5:$E$12, MATCH(OpenLCAbasic!K4327,LookUps!$D$5:$D$12,0))))</f>
        <v/>
      </c>
      <c r="M4327" s="154" t="str">
        <f t="shared" si="251"/>
        <v>____Process__</v>
      </c>
    </row>
    <row r="4328" spans="1:13" s="120" customFormat="1" x14ac:dyDescent="0.25">
      <c r="A4328" s="119"/>
      <c r="B4328" s="138" t="str">
        <f t="shared" si="247"/>
        <v>Aerated Static Pile</v>
      </c>
      <c r="C4328" s="138" t="str">
        <f t="shared" si="248"/>
        <v>Base_With Amendment</v>
      </c>
      <c r="D4328" s="138" t="str">
        <f t="shared" si="249"/>
        <v>Base</v>
      </c>
      <c r="E4328" s="138" t="str">
        <f t="shared" si="249"/>
        <v>Base</v>
      </c>
      <c r="F4328" s="138" t="str">
        <f t="shared" si="250"/>
        <v>Upgraded</v>
      </c>
      <c r="G4328" s="153"/>
      <c r="H4328" s="210">
        <v>12.277799999999999</v>
      </c>
      <c r="I4328" s="160" t="s">
        <v>167</v>
      </c>
      <c r="J4328" s="160">
        <v>2.3000000000000001E-4</v>
      </c>
      <c r="K4328" s="160" t="s">
        <v>26</v>
      </c>
      <c r="L4328" s="154" t="str">
        <f>IF(OpenLCAbasic!K4328="CTUh", "Fill in Manually",IF(OR(K4328="Unit", K4328=""), "", INDEX(LookUps!$E$5:$E$12, MATCH(OpenLCAbasic!K4328,LookUps!$D$5:$D$12,0))))</f>
        <v>Water Use (WU) - m3 H2O</v>
      </c>
      <c r="M4328" s="154" t="str">
        <f t="shared" si="251"/>
        <v>Base_Base_Upgraded_Water Use (WU) - m3 H2O_Waste Receiving and Holding; wastewater treatment unit; at updated plant - US_Base_With Amendment_Aerated Static Pile</v>
      </c>
    </row>
    <row r="4329" spans="1:13" s="120" customFormat="1" x14ac:dyDescent="0.25">
      <c r="A4329" s="119"/>
      <c r="B4329" s="138" t="str">
        <f t="shared" si="247"/>
        <v>Aerated Static Pile</v>
      </c>
      <c r="C4329" s="138" t="str">
        <f t="shared" si="248"/>
        <v>Base_With Amendment</v>
      </c>
      <c r="D4329" s="138" t="str">
        <f t="shared" si="249"/>
        <v>Base</v>
      </c>
      <c r="E4329" s="138" t="str">
        <f t="shared" si="249"/>
        <v>Base</v>
      </c>
      <c r="F4329" s="138" t="str">
        <f t="shared" si="250"/>
        <v>Upgraded</v>
      </c>
      <c r="G4329" s="153"/>
      <c r="H4329" s="210">
        <v>9.7150999999999996</v>
      </c>
      <c r="I4329" s="160" t="s">
        <v>147</v>
      </c>
      <c r="J4329" s="160">
        <v>1.8000000000000001E-4</v>
      </c>
      <c r="K4329" s="160" t="s">
        <v>26</v>
      </c>
      <c r="L4329" s="154" t="str">
        <f>IF(OpenLCAbasic!K4329="CTUh", "Fill in Manually",IF(OR(K4329="Unit", K4329=""), "", INDEX(LookUps!$E$5:$E$12, MATCH(OpenLCAbasic!K4329,LookUps!$D$5:$D$12,0))))</f>
        <v>Water Use (WU) - m3 H2O</v>
      </c>
      <c r="M4329" s="154" t="str">
        <f t="shared" si="251"/>
        <v>Base_Base_Upgraded_Water Use (WU) - m3 H2O_Influent Pump Station; wastewater treatment unit; at updated plant - US_Base_With Amendment_Aerated Static Pile</v>
      </c>
    </row>
    <row r="4330" spans="1:13" s="120" customFormat="1" x14ac:dyDescent="0.25">
      <c r="A4330" s="119"/>
      <c r="B4330" s="138" t="str">
        <f t="shared" si="247"/>
        <v>Aerated Static Pile</v>
      </c>
      <c r="C4330" s="138" t="str">
        <f t="shared" si="248"/>
        <v>Base_With Amendment</v>
      </c>
      <c r="D4330" s="138" t="str">
        <f t="shared" si="249"/>
        <v>Base</v>
      </c>
      <c r="E4330" s="138" t="str">
        <f t="shared" si="249"/>
        <v>Base</v>
      </c>
      <c r="F4330" s="138" t="str">
        <f t="shared" si="250"/>
        <v>Upgraded</v>
      </c>
      <c r="G4330" s="153"/>
      <c r="H4330" s="210">
        <v>9.4792000000000005</v>
      </c>
      <c r="I4330" s="160" t="s">
        <v>54</v>
      </c>
      <c r="J4330" s="160">
        <v>1.8000000000000001E-4</v>
      </c>
      <c r="K4330" s="160" t="s">
        <v>26</v>
      </c>
      <c r="L4330" s="154" t="str">
        <f>IF(OpenLCAbasic!K4330="CTUh", "Fill in Manually",IF(OR(K4330="Unit", K4330=""), "", INDEX(LookUps!$E$5:$E$12, MATCH(OpenLCAbasic!K4330,LookUps!$D$5:$D$12,0))))</f>
        <v>Water Use (WU) - m3 H2O</v>
      </c>
      <c r="M4330" s="154" t="str">
        <f t="shared" si="251"/>
        <v>Base_Base_Upgraded_Water Use (WU) - m3 H2O_Clear Cove Primary Clarification; wastewater treatment unit; at updated plant - US_Base_With Amendment_Aerated Static Pile</v>
      </c>
    </row>
    <row r="4331" spans="1:13" s="120" customFormat="1" x14ac:dyDescent="0.25">
      <c r="A4331" s="119"/>
      <c r="B4331" s="138" t="str">
        <f t="shared" si="247"/>
        <v>Aerated Static Pile</v>
      </c>
      <c r="C4331" s="138" t="str">
        <f t="shared" si="248"/>
        <v>Base_With Amendment</v>
      </c>
      <c r="D4331" s="138" t="str">
        <f t="shared" si="249"/>
        <v>Base</v>
      </c>
      <c r="E4331" s="138" t="str">
        <f t="shared" si="249"/>
        <v>Base</v>
      </c>
      <c r="F4331" s="138" t="str">
        <f t="shared" si="250"/>
        <v>Upgraded</v>
      </c>
      <c r="G4331" s="153"/>
      <c r="H4331" s="210">
        <v>8.5991999999999997</v>
      </c>
      <c r="I4331" s="160" t="s">
        <v>55</v>
      </c>
      <c r="J4331" s="160">
        <v>1.6000000000000001E-4</v>
      </c>
      <c r="K4331" s="160" t="s">
        <v>26</v>
      </c>
      <c r="L4331" s="154" t="str">
        <f>IF(OpenLCAbasic!K4331="CTUh", "Fill in Manually",IF(OR(K4331="Unit", K4331=""), "", INDEX(LookUps!$E$5:$E$12, MATCH(OpenLCAbasic!K4331,LookUps!$D$5:$D$12,0))))</f>
        <v>Water Use (WU) - m3 H2O</v>
      </c>
      <c r="M4331" s="154" t="str">
        <f t="shared" si="251"/>
        <v>Base_Base_Upgraded_Water Use (WU) - m3 H2O_Aeration Tanks; wastewater treatment unit; at updated plant - US_Base_With Amendment_Aerated Static Pile</v>
      </c>
    </row>
    <row r="4332" spans="1:13" s="120" customFormat="1" x14ac:dyDescent="0.25">
      <c r="A4332" s="119"/>
      <c r="B4332" s="138" t="str">
        <f t="shared" si="247"/>
        <v>Aerated Static Pile</v>
      </c>
      <c r="C4332" s="138" t="str">
        <f t="shared" si="248"/>
        <v>Base_With Amendment</v>
      </c>
      <c r="D4332" s="138" t="str">
        <f t="shared" si="249"/>
        <v>Base</v>
      </c>
      <c r="E4332" s="138" t="str">
        <f t="shared" si="249"/>
        <v>Base</v>
      </c>
      <c r="F4332" s="138" t="str">
        <f t="shared" si="250"/>
        <v>Upgraded</v>
      </c>
      <c r="G4332" s="153"/>
      <c r="H4332" s="210">
        <v>7.8331999999999997</v>
      </c>
      <c r="I4332" s="160" t="s">
        <v>148</v>
      </c>
      <c r="J4332" s="160">
        <v>1.4999999999999999E-4</v>
      </c>
      <c r="K4332" s="160" t="s">
        <v>26</v>
      </c>
      <c r="L4332" s="154" t="str">
        <f>IF(OpenLCAbasic!K4332="CTUh", "Fill in Manually",IF(OR(K4332="Unit", K4332=""), "", INDEX(LookUps!$E$5:$E$12, MATCH(OpenLCAbasic!K4332,LookUps!$D$5:$D$12,0))))</f>
        <v>Water Use (WU) - m3 H2O</v>
      </c>
      <c r="M4332" s="154" t="str">
        <f t="shared" si="251"/>
        <v>Base_Base_Upgraded_Water Use (WU) - m3 H2O_Control Building; at upgraded wastewater treatment plant - US_Base_With Amendment_Aerated Static Pile</v>
      </c>
    </row>
    <row r="4333" spans="1:13" s="120" customFormat="1" x14ac:dyDescent="0.25">
      <c r="A4333" s="119"/>
      <c r="B4333" s="138" t="str">
        <f t="shared" si="247"/>
        <v>Aerated Static Pile</v>
      </c>
      <c r="C4333" s="138" t="str">
        <f t="shared" si="248"/>
        <v>Base_With Amendment</v>
      </c>
      <c r="D4333" s="138" t="str">
        <f t="shared" si="249"/>
        <v>Base</v>
      </c>
      <c r="E4333" s="138" t="str">
        <f t="shared" si="249"/>
        <v>Base</v>
      </c>
      <c r="F4333" s="138" t="str">
        <f t="shared" si="250"/>
        <v>Upgraded</v>
      </c>
      <c r="G4333" s="153"/>
      <c r="H4333" s="210">
        <v>3.6375999999999999</v>
      </c>
      <c r="I4333" s="160" t="s">
        <v>48</v>
      </c>
      <c r="J4333" s="211">
        <v>6.8836400000000004E-5</v>
      </c>
      <c r="K4333" s="160" t="s">
        <v>26</v>
      </c>
      <c r="L4333" s="154" t="str">
        <f>IF(OpenLCAbasic!K4333="CTUh", "Fill in Manually",IF(OR(K4333="Unit", K4333=""), "", INDEX(LookUps!$E$5:$E$12, MATCH(OpenLCAbasic!K4333,LookUps!$D$5:$D$12,0))))</f>
        <v>Water Use (WU) - m3 H2O</v>
      </c>
      <c r="M4333" s="154" t="str">
        <f t="shared" si="251"/>
        <v>Base_Base_Upgraded_Water Use (WU) - m3 H2O_Effluent release; wastewater treatment unit; at surface water; m3 wastewater - US_Base_With Amendment_Aerated Static Pile</v>
      </c>
    </row>
    <row r="4334" spans="1:13" s="120" customFormat="1" x14ac:dyDescent="0.25">
      <c r="A4334" s="119"/>
      <c r="B4334" s="138" t="str">
        <f t="shared" si="247"/>
        <v>Aerated Static Pile</v>
      </c>
      <c r="C4334" s="138" t="str">
        <f t="shared" si="248"/>
        <v>Base_With Amendment</v>
      </c>
      <c r="D4334" s="138" t="str">
        <f t="shared" si="249"/>
        <v>Base</v>
      </c>
      <c r="E4334" s="138" t="str">
        <f t="shared" si="249"/>
        <v>Base</v>
      </c>
      <c r="F4334" s="138" t="str">
        <f t="shared" si="250"/>
        <v>Upgraded</v>
      </c>
      <c r="G4334" s="153"/>
      <c r="H4334" s="210">
        <v>2.2824</v>
      </c>
      <c r="I4334" s="160" t="s">
        <v>58</v>
      </c>
      <c r="J4334" s="211">
        <v>4.3192100000000003E-5</v>
      </c>
      <c r="K4334" s="160" t="s">
        <v>26</v>
      </c>
      <c r="L4334" s="154" t="str">
        <f>IF(OpenLCAbasic!K4334="CTUh", "Fill in Manually",IF(OR(K4334="Unit", K4334=""), "", INDEX(LookUps!$E$5:$E$12, MATCH(OpenLCAbasic!K4334,LookUps!$D$5:$D$12,0))))</f>
        <v>Water Use (WU) - m3 H2O</v>
      </c>
      <c r="M4334" s="154" t="str">
        <f t="shared" si="251"/>
        <v>Base_Base_Upgraded_Water Use (WU) - m3 H2O_Pre-Anoxic &amp; Swing tank; wastewater treatment unit; at updated plant - US_Base_With Amendment_Aerated Static Pile</v>
      </c>
    </row>
    <row r="4335" spans="1:13" s="120" customFormat="1" x14ac:dyDescent="0.25">
      <c r="A4335" s="119"/>
      <c r="B4335" s="138" t="str">
        <f t="shared" si="247"/>
        <v>Aerated Static Pile</v>
      </c>
      <c r="C4335" s="138" t="str">
        <f t="shared" si="248"/>
        <v>Base_With Amendment</v>
      </c>
      <c r="D4335" s="138" t="str">
        <f t="shared" si="249"/>
        <v>Base</v>
      </c>
      <c r="E4335" s="138" t="str">
        <f t="shared" si="249"/>
        <v>Base</v>
      </c>
      <c r="F4335" s="138" t="str">
        <f t="shared" si="250"/>
        <v>Upgraded</v>
      </c>
      <c r="G4335" s="153"/>
      <c r="H4335" s="210">
        <v>1.6069</v>
      </c>
      <c r="I4335" s="160" t="s">
        <v>57</v>
      </c>
      <c r="J4335" s="211">
        <v>3.0408100000000001E-5</v>
      </c>
      <c r="K4335" s="160" t="s">
        <v>26</v>
      </c>
      <c r="L4335" s="154" t="str">
        <f>IF(OpenLCAbasic!K4335="CTUh", "Fill in Manually",IF(OR(K4335="Unit", K4335=""), "", INDEX(LookUps!$E$5:$E$12, MATCH(OpenLCAbasic!K4335,LookUps!$D$5:$D$12,0))))</f>
        <v>Water Use (WU) - m3 H2O</v>
      </c>
      <c r="M4335" s="154" t="str">
        <f t="shared" si="251"/>
        <v>Base_Base_Upgraded_Water Use (WU) - m3 H2O_Gravity Belt Thickener; wastewater treatment unit; at updated plant - US_Base_With Amendment_Aerated Static Pile</v>
      </c>
    </row>
    <row r="4336" spans="1:13" s="120" customFormat="1" x14ac:dyDescent="0.25">
      <c r="A4336" s="119"/>
      <c r="B4336" s="138" t="str">
        <f t="shared" si="247"/>
        <v>Aerated Static Pile</v>
      </c>
      <c r="C4336" s="138" t="str">
        <f t="shared" si="248"/>
        <v>Base_With Amendment</v>
      </c>
      <c r="D4336" s="138" t="str">
        <f t="shared" si="249"/>
        <v>Base</v>
      </c>
      <c r="E4336" s="138" t="str">
        <f t="shared" si="249"/>
        <v>Base</v>
      </c>
      <c r="F4336" s="138" t="str">
        <f t="shared" si="250"/>
        <v>Upgraded</v>
      </c>
      <c r="G4336" s="153"/>
      <c r="H4336" s="210">
        <v>1.1594</v>
      </c>
      <c r="I4336" s="160" t="s">
        <v>60</v>
      </c>
      <c r="J4336" s="211">
        <v>2.1941099999999999E-5</v>
      </c>
      <c r="K4336" s="160" t="s">
        <v>26</v>
      </c>
      <c r="L4336" s="154" t="str">
        <f>IF(OpenLCAbasic!K4336="CTUh", "Fill in Manually",IF(OR(K4336="Unit", K4336=""), "", INDEX(LookUps!$E$5:$E$12, MATCH(OpenLCAbasic!K4336,LookUps!$D$5:$D$12,0))))</f>
        <v>Water Use (WU) - m3 H2O</v>
      </c>
      <c r="M4336" s="154" t="str">
        <f t="shared" si="251"/>
        <v>Base_Base_Upgraded_Water Use (WU) - m3 H2O_Belt filter press; wastewater treatment unit; at updated plant - US_Base_With Amendment_Aerated Static Pile</v>
      </c>
    </row>
    <row r="4337" spans="1:13" s="120" customFormat="1" x14ac:dyDescent="0.25">
      <c r="A4337" s="119"/>
      <c r="B4337" s="138" t="str">
        <f t="shared" ref="B4337:B4400" si="252">IF(F4337="Legacy","n.a.",IF(F4337="","","Aerated Static Pile"))</f>
        <v>Aerated Static Pile</v>
      </c>
      <c r="C4337" s="138" t="str">
        <f t="shared" ref="C4337:C4400" si="253">IF(ISNUMBER($J4337),"Base_With Amendment","")</f>
        <v>Base_With Amendment</v>
      </c>
      <c r="D4337" s="138" t="str">
        <f t="shared" ref="D4337:E4400" si="254">IF(ISNUMBER($J4337),"Base","")</f>
        <v>Base</v>
      </c>
      <c r="E4337" s="138" t="str">
        <f t="shared" si="254"/>
        <v>Base</v>
      </c>
      <c r="F4337" s="138" t="str">
        <f t="shared" ref="F4337:F4400" si="255">IF(ISNUMBER(J4337),"Upgraded","")</f>
        <v>Upgraded</v>
      </c>
      <c r="G4337" s="153"/>
      <c r="H4337" s="210">
        <v>1.0344</v>
      </c>
      <c r="I4337" s="160" t="s">
        <v>435</v>
      </c>
      <c r="J4337" s="211">
        <v>1.95743E-5</v>
      </c>
      <c r="K4337" s="160" t="s">
        <v>26</v>
      </c>
      <c r="L4337" s="154" t="str">
        <f>IF(OpenLCAbasic!K4337="CTUh", "Fill in Manually",IF(OR(K4337="Unit", K4337=""), "", INDEX(LookUps!$E$5:$E$12, MATCH(OpenLCAbasic!K4337,LookUps!$D$5:$D$12,0))))</f>
        <v>Water Use (WU) - m3 H2O</v>
      </c>
      <c r="M4337" s="154" t="str">
        <f t="shared" si="251"/>
        <v>Base_Base_Upgraded_Water Use (WU) - m3 H2O_Biosolids composting; aerated static pile; wastewater treatment unit; at updated plant - US_Base_With Amendment_Aerated Static Pile</v>
      </c>
    </row>
    <row r="4338" spans="1:13" s="120" customFormat="1" x14ac:dyDescent="0.25">
      <c r="A4338" s="119"/>
      <c r="B4338" s="138" t="str">
        <f t="shared" si="252"/>
        <v>Aerated Static Pile</v>
      </c>
      <c r="C4338" s="138" t="str">
        <f t="shared" si="253"/>
        <v>Base_With Amendment</v>
      </c>
      <c r="D4338" s="138" t="str">
        <f t="shared" si="254"/>
        <v>Base</v>
      </c>
      <c r="E4338" s="138" t="str">
        <f t="shared" si="254"/>
        <v>Base</v>
      </c>
      <c r="F4338" s="138" t="str">
        <f t="shared" si="255"/>
        <v>Upgraded</v>
      </c>
      <c r="G4338" s="153"/>
      <c r="H4338" s="210">
        <v>0.92510000000000003</v>
      </c>
      <c r="I4338" s="160" t="s">
        <v>53</v>
      </c>
      <c r="J4338" s="211">
        <v>1.75069E-5</v>
      </c>
      <c r="K4338" s="160" t="s">
        <v>26</v>
      </c>
      <c r="L4338" s="154" t="str">
        <f>IF(OpenLCAbasic!K4338="CTUh", "Fill in Manually",IF(OR(K4338="Unit", K4338=""), "", INDEX(LookUps!$E$5:$E$12, MATCH(OpenLCAbasic!K4338,LookUps!$D$5:$D$12,0))))</f>
        <v>Water Use (WU) - m3 H2O</v>
      </c>
      <c r="M4338" s="154" t="str">
        <f t="shared" si="251"/>
        <v>Base_Base_Upgraded_Water Use (WU) - m3 H2O_Wet Well and Sump Station; wastewater treatment unit; at updated plant - US_Base_With Amendment_Aerated Static Pile</v>
      </c>
    </row>
    <row r="4339" spans="1:13" s="120" customFormat="1" x14ac:dyDescent="0.25">
      <c r="A4339" s="119"/>
      <c r="B4339" s="138" t="str">
        <f t="shared" si="252"/>
        <v>Aerated Static Pile</v>
      </c>
      <c r="C4339" s="138" t="str">
        <f t="shared" si="253"/>
        <v>Base_With Amendment</v>
      </c>
      <c r="D4339" s="138" t="str">
        <f t="shared" si="254"/>
        <v>Base</v>
      </c>
      <c r="E4339" s="138" t="str">
        <f t="shared" si="254"/>
        <v>Base</v>
      </c>
      <c r="F4339" s="138" t="str">
        <f t="shared" si="255"/>
        <v>Upgraded</v>
      </c>
      <c r="G4339" s="153"/>
      <c r="H4339" s="210">
        <v>0.63959999999999995</v>
      </c>
      <c r="I4339" s="160" t="s">
        <v>149</v>
      </c>
      <c r="J4339" s="211">
        <v>1.21043E-5</v>
      </c>
      <c r="K4339" s="160" t="s">
        <v>26</v>
      </c>
      <c r="L4339" s="154" t="str">
        <f>IF(OpenLCAbasic!K4339="CTUh", "Fill in Manually",IF(OR(K4339="Unit", K4339=""), "", INDEX(LookUps!$E$5:$E$12, MATCH(OpenLCAbasic!K4339,LookUps!$D$5:$D$12,0))))</f>
        <v>Water Use (WU) - m3 H2O</v>
      </c>
      <c r="M4339" s="154" t="str">
        <f t="shared" si="251"/>
        <v>Base_Base_Upgraded_Water Use (WU) - m3 H2O_Anaerobic Digestion; wastewater treatment unit; at updated plant - US_Base_With Amendment_Aerated Static Pile</v>
      </c>
    </row>
    <row r="4340" spans="1:13" s="120" customFormat="1" x14ac:dyDescent="0.25">
      <c r="A4340" s="119"/>
      <c r="B4340" s="138" t="str">
        <f t="shared" si="252"/>
        <v>Aerated Static Pile</v>
      </c>
      <c r="C4340" s="138" t="str">
        <f t="shared" si="253"/>
        <v>Base_With Amendment</v>
      </c>
      <c r="D4340" s="138" t="str">
        <f t="shared" si="254"/>
        <v>Base</v>
      </c>
      <c r="E4340" s="138" t="str">
        <f t="shared" si="254"/>
        <v>Base</v>
      </c>
      <c r="F4340" s="138" t="str">
        <f t="shared" si="255"/>
        <v>Upgraded</v>
      </c>
      <c r="G4340" s="153"/>
      <c r="H4340" s="210">
        <v>0.37090000000000001</v>
      </c>
      <c r="I4340" s="160" t="s">
        <v>59</v>
      </c>
      <c r="J4340" s="211">
        <v>7.0179500000000003E-6</v>
      </c>
      <c r="K4340" s="160" t="s">
        <v>26</v>
      </c>
      <c r="L4340" s="154" t="str">
        <f>IF(OpenLCAbasic!K4340="CTUh", "Fill in Manually",IF(OR(K4340="Unit", K4340=""), "", INDEX(LookUps!$E$5:$E$12, MATCH(OpenLCAbasic!K4340,LookUps!$D$5:$D$12,0))))</f>
        <v>Water Use (WU) - m3 H2O</v>
      </c>
      <c r="M4340" s="154" t="str">
        <f t="shared" si="251"/>
        <v>Base_Base_Upgraded_Water Use (WU) - m3 H2O_Blend Tank; wastewater treatment unit; at updated plant - US_Base_With Amendment_Aerated Static Pile</v>
      </c>
    </row>
    <row r="4341" spans="1:13" s="120" customFormat="1" x14ac:dyDescent="0.25">
      <c r="A4341" s="119"/>
      <c r="B4341" s="138" t="str">
        <f t="shared" si="252"/>
        <v>Aerated Static Pile</v>
      </c>
      <c r="C4341" s="138" t="str">
        <f t="shared" si="253"/>
        <v>Base_With Amendment</v>
      </c>
      <c r="D4341" s="138" t="str">
        <f t="shared" si="254"/>
        <v>Base</v>
      </c>
      <c r="E4341" s="138" t="str">
        <f t="shared" si="254"/>
        <v>Base</v>
      </c>
      <c r="F4341" s="138" t="str">
        <f t="shared" si="255"/>
        <v>Upgraded</v>
      </c>
      <c r="G4341" s="153"/>
      <c r="H4341" s="210">
        <v>0.26740000000000003</v>
      </c>
      <c r="I4341" s="160" t="s">
        <v>128</v>
      </c>
      <c r="J4341" s="211">
        <v>5.0608900000000003E-6</v>
      </c>
      <c r="K4341" s="160" t="s">
        <v>26</v>
      </c>
      <c r="L4341" s="154" t="str">
        <f>IF(OpenLCAbasic!K4341="CTUh", "Fill in Manually",IF(OR(K4341="Unit", K4341=""), "", INDEX(LookUps!$E$5:$E$12, MATCH(OpenLCAbasic!K4341,LookUps!$D$5:$D$12,0))))</f>
        <v>Water Use (WU) - m3 H2O</v>
      </c>
      <c r="M4341" s="154" t="str">
        <f t="shared" si="251"/>
        <v>Base_Base_Upgraded_Water Use (WU) - m3 H2O_Wastewater collection; operation and infrastructure; m3 wastewater_Base_With Amendment_Aerated Static Pile</v>
      </c>
    </row>
    <row r="4342" spans="1:13" s="120" customFormat="1" x14ac:dyDescent="0.25">
      <c r="A4342" s="119"/>
      <c r="B4342" s="138" t="str">
        <f t="shared" si="252"/>
        <v>Aerated Static Pile</v>
      </c>
      <c r="C4342" s="138" t="str">
        <f t="shared" si="253"/>
        <v>Base_With Amendment</v>
      </c>
      <c r="D4342" s="138" t="str">
        <f t="shared" si="254"/>
        <v>Base</v>
      </c>
      <c r="E4342" s="138" t="str">
        <f t="shared" si="254"/>
        <v>Base</v>
      </c>
      <c r="F4342" s="138" t="str">
        <f t="shared" si="255"/>
        <v>Upgraded</v>
      </c>
      <c r="G4342" s="153"/>
      <c r="H4342" s="210">
        <v>4.0500000000000001E-2</v>
      </c>
      <c r="I4342" s="160" t="s">
        <v>168</v>
      </c>
      <c r="J4342" s="211">
        <v>7.6697000000000004E-7</v>
      </c>
      <c r="K4342" s="160" t="s">
        <v>26</v>
      </c>
      <c r="L4342" s="154" t="str">
        <f>IF(OpenLCAbasic!K4342="CTUh", "Fill in Manually",IF(OR(K4342="Unit", K4342=""), "", INDEX(LookUps!$E$5:$E$12, MATCH(OpenLCAbasic!K4342,LookUps!$D$5:$D$12,0))))</f>
        <v>Water Use (WU) - m3 H2O</v>
      </c>
      <c r="M4342" s="154" t="str">
        <f t="shared" si="251"/>
        <v>Base_Base_Upgraded_Water Use (WU) - m3 H2O_ClearCove SCP; wastewater treatment unit; at updated plant - US_Base_With Amendment_Aerated Static Pile</v>
      </c>
    </row>
    <row r="4343" spans="1:13" s="120" customFormat="1" x14ac:dyDescent="0.25">
      <c r="A4343" s="119"/>
      <c r="B4343" s="138" t="str">
        <f t="shared" si="252"/>
        <v>Aerated Static Pile</v>
      </c>
      <c r="C4343" s="138" t="str">
        <f t="shared" si="253"/>
        <v>Base_With Amendment</v>
      </c>
      <c r="D4343" s="138" t="str">
        <f t="shared" si="254"/>
        <v>Base</v>
      </c>
      <c r="E4343" s="138" t="str">
        <f t="shared" si="254"/>
        <v>Base</v>
      </c>
      <c r="F4343" s="138" t="str">
        <f t="shared" si="255"/>
        <v>Upgraded</v>
      </c>
      <c r="G4343" s="153"/>
      <c r="H4343" s="210">
        <v>-60.8688</v>
      </c>
      <c r="I4343" s="160" t="s">
        <v>62</v>
      </c>
      <c r="J4343" s="160">
        <v>-1.15E-3</v>
      </c>
      <c r="K4343" s="160" t="s">
        <v>26</v>
      </c>
      <c r="L4343" s="154" t="str">
        <f>IF(OpenLCAbasic!K4343="CTUh", "Fill in Manually",IF(OR(K4343="Unit", K4343=""), "", INDEX(LookUps!$E$5:$E$12, MATCH(OpenLCAbasic!K4343,LookUps!$D$5:$D$12,0))))</f>
        <v>Water Use (WU) - m3 H2O</v>
      </c>
      <c r="M4343" s="154" t="str">
        <f t="shared" si="251"/>
        <v>Base_Base_Upgraded_Water Use (WU) - m3 H2O_Land application of compost; wastewater treatment unit; at updated plant - US_Base_With Amendment_Aerated Static Pile</v>
      </c>
    </row>
    <row r="4344" spans="1:13" s="120" customFormat="1" x14ac:dyDescent="0.25">
      <c r="A4344" s="119"/>
      <c r="B4344" s="138" t="str">
        <f t="shared" ref="B4344:B4345" si="256">IF(F4344="Legacy","n.a.",IF(F4344="","","Aerated Static Pile"))</f>
        <v/>
      </c>
      <c r="C4344" s="138" t="str">
        <f t="shared" si="253"/>
        <v/>
      </c>
      <c r="D4344" s="138" t="str">
        <f>IF(ISNUMBER($J4344),"Medium_Base","")</f>
        <v/>
      </c>
      <c r="E4344" s="138" t="str">
        <f t="shared" si="254"/>
        <v/>
      </c>
      <c r="F4344" s="138" t="str">
        <f t="shared" ref="F4344:F4345" si="257">IF(ISNUMBER(J4344),"Upgraded","")</f>
        <v/>
      </c>
      <c r="G4344" s="153" t="s">
        <v>51</v>
      </c>
      <c r="H4344" s="160"/>
      <c r="I4344" s="160" t="s">
        <v>47</v>
      </c>
      <c r="J4344" s="160" t="s">
        <v>52</v>
      </c>
      <c r="K4344" s="160" t="s">
        <v>27</v>
      </c>
      <c r="L4344" s="154" t="str">
        <f>IF(OpenLCAbasic!K4344="CTUh", "Fill in Manually",IF(OR(K4344="Unit", K4344=""), "", INDEX(LookUps!$E$5:$E$12, MATCH(OpenLCAbasic!K4344,LookUps!$D$5:$D$12,0))))</f>
        <v/>
      </c>
      <c r="M4344" s="154" t="str">
        <f t="shared" si="251"/>
        <v>____Process__</v>
      </c>
    </row>
    <row r="4345" spans="1:13" s="120" customFormat="1" x14ac:dyDescent="0.25">
      <c r="A4345" s="119"/>
      <c r="B4345" s="138" t="str">
        <f t="shared" si="256"/>
        <v>Aerated Static Pile</v>
      </c>
      <c r="C4345" s="138" t="str">
        <f t="shared" si="253"/>
        <v>Base_With Amendment</v>
      </c>
      <c r="D4345" s="138" t="str">
        <f t="shared" ref="D4345:D4408" si="258">IF(ISNUMBER($J4345),"Medium_Base","")</f>
        <v>Medium_Base</v>
      </c>
      <c r="E4345" s="138" t="str">
        <f t="shared" si="254"/>
        <v>Base</v>
      </c>
      <c r="F4345" s="138" t="str">
        <f t="shared" si="257"/>
        <v>Upgraded</v>
      </c>
      <c r="G4345" s="153"/>
      <c r="H4345" s="210">
        <v>0.54430000000000001</v>
      </c>
      <c r="I4345" s="160" t="s">
        <v>55</v>
      </c>
      <c r="J4345" s="160">
        <v>1.7219999999999999E-2</v>
      </c>
      <c r="K4345" s="160" t="s">
        <v>24</v>
      </c>
      <c r="L4345" s="154" t="str">
        <f>IF(OpenLCAbasic!K4345="CTUh", "Fill in Manually",IF(OR(K4345="Unit", K4345=""), "", INDEX(LookUps!$E$5:$E$12, MATCH(OpenLCAbasic!K4345,LookUps!$D$5:$D$12,0))))</f>
        <v>Acidification Potential (AP) - kg SO2 eq</v>
      </c>
      <c r="M4345" s="154" t="str">
        <f t="shared" si="251"/>
        <v>Base_Medium_Base_Upgraded_Acidification Potential (AP) - kg SO2 eq_Aeration Tanks; wastewater treatment unit; at updated plant - US_Base_With Amendment_Aerated Static Pile</v>
      </c>
    </row>
    <row r="4346" spans="1:13" s="120" customFormat="1" x14ac:dyDescent="0.25">
      <c r="A4346" s="119"/>
      <c r="B4346" s="138" t="str">
        <f t="shared" si="252"/>
        <v>Aerated Static Pile</v>
      </c>
      <c r="C4346" s="138" t="str">
        <f t="shared" si="253"/>
        <v>Base_With Amendment</v>
      </c>
      <c r="D4346" s="138" t="str">
        <f t="shared" si="258"/>
        <v>Medium_Base</v>
      </c>
      <c r="E4346" s="138" t="str">
        <f t="shared" si="254"/>
        <v>Base</v>
      </c>
      <c r="F4346" s="138" t="str">
        <f t="shared" si="255"/>
        <v>Upgraded</v>
      </c>
      <c r="G4346" s="153"/>
      <c r="H4346" s="210">
        <v>0.28199999999999997</v>
      </c>
      <c r="I4346" s="160" t="s">
        <v>435</v>
      </c>
      <c r="J4346" s="160">
        <v>8.9200000000000008E-3</v>
      </c>
      <c r="K4346" s="160" t="s">
        <v>24</v>
      </c>
      <c r="L4346" s="154" t="str">
        <f>IF(OpenLCAbasic!K4346="CTUh", "Fill in Manually",IF(OR(K4346="Unit", K4346=""), "", INDEX(LookUps!$E$5:$E$12, MATCH(OpenLCAbasic!K4346,LookUps!$D$5:$D$12,0))))</f>
        <v>Acidification Potential (AP) - kg SO2 eq</v>
      </c>
      <c r="M4346" s="154" t="str">
        <f t="shared" si="251"/>
        <v>Base_Medium_Base_Upgraded_Acidification Potential (AP) - kg SO2 eq_Biosolids composting; aerated static pile; wastewater treatment unit; at updated plant - US_Base_With Amendment_Aerated Static Pile</v>
      </c>
    </row>
    <row r="4347" spans="1:13" s="120" customFormat="1" x14ac:dyDescent="0.25">
      <c r="A4347" s="119"/>
      <c r="B4347" s="138" t="str">
        <f t="shared" si="252"/>
        <v>Aerated Static Pile</v>
      </c>
      <c r="C4347" s="138" t="str">
        <f t="shared" si="253"/>
        <v>Base_With Amendment</v>
      </c>
      <c r="D4347" s="138" t="str">
        <f t="shared" si="258"/>
        <v>Medium_Base</v>
      </c>
      <c r="E4347" s="138" t="str">
        <f t="shared" si="254"/>
        <v>Base</v>
      </c>
      <c r="F4347" s="138" t="str">
        <f t="shared" si="255"/>
        <v>Upgraded</v>
      </c>
      <c r="G4347" s="153"/>
      <c r="H4347" s="210">
        <v>0.15740000000000001</v>
      </c>
      <c r="I4347" s="160" t="s">
        <v>54</v>
      </c>
      <c r="J4347" s="160">
        <v>4.9800000000000001E-3</v>
      </c>
      <c r="K4347" s="160" t="s">
        <v>24</v>
      </c>
      <c r="L4347" s="154" t="str">
        <f>IF(OpenLCAbasic!K4347="CTUh", "Fill in Manually",IF(OR(K4347="Unit", K4347=""), "", INDEX(LookUps!$E$5:$E$12, MATCH(OpenLCAbasic!K4347,LookUps!$D$5:$D$12,0))))</f>
        <v>Acidification Potential (AP) - kg SO2 eq</v>
      </c>
      <c r="M4347" s="154" t="str">
        <f t="shared" si="251"/>
        <v>Base_Medium_Base_Upgraded_Acidification Potential (AP) - kg SO2 eq_Clear Cove Primary Clarification; wastewater treatment unit; at updated plant - US_Base_With Amendment_Aerated Static Pile</v>
      </c>
    </row>
    <row r="4348" spans="1:13" s="120" customFormat="1" x14ac:dyDescent="0.25">
      <c r="A4348" s="119"/>
      <c r="B4348" s="138" t="str">
        <f t="shared" si="252"/>
        <v>Aerated Static Pile</v>
      </c>
      <c r="C4348" s="138" t="str">
        <f t="shared" si="253"/>
        <v>Base_With Amendment</v>
      </c>
      <c r="D4348" s="138" t="str">
        <f t="shared" si="258"/>
        <v>Medium_Base</v>
      </c>
      <c r="E4348" s="138" t="str">
        <f t="shared" si="254"/>
        <v>Base</v>
      </c>
      <c r="F4348" s="138" t="str">
        <f t="shared" si="255"/>
        <v>Upgraded</v>
      </c>
      <c r="G4348" s="153"/>
      <c r="H4348" s="210">
        <v>0.13739999999999999</v>
      </c>
      <c r="I4348" s="160" t="s">
        <v>58</v>
      </c>
      <c r="J4348" s="160">
        <v>4.3499999999999997E-3</v>
      </c>
      <c r="K4348" s="160" t="s">
        <v>24</v>
      </c>
      <c r="L4348" s="154" t="str">
        <f>IF(OpenLCAbasic!K4348="CTUh", "Fill in Manually",IF(OR(K4348="Unit", K4348=""), "", INDEX(LookUps!$E$5:$E$12, MATCH(OpenLCAbasic!K4348,LookUps!$D$5:$D$12,0))))</f>
        <v>Acidification Potential (AP) - kg SO2 eq</v>
      </c>
      <c r="M4348" s="154" t="str">
        <f t="shared" si="251"/>
        <v>Base_Medium_Base_Upgraded_Acidification Potential (AP) - kg SO2 eq_Pre-Anoxic &amp; Swing tank; wastewater treatment unit; at updated plant - US_Base_With Amendment_Aerated Static Pile</v>
      </c>
    </row>
    <row r="4349" spans="1:13" s="120" customFormat="1" x14ac:dyDescent="0.25">
      <c r="A4349" s="119"/>
      <c r="B4349" s="138" t="str">
        <f t="shared" si="252"/>
        <v>Aerated Static Pile</v>
      </c>
      <c r="C4349" s="138" t="str">
        <f t="shared" si="253"/>
        <v>Base_With Amendment</v>
      </c>
      <c r="D4349" s="138" t="str">
        <f t="shared" si="258"/>
        <v>Medium_Base</v>
      </c>
      <c r="E4349" s="138" t="str">
        <f t="shared" si="254"/>
        <v>Base</v>
      </c>
      <c r="F4349" s="138" t="str">
        <f t="shared" si="255"/>
        <v>Upgraded</v>
      </c>
      <c r="G4349" s="153"/>
      <c r="H4349" s="210">
        <v>0.1162</v>
      </c>
      <c r="I4349" s="160" t="s">
        <v>62</v>
      </c>
      <c r="J4349" s="160">
        <v>3.6800000000000001E-3</v>
      </c>
      <c r="K4349" s="160" t="s">
        <v>24</v>
      </c>
      <c r="L4349" s="154" t="str">
        <f>IF(OpenLCAbasic!K4349="CTUh", "Fill in Manually",IF(OR(K4349="Unit", K4349=""), "", INDEX(LookUps!$E$5:$E$12, MATCH(OpenLCAbasic!K4349,LookUps!$D$5:$D$12,0))))</f>
        <v>Acidification Potential (AP) - kg SO2 eq</v>
      </c>
      <c r="M4349" s="154" t="str">
        <f t="shared" si="251"/>
        <v>Base_Medium_Base_Upgraded_Acidification Potential (AP) - kg SO2 eq_Land application of compost; wastewater treatment unit; at updated plant - US_Base_With Amendment_Aerated Static Pile</v>
      </c>
    </row>
    <row r="4350" spans="1:13" s="120" customFormat="1" x14ac:dyDescent="0.25">
      <c r="A4350" s="119"/>
      <c r="B4350" s="138" t="str">
        <f t="shared" si="252"/>
        <v>Aerated Static Pile</v>
      </c>
      <c r="C4350" s="138" t="str">
        <f t="shared" si="253"/>
        <v>Base_With Amendment</v>
      </c>
      <c r="D4350" s="138" t="str">
        <f t="shared" si="258"/>
        <v>Medium_Base</v>
      </c>
      <c r="E4350" s="138" t="str">
        <f t="shared" si="254"/>
        <v>Base</v>
      </c>
      <c r="F4350" s="138" t="str">
        <f t="shared" si="255"/>
        <v>Upgraded</v>
      </c>
      <c r="G4350" s="153"/>
      <c r="H4350" s="210">
        <v>0.1091</v>
      </c>
      <c r="I4350" s="160" t="s">
        <v>53</v>
      </c>
      <c r="J4350" s="160">
        <v>3.4499999999999999E-3</v>
      </c>
      <c r="K4350" s="160" t="s">
        <v>24</v>
      </c>
      <c r="L4350" s="154" t="str">
        <f>IF(OpenLCAbasic!K4350="CTUh", "Fill in Manually",IF(OR(K4350="Unit", K4350=""), "", INDEX(LookUps!$E$5:$E$12, MATCH(OpenLCAbasic!K4350,LookUps!$D$5:$D$12,0))))</f>
        <v>Acidification Potential (AP) - kg SO2 eq</v>
      </c>
      <c r="M4350" s="154" t="str">
        <f t="shared" si="251"/>
        <v>Base_Medium_Base_Upgraded_Acidification Potential (AP) - kg SO2 eq_Wet Well and Sump Station; wastewater treatment unit; at updated plant - US_Base_With Amendment_Aerated Static Pile</v>
      </c>
    </row>
    <row r="4351" spans="1:13" s="120" customFormat="1" x14ac:dyDescent="0.25">
      <c r="A4351" s="119"/>
      <c r="B4351" s="138" t="str">
        <f t="shared" si="252"/>
        <v>Aerated Static Pile</v>
      </c>
      <c r="C4351" s="138" t="str">
        <f t="shared" si="253"/>
        <v>Base_With Amendment</v>
      </c>
      <c r="D4351" s="138" t="str">
        <f t="shared" si="258"/>
        <v>Medium_Base</v>
      </c>
      <c r="E4351" s="138" t="str">
        <f t="shared" si="254"/>
        <v>Base</v>
      </c>
      <c r="F4351" s="138" t="str">
        <f t="shared" si="255"/>
        <v>Upgraded</v>
      </c>
      <c r="G4351" s="153"/>
      <c r="H4351" s="210">
        <v>0.08</v>
      </c>
      <c r="I4351" s="160" t="s">
        <v>167</v>
      </c>
      <c r="J4351" s="160">
        <v>2.5300000000000001E-3</v>
      </c>
      <c r="K4351" s="160" t="s">
        <v>24</v>
      </c>
      <c r="L4351" s="154" t="str">
        <f>IF(OpenLCAbasic!K4351="CTUh", "Fill in Manually",IF(OR(K4351="Unit", K4351=""), "", INDEX(LookUps!$E$5:$E$12, MATCH(OpenLCAbasic!K4351,LookUps!$D$5:$D$12,0))))</f>
        <v>Acidification Potential (AP) - kg SO2 eq</v>
      </c>
      <c r="M4351" s="154" t="str">
        <f t="shared" si="251"/>
        <v>Base_Medium_Base_Upgraded_Acidification Potential (AP) - kg SO2 eq_Waste Receiving and Holding; wastewater treatment unit; at updated plant - US_Base_With Amendment_Aerated Static Pile</v>
      </c>
    </row>
    <row r="4352" spans="1:13" s="120" customFormat="1" x14ac:dyDescent="0.25">
      <c r="A4352" s="119"/>
      <c r="B4352" s="138" t="str">
        <f t="shared" si="252"/>
        <v>Aerated Static Pile</v>
      </c>
      <c r="C4352" s="138" t="str">
        <f t="shared" si="253"/>
        <v>Base_With Amendment</v>
      </c>
      <c r="D4352" s="138" t="str">
        <f t="shared" si="258"/>
        <v>Medium_Base</v>
      </c>
      <c r="E4352" s="138" t="str">
        <f t="shared" si="254"/>
        <v>Base</v>
      </c>
      <c r="F4352" s="138" t="str">
        <f t="shared" si="255"/>
        <v>Upgraded</v>
      </c>
      <c r="G4352" s="153"/>
      <c r="H4352" s="210">
        <v>6.54E-2</v>
      </c>
      <c r="I4352" s="160" t="s">
        <v>147</v>
      </c>
      <c r="J4352" s="160">
        <v>2.0699999999999998E-3</v>
      </c>
      <c r="K4352" s="160" t="s">
        <v>24</v>
      </c>
      <c r="L4352" s="154" t="str">
        <f>IF(OpenLCAbasic!K4352="CTUh", "Fill in Manually",IF(OR(K4352="Unit", K4352=""), "", INDEX(LookUps!$E$5:$E$12, MATCH(OpenLCAbasic!K4352,LookUps!$D$5:$D$12,0))))</f>
        <v>Acidification Potential (AP) - kg SO2 eq</v>
      </c>
      <c r="M4352" s="154" t="str">
        <f t="shared" si="251"/>
        <v>Base_Medium_Base_Upgraded_Acidification Potential (AP) - kg SO2 eq_Influent Pump Station; wastewater treatment unit; at updated plant - US_Base_With Amendment_Aerated Static Pile</v>
      </c>
    </row>
    <row r="4353" spans="1:13" s="120" customFormat="1" x14ac:dyDescent="0.25">
      <c r="A4353" s="119"/>
      <c r="B4353" s="138" t="str">
        <f t="shared" si="252"/>
        <v>Aerated Static Pile</v>
      </c>
      <c r="C4353" s="138" t="str">
        <f t="shared" si="253"/>
        <v>Base_With Amendment</v>
      </c>
      <c r="D4353" s="138" t="str">
        <f t="shared" si="258"/>
        <v>Medium_Base</v>
      </c>
      <c r="E4353" s="138" t="str">
        <f t="shared" si="254"/>
        <v>Base</v>
      </c>
      <c r="F4353" s="138" t="str">
        <f t="shared" si="255"/>
        <v>Upgraded</v>
      </c>
      <c r="G4353" s="153"/>
      <c r="H4353" s="210">
        <v>3.9E-2</v>
      </c>
      <c r="I4353" s="160" t="s">
        <v>128</v>
      </c>
      <c r="J4353" s="160">
        <v>1.23E-3</v>
      </c>
      <c r="K4353" s="160" t="s">
        <v>24</v>
      </c>
      <c r="L4353" s="154" t="str">
        <f>IF(OpenLCAbasic!K4353="CTUh", "Fill in Manually",IF(OR(K4353="Unit", K4353=""), "", INDEX(LookUps!$E$5:$E$12, MATCH(OpenLCAbasic!K4353,LookUps!$D$5:$D$12,0))))</f>
        <v>Acidification Potential (AP) - kg SO2 eq</v>
      </c>
      <c r="M4353" s="154" t="str">
        <f t="shared" si="251"/>
        <v>Base_Medium_Base_Upgraded_Acidification Potential (AP) - kg SO2 eq_Wastewater collection; operation and infrastructure; m3 wastewater_Base_With Amendment_Aerated Static Pile</v>
      </c>
    </row>
    <row r="4354" spans="1:13" s="120" customFormat="1" x14ac:dyDescent="0.25">
      <c r="A4354" s="119"/>
      <c r="B4354" s="138" t="str">
        <f t="shared" si="252"/>
        <v>Aerated Static Pile</v>
      </c>
      <c r="C4354" s="138" t="str">
        <f t="shared" si="253"/>
        <v>Base_With Amendment</v>
      </c>
      <c r="D4354" s="138" t="str">
        <f t="shared" si="258"/>
        <v>Medium_Base</v>
      </c>
      <c r="E4354" s="138" t="str">
        <f t="shared" si="254"/>
        <v>Base</v>
      </c>
      <c r="F4354" s="138" t="str">
        <f t="shared" si="255"/>
        <v>Upgraded</v>
      </c>
      <c r="G4354" s="153"/>
      <c r="H4354" s="210">
        <v>3.3700000000000001E-2</v>
      </c>
      <c r="I4354" s="160" t="s">
        <v>60</v>
      </c>
      <c r="J4354" s="160">
        <v>1.07E-3</v>
      </c>
      <c r="K4354" s="160" t="s">
        <v>24</v>
      </c>
      <c r="L4354" s="154" t="str">
        <f>IF(OpenLCAbasic!K4354="CTUh", "Fill in Manually",IF(OR(K4354="Unit", K4354=""), "", INDEX(LookUps!$E$5:$E$12, MATCH(OpenLCAbasic!K4354,LookUps!$D$5:$D$12,0))))</f>
        <v>Acidification Potential (AP) - kg SO2 eq</v>
      </c>
      <c r="M4354" s="154" t="str">
        <f t="shared" si="251"/>
        <v>Base_Medium_Base_Upgraded_Acidification Potential (AP) - kg SO2 eq_Belt filter press; wastewater treatment unit; at updated plant - US_Base_With Amendment_Aerated Static Pile</v>
      </c>
    </row>
    <row r="4355" spans="1:13" s="120" customFormat="1" x14ac:dyDescent="0.25">
      <c r="A4355" s="119"/>
      <c r="B4355" s="138" t="str">
        <f t="shared" si="252"/>
        <v>Aerated Static Pile</v>
      </c>
      <c r="C4355" s="138" t="str">
        <f t="shared" si="253"/>
        <v>Base_With Amendment</v>
      </c>
      <c r="D4355" s="138" t="str">
        <f t="shared" si="258"/>
        <v>Medium_Base</v>
      </c>
      <c r="E4355" s="138" t="str">
        <f t="shared" si="254"/>
        <v>Base</v>
      </c>
      <c r="F4355" s="138" t="str">
        <f t="shared" si="255"/>
        <v>Upgraded</v>
      </c>
      <c r="G4355" s="153"/>
      <c r="H4355" s="210">
        <v>2.23E-2</v>
      </c>
      <c r="I4355" s="160" t="s">
        <v>57</v>
      </c>
      <c r="J4355" s="160">
        <v>6.9999999999999999E-4</v>
      </c>
      <c r="K4355" s="160" t="s">
        <v>24</v>
      </c>
      <c r="L4355" s="154" t="str">
        <f>IF(OpenLCAbasic!K4355="CTUh", "Fill in Manually",IF(OR(K4355="Unit", K4355=""), "", INDEX(LookUps!$E$5:$E$12, MATCH(OpenLCAbasic!K4355,LookUps!$D$5:$D$12,0))))</f>
        <v>Acidification Potential (AP) - kg SO2 eq</v>
      </c>
      <c r="M4355" s="154" t="str">
        <f t="shared" si="251"/>
        <v>Base_Medium_Base_Upgraded_Acidification Potential (AP) - kg SO2 eq_Gravity Belt Thickener; wastewater treatment unit; at updated plant - US_Base_With Amendment_Aerated Static Pile</v>
      </c>
    </row>
    <row r="4356" spans="1:13" s="120" customFormat="1" x14ac:dyDescent="0.25">
      <c r="A4356" s="119"/>
      <c r="B4356" s="138" t="str">
        <f t="shared" si="252"/>
        <v>Aerated Static Pile</v>
      </c>
      <c r="C4356" s="138" t="str">
        <f t="shared" si="253"/>
        <v>Base_With Amendment</v>
      </c>
      <c r="D4356" s="138" t="str">
        <f t="shared" si="258"/>
        <v>Medium_Base</v>
      </c>
      <c r="E4356" s="138" t="str">
        <f t="shared" si="254"/>
        <v>Base</v>
      </c>
      <c r="F4356" s="138" t="str">
        <f t="shared" si="255"/>
        <v>Upgraded</v>
      </c>
      <c r="G4356" s="153"/>
      <c r="H4356" s="210">
        <v>1.6299999999999999E-2</v>
      </c>
      <c r="I4356" s="160" t="s">
        <v>59</v>
      </c>
      <c r="J4356" s="160">
        <v>5.1999999999999995E-4</v>
      </c>
      <c r="K4356" s="160" t="s">
        <v>24</v>
      </c>
      <c r="L4356" s="154" t="str">
        <f>IF(OpenLCAbasic!K4356="CTUh", "Fill in Manually",IF(OR(K4356="Unit", K4356=""), "", INDEX(LookUps!$E$5:$E$12, MATCH(OpenLCAbasic!K4356,LookUps!$D$5:$D$12,0))))</f>
        <v>Acidification Potential (AP) - kg SO2 eq</v>
      </c>
      <c r="M4356" s="154" t="str">
        <f t="shared" si="251"/>
        <v>Base_Medium_Base_Upgraded_Acidification Potential (AP) - kg SO2 eq_Blend Tank; wastewater treatment unit; at updated plant - US_Base_With Amendment_Aerated Static Pile</v>
      </c>
    </row>
    <row r="4357" spans="1:13" s="120" customFormat="1" x14ac:dyDescent="0.25">
      <c r="A4357" s="119"/>
      <c r="B4357" s="138" t="str">
        <f t="shared" si="252"/>
        <v>Aerated Static Pile</v>
      </c>
      <c r="C4357" s="138" t="str">
        <f t="shared" si="253"/>
        <v>Base_With Amendment</v>
      </c>
      <c r="D4357" s="138" t="str">
        <f t="shared" si="258"/>
        <v>Medium_Base</v>
      </c>
      <c r="E4357" s="138" t="str">
        <f t="shared" si="254"/>
        <v>Base</v>
      </c>
      <c r="F4357" s="138" t="str">
        <f t="shared" si="255"/>
        <v>Upgraded</v>
      </c>
      <c r="G4357" s="153"/>
      <c r="H4357" s="210">
        <v>1.0999999999999999E-2</v>
      </c>
      <c r="I4357" s="160" t="s">
        <v>48</v>
      </c>
      <c r="J4357" s="160">
        <v>3.5E-4</v>
      </c>
      <c r="K4357" s="160" t="s">
        <v>24</v>
      </c>
      <c r="L4357" s="154" t="str">
        <f>IF(OpenLCAbasic!K4357="CTUh", "Fill in Manually",IF(OR(K4357="Unit", K4357=""), "", INDEX(LookUps!$E$5:$E$12, MATCH(OpenLCAbasic!K4357,LookUps!$D$5:$D$12,0))))</f>
        <v>Acidification Potential (AP) - kg SO2 eq</v>
      </c>
      <c r="M4357" s="154" t="str">
        <f t="shared" si="251"/>
        <v>Base_Medium_Base_Upgraded_Acidification Potential (AP) - kg SO2 eq_Effluent release; wastewater treatment unit; at surface water; m3 wastewater - US_Base_With Amendment_Aerated Static Pile</v>
      </c>
    </row>
    <row r="4358" spans="1:13" s="120" customFormat="1" x14ac:dyDescent="0.25">
      <c r="A4358" s="119"/>
      <c r="B4358" s="138" t="str">
        <f t="shared" si="252"/>
        <v>Aerated Static Pile</v>
      </c>
      <c r="C4358" s="138" t="str">
        <f t="shared" si="253"/>
        <v>Base_With Amendment</v>
      </c>
      <c r="D4358" s="138" t="str">
        <f t="shared" si="258"/>
        <v>Medium_Base</v>
      </c>
      <c r="E4358" s="138" t="str">
        <f t="shared" si="254"/>
        <v>Base</v>
      </c>
      <c r="F4358" s="138" t="str">
        <f t="shared" si="255"/>
        <v>Upgraded</v>
      </c>
      <c r="G4358" s="153"/>
      <c r="H4358" s="210">
        <v>8.0999999999999996E-3</v>
      </c>
      <c r="I4358" s="160" t="s">
        <v>168</v>
      </c>
      <c r="J4358" s="160">
        <v>2.5999999999999998E-4</v>
      </c>
      <c r="K4358" s="160" t="s">
        <v>24</v>
      </c>
      <c r="L4358" s="154" t="str">
        <f>IF(OpenLCAbasic!K4358="CTUh", "Fill in Manually",IF(OR(K4358="Unit", K4358=""), "", INDEX(LookUps!$E$5:$E$12, MATCH(OpenLCAbasic!K4358,LookUps!$D$5:$D$12,0))))</f>
        <v>Acidification Potential (AP) - kg SO2 eq</v>
      </c>
      <c r="M4358" s="154" t="str">
        <f t="shared" si="251"/>
        <v>Base_Medium_Base_Upgraded_Acidification Potential (AP) - kg SO2 eq_ClearCove SCP; wastewater treatment unit; at updated plant - US_Base_With Amendment_Aerated Static Pile</v>
      </c>
    </row>
    <row r="4359" spans="1:13" s="120" customFormat="1" x14ac:dyDescent="0.25">
      <c r="A4359" s="119"/>
      <c r="B4359" s="138" t="str">
        <f t="shared" si="252"/>
        <v>Aerated Static Pile</v>
      </c>
      <c r="C4359" s="138" t="str">
        <f t="shared" si="253"/>
        <v>Base_With Amendment</v>
      </c>
      <c r="D4359" s="138" t="str">
        <f t="shared" si="258"/>
        <v>Medium_Base</v>
      </c>
      <c r="E4359" s="138" t="str">
        <f t="shared" si="254"/>
        <v>Base</v>
      </c>
      <c r="F4359" s="138" t="str">
        <f t="shared" si="255"/>
        <v>Upgraded</v>
      </c>
      <c r="G4359" s="153"/>
      <c r="H4359" s="210">
        <v>1.2999999999999999E-3</v>
      </c>
      <c r="I4359" s="160" t="s">
        <v>148</v>
      </c>
      <c r="J4359" s="211">
        <v>4.0354700000000002E-5</v>
      </c>
      <c r="K4359" s="160" t="s">
        <v>24</v>
      </c>
      <c r="L4359" s="154" t="str">
        <f>IF(OpenLCAbasic!K4359="CTUh", "Fill in Manually",IF(OR(K4359="Unit", K4359=""), "", INDEX(LookUps!$E$5:$E$12, MATCH(OpenLCAbasic!K4359,LookUps!$D$5:$D$12,0))))</f>
        <v>Acidification Potential (AP) - kg SO2 eq</v>
      </c>
      <c r="M4359" s="154" t="str">
        <f t="shared" ref="M4359:M4422" si="259">CONCATENATE(E4359,"_",D4359,"_",F4359,"_",L4359, "_",I4359,"_", C4359,"_", B4359)</f>
        <v>Base_Medium_Base_Upgraded_Acidification Potential (AP) - kg SO2 eq_Control Building; at upgraded wastewater treatment plant - US_Base_With Amendment_Aerated Static Pile</v>
      </c>
    </row>
    <row r="4360" spans="1:13" s="120" customFormat="1" x14ac:dyDescent="0.25">
      <c r="A4360" s="119"/>
      <c r="B4360" s="138" t="str">
        <f t="shared" si="252"/>
        <v>Aerated Static Pile</v>
      </c>
      <c r="C4360" s="138" t="str">
        <f t="shared" si="253"/>
        <v>Base_With Amendment</v>
      </c>
      <c r="D4360" s="138" t="str">
        <f t="shared" si="258"/>
        <v>Medium_Base</v>
      </c>
      <c r="E4360" s="138" t="str">
        <f t="shared" si="254"/>
        <v>Base</v>
      </c>
      <c r="F4360" s="138" t="str">
        <f t="shared" si="255"/>
        <v>Upgraded</v>
      </c>
      <c r="G4360" s="153"/>
      <c r="H4360" s="210">
        <v>-0.62329999999999997</v>
      </c>
      <c r="I4360" s="160" t="s">
        <v>149</v>
      </c>
      <c r="J4360" s="160">
        <v>-1.9720000000000001E-2</v>
      </c>
      <c r="K4360" s="160" t="s">
        <v>24</v>
      </c>
      <c r="L4360" s="154" t="str">
        <f>IF(OpenLCAbasic!K4360="CTUh", "Fill in Manually",IF(OR(K4360="Unit", K4360=""), "", INDEX(LookUps!$E$5:$E$12, MATCH(OpenLCAbasic!K4360,LookUps!$D$5:$D$12,0))))</f>
        <v>Acidification Potential (AP) - kg SO2 eq</v>
      </c>
      <c r="M4360" s="154" t="str">
        <f t="shared" si="259"/>
        <v>Base_Medium_Base_Upgraded_Acidification Potential (AP) - kg SO2 eq_Anaerobic Digestion; wastewater treatment unit; at updated plant - US_Base_With Amendment_Aerated Static Pile</v>
      </c>
    </row>
    <row r="4361" spans="1:13" s="120" customFormat="1" x14ac:dyDescent="0.25">
      <c r="A4361" s="119"/>
      <c r="B4361" s="138" t="str">
        <f t="shared" si="252"/>
        <v/>
      </c>
      <c r="C4361" s="138" t="str">
        <f t="shared" si="253"/>
        <v/>
      </c>
      <c r="D4361" s="138" t="str">
        <f t="shared" si="258"/>
        <v/>
      </c>
      <c r="E4361" s="138" t="str">
        <f t="shared" si="254"/>
        <v/>
      </c>
      <c r="F4361" s="138" t="str">
        <f t="shared" si="255"/>
        <v/>
      </c>
      <c r="G4361" s="153" t="s">
        <v>51</v>
      </c>
      <c r="H4361" s="160"/>
      <c r="I4361" s="160" t="s">
        <v>47</v>
      </c>
      <c r="J4361" s="160" t="s">
        <v>52</v>
      </c>
      <c r="K4361" s="160" t="s">
        <v>27</v>
      </c>
      <c r="L4361" s="154" t="str">
        <f>IF(OpenLCAbasic!K4361="CTUh", "Fill in Manually",IF(OR(K4361="Unit", K4361=""), "", INDEX(LookUps!$E$5:$E$12, MATCH(OpenLCAbasic!K4361,LookUps!$D$5:$D$12,0))))</f>
        <v/>
      </c>
      <c r="M4361" s="154" t="str">
        <f t="shared" si="259"/>
        <v>____Process__</v>
      </c>
    </row>
    <row r="4362" spans="1:13" s="120" customFormat="1" x14ac:dyDescent="0.25">
      <c r="A4362" s="119"/>
      <c r="B4362" s="138" t="str">
        <f t="shared" si="252"/>
        <v>Aerated Static Pile</v>
      </c>
      <c r="C4362" s="138" t="str">
        <f t="shared" si="253"/>
        <v>Base_With Amendment</v>
      </c>
      <c r="D4362" s="138" t="str">
        <f t="shared" si="258"/>
        <v>Medium_Base</v>
      </c>
      <c r="E4362" s="138" t="str">
        <f t="shared" si="254"/>
        <v>Base</v>
      </c>
      <c r="F4362" s="138" t="str">
        <f t="shared" si="255"/>
        <v>Upgraded</v>
      </c>
      <c r="G4362" s="153"/>
      <c r="H4362" s="210">
        <v>0.79249999999999998</v>
      </c>
      <c r="I4362" s="160" t="s">
        <v>167</v>
      </c>
      <c r="J4362" s="160">
        <v>4.2789599999999997</v>
      </c>
      <c r="K4362" s="160" t="s">
        <v>15</v>
      </c>
      <c r="L4362" s="154" t="str">
        <f>IF(OpenLCAbasic!K4362="CTUh", "Fill in Manually",IF(OR(K4362="Unit", K4362=""), "", INDEX(LookUps!$E$5:$E$12, MATCH(OpenLCAbasic!K4362,LookUps!$D$5:$D$12,0))))</f>
        <v>Cumulative Energy Demand (CED) - MJ</v>
      </c>
      <c r="M4362" s="154" t="str">
        <f t="shared" si="259"/>
        <v>Base_Medium_Base_Upgraded_Cumulative Energy Demand (CED) - MJ_Waste Receiving and Holding; wastewater treatment unit; at updated plant - US_Base_With Amendment_Aerated Static Pile</v>
      </c>
    </row>
    <row r="4363" spans="1:13" s="120" customFormat="1" x14ac:dyDescent="0.25">
      <c r="A4363" s="119"/>
      <c r="B4363" s="138" t="str">
        <f t="shared" si="252"/>
        <v>Aerated Static Pile</v>
      </c>
      <c r="C4363" s="138" t="str">
        <f t="shared" si="253"/>
        <v>Base_With Amendment</v>
      </c>
      <c r="D4363" s="138" t="str">
        <f t="shared" si="258"/>
        <v>Medium_Base</v>
      </c>
      <c r="E4363" s="138" t="str">
        <f t="shared" si="254"/>
        <v>Base</v>
      </c>
      <c r="F4363" s="138" t="str">
        <f t="shared" si="255"/>
        <v>Upgraded</v>
      </c>
      <c r="G4363" s="153"/>
      <c r="H4363" s="210">
        <v>0.65439999999999998</v>
      </c>
      <c r="I4363" s="160" t="s">
        <v>55</v>
      </c>
      <c r="J4363" s="160">
        <v>3.5330499999999998</v>
      </c>
      <c r="K4363" s="160" t="s">
        <v>15</v>
      </c>
      <c r="L4363" s="154" t="str">
        <f>IF(OpenLCAbasic!K4363="CTUh", "Fill in Manually",IF(OR(K4363="Unit", K4363=""), "", INDEX(LookUps!$E$5:$E$12, MATCH(OpenLCAbasic!K4363,LookUps!$D$5:$D$12,0))))</f>
        <v>Cumulative Energy Demand (CED) - MJ</v>
      </c>
      <c r="M4363" s="154" t="str">
        <f t="shared" si="259"/>
        <v>Base_Medium_Base_Upgraded_Cumulative Energy Demand (CED) - MJ_Aeration Tanks; wastewater treatment unit; at updated plant - US_Base_With Amendment_Aerated Static Pile</v>
      </c>
    </row>
    <row r="4364" spans="1:13" s="120" customFormat="1" x14ac:dyDescent="0.25">
      <c r="A4364" s="119"/>
      <c r="B4364" s="138" t="str">
        <f t="shared" si="252"/>
        <v>Aerated Static Pile</v>
      </c>
      <c r="C4364" s="138" t="str">
        <f t="shared" si="253"/>
        <v>Base_With Amendment</v>
      </c>
      <c r="D4364" s="138" t="str">
        <f t="shared" si="258"/>
        <v>Medium_Base</v>
      </c>
      <c r="E4364" s="138" t="str">
        <f t="shared" si="254"/>
        <v>Base</v>
      </c>
      <c r="F4364" s="138" t="str">
        <f t="shared" si="255"/>
        <v>Upgraded</v>
      </c>
      <c r="G4364" s="153"/>
      <c r="H4364" s="210">
        <v>0.31929999999999997</v>
      </c>
      <c r="I4364" s="160" t="s">
        <v>435</v>
      </c>
      <c r="J4364" s="160">
        <v>1.72374</v>
      </c>
      <c r="K4364" s="160" t="s">
        <v>15</v>
      </c>
      <c r="L4364" s="154" t="str">
        <f>IF(OpenLCAbasic!K4364="CTUh", "Fill in Manually",IF(OR(K4364="Unit", K4364=""), "", INDEX(LookUps!$E$5:$E$12, MATCH(OpenLCAbasic!K4364,LookUps!$D$5:$D$12,0))))</f>
        <v>Cumulative Energy Demand (CED) - MJ</v>
      </c>
      <c r="M4364" s="154" t="str">
        <f t="shared" si="259"/>
        <v>Base_Medium_Base_Upgraded_Cumulative Energy Demand (CED) - MJ_Biosolids composting; aerated static pile; wastewater treatment unit; at updated plant - US_Base_With Amendment_Aerated Static Pile</v>
      </c>
    </row>
    <row r="4365" spans="1:13" s="120" customFormat="1" x14ac:dyDescent="0.25">
      <c r="A4365" s="119"/>
      <c r="B4365" s="138" t="str">
        <f t="shared" si="252"/>
        <v>Aerated Static Pile</v>
      </c>
      <c r="C4365" s="138" t="str">
        <f t="shared" si="253"/>
        <v>Base_With Amendment</v>
      </c>
      <c r="D4365" s="138" t="str">
        <f t="shared" si="258"/>
        <v>Medium_Base</v>
      </c>
      <c r="E4365" s="138" t="str">
        <f t="shared" si="254"/>
        <v>Base</v>
      </c>
      <c r="F4365" s="138" t="str">
        <f t="shared" si="255"/>
        <v>Upgraded</v>
      </c>
      <c r="G4365" s="153"/>
      <c r="H4365" s="210">
        <v>0.21540000000000001</v>
      </c>
      <c r="I4365" s="160" t="s">
        <v>54</v>
      </c>
      <c r="J4365" s="160">
        <v>1.16289</v>
      </c>
      <c r="K4365" s="160" t="s">
        <v>15</v>
      </c>
      <c r="L4365" s="154" t="str">
        <f>IF(OpenLCAbasic!K4365="CTUh", "Fill in Manually",IF(OR(K4365="Unit", K4365=""), "", INDEX(LookUps!$E$5:$E$12, MATCH(OpenLCAbasic!K4365,LookUps!$D$5:$D$12,0))))</f>
        <v>Cumulative Energy Demand (CED) - MJ</v>
      </c>
      <c r="M4365" s="154" t="str">
        <f t="shared" si="259"/>
        <v>Base_Medium_Base_Upgraded_Cumulative Energy Demand (CED) - MJ_Clear Cove Primary Clarification; wastewater treatment unit; at updated plant - US_Base_With Amendment_Aerated Static Pile</v>
      </c>
    </row>
    <row r="4366" spans="1:13" s="120" customFormat="1" x14ac:dyDescent="0.25">
      <c r="A4366" s="119"/>
      <c r="B4366" s="138" t="str">
        <f t="shared" si="252"/>
        <v>Aerated Static Pile</v>
      </c>
      <c r="C4366" s="138" t="str">
        <f t="shared" si="253"/>
        <v>Base_With Amendment</v>
      </c>
      <c r="D4366" s="138" t="str">
        <f t="shared" si="258"/>
        <v>Medium_Base</v>
      </c>
      <c r="E4366" s="138" t="str">
        <f t="shared" si="254"/>
        <v>Base</v>
      </c>
      <c r="F4366" s="138" t="str">
        <f t="shared" si="255"/>
        <v>Upgraded</v>
      </c>
      <c r="G4366" s="153"/>
      <c r="H4366" s="210">
        <v>0.1643</v>
      </c>
      <c r="I4366" s="160" t="s">
        <v>58</v>
      </c>
      <c r="J4366" s="160">
        <v>0.88705000000000001</v>
      </c>
      <c r="K4366" s="160" t="s">
        <v>15</v>
      </c>
      <c r="L4366" s="154" t="str">
        <f>IF(OpenLCAbasic!K4366="CTUh", "Fill in Manually",IF(OR(K4366="Unit", K4366=""), "", INDEX(LookUps!$E$5:$E$12, MATCH(OpenLCAbasic!K4366,LookUps!$D$5:$D$12,0))))</f>
        <v>Cumulative Energy Demand (CED) - MJ</v>
      </c>
      <c r="M4366" s="154" t="str">
        <f t="shared" si="259"/>
        <v>Base_Medium_Base_Upgraded_Cumulative Energy Demand (CED) - MJ_Pre-Anoxic &amp; Swing tank; wastewater treatment unit; at updated plant - US_Base_With Amendment_Aerated Static Pile</v>
      </c>
    </row>
    <row r="4367" spans="1:13" s="120" customFormat="1" x14ac:dyDescent="0.25">
      <c r="A4367" s="119"/>
      <c r="B4367" s="138" t="str">
        <f t="shared" si="252"/>
        <v>Aerated Static Pile</v>
      </c>
      <c r="C4367" s="138" t="str">
        <f t="shared" si="253"/>
        <v>Base_With Amendment</v>
      </c>
      <c r="D4367" s="138" t="str">
        <f t="shared" si="258"/>
        <v>Medium_Base</v>
      </c>
      <c r="E4367" s="138" t="str">
        <f t="shared" si="254"/>
        <v>Base</v>
      </c>
      <c r="F4367" s="138" t="str">
        <f t="shared" si="255"/>
        <v>Upgraded</v>
      </c>
      <c r="G4367" s="153"/>
      <c r="H4367" s="210">
        <v>0.16350000000000001</v>
      </c>
      <c r="I4367" s="160" t="s">
        <v>147</v>
      </c>
      <c r="J4367" s="160">
        <v>0.88297000000000003</v>
      </c>
      <c r="K4367" s="160" t="s">
        <v>15</v>
      </c>
      <c r="L4367" s="154" t="str">
        <f>IF(OpenLCAbasic!K4367="CTUh", "Fill in Manually",IF(OR(K4367="Unit", K4367=""), "", INDEX(LookUps!$E$5:$E$12, MATCH(OpenLCAbasic!K4367,LookUps!$D$5:$D$12,0))))</f>
        <v>Cumulative Energy Demand (CED) - MJ</v>
      </c>
      <c r="M4367" s="154" t="str">
        <f t="shared" si="259"/>
        <v>Base_Medium_Base_Upgraded_Cumulative Energy Demand (CED) - MJ_Influent Pump Station; wastewater treatment unit; at updated plant - US_Base_With Amendment_Aerated Static Pile</v>
      </c>
    </row>
    <row r="4368" spans="1:13" s="120" customFormat="1" x14ac:dyDescent="0.25">
      <c r="A4368" s="119"/>
      <c r="B4368" s="138" t="str">
        <f t="shared" si="252"/>
        <v>Aerated Static Pile</v>
      </c>
      <c r="C4368" s="138" t="str">
        <f t="shared" si="253"/>
        <v>Base_With Amendment</v>
      </c>
      <c r="D4368" s="138" t="str">
        <f t="shared" si="258"/>
        <v>Medium_Base</v>
      </c>
      <c r="E4368" s="138" t="str">
        <f t="shared" si="254"/>
        <v>Base</v>
      </c>
      <c r="F4368" s="138" t="str">
        <f t="shared" si="255"/>
        <v>Upgraded</v>
      </c>
      <c r="G4368" s="153"/>
      <c r="H4368" s="210">
        <v>0.129</v>
      </c>
      <c r="I4368" s="160" t="s">
        <v>53</v>
      </c>
      <c r="J4368" s="160">
        <v>0.69645000000000001</v>
      </c>
      <c r="K4368" s="160" t="s">
        <v>15</v>
      </c>
      <c r="L4368" s="154" t="str">
        <f>IF(OpenLCAbasic!K4368="CTUh", "Fill in Manually",IF(OR(K4368="Unit", K4368=""), "", INDEX(LookUps!$E$5:$E$12, MATCH(OpenLCAbasic!K4368,LookUps!$D$5:$D$12,0))))</f>
        <v>Cumulative Energy Demand (CED) - MJ</v>
      </c>
      <c r="M4368" s="154" t="str">
        <f t="shared" si="259"/>
        <v>Base_Medium_Base_Upgraded_Cumulative Energy Demand (CED) - MJ_Wet Well and Sump Station; wastewater treatment unit; at updated plant - US_Base_With Amendment_Aerated Static Pile</v>
      </c>
    </row>
    <row r="4369" spans="1:13" s="120" customFormat="1" x14ac:dyDescent="0.25">
      <c r="A4369" s="119"/>
      <c r="B4369" s="138" t="str">
        <f t="shared" si="252"/>
        <v>Aerated Static Pile</v>
      </c>
      <c r="C4369" s="138" t="str">
        <f t="shared" si="253"/>
        <v>Base_With Amendment</v>
      </c>
      <c r="D4369" s="138" t="str">
        <f t="shared" si="258"/>
        <v>Medium_Base</v>
      </c>
      <c r="E4369" s="138" t="str">
        <f t="shared" si="254"/>
        <v>Base</v>
      </c>
      <c r="F4369" s="138" t="str">
        <f t="shared" si="255"/>
        <v>Upgraded</v>
      </c>
      <c r="G4369" s="153"/>
      <c r="H4369" s="210">
        <v>7.3700000000000002E-2</v>
      </c>
      <c r="I4369" s="160" t="s">
        <v>60</v>
      </c>
      <c r="J4369" s="160">
        <v>0.39804</v>
      </c>
      <c r="K4369" s="160" t="s">
        <v>15</v>
      </c>
      <c r="L4369" s="154" t="str">
        <f>IF(OpenLCAbasic!K4369="CTUh", "Fill in Manually",IF(OR(K4369="Unit", K4369=""), "", INDEX(LookUps!$E$5:$E$12, MATCH(OpenLCAbasic!K4369,LookUps!$D$5:$D$12,0))))</f>
        <v>Cumulative Energy Demand (CED) - MJ</v>
      </c>
      <c r="M4369" s="154" t="str">
        <f t="shared" si="259"/>
        <v>Base_Medium_Base_Upgraded_Cumulative Energy Demand (CED) - MJ_Belt filter press; wastewater treatment unit; at updated plant - US_Base_With Amendment_Aerated Static Pile</v>
      </c>
    </row>
    <row r="4370" spans="1:13" s="120" customFormat="1" x14ac:dyDescent="0.25">
      <c r="A4370" s="119"/>
      <c r="B4370" s="138" t="str">
        <f t="shared" si="252"/>
        <v>Aerated Static Pile</v>
      </c>
      <c r="C4370" s="138" t="str">
        <f t="shared" si="253"/>
        <v>Base_With Amendment</v>
      </c>
      <c r="D4370" s="138" t="str">
        <f t="shared" si="258"/>
        <v>Medium_Base</v>
      </c>
      <c r="E4370" s="138" t="str">
        <f t="shared" si="254"/>
        <v>Base</v>
      </c>
      <c r="F4370" s="138" t="str">
        <f t="shared" si="255"/>
        <v>Upgraded</v>
      </c>
      <c r="G4370" s="153"/>
      <c r="H4370" s="210">
        <v>6.1899999999999997E-2</v>
      </c>
      <c r="I4370" s="160" t="s">
        <v>57</v>
      </c>
      <c r="J4370" s="160">
        <v>0.33404</v>
      </c>
      <c r="K4370" s="160" t="s">
        <v>15</v>
      </c>
      <c r="L4370" s="154" t="str">
        <f>IF(OpenLCAbasic!K4370="CTUh", "Fill in Manually",IF(OR(K4370="Unit", K4370=""), "", INDEX(LookUps!$E$5:$E$12, MATCH(OpenLCAbasic!K4370,LookUps!$D$5:$D$12,0))))</f>
        <v>Cumulative Energy Demand (CED) - MJ</v>
      </c>
      <c r="M4370" s="154" t="str">
        <f t="shared" si="259"/>
        <v>Base_Medium_Base_Upgraded_Cumulative Energy Demand (CED) - MJ_Gravity Belt Thickener; wastewater treatment unit; at updated plant - US_Base_With Amendment_Aerated Static Pile</v>
      </c>
    </row>
    <row r="4371" spans="1:13" s="120" customFormat="1" x14ac:dyDescent="0.25">
      <c r="A4371" s="119"/>
      <c r="B4371" s="138" t="str">
        <f t="shared" si="252"/>
        <v>Aerated Static Pile</v>
      </c>
      <c r="C4371" s="138" t="str">
        <f t="shared" si="253"/>
        <v>Base_With Amendment</v>
      </c>
      <c r="D4371" s="138" t="str">
        <f t="shared" si="258"/>
        <v>Medium_Base</v>
      </c>
      <c r="E4371" s="138" t="str">
        <f t="shared" si="254"/>
        <v>Base</v>
      </c>
      <c r="F4371" s="138" t="str">
        <f t="shared" si="255"/>
        <v>Upgraded</v>
      </c>
      <c r="G4371" s="153"/>
      <c r="H4371" s="210">
        <v>4.7399999999999998E-2</v>
      </c>
      <c r="I4371" s="160" t="s">
        <v>128</v>
      </c>
      <c r="J4371" s="160">
        <v>0.25606000000000001</v>
      </c>
      <c r="K4371" s="160" t="s">
        <v>15</v>
      </c>
      <c r="L4371" s="154" t="str">
        <f>IF(OpenLCAbasic!K4371="CTUh", "Fill in Manually",IF(OR(K4371="Unit", K4371=""), "", INDEX(LookUps!$E$5:$E$12, MATCH(OpenLCAbasic!K4371,LookUps!$D$5:$D$12,0))))</f>
        <v>Cumulative Energy Demand (CED) - MJ</v>
      </c>
      <c r="M4371" s="154" t="str">
        <f t="shared" si="259"/>
        <v>Base_Medium_Base_Upgraded_Cumulative Energy Demand (CED) - MJ_Wastewater collection; operation and infrastructure; m3 wastewater_Base_With Amendment_Aerated Static Pile</v>
      </c>
    </row>
    <row r="4372" spans="1:13" s="120" customFormat="1" x14ac:dyDescent="0.25">
      <c r="A4372" s="119"/>
      <c r="B4372" s="138" t="str">
        <f t="shared" si="252"/>
        <v>Aerated Static Pile</v>
      </c>
      <c r="C4372" s="138" t="str">
        <f t="shared" si="253"/>
        <v>Base_With Amendment</v>
      </c>
      <c r="D4372" s="138" t="str">
        <f t="shared" si="258"/>
        <v>Medium_Base</v>
      </c>
      <c r="E4372" s="138" t="str">
        <f t="shared" si="254"/>
        <v>Base</v>
      </c>
      <c r="F4372" s="138" t="str">
        <f t="shared" si="255"/>
        <v>Upgraded</v>
      </c>
      <c r="G4372" s="153"/>
      <c r="H4372" s="210">
        <v>2.7E-2</v>
      </c>
      <c r="I4372" s="160" t="s">
        <v>148</v>
      </c>
      <c r="J4372" s="160">
        <v>0.14599000000000001</v>
      </c>
      <c r="K4372" s="160" t="s">
        <v>15</v>
      </c>
      <c r="L4372" s="154" t="str">
        <f>IF(OpenLCAbasic!K4372="CTUh", "Fill in Manually",IF(OR(K4372="Unit", K4372=""), "", INDEX(LookUps!$E$5:$E$12, MATCH(OpenLCAbasic!K4372,LookUps!$D$5:$D$12,0))))</f>
        <v>Cumulative Energy Demand (CED) - MJ</v>
      </c>
      <c r="M4372" s="154" t="str">
        <f t="shared" si="259"/>
        <v>Base_Medium_Base_Upgraded_Cumulative Energy Demand (CED) - MJ_Control Building; at upgraded wastewater treatment plant - US_Base_With Amendment_Aerated Static Pile</v>
      </c>
    </row>
    <row r="4373" spans="1:13" s="120" customFormat="1" x14ac:dyDescent="0.25">
      <c r="A4373" s="119"/>
      <c r="B4373" s="138" t="str">
        <f t="shared" si="252"/>
        <v>Aerated Static Pile</v>
      </c>
      <c r="C4373" s="138" t="str">
        <f t="shared" si="253"/>
        <v>Base_With Amendment</v>
      </c>
      <c r="D4373" s="138" t="str">
        <f t="shared" si="258"/>
        <v>Medium_Base</v>
      </c>
      <c r="E4373" s="138" t="str">
        <f t="shared" si="254"/>
        <v>Base</v>
      </c>
      <c r="F4373" s="138" t="str">
        <f t="shared" si="255"/>
        <v>Upgraded</v>
      </c>
      <c r="G4373" s="153"/>
      <c r="H4373" s="210">
        <v>2.47E-2</v>
      </c>
      <c r="I4373" s="160" t="s">
        <v>48</v>
      </c>
      <c r="J4373" s="160">
        <v>0.13321</v>
      </c>
      <c r="K4373" s="160" t="s">
        <v>15</v>
      </c>
      <c r="L4373" s="154" t="str">
        <f>IF(OpenLCAbasic!K4373="CTUh", "Fill in Manually",IF(OR(K4373="Unit", K4373=""), "", INDEX(LookUps!$E$5:$E$12, MATCH(OpenLCAbasic!K4373,LookUps!$D$5:$D$12,0))))</f>
        <v>Cumulative Energy Demand (CED) - MJ</v>
      </c>
      <c r="M4373" s="154" t="str">
        <f t="shared" si="259"/>
        <v>Base_Medium_Base_Upgraded_Cumulative Energy Demand (CED) - MJ_Effluent release; wastewater treatment unit; at surface water; m3 wastewater - US_Base_With Amendment_Aerated Static Pile</v>
      </c>
    </row>
    <row r="4374" spans="1:13" s="120" customFormat="1" x14ac:dyDescent="0.25">
      <c r="A4374" s="119"/>
      <c r="B4374" s="138" t="str">
        <f t="shared" si="252"/>
        <v>Aerated Static Pile</v>
      </c>
      <c r="C4374" s="138" t="str">
        <f t="shared" si="253"/>
        <v>Base_With Amendment</v>
      </c>
      <c r="D4374" s="138" t="str">
        <f t="shared" si="258"/>
        <v>Medium_Base</v>
      </c>
      <c r="E4374" s="138" t="str">
        <f t="shared" si="254"/>
        <v>Base</v>
      </c>
      <c r="F4374" s="138" t="str">
        <f t="shared" si="255"/>
        <v>Upgraded</v>
      </c>
      <c r="G4374" s="153"/>
      <c r="H4374" s="210">
        <v>1.9699999999999999E-2</v>
      </c>
      <c r="I4374" s="160" t="s">
        <v>59</v>
      </c>
      <c r="J4374" s="160">
        <v>0.10638</v>
      </c>
      <c r="K4374" s="160" t="s">
        <v>15</v>
      </c>
      <c r="L4374" s="154" t="str">
        <f>IF(OpenLCAbasic!K4374="CTUh", "Fill in Manually",IF(OR(K4374="Unit", K4374=""), "", INDEX(LookUps!$E$5:$E$12, MATCH(OpenLCAbasic!K4374,LookUps!$D$5:$D$12,0))))</f>
        <v>Cumulative Energy Demand (CED) - MJ</v>
      </c>
      <c r="M4374" s="154" t="str">
        <f t="shared" si="259"/>
        <v>Base_Medium_Base_Upgraded_Cumulative Energy Demand (CED) - MJ_Blend Tank; wastewater treatment unit; at updated plant - US_Base_With Amendment_Aerated Static Pile</v>
      </c>
    </row>
    <row r="4375" spans="1:13" s="120" customFormat="1" x14ac:dyDescent="0.25">
      <c r="A4375" s="119"/>
      <c r="B4375" s="138" t="str">
        <f t="shared" si="252"/>
        <v>Aerated Static Pile</v>
      </c>
      <c r="C4375" s="138" t="str">
        <f t="shared" si="253"/>
        <v>Base_With Amendment</v>
      </c>
      <c r="D4375" s="138" t="str">
        <f t="shared" si="258"/>
        <v>Medium_Base</v>
      </c>
      <c r="E4375" s="138" t="str">
        <f t="shared" si="254"/>
        <v>Base</v>
      </c>
      <c r="F4375" s="138" t="str">
        <f t="shared" si="255"/>
        <v>Upgraded</v>
      </c>
      <c r="G4375" s="153"/>
      <c r="H4375" s="210">
        <v>9.4000000000000004E-3</v>
      </c>
      <c r="I4375" s="160" t="s">
        <v>168</v>
      </c>
      <c r="J4375" s="160">
        <v>5.0930000000000003E-2</v>
      </c>
      <c r="K4375" s="160" t="s">
        <v>15</v>
      </c>
      <c r="L4375" s="154" t="str">
        <f>IF(OpenLCAbasic!K4375="CTUh", "Fill in Manually",IF(OR(K4375="Unit", K4375=""), "", INDEX(LookUps!$E$5:$E$12, MATCH(OpenLCAbasic!K4375,LookUps!$D$5:$D$12,0))))</f>
        <v>Cumulative Energy Demand (CED) - MJ</v>
      </c>
      <c r="M4375" s="154" t="str">
        <f t="shared" si="259"/>
        <v>Base_Medium_Base_Upgraded_Cumulative Energy Demand (CED) - MJ_ClearCove SCP; wastewater treatment unit; at updated plant - US_Base_With Amendment_Aerated Static Pile</v>
      </c>
    </row>
    <row r="4376" spans="1:13" s="120" customFormat="1" x14ac:dyDescent="0.25">
      <c r="A4376" s="119"/>
      <c r="B4376" s="138" t="str">
        <f t="shared" si="252"/>
        <v>Aerated Static Pile</v>
      </c>
      <c r="C4376" s="138" t="str">
        <f t="shared" si="253"/>
        <v>Base_With Amendment</v>
      </c>
      <c r="D4376" s="138" t="str">
        <f t="shared" si="258"/>
        <v>Medium_Base</v>
      </c>
      <c r="E4376" s="138" t="str">
        <f t="shared" si="254"/>
        <v>Base</v>
      </c>
      <c r="F4376" s="138" t="str">
        <f t="shared" si="255"/>
        <v>Upgraded</v>
      </c>
      <c r="G4376" s="153"/>
      <c r="H4376" s="210">
        <v>-0.1133</v>
      </c>
      <c r="I4376" s="160" t="s">
        <v>62</v>
      </c>
      <c r="J4376" s="160">
        <v>-0.61173999999999995</v>
      </c>
      <c r="K4376" s="160" t="s">
        <v>15</v>
      </c>
      <c r="L4376" s="154" t="str">
        <f>IF(OpenLCAbasic!K4376="CTUh", "Fill in Manually",IF(OR(K4376="Unit", K4376=""), "", INDEX(LookUps!$E$5:$E$12, MATCH(OpenLCAbasic!K4376,LookUps!$D$5:$D$12,0))))</f>
        <v>Cumulative Energy Demand (CED) - MJ</v>
      </c>
      <c r="M4376" s="154" t="str">
        <f t="shared" si="259"/>
        <v>Base_Medium_Base_Upgraded_Cumulative Energy Demand (CED) - MJ_Land application of compost; wastewater treatment unit; at updated plant - US_Base_With Amendment_Aerated Static Pile</v>
      </c>
    </row>
    <row r="4377" spans="1:13" s="120" customFormat="1" x14ac:dyDescent="0.25">
      <c r="A4377" s="119"/>
      <c r="B4377" s="138" t="str">
        <f t="shared" si="252"/>
        <v>Aerated Static Pile</v>
      </c>
      <c r="C4377" s="138" t="str">
        <f t="shared" si="253"/>
        <v>Base_With Amendment</v>
      </c>
      <c r="D4377" s="138" t="str">
        <f t="shared" si="258"/>
        <v>Medium_Base</v>
      </c>
      <c r="E4377" s="138" t="str">
        <f t="shared" si="254"/>
        <v>Base</v>
      </c>
      <c r="F4377" s="138" t="str">
        <f t="shared" si="255"/>
        <v>Upgraded</v>
      </c>
      <c r="G4377" s="153"/>
      <c r="H4377" s="210">
        <v>-1.5889</v>
      </c>
      <c r="I4377" s="160" t="s">
        <v>149</v>
      </c>
      <c r="J4377" s="160">
        <v>-8.5788899999999995</v>
      </c>
      <c r="K4377" s="160" t="s">
        <v>15</v>
      </c>
      <c r="L4377" s="154" t="str">
        <f>IF(OpenLCAbasic!K4377="CTUh", "Fill in Manually",IF(OR(K4377="Unit", K4377=""), "", INDEX(LookUps!$E$5:$E$12, MATCH(OpenLCAbasic!K4377,LookUps!$D$5:$D$12,0))))</f>
        <v>Cumulative Energy Demand (CED) - MJ</v>
      </c>
      <c r="M4377" s="154" t="str">
        <f t="shared" si="259"/>
        <v>Base_Medium_Base_Upgraded_Cumulative Energy Demand (CED) - MJ_Anaerobic Digestion; wastewater treatment unit; at updated plant - US_Base_With Amendment_Aerated Static Pile</v>
      </c>
    </row>
    <row r="4378" spans="1:13" s="120" customFormat="1" x14ac:dyDescent="0.25">
      <c r="A4378" s="119"/>
      <c r="B4378" s="138" t="str">
        <f t="shared" si="252"/>
        <v/>
      </c>
      <c r="C4378" s="138" t="str">
        <f t="shared" si="253"/>
        <v/>
      </c>
      <c r="D4378" s="138" t="str">
        <f t="shared" si="258"/>
        <v/>
      </c>
      <c r="E4378" s="138" t="str">
        <f t="shared" si="254"/>
        <v/>
      </c>
      <c r="F4378" s="138" t="str">
        <f t="shared" si="255"/>
        <v/>
      </c>
      <c r="G4378" s="153" t="s">
        <v>51</v>
      </c>
      <c r="H4378" s="160"/>
      <c r="I4378" s="160" t="s">
        <v>47</v>
      </c>
      <c r="J4378" s="160" t="s">
        <v>52</v>
      </c>
      <c r="K4378" s="160" t="s">
        <v>27</v>
      </c>
      <c r="L4378" s="154" t="str">
        <f>IF(OpenLCAbasic!K4378="CTUh", "Fill in Manually",IF(OR(K4378="Unit", K4378=""), "", INDEX(LookUps!$E$5:$E$12, MATCH(OpenLCAbasic!K4378,LookUps!$D$5:$D$12,0))))</f>
        <v/>
      </c>
      <c r="M4378" s="154" t="str">
        <f t="shared" si="259"/>
        <v>____Process__</v>
      </c>
    </row>
    <row r="4379" spans="1:13" s="120" customFormat="1" x14ac:dyDescent="0.25">
      <c r="A4379" s="119"/>
      <c r="B4379" s="138" t="str">
        <f t="shared" si="252"/>
        <v>Aerated Static Pile</v>
      </c>
      <c r="C4379" s="138" t="str">
        <f t="shared" si="253"/>
        <v>Base_With Amendment</v>
      </c>
      <c r="D4379" s="138" t="str">
        <f t="shared" si="258"/>
        <v>Medium_Base</v>
      </c>
      <c r="E4379" s="138" t="str">
        <f t="shared" si="254"/>
        <v>Base</v>
      </c>
      <c r="F4379" s="138" t="str">
        <f t="shared" si="255"/>
        <v>Upgraded</v>
      </c>
      <c r="G4379" s="153"/>
      <c r="H4379" s="210">
        <v>0.73660000000000003</v>
      </c>
      <c r="I4379" s="160" t="s">
        <v>48</v>
      </c>
      <c r="J4379" s="160">
        <v>1.1610000000000001E-2</v>
      </c>
      <c r="K4379" s="160" t="s">
        <v>13</v>
      </c>
      <c r="L4379" s="154" t="str">
        <f>IF(OpenLCAbasic!K4379="CTUh", "Fill in Manually",IF(OR(K4379="Unit", K4379=""), "", INDEX(LookUps!$E$5:$E$12, MATCH(OpenLCAbasic!K4379,LookUps!$D$5:$D$12,0))))</f>
        <v>Eutrophication Potential (EP) - kg N eq</v>
      </c>
      <c r="M4379" s="154" t="str">
        <f t="shared" si="259"/>
        <v>Base_Medium_Base_Upgraded_Eutrophication Potential (EP) - kg N eq_Effluent release; wastewater treatment unit; at surface water; m3 wastewater - US_Base_With Amendment_Aerated Static Pile</v>
      </c>
    </row>
    <row r="4380" spans="1:13" s="120" customFormat="1" x14ac:dyDescent="0.25">
      <c r="A4380" s="119"/>
      <c r="B4380" s="138" t="str">
        <f t="shared" si="252"/>
        <v>Aerated Static Pile</v>
      </c>
      <c r="C4380" s="138" t="str">
        <f t="shared" si="253"/>
        <v>Base_With Amendment</v>
      </c>
      <c r="D4380" s="138" t="str">
        <f t="shared" si="258"/>
        <v>Medium_Base</v>
      </c>
      <c r="E4380" s="138" t="str">
        <f t="shared" si="254"/>
        <v>Base</v>
      </c>
      <c r="F4380" s="138" t="str">
        <f t="shared" si="255"/>
        <v>Upgraded</v>
      </c>
      <c r="G4380" s="153"/>
      <c r="H4380" s="210">
        <v>0.17949999999999999</v>
      </c>
      <c r="I4380" s="160" t="s">
        <v>62</v>
      </c>
      <c r="J4380" s="160">
        <v>2.8300000000000001E-3</v>
      </c>
      <c r="K4380" s="160" t="s">
        <v>13</v>
      </c>
      <c r="L4380" s="154" t="str">
        <f>IF(OpenLCAbasic!K4380="CTUh", "Fill in Manually",IF(OR(K4380="Unit", K4380=""), "", INDEX(LookUps!$E$5:$E$12, MATCH(OpenLCAbasic!K4380,LookUps!$D$5:$D$12,0))))</f>
        <v>Eutrophication Potential (EP) - kg N eq</v>
      </c>
      <c r="M4380" s="154" t="str">
        <f t="shared" si="259"/>
        <v>Base_Medium_Base_Upgraded_Eutrophication Potential (EP) - kg N eq_Land application of compost; wastewater treatment unit; at updated plant - US_Base_With Amendment_Aerated Static Pile</v>
      </c>
    </row>
    <row r="4381" spans="1:13" s="120" customFormat="1" x14ac:dyDescent="0.25">
      <c r="A4381" s="119"/>
      <c r="B4381" s="138" t="str">
        <f t="shared" si="252"/>
        <v>Aerated Static Pile</v>
      </c>
      <c r="C4381" s="138" t="str">
        <f t="shared" si="253"/>
        <v>Base_With Amendment</v>
      </c>
      <c r="D4381" s="138" t="str">
        <f t="shared" si="258"/>
        <v>Medium_Base</v>
      </c>
      <c r="E4381" s="138" t="str">
        <f t="shared" si="254"/>
        <v>Base</v>
      </c>
      <c r="F4381" s="138" t="str">
        <f t="shared" si="255"/>
        <v>Upgraded</v>
      </c>
      <c r="G4381" s="153"/>
      <c r="H4381" s="210">
        <v>3.4700000000000002E-2</v>
      </c>
      <c r="I4381" s="160" t="s">
        <v>55</v>
      </c>
      <c r="J4381" s="160">
        <v>5.5000000000000003E-4</v>
      </c>
      <c r="K4381" s="160" t="s">
        <v>13</v>
      </c>
      <c r="L4381" s="154" t="str">
        <f>IF(OpenLCAbasic!K4381="CTUh", "Fill in Manually",IF(OR(K4381="Unit", K4381=""), "", INDEX(LookUps!$E$5:$E$12, MATCH(OpenLCAbasic!K4381,LookUps!$D$5:$D$12,0))))</f>
        <v>Eutrophication Potential (EP) - kg N eq</v>
      </c>
      <c r="M4381" s="154" t="str">
        <f t="shared" si="259"/>
        <v>Base_Medium_Base_Upgraded_Eutrophication Potential (EP) - kg N eq_Aeration Tanks; wastewater treatment unit; at updated plant - US_Base_With Amendment_Aerated Static Pile</v>
      </c>
    </row>
    <row r="4382" spans="1:13" s="120" customFormat="1" x14ac:dyDescent="0.25">
      <c r="A4382" s="119"/>
      <c r="B4382" s="138" t="str">
        <f t="shared" si="252"/>
        <v>Aerated Static Pile</v>
      </c>
      <c r="C4382" s="138" t="str">
        <f t="shared" si="253"/>
        <v>Base_With Amendment</v>
      </c>
      <c r="D4382" s="138" t="str">
        <f t="shared" si="258"/>
        <v>Medium_Base</v>
      </c>
      <c r="E4382" s="138" t="str">
        <f t="shared" si="254"/>
        <v>Base</v>
      </c>
      <c r="F4382" s="138" t="str">
        <f t="shared" si="255"/>
        <v>Upgraded</v>
      </c>
      <c r="G4382" s="153"/>
      <c r="H4382" s="210">
        <v>1.8100000000000002E-2</v>
      </c>
      <c r="I4382" s="160" t="s">
        <v>435</v>
      </c>
      <c r="J4382" s="160">
        <v>2.7999999999999998E-4</v>
      </c>
      <c r="K4382" s="160" t="s">
        <v>13</v>
      </c>
      <c r="L4382" s="154" t="str">
        <f>IF(OpenLCAbasic!K4382="CTUh", "Fill in Manually",IF(OR(K4382="Unit", K4382=""), "", INDEX(LookUps!$E$5:$E$12, MATCH(OpenLCAbasic!K4382,LookUps!$D$5:$D$12,0))))</f>
        <v>Eutrophication Potential (EP) - kg N eq</v>
      </c>
      <c r="M4382" s="154" t="str">
        <f t="shared" si="259"/>
        <v>Base_Medium_Base_Upgraded_Eutrophication Potential (EP) - kg N eq_Biosolids composting; aerated static pile; wastewater treatment unit; at updated plant - US_Base_With Amendment_Aerated Static Pile</v>
      </c>
    </row>
    <row r="4383" spans="1:13" s="120" customFormat="1" x14ac:dyDescent="0.25">
      <c r="A4383" s="119"/>
      <c r="B4383" s="138" t="str">
        <f t="shared" si="252"/>
        <v>Aerated Static Pile</v>
      </c>
      <c r="C4383" s="138" t="str">
        <f t="shared" si="253"/>
        <v>Base_With Amendment</v>
      </c>
      <c r="D4383" s="138" t="str">
        <f t="shared" si="258"/>
        <v>Medium_Base</v>
      </c>
      <c r="E4383" s="138" t="str">
        <f t="shared" si="254"/>
        <v>Base</v>
      </c>
      <c r="F4383" s="138" t="str">
        <f t="shared" si="255"/>
        <v>Upgraded</v>
      </c>
      <c r="G4383" s="153"/>
      <c r="H4383" s="210">
        <v>1.5800000000000002E-2</v>
      </c>
      <c r="I4383" s="160" t="s">
        <v>147</v>
      </c>
      <c r="J4383" s="160">
        <v>2.5000000000000001E-4</v>
      </c>
      <c r="K4383" s="160" t="s">
        <v>13</v>
      </c>
      <c r="L4383" s="154" t="str">
        <f>IF(OpenLCAbasic!K4383="CTUh", "Fill in Manually",IF(OR(K4383="Unit", K4383=""), "", INDEX(LookUps!$E$5:$E$12, MATCH(OpenLCAbasic!K4383,LookUps!$D$5:$D$12,0))))</f>
        <v>Eutrophication Potential (EP) - kg N eq</v>
      </c>
      <c r="M4383" s="154" t="str">
        <f t="shared" si="259"/>
        <v>Base_Medium_Base_Upgraded_Eutrophication Potential (EP) - kg N eq_Influent Pump Station; wastewater treatment unit; at updated plant - US_Base_With Amendment_Aerated Static Pile</v>
      </c>
    </row>
    <row r="4384" spans="1:13" s="120" customFormat="1" x14ac:dyDescent="0.25">
      <c r="A4384" s="119"/>
      <c r="B4384" s="138" t="str">
        <f t="shared" si="252"/>
        <v>Aerated Static Pile</v>
      </c>
      <c r="C4384" s="138" t="str">
        <f t="shared" si="253"/>
        <v>Base_With Amendment</v>
      </c>
      <c r="D4384" s="138" t="str">
        <f t="shared" si="258"/>
        <v>Medium_Base</v>
      </c>
      <c r="E4384" s="138" t="str">
        <f t="shared" si="254"/>
        <v>Base</v>
      </c>
      <c r="F4384" s="138" t="str">
        <f t="shared" si="255"/>
        <v>Upgraded</v>
      </c>
      <c r="G4384" s="153"/>
      <c r="H4384" s="210">
        <v>1.26E-2</v>
      </c>
      <c r="I4384" s="160" t="s">
        <v>54</v>
      </c>
      <c r="J4384" s="160">
        <v>2.0000000000000001E-4</v>
      </c>
      <c r="K4384" s="160" t="s">
        <v>13</v>
      </c>
      <c r="L4384" s="154" t="str">
        <f>IF(OpenLCAbasic!K4384="CTUh", "Fill in Manually",IF(OR(K4384="Unit", K4384=""), "", INDEX(LookUps!$E$5:$E$12, MATCH(OpenLCAbasic!K4384,LookUps!$D$5:$D$12,0))))</f>
        <v>Eutrophication Potential (EP) - kg N eq</v>
      </c>
      <c r="M4384" s="154" t="str">
        <f t="shared" si="259"/>
        <v>Base_Medium_Base_Upgraded_Eutrophication Potential (EP) - kg N eq_Clear Cove Primary Clarification; wastewater treatment unit; at updated plant - US_Base_With Amendment_Aerated Static Pile</v>
      </c>
    </row>
    <row r="4385" spans="1:13" s="120" customFormat="1" x14ac:dyDescent="0.25">
      <c r="A4385" s="119"/>
      <c r="B4385" s="138" t="str">
        <f t="shared" si="252"/>
        <v>Aerated Static Pile</v>
      </c>
      <c r="C4385" s="138" t="str">
        <f t="shared" si="253"/>
        <v>Base_With Amendment</v>
      </c>
      <c r="D4385" s="138" t="str">
        <f t="shared" si="258"/>
        <v>Medium_Base</v>
      </c>
      <c r="E4385" s="138" t="str">
        <f t="shared" si="254"/>
        <v>Base</v>
      </c>
      <c r="F4385" s="138" t="str">
        <f t="shared" si="255"/>
        <v>Upgraded</v>
      </c>
      <c r="G4385" s="153"/>
      <c r="H4385" s="210">
        <v>1.21E-2</v>
      </c>
      <c r="I4385" s="160" t="s">
        <v>167</v>
      </c>
      <c r="J4385" s="160">
        <v>1.9000000000000001E-4</v>
      </c>
      <c r="K4385" s="160" t="s">
        <v>13</v>
      </c>
      <c r="L4385" s="154" t="str">
        <f>IF(OpenLCAbasic!K4385="CTUh", "Fill in Manually",IF(OR(K4385="Unit", K4385=""), "", INDEX(LookUps!$E$5:$E$12, MATCH(OpenLCAbasic!K4385,LookUps!$D$5:$D$12,0))))</f>
        <v>Eutrophication Potential (EP) - kg N eq</v>
      </c>
      <c r="M4385" s="154" t="str">
        <f t="shared" si="259"/>
        <v>Base_Medium_Base_Upgraded_Eutrophication Potential (EP) - kg N eq_Waste Receiving and Holding; wastewater treatment unit; at updated plant - US_Base_With Amendment_Aerated Static Pile</v>
      </c>
    </row>
    <row r="4386" spans="1:13" s="120" customFormat="1" x14ac:dyDescent="0.25">
      <c r="A4386" s="119"/>
      <c r="B4386" s="138" t="str">
        <f t="shared" si="252"/>
        <v>Aerated Static Pile</v>
      </c>
      <c r="C4386" s="138" t="str">
        <f t="shared" si="253"/>
        <v>Base_With Amendment</v>
      </c>
      <c r="D4386" s="138" t="str">
        <f t="shared" si="258"/>
        <v>Medium_Base</v>
      </c>
      <c r="E4386" s="138" t="str">
        <f t="shared" si="254"/>
        <v>Base</v>
      </c>
      <c r="F4386" s="138" t="str">
        <f t="shared" si="255"/>
        <v>Upgraded</v>
      </c>
      <c r="G4386" s="153"/>
      <c r="H4386" s="210">
        <v>8.6E-3</v>
      </c>
      <c r="I4386" s="160" t="s">
        <v>58</v>
      </c>
      <c r="J4386" s="160">
        <v>1.3999999999999999E-4</v>
      </c>
      <c r="K4386" s="160" t="s">
        <v>13</v>
      </c>
      <c r="L4386" s="154" t="str">
        <f>IF(OpenLCAbasic!K4386="CTUh", "Fill in Manually",IF(OR(K4386="Unit", K4386=""), "", INDEX(LookUps!$E$5:$E$12, MATCH(OpenLCAbasic!K4386,LookUps!$D$5:$D$12,0))))</f>
        <v>Eutrophication Potential (EP) - kg N eq</v>
      </c>
      <c r="M4386" s="154" t="str">
        <f t="shared" si="259"/>
        <v>Base_Medium_Base_Upgraded_Eutrophication Potential (EP) - kg N eq_Pre-Anoxic &amp; Swing tank; wastewater treatment unit; at updated plant - US_Base_With Amendment_Aerated Static Pile</v>
      </c>
    </row>
    <row r="4387" spans="1:13" s="120" customFormat="1" x14ac:dyDescent="0.25">
      <c r="A4387" s="119"/>
      <c r="B4387" s="138" t="str">
        <f t="shared" si="252"/>
        <v>Aerated Static Pile</v>
      </c>
      <c r="C4387" s="138" t="str">
        <f t="shared" si="253"/>
        <v>Base_With Amendment</v>
      </c>
      <c r="D4387" s="138" t="str">
        <f t="shared" si="258"/>
        <v>Medium_Base</v>
      </c>
      <c r="E4387" s="138" t="str">
        <f t="shared" si="254"/>
        <v>Base</v>
      </c>
      <c r="F4387" s="138" t="str">
        <f t="shared" si="255"/>
        <v>Upgraded</v>
      </c>
      <c r="G4387" s="153"/>
      <c r="H4387" s="210">
        <v>6.7999999999999996E-3</v>
      </c>
      <c r="I4387" s="160" t="s">
        <v>53</v>
      </c>
      <c r="J4387" s="160">
        <v>1.1E-4</v>
      </c>
      <c r="K4387" s="160" t="s">
        <v>13</v>
      </c>
      <c r="L4387" s="154" t="str">
        <f>IF(OpenLCAbasic!K4387="CTUh", "Fill in Manually",IF(OR(K4387="Unit", K4387=""), "", INDEX(LookUps!$E$5:$E$12, MATCH(OpenLCAbasic!K4387,LookUps!$D$5:$D$12,0))))</f>
        <v>Eutrophication Potential (EP) - kg N eq</v>
      </c>
      <c r="M4387" s="154" t="str">
        <f t="shared" si="259"/>
        <v>Base_Medium_Base_Upgraded_Eutrophication Potential (EP) - kg N eq_Wet Well and Sump Station; wastewater treatment unit; at updated plant - US_Base_With Amendment_Aerated Static Pile</v>
      </c>
    </row>
    <row r="4388" spans="1:13" s="120" customFormat="1" x14ac:dyDescent="0.25">
      <c r="A4388" s="119"/>
      <c r="B4388" s="138" t="str">
        <f t="shared" si="252"/>
        <v>Aerated Static Pile</v>
      </c>
      <c r="C4388" s="138" t="str">
        <f t="shared" si="253"/>
        <v>Base_With Amendment</v>
      </c>
      <c r="D4388" s="138" t="str">
        <f t="shared" si="258"/>
        <v>Medium_Base</v>
      </c>
      <c r="E4388" s="138" t="str">
        <f t="shared" si="254"/>
        <v>Base</v>
      </c>
      <c r="F4388" s="138" t="str">
        <f t="shared" si="255"/>
        <v>Upgraded</v>
      </c>
      <c r="G4388" s="153"/>
      <c r="H4388" s="210">
        <v>4.4000000000000003E-3</v>
      </c>
      <c r="I4388" s="160" t="s">
        <v>60</v>
      </c>
      <c r="J4388" s="211">
        <v>6.9922100000000006E-5</v>
      </c>
      <c r="K4388" s="160" t="s">
        <v>13</v>
      </c>
      <c r="L4388" s="154" t="str">
        <f>IF(OpenLCAbasic!K4388="CTUh", "Fill in Manually",IF(OR(K4388="Unit", K4388=""), "", INDEX(LookUps!$E$5:$E$12, MATCH(OpenLCAbasic!K4388,LookUps!$D$5:$D$12,0))))</f>
        <v>Eutrophication Potential (EP) - kg N eq</v>
      </c>
      <c r="M4388" s="154" t="str">
        <f t="shared" si="259"/>
        <v>Base_Medium_Base_Upgraded_Eutrophication Potential (EP) - kg N eq_Belt filter press; wastewater treatment unit; at updated plant - US_Base_With Amendment_Aerated Static Pile</v>
      </c>
    </row>
    <row r="4389" spans="1:13" s="120" customFormat="1" x14ac:dyDescent="0.25">
      <c r="A4389" s="119"/>
      <c r="B4389" s="138" t="str">
        <f t="shared" si="252"/>
        <v>Aerated Static Pile</v>
      </c>
      <c r="C4389" s="138" t="str">
        <f t="shared" si="253"/>
        <v>Base_With Amendment</v>
      </c>
      <c r="D4389" s="138" t="str">
        <f t="shared" si="258"/>
        <v>Medium_Base</v>
      </c>
      <c r="E4389" s="138" t="str">
        <f t="shared" si="254"/>
        <v>Base</v>
      </c>
      <c r="F4389" s="138" t="str">
        <f t="shared" si="255"/>
        <v>Upgraded</v>
      </c>
      <c r="G4389" s="153"/>
      <c r="H4389" s="210">
        <v>3.8E-3</v>
      </c>
      <c r="I4389" s="160" t="s">
        <v>57</v>
      </c>
      <c r="J4389" s="211">
        <v>6.0590300000000002E-5</v>
      </c>
      <c r="K4389" s="160" t="s">
        <v>13</v>
      </c>
      <c r="L4389" s="154" t="str">
        <f>IF(OpenLCAbasic!K4389="CTUh", "Fill in Manually",IF(OR(K4389="Unit", K4389=""), "", INDEX(LookUps!$E$5:$E$12, MATCH(OpenLCAbasic!K4389,LookUps!$D$5:$D$12,0))))</f>
        <v>Eutrophication Potential (EP) - kg N eq</v>
      </c>
      <c r="M4389" s="154" t="str">
        <f t="shared" si="259"/>
        <v>Base_Medium_Base_Upgraded_Eutrophication Potential (EP) - kg N eq_Gravity Belt Thickener; wastewater treatment unit; at updated plant - US_Base_With Amendment_Aerated Static Pile</v>
      </c>
    </row>
    <row r="4390" spans="1:13" s="120" customFormat="1" x14ac:dyDescent="0.25">
      <c r="A4390" s="119"/>
      <c r="B4390" s="138" t="str">
        <f t="shared" si="252"/>
        <v>Aerated Static Pile</v>
      </c>
      <c r="C4390" s="138" t="str">
        <f t="shared" si="253"/>
        <v>Base_With Amendment</v>
      </c>
      <c r="D4390" s="138" t="str">
        <f t="shared" si="258"/>
        <v>Medium_Base</v>
      </c>
      <c r="E4390" s="138" t="str">
        <f t="shared" si="254"/>
        <v>Base</v>
      </c>
      <c r="F4390" s="138" t="str">
        <f t="shared" si="255"/>
        <v>Upgraded</v>
      </c>
      <c r="G4390" s="153"/>
      <c r="H4390" s="210">
        <v>2.3999999999999998E-3</v>
      </c>
      <c r="I4390" s="160" t="s">
        <v>128</v>
      </c>
      <c r="J4390" s="211">
        <v>3.7559799999999999E-5</v>
      </c>
      <c r="K4390" s="160" t="s">
        <v>13</v>
      </c>
      <c r="L4390" s="154" t="str">
        <f>IF(OpenLCAbasic!K4390="CTUh", "Fill in Manually",IF(OR(K4390="Unit", K4390=""), "", INDEX(LookUps!$E$5:$E$12, MATCH(OpenLCAbasic!K4390,LookUps!$D$5:$D$12,0))))</f>
        <v>Eutrophication Potential (EP) - kg N eq</v>
      </c>
      <c r="M4390" s="154" t="str">
        <f t="shared" si="259"/>
        <v>Base_Medium_Base_Upgraded_Eutrophication Potential (EP) - kg N eq_Wastewater collection; operation and infrastructure; m3 wastewater_Base_With Amendment_Aerated Static Pile</v>
      </c>
    </row>
    <row r="4391" spans="1:13" s="120" customFormat="1" x14ac:dyDescent="0.25">
      <c r="A4391" s="119"/>
      <c r="B4391" s="138" t="str">
        <f t="shared" si="252"/>
        <v>Aerated Static Pile</v>
      </c>
      <c r="C4391" s="138" t="str">
        <f t="shared" si="253"/>
        <v>Base_With Amendment</v>
      </c>
      <c r="D4391" s="138" t="str">
        <f t="shared" si="258"/>
        <v>Medium_Base</v>
      </c>
      <c r="E4391" s="138" t="str">
        <f t="shared" si="254"/>
        <v>Base</v>
      </c>
      <c r="F4391" s="138" t="str">
        <f t="shared" si="255"/>
        <v>Upgraded</v>
      </c>
      <c r="G4391" s="153"/>
      <c r="H4391" s="210">
        <v>2.3E-3</v>
      </c>
      <c r="I4391" s="160" t="s">
        <v>148</v>
      </c>
      <c r="J4391" s="211">
        <v>3.6874600000000001E-5</v>
      </c>
      <c r="K4391" s="160" t="s">
        <v>13</v>
      </c>
      <c r="L4391" s="154" t="str">
        <f>IF(OpenLCAbasic!K4391="CTUh", "Fill in Manually",IF(OR(K4391="Unit", K4391=""), "", INDEX(LookUps!$E$5:$E$12, MATCH(OpenLCAbasic!K4391,LookUps!$D$5:$D$12,0))))</f>
        <v>Eutrophication Potential (EP) - kg N eq</v>
      </c>
      <c r="M4391" s="154" t="str">
        <f t="shared" si="259"/>
        <v>Base_Medium_Base_Upgraded_Eutrophication Potential (EP) - kg N eq_Control Building; at upgraded wastewater treatment plant - US_Base_With Amendment_Aerated Static Pile</v>
      </c>
    </row>
    <row r="4392" spans="1:13" s="120" customFormat="1" x14ac:dyDescent="0.25">
      <c r="A4392" s="119"/>
      <c r="B4392" s="138" t="str">
        <f t="shared" si="252"/>
        <v>Aerated Static Pile</v>
      </c>
      <c r="C4392" s="138" t="str">
        <f t="shared" si="253"/>
        <v>Base_With Amendment</v>
      </c>
      <c r="D4392" s="138" t="str">
        <f t="shared" si="258"/>
        <v>Medium_Base</v>
      </c>
      <c r="E4392" s="138" t="str">
        <f t="shared" si="254"/>
        <v>Base</v>
      </c>
      <c r="F4392" s="138" t="str">
        <f t="shared" si="255"/>
        <v>Upgraded</v>
      </c>
      <c r="G4392" s="153"/>
      <c r="H4392" s="210">
        <v>1E-3</v>
      </c>
      <c r="I4392" s="160" t="s">
        <v>59</v>
      </c>
      <c r="J4392" s="211">
        <v>1.6215700000000001E-5</v>
      </c>
      <c r="K4392" s="160" t="s">
        <v>13</v>
      </c>
      <c r="L4392" s="154" t="str">
        <f>IF(OpenLCAbasic!K4392="CTUh", "Fill in Manually",IF(OR(K4392="Unit", K4392=""), "", INDEX(LookUps!$E$5:$E$12, MATCH(OpenLCAbasic!K4392,LookUps!$D$5:$D$12,0))))</f>
        <v>Eutrophication Potential (EP) - kg N eq</v>
      </c>
      <c r="M4392" s="154" t="str">
        <f t="shared" si="259"/>
        <v>Base_Medium_Base_Upgraded_Eutrophication Potential (EP) - kg N eq_Blend Tank; wastewater treatment unit; at updated plant - US_Base_With Amendment_Aerated Static Pile</v>
      </c>
    </row>
    <row r="4393" spans="1:13" s="120" customFormat="1" x14ac:dyDescent="0.25">
      <c r="A4393" s="119"/>
      <c r="B4393" s="138" t="str">
        <f t="shared" si="252"/>
        <v>Aerated Static Pile</v>
      </c>
      <c r="C4393" s="138" t="str">
        <f t="shared" si="253"/>
        <v>Base_With Amendment</v>
      </c>
      <c r="D4393" s="138" t="str">
        <f t="shared" si="258"/>
        <v>Medium_Base</v>
      </c>
      <c r="E4393" s="138" t="str">
        <f t="shared" si="254"/>
        <v>Base</v>
      </c>
      <c r="F4393" s="138" t="str">
        <f t="shared" si="255"/>
        <v>Upgraded</v>
      </c>
      <c r="G4393" s="153"/>
      <c r="H4393" s="210">
        <v>5.0000000000000001E-4</v>
      </c>
      <c r="I4393" s="160" t="s">
        <v>168</v>
      </c>
      <c r="J4393" s="211">
        <v>7.7567199999999995E-6</v>
      </c>
      <c r="K4393" s="160" t="s">
        <v>13</v>
      </c>
      <c r="L4393" s="154" t="str">
        <f>IF(OpenLCAbasic!K4393="CTUh", "Fill in Manually",IF(OR(K4393="Unit", K4393=""), "", INDEX(LookUps!$E$5:$E$12, MATCH(OpenLCAbasic!K4393,LookUps!$D$5:$D$12,0))))</f>
        <v>Eutrophication Potential (EP) - kg N eq</v>
      </c>
      <c r="M4393" s="154" t="str">
        <f t="shared" si="259"/>
        <v>Base_Medium_Base_Upgraded_Eutrophication Potential (EP) - kg N eq_ClearCove SCP; wastewater treatment unit; at updated plant - US_Base_With Amendment_Aerated Static Pile</v>
      </c>
    </row>
    <row r="4394" spans="1:13" s="120" customFormat="1" x14ac:dyDescent="0.25">
      <c r="A4394" s="119"/>
      <c r="B4394" s="138" t="str">
        <f t="shared" si="252"/>
        <v>Aerated Static Pile</v>
      </c>
      <c r="C4394" s="138" t="str">
        <f t="shared" si="253"/>
        <v>Base_With Amendment</v>
      </c>
      <c r="D4394" s="138" t="str">
        <f t="shared" si="258"/>
        <v>Medium_Base</v>
      </c>
      <c r="E4394" s="138" t="str">
        <f t="shared" si="254"/>
        <v>Base</v>
      </c>
      <c r="F4394" s="138" t="str">
        <f t="shared" si="255"/>
        <v>Upgraded</v>
      </c>
      <c r="G4394" s="153"/>
      <c r="H4394" s="210">
        <v>-3.9300000000000002E-2</v>
      </c>
      <c r="I4394" s="160" t="s">
        <v>149</v>
      </c>
      <c r="J4394" s="160">
        <v>-6.2E-4</v>
      </c>
      <c r="K4394" s="160" t="s">
        <v>13</v>
      </c>
      <c r="L4394" s="154" t="str">
        <f>IF(OpenLCAbasic!K4394="CTUh", "Fill in Manually",IF(OR(K4394="Unit", K4394=""), "", INDEX(LookUps!$E$5:$E$12, MATCH(OpenLCAbasic!K4394,LookUps!$D$5:$D$12,0))))</f>
        <v>Eutrophication Potential (EP) - kg N eq</v>
      </c>
      <c r="M4394" s="154" t="str">
        <f t="shared" si="259"/>
        <v>Base_Medium_Base_Upgraded_Eutrophication Potential (EP) - kg N eq_Anaerobic Digestion; wastewater treatment unit; at updated plant - US_Base_With Amendment_Aerated Static Pile</v>
      </c>
    </row>
    <row r="4395" spans="1:13" s="120" customFormat="1" x14ac:dyDescent="0.25">
      <c r="A4395" s="119"/>
      <c r="B4395" s="138" t="str">
        <f t="shared" si="252"/>
        <v/>
      </c>
      <c r="C4395" s="138" t="str">
        <f t="shared" si="253"/>
        <v/>
      </c>
      <c r="D4395" s="138" t="str">
        <f t="shared" si="258"/>
        <v/>
      </c>
      <c r="E4395" s="138" t="str">
        <f t="shared" si="254"/>
        <v/>
      </c>
      <c r="F4395" s="138" t="str">
        <f t="shared" si="255"/>
        <v/>
      </c>
      <c r="G4395" s="153" t="s">
        <v>51</v>
      </c>
      <c r="H4395" s="160"/>
      <c r="I4395" s="160" t="s">
        <v>47</v>
      </c>
      <c r="J4395" s="160" t="s">
        <v>52</v>
      </c>
      <c r="K4395" s="160" t="s">
        <v>27</v>
      </c>
      <c r="L4395" s="154" t="str">
        <f>IF(OpenLCAbasic!K4395="CTUh", "Fill in Manually",IF(OR(K4395="Unit", K4395=""), "", INDEX(LookUps!$E$5:$E$12, MATCH(OpenLCAbasic!K4395,LookUps!$D$5:$D$12,0))))</f>
        <v/>
      </c>
      <c r="M4395" s="154" t="str">
        <f t="shared" si="259"/>
        <v>____Process__</v>
      </c>
    </row>
    <row r="4396" spans="1:13" s="120" customFormat="1" x14ac:dyDescent="0.25">
      <c r="A4396" s="119"/>
      <c r="B4396" s="138" t="str">
        <f t="shared" si="252"/>
        <v>Aerated Static Pile</v>
      </c>
      <c r="C4396" s="138" t="str">
        <f t="shared" si="253"/>
        <v>Base_With Amendment</v>
      </c>
      <c r="D4396" s="138" t="str">
        <f t="shared" si="258"/>
        <v>Medium_Base</v>
      </c>
      <c r="E4396" s="138" t="str">
        <f t="shared" si="254"/>
        <v>Base</v>
      </c>
      <c r="F4396" s="138" t="str">
        <f t="shared" si="255"/>
        <v>Upgraded</v>
      </c>
      <c r="G4396" s="153"/>
      <c r="H4396" s="210">
        <v>1.0289999999999999</v>
      </c>
      <c r="I4396" s="160" t="s">
        <v>167</v>
      </c>
      <c r="J4396" s="160">
        <v>9.7259999999999999E-2</v>
      </c>
      <c r="K4396" s="160" t="s">
        <v>14</v>
      </c>
      <c r="L4396" s="154" t="str">
        <f>IF(OpenLCAbasic!K4396="CTUh", "Fill in Manually",IF(OR(K4396="Unit", K4396=""), "", INDEX(LookUps!$E$5:$E$12, MATCH(OpenLCAbasic!K4396,LookUps!$D$5:$D$12,0))))</f>
        <v>Fossil Depletion Potential (FDP) - kg oil eq</v>
      </c>
      <c r="M4396" s="154" t="str">
        <f t="shared" si="259"/>
        <v>Base_Medium_Base_Upgraded_Fossil Depletion Potential (FDP) - kg oil eq_Waste Receiving and Holding; wastewater treatment unit; at updated plant - US_Base_With Amendment_Aerated Static Pile</v>
      </c>
    </row>
    <row r="4397" spans="1:13" s="120" customFormat="1" x14ac:dyDescent="0.25">
      <c r="A4397" s="119"/>
      <c r="B4397" s="138" t="str">
        <f t="shared" si="252"/>
        <v>Aerated Static Pile</v>
      </c>
      <c r="C4397" s="138" t="str">
        <f t="shared" si="253"/>
        <v>Base_With Amendment</v>
      </c>
      <c r="D4397" s="138" t="str">
        <f t="shared" si="258"/>
        <v>Medium_Base</v>
      </c>
      <c r="E4397" s="138" t="str">
        <f t="shared" si="254"/>
        <v>Base</v>
      </c>
      <c r="F4397" s="138" t="str">
        <f t="shared" si="255"/>
        <v>Upgraded</v>
      </c>
      <c r="G4397" s="153"/>
      <c r="H4397" s="210">
        <v>0.67279999999999995</v>
      </c>
      <c r="I4397" s="160" t="s">
        <v>55</v>
      </c>
      <c r="J4397" s="160">
        <v>6.3589999999999994E-2</v>
      </c>
      <c r="K4397" s="160" t="s">
        <v>14</v>
      </c>
      <c r="L4397" s="154" t="str">
        <f>IF(OpenLCAbasic!K4397="CTUh", "Fill in Manually",IF(OR(K4397="Unit", K4397=""), "", INDEX(LookUps!$E$5:$E$12, MATCH(OpenLCAbasic!K4397,LookUps!$D$5:$D$12,0))))</f>
        <v>Fossil Depletion Potential (FDP) - kg oil eq</v>
      </c>
      <c r="M4397" s="154" t="str">
        <f t="shared" si="259"/>
        <v>Base_Medium_Base_Upgraded_Fossil Depletion Potential (FDP) - kg oil eq_Aeration Tanks; wastewater treatment unit; at updated plant - US_Base_With Amendment_Aerated Static Pile</v>
      </c>
    </row>
    <row r="4398" spans="1:13" s="120" customFormat="1" x14ac:dyDescent="0.25">
      <c r="A4398" s="119"/>
      <c r="B4398" s="138" t="str">
        <f t="shared" si="252"/>
        <v>Aerated Static Pile</v>
      </c>
      <c r="C4398" s="138" t="str">
        <f t="shared" si="253"/>
        <v>Base_With Amendment</v>
      </c>
      <c r="D4398" s="138" t="str">
        <f t="shared" si="258"/>
        <v>Medium_Base</v>
      </c>
      <c r="E4398" s="138" t="str">
        <f t="shared" si="254"/>
        <v>Base</v>
      </c>
      <c r="F4398" s="138" t="str">
        <f t="shared" si="255"/>
        <v>Upgraded</v>
      </c>
      <c r="G4398" s="153"/>
      <c r="H4398" s="210">
        <v>0.3286</v>
      </c>
      <c r="I4398" s="160" t="s">
        <v>435</v>
      </c>
      <c r="J4398" s="160">
        <v>3.1060000000000001E-2</v>
      </c>
      <c r="K4398" s="160" t="s">
        <v>14</v>
      </c>
      <c r="L4398" s="154" t="str">
        <f>IF(OpenLCAbasic!K4398="CTUh", "Fill in Manually",IF(OR(K4398="Unit", K4398=""), "", INDEX(LookUps!$E$5:$E$12, MATCH(OpenLCAbasic!K4398,LookUps!$D$5:$D$12,0))))</f>
        <v>Fossil Depletion Potential (FDP) - kg oil eq</v>
      </c>
      <c r="M4398" s="154" t="str">
        <f t="shared" si="259"/>
        <v>Base_Medium_Base_Upgraded_Fossil Depletion Potential (FDP) - kg oil eq_Biosolids composting; aerated static pile; wastewater treatment unit; at updated plant - US_Base_With Amendment_Aerated Static Pile</v>
      </c>
    </row>
    <row r="4399" spans="1:13" s="120" customFormat="1" x14ac:dyDescent="0.25">
      <c r="A4399" s="119"/>
      <c r="B4399" s="138" t="str">
        <f t="shared" si="252"/>
        <v>Aerated Static Pile</v>
      </c>
      <c r="C4399" s="138" t="str">
        <f t="shared" si="253"/>
        <v>Base_With Amendment</v>
      </c>
      <c r="D4399" s="138" t="str">
        <f t="shared" si="258"/>
        <v>Medium_Base</v>
      </c>
      <c r="E4399" s="138" t="str">
        <f t="shared" si="254"/>
        <v>Base</v>
      </c>
      <c r="F4399" s="138" t="str">
        <f t="shared" si="255"/>
        <v>Upgraded</v>
      </c>
      <c r="G4399" s="153"/>
      <c r="H4399" s="210">
        <v>0.22270000000000001</v>
      </c>
      <c r="I4399" s="160" t="s">
        <v>54</v>
      </c>
      <c r="J4399" s="160">
        <v>2.1049999999999999E-2</v>
      </c>
      <c r="K4399" s="160" t="s">
        <v>14</v>
      </c>
      <c r="L4399" s="154" t="str">
        <f>IF(OpenLCAbasic!K4399="CTUh", "Fill in Manually",IF(OR(K4399="Unit", K4399=""), "", INDEX(LookUps!$E$5:$E$12, MATCH(OpenLCAbasic!K4399,LookUps!$D$5:$D$12,0))))</f>
        <v>Fossil Depletion Potential (FDP) - kg oil eq</v>
      </c>
      <c r="M4399" s="154" t="str">
        <f t="shared" si="259"/>
        <v>Base_Medium_Base_Upgraded_Fossil Depletion Potential (FDP) - kg oil eq_Clear Cove Primary Clarification; wastewater treatment unit; at updated plant - US_Base_With Amendment_Aerated Static Pile</v>
      </c>
    </row>
    <row r="4400" spans="1:13" s="120" customFormat="1" x14ac:dyDescent="0.25">
      <c r="A4400" s="119"/>
      <c r="B4400" s="138" t="str">
        <f t="shared" si="252"/>
        <v>Aerated Static Pile</v>
      </c>
      <c r="C4400" s="138" t="str">
        <f t="shared" si="253"/>
        <v>Base_With Amendment</v>
      </c>
      <c r="D4400" s="138" t="str">
        <f t="shared" si="258"/>
        <v>Medium_Base</v>
      </c>
      <c r="E4400" s="138" t="str">
        <f t="shared" si="254"/>
        <v>Base</v>
      </c>
      <c r="F4400" s="138" t="str">
        <f t="shared" si="255"/>
        <v>Upgraded</v>
      </c>
      <c r="G4400" s="153"/>
      <c r="H4400" s="210">
        <v>0.16900000000000001</v>
      </c>
      <c r="I4400" s="160" t="s">
        <v>58</v>
      </c>
      <c r="J4400" s="160">
        <v>1.5980000000000001E-2</v>
      </c>
      <c r="K4400" s="160" t="s">
        <v>14</v>
      </c>
      <c r="L4400" s="154" t="str">
        <f>IF(OpenLCAbasic!K4400="CTUh", "Fill in Manually",IF(OR(K4400="Unit", K4400=""), "", INDEX(LookUps!$E$5:$E$12, MATCH(OpenLCAbasic!K4400,LookUps!$D$5:$D$12,0))))</f>
        <v>Fossil Depletion Potential (FDP) - kg oil eq</v>
      </c>
      <c r="M4400" s="154" t="str">
        <f t="shared" si="259"/>
        <v>Base_Medium_Base_Upgraded_Fossil Depletion Potential (FDP) - kg oil eq_Pre-Anoxic &amp; Swing tank; wastewater treatment unit; at updated plant - US_Base_With Amendment_Aerated Static Pile</v>
      </c>
    </row>
    <row r="4401" spans="1:13" s="120" customFormat="1" x14ac:dyDescent="0.25">
      <c r="A4401" s="119"/>
      <c r="B4401" s="138" t="str">
        <f t="shared" ref="B4401:B4464" si="260">IF(F4401="Legacy","n.a.",IF(F4401="","","Aerated Static Pile"))</f>
        <v>Aerated Static Pile</v>
      </c>
      <c r="C4401" s="138" t="str">
        <f t="shared" ref="C4401:C4464" si="261">IF(ISNUMBER($J4401),"Base_With Amendment","")</f>
        <v>Base_With Amendment</v>
      </c>
      <c r="D4401" s="138" t="str">
        <f t="shared" si="258"/>
        <v>Medium_Base</v>
      </c>
      <c r="E4401" s="138" t="str">
        <f t="shared" ref="E4401:E4464" si="262">IF(ISNUMBER($J4401),"Base","")</f>
        <v>Base</v>
      </c>
      <c r="F4401" s="138" t="str">
        <f t="shared" ref="F4401:F4464" si="263">IF(ISNUMBER(J4401),"Upgraded","")</f>
        <v>Upgraded</v>
      </c>
      <c r="G4401" s="153"/>
      <c r="H4401" s="210">
        <v>0.15959999999999999</v>
      </c>
      <c r="I4401" s="160" t="s">
        <v>147</v>
      </c>
      <c r="J4401" s="160">
        <v>1.5089999999999999E-2</v>
      </c>
      <c r="K4401" s="160" t="s">
        <v>14</v>
      </c>
      <c r="L4401" s="154" t="str">
        <f>IF(OpenLCAbasic!K4401="CTUh", "Fill in Manually",IF(OR(K4401="Unit", K4401=""), "", INDEX(LookUps!$E$5:$E$12, MATCH(OpenLCAbasic!K4401,LookUps!$D$5:$D$12,0))))</f>
        <v>Fossil Depletion Potential (FDP) - kg oil eq</v>
      </c>
      <c r="M4401" s="154" t="str">
        <f t="shared" si="259"/>
        <v>Base_Medium_Base_Upgraded_Fossil Depletion Potential (FDP) - kg oil eq_Influent Pump Station; wastewater treatment unit; at updated plant - US_Base_With Amendment_Aerated Static Pile</v>
      </c>
    </row>
    <row r="4402" spans="1:13" s="120" customFormat="1" x14ac:dyDescent="0.25">
      <c r="A4402" s="119"/>
      <c r="B4402" s="138" t="str">
        <f t="shared" si="260"/>
        <v>Aerated Static Pile</v>
      </c>
      <c r="C4402" s="138" t="str">
        <f t="shared" si="261"/>
        <v>Base_With Amendment</v>
      </c>
      <c r="D4402" s="138" t="str">
        <f t="shared" si="258"/>
        <v>Medium_Base</v>
      </c>
      <c r="E4402" s="138" t="str">
        <f t="shared" si="262"/>
        <v>Base</v>
      </c>
      <c r="F4402" s="138" t="str">
        <f t="shared" si="263"/>
        <v>Upgraded</v>
      </c>
      <c r="G4402" s="153"/>
      <c r="H4402" s="210">
        <v>0.1321</v>
      </c>
      <c r="I4402" s="160" t="s">
        <v>53</v>
      </c>
      <c r="J4402" s="160">
        <v>1.2489999999999999E-2</v>
      </c>
      <c r="K4402" s="160" t="s">
        <v>14</v>
      </c>
      <c r="L4402" s="154" t="str">
        <f>IF(OpenLCAbasic!K4402="CTUh", "Fill in Manually",IF(OR(K4402="Unit", K4402=""), "", INDEX(LookUps!$E$5:$E$12, MATCH(OpenLCAbasic!K4402,LookUps!$D$5:$D$12,0))))</f>
        <v>Fossil Depletion Potential (FDP) - kg oil eq</v>
      </c>
      <c r="M4402" s="154" t="str">
        <f t="shared" si="259"/>
        <v>Base_Medium_Base_Upgraded_Fossil Depletion Potential (FDP) - kg oil eq_Wet Well and Sump Station; wastewater treatment unit; at updated plant - US_Base_With Amendment_Aerated Static Pile</v>
      </c>
    </row>
    <row r="4403" spans="1:13" s="120" customFormat="1" x14ac:dyDescent="0.25">
      <c r="A4403" s="119"/>
      <c r="B4403" s="138" t="str">
        <f t="shared" si="260"/>
        <v>Aerated Static Pile</v>
      </c>
      <c r="C4403" s="138" t="str">
        <f t="shared" si="261"/>
        <v>Base_With Amendment</v>
      </c>
      <c r="D4403" s="138" t="str">
        <f t="shared" si="258"/>
        <v>Medium_Base</v>
      </c>
      <c r="E4403" s="138" t="str">
        <f t="shared" si="262"/>
        <v>Base</v>
      </c>
      <c r="F4403" s="138" t="str">
        <f t="shared" si="263"/>
        <v>Upgraded</v>
      </c>
      <c r="G4403" s="153"/>
      <c r="H4403" s="210">
        <v>8.4900000000000003E-2</v>
      </c>
      <c r="I4403" s="160" t="s">
        <v>60</v>
      </c>
      <c r="J4403" s="160">
        <v>8.0300000000000007E-3</v>
      </c>
      <c r="K4403" s="160" t="s">
        <v>14</v>
      </c>
      <c r="L4403" s="154" t="str">
        <f>IF(OpenLCAbasic!K4403="CTUh", "Fill in Manually",IF(OR(K4403="Unit", K4403=""), "", INDEX(LookUps!$E$5:$E$12, MATCH(OpenLCAbasic!K4403,LookUps!$D$5:$D$12,0))))</f>
        <v>Fossil Depletion Potential (FDP) - kg oil eq</v>
      </c>
      <c r="M4403" s="154" t="str">
        <f t="shared" si="259"/>
        <v>Base_Medium_Base_Upgraded_Fossil Depletion Potential (FDP) - kg oil eq_Belt filter press; wastewater treatment unit; at updated plant - US_Base_With Amendment_Aerated Static Pile</v>
      </c>
    </row>
    <row r="4404" spans="1:13" s="120" customFormat="1" x14ac:dyDescent="0.25">
      <c r="A4404" s="119"/>
      <c r="B4404" s="138" t="str">
        <f t="shared" si="260"/>
        <v>Aerated Static Pile</v>
      </c>
      <c r="C4404" s="138" t="str">
        <f t="shared" si="261"/>
        <v>Base_With Amendment</v>
      </c>
      <c r="D4404" s="138" t="str">
        <f t="shared" si="258"/>
        <v>Medium_Base</v>
      </c>
      <c r="E4404" s="138" t="str">
        <f t="shared" si="262"/>
        <v>Base</v>
      </c>
      <c r="F4404" s="138" t="str">
        <f t="shared" si="263"/>
        <v>Upgraded</v>
      </c>
      <c r="G4404" s="153"/>
      <c r="H4404" s="210">
        <v>7.3200000000000001E-2</v>
      </c>
      <c r="I4404" s="160" t="s">
        <v>57</v>
      </c>
      <c r="J4404" s="160">
        <v>6.9199999999999999E-3</v>
      </c>
      <c r="K4404" s="160" t="s">
        <v>14</v>
      </c>
      <c r="L4404" s="154" t="str">
        <f>IF(OpenLCAbasic!K4404="CTUh", "Fill in Manually",IF(OR(K4404="Unit", K4404=""), "", INDEX(LookUps!$E$5:$E$12, MATCH(OpenLCAbasic!K4404,LookUps!$D$5:$D$12,0))))</f>
        <v>Fossil Depletion Potential (FDP) - kg oil eq</v>
      </c>
      <c r="M4404" s="154" t="str">
        <f t="shared" si="259"/>
        <v>Base_Medium_Base_Upgraded_Fossil Depletion Potential (FDP) - kg oil eq_Gravity Belt Thickener; wastewater treatment unit; at updated plant - US_Base_With Amendment_Aerated Static Pile</v>
      </c>
    </row>
    <row r="4405" spans="1:13" s="120" customFormat="1" x14ac:dyDescent="0.25">
      <c r="A4405" s="119"/>
      <c r="B4405" s="138" t="str">
        <f t="shared" si="260"/>
        <v>Aerated Static Pile</v>
      </c>
      <c r="C4405" s="138" t="str">
        <f t="shared" si="261"/>
        <v>Base_With Amendment</v>
      </c>
      <c r="D4405" s="138" t="str">
        <f t="shared" si="258"/>
        <v>Medium_Base</v>
      </c>
      <c r="E4405" s="138" t="str">
        <f t="shared" si="262"/>
        <v>Base</v>
      </c>
      <c r="F4405" s="138" t="str">
        <f t="shared" si="263"/>
        <v>Upgraded</v>
      </c>
      <c r="G4405" s="153"/>
      <c r="H4405" s="210">
        <v>4.7600000000000003E-2</v>
      </c>
      <c r="I4405" s="160" t="s">
        <v>128</v>
      </c>
      <c r="J4405" s="160">
        <v>4.4999999999999997E-3</v>
      </c>
      <c r="K4405" s="160" t="s">
        <v>14</v>
      </c>
      <c r="L4405" s="154" t="str">
        <f>IF(OpenLCAbasic!K4405="CTUh", "Fill in Manually",IF(OR(K4405="Unit", K4405=""), "", INDEX(LookUps!$E$5:$E$12, MATCH(OpenLCAbasic!K4405,LookUps!$D$5:$D$12,0))))</f>
        <v>Fossil Depletion Potential (FDP) - kg oil eq</v>
      </c>
      <c r="M4405" s="154" t="str">
        <f t="shared" si="259"/>
        <v>Base_Medium_Base_Upgraded_Fossil Depletion Potential (FDP) - kg oil eq_Wastewater collection; operation and infrastructure; m3 wastewater_Base_With Amendment_Aerated Static Pile</v>
      </c>
    </row>
    <row r="4406" spans="1:13" s="120" customFormat="1" x14ac:dyDescent="0.25">
      <c r="A4406" s="119"/>
      <c r="B4406" s="138" t="str">
        <f t="shared" si="260"/>
        <v>Aerated Static Pile</v>
      </c>
      <c r="C4406" s="138" t="str">
        <f t="shared" si="261"/>
        <v>Base_With Amendment</v>
      </c>
      <c r="D4406" s="138" t="str">
        <f t="shared" si="258"/>
        <v>Medium_Base</v>
      </c>
      <c r="E4406" s="138" t="str">
        <f t="shared" si="262"/>
        <v>Base</v>
      </c>
      <c r="F4406" s="138" t="str">
        <f t="shared" si="263"/>
        <v>Upgraded</v>
      </c>
      <c r="G4406" s="153"/>
      <c r="H4406" s="210">
        <v>2.9600000000000001E-2</v>
      </c>
      <c r="I4406" s="160" t="s">
        <v>148</v>
      </c>
      <c r="J4406" s="160">
        <v>2.8E-3</v>
      </c>
      <c r="K4406" s="160" t="s">
        <v>14</v>
      </c>
      <c r="L4406" s="154" t="str">
        <f>IF(OpenLCAbasic!K4406="CTUh", "Fill in Manually",IF(OR(K4406="Unit", K4406=""), "", INDEX(LookUps!$E$5:$E$12, MATCH(OpenLCAbasic!K4406,LookUps!$D$5:$D$12,0))))</f>
        <v>Fossil Depletion Potential (FDP) - kg oil eq</v>
      </c>
      <c r="M4406" s="154" t="str">
        <f t="shared" si="259"/>
        <v>Base_Medium_Base_Upgraded_Fossil Depletion Potential (FDP) - kg oil eq_Control Building; at upgraded wastewater treatment plant - US_Base_With Amendment_Aerated Static Pile</v>
      </c>
    </row>
    <row r="4407" spans="1:13" s="120" customFormat="1" x14ac:dyDescent="0.25">
      <c r="A4407" s="119"/>
      <c r="B4407" s="138" t="str">
        <f t="shared" si="260"/>
        <v>Aerated Static Pile</v>
      </c>
      <c r="C4407" s="138" t="str">
        <f t="shared" si="261"/>
        <v>Base_With Amendment</v>
      </c>
      <c r="D4407" s="138" t="str">
        <f t="shared" si="258"/>
        <v>Medium_Base</v>
      </c>
      <c r="E4407" s="138" t="str">
        <f t="shared" si="262"/>
        <v>Base</v>
      </c>
      <c r="F4407" s="138" t="str">
        <f t="shared" si="263"/>
        <v>Upgraded</v>
      </c>
      <c r="G4407" s="153"/>
      <c r="H4407" s="210">
        <v>2.5000000000000001E-2</v>
      </c>
      <c r="I4407" s="160" t="s">
        <v>48</v>
      </c>
      <c r="J4407" s="160">
        <v>2.3600000000000001E-3</v>
      </c>
      <c r="K4407" s="160" t="s">
        <v>14</v>
      </c>
      <c r="L4407" s="154" t="str">
        <f>IF(OpenLCAbasic!K4407="CTUh", "Fill in Manually",IF(OR(K4407="Unit", K4407=""), "", INDEX(LookUps!$E$5:$E$12, MATCH(OpenLCAbasic!K4407,LookUps!$D$5:$D$12,0))))</f>
        <v>Fossil Depletion Potential (FDP) - kg oil eq</v>
      </c>
      <c r="M4407" s="154" t="str">
        <f t="shared" si="259"/>
        <v>Base_Medium_Base_Upgraded_Fossil Depletion Potential (FDP) - kg oil eq_Effluent release; wastewater treatment unit; at surface water; m3 wastewater - US_Base_With Amendment_Aerated Static Pile</v>
      </c>
    </row>
    <row r="4408" spans="1:13" s="120" customFormat="1" x14ac:dyDescent="0.25">
      <c r="A4408" s="119"/>
      <c r="B4408" s="138" t="str">
        <f t="shared" si="260"/>
        <v>Aerated Static Pile</v>
      </c>
      <c r="C4408" s="138" t="str">
        <f t="shared" si="261"/>
        <v>Base_With Amendment</v>
      </c>
      <c r="D4408" s="138" t="str">
        <f t="shared" si="258"/>
        <v>Medium_Base</v>
      </c>
      <c r="E4408" s="138" t="str">
        <f t="shared" si="262"/>
        <v>Base</v>
      </c>
      <c r="F4408" s="138" t="str">
        <f t="shared" si="263"/>
        <v>Upgraded</v>
      </c>
      <c r="G4408" s="153"/>
      <c r="H4408" s="210">
        <v>2.0299999999999999E-2</v>
      </c>
      <c r="I4408" s="160" t="s">
        <v>59</v>
      </c>
      <c r="J4408" s="160">
        <v>1.92E-3</v>
      </c>
      <c r="K4408" s="160" t="s">
        <v>14</v>
      </c>
      <c r="L4408" s="154" t="str">
        <f>IF(OpenLCAbasic!K4408="CTUh", "Fill in Manually",IF(OR(K4408="Unit", K4408=""), "", INDEX(LookUps!$E$5:$E$12, MATCH(OpenLCAbasic!K4408,LookUps!$D$5:$D$12,0))))</f>
        <v>Fossil Depletion Potential (FDP) - kg oil eq</v>
      </c>
      <c r="M4408" s="154" t="str">
        <f t="shared" si="259"/>
        <v>Base_Medium_Base_Upgraded_Fossil Depletion Potential (FDP) - kg oil eq_Blend Tank; wastewater treatment unit; at updated plant - US_Base_With Amendment_Aerated Static Pile</v>
      </c>
    </row>
    <row r="4409" spans="1:13" s="120" customFormat="1" x14ac:dyDescent="0.25">
      <c r="A4409" s="119"/>
      <c r="B4409" s="138" t="str">
        <f t="shared" si="260"/>
        <v>Aerated Static Pile</v>
      </c>
      <c r="C4409" s="138" t="str">
        <f t="shared" si="261"/>
        <v>Base_With Amendment</v>
      </c>
      <c r="D4409" s="138" t="str">
        <f t="shared" ref="D4409:D4472" si="264">IF(ISNUMBER($J4409),"Medium_Base","")</f>
        <v>Medium_Base</v>
      </c>
      <c r="E4409" s="138" t="str">
        <f t="shared" si="262"/>
        <v>Base</v>
      </c>
      <c r="F4409" s="138" t="str">
        <f t="shared" si="263"/>
        <v>Upgraded</v>
      </c>
      <c r="G4409" s="153"/>
      <c r="H4409" s="210">
        <v>9.7000000000000003E-3</v>
      </c>
      <c r="I4409" s="160" t="s">
        <v>168</v>
      </c>
      <c r="J4409" s="160">
        <v>9.1E-4</v>
      </c>
      <c r="K4409" s="160" t="s">
        <v>14</v>
      </c>
      <c r="L4409" s="154" t="str">
        <f>IF(OpenLCAbasic!K4409="CTUh", "Fill in Manually",IF(OR(K4409="Unit", K4409=""), "", INDEX(LookUps!$E$5:$E$12, MATCH(OpenLCAbasic!K4409,LookUps!$D$5:$D$12,0))))</f>
        <v>Fossil Depletion Potential (FDP) - kg oil eq</v>
      </c>
      <c r="M4409" s="154" t="str">
        <f t="shared" si="259"/>
        <v>Base_Medium_Base_Upgraded_Fossil Depletion Potential (FDP) - kg oil eq_ClearCove SCP; wastewater treatment unit; at updated plant - US_Base_With Amendment_Aerated Static Pile</v>
      </c>
    </row>
    <row r="4410" spans="1:13" s="120" customFormat="1" x14ac:dyDescent="0.25">
      <c r="A4410" s="119"/>
      <c r="B4410" s="138" t="str">
        <f t="shared" si="260"/>
        <v>Aerated Static Pile</v>
      </c>
      <c r="C4410" s="138" t="str">
        <f t="shared" si="261"/>
        <v>Base_With Amendment</v>
      </c>
      <c r="D4410" s="138" t="str">
        <f t="shared" si="264"/>
        <v>Medium_Base</v>
      </c>
      <c r="E4410" s="138" t="str">
        <f t="shared" si="262"/>
        <v>Base</v>
      </c>
      <c r="F4410" s="138" t="str">
        <f t="shared" si="263"/>
        <v>Upgraded</v>
      </c>
      <c r="G4410" s="153"/>
      <c r="H4410" s="210">
        <v>-9.01E-2</v>
      </c>
      <c r="I4410" s="160" t="s">
        <v>62</v>
      </c>
      <c r="J4410" s="160">
        <v>-8.5100000000000002E-3</v>
      </c>
      <c r="K4410" s="160" t="s">
        <v>14</v>
      </c>
      <c r="L4410" s="154" t="str">
        <f>IF(OpenLCAbasic!K4410="CTUh", "Fill in Manually",IF(OR(K4410="Unit", K4410=""), "", INDEX(LookUps!$E$5:$E$12, MATCH(OpenLCAbasic!K4410,LookUps!$D$5:$D$12,0))))</f>
        <v>Fossil Depletion Potential (FDP) - kg oil eq</v>
      </c>
      <c r="M4410" s="154" t="str">
        <f t="shared" si="259"/>
        <v>Base_Medium_Base_Upgraded_Fossil Depletion Potential (FDP) - kg oil eq_Land application of compost; wastewater treatment unit; at updated plant - US_Base_With Amendment_Aerated Static Pile</v>
      </c>
    </row>
    <row r="4411" spans="1:13" s="120" customFormat="1" x14ac:dyDescent="0.25">
      <c r="A4411" s="119"/>
      <c r="B4411" s="138" t="str">
        <f t="shared" si="260"/>
        <v>Aerated Static Pile</v>
      </c>
      <c r="C4411" s="138" t="str">
        <f t="shared" si="261"/>
        <v>Base_With Amendment</v>
      </c>
      <c r="D4411" s="138" t="str">
        <f t="shared" si="264"/>
        <v>Medium_Base</v>
      </c>
      <c r="E4411" s="138" t="str">
        <f t="shared" si="262"/>
        <v>Base</v>
      </c>
      <c r="F4411" s="138" t="str">
        <f t="shared" si="263"/>
        <v>Upgraded</v>
      </c>
      <c r="G4411" s="153"/>
      <c r="H4411" s="210">
        <v>-1.9141999999999999</v>
      </c>
      <c r="I4411" s="160" t="s">
        <v>149</v>
      </c>
      <c r="J4411" s="160">
        <v>-0.18092</v>
      </c>
      <c r="K4411" s="160" t="s">
        <v>14</v>
      </c>
      <c r="L4411" s="154" t="str">
        <f>IF(OpenLCAbasic!K4411="CTUh", "Fill in Manually",IF(OR(K4411="Unit", K4411=""), "", INDEX(LookUps!$E$5:$E$12, MATCH(OpenLCAbasic!K4411,LookUps!$D$5:$D$12,0))))</f>
        <v>Fossil Depletion Potential (FDP) - kg oil eq</v>
      </c>
      <c r="M4411" s="154" t="str">
        <f t="shared" si="259"/>
        <v>Base_Medium_Base_Upgraded_Fossil Depletion Potential (FDP) - kg oil eq_Anaerobic Digestion; wastewater treatment unit; at updated plant - US_Base_With Amendment_Aerated Static Pile</v>
      </c>
    </row>
    <row r="4412" spans="1:13" s="120" customFormat="1" x14ac:dyDescent="0.25">
      <c r="A4412" s="119"/>
      <c r="B4412" s="138" t="str">
        <f t="shared" si="260"/>
        <v/>
      </c>
      <c r="C4412" s="138" t="str">
        <f t="shared" si="261"/>
        <v/>
      </c>
      <c r="D4412" s="138" t="str">
        <f t="shared" si="264"/>
        <v/>
      </c>
      <c r="E4412" s="138" t="str">
        <f t="shared" si="262"/>
        <v/>
      </c>
      <c r="F4412" s="138" t="str">
        <f t="shared" si="263"/>
        <v/>
      </c>
      <c r="G4412" s="153" t="s">
        <v>51</v>
      </c>
      <c r="H4412" s="160"/>
      <c r="I4412" s="160" t="s">
        <v>47</v>
      </c>
      <c r="J4412" s="160" t="s">
        <v>52</v>
      </c>
      <c r="K4412" s="160" t="s">
        <v>27</v>
      </c>
      <c r="L4412" s="154" t="str">
        <f>IF(OpenLCAbasic!K4412="CTUh", "Fill in Manually",IF(OR(K4412="Unit", K4412=""), "", INDEX(LookUps!$E$5:$E$12, MATCH(OpenLCAbasic!K4412,LookUps!$D$5:$D$12,0))))</f>
        <v/>
      </c>
      <c r="M4412" s="154" t="str">
        <f t="shared" si="259"/>
        <v>____Process__</v>
      </c>
    </row>
    <row r="4413" spans="1:13" s="120" customFormat="1" x14ac:dyDescent="0.25">
      <c r="A4413" s="119"/>
      <c r="B4413" s="138" t="str">
        <f t="shared" si="260"/>
        <v>Aerated Static Pile</v>
      </c>
      <c r="C4413" s="138" t="str">
        <f t="shared" si="261"/>
        <v>Base_With Amendment</v>
      </c>
      <c r="D4413" s="138" t="str">
        <f t="shared" si="264"/>
        <v>Medium_Base</v>
      </c>
      <c r="E4413" s="138" t="str">
        <f t="shared" si="262"/>
        <v>Base</v>
      </c>
      <c r="F4413" s="138" t="str">
        <f t="shared" si="263"/>
        <v>Upgraded</v>
      </c>
      <c r="G4413" s="153"/>
      <c r="H4413" s="210">
        <v>1.4516</v>
      </c>
      <c r="I4413" s="160" t="s">
        <v>435</v>
      </c>
      <c r="J4413" s="160">
        <v>0.72502</v>
      </c>
      <c r="K4413" s="160" t="s">
        <v>23</v>
      </c>
      <c r="L4413" s="154" t="str">
        <f>IF(OpenLCAbasic!K4413="CTUh", "Fill in Manually",IF(OR(K4413="Unit", K4413=""), "", INDEX(LookUps!$E$5:$E$12, MATCH(OpenLCAbasic!K4413,LookUps!$D$5:$D$12,0))))</f>
        <v>Global Warming Potential (GWP) - kg CO2 eq</v>
      </c>
      <c r="M4413" s="154" t="str">
        <f t="shared" si="259"/>
        <v>Base_Medium_Base_Upgraded_Global Warming Potential (GWP) - kg CO2 eq_Biosolids composting; aerated static pile; wastewater treatment unit; at updated plant - US_Base_With Amendment_Aerated Static Pile</v>
      </c>
    </row>
    <row r="4414" spans="1:13" s="120" customFormat="1" x14ac:dyDescent="0.25">
      <c r="A4414" s="119"/>
      <c r="B4414" s="138" t="str">
        <f t="shared" si="260"/>
        <v>Aerated Static Pile</v>
      </c>
      <c r="C4414" s="138" t="str">
        <f t="shared" si="261"/>
        <v>Base_With Amendment</v>
      </c>
      <c r="D4414" s="138" t="str">
        <f t="shared" si="264"/>
        <v>Medium_Base</v>
      </c>
      <c r="E4414" s="138" t="str">
        <f t="shared" si="262"/>
        <v>Base</v>
      </c>
      <c r="F4414" s="138" t="str">
        <f t="shared" si="263"/>
        <v>Upgraded</v>
      </c>
      <c r="G4414" s="153"/>
      <c r="H4414" s="210">
        <v>0.4919</v>
      </c>
      <c r="I4414" s="160" t="s">
        <v>58</v>
      </c>
      <c r="J4414" s="160">
        <v>0.24568999999999999</v>
      </c>
      <c r="K4414" s="160" t="s">
        <v>23</v>
      </c>
      <c r="L4414" s="154" t="str">
        <f>IF(OpenLCAbasic!K4414="CTUh", "Fill in Manually",IF(OR(K4414="Unit", K4414=""), "", INDEX(LookUps!$E$5:$E$12, MATCH(OpenLCAbasic!K4414,LookUps!$D$5:$D$12,0))))</f>
        <v>Global Warming Potential (GWP) - kg CO2 eq</v>
      </c>
      <c r="M4414" s="154" t="str">
        <f t="shared" si="259"/>
        <v>Base_Medium_Base_Upgraded_Global Warming Potential (GWP) - kg CO2 eq_Pre-Anoxic &amp; Swing tank; wastewater treatment unit; at updated plant - US_Base_With Amendment_Aerated Static Pile</v>
      </c>
    </row>
    <row r="4415" spans="1:13" s="120" customFormat="1" x14ac:dyDescent="0.25">
      <c r="A4415" s="119"/>
      <c r="B4415" s="138" t="str">
        <f t="shared" si="260"/>
        <v>Aerated Static Pile</v>
      </c>
      <c r="C4415" s="138" t="str">
        <f t="shared" si="261"/>
        <v>Base_With Amendment</v>
      </c>
      <c r="D4415" s="138" t="str">
        <f t="shared" si="264"/>
        <v>Medium_Base</v>
      </c>
      <c r="E4415" s="138" t="str">
        <f t="shared" si="262"/>
        <v>Base</v>
      </c>
      <c r="F4415" s="138" t="str">
        <f t="shared" si="263"/>
        <v>Upgraded</v>
      </c>
      <c r="G4415" s="153"/>
      <c r="H4415" s="210">
        <v>0.33679999999999999</v>
      </c>
      <c r="I4415" s="160" t="s">
        <v>55</v>
      </c>
      <c r="J4415" s="160">
        <v>0.16822000000000001</v>
      </c>
      <c r="K4415" s="160" t="s">
        <v>23</v>
      </c>
      <c r="L4415" s="154" t="str">
        <f>IF(OpenLCAbasic!K4415="CTUh", "Fill in Manually",IF(OR(K4415="Unit", K4415=""), "", INDEX(LookUps!$E$5:$E$12, MATCH(OpenLCAbasic!K4415,LookUps!$D$5:$D$12,0))))</f>
        <v>Global Warming Potential (GWP) - kg CO2 eq</v>
      </c>
      <c r="M4415" s="154" t="str">
        <f t="shared" si="259"/>
        <v>Base_Medium_Base_Upgraded_Global Warming Potential (GWP) - kg CO2 eq_Aeration Tanks; wastewater treatment unit; at updated plant - US_Base_With Amendment_Aerated Static Pile</v>
      </c>
    </row>
    <row r="4416" spans="1:13" s="120" customFormat="1" x14ac:dyDescent="0.25">
      <c r="A4416" s="119"/>
      <c r="B4416" s="138" t="str">
        <f t="shared" si="260"/>
        <v>Aerated Static Pile</v>
      </c>
      <c r="C4416" s="138" t="str">
        <f t="shared" si="261"/>
        <v>Base_With Amendment</v>
      </c>
      <c r="D4416" s="138" t="str">
        <f t="shared" si="264"/>
        <v>Medium_Base</v>
      </c>
      <c r="E4416" s="138" t="str">
        <f t="shared" si="262"/>
        <v>Base</v>
      </c>
      <c r="F4416" s="138" t="str">
        <f t="shared" si="263"/>
        <v>Upgraded</v>
      </c>
      <c r="G4416" s="153"/>
      <c r="H4416" s="210">
        <v>0.24740000000000001</v>
      </c>
      <c r="I4416" s="160" t="s">
        <v>167</v>
      </c>
      <c r="J4416" s="160">
        <v>0.12354999999999999</v>
      </c>
      <c r="K4416" s="160" t="s">
        <v>23</v>
      </c>
      <c r="L4416" s="154" t="str">
        <f>IF(OpenLCAbasic!K4416="CTUh", "Fill in Manually",IF(OR(K4416="Unit", K4416=""), "", INDEX(LookUps!$E$5:$E$12, MATCH(OpenLCAbasic!K4416,LookUps!$D$5:$D$12,0))))</f>
        <v>Global Warming Potential (GWP) - kg CO2 eq</v>
      </c>
      <c r="M4416" s="154" t="str">
        <f t="shared" si="259"/>
        <v>Base_Medium_Base_Upgraded_Global Warming Potential (GWP) - kg CO2 eq_Waste Receiving and Holding; wastewater treatment unit; at updated plant - US_Base_With Amendment_Aerated Static Pile</v>
      </c>
    </row>
    <row r="4417" spans="1:13" s="120" customFormat="1" x14ac:dyDescent="0.25">
      <c r="A4417" s="119"/>
      <c r="B4417" s="138" t="str">
        <f t="shared" si="260"/>
        <v>Aerated Static Pile</v>
      </c>
      <c r="C4417" s="138" t="str">
        <f t="shared" si="261"/>
        <v>Base_With Amendment</v>
      </c>
      <c r="D4417" s="138" t="str">
        <f t="shared" si="264"/>
        <v>Medium_Base</v>
      </c>
      <c r="E4417" s="138" t="str">
        <f t="shared" si="262"/>
        <v>Base</v>
      </c>
      <c r="F4417" s="138" t="str">
        <f t="shared" si="263"/>
        <v>Upgraded</v>
      </c>
      <c r="G4417" s="153"/>
      <c r="H4417" s="210">
        <v>0.1143</v>
      </c>
      <c r="I4417" s="160" t="s">
        <v>54</v>
      </c>
      <c r="J4417" s="160">
        <v>5.7079999999999999E-2</v>
      </c>
      <c r="K4417" s="160" t="s">
        <v>23</v>
      </c>
      <c r="L4417" s="154" t="str">
        <f>IF(OpenLCAbasic!K4417="CTUh", "Fill in Manually",IF(OR(K4417="Unit", K4417=""), "", INDEX(LookUps!$E$5:$E$12, MATCH(OpenLCAbasic!K4417,LookUps!$D$5:$D$12,0))))</f>
        <v>Global Warming Potential (GWP) - kg CO2 eq</v>
      </c>
      <c r="M4417" s="154" t="str">
        <f t="shared" si="259"/>
        <v>Base_Medium_Base_Upgraded_Global Warming Potential (GWP) - kg CO2 eq_Clear Cove Primary Clarification; wastewater treatment unit; at updated plant - US_Base_With Amendment_Aerated Static Pile</v>
      </c>
    </row>
    <row r="4418" spans="1:13" s="120" customFormat="1" x14ac:dyDescent="0.25">
      <c r="A4418" s="119"/>
      <c r="B4418" s="138" t="str">
        <f t="shared" si="260"/>
        <v>Aerated Static Pile</v>
      </c>
      <c r="C4418" s="138" t="str">
        <f t="shared" si="261"/>
        <v>Base_With Amendment</v>
      </c>
      <c r="D4418" s="138" t="str">
        <f t="shared" si="264"/>
        <v>Medium_Base</v>
      </c>
      <c r="E4418" s="138" t="str">
        <f t="shared" si="262"/>
        <v>Base</v>
      </c>
      <c r="F4418" s="138" t="str">
        <f t="shared" si="263"/>
        <v>Upgraded</v>
      </c>
      <c r="G4418" s="153"/>
      <c r="H4418" s="210">
        <v>0.10539999999999999</v>
      </c>
      <c r="I4418" s="160" t="s">
        <v>48</v>
      </c>
      <c r="J4418" s="160">
        <v>5.2639999999999999E-2</v>
      </c>
      <c r="K4418" s="160" t="s">
        <v>23</v>
      </c>
      <c r="L4418" s="154" t="str">
        <f>IF(OpenLCAbasic!K4418="CTUh", "Fill in Manually",IF(OR(K4418="Unit", K4418=""), "", INDEX(LookUps!$E$5:$E$12, MATCH(OpenLCAbasic!K4418,LookUps!$D$5:$D$12,0))))</f>
        <v>Global Warming Potential (GWP) - kg CO2 eq</v>
      </c>
      <c r="M4418" s="154" t="str">
        <f t="shared" si="259"/>
        <v>Base_Medium_Base_Upgraded_Global Warming Potential (GWP) - kg CO2 eq_Effluent release; wastewater treatment unit; at surface water; m3 wastewater - US_Base_With Amendment_Aerated Static Pile</v>
      </c>
    </row>
    <row r="4419" spans="1:13" s="120" customFormat="1" x14ac:dyDescent="0.25">
      <c r="A4419" s="119"/>
      <c r="B4419" s="138" t="str">
        <f t="shared" si="260"/>
        <v>Aerated Static Pile</v>
      </c>
      <c r="C4419" s="138" t="str">
        <f t="shared" si="261"/>
        <v>Base_With Amendment</v>
      </c>
      <c r="D4419" s="138" t="str">
        <f t="shared" si="264"/>
        <v>Medium_Base</v>
      </c>
      <c r="E4419" s="138" t="str">
        <f t="shared" si="262"/>
        <v>Base</v>
      </c>
      <c r="F4419" s="138" t="str">
        <f t="shared" si="263"/>
        <v>Upgraded</v>
      </c>
      <c r="G4419" s="153"/>
      <c r="H4419" s="210">
        <v>0.1011</v>
      </c>
      <c r="I4419" s="160" t="s">
        <v>147</v>
      </c>
      <c r="J4419" s="160">
        <v>5.0500000000000003E-2</v>
      </c>
      <c r="K4419" s="160" t="s">
        <v>23</v>
      </c>
      <c r="L4419" s="154" t="str">
        <f>IF(OpenLCAbasic!K4419="CTUh", "Fill in Manually",IF(OR(K4419="Unit", K4419=""), "", INDEX(LookUps!$E$5:$E$12, MATCH(OpenLCAbasic!K4419,LookUps!$D$5:$D$12,0))))</f>
        <v>Global Warming Potential (GWP) - kg CO2 eq</v>
      </c>
      <c r="M4419" s="154" t="str">
        <f t="shared" si="259"/>
        <v>Base_Medium_Base_Upgraded_Global Warming Potential (GWP) - kg CO2 eq_Influent Pump Station; wastewater treatment unit; at updated plant - US_Base_With Amendment_Aerated Static Pile</v>
      </c>
    </row>
    <row r="4420" spans="1:13" s="120" customFormat="1" x14ac:dyDescent="0.25">
      <c r="A4420" s="119"/>
      <c r="B4420" s="138" t="str">
        <f t="shared" si="260"/>
        <v>Aerated Static Pile</v>
      </c>
      <c r="C4420" s="138" t="str">
        <f t="shared" si="261"/>
        <v>Base_With Amendment</v>
      </c>
      <c r="D4420" s="138" t="str">
        <f t="shared" si="264"/>
        <v>Medium_Base</v>
      </c>
      <c r="E4420" s="138" t="str">
        <f t="shared" si="262"/>
        <v>Base</v>
      </c>
      <c r="F4420" s="138" t="str">
        <f t="shared" si="263"/>
        <v>Upgraded</v>
      </c>
      <c r="G4420" s="153"/>
      <c r="H4420" s="210">
        <v>6.6600000000000006E-2</v>
      </c>
      <c r="I4420" s="160" t="s">
        <v>53</v>
      </c>
      <c r="J4420" s="160">
        <v>3.3259999999999998E-2</v>
      </c>
      <c r="K4420" s="160" t="s">
        <v>23</v>
      </c>
      <c r="L4420" s="154" t="str">
        <f>IF(OpenLCAbasic!K4420="CTUh", "Fill in Manually",IF(OR(K4420="Unit", K4420=""), "", INDEX(LookUps!$E$5:$E$12, MATCH(OpenLCAbasic!K4420,LookUps!$D$5:$D$12,0))))</f>
        <v>Global Warming Potential (GWP) - kg CO2 eq</v>
      </c>
      <c r="M4420" s="154" t="str">
        <f t="shared" si="259"/>
        <v>Base_Medium_Base_Upgraded_Global Warming Potential (GWP) - kg CO2 eq_Wet Well and Sump Station; wastewater treatment unit; at updated plant - US_Base_With Amendment_Aerated Static Pile</v>
      </c>
    </row>
    <row r="4421" spans="1:13" s="120" customFormat="1" x14ac:dyDescent="0.25">
      <c r="A4421" s="119"/>
      <c r="B4421" s="138" t="str">
        <f t="shared" si="260"/>
        <v>Aerated Static Pile</v>
      </c>
      <c r="C4421" s="138" t="str">
        <f t="shared" si="261"/>
        <v>Base_With Amendment</v>
      </c>
      <c r="D4421" s="138" t="str">
        <f t="shared" si="264"/>
        <v>Medium_Base</v>
      </c>
      <c r="E4421" s="138" t="str">
        <f t="shared" si="262"/>
        <v>Base</v>
      </c>
      <c r="F4421" s="138" t="str">
        <f t="shared" si="263"/>
        <v>Upgraded</v>
      </c>
      <c r="G4421" s="153"/>
      <c r="H4421" s="210">
        <v>3.5299999999999998E-2</v>
      </c>
      <c r="I4421" s="160" t="s">
        <v>60</v>
      </c>
      <c r="J4421" s="160">
        <v>1.7639999999999999E-2</v>
      </c>
      <c r="K4421" s="160" t="s">
        <v>23</v>
      </c>
      <c r="L4421" s="154" t="str">
        <f>IF(OpenLCAbasic!K4421="CTUh", "Fill in Manually",IF(OR(K4421="Unit", K4421=""), "", INDEX(LookUps!$E$5:$E$12, MATCH(OpenLCAbasic!K4421,LookUps!$D$5:$D$12,0))))</f>
        <v>Global Warming Potential (GWP) - kg CO2 eq</v>
      </c>
      <c r="M4421" s="154" t="str">
        <f t="shared" si="259"/>
        <v>Base_Medium_Base_Upgraded_Global Warming Potential (GWP) - kg CO2 eq_Belt filter press; wastewater treatment unit; at updated plant - US_Base_With Amendment_Aerated Static Pile</v>
      </c>
    </row>
    <row r="4422" spans="1:13" s="120" customFormat="1" x14ac:dyDescent="0.25">
      <c r="A4422" s="119"/>
      <c r="B4422" s="138" t="str">
        <f t="shared" si="260"/>
        <v>Aerated Static Pile</v>
      </c>
      <c r="C4422" s="138" t="str">
        <f t="shared" si="261"/>
        <v>Base_With Amendment</v>
      </c>
      <c r="D4422" s="138" t="str">
        <f t="shared" si="264"/>
        <v>Medium_Base</v>
      </c>
      <c r="E4422" s="138" t="str">
        <f t="shared" si="262"/>
        <v>Base</v>
      </c>
      <c r="F4422" s="138" t="str">
        <f t="shared" si="263"/>
        <v>Upgraded</v>
      </c>
      <c r="G4422" s="153"/>
      <c r="H4422" s="210">
        <v>2.9100000000000001E-2</v>
      </c>
      <c r="I4422" s="160" t="s">
        <v>57</v>
      </c>
      <c r="J4422" s="160">
        <v>1.455E-2</v>
      </c>
      <c r="K4422" s="160" t="s">
        <v>23</v>
      </c>
      <c r="L4422" s="154" t="str">
        <f>IF(OpenLCAbasic!K4422="CTUh", "Fill in Manually",IF(OR(K4422="Unit", K4422=""), "", INDEX(LookUps!$E$5:$E$12, MATCH(OpenLCAbasic!K4422,LookUps!$D$5:$D$12,0))))</f>
        <v>Global Warming Potential (GWP) - kg CO2 eq</v>
      </c>
      <c r="M4422" s="154" t="str">
        <f t="shared" si="259"/>
        <v>Base_Medium_Base_Upgraded_Global Warming Potential (GWP) - kg CO2 eq_Gravity Belt Thickener; wastewater treatment unit; at updated plant - US_Base_With Amendment_Aerated Static Pile</v>
      </c>
    </row>
    <row r="4423" spans="1:13" s="120" customFormat="1" x14ac:dyDescent="0.25">
      <c r="A4423" s="119"/>
      <c r="B4423" s="138" t="str">
        <f t="shared" si="260"/>
        <v>Aerated Static Pile</v>
      </c>
      <c r="C4423" s="138" t="str">
        <f t="shared" si="261"/>
        <v>Base_With Amendment</v>
      </c>
      <c r="D4423" s="138" t="str">
        <f t="shared" si="264"/>
        <v>Medium_Base</v>
      </c>
      <c r="E4423" s="138" t="str">
        <f t="shared" si="262"/>
        <v>Base</v>
      </c>
      <c r="F4423" s="138" t="str">
        <f t="shared" si="263"/>
        <v>Upgraded</v>
      </c>
      <c r="G4423" s="153"/>
      <c r="H4423" s="210">
        <v>2.7E-2</v>
      </c>
      <c r="I4423" s="160" t="s">
        <v>128</v>
      </c>
      <c r="J4423" s="160">
        <v>1.3509999999999999E-2</v>
      </c>
      <c r="K4423" s="160" t="s">
        <v>23</v>
      </c>
      <c r="L4423" s="154" t="str">
        <f>IF(OpenLCAbasic!K4423="CTUh", "Fill in Manually",IF(OR(K4423="Unit", K4423=""), "", INDEX(LookUps!$E$5:$E$12, MATCH(OpenLCAbasic!K4423,LookUps!$D$5:$D$12,0))))</f>
        <v>Global Warming Potential (GWP) - kg CO2 eq</v>
      </c>
      <c r="M4423" s="154" t="str">
        <f t="shared" ref="M4423:M4486" si="265">CONCATENATE(E4423,"_",D4423,"_",F4423,"_",L4423, "_",I4423,"_", C4423,"_", B4423)</f>
        <v>Base_Medium_Base_Upgraded_Global Warming Potential (GWP) - kg CO2 eq_Wastewater collection; operation and infrastructure; m3 wastewater_Base_With Amendment_Aerated Static Pile</v>
      </c>
    </row>
    <row r="4424" spans="1:13" s="120" customFormat="1" x14ac:dyDescent="0.25">
      <c r="A4424" s="119"/>
      <c r="B4424" s="138" t="str">
        <f t="shared" si="260"/>
        <v>Aerated Static Pile</v>
      </c>
      <c r="C4424" s="138" t="str">
        <f t="shared" si="261"/>
        <v>Base_With Amendment</v>
      </c>
      <c r="D4424" s="138" t="str">
        <f t="shared" si="264"/>
        <v>Medium_Base</v>
      </c>
      <c r="E4424" s="138" t="str">
        <f t="shared" si="262"/>
        <v>Base</v>
      </c>
      <c r="F4424" s="138" t="str">
        <f t="shared" si="263"/>
        <v>Upgraded</v>
      </c>
      <c r="G4424" s="153"/>
      <c r="H4424" s="210">
        <v>1.66E-2</v>
      </c>
      <c r="I4424" s="160" t="s">
        <v>148</v>
      </c>
      <c r="J4424" s="160">
        <v>8.3000000000000001E-3</v>
      </c>
      <c r="K4424" s="160" t="s">
        <v>23</v>
      </c>
      <c r="L4424" s="154" t="str">
        <f>IF(OpenLCAbasic!K4424="CTUh", "Fill in Manually",IF(OR(K4424="Unit", K4424=""), "", INDEX(LookUps!$E$5:$E$12, MATCH(OpenLCAbasic!K4424,LookUps!$D$5:$D$12,0))))</f>
        <v>Global Warming Potential (GWP) - kg CO2 eq</v>
      </c>
      <c r="M4424" s="154" t="str">
        <f t="shared" si="265"/>
        <v>Base_Medium_Base_Upgraded_Global Warming Potential (GWP) - kg CO2 eq_Control Building; at upgraded wastewater treatment plant - US_Base_With Amendment_Aerated Static Pile</v>
      </c>
    </row>
    <row r="4425" spans="1:13" s="120" customFormat="1" x14ac:dyDescent="0.25">
      <c r="A4425" s="119"/>
      <c r="B4425" s="138" t="str">
        <f t="shared" si="260"/>
        <v>Aerated Static Pile</v>
      </c>
      <c r="C4425" s="138" t="str">
        <f t="shared" si="261"/>
        <v>Base_With Amendment</v>
      </c>
      <c r="D4425" s="138" t="str">
        <f t="shared" si="264"/>
        <v>Medium_Base</v>
      </c>
      <c r="E4425" s="138" t="str">
        <f t="shared" si="262"/>
        <v>Base</v>
      </c>
      <c r="F4425" s="138" t="str">
        <f t="shared" si="263"/>
        <v>Upgraded</v>
      </c>
      <c r="G4425" s="153"/>
      <c r="H4425" s="210">
        <v>1.01E-2</v>
      </c>
      <c r="I4425" s="160" t="s">
        <v>59</v>
      </c>
      <c r="J4425" s="160">
        <v>5.0400000000000002E-3</v>
      </c>
      <c r="K4425" s="160" t="s">
        <v>23</v>
      </c>
      <c r="L4425" s="154" t="str">
        <f>IF(OpenLCAbasic!K4425="CTUh", "Fill in Manually",IF(OR(K4425="Unit", K4425=""), "", INDEX(LookUps!$E$5:$E$12, MATCH(OpenLCAbasic!K4425,LookUps!$D$5:$D$12,0))))</f>
        <v>Global Warming Potential (GWP) - kg CO2 eq</v>
      </c>
      <c r="M4425" s="154" t="str">
        <f t="shared" si="265"/>
        <v>Base_Medium_Base_Upgraded_Global Warming Potential (GWP) - kg CO2 eq_Blend Tank; wastewater treatment unit; at updated plant - US_Base_With Amendment_Aerated Static Pile</v>
      </c>
    </row>
    <row r="4426" spans="1:13" s="120" customFormat="1" x14ac:dyDescent="0.25">
      <c r="A4426" s="119"/>
      <c r="B4426" s="138" t="str">
        <f t="shared" si="260"/>
        <v>Aerated Static Pile</v>
      </c>
      <c r="C4426" s="138" t="str">
        <f t="shared" si="261"/>
        <v>Base_With Amendment</v>
      </c>
      <c r="D4426" s="138" t="str">
        <f t="shared" si="264"/>
        <v>Medium_Base</v>
      </c>
      <c r="E4426" s="138" t="str">
        <f t="shared" si="262"/>
        <v>Base</v>
      </c>
      <c r="F4426" s="138" t="str">
        <f t="shared" si="263"/>
        <v>Upgraded</v>
      </c>
      <c r="G4426" s="153"/>
      <c r="H4426" s="210">
        <v>4.7999999999999996E-3</v>
      </c>
      <c r="I4426" s="160" t="s">
        <v>168</v>
      </c>
      <c r="J4426" s="160">
        <v>2.4099999999999998E-3</v>
      </c>
      <c r="K4426" s="160" t="s">
        <v>23</v>
      </c>
      <c r="L4426" s="154" t="str">
        <f>IF(OpenLCAbasic!K4426="CTUh", "Fill in Manually",IF(OR(K4426="Unit", K4426=""), "", INDEX(LookUps!$E$5:$E$12, MATCH(OpenLCAbasic!K4426,LookUps!$D$5:$D$12,0))))</f>
        <v>Global Warming Potential (GWP) - kg CO2 eq</v>
      </c>
      <c r="M4426" s="154" t="str">
        <f t="shared" si="265"/>
        <v>Base_Medium_Base_Upgraded_Global Warming Potential (GWP) - kg CO2 eq_ClearCove SCP; wastewater treatment unit; at updated plant - US_Base_With Amendment_Aerated Static Pile</v>
      </c>
    </row>
    <row r="4427" spans="1:13" s="120" customFormat="1" x14ac:dyDescent="0.25">
      <c r="A4427" s="119"/>
      <c r="B4427" s="138" t="str">
        <f t="shared" si="260"/>
        <v>Aerated Static Pile</v>
      </c>
      <c r="C4427" s="138" t="str">
        <f t="shared" si="261"/>
        <v>Base_With Amendment</v>
      </c>
      <c r="D4427" s="138" t="str">
        <f t="shared" si="264"/>
        <v>Medium_Base</v>
      </c>
      <c r="E4427" s="138" t="str">
        <f t="shared" si="262"/>
        <v>Base</v>
      </c>
      <c r="F4427" s="138" t="str">
        <f t="shared" si="263"/>
        <v>Upgraded</v>
      </c>
      <c r="G4427" s="153"/>
      <c r="H4427" s="210">
        <v>-0.74070000000000003</v>
      </c>
      <c r="I4427" s="160" t="s">
        <v>149</v>
      </c>
      <c r="J4427" s="160">
        <v>-0.36997999999999998</v>
      </c>
      <c r="K4427" s="160" t="s">
        <v>23</v>
      </c>
      <c r="L4427" s="154" t="str">
        <f>IF(OpenLCAbasic!K4427="CTUh", "Fill in Manually",IF(OR(K4427="Unit", K4427=""), "", INDEX(LookUps!$E$5:$E$12, MATCH(OpenLCAbasic!K4427,LookUps!$D$5:$D$12,0))))</f>
        <v>Global Warming Potential (GWP) - kg CO2 eq</v>
      </c>
      <c r="M4427" s="154" t="str">
        <f t="shared" si="265"/>
        <v>Base_Medium_Base_Upgraded_Global Warming Potential (GWP) - kg CO2 eq_Anaerobic Digestion; wastewater treatment unit; at updated plant - US_Base_With Amendment_Aerated Static Pile</v>
      </c>
    </row>
    <row r="4428" spans="1:13" s="120" customFormat="1" x14ac:dyDescent="0.25">
      <c r="A4428" s="119"/>
      <c r="B4428" s="138" t="str">
        <f t="shared" si="260"/>
        <v>Aerated Static Pile</v>
      </c>
      <c r="C4428" s="138" t="str">
        <f t="shared" si="261"/>
        <v>Base_With Amendment</v>
      </c>
      <c r="D4428" s="138" t="str">
        <f t="shared" si="264"/>
        <v>Medium_Base</v>
      </c>
      <c r="E4428" s="138" t="str">
        <f t="shared" si="262"/>
        <v>Base</v>
      </c>
      <c r="F4428" s="138" t="str">
        <f t="shared" si="263"/>
        <v>Upgraded</v>
      </c>
      <c r="G4428" s="153"/>
      <c r="H4428" s="210">
        <v>-1.2972999999999999</v>
      </c>
      <c r="I4428" s="160" t="s">
        <v>62</v>
      </c>
      <c r="J4428" s="160">
        <v>-0.64795999999999998</v>
      </c>
      <c r="K4428" s="160" t="s">
        <v>23</v>
      </c>
      <c r="L4428" s="154" t="str">
        <f>IF(OpenLCAbasic!K4428="CTUh", "Fill in Manually",IF(OR(K4428="Unit", K4428=""), "", INDEX(LookUps!$E$5:$E$12, MATCH(OpenLCAbasic!K4428,LookUps!$D$5:$D$12,0))))</f>
        <v>Global Warming Potential (GWP) - kg CO2 eq</v>
      </c>
      <c r="M4428" s="154" t="str">
        <f t="shared" si="265"/>
        <v>Base_Medium_Base_Upgraded_Global Warming Potential (GWP) - kg CO2 eq_Land application of compost; wastewater treatment unit; at updated plant - US_Base_With Amendment_Aerated Static Pile</v>
      </c>
    </row>
    <row r="4429" spans="1:13" s="120" customFormat="1" x14ac:dyDescent="0.25">
      <c r="A4429" s="119"/>
      <c r="B4429" s="138" t="str">
        <f t="shared" si="260"/>
        <v/>
      </c>
      <c r="C4429" s="138" t="str">
        <f t="shared" si="261"/>
        <v/>
      </c>
      <c r="D4429" s="138" t="str">
        <f t="shared" si="264"/>
        <v/>
      </c>
      <c r="E4429" s="138" t="str">
        <f t="shared" si="262"/>
        <v/>
      </c>
      <c r="F4429" s="138" t="str">
        <f t="shared" si="263"/>
        <v/>
      </c>
      <c r="G4429" s="153" t="s">
        <v>51</v>
      </c>
      <c r="H4429" s="160"/>
      <c r="I4429" s="160" t="s">
        <v>47</v>
      </c>
      <c r="J4429" s="160" t="s">
        <v>52</v>
      </c>
      <c r="K4429" s="160" t="s">
        <v>27</v>
      </c>
      <c r="L4429" s="154" t="str">
        <f>IF(OpenLCAbasic!K4429="CTUh", "Fill in Manually",IF(OR(K4429="Unit", K4429=""), "", INDEX(LookUps!$E$5:$E$12, MATCH(OpenLCAbasic!K4429,LookUps!$D$5:$D$12,0))))</f>
        <v/>
      </c>
      <c r="M4429" s="154" t="str">
        <f t="shared" si="265"/>
        <v>____Process__</v>
      </c>
    </row>
    <row r="4430" spans="1:13" s="120" customFormat="1" x14ac:dyDescent="0.25">
      <c r="A4430" s="119"/>
      <c r="B4430" s="138" t="str">
        <f t="shared" si="260"/>
        <v>Aerated Static Pile</v>
      </c>
      <c r="C4430" s="138" t="str">
        <f t="shared" si="261"/>
        <v>Base_With Amendment</v>
      </c>
      <c r="D4430" s="138" t="str">
        <f t="shared" si="264"/>
        <v>Medium_Base</v>
      </c>
      <c r="E4430" s="138" t="str">
        <f t="shared" si="262"/>
        <v>Base</v>
      </c>
      <c r="F4430" s="138" t="str">
        <f t="shared" si="263"/>
        <v>Upgraded</v>
      </c>
      <c r="G4430" s="153"/>
      <c r="H4430" s="210">
        <v>0.61309999999999998</v>
      </c>
      <c r="I4430" s="160" t="s">
        <v>55</v>
      </c>
      <c r="J4430" s="160">
        <v>2.33E-3</v>
      </c>
      <c r="K4430" s="160" t="s">
        <v>145</v>
      </c>
      <c r="L4430" s="154" t="str">
        <f>IF(OpenLCAbasic!K4430="CTUh", "Fill in Manually",IF(OR(K4430="Unit", K4430=""), "", INDEX(LookUps!$E$5:$E$12, MATCH(OpenLCAbasic!K4430,LookUps!$D$5:$D$12,0))))</f>
        <v>Particulate Matter Formation Potential (PMFP) - kg PM2.5 eq</v>
      </c>
      <c r="M4430" s="154" t="str">
        <f t="shared" si="265"/>
        <v>Base_Medium_Base_Upgraded_Particulate Matter Formation Potential (PMFP) - kg PM2.5 eq_Aeration Tanks; wastewater treatment unit; at updated plant - US_Base_With Amendment_Aerated Static Pile</v>
      </c>
    </row>
    <row r="4431" spans="1:13" s="120" customFormat="1" x14ac:dyDescent="0.25">
      <c r="A4431" s="119"/>
      <c r="B4431" s="138" t="str">
        <f t="shared" si="260"/>
        <v>Aerated Static Pile</v>
      </c>
      <c r="C4431" s="138" t="str">
        <f t="shared" si="261"/>
        <v>Base_With Amendment</v>
      </c>
      <c r="D4431" s="138" t="str">
        <f t="shared" si="264"/>
        <v>Medium_Base</v>
      </c>
      <c r="E4431" s="138" t="str">
        <f t="shared" si="262"/>
        <v>Base</v>
      </c>
      <c r="F4431" s="138" t="str">
        <f t="shared" si="263"/>
        <v>Upgraded</v>
      </c>
      <c r="G4431" s="153"/>
      <c r="H4431" s="210">
        <v>0.30709999999999998</v>
      </c>
      <c r="I4431" s="160" t="s">
        <v>435</v>
      </c>
      <c r="J4431" s="160">
        <v>1.17E-3</v>
      </c>
      <c r="K4431" s="160" t="s">
        <v>145</v>
      </c>
      <c r="L4431" s="154" t="str">
        <f>IF(OpenLCAbasic!K4431="CTUh", "Fill in Manually",IF(OR(K4431="Unit", K4431=""), "", INDEX(LookUps!$E$5:$E$12, MATCH(OpenLCAbasic!K4431,LookUps!$D$5:$D$12,0))))</f>
        <v>Particulate Matter Formation Potential (PMFP) - kg PM2.5 eq</v>
      </c>
      <c r="M4431" s="154" t="str">
        <f t="shared" si="265"/>
        <v>Base_Medium_Base_Upgraded_Particulate Matter Formation Potential (PMFP) - kg PM2.5 eq_Biosolids composting; aerated static pile; wastewater treatment unit; at updated plant - US_Base_With Amendment_Aerated Static Pile</v>
      </c>
    </row>
    <row r="4432" spans="1:13" s="120" customFormat="1" x14ac:dyDescent="0.25">
      <c r="A4432" s="119"/>
      <c r="B4432" s="138" t="str">
        <f t="shared" si="260"/>
        <v>Aerated Static Pile</v>
      </c>
      <c r="C4432" s="138" t="str">
        <f t="shared" si="261"/>
        <v>Base_With Amendment</v>
      </c>
      <c r="D4432" s="138" t="str">
        <f t="shared" si="264"/>
        <v>Medium_Base</v>
      </c>
      <c r="E4432" s="138" t="str">
        <f t="shared" si="262"/>
        <v>Base</v>
      </c>
      <c r="F4432" s="138" t="str">
        <f t="shared" si="263"/>
        <v>Upgraded</v>
      </c>
      <c r="G4432" s="153"/>
      <c r="H4432" s="210">
        <v>0.1784</v>
      </c>
      <c r="I4432" s="160" t="s">
        <v>54</v>
      </c>
      <c r="J4432" s="160">
        <v>6.8000000000000005E-4</v>
      </c>
      <c r="K4432" s="160" t="s">
        <v>145</v>
      </c>
      <c r="L4432" s="154" t="str">
        <f>IF(OpenLCAbasic!K4432="CTUh", "Fill in Manually",IF(OR(K4432="Unit", K4432=""), "", INDEX(LookUps!$E$5:$E$12, MATCH(OpenLCAbasic!K4432,LookUps!$D$5:$D$12,0))))</f>
        <v>Particulate Matter Formation Potential (PMFP) - kg PM2.5 eq</v>
      </c>
      <c r="M4432" s="154" t="str">
        <f t="shared" si="265"/>
        <v>Base_Medium_Base_Upgraded_Particulate Matter Formation Potential (PMFP) - kg PM2.5 eq_Clear Cove Primary Clarification; wastewater treatment unit; at updated plant - US_Base_With Amendment_Aerated Static Pile</v>
      </c>
    </row>
    <row r="4433" spans="1:13" s="120" customFormat="1" x14ac:dyDescent="0.25">
      <c r="A4433" s="119"/>
      <c r="B4433" s="138" t="str">
        <f t="shared" si="260"/>
        <v>Aerated Static Pile</v>
      </c>
      <c r="C4433" s="138" t="str">
        <f t="shared" si="261"/>
        <v>Base_With Amendment</v>
      </c>
      <c r="D4433" s="138" t="str">
        <f t="shared" si="264"/>
        <v>Medium_Base</v>
      </c>
      <c r="E4433" s="138" t="str">
        <f t="shared" si="262"/>
        <v>Base</v>
      </c>
      <c r="F4433" s="138" t="str">
        <f t="shared" si="263"/>
        <v>Upgraded</v>
      </c>
      <c r="G4433" s="153"/>
      <c r="H4433" s="210">
        <v>0.1547</v>
      </c>
      <c r="I4433" s="160" t="s">
        <v>58</v>
      </c>
      <c r="J4433" s="160">
        <v>5.9000000000000003E-4</v>
      </c>
      <c r="K4433" s="160" t="s">
        <v>145</v>
      </c>
      <c r="L4433" s="154" t="str">
        <f>IF(OpenLCAbasic!K4433="CTUh", "Fill in Manually",IF(OR(K4433="Unit", K4433=""), "", INDEX(LookUps!$E$5:$E$12, MATCH(OpenLCAbasic!K4433,LookUps!$D$5:$D$12,0))))</f>
        <v>Particulate Matter Formation Potential (PMFP) - kg PM2.5 eq</v>
      </c>
      <c r="M4433" s="154" t="str">
        <f t="shared" si="265"/>
        <v>Base_Medium_Base_Upgraded_Particulate Matter Formation Potential (PMFP) - kg PM2.5 eq_Pre-Anoxic &amp; Swing tank; wastewater treatment unit; at updated plant - US_Base_With Amendment_Aerated Static Pile</v>
      </c>
    </row>
    <row r="4434" spans="1:13" s="120" customFormat="1" x14ac:dyDescent="0.25">
      <c r="A4434" s="119"/>
      <c r="B4434" s="138" t="str">
        <f t="shared" si="260"/>
        <v>Aerated Static Pile</v>
      </c>
      <c r="C4434" s="138" t="str">
        <f t="shared" si="261"/>
        <v>Base_With Amendment</v>
      </c>
      <c r="D4434" s="138" t="str">
        <f t="shared" si="264"/>
        <v>Medium_Base</v>
      </c>
      <c r="E4434" s="138" t="str">
        <f t="shared" si="262"/>
        <v>Base</v>
      </c>
      <c r="F4434" s="138" t="str">
        <f t="shared" si="263"/>
        <v>Upgraded</v>
      </c>
      <c r="G4434" s="153"/>
      <c r="H4434" s="210">
        <v>0.1226</v>
      </c>
      <c r="I4434" s="160" t="s">
        <v>53</v>
      </c>
      <c r="J4434" s="160">
        <v>4.6999999999999999E-4</v>
      </c>
      <c r="K4434" s="160" t="s">
        <v>145</v>
      </c>
      <c r="L4434" s="154" t="str">
        <f>IF(OpenLCAbasic!K4434="CTUh", "Fill in Manually",IF(OR(K4434="Unit", K4434=""), "", INDEX(LookUps!$E$5:$E$12, MATCH(OpenLCAbasic!K4434,LookUps!$D$5:$D$12,0))))</f>
        <v>Particulate Matter Formation Potential (PMFP) - kg PM2.5 eq</v>
      </c>
      <c r="M4434" s="154" t="str">
        <f t="shared" si="265"/>
        <v>Base_Medium_Base_Upgraded_Particulate Matter Formation Potential (PMFP) - kg PM2.5 eq_Wet Well and Sump Station; wastewater treatment unit; at updated plant - US_Base_With Amendment_Aerated Static Pile</v>
      </c>
    </row>
    <row r="4435" spans="1:13" s="120" customFormat="1" x14ac:dyDescent="0.25">
      <c r="A4435" s="119"/>
      <c r="B4435" s="138" t="str">
        <f t="shared" si="260"/>
        <v>Aerated Static Pile</v>
      </c>
      <c r="C4435" s="138" t="str">
        <f t="shared" si="261"/>
        <v>Base_With Amendment</v>
      </c>
      <c r="D4435" s="138" t="str">
        <f t="shared" si="264"/>
        <v>Medium_Base</v>
      </c>
      <c r="E4435" s="138" t="str">
        <f t="shared" si="262"/>
        <v>Base</v>
      </c>
      <c r="F4435" s="138" t="str">
        <f t="shared" si="263"/>
        <v>Upgraded</v>
      </c>
      <c r="G4435" s="153"/>
      <c r="H4435" s="210">
        <v>8.2699999999999996E-2</v>
      </c>
      <c r="I4435" s="160" t="s">
        <v>167</v>
      </c>
      <c r="J4435" s="160">
        <v>3.1E-4</v>
      </c>
      <c r="K4435" s="160" t="s">
        <v>145</v>
      </c>
      <c r="L4435" s="154" t="str">
        <f>IF(OpenLCAbasic!K4435="CTUh", "Fill in Manually",IF(OR(K4435="Unit", K4435=""), "", INDEX(LookUps!$E$5:$E$12, MATCH(OpenLCAbasic!K4435,LookUps!$D$5:$D$12,0))))</f>
        <v>Particulate Matter Formation Potential (PMFP) - kg PM2.5 eq</v>
      </c>
      <c r="M4435" s="154" t="str">
        <f t="shared" si="265"/>
        <v>Base_Medium_Base_Upgraded_Particulate Matter Formation Potential (PMFP) - kg PM2.5 eq_Waste Receiving and Holding; wastewater treatment unit; at updated plant - US_Base_With Amendment_Aerated Static Pile</v>
      </c>
    </row>
    <row r="4436" spans="1:13" s="120" customFormat="1" x14ac:dyDescent="0.25">
      <c r="A4436" s="119"/>
      <c r="B4436" s="138" t="str">
        <f t="shared" si="260"/>
        <v>Aerated Static Pile</v>
      </c>
      <c r="C4436" s="138" t="str">
        <f t="shared" si="261"/>
        <v>Base_With Amendment</v>
      </c>
      <c r="D4436" s="138" t="str">
        <f t="shared" si="264"/>
        <v>Medium_Base</v>
      </c>
      <c r="E4436" s="138" t="str">
        <f t="shared" si="262"/>
        <v>Base</v>
      </c>
      <c r="F4436" s="138" t="str">
        <f t="shared" si="263"/>
        <v>Upgraded</v>
      </c>
      <c r="G4436" s="153"/>
      <c r="H4436" s="210">
        <v>7.0099999999999996E-2</v>
      </c>
      <c r="I4436" s="160" t="s">
        <v>147</v>
      </c>
      <c r="J4436" s="160">
        <v>2.7E-4</v>
      </c>
      <c r="K4436" s="160" t="s">
        <v>145</v>
      </c>
      <c r="L4436" s="154" t="str">
        <f>IF(OpenLCAbasic!K4436="CTUh", "Fill in Manually",IF(OR(K4436="Unit", K4436=""), "", INDEX(LookUps!$E$5:$E$12, MATCH(OpenLCAbasic!K4436,LookUps!$D$5:$D$12,0))))</f>
        <v>Particulate Matter Formation Potential (PMFP) - kg PM2.5 eq</v>
      </c>
      <c r="M4436" s="154" t="str">
        <f t="shared" si="265"/>
        <v>Base_Medium_Base_Upgraded_Particulate Matter Formation Potential (PMFP) - kg PM2.5 eq_Influent Pump Station; wastewater treatment unit; at updated plant - US_Base_With Amendment_Aerated Static Pile</v>
      </c>
    </row>
    <row r="4437" spans="1:13" s="120" customFormat="1" x14ac:dyDescent="0.25">
      <c r="A4437" s="119"/>
      <c r="B4437" s="138" t="str">
        <f t="shared" si="260"/>
        <v>Aerated Static Pile</v>
      </c>
      <c r="C4437" s="138" t="str">
        <f t="shared" si="261"/>
        <v>Base_With Amendment</v>
      </c>
      <c r="D4437" s="138" t="str">
        <f t="shared" si="264"/>
        <v>Medium_Base</v>
      </c>
      <c r="E4437" s="138" t="str">
        <f t="shared" si="262"/>
        <v>Base</v>
      </c>
      <c r="F4437" s="138" t="str">
        <f t="shared" si="263"/>
        <v>Upgraded</v>
      </c>
      <c r="G4437" s="153"/>
      <c r="H4437" s="210">
        <v>4.3700000000000003E-2</v>
      </c>
      <c r="I4437" s="160" t="s">
        <v>128</v>
      </c>
      <c r="J4437" s="160">
        <v>1.7000000000000001E-4</v>
      </c>
      <c r="K4437" s="160" t="s">
        <v>145</v>
      </c>
      <c r="L4437" s="154" t="str">
        <f>IF(OpenLCAbasic!K4437="CTUh", "Fill in Manually",IF(OR(K4437="Unit", K4437=""), "", INDEX(LookUps!$E$5:$E$12, MATCH(OpenLCAbasic!K4437,LookUps!$D$5:$D$12,0))))</f>
        <v>Particulate Matter Formation Potential (PMFP) - kg PM2.5 eq</v>
      </c>
      <c r="M4437" s="154" t="str">
        <f t="shared" si="265"/>
        <v>Base_Medium_Base_Upgraded_Particulate Matter Formation Potential (PMFP) - kg PM2.5 eq_Wastewater collection; operation and infrastructure; m3 wastewater_Base_With Amendment_Aerated Static Pile</v>
      </c>
    </row>
    <row r="4438" spans="1:13" s="120" customFormat="1" x14ac:dyDescent="0.25">
      <c r="A4438" s="119"/>
      <c r="B4438" s="138" t="str">
        <f t="shared" si="260"/>
        <v>Aerated Static Pile</v>
      </c>
      <c r="C4438" s="138" t="str">
        <f t="shared" si="261"/>
        <v>Base_With Amendment</v>
      </c>
      <c r="D4438" s="138" t="str">
        <f t="shared" si="264"/>
        <v>Medium_Base</v>
      </c>
      <c r="E4438" s="138" t="str">
        <f t="shared" si="262"/>
        <v>Base</v>
      </c>
      <c r="F4438" s="138" t="str">
        <f t="shared" si="263"/>
        <v>Upgraded</v>
      </c>
      <c r="G4438" s="153"/>
      <c r="H4438" s="210">
        <v>3.7900000000000003E-2</v>
      </c>
      <c r="I4438" s="160" t="s">
        <v>60</v>
      </c>
      <c r="J4438" s="160">
        <v>1.3999999999999999E-4</v>
      </c>
      <c r="K4438" s="160" t="s">
        <v>145</v>
      </c>
      <c r="L4438" s="154" t="str">
        <f>IF(OpenLCAbasic!K4438="CTUh", "Fill in Manually",IF(OR(K4438="Unit", K4438=""), "", INDEX(LookUps!$E$5:$E$12, MATCH(OpenLCAbasic!K4438,LookUps!$D$5:$D$12,0))))</f>
        <v>Particulate Matter Formation Potential (PMFP) - kg PM2.5 eq</v>
      </c>
      <c r="M4438" s="154" t="str">
        <f t="shared" si="265"/>
        <v>Base_Medium_Base_Upgraded_Particulate Matter Formation Potential (PMFP) - kg PM2.5 eq_Belt filter press; wastewater treatment unit; at updated plant - US_Base_With Amendment_Aerated Static Pile</v>
      </c>
    </row>
    <row r="4439" spans="1:13" s="120" customFormat="1" x14ac:dyDescent="0.25">
      <c r="A4439" s="119"/>
      <c r="B4439" s="138" t="str">
        <f t="shared" si="260"/>
        <v>Aerated Static Pile</v>
      </c>
      <c r="C4439" s="138" t="str">
        <f t="shared" si="261"/>
        <v>Base_With Amendment</v>
      </c>
      <c r="D4439" s="138" t="str">
        <f t="shared" si="264"/>
        <v>Medium_Base</v>
      </c>
      <c r="E4439" s="138" t="str">
        <f t="shared" si="262"/>
        <v>Base</v>
      </c>
      <c r="F4439" s="138" t="str">
        <f t="shared" si="263"/>
        <v>Upgraded</v>
      </c>
      <c r="G4439" s="153"/>
      <c r="H4439" s="210">
        <v>2.5000000000000001E-2</v>
      </c>
      <c r="I4439" s="160" t="s">
        <v>57</v>
      </c>
      <c r="J4439" s="211">
        <v>9.5153800000000004E-5</v>
      </c>
      <c r="K4439" s="160" t="s">
        <v>145</v>
      </c>
      <c r="L4439" s="154" t="str">
        <f>IF(OpenLCAbasic!K4439="CTUh", "Fill in Manually",IF(OR(K4439="Unit", K4439=""), "", INDEX(LookUps!$E$5:$E$12, MATCH(OpenLCAbasic!K4439,LookUps!$D$5:$D$12,0))))</f>
        <v>Particulate Matter Formation Potential (PMFP) - kg PM2.5 eq</v>
      </c>
      <c r="M4439" s="154" t="str">
        <f t="shared" si="265"/>
        <v>Base_Medium_Base_Upgraded_Particulate Matter Formation Potential (PMFP) - kg PM2.5 eq_Gravity Belt Thickener; wastewater treatment unit; at updated plant - US_Base_With Amendment_Aerated Static Pile</v>
      </c>
    </row>
    <row r="4440" spans="1:13" s="120" customFormat="1" x14ac:dyDescent="0.25">
      <c r="A4440" s="119"/>
      <c r="B4440" s="138" t="str">
        <f t="shared" si="260"/>
        <v>Aerated Static Pile</v>
      </c>
      <c r="C4440" s="138" t="str">
        <f t="shared" si="261"/>
        <v>Base_With Amendment</v>
      </c>
      <c r="D4440" s="138" t="str">
        <f t="shared" si="264"/>
        <v>Medium_Base</v>
      </c>
      <c r="E4440" s="138" t="str">
        <f t="shared" si="262"/>
        <v>Base</v>
      </c>
      <c r="F4440" s="138" t="str">
        <f t="shared" si="263"/>
        <v>Upgraded</v>
      </c>
      <c r="G4440" s="153"/>
      <c r="H4440" s="210">
        <v>1.84E-2</v>
      </c>
      <c r="I4440" s="160" t="s">
        <v>59</v>
      </c>
      <c r="J4440" s="211">
        <v>6.9942200000000003E-5</v>
      </c>
      <c r="K4440" s="160" t="s">
        <v>145</v>
      </c>
      <c r="L4440" s="154" t="str">
        <f>IF(OpenLCAbasic!K4440="CTUh", "Fill in Manually",IF(OR(K4440="Unit", K4440=""), "", INDEX(LookUps!$E$5:$E$12, MATCH(OpenLCAbasic!K4440,LookUps!$D$5:$D$12,0))))</f>
        <v>Particulate Matter Formation Potential (PMFP) - kg PM2.5 eq</v>
      </c>
      <c r="M4440" s="154" t="str">
        <f t="shared" si="265"/>
        <v>Base_Medium_Base_Upgraded_Particulate Matter Formation Potential (PMFP) - kg PM2.5 eq_Blend Tank; wastewater treatment unit; at updated plant - US_Base_With Amendment_Aerated Static Pile</v>
      </c>
    </row>
    <row r="4441" spans="1:13" s="120" customFormat="1" x14ac:dyDescent="0.25">
      <c r="A4441" s="119"/>
      <c r="B4441" s="138" t="str">
        <f t="shared" si="260"/>
        <v>Aerated Static Pile</v>
      </c>
      <c r="C4441" s="138" t="str">
        <f t="shared" si="261"/>
        <v>Base_With Amendment</v>
      </c>
      <c r="D4441" s="138" t="str">
        <f t="shared" si="264"/>
        <v>Medium_Base</v>
      </c>
      <c r="E4441" s="138" t="str">
        <f t="shared" si="262"/>
        <v>Base</v>
      </c>
      <c r="F4441" s="138" t="str">
        <f t="shared" si="263"/>
        <v>Upgraded</v>
      </c>
      <c r="G4441" s="153"/>
      <c r="H4441" s="210">
        <v>1.5699999999999999E-2</v>
      </c>
      <c r="I4441" s="160" t="s">
        <v>62</v>
      </c>
      <c r="J4441" s="211">
        <v>5.9602000000000003E-5</v>
      </c>
      <c r="K4441" s="160" t="s">
        <v>145</v>
      </c>
      <c r="L4441" s="154" t="str">
        <f>IF(OpenLCAbasic!K4441="CTUh", "Fill in Manually",IF(OR(K4441="Unit", K4441=""), "", INDEX(LookUps!$E$5:$E$12, MATCH(OpenLCAbasic!K4441,LookUps!$D$5:$D$12,0))))</f>
        <v>Particulate Matter Formation Potential (PMFP) - kg PM2.5 eq</v>
      </c>
      <c r="M4441" s="154" t="str">
        <f t="shared" si="265"/>
        <v>Base_Medium_Base_Upgraded_Particulate Matter Formation Potential (PMFP) - kg PM2.5 eq_Land application of compost; wastewater treatment unit; at updated plant - US_Base_With Amendment_Aerated Static Pile</v>
      </c>
    </row>
    <row r="4442" spans="1:13" s="120" customFormat="1" x14ac:dyDescent="0.25">
      <c r="A4442" s="119"/>
      <c r="B4442" s="138" t="str">
        <f t="shared" si="260"/>
        <v>Aerated Static Pile</v>
      </c>
      <c r="C4442" s="138" t="str">
        <f t="shared" si="261"/>
        <v>Base_With Amendment</v>
      </c>
      <c r="D4442" s="138" t="str">
        <f t="shared" si="264"/>
        <v>Medium_Base</v>
      </c>
      <c r="E4442" s="138" t="str">
        <f t="shared" si="262"/>
        <v>Base</v>
      </c>
      <c r="F4442" s="138" t="str">
        <f t="shared" si="263"/>
        <v>Upgraded</v>
      </c>
      <c r="G4442" s="153"/>
      <c r="H4442" s="210">
        <v>1.3100000000000001E-2</v>
      </c>
      <c r="I4442" s="160" t="s">
        <v>48</v>
      </c>
      <c r="J4442" s="211">
        <v>4.99741E-5</v>
      </c>
      <c r="K4442" s="160" t="s">
        <v>145</v>
      </c>
      <c r="L4442" s="154" t="str">
        <f>IF(OpenLCAbasic!K4442="CTUh", "Fill in Manually",IF(OR(K4442="Unit", K4442=""), "", INDEX(LookUps!$E$5:$E$12, MATCH(OpenLCAbasic!K4442,LookUps!$D$5:$D$12,0))))</f>
        <v>Particulate Matter Formation Potential (PMFP) - kg PM2.5 eq</v>
      </c>
      <c r="M4442" s="154" t="str">
        <f t="shared" si="265"/>
        <v>Base_Medium_Base_Upgraded_Particulate Matter Formation Potential (PMFP) - kg PM2.5 eq_Effluent release; wastewater treatment unit; at surface water; m3 wastewater - US_Base_With Amendment_Aerated Static Pile</v>
      </c>
    </row>
    <row r="4443" spans="1:13" s="120" customFormat="1" x14ac:dyDescent="0.25">
      <c r="A4443" s="119"/>
      <c r="B4443" s="138" t="str">
        <f t="shared" si="260"/>
        <v>Aerated Static Pile</v>
      </c>
      <c r="C4443" s="138" t="str">
        <f t="shared" si="261"/>
        <v>Base_With Amendment</v>
      </c>
      <c r="D4443" s="138" t="str">
        <f t="shared" si="264"/>
        <v>Medium_Base</v>
      </c>
      <c r="E4443" s="138" t="str">
        <f t="shared" si="262"/>
        <v>Base</v>
      </c>
      <c r="F4443" s="138" t="str">
        <f t="shared" si="263"/>
        <v>Upgraded</v>
      </c>
      <c r="G4443" s="153"/>
      <c r="H4443" s="210">
        <v>9.1000000000000004E-3</v>
      </c>
      <c r="I4443" s="160" t="s">
        <v>168</v>
      </c>
      <c r="J4443" s="211">
        <v>3.4562199999999999E-5</v>
      </c>
      <c r="K4443" s="160" t="s">
        <v>145</v>
      </c>
      <c r="L4443" s="154" t="str">
        <f>IF(OpenLCAbasic!K4443="CTUh", "Fill in Manually",IF(OR(K4443="Unit", K4443=""), "", INDEX(LookUps!$E$5:$E$12, MATCH(OpenLCAbasic!K4443,LookUps!$D$5:$D$12,0))))</f>
        <v>Particulate Matter Formation Potential (PMFP) - kg PM2.5 eq</v>
      </c>
      <c r="M4443" s="154" t="str">
        <f t="shared" si="265"/>
        <v>Base_Medium_Base_Upgraded_Particulate Matter Formation Potential (PMFP) - kg PM2.5 eq_ClearCove SCP; wastewater treatment unit; at updated plant - US_Base_With Amendment_Aerated Static Pile</v>
      </c>
    </row>
    <row r="4444" spans="1:13" s="120" customFormat="1" x14ac:dyDescent="0.25">
      <c r="A4444" s="119"/>
      <c r="B4444" s="138" t="str">
        <f t="shared" si="260"/>
        <v>Aerated Static Pile</v>
      </c>
      <c r="C4444" s="138" t="str">
        <f t="shared" si="261"/>
        <v>Base_With Amendment</v>
      </c>
      <c r="D4444" s="138" t="str">
        <f t="shared" si="264"/>
        <v>Medium_Base</v>
      </c>
      <c r="E4444" s="138" t="str">
        <f t="shared" si="262"/>
        <v>Base</v>
      </c>
      <c r="F4444" s="138" t="str">
        <f t="shared" si="263"/>
        <v>Upgraded</v>
      </c>
      <c r="G4444" s="153"/>
      <c r="H4444" s="210">
        <v>2.3E-3</v>
      </c>
      <c r="I4444" s="160" t="s">
        <v>148</v>
      </c>
      <c r="J4444" s="211">
        <v>8.8212999999999997E-6</v>
      </c>
      <c r="K4444" s="160" t="s">
        <v>145</v>
      </c>
      <c r="L4444" s="154" t="str">
        <f>IF(OpenLCAbasic!K4444="CTUh", "Fill in Manually",IF(OR(K4444="Unit", K4444=""), "", INDEX(LookUps!$E$5:$E$12, MATCH(OpenLCAbasic!K4444,LookUps!$D$5:$D$12,0))))</f>
        <v>Particulate Matter Formation Potential (PMFP) - kg PM2.5 eq</v>
      </c>
      <c r="M4444" s="154" t="str">
        <f t="shared" si="265"/>
        <v>Base_Medium_Base_Upgraded_Particulate Matter Formation Potential (PMFP) - kg PM2.5 eq_Control Building; at upgraded wastewater treatment plant - US_Base_With Amendment_Aerated Static Pile</v>
      </c>
    </row>
    <row r="4445" spans="1:13" s="120" customFormat="1" x14ac:dyDescent="0.25">
      <c r="A4445" s="119"/>
      <c r="B4445" s="138" t="str">
        <f t="shared" si="260"/>
        <v>Aerated Static Pile</v>
      </c>
      <c r="C4445" s="138" t="str">
        <f t="shared" si="261"/>
        <v>Base_With Amendment</v>
      </c>
      <c r="D4445" s="138" t="str">
        <f t="shared" si="264"/>
        <v>Medium_Base</v>
      </c>
      <c r="E4445" s="138" t="str">
        <f t="shared" si="262"/>
        <v>Base</v>
      </c>
      <c r="F4445" s="138" t="str">
        <f t="shared" si="263"/>
        <v>Upgraded</v>
      </c>
      <c r="G4445" s="153"/>
      <c r="H4445" s="210">
        <v>-0.69379999999999997</v>
      </c>
      <c r="I4445" s="160" t="s">
        <v>149</v>
      </c>
      <c r="J4445" s="160">
        <v>-2.64E-3</v>
      </c>
      <c r="K4445" s="160" t="s">
        <v>145</v>
      </c>
      <c r="L4445" s="154" t="str">
        <f>IF(OpenLCAbasic!K4445="CTUh", "Fill in Manually",IF(OR(K4445="Unit", K4445=""), "", INDEX(LookUps!$E$5:$E$12, MATCH(OpenLCAbasic!K4445,LookUps!$D$5:$D$12,0))))</f>
        <v>Particulate Matter Formation Potential (PMFP) - kg PM2.5 eq</v>
      </c>
      <c r="M4445" s="154" t="str">
        <f t="shared" si="265"/>
        <v>Base_Medium_Base_Upgraded_Particulate Matter Formation Potential (PMFP) - kg PM2.5 eq_Anaerobic Digestion; wastewater treatment unit; at updated plant - US_Base_With Amendment_Aerated Static Pile</v>
      </c>
    </row>
    <row r="4446" spans="1:13" s="120" customFormat="1" x14ac:dyDescent="0.25">
      <c r="A4446" s="119"/>
      <c r="B4446" s="138" t="str">
        <f t="shared" si="260"/>
        <v/>
      </c>
      <c r="C4446" s="138" t="str">
        <f t="shared" si="261"/>
        <v/>
      </c>
      <c r="D4446" s="138" t="str">
        <f t="shared" si="264"/>
        <v/>
      </c>
      <c r="E4446" s="138" t="str">
        <f t="shared" si="262"/>
        <v/>
      </c>
      <c r="F4446" s="138" t="str">
        <f t="shared" si="263"/>
        <v/>
      </c>
      <c r="G4446" s="153" t="s">
        <v>51</v>
      </c>
      <c r="H4446" s="160"/>
      <c r="I4446" s="160" t="s">
        <v>47</v>
      </c>
      <c r="J4446" s="160" t="s">
        <v>52</v>
      </c>
      <c r="K4446" s="160" t="s">
        <v>27</v>
      </c>
      <c r="L4446" s="154" t="str">
        <f>IF(OpenLCAbasic!K4446="CTUh", "Fill in Manually",IF(OR(K4446="Unit", K4446=""), "", INDEX(LookUps!$E$5:$E$12, MATCH(OpenLCAbasic!K4446,LookUps!$D$5:$D$12,0))))</f>
        <v/>
      </c>
      <c r="M4446" s="154" t="str">
        <f t="shared" si="265"/>
        <v>____Process__</v>
      </c>
    </row>
    <row r="4447" spans="1:13" s="120" customFormat="1" x14ac:dyDescent="0.25">
      <c r="A4447" s="119"/>
      <c r="B4447" s="138" t="str">
        <f t="shared" si="260"/>
        <v>Aerated Static Pile</v>
      </c>
      <c r="C4447" s="138" t="str">
        <f t="shared" si="261"/>
        <v>Base_With Amendment</v>
      </c>
      <c r="D4447" s="138" t="str">
        <f t="shared" si="264"/>
        <v>Medium_Base</v>
      </c>
      <c r="E4447" s="138" t="str">
        <f t="shared" si="262"/>
        <v>Base</v>
      </c>
      <c r="F4447" s="138" t="str">
        <f t="shared" si="263"/>
        <v>Upgraded</v>
      </c>
      <c r="G4447" s="153"/>
      <c r="H4447" s="210">
        <v>0.61839999999999995</v>
      </c>
      <c r="I4447" s="160" t="s">
        <v>55</v>
      </c>
      <c r="J4447" s="160">
        <v>0.16577</v>
      </c>
      <c r="K4447" s="160" t="s">
        <v>25</v>
      </c>
      <c r="L4447" s="154" t="str">
        <f>IF(OpenLCAbasic!K4447="CTUh", "Fill in Manually",IF(OR(K4447="Unit", K4447=""), "", INDEX(LookUps!$E$5:$E$12, MATCH(OpenLCAbasic!K4447,LookUps!$D$5:$D$12,0))))</f>
        <v>Smog Formation Potential (SFP) - kg O3 eq</v>
      </c>
      <c r="M4447" s="154" t="str">
        <f t="shared" si="265"/>
        <v>Base_Medium_Base_Upgraded_Smog Formation Potential (SFP) - kg O3 eq_Aeration Tanks; wastewater treatment unit; at updated plant - US_Base_With Amendment_Aerated Static Pile</v>
      </c>
    </row>
    <row r="4448" spans="1:13" s="120" customFormat="1" x14ac:dyDescent="0.25">
      <c r="A4448" s="119"/>
      <c r="B4448" s="138" t="str">
        <f t="shared" si="260"/>
        <v>Aerated Static Pile</v>
      </c>
      <c r="C4448" s="138" t="str">
        <f t="shared" si="261"/>
        <v>Base_With Amendment</v>
      </c>
      <c r="D4448" s="138" t="str">
        <f t="shared" si="264"/>
        <v>Medium_Base</v>
      </c>
      <c r="E4448" s="138" t="str">
        <f t="shared" si="262"/>
        <v>Base</v>
      </c>
      <c r="F4448" s="138" t="str">
        <f t="shared" si="263"/>
        <v>Upgraded</v>
      </c>
      <c r="G4448" s="153"/>
      <c r="H4448" s="210">
        <v>0.30669999999999997</v>
      </c>
      <c r="I4448" s="160" t="s">
        <v>435</v>
      </c>
      <c r="J4448" s="160">
        <v>8.2210000000000005E-2</v>
      </c>
      <c r="K4448" s="160" t="s">
        <v>25</v>
      </c>
      <c r="L4448" s="154" t="str">
        <f>IF(OpenLCAbasic!K4448="CTUh", "Fill in Manually",IF(OR(K4448="Unit", K4448=""), "", INDEX(LookUps!$E$5:$E$12, MATCH(OpenLCAbasic!K4448,LookUps!$D$5:$D$12,0))))</f>
        <v>Smog Formation Potential (SFP) - kg O3 eq</v>
      </c>
      <c r="M4448" s="154" t="str">
        <f t="shared" si="265"/>
        <v>Base_Medium_Base_Upgraded_Smog Formation Potential (SFP) - kg O3 eq_Biosolids composting; aerated static pile; wastewater treatment unit; at updated plant - US_Base_With Amendment_Aerated Static Pile</v>
      </c>
    </row>
    <row r="4449" spans="1:13" s="120" customFormat="1" x14ac:dyDescent="0.25">
      <c r="A4449" s="119"/>
      <c r="B4449" s="138" t="str">
        <f t="shared" si="260"/>
        <v>Aerated Static Pile</v>
      </c>
      <c r="C4449" s="138" t="str">
        <f t="shared" si="261"/>
        <v>Base_With Amendment</v>
      </c>
      <c r="D4449" s="138" t="str">
        <f t="shared" si="264"/>
        <v>Medium_Base</v>
      </c>
      <c r="E4449" s="138" t="str">
        <f t="shared" si="262"/>
        <v>Base</v>
      </c>
      <c r="F4449" s="138" t="str">
        <f t="shared" si="263"/>
        <v>Upgraded</v>
      </c>
      <c r="G4449" s="153"/>
      <c r="H4449" s="210">
        <v>0.17929999999999999</v>
      </c>
      <c r="I4449" s="160" t="s">
        <v>54</v>
      </c>
      <c r="J4449" s="160">
        <v>4.8070000000000002E-2</v>
      </c>
      <c r="K4449" s="160" t="s">
        <v>25</v>
      </c>
      <c r="L4449" s="154" t="str">
        <f>IF(OpenLCAbasic!K4449="CTUh", "Fill in Manually",IF(OR(K4449="Unit", K4449=""), "", INDEX(LookUps!$E$5:$E$12, MATCH(OpenLCAbasic!K4449,LookUps!$D$5:$D$12,0))))</f>
        <v>Smog Formation Potential (SFP) - kg O3 eq</v>
      </c>
      <c r="M4449" s="154" t="str">
        <f t="shared" si="265"/>
        <v>Base_Medium_Base_Upgraded_Smog Formation Potential (SFP) - kg O3 eq_Clear Cove Primary Clarification; wastewater treatment unit; at updated plant - US_Base_With Amendment_Aerated Static Pile</v>
      </c>
    </row>
    <row r="4450" spans="1:13" s="120" customFormat="1" x14ac:dyDescent="0.25">
      <c r="A4450" s="119"/>
      <c r="B4450" s="138" t="str">
        <f t="shared" si="260"/>
        <v>Aerated Static Pile</v>
      </c>
      <c r="C4450" s="138" t="str">
        <f t="shared" si="261"/>
        <v>Base_With Amendment</v>
      </c>
      <c r="D4450" s="138" t="str">
        <f t="shared" si="264"/>
        <v>Medium_Base</v>
      </c>
      <c r="E4450" s="138" t="str">
        <f t="shared" si="262"/>
        <v>Base</v>
      </c>
      <c r="F4450" s="138" t="str">
        <f t="shared" si="263"/>
        <v>Upgraded</v>
      </c>
      <c r="G4450" s="153"/>
      <c r="H4450" s="210">
        <v>0.15640000000000001</v>
      </c>
      <c r="I4450" s="160" t="s">
        <v>58</v>
      </c>
      <c r="J4450" s="160">
        <v>4.1919999999999999E-2</v>
      </c>
      <c r="K4450" s="160" t="s">
        <v>25</v>
      </c>
      <c r="L4450" s="154" t="str">
        <f>IF(OpenLCAbasic!K4450="CTUh", "Fill in Manually",IF(OR(K4450="Unit", K4450=""), "", INDEX(LookUps!$E$5:$E$12, MATCH(OpenLCAbasic!K4450,LookUps!$D$5:$D$12,0))))</f>
        <v>Smog Formation Potential (SFP) - kg O3 eq</v>
      </c>
      <c r="M4450" s="154" t="str">
        <f t="shared" si="265"/>
        <v>Base_Medium_Base_Upgraded_Smog Formation Potential (SFP) - kg O3 eq_Pre-Anoxic &amp; Swing tank; wastewater treatment unit; at updated plant - US_Base_With Amendment_Aerated Static Pile</v>
      </c>
    </row>
    <row r="4451" spans="1:13" s="120" customFormat="1" x14ac:dyDescent="0.25">
      <c r="A4451" s="119"/>
      <c r="B4451" s="138" t="str">
        <f t="shared" si="260"/>
        <v>Aerated Static Pile</v>
      </c>
      <c r="C4451" s="138" t="str">
        <f t="shared" si="261"/>
        <v>Base_With Amendment</v>
      </c>
      <c r="D4451" s="138" t="str">
        <f t="shared" si="264"/>
        <v>Medium_Base</v>
      </c>
      <c r="E4451" s="138" t="str">
        <f t="shared" si="262"/>
        <v>Base</v>
      </c>
      <c r="F4451" s="138" t="str">
        <f t="shared" si="263"/>
        <v>Upgraded</v>
      </c>
      <c r="G4451" s="153"/>
      <c r="H4451" s="210">
        <v>0.1236</v>
      </c>
      <c r="I4451" s="160" t="s">
        <v>53</v>
      </c>
      <c r="J4451" s="160">
        <v>3.313E-2</v>
      </c>
      <c r="K4451" s="160" t="s">
        <v>25</v>
      </c>
      <c r="L4451" s="154" t="str">
        <f>IF(OpenLCAbasic!K4451="CTUh", "Fill in Manually",IF(OR(K4451="Unit", K4451=""), "", INDEX(LookUps!$E$5:$E$12, MATCH(OpenLCAbasic!K4451,LookUps!$D$5:$D$12,0))))</f>
        <v>Smog Formation Potential (SFP) - kg O3 eq</v>
      </c>
      <c r="M4451" s="154" t="str">
        <f t="shared" si="265"/>
        <v>Base_Medium_Base_Upgraded_Smog Formation Potential (SFP) - kg O3 eq_Wet Well and Sump Station; wastewater treatment unit; at updated plant - US_Base_With Amendment_Aerated Static Pile</v>
      </c>
    </row>
    <row r="4452" spans="1:13" s="120" customFormat="1" x14ac:dyDescent="0.25">
      <c r="A4452" s="119"/>
      <c r="B4452" s="138" t="str">
        <f t="shared" si="260"/>
        <v>Aerated Static Pile</v>
      </c>
      <c r="C4452" s="138" t="str">
        <f t="shared" si="261"/>
        <v>Base_With Amendment</v>
      </c>
      <c r="D4452" s="138" t="str">
        <f t="shared" si="264"/>
        <v>Medium_Base</v>
      </c>
      <c r="E4452" s="138" t="str">
        <f t="shared" si="262"/>
        <v>Base</v>
      </c>
      <c r="F4452" s="138" t="str">
        <f t="shared" si="263"/>
        <v>Upgraded</v>
      </c>
      <c r="G4452" s="153"/>
      <c r="H4452" s="210">
        <v>0.11459999999999999</v>
      </c>
      <c r="I4452" s="160" t="s">
        <v>167</v>
      </c>
      <c r="J4452" s="160">
        <v>3.0710000000000001E-2</v>
      </c>
      <c r="K4452" s="160" t="s">
        <v>25</v>
      </c>
      <c r="L4452" s="154" t="str">
        <f>IF(OpenLCAbasic!K4452="CTUh", "Fill in Manually",IF(OR(K4452="Unit", K4452=""), "", INDEX(LookUps!$E$5:$E$12, MATCH(OpenLCAbasic!K4452,LookUps!$D$5:$D$12,0))))</f>
        <v>Smog Formation Potential (SFP) - kg O3 eq</v>
      </c>
      <c r="M4452" s="154" t="str">
        <f t="shared" si="265"/>
        <v>Base_Medium_Base_Upgraded_Smog Formation Potential (SFP) - kg O3 eq_Waste Receiving and Holding; wastewater treatment unit; at updated plant - US_Base_With Amendment_Aerated Static Pile</v>
      </c>
    </row>
    <row r="4453" spans="1:13" s="120" customFormat="1" x14ac:dyDescent="0.25">
      <c r="A4453" s="119"/>
      <c r="B4453" s="138" t="str">
        <f t="shared" si="260"/>
        <v>Aerated Static Pile</v>
      </c>
      <c r="C4453" s="138" t="str">
        <f t="shared" si="261"/>
        <v>Base_With Amendment</v>
      </c>
      <c r="D4453" s="138" t="str">
        <f t="shared" si="264"/>
        <v>Medium_Base</v>
      </c>
      <c r="E4453" s="138" t="str">
        <f t="shared" si="262"/>
        <v>Base</v>
      </c>
      <c r="F4453" s="138" t="str">
        <f t="shared" si="263"/>
        <v>Upgraded</v>
      </c>
      <c r="G4453" s="153"/>
      <c r="H4453" s="210">
        <v>7.2400000000000006E-2</v>
      </c>
      <c r="I4453" s="160" t="s">
        <v>147</v>
      </c>
      <c r="J4453" s="160">
        <v>1.9400000000000001E-2</v>
      </c>
      <c r="K4453" s="160" t="s">
        <v>25</v>
      </c>
      <c r="L4453" s="154" t="str">
        <f>IF(OpenLCAbasic!K4453="CTUh", "Fill in Manually",IF(OR(K4453="Unit", K4453=""), "", INDEX(LookUps!$E$5:$E$12, MATCH(OpenLCAbasic!K4453,LookUps!$D$5:$D$12,0))))</f>
        <v>Smog Formation Potential (SFP) - kg O3 eq</v>
      </c>
      <c r="M4453" s="154" t="str">
        <f t="shared" si="265"/>
        <v>Base_Medium_Base_Upgraded_Smog Formation Potential (SFP) - kg O3 eq_Influent Pump Station; wastewater treatment unit; at updated plant - US_Base_With Amendment_Aerated Static Pile</v>
      </c>
    </row>
    <row r="4454" spans="1:13" s="120" customFormat="1" x14ac:dyDescent="0.25">
      <c r="A4454" s="119"/>
      <c r="B4454" s="138" t="str">
        <f t="shared" si="260"/>
        <v>Aerated Static Pile</v>
      </c>
      <c r="C4454" s="138" t="str">
        <f t="shared" si="261"/>
        <v>Base_With Amendment</v>
      </c>
      <c r="D4454" s="138" t="str">
        <f t="shared" si="264"/>
        <v>Medium_Base</v>
      </c>
      <c r="E4454" s="138" t="str">
        <f t="shared" si="262"/>
        <v>Base</v>
      </c>
      <c r="F4454" s="138" t="str">
        <f t="shared" si="263"/>
        <v>Upgraded</v>
      </c>
      <c r="G4454" s="153"/>
      <c r="H4454" s="210">
        <v>4.4499999999999998E-2</v>
      </c>
      <c r="I4454" s="160" t="s">
        <v>128</v>
      </c>
      <c r="J4454" s="160">
        <v>1.192E-2</v>
      </c>
      <c r="K4454" s="160" t="s">
        <v>25</v>
      </c>
      <c r="L4454" s="154" t="str">
        <f>IF(OpenLCAbasic!K4454="CTUh", "Fill in Manually",IF(OR(K4454="Unit", K4454=""), "", INDEX(LookUps!$E$5:$E$12, MATCH(OpenLCAbasic!K4454,LookUps!$D$5:$D$12,0))))</f>
        <v>Smog Formation Potential (SFP) - kg O3 eq</v>
      </c>
      <c r="M4454" s="154" t="str">
        <f t="shared" si="265"/>
        <v>Base_Medium_Base_Upgraded_Smog Formation Potential (SFP) - kg O3 eq_Wastewater collection; operation and infrastructure; m3 wastewater_Base_With Amendment_Aerated Static Pile</v>
      </c>
    </row>
    <row r="4455" spans="1:13" s="120" customFormat="1" x14ac:dyDescent="0.25">
      <c r="A4455" s="119"/>
      <c r="B4455" s="138" t="str">
        <f t="shared" si="260"/>
        <v>Aerated Static Pile</v>
      </c>
      <c r="C4455" s="138" t="str">
        <f t="shared" si="261"/>
        <v>Base_With Amendment</v>
      </c>
      <c r="D4455" s="138" t="str">
        <f t="shared" si="264"/>
        <v>Medium_Base</v>
      </c>
      <c r="E4455" s="138" t="str">
        <f t="shared" si="262"/>
        <v>Base</v>
      </c>
      <c r="F4455" s="138" t="str">
        <f t="shared" si="263"/>
        <v>Upgraded</v>
      </c>
      <c r="G4455" s="153"/>
      <c r="H4455" s="210">
        <v>3.78E-2</v>
      </c>
      <c r="I4455" s="160" t="s">
        <v>60</v>
      </c>
      <c r="J4455" s="160">
        <v>1.014E-2</v>
      </c>
      <c r="K4455" s="160" t="s">
        <v>25</v>
      </c>
      <c r="L4455" s="154" t="str">
        <f>IF(OpenLCAbasic!K4455="CTUh", "Fill in Manually",IF(OR(K4455="Unit", K4455=""), "", INDEX(LookUps!$E$5:$E$12, MATCH(OpenLCAbasic!K4455,LookUps!$D$5:$D$12,0))))</f>
        <v>Smog Formation Potential (SFP) - kg O3 eq</v>
      </c>
      <c r="M4455" s="154" t="str">
        <f t="shared" si="265"/>
        <v>Base_Medium_Base_Upgraded_Smog Formation Potential (SFP) - kg O3 eq_Belt filter press; wastewater treatment unit; at updated plant - US_Base_With Amendment_Aerated Static Pile</v>
      </c>
    </row>
    <row r="4456" spans="1:13" s="120" customFormat="1" x14ac:dyDescent="0.25">
      <c r="A4456" s="119"/>
      <c r="B4456" s="138" t="str">
        <f t="shared" si="260"/>
        <v>Aerated Static Pile</v>
      </c>
      <c r="C4456" s="138" t="str">
        <f t="shared" si="261"/>
        <v>Base_With Amendment</v>
      </c>
      <c r="D4456" s="138" t="str">
        <f t="shared" si="264"/>
        <v>Medium_Base</v>
      </c>
      <c r="E4456" s="138" t="str">
        <f t="shared" si="262"/>
        <v>Base</v>
      </c>
      <c r="F4456" s="138" t="str">
        <f t="shared" si="263"/>
        <v>Upgraded</v>
      </c>
      <c r="G4456" s="153"/>
      <c r="H4456" s="210">
        <v>2.4799999999999999E-2</v>
      </c>
      <c r="I4456" s="160" t="s">
        <v>57</v>
      </c>
      <c r="J4456" s="160">
        <v>6.6499999999999997E-3</v>
      </c>
      <c r="K4456" s="160" t="s">
        <v>25</v>
      </c>
      <c r="L4456" s="154" t="str">
        <f>IF(OpenLCAbasic!K4456="CTUh", "Fill in Manually",IF(OR(K4456="Unit", K4456=""), "", INDEX(LookUps!$E$5:$E$12, MATCH(OpenLCAbasic!K4456,LookUps!$D$5:$D$12,0))))</f>
        <v>Smog Formation Potential (SFP) - kg O3 eq</v>
      </c>
      <c r="M4456" s="154" t="str">
        <f t="shared" si="265"/>
        <v>Base_Medium_Base_Upgraded_Smog Formation Potential (SFP) - kg O3 eq_Gravity Belt Thickener; wastewater treatment unit; at updated plant - US_Base_With Amendment_Aerated Static Pile</v>
      </c>
    </row>
    <row r="4457" spans="1:13" s="120" customFormat="1" x14ac:dyDescent="0.25">
      <c r="A4457" s="119"/>
      <c r="B4457" s="138" t="str">
        <f t="shared" si="260"/>
        <v>Aerated Static Pile</v>
      </c>
      <c r="C4457" s="138" t="str">
        <f t="shared" si="261"/>
        <v>Base_With Amendment</v>
      </c>
      <c r="D4457" s="138" t="str">
        <f t="shared" si="264"/>
        <v>Medium_Base</v>
      </c>
      <c r="E4457" s="138" t="str">
        <f t="shared" si="262"/>
        <v>Base</v>
      </c>
      <c r="F4457" s="138" t="str">
        <f t="shared" si="263"/>
        <v>Upgraded</v>
      </c>
      <c r="G4457" s="153"/>
      <c r="H4457" s="210">
        <v>1.8599999999999998E-2</v>
      </c>
      <c r="I4457" s="160" t="s">
        <v>59</v>
      </c>
      <c r="J4457" s="160">
        <v>4.9699999999999996E-3</v>
      </c>
      <c r="K4457" s="160" t="s">
        <v>25</v>
      </c>
      <c r="L4457" s="154" t="str">
        <f>IF(OpenLCAbasic!K4457="CTUh", "Fill in Manually",IF(OR(K4457="Unit", K4457=""), "", INDEX(LookUps!$E$5:$E$12, MATCH(OpenLCAbasic!K4457,LookUps!$D$5:$D$12,0))))</f>
        <v>Smog Formation Potential (SFP) - kg O3 eq</v>
      </c>
      <c r="M4457" s="154" t="str">
        <f t="shared" si="265"/>
        <v>Base_Medium_Base_Upgraded_Smog Formation Potential (SFP) - kg O3 eq_Blend Tank; wastewater treatment unit; at updated plant - US_Base_With Amendment_Aerated Static Pile</v>
      </c>
    </row>
    <row r="4458" spans="1:13" s="120" customFormat="1" x14ac:dyDescent="0.25">
      <c r="A4458" s="119"/>
      <c r="B4458" s="138" t="str">
        <f t="shared" si="260"/>
        <v>Aerated Static Pile</v>
      </c>
      <c r="C4458" s="138" t="str">
        <f t="shared" si="261"/>
        <v>Base_With Amendment</v>
      </c>
      <c r="D4458" s="138" t="str">
        <f t="shared" si="264"/>
        <v>Medium_Base</v>
      </c>
      <c r="E4458" s="138" t="str">
        <f t="shared" si="262"/>
        <v>Base</v>
      </c>
      <c r="F4458" s="138" t="str">
        <f t="shared" si="263"/>
        <v>Upgraded</v>
      </c>
      <c r="G4458" s="153"/>
      <c r="H4458" s="210">
        <v>1.26E-2</v>
      </c>
      <c r="I4458" s="160" t="s">
        <v>48</v>
      </c>
      <c r="J4458" s="160">
        <v>3.3899999999999998E-3</v>
      </c>
      <c r="K4458" s="160" t="s">
        <v>25</v>
      </c>
      <c r="L4458" s="154" t="str">
        <f>IF(OpenLCAbasic!K4458="CTUh", "Fill in Manually",IF(OR(K4458="Unit", K4458=""), "", INDEX(LookUps!$E$5:$E$12, MATCH(OpenLCAbasic!K4458,LookUps!$D$5:$D$12,0))))</f>
        <v>Smog Formation Potential (SFP) - kg O3 eq</v>
      </c>
      <c r="M4458" s="154" t="str">
        <f t="shared" si="265"/>
        <v>Base_Medium_Base_Upgraded_Smog Formation Potential (SFP) - kg O3 eq_Effluent release; wastewater treatment unit; at surface water; m3 wastewater - US_Base_With Amendment_Aerated Static Pile</v>
      </c>
    </row>
    <row r="4459" spans="1:13" s="120" customFormat="1" x14ac:dyDescent="0.25">
      <c r="A4459" s="119"/>
      <c r="B4459" s="138" t="str">
        <f t="shared" si="260"/>
        <v>Aerated Static Pile</v>
      </c>
      <c r="C4459" s="138" t="str">
        <f t="shared" si="261"/>
        <v>Base_With Amendment</v>
      </c>
      <c r="D4459" s="138" t="str">
        <f t="shared" si="264"/>
        <v>Medium_Base</v>
      </c>
      <c r="E4459" s="138" t="str">
        <f t="shared" si="262"/>
        <v>Base</v>
      </c>
      <c r="F4459" s="138" t="str">
        <f t="shared" si="263"/>
        <v>Upgraded</v>
      </c>
      <c r="G4459" s="153"/>
      <c r="H4459" s="210">
        <v>9.1999999999999998E-3</v>
      </c>
      <c r="I4459" s="160" t="s">
        <v>168</v>
      </c>
      <c r="J4459" s="160">
        <v>2.4599999999999999E-3</v>
      </c>
      <c r="K4459" s="160" t="s">
        <v>25</v>
      </c>
      <c r="L4459" s="154" t="str">
        <f>IF(OpenLCAbasic!K4459="CTUh", "Fill in Manually",IF(OR(K4459="Unit", K4459=""), "", INDEX(LookUps!$E$5:$E$12, MATCH(OpenLCAbasic!K4459,LookUps!$D$5:$D$12,0))))</f>
        <v>Smog Formation Potential (SFP) - kg O3 eq</v>
      </c>
      <c r="M4459" s="154" t="str">
        <f t="shared" si="265"/>
        <v>Base_Medium_Base_Upgraded_Smog Formation Potential (SFP) - kg O3 eq_ClearCove SCP; wastewater treatment unit; at updated plant - US_Base_With Amendment_Aerated Static Pile</v>
      </c>
    </row>
    <row r="4460" spans="1:13" s="120" customFormat="1" x14ac:dyDescent="0.25">
      <c r="A4460" s="119"/>
      <c r="B4460" s="138" t="str">
        <f t="shared" si="260"/>
        <v>Aerated Static Pile</v>
      </c>
      <c r="C4460" s="138" t="str">
        <f t="shared" si="261"/>
        <v>Base_With Amendment</v>
      </c>
      <c r="D4460" s="138" t="str">
        <f t="shared" si="264"/>
        <v>Medium_Base</v>
      </c>
      <c r="E4460" s="138" t="str">
        <f t="shared" si="262"/>
        <v>Base</v>
      </c>
      <c r="F4460" s="138" t="str">
        <f t="shared" si="263"/>
        <v>Upgraded</v>
      </c>
      <c r="G4460" s="153"/>
      <c r="H4460" s="210">
        <v>2E-3</v>
      </c>
      <c r="I4460" s="160" t="s">
        <v>148</v>
      </c>
      <c r="J4460" s="160">
        <v>5.4000000000000001E-4</v>
      </c>
      <c r="K4460" s="160" t="s">
        <v>25</v>
      </c>
      <c r="L4460" s="154" t="str">
        <f>IF(OpenLCAbasic!K4460="CTUh", "Fill in Manually",IF(OR(K4460="Unit", K4460=""), "", INDEX(LookUps!$E$5:$E$12, MATCH(OpenLCAbasic!K4460,LookUps!$D$5:$D$12,0))))</f>
        <v>Smog Formation Potential (SFP) - kg O3 eq</v>
      </c>
      <c r="M4460" s="154" t="str">
        <f t="shared" si="265"/>
        <v>Base_Medium_Base_Upgraded_Smog Formation Potential (SFP) - kg O3 eq_Control Building; at upgraded wastewater treatment plant - US_Base_With Amendment_Aerated Static Pile</v>
      </c>
    </row>
    <row r="4461" spans="1:13" s="120" customFormat="1" x14ac:dyDescent="0.25">
      <c r="A4461" s="119"/>
      <c r="B4461" s="138" t="str">
        <f t="shared" si="260"/>
        <v>Aerated Static Pile</v>
      </c>
      <c r="C4461" s="138" t="str">
        <f t="shared" si="261"/>
        <v>Base_With Amendment</v>
      </c>
      <c r="D4461" s="138" t="str">
        <f t="shared" si="264"/>
        <v>Medium_Base</v>
      </c>
      <c r="E4461" s="138" t="str">
        <f t="shared" si="262"/>
        <v>Base</v>
      </c>
      <c r="F4461" s="138" t="str">
        <f t="shared" si="263"/>
        <v>Upgraded</v>
      </c>
      <c r="G4461" s="153"/>
      <c r="H4461" s="210">
        <v>-1.43E-2</v>
      </c>
      <c r="I4461" s="160" t="s">
        <v>62</v>
      </c>
      <c r="J4461" s="160">
        <v>-3.8400000000000001E-3</v>
      </c>
      <c r="K4461" s="160" t="s">
        <v>25</v>
      </c>
      <c r="L4461" s="154" t="str">
        <f>IF(OpenLCAbasic!K4461="CTUh", "Fill in Manually",IF(OR(K4461="Unit", K4461=""), "", INDEX(LookUps!$E$5:$E$12, MATCH(OpenLCAbasic!K4461,LookUps!$D$5:$D$12,0))))</f>
        <v>Smog Formation Potential (SFP) - kg O3 eq</v>
      </c>
      <c r="M4461" s="154" t="str">
        <f t="shared" si="265"/>
        <v>Base_Medium_Base_Upgraded_Smog Formation Potential (SFP) - kg O3 eq_Land application of compost; wastewater treatment unit; at updated plant - US_Base_With Amendment_Aerated Static Pile</v>
      </c>
    </row>
    <row r="4462" spans="1:13" s="120" customFormat="1" x14ac:dyDescent="0.25">
      <c r="A4462" s="119"/>
      <c r="B4462" s="138" t="str">
        <f t="shared" si="260"/>
        <v>Aerated Static Pile</v>
      </c>
      <c r="C4462" s="138" t="str">
        <f t="shared" si="261"/>
        <v>Base_With Amendment</v>
      </c>
      <c r="D4462" s="138" t="str">
        <f t="shared" si="264"/>
        <v>Medium_Base</v>
      </c>
      <c r="E4462" s="138" t="str">
        <f t="shared" si="262"/>
        <v>Base</v>
      </c>
      <c r="F4462" s="138" t="str">
        <f t="shared" si="263"/>
        <v>Upgraded</v>
      </c>
      <c r="G4462" s="153"/>
      <c r="H4462" s="210">
        <v>-0.70640000000000003</v>
      </c>
      <c r="I4462" s="160" t="s">
        <v>149</v>
      </c>
      <c r="J4462" s="160">
        <v>-0.18936</v>
      </c>
      <c r="K4462" s="160" t="s">
        <v>25</v>
      </c>
      <c r="L4462" s="154" t="str">
        <f>IF(OpenLCAbasic!K4462="CTUh", "Fill in Manually",IF(OR(K4462="Unit", K4462=""), "", INDEX(LookUps!$E$5:$E$12, MATCH(OpenLCAbasic!K4462,LookUps!$D$5:$D$12,0))))</f>
        <v>Smog Formation Potential (SFP) - kg O3 eq</v>
      </c>
      <c r="M4462" s="154" t="str">
        <f t="shared" si="265"/>
        <v>Base_Medium_Base_Upgraded_Smog Formation Potential (SFP) - kg O3 eq_Anaerobic Digestion; wastewater treatment unit; at updated plant - US_Base_With Amendment_Aerated Static Pile</v>
      </c>
    </row>
    <row r="4463" spans="1:13" s="120" customFormat="1" x14ac:dyDescent="0.25">
      <c r="A4463" s="119"/>
      <c r="B4463" s="138" t="str">
        <f t="shared" si="260"/>
        <v/>
      </c>
      <c r="C4463" s="138" t="str">
        <f t="shared" si="261"/>
        <v/>
      </c>
      <c r="D4463" s="138" t="str">
        <f t="shared" si="264"/>
        <v/>
      </c>
      <c r="E4463" s="138" t="str">
        <f t="shared" si="262"/>
        <v/>
      </c>
      <c r="F4463" s="138" t="str">
        <f t="shared" si="263"/>
        <v/>
      </c>
      <c r="G4463" s="153" t="s">
        <v>51</v>
      </c>
      <c r="H4463" s="160"/>
      <c r="I4463" s="160" t="s">
        <v>47</v>
      </c>
      <c r="J4463" s="160" t="s">
        <v>52</v>
      </c>
      <c r="K4463" s="160" t="s">
        <v>27</v>
      </c>
      <c r="L4463" s="154" t="str">
        <f>IF(OpenLCAbasic!K4463="CTUh", "Fill in Manually",IF(OR(K4463="Unit", K4463=""), "", INDEX(LookUps!$E$5:$E$12, MATCH(OpenLCAbasic!K4463,LookUps!$D$5:$D$12,0))))</f>
        <v/>
      </c>
      <c r="M4463" s="154" t="str">
        <f t="shared" si="265"/>
        <v>____Process__</v>
      </c>
    </row>
    <row r="4464" spans="1:13" s="120" customFormat="1" x14ac:dyDescent="0.25">
      <c r="A4464" s="119"/>
      <c r="B4464" s="138" t="str">
        <f t="shared" si="260"/>
        <v>Aerated Static Pile</v>
      </c>
      <c r="C4464" s="138" t="str">
        <f t="shared" si="261"/>
        <v>Base_With Amendment</v>
      </c>
      <c r="D4464" s="138" t="str">
        <f t="shared" si="264"/>
        <v>Medium_Base</v>
      </c>
      <c r="E4464" s="138" t="str">
        <f t="shared" si="262"/>
        <v>Base</v>
      </c>
      <c r="F4464" s="138" t="str">
        <f t="shared" si="263"/>
        <v>Upgraded</v>
      </c>
      <c r="G4464" s="153"/>
      <c r="H4464" s="210">
        <v>0.63670000000000004</v>
      </c>
      <c r="I4464" s="160" t="s">
        <v>167</v>
      </c>
      <c r="J4464" s="160">
        <v>2.7999999999999998E-4</v>
      </c>
      <c r="K4464" s="160" t="s">
        <v>26</v>
      </c>
      <c r="L4464" s="154" t="str">
        <f>IF(OpenLCAbasic!K4464="CTUh", "Fill in Manually",IF(OR(K4464="Unit", K4464=""), "", INDEX(LookUps!$E$5:$E$12, MATCH(OpenLCAbasic!K4464,LookUps!$D$5:$D$12,0))))</f>
        <v>Water Use (WU) - m3 H2O</v>
      </c>
      <c r="M4464" s="154" t="str">
        <f t="shared" si="265"/>
        <v>Base_Medium_Base_Upgraded_Water Use (WU) - m3 H2O_Waste Receiving and Holding; wastewater treatment unit; at updated plant - US_Base_With Amendment_Aerated Static Pile</v>
      </c>
    </row>
    <row r="4465" spans="1:13" s="120" customFormat="1" x14ac:dyDescent="0.25">
      <c r="A4465" s="119"/>
      <c r="B4465" s="138" t="str">
        <f t="shared" ref="B4465:B4479" si="266">IF(F4465="Legacy","n.a.",IF(F4465="","","Aerated Static Pile"))</f>
        <v>Aerated Static Pile</v>
      </c>
      <c r="C4465" s="138" t="str">
        <f t="shared" ref="C4465:C4479" si="267">IF(ISNUMBER($J4465),"Base_With Amendment","")</f>
        <v>Base_With Amendment</v>
      </c>
      <c r="D4465" s="138" t="str">
        <f t="shared" si="264"/>
        <v>Medium_Base</v>
      </c>
      <c r="E4465" s="138" t="str">
        <f t="shared" ref="E4465:E4528" si="268">IF(ISNUMBER($J4465),"Base","")</f>
        <v>Base</v>
      </c>
      <c r="F4465" s="138" t="str">
        <f t="shared" ref="F4465:F4479" si="269">IF(ISNUMBER(J4465),"Upgraded","")</f>
        <v>Upgraded</v>
      </c>
      <c r="G4465" s="153"/>
      <c r="H4465" s="210">
        <v>0.41560000000000002</v>
      </c>
      <c r="I4465" s="160" t="s">
        <v>147</v>
      </c>
      <c r="J4465" s="160">
        <v>1.8000000000000001E-4</v>
      </c>
      <c r="K4465" s="160" t="s">
        <v>26</v>
      </c>
      <c r="L4465" s="154" t="str">
        <f>IF(OpenLCAbasic!K4465="CTUh", "Fill in Manually",IF(OR(K4465="Unit", K4465=""), "", INDEX(LookUps!$E$5:$E$12, MATCH(OpenLCAbasic!K4465,LookUps!$D$5:$D$12,0))))</f>
        <v>Water Use (WU) - m3 H2O</v>
      </c>
      <c r="M4465" s="154" t="str">
        <f t="shared" si="265"/>
        <v>Base_Medium_Base_Upgraded_Water Use (WU) - m3 H2O_Influent Pump Station; wastewater treatment unit; at updated plant - US_Base_With Amendment_Aerated Static Pile</v>
      </c>
    </row>
    <row r="4466" spans="1:13" s="120" customFormat="1" x14ac:dyDescent="0.25">
      <c r="A4466" s="119"/>
      <c r="B4466" s="138" t="str">
        <f t="shared" si="266"/>
        <v>Aerated Static Pile</v>
      </c>
      <c r="C4466" s="138" t="str">
        <f t="shared" si="267"/>
        <v>Base_With Amendment</v>
      </c>
      <c r="D4466" s="138" t="str">
        <f t="shared" si="264"/>
        <v>Medium_Base</v>
      </c>
      <c r="E4466" s="138" t="str">
        <f t="shared" si="268"/>
        <v>Base</v>
      </c>
      <c r="F4466" s="138" t="str">
        <f t="shared" si="269"/>
        <v>Upgraded</v>
      </c>
      <c r="G4466" s="153"/>
      <c r="H4466" s="210">
        <v>0.40550000000000003</v>
      </c>
      <c r="I4466" s="160" t="s">
        <v>54</v>
      </c>
      <c r="J4466" s="160">
        <v>1.8000000000000001E-4</v>
      </c>
      <c r="K4466" s="160" t="s">
        <v>26</v>
      </c>
      <c r="L4466" s="154" t="str">
        <f>IF(OpenLCAbasic!K4466="CTUh", "Fill in Manually",IF(OR(K4466="Unit", K4466=""), "", INDEX(LookUps!$E$5:$E$12, MATCH(OpenLCAbasic!K4466,LookUps!$D$5:$D$12,0))))</f>
        <v>Water Use (WU) - m3 H2O</v>
      </c>
      <c r="M4466" s="154" t="str">
        <f t="shared" si="265"/>
        <v>Base_Medium_Base_Upgraded_Water Use (WU) - m3 H2O_Clear Cove Primary Clarification; wastewater treatment unit; at updated plant - US_Base_With Amendment_Aerated Static Pile</v>
      </c>
    </row>
    <row r="4467" spans="1:13" s="120" customFormat="1" x14ac:dyDescent="0.25">
      <c r="A4467" s="119"/>
      <c r="B4467" s="138" t="str">
        <f t="shared" si="266"/>
        <v>Aerated Static Pile</v>
      </c>
      <c r="C4467" s="138" t="str">
        <f t="shared" si="267"/>
        <v>Base_With Amendment</v>
      </c>
      <c r="D4467" s="138" t="str">
        <f t="shared" si="264"/>
        <v>Medium_Base</v>
      </c>
      <c r="E4467" s="138" t="str">
        <f t="shared" si="268"/>
        <v>Base</v>
      </c>
      <c r="F4467" s="138" t="str">
        <f t="shared" si="269"/>
        <v>Upgraded</v>
      </c>
      <c r="G4467" s="153"/>
      <c r="H4467" s="210">
        <v>0.3679</v>
      </c>
      <c r="I4467" s="160" t="s">
        <v>55</v>
      </c>
      <c r="J4467" s="160">
        <v>1.6000000000000001E-4</v>
      </c>
      <c r="K4467" s="160" t="s">
        <v>26</v>
      </c>
      <c r="L4467" s="154" t="str">
        <f>IF(OpenLCAbasic!K4467="CTUh", "Fill in Manually",IF(OR(K4467="Unit", K4467=""), "", INDEX(LookUps!$E$5:$E$12, MATCH(OpenLCAbasic!K4467,LookUps!$D$5:$D$12,0))))</f>
        <v>Water Use (WU) - m3 H2O</v>
      </c>
      <c r="M4467" s="154" t="str">
        <f t="shared" si="265"/>
        <v>Base_Medium_Base_Upgraded_Water Use (WU) - m3 H2O_Aeration Tanks; wastewater treatment unit; at updated plant - US_Base_With Amendment_Aerated Static Pile</v>
      </c>
    </row>
    <row r="4468" spans="1:13" s="120" customFormat="1" x14ac:dyDescent="0.25">
      <c r="A4468" s="119"/>
      <c r="B4468" s="138" t="str">
        <f t="shared" si="266"/>
        <v>Aerated Static Pile</v>
      </c>
      <c r="C4468" s="138" t="str">
        <f t="shared" si="267"/>
        <v>Base_With Amendment</v>
      </c>
      <c r="D4468" s="138" t="str">
        <f t="shared" si="264"/>
        <v>Medium_Base</v>
      </c>
      <c r="E4468" s="138" t="str">
        <f t="shared" si="268"/>
        <v>Base</v>
      </c>
      <c r="F4468" s="138" t="str">
        <f t="shared" si="269"/>
        <v>Upgraded</v>
      </c>
      <c r="G4468" s="153"/>
      <c r="H4468" s="210">
        <v>0.33510000000000001</v>
      </c>
      <c r="I4468" s="160" t="s">
        <v>148</v>
      </c>
      <c r="J4468" s="160">
        <v>1.4999999999999999E-4</v>
      </c>
      <c r="K4468" s="160" t="s">
        <v>26</v>
      </c>
      <c r="L4468" s="154" t="str">
        <f>IF(OpenLCAbasic!K4468="CTUh", "Fill in Manually",IF(OR(K4468="Unit", K4468=""), "", INDEX(LookUps!$E$5:$E$12, MATCH(OpenLCAbasic!K4468,LookUps!$D$5:$D$12,0))))</f>
        <v>Water Use (WU) - m3 H2O</v>
      </c>
      <c r="M4468" s="154" t="str">
        <f t="shared" si="265"/>
        <v>Base_Medium_Base_Upgraded_Water Use (WU) - m3 H2O_Control Building; at upgraded wastewater treatment plant - US_Base_With Amendment_Aerated Static Pile</v>
      </c>
    </row>
    <row r="4469" spans="1:13" s="120" customFormat="1" x14ac:dyDescent="0.25">
      <c r="A4469" s="119"/>
      <c r="B4469" s="138" t="str">
        <f t="shared" si="266"/>
        <v>Aerated Static Pile</v>
      </c>
      <c r="C4469" s="138" t="str">
        <f t="shared" si="267"/>
        <v>Base_With Amendment</v>
      </c>
      <c r="D4469" s="138" t="str">
        <f t="shared" si="264"/>
        <v>Medium_Base</v>
      </c>
      <c r="E4469" s="138" t="str">
        <f t="shared" si="268"/>
        <v>Base</v>
      </c>
      <c r="F4469" s="138" t="str">
        <f t="shared" si="269"/>
        <v>Upgraded</v>
      </c>
      <c r="G4469" s="153"/>
      <c r="H4469" s="210">
        <v>0.15559999999999999</v>
      </c>
      <c r="I4469" s="160" t="s">
        <v>48</v>
      </c>
      <c r="J4469" s="211">
        <v>6.8836400000000004E-5</v>
      </c>
      <c r="K4469" s="160" t="s">
        <v>26</v>
      </c>
      <c r="L4469" s="154" t="str">
        <f>IF(OpenLCAbasic!K4469="CTUh", "Fill in Manually",IF(OR(K4469="Unit", K4469=""), "", INDEX(LookUps!$E$5:$E$12, MATCH(OpenLCAbasic!K4469,LookUps!$D$5:$D$12,0))))</f>
        <v>Water Use (WU) - m3 H2O</v>
      </c>
      <c r="M4469" s="154" t="str">
        <f t="shared" si="265"/>
        <v>Base_Medium_Base_Upgraded_Water Use (WU) - m3 H2O_Effluent release; wastewater treatment unit; at surface water; m3 wastewater - US_Base_With Amendment_Aerated Static Pile</v>
      </c>
    </row>
    <row r="4470" spans="1:13" s="120" customFormat="1" x14ac:dyDescent="0.25">
      <c r="A4470" s="119"/>
      <c r="B4470" s="138" t="str">
        <f t="shared" si="266"/>
        <v>Aerated Static Pile</v>
      </c>
      <c r="C4470" s="138" t="str">
        <f t="shared" si="267"/>
        <v>Base_With Amendment</v>
      </c>
      <c r="D4470" s="138" t="str">
        <f t="shared" si="264"/>
        <v>Medium_Base</v>
      </c>
      <c r="E4470" s="138" t="str">
        <f t="shared" si="268"/>
        <v>Base</v>
      </c>
      <c r="F4470" s="138" t="str">
        <f t="shared" si="269"/>
        <v>Upgraded</v>
      </c>
      <c r="G4470" s="153"/>
      <c r="H4470" s="210">
        <v>9.7699999999999995E-2</v>
      </c>
      <c r="I4470" s="160" t="s">
        <v>58</v>
      </c>
      <c r="J4470" s="211">
        <v>4.3235300000000003E-5</v>
      </c>
      <c r="K4470" s="160" t="s">
        <v>26</v>
      </c>
      <c r="L4470" s="154" t="str">
        <f>IF(OpenLCAbasic!K4470="CTUh", "Fill in Manually",IF(OR(K4470="Unit", K4470=""), "", INDEX(LookUps!$E$5:$E$12, MATCH(OpenLCAbasic!K4470,LookUps!$D$5:$D$12,0))))</f>
        <v>Water Use (WU) - m3 H2O</v>
      </c>
      <c r="M4470" s="154" t="str">
        <f t="shared" si="265"/>
        <v>Base_Medium_Base_Upgraded_Water Use (WU) - m3 H2O_Pre-Anoxic &amp; Swing tank; wastewater treatment unit; at updated plant - US_Base_With Amendment_Aerated Static Pile</v>
      </c>
    </row>
    <row r="4471" spans="1:13" s="120" customFormat="1" x14ac:dyDescent="0.25">
      <c r="A4471" s="119"/>
      <c r="B4471" s="138" t="str">
        <f t="shared" si="266"/>
        <v>Aerated Static Pile</v>
      </c>
      <c r="C4471" s="138" t="str">
        <f t="shared" si="267"/>
        <v>Base_With Amendment</v>
      </c>
      <c r="D4471" s="138" t="str">
        <f t="shared" si="264"/>
        <v>Medium_Base</v>
      </c>
      <c r="E4471" s="138" t="str">
        <f t="shared" si="268"/>
        <v>Base</v>
      </c>
      <c r="F4471" s="138" t="str">
        <f t="shared" si="269"/>
        <v>Upgraded</v>
      </c>
      <c r="G4471" s="153"/>
      <c r="H4471" s="210">
        <v>6.8699999999999997E-2</v>
      </c>
      <c r="I4471" s="160" t="s">
        <v>57</v>
      </c>
      <c r="J4471" s="211">
        <v>3.0408100000000001E-5</v>
      </c>
      <c r="K4471" s="160" t="s">
        <v>26</v>
      </c>
      <c r="L4471" s="154" t="str">
        <f>IF(OpenLCAbasic!K4471="CTUh", "Fill in Manually",IF(OR(K4471="Unit", K4471=""), "", INDEX(LookUps!$E$5:$E$12, MATCH(OpenLCAbasic!K4471,LookUps!$D$5:$D$12,0))))</f>
        <v>Water Use (WU) - m3 H2O</v>
      </c>
      <c r="M4471" s="154" t="str">
        <f t="shared" si="265"/>
        <v>Base_Medium_Base_Upgraded_Water Use (WU) - m3 H2O_Gravity Belt Thickener; wastewater treatment unit; at updated plant - US_Base_With Amendment_Aerated Static Pile</v>
      </c>
    </row>
    <row r="4472" spans="1:13" s="120" customFormat="1" x14ac:dyDescent="0.25">
      <c r="A4472" s="119"/>
      <c r="B4472" s="138" t="str">
        <f t="shared" si="266"/>
        <v>Aerated Static Pile</v>
      </c>
      <c r="C4472" s="138" t="str">
        <f t="shared" si="267"/>
        <v>Base_With Amendment</v>
      </c>
      <c r="D4472" s="138" t="str">
        <f t="shared" si="264"/>
        <v>Medium_Base</v>
      </c>
      <c r="E4472" s="138" t="str">
        <f t="shared" si="268"/>
        <v>Base</v>
      </c>
      <c r="F4472" s="138" t="str">
        <f t="shared" si="269"/>
        <v>Upgraded</v>
      </c>
      <c r="G4472" s="153"/>
      <c r="H4472" s="210">
        <v>6.8500000000000005E-2</v>
      </c>
      <c r="I4472" s="160" t="s">
        <v>60</v>
      </c>
      <c r="J4472" s="211">
        <v>3.0289000000000001E-5</v>
      </c>
      <c r="K4472" s="160" t="s">
        <v>26</v>
      </c>
      <c r="L4472" s="154" t="str">
        <f>IF(OpenLCAbasic!K4472="CTUh", "Fill in Manually",IF(OR(K4472="Unit", K4472=""), "", INDEX(LookUps!$E$5:$E$12, MATCH(OpenLCAbasic!K4472,LookUps!$D$5:$D$12,0))))</f>
        <v>Water Use (WU) - m3 H2O</v>
      </c>
      <c r="M4472" s="154" t="str">
        <f t="shared" si="265"/>
        <v>Base_Medium_Base_Upgraded_Water Use (WU) - m3 H2O_Belt filter press; wastewater treatment unit; at updated plant - US_Base_With Amendment_Aerated Static Pile</v>
      </c>
    </row>
    <row r="4473" spans="1:13" s="120" customFormat="1" x14ac:dyDescent="0.25">
      <c r="A4473" s="119"/>
      <c r="B4473" s="138" t="str">
        <f t="shared" si="266"/>
        <v>Aerated Static Pile</v>
      </c>
      <c r="C4473" s="138" t="str">
        <f t="shared" si="267"/>
        <v>Base_With Amendment</v>
      </c>
      <c r="D4473" s="138" t="str">
        <f t="shared" ref="D4473:D4479" si="270">IF(ISNUMBER($J4473),"Medium_Base","")</f>
        <v>Medium_Base</v>
      </c>
      <c r="E4473" s="138" t="str">
        <f t="shared" si="268"/>
        <v>Base</v>
      </c>
      <c r="F4473" s="138" t="str">
        <f t="shared" si="269"/>
        <v>Upgraded</v>
      </c>
      <c r="G4473" s="153"/>
      <c r="H4473" s="210">
        <v>6.1100000000000002E-2</v>
      </c>
      <c r="I4473" s="160" t="s">
        <v>435</v>
      </c>
      <c r="J4473" s="211">
        <v>2.7014099999999999E-5</v>
      </c>
      <c r="K4473" s="160" t="s">
        <v>26</v>
      </c>
      <c r="L4473" s="154" t="str">
        <f>IF(OpenLCAbasic!K4473="CTUh", "Fill in Manually",IF(OR(K4473="Unit", K4473=""), "", INDEX(LookUps!$E$5:$E$12, MATCH(OpenLCAbasic!K4473,LookUps!$D$5:$D$12,0))))</f>
        <v>Water Use (WU) - m3 H2O</v>
      </c>
      <c r="M4473" s="154" t="str">
        <f t="shared" si="265"/>
        <v>Base_Medium_Base_Upgraded_Water Use (WU) - m3 H2O_Biosolids composting; aerated static pile; wastewater treatment unit; at updated plant - US_Base_With Amendment_Aerated Static Pile</v>
      </c>
    </row>
    <row r="4474" spans="1:13" s="120" customFormat="1" x14ac:dyDescent="0.25">
      <c r="A4474" s="119"/>
      <c r="B4474" s="138" t="str">
        <f t="shared" si="266"/>
        <v>Aerated Static Pile</v>
      </c>
      <c r="C4474" s="138" t="str">
        <f t="shared" si="267"/>
        <v>Base_With Amendment</v>
      </c>
      <c r="D4474" s="138" t="str">
        <f t="shared" si="270"/>
        <v>Medium_Base</v>
      </c>
      <c r="E4474" s="138" t="str">
        <f t="shared" si="268"/>
        <v>Base</v>
      </c>
      <c r="F4474" s="138" t="str">
        <f t="shared" si="269"/>
        <v>Upgraded</v>
      </c>
      <c r="G4474" s="153"/>
      <c r="H4474" s="210">
        <v>3.9600000000000003E-2</v>
      </c>
      <c r="I4474" s="160" t="s">
        <v>53</v>
      </c>
      <c r="J4474" s="211">
        <v>1.75069E-5</v>
      </c>
      <c r="K4474" s="160" t="s">
        <v>26</v>
      </c>
      <c r="L4474" s="154" t="str">
        <f>IF(OpenLCAbasic!K4474="CTUh", "Fill in Manually",IF(OR(K4474="Unit", K4474=""), "", INDEX(LookUps!$E$5:$E$12, MATCH(OpenLCAbasic!K4474,LookUps!$D$5:$D$12,0))))</f>
        <v>Water Use (WU) - m3 H2O</v>
      </c>
      <c r="M4474" s="154" t="str">
        <f t="shared" si="265"/>
        <v>Base_Medium_Base_Upgraded_Water Use (WU) - m3 H2O_Wet Well and Sump Station; wastewater treatment unit; at updated plant - US_Base_With Amendment_Aerated Static Pile</v>
      </c>
    </row>
    <row r="4475" spans="1:13" s="120" customFormat="1" x14ac:dyDescent="0.25">
      <c r="A4475" s="119"/>
      <c r="B4475" s="138" t="str">
        <f t="shared" si="266"/>
        <v>Aerated Static Pile</v>
      </c>
      <c r="C4475" s="138" t="str">
        <f t="shared" si="267"/>
        <v>Base_With Amendment</v>
      </c>
      <c r="D4475" s="138" t="str">
        <f t="shared" si="270"/>
        <v>Medium_Base</v>
      </c>
      <c r="E4475" s="138" t="str">
        <f t="shared" si="268"/>
        <v>Base</v>
      </c>
      <c r="F4475" s="138" t="str">
        <f t="shared" si="269"/>
        <v>Upgraded</v>
      </c>
      <c r="G4475" s="153"/>
      <c r="H4475" s="210">
        <v>1.5900000000000001E-2</v>
      </c>
      <c r="I4475" s="160" t="s">
        <v>59</v>
      </c>
      <c r="J4475" s="211">
        <v>7.0179500000000003E-6</v>
      </c>
      <c r="K4475" s="160" t="s">
        <v>26</v>
      </c>
      <c r="L4475" s="154" t="str">
        <f>IF(OpenLCAbasic!K4475="CTUh", "Fill in Manually",IF(OR(K4475="Unit", K4475=""), "", INDEX(LookUps!$E$5:$E$12, MATCH(OpenLCAbasic!K4475,LookUps!$D$5:$D$12,0))))</f>
        <v>Water Use (WU) - m3 H2O</v>
      </c>
      <c r="M4475" s="154" t="str">
        <f t="shared" si="265"/>
        <v>Base_Medium_Base_Upgraded_Water Use (WU) - m3 H2O_Blend Tank; wastewater treatment unit; at updated plant - US_Base_With Amendment_Aerated Static Pile</v>
      </c>
    </row>
    <row r="4476" spans="1:13" s="120" customFormat="1" x14ac:dyDescent="0.25">
      <c r="A4476" s="119"/>
      <c r="B4476" s="138" t="str">
        <f t="shared" si="266"/>
        <v>Aerated Static Pile</v>
      </c>
      <c r="C4476" s="138" t="str">
        <f t="shared" si="267"/>
        <v>Base_With Amendment</v>
      </c>
      <c r="D4476" s="138" t="str">
        <f t="shared" si="270"/>
        <v>Medium_Base</v>
      </c>
      <c r="E4476" s="138" t="str">
        <f t="shared" si="268"/>
        <v>Base</v>
      </c>
      <c r="F4476" s="138" t="str">
        <f t="shared" si="269"/>
        <v>Upgraded</v>
      </c>
      <c r="G4476" s="153"/>
      <c r="H4476" s="210">
        <v>1.14E-2</v>
      </c>
      <c r="I4476" s="160" t="s">
        <v>128</v>
      </c>
      <c r="J4476" s="211">
        <v>5.0608900000000003E-6</v>
      </c>
      <c r="K4476" s="160" t="s">
        <v>26</v>
      </c>
      <c r="L4476" s="154" t="str">
        <f>IF(OpenLCAbasic!K4476="CTUh", "Fill in Manually",IF(OR(K4476="Unit", K4476=""), "", INDEX(LookUps!$E$5:$E$12, MATCH(OpenLCAbasic!K4476,LookUps!$D$5:$D$12,0))))</f>
        <v>Water Use (WU) - m3 H2O</v>
      </c>
      <c r="M4476" s="154" t="str">
        <f t="shared" si="265"/>
        <v>Base_Medium_Base_Upgraded_Water Use (WU) - m3 H2O_Wastewater collection; operation and infrastructure; m3 wastewater_Base_With Amendment_Aerated Static Pile</v>
      </c>
    </row>
    <row r="4477" spans="1:13" s="120" customFormat="1" x14ac:dyDescent="0.25">
      <c r="A4477" s="119"/>
      <c r="B4477" s="138" t="str">
        <f t="shared" si="266"/>
        <v>Aerated Static Pile</v>
      </c>
      <c r="C4477" s="138" t="str">
        <f t="shared" si="267"/>
        <v>Base_With Amendment</v>
      </c>
      <c r="D4477" s="138" t="str">
        <f t="shared" si="270"/>
        <v>Medium_Base</v>
      </c>
      <c r="E4477" s="138" t="str">
        <f t="shared" si="268"/>
        <v>Base</v>
      </c>
      <c r="F4477" s="138" t="str">
        <f t="shared" si="269"/>
        <v>Upgraded</v>
      </c>
      <c r="G4477" s="153"/>
      <c r="H4477" s="210">
        <v>1.6999999999999999E-3</v>
      </c>
      <c r="I4477" s="160" t="s">
        <v>168</v>
      </c>
      <c r="J4477" s="211">
        <v>7.6697000000000004E-7</v>
      </c>
      <c r="K4477" s="160" t="s">
        <v>26</v>
      </c>
      <c r="L4477" s="154" t="str">
        <f>IF(OpenLCAbasic!K4477="CTUh", "Fill in Manually",IF(OR(K4477="Unit", K4477=""), "", INDEX(LookUps!$E$5:$E$12, MATCH(OpenLCAbasic!K4477,LookUps!$D$5:$D$12,0))))</f>
        <v>Water Use (WU) - m3 H2O</v>
      </c>
      <c r="M4477" s="154" t="str">
        <f t="shared" si="265"/>
        <v>Base_Medium_Base_Upgraded_Water Use (WU) - m3 H2O_ClearCove SCP; wastewater treatment unit; at updated plant - US_Base_With Amendment_Aerated Static Pile</v>
      </c>
    </row>
    <row r="4478" spans="1:13" s="120" customFormat="1" x14ac:dyDescent="0.25">
      <c r="A4478" s="119"/>
      <c r="B4478" s="138" t="str">
        <f t="shared" si="266"/>
        <v>Aerated Static Pile</v>
      </c>
      <c r="C4478" s="138" t="str">
        <f t="shared" si="267"/>
        <v>Base_With Amendment</v>
      </c>
      <c r="D4478" s="138" t="str">
        <f t="shared" si="270"/>
        <v>Medium_Base</v>
      </c>
      <c r="E4478" s="138" t="str">
        <f t="shared" si="268"/>
        <v>Base</v>
      </c>
      <c r="F4478" s="138" t="str">
        <f t="shared" si="269"/>
        <v>Upgraded</v>
      </c>
      <c r="G4478" s="153"/>
      <c r="H4478" s="210">
        <v>-8.72E-2</v>
      </c>
      <c r="I4478" s="160" t="s">
        <v>149</v>
      </c>
      <c r="J4478" s="211">
        <v>-3.8591399999999998E-5</v>
      </c>
      <c r="K4478" s="160" t="s">
        <v>26</v>
      </c>
      <c r="L4478" s="154" t="str">
        <f>IF(OpenLCAbasic!K4478="CTUh", "Fill in Manually",IF(OR(K4478="Unit", K4478=""), "", INDEX(LookUps!$E$5:$E$12, MATCH(OpenLCAbasic!K4478,LookUps!$D$5:$D$12,0))))</f>
        <v>Water Use (WU) - m3 H2O</v>
      </c>
      <c r="M4478" s="154" t="str">
        <f t="shared" si="265"/>
        <v>Base_Medium_Base_Upgraded_Water Use (WU) - m3 H2O_Anaerobic Digestion; wastewater treatment unit; at updated plant - US_Base_With Amendment_Aerated Static Pile</v>
      </c>
    </row>
    <row r="4479" spans="1:13" s="120" customFormat="1" x14ac:dyDescent="0.25">
      <c r="A4479" s="119"/>
      <c r="B4479" s="138" t="str">
        <f t="shared" si="266"/>
        <v>Aerated Static Pile</v>
      </c>
      <c r="C4479" s="138" t="str">
        <f t="shared" si="267"/>
        <v>Base_With Amendment</v>
      </c>
      <c r="D4479" s="138" t="str">
        <f t="shared" si="270"/>
        <v>Medium_Base</v>
      </c>
      <c r="E4479" s="138" t="str">
        <f t="shared" si="268"/>
        <v>Base</v>
      </c>
      <c r="F4479" s="138" t="str">
        <f t="shared" si="269"/>
        <v>Upgraded</v>
      </c>
      <c r="G4479" s="153"/>
      <c r="H4479" s="210">
        <v>-3.5937999999999999</v>
      </c>
      <c r="I4479" s="160" t="s">
        <v>62</v>
      </c>
      <c r="J4479" s="160">
        <v>-1.5900000000000001E-3</v>
      </c>
      <c r="K4479" s="160" t="s">
        <v>26</v>
      </c>
      <c r="L4479" s="154" t="str">
        <f>IF(OpenLCAbasic!K4479="CTUh", "Fill in Manually",IF(OR(K4479="Unit", K4479=""), "", INDEX(LookUps!$E$5:$E$12, MATCH(OpenLCAbasic!K4479,LookUps!$D$5:$D$12,0))))</f>
        <v>Water Use (WU) - m3 H2O</v>
      </c>
      <c r="M4479" s="154" t="str">
        <f t="shared" si="265"/>
        <v>Base_Medium_Base_Upgraded_Water Use (WU) - m3 H2O_Land application of compost; wastewater treatment unit; at updated plant - US_Base_With Amendment_Aerated Static Pile</v>
      </c>
    </row>
    <row r="4480" spans="1:13" s="120" customFormat="1" x14ac:dyDescent="0.25">
      <c r="A4480" s="119"/>
      <c r="B4480" s="138" t="str">
        <f>IF(F4480="Legacy","n.a.",IF(F4480="","","Windrow"))</f>
        <v/>
      </c>
      <c r="C4480" s="138" t="str">
        <f>IF(ISNUMBER($J4480),"Without Amendment","")</f>
        <v/>
      </c>
      <c r="D4480" s="138" t="str">
        <f>IF(ISNUMBER($J4480),"Base_Low","")</f>
        <v/>
      </c>
      <c r="E4480" s="138" t="str">
        <f t="shared" si="268"/>
        <v/>
      </c>
      <c r="F4480" s="138" t="str">
        <f t="shared" ref="F4480" si="271">IF(ISNUMBER(J4480),"Upgraded","")</f>
        <v/>
      </c>
      <c r="G4480" s="153" t="s">
        <v>51</v>
      </c>
      <c r="H4480" s="160"/>
      <c r="I4480" s="208" t="s">
        <v>47</v>
      </c>
      <c r="J4480" s="160" t="s">
        <v>52</v>
      </c>
      <c r="K4480" s="160" t="s">
        <v>27</v>
      </c>
      <c r="L4480" s="154" t="str">
        <f>IF(OpenLCAbasic!K4480="CTUh", "Fill in Manually",IF(OR(K4480="Unit", K4480=""), "", INDEX(LookUps!$E$5:$E$12, MATCH(OpenLCAbasic!K4480,LookUps!$D$5:$D$12,0))))</f>
        <v/>
      </c>
      <c r="M4480" s="154" t="str">
        <f t="shared" si="265"/>
        <v>____Process__</v>
      </c>
    </row>
    <row r="4481" spans="1:13" s="120" customFormat="1" x14ac:dyDescent="0.25">
      <c r="A4481" s="119"/>
      <c r="B4481" s="138" t="str">
        <f t="shared" ref="B4481:B4483" si="272">IF(F4481="Legacy","n.a.",IF(F4481="","","Windrow"))</f>
        <v>Windrow</v>
      </c>
      <c r="C4481" s="138" t="str">
        <f t="shared" ref="C4481:C4544" si="273">IF(ISNUMBER($J4481),"Without Amendment","")</f>
        <v>Without Amendment</v>
      </c>
      <c r="D4481" s="138" t="str">
        <f t="shared" ref="D4481:D4544" si="274">IF(ISNUMBER($J4481),"Base_Low","")</f>
        <v>Base_Low</v>
      </c>
      <c r="E4481" s="138" t="str">
        <f t="shared" si="268"/>
        <v>Base</v>
      </c>
      <c r="F4481" s="138" t="str">
        <f t="shared" ref="F4481:F4483" si="275">IF(ISNUMBER(J4481),"Upgraded","")</f>
        <v>Upgraded</v>
      </c>
      <c r="G4481" s="153"/>
      <c r="H4481" s="210">
        <v>0.36730000000000002</v>
      </c>
      <c r="I4481" s="160" t="s">
        <v>55</v>
      </c>
      <c r="J4481" s="160">
        <v>1.7219999999999999E-2</v>
      </c>
      <c r="K4481" s="160" t="s">
        <v>24</v>
      </c>
      <c r="L4481" s="154" t="str">
        <f>IF(OpenLCAbasic!K4481="CTUh", "Fill in Manually",IF(OR(K4481="Unit", K4481=""), "", INDEX(LookUps!$E$5:$E$12, MATCH(OpenLCAbasic!K4481,LookUps!$D$5:$D$12,0))))</f>
        <v>Acidification Potential (AP) - kg SO2 eq</v>
      </c>
      <c r="M4481" s="154" t="str">
        <f t="shared" si="265"/>
        <v>Base_Base_Low_Upgraded_Acidification Potential (AP) - kg SO2 eq_Aeration Tanks; wastewater treatment unit; at updated plant - US_Without Amendment_Windrow</v>
      </c>
    </row>
    <row r="4482" spans="1:13" s="120" customFormat="1" x14ac:dyDescent="0.25">
      <c r="A4482" s="119"/>
      <c r="B4482" s="138" t="str">
        <f t="shared" si="272"/>
        <v>Windrow</v>
      </c>
      <c r="C4482" s="138" t="str">
        <f t="shared" si="273"/>
        <v>Without Amendment</v>
      </c>
      <c r="D4482" s="138" t="str">
        <f t="shared" si="274"/>
        <v>Base_Low</v>
      </c>
      <c r="E4482" s="138" t="str">
        <f t="shared" si="268"/>
        <v>Base</v>
      </c>
      <c r="F4482" s="138" t="str">
        <f t="shared" si="275"/>
        <v>Upgraded</v>
      </c>
      <c r="G4482" s="153"/>
      <c r="H4482" s="210">
        <v>0.1062</v>
      </c>
      <c r="I4482" s="160" t="s">
        <v>54</v>
      </c>
      <c r="J4482" s="160">
        <v>4.9800000000000001E-3</v>
      </c>
      <c r="K4482" s="160" t="s">
        <v>24</v>
      </c>
      <c r="L4482" s="154" t="str">
        <f>IF(OpenLCAbasic!K4482="CTUh", "Fill in Manually",IF(OR(K4482="Unit", K4482=""), "", INDEX(LookUps!$E$5:$E$12, MATCH(OpenLCAbasic!K4482,LookUps!$D$5:$D$12,0))))</f>
        <v>Acidification Potential (AP) - kg SO2 eq</v>
      </c>
      <c r="M4482" s="154" t="str">
        <f t="shared" si="265"/>
        <v>Base_Base_Low_Upgraded_Acidification Potential (AP) - kg SO2 eq_Clear Cove Primary Clarification; wastewater treatment unit; at updated plant - US_Without Amendment_Windrow</v>
      </c>
    </row>
    <row r="4483" spans="1:13" s="120" customFormat="1" x14ac:dyDescent="0.25">
      <c r="A4483" s="119"/>
      <c r="B4483" s="138" t="str">
        <f t="shared" si="272"/>
        <v>Windrow</v>
      </c>
      <c r="C4483" s="138" t="str">
        <f t="shared" si="273"/>
        <v>Without Amendment</v>
      </c>
      <c r="D4483" s="138" t="str">
        <f t="shared" si="274"/>
        <v>Base_Low</v>
      </c>
      <c r="E4483" s="138" t="str">
        <f t="shared" si="268"/>
        <v>Base</v>
      </c>
      <c r="F4483" s="138" t="str">
        <f t="shared" si="275"/>
        <v>Upgraded</v>
      </c>
      <c r="G4483" s="153"/>
      <c r="H4483" s="210">
        <v>9.2399999999999996E-2</v>
      </c>
      <c r="I4483" s="160" t="s">
        <v>58</v>
      </c>
      <c r="J4483" s="160">
        <v>4.3299999999999996E-3</v>
      </c>
      <c r="K4483" s="160" t="s">
        <v>24</v>
      </c>
      <c r="L4483" s="154" t="str">
        <f>IF(OpenLCAbasic!K4483="CTUh", "Fill in Manually",IF(OR(K4483="Unit", K4483=""), "", INDEX(LookUps!$E$5:$E$12, MATCH(OpenLCAbasic!K4483,LookUps!$D$5:$D$12,0))))</f>
        <v>Acidification Potential (AP) - kg SO2 eq</v>
      </c>
      <c r="M4483" s="154" t="str">
        <f t="shared" si="265"/>
        <v>Base_Base_Low_Upgraded_Acidification Potential (AP) - kg SO2 eq_Pre-Anoxic &amp; Swing tank; wastewater treatment unit; at updated plant - US_Without Amendment_Windrow</v>
      </c>
    </row>
    <row r="4484" spans="1:13" s="120" customFormat="1" x14ac:dyDescent="0.25">
      <c r="A4484" s="119"/>
      <c r="B4484" s="138" t="str">
        <f t="shared" ref="B4484:B4547" si="276">IF(F4484="Legacy","n.a.",IF(F4484="","","Windrow"))</f>
        <v>Windrow</v>
      </c>
      <c r="C4484" s="138" t="str">
        <f t="shared" si="273"/>
        <v>Without Amendment</v>
      </c>
      <c r="D4484" s="138" t="str">
        <f t="shared" si="274"/>
        <v>Base_Low</v>
      </c>
      <c r="E4484" s="138" t="str">
        <f t="shared" si="268"/>
        <v>Base</v>
      </c>
      <c r="F4484" s="138" t="str">
        <f t="shared" ref="F4484:F4547" si="277">IF(ISNUMBER(J4484),"Upgraded","")</f>
        <v>Upgraded</v>
      </c>
      <c r="G4484" s="153"/>
      <c r="H4484" s="210">
        <v>8.48E-2</v>
      </c>
      <c r="I4484" s="160" t="s">
        <v>271</v>
      </c>
      <c r="J4484" s="160">
        <v>3.98E-3</v>
      </c>
      <c r="K4484" s="160" t="s">
        <v>24</v>
      </c>
      <c r="L4484" s="154" t="str">
        <f>IF(OpenLCAbasic!K4484="CTUh", "Fill in Manually",IF(OR(K4484="Unit", K4484=""), "", INDEX(LookUps!$E$5:$E$12, MATCH(OpenLCAbasic!K4484,LookUps!$D$5:$D$12,0))))</f>
        <v>Acidification Potential (AP) - kg SO2 eq</v>
      </c>
      <c r="M4484" s="154" t="str">
        <f t="shared" si="265"/>
        <v>Base_Base_Low_Upgraded_Acidification Potential (AP) - kg SO2 eq_Biosolids composting; windrow composting; wastewater treatment unit; at updated plant - US_Without Amendment_Windrow</v>
      </c>
    </row>
    <row r="4485" spans="1:13" s="120" customFormat="1" x14ac:dyDescent="0.25">
      <c r="A4485" s="119"/>
      <c r="B4485" s="138" t="str">
        <f t="shared" si="276"/>
        <v>Windrow</v>
      </c>
      <c r="C4485" s="138" t="str">
        <f t="shared" si="273"/>
        <v>Without Amendment</v>
      </c>
      <c r="D4485" s="138" t="str">
        <f t="shared" si="274"/>
        <v>Base_Low</v>
      </c>
      <c r="E4485" s="138" t="str">
        <f t="shared" si="268"/>
        <v>Base</v>
      </c>
      <c r="F4485" s="138" t="str">
        <f t="shared" si="277"/>
        <v>Upgraded</v>
      </c>
      <c r="G4485" s="153"/>
      <c r="H4485" s="210">
        <v>7.3599999999999999E-2</v>
      </c>
      <c r="I4485" s="160" t="s">
        <v>53</v>
      </c>
      <c r="J4485" s="160">
        <v>3.4499999999999999E-3</v>
      </c>
      <c r="K4485" s="160" t="s">
        <v>24</v>
      </c>
      <c r="L4485" s="154" t="str">
        <f>IF(OpenLCAbasic!K4485="CTUh", "Fill in Manually",IF(OR(K4485="Unit", K4485=""), "", INDEX(LookUps!$E$5:$E$12, MATCH(OpenLCAbasic!K4485,LookUps!$D$5:$D$12,0))))</f>
        <v>Acidification Potential (AP) - kg SO2 eq</v>
      </c>
      <c r="M4485" s="154" t="str">
        <f t="shared" si="265"/>
        <v>Base_Base_Low_Upgraded_Acidification Potential (AP) - kg SO2 eq_Wet Well and Sump Station; wastewater treatment unit; at updated plant - US_Without Amendment_Windrow</v>
      </c>
    </row>
    <row r="4486" spans="1:13" s="120" customFormat="1" x14ac:dyDescent="0.25">
      <c r="A4486" s="119"/>
      <c r="B4486" s="138" t="str">
        <f t="shared" si="276"/>
        <v>Windrow</v>
      </c>
      <c r="C4486" s="138" t="str">
        <f t="shared" si="273"/>
        <v>Without Amendment</v>
      </c>
      <c r="D4486" s="138" t="str">
        <f t="shared" si="274"/>
        <v>Base_Low</v>
      </c>
      <c r="E4486" s="138" t="str">
        <f t="shared" si="268"/>
        <v>Base</v>
      </c>
      <c r="F4486" s="138" t="str">
        <f t="shared" si="277"/>
        <v>Upgraded</v>
      </c>
      <c r="G4486" s="153"/>
      <c r="H4486" s="210">
        <v>5.5399999999999998E-2</v>
      </c>
      <c r="I4486" s="160" t="s">
        <v>149</v>
      </c>
      <c r="J4486" s="160">
        <v>2.5999999999999999E-3</v>
      </c>
      <c r="K4486" s="160" t="s">
        <v>24</v>
      </c>
      <c r="L4486" s="154" t="str">
        <f>IF(OpenLCAbasic!K4486="CTUh", "Fill in Manually",IF(OR(K4486="Unit", K4486=""), "", INDEX(LookUps!$E$5:$E$12, MATCH(OpenLCAbasic!K4486,LookUps!$D$5:$D$12,0))))</f>
        <v>Acidification Potential (AP) - kg SO2 eq</v>
      </c>
      <c r="M4486" s="154" t="str">
        <f t="shared" si="265"/>
        <v>Base_Base_Low_Upgraded_Acidification Potential (AP) - kg SO2 eq_Anaerobic Digestion; wastewater treatment unit; at updated plant - US_Without Amendment_Windrow</v>
      </c>
    </row>
    <row r="4487" spans="1:13" s="120" customFormat="1" x14ac:dyDescent="0.25">
      <c r="A4487" s="119"/>
      <c r="B4487" s="138" t="str">
        <f t="shared" si="276"/>
        <v>Windrow</v>
      </c>
      <c r="C4487" s="138" t="str">
        <f t="shared" si="273"/>
        <v>Without Amendment</v>
      </c>
      <c r="D4487" s="138" t="str">
        <f t="shared" si="274"/>
        <v>Base_Low</v>
      </c>
      <c r="E4487" s="138" t="str">
        <f t="shared" si="268"/>
        <v>Base</v>
      </c>
      <c r="F4487" s="138" t="str">
        <f t="shared" si="277"/>
        <v>Upgraded</v>
      </c>
      <c r="G4487" s="153"/>
      <c r="H4487" s="210">
        <v>5.0700000000000002E-2</v>
      </c>
      <c r="I4487" s="160" t="s">
        <v>167</v>
      </c>
      <c r="J4487" s="160">
        <v>2.3800000000000002E-3</v>
      </c>
      <c r="K4487" s="160" t="s">
        <v>24</v>
      </c>
      <c r="L4487" s="154" t="str">
        <f>IF(OpenLCAbasic!K4487="CTUh", "Fill in Manually",IF(OR(K4487="Unit", K4487=""), "", INDEX(LookUps!$E$5:$E$12, MATCH(OpenLCAbasic!K4487,LookUps!$D$5:$D$12,0))))</f>
        <v>Acidification Potential (AP) - kg SO2 eq</v>
      </c>
      <c r="M4487" s="154" t="str">
        <f t="shared" ref="M4487:M4550" si="278">CONCATENATE(E4487,"_",D4487,"_",F4487,"_",L4487, "_",I4487,"_", C4487,"_", B4487)</f>
        <v>Base_Base_Low_Upgraded_Acidification Potential (AP) - kg SO2 eq_Waste Receiving and Holding; wastewater treatment unit; at updated plant - US_Without Amendment_Windrow</v>
      </c>
    </row>
    <row r="4488" spans="1:13" s="120" customFormat="1" x14ac:dyDescent="0.25">
      <c r="A4488" s="119"/>
      <c r="B4488" s="138" t="str">
        <f t="shared" si="276"/>
        <v>Windrow</v>
      </c>
      <c r="C4488" s="138" t="str">
        <f t="shared" si="273"/>
        <v>Without Amendment</v>
      </c>
      <c r="D4488" s="138" t="str">
        <f t="shared" si="274"/>
        <v>Base_Low</v>
      </c>
      <c r="E4488" s="138" t="str">
        <f t="shared" si="268"/>
        <v>Base</v>
      </c>
      <c r="F4488" s="138" t="str">
        <f t="shared" si="277"/>
        <v>Upgraded</v>
      </c>
      <c r="G4488" s="153"/>
      <c r="H4488" s="210">
        <v>4.41E-2</v>
      </c>
      <c r="I4488" s="160" t="s">
        <v>147</v>
      </c>
      <c r="J4488" s="160">
        <v>2.0699999999999998E-3</v>
      </c>
      <c r="K4488" s="160" t="s">
        <v>24</v>
      </c>
      <c r="L4488" s="154" t="str">
        <f>IF(OpenLCAbasic!K4488="CTUh", "Fill in Manually",IF(OR(K4488="Unit", K4488=""), "", INDEX(LookUps!$E$5:$E$12, MATCH(OpenLCAbasic!K4488,LookUps!$D$5:$D$12,0))))</f>
        <v>Acidification Potential (AP) - kg SO2 eq</v>
      </c>
      <c r="M4488" s="154" t="str">
        <f t="shared" si="278"/>
        <v>Base_Base_Low_Upgraded_Acidification Potential (AP) - kg SO2 eq_Influent Pump Station; wastewater treatment unit; at updated plant - US_Without Amendment_Windrow</v>
      </c>
    </row>
    <row r="4489" spans="1:13" s="120" customFormat="1" x14ac:dyDescent="0.25">
      <c r="A4489" s="119"/>
      <c r="B4489" s="138" t="str">
        <f t="shared" si="276"/>
        <v>Windrow</v>
      </c>
      <c r="C4489" s="138" t="str">
        <f t="shared" si="273"/>
        <v>Without Amendment</v>
      </c>
      <c r="D4489" s="138" t="str">
        <f t="shared" si="274"/>
        <v>Base_Low</v>
      </c>
      <c r="E4489" s="138" t="str">
        <f t="shared" si="268"/>
        <v>Base</v>
      </c>
      <c r="F4489" s="138" t="str">
        <f t="shared" si="277"/>
        <v>Upgraded</v>
      </c>
      <c r="G4489" s="153"/>
      <c r="H4489" s="210">
        <v>4.1099999999999998E-2</v>
      </c>
      <c r="I4489" s="160" t="s">
        <v>62</v>
      </c>
      <c r="J4489" s="160">
        <v>1.9300000000000001E-3</v>
      </c>
      <c r="K4489" s="160" t="s">
        <v>24</v>
      </c>
      <c r="L4489" s="154" t="str">
        <f>IF(OpenLCAbasic!K4489="CTUh", "Fill in Manually",IF(OR(K4489="Unit", K4489=""), "", INDEX(LookUps!$E$5:$E$12, MATCH(OpenLCAbasic!K4489,LookUps!$D$5:$D$12,0))))</f>
        <v>Acidification Potential (AP) - kg SO2 eq</v>
      </c>
      <c r="M4489" s="154" t="str">
        <f t="shared" si="278"/>
        <v>Base_Base_Low_Upgraded_Acidification Potential (AP) - kg SO2 eq_Land application of compost; wastewater treatment unit; at updated plant - US_Without Amendment_Windrow</v>
      </c>
    </row>
    <row r="4490" spans="1:13" s="120" customFormat="1" x14ac:dyDescent="0.25">
      <c r="A4490" s="119"/>
      <c r="B4490" s="138" t="str">
        <f t="shared" si="276"/>
        <v>Windrow</v>
      </c>
      <c r="C4490" s="138" t="str">
        <f t="shared" si="273"/>
        <v>Without Amendment</v>
      </c>
      <c r="D4490" s="138" t="str">
        <f t="shared" si="274"/>
        <v>Base_Low</v>
      </c>
      <c r="E4490" s="138" t="str">
        <f t="shared" si="268"/>
        <v>Base</v>
      </c>
      <c r="F4490" s="138" t="str">
        <f t="shared" si="277"/>
        <v>Upgraded</v>
      </c>
      <c r="G4490" s="153"/>
      <c r="H4490" s="210">
        <v>2.63E-2</v>
      </c>
      <c r="I4490" s="160" t="s">
        <v>128</v>
      </c>
      <c r="J4490" s="160">
        <v>1.23E-3</v>
      </c>
      <c r="K4490" s="160" t="s">
        <v>24</v>
      </c>
      <c r="L4490" s="154" t="str">
        <f>IF(OpenLCAbasic!K4490="CTUh", "Fill in Manually",IF(OR(K4490="Unit", K4490=""), "", INDEX(LookUps!$E$5:$E$12, MATCH(OpenLCAbasic!K4490,LookUps!$D$5:$D$12,0))))</f>
        <v>Acidification Potential (AP) - kg SO2 eq</v>
      </c>
      <c r="M4490" s="154" t="str">
        <f t="shared" si="278"/>
        <v>Base_Base_Low_Upgraded_Acidification Potential (AP) - kg SO2 eq_Wastewater collection; operation and infrastructure; m3 wastewater_Without Amendment_Windrow</v>
      </c>
    </row>
    <row r="4491" spans="1:13" s="120" customFormat="1" x14ac:dyDescent="0.25">
      <c r="A4491" s="119"/>
      <c r="B4491" s="138" t="str">
        <f t="shared" si="276"/>
        <v>Windrow</v>
      </c>
      <c r="C4491" s="138" t="str">
        <f t="shared" si="273"/>
        <v>Without Amendment</v>
      </c>
      <c r="D4491" s="138" t="str">
        <f t="shared" si="274"/>
        <v>Base_Low</v>
      </c>
      <c r="E4491" s="138" t="str">
        <f t="shared" si="268"/>
        <v>Base</v>
      </c>
      <c r="F4491" s="138" t="str">
        <f t="shared" si="277"/>
        <v>Upgraded</v>
      </c>
      <c r="G4491" s="153"/>
      <c r="H4491" s="210">
        <v>1.83E-2</v>
      </c>
      <c r="I4491" s="160" t="s">
        <v>60</v>
      </c>
      <c r="J4491" s="160">
        <v>8.5999999999999998E-4</v>
      </c>
      <c r="K4491" s="160" t="s">
        <v>24</v>
      </c>
      <c r="L4491" s="154" t="str">
        <f>IF(OpenLCAbasic!K4491="CTUh", "Fill in Manually",IF(OR(K4491="Unit", K4491=""), "", INDEX(LookUps!$E$5:$E$12, MATCH(OpenLCAbasic!K4491,LookUps!$D$5:$D$12,0))))</f>
        <v>Acidification Potential (AP) - kg SO2 eq</v>
      </c>
      <c r="M4491" s="154" t="str">
        <f t="shared" si="278"/>
        <v>Base_Base_Low_Upgraded_Acidification Potential (AP) - kg SO2 eq_Belt filter press; wastewater treatment unit; at updated plant - US_Without Amendment_Windrow</v>
      </c>
    </row>
    <row r="4492" spans="1:13" s="120" customFormat="1" x14ac:dyDescent="0.25">
      <c r="A4492" s="119"/>
      <c r="B4492" s="138" t="str">
        <f t="shared" si="276"/>
        <v>Windrow</v>
      </c>
      <c r="C4492" s="138" t="str">
        <f t="shared" si="273"/>
        <v>Without Amendment</v>
      </c>
      <c r="D4492" s="138" t="str">
        <f t="shared" si="274"/>
        <v>Base_Low</v>
      </c>
      <c r="E4492" s="138" t="str">
        <f t="shared" si="268"/>
        <v>Base</v>
      </c>
      <c r="F4492" s="138" t="str">
        <f t="shared" si="277"/>
        <v>Upgraded</v>
      </c>
      <c r="G4492" s="153"/>
      <c r="H4492" s="210">
        <v>1.4999999999999999E-2</v>
      </c>
      <c r="I4492" s="160" t="s">
        <v>57</v>
      </c>
      <c r="J4492" s="160">
        <v>6.9999999999999999E-4</v>
      </c>
      <c r="K4492" s="160" t="s">
        <v>24</v>
      </c>
      <c r="L4492" s="154" t="str">
        <f>IF(OpenLCAbasic!K4492="CTUh", "Fill in Manually",IF(OR(K4492="Unit", K4492=""), "", INDEX(LookUps!$E$5:$E$12, MATCH(OpenLCAbasic!K4492,LookUps!$D$5:$D$12,0))))</f>
        <v>Acidification Potential (AP) - kg SO2 eq</v>
      </c>
      <c r="M4492" s="154" t="str">
        <f t="shared" si="278"/>
        <v>Base_Base_Low_Upgraded_Acidification Potential (AP) - kg SO2 eq_Gravity Belt Thickener; wastewater treatment unit; at updated plant - US_Without Amendment_Windrow</v>
      </c>
    </row>
    <row r="4493" spans="1:13" s="120" customFormat="1" x14ac:dyDescent="0.25">
      <c r="A4493" s="119"/>
      <c r="B4493" s="138" t="str">
        <f t="shared" si="276"/>
        <v>Windrow</v>
      </c>
      <c r="C4493" s="138" t="str">
        <f t="shared" si="273"/>
        <v>Without Amendment</v>
      </c>
      <c r="D4493" s="138" t="str">
        <f t="shared" si="274"/>
        <v>Base_Low</v>
      </c>
      <c r="E4493" s="138" t="str">
        <f t="shared" si="268"/>
        <v>Base</v>
      </c>
      <c r="F4493" s="138" t="str">
        <f t="shared" si="277"/>
        <v>Upgraded</v>
      </c>
      <c r="G4493" s="153"/>
      <c r="H4493" s="210">
        <v>1.0999999999999999E-2</v>
      </c>
      <c r="I4493" s="160" t="s">
        <v>59</v>
      </c>
      <c r="J4493" s="160">
        <v>5.1999999999999995E-4</v>
      </c>
      <c r="K4493" s="160" t="s">
        <v>24</v>
      </c>
      <c r="L4493" s="154" t="str">
        <f>IF(OpenLCAbasic!K4493="CTUh", "Fill in Manually",IF(OR(K4493="Unit", K4493=""), "", INDEX(LookUps!$E$5:$E$12, MATCH(OpenLCAbasic!K4493,LookUps!$D$5:$D$12,0))))</f>
        <v>Acidification Potential (AP) - kg SO2 eq</v>
      </c>
      <c r="M4493" s="154" t="str">
        <f t="shared" si="278"/>
        <v>Base_Base_Low_Upgraded_Acidification Potential (AP) - kg SO2 eq_Blend Tank; wastewater treatment unit; at updated plant - US_Without Amendment_Windrow</v>
      </c>
    </row>
    <row r="4494" spans="1:13" s="120" customFormat="1" x14ac:dyDescent="0.25">
      <c r="A4494" s="119"/>
      <c r="B4494" s="138" t="str">
        <f t="shared" si="276"/>
        <v>Windrow</v>
      </c>
      <c r="C4494" s="138" t="str">
        <f t="shared" si="273"/>
        <v>Without Amendment</v>
      </c>
      <c r="D4494" s="138" t="str">
        <f t="shared" si="274"/>
        <v>Base_Low</v>
      </c>
      <c r="E4494" s="138" t="str">
        <f t="shared" si="268"/>
        <v>Base</v>
      </c>
      <c r="F4494" s="138" t="str">
        <f t="shared" si="277"/>
        <v>Upgraded</v>
      </c>
      <c r="G4494" s="153"/>
      <c r="H4494" s="210">
        <v>7.4000000000000003E-3</v>
      </c>
      <c r="I4494" s="160" t="s">
        <v>48</v>
      </c>
      <c r="J4494" s="160">
        <v>3.5E-4</v>
      </c>
      <c r="K4494" s="160" t="s">
        <v>24</v>
      </c>
      <c r="L4494" s="154" t="str">
        <f>IF(OpenLCAbasic!K4494="CTUh", "Fill in Manually",IF(OR(K4494="Unit", K4494=""), "", INDEX(LookUps!$E$5:$E$12, MATCH(OpenLCAbasic!K4494,LookUps!$D$5:$D$12,0))))</f>
        <v>Acidification Potential (AP) - kg SO2 eq</v>
      </c>
      <c r="M4494" s="154" t="str">
        <f t="shared" si="278"/>
        <v>Base_Base_Low_Upgraded_Acidification Potential (AP) - kg SO2 eq_Effluent release; wastewater treatment unit; at surface water; m3 wastewater - US_Without Amendment_Windrow</v>
      </c>
    </row>
    <row r="4495" spans="1:13" s="120" customFormat="1" x14ac:dyDescent="0.25">
      <c r="A4495" s="119"/>
      <c r="B4495" s="138" t="str">
        <f t="shared" si="276"/>
        <v>Windrow</v>
      </c>
      <c r="C4495" s="138" t="str">
        <f t="shared" si="273"/>
        <v>Without Amendment</v>
      </c>
      <c r="D4495" s="138" t="str">
        <f t="shared" si="274"/>
        <v>Base_Low</v>
      </c>
      <c r="E4495" s="138" t="str">
        <f t="shared" si="268"/>
        <v>Base</v>
      </c>
      <c r="F4495" s="138" t="str">
        <f t="shared" si="277"/>
        <v>Upgraded</v>
      </c>
      <c r="G4495" s="153"/>
      <c r="H4495" s="210">
        <v>5.4000000000000003E-3</v>
      </c>
      <c r="I4495" s="160" t="s">
        <v>168</v>
      </c>
      <c r="J4495" s="160">
        <v>2.5999999999999998E-4</v>
      </c>
      <c r="K4495" s="160" t="s">
        <v>24</v>
      </c>
      <c r="L4495" s="154" t="str">
        <f>IF(OpenLCAbasic!K4495="CTUh", "Fill in Manually",IF(OR(K4495="Unit", K4495=""), "", INDEX(LookUps!$E$5:$E$12, MATCH(OpenLCAbasic!K4495,LookUps!$D$5:$D$12,0))))</f>
        <v>Acidification Potential (AP) - kg SO2 eq</v>
      </c>
      <c r="M4495" s="154" t="str">
        <f t="shared" si="278"/>
        <v>Base_Base_Low_Upgraded_Acidification Potential (AP) - kg SO2 eq_ClearCove SCP; wastewater treatment unit; at updated plant - US_Without Amendment_Windrow</v>
      </c>
    </row>
    <row r="4496" spans="1:13" s="120" customFormat="1" x14ac:dyDescent="0.25">
      <c r="A4496" s="119"/>
      <c r="B4496" s="138" t="str">
        <f t="shared" si="276"/>
        <v>Windrow</v>
      </c>
      <c r="C4496" s="138" t="str">
        <f t="shared" si="273"/>
        <v>Without Amendment</v>
      </c>
      <c r="D4496" s="138" t="str">
        <f t="shared" si="274"/>
        <v>Base_Low</v>
      </c>
      <c r="E4496" s="138" t="str">
        <f t="shared" si="268"/>
        <v>Base</v>
      </c>
      <c r="F4496" s="138" t="str">
        <f t="shared" si="277"/>
        <v>Upgraded</v>
      </c>
      <c r="G4496" s="153"/>
      <c r="H4496" s="210">
        <v>8.9999999999999998E-4</v>
      </c>
      <c r="I4496" s="160" t="s">
        <v>148</v>
      </c>
      <c r="J4496" s="211">
        <v>4.0354700000000002E-5</v>
      </c>
      <c r="K4496" s="160" t="s">
        <v>24</v>
      </c>
      <c r="L4496" s="154" t="str">
        <f>IF(OpenLCAbasic!K4496="CTUh", "Fill in Manually",IF(OR(K4496="Unit", K4496=""), "", INDEX(LookUps!$E$5:$E$12, MATCH(OpenLCAbasic!K4496,LookUps!$D$5:$D$12,0))))</f>
        <v>Acidification Potential (AP) - kg SO2 eq</v>
      </c>
      <c r="M4496" s="154" t="str">
        <f t="shared" si="278"/>
        <v>Base_Base_Low_Upgraded_Acidification Potential (AP) - kg SO2 eq_Control Building; at upgraded wastewater treatment plant - US_Without Amendment_Windrow</v>
      </c>
    </row>
    <row r="4497" spans="1:13" s="120" customFormat="1" x14ac:dyDescent="0.25">
      <c r="A4497" s="119"/>
      <c r="B4497" s="138" t="str">
        <f t="shared" si="276"/>
        <v/>
      </c>
      <c r="C4497" s="138" t="str">
        <f t="shared" si="273"/>
        <v/>
      </c>
      <c r="D4497" s="138" t="str">
        <f t="shared" si="274"/>
        <v/>
      </c>
      <c r="E4497" s="138" t="str">
        <f t="shared" si="268"/>
        <v/>
      </c>
      <c r="F4497" s="138" t="str">
        <f t="shared" si="277"/>
        <v/>
      </c>
      <c r="G4497" s="153" t="s">
        <v>51</v>
      </c>
      <c r="H4497" s="160"/>
      <c r="I4497" s="160" t="s">
        <v>47</v>
      </c>
      <c r="J4497" s="160" t="s">
        <v>52</v>
      </c>
      <c r="K4497" s="160" t="s">
        <v>27</v>
      </c>
      <c r="L4497" s="154" t="str">
        <f>IF(OpenLCAbasic!K4497="CTUh", "Fill in Manually",IF(OR(K4497="Unit", K4497=""), "", INDEX(LookUps!$E$5:$E$12, MATCH(OpenLCAbasic!K4497,LookUps!$D$5:$D$12,0))))</f>
        <v/>
      </c>
      <c r="M4497" s="154" t="str">
        <f t="shared" si="278"/>
        <v>____Process__</v>
      </c>
    </row>
    <row r="4498" spans="1:13" s="120" customFormat="1" x14ac:dyDescent="0.25">
      <c r="A4498" s="119"/>
      <c r="B4498" s="138" t="str">
        <f t="shared" si="276"/>
        <v>Windrow</v>
      </c>
      <c r="C4498" s="138" t="str">
        <f t="shared" si="273"/>
        <v>Without Amendment</v>
      </c>
      <c r="D4498" s="138" t="str">
        <f t="shared" si="274"/>
        <v>Base_Low</v>
      </c>
      <c r="E4498" s="138" t="str">
        <f t="shared" si="268"/>
        <v>Base</v>
      </c>
      <c r="F4498" s="138" t="str">
        <f t="shared" si="277"/>
        <v>Upgraded</v>
      </c>
      <c r="G4498" s="153"/>
      <c r="H4498" s="210">
        <v>0.24460000000000001</v>
      </c>
      <c r="I4498" s="160" t="s">
        <v>55</v>
      </c>
      <c r="J4498" s="160">
        <v>3.5330499999999998</v>
      </c>
      <c r="K4498" s="160" t="s">
        <v>15</v>
      </c>
      <c r="L4498" s="154" t="str">
        <f>IF(OpenLCAbasic!K4498="CTUh", "Fill in Manually",IF(OR(K4498="Unit", K4498=""), "", INDEX(LookUps!$E$5:$E$12, MATCH(OpenLCAbasic!K4498,LookUps!$D$5:$D$12,0))))</f>
        <v>Cumulative Energy Demand (CED) - MJ</v>
      </c>
      <c r="M4498" s="154" t="str">
        <f t="shared" si="278"/>
        <v>Base_Base_Low_Upgraded_Cumulative Energy Demand (CED) - MJ_Aeration Tanks; wastewater treatment unit; at updated plant - US_Without Amendment_Windrow</v>
      </c>
    </row>
    <row r="4499" spans="1:13" s="120" customFormat="1" x14ac:dyDescent="0.25">
      <c r="A4499" s="119"/>
      <c r="B4499" s="138" t="str">
        <f t="shared" si="276"/>
        <v>Windrow</v>
      </c>
      <c r="C4499" s="138" t="str">
        <f t="shared" si="273"/>
        <v>Without Amendment</v>
      </c>
      <c r="D4499" s="138" t="str">
        <f t="shared" si="274"/>
        <v>Base_Low</v>
      </c>
      <c r="E4499" s="138" t="str">
        <f t="shared" si="268"/>
        <v>Base</v>
      </c>
      <c r="F4499" s="138" t="str">
        <f t="shared" si="277"/>
        <v>Upgraded</v>
      </c>
      <c r="G4499" s="153"/>
      <c r="H4499" s="210">
        <v>0.2422</v>
      </c>
      <c r="I4499" s="160" t="s">
        <v>167</v>
      </c>
      <c r="J4499" s="160">
        <v>3.4982700000000002</v>
      </c>
      <c r="K4499" s="160" t="s">
        <v>15</v>
      </c>
      <c r="L4499" s="154" t="str">
        <f>IF(OpenLCAbasic!K4499="CTUh", "Fill in Manually",IF(OR(K4499="Unit", K4499=""), "", INDEX(LookUps!$E$5:$E$12, MATCH(OpenLCAbasic!K4499,LookUps!$D$5:$D$12,0))))</f>
        <v>Cumulative Energy Demand (CED) - MJ</v>
      </c>
      <c r="M4499" s="154" t="str">
        <f t="shared" si="278"/>
        <v>Base_Base_Low_Upgraded_Cumulative Energy Demand (CED) - MJ_Waste Receiving and Holding; wastewater treatment unit; at updated plant - US_Without Amendment_Windrow</v>
      </c>
    </row>
    <row r="4500" spans="1:13" s="120" customFormat="1" x14ac:dyDescent="0.25">
      <c r="A4500" s="119"/>
      <c r="B4500" s="138" t="str">
        <f t="shared" si="276"/>
        <v>Windrow</v>
      </c>
      <c r="C4500" s="138" t="str">
        <f t="shared" si="273"/>
        <v>Without Amendment</v>
      </c>
      <c r="D4500" s="138" t="str">
        <f t="shared" si="274"/>
        <v>Base_Low</v>
      </c>
      <c r="E4500" s="138" t="str">
        <f t="shared" si="268"/>
        <v>Base</v>
      </c>
      <c r="F4500" s="138" t="str">
        <f t="shared" si="277"/>
        <v>Upgraded</v>
      </c>
      <c r="G4500" s="153"/>
      <c r="H4500" s="210">
        <v>0.18920000000000001</v>
      </c>
      <c r="I4500" s="160" t="s">
        <v>149</v>
      </c>
      <c r="J4500" s="160">
        <v>2.7332200000000002</v>
      </c>
      <c r="K4500" s="160" t="s">
        <v>15</v>
      </c>
      <c r="L4500" s="154" t="str">
        <f>IF(OpenLCAbasic!K4500="CTUh", "Fill in Manually",IF(OR(K4500="Unit", K4500=""), "", INDEX(LookUps!$E$5:$E$12, MATCH(OpenLCAbasic!K4500,LookUps!$D$5:$D$12,0))))</f>
        <v>Cumulative Energy Demand (CED) - MJ</v>
      </c>
      <c r="M4500" s="154" t="str">
        <f t="shared" si="278"/>
        <v>Base_Base_Low_Upgraded_Cumulative Energy Demand (CED) - MJ_Anaerobic Digestion; wastewater treatment unit; at updated plant - US_Without Amendment_Windrow</v>
      </c>
    </row>
    <row r="4501" spans="1:13" s="120" customFormat="1" x14ac:dyDescent="0.25">
      <c r="A4501" s="119"/>
      <c r="B4501" s="138" t="str">
        <f t="shared" si="276"/>
        <v>Windrow</v>
      </c>
      <c r="C4501" s="138" t="str">
        <f t="shared" si="273"/>
        <v>Without Amendment</v>
      </c>
      <c r="D4501" s="138" t="str">
        <f t="shared" si="274"/>
        <v>Base_Low</v>
      </c>
      <c r="E4501" s="138" t="str">
        <f t="shared" si="268"/>
        <v>Base</v>
      </c>
      <c r="F4501" s="138" t="str">
        <f t="shared" si="277"/>
        <v>Upgraded</v>
      </c>
      <c r="G4501" s="153"/>
      <c r="H4501" s="210">
        <v>8.0500000000000002E-2</v>
      </c>
      <c r="I4501" s="160" t="s">
        <v>54</v>
      </c>
      <c r="J4501" s="160">
        <v>1.16289</v>
      </c>
      <c r="K4501" s="160" t="s">
        <v>15</v>
      </c>
      <c r="L4501" s="154" t="str">
        <f>IF(OpenLCAbasic!K4501="CTUh", "Fill in Manually",IF(OR(K4501="Unit", K4501=""), "", INDEX(LookUps!$E$5:$E$12, MATCH(OpenLCAbasic!K4501,LookUps!$D$5:$D$12,0))))</f>
        <v>Cumulative Energy Demand (CED) - MJ</v>
      </c>
      <c r="M4501" s="154" t="str">
        <f t="shared" si="278"/>
        <v>Base_Base_Low_Upgraded_Cumulative Energy Demand (CED) - MJ_Clear Cove Primary Clarification; wastewater treatment unit; at updated plant - US_Without Amendment_Windrow</v>
      </c>
    </row>
    <row r="4502" spans="1:13" s="120" customFormat="1" x14ac:dyDescent="0.25">
      <c r="A4502" s="119"/>
      <c r="B4502" s="138" t="str">
        <f t="shared" si="276"/>
        <v>Windrow</v>
      </c>
      <c r="C4502" s="138" t="str">
        <f t="shared" si="273"/>
        <v>Without Amendment</v>
      </c>
      <c r="D4502" s="138" t="str">
        <f t="shared" si="274"/>
        <v>Base_Low</v>
      </c>
      <c r="E4502" s="138" t="str">
        <f t="shared" si="268"/>
        <v>Base</v>
      </c>
      <c r="F4502" s="138" t="str">
        <f t="shared" si="277"/>
        <v>Upgraded</v>
      </c>
      <c r="G4502" s="153"/>
      <c r="H4502" s="210">
        <v>6.1199999999999997E-2</v>
      </c>
      <c r="I4502" s="160" t="s">
        <v>58</v>
      </c>
      <c r="J4502" s="160">
        <v>0.88417000000000001</v>
      </c>
      <c r="K4502" s="160" t="s">
        <v>15</v>
      </c>
      <c r="L4502" s="154" t="str">
        <f>IF(OpenLCAbasic!K4502="CTUh", "Fill in Manually",IF(OR(K4502="Unit", K4502=""), "", INDEX(LookUps!$E$5:$E$12, MATCH(OpenLCAbasic!K4502,LookUps!$D$5:$D$12,0))))</f>
        <v>Cumulative Energy Demand (CED) - MJ</v>
      </c>
      <c r="M4502" s="154" t="str">
        <f t="shared" si="278"/>
        <v>Base_Base_Low_Upgraded_Cumulative Energy Demand (CED) - MJ_Pre-Anoxic &amp; Swing tank; wastewater treatment unit; at updated plant - US_Without Amendment_Windrow</v>
      </c>
    </row>
    <row r="4503" spans="1:13" s="120" customFormat="1" x14ac:dyDescent="0.25">
      <c r="A4503" s="119"/>
      <c r="B4503" s="138" t="str">
        <f t="shared" si="276"/>
        <v>Windrow</v>
      </c>
      <c r="C4503" s="138" t="str">
        <f t="shared" si="273"/>
        <v>Without Amendment</v>
      </c>
      <c r="D4503" s="138" t="str">
        <f t="shared" si="274"/>
        <v>Base_Low</v>
      </c>
      <c r="E4503" s="138" t="str">
        <f t="shared" si="268"/>
        <v>Base</v>
      </c>
      <c r="F4503" s="138" t="str">
        <f t="shared" si="277"/>
        <v>Upgraded</v>
      </c>
      <c r="G4503" s="153"/>
      <c r="H4503" s="210">
        <v>6.1100000000000002E-2</v>
      </c>
      <c r="I4503" s="160" t="s">
        <v>147</v>
      </c>
      <c r="J4503" s="160">
        <v>0.88297000000000003</v>
      </c>
      <c r="K4503" s="160" t="s">
        <v>15</v>
      </c>
      <c r="L4503" s="154" t="str">
        <f>IF(OpenLCAbasic!K4503="CTUh", "Fill in Manually",IF(OR(K4503="Unit", K4503=""), "", INDEX(LookUps!$E$5:$E$12, MATCH(OpenLCAbasic!K4503,LookUps!$D$5:$D$12,0))))</f>
        <v>Cumulative Energy Demand (CED) - MJ</v>
      </c>
      <c r="M4503" s="154" t="str">
        <f t="shared" si="278"/>
        <v>Base_Base_Low_Upgraded_Cumulative Energy Demand (CED) - MJ_Influent Pump Station; wastewater treatment unit; at updated plant - US_Without Amendment_Windrow</v>
      </c>
    </row>
    <row r="4504" spans="1:13" s="120" customFormat="1" x14ac:dyDescent="0.25">
      <c r="A4504" s="119"/>
      <c r="B4504" s="138" t="str">
        <f t="shared" si="276"/>
        <v>Windrow</v>
      </c>
      <c r="C4504" s="138" t="str">
        <f t="shared" si="273"/>
        <v>Without Amendment</v>
      </c>
      <c r="D4504" s="138" t="str">
        <f t="shared" si="274"/>
        <v>Base_Low</v>
      </c>
      <c r="E4504" s="138" t="str">
        <f t="shared" si="268"/>
        <v>Base</v>
      </c>
      <c r="F4504" s="138" t="str">
        <f t="shared" si="277"/>
        <v>Upgraded</v>
      </c>
      <c r="G4504" s="153"/>
      <c r="H4504" s="210">
        <v>4.82E-2</v>
      </c>
      <c r="I4504" s="160" t="s">
        <v>53</v>
      </c>
      <c r="J4504" s="160">
        <v>0.69645000000000001</v>
      </c>
      <c r="K4504" s="160" t="s">
        <v>15</v>
      </c>
      <c r="L4504" s="154" t="str">
        <f>IF(OpenLCAbasic!K4504="CTUh", "Fill in Manually",IF(OR(K4504="Unit", K4504=""), "", INDEX(LookUps!$E$5:$E$12, MATCH(OpenLCAbasic!K4504,LookUps!$D$5:$D$12,0))))</f>
        <v>Cumulative Energy Demand (CED) - MJ</v>
      </c>
      <c r="M4504" s="154" t="str">
        <f t="shared" si="278"/>
        <v>Base_Base_Low_Upgraded_Cumulative Energy Demand (CED) - MJ_Wet Well and Sump Station; wastewater treatment unit; at updated plant - US_Without Amendment_Windrow</v>
      </c>
    </row>
    <row r="4505" spans="1:13" s="120" customFormat="1" x14ac:dyDescent="0.25">
      <c r="A4505" s="119"/>
      <c r="B4505" s="138" t="str">
        <f t="shared" si="276"/>
        <v>Windrow</v>
      </c>
      <c r="C4505" s="138" t="str">
        <f t="shared" si="273"/>
        <v>Without Amendment</v>
      </c>
      <c r="D4505" s="138" t="str">
        <f t="shared" si="274"/>
        <v>Base_Low</v>
      </c>
      <c r="E4505" s="138" t="str">
        <f t="shared" si="268"/>
        <v>Base</v>
      </c>
      <c r="F4505" s="138" t="str">
        <f t="shared" si="277"/>
        <v>Upgraded</v>
      </c>
      <c r="G4505" s="153"/>
      <c r="H4505" s="210">
        <v>2.3099999999999999E-2</v>
      </c>
      <c r="I4505" s="160" t="s">
        <v>57</v>
      </c>
      <c r="J4505" s="160">
        <v>0.33404</v>
      </c>
      <c r="K4505" s="160" t="s">
        <v>15</v>
      </c>
      <c r="L4505" s="154" t="str">
        <f>IF(OpenLCAbasic!K4505="CTUh", "Fill in Manually",IF(OR(K4505="Unit", K4505=""), "", INDEX(LookUps!$E$5:$E$12, MATCH(OpenLCAbasic!K4505,LookUps!$D$5:$D$12,0))))</f>
        <v>Cumulative Energy Demand (CED) - MJ</v>
      </c>
      <c r="M4505" s="154" t="str">
        <f t="shared" si="278"/>
        <v>Base_Base_Low_Upgraded_Cumulative Energy Demand (CED) - MJ_Gravity Belt Thickener; wastewater treatment unit; at updated plant - US_Without Amendment_Windrow</v>
      </c>
    </row>
    <row r="4506" spans="1:13" s="120" customFormat="1" x14ac:dyDescent="0.25">
      <c r="A4506" s="119"/>
      <c r="B4506" s="138" t="str">
        <f t="shared" si="276"/>
        <v>Windrow</v>
      </c>
      <c r="C4506" s="138" t="str">
        <f t="shared" si="273"/>
        <v>Without Amendment</v>
      </c>
      <c r="D4506" s="138" t="str">
        <f t="shared" si="274"/>
        <v>Base_Low</v>
      </c>
      <c r="E4506" s="138" t="str">
        <f t="shared" si="268"/>
        <v>Base</v>
      </c>
      <c r="F4506" s="138" t="str">
        <f t="shared" si="277"/>
        <v>Upgraded</v>
      </c>
      <c r="G4506" s="153"/>
      <c r="H4506" s="210">
        <v>2.2200000000000001E-2</v>
      </c>
      <c r="I4506" s="160" t="s">
        <v>60</v>
      </c>
      <c r="J4506" s="160">
        <v>0.32008999999999999</v>
      </c>
      <c r="K4506" s="160" t="s">
        <v>15</v>
      </c>
      <c r="L4506" s="154" t="str">
        <f>IF(OpenLCAbasic!K4506="CTUh", "Fill in Manually",IF(OR(K4506="Unit", K4506=""), "", INDEX(LookUps!$E$5:$E$12, MATCH(OpenLCAbasic!K4506,LookUps!$D$5:$D$12,0))))</f>
        <v>Cumulative Energy Demand (CED) - MJ</v>
      </c>
      <c r="M4506" s="154" t="str">
        <f t="shared" si="278"/>
        <v>Base_Base_Low_Upgraded_Cumulative Energy Demand (CED) - MJ_Belt filter press; wastewater treatment unit; at updated plant - US_Without Amendment_Windrow</v>
      </c>
    </row>
    <row r="4507" spans="1:13" s="120" customFormat="1" x14ac:dyDescent="0.25">
      <c r="A4507" s="119"/>
      <c r="B4507" s="138" t="str">
        <f t="shared" si="276"/>
        <v>Windrow</v>
      </c>
      <c r="C4507" s="138" t="str">
        <f t="shared" si="273"/>
        <v>Without Amendment</v>
      </c>
      <c r="D4507" s="138" t="str">
        <f t="shared" si="274"/>
        <v>Base_Low</v>
      </c>
      <c r="E4507" s="138" t="str">
        <f t="shared" si="268"/>
        <v>Base</v>
      </c>
      <c r="F4507" s="138" t="str">
        <f t="shared" si="277"/>
        <v>Upgraded</v>
      </c>
      <c r="G4507" s="153"/>
      <c r="H4507" s="210">
        <v>1.77E-2</v>
      </c>
      <c r="I4507" s="160" t="s">
        <v>128</v>
      </c>
      <c r="J4507" s="160">
        <v>0.25606000000000001</v>
      </c>
      <c r="K4507" s="160" t="s">
        <v>15</v>
      </c>
      <c r="L4507" s="154" t="str">
        <f>IF(OpenLCAbasic!K4507="CTUh", "Fill in Manually",IF(OR(K4507="Unit", K4507=""), "", INDEX(LookUps!$E$5:$E$12, MATCH(OpenLCAbasic!K4507,LookUps!$D$5:$D$12,0))))</f>
        <v>Cumulative Energy Demand (CED) - MJ</v>
      </c>
      <c r="M4507" s="154" t="str">
        <f t="shared" si="278"/>
        <v>Base_Base_Low_Upgraded_Cumulative Energy Demand (CED) - MJ_Wastewater collection; operation and infrastructure; m3 wastewater_Without Amendment_Windrow</v>
      </c>
    </row>
    <row r="4508" spans="1:13" s="120" customFormat="1" x14ac:dyDescent="0.25">
      <c r="A4508" s="119"/>
      <c r="B4508" s="138" t="str">
        <f t="shared" si="276"/>
        <v>Windrow</v>
      </c>
      <c r="C4508" s="138" t="str">
        <f t="shared" si="273"/>
        <v>Without Amendment</v>
      </c>
      <c r="D4508" s="138" t="str">
        <f t="shared" si="274"/>
        <v>Base_Low</v>
      </c>
      <c r="E4508" s="138" t="str">
        <f t="shared" si="268"/>
        <v>Base</v>
      </c>
      <c r="F4508" s="138" t="str">
        <f t="shared" si="277"/>
        <v>Upgraded</v>
      </c>
      <c r="G4508" s="153"/>
      <c r="H4508" s="210">
        <v>1.01E-2</v>
      </c>
      <c r="I4508" s="160" t="s">
        <v>148</v>
      </c>
      <c r="J4508" s="160">
        <v>0.14599000000000001</v>
      </c>
      <c r="K4508" s="160" t="s">
        <v>15</v>
      </c>
      <c r="L4508" s="154" t="str">
        <f>IF(OpenLCAbasic!K4508="CTUh", "Fill in Manually",IF(OR(K4508="Unit", K4508=""), "", INDEX(LookUps!$E$5:$E$12, MATCH(OpenLCAbasic!K4508,LookUps!$D$5:$D$12,0))))</f>
        <v>Cumulative Energy Demand (CED) - MJ</v>
      </c>
      <c r="M4508" s="154" t="str">
        <f t="shared" si="278"/>
        <v>Base_Base_Low_Upgraded_Cumulative Energy Demand (CED) - MJ_Control Building; at upgraded wastewater treatment plant - US_Without Amendment_Windrow</v>
      </c>
    </row>
    <row r="4509" spans="1:13" s="120" customFormat="1" x14ac:dyDescent="0.25">
      <c r="A4509" s="119"/>
      <c r="B4509" s="138" t="str">
        <f t="shared" si="276"/>
        <v>Windrow</v>
      </c>
      <c r="C4509" s="138" t="str">
        <f t="shared" si="273"/>
        <v>Without Amendment</v>
      </c>
      <c r="D4509" s="138" t="str">
        <f t="shared" si="274"/>
        <v>Base_Low</v>
      </c>
      <c r="E4509" s="138" t="str">
        <f t="shared" si="268"/>
        <v>Base</v>
      </c>
      <c r="F4509" s="138" t="str">
        <f t="shared" si="277"/>
        <v>Upgraded</v>
      </c>
      <c r="G4509" s="153"/>
      <c r="H4509" s="210">
        <v>9.1999999999999998E-3</v>
      </c>
      <c r="I4509" s="160" t="s">
        <v>48</v>
      </c>
      <c r="J4509" s="160">
        <v>0.13321</v>
      </c>
      <c r="K4509" s="160" t="s">
        <v>15</v>
      </c>
      <c r="L4509" s="154" t="str">
        <f>IF(OpenLCAbasic!K4509="CTUh", "Fill in Manually",IF(OR(K4509="Unit", K4509=""), "", INDEX(LookUps!$E$5:$E$12, MATCH(OpenLCAbasic!K4509,LookUps!$D$5:$D$12,0))))</f>
        <v>Cumulative Energy Demand (CED) - MJ</v>
      </c>
      <c r="M4509" s="154" t="str">
        <f t="shared" si="278"/>
        <v>Base_Base_Low_Upgraded_Cumulative Energy Demand (CED) - MJ_Effluent release; wastewater treatment unit; at surface water; m3 wastewater - US_Without Amendment_Windrow</v>
      </c>
    </row>
    <row r="4510" spans="1:13" s="120" customFormat="1" x14ac:dyDescent="0.25">
      <c r="A4510" s="119"/>
      <c r="B4510" s="138" t="str">
        <f t="shared" si="276"/>
        <v>Windrow</v>
      </c>
      <c r="C4510" s="138" t="str">
        <f t="shared" si="273"/>
        <v>Without Amendment</v>
      </c>
      <c r="D4510" s="138" t="str">
        <f t="shared" si="274"/>
        <v>Base_Low</v>
      </c>
      <c r="E4510" s="138" t="str">
        <f t="shared" si="268"/>
        <v>Base</v>
      </c>
      <c r="F4510" s="138" t="str">
        <f t="shared" si="277"/>
        <v>Upgraded</v>
      </c>
      <c r="G4510" s="153"/>
      <c r="H4510" s="210">
        <v>7.4000000000000003E-3</v>
      </c>
      <c r="I4510" s="160" t="s">
        <v>59</v>
      </c>
      <c r="J4510" s="160">
        <v>0.10638</v>
      </c>
      <c r="K4510" s="160" t="s">
        <v>15</v>
      </c>
      <c r="L4510" s="154" t="str">
        <f>IF(OpenLCAbasic!K4510="CTUh", "Fill in Manually",IF(OR(K4510="Unit", K4510=""), "", INDEX(LookUps!$E$5:$E$12, MATCH(OpenLCAbasic!K4510,LookUps!$D$5:$D$12,0))))</f>
        <v>Cumulative Energy Demand (CED) - MJ</v>
      </c>
      <c r="M4510" s="154" t="str">
        <f t="shared" si="278"/>
        <v>Base_Base_Low_Upgraded_Cumulative Energy Demand (CED) - MJ_Blend Tank; wastewater treatment unit; at updated plant - US_Without Amendment_Windrow</v>
      </c>
    </row>
    <row r="4511" spans="1:13" s="120" customFormat="1" x14ac:dyDescent="0.25">
      <c r="A4511" s="119"/>
      <c r="B4511" s="138" t="str">
        <f t="shared" si="276"/>
        <v>Windrow</v>
      </c>
      <c r="C4511" s="138" t="str">
        <f t="shared" si="273"/>
        <v>Without Amendment</v>
      </c>
      <c r="D4511" s="138" t="str">
        <f t="shared" si="274"/>
        <v>Base_Low</v>
      </c>
      <c r="E4511" s="138" t="str">
        <f t="shared" si="268"/>
        <v>Base</v>
      </c>
      <c r="F4511" s="138" t="str">
        <f t="shared" si="277"/>
        <v>Upgraded</v>
      </c>
      <c r="G4511" s="153"/>
      <c r="H4511" s="210">
        <v>3.5000000000000001E-3</v>
      </c>
      <c r="I4511" s="160" t="s">
        <v>168</v>
      </c>
      <c r="J4511" s="160">
        <v>5.0930000000000003E-2</v>
      </c>
      <c r="K4511" s="160" t="s">
        <v>15</v>
      </c>
      <c r="L4511" s="154" t="str">
        <f>IF(OpenLCAbasic!K4511="CTUh", "Fill in Manually",IF(OR(K4511="Unit", K4511=""), "", INDEX(LookUps!$E$5:$E$12, MATCH(OpenLCAbasic!K4511,LookUps!$D$5:$D$12,0))))</f>
        <v>Cumulative Energy Demand (CED) - MJ</v>
      </c>
      <c r="M4511" s="154" t="str">
        <f t="shared" si="278"/>
        <v>Base_Base_Low_Upgraded_Cumulative Energy Demand (CED) - MJ_ClearCove SCP; wastewater treatment unit; at updated plant - US_Without Amendment_Windrow</v>
      </c>
    </row>
    <row r="4512" spans="1:13" s="120" customFormat="1" x14ac:dyDescent="0.25">
      <c r="A4512" s="119"/>
      <c r="B4512" s="138" t="str">
        <f t="shared" si="276"/>
        <v>Windrow</v>
      </c>
      <c r="C4512" s="138" t="str">
        <f t="shared" si="273"/>
        <v>Without Amendment</v>
      </c>
      <c r="D4512" s="138" t="str">
        <f t="shared" si="274"/>
        <v>Base_Low</v>
      </c>
      <c r="E4512" s="138" t="str">
        <f t="shared" si="268"/>
        <v>Base</v>
      </c>
      <c r="F4512" s="138" t="str">
        <f t="shared" si="277"/>
        <v>Upgraded</v>
      </c>
      <c r="G4512" s="153"/>
      <c r="H4512" s="210">
        <v>1.4E-3</v>
      </c>
      <c r="I4512" s="160" t="s">
        <v>271</v>
      </c>
      <c r="J4512" s="160">
        <v>2.094E-2</v>
      </c>
      <c r="K4512" s="160" t="s">
        <v>15</v>
      </c>
      <c r="L4512" s="154" t="str">
        <f>IF(OpenLCAbasic!K4512="CTUh", "Fill in Manually",IF(OR(K4512="Unit", K4512=""), "", INDEX(LookUps!$E$5:$E$12, MATCH(OpenLCAbasic!K4512,LookUps!$D$5:$D$12,0))))</f>
        <v>Cumulative Energy Demand (CED) - MJ</v>
      </c>
      <c r="M4512" s="154" t="str">
        <f t="shared" si="278"/>
        <v>Base_Base_Low_Upgraded_Cumulative Energy Demand (CED) - MJ_Biosolids composting; windrow composting; wastewater treatment unit; at updated plant - US_Without Amendment_Windrow</v>
      </c>
    </row>
    <row r="4513" spans="1:13" s="120" customFormat="1" x14ac:dyDescent="0.25">
      <c r="A4513" s="119"/>
      <c r="B4513" s="138" t="str">
        <f t="shared" si="276"/>
        <v>Windrow</v>
      </c>
      <c r="C4513" s="138" t="str">
        <f t="shared" si="273"/>
        <v>Without Amendment</v>
      </c>
      <c r="D4513" s="138" t="str">
        <f t="shared" si="274"/>
        <v>Base_Low</v>
      </c>
      <c r="E4513" s="138" t="str">
        <f t="shared" si="268"/>
        <v>Base</v>
      </c>
      <c r="F4513" s="138" t="str">
        <f t="shared" si="277"/>
        <v>Upgraded</v>
      </c>
      <c r="G4513" s="153"/>
      <c r="H4513" s="210">
        <v>-2.18E-2</v>
      </c>
      <c r="I4513" s="160" t="s">
        <v>62</v>
      </c>
      <c r="J4513" s="160">
        <v>-0.31424999999999997</v>
      </c>
      <c r="K4513" s="160" t="s">
        <v>15</v>
      </c>
      <c r="L4513" s="154" t="str">
        <f>IF(OpenLCAbasic!K4513="CTUh", "Fill in Manually",IF(OR(K4513="Unit", K4513=""), "", INDEX(LookUps!$E$5:$E$12, MATCH(OpenLCAbasic!K4513,LookUps!$D$5:$D$12,0))))</f>
        <v>Cumulative Energy Demand (CED) - MJ</v>
      </c>
      <c r="M4513" s="154" t="str">
        <f t="shared" si="278"/>
        <v>Base_Base_Low_Upgraded_Cumulative Energy Demand (CED) - MJ_Land application of compost; wastewater treatment unit; at updated plant - US_Without Amendment_Windrow</v>
      </c>
    </row>
    <row r="4514" spans="1:13" s="120" customFormat="1" x14ac:dyDescent="0.25">
      <c r="A4514" s="119"/>
      <c r="B4514" s="138" t="str">
        <f t="shared" si="276"/>
        <v/>
      </c>
      <c r="C4514" s="138" t="str">
        <f t="shared" si="273"/>
        <v/>
      </c>
      <c r="D4514" s="138" t="str">
        <f t="shared" si="274"/>
        <v/>
      </c>
      <c r="E4514" s="138" t="str">
        <f t="shared" si="268"/>
        <v/>
      </c>
      <c r="F4514" s="138" t="str">
        <f t="shared" si="277"/>
        <v/>
      </c>
      <c r="G4514" s="153" t="s">
        <v>51</v>
      </c>
      <c r="H4514" s="160"/>
      <c r="I4514" s="160" t="s">
        <v>47</v>
      </c>
      <c r="J4514" s="160" t="s">
        <v>52</v>
      </c>
      <c r="K4514" s="160" t="s">
        <v>27</v>
      </c>
      <c r="L4514" s="154" t="str">
        <f>IF(OpenLCAbasic!K4514="CTUh", "Fill in Manually",IF(OR(K4514="Unit", K4514=""), "", INDEX(LookUps!$E$5:$E$12, MATCH(OpenLCAbasic!K4514,LookUps!$D$5:$D$12,0))))</f>
        <v/>
      </c>
      <c r="M4514" s="154" t="str">
        <f t="shared" si="278"/>
        <v>____Process__</v>
      </c>
    </row>
    <row r="4515" spans="1:13" s="120" customFormat="1" x14ac:dyDescent="0.25">
      <c r="A4515" s="119"/>
      <c r="B4515" s="138" t="str">
        <f t="shared" si="276"/>
        <v>Windrow</v>
      </c>
      <c r="C4515" s="138" t="str">
        <f t="shared" si="273"/>
        <v>Without Amendment</v>
      </c>
      <c r="D4515" s="138" t="str">
        <f t="shared" si="274"/>
        <v>Base_Low</v>
      </c>
      <c r="E4515" s="138" t="str">
        <f t="shared" si="268"/>
        <v>Base</v>
      </c>
      <c r="F4515" s="138" t="str">
        <f t="shared" si="277"/>
        <v>Upgraded</v>
      </c>
      <c r="G4515" s="153"/>
      <c r="H4515" s="210">
        <v>0.77390000000000003</v>
      </c>
      <c r="I4515" s="160" t="s">
        <v>48</v>
      </c>
      <c r="J4515" s="160">
        <v>1.1610000000000001E-2</v>
      </c>
      <c r="K4515" s="160" t="s">
        <v>13</v>
      </c>
      <c r="L4515" s="154" t="str">
        <f>IF(OpenLCAbasic!K4515="CTUh", "Fill in Manually",IF(OR(K4515="Unit", K4515=""), "", INDEX(LookUps!$E$5:$E$12, MATCH(OpenLCAbasic!K4515,LookUps!$D$5:$D$12,0))))</f>
        <v>Eutrophication Potential (EP) - kg N eq</v>
      </c>
      <c r="M4515" s="154" t="str">
        <f t="shared" si="278"/>
        <v>Base_Base_Low_Upgraded_Eutrophication Potential (EP) - kg N eq_Effluent release; wastewater treatment unit; at surface water; m3 wastewater - US_Without Amendment_Windrow</v>
      </c>
    </row>
    <row r="4516" spans="1:13" s="120" customFormat="1" x14ac:dyDescent="0.25">
      <c r="A4516" s="119"/>
      <c r="B4516" s="138" t="str">
        <f t="shared" si="276"/>
        <v>Windrow</v>
      </c>
      <c r="C4516" s="138" t="str">
        <f t="shared" si="273"/>
        <v>Without Amendment</v>
      </c>
      <c r="D4516" s="138" t="str">
        <f t="shared" si="274"/>
        <v>Base_Low</v>
      </c>
      <c r="E4516" s="138" t="str">
        <f t="shared" si="268"/>
        <v>Base</v>
      </c>
      <c r="F4516" s="138" t="str">
        <f t="shared" si="277"/>
        <v>Upgraded</v>
      </c>
      <c r="G4516" s="153"/>
      <c r="H4516" s="210">
        <v>9.5500000000000002E-2</v>
      </c>
      <c r="I4516" s="160" t="s">
        <v>62</v>
      </c>
      <c r="J4516" s="160">
        <v>1.4300000000000001E-3</v>
      </c>
      <c r="K4516" s="160" t="s">
        <v>13</v>
      </c>
      <c r="L4516" s="154" t="str">
        <f>IF(OpenLCAbasic!K4516="CTUh", "Fill in Manually",IF(OR(K4516="Unit", K4516=""), "", INDEX(LookUps!$E$5:$E$12, MATCH(OpenLCAbasic!K4516,LookUps!$D$5:$D$12,0))))</f>
        <v>Eutrophication Potential (EP) - kg N eq</v>
      </c>
      <c r="M4516" s="154" t="str">
        <f t="shared" si="278"/>
        <v>Base_Base_Low_Upgraded_Eutrophication Potential (EP) - kg N eq_Land application of compost; wastewater treatment unit; at updated plant - US_Without Amendment_Windrow</v>
      </c>
    </row>
    <row r="4517" spans="1:13" s="120" customFormat="1" x14ac:dyDescent="0.25">
      <c r="A4517" s="119"/>
      <c r="B4517" s="138" t="str">
        <f t="shared" si="276"/>
        <v>Windrow</v>
      </c>
      <c r="C4517" s="138" t="str">
        <f t="shared" si="273"/>
        <v>Without Amendment</v>
      </c>
      <c r="D4517" s="138" t="str">
        <f t="shared" si="274"/>
        <v>Base_Low</v>
      </c>
      <c r="E4517" s="138" t="str">
        <f t="shared" si="268"/>
        <v>Base</v>
      </c>
      <c r="F4517" s="138" t="str">
        <f t="shared" si="277"/>
        <v>Upgraded</v>
      </c>
      <c r="G4517" s="153"/>
      <c r="H4517" s="210">
        <v>3.6400000000000002E-2</v>
      </c>
      <c r="I4517" s="160" t="s">
        <v>55</v>
      </c>
      <c r="J4517" s="160">
        <v>5.5000000000000003E-4</v>
      </c>
      <c r="K4517" s="160" t="s">
        <v>13</v>
      </c>
      <c r="L4517" s="154" t="str">
        <f>IF(OpenLCAbasic!K4517="CTUh", "Fill in Manually",IF(OR(K4517="Unit", K4517=""), "", INDEX(LookUps!$E$5:$E$12, MATCH(OpenLCAbasic!K4517,LookUps!$D$5:$D$12,0))))</f>
        <v>Eutrophication Potential (EP) - kg N eq</v>
      </c>
      <c r="M4517" s="154" t="str">
        <f t="shared" si="278"/>
        <v>Base_Base_Low_Upgraded_Eutrophication Potential (EP) - kg N eq_Aeration Tanks; wastewater treatment unit; at updated plant - US_Without Amendment_Windrow</v>
      </c>
    </row>
    <row r="4518" spans="1:13" s="120" customFormat="1" x14ac:dyDescent="0.25">
      <c r="A4518" s="119"/>
      <c r="B4518" s="138" t="str">
        <f t="shared" si="276"/>
        <v>Windrow</v>
      </c>
      <c r="C4518" s="138" t="str">
        <f t="shared" si="273"/>
        <v>Without Amendment</v>
      </c>
      <c r="D4518" s="138" t="str">
        <f t="shared" si="274"/>
        <v>Base_Low</v>
      </c>
      <c r="E4518" s="138" t="str">
        <f t="shared" si="268"/>
        <v>Base</v>
      </c>
      <c r="F4518" s="138" t="str">
        <f t="shared" si="277"/>
        <v>Upgraded</v>
      </c>
      <c r="G4518" s="153"/>
      <c r="H4518" s="210">
        <v>1.67E-2</v>
      </c>
      <c r="I4518" s="160" t="s">
        <v>271</v>
      </c>
      <c r="J4518" s="160">
        <v>2.5000000000000001E-4</v>
      </c>
      <c r="K4518" s="160" t="s">
        <v>13</v>
      </c>
      <c r="L4518" s="154" t="str">
        <f>IF(OpenLCAbasic!K4518="CTUh", "Fill in Manually",IF(OR(K4518="Unit", K4518=""), "", INDEX(LookUps!$E$5:$E$12, MATCH(OpenLCAbasic!K4518,LookUps!$D$5:$D$12,0))))</f>
        <v>Eutrophication Potential (EP) - kg N eq</v>
      </c>
      <c r="M4518" s="154" t="str">
        <f t="shared" si="278"/>
        <v>Base_Base_Low_Upgraded_Eutrophication Potential (EP) - kg N eq_Biosolids composting; windrow composting; wastewater treatment unit; at updated plant - US_Without Amendment_Windrow</v>
      </c>
    </row>
    <row r="4519" spans="1:13" s="120" customFormat="1" x14ac:dyDescent="0.25">
      <c r="A4519" s="119"/>
      <c r="B4519" s="138" t="str">
        <f t="shared" si="276"/>
        <v>Windrow</v>
      </c>
      <c r="C4519" s="138" t="str">
        <f t="shared" si="273"/>
        <v>Without Amendment</v>
      </c>
      <c r="D4519" s="138" t="str">
        <f t="shared" si="274"/>
        <v>Base_Low</v>
      </c>
      <c r="E4519" s="138" t="str">
        <f t="shared" si="268"/>
        <v>Base</v>
      </c>
      <c r="F4519" s="138" t="str">
        <f t="shared" si="277"/>
        <v>Upgraded</v>
      </c>
      <c r="G4519" s="153"/>
      <c r="H4519" s="210">
        <v>1.66E-2</v>
      </c>
      <c r="I4519" s="160" t="s">
        <v>147</v>
      </c>
      <c r="J4519" s="160">
        <v>2.5000000000000001E-4</v>
      </c>
      <c r="K4519" s="160" t="s">
        <v>13</v>
      </c>
      <c r="L4519" s="154" t="str">
        <f>IF(OpenLCAbasic!K4519="CTUh", "Fill in Manually",IF(OR(K4519="Unit", K4519=""), "", INDEX(LookUps!$E$5:$E$12, MATCH(OpenLCAbasic!K4519,LookUps!$D$5:$D$12,0))))</f>
        <v>Eutrophication Potential (EP) - kg N eq</v>
      </c>
      <c r="M4519" s="154" t="str">
        <f t="shared" si="278"/>
        <v>Base_Base_Low_Upgraded_Eutrophication Potential (EP) - kg N eq_Influent Pump Station; wastewater treatment unit; at updated plant - US_Without Amendment_Windrow</v>
      </c>
    </row>
    <row r="4520" spans="1:13" s="120" customFormat="1" x14ac:dyDescent="0.25">
      <c r="A4520" s="119"/>
      <c r="B4520" s="138" t="str">
        <f t="shared" si="276"/>
        <v>Windrow</v>
      </c>
      <c r="C4520" s="138" t="str">
        <f t="shared" si="273"/>
        <v>Without Amendment</v>
      </c>
      <c r="D4520" s="138" t="str">
        <f t="shared" si="274"/>
        <v>Base_Low</v>
      </c>
      <c r="E4520" s="138" t="str">
        <f t="shared" si="268"/>
        <v>Base</v>
      </c>
      <c r="F4520" s="138" t="str">
        <f t="shared" si="277"/>
        <v>Upgraded</v>
      </c>
      <c r="G4520" s="153"/>
      <c r="H4520" s="210">
        <v>1.32E-2</v>
      </c>
      <c r="I4520" s="160" t="s">
        <v>54</v>
      </c>
      <c r="J4520" s="160">
        <v>2.0000000000000001E-4</v>
      </c>
      <c r="K4520" s="160" t="s">
        <v>13</v>
      </c>
      <c r="L4520" s="154" t="str">
        <f>IF(OpenLCAbasic!K4520="CTUh", "Fill in Manually",IF(OR(K4520="Unit", K4520=""), "", INDEX(LookUps!$E$5:$E$12, MATCH(OpenLCAbasic!K4520,LookUps!$D$5:$D$12,0))))</f>
        <v>Eutrophication Potential (EP) - kg N eq</v>
      </c>
      <c r="M4520" s="154" t="str">
        <f t="shared" si="278"/>
        <v>Base_Base_Low_Upgraded_Eutrophication Potential (EP) - kg N eq_Clear Cove Primary Clarification; wastewater treatment unit; at updated plant - US_Without Amendment_Windrow</v>
      </c>
    </row>
    <row r="4521" spans="1:13" s="120" customFormat="1" x14ac:dyDescent="0.25">
      <c r="A4521" s="119"/>
      <c r="B4521" s="138" t="str">
        <f t="shared" si="276"/>
        <v>Windrow</v>
      </c>
      <c r="C4521" s="138" t="str">
        <f t="shared" si="273"/>
        <v>Without Amendment</v>
      </c>
      <c r="D4521" s="138" t="str">
        <f t="shared" si="274"/>
        <v>Base_Low</v>
      </c>
      <c r="E4521" s="138" t="str">
        <f t="shared" si="268"/>
        <v>Base</v>
      </c>
      <c r="F4521" s="138" t="str">
        <f t="shared" si="277"/>
        <v>Upgraded</v>
      </c>
      <c r="G4521" s="153"/>
      <c r="H4521" s="210">
        <v>1.09E-2</v>
      </c>
      <c r="I4521" s="160" t="s">
        <v>167</v>
      </c>
      <c r="J4521" s="160">
        <v>1.6000000000000001E-4</v>
      </c>
      <c r="K4521" s="160" t="s">
        <v>13</v>
      </c>
      <c r="L4521" s="154" t="str">
        <f>IF(OpenLCAbasic!K4521="CTUh", "Fill in Manually",IF(OR(K4521="Unit", K4521=""), "", INDEX(LookUps!$E$5:$E$12, MATCH(OpenLCAbasic!K4521,LookUps!$D$5:$D$12,0))))</f>
        <v>Eutrophication Potential (EP) - kg N eq</v>
      </c>
      <c r="M4521" s="154" t="str">
        <f t="shared" si="278"/>
        <v>Base_Base_Low_Upgraded_Eutrophication Potential (EP) - kg N eq_Waste Receiving and Holding; wastewater treatment unit; at updated plant - US_Without Amendment_Windrow</v>
      </c>
    </row>
    <row r="4522" spans="1:13" s="120" customFormat="1" x14ac:dyDescent="0.25">
      <c r="A4522" s="119"/>
      <c r="B4522" s="138" t="str">
        <f t="shared" si="276"/>
        <v>Windrow</v>
      </c>
      <c r="C4522" s="138" t="str">
        <f t="shared" si="273"/>
        <v>Without Amendment</v>
      </c>
      <c r="D4522" s="138" t="str">
        <f t="shared" si="274"/>
        <v>Base_Low</v>
      </c>
      <c r="E4522" s="138" t="str">
        <f t="shared" si="268"/>
        <v>Base</v>
      </c>
      <c r="F4522" s="138" t="str">
        <f t="shared" si="277"/>
        <v>Upgraded</v>
      </c>
      <c r="G4522" s="153"/>
      <c r="H4522" s="210">
        <v>8.9999999999999993E-3</v>
      </c>
      <c r="I4522" s="160" t="s">
        <v>58</v>
      </c>
      <c r="J4522" s="160">
        <v>1.3999999999999999E-4</v>
      </c>
      <c r="K4522" s="160" t="s">
        <v>13</v>
      </c>
      <c r="L4522" s="154" t="str">
        <f>IF(OpenLCAbasic!K4522="CTUh", "Fill in Manually",IF(OR(K4522="Unit", K4522=""), "", INDEX(LookUps!$E$5:$E$12, MATCH(OpenLCAbasic!K4522,LookUps!$D$5:$D$12,0))))</f>
        <v>Eutrophication Potential (EP) - kg N eq</v>
      </c>
      <c r="M4522" s="154" t="str">
        <f t="shared" si="278"/>
        <v>Base_Base_Low_Upgraded_Eutrophication Potential (EP) - kg N eq_Pre-Anoxic &amp; Swing tank; wastewater treatment unit; at updated plant - US_Without Amendment_Windrow</v>
      </c>
    </row>
    <row r="4523" spans="1:13" s="120" customFormat="1" x14ac:dyDescent="0.25">
      <c r="A4523" s="119"/>
      <c r="B4523" s="138" t="str">
        <f t="shared" si="276"/>
        <v>Windrow</v>
      </c>
      <c r="C4523" s="138" t="str">
        <f t="shared" si="273"/>
        <v>Without Amendment</v>
      </c>
      <c r="D4523" s="138" t="str">
        <f t="shared" si="274"/>
        <v>Base_Low</v>
      </c>
      <c r="E4523" s="138" t="str">
        <f t="shared" si="268"/>
        <v>Base</v>
      </c>
      <c r="F4523" s="138" t="str">
        <f t="shared" si="277"/>
        <v>Upgraded</v>
      </c>
      <c r="G4523" s="153"/>
      <c r="H4523" s="210">
        <v>7.1999999999999998E-3</v>
      </c>
      <c r="I4523" s="160" t="s">
        <v>53</v>
      </c>
      <c r="J4523" s="160">
        <v>1.1E-4</v>
      </c>
      <c r="K4523" s="160" t="s">
        <v>13</v>
      </c>
      <c r="L4523" s="154" t="str">
        <f>IF(OpenLCAbasic!K4523="CTUh", "Fill in Manually",IF(OR(K4523="Unit", K4523=""), "", INDEX(LookUps!$E$5:$E$12, MATCH(OpenLCAbasic!K4523,LookUps!$D$5:$D$12,0))))</f>
        <v>Eutrophication Potential (EP) - kg N eq</v>
      </c>
      <c r="M4523" s="154" t="str">
        <f t="shared" si="278"/>
        <v>Base_Base_Low_Upgraded_Eutrophication Potential (EP) - kg N eq_Wet Well and Sump Station; wastewater treatment unit; at updated plant - US_Without Amendment_Windrow</v>
      </c>
    </row>
    <row r="4524" spans="1:13" s="120" customFormat="1" x14ac:dyDescent="0.25">
      <c r="A4524" s="119"/>
      <c r="B4524" s="138" t="str">
        <f t="shared" si="276"/>
        <v>Windrow</v>
      </c>
      <c r="C4524" s="138" t="str">
        <f t="shared" si="273"/>
        <v>Without Amendment</v>
      </c>
      <c r="D4524" s="138" t="str">
        <f t="shared" si="274"/>
        <v>Base_Low</v>
      </c>
      <c r="E4524" s="138" t="str">
        <f t="shared" si="268"/>
        <v>Base</v>
      </c>
      <c r="F4524" s="138" t="str">
        <f t="shared" si="277"/>
        <v>Upgraded</v>
      </c>
      <c r="G4524" s="153"/>
      <c r="H4524" s="210">
        <v>6.1000000000000004E-3</v>
      </c>
      <c r="I4524" s="160" t="s">
        <v>149</v>
      </c>
      <c r="J4524" s="211">
        <v>9.1798299999999998E-5</v>
      </c>
      <c r="K4524" s="160" t="s">
        <v>13</v>
      </c>
      <c r="L4524" s="154" t="str">
        <f>IF(OpenLCAbasic!K4524="CTUh", "Fill in Manually",IF(OR(K4524="Unit", K4524=""), "", INDEX(LookUps!$E$5:$E$12, MATCH(OpenLCAbasic!K4524,LookUps!$D$5:$D$12,0))))</f>
        <v>Eutrophication Potential (EP) - kg N eq</v>
      </c>
      <c r="M4524" s="154" t="str">
        <f t="shared" si="278"/>
        <v>Base_Base_Low_Upgraded_Eutrophication Potential (EP) - kg N eq_Anaerobic Digestion; wastewater treatment unit; at updated plant - US_Without Amendment_Windrow</v>
      </c>
    </row>
    <row r="4525" spans="1:13" s="120" customFormat="1" x14ac:dyDescent="0.25">
      <c r="A4525" s="119"/>
      <c r="B4525" s="138" t="str">
        <f t="shared" si="276"/>
        <v>Windrow</v>
      </c>
      <c r="C4525" s="138" t="str">
        <f t="shared" si="273"/>
        <v>Without Amendment</v>
      </c>
      <c r="D4525" s="138" t="str">
        <f t="shared" si="274"/>
        <v>Base_Low</v>
      </c>
      <c r="E4525" s="138" t="str">
        <f t="shared" si="268"/>
        <v>Base</v>
      </c>
      <c r="F4525" s="138" t="str">
        <f t="shared" si="277"/>
        <v>Upgraded</v>
      </c>
      <c r="G4525" s="153"/>
      <c r="H4525" s="210">
        <v>4.0000000000000001E-3</v>
      </c>
      <c r="I4525" s="160" t="s">
        <v>57</v>
      </c>
      <c r="J4525" s="211">
        <v>6.0590300000000002E-5</v>
      </c>
      <c r="K4525" s="160" t="s">
        <v>13</v>
      </c>
      <c r="L4525" s="154" t="str">
        <f>IF(OpenLCAbasic!K4525="CTUh", "Fill in Manually",IF(OR(K4525="Unit", K4525=""), "", INDEX(LookUps!$E$5:$E$12, MATCH(OpenLCAbasic!K4525,LookUps!$D$5:$D$12,0))))</f>
        <v>Eutrophication Potential (EP) - kg N eq</v>
      </c>
      <c r="M4525" s="154" t="str">
        <f t="shared" si="278"/>
        <v>Base_Base_Low_Upgraded_Eutrophication Potential (EP) - kg N eq_Gravity Belt Thickener; wastewater treatment unit; at updated plant - US_Without Amendment_Windrow</v>
      </c>
    </row>
    <row r="4526" spans="1:13" s="120" customFormat="1" x14ac:dyDescent="0.25">
      <c r="A4526" s="119"/>
      <c r="B4526" s="138" t="str">
        <f t="shared" si="276"/>
        <v>Windrow</v>
      </c>
      <c r="C4526" s="138" t="str">
        <f t="shared" si="273"/>
        <v>Without Amendment</v>
      </c>
      <c r="D4526" s="138" t="str">
        <f t="shared" si="274"/>
        <v>Base_Low</v>
      </c>
      <c r="E4526" s="138" t="str">
        <f t="shared" si="268"/>
        <v>Base</v>
      </c>
      <c r="F4526" s="138" t="str">
        <f t="shared" si="277"/>
        <v>Upgraded</v>
      </c>
      <c r="G4526" s="153"/>
      <c r="H4526" s="210">
        <v>3.7000000000000002E-3</v>
      </c>
      <c r="I4526" s="160" t="s">
        <v>60</v>
      </c>
      <c r="J4526" s="211">
        <v>5.62289E-5</v>
      </c>
      <c r="K4526" s="160" t="s">
        <v>13</v>
      </c>
      <c r="L4526" s="154" t="str">
        <f>IF(OpenLCAbasic!K4526="CTUh", "Fill in Manually",IF(OR(K4526="Unit", K4526=""), "", INDEX(LookUps!$E$5:$E$12, MATCH(OpenLCAbasic!K4526,LookUps!$D$5:$D$12,0))))</f>
        <v>Eutrophication Potential (EP) - kg N eq</v>
      </c>
      <c r="M4526" s="154" t="str">
        <f t="shared" si="278"/>
        <v>Base_Base_Low_Upgraded_Eutrophication Potential (EP) - kg N eq_Belt filter press; wastewater treatment unit; at updated plant - US_Without Amendment_Windrow</v>
      </c>
    </row>
    <row r="4527" spans="1:13" s="120" customFormat="1" x14ac:dyDescent="0.25">
      <c r="A4527" s="119"/>
      <c r="B4527" s="138" t="str">
        <f t="shared" si="276"/>
        <v>Windrow</v>
      </c>
      <c r="C4527" s="138" t="str">
        <f t="shared" si="273"/>
        <v>Without Amendment</v>
      </c>
      <c r="D4527" s="138" t="str">
        <f t="shared" si="274"/>
        <v>Base_Low</v>
      </c>
      <c r="E4527" s="138" t="str">
        <f t="shared" si="268"/>
        <v>Base</v>
      </c>
      <c r="F4527" s="138" t="str">
        <f t="shared" si="277"/>
        <v>Upgraded</v>
      </c>
      <c r="G4527" s="153"/>
      <c r="H4527" s="210">
        <v>2.5000000000000001E-3</v>
      </c>
      <c r="I4527" s="160" t="s">
        <v>128</v>
      </c>
      <c r="J4527" s="211">
        <v>3.7559799999999999E-5</v>
      </c>
      <c r="K4527" s="160" t="s">
        <v>13</v>
      </c>
      <c r="L4527" s="154" t="str">
        <f>IF(OpenLCAbasic!K4527="CTUh", "Fill in Manually",IF(OR(K4527="Unit", K4527=""), "", INDEX(LookUps!$E$5:$E$12, MATCH(OpenLCAbasic!K4527,LookUps!$D$5:$D$12,0))))</f>
        <v>Eutrophication Potential (EP) - kg N eq</v>
      </c>
      <c r="M4527" s="154" t="str">
        <f t="shared" si="278"/>
        <v>Base_Base_Low_Upgraded_Eutrophication Potential (EP) - kg N eq_Wastewater collection; operation and infrastructure; m3 wastewater_Without Amendment_Windrow</v>
      </c>
    </row>
    <row r="4528" spans="1:13" s="120" customFormat="1" x14ac:dyDescent="0.25">
      <c r="A4528" s="119"/>
      <c r="B4528" s="138" t="str">
        <f t="shared" si="276"/>
        <v>Windrow</v>
      </c>
      <c r="C4528" s="138" t="str">
        <f t="shared" si="273"/>
        <v>Without Amendment</v>
      </c>
      <c r="D4528" s="138" t="str">
        <f t="shared" si="274"/>
        <v>Base_Low</v>
      </c>
      <c r="E4528" s="138" t="str">
        <f t="shared" si="268"/>
        <v>Base</v>
      </c>
      <c r="F4528" s="138" t="str">
        <f t="shared" si="277"/>
        <v>Upgraded</v>
      </c>
      <c r="G4528" s="153"/>
      <c r="H4528" s="210">
        <v>2.5000000000000001E-3</v>
      </c>
      <c r="I4528" s="160" t="s">
        <v>148</v>
      </c>
      <c r="J4528" s="211">
        <v>3.6874600000000001E-5</v>
      </c>
      <c r="K4528" s="160" t="s">
        <v>13</v>
      </c>
      <c r="L4528" s="154" t="str">
        <f>IF(OpenLCAbasic!K4528="CTUh", "Fill in Manually",IF(OR(K4528="Unit", K4528=""), "", INDEX(LookUps!$E$5:$E$12, MATCH(OpenLCAbasic!K4528,LookUps!$D$5:$D$12,0))))</f>
        <v>Eutrophication Potential (EP) - kg N eq</v>
      </c>
      <c r="M4528" s="154" t="str">
        <f t="shared" si="278"/>
        <v>Base_Base_Low_Upgraded_Eutrophication Potential (EP) - kg N eq_Control Building; at upgraded wastewater treatment plant - US_Without Amendment_Windrow</v>
      </c>
    </row>
    <row r="4529" spans="1:13" s="120" customFormat="1" x14ac:dyDescent="0.25">
      <c r="A4529" s="119"/>
      <c r="B4529" s="138" t="str">
        <f t="shared" si="276"/>
        <v>Windrow</v>
      </c>
      <c r="C4529" s="138" t="str">
        <f t="shared" si="273"/>
        <v>Without Amendment</v>
      </c>
      <c r="D4529" s="138" t="str">
        <f t="shared" si="274"/>
        <v>Base_Low</v>
      </c>
      <c r="E4529" s="138" t="str">
        <f t="shared" ref="E4529:E4592" si="279">IF(ISNUMBER($J4529),"Base","")</f>
        <v>Base</v>
      </c>
      <c r="F4529" s="138" t="str">
        <f t="shared" si="277"/>
        <v>Upgraded</v>
      </c>
      <c r="G4529" s="153"/>
      <c r="H4529" s="210">
        <v>1.1000000000000001E-3</v>
      </c>
      <c r="I4529" s="160" t="s">
        <v>59</v>
      </c>
      <c r="J4529" s="211">
        <v>1.6215700000000001E-5</v>
      </c>
      <c r="K4529" s="160" t="s">
        <v>13</v>
      </c>
      <c r="L4529" s="154" t="str">
        <f>IF(OpenLCAbasic!K4529="CTUh", "Fill in Manually",IF(OR(K4529="Unit", K4529=""), "", INDEX(LookUps!$E$5:$E$12, MATCH(OpenLCAbasic!K4529,LookUps!$D$5:$D$12,0))))</f>
        <v>Eutrophication Potential (EP) - kg N eq</v>
      </c>
      <c r="M4529" s="154" t="str">
        <f t="shared" si="278"/>
        <v>Base_Base_Low_Upgraded_Eutrophication Potential (EP) - kg N eq_Blend Tank; wastewater treatment unit; at updated plant - US_Without Amendment_Windrow</v>
      </c>
    </row>
    <row r="4530" spans="1:13" s="120" customFormat="1" x14ac:dyDescent="0.25">
      <c r="A4530" s="119"/>
      <c r="B4530" s="138" t="str">
        <f t="shared" si="276"/>
        <v>Windrow</v>
      </c>
      <c r="C4530" s="138" t="str">
        <f t="shared" si="273"/>
        <v>Without Amendment</v>
      </c>
      <c r="D4530" s="138" t="str">
        <f t="shared" si="274"/>
        <v>Base_Low</v>
      </c>
      <c r="E4530" s="138" t="str">
        <f t="shared" si="279"/>
        <v>Base</v>
      </c>
      <c r="F4530" s="138" t="str">
        <f t="shared" si="277"/>
        <v>Upgraded</v>
      </c>
      <c r="G4530" s="153"/>
      <c r="H4530" s="210">
        <v>5.0000000000000001E-4</v>
      </c>
      <c r="I4530" s="160" t="s">
        <v>168</v>
      </c>
      <c r="J4530" s="211">
        <v>7.7567199999999995E-6</v>
      </c>
      <c r="K4530" s="160" t="s">
        <v>13</v>
      </c>
      <c r="L4530" s="154" t="str">
        <f>IF(OpenLCAbasic!K4530="CTUh", "Fill in Manually",IF(OR(K4530="Unit", K4530=""), "", INDEX(LookUps!$E$5:$E$12, MATCH(OpenLCAbasic!K4530,LookUps!$D$5:$D$12,0))))</f>
        <v>Eutrophication Potential (EP) - kg N eq</v>
      </c>
      <c r="M4530" s="154" t="str">
        <f t="shared" si="278"/>
        <v>Base_Base_Low_Upgraded_Eutrophication Potential (EP) - kg N eq_ClearCove SCP; wastewater treatment unit; at updated plant - US_Without Amendment_Windrow</v>
      </c>
    </row>
    <row r="4531" spans="1:13" s="120" customFormat="1" x14ac:dyDescent="0.25">
      <c r="A4531" s="119"/>
      <c r="B4531" s="138" t="str">
        <f t="shared" si="276"/>
        <v/>
      </c>
      <c r="C4531" s="138" t="str">
        <f t="shared" si="273"/>
        <v/>
      </c>
      <c r="D4531" s="138" t="str">
        <f t="shared" si="274"/>
        <v/>
      </c>
      <c r="E4531" s="138" t="str">
        <f t="shared" si="279"/>
        <v/>
      </c>
      <c r="F4531" s="138" t="str">
        <f t="shared" si="277"/>
        <v/>
      </c>
      <c r="G4531" s="153" t="s">
        <v>51</v>
      </c>
      <c r="H4531" s="160"/>
      <c r="I4531" s="160" t="s">
        <v>47</v>
      </c>
      <c r="J4531" s="160" t="s">
        <v>52</v>
      </c>
      <c r="K4531" s="160" t="s">
        <v>27</v>
      </c>
      <c r="L4531" s="154" t="str">
        <f>IF(OpenLCAbasic!K4531="CTUh", "Fill in Manually",IF(OR(K4531="Unit", K4531=""), "", INDEX(LookUps!$E$5:$E$12, MATCH(OpenLCAbasic!K4531,LookUps!$D$5:$D$12,0))))</f>
        <v/>
      </c>
      <c r="M4531" s="154" t="str">
        <f t="shared" si="278"/>
        <v>____Process__</v>
      </c>
    </row>
    <row r="4532" spans="1:13" s="120" customFormat="1" x14ac:dyDescent="0.25">
      <c r="A4532" s="119"/>
      <c r="B4532" s="138" t="str">
        <f t="shared" si="276"/>
        <v>Windrow</v>
      </c>
      <c r="C4532" s="138" t="str">
        <f t="shared" si="273"/>
        <v>Without Amendment</v>
      </c>
      <c r="D4532" s="138" t="str">
        <f t="shared" si="274"/>
        <v>Base_Low</v>
      </c>
      <c r="E4532" s="138" t="str">
        <f t="shared" si="279"/>
        <v>Base</v>
      </c>
      <c r="F4532" s="138" t="str">
        <f t="shared" si="277"/>
        <v>Upgraded</v>
      </c>
      <c r="G4532" s="153"/>
      <c r="H4532" s="210">
        <v>0.27210000000000001</v>
      </c>
      <c r="I4532" s="160" t="s">
        <v>167</v>
      </c>
      <c r="J4532" s="160">
        <v>7.9170000000000004E-2</v>
      </c>
      <c r="K4532" s="160" t="s">
        <v>14</v>
      </c>
      <c r="L4532" s="154" t="str">
        <f>IF(OpenLCAbasic!K4532="CTUh", "Fill in Manually",IF(OR(K4532="Unit", K4532=""), "", INDEX(LookUps!$E$5:$E$12, MATCH(OpenLCAbasic!K4532,LookUps!$D$5:$D$12,0))))</f>
        <v>Fossil Depletion Potential (FDP) - kg oil eq</v>
      </c>
      <c r="M4532" s="154" t="str">
        <f t="shared" si="278"/>
        <v>Base_Base_Low_Upgraded_Fossil Depletion Potential (FDP) - kg oil eq_Waste Receiving and Holding; wastewater treatment unit; at updated plant - US_Without Amendment_Windrow</v>
      </c>
    </row>
    <row r="4533" spans="1:13" s="120" customFormat="1" x14ac:dyDescent="0.25">
      <c r="A4533" s="119"/>
      <c r="B4533" s="138" t="str">
        <f t="shared" si="276"/>
        <v>Windrow</v>
      </c>
      <c r="C4533" s="138" t="str">
        <f t="shared" si="273"/>
        <v>Without Amendment</v>
      </c>
      <c r="D4533" s="138" t="str">
        <f t="shared" si="274"/>
        <v>Base_Low</v>
      </c>
      <c r="E4533" s="138" t="str">
        <f t="shared" si="279"/>
        <v>Base</v>
      </c>
      <c r="F4533" s="138" t="str">
        <f t="shared" si="277"/>
        <v>Upgraded</v>
      </c>
      <c r="G4533" s="153"/>
      <c r="H4533" s="210">
        <v>0.2185</v>
      </c>
      <c r="I4533" s="160" t="s">
        <v>55</v>
      </c>
      <c r="J4533" s="160">
        <v>6.3589999999999994E-2</v>
      </c>
      <c r="K4533" s="160" t="s">
        <v>14</v>
      </c>
      <c r="L4533" s="154" t="str">
        <f>IF(OpenLCAbasic!K4533="CTUh", "Fill in Manually",IF(OR(K4533="Unit", K4533=""), "", INDEX(LookUps!$E$5:$E$12, MATCH(OpenLCAbasic!K4533,LookUps!$D$5:$D$12,0))))</f>
        <v>Fossil Depletion Potential (FDP) - kg oil eq</v>
      </c>
      <c r="M4533" s="154" t="str">
        <f t="shared" si="278"/>
        <v>Base_Base_Low_Upgraded_Fossil Depletion Potential (FDP) - kg oil eq_Aeration Tanks; wastewater treatment unit; at updated plant - US_Without Amendment_Windrow</v>
      </c>
    </row>
    <row r="4534" spans="1:13" s="120" customFormat="1" x14ac:dyDescent="0.25">
      <c r="A4534" s="119"/>
      <c r="B4534" s="138" t="str">
        <f t="shared" si="276"/>
        <v>Windrow</v>
      </c>
      <c r="C4534" s="138" t="str">
        <f t="shared" si="273"/>
        <v>Without Amendment</v>
      </c>
      <c r="D4534" s="138" t="str">
        <f t="shared" si="274"/>
        <v>Base_Low</v>
      </c>
      <c r="E4534" s="138" t="str">
        <f t="shared" si="279"/>
        <v>Base</v>
      </c>
      <c r="F4534" s="138" t="str">
        <f t="shared" si="277"/>
        <v>Upgraded</v>
      </c>
      <c r="G4534" s="153"/>
      <c r="H4534" s="210">
        <v>0.21240000000000001</v>
      </c>
      <c r="I4534" s="160" t="s">
        <v>149</v>
      </c>
      <c r="J4534" s="160">
        <v>6.1809999999999997E-2</v>
      </c>
      <c r="K4534" s="160" t="s">
        <v>14</v>
      </c>
      <c r="L4534" s="154" t="str">
        <f>IF(OpenLCAbasic!K4534="CTUh", "Fill in Manually",IF(OR(K4534="Unit", K4534=""), "", INDEX(LookUps!$E$5:$E$12, MATCH(OpenLCAbasic!K4534,LookUps!$D$5:$D$12,0))))</f>
        <v>Fossil Depletion Potential (FDP) - kg oil eq</v>
      </c>
      <c r="M4534" s="154" t="str">
        <f t="shared" si="278"/>
        <v>Base_Base_Low_Upgraded_Fossil Depletion Potential (FDP) - kg oil eq_Anaerobic Digestion; wastewater treatment unit; at updated plant - US_Without Amendment_Windrow</v>
      </c>
    </row>
    <row r="4535" spans="1:13" s="120" customFormat="1" x14ac:dyDescent="0.25">
      <c r="A4535" s="119"/>
      <c r="B4535" s="138" t="str">
        <f t="shared" si="276"/>
        <v>Windrow</v>
      </c>
      <c r="C4535" s="138" t="str">
        <f t="shared" si="273"/>
        <v>Without Amendment</v>
      </c>
      <c r="D4535" s="138" t="str">
        <f t="shared" si="274"/>
        <v>Base_Low</v>
      </c>
      <c r="E4535" s="138" t="str">
        <f t="shared" si="279"/>
        <v>Base</v>
      </c>
      <c r="F4535" s="138" t="str">
        <f t="shared" si="277"/>
        <v>Upgraded</v>
      </c>
      <c r="G4535" s="153"/>
      <c r="H4535" s="210">
        <v>7.2300000000000003E-2</v>
      </c>
      <c r="I4535" s="160" t="s">
        <v>54</v>
      </c>
      <c r="J4535" s="160">
        <v>2.1049999999999999E-2</v>
      </c>
      <c r="K4535" s="160" t="s">
        <v>14</v>
      </c>
      <c r="L4535" s="154" t="str">
        <f>IF(OpenLCAbasic!K4535="CTUh", "Fill in Manually",IF(OR(K4535="Unit", K4535=""), "", INDEX(LookUps!$E$5:$E$12, MATCH(OpenLCAbasic!K4535,LookUps!$D$5:$D$12,0))))</f>
        <v>Fossil Depletion Potential (FDP) - kg oil eq</v>
      </c>
      <c r="M4535" s="154" t="str">
        <f t="shared" si="278"/>
        <v>Base_Base_Low_Upgraded_Fossil Depletion Potential (FDP) - kg oil eq_Clear Cove Primary Clarification; wastewater treatment unit; at updated plant - US_Without Amendment_Windrow</v>
      </c>
    </row>
    <row r="4536" spans="1:13" s="120" customFormat="1" x14ac:dyDescent="0.25">
      <c r="A4536" s="119"/>
      <c r="B4536" s="138" t="str">
        <f t="shared" si="276"/>
        <v>Windrow</v>
      </c>
      <c r="C4536" s="138" t="str">
        <f t="shared" si="273"/>
        <v>Without Amendment</v>
      </c>
      <c r="D4536" s="138" t="str">
        <f t="shared" si="274"/>
        <v>Base_Low</v>
      </c>
      <c r="E4536" s="138" t="str">
        <f t="shared" si="279"/>
        <v>Base</v>
      </c>
      <c r="F4536" s="138" t="str">
        <f t="shared" si="277"/>
        <v>Upgraded</v>
      </c>
      <c r="G4536" s="153"/>
      <c r="H4536" s="210">
        <v>5.4699999999999999E-2</v>
      </c>
      <c r="I4536" s="160" t="s">
        <v>58</v>
      </c>
      <c r="J4536" s="160">
        <v>1.592E-2</v>
      </c>
      <c r="K4536" s="160" t="s">
        <v>14</v>
      </c>
      <c r="L4536" s="154" t="str">
        <f>IF(OpenLCAbasic!K4536="CTUh", "Fill in Manually",IF(OR(K4536="Unit", K4536=""), "", INDEX(LookUps!$E$5:$E$12, MATCH(OpenLCAbasic!K4536,LookUps!$D$5:$D$12,0))))</f>
        <v>Fossil Depletion Potential (FDP) - kg oil eq</v>
      </c>
      <c r="M4536" s="154" t="str">
        <f t="shared" si="278"/>
        <v>Base_Base_Low_Upgraded_Fossil Depletion Potential (FDP) - kg oil eq_Pre-Anoxic &amp; Swing tank; wastewater treatment unit; at updated plant - US_Without Amendment_Windrow</v>
      </c>
    </row>
    <row r="4537" spans="1:13" s="120" customFormat="1" x14ac:dyDescent="0.25">
      <c r="A4537" s="119"/>
      <c r="B4537" s="138" t="str">
        <f t="shared" si="276"/>
        <v>Windrow</v>
      </c>
      <c r="C4537" s="138" t="str">
        <f t="shared" si="273"/>
        <v>Without Amendment</v>
      </c>
      <c r="D4537" s="138" t="str">
        <f t="shared" si="274"/>
        <v>Base_Low</v>
      </c>
      <c r="E4537" s="138" t="str">
        <f t="shared" si="279"/>
        <v>Base</v>
      </c>
      <c r="F4537" s="138" t="str">
        <f t="shared" si="277"/>
        <v>Upgraded</v>
      </c>
      <c r="G4537" s="153"/>
      <c r="H4537" s="210">
        <v>5.1900000000000002E-2</v>
      </c>
      <c r="I4537" s="160" t="s">
        <v>147</v>
      </c>
      <c r="J4537" s="160">
        <v>1.5089999999999999E-2</v>
      </c>
      <c r="K4537" s="160" t="s">
        <v>14</v>
      </c>
      <c r="L4537" s="154" t="str">
        <f>IF(OpenLCAbasic!K4537="CTUh", "Fill in Manually",IF(OR(K4537="Unit", K4537=""), "", INDEX(LookUps!$E$5:$E$12, MATCH(OpenLCAbasic!K4537,LookUps!$D$5:$D$12,0))))</f>
        <v>Fossil Depletion Potential (FDP) - kg oil eq</v>
      </c>
      <c r="M4537" s="154" t="str">
        <f t="shared" si="278"/>
        <v>Base_Base_Low_Upgraded_Fossil Depletion Potential (FDP) - kg oil eq_Influent Pump Station; wastewater treatment unit; at updated plant - US_Without Amendment_Windrow</v>
      </c>
    </row>
    <row r="4538" spans="1:13" s="120" customFormat="1" x14ac:dyDescent="0.25">
      <c r="A4538" s="119"/>
      <c r="B4538" s="138" t="str">
        <f t="shared" si="276"/>
        <v>Windrow</v>
      </c>
      <c r="C4538" s="138" t="str">
        <f t="shared" si="273"/>
        <v>Without Amendment</v>
      </c>
      <c r="D4538" s="138" t="str">
        <f t="shared" si="274"/>
        <v>Base_Low</v>
      </c>
      <c r="E4538" s="138" t="str">
        <f t="shared" si="279"/>
        <v>Base</v>
      </c>
      <c r="F4538" s="138" t="str">
        <f t="shared" si="277"/>
        <v>Upgraded</v>
      </c>
      <c r="G4538" s="153"/>
      <c r="H4538" s="210">
        <v>4.2900000000000001E-2</v>
      </c>
      <c r="I4538" s="160" t="s">
        <v>53</v>
      </c>
      <c r="J4538" s="160">
        <v>1.2489999999999999E-2</v>
      </c>
      <c r="K4538" s="160" t="s">
        <v>14</v>
      </c>
      <c r="L4538" s="154" t="str">
        <f>IF(OpenLCAbasic!K4538="CTUh", "Fill in Manually",IF(OR(K4538="Unit", K4538=""), "", INDEX(LookUps!$E$5:$E$12, MATCH(OpenLCAbasic!K4538,LookUps!$D$5:$D$12,0))))</f>
        <v>Fossil Depletion Potential (FDP) - kg oil eq</v>
      </c>
      <c r="M4538" s="154" t="str">
        <f t="shared" si="278"/>
        <v>Base_Base_Low_Upgraded_Fossil Depletion Potential (FDP) - kg oil eq_Wet Well and Sump Station; wastewater treatment unit; at updated plant - US_Without Amendment_Windrow</v>
      </c>
    </row>
    <row r="4539" spans="1:13" s="120" customFormat="1" x14ac:dyDescent="0.25">
      <c r="A4539" s="119"/>
      <c r="B4539" s="138" t="str">
        <f t="shared" si="276"/>
        <v>Windrow</v>
      </c>
      <c r="C4539" s="138" t="str">
        <f t="shared" si="273"/>
        <v>Without Amendment</v>
      </c>
      <c r="D4539" s="138" t="str">
        <f t="shared" si="274"/>
        <v>Base_Low</v>
      </c>
      <c r="E4539" s="138" t="str">
        <f t="shared" si="279"/>
        <v>Base</v>
      </c>
      <c r="F4539" s="138" t="str">
        <f t="shared" si="277"/>
        <v>Upgraded</v>
      </c>
      <c r="G4539" s="153"/>
      <c r="H4539" s="210">
        <v>2.3800000000000002E-2</v>
      </c>
      <c r="I4539" s="160" t="s">
        <v>57</v>
      </c>
      <c r="J4539" s="160">
        <v>6.9199999999999999E-3</v>
      </c>
      <c r="K4539" s="160" t="s">
        <v>14</v>
      </c>
      <c r="L4539" s="154" t="str">
        <f>IF(OpenLCAbasic!K4539="CTUh", "Fill in Manually",IF(OR(K4539="Unit", K4539=""), "", INDEX(LookUps!$E$5:$E$12, MATCH(OpenLCAbasic!K4539,LookUps!$D$5:$D$12,0))))</f>
        <v>Fossil Depletion Potential (FDP) - kg oil eq</v>
      </c>
      <c r="M4539" s="154" t="str">
        <f t="shared" si="278"/>
        <v>Base_Base_Low_Upgraded_Fossil Depletion Potential (FDP) - kg oil eq_Gravity Belt Thickener; wastewater treatment unit; at updated plant - US_Without Amendment_Windrow</v>
      </c>
    </row>
    <row r="4540" spans="1:13" s="120" customFormat="1" x14ac:dyDescent="0.25">
      <c r="A4540" s="119"/>
      <c r="B4540" s="138" t="str">
        <f t="shared" si="276"/>
        <v>Windrow</v>
      </c>
      <c r="C4540" s="138" t="str">
        <f t="shared" si="273"/>
        <v>Without Amendment</v>
      </c>
      <c r="D4540" s="138" t="str">
        <f t="shared" si="274"/>
        <v>Base_Low</v>
      </c>
      <c r="E4540" s="138" t="str">
        <f t="shared" si="279"/>
        <v>Base</v>
      </c>
      <c r="F4540" s="138" t="str">
        <f t="shared" si="277"/>
        <v>Upgraded</v>
      </c>
      <c r="G4540" s="153"/>
      <c r="H4540" s="210">
        <v>2.2200000000000001E-2</v>
      </c>
      <c r="I4540" s="160" t="s">
        <v>60</v>
      </c>
      <c r="J4540" s="160">
        <v>6.45E-3</v>
      </c>
      <c r="K4540" s="160" t="s">
        <v>14</v>
      </c>
      <c r="L4540" s="154" t="str">
        <f>IF(OpenLCAbasic!K4540="CTUh", "Fill in Manually",IF(OR(K4540="Unit", K4540=""), "", INDEX(LookUps!$E$5:$E$12, MATCH(OpenLCAbasic!K4540,LookUps!$D$5:$D$12,0))))</f>
        <v>Fossil Depletion Potential (FDP) - kg oil eq</v>
      </c>
      <c r="M4540" s="154" t="str">
        <f t="shared" si="278"/>
        <v>Base_Base_Low_Upgraded_Fossil Depletion Potential (FDP) - kg oil eq_Belt filter press; wastewater treatment unit; at updated plant - US_Without Amendment_Windrow</v>
      </c>
    </row>
    <row r="4541" spans="1:13" s="120" customFormat="1" x14ac:dyDescent="0.25">
      <c r="A4541" s="119"/>
      <c r="B4541" s="138" t="str">
        <f t="shared" si="276"/>
        <v>Windrow</v>
      </c>
      <c r="C4541" s="138" t="str">
        <f t="shared" si="273"/>
        <v>Without Amendment</v>
      </c>
      <c r="D4541" s="138" t="str">
        <f t="shared" si="274"/>
        <v>Base_Low</v>
      </c>
      <c r="E4541" s="138" t="str">
        <f t="shared" si="279"/>
        <v>Base</v>
      </c>
      <c r="F4541" s="138" t="str">
        <f t="shared" si="277"/>
        <v>Upgraded</v>
      </c>
      <c r="G4541" s="153"/>
      <c r="H4541" s="210">
        <v>1.55E-2</v>
      </c>
      <c r="I4541" s="160" t="s">
        <v>128</v>
      </c>
      <c r="J4541" s="160">
        <v>4.4999999999999997E-3</v>
      </c>
      <c r="K4541" s="160" t="s">
        <v>14</v>
      </c>
      <c r="L4541" s="154" t="str">
        <f>IF(OpenLCAbasic!K4541="CTUh", "Fill in Manually",IF(OR(K4541="Unit", K4541=""), "", INDEX(LookUps!$E$5:$E$12, MATCH(OpenLCAbasic!K4541,LookUps!$D$5:$D$12,0))))</f>
        <v>Fossil Depletion Potential (FDP) - kg oil eq</v>
      </c>
      <c r="M4541" s="154" t="str">
        <f t="shared" si="278"/>
        <v>Base_Base_Low_Upgraded_Fossil Depletion Potential (FDP) - kg oil eq_Wastewater collection; operation and infrastructure; m3 wastewater_Without Amendment_Windrow</v>
      </c>
    </row>
    <row r="4542" spans="1:13" s="120" customFormat="1" x14ac:dyDescent="0.25">
      <c r="A4542" s="119"/>
      <c r="B4542" s="138" t="str">
        <f t="shared" si="276"/>
        <v>Windrow</v>
      </c>
      <c r="C4542" s="138" t="str">
        <f t="shared" si="273"/>
        <v>Without Amendment</v>
      </c>
      <c r="D4542" s="138" t="str">
        <f t="shared" si="274"/>
        <v>Base_Low</v>
      </c>
      <c r="E4542" s="138" t="str">
        <f t="shared" si="279"/>
        <v>Base</v>
      </c>
      <c r="F4542" s="138" t="str">
        <f t="shared" si="277"/>
        <v>Upgraded</v>
      </c>
      <c r="G4542" s="153"/>
      <c r="H4542" s="210">
        <v>9.5999999999999992E-3</v>
      </c>
      <c r="I4542" s="160" t="s">
        <v>148</v>
      </c>
      <c r="J4542" s="160">
        <v>2.8E-3</v>
      </c>
      <c r="K4542" s="160" t="s">
        <v>14</v>
      </c>
      <c r="L4542" s="154" t="str">
        <f>IF(OpenLCAbasic!K4542="CTUh", "Fill in Manually",IF(OR(K4542="Unit", K4542=""), "", INDEX(LookUps!$E$5:$E$12, MATCH(OpenLCAbasic!K4542,LookUps!$D$5:$D$12,0))))</f>
        <v>Fossil Depletion Potential (FDP) - kg oil eq</v>
      </c>
      <c r="M4542" s="154" t="str">
        <f t="shared" si="278"/>
        <v>Base_Base_Low_Upgraded_Fossil Depletion Potential (FDP) - kg oil eq_Control Building; at upgraded wastewater treatment plant - US_Without Amendment_Windrow</v>
      </c>
    </row>
    <row r="4543" spans="1:13" s="120" customFormat="1" x14ac:dyDescent="0.25">
      <c r="A4543" s="119"/>
      <c r="B4543" s="138" t="str">
        <f t="shared" si="276"/>
        <v>Windrow</v>
      </c>
      <c r="C4543" s="138" t="str">
        <f t="shared" si="273"/>
        <v>Without Amendment</v>
      </c>
      <c r="D4543" s="138" t="str">
        <f t="shared" si="274"/>
        <v>Base_Low</v>
      </c>
      <c r="E4543" s="138" t="str">
        <f t="shared" si="279"/>
        <v>Base</v>
      </c>
      <c r="F4543" s="138" t="str">
        <f t="shared" si="277"/>
        <v>Upgraded</v>
      </c>
      <c r="G4543" s="153"/>
      <c r="H4543" s="210">
        <v>8.0999999999999996E-3</v>
      </c>
      <c r="I4543" s="160" t="s">
        <v>48</v>
      </c>
      <c r="J4543" s="160">
        <v>2.3600000000000001E-3</v>
      </c>
      <c r="K4543" s="160" t="s">
        <v>14</v>
      </c>
      <c r="L4543" s="154" t="str">
        <f>IF(OpenLCAbasic!K4543="CTUh", "Fill in Manually",IF(OR(K4543="Unit", K4543=""), "", INDEX(LookUps!$E$5:$E$12, MATCH(OpenLCAbasic!K4543,LookUps!$D$5:$D$12,0))))</f>
        <v>Fossil Depletion Potential (FDP) - kg oil eq</v>
      </c>
      <c r="M4543" s="154" t="str">
        <f t="shared" si="278"/>
        <v>Base_Base_Low_Upgraded_Fossil Depletion Potential (FDP) - kg oil eq_Effluent release; wastewater treatment unit; at surface water; m3 wastewater - US_Without Amendment_Windrow</v>
      </c>
    </row>
    <row r="4544" spans="1:13" s="120" customFormat="1" x14ac:dyDescent="0.25">
      <c r="A4544" s="119"/>
      <c r="B4544" s="138" t="str">
        <f t="shared" si="276"/>
        <v>Windrow</v>
      </c>
      <c r="C4544" s="138" t="str">
        <f t="shared" si="273"/>
        <v>Without Amendment</v>
      </c>
      <c r="D4544" s="138" t="str">
        <f t="shared" si="274"/>
        <v>Base_Low</v>
      </c>
      <c r="E4544" s="138" t="str">
        <f t="shared" si="279"/>
        <v>Base</v>
      </c>
      <c r="F4544" s="138" t="str">
        <f t="shared" si="277"/>
        <v>Upgraded</v>
      </c>
      <c r="G4544" s="153"/>
      <c r="H4544" s="210">
        <v>6.6E-3</v>
      </c>
      <c r="I4544" s="160" t="s">
        <v>59</v>
      </c>
      <c r="J4544" s="160">
        <v>1.92E-3</v>
      </c>
      <c r="K4544" s="160" t="s">
        <v>14</v>
      </c>
      <c r="L4544" s="154" t="str">
        <f>IF(OpenLCAbasic!K4544="CTUh", "Fill in Manually",IF(OR(K4544="Unit", K4544=""), "", INDEX(LookUps!$E$5:$E$12, MATCH(OpenLCAbasic!K4544,LookUps!$D$5:$D$12,0))))</f>
        <v>Fossil Depletion Potential (FDP) - kg oil eq</v>
      </c>
      <c r="M4544" s="154" t="str">
        <f t="shared" si="278"/>
        <v>Base_Base_Low_Upgraded_Fossil Depletion Potential (FDP) - kg oil eq_Blend Tank; wastewater treatment unit; at updated plant - US_Without Amendment_Windrow</v>
      </c>
    </row>
    <row r="4545" spans="1:13" s="120" customFormat="1" x14ac:dyDescent="0.25">
      <c r="A4545" s="119"/>
      <c r="B4545" s="138" t="str">
        <f t="shared" si="276"/>
        <v>Windrow</v>
      </c>
      <c r="C4545" s="138" t="str">
        <f t="shared" ref="C4545:C4608" si="280">IF(ISNUMBER($J4545),"Without Amendment","")</f>
        <v>Without Amendment</v>
      </c>
      <c r="D4545" s="138" t="str">
        <f t="shared" ref="D4545:D4608" si="281">IF(ISNUMBER($J4545),"Base_Low","")</f>
        <v>Base_Low</v>
      </c>
      <c r="E4545" s="138" t="str">
        <f t="shared" si="279"/>
        <v>Base</v>
      </c>
      <c r="F4545" s="138" t="str">
        <f t="shared" si="277"/>
        <v>Upgraded</v>
      </c>
      <c r="G4545" s="153"/>
      <c r="H4545" s="210">
        <v>3.0999999999999999E-3</v>
      </c>
      <c r="I4545" s="160" t="s">
        <v>168</v>
      </c>
      <c r="J4545" s="160">
        <v>9.1E-4</v>
      </c>
      <c r="K4545" s="160" t="s">
        <v>14</v>
      </c>
      <c r="L4545" s="154" t="str">
        <f>IF(OpenLCAbasic!K4545="CTUh", "Fill in Manually",IF(OR(K4545="Unit", K4545=""), "", INDEX(LookUps!$E$5:$E$12, MATCH(OpenLCAbasic!K4545,LookUps!$D$5:$D$12,0))))</f>
        <v>Fossil Depletion Potential (FDP) - kg oil eq</v>
      </c>
      <c r="M4545" s="154" t="str">
        <f t="shared" si="278"/>
        <v>Base_Base_Low_Upgraded_Fossil Depletion Potential (FDP) - kg oil eq_ClearCove SCP; wastewater treatment unit; at updated plant - US_Without Amendment_Windrow</v>
      </c>
    </row>
    <row r="4546" spans="1:13" s="120" customFormat="1" x14ac:dyDescent="0.25">
      <c r="A4546" s="119"/>
      <c r="B4546" s="138" t="str">
        <f t="shared" si="276"/>
        <v>Windrow</v>
      </c>
      <c r="C4546" s="138" t="str">
        <f t="shared" si="280"/>
        <v>Without Amendment</v>
      </c>
      <c r="D4546" s="138" t="str">
        <f t="shared" si="281"/>
        <v>Base_Low</v>
      </c>
      <c r="E4546" s="138" t="str">
        <f t="shared" si="279"/>
        <v>Base</v>
      </c>
      <c r="F4546" s="138" t="str">
        <f t="shared" si="277"/>
        <v>Upgraded</v>
      </c>
      <c r="G4546" s="153"/>
      <c r="H4546" s="210">
        <v>1.6000000000000001E-3</v>
      </c>
      <c r="I4546" s="160" t="s">
        <v>271</v>
      </c>
      <c r="J4546" s="160">
        <v>4.6000000000000001E-4</v>
      </c>
      <c r="K4546" s="160" t="s">
        <v>14</v>
      </c>
      <c r="L4546" s="154" t="str">
        <f>IF(OpenLCAbasic!K4546="CTUh", "Fill in Manually",IF(OR(K4546="Unit", K4546=""), "", INDEX(LookUps!$E$5:$E$12, MATCH(OpenLCAbasic!K4546,LookUps!$D$5:$D$12,0))))</f>
        <v>Fossil Depletion Potential (FDP) - kg oil eq</v>
      </c>
      <c r="M4546" s="154" t="str">
        <f t="shared" si="278"/>
        <v>Base_Base_Low_Upgraded_Fossil Depletion Potential (FDP) - kg oil eq_Biosolids composting; windrow composting; wastewater treatment unit; at updated plant - US_Without Amendment_Windrow</v>
      </c>
    </row>
    <row r="4547" spans="1:13" s="120" customFormat="1" x14ac:dyDescent="0.25">
      <c r="A4547" s="119"/>
      <c r="B4547" s="138" t="str">
        <f t="shared" si="276"/>
        <v>Windrow</v>
      </c>
      <c r="C4547" s="138" t="str">
        <f t="shared" si="280"/>
        <v>Without Amendment</v>
      </c>
      <c r="D4547" s="138" t="str">
        <f t="shared" si="281"/>
        <v>Base_Low</v>
      </c>
      <c r="E4547" s="138" t="str">
        <f t="shared" si="279"/>
        <v>Base</v>
      </c>
      <c r="F4547" s="138" t="str">
        <f t="shared" si="277"/>
        <v>Upgraded</v>
      </c>
      <c r="G4547" s="153"/>
      <c r="H4547" s="210">
        <v>-1.5299999999999999E-2</v>
      </c>
      <c r="I4547" s="160" t="s">
        <v>62</v>
      </c>
      <c r="J4547" s="160">
        <v>-4.4600000000000004E-3</v>
      </c>
      <c r="K4547" s="160" t="s">
        <v>14</v>
      </c>
      <c r="L4547" s="154" t="str">
        <f>IF(OpenLCAbasic!K4547="CTUh", "Fill in Manually",IF(OR(K4547="Unit", K4547=""), "", INDEX(LookUps!$E$5:$E$12, MATCH(OpenLCAbasic!K4547,LookUps!$D$5:$D$12,0))))</f>
        <v>Fossil Depletion Potential (FDP) - kg oil eq</v>
      </c>
      <c r="M4547" s="154" t="str">
        <f t="shared" si="278"/>
        <v>Base_Base_Low_Upgraded_Fossil Depletion Potential (FDP) - kg oil eq_Land application of compost; wastewater treatment unit; at updated plant - US_Without Amendment_Windrow</v>
      </c>
    </row>
    <row r="4548" spans="1:13" s="120" customFormat="1" x14ac:dyDescent="0.25">
      <c r="A4548" s="119"/>
      <c r="B4548" s="138" t="str">
        <f t="shared" ref="B4548:B4611" si="282">IF(F4548="Legacy","n.a.",IF(F4548="","","Windrow"))</f>
        <v/>
      </c>
      <c r="C4548" s="138" t="str">
        <f t="shared" si="280"/>
        <v/>
      </c>
      <c r="D4548" s="138" t="str">
        <f t="shared" si="281"/>
        <v/>
      </c>
      <c r="E4548" s="138" t="str">
        <f t="shared" si="279"/>
        <v/>
      </c>
      <c r="F4548" s="138" t="str">
        <f t="shared" ref="F4548:F4611" si="283">IF(ISNUMBER(J4548),"Upgraded","")</f>
        <v/>
      </c>
      <c r="G4548" s="153" t="s">
        <v>51</v>
      </c>
      <c r="H4548" s="160"/>
      <c r="I4548" s="160" t="s">
        <v>47</v>
      </c>
      <c r="J4548" s="160" t="s">
        <v>52</v>
      </c>
      <c r="K4548" s="160" t="s">
        <v>27</v>
      </c>
      <c r="L4548" s="154" t="str">
        <f>IF(OpenLCAbasic!K4548="CTUh", "Fill in Manually",IF(OR(K4548="Unit", K4548=""), "", INDEX(LookUps!$E$5:$E$12, MATCH(OpenLCAbasic!K4548,LookUps!$D$5:$D$12,0))))</f>
        <v/>
      </c>
      <c r="M4548" s="154" t="str">
        <f t="shared" si="278"/>
        <v>____Process__</v>
      </c>
    </row>
    <row r="4549" spans="1:13" s="120" customFormat="1" x14ac:dyDescent="0.25">
      <c r="A4549" s="119"/>
      <c r="B4549" s="138" t="str">
        <f t="shared" si="282"/>
        <v>Windrow</v>
      </c>
      <c r="C4549" s="138" t="str">
        <f t="shared" si="280"/>
        <v>Without Amendment</v>
      </c>
      <c r="D4549" s="138" t="str">
        <f t="shared" si="281"/>
        <v>Base_Low</v>
      </c>
      <c r="E4549" s="138" t="str">
        <f t="shared" si="279"/>
        <v>Base</v>
      </c>
      <c r="F4549" s="138" t="str">
        <f t="shared" si="283"/>
        <v>Upgraded</v>
      </c>
      <c r="G4549" s="153"/>
      <c r="H4549" s="210">
        <v>0.34439999999999998</v>
      </c>
      <c r="I4549" s="160" t="s">
        <v>271</v>
      </c>
      <c r="J4549" s="160">
        <v>0.41391</v>
      </c>
      <c r="K4549" s="160" t="s">
        <v>23</v>
      </c>
      <c r="L4549" s="154" t="str">
        <f>IF(OpenLCAbasic!K4549="CTUh", "Fill in Manually",IF(OR(K4549="Unit", K4549=""), "", INDEX(LookUps!$E$5:$E$12, MATCH(OpenLCAbasic!K4549,LookUps!$D$5:$D$12,0))))</f>
        <v>Global Warming Potential (GWP) - kg CO2 eq</v>
      </c>
      <c r="M4549" s="154" t="str">
        <f t="shared" si="278"/>
        <v>Base_Base_Low_Upgraded_Global Warming Potential (GWP) - kg CO2 eq_Biosolids composting; windrow composting; wastewater treatment unit; at updated plant - US_Without Amendment_Windrow</v>
      </c>
    </row>
    <row r="4550" spans="1:13" s="120" customFormat="1" x14ac:dyDescent="0.25">
      <c r="A4550" s="119"/>
      <c r="B4550" s="138" t="str">
        <f t="shared" si="282"/>
        <v>Windrow</v>
      </c>
      <c r="C4550" s="138" t="str">
        <f t="shared" si="280"/>
        <v>Without Amendment</v>
      </c>
      <c r="D4550" s="138" t="str">
        <f t="shared" si="281"/>
        <v>Base_Low</v>
      </c>
      <c r="E4550" s="138" t="str">
        <f t="shared" si="279"/>
        <v>Base</v>
      </c>
      <c r="F4550" s="138" t="str">
        <f t="shared" si="283"/>
        <v>Upgraded</v>
      </c>
      <c r="G4550" s="153"/>
      <c r="H4550" s="210">
        <v>0.20200000000000001</v>
      </c>
      <c r="I4550" s="160" t="s">
        <v>58</v>
      </c>
      <c r="J4550" s="160">
        <v>0.24279999999999999</v>
      </c>
      <c r="K4550" s="160" t="s">
        <v>23</v>
      </c>
      <c r="L4550" s="154" t="str">
        <f>IF(OpenLCAbasic!K4550="CTUh", "Fill in Manually",IF(OR(K4550="Unit", K4550=""), "", INDEX(LookUps!$E$5:$E$12, MATCH(OpenLCAbasic!K4550,LookUps!$D$5:$D$12,0))))</f>
        <v>Global Warming Potential (GWP) - kg CO2 eq</v>
      </c>
      <c r="M4550" s="154" t="str">
        <f t="shared" si="278"/>
        <v>Base_Base_Low_Upgraded_Global Warming Potential (GWP) - kg CO2 eq_Pre-Anoxic &amp; Swing tank; wastewater treatment unit; at updated plant - US_Without Amendment_Windrow</v>
      </c>
    </row>
    <row r="4551" spans="1:13" s="120" customFormat="1" x14ac:dyDescent="0.25">
      <c r="A4551" s="119"/>
      <c r="B4551" s="138" t="str">
        <f t="shared" si="282"/>
        <v>Windrow</v>
      </c>
      <c r="C4551" s="138" t="str">
        <f t="shared" si="280"/>
        <v>Without Amendment</v>
      </c>
      <c r="D4551" s="138" t="str">
        <f t="shared" si="281"/>
        <v>Base_Low</v>
      </c>
      <c r="E4551" s="138" t="str">
        <f t="shared" si="279"/>
        <v>Base</v>
      </c>
      <c r="F4551" s="138" t="str">
        <f t="shared" si="283"/>
        <v>Upgraded</v>
      </c>
      <c r="G4551" s="153"/>
      <c r="H4551" s="210">
        <v>0.14599999999999999</v>
      </c>
      <c r="I4551" s="160" t="s">
        <v>149</v>
      </c>
      <c r="J4551" s="160">
        <v>0.17544999999999999</v>
      </c>
      <c r="K4551" s="160" t="s">
        <v>23</v>
      </c>
      <c r="L4551" s="154" t="str">
        <f>IF(OpenLCAbasic!K4551="CTUh", "Fill in Manually",IF(OR(K4551="Unit", K4551=""), "", INDEX(LookUps!$E$5:$E$12, MATCH(OpenLCAbasic!K4551,LookUps!$D$5:$D$12,0))))</f>
        <v>Global Warming Potential (GWP) - kg CO2 eq</v>
      </c>
      <c r="M4551" s="154" t="str">
        <f t="shared" ref="M4551:M4614" si="284">CONCATENATE(E4551,"_",D4551,"_",F4551,"_",L4551, "_",I4551,"_", C4551,"_", B4551)</f>
        <v>Base_Base_Low_Upgraded_Global Warming Potential (GWP) - kg CO2 eq_Anaerobic Digestion; wastewater treatment unit; at updated plant - US_Without Amendment_Windrow</v>
      </c>
    </row>
    <row r="4552" spans="1:13" s="120" customFormat="1" x14ac:dyDescent="0.25">
      <c r="A4552" s="119"/>
      <c r="B4552" s="138" t="str">
        <f t="shared" si="282"/>
        <v>Windrow</v>
      </c>
      <c r="C4552" s="138" t="str">
        <f t="shared" si="280"/>
        <v>Without Amendment</v>
      </c>
      <c r="D4552" s="138" t="str">
        <f t="shared" si="281"/>
        <v>Base_Low</v>
      </c>
      <c r="E4552" s="138" t="str">
        <f t="shared" si="279"/>
        <v>Base</v>
      </c>
      <c r="F4552" s="138" t="str">
        <f t="shared" si="283"/>
        <v>Upgraded</v>
      </c>
      <c r="G4552" s="153"/>
      <c r="H4552" s="210">
        <v>0.14000000000000001</v>
      </c>
      <c r="I4552" s="160" t="s">
        <v>55</v>
      </c>
      <c r="J4552" s="160">
        <v>0.16822000000000001</v>
      </c>
      <c r="K4552" s="160" t="s">
        <v>23</v>
      </c>
      <c r="L4552" s="154" t="str">
        <f>IF(OpenLCAbasic!K4552="CTUh", "Fill in Manually",IF(OR(K4552="Unit", K4552=""), "", INDEX(LookUps!$E$5:$E$12, MATCH(OpenLCAbasic!K4552,LookUps!$D$5:$D$12,0))))</f>
        <v>Global Warming Potential (GWP) - kg CO2 eq</v>
      </c>
      <c r="M4552" s="154" t="str">
        <f t="shared" si="284"/>
        <v>Base_Base_Low_Upgraded_Global Warming Potential (GWP) - kg CO2 eq_Aeration Tanks; wastewater treatment unit; at updated plant - US_Without Amendment_Windrow</v>
      </c>
    </row>
    <row r="4553" spans="1:13" s="120" customFormat="1" x14ac:dyDescent="0.25">
      <c r="A4553" s="119"/>
      <c r="B4553" s="138" t="str">
        <f t="shared" si="282"/>
        <v>Windrow</v>
      </c>
      <c r="C4553" s="138" t="str">
        <f t="shared" si="280"/>
        <v>Without Amendment</v>
      </c>
      <c r="D4553" s="138" t="str">
        <f t="shared" si="281"/>
        <v>Base_Low</v>
      </c>
      <c r="E4553" s="138" t="str">
        <f t="shared" si="279"/>
        <v>Base</v>
      </c>
      <c r="F4553" s="138" t="str">
        <f t="shared" si="283"/>
        <v>Upgraded</v>
      </c>
      <c r="G4553" s="153"/>
      <c r="H4553" s="210">
        <v>8.5199999999999998E-2</v>
      </c>
      <c r="I4553" s="160" t="s">
        <v>167</v>
      </c>
      <c r="J4553" s="160">
        <v>0.10241</v>
      </c>
      <c r="K4553" s="160" t="s">
        <v>23</v>
      </c>
      <c r="L4553" s="154" t="str">
        <f>IF(OpenLCAbasic!K4553="CTUh", "Fill in Manually",IF(OR(K4553="Unit", K4553=""), "", INDEX(LookUps!$E$5:$E$12, MATCH(OpenLCAbasic!K4553,LookUps!$D$5:$D$12,0))))</f>
        <v>Global Warming Potential (GWP) - kg CO2 eq</v>
      </c>
      <c r="M4553" s="154" t="str">
        <f t="shared" si="284"/>
        <v>Base_Base_Low_Upgraded_Global Warming Potential (GWP) - kg CO2 eq_Waste Receiving and Holding; wastewater treatment unit; at updated plant - US_Without Amendment_Windrow</v>
      </c>
    </row>
    <row r="4554" spans="1:13" s="120" customFormat="1" x14ac:dyDescent="0.25">
      <c r="A4554" s="119"/>
      <c r="B4554" s="138" t="str">
        <f t="shared" si="282"/>
        <v>Windrow</v>
      </c>
      <c r="C4554" s="138" t="str">
        <f t="shared" si="280"/>
        <v>Without Amendment</v>
      </c>
      <c r="D4554" s="138" t="str">
        <f t="shared" si="281"/>
        <v>Base_Low</v>
      </c>
      <c r="E4554" s="138" t="str">
        <f t="shared" si="279"/>
        <v>Base</v>
      </c>
      <c r="F4554" s="138" t="str">
        <f t="shared" si="283"/>
        <v>Upgraded</v>
      </c>
      <c r="G4554" s="153"/>
      <c r="H4554" s="210">
        <v>4.7500000000000001E-2</v>
      </c>
      <c r="I4554" s="160" t="s">
        <v>54</v>
      </c>
      <c r="J4554" s="160">
        <v>5.7079999999999999E-2</v>
      </c>
      <c r="K4554" s="160" t="s">
        <v>23</v>
      </c>
      <c r="L4554" s="154" t="str">
        <f>IF(OpenLCAbasic!K4554="CTUh", "Fill in Manually",IF(OR(K4554="Unit", K4554=""), "", INDEX(LookUps!$E$5:$E$12, MATCH(OpenLCAbasic!K4554,LookUps!$D$5:$D$12,0))))</f>
        <v>Global Warming Potential (GWP) - kg CO2 eq</v>
      </c>
      <c r="M4554" s="154" t="str">
        <f t="shared" si="284"/>
        <v>Base_Base_Low_Upgraded_Global Warming Potential (GWP) - kg CO2 eq_Clear Cove Primary Clarification; wastewater treatment unit; at updated plant - US_Without Amendment_Windrow</v>
      </c>
    </row>
    <row r="4555" spans="1:13" s="120" customFormat="1" x14ac:dyDescent="0.25">
      <c r="A4555" s="119"/>
      <c r="B4555" s="138" t="str">
        <f t="shared" si="282"/>
        <v>Windrow</v>
      </c>
      <c r="C4555" s="138" t="str">
        <f t="shared" si="280"/>
        <v>Without Amendment</v>
      </c>
      <c r="D4555" s="138" t="str">
        <f t="shared" si="281"/>
        <v>Base_Low</v>
      </c>
      <c r="E4555" s="138" t="str">
        <f t="shared" si="279"/>
        <v>Base</v>
      </c>
      <c r="F4555" s="138" t="str">
        <f t="shared" si="283"/>
        <v>Upgraded</v>
      </c>
      <c r="G4555" s="153"/>
      <c r="H4555" s="210">
        <v>4.3799999999999999E-2</v>
      </c>
      <c r="I4555" s="160" t="s">
        <v>48</v>
      </c>
      <c r="J4555" s="160">
        <v>5.2639999999999999E-2</v>
      </c>
      <c r="K4555" s="160" t="s">
        <v>23</v>
      </c>
      <c r="L4555" s="154" t="str">
        <f>IF(OpenLCAbasic!K4555="CTUh", "Fill in Manually",IF(OR(K4555="Unit", K4555=""), "", INDEX(LookUps!$E$5:$E$12, MATCH(OpenLCAbasic!K4555,LookUps!$D$5:$D$12,0))))</f>
        <v>Global Warming Potential (GWP) - kg CO2 eq</v>
      </c>
      <c r="M4555" s="154" t="str">
        <f t="shared" si="284"/>
        <v>Base_Base_Low_Upgraded_Global Warming Potential (GWP) - kg CO2 eq_Effluent release; wastewater treatment unit; at surface water; m3 wastewater - US_Without Amendment_Windrow</v>
      </c>
    </row>
    <row r="4556" spans="1:13" s="120" customFormat="1" x14ac:dyDescent="0.25">
      <c r="A4556" s="119"/>
      <c r="B4556" s="138" t="str">
        <f t="shared" si="282"/>
        <v>Windrow</v>
      </c>
      <c r="C4556" s="138" t="str">
        <f t="shared" si="280"/>
        <v>Without Amendment</v>
      </c>
      <c r="D4556" s="138" t="str">
        <f t="shared" si="281"/>
        <v>Base_Low</v>
      </c>
      <c r="E4556" s="138" t="str">
        <f t="shared" si="279"/>
        <v>Base</v>
      </c>
      <c r="F4556" s="138" t="str">
        <f t="shared" si="283"/>
        <v>Upgraded</v>
      </c>
      <c r="G4556" s="153"/>
      <c r="H4556" s="210">
        <v>4.2000000000000003E-2</v>
      </c>
      <c r="I4556" s="160" t="s">
        <v>147</v>
      </c>
      <c r="J4556" s="160">
        <v>5.0500000000000003E-2</v>
      </c>
      <c r="K4556" s="160" t="s">
        <v>23</v>
      </c>
      <c r="L4556" s="154" t="str">
        <f>IF(OpenLCAbasic!K4556="CTUh", "Fill in Manually",IF(OR(K4556="Unit", K4556=""), "", INDEX(LookUps!$E$5:$E$12, MATCH(OpenLCAbasic!K4556,LookUps!$D$5:$D$12,0))))</f>
        <v>Global Warming Potential (GWP) - kg CO2 eq</v>
      </c>
      <c r="M4556" s="154" t="str">
        <f t="shared" si="284"/>
        <v>Base_Base_Low_Upgraded_Global Warming Potential (GWP) - kg CO2 eq_Influent Pump Station; wastewater treatment unit; at updated plant - US_Without Amendment_Windrow</v>
      </c>
    </row>
    <row r="4557" spans="1:13" s="120" customFormat="1" x14ac:dyDescent="0.25">
      <c r="A4557" s="119"/>
      <c r="B4557" s="138" t="str">
        <f t="shared" si="282"/>
        <v>Windrow</v>
      </c>
      <c r="C4557" s="138" t="str">
        <f t="shared" si="280"/>
        <v>Without Amendment</v>
      </c>
      <c r="D4557" s="138" t="str">
        <f t="shared" si="281"/>
        <v>Base_Low</v>
      </c>
      <c r="E4557" s="138" t="str">
        <f t="shared" si="279"/>
        <v>Base</v>
      </c>
      <c r="F4557" s="138" t="str">
        <f t="shared" si="283"/>
        <v>Upgraded</v>
      </c>
      <c r="G4557" s="153"/>
      <c r="H4557" s="210">
        <v>2.7699999999999999E-2</v>
      </c>
      <c r="I4557" s="160" t="s">
        <v>53</v>
      </c>
      <c r="J4557" s="160">
        <v>3.3259999999999998E-2</v>
      </c>
      <c r="K4557" s="160" t="s">
        <v>23</v>
      </c>
      <c r="L4557" s="154" t="str">
        <f>IF(OpenLCAbasic!K4557="CTUh", "Fill in Manually",IF(OR(K4557="Unit", K4557=""), "", INDEX(LookUps!$E$5:$E$12, MATCH(OpenLCAbasic!K4557,LookUps!$D$5:$D$12,0))))</f>
        <v>Global Warming Potential (GWP) - kg CO2 eq</v>
      </c>
      <c r="M4557" s="154" t="str">
        <f t="shared" si="284"/>
        <v>Base_Base_Low_Upgraded_Global Warming Potential (GWP) - kg CO2 eq_Wet Well and Sump Station; wastewater treatment unit; at updated plant - US_Without Amendment_Windrow</v>
      </c>
    </row>
    <row r="4558" spans="1:13" s="120" customFormat="1" x14ac:dyDescent="0.25">
      <c r="A4558" s="119"/>
      <c r="B4558" s="138" t="str">
        <f t="shared" si="282"/>
        <v>Windrow</v>
      </c>
      <c r="C4558" s="138" t="str">
        <f t="shared" si="280"/>
        <v>Without Amendment</v>
      </c>
      <c r="D4558" s="138" t="str">
        <f t="shared" si="281"/>
        <v>Base_Low</v>
      </c>
      <c r="E4558" s="138" t="str">
        <f t="shared" si="279"/>
        <v>Base</v>
      </c>
      <c r="F4558" s="138" t="str">
        <f t="shared" si="283"/>
        <v>Upgraded</v>
      </c>
      <c r="G4558" s="153"/>
      <c r="H4558" s="210">
        <v>1.21E-2</v>
      </c>
      <c r="I4558" s="160" t="s">
        <v>57</v>
      </c>
      <c r="J4558" s="160">
        <v>1.455E-2</v>
      </c>
      <c r="K4558" s="160" t="s">
        <v>23</v>
      </c>
      <c r="L4558" s="154" t="str">
        <f>IF(OpenLCAbasic!K4558="CTUh", "Fill in Manually",IF(OR(K4558="Unit", K4558=""), "", INDEX(LookUps!$E$5:$E$12, MATCH(OpenLCAbasic!K4558,LookUps!$D$5:$D$12,0))))</f>
        <v>Global Warming Potential (GWP) - kg CO2 eq</v>
      </c>
      <c r="M4558" s="154" t="str">
        <f t="shared" si="284"/>
        <v>Base_Base_Low_Upgraded_Global Warming Potential (GWP) - kg CO2 eq_Gravity Belt Thickener; wastewater treatment unit; at updated plant - US_Without Amendment_Windrow</v>
      </c>
    </row>
    <row r="4559" spans="1:13" s="120" customFormat="1" x14ac:dyDescent="0.25">
      <c r="A4559" s="119"/>
      <c r="B4559" s="138" t="str">
        <f t="shared" si="282"/>
        <v>Windrow</v>
      </c>
      <c r="C4559" s="138" t="str">
        <f t="shared" si="280"/>
        <v>Without Amendment</v>
      </c>
      <c r="D4559" s="138" t="str">
        <f t="shared" si="281"/>
        <v>Base_Low</v>
      </c>
      <c r="E4559" s="138" t="str">
        <f t="shared" si="279"/>
        <v>Base</v>
      </c>
      <c r="F4559" s="138" t="str">
        <f t="shared" si="283"/>
        <v>Upgraded</v>
      </c>
      <c r="G4559" s="153"/>
      <c r="H4559" s="210">
        <v>1.18E-2</v>
      </c>
      <c r="I4559" s="160" t="s">
        <v>60</v>
      </c>
      <c r="J4559" s="160">
        <v>1.418E-2</v>
      </c>
      <c r="K4559" s="160" t="s">
        <v>23</v>
      </c>
      <c r="L4559" s="154" t="str">
        <f>IF(OpenLCAbasic!K4559="CTUh", "Fill in Manually",IF(OR(K4559="Unit", K4559=""), "", INDEX(LookUps!$E$5:$E$12, MATCH(OpenLCAbasic!K4559,LookUps!$D$5:$D$12,0))))</f>
        <v>Global Warming Potential (GWP) - kg CO2 eq</v>
      </c>
      <c r="M4559" s="154" t="str">
        <f t="shared" si="284"/>
        <v>Base_Base_Low_Upgraded_Global Warming Potential (GWP) - kg CO2 eq_Belt filter press; wastewater treatment unit; at updated plant - US_Without Amendment_Windrow</v>
      </c>
    </row>
    <row r="4560" spans="1:13" s="120" customFormat="1" x14ac:dyDescent="0.25">
      <c r="A4560" s="119"/>
      <c r="B4560" s="138" t="str">
        <f t="shared" si="282"/>
        <v>Windrow</v>
      </c>
      <c r="C4560" s="138" t="str">
        <f t="shared" si="280"/>
        <v>Without Amendment</v>
      </c>
      <c r="D4560" s="138" t="str">
        <f t="shared" si="281"/>
        <v>Base_Low</v>
      </c>
      <c r="E4560" s="138" t="str">
        <f t="shared" si="279"/>
        <v>Base</v>
      </c>
      <c r="F4560" s="138" t="str">
        <f t="shared" si="283"/>
        <v>Upgraded</v>
      </c>
      <c r="G4560" s="153"/>
      <c r="H4560" s="210">
        <v>1.12E-2</v>
      </c>
      <c r="I4560" s="160" t="s">
        <v>128</v>
      </c>
      <c r="J4560" s="160">
        <v>1.3509999999999999E-2</v>
      </c>
      <c r="K4560" s="160" t="s">
        <v>23</v>
      </c>
      <c r="L4560" s="154" t="str">
        <f>IF(OpenLCAbasic!K4560="CTUh", "Fill in Manually",IF(OR(K4560="Unit", K4560=""), "", INDEX(LookUps!$E$5:$E$12, MATCH(OpenLCAbasic!K4560,LookUps!$D$5:$D$12,0))))</f>
        <v>Global Warming Potential (GWP) - kg CO2 eq</v>
      </c>
      <c r="M4560" s="154" t="str">
        <f t="shared" si="284"/>
        <v>Base_Base_Low_Upgraded_Global Warming Potential (GWP) - kg CO2 eq_Wastewater collection; operation and infrastructure; m3 wastewater_Without Amendment_Windrow</v>
      </c>
    </row>
    <row r="4561" spans="1:13" s="120" customFormat="1" x14ac:dyDescent="0.25">
      <c r="A4561" s="119"/>
      <c r="B4561" s="138" t="str">
        <f t="shared" si="282"/>
        <v>Windrow</v>
      </c>
      <c r="C4561" s="138" t="str">
        <f t="shared" si="280"/>
        <v>Without Amendment</v>
      </c>
      <c r="D4561" s="138" t="str">
        <f t="shared" si="281"/>
        <v>Base_Low</v>
      </c>
      <c r="E4561" s="138" t="str">
        <f t="shared" si="279"/>
        <v>Base</v>
      </c>
      <c r="F4561" s="138" t="str">
        <f t="shared" si="283"/>
        <v>Upgraded</v>
      </c>
      <c r="G4561" s="153"/>
      <c r="H4561" s="210">
        <v>6.8999999999999999E-3</v>
      </c>
      <c r="I4561" s="160" t="s">
        <v>148</v>
      </c>
      <c r="J4561" s="160">
        <v>8.3000000000000001E-3</v>
      </c>
      <c r="K4561" s="160" t="s">
        <v>23</v>
      </c>
      <c r="L4561" s="154" t="str">
        <f>IF(OpenLCAbasic!K4561="CTUh", "Fill in Manually",IF(OR(K4561="Unit", K4561=""), "", INDEX(LookUps!$E$5:$E$12, MATCH(OpenLCAbasic!K4561,LookUps!$D$5:$D$12,0))))</f>
        <v>Global Warming Potential (GWP) - kg CO2 eq</v>
      </c>
      <c r="M4561" s="154" t="str">
        <f t="shared" si="284"/>
        <v>Base_Base_Low_Upgraded_Global Warming Potential (GWP) - kg CO2 eq_Control Building; at upgraded wastewater treatment plant - US_Without Amendment_Windrow</v>
      </c>
    </row>
    <row r="4562" spans="1:13" s="120" customFormat="1" x14ac:dyDescent="0.25">
      <c r="A4562" s="119"/>
      <c r="B4562" s="138" t="str">
        <f t="shared" si="282"/>
        <v>Windrow</v>
      </c>
      <c r="C4562" s="138" t="str">
        <f t="shared" si="280"/>
        <v>Without Amendment</v>
      </c>
      <c r="D4562" s="138" t="str">
        <f t="shared" si="281"/>
        <v>Base_Low</v>
      </c>
      <c r="E4562" s="138" t="str">
        <f t="shared" si="279"/>
        <v>Base</v>
      </c>
      <c r="F4562" s="138" t="str">
        <f t="shared" si="283"/>
        <v>Upgraded</v>
      </c>
      <c r="G4562" s="153"/>
      <c r="H4562" s="210">
        <v>4.1999999999999997E-3</v>
      </c>
      <c r="I4562" s="160" t="s">
        <v>59</v>
      </c>
      <c r="J4562" s="160">
        <v>5.0400000000000002E-3</v>
      </c>
      <c r="K4562" s="160" t="s">
        <v>23</v>
      </c>
      <c r="L4562" s="154" t="str">
        <f>IF(OpenLCAbasic!K4562="CTUh", "Fill in Manually",IF(OR(K4562="Unit", K4562=""), "", INDEX(LookUps!$E$5:$E$12, MATCH(OpenLCAbasic!K4562,LookUps!$D$5:$D$12,0))))</f>
        <v>Global Warming Potential (GWP) - kg CO2 eq</v>
      </c>
      <c r="M4562" s="154" t="str">
        <f t="shared" si="284"/>
        <v>Base_Base_Low_Upgraded_Global Warming Potential (GWP) - kg CO2 eq_Blend Tank; wastewater treatment unit; at updated plant - US_Without Amendment_Windrow</v>
      </c>
    </row>
    <row r="4563" spans="1:13" s="120" customFormat="1" x14ac:dyDescent="0.25">
      <c r="A4563" s="119"/>
      <c r="B4563" s="138" t="str">
        <f t="shared" si="282"/>
        <v>Windrow</v>
      </c>
      <c r="C4563" s="138" t="str">
        <f t="shared" si="280"/>
        <v>Without Amendment</v>
      </c>
      <c r="D4563" s="138" t="str">
        <f t="shared" si="281"/>
        <v>Base_Low</v>
      </c>
      <c r="E4563" s="138" t="str">
        <f t="shared" si="279"/>
        <v>Base</v>
      </c>
      <c r="F4563" s="138" t="str">
        <f t="shared" si="283"/>
        <v>Upgraded</v>
      </c>
      <c r="G4563" s="153"/>
      <c r="H4563" s="210">
        <v>2E-3</v>
      </c>
      <c r="I4563" s="160" t="s">
        <v>168</v>
      </c>
      <c r="J4563" s="160">
        <v>2.4099999999999998E-3</v>
      </c>
      <c r="K4563" s="160" t="s">
        <v>23</v>
      </c>
      <c r="L4563" s="154" t="str">
        <f>IF(OpenLCAbasic!K4563="CTUh", "Fill in Manually",IF(OR(K4563="Unit", K4563=""), "", INDEX(LookUps!$E$5:$E$12, MATCH(OpenLCAbasic!K4563,LookUps!$D$5:$D$12,0))))</f>
        <v>Global Warming Potential (GWP) - kg CO2 eq</v>
      </c>
      <c r="M4563" s="154" t="str">
        <f t="shared" si="284"/>
        <v>Base_Base_Low_Upgraded_Global Warming Potential (GWP) - kg CO2 eq_ClearCove SCP; wastewater treatment unit; at updated plant - US_Without Amendment_Windrow</v>
      </c>
    </row>
    <row r="4564" spans="1:13" s="120" customFormat="1" x14ac:dyDescent="0.25">
      <c r="A4564" s="119"/>
      <c r="B4564" s="138" t="str">
        <f t="shared" si="282"/>
        <v>Windrow</v>
      </c>
      <c r="C4564" s="138" t="str">
        <f t="shared" si="280"/>
        <v>Without Amendment</v>
      </c>
      <c r="D4564" s="138" t="str">
        <f t="shared" si="281"/>
        <v>Base_Low</v>
      </c>
      <c r="E4564" s="138" t="str">
        <f t="shared" si="279"/>
        <v>Base</v>
      </c>
      <c r="F4564" s="138" t="str">
        <f t="shared" si="283"/>
        <v>Upgraded</v>
      </c>
      <c r="G4564" s="153"/>
      <c r="H4564" s="210">
        <v>-0.12690000000000001</v>
      </c>
      <c r="I4564" s="160" t="s">
        <v>62</v>
      </c>
      <c r="J4564" s="160">
        <v>-0.15248</v>
      </c>
      <c r="K4564" s="160" t="s">
        <v>23</v>
      </c>
      <c r="L4564" s="154" t="str">
        <f>IF(OpenLCAbasic!K4564="CTUh", "Fill in Manually",IF(OR(K4564="Unit", K4564=""), "", INDEX(LookUps!$E$5:$E$12, MATCH(OpenLCAbasic!K4564,LookUps!$D$5:$D$12,0))))</f>
        <v>Global Warming Potential (GWP) - kg CO2 eq</v>
      </c>
      <c r="M4564" s="154" t="str">
        <f t="shared" si="284"/>
        <v>Base_Base_Low_Upgraded_Global Warming Potential (GWP) - kg CO2 eq_Land application of compost; wastewater treatment unit; at updated plant - US_Without Amendment_Windrow</v>
      </c>
    </row>
    <row r="4565" spans="1:13" s="120" customFormat="1" x14ac:dyDescent="0.25">
      <c r="A4565" s="119"/>
      <c r="B4565" s="138" t="str">
        <f t="shared" si="282"/>
        <v/>
      </c>
      <c r="C4565" s="138" t="str">
        <f t="shared" si="280"/>
        <v/>
      </c>
      <c r="D4565" s="138" t="str">
        <f t="shared" si="281"/>
        <v/>
      </c>
      <c r="E4565" s="138" t="str">
        <f t="shared" si="279"/>
        <v/>
      </c>
      <c r="F4565" s="138" t="str">
        <f t="shared" si="283"/>
        <v/>
      </c>
      <c r="G4565" s="153" t="s">
        <v>51</v>
      </c>
      <c r="H4565" s="160"/>
      <c r="I4565" s="160" t="s">
        <v>47</v>
      </c>
      <c r="J4565" s="160" t="s">
        <v>52</v>
      </c>
      <c r="K4565" s="160" t="s">
        <v>27</v>
      </c>
      <c r="L4565" s="154" t="str">
        <f>IF(OpenLCAbasic!K4565="CTUh", "Fill in Manually",IF(OR(K4565="Unit", K4565=""), "", INDEX(LookUps!$E$5:$E$12, MATCH(OpenLCAbasic!K4565,LookUps!$D$5:$D$12,0))))</f>
        <v/>
      </c>
      <c r="M4565" s="154" t="str">
        <f t="shared" si="284"/>
        <v>____Process__</v>
      </c>
    </row>
    <row r="4566" spans="1:13" s="120" customFormat="1" x14ac:dyDescent="0.25">
      <c r="A4566" s="119"/>
      <c r="B4566" s="138" t="str">
        <f t="shared" si="282"/>
        <v>Windrow</v>
      </c>
      <c r="C4566" s="138" t="str">
        <f t="shared" si="280"/>
        <v>Without Amendment</v>
      </c>
      <c r="D4566" s="138" t="str">
        <f t="shared" si="281"/>
        <v>Base_Low</v>
      </c>
      <c r="E4566" s="138" t="str">
        <f t="shared" si="279"/>
        <v>Base</v>
      </c>
      <c r="F4566" s="138" t="str">
        <f t="shared" si="283"/>
        <v>Upgraded</v>
      </c>
      <c r="G4566" s="153"/>
      <c r="H4566" s="210">
        <v>0.41049999999999998</v>
      </c>
      <c r="I4566" s="160" t="s">
        <v>55</v>
      </c>
      <c r="J4566" s="160">
        <v>2.33E-3</v>
      </c>
      <c r="K4566" s="160" t="s">
        <v>145</v>
      </c>
      <c r="L4566" s="154" t="str">
        <f>IF(OpenLCAbasic!K4566="CTUh", "Fill in Manually",IF(OR(K4566="Unit", K4566=""), "", INDEX(LookUps!$E$5:$E$12, MATCH(OpenLCAbasic!K4566,LookUps!$D$5:$D$12,0))))</f>
        <v>Particulate Matter Formation Potential (PMFP) - kg PM2.5 eq</v>
      </c>
      <c r="M4566" s="154" t="str">
        <f t="shared" si="284"/>
        <v>Base_Base_Low_Upgraded_Particulate Matter Formation Potential (PMFP) - kg PM2.5 eq_Aeration Tanks; wastewater treatment unit; at updated plant - US_Without Amendment_Windrow</v>
      </c>
    </row>
    <row r="4567" spans="1:13" s="120" customFormat="1" x14ac:dyDescent="0.25">
      <c r="A4567" s="119"/>
      <c r="B4567" s="138" t="str">
        <f t="shared" si="282"/>
        <v>Windrow</v>
      </c>
      <c r="C4567" s="138" t="str">
        <f t="shared" si="280"/>
        <v>Without Amendment</v>
      </c>
      <c r="D4567" s="138" t="str">
        <f t="shared" si="281"/>
        <v>Base_Low</v>
      </c>
      <c r="E4567" s="138" t="str">
        <f t="shared" si="279"/>
        <v>Base</v>
      </c>
      <c r="F4567" s="138" t="str">
        <f t="shared" si="283"/>
        <v>Upgraded</v>
      </c>
      <c r="G4567" s="153"/>
      <c r="H4567" s="210">
        <v>0.11940000000000001</v>
      </c>
      <c r="I4567" s="160" t="s">
        <v>54</v>
      </c>
      <c r="J4567" s="160">
        <v>6.8000000000000005E-4</v>
      </c>
      <c r="K4567" s="160" t="s">
        <v>145</v>
      </c>
      <c r="L4567" s="154" t="str">
        <f>IF(OpenLCAbasic!K4567="CTUh", "Fill in Manually",IF(OR(K4567="Unit", K4567=""), "", INDEX(LookUps!$E$5:$E$12, MATCH(OpenLCAbasic!K4567,LookUps!$D$5:$D$12,0))))</f>
        <v>Particulate Matter Formation Potential (PMFP) - kg PM2.5 eq</v>
      </c>
      <c r="M4567" s="154" t="str">
        <f t="shared" si="284"/>
        <v>Base_Base_Low_Upgraded_Particulate Matter Formation Potential (PMFP) - kg PM2.5 eq_Clear Cove Primary Clarification; wastewater treatment unit; at updated plant - US_Without Amendment_Windrow</v>
      </c>
    </row>
    <row r="4568" spans="1:13" s="120" customFormat="1" x14ac:dyDescent="0.25">
      <c r="A4568" s="119"/>
      <c r="B4568" s="138" t="str">
        <f t="shared" si="282"/>
        <v>Windrow</v>
      </c>
      <c r="C4568" s="138" t="str">
        <f t="shared" si="280"/>
        <v>Without Amendment</v>
      </c>
      <c r="D4568" s="138" t="str">
        <f t="shared" si="281"/>
        <v>Base_Low</v>
      </c>
      <c r="E4568" s="138" t="str">
        <f t="shared" si="279"/>
        <v>Base</v>
      </c>
      <c r="F4568" s="138" t="str">
        <f t="shared" si="283"/>
        <v>Upgraded</v>
      </c>
      <c r="G4568" s="153"/>
      <c r="H4568" s="210">
        <v>0.1032</v>
      </c>
      <c r="I4568" s="160" t="s">
        <v>58</v>
      </c>
      <c r="J4568" s="160">
        <v>5.9000000000000003E-4</v>
      </c>
      <c r="K4568" s="160" t="s">
        <v>145</v>
      </c>
      <c r="L4568" s="154" t="str">
        <f>IF(OpenLCAbasic!K4568="CTUh", "Fill in Manually",IF(OR(K4568="Unit", K4568=""), "", INDEX(LookUps!$E$5:$E$12, MATCH(OpenLCAbasic!K4568,LookUps!$D$5:$D$12,0))))</f>
        <v>Particulate Matter Formation Potential (PMFP) - kg PM2.5 eq</v>
      </c>
      <c r="M4568" s="154" t="str">
        <f t="shared" si="284"/>
        <v>Base_Base_Low_Upgraded_Particulate Matter Formation Potential (PMFP) - kg PM2.5 eq_Pre-Anoxic &amp; Swing tank; wastewater treatment unit; at updated plant - US_Without Amendment_Windrow</v>
      </c>
    </row>
    <row r="4569" spans="1:13" s="120" customFormat="1" x14ac:dyDescent="0.25">
      <c r="A4569" s="119"/>
      <c r="B4569" s="138" t="str">
        <f t="shared" si="282"/>
        <v>Windrow</v>
      </c>
      <c r="C4569" s="138" t="str">
        <f t="shared" si="280"/>
        <v>Without Amendment</v>
      </c>
      <c r="D4569" s="138" t="str">
        <f t="shared" si="281"/>
        <v>Base_Low</v>
      </c>
      <c r="E4569" s="138" t="str">
        <f t="shared" si="279"/>
        <v>Base</v>
      </c>
      <c r="F4569" s="138" t="str">
        <f t="shared" si="283"/>
        <v>Upgraded</v>
      </c>
      <c r="G4569" s="153"/>
      <c r="H4569" s="210">
        <v>8.2100000000000006E-2</v>
      </c>
      <c r="I4569" s="160" t="s">
        <v>53</v>
      </c>
      <c r="J4569" s="160">
        <v>4.6999999999999999E-4</v>
      </c>
      <c r="K4569" s="160" t="s">
        <v>145</v>
      </c>
      <c r="L4569" s="154" t="str">
        <f>IF(OpenLCAbasic!K4569="CTUh", "Fill in Manually",IF(OR(K4569="Unit", K4569=""), "", INDEX(LookUps!$E$5:$E$12, MATCH(OpenLCAbasic!K4569,LookUps!$D$5:$D$12,0))))</f>
        <v>Particulate Matter Formation Potential (PMFP) - kg PM2.5 eq</v>
      </c>
      <c r="M4569" s="154" t="str">
        <f t="shared" si="284"/>
        <v>Base_Base_Low_Upgraded_Particulate Matter Formation Potential (PMFP) - kg PM2.5 eq_Wet Well and Sump Station; wastewater treatment unit; at updated plant - US_Without Amendment_Windrow</v>
      </c>
    </row>
    <row r="4570" spans="1:13" s="120" customFormat="1" x14ac:dyDescent="0.25">
      <c r="A4570" s="119"/>
      <c r="B4570" s="138" t="str">
        <f t="shared" si="282"/>
        <v>Windrow</v>
      </c>
      <c r="C4570" s="138" t="str">
        <f t="shared" si="280"/>
        <v>Without Amendment</v>
      </c>
      <c r="D4570" s="138" t="str">
        <f t="shared" si="281"/>
        <v>Base_Low</v>
      </c>
      <c r="E4570" s="138" t="str">
        <f t="shared" si="279"/>
        <v>Base</v>
      </c>
      <c r="F4570" s="138" t="str">
        <f t="shared" si="283"/>
        <v>Upgraded</v>
      </c>
      <c r="G4570" s="153"/>
      <c r="H4570" s="210">
        <v>5.9299999999999999E-2</v>
      </c>
      <c r="I4570" s="160" t="s">
        <v>149</v>
      </c>
      <c r="J4570" s="160">
        <v>3.4000000000000002E-4</v>
      </c>
      <c r="K4570" s="160" t="s">
        <v>145</v>
      </c>
      <c r="L4570" s="154" t="str">
        <f>IF(OpenLCAbasic!K4570="CTUh", "Fill in Manually",IF(OR(K4570="Unit", K4570=""), "", INDEX(LookUps!$E$5:$E$12, MATCH(OpenLCAbasic!K4570,LookUps!$D$5:$D$12,0))))</f>
        <v>Particulate Matter Formation Potential (PMFP) - kg PM2.5 eq</v>
      </c>
      <c r="M4570" s="154" t="str">
        <f t="shared" si="284"/>
        <v>Base_Base_Low_Upgraded_Particulate Matter Formation Potential (PMFP) - kg PM2.5 eq_Anaerobic Digestion; wastewater treatment unit; at updated plant - US_Without Amendment_Windrow</v>
      </c>
    </row>
    <row r="4571" spans="1:13" s="120" customFormat="1" x14ac:dyDescent="0.25">
      <c r="A4571" s="119"/>
      <c r="B4571" s="138" t="str">
        <f t="shared" si="282"/>
        <v>Windrow</v>
      </c>
      <c r="C4571" s="138" t="str">
        <f t="shared" si="280"/>
        <v>Without Amendment</v>
      </c>
      <c r="D4571" s="138" t="str">
        <f t="shared" si="281"/>
        <v>Base_Low</v>
      </c>
      <c r="E4571" s="138" t="str">
        <f t="shared" si="279"/>
        <v>Base</v>
      </c>
      <c r="F4571" s="138" t="str">
        <f t="shared" si="283"/>
        <v>Upgraded</v>
      </c>
      <c r="G4571" s="153"/>
      <c r="H4571" s="210">
        <v>5.2600000000000001E-2</v>
      </c>
      <c r="I4571" s="160" t="s">
        <v>167</v>
      </c>
      <c r="J4571" s="160">
        <v>2.9999999999999997E-4</v>
      </c>
      <c r="K4571" s="160" t="s">
        <v>145</v>
      </c>
      <c r="L4571" s="154" t="str">
        <f>IF(OpenLCAbasic!K4571="CTUh", "Fill in Manually",IF(OR(K4571="Unit", K4571=""), "", INDEX(LookUps!$E$5:$E$12, MATCH(OpenLCAbasic!K4571,LookUps!$D$5:$D$12,0))))</f>
        <v>Particulate Matter Formation Potential (PMFP) - kg PM2.5 eq</v>
      </c>
      <c r="M4571" s="154" t="str">
        <f t="shared" si="284"/>
        <v>Base_Base_Low_Upgraded_Particulate Matter Formation Potential (PMFP) - kg PM2.5 eq_Waste Receiving and Holding; wastewater treatment unit; at updated plant - US_Without Amendment_Windrow</v>
      </c>
    </row>
    <row r="4572" spans="1:13" s="120" customFormat="1" x14ac:dyDescent="0.25">
      <c r="A4572" s="119"/>
      <c r="B4572" s="138" t="str">
        <f t="shared" si="282"/>
        <v>Windrow</v>
      </c>
      <c r="C4572" s="138" t="str">
        <f t="shared" si="280"/>
        <v>Without Amendment</v>
      </c>
      <c r="D4572" s="138" t="str">
        <f t="shared" si="281"/>
        <v>Base_Low</v>
      </c>
      <c r="E4572" s="138" t="str">
        <f t="shared" si="279"/>
        <v>Base</v>
      </c>
      <c r="F4572" s="138" t="str">
        <f t="shared" si="283"/>
        <v>Upgraded</v>
      </c>
      <c r="G4572" s="153"/>
      <c r="H4572" s="210">
        <v>4.6899999999999997E-2</v>
      </c>
      <c r="I4572" s="160" t="s">
        <v>147</v>
      </c>
      <c r="J4572" s="160">
        <v>2.7E-4</v>
      </c>
      <c r="K4572" s="160" t="s">
        <v>145</v>
      </c>
      <c r="L4572" s="154" t="str">
        <f>IF(OpenLCAbasic!K4572="CTUh", "Fill in Manually",IF(OR(K4572="Unit", K4572=""), "", INDEX(LookUps!$E$5:$E$12, MATCH(OpenLCAbasic!K4572,LookUps!$D$5:$D$12,0))))</f>
        <v>Particulate Matter Formation Potential (PMFP) - kg PM2.5 eq</v>
      </c>
      <c r="M4572" s="154" t="str">
        <f t="shared" si="284"/>
        <v>Base_Base_Low_Upgraded_Particulate Matter Formation Potential (PMFP) - kg PM2.5 eq_Influent Pump Station; wastewater treatment unit; at updated plant - US_Without Amendment_Windrow</v>
      </c>
    </row>
    <row r="4573" spans="1:13" s="120" customFormat="1" x14ac:dyDescent="0.25">
      <c r="A4573" s="119"/>
      <c r="B4573" s="138" t="str">
        <f t="shared" si="282"/>
        <v>Windrow</v>
      </c>
      <c r="C4573" s="138" t="str">
        <f t="shared" si="280"/>
        <v>Without Amendment</v>
      </c>
      <c r="D4573" s="138" t="str">
        <f t="shared" si="281"/>
        <v>Base_Low</v>
      </c>
      <c r="E4573" s="138" t="str">
        <f t="shared" si="279"/>
        <v>Base</v>
      </c>
      <c r="F4573" s="138" t="str">
        <f t="shared" si="283"/>
        <v>Upgraded</v>
      </c>
      <c r="G4573" s="153"/>
      <c r="H4573" s="210">
        <v>2.93E-2</v>
      </c>
      <c r="I4573" s="160" t="s">
        <v>128</v>
      </c>
      <c r="J4573" s="160">
        <v>1.7000000000000001E-4</v>
      </c>
      <c r="K4573" s="160" t="s">
        <v>145</v>
      </c>
      <c r="L4573" s="154" t="str">
        <f>IF(OpenLCAbasic!K4573="CTUh", "Fill in Manually",IF(OR(K4573="Unit", K4573=""), "", INDEX(LookUps!$E$5:$E$12, MATCH(OpenLCAbasic!K4573,LookUps!$D$5:$D$12,0))))</f>
        <v>Particulate Matter Formation Potential (PMFP) - kg PM2.5 eq</v>
      </c>
      <c r="M4573" s="154" t="str">
        <f t="shared" si="284"/>
        <v>Base_Base_Low_Upgraded_Particulate Matter Formation Potential (PMFP) - kg PM2.5 eq_Wastewater collection; operation and infrastructure; m3 wastewater_Without Amendment_Windrow</v>
      </c>
    </row>
    <row r="4574" spans="1:13" s="120" customFormat="1" x14ac:dyDescent="0.25">
      <c r="A4574" s="119"/>
      <c r="B4574" s="138" t="str">
        <f t="shared" si="282"/>
        <v>Windrow</v>
      </c>
      <c r="C4574" s="138" t="str">
        <f t="shared" si="280"/>
        <v>Without Amendment</v>
      </c>
      <c r="D4574" s="138" t="str">
        <f t="shared" si="281"/>
        <v>Base_Low</v>
      </c>
      <c r="E4574" s="138" t="str">
        <f t="shared" si="279"/>
        <v>Base</v>
      </c>
      <c r="F4574" s="138" t="str">
        <f t="shared" si="283"/>
        <v>Upgraded</v>
      </c>
      <c r="G4574" s="153"/>
      <c r="H4574" s="210">
        <v>2.5100000000000001E-2</v>
      </c>
      <c r="I4574" s="160" t="s">
        <v>271</v>
      </c>
      <c r="J4574" s="160">
        <v>1.3999999999999999E-4</v>
      </c>
      <c r="K4574" s="160" t="s">
        <v>145</v>
      </c>
      <c r="L4574" s="154" t="str">
        <f>IF(OpenLCAbasic!K4574="CTUh", "Fill in Manually",IF(OR(K4574="Unit", K4574=""), "", INDEX(LookUps!$E$5:$E$12, MATCH(OpenLCAbasic!K4574,LookUps!$D$5:$D$12,0))))</f>
        <v>Particulate Matter Formation Potential (PMFP) - kg PM2.5 eq</v>
      </c>
      <c r="M4574" s="154" t="str">
        <f t="shared" si="284"/>
        <v>Base_Base_Low_Upgraded_Particulate Matter Formation Potential (PMFP) - kg PM2.5 eq_Biosolids composting; windrow composting; wastewater treatment unit; at updated plant - US_Without Amendment_Windrow</v>
      </c>
    </row>
    <row r="4575" spans="1:13" s="120" customFormat="1" x14ac:dyDescent="0.25">
      <c r="A4575" s="119"/>
      <c r="B4575" s="138" t="str">
        <f t="shared" si="282"/>
        <v>Windrow</v>
      </c>
      <c r="C4575" s="138" t="str">
        <f t="shared" si="280"/>
        <v>Without Amendment</v>
      </c>
      <c r="D4575" s="138" t="str">
        <f t="shared" si="281"/>
        <v>Base_Low</v>
      </c>
      <c r="E4575" s="138" t="str">
        <f t="shared" si="279"/>
        <v>Base</v>
      </c>
      <c r="F4575" s="138" t="str">
        <f t="shared" si="283"/>
        <v>Upgraded</v>
      </c>
      <c r="G4575" s="153"/>
      <c r="H4575" s="210">
        <v>2.0400000000000001E-2</v>
      </c>
      <c r="I4575" s="160" t="s">
        <v>60</v>
      </c>
      <c r="J4575" s="160">
        <v>1.2E-4</v>
      </c>
      <c r="K4575" s="160" t="s">
        <v>145</v>
      </c>
      <c r="L4575" s="154" t="str">
        <f>IF(OpenLCAbasic!K4575="CTUh", "Fill in Manually",IF(OR(K4575="Unit", K4575=""), "", INDEX(LookUps!$E$5:$E$12, MATCH(OpenLCAbasic!K4575,LookUps!$D$5:$D$12,0))))</f>
        <v>Particulate Matter Formation Potential (PMFP) - kg PM2.5 eq</v>
      </c>
      <c r="M4575" s="154" t="str">
        <f t="shared" si="284"/>
        <v>Base_Base_Low_Upgraded_Particulate Matter Formation Potential (PMFP) - kg PM2.5 eq_Belt filter press; wastewater treatment unit; at updated plant - US_Without Amendment_Windrow</v>
      </c>
    </row>
    <row r="4576" spans="1:13" s="120" customFormat="1" x14ac:dyDescent="0.25">
      <c r="A4576" s="119"/>
      <c r="B4576" s="138" t="str">
        <f t="shared" si="282"/>
        <v>Windrow</v>
      </c>
      <c r="C4576" s="138" t="str">
        <f t="shared" si="280"/>
        <v>Without Amendment</v>
      </c>
      <c r="D4576" s="138" t="str">
        <f t="shared" si="281"/>
        <v>Base_Low</v>
      </c>
      <c r="E4576" s="138" t="str">
        <f t="shared" si="279"/>
        <v>Base</v>
      </c>
      <c r="F4576" s="138" t="str">
        <f t="shared" si="283"/>
        <v>Upgraded</v>
      </c>
      <c r="G4576" s="153"/>
      <c r="H4576" s="210">
        <v>1.67E-2</v>
      </c>
      <c r="I4576" s="160" t="s">
        <v>57</v>
      </c>
      <c r="J4576" s="211">
        <v>9.5153800000000004E-5</v>
      </c>
      <c r="K4576" s="160" t="s">
        <v>145</v>
      </c>
      <c r="L4576" s="154" t="str">
        <f>IF(OpenLCAbasic!K4576="CTUh", "Fill in Manually",IF(OR(K4576="Unit", K4576=""), "", INDEX(LookUps!$E$5:$E$12, MATCH(OpenLCAbasic!K4576,LookUps!$D$5:$D$12,0))))</f>
        <v>Particulate Matter Formation Potential (PMFP) - kg PM2.5 eq</v>
      </c>
      <c r="M4576" s="154" t="str">
        <f t="shared" si="284"/>
        <v>Base_Base_Low_Upgraded_Particulate Matter Formation Potential (PMFP) - kg PM2.5 eq_Gravity Belt Thickener; wastewater treatment unit; at updated plant - US_Without Amendment_Windrow</v>
      </c>
    </row>
    <row r="4577" spans="1:13" s="120" customFormat="1" x14ac:dyDescent="0.25">
      <c r="A4577" s="119"/>
      <c r="B4577" s="138" t="str">
        <f t="shared" si="282"/>
        <v>Windrow</v>
      </c>
      <c r="C4577" s="138" t="str">
        <f t="shared" si="280"/>
        <v>Without Amendment</v>
      </c>
      <c r="D4577" s="138" t="str">
        <f t="shared" si="281"/>
        <v>Base_Low</v>
      </c>
      <c r="E4577" s="138" t="str">
        <f t="shared" si="279"/>
        <v>Base</v>
      </c>
      <c r="F4577" s="138" t="str">
        <f t="shared" si="283"/>
        <v>Upgraded</v>
      </c>
      <c r="G4577" s="153"/>
      <c r="H4577" s="210">
        <v>1.23E-2</v>
      </c>
      <c r="I4577" s="160" t="s">
        <v>59</v>
      </c>
      <c r="J4577" s="211">
        <v>6.9942200000000003E-5</v>
      </c>
      <c r="K4577" s="160" t="s">
        <v>145</v>
      </c>
      <c r="L4577" s="154" t="str">
        <f>IF(OpenLCAbasic!K4577="CTUh", "Fill in Manually",IF(OR(K4577="Unit", K4577=""), "", INDEX(LookUps!$E$5:$E$12, MATCH(OpenLCAbasic!K4577,LookUps!$D$5:$D$12,0))))</f>
        <v>Particulate Matter Formation Potential (PMFP) - kg PM2.5 eq</v>
      </c>
      <c r="M4577" s="154" t="str">
        <f t="shared" si="284"/>
        <v>Base_Base_Low_Upgraded_Particulate Matter Formation Potential (PMFP) - kg PM2.5 eq_Blend Tank; wastewater treatment unit; at updated plant - US_Without Amendment_Windrow</v>
      </c>
    </row>
    <row r="4578" spans="1:13" s="120" customFormat="1" x14ac:dyDescent="0.25">
      <c r="A4578" s="119"/>
      <c r="B4578" s="138" t="str">
        <f t="shared" si="282"/>
        <v>Windrow</v>
      </c>
      <c r="C4578" s="138" t="str">
        <f t="shared" si="280"/>
        <v>Without Amendment</v>
      </c>
      <c r="D4578" s="138" t="str">
        <f t="shared" si="281"/>
        <v>Base_Low</v>
      </c>
      <c r="E4578" s="138" t="str">
        <f t="shared" si="279"/>
        <v>Base</v>
      </c>
      <c r="F4578" s="138" t="str">
        <f t="shared" si="283"/>
        <v>Upgraded</v>
      </c>
      <c r="G4578" s="153"/>
      <c r="H4578" s="210">
        <v>8.8000000000000005E-3</v>
      </c>
      <c r="I4578" s="160" t="s">
        <v>48</v>
      </c>
      <c r="J4578" s="211">
        <v>4.99741E-5</v>
      </c>
      <c r="K4578" s="160" t="s">
        <v>145</v>
      </c>
      <c r="L4578" s="154" t="str">
        <f>IF(OpenLCAbasic!K4578="CTUh", "Fill in Manually",IF(OR(K4578="Unit", K4578=""), "", INDEX(LookUps!$E$5:$E$12, MATCH(OpenLCAbasic!K4578,LookUps!$D$5:$D$12,0))))</f>
        <v>Particulate Matter Formation Potential (PMFP) - kg PM2.5 eq</v>
      </c>
      <c r="M4578" s="154" t="str">
        <f t="shared" si="284"/>
        <v>Base_Base_Low_Upgraded_Particulate Matter Formation Potential (PMFP) - kg PM2.5 eq_Effluent release; wastewater treatment unit; at surface water; m3 wastewater - US_Without Amendment_Windrow</v>
      </c>
    </row>
    <row r="4579" spans="1:13" s="120" customFormat="1" x14ac:dyDescent="0.25">
      <c r="A4579" s="119"/>
      <c r="B4579" s="138" t="str">
        <f t="shared" si="282"/>
        <v>Windrow</v>
      </c>
      <c r="C4579" s="138" t="str">
        <f t="shared" si="280"/>
        <v>Without Amendment</v>
      </c>
      <c r="D4579" s="138" t="str">
        <f t="shared" si="281"/>
        <v>Base_Low</v>
      </c>
      <c r="E4579" s="138" t="str">
        <f t="shared" si="279"/>
        <v>Base</v>
      </c>
      <c r="F4579" s="138" t="str">
        <f t="shared" si="283"/>
        <v>Upgraded</v>
      </c>
      <c r="G4579" s="153"/>
      <c r="H4579" s="210">
        <v>6.1000000000000004E-3</v>
      </c>
      <c r="I4579" s="160" t="s">
        <v>168</v>
      </c>
      <c r="J4579" s="211">
        <v>3.4562199999999999E-5</v>
      </c>
      <c r="K4579" s="160" t="s">
        <v>145</v>
      </c>
      <c r="L4579" s="154" t="str">
        <f>IF(OpenLCAbasic!K4579="CTUh", "Fill in Manually",IF(OR(K4579="Unit", K4579=""), "", INDEX(LookUps!$E$5:$E$12, MATCH(OpenLCAbasic!K4579,LookUps!$D$5:$D$12,0))))</f>
        <v>Particulate Matter Formation Potential (PMFP) - kg PM2.5 eq</v>
      </c>
      <c r="M4579" s="154" t="str">
        <f t="shared" si="284"/>
        <v>Base_Base_Low_Upgraded_Particulate Matter Formation Potential (PMFP) - kg PM2.5 eq_ClearCove SCP; wastewater treatment unit; at updated plant - US_Without Amendment_Windrow</v>
      </c>
    </row>
    <row r="4580" spans="1:13" s="120" customFormat="1" x14ac:dyDescent="0.25">
      <c r="A4580" s="119"/>
      <c r="B4580" s="138" t="str">
        <f t="shared" si="282"/>
        <v>Windrow</v>
      </c>
      <c r="C4580" s="138" t="str">
        <f t="shared" si="280"/>
        <v>Without Amendment</v>
      </c>
      <c r="D4580" s="138" t="str">
        <f t="shared" si="281"/>
        <v>Base_Low</v>
      </c>
      <c r="E4580" s="138" t="str">
        <f t="shared" si="279"/>
        <v>Base</v>
      </c>
      <c r="F4580" s="138" t="str">
        <f t="shared" si="283"/>
        <v>Upgraded</v>
      </c>
      <c r="G4580" s="153"/>
      <c r="H4580" s="210">
        <v>5.7000000000000002E-3</v>
      </c>
      <c r="I4580" s="160" t="s">
        <v>62</v>
      </c>
      <c r="J4580" s="211">
        <v>3.2604800000000003E-5</v>
      </c>
      <c r="K4580" s="160" t="s">
        <v>145</v>
      </c>
      <c r="L4580" s="154" t="str">
        <f>IF(OpenLCAbasic!K4580="CTUh", "Fill in Manually",IF(OR(K4580="Unit", K4580=""), "", INDEX(LookUps!$E$5:$E$12, MATCH(OpenLCAbasic!K4580,LookUps!$D$5:$D$12,0))))</f>
        <v>Particulate Matter Formation Potential (PMFP) - kg PM2.5 eq</v>
      </c>
      <c r="M4580" s="154" t="str">
        <f t="shared" si="284"/>
        <v>Base_Base_Low_Upgraded_Particulate Matter Formation Potential (PMFP) - kg PM2.5 eq_Land application of compost; wastewater treatment unit; at updated plant - US_Without Amendment_Windrow</v>
      </c>
    </row>
    <row r="4581" spans="1:13" s="120" customFormat="1" x14ac:dyDescent="0.25">
      <c r="A4581" s="119"/>
      <c r="B4581" s="138" t="str">
        <f t="shared" si="282"/>
        <v>Windrow</v>
      </c>
      <c r="C4581" s="138" t="str">
        <f t="shared" si="280"/>
        <v>Without Amendment</v>
      </c>
      <c r="D4581" s="138" t="str">
        <f t="shared" si="281"/>
        <v>Base_Low</v>
      </c>
      <c r="E4581" s="138" t="str">
        <f t="shared" si="279"/>
        <v>Base</v>
      </c>
      <c r="F4581" s="138" t="str">
        <f t="shared" si="283"/>
        <v>Upgraded</v>
      </c>
      <c r="G4581" s="153"/>
      <c r="H4581" s="210">
        <v>1.6000000000000001E-3</v>
      </c>
      <c r="I4581" s="160" t="s">
        <v>148</v>
      </c>
      <c r="J4581" s="211">
        <v>8.8212999999999997E-6</v>
      </c>
      <c r="K4581" s="160" t="s">
        <v>145</v>
      </c>
      <c r="L4581" s="154" t="str">
        <f>IF(OpenLCAbasic!K4581="CTUh", "Fill in Manually",IF(OR(K4581="Unit", K4581=""), "", INDEX(LookUps!$E$5:$E$12, MATCH(OpenLCAbasic!K4581,LookUps!$D$5:$D$12,0))))</f>
        <v>Particulate Matter Formation Potential (PMFP) - kg PM2.5 eq</v>
      </c>
      <c r="M4581" s="154" t="str">
        <f t="shared" si="284"/>
        <v>Base_Base_Low_Upgraded_Particulate Matter Formation Potential (PMFP) - kg PM2.5 eq_Control Building; at upgraded wastewater treatment plant - US_Without Amendment_Windrow</v>
      </c>
    </row>
    <row r="4582" spans="1:13" s="120" customFormat="1" x14ac:dyDescent="0.25">
      <c r="A4582" s="119"/>
      <c r="B4582" s="138" t="str">
        <f t="shared" si="282"/>
        <v/>
      </c>
      <c r="C4582" s="138" t="str">
        <f t="shared" si="280"/>
        <v/>
      </c>
      <c r="D4582" s="138" t="str">
        <f t="shared" si="281"/>
        <v/>
      </c>
      <c r="E4582" s="138" t="str">
        <f t="shared" si="279"/>
        <v/>
      </c>
      <c r="F4582" s="138" t="str">
        <f t="shared" si="283"/>
        <v/>
      </c>
      <c r="G4582" s="153" t="s">
        <v>51</v>
      </c>
      <c r="H4582" s="160"/>
      <c r="I4582" s="160" t="s">
        <v>47</v>
      </c>
      <c r="J4582" s="160" t="s">
        <v>52</v>
      </c>
      <c r="K4582" s="160" t="s">
        <v>27</v>
      </c>
      <c r="L4582" s="154" t="str">
        <f>IF(OpenLCAbasic!K4582="CTUh", "Fill in Manually",IF(OR(K4582="Unit", K4582=""), "", INDEX(LookUps!$E$5:$E$12, MATCH(OpenLCAbasic!K4582,LookUps!$D$5:$D$12,0))))</f>
        <v/>
      </c>
      <c r="M4582" s="154" t="str">
        <f t="shared" si="284"/>
        <v>____Process__</v>
      </c>
    </row>
    <row r="4583" spans="1:13" s="120" customFormat="1" x14ac:dyDescent="0.25">
      <c r="A4583" s="119"/>
      <c r="B4583" s="138" t="str">
        <f t="shared" si="282"/>
        <v>Windrow</v>
      </c>
      <c r="C4583" s="138" t="str">
        <f t="shared" si="280"/>
        <v>Without Amendment</v>
      </c>
      <c r="D4583" s="138" t="str">
        <f t="shared" si="281"/>
        <v>Base_Low</v>
      </c>
      <c r="E4583" s="138" t="str">
        <f t="shared" si="279"/>
        <v>Base</v>
      </c>
      <c r="F4583" s="138" t="str">
        <f t="shared" si="283"/>
        <v>Upgraded</v>
      </c>
      <c r="G4583" s="153"/>
      <c r="H4583" s="210">
        <v>0.41689999999999999</v>
      </c>
      <c r="I4583" s="160" t="s">
        <v>55</v>
      </c>
      <c r="J4583" s="160">
        <v>0.16577</v>
      </c>
      <c r="K4583" s="160" t="s">
        <v>25</v>
      </c>
      <c r="L4583" s="154" t="str">
        <f>IF(OpenLCAbasic!K4583="CTUh", "Fill in Manually",IF(OR(K4583="Unit", K4583=""), "", INDEX(LookUps!$E$5:$E$12, MATCH(OpenLCAbasic!K4583,LookUps!$D$5:$D$12,0))))</f>
        <v>Smog Formation Potential (SFP) - kg O3 eq</v>
      </c>
      <c r="M4583" s="154" t="str">
        <f t="shared" si="284"/>
        <v>Base_Base_Low_Upgraded_Smog Formation Potential (SFP) - kg O3 eq_Aeration Tanks; wastewater treatment unit; at updated plant - US_Without Amendment_Windrow</v>
      </c>
    </row>
    <row r="4584" spans="1:13" s="120" customFormat="1" x14ac:dyDescent="0.25">
      <c r="A4584" s="119"/>
      <c r="B4584" s="138" t="str">
        <f t="shared" si="282"/>
        <v>Windrow</v>
      </c>
      <c r="C4584" s="138" t="str">
        <f t="shared" si="280"/>
        <v>Without Amendment</v>
      </c>
      <c r="D4584" s="138" t="str">
        <f t="shared" si="281"/>
        <v>Base_Low</v>
      </c>
      <c r="E4584" s="138" t="str">
        <f t="shared" si="279"/>
        <v>Base</v>
      </c>
      <c r="F4584" s="138" t="str">
        <f t="shared" si="283"/>
        <v>Upgraded</v>
      </c>
      <c r="G4584" s="153"/>
      <c r="H4584" s="210">
        <v>0.12089999999999999</v>
      </c>
      <c r="I4584" s="160" t="s">
        <v>54</v>
      </c>
      <c r="J4584" s="160">
        <v>4.8070000000000002E-2</v>
      </c>
      <c r="K4584" s="160" t="s">
        <v>25</v>
      </c>
      <c r="L4584" s="154" t="str">
        <f>IF(OpenLCAbasic!K4584="CTUh", "Fill in Manually",IF(OR(K4584="Unit", K4584=""), "", INDEX(LookUps!$E$5:$E$12, MATCH(OpenLCAbasic!K4584,LookUps!$D$5:$D$12,0))))</f>
        <v>Smog Formation Potential (SFP) - kg O3 eq</v>
      </c>
      <c r="M4584" s="154" t="str">
        <f t="shared" si="284"/>
        <v>Base_Base_Low_Upgraded_Smog Formation Potential (SFP) - kg O3 eq_Clear Cove Primary Clarification; wastewater treatment unit; at updated plant - US_Without Amendment_Windrow</v>
      </c>
    </row>
    <row r="4585" spans="1:13" s="120" customFormat="1" x14ac:dyDescent="0.25">
      <c r="A4585" s="119"/>
      <c r="B4585" s="138" t="str">
        <f t="shared" si="282"/>
        <v>Windrow</v>
      </c>
      <c r="C4585" s="138" t="str">
        <f t="shared" si="280"/>
        <v>Without Amendment</v>
      </c>
      <c r="D4585" s="138" t="str">
        <f t="shared" si="281"/>
        <v>Base_Low</v>
      </c>
      <c r="E4585" s="138" t="str">
        <f t="shared" si="279"/>
        <v>Base</v>
      </c>
      <c r="F4585" s="138" t="str">
        <f t="shared" si="283"/>
        <v>Upgraded</v>
      </c>
      <c r="G4585" s="153"/>
      <c r="H4585" s="210">
        <v>0.1051</v>
      </c>
      <c r="I4585" s="160" t="s">
        <v>58</v>
      </c>
      <c r="J4585" s="160">
        <v>4.1779999999999998E-2</v>
      </c>
      <c r="K4585" s="160" t="s">
        <v>25</v>
      </c>
      <c r="L4585" s="154" t="str">
        <f>IF(OpenLCAbasic!K4585="CTUh", "Fill in Manually",IF(OR(K4585="Unit", K4585=""), "", INDEX(LookUps!$E$5:$E$12, MATCH(OpenLCAbasic!K4585,LookUps!$D$5:$D$12,0))))</f>
        <v>Smog Formation Potential (SFP) - kg O3 eq</v>
      </c>
      <c r="M4585" s="154" t="str">
        <f t="shared" si="284"/>
        <v>Base_Base_Low_Upgraded_Smog Formation Potential (SFP) - kg O3 eq_Pre-Anoxic &amp; Swing tank; wastewater treatment unit; at updated plant - US_Without Amendment_Windrow</v>
      </c>
    </row>
    <row r="4586" spans="1:13" s="120" customFormat="1" x14ac:dyDescent="0.25">
      <c r="A4586" s="119"/>
      <c r="B4586" s="138" t="str">
        <f t="shared" si="282"/>
        <v>Windrow</v>
      </c>
      <c r="C4586" s="138" t="str">
        <f t="shared" si="280"/>
        <v>Without Amendment</v>
      </c>
      <c r="D4586" s="138" t="str">
        <f t="shared" si="281"/>
        <v>Base_Low</v>
      </c>
      <c r="E4586" s="138" t="str">
        <f t="shared" si="279"/>
        <v>Base</v>
      </c>
      <c r="F4586" s="138" t="str">
        <f t="shared" si="283"/>
        <v>Upgraded</v>
      </c>
      <c r="G4586" s="153"/>
      <c r="H4586" s="210">
        <v>8.3299999999999999E-2</v>
      </c>
      <c r="I4586" s="160" t="s">
        <v>53</v>
      </c>
      <c r="J4586" s="160">
        <v>3.313E-2</v>
      </c>
      <c r="K4586" s="160" t="s">
        <v>25</v>
      </c>
      <c r="L4586" s="154" t="str">
        <f>IF(OpenLCAbasic!K4586="CTUh", "Fill in Manually",IF(OR(K4586="Unit", K4586=""), "", INDEX(LookUps!$E$5:$E$12, MATCH(OpenLCAbasic!K4586,LookUps!$D$5:$D$12,0))))</f>
        <v>Smog Formation Potential (SFP) - kg O3 eq</v>
      </c>
      <c r="M4586" s="154" t="str">
        <f t="shared" si="284"/>
        <v>Base_Base_Low_Upgraded_Smog Formation Potential (SFP) - kg O3 eq_Wet Well and Sump Station; wastewater treatment unit; at updated plant - US_Without Amendment_Windrow</v>
      </c>
    </row>
    <row r="4587" spans="1:13" s="120" customFormat="1" x14ac:dyDescent="0.25">
      <c r="A4587" s="119"/>
      <c r="B4587" s="138" t="str">
        <f t="shared" si="282"/>
        <v>Windrow</v>
      </c>
      <c r="C4587" s="138" t="str">
        <f t="shared" si="280"/>
        <v>Without Amendment</v>
      </c>
      <c r="D4587" s="138" t="str">
        <f t="shared" si="281"/>
        <v>Base_Low</v>
      </c>
      <c r="E4587" s="138" t="str">
        <f t="shared" si="279"/>
        <v>Base</v>
      </c>
      <c r="F4587" s="138" t="str">
        <f t="shared" si="283"/>
        <v>Upgraded</v>
      </c>
      <c r="G4587" s="153"/>
      <c r="H4587" s="210">
        <v>7.0300000000000001E-2</v>
      </c>
      <c r="I4587" s="160" t="s">
        <v>167</v>
      </c>
      <c r="J4587" s="160">
        <v>2.7949999999999999E-2</v>
      </c>
      <c r="K4587" s="160" t="s">
        <v>25</v>
      </c>
      <c r="L4587" s="154" t="str">
        <f>IF(OpenLCAbasic!K4587="CTUh", "Fill in Manually",IF(OR(K4587="Unit", K4587=""), "", INDEX(LookUps!$E$5:$E$12, MATCH(OpenLCAbasic!K4587,LookUps!$D$5:$D$12,0))))</f>
        <v>Smog Formation Potential (SFP) - kg O3 eq</v>
      </c>
      <c r="M4587" s="154" t="str">
        <f t="shared" si="284"/>
        <v>Base_Base_Low_Upgraded_Smog Formation Potential (SFP) - kg O3 eq_Waste Receiving and Holding; wastewater treatment unit; at updated plant - US_Without Amendment_Windrow</v>
      </c>
    </row>
    <row r="4588" spans="1:13" s="120" customFormat="1" x14ac:dyDescent="0.25">
      <c r="A4588" s="119"/>
      <c r="B4588" s="138" t="str">
        <f t="shared" si="282"/>
        <v>Windrow</v>
      </c>
      <c r="C4588" s="138" t="str">
        <f t="shared" si="280"/>
        <v>Without Amendment</v>
      </c>
      <c r="D4588" s="138" t="str">
        <f t="shared" si="281"/>
        <v>Base_Low</v>
      </c>
      <c r="E4588" s="138" t="str">
        <f t="shared" si="279"/>
        <v>Base</v>
      </c>
      <c r="F4588" s="138" t="str">
        <f t="shared" si="283"/>
        <v>Upgraded</v>
      </c>
      <c r="G4588" s="153"/>
      <c r="H4588" s="210">
        <v>6.2600000000000003E-2</v>
      </c>
      <c r="I4588" s="160" t="s">
        <v>149</v>
      </c>
      <c r="J4588" s="160">
        <v>2.4889999999999999E-2</v>
      </c>
      <c r="K4588" s="160" t="s">
        <v>25</v>
      </c>
      <c r="L4588" s="154" t="str">
        <f>IF(OpenLCAbasic!K4588="CTUh", "Fill in Manually",IF(OR(K4588="Unit", K4588=""), "", INDEX(LookUps!$E$5:$E$12, MATCH(OpenLCAbasic!K4588,LookUps!$D$5:$D$12,0))))</f>
        <v>Smog Formation Potential (SFP) - kg O3 eq</v>
      </c>
      <c r="M4588" s="154" t="str">
        <f t="shared" si="284"/>
        <v>Base_Base_Low_Upgraded_Smog Formation Potential (SFP) - kg O3 eq_Anaerobic Digestion; wastewater treatment unit; at updated plant - US_Without Amendment_Windrow</v>
      </c>
    </row>
    <row r="4589" spans="1:13" s="120" customFormat="1" x14ac:dyDescent="0.25">
      <c r="A4589" s="119"/>
      <c r="B4589" s="138" t="str">
        <f t="shared" si="282"/>
        <v>Windrow</v>
      </c>
      <c r="C4589" s="138" t="str">
        <f t="shared" si="280"/>
        <v>Without Amendment</v>
      </c>
      <c r="D4589" s="138" t="str">
        <f t="shared" si="281"/>
        <v>Base_Low</v>
      </c>
      <c r="E4589" s="138" t="str">
        <f t="shared" si="279"/>
        <v>Base</v>
      </c>
      <c r="F4589" s="138" t="str">
        <f t="shared" si="283"/>
        <v>Upgraded</v>
      </c>
      <c r="G4589" s="153"/>
      <c r="H4589" s="210">
        <v>4.8800000000000003E-2</v>
      </c>
      <c r="I4589" s="160" t="s">
        <v>147</v>
      </c>
      <c r="J4589" s="160">
        <v>1.9400000000000001E-2</v>
      </c>
      <c r="K4589" s="160" t="s">
        <v>25</v>
      </c>
      <c r="L4589" s="154" t="str">
        <f>IF(OpenLCAbasic!K4589="CTUh", "Fill in Manually",IF(OR(K4589="Unit", K4589=""), "", INDEX(LookUps!$E$5:$E$12, MATCH(OpenLCAbasic!K4589,LookUps!$D$5:$D$12,0))))</f>
        <v>Smog Formation Potential (SFP) - kg O3 eq</v>
      </c>
      <c r="M4589" s="154" t="str">
        <f t="shared" si="284"/>
        <v>Base_Base_Low_Upgraded_Smog Formation Potential (SFP) - kg O3 eq_Influent Pump Station; wastewater treatment unit; at updated plant - US_Without Amendment_Windrow</v>
      </c>
    </row>
    <row r="4590" spans="1:13" s="120" customFormat="1" x14ac:dyDescent="0.25">
      <c r="A4590" s="119"/>
      <c r="B4590" s="138" t="str">
        <f t="shared" si="282"/>
        <v>Windrow</v>
      </c>
      <c r="C4590" s="138" t="str">
        <f t="shared" si="280"/>
        <v>Without Amendment</v>
      </c>
      <c r="D4590" s="138" t="str">
        <f t="shared" si="281"/>
        <v>Base_Low</v>
      </c>
      <c r="E4590" s="138" t="str">
        <f t="shared" si="279"/>
        <v>Base</v>
      </c>
      <c r="F4590" s="138" t="str">
        <f t="shared" si="283"/>
        <v>Upgraded</v>
      </c>
      <c r="G4590" s="153"/>
      <c r="H4590" s="210">
        <v>0.03</v>
      </c>
      <c r="I4590" s="160" t="s">
        <v>128</v>
      </c>
      <c r="J4590" s="160">
        <v>1.192E-2</v>
      </c>
      <c r="K4590" s="160" t="s">
        <v>25</v>
      </c>
      <c r="L4590" s="154" t="str">
        <f>IF(OpenLCAbasic!K4590="CTUh", "Fill in Manually",IF(OR(K4590="Unit", K4590=""), "", INDEX(LookUps!$E$5:$E$12, MATCH(OpenLCAbasic!K4590,LookUps!$D$5:$D$12,0))))</f>
        <v>Smog Formation Potential (SFP) - kg O3 eq</v>
      </c>
      <c r="M4590" s="154" t="str">
        <f t="shared" si="284"/>
        <v>Base_Base_Low_Upgraded_Smog Formation Potential (SFP) - kg O3 eq_Wastewater collection; operation and infrastructure; m3 wastewater_Without Amendment_Windrow</v>
      </c>
    </row>
    <row r="4591" spans="1:13" s="120" customFormat="1" x14ac:dyDescent="0.25">
      <c r="A4591" s="119"/>
      <c r="B4591" s="138" t="str">
        <f t="shared" si="282"/>
        <v>Windrow</v>
      </c>
      <c r="C4591" s="138" t="str">
        <f t="shared" si="280"/>
        <v>Without Amendment</v>
      </c>
      <c r="D4591" s="138" t="str">
        <f t="shared" si="281"/>
        <v>Base_Low</v>
      </c>
      <c r="E4591" s="138" t="str">
        <f t="shared" si="279"/>
        <v>Base</v>
      </c>
      <c r="F4591" s="138" t="str">
        <f t="shared" si="283"/>
        <v>Upgraded</v>
      </c>
      <c r="G4591" s="153"/>
      <c r="H4591" s="210">
        <v>2.0500000000000001E-2</v>
      </c>
      <c r="I4591" s="160" t="s">
        <v>60</v>
      </c>
      <c r="J4591" s="160">
        <v>8.1600000000000006E-3</v>
      </c>
      <c r="K4591" s="160" t="s">
        <v>25</v>
      </c>
      <c r="L4591" s="154" t="str">
        <f>IF(OpenLCAbasic!K4591="CTUh", "Fill in Manually",IF(OR(K4591="Unit", K4591=""), "", INDEX(LookUps!$E$5:$E$12, MATCH(OpenLCAbasic!K4591,LookUps!$D$5:$D$12,0))))</f>
        <v>Smog Formation Potential (SFP) - kg O3 eq</v>
      </c>
      <c r="M4591" s="154" t="str">
        <f t="shared" si="284"/>
        <v>Base_Base_Low_Upgraded_Smog Formation Potential (SFP) - kg O3 eq_Belt filter press; wastewater treatment unit; at updated plant - US_Without Amendment_Windrow</v>
      </c>
    </row>
    <row r="4592" spans="1:13" s="120" customFormat="1" x14ac:dyDescent="0.25">
      <c r="A4592" s="119"/>
      <c r="B4592" s="138" t="str">
        <f t="shared" si="282"/>
        <v>Windrow</v>
      </c>
      <c r="C4592" s="138" t="str">
        <f t="shared" si="280"/>
        <v>Without Amendment</v>
      </c>
      <c r="D4592" s="138" t="str">
        <f t="shared" si="281"/>
        <v>Base_Low</v>
      </c>
      <c r="E4592" s="138" t="str">
        <f t="shared" si="279"/>
        <v>Base</v>
      </c>
      <c r="F4592" s="138" t="str">
        <f t="shared" si="283"/>
        <v>Upgraded</v>
      </c>
      <c r="G4592" s="153"/>
      <c r="H4592" s="210">
        <v>1.67E-2</v>
      </c>
      <c r="I4592" s="160" t="s">
        <v>57</v>
      </c>
      <c r="J4592" s="160">
        <v>6.6499999999999997E-3</v>
      </c>
      <c r="K4592" s="160" t="s">
        <v>25</v>
      </c>
      <c r="L4592" s="154" t="str">
        <f>IF(OpenLCAbasic!K4592="CTUh", "Fill in Manually",IF(OR(K4592="Unit", K4592=""), "", INDEX(LookUps!$E$5:$E$12, MATCH(OpenLCAbasic!K4592,LookUps!$D$5:$D$12,0))))</f>
        <v>Smog Formation Potential (SFP) - kg O3 eq</v>
      </c>
      <c r="M4592" s="154" t="str">
        <f t="shared" si="284"/>
        <v>Base_Base_Low_Upgraded_Smog Formation Potential (SFP) - kg O3 eq_Gravity Belt Thickener; wastewater treatment unit; at updated plant - US_Without Amendment_Windrow</v>
      </c>
    </row>
    <row r="4593" spans="1:13" s="120" customFormat="1" x14ac:dyDescent="0.25">
      <c r="A4593" s="119"/>
      <c r="B4593" s="138" t="str">
        <f t="shared" si="282"/>
        <v>Windrow</v>
      </c>
      <c r="C4593" s="138" t="str">
        <f t="shared" si="280"/>
        <v>Without Amendment</v>
      </c>
      <c r="D4593" s="138" t="str">
        <f t="shared" si="281"/>
        <v>Base_Low</v>
      </c>
      <c r="E4593" s="138" t="str">
        <f t="shared" ref="E4593:E4656" si="285">IF(ISNUMBER($J4593),"Base","")</f>
        <v>Base</v>
      </c>
      <c r="F4593" s="138" t="str">
        <f t="shared" si="283"/>
        <v>Upgraded</v>
      </c>
      <c r="G4593" s="153"/>
      <c r="H4593" s="210">
        <v>1.2500000000000001E-2</v>
      </c>
      <c r="I4593" s="160" t="s">
        <v>59</v>
      </c>
      <c r="J4593" s="160">
        <v>4.9699999999999996E-3</v>
      </c>
      <c r="K4593" s="160" t="s">
        <v>25</v>
      </c>
      <c r="L4593" s="154" t="str">
        <f>IF(OpenLCAbasic!K4593="CTUh", "Fill in Manually",IF(OR(K4593="Unit", K4593=""), "", INDEX(LookUps!$E$5:$E$12, MATCH(OpenLCAbasic!K4593,LookUps!$D$5:$D$12,0))))</f>
        <v>Smog Formation Potential (SFP) - kg O3 eq</v>
      </c>
      <c r="M4593" s="154" t="str">
        <f t="shared" si="284"/>
        <v>Base_Base_Low_Upgraded_Smog Formation Potential (SFP) - kg O3 eq_Blend Tank; wastewater treatment unit; at updated plant - US_Without Amendment_Windrow</v>
      </c>
    </row>
    <row r="4594" spans="1:13" s="120" customFormat="1" x14ac:dyDescent="0.25">
      <c r="A4594" s="119"/>
      <c r="B4594" s="138" t="str">
        <f t="shared" si="282"/>
        <v>Windrow</v>
      </c>
      <c r="C4594" s="138" t="str">
        <f t="shared" si="280"/>
        <v>Without Amendment</v>
      </c>
      <c r="D4594" s="138" t="str">
        <f t="shared" si="281"/>
        <v>Base_Low</v>
      </c>
      <c r="E4594" s="138" t="str">
        <f t="shared" si="285"/>
        <v>Base</v>
      </c>
      <c r="F4594" s="138" t="str">
        <f t="shared" si="283"/>
        <v>Upgraded</v>
      </c>
      <c r="G4594" s="153"/>
      <c r="H4594" s="210">
        <v>8.5000000000000006E-3</v>
      </c>
      <c r="I4594" s="160" t="s">
        <v>48</v>
      </c>
      <c r="J4594" s="160">
        <v>3.3899999999999998E-3</v>
      </c>
      <c r="K4594" s="160" t="s">
        <v>25</v>
      </c>
      <c r="L4594" s="154" t="str">
        <f>IF(OpenLCAbasic!K4594="CTUh", "Fill in Manually",IF(OR(K4594="Unit", K4594=""), "", INDEX(LookUps!$E$5:$E$12, MATCH(OpenLCAbasic!K4594,LookUps!$D$5:$D$12,0))))</f>
        <v>Smog Formation Potential (SFP) - kg O3 eq</v>
      </c>
      <c r="M4594" s="154" t="str">
        <f t="shared" si="284"/>
        <v>Base_Base_Low_Upgraded_Smog Formation Potential (SFP) - kg O3 eq_Effluent release; wastewater treatment unit; at surface water; m3 wastewater - US_Without Amendment_Windrow</v>
      </c>
    </row>
    <row r="4595" spans="1:13" s="120" customFormat="1" x14ac:dyDescent="0.25">
      <c r="A4595" s="119"/>
      <c r="B4595" s="138" t="str">
        <f t="shared" si="282"/>
        <v>Windrow</v>
      </c>
      <c r="C4595" s="138" t="str">
        <f t="shared" si="280"/>
        <v>Without Amendment</v>
      </c>
      <c r="D4595" s="138" t="str">
        <f t="shared" si="281"/>
        <v>Base_Low</v>
      </c>
      <c r="E4595" s="138" t="str">
        <f t="shared" si="285"/>
        <v>Base</v>
      </c>
      <c r="F4595" s="138" t="str">
        <f t="shared" si="283"/>
        <v>Upgraded</v>
      </c>
      <c r="G4595" s="153"/>
      <c r="H4595" s="210">
        <v>6.1999999999999998E-3</v>
      </c>
      <c r="I4595" s="160" t="s">
        <v>168</v>
      </c>
      <c r="J4595" s="160">
        <v>2.4599999999999999E-3</v>
      </c>
      <c r="K4595" s="160" t="s">
        <v>25</v>
      </c>
      <c r="L4595" s="154" t="str">
        <f>IF(OpenLCAbasic!K4595="CTUh", "Fill in Manually",IF(OR(K4595="Unit", K4595=""), "", INDEX(LookUps!$E$5:$E$12, MATCH(OpenLCAbasic!K4595,LookUps!$D$5:$D$12,0))))</f>
        <v>Smog Formation Potential (SFP) - kg O3 eq</v>
      </c>
      <c r="M4595" s="154" t="str">
        <f t="shared" si="284"/>
        <v>Base_Base_Low_Upgraded_Smog Formation Potential (SFP) - kg O3 eq_ClearCove SCP; wastewater treatment unit; at updated plant - US_Without Amendment_Windrow</v>
      </c>
    </row>
    <row r="4596" spans="1:13" s="120" customFormat="1" x14ac:dyDescent="0.25">
      <c r="A4596" s="119"/>
      <c r="B4596" s="138" t="str">
        <f t="shared" si="282"/>
        <v>Windrow</v>
      </c>
      <c r="C4596" s="138" t="str">
        <f t="shared" si="280"/>
        <v>Without Amendment</v>
      </c>
      <c r="D4596" s="138" t="str">
        <f t="shared" si="281"/>
        <v>Base_Low</v>
      </c>
      <c r="E4596" s="138" t="str">
        <f t="shared" si="285"/>
        <v>Base</v>
      </c>
      <c r="F4596" s="138" t="str">
        <f t="shared" si="283"/>
        <v>Upgraded</v>
      </c>
      <c r="G4596" s="153"/>
      <c r="H4596" s="210">
        <v>1.4E-3</v>
      </c>
      <c r="I4596" s="160" t="s">
        <v>148</v>
      </c>
      <c r="J4596" s="160">
        <v>5.4000000000000001E-4</v>
      </c>
      <c r="K4596" s="160" t="s">
        <v>25</v>
      </c>
      <c r="L4596" s="154" t="str">
        <f>IF(OpenLCAbasic!K4596="CTUh", "Fill in Manually",IF(OR(K4596="Unit", K4596=""), "", INDEX(LookUps!$E$5:$E$12, MATCH(OpenLCAbasic!K4596,LookUps!$D$5:$D$12,0))))</f>
        <v>Smog Formation Potential (SFP) - kg O3 eq</v>
      </c>
      <c r="M4596" s="154" t="str">
        <f t="shared" si="284"/>
        <v>Base_Base_Low_Upgraded_Smog Formation Potential (SFP) - kg O3 eq_Control Building; at upgraded wastewater treatment plant - US_Without Amendment_Windrow</v>
      </c>
    </row>
    <row r="4597" spans="1:13" s="120" customFormat="1" x14ac:dyDescent="0.25">
      <c r="A4597" s="119"/>
      <c r="B4597" s="138" t="str">
        <f t="shared" si="282"/>
        <v>Windrow</v>
      </c>
      <c r="C4597" s="138" t="str">
        <f t="shared" si="280"/>
        <v>Without Amendment</v>
      </c>
      <c r="D4597" s="138" t="str">
        <f t="shared" si="281"/>
        <v>Base_Low</v>
      </c>
      <c r="E4597" s="138" t="str">
        <f t="shared" si="285"/>
        <v>Base</v>
      </c>
      <c r="F4597" s="138" t="str">
        <f t="shared" si="283"/>
        <v>Upgraded</v>
      </c>
      <c r="G4597" s="153"/>
      <c r="H4597" s="210">
        <v>1.1999999999999999E-3</v>
      </c>
      <c r="I4597" s="160" t="s">
        <v>271</v>
      </c>
      <c r="J4597" s="160">
        <v>4.6000000000000001E-4</v>
      </c>
      <c r="K4597" s="160" t="s">
        <v>25</v>
      </c>
      <c r="L4597" s="154" t="str">
        <f>IF(OpenLCAbasic!K4597="CTUh", "Fill in Manually",IF(OR(K4597="Unit", K4597=""), "", INDEX(LookUps!$E$5:$E$12, MATCH(OpenLCAbasic!K4597,LookUps!$D$5:$D$12,0))))</f>
        <v>Smog Formation Potential (SFP) - kg O3 eq</v>
      </c>
      <c r="M4597" s="154" t="str">
        <f t="shared" si="284"/>
        <v>Base_Base_Low_Upgraded_Smog Formation Potential (SFP) - kg O3 eq_Biosolids composting; windrow composting; wastewater treatment unit; at updated plant - US_Without Amendment_Windrow</v>
      </c>
    </row>
    <row r="4598" spans="1:13" s="120" customFormat="1" x14ac:dyDescent="0.25">
      <c r="A4598" s="119"/>
      <c r="B4598" s="138" t="str">
        <f t="shared" si="282"/>
        <v>Windrow</v>
      </c>
      <c r="C4598" s="138" t="str">
        <f t="shared" si="280"/>
        <v>Without Amendment</v>
      </c>
      <c r="D4598" s="138" t="str">
        <f t="shared" si="281"/>
        <v>Base_Low</v>
      </c>
      <c r="E4598" s="138" t="str">
        <f t="shared" si="285"/>
        <v>Base</v>
      </c>
      <c r="F4598" s="138" t="str">
        <f t="shared" si="283"/>
        <v>Upgraded</v>
      </c>
      <c r="G4598" s="153"/>
      <c r="H4598" s="210">
        <v>-4.8999999999999998E-3</v>
      </c>
      <c r="I4598" s="160" t="s">
        <v>62</v>
      </c>
      <c r="J4598" s="160">
        <v>-1.9300000000000001E-3</v>
      </c>
      <c r="K4598" s="160" t="s">
        <v>25</v>
      </c>
      <c r="L4598" s="154" t="str">
        <f>IF(OpenLCAbasic!K4598="CTUh", "Fill in Manually",IF(OR(K4598="Unit", K4598=""), "", INDEX(LookUps!$E$5:$E$12, MATCH(OpenLCAbasic!K4598,LookUps!$D$5:$D$12,0))))</f>
        <v>Smog Formation Potential (SFP) - kg O3 eq</v>
      </c>
      <c r="M4598" s="154" t="str">
        <f t="shared" si="284"/>
        <v>Base_Base_Low_Upgraded_Smog Formation Potential (SFP) - kg O3 eq_Land application of compost; wastewater treatment unit; at updated plant - US_Without Amendment_Windrow</v>
      </c>
    </row>
    <row r="4599" spans="1:13" s="120" customFormat="1" x14ac:dyDescent="0.25">
      <c r="A4599" s="119"/>
      <c r="B4599" s="138" t="str">
        <f t="shared" si="282"/>
        <v/>
      </c>
      <c r="C4599" s="138" t="str">
        <f t="shared" si="280"/>
        <v/>
      </c>
      <c r="D4599" s="138" t="str">
        <f t="shared" si="281"/>
        <v/>
      </c>
      <c r="E4599" s="138" t="str">
        <f t="shared" si="285"/>
        <v/>
      </c>
      <c r="F4599" s="138" t="str">
        <f t="shared" si="283"/>
        <v/>
      </c>
      <c r="G4599" s="153" t="s">
        <v>51</v>
      </c>
      <c r="H4599" s="160"/>
      <c r="I4599" s="160" t="s">
        <v>47</v>
      </c>
      <c r="J4599" s="160" t="s">
        <v>52</v>
      </c>
      <c r="K4599" s="160" t="s">
        <v>27</v>
      </c>
      <c r="L4599" s="154" t="str">
        <f>IF(OpenLCAbasic!K4599="CTUh", "Fill in Manually",IF(OR(K4599="Unit", K4599=""), "", INDEX(LookUps!$E$5:$E$12, MATCH(OpenLCAbasic!K4599,LookUps!$D$5:$D$12,0))))</f>
        <v/>
      </c>
      <c r="M4599" s="154" t="str">
        <f t="shared" si="284"/>
        <v>____Process__</v>
      </c>
    </row>
    <row r="4600" spans="1:13" s="120" customFormat="1" x14ac:dyDescent="0.25">
      <c r="A4600" s="119"/>
      <c r="B4600" s="138" t="str">
        <f t="shared" si="282"/>
        <v>Windrow</v>
      </c>
      <c r="C4600" s="138" t="str">
        <f t="shared" si="280"/>
        <v>Without Amendment</v>
      </c>
      <c r="D4600" s="138" t="str">
        <f t="shared" si="281"/>
        <v>Base_Low</v>
      </c>
      <c r="E4600" s="138" t="str">
        <f t="shared" si="285"/>
        <v>Base</v>
      </c>
      <c r="F4600" s="138" t="str">
        <f t="shared" si="283"/>
        <v>Upgraded</v>
      </c>
      <c r="G4600" s="153"/>
      <c r="H4600" s="210">
        <v>0.62770000000000004</v>
      </c>
      <c r="I4600" s="160" t="s">
        <v>167</v>
      </c>
      <c r="J4600" s="160">
        <v>2.3000000000000001E-4</v>
      </c>
      <c r="K4600" s="160" t="s">
        <v>26</v>
      </c>
      <c r="L4600" s="154" t="str">
        <f>IF(OpenLCAbasic!K4600="CTUh", "Fill in Manually",IF(OR(K4600="Unit", K4600=""), "", INDEX(LookUps!$E$5:$E$12, MATCH(OpenLCAbasic!K4600,LookUps!$D$5:$D$12,0))))</f>
        <v>Water Use (WU) - m3 H2O</v>
      </c>
      <c r="M4600" s="154" t="str">
        <f t="shared" si="284"/>
        <v>Base_Base_Low_Upgraded_Water Use (WU) - m3 H2O_Waste Receiving and Holding; wastewater treatment unit; at updated plant - US_Without Amendment_Windrow</v>
      </c>
    </row>
    <row r="4601" spans="1:13" s="120" customFormat="1" x14ac:dyDescent="0.25">
      <c r="A4601" s="119"/>
      <c r="B4601" s="138" t="str">
        <f t="shared" si="282"/>
        <v>Windrow</v>
      </c>
      <c r="C4601" s="138" t="str">
        <f t="shared" si="280"/>
        <v>Without Amendment</v>
      </c>
      <c r="D4601" s="138" t="str">
        <f t="shared" si="281"/>
        <v>Base_Low</v>
      </c>
      <c r="E4601" s="138" t="str">
        <f t="shared" si="285"/>
        <v>Base</v>
      </c>
      <c r="F4601" s="138" t="str">
        <f t="shared" si="283"/>
        <v>Upgraded</v>
      </c>
      <c r="G4601" s="153"/>
      <c r="H4601" s="210">
        <v>0.49669999999999997</v>
      </c>
      <c r="I4601" s="160" t="s">
        <v>147</v>
      </c>
      <c r="J4601" s="160">
        <v>1.8000000000000001E-4</v>
      </c>
      <c r="K4601" s="160" t="s">
        <v>26</v>
      </c>
      <c r="L4601" s="154" t="str">
        <f>IF(OpenLCAbasic!K4601="CTUh", "Fill in Manually",IF(OR(K4601="Unit", K4601=""), "", INDEX(LookUps!$E$5:$E$12, MATCH(OpenLCAbasic!K4601,LookUps!$D$5:$D$12,0))))</f>
        <v>Water Use (WU) - m3 H2O</v>
      </c>
      <c r="M4601" s="154" t="str">
        <f t="shared" si="284"/>
        <v>Base_Base_Low_Upgraded_Water Use (WU) - m3 H2O_Influent Pump Station; wastewater treatment unit; at updated plant - US_Without Amendment_Windrow</v>
      </c>
    </row>
    <row r="4602" spans="1:13" s="120" customFormat="1" x14ac:dyDescent="0.25">
      <c r="A4602" s="119"/>
      <c r="B4602" s="138" t="str">
        <f t="shared" si="282"/>
        <v>Windrow</v>
      </c>
      <c r="C4602" s="138" t="str">
        <f t="shared" si="280"/>
        <v>Without Amendment</v>
      </c>
      <c r="D4602" s="138" t="str">
        <f t="shared" si="281"/>
        <v>Base_Low</v>
      </c>
      <c r="E4602" s="138" t="str">
        <f t="shared" si="285"/>
        <v>Base</v>
      </c>
      <c r="F4602" s="138" t="str">
        <f t="shared" si="283"/>
        <v>Upgraded</v>
      </c>
      <c r="G4602" s="153"/>
      <c r="H4602" s="210">
        <v>0.48459999999999998</v>
      </c>
      <c r="I4602" s="160" t="s">
        <v>54</v>
      </c>
      <c r="J4602" s="160">
        <v>1.8000000000000001E-4</v>
      </c>
      <c r="K4602" s="160" t="s">
        <v>26</v>
      </c>
      <c r="L4602" s="154" t="str">
        <f>IF(OpenLCAbasic!K4602="CTUh", "Fill in Manually",IF(OR(K4602="Unit", K4602=""), "", INDEX(LookUps!$E$5:$E$12, MATCH(OpenLCAbasic!K4602,LookUps!$D$5:$D$12,0))))</f>
        <v>Water Use (WU) - m3 H2O</v>
      </c>
      <c r="M4602" s="154" t="str">
        <f t="shared" si="284"/>
        <v>Base_Base_Low_Upgraded_Water Use (WU) - m3 H2O_Clear Cove Primary Clarification; wastewater treatment unit; at updated plant - US_Without Amendment_Windrow</v>
      </c>
    </row>
    <row r="4603" spans="1:13" s="120" customFormat="1" x14ac:dyDescent="0.25">
      <c r="A4603" s="119"/>
      <c r="B4603" s="138" t="str">
        <f t="shared" si="282"/>
        <v>Windrow</v>
      </c>
      <c r="C4603" s="138" t="str">
        <f t="shared" si="280"/>
        <v>Without Amendment</v>
      </c>
      <c r="D4603" s="138" t="str">
        <f t="shared" si="281"/>
        <v>Base_Low</v>
      </c>
      <c r="E4603" s="138" t="str">
        <f t="shared" si="285"/>
        <v>Base</v>
      </c>
      <c r="F4603" s="138" t="str">
        <f t="shared" si="283"/>
        <v>Upgraded</v>
      </c>
      <c r="G4603" s="153"/>
      <c r="H4603" s="210">
        <v>0.43969999999999998</v>
      </c>
      <c r="I4603" s="160" t="s">
        <v>55</v>
      </c>
      <c r="J4603" s="160">
        <v>1.6000000000000001E-4</v>
      </c>
      <c r="K4603" s="160" t="s">
        <v>26</v>
      </c>
      <c r="L4603" s="154" t="str">
        <f>IF(OpenLCAbasic!K4603="CTUh", "Fill in Manually",IF(OR(K4603="Unit", K4603=""), "", INDEX(LookUps!$E$5:$E$12, MATCH(OpenLCAbasic!K4603,LookUps!$D$5:$D$12,0))))</f>
        <v>Water Use (WU) - m3 H2O</v>
      </c>
      <c r="M4603" s="154" t="str">
        <f t="shared" si="284"/>
        <v>Base_Base_Low_Upgraded_Water Use (WU) - m3 H2O_Aeration Tanks; wastewater treatment unit; at updated plant - US_Without Amendment_Windrow</v>
      </c>
    </row>
    <row r="4604" spans="1:13" s="120" customFormat="1" x14ac:dyDescent="0.25">
      <c r="A4604" s="119"/>
      <c r="B4604" s="138" t="str">
        <f t="shared" si="282"/>
        <v>Windrow</v>
      </c>
      <c r="C4604" s="138" t="str">
        <f t="shared" si="280"/>
        <v>Without Amendment</v>
      </c>
      <c r="D4604" s="138" t="str">
        <f t="shared" si="281"/>
        <v>Base_Low</v>
      </c>
      <c r="E4604" s="138" t="str">
        <f t="shared" si="285"/>
        <v>Base</v>
      </c>
      <c r="F4604" s="138" t="str">
        <f t="shared" si="283"/>
        <v>Upgraded</v>
      </c>
      <c r="G4604" s="153"/>
      <c r="H4604" s="210">
        <v>0.40050000000000002</v>
      </c>
      <c r="I4604" s="160" t="s">
        <v>148</v>
      </c>
      <c r="J4604" s="160">
        <v>1.4999999999999999E-4</v>
      </c>
      <c r="K4604" s="160" t="s">
        <v>26</v>
      </c>
      <c r="L4604" s="154" t="str">
        <f>IF(OpenLCAbasic!K4604="CTUh", "Fill in Manually",IF(OR(K4604="Unit", K4604=""), "", INDEX(LookUps!$E$5:$E$12, MATCH(OpenLCAbasic!K4604,LookUps!$D$5:$D$12,0))))</f>
        <v>Water Use (WU) - m3 H2O</v>
      </c>
      <c r="M4604" s="154" t="str">
        <f t="shared" si="284"/>
        <v>Base_Base_Low_Upgraded_Water Use (WU) - m3 H2O_Control Building; at upgraded wastewater treatment plant - US_Without Amendment_Windrow</v>
      </c>
    </row>
    <row r="4605" spans="1:13" s="120" customFormat="1" x14ac:dyDescent="0.25">
      <c r="A4605" s="119"/>
      <c r="B4605" s="138" t="str">
        <f t="shared" si="282"/>
        <v>Windrow</v>
      </c>
      <c r="C4605" s="138" t="str">
        <f t="shared" si="280"/>
        <v>Without Amendment</v>
      </c>
      <c r="D4605" s="138" t="str">
        <f t="shared" si="281"/>
        <v>Base_Low</v>
      </c>
      <c r="E4605" s="138" t="str">
        <f t="shared" si="285"/>
        <v>Base</v>
      </c>
      <c r="F4605" s="138" t="str">
        <f t="shared" si="283"/>
        <v>Upgraded</v>
      </c>
      <c r="G4605" s="153"/>
      <c r="H4605" s="210">
        <v>0.186</v>
      </c>
      <c r="I4605" s="160" t="s">
        <v>48</v>
      </c>
      <c r="J4605" s="211">
        <v>6.8836400000000004E-5</v>
      </c>
      <c r="K4605" s="160" t="s">
        <v>26</v>
      </c>
      <c r="L4605" s="154" t="str">
        <f>IF(OpenLCAbasic!K4605="CTUh", "Fill in Manually",IF(OR(K4605="Unit", K4605=""), "", INDEX(LookUps!$E$5:$E$12, MATCH(OpenLCAbasic!K4605,LookUps!$D$5:$D$12,0))))</f>
        <v>Water Use (WU) - m3 H2O</v>
      </c>
      <c r="M4605" s="154" t="str">
        <f t="shared" si="284"/>
        <v>Base_Base_Low_Upgraded_Water Use (WU) - m3 H2O_Effluent release; wastewater treatment unit; at surface water; m3 wastewater - US_Without Amendment_Windrow</v>
      </c>
    </row>
    <row r="4606" spans="1:13" s="120" customFormat="1" x14ac:dyDescent="0.25">
      <c r="A4606" s="119"/>
      <c r="B4606" s="138" t="str">
        <f t="shared" si="282"/>
        <v>Windrow</v>
      </c>
      <c r="C4606" s="138" t="str">
        <f t="shared" si="280"/>
        <v>Without Amendment</v>
      </c>
      <c r="D4606" s="138" t="str">
        <f t="shared" si="281"/>
        <v>Base_Low</v>
      </c>
      <c r="E4606" s="138" t="str">
        <f t="shared" si="285"/>
        <v>Base</v>
      </c>
      <c r="F4606" s="138" t="str">
        <f t="shared" si="283"/>
        <v>Upgraded</v>
      </c>
      <c r="G4606" s="153"/>
      <c r="H4606" s="210">
        <v>0.12790000000000001</v>
      </c>
      <c r="I4606" s="160" t="s">
        <v>149</v>
      </c>
      <c r="J4606" s="211">
        <v>4.7332900000000002E-5</v>
      </c>
      <c r="K4606" s="160" t="s">
        <v>26</v>
      </c>
      <c r="L4606" s="154" t="str">
        <f>IF(OpenLCAbasic!K4606="CTUh", "Fill in Manually",IF(OR(K4606="Unit", K4606=""), "", INDEX(LookUps!$E$5:$E$12, MATCH(OpenLCAbasic!K4606,LookUps!$D$5:$D$12,0))))</f>
        <v>Water Use (WU) - m3 H2O</v>
      </c>
      <c r="M4606" s="154" t="str">
        <f t="shared" si="284"/>
        <v>Base_Base_Low_Upgraded_Water Use (WU) - m3 H2O_Anaerobic Digestion; wastewater treatment unit; at updated plant - US_Without Amendment_Windrow</v>
      </c>
    </row>
    <row r="4607" spans="1:13" s="120" customFormat="1" x14ac:dyDescent="0.25">
      <c r="A4607" s="119"/>
      <c r="B4607" s="138" t="str">
        <f t="shared" si="282"/>
        <v>Windrow</v>
      </c>
      <c r="C4607" s="138" t="str">
        <f t="shared" si="280"/>
        <v>Without Amendment</v>
      </c>
      <c r="D4607" s="138" t="str">
        <f t="shared" si="281"/>
        <v>Base_Low</v>
      </c>
      <c r="E4607" s="138" t="str">
        <f t="shared" si="285"/>
        <v>Base</v>
      </c>
      <c r="F4607" s="138" t="str">
        <f t="shared" si="283"/>
        <v>Upgraded</v>
      </c>
      <c r="G4607" s="153"/>
      <c r="H4607" s="210">
        <v>0.1167</v>
      </c>
      <c r="I4607" s="160" t="s">
        <v>58</v>
      </c>
      <c r="J4607" s="211">
        <v>4.3192100000000003E-5</v>
      </c>
      <c r="K4607" s="160" t="s">
        <v>26</v>
      </c>
      <c r="L4607" s="154" t="str">
        <f>IF(OpenLCAbasic!K4607="CTUh", "Fill in Manually",IF(OR(K4607="Unit", K4607=""), "", INDEX(LookUps!$E$5:$E$12, MATCH(OpenLCAbasic!K4607,LookUps!$D$5:$D$12,0))))</f>
        <v>Water Use (WU) - m3 H2O</v>
      </c>
      <c r="M4607" s="154" t="str">
        <f t="shared" si="284"/>
        <v>Base_Base_Low_Upgraded_Water Use (WU) - m3 H2O_Pre-Anoxic &amp; Swing tank; wastewater treatment unit; at updated plant - US_Without Amendment_Windrow</v>
      </c>
    </row>
    <row r="4608" spans="1:13" s="120" customFormat="1" x14ac:dyDescent="0.25">
      <c r="A4608" s="119"/>
      <c r="B4608" s="138" t="str">
        <f t="shared" si="282"/>
        <v>Windrow</v>
      </c>
      <c r="C4608" s="138" t="str">
        <f t="shared" si="280"/>
        <v>Without Amendment</v>
      </c>
      <c r="D4608" s="138" t="str">
        <f t="shared" si="281"/>
        <v>Base_Low</v>
      </c>
      <c r="E4608" s="138" t="str">
        <f t="shared" si="285"/>
        <v>Base</v>
      </c>
      <c r="F4608" s="138" t="str">
        <f t="shared" si="283"/>
        <v>Upgraded</v>
      </c>
      <c r="G4608" s="153"/>
      <c r="H4608" s="210">
        <v>8.2199999999999995E-2</v>
      </c>
      <c r="I4608" s="160" t="s">
        <v>57</v>
      </c>
      <c r="J4608" s="211">
        <v>3.0408100000000001E-5</v>
      </c>
      <c r="K4608" s="160" t="s">
        <v>26</v>
      </c>
      <c r="L4608" s="154" t="str">
        <f>IF(OpenLCAbasic!K4608="CTUh", "Fill in Manually",IF(OR(K4608="Unit", K4608=""), "", INDEX(LookUps!$E$5:$E$12, MATCH(OpenLCAbasic!K4608,LookUps!$D$5:$D$12,0))))</f>
        <v>Water Use (WU) - m3 H2O</v>
      </c>
      <c r="M4608" s="154" t="str">
        <f t="shared" si="284"/>
        <v>Base_Base_Low_Upgraded_Water Use (WU) - m3 H2O_Gravity Belt Thickener; wastewater treatment unit; at updated plant - US_Without Amendment_Windrow</v>
      </c>
    </row>
    <row r="4609" spans="1:13" s="120" customFormat="1" x14ac:dyDescent="0.25">
      <c r="A4609" s="119"/>
      <c r="B4609" s="138" t="str">
        <f t="shared" si="282"/>
        <v>Windrow</v>
      </c>
      <c r="C4609" s="138" t="str">
        <f t="shared" ref="C4609:C4672" si="286">IF(ISNUMBER($J4609),"Without Amendment","")</f>
        <v>Without Amendment</v>
      </c>
      <c r="D4609" s="138" t="str">
        <f t="shared" ref="D4609:D4615" si="287">IF(ISNUMBER($J4609),"Base_Low","")</f>
        <v>Base_Low</v>
      </c>
      <c r="E4609" s="138" t="str">
        <f t="shared" si="285"/>
        <v>Base</v>
      </c>
      <c r="F4609" s="138" t="str">
        <f t="shared" si="283"/>
        <v>Upgraded</v>
      </c>
      <c r="G4609" s="153"/>
      <c r="H4609" s="210">
        <v>6.5799999999999997E-2</v>
      </c>
      <c r="I4609" s="160" t="s">
        <v>60</v>
      </c>
      <c r="J4609" s="211">
        <v>2.4357400000000002E-5</v>
      </c>
      <c r="K4609" s="160" t="s">
        <v>26</v>
      </c>
      <c r="L4609" s="154" t="str">
        <f>IF(OpenLCAbasic!K4609="CTUh", "Fill in Manually",IF(OR(K4609="Unit", K4609=""), "", INDEX(LookUps!$E$5:$E$12, MATCH(OpenLCAbasic!K4609,LookUps!$D$5:$D$12,0))))</f>
        <v>Water Use (WU) - m3 H2O</v>
      </c>
      <c r="M4609" s="154" t="str">
        <f t="shared" si="284"/>
        <v>Base_Base_Low_Upgraded_Water Use (WU) - m3 H2O_Belt filter press; wastewater treatment unit; at updated plant - US_Without Amendment_Windrow</v>
      </c>
    </row>
    <row r="4610" spans="1:13" s="120" customFormat="1" x14ac:dyDescent="0.25">
      <c r="A4610" s="119"/>
      <c r="B4610" s="138" t="str">
        <f t="shared" si="282"/>
        <v>Windrow</v>
      </c>
      <c r="C4610" s="138" t="str">
        <f t="shared" si="286"/>
        <v>Without Amendment</v>
      </c>
      <c r="D4610" s="138" t="str">
        <f t="shared" si="287"/>
        <v>Base_Low</v>
      </c>
      <c r="E4610" s="138" t="str">
        <f t="shared" si="285"/>
        <v>Base</v>
      </c>
      <c r="F4610" s="138" t="str">
        <f t="shared" si="283"/>
        <v>Upgraded</v>
      </c>
      <c r="G4610" s="153"/>
      <c r="H4610" s="210">
        <v>4.7300000000000002E-2</v>
      </c>
      <c r="I4610" s="160" t="s">
        <v>53</v>
      </c>
      <c r="J4610" s="211">
        <v>1.75069E-5</v>
      </c>
      <c r="K4610" s="160" t="s">
        <v>26</v>
      </c>
      <c r="L4610" s="154" t="str">
        <f>IF(OpenLCAbasic!K4610="CTUh", "Fill in Manually",IF(OR(K4610="Unit", K4610=""), "", INDEX(LookUps!$E$5:$E$12, MATCH(OpenLCAbasic!K4610,LookUps!$D$5:$D$12,0))))</f>
        <v>Water Use (WU) - m3 H2O</v>
      </c>
      <c r="M4610" s="154" t="str">
        <f t="shared" si="284"/>
        <v>Base_Base_Low_Upgraded_Water Use (WU) - m3 H2O_Wet Well and Sump Station; wastewater treatment unit; at updated plant - US_Without Amendment_Windrow</v>
      </c>
    </row>
    <row r="4611" spans="1:13" s="120" customFormat="1" x14ac:dyDescent="0.25">
      <c r="A4611" s="119"/>
      <c r="B4611" s="138" t="str">
        <f t="shared" si="282"/>
        <v>Windrow</v>
      </c>
      <c r="C4611" s="138" t="str">
        <f t="shared" si="286"/>
        <v>Without Amendment</v>
      </c>
      <c r="D4611" s="138" t="str">
        <f t="shared" si="287"/>
        <v>Base_Low</v>
      </c>
      <c r="E4611" s="138" t="str">
        <f t="shared" si="285"/>
        <v>Base</v>
      </c>
      <c r="F4611" s="138" t="str">
        <f t="shared" si="283"/>
        <v>Upgraded</v>
      </c>
      <c r="G4611" s="153"/>
      <c r="H4611" s="210">
        <v>1.9E-2</v>
      </c>
      <c r="I4611" s="160" t="s">
        <v>59</v>
      </c>
      <c r="J4611" s="211">
        <v>7.0179500000000003E-6</v>
      </c>
      <c r="K4611" s="160" t="s">
        <v>26</v>
      </c>
      <c r="L4611" s="154" t="str">
        <f>IF(OpenLCAbasic!K4611="CTUh", "Fill in Manually",IF(OR(K4611="Unit", K4611=""), "", INDEX(LookUps!$E$5:$E$12, MATCH(OpenLCAbasic!K4611,LookUps!$D$5:$D$12,0))))</f>
        <v>Water Use (WU) - m3 H2O</v>
      </c>
      <c r="M4611" s="154" t="str">
        <f t="shared" si="284"/>
        <v>Base_Base_Low_Upgraded_Water Use (WU) - m3 H2O_Blend Tank; wastewater treatment unit; at updated plant - US_Without Amendment_Windrow</v>
      </c>
    </row>
    <row r="4612" spans="1:13" s="120" customFormat="1" x14ac:dyDescent="0.25">
      <c r="A4612" s="119"/>
      <c r="B4612" s="138" t="str">
        <f t="shared" ref="B4612:B4675" si="288">IF(F4612="Legacy","n.a.",IF(F4612="","","Windrow"))</f>
        <v>Windrow</v>
      </c>
      <c r="C4612" s="138" t="str">
        <f t="shared" si="286"/>
        <v>Without Amendment</v>
      </c>
      <c r="D4612" s="138" t="str">
        <f t="shared" si="287"/>
        <v>Base_Low</v>
      </c>
      <c r="E4612" s="138" t="str">
        <f t="shared" si="285"/>
        <v>Base</v>
      </c>
      <c r="F4612" s="138" t="str">
        <f t="shared" ref="F4612:F4675" si="289">IF(ISNUMBER(J4612),"Upgraded","")</f>
        <v>Upgraded</v>
      </c>
      <c r="G4612" s="153"/>
      <c r="H4612" s="210">
        <v>1.37E-2</v>
      </c>
      <c r="I4612" s="160" t="s">
        <v>128</v>
      </c>
      <c r="J4612" s="211">
        <v>5.0608900000000003E-6</v>
      </c>
      <c r="K4612" s="160" t="s">
        <v>26</v>
      </c>
      <c r="L4612" s="154" t="str">
        <f>IF(OpenLCAbasic!K4612="CTUh", "Fill in Manually",IF(OR(K4612="Unit", K4612=""), "", INDEX(LookUps!$E$5:$E$12, MATCH(OpenLCAbasic!K4612,LookUps!$D$5:$D$12,0))))</f>
        <v>Water Use (WU) - m3 H2O</v>
      </c>
      <c r="M4612" s="154" t="str">
        <f t="shared" si="284"/>
        <v>Base_Base_Low_Upgraded_Water Use (WU) - m3 H2O_Wastewater collection; operation and infrastructure; m3 wastewater_Without Amendment_Windrow</v>
      </c>
    </row>
    <row r="4613" spans="1:13" s="120" customFormat="1" x14ac:dyDescent="0.25">
      <c r="A4613" s="119"/>
      <c r="B4613" s="138" t="str">
        <f t="shared" si="288"/>
        <v>Windrow</v>
      </c>
      <c r="C4613" s="138" t="str">
        <f t="shared" si="286"/>
        <v>Without Amendment</v>
      </c>
      <c r="D4613" s="138" t="str">
        <f t="shared" si="287"/>
        <v>Base_Low</v>
      </c>
      <c r="E4613" s="138" t="str">
        <f t="shared" si="285"/>
        <v>Base</v>
      </c>
      <c r="F4613" s="138" t="str">
        <f t="shared" si="289"/>
        <v>Upgraded</v>
      </c>
      <c r="G4613" s="153"/>
      <c r="H4613" s="210">
        <v>3.0999999999999999E-3</v>
      </c>
      <c r="I4613" s="160" t="s">
        <v>271</v>
      </c>
      <c r="J4613" s="211">
        <v>1.16325E-6</v>
      </c>
      <c r="K4613" s="160" t="s">
        <v>26</v>
      </c>
      <c r="L4613" s="154" t="str">
        <f>IF(OpenLCAbasic!K4613="CTUh", "Fill in Manually",IF(OR(K4613="Unit", K4613=""), "", INDEX(LookUps!$E$5:$E$12, MATCH(OpenLCAbasic!K4613,LookUps!$D$5:$D$12,0))))</f>
        <v>Water Use (WU) - m3 H2O</v>
      </c>
      <c r="M4613" s="154" t="str">
        <f t="shared" si="284"/>
        <v>Base_Base_Low_Upgraded_Water Use (WU) - m3 H2O_Biosolids composting; windrow composting; wastewater treatment unit; at updated plant - US_Without Amendment_Windrow</v>
      </c>
    </row>
    <row r="4614" spans="1:13" s="120" customFormat="1" x14ac:dyDescent="0.25">
      <c r="A4614" s="119"/>
      <c r="B4614" s="138" t="str">
        <f t="shared" si="288"/>
        <v>Windrow</v>
      </c>
      <c r="C4614" s="138" t="str">
        <f t="shared" si="286"/>
        <v>Without Amendment</v>
      </c>
      <c r="D4614" s="138" t="str">
        <f t="shared" si="287"/>
        <v>Base_Low</v>
      </c>
      <c r="E4614" s="138" t="str">
        <f t="shared" si="285"/>
        <v>Base</v>
      </c>
      <c r="F4614" s="138" t="str">
        <f t="shared" si="289"/>
        <v>Upgraded</v>
      </c>
      <c r="G4614" s="153"/>
      <c r="H4614" s="210">
        <v>2.0999999999999999E-3</v>
      </c>
      <c r="I4614" s="160" t="s">
        <v>168</v>
      </c>
      <c r="J4614" s="211">
        <v>7.6697000000000004E-7</v>
      </c>
      <c r="K4614" s="160" t="s">
        <v>26</v>
      </c>
      <c r="L4614" s="154" t="str">
        <f>IF(OpenLCAbasic!K4614="CTUh", "Fill in Manually",IF(OR(K4614="Unit", K4614=""), "", INDEX(LookUps!$E$5:$E$12, MATCH(OpenLCAbasic!K4614,LookUps!$D$5:$D$12,0))))</f>
        <v>Water Use (WU) - m3 H2O</v>
      </c>
      <c r="M4614" s="154" t="str">
        <f t="shared" si="284"/>
        <v>Base_Base_Low_Upgraded_Water Use (WU) - m3 H2O_ClearCove SCP; wastewater treatment unit; at updated plant - US_Without Amendment_Windrow</v>
      </c>
    </row>
    <row r="4615" spans="1:13" s="120" customFormat="1" x14ac:dyDescent="0.25">
      <c r="A4615" s="119"/>
      <c r="B4615" s="138" t="str">
        <f t="shared" si="288"/>
        <v>Windrow</v>
      </c>
      <c r="C4615" s="138" t="str">
        <f t="shared" si="286"/>
        <v>Without Amendment</v>
      </c>
      <c r="D4615" s="138" t="str">
        <f t="shared" si="287"/>
        <v>Base_Low</v>
      </c>
      <c r="E4615" s="138" t="str">
        <f t="shared" si="285"/>
        <v>Base</v>
      </c>
      <c r="F4615" s="138" t="str">
        <f t="shared" si="289"/>
        <v>Upgraded</v>
      </c>
      <c r="G4615" s="153"/>
      <c r="H4615" s="210">
        <v>-2.1128999999999998</v>
      </c>
      <c r="I4615" s="160" t="s">
        <v>62</v>
      </c>
      <c r="J4615" s="160">
        <v>-7.7999999999999999E-4</v>
      </c>
      <c r="K4615" s="160" t="s">
        <v>26</v>
      </c>
      <c r="L4615" s="154" t="str">
        <f>IF(OpenLCAbasic!K4615="CTUh", "Fill in Manually",IF(OR(K4615="Unit", K4615=""), "", INDEX(LookUps!$E$5:$E$12, MATCH(OpenLCAbasic!K4615,LookUps!$D$5:$D$12,0))))</f>
        <v>Water Use (WU) - m3 H2O</v>
      </c>
      <c r="M4615" s="154" t="str">
        <f t="shared" ref="M4615:M4678" si="290">CONCATENATE(E4615,"_",D4615,"_",F4615,"_",L4615, "_",I4615,"_", C4615,"_", B4615)</f>
        <v>Base_Base_Low_Upgraded_Water Use (WU) - m3 H2O_Land application of compost; wastewater treatment unit; at updated plant - US_Without Amendment_Windrow</v>
      </c>
    </row>
    <row r="4616" spans="1:13" s="120" customFormat="1" x14ac:dyDescent="0.25">
      <c r="A4616" s="119"/>
      <c r="B4616" s="138" t="str">
        <f t="shared" si="288"/>
        <v/>
      </c>
      <c r="C4616" s="138" t="str">
        <f t="shared" si="286"/>
        <v/>
      </c>
      <c r="D4616" s="138" t="str">
        <f>IF(ISNUMBER($J4616),"Base_High","")</f>
        <v/>
      </c>
      <c r="E4616" s="138" t="str">
        <f t="shared" si="285"/>
        <v/>
      </c>
      <c r="F4616" s="138" t="str">
        <f t="shared" si="289"/>
        <v/>
      </c>
      <c r="G4616" s="153" t="s">
        <v>51</v>
      </c>
      <c r="H4616" s="160"/>
      <c r="I4616" s="160" t="s">
        <v>47</v>
      </c>
      <c r="J4616" s="160" t="s">
        <v>52</v>
      </c>
      <c r="K4616" s="160" t="s">
        <v>27</v>
      </c>
      <c r="L4616" s="154" t="str">
        <f>IF(OpenLCAbasic!K4616="CTUh", "Fill in Manually",IF(OR(K4616="Unit", K4616=""), "", INDEX(LookUps!$E$5:$E$12, MATCH(OpenLCAbasic!K4616,LookUps!$D$5:$D$12,0))))</f>
        <v/>
      </c>
      <c r="M4616" s="154" t="str">
        <f t="shared" si="290"/>
        <v>____Process__</v>
      </c>
    </row>
    <row r="4617" spans="1:13" s="120" customFormat="1" x14ac:dyDescent="0.25">
      <c r="A4617" s="119"/>
      <c r="B4617" s="138" t="str">
        <f t="shared" si="288"/>
        <v>Windrow</v>
      </c>
      <c r="C4617" s="138" t="str">
        <f t="shared" si="286"/>
        <v>Without Amendment</v>
      </c>
      <c r="D4617" s="138" t="str">
        <f t="shared" ref="D4617:D4680" si="291">IF(ISNUMBER($J4617),"Base_High","")</f>
        <v>Base_High</v>
      </c>
      <c r="E4617" s="138" t="str">
        <f t="shared" si="285"/>
        <v>Base</v>
      </c>
      <c r="F4617" s="138" t="str">
        <f t="shared" si="289"/>
        <v>Upgraded</v>
      </c>
      <c r="G4617" s="153"/>
      <c r="H4617" s="210">
        <v>3.8039000000000001</v>
      </c>
      <c r="I4617" s="160" t="s">
        <v>55</v>
      </c>
      <c r="J4617" s="160">
        <v>1.7219999999999999E-2</v>
      </c>
      <c r="K4617" s="160" t="s">
        <v>24</v>
      </c>
      <c r="L4617" s="154" t="str">
        <f>IF(OpenLCAbasic!K4617="CTUh", "Fill in Manually",IF(OR(K4617="Unit", K4617=""), "", INDEX(LookUps!$E$5:$E$12, MATCH(OpenLCAbasic!K4617,LookUps!$D$5:$D$12,0))))</f>
        <v>Acidification Potential (AP) - kg SO2 eq</v>
      </c>
      <c r="M4617" s="154" t="str">
        <f t="shared" si="290"/>
        <v>Base_Base_High_Upgraded_Acidification Potential (AP) - kg SO2 eq_Aeration Tanks; wastewater treatment unit; at updated plant - US_Without Amendment_Windrow</v>
      </c>
    </row>
    <row r="4618" spans="1:13" s="120" customFormat="1" x14ac:dyDescent="0.25">
      <c r="A4618" s="119"/>
      <c r="B4618" s="138" t="str">
        <f t="shared" si="288"/>
        <v>Windrow</v>
      </c>
      <c r="C4618" s="138" t="str">
        <f t="shared" si="286"/>
        <v>Without Amendment</v>
      </c>
      <c r="D4618" s="138" t="str">
        <f t="shared" si="291"/>
        <v>Base_High</v>
      </c>
      <c r="E4618" s="138" t="str">
        <f t="shared" si="285"/>
        <v>Base</v>
      </c>
      <c r="F4618" s="138" t="str">
        <f t="shared" si="289"/>
        <v>Upgraded</v>
      </c>
      <c r="G4618" s="153"/>
      <c r="H4618" s="210">
        <v>1.1002000000000001</v>
      </c>
      <c r="I4618" s="160" t="s">
        <v>54</v>
      </c>
      <c r="J4618" s="160">
        <v>4.9800000000000001E-3</v>
      </c>
      <c r="K4618" s="160" t="s">
        <v>24</v>
      </c>
      <c r="L4618" s="154" t="str">
        <f>IF(OpenLCAbasic!K4618="CTUh", "Fill in Manually",IF(OR(K4618="Unit", K4618=""), "", INDEX(LookUps!$E$5:$E$12, MATCH(OpenLCAbasic!K4618,LookUps!$D$5:$D$12,0))))</f>
        <v>Acidification Potential (AP) - kg SO2 eq</v>
      </c>
      <c r="M4618" s="154" t="str">
        <f t="shared" si="290"/>
        <v>Base_Base_High_Upgraded_Acidification Potential (AP) - kg SO2 eq_Clear Cove Primary Clarification; wastewater treatment unit; at updated plant - US_Without Amendment_Windrow</v>
      </c>
    </row>
    <row r="4619" spans="1:13" s="120" customFormat="1" x14ac:dyDescent="0.25">
      <c r="A4619" s="119"/>
      <c r="B4619" s="138" t="str">
        <f t="shared" si="288"/>
        <v>Windrow</v>
      </c>
      <c r="C4619" s="138" t="str">
        <f t="shared" si="286"/>
        <v>Without Amendment</v>
      </c>
      <c r="D4619" s="138" t="str">
        <f t="shared" si="291"/>
        <v>Base_High</v>
      </c>
      <c r="E4619" s="138" t="str">
        <f t="shared" si="285"/>
        <v>Base</v>
      </c>
      <c r="F4619" s="138" t="str">
        <f t="shared" si="289"/>
        <v>Upgraded</v>
      </c>
      <c r="G4619" s="153"/>
      <c r="H4619" s="210">
        <v>0.95689999999999997</v>
      </c>
      <c r="I4619" s="160" t="s">
        <v>58</v>
      </c>
      <c r="J4619" s="160">
        <v>4.3299999999999996E-3</v>
      </c>
      <c r="K4619" s="160" t="s">
        <v>24</v>
      </c>
      <c r="L4619" s="154" t="str">
        <f>IF(OpenLCAbasic!K4619="CTUh", "Fill in Manually",IF(OR(K4619="Unit", K4619=""), "", INDEX(LookUps!$E$5:$E$12, MATCH(OpenLCAbasic!K4619,LookUps!$D$5:$D$12,0))))</f>
        <v>Acidification Potential (AP) - kg SO2 eq</v>
      </c>
      <c r="M4619" s="154" t="str">
        <f t="shared" si="290"/>
        <v>Base_Base_High_Upgraded_Acidification Potential (AP) - kg SO2 eq_Pre-Anoxic &amp; Swing tank; wastewater treatment unit; at updated plant - US_Without Amendment_Windrow</v>
      </c>
    </row>
    <row r="4620" spans="1:13" s="120" customFormat="1" x14ac:dyDescent="0.25">
      <c r="A4620" s="119"/>
      <c r="B4620" s="138" t="str">
        <f t="shared" si="288"/>
        <v>Windrow</v>
      </c>
      <c r="C4620" s="138" t="str">
        <f t="shared" si="286"/>
        <v>Without Amendment</v>
      </c>
      <c r="D4620" s="138" t="str">
        <f t="shared" si="291"/>
        <v>Base_High</v>
      </c>
      <c r="E4620" s="138" t="str">
        <f t="shared" si="285"/>
        <v>Base</v>
      </c>
      <c r="F4620" s="138" t="str">
        <f t="shared" si="289"/>
        <v>Upgraded</v>
      </c>
      <c r="G4620" s="153"/>
      <c r="H4620" s="210">
        <v>0.76470000000000005</v>
      </c>
      <c r="I4620" s="160" t="s">
        <v>271</v>
      </c>
      <c r="J4620" s="160">
        <v>3.46E-3</v>
      </c>
      <c r="K4620" s="160" t="s">
        <v>24</v>
      </c>
      <c r="L4620" s="154" t="str">
        <f>IF(OpenLCAbasic!K4620="CTUh", "Fill in Manually",IF(OR(K4620="Unit", K4620=""), "", INDEX(LookUps!$E$5:$E$12, MATCH(OpenLCAbasic!K4620,LookUps!$D$5:$D$12,0))))</f>
        <v>Acidification Potential (AP) - kg SO2 eq</v>
      </c>
      <c r="M4620" s="154" t="str">
        <f t="shared" si="290"/>
        <v>Base_Base_High_Upgraded_Acidification Potential (AP) - kg SO2 eq_Biosolids composting; windrow composting; wastewater treatment unit; at updated plant - US_Without Amendment_Windrow</v>
      </c>
    </row>
    <row r="4621" spans="1:13" s="120" customFormat="1" x14ac:dyDescent="0.25">
      <c r="A4621" s="119"/>
      <c r="B4621" s="138" t="str">
        <f t="shared" si="288"/>
        <v>Windrow</v>
      </c>
      <c r="C4621" s="138" t="str">
        <f t="shared" si="286"/>
        <v>Without Amendment</v>
      </c>
      <c r="D4621" s="138" t="str">
        <f t="shared" si="291"/>
        <v>Base_High</v>
      </c>
      <c r="E4621" s="138" t="str">
        <f t="shared" si="285"/>
        <v>Base</v>
      </c>
      <c r="F4621" s="138" t="str">
        <f t="shared" si="289"/>
        <v>Upgraded</v>
      </c>
      <c r="G4621" s="153"/>
      <c r="H4621" s="210">
        <v>0.76229999999999998</v>
      </c>
      <c r="I4621" s="160" t="s">
        <v>53</v>
      </c>
      <c r="J4621" s="160">
        <v>3.4499999999999999E-3</v>
      </c>
      <c r="K4621" s="160" t="s">
        <v>24</v>
      </c>
      <c r="L4621" s="154" t="str">
        <f>IF(OpenLCAbasic!K4621="CTUh", "Fill in Manually",IF(OR(K4621="Unit", K4621=""), "", INDEX(LookUps!$E$5:$E$12, MATCH(OpenLCAbasic!K4621,LookUps!$D$5:$D$12,0))))</f>
        <v>Acidification Potential (AP) - kg SO2 eq</v>
      </c>
      <c r="M4621" s="154" t="str">
        <f t="shared" si="290"/>
        <v>Base_Base_High_Upgraded_Acidification Potential (AP) - kg SO2 eq_Wet Well and Sump Station; wastewater treatment unit; at updated plant - US_Without Amendment_Windrow</v>
      </c>
    </row>
    <row r="4622" spans="1:13" s="120" customFormat="1" x14ac:dyDescent="0.25">
      <c r="A4622" s="119"/>
      <c r="B4622" s="138" t="str">
        <f t="shared" si="288"/>
        <v>Windrow</v>
      </c>
      <c r="C4622" s="138" t="str">
        <f t="shared" si="286"/>
        <v>Without Amendment</v>
      </c>
      <c r="D4622" s="138" t="str">
        <f t="shared" si="291"/>
        <v>Base_High</v>
      </c>
      <c r="E4622" s="138" t="str">
        <f t="shared" si="285"/>
        <v>Base</v>
      </c>
      <c r="F4622" s="138" t="str">
        <f t="shared" si="289"/>
        <v>Upgraded</v>
      </c>
      <c r="G4622" s="153"/>
      <c r="H4622" s="210">
        <v>0.52470000000000006</v>
      </c>
      <c r="I4622" s="160" t="s">
        <v>167</v>
      </c>
      <c r="J4622" s="160">
        <v>2.3800000000000002E-3</v>
      </c>
      <c r="K4622" s="160" t="s">
        <v>24</v>
      </c>
      <c r="L4622" s="154" t="str">
        <f>IF(OpenLCAbasic!K4622="CTUh", "Fill in Manually",IF(OR(K4622="Unit", K4622=""), "", INDEX(LookUps!$E$5:$E$12, MATCH(OpenLCAbasic!K4622,LookUps!$D$5:$D$12,0))))</f>
        <v>Acidification Potential (AP) - kg SO2 eq</v>
      </c>
      <c r="M4622" s="154" t="str">
        <f t="shared" si="290"/>
        <v>Base_Base_High_Upgraded_Acidification Potential (AP) - kg SO2 eq_Waste Receiving and Holding; wastewater treatment unit; at updated plant - US_Without Amendment_Windrow</v>
      </c>
    </row>
    <row r="4623" spans="1:13" s="120" customFormat="1" x14ac:dyDescent="0.25">
      <c r="A4623" s="119"/>
      <c r="B4623" s="138" t="str">
        <f t="shared" si="288"/>
        <v>Windrow</v>
      </c>
      <c r="C4623" s="138" t="str">
        <f t="shared" si="286"/>
        <v>Without Amendment</v>
      </c>
      <c r="D4623" s="138" t="str">
        <f t="shared" si="291"/>
        <v>Base_High</v>
      </c>
      <c r="E4623" s="138" t="str">
        <f t="shared" si="285"/>
        <v>Base</v>
      </c>
      <c r="F4623" s="138" t="str">
        <f t="shared" si="289"/>
        <v>Upgraded</v>
      </c>
      <c r="G4623" s="153"/>
      <c r="H4623" s="210">
        <v>0.45700000000000002</v>
      </c>
      <c r="I4623" s="160" t="s">
        <v>147</v>
      </c>
      <c r="J4623" s="160">
        <v>2.0699999999999998E-3</v>
      </c>
      <c r="K4623" s="160" t="s">
        <v>24</v>
      </c>
      <c r="L4623" s="154" t="str">
        <f>IF(OpenLCAbasic!K4623="CTUh", "Fill in Manually",IF(OR(K4623="Unit", K4623=""), "", INDEX(LookUps!$E$5:$E$12, MATCH(OpenLCAbasic!K4623,LookUps!$D$5:$D$12,0))))</f>
        <v>Acidification Potential (AP) - kg SO2 eq</v>
      </c>
      <c r="M4623" s="154" t="str">
        <f t="shared" si="290"/>
        <v>Base_Base_High_Upgraded_Acidification Potential (AP) - kg SO2 eq_Influent Pump Station; wastewater treatment unit; at updated plant - US_Without Amendment_Windrow</v>
      </c>
    </row>
    <row r="4624" spans="1:13" s="120" customFormat="1" x14ac:dyDescent="0.25">
      <c r="A4624" s="119"/>
      <c r="B4624" s="138" t="str">
        <f t="shared" si="288"/>
        <v>Windrow</v>
      </c>
      <c r="C4624" s="138" t="str">
        <f t="shared" si="286"/>
        <v>Without Amendment</v>
      </c>
      <c r="D4624" s="138" t="str">
        <f t="shared" si="291"/>
        <v>Base_High</v>
      </c>
      <c r="E4624" s="138" t="str">
        <f t="shared" si="285"/>
        <v>Base</v>
      </c>
      <c r="F4624" s="138" t="str">
        <f t="shared" si="289"/>
        <v>Upgraded</v>
      </c>
      <c r="G4624" s="153"/>
      <c r="H4624" s="210">
        <v>0.36969999999999997</v>
      </c>
      <c r="I4624" s="160" t="s">
        <v>62</v>
      </c>
      <c r="J4624" s="160">
        <v>1.67E-3</v>
      </c>
      <c r="K4624" s="160" t="s">
        <v>24</v>
      </c>
      <c r="L4624" s="154" t="str">
        <f>IF(OpenLCAbasic!K4624="CTUh", "Fill in Manually",IF(OR(K4624="Unit", K4624=""), "", INDEX(LookUps!$E$5:$E$12, MATCH(OpenLCAbasic!K4624,LookUps!$D$5:$D$12,0))))</f>
        <v>Acidification Potential (AP) - kg SO2 eq</v>
      </c>
      <c r="M4624" s="154" t="str">
        <f t="shared" si="290"/>
        <v>Base_Base_High_Upgraded_Acidification Potential (AP) - kg SO2 eq_Land application of compost; wastewater treatment unit; at updated plant - US_Without Amendment_Windrow</v>
      </c>
    </row>
    <row r="4625" spans="1:13" s="120" customFormat="1" x14ac:dyDescent="0.25">
      <c r="A4625" s="119"/>
      <c r="B4625" s="138" t="str">
        <f t="shared" si="288"/>
        <v>Windrow</v>
      </c>
      <c r="C4625" s="138" t="str">
        <f t="shared" si="286"/>
        <v>Without Amendment</v>
      </c>
      <c r="D4625" s="138" t="str">
        <f t="shared" si="291"/>
        <v>Base_High</v>
      </c>
      <c r="E4625" s="138" t="str">
        <f t="shared" si="285"/>
        <v>Base</v>
      </c>
      <c r="F4625" s="138" t="str">
        <f t="shared" si="289"/>
        <v>Upgraded</v>
      </c>
      <c r="G4625" s="153"/>
      <c r="H4625" s="210">
        <v>0.27239999999999998</v>
      </c>
      <c r="I4625" s="160" t="s">
        <v>128</v>
      </c>
      <c r="J4625" s="160">
        <v>1.23E-3</v>
      </c>
      <c r="K4625" s="160" t="s">
        <v>24</v>
      </c>
      <c r="L4625" s="154" t="str">
        <f>IF(OpenLCAbasic!K4625="CTUh", "Fill in Manually",IF(OR(K4625="Unit", K4625=""), "", INDEX(LookUps!$E$5:$E$12, MATCH(OpenLCAbasic!K4625,LookUps!$D$5:$D$12,0))))</f>
        <v>Acidification Potential (AP) - kg SO2 eq</v>
      </c>
      <c r="M4625" s="154" t="str">
        <f t="shared" si="290"/>
        <v>Base_Base_High_Upgraded_Acidification Potential (AP) - kg SO2 eq_Wastewater collection; operation and infrastructure; m3 wastewater_Without Amendment_Windrow</v>
      </c>
    </row>
    <row r="4626" spans="1:13" s="120" customFormat="1" x14ac:dyDescent="0.25">
      <c r="A4626" s="119"/>
      <c r="B4626" s="138" t="str">
        <f t="shared" si="288"/>
        <v>Windrow</v>
      </c>
      <c r="C4626" s="138" t="str">
        <f t="shared" si="286"/>
        <v>Without Amendment</v>
      </c>
      <c r="D4626" s="138" t="str">
        <f t="shared" si="291"/>
        <v>Base_High</v>
      </c>
      <c r="E4626" s="138" t="str">
        <f t="shared" si="285"/>
        <v>Base</v>
      </c>
      <c r="F4626" s="138" t="str">
        <f t="shared" si="289"/>
        <v>Upgraded</v>
      </c>
      <c r="G4626" s="153"/>
      <c r="H4626" s="210">
        <v>0.1643</v>
      </c>
      <c r="I4626" s="160" t="s">
        <v>60</v>
      </c>
      <c r="J4626" s="160">
        <v>7.3999999999999999E-4</v>
      </c>
      <c r="K4626" s="160" t="s">
        <v>24</v>
      </c>
      <c r="L4626" s="154" t="str">
        <f>IF(OpenLCAbasic!K4626="CTUh", "Fill in Manually",IF(OR(K4626="Unit", K4626=""), "", INDEX(LookUps!$E$5:$E$12, MATCH(OpenLCAbasic!K4626,LookUps!$D$5:$D$12,0))))</f>
        <v>Acidification Potential (AP) - kg SO2 eq</v>
      </c>
      <c r="M4626" s="154" t="str">
        <f t="shared" si="290"/>
        <v>Base_Base_High_Upgraded_Acidification Potential (AP) - kg SO2 eq_Belt filter press; wastewater treatment unit; at updated plant - US_Without Amendment_Windrow</v>
      </c>
    </row>
    <row r="4627" spans="1:13" s="120" customFormat="1" x14ac:dyDescent="0.25">
      <c r="A4627" s="119"/>
      <c r="B4627" s="138" t="str">
        <f t="shared" si="288"/>
        <v>Windrow</v>
      </c>
      <c r="C4627" s="138" t="str">
        <f t="shared" si="286"/>
        <v>Without Amendment</v>
      </c>
      <c r="D4627" s="138" t="str">
        <f t="shared" si="291"/>
        <v>Base_High</v>
      </c>
      <c r="E4627" s="138" t="str">
        <f t="shared" si="285"/>
        <v>Base</v>
      </c>
      <c r="F4627" s="138" t="str">
        <f t="shared" si="289"/>
        <v>Upgraded</v>
      </c>
      <c r="G4627" s="153"/>
      <c r="H4627" s="210">
        <v>0.1555</v>
      </c>
      <c r="I4627" s="160" t="s">
        <v>57</v>
      </c>
      <c r="J4627" s="160">
        <v>6.9999999999999999E-4</v>
      </c>
      <c r="K4627" s="160" t="s">
        <v>24</v>
      </c>
      <c r="L4627" s="154" t="str">
        <f>IF(OpenLCAbasic!K4627="CTUh", "Fill in Manually",IF(OR(K4627="Unit", K4627=""), "", INDEX(LookUps!$E$5:$E$12, MATCH(OpenLCAbasic!K4627,LookUps!$D$5:$D$12,0))))</f>
        <v>Acidification Potential (AP) - kg SO2 eq</v>
      </c>
      <c r="M4627" s="154" t="str">
        <f t="shared" si="290"/>
        <v>Base_Base_High_Upgraded_Acidification Potential (AP) - kg SO2 eq_Gravity Belt Thickener; wastewater treatment unit; at updated plant - US_Without Amendment_Windrow</v>
      </c>
    </row>
    <row r="4628" spans="1:13" s="120" customFormat="1" x14ac:dyDescent="0.25">
      <c r="A4628" s="119"/>
      <c r="B4628" s="138" t="str">
        <f t="shared" si="288"/>
        <v>Windrow</v>
      </c>
      <c r="C4628" s="138" t="str">
        <f t="shared" si="286"/>
        <v>Without Amendment</v>
      </c>
      <c r="D4628" s="138" t="str">
        <f t="shared" si="291"/>
        <v>Base_High</v>
      </c>
      <c r="E4628" s="138" t="str">
        <f t="shared" si="285"/>
        <v>Base</v>
      </c>
      <c r="F4628" s="138" t="str">
        <f t="shared" si="289"/>
        <v>Upgraded</v>
      </c>
      <c r="G4628" s="153"/>
      <c r="H4628" s="210">
        <v>0.11409999999999999</v>
      </c>
      <c r="I4628" s="160" t="s">
        <v>59</v>
      </c>
      <c r="J4628" s="160">
        <v>5.1999999999999995E-4</v>
      </c>
      <c r="K4628" s="160" t="s">
        <v>24</v>
      </c>
      <c r="L4628" s="154" t="str">
        <f>IF(OpenLCAbasic!K4628="CTUh", "Fill in Manually",IF(OR(K4628="Unit", K4628=""), "", INDEX(LookUps!$E$5:$E$12, MATCH(OpenLCAbasic!K4628,LookUps!$D$5:$D$12,0))))</f>
        <v>Acidification Potential (AP) - kg SO2 eq</v>
      </c>
      <c r="M4628" s="154" t="str">
        <f t="shared" si="290"/>
        <v>Base_Base_High_Upgraded_Acidification Potential (AP) - kg SO2 eq_Blend Tank; wastewater treatment unit; at updated plant - US_Without Amendment_Windrow</v>
      </c>
    </row>
    <row r="4629" spans="1:13" s="120" customFormat="1" x14ac:dyDescent="0.25">
      <c r="A4629" s="119"/>
      <c r="B4629" s="138" t="str">
        <f t="shared" si="288"/>
        <v>Windrow</v>
      </c>
      <c r="C4629" s="138" t="str">
        <f t="shared" si="286"/>
        <v>Without Amendment</v>
      </c>
      <c r="D4629" s="138" t="str">
        <f t="shared" si="291"/>
        <v>Base_High</v>
      </c>
      <c r="E4629" s="138" t="str">
        <f t="shared" si="285"/>
        <v>Base</v>
      </c>
      <c r="F4629" s="138" t="str">
        <f t="shared" si="289"/>
        <v>Upgraded</v>
      </c>
      <c r="G4629" s="153"/>
      <c r="H4629" s="210">
        <v>7.6499999999999999E-2</v>
      </c>
      <c r="I4629" s="160" t="s">
        <v>48</v>
      </c>
      <c r="J4629" s="160">
        <v>3.5E-4</v>
      </c>
      <c r="K4629" s="160" t="s">
        <v>24</v>
      </c>
      <c r="L4629" s="154" t="str">
        <f>IF(OpenLCAbasic!K4629="CTUh", "Fill in Manually",IF(OR(K4629="Unit", K4629=""), "", INDEX(LookUps!$E$5:$E$12, MATCH(OpenLCAbasic!K4629,LookUps!$D$5:$D$12,0))))</f>
        <v>Acidification Potential (AP) - kg SO2 eq</v>
      </c>
      <c r="M4629" s="154" t="str">
        <f t="shared" si="290"/>
        <v>Base_Base_High_Upgraded_Acidification Potential (AP) - kg SO2 eq_Effluent release; wastewater treatment unit; at surface water; m3 wastewater - US_Without Amendment_Windrow</v>
      </c>
    </row>
    <row r="4630" spans="1:13" s="120" customFormat="1" x14ac:dyDescent="0.25">
      <c r="A4630" s="119"/>
      <c r="B4630" s="138" t="str">
        <f t="shared" si="288"/>
        <v>Windrow</v>
      </c>
      <c r="C4630" s="138" t="str">
        <f t="shared" si="286"/>
        <v>Without Amendment</v>
      </c>
      <c r="D4630" s="138" t="str">
        <f t="shared" si="291"/>
        <v>Base_High</v>
      </c>
      <c r="E4630" s="138" t="str">
        <f t="shared" si="285"/>
        <v>Base</v>
      </c>
      <c r="F4630" s="138" t="str">
        <f t="shared" si="289"/>
        <v>Upgraded</v>
      </c>
      <c r="G4630" s="153"/>
      <c r="H4630" s="210">
        <v>5.6399999999999999E-2</v>
      </c>
      <c r="I4630" s="160" t="s">
        <v>168</v>
      </c>
      <c r="J4630" s="160">
        <v>2.5999999999999998E-4</v>
      </c>
      <c r="K4630" s="160" t="s">
        <v>24</v>
      </c>
      <c r="L4630" s="154" t="str">
        <f>IF(OpenLCAbasic!K4630="CTUh", "Fill in Manually",IF(OR(K4630="Unit", K4630=""), "", INDEX(LookUps!$E$5:$E$12, MATCH(OpenLCAbasic!K4630,LookUps!$D$5:$D$12,0))))</f>
        <v>Acidification Potential (AP) - kg SO2 eq</v>
      </c>
      <c r="M4630" s="154" t="str">
        <f t="shared" si="290"/>
        <v>Base_Base_High_Upgraded_Acidification Potential (AP) - kg SO2 eq_ClearCove SCP; wastewater treatment unit; at updated plant - US_Without Amendment_Windrow</v>
      </c>
    </row>
    <row r="4631" spans="1:13" s="120" customFormat="1" x14ac:dyDescent="0.25">
      <c r="A4631" s="119"/>
      <c r="B4631" s="138" t="str">
        <f t="shared" si="288"/>
        <v>Windrow</v>
      </c>
      <c r="C4631" s="138" t="str">
        <f t="shared" si="286"/>
        <v>Without Amendment</v>
      </c>
      <c r="D4631" s="138" t="str">
        <f t="shared" si="291"/>
        <v>Base_High</v>
      </c>
      <c r="E4631" s="138" t="str">
        <f t="shared" si="285"/>
        <v>Base</v>
      </c>
      <c r="F4631" s="138" t="str">
        <f t="shared" si="289"/>
        <v>Upgraded</v>
      </c>
      <c r="G4631" s="153"/>
      <c r="H4631" s="210">
        <v>8.8999999999999999E-3</v>
      </c>
      <c r="I4631" s="160" t="s">
        <v>148</v>
      </c>
      <c r="J4631" s="211">
        <v>4.0354700000000002E-5</v>
      </c>
      <c r="K4631" s="160" t="s">
        <v>24</v>
      </c>
      <c r="L4631" s="154" t="str">
        <f>IF(OpenLCAbasic!K4631="CTUh", "Fill in Manually",IF(OR(K4631="Unit", K4631=""), "", INDEX(LookUps!$E$5:$E$12, MATCH(OpenLCAbasic!K4631,LookUps!$D$5:$D$12,0))))</f>
        <v>Acidification Potential (AP) - kg SO2 eq</v>
      </c>
      <c r="M4631" s="154" t="str">
        <f t="shared" si="290"/>
        <v>Base_Base_High_Upgraded_Acidification Potential (AP) - kg SO2 eq_Control Building; at upgraded wastewater treatment plant - US_Without Amendment_Windrow</v>
      </c>
    </row>
    <row r="4632" spans="1:13" s="120" customFormat="1" x14ac:dyDescent="0.25">
      <c r="A4632" s="119"/>
      <c r="B4632" s="138" t="str">
        <f t="shared" si="288"/>
        <v>Windrow</v>
      </c>
      <c r="C4632" s="138" t="str">
        <f t="shared" si="286"/>
        <v>Without Amendment</v>
      </c>
      <c r="D4632" s="138" t="str">
        <f t="shared" si="291"/>
        <v>Base_High</v>
      </c>
      <c r="E4632" s="138" t="str">
        <f t="shared" si="285"/>
        <v>Base</v>
      </c>
      <c r="F4632" s="138" t="str">
        <f t="shared" si="289"/>
        <v>Upgraded</v>
      </c>
      <c r="G4632" s="153"/>
      <c r="H4632" s="210">
        <v>-8.5875000000000004</v>
      </c>
      <c r="I4632" s="160" t="s">
        <v>149</v>
      </c>
      <c r="J4632" s="160">
        <v>-3.8870000000000002E-2</v>
      </c>
      <c r="K4632" s="160" t="s">
        <v>24</v>
      </c>
      <c r="L4632" s="154" t="str">
        <f>IF(OpenLCAbasic!K4632="CTUh", "Fill in Manually",IF(OR(K4632="Unit", K4632=""), "", INDEX(LookUps!$E$5:$E$12, MATCH(OpenLCAbasic!K4632,LookUps!$D$5:$D$12,0))))</f>
        <v>Acidification Potential (AP) - kg SO2 eq</v>
      </c>
      <c r="M4632" s="154" t="str">
        <f t="shared" si="290"/>
        <v>Base_Base_High_Upgraded_Acidification Potential (AP) - kg SO2 eq_Anaerobic Digestion; wastewater treatment unit; at updated plant - US_Without Amendment_Windrow</v>
      </c>
    </row>
    <row r="4633" spans="1:13" s="120" customFormat="1" x14ac:dyDescent="0.25">
      <c r="A4633" s="119"/>
      <c r="B4633" s="138" t="str">
        <f t="shared" si="288"/>
        <v/>
      </c>
      <c r="C4633" s="138" t="str">
        <f t="shared" si="286"/>
        <v/>
      </c>
      <c r="D4633" s="138" t="str">
        <f t="shared" si="291"/>
        <v/>
      </c>
      <c r="E4633" s="138" t="str">
        <f t="shared" si="285"/>
        <v/>
      </c>
      <c r="F4633" s="138" t="str">
        <f t="shared" si="289"/>
        <v/>
      </c>
      <c r="G4633" s="153" t="s">
        <v>51</v>
      </c>
      <c r="H4633" s="160"/>
      <c r="I4633" s="160" t="s">
        <v>47</v>
      </c>
      <c r="J4633" s="160" t="s">
        <v>52</v>
      </c>
      <c r="K4633" s="160" t="s">
        <v>27</v>
      </c>
      <c r="L4633" s="154" t="str">
        <f>IF(OpenLCAbasic!K4633="CTUh", "Fill in Manually",IF(OR(K4633="Unit", K4633=""), "", INDEX(LookUps!$E$5:$E$12, MATCH(OpenLCAbasic!K4633,LookUps!$D$5:$D$12,0))))</f>
        <v/>
      </c>
      <c r="M4633" s="154" t="str">
        <f t="shared" si="290"/>
        <v>____Process__</v>
      </c>
    </row>
    <row r="4634" spans="1:13" s="120" customFormat="1" x14ac:dyDescent="0.25">
      <c r="A4634" s="119"/>
      <c r="B4634" s="138" t="str">
        <f t="shared" si="288"/>
        <v>Windrow</v>
      </c>
      <c r="C4634" s="138" t="str">
        <f t="shared" si="286"/>
        <v>Without Amendment</v>
      </c>
      <c r="D4634" s="138" t="str">
        <f t="shared" si="291"/>
        <v>Base_High</v>
      </c>
      <c r="E4634" s="138" t="str">
        <f t="shared" si="285"/>
        <v>Base</v>
      </c>
      <c r="F4634" s="138" t="str">
        <f t="shared" si="289"/>
        <v>Upgraded</v>
      </c>
      <c r="G4634" s="153"/>
      <c r="H4634" s="210">
        <v>8.9407999999999994</v>
      </c>
      <c r="I4634" s="160" t="s">
        <v>55</v>
      </c>
      <c r="J4634" s="160">
        <v>3.5330499999999998</v>
      </c>
      <c r="K4634" s="160" t="s">
        <v>15</v>
      </c>
      <c r="L4634" s="154" t="str">
        <f>IF(OpenLCAbasic!K4634="CTUh", "Fill in Manually",IF(OR(K4634="Unit", K4634=""), "", INDEX(LookUps!$E$5:$E$12, MATCH(OpenLCAbasic!K4634,LookUps!$D$5:$D$12,0))))</f>
        <v>Cumulative Energy Demand (CED) - MJ</v>
      </c>
      <c r="M4634" s="154" t="str">
        <f t="shared" si="290"/>
        <v>Base_Base_High_Upgraded_Cumulative Energy Demand (CED) - MJ_Aeration Tanks; wastewater treatment unit; at updated plant - US_Without Amendment_Windrow</v>
      </c>
    </row>
    <row r="4635" spans="1:13" s="120" customFormat="1" x14ac:dyDescent="0.25">
      <c r="A4635" s="119"/>
      <c r="B4635" s="138" t="str">
        <f t="shared" si="288"/>
        <v>Windrow</v>
      </c>
      <c r="C4635" s="138" t="str">
        <f t="shared" si="286"/>
        <v>Without Amendment</v>
      </c>
      <c r="D4635" s="138" t="str">
        <f t="shared" si="291"/>
        <v>Base_High</v>
      </c>
      <c r="E4635" s="138" t="str">
        <f t="shared" si="285"/>
        <v>Base</v>
      </c>
      <c r="F4635" s="138" t="str">
        <f t="shared" si="289"/>
        <v>Upgraded</v>
      </c>
      <c r="G4635" s="153"/>
      <c r="H4635" s="210">
        <v>8.8528000000000002</v>
      </c>
      <c r="I4635" s="160" t="s">
        <v>167</v>
      </c>
      <c r="J4635" s="160">
        <v>3.4982700000000002</v>
      </c>
      <c r="K4635" s="160" t="s">
        <v>15</v>
      </c>
      <c r="L4635" s="154" t="str">
        <f>IF(OpenLCAbasic!K4635="CTUh", "Fill in Manually",IF(OR(K4635="Unit", K4635=""), "", INDEX(LookUps!$E$5:$E$12, MATCH(OpenLCAbasic!K4635,LookUps!$D$5:$D$12,0))))</f>
        <v>Cumulative Energy Demand (CED) - MJ</v>
      </c>
      <c r="M4635" s="154" t="str">
        <f t="shared" si="290"/>
        <v>Base_Base_High_Upgraded_Cumulative Energy Demand (CED) - MJ_Waste Receiving and Holding; wastewater treatment unit; at updated plant - US_Without Amendment_Windrow</v>
      </c>
    </row>
    <row r="4636" spans="1:13" s="120" customFormat="1" x14ac:dyDescent="0.25">
      <c r="A4636" s="119"/>
      <c r="B4636" s="138" t="str">
        <f t="shared" si="288"/>
        <v>Windrow</v>
      </c>
      <c r="C4636" s="138" t="str">
        <f t="shared" si="286"/>
        <v>Without Amendment</v>
      </c>
      <c r="D4636" s="138" t="str">
        <f t="shared" si="291"/>
        <v>Base_High</v>
      </c>
      <c r="E4636" s="138" t="str">
        <f t="shared" si="285"/>
        <v>Base</v>
      </c>
      <c r="F4636" s="138" t="str">
        <f t="shared" si="289"/>
        <v>Upgraded</v>
      </c>
      <c r="G4636" s="153"/>
      <c r="H4636" s="210">
        <v>2.9428000000000001</v>
      </c>
      <c r="I4636" s="160" t="s">
        <v>54</v>
      </c>
      <c r="J4636" s="160">
        <v>1.16289</v>
      </c>
      <c r="K4636" s="160" t="s">
        <v>15</v>
      </c>
      <c r="L4636" s="154" t="str">
        <f>IF(OpenLCAbasic!K4636="CTUh", "Fill in Manually",IF(OR(K4636="Unit", K4636=""), "", INDEX(LookUps!$E$5:$E$12, MATCH(OpenLCAbasic!K4636,LookUps!$D$5:$D$12,0))))</f>
        <v>Cumulative Energy Demand (CED) - MJ</v>
      </c>
      <c r="M4636" s="154" t="str">
        <f t="shared" si="290"/>
        <v>Base_Base_High_Upgraded_Cumulative Energy Demand (CED) - MJ_Clear Cove Primary Clarification; wastewater treatment unit; at updated plant - US_Without Amendment_Windrow</v>
      </c>
    </row>
    <row r="4637" spans="1:13" s="120" customFormat="1" x14ac:dyDescent="0.25">
      <c r="A4637" s="119"/>
      <c r="B4637" s="138" t="str">
        <f t="shared" si="288"/>
        <v>Windrow</v>
      </c>
      <c r="C4637" s="138" t="str">
        <f t="shared" si="286"/>
        <v>Without Amendment</v>
      </c>
      <c r="D4637" s="138" t="str">
        <f t="shared" si="291"/>
        <v>Base_High</v>
      </c>
      <c r="E4637" s="138" t="str">
        <f t="shared" si="285"/>
        <v>Base</v>
      </c>
      <c r="F4637" s="138" t="str">
        <f t="shared" si="289"/>
        <v>Upgraded</v>
      </c>
      <c r="G4637" s="153"/>
      <c r="H4637" s="210">
        <v>2.2374999999999998</v>
      </c>
      <c r="I4637" s="160" t="s">
        <v>58</v>
      </c>
      <c r="J4637" s="160">
        <v>0.88417000000000001</v>
      </c>
      <c r="K4637" s="160" t="s">
        <v>15</v>
      </c>
      <c r="L4637" s="154" t="str">
        <f>IF(OpenLCAbasic!K4637="CTUh", "Fill in Manually",IF(OR(K4637="Unit", K4637=""), "", INDEX(LookUps!$E$5:$E$12, MATCH(OpenLCAbasic!K4637,LookUps!$D$5:$D$12,0))))</f>
        <v>Cumulative Energy Demand (CED) - MJ</v>
      </c>
      <c r="M4637" s="154" t="str">
        <f t="shared" si="290"/>
        <v>Base_Base_High_Upgraded_Cumulative Energy Demand (CED) - MJ_Pre-Anoxic &amp; Swing tank; wastewater treatment unit; at updated plant - US_Without Amendment_Windrow</v>
      </c>
    </row>
    <row r="4638" spans="1:13" s="120" customFormat="1" x14ac:dyDescent="0.25">
      <c r="A4638" s="119"/>
      <c r="B4638" s="138" t="str">
        <f t="shared" si="288"/>
        <v>Windrow</v>
      </c>
      <c r="C4638" s="138" t="str">
        <f t="shared" si="286"/>
        <v>Without Amendment</v>
      </c>
      <c r="D4638" s="138" t="str">
        <f t="shared" si="291"/>
        <v>Base_High</v>
      </c>
      <c r="E4638" s="138" t="str">
        <f t="shared" si="285"/>
        <v>Base</v>
      </c>
      <c r="F4638" s="138" t="str">
        <f t="shared" si="289"/>
        <v>Upgraded</v>
      </c>
      <c r="G4638" s="153"/>
      <c r="H4638" s="210">
        <v>2.2345000000000002</v>
      </c>
      <c r="I4638" s="160" t="s">
        <v>147</v>
      </c>
      <c r="J4638" s="160">
        <v>0.88297000000000003</v>
      </c>
      <c r="K4638" s="160" t="s">
        <v>15</v>
      </c>
      <c r="L4638" s="154" t="str">
        <f>IF(OpenLCAbasic!K4638="CTUh", "Fill in Manually",IF(OR(K4638="Unit", K4638=""), "", INDEX(LookUps!$E$5:$E$12, MATCH(OpenLCAbasic!K4638,LookUps!$D$5:$D$12,0))))</f>
        <v>Cumulative Energy Demand (CED) - MJ</v>
      </c>
      <c r="M4638" s="154" t="str">
        <f t="shared" si="290"/>
        <v>Base_Base_High_Upgraded_Cumulative Energy Demand (CED) - MJ_Influent Pump Station; wastewater treatment unit; at updated plant - US_Without Amendment_Windrow</v>
      </c>
    </row>
    <row r="4639" spans="1:13" s="120" customFormat="1" x14ac:dyDescent="0.25">
      <c r="A4639" s="119"/>
      <c r="B4639" s="138" t="str">
        <f t="shared" si="288"/>
        <v>Windrow</v>
      </c>
      <c r="C4639" s="138" t="str">
        <f t="shared" si="286"/>
        <v>Without Amendment</v>
      </c>
      <c r="D4639" s="138" t="str">
        <f t="shared" si="291"/>
        <v>Base_High</v>
      </c>
      <c r="E4639" s="138" t="str">
        <f t="shared" si="285"/>
        <v>Base</v>
      </c>
      <c r="F4639" s="138" t="str">
        <f t="shared" si="289"/>
        <v>Upgraded</v>
      </c>
      <c r="G4639" s="153"/>
      <c r="H4639" s="210">
        <v>1.7624</v>
      </c>
      <c r="I4639" s="160" t="s">
        <v>53</v>
      </c>
      <c r="J4639" s="160">
        <v>0.69645000000000001</v>
      </c>
      <c r="K4639" s="160" t="s">
        <v>15</v>
      </c>
      <c r="L4639" s="154" t="str">
        <f>IF(OpenLCAbasic!K4639="CTUh", "Fill in Manually",IF(OR(K4639="Unit", K4639=""), "", INDEX(LookUps!$E$5:$E$12, MATCH(OpenLCAbasic!K4639,LookUps!$D$5:$D$12,0))))</f>
        <v>Cumulative Energy Demand (CED) - MJ</v>
      </c>
      <c r="M4639" s="154" t="str">
        <f t="shared" si="290"/>
        <v>Base_Base_High_Upgraded_Cumulative Energy Demand (CED) - MJ_Wet Well and Sump Station; wastewater treatment unit; at updated plant - US_Without Amendment_Windrow</v>
      </c>
    </row>
    <row r="4640" spans="1:13" s="120" customFormat="1" x14ac:dyDescent="0.25">
      <c r="A4640" s="119"/>
      <c r="B4640" s="138" t="str">
        <f t="shared" si="288"/>
        <v>Windrow</v>
      </c>
      <c r="C4640" s="138" t="str">
        <f t="shared" si="286"/>
        <v>Without Amendment</v>
      </c>
      <c r="D4640" s="138" t="str">
        <f t="shared" si="291"/>
        <v>Base_High</v>
      </c>
      <c r="E4640" s="138" t="str">
        <f t="shared" si="285"/>
        <v>Base</v>
      </c>
      <c r="F4640" s="138" t="str">
        <f t="shared" si="289"/>
        <v>Upgraded</v>
      </c>
      <c r="G4640" s="153"/>
      <c r="H4640" s="210">
        <v>0.84530000000000005</v>
      </c>
      <c r="I4640" s="160" t="s">
        <v>57</v>
      </c>
      <c r="J4640" s="160">
        <v>0.33404</v>
      </c>
      <c r="K4640" s="160" t="s">
        <v>15</v>
      </c>
      <c r="L4640" s="154" t="str">
        <f>IF(OpenLCAbasic!K4640="CTUh", "Fill in Manually",IF(OR(K4640="Unit", K4640=""), "", INDEX(LookUps!$E$5:$E$12, MATCH(OpenLCAbasic!K4640,LookUps!$D$5:$D$12,0))))</f>
        <v>Cumulative Energy Demand (CED) - MJ</v>
      </c>
      <c r="M4640" s="154" t="str">
        <f t="shared" si="290"/>
        <v>Base_Base_High_Upgraded_Cumulative Energy Demand (CED) - MJ_Gravity Belt Thickener; wastewater treatment unit; at updated plant - US_Without Amendment_Windrow</v>
      </c>
    </row>
    <row r="4641" spans="1:13" s="120" customFormat="1" x14ac:dyDescent="0.25">
      <c r="A4641" s="119"/>
      <c r="B4641" s="138" t="str">
        <f t="shared" si="288"/>
        <v>Windrow</v>
      </c>
      <c r="C4641" s="138" t="str">
        <f t="shared" si="286"/>
        <v>Without Amendment</v>
      </c>
      <c r="D4641" s="138" t="str">
        <f t="shared" si="291"/>
        <v>Base_High</v>
      </c>
      <c r="E4641" s="138" t="str">
        <f t="shared" si="285"/>
        <v>Base</v>
      </c>
      <c r="F4641" s="138" t="str">
        <f t="shared" si="289"/>
        <v>Upgraded</v>
      </c>
      <c r="G4641" s="153"/>
      <c r="H4641" s="210">
        <v>0.70289999999999997</v>
      </c>
      <c r="I4641" s="160" t="s">
        <v>60</v>
      </c>
      <c r="J4641" s="160">
        <v>0.27775</v>
      </c>
      <c r="K4641" s="160" t="s">
        <v>15</v>
      </c>
      <c r="L4641" s="154" t="str">
        <f>IF(OpenLCAbasic!K4641="CTUh", "Fill in Manually",IF(OR(K4641="Unit", K4641=""), "", INDEX(LookUps!$E$5:$E$12, MATCH(OpenLCAbasic!K4641,LookUps!$D$5:$D$12,0))))</f>
        <v>Cumulative Energy Demand (CED) - MJ</v>
      </c>
      <c r="M4641" s="154" t="str">
        <f t="shared" si="290"/>
        <v>Base_Base_High_Upgraded_Cumulative Energy Demand (CED) - MJ_Belt filter press; wastewater treatment unit; at updated plant - US_Without Amendment_Windrow</v>
      </c>
    </row>
    <row r="4642" spans="1:13" s="120" customFormat="1" x14ac:dyDescent="0.25">
      <c r="A4642" s="119"/>
      <c r="B4642" s="138" t="str">
        <f t="shared" si="288"/>
        <v>Windrow</v>
      </c>
      <c r="C4642" s="138" t="str">
        <f t="shared" si="286"/>
        <v>Without Amendment</v>
      </c>
      <c r="D4642" s="138" t="str">
        <f t="shared" si="291"/>
        <v>Base_High</v>
      </c>
      <c r="E4642" s="138" t="str">
        <f t="shared" si="285"/>
        <v>Base</v>
      </c>
      <c r="F4642" s="138" t="str">
        <f t="shared" si="289"/>
        <v>Upgraded</v>
      </c>
      <c r="G4642" s="153"/>
      <c r="H4642" s="210">
        <v>0.64800000000000002</v>
      </c>
      <c r="I4642" s="160" t="s">
        <v>128</v>
      </c>
      <c r="J4642" s="160">
        <v>0.25606000000000001</v>
      </c>
      <c r="K4642" s="160" t="s">
        <v>15</v>
      </c>
      <c r="L4642" s="154" t="str">
        <f>IF(OpenLCAbasic!K4642="CTUh", "Fill in Manually",IF(OR(K4642="Unit", K4642=""), "", INDEX(LookUps!$E$5:$E$12, MATCH(OpenLCAbasic!K4642,LookUps!$D$5:$D$12,0))))</f>
        <v>Cumulative Energy Demand (CED) - MJ</v>
      </c>
      <c r="M4642" s="154" t="str">
        <f t="shared" si="290"/>
        <v>Base_Base_High_Upgraded_Cumulative Energy Demand (CED) - MJ_Wastewater collection; operation and infrastructure; m3 wastewater_Without Amendment_Windrow</v>
      </c>
    </row>
    <row r="4643" spans="1:13" s="120" customFormat="1" x14ac:dyDescent="0.25">
      <c r="A4643" s="119"/>
      <c r="B4643" s="138" t="str">
        <f t="shared" si="288"/>
        <v>Windrow</v>
      </c>
      <c r="C4643" s="138" t="str">
        <f t="shared" si="286"/>
        <v>Without Amendment</v>
      </c>
      <c r="D4643" s="138" t="str">
        <f t="shared" si="291"/>
        <v>Base_High</v>
      </c>
      <c r="E4643" s="138" t="str">
        <f t="shared" si="285"/>
        <v>Base</v>
      </c>
      <c r="F4643" s="138" t="str">
        <f t="shared" si="289"/>
        <v>Upgraded</v>
      </c>
      <c r="G4643" s="153"/>
      <c r="H4643" s="210">
        <v>0.3695</v>
      </c>
      <c r="I4643" s="160" t="s">
        <v>148</v>
      </c>
      <c r="J4643" s="160">
        <v>0.14599000000000001</v>
      </c>
      <c r="K4643" s="160" t="s">
        <v>15</v>
      </c>
      <c r="L4643" s="154" t="str">
        <f>IF(OpenLCAbasic!K4643="CTUh", "Fill in Manually",IF(OR(K4643="Unit", K4643=""), "", INDEX(LookUps!$E$5:$E$12, MATCH(OpenLCAbasic!K4643,LookUps!$D$5:$D$12,0))))</f>
        <v>Cumulative Energy Demand (CED) - MJ</v>
      </c>
      <c r="M4643" s="154" t="str">
        <f t="shared" si="290"/>
        <v>Base_Base_High_Upgraded_Cumulative Energy Demand (CED) - MJ_Control Building; at upgraded wastewater treatment plant - US_Without Amendment_Windrow</v>
      </c>
    </row>
    <row r="4644" spans="1:13" s="120" customFormat="1" x14ac:dyDescent="0.25">
      <c r="A4644" s="119"/>
      <c r="B4644" s="138" t="str">
        <f t="shared" si="288"/>
        <v>Windrow</v>
      </c>
      <c r="C4644" s="138" t="str">
        <f t="shared" si="286"/>
        <v>Without Amendment</v>
      </c>
      <c r="D4644" s="138" t="str">
        <f t="shared" si="291"/>
        <v>Base_High</v>
      </c>
      <c r="E4644" s="138" t="str">
        <f t="shared" si="285"/>
        <v>Base</v>
      </c>
      <c r="F4644" s="138" t="str">
        <f t="shared" si="289"/>
        <v>Upgraded</v>
      </c>
      <c r="G4644" s="153"/>
      <c r="H4644" s="210">
        <v>0.33710000000000001</v>
      </c>
      <c r="I4644" s="160" t="s">
        <v>48</v>
      </c>
      <c r="J4644" s="160">
        <v>0.13321</v>
      </c>
      <c r="K4644" s="160" t="s">
        <v>15</v>
      </c>
      <c r="L4644" s="154" t="str">
        <f>IF(OpenLCAbasic!K4644="CTUh", "Fill in Manually",IF(OR(K4644="Unit", K4644=""), "", INDEX(LookUps!$E$5:$E$12, MATCH(OpenLCAbasic!K4644,LookUps!$D$5:$D$12,0))))</f>
        <v>Cumulative Energy Demand (CED) - MJ</v>
      </c>
      <c r="M4644" s="154" t="str">
        <f t="shared" si="290"/>
        <v>Base_Base_High_Upgraded_Cumulative Energy Demand (CED) - MJ_Effluent release; wastewater treatment unit; at surface water; m3 wastewater - US_Without Amendment_Windrow</v>
      </c>
    </row>
    <row r="4645" spans="1:13" s="120" customFormat="1" x14ac:dyDescent="0.25">
      <c r="A4645" s="119"/>
      <c r="B4645" s="138" t="str">
        <f t="shared" si="288"/>
        <v>Windrow</v>
      </c>
      <c r="C4645" s="138" t="str">
        <f t="shared" si="286"/>
        <v>Without Amendment</v>
      </c>
      <c r="D4645" s="138" t="str">
        <f t="shared" si="291"/>
        <v>Base_High</v>
      </c>
      <c r="E4645" s="138" t="str">
        <f t="shared" si="285"/>
        <v>Base</v>
      </c>
      <c r="F4645" s="138" t="str">
        <f t="shared" si="289"/>
        <v>Upgraded</v>
      </c>
      <c r="G4645" s="153"/>
      <c r="H4645" s="210">
        <v>0.26919999999999999</v>
      </c>
      <c r="I4645" s="160" t="s">
        <v>59</v>
      </c>
      <c r="J4645" s="160">
        <v>0.10638</v>
      </c>
      <c r="K4645" s="160" t="s">
        <v>15</v>
      </c>
      <c r="L4645" s="154" t="str">
        <f>IF(OpenLCAbasic!K4645="CTUh", "Fill in Manually",IF(OR(K4645="Unit", K4645=""), "", INDEX(LookUps!$E$5:$E$12, MATCH(OpenLCAbasic!K4645,LookUps!$D$5:$D$12,0))))</f>
        <v>Cumulative Energy Demand (CED) - MJ</v>
      </c>
      <c r="M4645" s="154" t="str">
        <f t="shared" si="290"/>
        <v>Base_Base_High_Upgraded_Cumulative Energy Demand (CED) - MJ_Blend Tank; wastewater treatment unit; at updated plant - US_Without Amendment_Windrow</v>
      </c>
    </row>
    <row r="4646" spans="1:13" s="120" customFormat="1" x14ac:dyDescent="0.25">
      <c r="A4646" s="119"/>
      <c r="B4646" s="138" t="str">
        <f t="shared" si="288"/>
        <v>Windrow</v>
      </c>
      <c r="C4646" s="138" t="str">
        <f t="shared" si="286"/>
        <v>Without Amendment</v>
      </c>
      <c r="D4646" s="138" t="str">
        <f t="shared" si="291"/>
        <v>Base_High</v>
      </c>
      <c r="E4646" s="138" t="str">
        <f t="shared" si="285"/>
        <v>Base</v>
      </c>
      <c r="F4646" s="138" t="str">
        <f t="shared" si="289"/>
        <v>Upgraded</v>
      </c>
      <c r="G4646" s="153"/>
      <c r="H4646" s="210">
        <v>0.12889999999999999</v>
      </c>
      <c r="I4646" s="160" t="s">
        <v>168</v>
      </c>
      <c r="J4646" s="160">
        <v>5.0930000000000003E-2</v>
      </c>
      <c r="K4646" s="160" t="s">
        <v>15</v>
      </c>
      <c r="L4646" s="154" t="str">
        <f>IF(OpenLCAbasic!K4646="CTUh", "Fill in Manually",IF(OR(K4646="Unit", K4646=""), "", INDEX(LookUps!$E$5:$E$12, MATCH(OpenLCAbasic!K4646,LookUps!$D$5:$D$12,0))))</f>
        <v>Cumulative Energy Demand (CED) - MJ</v>
      </c>
      <c r="M4646" s="154" t="str">
        <f t="shared" si="290"/>
        <v>Base_Base_High_Upgraded_Cumulative Energy Demand (CED) - MJ_ClearCove SCP; wastewater treatment unit; at updated plant - US_Without Amendment_Windrow</v>
      </c>
    </row>
    <row r="4647" spans="1:13" s="120" customFormat="1" x14ac:dyDescent="0.25">
      <c r="A4647" s="119"/>
      <c r="B4647" s="138" t="str">
        <f t="shared" si="288"/>
        <v>Windrow</v>
      </c>
      <c r="C4647" s="138" t="str">
        <f t="shared" si="286"/>
        <v>Without Amendment</v>
      </c>
      <c r="D4647" s="138" t="str">
        <f t="shared" si="291"/>
        <v>Base_High</v>
      </c>
      <c r="E4647" s="138" t="str">
        <f t="shared" si="285"/>
        <v>Base</v>
      </c>
      <c r="F4647" s="138" t="str">
        <f t="shared" si="289"/>
        <v>Upgraded</v>
      </c>
      <c r="G4647" s="153"/>
      <c r="H4647" s="210">
        <v>4.6199999999999998E-2</v>
      </c>
      <c r="I4647" s="160" t="s">
        <v>271</v>
      </c>
      <c r="J4647" s="160">
        <v>1.8270000000000002E-2</v>
      </c>
      <c r="K4647" s="160" t="s">
        <v>15</v>
      </c>
      <c r="L4647" s="154" t="str">
        <f>IF(OpenLCAbasic!K4647="CTUh", "Fill in Manually",IF(OR(K4647="Unit", K4647=""), "", INDEX(LookUps!$E$5:$E$12, MATCH(OpenLCAbasic!K4647,LookUps!$D$5:$D$12,0))))</f>
        <v>Cumulative Energy Demand (CED) - MJ</v>
      </c>
      <c r="M4647" s="154" t="str">
        <f t="shared" si="290"/>
        <v>Base_Base_High_Upgraded_Cumulative Energy Demand (CED) - MJ_Biosolids composting; windrow composting; wastewater treatment unit; at updated plant - US_Without Amendment_Windrow</v>
      </c>
    </row>
    <row r="4648" spans="1:13" s="120" customFormat="1" x14ac:dyDescent="0.25">
      <c r="A4648" s="119"/>
      <c r="B4648" s="138" t="str">
        <f t="shared" si="288"/>
        <v>Windrow</v>
      </c>
      <c r="C4648" s="138" t="str">
        <f t="shared" si="286"/>
        <v>Without Amendment</v>
      </c>
      <c r="D4648" s="138" t="str">
        <f t="shared" si="291"/>
        <v>Base_High</v>
      </c>
      <c r="E4648" s="138" t="str">
        <f t="shared" si="285"/>
        <v>Base</v>
      </c>
      <c r="F4648" s="138" t="str">
        <f t="shared" si="289"/>
        <v>Upgraded</v>
      </c>
      <c r="G4648" s="153"/>
      <c r="H4648" s="210">
        <v>-0.69010000000000005</v>
      </c>
      <c r="I4648" s="160" t="s">
        <v>62</v>
      </c>
      <c r="J4648" s="160">
        <v>-0.2727</v>
      </c>
      <c r="K4648" s="160" t="s">
        <v>15</v>
      </c>
      <c r="L4648" s="154" t="str">
        <f>IF(OpenLCAbasic!K4648="CTUh", "Fill in Manually",IF(OR(K4648="Unit", K4648=""), "", INDEX(LookUps!$E$5:$E$12, MATCH(OpenLCAbasic!K4648,LookUps!$D$5:$D$12,0))))</f>
        <v>Cumulative Energy Demand (CED) - MJ</v>
      </c>
      <c r="M4648" s="154" t="str">
        <f t="shared" si="290"/>
        <v>Base_Base_High_Upgraded_Cumulative Energy Demand (CED) - MJ_Land application of compost; wastewater treatment unit; at updated plant - US_Without Amendment_Windrow</v>
      </c>
    </row>
    <row r="4649" spans="1:13" s="120" customFormat="1" x14ac:dyDescent="0.25">
      <c r="A4649" s="119"/>
      <c r="B4649" s="138" t="str">
        <f t="shared" si="288"/>
        <v>Windrow</v>
      </c>
      <c r="C4649" s="138" t="str">
        <f t="shared" si="286"/>
        <v>Without Amendment</v>
      </c>
      <c r="D4649" s="138" t="str">
        <f t="shared" si="291"/>
        <v>Base_High</v>
      </c>
      <c r="E4649" s="138" t="str">
        <f t="shared" si="285"/>
        <v>Base</v>
      </c>
      <c r="F4649" s="138" t="str">
        <f t="shared" si="289"/>
        <v>Upgraded</v>
      </c>
      <c r="G4649" s="153"/>
      <c r="H4649" s="210">
        <v>-28.627700000000001</v>
      </c>
      <c r="I4649" s="160" t="s">
        <v>149</v>
      </c>
      <c r="J4649" s="160">
        <v>-11.31259</v>
      </c>
      <c r="K4649" s="160" t="s">
        <v>15</v>
      </c>
      <c r="L4649" s="154" t="str">
        <f>IF(OpenLCAbasic!K4649="CTUh", "Fill in Manually",IF(OR(K4649="Unit", K4649=""), "", INDEX(LookUps!$E$5:$E$12, MATCH(OpenLCAbasic!K4649,LookUps!$D$5:$D$12,0))))</f>
        <v>Cumulative Energy Demand (CED) - MJ</v>
      </c>
      <c r="M4649" s="154" t="str">
        <f t="shared" si="290"/>
        <v>Base_Base_High_Upgraded_Cumulative Energy Demand (CED) - MJ_Anaerobic Digestion; wastewater treatment unit; at updated plant - US_Without Amendment_Windrow</v>
      </c>
    </row>
    <row r="4650" spans="1:13" s="120" customFormat="1" x14ac:dyDescent="0.25">
      <c r="A4650" s="119"/>
      <c r="B4650" s="138" t="str">
        <f t="shared" si="288"/>
        <v/>
      </c>
      <c r="C4650" s="138" t="str">
        <f t="shared" si="286"/>
        <v/>
      </c>
      <c r="D4650" s="138" t="str">
        <f t="shared" si="291"/>
        <v/>
      </c>
      <c r="E4650" s="138" t="str">
        <f t="shared" si="285"/>
        <v/>
      </c>
      <c r="F4650" s="138" t="str">
        <f t="shared" si="289"/>
        <v/>
      </c>
      <c r="G4650" s="153" t="s">
        <v>51</v>
      </c>
      <c r="H4650" s="160"/>
      <c r="I4650" s="160" t="s">
        <v>47</v>
      </c>
      <c r="J4650" s="160" t="s">
        <v>52</v>
      </c>
      <c r="K4650" s="160" t="s">
        <v>27</v>
      </c>
      <c r="L4650" s="154" t="str">
        <f>IF(OpenLCAbasic!K4650="CTUh", "Fill in Manually",IF(OR(K4650="Unit", K4650=""), "", INDEX(LookUps!$E$5:$E$12, MATCH(OpenLCAbasic!K4650,LookUps!$D$5:$D$12,0))))</f>
        <v/>
      </c>
      <c r="M4650" s="154" t="str">
        <f t="shared" si="290"/>
        <v>____Process__</v>
      </c>
    </row>
    <row r="4651" spans="1:13" s="120" customFormat="1" x14ac:dyDescent="0.25">
      <c r="A4651" s="119"/>
      <c r="B4651" s="138" t="str">
        <f t="shared" si="288"/>
        <v>Windrow</v>
      </c>
      <c r="C4651" s="138" t="str">
        <f t="shared" si="286"/>
        <v>Without Amendment</v>
      </c>
      <c r="D4651" s="138" t="str">
        <f t="shared" si="291"/>
        <v>Base_High</v>
      </c>
      <c r="E4651" s="138" t="str">
        <f t="shared" si="285"/>
        <v>Base</v>
      </c>
      <c r="F4651" s="138" t="str">
        <f t="shared" si="289"/>
        <v>Upgraded</v>
      </c>
      <c r="G4651" s="153"/>
      <c r="H4651" s="210">
        <v>0.86109999999999998</v>
      </c>
      <c r="I4651" s="160" t="s">
        <v>48</v>
      </c>
      <c r="J4651" s="160">
        <v>1.1610000000000001E-2</v>
      </c>
      <c r="K4651" s="160" t="s">
        <v>13</v>
      </c>
      <c r="L4651" s="154" t="str">
        <f>IF(OpenLCAbasic!K4651="CTUh", "Fill in Manually",IF(OR(K4651="Unit", K4651=""), "", INDEX(LookUps!$E$5:$E$12, MATCH(OpenLCAbasic!K4651,LookUps!$D$5:$D$12,0))))</f>
        <v>Eutrophication Potential (EP) - kg N eq</v>
      </c>
      <c r="M4651" s="154" t="str">
        <f t="shared" si="290"/>
        <v>Base_Base_High_Upgraded_Eutrophication Potential (EP) - kg N eq_Effluent release; wastewater treatment unit; at surface water; m3 wastewater - US_Without Amendment_Windrow</v>
      </c>
    </row>
    <row r="4652" spans="1:13" s="120" customFormat="1" x14ac:dyDescent="0.25">
      <c r="A4652" s="119"/>
      <c r="B4652" s="138" t="str">
        <f t="shared" si="288"/>
        <v>Windrow</v>
      </c>
      <c r="C4652" s="138" t="str">
        <f t="shared" si="286"/>
        <v>Without Amendment</v>
      </c>
      <c r="D4652" s="138" t="str">
        <f t="shared" si="291"/>
        <v>Base_High</v>
      </c>
      <c r="E4652" s="138" t="str">
        <f t="shared" si="285"/>
        <v>Base</v>
      </c>
      <c r="F4652" s="138" t="str">
        <f t="shared" si="289"/>
        <v>Upgraded</v>
      </c>
      <c r="G4652" s="153"/>
      <c r="H4652" s="210">
        <v>9.2200000000000004E-2</v>
      </c>
      <c r="I4652" s="160" t="s">
        <v>62</v>
      </c>
      <c r="J4652" s="160">
        <v>1.24E-3</v>
      </c>
      <c r="K4652" s="160" t="s">
        <v>13</v>
      </c>
      <c r="L4652" s="154" t="str">
        <f>IF(OpenLCAbasic!K4652="CTUh", "Fill in Manually",IF(OR(K4652="Unit", K4652=""), "", INDEX(LookUps!$E$5:$E$12, MATCH(OpenLCAbasic!K4652,LookUps!$D$5:$D$12,0))))</f>
        <v>Eutrophication Potential (EP) - kg N eq</v>
      </c>
      <c r="M4652" s="154" t="str">
        <f t="shared" si="290"/>
        <v>Base_Base_High_Upgraded_Eutrophication Potential (EP) - kg N eq_Land application of compost; wastewater treatment unit; at updated plant - US_Without Amendment_Windrow</v>
      </c>
    </row>
    <row r="4653" spans="1:13" s="120" customFormat="1" x14ac:dyDescent="0.25">
      <c r="A4653" s="119"/>
      <c r="B4653" s="138" t="str">
        <f t="shared" si="288"/>
        <v>Windrow</v>
      </c>
      <c r="C4653" s="138" t="str">
        <f t="shared" si="286"/>
        <v>Without Amendment</v>
      </c>
      <c r="D4653" s="138" t="str">
        <f t="shared" si="291"/>
        <v>Base_High</v>
      </c>
      <c r="E4653" s="138" t="str">
        <f t="shared" si="285"/>
        <v>Base</v>
      </c>
      <c r="F4653" s="138" t="str">
        <f t="shared" si="289"/>
        <v>Upgraded</v>
      </c>
      <c r="G4653" s="153"/>
      <c r="H4653" s="210">
        <v>4.0500000000000001E-2</v>
      </c>
      <c r="I4653" s="160" t="s">
        <v>55</v>
      </c>
      <c r="J4653" s="160">
        <v>5.5000000000000003E-4</v>
      </c>
      <c r="K4653" s="160" t="s">
        <v>13</v>
      </c>
      <c r="L4653" s="154" t="str">
        <f>IF(OpenLCAbasic!K4653="CTUh", "Fill in Manually",IF(OR(K4653="Unit", K4653=""), "", INDEX(LookUps!$E$5:$E$12, MATCH(OpenLCAbasic!K4653,LookUps!$D$5:$D$12,0))))</f>
        <v>Eutrophication Potential (EP) - kg N eq</v>
      </c>
      <c r="M4653" s="154" t="str">
        <f t="shared" si="290"/>
        <v>Base_Base_High_Upgraded_Eutrophication Potential (EP) - kg N eq_Aeration Tanks; wastewater treatment unit; at updated plant - US_Without Amendment_Windrow</v>
      </c>
    </row>
    <row r="4654" spans="1:13" s="120" customFormat="1" x14ac:dyDescent="0.25">
      <c r="A4654" s="119"/>
      <c r="B4654" s="138" t="str">
        <f t="shared" si="288"/>
        <v>Windrow</v>
      </c>
      <c r="C4654" s="138" t="str">
        <f t="shared" si="286"/>
        <v>Without Amendment</v>
      </c>
      <c r="D4654" s="138" t="str">
        <f t="shared" si="291"/>
        <v>Base_High</v>
      </c>
      <c r="E4654" s="138" t="str">
        <f t="shared" si="285"/>
        <v>Base</v>
      </c>
      <c r="F4654" s="138" t="str">
        <f t="shared" si="289"/>
        <v>Upgraded</v>
      </c>
      <c r="G4654" s="153"/>
      <c r="H4654" s="210">
        <v>1.8499999999999999E-2</v>
      </c>
      <c r="I4654" s="160" t="s">
        <v>147</v>
      </c>
      <c r="J4654" s="160">
        <v>2.5000000000000001E-4</v>
      </c>
      <c r="K4654" s="160" t="s">
        <v>13</v>
      </c>
      <c r="L4654" s="154" t="str">
        <f>IF(OpenLCAbasic!K4654="CTUh", "Fill in Manually",IF(OR(K4654="Unit", K4654=""), "", INDEX(LookUps!$E$5:$E$12, MATCH(OpenLCAbasic!K4654,LookUps!$D$5:$D$12,0))))</f>
        <v>Eutrophication Potential (EP) - kg N eq</v>
      </c>
      <c r="M4654" s="154" t="str">
        <f t="shared" si="290"/>
        <v>Base_Base_High_Upgraded_Eutrophication Potential (EP) - kg N eq_Influent Pump Station; wastewater treatment unit; at updated plant - US_Without Amendment_Windrow</v>
      </c>
    </row>
    <row r="4655" spans="1:13" s="120" customFormat="1" x14ac:dyDescent="0.25">
      <c r="A4655" s="119"/>
      <c r="B4655" s="138" t="str">
        <f t="shared" si="288"/>
        <v>Windrow</v>
      </c>
      <c r="C4655" s="138" t="str">
        <f t="shared" si="286"/>
        <v>Without Amendment</v>
      </c>
      <c r="D4655" s="138" t="str">
        <f t="shared" si="291"/>
        <v>Base_High</v>
      </c>
      <c r="E4655" s="138" t="str">
        <f t="shared" si="285"/>
        <v>Base</v>
      </c>
      <c r="F4655" s="138" t="str">
        <f t="shared" si="289"/>
        <v>Upgraded</v>
      </c>
      <c r="G4655" s="153"/>
      <c r="H4655" s="210">
        <v>1.6199999999999999E-2</v>
      </c>
      <c r="I4655" s="160" t="s">
        <v>271</v>
      </c>
      <c r="J4655" s="160">
        <v>2.2000000000000001E-4</v>
      </c>
      <c r="K4655" s="160" t="s">
        <v>13</v>
      </c>
      <c r="L4655" s="154" t="str">
        <f>IF(OpenLCAbasic!K4655="CTUh", "Fill in Manually",IF(OR(K4655="Unit", K4655=""), "", INDEX(LookUps!$E$5:$E$12, MATCH(OpenLCAbasic!K4655,LookUps!$D$5:$D$12,0))))</f>
        <v>Eutrophication Potential (EP) - kg N eq</v>
      </c>
      <c r="M4655" s="154" t="str">
        <f t="shared" si="290"/>
        <v>Base_Base_High_Upgraded_Eutrophication Potential (EP) - kg N eq_Biosolids composting; windrow composting; wastewater treatment unit; at updated plant - US_Without Amendment_Windrow</v>
      </c>
    </row>
    <row r="4656" spans="1:13" s="120" customFormat="1" x14ac:dyDescent="0.25">
      <c r="A4656" s="119"/>
      <c r="B4656" s="138" t="str">
        <f t="shared" si="288"/>
        <v>Windrow</v>
      </c>
      <c r="C4656" s="138" t="str">
        <f t="shared" si="286"/>
        <v>Without Amendment</v>
      </c>
      <c r="D4656" s="138" t="str">
        <f t="shared" si="291"/>
        <v>Base_High</v>
      </c>
      <c r="E4656" s="138" t="str">
        <f t="shared" si="285"/>
        <v>Base</v>
      </c>
      <c r="F4656" s="138" t="str">
        <f t="shared" si="289"/>
        <v>Upgraded</v>
      </c>
      <c r="G4656" s="153"/>
      <c r="H4656" s="210">
        <v>1.47E-2</v>
      </c>
      <c r="I4656" s="160" t="s">
        <v>54</v>
      </c>
      <c r="J4656" s="160">
        <v>2.0000000000000001E-4</v>
      </c>
      <c r="K4656" s="160" t="s">
        <v>13</v>
      </c>
      <c r="L4656" s="154" t="str">
        <f>IF(OpenLCAbasic!K4656="CTUh", "Fill in Manually",IF(OR(K4656="Unit", K4656=""), "", INDEX(LookUps!$E$5:$E$12, MATCH(OpenLCAbasic!K4656,LookUps!$D$5:$D$12,0))))</f>
        <v>Eutrophication Potential (EP) - kg N eq</v>
      </c>
      <c r="M4656" s="154" t="str">
        <f t="shared" si="290"/>
        <v>Base_Base_High_Upgraded_Eutrophication Potential (EP) - kg N eq_Clear Cove Primary Clarification; wastewater treatment unit; at updated plant - US_Without Amendment_Windrow</v>
      </c>
    </row>
    <row r="4657" spans="1:13" s="120" customFormat="1" x14ac:dyDescent="0.25">
      <c r="A4657" s="119"/>
      <c r="B4657" s="138" t="str">
        <f t="shared" si="288"/>
        <v>Windrow</v>
      </c>
      <c r="C4657" s="138" t="str">
        <f t="shared" si="286"/>
        <v>Without Amendment</v>
      </c>
      <c r="D4657" s="138" t="str">
        <f t="shared" si="291"/>
        <v>Base_High</v>
      </c>
      <c r="E4657" s="138" t="str">
        <f t="shared" ref="E4657:E4720" si="292">IF(ISNUMBER($J4657),"Base","")</f>
        <v>Base</v>
      </c>
      <c r="F4657" s="138" t="str">
        <f t="shared" si="289"/>
        <v>Upgraded</v>
      </c>
      <c r="G4657" s="153"/>
      <c r="H4657" s="210">
        <v>1.2200000000000001E-2</v>
      </c>
      <c r="I4657" s="160" t="s">
        <v>167</v>
      </c>
      <c r="J4657" s="160">
        <v>1.6000000000000001E-4</v>
      </c>
      <c r="K4657" s="160" t="s">
        <v>13</v>
      </c>
      <c r="L4657" s="154" t="str">
        <f>IF(OpenLCAbasic!K4657="CTUh", "Fill in Manually",IF(OR(K4657="Unit", K4657=""), "", INDEX(LookUps!$E$5:$E$12, MATCH(OpenLCAbasic!K4657,LookUps!$D$5:$D$12,0))))</f>
        <v>Eutrophication Potential (EP) - kg N eq</v>
      </c>
      <c r="M4657" s="154" t="str">
        <f t="shared" si="290"/>
        <v>Base_Base_High_Upgraded_Eutrophication Potential (EP) - kg N eq_Waste Receiving and Holding; wastewater treatment unit; at updated plant - US_Without Amendment_Windrow</v>
      </c>
    </row>
    <row r="4658" spans="1:13" s="120" customFormat="1" x14ac:dyDescent="0.25">
      <c r="A4658" s="119"/>
      <c r="B4658" s="138" t="str">
        <f t="shared" si="288"/>
        <v>Windrow</v>
      </c>
      <c r="C4658" s="138" t="str">
        <f t="shared" si="286"/>
        <v>Without Amendment</v>
      </c>
      <c r="D4658" s="138" t="str">
        <f t="shared" si="291"/>
        <v>Base_High</v>
      </c>
      <c r="E4658" s="138" t="str">
        <f t="shared" si="292"/>
        <v>Base</v>
      </c>
      <c r="F4658" s="138" t="str">
        <f t="shared" si="289"/>
        <v>Upgraded</v>
      </c>
      <c r="G4658" s="153"/>
      <c r="H4658" s="210">
        <v>0.01</v>
      </c>
      <c r="I4658" s="160" t="s">
        <v>58</v>
      </c>
      <c r="J4658" s="160">
        <v>1.3999999999999999E-4</v>
      </c>
      <c r="K4658" s="160" t="s">
        <v>13</v>
      </c>
      <c r="L4658" s="154" t="str">
        <f>IF(OpenLCAbasic!K4658="CTUh", "Fill in Manually",IF(OR(K4658="Unit", K4658=""), "", INDEX(LookUps!$E$5:$E$12, MATCH(OpenLCAbasic!K4658,LookUps!$D$5:$D$12,0))))</f>
        <v>Eutrophication Potential (EP) - kg N eq</v>
      </c>
      <c r="M4658" s="154" t="str">
        <f t="shared" si="290"/>
        <v>Base_Base_High_Upgraded_Eutrophication Potential (EP) - kg N eq_Pre-Anoxic &amp; Swing tank; wastewater treatment unit; at updated plant - US_Without Amendment_Windrow</v>
      </c>
    </row>
    <row r="4659" spans="1:13" s="120" customFormat="1" x14ac:dyDescent="0.25">
      <c r="A4659" s="119"/>
      <c r="B4659" s="138" t="str">
        <f t="shared" si="288"/>
        <v>Windrow</v>
      </c>
      <c r="C4659" s="138" t="str">
        <f t="shared" si="286"/>
        <v>Without Amendment</v>
      </c>
      <c r="D4659" s="138" t="str">
        <f t="shared" si="291"/>
        <v>Base_High</v>
      </c>
      <c r="E4659" s="138" t="str">
        <f t="shared" si="292"/>
        <v>Base</v>
      </c>
      <c r="F4659" s="138" t="str">
        <f t="shared" si="289"/>
        <v>Upgraded</v>
      </c>
      <c r="G4659" s="153"/>
      <c r="H4659" s="210">
        <v>8.0000000000000002E-3</v>
      </c>
      <c r="I4659" s="160" t="s">
        <v>53</v>
      </c>
      <c r="J4659" s="160">
        <v>1.1E-4</v>
      </c>
      <c r="K4659" s="160" t="s">
        <v>13</v>
      </c>
      <c r="L4659" s="154" t="str">
        <f>IF(OpenLCAbasic!K4659="CTUh", "Fill in Manually",IF(OR(K4659="Unit", K4659=""), "", INDEX(LookUps!$E$5:$E$12, MATCH(OpenLCAbasic!K4659,LookUps!$D$5:$D$12,0))))</f>
        <v>Eutrophication Potential (EP) - kg N eq</v>
      </c>
      <c r="M4659" s="154" t="str">
        <f t="shared" si="290"/>
        <v>Base_Base_High_Upgraded_Eutrophication Potential (EP) - kg N eq_Wet Well and Sump Station; wastewater treatment unit; at updated plant - US_Without Amendment_Windrow</v>
      </c>
    </row>
    <row r="4660" spans="1:13" s="120" customFormat="1" x14ac:dyDescent="0.25">
      <c r="A4660" s="119"/>
      <c r="B4660" s="138" t="str">
        <f t="shared" si="288"/>
        <v>Windrow</v>
      </c>
      <c r="C4660" s="138" t="str">
        <f t="shared" si="286"/>
        <v>Without Amendment</v>
      </c>
      <c r="D4660" s="138" t="str">
        <f t="shared" si="291"/>
        <v>Base_High</v>
      </c>
      <c r="E4660" s="138" t="str">
        <f t="shared" si="292"/>
        <v>Base</v>
      </c>
      <c r="F4660" s="138" t="str">
        <f t="shared" si="289"/>
        <v>Upgraded</v>
      </c>
      <c r="G4660" s="153"/>
      <c r="H4660" s="210">
        <v>4.4999999999999997E-3</v>
      </c>
      <c r="I4660" s="160" t="s">
        <v>57</v>
      </c>
      <c r="J4660" s="211">
        <v>6.0590300000000002E-5</v>
      </c>
      <c r="K4660" s="160" t="s">
        <v>13</v>
      </c>
      <c r="L4660" s="154" t="str">
        <f>IF(OpenLCAbasic!K4660="CTUh", "Fill in Manually",IF(OR(K4660="Unit", K4660=""), "", INDEX(LookUps!$E$5:$E$12, MATCH(OpenLCAbasic!K4660,LookUps!$D$5:$D$12,0))))</f>
        <v>Eutrophication Potential (EP) - kg N eq</v>
      </c>
      <c r="M4660" s="154" t="str">
        <f t="shared" si="290"/>
        <v>Base_Base_High_Upgraded_Eutrophication Potential (EP) - kg N eq_Gravity Belt Thickener; wastewater treatment unit; at updated plant - US_Without Amendment_Windrow</v>
      </c>
    </row>
    <row r="4661" spans="1:13" s="120" customFormat="1" x14ac:dyDescent="0.25">
      <c r="A4661" s="119"/>
      <c r="B4661" s="138" t="str">
        <f t="shared" si="288"/>
        <v>Windrow</v>
      </c>
      <c r="C4661" s="138" t="str">
        <f t="shared" si="286"/>
        <v>Without Amendment</v>
      </c>
      <c r="D4661" s="138" t="str">
        <f t="shared" si="291"/>
        <v>Base_High</v>
      </c>
      <c r="E4661" s="138" t="str">
        <f t="shared" si="292"/>
        <v>Base</v>
      </c>
      <c r="F4661" s="138" t="str">
        <f t="shared" si="289"/>
        <v>Upgraded</v>
      </c>
      <c r="G4661" s="153"/>
      <c r="H4661" s="210">
        <v>3.5999999999999999E-3</v>
      </c>
      <c r="I4661" s="160" t="s">
        <v>60</v>
      </c>
      <c r="J4661" s="211">
        <v>4.8791500000000002E-5</v>
      </c>
      <c r="K4661" s="160" t="s">
        <v>13</v>
      </c>
      <c r="L4661" s="154" t="str">
        <f>IF(OpenLCAbasic!K4661="CTUh", "Fill in Manually",IF(OR(K4661="Unit", K4661=""), "", INDEX(LookUps!$E$5:$E$12, MATCH(OpenLCAbasic!K4661,LookUps!$D$5:$D$12,0))))</f>
        <v>Eutrophication Potential (EP) - kg N eq</v>
      </c>
      <c r="M4661" s="154" t="str">
        <f t="shared" si="290"/>
        <v>Base_Base_High_Upgraded_Eutrophication Potential (EP) - kg N eq_Belt filter press; wastewater treatment unit; at updated plant - US_Without Amendment_Windrow</v>
      </c>
    </row>
    <row r="4662" spans="1:13" s="120" customFormat="1" x14ac:dyDescent="0.25">
      <c r="A4662" s="119"/>
      <c r="B4662" s="138" t="str">
        <f t="shared" si="288"/>
        <v>Windrow</v>
      </c>
      <c r="C4662" s="138" t="str">
        <f t="shared" si="286"/>
        <v>Without Amendment</v>
      </c>
      <c r="D4662" s="138" t="str">
        <f t="shared" si="291"/>
        <v>Base_High</v>
      </c>
      <c r="E4662" s="138" t="str">
        <f t="shared" si="292"/>
        <v>Base</v>
      </c>
      <c r="F4662" s="138" t="str">
        <f t="shared" si="289"/>
        <v>Upgraded</v>
      </c>
      <c r="G4662" s="153"/>
      <c r="H4662" s="210">
        <v>2.8E-3</v>
      </c>
      <c r="I4662" s="160" t="s">
        <v>128</v>
      </c>
      <c r="J4662" s="211">
        <v>3.7559799999999999E-5</v>
      </c>
      <c r="K4662" s="160" t="s">
        <v>13</v>
      </c>
      <c r="L4662" s="154" t="str">
        <f>IF(OpenLCAbasic!K4662="CTUh", "Fill in Manually",IF(OR(K4662="Unit", K4662=""), "", INDEX(LookUps!$E$5:$E$12, MATCH(OpenLCAbasic!K4662,LookUps!$D$5:$D$12,0))))</f>
        <v>Eutrophication Potential (EP) - kg N eq</v>
      </c>
      <c r="M4662" s="154" t="str">
        <f t="shared" si="290"/>
        <v>Base_Base_High_Upgraded_Eutrophication Potential (EP) - kg N eq_Wastewater collection; operation and infrastructure; m3 wastewater_Without Amendment_Windrow</v>
      </c>
    </row>
    <row r="4663" spans="1:13" s="120" customFormat="1" x14ac:dyDescent="0.25">
      <c r="A4663" s="119"/>
      <c r="B4663" s="138" t="str">
        <f t="shared" si="288"/>
        <v>Windrow</v>
      </c>
      <c r="C4663" s="138" t="str">
        <f t="shared" si="286"/>
        <v>Without Amendment</v>
      </c>
      <c r="D4663" s="138" t="str">
        <f t="shared" si="291"/>
        <v>Base_High</v>
      </c>
      <c r="E4663" s="138" t="str">
        <f t="shared" si="292"/>
        <v>Base</v>
      </c>
      <c r="F4663" s="138" t="str">
        <f t="shared" si="289"/>
        <v>Upgraded</v>
      </c>
      <c r="G4663" s="153"/>
      <c r="H4663" s="210">
        <v>2.7000000000000001E-3</v>
      </c>
      <c r="I4663" s="160" t="s">
        <v>148</v>
      </c>
      <c r="J4663" s="211">
        <v>3.6874600000000001E-5</v>
      </c>
      <c r="K4663" s="160" t="s">
        <v>13</v>
      </c>
      <c r="L4663" s="154" t="str">
        <f>IF(OpenLCAbasic!K4663="CTUh", "Fill in Manually",IF(OR(K4663="Unit", K4663=""), "", INDEX(LookUps!$E$5:$E$12, MATCH(OpenLCAbasic!K4663,LookUps!$D$5:$D$12,0))))</f>
        <v>Eutrophication Potential (EP) - kg N eq</v>
      </c>
      <c r="M4663" s="154" t="str">
        <f t="shared" si="290"/>
        <v>Base_Base_High_Upgraded_Eutrophication Potential (EP) - kg N eq_Control Building; at upgraded wastewater treatment plant - US_Without Amendment_Windrow</v>
      </c>
    </row>
    <row r="4664" spans="1:13" s="120" customFormat="1" x14ac:dyDescent="0.25">
      <c r="A4664" s="119"/>
      <c r="B4664" s="138" t="str">
        <f t="shared" si="288"/>
        <v>Windrow</v>
      </c>
      <c r="C4664" s="138" t="str">
        <f t="shared" si="286"/>
        <v>Without Amendment</v>
      </c>
      <c r="D4664" s="138" t="str">
        <f t="shared" si="291"/>
        <v>Base_High</v>
      </c>
      <c r="E4664" s="138" t="str">
        <f t="shared" si="292"/>
        <v>Base</v>
      </c>
      <c r="F4664" s="138" t="str">
        <f t="shared" si="289"/>
        <v>Upgraded</v>
      </c>
      <c r="G4664" s="153"/>
      <c r="H4664" s="210">
        <v>1.1999999999999999E-3</v>
      </c>
      <c r="I4664" s="160" t="s">
        <v>59</v>
      </c>
      <c r="J4664" s="211">
        <v>1.6215700000000001E-5</v>
      </c>
      <c r="K4664" s="160" t="s">
        <v>13</v>
      </c>
      <c r="L4664" s="154" t="str">
        <f>IF(OpenLCAbasic!K4664="CTUh", "Fill in Manually",IF(OR(K4664="Unit", K4664=""), "", INDEX(LookUps!$E$5:$E$12, MATCH(OpenLCAbasic!K4664,LookUps!$D$5:$D$12,0))))</f>
        <v>Eutrophication Potential (EP) - kg N eq</v>
      </c>
      <c r="M4664" s="154" t="str">
        <f t="shared" si="290"/>
        <v>Base_Base_High_Upgraded_Eutrophication Potential (EP) - kg N eq_Blend Tank; wastewater treatment unit; at updated plant - US_Without Amendment_Windrow</v>
      </c>
    </row>
    <row r="4665" spans="1:13" s="120" customFormat="1" x14ac:dyDescent="0.25">
      <c r="A4665" s="119"/>
      <c r="B4665" s="138" t="str">
        <f t="shared" si="288"/>
        <v>Windrow</v>
      </c>
      <c r="C4665" s="138" t="str">
        <f t="shared" si="286"/>
        <v>Without Amendment</v>
      </c>
      <c r="D4665" s="138" t="str">
        <f t="shared" si="291"/>
        <v>Base_High</v>
      </c>
      <c r="E4665" s="138" t="str">
        <f t="shared" si="292"/>
        <v>Base</v>
      </c>
      <c r="F4665" s="138" t="str">
        <f t="shared" si="289"/>
        <v>Upgraded</v>
      </c>
      <c r="G4665" s="153"/>
      <c r="H4665" s="210">
        <v>5.9999999999999995E-4</v>
      </c>
      <c r="I4665" s="160" t="s">
        <v>168</v>
      </c>
      <c r="J4665" s="211">
        <v>7.7567199999999995E-6</v>
      </c>
      <c r="K4665" s="160" t="s">
        <v>13</v>
      </c>
      <c r="L4665" s="154" t="str">
        <f>IF(OpenLCAbasic!K4665="CTUh", "Fill in Manually",IF(OR(K4665="Unit", K4665=""), "", INDEX(LookUps!$E$5:$E$12, MATCH(OpenLCAbasic!K4665,LookUps!$D$5:$D$12,0))))</f>
        <v>Eutrophication Potential (EP) - kg N eq</v>
      </c>
      <c r="M4665" s="154" t="str">
        <f t="shared" si="290"/>
        <v>Base_Base_High_Upgraded_Eutrophication Potential (EP) - kg N eq_ClearCove SCP; wastewater treatment unit; at updated plant - US_Without Amendment_Windrow</v>
      </c>
    </row>
    <row r="4666" spans="1:13" s="120" customFormat="1" x14ac:dyDescent="0.25">
      <c r="A4666" s="119"/>
      <c r="B4666" s="138" t="str">
        <f t="shared" si="288"/>
        <v>Windrow</v>
      </c>
      <c r="C4666" s="138" t="str">
        <f t="shared" si="286"/>
        <v>Without Amendment</v>
      </c>
      <c r="D4666" s="138" t="str">
        <f t="shared" si="291"/>
        <v>Base_High</v>
      </c>
      <c r="E4666" s="138" t="str">
        <f t="shared" si="292"/>
        <v>Base</v>
      </c>
      <c r="F4666" s="138" t="str">
        <f t="shared" si="289"/>
        <v>Upgraded</v>
      </c>
      <c r="G4666" s="153"/>
      <c r="H4666" s="210">
        <v>-8.8700000000000001E-2</v>
      </c>
      <c r="I4666" s="160" t="s">
        <v>149</v>
      </c>
      <c r="J4666" s="160">
        <v>-1.1999999999999999E-3</v>
      </c>
      <c r="K4666" s="160" t="s">
        <v>13</v>
      </c>
      <c r="L4666" s="154" t="str">
        <f>IF(OpenLCAbasic!K4666="CTUh", "Fill in Manually",IF(OR(K4666="Unit", K4666=""), "", INDEX(LookUps!$E$5:$E$12, MATCH(OpenLCAbasic!K4666,LookUps!$D$5:$D$12,0))))</f>
        <v>Eutrophication Potential (EP) - kg N eq</v>
      </c>
      <c r="M4666" s="154" t="str">
        <f t="shared" si="290"/>
        <v>Base_Base_High_Upgraded_Eutrophication Potential (EP) - kg N eq_Anaerobic Digestion; wastewater treatment unit; at updated plant - US_Without Amendment_Windrow</v>
      </c>
    </row>
    <row r="4667" spans="1:13" s="120" customFormat="1" x14ac:dyDescent="0.25">
      <c r="A4667" s="119"/>
      <c r="B4667" s="138" t="str">
        <f t="shared" si="288"/>
        <v/>
      </c>
      <c r="C4667" s="138" t="str">
        <f t="shared" si="286"/>
        <v/>
      </c>
      <c r="D4667" s="138" t="str">
        <f t="shared" si="291"/>
        <v/>
      </c>
      <c r="E4667" s="138" t="str">
        <f t="shared" si="292"/>
        <v/>
      </c>
      <c r="F4667" s="138" t="str">
        <f t="shared" si="289"/>
        <v/>
      </c>
      <c r="G4667" s="153" t="s">
        <v>51</v>
      </c>
      <c r="H4667" s="160"/>
      <c r="I4667" s="160" t="s">
        <v>47</v>
      </c>
      <c r="J4667" s="160" t="s">
        <v>52</v>
      </c>
      <c r="K4667" s="160" t="s">
        <v>27</v>
      </c>
      <c r="L4667" s="154" t="str">
        <f>IF(OpenLCAbasic!K4667="CTUh", "Fill in Manually",IF(OR(K4667="Unit", K4667=""), "", INDEX(LookUps!$E$5:$E$12, MATCH(OpenLCAbasic!K4667,LookUps!$D$5:$D$12,0))))</f>
        <v/>
      </c>
      <c r="M4667" s="154" t="str">
        <f t="shared" si="290"/>
        <v>____Process__</v>
      </c>
    </row>
    <row r="4668" spans="1:13" s="120" customFormat="1" x14ac:dyDescent="0.25">
      <c r="A4668" s="119"/>
      <c r="B4668" s="138" t="str">
        <f t="shared" si="288"/>
        <v>Windrow</v>
      </c>
      <c r="C4668" s="138" t="str">
        <f t="shared" si="286"/>
        <v>Without Amendment</v>
      </c>
      <c r="D4668" s="138" t="str">
        <f t="shared" si="291"/>
        <v>Base_High</v>
      </c>
      <c r="E4668" s="138" t="str">
        <f t="shared" si="292"/>
        <v>Base</v>
      </c>
      <c r="F4668" s="138" t="str">
        <f t="shared" si="289"/>
        <v>Upgraded</v>
      </c>
      <c r="G4668" s="153"/>
      <c r="H4668" s="210">
        <v>15.4359</v>
      </c>
      <c r="I4668" s="160" t="s">
        <v>167</v>
      </c>
      <c r="J4668" s="160">
        <v>7.9170000000000004E-2</v>
      </c>
      <c r="K4668" s="160" t="s">
        <v>14</v>
      </c>
      <c r="L4668" s="154" t="str">
        <f>IF(OpenLCAbasic!K4668="CTUh", "Fill in Manually",IF(OR(K4668="Unit", K4668=""), "", INDEX(LookUps!$E$5:$E$12, MATCH(OpenLCAbasic!K4668,LookUps!$D$5:$D$12,0))))</f>
        <v>Fossil Depletion Potential (FDP) - kg oil eq</v>
      </c>
      <c r="M4668" s="154" t="str">
        <f t="shared" si="290"/>
        <v>Base_Base_High_Upgraded_Fossil Depletion Potential (FDP) - kg oil eq_Waste Receiving and Holding; wastewater treatment unit; at updated plant - US_Without Amendment_Windrow</v>
      </c>
    </row>
    <row r="4669" spans="1:13" s="120" customFormat="1" x14ac:dyDescent="0.25">
      <c r="A4669" s="119"/>
      <c r="B4669" s="138" t="str">
        <f t="shared" si="288"/>
        <v>Windrow</v>
      </c>
      <c r="C4669" s="138" t="str">
        <f t="shared" si="286"/>
        <v>Without Amendment</v>
      </c>
      <c r="D4669" s="138" t="str">
        <f t="shared" si="291"/>
        <v>Base_High</v>
      </c>
      <c r="E4669" s="138" t="str">
        <f t="shared" si="292"/>
        <v>Base</v>
      </c>
      <c r="F4669" s="138" t="str">
        <f t="shared" si="289"/>
        <v>Upgraded</v>
      </c>
      <c r="G4669" s="153"/>
      <c r="H4669" s="210">
        <v>12.3985</v>
      </c>
      <c r="I4669" s="160" t="s">
        <v>55</v>
      </c>
      <c r="J4669" s="160">
        <v>6.3589999999999994E-2</v>
      </c>
      <c r="K4669" s="160" t="s">
        <v>14</v>
      </c>
      <c r="L4669" s="154" t="str">
        <f>IF(OpenLCAbasic!K4669="CTUh", "Fill in Manually",IF(OR(K4669="Unit", K4669=""), "", INDEX(LookUps!$E$5:$E$12, MATCH(OpenLCAbasic!K4669,LookUps!$D$5:$D$12,0))))</f>
        <v>Fossil Depletion Potential (FDP) - kg oil eq</v>
      </c>
      <c r="M4669" s="154" t="str">
        <f t="shared" si="290"/>
        <v>Base_Base_High_Upgraded_Fossil Depletion Potential (FDP) - kg oil eq_Aeration Tanks; wastewater treatment unit; at updated plant - US_Without Amendment_Windrow</v>
      </c>
    </row>
    <row r="4670" spans="1:13" s="120" customFormat="1" x14ac:dyDescent="0.25">
      <c r="A4670" s="119"/>
      <c r="B4670" s="138" t="str">
        <f t="shared" si="288"/>
        <v>Windrow</v>
      </c>
      <c r="C4670" s="138" t="str">
        <f t="shared" si="286"/>
        <v>Without Amendment</v>
      </c>
      <c r="D4670" s="138" t="str">
        <f t="shared" si="291"/>
        <v>Base_High</v>
      </c>
      <c r="E4670" s="138" t="str">
        <f t="shared" si="292"/>
        <v>Base</v>
      </c>
      <c r="F4670" s="138" t="str">
        <f t="shared" si="289"/>
        <v>Upgraded</v>
      </c>
      <c r="G4670" s="153"/>
      <c r="H4670" s="210">
        <v>4.1041999999999996</v>
      </c>
      <c r="I4670" s="160" t="s">
        <v>54</v>
      </c>
      <c r="J4670" s="160">
        <v>2.1049999999999999E-2</v>
      </c>
      <c r="K4670" s="160" t="s">
        <v>14</v>
      </c>
      <c r="L4670" s="154" t="str">
        <f>IF(OpenLCAbasic!K4670="CTUh", "Fill in Manually",IF(OR(K4670="Unit", K4670=""), "", INDEX(LookUps!$E$5:$E$12, MATCH(OpenLCAbasic!K4670,LookUps!$D$5:$D$12,0))))</f>
        <v>Fossil Depletion Potential (FDP) - kg oil eq</v>
      </c>
      <c r="M4670" s="154" t="str">
        <f t="shared" si="290"/>
        <v>Base_Base_High_Upgraded_Fossil Depletion Potential (FDP) - kg oil eq_Clear Cove Primary Clarification; wastewater treatment unit; at updated plant - US_Without Amendment_Windrow</v>
      </c>
    </row>
    <row r="4671" spans="1:13" s="120" customFormat="1" x14ac:dyDescent="0.25">
      <c r="A4671" s="119"/>
      <c r="B4671" s="138" t="str">
        <f t="shared" si="288"/>
        <v>Windrow</v>
      </c>
      <c r="C4671" s="138" t="str">
        <f t="shared" si="286"/>
        <v>Without Amendment</v>
      </c>
      <c r="D4671" s="138" t="str">
        <f t="shared" si="291"/>
        <v>Base_High</v>
      </c>
      <c r="E4671" s="138" t="str">
        <f t="shared" si="292"/>
        <v>Base</v>
      </c>
      <c r="F4671" s="138" t="str">
        <f t="shared" si="289"/>
        <v>Upgraded</v>
      </c>
      <c r="G4671" s="153"/>
      <c r="H4671" s="210">
        <v>3.1048</v>
      </c>
      <c r="I4671" s="160" t="s">
        <v>58</v>
      </c>
      <c r="J4671" s="160">
        <v>1.592E-2</v>
      </c>
      <c r="K4671" s="160" t="s">
        <v>14</v>
      </c>
      <c r="L4671" s="154" t="str">
        <f>IF(OpenLCAbasic!K4671="CTUh", "Fill in Manually",IF(OR(K4671="Unit", K4671=""), "", INDEX(LookUps!$E$5:$E$12, MATCH(OpenLCAbasic!K4671,LookUps!$D$5:$D$12,0))))</f>
        <v>Fossil Depletion Potential (FDP) - kg oil eq</v>
      </c>
      <c r="M4671" s="154" t="str">
        <f t="shared" si="290"/>
        <v>Base_Base_High_Upgraded_Fossil Depletion Potential (FDP) - kg oil eq_Pre-Anoxic &amp; Swing tank; wastewater treatment unit; at updated plant - US_Without Amendment_Windrow</v>
      </c>
    </row>
    <row r="4672" spans="1:13" s="120" customFormat="1" x14ac:dyDescent="0.25">
      <c r="A4672" s="119"/>
      <c r="B4672" s="138" t="str">
        <f t="shared" si="288"/>
        <v>Windrow</v>
      </c>
      <c r="C4672" s="138" t="str">
        <f t="shared" si="286"/>
        <v>Without Amendment</v>
      </c>
      <c r="D4672" s="138" t="str">
        <f t="shared" si="291"/>
        <v>Base_High</v>
      </c>
      <c r="E4672" s="138" t="str">
        <f t="shared" si="292"/>
        <v>Base</v>
      </c>
      <c r="F4672" s="138" t="str">
        <f t="shared" si="289"/>
        <v>Upgraded</v>
      </c>
      <c r="G4672" s="153"/>
      <c r="H4672" s="210">
        <v>2.9417</v>
      </c>
      <c r="I4672" s="160" t="s">
        <v>147</v>
      </c>
      <c r="J4672" s="160">
        <v>1.5089999999999999E-2</v>
      </c>
      <c r="K4672" s="160" t="s">
        <v>14</v>
      </c>
      <c r="L4672" s="154" t="str">
        <f>IF(OpenLCAbasic!K4672="CTUh", "Fill in Manually",IF(OR(K4672="Unit", K4672=""), "", INDEX(LookUps!$E$5:$E$12, MATCH(OpenLCAbasic!K4672,LookUps!$D$5:$D$12,0))))</f>
        <v>Fossil Depletion Potential (FDP) - kg oil eq</v>
      </c>
      <c r="M4672" s="154" t="str">
        <f t="shared" si="290"/>
        <v>Base_Base_High_Upgraded_Fossil Depletion Potential (FDP) - kg oil eq_Influent Pump Station; wastewater treatment unit; at updated plant - US_Without Amendment_Windrow</v>
      </c>
    </row>
    <row r="4673" spans="1:13" s="120" customFormat="1" x14ac:dyDescent="0.25">
      <c r="A4673" s="119"/>
      <c r="B4673" s="138" t="str">
        <f t="shared" si="288"/>
        <v>Windrow</v>
      </c>
      <c r="C4673" s="138" t="str">
        <f t="shared" ref="C4673:C4736" si="293">IF(ISNUMBER($J4673),"Without Amendment","")</f>
        <v>Without Amendment</v>
      </c>
      <c r="D4673" s="138" t="str">
        <f t="shared" si="291"/>
        <v>Base_High</v>
      </c>
      <c r="E4673" s="138" t="str">
        <f t="shared" si="292"/>
        <v>Base</v>
      </c>
      <c r="F4673" s="138" t="str">
        <f t="shared" si="289"/>
        <v>Upgraded</v>
      </c>
      <c r="G4673" s="153"/>
      <c r="H4673" s="210">
        <v>2.4350000000000001</v>
      </c>
      <c r="I4673" s="160" t="s">
        <v>53</v>
      </c>
      <c r="J4673" s="160">
        <v>1.2489999999999999E-2</v>
      </c>
      <c r="K4673" s="160" t="s">
        <v>14</v>
      </c>
      <c r="L4673" s="154" t="str">
        <f>IF(OpenLCAbasic!K4673="CTUh", "Fill in Manually",IF(OR(K4673="Unit", K4673=""), "", INDEX(LookUps!$E$5:$E$12, MATCH(OpenLCAbasic!K4673,LookUps!$D$5:$D$12,0))))</f>
        <v>Fossil Depletion Potential (FDP) - kg oil eq</v>
      </c>
      <c r="M4673" s="154" t="str">
        <f t="shared" si="290"/>
        <v>Base_Base_High_Upgraded_Fossil Depletion Potential (FDP) - kg oil eq_Wet Well and Sump Station; wastewater treatment unit; at updated plant - US_Without Amendment_Windrow</v>
      </c>
    </row>
    <row r="4674" spans="1:13" s="120" customFormat="1" x14ac:dyDescent="0.25">
      <c r="A4674" s="119"/>
      <c r="B4674" s="138" t="str">
        <f t="shared" si="288"/>
        <v>Windrow</v>
      </c>
      <c r="C4674" s="138" t="str">
        <f t="shared" si="293"/>
        <v>Without Amendment</v>
      </c>
      <c r="D4674" s="138" t="str">
        <f t="shared" si="291"/>
        <v>Base_High</v>
      </c>
      <c r="E4674" s="138" t="str">
        <f t="shared" si="292"/>
        <v>Base</v>
      </c>
      <c r="F4674" s="138" t="str">
        <f t="shared" si="289"/>
        <v>Upgraded</v>
      </c>
      <c r="G4674" s="153"/>
      <c r="H4674" s="210">
        <v>1.3484</v>
      </c>
      <c r="I4674" s="160" t="s">
        <v>57</v>
      </c>
      <c r="J4674" s="160">
        <v>6.9199999999999999E-3</v>
      </c>
      <c r="K4674" s="160" t="s">
        <v>14</v>
      </c>
      <c r="L4674" s="154" t="str">
        <f>IF(OpenLCAbasic!K4674="CTUh", "Fill in Manually",IF(OR(K4674="Unit", K4674=""), "", INDEX(LookUps!$E$5:$E$12, MATCH(OpenLCAbasic!K4674,LookUps!$D$5:$D$12,0))))</f>
        <v>Fossil Depletion Potential (FDP) - kg oil eq</v>
      </c>
      <c r="M4674" s="154" t="str">
        <f t="shared" si="290"/>
        <v>Base_Base_High_Upgraded_Fossil Depletion Potential (FDP) - kg oil eq_Gravity Belt Thickener; wastewater treatment unit; at updated plant - US_Without Amendment_Windrow</v>
      </c>
    </row>
    <row r="4675" spans="1:13" s="120" customFormat="1" x14ac:dyDescent="0.25">
      <c r="A4675" s="119"/>
      <c r="B4675" s="138" t="str">
        <f t="shared" si="288"/>
        <v>Windrow</v>
      </c>
      <c r="C4675" s="138" t="str">
        <f t="shared" si="293"/>
        <v>Without Amendment</v>
      </c>
      <c r="D4675" s="138" t="str">
        <f t="shared" si="291"/>
        <v>Base_High</v>
      </c>
      <c r="E4675" s="138" t="str">
        <f t="shared" si="292"/>
        <v>Base</v>
      </c>
      <c r="F4675" s="138" t="str">
        <f t="shared" si="289"/>
        <v>Upgraded</v>
      </c>
      <c r="G4675" s="153"/>
      <c r="H4675" s="210">
        <v>1.0920000000000001</v>
      </c>
      <c r="I4675" s="160" t="s">
        <v>60</v>
      </c>
      <c r="J4675" s="160">
        <v>5.5999999999999999E-3</v>
      </c>
      <c r="K4675" s="160" t="s">
        <v>14</v>
      </c>
      <c r="L4675" s="154" t="str">
        <f>IF(OpenLCAbasic!K4675="CTUh", "Fill in Manually",IF(OR(K4675="Unit", K4675=""), "", INDEX(LookUps!$E$5:$E$12, MATCH(OpenLCAbasic!K4675,LookUps!$D$5:$D$12,0))))</f>
        <v>Fossil Depletion Potential (FDP) - kg oil eq</v>
      </c>
      <c r="M4675" s="154" t="str">
        <f t="shared" si="290"/>
        <v>Base_Base_High_Upgraded_Fossil Depletion Potential (FDP) - kg oil eq_Belt filter press; wastewater treatment unit; at updated plant - US_Without Amendment_Windrow</v>
      </c>
    </row>
    <row r="4676" spans="1:13" s="120" customFormat="1" x14ac:dyDescent="0.25">
      <c r="A4676" s="119"/>
      <c r="B4676" s="138" t="str">
        <f t="shared" ref="B4676:B4739" si="294">IF(F4676="Legacy","n.a.",IF(F4676="","","Windrow"))</f>
        <v>Windrow</v>
      </c>
      <c r="C4676" s="138" t="str">
        <f t="shared" si="293"/>
        <v>Without Amendment</v>
      </c>
      <c r="D4676" s="138" t="str">
        <f t="shared" si="291"/>
        <v>Base_High</v>
      </c>
      <c r="E4676" s="138" t="str">
        <f t="shared" si="292"/>
        <v>Base</v>
      </c>
      <c r="F4676" s="138" t="str">
        <f t="shared" ref="F4676:F4739" si="295">IF(ISNUMBER(J4676),"Upgraded","")</f>
        <v>Upgraded</v>
      </c>
      <c r="G4676" s="153"/>
      <c r="H4676" s="210">
        <v>0.87719999999999998</v>
      </c>
      <c r="I4676" s="160" t="s">
        <v>128</v>
      </c>
      <c r="J4676" s="160">
        <v>4.4999999999999997E-3</v>
      </c>
      <c r="K4676" s="160" t="s">
        <v>14</v>
      </c>
      <c r="L4676" s="154" t="str">
        <f>IF(OpenLCAbasic!K4676="CTUh", "Fill in Manually",IF(OR(K4676="Unit", K4676=""), "", INDEX(LookUps!$E$5:$E$12, MATCH(OpenLCAbasic!K4676,LookUps!$D$5:$D$12,0))))</f>
        <v>Fossil Depletion Potential (FDP) - kg oil eq</v>
      </c>
      <c r="M4676" s="154" t="str">
        <f t="shared" si="290"/>
        <v>Base_Base_High_Upgraded_Fossil Depletion Potential (FDP) - kg oil eq_Wastewater collection; operation and infrastructure; m3 wastewater_Without Amendment_Windrow</v>
      </c>
    </row>
    <row r="4677" spans="1:13" s="120" customFormat="1" x14ac:dyDescent="0.25">
      <c r="A4677" s="119"/>
      <c r="B4677" s="138" t="str">
        <f t="shared" si="294"/>
        <v>Windrow</v>
      </c>
      <c r="C4677" s="138" t="str">
        <f t="shared" si="293"/>
        <v>Without Amendment</v>
      </c>
      <c r="D4677" s="138" t="str">
        <f t="shared" si="291"/>
        <v>Base_High</v>
      </c>
      <c r="E4677" s="138" t="str">
        <f t="shared" si="292"/>
        <v>Base</v>
      </c>
      <c r="F4677" s="138" t="str">
        <f t="shared" si="295"/>
        <v>Upgraded</v>
      </c>
      <c r="G4677" s="153"/>
      <c r="H4677" s="210">
        <v>0.5454</v>
      </c>
      <c r="I4677" s="160" t="s">
        <v>148</v>
      </c>
      <c r="J4677" s="160">
        <v>2.8E-3</v>
      </c>
      <c r="K4677" s="160" t="s">
        <v>14</v>
      </c>
      <c r="L4677" s="154" t="str">
        <f>IF(OpenLCAbasic!K4677="CTUh", "Fill in Manually",IF(OR(K4677="Unit", K4677=""), "", INDEX(LookUps!$E$5:$E$12, MATCH(OpenLCAbasic!K4677,LookUps!$D$5:$D$12,0))))</f>
        <v>Fossil Depletion Potential (FDP) - kg oil eq</v>
      </c>
      <c r="M4677" s="154" t="str">
        <f t="shared" si="290"/>
        <v>Base_Base_High_Upgraded_Fossil Depletion Potential (FDP) - kg oil eq_Control Building; at upgraded wastewater treatment plant - US_Without Amendment_Windrow</v>
      </c>
    </row>
    <row r="4678" spans="1:13" s="120" customFormat="1" x14ac:dyDescent="0.25">
      <c r="A4678" s="119"/>
      <c r="B4678" s="138" t="str">
        <f t="shared" si="294"/>
        <v>Windrow</v>
      </c>
      <c r="C4678" s="138" t="str">
        <f t="shared" si="293"/>
        <v>Without Amendment</v>
      </c>
      <c r="D4678" s="138" t="str">
        <f t="shared" si="291"/>
        <v>Base_High</v>
      </c>
      <c r="E4678" s="138" t="str">
        <f t="shared" si="292"/>
        <v>Base</v>
      </c>
      <c r="F4678" s="138" t="str">
        <f t="shared" si="295"/>
        <v>Upgraded</v>
      </c>
      <c r="G4678" s="153"/>
      <c r="H4678" s="210">
        <v>0.46089999999999998</v>
      </c>
      <c r="I4678" s="160" t="s">
        <v>48</v>
      </c>
      <c r="J4678" s="160">
        <v>2.3600000000000001E-3</v>
      </c>
      <c r="K4678" s="160" t="s">
        <v>14</v>
      </c>
      <c r="L4678" s="154" t="str">
        <f>IF(OpenLCAbasic!K4678="CTUh", "Fill in Manually",IF(OR(K4678="Unit", K4678=""), "", INDEX(LookUps!$E$5:$E$12, MATCH(OpenLCAbasic!K4678,LookUps!$D$5:$D$12,0))))</f>
        <v>Fossil Depletion Potential (FDP) - kg oil eq</v>
      </c>
      <c r="M4678" s="154" t="str">
        <f t="shared" si="290"/>
        <v>Base_Base_High_Upgraded_Fossil Depletion Potential (FDP) - kg oil eq_Effluent release; wastewater treatment unit; at surface water; m3 wastewater - US_Without Amendment_Windrow</v>
      </c>
    </row>
    <row r="4679" spans="1:13" s="120" customFormat="1" x14ac:dyDescent="0.25">
      <c r="A4679" s="119"/>
      <c r="B4679" s="138" t="str">
        <f t="shared" si="294"/>
        <v>Windrow</v>
      </c>
      <c r="C4679" s="138" t="str">
        <f t="shared" si="293"/>
        <v>Without Amendment</v>
      </c>
      <c r="D4679" s="138" t="str">
        <f t="shared" si="291"/>
        <v>Base_High</v>
      </c>
      <c r="E4679" s="138" t="str">
        <f t="shared" si="292"/>
        <v>Base</v>
      </c>
      <c r="F4679" s="138" t="str">
        <f t="shared" si="295"/>
        <v>Upgraded</v>
      </c>
      <c r="G4679" s="153"/>
      <c r="H4679" s="210">
        <v>0.37430000000000002</v>
      </c>
      <c r="I4679" s="160" t="s">
        <v>59</v>
      </c>
      <c r="J4679" s="160">
        <v>1.92E-3</v>
      </c>
      <c r="K4679" s="160" t="s">
        <v>14</v>
      </c>
      <c r="L4679" s="154" t="str">
        <f>IF(OpenLCAbasic!K4679="CTUh", "Fill in Manually",IF(OR(K4679="Unit", K4679=""), "", INDEX(LookUps!$E$5:$E$12, MATCH(OpenLCAbasic!K4679,LookUps!$D$5:$D$12,0))))</f>
        <v>Fossil Depletion Potential (FDP) - kg oil eq</v>
      </c>
      <c r="M4679" s="154" t="str">
        <f t="shared" ref="M4679:M4742" si="296">CONCATENATE(E4679,"_",D4679,"_",F4679,"_",L4679, "_",I4679,"_", C4679,"_", B4679)</f>
        <v>Base_Base_High_Upgraded_Fossil Depletion Potential (FDP) - kg oil eq_Blend Tank; wastewater treatment unit; at updated plant - US_Without Amendment_Windrow</v>
      </c>
    </row>
    <row r="4680" spans="1:13" s="120" customFormat="1" x14ac:dyDescent="0.25">
      <c r="A4680" s="119"/>
      <c r="B4680" s="138" t="str">
        <f t="shared" si="294"/>
        <v>Windrow</v>
      </c>
      <c r="C4680" s="138" t="str">
        <f t="shared" si="293"/>
        <v>Without Amendment</v>
      </c>
      <c r="D4680" s="138" t="str">
        <f t="shared" si="291"/>
        <v>Base_High</v>
      </c>
      <c r="E4680" s="138" t="str">
        <f t="shared" si="292"/>
        <v>Base</v>
      </c>
      <c r="F4680" s="138" t="str">
        <f t="shared" si="295"/>
        <v>Upgraded</v>
      </c>
      <c r="G4680" s="153"/>
      <c r="H4680" s="210">
        <v>0.17829999999999999</v>
      </c>
      <c r="I4680" s="160" t="s">
        <v>168</v>
      </c>
      <c r="J4680" s="160">
        <v>9.1E-4</v>
      </c>
      <c r="K4680" s="160" t="s">
        <v>14</v>
      </c>
      <c r="L4680" s="154" t="str">
        <f>IF(OpenLCAbasic!K4680="CTUh", "Fill in Manually",IF(OR(K4680="Unit", K4680=""), "", INDEX(LookUps!$E$5:$E$12, MATCH(OpenLCAbasic!K4680,LookUps!$D$5:$D$12,0))))</f>
        <v>Fossil Depletion Potential (FDP) - kg oil eq</v>
      </c>
      <c r="M4680" s="154" t="str">
        <f t="shared" si="296"/>
        <v>Base_Base_High_Upgraded_Fossil Depletion Potential (FDP) - kg oil eq_ClearCove SCP; wastewater treatment unit; at updated plant - US_Without Amendment_Windrow</v>
      </c>
    </row>
    <row r="4681" spans="1:13" s="120" customFormat="1" x14ac:dyDescent="0.25">
      <c r="A4681" s="119"/>
      <c r="B4681" s="138" t="str">
        <f t="shared" si="294"/>
        <v>Windrow</v>
      </c>
      <c r="C4681" s="138" t="str">
        <f t="shared" si="293"/>
        <v>Without Amendment</v>
      </c>
      <c r="D4681" s="138" t="str">
        <f t="shared" ref="D4681:D4744" si="297">IF(ISNUMBER($J4681),"Base_High","")</f>
        <v>Base_High</v>
      </c>
      <c r="E4681" s="138" t="str">
        <f t="shared" si="292"/>
        <v>Base</v>
      </c>
      <c r="F4681" s="138" t="str">
        <f t="shared" si="295"/>
        <v>Upgraded</v>
      </c>
      <c r="G4681" s="153"/>
      <c r="H4681" s="210">
        <v>7.8E-2</v>
      </c>
      <c r="I4681" s="160" t="s">
        <v>271</v>
      </c>
      <c r="J4681" s="160">
        <v>4.0000000000000002E-4</v>
      </c>
      <c r="K4681" s="160" t="s">
        <v>14</v>
      </c>
      <c r="L4681" s="154" t="str">
        <f>IF(OpenLCAbasic!K4681="CTUh", "Fill in Manually",IF(OR(K4681="Unit", K4681=""), "", INDEX(LookUps!$E$5:$E$12, MATCH(OpenLCAbasic!K4681,LookUps!$D$5:$D$12,0))))</f>
        <v>Fossil Depletion Potential (FDP) - kg oil eq</v>
      </c>
      <c r="M4681" s="154" t="str">
        <f t="shared" si="296"/>
        <v>Base_Base_High_Upgraded_Fossil Depletion Potential (FDP) - kg oil eq_Biosolids composting; windrow composting; wastewater treatment unit; at updated plant - US_Without Amendment_Windrow</v>
      </c>
    </row>
    <row r="4682" spans="1:13" s="120" customFormat="1" x14ac:dyDescent="0.25">
      <c r="A4682" s="119"/>
      <c r="B4682" s="138" t="str">
        <f t="shared" si="294"/>
        <v>Windrow</v>
      </c>
      <c r="C4682" s="138" t="str">
        <f t="shared" si="293"/>
        <v>Without Amendment</v>
      </c>
      <c r="D4682" s="138" t="str">
        <f t="shared" si="297"/>
        <v>Base_High</v>
      </c>
      <c r="E4682" s="138" t="str">
        <f t="shared" si="292"/>
        <v>Base</v>
      </c>
      <c r="F4682" s="138" t="str">
        <f t="shared" si="295"/>
        <v>Upgraded</v>
      </c>
      <c r="G4682" s="153"/>
      <c r="H4682" s="210">
        <v>-0.75380000000000003</v>
      </c>
      <c r="I4682" s="160" t="s">
        <v>62</v>
      </c>
      <c r="J4682" s="160">
        <v>-3.8700000000000002E-3</v>
      </c>
      <c r="K4682" s="160" t="s">
        <v>14</v>
      </c>
      <c r="L4682" s="154" t="str">
        <f>IF(OpenLCAbasic!K4682="CTUh", "Fill in Manually",IF(OR(K4682="Unit", K4682=""), "", INDEX(LookUps!$E$5:$E$12, MATCH(OpenLCAbasic!K4682,LookUps!$D$5:$D$12,0))))</f>
        <v>Fossil Depletion Potential (FDP) - kg oil eq</v>
      </c>
      <c r="M4682" s="154" t="str">
        <f t="shared" si="296"/>
        <v>Base_Base_High_Upgraded_Fossil Depletion Potential (FDP) - kg oil eq_Land application of compost; wastewater treatment unit; at updated plant - US_Without Amendment_Windrow</v>
      </c>
    </row>
    <row r="4683" spans="1:13" s="120" customFormat="1" x14ac:dyDescent="0.25">
      <c r="A4683" s="119"/>
      <c r="B4683" s="138" t="str">
        <f t="shared" si="294"/>
        <v>Windrow</v>
      </c>
      <c r="C4683" s="138" t="str">
        <f t="shared" si="293"/>
        <v>Without Amendment</v>
      </c>
      <c r="D4683" s="138" t="str">
        <f t="shared" si="297"/>
        <v>Base_High</v>
      </c>
      <c r="E4683" s="138" t="str">
        <f t="shared" si="292"/>
        <v>Base</v>
      </c>
      <c r="F4683" s="138" t="str">
        <f t="shared" si="295"/>
        <v>Upgraded</v>
      </c>
      <c r="G4683" s="153"/>
      <c r="H4683" s="210">
        <v>-43.620899999999999</v>
      </c>
      <c r="I4683" s="160" t="s">
        <v>149</v>
      </c>
      <c r="J4683" s="160">
        <v>-0.22373000000000001</v>
      </c>
      <c r="K4683" s="160" t="s">
        <v>14</v>
      </c>
      <c r="L4683" s="154" t="str">
        <f>IF(OpenLCAbasic!K4683="CTUh", "Fill in Manually",IF(OR(K4683="Unit", K4683=""), "", INDEX(LookUps!$E$5:$E$12, MATCH(OpenLCAbasic!K4683,LookUps!$D$5:$D$12,0))))</f>
        <v>Fossil Depletion Potential (FDP) - kg oil eq</v>
      </c>
      <c r="M4683" s="154" t="str">
        <f t="shared" si="296"/>
        <v>Base_Base_High_Upgraded_Fossil Depletion Potential (FDP) - kg oil eq_Anaerobic Digestion; wastewater treatment unit; at updated plant - US_Without Amendment_Windrow</v>
      </c>
    </row>
    <row r="4684" spans="1:13" s="120" customFormat="1" x14ac:dyDescent="0.25">
      <c r="A4684" s="119"/>
      <c r="B4684" s="138" t="str">
        <f t="shared" si="294"/>
        <v/>
      </c>
      <c r="C4684" s="138" t="str">
        <f t="shared" si="293"/>
        <v/>
      </c>
      <c r="D4684" s="138" t="str">
        <f t="shared" si="297"/>
        <v/>
      </c>
      <c r="E4684" s="138" t="str">
        <f t="shared" si="292"/>
        <v/>
      </c>
      <c r="F4684" s="138" t="str">
        <f t="shared" si="295"/>
        <v/>
      </c>
      <c r="G4684" s="153" t="s">
        <v>51</v>
      </c>
      <c r="H4684" s="160"/>
      <c r="I4684" s="160" t="s">
        <v>47</v>
      </c>
      <c r="J4684" s="160" t="s">
        <v>52</v>
      </c>
      <c r="K4684" s="160" t="s">
        <v>27</v>
      </c>
      <c r="L4684" s="154" t="str">
        <f>IF(OpenLCAbasic!K4684="CTUh", "Fill in Manually",IF(OR(K4684="Unit", K4684=""), "", INDEX(LookUps!$E$5:$E$12, MATCH(OpenLCAbasic!K4684,LookUps!$D$5:$D$12,0))))</f>
        <v/>
      </c>
      <c r="M4684" s="154" t="str">
        <f t="shared" si="296"/>
        <v>____Process__</v>
      </c>
    </row>
    <row r="4685" spans="1:13" s="120" customFormat="1" x14ac:dyDescent="0.25">
      <c r="A4685" s="119"/>
      <c r="B4685" s="138" t="str">
        <f t="shared" si="294"/>
        <v>Windrow</v>
      </c>
      <c r="C4685" s="138" t="str">
        <f t="shared" si="293"/>
        <v>Without Amendment</v>
      </c>
      <c r="D4685" s="138" t="str">
        <f t="shared" si="297"/>
        <v>Base_High</v>
      </c>
      <c r="E4685" s="138" t="str">
        <f t="shared" si="292"/>
        <v>Base</v>
      </c>
      <c r="F4685" s="138" t="str">
        <f t="shared" si="295"/>
        <v>Upgraded</v>
      </c>
      <c r="G4685" s="153"/>
      <c r="H4685" s="210">
        <v>0.66459999999999997</v>
      </c>
      <c r="I4685" s="160" t="s">
        <v>271</v>
      </c>
      <c r="J4685" s="160">
        <v>0.36005999999999999</v>
      </c>
      <c r="K4685" s="160" t="s">
        <v>23</v>
      </c>
      <c r="L4685" s="154" t="str">
        <f>IF(OpenLCAbasic!K4685="CTUh", "Fill in Manually",IF(OR(K4685="Unit", K4685=""), "", INDEX(LookUps!$E$5:$E$12, MATCH(OpenLCAbasic!K4685,LookUps!$D$5:$D$12,0))))</f>
        <v>Global Warming Potential (GWP) - kg CO2 eq</v>
      </c>
      <c r="M4685" s="154" t="str">
        <f t="shared" si="296"/>
        <v>Base_Base_High_Upgraded_Global Warming Potential (GWP) - kg CO2 eq_Biosolids composting; windrow composting; wastewater treatment unit; at updated plant - US_Without Amendment_Windrow</v>
      </c>
    </row>
    <row r="4686" spans="1:13" s="120" customFormat="1" x14ac:dyDescent="0.25">
      <c r="A4686" s="119"/>
      <c r="B4686" s="138" t="str">
        <f t="shared" si="294"/>
        <v>Windrow</v>
      </c>
      <c r="C4686" s="138" t="str">
        <f t="shared" si="293"/>
        <v>Without Amendment</v>
      </c>
      <c r="D4686" s="138" t="str">
        <f t="shared" si="297"/>
        <v>Base_High</v>
      </c>
      <c r="E4686" s="138" t="str">
        <f t="shared" si="292"/>
        <v>Base</v>
      </c>
      <c r="F4686" s="138" t="str">
        <f t="shared" si="295"/>
        <v>Upgraded</v>
      </c>
      <c r="G4686" s="153"/>
      <c r="H4686" s="210">
        <v>0.4481</v>
      </c>
      <c r="I4686" s="160" t="s">
        <v>58</v>
      </c>
      <c r="J4686" s="160">
        <v>0.24279999999999999</v>
      </c>
      <c r="K4686" s="160" t="s">
        <v>23</v>
      </c>
      <c r="L4686" s="154" t="str">
        <f>IF(OpenLCAbasic!K4686="CTUh", "Fill in Manually",IF(OR(K4686="Unit", K4686=""), "", INDEX(LookUps!$E$5:$E$12, MATCH(OpenLCAbasic!K4686,LookUps!$D$5:$D$12,0))))</f>
        <v>Global Warming Potential (GWP) - kg CO2 eq</v>
      </c>
      <c r="M4686" s="154" t="str">
        <f t="shared" si="296"/>
        <v>Base_Base_High_Upgraded_Global Warming Potential (GWP) - kg CO2 eq_Pre-Anoxic &amp; Swing tank; wastewater treatment unit; at updated plant - US_Without Amendment_Windrow</v>
      </c>
    </row>
    <row r="4687" spans="1:13" s="120" customFormat="1" x14ac:dyDescent="0.25">
      <c r="A4687" s="119"/>
      <c r="B4687" s="138" t="str">
        <f t="shared" si="294"/>
        <v>Windrow</v>
      </c>
      <c r="C4687" s="138" t="str">
        <f t="shared" si="293"/>
        <v>Without Amendment</v>
      </c>
      <c r="D4687" s="138" t="str">
        <f t="shared" si="297"/>
        <v>Base_High</v>
      </c>
      <c r="E4687" s="138" t="str">
        <f t="shared" si="292"/>
        <v>Base</v>
      </c>
      <c r="F4687" s="138" t="str">
        <f t="shared" si="295"/>
        <v>Upgraded</v>
      </c>
      <c r="G4687" s="153"/>
      <c r="H4687" s="210">
        <v>0.3105</v>
      </c>
      <c r="I4687" s="160" t="s">
        <v>55</v>
      </c>
      <c r="J4687" s="160">
        <v>0.16822000000000001</v>
      </c>
      <c r="K4687" s="160" t="s">
        <v>23</v>
      </c>
      <c r="L4687" s="154" t="str">
        <f>IF(OpenLCAbasic!K4687="CTUh", "Fill in Manually",IF(OR(K4687="Unit", K4687=""), "", INDEX(LookUps!$E$5:$E$12, MATCH(OpenLCAbasic!K4687,LookUps!$D$5:$D$12,0))))</f>
        <v>Global Warming Potential (GWP) - kg CO2 eq</v>
      </c>
      <c r="M4687" s="154" t="str">
        <f t="shared" si="296"/>
        <v>Base_Base_High_Upgraded_Global Warming Potential (GWP) - kg CO2 eq_Aeration Tanks; wastewater treatment unit; at updated plant - US_Without Amendment_Windrow</v>
      </c>
    </row>
    <row r="4688" spans="1:13" s="120" customFormat="1" x14ac:dyDescent="0.25">
      <c r="A4688" s="119"/>
      <c r="B4688" s="138" t="str">
        <f t="shared" si="294"/>
        <v>Windrow</v>
      </c>
      <c r="C4688" s="138" t="str">
        <f t="shared" si="293"/>
        <v>Without Amendment</v>
      </c>
      <c r="D4688" s="138" t="str">
        <f t="shared" si="297"/>
        <v>Base_High</v>
      </c>
      <c r="E4688" s="138" t="str">
        <f t="shared" si="292"/>
        <v>Base</v>
      </c>
      <c r="F4688" s="138" t="str">
        <f t="shared" si="295"/>
        <v>Upgraded</v>
      </c>
      <c r="G4688" s="153"/>
      <c r="H4688" s="210">
        <v>0.189</v>
      </c>
      <c r="I4688" s="160" t="s">
        <v>167</v>
      </c>
      <c r="J4688" s="160">
        <v>0.10241</v>
      </c>
      <c r="K4688" s="160" t="s">
        <v>23</v>
      </c>
      <c r="L4688" s="154" t="str">
        <f>IF(OpenLCAbasic!K4688="CTUh", "Fill in Manually",IF(OR(K4688="Unit", K4688=""), "", INDEX(LookUps!$E$5:$E$12, MATCH(OpenLCAbasic!K4688,LookUps!$D$5:$D$12,0))))</f>
        <v>Global Warming Potential (GWP) - kg CO2 eq</v>
      </c>
      <c r="M4688" s="154" t="str">
        <f t="shared" si="296"/>
        <v>Base_Base_High_Upgraded_Global Warming Potential (GWP) - kg CO2 eq_Waste Receiving and Holding; wastewater treatment unit; at updated plant - US_Without Amendment_Windrow</v>
      </c>
    </row>
    <row r="4689" spans="1:13" s="120" customFormat="1" x14ac:dyDescent="0.25">
      <c r="A4689" s="119"/>
      <c r="B4689" s="138" t="str">
        <f t="shared" si="294"/>
        <v>Windrow</v>
      </c>
      <c r="C4689" s="138" t="str">
        <f t="shared" si="293"/>
        <v>Without Amendment</v>
      </c>
      <c r="D4689" s="138" t="str">
        <f t="shared" si="297"/>
        <v>Base_High</v>
      </c>
      <c r="E4689" s="138" t="str">
        <f t="shared" si="292"/>
        <v>Base</v>
      </c>
      <c r="F4689" s="138" t="str">
        <f t="shared" si="295"/>
        <v>Upgraded</v>
      </c>
      <c r="G4689" s="153"/>
      <c r="H4689" s="210">
        <v>0.10539999999999999</v>
      </c>
      <c r="I4689" s="160" t="s">
        <v>54</v>
      </c>
      <c r="J4689" s="160">
        <v>5.7079999999999999E-2</v>
      </c>
      <c r="K4689" s="160" t="s">
        <v>23</v>
      </c>
      <c r="L4689" s="154" t="str">
        <f>IF(OpenLCAbasic!K4689="CTUh", "Fill in Manually",IF(OR(K4689="Unit", K4689=""), "", INDEX(LookUps!$E$5:$E$12, MATCH(OpenLCAbasic!K4689,LookUps!$D$5:$D$12,0))))</f>
        <v>Global Warming Potential (GWP) - kg CO2 eq</v>
      </c>
      <c r="M4689" s="154" t="str">
        <f t="shared" si="296"/>
        <v>Base_Base_High_Upgraded_Global Warming Potential (GWP) - kg CO2 eq_Clear Cove Primary Clarification; wastewater treatment unit; at updated plant - US_Without Amendment_Windrow</v>
      </c>
    </row>
    <row r="4690" spans="1:13" s="120" customFormat="1" x14ac:dyDescent="0.25">
      <c r="A4690" s="119"/>
      <c r="B4690" s="138" t="str">
        <f t="shared" si="294"/>
        <v>Windrow</v>
      </c>
      <c r="C4690" s="138" t="str">
        <f t="shared" si="293"/>
        <v>Without Amendment</v>
      </c>
      <c r="D4690" s="138" t="str">
        <f t="shared" si="297"/>
        <v>Base_High</v>
      </c>
      <c r="E4690" s="138" t="str">
        <f t="shared" si="292"/>
        <v>Base</v>
      </c>
      <c r="F4690" s="138" t="str">
        <f t="shared" si="295"/>
        <v>Upgraded</v>
      </c>
      <c r="G4690" s="153"/>
      <c r="H4690" s="210">
        <v>9.7199999999999995E-2</v>
      </c>
      <c r="I4690" s="160" t="s">
        <v>48</v>
      </c>
      <c r="J4690" s="160">
        <v>5.2639999999999999E-2</v>
      </c>
      <c r="K4690" s="160" t="s">
        <v>23</v>
      </c>
      <c r="L4690" s="154" t="str">
        <f>IF(OpenLCAbasic!K4690="CTUh", "Fill in Manually",IF(OR(K4690="Unit", K4690=""), "", INDEX(LookUps!$E$5:$E$12, MATCH(OpenLCAbasic!K4690,LookUps!$D$5:$D$12,0))))</f>
        <v>Global Warming Potential (GWP) - kg CO2 eq</v>
      </c>
      <c r="M4690" s="154" t="str">
        <f t="shared" si="296"/>
        <v>Base_Base_High_Upgraded_Global Warming Potential (GWP) - kg CO2 eq_Effluent release; wastewater treatment unit; at surface water; m3 wastewater - US_Without Amendment_Windrow</v>
      </c>
    </row>
    <row r="4691" spans="1:13" s="120" customFormat="1" x14ac:dyDescent="0.25">
      <c r="A4691" s="119"/>
      <c r="B4691" s="138" t="str">
        <f t="shared" si="294"/>
        <v>Windrow</v>
      </c>
      <c r="C4691" s="138" t="str">
        <f t="shared" si="293"/>
        <v>Without Amendment</v>
      </c>
      <c r="D4691" s="138" t="str">
        <f t="shared" si="297"/>
        <v>Base_High</v>
      </c>
      <c r="E4691" s="138" t="str">
        <f t="shared" si="292"/>
        <v>Base</v>
      </c>
      <c r="F4691" s="138" t="str">
        <f t="shared" si="295"/>
        <v>Upgraded</v>
      </c>
      <c r="G4691" s="153"/>
      <c r="H4691" s="210">
        <v>9.3200000000000005E-2</v>
      </c>
      <c r="I4691" s="160" t="s">
        <v>147</v>
      </c>
      <c r="J4691" s="160">
        <v>5.0500000000000003E-2</v>
      </c>
      <c r="K4691" s="160" t="s">
        <v>23</v>
      </c>
      <c r="L4691" s="154" t="str">
        <f>IF(OpenLCAbasic!K4691="CTUh", "Fill in Manually",IF(OR(K4691="Unit", K4691=""), "", INDEX(LookUps!$E$5:$E$12, MATCH(OpenLCAbasic!K4691,LookUps!$D$5:$D$12,0))))</f>
        <v>Global Warming Potential (GWP) - kg CO2 eq</v>
      </c>
      <c r="M4691" s="154" t="str">
        <f t="shared" si="296"/>
        <v>Base_Base_High_Upgraded_Global Warming Potential (GWP) - kg CO2 eq_Influent Pump Station; wastewater treatment unit; at updated plant - US_Without Amendment_Windrow</v>
      </c>
    </row>
    <row r="4692" spans="1:13" s="120" customFormat="1" x14ac:dyDescent="0.25">
      <c r="A4692" s="119"/>
      <c r="B4692" s="138" t="str">
        <f t="shared" si="294"/>
        <v>Windrow</v>
      </c>
      <c r="C4692" s="138" t="str">
        <f t="shared" si="293"/>
        <v>Without Amendment</v>
      </c>
      <c r="D4692" s="138" t="str">
        <f t="shared" si="297"/>
        <v>Base_High</v>
      </c>
      <c r="E4692" s="138" t="str">
        <f t="shared" si="292"/>
        <v>Base</v>
      </c>
      <c r="F4692" s="138" t="str">
        <f t="shared" si="295"/>
        <v>Upgraded</v>
      </c>
      <c r="G4692" s="153"/>
      <c r="H4692" s="210">
        <v>6.1400000000000003E-2</v>
      </c>
      <c r="I4692" s="160" t="s">
        <v>53</v>
      </c>
      <c r="J4692" s="160">
        <v>3.3259999999999998E-2</v>
      </c>
      <c r="K4692" s="160" t="s">
        <v>23</v>
      </c>
      <c r="L4692" s="154" t="str">
        <f>IF(OpenLCAbasic!K4692="CTUh", "Fill in Manually",IF(OR(K4692="Unit", K4692=""), "", INDEX(LookUps!$E$5:$E$12, MATCH(OpenLCAbasic!K4692,LookUps!$D$5:$D$12,0))))</f>
        <v>Global Warming Potential (GWP) - kg CO2 eq</v>
      </c>
      <c r="M4692" s="154" t="str">
        <f t="shared" si="296"/>
        <v>Base_Base_High_Upgraded_Global Warming Potential (GWP) - kg CO2 eq_Wet Well and Sump Station; wastewater treatment unit; at updated plant - US_Without Amendment_Windrow</v>
      </c>
    </row>
    <row r="4693" spans="1:13" s="120" customFormat="1" x14ac:dyDescent="0.25">
      <c r="A4693" s="119"/>
      <c r="B4693" s="138" t="str">
        <f t="shared" si="294"/>
        <v>Windrow</v>
      </c>
      <c r="C4693" s="138" t="str">
        <f t="shared" si="293"/>
        <v>Without Amendment</v>
      </c>
      <c r="D4693" s="138" t="str">
        <f t="shared" si="297"/>
        <v>Base_High</v>
      </c>
      <c r="E4693" s="138" t="str">
        <f t="shared" si="292"/>
        <v>Base</v>
      </c>
      <c r="F4693" s="138" t="str">
        <f t="shared" si="295"/>
        <v>Upgraded</v>
      </c>
      <c r="G4693" s="153"/>
      <c r="H4693" s="210">
        <v>2.69E-2</v>
      </c>
      <c r="I4693" s="160" t="s">
        <v>57</v>
      </c>
      <c r="J4693" s="160">
        <v>1.455E-2</v>
      </c>
      <c r="K4693" s="160" t="s">
        <v>23</v>
      </c>
      <c r="L4693" s="154" t="str">
        <f>IF(OpenLCAbasic!K4693="CTUh", "Fill in Manually",IF(OR(K4693="Unit", K4693=""), "", INDEX(LookUps!$E$5:$E$12, MATCH(OpenLCAbasic!K4693,LookUps!$D$5:$D$12,0))))</f>
        <v>Global Warming Potential (GWP) - kg CO2 eq</v>
      </c>
      <c r="M4693" s="154" t="str">
        <f t="shared" si="296"/>
        <v>Base_Base_High_Upgraded_Global Warming Potential (GWP) - kg CO2 eq_Gravity Belt Thickener; wastewater treatment unit; at updated plant - US_Without Amendment_Windrow</v>
      </c>
    </row>
    <row r="4694" spans="1:13" s="120" customFormat="1" x14ac:dyDescent="0.25">
      <c r="A4694" s="119"/>
      <c r="B4694" s="138" t="str">
        <f t="shared" si="294"/>
        <v>Windrow</v>
      </c>
      <c r="C4694" s="138" t="str">
        <f t="shared" si="293"/>
        <v>Without Amendment</v>
      </c>
      <c r="D4694" s="138" t="str">
        <f t="shared" si="297"/>
        <v>Base_High</v>
      </c>
      <c r="E4694" s="138" t="str">
        <f t="shared" si="292"/>
        <v>Base</v>
      </c>
      <c r="F4694" s="138" t="str">
        <f t="shared" si="295"/>
        <v>Upgraded</v>
      </c>
      <c r="G4694" s="153"/>
      <c r="H4694" s="210">
        <v>2.4899999999999999E-2</v>
      </c>
      <c r="I4694" s="160" t="s">
        <v>128</v>
      </c>
      <c r="J4694" s="160">
        <v>1.3509999999999999E-2</v>
      </c>
      <c r="K4694" s="160" t="s">
        <v>23</v>
      </c>
      <c r="L4694" s="154" t="str">
        <f>IF(OpenLCAbasic!K4694="CTUh", "Fill in Manually",IF(OR(K4694="Unit", K4694=""), "", INDEX(LookUps!$E$5:$E$12, MATCH(OpenLCAbasic!K4694,LookUps!$D$5:$D$12,0))))</f>
        <v>Global Warming Potential (GWP) - kg CO2 eq</v>
      </c>
      <c r="M4694" s="154" t="str">
        <f t="shared" si="296"/>
        <v>Base_Base_High_Upgraded_Global Warming Potential (GWP) - kg CO2 eq_Wastewater collection; operation and infrastructure; m3 wastewater_Without Amendment_Windrow</v>
      </c>
    </row>
    <row r="4695" spans="1:13" s="120" customFormat="1" x14ac:dyDescent="0.25">
      <c r="A4695" s="119"/>
      <c r="B4695" s="138" t="str">
        <f t="shared" si="294"/>
        <v>Windrow</v>
      </c>
      <c r="C4695" s="138" t="str">
        <f t="shared" si="293"/>
        <v>Without Amendment</v>
      </c>
      <c r="D4695" s="138" t="str">
        <f t="shared" si="297"/>
        <v>Base_High</v>
      </c>
      <c r="E4695" s="138" t="str">
        <f t="shared" si="292"/>
        <v>Base</v>
      </c>
      <c r="F4695" s="138" t="str">
        <f t="shared" si="295"/>
        <v>Upgraded</v>
      </c>
      <c r="G4695" s="153"/>
      <c r="H4695" s="210">
        <v>2.2700000000000001E-2</v>
      </c>
      <c r="I4695" s="160" t="s">
        <v>60</v>
      </c>
      <c r="J4695" s="160">
        <v>1.231E-2</v>
      </c>
      <c r="K4695" s="160" t="s">
        <v>23</v>
      </c>
      <c r="L4695" s="154" t="str">
        <f>IF(OpenLCAbasic!K4695="CTUh", "Fill in Manually",IF(OR(K4695="Unit", K4695=""), "", INDEX(LookUps!$E$5:$E$12, MATCH(OpenLCAbasic!K4695,LookUps!$D$5:$D$12,0))))</f>
        <v>Global Warming Potential (GWP) - kg CO2 eq</v>
      </c>
      <c r="M4695" s="154" t="str">
        <f t="shared" si="296"/>
        <v>Base_Base_High_Upgraded_Global Warming Potential (GWP) - kg CO2 eq_Belt filter press; wastewater treatment unit; at updated plant - US_Without Amendment_Windrow</v>
      </c>
    </row>
    <row r="4696" spans="1:13" s="120" customFormat="1" x14ac:dyDescent="0.25">
      <c r="A4696" s="119"/>
      <c r="B4696" s="138" t="str">
        <f t="shared" si="294"/>
        <v>Windrow</v>
      </c>
      <c r="C4696" s="138" t="str">
        <f t="shared" si="293"/>
        <v>Without Amendment</v>
      </c>
      <c r="D4696" s="138" t="str">
        <f t="shared" si="297"/>
        <v>Base_High</v>
      </c>
      <c r="E4696" s="138" t="str">
        <f t="shared" si="292"/>
        <v>Base</v>
      </c>
      <c r="F4696" s="138" t="str">
        <f t="shared" si="295"/>
        <v>Upgraded</v>
      </c>
      <c r="G4696" s="153"/>
      <c r="H4696" s="210">
        <v>1.5299999999999999E-2</v>
      </c>
      <c r="I4696" s="160" t="s">
        <v>148</v>
      </c>
      <c r="J4696" s="160">
        <v>8.3000000000000001E-3</v>
      </c>
      <c r="K4696" s="160" t="s">
        <v>23</v>
      </c>
      <c r="L4696" s="154" t="str">
        <f>IF(OpenLCAbasic!K4696="CTUh", "Fill in Manually",IF(OR(K4696="Unit", K4696=""), "", INDEX(LookUps!$E$5:$E$12, MATCH(OpenLCAbasic!K4696,LookUps!$D$5:$D$12,0))))</f>
        <v>Global Warming Potential (GWP) - kg CO2 eq</v>
      </c>
      <c r="M4696" s="154" t="str">
        <f t="shared" si="296"/>
        <v>Base_Base_High_Upgraded_Global Warming Potential (GWP) - kg CO2 eq_Control Building; at upgraded wastewater treatment plant - US_Without Amendment_Windrow</v>
      </c>
    </row>
    <row r="4697" spans="1:13" s="120" customFormat="1" x14ac:dyDescent="0.25">
      <c r="A4697" s="119"/>
      <c r="B4697" s="138" t="str">
        <f t="shared" si="294"/>
        <v>Windrow</v>
      </c>
      <c r="C4697" s="138" t="str">
        <f t="shared" si="293"/>
        <v>Without Amendment</v>
      </c>
      <c r="D4697" s="138" t="str">
        <f t="shared" si="297"/>
        <v>Base_High</v>
      </c>
      <c r="E4697" s="138" t="str">
        <f t="shared" si="292"/>
        <v>Base</v>
      </c>
      <c r="F4697" s="138" t="str">
        <f t="shared" si="295"/>
        <v>Upgraded</v>
      </c>
      <c r="G4697" s="153"/>
      <c r="H4697" s="210">
        <v>9.2999999999999992E-3</v>
      </c>
      <c r="I4697" s="160" t="s">
        <v>59</v>
      </c>
      <c r="J4697" s="160">
        <v>5.0400000000000002E-3</v>
      </c>
      <c r="K4697" s="160" t="s">
        <v>23</v>
      </c>
      <c r="L4697" s="154" t="str">
        <f>IF(OpenLCAbasic!K4697="CTUh", "Fill in Manually",IF(OR(K4697="Unit", K4697=""), "", INDEX(LookUps!$E$5:$E$12, MATCH(OpenLCAbasic!K4697,LookUps!$D$5:$D$12,0))))</f>
        <v>Global Warming Potential (GWP) - kg CO2 eq</v>
      </c>
      <c r="M4697" s="154" t="str">
        <f t="shared" si="296"/>
        <v>Base_Base_High_Upgraded_Global Warming Potential (GWP) - kg CO2 eq_Blend Tank; wastewater treatment unit; at updated plant - US_Without Amendment_Windrow</v>
      </c>
    </row>
    <row r="4698" spans="1:13" s="120" customFormat="1" x14ac:dyDescent="0.25">
      <c r="A4698" s="119"/>
      <c r="B4698" s="138" t="str">
        <f t="shared" si="294"/>
        <v>Windrow</v>
      </c>
      <c r="C4698" s="138" t="str">
        <f t="shared" si="293"/>
        <v>Without Amendment</v>
      </c>
      <c r="D4698" s="138" t="str">
        <f t="shared" si="297"/>
        <v>Base_High</v>
      </c>
      <c r="E4698" s="138" t="str">
        <f t="shared" si="292"/>
        <v>Base</v>
      </c>
      <c r="F4698" s="138" t="str">
        <f t="shared" si="295"/>
        <v>Upgraded</v>
      </c>
      <c r="G4698" s="153"/>
      <c r="H4698" s="210">
        <v>4.4999999999999997E-3</v>
      </c>
      <c r="I4698" s="160" t="s">
        <v>168</v>
      </c>
      <c r="J4698" s="160">
        <v>2.4099999999999998E-3</v>
      </c>
      <c r="K4698" s="160" t="s">
        <v>23</v>
      </c>
      <c r="L4698" s="154" t="str">
        <f>IF(OpenLCAbasic!K4698="CTUh", "Fill in Manually",IF(OR(K4698="Unit", K4698=""), "", INDEX(LookUps!$E$5:$E$12, MATCH(OpenLCAbasic!K4698,LookUps!$D$5:$D$12,0))))</f>
        <v>Global Warming Potential (GWP) - kg CO2 eq</v>
      </c>
      <c r="M4698" s="154" t="str">
        <f t="shared" si="296"/>
        <v>Base_Base_High_Upgraded_Global Warming Potential (GWP) - kg CO2 eq_ClearCove SCP; wastewater treatment unit; at updated plant - US_Without Amendment_Windrow</v>
      </c>
    </row>
    <row r="4699" spans="1:13" s="120" customFormat="1" x14ac:dyDescent="0.25">
      <c r="A4699" s="119"/>
      <c r="B4699" s="138" t="str">
        <f t="shared" si="294"/>
        <v>Windrow</v>
      </c>
      <c r="C4699" s="138" t="str">
        <f t="shared" si="293"/>
        <v>Without Amendment</v>
      </c>
      <c r="D4699" s="138" t="str">
        <f t="shared" si="297"/>
        <v>Base_High</v>
      </c>
      <c r="E4699" s="138" t="str">
        <f t="shared" si="292"/>
        <v>Base</v>
      </c>
      <c r="F4699" s="138" t="str">
        <f t="shared" si="295"/>
        <v>Upgraded</v>
      </c>
      <c r="G4699" s="153"/>
      <c r="H4699" s="210">
        <v>-0.24399999999999999</v>
      </c>
      <c r="I4699" s="160" t="s">
        <v>62</v>
      </c>
      <c r="J4699" s="160">
        <v>-0.13220999999999999</v>
      </c>
      <c r="K4699" s="160" t="s">
        <v>23</v>
      </c>
      <c r="L4699" s="154" t="str">
        <f>IF(OpenLCAbasic!K4699="CTUh", "Fill in Manually",IF(OR(K4699="Unit", K4699=""), "", INDEX(LookUps!$E$5:$E$12, MATCH(OpenLCAbasic!K4699,LookUps!$D$5:$D$12,0))))</f>
        <v>Global Warming Potential (GWP) - kg CO2 eq</v>
      </c>
      <c r="M4699" s="154" t="str">
        <f t="shared" si="296"/>
        <v>Base_Base_High_Upgraded_Global Warming Potential (GWP) - kg CO2 eq_Land application of compost; wastewater treatment unit; at updated plant - US_Without Amendment_Windrow</v>
      </c>
    </row>
    <row r="4700" spans="1:13" s="120" customFormat="1" x14ac:dyDescent="0.25">
      <c r="A4700" s="119"/>
      <c r="B4700" s="138" t="str">
        <f t="shared" si="294"/>
        <v>Windrow</v>
      </c>
      <c r="C4700" s="138" t="str">
        <f t="shared" si="293"/>
        <v>Without Amendment</v>
      </c>
      <c r="D4700" s="138" t="str">
        <f t="shared" si="297"/>
        <v>Base_High</v>
      </c>
      <c r="E4700" s="138" t="str">
        <f t="shared" si="292"/>
        <v>Base</v>
      </c>
      <c r="F4700" s="138" t="str">
        <f t="shared" si="295"/>
        <v>Upgraded</v>
      </c>
      <c r="G4700" s="153"/>
      <c r="H4700" s="210">
        <v>-0.82889999999999997</v>
      </c>
      <c r="I4700" s="160" t="s">
        <v>149</v>
      </c>
      <c r="J4700" s="160">
        <v>-0.44908999999999999</v>
      </c>
      <c r="K4700" s="160" t="s">
        <v>23</v>
      </c>
      <c r="L4700" s="154" t="str">
        <f>IF(OpenLCAbasic!K4700="CTUh", "Fill in Manually",IF(OR(K4700="Unit", K4700=""), "", INDEX(LookUps!$E$5:$E$12, MATCH(OpenLCAbasic!K4700,LookUps!$D$5:$D$12,0))))</f>
        <v>Global Warming Potential (GWP) - kg CO2 eq</v>
      </c>
      <c r="M4700" s="154" t="str">
        <f t="shared" si="296"/>
        <v>Base_Base_High_Upgraded_Global Warming Potential (GWP) - kg CO2 eq_Anaerobic Digestion; wastewater treatment unit; at updated plant - US_Without Amendment_Windrow</v>
      </c>
    </row>
    <row r="4701" spans="1:13" s="120" customFormat="1" x14ac:dyDescent="0.25">
      <c r="A4701" s="119"/>
      <c r="B4701" s="138" t="str">
        <f t="shared" si="294"/>
        <v/>
      </c>
      <c r="C4701" s="138" t="str">
        <f t="shared" si="293"/>
        <v/>
      </c>
      <c r="D4701" s="138" t="str">
        <f t="shared" si="297"/>
        <v/>
      </c>
      <c r="E4701" s="138" t="str">
        <f t="shared" si="292"/>
        <v/>
      </c>
      <c r="F4701" s="138" t="str">
        <f t="shared" si="295"/>
        <v/>
      </c>
      <c r="G4701" s="153" t="s">
        <v>51</v>
      </c>
      <c r="H4701" s="160"/>
      <c r="I4701" s="160" t="s">
        <v>47</v>
      </c>
      <c r="J4701" s="160" t="s">
        <v>52</v>
      </c>
      <c r="K4701" s="160" t="s">
        <v>27</v>
      </c>
      <c r="L4701" s="154" t="str">
        <f>IF(OpenLCAbasic!K4701="CTUh", "Fill in Manually",IF(OR(K4701="Unit", K4701=""), "", INDEX(LookUps!$E$5:$E$12, MATCH(OpenLCAbasic!K4701,LookUps!$D$5:$D$12,0))))</f>
        <v/>
      </c>
      <c r="M4701" s="154" t="str">
        <f t="shared" si="296"/>
        <v>____Process__</v>
      </c>
    </row>
    <row r="4702" spans="1:13" s="120" customFormat="1" x14ac:dyDescent="0.25">
      <c r="A4702" s="119"/>
      <c r="B4702" s="138" t="str">
        <f t="shared" si="294"/>
        <v>Windrow</v>
      </c>
      <c r="C4702" s="138" t="str">
        <f t="shared" si="293"/>
        <v>Without Amendment</v>
      </c>
      <c r="D4702" s="138" t="str">
        <f t="shared" si="297"/>
        <v>Base_High</v>
      </c>
      <c r="E4702" s="138" t="str">
        <f t="shared" si="292"/>
        <v>Base</v>
      </c>
      <c r="F4702" s="138" t="str">
        <f t="shared" si="295"/>
        <v>Upgraded</v>
      </c>
      <c r="G4702" s="153"/>
      <c r="H4702" s="210">
        <v>34.110599999999998</v>
      </c>
      <c r="I4702" s="160" t="s">
        <v>55</v>
      </c>
      <c r="J4702" s="160">
        <v>2.33E-3</v>
      </c>
      <c r="K4702" s="160" t="s">
        <v>145</v>
      </c>
      <c r="L4702" s="154" t="str">
        <f>IF(OpenLCAbasic!K4702="CTUh", "Fill in Manually",IF(OR(K4702="Unit", K4702=""), "", INDEX(LookUps!$E$5:$E$12, MATCH(OpenLCAbasic!K4702,LookUps!$D$5:$D$12,0))))</f>
        <v>Particulate Matter Formation Potential (PMFP) - kg PM2.5 eq</v>
      </c>
      <c r="M4702" s="154" t="str">
        <f t="shared" si="296"/>
        <v>Base_Base_High_Upgraded_Particulate Matter Formation Potential (PMFP) - kg PM2.5 eq_Aeration Tanks; wastewater treatment unit; at updated plant - US_Without Amendment_Windrow</v>
      </c>
    </row>
    <row r="4703" spans="1:13" s="120" customFormat="1" x14ac:dyDescent="0.25">
      <c r="A4703" s="119"/>
      <c r="B4703" s="138" t="str">
        <f t="shared" si="294"/>
        <v>Windrow</v>
      </c>
      <c r="C4703" s="138" t="str">
        <f t="shared" si="293"/>
        <v>Without Amendment</v>
      </c>
      <c r="D4703" s="138" t="str">
        <f t="shared" si="297"/>
        <v>Base_High</v>
      </c>
      <c r="E4703" s="138" t="str">
        <f t="shared" si="292"/>
        <v>Base</v>
      </c>
      <c r="F4703" s="138" t="str">
        <f t="shared" si="295"/>
        <v>Upgraded</v>
      </c>
      <c r="G4703" s="153"/>
      <c r="H4703" s="210">
        <v>9.9258000000000006</v>
      </c>
      <c r="I4703" s="160" t="s">
        <v>54</v>
      </c>
      <c r="J4703" s="160">
        <v>6.8000000000000005E-4</v>
      </c>
      <c r="K4703" s="160" t="s">
        <v>145</v>
      </c>
      <c r="L4703" s="154" t="str">
        <f>IF(OpenLCAbasic!K4703="CTUh", "Fill in Manually",IF(OR(K4703="Unit", K4703=""), "", INDEX(LookUps!$E$5:$E$12, MATCH(OpenLCAbasic!K4703,LookUps!$D$5:$D$12,0))))</f>
        <v>Particulate Matter Formation Potential (PMFP) - kg PM2.5 eq</v>
      </c>
      <c r="M4703" s="154" t="str">
        <f t="shared" si="296"/>
        <v>Base_Base_High_Upgraded_Particulate Matter Formation Potential (PMFP) - kg PM2.5 eq_Clear Cove Primary Clarification; wastewater treatment unit; at updated plant - US_Without Amendment_Windrow</v>
      </c>
    </row>
    <row r="4704" spans="1:13" s="120" customFormat="1" x14ac:dyDescent="0.25">
      <c r="A4704" s="119"/>
      <c r="B4704" s="138" t="str">
        <f t="shared" si="294"/>
        <v>Windrow</v>
      </c>
      <c r="C4704" s="138" t="str">
        <f t="shared" si="293"/>
        <v>Without Amendment</v>
      </c>
      <c r="D4704" s="138" t="str">
        <f t="shared" si="297"/>
        <v>Base_High</v>
      </c>
      <c r="E4704" s="138" t="str">
        <f t="shared" si="292"/>
        <v>Base</v>
      </c>
      <c r="F4704" s="138" t="str">
        <f t="shared" si="295"/>
        <v>Upgraded</v>
      </c>
      <c r="G4704" s="153"/>
      <c r="H4704" s="210">
        <v>8.5757999999999992</v>
      </c>
      <c r="I4704" s="160" t="s">
        <v>58</v>
      </c>
      <c r="J4704" s="160">
        <v>5.9000000000000003E-4</v>
      </c>
      <c r="K4704" s="160" t="s">
        <v>145</v>
      </c>
      <c r="L4704" s="154" t="str">
        <f>IF(OpenLCAbasic!K4704="CTUh", "Fill in Manually",IF(OR(K4704="Unit", K4704=""), "", INDEX(LookUps!$E$5:$E$12, MATCH(OpenLCAbasic!K4704,LookUps!$D$5:$D$12,0))))</f>
        <v>Particulate Matter Formation Potential (PMFP) - kg PM2.5 eq</v>
      </c>
      <c r="M4704" s="154" t="str">
        <f t="shared" si="296"/>
        <v>Base_Base_High_Upgraded_Particulate Matter Formation Potential (PMFP) - kg PM2.5 eq_Pre-Anoxic &amp; Swing tank; wastewater treatment unit; at updated plant - US_Without Amendment_Windrow</v>
      </c>
    </row>
    <row r="4705" spans="1:13" s="120" customFormat="1" x14ac:dyDescent="0.25">
      <c r="A4705" s="119"/>
      <c r="B4705" s="138" t="str">
        <f t="shared" si="294"/>
        <v>Windrow</v>
      </c>
      <c r="C4705" s="138" t="str">
        <f t="shared" si="293"/>
        <v>Without Amendment</v>
      </c>
      <c r="D4705" s="138" t="str">
        <f t="shared" si="297"/>
        <v>Base_High</v>
      </c>
      <c r="E4705" s="138" t="str">
        <f t="shared" si="292"/>
        <v>Base</v>
      </c>
      <c r="F4705" s="138" t="str">
        <f t="shared" si="295"/>
        <v>Upgraded</v>
      </c>
      <c r="G4705" s="153"/>
      <c r="H4705" s="210">
        <v>6.82</v>
      </c>
      <c r="I4705" s="160" t="s">
        <v>53</v>
      </c>
      <c r="J4705" s="160">
        <v>4.6999999999999999E-4</v>
      </c>
      <c r="K4705" s="160" t="s">
        <v>145</v>
      </c>
      <c r="L4705" s="154" t="str">
        <f>IF(OpenLCAbasic!K4705="CTUh", "Fill in Manually",IF(OR(K4705="Unit", K4705=""), "", INDEX(LookUps!$E$5:$E$12, MATCH(OpenLCAbasic!K4705,LookUps!$D$5:$D$12,0))))</f>
        <v>Particulate Matter Formation Potential (PMFP) - kg PM2.5 eq</v>
      </c>
      <c r="M4705" s="154" t="str">
        <f t="shared" si="296"/>
        <v>Base_Base_High_Upgraded_Particulate Matter Formation Potential (PMFP) - kg PM2.5 eq_Wet Well and Sump Station; wastewater treatment unit; at updated plant - US_Without Amendment_Windrow</v>
      </c>
    </row>
    <row r="4706" spans="1:13" s="120" customFormat="1" x14ac:dyDescent="0.25">
      <c r="A4706" s="119"/>
      <c r="B4706" s="138" t="str">
        <f t="shared" si="294"/>
        <v>Windrow</v>
      </c>
      <c r="C4706" s="138" t="str">
        <f t="shared" si="293"/>
        <v>Without Amendment</v>
      </c>
      <c r="D4706" s="138" t="str">
        <f t="shared" si="297"/>
        <v>Base_High</v>
      </c>
      <c r="E4706" s="138" t="str">
        <f t="shared" si="292"/>
        <v>Base</v>
      </c>
      <c r="F4706" s="138" t="str">
        <f t="shared" si="295"/>
        <v>Upgraded</v>
      </c>
      <c r="G4706" s="153"/>
      <c r="H4706" s="210">
        <v>4.3722000000000003</v>
      </c>
      <c r="I4706" s="160" t="s">
        <v>167</v>
      </c>
      <c r="J4706" s="160">
        <v>2.9999999999999997E-4</v>
      </c>
      <c r="K4706" s="160" t="s">
        <v>145</v>
      </c>
      <c r="L4706" s="154" t="str">
        <f>IF(OpenLCAbasic!K4706="CTUh", "Fill in Manually",IF(OR(K4706="Unit", K4706=""), "", INDEX(LookUps!$E$5:$E$12, MATCH(OpenLCAbasic!K4706,LookUps!$D$5:$D$12,0))))</f>
        <v>Particulate Matter Formation Potential (PMFP) - kg PM2.5 eq</v>
      </c>
      <c r="M4706" s="154" t="str">
        <f t="shared" si="296"/>
        <v>Base_Base_High_Upgraded_Particulate Matter Formation Potential (PMFP) - kg PM2.5 eq_Waste Receiving and Holding; wastewater treatment unit; at updated plant - US_Without Amendment_Windrow</v>
      </c>
    </row>
    <row r="4707" spans="1:13" s="120" customFormat="1" x14ac:dyDescent="0.25">
      <c r="A4707" s="119"/>
      <c r="B4707" s="138" t="str">
        <f t="shared" si="294"/>
        <v>Windrow</v>
      </c>
      <c r="C4707" s="138" t="str">
        <f t="shared" si="293"/>
        <v>Without Amendment</v>
      </c>
      <c r="D4707" s="138" t="str">
        <f t="shared" si="297"/>
        <v>Base_High</v>
      </c>
      <c r="E4707" s="138" t="str">
        <f t="shared" si="292"/>
        <v>Base</v>
      </c>
      <c r="F4707" s="138" t="str">
        <f t="shared" si="295"/>
        <v>Upgraded</v>
      </c>
      <c r="G4707" s="153"/>
      <c r="H4707" s="210">
        <v>3.8982999999999999</v>
      </c>
      <c r="I4707" s="160" t="s">
        <v>147</v>
      </c>
      <c r="J4707" s="160">
        <v>2.7E-4</v>
      </c>
      <c r="K4707" s="160" t="s">
        <v>145</v>
      </c>
      <c r="L4707" s="154" t="str">
        <f>IF(OpenLCAbasic!K4707="CTUh", "Fill in Manually",IF(OR(K4707="Unit", K4707=""), "", INDEX(LookUps!$E$5:$E$12, MATCH(OpenLCAbasic!K4707,LookUps!$D$5:$D$12,0))))</f>
        <v>Particulate Matter Formation Potential (PMFP) - kg PM2.5 eq</v>
      </c>
      <c r="M4707" s="154" t="str">
        <f t="shared" si="296"/>
        <v>Base_Base_High_Upgraded_Particulate Matter Formation Potential (PMFP) - kg PM2.5 eq_Influent Pump Station; wastewater treatment unit; at updated plant - US_Without Amendment_Windrow</v>
      </c>
    </row>
    <row r="4708" spans="1:13" s="120" customFormat="1" x14ac:dyDescent="0.25">
      <c r="A4708" s="119"/>
      <c r="B4708" s="138" t="str">
        <f t="shared" si="294"/>
        <v>Windrow</v>
      </c>
      <c r="C4708" s="138" t="str">
        <f t="shared" si="293"/>
        <v>Without Amendment</v>
      </c>
      <c r="D4708" s="138" t="str">
        <f t="shared" si="297"/>
        <v>Base_High</v>
      </c>
      <c r="E4708" s="138" t="str">
        <f t="shared" si="292"/>
        <v>Base</v>
      </c>
      <c r="F4708" s="138" t="str">
        <f t="shared" si="295"/>
        <v>Upgraded</v>
      </c>
      <c r="G4708" s="153"/>
      <c r="H4708" s="210">
        <v>2.4329000000000001</v>
      </c>
      <c r="I4708" s="160" t="s">
        <v>128</v>
      </c>
      <c r="J4708" s="160">
        <v>1.7000000000000001E-4</v>
      </c>
      <c r="K4708" s="160" t="s">
        <v>145</v>
      </c>
      <c r="L4708" s="154" t="str">
        <f>IF(OpenLCAbasic!K4708="CTUh", "Fill in Manually",IF(OR(K4708="Unit", K4708=""), "", INDEX(LookUps!$E$5:$E$12, MATCH(OpenLCAbasic!K4708,LookUps!$D$5:$D$12,0))))</f>
        <v>Particulate Matter Formation Potential (PMFP) - kg PM2.5 eq</v>
      </c>
      <c r="M4708" s="154" t="str">
        <f t="shared" si="296"/>
        <v>Base_Base_High_Upgraded_Particulate Matter Formation Potential (PMFP) - kg PM2.5 eq_Wastewater collection; operation and infrastructure; m3 wastewater_Without Amendment_Windrow</v>
      </c>
    </row>
    <row r="4709" spans="1:13" s="120" customFormat="1" x14ac:dyDescent="0.25">
      <c r="A4709" s="119"/>
      <c r="B4709" s="138" t="str">
        <f t="shared" si="294"/>
        <v>Windrow</v>
      </c>
      <c r="C4709" s="138" t="str">
        <f t="shared" si="293"/>
        <v>Without Amendment</v>
      </c>
      <c r="D4709" s="138" t="str">
        <f t="shared" si="297"/>
        <v>Base_High</v>
      </c>
      <c r="E4709" s="138" t="str">
        <f t="shared" si="292"/>
        <v>Base</v>
      </c>
      <c r="F4709" s="138" t="str">
        <f t="shared" si="295"/>
        <v>Upgraded</v>
      </c>
      <c r="G4709" s="153"/>
      <c r="H4709" s="210">
        <v>1.8150999999999999</v>
      </c>
      <c r="I4709" s="160" t="s">
        <v>271</v>
      </c>
      <c r="J4709" s="160">
        <v>1.2E-4</v>
      </c>
      <c r="K4709" s="160" t="s">
        <v>145</v>
      </c>
      <c r="L4709" s="154" t="str">
        <f>IF(OpenLCAbasic!K4709="CTUh", "Fill in Manually",IF(OR(K4709="Unit", K4709=""), "", INDEX(LookUps!$E$5:$E$12, MATCH(OpenLCAbasic!K4709,LookUps!$D$5:$D$12,0))))</f>
        <v>Particulate Matter Formation Potential (PMFP) - kg PM2.5 eq</v>
      </c>
      <c r="M4709" s="154" t="str">
        <f t="shared" si="296"/>
        <v>Base_Base_High_Upgraded_Particulate Matter Formation Potential (PMFP) - kg PM2.5 eq_Biosolids composting; windrow composting; wastewater treatment unit; at updated plant - US_Without Amendment_Windrow</v>
      </c>
    </row>
    <row r="4710" spans="1:13" s="120" customFormat="1" x14ac:dyDescent="0.25">
      <c r="A4710" s="119"/>
      <c r="B4710" s="138" t="str">
        <f t="shared" si="294"/>
        <v>Windrow</v>
      </c>
      <c r="C4710" s="138" t="str">
        <f t="shared" si="293"/>
        <v>Without Amendment</v>
      </c>
      <c r="D4710" s="138" t="str">
        <f t="shared" si="297"/>
        <v>Base_High</v>
      </c>
      <c r="E4710" s="138" t="str">
        <f t="shared" si="292"/>
        <v>Base</v>
      </c>
      <c r="F4710" s="138" t="str">
        <f t="shared" si="295"/>
        <v>Upgraded</v>
      </c>
      <c r="G4710" s="153"/>
      <c r="H4710" s="210">
        <v>1.4704999999999999</v>
      </c>
      <c r="I4710" s="160" t="s">
        <v>60</v>
      </c>
      <c r="J4710" s="160">
        <v>1E-4</v>
      </c>
      <c r="K4710" s="160" t="s">
        <v>145</v>
      </c>
      <c r="L4710" s="154" t="str">
        <f>IF(OpenLCAbasic!K4710="CTUh", "Fill in Manually",IF(OR(K4710="Unit", K4710=""), "", INDEX(LookUps!$E$5:$E$12, MATCH(OpenLCAbasic!K4710,LookUps!$D$5:$D$12,0))))</f>
        <v>Particulate Matter Formation Potential (PMFP) - kg PM2.5 eq</v>
      </c>
      <c r="M4710" s="154" t="str">
        <f t="shared" si="296"/>
        <v>Base_Base_High_Upgraded_Particulate Matter Formation Potential (PMFP) - kg PM2.5 eq_Belt filter press; wastewater treatment unit; at updated plant - US_Without Amendment_Windrow</v>
      </c>
    </row>
    <row r="4711" spans="1:13" s="120" customFormat="1" x14ac:dyDescent="0.25">
      <c r="A4711" s="119"/>
      <c r="B4711" s="138" t="str">
        <f t="shared" si="294"/>
        <v>Windrow</v>
      </c>
      <c r="C4711" s="138" t="str">
        <f t="shared" si="293"/>
        <v>Without Amendment</v>
      </c>
      <c r="D4711" s="138" t="str">
        <f t="shared" si="297"/>
        <v>Base_High</v>
      </c>
      <c r="E4711" s="138" t="str">
        <f t="shared" si="292"/>
        <v>Base</v>
      </c>
      <c r="F4711" s="138" t="str">
        <f t="shared" si="295"/>
        <v>Upgraded</v>
      </c>
      <c r="G4711" s="153"/>
      <c r="H4711" s="210">
        <v>1.3906000000000001</v>
      </c>
      <c r="I4711" s="160" t="s">
        <v>57</v>
      </c>
      <c r="J4711" s="211">
        <v>9.5153800000000004E-5</v>
      </c>
      <c r="K4711" s="160" t="s">
        <v>145</v>
      </c>
      <c r="L4711" s="154" t="str">
        <f>IF(OpenLCAbasic!K4711="CTUh", "Fill in Manually",IF(OR(K4711="Unit", K4711=""), "", INDEX(LookUps!$E$5:$E$12, MATCH(OpenLCAbasic!K4711,LookUps!$D$5:$D$12,0))))</f>
        <v>Particulate Matter Formation Potential (PMFP) - kg PM2.5 eq</v>
      </c>
      <c r="M4711" s="154" t="str">
        <f t="shared" si="296"/>
        <v>Base_Base_High_Upgraded_Particulate Matter Formation Potential (PMFP) - kg PM2.5 eq_Gravity Belt Thickener; wastewater treatment unit; at updated plant - US_Without Amendment_Windrow</v>
      </c>
    </row>
    <row r="4712" spans="1:13" s="120" customFormat="1" x14ac:dyDescent="0.25">
      <c r="A4712" s="119"/>
      <c r="B4712" s="138" t="str">
        <f t="shared" si="294"/>
        <v>Windrow</v>
      </c>
      <c r="C4712" s="138" t="str">
        <f t="shared" si="293"/>
        <v>Without Amendment</v>
      </c>
      <c r="D4712" s="138" t="str">
        <f t="shared" si="297"/>
        <v>Base_High</v>
      </c>
      <c r="E4712" s="138" t="str">
        <f t="shared" si="292"/>
        <v>Base</v>
      </c>
      <c r="F4712" s="138" t="str">
        <f t="shared" si="295"/>
        <v>Upgraded</v>
      </c>
      <c r="G4712" s="153"/>
      <c r="H4712" s="210">
        <v>1.0222</v>
      </c>
      <c r="I4712" s="160" t="s">
        <v>59</v>
      </c>
      <c r="J4712" s="211">
        <v>6.9942200000000003E-5</v>
      </c>
      <c r="K4712" s="160" t="s">
        <v>145</v>
      </c>
      <c r="L4712" s="154" t="str">
        <f>IF(OpenLCAbasic!K4712="CTUh", "Fill in Manually",IF(OR(K4712="Unit", K4712=""), "", INDEX(LookUps!$E$5:$E$12, MATCH(OpenLCAbasic!K4712,LookUps!$D$5:$D$12,0))))</f>
        <v>Particulate Matter Formation Potential (PMFP) - kg PM2.5 eq</v>
      </c>
      <c r="M4712" s="154" t="str">
        <f t="shared" si="296"/>
        <v>Base_Base_High_Upgraded_Particulate Matter Formation Potential (PMFP) - kg PM2.5 eq_Blend Tank; wastewater treatment unit; at updated plant - US_Without Amendment_Windrow</v>
      </c>
    </row>
    <row r="4713" spans="1:13" s="120" customFormat="1" x14ac:dyDescent="0.25">
      <c r="A4713" s="119"/>
      <c r="B4713" s="138" t="str">
        <f t="shared" si="294"/>
        <v>Windrow</v>
      </c>
      <c r="C4713" s="138" t="str">
        <f t="shared" si="293"/>
        <v>Without Amendment</v>
      </c>
      <c r="D4713" s="138" t="str">
        <f t="shared" si="297"/>
        <v>Base_High</v>
      </c>
      <c r="E4713" s="138" t="str">
        <f t="shared" si="292"/>
        <v>Base</v>
      </c>
      <c r="F4713" s="138" t="str">
        <f t="shared" si="295"/>
        <v>Upgraded</v>
      </c>
      <c r="G4713" s="153"/>
      <c r="H4713" s="210">
        <v>0.73040000000000005</v>
      </c>
      <c r="I4713" s="160" t="s">
        <v>48</v>
      </c>
      <c r="J4713" s="211">
        <v>4.99741E-5</v>
      </c>
      <c r="K4713" s="160" t="s">
        <v>145</v>
      </c>
      <c r="L4713" s="154" t="str">
        <f>IF(OpenLCAbasic!K4713="CTUh", "Fill in Manually",IF(OR(K4713="Unit", K4713=""), "", INDEX(LookUps!$E$5:$E$12, MATCH(OpenLCAbasic!K4713,LookUps!$D$5:$D$12,0))))</f>
        <v>Particulate Matter Formation Potential (PMFP) - kg PM2.5 eq</v>
      </c>
      <c r="M4713" s="154" t="str">
        <f t="shared" si="296"/>
        <v>Base_Base_High_Upgraded_Particulate Matter Formation Potential (PMFP) - kg PM2.5 eq_Effluent release; wastewater treatment unit; at surface water; m3 wastewater - US_Without Amendment_Windrow</v>
      </c>
    </row>
    <row r="4714" spans="1:13" s="120" customFormat="1" x14ac:dyDescent="0.25">
      <c r="A4714" s="119"/>
      <c r="B4714" s="138" t="str">
        <f t="shared" si="294"/>
        <v>Windrow</v>
      </c>
      <c r="C4714" s="138" t="str">
        <f t="shared" si="293"/>
        <v>Without Amendment</v>
      </c>
      <c r="D4714" s="138" t="str">
        <f t="shared" si="297"/>
        <v>Base_High</v>
      </c>
      <c r="E4714" s="138" t="str">
        <f t="shared" si="292"/>
        <v>Base</v>
      </c>
      <c r="F4714" s="138" t="str">
        <f t="shared" si="295"/>
        <v>Upgraded</v>
      </c>
      <c r="G4714" s="153"/>
      <c r="H4714" s="210">
        <v>0.50509999999999999</v>
      </c>
      <c r="I4714" s="160" t="s">
        <v>168</v>
      </c>
      <c r="J4714" s="211">
        <v>3.4562199999999999E-5</v>
      </c>
      <c r="K4714" s="160" t="s">
        <v>145</v>
      </c>
      <c r="L4714" s="154" t="str">
        <f>IF(OpenLCAbasic!K4714="CTUh", "Fill in Manually",IF(OR(K4714="Unit", K4714=""), "", INDEX(LookUps!$E$5:$E$12, MATCH(OpenLCAbasic!K4714,LookUps!$D$5:$D$12,0))))</f>
        <v>Particulate Matter Formation Potential (PMFP) - kg PM2.5 eq</v>
      </c>
      <c r="M4714" s="154" t="str">
        <f t="shared" si="296"/>
        <v>Base_Base_High_Upgraded_Particulate Matter Formation Potential (PMFP) - kg PM2.5 eq_ClearCove SCP; wastewater treatment unit; at updated plant - US_Without Amendment_Windrow</v>
      </c>
    </row>
    <row r="4715" spans="1:13" s="120" customFormat="1" x14ac:dyDescent="0.25">
      <c r="A4715" s="119"/>
      <c r="B4715" s="138" t="str">
        <f t="shared" si="294"/>
        <v>Windrow</v>
      </c>
      <c r="C4715" s="138" t="str">
        <f t="shared" si="293"/>
        <v>Without Amendment</v>
      </c>
      <c r="D4715" s="138" t="str">
        <f t="shared" si="297"/>
        <v>Base_High</v>
      </c>
      <c r="E4715" s="138" t="str">
        <f t="shared" si="292"/>
        <v>Base</v>
      </c>
      <c r="F4715" s="138" t="str">
        <f t="shared" si="295"/>
        <v>Upgraded</v>
      </c>
      <c r="G4715" s="153"/>
      <c r="H4715" s="210">
        <v>0.4138</v>
      </c>
      <c r="I4715" s="160" t="s">
        <v>62</v>
      </c>
      <c r="J4715" s="211">
        <v>2.8314500000000001E-5</v>
      </c>
      <c r="K4715" s="160" t="s">
        <v>145</v>
      </c>
      <c r="L4715" s="154" t="str">
        <f>IF(OpenLCAbasic!K4715="CTUh", "Fill in Manually",IF(OR(K4715="Unit", K4715=""), "", INDEX(LookUps!$E$5:$E$12, MATCH(OpenLCAbasic!K4715,LookUps!$D$5:$D$12,0))))</f>
        <v>Particulate Matter Formation Potential (PMFP) - kg PM2.5 eq</v>
      </c>
      <c r="M4715" s="154" t="str">
        <f t="shared" si="296"/>
        <v>Base_Base_High_Upgraded_Particulate Matter Formation Potential (PMFP) - kg PM2.5 eq_Land application of compost; wastewater treatment unit; at updated plant - US_Without Amendment_Windrow</v>
      </c>
    </row>
    <row r="4716" spans="1:13" s="120" customFormat="1" x14ac:dyDescent="0.25">
      <c r="A4716" s="119"/>
      <c r="B4716" s="138" t="str">
        <f t="shared" si="294"/>
        <v>Windrow</v>
      </c>
      <c r="C4716" s="138" t="str">
        <f t="shared" si="293"/>
        <v>Without Amendment</v>
      </c>
      <c r="D4716" s="138" t="str">
        <f t="shared" si="297"/>
        <v>Base_High</v>
      </c>
      <c r="E4716" s="138" t="str">
        <f t="shared" si="292"/>
        <v>Base</v>
      </c>
      <c r="F4716" s="138" t="str">
        <f t="shared" si="295"/>
        <v>Upgraded</v>
      </c>
      <c r="G4716" s="153"/>
      <c r="H4716" s="210">
        <v>0.12889999999999999</v>
      </c>
      <c r="I4716" s="160" t="s">
        <v>148</v>
      </c>
      <c r="J4716" s="211">
        <v>8.8212999999999997E-6</v>
      </c>
      <c r="K4716" s="160" t="s">
        <v>145</v>
      </c>
      <c r="L4716" s="154" t="str">
        <f>IF(OpenLCAbasic!K4716="CTUh", "Fill in Manually",IF(OR(K4716="Unit", K4716=""), "", INDEX(LookUps!$E$5:$E$12, MATCH(OpenLCAbasic!K4716,LookUps!$D$5:$D$12,0))))</f>
        <v>Particulate Matter Formation Potential (PMFP) - kg PM2.5 eq</v>
      </c>
      <c r="M4716" s="154" t="str">
        <f t="shared" si="296"/>
        <v>Base_Base_High_Upgraded_Particulate Matter Formation Potential (PMFP) - kg PM2.5 eq_Control Building; at upgraded wastewater treatment plant - US_Without Amendment_Windrow</v>
      </c>
    </row>
    <row r="4717" spans="1:13" s="120" customFormat="1" x14ac:dyDescent="0.25">
      <c r="A4717" s="119"/>
      <c r="B4717" s="138" t="str">
        <f t="shared" si="294"/>
        <v>Windrow</v>
      </c>
      <c r="C4717" s="138" t="str">
        <f t="shared" si="293"/>
        <v>Without Amendment</v>
      </c>
      <c r="D4717" s="138" t="str">
        <f t="shared" si="297"/>
        <v>Base_High</v>
      </c>
      <c r="E4717" s="138" t="str">
        <f t="shared" si="292"/>
        <v>Base</v>
      </c>
      <c r="F4717" s="138" t="str">
        <f t="shared" si="295"/>
        <v>Upgraded</v>
      </c>
      <c r="G4717" s="153"/>
      <c r="H4717" s="210">
        <v>-76.612300000000005</v>
      </c>
      <c r="I4717" s="160" t="s">
        <v>149</v>
      </c>
      <c r="J4717" s="160">
        <v>-5.2399999999999999E-3</v>
      </c>
      <c r="K4717" s="160" t="s">
        <v>145</v>
      </c>
      <c r="L4717" s="154" t="str">
        <f>IF(OpenLCAbasic!K4717="CTUh", "Fill in Manually",IF(OR(K4717="Unit", K4717=""), "", INDEX(LookUps!$E$5:$E$12, MATCH(OpenLCAbasic!K4717,LookUps!$D$5:$D$12,0))))</f>
        <v>Particulate Matter Formation Potential (PMFP) - kg PM2.5 eq</v>
      </c>
      <c r="M4717" s="154" t="str">
        <f t="shared" si="296"/>
        <v>Base_Base_High_Upgraded_Particulate Matter Formation Potential (PMFP) - kg PM2.5 eq_Anaerobic Digestion; wastewater treatment unit; at updated plant - US_Without Amendment_Windrow</v>
      </c>
    </row>
    <row r="4718" spans="1:13" s="120" customFormat="1" x14ac:dyDescent="0.25">
      <c r="A4718" s="119"/>
      <c r="B4718" s="138" t="str">
        <f t="shared" si="294"/>
        <v/>
      </c>
      <c r="C4718" s="138" t="str">
        <f t="shared" si="293"/>
        <v/>
      </c>
      <c r="D4718" s="138" t="str">
        <f t="shared" si="297"/>
        <v/>
      </c>
      <c r="E4718" s="138" t="str">
        <f t="shared" si="292"/>
        <v/>
      </c>
      <c r="F4718" s="138" t="str">
        <f t="shared" si="295"/>
        <v/>
      </c>
      <c r="G4718" s="153" t="s">
        <v>51</v>
      </c>
      <c r="H4718" s="160"/>
      <c r="I4718" s="160" t="s">
        <v>47</v>
      </c>
      <c r="J4718" s="160" t="s">
        <v>52</v>
      </c>
      <c r="K4718" s="160" t="s">
        <v>27</v>
      </c>
      <c r="L4718" s="154" t="str">
        <f>IF(OpenLCAbasic!K4718="CTUh", "Fill in Manually",IF(OR(K4718="Unit", K4718=""), "", INDEX(LookUps!$E$5:$E$12, MATCH(OpenLCAbasic!K4718,LookUps!$D$5:$D$12,0))))</f>
        <v/>
      </c>
      <c r="M4718" s="154" t="str">
        <f t="shared" si="296"/>
        <v>____Process__</v>
      </c>
    </row>
    <row r="4719" spans="1:13" s="120" customFormat="1" x14ac:dyDescent="0.25">
      <c r="A4719" s="119"/>
      <c r="B4719" s="138" t="str">
        <f t="shared" si="294"/>
        <v>Windrow</v>
      </c>
      <c r="C4719" s="138" t="str">
        <f t="shared" si="293"/>
        <v>Without Amendment</v>
      </c>
      <c r="D4719" s="138" t="str">
        <f t="shared" si="297"/>
        <v>Base_High</v>
      </c>
      <c r="E4719" s="138" t="str">
        <f t="shared" si="292"/>
        <v>Base</v>
      </c>
      <c r="F4719" s="138" t="str">
        <f t="shared" si="295"/>
        <v>Upgraded</v>
      </c>
      <c r="G4719" s="153"/>
      <c r="H4719" s="210">
        <v>89.479900000000001</v>
      </c>
      <c r="I4719" s="160" t="s">
        <v>55</v>
      </c>
      <c r="J4719" s="160">
        <v>0.16577</v>
      </c>
      <c r="K4719" s="160" t="s">
        <v>25</v>
      </c>
      <c r="L4719" s="154" t="str">
        <f>IF(OpenLCAbasic!K4719="CTUh", "Fill in Manually",IF(OR(K4719="Unit", K4719=""), "", INDEX(LookUps!$E$5:$E$12, MATCH(OpenLCAbasic!K4719,LookUps!$D$5:$D$12,0))))</f>
        <v>Smog Formation Potential (SFP) - kg O3 eq</v>
      </c>
      <c r="M4719" s="154" t="str">
        <f t="shared" si="296"/>
        <v>Base_Base_High_Upgraded_Smog Formation Potential (SFP) - kg O3 eq_Aeration Tanks; wastewater treatment unit; at updated plant - US_Without Amendment_Windrow</v>
      </c>
    </row>
    <row r="4720" spans="1:13" s="120" customFormat="1" x14ac:dyDescent="0.25">
      <c r="A4720" s="119"/>
      <c r="B4720" s="138" t="str">
        <f t="shared" si="294"/>
        <v>Windrow</v>
      </c>
      <c r="C4720" s="138" t="str">
        <f t="shared" si="293"/>
        <v>Without Amendment</v>
      </c>
      <c r="D4720" s="138" t="str">
        <f t="shared" si="297"/>
        <v>Base_High</v>
      </c>
      <c r="E4720" s="138" t="str">
        <f t="shared" si="292"/>
        <v>Base</v>
      </c>
      <c r="F4720" s="138" t="str">
        <f t="shared" si="295"/>
        <v>Upgraded</v>
      </c>
      <c r="G4720" s="153"/>
      <c r="H4720" s="210">
        <v>25.949000000000002</v>
      </c>
      <c r="I4720" s="160" t="s">
        <v>54</v>
      </c>
      <c r="J4720" s="160">
        <v>4.8070000000000002E-2</v>
      </c>
      <c r="K4720" s="160" t="s">
        <v>25</v>
      </c>
      <c r="L4720" s="154" t="str">
        <f>IF(OpenLCAbasic!K4720="CTUh", "Fill in Manually",IF(OR(K4720="Unit", K4720=""), "", INDEX(LookUps!$E$5:$E$12, MATCH(OpenLCAbasic!K4720,LookUps!$D$5:$D$12,0))))</f>
        <v>Smog Formation Potential (SFP) - kg O3 eq</v>
      </c>
      <c r="M4720" s="154" t="str">
        <f t="shared" si="296"/>
        <v>Base_Base_High_Upgraded_Smog Formation Potential (SFP) - kg O3 eq_Clear Cove Primary Clarification; wastewater treatment unit; at updated plant - US_Without Amendment_Windrow</v>
      </c>
    </row>
    <row r="4721" spans="1:13" s="120" customFormat="1" x14ac:dyDescent="0.25">
      <c r="A4721" s="119"/>
      <c r="B4721" s="138" t="str">
        <f t="shared" si="294"/>
        <v>Windrow</v>
      </c>
      <c r="C4721" s="138" t="str">
        <f t="shared" si="293"/>
        <v>Without Amendment</v>
      </c>
      <c r="D4721" s="138" t="str">
        <f t="shared" si="297"/>
        <v>Base_High</v>
      </c>
      <c r="E4721" s="138" t="str">
        <f t="shared" ref="E4721:E4784" si="298">IF(ISNUMBER($J4721),"Base","")</f>
        <v>Base</v>
      </c>
      <c r="F4721" s="138" t="str">
        <f t="shared" si="295"/>
        <v>Upgraded</v>
      </c>
      <c r="G4721" s="153"/>
      <c r="H4721" s="210">
        <v>22.5517</v>
      </c>
      <c r="I4721" s="160" t="s">
        <v>58</v>
      </c>
      <c r="J4721" s="160">
        <v>4.1779999999999998E-2</v>
      </c>
      <c r="K4721" s="160" t="s">
        <v>25</v>
      </c>
      <c r="L4721" s="154" t="str">
        <f>IF(OpenLCAbasic!K4721="CTUh", "Fill in Manually",IF(OR(K4721="Unit", K4721=""), "", INDEX(LookUps!$E$5:$E$12, MATCH(OpenLCAbasic!K4721,LookUps!$D$5:$D$12,0))))</f>
        <v>Smog Formation Potential (SFP) - kg O3 eq</v>
      </c>
      <c r="M4721" s="154" t="str">
        <f t="shared" si="296"/>
        <v>Base_Base_High_Upgraded_Smog Formation Potential (SFP) - kg O3 eq_Pre-Anoxic &amp; Swing tank; wastewater treatment unit; at updated plant - US_Without Amendment_Windrow</v>
      </c>
    </row>
    <row r="4722" spans="1:13" s="120" customFormat="1" x14ac:dyDescent="0.25">
      <c r="A4722" s="119"/>
      <c r="B4722" s="138" t="str">
        <f t="shared" si="294"/>
        <v>Windrow</v>
      </c>
      <c r="C4722" s="138" t="str">
        <f t="shared" si="293"/>
        <v>Without Amendment</v>
      </c>
      <c r="D4722" s="138" t="str">
        <f t="shared" si="297"/>
        <v>Base_High</v>
      </c>
      <c r="E4722" s="138" t="str">
        <f t="shared" si="298"/>
        <v>Base</v>
      </c>
      <c r="F4722" s="138" t="str">
        <f t="shared" si="295"/>
        <v>Upgraded</v>
      </c>
      <c r="G4722" s="153"/>
      <c r="H4722" s="210">
        <v>17.880400000000002</v>
      </c>
      <c r="I4722" s="160" t="s">
        <v>53</v>
      </c>
      <c r="J4722" s="160">
        <v>3.313E-2</v>
      </c>
      <c r="K4722" s="160" t="s">
        <v>25</v>
      </c>
      <c r="L4722" s="154" t="str">
        <f>IF(OpenLCAbasic!K4722="CTUh", "Fill in Manually",IF(OR(K4722="Unit", K4722=""), "", INDEX(LookUps!$E$5:$E$12, MATCH(OpenLCAbasic!K4722,LookUps!$D$5:$D$12,0))))</f>
        <v>Smog Formation Potential (SFP) - kg O3 eq</v>
      </c>
      <c r="M4722" s="154" t="str">
        <f t="shared" si="296"/>
        <v>Base_Base_High_Upgraded_Smog Formation Potential (SFP) - kg O3 eq_Wet Well and Sump Station; wastewater treatment unit; at updated plant - US_Without Amendment_Windrow</v>
      </c>
    </row>
    <row r="4723" spans="1:13" s="120" customFormat="1" x14ac:dyDescent="0.25">
      <c r="A4723" s="119"/>
      <c r="B4723" s="138" t="str">
        <f t="shared" si="294"/>
        <v>Windrow</v>
      </c>
      <c r="C4723" s="138" t="str">
        <f t="shared" si="293"/>
        <v>Without Amendment</v>
      </c>
      <c r="D4723" s="138" t="str">
        <f t="shared" si="297"/>
        <v>Base_High</v>
      </c>
      <c r="E4723" s="138" t="str">
        <f t="shared" si="298"/>
        <v>Base</v>
      </c>
      <c r="F4723" s="138" t="str">
        <f t="shared" si="295"/>
        <v>Upgraded</v>
      </c>
      <c r="G4723" s="153"/>
      <c r="H4723" s="210">
        <v>15.084300000000001</v>
      </c>
      <c r="I4723" s="160" t="s">
        <v>167</v>
      </c>
      <c r="J4723" s="160">
        <v>2.7949999999999999E-2</v>
      </c>
      <c r="K4723" s="160" t="s">
        <v>25</v>
      </c>
      <c r="L4723" s="154" t="str">
        <f>IF(OpenLCAbasic!K4723="CTUh", "Fill in Manually",IF(OR(K4723="Unit", K4723=""), "", INDEX(LookUps!$E$5:$E$12, MATCH(OpenLCAbasic!K4723,LookUps!$D$5:$D$12,0))))</f>
        <v>Smog Formation Potential (SFP) - kg O3 eq</v>
      </c>
      <c r="M4723" s="154" t="str">
        <f t="shared" si="296"/>
        <v>Base_Base_High_Upgraded_Smog Formation Potential (SFP) - kg O3 eq_Waste Receiving and Holding; wastewater treatment unit; at updated plant - US_Without Amendment_Windrow</v>
      </c>
    </row>
    <row r="4724" spans="1:13" s="120" customFormat="1" x14ac:dyDescent="0.25">
      <c r="A4724" s="119"/>
      <c r="B4724" s="138" t="str">
        <f t="shared" si="294"/>
        <v>Windrow</v>
      </c>
      <c r="C4724" s="138" t="str">
        <f t="shared" si="293"/>
        <v>Without Amendment</v>
      </c>
      <c r="D4724" s="138" t="str">
        <f t="shared" si="297"/>
        <v>Base_High</v>
      </c>
      <c r="E4724" s="138" t="str">
        <f t="shared" si="298"/>
        <v>Base</v>
      </c>
      <c r="F4724" s="138" t="str">
        <f t="shared" si="295"/>
        <v>Upgraded</v>
      </c>
      <c r="G4724" s="153"/>
      <c r="H4724" s="210">
        <v>10.471</v>
      </c>
      <c r="I4724" s="160" t="s">
        <v>147</v>
      </c>
      <c r="J4724" s="160">
        <v>1.9400000000000001E-2</v>
      </c>
      <c r="K4724" s="160" t="s">
        <v>25</v>
      </c>
      <c r="L4724" s="154" t="str">
        <f>IF(OpenLCAbasic!K4724="CTUh", "Fill in Manually",IF(OR(K4724="Unit", K4724=""), "", INDEX(LookUps!$E$5:$E$12, MATCH(OpenLCAbasic!K4724,LookUps!$D$5:$D$12,0))))</f>
        <v>Smog Formation Potential (SFP) - kg O3 eq</v>
      </c>
      <c r="M4724" s="154" t="str">
        <f t="shared" si="296"/>
        <v>Base_Base_High_Upgraded_Smog Formation Potential (SFP) - kg O3 eq_Influent Pump Station; wastewater treatment unit; at updated plant - US_Without Amendment_Windrow</v>
      </c>
    </row>
    <row r="4725" spans="1:13" s="120" customFormat="1" x14ac:dyDescent="0.25">
      <c r="A4725" s="119"/>
      <c r="B4725" s="138" t="str">
        <f t="shared" si="294"/>
        <v>Windrow</v>
      </c>
      <c r="C4725" s="138" t="str">
        <f t="shared" si="293"/>
        <v>Without Amendment</v>
      </c>
      <c r="D4725" s="138" t="str">
        <f t="shared" si="297"/>
        <v>Base_High</v>
      </c>
      <c r="E4725" s="138" t="str">
        <f t="shared" si="298"/>
        <v>Base</v>
      </c>
      <c r="F4725" s="138" t="str">
        <f t="shared" si="295"/>
        <v>Upgraded</v>
      </c>
      <c r="G4725" s="153"/>
      <c r="H4725" s="210">
        <v>6.4332000000000003</v>
      </c>
      <c r="I4725" s="160" t="s">
        <v>128</v>
      </c>
      <c r="J4725" s="160">
        <v>1.192E-2</v>
      </c>
      <c r="K4725" s="160" t="s">
        <v>25</v>
      </c>
      <c r="L4725" s="154" t="str">
        <f>IF(OpenLCAbasic!K4725="CTUh", "Fill in Manually",IF(OR(K4725="Unit", K4725=""), "", INDEX(LookUps!$E$5:$E$12, MATCH(OpenLCAbasic!K4725,LookUps!$D$5:$D$12,0))))</f>
        <v>Smog Formation Potential (SFP) - kg O3 eq</v>
      </c>
      <c r="M4725" s="154" t="str">
        <f t="shared" si="296"/>
        <v>Base_Base_High_Upgraded_Smog Formation Potential (SFP) - kg O3 eq_Wastewater collection; operation and infrastructure; m3 wastewater_Without Amendment_Windrow</v>
      </c>
    </row>
    <row r="4726" spans="1:13" s="120" customFormat="1" x14ac:dyDescent="0.25">
      <c r="A4726" s="119"/>
      <c r="B4726" s="138" t="str">
        <f t="shared" si="294"/>
        <v>Windrow</v>
      </c>
      <c r="C4726" s="138" t="str">
        <f t="shared" si="293"/>
        <v>Without Amendment</v>
      </c>
      <c r="D4726" s="138" t="str">
        <f t="shared" si="297"/>
        <v>Base_High</v>
      </c>
      <c r="E4726" s="138" t="str">
        <f t="shared" si="298"/>
        <v>Base</v>
      </c>
      <c r="F4726" s="138" t="str">
        <f t="shared" si="295"/>
        <v>Upgraded</v>
      </c>
      <c r="G4726" s="153"/>
      <c r="H4726" s="210">
        <v>3.8197000000000001</v>
      </c>
      <c r="I4726" s="160" t="s">
        <v>60</v>
      </c>
      <c r="J4726" s="160">
        <v>7.0800000000000004E-3</v>
      </c>
      <c r="K4726" s="160" t="s">
        <v>25</v>
      </c>
      <c r="L4726" s="154" t="str">
        <f>IF(OpenLCAbasic!K4726="CTUh", "Fill in Manually",IF(OR(K4726="Unit", K4726=""), "", INDEX(LookUps!$E$5:$E$12, MATCH(OpenLCAbasic!K4726,LookUps!$D$5:$D$12,0))))</f>
        <v>Smog Formation Potential (SFP) - kg O3 eq</v>
      </c>
      <c r="M4726" s="154" t="str">
        <f t="shared" si="296"/>
        <v>Base_Base_High_Upgraded_Smog Formation Potential (SFP) - kg O3 eq_Belt filter press; wastewater treatment unit; at updated plant - US_Without Amendment_Windrow</v>
      </c>
    </row>
    <row r="4727" spans="1:13" s="120" customFormat="1" x14ac:dyDescent="0.25">
      <c r="A4727" s="119"/>
      <c r="B4727" s="138" t="str">
        <f t="shared" si="294"/>
        <v>Windrow</v>
      </c>
      <c r="C4727" s="138" t="str">
        <f t="shared" si="293"/>
        <v>Without Amendment</v>
      </c>
      <c r="D4727" s="138" t="str">
        <f t="shared" si="297"/>
        <v>Base_High</v>
      </c>
      <c r="E4727" s="138" t="str">
        <f t="shared" si="298"/>
        <v>Base</v>
      </c>
      <c r="F4727" s="138" t="str">
        <f t="shared" si="295"/>
        <v>Upgraded</v>
      </c>
      <c r="G4727" s="153"/>
      <c r="H4727" s="210">
        <v>3.5912000000000002</v>
      </c>
      <c r="I4727" s="160" t="s">
        <v>57</v>
      </c>
      <c r="J4727" s="160">
        <v>6.6499999999999997E-3</v>
      </c>
      <c r="K4727" s="160" t="s">
        <v>25</v>
      </c>
      <c r="L4727" s="154" t="str">
        <f>IF(OpenLCAbasic!K4727="CTUh", "Fill in Manually",IF(OR(K4727="Unit", K4727=""), "", INDEX(LookUps!$E$5:$E$12, MATCH(OpenLCAbasic!K4727,LookUps!$D$5:$D$12,0))))</f>
        <v>Smog Formation Potential (SFP) - kg O3 eq</v>
      </c>
      <c r="M4727" s="154" t="str">
        <f t="shared" si="296"/>
        <v>Base_Base_High_Upgraded_Smog Formation Potential (SFP) - kg O3 eq_Gravity Belt Thickener; wastewater treatment unit; at updated plant - US_Without Amendment_Windrow</v>
      </c>
    </row>
    <row r="4728" spans="1:13" s="120" customFormat="1" x14ac:dyDescent="0.25">
      <c r="A4728" s="119"/>
      <c r="B4728" s="138" t="str">
        <f t="shared" si="294"/>
        <v>Windrow</v>
      </c>
      <c r="C4728" s="138" t="str">
        <f t="shared" si="293"/>
        <v>Without Amendment</v>
      </c>
      <c r="D4728" s="138" t="str">
        <f t="shared" si="297"/>
        <v>Base_High</v>
      </c>
      <c r="E4728" s="138" t="str">
        <f t="shared" si="298"/>
        <v>Base</v>
      </c>
      <c r="F4728" s="138" t="str">
        <f t="shared" si="295"/>
        <v>Upgraded</v>
      </c>
      <c r="G4728" s="153"/>
      <c r="H4728" s="210">
        <v>2.6844000000000001</v>
      </c>
      <c r="I4728" s="160" t="s">
        <v>59</v>
      </c>
      <c r="J4728" s="160">
        <v>4.9699999999999996E-3</v>
      </c>
      <c r="K4728" s="160" t="s">
        <v>25</v>
      </c>
      <c r="L4728" s="154" t="str">
        <f>IF(OpenLCAbasic!K4728="CTUh", "Fill in Manually",IF(OR(K4728="Unit", K4728=""), "", INDEX(LookUps!$E$5:$E$12, MATCH(OpenLCAbasic!K4728,LookUps!$D$5:$D$12,0))))</f>
        <v>Smog Formation Potential (SFP) - kg O3 eq</v>
      </c>
      <c r="M4728" s="154" t="str">
        <f t="shared" si="296"/>
        <v>Base_Base_High_Upgraded_Smog Formation Potential (SFP) - kg O3 eq_Blend Tank; wastewater treatment unit; at updated plant - US_Without Amendment_Windrow</v>
      </c>
    </row>
    <row r="4729" spans="1:13" s="120" customFormat="1" x14ac:dyDescent="0.25">
      <c r="A4729" s="119"/>
      <c r="B4729" s="138" t="str">
        <f t="shared" si="294"/>
        <v>Windrow</v>
      </c>
      <c r="C4729" s="138" t="str">
        <f t="shared" si="293"/>
        <v>Without Amendment</v>
      </c>
      <c r="D4729" s="138" t="str">
        <f t="shared" si="297"/>
        <v>Base_High</v>
      </c>
      <c r="E4729" s="138" t="str">
        <f t="shared" si="298"/>
        <v>Base</v>
      </c>
      <c r="F4729" s="138" t="str">
        <f t="shared" si="295"/>
        <v>Upgraded</v>
      </c>
      <c r="G4729" s="153"/>
      <c r="H4729" s="210">
        <v>1.8272999999999999</v>
      </c>
      <c r="I4729" s="160" t="s">
        <v>48</v>
      </c>
      <c r="J4729" s="160">
        <v>3.3899999999999998E-3</v>
      </c>
      <c r="K4729" s="160" t="s">
        <v>25</v>
      </c>
      <c r="L4729" s="154" t="str">
        <f>IF(OpenLCAbasic!K4729="CTUh", "Fill in Manually",IF(OR(K4729="Unit", K4729=""), "", INDEX(LookUps!$E$5:$E$12, MATCH(OpenLCAbasic!K4729,LookUps!$D$5:$D$12,0))))</f>
        <v>Smog Formation Potential (SFP) - kg O3 eq</v>
      </c>
      <c r="M4729" s="154" t="str">
        <f t="shared" si="296"/>
        <v>Base_Base_High_Upgraded_Smog Formation Potential (SFP) - kg O3 eq_Effluent release; wastewater treatment unit; at surface water; m3 wastewater - US_Without Amendment_Windrow</v>
      </c>
    </row>
    <row r="4730" spans="1:13" s="120" customFormat="1" x14ac:dyDescent="0.25">
      <c r="A4730" s="119"/>
      <c r="B4730" s="138" t="str">
        <f t="shared" si="294"/>
        <v>Windrow</v>
      </c>
      <c r="C4730" s="138" t="str">
        <f t="shared" si="293"/>
        <v>Without Amendment</v>
      </c>
      <c r="D4730" s="138" t="str">
        <f t="shared" si="297"/>
        <v>Base_High</v>
      </c>
      <c r="E4730" s="138" t="str">
        <f t="shared" si="298"/>
        <v>Base</v>
      </c>
      <c r="F4730" s="138" t="str">
        <f t="shared" si="295"/>
        <v>Upgraded</v>
      </c>
      <c r="G4730" s="153"/>
      <c r="H4730" s="210">
        <v>1.3252999999999999</v>
      </c>
      <c r="I4730" s="160" t="s">
        <v>168</v>
      </c>
      <c r="J4730" s="160">
        <v>2.4599999999999999E-3</v>
      </c>
      <c r="K4730" s="160" t="s">
        <v>25</v>
      </c>
      <c r="L4730" s="154" t="str">
        <f>IF(OpenLCAbasic!K4730="CTUh", "Fill in Manually",IF(OR(K4730="Unit", K4730=""), "", INDEX(LookUps!$E$5:$E$12, MATCH(OpenLCAbasic!K4730,LookUps!$D$5:$D$12,0))))</f>
        <v>Smog Formation Potential (SFP) - kg O3 eq</v>
      </c>
      <c r="M4730" s="154" t="str">
        <f t="shared" si="296"/>
        <v>Base_Base_High_Upgraded_Smog Formation Potential (SFP) - kg O3 eq_ClearCove SCP; wastewater treatment unit; at updated plant - US_Without Amendment_Windrow</v>
      </c>
    </row>
    <row r="4731" spans="1:13" s="120" customFormat="1" x14ac:dyDescent="0.25">
      <c r="A4731" s="119"/>
      <c r="B4731" s="138" t="str">
        <f t="shared" si="294"/>
        <v>Windrow</v>
      </c>
      <c r="C4731" s="138" t="str">
        <f t="shared" si="293"/>
        <v>Without Amendment</v>
      </c>
      <c r="D4731" s="138" t="str">
        <f t="shared" si="297"/>
        <v>Base_High</v>
      </c>
      <c r="E4731" s="138" t="str">
        <f t="shared" si="298"/>
        <v>Base</v>
      </c>
      <c r="F4731" s="138" t="str">
        <f t="shared" si="295"/>
        <v>Upgraded</v>
      </c>
      <c r="G4731" s="153"/>
      <c r="H4731" s="210">
        <v>0.2908</v>
      </c>
      <c r="I4731" s="160" t="s">
        <v>148</v>
      </c>
      <c r="J4731" s="160">
        <v>5.4000000000000001E-4</v>
      </c>
      <c r="K4731" s="160" t="s">
        <v>25</v>
      </c>
      <c r="L4731" s="154" t="str">
        <f>IF(OpenLCAbasic!K4731="CTUh", "Fill in Manually",IF(OR(K4731="Unit", K4731=""), "", INDEX(LookUps!$E$5:$E$12, MATCH(OpenLCAbasic!K4731,LookUps!$D$5:$D$12,0))))</f>
        <v>Smog Formation Potential (SFP) - kg O3 eq</v>
      </c>
      <c r="M4731" s="154" t="str">
        <f t="shared" si="296"/>
        <v>Base_Base_High_Upgraded_Smog Formation Potential (SFP) - kg O3 eq_Control Building; at upgraded wastewater treatment plant - US_Without Amendment_Windrow</v>
      </c>
    </row>
    <row r="4732" spans="1:13" s="120" customFormat="1" x14ac:dyDescent="0.25">
      <c r="A4732" s="119"/>
      <c r="B4732" s="138" t="str">
        <f t="shared" si="294"/>
        <v>Windrow</v>
      </c>
      <c r="C4732" s="138" t="str">
        <f t="shared" si="293"/>
        <v>Without Amendment</v>
      </c>
      <c r="D4732" s="138" t="str">
        <f t="shared" si="297"/>
        <v>Base_High</v>
      </c>
      <c r="E4732" s="138" t="str">
        <f t="shared" si="298"/>
        <v>Base</v>
      </c>
      <c r="F4732" s="138" t="str">
        <f t="shared" si="295"/>
        <v>Upgraded</v>
      </c>
      <c r="G4732" s="153"/>
      <c r="H4732" s="210">
        <v>0.21829999999999999</v>
      </c>
      <c r="I4732" s="160" t="s">
        <v>271</v>
      </c>
      <c r="J4732" s="160">
        <v>4.0000000000000002E-4</v>
      </c>
      <c r="K4732" s="160" t="s">
        <v>25</v>
      </c>
      <c r="L4732" s="154" t="str">
        <f>IF(OpenLCAbasic!K4732="CTUh", "Fill in Manually",IF(OR(K4732="Unit", K4732=""), "", INDEX(LookUps!$E$5:$E$12, MATCH(OpenLCAbasic!K4732,LookUps!$D$5:$D$12,0))))</f>
        <v>Smog Formation Potential (SFP) - kg O3 eq</v>
      </c>
      <c r="M4732" s="154" t="str">
        <f t="shared" si="296"/>
        <v>Base_Base_High_Upgraded_Smog Formation Potential (SFP) - kg O3 eq_Biosolids composting; windrow composting; wastewater treatment unit; at updated plant - US_Without Amendment_Windrow</v>
      </c>
    </row>
    <row r="4733" spans="1:13" s="120" customFormat="1" x14ac:dyDescent="0.25">
      <c r="A4733" s="119"/>
      <c r="B4733" s="138" t="str">
        <f t="shared" si="294"/>
        <v>Windrow</v>
      </c>
      <c r="C4733" s="138" t="str">
        <f t="shared" si="293"/>
        <v>Without Amendment</v>
      </c>
      <c r="D4733" s="138" t="str">
        <f t="shared" si="297"/>
        <v>Base_High</v>
      </c>
      <c r="E4733" s="138" t="str">
        <f t="shared" si="298"/>
        <v>Base</v>
      </c>
      <c r="F4733" s="138" t="str">
        <f t="shared" si="295"/>
        <v>Upgraded</v>
      </c>
      <c r="G4733" s="153"/>
      <c r="H4733" s="210">
        <v>-0.90469999999999995</v>
      </c>
      <c r="I4733" s="160" t="s">
        <v>62</v>
      </c>
      <c r="J4733" s="160">
        <v>-1.6800000000000001E-3</v>
      </c>
      <c r="K4733" s="160" t="s">
        <v>25</v>
      </c>
      <c r="L4733" s="154" t="str">
        <f>IF(OpenLCAbasic!K4733="CTUh", "Fill in Manually",IF(OR(K4733="Unit", K4733=""), "", INDEX(LookUps!$E$5:$E$12, MATCH(OpenLCAbasic!K4733,LookUps!$D$5:$D$12,0))))</f>
        <v>Smog Formation Potential (SFP) - kg O3 eq</v>
      </c>
      <c r="M4733" s="154" t="str">
        <f t="shared" si="296"/>
        <v>Base_Base_High_Upgraded_Smog Formation Potential (SFP) - kg O3 eq_Land application of compost; wastewater treatment unit; at updated plant - US_Without Amendment_Windrow</v>
      </c>
    </row>
    <row r="4734" spans="1:13" s="120" customFormat="1" x14ac:dyDescent="0.25">
      <c r="A4734" s="119"/>
      <c r="B4734" s="138" t="str">
        <f t="shared" si="294"/>
        <v>Windrow</v>
      </c>
      <c r="C4734" s="138" t="str">
        <f t="shared" si="293"/>
        <v>Without Amendment</v>
      </c>
      <c r="D4734" s="138" t="str">
        <f t="shared" si="297"/>
        <v>Base_High</v>
      </c>
      <c r="E4734" s="138" t="str">
        <f t="shared" si="298"/>
        <v>Base</v>
      </c>
      <c r="F4734" s="138" t="str">
        <f t="shared" si="295"/>
        <v>Upgraded</v>
      </c>
      <c r="G4734" s="153"/>
      <c r="H4734" s="210">
        <v>-201.70169999999999</v>
      </c>
      <c r="I4734" s="160" t="s">
        <v>149</v>
      </c>
      <c r="J4734" s="160">
        <v>-0.37367</v>
      </c>
      <c r="K4734" s="160" t="s">
        <v>25</v>
      </c>
      <c r="L4734" s="154" t="str">
        <f>IF(OpenLCAbasic!K4734="CTUh", "Fill in Manually",IF(OR(K4734="Unit", K4734=""), "", INDEX(LookUps!$E$5:$E$12, MATCH(OpenLCAbasic!K4734,LookUps!$D$5:$D$12,0))))</f>
        <v>Smog Formation Potential (SFP) - kg O3 eq</v>
      </c>
      <c r="M4734" s="154" t="str">
        <f t="shared" si="296"/>
        <v>Base_Base_High_Upgraded_Smog Formation Potential (SFP) - kg O3 eq_Anaerobic Digestion; wastewater treatment unit; at updated plant - US_Without Amendment_Windrow</v>
      </c>
    </row>
    <row r="4735" spans="1:13" s="120" customFormat="1" x14ac:dyDescent="0.25">
      <c r="A4735" s="119"/>
      <c r="B4735" s="138" t="str">
        <f t="shared" si="294"/>
        <v/>
      </c>
      <c r="C4735" s="138" t="str">
        <f t="shared" si="293"/>
        <v/>
      </c>
      <c r="D4735" s="138" t="str">
        <f t="shared" si="297"/>
        <v/>
      </c>
      <c r="E4735" s="138" t="str">
        <f t="shared" si="298"/>
        <v/>
      </c>
      <c r="F4735" s="138" t="str">
        <f t="shared" si="295"/>
        <v/>
      </c>
      <c r="G4735" s="153" t="s">
        <v>51</v>
      </c>
      <c r="H4735" s="160"/>
      <c r="I4735" s="160" t="s">
        <v>47</v>
      </c>
      <c r="J4735" s="160" t="s">
        <v>52</v>
      </c>
      <c r="K4735" s="160" t="s">
        <v>27</v>
      </c>
      <c r="L4735" s="154" t="str">
        <f>IF(OpenLCAbasic!K4735="CTUh", "Fill in Manually",IF(OR(K4735="Unit", K4735=""), "", INDEX(LookUps!$E$5:$E$12, MATCH(OpenLCAbasic!K4735,LookUps!$D$5:$D$12,0))))</f>
        <v/>
      </c>
      <c r="M4735" s="154" t="str">
        <f t="shared" si="296"/>
        <v>____Process__</v>
      </c>
    </row>
    <row r="4736" spans="1:13" s="120" customFormat="1" x14ac:dyDescent="0.25">
      <c r="A4736" s="119"/>
      <c r="B4736" s="138" t="str">
        <f t="shared" si="294"/>
        <v>Windrow</v>
      </c>
      <c r="C4736" s="138" t="str">
        <f t="shared" si="293"/>
        <v>Without Amendment</v>
      </c>
      <c r="D4736" s="138" t="str">
        <f t="shared" si="297"/>
        <v>Base_High</v>
      </c>
      <c r="E4736" s="138" t="str">
        <f t="shared" si="298"/>
        <v>Base</v>
      </c>
      <c r="F4736" s="138" t="str">
        <f t="shared" si="295"/>
        <v>Upgraded</v>
      </c>
      <c r="G4736" s="153"/>
      <c r="H4736" s="210">
        <v>0.70469999999999999</v>
      </c>
      <c r="I4736" s="160" t="s">
        <v>167</v>
      </c>
      <c r="J4736" s="160">
        <v>2.3000000000000001E-4</v>
      </c>
      <c r="K4736" s="160" t="s">
        <v>26</v>
      </c>
      <c r="L4736" s="154" t="str">
        <f>IF(OpenLCAbasic!K4736="CTUh", "Fill in Manually",IF(OR(K4736="Unit", K4736=""), "", INDEX(LookUps!$E$5:$E$12, MATCH(OpenLCAbasic!K4736,LookUps!$D$5:$D$12,0))))</f>
        <v>Water Use (WU) - m3 H2O</v>
      </c>
      <c r="M4736" s="154" t="str">
        <f t="shared" si="296"/>
        <v>Base_Base_High_Upgraded_Water Use (WU) - m3 H2O_Waste Receiving and Holding; wastewater treatment unit; at updated plant - US_Without Amendment_Windrow</v>
      </c>
    </row>
    <row r="4737" spans="1:13" s="120" customFormat="1" x14ac:dyDescent="0.25">
      <c r="A4737" s="119"/>
      <c r="B4737" s="138" t="str">
        <f t="shared" si="294"/>
        <v>Windrow</v>
      </c>
      <c r="C4737" s="138" t="str">
        <f t="shared" ref="C4737:C4800" si="299">IF(ISNUMBER($J4737),"Without Amendment","")</f>
        <v>Without Amendment</v>
      </c>
      <c r="D4737" s="138" t="str">
        <f t="shared" si="297"/>
        <v>Base_High</v>
      </c>
      <c r="E4737" s="138" t="str">
        <f t="shared" si="298"/>
        <v>Base</v>
      </c>
      <c r="F4737" s="138" t="str">
        <f t="shared" si="295"/>
        <v>Upgraded</v>
      </c>
      <c r="G4737" s="153"/>
      <c r="H4737" s="210">
        <v>0.55759999999999998</v>
      </c>
      <c r="I4737" s="160" t="s">
        <v>147</v>
      </c>
      <c r="J4737" s="160">
        <v>1.8000000000000001E-4</v>
      </c>
      <c r="K4737" s="160" t="s">
        <v>26</v>
      </c>
      <c r="L4737" s="154" t="str">
        <f>IF(OpenLCAbasic!K4737="CTUh", "Fill in Manually",IF(OR(K4737="Unit", K4737=""), "", INDEX(LookUps!$E$5:$E$12, MATCH(OpenLCAbasic!K4737,LookUps!$D$5:$D$12,0))))</f>
        <v>Water Use (WU) - m3 H2O</v>
      </c>
      <c r="M4737" s="154" t="str">
        <f t="shared" si="296"/>
        <v>Base_Base_High_Upgraded_Water Use (WU) - m3 H2O_Influent Pump Station; wastewater treatment unit; at updated plant - US_Without Amendment_Windrow</v>
      </c>
    </row>
    <row r="4738" spans="1:13" s="120" customFormat="1" x14ac:dyDescent="0.25">
      <c r="A4738" s="119"/>
      <c r="B4738" s="138" t="str">
        <f t="shared" si="294"/>
        <v>Windrow</v>
      </c>
      <c r="C4738" s="138" t="str">
        <f t="shared" si="299"/>
        <v>Without Amendment</v>
      </c>
      <c r="D4738" s="138" t="str">
        <f t="shared" si="297"/>
        <v>Base_High</v>
      </c>
      <c r="E4738" s="138" t="str">
        <f t="shared" si="298"/>
        <v>Base</v>
      </c>
      <c r="F4738" s="138" t="str">
        <f t="shared" si="295"/>
        <v>Upgraded</v>
      </c>
      <c r="G4738" s="153"/>
      <c r="H4738" s="210">
        <v>0.54410000000000003</v>
      </c>
      <c r="I4738" s="160" t="s">
        <v>54</v>
      </c>
      <c r="J4738" s="160">
        <v>1.8000000000000001E-4</v>
      </c>
      <c r="K4738" s="160" t="s">
        <v>26</v>
      </c>
      <c r="L4738" s="154" t="str">
        <f>IF(OpenLCAbasic!K4738="CTUh", "Fill in Manually",IF(OR(K4738="Unit", K4738=""), "", INDEX(LookUps!$E$5:$E$12, MATCH(OpenLCAbasic!K4738,LookUps!$D$5:$D$12,0))))</f>
        <v>Water Use (WU) - m3 H2O</v>
      </c>
      <c r="M4738" s="154" t="str">
        <f t="shared" si="296"/>
        <v>Base_Base_High_Upgraded_Water Use (WU) - m3 H2O_Clear Cove Primary Clarification; wastewater treatment unit; at updated plant - US_Without Amendment_Windrow</v>
      </c>
    </row>
    <row r="4739" spans="1:13" s="120" customFormat="1" x14ac:dyDescent="0.25">
      <c r="A4739" s="119"/>
      <c r="B4739" s="138" t="str">
        <f t="shared" si="294"/>
        <v>Windrow</v>
      </c>
      <c r="C4739" s="138" t="str">
        <f t="shared" si="299"/>
        <v>Without Amendment</v>
      </c>
      <c r="D4739" s="138" t="str">
        <f t="shared" si="297"/>
        <v>Base_High</v>
      </c>
      <c r="E4739" s="138" t="str">
        <f t="shared" si="298"/>
        <v>Base</v>
      </c>
      <c r="F4739" s="138" t="str">
        <f t="shared" si="295"/>
        <v>Upgraded</v>
      </c>
      <c r="G4739" s="153"/>
      <c r="H4739" s="210">
        <v>0.49359999999999998</v>
      </c>
      <c r="I4739" s="160" t="s">
        <v>55</v>
      </c>
      <c r="J4739" s="160">
        <v>1.6000000000000001E-4</v>
      </c>
      <c r="K4739" s="160" t="s">
        <v>26</v>
      </c>
      <c r="L4739" s="154" t="str">
        <f>IF(OpenLCAbasic!K4739="CTUh", "Fill in Manually",IF(OR(K4739="Unit", K4739=""), "", INDEX(LookUps!$E$5:$E$12, MATCH(OpenLCAbasic!K4739,LookUps!$D$5:$D$12,0))))</f>
        <v>Water Use (WU) - m3 H2O</v>
      </c>
      <c r="M4739" s="154" t="str">
        <f t="shared" si="296"/>
        <v>Base_Base_High_Upgraded_Water Use (WU) - m3 H2O_Aeration Tanks; wastewater treatment unit; at updated plant - US_Without Amendment_Windrow</v>
      </c>
    </row>
    <row r="4740" spans="1:13" s="120" customFormat="1" x14ac:dyDescent="0.25">
      <c r="A4740" s="119"/>
      <c r="B4740" s="138" t="str">
        <f t="shared" ref="B4740:B4803" si="300">IF(F4740="Legacy","n.a.",IF(F4740="","","Windrow"))</f>
        <v>Windrow</v>
      </c>
      <c r="C4740" s="138" t="str">
        <f t="shared" si="299"/>
        <v>Without Amendment</v>
      </c>
      <c r="D4740" s="138" t="str">
        <f t="shared" si="297"/>
        <v>Base_High</v>
      </c>
      <c r="E4740" s="138" t="str">
        <f t="shared" si="298"/>
        <v>Base</v>
      </c>
      <c r="F4740" s="138" t="str">
        <f t="shared" ref="F4740:F4803" si="301">IF(ISNUMBER(J4740),"Upgraded","")</f>
        <v>Upgraded</v>
      </c>
      <c r="G4740" s="153"/>
      <c r="H4740" s="210">
        <v>0.4496</v>
      </c>
      <c r="I4740" s="160" t="s">
        <v>148</v>
      </c>
      <c r="J4740" s="160">
        <v>1.4999999999999999E-4</v>
      </c>
      <c r="K4740" s="160" t="s">
        <v>26</v>
      </c>
      <c r="L4740" s="154" t="str">
        <f>IF(OpenLCAbasic!K4740="CTUh", "Fill in Manually",IF(OR(K4740="Unit", K4740=""), "", INDEX(LookUps!$E$5:$E$12, MATCH(OpenLCAbasic!K4740,LookUps!$D$5:$D$12,0))))</f>
        <v>Water Use (WU) - m3 H2O</v>
      </c>
      <c r="M4740" s="154" t="str">
        <f t="shared" si="296"/>
        <v>Base_Base_High_Upgraded_Water Use (WU) - m3 H2O_Control Building; at upgraded wastewater treatment plant - US_Without Amendment_Windrow</v>
      </c>
    </row>
    <row r="4741" spans="1:13" s="120" customFormat="1" x14ac:dyDescent="0.25">
      <c r="A4741" s="119"/>
      <c r="B4741" s="138" t="str">
        <f t="shared" si="300"/>
        <v>Windrow</v>
      </c>
      <c r="C4741" s="138" t="str">
        <f t="shared" si="299"/>
        <v>Without Amendment</v>
      </c>
      <c r="D4741" s="138" t="str">
        <f t="shared" si="297"/>
        <v>Base_High</v>
      </c>
      <c r="E4741" s="138" t="str">
        <f t="shared" si="298"/>
        <v>Base</v>
      </c>
      <c r="F4741" s="138" t="str">
        <f t="shared" si="301"/>
        <v>Upgraded</v>
      </c>
      <c r="G4741" s="153"/>
      <c r="H4741" s="210">
        <v>0.20880000000000001</v>
      </c>
      <c r="I4741" s="160" t="s">
        <v>48</v>
      </c>
      <c r="J4741" s="211">
        <v>6.8836400000000004E-5</v>
      </c>
      <c r="K4741" s="160" t="s">
        <v>26</v>
      </c>
      <c r="L4741" s="154" t="str">
        <f>IF(OpenLCAbasic!K4741="CTUh", "Fill in Manually",IF(OR(K4741="Unit", K4741=""), "", INDEX(LookUps!$E$5:$E$12, MATCH(OpenLCAbasic!K4741,LookUps!$D$5:$D$12,0))))</f>
        <v>Water Use (WU) - m3 H2O</v>
      </c>
      <c r="M4741" s="154" t="str">
        <f t="shared" si="296"/>
        <v>Base_Base_High_Upgraded_Water Use (WU) - m3 H2O_Effluent release; wastewater treatment unit; at surface water; m3 wastewater - US_Without Amendment_Windrow</v>
      </c>
    </row>
    <row r="4742" spans="1:13" s="120" customFormat="1" x14ac:dyDescent="0.25">
      <c r="A4742" s="119"/>
      <c r="B4742" s="138" t="str">
        <f t="shared" si="300"/>
        <v>Windrow</v>
      </c>
      <c r="C4742" s="138" t="str">
        <f t="shared" si="299"/>
        <v>Without Amendment</v>
      </c>
      <c r="D4742" s="138" t="str">
        <f t="shared" si="297"/>
        <v>Base_High</v>
      </c>
      <c r="E4742" s="138" t="str">
        <f t="shared" si="298"/>
        <v>Base</v>
      </c>
      <c r="F4742" s="138" t="str">
        <f t="shared" si="301"/>
        <v>Upgraded</v>
      </c>
      <c r="G4742" s="153"/>
      <c r="H4742" s="210">
        <v>0.13100000000000001</v>
      </c>
      <c r="I4742" s="160" t="s">
        <v>58</v>
      </c>
      <c r="J4742" s="211">
        <v>4.3192100000000003E-5</v>
      </c>
      <c r="K4742" s="160" t="s">
        <v>26</v>
      </c>
      <c r="L4742" s="154" t="str">
        <f>IF(OpenLCAbasic!K4742="CTUh", "Fill in Manually",IF(OR(K4742="Unit", K4742=""), "", INDEX(LookUps!$E$5:$E$12, MATCH(OpenLCAbasic!K4742,LookUps!$D$5:$D$12,0))))</f>
        <v>Water Use (WU) - m3 H2O</v>
      </c>
      <c r="M4742" s="154" t="str">
        <f t="shared" si="296"/>
        <v>Base_Base_High_Upgraded_Water Use (WU) - m3 H2O_Pre-Anoxic &amp; Swing tank; wastewater treatment unit; at updated plant - US_Without Amendment_Windrow</v>
      </c>
    </row>
    <row r="4743" spans="1:13" s="120" customFormat="1" x14ac:dyDescent="0.25">
      <c r="A4743" s="119"/>
      <c r="B4743" s="138" t="str">
        <f t="shared" si="300"/>
        <v>Windrow</v>
      </c>
      <c r="C4743" s="138" t="str">
        <f t="shared" si="299"/>
        <v>Without Amendment</v>
      </c>
      <c r="D4743" s="138" t="str">
        <f t="shared" si="297"/>
        <v>Base_High</v>
      </c>
      <c r="E4743" s="138" t="str">
        <f t="shared" si="298"/>
        <v>Base</v>
      </c>
      <c r="F4743" s="138" t="str">
        <f t="shared" si="301"/>
        <v>Upgraded</v>
      </c>
      <c r="G4743" s="153"/>
      <c r="H4743" s="210">
        <v>9.2200000000000004E-2</v>
      </c>
      <c r="I4743" s="160" t="s">
        <v>57</v>
      </c>
      <c r="J4743" s="211">
        <v>3.0408100000000001E-5</v>
      </c>
      <c r="K4743" s="160" t="s">
        <v>26</v>
      </c>
      <c r="L4743" s="154" t="str">
        <f>IF(OpenLCAbasic!K4743="CTUh", "Fill in Manually",IF(OR(K4743="Unit", K4743=""), "", INDEX(LookUps!$E$5:$E$12, MATCH(OpenLCAbasic!K4743,LookUps!$D$5:$D$12,0))))</f>
        <v>Water Use (WU) - m3 H2O</v>
      </c>
      <c r="M4743" s="154" t="str">
        <f t="shared" ref="M4743:M4806" si="302">CONCATENATE(E4743,"_",D4743,"_",F4743,"_",L4743, "_",I4743,"_", C4743,"_", B4743)</f>
        <v>Base_Base_High_Upgraded_Water Use (WU) - m3 H2O_Gravity Belt Thickener; wastewater treatment unit; at updated plant - US_Without Amendment_Windrow</v>
      </c>
    </row>
    <row r="4744" spans="1:13" s="120" customFormat="1" x14ac:dyDescent="0.25">
      <c r="A4744" s="119"/>
      <c r="B4744" s="138" t="str">
        <f t="shared" si="300"/>
        <v>Windrow</v>
      </c>
      <c r="C4744" s="138" t="str">
        <f t="shared" si="299"/>
        <v>Without Amendment</v>
      </c>
      <c r="D4744" s="138" t="str">
        <f t="shared" si="297"/>
        <v>Base_High</v>
      </c>
      <c r="E4744" s="138" t="str">
        <f t="shared" si="298"/>
        <v>Base</v>
      </c>
      <c r="F4744" s="138" t="str">
        <f t="shared" si="301"/>
        <v>Upgraded</v>
      </c>
      <c r="G4744" s="153"/>
      <c r="H4744" s="210">
        <v>6.4100000000000004E-2</v>
      </c>
      <c r="I4744" s="160" t="s">
        <v>60</v>
      </c>
      <c r="J4744" s="211">
        <v>2.1135600000000001E-5</v>
      </c>
      <c r="K4744" s="160" t="s">
        <v>26</v>
      </c>
      <c r="L4744" s="154" t="str">
        <f>IF(OpenLCAbasic!K4744="CTUh", "Fill in Manually",IF(OR(K4744="Unit", K4744=""), "", INDEX(LookUps!$E$5:$E$12, MATCH(OpenLCAbasic!K4744,LookUps!$D$5:$D$12,0))))</f>
        <v>Water Use (WU) - m3 H2O</v>
      </c>
      <c r="M4744" s="154" t="str">
        <f t="shared" si="302"/>
        <v>Base_Base_High_Upgraded_Water Use (WU) - m3 H2O_Belt filter press; wastewater treatment unit; at updated plant - US_Without Amendment_Windrow</v>
      </c>
    </row>
    <row r="4745" spans="1:13" s="120" customFormat="1" x14ac:dyDescent="0.25">
      <c r="A4745" s="119"/>
      <c r="B4745" s="138" t="str">
        <f t="shared" si="300"/>
        <v>Windrow</v>
      </c>
      <c r="C4745" s="138" t="str">
        <f t="shared" si="299"/>
        <v>Without Amendment</v>
      </c>
      <c r="D4745" s="138" t="str">
        <f t="shared" ref="D4745:D4751" si="303">IF(ISNUMBER($J4745),"Base_High","")</f>
        <v>Base_High</v>
      </c>
      <c r="E4745" s="138" t="str">
        <f t="shared" si="298"/>
        <v>Base</v>
      </c>
      <c r="F4745" s="138" t="str">
        <f t="shared" si="301"/>
        <v>Upgraded</v>
      </c>
      <c r="G4745" s="153"/>
      <c r="H4745" s="210">
        <v>5.3100000000000001E-2</v>
      </c>
      <c r="I4745" s="160" t="s">
        <v>53</v>
      </c>
      <c r="J4745" s="211">
        <v>1.75069E-5</v>
      </c>
      <c r="K4745" s="160" t="s">
        <v>26</v>
      </c>
      <c r="L4745" s="154" t="str">
        <f>IF(OpenLCAbasic!K4745="CTUh", "Fill in Manually",IF(OR(K4745="Unit", K4745=""), "", INDEX(LookUps!$E$5:$E$12, MATCH(OpenLCAbasic!K4745,LookUps!$D$5:$D$12,0))))</f>
        <v>Water Use (WU) - m3 H2O</v>
      </c>
      <c r="M4745" s="154" t="str">
        <f t="shared" si="302"/>
        <v>Base_Base_High_Upgraded_Water Use (WU) - m3 H2O_Wet Well and Sump Station; wastewater treatment unit; at updated plant - US_Without Amendment_Windrow</v>
      </c>
    </row>
    <row r="4746" spans="1:13" s="120" customFormat="1" x14ac:dyDescent="0.25">
      <c r="A4746" s="119"/>
      <c r="B4746" s="138" t="str">
        <f t="shared" si="300"/>
        <v>Windrow</v>
      </c>
      <c r="C4746" s="138" t="str">
        <f t="shared" si="299"/>
        <v>Without Amendment</v>
      </c>
      <c r="D4746" s="138" t="str">
        <f t="shared" si="303"/>
        <v>Base_High</v>
      </c>
      <c r="E4746" s="138" t="str">
        <f t="shared" si="298"/>
        <v>Base</v>
      </c>
      <c r="F4746" s="138" t="str">
        <f t="shared" si="301"/>
        <v>Upgraded</v>
      </c>
      <c r="G4746" s="153"/>
      <c r="H4746" s="210">
        <v>2.1299999999999999E-2</v>
      </c>
      <c r="I4746" s="160" t="s">
        <v>59</v>
      </c>
      <c r="J4746" s="211">
        <v>7.0179500000000003E-6</v>
      </c>
      <c r="K4746" s="160" t="s">
        <v>26</v>
      </c>
      <c r="L4746" s="154" t="str">
        <f>IF(OpenLCAbasic!K4746="CTUh", "Fill in Manually",IF(OR(K4746="Unit", K4746=""), "", INDEX(LookUps!$E$5:$E$12, MATCH(OpenLCAbasic!K4746,LookUps!$D$5:$D$12,0))))</f>
        <v>Water Use (WU) - m3 H2O</v>
      </c>
      <c r="M4746" s="154" t="str">
        <f t="shared" si="302"/>
        <v>Base_Base_High_Upgraded_Water Use (WU) - m3 H2O_Blend Tank; wastewater treatment unit; at updated plant - US_Without Amendment_Windrow</v>
      </c>
    </row>
    <row r="4747" spans="1:13" s="120" customFormat="1" x14ac:dyDescent="0.25">
      <c r="A4747" s="119"/>
      <c r="B4747" s="138" t="str">
        <f t="shared" si="300"/>
        <v>Windrow</v>
      </c>
      <c r="C4747" s="138" t="str">
        <f t="shared" si="299"/>
        <v>Without Amendment</v>
      </c>
      <c r="D4747" s="138" t="str">
        <f t="shared" si="303"/>
        <v>Base_High</v>
      </c>
      <c r="E4747" s="138" t="str">
        <f t="shared" si="298"/>
        <v>Base</v>
      </c>
      <c r="F4747" s="138" t="str">
        <f t="shared" si="301"/>
        <v>Upgraded</v>
      </c>
      <c r="G4747" s="153"/>
      <c r="H4747" s="210">
        <v>1.5299999999999999E-2</v>
      </c>
      <c r="I4747" s="160" t="s">
        <v>128</v>
      </c>
      <c r="J4747" s="211">
        <v>5.0608900000000003E-6</v>
      </c>
      <c r="K4747" s="160" t="s">
        <v>26</v>
      </c>
      <c r="L4747" s="154" t="str">
        <f>IF(OpenLCAbasic!K4747="CTUh", "Fill in Manually",IF(OR(K4747="Unit", K4747=""), "", INDEX(LookUps!$E$5:$E$12, MATCH(OpenLCAbasic!K4747,LookUps!$D$5:$D$12,0))))</f>
        <v>Water Use (WU) - m3 H2O</v>
      </c>
      <c r="M4747" s="154" t="str">
        <f t="shared" si="302"/>
        <v>Base_Base_High_Upgraded_Water Use (WU) - m3 H2O_Wastewater collection; operation and infrastructure; m3 wastewater_Without Amendment_Windrow</v>
      </c>
    </row>
    <row r="4748" spans="1:13" s="120" customFormat="1" x14ac:dyDescent="0.25">
      <c r="A4748" s="119"/>
      <c r="B4748" s="138" t="str">
        <f t="shared" si="300"/>
        <v>Windrow</v>
      </c>
      <c r="C4748" s="138" t="str">
        <f t="shared" si="299"/>
        <v>Without Amendment</v>
      </c>
      <c r="D4748" s="138" t="str">
        <f t="shared" si="303"/>
        <v>Base_High</v>
      </c>
      <c r="E4748" s="138" t="str">
        <f t="shared" si="298"/>
        <v>Base</v>
      </c>
      <c r="F4748" s="138" t="str">
        <f t="shared" si="301"/>
        <v>Upgraded</v>
      </c>
      <c r="G4748" s="153"/>
      <c r="H4748" s="210">
        <v>3.0999999999999999E-3</v>
      </c>
      <c r="I4748" s="160" t="s">
        <v>271</v>
      </c>
      <c r="J4748" s="211">
        <v>1.01147E-6</v>
      </c>
      <c r="K4748" s="160" t="s">
        <v>26</v>
      </c>
      <c r="L4748" s="154" t="str">
        <f>IF(OpenLCAbasic!K4748="CTUh", "Fill in Manually",IF(OR(K4748="Unit", K4748=""), "", INDEX(LookUps!$E$5:$E$12, MATCH(OpenLCAbasic!K4748,LookUps!$D$5:$D$12,0))))</f>
        <v>Water Use (WU) - m3 H2O</v>
      </c>
      <c r="M4748" s="154" t="str">
        <f t="shared" si="302"/>
        <v>Base_Base_High_Upgraded_Water Use (WU) - m3 H2O_Biosolids composting; windrow composting; wastewater treatment unit; at updated plant - US_Without Amendment_Windrow</v>
      </c>
    </row>
    <row r="4749" spans="1:13" s="120" customFormat="1" x14ac:dyDescent="0.25">
      <c r="A4749" s="119"/>
      <c r="B4749" s="138" t="str">
        <f t="shared" si="300"/>
        <v>Windrow</v>
      </c>
      <c r="C4749" s="138" t="str">
        <f t="shared" si="299"/>
        <v>Without Amendment</v>
      </c>
      <c r="D4749" s="138" t="str">
        <f t="shared" si="303"/>
        <v>Base_High</v>
      </c>
      <c r="E4749" s="138" t="str">
        <f t="shared" si="298"/>
        <v>Base</v>
      </c>
      <c r="F4749" s="138" t="str">
        <f t="shared" si="301"/>
        <v>Upgraded</v>
      </c>
      <c r="G4749" s="153"/>
      <c r="H4749" s="210">
        <v>2.3E-3</v>
      </c>
      <c r="I4749" s="160" t="s">
        <v>168</v>
      </c>
      <c r="J4749" s="211">
        <v>7.6697000000000004E-7</v>
      </c>
      <c r="K4749" s="160" t="s">
        <v>26</v>
      </c>
      <c r="L4749" s="154" t="str">
        <f>IF(OpenLCAbasic!K4749="CTUh", "Fill in Manually",IF(OR(K4749="Unit", K4749=""), "", INDEX(LookUps!$E$5:$E$12, MATCH(OpenLCAbasic!K4749,LookUps!$D$5:$D$12,0))))</f>
        <v>Water Use (WU) - m3 H2O</v>
      </c>
      <c r="M4749" s="154" t="str">
        <f t="shared" si="302"/>
        <v>Base_Base_High_Upgraded_Water Use (WU) - m3 H2O_ClearCove SCP; wastewater treatment unit; at updated plant - US_Without Amendment_Windrow</v>
      </c>
    </row>
    <row r="4750" spans="1:13" s="120" customFormat="1" x14ac:dyDescent="0.25">
      <c r="A4750" s="119"/>
      <c r="B4750" s="138" t="str">
        <f t="shared" si="300"/>
        <v>Windrow</v>
      </c>
      <c r="C4750" s="138" t="str">
        <f t="shared" si="299"/>
        <v>Without Amendment</v>
      </c>
      <c r="D4750" s="138" t="str">
        <f t="shared" si="303"/>
        <v>Base_High</v>
      </c>
      <c r="E4750" s="138" t="str">
        <f t="shared" si="298"/>
        <v>Base</v>
      </c>
      <c r="F4750" s="138" t="str">
        <f t="shared" si="301"/>
        <v>Upgraded</v>
      </c>
      <c r="G4750" s="153"/>
      <c r="H4750" s="210">
        <v>-0.28260000000000002</v>
      </c>
      <c r="I4750" s="160" t="s">
        <v>149</v>
      </c>
      <c r="J4750" s="211">
        <v>-9.3162899999999995E-5</v>
      </c>
      <c r="K4750" s="160" t="s">
        <v>26</v>
      </c>
      <c r="L4750" s="154" t="str">
        <f>IF(OpenLCAbasic!K4750="CTUh", "Fill in Manually",IF(OR(K4750="Unit", K4750=""), "", INDEX(LookUps!$E$5:$E$12, MATCH(OpenLCAbasic!K4750,LookUps!$D$5:$D$12,0))))</f>
        <v>Water Use (WU) - m3 H2O</v>
      </c>
      <c r="M4750" s="154" t="str">
        <f t="shared" si="302"/>
        <v>Base_Base_High_Upgraded_Water Use (WU) - m3 H2O_Anaerobic Digestion; wastewater treatment unit; at updated plant - US_Without Amendment_Windrow</v>
      </c>
    </row>
    <row r="4751" spans="1:13" s="120" customFormat="1" x14ac:dyDescent="0.25">
      <c r="A4751" s="119"/>
      <c r="B4751" s="138" t="str">
        <f t="shared" si="300"/>
        <v>Windrow</v>
      </c>
      <c r="C4751" s="138" t="str">
        <f t="shared" si="299"/>
        <v>Without Amendment</v>
      </c>
      <c r="D4751" s="138" t="str">
        <f t="shared" si="303"/>
        <v>Base_High</v>
      </c>
      <c r="E4751" s="138" t="str">
        <f t="shared" si="298"/>
        <v>Base</v>
      </c>
      <c r="F4751" s="138" t="str">
        <f t="shared" si="301"/>
        <v>Upgraded</v>
      </c>
      <c r="G4751" s="153"/>
      <c r="H4751" s="210">
        <v>-2.0583</v>
      </c>
      <c r="I4751" s="160" t="s">
        <v>62</v>
      </c>
      <c r="J4751" s="160">
        <v>-6.8000000000000005E-4</v>
      </c>
      <c r="K4751" s="160" t="s">
        <v>26</v>
      </c>
      <c r="L4751" s="154" t="str">
        <f>IF(OpenLCAbasic!K4751="CTUh", "Fill in Manually",IF(OR(K4751="Unit", K4751=""), "", INDEX(LookUps!$E$5:$E$12, MATCH(OpenLCAbasic!K4751,LookUps!$D$5:$D$12,0))))</f>
        <v>Water Use (WU) - m3 H2O</v>
      </c>
      <c r="M4751" s="154" t="str">
        <f t="shared" si="302"/>
        <v>Base_Base_High_Upgraded_Water Use (WU) - m3 H2O_Land application of compost; wastewater treatment unit; at updated plant - US_Without Amendment_Windrow</v>
      </c>
    </row>
    <row r="4752" spans="1:13" s="120" customFormat="1" x14ac:dyDescent="0.25">
      <c r="A4752" s="119"/>
      <c r="B4752" s="138" t="str">
        <f t="shared" si="300"/>
        <v/>
      </c>
      <c r="C4752" s="138" t="str">
        <f t="shared" si="299"/>
        <v/>
      </c>
      <c r="D4752" s="138" t="str">
        <f>IF(ISNUMBER($J4752),"Medium_Low","")</f>
        <v/>
      </c>
      <c r="E4752" s="138" t="str">
        <f t="shared" si="298"/>
        <v/>
      </c>
      <c r="F4752" s="138" t="str">
        <f t="shared" si="301"/>
        <v/>
      </c>
      <c r="G4752" s="153" t="s">
        <v>51</v>
      </c>
      <c r="H4752" s="160"/>
      <c r="I4752" s="160" t="s">
        <v>47</v>
      </c>
      <c r="J4752" s="160" t="s">
        <v>52</v>
      </c>
      <c r="K4752" s="160" t="s">
        <v>27</v>
      </c>
      <c r="L4752" s="154" t="str">
        <f>IF(OpenLCAbasic!K4752="CTUh", "Fill in Manually",IF(OR(K4752="Unit", K4752=""), "", INDEX(LookUps!$E$5:$E$12, MATCH(OpenLCAbasic!K4752,LookUps!$D$5:$D$12,0))))</f>
        <v/>
      </c>
      <c r="M4752" s="154" t="str">
        <f t="shared" si="302"/>
        <v>____Process__</v>
      </c>
    </row>
    <row r="4753" spans="1:13" s="120" customFormat="1" x14ac:dyDescent="0.25">
      <c r="A4753" s="119"/>
      <c r="B4753" s="138" t="str">
        <f t="shared" si="300"/>
        <v>Windrow</v>
      </c>
      <c r="C4753" s="138" t="str">
        <f t="shared" si="299"/>
        <v>Without Amendment</v>
      </c>
      <c r="D4753" s="138" t="str">
        <f t="shared" ref="D4753:D4816" si="304">IF(ISNUMBER($J4753),"Medium_Low","")</f>
        <v>Medium_Low</v>
      </c>
      <c r="E4753" s="138" t="str">
        <f t="shared" si="298"/>
        <v>Base</v>
      </c>
      <c r="F4753" s="138" t="str">
        <f t="shared" si="301"/>
        <v>Upgraded</v>
      </c>
      <c r="G4753" s="153"/>
      <c r="H4753" s="210">
        <v>0.3876</v>
      </c>
      <c r="I4753" s="160" t="s">
        <v>55</v>
      </c>
      <c r="J4753" s="160">
        <v>1.7219999999999999E-2</v>
      </c>
      <c r="K4753" s="160" t="s">
        <v>24</v>
      </c>
      <c r="L4753" s="154" t="str">
        <f>IF(OpenLCAbasic!K4753="CTUh", "Fill in Manually",IF(OR(K4753="Unit", K4753=""), "", INDEX(LookUps!$E$5:$E$12, MATCH(OpenLCAbasic!K4753,LookUps!$D$5:$D$12,0))))</f>
        <v>Acidification Potential (AP) - kg SO2 eq</v>
      </c>
      <c r="M4753" s="154" t="str">
        <f t="shared" si="302"/>
        <v>Base_Medium_Low_Upgraded_Acidification Potential (AP) - kg SO2 eq_Aeration Tanks; wastewater treatment unit; at updated plant - US_Without Amendment_Windrow</v>
      </c>
    </row>
    <row r="4754" spans="1:13" s="120" customFormat="1" x14ac:dyDescent="0.25">
      <c r="A4754" s="119"/>
      <c r="B4754" s="138" t="str">
        <f t="shared" si="300"/>
        <v>Windrow</v>
      </c>
      <c r="C4754" s="138" t="str">
        <f t="shared" si="299"/>
        <v>Without Amendment</v>
      </c>
      <c r="D4754" s="138" t="str">
        <f t="shared" si="304"/>
        <v>Medium_Low</v>
      </c>
      <c r="E4754" s="138" t="str">
        <f t="shared" si="298"/>
        <v>Base</v>
      </c>
      <c r="F4754" s="138" t="str">
        <f t="shared" si="301"/>
        <v>Upgraded</v>
      </c>
      <c r="G4754" s="153"/>
      <c r="H4754" s="210">
        <v>0.12609999999999999</v>
      </c>
      <c r="I4754" s="160" t="s">
        <v>271</v>
      </c>
      <c r="J4754" s="160">
        <v>5.5999999999999999E-3</v>
      </c>
      <c r="K4754" s="160" t="s">
        <v>24</v>
      </c>
      <c r="L4754" s="154" t="str">
        <f>IF(OpenLCAbasic!K4754="CTUh", "Fill in Manually",IF(OR(K4754="Unit", K4754=""), "", INDEX(LookUps!$E$5:$E$12, MATCH(OpenLCAbasic!K4754,LookUps!$D$5:$D$12,0))))</f>
        <v>Acidification Potential (AP) - kg SO2 eq</v>
      </c>
      <c r="M4754" s="154" t="str">
        <f t="shared" si="302"/>
        <v>Base_Medium_Low_Upgraded_Acidification Potential (AP) - kg SO2 eq_Biosolids composting; windrow composting; wastewater treatment unit; at updated plant - US_Without Amendment_Windrow</v>
      </c>
    </row>
    <row r="4755" spans="1:13" s="120" customFormat="1" x14ac:dyDescent="0.25">
      <c r="A4755" s="119"/>
      <c r="B4755" s="138" t="str">
        <f t="shared" si="300"/>
        <v>Windrow</v>
      </c>
      <c r="C4755" s="138" t="str">
        <f t="shared" si="299"/>
        <v>Without Amendment</v>
      </c>
      <c r="D4755" s="138" t="str">
        <f t="shared" si="304"/>
        <v>Medium_Low</v>
      </c>
      <c r="E4755" s="138" t="str">
        <f t="shared" si="298"/>
        <v>Base</v>
      </c>
      <c r="F4755" s="138" t="str">
        <f t="shared" si="301"/>
        <v>Upgraded</v>
      </c>
      <c r="G4755" s="153"/>
      <c r="H4755" s="210">
        <v>0.11210000000000001</v>
      </c>
      <c r="I4755" s="160" t="s">
        <v>54</v>
      </c>
      <c r="J4755" s="160">
        <v>4.9800000000000001E-3</v>
      </c>
      <c r="K4755" s="160" t="s">
        <v>24</v>
      </c>
      <c r="L4755" s="154" t="str">
        <f>IF(OpenLCAbasic!K4755="CTUh", "Fill in Manually",IF(OR(K4755="Unit", K4755=""), "", INDEX(LookUps!$E$5:$E$12, MATCH(OpenLCAbasic!K4755,LookUps!$D$5:$D$12,0))))</f>
        <v>Acidification Potential (AP) - kg SO2 eq</v>
      </c>
      <c r="M4755" s="154" t="str">
        <f t="shared" si="302"/>
        <v>Base_Medium_Low_Upgraded_Acidification Potential (AP) - kg SO2 eq_Clear Cove Primary Clarification; wastewater treatment unit; at updated plant - US_Without Amendment_Windrow</v>
      </c>
    </row>
    <row r="4756" spans="1:13" s="120" customFormat="1" x14ac:dyDescent="0.25">
      <c r="A4756" s="119"/>
      <c r="B4756" s="138" t="str">
        <f t="shared" si="300"/>
        <v>Windrow</v>
      </c>
      <c r="C4756" s="138" t="str">
        <f t="shared" si="299"/>
        <v>Without Amendment</v>
      </c>
      <c r="D4756" s="138" t="str">
        <f t="shared" si="304"/>
        <v>Medium_Low</v>
      </c>
      <c r="E4756" s="138" t="str">
        <f t="shared" si="298"/>
        <v>Base</v>
      </c>
      <c r="F4756" s="138" t="str">
        <f t="shared" si="301"/>
        <v>Upgraded</v>
      </c>
      <c r="G4756" s="153"/>
      <c r="H4756" s="210">
        <v>9.7799999999999998E-2</v>
      </c>
      <c r="I4756" s="160" t="s">
        <v>58</v>
      </c>
      <c r="J4756" s="160">
        <v>4.3499999999999997E-3</v>
      </c>
      <c r="K4756" s="160" t="s">
        <v>24</v>
      </c>
      <c r="L4756" s="154" t="str">
        <f>IF(OpenLCAbasic!K4756="CTUh", "Fill in Manually",IF(OR(K4756="Unit", K4756=""), "", INDEX(LookUps!$E$5:$E$12, MATCH(OpenLCAbasic!K4756,LookUps!$D$5:$D$12,0))))</f>
        <v>Acidification Potential (AP) - kg SO2 eq</v>
      </c>
      <c r="M4756" s="154" t="str">
        <f t="shared" si="302"/>
        <v>Base_Medium_Low_Upgraded_Acidification Potential (AP) - kg SO2 eq_Pre-Anoxic &amp; Swing tank; wastewater treatment unit; at updated plant - US_Without Amendment_Windrow</v>
      </c>
    </row>
    <row r="4757" spans="1:13" s="120" customFormat="1" x14ac:dyDescent="0.25">
      <c r="A4757" s="119"/>
      <c r="B4757" s="138" t="str">
        <f t="shared" si="300"/>
        <v>Windrow</v>
      </c>
      <c r="C4757" s="138" t="str">
        <f t="shared" si="299"/>
        <v>Without Amendment</v>
      </c>
      <c r="D4757" s="138" t="str">
        <f t="shared" si="304"/>
        <v>Medium_Low</v>
      </c>
      <c r="E4757" s="138" t="str">
        <f t="shared" si="298"/>
        <v>Base</v>
      </c>
      <c r="F4757" s="138" t="str">
        <f t="shared" si="301"/>
        <v>Upgraded</v>
      </c>
      <c r="G4757" s="153"/>
      <c r="H4757" s="210">
        <v>7.7700000000000005E-2</v>
      </c>
      <c r="I4757" s="160" t="s">
        <v>53</v>
      </c>
      <c r="J4757" s="160">
        <v>3.4499999999999999E-3</v>
      </c>
      <c r="K4757" s="160" t="s">
        <v>24</v>
      </c>
      <c r="L4757" s="154" t="str">
        <f>IF(OpenLCAbasic!K4757="CTUh", "Fill in Manually",IF(OR(K4757="Unit", K4757=""), "", INDEX(LookUps!$E$5:$E$12, MATCH(OpenLCAbasic!K4757,LookUps!$D$5:$D$12,0))))</f>
        <v>Acidification Potential (AP) - kg SO2 eq</v>
      </c>
      <c r="M4757" s="154" t="str">
        <f t="shared" si="302"/>
        <v>Base_Medium_Low_Upgraded_Acidification Potential (AP) - kg SO2 eq_Wet Well and Sump Station; wastewater treatment unit; at updated plant - US_Without Amendment_Windrow</v>
      </c>
    </row>
    <row r="4758" spans="1:13" s="120" customFormat="1" x14ac:dyDescent="0.25">
      <c r="A4758" s="119"/>
      <c r="B4758" s="138" t="str">
        <f t="shared" si="300"/>
        <v>Windrow</v>
      </c>
      <c r="C4758" s="138" t="str">
        <f t="shared" si="299"/>
        <v>Without Amendment</v>
      </c>
      <c r="D4758" s="138" t="str">
        <f t="shared" si="304"/>
        <v>Medium_Low</v>
      </c>
      <c r="E4758" s="138" t="str">
        <f t="shared" si="298"/>
        <v>Base</v>
      </c>
      <c r="F4758" s="138" t="str">
        <f t="shared" si="301"/>
        <v>Upgraded</v>
      </c>
      <c r="G4758" s="153"/>
      <c r="H4758" s="210">
        <v>6.0900000000000003E-2</v>
      </c>
      <c r="I4758" s="160" t="s">
        <v>62</v>
      </c>
      <c r="J4758" s="160">
        <v>2.7100000000000002E-3</v>
      </c>
      <c r="K4758" s="160" t="s">
        <v>24</v>
      </c>
      <c r="L4758" s="154" t="str">
        <f>IF(OpenLCAbasic!K4758="CTUh", "Fill in Manually",IF(OR(K4758="Unit", K4758=""), "", INDEX(LookUps!$E$5:$E$12, MATCH(OpenLCAbasic!K4758,LookUps!$D$5:$D$12,0))))</f>
        <v>Acidification Potential (AP) - kg SO2 eq</v>
      </c>
      <c r="M4758" s="154" t="str">
        <f t="shared" si="302"/>
        <v>Base_Medium_Low_Upgraded_Acidification Potential (AP) - kg SO2 eq_Land application of compost; wastewater treatment unit; at updated plant - US_Without Amendment_Windrow</v>
      </c>
    </row>
    <row r="4759" spans="1:13" s="120" customFormat="1" x14ac:dyDescent="0.25">
      <c r="A4759" s="119"/>
      <c r="B4759" s="138" t="str">
        <f t="shared" si="300"/>
        <v>Windrow</v>
      </c>
      <c r="C4759" s="138" t="str">
        <f t="shared" si="299"/>
        <v>Without Amendment</v>
      </c>
      <c r="D4759" s="138" t="str">
        <f t="shared" si="304"/>
        <v>Medium_Low</v>
      </c>
      <c r="E4759" s="138" t="str">
        <f t="shared" si="298"/>
        <v>Base</v>
      </c>
      <c r="F4759" s="138" t="str">
        <f t="shared" si="301"/>
        <v>Upgraded</v>
      </c>
      <c r="G4759" s="153"/>
      <c r="H4759" s="210">
        <v>5.7000000000000002E-2</v>
      </c>
      <c r="I4759" s="160" t="s">
        <v>167</v>
      </c>
      <c r="J4759" s="160">
        <v>2.5300000000000001E-3</v>
      </c>
      <c r="K4759" s="160" t="s">
        <v>24</v>
      </c>
      <c r="L4759" s="154" t="str">
        <f>IF(OpenLCAbasic!K4759="CTUh", "Fill in Manually",IF(OR(K4759="Unit", K4759=""), "", INDEX(LookUps!$E$5:$E$12, MATCH(OpenLCAbasic!K4759,LookUps!$D$5:$D$12,0))))</f>
        <v>Acidification Potential (AP) - kg SO2 eq</v>
      </c>
      <c r="M4759" s="154" t="str">
        <f t="shared" si="302"/>
        <v>Base_Medium_Low_Upgraded_Acidification Potential (AP) - kg SO2 eq_Waste Receiving and Holding; wastewater treatment unit; at updated plant - US_Without Amendment_Windrow</v>
      </c>
    </row>
    <row r="4760" spans="1:13" s="120" customFormat="1" x14ac:dyDescent="0.25">
      <c r="A4760" s="119"/>
      <c r="B4760" s="138" t="str">
        <f t="shared" si="300"/>
        <v>Windrow</v>
      </c>
      <c r="C4760" s="138" t="str">
        <f t="shared" si="299"/>
        <v>Without Amendment</v>
      </c>
      <c r="D4760" s="138" t="str">
        <f t="shared" si="304"/>
        <v>Medium_Low</v>
      </c>
      <c r="E4760" s="138" t="str">
        <f t="shared" si="298"/>
        <v>Base</v>
      </c>
      <c r="F4760" s="138" t="str">
        <f t="shared" si="301"/>
        <v>Upgraded</v>
      </c>
      <c r="G4760" s="153"/>
      <c r="H4760" s="210">
        <v>4.6600000000000003E-2</v>
      </c>
      <c r="I4760" s="160" t="s">
        <v>147</v>
      </c>
      <c r="J4760" s="160">
        <v>2.0699999999999998E-3</v>
      </c>
      <c r="K4760" s="160" t="s">
        <v>24</v>
      </c>
      <c r="L4760" s="154" t="str">
        <f>IF(OpenLCAbasic!K4760="CTUh", "Fill in Manually",IF(OR(K4760="Unit", K4760=""), "", INDEX(LookUps!$E$5:$E$12, MATCH(OpenLCAbasic!K4760,LookUps!$D$5:$D$12,0))))</f>
        <v>Acidification Potential (AP) - kg SO2 eq</v>
      </c>
      <c r="M4760" s="154" t="str">
        <f t="shared" si="302"/>
        <v>Base_Medium_Low_Upgraded_Acidification Potential (AP) - kg SO2 eq_Influent Pump Station; wastewater treatment unit; at updated plant - US_Without Amendment_Windrow</v>
      </c>
    </row>
    <row r="4761" spans="1:13" s="120" customFormat="1" x14ac:dyDescent="0.25">
      <c r="A4761" s="119"/>
      <c r="B4761" s="138" t="str">
        <f t="shared" si="300"/>
        <v>Windrow</v>
      </c>
      <c r="C4761" s="138" t="str">
        <f t="shared" si="299"/>
        <v>Without Amendment</v>
      </c>
      <c r="D4761" s="138" t="str">
        <f t="shared" si="304"/>
        <v>Medium_Low</v>
      </c>
      <c r="E4761" s="138" t="str">
        <f t="shared" si="298"/>
        <v>Base</v>
      </c>
      <c r="F4761" s="138" t="str">
        <f t="shared" si="301"/>
        <v>Upgraded</v>
      </c>
      <c r="G4761" s="153"/>
      <c r="H4761" s="210">
        <v>2.7799999999999998E-2</v>
      </c>
      <c r="I4761" s="160" t="s">
        <v>128</v>
      </c>
      <c r="J4761" s="160">
        <v>1.23E-3</v>
      </c>
      <c r="K4761" s="160" t="s">
        <v>24</v>
      </c>
      <c r="L4761" s="154" t="str">
        <f>IF(OpenLCAbasic!K4761="CTUh", "Fill in Manually",IF(OR(K4761="Unit", K4761=""), "", INDEX(LookUps!$E$5:$E$12, MATCH(OpenLCAbasic!K4761,LookUps!$D$5:$D$12,0))))</f>
        <v>Acidification Potential (AP) - kg SO2 eq</v>
      </c>
      <c r="M4761" s="154" t="str">
        <f t="shared" si="302"/>
        <v>Base_Medium_Low_Upgraded_Acidification Potential (AP) - kg SO2 eq_Wastewater collection; operation and infrastructure; m3 wastewater_Without Amendment_Windrow</v>
      </c>
    </row>
    <row r="4762" spans="1:13" s="120" customFormat="1" x14ac:dyDescent="0.25">
      <c r="A4762" s="119"/>
      <c r="B4762" s="138" t="str">
        <f t="shared" si="300"/>
        <v>Windrow</v>
      </c>
      <c r="C4762" s="138" t="str">
        <f t="shared" si="299"/>
        <v>Without Amendment</v>
      </c>
      <c r="D4762" s="138" t="str">
        <f t="shared" si="304"/>
        <v>Medium_Low</v>
      </c>
      <c r="E4762" s="138" t="str">
        <f t="shared" si="298"/>
        <v>Base</v>
      </c>
      <c r="F4762" s="138" t="str">
        <f t="shared" si="301"/>
        <v>Upgraded</v>
      </c>
      <c r="G4762" s="153"/>
      <c r="H4762" s="210">
        <v>2.7099999999999999E-2</v>
      </c>
      <c r="I4762" s="160" t="s">
        <v>60</v>
      </c>
      <c r="J4762" s="160">
        <v>1.1999999999999999E-3</v>
      </c>
      <c r="K4762" s="160" t="s">
        <v>24</v>
      </c>
      <c r="L4762" s="154" t="str">
        <f>IF(OpenLCAbasic!K4762="CTUh", "Fill in Manually",IF(OR(K4762="Unit", K4762=""), "", INDEX(LookUps!$E$5:$E$12, MATCH(OpenLCAbasic!K4762,LookUps!$D$5:$D$12,0))))</f>
        <v>Acidification Potential (AP) - kg SO2 eq</v>
      </c>
      <c r="M4762" s="154" t="str">
        <f t="shared" si="302"/>
        <v>Base_Medium_Low_Upgraded_Acidification Potential (AP) - kg SO2 eq_Belt filter press; wastewater treatment unit; at updated plant - US_Without Amendment_Windrow</v>
      </c>
    </row>
    <row r="4763" spans="1:13" s="120" customFormat="1" x14ac:dyDescent="0.25">
      <c r="A4763" s="119"/>
      <c r="B4763" s="138" t="str">
        <f t="shared" si="300"/>
        <v>Windrow</v>
      </c>
      <c r="C4763" s="138" t="str">
        <f t="shared" si="299"/>
        <v>Without Amendment</v>
      </c>
      <c r="D4763" s="138" t="str">
        <f t="shared" si="304"/>
        <v>Medium_Low</v>
      </c>
      <c r="E4763" s="138" t="str">
        <f t="shared" si="298"/>
        <v>Base</v>
      </c>
      <c r="F4763" s="138" t="str">
        <f t="shared" si="301"/>
        <v>Upgraded</v>
      </c>
      <c r="G4763" s="153"/>
      <c r="H4763" s="210">
        <v>1.5800000000000002E-2</v>
      </c>
      <c r="I4763" s="160" t="s">
        <v>57</v>
      </c>
      <c r="J4763" s="160">
        <v>6.9999999999999999E-4</v>
      </c>
      <c r="K4763" s="160" t="s">
        <v>24</v>
      </c>
      <c r="L4763" s="154" t="str">
        <f>IF(OpenLCAbasic!K4763="CTUh", "Fill in Manually",IF(OR(K4763="Unit", K4763=""), "", INDEX(LookUps!$E$5:$E$12, MATCH(OpenLCAbasic!K4763,LookUps!$D$5:$D$12,0))))</f>
        <v>Acidification Potential (AP) - kg SO2 eq</v>
      </c>
      <c r="M4763" s="154" t="str">
        <f t="shared" si="302"/>
        <v>Base_Medium_Low_Upgraded_Acidification Potential (AP) - kg SO2 eq_Gravity Belt Thickener; wastewater treatment unit; at updated plant - US_Without Amendment_Windrow</v>
      </c>
    </row>
    <row r="4764" spans="1:13" s="120" customFormat="1" x14ac:dyDescent="0.25">
      <c r="A4764" s="119"/>
      <c r="B4764" s="138" t="str">
        <f t="shared" si="300"/>
        <v>Windrow</v>
      </c>
      <c r="C4764" s="138" t="str">
        <f t="shared" si="299"/>
        <v>Without Amendment</v>
      </c>
      <c r="D4764" s="138" t="str">
        <f t="shared" si="304"/>
        <v>Medium_Low</v>
      </c>
      <c r="E4764" s="138" t="str">
        <f t="shared" si="298"/>
        <v>Base</v>
      </c>
      <c r="F4764" s="138" t="str">
        <f t="shared" si="301"/>
        <v>Upgraded</v>
      </c>
      <c r="G4764" s="153"/>
      <c r="H4764" s="210">
        <v>1.1599999999999999E-2</v>
      </c>
      <c r="I4764" s="160" t="s">
        <v>59</v>
      </c>
      <c r="J4764" s="160">
        <v>5.1999999999999995E-4</v>
      </c>
      <c r="K4764" s="160" t="s">
        <v>24</v>
      </c>
      <c r="L4764" s="154" t="str">
        <f>IF(OpenLCAbasic!K4764="CTUh", "Fill in Manually",IF(OR(K4764="Unit", K4764=""), "", INDEX(LookUps!$E$5:$E$12, MATCH(OpenLCAbasic!K4764,LookUps!$D$5:$D$12,0))))</f>
        <v>Acidification Potential (AP) - kg SO2 eq</v>
      </c>
      <c r="M4764" s="154" t="str">
        <f t="shared" si="302"/>
        <v>Base_Medium_Low_Upgraded_Acidification Potential (AP) - kg SO2 eq_Blend Tank; wastewater treatment unit; at updated plant - US_Without Amendment_Windrow</v>
      </c>
    </row>
    <row r="4765" spans="1:13" s="120" customFormat="1" x14ac:dyDescent="0.25">
      <c r="A4765" s="119"/>
      <c r="B4765" s="138" t="str">
        <f t="shared" si="300"/>
        <v>Windrow</v>
      </c>
      <c r="C4765" s="138" t="str">
        <f t="shared" si="299"/>
        <v>Without Amendment</v>
      </c>
      <c r="D4765" s="138" t="str">
        <f t="shared" si="304"/>
        <v>Medium_Low</v>
      </c>
      <c r="E4765" s="138" t="str">
        <f t="shared" si="298"/>
        <v>Base</v>
      </c>
      <c r="F4765" s="138" t="str">
        <f t="shared" si="301"/>
        <v>Upgraded</v>
      </c>
      <c r="G4765" s="153"/>
      <c r="H4765" s="210">
        <v>7.7999999999999996E-3</v>
      </c>
      <c r="I4765" s="160" t="s">
        <v>48</v>
      </c>
      <c r="J4765" s="160">
        <v>3.5E-4</v>
      </c>
      <c r="K4765" s="160" t="s">
        <v>24</v>
      </c>
      <c r="L4765" s="154" t="str">
        <f>IF(OpenLCAbasic!K4765="CTUh", "Fill in Manually",IF(OR(K4765="Unit", K4765=""), "", INDEX(LookUps!$E$5:$E$12, MATCH(OpenLCAbasic!K4765,LookUps!$D$5:$D$12,0))))</f>
        <v>Acidification Potential (AP) - kg SO2 eq</v>
      </c>
      <c r="M4765" s="154" t="str">
        <f t="shared" si="302"/>
        <v>Base_Medium_Low_Upgraded_Acidification Potential (AP) - kg SO2 eq_Effluent release; wastewater treatment unit; at surface water; m3 wastewater - US_Without Amendment_Windrow</v>
      </c>
    </row>
    <row r="4766" spans="1:13" s="120" customFormat="1" x14ac:dyDescent="0.25">
      <c r="A4766" s="119"/>
      <c r="B4766" s="138" t="str">
        <f t="shared" si="300"/>
        <v>Windrow</v>
      </c>
      <c r="C4766" s="138" t="str">
        <f t="shared" si="299"/>
        <v>Without Amendment</v>
      </c>
      <c r="D4766" s="138" t="str">
        <f t="shared" si="304"/>
        <v>Medium_Low</v>
      </c>
      <c r="E4766" s="138" t="str">
        <f t="shared" si="298"/>
        <v>Base</v>
      </c>
      <c r="F4766" s="138" t="str">
        <f t="shared" si="301"/>
        <v>Upgraded</v>
      </c>
      <c r="G4766" s="153"/>
      <c r="H4766" s="210">
        <v>5.7000000000000002E-3</v>
      </c>
      <c r="I4766" s="160" t="s">
        <v>168</v>
      </c>
      <c r="J4766" s="160">
        <v>2.5999999999999998E-4</v>
      </c>
      <c r="K4766" s="160" t="s">
        <v>24</v>
      </c>
      <c r="L4766" s="154" t="str">
        <f>IF(OpenLCAbasic!K4766="CTUh", "Fill in Manually",IF(OR(K4766="Unit", K4766=""), "", INDEX(LookUps!$E$5:$E$12, MATCH(OpenLCAbasic!K4766,LookUps!$D$5:$D$12,0))))</f>
        <v>Acidification Potential (AP) - kg SO2 eq</v>
      </c>
      <c r="M4766" s="154" t="str">
        <f t="shared" si="302"/>
        <v>Base_Medium_Low_Upgraded_Acidification Potential (AP) - kg SO2 eq_ClearCove SCP; wastewater treatment unit; at updated plant - US_Without Amendment_Windrow</v>
      </c>
    </row>
    <row r="4767" spans="1:13" s="120" customFormat="1" x14ac:dyDescent="0.25">
      <c r="A4767" s="119"/>
      <c r="B4767" s="138" t="str">
        <f t="shared" si="300"/>
        <v>Windrow</v>
      </c>
      <c r="C4767" s="138" t="str">
        <f t="shared" si="299"/>
        <v>Without Amendment</v>
      </c>
      <c r="D4767" s="138" t="str">
        <f t="shared" si="304"/>
        <v>Medium_Low</v>
      </c>
      <c r="E4767" s="138" t="str">
        <f t="shared" si="298"/>
        <v>Base</v>
      </c>
      <c r="F4767" s="138" t="str">
        <f t="shared" si="301"/>
        <v>Upgraded</v>
      </c>
      <c r="G4767" s="153"/>
      <c r="H4767" s="210">
        <v>8.9999999999999998E-4</v>
      </c>
      <c r="I4767" s="160" t="s">
        <v>148</v>
      </c>
      <c r="J4767" s="211">
        <v>4.0354700000000002E-5</v>
      </c>
      <c r="K4767" s="160" t="s">
        <v>24</v>
      </c>
      <c r="L4767" s="154" t="str">
        <f>IF(OpenLCAbasic!K4767="CTUh", "Fill in Manually",IF(OR(K4767="Unit", K4767=""), "", INDEX(LookUps!$E$5:$E$12, MATCH(OpenLCAbasic!K4767,LookUps!$D$5:$D$12,0))))</f>
        <v>Acidification Potential (AP) - kg SO2 eq</v>
      </c>
      <c r="M4767" s="154" t="str">
        <f t="shared" si="302"/>
        <v>Base_Medium_Low_Upgraded_Acidification Potential (AP) - kg SO2 eq_Control Building; at upgraded wastewater treatment plant - US_Without Amendment_Windrow</v>
      </c>
    </row>
    <row r="4768" spans="1:13" s="120" customFormat="1" x14ac:dyDescent="0.25">
      <c r="A4768" s="119"/>
      <c r="B4768" s="138" t="str">
        <f t="shared" si="300"/>
        <v>Windrow</v>
      </c>
      <c r="C4768" s="138" t="str">
        <f t="shared" si="299"/>
        <v>Without Amendment</v>
      </c>
      <c r="D4768" s="138" t="str">
        <f t="shared" si="304"/>
        <v>Medium_Low</v>
      </c>
      <c r="E4768" s="138" t="str">
        <f t="shared" si="298"/>
        <v>Base</v>
      </c>
      <c r="F4768" s="138" t="str">
        <f t="shared" si="301"/>
        <v>Upgraded</v>
      </c>
      <c r="G4768" s="153"/>
      <c r="H4768" s="210">
        <v>-6.2600000000000003E-2</v>
      </c>
      <c r="I4768" s="160" t="s">
        <v>149</v>
      </c>
      <c r="J4768" s="160">
        <v>-2.7799999999999999E-3</v>
      </c>
      <c r="K4768" s="160" t="s">
        <v>24</v>
      </c>
      <c r="L4768" s="154" t="str">
        <f>IF(OpenLCAbasic!K4768="CTUh", "Fill in Manually",IF(OR(K4768="Unit", K4768=""), "", INDEX(LookUps!$E$5:$E$12, MATCH(OpenLCAbasic!K4768,LookUps!$D$5:$D$12,0))))</f>
        <v>Acidification Potential (AP) - kg SO2 eq</v>
      </c>
      <c r="M4768" s="154" t="str">
        <f t="shared" si="302"/>
        <v>Base_Medium_Low_Upgraded_Acidification Potential (AP) - kg SO2 eq_Anaerobic Digestion; wastewater treatment unit; at updated plant - US_Without Amendment_Windrow</v>
      </c>
    </row>
    <row r="4769" spans="1:13" s="120" customFormat="1" x14ac:dyDescent="0.25">
      <c r="A4769" s="119"/>
      <c r="B4769" s="138" t="str">
        <f t="shared" si="300"/>
        <v/>
      </c>
      <c r="C4769" s="138" t="str">
        <f t="shared" si="299"/>
        <v/>
      </c>
      <c r="D4769" s="138" t="str">
        <f t="shared" si="304"/>
        <v/>
      </c>
      <c r="E4769" s="138" t="str">
        <f t="shared" si="298"/>
        <v/>
      </c>
      <c r="F4769" s="138" t="str">
        <f t="shared" si="301"/>
        <v/>
      </c>
      <c r="G4769" s="153" t="s">
        <v>51</v>
      </c>
      <c r="H4769" s="160"/>
      <c r="I4769" s="160" t="s">
        <v>47</v>
      </c>
      <c r="J4769" s="160" t="s">
        <v>52</v>
      </c>
      <c r="K4769" s="160" t="s">
        <v>27</v>
      </c>
      <c r="L4769" s="154" t="str">
        <f>IF(OpenLCAbasic!K4769="CTUh", "Fill in Manually",IF(OR(K4769="Unit", K4769=""), "", INDEX(LookUps!$E$5:$E$12, MATCH(OpenLCAbasic!K4769,LookUps!$D$5:$D$12,0))))</f>
        <v/>
      </c>
      <c r="M4769" s="154" t="str">
        <f t="shared" si="302"/>
        <v>____Process__</v>
      </c>
    </row>
    <row r="4770" spans="1:13" s="120" customFormat="1" x14ac:dyDescent="0.25">
      <c r="A4770" s="119"/>
      <c r="B4770" s="138" t="str">
        <f t="shared" si="300"/>
        <v>Windrow</v>
      </c>
      <c r="C4770" s="138" t="str">
        <f t="shared" si="299"/>
        <v>Without Amendment</v>
      </c>
      <c r="D4770" s="138" t="str">
        <f t="shared" si="304"/>
        <v>Medium_Low</v>
      </c>
      <c r="E4770" s="138" t="str">
        <f t="shared" si="298"/>
        <v>Base</v>
      </c>
      <c r="F4770" s="138" t="str">
        <f t="shared" si="301"/>
        <v>Upgraded</v>
      </c>
      <c r="G4770" s="153"/>
      <c r="H4770" s="210">
        <v>0.33479999999999999</v>
      </c>
      <c r="I4770" s="160" t="s">
        <v>167</v>
      </c>
      <c r="J4770" s="160">
        <v>4.2789599999999997</v>
      </c>
      <c r="K4770" s="160" t="s">
        <v>15</v>
      </c>
      <c r="L4770" s="154" t="str">
        <f>IF(OpenLCAbasic!K4770="CTUh", "Fill in Manually",IF(OR(K4770="Unit", K4770=""), "", INDEX(LookUps!$E$5:$E$12, MATCH(OpenLCAbasic!K4770,LookUps!$D$5:$D$12,0))))</f>
        <v>Cumulative Energy Demand (CED) - MJ</v>
      </c>
      <c r="M4770" s="154" t="str">
        <f t="shared" si="302"/>
        <v>Base_Medium_Low_Upgraded_Cumulative Energy Demand (CED) - MJ_Waste Receiving and Holding; wastewater treatment unit; at updated plant - US_Without Amendment_Windrow</v>
      </c>
    </row>
    <row r="4771" spans="1:13" s="120" customFormat="1" x14ac:dyDescent="0.25">
      <c r="A4771" s="119"/>
      <c r="B4771" s="138" t="str">
        <f t="shared" si="300"/>
        <v>Windrow</v>
      </c>
      <c r="C4771" s="138" t="str">
        <f t="shared" si="299"/>
        <v>Without Amendment</v>
      </c>
      <c r="D4771" s="138" t="str">
        <f t="shared" si="304"/>
        <v>Medium_Low</v>
      </c>
      <c r="E4771" s="138" t="str">
        <f t="shared" si="298"/>
        <v>Base</v>
      </c>
      <c r="F4771" s="138" t="str">
        <f t="shared" si="301"/>
        <v>Upgraded</v>
      </c>
      <c r="G4771" s="153"/>
      <c r="H4771" s="210">
        <v>0.27639999999999998</v>
      </c>
      <c r="I4771" s="160" t="s">
        <v>55</v>
      </c>
      <c r="J4771" s="160">
        <v>3.5330499999999998</v>
      </c>
      <c r="K4771" s="160" t="s">
        <v>15</v>
      </c>
      <c r="L4771" s="154" t="str">
        <f>IF(OpenLCAbasic!K4771="CTUh", "Fill in Manually",IF(OR(K4771="Unit", K4771=""), "", INDEX(LookUps!$E$5:$E$12, MATCH(OpenLCAbasic!K4771,LookUps!$D$5:$D$12,0))))</f>
        <v>Cumulative Energy Demand (CED) - MJ</v>
      </c>
      <c r="M4771" s="154" t="str">
        <f t="shared" si="302"/>
        <v>Base_Medium_Low_Upgraded_Cumulative Energy Demand (CED) - MJ_Aeration Tanks; wastewater treatment unit; at updated plant - US_Without Amendment_Windrow</v>
      </c>
    </row>
    <row r="4772" spans="1:13" s="120" customFormat="1" x14ac:dyDescent="0.25">
      <c r="A4772" s="119"/>
      <c r="B4772" s="138" t="str">
        <f t="shared" si="300"/>
        <v>Windrow</v>
      </c>
      <c r="C4772" s="138" t="str">
        <f t="shared" si="299"/>
        <v>Without Amendment</v>
      </c>
      <c r="D4772" s="138" t="str">
        <f t="shared" si="304"/>
        <v>Medium_Low</v>
      </c>
      <c r="E4772" s="138" t="str">
        <f t="shared" si="298"/>
        <v>Base</v>
      </c>
      <c r="F4772" s="138" t="str">
        <f t="shared" si="301"/>
        <v>Upgraded</v>
      </c>
      <c r="G4772" s="153"/>
      <c r="H4772" s="210">
        <v>9.0999999999999998E-2</v>
      </c>
      <c r="I4772" s="160" t="s">
        <v>54</v>
      </c>
      <c r="J4772" s="160">
        <v>1.16289</v>
      </c>
      <c r="K4772" s="160" t="s">
        <v>15</v>
      </c>
      <c r="L4772" s="154" t="str">
        <f>IF(OpenLCAbasic!K4772="CTUh", "Fill in Manually",IF(OR(K4772="Unit", K4772=""), "", INDEX(LookUps!$E$5:$E$12, MATCH(OpenLCAbasic!K4772,LookUps!$D$5:$D$12,0))))</f>
        <v>Cumulative Energy Demand (CED) - MJ</v>
      </c>
      <c r="M4772" s="154" t="str">
        <f t="shared" si="302"/>
        <v>Base_Medium_Low_Upgraded_Cumulative Energy Demand (CED) - MJ_Clear Cove Primary Clarification; wastewater treatment unit; at updated plant - US_Without Amendment_Windrow</v>
      </c>
    </row>
    <row r="4773" spans="1:13" s="120" customFormat="1" x14ac:dyDescent="0.25">
      <c r="A4773" s="119"/>
      <c r="B4773" s="138" t="str">
        <f t="shared" si="300"/>
        <v>Windrow</v>
      </c>
      <c r="C4773" s="138" t="str">
        <f t="shared" si="299"/>
        <v>Without Amendment</v>
      </c>
      <c r="D4773" s="138" t="str">
        <f t="shared" si="304"/>
        <v>Medium_Low</v>
      </c>
      <c r="E4773" s="138" t="str">
        <f t="shared" si="298"/>
        <v>Base</v>
      </c>
      <c r="F4773" s="138" t="str">
        <f t="shared" si="301"/>
        <v>Upgraded</v>
      </c>
      <c r="G4773" s="153"/>
      <c r="H4773" s="210">
        <v>6.9400000000000003E-2</v>
      </c>
      <c r="I4773" s="160" t="s">
        <v>58</v>
      </c>
      <c r="J4773" s="160">
        <v>0.88705000000000001</v>
      </c>
      <c r="K4773" s="160" t="s">
        <v>15</v>
      </c>
      <c r="L4773" s="154" t="str">
        <f>IF(OpenLCAbasic!K4773="CTUh", "Fill in Manually",IF(OR(K4773="Unit", K4773=""), "", INDEX(LookUps!$E$5:$E$12, MATCH(OpenLCAbasic!K4773,LookUps!$D$5:$D$12,0))))</f>
        <v>Cumulative Energy Demand (CED) - MJ</v>
      </c>
      <c r="M4773" s="154" t="str">
        <f t="shared" si="302"/>
        <v>Base_Medium_Low_Upgraded_Cumulative Energy Demand (CED) - MJ_Pre-Anoxic &amp; Swing tank; wastewater treatment unit; at updated plant - US_Without Amendment_Windrow</v>
      </c>
    </row>
    <row r="4774" spans="1:13" s="120" customFormat="1" x14ac:dyDescent="0.25">
      <c r="A4774" s="119"/>
      <c r="B4774" s="138" t="str">
        <f t="shared" si="300"/>
        <v>Windrow</v>
      </c>
      <c r="C4774" s="138" t="str">
        <f t="shared" si="299"/>
        <v>Without Amendment</v>
      </c>
      <c r="D4774" s="138" t="str">
        <f t="shared" si="304"/>
        <v>Medium_Low</v>
      </c>
      <c r="E4774" s="138" t="str">
        <f t="shared" si="298"/>
        <v>Base</v>
      </c>
      <c r="F4774" s="138" t="str">
        <f t="shared" si="301"/>
        <v>Upgraded</v>
      </c>
      <c r="G4774" s="153"/>
      <c r="H4774" s="210">
        <v>6.9099999999999995E-2</v>
      </c>
      <c r="I4774" s="160" t="s">
        <v>147</v>
      </c>
      <c r="J4774" s="160">
        <v>0.88297000000000003</v>
      </c>
      <c r="K4774" s="160" t="s">
        <v>15</v>
      </c>
      <c r="L4774" s="154" t="str">
        <f>IF(OpenLCAbasic!K4774="CTUh", "Fill in Manually",IF(OR(K4774="Unit", K4774=""), "", INDEX(LookUps!$E$5:$E$12, MATCH(OpenLCAbasic!K4774,LookUps!$D$5:$D$12,0))))</f>
        <v>Cumulative Energy Demand (CED) - MJ</v>
      </c>
      <c r="M4774" s="154" t="str">
        <f t="shared" si="302"/>
        <v>Base_Medium_Low_Upgraded_Cumulative Energy Demand (CED) - MJ_Influent Pump Station; wastewater treatment unit; at updated plant - US_Without Amendment_Windrow</v>
      </c>
    </row>
    <row r="4775" spans="1:13" s="120" customFormat="1" x14ac:dyDescent="0.25">
      <c r="A4775" s="119"/>
      <c r="B4775" s="138" t="str">
        <f t="shared" si="300"/>
        <v>Windrow</v>
      </c>
      <c r="C4775" s="138" t="str">
        <f t="shared" si="299"/>
        <v>Without Amendment</v>
      </c>
      <c r="D4775" s="138" t="str">
        <f t="shared" si="304"/>
        <v>Medium_Low</v>
      </c>
      <c r="E4775" s="138" t="str">
        <f t="shared" si="298"/>
        <v>Base</v>
      </c>
      <c r="F4775" s="138" t="str">
        <f t="shared" si="301"/>
        <v>Upgraded</v>
      </c>
      <c r="G4775" s="153"/>
      <c r="H4775" s="210">
        <v>5.45E-2</v>
      </c>
      <c r="I4775" s="160" t="s">
        <v>53</v>
      </c>
      <c r="J4775" s="160">
        <v>0.69645000000000001</v>
      </c>
      <c r="K4775" s="160" t="s">
        <v>15</v>
      </c>
      <c r="L4775" s="154" t="str">
        <f>IF(OpenLCAbasic!K4775="CTUh", "Fill in Manually",IF(OR(K4775="Unit", K4775=""), "", INDEX(LookUps!$E$5:$E$12, MATCH(OpenLCAbasic!K4775,LookUps!$D$5:$D$12,0))))</f>
        <v>Cumulative Energy Demand (CED) - MJ</v>
      </c>
      <c r="M4775" s="154" t="str">
        <f t="shared" si="302"/>
        <v>Base_Medium_Low_Upgraded_Cumulative Energy Demand (CED) - MJ_Wet Well and Sump Station; wastewater treatment unit; at updated plant - US_Without Amendment_Windrow</v>
      </c>
    </row>
    <row r="4776" spans="1:13" s="120" customFormat="1" x14ac:dyDescent="0.25">
      <c r="A4776" s="119"/>
      <c r="B4776" s="138" t="str">
        <f t="shared" si="300"/>
        <v>Windrow</v>
      </c>
      <c r="C4776" s="138" t="str">
        <f t="shared" si="299"/>
        <v>Without Amendment</v>
      </c>
      <c r="D4776" s="138" t="str">
        <f t="shared" si="304"/>
        <v>Medium_Low</v>
      </c>
      <c r="E4776" s="138" t="str">
        <f t="shared" si="298"/>
        <v>Base</v>
      </c>
      <c r="F4776" s="138" t="str">
        <f t="shared" si="301"/>
        <v>Upgraded</v>
      </c>
      <c r="G4776" s="153"/>
      <c r="H4776" s="210">
        <v>3.5200000000000002E-2</v>
      </c>
      <c r="I4776" s="160" t="s">
        <v>60</v>
      </c>
      <c r="J4776" s="160">
        <v>0.44939000000000001</v>
      </c>
      <c r="K4776" s="160" t="s">
        <v>15</v>
      </c>
      <c r="L4776" s="154" t="str">
        <f>IF(OpenLCAbasic!K4776="CTUh", "Fill in Manually",IF(OR(K4776="Unit", K4776=""), "", INDEX(LookUps!$E$5:$E$12, MATCH(OpenLCAbasic!K4776,LookUps!$D$5:$D$12,0))))</f>
        <v>Cumulative Energy Demand (CED) - MJ</v>
      </c>
      <c r="M4776" s="154" t="str">
        <f t="shared" si="302"/>
        <v>Base_Medium_Low_Upgraded_Cumulative Energy Demand (CED) - MJ_Belt filter press; wastewater treatment unit; at updated plant - US_Without Amendment_Windrow</v>
      </c>
    </row>
    <row r="4777" spans="1:13" s="120" customFormat="1" x14ac:dyDescent="0.25">
      <c r="A4777" s="119"/>
      <c r="B4777" s="138" t="str">
        <f t="shared" si="300"/>
        <v>Windrow</v>
      </c>
      <c r="C4777" s="138" t="str">
        <f t="shared" si="299"/>
        <v>Without Amendment</v>
      </c>
      <c r="D4777" s="138" t="str">
        <f t="shared" si="304"/>
        <v>Medium_Low</v>
      </c>
      <c r="E4777" s="138" t="str">
        <f t="shared" si="298"/>
        <v>Base</v>
      </c>
      <c r="F4777" s="138" t="str">
        <f t="shared" si="301"/>
        <v>Upgraded</v>
      </c>
      <c r="G4777" s="153"/>
      <c r="H4777" s="210">
        <v>2.6100000000000002E-2</v>
      </c>
      <c r="I4777" s="160" t="s">
        <v>57</v>
      </c>
      <c r="J4777" s="160">
        <v>0.33404</v>
      </c>
      <c r="K4777" s="160" t="s">
        <v>15</v>
      </c>
      <c r="L4777" s="154" t="str">
        <f>IF(OpenLCAbasic!K4777="CTUh", "Fill in Manually",IF(OR(K4777="Unit", K4777=""), "", INDEX(LookUps!$E$5:$E$12, MATCH(OpenLCAbasic!K4777,LookUps!$D$5:$D$12,0))))</f>
        <v>Cumulative Energy Demand (CED) - MJ</v>
      </c>
      <c r="M4777" s="154" t="str">
        <f t="shared" si="302"/>
        <v>Base_Medium_Low_Upgraded_Cumulative Energy Demand (CED) - MJ_Gravity Belt Thickener; wastewater treatment unit; at updated plant - US_Without Amendment_Windrow</v>
      </c>
    </row>
    <row r="4778" spans="1:13" s="120" customFormat="1" x14ac:dyDescent="0.25">
      <c r="A4778" s="119"/>
      <c r="B4778" s="138" t="str">
        <f t="shared" si="300"/>
        <v>Windrow</v>
      </c>
      <c r="C4778" s="138" t="str">
        <f t="shared" si="299"/>
        <v>Without Amendment</v>
      </c>
      <c r="D4778" s="138" t="str">
        <f t="shared" si="304"/>
        <v>Medium_Low</v>
      </c>
      <c r="E4778" s="138" t="str">
        <f t="shared" si="298"/>
        <v>Base</v>
      </c>
      <c r="F4778" s="138" t="str">
        <f t="shared" si="301"/>
        <v>Upgraded</v>
      </c>
      <c r="G4778" s="153"/>
      <c r="H4778" s="210">
        <v>2.1499999999999998E-2</v>
      </c>
      <c r="I4778" s="160" t="s">
        <v>149</v>
      </c>
      <c r="J4778" s="160">
        <v>0.27453</v>
      </c>
      <c r="K4778" s="160" t="s">
        <v>15</v>
      </c>
      <c r="L4778" s="154" t="str">
        <f>IF(OpenLCAbasic!K4778="CTUh", "Fill in Manually",IF(OR(K4778="Unit", K4778=""), "", INDEX(LookUps!$E$5:$E$12, MATCH(OpenLCAbasic!K4778,LookUps!$D$5:$D$12,0))))</f>
        <v>Cumulative Energy Demand (CED) - MJ</v>
      </c>
      <c r="M4778" s="154" t="str">
        <f t="shared" si="302"/>
        <v>Base_Medium_Low_Upgraded_Cumulative Energy Demand (CED) - MJ_Anaerobic Digestion; wastewater treatment unit; at updated plant - US_Without Amendment_Windrow</v>
      </c>
    </row>
    <row r="4779" spans="1:13" s="120" customFormat="1" x14ac:dyDescent="0.25">
      <c r="A4779" s="119"/>
      <c r="B4779" s="138" t="str">
        <f t="shared" si="300"/>
        <v>Windrow</v>
      </c>
      <c r="C4779" s="138" t="str">
        <f t="shared" si="299"/>
        <v>Without Amendment</v>
      </c>
      <c r="D4779" s="138" t="str">
        <f t="shared" si="304"/>
        <v>Medium_Low</v>
      </c>
      <c r="E4779" s="138" t="str">
        <f t="shared" si="298"/>
        <v>Base</v>
      </c>
      <c r="F4779" s="138" t="str">
        <f t="shared" si="301"/>
        <v>Upgraded</v>
      </c>
      <c r="G4779" s="153"/>
      <c r="H4779" s="210">
        <v>0.02</v>
      </c>
      <c r="I4779" s="160" t="s">
        <v>128</v>
      </c>
      <c r="J4779" s="160">
        <v>0.25606000000000001</v>
      </c>
      <c r="K4779" s="160" t="s">
        <v>15</v>
      </c>
      <c r="L4779" s="154" t="str">
        <f>IF(OpenLCAbasic!K4779="CTUh", "Fill in Manually",IF(OR(K4779="Unit", K4779=""), "", INDEX(LookUps!$E$5:$E$12, MATCH(OpenLCAbasic!K4779,LookUps!$D$5:$D$12,0))))</f>
        <v>Cumulative Energy Demand (CED) - MJ</v>
      </c>
      <c r="M4779" s="154" t="str">
        <f t="shared" si="302"/>
        <v>Base_Medium_Low_Upgraded_Cumulative Energy Demand (CED) - MJ_Wastewater collection; operation and infrastructure; m3 wastewater_Without Amendment_Windrow</v>
      </c>
    </row>
    <row r="4780" spans="1:13" s="120" customFormat="1" x14ac:dyDescent="0.25">
      <c r="A4780" s="119"/>
      <c r="B4780" s="138" t="str">
        <f t="shared" si="300"/>
        <v>Windrow</v>
      </c>
      <c r="C4780" s="138" t="str">
        <f t="shared" si="299"/>
        <v>Without Amendment</v>
      </c>
      <c r="D4780" s="138" t="str">
        <f t="shared" si="304"/>
        <v>Medium_Low</v>
      </c>
      <c r="E4780" s="138" t="str">
        <f t="shared" si="298"/>
        <v>Base</v>
      </c>
      <c r="F4780" s="138" t="str">
        <f t="shared" si="301"/>
        <v>Upgraded</v>
      </c>
      <c r="G4780" s="153"/>
      <c r="H4780" s="210">
        <v>1.14E-2</v>
      </c>
      <c r="I4780" s="160" t="s">
        <v>148</v>
      </c>
      <c r="J4780" s="160">
        <v>0.14599000000000001</v>
      </c>
      <c r="K4780" s="160" t="s">
        <v>15</v>
      </c>
      <c r="L4780" s="154" t="str">
        <f>IF(OpenLCAbasic!K4780="CTUh", "Fill in Manually",IF(OR(K4780="Unit", K4780=""), "", INDEX(LookUps!$E$5:$E$12, MATCH(OpenLCAbasic!K4780,LookUps!$D$5:$D$12,0))))</f>
        <v>Cumulative Energy Demand (CED) - MJ</v>
      </c>
      <c r="M4780" s="154" t="str">
        <f t="shared" si="302"/>
        <v>Base_Medium_Low_Upgraded_Cumulative Energy Demand (CED) - MJ_Control Building; at upgraded wastewater treatment plant - US_Without Amendment_Windrow</v>
      </c>
    </row>
    <row r="4781" spans="1:13" s="120" customFormat="1" x14ac:dyDescent="0.25">
      <c r="A4781" s="119"/>
      <c r="B4781" s="138" t="str">
        <f t="shared" si="300"/>
        <v>Windrow</v>
      </c>
      <c r="C4781" s="138" t="str">
        <f t="shared" si="299"/>
        <v>Without Amendment</v>
      </c>
      <c r="D4781" s="138" t="str">
        <f t="shared" si="304"/>
        <v>Medium_Low</v>
      </c>
      <c r="E4781" s="138" t="str">
        <f t="shared" si="298"/>
        <v>Base</v>
      </c>
      <c r="F4781" s="138" t="str">
        <f t="shared" si="301"/>
        <v>Upgraded</v>
      </c>
      <c r="G4781" s="153"/>
      <c r="H4781" s="210">
        <v>1.04E-2</v>
      </c>
      <c r="I4781" s="160" t="s">
        <v>48</v>
      </c>
      <c r="J4781" s="160">
        <v>0.13321</v>
      </c>
      <c r="K4781" s="160" t="s">
        <v>15</v>
      </c>
      <c r="L4781" s="154" t="str">
        <f>IF(OpenLCAbasic!K4781="CTUh", "Fill in Manually",IF(OR(K4781="Unit", K4781=""), "", INDEX(LookUps!$E$5:$E$12, MATCH(OpenLCAbasic!K4781,LookUps!$D$5:$D$12,0))))</f>
        <v>Cumulative Energy Demand (CED) - MJ</v>
      </c>
      <c r="M4781" s="154" t="str">
        <f t="shared" si="302"/>
        <v>Base_Medium_Low_Upgraded_Cumulative Energy Demand (CED) - MJ_Effluent release; wastewater treatment unit; at surface water; m3 wastewater - US_Without Amendment_Windrow</v>
      </c>
    </row>
    <row r="4782" spans="1:13" s="120" customFormat="1" x14ac:dyDescent="0.25">
      <c r="A4782" s="119"/>
      <c r="B4782" s="138" t="str">
        <f t="shared" si="300"/>
        <v>Windrow</v>
      </c>
      <c r="C4782" s="138" t="str">
        <f t="shared" si="299"/>
        <v>Without Amendment</v>
      </c>
      <c r="D4782" s="138" t="str">
        <f t="shared" si="304"/>
        <v>Medium_Low</v>
      </c>
      <c r="E4782" s="138" t="str">
        <f t="shared" si="298"/>
        <v>Base</v>
      </c>
      <c r="F4782" s="138" t="str">
        <f t="shared" si="301"/>
        <v>Upgraded</v>
      </c>
      <c r="G4782" s="153"/>
      <c r="H4782" s="210">
        <v>8.3000000000000001E-3</v>
      </c>
      <c r="I4782" s="160" t="s">
        <v>59</v>
      </c>
      <c r="J4782" s="160">
        <v>0.10638</v>
      </c>
      <c r="K4782" s="160" t="s">
        <v>15</v>
      </c>
      <c r="L4782" s="154" t="str">
        <f>IF(OpenLCAbasic!K4782="CTUh", "Fill in Manually",IF(OR(K4782="Unit", K4782=""), "", INDEX(LookUps!$E$5:$E$12, MATCH(OpenLCAbasic!K4782,LookUps!$D$5:$D$12,0))))</f>
        <v>Cumulative Energy Demand (CED) - MJ</v>
      </c>
      <c r="M4782" s="154" t="str">
        <f t="shared" si="302"/>
        <v>Base_Medium_Low_Upgraded_Cumulative Energy Demand (CED) - MJ_Blend Tank; wastewater treatment unit; at updated plant - US_Without Amendment_Windrow</v>
      </c>
    </row>
    <row r="4783" spans="1:13" s="120" customFormat="1" x14ac:dyDescent="0.25">
      <c r="A4783" s="119"/>
      <c r="B4783" s="138" t="str">
        <f t="shared" si="300"/>
        <v>Windrow</v>
      </c>
      <c r="C4783" s="138" t="str">
        <f t="shared" si="299"/>
        <v>Without Amendment</v>
      </c>
      <c r="D4783" s="138" t="str">
        <f t="shared" si="304"/>
        <v>Medium_Low</v>
      </c>
      <c r="E4783" s="138" t="str">
        <f t="shared" si="298"/>
        <v>Base</v>
      </c>
      <c r="F4783" s="138" t="str">
        <f t="shared" si="301"/>
        <v>Upgraded</v>
      </c>
      <c r="G4783" s="153"/>
      <c r="H4783" s="210">
        <v>4.0000000000000001E-3</v>
      </c>
      <c r="I4783" s="160" t="s">
        <v>168</v>
      </c>
      <c r="J4783" s="160">
        <v>5.0930000000000003E-2</v>
      </c>
      <c r="K4783" s="160" t="s">
        <v>15</v>
      </c>
      <c r="L4783" s="154" t="str">
        <f>IF(OpenLCAbasic!K4783="CTUh", "Fill in Manually",IF(OR(K4783="Unit", K4783=""), "", INDEX(LookUps!$E$5:$E$12, MATCH(OpenLCAbasic!K4783,LookUps!$D$5:$D$12,0))))</f>
        <v>Cumulative Energy Demand (CED) - MJ</v>
      </c>
      <c r="M4783" s="154" t="str">
        <f t="shared" si="302"/>
        <v>Base_Medium_Low_Upgraded_Cumulative Energy Demand (CED) - MJ_ClearCove SCP; wastewater treatment unit; at updated plant - US_Without Amendment_Windrow</v>
      </c>
    </row>
    <row r="4784" spans="1:13" s="120" customFormat="1" x14ac:dyDescent="0.25">
      <c r="A4784" s="119"/>
      <c r="B4784" s="138" t="str">
        <f t="shared" si="300"/>
        <v>Windrow</v>
      </c>
      <c r="C4784" s="138" t="str">
        <f t="shared" si="299"/>
        <v>Without Amendment</v>
      </c>
      <c r="D4784" s="138" t="str">
        <f t="shared" si="304"/>
        <v>Medium_Low</v>
      </c>
      <c r="E4784" s="138" t="str">
        <f t="shared" si="298"/>
        <v>Base</v>
      </c>
      <c r="F4784" s="138" t="str">
        <f t="shared" si="301"/>
        <v>Upgraded</v>
      </c>
      <c r="G4784" s="153"/>
      <c r="H4784" s="210">
        <v>2.3E-3</v>
      </c>
      <c r="I4784" s="160" t="s">
        <v>271</v>
      </c>
      <c r="J4784" s="160">
        <v>2.9559999999999999E-2</v>
      </c>
      <c r="K4784" s="160" t="s">
        <v>15</v>
      </c>
      <c r="L4784" s="154" t="str">
        <f>IF(OpenLCAbasic!K4784="CTUh", "Fill in Manually",IF(OR(K4784="Unit", K4784=""), "", INDEX(LookUps!$E$5:$E$12, MATCH(OpenLCAbasic!K4784,LookUps!$D$5:$D$12,0))))</f>
        <v>Cumulative Energy Demand (CED) - MJ</v>
      </c>
      <c r="M4784" s="154" t="str">
        <f t="shared" si="302"/>
        <v>Base_Medium_Low_Upgraded_Cumulative Energy Demand (CED) - MJ_Biosolids composting; windrow composting; wastewater treatment unit; at updated plant - US_Without Amendment_Windrow</v>
      </c>
    </row>
    <row r="4785" spans="1:13" s="120" customFormat="1" x14ac:dyDescent="0.25">
      <c r="A4785" s="119"/>
      <c r="B4785" s="138" t="str">
        <f t="shared" si="300"/>
        <v>Windrow</v>
      </c>
      <c r="C4785" s="138" t="str">
        <f t="shared" si="299"/>
        <v>Without Amendment</v>
      </c>
      <c r="D4785" s="138" t="str">
        <f t="shared" si="304"/>
        <v>Medium_Low</v>
      </c>
      <c r="E4785" s="138" t="str">
        <f t="shared" ref="E4785:E4848" si="305">IF(ISNUMBER($J4785),"Base","")</f>
        <v>Base</v>
      </c>
      <c r="F4785" s="138" t="str">
        <f t="shared" si="301"/>
        <v>Upgraded</v>
      </c>
      <c r="G4785" s="153"/>
      <c r="H4785" s="210">
        <v>-3.4500000000000003E-2</v>
      </c>
      <c r="I4785" s="160" t="s">
        <v>62</v>
      </c>
      <c r="J4785" s="160">
        <v>-0.44119999999999998</v>
      </c>
      <c r="K4785" s="160" t="s">
        <v>15</v>
      </c>
      <c r="L4785" s="154" t="str">
        <f>IF(OpenLCAbasic!K4785="CTUh", "Fill in Manually",IF(OR(K4785="Unit", K4785=""), "", INDEX(LookUps!$E$5:$E$12, MATCH(OpenLCAbasic!K4785,LookUps!$D$5:$D$12,0))))</f>
        <v>Cumulative Energy Demand (CED) - MJ</v>
      </c>
      <c r="M4785" s="154" t="str">
        <f t="shared" si="302"/>
        <v>Base_Medium_Low_Upgraded_Cumulative Energy Demand (CED) - MJ_Land application of compost; wastewater treatment unit; at updated plant - US_Without Amendment_Windrow</v>
      </c>
    </row>
    <row r="4786" spans="1:13" s="120" customFormat="1" x14ac:dyDescent="0.25">
      <c r="A4786" s="119"/>
      <c r="B4786" s="138" t="str">
        <f t="shared" si="300"/>
        <v/>
      </c>
      <c r="C4786" s="138" t="str">
        <f t="shared" si="299"/>
        <v/>
      </c>
      <c r="D4786" s="138" t="str">
        <f t="shared" si="304"/>
        <v/>
      </c>
      <c r="E4786" s="138" t="str">
        <f t="shared" si="305"/>
        <v/>
      </c>
      <c r="F4786" s="138" t="str">
        <f t="shared" si="301"/>
        <v/>
      </c>
      <c r="G4786" s="153" t="s">
        <v>51</v>
      </c>
      <c r="H4786" s="160"/>
      <c r="I4786" s="160" t="s">
        <v>47</v>
      </c>
      <c r="J4786" s="160" t="s">
        <v>52</v>
      </c>
      <c r="K4786" s="160" t="s">
        <v>27</v>
      </c>
      <c r="L4786" s="154" t="str">
        <f>IF(OpenLCAbasic!K4786="CTUh", "Fill in Manually",IF(OR(K4786="Unit", K4786=""), "", INDEX(LookUps!$E$5:$E$12, MATCH(OpenLCAbasic!K4786,LookUps!$D$5:$D$12,0))))</f>
        <v/>
      </c>
      <c r="M4786" s="154" t="str">
        <f t="shared" si="302"/>
        <v>____Process__</v>
      </c>
    </row>
    <row r="4787" spans="1:13" s="120" customFormat="1" x14ac:dyDescent="0.25">
      <c r="A4787" s="119"/>
      <c r="B4787" s="138" t="str">
        <f t="shared" si="300"/>
        <v>Windrow</v>
      </c>
      <c r="C4787" s="138" t="str">
        <f t="shared" si="299"/>
        <v>Without Amendment</v>
      </c>
      <c r="D4787" s="138" t="str">
        <f t="shared" si="304"/>
        <v>Medium_Low</v>
      </c>
      <c r="E4787" s="138" t="str">
        <f t="shared" si="305"/>
        <v>Base</v>
      </c>
      <c r="F4787" s="138" t="str">
        <f t="shared" si="301"/>
        <v>Upgraded</v>
      </c>
      <c r="G4787" s="153"/>
      <c r="H4787" s="210">
        <v>0.746</v>
      </c>
      <c r="I4787" s="160" t="s">
        <v>48</v>
      </c>
      <c r="J4787" s="160">
        <v>1.1610000000000001E-2</v>
      </c>
      <c r="K4787" s="160" t="s">
        <v>13</v>
      </c>
      <c r="L4787" s="154" t="str">
        <f>IF(OpenLCAbasic!K4787="CTUh", "Fill in Manually",IF(OR(K4787="Unit", K4787=""), "", INDEX(LookUps!$E$5:$E$12, MATCH(OpenLCAbasic!K4787,LookUps!$D$5:$D$12,0))))</f>
        <v>Eutrophication Potential (EP) - kg N eq</v>
      </c>
      <c r="M4787" s="154" t="str">
        <f t="shared" si="302"/>
        <v>Base_Medium_Low_Upgraded_Eutrophication Potential (EP) - kg N eq_Effluent release; wastewater treatment unit; at surface water; m3 wastewater - US_Without Amendment_Windrow</v>
      </c>
    </row>
    <row r="4788" spans="1:13" s="120" customFormat="1" x14ac:dyDescent="0.25">
      <c r="A4788" s="119"/>
      <c r="B4788" s="138" t="str">
        <f t="shared" si="300"/>
        <v>Windrow</v>
      </c>
      <c r="C4788" s="138" t="str">
        <f t="shared" si="299"/>
        <v>Without Amendment</v>
      </c>
      <c r="D4788" s="138" t="str">
        <f t="shared" si="304"/>
        <v>Medium_Low</v>
      </c>
      <c r="E4788" s="138" t="str">
        <f t="shared" si="305"/>
        <v>Base</v>
      </c>
      <c r="F4788" s="138" t="str">
        <f t="shared" si="301"/>
        <v>Upgraded</v>
      </c>
      <c r="G4788" s="153"/>
      <c r="H4788" s="210">
        <v>0.12920000000000001</v>
      </c>
      <c r="I4788" s="160" t="s">
        <v>62</v>
      </c>
      <c r="J4788" s="160">
        <v>2.0100000000000001E-3</v>
      </c>
      <c r="K4788" s="160" t="s">
        <v>13</v>
      </c>
      <c r="L4788" s="154" t="str">
        <f>IF(OpenLCAbasic!K4788="CTUh", "Fill in Manually",IF(OR(K4788="Unit", K4788=""), "", INDEX(LookUps!$E$5:$E$12, MATCH(OpenLCAbasic!K4788,LookUps!$D$5:$D$12,0))))</f>
        <v>Eutrophication Potential (EP) - kg N eq</v>
      </c>
      <c r="M4788" s="154" t="str">
        <f t="shared" si="302"/>
        <v>Base_Medium_Low_Upgraded_Eutrophication Potential (EP) - kg N eq_Land application of compost; wastewater treatment unit; at updated plant - US_Without Amendment_Windrow</v>
      </c>
    </row>
    <row r="4789" spans="1:13" s="120" customFormat="1" x14ac:dyDescent="0.25">
      <c r="A4789" s="119"/>
      <c r="B4789" s="138" t="str">
        <f t="shared" si="300"/>
        <v>Windrow</v>
      </c>
      <c r="C4789" s="138" t="str">
        <f t="shared" si="299"/>
        <v>Without Amendment</v>
      </c>
      <c r="D4789" s="138" t="str">
        <f t="shared" si="304"/>
        <v>Medium_Low</v>
      </c>
      <c r="E4789" s="138" t="str">
        <f t="shared" si="305"/>
        <v>Base</v>
      </c>
      <c r="F4789" s="138" t="str">
        <f t="shared" si="301"/>
        <v>Upgraded</v>
      </c>
      <c r="G4789" s="153"/>
      <c r="H4789" s="210">
        <v>3.5099999999999999E-2</v>
      </c>
      <c r="I4789" s="160" t="s">
        <v>55</v>
      </c>
      <c r="J4789" s="160">
        <v>5.5000000000000003E-4</v>
      </c>
      <c r="K4789" s="160" t="s">
        <v>13</v>
      </c>
      <c r="L4789" s="154" t="str">
        <f>IF(OpenLCAbasic!K4789="CTUh", "Fill in Manually",IF(OR(K4789="Unit", K4789=""), "", INDEX(LookUps!$E$5:$E$12, MATCH(OpenLCAbasic!K4789,LookUps!$D$5:$D$12,0))))</f>
        <v>Eutrophication Potential (EP) - kg N eq</v>
      </c>
      <c r="M4789" s="154" t="str">
        <f t="shared" si="302"/>
        <v>Base_Medium_Low_Upgraded_Eutrophication Potential (EP) - kg N eq_Aeration Tanks; wastewater treatment unit; at updated plant - US_Without Amendment_Windrow</v>
      </c>
    </row>
    <row r="4790" spans="1:13" s="120" customFormat="1" x14ac:dyDescent="0.25">
      <c r="A4790" s="119"/>
      <c r="B4790" s="138" t="str">
        <f t="shared" si="300"/>
        <v>Windrow</v>
      </c>
      <c r="C4790" s="138" t="str">
        <f t="shared" si="299"/>
        <v>Without Amendment</v>
      </c>
      <c r="D4790" s="138" t="str">
        <f t="shared" si="304"/>
        <v>Medium_Low</v>
      </c>
      <c r="E4790" s="138" t="str">
        <f t="shared" si="305"/>
        <v>Base</v>
      </c>
      <c r="F4790" s="138" t="str">
        <f t="shared" si="301"/>
        <v>Upgraded</v>
      </c>
      <c r="G4790" s="153"/>
      <c r="H4790" s="210">
        <v>2.2700000000000001E-2</v>
      </c>
      <c r="I4790" s="160" t="s">
        <v>271</v>
      </c>
      <c r="J4790" s="160">
        <v>3.5E-4</v>
      </c>
      <c r="K4790" s="160" t="s">
        <v>13</v>
      </c>
      <c r="L4790" s="154" t="str">
        <f>IF(OpenLCAbasic!K4790="CTUh", "Fill in Manually",IF(OR(K4790="Unit", K4790=""), "", INDEX(LookUps!$E$5:$E$12, MATCH(OpenLCAbasic!K4790,LookUps!$D$5:$D$12,0))))</f>
        <v>Eutrophication Potential (EP) - kg N eq</v>
      </c>
      <c r="M4790" s="154" t="str">
        <f t="shared" si="302"/>
        <v>Base_Medium_Low_Upgraded_Eutrophication Potential (EP) - kg N eq_Biosolids composting; windrow composting; wastewater treatment unit; at updated plant - US_Without Amendment_Windrow</v>
      </c>
    </row>
    <row r="4791" spans="1:13" s="120" customFormat="1" x14ac:dyDescent="0.25">
      <c r="A4791" s="119"/>
      <c r="B4791" s="138" t="str">
        <f t="shared" si="300"/>
        <v>Windrow</v>
      </c>
      <c r="C4791" s="138" t="str">
        <f t="shared" si="299"/>
        <v>Without Amendment</v>
      </c>
      <c r="D4791" s="138" t="str">
        <f t="shared" si="304"/>
        <v>Medium_Low</v>
      </c>
      <c r="E4791" s="138" t="str">
        <f t="shared" si="305"/>
        <v>Base</v>
      </c>
      <c r="F4791" s="138" t="str">
        <f t="shared" si="301"/>
        <v>Upgraded</v>
      </c>
      <c r="G4791" s="153"/>
      <c r="H4791" s="210">
        <v>1.6E-2</v>
      </c>
      <c r="I4791" s="160" t="s">
        <v>147</v>
      </c>
      <c r="J4791" s="160">
        <v>2.5000000000000001E-4</v>
      </c>
      <c r="K4791" s="160" t="s">
        <v>13</v>
      </c>
      <c r="L4791" s="154" t="str">
        <f>IF(OpenLCAbasic!K4791="CTUh", "Fill in Manually",IF(OR(K4791="Unit", K4791=""), "", INDEX(LookUps!$E$5:$E$12, MATCH(OpenLCAbasic!K4791,LookUps!$D$5:$D$12,0))))</f>
        <v>Eutrophication Potential (EP) - kg N eq</v>
      </c>
      <c r="M4791" s="154" t="str">
        <f t="shared" si="302"/>
        <v>Base_Medium_Low_Upgraded_Eutrophication Potential (EP) - kg N eq_Influent Pump Station; wastewater treatment unit; at updated plant - US_Without Amendment_Windrow</v>
      </c>
    </row>
    <row r="4792" spans="1:13" s="120" customFormat="1" x14ac:dyDescent="0.25">
      <c r="A4792" s="119"/>
      <c r="B4792" s="138" t="str">
        <f t="shared" si="300"/>
        <v>Windrow</v>
      </c>
      <c r="C4792" s="138" t="str">
        <f t="shared" si="299"/>
        <v>Without Amendment</v>
      </c>
      <c r="D4792" s="138" t="str">
        <f t="shared" si="304"/>
        <v>Medium_Low</v>
      </c>
      <c r="E4792" s="138" t="str">
        <f t="shared" si="305"/>
        <v>Base</v>
      </c>
      <c r="F4792" s="138" t="str">
        <f t="shared" si="301"/>
        <v>Upgraded</v>
      </c>
      <c r="G4792" s="153"/>
      <c r="H4792" s="210">
        <v>1.2699999999999999E-2</v>
      </c>
      <c r="I4792" s="160" t="s">
        <v>54</v>
      </c>
      <c r="J4792" s="160">
        <v>2.0000000000000001E-4</v>
      </c>
      <c r="K4792" s="160" t="s">
        <v>13</v>
      </c>
      <c r="L4792" s="154" t="str">
        <f>IF(OpenLCAbasic!K4792="CTUh", "Fill in Manually",IF(OR(K4792="Unit", K4792=""), "", INDEX(LookUps!$E$5:$E$12, MATCH(OpenLCAbasic!K4792,LookUps!$D$5:$D$12,0))))</f>
        <v>Eutrophication Potential (EP) - kg N eq</v>
      </c>
      <c r="M4792" s="154" t="str">
        <f t="shared" si="302"/>
        <v>Base_Medium_Low_Upgraded_Eutrophication Potential (EP) - kg N eq_Clear Cove Primary Clarification; wastewater treatment unit; at updated plant - US_Without Amendment_Windrow</v>
      </c>
    </row>
    <row r="4793" spans="1:13" s="120" customFormat="1" x14ac:dyDescent="0.25">
      <c r="A4793" s="119"/>
      <c r="B4793" s="138" t="str">
        <f t="shared" si="300"/>
        <v>Windrow</v>
      </c>
      <c r="C4793" s="138" t="str">
        <f t="shared" si="299"/>
        <v>Without Amendment</v>
      </c>
      <c r="D4793" s="138" t="str">
        <f t="shared" si="304"/>
        <v>Medium_Low</v>
      </c>
      <c r="E4793" s="138" t="str">
        <f t="shared" si="305"/>
        <v>Base</v>
      </c>
      <c r="F4793" s="138" t="str">
        <f t="shared" si="301"/>
        <v>Upgraded</v>
      </c>
      <c r="G4793" s="153"/>
      <c r="H4793" s="210">
        <v>1.23E-2</v>
      </c>
      <c r="I4793" s="160" t="s">
        <v>167</v>
      </c>
      <c r="J4793" s="160">
        <v>1.9000000000000001E-4</v>
      </c>
      <c r="K4793" s="160" t="s">
        <v>13</v>
      </c>
      <c r="L4793" s="154" t="str">
        <f>IF(OpenLCAbasic!K4793="CTUh", "Fill in Manually",IF(OR(K4793="Unit", K4793=""), "", INDEX(LookUps!$E$5:$E$12, MATCH(OpenLCAbasic!K4793,LookUps!$D$5:$D$12,0))))</f>
        <v>Eutrophication Potential (EP) - kg N eq</v>
      </c>
      <c r="M4793" s="154" t="str">
        <f t="shared" si="302"/>
        <v>Base_Medium_Low_Upgraded_Eutrophication Potential (EP) - kg N eq_Waste Receiving and Holding; wastewater treatment unit; at updated plant - US_Without Amendment_Windrow</v>
      </c>
    </row>
    <row r="4794" spans="1:13" s="120" customFormat="1" x14ac:dyDescent="0.25">
      <c r="A4794" s="119"/>
      <c r="B4794" s="138" t="str">
        <f t="shared" si="300"/>
        <v>Windrow</v>
      </c>
      <c r="C4794" s="138" t="str">
        <f t="shared" si="299"/>
        <v>Without Amendment</v>
      </c>
      <c r="D4794" s="138" t="str">
        <f t="shared" si="304"/>
        <v>Medium_Low</v>
      </c>
      <c r="E4794" s="138" t="str">
        <f t="shared" si="305"/>
        <v>Base</v>
      </c>
      <c r="F4794" s="138" t="str">
        <f t="shared" si="301"/>
        <v>Upgraded</v>
      </c>
      <c r="G4794" s="153"/>
      <c r="H4794" s="210">
        <v>8.6999999999999994E-3</v>
      </c>
      <c r="I4794" s="160" t="s">
        <v>58</v>
      </c>
      <c r="J4794" s="160">
        <v>1.3999999999999999E-4</v>
      </c>
      <c r="K4794" s="160" t="s">
        <v>13</v>
      </c>
      <c r="L4794" s="154" t="str">
        <f>IF(OpenLCAbasic!K4794="CTUh", "Fill in Manually",IF(OR(K4794="Unit", K4794=""), "", INDEX(LookUps!$E$5:$E$12, MATCH(OpenLCAbasic!K4794,LookUps!$D$5:$D$12,0))))</f>
        <v>Eutrophication Potential (EP) - kg N eq</v>
      </c>
      <c r="M4794" s="154" t="str">
        <f t="shared" si="302"/>
        <v>Base_Medium_Low_Upgraded_Eutrophication Potential (EP) - kg N eq_Pre-Anoxic &amp; Swing tank; wastewater treatment unit; at updated plant - US_Without Amendment_Windrow</v>
      </c>
    </row>
    <row r="4795" spans="1:13" s="120" customFormat="1" x14ac:dyDescent="0.25">
      <c r="A4795" s="119"/>
      <c r="B4795" s="138" t="str">
        <f t="shared" si="300"/>
        <v>Windrow</v>
      </c>
      <c r="C4795" s="138" t="str">
        <f t="shared" si="299"/>
        <v>Without Amendment</v>
      </c>
      <c r="D4795" s="138" t="str">
        <f t="shared" si="304"/>
        <v>Medium_Low</v>
      </c>
      <c r="E4795" s="138" t="str">
        <f t="shared" si="305"/>
        <v>Base</v>
      </c>
      <c r="F4795" s="138" t="str">
        <f t="shared" si="301"/>
        <v>Upgraded</v>
      </c>
      <c r="G4795" s="153"/>
      <c r="H4795" s="210">
        <v>6.8999999999999999E-3</v>
      </c>
      <c r="I4795" s="160" t="s">
        <v>53</v>
      </c>
      <c r="J4795" s="160">
        <v>1.1E-4</v>
      </c>
      <c r="K4795" s="160" t="s">
        <v>13</v>
      </c>
      <c r="L4795" s="154" t="str">
        <f>IF(OpenLCAbasic!K4795="CTUh", "Fill in Manually",IF(OR(K4795="Unit", K4795=""), "", INDEX(LookUps!$E$5:$E$12, MATCH(OpenLCAbasic!K4795,LookUps!$D$5:$D$12,0))))</f>
        <v>Eutrophication Potential (EP) - kg N eq</v>
      </c>
      <c r="M4795" s="154" t="str">
        <f t="shared" si="302"/>
        <v>Base_Medium_Low_Upgraded_Eutrophication Potential (EP) - kg N eq_Wet Well and Sump Station; wastewater treatment unit; at updated plant - US_Without Amendment_Windrow</v>
      </c>
    </row>
    <row r="4796" spans="1:13" s="120" customFormat="1" x14ac:dyDescent="0.25">
      <c r="A4796" s="119"/>
      <c r="B4796" s="138" t="str">
        <f t="shared" si="300"/>
        <v>Windrow</v>
      </c>
      <c r="C4796" s="138" t="str">
        <f t="shared" si="299"/>
        <v>Without Amendment</v>
      </c>
      <c r="D4796" s="138" t="str">
        <f t="shared" si="304"/>
        <v>Medium_Low</v>
      </c>
      <c r="E4796" s="138" t="str">
        <f t="shared" si="305"/>
        <v>Base</v>
      </c>
      <c r="F4796" s="138" t="str">
        <f t="shared" si="301"/>
        <v>Upgraded</v>
      </c>
      <c r="G4796" s="153"/>
      <c r="H4796" s="210">
        <v>5.1000000000000004E-3</v>
      </c>
      <c r="I4796" s="160" t="s">
        <v>60</v>
      </c>
      <c r="J4796" s="211">
        <v>7.8941800000000004E-5</v>
      </c>
      <c r="K4796" s="160" t="s">
        <v>13</v>
      </c>
      <c r="L4796" s="154" t="str">
        <f>IF(OpenLCAbasic!K4796="CTUh", "Fill in Manually",IF(OR(K4796="Unit", K4796=""), "", INDEX(LookUps!$E$5:$E$12, MATCH(OpenLCAbasic!K4796,LookUps!$D$5:$D$12,0))))</f>
        <v>Eutrophication Potential (EP) - kg N eq</v>
      </c>
      <c r="M4796" s="154" t="str">
        <f t="shared" si="302"/>
        <v>Base_Medium_Low_Upgraded_Eutrophication Potential (EP) - kg N eq_Belt filter press; wastewater treatment unit; at updated plant - US_Without Amendment_Windrow</v>
      </c>
    </row>
    <row r="4797" spans="1:13" s="120" customFormat="1" x14ac:dyDescent="0.25">
      <c r="A4797" s="119"/>
      <c r="B4797" s="138" t="str">
        <f t="shared" si="300"/>
        <v>Windrow</v>
      </c>
      <c r="C4797" s="138" t="str">
        <f t="shared" si="299"/>
        <v>Without Amendment</v>
      </c>
      <c r="D4797" s="138" t="str">
        <f t="shared" si="304"/>
        <v>Medium_Low</v>
      </c>
      <c r="E4797" s="138" t="str">
        <f t="shared" si="305"/>
        <v>Base</v>
      </c>
      <c r="F4797" s="138" t="str">
        <f t="shared" si="301"/>
        <v>Upgraded</v>
      </c>
      <c r="G4797" s="153"/>
      <c r="H4797" s="210">
        <v>3.8999999999999998E-3</v>
      </c>
      <c r="I4797" s="160" t="s">
        <v>57</v>
      </c>
      <c r="J4797" s="211">
        <v>6.0590300000000002E-5</v>
      </c>
      <c r="K4797" s="160" t="s">
        <v>13</v>
      </c>
      <c r="L4797" s="154" t="str">
        <f>IF(OpenLCAbasic!K4797="CTUh", "Fill in Manually",IF(OR(K4797="Unit", K4797=""), "", INDEX(LookUps!$E$5:$E$12, MATCH(OpenLCAbasic!K4797,LookUps!$D$5:$D$12,0))))</f>
        <v>Eutrophication Potential (EP) - kg N eq</v>
      </c>
      <c r="M4797" s="154" t="str">
        <f t="shared" si="302"/>
        <v>Base_Medium_Low_Upgraded_Eutrophication Potential (EP) - kg N eq_Gravity Belt Thickener; wastewater treatment unit; at updated plant - US_Without Amendment_Windrow</v>
      </c>
    </row>
    <row r="4798" spans="1:13" s="120" customFormat="1" x14ac:dyDescent="0.25">
      <c r="A4798" s="119"/>
      <c r="B4798" s="138" t="str">
        <f t="shared" si="300"/>
        <v>Windrow</v>
      </c>
      <c r="C4798" s="138" t="str">
        <f t="shared" si="299"/>
        <v>Without Amendment</v>
      </c>
      <c r="D4798" s="138" t="str">
        <f t="shared" si="304"/>
        <v>Medium_Low</v>
      </c>
      <c r="E4798" s="138" t="str">
        <f t="shared" si="305"/>
        <v>Base</v>
      </c>
      <c r="F4798" s="138" t="str">
        <f t="shared" si="301"/>
        <v>Upgraded</v>
      </c>
      <c r="G4798" s="153"/>
      <c r="H4798" s="210">
        <v>2.3999999999999998E-3</v>
      </c>
      <c r="I4798" s="160" t="s">
        <v>128</v>
      </c>
      <c r="J4798" s="211">
        <v>3.7559799999999999E-5</v>
      </c>
      <c r="K4798" s="160" t="s">
        <v>13</v>
      </c>
      <c r="L4798" s="154" t="str">
        <f>IF(OpenLCAbasic!K4798="CTUh", "Fill in Manually",IF(OR(K4798="Unit", K4798=""), "", INDEX(LookUps!$E$5:$E$12, MATCH(OpenLCAbasic!K4798,LookUps!$D$5:$D$12,0))))</f>
        <v>Eutrophication Potential (EP) - kg N eq</v>
      </c>
      <c r="M4798" s="154" t="str">
        <f t="shared" si="302"/>
        <v>Base_Medium_Low_Upgraded_Eutrophication Potential (EP) - kg N eq_Wastewater collection; operation and infrastructure; m3 wastewater_Without Amendment_Windrow</v>
      </c>
    </row>
    <row r="4799" spans="1:13" s="120" customFormat="1" x14ac:dyDescent="0.25">
      <c r="A4799" s="119"/>
      <c r="B4799" s="138" t="str">
        <f t="shared" si="300"/>
        <v>Windrow</v>
      </c>
      <c r="C4799" s="138" t="str">
        <f t="shared" si="299"/>
        <v>Without Amendment</v>
      </c>
      <c r="D4799" s="138" t="str">
        <f t="shared" si="304"/>
        <v>Medium_Low</v>
      </c>
      <c r="E4799" s="138" t="str">
        <f t="shared" si="305"/>
        <v>Base</v>
      </c>
      <c r="F4799" s="138" t="str">
        <f t="shared" si="301"/>
        <v>Upgraded</v>
      </c>
      <c r="G4799" s="153"/>
      <c r="H4799" s="210">
        <v>2.3999999999999998E-3</v>
      </c>
      <c r="I4799" s="160" t="s">
        <v>148</v>
      </c>
      <c r="J4799" s="211">
        <v>3.6874600000000001E-5</v>
      </c>
      <c r="K4799" s="160" t="s">
        <v>13</v>
      </c>
      <c r="L4799" s="154" t="str">
        <f>IF(OpenLCAbasic!K4799="CTUh", "Fill in Manually",IF(OR(K4799="Unit", K4799=""), "", INDEX(LookUps!$E$5:$E$12, MATCH(OpenLCAbasic!K4799,LookUps!$D$5:$D$12,0))))</f>
        <v>Eutrophication Potential (EP) - kg N eq</v>
      </c>
      <c r="M4799" s="154" t="str">
        <f t="shared" si="302"/>
        <v>Base_Medium_Low_Upgraded_Eutrophication Potential (EP) - kg N eq_Control Building; at upgraded wastewater treatment plant - US_Without Amendment_Windrow</v>
      </c>
    </row>
    <row r="4800" spans="1:13" s="120" customFormat="1" x14ac:dyDescent="0.25">
      <c r="A4800" s="119"/>
      <c r="B4800" s="138" t="str">
        <f t="shared" si="300"/>
        <v>Windrow</v>
      </c>
      <c r="C4800" s="138" t="str">
        <f t="shared" si="299"/>
        <v>Without Amendment</v>
      </c>
      <c r="D4800" s="138" t="str">
        <f t="shared" si="304"/>
        <v>Medium_Low</v>
      </c>
      <c r="E4800" s="138" t="str">
        <f t="shared" si="305"/>
        <v>Base</v>
      </c>
      <c r="F4800" s="138" t="str">
        <f t="shared" si="301"/>
        <v>Upgraded</v>
      </c>
      <c r="G4800" s="153"/>
      <c r="H4800" s="210">
        <v>1E-3</v>
      </c>
      <c r="I4800" s="160" t="s">
        <v>59</v>
      </c>
      <c r="J4800" s="211">
        <v>1.6215700000000001E-5</v>
      </c>
      <c r="K4800" s="160" t="s">
        <v>13</v>
      </c>
      <c r="L4800" s="154" t="str">
        <f>IF(OpenLCAbasic!K4800="CTUh", "Fill in Manually",IF(OR(K4800="Unit", K4800=""), "", INDEX(LookUps!$E$5:$E$12, MATCH(OpenLCAbasic!K4800,LookUps!$D$5:$D$12,0))))</f>
        <v>Eutrophication Potential (EP) - kg N eq</v>
      </c>
      <c r="M4800" s="154" t="str">
        <f t="shared" si="302"/>
        <v>Base_Medium_Low_Upgraded_Eutrophication Potential (EP) - kg N eq_Blend Tank; wastewater treatment unit; at updated plant - US_Without Amendment_Windrow</v>
      </c>
    </row>
    <row r="4801" spans="1:13" s="120" customFormat="1" x14ac:dyDescent="0.25">
      <c r="A4801" s="119"/>
      <c r="B4801" s="138" t="str">
        <f t="shared" si="300"/>
        <v>Windrow</v>
      </c>
      <c r="C4801" s="138" t="str">
        <f t="shared" ref="C4801:C4864" si="306">IF(ISNUMBER($J4801),"Without Amendment","")</f>
        <v>Without Amendment</v>
      </c>
      <c r="D4801" s="138" t="str">
        <f t="shared" si="304"/>
        <v>Medium_Low</v>
      </c>
      <c r="E4801" s="138" t="str">
        <f t="shared" si="305"/>
        <v>Base</v>
      </c>
      <c r="F4801" s="138" t="str">
        <f t="shared" si="301"/>
        <v>Upgraded</v>
      </c>
      <c r="G4801" s="153"/>
      <c r="H4801" s="210">
        <v>5.0000000000000001E-4</v>
      </c>
      <c r="I4801" s="160" t="s">
        <v>168</v>
      </c>
      <c r="J4801" s="211">
        <v>7.7567199999999995E-6</v>
      </c>
      <c r="K4801" s="160" t="s">
        <v>13</v>
      </c>
      <c r="L4801" s="154" t="str">
        <f>IF(OpenLCAbasic!K4801="CTUh", "Fill in Manually",IF(OR(K4801="Unit", K4801=""), "", INDEX(LookUps!$E$5:$E$12, MATCH(OpenLCAbasic!K4801,LookUps!$D$5:$D$12,0))))</f>
        <v>Eutrophication Potential (EP) - kg N eq</v>
      </c>
      <c r="M4801" s="154" t="str">
        <f t="shared" si="302"/>
        <v>Base_Medium_Low_Upgraded_Eutrophication Potential (EP) - kg N eq_ClearCove SCP; wastewater treatment unit; at updated plant - US_Without Amendment_Windrow</v>
      </c>
    </row>
    <row r="4802" spans="1:13" s="120" customFormat="1" x14ac:dyDescent="0.25">
      <c r="A4802" s="119"/>
      <c r="B4802" s="138" t="str">
        <f t="shared" si="300"/>
        <v>Windrow</v>
      </c>
      <c r="C4802" s="138" t="str">
        <f t="shared" si="306"/>
        <v>Without Amendment</v>
      </c>
      <c r="D4802" s="138" t="str">
        <f t="shared" si="304"/>
        <v>Medium_Low</v>
      </c>
      <c r="E4802" s="138" t="str">
        <f t="shared" si="305"/>
        <v>Base</v>
      </c>
      <c r="F4802" s="138" t="str">
        <f t="shared" si="301"/>
        <v>Upgraded</v>
      </c>
      <c r="G4802" s="153"/>
      <c r="H4802" s="210">
        <v>-5.0000000000000001E-3</v>
      </c>
      <c r="I4802" s="160" t="s">
        <v>149</v>
      </c>
      <c r="J4802" s="211">
        <v>-7.8280099999999996E-5</v>
      </c>
      <c r="K4802" s="160" t="s">
        <v>13</v>
      </c>
      <c r="L4802" s="154" t="str">
        <f>IF(OpenLCAbasic!K4802="CTUh", "Fill in Manually",IF(OR(K4802="Unit", K4802=""), "", INDEX(LookUps!$E$5:$E$12, MATCH(OpenLCAbasic!K4802,LookUps!$D$5:$D$12,0))))</f>
        <v>Eutrophication Potential (EP) - kg N eq</v>
      </c>
      <c r="M4802" s="154" t="str">
        <f t="shared" si="302"/>
        <v>Base_Medium_Low_Upgraded_Eutrophication Potential (EP) - kg N eq_Anaerobic Digestion; wastewater treatment unit; at updated plant - US_Without Amendment_Windrow</v>
      </c>
    </row>
    <row r="4803" spans="1:13" s="120" customFormat="1" x14ac:dyDescent="0.25">
      <c r="A4803" s="119"/>
      <c r="B4803" s="138" t="str">
        <f t="shared" si="300"/>
        <v/>
      </c>
      <c r="C4803" s="138" t="str">
        <f t="shared" si="306"/>
        <v/>
      </c>
      <c r="D4803" s="138" t="str">
        <f t="shared" si="304"/>
        <v/>
      </c>
      <c r="E4803" s="138" t="str">
        <f t="shared" si="305"/>
        <v/>
      </c>
      <c r="F4803" s="138" t="str">
        <f t="shared" si="301"/>
        <v/>
      </c>
      <c r="G4803" s="153" t="s">
        <v>51</v>
      </c>
      <c r="H4803" s="160"/>
      <c r="I4803" s="160" t="s">
        <v>47</v>
      </c>
      <c r="J4803" s="160" t="s">
        <v>52</v>
      </c>
      <c r="K4803" s="160" t="s">
        <v>27</v>
      </c>
      <c r="L4803" s="154" t="str">
        <f>IF(OpenLCAbasic!K4803="CTUh", "Fill in Manually",IF(OR(K4803="Unit", K4803=""), "", INDEX(LookUps!$E$5:$E$12, MATCH(OpenLCAbasic!K4803,LookUps!$D$5:$D$12,0))))</f>
        <v/>
      </c>
      <c r="M4803" s="154" t="str">
        <f t="shared" si="302"/>
        <v>____Process__</v>
      </c>
    </row>
    <row r="4804" spans="1:13" s="120" customFormat="1" x14ac:dyDescent="0.25">
      <c r="A4804" s="119"/>
      <c r="B4804" s="138" t="str">
        <f t="shared" ref="B4804:B4867" si="307">IF(F4804="Legacy","n.a.",IF(F4804="","","Windrow"))</f>
        <v>Windrow</v>
      </c>
      <c r="C4804" s="138" t="str">
        <f t="shared" si="306"/>
        <v>Without Amendment</v>
      </c>
      <c r="D4804" s="138" t="str">
        <f t="shared" si="304"/>
        <v>Medium_Low</v>
      </c>
      <c r="E4804" s="138" t="str">
        <f t="shared" si="305"/>
        <v>Base</v>
      </c>
      <c r="F4804" s="138" t="str">
        <f t="shared" ref="F4804:F4867" si="308">IF(ISNUMBER(J4804),"Upgraded","")</f>
        <v>Upgraded</v>
      </c>
      <c r="G4804" s="153"/>
      <c r="H4804" s="210">
        <v>0.377</v>
      </c>
      <c r="I4804" s="160" t="s">
        <v>167</v>
      </c>
      <c r="J4804" s="160">
        <v>9.7259999999999999E-2</v>
      </c>
      <c r="K4804" s="160" t="s">
        <v>14</v>
      </c>
      <c r="L4804" s="154" t="str">
        <f>IF(OpenLCAbasic!K4804="CTUh", "Fill in Manually",IF(OR(K4804="Unit", K4804=""), "", INDEX(LookUps!$E$5:$E$12, MATCH(OpenLCAbasic!K4804,LookUps!$D$5:$D$12,0))))</f>
        <v>Fossil Depletion Potential (FDP) - kg oil eq</v>
      </c>
      <c r="M4804" s="154" t="str">
        <f t="shared" si="302"/>
        <v>Base_Medium_Low_Upgraded_Fossil Depletion Potential (FDP) - kg oil eq_Waste Receiving and Holding; wastewater treatment unit; at updated plant - US_Without Amendment_Windrow</v>
      </c>
    </row>
    <row r="4805" spans="1:13" s="120" customFormat="1" x14ac:dyDescent="0.25">
      <c r="A4805" s="119"/>
      <c r="B4805" s="138" t="str">
        <f t="shared" si="307"/>
        <v>Windrow</v>
      </c>
      <c r="C4805" s="138" t="str">
        <f t="shared" si="306"/>
        <v>Without Amendment</v>
      </c>
      <c r="D4805" s="138" t="str">
        <f t="shared" si="304"/>
        <v>Medium_Low</v>
      </c>
      <c r="E4805" s="138" t="str">
        <f t="shared" si="305"/>
        <v>Base</v>
      </c>
      <c r="F4805" s="138" t="str">
        <f t="shared" si="308"/>
        <v>Upgraded</v>
      </c>
      <c r="G4805" s="153"/>
      <c r="H4805" s="210">
        <v>0.2465</v>
      </c>
      <c r="I4805" s="160" t="s">
        <v>55</v>
      </c>
      <c r="J4805" s="160">
        <v>6.3589999999999994E-2</v>
      </c>
      <c r="K4805" s="160" t="s">
        <v>14</v>
      </c>
      <c r="L4805" s="154" t="str">
        <f>IF(OpenLCAbasic!K4805="CTUh", "Fill in Manually",IF(OR(K4805="Unit", K4805=""), "", INDEX(LookUps!$E$5:$E$12, MATCH(OpenLCAbasic!K4805,LookUps!$D$5:$D$12,0))))</f>
        <v>Fossil Depletion Potential (FDP) - kg oil eq</v>
      </c>
      <c r="M4805" s="154" t="str">
        <f t="shared" si="302"/>
        <v>Base_Medium_Low_Upgraded_Fossil Depletion Potential (FDP) - kg oil eq_Aeration Tanks; wastewater treatment unit; at updated plant - US_Without Amendment_Windrow</v>
      </c>
    </row>
    <row r="4806" spans="1:13" s="120" customFormat="1" x14ac:dyDescent="0.25">
      <c r="A4806" s="119"/>
      <c r="B4806" s="138" t="str">
        <f t="shared" si="307"/>
        <v>Windrow</v>
      </c>
      <c r="C4806" s="138" t="str">
        <f t="shared" si="306"/>
        <v>Without Amendment</v>
      </c>
      <c r="D4806" s="138" t="str">
        <f t="shared" si="304"/>
        <v>Medium_Low</v>
      </c>
      <c r="E4806" s="138" t="str">
        <f t="shared" si="305"/>
        <v>Base</v>
      </c>
      <c r="F4806" s="138" t="str">
        <f t="shared" si="308"/>
        <v>Upgraded</v>
      </c>
      <c r="G4806" s="153"/>
      <c r="H4806" s="210">
        <v>8.1600000000000006E-2</v>
      </c>
      <c r="I4806" s="160" t="s">
        <v>54</v>
      </c>
      <c r="J4806" s="160">
        <v>2.1049999999999999E-2</v>
      </c>
      <c r="K4806" s="160" t="s">
        <v>14</v>
      </c>
      <c r="L4806" s="154" t="str">
        <f>IF(OpenLCAbasic!K4806="CTUh", "Fill in Manually",IF(OR(K4806="Unit", K4806=""), "", INDEX(LookUps!$E$5:$E$12, MATCH(OpenLCAbasic!K4806,LookUps!$D$5:$D$12,0))))</f>
        <v>Fossil Depletion Potential (FDP) - kg oil eq</v>
      </c>
      <c r="M4806" s="154" t="str">
        <f t="shared" si="302"/>
        <v>Base_Medium_Low_Upgraded_Fossil Depletion Potential (FDP) - kg oil eq_Clear Cove Primary Clarification; wastewater treatment unit; at updated plant - US_Without Amendment_Windrow</v>
      </c>
    </row>
    <row r="4807" spans="1:13" s="120" customFormat="1" x14ac:dyDescent="0.25">
      <c r="A4807" s="119"/>
      <c r="B4807" s="138" t="str">
        <f t="shared" si="307"/>
        <v>Windrow</v>
      </c>
      <c r="C4807" s="138" t="str">
        <f t="shared" si="306"/>
        <v>Without Amendment</v>
      </c>
      <c r="D4807" s="138" t="str">
        <f t="shared" si="304"/>
        <v>Medium_Low</v>
      </c>
      <c r="E4807" s="138" t="str">
        <f t="shared" si="305"/>
        <v>Base</v>
      </c>
      <c r="F4807" s="138" t="str">
        <f t="shared" si="308"/>
        <v>Upgraded</v>
      </c>
      <c r="G4807" s="153"/>
      <c r="H4807" s="210">
        <v>6.1899999999999997E-2</v>
      </c>
      <c r="I4807" s="160" t="s">
        <v>58</v>
      </c>
      <c r="J4807" s="160">
        <v>1.5980000000000001E-2</v>
      </c>
      <c r="K4807" s="160" t="s">
        <v>14</v>
      </c>
      <c r="L4807" s="154" t="str">
        <f>IF(OpenLCAbasic!K4807="CTUh", "Fill in Manually",IF(OR(K4807="Unit", K4807=""), "", INDEX(LookUps!$E$5:$E$12, MATCH(OpenLCAbasic!K4807,LookUps!$D$5:$D$12,0))))</f>
        <v>Fossil Depletion Potential (FDP) - kg oil eq</v>
      </c>
      <c r="M4807" s="154" t="str">
        <f t="shared" ref="M4807:M4870" si="309">CONCATENATE(E4807,"_",D4807,"_",F4807,"_",L4807, "_",I4807,"_", C4807,"_", B4807)</f>
        <v>Base_Medium_Low_Upgraded_Fossil Depletion Potential (FDP) - kg oil eq_Pre-Anoxic &amp; Swing tank; wastewater treatment unit; at updated plant - US_Without Amendment_Windrow</v>
      </c>
    </row>
    <row r="4808" spans="1:13" s="120" customFormat="1" x14ac:dyDescent="0.25">
      <c r="A4808" s="119"/>
      <c r="B4808" s="138" t="str">
        <f t="shared" si="307"/>
        <v>Windrow</v>
      </c>
      <c r="C4808" s="138" t="str">
        <f t="shared" si="306"/>
        <v>Without Amendment</v>
      </c>
      <c r="D4808" s="138" t="str">
        <f t="shared" si="304"/>
        <v>Medium_Low</v>
      </c>
      <c r="E4808" s="138" t="str">
        <f t="shared" si="305"/>
        <v>Base</v>
      </c>
      <c r="F4808" s="138" t="str">
        <f t="shared" si="308"/>
        <v>Upgraded</v>
      </c>
      <c r="G4808" s="153"/>
      <c r="H4808" s="210">
        <v>5.8500000000000003E-2</v>
      </c>
      <c r="I4808" s="160" t="s">
        <v>147</v>
      </c>
      <c r="J4808" s="160">
        <v>1.5089999999999999E-2</v>
      </c>
      <c r="K4808" s="160" t="s">
        <v>14</v>
      </c>
      <c r="L4808" s="154" t="str">
        <f>IF(OpenLCAbasic!K4808="CTUh", "Fill in Manually",IF(OR(K4808="Unit", K4808=""), "", INDEX(LookUps!$E$5:$E$12, MATCH(OpenLCAbasic!K4808,LookUps!$D$5:$D$12,0))))</f>
        <v>Fossil Depletion Potential (FDP) - kg oil eq</v>
      </c>
      <c r="M4808" s="154" t="str">
        <f t="shared" si="309"/>
        <v>Base_Medium_Low_Upgraded_Fossil Depletion Potential (FDP) - kg oil eq_Influent Pump Station; wastewater treatment unit; at updated plant - US_Without Amendment_Windrow</v>
      </c>
    </row>
    <row r="4809" spans="1:13" s="120" customFormat="1" x14ac:dyDescent="0.25">
      <c r="A4809" s="119"/>
      <c r="B4809" s="138" t="str">
        <f t="shared" si="307"/>
        <v>Windrow</v>
      </c>
      <c r="C4809" s="138" t="str">
        <f t="shared" si="306"/>
        <v>Without Amendment</v>
      </c>
      <c r="D4809" s="138" t="str">
        <f t="shared" si="304"/>
        <v>Medium_Low</v>
      </c>
      <c r="E4809" s="138" t="str">
        <f t="shared" si="305"/>
        <v>Base</v>
      </c>
      <c r="F4809" s="138" t="str">
        <f t="shared" si="308"/>
        <v>Upgraded</v>
      </c>
      <c r="G4809" s="153"/>
      <c r="H4809" s="210">
        <v>4.8399999999999999E-2</v>
      </c>
      <c r="I4809" s="160" t="s">
        <v>53</v>
      </c>
      <c r="J4809" s="160">
        <v>1.2489999999999999E-2</v>
      </c>
      <c r="K4809" s="160" t="s">
        <v>14</v>
      </c>
      <c r="L4809" s="154" t="str">
        <f>IF(OpenLCAbasic!K4809="CTUh", "Fill in Manually",IF(OR(K4809="Unit", K4809=""), "", INDEX(LookUps!$E$5:$E$12, MATCH(OpenLCAbasic!K4809,LookUps!$D$5:$D$12,0))))</f>
        <v>Fossil Depletion Potential (FDP) - kg oil eq</v>
      </c>
      <c r="M4809" s="154" t="str">
        <f t="shared" si="309"/>
        <v>Base_Medium_Low_Upgraded_Fossil Depletion Potential (FDP) - kg oil eq_Wet Well and Sump Station; wastewater treatment unit; at updated plant - US_Without Amendment_Windrow</v>
      </c>
    </row>
    <row r="4810" spans="1:13" s="120" customFormat="1" x14ac:dyDescent="0.25">
      <c r="A4810" s="119"/>
      <c r="B4810" s="138" t="str">
        <f t="shared" si="307"/>
        <v>Windrow</v>
      </c>
      <c r="C4810" s="138" t="str">
        <f t="shared" si="306"/>
        <v>Without Amendment</v>
      </c>
      <c r="D4810" s="138" t="str">
        <f t="shared" si="304"/>
        <v>Medium_Low</v>
      </c>
      <c r="E4810" s="138" t="str">
        <f t="shared" si="305"/>
        <v>Base</v>
      </c>
      <c r="F4810" s="138" t="str">
        <f t="shared" si="308"/>
        <v>Upgraded</v>
      </c>
      <c r="G4810" s="153"/>
      <c r="H4810" s="210">
        <v>3.7400000000000003E-2</v>
      </c>
      <c r="I4810" s="160" t="s">
        <v>149</v>
      </c>
      <c r="J4810" s="160">
        <v>9.6600000000000002E-3</v>
      </c>
      <c r="K4810" s="160" t="s">
        <v>14</v>
      </c>
      <c r="L4810" s="154" t="str">
        <f>IF(OpenLCAbasic!K4810="CTUh", "Fill in Manually",IF(OR(K4810="Unit", K4810=""), "", INDEX(LookUps!$E$5:$E$12, MATCH(OpenLCAbasic!K4810,LookUps!$D$5:$D$12,0))))</f>
        <v>Fossil Depletion Potential (FDP) - kg oil eq</v>
      </c>
      <c r="M4810" s="154" t="str">
        <f t="shared" si="309"/>
        <v>Base_Medium_Low_Upgraded_Fossil Depletion Potential (FDP) - kg oil eq_Anaerobic Digestion; wastewater treatment unit; at updated plant - US_Without Amendment_Windrow</v>
      </c>
    </row>
    <row r="4811" spans="1:13" s="120" customFormat="1" x14ac:dyDescent="0.25">
      <c r="A4811" s="119"/>
      <c r="B4811" s="138" t="str">
        <f t="shared" si="307"/>
        <v>Windrow</v>
      </c>
      <c r="C4811" s="138" t="str">
        <f t="shared" si="306"/>
        <v>Without Amendment</v>
      </c>
      <c r="D4811" s="138" t="str">
        <f t="shared" si="304"/>
        <v>Medium_Low</v>
      </c>
      <c r="E4811" s="138" t="str">
        <f t="shared" si="305"/>
        <v>Base</v>
      </c>
      <c r="F4811" s="138" t="str">
        <f t="shared" si="308"/>
        <v>Upgraded</v>
      </c>
      <c r="G4811" s="153"/>
      <c r="H4811" s="210">
        <v>3.5099999999999999E-2</v>
      </c>
      <c r="I4811" s="160" t="s">
        <v>60</v>
      </c>
      <c r="J4811" s="160">
        <v>9.0600000000000003E-3</v>
      </c>
      <c r="K4811" s="160" t="s">
        <v>14</v>
      </c>
      <c r="L4811" s="154" t="str">
        <f>IF(OpenLCAbasic!K4811="CTUh", "Fill in Manually",IF(OR(K4811="Unit", K4811=""), "", INDEX(LookUps!$E$5:$E$12, MATCH(OpenLCAbasic!K4811,LookUps!$D$5:$D$12,0))))</f>
        <v>Fossil Depletion Potential (FDP) - kg oil eq</v>
      </c>
      <c r="M4811" s="154" t="str">
        <f t="shared" si="309"/>
        <v>Base_Medium_Low_Upgraded_Fossil Depletion Potential (FDP) - kg oil eq_Belt filter press; wastewater treatment unit; at updated plant - US_Without Amendment_Windrow</v>
      </c>
    </row>
    <row r="4812" spans="1:13" s="120" customFormat="1" x14ac:dyDescent="0.25">
      <c r="A4812" s="119"/>
      <c r="B4812" s="138" t="str">
        <f t="shared" si="307"/>
        <v>Windrow</v>
      </c>
      <c r="C4812" s="138" t="str">
        <f t="shared" si="306"/>
        <v>Without Amendment</v>
      </c>
      <c r="D4812" s="138" t="str">
        <f t="shared" si="304"/>
        <v>Medium_Low</v>
      </c>
      <c r="E4812" s="138" t="str">
        <f t="shared" si="305"/>
        <v>Base</v>
      </c>
      <c r="F4812" s="138" t="str">
        <f t="shared" si="308"/>
        <v>Upgraded</v>
      </c>
      <c r="G4812" s="153"/>
      <c r="H4812" s="210">
        <v>2.6800000000000001E-2</v>
      </c>
      <c r="I4812" s="160" t="s">
        <v>57</v>
      </c>
      <c r="J4812" s="160">
        <v>6.9199999999999999E-3</v>
      </c>
      <c r="K4812" s="160" t="s">
        <v>14</v>
      </c>
      <c r="L4812" s="154" t="str">
        <f>IF(OpenLCAbasic!K4812="CTUh", "Fill in Manually",IF(OR(K4812="Unit", K4812=""), "", INDEX(LookUps!$E$5:$E$12, MATCH(OpenLCAbasic!K4812,LookUps!$D$5:$D$12,0))))</f>
        <v>Fossil Depletion Potential (FDP) - kg oil eq</v>
      </c>
      <c r="M4812" s="154" t="str">
        <f t="shared" si="309"/>
        <v>Base_Medium_Low_Upgraded_Fossil Depletion Potential (FDP) - kg oil eq_Gravity Belt Thickener; wastewater treatment unit; at updated plant - US_Without Amendment_Windrow</v>
      </c>
    </row>
    <row r="4813" spans="1:13" s="120" customFormat="1" x14ac:dyDescent="0.25">
      <c r="A4813" s="119"/>
      <c r="B4813" s="138" t="str">
        <f t="shared" si="307"/>
        <v>Windrow</v>
      </c>
      <c r="C4813" s="138" t="str">
        <f t="shared" si="306"/>
        <v>Without Amendment</v>
      </c>
      <c r="D4813" s="138" t="str">
        <f t="shared" si="304"/>
        <v>Medium_Low</v>
      </c>
      <c r="E4813" s="138" t="str">
        <f t="shared" si="305"/>
        <v>Base</v>
      </c>
      <c r="F4813" s="138" t="str">
        <f t="shared" si="308"/>
        <v>Upgraded</v>
      </c>
      <c r="G4813" s="153"/>
      <c r="H4813" s="210">
        <v>1.7399999999999999E-2</v>
      </c>
      <c r="I4813" s="160" t="s">
        <v>128</v>
      </c>
      <c r="J4813" s="160">
        <v>4.4999999999999997E-3</v>
      </c>
      <c r="K4813" s="160" t="s">
        <v>14</v>
      </c>
      <c r="L4813" s="154" t="str">
        <f>IF(OpenLCAbasic!K4813="CTUh", "Fill in Manually",IF(OR(K4813="Unit", K4813=""), "", INDEX(LookUps!$E$5:$E$12, MATCH(OpenLCAbasic!K4813,LookUps!$D$5:$D$12,0))))</f>
        <v>Fossil Depletion Potential (FDP) - kg oil eq</v>
      </c>
      <c r="M4813" s="154" t="str">
        <f t="shared" si="309"/>
        <v>Base_Medium_Low_Upgraded_Fossil Depletion Potential (FDP) - kg oil eq_Wastewater collection; operation and infrastructure; m3 wastewater_Without Amendment_Windrow</v>
      </c>
    </row>
    <row r="4814" spans="1:13" s="120" customFormat="1" x14ac:dyDescent="0.25">
      <c r="A4814" s="119"/>
      <c r="B4814" s="138" t="str">
        <f t="shared" si="307"/>
        <v>Windrow</v>
      </c>
      <c r="C4814" s="138" t="str">
        <f t="shared" si="306"/>
        <v>Without Amendment</v>
      </c>
      <c r="D4814" s="138" t="str">
        <f t="shared" si="304"/>
        <v>Medium_Low</v>
      </c>
      <c r="E4814" s="138" t="str">
        <f t="shared" si="305"/>
        <v>Base</v>
      </c>
      <c r="F4814" s="138" t="str">
        <f t="shared" si="308"/>
        <v>Upgraded</v>
      </c>
      <c r="G4814" s="153"/>
      <c r="H4814" s="210">
        <v>1.0800000000000001E-2</v>
      </c>
      <c r="I4814" s="160" t="s">
        <v>148</v>
      </c>
      <c r="J4814" s="160">
        <v>2.8E-3</v>
      </c>
      <c r="K4814" s="160" t="s">
        <v>14</v>
      </c>
      <c r="L4814" s="154" t="str">
        <f>IF(OpenLCAbasic!K4814="CTUh", "Fill in Manually",IF(OR(K4814="Unit", K4814=""), "", INDEX(LookUps!$E$5:$E$12, MATCH(OpenLCAbasic!K4814,LookUps!$D$5:$D$12,0))))</f>
        <v>Fossil Depletion Potential (FDP) - kg oil eq</v>
      </c>
      <c r="M4814" s="154" t="str">
        <f t="shared" si="309"/>
        <v>Base_Medium_Low_Upgraded_Fossil Depletion Potential (FDP) - kg oil eq_Control Building; at upgraded wastewater treatment plant - US_Without Amendment_Windrow</v>
      </c>
    </row>
    <row r="4815" spans="1:13" s="120" customFormat="1" x14ac:dyDescent="0.25">
      <c r="A4815" s="119"/>
      <c r="B4815" s="138" t="str">
        <f t="shared" si="307"/>
        <v>Windrow</v>
      </c>
      <c r="C4815" s="138" t="str">
        <f t="shared" si="306"/>
        <v>Without Amendment</v>
      </c>
      <c r="D4815" s="138" t="str">
        <f t="shared" si="304"/>
        <v>Medium_Low</v>
      </c>
      <c r="E4815" s="138" t="str">
        <f t="shared" si="305"/>
        <v>Base</v>
      </c>
      <c r="F4815" s="138" t="str">
        <f t="shared" si="308"/>
        <v>Upgraded</v>
      </c>
      <c r="G4815" s="153"/>
      <c r="H4815" s="210">
        <v>9.1999999999999998E-3</v>
      </c>
      <c r="I4815" s="160" t="s">
        <v>48</v>
      </c>
      <c r="J4815" s="160">
        <v>2.3600000000000001E-3</v>
      </c>
      <c r="K4815" s="160" t="s">
        <v>14</v>
      </c>
      <c r="L4815" s="154" t="str">
        <f>IF(OpenLCAbasic!K4815="CTUh", "Fill in Manually",IF(OR(K4815="Unit", K4815=""), "", INDEX(LookUps!$E$5:$E$12, MATCH(OpenLCAbasic!K4815,LookUps!$D$5:$D$12,0))))</f>
        <v>Fossil Depletion Potential (FDP) - kg oil eq</v>
      </c>
      <c r="M4815" s="154" t="str">
        <f t="shared" si="309"/>
        <v>Base_Medium_Low_Upgraded_Fossil Depletion Potential (FDP) - kg oil eq_Effluent release; wastewater treatment unit; at surface water; m3 wastewater - US_Without Amendment_Windrow</v>
      </c>
    </row>
    <row r="4816" spans="1:13" s="120" customFormat="1" x14ac:dyDescent="0.25">
      <c r="A4816" s="119"/>
      <c r="B4816" s="138" t="str">
        <f t="shared" si="307"/>
        <v>Windrow</v>
      </c>
      <c r="C4816" s="138" t="str">
        <f t="shared" si="306"/>
        <v>Without Amendment</v>
      </c>
      <c r="D4816" s="138" t="str">
        <f t="shared" si="304"/>
        <v>Medium_Low</v>
      </c>
      <c r="E4816" s="138" t="str">
        <f t="shared" si="305"/>
        <v>Base</v>
      </c>
      <c r="F4816" s="138" t="str">
        <f t="shared" si="308"/>
        <v>Upgraded</v>
      </c>
      <c r="G4816" s="153"/>
      <c r="H4816" s="210">
        <v>7.4000000000000003E-3</v>
      </c>
      <c r="I4816" s="160" t="s">
        <v>59</v>
      </c>
      <c r="J4816" s="160">
        <v>1.92E-3</v>
      </c>
      <c r="K4816" s="160" t="s">
        <v>14</v>
      </c>
      <c r="L4816" s="154" t="str">
        <f>IF(OpenLCAbasic!K4816="CTUh", "Fill in Manually",IF(OR(K4816="Unit", K4816=""), "", INDEX(LookUps!$E$5:$E$12, MATCH(OpenLCAbasic!K4816,LookUps!$D$5:$D$12,0))))</f>
        <v>Fossil Depletion Potential (FDP) - kg oil eq</v>
      </c>
      <c r="M4816" s="154" t="str">
        <f t="shared" si="309"/>
        <v>Base_Medium_Low_Upgraded_Fossil Depletion Potential (FDP) - kg oil eq_Blend Tank; wastewater treatment unit; at updated plant - US_Without Amendment_Windrow</v>
      </c>
    </row>
    <row r="4817" spans="1:13" s="120" customFormat="1" x14ac:dyDescent="0.25">
      <c r="A4817" s="119"/>
      <c r="B4817" s="138" t="str">
        <f t="shared" si="307"/>
        <v>Windrow</v>
      </c>
      <c r="C4817" s="138" t="str">
        <f t="shared" si="306"/>
        <v>Without Amendment</v>
      </c>
      <c r="D4817" s="138" t="str">
        <f t="shared" ref="D4817:D4880" si="310">IF(ISNUMBER($J4817),"Medium_Low","")</f>
        <v>Medium_Low</v>
      </c>
      <c r="E4817" s="138" t="str">
        <f t="shared" si="305"/>
        <v>Base</v>
      </c>
      <c r="F4817" s="138" t="str">
        <f t="shared" si="308"/>
        <v>Upgraded</v>
      </c>
      <c r="G4817" s="153"/>
      <c r="H4817" s="210">
        <v>3.5000000000000001E-3</v>
      </c>
      <c r="I4817" s="160" t="s">
        <v>168</v>
      </c>
      <c r="J4817" s="160">
        <v>9.1E-4</v>
      </c>
      <c r="K4817" s="160" t="s">
        <v>14</v>
      </c>
      <c r="L4817" s="154" t="str">
        <f>IF(OpenLCAbasic!K4817="CTUh", "Fill in Manually",IF(OR(K4817="Unit", K4817=""), "", INDEX(LookUps!$E$5:$E$12, MATCH(OpenLCAbasic!K4817,LookUps!$D$5:$D$12,0))))</f>
        <v>Fossil Depletion Potential (FDP) - kg oil eq</v>
      </c>
      <c r="M4817" s="154" t="str">
        <f t="shared" si="309"/>
        <v>Base_Medium_Low_Upgraded_Fossil Depletion Potential (FDP) - kg oil eq_ClearCove SCP; wastewater treatment unit; at updated plant - US_Without Amendment_Windrow</v>
      </c>
    </row>
    <row r="4818" spans="1:13" s="120" customFormat="1" x14ac:dyDescent="0.25">
      <c r="A4818" s="119"/>
      <c r="B4818" s="138" t="str">
        <f t="shared" si="307"/>
        <v>Windrow</v>
      </c>
      <c r="C4818" s="138" t="str">
        <f t="shared" si="306"/>
        <v>Without Amendment</v>
      </c>
      <c r="D4818" s="138" t="str">
        <f t="shared" si="310"/>
        <v>Medium_Low</v>
      </c>
      <c r="E4818" s="138" t="str">
        <f t="shared" si="305"/>
        <v>Base</v>
      </c>
      <c r="F4818" s="138" t="str">
        <f t="shared" si="308"/>
        <v>Upgraded</v>
      </c>
      <c r="G4818" s="153"/>
      <c r="H4818" s="210">
        <v>2.5000000000000001E-3</v>
      </c>
      <c r="I4818" s="160" t="s">
        <v>271</v>
      </c>
      <c r="J4818" s="160">
        <v>6.4999999999999997E-4</v>
      </c>
      <c r="K4818" s="160" t="s">
        <v>14</v>
      </c>
      <c r="L4818" s="154" t="str">
        <f>IF(OpenLCAbasic!K4818="CTUh", "Fill in Manually",IF(OR(K4818="Unit", K4818=""), "", INDEX(LookUps!$E$5:$E$12, MATCH(OpenLCAbasic!K4818,LookUps!$D$5:$D$12,0))))</f>
        <v>Fossil Depletion Potential (FDP) - kg oil eq</v>
      </c>
      <c r="M4818" s="154" t="str">
        <f t="shared" si="309"/>
        <v>Base_Medium_Low_Upgraded_Fossil Depletion Potential (FDP) - kg oil eq_Biosolids composting; windrow composting; wastewater treatment unit; at updated plant - US_Without Amendment_Windrow</v>
      </c>
    </row>
    <row r="4819" spans="1:13" s="120" customFormat="1" x14ac:dyDescent="0.25">
      <c r="A4819" s="119"/>
      <c r="B4819" s="138" t="str">
        <f t="shared" si="307"/>
        <v>Windrow</v>
      </c>
      <c r="C4819" s="138" t="str">
        <f t="shared" si="306"/>
        <v>Without Amendment</v>
      </c>
      <c r="D4819" s="138" t="str">
        <f t="shared" si="310"/>
        <v>Medium_Low</v>
      </c>
      <c r="E4819" s="138" t="str">
        <f t="shared" si="305"/>
        <v>Base</v>
      </c>
      <c r="F4819" s="138" t="str">
        <f t="shared" si="308"/>
        <v>Upgraded</v>
      </c>
      <c r="G4819" s="153"/>
      <c r="H4819" s="210">
        <v>-2.4199999999999999E-2</v>
      </c>
      <c r="I4819" s="160" t="s">
        <v>62</v>
      </c>
      <c r="J4819" s="160">
        <v>-6.2599999999999999E-3</v>
      </c>
      <c r="K4819" s="160" t="s">
        <v>14</v>
      </c>
      <c r="L4819" s="154" t="str">
        <f>IF(OpenLCAbasic!K4819="CTUh", "Fill in Manually",IF(OR(K4819="Unit", K4819=""), "", INDEX(LookUps!$E$5:$E$12, MATCH(OpenLCAbasic!K4819,LookUps!$D$5:$D$12,0))))</f>
        <v>Fossil Depletion Potential (FDP) - kg oil eq</v>
      </c>
      <c r="M4819" s="154" t="str">
        <f t="shared" si="309"/>
        <v>Base_Medium_Low_Upgraded_Fossil Depletion Potential (FDP) - kg oil eq_Land application of compost; wastewater treatment unit; at updated plant - US_Without Amendment_Windrow</v>
      </c>
    </row>
    <row r="4820" spans="1:13" s="120" customFormat="1" x14ac:dyDescent="0.25">
      <c r="A4820" s="119"/>
      <c r="B4820" s="138" t="str">
        <f t="shared" si="307"/>
        <v/>
      </c>
      <c r="C4820" s="138" t="str">
        <f t="shared" si="306"/>
        <v/>
      </c>
      <c r="D4820" s="138" t="str">
        <f t="shared" si="310"/>
        <v/>
      </c>
      <c r="E4820" s="138" t="str">
        <f t="shared" si="305"/>
        <v/>
      </c>
      <c r="F4820" s="138" t="str">
        <f t="shared" si="308"/>
        <v/>
      </c>
      <c r="G4820" s="153" t="s">
        <v>51</v>
      </c>
      <c r="H4820" s="160"/>
      <c r="I4820" s="160" t="s">
        <v>47</v>
      </c>
      <c r="J4820" s="160" t="s">
        <v>52</v>
      </c>
      <c r="K4820" s="160" t="s">
        <v>27</v>
      </c>
      <c r="L4820" s="154" t="str">
        <f>IF(OpenLCAbasic!K4820="CTUh", "Fill in Manually",IF(OR(K4820="Unit", K4820=""), "", INDEX(LookUps!$E$5:$E$12, MATCH(OpenLCAbasic!K4820,LookUps!$D$5:$D$12,0))))</f>
        <v/>
      </c>
      <c r="M4820" s="154" t="str">
        <f t="shared" si="309"/>
        <v>____Process__</v>
      </c>
    </row>
    <row r="4821" spans="1:13" s="120" customFormat="1" x14ac:dyDescent="0.25">
      <c r="A4821" s="119"/>
      <c r="B4821" s="138" t="str">
        <f t="shared" si="307"/>
        <v>Windrow</v>
      </c>
      <c r="C4821" s="138" t="str">
        <f t="shared" si="306"/>
        <v>Without Amendment</v>
      </c>
      <c r="D4821" s="138" t="str">
        <f t="shared" si="310"/>
        <v>Medium_Low</v>
      </c>
      <c r="E4821" s="138" t="str">
        <f t="shared" si="305"/>
        <v>Base</v>
      </c>
      <c r="F4821" s="138" t="str">
        <f t="shared" si="308"/>
        <v>Upgraded</v>
      </c>
      <c r="G4821" s="153"/>
      <c r="H4821" s="210">
        <v>0.4748</v>
      </c>
      <c r="I4821" s="160" t="s">
        <v>271</v>
      </c>
      <c r="J4821" s="160">
        <v>0.58267000000000002</v>
      </c>
      <c r="K4821" s="160" t="s">
        <v>23</v>
      </c>
      <c r="L4821" s="154" t="str">
        <f>IF(OpenLCAbasic!K4821="CTUh", "Fill in Manually",IF(OR(K4821="Unit", K4821=""), "", INDEX(LookUps!$E$5:$E$12, MATCH(OpenLCAbasic!K4821,LookUps!$D$5:$D$12,0))))</f>
        <v>Global Warming Potential (GWP) - kg CO2 eq</v>
      </c>
      <c r="M4821" s="154" t="str">
        <f t="shared" si="309"/>
        <v>Base_Medium_Low_Upgraded_Global Warming Potential (GWP) - kg CO2 eq_Biosolids composting; windrow composting; wastewater treatment unit; at updated plant - US_Without Amendment_Windrow</v>
      </c>
    </row>
    <row r="4822" spans="1:13" s="120" customFormat="1" x14ac:dyDescent="0.25">
      <c r="A4822" s="119"/>
      <c r="B4822" s="138" t="str">
        <f t="shared" si="307"/>
        <v>Windrow</v>
      </c>
      <c r="C4822" s="138" t="str">
        <f t="shared" si="306"/>
        <v>Without Amendment</v>
      </c>
      <c r="D4822" s="138" t="str">
        <f t="shared" si="310"/>
        <v>Medium_Low</v>
      </c>
      <c r="E4822" s="138" t="str">
        <f t="shared" si="305"/>
        <v>Base</v>
      </c>
      <c r="F4822" s="138" t="str">
        <f t="shared" si="308"/>
        <v>Upgraded</v>
      </c>
      <c r="G4822" s="153"/>
      <c r="H4822" s="210">
        <v>0.20019999999999999</v>
      </c>
      <c r="I4822" s="160" t="s">
        <v>58</v>
      </c>
      <c r="J4822" s="160">
        <v>0.24568999999999999</v>
      </c>
      <c r="K4822" s="160" t="s">
        <v>23</v>
      </c>
      <c r="L4822" s="154" t="str">
        <f>IF(OpenLCAbasic!K4822="CTUh", "Fill in Manually",IF(OR(K4822="Unit", K4822=""), "", INDEX(LookUps!$E$5:$E$12, MATCH(OpenLCAbasic!K4822,LookUps!$D$5:$D$12,0))))</f>
        <v>Global Warming Potential (GWP) - kg CO2 eq</v>
      </c>
      <c r="M4822" s="154" t="str">
        <f t="shared" si="309"/>
        <v>Base_Medium_Low_Upgraded_Global Warming Potential (GWP) - kg CO2 eq_Pre-Anoxic &amp; Swing tank; wastewater treatment unit; at updated plant - US_Without Amendment_Windrow</v>
      </c>
    </row>
    <row r="4823" spans="1:13" s="120" customFormat="1" x14ac:dyDescent="0.25">
      <c r="A4823" s="119"/>
      <c r="B4823" s="138" t="str">
        <f t="shared" si="307"/>
        <v>Windrow</v>
      </c>
      <c r="C4823" s="138" t="str">
        <f t="shared" si="306"/>
        <v>Without Amendment</v>
      </c>
      <c r="D4823" s="138" t="str">
        <f t="shared" si="310"/>
        <v>Medium_Low</v>
      </c>
      <c r="E4823" s="138" t="str">
        <f t="shared" si="305"/>
        <v>Base</v>
      </c>
      <c r="F4823" s="138" t="str">
        <f t="shared" si="308"/>
        <v>Upgraded</v>
      </c>
      <c r="G4823" s="153"/>
      <c r="H4823" s="210">
        <v>0.1371</v>
      </c>
      <c r="I4823" s="160" t="s">
        <v>55</v>
      </c>
      <c r="J4823" s="160">
        <v>0.16822000000000001</v>
      </c>
      <c r="K4823" s="160" t="s">
        <v>23</v>
      </c>
      <c r="L4823" s="154" t="str">
        <f>IF(OpenLCAbasic!K4823="CTUh", "Fill in Manually",IF(OR(K4823="Unit", K4823=""), "", INDEX(LookUps!$E$5:$E$12, MATCH(OpenLCAbasic!K4823,LookUps!$D$5:$D$12,0))))</f>
        <v>Global Warming Potential (GWP) - kg CO2 eq</v>
      </c>
      <c r="M4823" s="154" t="str">
        <f t="shared" si="309"/>
        <v>Base_Medium_Low_Upgraded_Global Warming Potential (GWP) - kg CO2 eq_Aeration Tanks; wastewater treatment unit; at updated plant - US_Without Amendment_Windrow</v>
      </c>
    </row>
    <row r="4824" spans="1:13" s="120" customFormat="1" x14ac:dyDescent="0.25">
      <c r="A4824" s="119"/>
      <c r="B4824" s="138" t="str">
        <f t="shared" si="307"/>
        <v>Windrow</v>
      </c>
      <c r="C4824" s="138" t="str">
        <f t="shared" si="306"/>
        <v>Without Amendment</v>
      </c>
      <c r="D4824" s="138" t="str">
        <f t="shared" si="310"/>
        <v>Medium_Low</v>
      </c>
      <c r="E4824" s="138" t="str">
        <f t="shared" si="305"/>
        <v>Base</v>
      </c>
      <c r="F4824" s="138" t="str">
        <f t="shared" si="308"/>
        <v>Upgraded</v>
      </c>
      <c r="G4824" s="153"/>
      <c r="H4824" s="210">
        <v>0.1007</v>
      </c>
      <c r="I4824" s="160" t="s">
        <v>167</v>
      </c>
      <c r="J4824" s="160">
        <v>0.12354999999999999</v>
      </c>
      <c r="K4824" s="160" t="s">
        <v>23</v>
      </c>
      <c r="L4824" s="154" t="str">
        <f>IF(OpenLCAbasic!K4824="CTUh", "Fill in Manually",IF(OR(K4824="Unit", K4824=""), "", INDEX(LookUps!$E$5:$E$12, MATCH(OpenLCAbasic!K4824,LookUps!$D$5:$D$12,0))))</f>
        <v>Global Warming Potential (GWP) - kg CO2 eq</v>
      </c>
      <c r="M4824" s="154" t="str">
        <f t="shared" si="309"/>
        <v>Base_Medium_Low_Upgraded_Global Warming Potential (GWP) - kg CO2 eq_Waste Receiving and Holding; wastewater treatment unit; at updated plant - US_Without Amendment_Windrow</v>
      </c>
    </row>
    <row r="4825" spans="1:13" s="120" customFormat="1" x14ac:dyDescent="0.25">
      <c r="A4825" s="119"/>
      <c r="B4825" s="138" t="str">
        <f t="shared" si="307"/>
        <v>Windrow</v>
      </c>
      <c r="C4825" s="138" t="str">
        <f t="shared" si="306"/>
        <v>Without Amendment</v>
      </c>
      <c r="D4825" s="138" t="str">
        <f t="shared" si="310"/>
        <v>Medium_Low</v>
      </c>
      <c r="E4825" s="138" t="str">
        <f t="shared" si="305"/>
        <v>Base</v>
      </c>
      <c r="F4825" s="138" t="str">
        <f t="shared" si="308"/>
        <v>Upgraded</v>
      </c>
      <c r="G4825" s="153"/>
      <c r="H4825" s="210">
        <v>5.1900000000000002E-2</v>
      </c>
      <c r="I4825" s="160" t="s">
        <v>149</v>
      </c>
      <c r="J4825" s="160">
        <v>6.3659999999999994E-2</v>
      </c>
      <c r="K4825" s="160" t="s">
        <v>23</v>
      </c>
      <c r="L4825" s="154" t="str">
        <f>IF(OpenLCAbasic!K4825="CTUh", "Fill in Manually",IF(OR(K4825="Unit", K4825=""), "", INDEX(LookUps!$E$5:$E$12, MATCH(OpenLCAbasic!K4825,LookUps!$D$5:$D$12,0))))</f>
        <v>Global Warming Potential (GWP) - kg CO2 eq</v>
      </c>
      <c r="M4825" s="154" t="str">
        <f t="shared" si="309"/>
        <v>Base_Medium_Low_Upgraded_Global Warming Potential (GWP) - kg CO2 eq_Anaerobic Digestion; wastewater treatment unit; at updated plant - US_Without Amendment_Windrow</v>
      </c>
    </row>
    <row r="4826" spans="1:13" s="120" customFormat="1" x14ac:dyDescent="0.25">
      <c r="A4826" s="119"/>
      <c r="B4826" s="138" t="str">
        <f t="shared" si="307"/>
        <v>Windrow</v>
      </c>
      <c r="C4826" s="138" t="str">
        <f t="shared" si="306"/>
        <v>Without Amendment</v>
      </c>
      <c r="D4826" s="138" t="str">
        <f t="shared" si="310"/>
        <v>Medium_Low</v>
      </c>
      <c r="E4826" s="138" t="str">
        <f t="shared" si="305"/>
        <v>Base</v>
      </c>
      <c r="F4826" s="138" t="str">
        <f t="shared" si="308"/>
        <v>Upgraded</v>
      </c>
      <c r="G4826" s="153"/>
      <c r="H4826" s="210">
        <v>4.65E-2</v>
      </c>
      <c r="I4826" s="160" t="s">
        <v>54</v>
      </c>
      <c r="J4826" s="160">
        <v>5.7079999999999999E-2</v>
      </c>
      <c r="K4826" s="160" t="s">
        <v>23</v>
      </c>
      <c r="L4826" s="154" t="str">
        <f>IF(OpenLCAbasic!K4826="CTUh", "Fill in Manually",IF(OR(K4826="Unit", K4826=""), "", INDEX(LookUps!$E$5:$E$12, MATCH(OpenLCAbasic!K4826,LookUps!$D$5:$D$12,0))))</f>
        <v>Global Warming Potential (GWP) - kg CO2 eq</v>
      </c>
      <c r="M4826" s="154" t="str">
        <f t="shared" si="309"/>
        <v>Base_Medium_Low_Upgraded_Global Warming Potential (GWP) - kg CO2 eq_Clear Cove Primary Clarification; wastewater treatment unit; at updated plant - US_Without Amendment_Windrow</v>
      </c>
    </row>
    <row r="4827" spans="1:13" s="120" customFormat="1" x14ac:dyDescent="0.25">
      <c r="A4827" s="119"/>
      <c r="B4827" s="138" t="str">
        <f t="shared" si="307"/>
        <v>Windrow</v>
      </c>
      <c r="C4827" s="138" t="str">
        <f t="shared" si="306"/>
        <v>Without Amendment</v>
      </c>
      <c r="D4827" s="138" t="str">
        <f t="shared" si="310"/>
        <v>Medium_Low</v>
      </c>
      <c r="E4827" s="138" t="str">
        <f t="shared" si="305"/>
        <v>Base</v>
      </c>
      <c r="F4827" s="138" t="str">
        <f t="shared" si="308"/>
        <v>Upgraded</v>
      </c>
      <c r="G4827" s="153"/>
      <c r="H4827" s="210">
        <v>4.2900000000000001E-2</v>
      </c>
      <c r="I4827" s="160" t="s">
        <v>48</v>
      </c>
      <c r="J4827" s="160">
        <v>5.2639999999999999E-2</v>
      </c>
      <c r="K4827" s="160" t="s">
        <v>23</v>
      </c>
      <c r="L4827" s="154" t="str">
        <f>IF(OpenLCAbasic!K4827="CTUh", "Fill in Manually",IF(OR(K4827="Unit", K4827=""), "", INDEX(LookUps!$E$5:$E$12, MATCH(OpenLCAbasic!K4827,LookUps!$D$5:$D$12,0))))</f>
        <v>Global Warming Potential (GWP) - kg CO2 eq</v>
      </c>
      <c r="M4827" s="154" t="str">
        <f t="shared" si="309"/>
        <v>Base_Medium_Low_Upgraded_Global Warming Potential (GWP) - kg CO2 eq_Effluent release; wastewater treatment unit; at surface water; m3 wastewater - US_Without Amendment_Windrow</v>
      </c>
    </row>
    <row r="4828" spans="1:13" s="120" customFormat="1" x14ac:dyDescent="0.25">
      <c r="A4828" s="119"/>
      <c r="B4828" s="138" t="str">
        <f t="shared" si="307"/>
        <v>Windrow</v>
      </c>
      <c r="C4828" s="138" t="str">
        <f t="shared" si="306"/>
        <v>Without Amendment</v>
      </c>
      <c r="D4828" s="138" t="str">
        <f t="shared" si="310"/>
        <v>Medium_Low</v>
      </c>
      <c r="E4828" s="138" t="str">
        <f t="shared" si="305"/>
        <v>Base</v>
      </c>
      <c r="F4828" s="138" t="str">
        <f t="shared" si="308"/>
        <v>Upgraded</v>
      </c>
      <c r="G4828" s="153"/>
      <c r="H4828" s="210">
        <v>4.1099999999999998E-2</v>
      </c>
      <c r="I4828" s="160" t="s">
        <v>147</v>
      </c>
      <c r="J4828" s="160">
        <v>5.0500000000000003E-2</v>
      </c>
      <c r="K4828" s="160" t="s">
        <v>23</v>
      </c>
      <c r="L4828" s="154" t="str">
        <f>IF(OpenLCAbasic!K4828="CTUh", "Fill in Manually",IF(OR(K4828="Unit", K4828=""), "", INDEX(LookUps!$E$5:$E$12, MATCH(OpenLCAbasic!K4828,LookUps!$D$5:$D$12,0))))</f>
        <v>Global Warming Potential (GWP) - kg CO2 eq</v>
      </c>
      <c r="M4828" s="154" t="str">
        <f t="shared" si="309"/>
        <v>Base_Medium_Low_Upgraded_Global Warming Potential (GWP) - kg CO2 eq_Influent Pump Station; wastewater treatment unit; at updated plant - US_Without Amendment_Windrow</v>
      </c>
    </row>
    <row r="4829" spans="1:13" s="120" customFormat="1" x14ac:dyDescent="0.25">
      <c r="A4829" s="119"/>
      <c r="B4829" s="138" t="str">
        <f t="shared" si="307"/>
        <v>Windrow</v>
      </c>
      <c r="C4829" s="138" t="str">
        <f t="shared" si="306"/>
        <v>Without Amendment</v>
      </c>
      <c r="D4829" s="138" t="str">
        <f t="shared" si="310"/>
        <v>Medium_Low</v>
      </c>
      <c r="E4829" s="138" t="str">
        <f t="shared" si="305"/>
        <v>Base</v>
      </c>
      <c r="F4829" s="138" t="str">
        <f t="shared" si="308"/>
        <v>Upgraded</v>
      </c>
      <c r="G4829" s="153"/>
      <c r="H4829" s="210">
        <v>2.7099999999999999E-2</v>
      </c>
      <c r="I4829" s="160" t="s">
        <v>53</v>
      </c>
      <c r="J4829" s="160">
        <v>3.3259999999999998E-2</v>
      </c>
      <c r="K4829" s="160" t="s">
        <v>23</v>
      </c>
      <c r="L4829" s="154" t="str">
        <f>IF(OpenLCAbasic!K4829="CTUh", "Fill in Manually",IF(OR(K4829="Unit", K4829=""), "", INDEX(LookUps!$E$5:$E$12, MATCH(OpenLCAbasic!K4829,LookUps!$D$5:$D$12,0))))</f>
        <v>Global Warming Potential (GWP) - kg CO2 eq</v>
      </c>
      <c r="M4829" s="154" t="str">
        <f t="shared" si="309"/>
        <v>Base_Medium_Low_Upgraded_Global Warming Potential (GWP) - kg CO2 eq_Wet Well and Sump Station; wastewater treatment unit; at updated plant - US_Without Amendment_Windrow</v>
      </c>
    </row>
    <row r="4830" spans="1:13" s="120" customFormat="1" x14ac:dyDescent="0.25">
      <c r="A4830" s="119"/>
      <c r="B4830" s="138" t="str">
        <f t="shared" si="307"/>
        <v>Windrow</v>
      </c>
      <c r="C4830" s="138" t="str">
        <f t="shared" si="306"/>
        <v>Without Amendment</v>
      </c>
      <c r="D4830" s="138" t="str">
        <f t="shared" si="310"/>
        <v>Medium_Low</v>
      </c>
      <c r="E4830" s="138" t="str">
        <f t="shared" si="305"/>
        <v>Base</v>
      </c>
      <c r="F4830" s="138" t="str">
        <f t="shared" si="308"/>
        <v>Upgraded</v>
      </c>
      <c r="G4830" s="153"/>
      <c r="H4830" s="210">
        <v>1.6199999999999999E-2</v>
      </c>
      <c r="I4830" s="160" t="s">
        <v>60</v>
      </c>
      <c r="J4830" s="160">
        <v>1.9910000000000001E-2</v>
      </c>
      <c r="K4830" s="160" t="s">
        <v>23</v>
      </c>
      <c r="L4830" s="154" t="str">
        <f>IF(OpenLCAbasic!K4830="CTUh", "Fill in Manually",IF(OR(K4830="Unit", K4830=""), "", INDEX(LookUps!$E$5:$E$12, MATCH(OpenLCAbasic!K4830,LookUps!$D$5:$D$12,0))))</f>
        <v>Global Warming Potential (GWP) - kg CO2 eq</v>
      </c>
      <c r="M4830" s="154" t="str">
        <f t="shared" si="309"/>
        <v>Base_Medium_Low_Upgraded_Global Warming Potential (GWP) - kg CO2 eq_Belt filter press; wastewater treatment unit; at updated plant - US_Without Amendment_Windrow</v>
      </c>
    </row>
    <row r="4831" spans="1:13" s="120" customFormat="1" x14ac:dyDescent="0.25">
      <c r="A4831" s="119"/>
      <c r="B4831" s="138" t="str">
        <f t="shared" si="307"/>
        <v>Windrow</v>
      </c>
      <c r="C4831" s="138" t="str">
        <f t="shared" si="306"/>
        <v>Without Amendment</v>
      </c>
      <c r="D4831" s="138" t="str">
        <f t="shared" si="310"/>
        <v>Medium_Low</v>
      </c>
      <c r="E4831" s="138" t="str">
        <f t="shared" si="305"/>
        <v>Base</v>
      </c>
      <c r="F4831" s="138" t="str">
        <f t="shared" si="308"/>
        <v>Upgraded</v>
      </c>
      <c r="G4831" s="153"/>
      <c r="H4831" s="210">
        <v>1.1900000000000001E-2</v>
      </c>
      <c r="I4831" s="160" t="s">
        <v>57</v>
      </c>
      <c r="J4831" s="160">
        <v>1.455E-2</v>
      </c>
      <c r="K4831" s="160" t="s">
        <v>23</v>
      </c>
      <c r="L4831" s="154" t="str">
        <f>IF(OpenLCAbasic!K4831="CTUh", "Fill in Manually",IF(OR(K4831="Unit", K4831=""), "", INDEX(LookUps!$E$5:$E$12, MATCH(OpenLCAbasic!K4831,LookUps!$D$5:$D$12,0))))</f>
        <v>Global Warming Potential (GWP) - kg CO2 eq</v>
      </c>
      <c r="M4831" s="154" t="str">
        <f t="shared" si="309"/>
        <v>Base_Medium_Low_Upgraded_Global Warming Potential (GWP) - kg CO2 eq_Gravity Belt Thickener; wastewater treatment unit; at updated plant - US_Without Amendment_Windrow</v>
      </c>
    </row>
    <row r="4832" spans="1:13" s="120" customFormat="1" x14ac:dyDescent="0.25">
      <c r="A4832" s="119"/>
      <c r="B4832" s="138" t="str">
        <f t="shared" si="307"/>
        <v>Windrow</v>
      </c>
      <c r="C4832" s="138" t="str">
        <f t="shared" si="306"/>
        <v>Without Amendment</v>
      </c>
      <c r="D4832" s="138" t="str">
        <f t="shared" si="310"/>
        <v>Medium_Low</v>
      </c>
      <c r="E4832" s="138" t="str">
        <f t="shared" si="305"/>
        <v>Base</v>
      </c>
      <c r="F4832" s="138" t="str">
        <f t="shared" si="308"/>
        <v>Upgraded</v>
      </c>
      <c r="G4832" s="153"/>
      <c r="H4832" s="210">
        <v>1.0999999999999999E-2</v>
      </c>
      <c r="I4832" s="160" t="s">
        <v>128</v>
      </c>
      <c r="J4832" s="160">
        <v>1.3509999999999999E-2</v>
      </c>
      <c r="K4832" s="160" t="s">
        <v>23</v>
      </c>
      <c r="L4832" s="154" t="str">
        <f>IF(OpenLCAbasic!K4832="CTUh", "Fill in Manually",IF(OR(K4832="Unit", K4832=""), "", INDEX(LookUps!$E$5:$E$12, MATCH(OpenLCAbasic!K4832,LookUps!$D$5:$D$12,0))))</f>
        <v>Global Warming Potential (GWP) - kg CO2 eq</v>
      </c>
      <c r="M4832" s="154" t="str">
        <f t="shared" si="309"/>
        <v>Base_Medium_Low_Upgraded_Global Warming Potential (GWP) - kg CO2 eq_Wastewater collection; operation and infrastructure; m3 wastewater_Without Amendment_Windrow</v>
      </c>
    </row>
    <row r="4833" spans="1:13" s="120" customFormat="1" x14ac:dyDescent="0.25">
      <c r="A4833" s="119"/>
      <c r="B4833" s="138" t="str">
        <f t="shared" si="307"/>
        <v>Windrow</v>
      </c>
      <c r="C4833" s="138" t="str">
        <f t="shared" si="306"/>
        <v>Without Amendment</v>
      </c>
      <c r="D4833" s="138" t="str">
        <f t="shared" si="310"/>
        <v>Medium_Low</v>
      </c>
      <c r="E4833" s="138" t="str">
        <f t="shared" si="305"/>
        <v>Base</v>
      </c>
      <c r="F4833" s="138" t="str">
        <f t="shared" si="308"/>
        <v>Upgraded</v>
      </c>
      <c r="G4833" s="153"/>
      <c r="H4833" s="210">
        <v>6.7999999999999996E-3</v>
      </c>
      <c r="I4833" s="160" t="s">
        <v>148</v>
      </c>
      <c r="J4833" s="160">
        <v>8.3000000000000001E-3</v>
      </c>
      <c r="K4833" s="160" t="s">
        <v>23</v>
      </c>
      <c r="L4833" s="154" t="str">
        <f>IF(OpenLCAbasic!K4833="CTUh", "Fill in Manually",IF(OR(K4833="Unit", K4833=""), "", INDEX(LookUps!$E$5:$E$12, MATCH(OpenLCAbasic!K4833,LookUps!$D$5:$D$12,0))))</f>
        <v>Global Warming Potential (GWP) - kg CO2 eq</v>
      </c>
      <c r="M4833" s="154" t="str">
        <f t="shared" si="309"/>
        <v>Base_Medium_Low_Upgraded_Global Warming Potential (GWP) - kg CO2 eq_Control Building; at upgraded wastewater treatment plant - US_Without Amendment_Windrow</v>
      </c>
    </row>
    <row r="4834" spans="1:13" s="120" customFormat="1" x14ac:dyDescent="0.25">
      <c r="A4834" s="119"/>
      <c r="B4834" s="138" t="str">
        <f t="shared" si="307"/>
        <v>Windrow</v>
      </c>
      <c r="C4834" s="138" t="str">
        <f t="shared" si="306"/>
        <v>Without Amendment</v>
      </c>
      <c r="D4834" s="138" t="str">
        <f t="shared" si="310"/>
        <v>Medium_Low</v>
      </c>
      <c r="E4834" s="138" t="str">
        <f t="shared" si="305"/>
        <v>Base</v>
      </c>
      <c r="F4834" s="138" t="str">
        <f t="shared" si="308"/>
        <v>Upgraded</v>
      </c>
      <c r="G4834" s="153"/>
      <c r="H4834" s="210">
        <v>4.1000000000000003E-3</v>
      </c>
      <c r="I4834" s="160" t="s">
        <v>59</v>
      </c>
      <c r="J4834" s="160">
        <v>5.0400000000000002E-3</v>
      </c>
      <c r="K4834" s="160" t="s">
        <v>23</v>
      </c>
      <c r="L4834" s="154" t="str">
        <f>IF(OpenLCAbasic!K4834="CTUh", "Fill in Manually",IF(OR(K4834="Unit", K4834=""), "", INDEX(LookUps!$E$5:$E$12, MATCH(OpenLCAbasic!K4834,LookUps!$D$5:$D$12,0))))</f>
        <v>Global Warming Potential (GWP) - kg CO2 eq</v>
      </c>
      <c r="M4834" s="154" t="str">
        <f t="shared" si="309"/>
        <v>Base_Medium_Low_Upgraded_Global Warming Potential (GWP) - kg CO2 eq_Blend Tank; wastewater treatment unit; at updated plant - US_Without Amendment_Windrow</v>
      </c>
    </row>
    <row r="4835" spans="1:13" s="120" customFormat="1" x14ac:dyDescent="0.25">
      <c r="A4835" s="119"/>
      <c r="B4835" s="138" t="str">
        <f t="shared" si="307"/>
        <v>Windrow</v>
      </c>
      <c r="C4835" s="138" t="str">
        <f t="shared" si="306"/>
        <v>Without Amendment</v>
      </c>
      <c r="D4835" s="138" t="str">
        <f t="shared" si="310"/>
        <v>Medium_Low</v>
      </c>
      <c r="E4835" s="138" t="str">
        <f t="shared" si="305"/>
        <v>Base</v>
      </c>
      <c r="F4835" s="138" t="str">
        <f t="shared" si="308"/>
        <v>Upgraded</v>
      </c>
      <c r="G4835" s="153"/>
      <c r="H4835" s="210">
        <v>2E-3</v>
      </c>
      <c r="I4835" s="160" t="s">
        <v>168</v>
      </c>
      <c r="J4835" s="160">
        <v>2.4099999999999998E-3</v>
      </c>
      <c r="K4835" s="160" t="s">
        <v>23</v>
      </c>
      <c r="L4835" s="154" t="str">
        <f>IF(OpenLCAbasic!K4835="CTUh", "Fill in Manually",IF(OR(K4835="Unit", K4835=""), "", INDEX(LookUps!$E$5:$E$12, MATCH(OpenLCAbasic!K4835,LookUps!$D$5:$D$12,0))))</f>
        <v>Global Warming Potential (GWP) - kg CO2 eq</v>
      </c>
      <c r="M4835" s="154" t="str">
        <f t="shared" si="309"/>
        <v>Base_Medium_Low_Upgraded_Global Warming Potential (GWP) - kg CO2 eq_ClearCove SCP; wastewater treatment unit; at updated plant - US_Without Amendment_Windrow</v>
      </c>
    </row>
    <row r="4836" spans="1:13" s="120" customFormat="1" x14ac:dyDescent="0.25">
      <c r="A4836" s="119"/>
      <c r="B4836" s="138" t="str">
        <f t="shared" si="307"/>
        <v>Windrow</v>
      </c>
      <c r="C4836" s="138" t="str">
        <f t="shared" si="306"/>
        <v>Without Amendment</v>
      </c>
      <c r="D4836" s="138" t="str">
        <f t="shared" si="310"/>
        <v>Medium_Low</v>
      </c>
      <c r="E4836" s="138" t="str">
        <f t="shared" si="305"/>
        <v>Base</v>
      </c>
      <c r="F4836" s="138" t="str">
        <f t="shared" si="308"/>
        <v>Upgraded</v>
      </c>
      <c r="G4836" s="153"/>
      <c r="H4836" s="210">
        <v>-0.17419999999999999</v>
      </c>
      <c r="I4836" s="160" t="s">
        <v>62</v>
      </c>
      <c r="J4836" s="160">
        <v>-0.21379999999999999</v>
      </c>
      <c r="K4836" s="160" t="s">
        <v>23</v>
      </c>
      <c r="L4836" s="154" t="str">
        <f>IF(OpenLCAbasic!K4836="CTUh", "Fill in Manually",IF(OR(K4836="Unit", K4836=""), "", INDEX(LookUps!$E$5:$E$12, MATCH(OpenLCAbasic!K4836,LookUps!$D$5:$D$12,0))))</f>
        <v>Global Warming Potential (GWP) - kg CO2 eq</v>
      </c>
      <c r="M4836" s="154" t="str">
        <f t="shared" si="309"/>
        <v>Base_Medium_Low_Upgraded_Global Warming Potential (GWP) - kg CO2 eq_Land application of compost; wastewater treatment unit; at updated plant - US_Without Amendment_Windrow</v>
      </c>
    </row>
    <row r="4837" spans="1:13" s="120" customFormat="1" x14ac:dyDescent="0.25">
      <c r="A4837" s="119"/>
      <c r="B4837" s="138" t="str">
        <f t="shared" si="307"/>
        <v/>
      </c>
      <c r="C4837" s="138" t="str">
        <f t="shared" si="306"/>
        <v/>
      </c>
      <c r="D4837" s="138" t="str">
        <f t="shared" si="310"/>
        <v/>
      </c>
      <c r="E4837" s="138" t="str">
        <f t="shared" si="305"/>
        <v/>
      </c>
      <c r="F4837" s="138" t="str">
        <f t="shared" si="308"/>
        <v/>
      </c>
      <c r="G4837" s="153" t="s">
        <v>51</v>
      </c>
      <c r="H4837" s="160"/>
      <c r="I4837" s="160" t="s">
        <v>47</v>
      </c>
      <c r="J4837" s="160" t="s">
        <v>52</v>
      </c>
      <c r="K4837" s="160" t="s">
        <v>27</v>
      </c>
      <c r="L4837" s="154" t="str">
        <f>IF(OpenLCAbasic!K4837="CTUh", "Fill in Manually",IF(OR(K4837="Unit", K4837=""), "", INDEX(LookUps!$E$5:$E$12, MATCH(OpenLCAbasic!K4837,LookUps!$D$5:$D$12,0))))</f>
        <v/>
      </c>
      <c r="M4837" s="154" t="str">
        <f t="shared" si="309"/>
        <v>____Process__</v>
      </c>
    </row>
    <row r="4838" spans="1:13" s="120" customFormat="1" x14ac:dyDescent="0.25">
      <c r="A4838" s="119"/>
      <c r="B4838" s="138" t="str">
        <f t="shared" si="307"/>
        <v>Windrow</v>
      </c>
      <c r="C4838" s="138" t="str">
        <f t="shared" si="306"/>
        <v>Without Amendment</v>
      </c>
      <c r="D4838" s="138" t="str">
        <f t="shared" si="310"/>
        <v>Medium_Low</v>
      </c>
      <c r="E4838" s="138" t="str">
        <f t="shared" si="305"/>
        <v>Base</v>
      </c>
      <c r="F4838" s="138" t="str">
        <f t="shared" si="308"/>
        <v>Upgraded</v>
      </c>
      <c r="G4838" s="153"/>
      <c r="H4838" s="210">
        <v>0.45739999999999997</v>
      </c>
      <c r="I4838" s="160" t="s">
        <v>55</v>
      </c>
      <c r="J4838" s="160">
        <v>2.33E-3</v>
      </c>
      <c r="K4838" s="160" t="s">
        <v>145</v>
      </c>
      <c r="L4838" s="154" t="str">
        <f>IF(OpenLCAbasic!K4838="CTUh", "Fill in Manually",IF(OR(K4838="Unit", K4838=""), "", INDEX(LookUps!$E$5:$E$12, MATCH(OpenLCAbasic!K4838,LookUps!$D$5:$D$12,0))))</f>
        <v>Particulate Matter Formation Potential (PMFP) - kg PM2.5 eq</v>
      </c>
      <c r="M4838" s="154" t="str">
        <f t="shared" si="309"/>
        <v>Base_Medium_Low_Upgraded_Particulate Matter Formation Potential (PMFP) - kg PM2.5 eq_Aeration Tanks; wastewater treatment unit; at updated plant - US_Without Amendment_Windrow</v>
      </c>
    </row>
    <row r="4839" spans="1:13" s="120" customFormat="1" x14ac:dyDescent="0.25">
      <c r="A4839" s="119"/>
      <c r="B4839" s="138" t="str">
        <f t="shared" si="307"/>
        <v>Windrow</v>
      </c>
      <c r="C4839" s="138" t="str">
        <f t="shared" si="306"/>
        <v>Without Amendment</v>
      </c>
      <c r="D4839" s="138" t="str">
        <f t="shared" si="310"/>
        <v>Medium_Low</v>
      </c>
      <c r="E4839" s="138" t="str">
        <f t="shared" si="305"/>
        <v>Base</v>
      </c>
      <c r="F4839" s="138" t="str">
        <f t="shared" si="308"/>
        <v>Upgraded</v>
      </c>
      <c r="G4839" s="153"/>
      <c r="H4839" s="210">
        <v>0.1331</v>
      </c>
      <c r="I4839" s="160" t="s">
        <v>54</v>
      </c>
      <c r="J4839" s="160">
        <v>6.8000000000000005E-4</v>
      </c>
      <c r="K4839" s="160" t="s">
        <v>145</v>
      </c>
      <c r="L4839" s="154" t="str">
        <f>IF(OpenLCAbasic!K4839="CTUh", "Fill in Manually",IF(OR(K4839="Unit", K4839=""), "", INDEX(LookUps!$E$5:$E$12, MATCH(OpenLCAbasic!K4839,LookUps!$D$5:$D$12,0))))</f>
        <v>Particulate Matter Formation Potential (PMFP) - kg PM2.5 eq</v>
      </c>
      <c r="M4839" s="154" t="str">
        <f t="shared" si="309"/>
        <v>Base_Medium_Low_Upgraded_Particulate Matter Formation Potential (PMFP) - kg PM2.5 eq_Clear Cove Primary Clarification; wastewater treatment unit; at updated plant - US_Without Amendment_Windrow</v>
      </c>
    </row>
    <row r="4840" spans="1:13" s="120" customFormat="1" x14ac:dyDescent="0.25">
      <c r="A4840" s="119"/>
      <c r="B4840" s="138" t="str">
        <f t="shared" si="307"/>
        <v>Windrow</v>
      </c>
      <c r="C4840" s="138" t="str">
        <f t="shared" si="306"/>
        <v>Without Amendment</v>
      </c>
      <c r="D4840" s="138" t="str">
        <f t="shared" si="310"/>
        <v>Medium_Low</v>
      </c>
      <c r="E4840" s="138" t="str">
        <f t="shared" si="305"/>
        <v>Base</v>
      </c>
      <c r="F4840" s="138" t="str">
        <f t="shared" si="308"/>
        <v>Upgraded</v>
      </c>
      <c r="G4840" s="153"/>
      <c r="H4840" s="210">
        <v>0.1154</v>
      </c>
      <c r="I4840" s="160" t="s">
        <v>58</v>
      </c>
      <c r="J4840" s="160">
        <v>5.9000000000000003E-4</v>
      </c>
      <c r="K4840" s="160" t="s">
        <v>145</v>
      </c>
      <c r="L4840" s="154" t="str">
        <f>IF(OpenLCAbasic!K4840="CTUh", "Fill in Manually",IF(OR(K4840="Unit", K4840=""), "", INDEX(LookUps!$E$5:$E$12, MATCH(OpenLCAbasic!K4840,LookUps!$D$5:$D$12,0))))</f>
        <v>Particulate Matter Formation Potential (PMFP) - kg PM2.5 eq</v>
      </c>
      <c r="M4840" s="154" t="str">
        <f t="shared" si="309"/>
        <v>Base_Medium_Low_Upgraded_Particulate Matter Formation Potential (PMFP) - kg PM2.5 eq_Pre-Anoxic &amp; Swing tank; wastewater treatment unit; at updated plant - US_Without Amendment_Windrow</v>
      </c>
    </row>
    <row r="4841" spans="1:13" s="120" customFormat="1" x14ac:dyDescent="0.25">
      <c r="A4841" s="119"/>
      <c r="B4841" s="138" t="str">
        <f t="shared" si="307"/>
        <v>Windrow</v>
      </c>
      <c r="C4841" s="138" t="str">
        <f t="shared" si="306"/>
        <v>Without Amendment</v>
      </c>
      <c r="D4841" s="138" t="str">
        <f t="shared" si="310"/>
        <v>Medium_Low</v>
      </c>
      <c r="E4841" s="138" t="str">
        <f t="shared" si="305"/>
        <v>Base</v>
      </c>
      <c r="F4841" s="138" t="str">
        <f t="shared" si="308"/>
        <v>Upgraded</v>
      </c>
      <c r="G4841" s="153"/>
      <c r="H4841" s="210">
        <v>9.1499999999999998E-2</v>
      </c>
      <c r="I4841" s="160" t="s">
        <v>53</v>
      </c>
      <c r="J4841" s="160">
        <v>4.6999999999999999E-4</v>
      </c>
      <c r="K4841" s="160" t="s">
        <v>145</v>
      </c>
      <c r="L4841" s="154" t="str">
        <f>IF(OpenLCAbasic!K4841="CTUh", "Fill in Manually",IF(OR(K4841="Unit", K4841=""), "", INDEX(LookUps!$E$5:$E$12, MATCH(OpenLCAbasic!K4841,LookUps!$D$5:$D$12,0))))</f>
        <v>Particulate Matter Formation Potential (PMFP) - kg PM2.5 eq</v>
      </c>
      <c r="M4841" s="154" t="str">
        <f t="shared" si="309"/>
        <v>Base_Medium_Low_Upgraded_Particulate Matter Formation Potential (PMFP) - kg PM2.5 eq_Wet Well and Sump Station; wastewater treatment unit; at updated plant - US_Without Amendment_Windrow</v>
      </c>
    </row>
    <row r="4842" spans="1:13" s="120" customFormat="1" x14ac:dyDescent="0.25">
      <c r="A4842" s="119"/>
      <c r="B4842" s="138" t="str">
        <f t="shared" si="307"/>
        <v>Windrow</v>
      </c>
      <c r="C4842" s="138" t="str">
        <f t="shared" si="306"/>
        <v>Without Amendment</v>
      </c>
      <c r="D4842" s="138" t="str">
        <f t="shared" si="310"/>
        <v>Medium_Low</v>
      </c>
      <c r="E4842" s="138" t="str">
        <f t="shared" si="305"/>
        <v>Base</v>
      </c>
      <c r="F4842" s="138" t="str">
        <f t="shared" si="308"/>
        <v>Upgraded</v>
      </c>
      <c r="G4842" s="153"/>
      <c r="H4842" s="210">
        <v>6.1699999999999998E-2</v>
      </c>
      <c r="I4842" s="160" t="s">
        <v>167</v>
      </c>
      <c r="J4842" s="160">
        <v>3.1E-4</v>
      </c>
      <c r="K4842" s="160" t="s">
        <v>145</v>
      </c>
      <c r="L4842" s="154" t="str">
        <f>IF(OpenLCAbasic!K4842="CTUh", "Fill in Manually",IF(OR(K4842="Unit", K4842=""), "", INDEX(LookUps!$E$5:$E$12, MATCH(OpenLCAbasic!K4842,LookUps!$D$5:$D$12,0))))</f>
        <v>Particulate Matter Formation Potential (PMFP) - kg PM2.5 eq</v>
      </c>
      <c r="M4842" s="154" t="str">
        <f t="shared" si="309"/>
        <v>Base_Medium_Low_Upgraded_Particulate Matter Formation Potential (PMFP) - kg PM2.5 eq_Waste Receiving and Holding; wastewater treatment unit; at updated plant - US_Without Amendment_Windrow</v>
      </c>
    </row>
    <row r="4843" spans="1:13" s="120" customFormat="1" x14ac:dyDescent="0.25">
      <c r="A4843" s="119"/>
      <c r="B4843" s="138" t="str">
        <f t="shared" si="307"/>
        <v>Windrow</v>
      </c>
      <c r="C4843" s="138" t="str">
        <f t="shared" si="306"/>
        <v>Without Amendment</v>
      </c>
      <c r="D4843" s="138" t="str">
        <f t="shared" si="310"/>
        <v>Medium_Low</v>
      </c>
      <c r="E4843" s="138" t="str">
        <f t="shared" si="305"/>
        <v>Base</v>
      </c>
      <c r="F4843" s="138" t="str">
        <f t="shared" si="308"/>
        <v>Upgraded</v>
      </c>
      <c r="G4843" s="153"/>
      <c r="H4843" s="210">
        <v>5.2299999999999999E-2</v>
      </c>
      <c r="I4843" s="160" t="s">
        <v>147</v>
      </c>
      <c r="J4843" s="160">
        <v>2.7E-4</v>
      </c>
      <c r="K4843" s="160" t="s">
        <v>145</v>
      </c>
      <c r="L4843" s="154" t="str">
        <f>IF(OpenLCAbasic!K4843="CTUh", "Fill in Manually",IF(OR(K4843="Unit", K4843=""), "", INDEX(LookUps!$E$5:$E$12, MATCH(OpenLCAbasic!K4843,LookUps!$D$5:$D$12,0))))</f>
        <v>Particulate Matter Formation Potential (PMFP) - kg PM2.5 eq</v>
      </c>
      <c r="M4843" s="154" t="str">
        <f t="shared" si="309"/>
        <v>Base_Medium_Low_Upgraded_Particulate Matter Formation Potential (PMFP) - kg PM2.5 eq_Influent Pump Station; wastewater treatment unit; at updated plant - US_Without Amendment_Windrow</v>
      </c>
    </row>
    <row r="4844" spans="1:13" s="120" customFormat="1" x14ac:dyDescent="0.25">
      <c r="A4844" s="119"/>
      <c r="B4844" s="138" t="str">
        <f t="shared" si="307"/>
        <v>Windrow</v>
      </c>
      <c r="C4844" s="138" t="str">
        <f t="shared" si="306"/>
        <v>Without Amendment</v>
      </c>
      <c r="D4844" s="138" t="str">
        <f t="shared" si="310"/>
        <v>Medium_Low</v>
      </c>
      <c r="E4844" s="138" t="str">
        <f t="shared" si="305"/>
        <v>Base</v>
      </c>
      <c r="F4844" s="138" t="str">
        <f t="shared" si="308"/>
        <v>Upgraded</v>
      </c>
      <c r="G4844" s="153"/>
      <c r="H4844" s="210">
        <v>3.9399999999999998E-2</v>
      </c>
      <c r="I4844" s="160" t="s">
        <v>271</v>
      </c>
      <c r="J4844" s="160">
        <v>2.0000000000000001E-4</v>
      </c>
      <c r="K4844" s="160" t="s">
        <v>145</v>
      </c>
      <c r="L4844" s="154" t="str">
        <f>IF(OpenLCAbasic!K4844="CTUh", "Fill in Manually",IF(OR(K4844="Unit", K4844=""), "", INDEX(LookUps!$E$5:$E$12, MATCH(OpenLCAbasic!K4844,LookUps!$D$5:$D$12,0))))</f>
        <v>Particulate Matter Formation Potential (PMFP) - kg PM2.5 eq</v>
      </c>
      <c r="M4844" s="154" t="str">
        <f t="shared" si="309"/>
        <v>Base_Medium_Low_Upgraded_Particulate Matter Formation Potential (PMFP) - kg PM2.5 eq_Biosolids composting; windrow composting; wastewater treatment unit; at updated plant - US_Without Amendment_Windrow</v>
      </c>
    </row>
    <row r="4845" spans="1:13" s="120" customFormat="1" x14ac:dyDescent="0.25">
      <c r="A4845" s="119"/>
      <c r="B4845" s="138" t="str">
        <f t="shared" si="307"/>
        <v>Windrow</v>
      </c>
      <c r="C4845" s="138" t="str">
        <f t="shared" si="306"/>
        <v>Without Amendment</v>
      </c>
      <c r="D4845" s="138" t="str">
        <f t="shared" si="310"/>
        <v>Medium_Low</v>
      </c>
      <c r="E4845" s="138" t="str">
        <f t="shared" si="305"/>
        <v>Base</v>
      </c>
      <c r="F4845" s="138" t="str">
        <f t="shared" si="308"/>
        <v>Upgraded</v>
      </c>
      <c r="G4845" s="153"/>
      <c r="H4845" s="210">
        <v>3.2599999999999997E-2</v>
      </c>
      <c r="I4845" s="160" t="s">
        <v>128</v>
      </c>
      <c r="J4845" s="160">
        <v>1.7000000000000001E-4</v>
      </c>
      <c r="K4845" s="160" t="s">
        <v>145</v>
      </c>
      <c r="L4845" s="154" t="str">
        <f>IF(OpenLCAbasic!K4845="CTUh", "Fill in Manually",IF(OR(K4845="Unit", K4845=""), "", INDEX(LookUps!$E$5:$E$12, MATCH(OpenLCAbasic!K4845,LookUps!$D$5:$D$12,0))))</f>
        <v>Particulate Matter Formation Potential (PMFP) - kg PM2.5 eq</v>
      </c>
      <c r="M4845" s="154" t="str">
        <f t="shared" si="309"/>
        <v>Base_Medium_Low_Upgraded_Particulate Matter Formation Potential (PMFP) - kg PM2.5 eq_Wastewater collection; operation and infrastructure; m3 wastewater_Without Amendment_Windrow</v>
      </c>
    </row>
    <row r="4846" spans="1:13" s="120" customFormat="1" x14ac:dyDescent="0.25">
      <c r="A4846" s="119"/>
      <c r="B4846" s="138" t="str">
        <f t="shared" si="307"/>
        <v>Windrow</v>
      </c>
      <c r="C4846" s="138" t="str">
        <f t="shared" si="306"/>
        <v>Without Amendment</v>
      </c>
      <c r="D4846" s="138" t="str">
        <f t="shared" si="310"/>
        <v>Medium_Low</v>
      </c>
      <c r="E4846" s="138" t="str">
        <f t="shared" si="305"/>
        <v>Base</v>
      </c>
      <c r="F4846" s="138" t="str">
        <f t="shared" si="308"/>
        <v>Upgraded</v>
      </c>
      <c r="G4846" s="153"/>
      <c r="H4846" s="210">
        <v>3.1899999999999998E-2</v>
      </c>
      <c r="I4846" s="160" t="s">
        <v>60</v>
      </c>
      <c r="J4846" s="160">
        <v>1.6000000000000001E-4</v>
      </c>
      <c r="K4846" s="160" t="s">
        <v>145</v>
      </c>
      <c r="L4846" s="154" t="str">
        <f>IF(OpenLCAbasic!K4846="CTUh", "Fill in Manually",IF(OR(K4846="Unit", K4846=""), "", INDEX(LookUps!$E$5:$E$12, MATCH(OpenLCAbasic!K4846,LookUps!$D$5:$D$12,0))))</f>
        <v>Particulate Matter Formation Potential (PMFP) - kg PM2.5 eq</v>
      </c>
      <c r="M4846" s="154" t="str">
        <f t="shared" si="309"/>
        <v>Base_Medium_Low_Upgraded_Particulate Matter Formation Potential (PMFP) - kg PM2.5 eq_Belt filter press; wastewater treatment unit; at updated plant - US_Without Amendment_Windrow</v>
      </c>
    </row>
    <row r="4847" spans="1:13" s="120" customFormat="1" x14ac:dyDescent="0.25">
      <c r="A4847" s="119"/>
      <c r="B4847" s="138" t="str">
        <f t="shared" si="307"/>
        <v>Windrow</v>
      </c>
      <c r="C4847" s="138" t="str">
        <f t="shared" si="306"/>
        <v>Without Amendment</v>
      </c>
      <c r="D4847" s="138" t="str">
        <f t="shared" si="310"/>
        <v>Medium_Low</v>
      </c>
      <c r="E4847" s="138" t="str">
        <f t="shared" si="305"/>
        <v>Base</v>
      </c>
      <c r="F4847" s="138" t="str">
        <f t="shared" si="308"/>
        <v>Upgraded</v>
      </c>
      <c r="G4847" s="153"/>
      <c r="H4847" s="210">
        <v>1.8599999999999998E-2</v>
      </c>
      <c r="I4847" s="160" t="s">
        <v>57</v>
      </c>
      <c r="J4847" s="211">
        <v>9.5153800000000004E-5</v>
      </c>
      <c r="K4847" s="160" t="s">
        <v>145</v>
      </c>
      <c r="L4847" s="154" t="str">
        <f>IF(OpenLCAbasic!K4847="CTUh", "Fill in Manually",IF(OR(K4847="Unit", K4847=""), "", INDEX(LookUps!$E$5:$E$12, MATCH(OpenLCAbasic!K4847,LookUps!$D$5:$D$12,0))))</f>
        <v>Particulate Matter Formation Potential (PMFP) - kg PM2.5 eq</v>
      </c>
      <c r="M4847" s="154" t="str">
        <f t="shared" si="309"/>
        <v>Base_Medium_Low_Upgraded_Particulate Matter Formation Potential (PMFP) - kg PM2.5 eq_Gravity Belt Thickener; wastewater treatment unit; at updated plant - US_Without Amendment_Windrow</v>
      </c>
    </row>
    <row r="4848" spans="1:13" s="120" customFormat="1" x14ac:dyDescent="0.25">
      <c r="A4848" s="119"/>
      <c r="B4848" s="138" t="str">
        <f t="shared" si="307"/>
        <v>Windrow</v>
      </c>
      <c r="C4848" s="138" t="str">
        <f t="shared" si="306"/>
        <v>Without Amendment</v>
      </c>
      <c r="D4848" s="138" t="str">
        <f t="shared" si="310"/>
        <v>Medium_Low</v>
      </c>
      <c r="E4848" s="138" t="str">
        <f t="shared" si="305"/>
        <v>Base</v>
      </c>
      <c r="F4848" s="138" t="str">
        <f t="shared" si="308"/>
        <v>Upgraded</v>
      </c>
      <c r="G4848" s="153"/>
      <c r="H4848" s="210">
        <v>1.37E-2</v>
      </c>
      <c r="I4848" s="160" t="s">
        <v>59</v>
      </c>
      <c r="J4848" s="211">
        <v>6.9942200000000003E-5</v>
      </c>
      <c r="K4848" s="160" t="s">
        <v>145</v>
      </c>
      <c r="L4848" s="154" t="str">
        <f>IF(OpenLCAbasic!K4848="CTUh", "Fill in Manually",IF(OR(K4848="Unit", K4848=""), "", INDEX(LookUps!$E$5:$E$12, MATCH(OpenLCAbasic!K4848,LookUps!$D$5:$D$12,0))))</f>
        <v>Particulate Matter Formation Potential (PMFP) - kg PM2.5 eq</v>
      </c>
      <c r="M4848" s="154" t="str">
        <f t="shared" si="309"/>
        <v>Base_Medium_Low_Upgraded_Particulate Matter Formation Potential (PMFP) - kg PM2.5 eq_Blend Tank; wastewater treatment unit; at updated plant - US_Without Amendment_Windrow</v>
      </c>
    </row>
    <row r="4849" spans="1:13" s="120" customFormat="1" x14ac:dyDescent="0.25">
      <c r="A4849" s="119"/>
      <c r="B4849" s="138" t="str">
        <f t="shared" si="307"/>
        <v>Windrow</v>
      </c>
      <c r="C4849" s="138" t="str">
        <f t="shared" si="306"/>
        <v>Without Amendment</v>
      </c>
      <c r="D4849" s="138" t="str">
        <f t="shared" si="310"/>
        <v>Medium_Low</v>
      </c>
      <c r="E4849" s="138" t="str">
        <f t="shared" ref="E4849:E4912" si="311">IF(ISNUMBER($J4849),"Base","")</f>
        <v>Base</v>
      </c>
      <c r="F4849" s="138" t="str">
        <f t="shared" si="308"/>
        <v>Upgraded</v>
      </c>
      <c r="G4849" s="153"/>
      <c r="H4849" s="210">
        <v>9.7999999999999997E-3</v>
      </c>
      <c r="I4849" s="160" t="s">
        <v>48</v>
      </c>
      <c r="J4849" s="211">
        <v>4.99741E-5</v>
      </c>
      <c r="K4849" s="160" t="s">
        <v>145</v>
      </c>
      <c r="L4849" s="154" t="str">
        <f>IF(OpenLCAbasic!K4849="CTUh", "Fill in Manually",IF(OR(K4849="Unit", K4849=""), "", INDEX(LookUps!$E$5:$E$12, MATCH(OpenLCAbasic!K4849,LookUps!$D$5:$D$12,0))))</f>
        <v>Particulate Matter Formation Potential (PMFP) - kg PM2.5 eq</v>
      </c>
      <c r="M4849" s="154" t="str">
        <f t="shared" si="309"/>
        <v>Base_Medium_Low_Upgraded_Particulate Matter Formation Potential (PMFP) - kg PM2.5 eq_Effluent release; wastewater treatment unit; at surface water; m3 wastewater - US_Without Amendment_Windrow</v>
      </c>
    </row>
    <row r="4850" spans="1:13" s="120" customFormat="1" x14ac:dyDescent="0.25">
      <c r="A4850" s="119"/>
      <c r="B4850" s="138" t="str">
        <f t="shared" si="307"/>
        <v>Windrow</v>
      </c>
      <c r="C4850" s="138" t="str">
        <f t="shared" si="306"/>
        <v>Without Amendment</v>
      </c>
      <c r="D4850" s="138" t="str">
        <f t="shared" si="310"/>
        <v>Medium_Low</v>
      </c>
      <c r="E4850" s="138" t="str">
        <f t="shared" si="311"/>
        <v>Base</v>
      </c>
      <c r="F4850" s="138" t="str">
        <f t="shared" si="308"/>
        <v>Upgraded</v>
      </c>
      <c r="G4850" s="153"/>
      <c r="H4850" s="210">
        <v>8.9999999999999993E-3</v>
      </c>
      <c r="I4850" s="160" t="s">
        <v>62</v>
      </c>
      <c r="J4850" s="211">
        <v>4.5791599999999997E-5</v>
      </c>
      <c r="K4850" s="160" t="s">
        <v>145</v>
      </c>
      <c r="L4850" s="154" t="str">
        <f>IF(OpenLCAbasic!K4850="CTUh", "Fill in Manually",IF(OR(K4850="Unit", K4850=""), "", INDEX(LookUps!$E$5:$E$12, MATCH(OpenLCAbasic!K4850,LookUps!$D$5:$D$12,0))))</f>
        <v>Particulate Matter Formation Potential (PMFP) - kg PM2.5 eq</v>
      </c>
      <c r="M4850" s="154" t="str">
        <f t="shared" si="309"/>
        <v>Base_Medium_Low_Upgraded_Particulate Matter Formation Potential (PMFP) - kg PM2.5 eq_Land application of compost; wastewater treatment unit; at updated plant - US_Without Amendment_Windrow</v>
      </c>
    </row>
    <row r="4851" spans="1:13" s="120" customFormat="1" x14ac:dyDescent="0.25">
      <c r="A4851" s="119"/>
      <c r="B4851" s="138" t="str">
        <f t="shared" si="307"/>
        <v>Windrow</v>
      </c>
      <c r="C4851" s="138" t="str">
        <f t="shared" si="306"/>
        <v>Without Amendment</v>
      </c>
      <c r="D4851" s="138" t="str">
        <f t="shared" si="310"/>
        <v>Medium_Low</v>
      </c>
      <c r="E4851" s="138" t="str">
        <f t="shared" si="311"/>
        <v>Base</v>
      </c>
      <c r="F4851" s="138" t="str">
        <f t="shared" si="308"/>
        <v>Upgraded</v>
      </c>
      <c r="G4851" s="153"/>
      <c r="H4851" s="210">
        <v>6.7999999999999996E-3</v>
      </c>
      <c r="I4851" s="160" t="s">
        <v>168</v>
      </c>
      <c r="J4851" s="211">
        <v>3.4562199999999999E-5</v>
      </c>
      <c r="K4851" s="160" t="s">
        <v>145</v>
      </c>
      <c r="L4851" s="154" t="str">
        <f>IF(OpenLCAbasic!K4851="CTUh", "Fill in Manually",IF(OR(K4851="Unit", K4851=""), "", INDEX(LookUps!$E$5:$E$12, MATCH(OpenLCAbasic!K4851,LookUps!$D$5:$D$12,0))))</f>
        <v>Particulate Matter Formation Potential (PMFP) - kg PM2.5 eq</v>
      </c>
      <c r="M4851" s="154" t="str">
        <f t="shared" si="309"/>
        <v>Base_Medium_Low_Upgraded_Particulate Matter Formation Potential (PMFP) - kg PM2.5 eq_ClearCove SCP; wastewater treatment unit; at updated plant - US_Without Amendment_Windrow</v>
      </c>
    </row>
    <row r="4852" spans="1:13" s="120" customFormat="1" x14ac:dyDescent="0.25">
      <c r="A4852" s="119"/>
      <c r="B4852" s="138" t="str">
        <f t="shared" si="307"/>
        <v>Windrow</v>
      </c>
      <c r="C4852" s="138" t="str">
        <f t="shared" si="306"/>
        <v>Without Amendment</v>
      </c>
      <c r="D4852" s="138" t="str">
        <f t="shared" si="310"/>
        <v>Medium_Low</v>
      </c>
      <c r="E4852" s="138" t="str">
        <f t="shared" si="311"/>
        <v>Base</v>
      </c>
      <c r="F4852" s="138" t="str">
        <f t="shared" si="308"/>
        <v>Upgraded</v>
      </c>
      <c r="G4852" s="153"/>
      <c r="H4852" s="210">
        <v>1.6999999999999999E-3</v>
      </c>
      <c r="I4852" s="160" t="s">
        <v>148</v>
      </c>
      <c r="J4852" s="211">
        <v>8.8212999999999997E-6</v>
      </c>
      <c r="K4852" s="160" t="s">
        <v>145</v>
      </c>
      <c r="L4852" s="154" t="str">
        <f>IF(OpenLCAbasic!K4852="CTUh", "Fill in Manually",IF(OR(K4852="Unit", K4852=""), "", INDEX(LookUps!$E$5:$E$12, MATCH(OpenLCAbasic!K4852,LookUps!$D$5:$D$12,0))))</f>
        <v>Particulate Matter Formation Potential (PMFP) - kg PM2.5 eq</v>
      </c>
      <c r="M4852" s="154" t="str">
        <f t="shared" si="309"/>
        <v>Base_Medium_Low_Upgraded_Particulate Matter Formation Potential (PMFP) - kg PM2.5 eq_Control Building; at upgraded wastewater treatment plant - US_Without Amendment_Windrow</v>
      </c>
    </row>
    <row r="4853" spans="1:13" s="120" customFormat="1" x14ac:dyDescent="0.25">
      <c r="A4853" s="119"/>
      <c r="B4853" s="138" t="str">
        <f t="shared" si="307"/>
        <v>Windrow</v>
      </c>
      <c r="C4853" s="138" t="str">
        <f t="shared" si="306"/>
        <v>Without Amendment</v>
      </c>
      <c r="D4853" s="138" t="str">
        <f t="shared" si="310"/>
        <v>Medium_Low</v>
      </c>
      <c r="E4853" s="138" t="str">
        <f t="shared" si="311"/>
        <v>Base</v>
      </c>
      <c r="F4853" s="138" t="str">
        <f t="shared" si="308"/>
        <v>Upgraded</v>
      </c>
      <c r="G4853" s="153"/>
      <c r="H4853" s="210">
        <v>-7.4800000000000005E-2</v>
      </c>
      <c r="I4853" s="160" t="s">
        <v>149</v>
      </c>
      <c r="J4853" s="160">
        <v>-3.8000000000000002E-4</v>
      </c>
      <c r="K4853" s="160" t="s">
        <v>145</v>
      </c>
      <c r="L4853" s="154" t="str">
        <f>IF(OpenLCAbasic!K4853="CTUh", "Fill in Manually",IF(OR(K4853="Unit", K4853=""), "", INDEX(LookUps!$E$5:$E$12, MATCH(OpenLCAbasic!K4853,LookUps!$D$5:$D$12,0))))</f>
        <v>Particulate Matter Formation Potential (PMFP) - kg PM2.5 eq</v>
      </c>
      <c r="M4853" s="154" t="str">
        <f t="shared" si="309"/>
        <v>Base_Medium_Low_Upgraded_Particulate Matter Formation Potential (PMFP) - kg PM2.5 eq_Anaerobic Digestion; wastewater treatment unit; at updated plant - US_Without Amendment_Windrow</v>
      </c>
    </row>
    <row r="4854" spans="1:13" s="120" customFormat="1" x14ac:dyDescent="0.25">
      <c r="A4854" s="119"/>
      <c r="B4854" s="138" t="str">
        <f t="shared" si="307"/>
        <v/>
      </c>
      <c r="C4854" s="138" t="str">
        <f t="shared" si="306"/>
        <v/>
      </c>
      <c r="D4854" s="138" t="str">
        <f t="shared" si="310"/>
        <v/>
      </c>
      <c r="E4854" s="138" t="str">
        <f t="shared" si="311"/>
        <v/>
      </c>
      <c r="F4854" s="138" t="str">
        <f t="shared" si="308"/>
        <v/>
      </c>
      <c r="G4854" s="153" t="s">
        <v>51</v>
      </c>
      <c r="H4854" s="160"/>
      <c r="I4854" s="160" t="s">
        <v>47</v>
      </c>
      <c r="J4854" s="160" t="s">
        <v>52</v>
      </c>
      <c r="K4854" s="160" t="s">
        <v>27</v>
      </c>
      <c r="L4854" s="154" t="str">
        <f>IF(OpenLCAbasic!K4854="CTUh", "Fill in Manually",IF(OR(K4854="Unit", K4854=""), "", INDEX(LookUps!$E$5:$E$12, MATCH(OpenLCAbasic!K4854,LookUps!$D$5:$D$12,0))))</f>
        <v/>
      </c>
      <c r="M4854" s="154" t="str">
        <f t="shared" si="309"/>
        <v>____Process__</v>
      </c>
    </row>
    <row r="4855" spans="1:13" s="120" customFormat="1" x14ac:dyDescent="0.25">
      <c r="A4855" s="119"/>
      <c r="B4855" s="138" t="str">
        <f t="shared" si="307"/>
        <v>Windrow</v>
      </c>
      <c r="C4855" s="138" t="str">
        <f t="shared" si="306"/>
        <v>Without Amendment</v>
      </c>
      <c r="D4855" s="138" t="str">
        <f t="shared" si="310"/>
        <v>Medium_Low</v>
      </c>
      <c r="E4855" s="138" t="str">
        <f t="shared" si="311"/>
        <v>Base</v>
      </c>
      <c r="F4855" s="138" t="str">
        <f t="shared" si="308"/>
        <v>Upgraded</v>
      </c>
      <c r="G4855" s="153"/>
      <c r="H4855" s="210">
        <v>0.47149999999999997</v>
      </c>
      <c r="I4855" s="160" t="s">
        <v>55</v>
      </c>
      <c r="J4855" s="160">
        <v>0.16577</v>
      </c>
      <c r="K4855" s="160" t="s">
        <v>25</v>
      </c>
      <c r="L4855" s="154" t="str">
        <f>IF(OpenLCAbasic!K4855="CTUh", "Fill in Manually",IF(OR(K4855="Unit", K4855=""), "", INDEX(LookUps!$E$5:$E$12, MATCH(OpenLCAbasic!K4855,LookUps!$D$5:$D$12,0))))</f>
        <v>Smog Formation Potential (SFP) - kg O3 eq</v>
      </c>
      <c r="M4855" s="154" t="str">
        <f t="shared" si="309"/>
        <v>Base_Medium_Low_Upgraded_Smog Formation Potential (SFP) - kg O3 eq_Aeration Tanks; wastewater treatment unit; at updated plant - US_Without Amendment_Windrow</v>
      </c>
    </row>
    <row r="4856" spans="1:13" s="120" customFormat="1" x14ac:dyDescent="0.25">
      <c r="A4856" s="119"/>
      <c r="B4856" s="138" t="str">
        <f t="shared" si="307"/>
        <v>Windrow</v>
      </c>
      <c r="C4856" s="138" t="str">
        <f t="shared" si="306"/>
        <v>Without Amendment</v>
      </c>
      <c r="D4856" s="138" t="str">
        <f t="shared" si="310"/>
        <v>Medium_Low</v>
      </c>
      <c r="E4856" s="138" t="str">
        <f t="shared" si="311"/>
        <v>Base</v>
      </c>
      <c r="F4856" s="138" t="str">
        <f t="shared" si="308"/>
        <v>Upgraded</v>
      </c>
      <c r="G4856" s="153"/>
      <c r="H4856" s="210">
        <v>0.13669999999999999</v>
      </c>
      <c r="I4856" s="160" t="s">
        <v>54</v>
      </c>
      <c r="J4856" s="160">
        <v>4.8070000000000002E-2</v>
      </c>
      <c r="K4856" s="160" t="s">
        <v>25</v>
      </c>
      <c r="L4856" s="154" t="str">
        <f>IF(OpenLCAbasic!K4856="CTUh", "Fill in Manually",IF(OR(K4856="Unit", K4856=""), "", INDEX(LookUps!$E$5:$E$12, MATCH(OpenLCAbasic!K4856,LookUps!$D$5:$D$12,0))))</f>
        <v>Smog Formation Potential (SFP) - kg O3 eq</v>
      </c>
      <c r="M4856" s="154" t="str">
        <f t="shared" si="309"/>
        <v>Base_Medium_Low_Upgraded_Smog Formation Potential (SFP) - kg O3 eq_Clear Cove Primary Clarification; wastewater treatment unit; at updated plant - US_Without Amendment_Windrow</v>
      </c>
    </row>
    <row r="4857" spans="1:13" s="120" customFormat="1" x14ac:dyDescent="0.25">
      <c r="A4857" s="119"/>
      <c r="B4857" s="138" t="str">
        <f t="shared" si="307"/>
        <v>Windrow</v>
      </c>
      <c r="C4857" s="138" t="str">
        <f t="shared" si="306"/>
        <v>Without Amendment</v>
      </c>
      <c r="D4857" s="138" t="str">
        <f t="shared" si="310"/>
        <v>Medium_Low</v>
      </c>
      <c r="E4857" s="138" t="str">
        <f t="shared" si="311"/>
        <v>Base</v>
      </c>
      <c r="F4857" s="138" t="str">
        <f t="shared" si="308"/>
        <v>Upgraded</v>
      </c>
      <c r="G4857" s="153"/>
      <c r="H4857" s="210">
        <v>0.1192</v>
      </c>
      <c r="I4857" s="160" t="s">
        <v>58</v>
      </c>
      <c r="J4857" s="160">
        <v>4.1919999999999999E-2</v>
      </c>
      <c r="K4857" s="160" t="s">
        <v>25</v>
      </c>
      <c r="L4857" s="154" t="str">
        <f>IF(OpenLCAbasic!K4857="CTUh", "Fill in Manually",IF(OR(K4857="Unit", K4857=""), "", INDEX(LookUps!$E$5:$E$12, MATCH(OpenLCAbasic!K4857,LookUps!$D$5:$D$12,0))))</f>
        <v>Smog Formation Potential (SFP) - kg O3 eq</v>
      </c>
      <c r="M4857" s="154" t="str">
        <f t="shared" si="309"/>
        <v>Base_Medium_Low_Upgraded_Smog Formation Potential (SFP) - kg O3 eq_Pre-Anoxic &amp; Swing tank; wastewater treatment unit; at updated plant - US_Without Amendment_Windrow</v>
      </c>
    </row>
    <row r="4858" spans="1:13" s="120" customFormat="1" x14ac:dyDescent="0.25">
      <c r="A4858" s="119"/>
      <c r="B4858" s="138" t="str">
        <f t="shared" si="307"/>
        <v>Windrow</v>
      </c>
      <c r="C4858" s="138" t="str">
        <f t="shared" si="306"/>
        <v>Without Amendment</v>
      </c>
      <c r="D4858" s="138" t="str">
        <f t="shared" si="310"/>
        <v>Medium_Low</v>
      </c>
      <c r="E4858" s="138" t="str">
        <f t="shared" si="311"/>
        <v>Base</v>
      </c>
      <c r="F4858" s="138" t="str">
        <f t="shared" si="308"/>
        <v>Upgraded</v>
      </c>
      <c r="G4858" s="153"/>
      <c r="H4858" s="210">
        <v>9.4200000000000006E-2</v>
      </c>
      <c r="I4858" s="160" t="s">
        <v>53</v>
      </c>
      <c r="J4858" s="160">
        <v>3.313E-2</v>
      </c>
      <c r="K4858" s="160" t="s">
        <v>25</v>
      </c>
      <c r="L4858" s="154" t="str">
        <f>IF(OpenLCAbasic!K4858="CTUh", "Fill in Manually",IF(OR(K4858="Unit", K4858=""), "", INDEX(LookUps!$E$5:$E$12, MATCH(OpenLCAbasic!K4858,LookUps!$D$5:$D$12,0))))</f>
        <v>Smog Formation Potential (SFP) - kg O3 eq</v>
      </c>
      <c r="M4858" s="154" t="str">
        <f t="shared" si="309"/>
        <v>Base_Medium_Low_Upgraded_Smog Formation Potential (SFP) - kg O3 eq_Wet Well and Sump Station; wastewater treatment unit; at updated plant - US_Without Amendment_Windrow</v>
      </c>
    </row>
    <row r="4859" spans="1:13" s="120" customFormat="1" x14ac:dyDescent="0.25">
      <c r="A4859" s="119"/>
      <c r="B4859" s="138" t="str">
        <f t="shared" si="307"/>
        <v>Windrow</v>
      </c>
      <c r="C4859" s="138" t="str">
        <f t="shared" si="306"/>
        <v>Without Amendment</v>
      </c>
      <c r="D4859" s="138" t="str">
        <f t="shared" si="310"/>
        <v>Medium_Low</v>
      </c>
      <c r="E4859" s="138" t="str">
        <f t="shared" si="311"/>
        <v>Base</v>
      </c>
      <c r="F4859" s="138" t="str">
        <f t="shared" si="308"/>
        <v>Upgraded</v>
      </c>
      <c r="G4859" s="153"/>
      <c r="H4859" s="210">
        <v>8.7300000000000003E-2</v>
      </c>
      <c r="I4859" s="160" t="s">
        <v>167</v>
      </c>
      <c r="J4859" s="160">
        <v>3.0710000000000001E-2</v>
      </c>
      <c r="K4859" s="160" t="s">
        <v>25</v>
      </c>
      <c r="L4859" s="154" t="str">
        <f>IF(OpenLCAbasic!K4859="CTUh", "Fill in Manually",IF(OR(K4859="Unit", K4859=""), "", INDEX(LookUps!$E$5:$E$12, MATCH(OpenLCAbasic!K4859,LookUps!$D$5:$D$12,0))))</f>
        <v>Smog Formation Potential (SFP) - kg O3 eq</v>
      </c>
      <c r="M4859" s="154" t="str">
        <f t="shared" si="309"/>
        <v>Base_Medium_Low_Upgraded_Smog Formation Potential (SFP) - kg O3 eq_Waste Receiving and Holding; wastewater treatment unit; at updated plant - US_Without Amendment_Windrow</v>
      </c>
    </row>
    <row r="4860" spans="1:13" s="120" customFormat="1" x14ac:dyDescent="0.25">
      <c r="A4860" s="119"/>
      <c r="B4860" s="138" t="str">
        <f t="shared" si="307"/>
        <v>Windrow</v>
      </c>
      <c r="C4860" s="138" t="str">
        <f t="shared" si="306"/>
        <v>Without Amendment</v>
      </c>
      <c r="D4860" s="138" t="str">
        <f t="shared" si="310"/>
        <v>Medium_Low</v>
      </c>
      <c r="E4860" s="138" t="str">
        <f t="shared" si="311"/>
        <v>Base</v>
      </c>
      <c r="F4860" s="138" t="str">
        <f t="shared" si="308"/>
        <v>Upgraded</v>
      </c>
      <c r="G4860" s="153"/>
      <c r="H4860" s="210">
        <v>5.5199999999999999E-2</v>
      </c>
      <c r="I4860" s="160" t="s">
        <v>147</v>
      </c>
      <c r="J4860" s="160">
        <v>1.9400000000000001E-2</v>
      </c>
      <c r="K4860" s="160" t="s">
        <v>25</v>
      </c>
      <c r="L4860" s="154" t="str">
        <f>IF(OpenLCAbasic!K4860="CTUh", "Fill in Manually",IF(OR(K4860="Unit", K4860=""), "", INDEX(LookUps!$E$5:$E$12, MATCH(OpenLCAbasic!K4860,LookUps!$D$5:$D$12,0))))</f>
        <v>Smog Formation Potential (SFP) - kg O3 eq</v>
      </c>
      <c r="M4860" s="154" t="str">
        <f t="shared" si="309"/>
        <v>Base_Medium_Low_Upgraded_Smog Formation Potential (SFP) - kg O3 eq_Influent Pump Station; wastewater treatment unit; at updated plant - US_Without Amendment_Windrow</v>
      </c>
    </row>
    <row r="4861" spans="1:13" s="120" customFormat="1" x14ac:dyDescent="0.25">
      <c r="A4861" s="119"/>
      <c r="B4861" s="138" t="str">
        <f t="shared" si="307"/>
        <v>Windrow</v>
      </c>
      <c r="C4861" s="138" t="str">
        <f t="shared" si="306"/>
        <v>Without Amendment</v>
      </c>
      <c r="D4861" s="138" t="str">
        <f t="shared" si="310"/>
        <v>Medium_Low</v>
      </c>
      <c r="E4861" s="138" t="str">
        <f t="shared" si="311"/>
        <v>Base</v>
      </c>
      <c r="F4861" s="138" t="str">
        <f t="shared" si="308"/>
        <v>Upgraded</v>
      </c>
      <c r="G4861" s="153"/>
      <c r="H4861" s="210">
        <v>3.39E-2</v>
      </c>
      <c r="I4861" s="160" t="s">
        <v>128</v>
      </c>
      <c r="J4861" s="160">
        <v>1.192E-2</v>
      </c>
      <c r="K4861" s="160" t="s">
        <v>25</v>
      </c>
      <c r="L4861" s="154" t="str">
        <f>IF(OpenLCAbasic!K4861="CTUh", "Fill in Manually",IF(OR(K4861="Unit", K4861=""), "", INDEX(LookUps!$E$5:$E$12, MATCH(OpenLCAbasic!K4861,LookUps!$D$5:$D$12,0))))</f>
        <v>Smog Formation Potential (SFP) - kg O3 eq</v>
      </c>
      <c r="M4861" s="154" t="str">
        <f t="shared" si="309"/>
        <v>Base_Medium_Low_Upgraded_Smog Formation Potential (SFP) - kg O3 eq_Wastewater collection; operation and infrastructure; m3 wastewater_Without Amendment_Windrow</v>
      </c>
    </row>
    <row r="4862" spans="1:13" s="120" customFormat="1" x14ac:dyDescent="0.25">
      <c r="A4862" s="119"/>
      <c r="B4862" s="138" t="str">
        <f t="shared" si="307"/>
        <v>Windrow</v>
      </c>
      <c r="C4862" s="138" t="str">
        <f t="shared" si="306"/>
        <v>Without Amendment</v>
      </c>
      <c r="D4862" s="138" t="str">
        <f t="shared" si="310"/>
        <v>Medium_Low</v>
      </c>
      <c r="E4862" s="138" t="str">
        <f t="shared" si="311"/>
        <v>Base</v>
      </c>
      <c r="F4862" s="138" t="str">
        <f t="shared" si="308"/>
        <v>Upgraded</v>
      </c>
      <c r="G4862" s="153"/>
      <c r="H4862" s="210">
        <v>3.2599999999999997E-2</v>
      </c>
      <c r="I4862" s="160" t="s">
        <v>60</v>
      </c>
      <c r="J4862" s="160">
        <v>1.145E-2</v>
      </c>
      <c r="K4862" s="160" t="s">
        <v>25</v>
      </c>
      <c r="L4862" s="154" t="str">
        <f>IF(OpenLCAbasic!K4862="CTUh", "Fill in Manually",IF(OR(K4862="Unit", K4862=""), "", INDEX(LookUps!$E$5:$E$12, MATCH(OpenLCAbasic!K4862,LookUps!$D$5:$D$12,0))))</f>
        <v>Smog Formation Potential (SFP) - kg O3 eq</v>
      </c>
      <c r="M4862" s="154" t="str">
        <f t="shared" si="309"/>
        <v>Base_Medium_Low_Upgraded_Smog Formation Potential (SFP) - kg O3 eq_Belt filter press; wastewater treatment unit; at updated plant - US_Without Amendment_Windrow</v>
      </c>
    </row>
    <row r="4863" spans="1:13" s="120" customFormat="1" x14ac:dyDescent="0.25">
      <c r="A4863" s="119"/>
      <c r="B4863" s="138" t="str">
        <f t="shared" si="307"/>
        <v>Windrow</v>
      </c>
      <c r="C4863" s="138" t="str">
        <f t="shared" si="306"/>
        <v>Without Amendment</v>
      </c>
      <c r="D4863" s="138" t="str">
        <f t="shared" si="310"/>
        <v>Medium_Low</v>
      </c>
      <c r="E4863" s="138" t="str">
        <f t="shared" si="311"/>
        <v>Base</v>
      </c>
      <c r="F4863" s="138" t="str">
        <f t="shared" si="308"/>
        <v>Upgraded</v>
      </c>
      <c r="G4863" s="153"/>
      <c r="H4863" s="210">
        <v>1.89E-2</v>
      </c>
      <c r="I4863" s="160" t="s">
        <v>57</v>
      </c>
      <c r="J4863" s="160">
        <v>6.6499999999999997E-3</v>
      </c>
      <c r="K4863" s="160" t="s">
        <v>25</v>
      </c>
      <c r="L4863" s="154" t="str">
        <f>IF(OpenLCAbasic!K4863="CTUh", "Fill in Manually",IF(OR(K4863="Unit", K4863=""), "", INDEX(LookUps!$E$5:$E$12, MATCH(OpenLCAbasic!K4863,LookUps!$D$5:$D$12,0))))</f>
        <v>Smog Formation Potential (SFP) - kg O3 eq</v>
      </c>
      <c r="M4863" s="154" t="str">
        <f t="shared" si="309"/>
        <v>Base_Medium_Low_Upgraded_Smog Formation Potential (SFP) - kg O3 eq_Gravity Belt Thickener; wastewater treatment unit; at updated plant - US_Without Amendment_Windrow</v>
      </c>
    </row>
    <row r="4864" spans="1:13" s="120" customFormat="1" x14ac:dyDescent="0.25">
      <c r="A4864" s="119"/>
      <c r="B4864" s="138" t="str">
        <f t="shared" si="307"/>
        <v>Windrow</v>
      </c>
      <c r="C4864" s="138" t="str">
        <f t="shared" si="306"/>
        <v>Without Amendment</v>
      </c>
      <c r="D4864" s="138" t="str">
        <f t="shared" si="310"/>
        <v>Medium_Low</v>
      </c>
      <c r="E4864" s="138" t="str">
        <f t="shared" si="311"/>
        <v>Base</v>
      </c>
      <c r="F4864" s="138" t="str">
        <f t="shared" si="308"/>
        <v>Upgraded</v>
      </c>
      <c r="G4864" s="153"/>
      <c r="H4864" s="210">
        <v>1.41E-2</v>
      </c>
      <c r="I4864" s="160" t="s">
        <v>59</v>
      </c>
      <c r="J4864" s="160">
        <v>4.9699999999999996E-3</v>
      </c>
      <c r="K4864" s="160" t="s">
        <v>25</v>
      </c>
      <c r="L4864" s="154" t="str">
        <f>IF(OpenLCAbasic!K4864="CTUh", "Fill in Manually",IF(OR(K4864="Unit", K4864=""), "", INDEX(LookUps!$E$5:$E$12, MATCH(OpenLCAbasic!K4864,LookUps!$D$5:$D$12,0))))</f>
        <v>Smog Formation Potential (SFP) - kg O3 eq</v>
      </c>
      <c r="M4864" s="154" t="str">
        <f t="shared" si="309"/>
        <v>Base_Medium_Low_Upgraded_Smog Formation Potential (SFP) - kg O3 eq_Blend Tank; wastewater treatment unit; at updated plant - US_Without Amendment_Windrow</v>
      </c>
    </row>
    <row r="4865" spans="1:13" s="120" customFormat="1" x14ac:dyDescent="0.25">
      <c r="A4865" s="119"/>
      <c r="B4865" s="138" t="str">
        <f t="shared" si="307"/>
        <v>Windrow</v>
      </c>
      <c r="C4865" s="138" t="str">
        <f t="shared" ref="C4865:C4928" si="312">IF(ISNUMBER($J4865),"Without Amendment","")</f>
        <v>Without Amendment</v>
      </c>
      <c r="D4865" s="138" t="str">
        <f t="shared" si="310"/>
        <v>Medium_Low</v>
      </c>
      <c r="E4865" s="138" t="str">
        <f t="shared" si="311"/>
        <v>Base</v>
      </c>
      <c r="F4865" s="138" t="str">
        <f t="shared" si="308"/>
        <v>Upgraded</v>
      </c>
      <c r="G4865" s="153"/>
      <c r="H4865" s="210">
        <v>9.5999999999999992E-3</v>
      </c>
      <c r="I4865" s="160" t="s">
        <v>48</v>
      </c>
      <c r="J4865" s="160">
        <v>3.3899999999999998E-3</v>
      </c>
      <c r="K4865" s="160" t="s">
        <v>25</v>
      </c>
      <c r="L4865" s="154" t="str">
        <f>IF(OpenLCAbasic!K4865="CTUh", "Fill in Manually",IF(OR(K4865="Unit", K4865=""), "", INDEX(LookUps!$E$5:$E$12, MATCH(OpenLCAbasic!K4865,LookUps!$D$5:$D$12,0))))</f>
        <v>Smog Formation Potential (SFP) - kg O3 eq</v>
      </c>
      <c r="M4865" s="154" t="str">
        <f t="shared" si="309"/>
        <v>Base_Medium_Low_Upgraded_Smog Formation Potential (SFP) - kg O3 eq_Effluent release; wastewater treatment unit; at surface water; m3 wastewater - US_Without Amendment_Windrow</v>
      </c>
    </row>
    <row r="4866" spans="1:13" s="120" customFormat="1" x14ac:dyDescent="0.25">
      <c r="A4866" s="119"/>
      <c r="B4866" s="138" t="str">
        <f t="shared" si="307"/>
        <v>Windrow</v>
      </c>
      <c r="C4866" s="138" t="str">
        <f t="shared" si="312"/>
        <v>Without Amendment</v>
      </c>
      <c r="D4866" s="138" t="str">
        <f t="shared" si="310"/>
        <v>Medium_Low</v>
      </c>
      <c r="E4866" s="138" t="str">
        <f t="shared" si="311"/>
        <v>Base</v>
      </c>
      <c r="F4866" s="138" t="str">
        <f t="shared" si="308"/>
        <v>Upgraded</v>
      </c>
      <c r="G4866" s="153"/>
      <c r="H4866" s="210">
        <v>7.0000000000000001E-3</v>
      </c>
      <c r="I4866" s="160" t="s">
        <v>168</v>
      </c>
      <c r="J4866" s="160">
        <v>2.4599999999999999E-3</v>
      </c>
      <c r="K4866" s="160" t="s">
        <v>25</v>
      </c>
      <c r="L4866" s="154" t="str">
        <f>IF(OpenLCAbasic!K4866="CTUh", "Fill in Manually",IF(OR(K4866="Unit", K4866=""), "", INDEX(LookUps!$E$5:$E$12, MATCH(OpenLCAbasic!K4866,LookUps!$D$5:$D$12,0))))</f>
        <v>Smog Formation Potential (SFP) - kg O3 eq</v>
      </c>
      <c r="M4866" s="154" t="str">
        <f t="shared" si="309"/>
        <v>Base_Medium_Low_Upgraded_Smog Formation Potential (SFP) - kg O3 eq_ClearCove SCP; wastewater treatment unit; at updated plant - US_Without Amendment_Windrow</v>
      </c>
    </row>
    <row r="4867" spans="1:13" s="120" customFormat="1" x14ac:dyDescent="0.25">
      <c r="A4867" s="119"/>
      <c r="B4867" s="138" t="str">
        <f t="shared" si="307"/>
        <v>Windrow</v>
      </c>
      <c r="C4867" s="138" t="str">
        <f t="shared" si="312"/>
        <v>Without Amendment</v>
      </c>
      <c r="D4867" s="138" t="str">
        <f t="shared" si="310"/>
        <v>Medium_Low</v>
      </c>
      <c r="E4867" s="138" t="str">
        <f t="shared" si="311"/>
        <v>Base</v>
      </c>
      <c r="F4867" s="138" t="str">
        <f t="shared" si="308"/>
        <v>Upgraded</v>
      </c>
      <c r="G4867" s="153"/>
      <c r="H4867" s="210">
        <v>1.9E-3</v>
      </c>
      <c r="I4867" s="160" t="s">
        <v>271</v>
      </c>
      <c r="J4867" s="160">
        <v>6.4999999999999997E-4</v>
      </c>
      <c r="K4867" s="160" t="s">
        <v>25</v>
      </c>
      <c r="L4867" s="154" t="str">
        <f>IF(OpenLCAbasic!K4867="CTUh", "Fill in Manually",IF(OR(K4867="Unit", K4867=""), "", INDEX(LookUps!$E$5:$E$12, MATCH(OpenLCAbasic!K4867,LookUps!$D$5:$D$12,0))))</f>
        <v>Smog Formation Potential (SFP) - kg O3 eq</v>
      </c>
      <c r="M4867" s="154" t="str">
        <f t="shared" si="309"/>
        <v>Base_Medium_Low_Upgraded_Smog Formation Potential (SFP) - kg O3 eq_Biosolids composting; windrow composting; wastewater treatment unit; at updated plant - US_Without Amendment_Windrow</v>
      </c>
    </row>
    <row r="4868" spans="1:13" s="120" customFormat="1" x14ac:dyDescent="0.25">
      <c r="A4868" s="119"/>
      <c r="B4868" s="138" t="str">
        <f t="shared" ref="B4868:B4931" si="313">IF(F4868="Legacy","n.a.",IF(F4868="","","Windrow"))</f>
        <v>Windrow</v>
      </c>
      <c r="C4868" s="138" t="str">
        <f t="shared" si="312"/>
        <v>Without Amendment</v>
      </c>
      <c r="D4868" s="138" t="str">
        <f t="shared" si="310"/>
        <v>Medium_Low</v>
      </c>
      <c r="E4868" s="138" t="str">
        <f t="shared" si="311"/>
        <v>Base</v>
      </c>
      <c r="F4868" s="138" t="str">
        <f t="shared" ref="F4868:F4931" si="314">IF(ISNUMBER(J4868),"Upgraded","")</f>
        <v>Upgraded</v>
      </c>
      <c r="G4868" s="153"/>
      <c r="H4868" s="210">
        <v>1.5E-3</v>
      </c>
      <c r="I4868" s="160" t="s">
        <v>148</v>
      </c>
      <c r="J4868" s="160">
        <v>5.4000000000000001E-4</v>
      </c>
      <c r="K4868" s="160" t="s">
        <v>25</v>
      </c>
      <c r="L4868" s="154" t="str">
        <f>IF(OpenLCAbasic!K4868="CTUh", "Fill in Manually",IF(OR(K4868="Unit", K4868=""), "", INDEX(LookUps!$E$5:$E$12, MATCH(OpenLCAbasic!K4868,LookUps!$D$5:$D$12,0))))</f>
        <v>Smog Formation Potential (SFP) - kg O3 eq</v>
      </c>
      <c r="M4868" s="154" t="str">
        <f t="shared" si="309"/>
        <v>Base_Medium_Low_Upgraded_Smog Formation Potential (SFP) - kg O3 eq_Control Building; at upgraded wastewater treatment plant - US_Without Amendment_Windrow</v>
      </c>
    </row>
    <row r="4869" spans="1:13" s="120" customFormat="1" x14ac:dyDescent="0.25">
      <c r="A4869" s="119"/>
      <c r="B4869" s="138" t="str">
        <f t="shared" si="313"/>
        <v>Windrow</v>
      </c>
      <c r="C4869" s="138" t="str">
        <f t="shared" si="312"/>
        <v>Without Amendment</v>
      </c>
      <c r="D4869" s="138" t="str">
        <f t="shared" si="310"/>
        <v>Medium_Low</v>
      </c>
      <c r="E4869" s="138" t="str">
        <f t="shared" si="311"/>
        <v>Base</v>
      </c>
      <c r="F4869" s="138" t="str">
        <f t="shared" si="314"/>
        <v>Upgraded</v>
      </c>
      <c r="G4869" s="153"/>
      <c r="H4869" s="210">
        <v>-7.7000000000000002E-3</v>
      </c>
      <c r="I4869" s="160" t="s">
        <v>62</v>
      </c>
      <c r="J4869" s="160">
        <v>-2.7100000000000002E-3</v>
      </c>
      <c r="K4869" s="160" t="s">
        <v>25</v>
      </c>
      <c r="L4869" s="154" t="str">
        <f>IF(OpenLCAbasic!K4869="CTUh", "Fill in Manually",IF(OR(K4869="Unit", K4869=""), "", INDEX(LookUps!$E$5:$E$12, MATCH(OpenLCAbasic!K4869,LookUps!$D$5:$D$12,0))))</f>
        <v>Smog Formation Potential (SFP) - kg O3 eq</v>
      </c>
      <c r="M4869" s="154" t="str">
        <f t="shared" si="309"/>
        <v>Base_Medium_Low_Upgraded_Smog Formation Potential (SFP) - kg O3 eq_Land application of compost; wastewater treatment unit; at updated plant - US_Without Amendment_Windrow</v>
      </c>
    </row>
    <row r="4870" spans="1:13" s="120" customFormat="1" x14ac:dyDescent="0.25">
      <c r="A4870" s="119"/>
      <c r="B4870" s="138" t="str">
        <f t="shared" si="313"/>
        <v>Windrow</v>
      </c>
      <c r="C4870" s="138" t="str">
        <f t="shared" si="312"/>
        <v>Without Amendment</v>
      </c>
      <c r="D4870" s="138" t="str">
        <f t="shared" si="310"/>
        <v>Medium_Low</v>
      </c>
      <c r="E4870" s="138" t="str">
        <f t="shared" si="311"/>
        <v>Base</v>
      </c>
      <c r="F4870" s="138" t="str">
        <f t="shared" si="314"/>
        <v>Upgraded</v>
      </c>
      <c r="G4870" s="153"/>
      <c r="H4870" s="210">
        <v>-7.5999999999999998E-2</v>
      </c>
      <c r="I4870" s="160" t="s">
        <v>149</v>
      </c>
      <c r="J4870" s="160">
        <v>-2.673E-2</v>
      </c>
      <c r="K4870" s="160" t="s">
        <v>25</v>
      </c>
      <c r="L4870" s="154" t="str">
        <f>IF(OpenLCAbasic!K4870="CTUh", "Fill in Manually",IF(OR(K4870="Unit", K4870=""), "", INDEX(LookUps!$E$5:$E$12, MATCH(OpenLCAbasic!K4870,LookUps!$D$5:$D$12,0))))</f>
        <v>Smog Formation Potential (SFP) - kg O3 eq</v>
      </c>
      <c r="M4870" s="154" t="str">
        <f t="shared" si="309"/>
        <v>Base_Medium_Low_Upgraded_Smog Formation Potential (SFP) - kg O3 eq_Anaerobic Digestion; wastewater treatment unit; at updated plant - US_Without Amendment_Windrow</v>
      </c>
    </row>
    <row r="4871" spans="1:13" s="120" customFormat="1" x14ac:dyDescent="0.25">
      <c r="A4871" s="119"/>
      <c r="B4871" s="138" t="str">
        <f t="shared" si="313"/>
        <v/>
      </c>
      <c r="C4871" s="138" t="str">
        <f t="shared" si="312"/>
        <v/>
      </c>
      <c r="D4871" s="138" t="str">
        <f t="shared" si="310"/>
        <v/>
      </c>
      <c r="E4871" s="138" t="str">
        <f t="shared" si="311"/>
        <v/>
      </c>
      <c r="F4871" s="138" t="str">
        <f t="shared" si="314"/>
        <v/>
      </c>
      <c r="G4871" s="153" t="s">
        <v>51</v>
      </c>
      <c r="H4871" s="160"/>
      <c r="I4871" s="160" t="s">
        <v>47</v>
      </c>
      <c r="J4871" s="160" t="s">
        <v>52</v>
      </c>
      <c r="K4871" s="160" t="s">
        <v>27</v>
      </c>
      <c r="L4871" s="154" t="str">
        <f>IF(OpenLCAbasic!K4871="CTUh", "Fill in Manually",IF(OR(K4871="Unit", K4871=""), "", INDEX(LookUps!$E$5:$E$12, MATCH(OpenLCAbasic!K4871,LookUps!$D$5:$D$12,0))))</f>
        <v/>
      </c>
      <c r="M4871" s="154" t="str">
        <f t="shared" ref="M4871:M4934" si="315">CONCATENATE(E4871,"_",D4871,"_",F4871,"_",L4871, "_",I4871,"_", C4871,"_", B4871)</f>
        <v>____Process__</v>
      </c>
    </row>
    <row r="4872" spans="1:13" s="120" customFormat="1" x14ac:dyDescent="0.25">
      <c r="A4872" s="119"/>
      <c r="B4872" s="138" t="str">
        <f t="shared" si="313"/>
        <v>Windrow</v>
      </c>
      <c r="C4872" s="138" t="str">
        <f t="shared" si="312"/>
        <v>Without Amendment</v>
      </c>
      <c r="D4872" s="138" t="str">
        <f t="shared" si="310"/>
        <v>Medium_Low</v>
      </c>
      <c r="E4872" s="138" t="str">
        <f t="shared" si="311"/>
        <v>Base</v>
      </c>
      <c r="F4872" s="138" t="str">
        <f t="shared" si="314"/>
        <v>Upgraded</v>
      </c>
      <c r="G4872" s="153"/>
      <c r="H4872" s="210">
        <v>2.9986999999999999</v>
      </c>
      <c r="I4872" s="160" t="s">
        <v>167</v>
      </c>
      <c r="J4872" s="160">
        <v>2.7999999999999998E-4</v>
      </c>
      <c r="K4872" s="160" t="s">
        <v>26</v>
      </c>
      <c r="L4872" s="154" t="str">
        <f>IF(OpenLCAbasic!K4872="CTUh", "Fill in Manually",IF(OR(K4872="Unit", K4872=""), "", INDEX(LookUps!$E$5:$E$12, MATCH(OpenLCAbasic!K4872,LookUps!$D$5:$D$12,0))))</f>
        <v>Water Use (WU) - m3 H2O</v>
      </c>
      <c r="M4872" s="154" t="str">
        <f t="shared" si="315"/>
        <v>Base_Medium_Low_Upgraded_Water Use (WU) - m3 H2O_Waste Receiving and Holding; wastewater treatment unit; at updated plant - US_Without Amendment_Windrow</v>
      </c>
    </row>
    <row r="4873" spans="1:13" s="120" customFormat="1" x14ac:dyDescent="0.25">
      <c r="A4873" s="119"/>
      <c r="B4873" s="138" t="str">
        <f t="shared" si="313"/>
        <v>Windrow</v>
      </c>
      <c r="C4873" s="138" t="str">
        <f t="shared" si="312"/>
        <v>Without Amendment</v>
      </c>
      <c r="D4873" s="138" t="str">
        <f t="shared" si="310"/>
        <v>Medium_Low</v>
      </c>
      <c r="E4873" s="138" t="str">
        <f t="shared" si="311"/>
        <v>Base</v>
      </c>
      <c r="F4873" s="138" t="str">
        <f t="shared" si="314"/>
        <v>Upgraded</v>
      </c>
      <c r="G4873" s="153"/>
      <c r="H4873" s="210">
        <v>1.9575</v>
      </c>
      <c r="I4873" s="160" t="s">
        <v>147</v>
      </c>
      <c r="J4873" s="160">
        <v>1.8000000000000001E-4</v>
      </c>
      <c r="K4873" s="160" t="s">
        <v>26</v>
      </c>
      <c r="L4873" s="154" t="str">
        <f>IF(OpenLCAbasic!K4873="CTUh", "Fill in Manually",IF(OR(K4873="Unit", K4873=""), "", INDEX(LookUps!$E$5:$E$12, MATCH(OpenLCAbasic!K4873,LookUps!$D$5:$D$12,0))))</f>
        <v>Water Use (WU) - m3 H2O</v>
      </c>
      <c r="M4873" s="154" t="str">
        <f t="shared" si="315"/>
        <v>Base_Medium_Low_Upgraded_Water Use (WU) - m3 H2O_Influent Pump Station; wastewater treatment unit; at updated plant - US_Without Amendment_Windrow</v>
      </c>
    </row>
    <row r="4874" spans="1:13" s="120" customFormat="1" x14ac:dyDescent="0.25">
      <c r="A4874" s="119"/>
      <c r="B4874" s="138" t="str">
        <f t="shared" si="313"/>
        <v>Windrow</v>
      </c>
      <c r="C4874" s="138" t="str">
        <f t="shared" si="312"/>
        <v>Without Amendment</v>
      </c>
      <c r="D4874" s="138" t="str">
        <f t="shared" si="310"/>
        <v>Medium_Low</v>
      </c>
      <c r="E4874" s="138" t="str">
        <f t="shared" si="311"/>
        <v>Base</v>
      </c>
      <c r="F4874" s="138" t="str">
        <f t="shared" si="314"/>
        <v>Upgraded</v>
      </c>
      <c r="G4874" s="153"/>
      <c r="H4874" s="210">
        <v>1.9098999999999999</v>
      </c>
      <c r="I4874" s="160" t="s">
        <v>54</v>
      </c>
      <c r="J4874" s="160">
        <v>1.8000000000000001E-4</v>
      </c>
      <c r="K4874" s="160" t="s">
        <v>26</v>
      </c>
      <c r="L4874" s="154" t="str">
        <f>IF(OpenLCAbasic!K4874="CTUh", "Fill in Manually",IF(OR(K4874="Unit", K4874=""), "", INDEX(LookUps!$E$5:$E$12, MATCH(OpenLCAbasic!K4874,LookUps!$D$5:$D$12,0))))</f>
        <v>Water Use (WU) - m3 H2O</v>
      </c>
      <c r="M4874" s="154" t="str">
        <f t="shared" si="315"/>
        <v>Base_Medium_Low_Upgraded_Water Use (WU) - m3 H2O_Clear Cove Primary Clarification; wastewater treatment unit; at updated plant - US_Without Amendment_Windrow</v>
      </c>
    </row>
    <row r="4875" spans="1:13" s="120" customFormat="1" x14ac:dyDescent="0.25">
      <c r="A4875" s="119"/>
      <c r="B4875" s="138" t="str">
        <f t="shared" si="313"/>
        <v>Windrow</v>
      </c>
      <c r="C4875" s="138" t="str">
        <f t="shared" si="312"/>
        <v>Without Amendment</v>
      </c>
      <c r="D4875" s="138" t="str">
        <f t="shared" si="310"/>
        <v>Medium_Low</v>
      </c>
      <c r="E4875" s="138" t="str">
        <f t="shared" si="311"/>
        <v>Base</v>
      </c>
      <c r="F4875" s="138" t="str">
        <f t="shared" si="314"/>
        <v>Upgraded</v>
      </c>
      <c r="G4875" s="153"/>
      <c r="H4875" s="210">
        <v>1.7325999999999999</v>
      </c>
      <c r="I4875" s="160" t="s">
        <v>55</v>
      </c>
      <c r="J4875" s="160">
        <v>1.6000000000000001E-4</v>
      </c>
      <c r="K4875" s="160" t="s">
        <v>26</v>
      </c>
      <c r="L4875" s="154" t="str">
        <f>IF(OpenLCAbasic!K4875="CTUh", "Fill in Manually",IF(OR(K4875="Unit", K4875=""), "", INDEX(LookUps!$E$5:$E$12, MATCH(OpenLCAbasic!K4875,LookUps!$D$5:$D$12,0))))</f>
        <v>Water Use (WU) - m3 H2O</v>
      </c>
      <c r="M4875" s="154" t="str">
        <f t="shared" si="315"/>
        <v>Base_Medium_Low_Upgraded_Water Use (WU) - m3 H2O_Aeration Tanks; wastewater treatment unit; at updated plant - US_Without Amendment_Windrow</v>
      </c>
    </row>
    <row r="4876" spans="1:13" s="120" customFormat="1" x14ac:dyDescent="0.25">
      <c r="A4876" s="119"/>
      <c r="B4876" s="138" t="str">
        <f t="shared" si="313"/>
        <v>Windrow</v>
      </c>
      <c r="C4876" s="138" t="str">
        <f t="shared" si="312"/>
        <v>Without Amendment</v>
      </c>
      <c r="D4876" s="138" t="str">
        <f t="shared" si="310"/>
        <v>Medium_Low</v>
      </c>
      <c r="E4876" s="138" t="str">
        <f t="shared" si="311"/>
        <v>Base</v>
      </c>
      <c r="F4876" s="138" t="str">
        <f t="shared" si="314"/>
        <v>Upgraded</v>
      </c>
      <c r="G4876" s="153"/>
      <c r="H4876" s="210">
        <v>1.5783</v>
      </c>
      <c r="I4876" s="160" t="s">
        <v>148</v>
      </c>
      <c r="J4876" s="160">
        <v>1.4999999999999999E-4</v>
      </c>
      <c r="K4876" s="160" t="s">
        <v>26</v>
      </c>
      <c r="L4876" s="154" t="str">
        <f>IF(OpenLCAbasic!K4876="CTUh", "Fill in Manually",IF(OR(K4876="Unit", K4876=""), "", INDEX(LookUps!$E$5:$E$12, MATCH(OpenLCAbasic!K4876,LookUps!$D$5:$D$12,0))))</f>
        <v>Water Use (WU) - m3 H2O</v>
      </c>
      <c r="M4876" s="154" t="str">
        <f t="shared" si="315"/>
        <v>Base_Medium_Low_Upgraded_Water Use (WU) - m3 H2O_Control Building; at upgraded wastewater treatment plant - US_Without Amendment_Windrow</v>
      </c>
    </row>
    <row r="4877" spans="1:13" s="120" customFormat="1" x14ac:dyDescent="0.25">
      <c r="A4877" s="119"/>
      <c r="B4877" s="138" t="str">
        <f t="shared" si="313"/>
        <v>Windrow</v>
      </c>
      <c r="C4877" s="138" t="str">
        <f t="shared" si="312"/>
        <v>Without Amendment</v>
      </c>
      <c r="D4877" s="138" t="str">
        <f t="shared" si="310"/>
        <v>Medium_Low</v>
      </c>
      <c r="E4877" s="138" t="str">
        <f t="shared" si="311"/>
        <v>Base</v>
      </c>
      <c r="F4877" s="138" t="str">
        <f t="shared" si="314"/>
        <v>Upgraded</v>
      </c>
      <c r="G4877" s="153"/>
      <c r="H4877" s="210">
        <v>0.7329</v>
      </c>
      <c r="I4877" s="160" t="s">
        <v>48</v>
      </c>
      <c r="J4877" s="211">
        <v>6.8836400000000004E-5</v>
      </c>
      <c r="K4877" s="160" t="s">
        <v>26</v>
      </c>
      <c r="L4877" s="154" t="str">
        <f>IF(OpenLCAbasic!K4877="CTUh", "Fill in Manually",IF(OR(K4877="Unit", K4877=""), "", INDEX(LookUps!$E$5:$E$12, MATCH(OpenLCAbasic!K4877,LookUps!$D$5:$D$12,0))))</f>
        <v>Water Use (WU) - m3 H2O</v>
      </c>
      <c r="M4877" s="154" t="str">
        <f t="shared" si="315"/>
        <v>Base_Medium_Low_Upgraded_Water Use (WU) - m3 H2O_Effluent release; wastewater treatment unit; at surface water; m3 wastewater - US_Without Amendment_Windrow</v>
      </c>
    </row>
    <row r="4878" spans="1:13" s="120" customFormat="1" x14ac:dyDescent="0.25">
      <c r="A4878" s="119"/>
      <c r="B4878" s="138" t="str">
        <f t="shared" si="313"/>
        <v>Windrow</v>
      </c>
      <c r="C4878" s="138" t="str">
        <f t="shared" si="312"/>
        <v>Without Amendment</v>
      </c>
      <c r="D4878" s="138" t="str">
        <f t="shared" si="310"/>
        <v>Medium_Low</v>
      </c>
      <c r="E4878" s="138" t="str">
        <f t="shared" si="311"/>
        <v>Base</v>
      </c>
      <c r="F4878" s="138" t="str">
        <f t="shared" si="314"/>
        <v>Upgraded</v>
      </c>
      <c r="G4878" s="153"/>
      <c r="H4878" s="210">
        <v>0.46029999999999999</v>
      </c>
      <c r="I4878" s="160" t="s">
        <v>58</v>
      </c>
      <c r="J4878" s="211">
        <v>4.3235300000000003E-5</v>
      </c>
      <c r="K4878" s="160" t="s">
        <v>26</v>
      </c>
      <c r="L4878" s="154" t="str">
        <f>IF(OpenLCAbasic!K4878="CTUh", "Fill in Manually",IF(OR(K4878="Unit", K4878=""), "", INDEX(LookUps!$E$5:$E$12, MATCH(OpenLCAbasic!K4878,LookUps!$D$5:$D$12,0))))</f>
        <v>Water Use (WU) - m3 H2O</v>
      </c>
      <c r="M4878" s="154" t="str">
        <f t="shared" si="315"/>
        <v>Base_Medium_Low_Upgraded_Water Use (WU) - m3 H2O_Pre-Anoxic &amp; Swing tank; wastewater treatment unit; at updated plant - US_Without Amendment_Windrow</v>
      </c>
    </row>
    <row r="4879" spans="1:13" s="120" customFormat="1" x14ac:dyDescent="0.25">
      <c r="A4879" s="119"/>
      <c r="B4879" s="138" t="str">
        <f t="shared" si="313"/>
        <v>Windrow</v>
      </c>
      <c r="C4879" s="138" t="str">
        <f t="shared" si="312"/>
        <v>Without Amendment</v>
      </c>
      <c r="D4879" s="138" t="str">
        <f t="shared" si="310"/>
        <v>Medium_Low</v>
      </c>
      <c r="E4879" s="138" t="str">
        <f t="shared" si="311"/>
        <v>Base</v>
      </c>
      <c r="F4879" s="138" t="str">
        <f t="shared" si="314"/>
        <v>Upgraded</v>
      </c>
      <c r="G4879" s="153"/>
      <c r="H4879" s="210">
        <v>0.36409999999999998</v>
      </c>
      <c r="I4879" s="160" t="s">
        <v>60</v>
      </c>
      <c r="J4879" s="211">
        <v>3.4196200000000003E-5</v>
      </c>
      <c r="K4879" s="160" t="s">
        <v>26</v>
      </c>
      <c r="L4879" s="154" t="str">
        <f>IF(OpenLCAbasic!K4879="CTUh", "Fill in Manually",IF(OR(K4879="Unit", K4879=""), "", INDEX(LookUps!$E$5:$E$12, MATCH(OpenLCAbasic!K4879,LookUps!$D$5:$D$12,0))))</f>
        <v>Water Use (WU) - m3 H2O</v>
      </c>
      <c r="M4879" s="154" t="str">
        <f t="shared" si="315"/>
        <v>Base_Medium_Low_Upgraded_Water Use (WU) - m3 H2O_Belt filter press; wastewater treatment unit; at updated plant - US_Without Amendment_Windrow</v>
      </c>
    </row>
    <row r="4880" spans="1:13" s="120" customFormat="1" x14ac:dyDescent="0.25">
      <c r="A4880" s="119"/>
      <c r="B4880" s="138" t="str">
        <f t="shared" si="313"/>
        <v>Windrow</v>
      </c>
      <c r="C4880" s="138" t="str">
        <f t="shared" si="312"/>
        <v>Without Amendment</v>
      </c>
      <c r="D4880" s="138" t="str">
        <f t="shared" si="310"/>
        <v>Medium_Low</v>
      </c>
      <c r="E4880" s="138" t="str">
        <f t="shared" si="311"/>
        <v>Base</v>
      </c>
      <c r="F4880" s="138" t="str">
        <f t="shared" si="314"/>
        <v>Upgraded</v>
      </c>
      <c r="G4880" s="153"/>
      <c r="H4880" s="210">
        <v>0.32379999999999998</v>
      </c>
      <c r="I4880" s="160" t="s">
        <v>57</v>
      </c>
      <c r="J4880" s="211">
        <v>3.0408100000000001E-5</v>
      </c>
      <c r="K4880" s="160" t="s">
        <v>26</v>
      </c>
      <c r="L4880" s="154" t="str">
        <f>IF(OpenLCAbasic!K4880="CTUh", "Fill in Manually",IF(OR(K4880="Unit", K4880=""), "", INDEX(LookUps!$E$5:$E$12, MATCH(OpenLCAbasic!K4880,LookUps!$D$5:$D$12,0))))</f>
        <v>Water Use (WU) - m3 H2O</v>
      </c>
      <c r="M4880" s="154" t="str">
        <f t="shared" si="315"/>
        <v>Base_Medium_Low_Upgraded_Water Use (WU) - m3 H2O_Gravity Belt Thickener; wastewater treatment unit; at updated plant - US_Without Amendment_Windrow</v>
      </c>
    </row>
    <row r="4881" spans="1:13" s="120" customFormat="1" x14ac:dyDescent="0.25">
      <c r="A4881" s="119"/>
      <c r="B4881" s="138" t="str">
        <f t="shared" si="313"/>
        <v>Windrow</v>
      </c>
      <c r="C4881" s="138" t="str">
        <f t="shared" si="312"/>
        <v>Without Amendment</v>
      </c>
      <c r="D4881" s="138" t="str">
        <f t="shared" ref="D4881:D4887" si="316">IF(ISNUMBER($J4881),"Medium_Low","")</f>
        <v>Medium_Low</v>
      </c>
      <c r="E4881" s="138" t="str">
        <f t="shared" si="311"/>
        <v>Base</v>
      </c>
      <c r="F4881" s="138" t="str">
        <f t="shared" si="314"/>
        <v>Upgraded</v>
      </c>
      <c r="G4881" s="153"/>
      <c r="H4881" s="210">
        <v>0.29139999999999999</v>
      </c>
      <c r="I4881" s="160" t="s">
        <v>149</v>
      </c>
      <c r="J4881" s="211">
        <v>2.7368600000000001E-5</v>
      </c>
      <c r="K4881" s="160" t="s">
        <v>26</v>
      </c>
      <c r="L4881" s="154" t="str">
        <f>IF(OpenLCAbasic!K4881="CTUh", "Fill in Manually",IF(OR(K4881="Unit", K4881=""), "", INDEX(LookUps!$E$5:$E$12, MATCH(OpenLCAbasic!K4881,LookUps!$D$5:$D$12,0))))</f>
        <v>Water Use (WU) - m3 H2O</v>
      </c>
      <c r="M4881" s="154" t="str">
        <f t="shared" si="315"/>
        <v>Base_Medium_Low_Upgraded_Water Use (WU) - m3 H2O_Anaerobic Digestion; wastewater treatment unit; at updated plant - US_Without Amendment_Windrow</v>
      </c>
    </row>
    <row r="4882" spans="1:13" s="120" customFormat="1" x14ac:dyDescent="0.25">
      <c r="A4882" s="119"/>
      <c r="B4882" s="138" t="str">
        <f t="shared" si="313"/>
        <v>Windrow</v>
      </c>
      <c r="C4882" s="138" t="str">
        <f t="shared" si="312"/>
        <v>Without Amendment</v>
      </c>
      <c r="D4882" s="138" t="str">
        <f t="shared" si="316"/>
        <v>Medium_Low</v>
      </c>
      <c r="E4882" s="138" t="str">
        <f t="shared" si="311"/>
        <v>Base</v>
      </c>
      <c r="F4882" s="138" t="str">
        <f t="shared" si="314"/>
        <v>Upgraded</v>
      </c>
      <c r="G4882" s="153"/>
      <c r="H4882" s="210">
        <v>0.18640000000000001</v>
      </c>
      <c r="I4882" s="160" t="s">
        <v>53</v>
      </c>
      <c r="J4882" s="211">
        <v>1.75069E-5</v>
      </c>
      <c r="K4882" s="160" t="s">
        <v>26</v>
      </c>
      <c r="L4882" s="154" t="str">
        <f>IF(OpenLCAbasic!K4882="CTUh", "Fill in Manually",IF(OR(K4882="Unit", K4882=""), "", INDEX(LookUps!$E$5:$E$12, MATCH(OpenLCAbasic!K4882,LookUps!$D$5:$D$12,0))))</f>
        <v>Water Use (WU) - m3 H2O</v>
      </c>
      <c r="M4882" s="154" t="str">
        <f t="shared" si="315"/>
        <v>Base_Medium_Low_Upgraded_Water Use (WU) - m3 H2O_Wet Well and Sump Station; wastewater treatment unit; at updated plant - US_Without Amendment_Windrow</v>
      </c>
    </row>
    <row r="4883" spans="1:13" s="120" customFormat="1" x14ac:dyDescent="0.25">
      <c r="A4883" s="119"/>
      <c r="B4883" s="138" t="str">
        <f t="shared" si="313"/>
        <v>Windrow</v>
      </c>
      <c r="C4883" s="138" t="str">
        <f t="shared" si="312"/>
        <v>Without Amendment</v>
      </c>
      <c r="D4883" s="138" t="str">
        <f t="shared" si="316"/>
        <v>Medium_Low</v>
      </c>
      <c r="E4883" s="138" t="str">
        <f t="shared" si="311"/>
        <v>Base</v>
      </c>
      <c r="F4883" s="138" t="str">
        <f t="shared" si="314"/>
        <v>Upgraded</v>
      </c>
      <c r="G4883" s="153"/>
      <c r="H4883" s="210">
        <v>7.4700000000000003E-2</v>
      </c>
      <c r="I4883" s="160" t="s">
        <v>59</v>
      </c>
      <c r="J4883" s="211">
        <v>7.0179500000000003E-6</v>
      </c>
      <c r="K4883" s="160" t="s">
        <v>26</v>
      </c>
      <c r="L4883" s="154" t="str">
        <f>IF(OpenLCAbasic!K4883="CTUh", "Fill in Manually",IF(OR(K4883="Unit", K4883=""), "", INDEX(LookUps!$E$5:$E$12, MATCH(OpenLCAbasic!K4883,LookUps!$D$5:$D$12,0))))</f>
        <v>Water Use (WU) - m3 H2O</v>
      </c>
      <c r="M4883" s="154" t="str">
        <f t="shared" si="315"/>
        <v>Base_Medium_Low_Upgraded_Water Use (WU) - m3 H2O_Blend Tank; wastewater treatment unit; at updated plant - US_Without Amendment_Windrow</v>
      </c>
    </row>
    <row r="4884" spans="1:13" s="120" customFormat="1" x14ac:dyDescent="0.25">
      <c r="A4884" s="119"/>
      <c r="B4884" s="138" t="str">
        <f t="shared" si="313"/>
        <v>Windrow</v>
      </c>
      <c r="C4884" s="138" t="str">
        <f t="shared" si="312"/>
        <v>Without Amendment</v>
      </c>
      <c r="D4884" s="138" t="str">
        <f t="shared" si="316"/>
        <v>Medium_Low</v>
      </c>
      <c r="E4884" s="138" t="str">
        <f t="shared" si="311"/>
        <v>Base</v>
      </c>
      <c r="F4884" s="138" t="str">
        <f t="shared" si="314"/>
        <v>Upgraded</v>
      </c>
      <c r="G4884" s="153"/>
      <c r="H4884" s="210">
        <v>5.3900000000000003E-2</v>
      </c>
      <c r="I4884" s="160" t="s">
        <v>128</v>
      </c>
      <c r="J4884" s="211">
        <v>5.0608900000000003E-6</v>
      </c>
      <c r="K4884" s="160" t="s">
        <v>26</v>
      </c>
      <c r="L4884" s="154" t="str">
        <f>IF(OpenLCAbasic!K4884="CTUh", "Fill in Manually",IF(OR(K4884="Unit", K4884=""), "", INDEX(LookUps!$E$5:$E$12, MATCH(OpenLCAbasic!K4884,LookUps!$D$5:$D$12,0))))</f>
        <v>Water Use (WU) - m3 H2O</v>
      </c>
      <c r="M4884" s="154" t="str">
        <f t="shared" si="315"/>
        <v>Base_Medium_Low_Upgraded_Water Use (WU) - m3 H2O_Wastewater collection; operation and infrastructure; m3 wastewater_Without Amendment_Windrow</v>
      </c>
    </row>
    <row r="4885" spans="1:13" s="120" customFormat="1" x14ac:dyDescent="0.25">
      <c r="A4885" s="119"/>
      <c r="B4885" s="138" t="str">
        <f t="shared" si="313"/>
        <v>Windrow</v>
      </c>
      <c r="C4885" s="138" t="str">
        <f t="shared" si="312"/>
        <v>Without Amendment</v>
      </c>
      <c r="D4885" s="138" t="str">
        <f t="shared" si="316"/>
        <v>Medium_Low</v>
      </c>
      <c r="E4885" s="138" t="str">
        <f t="shared" si="311"/>
        <v>Base</v>
      </c>
      <c r="F4885" s="138" t="str">
        <f t="shared" si="314"/>
        <v>Upgraded</v>
      </c>
      <c r="G4885" s="153"/>
      <c r="H4885" s="210">
        <v>1.7399999999999999E-2</v>
      </c>
      <c r="I4885" s="160" t="s">
        <v>271</v>
      </c>
      <c r="J4885" s="211">
        <v>1.6364900000000001E-6</v>
      </c>
      <c r="K4885" s="160" t="s">
        <v>26</v>
      </c>
      <c r="L4885" s="154" t="str">
        <f>IF(OpenLCAbasic!K4885="CTUh", "Fill in Manually",IF(OR(K4885="Unit", K4885=""), "", INDEX(LookUps!$E$5:$E$12, MATCH(OpenLCAbasic!K4885,LookUps!$D$5:$D$12,0))))</f>
        <v>Water Use (WU) - m3 H2O</v>
      </c>
      <c r="M4885" s="154" t="str">
        <f t="shared" si="315"/>
        <v>Base_Medium_Low_Upgraded_Water Use (WU) - m3 H2O_Biosolids composting; windrow composting; wastewater treatment unit; at updated plant - US_Without Amendment_Windrow</v>
      </c>
    </row>
    <row r="4886" spans="1:13" s="120" customFormat="1" x14ac:dyDescent="0.25">
      <c r="A4886" s="119"/>
      <c r="B4886" s="138" t="str">
        <f t="shared" si="313"/>
        <v>Windrow</v>
      </c>
      <c r="C4886" s="138" t="str">
        <f t="shared" si="312"/>
        <v>Without Amendment</v>
      </c>
      <c r="D4886" s="138" t="str">
        <f t="shared" si="316"/>
        <v>Medium_Low</v>
      </c>
      <c r="E4886" s="138" t="str">
        <f t="shared" si="311"/>
        <v>Base</v>
      </c>
      <c r="F4886" s="138" t="str">
        <f t="shared" si="314"/>
        <v>Upgraded</v>
      </c>
      <c r="G4886" s="153"/>
      <c r="H4886" s="210">
        <v>8.2000000000000007E-3</v>
      </c>
      <c r="I4886" s="160" t="s">
        <v>168</v>
      </c>
      <c r="J4886" s="211">
        <v>7.6697000000000004E-7</v>
      </c>
      <c r="K4886" s="160" t="s">
        <v>26</v>
      </c>
      <c r="L4886" s="154" t="str">
        <f>IF(OpenLCAbasic!K4886="CTUh", "Fill in Manually",IF(OR(K4886="Unit", K4886=""), "", INDEX(LookUps!$E$5:$E$12, MATCH(OpenLCAbasic!K4886,LookUps!$D$5:$D$12,0))))</f>
        <v>Water Use (WU) - m3 H2O</v>
      </c>
      <c r="M4886" s="154" t="str">
        <f t="shared" si="315"/>
        <v>Base_Medium_Low_Upgraded_Water Use (WU) - m3 H2O_ClearCove SCP; wastewater treatment unit; at updated plant - US_Without Amendment_Windrow</v>
      </c>
    </row>
    <row r="4887" spans="1:13" s="120" customFormat="1" x14ac:dyDescent="0.25">
      <c r="A4887" s="119"/>
      <c r="B4887" s="138" t="str">
        <f t="shared" si="313"/>
        <v>Windrow</v>
      </c>
      <c r="C4887" s="138" t="str">
        <f t="shared" si="312"/>
        <v>Without Amendment</v>
      </c>
      <c r="D4887" s="138" t="str">
        <f t="shared" si="316"/>
        <v>Medium_Low</v>
      </c>
      <c r="E4887" s="138" t="str">
        <f t="shared" si="311"/>
        <v>Base</v>
      </c>
      <c r="F4887" s="138" t="str">
        <f t="shared" si="314"/>
        <v>Upgraded</v>
      </c>
      <c r="G4887" s="153"/>
      <c r="H4887" s="210">
        <v>-11.690099999999999</v>
      </c>
      <c r="I4887" s="160" t="s">
        <v>62</v>
      </c>
      <c r="J4887" s="160">
        <v>-1.1000000000000001E-3</v>
      </c>
      <c r="K4887" s="160" t="s">
        <v>26</v>
      </c>
      <c r="L4887" s="154" t="str">
        <f>IF(OpenLCAbasic!K4887="CTUh", "Fill in Manually",IF(OR(K4887="Unit", K4887=""), "", INDEX(LookUps!$E$5:$E$12, MATCH(OpenLCAbasic!K4887,LookUps!$D$5:$D$12,0))))</f>
        <v>Water Use (WU) - m3 H2O</v>
      </c>
      <c r="M4887" s="154" t="str">
        <f t="shared" si="315"/>
        <v>Base_Medium_Low_Upgraded_Water Use (WU) - m3 H2O_Land application of compost; wastewater treatment unit; at updated plant - US_Without Amendment_Windrow</v>
      </c>
    </row>
    <row r="4888" spans="1:13" s="120" customFormat="1" x14ac:dyDescent="0.25">
      <c r="A4888" s="119"/>
      <c r="B4888" s="138" t="str">
        <f t="shared" si="313"/>
        <v/>
      </c>
      <c r="C4888" s="138" t="str">
        <f t="shared" si="312"/>
        <v/>
      </c>
      <c r="D4888" s="138" t="str">
        <f>IF(ISNUMBER($J4888),"Medium_Base","")</f>
        <v/>
      </c>
      <c r="E4888" s="138" t="str">
        <f t="shared" si="311"/>
        <v/>
      </c>
      <c r="F4888" s="138" t="str">
        <f t="shared" si="314"/>
        <v/>
      </c>
      <c r="G4888" s="153" t="s">
        <v>51</v>
      </c>
      <c r="H4888" s="160"/>
      <c r="I4888" s="160" t="s">
        <v>47</v>
      </c>
      <c r="J4888" s="160" t="s">
        <v>52</v>
      </c>
      <c r="K4888" s="160" t="s">
        <v>27</v>
      </c>
      <c r="L4888" s="154" t="str">
        <f>IF(OpenLCAbasic!K4888="CTUh", "Fill in Manually",IF(OR(K4888="Unit", K4888=""), "", INDEX(LookUps!$E$5:$E$12, MATCH(OpenLCAbasic!K4888,LookUps!$D$5:$D$12,0))))</f>
        <v/>
      </c>
      <c r="M4888" s="154" t="str">
        <f t="shared" si="315"/>
        <v>____Process__</v>
      </c>
    </row>
    <row r="4889" spans="1:13" s="120" customFormat="1" x14ac:dyDescent="0.25">
      <c r="A4889" s="119"/>
      <c r="B4889" s="138" t="str">
        <f t="shared" si="313"/>
        <v>Windrow</v>
      </c>
      <c r="C4889" s="138" t="str">
        <f t="shared" si="312"/>
        <v>Without Amendment</v>
      </c>
      <c r="D4889" s="138" t="str">
        <f t="shared" ref="D4889:D4952" si="317">IF(ISNUMBER($J4889),"Medium_Base","")</f>
        <v>Medium_Base</v>
      </c>
      <c r="E4889" s="138" t="str">
        <f t="shared" si="311"/>
        <v>Base</v>
      </c>
      <c r="F4889" s="138" t="str">
        <f t="shared" si="314"/>
        <v>Upgraded</v>
      </c>
      <c r="G4889" s="153"/>
      <c r="H4889" s="210">
        <v>0.64870000000000005</v>
      </c>
      <c r="I4889" s="160" t="s">
        <v>55</v>
      </c>
      <c r="J4889" s="160">
        <v>1.7219999999999999E-2</v>
      </c>
      <c r="K4889" s="160" t="s">
        <v>24</v>
      </c>
      <c r="L4889" s="154" t="str">
        <f>IF(OpenLCAbasic!K4889="CTUh", "Fill in Manually",IF(OR(K4889="Unit", K4889=""), "", INDEX(LookUps!$E$5:$E$12, MATCH(OpenLCAbasic!K4889,LookUps!$D$5:$D$12,0))))</f>
        <v>Acidification Potential (AP) - kg SO2 eq</v>
      </c>
      <c r="M4889" s="154" t="str">
        <f t="shared" si="315"/>
        <v>Base_Medium_Base_Upgraded_Acidification Potential (AP) - kg SO2 eq_Aeration Tanks; wastewater treatment unit; at updated plant - US_Without Amendment_Windrow</v>
      </c>
    </row>
    <row r="4890" spans="1:13" s="120" customFormat="1" x14ac:dyDescent="0.25">
      <c r="A4890" s="119"/>
      <c r="B4890" s="138" t="str">
        <f t="shared" si="313"/>
        <v>Windrow</v>
      </c>
      <c r="C4890" s="138" t="str">
        <f t="shared" si="312"/>
        <v>Without Amendment</v>
      </c>
      <c r="D4890" s="138" t="str">
        <f t="shared" si="317"/>
        <v>Medium_Base</v>
      </c>
      <c r="E4890" s="138" t="str">
        <f t="shared" si="311"/>
        <v>Base</v>
      </c>
      <c r="F4890" s="138" t="str">
        <f t="shared" si="314"/>
        <v>Upgraded</v>
      </c>
      <c r="G4890" s="153"/>
      <c r="H4890" s="210">
        <v>0.19239999999999999</v>
      </c>
      <c r="I4890" s="160" t="s">
        <v>271</v>
      </c>
      <c r="J4890" s="160">
        <v>5.11E-3</v>
      </c>
      <c r="K4890" s="160" t="s">
        <v>24</v>
      </c>
      <c r="L4890" s="154" t="str">
        <f>IF(OpenLCAbasic!K4890="CTUh", "Fill in Manually",IF(OR(K4890="Unit", K4890=""), "", INDEX(LookUps!$E$5:$E$12, MATCH(OpenLCAbasic!K4890,LookUps!$D$5:$D$12,0))))</f>
        <v>Acidification Potential (AP) - kg SO2 eq</v>
      </c>
      <c r="M4890" s="154" t="str">
        <f t="shared" si="315"/>
        <v>Base_Medium_Base_Upgraded_Acidification Potential (AP) - kg SO2 eq_Biosolids composting; windrow composting; wastewater treatment unit; at updated plant - US_Without Amendment_Windrow</v>
      </c>
    </row>
    <row r="4891" spans="1:13" s="120" customFormat="1" x14ac:dyDescent="0.25">
      <c r="A4891" s="119"/>
      <c r="B4891" s="138" t="str">
        <f t="shared" si="313"/>
        <v>Windrow</v>
      </c>
      <c r="C4891" s="138" t="str">
        <f t="shared" si="312"/>
        <v>Without Amendment</v>
      </c>
      <c r="D4891" s="138" t="str">
        <f t="shared" si="317"/>
        <v>Medium_Base</v>
      </c>
      <c r="E4891" s="138" t="str">
        <f t="shared" si="311"/>
        <v>Base</v>
      </c>
      <c r="F4891" s="138" t="str">
        <f t="shared" si="314"/>
        <v>Upgraded</v>
      </c>
      <c r="G4891" s="153"/>
      <c r="H4891" s="210">
        <v>0.18759999999999999</v>
      </c>
      <c r="I4891" s="160" t="s">
        <v>54</v>
      </c>
      <c r="J4891" s="160">
        <v>4.9800000000000001E-3</v>
      </c>
      <c r="K4891" s="160" t="s">
        <v>24</v>
      </c>
      <c r="L4891" s="154" t="str">
        <f>IF(OpenLCAbasic!K4891="CTUh", "Fill in Manually",IF(OR(K4891="Unit", K4891=""), "", INDEX(LookUps!$E$5:$E$12, MATCH(OpenLCAbasic!K4891,LookUps!$D$5:$D$12,0))))</f>
        <v>Acidification Potential (AP) - kg SO2 eq</v>
      </c>
      <c r="M4891" s="154" t="str">
        <f t="shared" si="315"/>
        <v>Base_Medium_Base_Upgraded_Acidification Potential (AP) - kg SO2 eq_Clear Cove Primary Clarification; wastewater treatment unit; at updated plant - US_Without Amendment_Windrow</v>
      </c>
    </row>
    <row r="4892" spans="1:13" s="120" customFormat="1" x14ac:dyDescent="0.25">
      <c r="A4892" s="119"/>
      <c r="B4892" s="138" t="str">
        <f t="shared" si="313"/>
        <v>Windrow</v>
      </c>
      <c r="C4892" s="138" t="str">
        <f t="shared" si="312"/>
        <v>Without Amendment</v>
      </c>
      <c r="D4892" s="138" t="str">
        <f t="shared" si="317"/>
        <v>Medium_Base</v>
      </c>
      <c r="E4892" s="138" t="str">
        <f t="shared" si="311"/>
        <v>Base</v>
      </c>
      <c r="F4892" s="138" t="str">
        <f t="shared" si="314"/>
        <v>Upgraded</v>
      </c>
      <c r="G4892" s="153"/>
      <c r="H4892" s="210">
        <v>0.16370000000000001</v>
      </c>
      <c r="I4892" s="160" t="s">
        <v>58</v>
      </c>
      <c r="J4892" s="160">
        <v>4.3499999999999997E-3</v>
      </c>
      <c r="K4892" s="160" t="s">
        <v>24</v>
      </c>
      <c r="L4892" s="154" t="str">
        <f>IF(OpenLCAbasic!K4892="CTUh", "Fill in Manually",IF(OR(K4892="Unit", K4892=""), "", INDEX(LookUps!$E$5:$E$12, MATCH(OpenLCAbasic!K4892,LookUps!$D$5:$D$12,0))))</f>
        <v>Acidification Potential (AP) - kg SO2 eq</v>
      </c>
      <c r="M4892" s="154" t="str">
        <f t="shared" si="315"/>
        <v>Base_Medium_Base_Upgraded_Acidification Potential (AP) - kg SO2 eq_Pre-Anoxic &amp; Swing tank; wastewater treatment unit; at updated plant - US_Without Amendment_Windrow</v>
      </c>
    </row>
    <row r="4893" spans="1:13" s="120" customFormat="1" x14ac:dyDescent="0.25">
      <c r="A4893" s="119"/>
      <c r="B4893" s="138" t="str">
        <f t="shared" si="313"/>
        <v>Windrow</v>
      </c>
      <c r="C4893" s="138" t="str">
        <f t="shared" si="312"/>
        <v>Without Amendment</v>
      </c>
      <c r="D4893" s="138" t="str">
        <f t="shared" si="317"/>
        <v>Medium_Base</v>
      </c>
      <c r="E4893" s="138" t="str">
        <f t="shared" si="311"/>
        <v>Base</v>
      </c>
      <c r="F4893" s="138" t="str">
        <f t="shared" si="314"/>
        <v>Upgraded</v>
      </c>
      <c r="G4893" s="153"/>
      <c r="H4893" s="210">
        <v>0.13</v>
      </c>
      <c r="I4893" s="160" t="s">
        <v>53</v>
      </c>
      <c r="J4893" s="160">
        <v>3.4499999999999999E-3</v>
      </c>
      <c r="K4893" s="160" t="s">
        <v>24</v>
      </c>
      <c r="L4893" s="154" t="str">
        <f>IF(OpenLCAbasic!K4893="CTUh", "Fill in Manually",IF(OR(K4893="Unit", K4893=""), "", INDEX(LookUps!$E$5:$E$12, MATCH(OpenLCAbasic!K4893,LookUps!$D$5:$D$12,0))))</f>
        <v>Acidification Potential (AP) - kg SO2 eq</v>
      </c>
      <c r="M4893" s="154" t="str">
        <f t="shared" si="315"/>
        <v>Base_Medium_Base_Upgraded_Acidification Potential (AP) - kg SO2 eq_Wet Well and Sump Station; wastewater treatment unit; at updated plant - US_Without Amendment_Windrow</v>
      </c>
    </row>
    <row r="4894" spans="1:13" s="120" customFormat="1" x14ac:dyDescent="0.25">
      <c r="A4894" s="119"/>
      <c r="B4894" s="138" t="str">
        <f t="shared" si="313"/>
        <v>Windrow</v>
      </c>
      <c r="C4894" s="138" t="str">
        <f t="shared" si="312"/>
        <v>Without Amendment</v>
      </c>
      <c r="D4894" s="138" t="str">
        <f t="shared" si="317"/>
        <v>Medium_Base</v>
      </c>
      <c r="E4894" s="138" t="str">
        <f t="shared" si="311"/>
        <v>Base</v>
      </c>
      <c r="F4894" s="138" t="str">
        <f t="shared" si="314"/>
        <v>Upgraded</v>
      </c>
      <c r="G4894" s="153"/>
      <c r="H4894" s="210">
        <v>9.5399999999999999E-2</v>
      </c>
      <c r="I4894" s="160" t="s">
        <v>167</v>
      </c>
      <c r="J4894" s="160">
        <v>2.5300000000000001E-3</v>
      </c>
      <c r="K4894" s="160" t="s">
        <v>24</v>
      </c>
      <c r="L4894" s="154" t="str">
        <f>IF(OpenLCAbasic!K4894="CTUh", "Fill in Manually",IF(OR(K4894="Unit", K4894=""), "", INDEX(LookUps!$E$5:$E$12, MATCH(OpenLCAbasic!K4894,LookUps!$D$5:$D$12,0))))</f>
        <v>Acidification Potential (AP) - kg SO2 eq</v>
      </c>
      <c r="M4894" s="154" t="str">
        <f t="shared" si="315"/>
        <v>Base_Medium_Base_Upgraded_Acidification Potential (AP) - kg SO2 eq_Waste Receiving and Holding; wastewater treatment unit; at updated plant - US_Without Amendment_Windrow</v>
      </c>
    </row>
    <row r="4895" spans="1:13" s="120" customFormat="1" x14ac:dyDescent="0.25">
      <c r="A4895" s="119"/>
      <c r="B4895" s="138" t="str">
        <f t="shared" si="313"/>
        <v>Windrow</v>
      </c>
      <c r="C4895" s="138" t="str">
        <f t="shared" si="312"/>
        <v>Without Amendment</v>
      </c>
      <c r="D4895" s="138" t="str">
        <f t="shared" si="317"/>
        <v>Medium_Base</v>
      </c>
      <c r="E4895" s="138" t="str">
        <f t="shared" si="311"/>
        <v>Base</v>
      </c>
      <c r="F4895" s="138" t="str">
        <f t="shared" si="314"/>
        <v>Upgraded</v>
      </c>
      <c r="G4895" s="153"/>
      <c r="H4895" s="210">
        <v>9.0300000000000005E-2</v>
      </c>
      <c r="I4895" s="160" t="s">
        <v>62</v>
      </c>
      <c r="J4895" s="160">
        <v>2.3999999999999998E-3</v>
      </c>
      <c r="K4895" s="160" t="s">
        <v>24</v>
      </c>
      <c r="L4895" s="154" t="str">
        <f>IF(OpenLCAbasic!K4895="CTUh", "Fill in Manually",IF(OR(K4895="Unit", K4895=""), "", INDEX(LookUps!$E$5:$E$12, MATCH(OpenLCAbasic!K4895,LookUps!$D$5:$D$12,0))))</f>
        <v>Acidification Potential (AP) - kg SO2 eq</v>
      </c>
      <c r="M4895" s="154" t="str">
        <f t="shared" si="315"/>
        <v>Base_Medium_Base_Upgraded_Acidification Potential (AP) - kg SO2 eq_Land application of compost; wastewater treatment unit; at updated plant - US_Without Amendment_Windrow</v>
      </c>
    </row>
    <row r="4896" spans="1:13" s="120" customFormat="1" x14ac:dyDescent="0.25">
      <c r="A4896" s="119"/>
      <c r="B4896" s="138" t="str">
        <f t="shared" si="313"/>
        <v>Windrow</v>
      </c>
      <c r="C4896" s="138" t="str">
        <f t="shared" si="312"/>
        <v>Without Amendment</v>
      </c>
      <c r="D4896" s="138" t="str">
        <f t="shared" si="317"/>
        <v>Medium_Base</v>
      </c>
      <c r="E4896" s="138" t="str">
        <f t="shared" si="311"/>
        <v>Base</v>
      </c>
      <c r="F4896" s="138" t="str">
        <f t="shared" si="314"/>
        <v>Upgraded</v>
      </c>
      <c r="G4896" s="153"/>
      <c r="H4896" s="210">
        <v>7.7899999999999997E-2</v>
      </c>
      <c r="I4896" s="160" t="s">
        <v>147</v>
      </c>
      <c r="J4896" s="160">
        <v>2.0699999999999998E-3</v>
      </c>
      <c r="K4896" s="160" t="s">
        <v>24</v>
      </c>
      <c r="L4896" s="154" t="str">
        <f>IF(OpenLCAbasic!K4896="CTUh", "Fill in Manually",IF(OR(K4896="Unit", K4896=""), "", INDEX(LookUps!$E$5:$E$12, MATCH(OpenLCAbasic!K4896,LookUps!$D$5:$D$12,0))))</f>
        <v>Acidification Potential (AP) - kg SO2 eq</v>
      </c>
      <c r="M4896" s="154" t="str">
        <f t="shared" si="315"/>
        <v>Base_Medium_Base_Upgraded_Acidification Potential (AP) - kg SO2 eq_Influent Pump Station; wastewater treatment unit; at updated plant - US_Without Amendment_Windrow</v>
      </c>
    </row>
    <row r="4897" spans="1:13" s="120" customFormat="1" x14ac:dyDescent="0.25">
      <c r="A4897" s="119"/>
      <c r="B4897" s="138" t="str">
        <f t="shared" si="313"/>
        <v>Windrow</v>
      </c>
      <c r="C4897" s="138" t="str">
        <f t="shared" si="312"/>
        <v>Without Amendment</v>
      </c>
      <c r="D4897" s="138" t="str">
        <f t="shared" si="317"/>
        <v>Medium_Base</v>
      </c>
      <c r="E4897" s="138" t="str">
        <f t="shared" si="311"/>
        <v>Base</v>
      </c>
      <c r="F4897" s="138" t="str">
        <f t="shared" si="314"/>
        <v>Upgraded</v>
      </c>
      <c r="G4897" s="153"/>
      <c r="H4897" s="210">
        <v>4.65E-2</v>
      </c>
      <c r="I4897" s="160" t="s">
        <v>128</v>
      </c>
      <c r="J4897" s="160">
        <v>1.23E-3</v>
      </c>
      <c r="K4897" s="160" t="s">
        <v>24</v>
      </c>
      <c r="L4897" s="154" t="str">
        <f>IF(OpenLCAbasic!K4897="CTUh", "Fill in Manually",IF(OR(K4897="Unit", K4897=""), "", INDEX(LookUps!$E$5:$E$12, MATCH(OpenLCAbasic!K4897,LookUps!$D$5:$D$12,0))))</f>
        <v>Acidification Potential (AP) - kg SO2 eq</v>
      </c>
      <c r="M4897" s="154" t="str">
        <f t="shared" si="315"/>
        <v>Base_Medium_Base_Upgraded_Acidification Potential (AP) - kg SO2 eq_Wastewater collection; operation and infrastructure; m3 wastewater_Without Amendment_Windrow</v>
      </c>
    </row>
    <row r="4898" spans="1:13" s="120" customFormat="1" x14ac:dyDescent="0.25">
      <c r="A4898" s="119"/>
      <c r="B4898" s="138" t="str">
        <f t="shared" si="313"/>
        <v>Windrow</v>
      </c>
      <c r="C4898" s="138" t="str">
        <f t="shared" si="312"/>
        <v>Without Amendment</v>
      </c>
      <c r="D4898" s="138" t="str">
        <f t="shared" si="317"/>
        <v>Medium_Base</v>
      </c>
      <c r="E4898" s="138" t="str">
        <f t="shared" si="311"/>
        <v>Base</v>
      </c>
      <c r="F4898" s="138" t="str">
        <f t="shared" si="314"/>
        <v>Upgraded</v>
      </c>
      <c r="G4898" s="153"/>
      <c r="H4898" s="210">
        <v>4.02E-2</v>
      </c>
      <c r="I4898" s="160" t="s">
        <v>60</v>
      </c>
      <c r="J4898" s="160">
        <v>1.07E-3</v>
      </c>
      <c r="K4898" s="160" t="s">
        <v>24</v>
      </c>
      <c r="L4898" s="154" t="str">
        <f>IF(OpenLCAbasic!K4898="CTUh", "Fill in Manually",IF(OR(K4898="Unit", K4898=""), "", INDEX(LookUps!$E$5:$E$12, MATCH(OpenLCAbasic!K4898,LookUps!$D$5:$D$12,0))))</f>
        <v>Acidification Potential (AP) - kg SO2 eq</v>
      </c>
      <c r="M4898" s="154" t="str">
        <f t="shared" si="315"/>
        <v>Base_Medium_Base_Upgraded_Acidification Potential (AP) - kg SO2 eq_Belt filter press; wastewater treatment unit; at updated plant - US_Without Amendment_Windrow</v>
      </c>
    </row>
    <row r="4899" spans="1:13" s="120" customFormat="1" x14ac:dyDescent="0.25">
      <c r="A4899" s="119"/>
      <c r="B4899" s="138" t="str">
        <f t="shared" si="313"/>
        <v>Windrow</v>
      </c>
      <c r="C4899" s="138" t="str">
        <f t="shared" si="312"/>
        <v>Without Amendment</v>
      </c>
      <c r="D4899" s="138" t="str">
        <f t="shared" si="317"/>
        <v>Medium_Base</v>
      </c>
      <c r="E4899" s="138" t="str">
        <f t="shared" si="311"/>
        <v>Base</v>
      </c>
      <c r="F4899" s="138" t="str">
        <f t="shared" si="314"/>
        <v>Upgraded</v>
      </c>
      <c r="G4899" s="153"/>
      <c r="H4899" s="210">
        <v>2.6499999999999999E-2</v>
      </c>
      <c r="I4899" s="160" t="s">
        <v>57</v>
      </c>
      <c r="J4899" s="160">
        <v>6.9999999999999999E-4</v>
      </c>
      <c r="K4899" s="160" t="s">
        <v>24</v>
      </c>
      <c r="L4899" s="154" t="str">
        <f>IF(OpenLCAbasic!K4899="CTUh", "Fill in Manually",IF(OR(K4899="Unit", K4899=""), "", INDEX(LookUps!$E$5:$E$12, MATCH(OpenLCAbasic!K4899,LookUps!$D$5:$D$12,0))))</f>
        <v>Acidification Potential (AP) - kg SO2 eq</v>
      </c>
      <c r="M4899" s="154" t="str">
        <f t="shared" si="315"/>
        <v>Base_Medium_Base_Upgraded_Acidification Potential (AP) - kg SO2 eq_Gravity Belt Thickener; wastewater treatment unit; at updated plant - US_Without Amendment_Windrow</v>
      </c>
    </row>
    <row r="4900" spans="1:13" s="120" customFormat="1" x14ac:dyDescent="0.25">
      <c r="A4900" s="119"/>
      <c r="B4900" s="138" t="str">
        <f t="shared" si="313"/>
        <v>Windrow</v>
      </c>
      <c r="C4900" s="138" t="str">
        <f t="shared" si="312"/>
        <v>Without Amendment</v>
      </c>
      <c r="D4900" s="138" t="str">
        <f t="shared" si="317"/>
        <v>Medium_Base</v>
      </c>
      <c r="E4900" s="138" t="str">
        <f t="shared" si="311"/>
        <v>Base</v>
      </c>
      <c r="F4900" s="138" t="str">
        <f t="shared" si="314"/>
        <v>Upgraded</v>
      </c>
      <c r="G4900" s="153"/>
      <c r="H4900" s="210">
        <v>1.95E-2</v>
      </c>
      <c r="I4900" s="160" t="s">
        <v>59</v>
      </c>
      <c r="J4900" s="160">
        <v>5.1999999999999995E-4</v>
      </c>
      <c r="K4900" s="160" t="s">
        <v>24</v>
      </c>
      <c r="L4900" s="154" t="str">
        <f>IF(OpenLCAbasic!K4900="CTUh", "Fill in Manually",IF(OR(K4900="Unit", K4900=""), "", INDEX(LookUps!$E$5:$E$12, MATCH(OpenLCAbasic!K4900,LookUps!$D$5:$D$12,0))))</f>
        <v>Acidification Potential (AP) - kg SO2 eq</v>
      </c>
      <c r="M4900" s="154" t="str">
        <f t="shared" si="315"/>
        <v>Base_Medium_Base_Upgraded_Acidification Potential (AP) - kg SO2 eq_Blend Tank; wastewater treatment unit; at updated plant - US_Without Amendment_Windrow</v>
      </c>
    </row>
    <row r="4901" spans="1:13" s="120" customFormat="1" x14ac:dyDescent="0.25">
      <c r="A4901" s="119"/>
      <c r="B4901" s="138" t="str">
        <f t="shared" si="313"/>
        <v>Windrow</v>
      </c>
      <c r="C4901" s="138" t="str">
        <f t="shared" si="312"/>
        <v>Without Amendment</v>
      </c>
      <c r="D4901" s="138" t="str">
        <f t="shared" si="317"/>
        <v>Medium_Base</v>
      </c>
      <c r="E4901" s="138" t="str">
        <f t="shared" si="311"/>
        <v>Base</v>
      </c>
      <c r="F4901" s="138" t="str">
        <f t="shared" si="314"/>
        <v>Upgraded</v>
      </c>
      <c r="G4901" s="153"/>
      <c r="H4901" s="210">
        <v>1.3100000000000001E-2</v>
      </c>
      <c r="I4901" s="160" t="s">
        <v>48</v>
      </c>
      <c r="J4901" s="160">
        <v>3.5E-4</v>
      </c>
      <c r="K4901" s="160" t="s">
        <v>24</v>
      </c>
      <c r="L4901" s="154" t="str">
        <f>IF(OpenLCAbasic!K4901="CTUh", "Fill in Manually",IF(OR(K4901="Unit", K4901=""), "", INDEX(LookUps!$E$5:$E$12, MATCH(OpenLCAbasic!K4901,LookUps!$D$5:$D$12,0))))</f>
        <v>Acidification Potential (AP) - kg SO2 eq</v>
      </c>
      <c r="M4901" s="154" t="str">
        <f t="shared" si="315"/>
        <v>Base_Medium_Base_Upgraded_Acidification Potential (AP) - kg SO2 eq_Effluent release; wastewater treatment unit; at surface water; m3 wastewater - US_Without Amendment_Windrow</v>
      </c>
    </row>
    <row r="4902" spans="1:13" s="120" customFormat="1" x14ac:dyDescent="0.25">
      <c r="A4902" s="119"/>
      <c r="B4902" s="138" t="str">
        <f t="shared" si="313"/>
        <v>Windrow</v>
      </c>
      <c r="C4902" s="138" t="str">
        <f t="shared" si="312"/>
        <v>Without Amendment</v>
      </c>
      <c r="D4902" s="138" t="str">
        <f t="shared" si="317"/>
        <v>Medium_Base</v>
      </c>
      <c r="E4902" s="138" t="str">
        <f t="shared" si="311"/>
        <v>Base</v>
      </c>
      <c r="F4902" s="138" t="str">
        <f t="shared" si="314"/>
        <v>Upgraded</v>
      </c>
      <c r="G4902" s="153"/>
      <c r="H4902" s="210">
        <v>9.5999999999999992E-3</v>
      </c>
      <c r="I4902" s="160" t="s">
        <v>168</v>
      </c>
      <c r="J4902" s="160">
        <v>2.5999999999999998E-4</v>
      </c>
      <c r="K4902" s="160" t="s">
        <v>24</v>
      </c>
      <c r="L4902" s="154" t="str">
        <f>IF(OpenLCAbasic!K4902="CTUh", "Fill in Manually",IF(OR(K4902="Unit", K4902=""), "", INDEX(LookUps!$E$5:$E$12, MATCH(OpenLCAbasic!K4902,LookUps!$D$5:$D$12,0))))</f>
        <v>Acidification Potential (AP) - kg SO2 eq</v>
      </c>
      <c r="M4902" s="154" t="str">
        <f t="shared" si="315"/>
        <v>Base_Medium_Base_Upgraded_Acidification Potential (AP) - kg SO2 eq_ClearCove SCP; wastewater treatment unit; at updated plant - US_Without Amendment_Windrow</v>
      </c>
    </row>
    <row r="4903" spans="1:13" s="120" customFormat="1" x14ac:dyDescent="0.25">
      <c r="A4903" s="119"/>
      <c r="B4903" s="138" t="str">
        <f t="shared" si="313"/>
        <v>Windrow</v>
      </c>
      <c r="C4903" s="138" t="str">
        <f t="shared" si="312"/>
        <v>Without Amendment</v>
      </c>
      <c r="D4903" s="138" t="str">
        <f t="shared" si="317"/>
        <v>Medium_Base</v>
      </c>
      <c r="E4903" s="138" t="str">
        <f t="shared" si="311"/>
        <v>Base</v>
      </c>
      <c r="F4903" s="138" t="str">
        <f t="shared" si="314"/>
        <v>Upgraded</v>
      </c>
      <c r="G4903" s="153"/>
      <c r="H4903" s="210">
        <v>1.5E-3</v>
      </c>
      <c r="I4903" s="160" t="s">
        <v>148</v>
      </c>
      <c r="J4903" s="211">
        <v>4.0354700000000002E-5</v>
      </c>
      <c r="K4903" s="160" t="s">
        <v>24</v>
      </c>
      <c r="L4903" s="154" t="str">
        <f>IF(OpenLCAbasic!K4903="CTUh", "Fill in Manually",IF(OR(K4903="Unit", K4903=""), "", INDEX(LookUps!$E$5:$E$12, MATCH(OpenLCAbasic!K4903,LookUps!$D$5:$D$12,0))))</f>
        <v>Acidification Potential (AP) - kg SO2 eq</v>
      </c>
      <c r="M4903" s="154" t="str">
        <f t="shared" si="315"/>
        <v>Base_Medium_Base_Upgraded_Acidification Potential (AP) - kg SO2 eq_Control Building; at upgraded wastewater treatment plant - US_Without Amendment_Windrow</v>
      </c>
    </row>
    <row r="4904" spans="1:13" s="120" customFormat="1" x14ac:dyDescent="0.25">
      <c r="A4904" s="119"/>
      <c r="B4904" s="138" t="str">
        <f t="shared" si="313"/>
        <v>Windrow</v>
      </c>
      <c r="C4904" s="138" t="str">
        <f t="shared" si="312"/>
        <v>Without Amendment</v>
      </c>
      <c r="D4904" s="138" t="str">
        <f t="shared" si="317"/>
        <v>Medium_Base</v>
      </c>
      <c r="E4904" s="138" t="str">
        <f t="shared" si="311"/>
        <v>Base</v>
      </c>
      <c r="F4904" s="138" t="str">
        <f t="shared" si="314"/>
        <v>Upgraded</v>
      </c>
      <c r="G4904" s="153"/>
      <c r="H4904" s="210">
        <v>-0.74280000000000002</v>
      </c>
      <c r="I4904" s="160" t="s">
        <v>149</v>
      </c>
      <c r="J4904" s="160">
        <v>-1.9720000000000001E-2</v>
      </c>
      <c r="K4904" s="160" t="s">
        <v>24</v>
      </c>
      <c r="L4904" s="154" t="str">
        <f>IF(OpenLCAbasic!K4904="CTUh", "Fill in Manually",IF(OR(K4904="Unit", K4904=""), "", INDEX(LookUps!$E$5:$E$12, MATCH(OpenLCAbasic!K4904,LookUps!$D$5:$D$12,0))))</f>
        <v>Acidification Potential (AP) - kg SO2 eq</v>
      </c>
      <c r="M4904" s="154" t="str">
        <f t="shared" si="315"/>
        <v>Base_Medium_Base_Upgraded_Acidification Potential (AP) - kg SO2 eq_Anaerobic Digestion; wastewater treatment unit; at updated plant - US_Without Amendment_Windrow</v>
      </c>
    </row>
    <row r="4905" spans="1:13" s="120" customFormat="1" x14ac:dyDescent="0.25">
      <c r="A4905" s="119"/>
      <c r="B4905" s="138" t="str">
        <f t="shared" si="313"/>
        <v/>
      </c>
      <c r="C4905" s="138" t="str">
        <f t="shared" si="312"/>
        <v/>
      </c>
      <c r="D4905" s="138" t="str">
        <f t="shared" si="317"/>
        <v/>
      </c>
      <c r="E4905" s="138" t="str">
        <f t="shared" si="311"/>
        <v/>
      </c>
      <c r="F4905" s="138" t="str">
        <f t="shared" si="314"/>
        <v/>
      </c>
      <c r="G4905" s="153" t="s">
        <v>51</v>
      </c>
      <c r="H4905" s="160"/>
      <c r="I4905" s="160" t="s">
        <v>47</v>
      </c>
      <c r="J4905" s="160" t="s">
        <v>52</v>
      </c>
      <c r="K4905" s="160" t="s">
        <v>27</v>
      </c>
      <c r="L4905" s="154" t="str">
        <f>IF(OpenLCAbasic!K4905="CTUh", "Fill in Manually",IF(OR(K4905="Unit", K4905=""), "", INDEX(LookUps!$E$5:$E$12, MATCH(OpenLCAbasic!K4905,LookUps!$D$5:$D$12,0))))</f>
        <v/>
      </c>
      <c r="M4905" s="154" t="str">
        <f t="shared" si="315"/>
        <v>____Process__</v>
      </c>
    </row>
    <row r="4906" spans="1:13" s="120" customFormat="1" x14ac:dyDescent="0.25">
      <c r="A4906" s="119"/>
      <c r="B4906" s="138" t="str">
        <f t="shared" si="313"/>
        <v>Windrow</v>
      </c>
      <c r="C4906" s="138" t="str">
        <f t="shared" si="312"/>
        <v>Without Amendment</v>
      </c>
      <c r="D4906" s="138" t="str">
        <f t="shared" si="317"/>
        <v>Medium_Base</v>
      </c>
      <c r="E4906" s="138" t="str">
        <f t="shared" si="311"/>
        <v>Base</v>
      </c>
      <c r="F4906" s="138" t="str">
        <f t="shared" si="314"/>
        <v>Upgraded</v>
      </c>
      <c r="G4906" s="153"/>
      <c r="H4906" s="210">
        <v>1.0909</v>
      </c>
      <c r="I4906" s="160" t="s">
        <v>167</v>
      </c>
      <c r="J4906" s="160">
        <v>4.2789599999999997</v>
      </c>
      <c r="K4906" s="160" t="s">
        <v>15</v>
      </c>
      <c r="L4906" s="154" t="str">
        <f>IF(OpenLCAbasic!K4906="CTUh", "Fill in Manually",IF(OR(K4906="Unit", K4906=""), "", INDEX(LookUps!$E$5:$E$12, MATCH(OpenLCAbasic!K4906,LookUps!$D$5:$D$12,0))))</f>
        <v>Cumulative Energy Demand (CED) - MJ</v>
      </c>
      <c r="M4906" s="154" t="str">
        <f t="shared" si="315"/>
        <v>Base_Medium_Base_Upgraded_Cumulative Energy Demand (CED) - MJ_Waste Receiving and Holding; wastewater treatment unit; at updated plant - US_Without Amendment_Windrow</v>
      </c>
    </row>
    <row r="4907" spans="1:13" s="120" customFormat="1" x14ac:dyDescent="0.25">
      <c r="A4907" s="119"/>
      <c r="B4907" s="138" t="str">
        <f t="shared" si="313"/>
        <v>Windrow</v>
      </c>
      <c r="C4907" s="138" t="str">
        <f t="shared" si="312"/>
        <v>Without Amendment</v>
      </c>
      <c r="D4907" s="138" t="str">
        <f t="shared" si="317"/>
        <v>Medium_Base</v>
      </c>
      <c r="E4907" s="138" t="str">
        <f t="shared" si="311"/>
        <v>Base</v>
      </c>
      <c r="F4907" s="138" t="str">
        <f t="shared" si="314"/>
        <v>Upgraded</v>
      </c>
      <c r="G4907" s="153"/>
      <c r="H4907" s="210">
        <v>0.90069999999999995</v>
      </c>
      <c r="I4907" s="160" t="s">
        <v>55</v>
      </c>
      <c r="J4907" s="160">
        <v>3.5330499999999998</v>
      </c>
      <c r="K4907" s="160" t="s">
        <v>15</v>
      </c>
      <c r="L4907" s="154" t="str">
        <f>IF(OpenLCAbasic!K4907="CTUh", "Fill in Manually",IF(OR(K4907="Unit", K4907=""), "", INDEX(LookUps!$E$5:$E$12, MATCH(OpenLCAbasic!K4907,LookUps!$D$5:$D$12,0))))</f>
        <v>Cumulative Energy Demand (CED) - MJ</v>
      </c>
      <c r="M4907" s="154" t="str">
        <f t="shared" si="315"/>
        <v>Base_Medium_Base_Upgraded_Cumulative Energy Demand (CED) - MJ_Aeration Tanks; wastewater treatment unit; at updated plant - US_Without Amendment_Windrow</v>
      </c>
    </row>
    <row r="4908" spans="1:13" s="120" customFormat="1" x14ac:dyDescent="0.25">
      <c r="A4908" s="119"/>
      <c r="B4908" s="138" t="str">
        <f t="shared" si="313"/>
        <v>Windrow</v>
      </c>
      <c r="C4908" s="138" t="str">
        <f t="shared" si="312"/>
        <v>Without Amendment</v>
      </c>
      <c r="D4908" s="138" t="str">
        <f t="shared" si="317"/>
        <v>Medium_Base</v>
      </c>
      <c r="E4908" s="138" t="str">
        <f t="shared" si="311"/>
        <v>Base</v>
      </c>
      <c r="F4908" s="138" t="str">
        <f t="shared" si="314"/>
        <v>Upgraded</v>
      </c>
      <c r="G4908" s="153"/>
      <c r="H4908" s="210">
        <v>0.29649999999999999</v>
      </c>
      <c r="I4908" s="160" t="s">
        <v>54</v>
      </c>
      <c r="J4908" s="160">
        <v>1.16289</v>
      </c>
      <c r="K4908" s="160" t="s">
        <v>15</v>
      </c>
      <c r="L4908" s="154" t="str">
        <f>IF(OpenLCAbasic!K4908="CTUh", "Fill in Manually",IF(OR(K4908="Unit", K4908=""), "", INDEX(LookUps!$E$5:$E$12, MATCH(OpenLCAbasic!K4908,LookUps!$D$5:$D$12,0))))</f>
        <v>Cumulative Energy Demand (CED) - MJ</v>
      </c>
      <c r="M4908" s="154" t="str">
        <f t="shared" si="315"/>
        <v>Base_Medium_Base_Upgraded_Cumulative Energy Demand (CED) - MJ_Clear Cove Primary Clarification; wastewater treatment unit; at updated plant - US_Without Amendment_Windrow</v>
      </c>
    </row>
    <row r="4909" spans="1:13" s="120" customFormat="1" x14ac:dyDescent="0.25">
      <c r="A4909" s="119"/>
      <c r="B4909" s="138" t="str">
        <f t="shared" si="313"/>
        <v>Windrow</v>
      </c>
      <c r="C4909" s="138" t="str">
        <f t="shared" si="312"/>
        <v>Without Amendment</v>
      </c>
      <c r="D4909" s="138" t="str">
        <f t="shared" si="317"/>
        <v>Medium_Base</v>
      </c>
      <c r="E4909" s="138" t="str">
        <f t="shared" si="311"/>
        <v>Base</v>
      </c>
      <c r="F4909" s="138" t="str">
        <f t="shared" si="314"/>
        <v>Upgraded</v>
      </c>
      <c r="G4909" s="153"/>
      <c r="H4909" s="210">
        <v>0.2261</v>
      </c>
      <c r="I4909" s="160" t="s">
        <v>58</v>
      </c>
      <c r="J4909" s="160">
        <v>0.88705000000000001</v>
      </c>
      <c r="K4909" s="160" t="s">
        <v>15</v>
      </c>
      <c r="L4909" s="154" t="str">
        <f>IF(OpenLCAbasic!K4909="CTUh", "Fill in Manually",IF(OR(K4909="Unit", K4909=""), "", INDEX(LookUps!$E$5:$E$12, MATCH(OpenLCAbasic!K4909,LookUps!$D$5:$D$12,0))))</f>
        <v>Cumulative Energy Demand (CED) - MJ</v>
      </c>
      <c r="M4909" s="154" t="str">
        <f t="shared" si="315"/>
        <v>Base_Medium_Base_Upgraded_Cumulative Energy Demand (CED) - MJ_Pre-Anoxic &amp; Swing tank; wastewater treatment unit; at updated plant - US_Without Amendment_Windrow</v>
      </c>
    </row>
    <row r="4910" spans="1:13" s="120" customFormat="1" x14ac:dyDescent="0.25">
      <c r="A4910" s="119"/>
      <c r="B4910" s="138" t="str">
        <f t="shared" si="313"/>
        <v>Windrow</v>
      </c>
      <c r="C4910" s="138" t="str">
        <f t="shared" si="312"/>
        <v>Without Amendment</v>
      </c>
      <c r="D4910" s="138" t="str">
        <f t="shared" si="317"/>
        <v>Medium_Base</v>
      </c>
      <c r="E4910" s="138" t="str">
        <f t="shared" si="311"/>
        <v>Base</v>
      </c>
      <c r="F4910" s="138" t="str">
        <f t="shared" si="314"/>
        <v>Upgraded</v>
      </c>
      <c r="G4910" s="153"/>
      <c r="H4910" s="210">
        <v>0.22509999999999999</v>
      </c>
      <c r="I4910" s="160" t="s">
        <v>147</v>
      </c>
      <c r="J4910" s="160">
        <v>0.88297000000000003</v>
      </c>
      <c r="K4910" s="160" t="s">
        <v>15</v>
      </c>
      <c r="L4910" s="154" t="str">
        <f>IF(OpenLCAbasic!K4910="CTUh", "Fill in Manually",IF(OR(K4910="Unit", K4910=""), "", INDEX(LookUps!$E$5:$E$12, MATCH(OpenLCAbasic!K4910,LookUps!$D$5:$D$12,0))))</f>
        <v>Cumulative Energy Demand (CED) - MJ</v>
      </c>
      <c r="M4910" s="154" t="str">
        <f t="shared" si="315"/>
        <v>Base_Medium_Base_Upgraded_Cumulative Energy Demand (CED) - MJ_Influent Pump Station; wastewater treatment unit; at updated plant - US_Without Amendment_Windrow</v>
      </c>
    </row>
    <row r="4911" spans="1:13" s="120" customFormat="1" x14ac:dyDescent="0.25">
      <c r="A4911" s="119"/>
      <c r="B4911" s="138" t="str">
        <f t="shared" si="313"/>
        <v>Windrow</v>
      </c>
      <c r="C4911" s="138" t="str">
        <f t="shared" si="312"/>
        <v>Without Amendment</v>
      </c>
      <c r="D4911" s="138" t="str">
        <f t="shared" si="317"/>
        <v>Medium_Base</v>
      </c>
      <c r="E4911" s="138" t="str">
        <f t="shared" si="311"/>
        <v>Base</v>
      </c>
      <c r="F4911" s="138" t="str">
        <f t="shared" si="314"/>
        <v>Upgraded</v>
      </c>
      <c r="G4911" s="153"/>
      <c r="H4911" s="210">
        <v>0.17760000000000001</v>
      </c>
      <c r="I4911" s="160" t="s">
        <v>53</v>
      </c>
      <c r="J4911" s="160">
        <v>0.69645000000000001</v>
      </c>
      <c r="K4911" s="160" t="s">
        <v>15</v>
      </c>
      <c r="L4911" s="154" t="str">
        <f>IF(OpenLCAbasic!K4911="CTUh", "Fill in Manually",IF(OR(K4911="Unit", K4911=""), "", INDEX(LookUps!$E$5:$E$12, MATCH(OpenLCAbasic!K4911,LookUps!$D$5:$D$12,0))))</f>
        <v>Cumulative Energy Demand (CED) - MJ</v>
      </c>
      <c r="M4911" s="154" t="str">
        <f t="shared" si="315"/>
        <v>Base_Medium_Base_Upgraded_Cumulative Energy Demand (CED) - MJ_Wet Well and Sump Station; wastewater treatment unit; at updated plant - US_Without Amendment_Windrow</v>
      </c>
    </row>
    <row r="4912" spans="1:13" s="120" customFormat="1" x14ac:dyDescent="0.25">
      <c r="A4912" s="119"/>
      <c r="B4912" s="138" t="str">
        <f t="shared" si="313"/>
        <v>Windrow</v>
      </c>
      <c r="C4912" s="138" t="str">
        <f t="shared" si="312"/>
        <v>Without Amendment</v>
      </c>
      <c r="D4912" s="138" t="str">
        <f t="shared" si="317"/>
        <v>Medium_Base</v>
      </c>
      <c r="E4912" s="138" t="str">
        <f t="shared" si="311"/>
        <v>Base</v>
      </c>
      <c r="F4912" s="138" t="str">
        <f t="shared" si="314"/>
        <v>Upgraded</v>
      </c>
      <c r="G4912" s="153"/>
      <c r="H4912" s="210">
        <v>0.10150000000000001</v>
      </c>
      <c r="I4912" s="160" t="s">
        <v>60</v>
      </c>
      <c r="J4912" s="160">
        <v>0.39804</v>
      </c>
      <c r="K4912" s="160" t="s">
        <v>15</v>
      </c>
      <c r="L4912" s="154" t="str">
        <f>IF(OpenLCAbasic!K4912="CTUh", "Fill in Manually",IF(OR(K4912="Unit", K4912=""), "", INDEX(LookUps!$E$5:$E$12, MATCH(OpenLCAbasic!K4912,LookUps!$D$5:$D$12,0))))</f>
        <v>Cumulative Energy Demand (CED) - MJ</v>
      </c>
      <c r="M4912" s="154" t="str">
        <f t="shared" si="315"/>
        <v>Base_Medium_Base_Upgraded_Cumulative Energy Demand (CED) - MJ_Belt filter press; wastewater treatment unit; at updated plant - US_Without Amendment_Windrow</v>
      </c>
    </row>
    <row r="4913" spans="1:13" s="120" customFormat="1" x14ac:dyDescent="0.25">
      <c r="A4913" s="119"/>
      <c r="B4913" s="138" t="str">
        <f t="shared" si="313"/>
        <v>Windrow</v>
      </c>
      <c r="C4913" s="138" t="str">
        <f t="shared" si="312"/>
        <v>Without Amendment</v>
      </c>
      <c r="D4913" s="138" t="str">
        <f t="shared" si="317"/>
        <v>Medium_Base</v>
      </c>
      <c r="E4913" s="138" t="str">
        <f t="shared" ref="E4913:E4976" si="318">IF(ISNUMBER($J4913),"Base","")</f>
        <v>Base</v>
      </c>
      <c r="F4913" s="138" t="str">
        <f t="shared" si="314"/>
        <v>Upgraded</v>
      </c>
      <c r="G4913" s="153"/>
      <c r="H4913" s="210">
        <v>8.5199999999999998E-2</v>
      </c>
      <c r="I4913" s="160" t="s">
        <v>57</v>
      </c>
      <c r="J4913" s="160">
        <v>0.33404</v>
      </c>
      <c r="K4913" s="160" t="s">
        <v>15</v>
      </c>
      <c r="L4913" s="154" t="str">
        <f>IF(OpenLCAbasic!K4913="CTUh", "Fill in Manually",IF(OR(K4913="Unit", K4913=""), "", INDEX(LookUps!$E$5:$E$12, MATCH(OpenLCAbasic!K4913,LookUps!$D$5:$D$12,0))))</f>
        <v>Cumulative Energy Demand (CED) - MJ</v>
      </c>
      <c r="M4913" s="154" t="str">
        <f t="shared" si="315"/>
        <v>Base_Medium_Base_Upgraded_Cumulative Energy Demand (CED) - MJ_Gravity Belt Thickener; wastewater treatment unit; at updated plant - US_Without Amendment_Windrow</v>
      </c>
    </row>
    <row r="4914" spans="1:13" s="120" customFormat="1" x14ac:dyDescent="0.25">
      <c r="A4914" s="119"/>
      <c r="B4914" s="138" t="str">
        <f t="shared" si="313"/>
        <v>Windrow</v>
      </c>
      <c r="C4914" s="138" t="str">
        <f t="shared" si="312"/>
        <v>Without Amendment</v>
      </c>
      <c r="D4914" s="138" t="str">
        <f t="shared" si="317"/>
        <v>Medium_Base</v>
      </c>
      <c r="E4914" s="138" t="str">
        <f t="shared" si="318"/>
        <v>Base</v>
      </c>
      <c r="F4914" s="138" t="str">
        <f t="shared" si="314"/>
        <v>Upgraded</v>
      </c>
      <c r="G4914" s="153"/>
      <c r="H4914" s="210">
        <v>6.5299999999999997E-2</v>
      </c>
      <c r="I4914" s="160" t="s">
        <v>128</v>
      </c>
      <c r="J4914" s="160">
        <v>0.25606000000000001</v>
      </c>
      <c r="K4914" s="160" t="s">
        <v>15</v>
      </c>
      <c r="L4914" s="154" t="str">
        <f>IF(OpenLCAbasic!K4914="CTUh", "Fill in Manually",IF(OR(K4914="Unit", K4914=""), "", INDEX(LookUps!$E$5:$E$12, MATCH(OpenLCAbasic!K4914,LookUps!$D$5:$D$12,0))))</f>
        <v>Cumulative Energy Demand (CED) - MJ</v>
      </c>
      <c r="M4914" s="154" t="str">
        <f t="shared" si="315"/>
        <v>Base_Medium_Base_Upgraded_Cumulative Energy Demand (CED) - MJ_Wastewater collection; operation and infrastructure; m3 wastewater_Without Amendment_Windrow</v>
      </c>
    </row>
    <row r="4915" spans="1:13" s="120" customFormat="1" x14ac:dyDescent="0.25">
      <c r="A4915" s="119"/>
      <c r="B4915" s="138" t="str">
        <f t="shared" si="313"/>
        <v>Windrow</v>
      </c>
      <c r="C4915" s="138" t="str">
        <f t="shared" si="312"/>
        <v>Without Amendment</v>
      </c>
      <c r="D4915" s="138" t="str">
        <f t="shared" si="317"/>
        <v>Medium_Base</v>
      </c>
      <c r="E4915" s="138" t="str">
        <f t="shared" si="318"/>
        <v>Base</v>
      </c>
      <c r="F4915" s="138" t="str">
        <f t="shared" si="314"/>
        <v>Upgraded</v>
      </c>
      <c r="G4915" s="153"/>
      <c r="H4915" s="210">
        <v>3.7199999999999997E-2</v>
      </c>
      <c r="I4915" s="160" t="s">
        <v>148</v>
      </c>
      <c r="J4915" s="160">
        <v>0.14599000000000001</v>
      </c>
      <c r="K4915" s="160" t="s">
        <v>15</v>
      </c>
      <c r="L4915" s="154" t="str">
        <f>IF(OpenLCAbasic!K4915="CTUh", "Fill in Manually",IF(OR(K4915="Unit", K4915=""), "", INDEX(LookUps!$E$5:$E$12, MATCH(OpenLCAbasic!K4915,LookUps!$D$5:$D$12,0))))</f>
        <v>Cumulative Energy Demand (CED) - MJ</v>
      </c>
      <c r="M4915" s="154" t="str">
        <f t="shared" si="315"/>
        <v>Base_Medium_Base_Upgraded_Cumulative Energy Demand (CED) - MJ_Control Building; at upgraded wastewater treatment plant - US_Without Amendment_Windrow</v>
      </c>
    </row>
    <row r="4916" spans="1:13" s="120" customFormat="1" x14ac:dyDescent="0.25">
      <c r="A4916" s="119"/>
      <c r="B4916" s="138" t="str">
        <f t="shared" si="313"/>
        <v>Windrow</v>
      </c>
      <c r="C4916" s="138" t="str">
        <f t="shared" si="312"/>
        <v>Without Amendment</v>
      </c>
      <c r="D4916" s="138" t="str">
        <f t="shared" si="317"/>
        <v>Medium_Base</v>
      </c>
      <c r="E4916" s="138" t="str">
        <f t="shared" si="318"/>
        <v>Base</v>
      </c>
      <c r="F4916" s="138" t="str">
        <f t="shared" si="314"/>
        <v>Upgraded</v>
      </c>
      <c r="G4916" s="153"/>
      <c r="H4916" s="210">
        <v>3.4000000000000002E-2</v>
      </c>
      <c r="I4916" s="160" t="s">
        <v>48</v>
      </c>
      <c r="J4916" s="160">
        <v>0.13321</v>
      </c>
      <c r="K4916" s="160" t="s">
        <v>15</v>
      </c>
      <c r="L4916" s="154" t="str">
        <f>IF(OpenLCAbasic!K4916="CTUh", "Fill in Manually",IF(OR(K4916="Unit", K4916=""), "", INDEX(LookUps!$E$5:$E$12, MATCH(OpenLCAbasic!K4916,LookUps!$D$5:$D$12,0))))</f>
        <v>Cumulative Energy Demand (CED) - MJ</v>
      </c>
      <c r="M4916" s="154" t="str">
        <f t="shared" si="315"/>
        <v>Base_Medium_Base_Upgraded_Cumulative Energy Demand (CED) - MJ_Effluent release; wastewater treatment unit; at surface water; m3 wastewater - US_Without Amendment_Windrow</v>
      </c>
    </row>
    <row r="4917" spans="1:13" s="120" customFormat="1" x14ac:dyDescent="0.25">
      <c r="A4917" s="119"/>
      <c r="B4917" s="138" t="str">
        <f t="shared" si="313"/>
        <v>Windrow</v>
      </c>
      <c r="C4917" s="138" t="str">
        <f t="shared" si="312"/>
        <v>Without Amendment</v>
      </c>
      <c r="D4917" s="138" t="str">
        <f t="shared" si="317"/>
        <v>Medium_Base</v>
      </c>
      <c r="E4917" s="138" t="str">
        <f t="shared" si="318"/>
        <v>Base</v>
      </c>
      <c r="F4917" s="138" t="str">
        <f t="shared" si="314"/>
        <v>Upgraded</v>
      </c>
      <c r="G4917" s="153"/>
      <c r="H4917" s="210">
        <v>2.7099999999999999E-2</v>
      </c>
      <c r="I4917" s="160" t="s">
        <v>59</v>
      </c>
      <c r="J4917" s="160">
        <v>0.10638</v>
      </c>
      <c r="K4917" s="160" t="s">
        <v>15</v>
      </c>
      <c r="L4917" s="154" t="str">
        <f>IF(OpenLCAbasic!K4917="CTUh", "Fill in Manually",IF(OR(K4917="Unit", K4917=""), "", INDEX(LookUps!$E$5:$E$12, MATCH(OpenLCAbasic!K4917,LookUps!$D$5:$D$12,0))))</f>
        <v>Cumulative Energy Demand (CED) - MJ</v>
      </c>
      <c r="M4917" s="154" t="str">
        <f t="shared" si="315"/>
        <v>Base_Medium_Base_Upgraded_Cumulative Energy Demand (CED) - MJ_Blend Tank; wastewater treatment unit; at updated plant - US_Without Amendment_Windrow</v>
      </c>
    </row>
    <row r="4918" spans="1:13" s="120" customFormat="1" x14ac:dyDescent="0.25">
      <c r="A4918" s="119"/>
      <c r="B4918" s="138" t="str">
        <f t="shared" si="313"/>
        <v>Windrow</v>
      </c>
      <c r="C4918" s="138" t="str">
        <f t="shared" si="312"/>
        <v>Without Amendment</v>
      </c>
      <c r="D4918" s="138" t="str">
        <f t="shared" si="317"/>
        <v>Medium_Base</v>
      </c>
      <c r="E4918" s="138" t="str">
        <f t="shared" si="318"/>
        <v>Base</v>
      </c>
      <c r="F4918" s="138" t="str">
        <f t="shared" si="314"/>
        <v>Upgraded</v>
      </c>
      <c r="G4918" s="153"/>
      <c r="H4918" s="210">
        <v>1.2999999999999999E-2</v>
      </c>
      <c r="I4918" s="160" t="s">
        <v>168</v>
      </c>
      <c r="J4918" s="160">
        <v>5.0930000000000003E-2</v>
      </c>
      <c r="K4918" s="160" t="s">
        <v>15</v>
      </c>
      <c r="L4918" s="154" t="str">
        <f>IF(OpenLCAbasic!K4918="CTUh", "Fill in Manually",IF(OR(K4918="Unit", K4918=""), "", INDEX(LookUps!$E$5:$E$12, MATCH(OpenLCAbasic!K4918,LookUps!$D$5:$D$12,0))))</f>
        <v>Cumulative Energy Demand (CED) - MJ</v>
      </c>
      <c r="M4918" s="154" t="str">
        <f t="shared" si="315"/>
        <v>Base_Medium_Base_Upgraded_Cumulative Energy Demand (CED) - MJ_ClearCove SCP; wastewater treatment unit; at updated plant - US_Without Amendment_Windrow</v>
      </c>
    </row>
    <row r="4919" spans="1:13" s="120" customFormat="1" x14ac:dyDescent="0.25">
      <c r="A4919" s="119"/>
      <c r="B4919" s="138" t="str">
        <f t="shared" si="313"/>
        <v>Windrow</v>
      </c>
      <c r="C4919" s="138" t="str">
        <f t="shared" si="312"/>
        <v>Without Amendment</v>
      </c>
      <c r="D4919" s="138" t="str">
        <f t="shared" si="317"/>
        <v>Medium_Base</v>
      </c>
      <c r="E4919" s="138" t="str">
        <f t="shared" si="318"/>
        <v>Base</v>
      </c>
      <c r="F4919" s="138" t="str">
        <f t="shared" si="314"/>
        <v>Upgraded</v>
      </c>
      <c r="G4919" s="153"/>
      <c r="H4919" s="210">
        <v>6.6E-3</v>
      </c>
      <c r="I4919" s="160" t="s">
        <v>271</v>
      </c>
      <c r="J4919" s="160">
        <v>2.6040000000000001E-2</v>
      </c>
      <c r="K4919" s="160" t="s">
        <v>15</v>
      </c>
      <c r="L4919" s="154" t="str">
        <f>IF(OpenLCAbasic!K4919="CTUh", "Fill in Manually",IF(OR(K4919="Unit", K4919=""), "", INDEX(LookUps!$E$5:$E$12, MATCH(OpenLCAbasic!K4919,LookUps!$D$5:$D$12,0))))</f>
        <v>Cumulative Energy Demand (CED) - MJ</v>
      </c>
      <c r="M4919" s="154" t="str">
        <f t="shared" si="315"/>
        <v>Base_Medium_Base_Upgraded_Cumulative Energy Demand (CED) - MJ_Biosolids composting; windrow composting; wastewater treatment unit; at updated plant - US_Without Amendment_Windrow</v>
      </c>
    </row>
    <row r="4920" spans="1:13" s="120" customFormat="1" x14ac:dyDescent="0.25">
      <c r="A4920" s="119"/>
      <c r="B4920" s="138" t="str">
        <f t="shared" si="313"/>
        <v>Windrow</v>
      </c>
      <c r="C4920" s="138" t="str">
        <f t="shared" si="312"/>
        <v>Without Amendment</v>
      </c>
      <c r="D4920" s="138" t="str">
        <f t="shared" si="317"/>
        <v>Medium_Base</v>
      </c>
      <c r="E4920" s="138" t="str">
        <f t="shared" si="318"/>
        <v>Base</v>
      </c>
      <c r="F4920" s="138" t="str">
        <f t="shared" si="314"/>
        <v>Upgraded</v>
      </c>
      <c r="G4920" s="153"/>
      <c r="H4920" s="210">
        <v>-9.9599999999999994E-2</v>
      </c>
      <c r="I4920" s="160" t="s">
        <v>62</v>
      </c>
      <c r="J4920" s="160">
        <v>-0.39079000000000003</v>
      </c>
      <c r="K4920" s="160" t="s">
        <v>15</v>
      </c>
      <c r="L4920" s="154" t="str">
        <f>IF(OpenLCAbasic!K4920="CTUh", "Fill in Manually",IF(OR(K4920="Unit", K4920=""), "", INDEX(LookUps!$E$5:$E$12, MATCH(OpenLCAbasic!K4920,LookUps!$D$5:$D$12,0))))</f>
        <v>Cumulative Energy Demand (CED) - MJ</v>
      </c>
      <c r="M4920" s="154" t="str">
        <f t="shared" si="315"/>
        <v>Base_Medium_Base_Upgraded_Cumulative Energy Demand (CED) - MJ_Land application of compost; wastewater treatment unit; at updated plant - US_Without Amendment_Windrow</v>
      </c>
    </row>
    <row r="4921" spans="1:13" s="120" customFormat="1" x14ac:dyDescent="0.25">
      <c r="A4921" s="119"/>
      <c r="B4921" s="138" t="str">
        <f t="shared" si="313"/>
        <v>Windrow</v>
      </c>
      <c r="C4921" s="138" t="str">
        <f t="shared" si="312"/>
        <v>Without Amendment</v>
      </c>
      <c r="D4921" s="138" t="str">
        <f t="shared" si="317"/>
        <v>Medium_Base</v>
      </c>
      <c r="E4921" s="138" t="str">
        <f t="shared" si="318"/>
        <v>Base</v>
      </c>
      <c r="F4921" s="138" t="str">
        <f t="shared" si="314"/>
        <v>Upgraded</v>
      </c>
      <c r="G4921" s="153"/>
      <c r="H4921" s="210">
        <v>-2.1871999999999998</v>
      </c>
      <c r="I4921" s="160" t="s">
        <v>149</v>
      </c>
      <c r="J4921" s="160">
        <v>-8.5788899999999995</v>
      </c>
      <c r="K4921" s="160" t="s">
        <v>15</v>
      </c>
      <c r="L4921" s="154" t="str">
        <f>IF(OpenLCAbasic!K4921="CTUh", "Fill in Manually",IF(OR(K4921="Unit", K4921=""), "", INDEX(LookUps!$E$5:$E$12, MATCH(OpenLCAbasic!K4921,LookUps!$D$5:$D$12,0))))</f>
        <v>Cumulative Energy Demand (CED) - MJ</v>
      </c>
      <c r="M4921" s="154" t="str">
        <f t="shared" si="315"/>
        <v>Base_Medium_Base_Upgraded_Cumulative Energy Demand (CED) - MJ_Anaerobic Digestion; wastewater treatment unit; at updated plant - US_Without Amendment_Windrow</v>
      </c>
    </row>
    <row r="4922" spans="1:13" s="120" customFormat="1" x14ac:dyDescent="0.25">
      <c r="A4922" s="119"/>
      <c r="B4922" s="138" t="str">
        <f t="shared" si="313"/>
        <v/>
      </c>
      <c r="C4922" s="138" t="str">
        <f t="shared" si="312"/>
        <v/>
      </c>
      <c r="D4922" s="138" t="str">
        <f t="shared" si="317"/>
        <v/>
      </c>
      <c r="E4922" s="138" t="str">
        <f t="shared" si="318"/>
        <v/>
      </c>
      <c r="F4922" s="138" t="str">
        <f t="shared" si="314"/>
        <v/>
      </c>
      <c r="G4922" s="153" t="s">
        <v>51</v>
      </c>
      <c r="H4922" s="160"/>
      <c r="I4922" s="160" t="s">
        <v>47</v>
      </c>
      <c r="J4922" s="160" t="s">
        <v>52</v>
      </c>
      <c r="K4922" s="160" t="s">
        <v>27</v>
      </c>
      <c r="L4922" s="154" t="str">
        <f>IF(OpenLCAbasic!K4922="CTUh", "Fill in Manually",IF(OR(K4922="Unit", K4922=""), "", INDEX(LookUps!$E$5:$E$12, MATCH(OpenLCAbasic!K4922,LookUps!$D$5:$D$12,0))))</f>
        <v/>
      </c>
      <c r="M4922" s="154" t="str">
        <f t="shared" si="315"/>
        <v>____Process__</v>
      </c>
    </row>
    <row r="4923" spans="1:13" s="120" customFormat="1" x14ac:dyDescent="0.25">
      <c r="A4923" s="119"/>
      <c r="B4923" s="138" t="str">
        <f t="shared" si="313"/>
        <v>Windrow</v>
      </c>
      <c r="C4923" s="138" t="str">
        <f t="shared" si="312"/>
        <v>Without Amendment</v>
      </c>
      <c r="D4923" s="138" t="str">
        <f t="shared" si="317"/>
        <v>Medium_Base</v>
      </c>
      <c r="E4923" s="138" t="str">
        <f t="shared" si="318"/>
        <v>Base</v>
      </c>
      <c r="F4923" s="138" t="str">
        <f t="shared" si="314"/>
        <v>Upgraded</v>
      </c>
      <c r="G4923" s="153"/>
      <c r="H4923" s="210">
        <v>0.78710000000000002</v>
      </c>
      <c r="I4923" s="160" t="s">
        <v>48</v>
      </c>
      <c r="J4923" s="160">
        <v>1.1610000000000001E-2</v>
      </c>
      <c r="K4923" s="160" t="s">
        <v>13</v>
      </c>
      <c r="L4923" s="154" t="str">
        <f>IF(OpenLCAbasic!K4923="CTUh", "Fill in Manually",IF(OR(K4923="Unit", K4923=""), "", INDEX(LookUps!$E$5:$E$12, MATCH(OpenLCAbasic!K4923,LookUps!$D$5:$D$12,0))))</f>
        <v>Eutrophication Potential (EP) - kg N eq</v>
      </c>
      <c r="M4923" s="154" t="str">
        <f t="shared" si="315"/>
        <v>Base_Medium_Base_Upgraded_Eutrophication Potential (EP) - kg N eq_Effluent release; wastewater treatment unit; at surface water; m3 wastewater - US_Without Amendment_Windrow</v>
      </c>
    </row>
    <row r="4924" spans="1:13" s="120" customFormat="1" x14ac:dyDescent="0.25">
      <c r="A4924" s="119"/>
      <c r="B4924" s="138" t="str">
        <f t="shared" si="313"/>
        <v>Windrow</v>
      </c>
      <c r="C4924" s="138" t="str">
        <f t="shared" si="312"/>
        <v>Without Amendment</v>
      </c>
      <c r="D4924" s="138" t="str">
        <f t="shared" si="317"/>
        <v>Medium_Base</v>
      </c>
      <c r="E4924" s="138" t="str">
        <f t="shared" si="318"/>
        <v>Base</v>
      </c>
      <c r="F4924" s="138" t="str">
        <f t="shared" si="314"/>
        <v>Upgraded</v>
      </c>
      <c r="G4924" s="153"/>
      <c r="H4924" s="210">
        <v>0.1208</v>
      </c>
      <c r="I4924" s="160" t="s">
        <v>62</v>
      </c>
      <c r="J4924" s="160">
        <v>1.7799999999999999E-3</v>
      </c>
      <c r="K4924" s="160" t="s">
        <v>13</v>
      </c>
      <c r="L4924" s="154" t="str">
        <f>IF(OpenLCAbasic!K4924="CTUh", "Fill in Manually",IF(OR(K4924="Unit", K4924=""), "", INDEX(LookUps!$E$5:$E$12, MATCH(OpenLCAbasic!K4924,LookUps!$D$5:$D$12,0))))</f>
        <v>Eutrophication Potential (EP) - kg N eq</v>
      </c>
      <c r="M4924" s="154" t="str">
        <f t="shared" si="315"/>
        <v>Base_Medium_Base_Upgraded_Eutrophication Potential (EP) - kg N eq_Land application of compost; wastewater treatment unit; at updated plant - US_Without Amendment_Windrow</v>
      </c>
    </row>
    <row r="4925" spans="1:13" s="120" customFormat="1" x14ac:dyDescent="0.25">
      <c r="A4925" s="119"/>
      <c r="B4925" s="138" t="str">
        <f t="shared" si="313"/>
        <v>Windrow</v>
      </c>
      <c r="C4925" s="138" t="str">
        <f t="shared" si="312"/>
        <v>Without Amendment</v>
      </c>
      <c r="D4925" s="138" t="str">
        <f t="shared" si="317"/>
        <v>Medium_Base</v>
      </c>
      <c r="E4925" s="138" t="str">
        <f t="shared" si="318"/>
        <v>Base</v>
      </c>
      <c r="F4925" s="138" t="str">
        <f t="shared" si="314"/>
        <v>Upgraded</v>
      </c>
      <c r="G4925" s="153"/>
      <c r="H4925" s="210">
        <v>3.6999999999999998E-2</v>
      </c>
      <c r="I4925" s="160" t="s">
        <v>55</v>
      </c>
      <c r="J4925" s="160">
        <v>5.5000000000000003E-4</v>
      </c>
      <c r="K4925" s="160" t="s">
        <v>13</v>
      </c>
      <c r="L4925" s="154" t="str">
        <f>IF(OpenLCAbasic!K4925="CTUh", "Fill in Manually",IF(OR(K4925="Unit", K4925=""), "", INDEX(LookUps!$E$5:$E$12, MATCH(OpenLCAbasic!K4925,LookUps!$D$5:$D$12,0))))</f>
        <v>Eutrophication Potential (EP) - kg N eq</v>
      </c>
      <c r="M4925" s="154" t="str">
        <f t="shared" si="315"/>
        <v>Base_Medium_Base_Upgraded_Eutrophication Potential (EP) - kg N eq_Aeration Tanks; wastewater treatment unit; at updated plant - US_Without Amendment_Windrow</v>
      </c>
    </row>
    <row r="4926" spans="1:13" s="120" customFormat="1" x14ac:dyDescent="0.25">
      <c r="A4926" s="119"/>
      <c r="B4926" s="138" t="str">
        <f t="shared" si="313"/>
        <v>Windrow</v>
      </c>
      <c r="C4926" s="138" t="str">
        <f t="shared" si="312"/>
        <v>Without Amendment</v>
      </c>
      <c r="D4926" s="138" t="str">
        <f t="shared" si="317"/>
        <v>Medium_Base</v>
      </c>
      <c r="E4926" s="138" t="str">
        <f t="shared" si="318"/>
        <v>Base</v>
      </c>
      <c r="F4926" s="138" t="str">
        <f t="shared" si="314"/>
        <v>Upgraded</v>
      </c>
      <c r="G4926" s="153"/>
      <c r="H4926" s="210">
        <v>2.18E-2</v>
      </c>
      <c r="I4926" s="160" t="s">
        <v>271</v>
      </c>
      <c r="J4926" s="160">
        <v>3.2000000000000003E-4</v>
      </c>
      <c r="K4926" s="160" t="s">
        <v>13</v>
      </c>
      <c r="L4926" s="154" t="str">
        <f>IF(OpenLCAbasic!K4926="CTUh", "Fill in Manually",IF(OR(K4926="Unit", K4926=""), "", INDEX(LookUps!$E$5:$E$12, MATCH(OpenLCAbasic!K4926,LookUps!$D$5:$D$12,0))))</f>
        <v>Eutrophication Potential (EP) - kg N eq</v>
      </c>
      <c r="M4926" s="154" t="str">
        <f t="shared" si="315"/>
        <v>Base_Medium_Base_Upgraded_Eutrophication Potential (EP) - kg N eq_Biosolids composting; windrow composting; wastewater treatment unit; at updated plant - US_Without Amendment_Windrow</v>
      </c>
    </row>
    <row r="4927" spans="1:13" s="120" customFormat="1" x14ac:dyDescent="0.25">
      <c r="A4927" s="119"/>
      <c r="B4927" s="138" t="str">
        <f t="shared" si="313"/>
        <v>Windrow</v>
      </c>
      <c r="C4927" s="138" t="str">
        <f t="shared" si="312"/>
        <v>Without Amendment</v>
      </c>
      <c r="D4927" s="138" t="str">
        <f t="shared" si="317"/>
        <v>Medium_Base</v>
      </c>
      <c r="E4927" s="138" t="str">
        <f t="shared" si="318"/>
        <v>Base</v>
      </c>
      <c r="F4927" s="138" t="str">
        <f t="shared" si="314"/>
        <v>Upgraded</v>
      </c>
      <c r="G4927" s="153"/>
      <c r="H4927" s="210">
        <v>1.6899999999999998E-2</v>
      </c>
      <c r="I4927" s="160" t="s">
        <v>147</v>
      </c>
      <c r="J4927" s="160">
        <v>2.5000000000000001E-4</v>
      </c>
      <c r="K4927" s="160" t="s">
        <v>13</v>
      </c>
      <c r="L4927" s="154" t="str">
        <f>IF(OpenLCAbasic!K4927="CTUh", "Fill in Manually",IF(OR(K4927="Unit", K4927=""), "", INDEX(LookUps!$E$5:$E$12, MATCH(OpenLCAbasic!K4927,LookUps!$D$5:$D$12,0))))</f>
        <v>Eutrophication Potential (EP) - kg N eq</v>
      </c>
      <c r="M4927" s="154" t="str">
        <f t="shared" si="315"/>
        <v>Base_Medium_Base_Upgraded_Eutrophication Potential (EP) - kg N eq_Influent Pump Station; wastewater treatment unit; at updated plant - US_Without Amendment_Windrow</v>
      </c>
    </row>
    <row r="4928" spans="1:13" s="120" customFormat="1" x14ac:dyDescent="0.25">
      <c r="A4928" s="119"/>
      <c r="B4928" s="138" t="str">
        <f t="shared" si="313"/>
        <v>Windrow</v>
      </c>
      <c r="C4928" s="138" t="str">
        <f t="shared" si="312"/>
        <v>Without Amendment</v>
      </c>
      <c r="D4928" s="138" t="str">
        <f t="shared" si="317"/>
        <v>Medium_Base</v>
      </c>
      <c r="E4928" s="138" t="str">
        <f t="shared" si="318"/>
        <v>Base</v>
      </c>
      <c r="F4928" s="138" t="str">
        <f t="shared" si="314"/>
        <v>Upgraded</v>
      </c>
      <c r="G4928" s="153"/>
      <c r="H4928" s="210">
        <v>1.34E-2</v>
      </c>
      <c r="I4928" s="160" t="s">
        <v>54</v>
      </c>
      <c r="J4928" s="160">
        <v>2.0000000000000001E-4</v>
      </c>
      <c r="K4928" s="160" t="s">
        <v>13</v>
      </c>
      <c r="L4928" s="154" t="str">
        <f>IF(OpenLCAbasic!K4928="CTUh", "Fill in Manually",IF(OR(K4928="Unit", K4928=""), "", INDEX(LookUps!$E$5:$E$12, MATCH(OpenLCAbasic!K4928,LookUps!$D$5:$D$12,0))))</f>
        <v>Eutrophication Potential (EP) - kg N eq</v>
      </c>
      <c r="M4928" s="154" t="str">
        <f t="shared" si="315"/>
        <v>Base_Medium_Base_Upgraded_Eutrophication Potential (EP) - kg N eq_Clear Cove Primary Clarification; wastewater treatment unit; at updated plant - US_Without Amendment_Windrow</v>
      </c>
    </row>
    <row r="4929" spans="1:13" s="120" customFormat="1" x14ac:dyDescent="0.25">
      <c r="A4929" s="119"/>
      <c r="B4929" s="138" t="str">
        <f t="shared" si="313"/>
        <v>Windrow</v>
      </c>
      <c r="C4929" s="138" t="str">
        <f t="shared" ref="C4929:C4992" si="319">IF(ISNUMBER($J4929),"Without Amendment","")</f>
        <v>Without Amendment</v>
      </c>
      <c r="D4929" s="138" t="str">
        <f t="shared" si="317"/>
        <v>Medium_Base</v>
      </c>
      <c r="E4929" s="138" t="str">
        <f t="shared" si="318"/>
        <v>Base</v>
      </c>
      <c r="F4929" s="138" t="str">
        <f t="shared" si="314"/>
        <v>Upgraded</v>
      </c>
      <c r="G4929" s="153"/>
      <c r="H4929" s="210">
        <v>1.29E-2</v>
      </c>
      <c r="I4929" s="160" t="s">
        <v>167</v>
      </c>
      <c r="J4929" s="160">
        <v>1.9000000000000001E-4</v>
      </c>
      <c r="K4929" s="160" t="s">
        <v>13</v>
      </c>
      <c r="L4929" s="154" t="str">
        <f>IF(OpenLCAbasic!K4929="CTUh", "Fill in Manually",IF(OR(K4929="Unit", K4929=""), "", INDEX(LookUps!$E$5:$E$12, MATCH(OpenLCAbasic!K4929,LookUps!$D$5:$D$12,0))))</f>
        <v>Eutrophication Potential (EP) - kg N eq</v>
      </c>
      <c r="M4929" s="154" t="str">
        <f t="shared" si="315"/>
        <v>Base_Medium_Base_Upgraded_Eutrophication Potential (EP) - kg N eq_Waste Receiving and Holding; wastewater treatment unit; at updated plant - US_Without Amendment_Windrow</v>
      </c>
    </row>
    <row r="4930" spans="1:13" s="120" customFormat="1" x14ac:dyDescent="0.25">
      <c r="A4930" s="119"/>
      <c r="B4930" s="138" t="str">
        <f t="shared" si="313"/>
        <v>Windrow</v>
      </c>
      <c r="C4930" s="138" t="str">
        <f t="shared" si="319"/>
        <v>Without Amendment</v>
      </c>
      <c r="D4930" s="138" t="str">
        <f t="shared" si="317"/>
        <v>Medium_Base</v>
      </c>
      <c r="E4930" s="138" t="str">
        <f t="shared" si="318"/>
        <v>Base</v>
      </c>
      <c r="F4930" s="138" t="str">
        <f t="shared" si="314"/>
        <v>Upgraded</v>
      </c>
      <c r="G4930" s="153"/>
      <c r="H4930" s="210">
        <v>9.1999999999999998E-3</v>
      </c>
      <c r="I4930" s="160" t="s">
        <v>58</v>
      </c>
      <c r="J4930" s="160">
        <v>1.3999999999999999E-4</v>
      </c>
      <c r="K4930" s="160" t="s">
        <v>13</v>
      </c>
      <c r="L4930" s="154" t="str">
        <f>IF(OpenLCAbasic!K4930="CTUh", "Fill in Manually",IF(OR(K4930="Unit", K4930=""), "", INDEX(LookUps!$E$5:$E$12, MATCH(OpenLCAbasic!K4930,LookUps!$D$5:$D$12,0))))</f>
        <v>Eutrophication Potential (EP) - kg N eq</v>
      </c>
      <c r="M4930" s="154" t="str">
        <f t="shared" si="315"/>
        <v>Base_Medium_Base_Upgraded_Eutrophication Potential (EP) - kg N eq_Pre-Anoxic &amp; Swing tank; wastewater treatment unit; at updated plant - US_Without Amendment_Windrow</v>
      </c>
    </row>
    <row r="4931" spans="1:13" s="120" customFormat="1" x14ac:dyDescent="0.25">
      <c r="A4931" s="119"/>
      <c r="B4931" s="138" t="str">
        <f t="shared" si="313"/>
        <v>Windrow</v>
      </c>
      <c r="C4931" s="138" t="str">
        <f t="shared" si="319"/>
        <v>Without Amendment</v>
      </c>
      <c r="D4931" s="138" t="str">
        <f t="shared" si="317"/>
        <v>Medium_Base</v>
      </c>
      <c r="E4931" s="138" t="str">
        <f t="shared" si="318"/>
        <v>Base</v>
      </c>
      <c r="F4931" s="138" t="str">
        <f t="shared" si="314"/>
        <v>Upgraded</v>
      </c>
      <c r="G4931" s="153"/>
      <c r="H4931" s="210">
        <v>7.3000000000000001E-3</v>
      </c>
      <c r="I4931" s="160" t="s">
        <v>53</v>
      </c>
      <c r="J4931" s="160">
        <v>1.1E-4</v>
      </c>
      <c r="K4931" s="160" t="s">
        <v>13</v>
      </c>
      <c r="L4931" s="154" t="str">
        <f>IF(OpenLCAbasic!K4931="CTUh", "Fill in Manually",IF(OR(K4931="Unit", K4931=""), "", INDEX(LookUps!$E$5:$E$12, MATCH(OpenLCAbasic!K4931,LookUps!$D$5:$D$12,0))))</f>
        <v>Eutrophication Potential (EP) - kg N eq</v>
      </c>
      <c r="M4931" s="154" t="str">
        <f t="shared" si="315"/>
        <v>Base_Medium_Base_Upgraded_Eutrophication Potential (EP) - kg N eq_Wet Well and Sump Station; wastewater treatment unit; at updated plant - US_Without Amendment_Windrow</v>
      </c>
    </row>
    <row r="4932" spans="1:13" s="120" customFormat="1" x14ac:dyDescent="0.25">
      <c r="A4932" s="119"/>
      <c r="B4932" s="138" t="str">
        <f t="shared" ref="B4932:B4995" si="320">IF(F4932="Legacy","n.a.",IF(F4932="","","Windrow"))</f>
        <v>Windrow</v>
      </c>
      <c r="C4932" s="138" t="str">
        <f t="shared" si="319"/>
        <v>Without Amendment</v>
      </c>
      <c r="D4932" s="138" t="str">
        <f t="shared" si="317"/>
        <v>Medium_Base</v>
      </c>
      <c r="E4932" s="138" t="str">
        <f t="shared" si="318"/>
        <v>Base</v>
      </c>
      <c r="F4932" s="138" t="str">
        <f t="shared" ref="F4932:F4995" si="321">IF(ISNUMBER(J4932),"Upgraded","")</f>
        <v>Upgraded</v>
      </c>
      <c r="G4932" s="153"/>
      <c r="H4932" s="210">
        <v>4.7000000000000002E-3</v>
      </c>
      <c r="I4932" s="160" t="s">
        <v>60</v>
      </c>
      <c r="J4932" s="211">
        <v>6.9922100000000006E-5</v>
      </c>
      <c r="K4932" s="160" t="s">
        <v>13</v>
      </c>
      <c r="L4932" s="154" t="str">
        <f>IF(OpenLCAbasic!K4932="CTUh", "Fill in Manually",IF(OR(K4932="Unit", K4932=""), "", INDEX(LookUps!$E$5:$E$12, MATCH(OpenLCAbasic!K4932,LookUps!$D$5:$D$12,0))))</f>
        <v>Eutrophication Potential (EP) - kg N eq</v>
      </c>
      <c r="M4932" s="154" t="str">
        <f t="shared" si="315"/>
        <v>Base_Medium_Base_Upgraded_Eutrophication Potential (EP) - kg N eq_Belt filter press; wastewater treatment unit; at updated plant - US_Without Amendment_Windrow</v>
      </c>
    </row>
    <row r="4933" spans="1:13" s="120" customFormat="1" x14ac:dyDescent="0.25">
      <c r="A4933" s="119"/>
      <c r="B4933" s="138" t="str">
        <f t="shared" si="320"/>
        <v>Windrow</v>
      </c>
      <c r="C4933" s="138" t="str">
        <f t="shared" si="319"/>
        <v>Without Amendment</v>
      </c>
      <c r="D4933" s="138" t="str">
        <f t="shared" si="317"/>
        <v>Medium_Base</v>
      </c>
      <c r="E4933" s="138" t="str">
        <f t="shared" si="318"/>
        <v>Base</v>
      </c>
      <c r="F4933" s="138" t="str">
        <f t="shared" si="321"/>
        <v>Upgraded</v>
      </c>
      <c r="G4933" s="153"/>
      <c r="H4933" s="210">
        <v>4.1000000000000003E-3</v>
      </c>
      <c r="I4933" s="160" t="s">
        <v>57</v>
      </c>
      <c r="J4933" s="211">
        <v>6.0590300000000002E-5</v>
      </c>
      <c r="K4933" s="160" t="s">
        <v>13</v>
      </c>
      <c r="L4933" s="154" t="str">
        <f>IF(OpenLCAbasic!K4933="CTUh", "Fill in Manually",IF(OR(K4933="Unit", K4933=""), "", INDEX(LookUps!$E$5:$E$12, MATCH(OpenLCAbasic!K4933,LookUps!$D$5:$D$12,0))))</f>
        <v>Eutrophication Potential (EP) - kg N eq</v>
      </c>
      <c r="M4933" s="154" t="str">
        <f t="shared" si="315"/>
        <v>Base_Medium_Base_Upgraded_Eutrophication Potential (EP) - kg N eq_Gravity Belt Thickener; wastewater treatment unit; at updated plant - US_Without Amendment_Windrow</v>
      </c>
    </row>
    <row r="4934" spans="1:13" s="120" customFormat="1" x14ac:dyDescent="0.25">
      <c r="A4934" s="119"/>
      <c r="B4934" s="138" t="str">
        <f t="shared" si="320"/>
        <v>Windrow</v>
      </c>
      <c r="C4934" s="138" t="str">
        <f t="shared" si="319"/>
        <v>Without Amendment</v>
      </c>
      <c r="D4934" s="138" t="str">
        <f t="shared" si="317"/>
        <v>Medium_Base</v>
      </c>
      <c r="E4934" s="138" t="str">
        <f t="shared" si="318"/>
        <v>Base</v>
      </c>
      <c r="F4934" s="138" t="str">
        <f t="shared" si="321"/>
        <v>Upgraded</v>
      </c>
      <c r="G4934" s="153"/>
      <c r="H4934" s="210">
        <v>2.5000000000000001E-3</v>
      </c>
      <c r="I4934" s="160" t="s">
        <v>128</v>
      </c>
      <c r="J4934" s="211">
        <v>3.7559799999999999E-5</v>
      </c>
      <c r="K4934" s="160" t="s">
        <v>13</v>
      </c>
      <c r="L4934" s="154" t="str">
        <f>IF(OpenLCAbasic!K4934="CTUh", "Fill in Manually",IF(OR(K4934="Unit", K4934=""), "", INDEX(LookUps!$E$5:$E$12, MATCH(OpenLCAbasic!K4934,LookUps!$D$5:$D$12,0))))</f>
        <v>Eutrophication Potential (EP) - kg N eq</v>
      </c>
      <c r="M4934" s="154" t="str">
        <f t="shared" si="315"/>
        <v>Base_Medium_Base_Upgraded_Eutrophication Potential (EP) - kg N eq_Wastewater collection; operation and infrastructure; m3 wastewater_Without Amendment_Windrow</v>
      </c>
    </row>
    <row r="4935" spans="1:13" s="120" customFormat="1" x14ac:dyDescent="0.25">
      <c r="A4935" s="119"/>
      <c r="B4935" s="138" t="str">
        <f t="shared" si="320"/>
        <v>Windrow</v>
      </c>
      <c r="C4935" s="138" t="str">
        <f t="shared" si="319"/>
        <v>Without Amendment</v>
      </c>
      <c r="D4935" s="138" t="str">
        <f t="shared" si="317"/>
        <v>Medium_Base</v>
      </c>
      <c r="E4935" s="138" t="str">
        <f t="shared" si="318"/>
        <v>Base</v>
      </c>
      <c r="F4935" s="138" t="str">
        <f t="shared" si="321"/>
        <v>Upgraded</v>
      </c>
      <c r="G4935" s="153"/>
      <c r="H4935" s="210">
        <v>2.5000000000000001E-3</v>
      </c>
      <c r="I4935" s="160" t="s">
        <v>148</v>
      </c>
      <c r="J4935" s="211">
        <v>3.6874600000000001E-5</v>
      </c>
      <c r="K4935" s="160" t="s">
        <v>13</v>
      </c>
      <c r="L4935" s="154" t="str">
        <f>IF(OpenLCAbasic!K4935="CTUh", "Fill in Manually",IF(OR(K4935="Unit", K4935=""), "", INDEX(LookUps!$E$5:$E$12, MATCH(OpenLCAbasic!K4935,LookUps!$D$5:$D$12,0))))</f>
        <v>Eutrophication Potential (EP) - kg N eq</v>
      </c>
      <c r="M4935" s="154" t="str">
        <f t="shared" ref="M4935:M4998" si="322">CONCATENATE(E4935,"_",D4935,"_",F4935,"_",L4935, "_",I4935,"_", C4935,"_", B4935)</f>
        <v>Base_Medium_Base_Upgraded_Eutrophication Potential (EP) - kg N eq_Control Building; at upgraded wastewater treatment plant - US_Without Amendment_Windrow</v>
      </c>
    </row>
    <row r="4936" spans="1:13" s="120" customFormat="1" x14ac:dyDescent="0.25">
      <c r="A4936" s="119"/>
      <c r="B4936" s="138" t="str">
        <f t="shared" si="320"/>
        <v>Windrow</v>
      </c>
      <c r="C4936" s="138" t="str">
        <f t="shared" si="319"/>
        <v>Without Amendment</v>
      </c>
      <c r="D4936" s="138" t="str">
        <f t="shared" si="317"/>
        <v>Medium_Base</v>
      </c>
      <c r="E4936" s="138" t="str">
        <f t="shared" si="318"/>
        <v>Base</v>
      </c>
      <c r="F4936" s="138" t="str">
        <f t="shared" si="321"/>
        <v>Upgraded</v>
      </c>
      <c r="G4936" s="153"/>
      <c r="H4936" s="210">
        <v>1.1000000000000001E-3</v>
      </c>
      <c r="I4936" s="160" t="s">
        <v>59</v>
      </c>
      <c r="J4936" s="211">
        <v>1.6215700000000001E-5</v>
      </c>
      <c r="K4936" s="160" t="s">
        <v>13</v>
      </c>
      <c r="L4936" s="154" t="str">
        <f>IF(OpenLCAbasic!K4936="CTUh", "Fill in Manually",IF(OR(K4936="Unit", K4936=""), "", INDEX(LookUps!$E$5:$E$12, MATCH(OpenLCAbasic!K4936,LookUps!$D$5:$D$12,0))))</f>
        <v>Eutrophication Potential (EP) - kg N eq</v>
      </c>
      <c r="M4936" s="154" t="str">
        <f t="shared" si="322"/>
        <v>Base_Medium_Base_Upgraded_Eutrophication Potential (EP) - kg N eq_Blend Tank; wastewater treatment unit; at updated plant - US_Without Amendment_Windrow</v>
      </c>
    </row>
    <row r="4937" spans="1:13" s="120" customFormat="1" x14ac:dyDescent="0.25">
      <c r="A4937" s="119"/>
      <c r="B4937" s="138" t="str">
        <f t="shared" si="320"/>
        <v>Windrow</v>
      </c>
      <c r="C4937" s="138" t="str">
        <f t="shared" si="319"/>
        <v>Without Amendment</v>
      </c>
      <c r="D4937" s="138" t="str">
        <f t="shared" si="317"/>
        <v>Medium_Base</v>
      </c>
      <c r="E4937" s="138" t="str">
        <f t="shared" si="318"/>
        <v>Base</v>
      </c>
      <c r="F4937" s="138" t="str">
        <f t="shared" si="321"/>
        <v>Upgraded</v>
      </c>
      <c r="G4937" s="153"/>
      <c r="H4937" s="210">
        <v>5.0000000000000001E-4</v>
      </c>
      <c r="I4937" s="160" t="s">
        <v>168</v>
      </c>
      <c r="J4937" s="211">
        <v>7.7567199999999995E-6</v>
      </c>
      <c r="K4937" s="160" t="s">
        <v>13</v>
      </c>
      <c r="L4937" s="154" t="str">
        <f>IF(OpenLCAbasic!K4937="CTUh", "Fill in Manually",IF(OR(K4937="Unit", K4937=""), "", INDEX(LookUps!$E$5:$E$12, MATCH(OpenLCAbasic!K4937,LookUps!$D$5:$D$12,0))))</f>
        <v>Eutrophication Potential (EP) - kg N eq</v>
      </c>
      <c r="M4937" s="154" t="str">
        <f t="shared" si="322"/>
        <v>Base_Medium_Base_Upgraded_Eutrophication Potential (EP) - kg N eq_ClearCove SCP; wastewater treatment unit; at updated plant - US_Without Amendment_Windrow</v>
      </c>
    </row>
    <row r="4938" spans="1:13" s="120" customFormat="1" x14ac:dyDescent="0.25">
      <c r="A4938" s="119"/>
      <c r="B4938" s="138" t="str">
        <f t="shared" si="320"/>
        <v>Windrow</v>
      </c>
      <c r="C4938" s="138" t="str">
        <f t="shared" si="319"/>
        <v>Without Amendment</v>
      </c>
      <c r="D4938" s="138" t="str">
        <f t="shared" si="317"/>
        <v>Medium_Base</v>
      </c>
      <c r="E4938" s="138" t="str">
        <f t="shared" si="318"/>
        <v>Base</v>
      </c>
      <c r="F4938" s="138" t="str">
        <f t="shared" si="321"/>
        <v>Upgraded</v>
      </c>
      <c r="G4938" s="153"/>
      <c r="H4938" s="210">
        <v>-4.2000000000000003E-2</v>
      </c>
      <c r="I4938" s="160" t="s">
        <v>149</v>
      </c>
      <c r="J4938" s="160">
        <v>-6.2E-4</v>
      </c>
      <c r="K4938" s="160" t="s">
        <v>13</v>
      </c>
      <c r="L4938" s="154" t="str">
        <f>IF(OpenLCAbasic!K4938="CTUh", "Fill in Manually",IF(OR(K4938="Unit", K4938=""), "", INDEX(LookUps!$E$5:$E$12, MATCH(OpenLCAbasic!K4938,LookUps!$D$5:$D$12,0))))</f>
        <v>Eutrophication Potential (EP) - kg N eq</v>
      </c>
      <c r="M4938" s="154" t="str">
        <f t="shared" si="322"/>
        <v>Base_Medium_Base_Upgraded_Eutrophication Potential (EP) - kg N eq_Anaerobic Digestion; wastewater treatment unit; at updated plant - US_Without Amendment_Windrow</v>
      </c>
    </row>
    <row r="4939" spans="1:13" s="120" customFormat="1" x14ac:dyDescent="0.25">
      <c r="A4939" s="119"/>
      <c r="B4939" s="138" t="str">
        <f t="shared" si="320"/>
        <v/>
      </c>
      <c r="C4939" s="138" t="str">
        <f t="shared" si="319"/>
        <v/>
      </c>
      <c r="D4939" s="138" t="str">
        <f t="shared" si="317"/>
        <v/>
      </c>
      <c r="E4939" s="138" t="str">
        <f t="shared" si="318"/>
        <v/>
      </c>
      <c r="F4939" s="138" t="str">
        <f t="shared" si="321"/>
        <v/>
      </c>
      <c r="G4939" s="153" t="s">
        <v>51</v>
      </c>
      <c r="H4939" s="160"/>
      <c r="I4939" s="160" t="s">
        <v>47</v>
      </c>
      <c r="J4939" s="160" t="s">
        <v>52</v>
      </c>
      <c r="K4939" s="160" t="s">
        <v>27</v>
      </c>
      <c r="L4939" s="154" t="str">
        <f>IF(OpenLCAbasic!K4939="CTUh", "Fill in Manually",IF(OR(K4939="Unit", K4939=""), "", INDEX(LookUps!$E$5:$E$12, MATCH(OpenLCAbasic!K4939,LookUps!$D$5:$D$12,0))))</f>
        <v/>
      </c>
      <c r="M4939" s="154" t="str">
        <f t="shared" si="322"/>
        <v>____Process__</v>
      </c>
    </row>
    <row r="4940" spans="1:13" s="120" customFormat="1" x14ac:dyDescent="0.25">
      <c r="A4940" s="119"/>
      <c r="B4940" s="138" t="str">
        <f t="shared" si="320"/>
        <v>Windrow</v>
      </c>
      <c r="C4940" s="138" t="str">
        <f t="shared" si="319"/>
        <v>Without Amendment</v>
      </c>
      <c r="D4940" s="138" t="str">
        <f t="shared" si="317"/>
        <v>Medium_Base</v>
      </c>
      <c r="E4940" s="138" t="str">
        <f t="shared" si="318"/>
        <v>Base</v>
      </c>
      <c r="F4940" s="138" t="str">
        <f t="shared" si="321"/>
        <v>Upgraded</v>
      </c>
      <c r="G4940" s="153"/>
      <c r="H4940" s="210">
        <v>1.4516</v>
      </c>
      <c r="I4940" s="160" t="s">
        <v>167</v>
      </c>
      <c r="J4940" s="160">
        <v>9.7259999999999999E-2</v>
      </c>
      <c r="K4940" s="160" t="s">
        <v>14</v>
      </c>
      <c r="L4940" s="154" t="str">
        <f>IF(OpenLCAbasic!K4940="CTUh", "Fill in Manually",IF(OR(K4940="Unit", K4940=""), "", INDEX(LookUps!$E$5:$E$12, MATCH(OpenLCAbasic!K4940,LookUps!$D$5:$D$12,0))))</f>
        <v>Fossil Depletion Potential (FDP) - kg oil eq</v>
      </c>
      <c r="M4940" s="154" t="str">
        <f t="shared" si="322"/>
        <v>Base_Medium_Base_Upgraded_Fossil Depletion Potential (FDP) - kg oil eq_Waste Receiving and Holding; wastewater treatment unit; at updated plant - US_Without Amendment_Windrow</v>
      </c>
    </row>
    <row r="4941" spans="1:13" s="120" customFormat="1" x14ac:dyDescent="0.25">
      <c r="A4941" s="119"/>
      <c r="B4941" s="138" t="str">
        <f t="shared" si="320"/>
        <v>Windrow</v>
      </c>
      <c r="C4941" s="138" t="str">
        <f t="shared" si="319"/>
        <v>Without Amendment</v>
      </c>
      <c r="D4941" s="138" t="str">
        <f t="shared" si="317"/>
        <v>Medium_Base</v>
      </c>
      <c r="E4941" s="138" t="str">
        <f t="shared" si="318"/>
        <v>Base</v>
      </c>
      <c r="F4941" s="138" t="str">
        <f t="shared" si="321"/>
        <v>Upgraded</v>
      </c>
      <c r="G4941" s="153"/>
      <c r="H4941" s="210">
        <v>0.94920000000000004</v>
      </c>
      <c r="I4941" s="160" t="s">
        <v>55</v>
      </c>
      <c r="J4941" s="160">
        <v>6.3589999999999994E-2</v>
      </c>
      <c r="K4941" s="160" t="s">
        <v>14</v>
      </c>
      <c r="L4941" s="154" t="str">
        <f>IF(OpenLCAbasic!K4941="CTUh", "Fill in Manually",IF(OR(K4941="Unit", K4941=""), "", INDEX(LookUps!$E$5:$E$12, MATCH(OpenLCAbasic!K4941,LookUps!$D$5:$D$12,0))))</f>
        <v>Fossil Depletion Potential (FDP) - kg oil eq</v>
      </c>
      <c r="M4941" s="154" t="str">
        <f t="shared" si="322"/>
        <v>Base_Medium_Base_Upgraded_Fossil Depletion Potential (FDP) - kg oil eq_Aeration Tanks; wastewater treatment unit; at updated plant - US_Without Amendment_Windrow</v>
      </c>
    </row>
    <row r="4942" spans="1:13" s="120" customFormat="1" x14ac:dyDescent="0.25">
      <c r="A4942" s="119"/>
      <c r="B4942" s="138" t="str">
        <f t="shared" si="320"/>
        <v>Windrow</v>
      </c>
      <c r="C4942" s="138" t="str">
        <f t="shared" si="319"/>
        <v>Without Amendment</v>
      </c>
      <c r="D4942" s="138" t="str">
        <f t="shared" si="317"/>
        <v>Medium_Base</v>
      </c>
      <c r="E4942" s="138" t="str">
        <f t="shared" si="318"/>
        <v>Base</v>
      </c>
      <c r="F4942" s="138" t="str">
        <f t="shared" si="321"/>
        <v>Upgraded</v>
      </c>
      <c r="G4942" s="153"/>
      <c r="H4942" s="210">
        <v>0.31419999999999998</v>
      </c>
      <c r="I4942" s="160" t="s">
        <v>54</v>
      </c>
      <c r="J4942" s="160">
        <v>2.1049999999999999E-2</v>
      </c>
      <c r="K4942" s="160" t="s">
        <v>14</v>
      </c>
      <c r="L4942" s="154" t="str">
        <f>IF(OpenLCAbasic!K4942="CTUh", "Fill in Manually",IF(OR(K4942="Unit", K4942=""), "", INDEX(LookUps!$E$5:$E$12, MATCH(OpenLCAbasic!K4942,LookUps!$D$5:$D$12,0))))</f>
        <v>Fossil Depletion Potential (FDP) - kg oil eq</v>
      </c>
      <c r="M4942" s="154" t="str">
        <f t="shared" si="322"/>
        <v>Base_Medium_Base_Upgraded_Fossil Depletion Potential (FDP) - kg oil eq_Clear Cove Primary Clarification; wastewater treatment unit; at updated plant - US_Without Amendment_Windrow</v>
      </c>
    </row>
    <row r="4943" spans="1:13" s="120" customFormat="1" x14ac:dyDescent="0.25">
      <c r="A4943" s="119"/>
      <c r="B4943" s="138" t="str">
        <f t="shared" si="320"/>
        <v>Windrow</v>
      </c>
      <c r="C4943" s="138" t="str">
        <f t="shared" si="319"/>
        <v>Without Amendment</v>
      </c>
      <c r="D4943" s="138" t="str">
        <f t="shared" si="317"/>
        <v>Medium_Base</v>
      </c>
      <c r="E4943" s="138" t="str">
        <f t="shared" si="318"/>
        <v>Base</v>
      </c>
      <c r="F4943" s="138" t="str">
        <f t="shared" si="321"/>
        <v>Upgraded</v>
      </c>
      <c r="G4943" s="153"/>
      <c r="H4943" s="210">
        <v>0.23849999999999999</v>
      </c>
      <c r="I4943" s="160" t="s">
        <v>58</v>
      </c>
      <c r="J4943" s="160">
        <v>1.5980000000000001E-2</v>
      </c>
      <c r="K4943" s="160" t="s">
        <v>14</v>
      </c>
      <c r="L4943" s="154" t="str">
        <f>IF(OpenLCAbasic!K4943="CTUh", "Fill in Manually",IF(OR(K4943="Unit", K4943=""), "", INDEX(LookUps!$E$5:$E$12, MATCH(OpenLCAbasic!K4943,LookUps!$D$5:$D$12,0))))</f>
        <v>Fossil Depletion Potential (FDP) - kg oil eq</v>
      </c>
      <c r="M4943" s="154" t="str">
        <f t="shared" si="322"/>
        <v>Base_Medium_Base_Upgraded_Fossil Depletion Potential (FDP) - kg oil eq_Pre-Anoxic &amp; Swing tank; wastewater treatment unit; at updated plant - US_Without Amendment_Windrow</v>
      </c>
    </row>
    <row r="4944" spans="1:13" s="120" customFormat="1" x14ac:dyDescent="0.25">
      <c r="A4944" s="119"/>
      <c r="B4944" s="138" t="str">
        <f t="shared" si="320"/>
        <v>Windrow</v>
      </c>
      <c r="C4944" s="138" t="str">
        <f t="shared" si="319"/>
        <v>Without Amendment</v>
      </c>
      <c r="D4944" s="138" t="str">
        <f t="shared" si="317"/>
        <v>Medium_Base</v>
      </c>
      <c r="E4944" s="138" t="str">
        <f t="shared" si="318"/>
        <v>Base</v>
      </c>
      <c r="F4944" s="138" t="str">
        <f t="shared" si="321"/>
        <v>Upgraded</v>
      </c>
      <c r="G4944" s="153"/>
      <c r="H4944" s="210">
        <v>0.22520000000000001</v>
      </c>
      <c r="I4944" s="160" t="s">
        <v>147</v>
      </c>
      <c r="J4944" s="160">
        <v>1.5089999999999999E-2</v>
      </c>
      <c r="K4944" s="160" t="s">
        <v>14</v>
      </c>
      <c r="L4944" s="154" t="str">
        <f>IF(OpenLCAbasic!K4944="CTUh", "Fill in Manually",IF(OR(K4944="Unit", K4944=""), "", INDEX(LookUps!$E$5:$E$12, MATCH(OpenLCAbasic!K4944,LookUps!$D$5:$D$12,0))))</f>
        <v>Fossil Depletion Potential (FDP) - kg oil eq</v>
      </c>
      <c r="M4944" s="154" t="str">
        <f t="shared" si="322"/>
        <v>Base_Medium_Base_Upgraded_Fossil Depletion Potential (FDP) - kg oil eq_Influent Pump Station; wastewater treatment unit; at updated plant - US_Without Amendment_Windrow</v>
      </c>
    </row>
    <row r="4945" spans="1:13" s="120" customFormat="1" x14ac:dyDescent="0.25">
      <c r="A4945" s="119"/>
      <c r="B4945" s="138" t="str">
        <f t="shared" si="320"/>
        <v>Windrow</v>
      </c>
      <c r="C4945" s="138" t="str">
        <f t="shared" si="319"/>
        <v>Without Amendment</v>
      </c>
      <c r="D4945" s="138" t="str">
        <f t="shared" si="317"/>
        <v>Medium_Base</v>
      </c>
      <c r="E4945" s="138" t="str">
        <f t="shared" si="318"/>
        <v>Base</v>
      </c>
      <c r="F4945" s="138" t="str">
        <f t="shared" si="321"/>
        <v>Upgraded</v>
      </c>
      <c r="G4945" s="153"/>
      <c r="H4945" s="210">
        <v>0.18640000000000001</v>
      </c>
      <c r="I4945" s="160" t="s">
        <v>53</v>
      </c>
      <c r="J4945" s="160">
        <v>1.2489999999999999E-2</v>
      </c>
      <c r="K4945" s="160" t="s">
        <v>14</v>
      </c>
      <c r="L4945" s="154" t="str">
        <f>IF(OpenLCAbasic!K4945="CTUh", "Fill in Manually",IF(OR(K4945="Unit", K4945=""), "", INDEX(LookUps!$E$5:$E$12, MATCH(OpenLCAbasic!K4945,LookUps!$D$5:$D$12,0))))</f>
        <v>Fossil Depletion Potential (FDP) - kg oil eq</v>
      </c>
      <c r="M4945" s="154" t="str">
        <f t="shared" si="322"/>
        <v>Base_Medium_Base_Upgraded_Fossil Depletion Potential (FDP) - kg oil eq_Wet Well and Sump Station; wastewater treatment unit; at updated plant - US_Without Amendment_Windrow</v>
      </c>
    </row>
    <row r="4946" spans="1:13" s="120" customFormat="1" x14ac:dyDescent="0.25">
      <c r="A4946" s="119"/>
      <c r="B4946" s="138" t="str">
        <f t="shared" si="320"/>
        <v>Windrow</v>
      </c>
      <c r="C4946" s="138" t="str">
        <f t="shared" si="319"/>
        <v>Without Amendment</v>
      </c>
      <c r="D4946" s="138" t="str">
        <f t="shared" si="317"/>
        <v>Medium_Base</v>
      </c>
      <c r="E4946" s="138" t="str">
        <f t="shared" si="318"/>
        <v>Base</v>
      </c>
      <c r="F4946" s="138" t="str">
        <f t="shared" si="321"/>
        <v>Upgraded</v>
      </c>
      <c r="G4946" s="153"/>
      <c r="H4946" s="210">
        <v>0.1198</v>
      </c>
      <c r="I4946" s="160" t="s">
        <v>60</v>
      </c>
      <c r="J4946" s="160">
        <v>8.0300000000000007E-3</v>
      </c>
      <c r="K4946" s="160" t="s">
        <v>14</v>
      </c>
      <c r="L4946" s="154" t="str">
        <f>IF(OpenLCAbasic!K4946="CTUh", "Fill in Manually",IF(OR(K4946="Unit", K4946=""), "", INDEX(LookUps!$E$5:$E$12, MATCH(OpenLCAbasic!K4946,LookUps!$D$5:$D$12,0))))</f>
        <v>Fossil Depletion Potential (FDP) - kg oil eq</v>
      </c>
      <c r="M4946" s="154" t="str">
        <f t="shared" si="322"/>
        <v>Base_Medium_Base_Upgraded_Fossil Depletion Potential (FDP) - kg oil eq_Belt filter press; wastewater treatment unit; at updated plant - US_Without Amendment_Windrow</v>
      </c>
    </row>
    <row r="4947" spans="1:13" s="120" customFormat="1" x14ac:dyDescent="0.25">
      <c r="A4947" s="119"/>
      <c r="B4947" s="138" t="str">
        <f t="shared" si="320"/>
        <v>Windrow</v>
      </c>
      <c r="C4947" s="138" t="str">
        <f t="shared" si="319"/>
        <v>Without Amendment</v>
      </c>
      <c r="D4947" s="138" t="str">
        <f t="shared" si="317"/>
        <v>Medium_Base</v>
      </c>
      <c r="E4947" s="138" t="str">
        <f t="shared" si="318"/>
        <v>Base</v>
      </c>
      <c r="F4947" s="138" t="str">
        <f t="shared" si="321"/>
        <v>Upgraded</v>
      </c>
      <c r="G4947" s="153"/>
      <c r="H4947" s="210">
        <v>0.1032</v>
      </c>
      <c r="I4947" s="160" t="s">
        <v>57</v>
      </c>
      <c r="J4947" s="160">
        <v>6.9199999999999999E-3</v>
      </c>
      <c r="K4947" s="160" t="s">
        <v>14</v>
      </c>
      <c r="L4947" s="154" t="str">
        <f>IF(OpenLCAbasic!K4947="CTUh", "Fill in Manually",IF(OR(K4947="Unit", K4947=""), "", INDEX(LookUps!$E$5:$E$12, MATCH(OpenLCAbasic!K4947,LookUps!$D$5:$D$12,0))))</f>
        <v>Fossil Depletion Potential (FDP) - kg oil eq</v>
      </c>
      <c r="M4947" s="154" t="str">
        <f t="shared" si="322"/>
        <v>Base_Medium_Base_Upgraded_Fossil Depletion Potential (FDP) - kg oil eq_Gravity Belt Thickener; wastewater treatment unit; at updated plant - US_Without Amendment_Windrow</v>
      </c>
    </row>
    <row r="4948" spans="1:13" s="120" customFormat="1" x14ac:dyDescent="0.25">
      <c r="A4948" s="119"/>
      <c r="B4948" s="138" t="str">
        <f t="shared" si="320"/>
        <v>Windrow</v>
      </c>
      <c r="C4948" s="138" t="str">
        <f t="shared" si="319"/>
        <v>Without Amendment</v>
      </c>
      <c r="D4948" s="138" t="str">
        <f t="shared" si="317"/>
        <v>Medium_Base</v>
      </c>
      <c r="E4948" s="138" t="str">
        <f t="shared" si="318"/>
        <v>Base</v>
      </c>
      <c r="F4948" s="138" t="str">
        <f t="shared" si="321"/>
        <v>Upgraded</v>
      </c>
      <c r="G4948" s="153"/>
      <c r="H4948" s="210">
        <v>6.7100000000000007E-2</v>
      </c>
      <c r="I4948" s="160" t="s">
        <v>128</v>
      </c>
      <c r="J4948" s="160">
        <v>4.4999999999999997E-3</v>
      </c>
      <c r="K4948" s="160" t="s">
        <v>14</v>
      </c>
      <c r="L4948" s="154" t="str">
        <f>IF(OpenLCAbasic!K4948="CTUh", "Fill in Manually",IF(OR(K4948="Unit", K4948=""), "", INDEX(LookUps!$E$5:$E$12, MATCH(OpenLCAbasic!K4948,LookUps!$D$5:$D$12,0))))</f>
        <v>Fossil Depletion Potential (FDP) - kg oil eq</v>
      </c>
      <c r="M4948" s="154" t="str">
        <f t="shared" si="322"/>
        <v>Base_Medium_Base_Upgraded_Fossil Depletion Potential (FDP) - kg oil eq_Wastewater collection; operation and infrastructure; m3 wastewater_Without Amendment_Windrow</v>
      </c>
    </row>
    <row r="4949" spans="1:13" s="120" customFormat="1" x14ac:dyDescent="0.25">
      <c r="A4949" s="119"/>
      <c r="B4949" s="138" t="str">
        <f t="shared" si="320"/>
        <v>Windrow</v>
      </c>
      <c r="C4949" s="138" t="str">
        <f t="shared" si="319"/>
        <v>Without Amendment</v>
      </c>
      <c r="D4949" s="138" t="str">
        <f t="shared" si="317"/>
        <v>Medium_Base</v>
      </c>
      <c r="E4949" s="138" t="str">
        <f t="shared" si="318"/>
        <v>Base</v>
      </c>
      <c r="F4949" s="138" t="str">
        <f t="shared" si="321"/>
        <v>Upgraded</v>
      </c>
      <c r="G4949" s="153"/>
      <c r="H4949" s="210">
        <v>4.1799999999999997E-2</v>
      </c>
      <c r="I4949" s="160" t="s">
        <v>148</v>
      </c>
      <c r="J4949" s="160">
        <v>2.8E-3</v>
      </c>
      <c r="K4949" s="160" t="s">
        <v>14</v>
      </c>
      <c r="L4949" s="154" t="str">
        <f>IF(OpenLCAbasic!K4949="CTUh", "Fill in Manually",IF(OR(K4949="Unit", K4949=""), "", INDEX(LookUps!$E$5:$E$12, MATCH(OpenLCAbasic!K4949,LookUps!$D$5:$D$12,0))))</f>
        <v>Fossil Depletion Potential (FDP) - kg oil eq</v>
      </c>
      <c r="M4949" s="154" t="str">
        <f t="shared" si="322"/>
        <v>Base_Medium_Base_Upgraded_Fossil Depletion Potential (FDP) - kg oil eq_Control Building; at upgraded wastewater treatment plant - US_Without Amendment_Windrow</v>
      </c>
    </row>
    <row r="4950" spans="1:13" s="120" customFormat="1" x14ac:dyDescent="0.25">
      <c r="A4950" s="119"/>
      <c r="B4950" s="138" t="str">
        <f t="shared" si="320"/>
        <v>Windrow</v>
      </c>
      <c r="C4950" s="138" t="str">
        <f t="shared" si="319"/>
        <v>Without Amendment</v>
      </c>
      <c r="D4950" s="138" t="str">
        <f t="shared" si="317"/>
        <v>Medium_Base</v>
      </c>
      <c r="E4950" s="138" t="str">
        <f t="shared" si="318"/>
        <v>Base</v>
      </c>
      <c r="F4950" s="138" t="str">
        <f t="shared" si="321"/>
        <v>Upgraded</v>
      </c>
      <c r="G4950" s="153"/>
      <c r="H4950" s="210">
        <v>3.5299999999999998E-2</v>
      </c>
      <c r="I4950" s="160" t="s">
        <v>48</v>
      </c>
      <c r="J4950" s="160">
        <v>2.3600000000000001E-3</v>
      </c>
      <c r="K4950" s="160" t="s">
        <v>14</v>
      </c>
      <c r="L4950" s="154" t="str">
        <f>IF(OpenLCAbasic!K4950="CTUh", "Fill in Manually",IF(OR(K4950="Unit", K4950=""), "", INDEX(LookUps!$E$5:$E$12, MATCH(OpenLCAbasic!K4950,LookUps!$D$5:$D$12,0))))</f>
        <v>Fossil Depletion Potential (FDP) - kg oil eq</v>
      </c>
      <c r="M4950" s="154" t="str">
        <f t="shared" si="322"/>
        <v>Base_Medium_Base_Upgraded_Fossil Depletion Potential (FDP) - kg oil eq_Effluent release; wastewater treatment unit; at surface water; m3 wastewater - US_Without Amendment_Windrow</v>
      </c>
    </row>
    <row r="4951" spans="1:13" s="120" customFormat="1" x14ac:dyDescent="0.25">
      <c r="A4951" s="119"/>
      <c r="B4951" s="138" t="str">
        <f t="shared" si="320"/>
        <v>Windrow</v>
      </c>
      <c r="C4951" s="138" t="str">
        <f t="shared" si="319"/>
        <v>Without Amendment</v>
      </c>
      <c r="D4951" s="138" t="str">
        <f t="shared" si="317"/>
        <v>Medium_Base</v>
      </c>
      <c r="E4951" s="138" t="str">
        <f t="shared" si="318"/>
        <v>Base</v>
      </c>
      <c r="F4951" s="138" t="str">
        <f t="shared" si="321"/>
        <v>Upgraded</v>
      </c>
      <c r="G4951" s="153"/>
      <c r="H4951" s="210">
        <v>2.87E-2</v>
      </c>
      <c r="I4951" s="160" t="s">
        <v>59</v>
      </c>
      <c r="J4951" s="160">
        <v>1.92E-3</v>
      </c>
      <c r="K4951" s="160" t="s">
        <v>14</v>
      </c>
      <c r="L4951" s="154" t="str">
        <f>IF(OpenLCAbasic!K4951="CTUh", "Fill in Manually",IF(OR(K4951="Unit", K4951=""), "", INDEX(LookUps!$E$5:$E$12, MATCH(OpenLCAbasic!K4951,LookUps!$D$5:$D$12,0))))</f>
        <v>Fossil Depletion Potential (FDP) - kg oil eq</v>
      </c>
      <c r="M4951" s="154" t="str">
        <f t="shared" si="322"/>
        <v>Base_Medium_Base_Upgraded_Fossil Depletion Potential (FDP) - kg oil eq_Blend Tank; wastewater treatment unit; at updated plant - US_Without Amendment_Windrow</v>
      </c>
    </row>
    <row r="4952" spans="1:13" s="120" customFormat="1" x14ac:dyDescent="0.25">
      <c r="A4952" s="119"/>
      <c r="B4952" s="138" t="str">
        <f t="shared" si="320"/>
        <v>Windrow</v>
      </c>
      <c r="C4952" s="138" t="str">
        <f t="shared" si="319"/>
        <v>Without Amendment</v>
      </c>
      <c r="D4952" s="138" t="str">
        <f t="shared" si="317"/>
        <v>Medium_Base</v>
      </c>
      <c r="E4952" s="138" t="str">
        <f t="shared" si="318"/>
        <v>Base</v>
      </c>
      <c r="F4952" s="138" t="str">
        <f t="shared" si="321"/>
        <v>Upgraded</v>
      </c>
      <c r="G4952" s="153"/>
      <c r="H4952" s="210">
        <v>1.37E-2</v>
      </c>
      <c r="I4952" s="160" t="s">
        <v>168</v>
      </c>
      <c r="J4952" s="160">
        <v>9.1E-4</v>
      </c>
      <c r="K4952" s="160" t="s">
        <v>14</v>
      </c>
      <c r="L4952" s="154" t="str">
        <f>IF(OpenLCAbasic!K4952="CTUh", "Fill in Manually",IF(OR(K4952="Unit", K4952=""), "", INDEX(LookUps!$E$5:$E$12, MATCH(OpenLCAbasic!K4952,LookUps!$D$5:$D$12,0))))</f>
        <v>Fossil Depletion Potential (FDP) - kg oil eq</v>
      </c>
      <c r="M4952" s="154" t="str">
        <f t="shared" si="322"/>
        <v>Base_Medium_Base_Upgraded_Fossil Depletion Potential (FDP) - kg oil eq_ClearCove SCP; wastewater treatment unit; at updated plant - US_Without Amendment_Windrow</v>
      </c>
    </row>
    <row r="4953" spans="1:13" s="120" customFormat="1" x14ac:dyDescent="0.25">
      <c r="A4953" s="119"/>
      <c r="B4953" s="138" t="str">
        <f t="shared" si="320"/>
        <v>Windrow</v>
      </c>
      <c r="C4953" s="138" t="str">
        <f t="shared" si="319"/>
        <v>Without Amendment</v>
      </c>
      <c r="D4953" s="138" t="str">
        <f t="shared" ref="D4953:D5016" si="323">IF(ISNUMBER($J4953),"Medium_Base","")</f>
        <v>Medium_Base</v>
      </c>
      <c r="E4953" s="138" t="str">
        <f t="shared" si="318"/>
        <v>Base</v>
      </c>
      <c r="F4953" s="138" t="str">
        <f t="shared" si="321"/>
        <v>Upgraded</v>
      </c>
      <c r="G4953" s="153"/>
      <c r="H4953" s="210">
        <v>8.5000000000000006E-3</v>
      </c>
      <c r="I4953" s="160" t="s">
        <v>271</v>
      </c>
      <c r="J4953" s="160">
        <v>5.6999999999999998E-4</v>
      </c>
      <c r="K4953" s="160" t="s">
        <v>14</v>
      </c>
      <c r="L4953" s="154" t="str">
        <f>IF(OpenLCAbasic!K4953="CTUh", "Fill in Manually",IF(OR(K4953="Unit", K4953=""), "", INDEX(LookUps!$E$5:$E$12, MATCH(OpenLCAbasic!K4953,LookUps!$D$5:$D$12,0))))</f>
        <v>Fossil Depletion Potential (FDP) - kg oil eq</v>
      </c>
      <c r="M4953" s="154" t="str">
        <f t="shared" si="322"/>
        <v>Base_Medium_Base_Upgraded_Fossil Depletion Potential (FDP) - kg oil eq_Biosolids composting; windrow composting; wastewater treatment unit; at updated plant - US_Without Amendment_Windrow</v>
      </c>
    </row>
    <row r="4954" spans="1:13" s="120" customFormat="1" x14ac:dyDescent="0.25">
      <c r="A4954" s="119"/>
      <c r="B4954" s="138" t="str">
        <f t="shared" si="320"/>
        <v>Windrow</v>
      </c>
      <c r="C4954" s="138" t="str">
        <f t="shared" si="319"/>
        <v>Without Amendment</v>
      </c>
      <c r="D4954" s="138" t="str">
        <f t="shared" si="323"/>
        <v>Medium_Base</v>
      </c>
      <c r="E4954" s="138" t="str">
        <f t="shared" si="318"/>
        <v>Base</v>
      </c>
      <c r="F4954" s="138" t="str">
        <f t="shared" si="321"/>
        <v>Upgraded</v>
      </c>
      <c r="G4954" s="153"/>
      <c r="H4954" s="210">
        <v>-8.2699999999999996E-2</v>
      </c>
      <c r="I4954" s="160" t="s">
        <v>62</v>
      </c>
      <c r="J4954" s="160">
        <v>-5.5399999999999998E-3</v>
      </c>
      <c r="K4954" s="160" t="s">
        <v>14</v>
      </c>
      <c r="L4954" s="154" t="str">
        <f>IF(OpenLCAbasic!K4954="CTUh", "Fill in Manually",IF(OR(K4954="Unit", K4954=""), "", INDEX(LookUps!$E$5:$E$12, MATCH(OpenLCAbasic!K4954,LookUps!$D$5:$D$12,0))))</f>
        <v>Fossil Depletion Potential (FDP) - kg oil eq</v>
      </c>
      <c r="M4954" s="154" t="str">
        <f t="shared" si="322"/>
        <v>Base_Medium_Base_Upgraded_Fossil Depletion Potential (FDP) - kg oil eq_Land application of compost; wastewater treatment unit; at updated plant - US_Without Amendment_Windrow</v>
      </c>
    </row>
    <row r="4955" spans="1:13" s="120" customFormat="1" x14ac:dyDescent="0.25">
      <c r="A4955" s="119"/>
      <c r="B4955" s="138" t="str">
        <f t="shared" si="320"/>
        <v>Windrow</v>
      </c>
      <c r="C4955" s="138" t="str">
        <f t="shared" si="319"/>
        <v>Without Amendment</v>
      </c>
      <c r="D4955" s="138" t="str">
        <f t="shared" si="323"/>
        <v>Medium_Base</v>
      </c>
      <c r="E4955" s="138" t="str">
        <f t="shared" si="318"/>
        <v>Base</v>
      </c>
      <c r="F4955" s="138" t="str">
        <f t="shared" si="321"/>
        <v>Upgraded</v>
      </c>
      <c r="G4955" s="153"/>
      <c r="H4955" s="210">
        <v>-2.7004000000000001</v>
      </c>
      <c r="I4955" s="160" t="s">
        <v>149</v>
      </c>
      <c r="J4955" s="160">
        <v>-0.18092</v>
      </c>
      <c r="K4955" s="160" t="s">
        <v>14</v>
      </c>
      <c r="L4955" s="154" t="str">
        <f>IF(OpenLCAbasic!K4955="CTUh", "Fill in Manually",IF(OR(K4955="Unit", K4955=""), "", INDEX(LookUps!$E$5:$E$12, MATCH(OpenLCAbasic!K4955,LookUps!$D$5:$D$12,0))))</f>
        <v>Fossil Depletion Potential (FDP) - kg oil eq</v>
      </c>
      <c r="M4955" s="154" t="str">
        <f t="shared" si="322"/>
        <v>Base_Medium_Base_Upgraded_Fossil Depletion Potential (FDP) - kg oil eq_Anaerobic Digestion; wastewater treatment unit; at updated plant - US_Without Amendment_Windrow</v>
      </c>
    </row>
    <row r="4956" spans="1:13" s="120" customFormat="1" x14ac:dyDescent="0.25">
      <c r="A4956" s="119"/>
      <c r="B4956" s="138" t="str">
        <f t="shared" si="320"/>
        <v/>
      </c>
      <c r="C4956" s="138" t="str">
        <f t="shared" si="319"/>
        <v/>
      </c>
      <c r="D4956" s="138" t="str">
        <f t="shared" si="323"/>
        <v/>
      </c>
      <c r="E4956" s="138" t="str">
        <f t="shared" si="318"/>
        <v/>
      </c>
      <c r="F4956" s="138" t="str">
        <f t="shared" si="321"/>
        <v/>
      </c>
      <c r="G4956" s="153" t="s">
        <v>51</v>
      </c>
      <c r="H4956" s="160"/>
      <c r="I4956" s="160" t="s">
        <v>47</v>
      </c>
      <c r="J4956" s="160" t="s">
        <v>52</v>
      </c>
      <c r="K4956" s="160" t="s">
        <v>27</v>
      </c>
      <c r="L4956" s="154" t="str">
        <f>IF(OpenLCAbasic!K4956="CTUh", "Fill in Manually",IF(OR(K4956="Unit", K4956=""), "", INDEX(LookUps!$E$5:$E$12, MATCH(OpenLCAbasic!K4956,LookUps!$D$5:$D$12,0))))</f>
        <v/>
      </c>
      <c r="M4956" s="154" t="str">
        <f t="shared" si="322"/>
        <v>____Process__</v>
      </c>
    </row>
    <row r="4957" spans="1:13" s="120" customFormat="1" x14ac:dyDescent="0.25">
      <c r="A4957" s="119"/>
      <c r="B4957" s="138" t="str">
        <f t="shared" si="320"/>
        <v>Windrow</v>
      </c>
      <c r="C4957" s="138" t="str">
        <f t="shared" si="319"/>
        <v>Without Amendment</v>
      </c>
      <c r="D4957" s="138" t="str">
        <f t="shared" si="323"/>
        <v>Medium_Base</v>
      </c>
      <c r="E4957" s="138" t="str">
        <f t="shared" si="318"/>
        <v>Base</v>
      </c>
      <c r="F4957" s="138" t="str">
        <f t="shared" si="321"/>
        <v>Upgraded</v>
      </c>
      <c r="G4957" s="153"/>
      <c r="H4957" s="210">
        <v>0.6946</v>
      </c>
      <c r="I4957" s="160" t="s">
        <v>271</v>
      </c>
      <c r="J4957" s="160">
        <v>0.52968999999999999</v>
      </c>
      <c r="K4957" s="160" t="s">
        <v>23</v>
      </c>
      <c r="L4957" s="154" t="str">
        <f>IF(OpenLCAbasic!K4957="CTUh", "Fill in Manually",IF(OR(K4957="Unit", K4957=""), "", INDEX(LookUps!$E$5:$E$12, MATCH(OpenLCAbasic!K4957,LookUps!$D$5:$D$12,0))))</f>
        <v>Global Warming Potential (GWP) - kg CO2 eq</v>
      </c>
      <c r="M4957" s="154" t="str">
        <f t="shared" si="322"/>
        <v>Base_Medium_Base_Upgraded_Global Warming Potential (GWP) - kg CO2 eq_Biosolids composting; windrow composting; wastewater treatment unit; at updated plant - US_Without Amendment_Windrow</v>
      </c>
    </row>
    <row r="4958" spans="1:13" s="120" customFormat="1" x14ac:dyDescent="0.25">
      <c r="A4958" s="119"/>
      <c r="B4958" s="138" t="str">
        <f t="shared" si="320"/>
        <v>Windrow</v>
      </c>
      <c r="C4958" s="138" t="str">
        <f t="shared" si="319"/>
        <v>Without Amendment</v>
      </c>
      <c r="D4958" s="138" t="str">
        <f t="shared" si="323"/>
        <v>Medium_Base</v>
      </c>
      <c r="E4958" s="138" t="str">
        <f t="shared" si="318"/>
        <v>Base</v>
      </c>
      <c r="F4958" s="138" t="str">
        <f t="shared" si="321"/>
        <v>Upgraded</v>
      </c>
      <c r="G4958" s="153"/>
      <c r="H4958" s="210">
        <v>0.32219999999999999</v>
      </c>
      <c r="I4958" s="160" t="s">
        <v>58</v>
      </c>
      <c r="J4958" s="160">
        <v>0.24568999999999999</v>
      </c>
      <c r="K4958" s="160" t="s">
        <v>23</v>
      </c>
      <c r="L4958" s="154" t="str">
        <f>IF(OpenLCAbasic!K4958="CTUh", "Fill in Manually",IF(OR(K4958="Unit", K4958=""), "", INDEX(LookUps!$E$5:$E$12, MATCH(OpenLCAbasic!K4958,LookUps!$D$5:$D$12,0))))</f>
        <v>Global Warming Potential (GWP) - kg CO2 eq</v>
      </c>
      <c r="M4958" s="154" t="str">
        <f t="shared" si="322"/>
        <v>Base_Medium_Base_Upgraded_Global Warming Potential (GWP) - kg CO2 eq_Pre-Anoxic &amp; Swing tank; wastewater treatment unit; at updated plant - US_Without Amendment_Windrow</v>
      </c>
    </row>
    <row r="4959" spans="1:13" s="120" customFormat="1" x14ac:dyDescent="0.25">
      <c r="A4959" s="119"/>
      <c r="B4959" s="138" t="str">
        <f t="shared" si="320"/>
        <v>Windrow</v>
      </c>
      <c r="C4959" s="138" t="str">
        <f t="shared" si="319"/>
        <v>Without Amendment</v>
      </c>
      <c r="D4959" s="138" t="str">
        <f t="shared" si="323"/>
        <v>Medium_Base</v>
      </c>
      <c r="E4959" s="138" t="str">
        <f t="shared" si="318"/>
        <v>Base</v>
      </c>
      <c r="F4959" s="138" t="str">
        <f t="shared" si="321"/>
        <v>Upgraded</v>
      </c>
      <c r="G4959" s="153"/>
      <c r="H4959" s="210">
        <v>0.22059999999999999</v>
      </c>
      <c r="I4959" s="160" t="s">
        <v>55</v>
      </c>
      <c r="J4959" s="160">
        <v>0.16822000000000001</v>
      </c>
      <c r="K4959" s="160" t="s">
        <v>23</v>
      </c>
      <c r="L4959" s="154" t="str">
        <f>IF(OpenLCAbasic!K4959="CTUh", "Fill in Manually",IF(OR(K4959="Unit", K4959=""), "", INDEX(LookUps!$E$5:$E$12, MATCH(OpenLCAbasic!K4959,LookUps!$D$5:$D$12,0))))</f>
        <v>Global Warming Potential (GWP) - kg CO2 eq</v>
      </c>
      <c r="M4959" s="154" t="str">
        <f t="shared" si="322"/>
        <v>Base_Medium_Base_Upgraded_Global Warming Potential (GWP) - kg CO2 eq_Aeration Tanks; wastewater treatment unit; at updated plant - US_Without Amendment_Windrow</v>
      </c>
    </row>
    <row r="4960" spans="1:13" s="120" customFormat="1" x14ac:dyDescent="0.25">
      <c r="A4960" s="119"/>
      <c r="B4960" s="138" t="str">
        <f t="shared" si="320"/>
        <v>Windrow</v>
      </c>
      <c r="C4960" s="138" t="str">
        <f t="shared" si="319"/>
        <v>Without Amendment</v>
      </c>
      <c r="D4960" s="138" t="str">
        <f t="shared" si="323"/>
        <v>Medium_Base</v>
      </c>
      <c r="E4960" s="138" t="str">
        <f t="shared" si="318"/>
        <v>Base</v>
      </c>
      <c r="F4960" s="138" t="str">
        <f t="shared" si="321"/>
        <v>Upgraded</v>
      </c>
      <c r="G4960" s="153"/>
      <c r="H4960" s="210">
        <v>0.16200000000000001</v>
      </c>
      <c r="I4960" s="160" t="s">
        <v>167</v>
      </c>
      <c r="J4960" s="160">
        <v>0.12354999999999999</v>
      </c>
      <c r="K4960" s="160" t="s">
        <v>23</v>
      </c>
      <c r="L4960" s="154" t="str">
        <f>IF(OpenLCAbasic!K4960="CTUh", "Fill in Manually",IF(OR(K4960="Unit", K4960=""), "", INDEX(LookUps!$E$5:$E$12, MATCH(OpenLCAbasic!K4960,LookUps!$D$5:$D$12,0))))</f>
        <v>Global Warming Potential (GWP) - kg CO2 eq</v>
      </c>
      <c r="M4960" s="154" t="str">
        <f t="shared" si="322"/>
        <v>Base_Medium_Base_Upgraded_Global Warming Potential (GWP) - kg CO2 eq_Waste Receiving and Holding; wastewater treatment unit; at updated plant - US_Without Amendment_Windrow</v>
      </c>
    </row>
    <row r="4961" spans="1:13" s="120" customFormat="1" x14ac:dyDescent="0.25">
      <c r="A4961" s="119"/>
      <c r="B4961" s="138" t="str">
        <f t="shared" si="320"/>
        <v>Windrow</v>
      </c>
      <c r="C4961" s="138" t="str">
        <f t="shared" si="319"/>
        <v>Without Amendment</v>
      </c>
      <c r="D4961" s="138" t="str">
        <f t="shared" si="323"/>
        <v>Medium_Base</v>
      </c>
      <c r="E4961" s="138" t="str">
        <f t="shared" si="318"/>
        <v>Base</v>
      </c>
      <c r="F4961" s="138" t="str">
        <f t="shared" si="321"/>
        <v>Upgraded</v>
      </c>
      <c r="G4961" s="153"/>
      <c r="H4961" s="210">
        <v>7.4899999999999994E-2</v>
      </c>
      <c r="I4961" s="160" t="s">
        <v>54</v>
      </c>
      <c r="J4961" s="160">
        <v>5.7079999999999999E-2</v>
      </c>
      <c r="K4961" s="160" t="s">
        <v>23</v>
      </c>
      <c r="L4961" s="154" t="str">
        <f>IF(OpenLCAbasic!K4961="CTUh", "Fill in Manually",IF(OR(K4961="Unit", K4961=""), "", INDEX(LookUps!$E$5:$E$12, MATCH(OpenLCAbasic!K4961,LookUps!$D$5:$D$12,0))))</f>
        <v>Global Warming Potential (GWP) - kg CO2 eq</v>
      </c>
      <c r="M4961" s="154" t="str">
        <f t="shared" si="322"/>
        <v>Base_Medium_Base_Upgraded_Global Warming Potential (GWP) - kg CO2 eq_Clear Cove Primary Clarification; wastewater treatment unit; at updated plant - US_Without Amendment_Windrow</v>
      </c>
    </row>
    <row r="4962" spans="1:13" s="120" customFormat="1" x14ac:dyDescent="0.25">
      <c r="A4962" s="119"/>
      <c r="B4962" s="138" t="str">
        <f t="shared" si="320"/>
        <v>Windrow</v>
      </c>
      <c r="C4962" s="138" t="str">
        <f t="shared" si="319"/>
        <v>Without Amendment</v>
      </c>
      <c r="D4962" s="138" t="str">
        <f t="shared" si="323"/>
        <v>Medium_Base</v>
      </c>
      <c r="E4962" s="138" t="str">
        <f t="shared" si="318"/>
        <v>Base</v>
      </c>
      <c r="F4962" s="138" t="str">
        <f t="shared" si="321"/>
        <v>Upgraded</v>
      </c>
      <c r="G4962" s="153"/>
      <c r="H4962" s="210">
        <v>6.9000000000000006E-2</v>
      </c>
      <c r="I4962" s="160" t="s">
        <v>48</v>
      </c>
      <c r="J4962" s="160">
        <v>5.2639999999999999E-2</v>
      </c>
      <c r="K4962" s="160" t="s">
        <v>23</v>
      </c>
      <c r="L4962" s="154" t="str">
        <f>IF(OpenLCAbasic!K4962="CTUh", "Fill in Manually",IF(OR(K4962="Unit", K4962=""), "", INDEX(LookUps!$E$5:$E$12, MATCH(OpenLCAbasic!K4962,LookUps!$D$5:$D$12,0))))</f>
        <v>Global Warming Potential (GWP) - kg CO2 eq</v>
      </c>
      <c r="M4962" s="154" t="str">
        <f t="shared" si="322"/>
        <v>Base_Medium_Base_Upgraded_Global Warming Potential (GWP) - kg CO2 eq_Effluent release; wastewater treatment unit; at surface water; m3 wastewater - US_Without Amendment_Windrow</v>
      </c>
    </row>
    <row r="4963" spans="1:13" s="120" customFormat="1" x14ac:dyDescent="0.25">
      <c r="A4963" s="119"/>
      <c r="B4963" s="138" t="str">
        <f t="shared" si="320"/>
        <v>Windrow</v>
      </c>
      <c r="C4963" s="138" t="str">
        <f t="shared" si="319"/>
        <v>Without Amendment</v>
      </c>
      <c r="D4963" s="138" t="str">
        <f t="shared" si="323"/>
        <v>Medium_Base</v>
      </c>
      <c r="E4963" s="138" t="str">
        <f t="shared" si="318"/>
        <v>Base</v>
      </c>
      <c r="F4963" s="138" t="str">
        <f t="shared" si="321"/>
        <v>Upgraded</v>
      </c>
      <c r="G4963" s="153"/>
      <c r="H4963" s="210">
        <v>6.6199999999999995E-2</v>
      </c>
      <c r="I4963" s="160" t="s">
        <v>147</v>
      </c>
      <c r="J4963" s="160">
        <v>5.0500000000000003E-2</v>
      </c>
      <c r="K4963" s="160" t="s">
        <v>23</v>
      </c>
      <c r="L4963" s="154" t="str">
        <f>IF(OpenLCAbasic!K4963="CTUh", "Fill in Manually",IF(OR(K4963="Unit", K4963=""), "", INDEX(LookUps!$E$5:$E$12, MATCH(OpenLCAbasic!K4963,LookUps!$D$5:$D$12,0))))</f>
        <v>Global Warming Potential (GWP) - kg CO2 eq</v>
      </c>
      <c r="M4963" s="154" t="str">
        <f t="shared" si="322"/>
        <v>Base_Medium_Base_Upgraded_Global Warming Potential (GWP) - kg CO2 eq_Influent Pump Station; wastewater treatment unit; at updated plant - US_Without Amendment_Windrow</v>
      </c>
    </row>
    <row r="4964" spans="1:13" s="120" customFormat="1" x14ac:dyDescent="0.25">
      <c r="A4964" s="119"/>
      <c r="B4964" s="138" t="str">
        <f t="shared" si="320"/>
        <v>Windrow</v>
      </c>
      <c r="C4964" s="138" t="str">
        <f t="shared" si="319"/>
        <v>Without Amendment</v>
      </c>
      <c r="D4964" s="138" t="str">
        <f t="shared" si="323"/>
        <v>Medium_Base</v>
      </c>
      <c r="E4964" s="138" t="str">
        <f t="shared" si="318"/>
        <v>Base</v>
      </c>
      <c r="F4964" s="138" t="str">
        <f t="shared" si="321"/>
        <v>Upgraded</v>
      </c>
      <c r="G4964" s="153"/>
      <c r="H4964" s="210">
        <v>4.36E-2</v>
      </c>
      <c r="I4964" s="160" t="s">
        <v>53</v>
      </c>
      <c r="J4964" s="160">
        <v>3.3259999999999998E-2</v>
      </c>
      <c r="K4964" s="160" t="s">
        <v>23</v>
      </c>
      <c r="L4964" s="154" t="str">
        <f>IF(OpenLCAbasic!K4964="CTUh", "Fill in Manually",IF(OR(K4964="Unit", K4964=""), "", INDEX(LookUps!$E$5:$E$12, MATCH(OpenLCAbasic!K4964,LookUps!$D$5:$D$12,0))))</f>
        <v>Global Warming Potential (GWP) - kg CO2 eq</v>
      </c>
      <c r="M4964" s="154" t="str">
        <f t="shared" si="322"/>
        <v>Base_Medium_Base_Upgraded_Global Warming Potential (GWP) - kg CO2 eq_Wet Well and Sump Station; wastewater treatment unit; at updated plant - US_Without Amendment_Windrow</v>
      </c>
    </row>
    <row r="4965" spans="1:13" s="120" customFormat="1" x14ac:dyDescent="0.25">
      <c r="A4965" s="119"/>
      <c r="B4965" s="138" t="str">
        <f t="shared" si="320"/>
        <v>Windrow</v>
      </c>
      <c r="C4965" s="138" t="str">
        <f t="shared" si="319"/>
        <v>Without Amendment</v>
      </c>
      <c r="D4965" s="138" t="str">
        <f t="shared" si="323"/>
        <v>Medium_Base</v>
      </c>
      <c r="E4965" s="138" t="str">
        <f t="shared" si="318"/>
        <v>Base</v>
      </c>
      <c r="F4965" s="138" t="str">
        <f t="shared" si="321"/>
        <v>Upgraded</v>
      </c>
      <c r="G4965" s="153"/>
      <c r="H4965" s="210">
        <v>2.3099999999999999E-2</v>
      </c>
      <c r="I4965" s="160" t="s">
        <v>60</v>
      </c>
      <c r="J4965" s="160">
        <v>1.7639999999999999E-2</v>
      </c>
      <c r="K4965" s="160" t="s">
        <v>23</v>
      </c>
      <c r="L4965" s="154" t="str">
        <f>IF(OpenLCAbasic!K4965="CTUh", "Fill in Manually",IF(OR(K4965="Unit", K4965=""), "", INDEX(LookUps!$E$5:$E$12, MATCH(OpenLCAbasic!K4965,LookUps!$D$5:$D$12,0))))</f>
        <v>Global Warming Potential (GWP) - kg CO2 eq</v>
      </c>
      <c r="M4965" s="154" t="str">
        <f t="shared" si="322"/>
        <v>Base_Medium_Base_Upgraded_Global Warming Potential (GWP) - kg CO2 eq_Belt filter press; wastewater treatment unit; at updated plant - US_Without Amendment_Windrow</v>
      </c>
    </row>
    <row r="4966" spans="1:13" s="120" customFormat="1" x14ac:dyDescent="0.25">
      <c r="A4966" s="119"/>
      <c r="B4966" s="138" t="str">
        <f t="shared" si="320"/>
        <v>Windrow</v>
      </c>
      <c r="C4966" s="138" t="str">
        <f t="shared" si="319"/>
        <v>Without Amendment</v>
      </c>
      <c r="D4966" s="138" t="str">
        <f t="shared" si="323"/>
        <v>Medium_Base</v>
      </c>
      <c r="E4966" s="138" t="str">
        <f t="shared" si="318"/>
        <v>Base</v>
      </c>
      <c r="F4966" s="138" t="str">
        <f t="shared" si="321"/>
        <v>Upgraded</v>
      </c>
      <c r="G4966" s="153"/>
      <c r="H4966" s="210">
        <v>1.9099999999999999E-2</v>
      </c>
      <c r="I4966" s="160" t="s">
        <v>57</v>
      </c>
      <c r="J4966" s="160">
        <v>1.455E-2</v>
      </c>
      <c r="K4966" s="160" t="s">
        <v>23</v>
      </c>
      <c r="L4966" s="154" t="str">
        <f>IF(OpenLCAbasic!K4966="CTUh", "Fill in Manually",IF(OR(K4966="Unit", K4966=""), "", INDEX(LookUps!$E$5:$E$12, MATCH(OpenLCAbasic!K4966,LookUps!$D$5:$D$12,0))))</f>
        <v>Global Warming Potential (GWP) - kg CO2 eq</v>
      </c>
      <c r="M4966" s="154" t="str">
        <f t="shared" si="322"/>
        <v>Base_Medium_Base_Upgraded_Global Warming Potential (GWP) - kg CO2 eq_Gravity Belt Thickener; wastewater treatment unit; at updated plant - US_Without Amendment_Windrow</v>
      </c>
    </row>
    <row r="4967" spans="1:13" s="120" customFormat="1" x14ac:dyDescent="0.25">
      <c r="A4967" s="119"/>
      <c r="B4967" s="138" t="str">
        <f t="shared" si="320"/>
        <v>Windrow</v>
      </c>
      <c r="C4967" s="138" t="str">
        <f t="shared" si="319"/>
        <v>Without Amendment</v>
      </c>
      <c r="D4967" s="138" t="str">
        <f t="shared" si="323"/>
        <v>Medium_Base</v>
      </c>
      <c r="E4967" s="138" t="str">
        <f t="shared" si="318"/>
        <v>Base</v>
      </c>
      <c r="F4967" s="138" t="str">
        <f t="shared" si="321"/>
        <v>Upgraded</v>
      </c>
      <c r="G4967" s="153"/>
      <c r="H4967" s="210">
        <v>1.77E-2</v>
      </c>
      <c r="I4967" s="160" t="s">
        <v>128</v>
      </c>
      <c r="J4967" s="160">
        <v>1.3509999999999999E-2</v>
      </c>
      <c r="K4967" s="160" t="s">
        <v>23</v>
      </c>
      <c r="L4967" s="154" t="str">
        <f>IF(OpenLCAbasic!K4967="CTUh", "Fill in Manually",IF(OR(K4967="Unit", K4967=""), "", INDEX(LookUps!$E$5:$E$12, MATCH(OpenLCAbasic!K4967,LookUps!$D$5:$D$12,0))))</f>
        <v>Global Warming Potential (GWP) - kg CO2 eq</v>
      </c>
      <c r="M4967" s="154" t="str">
        <f t="shared" si="322"/>
        <v>Base_Medium_Base_Upgraded_Global Warming Potential (GWP) - kg CO2 eq_Wastewater collection; operation and infrastructure; m3 wastewater_Without Amendment_Windrow</v>
      </c>
    </row>
    <row r="4968" spans="1:13" s="120" customFormat="1" x14ac:dyDescent="0.25">
      <c r="A4968" s="119"/>
      <c r="B4968" s="138" t="str">
        <f t="shared" si="320"/>
        <v>Windrow</v>
      </c>
      <c r="C4968" s="138" t="str">
        <f t="shared" si="319"/>
        <v>Without Amendment</v>
      </c>
      <c r="D4968" s="138" t="str">
        <f t="shared" si="323"/>
        <v>Medium_Base</v>
      </c>
      <c r="E4968" s="138" t="str">
        <f t="shared" si="318"/>
        <v>Base</v>
      </c>
      <c r="F4968" s="138" t="str">
        <f t="shared" si="321"/>
        <v>Upgraded</v>
      </c>
      <c r="G4968" s="153"/>
      <c r="H4968" s="210">
        <v>1.09E-2</v>
      </c>
      <c r="I4968" s="160" t="s">
        <v>148</v>
      </c>
      <c r="J4968" s="160">
        <v>8.3000000000000001E-3</v>
      </c>
      <c r="K4968" s="160" t="s">
        <v>23</v>
      </c>
      <c r="L4968" s="154" t="str">
        <f>IF(OpenLCAbasic!K4968="CTUh", "Fill in Manually",IF(OR(K4968="Unit", K4968=""), "", INDEX(LookUps!$E$5:$E$12, MATCH(OpenLCAbasic!K4968,LookUps!$D$5:$D$12,0))))</f>
        <v>Global Warming Potential (GWP) - kg CO2 eq</v>
      </c>
      <c r="M4968" s="154" t="str">
        <f t="shared" si="322"/>
        <v>Base_Medium_Base_Upgraded_Global Warming Potential (GWP) - kg CO2 eq_Control Building; at upgraded wastewater treatment plant - US_Without Amendment_Windrow</v>
      </c>
    </row>
    <row r="4969" spans="1:13" s="120" customFormat="1" x14ac:dyDescent="0.25">
      <c r="A4969" s="119"/>
      <c r="B4969" s="138" t="str">
        <f t="shared" si="320"/>
        <v>Windrow</v>
      </c>
      <c r="C4969" s="138" t="str">
        <f t="shared" si="319"/>
        <v>Without Amendment</v>
      </c>
      <c r="D4969" s="138" t="str">
        <f t="shared" si="323"/>
        <v>Medium_Base</v>
      </c>
      <c r="E4969" s="138" t="str">
        <f t="shared" si="318"/>
        <v>Base</v>
      </c>
      <c r="F4969" s="138" t="str">
        <f t="shared" si="321"/>
        <v>Upgraded</v>
      </c>
      <c r="G4969" s="153"/>
      <c r="H4969" s="210">
        <v>6.6E-3</v>
      </c>
      <c r="I4969" s="160" t="s">
        <v>59</v>
      </c>
      <c r="J4969" s="160">
        <v>5.0400000000000002E-3</v>
      </c>
      <c r="K4969" s="160" t="s">
        <v>23</v>
      </c>
      <c r="L4969" s="154" t="str">
        <f>IF(OpenLCAbasic!K4969="CTUh", "Fill in Manually",IF(OR(K4969="Unit", K4969=""), "", INDEX(LookUps!$E$5:$E$12, MATCH(OpenLCAbasic!K4969,LookUps!$D$5:$D$12,0))))</f>
        <v>Global Warming Potential (GWP) - kg CO2 eq</v>
      </c>
      <c r="M4969" s="154" t="str">
        <f t="shared" si="322"/>
        <v>Base_Medium_Base_Upgraded_Global Warming Potential (GWP) - kg CO2 eq_Blend Tank; wastewater treatment unit; at updated plant - US_Without Amendment_Windrow</v>
      </c>
    </row>
    <row r="4970" spans="1:13" s="120" customFormat="1" x14ac:dyDescent="0.25">
      <c r="A4970" s="119"/>
      <c r="B4970" s="138" t="str">
        <f t="shared" si="320"/>
        <v>Windrow</v>
      </c>
      <c r="C4970" s="138" t="str">
        <f t="shared" si="319"/>
        <v>Without Amendment</v>
      </c>
      <c r="D4970" s="138" t="str">
        <f t="shared" si="323"/>
        <v>Medium_Base</v>
      </c>
      <c r="E4970" s="138" t="str">
        <f t="shared" si="318"/>
        <v>Base</v>
      </c>
      <c r="F4970" s="138" t="str">
        <f t="shared" si="321"/>
        <v>Upgraded</v>
      </c>
      <c r="G4970" s="153"/>
      <c r="H4970" s="210">
        <v>3.2000000000000002E-3</v>
      </c>
      <c r="I4970" s="160" t="s">
        <v>168</v>
      </c>
      <c r="J4970" s="160">
        <v>2.4099999999999998E-3</v>
      </c>
      <c r="K4970" s="160" t="s">
        <v>23</v>
      </c>
      <c r="L4970" s="154" t="str">
        <f>IF(OpenLCAbasic!K4970="CTUh", "Fill in Manually",IF(OR(K4970="Unit", K4970=""), "", INDEX(LookUps!$E$5:$E$12, MATCH(OpenLCAbasic!K4970,LookUps!$D$5:$D$12,0))))</f>
        <v>Global Warming Potential (GWP) - kg CO2 eq</v>
      </c>
      <c r="M4970" s="154" t="str">
        <f t="shared" si="322"/>
        <v>Base_Medium_Base_Upgraded_Global Warming Potential (GWP) - kg CO2 eq_ClearCove SCP; wastewater treatment unit; at updated plant - US_Without Amendment_Windrow</v>
      </c>
    </row>
    <row r="4971" spans="1:13" s="120" customFormat="1" x14ac:dyDescent="0.25">
      <c r="A4971" s="119"/>
      <c r="B4971" s="138" t="str">
        <f t="shared" si="320"/>
        <v>Windrow</v>
      </c>
      <c r="C4971" s="138" t="str">
        <f t="shared" si="319"/>
        <v>Without Amendment</v>
      </c>
      <c r="D4971" s="138" t="str">
        <f t="shared" si="323"/>
        <v>Medium_Base</v>
      </c>
      <c r="E4971" s="138" t="str">
        <f t="shared" si="318"/>
        <v>Base</v>
      </c>
      <c r="F4971" s="138" t="str">
        <f t="shared" si="321"/>
        <v>Upgraded</v>
      </c>
      <c r="G4971" s="153"/>
      <c r="H4971" s="210">
        <v>-0.2485</v>
      </c>
      <c r="I4971" s="160" t="s">
        <v>62</v>
      </c>
      <c r="J4971" s="160">
        <v>-0.18951999999999999</v>
      </c>
      <c r="K4971" s="160" t="s">
        <v>23</v>
      </c>
      <c r="L4971" s="154" t="str">
        <f>IF(OpenLCAbasic!K4971="CTUh", "Fill in Manually",IF(OR(K4971="Unit", K4971=""), "", INDEX(LookUps!$E$5:$E$12, MATCH(OpenLCAbasic!K4971,LookUps!$D$5:$D$12,0))))</f>
        <v>Global Warming Potential (GWP) - kg CO2 eq</v>
      </c>
      <c r="M4971" s="154" t="str">
        <f t="shared" si="322"/>
        <v>Base_Medium_Base_Upgraded_Global Warming Potential (GWP) - kg CO2 eq_Land application of compost; wastewater treatment unit; at updated plant - US_Without Amendment_Windrow</v>
      </c>
    </row>
    <row r="4972" spans="1:13" s="120" customFormat="1" x14ac:dyDescent="0.25">
      <c r="A4972" s="119"/>
      <c r="B4972" s="138" t="str">
        <f t="shared" si="320"/>
        <v>Windrow</v>
      </c>
      <c r="C4972" s="138" t="str">
        <f t="shared" si="319"/>
        <v>Without Amendment</v>
      </c>
      <c r="D4972" s="138" t="str">
        <f t="shared" si="323"/>
        <v>Medium_Base</v>
      </c>
      <c r="E4972" s="138" t="str">
        <f t="shared" si="318"/>
        <v>Base</v>
      </c>
      <c r="F4972" s="138" t="str">
        <f t="shared" si="321"/>
        <v>Upgraded</v>
      </c>
      <c r="G4972" s="153"/>
      <c r="H4972" s="210">
        <v>-0.48520000000000002</v>
      </c>
      <c r="I4972" s="160" t="s">
        <v>149</v>
      </c>
      <c r="J4972" s="160">
        <v>-0.36997999999999998</v>
      </c>
      <c r="K4972" s="160" t="s">
        <v>23</v>
      </c>
      <c r="L4972" s="154" t="str">
        <f>IF(OpenLCAbasic!K4972="CTUh", "Fill in Manually",IF(OR(K4972="Unit", K4972=""), "", INDEX(LookUps!$E$5:$E$12, MATCH(OpenLCAbasic!K4972,LookUps!$D$5:$D$12,0))))</f>
        <v>Global Warming Potential (GWP) - kg CO2 eq</v>
      </c>
      <c r="M4972" s="154" t="str">
        <f t="shared" si="322"/>
        <v>Base_Medium_Base_Upgraded_Global Warming Potential (GWP) - kg CO2 eq_Anaerobic Digestion; wastewater treatment unit; at updated plant - US_Without Amendment_Windrow</v>
      </c>
    </row>
    <row r="4973" spans="1:13" s="120" customFormat="1" x14ac:dyDescent="0.25">
      <c r="A4973" s="119"/>
      <c r="B4973" s="138" t="str">
        <f t="shared" si="320"/>
        <v/>
      </c>
      <c r="C4973" s="138" t="str">
        <f t="shared" si="319"/>
        <v/>
      </c>
      <c r="D4973" s="138" t="str">
        <f t="shared" si="323"/>
        <v/>
      </c>
      <c r="E4973" s="138" t="str">
        <f t="shared" si="318"/>
        <v/>
      </c>
      <c r="F4973" s="138" t="str">
        <f t="shared" si="321"/>
        <v/>
      </c>
      <c r="G4973" s="153" t="s">
        <v>51</v>
      </c>
      <c r="H4973" s="160"/>
      <c r="I4973" s="160" t="s">
        <v>47</v>
      </c>
      <c r="J4973" s="160" t="s">
        <v>52</v>
      </c>
      <c r="K4973" s="160" t="s">
        <v>27</v>
      </c>
      <c r="L4973" s="154" t="str">
        <f>IF(OpenLCAbasic!K4973="CTUh", "Fill in Manually",IF(OR(K4973="Unit", K4973=""), "", INDEX(LookUps!$E$5:$E$12, MATCH(OpenLCAbasic!K4973,LookUps!$D$5:$D$12,0))))</f>
        <v/>
      </c>
      <c r="M4973" s="154" t="str">
        <f t="shared" si="322"/>
        <v>____Process__</v>
      </c>
    </row>
    <row r="4974" spans="1:13" s="120" customFormat="1" x14ac:dyDescent="0.25">
      <c r="A4974" s="119"/>
      <c r="B4974" s="138" t="str">
        <f t="shared" si="320"/>
        <v>Windrow</v>
      </c>
      <c r="C4974" s="138" t="str">
        <f t="shared" si="319"/>
        <v>Without Amendment</v>
      </c>
      <c r="D4974" s="138" t="str">
        <f t="shared" si="323"/>
        <v>Medium_Base</v>
      </c>
      <c r="E4974" s="138" t="str">
        <f t="shared" si="318"/>
        <v>Base</v>
      </c>
      <c r="F4974" s="138" t="str">
        <f t="shared" si="321"/>
        <v>Upgraded</v>
      </c>
      <c r="G4974" s="153"/>
      <c r="H4974" s="210">
        <v>0.83309999999999995</v>
      </c>
      <c r="I4974" s="160" t="s">
        <v>55</v>
      </c>
      <c r="J4974" s="160">
        <v>2.33E-3</v>
      </c>
      <c r="K4974" s="160" t="s">
        <v>145</v>
      </c>
      <c r="L4974" s="154" t="str">
        <f>IF(OpenLCAbasic!K4974="CTUh", "Fill in Manually",IF(OR(K4974="Unit", K4974=""), "", INDEX(LookUps!$E$5:$E$12, MATCH(OpenLCAbasic!K4974,LookUps!$D$5:$D$12,0))))</f>
        <v>Particulate Matter Formation Potential (PMFP) - kg PM2.5 eq</v>
      </c>
      <c r="M4974" s="154" t="str">
        <f t="shared" si="322"/>
        <v>Base_Medium_Base_Upgraded_Particulate Matter Formation Potential (PMFP) - kg PM2.5 eq_Aeration Tanks; wastewater treatment unit; at updated plant - US_Without Amendment_Windrow</v>
      </c>
    </row>
    <row r="4975" spans="1:13" s="120" customFormat="1" x14ac:dyDescent="0.25">
      <c r="A4975" s="119"/>
      <c r="B4975" s="138" t="str">
        <f t="shared" si="320"/>
        <v>Windrow</v>
      </c>
      <c r="C4975" s="138" t="str">
        <f t="shared" si="319"/>
        <v>Without Amendment</v>
      </c>
      <c r="D4975" s="138" t="str">
        <f t="shared" si="323"/>
        <v>Medium_Base</v>
      </c>
      <c r="E4975" s="138" t="str">
        <f t="shared" si="318"/>
        <v>Base</v>
      </c>
      <c r="F4975" s="138" t="str">
        <f t="shared" si="321"/>
        <v>Upgraded</v>
      </c>
      <c r="G4975" s="153"/>
      <c r="H4975" s="210">
        <v>0.2424</v>
      </c>
      <c r="I4975" s="160" t="s">
        <v>54</v>
      </c>
      <c r="J4975" s="160">
        <v>6.8000000000000005E-4</v>
      </c>
      <c r="K4975" s="160" t="s">
        <v>145</v>
      </c>
      <c r="L4975" s="154" t="str">
        <f>IF(OpenLCAbasic!K4975="CTUh", "Fill in Manually",IF(OR(K4975="Unit", K4975=""), "", INDEX(LookUps!$E$5:$E$12, MATCH(OpenLCAbasic!K4975,LookUps!$D$5:$D$12,0))))</f>
        <v>Particulate Matter Formation Potential (PMFP) - kg PM2.5 eq</v>
      </c>
      <c r="M4975" s="154" t="str">
        <f t="shared" si="322"/>
        <v>Base_Medium_Base_Upgraded_Particulate Matter Formation Potential (PMFP) - kg PM2.5 eq_Clear Cove Primary Clarification; wastewater treatment unit; at updated plant - US_Without Amendment_Windrow</v>
      </c>
    </row>
    <row r="4976" spans="1:13" s="120" customFormat="1" x14ac:dyDescent="0.25">
      <c r="A4976" s="119"/>
      <c r="B4976" s="138" t="str">
        <f t="shared" si="320"/>
        <v>Windrow</v>
      </c>
      <c r="C4976" s="138" t="str">
        <f t="shared" si="319"/>
        <v>Without Amendment</v>
      </c>
      <c r="D4976" s="138" t="str">
        <f t="shared" si="323"/>
        <v>Medium_Base</v>
      </c>
      <c r="E4976" s="138" t="str">
        <f t="shared" si="318"/>
        <v>Base</v>
      </c>
      <c r="F4976" s="138" t="str">
        <f t="shared" si="321"/>
        <v>Upgraded</v>
      </c>
      <c r="G4976" s="153"/>
      <c r="H4976" s="210">
        <v>0.21010000000000001</v>
      </c>
      <c r="I4976" s="160" t="s">
        <v>58</v>
      </c>
      <c r="J4976" s="160">
        <v>5.9000000000000003E-4</v>
      </c>
      <c r="K4976" s="160" t="s">
        <v>145</v>
      </c>
      <c r="L4976" s="154" t="str">
        <f>IF(OpenLCAbasic!K4976="CTUh", "Fill in Manually",IF(OR(K4976="Unit", K4976=""), "", INDEX(LookUps!$E$5:$E$12, MATCH(OpenLCAbasic!K4976,LookUps!$D$5:$D$12,0))))</f>
        <v>Particulate Matter Formation Potential (PMFP) - kg PM2.5 eq</v>
      </c>
      <c r="M4976" s="154" t="str">
        <f t="shared" si="322"/>
        <v>Base_Medium_Base_Upgraded_Particulate Matter Formation Potential (PMFP) - kg PM2.5 eq_Pre-Anoxic &amp; Swing tank; wastewater treatment unit; at updated plant - US_Without Amendment_Windrow</v>
      </c>
    </row>
    <row r="4977" spans="1:13" s="120" customFormat="1" x14ac:dyDescent="0.25">
      <c r="A4977" s="119"/>
      <c r="B4977" s="138" t="str">
        <f t="shared" si="320"/>
        <v>Windrow</v>
      </c>
      <c r="C4977" s="138" t="str">
        <f t="shared" si="319"/>
        <v>Without Amendment</v>
      </c>
      <c r="D4977" s="138" t="str">
        <f t="shared" si="323"/>
        <v>Medium_Base</v>
      </c>
      <c r="E4977" s="138" t="str">
        <f t="shared" ref="E4977:E5040" si="324">IF(ISNUMBER($J4977),"Base","")</f>
        <v>Base</v>
      </c>
      <c r="F4977" s="138" t="str">
        <f t="shared" si="321"/>
        <v>Upgraded</v>
      </c>
      <c r="G4977" s="153"/>
      <c r="H4977" s="210">
        <v>0.1666</v>
      </c>
      <c r="I4977" s="160" t="s">
        <v>53</v>
      </c>
      <c r="J4977" s="160">
        <v>4.6999999999999999E-4</v>
      </c>
      <c r="K4977" s="160" t="s">
        <v>145</v>
      </c>
      <c r="L4977" s="154" t="str">
        <f>IF(OpenLCAbasic!K4977="CTUh", "Fill in Manually",IF(OR(K4977="Unit", K4977=""), "", INDEX(LookUps!$E$5:$E$12, MATCH(OpenLCAbasic!K4977,LookUps!$D$5:$D$12,0))))</f>
        <v>Particulate Matter Formation Potential (PMFP) - kg PM2.5 eq</v>
      </c>
      <c r="M4977" s="154" t="str">
        <f t="shared" si="322"/>
        <v>Base_Medium_Base_Upgraded_Particulate Matter Formation Potential (PMFP) - kg PM2.5 eq_Wet Well and Sump Station; wastewater treatment unit; at updated plant - US_Without Amendment_Windrow</v>
      </c>
    </row>
    <row r="4978" spans="1:13" s="120" customFormat="1" x14ac:dyDescent="0.25">
      <c r="A4978" s="119"/>
      <c r="B4978" s="138" t="str">
        <f t="shared" si="320"/>
        <v>Windrow</v>
      </c>
      <c r="C4978" s="138" t="str">
        <f t="shared" si="319"/>
        <v>Without Amendment</v>
      </c>
      <c r="D4978" s="138" t="str">
        <f t="shared" si="323"/>
        <v>Medium_Base</v>
      </c>
      <c r="E4978" s="138" t="str">
        <f t="shared" si="324"/>
        <v>Base</v>
      </c>
      <c r="F4978" s="138" t="str">
        <f t="shared" si="321"/>
        <v>Upgraded</v>
      </c>
      <c r="G4978" s="153"/>
      <c r="H4978" s="210">
        <v>0.1123</v>
      </c>
      <c r="I4978" s="160" t="s">
        <v>167</v>
      </c>
      <c r="J4978" s="160">
        <v>3.1E-4</v>
      </c>
      <c r="K4978" s="160" t="s">
        <v>145</v>
      </c>
      <c r="L4978" s="154" t="str">
        <f>IF(OpenLCAbasic!K4978="CTUh", "Fill in Manually",IF(OR(K4978="Unit", K4978=""), "", INDEX(LookUps!$E$5:$E$12, MATCH(OpenLCAbasic!K4978,LookUps!$D$5:$D$12,0))))</f>
        <v>Particulate Matter Formation Potential (PMFP) - kg PM2.5 eq</v>
      </c>
      <c r="M4978" s="154" t="str">
        <f t="shared" si="322"/>
        <v>Base_Medium_Base_Upgraded_Particulate Matter Formation Potential (PMFP) - kg PM2.5 eq_Waste Receiving and Holding; wastewater treatment unit; at updated plant - US_Without Amendment_Windrow</v>
      </c>
    </row>
    <row r="4979" spans="1:13" s="120" customFormat="1" x14ac:dyDescent="0.25">
      <c r="A4979" s="119"/>
      <c r="B4979" s="138" t="str">
        <f t="shared" si="320"/>
        <v>Windrow</v>
      </c>
      <c r="C4979" s="138" t="str">
        <f t="shared" si="319"/>
        <v>Without Amendment</v>
      </c>
      <c r="D4979" s="138" t="str">
        <f t="shared" si="323"/>
        <v>Medium_Base</v>
      </c>
      <c r="E4979" s="138" t="str">
        <f t="shared" si="324"/>
        <v>Base</v>
      </c>
      <c r="F4979" s="138" t="str">
        <f t="shared" si="321"/>
        <v>Upgraded</v>
      </c>
      <c r="G4979" s="153"/>
      <c r="H4979" s="210">
        <v>9.5200000000000007E-2</v>
      </c>
      <c r="I4979" s="160" t="s">
        <v>147</v>
      </c>
      <c r="J4979" s="160">
        <v>2.7E-4</v>
      </c>
      <c r="K4979" s="160" t="s">
        <v>145</v>
      </c>
      <c r="L4979" s="154" t="str">
        <f>IF(OpenLCAbasic!K4979="CTUh", "Fill in Manually",IF(OR(K4979="Unit", K4979=""), "", INDEX(LookUps!$E$5:$E$12, MATCH(OpenLCAbasic!K4979,LookUps!$D$5:$D$12,0))))</f>
        <v>Particulate Matter Formation Potential (PMFP) - kg PM2.5 eq</v>
      </c>
      <c r="M4979" s="154" t="str">
        <f t="shared" si="322"/>
        <v>Base_Medium_Base_Upgraded_Particulate Matter Formation Potential (PMFP) - kg PM2.5 eq_Influent Pump Station; wastewater treatment unit; at updated plant - US_Without Amendment_Windrow</v>
      </c>
    </row>
    <row r="4980" spans="1:13" s="120" customFormat="1" x14ac:dyDescent="0.25">
      <c r="A4980" s="119"/>
      <c r="B4980" s="138" t="str">
        <f t="shared" si="320"/>
        <v>Windrow</v>
      </c>
      <c r="C4980" s="138" t="str">
        <f t="shared" si="319"/>
        <v>Without Amendment</v>
      </c>
      <c r="D4980" s="138" t="str">
        <f t="shared" si="323"/>
        <v>Medium_Base</v>
      </c>
      <c r="E4980" s="138" t="str">
        <f t="shared" si="324"/>
        <v>Base</v>
      </c>
      <c r="F4980" s="138" t="str">
        <f t="shared" si="321"/>
        <v>Upgraded</v>
      </c>
      <c r="G4980" s="153"/>
      <c r="H4980" s="210">
        <v>6.54E-2</v>
      </c>
      <c r="I4980" s="160" t="s">
        <v>271</v>
      </c>
      <c r="J4980" s="160">
        <v>1.8000000000000001E-4</v>
      </c>
      <c r="K4980" s="160" t="s">
        <v>145</v>
      </c>
      <c r="L4980" s="154" t="str">
        <f>IF(OpenLCAbasic!K4980="CTUh", "Fill in Manually",IF(OR(K4980="Unit", K4980=""), "", INDEX(LookUps!$E$5:$E$12, MATCH(OpenLCAbasic!K4980,LookUps!$D$5:$D$12,0))))</f>
        <v>Particulate Matter Formation Potential (PMFP) - kg PM2.5 eq</v>
      </c>
      <c r="M4980" s="154" t="str">
        <f t="shared" si="322"/>
        <v>Base_Medium_Base_Upgraded_Particulate Matter Formation Potential (PMFP) - kg PM2.5 eq_Biosolids composting; windrow composting; wastewater treatment unit; at updated plant - US_Without Amendment_Windrow</v>
      </c>
    </row>
    <row r="4981" spans="1:13" s="120" customFormat="1" x14ac:dyDescent="0.25">
      <c r="A4981" s="119"/>
      <c r="B4981" s="138" t="str">
        <f t="shared" si="320"/>
        <v>Windrow</v>
      </c>
      <c r="C4981" s="138" t="str">
        <f t="shared" si="319"/>
        <v>Without Amendment</v>
      </c>
      <c r="D4981" s="138" t="str">
        <f t="shared" si="323"/>
        <v>Medium_Base</v>
      </c>
      <c r="E4981" s="138" t="str">
        <f t="shared" si="324"/>
        <v>Base</v>
      </c>
      <c r="F4981" s="138" t="str">
        <f t="shared" si="321"/>
        <v>Upgraded</v>
      </c>
      <c r="G4981" s="153"/>
      <c r="H4981" s="210">
        <v>5.9400000000000001E-2</v>
      </c>
      <c r="I4981" s="160" t="s">
        <v>128</v>
      </c>
      <c r="J4981" s="160">
        <v>1.7000000000000001E-4</v>
      </c>
      <c r="K4981" s="160" t="s">
        <v>145</v>
      </c>
      <c r="L4981" s="154" t="str">
        <f>IF(OpenLCAbasic!K4981="CTUh", "Fill in Manually",IF(OR(K4981="Unit", K4981=""), "", INDEX(LookUps!$E$5:$E$12, MATCH(OpenLCAbasic!K4981,LookUps!$D$5:$D$12,0))))</f>
        <v>Particulate Matter Formation Potential (PMFP) - kg PM2.5 eq</v>
      </c>
      <c r="M4981" s="154" t="str">
        <f t="shared" si="322"/>
        <v>Base_Medium_Base_Upgraded_Particulate Matter Formation Potential (PMFP) - kg PM2.5 eq_Wastewater collection; operation and infrastructure; m3 wastewater_Without Amendment_Windrow</v>
      </c>
    </row>
    <row r="4982" spans="1:13" s="120" customFormat="1" x14ac:dyDescent="0.25">
      <c r="A4982" s="119"/>
      <c r="B4982" s="138" t="str">
        <f t="shared" si="320"/>
        <v>Windrow</v>
      </c>
      <c r="C4982" s="138" t="str">
        <f t="shared" si="319"/>
        <v>Without Amendment</v>
      </c>
      <c r="D4982" s="138" t="str">
        <f t="shared" si="323"/>
        <v>Medium_Base</v>
      </c>
      <c r="E4982" s="138" t="str">
        <f t="shared" si="324"/>
        <v>Base</v>
      </c>
      <c r="F4982" s="138" t="str">
        <f t="shared" si="321"/>
        <v>Upgraded</v>
      </c>
      <c r="G4982" s="153"/>
      <c r="H4982" s="210">
        <v>5.1499999999999997E-2</v>
      </c>
      <c r="I4982" s="160" t="s">
        <v>60</v>
      </c>
      <c r="J4982" s="160">
        <v>1.3999999999999999E-4</v>
      </c>
      <c r="K4982" s="160" t="s">
        <v>145</v>
      </c>
      <c r="L4982" s="154" t="str">
        <f>IF(OpenLCAbasic!K4982="CTUh", "Fill in Manually",IF(OR(K4982="Unit", K4982=""), "", INDEX(LookUps!$E$5:$E$12, MATCH(OpenLCAbasic!K4982,LookUps!$D$5:$D$12,0))))</f>
        <v>Particulate Matter Formation Potential (PMFP) - kg PM2.5 eq</v>
      </c>
      <c r="M4982" s="154" t="str">
        <f t="shared" si="322"/>
        <v>Base_Medium_Base_Upgraded_Particulate Matter Formation Potential (PMFP) - kg PM2.5 eq_Belt filter press; wastewater treatment unit; at updated plant - US_Without Amendment_Windrow</v>
      </c>
    </row>
    <row r="4983" spans="1:13" s="120" customFormat="1" x14ac:dyDescent="0.25">
      <c r="A4983" s="119"/>
      <c r="B4983" s="138" t="str">
        <f t="shared" si="320"/>
        <v>Windrow</v>
      </c>
      <c r="C4983" s="138" t="str">
        <f t="shared" si="319"/>
        <v>Without Amendment</v>
      </c>
      <c r="D4983" s="138" t="str">
        <f t="shared" si="323"/>
        <v>Medium_Base</v>
      </c>
      <c r="E4983" s="138" t="str">
        <f t="shared" si="324"/>
        <v>Base</v>
      </c>
      <c r="F4983" s="138" t="str">
        <f t="shared" si="321"/>
        <v>Upgraded</v>
      </c>
      <c r="G4983" s="153"/>
      <c r="H4983" s="210">
        <v>3.4000000000000002E-2</v>
      </c>
      <c r="I4983" s="160" t="s">
        <v>57</v>
      </c>
      <c r="J4983" s="211">
        <v>9.5153800000000004E-5</v>
      </c>
      <c r="K4983" s="160" t="s">
        <v>145</v>
      </c>
      <c r="L4983" s="154" t="str">
        <f>IF(OpenLCAbasic!K4983="CTUh", "Fill in Manually",IF(OR(K4983="Unit", K4983=""), "", INDEX(LookUps!$E$5:$E$12, MATCH(OpenLCAbasic!K4983,LookUps!$D$5:$D$12,0))))</f>
        <v>Particulate Matter Formation Potential (PMFP) - kg PM2.5 eq</v>
      </c>
      <c r="M4983" s="154" t="str">
        <f t="shared" si="322"/>
        <v>Base_Medium_Base_Upgraded_Particulate Matter Formation Potential (PMFP) - kg PM2.5 eq_Gravity Belt Thickener; wastewater treatment unit; at updated plant - US_Without Amendment_Windrow</v>
      </c>
    </row>
    <row r="4984" spans="1:13" s="120" customFormat="1" x14ac:dyDescent="0.25">
      <c r="A4984" s="119"/>
      <c r="B4984" s="138" t="str">
        <f t="shared" si="320"/>
        <v>Windrow</v>
      </c>
      <c r="C4984" s="138" t="str">
        <f t="shared" si="319"/>
        <v>Without Amendment</v>
      </c>
      <c r="D4984" s="138" t="str">
        <f t="shared" si="323"/>
        <v>Medium_Base</v>
      </c>
      <c r="E4984" s="138" t="str">
        <f t="shared" si="324"/>
        <v>Base</v>
      </c>
      <c r="F4984" s="138" t="str">
        <f t="shared" si="321"/>
        <v>Upgraded</v>
      </c>
      <c r="G4984" s="153"/>
      <c r="H4984" s="210">
        <v>2.5000000000000001E-2</v>
      </c>
      <c r="I4984" s="160" t="s">
        <v>59</v>
      </c>
      <c r="J4984" s="211">
        <v>6.9942200000000003E-5</v>
      </c>
      <c r="K4984" s="160" t="s">
        <v>145</v>
      </c>
      <c r="L4984" s="154" t="str">
        <f>IF(OpenLCAbasic!K4984="CTUh", "Fill in Manually",IF(OR(K4984="Unit", K4984=""), "", INDEX(LookUps!$E$5:$E$12, MATCH(OpenLCAbasic!K4984,LookUps!$D$5:$D$12,0))))</f>
        <v>Particulate Matter Formation Potential (PMFP) - kg PM2.5 eq</v>
      </c>
      <c r="M4984" s="154" t="str">
        <f t="shared" si="322"/>
        <v>Base_Medium_Base_Upgraded_Particulate Matter Formation Potential (PMFP) - kg PM2.5 eq_Blend Tank; wastewater treatment unit; at updated plant - US_Without Amendment_Windrow</v>
      </c>
    </row>
    <row r="4985" spans="1:13" s="120" customFormat="1" x14ac:dyDescent="0.25">
      <c r="A4985" s="119"/>
      <c r="B4985" s="138" t="str">
        <f t="shared" si="320"/>
        <v>Windrow</v>
      </c>
      <c r="C4985" s="138" t="str">
        <f t="shared" si="319"/>
        <v>Without Amendment</v>
      </c>
      <c r="D4985" s="138" t="str">
        <f t="shared" si="323"/>
        <v>Medium_Base</v>
      </c>
      <c r="E4985" s="138" t="str">
        <f t="shared" si="324"/>
        <v>Base</v>
      </c>
      <c r="F4985" s="138" t="str">
        <f t="shared" si="321"/>
        <v>Upgraded</v>
      </c>
      <c r="G4985" s="153"/>
      <c r="H4985" s="210">
        <v>1.78E-2</v>
      </c>
      <c r="I4985" s="160" t="s">
        <v>48</v>
      </c>
      <c r="J4985" s="211">
        <v>4.99741E-5</v>
      </c>
      <c r="K4985" s="160" t="s">
        <v>145</v>
      </c>
      <c r="L4985" s="154" t="str">
        <f>IF(OpenLCAbasic!K4985="CTUh", "Fill in Manually",IF(OR(K4985="Unit", K4985=""), "", INDEX(LookUps!$E$5:$E$12, MATCH(OpenLCAbasic!K4985,LookUps!$D$5:$D$12,0))))</f>
        <v>Particulate Matter Formation Potential (PMFP) - kg PM2.5 eq</v>
      </c>
      <c r="M4985" s="154" t="str">
        <f t="shared" si="322"/>
        <v>Base_Medium_Base_Upgraded_Particulate Matter Formation Potential (PMFP) - kg PM2.5 eq_Effluent release; wastewater treatment unit; at surface water; m3 wastewater - US_Without Amendment_Windrow</v>
      </c>
    </row>
    <row r="4986" spans="1:13" s="120" customFormat="1" x14ac:dyDescent="0.25">
      <c r="A4986" s="119"/>
      <c r="B4986" s="138" t="str">
        <f t="shared" si="320"/>
        <v>Windrow</v>
      </c>
      <c r="C4986" s="138" t="str">
        <f t="shared" si="319"/>
        <v>Without Amendment</v>
      </c>
      <c r="D4986" s="138" t="str">
        <f t="shared" si="323"/>
        <v>Medium_Base</v>
      </c>
      <c r="E4986" s="138" t="str">
        <f t="shared" si="324"/>
        <v>Base</v>
      </c>
      <c r="F4986" s="138" t="str">
        <f t="shared" si="321"/>
        <v>Upgraded</v>
      </c>
      <c r="G4986" s="153"/>
      <c r="H4986" s="210">
        <v>1.4500000000000001E-2</v>
      </c>
      <c r="I4986" s="160" t="s">
        <v>62</v>
      </c>
      <c r="J4986" s="211">
        <v>4.0536800000000001E-5</v>
      </c>
      <c r="K4986" s="160" t="s">
        <v>145</v>
      </c>
      <c r="L4986" s="154" t="str">
        <f>IF(OpenLCAbasic!K4986="CTUh", "Fill in Manually",IF(OR(K4986="Unit", K4986=""), "", INDEX(LookUps!$E$5:$E$12, MATCH(OpenLCAbasic!K4986,LookUps!$D$5:$D$12,0))))</f>
        <v>Particulate Matter Formation Potential (PMFP) - kg PM2.5 eq</v>
      </c>
      <c r="M4986" s="154" t="str">
        <f t="shared" si="322"/>
        <v>Base_Medium_Base_Upgraded_Particulate Matter Formation Potential (PMFP) - kg PM2.5 eq_Land application of compost; wastewater treatment unit; at updated plant - US_Without Amendment_Windrow</v>
      </c>
    </row>
    <row r="4987" spans="1:13" s="120" customFormat="1" x14ac:dyDescent="0.25">
      <c r="A4987" s="119"/>
      <c r="B4987" s="138" t="str">
        <f t="shared" si="320"/>
        <v>Windrow</v>
      </c>
      <c r="C4987" s="138" t="str">
        <f t="shared" si="319"/>
        <v>Without Amendment</v>
      </c>
      <c r="D4987" s="138" t="str">
        <f t="shared" si="323"/>
        <v>Medium_Base</v>
      </c>
      <c r="E4987" s="138" t="str">
        <f t="shared" si="324"/>
        <v>Base</v>
      </c>
      <c r="F4987" s="138" t="str">
        <f t="shared" si="321"/>
        <v>Upgraded</v>
      </c>
      <c r="G4987" s="153"/>
      <c r="H4987" s="210">
        <v>1.23E-2</v>
      </c>
      <c r="I4987" s="160" t="s">
        <v>168</v>
      </c>
      <c r="J4987" s="211">
        <v>3.4562199999999999E-5</v>
      </c>
      <c r="K4987" s="160" t="s">
        <v>145</v>
      </c>
      <c r="L4987" s="154" t="str">
        <f>IF(OpenLCAbasic!K4987="CTUh", "Fill in Manually",IF(OR(K4987="Unit", K4987=""), "", INDEX(LookUps!$E$5:$E$12, MATCH(OpenLCAbasic!K4987,LookUps!$D$5:$D$12,0))))</f>
        <v>Particulate Matter Formation Potential (PMFP) - kg PM2.5 eq</v>
      </c>
      <c r="M4987" s="154" t="str">
        <f t="shared" si="322"/>
        <v>Base_Medium_Base_Upgraded_Particulate Matter Formation Potential (PMFP) - kg PM2.5 eq_ClearCove SCP; wastewater treatment unit; at updated plant - US_Without Amendment_Windrow</v>
      </c>
    </row>
    <row r="4988" spans="1:13" s="120" customFormat="1" x14ac:dyDescent="0.25">
      <c r="A4988" s="119"/>
      <c r="B4988" s="138" t="str">
        <f t="shared" si="320"/>
        <v>Windrow</v>
      </c>
      <c r="C4988" s="138" t="str">
        <f t="shared" si="319"/>
        <v>Without Amendment</v>
      </c>
      <c r="D4988" s="138" t="str">
        <f t="shared" si="323"/>
        <v>Medium_Base</v>
      </c>
      <c r="E4988" s="138" t="str">
        <f t="shared" si="324"/>
        <v>Base</v>
      </c>
      <c r="F4988" s="138" t="str">
        <f t="shared" si="321"/>
        <v>Upgraded</v>
      </c>
      <c r="G4988" s="153"/>
      <c r="H4988" s="210">
        <v>3.0999999999999999E-3</v>
      </c>
      <c r="I4988" s="160" t="s">
        <v>148</v>
      </c>
      <c r="J4988" s="211">
        <v>8.8212999999999997E-6</v>
      </c>
      <c r="K4988" s="160" t="s">
        <v>145</v>
      </c>
      <c r="L4988" s="154" t="str">
        <f>IF(OpenLCAbasic!K4988="CTUh", "Fill in Manually",IF(OR(K4988="Unit", K4988=""), "", INDEX(LookUps!$E$5:$E$12, MATCH(OpenLCAbasic!K4988,LookUps!$D$5:$D$12,0))))</f>
        <v>Particulate Matter Formation Potential (PMFP) - kg PM2.5 eq</v>
      </c>
      <c r="M4988" s="154" t="str">
        <f t="shared" si="322"/>
        <v>Base_Medium_Base_Upgraded_Particulate Matter Formation Potential (PMFP) - kg PM2.5 eq_Control Building; at upgraded wastewater treatment plant - US_Without Amendment_Windrow</v>
      </c>
    </row>
    <row r="4989" spans="1:13" s="120" customFormat="1" x14ac:dyDescent="0.25">
      <c r="A4989" s="119"/>
      <c r="B4989" s="138" t="str">
        <f t="shared" si="320"/>
        <v>Windrow</v>
      </c>
      <c r="C4989" s="138" t="str">
        <f t="shared" si="319"/>
        <v>Without Amendment</v>
      </c>
      <c r="D4989" s="138" t="str">
        <f t="shared" si="323"/>
        <v>Medium_Base</v>
      </c>
      <c r="E4989" s="138" t="str">
        <f t="shared" si="324"/>
        <v>Base</v>
      </c>
      <c r="F4989" s="138" t="str">
        <f t="shared" si="321"/>
        <v>Upgraded</v>
      </c>
      <c r="G4989" s="153"/>
      <c r="H4989" s="210">
        <v>-0.94269999999999998</v>
      </c>
      <c r="I4989" s="160" t="s">
        <v>149</v>
      </c>
      <c r="J4989" s="160">
        <v>-2.64E-3</v>
      </c>
      <c r="K4989" s="160" t="s">
        <v>145</v>
      </c>
      <c r="L4989" s="154" t="str">
        <f>IF(OpenLCAbasic!K4989="CTUh", "Fill in Manually",IF(OR(K4989="Unit", K4989=""), "", INDEX(LookUps!$E$5:$E$12, MATCH(OpenLCAbasic!K4989,LookUps!$D$5:$D$12,0))))</f>
        <v>Particulate Matter Formation Potential (PMFP) - kg PM2.5 eq</v>
      </c>
      <c r="M4989" s="154" t="str">
        <f t="shared" si="322"/>
        <v>Base_Medium_Base_Upgraded_Particulate Matter Formation Potential (PMFP) - kg PM2.5 eq_Anaerobic Digestion; wastewater treatment unit; at updated plant - US_Without Amendment_Windrow</v>
      </c>
    </row>
    <row r="4990" spans="1:13" s="120" customFormat="1" x14ac:dyDescent="0.25">
      <c r="A4990" s="119"/>
      <c r="B4990" s="138" t="str">
        <f t="shared" si="320"/>
        <v/>
      </c>
      <c r="C4990" s="138" t="str">
        <f t="shared" si="319"/>
        <v/>
      </c>
      <c r="D4990" s="138" t="str">
        <f t="shared" si="323"/>
        <v/>
      </c>
      <c r="E4990" s="138" t="str">
        <f t="shared" si="324"/>
        <v/>
      </c>
      <c r="F4990" s="138" t="str">
        <f t="shared" si="321"/>
        <v/>
      </c>
      <c r="G4990" s="153" t="s">
        <v>51</v>
      </c>
      <c r="H4990" s="160"/>
      <c r="I4990" s="160" t="s">
        <v>47</v>
      </c>
      <c r="J4990" s="160" t="s">
        <v>52</v>
      </c>
      <c r="K4990" s="160" t="s">
        <v>27</v>
      </c>
      <c r="L4990" s="154" t="str">
        <f>IF(OpenLCAbasic!K4990="CTUh", "Fill in Manually",IF(OR(K4990="Unit", K4990=""), "", INDEX(LookUps!$E$5:$E$12, MATCH(OpenLCAbasic!K4990,LookUps!$D$5:$D$12,0))))</f>
        <v/>
      </c>
      <c r="M4990" s="154" t="str">
        <f t="shared" si="322"/>
        <v>____Process__</v>
      </c>
    </row>
    <row r="4991" spans="1:13" s="120" customFormat="1" x14ac:dyDescent="0.25">
      <c r="A4991" s="119"/>
      <c r="B4991" s="138" t="str">
        <f t="shared" si="320"/>
        <v>Windrow</v>
      </c>
      <c r="C4991" s="138" t="str">
        <f t="shared" si="319"/>
        <v>Without Amendment</v>
      </c>
      <c r="D4991" s="138" t="str">
        <f t="shared" si="323"/>
        <v>Medium_Base</v>
      </c>
      <c r="E4991" s="138" t="str">
        <f t="shared" si="324"/>
        <v>Base</v>
      </c>
      <c r="F4991" s="138" t="str">
        <f t="shared" si="321"/>
        <v>Upgraded</v>
      </c>
      <c r="G4991" s="153"/>
      <c r="H4991" s="210">
        <v>0.88229999999999997</v>
      </c>
      <c r="I4991" s="160" t="s">
        <v>55</v>
      </c>
      <c r="J4991" s="160">
        <v>0.16577</v>
      </c>
      <c r="K4991" s="160" t="s">
        <v>25</v>
      </c>
      <c r="L4991" s="154" t="str">
        <f>IF(OpenLCAbasic!K4991="CTUh", "Fill in Manually",IF(OR(K4991="Unit", K4991=""), "", INDEX(LookUps!$E$5:$E$12, MATCH(OpenLCAbasic!K4991,LookUps!$D$5:$D$12,0))))</f>
        <v>Smog Formation Potential (SFP) - kg O3 eq</v>
      </c>
      <c r="M4991" s="154" t="str">
        <f t="shared" si="322"/>
        <v>Base_Medium_Base_Upgraded_Smog Formation Potential (SFP) - kg O3 eq_Aeration Tanks; wastewater treatment unit; at updated plant - US_Without Amendment_Windrow</v>
      </c>
    </row>
    <row r="4992" spans="1:13" s="120" customFormat="1" x14ac:dyDescent="0.25">
      <c r="A4992" s="119"/>
      <c r="B4992" s="138" t="str">
        <f t="shared" si="320"/>
        <v>Windrow</v>
      </c>
      <c r="C4992" s="138" t="str">
        <f t="shared" si="319"/>
        <v>Without Amendment</v>
      </c>
      <c r="D4992" s="138" t="str">
        <f t="shared" si="323"/>
        <v>Medium_Base</v>
      </c>
      <c r="E4992" s="138" t="str">
        <f t="shared" si="324"/>
        <v>Base</v>
      </c>
      <c r="F4992" s="138" t="str">
        <f t="shared" si="321"/>
        <v>Upgraded</v>
      </c>
      <c r="G4992" s="153"/>
      <c r="H4992" s="210">
        <v>0.25590000000000002</v>
      </c>
      <c r="I4992" s="160" t="s">
        <v>54</v>
      </c>
      <c r="J4992" s="160">
        <v>4.8070000000000002E-2</v>
      </c>
      <c r="K4992" s="160" t="s">
        <v>25</v>
      </c>
      <c r="L4992" s="154" t="str">
        <f>IF(OpenLCAbasic!K4992="CTUh", "Fill in Manually",IF(OR(K4992="Unit", K4992=""), "", INDEX(LookUps!$E$5:$E$12, MATCH(OpenLCAbasic!K4992,LookUps!$D$5:$D$12,0))))</f>
        <v>Smog Formation Potential (SFP) - kg O3 eq</v>
      </c>
      <c r="M4992" s="154" t="str">
        <f t="shared" si="322"/>
        <v>Base_Medium_Base_Upgraded_Smog Formation Potential (SFP) - kg O3 eq_Clear Cove Primary Clarification; wastewater treatment unit; at updated plant - US_Without Amendment_Windrow</v>
      </c>
    </row>
    <row r="4993" spans="1:13" s="120" customFormat="1" x14ac:dyDescent="0.25">
      <c r="A4993" s="119"/>
      <c r="B4993" s="138" t="str">
        <f t="shared" si="320"/>
        <v>Windrow</v>
      </c>
      <c r="C4993" s="138" t="str">
        <f t="shared" ref="C4993:C5056" si="325">IF(ISNUMBER($J4993),"Without Amendment","")</f>
        <v>Without Amendment</v>
      </c>
      <c r="D4993" s="138" t="str">
        <f t="shared" si="323"/>
        <v>Medium_Base</v>
      </c>
      <c r="E4993" s="138" t="str">
        <f t="shared" si="324"/>
        <v>Base</v>
      </c>
      <c r="F4993" s="138" t="str">
        <f t="shared" si="321"/>
        <v>Upgraded</v>
      </c>
      <c r="G4993" s="153"/>
      <c r="H4993" s="210">
        <v>0.22309999999999999</v>
      </c>
      <c r="I4993" s="160" t="s">
        <v>58</v>
      </c>
      <c r="J4993" s="160">
        <v>4.1919999999999999E-2</v>
      </c>
      <c r="K4993" s="160" t="s">
        <v>25</v>
      </c>
      <c r="L4993" s="154" t="str">
        <f>IF(OpenLCAbasic!K4993="CTUh", "Fill in Manually",IF(OR(K4993="Unit", K4993=""), "", INDEX(LookUps!$E$5:$E$12, MATCH(OpenLCAbasic!K4993,LookUps!$D$5:$D$12,0))))</f>
        <v>Smog Formation Potential (SFP) - kg O3 eq</v>
      </c>
      <c r="M4993" s="154" t="str">
        <f t="shared" si="322"/>
        <v>Base_Medium_Base_Upgraded_Smog Formation Potential (SFP) - kg O3 eq_Pre-Anoxic &amp; Swing tank; wastewater treatment unit; at updated plant - US_Without Amendment_Windrow</v>
      </c>
    </row>
    <row r="4994" spans="1:13" s="120" customFormat="1" x14ac:dyDescent="0.25">
      <c r="A4994" s="119"/>
      <c r="B4994" s="138" t="str">
        <f t="shared" si="320"/>
        <v>Windrow</v>
      </c>
      <c r="C4994" s="138" t="str">
        <f t="shared" si="325"/>
        <v>Without Amendment</v>
      </c>
      <c r="D4994" s="138" t="str">
        <f t="shared" si="323"/>
        <v>Medium_Base</v>
      </c>
      <c r="E4994" s="138" t="str">
        <f t="shared" si="324"/>
        <v>Base</v>
      </c>
      <c r="F4994" s="138" t="str">
        <f t="shared" si="321"/>
        <v>Upgraded</v>
      </c>
      <c r="G4994" s="153"/>
      <c r="H4994" s="210">
        <v>0.17630000000000001</v>
      </c>
      <c r="I4994" s="160" t="s">
        <v>53</v>
      </c>
      <c r="J4994" s="160">
        <v>3.313E-2</v>
      </c>
      <c r="K4994" s="160" t="s">
        <v>25</v>
      </c>
      <c r="L4994" s="154" t="str">
        <f>IF(OpenLCAbasic!K4994="CTUh", "Fill in Manually",IF(OR(K4994="Unit", K4994=""), "", INDEX(LookUps!$E$5:$E$12, MATCH(OpenLCAbasic!K4994,LookUps!$D$5:$D$12,0))))</f>
        <v>Smog Formation Potential (SFP) - kg O3 eq</v>
      </c>
      <c r="M4994" s="154" t="str">
        <f t="shared" si="322"/>
        <v>Base_Medium_Base_Upgraded_Smog Formation Potential (SFP) - kg O3 eq_Wet Well and Sump Station; wastewater treatment unit; at updated plant - US_Without Amendment_Windrow</v>
      </c>
    </row>
    <row r="4995" spans="1:13" s="120" customFormat="1" x14ac:dyDescent="0.25">
      <c r="A4995" s="119"/>
      <c r="B4995" s="138" t="str">
        <f t="shared" si="320"/>
        <v>Windrow</v>
      </c>
      <c r="C4995" s="138" t="str">
        <f t="shared" si="325"/>
        <v>Without Amendment</v>
      </c>
      <c r="D4995" s="138" t="str">
        <f t="shared" si="323"/>
        <v>Medium_Base</v>
      </c>
      <c r="E4995" s="138" t="str">
        <f t="shared" si="324"/>
        <v>Base</v>
      </c>
      <c r="F4995" s="138" t="str">
        <f t="shared" si="321"/>
        <v>Upgraded</v>
      </c>
      <c r="G4995" s="153"/>
      <c r="H4995" s="210">
        <v>0.16350000000000001</v>
      </c>
      <c r="I4995" s="160" t="s">
        <v>167</v>
      </c>
      <c r="J4995" s="160">
        <v>3.0710000000000001E-2</v>
      </c>
      <c r="K4995" s="160" t="s">
        <v>25</v>
      </c>
      <c r="L4995" s="154" t="str">
        <f>IF(OpenLCAbasic!K4995="CTUh", "Fill in Manually",IF(OR(K4995="Unit", K4995=""), "", INDEX(LookUps!$E$5:$E$12, MATCH(OpenLCAbasic!K4995,LookUps!$D$5:$D$12,0))))</f>
        <v>Smog Formation Potential (SFP) - kg O3 eq</v>
      </c>
      <c r="M4995" s="154" t="str">
        <f t="shared" si="322"/>
        <v>Base_Medium_Base_Upgraded_Smog Formation Potential (SFP) - kg O3 eq_Waste Receiving and Holding; wastewater treatment unit; at updated plant - US_Without Amendment_Windrow</v>
      </c>
    </row>
    <row r="4996" spans="1:13" s="120" customFormat="1" x14ac:dyDescent="0.25">
      <c r="A4996" s="119"/>
      <c r="B4996" s="138" t="str">
        <f t="shared" ref="B4996:B5059" si="326">IF(F4996="Legacy","n.a.",IF(F4996="","","Windrow"))</f>
        <v>Windrow</v>
      </c>
      <c r="C4996" s="138" t="str">
        <f t="shared" si="325"/>
        <v>Without Amendment</v>
      </c>
      <c r="D4996" s="138" t="str">
        <f t="shared" si="323"/>
        <v>Medium_Base</v>
      </c>
      <c r="E4996" s="138" t="str">
        <f t="shared" si="324"/>
        <v>Base</v>
      </c>
      <c r="F4996" s="138" t="str">
        <f t="shared" ref="F4996:F5059" si="327">IF(ISNUMBER(J4996),"Upgraded","")</f>
        <v>Upgraded</v>
      </c>
      <c r="G4996" s="153"/>
      <c r="H4996" s="210">
        <v>0.1032</v>
      </c>
      <c r="I4996" s="160" t="s">
        <v>147</v>
      </c>
      <c r="J4996" s="160">
        <v>1.9400000000000001E-2</v>
      </c>
      <c r="K4996" s="160" t="s">
        <v>25</v>
      </c>
      <c r="L4996" s="154" t="str">
        <f>IF(OpenLCAbasic!K4996="CTUh", "Fill in Manually",IF(OR(K4996="Unit", K4996=""), "", INDEX(LookUps!$E$5:$E$12, MATCH(OpenLCAbasic!K4996,LookUps!$D$5:$D$12,0))))</f>
        <v>Smog Formation Potential (SFP) - kg O3 eq</v>
      </c>
      <c r="M4996" s="154" t="str">
        <f t="shared" si="322"/>
        <v>Base_Medium_Base_Upgraded_Smog Formation Potential (SFP) - kg O3 eq_Influent Pump Station; wastewater treatment unit; at updated plant - US_Without Amendment_Windrow</v>
      </c>
    </row>
    <row r="4997" spans="1:13" s="120" customFormat="1" x14ac:dyDescent="0.25">
      <c r="A4997" s="119"/>
      <c r="B4997" s="138" t="str">
        <f t="shared" si="326"/>
        <v>Windrow</v>
      </c>
      <c r="C4997" s="138" t="str">
        <f t="shared" si="325"/>
        <v>Without Amendment</v>
      </c>
      <c r="D4997" s="138" t="str">
        <f t="shared" si="323"/>
        <v>Medium_Base</v>
      </c>
      <c r="E4997" s="138" t="str">
        <f t="shared" si="324"/>
        <v>Base</v>
      </c>
      <c r="F4997" s="138" t="str">
        <f t="shared" si="327"/>
        <v>Upgraded</v>
      </c>
      <c r="G4997" s="153"/>
      <c r="H4997" s="210">
        <v>6.3399999999999998E-2</v>
      </c>
      <c r="I4997" s="160" t="s">
        <v>128</v>
      </c>
      <c r="J4997" s="160">
        <v>1.192E-2</v>
      </c>
      <c r="K4997" s="160" t="s">
        <v>25</v>
      </c>
      <c r="L4997" s="154" t="str">
        <f>IF(OpenLCAbasic!K4997="CTUh", "Fill in Manually",IF(OR(K4997="Unit", K4997=""), "", INDEX(LookUps!$E$5:$E$12, MATCH(OpenLCAbasic!K4997,LookUps!$D$5:$D$12,0))))</f>
        <v>Smog Formation Potential (SFP) - kg O3 eq</v>
      </c>
      <c r="M4997" s="154" t="str">
        <f t="shared" si="322"/>
        <v>Base_Medium_Base_Upgraded_Smog Formation Potential (SFP) - kg O3 eq_Wastewater collection; operation and infrastructure; m3 wastewater_Without Amendment_Windrow</v>
      </c>
    </row>
    <row r="4998" spans="1:13" s="120" customFormat="1" x14ac:dyDescent="0.25">
      <c r="A4998" s="119"/>
      <c r="B4998" s="138" t="str">
        <f t="shared" si="326"/>
        <v>Windrow</v>
      </c>
      <c r="C4998" s="138" t="str">
        <f t="shared" si="325"/>
        <v>Without Amendment</v>
      </c>
      <c r="D4998" s="138" t="str">
        <f t="shared" si="323"/>
        <v>Medium_Base</v>
      </c>
      <c r="E4998" s="138" t="str">
        <f t="shared" si="324"/>
        <v>Base</v>
      </c>
      <c r="F4998" s="138" t="str">
        <f t="shared" si="327"/>
        <v>Upgraded</v>
      </c>
      <c r="G4998" s="153"/>
      <c r="H4998" s="210">
        <v>5.3999999999999999E-2</v>
      </c>
      <c r="I4998" s="160" t="s">
        <v>60</v>
      </c>
      <c r="J4998" s="160">
        <v>1.014E-2</v>
      </c>
      <c r="K4998" s="160" t="s">
        <v>25</v>
      </c>
      <c r="L4998" s="154" t="str">
        <f>IF(OpenLCAbasic!K4998="CTUh", "Fill in Manually",IF(OR(K4998="Unit", K4998=""), "", INDEX(LookUps!$E$5:$E$12, MATCH(OpenLCAbasic!K4998,LookUps!$D$5:$D$12,0))))</f>
        <v>Smog Formation Potential (SFP) - kg O3 eq</v>
      </c>
      <c r="M4998" s="154" t="str">
        <f t="shared" si="322"/>
        <v>Base_Medium_Base_Upgraded_Smog Formation Potential (SFP) - kg O3 eq_Belt filter press; wastewater treatment unit; at updated plant - US_Without Amendment_Windrow</v>
      </c>
    </row>
    <row r="4999" spans="1:13" s="120" customFormat="1" x14ac:dyDescent="0.25">
      <c r="A4999" s="119"/>
      <c r="B4999" s="138" t="str">
        <f t="shared" si="326"/>
        <v>Windrow</v>
      </c>
      <c r="C4999" s="138" t="str">
        <f t="shared" si="325"/>
        <v>Without Amendment</v>
      </c>
      <c r="D4999" s="138" t="str">
        <f t="shared" si="323"/>
        <v>Medium_Base</v>
      </c>
      <c r="E4999" s="138" t="str">
        <f t="shared" si="324"/>
        <v>Base</v>
      </c>
      <c r="F4999" s="138" t="str">
        <f t="shared" si="327"/>
        <v>Upgraded</v>
      </c>
      <c r="G4999" s="153"/>
      <c r="H4999" s="210">
        <v>3.5400000000000001E-2</v>
      </c>
      <c r="I4999" s="160" t="s">
        <v>57</v>
      </c>
      <c r="J4999" s="160">
        <v>6.6499999999999997E-3</v>
      </c>
      <c r="K4999" s="160" t="s">
        <v>25</v>
      </c>
      <c r="L4999" s="154" t="str">
        <f>IF(OpenLCAbasic!K4999="CTUh", "Fill in Manually",IF(OR(K4999="Unit", K4999=""), "", INDEX(LookUps!$E$5:$E$12, MATCH(OpenLCAbasic!K4999,LookUps!$D$5:$D$12,0))))</f>
        <v>Smog Formation Potential (SFP) - kg O3 eq</v>
      </c>
      <c r="M4999" s="154" t="str">
        <f t="shared" ref="M4999:M5062" si="328">CONCATENATE(E4999,"_",D4999,"_",F4999,"_",L4999, "_",I4999,"_", C4999,"_", B4999)</f>
        <v>Base_Medium_Base_Upgraded_Smog Formation Potential (SFP) - kg O3 eq_Gravity Belt Thickener; wastewater treatment unit; at updated plant - US_Without Amendment_Windrow</v>
      </c>
    </row>
    <row r="5000" spans="1:13" s="120" customFormat="1" x14ac:dyDescent="0.25">
      <c r="A5000" s="119"/>
      <c r="B5000" s="138" t="str">
        <f t="shared" si="326"/>
        <v>Windrow</v>
      </c>
      <c r="C5000" s="138" t="str">
        <f t="shared" si="325"/>
        <v>Without Amendment</v>
      </c>
      <c r="D5000" s="138" t="str">
        <f t="shared" si="323"/>
        <v>Medium_Base</v>
      </c>
      <c r="E5000" s="138" t="str">
        <f t="shared" si="324"/>
        <v>Base</v>
      </c>
      <c r="F5000" s="138" t="str">
        <f t="shared" si="327"/>
        <v>Upgraded</v>
      </c>
      <c r="G5000" s="153"/>
      <c r="H5000" s="210">
        <v>2.6499999999999999E-2</v>
      </c>
      <c r="I5000" s="160" t="s">
        <v>59</v>
      </c>
      <c r="J5000" s="160">
        <v>4.9699999999999996E-3</v>
      </c>
      <c r="K5000" s="160" t="s">
        <v>25</v>
      </c>
      <c r="L5000" s="154" t="str">
        <f>IF(OpenLCAbasic!K5000="CTUh", "Fill in Manually",IF(OR(K5000="Unit", K5000=""), "", INDEX(LookUps!$E$5:$E$12, MATCH(OpenLCAbasic!K5000,LookUps!$D$5:$D$12,0))))</f>
        <v>Smog Formation Potential (SFP) - kg O3 eq</v>
      </c>
      <c r="M5000" s="154" t="str">
        <f t="shared" si="328"/>
        <v>Base_Medium_Base_Upgraded_Smog Formation Potential (SFP) - kg O3 eq_Blend Tank; wastewater treatment unit; at updated plant - US_Without Amendment_Windrow</v>
      </c>
    </row>
    <row r="5001" spans="1:13" s="120" customFormat="1" x14ac:dyDescent="0.25">
      <c r="A5001" s="119"/>
      <c r="B5001" s="138" t="str">
        <f t="shared" si="326"/>
        <v>Windrow</v>
      </c>
      <c r="C5001" s="138" t="str">
        <f t="shared" si="325"/>
        <v>Without Amendment</v>
      </c>
      <c r="D5001" s="138" t="str">
        <f t="shared" si="323"/>
        <v>Medium_Base</v>
      </c>
      <c r="E5001" s="138" t="str">
        <f t="shared" si="324"/>
        <v>Base</v>
      </c>
      <c r="F5001" s="138" t="str">
        <f t="shared" si="327"/>
        <v>Upgraded</v>
      </c>
      <c r="G5001" s="153"/>
      <c r="H5001" s="210">
        <v>1.7999999999999999E-2</v>
      </c>
      <c r="I5001" s="160" t="s">
        <v>48</v>
      </c>
      <c r="J5001" s="160">
        <v>3.3899999999999998E-3</v>
      </c>
      <c r="K5001" s="160" t="s">
        <v>25</v>
      </c>
      <c r="L5001" s="154" t="str">
        <f>IF(OpenLCAbasic!K5001="CTUh", "Fill in Manually",IF(OR(K5001="Unit", K5001=""), "", INDEX(LookUps!$E$5:$E$12, MATCH(OpenLCAbasic!K5001,LookUps!$D$5:$D$12,0))))</f>
        <v>Smog Formation Potential (SFP) - kg O3 eq</v>
      </c>
      <c r="M5001" s="154" t="str">
        <f t="shared" si="328"/>
        <v>Base_Medium_Base_Upgraded_Smog Formation Potential (SFP) - kg O3 eq_Effluent release; wastewater treatment unit; at surface water; m3 wastewater - US_Without Amendment_Windrow</v>
      </c>
    </row>
    <row r="5002" spans="1:13" s="120" customFormat="1" x14ac:dyDescent="0.25">
      <c r="A5002" s="119"/>
      <c r="B5002" s="138" t="str">
        <f t="shared" si="326"/>
        <v>Windrow</v>
      </c>
      <c r="C5002" s="138" t="str">
        <f t="shared" si="325"/>
        <v>Without Amendment</v>
      </c>
      <c r="D5002" s="138" t="str">
        <f t="shared" si="323"/>
        <v>Medium_Base</v>
      </c>
      <c r="E5002" s="138" t="str">
        <f t="shared" si="324"/>
        <v>Base</v>
      </c>
      <c r="F5002" s="138" t="str">
        <f t="shared" si="327"/>
        <v>Upgraded</v>
      </c>
      <c r="G5002" s="153"/>
      <c r="H5002" s="210">
        <v>1.3100000000000001E-2</v>
      </c>
      <c r="I5002" s="160" t="s">
        <v>168</v>
      </c>
      <c r="J5002" s="160">
        <v>2.4599999999999999E-3</v>
      </c>
      <c r="K5002" s="160" t="s">
        <v>25</v>
      </c>
      <c r="L5002" s="154" t="str">
        <f>IF(OpenLCAbasic!K5002="CTUh", "Fill in Manually",IF(OR(K5002="Unit", K5002=""), "", INDEX(LookUps!$E$5:$E$12, MATCH(OpenLCAbasic!K5002,LookUps!$D$5:$D$12,0))))</f>
        <v>Smog Formation Potential (SFP) - kg O3 eq</v>
      </c>
      <c r="M5002" s="154" t="str">
        <f t="shared" si="328"/>
        <v>Base_Medium_Base_Upgraded_Smog Formation Potential (SFP) - kg O3 eq_ClearCove SCP; wastewater treatment unit; at updated plant - US_Without Amendment_Windrow</v>
      </c>
    </row>
    <row r="5003" spans="1:13" s="120" customFormat="1" x14ac:dyDescent="0.25">
      <c r="A5003" s="119"/>
      <c r="B5003" s="138" t="str">
        <f t="shared" si="326"/>
        <v>Windrow</v>
      </c>
      <c r="C5003" s="138" t="str">
        <f t="shared" si="325"/>
        <v>Without Amendment</v>
      </c>
      <c r="D5003" s="138" t="str">
        <f t="shared" si="323"/>
        <v>Medium_Base</v>
      </c>
      <c r="E5003" s="138" t="str">
        <f t="shared" si="324"/>
        <v>Base</v>
      </c>
      <c r="F5003" s="138" t="str">
        <f t="shared" si="327"/>
        <v>Upgraded</v>
      </c>
      <c r="G5003" s="153"/>
      <c r="H5003" s="210">
        <v>3.0999999999999999E-3</v>
      </c>
      <c r="I5003" s="160" t="s">
        <v>271</v>
      </c>
      <c r="J5003" s="160">
        <v>5.8E-4</v>
      </c>
      <c r="K5003" s="160" t="s">
        <v>25</v>
      </c>
      <c r="L5003" s="154" t="str">
        <f>IF(OpenLCAbasic!K5003="CTUh", "Fill in Manually",IF(OR(K5003="Unit", K5003=""), "", INDEX(LookUps!$E$5:$E$12, MATCH(OpenLCAbasic!K5003,LookUps!$D$5:$D$12,0))))</f>
        <v>Smog Formation Potential (SFP) - kg O3 eq</v>
      </c>
      <c r="M5003" s="154" t="str">
        <f t="shared" si="328"/>
        <v>Base_Medium_Base_Upgraded_Smog Formation Potential (SFP) - kg O3 eq_Biosolids composting; windrow composting; wastewater treatment unit; at updated plant - US_Without Amendment_Windrow</v>
      </c>
    </row>
    <row r="5004" spans="1:13" s="120" customFormat="1" x14ac:dyDescent="0.25">
      <c r="A5004" s="119"/>
      <c r="B5004" s="138" t="str">
        <f t="shared" si="326"/>
        <v>Windrow</v>
      </c>
      <c r="C5004" s="138" t="str">
        <f t="shared" si="325"/>
        <v>Without Amendment</v>
      </c>
      <c r="D5004" s="138" t="str">
        <f t="shared" si="323"/>
        <v>Medium_Base</v>
      </c>
      <c r="E5004" s="138" t="str">
        <f t="shared" si="324"/>
        <v>Base</v>
      </c>
      <c r="F5004" s="138" t="str">
        <f t="shared" si="327"/>
        <v>Upgraded</v>
      </c>
      <c r="G5004" s="153"/>
      <c r="H5004" s="210">
        <v>2.8999999999999998E-3</v>
      </c>
      <c r="I5004" s="160" t="s">
        <v>148</v>
      </c>
      <c r="J5004" s="160">
        <v>5.4000000000000001E-4</v>
      </c>
      <c r="K5004" s="160" t="s">
        <v>25</v>
      </c>
      <c r="L5004" s="154" t="str">
        <f>IF(OpenLCAbasic!K5004="CTUh", "Fill in Manually",IF(OR(K5004="Unit", K5004=""), "", INDEX(LookUps!$E$5:$E$12, MATCH(OpenLCAbasic!K5004,LookUps!$D$5:$D$12,0))))</f>
        <v>Smog Formation Potential (SFP) - kg O3 eq</v>
      </c>
      <c r="M5004" s="154" t="str">
        <f t="shared" si="328"/>
        <v>Base_Medium_Base_Upgraded_Smog Formation Potential (SFP) - kg O3 eq_Control Building; at upgraded wastewater treatment plant - US_Without Amendment_Windrow</v>
      </c>
    </row>
    <row r="5005" spans="1:13" s="120" customFormat="1" x14ac:dyDescent="0.25">
      <c r="A5005" s="119"/>
      <c r="B5005" s="138" t="str">
        <f t="shared" si="326"/>
        <v>Windrow</v>
      </c>
      <c r="C5005" s="138" t="str">
        <f t="shared" si="325"/>
        <v>Without Amendment</v>
      </c>
      <c r="D5005" s="138" t="str">
        <f t="shared" si="323"/>
        <v>Medium_Base</v>
      </c>
      <c r="E5005" s="138" t="str">
        <f t="shared" si="324"/>
        <v>Base</v>
      </c>
      <c r="F5005" s="138" t="str">
        <f t="shared" si="327"/>
        <v>Upgraded</v>
      </c>
      <c r="G5005" s="153"/>
      <c r="H5005" s="210">
        <v>-1.2800000000000001E-2</v>
      </c>
      <c r="I5005" s="160" t="s">
        <v>62</v>
      </c>
      <c r="J5005" s="160">
        <v>-2.3999999999999998E-3</v>
      </c>
      <c r="K5005" s="160" t="s">
        <v>25</v>
      </c>
      <c r="L5005" s="154" t="str">
        <f>IF(OpenLCAbasic!K5005="CTUh", "Fill in Manually",IF(OR(K5005="Unit", K5005=""), "", INDEX(LookUps!$E$5:$E$12, MATCH(OpenLCAbasic!K5005,LookUps!$D$5:$D$12,0))))</f>
        <v>Smog Formation Potential (SFP) - kg O3 eq</v>
      </c>
      <c r="M5005" s="154" t="str">
        <f t="shared" si="328"/>
        <v>Base_Medium_Base_Upgraded_Smog Formation Potential (SFP) - kg O3 eq_Land application of compost; wastewater treatment unit; at updated plant - US_Without Amendment_Windrow</v>
      </c>
    </row>
    <row r="5006" spans="1:13" s="120" customFormat="1" x14ac:dyDescent="0.25">
      <c r="A5006" s="119"/>
      <c r="B5006" s="138" t="str">
        <f t="shared" si="326"/>
        <v>Windrow</v>
      </c>
      <c r="C5006" s="138" t="str">
        <f t="shared" si="325"/>
        <v>Without Amendment</v>
      </c>
      <c r="D5006" s="138" t="str">
        <f t="shared" si="323"/>
        <v>Medium_Base</v>
      </c>
      <c r="E5006" s="138" t="str">
        <f t="shared" si="324"/>
        <v>Base</v>
      </c>
      <c r="F5006" s="138" t="str">
        <f t="shared" si="327"/>
        <v>Upgraded</v>
      </c>
      <c r="G5006" s="153"/>
      <c r="H5006" s="210">
        <v>-1.0078</v>
      </c>
      <c r="I5006" s="160" t="s">
        <v>149</v>
      </c>
      <c r="J5006" s="160">
        <v>-0.18936</v>
      </c>
      <c r="K5006" s="160" t="s">
        <v>25</v>
      </c>
      <c r="L5006" s="154" t="str">
        <f>IF(OpenLCAbasic!K5006="CTUh", "Fill in Manually",IF(OR(K5006="Unit", K5006=""), "", INDEX(LookUps!$E$5:$E$12, MATCH(OpenLCAbasic!K5006,LookUps!$D$5:$D$12,0))))</f>
        <v>Smog Formation Potential (SFP) - kg O3 eq</v>
      </c>
      <c r="M5006" s="154" t="str">
        <f t="shared" si="328"/>
        <v>Base_Medium_Base_Upgraded_Smog Formation Potential (SFP) - kg O3 eq_Anaerobic Digestion; wastewater treatment unit; at updated plant - US_Without Amendment_Windrow</v>
      </c>
    </row>
    <row r="5007" spans="1:13" s="120" customFormat="1" x14ac:dyDescent="0.25">
      <c r="A5007" s="119"/>
      <c r="B5007" s="138" t="str">
        <f t="shared" si="326"/>
        <v/>
      </c>
      <c r="C5007" s="138" t="str">
        <f t="shared" si="325"/>
        <v/>
      </c>
      <c r="D5007" s="138" t="str">
        <f t="shared" si="323"/>
        <v/>
      </c>
      <c r="E5007" s="138" t="str">
        <f t="shared" si="324"/>
        <v/>
      </c>
      <c r="F5007" s="138" t="str">
        <f t="shared" si="327"/>
        <v/>
      </c>
      <c r="G5007" s="153" t="s">
        <v>51</v>
      </c>
      <c r="H5007" s="160"/>
      <c r="I5007" s="160" t="s">
        <v>47</v>
      </c>
      <c r="J5007" s="160" t="s">
        <v>52</v>
      </c>
      <c r="K5007" s="160" t="s">
        <v>27</v>
      </c>
      <c r="L5007" s="154" t="str">
        <f>IF(OpenLCAbasic!K5007="CTUh", "Fill in Manually",IF(OR(K5007="Unit", K5007=""), "", INDEX(LookUps!$E$5:$E$12, MATCH(OpenLCAbasic!K5007,LookUps!$D$5:$D$12,0))))</f>
        <v/>
      </c>
      <c r="M5007" s="154" t="str">
        <f t="shared" si="328"/>
        <v>____Process__</v>
      </c>
    </row>
    <row r="5008" spans="1:13" s="120" customFormat="1" x14ac:dyDescent="0.25">
      <c r="A5008" s="119"/>
      <c r="B5008" s="138" t="str">
        <f t="shared" si="326"/>
        <v>Windrow</v>
      </c>
      <c r="C5008" s="138" t="str">
        <f t="shared" si="325"/>
        <v>Without Amendment</v>
      </c>
      <c r="D5008" s="138" t="str">
        <f t="shared" si="323"/>
        <v>Medium_Base</v>
      </c>
      <c r="E5008" s="138" t="str">
        <f t="shared" si="324"/>
        <v>Base</v>
      </c>
      <c r="F5008" s="138" t="str">
        <f t="shared" si="327"/>
        <v>Upgraded</v>
      </c>
      <c r="G5008" s="153"/>
      <c r="H5008" s="210">
        <v>1.8863000000000001</v>
      </c>
      <c r="I5008" s="160" t="s">
        <v>167</v>
      </c>
      <c r="J5008" s="160">
        <v>2.7999999999999998E-4</v>
      </c>
      <c r="K5008" s="160" t="s">
        <v>26</v>
      </c>
      <c r="L5008" s="154" t="str">
        <f>IF(OpenLCAbasic!K5008="CTUh", "Fill in Manually",IF(OR(K5008="Unit", K5008=""), "", INDEX(LookUps!$E$5:$E$12, MATCH(OpenLCAbasic!K5008,LookUps!$D$5:$D$12,0))))</f>
        <v>Water Use (WU) - m3 H2O</v>
      </c>
      <c r="M5008" s="154" t="str">
        <f t="shared" si="328"/>
        <v>Base_Medium_Base_Upgraded_Water Use (WU) - m3 H2O_Waste Receiving and Holding; wastewater treatment unit; at updated plant - US_Without Amendment_Windrow</v>
      </c>
    </row>
    <row r="5009" spans="1:13" s="120" customFormat="1" x14ac:dyDescent="0.25">
      <c r="A5009" s="119"/>
      <c r="B5009" s="138" t="str">
        <f t="shared" si="326"/>
        <v>Windrow</v>
      </c>
      <c r="C5009" s="138" t="str">
        <f t="shared" si="325"/>
        <v>Without Amendment</v>
      </c>
      <c r="D5009" s="138" t="str">
        <f t="shared" si="323"/>
        <v>Medium_Base</v>
      </c>
      <c r="E5009" s="138" t="str">
        <f t="shared" si="324"/>
        <v>Base</v>
      </c>
      <c r="F5009" s="138" t="str">
        <f t="shared" si="327"/>
        <v>Upgraded</v>
      </c>
      <c r="G5009" s="153"/>
      <c r="H5009" s="210">
        <v>1.2313000000000001</v>
      </c>
      <c r="I5009" s="160" t="s">
        <v>147</v>
      </c>
      <c r="J5009" s="160">
        <v>1.8000000000000001E-4</v>
      </c>
      <c r="K5009" s="160" t="s">
        <v>26</v>
      </c>
      <c r="L5009" s="154" t="str">
        <f>IF(OpenLCAbasic!K5009="CTUh", "Fill in Manually",IF(OR(K5009="Unit", K5009=""), "", INDEX(LookUps!$E$5:$E$12, MATCH(OpenLCAbasic!K5009,LookUps!$D$5:$D$12,0))))</f>
        <v>Water Use (WU) - m3 H2O</v>
      </c>
      <c r="M5009" s="154" t="str">
        <f t="shared" si="328"/>
        <v>Base_Medium_Base_Upgraded_Water Use (WU) - m3 H2O_Influent Pump Station; wastewater treatment unit; at updated plant - US_Without Amendment_Windrow</v>
      </c>
    </row>
    <row r="5010" spans="1:13" s="120" customFormat="1" x14ac:dyDescent="0.25">
      <c r="A5010" s="119"/>
      <c r="B5010" s="138" t="str">
        <f t="shared" si="326"/>
        <v>Windrow</v>
      </c>
      <c r="C5010" s="138" t="str">
        <f t="shared" si="325"/>
        <v>Without Amendment</v>
      </c>
      <c r="D5010" s="138" t="str">
        <f t="shared" si="323"/>
        <v>Medium_Base</v>
      </c>
      <c r="E5010" s="138" t="str">
        <f t="shared" si="324"/>
        <v>Base</v>
      </c>
      <c r="F5010" s="138" t="str">
        <f t="shared" si="327"/>
        <v>Upgraded</v>
      </c>
      <c r="G5010" s="153"/>
      <c r="H5010" s="210">
        <v>1.2014</v>
      </c>
      <c r="I5010" s="160" t="s">
        <v>54</v>
      </c>
      <c r="J5010" s="160">
        <v>1.8000000000000001E-4</v>
      </c>
      <c r="K5010" s="160" t="s">
        <v>26</v>
      </c>
      <c r="L5010" s="154" t="str">
        <f>IF(OpenLCAbasic!K5010="CTUh", "Fill in Manually",IF(OR(K5010="Unit", K5010=""), "", INDEX(LookUps!$E$5:$E$12, MATCH(OpenLCAbasic!K5010,LookUps!$D$5:$D$12,0))))</f>
        <v>Water Use (WU) - m3 H2O</v>
      </c>
      <c r="M5010" s="154" t="str">
        <f t="shared" si="328"/>
        <v>Base_Medium_Base_Upgraded_Water Use (WU) - m3 H2O_Clear Cove Primary Clarification; wastewater treatment unit; at updated plant - US_Without Amendment_Windrow</v>
      </c>
    </row>
    <row r="5011" spans="1:13" s="120" customFormat="1" x14ac:dyDescent="0.25">
      <c r="A5011" s="119"/>
      <c r="B5011" s="138" t="str">
        <f t="shared" si="326"/>
        <v>Windrow</v>
      </c>
      <c r="C5011" s="138" t="str">
        <f t="shared" si="325"/>
        <v>Without Amendment</v>
      </c>
      <c r="D5011" s="138" t="str">
        <f t="shared" si="323"/>
        <v>Medium_Base</v>
      </c>
      <c r="E5011" s="138" t="str">
        <f t="shared" si="324"/>
        <v>Base</v>
      </c>
      <c r="F5011" s="138" t="str">
        <f t="shared" si="327"/>
        <v>Upgraded</v>
      </c>
      <c r="G5011" s="153"/>
      <c r="H5011" s="210">
        <v>1.0899000000000001</v>
      </c>
      <c r="I5011" s="160" t="s">
        <v>55</v>
      </c>
      <c r="J5011" s="160">
        <v>1.6000000000000001E-4</v>
      </c>
      <c r="K5011" s="160" t="s">
        <v>26</v>
      </c>
      <c r="L5011" s="154" t="str">
        <f>IF(OpenLCAbasic!K5011="CTUh", "Fill in Manually",IF(OR(K5011="Unit", K5011=""), "", INDEX(LookUps!$E$5:$E$12, MATCH(OpenLCAbasic!K5011,LookUps!$D$5:$D$12,0))))</f>
        <v>Water Use (WU) - m3 H2O</v>
      </c>
      <c r="M5011" s="154" t="str">
        <f t="shared" si="328"/>
        <v>Base_Medium_Base_Upgraded_Water Use (WU) - m3 H2O_Aeration Tanks; wastewater treatment unit; at updated plant - US_Without Amendment_Windrow</v>
      </c>
    </row>
    <row r="5012" spans="1:13" s="120" customFormat="1" x14ac:dyDescent="0.25">
      <c r="A5012" s="119"/>
      <c r="B5012" s="138" t="str">
        <f t="shared" si="326"/>
        <v>Windrow</v>
      </c>
      <c r="C5012" s="138" t="str">
        <f t="shared" si="325"/>
        <v>Without Amendment</v>
      </c>
      <c r="D5012" s="138" t="str">
        <f t="shared" si="323"/>
        <v>Medium_Base</v>
      </c>
      <c r="E5012" s="138" t="str">
        <f t="shared" si="324"/>
        <v>Base</v>
      </c>
      <c r="F5012" s="138" t="str">
        <f t="shared" si="327"/>
        <v>Upgraded</v>
      </c>
      <c r="G5012" s="153"/>
      <c r="H5012" s="210">
        <v>0.99280000000000002</v>
      </c>
      <c r="I5012" s="160" t="s">
        <v>148</v>
      </c>
      <c r="J5012" s="160">
        <v>1.4999999999999999E-4</v>
      </c>
      <c r="K5012" s="160" t="s">
        <v>26</v>
      </c>
      <c r="L5012" s="154" t="str">
        <f>IF(OpenLCAbasic!K5012="CTUh", "Fill in Manually",IF(OR(K5012="Unit", K5012=""), "", INDEX(LookUps!$E$5:$E$12, MATCH(OpenLCAbasic!K5012,LookUps!$D$5:$D$12,0))))</f>
        <v>Water Use (WU) - m3 H2O</v>
      </c>
      <c r="M5012" s="154" t="str">
        <f t="shared" si="328"/>
        <v>Base_Medium_Base_Upgraded_Water Use (WU) - m3 H2O_Control Building; at upgraded wastewater treatment plant - US_Without Amendment_Windrow</v>
      </c>
    </row>
    <row r="5013" spans="1:13" s="120" customFormat="1" x14ac:dyDescent="0.25">
      <c r="A5013" s="119"/>
      <c r="B5013" s="138" t="str">
        <f t="shared" si="326"/>
        <v>Windrow</v>
      </c>
      <c r="C5013" s="138" t="str">
        <f t="shared" si="325"/>
        <v>Without Amendment</v>
      </c>
      <c r="D5013" s="138" t="str">
        <f t="shared" si="323"/>
        <v>Medium_Base</v>
      </c>
      <c r="E5013" s="138" t="str">
        <f t="shared" si="324"/>
        <v>Base</v>
      </c>
      <c r="F5013" s="138" t="str">
        <f t="shared" si="327"/>
        <v>Upgraded</v>
      </c>
      <c r="G5013" s="153"/>
      <c r="H5013" s="210">
        <v>0.46100000000000002</v>
      </c>
      <c r="I5013" s="160" t="s">
        <v>48</v>
      </c>
      <c r="J5013" s="211">
        <v>6.8836400000000004E-5</v>
      </c>
      <c r="K5013" s="160" t="s">
        <v>26</v>
      </c>
      <c r="L5013" s="154" t="str">
        <f>IF(OpenLCAbasic!K5013="CTUh", "Fill in Manually",IF(OR(K5013="Unit", K5013=""), "", INDEX(LookUps!$E$5:$E$12, MATCH(OpenLCAbasic!K5013,LookUps!$D$5:$D$12,0))))</f>
        <v>Water Use (WU) - m3 H2O</v>
      </c>
      <c r="M5013" s="154" t="str">
        <f t="shared" si="328"/>
        <v>Base_Medium_Base_Upgraded_Water Use (WU) - m3 H2O_Effluent release; wastewater treatment unit; at surface water; m3 wastewater - US_Without Amendment_Windrow</v>
      </c>
    </row>
    <row r="5014" spans="1:13" s="120" customFormat="1" x14ac:dyDescent="0.25">
      <c r="A5014" s="119"/>
      <c r="B5014" s="138" t="str">
        <f t="shared" si="326"/>
        <v>Windrow</v>
      </c>
      <c r="C5014" s="138" t="str">
        <f t="shared" si="325"/>
        <v>Without Amendment</v>
      </c>
      <c r="D5014" s="138" t="str">
        <f t="shared" si="323"/>
        <v>Medium_Base</v>
      </c>
      <c r="E5014" s="138" t="str">
        <f t="shared" si="324"/>
        <v>Base</v>
      </c>
      <c r="F5014" s="138" t="str">
        <f t="shared" si="327"/>
        <v>Upgraded</v>
      </c>
      <c r="G5014" s="153"/>
      <c r="H5014" s="210">
        <v>0.28960000000000002</v>
      </c>
      <c r="I5014" s="160" t="s">
        <v>58</v>
      </c>
      <c r="J5014" s="211">
        <v>4.3235300000000003E-5</v>
      </c>
      <c r="K5014" s="160" t="s">
        <v>26</v>
      </c>
      <c r="L5014" s="154" t="str">
        <f>IF(OpenLCAbasic!K5014="CTUh", "Fill in Manually",IF(OR(K5014="Unit", K5014=""), "", INDEX(LookUps!$E$5:$E$12, MATCH(OpenLCAbasic!K5014,LookUps!$D$5:$D$12,0))))</f>
        <v>Water Use (WU) - m3 H2O</v>
      </c>
      <c r="M5014" s="154" t="str">
        <f t="shared" si="328"/>
        <v>Base_Medium_Base_Upgraded_Water Use (WU) - m3 H2O_Pre-Anoxic &amp; Swing tank; wastewater treatment unit; at updated plant - US_Without Amendment_Windrow</v>
      </c>
    </row>
    <row r="5015" spans="1:13" s="120" customFormat="1" x14ac:dyDescent="0.25">
      <c r="A5015" s="119"/>
      <c r="B5015" s="138" t="str">
        <f t="shared" si="326"/>
        <v>Windrow</v>
      </c>
      <c r="C5015" s="138" t="str">
        <f t="shared" si="325"/>
        <v>Without Amendment</v>
      </c>
      <c r="D5015" s="138" t="str">
        <f t="shared" si="323"/>
        <v>Medium_Base</v>
      </c>
      <c r="E5015" s="138" t="str">
        <f t="shared" si="324"/>
        <v>Base</v>
      </c>
      <c r="F5015" s="138" t="str">
        <f t="shared" si="327"/>
        <v>Upgraded</v>
      </c>
      <c r="G5015" s="153"/>
      <c r="H5015" s="210">
        <v>0.20369999999999999</v>
      </c>
      <c r="I5015" s="160" t="s">
        <v>57</v>
      </c>
      <c r="J5015" s="211">
        <v>3.0408100000000001E-5</v>
      </c>
      <c r="K5015" s="160" t="s">
        <v>26</v>
      </c>
      <c r="L5015" s="154" t="str">
        <f>IF(OpenLCAbasic!K5015="CTUh", "Fill in Manually",IF(OR(K5015="Unit", K5015=""), "", INDEX(LookUps!$E$5:$E$12, MATCH(OpenLCAbasic!K5015,LookUps!$D$5:$D$12,0))))</f>
        <v>Water Use (WU) - m3 H2O</v>
      </c>
      <c r="M5015" s="154" t="str">
        <f t="shared" si="328"/>
        <v>Base_Medium_Base_Upgraded_Water Use (WU) - m3 H2O_Gravity Belt Thickener; wastewater treatment unit; at updated plant - US_Without Amendment_Windrow</v>
      </c>
    </row>
    <row r="5016" spans="1:13" s="120" customFormat="1" x14ac:dyDescent="0.25">
      <c r="A5016" s="119"/>
      <c r="B5016" s="138" t="str">
        <f t="shared" si="326"/>
        <v>Windrow</v>
      </c>
      <c r="C5016" s="138" t="str">
        <f t="shared" si="325"/>
        <v>Without Amendment</v>
      </c>
      <c r="D5016" s="138" t="str">
        <f t="shared" si="323"/>
        <v>Medium_Base</v>
      </c>
      <c r="E5016" s="138" t="str">
        <f t="shared" si="324"/>
        <v>Base</v>
      </c>
      <c r="F5016" s="138" t="str">
        <f t="shared" si="327"/>
        <v>Upgraded</v>
      </c>
      <c r="G5016" s="153"/>
      <c r="H5016" s="210">
        <v>0.2029</v>
      </c>
      <c r="I5016" s="160" t="s">
        <v>60</v>
      </c>
      <c r="J5016" s="211">
        <v>3.0289000000000001E-5</v>
      </c>
      <c r="K5016" s="160" t="s">
        <v>26</v>
      </c>
      <c r="L5016" s="154" t="str">
        <f>IF(OpenLCAbasic!K5016="CTUh", "Fill in Manually",IF(OR(K5016="Unit", K5016=""), "", INDEX(LookUps!$E$5:$E$12, MATCH(OpenLCAbasic!K5016,LookUps!$D$5:$D$12,0))))</f>
        <v>Water Use (WU) - m3 H2O</v>
      </c>
      <c r="M5016" s="154" t="str">
        <f t="shared" si="328"/>
        <v>Base_Medium_Base_Upgraded_Water Use (WU) - m3 H2O_Belt filter press; wastewater treatment unit; at updated plant - US_Without Amendment_Windrow</v>
      </c>
    </row>
    <row r="5017" spans="1:13" s="120" customFormat="1" x14ac:dyDescent="0.25">
      <c r="A5017" s="119"/>
      <c r="B5017" s="138" t="str">
        <f t="shared" si="326"/>
        <v>Windrow</v>
      </c>
      <c r="C5017" s="138" t="str">
        <f t="shared" si="325"/>
        <v>Without Amendment</v>
      </c>
      <c r="D5017" s="138" t="str">
        <f t="shared" ref="D5017:D5023" si="329">IF(ISNUMBER($J5017),"Medium_Base","")</f>
        <v>Medium_Base</v>
      </c>
      <c r="E5017" s="138" t="str">
        <f t="shared" si="324"/>
        <v>Base</v>
      </c>
      <c r="F5017" s="138" t="str">
        <f t="shared" si="327"/>
        <v>Upgraded</v>
      </c>
      <c r="G5017" s="153"/>
      <c r="H5017" s="210">
        <v>0.1172</v>
      </c>
      <c r="I5017" s="160" t="s">
        <v>53</v>
      </c>
      <c r="J5017" s="211">
        <v>1.75069E-5</v>
      </c>
      <c r="K5017" s="160" t="s">
        <v>26</v>
      </c>
      <c r="L5017" s="154" t="str">
        <f>IF(OpenLCAbasic!K5017="CTUh", "Fill in Manually",IF(OR(K5017="Unit", K5017=""), "", INDEX(LookUps!$E$5:$E$12, MATCH(OpenLCAbasic!K5017,LookUps!$D$5:$D$12,0))))</f>
        <v>Water Use (WU) - m3 H2O</v>
      </c>
      <c r="M5017" s="154" t="str">
        <f t="shared" si="328"/>
        <v>Base_Medium_Base_Upgraded_Water Use (WU) - m3 H2O_Wet Well and Sump Station; wastewater treatment unit; at updated plant - US_Without Amendment_Windrow</v>
      </c>
    </row>
    <row r="5018" spans="1:13" s="120" customFormat="1" x14ac:dyDescent="0.25">
      <c r="A5018" s="119"/>
      <c r="B5018" s="138" t="str">
        <f t="shared" si="326"/>
        <v>Windrow</v>
      </c>
      <c r="C5018" s="138" t="str">
        <f t="shared" si="325"/>
        <v>Without Amendment</v>
      </c>
      <c r="D5018" s="138" t="str">
        <f t="shared" si="329"/>
        <v>Medium_Base</v>
      </c>
      <c r="E5018" s="138" t="str">
        <f t="shared" si="324"/>
        <v>Base</v>
      </c>
      <c r="F5018" s="138" t="str">
        <f t="shared" si="327"/>
        <v>Upgraded</v>
      </c>
      <c r="G5018" s="153"/>
      <c r="H5018" s="210">
        <v>4.7E-2</v>
      </c>
      <c r="I5018" s="160" t="s">
        <v>59</v>
      </c>
      <c r="J5018" s="211">
        <v>7.0179500000000003E-6</v>
      </c>
      <c r="K5018" s="160" t="s">
        <v>26</v>
      </c>
      <c r="L5018" s="154" t="str">
        <f>IF(OpenLCAbasic!K5018="CTUh", "Fill in Manually",IF(OR(K5018="Unit", K5018=""), "", INDEX(LookUps!$E$5:$E$12, MATCH(OpenLCAbasic!K5018,LookUps!$D$5:$D$12,0))))</f>
        <v>Water Use (WU) - m3 H2O</v>
      </c>
      <c r="M5018" s="154" t="str">
        <f t="shared" si="328"/>
        <v>Base_Medium_Base_Upgraded_Water Use (WU) - m3 H2O_Blend Tank; wastewater treatment unit; at updated plant - US_Without Amendment_Windrow</v>
      </c>
    </row>
    <row r="5019" spans="1:13" s="120" customFormat="1" x14ac:dyDescent="0.25">
      <c r="A5019" s="119"/>
      <c r="B5019" s="138" t="str">
        <f t="shared" si="326"/>
        <v>Windrow</v>
      </c>
      <c r="C5019" s="138" t="str">
        <f t="shared" si="325"/>
        <v>Without Amendment</v>
      </c>
      <c r="D5019" s="138" t="str">
        <f t="shared" si="329"/>
        <v>Medium_Base</v>
      </c>
      <c r="E5019" s="138" t="str">
        <f t="shared" si="324"/>
        <v>Base</v>
      </c>
      <c r="F5019" s="138" t="str">
        <f t="shared" si="327"/>
        <v>Upgraded</v>
      </c>
      <c r="G5019" s="153"/>
      <c r="H5019" s="210">
        <v>3.39E-2</v>
      </c>
      <c r="I5019" s="160" t="s">
        <v>128</v>
      </c>
      <c r="J5019" s="211">
        <v>5.0608900000000003E-6</v>
      </c>
      <c r="K5019" s="160" t="s">
        <v>26</v>
      </c>
      <c r="L5019" s="154" t="str">
        <f>IF(OpenLCAbasic!K5019="CTUh", "Fill in Manually",IF(OR(K5019="Unit", K5019=""), "", INDEX(LookUps!$E$5:$E$12, MATCH(OpenLCAbasic!K5019,LookUps!$D$5:$D$12,0))))</f>
        <v>Water Use (WU) - m3 H2O</v>
      </c>
      <c r="M5019" s="154" t="str">
        <f t="shared" si="328"/>
        <v>Base_Medium_Base_Upgraded_Water Use (WU) - m3 H2O_Wastewater collection; operation and infrastructure; m3 wastewater_Without Amendment_Windrow</v>
      </c>
    </row>
    <row r="5020" spans="1:13" s="120" customFormat="1" x14ac:dyDescent="0.25">
      <c r="A5020" s="119"/>
      <c r="B5020" s="138" t="str">
        <f t="shared" si="326"/>
        <v>Windrow</v>
      </c>
      <c r="C5020" s="138" t="str">
        <f t="shared" si="325"/>
        <v>Without Amendment</v>
      </c>
      <c r="D5020" s="138" t="str">
        <f t="shared" si="329"/>
        <v>Medium_Base</v>
      </c>
      <c r="E5020" s="138" t="str">
        <f t="shared" si="324"/>
        <v>Base</v>
      </c>
      <c r="F5020" s="138" t="str">
        <f t="shared" si="327"/>
        <v>Upgraded</v>
      </c>
      <c r="G5020" s="153"/>
      <c r="H5020" s="210">
        <v>9.7000000000000003E-3</v>
      </c>
      <c r="I5020" s="160" t="s">
        <v>271</v>
      </c>
      <c r="J5020" s="211">
        <v>1.4465700000000001E-6</v>
      </c>
      <c r="K5020" s="160" t="s">
        <v>26</v>
      </c>
      <c r="L5020" s="154" t="str">
        <f>IF(OpenLCAbasic!K5020="CTUh", "Fill in Manually",IF(OR(K5020="Unit", K5020=""), "", INDEX(LookUps!$E$5:$E$12, MATCH(OpenLCAbasic!K5020,LookUps!$D$5:$D$12,0))))</f>
        <v>Water Use (WU) - m3 H2O</v>
      </c>
      <c r="M5020" s="154" t="str">
        <f t="shared" si="328"/>
        <v>Base_Medium_Base_Upgraded_Water Use (WU) - m3 H2O_Biosolids composting; windrow composting; wastewater treatment unit; at updated plant - US_Without Amendment_Windrow</v>
      </c>
    </row>
    <row r="5021" spans="1:13" s="120" customFormat="1" x14ac:dyDescent="0.25">
      <c r="A5021" s="119"/>
      <c r="B5021" s="138" t="str">
        <f t="shared" si="326"/>
        <v>Windrow</v>
      </c>
      <c r="C5021" s="138" t="str">
        <f t="shared" si="325"/>
        <v>Without Amendment</v>
      </c>
      <c r="D5021" s="138" t="str">
        <f t="shared" si="329"/>
        <v>Medium_Base</v>
      </c>
      <c r="E5021" s="138" t="str">
        <f t="shared" si="324"/>
        <v>Base</v>
      </c>
      <c r="F5021" s="138" t="str">
        <f t="shared" si="327"/>
        <v>Upgraded</v>
      </c>
      <c r="G5021" s="153"/>
      <c r="H5021" s="210">
        <v>5.1000000000000004E-3</v>
      </c>
      <c r="I5021" s="160" t="s">
        <v>168</v>
      </c>
      <c r="J5021" s="211">
        <v>7.6697000000000004E-7</v>
      </c>
      <c r="K5021" s="160" t="s">
        <v>26</v>
      </c>
      <c r="L5021" s="154" t="str">
        <f>IF(OpenLCAbasic!K5021="CTUh", "Fill in Manually",IF(OR(K5021="Unit", K5021=""), "", INDEX(LookUps!$E$5:$E$12, MATCH(OpenLCAbasic!K5021,LookUps!$D$5:$D$12,0))))</f>
        <v>Water Use (WU) - m3 H2O</v>
      </c>
      <c r="M5021" s="154" t="str">
        <f t="shared" si="328"/>
        <v>Base_Medium_Base_Upgraded_Water Use (WU) - m3 H2O_ClearCove SCP; wastewater treatment unit; at updated plant - US_Without Amendment_Windrow</v>
      </c>
    </row>
    <row r="5022" spans="1:13" s="120" customFormat="1" x14ac:dyDescent="0.25">
      <c r="A5022" s="119"/>
      <c r="B5022" s="138" t="str">
        <f t="shared" si="326"/>
        <v>Windrow</v>
      </c>
      <c r="C5022" s="138" t="str">
        <f t="shared" si="325"/>
        <v>Without Amendment</v>
      </c>
      <c r="D5022" s="138" t="str">
        <f t="shared" si="329"/>
        <v>Medium_Base</v>
      </c>
      <c r="E5022" s="138" t="str">
        <f t="shared" si="324"/>
        <v>Base</v>
      </c>
      <c r="F5022" s="138" t="str">
        <f t="shared" si="327"/>
        <v>Upgraded</v>
      </c>
      <c r="G5022" s="153"/>
      <c r="H5022" s="210">
        <v>-0.25850000000000001</v>
      </c>
      <c r="I5022" s="160" t="s">
        <v>149</v>
      </c>
      <c r="J5022" s="211">
        <v>-3.8591399999999998E-5</v>
      </c>
      <c r="K5022" s="160" t="s">
        <v>26</v>
      </c>
      <c r="L5022" s="154" t="str">
        <f>IF(OpenLCAbasic!K5022="CTUh", "Fill in Manually",IF(OR(K5022="Unit", K5022=""), "", INDEX(LookUps!$E$5:$E$12, MATCH(OpenLCAbasic!K5022,LookUps!$D$5:$D$12,0))))</f>
        <v>Water Use (WU) - m3 H2O</v>
      </c>
      <c r="M5022" s="154" t="str">
        <f t="shared" si="328"/>
        <v>Base_Medium_Base_Upgraded_Water Use (WU) - m3 H2O_Anaerobic Digestion; wastewater treatment unit; at updated plant - US_Without Amendment_Windrow</v>
      </c>
    </row>
    <row r="5023" spans="1:13" s="120" customFormat="1" x14ac:dyDescent="0.25">
      <c r="A5023" s="119"/>
      <c r="B5023" s="138" t="str">
        <f t="shared" si="326"/>
        <v>Windrow</v>
      </c>
      <c r="C5023" s="138" t="str">
        <f t="shared" si="325"/>
        <v>Without Amendment</v>
      </c>
      <c r="D5023" s="138" t="str">
        <f t="shared" si="329"/>
        <v>Medium_Base</v>
      </c>
      <c r="E5023" s="138" t="str">
        <f t="shared" si="324"/>
        <v>Base</v>
      </c>
      <c r="F5023" s="138" t="str">
        <f t="shared" si="327"/>
        <v>Upgraded</v>
      </c>
      <c r="G5023" s="153"/>
      <c r="H5023" s="210">
        <v>-6.5130999999999997</v>
      </c>
      <c r="I5023" s="160" t="s">
        <v>62</v>
      </c>
      <c r="J5023" s="160">
        <v>-9.7000000000000005E-4</v>
      </c>
      <c r="K5023" s="160" t="s">
        <v>26</v>
      </c>
      <c r="L5023" s="154" t="str">
        <f>IF(OpenLCAbasic!K5023="CTUh", "Fill in Manually",IF(OR(K5023="Unit", K5023=""), "", INDEX(LookUps!$E$5:$E$12, MATCH(OpenLCAbasic!K5023,LookUps!$D$5:$D$12,0))))</f>
        <v>Water Use (WU) - m3 H2O</v>
      </c>
      <c r="M5023" s="154" t="str">
        <f t="shared" si="328"/>
        <v>Base_Medium_Base_Upgraded_Water Use (WU) - m3 H2O_Land application of compost; wastewater treatment unit; at updated plant - US_Without Amendment_Windrow</v>
      </c>
    </row>
    <row r="5024" spans="1:13" s="120" customFormat="1" x14ac:dyDescent="0.25">
      <c r="A5024" s="119"/>
      <c r="B5024" s="138" t="str">
        <f t="shared" si="326"/>
        <v/>
      </c>
      <c r="C5024" s="138" t="str">
        <f t="shared" si="325"/>
        <v/>
      </c>
      <c r="D5024" s="138" t="str">
        <f>IF(ISNUMBER($J5024),"Medium_High","")</f>
        <v/>
      </c>
      <c r="E5024" s="138" t="str">
        <f t="shared" si="324"/>
        <v/>
      </c>
      <c r="F5024" s="138" t="str">
        <f t="shared" si="327"/>
        <v/>
      </c>
      <c r="G5024" s="153" t="s">
        <v>51</v>
      </c>
      <c r="H5024" s="160"/>
      <c r="I5024" s="160" t="s">
        <v>47</v>
      </c>
      <c r="J5024" s="160" t="s">
        <v>52</v>
      </c>
      <c r="K5024" s="160" t="s">
        <v>27</v>
      </c>
      <c r="L5024" s="154" t="str">
        <f>IF(OpenLCAbasic!K5024="CTUh", "Fill in Manually",IF(OR(K5024="Unit", K5024=""), "", INDEX(LookUps!$E$5:$E$12, MATCH(OpenLCAbasic!K5024,LookUps!$D$5:$D$12,0))))</f>
        <v/>
      </c>
      <c r="M5024" s="154" t="str">
        <f t="shared" si="328"/>
        <v>____Process__</v>
      </c>
    </row>
    <row r="5025" spans="1:13" s="120" customFormat="1" x14ac:dyDescent="0.25">
      <c r="A5025" s="119"/>
      <c r="B5025" s="138" t="str">
        <f t="shared" si="326"/>
        <v>Windrow</v>
      </c>
      <c r="C5025" s="138" t="str">
        <f t="shared" si="325"/>
        <v>Without Amendment</v>
      </c>
      <c r="D5025" s="138" t="str">
        <f t="shared" ref="D5025:D5088" si="330">IF(ISNUMBER($J5025),"Medium_High","")</f>
        <v>Medium_High</v>
      </c>
      <c r="E5025" s="138" t="str">
        <f t="shared" si="324"/>
        <v>Base</v>
      </c>
      <c r="F5025" s="138" t="str">
        <f t="shared" si="327"/>
        <v>Upgraded</v>
      </c>
      <c r="G5025" s="153"/>
      <c r="H5025" s="210">
        <v>1.4072</v>
      </c>
      <c r="I5025" s="160" t="s">
        <v>55</v>
      </c>
      <c r="J5025" s="160">
        <v>1.7219999999999999E-2</v>
      </c>
      <c r="K5025" s="160" t="s">
        <v>24</v>
      </c>
      <c r="L5025" s="154" t="str">
        <f>IF(OpenLCAbasic!K5025="CTUh", "Fill in Manually",IF(OR(K5025="Unit", K5025=""), "", INDEX(LookUps!$E$5:$E$12, MATCH(OpenLCAbasic!K5025,LookUps!$D$5:$D$12,0))))</f>
        <v>Acidification Potential (AP) - kg SO2 eq</v>
      </c>
      <c r="M5025" s="154" t="str">
        <f t="shared" si="328"/>
        <v>Base_Medium_High_Upgraded_Acidification Potential (AP) - kg SO2 eq_Aeration Tanks; wastewater treatment unit; at updated plant - US_Without Amendment_Windrow</v>
      </c>
    </row>
    <row r="5026" spans="1:13" s="120" customFormat="1" x14ac:dyDescent="0.25">
      <c r="A5026" s="119"/>
      <c r="B5026" s="138" t="str">
        <f t="shared" si="326"/>
        <v>Windrow</v>
      </c>
      <c r="C5026" s="138" t="str">
        <f t="shared" si="325"/>
        <v>Without Amendment</v>
      </c>
      <c r="D5026" s="138" t="str">
        <f t="shared" si="330"/>
        <v>Medium_High</v>
      </c>
      <c r="E5026" s="138" t="str">
        <f t="shared" si="324"/>
        <v>Base</v>
      </c>
      <c r="F5026" s="138" t="str">
        <f t="shared" si="327"/>
        <v>Upgraded</v>
      </c>
      <c r="G5026" s="153"/>
      <c r="H5026" s="210">
        <v>0.40699999999999997</v>
      </c>
      <c r="I5026" s="160" t="s">
        <v>54</v>
      </c>
      <c r="J5026" s="160">
        <v>4.9800000000000001E-3</v>
      </c>
      <c r="K5026" s="160" t="s">
        <v>24</v>
      </c>
      <c r="L5026" s="154" t="str">
        <f>IF(OpenLCAbasic!K5026="CTUh", "Fill in Manually",IF(OR(K5026="Unit", K5026=""), "", INDEX(LookUps!$E$5:$E$12, MATCH(OpenLCAbasic!K5026,LookUps!$D$5:$D$12,0))))</f>
        <v>Acidification Potential (AP) - kg SO2 eq</v>
      </c>
      <c r="M5026" s="154" t="str">
        <f t="shared" si="328"/>
        <v>Base_Medium_High_Upgraded_Acidification Potential (AP) - kg SO2 eq_Clear Cove Primary Clarification; wastewater treatment unit; at updated plant - US_Without Amendment_Windrow</v>
      </c>
    </row>
    <row r="5027" spans="1:13" s="120" customFormat="1" x14ac:dyDescent="0.25">
      <c r="A5027" s="119"/>
      <c r="B5027" s="138" t="str">
        <f t="shared" si="326"/>
        <v>Windrow</v>
      </c>
      <c r="C5027" s="138" t="str">
        <f t="shared" si="325"/>
        <v>Without Amendment</v>
      </c>
      <c r="D5027" s="138" t="str">
        <f t="shared" si="330"/>
        <v>Medium_High</v>
      </c>
      <c r="E5027" s="138" t="str">
        <f t="shared" si="324"/>
        <v>Base</v>
      </c>
      <c r="F5027" s="138" t="str">
        <f t="shared" si="327"/>
        <v>Upgraded</v>
      </c>
      <c r="G5027" s="153"/>
      <c r="H5027" s="210">
        <v>0.38950000000000001</v>
      </c>
      <c r="I5027" s="160" t="s">
        <v>271</v>
      </c>
      <c r="J5027" s="160">
        <v>4.7699999999999999E-3</v>
      </c>
      <c r="K5027" s="160" t="s">
        <v>24</v>
      </c>
      <c r="L5027" s="154" t="str">
        <f>IF(OpenLCAbasic!K5027="CTUh", "Fill in Manually",IF(OR(K5027="Unit", K5027=""), "", INDEX(LookUps!$E$5:$E$12, MATCH(OpenLCAbasic!K5027,LookUps!$D$5:$D$12,0))))</f>
        <v>Acidification Potential (AP) - kg SO2 eq</v>
      </c>
      <c r="M5027" s="154" t="str">
        <f t="shared" si="328"/>
        <v>Base_Medium_High_Upgraded_Acidification Potential (AP) - kg SO2 eq_Biosolids composting; windrow composting; wastewater treatment unit; at updated plant - US_Without Amendment_Windrow</v>
      </c>
    </row>
    <row r="5028" spans="1:13" s="120" customFormat="1" x14ac:dyDescent="0.25">
      <c r="A5028" s="119"/>
      <c r="B5028" s="138" t="str">
        <f t="shared" si="326"/>
        <v>Windrow</v>
      </c>
      <c r="C5028" s="138" t="str">
        <f t="shared" si="325"/>
        <v>Without Amendment</v>
      </c>
      <c r="D5028" s="138" t="str">
        <f t="shared" si="330"/>
        <v>Medium_High</v>
      </c>
      <c r="E5028" s="138" t="str">
        <f t="shared" si="324"/>
        <v>Base</v>
      </c>
      <c r="F5028" s="138" t="str">
        <f t="shared" si="327"/>
        <v>Upgraded</v>
      </c>
      <c r="G5028" s="153"/>
      <c r="H5028" s="210">
        <v>0.35520000000000002</v>
      </c>
      <c r="I5028" s="160" t="s">
        <v>58</v>
      </c>
      <c r="J5028" s="160">
        <v>4.3499999999999997E-3</v>
      </c>
      <c r="K5028" s="160" t="s">
        <v>24</v>
      </c>
      <c r="L5028" s="154" t="str">
        <f>IF(OpenLCAbasic!K5028="CTUh", "Fill in Manually",IF(OR(K5028="Unit", K5028=""), "", INDEX(LookUps!$E$5:$E$12, MATCH(OpenLCAbasic!K5028,LookUps!$D$5:$D$12,0))))</f>
        <v>Acidification Potential (AP) - kg SO2 eq</v>
      </c>
      <c r="M5028" s="154" t="str">
        <f t="shared" si="328"/>
        <v>Base_Medium_High_Upgraded_Acidification Potential (AP) - kg SO2 eq_Pre-Anoxic &amp; Swing tank; wastewater treatment unit; at updated plant - US_Without Amendment_Windrow</v>
      </c>
    </row>
    <row r="5029" spans="1:13" s="120" customFormat="1" x14ac:dyDescent="0.25">
      <c r="A5029" s="119"/>
      <c r="B5029" s="138" t="str">
        <f t="shared" si="326"/>
        <v>Windrow</v>
      </c>
      <c r="C5029" s="138" t="str">
        <f t="shared" si="325"/>
        <v>Without Amendment</v>
      </c>
      <c r="D5029" s="138" t="str">
        <f t="shared" si="330"/>
        <v>Medium_High</v>
      </c>
      <c r="E5029" s="138" t="str">
        <f t="shared" si="324"/>
        <v>Base</v>
      </c>
      <c r="F5029" s="138" t="str">
        <f t="shared" si="327"/>
        <v>Upgraded</v>
      </c>
      <c r="G5029" s="153"/>
      <c r="H5029" s="210">
        <v>0.28199999999999997</v>
      </c>
      <c r="I5029" s="160" t="s">
        <v>53</v>
      </c>
      <c r="J5029" s="160">
        <v>3.4499999999999999E-3</v>
      </c>
      <c r="K5029" s="160" t="s">
        <v>24</v>
      </c>
      <c r="L5029" s="154" t="str">
        <f>IF(OpenLCAbasic!K5029="CTUh", "Fill in Manually",IF(OR(K5029="Unit", K5029=""), "", INDEX(LookUps!$E$5:$E$12, MATCH(OpenLCAbasic!K5029,LookUps!$D$5:$D$12,0))))</f>
        <v>Acidification Potential (AP) - kg SO2 eq</v>
      </c>
      <c r="M5029" s="154" t="str">
        <f t="shared" si="328"/>
        <v>Base_Medium_High_Upgraded_Acidification Potential (AP) - kg SO2 eq_Wet Well and Sump Station; wastewater treatment unit; at updated plant - US_Without Amendment_Windrow</v>
      </c>
    </row>
    <row r="5030" spans="1:13" s="120" customFormat="1" x14ac:dyDescent="0.25">
      <c r="A5030" s="119"/>
      <c r="B5030" s="138" t="str">
        <f t="shared" si="326"/>
        <v>Windrow</v>
      </c>
      <c r="C5030" s="138" t="str">
        <f t="shared" si="325"/>
        <v>Without Amendment</v>
      </c>
      <c r="D5030" s="138" t="str">
        <f t="shared" si="330"/>
        <v>Medium_High</v>
      </c>
      <c r="E5030" s="138" t="str">
        <f t="shared" si="324"/>
        <v>Base</v>
      </c>
      <c r="F5030" s="138" t="str">
        <f t="shared" si="327"/>
        <v>Upgraded</v>
      </c>
      <c r="G5030" s="153"/>
      <c r="H5030" s="210">
        <v>0.2069</v>
      </c>
      <c r="I5030" s="160" t="s">
        <v>167</v>
      </c>
      <c r="J5030" s="160">
        <v>2.5300000000000001E-3</v>
      </c>
      <c r="K5030" s="160" t="s">
        <v>24</v>
      </c>
      <c r="L5030" s="154" t="str">
        <f>IF(OpenLCAbasic!K5030="CTUh", "Fill in Manually",IF(OR(K5030="Unit", K5030=""), "", INDEX(LookUps!$E$5:$E$12, MATCH(OpenLCAbasic!K5030,LookUps!$D$5:$D$12,0))))</f>
        <v>Acidification Potential (AP) - kg SO2 eq</v>
      </c>
      <c r="M5030" s="154" t="str">
        <f t="shared" si="328"/>
        <v>Base_Medium_High_Upgraded_Acidification Potential (AP) - kg SO2 eq_Waste Receiving and Holding; wastewater treatment unit; at updated plant - US_Without Amendment_Windrow</v>
      </c>
    </row>
    <row r="5031" spans="1:13" s="120" customFormat="1" x14ac:dyDescent="0.25">
      <c r="A5031" s="119"/>
      <c r="B5031" s="138" t="str">
        <f t="shared" si="326"/>
        <v>Windrow</v>
      </c>
      <c r="C5031" s="138" t="str">
        <f t="shared" si="325"/>
        <v>Without Amendment</v>
      </c>
      <c r="D5031" s="138" t="str">
        <f t="shared" si="330"/>
        <v>Medium_High</v>
      </c>
      <c r="E5031" s="138" t="str">
        <f t="shared" si="324"/>
        <v>Base</v>
      </c>
      <c r="F5031" s="138" t="str">
        <f t="shared" si="327"/>
        <v>Upgraded</v>
      </c>
      <c r="G5031" s="153"/>
      <c r="H5031" s="210">
        <v>0.1875</v>
      </c>
      <c r="I5031" s="160" t="s">
        <v>62</v>
      </c>
      <c r="J5031" s="160">
        <v>2.2899999999999999E-3</v>
      </c>
      <c r="K5031" s="160" t="s">
        <v>24</v>
      </c>
      <c r="L5031" s="154" t="str">
        <f>IF(OpenLCAbasic!K5031="CTUh", "Fill in Manually",IF(OR(K5031="Unit", K5031=""), "", INDEX(LookUps!$E$5:$E$12, MATCH(OpenLCAbasic!K5031,LookUps!$D$5:$D$12,0))))</f>
        <v>Acidification Potential (AP) - kg SO2 eq</v>
      </c>
      <c r="M5031" s="154" t="str">
        <f t="shared" si="328"/>
        <v>Base_Medium_High_Upgraded_Acidification Potential (AP) - kg SO2 eq_Land application of compost; wastewater treatment unit; at updated plant - US_Without Amendment_Windrow</v>
      </c>
    </row>
    <row r="5032" spans="1:13" s="120" customFormat="1" x14ac:dyDescent="0.25">
      <c r="A5032" s="119"/>
      <c r="B5032" s="138" t="str">
        <f t="shared" si="326"/>
        <v>Windrow</v>
      </c>
      <c r="C5032" s="138" t="str">
        <f t="shared" si="325"/>
        <v>Without Amendment</v>
      </c>
      <c r="D5032" s="138" t="str">
        <f t="shared" si="330"/>
        <v>Medium_High</v>
      </c>
      <c r="E5032" s="138" t="str">
        <f t="shared" si="324"/>
        <v>Base</v>
      </c>
      <c r="F5032" s="138" t="str">
        <f t="shared" si="327"/>
        <v>Upgraded</v>
      </c>
      <c r="G5032" s="153"/>
      <c r="H5032" s="210">
        <v>0.1691</v>
      </c>
      <c r="I5032" s="160" t="s">
        <v>147</v>
      </c>
      <c r="J5032" s="160">
        <v>2.0699999999999998E-3</v>
      </c>
      <c r="K5032" s="160" t="s">
        <v>24</v>
      </c>
      <c r="L5032" s="154" t="str">
        <f>IF(OpenLCAbasic!K5032="CTUh", "Fill in Manually",IF(OR(K5032="Unit", K5032=""), "", INDEX(LookUps!$E$5:$E$12, MATCH(OpenLCAbasic!K5032,LookUps!$D$5:$D$12,0))))</f>
        <v>Acidification Potential (AP) - kg SO2 eq</v>
      </c>
      <c r="M5032" s="154" t="str">
        <f t="shared" si="328"/>
        <v>Base_Medium_High_Upgraded_Acidification Potential (AP) - kg SO2 eq_Influent Pump Station; wastewater treatment unit; at updated plant - US_Without Amendment_Windrow</v>
      </c>
    </row>
    <row r="5033" spans="1:13" s="120" customFormat="1" x14ac:dyDescent="0.25">
      <c r="A5033" s="119"/>
      <c r="B5033" s="138" t="str">
        <f t="shared" si="326"/>
        <v>Windrow</v>
      </c>
      <c r="C5033" s="138" t="str">
        <f t="shared" si="325"/>
        <v>Without Amendment</v>
      </c>
      <c r="D5033" s="138" t="str">
        <f t="shared" si="330"/>
        <v>Medium_High</v>
      </c>
      <c r="E5033" s="138" t="str">
        <f t="shared" si="324"/>
        <v>Base</v>
      </c>
      <c r="F5033" s="138" t="str">
        <f t="shared" si="327"/>
        <v>Upgraded</v>
      </c>
      <c r="G5033" s="153"/>
      <c r="H5033" s="210">
        <v>0.1008</v>
      </c>
      <c r="I5033" s="160" t="s">
        <v>128</v>
      </c>
      <c r="J5033" s="160">
        <v>1.23E-3</v>
      </c>
      <c r="K5033" s="160" t="s">
        <v>24</v>
      </c>
      <c r="L5033" s="154" t="str">
        <f>IF(OpenLCAbasic!K5033="CTUh", "Fill in Manually",IF(OR(K5033="Unit", K5033=""), "", INDEX(LookUps!$E$5:$E$12, MATCH(OpenLCAbasic!K5033,LookUps!$D$5:$D$12,0))))</f>
        <v>Acidification Potential (AP) - kg SO2 eq</v>
      </c>
      <c r="M5033" s="154" t="str">
        <f t="shared" si="328"/>
        <v>Base_Medium_High_Upgraded_Acidification Potential (AP) - kg SO2 eq_Wastewater collection; operation and infrastructure; m3 wastewater_Without Amendment_Windrow</v>
      </c>
    </row>
    <row r="5034" spans="1:13" s="120" customFormat="1" x14ac:dyDescent="0.25">
      <c r="A5034" s="119"/>
      <c r="B5034" s="138" t="str">
        <f t="shared" si="326"/>
        <v>Windrow</v>
      </c>
      <c r="C5034" s="138" t="str">
        <f t="shared" si="325"/>
        <v>Without Amendment</v>
      </c>
      <c r="D5034" s="138" t="str">
        <f t="shared" si="330"/>
        <v>Medium_High</v>
      </c>
      <c r="E5034" s="138" t="str">
        <f t="shared" si="324"/>
        <v>Base</v>
      </c>
      <c r="F5034" s="138" t="str">
        <f t="shared" si="327"/>
        <v>Upgraded</v>
      </c>
      <c r="G5034" s="153"/>
      <c r="H5034" s="210">
        <v>8.3400000000000002E-2</v>
      </c>
      <c r="I5034" s="160" t="s">
        <v>60</v>
      </c>
      <c r="J5034" s="160">
        <v>1.0200000000000001E-3</v>
      </c>
      <c r="K5034" s="160" t="s">
        <v>24</v>
      </c>
      <c r="L5034" s="154" t="str">
        <f>IF(OpenLCAbasic!K5034="CTUh", "Fill in Manually",IF(OR(K5034="Unit", K5034=""), "", INDEX(LookUps!$E$5:$E$12, MATCH(OpenLCAbasic!K5034,LookUps!$D$5:$D$12,0))))</f>
        <v>Acidification Potential (AP) - kg SO2 eq</v>
      </c>
      <c r="M5034" s="154" t="str">
        <f t="shared" si="328"/>
        <v>Base_Medium_High_Upgraded_Acidification Potential (AP) - kg SO2 eq_Belt filter press; wastewater treatment unit; at updated plant - US_Without Amendment_Windrow</v>
      </c>
    </row>
    <row r="5035" spans="1:13" s="120" customFormat="1" x14ac:dyDescent="0.25">
      <c r="A5035" s="119"/>
      <c r="B5035" s="138" t="str">
        <f t="shared" si="326"/>
        <v>Windrow</v>
      </c>
      <c r="C5035" s="138" t="str">
        <f t="shared" si="325"/>
        <v>Without Amendment</v>
      </c>
      <c r="D5035" s="138" t="str">
        <f t="shared" si="330"/>
        <v>Medium_High</v>
      </c>
      <c r="E5035" s="138" t="str">
        <f t="shared" si="324"/>
        <v>Base</v>
      </c>
      <c r="F5035" s="138" t="str">
        <f t="shared" si="327"/>
        <v>Upgraded</v>
      </c>
      <c r="G5035" s="153"/>
      <c r="H5035" s="210">
        <v>5.7500000000000002E-2</v>
      </c>
      <c r="I5035" s="160" t="s">
        <v>57</v>
      </c>
      <c r="J5035" s="160">
        <v>6.9999999999999999E-4</v>
      </c>
      <c r="K5035" s="160" t="s">
        <v>24</v>
      </c>
      <c r="L5035" s="154" t="str">
        <f>IF(OpenLCAbasic!K5035="CTUh", "Fill in Manually",IF(OR(K5035="Unit", K5035=""), "", INDEX(LookUps!$E$5:$E$12, MATCH(OpenLCAbasic!K5035,LookUps!$D$5:$D$12,0))))</f>
        <v>Acidification Potential (AP) - kg SO2 eq</v>
      </c>
      <c r="M5035" s="154" t="str">
        <f t="shared" si="328"/>
        <v>Base_Medium_High_Upgraded_Acidification Potential (AP) - kg SO2 eq_Gravity Belt Thickener; wastewater treatment unit; at updated plant - US_Without Amendment_Windrow</v>
      </c>
    </row>
    <row r="5036" spans="1:13" s="120" customFormat="1" x14ac:dyDescent="0.25">
      <c r="A5036" s="119"/>
      <c r="B5036" s="138" t="str">
        <f t="shared" si="326"/>
        <v>Windrow</v>
      </c>
      <c r="C5036" s="138" t="str">
        <f t="shared" si="325"/>
        <v>Without Amendment</v>
      </c>
      <c r="D5036" s="138" t="str">
        <f t="shared" si="330"/>
        <v>Medium_High</v>
      </c>
      <c r="E5036" s="138" t="str">
        <f t="shared" si="324"/>
        <v>Base</v>
      </c>
      <c r="F5036" s="138" t="str">
        <f t="shared" si="327"/>
        <v>Upgraded</v>
      </c>
      <c r="G5036" s="153"/>
      <c r="H5036" s="210">
        <v>4.2200000000000001E-2</v>
      </c>
      <c r="I5036" s="160" t="s">
        <v>59</v>
      </c>
      <c r="J5036" s="160">
        <v>5.1999999999999995E-4</v>
      </c>
      <c r="K5036" s="160" t="s">
        <v>24</v>
      </c>
      <c r="L5036" s="154" t="str">
        <f>IF(OpenLCAbasic!K5036="CTUh", "Fill in Manually",IF(OR(K5036="Unit", K5036=""), "", INDEX(LookUps!$E$5:$E$12, MATCH(OpenLCAbasic!K5036,LookUps!$D$5:$D$12,0))))</f>
        <v>Acidification Potential (AP) - kg SO2 eq</v>
      </c>
      <c r="M5036" s="154" t="str">
        <f t="shared" si="328"/>
        <v>Base_Medium_High_Upgraded_Acidification Potential (AP) - kg SO2 eq_Blend Tank; wastewater treatment unit; at updated plant - US_Without Amendment_Windrow</v>
      </c>
    </row>
    <row r="5037" spans="1:13" s="120" customFormat="1" x14ac:dyDescent="0.25">
      <c r="A5037" s="119"/>
      <c r="B5037" s="138" t="str">
        <f t="shared" si="326"/>
        <v>Windrow</v>
      </c>
      <c r="C5037" s="138" t="str">
        <f t="shared" si="325"/>
        <v>Without Amendment</v>
      </c>
      <c r="D5037" s="138" t="str">
        <f t="shared" si="330"/>
        <v>Medium_High</v>
      </c>
      <c r="E5037" s="138" t="str">
        <f t="shared" si="324"/>
        <v>Base</v>
      </c>
      <c r="F5037" s="138" t="str">
        <f t="shared" si="327"/>
        <v>Upgraded</v>
      </c>
      <c r="G5037" s="153"/>
      <c r="H5037" s="210">
        <v>2.8299999999999999E-2</v>
      </c>
      <c r="I5037" s="160" t="s">
        <v>48</v>
      </c>
      <c r="J5037" s="160">
        <v>3.5E-4</v>
      </c>
      <c r="K5037" s="160" t="s">
        <v>24</v>
      </c>
      <c r="L5037" s="154" t="str">
        <f>IF(OpenLCAbasic!K5037="CTUh", "Fill in Manually",IF(OR(K5037="Unit", K5037=""), "", INDEX(LookUps!$E$5:$E$12, MATCH(OpenLCAbasic!K5037,LookUps!$D$5:$D$12,0))))</f>
        <v>Acidification Potential (AP) - kg SO2 eq</v>
      </c>
      <c r="M5037" s="154" t="str">
        <f t="shared" si="328"/>
        <v>Base_Medium_High_Upgraded_Acidification Potential (AP) - kg SO2 eq_Effluent release; wastewater treatment unit; at surface water; m3 wastewater - US_Without Amendment_Windrow</v>
      </c>
    </row>
    <row r="5038" spans="1:13" s="120" customFormat="1" x14ac:dyDescent="0.25">
      <c r="A5038" s="119"/>
      <c r="B5038" s="138" t="str">
        <f t="shared" si="326"/>
        <v>Windrow</v>
      </c>
      <c r="C5038" s="138" t="str">
        <f t="shared" si="325"/>
        <v>Without Amendment</v>
      </c>
      <c r="D5038" s="138" t="str">
        <f t="shared" si="330"/>
        <v>Medium_High</v>
      </c>
      <c r="E5038" s="138" t="str">
        <f t="shared" si="324"/>
        <v>Base</v>
      </c>
      <c r="F5038" s="138" t="str">
        <f t="shared" si="327"/>
        <v>Upgraded</v>
      </c>
      <c r="G5038" s="153"/>
      <c r="H5038" s="210">
        <v>2.0899999999999998E-2</v>
      </c>
      <c r="I5038" s="160" t="s">
        <v>168</v>
      </c>
      <c r="J5038" s="160">
        <v>2.5999999999999998E-4</v>
      </c>
      <c r="K5038" s="160" t="s">
        <v>24</v>
      </c>
      <c r="L5038" s="154" t="str">
        <f>IF(OpenLCAbasic!K5038="CTUh", "Fill in Manually",IF(OR(K5038="Unit", K5038=""), "", INDEX(LookUps!$E$5:$E$12, MATCH(OpenLCAbasic!K5038,LookUps!$D$5:$D$12,0))))</f>
        <v>Acidification Potential (AP) - kg SO2 eq</v>
      </c>
      <c r="M5038" s="154" t="str">
        <f t="shared" si="328"/>
        <v>Base_Medium_High_Upgraded_Acidification Potential (AP) - kg SO2 eq_ClearCove SCP; wastewater treatment unit; at updated plant - US_Without Amendment_Windrow</v>
      </c>
    </row>
    <row r="5039" spans="1:13" s="120" customFormat="1" x14ac:dyDescent="0.25">
      <c r="A5039" s="119"/>
      <c r="B5039" s="138" t="str">
        <f t="shared" si="326"/>
        <v>Windrow</v>
      </c>
      <c r="C5039" s="138" t="str">
        <f t="shared" si="325"/>
        <v>Without Amendment</v>
      </c>
      <c r="D5039" s="138" t="str">
        <f t="shared" si="330"/>
        <v>Medium_High</v>
      </c>
      <c r="E5039" s="138" t="str">
        <f t="shared" si="324"/>
        <v>Base</v>
      </c>
      <c r="F5039" s="138" t="str">
        <f t="shared" si="327"/>
        <v>Upgraded</v>
      </c>
      <c r="G5039" s="153"/>
      <c r="H5039" s="210">
        <v>3.3E-3</v>
      </c>
      <c r="I5039" s="160" t="s">
        <v>148</v>
      </c>
      <c r="J5039" s="211">
        <v>4.0354700000000002E-5</v>
      </c>
      <c r="K5039" s="160" t="s">
        <v>24</v>
      </c>
      <c r="L5039" s="154" t="str">
        <f>IF(OpenLCAbasic!K5039="CTUh", "Fill in Manually",IF(OR(K5039="Unit", K5039=""), "", INDEX(LookUps!$E$5:$E$12, MATCH(OpenLCAbasic!K5039,LookUps!$D$5:$D$12,0))))</f>
        <v>Acidification Potential (AP) - kg SO2 eq</v>
      </c>
      <c r="M5039" s="154" t="str">
        <f t="shared" si="328"/>
        <v>Base_Medium_High_Upgraded_Acidification Potential (AP) - kg SO2 eq_Control Building; at upgraded wastewater treatment plant - US_Without Amendment_Windrow</v>
      </c>
    </row>
    <row r="5040" spans="1:13" s="120" customFormat="1" x14ac:dyDescent="0.25">
      <c r="A5040" s="119"/>
      <c r="B5040" s="138" t="str">
        <f t="shared" si="326"/>
        <v>Windrow</v>
      </c>
      <c r="C5040" s="138" t="str">
        <f t="shared" si="325"/>
        <v>Without Amendment</v>
      </c>
      <c r="D5040" s="138" t="str">
        <f t="shared" si="330"/>
        <v>Medium_High</v>
      </c>
      <c r="E5040" s="138" t="str">
        <f t="shared" si="324"/>
        <v>Base</v>
      </c>
      <c r="F5040" s="138" t="str">
        <f t="shared" si="327"/>
        <v>Upgraded</v>
      </c>
      <c r="G5040" s="153"/>
      <c r="H5040" s="210">
        <v>-4.7405999999999997</v>
      </c>
      <c r="I5040" s="160" t="s">
        <v>149</v>
      </c>
      <c r="J5040" s="160">
        <v>-5.8009999999999999E-2</v>
      </c>
      <c r="K5040" s="160" t="s">
        <v>24</v>
      </c>
      <c r="L5040" s="154" t="str">
        <f>IF(OpenLCAbasic!K5040="CTUh", "Fill in Manually",IF(OR(K5040="Unit", K5040=""), "", INDEX(LookUps!$E$5:$E$12, MATCH(OpenLCAbasic!K5040,LookUps!$D$5:$D$12,0))))</f>
        <v>Acidification Potential (AP) - kg SO2 eq</v>
      </c>
      <c r="M5040" s="154" t="str">
        <f t="shared" si="328"/>
        <v>Base_Medium_High_Upgraded_Acidification Potential (AP) - kg SO2 eq_Anaerobic Digestion; wastewater treatment unit; at updated plant - US_Without Amendment_Windrow</v>
      </c>
    </row>
    <row r="5041" spans="1:13" s="120" customFormat="1" x14ac:dyDescent="0.25">
      <c r="A5041" s="119"/>
      <c r="B5041" s="138" t="str">
        <f t="shared" si="326"/>
        <v/>
      </c>
      <c r="C5041" s="138" t="str">
        <f t="shared" si="325"/>
        <v/>
      </c>
      <c r="D5041" s="138" t="str">
        <f t="shared" si="330"/>
        <v/>
      </c>
      <c r="E5041" s="138" t="str">
        <f t="shared" ref="E5041:E5104" si="331">IF(ISNUMBER($J5041),"Base","")</f>
        <v/>
      </c>
      <c r="F5041" s="138" t="str">
        <f t="shared" si="327"/>
        <v/>
      </c>
      <c r="G5041" s="153" t="s">
        <v>51</v>
      </c>
      <c r="H5041" s="160"/>
      <c r="I5041" s="160" t="s">
        <v>47</v>
      </c>
      <c r="J5041" s="160" t="s">
        <v>52</v>
      </c>
      <c r="K5041" s="160" t="s">
        <v>27</v>
      </c>
      <c r="L5041" s="154" t="str">
        <f>IF(OpenLCAbasic!K5041="CTUh", "Fill in Manually",IF(OR(K5041="Unit", K5041=""), "", INDEX(LookUps!$E$5:$E$12, MATCH(OpenLCAbasic!K5041,LookUps!$D$5:$D$12,0))))</f>
        <v/>
      </c>
      <c r="M5041" s="154" t="str">
        <f t="shared" si="328"/>
        <v>____Process__</v>
      </c>
    </row>
    <row r="5042" spans="1:13" s="120" customFormat="1" x14ac:dyDescent="0.25">
      <c r="A5042" s="119"/>
      <c r="B5042" s="138" t="str">
        <f t="shared" si="326"/>
        <v>Windrow</v>
      </c>
      <c r="C5042" s="138" t="str">
        <f t="shared" si="325"/>
        <v>Without Amendment</v>
      </c>
      <c r="D5042" s="138" t="str">
        <f t="shared" si="330"/>
        <v>Medium_High</v>
      </c>
      <c r="E5042" s="138" t="str">
        <f t="shared" si="331"/>
        <v>Base</v>
      </c>
      <c r="F5042" s="138" t="str">
        <f t="shared" si="327"/>
        <v>Upgraded</v>
      </c>
      <c r="G5042" s="153"/>
      <c r="H5042" s="210">
        <v>1.4398</v>
      </c>
      <c r="I5042" s="160" t="s">
        <v>167</v>
      </c>
      <c r="J5042" s="160">
        <v>4.2789599999999997</v>
      </c>
      <c r="K5042" s="160" t="s">
        <v>15</v>
      </c>
      <c r="L5042" s="154" t="str">
        <f>IF(OpenLCAbasic!K5042="CTUh", "Fill in Manually",IF(OR(K5042="Unit", K5042=""), "", INDEX(LookUps!$E$5:$E$12, MATCH(OpenLCAbasic!K5042,LookUps!$D$5:$D$12,0))))</f>
        <v>Cumulative Energy Demand (CED) - MJ</v>
      </c>
      <c r="M5042" s="154" t="str">
        <f t="shared" si="328"/>
        <v>Base_Medium_High_Upgraded_Cumulative Energy Demand (CED) - MJ_Waste Receiving and Holding; wastewater treatment unit; at updated plant - US_Without Amendment_Windrow</v>
      </c>
    </row>
    <row r="5043" spans="1:13" s="120" customFormat="1" x14ac:dyDescent="0.25">
      <c r="A5043" s="119"/>
      <c r="B5043" s="138" t="str">
        <f t="shared" si="326"/>
        <v>Windrow</v>
      </c>
      <c r="C5043" s="138" t="str">
        <f t="shared" si="325"/>
        <v>Without Amendment</v>
      </c>
      <c r="D5043" s="138" t="str">
        <f t="shared" si="330"/>
        <v>Medium_High</v>
      </c>
      <c r="E5043" s="138" t="str">
        <f t="shared" si="331"/>
        <v>Base</v>
      </c>
      <c r="F5043" s="138" t="str">
        <f t="shared" si="327"/>
        <v>Upgraded</v>
      </c>
      <c r="G5043" s="153"/>
      <c r="H5043" s="210">
        <v>1.1888000000000001</v>
      </c>
      <c r="I5043" s="160" t="s">
        <v>55</v>
      </c>
      <c r="J5043" s="160">
        <v>3.5330499999999998</v>
      </c>
      <c r="K5043" s="160" t="s">
        <v>15</v>
      </c>
      <c r="L5043" s="154" t="str">
        <f>IF(OpenLCAbasic!K5043="CTUh", "Fill in Manually",IF(OR(K5043="Unit", K5043=""), "", INDEX(LookUps!$E$5:$E$12, MATCH(OpenLCAbasic!K5043,LookUps!$D$5:$D$12,0))))</f>
        <v>Cumulative Energy Demand (CED) - MJ</v>
      </c>
      <c r="M5043" s="154" t="str">
        <f t="shared" si="328"/>
        <v>Base_Medium_High_Upgraded_Cumulative Energy Demand (CED) - MJ_Aeration Tanks; wastewater treatment unit; at updated plant - US_Without Amendment_Windrow</v>
      </c>
    </row>
    <row r="5044" spans="1:13" s="120" customFormat="1" x14ac:dyDescent="0.25">
      <c r="A5044" s="119"/>
      <c r="B5044" s="138" t="str">
        <f t="shared" si="326"/>
        <v>Windrow</v>
      </c>
      <c r="C5044" s="138" t="str">
        <f t="shared" si="325"/>
        <v>Without Amendment</v>
      </c>
      <c r="D5044" s="138" t="str">
        <f t="shared" si="330"/>
        <v>Medium_High</v>
      </c>
      <c r="E5044" s="138" t="str">
        <f t="shared" si="331"/>
        <v>Base</v>
      </c>
      <c r="F5044" s="138" t="str">
        <f t="shared" si="327"/>
        <v>Upgraded</v>
      </c>
      <c r="G5044" s="153"/>
      <c r="H5044" s="210">
        <v>0.39129999999999998</v>
      </c>
      <c r="I5044" s="160" t="s">
        <v>54</v>
      </c>
      <c r="J5044" s="160">
        <v>1.16289</v>
      </c>
      <c r="K5044" s="160" t="s">
        <v>15</v>
      </c>
      <c r="L5044" s="154" t="str">
        <f>IF(OpenLCAbasic!K5044="CTUh", "Fill in Manually",IF(OR(K5044="Unit", K5044=""), "", INDEX(LookUps!$E$5:$E$12, MATCH(OpenLCAbasic!K5044,LookUps!$D$5:$D$12,0))))</f>
        <v>Cumulative Energy Demand (CED) - MJ</v>
      </c>
      <c r="M5044" s="154" t="str">
        <f t="shared" si="328"/>
        <v>Base_Medium_High_Upgraded_Cumulative Energy Demand (CED) - MJ_Clear Cove Primary Clarification; wastewater treatment unit; at updated plant - US_Without Amendment_Windrow</v>
      </c>
    </row>
    <row r="5045" spans="1:13" s="120" customFormat="1" x14ac:dyDescent="0.25">
      <c r="A5045" s="119"/>
      <c r="B5045" s="138" t="str">
        <f t="shared" si="326"/>
        <v>Windrow</v>
      </c>
      <c r="C5045" s="138" t="str">
        <f t="shared" si="325"/>
        <v>Without Amendment</v>
      </c>
      <c r="D5045" s="138" t="str">
        <f t="shared" si="330"/>
        <v>Medium_High</v>
      </c>
      <c r="E5045" s="138" t="str">
        <f t="shared" si="331"/>
        <v>Base</v>
      </c>
      <c r="F5045" s="138" t="str">
        <f t="shared" si="327"/>
        <v>Upgraded</v>
      </c>
      <c r="G5045" s="153"/>
      <c r="H5045" s="210">
        <v>0.29849999999999999</v>
      </c>
      <c r="I5045" s="160" t="s">
        <v>58</v>
      </c>
      <c r="J5045" s="160">
        <v>0.88705000000000001</v>
      </c>
      <c r="K5045" s="160" t="s">
        <v>15</v>
      </c>
      <c r="L5045" s="154" t="str">
        <f>IF(OpenLCAbasic!K5045="CTUh", "Fill in Manually",IF(OR(K5045="Unit", K5045=""), "", INDEX(LookUps!$E$5:$E$12, MATCH(OpenLCAbasic!K5045,LookUps!$D$5:$D$12,0))))</f>
        <v>Cumulative Energy Demand (CED) - MJ</v>
      </c>
      <c r="M5045" s="154" t="str">
        <f t="shared" si="328"/>
        <v>Base_Medium_High_Upgraded_Cumulative Energy Demand (CED) - MJ_Pre-Anoxic &amp; Swing tank; wastewater treatment unit; at updated plant - US_Without Amendment_Windrow</v>
      </c>
    </row>
    <row r="5046" spans="1:13" s="120" customFormat="1" x14ac:dyDescent="0.25">
      <c r="A5046" s="119"/>
      <c r="B5046" s="138" t="str">
        <f t="shared" si="326"/>
        <v>Windrow</v>
      </c>
      <c r="C5046" s="138" t="str">
        <f t="shared" si="325"/>
        <v>Without Amendment</v>
      </c>
      <c r="D5046" s="138" t="str">
        <f t="shared" si="330"/>
        <v>Medium_High</v>
      </c>
      <c r="E5046" s="138" t="str">
        <f t="shared" si="331"/>
        <v>Base</v>
      </c>
      <c r="F5046" s="138" t="str">
        <f t="shared" si="327"/>
        <v>Upgraded</v>
      </c>
      <c r="G5046" s="153"/>
      <c r="H5046" s="210">
        <v>0.29709999999999998</v>
      </c>
      <c r="I5046" s="160" t="s">
        <v>147</v>
      </c>
      <c r="J5046" s="160">
        <v>0.88297000000000003</v>
      </c>
      <c r="K5046" s="160" t="s">
        <v>15</v>
      </c>
      <c r="L5046" s="154" t="str">
        <f>IF(OpenLCAbasic!K5046="CTUh", "Fill in Manually",IF(OR(K5046="Unit", K5046=""), "", INDEX(LookUps!$E$5:$E$12, MATCH(OpenLCAbasic!K5046,LookUps!$D$5:$D$12,0))))</f>
        <v>Cumulative Energy Demand (CED) - MJ</v>
      </c>
      <c r="M5046" s="154" t="str">
        <f t="shared" si="328"/>
        <v>Base_Medium_High_Upgraded_Cumulative Energy Demand (CED) - MJ_Influent Pump Station; wastewater treatment unit; at updated plant - US_Without Amendment_Windrow</v>
      </c>
    </row>
    <row r="5047" spans="1:13" s="120" customFormat="1" x14ac:dyDescent="0.25">
      <c r="A5047" s="119"/>
      <c r="B5047" s="138" t="str">
        <f t="shared" si="326"/>
        <v>Windrow</v>
      </c>
      <c r="C5047" s="138" t="str">
        <f t="shared" si="325"/>
        <v>Without Amendment</v>
      </c>
      <c r="D5047" s="138" t="str">
        <f t="shared" si="330"/>
        <v>Medium_High</v>
      </c>
      <c r="E5047" s="138" t="str">
        <f t="shared" si="331"/>
        <v>Base</v>
      </c>
      <c r="F5047" s="138" t="str">
        <f t="shared" si="327"/>
        <v>Upgraded</v>
      </c>
      <c r="G5047" s="153"/>
      <c r="H5047" s="210">
        <v>0.23430000000000001</v>
      </c>
      <c r="I5047" s="160" t="s">
        <v>53</v>
      </c>
      <c r="J5047" s="160">
        <v>0.69645000000000001</v>
      </c>
      <c r="K5047" s="160" t="s">
        <v>15</v>
      </c>
      <c r="L5047" s="154" t="str">
        <f>IF(OpenLCAbasic!K5047="CTUh", "Fill in Manually",IF(OR(K5047="Unit", K5047=""), "", INDEX(LookUps!$E$5:$E$12, MATCH(OpenLCAbasic!K5047,LookUps!$D$5:$D$12,0))))</f>
        <v>Cumulative Energy Demand (CED) - MJ</v>
      </c>
      <c r="M5047" s="154" t="str">
        <f t="shared" si="328"/>
        <v>Base_Medium_High_Upgraded_Cumulative Energy Demand (CED) - MJ_Wet Well and Sump Station; wastewater treatment unit; at updated plant - US_Without Amendment_Windrow</v>
      </c>
    </row>
    <row r="5048" spans="1:13" s="120" customFormat="1" x14ac:dyDescent="0.25">
      <c r="A5048" s="119"/>
      <c r="B5048" s="138" t="str">
        <f t="shared" si="326"/>
        <v>Windrow</v>
      </c>
      <c r="C5048" s="138" t="str">
        <f t="shared" si="325"/>
        <v>Without Amendment</v>
      </c>
      <c r="D5048" s="138" t="str">
        <f t="shared" si="330"/>
        <v>Medium_High</v>
      </c>
      <c r="E5048" s="138" t="str">
        <f t="shared" si="331"/>
        <v>Base</v>
      </c>
      <c r="F5048" s="138" t="str">
        <f t="shared" si="327"/>
        <v>Upgraded</v>
      </c>
      <c r="G5048" s="153"/>
      <c r="H5048" s="210">
        <v>0.12820000000000001</v>
      </c>
      <c r="I5048" s="160" t="s">
        <v>60</v>
      </c>
      <c r="J5048" s="160">
        <v>0.38092999999999999</v>
      </c>
      <c r="K5048" s="160" t="s">
        <v>15</v>
      </c>
      <c r="L5048" s="154" t="str">
        <f>IF(OpenLCAbasic!K5048="CTUh", "Fill in Manually",IF(OR(K5048="Unit", K5048=""), "", INDEX(LookUps!$E$5:$E$12, MATCH(OpenLCAbasic!K5048,LookUps!$D$5:$D$12,0))))</f>
        <v>Cumulative Energy Demand (CED) - MJ</v>
      </c>
      <c r="M5048" s="154" t="str">
        <f t="shared" si="328"/>
        <v>Base_Medium_High_Upgraded_Cumulative Energy Demand (CED) - MJ_Belt filter press; wastewater treatment unit; at updated plant - US_Without Amendment_Windrow</v>
      </c>
    </row>
    <row r="5049" spans="1:13" s="120" customFormat="1" x14ac:dyDescent="0.25">
      <c r="A5049" s="119"/>
      <c r="B5049" s="138" t="str">
        <f t="shared" si="326"/>
        <v>Windrow</v>
      </c>
      <c r="C5049" s="138" t="str">
        <f t="shared" si="325"/>
        <v>Without Amendment</v>
      </c>
      <c r="D5049" s="138" t="str">
        <f t="shared" si="330"/>
        <v>Medium_High</v>
      </c>
      <c r="E5049" s="138" t="str">
        <f t="shared" si="331"/>
        <v>Base</v>
      </c>
      <c r="F5049" s="138" t="str">
        <f t="shared" si="327"/>
        <v>Upgraded</v>
      </c>
      <c r="G5049" s="153"/>
      <c r="H5049" s="210">
        <v>0.1124</v>
      </c>
      <c r="I5049" s="160" t="s">
        <v>57</v>
      </c>
      <c r="J5049" s="160">
        <v>0.33404</v>
      </c>
      <c r="K5049" s="160" t="s">
        <v>15</v>
      </c>
      <c r="L5049" s="154" t="str">
        <f>IF(OpenLCAbasic!K5049="CTUh", "Fill in Manually",IF(OR(K5049="Unit", K5049=""), "", INDEX(LookUps!$E$5:$E$12, MATCH(OpenLCAbasic!K5049,LookUps!$D$5:$D$12,0))))</f>
        <v>Cumulative Energy Demand (CED) - MJ</v>
      </c>
      <c r="M5049" s="154" t="str">
        <f t="shared" si="328"/>
        <v>Base_Medium_High_Upgraded_Cumulative Energy Demand (CED) - MJ_Gravity Belt Thickener; wastewater treatment unit; at updated plant - US_Without Amendment_Windrow</v>
      </c>
    </row>
    <row r="5050" spans="1:13" s="120" customFormat="1" x14ac:dyDescent="0.25">
      <c r="A5050" s="119"/>
      <c r="B5050" s="138" t="str">
        <f t="shared" si="326"/>
        <v>Windrow</v>
      </c>
      <c r="C5050" s="138" t="str">
        <f t="shared" si="325"/>
        <v>Without Amendment</v>
      </c>
      <c r="D5050" s="138" t="str">
        <f t="shared" si="330"/>
        <v>Medium_High</v>
      </c>
      <c r="E5050" s="138" t="str">
        <f t="shared" si="331"/>
        <v>Base</v>
      </c>
      <c r="F5050" s="138" t="str">
        <f t="shared" si="327"/>
        <v>Upgraded</v>
      </c>
      <c r="G5050" s="153"/>
      <c r="H5050" s="210">
        <v>8.6199999999999999E-2</v>
      </c>
      <c r="I5050" s="160" t="s">
        <v>128</v>
      </c>
      <c r="J5050" s="160">
        <v>0.25606000000000001</v>
      </c>
      <c r="K5050" s="160" t="s">
        <v>15</v>
      </c>
      <c r="L5050" s="154" t="str">
        <f>IF(OpenLCAbasic!K5050="CTUh", "Fill in Manually",IF(OR(K5050="Unit", K5050=""), "", INDEX(LookUps!$E$5:$E$12, MATCH(OpenLCAbasic!K5050,LookUps!$D$5:$D$12,0))))</f>
        <v>Cumulative Energy Demand (CED) - MJ</v>
      </c>
      <c r="M5050" s="154" t="str">
        <f t="shared" si="328"/>
        <v>Base_Medium_High_Upgraded_Cumulative Energy Demand (CED) - MJ_Wastewater collection; operation and infrastructure; m3 wastewater_Without Amendment_Windrow</v>
      </c>
    </row>
    <row r="5051" spans="1:13" s="120" customFormat="1" x14ac:dyDescent="0.25">
      <c r="A5051" s="119"/>
      <c r="B5051" s="138" t="str">
        <f t="shared" si="326"/>
        <v>Windrow</v>
      </c>
      <c r="C5051" s="138" t="str">
        <f t="shared" si="325"/>
        <v>Without Amendment</v>
      </c>
      <c r="D5051" s="138" t="str">
        <f t="shared" si="330"/>
        <v>Medium_High</v>
      </c>
      <c r="E5051" s="138" t="str">
        <f t="shared" si="331"/>
        <v>Base</v>
      </c>
      <c r="F5051" s="138" t="str">
        <f t="shared" si="327"/>
        <v>Upgraded</v>
      </c>
      <c r="G5051" s="153"/>
      <c r="H5051" s="210">
        <v>4.9099999999999998E-2</v>
      </c>
      <c r="I5051" s="160" t="s">
        <v>148</v>
      </c>
      <c r="J5051" s="160">
        <v>0.14599000000000001</v>
      </c>
      <c r="K5051" s="160" t="s">
        <v>15</v>
      </c>
      <c r="L5051" s="154" t="str">
        <f>IF(OpenLCAbasic!K5051="CTUh", "Fill in Manually",IF(OR(K5051="Unit", K5051=""), "", INDEX(LookUps!$E$5:$E$12, MATCH(OpenLCAbasic!K5051,LookUps!$D$5:$D$12,0))))</f>
        <v>Cumulative Energy Demand (CED) - MJ</v>
      </c>
      <c r="M5051" s="154" t="str">
        <f t="shared" si="328"/>
        <v>Base_Medium_High_Upgraded_Cumulative Energy Demand (CED) - MJ_Control Building; at upgraded wastewater treatment plant - US_Without Amendment_Windrow</v>
      </c>
    </row>
    <row r="5052" spans="1:13" s="120" customFormat="1" x14ac:dyDescent="0.25">
      <c r="A5052" s="119"/>
      <c r="B5052" s="138" t="str">
        <f t="shared" si="326"/>
        <v>Windrow</v>
      </c>
      <c r="C5052" s="138" t="str">
        <f t="shared" si="325"/>
        <v>Without Amendment</v>
      </c>
      <c r="D5052" s="138" t="str">
        <f t="shared" si="330"/>
        <v>Medium_High</v>
      </c>
      <c r="E5052" s="138" t="str">
        <f t="shared" si="331"/>
        <v>Base</v>
      </c>
      <c r="F5052" s="138" t="str">
        <f t="shared" si="327"/>
        <v>Upgraded</v>
      </c>
      <c r="G5052" s="153"/>
      <c r="H5052" s="210">
        <v>4.48E-2</v>
      </c>
      <c r="I5052" s="160" t="s">
        <v>48</v>
      </c>
      <c r="J5052" s="160">
        <v>0.13321</v>
      </c>
      <c r="K5052" s="160" t="s">
        <v>15</v>
      </c>
      <c r="L5052" s="154" t="str">
        <f>IF(OpenLCAbasic!K5052="CTUh", "Fill in Manually",IF(OR(K5052="Unit", K5052=""), "", INDEX(LookUps!$E$5:$E$12, MATCH(OpenLCAbasic!K5052,LookUps!$D$5:$D$12,0))))</f>
        <v>Cumulative Energy Demand (CED) - MJ</v>
      </c>
      <c r="M5052" s="154" t="str">
        <f t="shared" si="328"/>
        <v>Base_Medium_High_Upgraded_Cumulative Energy Demand (CED) - MJ_Effluent release; wastewater treatment unit; at surface water; m3 wastewater - US_Without Amendment_Windrow</v>
      </c>
    </row>
    <row r="5053" spans="1:13" s="120" customFormat="1" x14ac:dyDescent="0.25">
      <c r="A5053" s="119"/>
      <c r="B5053" s="138" t="str">
        <f t="shared" si="326"/>
        <v>Windrow</v>
      </c>
      <c r="C5053" s="138" t="str">
        <f t="shared" si="325"/>
        <v>Without Amendment</v>
      </c>
      <c r="D5053" s="138" t="str">
        <f t="shared" si="330"/>
        <v>Medium_High</v>
      </c>
      <c r="E5053" s="138" t="str">
        <f t="shared" si="331"/>
        <v>Base</v>
      </c>
      <c r="F5053" s="138" t="str">
        <f t="shared" si="327"/>
        <v>Upgraded</v>
      </c>
      <c r="G5053" s="153"/>
      <c r="H5053" s="210">
        <v>3.5799999999999998E-2</v>
      </c>
      <c r="I5053" s="160" t="s">
        <v>59</v>
      </c>
      <c r="J5053" s="160">
        <v>0.10638</v>
      </c>
      <c r="K5053" s="160" t="s">
        <v>15</v>
      </c>
      <c r="L5053" s="154" t="str">
        <f>IF(OpenLCAbasic!K5053="CTUh", "Fill in Manually",IF(OR(K5053="Unit", K5053=""), "", INDEX(LookUps!$E$5:$E$12, MATCH(OpenLCAbasic!K5053,LookUps!$D$5:$D$12,0))))</f>
        <v>Cumulative Energy Demand (CED) - MJ</v>
      </c>
      <c r="M5053" s="154" t="str">
        <f t="shared" si="328"/>
        <v>Base_Medium_High_Upgraded_Cumulative Energy Demand (CED) - MJ_Blend Tank; wastewater treatment unit; at updated plant - US_Without Amendment_Windrow</v>
      </c>
    </row>
    <row r="5054" spans="1:13" s="120" customFormat="1" x14ac:dyDescent="0.25">
      <c r="A5054" s="119"/>
      <c r="B5054" s="138" t="str">
        <f t="shared" si="326"/>
        <v>Windrow</v>
      </c>
      <c r="C5054" s="138" t="str">
        <f t="shared" si="325"/>
        <v>Without Amendment</v>
      </c>
      <c r="D5054" s="138" t="str">
        <f t="shared" si="330"/>
        <v>Medium_High</v>
      </c>
      <c r="E5054" s="138" t="str">
        <f t="shared" si="331"/>
        <v>Base</v>
      </c>
      <c r="F5054" s="138" t="str">
        <f t="shared" si="327"/>
        <v>Upgraded</v>
      </c>
      <c r="G5054" s="153"/>
      <c r="H5054" s="210">
        <v>1.7100000000000001E-2</v>
      </c>
      <c r="I5054" s="160" t="s">
        <v>168</v>
      </c>
      <c r="J5054" s="160">
        <v>5.0930000000000003E-2</v>
      </c>
      <c r="K5054" s="160" t="s">
        <v>15</v>
      </c>
      <c r="L5054" s="154" t="str">
        <f>IF(OpenLCAbasic!K5054="CTUh", "Fill in Manually",IF(OR(K5054="Unit", K5054=""), "", INDEX(LookUps!$E$5:$E$12, MATCH(OpenLCAbasic!K5054,LookUps!$D$5:$D$12,0))))</f>
        <v>Cumulative Energy Demand (CED) - MJ</v>
      </c>
      <c r="M5054" s="154" t="str">
        <f t="shared" si="328"/>
        <v>Base_Medium_High_Upgraded_Cumulative Energy Demand (CED) - MJ_ClearCove SCP; wastewater treatment unit; at updated plant - US_Without Amendment_Windrow</v>
      </c>
    </row>
    <row r="5055" spans="1:13" s="120" customFormat="1" x14ac:dyDescent="0.25">
      <c r="A5055" s="119"/>
      <c r="B5055" s="138" t="str">
        <f t="shared" si="326"/>
        <v>Windrow</v>
      </c>
      <c r="C5055" s="138" t="str">
        <f t="shared" si="325"/>
        <v>Without Amendment</v>
      </c>
      <c r="D5055" s="138" t="str">
        <f t="shared" si="330"/>
        <v>Medium_High</v>
      </c>
      <c r="E5055" s="138" t="str">
        <f t="shared" si="331"/>
        <v>Base</v>
      </c>
      <c r="F5055" s="138" t="str">
        <f t="shared" si="327"/>
        <v>Upgraded</v>
      </c>
      <c r="G5055" s="153"/>
      <c r="H5055" s="210">
        <v>8.3999999999999995E-3</v>
      </c>
      <c r="I5055" s="160" t="s">
        <v>271</v>
      </c>
      <c r="J5055" s="160">
        <v>2.486E-2</v>
      </c>
      <c r="K5055" s="160" t="s">
        <v>15</v>
      </c>
      <c r="L5055" s="154" t="str">
        <f>IF(OpenLCAbasic!K5055="CTUh", "Fill in Manually",IF(OR(K5055="Unit", K5055=""), "", INDEX(LookUps!$E$5:$E$12, MATCH(OpenLCAbasic!K5055,LookUps!$D$5:$D$12,0))))</f>
        <v>Cumulative Energy Demand (CED) - MJ</v>
      </c>
      <c r="M5055" s="154" t="str">
        <f t="shared" si="328"/>
        <v>Base_Medium_High_Upgraded_Cumulative Energy Demand (CED) - MJ_Biosolids composting; windrow composting; wastewater treatment unit; at updated plant - US_Without Amendment_Windrow</v>
      </c>
    </row>
    <row r="5056" spans="1:13" s="120" customFormat="1" x14ac:dyDescent="0.25">
      <c r="A5056" s="119"/>
      <c r="B5056" s="138" t="str">
        <f t="shared" si="326"/>
        <v>Windrow</v>
      </c>
      <c r="C5056" s="138" t="str">
        <f t="shared" si="325"/>
        <v>Without Amendment</v>
      </c>
      <c r="D5056" s="138" t="str">
        <f t="shared" si="330"/>
        <v>Medium_High</v>
      </c>
      <c r="E5056" s="138" t="str">
        <f t="shared" si="331"/>
        <v>Base</v>
      </c>
      <c r="F5056" s="138" t="str">
        <f t="shared" si="327"/>
        <v>Upgraded</v>
      </c>
      <c r="G5056" s="153"/>
      <c r="H5056" s="210">
        <v>-0.1258</v>
      </c>
      <c r="I5056" s="160" t="s">
        <v>62</v>
      </c>
      <c r="J5056" s="160">
        <v>-0.37397999999999998</v>
      </c>
      <c r="K5056" s="160" t="s">
        <v>15</v>
      </c>
      <c r="L5056" s="154" t="str">
        <f>IF(OpenLCAbasic!K5056="CTUh", "Fill in Manually",IF(OR(K5056="Unit", K5056=""), "", INDEX(LookUps!$E$5:$E$12, MATCH(OpenLCAbasic!K5056,LookUps!$D$5:$D$12,0))))</f>
        <v>Cumulative Energy Demand (CED) - MJ</v>
      </c>
      <c r="M5056" s="154" t="str">
        <f t="shared" si="328"/>
        <v>Base_Medium_High_Upgraded_Cumulative Energy Demand (CED) - MJ_Land application of compost; wastewater treatment unit; at updated plant - US_Without Amendment_Windrow</v>
      </c>
    </row>
    <row r="5057" spans="1:13" s="120" customFormat="1" x14ac:dyDescent="0.25">
      <c r="A5057" s="119"/>
      <c r="B5057" s="138" t="str">
        <f t="shared" si="326"/>
        <v>Windrow</v>
      </c>
      <c r="C5057" s="138" t="str">
        <f t="shared" ref="C5057:C5120" si="332">IF(ISNUMBER($J5057),"Without Amendment","")</f>
        <v>Without Amendment</v>
      </c>
      <c r="D5057" s="138" t="str">
        <f t="shared" si="330"/>
        <v>Medium_High</v>
      </c>
      <c r="E5057" s="138" t="str">
        <f t="shared" si="331"/>
        <v>Base</v>
      </c>
      <c r="F5057" s="138" t="str">
        <f t="shared" si="327"/>
        <v>Upgraded</v>
      </c>
      <c r="G5057" s="153"/>
      <c r="H5057" s="210">
        <v>-5.2058999999999997</v>
      </c>
      <c r="I5057" s="160" t="s">
        <v>149</v>
      </c>
      <c r="J5057" s="160">
        <v>-15.471780000000001</v>
      </c>
      <c r="K5057" s="160" t="s">
        <v>15</v>
      </c>
      <c r="L5057" s="154" t="str">
        <f>IF(OpenLCAbasic!K5057="CTUh", "Fill in Manually",IF(OR(K5057="Unit", K5057=""), "", INDEX(LookUps!$E$5:$E$12, MATCH(OpenLCAbasic!K5057,LookUps!$D$5:$D$12,0))))</f>
        <v>Cumulative Energy Demand (CED) - MJ</v>
      </c>
      <c r="M5057" s="154" t="str">
        <f t="shared" si="328"/>
        <v>Base_Medium_High_Upgraded_Cumulative Energy Demand (CED) - MJ_Anaerobic Digestion; wastewater treatment unit; at updated plant - US_Without Amendment_Windrow</v>
      </c>
    </row>
    <row r="5058" spans="1:13" s="120" customFormat="1" x14ac:dyDescent="0.25">
      <c r="A5058" s="119"/>
      <c r="B5058" s="138" t="str">
        <f t="shared" si="326"/>
        <v/>
      </c>
      <c r="C5058" s="138" t="str">
        <f t="shared" si="332"/>
        <v/>
      </c>
      <c r="D5058" s="138" t="str">
        <f t="shared" si="330"/>
        <v/>
      </c>
      <c r="E5058" s="138" t="str">
        <f t="shared" si="331"/>
        <v/>
      </c>
      <c r="F5058" s="138" t="str">
        <f t="shared" si="327"/>
        <v/>
      </c>
      <c r="G5058" s="153" t="s">
        <v>51</v>
      </c>
      <c r="H5058" s="160"/>
      <c r="I5058" s="160" t="s">
        <v>47</v>
      </c>
      <c r="J5058" s="160" t="s">
        <v>52</v>
      </c>
      <c r="K5058" s="160" t="s">
        <v>27</v>
      </c>
      <c r="L5058" s="154" t="str">
        <f>IF(OpenLCAbasic!K5058="CTUh", "Fill in Manually",IF(OR(K5058="Unit", K5058=""), "", INDEX(LookUps!$E$5:$E$12, MATCH(OpenLCAbasic!K5058,LookUps!$D$5:$D$12,0))))</f>
        <v/>
      </c>
      <c r="M5058" s="154" t="str">
        <f t="shared" si="328"/>
        <v>____Process__</v>
      </c>
    </row>
    <row r="5059" spans="1:13" s="120" customFormat="1" x14ac:dyDescent="0.25">
      <c r="A5059" s="119"/>
      <c r="B5059" s="138" t="str">
        <f t="shared" si="326"/>
        <v>Windrow</v>
      </c>
      <c r="C5059" s="138" t="str">
        <f t="shared" si="332"/>
        <v>Without Amendment</v>
      </c>
      <c r="D5059" s="138" t="str">
        <f t="shared" si="330"/>
        <v>Medium_High</v>
      </c>
      <c r="E5059" s="138" t="str">
        <f t="shared" si="331"/>
        <v>Base</v>
      </c>
      <c r="F5059" s="138" t="str">
        <f t="shared" si="327"/>
        <v>Upgraded</v>
      </c>
      <c r="G5059" s="153"/>
      <c r="H5059" s="210">
        <v>0.86060000000000003</v>
      </c>
      <c r="I5059" s="160" t="s">
        <v>48</v>
      </c>
      <c r="J5059" s="160">
        <v>1.1610000000000001E-2</v>
      </c>
      <c r="K5059" s="160" t="s">
        <v>13</v>
      </c>
      <c r="L5059" s="154" t="str">
        <f>IF(OpenLCAbasic!K5059="CTUh", "Fill in Manually",IF(OR(K5059="Unit", K5059=""), "", INDEX(LookUps!$E$5:$E$12, MATCH(OpenLCAbasic!K5059,LookUps!$D$5:$D$12,0))))</f>
        <v>Eutrophication Potential (EP) - kg N eq</v>
      </c>
      <c r="M5059" s="154" t="str">
        <f t="shared" si="328"/>
        <v>Base_Medium_High_Upgraded_Eutrophication Potential (EP) - kg N eq_Effluent release; wastewater treatment unit; at surface water; m3 wastewater - US_Without Amendment_Windrow</v>
      </c>
    </row>
    <row r="5060" spans="1:13" s="120" customFormat="1" x14ac:dyDescent="0.25">
      <c r="A5060" s="119"/>
      <c r="B5060" s="138" t="str">
        <f t="shared" ref="B5060:B5114" si="333">IF(F5060="Legacy","n.a.",IF(F5060="","","Windrow"))</f>
        <v>Windrow</v>
      </c>
      <c r="C5060" s="138" t="str">
        <f t="shared" si="332"/>
        <v>Without Amendment</v>
      </c>
      <c r="D5060" s="138" t="str">
        <f t="shared" si="330"/>
        <v>Medium_High</v>
      </c>
      <c r="E5060" s="138" t="str">
        <f t="shared" si="331"/>
        <v>Base</v>
      </c>
      <c r="F5060" s="138" t="str">
        <f t="shared" ref="F5060:F5114" si="334">IF(ISNUMBER(J5060),"Upgraded","")</f>
        <v>Upgraded</v>
      </c>
      <c r="G5060" s="153"/>
      <c r="H5060" s="210">
        <v>0.12640000000000001</v>
      </c>
      <c r="I5060" s="160" t="s">
        <v>62</v>
      </c>
      <c r="J5060" s="160">
        <v>1.7099999999999999E-3</v>
      </c>
      <c r="K5060" s="160" t="s">
        <v>13</v>
      </c>
      <c r="L5060" s="154" t="str">
        <f>IF(OpenLCAbasic!K5060="CTUh", "Fill in Manually",IF(OR(K5060="Unit", K5060=""), "", INDEX(LookUps!$E$5:$E$12, MATCH(OpenLCAbasic!K5060,LookUps!$D$5:$D$12,0))))</f>
        <v>Eutrophication Potential (EP) - kg N eq</v>
      </c>
      <c r="M5060" s="154" t="str">
        <f t="shared" si="328"/>
        <v>Base_Medium_High_Upgraded_Eutrophication Potential (EP) - kg N eq_Land application of compost; wastewater treatment unit; at updated plant - US_Without Amendment_Windrow</v>
      </c>
    </row>
    <row r="5061" spans="1:13" s="120" customFormat="1" x14ac:dyDescent="0.25">
      <c r="A5061" s="119"/>
      <c r="B5061" s="138" t="str">
        <f t="shared" si="333"/>
        <v>Windrow</v>
      </c>
      <c r="C5061" s="138" t="str">
        <f t="shared" si="332"/>
        <v>Without Amendment</v>
      </c>
      <c r="D5061" s="138" t="str">
        <f t="shared" si="330"/>
        <v>Medium_High</v>
      </c>
      <c r="E5061" s="138" t="str">
        <f t="shared" si="331"/>
        <v>Base</v>
      </c>
      <c r="F5061" s="138" t="str">
        <f t="shared" si="334"/>
        <v>Upgraded</v>
      </c>
      <c r="G5061" s="153"/>
      <c r="H5061" s="210">
        <v>4.0500000000000001E-2</v>
      </c>
      <c r="I5061" s="160" t="s">
        <v>55</v>
      </c>
      <c r="J5061" s="160">
        <v>5.5000000000000003E-4</v>
      </c>
      <c r="K5061" s="160" t="s">
        <v>13</v>
      </c>
      <c r="L5061" s="154" t="str">
        <f>IF(OpenLCAbasic!K5061="CTUh", "Fill in Manually",IF(OR(K5061="Unit", K5061=""), "", INDEX(LookUps!$E$5:$E$12, MATCH(OpenLCAbasic!K5061,LookUps!$D$5:$D$12,0))))</f>
        <v>Eutrophication Potential (EP) - kg N eq</v>
      </c>
      <c r="M5061" s="154" t="str">
        <f t="shared" si="328"/>
        <v>Base_Medium_High_Upgraded_Eutrophication Potential (EP) - kg N eq_Aeration Tanks; wastewater treatment unit; at updated plant - US_Without Amendment_Windrow</v>
      </c>
    </row>
    <row r="5062" spans="1:13" s="120" customFormat="1" x14ac:dyDescent="0.25">
      <c r="A5062" s="119"/>
      <c r="B5062" s="138" t="str">
        <f t="shared" si="333"/>
        <v>Windrow</v>
      </c>
      <c r="C5062" s="138" t="str">
        <f t="shared" si="332"/>
        <v>Without Amendment</v>
      </c>
      <c r="D5062" s="138" t="str">
        <f t="shared" si="330"/>
        <v>Medium_High</v>
      </c>
      <c r="E5062" s="138" t="str">
        <f t="shared" si="331"/>
        <v>Base</v>
      </c>
      <c r="F5062" s="138" t="str">
        <f t="shared" si="334"/>
        <v>Upgraded</v>
      </c>
      <c r="G5062" s="153"/>
      <c r="H5062" s="210">
        <v>2.23E-2</v>
      </c>
      <c r="I5062" s="160" t="s">
        <v>271</v>
      </c>
      <c r="J5062" s="160">
        <v>2.9999999999999997E-4</v>
      </c>
      <c r="K5062" s="160" t="s">
        <v>13</v>
      </c>
      <c r="L5062" s="154" t="str">
        <f>IF(OpenLCAbasic!K5062="CTUh", "Fill in Manually",IF(OR(K5062="Unit", K5062=""), "", INDEX(LookUps!$E$5:$E$12, MATCH(OpenLCAbasic!K5062,LookUps!$D$5:$D$12,0))))</f>
        <v>Eutrophication Potential (EP) - kg N eq</v>
      </c>
      <c r="M5062" s="154" t="str">
        <f t="shared" si="328"/>
        <v>Base_Medium_High_Upgraded_Eutrophication Potential (EP) - kg N eq_Biosolids composting; windrow composting; wastewater treatment unit; at updated plant - US_Without Amendment_Windrow</v>
      </c>
    </row>
    <row r="5063" spans="1:13" s="120" customFormat="1" x14ac:dyDescent="0.25">
      <c r="A5063" s="119"/>
      <c r="B5063" s="138" t="str">
        <f t="shared" si="333"/>
        <v>Windrow</v>
      </c>
      <c r="C5063" s="138" t="str">
        <f t="shared" si="332"/>
        <v>Without Amendment</v>
      </c>
      <c r="D5063" s="138" t="str">
        <f t="shared" si="330"/>
        <v>Medium_High</v>
      </c>
      <c r="E5063" s="138" t="str">
        <f t="shared" si="331"/>
        <v>Base</v>
      </c>
      <c r="F5063" s="138" t="str">
        <f t="shared" si="334"/>
        <v>Upgraded</v>
      </c>
      <c r="G5063" s="153"/>
      <c r="H5063" s="210">
        <v>1.8499999999999999E-2</v>
      </c>
      <c r="I5063" s="160" t="s">
        <v>147</v>
      </c>
      <c r="J5063" s="160">
        <v>2.5000000000000001E-4</v>
      </c>
      <c r="K5063" s="160" t="s">
        <v>13</v>
      </c>
      <c r="L5063" s="154" t="str">
        <f>IF(OpenLCAbasic!K5063="CTUh", "Fill in Manually",IF(OR(K5063="Unit", K5063=""), "", INDEX(LookUps!$E$5:$E$12, MATCH(OpenLCAbasic!K5063,LookUps!$D$5:$D$12,0))))</f>
        <v>Eutrophication Potential (EP) - kg N eq</v>
      </c>
      <c r="M5063" s="154" t="str">
        <f t="shared" ref="M5063:M5114" si="335">CONCATENATE(E5063,"_",D5063,"_",F5063,"_",L5063, "_",I5063,"_", C5063,"_", B5063)</f>
        <v>Base_Medium_High_Upgraded_Eutrophication Potential (EP) - kg N eq_Influent Pump Station; wastewater treatment unit; at updated plant - US_Without Amendment_Windrow</v>
      </c>
    </row>
    <row r="5064" spans="1:13" s="120" customFormat="1" x14ac:dyDescent="0.25">
      <c r="A5064" s="119"/>
      <c r="B5064" s="138" t="str">
        <f t="shared" si="333"/>
        <v>Windrow</v>
      </c>
      <c r="C5064" s="138" t="str">
        <f t="shared" si="332"/>
        <v>Without Amendment</v>
      </c>
      <c r="D5064" s="138" t="str">
        <f t="shared" si="330"/>
        <v>Medium_High</v>
      </c>
      <c r="E5064" s="138" t="str">
        <f t="shared" si="331"/>
        <v>Base</v>
      </c>
      <c r="F5064" s="138" t="str">
        <f t="shared" si="334"/>
        <v>Upgraded</v>
      </c>
      <c r="G5064" s="153"/>
      <c r="H5064" s="210">
        <v>1.47E-2</v>
      </c>
      <c r="I5064" s="160" t="s">
        <v>54</v>
      </c>
      <c r="J5064" s="160">
        <v>2.0000000000000001E-4</v>
      </c>
      <c r="K5064" s="160" t="s">
        <v>13</v>
      </c>
      <c r="L5064" s="154" t="str">
        <f>IF(OpenLCAbasic!K5064="CTUh", "Fill in Manually",IF(OR(K5064="Unit", K5064=""), "", INDEX(LookUps!$E$5:$E$12, MATCH(OpenLCAbasic!K5064,LookUps!$D$5:$D$12,0))))</f>
        <v>Eutrophication Potential (EP) - kg N eq</v>
      </c>
      <c r="M5064" s="154" t="str">
        <f t="shared" si="335"/>
        <v>Base_Medium_High_Upgraded_Eutrophication Potential (EP) - kg N eq_Clear Cove Primary Clarification; wastewater treatment unit; at updated plant - US_Without Amendment_Windrow</v>
      </c>
    </row>
    <row r="5065" spans="1:13" s="120" customFormat="1" x14ac:dyDescent="0.25">
      <c r="A5065" s="119"/>
      <c r="B5065" s="138" t="str">
        <f t="shared" si="333"/>
        <v>Windrow</v>
      </c>
      <c r="C5065" s="138" t="str">
        <f t="shared" si="332"/>
        <v>Without Amendment</v>
      </c>
      <c r="D5065" s="138" t="str">
        <f t="shared" si="330"/>
        <v>Medium_High</v>
      </c>
      <c r="E5065" s="138" t="str">
        <f t="shared" si="331"/>
        <v>Base</v>
      </c>
      <c r="F5065" s="138" t="str">
        <f t="shared" si="334"/>
        <v>Upgraded</v>
      </c>
      <c r="G5065" s="153"/>
      <c r="H5065" s="210">
        <v>1.41E-2</v>
      </c>
      <c r="I5065" s="160" t="s">
        <v>167</v>
      </c>
      <c r="J5065" s="160">
        <v>1.9000000000000001E-4</v>
      </c>
      <c r="K5065" s="160" t="s">
        <v>13</v>
      </c>
      <c r="L5065" s="154" t="str">
        <f>IF(OpenLCAbasic!K5065="CTUh", "Fill in Manually",IF(OR(K5065="Unit", K5065=""), "", INDEX(LookUps!$E$5:$E$12, MATCH(OpenLCAbasic!K5065,LookUps!$D$5:$D$12,0))))</f>
        <v>Eutrophication Potential (EP) - kg N eq</v>
      </c>
      <c r="M5065" s="154" t="str">
        <f t="shared" si="335"/>
        <v>Base_Medium_High_Upgraded_Eutrophication Potential (EP) - kg N eq_Waste Receiving and Holding; wastewater treatment unit; at updated plant - US_Without Amendment_Windrow</v>
      </c>
    </row>
    <row r="5066" spans="1:13" s="120" customFormat="1" x14ac:dyDescent="0.25">
      <c r="A5066" s="119"/>
      <c r="B5066" s="138" t="str">
        <f t="shared" si="333"/>
        <v>Windrow</v>
      </c>
      <c r="C5066" s="138" t="str">
        <f t="shared" si="332"/>
        <v>Without Amendment</v>
      </c>
      <c r="D5066" s="138" t="str">
        <f t="shared" si="330"/>
        <v>Medium_High</v>
      </c>
      <c r="E5066" s="138" t="str">
        <f t="shared" si="331"/>
        <v>Base</v>
      </c>
      <c r="F5066" s="138" t="str">
        <f t="shared" si="334"/>
        <v>Upgraded</v>
      </c>
      <c r="G5066" s="153"/>
      <c r="H5066" s="210">
        <v>1.01E-2</v>
      </c>
      <c r="I5066" s="160" t="s">
        <v>58</v>
      </c>
      <c r="J5066" s="160">
        <v>1.3999999999999999E-4</v>
      </c>
      <c r="K5066" s="160" t="s">
        <v>13</v>
      </c>
      <c r="L5066" s="154" t="str">
        <f>IF(OpenLCAbasic!K5066="CTUh", "Fill in Manually",IF(OR(K5066="Unit", K5066=""), "", INDEX(LookUps!$E$5:$E$12, MATCH(OpenLCAbasic!K5066,LookUps!$D$5:$D$12,0))))</f>
        <v>Eutrophication Potential (EP) - kg N eq</v>
      </c>
      <c r="M5066" s="154" t="str">
        <f t="shared" si="335"/>
        <v>Base_Medium_High_Upgraded_Eutrophication Potential (EP) - kg N eq_Pre-Anoxic &amp; Swing tank; wastewater treatment unit; at updated plant - US_Without Amendment_Windrow</v>
      </c>
    </row>
    <row r="5067" spans="1:13" s="120" customFormat="1" x14ac:dyDescent="0.25">
      <c r="A5067" s="119"/>
      <c r="B5067" s="138" t="str">
        <f t="shared" si="333"/>
        <v>Windrow</v>
      </c>
      <c r="C5067" s="138" t="str">
        <f t="shared" si="332"/>
        <v>Without Amendment</v>
      </c>
      <c r="D5067" s="138" t="str">
        <f t="shared" si="330"/>
        <v>Medium_High</v>
      </c>
      <c r="E5067" s="138" t="str">
        <f t="shared" si="331"/>
        <v>Base</v>
      </c>
      <c r="F5067" s="138" t="str">
        <f t="shared" si="334"/>
        <v>Upgraded</v>
      </c>
      <c r="G5067" s="153"/>
      <c r="H5067" s="210">
        <v>8.0000000000000002E-3</v>
      </c>
      <c r="I5067" s="160" t="s">
        <v>53</v>
      </c>
      <c r="J5067" s="160">
        <v>1.1E-4</v>
      </c>
      <c r="K5067" s="160" t="s">
        <v>13</v>
      </c>
      <c r="L5067" s="154" t="str">
        <f>IF(OpenLCAbasic!K5067="CTUh", "Fill in Manually",IF(OR(K5067="Unit", K5067=""), "", INDEX(LookUps!$E$5:$E$12, MATCH(OpenLCAbasic!K5067,LookUps!$D$5:$D$12,0))))</f>
        <v>Eutrophication Potential (EP) - kg N eq</v>
      </c>
      <c r="M5067" s="154" t="str">
        <f t="shared" si="335"/>
        <v>Base_Medium_High_Upgraded_Eutrophication Potential (EP) - kg N eq_Wet Well and Sump Station; wastewater treatment unit; at updated plant - US_Without Amendment_Windrow</v>
      </c>
    </row>
    <row r="5068" spans="1:13" s="120" customFormat="1" x14ac:dyDescent="0.25">
      <c r="A5068" s="119"/>
      <c r="B5068" s="138" t="str">
        <f t="shared" si="333"/>
        <v>Windrow</v>
      </c>
      <c r="C5068" s="138" t="str">
        <f t="shared" si="332"/>
        <v>Without Amendment</v>
      </c>
      <c r="D5068" s="138" t="str">
        <f t="shared" si="330"/>
        <v>Medium_High</v>
      </c>
      <c r="E5068" s="138" t="str">
        <f t="shared" si="331"/>
        <v>Base</v>
      </c>
      <c r="F5068" s="138" t="str">
        <f t="shared" si="334"/>
        <v>Upgraded</v>
      </c>
      <c r="G5068" s="153"/>
      <c r="H5068" s="210">
        <v>5.0000000000000001E-3</v>
      </c>
      <c r="I5068" s="160" t="s">
        <v>60</v>
      </c>
      <c r="J5068" s="211">
        <v>6.69155E-5</v>
      </c>
      <c r="K5068" s="160" t="s">
        <v>13</v>
      </c>
      <c r="L5068" s="154" t="str">
        <f>IF(OpenLCAbasic!K5068="CTUh", "Fill in Manually",IF(OR(K5068="Unit", K5068=""), "", INDEX(LookUps!$E$5:$E$12, MATCH(OpenLCAbasic!K5068,LookUps!$D$5:$D$12,0))))</f>
        <v>Eutrophication Potential (EP) - kg N eq</v>
      </c>
      <c r="M5068" s="154" t="str">
        <f t="shared" si="335"/>
        <v>Base_Medium_High_Upgraded_Eutrophication Potential (EP) - kg N eq_Belt filter press; wastewater treatment unit; at updated plant - US_Without Amendment_Windrow</v>
      </c>
    </row>
    <row r="5069" spans="1:13" s="120" customFormat="1" x14ac:dyDescent="0.25">
      <c r="A5069" s="119"/>
      <c r="B5069" s="138" t="str">
        <f t="shared" si="333"/>
        <v>Windrow</v>
      </c>
      <c r="C5069" s="138" t="str">
        <f t="shared" si="332"/>
        <v>Without Amendment</v>
      </c>
      <c r="D5069" s="138" t="str">
        <f t="shared" si="330"/>
        <v>Medium_High</v>
      </c>
      <c r="E5069" s="138" t="str">
        <f t="shared" si="331"/>
        <v>Base</v>
      </c>
      <c r="F5069" s="138" t="str">
        <f t="shared" si="334"/>
        <v>Upgraded</v>
      </c>
      <c r="G5069" s="153"/>
      <c r="H5069" s="210">
        <v>4.4999999999999997E-3</v>
      </c>
      <c r="I5069" s="160" t="s">
        <v>57</v>
      </c>
      <c r="J5069" s="211">
        <v>6.0590300000000002E-5</v>
      </c>
      <c r="K5069" s="160" t="s">
        <v>13</v>
      </c>
      <c r="L5069" s="154" t="str">
        <f>IF(OpenLCAbasic!K5069="CTUh", "Fill in Manually",IF(OR(K5069="Unit", K5069=""), "", INDEX(LookUps!$E$5:$E$12, MATCH(OpenLCAbasic!K5069,LookUps!$D$5:$D$12,0))))</f>
        <v>Eutrophication Potential (EP) - kg N eq</v>
      </c>
      <c r="M5069" s="154" t="str">
        <f t="shared" si="335"/>
        <v>Base_Medium_High_Upgraded_Eutrophication Potential (EP) - kg N eq_Gravity Belt Thickener; wastewater treatment unit; at updated plant - US_Without Amendment_Windrow</v>
      </c>
    </row>
    <row r="5070" spans="1:13" s="120" customFormat="1" x14ac:dyDescent="0.25">
      <c r="A5070" s="119"/>
      <c r="B5070" s="138" t="str">
        <f t="shared" si="333"/>
        <v>Windrow</v>
      </c>
      <c r="C5070" s="138" t="str">
        <f t="shared" si="332"/>
        <v>Without Amendment</v>
      </c>
      <c r="D5070" s="138" t="str">
        <f t="shared" si="330"/>
        <v>Medium_High</v>
      </c>
      <c r="E5070" s="138" t="str">
        <f t="shared" si="331"/>
        <v>Base</v>
      </c>
      <c r="F5070" s="138" t="str">
        <f t="shared" si="334"/>
        <v>Upgraded</v>
      </c>
      <c r="G5070" s="153"/>
      <c r="H5070" s="210">
        <v>2.8E-3</v>
      </c>
      <c r="I5070" s="160" t="s">
        <v>128</v>
      </c>
      <c r="J5070" s="211">
        <v>3.7559799999999999E-5</v>
      </c>
      <c r="K5070" s="160" t="s">
        <v>13</v>
      </c>
      <c r="L5070" s="154" t="str">
        <f>IF(OpenLCAbasic!K5070="CTUh", "Fill in Manually",IF(OR(K5070="Unit", K5070=""), "", INDEX(LookUps!$E$5:$E$12, MATCH(OpenLCAbasic!K5070,LookUps!$D$5:$D$12,0))))</f>
        <v>Eutrophication Potential (EP) - kg N eq</v>
      </c>
      <c r="M5070" s="154" t="str">
        <f t="shared" si="335"/>
        <v>Base_Medium_High_Upgraded_Eutrophication Potential (EP) - kg N eq_Wastewater collection; operation and infrastructure; m3 wastewater_Without Amendment_Windrow</v>
      </c>
    </row>
    <row r="5071" spans="1:13" s="120" customFormat="1" x14ac:dyDescent="0.25">
      <c r="A5071" s="119"/>
      <c r="B5071" s="138" t="str">
        <f t="shared" si="333"/>
        <v>Windrow</v>
      </c>
      <c r="C5071" s="138" t="str">
        <f t="shared" si="332"/>
        <v>Without Amendment</v>
      </c>
      <c r="D5071" s="138" t="str">
        <f t="shared" si="330"/>
        <v>Medium_High</v>
      </c>
      <c r="E5071" s="138" t="str">
        <f t="shared" si="331"/>
        <v>Base</v>
      </c>
      <c r="F5071" s="138" t="str">
        <f t="shared" si="334"/>
        <v>Upgraded</v>
      </c>
      <c r="G5071" s="153"/>
      <c r="H5071" s="210">
        <v>2.7000000000000001E-3</v>
      </c>
      <c r="I5071" s="160" t="s">
        <v>148</v>
      </c>
      <c r="J5071" s="211">
        <v>3.6874600000000001E-5</v>
      </c>
      <c r="K5071" s="160" t="s">
        <v>13</v>
      </c>
      <c r="L5071" s="154" t="str">
        <f>IF(OpenLCAbasic!K5071="CTUh", "Fill in Manually",IF(OR(K5071="Unit", K5071=""), "", INDEX(LookUps!$E$5:$E$12, MATCH(OpenLCAbasic!K5071,LookUps!$D$5:$D$12,0))))</f>
        <v>Eutrophication Potential (EP) - kg N eq</v>
      </c>
      <c r="M5071" s="154" t="str">
        <f t="shared" si="335"/>
        <v>Base_Medium_High_Upgraded_Eutrophication Potential (EP) - kg N eq_Control Building; at upgraded wastewater treatment plant - US_Without Amendment_Windrow</v>
      </c>
    </row>
    <row r="5072" spans="1:13" s="120" customFormat="1" x14ac:dyDescent="0.25">
      <c r="A5072" s="119"/>
      <c r="B5072" s="138" t="str">
        <f t="shared" si="333"/>
        <v>Windrow</v>
      </c>
      <c r="C5072" s="138" t="str">
        <f t="shared" si="332"/>
        <v>Without Amendment</v>
      </c>
      <c r="D5072" s="138" t="str">
        <f t="shared" si="330"/>
        <v>Medium_High</v>
      </c>
      <c r="E5072" s="138" t="str">
        <f t="shared" si="331"/>
        <v>Base</v>
      </c>
      <c r="F5072" s="138" t="str">
        <f t="shared" si="334"/>
        <v>Upgraded</v>
      </c>
      <c r="G5072" s="153"/>
      <c r="H5072" s="210">
        <v>1.1999999999999999E-3</v>
      </c>
      <c r="I5072" s="160" t="s">
        <v>59</v>
      </c>
      <c r="J5072" s="211">
        <v>1.6215700000000001E-5</v>
      </c>
      <c r="K5072" s="160" t="s">
        <v>13</v>
      </c>
      <c r="L5072" s="154" t="str">
        <f>IF(OpenLCAbasic!K5072="CTUh", "Fill in Manually",IF(OR(K5072="Unit", K5072=""), "", INDEX(LookUps!$E$5:$E$12, MATCH(OpenLCAbasic!K5072,LookUps!$D$5:$D$12,0))))</f>
        <v>Eutrophication Potential (EP) - kg N eq</v>
      </c>
      <c r="M5072" s="154" t="str">
        <f t="shared" si="335"/>
        <v>Base_Medium_High_Upgraded_Eutrophication Potential (EP) - kg N eq_Blend Tank; wastewater treatment unit; at updated plant - US_Without Amendment_Windrow</v>
      </c>
    </row>
    <row r="5073" spans="1:13" s="120" customFormat="1" x14ac:dyDescent="0.25">
      <c r="A5073" s="119"/>
      <c r="B5073" s="138" t="str">
        <f t="shared" si="333"/>
        <v>Windrow</v>
      </c>
      <c r="C5073" s="138" t="str">
        <f t="shared" si="332"/>
        <v>Without Amendment</v>
      </c>
      <c r="D5073" s="138" t="str">
        <f t="shared" si="330"/>
        <v>Medium_High</v>
      </c>
      <c r="E5073" s="138" t="str">
        <f t="shared" si="331"/>
        <v>Base</v>
      </c>
      <c r="F5073" s="138" t="str">
        <f t="shared" si="334"/>
        <v>Upgraded</v>
      </c>
      <c r="G5073" s="153"/>
      <c r="H5073" s="210">
        <v>5.9999999999999995E-4</v>
      </c>
      <c r="I5073" s="160" t="s">
        <v>168</v>
      </c>
      <c r="J5073" s="211">
        <v>7.7567199999999995E-6</v>
      </c>
      <c r="K5073" s="160" t="s">
        <v>13</v>
      </c>
      <c r="L5073" s="154" t="str">
        <f>IF(OpenLCAbasic!K5073="CTUh", "Fill in Manually",IF(OR(K5073="Unit", K5073=""), "", INDEX(LookUps!$E$5:$E$12, MATCH(OpenLCAbasic!K5073,LookUps!$D$5:$D$12,0))))</f>
        <v>Eutrophication Potential (EP) - kg N eq</v>
      </c>
      <c r="M5073" s="154" t="str">
        <f t="shared" si="335"/>
        <v>Base_Medium_High_Upgraded_Eutrophication Potential (EP) - kg N eq_ClearCove SCP; wastewater treatment unit; at updated plant - US_Without Amendment_Windrow</v>
      </c>
    </row>
    <row r="5074" spans="1:13" s="120" customFormat="1" x14ac:dyDescent="0.25">
      <c r="A5074" s="119"/>
      <c r="B5074" s="138" t="str">
        <f t="shared" si="333"/>
        <v>Windrow</v>
      </c>
      <c r="C5074" s="138" t="str">
        <f t="shared" si="332"/>
        <v>Without Amendment</v>
      </c>
      <c r="D5074" s="138" t="str">
        <f t="shared" si="330"/>
        <v>Medium_High</v>
      </c>
      <c r="E5074" s="138" t="str">
        <f t="shared" si="331"/>
        <v>Base</v>
      </c>
      <c r="F5074" s="138" t="str">
        <f t="shared" si="334"/>
        <v>Upgraded</v>
      </c>
      <c r="G5074" s="153"/>
      <c r="H5074" s="210">
        <v>-0.13189999999999999</v>
      </c>
      <c r="I5074" s="160" t="s">
        <v>149</v>
      </c>
      <c r="J5074" s="160">
        <v>-1.7799999999999999E-3</v>
      </c>
      <c r="K5074" s="160" t="s">
        <v>13</v>
      </c>
      <c r="L5074" s="154" t="str">
        <f>IF(OpenLCAbasic!K5074="CTUh", "Fill in Manually",IF(OR(K5074="Unit", K5074=""), "", INDEX(LookUps!$E$5:$E$12, MATCH(OpenLCAbasic!K5074,LookUps!$D$5:$D$12,0))))</f>
        <v>Eutrophication Potential (EP) - kg N eq</v>
      </c>
      <c r="M5074" s="154" t="str">
        <f t="shared" si="335"/>
        <v>Base_Medium_High_Upgraded_Eutrophication Potential (EP) - kg N eq_Anaerobic Digestion; wastewater treatment unit; at updated plant - US_Without Amendment_Windrow</v>
      </c>
    </row>
    <row r="5075" spans="1:13" s="120" customFormat="1" x14ac:dyDescent="0.25">
      <c r="A5075" s="119"/>
      <c r="B5075" s="138" t="str">
        <f t="shared" si="333"/>
        <v/>
      </c>
      <c r="C5075" s="138" t="str">
        <f t="shared" si="332"/>
        <v/>
      </c>
      <c r="D5075" s="138" t="str">
        <f t="shared" si="330"/>
        <v/>
      </c>
      <c r="E5075" s="138" t="str">
        <f t="shared" si="331"/>
        <v/>
      </c>
      <c r="F5075" s="138" t="str">
        <f t="shared" si="334"/>
        <v/>
      </c>
      <c r="G5075" s="153" t="s">
        <v>51</v>
      </c>
      <c r="H5075" s="160"/>
      <c r="I5075" s="160" t="s">
        <v>47</v>
      </c>
      <c r="J5075" s="160" t="s">
        <v>52</v>
      </c>
      <c r="K5075" s="160" t="s">
        <v>27</v>
      </c>
      <c r="L5075" s="154" t="str">
        <f>IF(OpenLCAbasic!K5075="CTUh", "Fill in Manually",IF(OR(K5075="Unit", K5075=""), "", INDEX(LookUps!$E$5:$E$12, MATCH(OpenLCAbasic!K5075,LookUps!$D$5:$D$12,0))))</f>
        <v/>
      </c>
      <c r="M5075" s="154" t="str">
        <f t="shared" si="335"/>
        <v>____Process__</v>
      </c>
    </row>
    <row r="5076" spans="1:13" s="120" customFormat="1" x14ac:dyDescent="0.25">
      <c r="A5076" s="119"/>
      <c r="B5076" s="138" t="str">
        <f t="shared" si="333"/>
        <v>Windrow</v>
      </c>
      <c r="C5076" s="138" t="str">
        <f t="shared" si="332"/>
        <v>Without Amendment</v>
      </c>
      <c r="D5076" s="138" t="str">
        <f t="shared" si="330"/>
        <v>Medium_High</v>
      </c>
      <c r="E5076" s="138" t="str">
        <f t="shared" si="331"/>
        <v>Base</v>
      </c>
      <c r="F5076" s="138" t="str">
        <f t="shared" si="334"/>
        <v>Upgraded</v>
      </c>
      <c r="G5076" s="153"/>
      <c r="H5076" s="210">
        <v>1.849</v>
      </c>
      <c r="I5076" s="160" t="s">
        <v>167</v>
      </c>
      <c r="J5076" s="160">
        <v>9.7259999999999999E-2</v>
      </c>
      <c r="K5076" s="160" t="s">
        <v>14</v>
      </c>
      <c r="L5076" s="154" t="str">
        <f>IF(OpenLCAbasic!K5076="CTUh", "Fill in Manually",IF(OR(K5076="Unit", K5076=""), "", INDEX(LookUps!$E$5:$E$12, MATCH(OpenLCAbasic!K5076,LookUps!$D$5:$D$12,0))))</f>
        <v>Fossil Depletion Potential (FDP) - kg oil eq</v>
      </c>
      <c r="M5076" s="154" t="str">
        <f t="shared" si="335"/>
        <v>Base_Medium_High_Upgraded_Fossil Depletion Potential (FDP) - kg oil eq_Waste Receiving and Holding; wastewater treatment unit; at updated plant - US_Without Amendment_Windrow</v>
      </c>
    </row>
    <row r="5077" spans="1:13" s="120" customFormat="1" x14ac:dyDescent="0.25">
      <c r="A5077" s="119"/>
      <c r="B5077" s="138" t="str">
        <f t="shared" si="333"/>
        <v>Windrow</v>
      </c>
      <c r="C5077" s="138" t="str">
        <f t="shared" si="332"/>
        <v>Without Amendment</v>
      </c>
      <c r="D5077" s="138" t="str">
        <f t="shared" si="330"/>
        <v>Medium_High</v>
      </c>
      <c r="E5077" s="138" t="str">
        <f t="shared" si="331"/>
        <v>Base</v>
      </c>
      <c r="F5077" s="138" t="str">
        <f t="shared" si="334"/>
        <v>Upgraded</v>
      </c>
      <c r="G5077" s="153"/>
      <c r="H5077" s="210">
        <v>1.2089000000000001</v>
      </c>
      <c r="I5077" s="160" t="s">
        <v>55</v>
      </c>
      <c r="J5077" s="160">
        <v>6.3589999999999994E-2</v>
      </c>
      <c r="K5077" s="160" t="s">
        <v>14</v>
      </c>
      <c r="L5077" s="154" t="str">
        <f>IF(OpenLCAbasic!K5077="CTUh", "Fill in Manually",IF(OR(K5077="Unit", K5077=""), "", INDEX(LookUps!$E$5:$E$12, MATCH(OpenLCAbasic!K5077,LookUps!$D$5:$D$12,0))))</f>
        <v>Fossil Depletion Potential (FDP) - kg oil eq</v>
      </c>
      <c r="M5077" s="154" t="str">
        <f t="shared" si="335"/>
        <v>Base_Medium_High_Upgraded_Fossil Depletion Potential (FDP) - kg oil eq_Aeration Tanks; wastewater treatment unit; at updated plant - US_Without Amendment_Windrow</v>
      </c>
    </row>
    <row r="5078" spans="1:13" s="120" customFormat="1" x14ac:dyDescent="0.25">
      <c r="A5078" s="119"/>
      <c r="B5078" s="138" t="str">
        <f t="shared" si="333"/>
        <v>Windrow</v>
      </c>
      <c r="C5078" s="138" t="str">
        <f t="shared" si="332"/>
        <v>Without Amendment</v>
      </c>
      <c r="D5078" s="138" t="str">
        <f t="shared" si="330"/>
        <v>Medium_High</v>
      </c>
      <c r="E5078" s="138" t="str">
        <f t="shared" si="331"/>
        <v>Base</v>
      </c>
      <c r="F5078" s="138" t="str">
        <f t="shared" si="334"/>
        <v>Upgraded</v>
      </c>
      <c r="G5078" s="153"/>
      <c r="H5078" s="210">
        <v>0.4002</v>
      </c>
      <c r="I5078" s="160" t="s">
        <v>54</v>
      </c>
      <c r="J5078" s="160">
        <v>2.1049999999999999E-2</v>
      </c>
      <c r="K5078" s="160" t="s">
        <v>14</v>
      </c>
      <c r="L5078" s="154" t="str">
        <f>IF(OpenLCAbasic!K5078="CTUh", "Fill in Manually",IF(OR(K5078="Unit", K5078=""), "", INDEX(LookUps!$E$5:$E$12, MATCH(OpenLCAbasic!K5078,LookUps!$D$5:$D$12,0))))</f>
        <v>Fossil Depletion Potential (FDP) - kg oil eq</v>
      </c>
      <c r="M5078" s="154" t="str">
        <f t="shared" si="335"/>
        <v>Base_Medium_High_Upgraded_Fossil Depletion Potential (FDP) - kg oil eq_Clear Cove Primary Clarification; wastewater treatment unit; at updated plant - US_Without Amendment_Windrow</v>
      </c>
    </row>
    <row r="5079" spans="1:13" s="120" customFormat="1" x14ac:dyDescent="0.25">
      <c r="A5079" s="119"/>
      <c r="B5079" s="138" t="str">
        <f t="shared" si="333"/>
        <v>Windrow</v>
      </c>
      <c r="C5079" s="138" t="str">
        <f t="shared" si="332"/>
        <v>Without Amendment</v>
      </c>
      <c r="D5079" s="138" t="str">
        <f t="shared" si="330"/>
        <v>Medium_High</v>
      </c>
      <c r="E5079" s="138" t="str">
        <f t="shared" si="331"/>
        <v>Base</v>
      </c>
      <c r="F5079" s="138" t="str">
        <f t="shared" si="334"/>
        <v>Upgraded</v>
      </c>
      <c r="G5079" s="153"/>
      <c r="H5079" s="210">
        <v>0.30370000000000003</v>
      </c>
      <c r="I5079" s="160" t="s">
        <v>58</v>
      </c>
      <c r="J5079" s="160">
        <v>1.5980000000000001E-2</v>
      </c>
      <c r="K5079" s="160" t="s">
        <v>14</v>
      </c>
      <c r="L5079" s="154" t="str">
        <f>IF(OpenLCAbasic!K5079="CTUh", "Fill in Manually",IF(OR(K5079="Unit", K5079=""), "", INDEX(LookUps!$E$5:$E$12, MATCH(OpenLCAbasic!K5079,LookUps!$D$5:$D$12,0))))</f>
        <v>Fossil Depletion Potential (FDP) - kg oil eq</v>
      </c>
      <c r="M5079" s="154" t="str">
        <f t="shared" si="335"/>
        <v>Base_Medium_High_Upgraded_Fossil Depletion Potential (FDP) - kg oil eq_Pre-Anoxic &amp; Swing tank; wastewater treatment unit; at updated plant - US_Without Amendment_Windrow</v>
      </c>
    </row>
    <row r="5080" spans="1:13" s="120" customFormat="1" x14ac:dyDescent="0.25">
      <c r="A5080" s="119"/>
      <c r="B5080" s="138" t="str">
        <f t="shared" si="333"/>
        <v>Windrow</v>
      </c>
      <c r="C5080" s="138" t="str">
        <f t="shared" si="332"/>
        <v>Without Amendment</v>
      </c>
      <c r="D5080" s="138" t="str">
        <f t="shared" si="330"/>
        <v>Medium_High</v>
      </c>
      <c r="E5080" s="138" t="str">
        <f t="shared" si="331"/>
        <v>Base</v>
      </c>
      <c r="F5080" s="138" t="str">
        <f t="shared" si="334"/>
        <v>Upgraded</v>
      </c>
      <c r="G5080" s="153"/>
      <c r="H5080" s="210">
        <v>0.2868</v>
      </c>
      <c r="I5080" s="160" t="s">
        <v>147</v>
      </c>
      <c r="J5080" s="160">
        <v>1.5089999999999999E-2</v>
      </c>
      <c r="K5080" s="160" t="s">
        <v>14</v>
      </c>
      <c r="L5080" s="154" t="str">
        <f>IF(OpenLCAbasic!K5080="CTUh", "Fill in Manually",IF(OR(K5080="Unit", K5080=""), "", INDEX(LookUps!$E$5:$E$12, MATCH(OpenLCAbasic!K5080,LookUps!$D$5:$D$12,0))))</f>
        <v>Fossil Depletion Potential (FDP) - kg oil eq</v>
      </c>
      <c r="M5080" s="154" t="str">
        <f t="shared" si="335"/>
        <v>Base_Medium_High_Upgraded_Fossil Depletion Potential (FDP) - kg oil eq_Influent Pump Station; wastewater treatment unit; at updated plant - US_Without Amendment_Windrow</v>
      </c>
    </row>
    <row r="5081" spans="1:13" s="120" customFormat="1" x14ac:dyDescent="0.25">
      <c r="A5081" s="119"/>
      <c r="B5081" s="138" t="str">
        <f t="shared" si="333"/>
        <v>Windrow</v>
      </c>
      <c r="C5081" s="138" t="str">
        <f t="shared" si="332"/>
        <v>Without Amendment</v>
      </c>
      <c r="D5081" s="138" t="str">
        <f t="shared" si="330"/>
        <v>Medium_High</v>
      </c>
      <c r="E5081" s="138" t="str">
        <f t="shared" si="331"/>
        <v>Base</v>
      </c>
      <c r="F5081" s="138" t="str">
        <f t="shared" si="334"/>
        <v>Upgraded</v>
      </c>
      <c r="G5081" s="153"/>
      <c r="H5081" s="210">
        <v>0.2374</v>
      </c>
      <c r="I5081" s="160" t="s">
        <v>53</v>
      </c>
      <c r="J5081" s="160">
        <v>1.2489999999999999E-2</v>
      </c>
      <c r="K5081" s="160" t="s">
        <v>14</v>
      </c>
      <c r="L5081" s="154" t="str">
        <f>IF(OpenLCAbasic!K5081="CTUh", "Fill in Manually",IF(OR(K5081="Unit", K5081=""), "", INDEX(LookUps!$E$5:$E$12, MATCH(OpenLCAbasic!K5081,LookUps!$D$5:$D$12,0))))</f>
        <v>Fossil Depletion Potential (FDP) - kg oil eq</v>
      </c>
      <c r="M5081" s="154" t="str">
        <f t="shared" si="335"/>
        <v>Base_Medium_High_Upgraded_Fossil Depletion Potential (FDP) - kg oil eq_Wet Well and Sump Station; wastewater treatment unit; at updated plant - US_Without Amendment_Windrow</v>
      </c>
    </row>
    <row r="5082" spans="1:13" s="120" customFormat="1" x14ac:dyDescent="0.25">
      <c r="A5082" s="119"/>
      <c r="B5082" s="138" t="str">
        <f t="shared" si="333"/>
        <v>Windrow</v>
      </c>
      <c r="C5082" s="138" t="str">
        <f t="shared" si="332"/>
        <v>Without Amendment</v>
      </c>
      <c r="D5082" s="138" t="str">
        <f t="shared" si="330"/>
        <v>Medium_High</v>
      </c>
      <c r="E5082" s="138" t="str">
        <f t="shared" si="331"/>
        <v>Base</v>
      </c>
      <c r="F5082" s="138" t="str">
        <f t="shared" si="334"/>
        <v>Upgraded</v>
      </c>
      <c r="G5082" s="153"/>
      <c r="H5082" s="210">
        <v>0.14599999999999999</v>
      </c>
      <c r="I5082" s="160" t="s">
        <v>60</v>
      </c>
      <c r="J5082" s="160">
        <v>7.6800000000000002E-3</v>
      </c>
      <c r="K5082" s="160" t="s">
        <v>14</v>
      </c>
      <c r="L5082" s="154" t="str">
        <f>IF(OpenLCAbasic!K5082="CTUh", "Fill in Manually",IF(OR(K5082="Unit", K5082=""), "", INDEX(LookUps!$E$5:$E$12, MATCH(OpenLCAbasic!K5082,LookUps!$D$5:$D$12,0))))</f>
        <v>Fossil Depletion Potential (FDP) - kg oil eq</v>
      </c>
      <c r="M5082" s="154" t="str">
        <f t="shared" si="335"/>
        <v>Base_Medium_High_Upgraded_Fossil Depletion Potential (FDP) - kg oil eq_Belt filter press; wastewater treatment unit; at updated plant - US_Without Amendment_Windrow</v>
      </c>
    </row>
    <row r="5083" spans="1:13" s="120" customFormat="1" x14ac:dyDescent="0.25">
      <c r="A5083" s="119"/>
      <c r="B5083" s="138" t="str">
        <f t="shared" si="333"/>
        <v>Windrow</v>
      </c>
      <c r="C5083" s="138" t="str">
        <f t="shared" si="332"/>
        <v>Without Amendment</v>
      </c>
      <c r="D5083" s="138" t="str">
        <f t="shared" si="330"/>
        <v>Medium_High</v>
      </c>
      <c r="E5083" s="138" t="str">
        <f t="shared" si="331"/>
        <v>Base</v>
      </c>
      <c r="F5083" s="138" t="str">
        <f t="shared" si="334"/>
        <v>Upgraded</v>
      </c>
      <c r="G5083" s="153"/>
      <c r="H5083" s="210">
        <v>0.13150000000000001</v>
      </c>
      <c r="I5083" s="160" t="s">
        <v>57</v>
      </c>
      <c r="J5083" s="160">
        <v>6.9199999999999999E-3</v>
      </c>
      <c r="K5083" s="160" t="s">
        <v>14</v>
      </c>
      <c r="L5083" s="154" t="str">
        <f>IF(OpenLCAbasic!K5083="CTUh", "Fill in Manually",IF(OR(K5083="Unit", K5083=""), "", INDEX(LookUps!$E$5:$E$12, MATCH(OpenLCAbasic!K5083,LookUps!$D$5:$D$12,0))))</f>
        <v>Fossil Depletion Potential (FDP) - kg oil eq</v>
      </c>
      <c r="M5083" s="154" t="str">
        <f t="shared" si="335"/>
        <v>Base_Medium_High_Upgraded_Fossil Depletion Potential (FDP) - kg oil eq_Gravity Belt Thickener; wastewater treatment unit; at updated plant - US_Without Amendment_Windrow</v>
      </c>
    </row>
    <row r="5084" spans="1:13" s="120" customFormat="1" x14ac:dyDescent="0.25">
      <c r="A5084" s="119"/>
      <c r="B5084" s="138" t="str">
        <f t="shared" si="333"/>
        <v>Windrow</v>
      </c>
      <c r="C5084" s="138" t="str">
        <f t="shared" si="332"/>
        <v>Without Amendment</v>
      </c>
      <c r="D5084" s="138" t="str">
        <f t="shared" si="330"/>
        <v>Medium_High</v>
      </c>
      <c r="E5084" s="138" t="str">
        <f t="shared" si="331"/>
        <v>Base</v>
      </c>
      <c r="F5084" s="138" t="str">
        <f t="shared" si="334"/>
        <v>Upgraded</v>
      </c>
      <c r="G5084" s="153"/>
      <c r="H5084" s="210">
        <v>8.5500000000000007E-2</v>
      </c>
      <c r="I5084" s="160" t="s">
        <v>128</v>
      </c>
      <c r="J5084" s="160">
        <v>4.4999999999999997E-3</v>
      </c>
      <c r="K5084" s="160" t="s">
        <v>14</v>
      </c>
      <c r="L5084" s="154" t="str">
        <f>IF(OpenLCAbasic!K5084="CTUh", "Fill in Manually",IF(OR(K5084="Unit", K5084=""), "", INDEX(LookUps!$E$5:$E$12, MATCH(OpenLCAbasic!K5084,LookUps!$D$5:$D$12,0))))</f>
        <v>Fossil Depletion Potential (FDP) - kg oil eq</v>
      </c>
      <c r="M5084" s="154" t="str">
        <f t="shared" si="335"/>
        <v>Base_Medium_High_Upgraded_Fossil Depletion Potential (FDP) - kg oil eq_Wastewater collection; operation and infrastructure; m3 wastewater_Without Amendment_Windrow</v>
      </c>
    </row>
    <row r="5085" spans="1:13" s="120" customFormat="1" x14ac:dyDescent="0.25">
      <c r="A5085" s="119"/>
      <c r="B5085" s="138" t="str">
        <f t="shared" si="333"/>
        <v>Windrow</v>
      </c>
      <c r="C5085" s="138" t="str">
        <f t="shared" si="332"/>
        <v>Without Amendment</v>
      </c>
      <c r="D5085" s="138" t="str">
        <f t="shared" si="330"/>
        <v>Medium_High</v>
      </c>
      <c r="E5085" s="138" t="str">
        <f t="shared" si="331"/>
        <v>Base</v>
      </c>
      <c r="F5085" s="138" t="str">
        <f t="shared" si="334"/>
        <v>Upgraded</v>
      </c>
      <c r="G5085" s="153"/>
      <c r="H5085" s="210">
        <v>5.3199999999999997E-2</v>
      </c>
      <c r="I5085" s="160" t="s">
        <v>148</v>
      </c>
      <c r="J5085" s="160">
        <v>2.8E-3</v>
      </c>
      <c r="K5085" s="160" t="s">
        <v>14</v>
      </c>
      <c r="L5085" s="154" t="str">
        <f>IF(OpenLCAbasic!K5085="CTUh", "Fill in Manually",IF(OR(K5085="Unit", K5085=""), "", INDEX(LookUps!$E$5:$E$12, MATCH(OpenLCAbasic!K5085,LookUps!$D$5:$D$12,0))))</f>
        <v>Fossil Depletion Potential (FDP) - kg oil eq</v>
      </c>
      <c r="M5085" s="154" t="str">
        <f t="shared" si="335"/>
        <v>Base_Medium_High_Upgraded_Fossil Depletion Potential (FDP) - kg oil eq_Control Building; at upgraded wastewater treatment plant - US_Without Amendment_Windrow</v>
      </c>
    </row>
    <row r="5086" spans="1:13" s="120" customFormat="1" x14ac:dyDescent="0.25">
      <c r="A5086" s="119"/>
      <c r="B5086" s="138" t="str">
        <f t="shared" si="333"/>
        <v>Windrow</v>
      </c>
      <c r="C5086" s="138" t="str">
        <f t="shared" si="332"/>
        <v>Without Amendment</v>
      </c>
      <c r="D5086" s="138" t="str">
        <f t="shared" si="330"/>
        <v>Medium_High</v>
      </c>
      <c r="E5086" s="138" t="str">
        <f t="shared" si="331"/>
        <v>Base</v>
      </c>
      <c r="F5086" s="138" t="str">
        <f t="shared" si="334"/>
        <v>Upgraded</v>
      </c>
      <c r="G5086" s="153"/>
      <c r="H5086" s="210">
        <v>4.4900000000000002E-2</v>
      </c>
      <c r="I5086" s="160" t="s">
        <v>48</v>
      </c>
      <c r="J5086" s="160">
        <v>2.3600000000000001E-3</v>
      </c>
      <c r="K5086" s="160" t="s">
        <v>14</v>
      </c>
      <c r="L5086" s="154" t="str">
        <f>IF(OpenLCAbasic!K5086="CTUh", "Fill in Manually",IF(OR(K5086="Unit", K5086=""), "", INDEX(LookUps!$E$5:$E$12, MATCH(OpenLCAbasic!K5086,LookUps!$D$5:$D$12,0))))</f>
        <v>Fossil Depletion Potential (FDP) - kg oil eq</v>
      </c>
      <c r="M5086" s="154" t="str">
        <f t="shared" si="335"/>
        <v>Base_Medium_High_Upgraded_Fossil Depletion Potential (FDP) - kg oil eq_Effluent release; wastewater treatment unit; at surface water; m3 wastewater - US_Without Amendment_Windrow</v>
      </c>
    </row>
    <row r="5087" spans="1:13" s="120" customFormat="1" x14ac:dyDescent="0.25">
      <c r="A5087" s="119"/>
      <c r="B5087" s="138" t="str">
        <f t="shared" si="333"/>
        <v>Windrow</v>
      </c>
      <c r="C5087" s="138" t="str">
        <f t="shared" si="332"/>
        <v>Without Amendment</v>
      </c>
      <c r="D5087" s="138" t="str">
        <f t="shared" si="330"/>
        <v>Medium_High</v>
      </c>
      <c r="E5087" s="138" t="str">
        <f t="shared" si="331"/>
        <v>Base</v>
      </c>
      <c r="F5087" s="138" t="str">
        <f t="shared" si="334"/>
        <v>Upgraded</v>
      </c>
      <c r="G5087" s="153"/>
      <c r="H5087" s="210">
        <v>3.6499999999999998E-2</v>
      </c>
      <c r="I5087" s="160" t="s">
        <v>59</v>
      </c>
      <c r="J5087" s="160">
        <v>1.92E-3</v>
      </c>
      <c r="K5087" s="160" t="s">
        <v>14</v>
      </c>
      <c r="L5087" s="154" t="str">
        <f>IF(OpenLCAbasic!K5087="CTUh", "Fill in Manually",IF(OR(K5087="Unit", K5087=""), "", INDEX(LookUps!$E$5:$E$12, MATCH(OpenLCAbasic!K5087,LookUps!$D$5:$D$12,0))))</f>
        <v>Fossil Depletion Potential (FDP) - kg oil eq</v>
      </c>
      <c r="M5087" s="154" t="str">
        <f t="shared" si="335"/>
        <v>Base_Medium_High_Upgraded_Fossil Depletion Potential (FDP) - kg oil eq_Blend Tank; wastewater treatment unit; at updated plant - US_Without Amendment_Windrow</v>
      </c>
    </row>
    <row r="5088" spans="1:13" s="120" customFormat="1" x14ac:dyDescent="0.25">
      <c r="A5088" s="119"/>
      <c r="B5088" s="138" t="str">
        <f t="shared" si="333"/>
        <v>Windrow</v>
      </c>
      <c r="C5088" s="138" t="str">
        <f t="shared" si="332"/>
        <v>Without Amendment</v>
      </c>
      <c r="D5088" s="138" t="str">
        <f t="shared" si="330"/>
        <v>Medium_High</v>
      </c>
      <c r="E5088" s="138" t="str">
        <f t="shared" si="331"/>
        <v>Base</v>
      </c>
      <c r="F5088" s="138" t="str">
        <f t="shared" si="334"/>
        <v>Upgraded</v>
      </c>
      <c r="G5088" s="153"/>
      <c r="H5088" s="210">
        <v>1.7399999999999999E-2</v>
      </c>
      <c r="I5088" s="160" t="s">
        <v>168</v>
      </c>
      <c r="J5088" s="160">
        <v>9.1E-4</v>
      </c>
      <c r="K5088" s="160" t="s">
        <v>14</v>
      </c>
      <c r="L5088" s="154" t="str">
        <f>IF(OpenLCAbasic!K5088="CTUh", "Fill in Manually",IF(OR(K5088="Unit", K5088=""), "", INDEX(LookUps!$E$5:$E$12, MATCH(OpenLCAbasic!K5088,LookUps!$D$5:$D$12,0))))</f>
        <v>Fossil Depletion Potential (FDP) - kg oil eq</v>
      </c>
      <c r="M5088" s="154" t="str">
        <f t="shared" si="335"/>
        <v>Base_Medium_High_Upgraded_Fossil Depletion Potential (FDP) - kg oil eq_ClearCove SCP; wastewater treatment unit; at updated plant - US_Without Amendment_Windrow</v>
      </c>
    </row>
    <row r="5089" spans="1:13" s="120" customFormat="1" x14ac:dyDescent="0.25">
      <c r="A5089" s="119"/>
      <c r="B5089" s="138" t="str">
        <f t="shared" si="333"/>
        <v>Windrow</v>
      </c>
      <c r="C5089" s="138" t="str">
        <f t="shared" si="332"/>
        <v>Without Amendment</v>
      </c>
      <c r="D5089" s="138" t="str">
        <f t="shared" ref="D5089:D5152" si="336">IF(ISNUMBER($J5089),"Medium_High","")</f>
        <v>Medium_High</v>
      </c>
      <c r="E5089" s="138" t="str">
        <f t="shared" si="331"/>
        <v>Base</v>
      </c>
      <c r="F5089" s="138" t="str">
        <f t="shared" si="334"/>
        <v>Upgraded</v>
      </c>
      <c r="G5089" s="153"/>
      <c r="H5089" s="210">
        <v>1.04E-2</v>
      </c>
      <c r="I5089" s="160" t="s">
        <v>271</v>
      </c>
      <c r="J5089" s="160">
        <v>5.5000000000000003E-4</v>
      </c>
      <c r="K5089" s="160" t="s">
        <v>14</v>
      </c>
      <c r="L5089" s="154" t="str">
        <f>IF(OpenLCAbasic!K5089="CTUh", "Fill in Manually",IF(OR(K5089="Unit", K5089=""), "", INDEX(LookUps!$E$5:$E$12, MATCH(OpenLCAbasic!K5089,LookUps!$D$5:$D$12,0))))</f>
        <v>Fossil Depletion Potential (FDP) - kg oil eq</v>
      </c>
      <c r="M5089" s="154" t="str">
        <f t="shared" si="335"/>
        <v>Base_Medium_High_Upgraded_Fossil Depletion Potential (FDP) - kg oil eq_Biosolids composting; windrow composting; wastewater treatment unit; at updated plant - US_Without Amendment_Windrow</v>
      </c>
    </row>
    <row r="5090" spans="1:13" s="120" customFormat="1" x14ac:dyDescent="0.25">
      <c r="A5090" s="119"/>
      <c r="B5090" s="138" t="str">
        <f t="shared" si="333"/>
        <v>Windrow</v>
      </c>
      <c r="C5090" s="138" t="str">
        <f t="shared" si="332"/>
        <v>Without Amendment</v>
      </c>
      <c r="D5090" s="138" t="str">
        <f t="shared" si="336"/>
        <v>Medium_High</v>
      </c>
      <c r="E5090" s="138" t="str">
        <f t="shared" si="331"/>
        <v>Base</v>
      </c>
      <c r="F5090" s="138" t="str">
        <f t="shared" si="334"/>
        <v>Upgraded</v>
      </c>
      <c r="G5090" s="153"/>
      <c r="H5090" s="210">
        <v>-0.1008</v>
      </c>
      <c r="I5090" s="160" t="s">
        <v>62</v>
      </c>
      <c r="J5090" s="160">
        <v>-5.3E-3</v>
      </c>
      <c r="K5090" s="160" t="s">
        <v>14</v>
      </c>
      <c r="L5090" s="154" t="str">
        <f>IF(OpenLCAbasic!K5090="CTUh", "Fill in Manually",IF(OR(K5090="Unit", K5090=""), "", INDEX(LookUps!$E$5:$E$12, MATCH(OpenLCAbasic!K5090,LookUps!$D$5:$D$12,0))))</f>
        <v>Fossil Depletion Potential (FDP) - kg oil eq</v>
      </c>
      <c r="M5090" s="154" t="str">
        <f t="shared" si="335"/>
        <v>Base_Medium_High_Upgraded_Fossil Depletion Potential (FDP) - kg oil eq_Land application of compost; wastewater treatment unit; at updated plant - US_Without Amendment_Windrow</v>
      </c>
    </row>
    <row r="5091" spans="1:13" s="120" customFormat="1" x14ac:dyDescent="0.25">
      <c r="A5091" s="119"/>
      <c r="B5091" s="138" t="str">
        <f t="shared" si="333"/>
        <v>Windrow</v>
      </c>
      <c r="C5091" s="138" t="str">
        <f t="shared" si="332"/>
        <v>Without Amendment</v>
      </c>
      <c r="D5091" s="138" t="str">
        <f t="shared" si="336"/>
        <v>Medium_High</v>
      </c>
      <c r="E5091" s="138" t="str">
        <f t="shared" si="331"/>
        <v>Base</v>
      </c>
      <c r="F5091" s="138" t="str">
        <f t="shared" si="334"/>
        <v>Upgraded</v>
      </c>
      <c r="G5091" s="153"/>
      <c r="H5091" s="210">
        <v>-5.7107000000000001</v>
      </c>
      <c r="I5091" s="160" t="s">
        <v>149</v>
      </c>
      <c r="J5091" s="160">
        <v>-0.30038999999999999</v>
      </c>
      <c r="K5091" s="160" t="s">
        <v>14</v>
      </c>
      <c r="L5091" s="154" t="str">
        <f>IF(OpenLCAbasic!K5091="CTUh", "Fill in Manually",IF(OR(K5091="Unit", K5091=""), "", INDEX(LookUps!$E$5:$E$12, MATCH(OpenLCAbasic!K5091,LookUps!$D$5:$D$12,0))))</f>
        <v>Fossil Depletion Potential (FDP) - kg oil eq</v>
      </c>
      <c r="M5091" s="154" t="str">
        <f t="shared" si="335"/>
        <v>Base_Medium_High_Upgraded_Fossil Depletion Potential (FDP) - kg oil eq_Anaerobic Digestion; wastewater treatment unit; at updated plant - US_Without Amendment_Windrow</v>
      </c>
    </row>
    <row r="5092" spans="1:13" s="120" customFormat="1" x14ac:dyDescent="0.25">
      <c r="A5092" s="119"/>
      <c r="B5092" s="138" t="str">
        <f t="shared" si="333"/>
        <v/>
      </c>
      <c r="C5092" s="138" t="str">
        <f t="shared" si="332"/>
        <v/>
      </c>
      <c r="D5092" s="138" t="str">
        <f t="shared" si="336"/>
        <v/>
      </c>
      <c r="E5092" s="138" t="str">
        <f t="shared" si="331"/>
        <v/>
      </c>
      <c r="F5092" s="138" t="str">
        <f t="shared" si="334"/>
        <v/>
      </c>
      <c r="G5092" s="153" t="s">
        <v>51</v>
      </c>
      <c r="H5092" s="160"/>
      <c r="I5092" s="160" t="s">
        <v>47</v>
      </c>
      <c r="J5092" s="160" t="s">
        <v>52</v>
      </c>
      <c r="K5092" s="160" t="s">
        <v>27</v>
      </c>
      <c r="L5092" s="154" t="str">
        <f>IF(OpenLCAbasic!K5092="CTUh", "Fill in Manually",IF(OR(K5092="Unit", K5092=""), "", INDEX(LookUps!$E$5:$E$12, MATCH(OpenLCAbasic!K5092,LookUps!$D$5:$D$12,0))))</f>
        <v/>
      </c>
      <c r="M5092" s="154" t="str">
        <f t="shared" si="335"/>
        <v>____Process__</v>
      </c>
    </row>
    <row r="5093" spans="1:13" s="120" customFormat="1" x14ac:dyDescent="0.25">
      <c r="A5093" s="119"/>
      <c r="B5093" s="138" t="str">
        <f t="shared" si="333"/>
        <v>Windrow</v>
      </c>
      <c r="C5093" s="138" t="str">
        <f t="shared" si="332"/>
        <v>Without Amendment</v>
      </c>
      <c r="D5093" s="138" t="str">
        <f t="shared" si="336"/>
        <v>Medium_High</v>
      </c>
      <c r="E5093" s="138" t="str">
        <f t="shared" si="331"/>
        <v>Base</v>
      </c>
      <c r="F5093" s="138" t="str">
        <f t="shared" si="334"/>
        <v>Upgraded</v>
      </c>
      <c r="G5093" s="153"/>
      <c r="H5093" s="210">
        <v>0.98199999999999998</v>
      </c>
      <c r="I5093" s="160" t="s">
        <v>271</v>
      </c>
      <c r="J5093" s="160">
        <v>0.49580999999999997</v>
      </c>
      <c r="K5093" s="160" t="s">
        <v>23</v>
      </c>
      <c r="L5093" s="154" t="str">
        <f>IF(OpenLCAbasic!K5093="CTUh", "Fill in Manually",IF(OR(K5093="Unit", K5093=""), "", INDEX(LookUps!$E$5:$E$12, MATCH(OpenLCAbasic!K5093,LookUps!$D$5:$D$12,0))))</f>
        <v>Global Warming Potential (GWP) - kg CO2 eq</v>
      </c>
      <c r="M5093" s="154" t="str">
        <f t="shared" si="335"/>
        <v>Base_Medium_High_Upgraded_Global Warming Potential (GWP) - kg CO2 eq_Biosolids composting; windrow composting; wastewater treatment unit; at updated plant - US_Without Amendment_Windrow</v>
      </c>
    </row>
    <row r="5094" spans="1:13" s="120" customFormat="1" x14ac:dyDescent="0.25">
      <c r="A5094" s="119"/>
      <c r="B5094" s="138" t="str">
        <f t="shared" si="333"/>
        <v>Windrow</v>
      </c>
      <c r="C5094" s="138" t="str">
        <f t="shared" si="332"/>
        <v>Without Amendment</v>
      </c>
      <c r="D5094" s="138" t="str">
        <f t="shared" si="336"/>
        <v>Medium_High</v>
      </c>
      <c r="E5094" s="138" t="str">
        <f t="shared" si="331"/>
        <v>Base</v>
      </c>
      <c r="F5094" s="138" t="str">
        <f t="shared" si="334"/>
        <v>Upgraded</v>
      </c>
      <c r="G5094" s="153"/>
      <c r="H5094" s="210">
        <v>0.48659999999999998</v>
      </c>
      <c r="I5094" s="160" t="s">
        <v>58</v>
      </c>
      <c r="J5094" s="160">
        <v>0.24568999999999999</v>
      </c>
      <c r="K5094" s="160" t="s">
        <v>23</v>
      </c>
      <c r="L5094" s="154" t="str">
        <f>IF(OpenLCAbasic!K5094="CTUh", "Fill in Manually",IF(OR(K5094="Unit", K5094=""), "", INDEX(LookUps!$E$5:$E$12, MATCH(OpenLCAbasic!K5094,LookUps!$D$5:$D$12,0))))</f>
        <v>Global Warming Potential (GWP) - kg CO2 eq</v>
      </c>
      <c r="M5094" s="154" t="str">
        <f t="shared" si="335"/>
        <v>Base_Medium_High_Upgraded_Global Warming Potential (GWP) - kg CO2 eq_Pre-Anoxic &amp; Swing tank; wastewater treatment unit; at updated plant - US_Without Amendment_Windrow</v>
      </c>
    </row>
    <row r="5095" spans="1:13" s="120" customFormat="1" x14ac:dyDescent="0.25">
      <c r="A5095" s="119"/>
      <c r="B5095" s="138" t="str">
        <f t="shared" si="333"/>
        <v>Windrow</v>
      </c>
      <c r="C5095" s="138" t="str">
        <f t="shared" si="332"/>
        <v>Without Amendment</v>
      </c>
      <c r="D5095" s="138" t="str">
        <f t="shared" si="336"/>
        <v>Medium_High</v>
      </c>
      <c r="E5095" s="138" t="str">
        <f t="shared" si="331"/>
        <v>Base</v>
      </c>
      <c r="F5095" s="138" t="str">
        <f t="shared" si="334"/>
        <v>Upgraded</v>
      </c>
      <c r="G5095" s="153"/>
      <c r="H5095" s="210">
        <v>0.3332</v>
      </c>
      <c r="I5095" s="160" t="s">
        <v>55</v>
      </c>
      <c r="J5095" s="160">
        <v>0.16822000000000001</v>
      </c>
      <c r="K5095" s="160" t="s">
        <v>23</v>
      </c>
      <c r="L5095" s="154" t="str">
        <f>IF(OpenLCAbasic!K5095="CTUh", "Fill in Manually",IF(OR(K5095="Unit", K5095=""), "", INDEX(LookUps!$E$5:$E$12, MATCH(OpenLCAbasic!K5095,LookUps!$D$5:$D$12,0))))</f>
        <v>Global Warming Potential (GWP) - kg CO2 eq</v>
      </c>
      <c r="M5095" s="154" t="str">
        <f t="shared" si="335"/>
        <v>Base_Medium_High_Upgraded_Global Warming Potential (GWP) - kg CO2 eq_Aeration Tanks; wastewater treatment unit; at updated plant - US_Without Amendment_Windrow</v>
      </c>
    </row>
    <row r="5096" spans="1:13" s="120" customFormat="1" x14ac:dyDescent="0.25">
      <c r="A5096" s="119"/>
      <c r="B5096" s="138" t="str">
        <f t="shared" si="333"/>
        <v>Windrow</v>
      </c>
      <c r="C5096" s="138" t="str">
        <f t="shared" si="332"/>
        <v>Without Amendment</v>
      </c>
      <c r="D5096" s="138" t="str">
        <f t="shared" si="336"/>
        <v>Medium_High</v>
      </c>
      <c r="E5096" s="138" t="str">
        <f t="shared" si="331"/>
        <v>Base</v>
      </c>
      <c r="F5096" s="138" t="str">
        <f t="shared" si="334"/>
        <v>Upgraded</v>
      </c>
      <c r="G5096" s="153"/>
      <c r="H5096" s="210">
        <v>0.2447</v>
      </c>
      <c r="I5096" s="160" t="s">
        <v>167</v>
      </c>
      <c r="J5096" s="160">
        <v>0.12354999999999999</v>
      </c>
      <c r="K5096" s="160" t="s">
        <v>23</v>
      </c>
      <c r="L5096" s="154" t="str">
        <f>IF(OpenLCAbasic!K5096="CTUh", "Fill in Manually",IF(OR(K5096="Unit", K5096=""), "", INDEX(LookUps!$E$5:$E$12, MATCH(OpenLCAbasic!K5096,LookUps!$D$5:$D$12,0))))</f>
        <v>Global Warming Potential (GWP) - kg CO2 eq</v>
      </c>
      <c r="M5096" s="154" t="str">
        <f t="shared" si="335"/>
        <v>Base_Medium_High_Upgraded_Global Warming Potential (GWP) - kg CO2 eq_Waste Receiving and Holding; wastewater treatment unit; at updated plant - US_Without Amendment_Windrow</v>
      </c>
    </row>
    <row r="5097" spans="1:13" s="120" customFormat="1" x14ac:dyDescent="0.25">
      <c r="A5097" s="119"/>
      <c r="B5097" s="138" t="str">
        <f t="shared" si="333"/>
        <v>Windrow</v>
      </c>
      <c r="C5097" s="138" t="str">
        <f t="shared" si="332"/>
        <v>Without Amendment</v>
      </c>
      <c r="D5097" s="138" t="str">
        <f t="shared" si="336"/>
        <v>Medium_High</v>
      </c>
      <c r="E5097" s="138" t="str">
        <f t="shared" si="331"/>
        <v>Base</v>
      </c>
      <c r="F5097" s="138" t="str">
        <f t="shared" si="334"/>
        <v>Upgraded</v>
      </c>
      <c r="G5097" s="153"/>
      <c r="H5097" s="210">
        <v>0.11310000000000001</v>
      </c>
      <c r="I5097" s="160" t="s">
        <v>54</v>
      </c>
      <c r="J5097" s="160">
        <v>5.7079999999999999E-2</v>
      </c>
      <c r="K5097" s="160" t="s">
        <v>23</v>
      </c>
      <c r="L5097" s="154" t="str">
        <f>IF(OpenLCAbasic!K5097="CTUh", "Fill in Manually",IF(OR(K5097="Unit", K5097=""), "", INDEX(LookUps!$E$5:$E$12, MATCH(OpenLCAbasic!K5097,LookUps!$D$5:$D$12,0))))</f>
        <v>Global Warming Potential (GWP) - kg CO2 eq</v>
      </c>
      <c r="M5097" s="154" t="str">
        <f t="shared" si="335"/>
        <v>Base_Medium_High_Upgraded_Global Warming Potential (GWP) - kg CO2 eq_Clear Cove Primary Clarification; wastewater treatment unit; at updated plant - US_Without Amendment_Windrow</v>
      </c>
    </row>
    <row r="5098" spans="1:13" s="120" customFormat="1" x14ac:dyDescent="0.25">
      <c r="A5098" s="119"/>
      <c r="B5098" s="138" t="str">
        <f t="shared" si="333"/>
        <v>Windrow</v>
      </c>
      <c r="C5098" s="138" t="str">
        <f t="shared" si="332"/>
        <v>Without Amendment</v>
      </c>
      <c r="D5098" s="138" t="str">
        <f t="shared" si="336"/>
        <v>Medium_High</v>
      </c>
      <c r="E5098" s="138" t="str">
        <f t="shared" si="331"/>
        <v>Base</v>
      </c>
      <c r="F5098" s="138" t="str">
        <f t="shared" si="334"/>
        <v>Upgraded</v>
      </c>
      <c r="G5098" s="153"/>
      <c r="H5098" s="210">
        <v>0.1043</v>
      </c>
      <c r="I5098" s="160" t="s">
        <v>48</v>
      </c>
      <c r="J5098" s="160">
        <v>5.2639999999999999E-2</v>
      </c>
      <c r="K5098" s="160" t="s">
        <v>23</v>
      </c>
      <c r="L5098" s="154" t="str">
        <f>IF(OpenLCAbasic!K5098="CTUh", "Fill in Manually",IF(OR(K5098="Unit", K5098=""), "", INDEX(LookUps!$E$5:$E$12, MATCH(OpenLCAbasic!K5098,LookUps!$D$5:$D$12,0))))</f>
        <v>Global Warming Potential (GWP) - kg CO2 eq</v>
      </c>
      <c r="M5098" s="154" t="str">
        <f t="shared" si="335"/>
        <v>Base_Medium_High_Upgraded_Global Warming Potential (GWP) - kg CO2 eq_Effluent release; wastewater treatment unit; at surface water; m3 wastewater - US_Without Amendment_Windrow</v>
      </c>
    </row>
    <row r="5099" spans="1:13" s="120" customFormat="1" x14ac:dyDescent="0.25">
      <c r="A5099" s="119"/>
      <c r="B5099" s="138" t="str">
        <f t="shared" si="333"/>
        <v>Windrow</v>
      </c>
      <c r="C5099" s="138" t="str">
        <f t="shared" si="332"/>
        <v>Without Amendment</v>
      </c>
      <c r="D5099" s="138" t="str">
        <f t="shared" si="336"/>
        <v>Medium_High</v>
      </c>
      <c r="E5099" s="138" t="str">
        <f t="shared" si="331"/>
        <v>Base</v>
      </c>
      <c r="F5099" s="138" t="str">
        <f t="shared" si="334"/>
        <v>Upgraded</v>
      </c>
      <c r="G5099" s="153"/>
      <c r="H5099" s="210">
        <v>0.1</v>
      </c>
      <c r="I5099" s="160" t="s">
        <v>147</v>
      </c>
      <c r="J5099" s="160">
        <v>5.0500000000000003E-2</v>
      </c>
      <c r="K5099" s="160" t="s">
        <v>23</v>
      </c>
      <c r="L5099" s="154" t="str">
        <f>IF(OpenLCAbasic!K5099="CTUh", "Fill in Manually",IF(OR(K5099="Unit", K5099=""), "", INDEX(LookUps!$E$5:$E$12, MATCH(OpenLCAbasic!K5099,LookUps!$D$5:$D$12,0))))</f>
        <v>Global Warming Potential (GWP) - kg CO2 eq</v>
      </c>
      <c r="M5099" s="154" t="str">
        <f t="shared" si="335"/>
        <v>Base_Medium_High_Upgraded_Global Warming Potential (GWP) - kg CO2 eq_Influent Pump Station; wastewater treatment unit; at updated plant - US_Without Amendment_Windrow</v>
      </c>
    </row>
    <row r="5100" spans="1:13" s="120" customFormat="1" x14ac:dyDescent="0.25">
      <c r="A5100" s="119"/>
      <c r="B5100" s="138" t="str">
        <f t="shared" si="333"/>
        <v>Windrow</v>
      </c>
      <c r="C5100" s="138" t="str">
        <f t="shared" si="332"/>
        <v>Without Amendment</v>
      </c>
      <c r="D5100" s="138" t="str">
        <f t="shared" si="336"/>
        <v>Medium_High</v>
      </c>
      <c r="E5100" s="138" t="str">
        <f t="shared" si="331"/>
        <v>Base</v>
      </c>
      <c r="F5100" s="138" t="str">
        <f t="shared" si="334"/>
        <v>Upgraded</v>
      </c>
      <c r="G5100" s="153"/>
      <c r="H5100" s="210">
        <v>6.59E-2</v>
      </c>
      <c r="I5100" s="160" t="s">
        <v>53</v>
      </c>
      <c r="J5100" s="160">
        <v>3.3259999999999998E-2</v>
      </c>
      <c r="K5100" s="160" t="s">
        <v>23</v>
      </c>
      <c r="L5100" s="154" t="str">
        <f>IF(OpenLCAbasic!K5100="CTUh", "Fill in Manually",IF(OR(K5100="Unit", K5100=""), "", INDEX(LookUps!$E$5:$E$12, MATCH(OpenLCAbasic!K5100,LookUps!$D$5:$D$12,0))))</f>
        <v>Global Warming Potential (GWP) - kg CO2 eq</v>
      </c>
      <c r="M5100" s="154" t="str">
        <f t="shared" si="335"/>
        <v>Base_Medium_High_Upgraded_Global Warming Potential (GWP) - kg CO2 eq_Wet Well and Sump Station; wastewater treatment unit; at updated plant - US_Without Amendment_Windrow</v>
      </c>
    </row>
    <row r="5101" spans="1:13" s="120" customFormat="1" x14ac:dyDescent="0.25">
      <c r="A5101" s="119"/>
      <c r="B5101" s="138" t="str">
        <f t="shared" si="333"/>
        <v>Windrow</v>
      </c>
      <c r="C5101" s="138" t="str">
        <f t="shared" si="332"/>
        <v>Without Amendment</v>
      </c>
      <c r="D5101" s="138" t="str">
        <f t="shared" si="336"/>
        <v>Medium_High</v>
      </c>
      <c r="E5101" s="138" t="str">
        <f t="shared" si="331"/>
        <v>Base</v>
      </c>
      <c r="F5101" s="138" t="str">
        <f t="shared" si="334"/>
        <v>Upgraded</v>
      </c>
      <c r="G5101" s="153"/>
      <c r="H5101" s="210">
        <v>3.3399999999999999E-2</v>
      </c>
      <c r="I5101" s="160" t="s">
        <v>60</v>
      </c>
      <c r="J5101" s="160">
        <v>1.6879999999999999E-2</v>
      </c>
      <c r="K5101" s="160" t="s">
        <v>23</v>
      </c>
      <c r="L5101" s="154" t="str">
        <f>IF(OpenLCAbasic!K5101="CTUh", "Fill in Manually",IF(OR(K5101="Unit", K5101=""), "", INDEX(LookUps!$E$5:$E$12, MATCH(OpenLCAbasic!K5101,LookUps!$D$5:$D$12,0))))</f>
        <v>Global Warming Potential (GWP) - kg CO2 eq</v>
      </c>
      <c r="M5101" s="154" t="str">
        <f t="shared" si="335"/>
        <v>Base_Medium_High_Upgraded_Global Warming Potential (GWP) - kg CO2 eq_Belt filter press; wastewater treatment unit; at updated plant - US_Without Amendment_Windrow</v>
      </c>
    </row>
    <row r="5102" spans="1:13" s="120" customFormat="1" x14ac:dyDescent="0.25">
      <c r="A5102" s="119"/>
      <c r="B5102" s="138" t="str">
        <f t="shared" si="333"/>
        <v>Windrow</v>
      </c>
      <c r="C5102" s="138" t="str">
        <f t="shared" si="332"/>
        <v>Without Amendment</v>
      </c>
      <c r="D5102" s="138" t="str">
        <f t="shared" si="336"/>
        <v>Medium_High</v>
      </c>
      <c r="E5102" s="138" t="str">
        <f t="shared" si="331"/>
        <v>Base</v>
      </c>
      <c r="F5102" s="138" t="str">
        <f t="shared" si="334"/>
        <v>Upgraded</v>
      </c>
      <c r="G5102" s="153"/>
      <c r="H5102" s="210">
        <v>2.8799999999999999E-2</v>
      </c>
      <c r="I5102" s="160" t="s">
        <v>57</v>
      </c>
      <c r="J5102" s="160">
        <v>1.455E-2</v>
      </c>
      <c r="K5102" s="160" t="s">
        <v>23</v>
      </c>
      <c r="L5102" s="154" t="str">
        <f>IF(OpenLCAbasic!K5102="CTUh", "Fill in Manually",IF(OR(K5102="Unit", K5102=""), "", INDEX(LookUps!$E$5:$E$12, MATCH(OpenLCAbasic!K5102,LookUps!$D$5:$D$12,0))))</f>
        <v>Global Warming Potential (GWP) - kg CO2 eq</v>
      </c>
      <c r="M5102" s="154" t="str">
        <f t="shared" si="335"/>
        <v>Base_Medium_High_Upgraded_Global Warming Potential (GWP) - kg CO2 eq_Gravity Belt Thickener; wastewater treatment unit; at updated plant - US_Without Amendment_Windrow</v>
      </c>
    </row>
    <row r="5103" spans="1:13" s="120" customFormat="1" x14ac:dyDescent="0.25">
      <c r="A5103" s="119"/>
      <c r="B5103" s="138" t="str">
        <f t="shared" si="333"/>
        <v>Windrow</v>
      </c>
      <c r="C5103" s="138" t="str">
        <f t="shared" si="332"/>
        <v>Without Amendment</v>
      </c>
      <c r="D5103" s="138" t="str">
        <f t="shared" si="336"/>
        <v>Medium_High</v>
      </c>
      <c r="E5103" s="138" t="str">
        <f t="shared" si="331"/>
        <v>Base</v>
      </c>
      <c r="F5103" s="138" t="str">
        <f t="shared" si="334"/>
        <v>Upgraded</v>
      </c>
      <c r="G5103" s="153"/>
      <c r="H5103" s="210">
        <v>2.6800000000000001E-2</v>
      </c>
      <c r="I5103" s="160" t="s">
        <v>128</v>
      </c>
      <c r="J5103" s="160">
        <v>1.3509999999999999E-2</v>
      </c>
      <c r="K5103" s="160" t="s">
        <v>23</v>
      </c>
      <c r="L5103" s="154" t="str">
        <f>IF(OpenLCAbasic!K5103="CTUh", "Fill in Manually",IF(OR(K5103="Unit", K5103=""), "", INDEX(LookUps!$E$5:$E$12, MATCH(OpenLCAbasic!K5103,LookUps!$D$5:$D$12,0))))</f>
        <v>Global Warming Potential (GWP) - kg CO2 eq</v>
      </c>
      <c r="M5103" s="154" t="str">
        <f t="shared" si="335"/>
        <v>Base_Medium_High_Upgraded_Global Warming Potential (GWP) - kg CO2 eq_Wastewater collection; operation and infrastructure; m3 wastewater_Without Amendment_Windrow</v>
      </c>
    </row>
    <row r="5104" spans="1:13" s="120" customFormat="1" x14ac:dyDescent="0.25">
      <c r="A5104" s="119"/>
      <c r="B5104" s="138" t="str">
        <f t="shared" si="333"/>
        <v>Windrow</v>
      </c>
      <c r="C5104" s="138" t="str">
        <f t="shared" si="332"/>
        <v>Without Amendment</v>
      </c>
      <c r="D5104" s="138" t="str">
        <f t="shared" si="336"/>
        <v>Medium_High</v>
      </c>
      <c r="E5104" s="138" t="str">
        <f t="shared" si="331"/>
        <v>Base</v>
      </c>
      <c r="F5104" s="138" t="str">
        <f t="shared" si="334"/>
        <v>Upgraded</v>
      </c>
      <c r="G5104" s="153"/>
      <c r="H5104" s="210">
        <v>1.6400000000000001E-2</v>
      </c>
      <c r="I5104" s="160" t="s">
        <v>148</v>
      </c>
      <c r="J5104" s="160">
        <v>8.3000000000000001E-3</v>
      </c>
      <c r="K5104" s="160" t="s">
        <v>23</v>
      </c>
      <c r="L5104" s="154" t="str">
        <f>IF(OpenLCAbasic!K5104="CTUh", "Fill in Manually",IF(OR(K5104="Unit", K5104=""), "", INDEX(LookUps!$E$5:$E$12, MATCH(OpenLCAbasic!K5104,LookUps!$D$5:$D$12,0))))</f>
        <v>Global Warming Potential (GWP) - kg CO2 eq</v>
      </c>
      <c r="M5104" s="154" t="str">
        <f t="shared" si="335"/>
        <v>Base_Medium_High_Upgraded_Global Warming Potential (GWP) - kg CO2 eq_Control Building; at upgraded wastewater treatment plant - US_Without Amendment_Windrow</v>
      </c>
    </row>
    <row r="5105" spans="1:13" s="120" customFormat="1" x14ac:dyDescent="0.25">
      <c r="A5105" s="119"/>
      <c r="B5105" s="138" t="str">
        <f t="shared" si="333"/>
        <v>Windrow</v>
      </c>
      <c r="C5105" s="138" t="str">
        <f t="shared" si="332"/>
        <v>Without Amendment</v>
      </c>
      <c r="D5105" s="138" t="str">
        <f t="shared" si="336"/>
        <v>Medium_High</v>
      </c>
      <c r="E5105" s="138" t="str">
        <f t="shared" ref="E5105:E5168" si="337">IF(ISNUMBER($J5105),"Base","")</f>
        <v>Base</v>
      </c>
      <c r="F5105" s="138" t="str">
        <f t="shared" si="334"/>
        <v>Upgraded</v>
      </c>
      <c r="G5105" s="153"/>
      <c r="H5105" s="210">
        <v>0.01</v>
      </c>
      <c r="I5105" s="160" t="s">
        <v>59</v>
      </c>
      <c r="J5105" s="160">
        <v>5.0400000000000002E-3</v>
      </c>
      <c r="K5105" s="160" t="s">
        <v>23</v>
      </c>
      <c r="L5105" s="154" t="str">
        <f>IF(OpenLCAbasic!K5105="CTUh", "Fill in Manually",IF(OR(K5105="Unit", K5105=""), "", INDEX(LookUps!$E$5:$E$12, MATCH(OpenLCAbasic!K5105,LookUps!$D$5:$D$12,0))))</f>
        <v>Global Warming Potential (GWP) - kg CO2 eq</v>
      </c>
      <c r="M5105" s="154" t="str">
        <f t="shared" si="335"/>
        <v>Base_Medium_High_Upgraded_Global Warming Potential (GWP) - kg CO2 eq_Blend Tank; wastewater treatment unit; at updated plant - US_Without Amendment_Windrow</v>
      </c>
    </row>
    <row r="5106" spans="1:13" s="120" customFormat="1" x14ac:dyDescent="0.25">
      <c r="A5106" s="119"/>
      <c r="B5106" s="138" t="str">
        <f t="shared" si="333"/>
        <v>Windrow</v>
      </c>
      <c r="C5106" s="138" t="str">
        <f t="shared" si="332"/>
        <v>Without Amendment</v>
      </c>
      <c r="D5106" s="138" t="str">
        <f t="shared" si="336"/>
        <v>Medium_High</v>
      </c>
      <c r="E5106" s="138" t="str">
        <f t="shared" si="337"/>
        <v>Base</v>
      </c>
      <c r="F5106" s="138" t="str">
        <f t="shared" si="334"/>
        <v>Upgraded</v>
      </c>
      <c r="G5106" s="153"/>
      <c r="H5106" s="210">
        <v>4.7999999999999996E-3</v>
      </c>
      <c r="I5106" s="160" t="s">
        <v>168</v>
      </c>
      <c r="J5106" s="160">
        <v>2.4099999999999998E-3</v>
      </c>
      <c r="K5106" s="160" t="s">
        <v>23</v>
      </c>
      <c r="L5106" s="154" t="str">
        <f>IF(OpenLCAbasic!K5106="CTUh", "Fill in Manually",IF(OR(K5106="Unit", K5106=""), "", INDEX(LookUps!$E$5:$E$12, MATCH(OpenLCAbasic!K5106,LookUps!$D$5:$D$12,0))))</f>
        <v>Global Warming Potential (GWP) - kg CO2 eq</v>
      </c>
      <c r="M5106" s="154" t="str">
        <f t="shared" si="335"/>
        <v>Base_Medium_High_Upgraded_Global Warming Potential (GWP) - kg CO2 eq_ClearCove SCP; wastewater treatment unit; at updated plant - US_Without Amendment_Windrow</v>
      </c>
    </row>
    <row r="5107" spans="1:13" s="120" customFormat="1" x14ac:dyDescent="0.25">
      <c r="A5107" s="119"/>
      <c r="B5107" s="138" t="str">
        <f t="shared" si="333"/>
        <v>Windrow</v>
      </c>
      <c r="C5107" s="138" t="str">
        <f t="shared" si="332"/>
        <v>Without Amendment</v>
      </c>
      <c r="D5107" s="138" t="str">
        <f t="shared" si="336"/>
        <v>Medium_High</v>
      </c>
      <c r="E5107" s="138" t="str">
        <f t="shared" si="337"/>
        <v>Base</v>
      </c>
      <c r="F5107" s="138" t="str">
        <f t="shared" si="334"/>
        <v>Upgraded</v>
      </c>
      <c r="G5107" s="153"/>
      <c r="H5107" s="210">
        <v>-0.35949999999999999</v>
      </c>
      <c r="I5107" s="160" t="s">
        <v>62</v>
      </c>
      <c r="J5107" s="160">
        <v>-0.18148</v>
      </c>
      <c r="K5107" s="160" t="s">
        <v>23</v>
      </c>
      <c r="L5107" s="154" t="str">
        <f>IF(OpenLCAbasic!K5107="CTUh", "Fill in Manually",IF(OR(K5107="Unit", K5107=""), "", INDEX(LookUps!$E$5:$E$12, MATCH(OpenLCAbasic!K5107,LookUps!$D$5:$D$12,0))))</f>
        <v>Global Warming Potential (GWP) - kg CO2 eq</v>
      </c>
      <c r="M5107" s="154" t="str">
        <f t="shared" si="335"/>
        <v>Base_Medium_High_Upgraded_Global Warming Potential (GWP) - kg CO2 eq_Land application of compost; wastewater treatment unit; at updated plant - US_Without Amendment_Windrow</v>
      </c>
    </row>
    <row r="5108" spans="1:13" s="120" customFormat="1" x14ac:dyDescent="0.25">
      <c r="A5108" s="119"/>
      <c r="B5108" s="138" t="str">
        <f t="shared" si="333"/>
        <v>Windrow</v>
      </c>
      <c r="C5108" s="138" t="str">
        <f t="shared" si="332"/>
        <v>Without Amendment</v>
      </c>
      <c r="D5108" s="138" t="str">
        <f t="shared" si="336"/>
        <v>Medium_High</v>
      </c>
      <c r="E5108" s="138" t="str">
        <f t="shared" si="337"/>
        <v>Base</v>
      </c>
      <c r="F5108" s="138" t="str">
        <f t="shared" si="334"/>
        <v>Upgraded</v>
      </c>
      <c r="G5108" s="153"/>
      <c r="H5108" s="210">
        <v>-1.1904999999999999</v>
      </c>
      <c r="I5108" s="160" t="s">
        <v>149</v>
      </c>
      <c r="J5108" s="160">
        <v>-0.60107999999999995</v>
      </c>
      <c r="K5108" s="160" t="s">
        <v>23</v>
      </c>
      <c r="L5108" s="154" t="str">
        <f>IF(OpenLCAbasic!K5108="CTUh", "Fill in Manually",IF(OR(K5108="Unit", K5108=""), "", INDEX(LookUps!$E$5:$E$12, MATCH(OpenLCAbasic!K5108,LookUps!$D$5:$D$12,0))))</f>
        <v>Global Warming Potential (GWP) - kg CO2 eq</v>
      </c>
      <c r="M5108" s="154" t="str">
        <f t="shared" si="335"/>
        <v>Base_Medium_High_Upgraded_Global Warming Potential (GWP) - kg CO2 eq_Anaerobic Digestion; wastewater treatment unit; at updated plant - US_Without Amendment_Windrow</v>
      </c>
    </row>
    <row r="5109" spans="1:13" s="120" customFormat="1" x14ac:dyDescent="0.25">
      <c r="A5109" s="119"/>
      <c r="B5109" s="138" t="str">
        <f t="shared" si="333"/>
        <v/>
      </c>
      <c r="C5109" s="138" t="str">
        <f t="shared" si="332"/>
        <v/>
      </c>
      <c r="D5109" s="138" t="str">
        <f t="shared" si="336"/>
        <v/>
      </c>
      <c r="E5109" s="138" t="str">
        <f t="shared" si="337"/>
        <v/>
      </c>
      <c r="F5109" s="138" t="str">
        <f t="shared" si="334"/>
        <v/>
      </c>
      <c r="G5109" s="153" t="s">
        <v>51</v>
      </c>
      <c r="H5109" s="160"/>
      <c r="I5109" s="160" t="s">
        <v>47</v>
      </c>
      <c r="J5109" s="160" t="s">
        <v>52</v>
      </c>
      <c r="K5109" s="160" t="s">
        <v>27</v>
      </c>
      <c r="L5109" s="154" t="str">
        <f>IF(OpenLCAbasic!K5109="CTUh", "Fill in Manually",IF(OR(K5109="Unit", K5109=""), "", INDEX(LookUps!$E$5:$E$12, MATCH(OpenLCAbasic!K5109,LookUps!$D$5:$D$12,0))))</f>
        <v/>
      </c>
      <c r="M5109" s="154" t="str">
        <f t="shared" si="335"/>
        <v>____Process__</v>
      </c>
    </row>
    <row r="5110" spans="1:13" s="120" customFormat="1" x14ac:dyDescent="0.25">
      <c r="A5110" s="119"/>
      <c r="B5110" s="138" t="str">
        <f t="shared" si="333"/>
        <v>Windrow</v>
      </c>
      <c r="C5110" s="138" t="str">
        <f t="shared" si="332"/>
        <v>Without Amendment</v>
      </c>
      <c r="D5110" s="138" t="str">
        <f t="shared" si="336"/>
        <v>Medium_High</v>
      </c>
      <c r="E5110" s="138" t="str">
        <f t="shared" si="337"/>
        <v>Base</v>
      </c>
      <c r="F5110" s="138" t="str">
        <f t="shared" si="334"/>
        <v>Upgraded</v>
      </c>
      <c r="G5110" s="153"/>
      <c r="H5110" s="210">
        <v>0.96899999999999997</v>
      </c>
      <c r="I5110" s="160" t="s">
        <v>55</v>
      </c>
      <c r="J5110" s="160">
        <v>2.33E-3</v>
      </c>
      <c r="K5110" s="160" t="s">
        <v>145</v>
      </c>
      <c r="L5110" s="154" t="str">
        <f>IF(OpenLCAbasic!K5110="CTUh", "Fill in Manually",IF(OR(K5110="Unit", K5110=""), "", INDEX(LookUps!$E$5:$E$12, MATCH(OpenLCAbasic!K5110,LookUps!$D$5:$D$12,0))))</f>
        <v>Particulate Matter Formation Potential (PMFP) - kg PM2.5 eq</v>
      </c>
      <c r="M5110" s="154" t="str">
        <f t="shared" si="335"/>
        <v>Base_Medium_High_Upgraded_Particulate Matter Formation Potential (PMFP) - kg PM2.5 eq_Aeration Tanks; wastewater treatment unit; at updated plant - US_Without Amendment_Windrow</v>
      </c>
    </row>
    <row r="5111" spans="1:13" s="120" customFormat="1" x14ac:dyDescent="0.25">
      <c r="A5111" s="119"/>
      <c r="B5111" s="138" t="str">
        <f t="shared" si="333"/>
        <v>Windrow</v>
      </c>
      <c r="C5111" s="138" t="str">
        <f t="shared" si="332"/>
        <v>Without Amendment</v>
      </c>
      <c r="D5111" s="138" t="str">
        <f t="shared" si="336"/>
        <v>Medium_High</v>
      </c>
      <c r="E5111" s="138" t="str">
        <f t="shared" si="337"/>
        <v>Base</v>
      </c>
      <c r="F5111" s="138" t="str">
        <f t="shared" si="334"/>
        <v>Upgraded</v>
      </c>
      <c r="G5111" s="153"/>
      <c r="H5111" s="210">
        <v>0.28199999999999997</v>
      </c>
      <c r="I5111" s="160" t="s">
        <v>54</v>
      </c>
      <c r="J5111" s="160">
        <v>6.8000000000000005E-4</v>
      </c>
      <c r="K5111" s="160" t="s">
        <v>145</v>
      </c>
      <c r="L5111" s="154" t="str">
        <f>IF(OpenLCAbasic!K5111="CTUh", "Fill in Manually",IF(OR(K5111="Unit", K5111=""), "", INDEX(LookUps!$E$5:$E$12, MATCH(OpenLCAbasic!K5111,LookUps!$D$5:$D$12,0))))</f>
        <v>Particulate Matter Formation Potential (PMFP) - kg PM2.5 eq</v>
      </c>
      <c r="M5111" s="154" t="str">
        <f t="shared" si="335"/>
        <v>Base_Medium_High_Upgraded_Particulate Matter Formation Potential (PMFP) - kg PM2.5 eq_Clear Cove Primary Clarification; wastewater treatment unit; at updated plant - US_Without Amendment_Windrow</v>
      </c>
    </row>
    <row r="5112" spans="1:13" s="120" customFormat="1" x14ac:dyDescent="0.25">
      <c r="A5112" s="119"/>
      <c r="B5112" s="138" t="str">
        <f t="shared" si="333"/>
        <v>Windrow</v>
      </c>
      <c r="C5112" s="138" t="str">
        <f t="shared" si="332"/>
        <v>Without Amendment</v>
      </c>
      <c r="D5112" s="138" t="str">
        <f t="shared" si="336"/>
        <v>Medium_High</v>
      </c>
      <c r="E5112" s="138" t="str">
        <f t="shared" si="337"/>
        <v>Base</v>
      </c>
      <c r="F5112" s="138" t="str">
        <f t="shared" si="334"/>
        <v>Upgraded</v>
      </c>
      <c r="G5112" s="153"/>
      <c r="H5112" s="210">
        <v>0.24440000000000001</v>
      </c>
      <c r="I5112" s="160" t="s">
        <v>58</v>
      </c>
      <c r="J5112" s="160">
        <v>5.9000000000000003E-4</v>
      </c>
      <c r="K5112" s="160" t="s">
        <v>145</v>
      </c>
      <c r="L5112" s="154" t="str">
        <f>IF(OpenLCAbasic!K5112="CTUh", "Fill in Manually",IF(OR(K5112="Unit", K5112=""), "", INDEX(LookUps!$E$5:$E$12, MATCH(OpenLCAbasic!K5112,LookUps!$D$5:$D$12,0))))</f>
        <v>Particulate Matter Formation Potential (PMFP) - kg PM2.5 eq</v>
      </c>
      <c r="M5112" s="154" t="str">
        <f t="shared" si="335"/>
        <v>Base_Medium_High_Upgraded_Particulate Matter Formation Potential (PMFP) - kg PM2.5 eq_Pre-Anoxic &amp; Swing tank; wastewater treatment unit; at updated plant - US_Without Amendment_Windrow</v>
      </c>
    </row>
    <row r="5113" spans="1:13" s="120" customFormat="1" x14ac:dyDescent="0.25">
      <c r="A5113" s="119"/>
      <c r="B5113" s="138" t="str">
        <f t="shared" si="333"/>
        <v>Windrow</v>
      </c>
      <c r="C5113" s="138" t="str">
        <f t="shared" si="332"/>
        <v>Without Amendment</v>
      </c>
      <c r="D5113" s="138" t="str">
        <f t="shared" si="336"/>
        <v>Medium_High</v>
      </c>
      <c r="E5113" s="138" t="str">
        <f t="shared" si="337"/>
        <v>Base</v>
      </c>
      <c r="F5113" s="138" t="str">
        <f t="shared" si="334"/>
        <v>Upgraded</v>
      </c>
      <c r="G5113" s="153"/>
      <c r="H5113" s="210">
        <v>0.19370000000000001</v>
      </c>
      <c r="I5113" s="160" t="s">
        <v>53</v>
      </c>
      <c r="J5113" s="160">
        <v>4.6999999999999999E-4</v>
      </c>
      <c r="K5113" s="160" t="s">
        <v>145</v>
      </c>
      <c r="L5113" s="154" t="str">
        <f>IF(OpenLCAbasic!K5113="CTUh", "Fill in Manually",IF(OR(K5113="Unit", K5113=""), "", INDEX(LookUps!$E$5:$E$12, MATCH(OpenLCAbasic!K5113,LookUps!$D$5:$D$12,0))))</f>
        <v>Particulate Matter Formation Potential (PMFP) - kg PM2.5 eq</v>
      </c>
      <c r="M5113" s="154" t="str">
        <f t="shared" si="335"/>
        <v>Base_Medium_High_Upgraded_Particulate Matter Formation Potential (PMFP) - kg PM2.5 eq_Wet Well and Sump Station; wastewater treatment unit; at updated plant - US_Without Amendment_Windrow</v>
      </c>
    </row>
    <row r="5114" spans="1:13" s="120" customFormat="1" x14ac:dyDescent="0.25">
      <c r="A5114" s="119"/>
      <c r="B5114" s="138" t="str">
        <f t="shared" si="333"/>
        <v>Windrow</v>
      </c>
      <c r="C5114" s="138" t="str">
        <f t="shared" si="332"/>
        <v>Without Amendment</v>
      </c>
      <c r="D5114" s="138" t="str">
        <f t="shared" si="336"/>
        <v>Medium_High</v>
      </c>
      <c r="E5114" s="138" t="str">
        <f t="shared" si="337"/>
        <v>Base</v>
      </c>
      <c r="F5114" s="138" t="str">
        <f t="shared" si="334"/>
        <v>Upgraded</v>
      </c>
      <c r="G5114" s="153"/>
      <c r="H5114" s="210">
        <v>0.13059999999999999</v>
      </c>
      <c r="I5114" s="160" t="s">
        <v>167</v>
      </c>
      <c r="J5114" s="160">
        <v>3.1E-4</v>
      </c>
      <c r="K5114" s="160" t="s">
        <v>145</v>
      </c>
      <c r="L5114" s="154" t="str">
        <f>IF(OpenLCAbasic!K5114="CTUh", "Fill in Manually",IF(OR(K5114="Unit", K5114=""), "", INDEX(LookUps!$E$5:$E$12, MATCH(OpenLCAbasic!K5114,LookUps!$D$5:$D$12,0))))</f>
        <v>Particulate Matter Formation Potential (PMFP) - kg PM2.5 eq</v>
      </c>
      <c r="M5114" s="154" t="str">
        <f t="shared" si="335"/>
        <v>Base_Medium_High_Upgraded_Particulate Matter Formation Potential (PMFP) - kg PM2.5 eq_Waste Receiving and Holding; wastewater treatment unit; at updated plant - US_Without Amendment_Windrow</v>
      </c>
    </row>
    <row r="5115" spans="1:13" s="120" customFormat="1" x14ac:dyDescent="0.25">
      <c r="A5115" s="119"/>
      <c r="B5115" s="138" t="str">
        <f t="shared" ref="B5115:B5159" si="338">IF(F5115="Legacy","n.a.",IF(F5115="","","Windrow"))</f>
        <v>Windrow</v>
      </c>
      <c r="C5115" s="138" t="str">
        <f t="shared" si="332"/>
        <v>Without Amendment</v>
      </c>
      <c r="D5115" s="138" t="str">
        <f t="shared" si="336"/>
        <v>Medium_High</v>
      </c>
      <c r="E5115" s="138" t="str">
        <f t="shared" si="337"/>
        <v>Base</v>
      </c>
      <c r="F5115" s="138" t="str">
        <f t="shared" ref="F5115:F5159" si="339">IF(ISNUMBER(J5115),"Upgraded","")</f>
        <v>Upgraded</v>
      </c>
      <c r="G5115" s="153"/>
      <c r="H5115" s="210">
        <v>0.11070000000000001</v>
      </c>
      <c r="I5115" s="160" t="s">
        <v>147</v>
      </c>
      <c r="J5115" s="160">
        <v>2.7E-4</v>
      </c>
      <c r="K5115" s="160" t="s">
        <v>145</v>
      </c>
      <c r="L5115" s="154" t="str">
        <f>IF(OpenLCAbasic!K5115="CTUh", "Fill in Manually",IF(OR(K5115="Unit", K5115=""), "", INDEX(LookUps!$E$5:$E$12, MATCH(OpenLCAbasic!K5115,LookUps!$D$5:$D$12,0))))</f>
        <v>Particulate Matter Formation Potential (PMFP) - kg PM2.5 eq</v>
      </c>
      <c r="M5115" s="154" t="str">
        <f t="shared" ref="M5115:M5178" si="340">CONCATENATE(E5115,"_",D5115,"_",F5115,"_",L5115, "_",I5115,"_", C5115,"_", B5115)</f>
        <v>Base_Medium_High_Upgraded_Particulate Matter Formation Potential (PMFP) - kg PM2.5 eq_Influent Pump Station; wastewater treatment unit; at updated plant - US_Without Amendment_Windrow</v>
      </c>
    </row>
    <row r="5116" spans="1:13" s="120" customFormat="1" x14ac:dyDescent="0.25">
      <c r="A5116" s="119"/>
      <c r="B5116" s="138" t="str">
        <f t="shared" si="338"/>
        <v>Windrow</v>
      </c>
      <c r="C5116" s="138" t="str">
        <f t="shared" si="332"/>
        <v>Without Amendment</v>
      </c>
      <c r="D5116" s="138" t="str">
        <f t="shared" si="336"/>
        <v>Medium_High</v>
      </c>
      <c r="E5116" s="138" t="str">
        <f t="shared" si="337"/>
        <v>Base</v>
      </c>
      <c r="F5116" s="138" t="str">
        <f t="shared" si="339"/>
        <v>Upgraded</v>
      </c>
      <c r="G5116" s="153"/>
      <c r="H5116" s="210">
        <v>7.0900000000000005E-2</v>
      </c>
      <c r="I5116" s="160" t="s">
        <v>271</v>
      </c>
      <c r="J5116" s="160">
        <v>1.7000000000000001E-4</v>
      </c>
      <c r="K5116" s="160" t="s">
        <v>145</v>
      </c>
      <c r="L5116" s="154" t="str">
        <f>IF(OpenLCAbasic!K5116="CTUh", "Fill in Manually",IF(OR(K5116="Unit", K5116=""), "", INDEX(LookUps!$E$5:$E$12, MATCH(OpenLCAbasic!K5116,LookUps!$D$5:$D$12,0))))</f>
        <v>Particulate Matter Formation Potential (PMFP) - kg PM2.5 eq</v>
      </c>
      <c r="M5116" s="154" t="str">
        <f t="shared" si="340"/>
        <v>Base_Medium_High_Upgraded_Particulate Matter Formation Potential (PMFP) - kg PM2.5 eq_Biosolids composting; windrow composting; wastewater treatment unit; at updated plant - US_Without Amendment_Windrow</v>
      </c>
    </row>
    <row r="5117" spans="1:13" s="120" customFormat="1" x14ac:dyDescent="0.25">
      <c r="A5117" s="119"/>
      <c r="B5117" s="138" t="str">
        <f t="shared" si="338"/>
        <v>Windrow</v>
      </c>
      <c r="C5117" s="138" t="str">
        <f t="shared" si="332"/>
        <v>Without Amendment</v>
      </c>
      <c r="D5117" s="138" t="str">
        <f t="shared" si="336"/>
        <v>Medium_High</v>
      </c>
      <c r="E5117" s="138" t="str">
        <f t="shared" si="337"/>
        <v>Base</v>
      </c>
      <c r="F5117" s="138" t="str">
        <f t="shared" si="339"/>
        <v>Upgraded</v>
      </c>
      <c r="G5117" s="153"/>
      <c r="H5117" s="210">
        <v>6.9099999999999995E-2</v>
      </c>
      <c r="I5117" s="160" t="s">
        <v>128</v>
      </c>
      <c r="J5117" s="160">
        <v>1.7000000000000001E-4</v>
      </c>
      <c r="K5117" s="160" t="s">
        <v>145</v>
      </c>
      <c r="L5117" s="154" t="str">
        <f>IF(OpenLCAbasic!K5117="CTUh", "Fill in Manually",IF(OR(K5117="Unit", K5117=""), "", INDEX(LookUps!$E$5:$E$12, MATCH(OpenLCAbasic!K5117,LookUps!$D$5:$D$12,0))))</f>
        <v>Particulate Matter Formation Potential (PMFP) - kg PM2.5 eq</v>
      </c>
      <c r="M5117" s="154" t="str">
        <f t="shared" si="340"/>
        <v>Base_Medium_High_Upgraded_Particulate Matter Formation Potential (PMFP) - kg PM2.5 eq_Wastewater collection; operation and infrastructure; m3 wastewater_Without Amendment_Windrow</v>
      </c>
    </row>
    <row r="5118" spans="1:13" s="120" customFormat="1" x14ac:dyDescent="0.25">
      <c r="A5118" s="119"/>
      <c r="B5118" s="138" t="str">
        <f t="shared" si="338"/>
        <v>Windrow</v>
      </c>
      <c r="C5118" s="138" t="str">
        <f t="shared" si="332"/>
        <v>Without Amendment</v>
      </c>
      <c r="D5118" s="138" t="str">
        <f t="shared" si="336"/>
        <v>Medium_High</v>
      </c>
      <c r="E5118" s="138" t="str">
        <f t="shared" si="337"/>
        <v>Base</v>
      </c>
      <c r="F5118" s="138" t="str">
        <f t="shared" si="339"/>
        <v>Upgraded</v>
      </c>
      <c r="G5118" s="153"/>
      <c r="H5118" s="210">
        <v>5.7299999999999997E-2</v>
      </c>
      <c r="I5118" s="160" t="s">
        <v>60</v>
      </c>
      <c r="J5118" s="160">
        <v>1.3999999999999999E-4</v>
      </c>
      <c r="K5118" s="160" t="s">
        <v>145</v>
      </c>
      <c r="L5118" s="154" t="str">
        <f>IF(OpenLCAbasic!K5118="CTUh", "Fill in Manually",IF(OR(K5118="Unit", K5118=""), "", INDEX(LookUps!$E$5:$E$12, MATCH(OpenLCAbasic!K5118,LookUps!$D$5:$D$12,0))))</f>
        <v>Particulate Matter Formation Potential (PMFP) - kg PM2.5 eq</v>
      </c>
      <c r="M5118" s="154" t="str">
        <f t="shared" si="340"/>
        <v>Base_Medium_High_Upgraded_Particulate Matter Formation Potential (PMFP) - kg PM2.5 eq_Belt filter press; wastewater treatment unit; at updated plant - US_Without Amendment_Windrow</v>
      </c>
    </row>
    <row r="5119" spans="1:13" s="120" customFormat="1" x14ac:dyDescent="0.25">
      <c r="A5119" s="119"/>
      <c r="B5119" s="138" t="str">
        <f t="shared" si="338"/>
        <v>Windrow</v>
      </c>
      <c r="C5119" s="138" t="str">
        <f t="shared" si="332"/>
        <v>Without Amendment</v>
      </c>
      <c r="D5119" s="138" t="str">
        <f t="shared" si="336"/>
        <v>Medium_High</v>
      </c>
      <c r="E5119" s="138" t="str">
        <f t="shared" si="337"/>
        <v>Base</v>
      </c>
      <c r="F5119" s="138" t="str">
        <f t="shared" si="339"/>
        <v>Upgraded</v>
      </c>
      <c r="G5119" s="153"/>
      <c r="H5119" s="210">
        <v>3.95E-2</v>
      </c>
      <c r="I5119" s="160" t="s">
        <v>57</v>
      </c>
      <c r="J5119" s="211">
        <v>9.5153800000000004E-5</v>
      </c>
      <c r="K5119" s="160" t="s">
        <v>145</v>
      </c>
      <c r="L5119" s="154" t="str">
        <f>IF(OpenLCAbasic!K5119="CTUh", "Fill in Manually",IF(OR(K5119="Unit", K5119=""), "", INDEX(LookUps!$E$5:$E$12, MATCH(OpenLCAbasic!K5119,LookUps!$D$5:$D$12,0))))</f>
        <v>Particulate Matter Formation Potential (PMFP) - kg PM2.5 eq</v>
      </c>
      <c r="M5119" s="154" t="str">
        <f t="shared" si="340"/>
        <v>Base_Medium_High_Upgraded_Particulate Matter Formation Potential (PMFP) - kg PM2.5 eq_Gravity Belt Thickener; wastewater treatment unit; at updated plant - US_Without Amendment_Windrow</v>
      </c>
    </row>
    <row r="5120" spans="1:13" s="120" customFormat="1" x14ac:dyDescent="0.25">
      <c r="A5120" s="119"/>
      <c r="B5120" s="138" t="str">
        <f t="shared" si="338"/>
        <v>Windrow</v>
      </c>
      <c r="C5120" s="138" t="str">
        <f t="shared" si="332"/>
        <v>Without Amendment</v>
      </c>
      <c r="D5120" s="138" t="str">
        <f t="shared" si="336"/>
        <v>Medium_High</v>
      </c>
      <c r="E5120" s="138" t="str">
        <f t="shared" si="337"/>
        <v>Base</v>
      </c>
      <c r="F5120" s="138" t="str">
        <f t="shared" si="339"/>
        <v>Upgraded</v>
      </c>
      <c r="G5120" s="153"/>
      <c r="H5120" s="210">
        <v>2.9000000000000001E-2</v>
      </c>
      <c r="I5120" s="160" t="s">
        <v>59</v>
      </c>
      <c r="J5120" s="211">
        <v>6.9942200000000003E-5</v>
      </c>
      <c r="K5120" s="160" t="s">
        <v>145</v>
      </c>
      <c r="L5120" s="154" t="str">
        <f>IF(OpenLCAbasic!K5120="CTUh", "Fill in Manually",IF(OR(K5120="Unit", K5120=""), "", INDEX(LookUps!$E$5:$E$12, MATCH(OpenLCAbasic!K5120,LookUps!$D$5:$D$12,0))))</f>
        <v>Particulate Matter Formation Potential (PMFP) - kg PM2.5 eq</v>
      </c>
      <c r="M5120" s="154" t="str">
        <f t="shared" si="340"/>
        <v>Base_Medium_High_Upgraded_Particulate Matter Formation Potential (PMFP) - kg PM2.5 eq_Blend Tank; wastewater treatment unit; at updated plant - US_Without Amendment_Windrow</v>
      </c>
    </row>
    <row r="5121" spans="1:13" s="120" customFormat="1" x14ac:dyDescent="0.25">
      <c r="A5121" s="119"/>
      <c r="B5121" s="138" t="str">
        <f t="shared" si="338"/>
        <v>Windrow</v>
      </c>
      <c r="C5121" s="138" t="str">
        <f t="shared" ref="C5121:C5184" si="341">IF(ISNUMBER($J5121),"Without Amendment","")</f>
        <v>Without Amendment</v>
      </c>
      <c r="D5121" s="138" t="str">
        <f t="shared" si="336"/>
        <v>Medium_High</v>
      </c>
      <c r="E5121" s="138" t="str">
        <f t="shared" si="337"/>
        <v>Base</v>
      </c>
      <c r="F5121" s="138" t="str">
        <f t="shared" si="339"/>
        <v>Upgraded</v>
      </c>
      <c r="G5121" s="153"/>
      <c r="H5121" s="210">
        <v>2.07E-2</v>
      </c>
      <c r="I5121" s="160" t="s">
        <v>48</v>
      </c>
      <c r="J5121" s="211">
        <v>4.99741E-5</v>
      </c>
      <c r="K5121" s="160" t="s">
        <v>145</v>
      </c>
      <c r="L5121" s="154" t="str">
        <f>IF(OpenLCAbasic!K5121="CTUh", "Fill in Manually",IF(OR(K5121="Unit", K5121=""), "", INDEX(LookUps!$E$5:$E$12, MATCH(OpenLCAbasic!K5121,LookUps!$D$5:$D$12,0))))</f>
        <v>Particulate Matter Formation Potential (PMFP) - kg PM2.5 eq</v>
      </c>
      <c r="M5121" s="154" t="str">
        <f t="shared" si="340"/>
        <v>Base_Medium_High_Upgraded_Particulate Matter Formation Potential (PMFP) - kg PM2.5 eq_Effluent release; wastewater treatment unit; at surface water; m3 wastewater - US_Without Amendment_Windrow</v>
      </c>
    </row>
    <row r="5122" spans="1:13" s="120" customFormat="1" x14ac:dyDescent="0.25">
      <c r="A5122" s="119"/>
      <c r="B5122" s="138" t="str">
        <f t="shared" si="338"/>
        <v>Windrow</v>
      </c>
      <c r="C5122" s="138" t="str">
        <f t="shared" si="341"/>
        <v>Without Amendment</v>
      </c>
      <c r="D5122" s="138" t="str">
        <f t="shared" si="336"/>
        <v>Medium_High</v>
      </c>
      <c r="E5122" s="138" t="str">
        <f t="shared" si="337"/>
        <v>Base</v>
      </c>
      <c r="F5122" s="138" t="str">
        <f t="shared" si="339"/>
        <v>Upgraded</v>
      </c>
      <c r="G5122" s="153"/>
      <c r="H5122" s="210">
        <v>1.61E-2</v>
      </c>
      <c r="I5122" s="160" t="s">
        <v>62</v>
      </c>
      <c r="J5122" s="211">
        <v>3.8792199999999998E-5</v>
      </c>
      <c r="K5122" s="160" t="s">
        <v>145</v>
      </c>
      <c r="L5122" s="154" t="str">
        <f>IF(OpenLCAbasic!K5122="CTUh", "Fill in Manually",IF(OR(K5122="Unit", K5122=""), "", INDEX(LookUps!$E$5:$E$12, MATCH(OpenLCAbasic!K5122,LookUps!$D$5:$D$12,0))))</f>
        <v>Particulate Matter Formation Potential (PMFP) - kg PM2.5 eq</v>
      </c>
      <c r="M5122" s="154" t="str">
        <f t="shared" si="340"/>
        <v>Base_Medium_High_Upgraded_Particulate Matter Formation Potential (PMFP) - kg PM2.5 eq_Land application of compost; wastewater treatment unit; at updated plant - US_Without Amendment_Windrow</v>
      </c>
    </row>
    <row r="5123" spans="1:13" s="120" customFormat="1" x14ac:dyDescent="0.25">
      <c r="A5123" s="119"/>
      <c r="B5123" s="138" t="str">
        <f t="shared" si="338"/>
        <v>Windrow</v>
      </c>
      <c r="C5123" s="138" t="str">
        <f t="shared" si="341"/>
        <v>Without Amendment</v>
      </c>
      <c r="D5123" s="138" t="str">
        <f t="shared" si="336"/>
        <v>Medium_High</v>
      </c>
      <c r="E5123" s="138" t="str">
        <f t="shared" si="337"/>
        <v>Base</v>
      </c>
      <c r="F5123" s="138" t="str">
        <f t="shared" si="339"/>
        <v>Upgraded</v>
      </c>
      <c r="G5123" s="153"/>
      <c r="H5123" s="210">
        <v>1.43E-2</v>
      </c>
      <c r="I5123" s="160" t="s">
        <v>168</v>
      </c>
      <c r="J5123" s="211">
        <v>3.4562199999999999E-5</v>
      </c>
      <c r="K5123" s="160" t="s">
        <v>145</v>
      </c>
      <c r="L5123" s="154" t="str">
        <f>IF(OpenLCAbasic!K5123="CTUh", "Fill in Manually",IF(OR(K5123="Unit", K5123=""), "", INDEX(LookUps!$E$5:$E$12, MATCH(OpenLCAbasic!K5123,LookUps!$D$5:$D$12,0))))</f>
        <v>Particulate Matter Formation Potential (PMFP) - kg PM2.5 eq</v>
      </c>
      <c r="M5123" s="154" t="str">
        <f t="shared" si="340"/>
        <v>Base_Medium_High_Upgraded_Particulate Matter Formation Potential (PMFP) - kg PM2.5 eq_ClearCove SCP; wastewater treatment unit; at updated plant - US_Without Amendment_Windrow</v>
      </c>
    </row>
    <row r="5124" spans="1:13" s="120" customFormat="1" x14ac:dyDescent="0.25">
      <c r="A5124" s="119"/>
      <c r="B5124" s="138" t="str">
        <f t="shared" si="338"/>
        <v>Windrow</v>
      </c>
      <c r="C5124" s="138" t="str">
        <f t="shared" si="341"/>
        <v>Without Amendment</v>
      </c>
      <c r="D5124" s="138" t="str">
        <f t="shared" si="336"/>
        <v>Medium_High</v>
      </c>
      <c r="E5124" s="138" t="str">
        <f t="shared" si="337"/>
        <v>Base</v>
      </c>
      <c r="F5124" s="138" t="str">
        <f t="shared" si="339"/>
        <v>Upgraded</v>
      </c>
      <c r="G5124" s="153"/>
      <c r="H5124" s="210">
        <v>3.7000000000000002E-3</v>
      </c>
      <c r="I5124" s="160" t="s">
        <v>148</v>
      </c>
      <c r="J5124" s="211">
        <v>8.8212999999999997E-6</v>
      </c>
      <c r="K5124" s="160" t="s">
        <v>145</v>
      </c>
      <c r="L5124" s="154" t="str">
        <f>IF(OpenLCAbasic!K5124="CTUh", "Fill in Manually",IF(OR(K5124="Unit", K5124=""), "", INDEX(LookUps!$E$5:$E$12, MATCH(OpenLCAbasic!K5124,LookUps!$D$5:$D$12,0))))</f>
        <v>Particulate Matter Formation Potential (PMFP) - kg PM2.5 eq</v>
      </c>
      <c r="M5124" s="154" t="str">
        <f t="shared" si="340"/>
        <v>Base_Medium_High_Upgraded_Particulate Matter Formation Potential (PMFP) - kg PM2.5 eq_Control Building; at upgraded wastewater treatment plant - US_Without Amendment_Windrow</v>
      </c>
    </row>
    <row r="5125" spans="1:13" s="120" customFormat="1" x14ac:dyDescent="0.25">
      <c r="A5125" s="119"/>
      <c r="B5125" s="138" t="str">
        <f t="shared" si="338"/>
        <v>Windrow</v>
      </c>
      <c r="C5125" s="138" t="str">
        <f t="shared" si="341"/>
        <v>Without Amendment</v>
      </c>
      <c r="D5125" s="138" t="str">
        <f t="shared" si="336"/>
        <v>Medium_High</v>
      </c>
      <c r="E5125" s="138" t="str">
        <f t="shared" si="337"/>
        <v>Base</v>
      </c>
      <c r="F5125" s="138" t="str">
        <f t="shared" si="339"/>
        <v>Upgraded</v>
      </c>
      <c r="G5125" s="153"/>
      <c r="H5125" s="210">
        <v>-3.2511999999999999</v>
      </c>
      <c r="I5125" s="160" t="s">
        <v>149</v>
      </c>
      <c r="J5125" s="160">
        <v>-7.8300000000000002E-3</v>
      </c>
      <c r="K5125" s="160" t="s">
        <v>145</v>
      </c>
      <c r="L5125" s="154" t="str">
        <f>IF(OpenLCAbasic!K5125="CTUh", "Fill in Manually",IF(OR(K5125="Unit", K5125=""), "", INDEX(LookUps!$E$5:$E$12, MATCH(OpenLCAbasic!K5125,LookUps!$D$5:$D$12,0))))</f>
        <v>Particulate Matter Formation Potential (PMFP) - kg PM2.5 eq</v>
      </c>
      <c r="M5125" s="154" t="str">
        <f t="shared" si="340"/>
        <v>Base_Medium_High_Upgraded_Particulate Matter Formation Potential (PMFP) - kg PM2.5 eq_Anaerobic Digestion; wastewater treatment unit; at updated plant - US_Without Amendment_Windrow</v>
      </c>
    </row>
    <row r="5126" spans="1:13" s="120" customFormat="1" x14ac:dyDescent="0.25">
      <c r="A5126" s="119"/>
      <c r="B5126" s="138" t="str">
        <f t="shared" si="338"/>
        <v/>
      </c>
      <c r="C5126" s="138" t="str">
        <f t="shared" si="341"/>
        <v/>
      </c>
      <c r="D5126" s="138" t="str">
        <f t="shared" si="336"/>
        <v/>
      </c>
      <c r="E5126" s="138" t="str">
        <f t="shared" si="337"/>
        <v/>
      </c>
      <c r="F5126" s="138" t="str">
        <f t="shared" si="339"/>
        <v/>
      </c>
      <c r="G5126" s="153" t="s">
        <v>51</v>
      </c>
      <c r="H5126" s="160"/>
      <c r="I5126" s="160" t="s">
        <v>47</v>
      </c>
      <c r="J5126" s="160" t="s">
        <v>52</v>
      </c>
      <c r="K5126" s="160" t="s">
        <v>27</v>
      </c>
      <c r="L5126" s="154" t="str">
        <f>IF(OpenLCAbasic!K5126="CTUh", "Fill in Manually",IF(OR(K5126="Unit", K5126=""), "", INDEX(LookUps!$E$5:$E$12, MATCH(OpenLCAbasic!K5126,LookUps!$D$5:$D$12,0))))</f>
        <v/>
      </c>
      <c r="M5126" s="154" t="str">
        <f t="shared" si="340"/>
        <v>____Process__</v>
      </c>
    </row>
    <row r="5127" spans="1:13" s="120" customFormat="1" x14ac:dyDescent="0.25">
      <c r="A5127" s="119"/>
      <c r="B5127" s="138" t="str">
        <f t="shared" si="338"/>
        <v>Windrow</v>
      </c>
      <c r="C5127" s="138" t="str">
        <f t="shared" si="341"/>
        <v>Without Amendment</v>
      </c>
      <c r="D5127" s="138" t="str">
        <f t="shared" si="336"/>
        <v>Medium_High</v>
      </c>
      <c r="E5127" s="138" t="str">
        <f t="shared" si="337"/>
        <v>Base</v>
      </c>
      <c r="F5127" s="138" t="str">
        <f t="shared" si="339"/>
        <v>Upgraded</v>
      </c>
      <c r="G5127" s="153"/>
      <c r="H5127" s="210">
        <v>0.91669999999999996</v>
      </c>
      <c r="I5127" s="160" t="s">
        <v>55</v>
      </c>
      <c r="J5127" s="160">
        <v>0.16577</v>
      </c>
      <c r="K5127" s="160" t="s">
        <v>25</v>
      </c>
      <c r="L5127" s="154" t="str">
        <f>IF(OpenLCAbasic!K5127="CTUh", "Fill in Manually",IF(OR(K5127="Unit", K5127=""), "", INDEX(LookUps!$E$5:$E$12, MATCH(OpenLCAbasic!K5127,LookUps!$D$5:$D$12,0))))</f>
        <v>Smog Formation Potential (SFP) - kg O3 eq</v>
      </c>
      <c r="M5127" s="154" t="str">
        <f t="shared" si="340"/>
        <v>Base_Medium_High_Upgraded_Smog Formation Potential (SFP) - kg O3 eq_Aeration Tanks; wastewater treatment unit; at updated plant - US_Without Amendment_Windrow</v>
      </c>
    </row>
    <row r="5128" spans="1:13" s="120" customFormat="1" x14ac:dyDescent="0.25">
      <c r="A5128" s="119"/>
      <c r="B5128" s="138" t="str">
        <f t="shared" si="338"/>
        <v>Windrow</v>
      </c>
      <c r="C5128" s="138" t="str">
        <f t="shared" si="341"/>
        <v>Without Amendment</v>
      </c>
      <c r="D5128" s="138" t="str">
        <f t="shared" si="336"/>
        <v>Medium_High</v>
      </c>
      <c r="E5128" s="138" t="str">
        <f t="shared" si="337"/>
        <v>Base</v>
      </c>
      <c r="F5128" s="138" t="str">
        <f t="shared" si="339"/>
        <v>Upgraded</v>
      </c>
      <c r="G5128" s="153"/>
      <c r="H5128" s="210">
        <v>0.26579999999999998</v>
      </c>
      <c r="I5128" s="160" t="s">
        <v>54</v>
      </c>
      <c r="J5128" s="160">
        <v>4.8070000000000002E-2</v>
      </c>
      <c r="K5128" s="160" t="s">
        <v>25</v>
      </c>
      <c r="L5128" s="154" t="str">
        <f>IF(OpenLCAbasic!K5128="CTUh", "Fill in Manually",IF(OR(K5128="Unit", K5128=""), "", INDEX(LookUps!$E$5:$E$12, MATCH(OpenLCAbasic!K5128,LookUps!$D$5:$D$12,0))))</f>
        <v>Smog Formation Potential (SFP) - kg O3 eq</v>
      </c>
      <c r="M5128" s="154" t="str">
        <f t="shared" si="340"/>
        <v>Base_Medium_High_Upgraded_Smog Formation Potential (SFP) - kg O3 eq_Clear Cove Primary Clarification; wastewater treatment unit; at updated plant - US_Without Amendment_Windrow</v>
      </c>
    </row>
    <row r="5129" spans="1:13" s="120" customFormat="1" x14ac:dyDescent="0.25">
      <c r="A5129" s="119"/>
      <c r="B5129" s="138" t="str">
        <f t="shared" si="338"/>
        <v>Windrow</v>
      </c>
      <c r="C5129" s="138" t="str">
        <f t="shared" si="341"/>
        <v>Without Amendment</v>
      </c>
      <c r="D5129" s="138" t="str">
        <f t="shared" si="336"/>
        <v>Medium_High</v>
      </c>
      <c r="E5129" s="138" t="str">
        <f t="shared" si="337"/>
        <v>Base</v>
      </c>
      <c r="F5129" s="138" t="str">
        <f t="shared" si="339"/>
        <v>Upgraded</v>
      </c>
      <c r="G5129" s="153"/>
      <c r="H5129" s="210">
        <v>0.23180000000000001</v>
      </c>
      <c r="I5129" s="160" t="s">
        <v>58</v>
      </c>
      <c r="J5129" s="160">
        <v>4.1919999999999999E-2</v>
      </c>
      <c r="K5129" s="160" t="s">
        <v>25</v>
      </c>
      <c r="L5129" s="154" t="str">
        <f>IF(OpenLCAbasic!K5129="CTUh", "Fill in Manually",IF(OR(K5129="Unit", K5129=""), "", INDEX(LookUps!$E$5:$E$12, MATCH(OpenLCAbasic!K5129,LookUps!$D$5:$D$12,0))))</f>
        <v>Smog Formation Potential (SFP) - kg O3 eq</v>
      </c>
      <c r="M5129" s="154" t="str">
        <f t="shared" si="340"/>
        <v>Base_Medium_High_Upgraded_Smog Formation Potential (SFP) - kg O3 eq_Pre-Anoxic &amp; Swing tank; wastewater treatment unit; at updated plant - US_Without Amendment_Windrow</v>
      </c>
    </row>
    <row r="5130" spans="1:13" s="120" customFormat="1" x14ac:dyDescent="0.25">
      <c r="A5130" s="119"/>
      <c r="B5130" s="138" t="str">
        <f t="shared" si="338"/>
        <v>Windrow</v>
      </c>
      <c r="C5130" s="138" t="str">
        <f t="shared" si="341"/>
        <v>Without Amendment</v>
      </c>
      <c r="D5130" s="138" t="str">
        <f t="shared" si="336"/>
        <v>Medium_High</v>
      </c>
      <c r="E5130" s="138" t="str">
        <f t="shared" si="337"/>
        <v>Base</v>
      </c>
      <c r="F5130" s="138" t="str">
        <f t="shared" si="339"/>
        <v>Upgraded</v>
      </c>
      <c r="G5130" s="153"/>
      <c r="H5130" s="210">
        <v>0.1832</v>
      </c>
      <c r="I5130" s="160" t="s">
        <v>53</v>
      </c>
      <c r="J5130" s="160">
        <v>3.313E-2</v>
      </c>
      <c r="K5130" s="160" t="s">
        <v>25</v>
      </c>
      <c r="L5130" s="154" t="str">
        <f>IF(OpenLCAbasic!K5130="CTUh", "Fill in Manually",IF(OR(K5130="Unit", K5130=""), "", INDEX(LookUps!$E$5:$E$12, MATCH(OpenLCAbasic!K5130,LookUps!$D$5:$D$12,0))))</f>
        <v>Smog Formation Potential (SFP) - kg O3 eq</v>
      </c>
      <c r="M5130" s="154" t="str">
        <f t="shared" si="340"/>
        <v>Base_Medium_High_Upgraded_Smog Formation Potential (SFP) - kg O3 eq_Wet Well and Sump Station; wastewater treatment unit; at updated plant - US_Without Amendment_Windrow</v>
      </c>
    </row>
    <row r="5131" spans="1:13" s="120" customFormat="1" x14ac:dyDescent="0.25">
      <c r="A5131" s="119"/>
      <c r="B5131" s="138" t="str">
        <f t="shared" si="338"/>
        <v>Windrow</v>
      </c>
      <c r="C5131" s="138" t="str">
        <f t="shared" si="341"/>
        <v>Without Amendment</v>
      </c>
      <c r="D5131" s="138" t="str">
        <f t="shared" si="336"/>
        <v>Medium_High</v>
      </c>
      <c r="E5131" s="138" t="str">
        <f t="shared" si="337"/>
        <v>Base</v>
      </c>
      <c r="F5131" s="138" t="str">
        <f t="shared" si="339"/>
        <v>Upgraded</v>
      </c>
      <c r="G5131" s="153"/>
      <c r="H5131" s="210">
        <v>0.16980000000000001</v>
      </c>
      <c r="I5131" s="160" t="s">
        <v>167</v>
      </c>
      <c r="J5131" s="160">
        <v>3.0710000000000001E-2</v>
      </c>
      <c r="K5131" s="160" t="s">
        <v>25</v>
      </c>
      <c r="L5131" s="154" t="str">
        <f>IF(OpenLCAbasic!K5131="CTUh", "Fill in Manually",IF(OR(K5131="Unit", K5131=""), "", INDEX(LookUps!$E$5:$E$12, MATCH(OpenLCAbasic!K5131,LookUps!$D$5:$D$12,0))))</f>
        <v>Smog Formation Potential (SFP) - kg O3 eq</v>
      </c>
      <c r="M5131" s="154" t="str">
        <f t="shared" si="340"/>
        <v>Base_Medium_High_Upgraded_Smog Formation Potential (SFP) - kg O3 eq_Waste Receiving and Holding; wastewater treatment unit; at updated plant - US_Without Amendment_Windrow</v>
      </c>
    </row>
    <row r="5132" spans="1:13" s="120" customFormat="1" x14ac:dyDescent="0.25">
      <c r="A5132" s="119"/>
      <c r="B5132" s="138" t="str">
        <f t="shared" si="338"/>
        <v>Windrow</v>
      </c>
      <c r="C5132" s="138" t="str">
        <f t="shared" si="341"/>
        <v>Without Amendment</v>
      </c>
      <c r="D5132" s="138" t="str">
        <f t="shared" si="336"/>
        <v>Medium_High</v>
      </c>
      <c r="E5132" s="138" t="str">
        <f t="shared" si="337"/>
        <v>Base</v>
      </c>
      <c r="F5132" s="138" t="str">
        <f t="shared" si="339"/>
        <v>Upgraded</v>
      </c>
      <c r="G5132" s="153"/>
      <c r="H5132" s="210">
        <v>0.10730000000000001</v>
      </c>
      <c r="I5132" s="160" t="s">
        <v>147</v>
      </c>
      <c r="J5132" s="160">
        <v>1.9400000000000001E-2</v>
      </c>
      <c r="K5132" s="160" t="s">
        <v>25</v>
      </c>
      <c r="L5132" s="154" t="str">
        <f>IF(OpenLCAbasic!K5132="CTUh", "Fill in Manually",IF(OR(K5132="Unit", K5132=""), "", INDEX(LookUps!$E$5:$E$12, MATCH(OpenLCAbasic!K5132,LookUps!$D$5:$D$12,0))))</f>
        <v>Smog Formation Potential (SFP) - kg O3 eq</v>
      </c>
      <c r="M5132" s="154" t="str">
        <f t="shared" si="340"/>
        <v>Base_Medium_High_Upgraded_Smog Formation Potential (SFP) - kg O3 eq_Influent Pump Station; wastewater treatment unit; at updated plant - US_Without Amendment_Windrow</v>
      </c>
    </row>
    <row r="5133" spans="1:13" s="120" customFormat="1" x14ac:dyDescent="0.25">
      <c r="A5133" s="119"/>
      <c r="B5133" s="138" t="str">
        <f t="shared" si="338"/>
        <v>Windrow</v>
      </c>
      <c r="C5133" s="138" t="str">
        <f t="shared" si="341"/>
        <v>Without Amendment</v>
      </c>
      <c r="D5133" s="138" t="str">
        <f t="shared" si="336"/>
        <v>Medium_High</v>
      </c>
      <c r="E5133" s="138" t="str">
        <f t="shared" si="337"/>
        <v>Base</v>
      </c>
      <c r="F5133" s="138" t="str">
        <f t="shared" si="339"/>
        <v>Upgraded</v>
      </c>
      <c r="G5133" s="153"/>
      <c r="H5133" s="210">
        <v>6.59E-2</v>
      </c>
      <c r="I5133" s="160" t="s">
        <v>128</v>
      </c>
      <c r="J5133" s="160">
        <v>1.192E-2</v>
      </c>
      <c r="K5133" s="160" t="s">
        <v>25</v>
      </c>
      <c r="L5133" s="154" t="str">
        <f>IF(OpenLCAbasic!K5133="CTUh", "Fill in Manually",IF(OR(K5133="Unit", K5133=""), "", INDEX(LookUps!$E$5:$E$12, MATCH(OpenLCAbasic!K5133,LookUps!$D$5:$D$12,0))))</f>
        <v>Smog Formation Potential (SFP) - kg O3 eq</v>
      </c>
      <c r="M5133" s="154" t="str">
        <f t="shared" si="340"/>
        <v>Base_Medium_High_Upgraded_Smog Formation Potential (SFP) - kg O3 eq_Wastewater collection; operation and infrastructure; m3 wastewater_Without Amendment_Windrow</v>
      </c>
    </row>
    <row r="5134" spans="1:13" s="120" customFormat="1" x14ac:dyDescent="0.25">
      <c r="A5134" s="119"/>
      <c r="B5134" s="138" t="str">
        <f t="shared" si="338"/>
        <v>Windrow</v>
      </c>
      <c r="C5134" s="138" t="str">
        <f t="shared" si="341"/>
        <v>Without Amendment</v>
      </c>
      <c r="D5134" s="138" t="str">
        <f t="shared" si="336"/>
        <v>Medium_High</v>
      </c>
      <c r="E5134" s="138" t="str">
        <f t="shared" si="337"/>
        <v>Base</v>
      </c>
      <c r="F5134" s="138" t="str">
        <f t="shared" si="339"/>
        <v>Upgraded</v>
      </c>
      <c r="G5134" s="153"/>
      <c r="H5134" s="210">
        <v>5.3699999999999998E-2</v>
      </c>
      <c r="I5134" s="160" t="s">
        <v>60</v>
      </c>
      <c r="J5134" s="160">
        <v>9.7099999999999999E-3</v>
      </c>
      <c r="K5134" s="160" t="s">
        <v>25</v>
      </c>
      <c r="L5134" s="154" t="str">
        <f>IF(OpenLCAbasic!K5134="CTUh", "Fill in Manually",IF(OR(K5134="Unit", K5134=""), "", INDEX(LookUps!$E$5:$E$12, MATCH(OpenLCAbasic!K5134,LookUps!$D$5:$D$12,0))))</f>
        <v>Smog Formation Potential (SFP) - kg O3 eq</v>
      </c>
      <c r="M5134" s="154" t="str">
        <f t="shared" si="340"/>
        <v>Base_Medium_High_Upgraded_Smog Formation Potential (SFP) - kg O3 eq_Belt filter press; wastewater treatment unit; at updated plant - US_Without Amendment_Windrow</v>
      </c>
    </row>
    <row r="5135" spans="1:13" s="120" customFormat="1" x14ac:dyDescent="0.25">
      <c r="A5135" s="119"/>
      <c r="B5135" s="138" t="str">
        <f t="shared" si="338"/>
        <v>Windrow</v>
      </c>
      <c r="C5135" s="138" t="str">
        <f t="shared" si="341"/>
        <v>Without Amendment</v>
      </c>
      <c r="D5135" s="138" t="str">
        <f t="shared" si="336"/>
        <v>Medium_High</v>
      </c>
      <c r="E5135" s="138" t="str">
        <f t="shared" si="337"/>
        <v>Base</v>
      </c>
      <c r="F5135" s="138" t="str">
        <f t="shared" si="339"/>
        <v>Upgraded</v>
      </c>
      <c r="G5135" s="153"/>
      <c r="H5135" s="210">
        <v>3.6799999999999999E-2</v>
      </c>
      <c r="I5135" s="160" t="s">
        <v>57</v>
      </c>
      <c r="J5135" s="160">
        <v>6.6499999999999997E-3</v>
      </c>
      <c r="K5135" s="160" t="s">
        <v>25</v>
      </c>
      <c r="L5135" s="154" t="str">
        <f>IF(OpenLCAbasic!K5135="CTUh", "Fill in Manually",IF(OR(K5135="Unit", K5135=""), "", INDEX(LookUps!$E$5:$E$12, MATCH(OpenLCAbasic!K5135,LookUps!$D$5:$D$12,0))))</f>
        <v>Smog Formation Potential (SFP) - kg O3 eq</v>
      </c>
      <c r="M5135" s="154" t="str">
        <f t="shared" si="340"/>
        <v>Base_Medium_High_Upgraded_Smog Formation Potential (SFP) - kg O3 eq_Gravity Belt Thickener; wastewater treatment unit; at updated plant - US_Without Amendment_Windrow</v>
      </c>
    </row>
    <row r="5136" spans="1:13" s="120" customFormat="1" x14ac:dyDescent="0.25">
      <c r="A5136" s="119"/>
      <c r="B5136" s="138" t="str">
        <f t="shared" si="338"/>
        <v>Windrow</v>
      </c>
      <c r="C5136" s="138" t="str">
        <f t="shared" si="341"/>
        <v>Without Amendment</v>
      </c>
      <c r="D5136" s="138" t="str">
        <f t="shared" si="336"/>
        <v>Medium_High</v>
      </c>
      <c r="E5136" s="138" t="str">
        <f t="shared" si="337"/>
        <v>Base</v>
      </c>
      <c r="F5136" s="138" t="str">
        <f t="shared" si="339"/>
        <v>Upgraded</v>
      </c>
      <c r="G5136" s="153"/>
      <c r="H5136" s="210">
        <v>2.75E-2</v>
      </c>
      <c r="I5136" s="160" t="s">
        <v>59</v>
      </c>
      <c r="J5136" s="160">
        <v>4.9699999999999996E-3</v>
      </c>
      <c r="K5136" s="160" t="s">
        <v>25</v>
      </c>
      <c r="L5136" s="154" t="str">
        <f>IF(OpenLCAbasic!K5136="CTUh", "Fill in Manually",IF(OR(K5136="Unit", K5136=""), "", INDEX(LookUps!$E$5:$E$12, MATCH(OpenLCAbasic!K5136,LookUps!$D$5:$D$12,0))))</f>
        <v>Smog Formation Potential (SFP) - kg O3 eq</v>
      </c>
      <c r="M5136" s="154" t="str">
        <f t="shared" si="340"/>
        <v>Base_Medium_High_Upgraded_Smog Formation Potential (SFP) - kg O3 eq_Blend Tank; wastewater treatment unit; at updated plant - US_Without Amendment_Windrow</v>
      </c>
    </row>
    <row r="5137" spans="1:13" s="120" customFormat="1" x14ac:dyDescent="0.25">
      <c r="A5137" s="119"/>
      <c r="B5137" s="138" t="str">
        <f t="shared" si="338"/>
        <v>Windrow</v>
      </c>
      <c r="C5137" s="138" t="str">
        <f t="shared" si="341"/>
        <v>Without Amendment</v>
      </c>
      <c r="D5137" s="138" t="str">
        <f t="shared" si="336"/>
        <v>Medium_High</v>
      </c>
      <c r="E5137" s="138" t="str">
        <f t="shared" si="337"/>
        <v>Base</v>
      </c>
      <c r="F5137" s="138" t="str">
        <f t="shared" si="339"/>
        <v>Upgraded</v>
      </c>
      <c r="G5137" s="153"/>
      <c r="H5137" s="210">
        <v>1.8700000000000001E-2</v>
      </c>
      <c r="I5137" s="160" t="s">
        <v>48</v>
      </c>
      <c r="J5137" s="160">
        <v>3.3899999999999998E-3</v>
      </c>
      <c r="K5137" s="160" t="s">
        <v>25</v>
      </c>
      <c r="L5137" s="154" t="str">
        <f>IF(OpenLCAbasic!K5137="CTUh", "Fill in Manually",IF(OR(K5137="Unit", K5137=""), "", INDEX(LookUps!$E$5:$E$12, MATCH(OpenLCAbasic!K5137,LookUps!$D$5:$D$12,0))))</f>
        <v>Smog Formation Potential (SFP) - kg O3 eq</v>
      </c>
      <c r="M5137" s="154" t="str">
        <f t="shared" si="340"/>
        <v>Base_Medium_High_Upgraded_Smog Formation Potential (SFP) - kg O3 eq_Effluent release; wastewater treatment unit; at surface water; m3 wastewater - US_Without Amendment_Windrow</v>
      </c>
    </row>
    <row r="5138" spans="1:13" s="120" customFormat="1" x14ac:dyDescent="0.25">
      <c r="A5138" s="119"/>
      <c r="B5138" s="138" t="str">
        <f t="shared" si="338"/>
        <v>Windrow</v>
      </c>
      <c r="C5138" s="138" t="str">
        <f t="shared" si="341"/>
        <v>Without Amendment</v>
      </c>
      <c r="D5138" s="138" t="str">
        <f t="shared" si="336"/>
        <v>Medium_High</v>
      </c>
      <c r="E5138" s="138" t="str">
        <f t="shared" si="337"/>
        <v>Base</v>
      </c>
      <c r="F5138" s="138" t="str">
        <f t="shared" si="339"/>
        <v>Upgraded</v>
      </c>
      <c r="G5138" s="153"/>
      <c r="H5138" s="210">
        <v>1.3599999999999999E-2</v>
      </c>
      <c r="I5138" s="160" t="s">
        <v>168</v>
      </c>
      <c r="J5138" s="160">
        <v>2.4599999999999999E-3</v>
      </c>
      <c r="K5138" s="160" t="s">
        <v>25</v>
      </c>
      <c r="L5138" s="154" t="str">
        <f>IF(OpenLCAbasic!K5138="CTUh", "Fill in Manually",IF(OR(K5138="Unit", K5138=""), "", INDEX(LookUps!$E$5:$E$12, MATCH(OpenLCAbasic!K5138,LookUps!$D$5:$D$12,0))))</f>
        <v>Smog Formation Potential (SFP) - kg O3 eq</v>
      </c>
      <c r="M5138" s="154" t="str">
        <f t="shared" si="340"/>
        <v>Base_Medium_High_Upgraded_Smog Formation Potential (SFP) - kg O3 eq_ClearCove SCP; wastewater treatment unit; at updated plant - US_Without Amendment_Windrow</v>
      </c>
    </row>
    <row r="5139" spans="1:13" s="120" customFormat="1" x14ac:dyDescent="0.25">
      <c r="A5139" s="119"/>
      <c r="B5139" s="138" t="str">
        <f t="shared" si="338"/>
        <v>Windrow</v>
      </c>
      <c r="C5139" s="138" t="str">
        <f t="shared" si="341"/>
        <v>Without Amendment</v>
      </c>
      <c r="D5139" s="138" t="str">
        <f t="shared" si="336"/>
        <v>Medium_High</v>
      </c>
      <c r="E5139" s="138" t="str">
        <f t="shared" si="337"/>
        <v>Base</v>
      </c>
      <c r="F5139" s="138" t="str">
        <f t="shared" si="339"/>
        <v>Upgraded</v>
      </c>
      <c r="G5139" s="153"/>
      <c r="H5139" s="210">
        <v>3.0000000000000001E-3</v>
      </c>
      <c r="I5139" s="160" t="s">
        <v>271</v>
      </c>
      <c r="J5139" s="160">
        <v>5.4000000000000001E-4</v>
      </c>
      <c r="K5139" s="160" t="s">
        <v>25</v>
      </c>
      <c r="L5139" s="154" t="str">
        <f>IF(OpenLCAbasic!K5139="CTUh", "Fill in Manually",IF(OR(K5139="Unit", K5139=""), "", INDEX(LookUps!$E$5:$E$12, MATCH(OpenLCAbasic!K5139,LookUps!$D$5:$D$12,0))))</f>
        <v>Smog Formation Potential (SFP) - kg O3 eq</v>
      </c>
      <c r="M5139" s="154" t="str">
        <f t="shared" si="340"/>
        <v>Base_Medium_High_Upgraded_Smog Formation Potential (SFP) - kg O3 eq_Biosolids composting; windrow composting; wastewater treatment unit; at updated plant - US_Without Amendment_Windrow</v>
      </c>
    </row>
    <row r="5140" spans="1:13" s="120" customFormat="1" x14ac:dyDescent="0.25">
      <c r="A5140" s="119"/>
      <c r="B5140" s="138" t="str">
        <f t="shared" si="338"/>
        <v>Windrow</v>
      </c>
      <c r="C5140" s="138" t="str">
        <f t="shared" si="341"/>
        <v>Without Amendment</v>
      </c>
      <c r="D5140" s="138" t="str">
        <f t="shared" si="336"/>
        <v>Medium_High</v>
      </c>
      <c r="E5140" s="138" t="str">
        <f t="shared" si="337"/>
        <v>Base</v>
      </c>
      <c r="F5140" s="138" t="str">
        <f t="shared" si="339"/>
        <v>Upgraded</v>
      </c>
      <c r="G5140" s="153"/>
      <c r="H5140" s="210">
        <v>3.0000000000000001E-3</v>
      </c>
      <c r="I5140" s="160" t="s">
        <v>148</v>
      </c>
      <c r="J5140" s="160">
        <v>5.4000000000000001E-4</v>
      </c>
      <c r="K5140" s="160" t="s">
        <v>25</v>
      </c>
      <c r="L5140" s="154" t="str">
        <f>IF(OpenLCAbasic!K5140="CTUh", "Fill in Manually",IF(OR(K5140="Unit", K5140=""), "", INDEX(LookUps!$E$5:$E$12, MATCH(OpenLCAbasic!K5140,LookUps!$D$5:$D$12,0))))</f>
        <v>Smog Formation Potential (SFP) - kg O3 eq</v>
      </c>
      <c r="M5140" s="154" t="str">
        <f t="shared" si="340"/>
        <v>Base_Medium_High_Upgraded_Smog Formation Potential (SFP) - kg O3 eq_Control Building; at upgraded wastewater treatment plant - US_Without Amendment_Windrow</v>
      </c>
    </row>
    <row r="5141" spans="1:13" s="120" customFormat="1" x14ac:dyDescent="0.25">
      <c r="A5141" s="119"/>
      <c r="B5141" s="138" t="str">
        <f t="shared" si="338"/>
        <v>Windrow</v>
      </c>
      <c r="C5141" s="138" t="str">
        <f t="shared" si="341"/>
        <v>Without Amendment</v>
      </c>
      <c r="D5141" s="138" t="str">
        <f t="shared" si="336"/>
        <v>Medium_High</v>
      </c>
      <c r="E5141" s="138" t="str">
        <f t="shared" si="337"/>
        <v>Base</v>
      </c>
      <c r="F5141" s="138" t="str">
        <f t="shared" si="339"/>
        <v>Upgraded</v>
      </c>
      <c r="G5141" s="153"/>
      <c r="H5141" s="210">
        <v>-1.2699999999999999E-2</v>
      </c>
      <c r="I5141" s="160" t="s">
        <v>62</v>
      </c>
      <c r="J5141" s="160">
        <v>-2.3E-3</v>
      </c>
      <c r="K5141" s="160" t="s">
        <v>25</v>
      </c>
      <c r="L5141" s="154" t="str">
        <f>IF(OpenLCAbasic!K5141="CTUh", "Fill in Manually",IF(OR(K5141="Unit", K5141=""), "", INDEX(LookUps!$E$5:$E$12, MATCH(OpenLCAbasic!K5141,LookUps!$D$5:$D$12,0))))</f>
        <v>Smog Formation Potential (SFP) - kg O3 eq</v>
      </c>
      <c r="M5141" s="154" t="str">
        <f t="shared" si="340"/>
        <v>Base_Medium_High_Upgraded_Smog Formation Potential (SFP) - kg O3 eq_Land application of compost; wastewater treatment unit; at updated plant - US_Without Amendment_Windrow</v>
      </c>
    </row>
    <row r="5142" spans="1:13" s="120" customFormat="1" x14ac:dyDescent="0.25">
      <c r="A5142" s="119"/>
      <c r="B5142" s="138" t="str">
        <f t="shared" si="338"/>
        <v>Windrow</v>
      </c>
      <c r="C5142" s="138" t="str">
        <f t="shared" si="341"/>
        <v>Without Amendment</v>
      </c>
      <c r="D5142" s="138" t="str">
        <f t="shared" si="336"/>
        <v>Medium_High</v>
      </c>
      <c r="E5142" s="138" t="str">
        <f t="shared" si="337"/>
        <v>Base</v>
      </c>
      <c r="F5142" s="138" t="str">
        <f t="shared" si="339"/>
        <v>Upgraded</v>
      </c>
      <c r="G5142" s="153"/>
      <c r="H5142" s="210">
        <v>-3.0840000000000001</v>
      </c>
      <c r="I5142" s="160" t="s">
        <v>149</v>
      </c>
      <c r="J5142" s="160">
        <v>-0.55771000000000004</v>
      </c>
      <c r="K5142" s="160" t="s">
        <v>25</v>
      </c>
      <c r="L5142" s="154" t="str">
        <f>IF(OpenLCAbasic!K5142="CTUh", "Fill in Manually",IF(OR(K5142="Unit", K5142=""), "", INDEX(LookUps!$E$5:$E$12, MATCH(OpenLCAbasic!K5142,LookUps!$D$5:$D$12,0))))</f>
        <v>Smog Formation Potential (SFP) - kg O3 eq</v>
      </c>
      <c r="M5142" s="154" t="str">
        <f t="shared" si="340"/>
        <v>Base_Medium_High_Upgraded_Smog Formation Potential (SFP) - kg O3 eq_Anaerobic Digestion; wastewater treatment unit; at updated plant - US_Without Amendment_Windrow</v>
      </c>
    </row>
    <row r="5143" spans="1:13" s="120" customFormat="1" x14ac:dyDescent="0.25">
      <c r="A5143" s="119"/>
      <c r="B5143" s="138" t="str">
        <f t="shared" si="338"/>
        <v/>
      </c>
      <c r="C5143" s="138" t="str">
        <f t="shared" si="341"/>
        <v/>
      </c>
      <c r="D5143" s="138" t="str">
        <f t="shared" si="336"/>
        <v/>
      </c>
      <c r="E5143" s="138" t="str">
        <f t="shared" si="337"/>
        <v/>
      </c>
      <c r="F5143" s="138" t="str">
        <f t="shared" si="339"/>
        <v/>
      </c>
      <c r="G5143" s="153" t="s">
        <v>51</v>
      </c>
      <c r="H5143" s="160"/>
      <c r="I5143" s="160" t="s">
        <v>47</v>
      </c>
      <c r="J5143" s="160" t="s">
        <v>52</v>
      </c>
      <c r="K5143" s="160" t="s">
        <v>27</v>
      </c>
      <c r="L5143" s="154" t="str">
        <f>IF(OpenLCAbasic!K5143="CTUh", "Fill in Manually",IF(OR(K5143="Unit", K5143=""), "", INDEX(LookUps!$E$5:$E$12, MATCH(OpenLCAbasic!K5143,LookUps!$D$5:$D$12,0))))</f>
        <v/>
      </c>
      <c r="M5143" s="154" t="str">
        <f t="shared" si="340"/>
        <v>____Process__</v>
      </c>
    </row>
    <row r="5144" spans="1:13" s="120" customFormat="1" x14ac:dyDescent="0.25">
      <c r="A5144" s="119"/>
      <c r="B5144" s="138" t="str">
        <f t="shared" si="338"/>
        <v>Windrow</v>
      </c>
      <c r="C5144" s="138" t="str">
        <f t="shared" si="341"/>
        <v>Without Amendment</v>
      </c>
      <c r="D5144" s="138" t="str">
        <f t="shared" si="336"/>
        <v>Medium_High</v>
      </c>
      <c r="E5144" s="138" t="str">
        <f t="shared" si="337"/>
        <v>Base</v>
      </c>
      <c r="F5144" s="138" t="str">
        <f t="shared" si="339"/>
        <v>Upgraded</v>
      </c>
      <c r="G5144" s="153"/>
      <c r="H5144" s="210">
        <v>3.6695000000000002</v>
      </c>
      <c r="I5144" s="160" t="s">
        <v>167</v>
      </c>
      <c r="J5144" s="160">
        <v>2.7999999999999998E-4</v>
      </c>
      <c r="K5144" s="160" t="s">
        <v>26</v>
      </c>
      <c r="L5144" s="154" t="str">
        <f>IF(OpenLCAbasic!K5144="CTUh", "Fill in Manually",IF(OR(K5144="Unit", K5144=""), "", INDEX(LookUps!$E$5:$E$12, MATCH(OpenLCAbasic!K5144,LookUps!$D$5:$D$12,0))))</f>
        <v>Water Use (WU) - m3 H2O</v>
      </c>
      <c r="M5144" s="154" t="str">
        <f t="shared" si="340"/>
        <v>Base_Medium_High_Upgraded_Water Use (WU) - m3 H2O_Waste Receiving and Holding; wastewater treatment unit; at updated plant - US_Without Amendment_Windrow</v>
      </c>
    </row>
    <row r="5145" spans="1:13" s="120" customFormat="1" x14ac:dyDescent="0.25">
      <c r="A5145" s="119"/>
      <c r="B5145" s="138" t="str">
        <f t="shared" si="338"/>
        <v>Windrow</v>
      </c>
      <c r="C5145" s="138" t="str">
        <f t="shared" si="341"/>
        <v>Without Amendment</v>
      </c>
      <c r="D5145" s="138" t="str">
        <f t="shared" si="336"/>
        <v>Medium_High</v>
      </c>
      <c r="E5145" s="138" t="str">
        <f t="shared" si="337"/>
        <v>Base</v>
      </c>
      <c r="F5145" s="138" t="str">
        <f t="shared" si="339"/>
        <v>Upgraded</v>
      </c>
      <c r="G5145" s="153"/>
      <c r="H5145" s="210">
        <v>2.3953000000000002</v>
      </c>
      <c r="I5145" s="160" t="s">
        <v>147</v>
      </c>
      <c r="J5145" s="160">
        <v>1.8000000000000001E-4</v>
      </c>
      <c r="K5145" s="160" t="s">
        <v>26</v>
      </c>
      <c r="L5145" s="154" t="str">
        <f>IF(OpenLCAbasic!K5145="CTUh", "Fill in Manually",IF(OR(K5145="Unit", K5145=""), "", INDEX(LookUps!$E$5:$E$12, MATCH(OpenLCAbasic!K5145,LookUps!$D$5:$D$12,0))))</f>
        <v>Water Use (WU) - m3 H2O</v>
      </c>
      <c r="M5145" s="154" t="str">
        <f t="shared" si="340"/>
        <v>Base_Medium_High_Upgraded_Water Use (WU) - m3 H2O_Influent Pump Station; wastewater treatment unit; at updated plant - US_Without Amendment_Windrow</v>
      </c>
    </row>
    <row r="5146" spans="1:13" s="120" customFormat="1" x14ac:dyDescent="0.25">
      <c r="A5146" s="119"/>
      <c r="B5146" s="138" t="str">
        <f t="shared" si="338"/>
        <v>Windrow</v>
      </c>
      <c r="C5146" s="138" t="str">
        <f t="shared" si="341"/>
        <v>Without Amendment</v>
      </c>
      <c r="D5146" s="138" t="str">
        <f t="shared" si="336"/>
        <v>Medium_High</v>
      </c>
      <c r="E5146" s="138" t="str">
        <f t="shared" si="337"/>
        <v>Base</v>
      </c>
      <c r="F5146" s="138" t="str">
        <f t="shared" si="339"/>
        <v>Upgraded</v>
      </c>
      <c r="G5146" s="153"/>
      <c r="H5146" s="210">
        <v>2.3371</v>
      </c>
      <c r="I5146" s="160" t="s">
        <v>54</v>
      </c>
      <c r="J5146" s="160">
        <v>1.8000000000000001E-4</v>
      </c>
      <c r="K5146" s="160" t="s">
        <v>26</v>
      </c>
      <c r="L5146" s="154" t="str">
        <f>IF(OpenLCAbasic!K5146="CTUh", "Fill in Manually",IF(OR(K5146="Unit", K5146=""), "", INDEX(LookUps!$E$5:$E$12, MATCH(OpenLCAbasic!K5146,LookUps!$D$5:$D$12,0))))</f>
        <v>Water Use (WU) - m3 H2O</v>
      </c>
      <c r="M5146" s="154" t="str">
        <f t="shared" si="340"/>
        <v>Base_Medium_High_Upgraded_Water Use (WU) - m3 H2O_Clear Cove Primary Clarification; wastewater treatment unit; at updated plant - US_Without Amendment_Windrow</v>
      </c>
    </row>
    <row r="5147" spans="1:13" s="120" customFormat="1" x14ac:dyDescent="0.25">
      <c r="A5147" s="119"/>
      <c r="B5147" s="138" t="str">
        <f t="shared" si="338"/>
        <v>Windrow</v>
      </c>
      <c r="C5147" s="138" t="str">
        <f t="shared" si="341"/>
        <v>Without Amendment</v>
      </c>
      <c r="D5147" s="138" t="str">
        <f t="shared" si="336"/>
        <v>Medium_High</v>
      </c>
      <c r="E5147" s="138" t="str">
        <f t="shared" si="337"/>
        <v>Base</v>
      </c>
      <c r="F5147" s="138" t="str">
        <f t="shared" si="339"/>
        <v>Upgraded</v>
      </c>
      <c r="G5147" s="153"/>
      <c r="H5147" s="210">
        <v>2.1202000000000001</v>
      </c>
      <c r="I5147" s="160" t="s">
        <v>55</v>
      </c>
      <c r="J5147" s="160">
        <v>1.6000000000000001E-4</v>
      </c>
      <c r="K5147" s="160" t="s">
        <v>26</v>
      </c>
      <c r="L5147" s="154" t="str">
        <f>IF(OpenLCAbasic!K5147="CTUh", "Fill in Manually",IF(OR(K5147="Unit", K5147=""), "", INDEX(LookUps!$E$5:$E$12, MATCH(OpenLCAbasic!K5147,LookUps!$D$5:$D$12,0))))</f>
        <v>Water Use (WU) - m3 H2O</v>
      </c>
      <c r="M5147" s="154" t="str">
        <f t="shared" si="340"/>
        <v>Base_Medium_High_Upgraded_Water Use (WU) - m3 H2O_Aeration Tanks; wastewater treatment unit; at updated plant - US_Without Amendment_Windrow</v>
      </c>
    </row>
    <row r="5148" spans="1:13" s="120" customFormat="1" x14ac:dyDescent="0.25">
      <c r="A5148" s="119"/>
      <c r="B5148" s="138" t="str">
        <f t="shared" si="338"/>
        <v>Windrow</v>
      </c>
      <c r="C5148" s="138" t="str">
        <f t="shared" si="341"/>
        <v>Without Amendment</v>
      </c>
      <c r="D5148" s="138" t="str">
        <f t="shared" si="336"/>
        <v>Medium_High</v>
      </c>
      <c r="E5148" s="138" t="str">
        <f t="shared" si="337"/>
        <v>Base</v>
      </c>
      <c r="F5148" s="138" t="str">
        <f t="shared" si="339"/>
        <v>Upgraded</v>
      </c>
      <c r="G5148" s="153"/>
      <c r="H5148" s="210">
        <v>1.9313</v>
      </c>
      <c r="I5148" s="160" t="s">
        <v>148</v>
      </c>
      <c r="J5148" s="160">
        <v>1.4999999999999999E-4</v>
      </c>
      <c r="K5148" s="160" t="s">
        <v>26</v>
      </c>
      <c r="L5148" s="154" t="str">
        <f>IF(OpenLCAbasic!K5148="CTUh", "Fill in Manually",IF(OR(K5148="Unit", K5148=""), "", INDEX(LookUps!$E$5:$E$12, MATCH(OpenLCAbasic!K5148,LookUps!$D$5:$D$12,0))))</f>
        <v>Water Use (WU) - m3 H2O</v>
      </c>
      <c r="M5148" s="154" t="str">
        <f t="shared" si="340"/>
        <v>Base_Medium_High_Upgraded_Water Use (WU) - m3 H2O_Control Building; at upgraded wastewater treatment plant - US_Without Amendment_Windrow</v>
      </c>
    </row>
    <row r="5149" spans="1:13" s="120" customFormat="1" x14ac:dyDescent="0.25">
      <c r="A5149" s="119"/>
      <c r="B5149" s="138" t="str">
        <f t="shared" si="338"/>
        <v>Windrow</v>
      </c>
      <c r="C5149" s="138" t="str">
        <f t="shared" si="341"/>
        <v>Without Amendment</v>
      </c>
      <c r="D5149" s="138" t="str">
        <f t="shared" si="336"/>
        <v>Medium_High</v>
      </c>
      <c r="E5149" s="138" t="str">
        <f t="shared" si="337"/>
        <v>Base</v>
      </c>
      <c r="F5149" s="138" t="str">
        <f t="shared" si="339"/>
        <v>Upgraded</v>
      </c>
      <c r="G5149" s="153"/>
      <c r="H5149" s="210">
        <v>0.89680000000000004</v>
      </c>
      <c r="I5149" s="160" t="s">
        <v>48</v>
      </c>
      <c r="J5149" s="211">
        <v>6.8836400000000004E-5</v>
      </c>
      <c r="K5149" s="160" t="s">
        <v>26</v>
      </c>
      <c r="L5149" s="154" t="str">
        <f>IF(OpenLCAbasic!K5149="CTUh", "Fill in Manually",IF(OR(K5149="Unit", K5149=""), "", INDEX(LookUps!$E$5:$E$12, MATCH(OpenLCAbasic!K5149,LookUps!$D$5:$D$12,0))))</f>
        <v>Water Use (WU) - m3 H2O</v>
      </c>
      <c r="M5149" s="154" t="str">
        <f t="shared" si="340"/>
        <v>Base_Medium_High_Upgraded_Water Use (WU) - m3 H2O_Effluent release; wastewater treatment unit; at surface water; m3 wastewater - US_Without Amendment_Windrow</v>
      </c>
    </row>
    <row r="5150" spans="1:13" s="120" customFormat="1" x14ac:dyDescent="0.25">
      <c r="A5150" s="119"/>
      <c r="B5150" s="138" t="str">
        <f t="shared" si="338"/>
        <v>Windrow</v>
      </c>
      <c r="C5150" s="138" t="str">
        <f t="shared" si="341"/>
        <v>Without Amendment</v>
      </c>
      <c r="D5150" s="138" t="str">
        <f t="shared" si="336"/>
        <v>Medium_High</v>
      </c>
      <c r="E5150" s="138" t="str">
        <f t="shared" si="337"/>
        <v>Base</v>
      </c>
      <c r="F5150" s="138" t="str">
        <f t="shared" si="339"/>
        <v>Upgraded</v>
      </c>
      <c r="G5150" s="153"/>
      <c r="H5150" s="210">
        <v>0.56330000000000002</v>
      </c>
      <c r="I5150" s="160" t="s">
        <v>58</v>
      </c>
      <c r="J5150" s="211">
        <v>4.3235300000000003E-5</v>
      </c>
      <c r="K5150" s="160" t="s">
        <v>26</v>
      </c>
      <c r="L5150" s="154" t="str">
        <f>IF(OpenLCAbasic!K5150="CTUh", "Fill in Manually",IF(OR(K5150="Unit", K5150=""), "", INDEX(LookUps!$E$5:$E$12, MATCH(OpenLCAbasic!K5150,LookUps!$D$5:$D$12,0))))</f>
        <v>Water Use (WU) - m3 H2O</v>
      </c>
      <c r="M5150" s="154" t="str">
        <f t="shared" si="340"/>
        <v>Base_Medium_High_Upgraded_Water Use (WU) - m3 H2O_Pre-Anoxic &amp; Swing tank; wastewater treatment unit; at updated plant - US_Without Amendment_Windrow</v>
      </c>
    </row>
    <row r="5151" spans="1:13" s="120" customFormat="1" x14ac:dyDescent="0.25">
      <c r="A5151" s="119"/>
      <c r="B5151" s="138" t="str">
        <f t="shared" si="338"/>
        <v>Windrow</v>
      </c>
      <c r="C5151" s="138" t="str">
        <f t="shared" si="341"/>
        <v>Without Amendment</v>
      </c>
      <c r="D5151" s="138" t="str">
        <f t="shared" si="336"/>
        <v>Medium_High</v>
      </c>
      <c r="E5151" s="138" t="str">
        <f t="shared" si="337"/>
        <v>Base</v>
      </c>
      <c r="F5151" s="138" t="str">
        <f t="shared" si="339"/>
        <v>Upgraded</v>
      </c>
      <c r="G5151" s="153"/>
      <c r="H5151" s="210">
        <v>0.3962</v>
      </c>
      <c r="I5151" s="160" t="s">
        <v>57</v>
      </c>
      <c r="J5151" s="211">
        <v>3.0408100000000001E-5</v>
      </c>
      <c r="K5151" s="160" t="s">
        <v>26</v>
      </c>
      <c r="L5151" s="154" t="str">
        <f>IF(OpenLCAbasic!K5151="CTUh", "Fill in Manually",IF(OR(K5151="Unit", K5151=""), "", INDEX(LookUps!$E$5:$E$12, MATCH(OpenLCAbasic!K5151,LookUps!$D$5:$D$12,0))))</f>
        <v>Water Use (WU) - m3 H2O</v>
      </c>
      <c r="M5151" s="154" t="str">
        <f t="shared" si="340"/>
        <v>Base_Medium_High_Upgraded_Water Use (WU) - m3 H2O_Gravity Belt Thickener; wastewater treatment unit; at updated plant - US_Without Amendment_Windrow</v>
      </c>
    </row>
    <row r="5152" spans="1:13" s="120" customFormat="1" x14ac:dyDescent="0.25">
      <c r="A5152" s="119"/>
      <c r="B5152" s="138" t="str">
        <f t="shared" si="338"/>
        <v>Windrow</v>
      </c>
      <c r="C5152" s="138" t="str">
        <f t="shared" si="341"/>
        <v>Without Amendment</v>
      </c>
      <c r="D5152" s="138" t="str">
        <f t="shared" si="336"/>
        <v>Medium_High</v>
      </c>
      <c r="E5152" s="138" t="str">
        <f t="shared" si="337"/>
        <v>Base</v>
      </c>
      <c r="F5152" s="138" t="str">
        <f t="shared" si="339"/>
        <v>Upgraded</v>
      </c>
      <c r="G5152" s="153"/>
      <c r="H5152" s="210">
        <v>0.37769999999999998</v>
      </c>
      <c r="I5152" s="160" t="s">
        <v>60</v>
      </c>
      <c r="J5152" s="211">
        <v>2.8986600000000001E-5</v>
      </c>
      <c r="K5152" s="160" t="s">
        <v>26</v>
      </c>
      <c r="L5152" s="154" t="str">
        <f>IF(OpenLCAbasic!K5152="CTUh", "Fill in Manually",IF(OR(K5152="Unit", K5152=""), "", INDEX(LookUps!$E$5:$E$12, MATCH(OpenLCAbasic!K5152,LookUps!$D$5:$D$12,0))))</f>
        <v>Water Use (WU) - m3 H2O</v>
      </c>
      <c r="M5152" s="154" t="str">
        <f t="shared" si="340"/>
        <v>Base_Medium_High_Upgraded_Water Use (WU) - m3 H2O_Belt filter press; wastewater treatment unit; at updated plant - US_Without Amendment_Windrow</v>
      </c>
    </row>
    <row r="5153" spans="1:13" s="120" customFormat="1" x14ac:dyDescent="0.25">
      <c r="A5153" s="119"/>
      <c r="B5153" s="138" t="str">
        <f t="shared" si="338"/>
        <v>Windrow</v>
      </c>
      <c r="C5153" s="138" t="str">
        <f t="shared" si="341"/>
        <v>Without Amendment</v>
      </c>
      <c r="D5153" s="138" t="str">
        <f t="shared" ref="D5153:D5159" si="342">IF(ISNUMBER($J5153),"Medium_High","")</f>
        <v>Medium_High</v>
      </c>
      <c r="E5153" s="138" t="str">
        <f t="shared" si="337"/>
        <v>Base</v>
      </c>
      <c r="F5153" s="138" t="str">
        <f t="shared" si="339"/>
        <v>Upgraded</v>
      </c>
      <c r="G5153" s="153"/>
      <c r="H5153" s="210">
        <v>0.2281</v>
      </c>
      <c r="I5153" s="160" t="s">
        <v>53</v>
      </c>
      <c r="J5153" s="211">
        <v>1.75069E-5</v>
      </c>
      <c r="K5153" s="160" t="s">
        <v>26</v>
      </c>
      <c r="L5153" s="154" t="str">
        <f>IF(OpenLCAbasic!K5153="CTUh", "Fill in Manually",IF(OR(K5153="Unit", K5153=""), "", INDEX(LookUps!$E$5:$E$12, MATCH(OpenLCAbasic!K5153,LookUps!$D$5:$D$12,0))))</f>
        <v>Water Use (WU) - m3 H2O</v>
      </c>
      <c r="M5153" s="154" t="str">
        <f t="shared" si="340"/>
        <v>Base_Medium_High_Upgraded_Water Use (WU) - m3 H2O_Wet Well and Sump Station; wastewater treatment unit; at updated plant - US_Without Amendment_Windrow</v>
      </c>
    </row>
    <row r="5154" spans="1:13" s="120" customFormat="1" x14ac:dyDescent="0.25">
      <c r="A5154" s="119"/>
      <c r="B5154" s="138" t="str">
        <f t="shared" si="338"/>
        <v>Windrow</v>
      </c>
      <c r="C5154" s="138" t="str">
        <f t="shared" si="341"/>
        <v>Without Amendment</v>
      </c>
      <c r="D5154" s="138" t="str">
        <f t="shared" si="342"/>
        <v>Medium_High</v>
      </c>
      <c r="E5154" s="138" t="str">
        <f t="shared" si="337"/>
        <v>Base</v>
      </c>
      <c r="F5154" s="138" t="str">
        <f t="shared" si="339"/>
        <v>Upgraded</v>
      </c>
      <c r="G5154" s="153"/>
      <c r="H5154" s="210">
        <v>9.1399999999999995E-2</v>
      </c>
      <c r="I5154" s="160" t="s">
        <v>59</v>
      </c>
      <c r="J5154" s="211">
        <v>7.0179500000000003E-6</v>
      </c>
      <c r="K5154" s="160" t="s">
        <v>26</v>
      </c>
      <c r="L5154" s="154" t="str">
        <f>IF(OpenLCAbasic!K5154="CTUh", "Fill in Manually",IF(OR(K5154="Unit", K5154=""), "", INDEX(LookUps!$E$5:$E$12, MATCH(OpenLCAbasic!K5154,LookUps!$D$5:$D$12,0))))</f>
        <v>Water Use (WU) - m3 H2O</v>
      </c>
      <c r="M5154" s="154" t="str">
        <f t="shared" si="340"/>
        <v>Base_Medium_High_Upgraded_Water Use (WU) - m3 H2O_Blend Tank; wastewater treatment unit; at updated plant - US_Without Amendment_Windrow</v>
      </c>
    </row>
    <row r="5155" spans="1:13" s="120" customFormat="1" x14ac:dyDescent="0.25">
      <c r="A5155" s="119"/>
      <c r="B5155" s="138" t="str">
        <f t="shared" si="338"/>
        <v>Windrow</v>
      </c>
      <c r="C5155" s="138" t="str">
        <f t="shared" si="341"/>
        <v>Without Amendment</v>
      </c>
      <c r="D5155" s="138" t="str">
        <f t="shared" si="342"/>
        <v>Medium_High</v>
      </c>
      <c r="E5155" s="138" t="str">
        <f t="shared" si="337"/>
        <v>Base</v>
      </c>
      <c r="F5155" s="138" t="str">
        <f t="shared" si="339"/>
        <v>Upgraded</v>
      </c>
      <c r="G5155" s="153"/>
      <c r="H5155" s="210">
        <v>6.59E-2</v>
      </c>
      <c r="I5155" s="160" t="s">
        <v>128</v>
      </c>
      <c r="J5155" s="211">
        <v>5.0608900000000003E-6</v>
      </c>
      <c r="K5155" s="160" t="s">
        <v>26</v>
      </c>
      <c r="L5155" s="154" t="str">
        <f>IF(OpenLCAbasic!K5155="CTUh", "Fill in Manually",IF(OR(K5155="Unit", K5155=""), "", INDEX(LookUps!$E$5:$E$12, MATCH(OpenLCAbasic!K5155,LookUps!$D$5:$D$12,0))))</f>
        <v>Water Use (WU) - m3 H2O</v>
      </c>
      <c r="M5155" s="154" t="str">
        <f t="shared" si="340"/>
        <v>Base_Medium_High_Upgraded_Water Use (WU) - m3 H2O_Wastewater collection; operation and infrastructure; m3 wastewater_Without Amendment_Windrow</v>
      </c>
    </row>
    <row r="5156" spans="1:13" s="120" customFormat="1" x14ac:dyDescent="0.25">
      <c r="A5156" s="119"/>
      <c r="B5156" s="138" t="str">
        <f t="shared" si="338"/>
        <v>Windrow</v>
      </c>
      <c r="C5156" s="138" t="str">
        <f t="shared" si="341"/>
        <v>Without Amendment</v>
      </c>
      <c r="D5156" s="138" t="str">
        <f t="shared" si="342"/>
        <v>Medium_High</v>
      </c>
      <c r="E5156" s="138" t="str">
        <f t="shared" si="337"/>
        <v>Base</v>
      </c>
      <c r="F5156" s="138" t="str">
        <f t="shared" si="339"/>
        <v>Upgraded</v>
      </c>
      <c r="G5156" s="153"/>
      <c r="H5156" s="210">
        <v>1.7999999999999999E-2</v>
      </c>
      <c r="I5156" s="160" t="s">
        <v>271</v>
      </c>
      <c r="J5156" s="211">
        <v>1.3832200000000001E-6</v>
      </c>
      <c r="K5156" s="160" t="s">
        <v>26</v>
      </c>
      <c r="L5156" s="154" t="str">
        <f>IF(OpenLCAbasic!K5156="CTUh", "Fill in Manually",IF(OR(K5156="Unit", K5156=""), "", INDEX(LookUps!$E$5:$E$12, MATCH(OpenLCAbasic!K5156,LookUps!$D$5:$D$12,0))))</f>
        <v>Water Use (WU) - m3 H2O</v>
      </c>
      <c r="M5156" s="154" t="str">
        <f t="shared" si="340"/>
        <v>Base_Medium_High_Upgraded_Water Use (WU) - m3 H2O_Biosolids composting; windrow composting; wastewater treatment unit; at updated plant - US_Without Amendment_Windrow</v>
      </c>
    </row>
    <row r="5157" spans="1:13" s="120" customFormat="1" x14ac:dyDescent="0.25">
      <c r="A5157" s="119"/>
      <c r="B5157" s="138" t="str">
        <f t="shared" si="338"/>
        <v>Windrow</v>
      </c>
      <c r="C5157" s="138" t="str">
        <f t="shared" si="341"/>
        <v>Without Amendment</v>
      </c>
      <c r="D5157" s="138" t="str">
        <f t="shared" si="342"/>
        <v>Medium_High</v>
      </c>
      <c r="E5157" s="138" t="str">
        <f t="shared" si="337"/>
        <v>Base</v>
      </c>
      <c r="F5157" s="138" t="str">
        <f t="shared" si="339"/>
        <v>Upgraded</v>
      </c>
      <c r="G5157" s="153"/>
      <c r="H5157" s="210">
        <v>0.01</v>
      </c>
      <c r="I5157" s="160" t="s">
        <v>168</v>
      </c>
      <c r="J5157" s="211">
        <v>7.6697000000000004E-7</v>
      </c>
      <c r="K5157" s="160" t="s">
        <v>26</v>
      </c>
      <c r="L5157" s="154" t="str">
        <f>IF(OpenLCAbasic!K5157="CTUh", "Fill in Manually",IF(OR(K5157="Unit", K5157=""), "", INDEX(LookUps!$E$5:$E$12, MATCH(OpenLCAbasic!K5157,LookUps!$D$5:$D$12,0))))</f>
        <v>Water Use (WU) - m3 H2O</v>
      </c>
      <c r="M5157" s="154" t="str">
        <f t="shared" si="340"/>
        <v>Base_Medium_High_Upgraded_Water Use (WU) - m3 H2O_ClearCove SCP; wastewater treatment unit; at updated plant - US_Without Amendment_Windrow</v>
      </c>
    </row>
    <row r="5158" spans="1:13" s="120" customFormat="1" x14ac:dyDescent="0.25">
      <c r="A5158" s="119"/>
      <c r="B5158" s="138" t="str">
        <f t="shared" si="338"/>
        <v>Windrow</v>
      </c>
      <c r="C5158" s="138" t="str">
        <f t="shared" si="341"/>
        <v>Without Amendment</v>
      </c>
      <c r="D5158" s="138" t="str">
        <f t="shared" si="342"/>
        <v>Medium_High</v>
      </c>
      <c r="E5158" s="138" t="str">
        <f t="shared" si="337"/>
        <v>Base</v>
      </c>
      <c r="F5158" s="138" t="str">
        <f t="shared" si="339"/>
        <v>Upgraded</v>
      </c>
      <c r="G5158" s="153"/>
      <c r="H5158" s="210">
        <v>-1.9752000000000001</v>
      </c>
      <c r="I5158" s="160" t="s">
        <v>149</v>
      </c>
      <c r="J5158" s="160">
        <v>-1.4999999999999999E-4</v>
      </c>
      <c r="K5158" s="160" t="s">
        <v>26</v>
      </c>
      <c r="L5158" s="154" t="str">
        <f>IF(OpenLCAbasic!K5158="CTUh", "Fill in Manually",IF(OR(K5158="Unit", K5158=""), "", INDEX(LookUps!$E$5:$E$12, MATCH(OpenLCAbasic!K5158,LookUps!$D$5:$D$12,0))))</f>
        <v>Water Use (WU) - m3 H2O</v>
      </c>
      <c r="M5158" s="154" t="str">
        <f t="shared" si="340"/>
        <v>Base_Medium_High_Upgraded_Water Use (WU) - m3 H2O_Anaerobic Digestion; wastewater treatment unit; at updated plant - US_Without Amendment_Windrow</v>
      </c>
    </row>
    <row r="5159" spans="1:13" s="120" customFormat="1" x14ac:dyDescent="0.25">
      <c r="A5159" s="119"/>
      <c r="B5159" s="138" t="str">
        <f t="shared" si="338"/>
        <v>Windrow</v>
      </c>
      <c r="C5159" s="138" t="str">
        <f t="shared" si="341"/>
        <v>Without Amendment</v>
      </c>
      <c r="D5159" s="138" t="str">
        <f t="shared" si="342"/>
        <v>Medium_High</v>
      </c>
      <c r="E5159" s="138" t="str">
        <f t="shared" si="337"/>
        <v>Base</v>
      </c>
      <c r="F5159" s="138" t="str">
        <f t="shared" si="339"/>
        <v>Upgraded</v>
      </c>
      <c r="G5159" s="153"/>
      <c r="H5159" s="210">
        <v>-12.1256</v>
      </c>
      <c r="I5159" s="160" t="s">
        <v>62</v>
      </c>
      <c r="J5159" s="160">
        <v>-9.3000000000000005E-4</v>
      </c>
      <c r="K5159" s="160" t="s">
        <v>26</v>
      </c>
      <c r="L5159" s="154" t="str">
        <f>IF(OpenLCAbasic!K5159="CTUh", "Fill in Manually",IF(OR(K5159="Unit", K5159=""), "", INDEX(LookUps!$E$5:$E$12, MATCH(OpenLCAbasic!K5159,LookUps!$D$5:$D$12,0))))</f>
        <v>Water Use (WU) - m3 H2O</v>
      </c>
      <c r="M5159" s="154" t="str">
        <f t="shared" si="340"/>
        <v>Base_Medium_High_Upgraded_Water Use (WU) - m3 H2O_Land application of compost; wastewater treatment unit; at updated plant - US_Without Amendment_Windrow</v>
      </c>
    </row>
    <row r="5160" spans="1:13" s="120" customFormat="1" x14ac:dyDescent="0.25">
      <c r="A5160" s="119"/>
      <c r="B5160" s="138" t="str">
        <f t="shared" ref="B5160:B5223" si="343">IF(F5160="Legacy","n.a.",IF(F5160="","","Windrow"))</f>
        <v/>
      </c>
      <c r="C5160" s="138" t="str">
        <f t="shared" si="341"/>
        <v/>
      </c>
      <c r="D5160" s="138" t="str">
        <f>IF(ISNUMBER($J5160),"High_Low","")</f>
        <v/>
      </c>
      <c r="E5160" s="138" t="str">
        <f t="shared" si="337"/>
        <v/>
      </c>
      <c r="F5160" s="138" t="str">
        <f t="shared" ref="F5160:F5223" si="344">IF(ISNUMBER(J5160),"Upgraded","")</f>
        <v/>
      </c>
      <c r="G5160" s="153" t="s">
        <v>51</v>
      </c>
      <c r="H5160" s="160"/>
      <c r="I5160" s="160" t="s">
        <v>47</v>
      </c>
      <c r="J5160" s="160" t="s">
        <v>52</v>
      </c>
      <c r="K5160" s="160" t="s">
        <v>27</v>
      </c>
      <c r="L5160" s="154" t="str">
        <f>IF(OpenLCAbasic!K5160="CTUh", "Fill in Manually",IF(OR(K5160="Unit", K5160=""), "", INDEX(LookUps!$E$5:$E$12, MATCH(OpenLCAbasic!K5160,LookUps!$D$5:$D$12,0))))</f>
        <v/>
      </c>
      <c r="M5160" s="154" t="str">
        <f t="shared" si="340"/>
        <v>____Process__</v>
      </c>
    </row>
    <row r="5161" spans="1:13" s="120" customFormat="1" x14ac:dyDescent="0.25">
      <c r="A5161" s="119"/>
      <c r="B5161" s="138" t="str">
        <f t="shared" si="343"/>
        <v>Windrow</v>
      </c>
      <c r="C5161" s="138" t="str">
        <f t="shared" si="341"/>
        <v>Without Amendment</v>
      </c>
      <c r="D5161" s="138" t="str">
        <f t="shared" ref="D5161:D5224" si="345">IF(ISNUMBER($J5161),"High_Low","")</f>
        <v>High_Low</v>
      </c>
      <c r="E5161" s="138" t="str">
        <f t="shared" si="337"/>
        <v>Base</v>
      </c>
      <c r="F5161" s="138" t="str">
        <f t="shared" si="344"/>
        <v>Upgraded</v>
      </c>
      <c r="G5161" s="153"/>
      <c r="H5161" s="210">
        <v>0.45369999999999999</v>
      </c>
      <c r="I5161" s="160" t="s">
        <v>55</v>
      </c>
      <c r="J5161" s="160">
        <v>1.7219999999999999E-2</v>
      </c>
      <c r="K5161" s="160" t="s">
        <v>24</v>
      </c>
      <c r="L5161" s="154" t="str">
        <f>IF(OpenLCAbasic!K5161="CTUh", "Fill in Manually",IF(OR(K5161="Unit", K5161=""), "", INDEX(LookUps!$E$5:$E$12, MATCH(OpenLCAbasic!K5161,LookUps!$D$5:$D$12,0))))</f>
        <v>Acidification Potential (AP) - kg SO2 eq</v>
      </c>
      <c r="M5161" s="154" t="str">
        <f t="shared" si="340"/>
        <v>Base_High_Low_Upgraded_Acidification Potential (AP) - kg SO2 eq_Aeration Tanks; wastewater treatment unit; at updated plant - US_Without Amendment_Windrow</v>
      </c>
    </row>
    <row r="5162" spans="1:13" s="120" customFormat="1" x14ac:dyDescent="0.25">
      <c r="A5162" s="119"/>
      <c r="B5162" s="138" t="str">
        <f t="shared" si="343"/>
        <v>Windrow</v>
      </c>
      <c r="C5162" s="138" t="str">
        <f t="shared" si="341"/>
        <v>Without Amendment</v>
      </c>
      <c r="D5162" s="138" t="str">
        <f t="shared" si="345"/>
        <v>High_Low</v>
      </c>
      <c r="E5162" s="138" t="str">
        <f t="shared" si="337"/>
        <v>Base</v>
      </c>
      <c r="F5162" s="138" t="str">
        <f t="shared" si="344"/>
        <v>Upgraded</v>
      </c>
      <c r="G5162" s="153"/>
      <c r="H5162" s="210">
        <v>0.20699999999999999</v>
      </c>
      <c r="I5162" s="160" t="s">
        <v>271</v>
      </c>
      <c r="J5162" s="160">
        <v>7.8600000000000007E-3</v>
      </c>
      <c r="K5162" s="160" t="s">
        <v>24</v>
      </c>
      <c r="L5162" s="154" t="str">
        <f>IF(OpenLCAbasic!K5162="CTUh", "Fill in Manually",IF(OR(K5162="Unit", K5162=""), "", INDEX(LookUps!$E$5:$E$12, MATCH(OpenLCAbasic!K5162,LookUps!$D$5:$D$12,0))))</f>
        <v>Acidification Potential (AP) - kg SO2 eq</v>
      </c>
      <c r="M5162" s="154" t="str">
        <f t="shared" si="340"/>
        <v>Base_High_Low_Upgraded_Acidification Potential (AP) - kg SO2 eq_Biosolids composting; windrow composting; wastewater treatment unit; at updated plant - US_Without Amendment_Windrow</v>
      </c>
    </row>
    <row r="5163" spans="1:13" s="120" customFormat="1" x14ac:dyDescent="0.25">
      <c r="A5163" s="119"/>
      <c r="B5163" s="138" t="str">
        <f t="shared" si="343"/>
        <v>Windrow</v>
      </c>
      <c r="C5163" s="138" t="str">
        <f t="shared" si="341"/>
        <v>Without Amendment</v>
      </c>
      <c r="D5163" s="138" t="str">
        <f t="shared" si="345"/>
        <v>High_Low</v>
      </c>
      <c r="E5163" s="138" t="str">
        <f t="shared" si="337"/>
        <v>Base</v>
      </c>
      <c r="F5163" s="138" t="str">
        <f t="shared" si="344"/>
        <v>Upgraded</v>
      </c>
      <c r="G5163" s="153"/>
      <c r="H5163" s="210">
        <v>0.13120000000000001</v>
      </c>
      <c r="I5163" s="160" t="s">
        <v>54</v>
      </c>
      <c r="J5163" s="160">
        <v>4.9800000000000001E-3</v>
      </c>
      <c r="K5163" s="160" t="s">
        <v>24</v>
      </c>
      <c r="L5163" s="154" t="str">
        <f>IF(OpenLCAbasic!K5163="CTUh", "Fill in Manually",IF(OR(K5163="Unit", K5163=""), "", INDEX(LookUps!$E$5:$E$12, MATCH(OpenLCAbasic!K5163,LookUps!$D$5:$D$12,0))))</f>
        <v>Acidification Potential (AP) - kg SO2 eq</v>
      </c>
      <c r="M5163" s="154" t="str">
        <f t="shared" si="340"/>
        <v>Base_High_Low_Upgraded_Acidification Potential (AP) - kg SO2 eq_Clear Cove Primary Clarification; wastewater treatment unit; at updated plant - US_Without Amendment_Windrow</v>
      </c>
    </row>
    <row r="5164" spans="1:13" s="120" customFormat="1" x14ac:dyDescent="0.25">
      <c r="A5164" s="119"/>
      <c r="B5164" s="138" t="str">
        <f t="shared" si="343"/>
        <v>Windrow</v>
      </c>
      <c r="C5164" s="138" t="str">
        <f t="shared" si="341"/>
        <v>Without Amendment</v>
      </c>
      <c r="D5164" s="138" t="str">
        <f t="shared" si="345"/>
        <v>High_Low</v>
      </c>
      <c r="E5164" s="138" t="str">
        <f t="shared" si="337"/>
        <v>Base</v>
      </c>
      <c r="F5164" s="138" t="str">
        <f t="shared" si="344"/>
        <v>Upgraded</v>
      </c>
      <c r="G5164" s="153"/>
      <c r="H5164" s="210">
        <v>0.115</v>
      </c>
      <c r="I5164" s="160" t="s">
        <v>58</v>
      </c>
      <c r="J5164" s="160">
        <v>4.3600000000000002E-3</v>
      </c>
      <c r="K5164" s="160" t="s">
        <v>24</v>
      </c>
      <c r="L5164" s="154" t="str">
        <f>IF(OpenLCAbasic!K5164="CTUh", "Fill in Manually",IF(OR(K5164="Unit", K5164=""), "", INDEX(LookUps!$E$5:$E$12, MATCH(OpenLCAbasic!K5164,LookUps!$D$5:$D$12,0))))</f>
        <v>Acidification Potential (AP) - kg SO2 eq</v>
      </c>
      <c r="M5164" s="154" t="str">
        <f t="shared" si="340"/>
        <v>Base_High_Low_Upgraded_Acidification Potential (AP) - kg SO2 eq_Pre-Anoxic &amp; Swing tank; wastewater treatment unit; at updated plant - US_Without Amendment_Windrow</v>
      </c>
    </row>
    <row r="5165" spans="1:13" s="120" customFormat="1" x14ac:dyDescent="0.25">
      <c r="A5165" s="119"/>
      <c r="B5165" s="138" t="str">
        <f t="shared" si="343"/>
        <v>Windrow</v>
      </c>
      <c r="C5165" s="138" t="str">
        <f t="shared" si="341"/>
        <v>Without Amendment</v>
      </c>
      <c r="D5165" s="138" t="str">
        <f t="shared" si="345"/>
        <v>High_Low</v>
      </c>
      <c r="E5165" s="138" t="str">
        <f t="shared" si="337"/>
        <v>Base</v>
      </c>
      <c r="F5165" s="138" t="str">
        <f t="shared" si="344"/>
        <v>Upgraded</v>
      </c>
      <c r="G5165" s="153"/>
      <c r="H5165" s="210">
        <v>9.9699999999999997E-2</v>
      </c>
      <c r="I5165" s="160" t="s">
        <v>62</v>
      </c>
      <c r="J5165" s="160">
        <v>3.7799999999999999E-3</v>
      </c>
      <c r="K5165" s="160" t="s">
        <v>24</v>
      </c>
      <c r="L5165" s="154" t="str">
        <f>IF(OpenLCAbasic!K5165="CTUh", "Fill in Manually",IF(OR(K5165="Unit", K5165=""), "", INDEX(LookUps!$E$5:$E$12, MATCH(OpenLCAbasic!K5165,LookUps!$D$5:$D$12,0))))</f>
        <v>Acidification Potential (AP) - kg SO2 eq</v>
      </c>
      <c r="M5165" s="154" t="str">
        <f t="shared" si="340"/>
        <v>Base_High_Low_Upgraded_Acidification Potential (AP) - kg SO2 eq_Land application of compost; wastewater treatment unit; at updated plant - US_Without Amendment_Windrow</v>
      </c>
    </row>
    <row r="5166" spans="1:13" s="120" customFormat="1" x14ac:dyDescent="0.25">
      <c r="A5166" s="119"/>
      <c r="B5166" s="138" t="str">
        <f t="shared" si="343"/>
        <v>Windrow</v>
      </c>
      <c r="C5166" s="138" t="str">
        <f t="shared" si="341"/>
        <v>Without Amendment</v>
      </c>
      <c r="D5166" s="138" t="str">
        <f t="shared" si="345"/>
        <v>High_Low</v>
      </c>
      <c r="E5166" s="138" t="str">
        <f t="shared" si="337"/>
        <v>Base</v>
      </c>
      <c r="F5166" s="138" t="str">
        <f t="shared" si="344"/>
        <v>Upgraded</v>
      </c>
      <c r="G5166" s="153"/>
      <c r="H5166" s="210">
        <v>9.0899999999999995E-2</v>
      </c>
      <c r="I5166" s="160" t="s">
        <v>53</v>
      </c>
      <c r="J5166" s="160">
        <v>3.4499999999999999E-3</v>
      </c>
      <c r="K5166" s="160" t="s">
        <v>24</v>
      </c>
      <c r="L5166" s="154" t="str">
        <f>IF(OpenLCAbasic!K5166="CTUh", "Fill in Manually",IF(OR(K5166="Unit", K5166=""), "", INDEX(LookUps!$E$5:$E$12, MATCH(OpenLCAbasic!K5166,LookUps!$D$5:$D$12,0))))</f>
        <v>Acidification Potential (AP) - kg SO2 eq</v>
      </c>
      <c r="M5166" s="154" t="str">
        <f t="shared" si="340"/>
        <v>Base_High_Low_Upgraded_Acidification Potential (AP) - kg SO2 eq_Wet Well and Sump Station; wastewater treatment unit; at updated plant - US_Without Amendment_Windrow</v>
      </c>
    </row>
    <row r="5167" spans="1:13" s="120" customFormat="1" x14ac:dyDescent="0.25">
      <c r="A5167" s="119"/>
      <c r="B5167" s="138" t="str">
        <f t="shared" si="343"/>
        <v>Windrow</v>
      </c>
      <c r="C5167" s="138" t="str">
        <f t="shared" si="341"/>
        <v>Without Amendment</v>
      </c>
      <c r="D5167" s="138" t="str">
        <f t="shared" si="345"/>
        <v>High_Low</v>
      </c>
      <c r="E5167" s="138" t="str">
        <f t="shared" si="337"/>
        <v>Base</v>
      </c>
      <c r="F5167" s="138" t="str">
        <f t="shared" si="344"/>
        <v>Upgraded</v>
      </c>
      <c r="G5167" s="153"/>
      <c r="H5167" s="210">
        <v>7.1199999999999999E-2</v>
      </c>
      <c r="I5167" s="160" t="s">
        <v>167</v>
      </c>
      <c r="J5167" s="160">
        <v>2.7000000000000001E-3</v>
      </c>
      <c r="K5167" s="160" t="s">
        <v>24</v>
      </c>
      <c r="L5167" s="154" t="str">
        <f>IF(OpenLCAbasic!K5167="CTUh", "Fill in Manually",IF(OR(K5167="Unit", K5167=""), "", INDEX(LookUps!$E$5:$E$12, MATCH(OpenLCAbasic!K5167,LookUps!$D$5:$D$12,0))))</f>
        <v>Acidification Potential (AP) - kg SO2 eq</v>
      </c>
      <c r="M5167" s="154" t="str">
        <f t="shared" si="340"/>
        <v>Base_High_Low_Upgraded_Acidification Potential (AP) - kg SO2 eq_Waste Receiving and Holding; wastewater treatment unit; at updated plant - US_Without Amendment_Windrow</v>
      </c>
    </row>
    <row r="5168" spans="1:13" s="120" customFormat="1" x14ac:dyDescent="0.25">
      <c r="A5168" s="119"/>
      <c r="B5168" s="138" t="str">
        <f t="shared" si="343"/>
        <v>Windrow</v>
      </c>
      <c r="C5168" s="138" t="str">
        <f t="shared" si="341"/>
        <v>Without Amendment</v>
      </c>
      <c r="D5168" s="138" t="str">
        <f t="shared" si="345"/>
        <v>High_Low</v>
      </c>
      <c r="E5168" s="138" t="str">
        <f t="shared" si="337"/>
        <v>Base</v>
      </c>
      <c r="F5168" s="138" t="str">
        <f t="shared" si="344"/>
        <v>Upgraded</v>
      </c>
      <c r="G5168" s="153"/>
      <c r="H5168" s="210">
        <v>5.45E-2</v>
      </c>
      <c r="I5168" s="160" t="s">
        <v>147</v>
      </c>
      <c r="J5168" s="160">
        <v>2.0699999999999998E-3</v>
      </c>
      <c r="K5168" s="160" t="s">
        <v>24</v>
      </c>
      <c r="L5168" s="154" t="str">
        <f>IF(OpenLCAbasic!K5168="CTUh", "Fill in Manually",IF(OR(K5168="Unit", K5168=""), "", INDEX(LookUps!$E$5:$E$12, MATCH(OpenLCAbasic!K5168,LookUps!$D$5:$D$12,0))))</f>
        <v>Acidification Potential (AP) - kg SO2 eq</v>
      </c>
      <c r="M5168" s="154" t="str">
        <f t="shared" si="340"/>
        <v>Base_High_Low_Upgraded_Acidification Potential (AP) - kg SO2 eq_Influent Pump Station; wastewater treatment unit; at updated plant - US_Without Amendment_Windrow</v>
      </c>
    </row>
    <row r="5169" spans="1:13" s="120" customFormat="1" x14ac:dyDescent="0.25">
      <c r="A5169" s="119"/>
      <c r="B5169" s="138" t="str">
        <f t="shared" si="343"/>
        <v>Windrow</v>
      </c>
      <c r="C5169" s="138" t="str">
        <f t="shared" si="341"/>
        <v>Without Amendment</v>
      </c>
      <c r="D5169" s="138" t="str">
        <f t="shared" si="345"/>
        <v>High_Low</v>
      </c>
      <c r="E5169" s="138" t="str">
        <f t="shared" ref="E5169:E5232" si="346">IF(ISNUMBER($J5169),"Base","")</f>
        <v>Base</v>
      </c>
      <c r="F5169" s="138" t="str">
        <f t="shared" si="344"/>
        <v>Upgraded</v>
      </c>
      <c r="G5169" s="153"/>
      <c r="H5169" s="210">
        <v>4.4299999999999999E-2</v>
      </c>
      <c r="I5169" s="160" t="s">
        <v>60</v>
      </c>
      <c r="J5169" s="160">
        <v>1.6800000000000001E-3</v>
      </c>
      <c r="K5169" s="160" t="s">
        <v>24</v>
      </c>
      <c r="L5169" s="154" t="str">
        <f>IF(OpenLCAbasic!K5169="CTUh", "Fill in Manually",IF(OR(K5169="Unit", K5169=""), "", INDEX(LookUps!$E$5:$E$12, MATCH(OpenLCAbasic!K5169,LookUps!$D$5:$D$12,0))))</f>
        <v>Acidification Potential (AP) - kg SO2 eq</v>
      </c>
      <c r="M5169" s="154" t="str">
        <f t="shared" si="340"/>
        <v>Base_High_Low_Upgraded_Acidification Potential (AP) - kg SO2 eq_Belt filter press; wastewater treatment unit; at updated plant - US_Without Amendment_Windrow</v>
      </c>
    </row>
    <row r="5170" spans="1:13" s="120" customFormat="1" x14ac:dyDescent="0.25">
      <c r="A5170" s="119"/>
      <c r="B5170" s="138" t="str">
        <f t="shared" si="343"/>
        <v>Windrow</v>
      </c>
      <c r="C5170" s="138" t="str">
        <f t="shared" si="341"/>
        <v>Without Amendment</v>
      </c>
      <c r="D5170" s="138" t="str">
        <f t="shared" si="345"/>
        <v>High_Low</v>
      </c>
      <c r="E5170" s="138" t="str">
        <f t="shared" si="346"/>
        <v>Base</v>
      </c>
      <c r="F5170" s="138" t="str">
        <f t="shared" si="344"/>
        <v>Upgraded</v>
      </c>
      <c r="G5170" s="153"/>
      <c r="H5170" s="210">
        <v>3.2500000000000001E-2</v>
      </c>
      <c r="I5170" s="160" t="s">
        <v>128</v>
      </c>
      <c r="J5170" s="160">
        <v>1.23E-3</v>
      </c>
      <c r="K5170" s="160" t="s">
        <v>24</v>
      </c>
      <c r="L5170" s="154" t="str">
        <f>IF(OpenLCAbasic!K5170="CTUh", "Fill in Manually",IF(OR(K5170="Unit", K5170=""), "", INDEX(LookUps!$E$5:$E$12, MATCH(OpenLCAbasic!K5170,LookUps!$D$5:$D$12,0))))</f>
        <v>Acidification Potential (AP) - kg SO2 eq</v>
      </c>
      <c r="M5170" s="154" t="str">
        <f t="shared" si="340"/>
        <v>Base_High_Low_Upgraded_Acidification Potential (AP) - kg SO2 eq_Wastewater collection; operation and infrastructure; m3 wastewater_Without Amendment_Windrow</v>
      </c>
    </row>
    <row r="5171" spans="1:13" s="120" customFormat="1" x14ac:dyDescent="0.25">
      <c r="A5171" s="119"/>
      <c r="B5171" s="138" t="str">
        <f t="shared" si="343"/>
        <v>Windrow</v>
      </c>
      <c r="C5171" s="138" t="str">
        <f t="shared" si="341"/>
        <v>Without Amendment</v>
      </c>
      <c r="D5171" s="138" t="str">
        <f t="shared" si="345"/>
        <v>High_Low</v>
      </c>
      <c r="E5171" s="138" t="str">
        <f t="shared" si="346"/>
        <v>Base</v>
      </c>
      <c r="F5171" s="138" t="str">
        <f t="shared" si="344"/>
        <v>Upgraded</v>
      </c>
      <c r="G5171" s="153"/>
      <c r="H5171" s="210">
        <v>1.8499999999999999E-2</v>
      </c>
      <c r="I5171" s="160" t="s">
        <v>57</v>
      </c>
      <c r="J5171" s="160">
        <v>6.9999999999999999E-4</v>
      </c>
      <c r="K5171" s="160" t="s">
        <v>24</v>
      </c>
      <c r="L5171" s="154" t="str">
        <f>IF(OpenLCAbasic!K5171="CTUh", "Fill in Manually",IF(OR(K5171="Unit", K5171=""), "", INDEX(LookUps!$E$5:$E$12, MATCH(OpenLCAbasic!K5171,LookUps!$D$5:$D$12,0))))</f>
        <v>Acidification Potential (AP) - kg SO2 eq</v>
      </c>
      <c r="M5171" s="154" t="str">
        <f t="shared" si="340"/>
        <v>Base_High_Low_Upgraded_Acidification Potential (AP) - kg SO2 eq_Gravity Belt Thickener; wastewater treatment unit; at updated plant - US_Without Amendment_Windrow</v>
      </c>
    </row>
    <row r="5172" spans="1:13" s="120" customFormat="1" x14ac:dyDescent="0.25">
      <c r="A5172" s="119"/>
      <c r="B5172" s="138" t="str">
        <f t="shared" si="343"/>
        <v>Windrow</v>
      </c>
      <c r="C5172" s="138" t="str">
        <f t="shared" si="341"/>
        <v>Without Amendment</v>
      </c>
      <c r="D5172" s="138" t="str">
        <f t="shared" si="345"/>
        <v>High_Low</v>
      </c>
      <c r="E5172" s="138" t="str">
        <f t="shared" si="346"/>
        <v>Base</v>
      </c>
      <c r="F5172" s="138" t="str">
        <f t="shared" si="344"/>
        <v>Upgraded</v>
      </c>
      <c r="G5172" s="153"/>
      <c r="H5172" s="210">
        <v>1.3599999999999999E-2</v>
      </c>
      <c r="I5172" s="160" t="s">
        <v>59</v>
      </c>
      <c r="J5172" s="160">
        <v>5.1999999999999995E-4</v>
      </c>
      <c r="K5172" s="160" t="s">
        <v>24</v>
      </c>
      <c r="L5172" s="154" t="str">
        <f>IF(OpenLCAbasic!K5172="CTUh", "Fill in Manually",IF(OR(K5172="Unit", K5172=""), "", INDEX(LookUps!$E$5:$E$12, MATCH(OpenLCAbasic!K5172,LookUps!$D$5:$D$12,0))))</f>
        <v>Acidification Potential (AP) - kg SO2 eq</v>
      </c>
      <c r="M5172" s="154" t="str">
        <f t="shared" si="340"/>
        <v>Base_High_Low_Upgraded_Acidification Potential (AP) - kg SO2 eq_Blend Tank; wastewater treatment unit; at updated plant - US_Without Amendment_Windrow</v>
      </c>
    </row>
    <row r="5173" spans="1:13" s="120" customFormat="1" x14ac:dyDescent="0.25">
      <c r="A5173" s="119"/>
      <c r="B5173" s="138" t="str">
        <f t="shared" si="343"/>
        <v>Windrow</v>
      </c>
      <c r="C5173" s="138" t="str">
        <f t="shared" si="341"/>
        <v>Without Amendment</v>
      </c>
      <c r="D5173" s="138" t="str">
        <f t="shared" si="345"/>
        <v>High_Low</v>
      </c>
      <c r="E5173" s="138" t="str">
        <f t="shared" si="346"/>
        <v>Base</v>
      </c>
      <c r="F5173" s="138" t="str">
        <f t="shared" si="344"/>
        <v>Upgraded</v>
      </c>
      <c r="G5173" s="153"/>
      <c r="H5173" s="210">
        <v>9.1000000000000004E-3</v>
      </c>
      <c r="I5173" s="160" t="s">
        <v>48</v>
      </c>
      <c r="J5173" s="160">
        <v>3.5E-4</v>
      </c>
      <c r="K5173" s="160" t="s">
        <v>24</v>
      </c>
      <c r="L5173" s="154" t="str">
        <f>IF(OpenLCAbasic!K5173="CTUh", "Fill in Manually",IF(OR(K5173="Unit", K5173=""), "", INDEX(LookUps!$E$5:$E$12, MATCH(OpenLCAbasic!K5173,LookUps!$D$5:$D$12,0))))</f>
        <v>Acidification Potential (AP) - kg SO2 eq</v>
      </c>
      <c r="M5173" s="154" t="str">
        <f t="shared" si="340"/>
        <v>Base_High_Low_Upgraded_Acidification Potential (AP) - kg SO2 eq_Effluent release; wastewater treatment unit; at surface water; m3 wastewater - US_Without Amendment_Windrow</v>
      </c>
    </row>
    <row r="5174" spans="1:13" s="120" customFormat="1" x14ac:dyDescent="0.25">
      <c r="A5174" s="119"/>
      <c r="B5174" s="138" t="str">
        <f t="shared" si="343"/>
        <v>Windrow</v>
      </c>
      <c r="C5174" s="138" t="str">
        <f t="shared" si="341"/>
        <v>Without Amendment</v>
      </c>
      <c r="D5174" s="138" t="str">
        <f t="shared" si="345"/>
        <v>High_Low</v>
      </c>
      <c r="E5174" s="138" t="str">
        <f t="shared" si="346"/>
        <v>Base</v>
      </c>
      <c r="F5174" s="138" t="str">
        <f t="shared" si="344"/>
        <v>Upgraded</v>
      </c>
      <c r="G5174" s="153"/>
      <c r="H5174" s="210">
        <v>6.7000000000000002E-3</v>
      </c>
      <c r="I5174" s="160" t="s">
        <v>168</v>
      </c>
      <c r="J5174" s="160">
        <v>2.5999999999999998E-4</v>
      </c>
      <c r="K5174" s="160" t="s">
        <v>24</v>
      </c>
      <c r="L5174" s="154" t="str">
        <f>IF(OpenLCAbasic!K5174="CTUh", "Fill in Manually",IF(OR(K5174="Unit", K5174=""), "", INDEX(LookUps!$E$5:$E$12, MATCH(OpenLCAbasic!K5174,LookUps!$D$5:$D$12,0))))</f>
        <v>Acidification Potential (AP) - kg SO2 eq</v>
      </c>
      <c r="M5174" s="154" t="str">
        <f t="shared" si="340"/>
        <v>Base_High_Low_Upgraded_Acidification Potential (AP) - kg SO2 eq_ClearCove SCP; wastewater treatment unit; at updated plant - US_Without Amendment_Windrow</v>
      </c>
    </row>
    <row r="5175" spans="1:13" s="120" customFormat="1" x14ac:dyDescent="0.25">
      <c r="A5175" s="119"/>
      <c r="B5175" s="138" t="str">
        <f t="shared" si="343"/>
        <v>Windrow</v>
      </c>
      <c r="C5175" s="138" t="str">
        <f t="shared" si="341"/>
        <v>Without Amendment</v>
      </c>
      <c r="D5175" s="138" t="str">
        <f t="shared" si="345"/>
        <v>High_Low</v>
      </c>
      <c r="E5175" s="138" t="str">
        <f t="shared" si="346"/>
        <v>Base</v>
      </c>
      <c r="F5175" s="138" t="str">
        <f t="shared" si="344"/>
        <v>Upgraded</v>
      </c>
      <c r="G5175" s="153"/>
      <c r="H5175" s="210">
        <v>1.1000000000000001E-3</v>
      </c>
      <c r="I5175" s="160" t="s">
        <v>148</v>
      </c>
      <c r="J5175" s="211">
        <v>4.0354700000000002E-5</v>
      </c>
      <c r="K5175" s="160" t="s">
        <v>24</v>
      </c>
      <c r="L5175" s="154" t="str">
        <f>IF(OpenLCAbasic!K5175="CTUh", "Fill in Manually",IF(OR(K5175="Unit", K5175=""), "", INDEX(LookUps!$E$5:$E$12, MATCH(OpenLCAbasic!K5175,LookUps!$D$5:$D$12,0))))</f>
        <v>Acidification Potential (AP) - kg SO2 eq</v>
      </c>
      <c r="M5175" s="154" t="str">
        <f t="shared" si="340"/>
        <v>Base_High_Low_Upgraded_Acidification Potential (AP) - kg SO2 eq_Control Building; at upgraded wastewater treatment plant - US_Without Amendment_Windrow</v>
      </c>
    </row>
    <row r="5176" spans="1:13" s="120" customFormat="1" x14ac:dyDescent="0.25">
      <c r="A5176" s="119"/>
      <c r="B5176" s="138" t="str">
        <f t="shared" si="343"/>
        <v>Windrow</v>
      </c>
      <c r="C5176" s="138" t="str">
        <f t="shared" si="341"/>
        <v>Without Amendment</v>
      </c>
      <c r="D5176" s="138" t="str">
        <f t="shared" si="345"/>
        <v>High_Low</v>
      </c>
      <c r="E5176" s="138" t="str">
        <f t="shared" si="346"/>
        <v>Base</v>
      </c>
      <c r="F5176" s="138" t="str">
        <f t="shared" si="344"/>
        <v>Upgraded</v>
      </c>
      <c r="G5176" s="153"/>
      <c r="H5176" s="210">
        <v>-0.34910000000000002</v>
      </c>
      <c r="I5176" s="160" t="s">
        <v>149</v>
      </c>
      <c r="J5176" s="160">
        <v>-1.325E-2</v>
      </c>
      <c r="K5176" s="160" t="s">
        <v>24</v>
      </c>
      <c r="L5176" s="154" t="str">
        <f>IF(OpenLCAbasic!K5176="CTUh", "Fill in Manually",IF(OR(K5176="Unit", K5176=""), "", INDEX(LookUps!$E$5:$E$12, MATCH(OpenLCAbasic!K5176,LookUps!$D$5:$D$12,0))))</f>
        <v>Acidification Potential (AP) - kg SO2 eq</v>
      </c>
      <c r="M5176" s="154" t="str">
        <f t="shared" si="340"/>
        <v>Base_High_Low_Upgraded_Acidification Potential (AP) - kg SO2 eq_Anaerobic Digestion; wastewater treatment unit; at updated plant - US_Without Amendment_Windrow</v>
      </c>
    </row>
    <row r="5177" spans="1:13" s="120" customFormat="1" x14ac:dyDescent="0.25">
      <c r="A5177" s="119"/>
      <c r="B5177" s="138" t="str">
        <f t="shared" si="343"/>
        <v/>
      </c>
      <c r="C5177" s="138" t="str">
        <f t="shared" si="341"/>
        <v/>
      </c>
      <c r="D5177" s="138" t="str">
        <f t="shared" si="345"/>
        <v/>
      </c>
      <c r="E5177" s="138" t="str">
        <f t="shared" si="346"/>
        <v/>
      </c>
      <c r="F5177" s="138" t="str">
        <f t="shared" si="344"/>
        <v/>
      </c>
      <c r="G5177" s="153" t="s">
        <v>51</v>
      </c>
      <c r="H5177" s="160"/>
      <c r="I5177" s="160" t="s">
        <v>47</v>
      </c>
      <c r="J5177" s="160" t="s">
        <v>52</v>
      </c>
      <c r="K5177" s="160" t="s">
        <v>27</v>
      </c>
      <c r="L5177" s="154" t="str">
        <f>IF(OpenLCAbasic!K5177="CTUh", "Fill in Manually",IF(OR(K5177="Unit", K5177=""), "", INDEX(LookUps!$E$5:$E$12, MATCH(OpenLCAbasic!K5177,LookUps!$D$5:$D$12,0))))</f>
        <v/>
      </c>
      <c r="M5177" s="154" t="str">
        <f t="shared" si="340"/>
        <v>____Process__</v>
      </c>
    </row>
    <row r="5178" spans="1:13" s="120" customFormat="1" x14ac:dyDescent="0.25">
      <c r="A5178" s="119"/>
      <c r="B5178" s="138" t="str">
        <f t="shared" si="343"/>
        <v>Windrow</v>
      </c>
      <c r="C5178" s="138" t="str">
        <f t="shared" si="341"/>
        <v>Without Amendment</v>
      </c>
      <c r="D5178" s="138" t="str">
        <f t="shared" si="345"/>
        <v>High_Low</v>
      </c>
      <c r="E5178" s="138" t="str">
        <f t="shared" si="346"/>
        <v>Base</v>
      </c>
      <c r="F5178" s="138" t="str">
        <f t="shared" si="344"/>
        <v>Upgraded</v>
      </c>
      <c r="G5178" s="153"/>
      <c r="H5178" s="210">
        <v>0.59850000000000003</v>
      </c>
      <c r="I5178" s="160" t="s">
        <v>167</v>
      </c>
      <c r="J5178" s="160">
        <v>5.1393399999999998</v>
      </c>
      <c r="K5178" s="160" t="s">
        <v>15</v>
      </c>
      <c r="L5178" s="154" t="str">
        <f>IF(OpenLCAbasic!K5178="CTUh", "Fill in Manually",IF(OR(K5178="Unit", K5178=""), "", INDEX(LookUps!$E$5:$E$12, MATCH(OpenLCAbasic!K5178,LookUps!$D$5:$D$12,0))))</f>
        <v>Cumulative Energy Demand (CED) - MJ</v>
      </c>
      <c r="M5178" s="154" t="str">
        <f t="shared" si="340"/>
        <v>Base_High_Low_Upgraded_Cumulative Energy Demand (CED) - MJ_Waste Receiving and Holding; wastewater treatment unit; at updated plant - US_Without Amendment_Windrow</v>
      </c>
    </row>
    <row r="5179" spans="1:13" s="120" customFormat="1" x14ac:dyDescent="0.25">
      <c r="A5179" s="119"/>
      <c r="B5179" s="138" t="str">
        <f t="shared" si="343"/>
        <v>Windrow</v>
      </c>
      <c r="C5179" s="138" t="str">
        <f t="shared" si="341"/>
        <v>Without Amendment</v>
      </c>
      <c r="D5179" s="138" t="str">
        <f t="shared" si="345"/>
        <v>High_Low</v>
      </c>
      <c r="E5179" s="138" t="str">
        <f t="shared" si="346"/>
        <v>Base</v>
      </c>
      <c r="F5179" s="138" t="str">
        <f t="shared" si="344"/>
        <v>Upgraded</v>
      </c>
      <c r="G5179" s="153"/>
      <c r="H5179" s="210">
        <v>0.41139999999999999</v>
      </c>
      <c r="I5179" s="160" t="s">
        <v>55</v>
      </c>
      <c r="J5179" s="160">
        <v>3.5330499999999998</v>
      </c>
      <c r="K5179" s="160" t="s">
        <v>15</v>
      </c>
      <c r="L5179" s="154" t="str">
        <f>IF(OpenLCAbasic!K5179="CTUh", "Fill in Manually",IF(OR(K5179="Unit", K5179=""), "", INDEX(LookUps!$E$5:$E$12, MATCH(OpenLCAbasic!K5179,LookUps!$D$5:$D$12,0))))</f>
        <v>Cumulative Energy Demand (CED) - MJ</v>
      </c>
      <c r="M5179" s="154" t="str">
        <f t="shared" ref="M5179:M5242" si="347">CONCATENATE(E5179,"_",D5179,"_",F5179,"_",L5179, "_",I5179,"_", C5179,"_", B5179)</f>
        <v>Base_High_Low_Upgraded_Cumulative Energy Demand (CED) - MJ_Aeration Tanks; wastewater treatment unit; at updated plant - US_Without Amendment_Windrow</v>
      </c>
    </row>
    <row r="5180" spans="1:13" s="120" customFormat="1" x14ac:dyDescent="0.25">
      <c r="A5180" s="119"/>
      <c r="B5180" s="138" t="str">
        <f t="shared" si="343"/>
        <v>Windrow</v>
      </c>
      <c r="C5180" s="138" t="str">
        <f t="shared" si="341"/>
        <v>Without Amendment</v>
      </c>
      <c r="D5180" s="138" t="str">
        <f t="shared" si="345"/>
        <v>High_Low</v>
      </c>
      <c r="E5180" s="138" t="str">
        <f t="shared" si="346"/>
        <v>Base</v>
      </c>
      <c r="F5180" s="138" t="str">
        <f t="shared" si="344"/>
        <v>Upgraded</v>
      </c>
      <c r="G5180" s="153"/>
      <c r="H5180" s="210">
        <v>0.13539999999999999</v>
      </c>
      <c r="I5180" s="160" t="s">
        <v>54</v>
      </c>
      <c r="J5180" s="160">
        <v>1.16289</v>
      </c>
      <c r="K5180" s="160" t="s">
        <v>15</v>
      </c>
      <c r="L5180" s="154" t="str">
        <f>IF(OpenLCAbasic!K5180="CTUh", "Fill in Manually",IF(OR(K5180="Unit", K5180=""), "", INDEX(LookUps!$E$5:$E$12, MATCH(OpenLCAbasic!K5180,LookUps!$D$5:$D$12,0))))</f>
        <v>Cumulative Energy Demand (CED) - MJ</v>
      </c>
      <c r="M5180" s="154" t="str">
        <f t="shared" si="347"/>
        <v>Base_High_Low_Upgraded_Cumulative Energy Demand (CED) - MJ_Clear Cove Primary Clarification; wastewater treatment unit; at updated plant - US_Without Amendment_Windrow</v>
      </c>
    </row>
    <row r="5181" spans="1:13" s="120" customFormat="1" x14ac:dyDescent="0.25">
      <c r="A5181" s="119"/>
      <c r="B5181" s="138" t="str">
        <f t="shared" si="343"/>
        <v>Windrow</v>
      </c>
      <c r="C5181" s="138" t="str">
        <f t="shared" si="341"/>
        <v>Without Amendment</v>
      </c>
      <c r="D5181" s="138" t="str">
        <f t="shared" si="345"/>
        <v>High_Low</v>
      </c>
      <c r="E5181" s="138" t="str">
        <f t="shared" si="346"/>
        <v>Base</v>
      </c>
      <c r="F5181" s="138" t="str">
        <f t="shared" si="344"/>
        <v>Upgraded</v>
      </c>
      <c r="G5181" s="153"/>
      <c r="H5181" s="210">
        <v>0.1037</v>
      </c>
      <c r="I5181" s="160" t="s">
        <v>58</v>
      </c>
      <c r="J5181" s="160">
        <v>0.89063999999999999</v>
      </c>
      <c r="K5181" s="160" t="s">
        <v>15</v>
      </c>
      <c r="L5181" s="154" t="str">
        <f>IF(OpenLCAbasic!K5181="CTUh", "Fill in Manually",IF(OR(K5181="Unit", K5181=""), "", INDEX(LookUps!$E$5:$E$12, MATCH(OpenLCAbasic!K5181,LookUps!$D$5:$D$12,0))))</f>
        <v>Cumulative Energy Demand (CED) - MJ</v>
      </c>
      <c r="M5181" s="154" t="str">
        <f t="shared" si="347"/>
        <v>Base_High_Low_Upgraded_Cumulative Energy Demand (CED) - MJ_Pre-Anoxic &amp; Swing tank; wastewater treatment unit; at updated plant - US_Without Amendment_Windrow</v>
      </c>
    </row>
    <row r="5182" spans="1:13" s="120" customFormat="1" x14ac:dyDescent="0.25">
      <c r="A5182" s="119"/>
      <c r="B5182" s="138" t="str">
        <f t="shared" si="343"/>
        <v>Windrow</v>
      </c>
      <c r="C5182" s="138" t="str">
        <f t="shared" si="341"/>
        <v>Without Amendment</v>
      </c>
      <c r="D5182" s="138" t="str">
        <f t="shared" si="345"/>
        <v>High_Low</v>
      </c>
      <c r="E5182" s="138" t="str">
        <f t="shared" si="346"/>
        <v>Base</v>
      </c>
      <c r="F5182" s="138" t="str">
        <f t="shared" si="344"/>
        <v>Upgraded</v>
      </c>
      <c r="G5182" s="153"/>
      <c r="H5182" s="210">
        <v>0.1028</v>
      </c>
      <c r="I5182" s="160" t="s">
        <v>147</v>
      </c>
      <c r="J5182" s="160">
        <v>0.88297000000000003</v>
      </c>
      <c r="K5182" s="160" t="s">
        <v>15</v>
      </c>
      <c r="L5182" s="154" t="str">
        <f>IF(OpenLCAbasic!K5182="CTUh", "Fill in Manually",IF(OR(K5182="Unit", K5182=""), "", INDEX(LookUps!$E$5:$E$12, MATCH(OpenLCAbasic!K5182,LookUps!$D$5:$D$12,0))))</f>
        <v>Cumulative Energy Demand (CED) - MJ</v>
      </c>
      <c r="M5182" s="154" t="str">
        <f t="shared" si="347"/>
        <v>Base_High_Low_Upgraded_Cumulative Energy Demand (CED) - MJ_Influent Pump Station; wastewater treatment unit; at updated plant - US_Without Amendment_Windrow</v>
      </c>
    </row>
    <row r="5183" spans="1:13" s="120" customFormat="1" x14ac:dyDescent="0.25">
      <c r="A5183" s="119"/>
      <c r="B5183" s="138" t="str">
        <f t="shared" si="343"/>
        <v>Windrow</v>
      </c>
      <c r="C5183" s="138" t="str">
        <f t="shared" si="341"/>
        <v>Without Amendment</v>
      </c>
      <c r="D5183" s="138" t="str">
        <f t="shared" si="345"/>
        <v>High_Low</v>
      </c>
      <c r="E5183" s="138" t="str">
        <f t="shared" si="346"/>
        <v>Base</v>
      </c>
      <c r="F5183" s="138" t="str">
        <f t="shared" si="344"/>
        <v>Upgraded</v>
      </c>
      <c r="G5183" s="153"/>
      <c r="H5183" s="210">
        <v>8.1100000000000005E-2</v>
      </c>
      <c r="I5183" s="160" t="s">
        <v>53</v>
      </c>
      <c r="J5183" s="160">
        <v>0.69645000000000001</v>
      </c>
      <c r="K5183" s="160" t="s">
        <v>15</v>
      </c>
      <c r="L5183" s="154" t="str">
        <f>IF(OpenLCAbasic!K5183="CTUh", "Fill in Manually",IF(OR(K5183="Unit", K5183=""), "", INDEX(LookUps!$E$5:$E$12, MATCH(OpenLCAbasic!K5183,LookUps!$D$5:$D$12,0))))</f>
        <v>Cumulative Energy Demand (CED) - MJ</v>
      </c>
      <c r="M5183" s="154" t="str">
        <f t="shared" si="347"/>
        <v>Base_High_Low_Upgraded_Cumulative Energy Demand (CED) - MJ_Wet Well and Sump Station; wastewater treatment unit; at updated plant - US_Without Amendment_Windrow</v>
      </c>
    </row>
    <row r="5184" spans="1:13" s="120" customFormat="1" x14ac:dyDescent="0.25">
      <c r="A5184" s="119"/>
      <c r="B5184" s="138" t="str">
        <f t="shared" si="343"/>
        <v>Windrow</v>
      </c>
      <c r="C5184" s="138" t="str">
        <f t="shared" si="341"/>
        <v>Without Amendment</v>
      </c>
      <c r="D5184" s="138" t="str">
        <f t="shared" si="345"/>
        <v>High_Low</v>
      </c>
      <c r="E5184" s="138" t="str">
        <f t="shared" si="346"/>
        <v>Base</v>
      </c>
      <c r="F5184" s="138" t="str">
        <f t="shared" si="344"/>
        <v>Upgraded</v>
      </c>
      <c r="G5184" s="153"/>
      <c r="H5184" s="210">
        <v>7.3099999999999998E-2</v>
      </c>
      <c r="I5184" s="160" t="s">
        <v>60</v>
      </c>
      <c r="J5184" s="160">
        <v>0.62775999999999998</v>
      </c>
      <c r="K5184" s="160" t="s">
        <v>15</v>
      </c>
      <c r="L5184" s="154" t="str">
        <f>IF(OpenLCAbasic!K5184="CTUh", "Fill in Manually",IF(OR(K5184="Unit", K5184=""), "", INDEX(LookUps!$E$5:$E$12, MATCH(OpenLCAbasic!K5184,LookUps!$D$5:$D$12,0))))</f>
        <v>Cumulative Energy Demand (CED) - MJ</v>
      </c>
      <c r="M5184" s="154" t="str">
        <f t="shared" si="347"/>
        <v>Base_High_Low_Upgraded_Cumulative Energy Demand (CED) - MJ_Belt filter press; wastewater treatment unit; at updated plant - US_Without Amendment_Windrow</v>
      </c>
    </row>
    <row r="5185" spans="1:13" s="120" customFormat="1" x14ac:dyDescent="0.25">
      <c r="A5185" s="119"/>
      <c r="B5185" s="138" t="str">
        <f t="shared" si="343"/>
        <v>Windrow</v>
      </c>
      <c r="C5185" s="138" t="str">
        <f t="shared" ref="C5185:C5248" si="348">IF(ISNUMBER($J5185),"Without Amendment","")</f>
        <v>Without Amendment</v>
      </c>
      <c r="D5185" s="138" t="str">
        <f t="shared" si="345"/>
        <v>High_Low</v>
      </c>
      <c r="E5185" s="138" t="str">
        <f t="shared" si="346"/>
        <v>Base</v>
      </c>
      <c r="F5185" s="138" t="str">
        <f t="shared" si="344"/>
        <v>Upgraded</v>
      </c>
      <c r="G5185" s="153"/>
      <c r="H5185" s="210">
        <v>3.8899999999999997E-2</v>
      </c>
      <c r="I5185" s="160" t="s">
        <v>57</v>
      </c>
      <c r="J5185" s="160">
        <v>0.33404</v>
      </c>
      <c r="K5185" s="160" t="s">
        <v>15</v>
      </c>
      <c r="L5185" s="154" t="str">
        <f>IF(OpenLCAbasic!K5185="CTUh", "Fill in Manually",IF(OR(K5185="Unit", K5185=""), "", INDEX(LookUps!$E$5:$E$12, MATCH(OpenLCAbasic!K5185,LookUps!$D$5:$D$12,0))))</f>
        <v>Cumulative Energy Demand (CED) - MJ</v>
      </c>
      <c r="M5185" s="154" t="str">
        <f t="shared" si="347"/>
        <v>Base_High_Low_Upgraded_Cumulative Energy Demand (CED) - MJ_Gravity Belt Thickener; wastewater treatment unit; at updated plant - US_Without Amendment_Windrow</v>
      </c>
    </row>
    <row r="5186" spans="1:13" s="120" customFormat="1" x14ac:dyDescent="0.25">
      <c r="A5186" s="119"/>
      <c r="B5186" s="138" t="str">
        <f t="shared" si="343"/>
        <v>Windrow</v>
      </c>
      <c r="C5186" s="138" t="str">
        <f t="shared" si="348"/>
        <v>Without Amendment</v>
      </c>
      <c r="D5186" s="138" t="str">
        <f t="shared" si="345"/>
        <v>High_Low</v>
      </c>
      <c r="E5186" s="138" t="str">
        <f t="shared" si="346"/>
        <v>Base</v>
      </c>
      <c r="F5186" s="138" t="str">
        <f t="shared" si="344"/>
        <v>Upgraded</v>
      </c>
      <c r="G5186" s="153"/>
      <c r="H5186" s="210">
        <v>2.98E-2</v>
      </c>
      <c r="I5186" s="160" t="s">
        <v>128</v>
      </c>
      <c r="J5186" s="160">
        <v>0.25606000000000001</v>
      </c>
      <c r="K5186" s="160" t="s">
        <v>15</v>
      </c>
      <c r="L5186" s="154" t="str">
        <f>IF(OpenLCAbasic!K5186="CTUh", "Fill in Manually",IF(OR(K5186="Unit", K5186=""), "", INDEX(LookUps!$E$5:$E$12, MATCH(OpenLCAbasic!K5186,LookUps!$D$5:$D$12,0))))</f>
        <v>Cumulative Energy Demand (CED) - MJ</v>
      </c>
      <c r="M5186" s="154" t="str">
        <f t="shared" si="347"/>
        <v>Base_High_Low_Upgraded_Cumulative Energy Demand (CED) - MJ_Wastewater collection; operation and infrastructure; m3 wastewater_Without Amendment_Windrow</v>
      </c>
    </row>
    <row r="5187" spans="1:13" s="120" customFormat="1" x14ac:dyDescent="0.25">
      <c r="A5187" s="119"/>
      <c r="B5187" s="138" t="str">
        <f t="shared" si="343"/>
        <v>Windrow</v>
      </c>
      <c r="C5187" s="138" t="str">
        <f t="shared" si="348"/>
        <v>Without Amendment</v>
      </c>
      <c r="D5187" s="138" t="str">
        <f t="shared" si="345"/>
        <v>High_Low</v>
      </c>
      <c r="E5187" s="138" t="str">
        <f t="shared" si="346"/>
        <v>Base</v>
      </c>
      <c r="F5187" s="138" t="str">
        <f t="shared" si="344"/>
        <v>Upgraded</v>
      </c>
      <c r="G5187" s="153"/>
      <c r="H5187" s="210">
        <v>1.7000000000000001E-2</v>
      </c>
      <c r="I5187" s="160" t="s">
        <v>148</v>
      </c>
      <c r="J5187" s="160">
        <v>0.14599000000000001</v>
      </c>
      <c r="K5187" s="160" t="s">
        <v>15</v>
      </c>
      <c r="L5187" s="154" t="str">
        <f>IF(OpenLCAbasic!K5187="CTUh", "Fill in Manually",IF(OR(K5187="Unit", K5187=""), "", INDEX(LookUps!$E$5:$E$12, MATCH(OpenLCAbasic!K5187,LookUps!$D$5:$D$12,0))))</f>
        <v>Cumulative Energy Demand (CED) - MJ</v>
      </c>
      <c r="M5187" s="154" t="str">
        <f t="shared" si="347"/>
        <v>Base_High_Low_Upgraded_Cumulative Energy Demand (CED) - MJ_Control Building; at upgraded wastewater treatment plant - US_Without Amendment_Windrow</v>
      </c>
    </row>
    <row r="5188" spans="1:13" s="120" customFormat="1" x14ac:dyDescent="0.25">
      <c r="A5188" s="119"/>
      <c r="B5188" s="138" t="str">
        <f t="shared" si="343"/>
        <v>Windrow</v>
      </c>
      <c r="C5188" s="138" t="str">
        <f t="shared" si="348"/>
        <v>Without Amendment</v>
      </c>
      <c r="D5188" s="138" t="str">
        <f t="shared" si="345"/>
        <v>High_Low</v>
      </c>
      <c r="E5188" s="138" t="str">
        <f t="shared" si="346"/>
        <v>Base</v>
      </c>
      <c r="F5188" s="138" t="str">
        <f t="shared" si="344"/>
        <v>Upgraded</v>
      </c>
      <c r="G5188" s="153"/>
      <c r="H5188" s="210">
        <v>1.55E-2</v>
      </c>
      <c r="I5188" s="160" t="s">
        <v>48</v>
      </c>
      <c r="J5188" s="160">
        <v>0.13321</v>
      </c>
      <c r="K5188" s="160" t="s">
        <v>15</v>
      </c>
      <c r="L5188" s="154" t="str">
        <f>IF(OpenLCAbasic!K5188="CTUh", "Fill in Manually",IF(OR(K5188="Unit", K5188=""), "", INDEX(LookUps!$E$5:$E$12, MATCH(OpenLCAbasic!K5188,LookUps!$D$5:$D$12,0))))</f>
        <v>Cumulative Energy Demand (CED) - MJ</v>
      </c>
      <c r="M5188" s="154" t="str">
        <f t="shared" si="347"/>
        <v>Base_High_Low_Upgraded_Cumulative Energy Demand (CED) - MJ_Effluent release; wastewater treatment unit; at surface water; m3 wastewater - US_Without Amendment_Windrow</v>
      </c>
    </row>
    <row r="5189" spans="1:13" s="120" customFormat="1" x14ac:dyDescent="0.25">
      <c r="A5189" s="119"/>
      <c r="B5189" s="138" t="str">
        <f t="shared" si="343"/>
        <v>Windrow</v>
      </c>
      <c r="C5189" s="138" t="str">
        <f t="shared" si="348"/>
        <v>Without Amendment</v>
      </c>
      <c r="D5189" s="138" t="str">
        <f t="shared" si="345"/>
        <v>High_Low</v>
      </c>
      <c r="E5189" s="138" t="str">
        <f t="shared" si="346"/>
        <v>Base</v>
      </c>
      <c r="F5189" s="138" t="str">
        <f t="shared" si="344"/>
        <v>Upgraded</v>
      </c>
      <c r="G5189" s="153"/>
      <c r="H5189" s="210">
        <v>1.24E-2</v>
      </c>
      <c r="I5189" s="160" t="s">
        <v>59</v>
      </c>
      <c r="J5189" s="160">
        <v>0.10638</v>
      </c>
      <c r="K5189" s="160" t="s">
        <v>15</v>
      </c>
      <c r="L5189" s="154" t="str">
        <f>IF(OpenLCAbasic!K5189="CTUh", "Fill in Manually",IF(OR(K5189="Unit", K5189=""), "", INDEX(LookUps!$E$5:$E$12, MATCH(OpenLCAbasic!K5189,LookUps!$D$5:$D$12,0))))</f>
        <v>Cumulative Energy Demand (CED) - MJ</v>
      </c>
      <c r="M5189" s="154" t="str">
        <f t="shared" si="347"/>
        <v>Base_High_Low_Upgraded_Cumulative Energy Demand (CED) - MJ_Blend Tank; wastewater treatment unit; at updated plant - US_Without Amendment_Windrow</v>
      </c>
    </row>
    <row r="5190" spans="1:13" s="120" customFormat="1" x14ac:dyDescent="0.25">
      <c r="A5190" s="119"/>
      <c r="B5190" s="138" t="str">
        <f t="shared" si="343"/>
        <v>Windrow</v>
      </c>
      <c r="C5190" s="138" t="str">
        <f t="shared" si="348"/>
        <v>Without Amendment</v>
      </c>
      <c r="D5190" s="138" t="str">
        <f t="shared" si="345"/>
        <v>High_Low</v>
      </c>
      <c r="E5190" s="138" t="str">
        <f t="shared" si="346"/>
        <v>Base</v>
      </c>
      <c r="F5190" s="138" t="str">
        <f t="shared" si="344"/>
        <v>Upgraded</v>
      </c>
      <c r="G5190" s="153"/>
      <c r="H5190" s="210">
        <v>5.8999999999999999E-3</v>
      </c>
      <c r="I5190" s="160" t="s">
        <v>168</v>
      </c>
      <c r="J5190" s="160">
        <v>5.0930000000000003E-2</v>
      </c>
      <c r="K5190" s="160" t="s">
        <v>15</v>
      </c>
      <c r="L5190" s="154" t="str">
        <f>IF(OpenLCAbasic!K5190="CTUh", "Fill in Manually",IF(OR(K5190="Unit", K5190=""), "", INDEX(LookUps!$E$5:$E$12, MATCH(OpenLCAbasic!K5190,LookUps!$D$5:$D$12,0))))</f>
        <v>Cumulative Energy Demand (CED) - MJ</v>
      </c>
      <c r="M5190" s="154" t="str">
        <f t="shared" si="347"/>
        <v>Base_High_Low_Upgraded_Cumulative Energy Demand (CED) - MJ_ClearCove SCP; wastewater treatment unit; at updated plant - US_Without Amendment_Windrow</v>
      </c>
    </row>
    <row r="5191" spans="1:13" s="120" customFormat="1" x14ac:dyDescent="0.25">
      <c r="A5191" s="119"/>
      <c r="B5191" s="138" t="str">
        <f t="shared" si="343"/>
        <v>Windrow</v>
      </c>
      <c r="C5191" s="138" t="str">
        <f t="shared" si="348"/>
        <v>Without Amendment</v>
      </c>
      <c r="D5191" s="138" t="str">
        <f t="shared" si="345"/>
        <v>High_Low</v>
      </c>
      <c r="E5191" s="138" t="str">
        <f t="shared" si="346"/>
        <v>Base</v>
      </c>
      <c r="F5191" s="138" t="str">
        <f t="shared" si="344"/>
        <v>Upgraded</v>
      </c>
      <c r="G5191" s="153"/>
      <c r="H5191" s="210">
        <v>4.7999999999999996E-3</v>
      </c>
      <c r="I5191" s="160" t="s">
        <v>271</v>
      </c>
      <c r="J5191" s="160">
        <v>4.1300000000000003E-2</v>
      </c>
      <c r="K5191" s="160" t="s">
        <v>15</v>
      </c>
      <c r="L5191" s="154" t="str">
        <f>IF(OpenLCAbasic!K5191="CTUh", "Fill in Manually",IF(OR(K5191="Unit", K5191=""), "", INDEX(LookUps!$E$5:$E$12, MATCH(OpenLCAbasic!K5191,LookUps!$D$5:$D$12,0))))</f>
        <v>Cumulative Energy Demand (CED) - MJ</v>
      </c>
      <c r="M5191" s="154" t="str">
        <f t="shared" si="347"/>
        <v>Base_High_Low_Upgraded_Cumulative Energy Demand (CED) - MJ_Biosolids composting; windrow composting; wastewater treatment unit; at updated plant - US_Without Amendment_Windrow</v>
      </c>
    </row>
    <row r="5192" spans="1:13" s="120" customFormat="1" x14ac:dyDescent="0.25">
      <c r="A5192" s="119"/>
      <c r="B5192" s="138" t="str">
        <f t="shared" si="343"/>
        <v>Windrow</v>
      </c>
      <c r="C5192" s="138" t="str">
        <f t="shared" si="348"/>
        <v>Without Amendment</v>
      </c>
      <c r="D5192" s="138" t="str">
        <f t="shared" si="345"/>
        <v>High_Low</v>
      </c>
      <c r="E5192" s="138" t="str">
        <f t="shared" si="346"/>
        <v>Base</v>
      </c>
      <c r="F5192" s="138" t="str">
        <f t="shared" si="344"/>
        <v>Upgraded</v>
      </c>
      <c r="G5192" s="153"/>
      <c r="H5192" s="210">
        <v>-7.1800000000000003E-2</v>
      </c>
      <c r="I5192" s="160" t="s">
        <v>62</v>
      </c>
      <c r="J5192" s="160">
        <v>-0.61633000000000004</v>
      </c>
      <c r="K5192" s="160" t="s">
        <v>15</v>
      </c>
      <c r="L5192" s="154" t="str">
        <f>IF(OpenLCAbasic!K5192="CTUh", "Fill in Manually",IF(OR(K5192="Unit", K5192=""), "", INDEX(LookUps!$E$5:$E$12, MATCH(OpenLCAbasic!K5192,LookUps!$D$5:$D$12,0))))</f>
        <v>Cumulative Energy Demand (CED) - MJ</v>
      </c>
      <c r="M5192" s="154" t="str">
        <f t="shared" si="347"/>
        <v>Base_High_Low_Upgraded_Cumulative Energy Demand (CED) - MJ_Land application of compost; wastewater treatment unit; at updated plant - US_Without Amendment_Windrow</v>
      </c>
    </row>
    <row r="5193" spans="1:13" s="120" customFormat="1" x14ac:dyDescent="0.25">
      <c r="A5193" s="119"/>
      <c r="B5193" s="138" t="str">
        <f t="shared" si="343"/>
        <v>Windrow</v>
      </c>
      <c r="C5193" s="138" t="str">
        <f t="shared" si="348"/>
        <v>Without Amendment</v>
      </c>
      <c r="D5193" s="138" t="str">
        <f t="shared" si="345"/>
        <v>High_Low</v>
      </c>
      <c r="E5193" s="138" t="str">
        <f t="shared" si="346"/>
        <v>Base</v>
      </c>
      <c r="F5193" s="138" t="str">
        <f t="shared" si="344"/>
        <v>Upgraded</v>
      </c>
      <c r="G5193" s="153"/>
      <c r="H5193" s="210">
        <v>-0.55869999999999997</v>
      </c>
      <c r="I5193" s="160" t="s">
        <v>149</v>
      </c>
      <c r="J5193" s="160">
        <v>-4.7974600000000001</v>
      </c>
      <c r="K5193" s="160" t="s">
        <v>15</v>
      </c>
      <c r="L5193" s="154" t="str">
        <f>IF(OpenLCAbasic!K5193="CTUh", "Fill in Manually",IF(OR(K5193="Unit", K5193=""), "", INDEX(LookUps!$E$5:$E$12, MATCH(OpenLCAbasic!K5193,LookUps!$D$5:$D$12,0))))</f>
        <v>Cumulative Energy Demand (CED) - MJ</v>
      </c>
      <c r="M5193" s="154" t="str">
        <f t="shared" si="347"/>
        <v>Base_High_Low_Upgraded_Cumulative Energy Demand (CED) - MJ_Anaerobic Digestion; wastewater treatment unit; at updated plant - US_Without Amendment_Windrow</v>
      </c>
    </row>
    <row r="5194" spans="1:13" s="120" customFormat="1" x14ac:dyDescent="0.25">
      <c r="A5194" s="119"/>
      <c r="B5194" s="138" t="str">
        <f t="shared" si="343"/>
        <v/>
      </c>
      <c r="C5194" s="138" t="str">
        <f t="shared" si="348"/>
        <v/>
      </c>
      <c r="D5194" s="138" t="str">
        <f t="shared" si="345"/>
        <v/>
      </c>
      <c r="E5194" s="138" t="str">
        <f t="shared" si="346"/>
        <v/>
      </c>
      <c r="F5194" s="138" t="str">
        <f t="shared" si="344"/>
        <v/>
      </c>
      <c r="G5194" s="153" t="s">
        <v>51</v>
      </c>
      <c r="H5194" s="160"/>
      <c r="I5194" s="160" t="s">
        <v>47</v>
      </c>
      <c r="J5194" s="160" t="s">
        <v>52</v>
      </c>
      <c r="K5194" s="160" t="s">
        <v>27</v>
      </c>
      <c r="L5194" s="154" t="str">
        <f>IF(OpenLCAbasic!K5194="CTUh", "Fill in Manually",IF(OR(K5194="Unit", K5194=""), "", INDEX(LookUps!$E$5:$E$12, MATCH(OpenLCAbasic!K5194,LookUps!$D$5:$D$12,0))))</f>
        <v/>
      </c>
      <c r="M5194" s="154" t="str">
        <f t="shared" si="347"/>
        <v>____Process__</v>
      </c>
    </row>
    <row r="5195" spans="1:13" s="120" customFormat="1" x14ac:dyDescent="0.25">
      <c r="A5195" s="119"/>
      <c r="B5195" s="138" t="str">
        <f t="shared" si="343"/>
        <v>Windrow</v>
      </c>
      <c r="C5195" s="138" t="str">
        <f t="shared" si="348"/>
        <v>Without Amendment</v>
      </c>
      <c r="D5195" s="138" t="str">
        <f t="shared" si="345"/>
        <v>High_Low</v>
      </c>
      <c r="E5195" s="138" t="str">
        <f t="shared" si="346"/>
        <v>Base</v>
      </c>
      <c r="F5195" s="138" t="str">
        <f t="shared" si="344"/>
        <v>Upgraded</v>
      </c>
      <c r="G5195" s="153"/>
      <c r="H5195" s="210">
        <v>0.71530000000000005</v>
      </c>
      <c r="I5195" s="160" t="s">
        <v>48</v>
      </c>
      <c r="J5195" s="160">
        <v>1.1610000000000001E-2</v>
      </c>
      <c r="K5195" s="160" t="s">
        <v>13</v>
      </c>
      <c r="L5195" s="154" t="str">
        <f>IF(OpenLCAbasic!K5195="CTUh", "Fill in Manually",IF(OR(K5195="Unit", K5195=""), "", INDEX(LookUps!$E$5:$E$12, MATCH(OpenLCAbasic!K5195,LookUps!$D$5:$D$12,0))))</f>
        <v>Eutrophication Potential (EP) - kg N eq</v>
      </c>
      <c r="M5195" s="154" t="str">
        <f t="shared" si="347"/>
        <v>Base_High_Low_Upgraded_Eutrophication Potential (EP) - kg N eq_Effluent release; wastewater treatment unit; at surface water; m3 wastewater - US_Without Amendment_Windrow</v>
      </c>
    </row>
    <row r="5196" spans="1:13" s="120" customFormat="1" x14ac:dyDescent="0.25">
      <c r="A5196" s="119"/>
      <c r="B5196" s="138" t="str">
        <f t="shared" si="343"/>
        <v>Windrow</v>
      </c>
      <c r="C5196" s="138" t="str">
        <f t="shared" si="348"/>
        <v>Without Amendment</v>
      </c>
      <c r="D5196" s="138" t="str">
        <f t="shared" si="345"/>
        <v>High_Low</v>
      </c>
      <c r="E5196" s="138" t="str">
        <f t="shared" si="346"/>
        <v>Base</v>
      </c>
      <c r="F5196" s="138" t="str">
        <f t="shared" si="344"/>
        <v>Upgraded</v>
      </c>
      <c r="G5196" s="153"/>
      <c r="H5196" s="210">
        <v>0.1731</v>
      </c>
      <c r="I5196" s="160" t="s">
        <v>62</v>
      </c>
      <c r="J5196" s="160">
        <v>2.81E-3</v>
      </c>
      <c r="K5196" s="160" t="s">
        <v>13</v>
      </c>
      <c r="L5196" s="154" t="str">
        <f>IF(OpenLCAbasic!K5196="CTUh", "Fill in Manually",IF(OR(K5196="Unit", K5196=""), "", INDEX(LookUps!$E$5:$E$12, MATCH(OpenLCAbasic!K5196,LookUps!$D$5:$D$12,0))))</f>
        <v>Eutrophication Potential (EP) - kg N eq</v>
      </c>
      <c r="M5196" s="154" t="str">
        <f t="shared" si="347"/>
        <v>Base_High_Low_Upgraded_Eutrophication Potential (EP) - kg N eq_Land application of compost; wastewater treatment unit; at updated plant - US_Without Amendment_Windrow</v>
      </c>
    </row>
    <row r="5197" spans="1:13" s="120" customFormat="1" x14ac:dyDescent="0.25">
      <c r="A5197" s="119"/>
      <c r="B5197" s="138" t="str">
        <f t="shared" si="343"/>
        <v>Windrow</v>
      </c>
      <c r="C5197" s="138" t="str">
        <f t="shared" si="348"/>
        <v>Without Amendment</v>
      </c>
      <c r="D5197" s="138" t="str">
        <f t="shared" si="345"/>
        <v>High_Low</v>
      </c>
      <c r="E5197" s="138" t="str">
        <f t="shared" si="346"/>
        <v>Base</v>
      </c>
      <c r="F5197" s="138" t="str">
        <f t="shared" si="344"/>
        <v>Upgraded</v>
      </c>
      <c r="G5197" s="153"/>
      <c r="H5197" s="210">
        <v>3.3700000000000001E-2</v>
      </c>
      <c r="I5197" s="160" t="s">
        <v>55</v>
      </c>
      <c r="J5197" s="160">
        <v>5.5000000000000003E-4</v>
      </c>
      <c r="K5197" s="160" t="s">
        <v>13</v>
      </c>
      <c r="L5197" s="154" t="str">
        <f>IF(OpenLCAbasic!K5197="CTUh", "Fill in Manually",IF(OR(K5197="Unit", K5197=""), "", INDEX(LookUps!$E$5:$E$12, MATCH(OpenLCAbasic!K5197,LookUps!$D$5:$D$12,0))))</f>
        <v>Eutrophication Potential (EP) - kg N eq</v>
      </c>
      <c r="M5197" s="154" t="str">
        <f t="shared" si="347"/>
        <v>Base_High_Low_Upgraded_Eutrophication Potential (EP) - kg N eq_Aeration Tanks; wastewater treatment unit; at updated plant - US_Without Amendment_Windrow</v>
      </c>
    </row>
    <row r="5198" spans="1:13" s="120" customFormat="1" x14ac:dyDescent="0.25">
      <c r="A5198" s="119"/>
      <c r="B5198" s="138" t="str">
        <f t="shared" si="343"/>
        <v>Windrow</v>
      </c>
      <c r="C5198" s="138" t="str">
        <f t="shared" si="348"/>
        <v>Without Amendment</v>
      </c>
      <c r="D5198" s="138" t="str">
        <f t="shared" si="345"/>
        <v>High_Low</v>
      </c>
      <c r="E5198" s="138" t="str">
        <f t="shared" si="346"/>
        <v>Base</v>
      </c>
      <c r="F5198" s="138" t="str">
        <f t="shared" si="344"/>
        <v>Upgraded</v>
      </c>
      <c r="G5198" s="153"/>
      <c r="H5198" s="210">
        <v>3.0499999999999999E-2</v>
      </c>
      <c r="I5198" s="160" t="s">
        <v>271</v>
      </c>
      <c r="J5198" s="160">
        <v>5.0000000000000001E-4</v>
      </c>
      <c r="K5198" s="160" t="s">
        <v>13</v>
      </c>
      <c r="L5198" s="154" t="str">
        <f>IF(OpenLCAbasic!K5198="CTUh", "Fill in Manually",IF(OR(K5198="Unit", K5198=""), "", INDEX(LookUps!$E$5:$E$12, MATCH(OpenLCAbasic!K5198,LookUps!$D$5:$D$12,0))))</f>
        <v>Eutrophication Potential (EP) - kg N eq</v>
      </c>
      <c r="M5198" s="154" t="str">
        <f t="shared" si="347"/>
        <v>Base_High_Low_Upgraded_Eutrophication Potential (EP) - kg N eq_Biosolids composting; windrow composting; wastewater treatment unit; at updated plant - US_Without Amendment_Windrow</v>
      </c>
    </row>
    <row r="5199" spans="1:13" s="120" customFormat="1" x14ac:dyDescent="0.25">
      <c r="A5199" s="119"/>
      <c r="B5199" s="138" t="str">
        <f t="shared" si="343"/>
        <v>Windrow</v>
      </c>
      <c r="C5199" s="138" t="str">
        <f t="shared" si="348"/>
        <v>Without Amendment</v>
      </c>
      <c r="D5199" s="138" t="str">
        <f t="shared" si="345"/>
        <v>High_Low</v>
      </c>
      <c r="E5199" s="138" t="str">
        <f t="shared" si="346"/>
        <v>Base</v>
      </c>
      <c r="F5199" s="138" t="str">
        <f t="shared" si="344"/>
        <v>Upgraded</v>
      </c>
      <c r="G5199" s="153"/>
      <c r="H5199" s="210">
        <v>1.54E-2</v>
      </c>
      <c r="I5199" s="160" t="s">
        <v>147</v>
      </c>
      <c r="J5199" s="160">
        <v>2.5000000000000001E-4</v>
      </c>
      <c r="K5199" s="160" t="s">
        <v>13</v>
      </c>
      <c r="L5199" s="154" t="str">
        <f>IF(OpenLCAbasic!K5199="CTUh", "Fill in Manually",IF(OR(K5199="Unit", K5199=""), "", INDEX(LookUps!$E$5:$E$12, MATCH(OpenLCAbasic!K5199,LookUps!$D$5:$D$12,0))))</f>
        <v>Eutrophication Potential (EP) - kg N eq</v>
      </c>
      <c r="M5199" s="154" t="str">
        <f t="shared" si="347"/>
        <v>Base_High_Low_Upgraded_Eutrophication Potential (EP) - kg N eq_Influent Pump Station; wastewater treatment unit; at updated plant - US_Without Amendment_Windrow</v>
      </c>
    </row>
    <row r="5200" spans="1:13" s="120" customFormat="1" x14ac:dyDescent="0.25">
      <c r="A5200" s="119"/>
      <c r="B5200" s="138" t="str">
        <f t="shared" si="343"/>
        <v>Windrow</v>
      </c>
      <c r="C5200" s="138" t="str">
        <f t="shared" si="348"/>
        <v>Without Amendment</v>
      </c>
      <c r="D5200" s="138" t="str">
        <f t="shared" si="345"/>
        <v>High_Low</v>
      </c>
      <c r="E5200" s="138" t="str">
        <f t="shared" si="346"/>
        <v>Base</v>
      </c>
      <c r="F5200" s="138" t="str">
        <f t="shared" si="344"/>
        <v>Upgraded</v>
      </c>
      <c r="G5200" s="153"/>
      <c r="H5200" s="210">
        <v>1.3599999999999999E-2</v>
      </c>
      <c r="I5200" s="160" t="s">
        <v>167</v>
      </c>
      <c r="J5200" s="160">
        <v>2.2000000000000001E-4</v>
      </c>
      <c r="K5200" s="160" t="s">
        <v>13</v>
      </c>
      <c r="L5200" s="154" t="str">
        <f>IF(OpenLCAbasic!K5200="CTUh", "Fill in Manually",IF(OR(K5200="Unit", K5200=""), "", INDEX(LookUps!$E$5:$E$12, MATCH(OpenLCAbasic!K5200,LookUps!$D$5:$D$12,0))))</f>
        <v>Eutrophication Potential (EP) - kg N eq</v>
      </c>
      <c r="M5200" s="154" t="str">
        <f t="shared" si="347"/>
        <v>Base_High_Low_Upgraded_Eutrophication Potential (EP) - kg N eq_Waste Receiving and Holding; wastewater treatment unit; at updated plant - US_Without Amendment_Windrow</v>
      </c>
    </row>
    <row r="5201" spans="1:13" s="120" customFormat="1" x14ac:dyDescent="0.25">
      <c r="A5201" s="119"/>
      <c r="B5201" s="138" t="str">
        <f t="shared" si="343"/>
        <v>Windrow</v>
      </c>
      <c r="C5201" s="138" t="str">
        <f t="shared" si="348"/>
        <v>Without Amendment</v>
      </c>
      <c r="D5201" s="138" t="str">
        <f t="shared" si="345"/>
        <v>High_Low</v>
      </c>
      <c r="E5201" s="138" t="str">
        <f t="shared" si="346"/>
        <v>Base</v>
      </c>
      <c r="F5201" s="138" t="str">
        <f t="shared" si="344"/>
        <v>Upgraded</v>
      </c>
      <c r="G5201" s="153"/>
      <c r="H5201" s="210">
        <v>1.2200000000000001E-2</v>
      </c>
      <c r="I5201" s="160" t="s">
        <v>54</v>
      </c>
      <c r="J5201" s="160">
        <v>2.0000000000000001E-4</v>
      </c>
      <c r="K5201" s="160" t="s">
        <v>13</v>
      </c>
      <c r="L5201" s="154" t="str">
        <f>IF(OpenLCAbasic!K5201="CTUh", "Fill in Manually",IF(OR(K5201="Unit", K5201=""), "", INDEX(LookUps!$E$5:$E$12, MATCH(OpenLCAbasic!K5201,LookUps!$D$5:$D$12,0))))</f>
        <v>Eutrophication Potential (EP) - kg N eq</v>
      </c>
      <c r="M5201" s="154" t="str">
        <f t="shared" si="347"/>
        <v>Base_High_Low_Upgraded_Eutrophication Potential (EP) - kg N eq_Clear Cove Primary Clarification; wastewater treatment unit; at updated plant - US_Without Amendment_Windrow</v>
      </c>
    </row>
    <row r="5202" spans="1:13" s="120" customFormat="1" x14ac:dyDescent="0.25">
      <c r="A5202" s="119"/>
      <c r="B5202" s="138" t="str">
        <f t="shared" si="343"/>
        <v>Windrow</v>
      </c>
      <c r="C5202" s="138" t="str">
        <f t="shared" si="348"/>
        <v>Without Amendment</v>
      </c>
      <c r="D5202" s="138" t="str">
        <f t="shared" si="345"/>
        <v>High_Low</v>
      </c>
      <c r="E5202" s="138" t="str">
        <f t="shared" si="346"/>
        <v>Base</v>
      </c>
      <c r="F5202" s="138" t="str">
        <f t="shared" si="344"/>
        <v>Upgraded</v>
      </c>
      <c r="G5202" s="153"/>
      <c r="H5202" s="210">
        <v>8.3999999999999995E-3</v>
      </c>
      <c r="I5202" s="160" t="s">
        <v>58</v>
      </c>
      <c r="J5202" s="160">
        <v>1.3999999999999999E-4</v>
      </c>
      <c r="K5202" s="160" t="s">
        <v>13</v>
      </c>
      <c r="L5202" s="154" t="str">
        <f>IF(OpenLCAbasic!K5202="CTUh", "Fill in Manually",IF(OR(K5202="Unit", K5202=""), "", INDEX(LookUps!$E$5:$E$12, MATCH(OpenLCAbasic!K5202,LookUps!$D$5:$D$12,0))))</f>
        <v>Eutrophication Potential (EP) - kg N eq</v>
      </c>
      <c r="M5202" s="154" t="str">
        <f t="shared" si="347"/>
        <v>Base_High_Low_Upgraded_Eutrophication Potential (EP) - kg N eq_Pre-Anoxic &amp; Swing tank; wastewater treatment unit; at updated plant - US_Without Amendment_Windrow</v>
      </c>
    </row>
    <row r="5203" spans="1:13" s="120" customFormat="1" x14ac:dyDescent="0.25">
      <c r="A5203" s="119"/>
      <c r="B5203" s="138" t="str">
        <f t="shared" si="343"/>
        <v>Windrow</v>
      </c>
      <c r="C5203" s="138" t="str">
        <f t="shared" si="348"/>
        <v>Without Amendment</v>
      </c>
      <c r="D5203" s="138" t="str">
        <f t="shared" si="345"/>
        <v>High_Low</v>
      </c>
      <c r="E5203" s="138" t="str">
        <f t="shared" si="346"/>
        <v>Base</v>
      </c>
      <c r="F5203" s="138" t="str">
        <f t="shared" si="344"/>
        <v>Upgraded</v>
      </c>
      <c r="G5203" s="153"/>
      <c r="H5203" s="210">
        <v>6.7999999999999996E-3</v>
      </c>
      <c r="I5203" s="160" t="s">
        <v>60</v>
      </c>
      <c r="J5203" s="160">
        <v>1.1E-4</v>
      </c>
      <c r="K5203" s="160" t="s">
        <v>13</v>
      </c>
      <c r="L5203" s="154" t="str">
        <f>IF(OpenLCAbasic!K5203="CTUh", "Fill in Manually",IF(OR(K5203="Unit", K5203=""), "", INDEX(LookUps!$E$5:$E$12, MATCH(OpenLCAbasic!K5203,LookUps!$D$5:$D$12,0))))</f>
        <v>Eutrophication Potential (EP) - kg N eq</v>
      </c>
      <c r="M5203" s="154" t="str">
        <f t="shared" si="347"/>
        <v>Base_High_Low_Upgraded_Eutrophication Potential (EP) - kg N eq_Belt filter press; wastewater treatment unit; at updated plant - US_Without Amendment_Windrow</v>
      </c>
    </row>
    <row r="5204" spans="1:13" s="120" customFormat="1" x14ac:dyDescent="0.25">
      <c r="A5204" s="119"/>
      <c r="B5204" s="138" t="str">
        <f t="shared" si="343"/>
        <v>Windrow</v>
      </c>
      <c r="C5204" s="138" t="str">
        <f t="shared" si="348"/>
        <v>Without Amendment</v>
      </c>
      <c r="D5204" s="138" t="str">
        <f t="shared" si="345"/>
        <v>High_Low</v>
      </c>
      <c r="E5204" s="138" t="str">
        <f t="shared" si="346"/>
        <v>Base</v>
      </c>
      <c r="F5204" s="138" t="str">
        <f t="shared" si="344"/>
        <v>Upgraded</v>
      </c>
      <c r="G5204" s="153"/>
      <c r="H5204" s="210">
        <v>6.6E-3</v>
      </c>
      <c r="I5204" s="160" t="s">
        <v>53</v>
      </c>
      <c r="J5204" s="211">
        <v>1.1E-4</v>
      </c>
      <c r="K5204" s="160" t="s">
        <v>13</v>
      </c>
      <c r="L5204" s="154" t="str">
        <f>IF(OpenLCAbasic!K5204="CTUh", "Fill in Manually",IF(OR(K5204="Unit", K5204=""), "", INDEX(LookUps!$E$5:$E$12, MATCH(OpenLCAbasic!K5204,LookUps!$D$5:$D$12,0))))</f>
        <v>Eutrophication Potential (EP) - kg N eq</v>
      </c>
      <c r="M5204" s="154" t="str">
        <f t="shared" si="347"/>
        <v>Base_High_Low_Upgraded_Eutrophication Potential (EP) - kg N eq_Wet Well and Sump Station; wastewater treatment unit; at updated plant - US_Without Amendment_Windrow</v>
      </c>
    </row>
    <row r="5205" spans="1:13" s="120" customFormat="1" x14ac:dyDescent="0.25">
      <c r="A5205" s="119"/>
      <c r="B5205" s="138" t="str">
        <f t="shared" si="343"/>
        <v>Windrow</v>
      </c>
      <c r="C5205" s="138" t="str">
        <f t="shared" si="348"/>
        <v>Without Amendment</v>
      </c>
      <c r="D5205" s="138" t="str">
        <f t="shared" si="345"/>
        <v>High_Low</v>
      </c>
      <c r="E5205" s="138" t="str">
        <f t="shared" si="346"/>
        <v>Base</v>
      </c>
      <c r="F5205" s="138" t="str">
        <f t="shared" si="344"/>
        <v>Upgraded</v>
      </c>
      <c r="G5205" s="153"/>
      <c r="H5205" s="210">
        <v>3.7000000000000002E-3</v>
      </c>
      <c r="I5205" s="160" t="s">
        <v>57</v>
      </c>
      <c r="J5205" s="211">
        <v>6.0590300000000002E-5</v>
      </c>
      <c r="K5205" s="160" t="s">
        <v>13</v>
      </c>
      <c r="L5205" s="154" t="str">
        <f>IF(OpenLCAbasic!K5205="CTUh", "Fill in Manually",IF(OR(K5205="Unit", K5205=""), "", INDEX(LookUps!$E$5:$E$12, MATCH(OpenLCAbasic!K5205,LookUps!$D$5:$D$12,0))))</f>
        <v>Eutrophication Potential (EP) - kg N eq</v>
      </c>
      <c r="M5205" s="154" t="str">
        <f t="shared" si="347"/>
        <v>Base_High_Low_Upgraded_Eutrophication Potential (EP) - kg N eq_Gravity Belt Thickener; wastewater treatment unit; at updated plant - US_Without Amendment_Windrow</v>
      </c>
    </row>
    <row r="5206" spans="1:13" s="120" customFormat="1" x14ac:dyDescent="0.25">
      <c r="A5206" s="119"/>
      <c r="B5206" s="138" t="str">
        <f t="shared" si="343"/>
        <v>Windrow</v>
      </c>
      <c r="C5206" s="138" t="str">
        <f t="shared" si="348"/>
        <v>Without Amendment</v>
      </c>
      <c r="D5206" s="138" t="str">
        <f t="shared" si="345"/>
        <v>High_Low</v>
      </c>
      <c r="E5206" s="138" t="str">
        <f t="shared" si="346"/>
        <v>Base</v>
      </c>
      <c r="F5206" s="138" t="str">
        <f t="shared" si="344"/>
        <v>Upgraded</v>
      </c>
      <c r="G5206" s="153"/>
      <c r="H5206" s="210">
        <v>2.3E-3</v>
      </c>
      <c r="I5206" s="160" t="s">
        <v>128</v>
      </c>
      <c r="J5206" s="211">
        <v>3.7559799999999999E-5</v>
      </c>
      <c r="K5206" s="160" t="s">
        <v>13</v>
      </c>
      <c r="L5206" s="154" t="str">
        <f>IF(OpenLCAbasic!K5206="CTUh", "Fill in Manually",IF(OR(K5206="Unit", K5206=""), "", INDEX(LookUps!$E$5:$E$12, MATCH(OpenLCAbasic!K5206,LookUps!$D$5:$D$12,0))))</f>
        <v>Eutrophication Potential (EP) - kg N eq</v>
      </c>
      <c r="M5206" s="154" t="str">
        <f t="shared" si="347"/>
        <v>Base_High_Low_Upgraded_Eutrophication Potential (EP) - kg N eq_Wastewater collection; operation and infrastructure; m3 wastewater_Without Amendment_Windrow</v>
      </c>
    </row>
    <row r="5207" spans="1:13" s="120" customFormat="1" x14ac:dyDescent="0.25">
      <c r="A5207" s="119"/>
      <c r="B5207" s="138" t="str">
        <f t="shared" si="343"/>
        <v>Windrow</v>
      </c>
      <c r="C5207" s="138" t="str">
        <f t="shared" si="348"/>
        <v>Without Amendment</v>
      </c>
      <c r="D5207" s="138" t="str">
        <f t="shared" si="345"/>
        <v>High_Low</v>
      </c>
      <c r="E5207" s="138" t="str">
        <f t="shared" si="346"/>
        <v>Base</v>
      </c>
      <c r="F5207" s="138" t="str">
        <f t="shared" si="344"/>
        <v>Upgraded</v>
      </c>
      <c r="G5207" s="153"/>
      <c r="H5207" s="210">
        <v>2.3E-3</v>
      </c>
      <c r="I5207" s="160" t="s">
        <v>148</v>
      </c>
      <c r="J5207" s="211">
        <v>3.6874600000000001E-5</v>
      </c>
      <c r="K5207" s="160" t="s">
        <v>13</v>
      </c>
      <c r="L5207" s="154" t="str">
        <f>IF(OpenLCAbasic!K5207="CTUh", "Fill in Manually",IF(OR(K5207="Unit", K5207=""), "", INDEX(LookUps!$E$5:$E$12, MATCH(OpenLCAbasic!K5207,LookUps!$D$5:$D$12,0))))</f>
        <v>Eutrophication Potential (EP) - kg N eq</v>
      </c>
      <c r="M5207" s="154" t="str">
        <f t="shared" si="347"/>
        <v>Base_High_Low_Upgraded_Eutrophication Potential (EP) - kg N eq_Control Building; at upgraded wastewater treatment plant - US_Without Amendment_Windrow</v>
      </c>
    </row>
    <row r="5208" spans="1:13" s="120" customFormat="1" x14ac:dyDescent="0.25">
      <c r="A5208" s="119"/>
      <c r="B5208" s="138" t="str">
        <f t="shared" si="343"/>
        <v>Windrow</v>
      </c>
      <c r="C5208" s="138" t="str">
        <f t="shared" si="348"/>
        <v>Without Amendment</v>
      </c>
      <c r="D5208" s="138" t="str">
        <f t="shared" si="345"/>
        <v>High_Low</v>
      </c>
      <c r="E5208" s="138" t="str">
        <f t="shared" si="346"/>
        <v>Base</v>
      </c>
      <c r="F5208" s="138" t="str">
        <f t="shared" si="344"/>
        <v>Upgraded</v>
      </c>
      <c r="G5208" s="153"/>
      <c r="H5208" s="210">
        <v>1E-3</v>
      </c>
      <c r="I5208" s="160" t="s">
        <v>59</v>
      </c>
      <c r="J5208" s="211">
        <v>1.6215700000000001E-5</v>
      </c>
      <c r="K5208" s="160" t="s">
        <v>13</v>
      </c>
      <c r="L5208" s="154" t="str">
        <f>IF(OpenLCAbasic!K5208="CTUh", "Fill in Manually",IF(OR(K5208="Unit", K5208=""), "", INDEX(LookUps!$E$5:$E$12, MATCH(OpenLCAbasic!K5208,LookUps!$D$5:$D$12,0))))</f>
        <v>Eutrophication Potential (EP) - kg N eq</v>
      </c>
      <c r="M5208" s="154" t="str">
        <f t="shared" si="347"/>
        <v>Base_High_Low_Upgraded_Eutrophication Potential (EP) - kg N eq_Blend Tank; wastewater treatment unit; at updated plant - US_Without Amendment_Windrow</v>
      </c>
    </row>
    <row r="5209" spans="1:13" s="120" customFormat="1" x14ac:dyDescent="0.25">
      <c r="A5209" s="119"/>
      <c r="B5209" s="138" t="str">
        <f t="shared" si="343"/>
        <v>Windrow</v>
      </c>
      <c r="C5209" s="138" t="str">
        <f t="shared" si="348"/>
        <v>Without Amendment</v>
      </c>
      <c r="D5209" s="138" t="str">
        <f t="shared" si="345"/>
        <v>High_Low</v>
      </c>
      <c r="E5209" s="138" t="str">
        <f t="shared" si="346"/>
        <v>Base</v>
      </c>
      <c r="F5209" s="138" t="str">
        <f t="shared" si="344"/>
        <v>Upgraded</v>
      </c>
      <c r="G5209" s="153"/>
      <c r="H5209" s="210">
        <v>5.0000000000000001E-4</v>
      </c>
      <c r="I5209" s="160" t="s">
        <v>168</v>
      </c>
      <c r="J5209" s="211">
        <v>7.7567199999999995E-6</v>
      </c>
      <c r="K5209" s="160" t="s">
        <v>13</v>
      </c>
      <c r="L5209" s="154" t="str">
        <f>IF(OpenLCAbasic!K5209="CTUh", "Fill in Manually",IF(OR(K5209="Unit", K5209=""), "", INDEX(LookUps!$E$5:$E$12, MATCH(OpenLCAbasic!K5209,LookUps!$D$5:$D$12,0))))</f>
        <v>Eutrophication Potential (EP) - kg N eq</v>
      </c>
      <c r="M5209" s="154" t="str">
        <f t="shared" si="347"/>
        <v>Base_High_Low_Upgraded_Eutrophication Potential (EP) - kg N eq_ClearCove SCP; wastewater treatment unit; at updated plant - US_Without Amendment_Windrow</v>
      </c>
    </row>
    <row r="5210" spans="1:13" s="120" customFormat="1" x14ac:dyDescent="0.25">
      <c r="A5210" s="119"/>
      <c r="B5210" s="138" t="str">
        <f t="shared" si="343"/>
        <v>Windrow</v>
      </c>
      <c r="C5210" s="138" t="str">
        <f t="shared" si="348"/>
        <v>Without Amendment</v>
      </c>
      <c r="D5210" s="138" t="str">
        <f t="shared" si="345"/>
        <v>High_Low</v>
      </c>
      <c r="E5210" s="138" t="str">
        <f t="shared" si="346"/>
        <v>Base</v>
      </c>
      <c r="F5210" s="138" t="str">
        <f t="shared" si="344"/>
        <v>Upgraded</v>
      </c>
      <c r="G5210" s="153"/>
      <c r="H5210" s="210">
        <v>-2.53E-2</v>
      </c>
      <c r="I5210" s="160" t="s">
        <v>149</v>
      </c>
      <c r="J5210" s="160">
        <v>-4.0999999999999999E-4</v>
      </c>
      <c r="K5210" s="160" t="s">
        <v>13</v>
      </c>
      <c r="L5210" s="154" t="str">
        <f>IF(OpenLCAbasic!K5210="CTUh", "Fill in Manually",IF(OR(K5210="Unit", K5210=""), "", INDEX(LookUps!$E$5:$E$12, MATCH(OpenLCAbasic!K5210,LookUps!$D$5:$D$12,0))))</f>
        <v>Eutrophication Potential (EP) - kg N eq</v>
      </c>
      <c r="M5210" s="154" t="str">
        <f t="shared" si="347"/>
        <v>Base_High_Low_Upgraded_Eutrophication Potential (EP) - kg N eq_Anaerobic Digestion; wastewater treatment unit; at updated plant - US_Without Amendment_Windrow</v>
      </c>
    </row>
    <row r="5211" spans="1:13" s="120" customFormat="1" x14ac:dyDescent="0.25">
      <c r="A5211" s="119"/>
      <c r="B5211" s="138" t="str">
        <f t="shared" si="343"/>
        <v/>
      </c>
      <c r="C5211" s="138" t="str">
        <f t="shared" si="348"/>
        <v/>
      </c>
      <c r="D5211" s="138" t="str">
        <f t="shared" si="345"/>
        <v/>
      </c>
      <c r="E5211" s="138" t="str">
        <f t="shared" si="346"/>
        <v/>
      </c>
      <c r="F5211" s="138" t="str">
        <f t="shared" si="344"/>
        <v/>
      </c>
      <c r="G5211" s="153" t="s">
        <v>51</v>
      </c>
      <c r="H5211" s="160"/>
      <c r="I5211" s="160" t="s">
        <v>47</v>
      </c>
      <c r="J5211" s="160" t="s">
        <v>52</v>
      </c>
      <c r="K5211" s="160" t="s">
        <v>27</v>
      </c>
      <c r="L5211" s="154" t="str">
        <f>IF(OpenLCAbasic!K5211="CTUh", "Fill in Manually",IF(OR(K5211="Unit", K5211=""), "", INDEX(LookUps!$E$5:$E$12, MATCH(OpenLCAbasic!K5211,LookUps!$D$5:$D$12,0))))</f>
        <v/>
      </c>
      <c r="M5211" s="154" t="str">
        <f t="shared" si="347"/>
        <v>____Process__</v>
      </c>
    </row>
    <row r="5212" spans="1:13" s="120" customFormat="1" x14ac:dyDescent="0.25">
      <c r="A5212" s="119"/>
      <c r="B5212" s="138" t="str">
        <f t="shared" si="343"/>
        <v>Windrow</v>
      </c>
      <c r="C5212" s="138" t="str">
        <f t="shared" si="348"/>
        <v>Without Amendment</v>
      </c>
      <c r="D5212" s="138" t="str">
        <f t="shared" si="345"/>
        <v>High_Low</v>
      </c>
      <c r="E5212" s="138" t="str">
        <f t="shared" si="346"/>
        <v>Base</v>
      </c>
      <c r="F5212" s="138" t="str">
        <f t="shared" si="344"/>
        <v>Upgraded</v>
      </c>
      <c r="G5212" s="153"/>
      <c r="H5212" s="210">
        <v>0.68520000000000003</v>
      </c>
      <c r="I5212" s="160" t="s">
        <v>167</v>
      </c>
      <c r="J5212" s="160">
        <v>0.11719</v>
      </c>
      <c r="K5212" s="160" t="s">
        <v>14</v>
      </c>
      <c r="L5212" s="154" t="str">
        <f>IF(OpenLCAbasic!K5212="CTUh", "Fill in Manually",IF(OR(K5212="Unit", K5212=""), "", INDEX(LookUps!$E$5:$E$12, MATCH(OpenLCAbasic!K5212,LookUps!$D$5:$D$12,0))))</f>
        <v>Fossil Depletion Potential (FDP) - kg oil eq</v>
      </c>
      <c r="M5212" s="154" t="str">
        <f t="shared" si="347"/>
        <v>Base_High_Low_Upgraded_Fossil Depletion Potential (FDP) - kg oil eq_Waste Receiving and Holding; wastewater treatment unit; at updated plant - US_Without Amendment_Windrow</v>
      </c>
    </row>
    <row r="5213" spans="1:13" s="120" customFormat="1" x14ac:dyDescent="0.25">
      <c r="A5213" s="119"/>
      <c r="B5213" s="138" t="str">
        <f t="shared" si="343"/>
        <v>Windrow</v>
      </c>
      <c r="C5213" s="138" t="str">
        <f t="shared" si="348"/>
        <v>Without Amendment</v>
      </c>
      <c r="D5213" s="138" t="str">
        <f t="shared" si="345"/>
        <v>High_Low</v>
      </c>
      <c r="E5213" s="138" t="str">
        <f t="shared" si="346"/>
        <v>Base</v>
      </c>
      <c r="F5213" s="138" t="str">
        <f t="shared" si="344"/>
        <v>Upgraded</v>
      </c>
      <c r="G5213" s="153"/>
      <c r="H5213" s="210">
        <v>0.37180000000000002</v>
      </c>
      <c r="I5213" s="160" t="s">
        <v>55</v>
      </c>
      <c r="J5213" s="160">
        <v>6.3589999999999994E-2</v>
      </c>
      <c r="K5213" s="160" t="s">
        <v>14</v>
      </c>
      <c r="L5213" s="154" t="str">
        <f>IF(OpenLCAbasic!K5213="CTUh", "Fill in Manually",IF(OR(K5213="Unit", K5213=""), "", INDEX(LookUps!$E$5:$E$12, MATCH(OpenLCAbasic!K5213,LookUps!$D$5:$D$12,0))))</f>
        <v>Fossil Depletion Potential (FDP) - kg oil eq</v>
      </c>
      <c r="M5213" s="154" t="str">
        <f t="shared" si="347"/>
        <v>Base_High_Low_Upgraded_Fossil Depletion Potential (FDP) - kg oil eq_Aeration Tanks; wastewater treatment unit; at updated plant - US_Without Amendment_Windrow</v>
      </c>
    </row>
    <row r="5214" spans="1:13" s="120" customFormat="1" x14ac:dyDescent="0.25">
      <c r="A5214" s="119"/>
      <c r="B5214" s="138" t="str">
        <f t="shared" si="343"/>
        <v>Windrow</v>
      </c>
      <c r="C5214" s="138" t="str">
        <f t="shared" si="348"/>
        <v>Without Amendment</v>
      </c>
      <c r="D5214" s="138" t="str">
        <f t="shared" si="345"/>
        <v>High_Low</v>
      </c>
      <c r="E5214" s="138" t="str">
        <f t="shared" si="346"/>
        <v>Base</v>
      </c>
      <c r="F5214" s="138" t="str">
        <f t="shared" si="344"/>
        <v>Upgraded</v>
      </c>
      <c r="G5214" s="153"/>
      <c r="H5214" s="210">
        <v>0.1231</v>
      </c>
      <c r="I5214" s="160" t="s">
        <v>54</v>
      </c>
      <c r="J5214" s="160">
        <v>2.1049999999999999E-2</v>
      </c>
      <c r="K5214" s="160" t="s">
        <v>14</v>
      </c>
      <c r="L5214" s="154" t="str">
        <f>IF(OpenLCAbasic!K5214="CTUh", "Fill in Manually",IF(OR(K5214="Unit", K5214=""), "", INDEX(LookUps!$E$5:$E$12, MATCH(OpenLCAbasic!K5214,LookUps!$D$5:$D$12,0))))</f>
        <v>Fossil Depletion Potential (FDP) - kg oil eq</v>
      </c>
      <c r="M5214" s="154" t="str">
        <f t="shared" si="347"/>
        <v>Base_High_Low_Upgraded_Fossil Depletion Potential (FDP) - kg oil eq_Clear Cove Primary Clarification; wastewater treatment unit; at updated plant - US_Without Amendment_Windrow</v>
      </c>
    </row>
    <row r="5215" spans="1:13" s="120" customFormat="1" x14ac:dyDescent="0.25">
      <c r="A5215" s="119"/>
      <c r="B5215" s="138" t="str">
        <f t="shared" si="343"/>
        <v>Windrow</v>
      </c>
      <c r="C5215" s="138" t="str">
        <f t="shared" si="348"/>
        <v>Without Amendment</v>
      </c>
      <c r="D5215" s="138" t="str">
        <f t="shared" si="345"/>
        <v>High_Low</v>
      </c>
      <c r="E5215" s="138" t="str">
        <f t="shared" si="346"/>
        <v>Base</v>
      </c>
      <c r="F5215" s="138" t="str">
        <f t="shared" si="344"/>
        <v>Upgraded</v>
      </c>
      <c r="G5215" s="153"/>
      <c r="H5215" s="210">
        <v>9.3799999999999994E-2</v>
      </c>
      <c r="I5215" s="160" t="s">
        <v>58</v>
      </c>
      <c r="J5215" s="160">
        <v>1.6039999999999999E-2</v>
      </c>
      <c r="K5215" s="160" t="s">
        <v>14</v>
      </c>
      <c r="L5215" s="154" t="str">
        <f>IF(OpenLCAbasic!K5215="CTUh", "Fill in Manually",IF(OR(K5215="Unit", K5215=""), "", INDEX(LookUps!$E$5:$E$12, MATCH(OpenLCAbasic!K5215,LookUps!$D$5:$D$12,0))))</f>
        <v>Fossil Depletion Potential (FDP) - kg oil eq</v>
      </c>
      <c r="M5215" s="154" t="str">
        <f t="shared" si="347"/>
        <v>Base_High_Low_Upgraded_Fossil Depletion Potential (FDP) - kg oil eq_Pre-Anoxic &amp; Swing tank; wastewater treatment unit; at updated plant - US_Without Amendment_Windrow</v>
      </c>
    </row>
    <row r="5216" spans="1:13" s="120" customFormat="1" x14ac:dyDescent="0.25">
      <c r="A5216" s="119"/>
      <c r="B5216" s="138" t="str">
        <f t="shared" si="343"/>
        <v>Windrow</v>
      </c>
      <c r="C5216" s="138" t="str">
        <f t="shared" si="348"/>
        <v>Without Amendment</v>
      </c>
      <c r="D5216" s="138" t="str">
        <f t="shared" si="345"/>
        <v>High_Low</v>
      </c>
      <c r="E5216" s="138" t="str">
        <f t="shared" si="346"/>
        <v>Base</v>
      </c>
      <c r="F5216" s="138" t="str">
        <f t="shared" si="344"/>
        <v>Upgraded</v>
      </c>
      <c r="G5216" s="153"/>
      <c r="H5216" s="210">
        <v>8.8200000000000001E-2</v>
      </c>
      <c r="I5216" s="160" t="s">
        <v>147</v>
      </c>
      <c r="J5216" s="160">
        <v>1.5089999999999999E-2</v>
      </c>
      <c r="K5216" s="160" t="s">
        <v>14</v>
      </c>
      <c r="L5216" s="154" t="str">
        <f>IF(OpenLCAbasic!K5216="CTUh", "Fill in Manually",IF(OR(K5216="Unit", K5216=""), "", INDEX(LookUps!$E$5:$E$12, MATCH(OpenLCAbasic!K5216,LookUps!$D$5:$D$12,0))))</f>
        <v>Fossil Depletion Potential (FDP) - kg oil eq</v>
      </c>
      <c r="M5216" s="154" t="str">
        <f t="shared" si="347"/>
        <v>Base_High_Low_Upgraded_Fossil Depletion Potential (FDP) - kg oil eq_Influent Pump Station; wastewater treatment unit; at updated plant - US_Without Amendment_Windrow</v>
      </c>
    </row>
    <row r="5217" spans="1:13" s="120" customFormat="1" x14ac:dyDescent="0.25">
      <c r="A5217" s="119"/>
      <c r="B5217" s="138" t="str">
        <f t="shared" si="343"/>
        <v>Windrow</v>
      </c>
      <c r="C5217" s="138" t="str">
        <f t="shared" si="348"/>
        <v>Without Amendment</v>
      </c>
      <c r="D5217" s="138" t="str">
        <f t="shared" si="345"/>
        <v>High_Low</v>
      </c>
      <c r="E5217" s="138" t="str">
        <f t="shared" si="346"/>
        <v>Base</v>
      </c>
      <c r="F5217" s="138" t="str">
        <f t="shared" si="344"/>
        <v>Upgraded</v>
      </c>
      <c r="G5217" s="153"/>
      <c r="H5217" s="210">
        <v>7.3999999999999996E-2</v>
      </c>
      <c r="I5217" s="160" t="s">
        <v>60</v>
      </c>
      <c r="J5217" s="160">
        <v>1.2659999999999999E-2</v>
      </c>
      <c r="K5217" s="160" t="s">
        <v>14</v>
      </c>
      <c r="L5217" s="154" t="str">
        <f>IF(OpenLCAbasic!K5217="CTUh", "Fill in Manually",IF(OR(K5217="Unit", K5217=""), "", INDEX(LookUps!$E$5:$E$12, MATCH(OpenLCAbasic!K5217,LookUps!$D$5:$D$12,0))))</f>
        <v>Fossil Depletion Potential (FDP) - kg oil eq</v>
      </c>
      <c r="M5217" s="154" t="str">
        <f t="shared" si="347"/>
        <v>Base_High_Low_Upgraded_Fossil Depletion Potential (FDP) - kg oil eq_Belt filter press; wastewater treatment unit; at updated plant - US_Without Amendment_Windrow</v>
      </c>
    </row>
    <row r="5218" spans="1:13" s="120" customFormat="1" x14ac:dyDescent="0.25">
      <c r="A5218" s="119"/>
      <c r="B5218" s="138" t="str">
        <f t="shared" si="343"/>
        <v>Windrow</v>
      </c>
      <c r="C5218" s="138" t="str">
        <f t="shared" si="348"/>
        <v>Without Amendment</v>
      </c>
      <c r="D5218" s="138" t="str">
        <f t="shared" si="345"/>
        <v>High_Low</v>
      </c>
      <c r="E5218" s="138" t="str">
        <f t="shared" si="346"/>
        <v>Base</v>
      </c>
      <c r="F5218" s="138" t="str">
        <f t="shared" si="344"/>
        <v>Upgraded</v>
      </c>
      <c r="G5218" s="153"/>
      <c r="H5218" s="210">
        <v>7.2999999999999995E-2</v>
      </c>
      <c r="I5218" s="160" t="s">
        <v>53</v>
      </c>
      <c r="J5218" s="160">
        <v>1.2489999999999999E-2</v>
      </c>
      <c r="K5218" s="160" t="s">
        <v>14</v>
      </c>
      <c r="L5218" s="154" t="str">
        <f>IF(OpenLCAbasic!K5218="CTUh", "Fill in Manually",IF(OR(K5218="Unit", K5218=""), "", INDEX(LookUps!$E$5:$E$12, MATCH(OpenLCAbasic!K5218,LookUps!$D$5:$D$12,0))))</f>
        <v>Fossil Depletion Potential (FDP) - kg oil eq</v>
      </c>
      <c r="M5218" s="154" t="str">
        <f t="shared" si="347"/>
        <v>Base_High_Low_Upgraded_Fossil Depletion Potential (FDP) - kg oil eq_Wet Well and Sump Station; wastewater treatment unit; at updated plant - US_Without Amendment_Windrow</v>
      </c>
    </row>
    <row r="5219" spans="1:13" s="120" customFormat="1" x14ac:dyDescent="0.25">
      <c r="A5219" s="119"/>
      <c r="B5219" s="138" t="str">
        <f t="shared" si="343"/>
        <v>Windrow</v>
      </c>
      <c r="C5219" s="138" t="str">
        <f t="shared" si="348"/>
        <v>Without Amendment</v>
      </c>
      <c r="D5219" s="138" t="str">
        <f t="shared" si="345"/>
        <v>High_Low</v>
      </c>
      <c r="E5219" s="138" t="str">
        <f t="shared" si="346"/>
        <v>Base</v>
      </c>
      <c r="F5219" s="138" t="str">
        <f t="shared" si="344"/>
        <v>Upgraded</v>
      </c>
      <c r="G5219" s="153"/>
      <c r="H5219" s="210">
        <v>4.0399999999999998E-2</v>
      </c>
      <c r="I5219" s="160" t="s">
        <v>57</v>
      </c>
      <c r="J5219" s="160">
        <v>6.9199999999999999E-3</v>
      </c>
      <c r="K5219" s="160" t="s">
        <v>14</v>
      </c>
      <c r="L5219" s="154" t="str">
        <f>IF(OpenLCAbasic!K5219="CTUh", "Fill in Manually",IF(OR(K5219="Unit", K5219=""), "", INDEX(LookUps!$E$5:$E$12, MATCH(OpenLCAbasic!K5219,LookUps!$D$5:$D$12,0))))</f>
        <v>Fossil Depletion Potential (FDP) - kg oil eq</v>
      </c>
      <c r="M5219" s="154" t="str">
        <f t="shared" si="347"/>
        <v>Base_High_Low_Upgraded_Fossil Depletion Potential (FDP) - kg oil eq_Gravity Belt Thickener; wastewater treatment unit; at updated plant - US_Without Amendment_Windrow</v>
      </c>
    </row>
    <row r="5220" spans="1:13" s="120" customFormat="1" x14ac:dyDescent="0.25">
      <c r="A5220" s="119"/>
      <c r="B5220" s="138" t="str">
        <f t="shared" si="343"/>
        <v>Windrow</v>
      </c>
      <c r="C5220" s="138" t="str">
        <f t="shared" si="348"/>
        <v>Without Amendment</v>
      </c>
      <c r="D5220" s="138" t="str">
        <f t="shared" si="345"/>
        <v>High_Low</v>
      </c>
      <c r="E5220" s="138" t="str">
        <f t="shared" si="346"/>
        <v>Base</v>
      </c>
      <c r="F5220" s="138" t="str">
        <f t="shared" si="344"/>
        <v>Upgraded</v>
      </c>
      <c r="G5220" s="153"/>
      <c r="H5220" s="210">
        <v>2.63E-2</v>
      </c>
      <c r="I5220" s="160" t="s">
        <v>128</v>
      </c>
      <c r="J5220" s="160">
        <v>4.4999999999999997E-3</v>
      </c>
      <c r="K5220" s="160" t="s">
        <v>14</v>
      </c>
      <c r="L5220" s="154" t="str">
        <f>IF(OpenLCAbasic!K5220="CTUh", "Fill in Manually",IF(OR(K5220="Unit", K5220=""), "", INDEX(LookUps!$E$5:$E$12, MATCH(OpenLCAbasic!K5220,LookUps!$D$5:$D$12,0))))</f>
        <v>Fossil Depletion Potential (FDP) - kg oil eq</v>
      </c>
      <c r="M5220" s="154" t="str">
        <f t="shared" si="347"/>
        <v>Base_High_Low_Upgraded_Fossil Depletion Potential (FDP) - kg oil eq_Wastewater collection; operation and infrastructure; m3 wastewater_Without Amendment_Windrow</v>
      </c>
    </row>
    <row r="5221" spans="1:13" s="120" customFormat="1" x14ac:dyDescent="0.25">
      <c r="A5221" s="119"/>
      <c r="B5221" s="138" t="str">
        <f t="shared" si="343"/>
        <v>Windrow</v>
      </c>
      <c r="C5221" s="138" t="str">
        <f t="shared" si="348"/>
        <v>Without Amendment</v>
      </c>
      <c r="D5221" s="138" t="str">
        <f t="shared" si="345"/>
        <v>High_Low</v>
      </c>
      <c r="E5221" s="138" t="str">
        <f t="shared" si="346"/>
        <v>Base</v>
      </c>
      <c r="F5221" s="138" t="str">
        <f t="shared" si="344"/>
        <v>Upgraded</v>
      </c>
      <c r="G5221" s="153"/>
      <c r="H5221" s="210">
        <v>1.6400000000000001E-2</v>
      </c>
      <c r="I5221" s="160" t="s">
        <v>148</v>
      </c>
      <c r="J5221" s="160">
        <v>2.8E-3</v>
      </c>
      <c r="K5221" s="160" t="s">
        <v>14</v>
      </c>
      <c r="L5221" s="154" t="str">
        <f>IF(OpenLCAbasic!K5221="CTUh", "Fill in Manually",IF(OR(K5221="Unit", K5221=""), "", INDEX(LookUps!$E$5:$E$12, MATCH(OpenLCAbasic!K5221,LookUps!$D$5:$D$12,0))))</f>
        <v>Fossil Depletion Potential (FDP) - kg oil eq</v>
      </c>
      <c r="M5221" s="154" t="str">
        <f t="shared" si="347"/>
        <v>Base_High_Low_Upgraded_Fossil Depletion Potential (FDP) - kg oil eq_Control Building; at upgraded wastewater treatment plant - US_Without Amendment_Windrow</v>
      </c>
    </row>
    <row r="5222" spans="1:13" s="120" customFormat="1" x14ac:dyDescent="0.25">
      <c r="A5222" s="119"/>
      <c r="B5222" s="138" t="str">
        <f t="shared" si="343"/>
        <v>Windrow</v>
      </c>
      <c r="C5222" s="138" t="str">
        <f t="shared" si="348"/>
        <v>Without Amendment</v>
      </c>
      <c r="D5222" s="138" t="str">
        <f t="shared" si="345"/>
        <v>High_Low</v>
      </c>
      <c r="E5222" s="138" t="str">
        <f t="shared" si="346"/>
        <v>Base</v>
      </c>
      <c r="F5222" s="138" t="str">
        <f t="shared" si="344"/>
        <v>Upgraded</v>
      </c>
      <c r="G5222" s="153"/>
      <c r="H5222" s="210">
        <v>1.38E-2</v>
      </c>
      <c r="I5222" s="160" t="s">
        <v>48</v>
      </c>
      <c r="J5222" s="160">
        <v>2.3600000000000001E-3</v>
      </c>
      <c r="K5222" s="160" t="s">
        <v>14</v>
      </c>
      <c r="L5222" s="154" t="str">
        <f>IF(OpenLCAbasic!K5222="CTUh", "Fill in Manually",IF(OR(K5222="Unit", K5222=""), "", INDEX(LookUps!$E$5:$E$12, MATCH(OpenLCAbasic!K5222,LookUps!$D$5:$D$12,0))))</f>
        <v>Fossil Depletion Potential (FDP) - kg oil eq</v>
      </c>
      <c r="M5222" s="154" t="str">
        <f t="shared" si="347"/>
        <v>Base_High_Low_Upgraded_Fossil Depletion Potential (FDP) - kg oil eq_Effluent release; wastewater treatment unit; at surface water; m3 wastewater - US_Without Amendment_Windrow</v>
      </c>
    </row>
    <row r="5223" spans="1:13" s="120" customFormat="1" x14ac:dyDescent="0.25">
      <c r="A5223" s="119"/>
      <c r="B5223" s="138" t="str">
        <f t="shared" si="343"/>
        <v>Windrow</v>
      </c>
      <c r="C5223" s="138" t="str">
        <f t="shared" si="348"/>
        <v>Without Amendment</v>
      </c>
      <c r="D5223" s="138" t="str">
        <f t="shared" si="345"/>
        <v>High_Low</v>
      </c>
      <c r="E5223" s="138" t="str">
        <f t="shared" si="346"/>
        <v>Base</v>
      </c>
      <c r="F5223" s="138" t="str">
        <f t="shared" si="344"/>
        <v>Upgraded</v>
      </c>
      <c r="G5223" s="153"/>
      <c r="H5223" s="210">
        <v>1.12E-2</v>
      </c>
      <c r="I5223" s="160" t="s">
        <v>59</v>
      </c>
      <c r="J5223" s="160">
        <v>1.92E-3</v>
      </c>
      <c r="K5223" s="160" t="s">
        <v>14</v>
      </c>
      <c r="L5223" s="154" t="str">
        <f>IF(OpenLCAbasic!K5223="CTUh", "Fill in Manually",IF(OR(K5223="Unit", K5223=""), "", INDEX(LookUps!$E$5:$E$12, MATCH(OpenLCAbasic!K5223,LookUps!$D$5:$D$12,0))))</f>
        <v>Fossil Depletion Potential (FDP) - kg oil eq</v>
      </c>
      <c r="M5223" s="154" t="str">
        <f t="shared" si="347"/>
        <v>Base_High_Low_Upgraded_Fossil Depletion Potential (FDP) - kg oil eq_Blend Tank; wastewater treatment unit; at updated plant - US_Without Amendment_Windrow</v>
      </c>
    </row>
    <row r="5224" spans="1:13" s="120" customFormat="1" x14ac:dyDescent="0.25">
      <c r="A5224" s="119"/>
      <c r="B5224" s="138" t="str">
        <f t="shared" ref="B5224:B5287" si="349">IF(F5224="Legacy","n.a.",IF(F5224="","","Windrow"))</f>
        <v>Windrow</v>
      </c>
      <c r="C5224" s="138" t="str">
        <f t="shared" si="348"/>
        <v>Without Amendment</v>
      </c>
      <c r="D5224" s="138" t="str">
        <f t="shared" si="345"/>
        <v>High_Low</v>
      </c>
      <c r="E5224" s="138" t="str">
        <f t="shared" si="346"/>
        <v>Base</v>
      </c>
      <c r="F5224" s="138" t="str">
        <f t="shared" ref="F5224:F5287" si="350">IF(ISNUMBER(J5224),"Upgraded","")</f>
        <v>Upgraded</v>
      </c>
      <c r="G5224" s="153"/>
      <c r="H5224" s="210">
        <v>5.3E-3</v>
      </c>
      <c r="I5224" s="160" t="s">
        <v>168</v>
      </c>
      <c r="J5224" s="160">
        <v>9.1E-4</v>
      </c>
      <c r="K5224" s="160" t="s">
        <v>14</v>
      </c>
      <c r="L5224" s="154" t="str">
        <f>IF(OpenLCAbasic!K5224="CTUh", "Fill in Manually",IF(OR(K5224="Unit", K5224=""), "", INDEX(LookUps!$E$5:$E$12, MATCH(OpenLCAbasic!K5224,LookUps!$D$5:$D$12,0))))</f>
        <v>Fossil Depletion Potential (FDP) - kg oil eq</v>
      </c>
      <c r="M5224" s="154" t="str">
        <f t="shared" si="347"/>
        <v>Base_High_Low_Upgraded_Fossil Depletion Potential (FDP) - kg oil eq_ClearCove SCP; wastewater treatment unit; at updated plant - US_Without Amendment_Windrow</v>
      </c>
    </row>
    <row r="5225" spans="1:13" s="120" customFormat="1" x14ac:dyDescent="0.25">
      <c r="A5225" s="119"/>
      <c r="B5225" s="138" t="str">
        <f t="shared" si="349"/>
        <v>Windrow</v>
      </c>
      <c r="C5225" s="138" t="str">
        <f t="shared" si="348"/>
        <v>Without Amendment</v>
      </c>
      <c r="D5225" s="138" t="str">
        <f t="shared" ref="D5225:D5288" si="351">IF(ISNUMBER($J5225),"High_Low","")</f>
        <v>High_Low</v>
      </c>
      <c r="E5225" s="138" t="str">
        <f t="shared" si="346"/>
        <v>Base</v>
      </c>
      <c r="F5225" s="138" t="str">
        <f t="shared" si="350"/>
        <v>Upgraded</v>
      </c>
      <c r="G5225" s="153"/>
      <c r="H5225" s="210">
        <v>5.3E-3</v>
      </c>
      <c r="I5225" s="160" t="s">
        <v>271</v>
      </c>
      <c r="J5225" s="160">
        <v>8.9999999999999998E-4</v>
      </c>
      <c r="K5225" s="160" t="s">
        <v>14</v>
      </c>
      <c r="L5225" s="154" t="str">
        <f>IF(OpenLCAbasic!K5225="CTUh", "Fill in Manually",IF(OR(K5225="Unit", K5225=""), "", INDEX(LookUps!$E$5:$E$12, MATCH(OpenLCAbasic!K5225,LookUps!$D$5:$D$12,0))))</f>
        <v>Fossil Depletion Potential (FDP) - kg oil eq</v>
      </c>
      <c r="M5225" s="154" t="str">
        <f t="shared" si="347"/>
        <v>Base_High_Low_Upgraded_Fossil Depletion Potential (FDP) - kg oil eq_Biosolids composting; windrow composting; wastewater treatment unit; at updated plant - US_Without Amendment_Windrow</v>
      </c>
    </row>
    <row r="5226" spans="1:13" s="120" customFormat="1" x14ac:dyDescent="0.25">
      <c r="A5226" s="119"/>
      <c r="B5226" s="138" t="str">
        <f t="shared" si="349"/>
        <v>Windrow</v>
      </c>
      <c r="C5226" s="138" t="str">
        <f t="shared" si="348"/>
        <v>Without Amendment</v>
      </c>
      <c r="D5226" s="138" t="str">
        <f t="shared" si="351"/>
        <v>High_Low</v>
      </c>
      <c r="E5226" s="138" t="str">
        <f t="shared" si="346"/>
        <v>Base</v>
      </c>
      <c r="F5226" s="138" t="str">
        <f t="shared" si="350"/>
        <v>Upgraded</v>
      </c>
      <c r="G5226" s="153"/>
      <c r="H5226" s="210">
        <v>-5.11E-2</v>
      </c>
      <c r="I5226" s="160" t="s">
        <v>62</v>
      </c>
      <c r="J5226" s="160">
        <v>-8.7399999999999995E-3</v>
      </c>
      <c r="K5226" s="160" t="s">
        <v>14</v>
      </c>
      <c r="L5226" s="154" t="str">
        <f>IF(OpenLCAbasic!K5226="CTUh", "Fill in Manually",IF(OR(K5226="Unit", K5226=""), "", INDEX(LookUps!$E$5:$E$12, MATCH(OpenLCAbasic!K5226,LookUps!$D$5:$D$12,0))))</f>
        <v>Fossil Depletion Potential (FDP) - kg oil eq</v>
      </c>
      <c r="M5226" s="154" t="str">
        <f t="shared" si="347"/>
        <v>Base_High_Low_Upgraded_Fossil Depletion Potential (FDP) - kg oil eq_Land application of compost; wastewater treatment unit; at updated plant - US_Without Amendment_Windrow</v>
      </c>
    </row>
    <row r="5227" spans="1:13" s="120" customFormat="1" x14ac:dyDescent="0.25">
      <c r="A5227" s="119"/>
      <c r="B5227" s="138" t="str">
        <f t="shared" si="349"/>
        <v>Windrow</v>
      </c>
      <c r="C5227" s="138" t="str">
        <f t="shared" si="348"/>
        <v>Without Amendment</v>
      </c>
      <c r="D5227" s="138" t="str">
        <f t="shared" si="351"/>
        <v>High_Low</v>
      </c>
      <c r="E5227" s="138" t="str">
        <f t="shared" si="346"/>
        <v>Base</v>
      </c>
      <c r="F5227" s="138" t="str">
        <f t="shared" si="350"/>
        <v>Upgraded</v>
      </c>
      <c r="G5227" s="153"/>
      <c r="H5227" s="210">
        <v>-0.57669999999999999</v>
      </c>
      <c r="I5227" s="160" t="s">
        <v>149</v>
      </c>
      <c r="J5227" s="160">
        <v>-9.8640000000000005E-2</v>
      </c>
      <c r="K5227" s="160" t="s">
        <v>14</v>
      </c>
      <c r="L5227" s="154" t="str">
        <f>IF(OpenLCAbasic!K5227="CTUh", "Fill in Manually",IF(OR(K5227="Unit", K5227=""), "", INDEX(LookUps!$E$5:$E$12, MATCH(OpenLCAbasic!K5227,LookUps!$D$5:$D$12,0))))</f>
        <v>Fossil Depletion Potential (FDP) - kg oil eq</v>
      </c>
      <c r="M5227" s="154" t="str">
        <f t="shared" si="347"/>
        <v>Base_High_Low_Upgraded_Fossil Depletion Potential (FDP) - kg oil eq_Anaerobic Digestion; wastewater treatment unit; at updated plant - US_Without Amendment_Windrow</v>
      </c>
    </row>
    <row r="5228" spans="1:13" s="120" customFormat="1" x14ac:dyDescent="0.25">
      <c r="A5228" s="119"/>
      <c r="B5228" s="138" t="str">
        <f t="shared" si="349"/>
        <v/>
      </c>
      <c r="C5228" s="138" t="str">
        <f t="shared" si="348"/>
        <v/>
      </c>
      <c r="D5228" s="138" t="str">
        <f t="shared" si="351"/>
        <v/>
      </c>
      <c r="E5228" s="138" t="str">
        <f t="shared" si="346"/>
        <v/>
      </c>
      <c r="F5228" s="138" t="str">
        <f t="shared" si="350"/>
        <v/>
      </c>
      <c r="G5228" s="153" t="s">
        <v>51</v>
      </c>
      <c r="H5228" s="160"/>
      <c r="I5228" s="160" t="s">
        <v>47</v>
      </c>
      <c r="J5228" s="160" t="s">
        <v>52</v>
      </c>
      <c r="K5228" s="160" t="s">
        <v>27</v>
      </c>
      <c r="L5228" s="154" t="str">
        <f>IF(OpenLCAbasic!K5228="CTUh", "Fill in Manually",IF(OR(K5228="Unit", K5228=""), "", INDEX(LookUps!$E$5:$E$12, MATCH(OpenLCAbasic!K5228,LookUps!$D$5:$D$12,0))))</f>
        <v/>
      </c>
      <c r="M5228" s="154" t="str">
        <f t="shared" si="347"/>
        <v>____Process__</v>
      </c>
    </row>
    <row r="5229" spans="1:13" s="120" customFormat="1" x14ac:dyDescent="0.25">
      <c r="A5229" s="119"/>
      <c r="B5229" s="138" t="str">
        <f t="shared" si="349"/>
        <v>Windrow</v>
      </c>
      <c r="C5229" s="138" t="str">
        <f t="shared" si="348"/>
        <v>Without Amendment</v>
      </c>
      <c r="D5229" s="138" t="str">
        <f t="shared" si="351"/>
        <v>High_Low</v>
      </c>
      <c r="E5229" s="138" t="str">
        <f t="shared" si="346"/>
        <v>Base</v>
      </c>
      <c r="F5229" s="138" t="str">
        <f t="shared" si="350"/>
        <v>Upgraded</v>
      </c>
      <c r="G5229" s="153"/>
      <c r="H5229" s="210">
        <v>0.69350000000000001</v>
      </c>
      <c r="I5229" s="160" t="s">
        <v>271</v>
      </c>
      <c r="J5229" s="160">
        <v>0.81672</v>
      </c>
      <c r="K5229" s="160" t="s">
        <v>23</v>
      </c>
      <c r="L5229" s="154" t="str">
        <f>IF(OpenLCAbasic!K5229="CTUh", "Fill in Manually",IF(OR(K5229="Unit", K5229=""), "", INDEX(LookUps!$E$5:$E$12, MATCH(OpenLCAbasic!K5229,LookUps!$D$5:$D$12,0))))</f>
        <v>Global Warming Potential (GWP) - kg CO2 eq</v>
      </c>
      <c r="M5229" s="154" t="str">
        <f t="shared" si="347"/>
        <v>Base_High_Low_Upgraded_Global Warming Potential (GWP) - kg CO2 eq_Biosolids composting; windrow composting; wastewater treatment unit; at updated plant - US_Without Amendment_Windrow</v>
      </c>
    </row>
    <row r="5230" spans="1:13" s="120" customFormat="1" x14ac:dyDescent="0.25">
      <c r="A5230" s="119"/>
      <c r="B5230" s="138" t="str">
        <f t="shared" si="349"/>
        <v>Windrow</v>
      </c>
      <c r="C5230" s="138" t="str">
        <f t="shared" si="348"/>
        <v>Without Amendment</v>
      </c>
      <c r="D5230" s="138" t="str">
        <f t="shared" si="351"/>
        <v>High_Low</v>
      </c>
      <c r="E5230" s="138" t="str">
        <f t="shared" si="346"/>
        <v>Base</v>
      </c>
      <c r="F5230" s="138" t="str">
        <f t="shared" si="350"/>
        <v>Upgraded</v>
      </c>
      <c r="G5230" s="153"/>
      <c r="H5230" s="210">
        <v>0.2122</v>
      </c>
      <c r="I5230" s="160" t="s">
        <v>58</v>
      </c>
      <c r="J5230" s="160">
        <v>0.24992</v>
      </c>
      <c r="K5230" s="160" t="s">
        <v>23</v>
      </c>
      <c r="L5230" s="154" t="str">
        <f>IF(OpenLCAbasic!K5230="CTUh", "Fill in Manually",IF(OR(K5230="Unit", K5230=""), "", INDEX(LookUps!$E$5:$E$12, MATCH(OpenLCAbasic!K5230,LookUps!$D$5:$D$12,0))))</f>
        <v>Global Warming Potential (GWP) - kg CO2 eq</v>
      </c>
      <c r="M5230" s="154" t="str">
        <f t="shared" si="347"/>
        <v>Base_High_Low_Upgraded_Global Warming Potential (GWP) - kg CO2 eq_Pre-Anoxic &amp; Swing tank; wastewater treatment unit; at updated plant - US_Without Amendment_Windrow</v>
      </c>
    </row>
    <row r="5231" spans="1:13" s="120" customFormat="1" x14ac:dyDescent="0.25">
      <c r="A5231" s="119"/>
      <c r="B5231" s="138" t="str">
        <f t="shared" si="349"/>
        <v>Windrow</v>
      </c>
      <c r="C5231" s="138" t="str">
        <f t="shared" si="348"/>
        <v>Without Amendment</v>
      </c>
      <c r="D5231" s="138" t="str">
        <f t="shared" si="351"/>
        <v>High_Low</v>
      </c>
      <c r="E5231" s="138" t="str">
        <f t="shared" si="346"/>
        <v>Base</v>
      </c>
      <c r="F5231" s="138" t="str">
        <f t="shared" si="350"/>
        <v>Upgraded</v>
      </c>
      <c r="G5231" s="153"/>
      <c r="H5231" s="210">
        <v>0.14280000000000001</v>
      </c>
      <c r="I5231" s="160" t="s">
        <v>55</v>
      </c>
      <c r="J5231" s="160">
        <v>0.16822000000000001</v>
      </c>
      <c r="K5231" s="160" t="s">
        <v>23</v>
      </c>
      <c r="L5231" s="154" t="str">
        <f>IF(OpenLCAbasic!K5231="CTUh", "Fill in Manually",IF(OR(K5231="Unit", K5231=""), "", INDEX(LookUps!$E$5:$E$12, MATCH(OpenLCAbasic!K5231,LookUps!$D$5:$D$12,0))))</f>
        <v>Global Warming Potential (GWP) - kg CO2 eq</v>
      </c>
      <c r="M5231" s="154" t="str">
        <f t="shared" si="347"/>
        <v>Base_High_Low_Upgraded_Global Warming Potential (GWP) - kg CO2 eq_Aeration Tanks; wastewater treatment unit; at updated plant - US_Without Amendment_Windrow</v>
      </c>
    </row>
    <row r="5232" spans="1:13" s="120" customFormat="1" x14ac:dyDescent="0.25">
      <c r="A5232" s="119"/>
      <c r="B5232" s="138" t="str">
        <f t="shared" si="349"/>
        <v>Windrow</v>
      </c>
      <c r="C5232" s="138" t="str">
        <f t="shared" si="348"/>
        <v>Without Amendment</v>
      </c>
      <c r="D5232" s="138" t="str">
        <f t="shared" si="351"/>
        <v>High_Low</v>
      </c>
      <c r="E5232" s="138" t="str">
        <f t="shared" si="346"/>
        <v>Base</v>
      </c>
      <c r="F5232" s="138" t="str">
        <f t="shared" si="350"/>
        <v>Upgraded</v>
      </c>
      <c r="G5232" s="153"/>
      <c r="H5232" s="210">
        <v>0.12470000000000001</v>
      </c>
      <c r="I5232" s="160" t="s">
        <v>167</v>
      </c>
      <c r="J5232" s="160">
        <v>0.14685000000000001</v>
      </c>
      <c r="K5232" s="160" t="s">
        <v>23</v>
      </c>
      <c r="L5232" s="154" t="str">
        <f>IF(OpenLCAbasic!K5232="CTUh", "Fill in Manually",IF(OR(K5232="Unit", K5232=""), "", INDEX(LookUps!$E$5:$E$12, MATCH(OpenLCAbasic!K5232,LookUps!$D$5:$D$12,0))))</f>
        <v>Global Warming Potential (GWP) - kg CO2 eq</v>
      </c>
      <c r="M5232" s="154" t="str">
        <f t="shared" si="347"/>
        <v>Base_High_Low_Upgraded_Global Warming Potential (GWP) - kg CO2 eq_Waste Receiving and Holding; wastewater treatment unit; at updated plant - US_Without Amendment_Windrow</v>
      </c>
    </row>
    <row r="5233" spans="1:13" s="120" customFormat="1" x14ac:dyDescent="0.25">
      <c r="A5233" s="119"/>
      <c r="B5233" s="138" t="str">
        <f t="shared" si="349"/>
        <v>Windrow</v>
      </c>
      <c r="C5233" s="138" t="str">
        <f t="shared" si="348"/>
        <v>Without Amendment</v>
      </c>
      <c r="D5233" s="138" t="str">
        <f t="shared" si="351"/>
        <v>High_Low</v>
      </c>
      <c r="E5233" s="138" t="str">
        <f t="shared" ref="E5233:E5296" si="352">IF(ISNUMBER($J5233),"Base","")</f>
        <v>Base</v>
      </c>
      <c r="F5233" s="138" t="str">
        <f t="shared" si="350"/>
        <v>Upgraded</v>
      </c>
      <c r="G5233" s="153"/>
      <c r="H5233" s="210">
        <v>4.8500000000000001E-2</v>
      </c>
      <c r="I5233" s="160" t="s">
        <v>54</v>
      </c>
      <c r="J5233" s="160">
        <v>5.7079999999999999E-2</v>
      </c>
      <c r="K5233" s="160" t="s">
        <v>23</v>
      </c>
      <c r="L5233" s="154" t="str">
        <f>IF(OpenLCAbasic!K5233="CTUh", "Fill in Manually",IF(OR(K5233="Unit", K5233=""), "", INDEX(LookUps!$E$5:$E$12, MATCH(OpenLCAbasic!K5233,LookUps!$D$5:$D$12,0))))</f>
        <v>Global Warming Potential (GWP) - kg CO2 eq</v>
      </c>
      <c r="M5233" s="154" t="str">
        <f t="shared" si="347"/>
        <v>Base_High_Low_Upgraded_Global Warming Potential (GWP) - kg CO2 eq_Clear Cove Primary Clarification; wastewater treatment unit; at updated plant - US_Without Amendment_Windrow</v>
      </c>
    </row>
    <row r="5234" spans="1:13" s="120" customFormat="1" x14ac:dyDescent="0.25">
      <c r="A5234" s="119"/>
      <c r="B5234" s="138" t="str">
        <f t="shared" si="349"/>
        <v>Windrow</v>
      </c>
      <c r="C5234" s="138" t="str">
        <f t="shared" si="348"/>
        <v>Without Amendment</v>
      </c>
      <c r="D5234" s="138" t="str">
        <f t="shared" si="351"/>
        <v>High_Low</v>
      </c>
      <c r="E5234" s="138" t="str">
        <f t="shared" si="352"/>
        <v>Base</v>
      </c>
      <c r="F5234" s="138" t="str">
        <f t="shared" si="350"/>
        <v>Upgraded</v>
      </c>
      <c r="G5234" s="153"/>
      <c r="H5234" s="210">
        <v>4.4699999999999997E-2</v>
      </c>
      <c r="I5234" s="160" t="s">
        <v>48</v>
      </c>
      <c r="J5234" s="160">
        <v>5.2639999999999999E-2</v>
      </c>
      <c r="K5234" s="160" t="s">
        <v>23</v>
      </c>
      <c r="L5234" s="154" t="str">
        <f>IF(OpenLCAbasic!K5234="CTUh", "Fill in Manually",IF(OR(K5234="Unit", K5234=""), "", INDEX(LookUps!$E$5:$E$12, MATCH(OpenLCAbasic!K5234,LookUps!$D$5:$D$12,0))))</f>
        <v>Global Warming Potential (GWP) - kg CO2 eq</v>
      </c>
      <c r="M5234" s="154" t="str">
        <f t="shared" si="347"/>
        <v>Base_High_Low_Upgraded_Global Warming Potential (GWP) - kg CO2 eq_Effluent release; wastewater treatment unit; at surface water; m3 wastewater - US_Without Amendment_Windrow</v>
      </c>
    </row>
    <row r="5235" spans="1:13" s="120" customFormat="1" x14ac:dyDescent="0.25">
      <c r="A5235" s="119"/>
      <c r="B5235" s="138" t="str">
        <f t="shared" si="349"/>
        <v>Windrow</v>
      </c>
      <c r="C5235" s="138" t="str">
        <f t="shared" si="348"/>
        <v>Without Amendment</v>
      </c>
      <c r="D5235" s="138" t="str">
        <f t="shared" si="351"/>
        <v>High_Low</v>
      </c>
      <c r="E5235" s="138" t="str">
        <f t="shared" si="352"/>
        <v>Base</v>
      </c>
      <c r="F5235" s="138" t="str">
        <f t="shared" si="350"/>
        <v>Upgraded</v>
      </c>
      <c r="G5235" s="153"/>
      <c r="H5235" s="210">
        <v>4.2900000000000001E-2</v>
      </c>
      <c r="I5235" s="160" t="s">
        <v>147</v>
      </c>
      <c r="J5235" s="160">
        <v>5.0500000000000003E-2</v>
      </c>
      <c r="K5235" s="160" t="s">
        <v>23</v>
      </c>
      <c r="L5235" s="154" t="str">
        <f>IF(OpenLCAbasic!K5235="CTUh", "Fill in Manually",IF(OR(K5235="Unit", K5235=""), "", INDEX(LookUps!$E$5:$E$12, MATCH(OpenLCAbasic!K5235,LookUps!$D$5:$D$12,0))))</f>
        <v>Global Warming Potential (GWP) - kg CO2 eq</v>
      </c>
      <c r="M5235" s="154" t="str">
        <f t="shared" si="347"/>
        <v>Base_High_Low_Upgraded_Global Warming Potential (GWP) - kg CO2 eq_Influent Pump Station; wastewater treatment unit; at updated plant - US_Without Amendment_Windrow</v>
      </c>
    </row>
    <row r="5236" spans="1:13" s="120" customFormat="1" x14ac:dyDescent="0.25">
      <c r="A5236" s="119"/>
      <c r="B5236" s="138" t="str">
        <f t="shared" si="349"/>
        <v>Windrow</v>
      </c>
      <c r="C5236" s="138" t="str">
        <f t="shared" si="348"/>
        <v>Without Amendment</v>
      </c>
      <c r="D5236" s="138" t="str">
        <f t="shared" si="351"/>
        <v>High_Low</v>
      </c>
      <c r="E5236" s="138" t="str">
        <f t="shared" si="352"/>
        <v>Base</v>
      </c>
      <c r="F5236" s="138" t="str">
        <f t="shared" si="350"/>
        <v>Upgraded</v>
      </c>
      <c r="G5236" s="153"/>
      <c r="H5236" s="210">
        <v>2.8199999999999999E-2</v>
      </c>
      <c r="I5236" s="160" t="s">
        <v>53</v>
      </c>
      <c r="J5236" s="160">
        <v>3.3259999999999998E-2</v>
      </c>
      <c r="K5236" s="160" t="s">
        <v>23</v>
      </c>
      <c r="L5236" s="154" t="str">
        <f>IF(OpenLCAbasic!K5236="CTUh", "Fill in Manually",IF(OR(K5236="Unit", K5236=""), "", INDEX(LookUps!$E$5:$E$12, MATCH(OpenLCAbasic!K5236,LookUps!$D$5:$D$12,0))))</f>
        <v>Global Warming Potential (GWP) - kg CO2 eq</v>
      </c>
      <c r="M5236" s="154" t="str">
        <f t="shared" si="347"/>
        <v>Base_High_Low_Upgraded_Global Warming Potential (GWP) - kg CO2 eq_Wet Well and Sump Station; wastewater treatment unit; at updated plant - US_Without Amendment_Windrow</v>
      </c>
    </row>
    <row r="5237" spans="1:13" s="120" customFormat="1" x14ac:dyDescent="0.25">
      <c r="A5237" s="119"/>
      <c r="B5237" s="138" t="str">
        <f t="shared" si="349"/>
        <v>Windrow</v>
      </c>
      <c r="C5237" s="138" t="str">
        <f t="shared" si="348"/>
        <v>Without Amendment</v>
      </c>
      <c r="D5237" s="138" t="str">
        <f t="shared" si="351"/>
        <v>High_Low</v>
      </c>
      <c r="E5237" s="138" t="str">
        <f t="shared" si="352"/>
        <v>Base</v>
      </c>
      <c r="F5237" s="138" t="str">
        <f t="shared" si="350"/>
        <v>Upgraded</v>
      </c>
      <c r="G5237" s="153"/>
      <c r="H5237" s="210">
        <v>2.3599999999999999E-2</v>
      </c>
      <c r="I5237" s="160" t="s">
        <v>60</v>
      </c>
      <c r="J5237" s="160">
        <v>2.7820000000000001E-2</v>
      </c>
      <c r="K5237" s="160" t="s">
        <v>23</v>
      </c>
      <c r="L5237" s="154" t="str">
        <f>IF(OpenLCAbasic!K5237="CTUh", "Fill in Manually",IF(OR(K5237="Unit", K5237=""), "", INDEX(LookUps!$E$5:$E$12, MATCH(OpenLCAbasic!K5237,LookUps!$D$5:$D$12,0))))</f>
        <v>Global Warming Potential (GWP) - kg CO2 eq</v>
      </c>
      <c r="M5237" s="154" t="str">
        <f t="shared" si="347"/>
        <v>Base_High_Low_Upgraded_Global Warming Potential (GWP) - kg CO2 eq_Belt filter press; wastewater treatment unit; at updated plant - US_Without Amendment_Windrow</v>
      </c>
    </row>
    <row r="5238" spans="1:13" s="120" customFormat="1" x14ac:dyDescent="0.25">
      <c r="A5238" s="119"/>
      <c r="B5238" s="138" t="str">
        <f t="shared" si="349"/>
        <v>Windrow</v>
      </c>
      <c r="C5238" s="138" t="str">
        <f t="shared" si="348"/>
        <v>Without Amendment</v>
      </c>
      <c r="D5238" s="138" t="str">
        <f t="shared" si="351"/>
        <v>High_Low</v>
      </c>
      <c r="E5238" s="138" t="str">
        <f t="shared" si="352"/>
        <v>Base</v>
      </c>
      <c r="F5238" s="138" t="str">
        <f t="shared" si="350"/>
        <v>Upgraded</v>
      </c>
      <c r="G5238" s="153"/>
      <c r="H5238" s="210">
        <v>1.24E-2</v>
      </c>
      <c r="I5238" s="160" t="s">
        <v>57</v>
      </c>
      <c r="J5238" s="160">
        <v>1.455E-2</v>
      </c>
      <c r="K5238" s="160" t="s">
        <v>23</v>
      </c>
      <c r="L5238" s="154" t="str">
        <f>IF(OpenLCAbasic!K5238="CTUh", "Fill in Manually",IF(OR(K5238="Unit", K5238=""), "", INDEX(LookUps!$E$5:$E$12, MATCH(OpenLCAbasic!K5238,LookUps!$D$5:$D$12,0))))</f>
        <v>Global Warming Potential (GWP) - kg CO2 eq</v>
      </c>
      <c r="M5238" s="154" t="str">
        <f t="shared" si="347"/>
        <v>Base_High_Low_Upgraded_Global Warming Potential (GWP) - kg CO2 eq_Gravity Belt Thickener; wastewater treatment unit; at updated plant - US_Without Amendment_Windrow</v>
      </c>
    </row>
    <row r="5239" spans="1:13" s="120" customFormat="1" x14ac:dyDescent="0.25">
      <c r="A5239" s="119"/>
      <c r="B5239" s="138" t="str">
        <f t="shared" si="349"/>
        <v>Windrow</v>
      </c>
      <c r="C5239" s="138" t="str">
        <f t="shared" si="348"/>
        <v>Without Amendment</v>
      </c>
      <c r="D5239" s="138" t="str">
        <f t="shared" si="351"/>
        <v>High_Low</v>
      </c>
      <c r="E5239" s="138" t="str">
        <f t="shared" si="352"/>
        <v>Base</v>
      </c>
      <c r="F5239" s="138" t="str">
        <f t="shared" si="350"/>
        <v>Upgraded</v>
      </c>
      <c r="G5239" s="153"/>
      <c r="H5239" s="210">
        <v>1.15E-2</v>
      </c>
      <c r="I5239" s="160" t="s">
        <v>128</v>
      </c>
      <c r="J5239" s="160">
        <v>1.3509999999999999E-2</v>
      </c>
      <c r="K5239" s="160" t="s">
        <v>23</v>
      </c>
      <c r="L5239" s="154" t="str">
        <f>IF(OpenLCAbasic!K5239="CTUh", "Fill in Manually",IF(OR(K5239="Unit", K5239=""), "", INDEX(LookUps!$E$5:$E$12, MATCH(OpenLCAbasic!K5239,LookUps!$D$5:$D$12,0))))</f>
        <v>Global Warming Potential (GWP) - kg CO2 eq</v>
      </c>
      <c r="M5239" s="154" t="str">
        <f t="shared" si="347"/>
        <v>Base_High_Low_Upgraded_Global Warming Potential (GWP) - kg CO2 eq_Wastewater collection; operation and infrastructure; m3 wastewater_Without Amendment_Windrow</v>
      </c>
    </row>
    <row r="5240" spans="1:13" s="120" customFormat="1" x14ac:dyDescent="0.25">
      <c r="A5240" s="119"/>
      <c r="B5240" s="138" t="str">
        <f t="shared" si="349"/>
        <v>Windrow</v>
      </c>
      <c r="C5240" s="138" t="str">
        <f t="shared" si="348"/>
        <v>Without Amendment</v>
      </c>
      <c r="D5240" s="138" t="str">
        <f t="shared" si="351"/>
        <v>High_Low</v>
      </c>
      <c r="E5240" s="138" t="str">
        <f t="shared" si="352"/>
        <v>Base</v>
      </c>
      <c r="F5240" s="138" t="str">
        <f t="shared" si="350"/>
        <v>Upgraded</v>
      </c>
      <c r="G5240" s="153"/>
      <c r="H5240" s="210">
        <v>7.0000000000000001E-3</v>
      </c>
      <c r="I5240" s="160" t="s">
        <v>148</v>
      </c>
      <c r="J5240" s="160">
        <v>8.3000000000000001E-3</v>
      </c>
      <c r="K5240" s="160" t="s">
        <v>23</v>
      </c>
      <c r="L5240" s="154" t="str">
        <f>IF(OpenLCAbasic!K5240="CTUh", "Fill in Manually",IF(OR(K5240="Unit", K5240=""), "", INDEX(LookUps!$E$5:$E$12, MATCH(OpenLCAbasic!K5240,LookUps!$D$5:$D$12,0))))</f>
        <v>Global Warming Potential (GWP) - kg CO2 eq</v>
      </c>
      <c r="M5240" s="154" t="str">
        <f t="shared" si="347"/>
        <v>Base_High_Low_Upgraded_Global Warming Potential (GWP) - kg CO2 eq_Control Building; at upgraded wastewater treatment plant - US_Without Amendment_Windrow</v>
      </c>
    </row>
    <row r="5241" spans="1:13" s="120" customFormat="1" x14ac:dyDescent="0.25">
      <c r="A5241" s="119"/>
      <c r="B5241" s="138" t="str">
        <f t="shared" si="349"/>
        <v>Windrow</v>
      </c>
      <c r="C5241" s="138" t="str">
        <f t="shared" si="348"/>
        <v>Without Amendment</v>
      </c>
      <c r="D5241" s="138" t="str">
        <f t="shared" si="351"/>
        <v>High_Low</v>
      </c>
      <c r="E5241" s="138" t="str">
        <f t="shared" si="352"/>
        <v>Base</v>
      </c>
      <c r="F5241" s="138" t="str">
        <f t="shared" si="350"/>
        <v>Upgraded</v>
      </c>
      <c r="G5241" s="153"/>
      <c r="H5241" s="210">
        <v>4.3E-3</v>
      </c>
      <c r="I5241" s="160" t="s">
        <v>59</v>
      </c>
      <c r="J5241" s="160">
        <v>5.0400000000000002E-3</v>
      </c>
      <c r="K5241" s="160" t="s">
        <v>23</v>
      </c>
      <c r="L5241" s="154" t="str">
        <f>IF(OpenLCAbasic!K5241="CTUh", "Fill in Manually",IF(OR(K5241="Unit", K5241=""), "", INDEX(LookUps!$E$5:$E$12, MATCH(OpenLCAbasic!K5241,LookUps!$D$5:$D$12,0))))</f>
        <v>Global Warming Potential (GWP) - kg CO2 eq</v>
      </c>
      <c r="M5241" s="154" t="str">
        <f t="shared" si="347"/>
        <v>Base_High_Low_Upgraded_Global Warming Potential (GWP) - kg CO2 eq_Blend Tank; wastewater treatment unit; at updated plant - US_Without Amendment_Windrow</v>
      </c>
    </row>
    <row r="5242" spans="1:13" s="120" customFormat="1" x14ac:dyDescent="0.25">
      <c r="A5242" s="119"/>
      <c r="B5242" s="138" t="str">
        <f t="shared" si="349"/>
        <v>Windrow</v>
      </c>
      <c r="C5242" s="138" t="str">
        <f t="shared" si="348"/>
        <v>Without Amendment</v>
      </c>
      <c r="D5242" s="138" t="str">
        <f t="shared" si="351"/>
        <v>High_Low</v>
      </c>
      <c r="E5242" s="138" t="str">
        <f t="shared" si="352"/>
        <v>Base</v>
      </c>
      <c r="F5242" s="138" t="str">
        <f t="shared" si="350"/>
        <v>Upgraded</v>
      </c>
      <c r="G5242" s="153"/>
      <c r="H5242" s="210">
        <v>2E-3</v>
      </c>
      <c r="I5242" s="160" t="s">
        <v>168</v>
      </c>
      <c r="J5242" s="160">
        <v>2.4099999999999998E-3</v>
      </c>
      <c r="K5242" s="160" t="s">
        <v>23</v>
      </c>
      <c r="L5242" s="154" t="str">
        <f>IF(OpenLCAbasic!K5242="CTUh", "Fill in Manually",IF(OR(K5242="Unit", K5242=""), "", INDEX(LookUps!$E$5:$E$12, MATCH(OpenLCAbasic!K5242,LookUps!$D$5:$D$12,0))))</f>
        <v>Global Warming Potential (GWP) - kg CO2 eq</v>
      </c>
      <c r="M5242" s="154" t="str">
        <f t="shared" si="347"/>
        <v>Base_High_Low_Upgraded_Global Warming Potential (GWP) - kg CO2 eq_ClearCove SCP; wastewater treatment unit; at updated plant - US_Without Amendment_Windrow</v>
      </c>
    </row>
    <row r="5243" spans="1:13" s="120" customFormat="1" x14ac:dyDescent="0.25">
      <c r="A5243" s="119"/>
      <c r="B5243" s="138" t="str">
        <f t="shared" si="349"/>
        <v>Windrow</v>
      </c>
      <c r="C5243" s="138" t="str">
        <f t="shared" si="348"/>
        <v>Without Amendment</v>
      </c>
      <c r="D5243" s="138" t="str">
        <f t="shared" si="351"/>
        <v>High_Low</v>
      </c>
      <c r="E5243" s="138" t="str">
        <f t="shared" si="352"/>
        <v>Base</v>
      </c>
      <c r="F5243" s="138" t="str">
        <f t="shared" si="350"/>
        <v>Upgraded</v>
      </c>
      <c r="G5243" s="153"/>
      <c r="H5243" s="210">
        <v>-0.14480000000000001</v>
      </c>
      <c r="I5243" s="160" t="s">
        <v>149</v>
      </c>
      <c r="J5243" s="160">
        <v>-0.17055999999999999</v>
      </c>
      <c r="K5243" s="160" t="s">
        <v>23</v>
      </c>
      <c r="L5243" s="154" t="str">
        <f>IF(OpenLCAbasic!K5243="CTUh", "Fill in Manually",IF(OR(K5243="Unit", K5243=""), "", INDEX(LookUps!$E$5:$E$12, MATCH(OpenLCAbasic!K5243,LookUps!$D$5:$D$12,0))))</f>
        <v>Global Warming Potential (GWP) - kg CO2 eq</v>
      </c>
      <c r="M5243" s="154" t="str">
        <f t="shared" ref="M5243:M5306" si="353">CONCATENATE(E5243,"_",D5243,"_",F5243,"_",L5243, "_",I5243,"_", C5243,"_", B5243)</f>
        <v>Base_High_Low_Upgraded_Global Warming Potential (GWP) - kg CO2 eq_Anaerobic Digestion; wastewater treatment unit; at updated plant - US_Without Amendment_Windrow</v>
      </c>
    </row>
    <row r="5244" spans="1:13" s="120" customFormat="1" x14ac:dyDescent="0.25">
      <c r="A5244" s="119"/>
      <c r="B5244" s="138" t="str">
        <f t="shared" si="349"/>
        <v>Windrow</v>
      </c>
      <c r="C5244" s="138" t="str">
        <f t="shared" si="348"/>
        <v>Without Amendment</v>
      </c>
      <c r="D5244" s="138" t="str">
        <f t="shared" si="351"/>
        <v>High_Low</v>
      </c>
      <c r="E5244" s="138" t="str">
        <f t="shared" si="352"/>
        <v>Base</v>
      </c>
      <c r="F5244" s="138" t="str">
        <f t="shared" si="350"/>
        <v>Upgraded</v>
      </c>
      <c r="G5244" s="153"/>
      <c r="H5244" s="210">
        <v>-0.2535</v>
      </c>
      <c r="I5244" s="160" t="s">
        <v>62</v>
      </c>
      <c r="J5244" s="160">
        <v>-0.29854999999999998</v>
      </c>
      <c r="K5244" s="160" t="s">
        <v>23</v>
      </c>
      <c r="L5244" s="154" t="str">
        <f>IF(OpenLCAbasic!K5244="CTUh", "Fill in Manually",IF(OR(K5244="Unit", K5244=""), "", INDEX(LookUps!$E$5:$E$12, MATCH(OpenLCAbasic!K5244,LookUps!$D$5:$D$12,0))))</f>
        <v>Global Warming Potential (GWP) - kg CO2 eq</v>
      </c>
      <c r="M5244" s="154" t="str">
        <f t="shared" si="353"/>
        <v>Base_High_Low_Upgraded_Global Warming Potential (GWP) - kg CO2 eq_Land application of compost; wastewater treatment unit; at updated plant - US_Without Amendment_Windrow</v>
      </c>
    </row>
    <row r="5245" spans="1:13" s="120" customFormat="1" x14ac:dyDescent="0.25">
      <c r="A5245" s="119"/>
      <c r="B5245" s="138" t="str">
        <f t="shared" si="349"/>
        <v/>
      </c>
      <c r="C5245" s="138" t="str">
        <f t="shared" si="348"/>
        <v/>
      </c>
      <c r="D5245" s="138" t="str">
        <f t="shared" si="351"/>
        <v/>
      </c>
      <c r="E5245" s="138" t="str">
        <f t="shared" si="352"/>
        <v/>
      </c>
      <c r="F5245" s="138" t="str">
        <f t="shared" si="350"/>
        <v/>
      </c>
      <c r="G5245" s="153" t="s">
        <v>51</v>
      </c>
      <c r="H5245" s="160"/>
      <c r="I5245" s="160" t="s">
        <v>47</v>
      </c>
      <c r="J5245" s="160" t="s">
        <v>52</v>
      </c>
      <c r="K5245" s="160" t="s">
        <v>27</v>
      </c>
      <c r="L5245" s="154" t="str">
        <f>IF(OpenLCAbasic!K5245="CTUh", "Fill in Manually",IF(OR(K5245="Unit", K5245=""), "", INDEX(LookUps!$E$5:$E$12, MATCH(OpenLCAbasic!K5245,LookUps!$D$5:$D$12,0))))</f>
        <v/>
      </c>
      <c r="M5245" s="154" t="str">
        <f t="shared" si="353"/>
        <v>____Process__</v>
      </c>
    </row>
    <row r="5246" spans="1:13" s="120" customFormat="1" x14ac:dyDescent="0.25">
      <c r="A5246" s="119"/>
      <c r="B5246" s="138" t="str">
        <f t="shared" si="349"/>
        <v>Windrow</v>
      </c>
      <c r="C5246" s="138" t="str">
        <f t="shared" si="348"/>
        <v>Without Amendment</v>
      </c>
      <c r="D5246" s="138" t="str">
        <f t="shared" si="351"/>
        <v>High_Low</v>
      </c>
      <c r="E5246" s="138" t="str">
        <f t="shared" si="352"/>
        <v>Base</v>
      </c>
      <c r="F5246" s="138" t="str">
        <f t="shared" si="350"/>
        <v>Upgraded</v>
      </c>
      <c r="G5246" s="153"/>
      <c r="H5246" s="210">
        <v>0.60050000000000003</v>
      </c>
      <c r="I5246" s="160" t="s">
        <v>55</v>
      </c>
      <c r="J5246" s="160">
        <v>2.33E-3</v>
      </c>
      <c r="K5246" s="160" t="s">
        <v>145</v>
      </c>
      <c r="L5246" s="154" t="str">
        <f>IF(OpenLCAbasic!K5246="CTUh", "Fill in Manually",IF(OR(K5246="Unit", K5246=""), "", INDEX(LookUps!$E$5:$E$12, MATCH(OpenLCAbasic!K5246,LookUps!$D$5:$D$12,0))))</f>
        <v>Particulate Matter Formation Potential (PMFP) - kg PM2.5 eq</v>
      </c>
      <c r="M5246" s="154" t="str">
        <f t="shared" si="353"/>
        <v>Base_High_Low_Upgraded_Particulate Matter Formation Potential (PMFP) - kg PM2.5 eq_Aeration Tanks; wastewater treatment unit; at updated plant - US_Without Amendment_Windrow</v>
      </c>
    </row>
    <row r="5247" spans="1:13" s="120" customFormat="1" x14ac:dyDescent="0.25">
      <c r="A5247" s="119"/>
      <c r="B5247" s="138" t="str">
        <f t="shared" si="349"/>
        <v>Windrow</v>
      </c>
      <c r="C5247" s="138" t="str">
        <f t="shared" si="348"/>
        <v>Without Amendment</v>
      </c>
      <c r="D5247" s="138" t="str">
        <f t="shared" si="351"/>
        <v>High_Low</v>
      </c>
      <c r="E5247" s="138" t="str">
        <f t="shared" si="352"/>
        <v>Base</v>
      </c>
      <c r="F5247" s="138" t="str">
        <f t="shared" si="350"/>
        <v>Upgraded</v>
      </c>
      <c r="G5247" s="153"/>
      <c r="H5247" s="210">
        <v>0.17469999999999999</v>
      </c>
      <c r="I5247" s="160" t="s">
        <v>54</v>
      </c>
      <c r="J5247" s="160">
        <v>6.8000000000000005E-4</v>
      </c>
      <c r="K5247" s="160" t="s">
        <v>145</v>
      </c>
      <c r="L5247" s="154" t="str">
        <f>IF(OpenLCAbasic!K5247="CTUh", "Fill in Manually",IF(OR(K5247="Unit", K5247=""), "", INDEX(LookUps!$E$5:$E$12, MATCH(OpenLCAbasic!K5247,LookUps!$D$5:$D$12,0))))</f>
        <v>Particulate Matter Formation Potential (PMFP) - kg PM2.5 eq</v>
      </c>
      <c r="M5247" s="154" t="str">
        <f t="shared" si="353"/>
        <v>Base_High_Low_Upgraded_Particulate Matter Formation Potential (PMFP) - kg PM2.5 eq_Clear Cove Primary Clarification; wastewater treatment unit; at updated plant - US_Without Amendment_Windrow</v>
      </c>
    </row>
    <row r="5248" spans="1:13" s="120" customFormat="1" x14ac:dyDescent="0.25">
      <c r="A5248" s="119"/>
      <c r="B5248" s="138" t="str">
        <f t="shared" si="349"/>
        <v>Windrow</v>
      </c>
      <c r="C5248" s="138" t="str">
        <f t="shared" si="348"/>
        <v>Without Amendment</v>
      </c>
      <c r="D5248" s="138" t="str">
        <f t="shared" si="351"/>
        <v>High_Low</v>
      </c>
      <c r="E5248" s="138" t="str">
        <f t="shared" si="352"/>
        <v>Base</v>
      </c>
      <c r="F5248" s="138" t="str">
        <f t="shared" si="350"/>
        <v>Upgraded</v>
      </c>
      <c r="G5248" s="153"/>
      <c r="H5248" s="210">
        <v>0.15210000000000001</v>
      </c>
      <c r="I5248" s="160" t="s">
        <v>58</v>
      </c>
      <c r="J5248" s="160">
        <v>5.9000000000000003E-4</v>
      </c>
      <c r="K5248" s="160" t="s">
        <v>145</v>
      </c>
      <c r="L5248" s="154" t="str">
        <f>IF(OpenLCAbasic!K5248="CTUh", "Fill in Manually",IF(OR(K5248="Unit", K5248=""), "", INDEX(LookUps!$E$5:$E$12, MATCH(OpenLCAbasic!K5248,LookUps!$D$5:$D$12,0))))</f>
        <v>Particulate Matter Formation Potential (PMFP) - kg PM2.5 eq</v>
      </c>
      <c r="M5248" s="154" t="str">
        <f t="shared" si="353"/>
        <v>Base_High_Low_Upgraded_Particulate Matter Formation Potential (PMFP) - kg PM2.5 eq_Pre-Anoxic &amp; Swing tank; wastewater treatment unit; at updated plant - US_Without Amendment_Windrow</v>
      </c>
    </row>
    <row r="5249" spans="1:13" s="120" customFormat="1" x14ac:dyDescent="0.25">
      <c r="A5249" s="119"/>
      <c r="B5249" s="138" t="str">
        <f t="shared" si="349"/>
        <v>Windrow</v>
      </c>
      <c r="C5249" s="138" t="str">
        <f t="shared" ref="C5249:C5312" si="354">IF(ISNUMBER($J5249),"Without Amendment","")</f>
        <v>Without Amendment</v>
      </c>
      <c r="D5249" s="138" t="str">
        <f t="shared" si="351"/>
        <v>High_Low</v>
      </c>
      <c r="E5249" s="138" t="str">
        <f t="shared" si="352"/>
        <v>Base</v>
      </c>
      <c r="F5249" s="138" t="str">
        <f t="shared" si="350"/>
        <v>Upgraded</v>
      </c>
      <c r="G5249" s="153"/>
      <c r="H5249" s="210">
        <v>0.1201</v>
      </c>
      <c r="I5249" s="160" t="s">
        <v>53</v>
      </c>
      <c r="J5249" s="160">
        <v>4.6999999999999999E-4</v>
      </c>
      <c r="K5249" s="160" t="s">
        <v>145</v>
      </c>
      <c r="L5249" s="154" t="str">
        <f>IF(OpenLCAbasic!K5249="CTUh", "Fill in Manually",IF(OR(K5249="Unit", K5249=""), "", INDEX(LookUps!$E$5:$E$12, MATCH(OpenLCAbasic!K5249,LookUps!$D$5:$D$12,0))))</f>
        <v>Particulate Matter Formation Potential (PMFP) - kg PM2.5 eq</v>
      </c>
      <c r="M5249" s="154" t="str">
        <f t="shared" si="353"/>
        <v>Base_High_Low_Upgraded_Particulate Matter Formation Potential (PMFP) - kg PM2.5 eq_Wet Well and Sump Station; wastewater treatment unit; at updated plant - US_Without Amendment_Windrow</v>
      </c>
    </row>
    <row r="5250" spans="1:13" s="120" customFormat="1" x14ac:dyDescent="0.25">
      <c r="A5250" s="119"/>
      <c r="B5250" s="138" t="str">
        <f t="shared" si="349"/>
        <v>Windrow</v>
      </c>
      <c r="C5250" s="138" t="str">
        <f t="shared" si="354"/>
        <v>Without Amendment</v>
      </c>
      <c r="D5250" s="138" t="str">
        <f t="shared" si="351"/>
        <v>High_Low</v>
      </c>
      <c r="E5250" s="138" t="str">
        <f t="shared" si="352"/>
        <v>Base</v>
      </c>
      <c r="F5250" s="138" t="str">
        <f t="shared" si="350"/>
        <v>Upgraded</v>
      </c>
      <c r="G5250" s="153"/>
      <c r="H5250" s="210">
        <v>8.5300000000000001E-2</v>
      </c>
      <c r="I5250" s="160" t="s">
        <v>167</v>
      </c>
      <c r="J5250" s="160">
        <v>3.3E-4</v>
      </c>
      <c r="K5250" s="160" t="s">
        <v>145</v>
      </c>
      <c r="L5250" s="154" t="str">
        <f>IF(OpenLCAbasic!K5250="CTUh", "Fill in Manually",IF(OR(K5250="Unit", K5250=""), "", INDEX(LookUps!$E$5:$E$12, MATCH(OpenLCAbasic!K5250,LookUps!$D$5:$D$12,0))))</f>
        <v>Particulate Matter Formation Potential (PMFP) - kg PM2.5 eq</v>
      </c>
      <c r="M5250" s="154" t="str">
        <f t="shared" si="353"/>
        <v>Base_High_Low_Upgraded_Particulate Matter Formation Potential (PMFP) - kg PM2.5 eq_Waste Receiving and Holding; wastewater treatment unit; at updated plant - US_Without Amendment_Windrow</v>
      </c>
    </row>
    <row r="5251" spans="1:13" s="120" customFormat="1" x14ac:dyDescent="0.25">
      <c r="A5251" s="119"/>
      <c r="B5251" s="138" t="str">
        <f t="shared" si="349"/>
        <v>Windrow</v>
      </c>
      <c r="C5251" s="138" t="str">
        <f t="shared" si="354"/>
        <v>Without Amendment</v>
      </c>
      <c r="D5251" s="138" t="str">
        <f t="shared" si="351"/>
        <v>High_Low</v>
      </c>
      <c r="E5251" s="138" t="str">
        <f t="shared" si="352"/>
        <v>Base</v>
      </c>
      <c r="F5251" s="138" t="str">
        <f t="shared" si="350"/>
        <v>Upgraded</v>
      </c>
      <c r="G5251" s="153"/>
      <c r="H5251" s="210">
        <v>7.2499999999999995E-2</v>
      </c>
      <c r="I5251" s="160" t="s">
        <v>271</v>
      </c>
      <c r="J5251" s="160">
        <v>2.7999999999999998E-4</v>
      </c>
      <c r="K5251" s="160" t="s">
        <v>145</v>
      </c>
      <c r="L5251" s="154" t="str">
        <f>IF(OpenLCAbasic!K5251="CTUh", "Fill in Manually",IF(OR(K5251="Unit", K5251=""), "", INDEX(LookUps!$E$5:$E$12, MATCH(OpenLCAbasic!K5251,LookUps!$D$5:$D$12,0))))</f>
        <v>Particulate Matter Formation Potential (PMFP) - kg PM2.5 eq</v>
      </c>
      <c r="M5251" s="154" t="str">
        <f t="shared" si="353"/>
        <v>Base_High_Low_Upgraded_Particulate Matter Formation Potential (PMFP) - kg PM2.5 eq_Biosolids composting; windrow composting; wastewater treatment unit; at updated plant - US_Without Amendment_Windrow</v>
      </c>
    </row>
    <row r="5252" spans="1:13" s="120" customFormat="1" x14ac:dyDescent="0.25">
      <c r="A5252" s="119"/>
      <c r="B5252" s="138" t="str">
        <f t="shared" si="349"/>
        <v>Windrow</v>
      </c>
      <c r="C5252" s="138" t="str">
        <f t="shared" si="354"/>
        <v>Without Amendment</v>
      </c>
      <c r="D5252" s="138" t="str">
        <f t="shared" si="351"/>
        <v>High_Low</v>
      </c>
      <c r="E5252" s="138" t="str">
        <f t="shared" si="352"/>
        <v>Base</v>
      </c>
      <c r="F5252" s="138" t="str">
        <f t="shared" si="350"/>
        <v>Upgraded</v>
      </c>
      <c r="G5252" s="153"/>
      <c r="H5252" s="210">
        <v>6.8599999999999994E-2</v>
      </c>
      <c r="I5252" s="160" t="s">
        <v>147</v>
      </c>
      <c r="J5252" s="160">
        <v>2.7E-4</v>
      </c>
      <c r="K5252" s="160" t="s">
        <v>145</v>
      </c>
      <c r="L5252" s="154" t="str">
        <f>IF(OpenLCAbasic!K5252="CTUh", "Fill in Manually",IF(OR(K5252="Unit", K5252=""), "", INDEX(LookUps!$E$5:$E$12, MATCH(OpenLCAbasic!K5252,LookUps!$D$5:$D$12,0))))</f>
        <v>Particulate Matter Formation Potential (PMFP) - kg PM2.5 eq</v>
      </c>
      <c r="M5252" s="154" t="str">
        <f t="shared" si="353"/>
        <v>Base_High_Low_Upgraded_Particulate Matter Formation Potential (PMFP) - kg PM2.5 eq_Influent Pump Station; wastewater treatment unit; at updated plant - US_Without Amendment_Windrow</v>
      </c>
    </row>
    <row r="5253" spans="1:13" s="120" customFormat="1" x14ac:dyDescent="0.25">
      <c r="A5253" s="119"/>
      <c r="B5253" s="138" t="str">
        <f t="shared" si="349"/>
        <v>Windrow</v>
      </c>
      <c r="C5253" s="138" t="str">
        <f t="shared" si="354"/>
        <v>Without Amendment</v>
      </c>
      <c r="D5253" s="138" t="str">
        <f t="shared" si="351"/>
        <v>High_Low</v>
      </c>
      <c r="E5253" s="138" t="str">
        <f t="shared" si="352"/>
        <v>Base</v>
      </c>
      <c r="F5253" s="138" t="str">
        <f t="shared" si="350"/>
        <v>Upgraded</v>
      </c>
      <c r="G5253" s="153"/>
      <c r="H5253" s="210">
        <v>5.8500000000000003E-2</v>
      </c>
      <c r="I5253" s="160" t="s">
        <v>60</v>
      </c>
      <c r="J5253" s="160">
        <v>2.3000000000000001E-4</v>
      </c>
      <c r="K5253" s="160" t="s">
        <v>145</v>
      </c>
      <c r="L5253" s="154" t="str">
        <f>IF(OpenLCAbasic!K5253="CTUh", "Fill in Manually",IF(OR(K5253="Unit", K5253=""), "", INDEX(LookUps!$E$5:$E$12, MATCH(OpenLCAbasic!K5253,LookUps!$D$5:$D$12,0))))</f>
        <v>Particulate Matter Formation Potential (PMFP) - kg PM2.5 eq</v>
      </c>
      <c r="M5253" s="154" t="str">
        <f t="shared" si="353"/>
        <v>Base_High_Low_Upgraded_Particulate Matter Formation Potential (PMFP) - kg PM2.5 eq_Belt filter press; wastewater treatment unit; at updated plant - US_Without Amendment_Windrow</v>
      </c>
    </row>
    <row r="5254" spans="1:13" s="120" customFormat="1" x14ac:dyDescent="0.25">
      <c r="A5254" s="119"/>
      <c r="B5254" s="138" t="str">
        <f t="shared" si="349"/>
        <v>Windrow</v>
      </c>
      <c r="C5254" s="138" t="str">
        <f t="shared" si="354"/>
        <v>Without Amendment</v>
      </c>
      <c r="D5254" s="138" t="str">
        <f t="shared" si="351"/>
        <v>High_Low</v>
      </c>
      <c r="E5254" s="138" t="str">
        <f t="shared" si="352"/>
        <v>Base</v>
      </c>
      <c r="F5254" s="138" t="str">
        <f t="shared" si="350"/>
        <v>Upgraded</v>
      </c>
      <c r="G5254" s="153"/>
      <c r="H5254" s="210">
        <v>4.2799999999999998E-2</v>
      </c>
      <c r="I5254" s="160" t="s">
        <v>128</v>
      </c>
      <c r="J5254" s="160">
        <v>1.7000000000000001E-4</v>
      </c>
      <c r="K5254" s="160" t="s">
        <v>145</v>
      </c>
      <c r="L5254" s="154" t="str">
        <f>IF(OpenLCAbasic!K5254="CTUh", "Fill in Manually",IF(OR(K5254="Unit", K5254=""), "", INDEX(LookUps!$E$5:$E$12, MATCH(OpenLCAbasic!K5254,LookUps!$D$5:$D$12,0))))</f>
        <v>Particulate Matter Formation Potential (PMFP) - kg PM2.5 eq</v>
      </c>
      <c r="M5254" s="154" t="str">
        <f t="shared" si="353"/>
        <v>Base_High_Low_Upgraded_Particulate Matter Formation Potential (PMFP) - kg PM2.5 eq_Wastewater collection; operation and infrastructure; m3 wastewater_Without Amendment_Windrow</v>
      </c>
    </row>
    <row r="5255" spans="1:13" s="120" customFormat="1" x14ac:dyDescent="0.25">
      <c r="A5255" s="119"/>
      <c r="B5255" s="138" t="str">
        <f t="shared" si="349"/>
        <v>Windrow</v>
      </c>
      <c r="C5255" s="138" t="str">
        <f t="shared" si="354"/>
        <v>Without Amendment</v>
      </c>
      <c r="D5255" s="138" t="str">
        <f t="shared" si="351"/>
        <v>High_Low</v>
      </c>
      <c r="E5255" s="138" t="str">
        <f t="shared" si="352"/>
        <v>Base</v>
      </c>
      <c r="F5255" s="138" t="str">
        <f t="shared" si="350"/>
        <v>Upgraded</v>
      </c>
      <c r="G5255" s="153"/>
      <c r="H5255" s="210">
        <v>2.4500000000000001E-2</v>
      </c>
      <c r="I5255" s="160" t="s">
        <v>57</v>
      </c>
      <c r="J5255" s="211">
        <v>9.5153800000000004E-5</v>
      </c>
      <c r="K5255" s="160" t="s">
        <v>145</v>
      </c>
      <c r="L5255" s="154" t="str">
        <f>IF(OpenLCAbasic!K5255="CTUh", "Fill in Manually",IF(OR(K5255="Unit", K5255=""), "", INDEX(LookUps!$E$5:$E$12, MATCH(OpenLCAbasic!K5255,LookUps!$D$5:$D$12,0))))</f>
        <v>Particulate Matter Formation Potential (PMFP) - kg PM2.5 eq</v>
      </c>
      <c r="M5255" s="154" t="str">
        <f t="shared" si="353"/>
        <v>Base_High_Low_Upgraded_Particulate Matter Formation Potential (PMFP) - kg PM2.5 eq_Gravity Belt Thickener; wastewater treatment unit; at updated plant - US_Without Amendment_Windrow</v>
      </c>
    </row>
    <row r="5256" spans="1:13" s="120" customFormat="1" x14ac:dyDescent="0.25">
      <c r="A5256" s="119"/>
      <c r="B5256" s="138" t="str">
        <f t="shared" si="349"/>
        <v>Windrow</v>
      </c>
      <c r="C5256" s="138" t="str">
        <f t="shared" si="354"/>
        <v>Without Amendment</v>
      </c>
      <c r="D5256" s="138" t="str">
        <f t="shared" si="351"/>
        <v>High_Low</v>
      </c>
      <c r="E5256" s="138" t="str">
        <f t="shared" si="352"/>
        <v>Base</v>
      </c>
      <c r="F5256" s="138" t="str">
        <f t="shared" si="350"/>
        <v>Upgraded</v>
      </c>
      <c r="G5256" s="153"/>
      <c r="H5256" s="210">
        <v>1.7999999999999999E-2</v>
      </c>
      <c r="I5256" s="160" t="s">
        <v>59</v>
      </c>
      <c r="J5256" s="211">
        <v>6.9942200000000003E-5</v>
      </c>
      <c r="K5256" s="160" t="s">
        <v>145</v>
      </c>
      <c r="L5256" s="154" t="str">
        <f>IF(OpenLCAbasic!K5256="CTUh", "Fill in Manually",IF(OR(K5256="Unit", K5256=""), "", INDEX(LookUps!$E$5:$E$12, MATCH(OpenLCAbasic!K5256,LookUps!$D$5:$D$12,0))))</f>
        <v>Particulate Matter Formation Potential (PMFP) - kg PM2.5 eq</v>
      </c>
      <c r="M5256" s="154" t="str">
        <f t="shared" si="353"/>
        <v>Base_High_Low_Upgraded_Particulate Matter Formation Potential (PMFP) - kg PM2.5 eq_Blend Tank; wastewater treatment unit; at updated plant - US_Without Amendment_Windrow</v>
      </c>
    </row>
    <row r="5257" spans="1:13" s="120" customFormat="1" x14ac:dyDescent="0.25">
      <c r="A5257" s="119"/>
      <c r="B5257" s="138" t="str">
        <f t="shared" si="349"/>
        <v>Windrow</v>
      </c>
      <c r="C5257" s="138" t="str">
        <f t="shared" si="354"/>
        <v>Without Amendment</v>
      </c>
      <c r="D5257" s="138" t="str">
        <f t="shared" si="351"/>
        <v>High_Low</v>
      </c>
      <c r="E5257" s="138" t="str">
        <f t="shared" si="352"/>
        <v>Base</v>
      </c>
      <c r="F5257" s="138" t="str">
        <f t="shared" si="350"/>
        <v>Upgraded</v>
      </c>
      <c r="G5257" s="153"/>
      <c r="H5257" s="210">
        <v>1.6500000000000001E-2</v>
      </c>
      <c r="I5257" s="160" t="s">
        <v>62</v>
      </c>
      <c r="J5257" s="211">
        <v>6.3978699999999998E-5</v>
      </c>
      <c r="K5257" s="160" t="s">
        <v>145</v>
      </c>
      <c r="L5257" s="154" t="str">
        <f>IF(OpenLCAbasic!K5257="CTUh", "Fill in Manually",IF(OR(K5257="Unit", K5257=""), "", INDEX(LookUps!$E$5:$E$12, MATCH(OpenLCAbasic!K5257,LookUps!$D$5:$D$12,0))))</f>
        <v>Particulate Matter Formation Potential (PMFP) - kg PM2.5 eq</v>
      </c>
      <c r="M5257" s="154" t="str">
        <f t="shared" si="353"/>
        <v>Base_High_Low_Upgraded_Particulate Matter Formation Potential (PMFP) - kg PM2.5 eq_Land application of compost; wastewater treatment unit; at updated plant - US_Without Amendment_Windrow</v>
      </c>
    </row>
    <row r="5258" spans="1:13" s="120" customFormat="1" x14ac:dyDescent="0.25">
      <c r="A5258" s="119"/>
      <c r="B5258" s="138" t="str">
        <f t="shared" si="349"/>
        <v>Windrow</v>
      </c>
      <c r="C5258" s="138" t="str">
        <f t="shared" si="354"/>
        <v>Without Amendment</v>
      </c>
      <c r="D5258" s="138" t="str">
        <f t="shared" si="351"/>
        <v>High_Low</v>
      </c>
      <c r="E5258" s="138" t="str">
        <f t="shared" si="352"/>
        <v>Base</v>
      </c>
      <c r="F5258" s="138" t="str">
        <f t="shared" si="350"/>
        <v>Upgraded</v>
      </c>
      <c r="G5258" s="153"/>
      <c r="H5258" s="210">
        <v>1.29E-2</v>
      </c>
      <c r="I5258" s="160" t="s">
        <v>48</v>
      </c>
      <c r="J5258" s="211">
        <v>4.99741E-5</v>
      </c>
      <c r="K5258" s="160" t="s">
        <v>145</v>
      </c>
      <c r="L5258" s="154" t="str">
        <f>IF(OpenLCAbasic!K5258="CTUh", "Fill in Manually",IF(OR(K5258="Unit", K5258=""), "", INDEX(LookUps!$E$5:$E$12, MATCH(OpenLCAbasic!K5258,LookUps!$D$5:$D$12,0))))</f>
        <v>Particulate Matter Formation Potential (PMFP) - kg PM2.5 eq</v>
      </c>
      <c r="M5258" s="154" t="str">
        <f t="shared" si="353"/>
        <v>Base_High_Low_Upgraded_Particulate Matter Formation Potential (PMFP) - kg PM2.5 eq_Effluent release; wastewater treatment unit; at surface water; m3 wastewater - US_Without Amendment_Windrow</v>
      </c>
    </row>
    <row r="5259" spans="1:13" s="120" customFormat="1" x14ac:dyDescent="0.25">
      <c r="A5259" s="119"/>
      <c r="B5259" s="138" t="str">
        <f t="shared" si="349"/>
        <v>Windrow</v>
      </c>
      <c r="C5259" s="138" t="str">
        <f t="shared" si="354"/>
        <v>Without Amendment</v>
      </c>
      <c r="D5259" s="138" t="str">
        <f t="shared" si="351"/>
        <v>High_Low</v>
      </c>
      <c r="E5259" s="138" t="str">
        <f t="shared" si="352"/>
        <v>Base</v>
      </c>
      <c r="F5259" s="138" t="str">
        <f t="shared" si="350"/>
        <v>Upgraded</v>
      </c>
      <c r="G5259" s="153"/>
      <c r="H5259" s="210">
        <v>8.8999999999999999E-3</v>
      </c>
      <c r="I5259" s="160" t="s">
        <v>168</v>
      </c>
      <c r="J5259" s="211">
        <v>3.4562199999999999E-5</v>
      </c>
      <c r="K5259" s="160" t="s">
        <v>145</v>
      </c>
      <c r="L5259" s="154" t="str">
        <f>IF(OpenLCAbasic!K5259="CTUh", "Fill in Manually",IF(OR(K5259="Unit", K5259=""), "", INDEX(LookUps!$E$5:$E$12, MATCH(OpenLCAbasic!K5259,LookUps!$D$5:$D$12,0))))</f>
        <v>Particulate Matter Formation Potential (PMFP) - kg PM2.5 eq</v>
      </c>
      <c r="M5259" s="154" t="str">
        <f t="shared" si="353"/>
        <v>Base_High_Low_Upgraded_Particulate Matter Formation Potential (PMFP) - kg PM2.5 eq_ClearCove SCP; wastewater treatment unit; at updated plant - US_Without Amendment_Windrow</v>
      </c>
    </row>
    <row r="5260" spans="1:13" s="120" customFormat="1" x14ac:dyDescent="0.25">
      <c r="A5260" s="119"/>
      <c r="B5260" s="138" t="str">
        <f t="shared" si="349"/>
        <v>Windrow</v>
      </c>
      <c r="C5260" s="138" t="str">
        <f t="shared" si="354"/>
        <v>Without Amendment</v>
      </c>
      <c r="D5260" s="138" t="str">
        <f t="shared" si="351"/>
        <v>High_Low</v>
      </c>
      <c r="E5260" s="138" t="str">
        <f t="shared" si="352"/>
        <v>Base</v>
      </c>
      <c r="F5260" s="138" t="str">
        <f t="shared" si="350"/>
        <v>Upgraded</v>
      </c>
      <c r="G5260" s="153"/>
      <c r="H5260" s="210">
        <v>2.3E-3</v>
      </c>
      <c r="I5260" s="160" t="s">
        <v>148</v>
      </c>
      <c r="J5260" s="211">
        <v>8.8212999999999997E-6</v>
      </c>
      <c r="K5260" s="160" t="s">
        <v>145</v>
      </c>
      <c r="L5260" s="154" t="str">
        <f>IF(OpenLCAbasic!K5260="CTUh", "Fill in Manually",IF(OR(K5260="Unit", K5260=""), "", INDEX(LookUps!$E$5:$E$12, MATCH(OpenLCAbasic!K5260,LookUps!$D$5:$D$12,0))))</f>
        <v>Particulate Matter Formation Potential (PMFP) - kg PM2.5 eq</v>
      </c>
      <c r="M5260" s="154" t="str">
        <f t="shared" si="353"/>
        <v>Base_High_Low_Upgraded_Particulate Matter Formation Potential (PMFP) - kg PM2.5 eq_Control Building; at upgraded wastewater treatment plant - US_Without Amendment_Windrow</v>
      </c>
    </row>
    <row r="5261" spans="1:13" s="120" customFormat="1" x14ac:dyDescent="0.25">
      <c r="A5261" s="119"/>
      <c r="B5261" s="138" t="str">
        <f t="shared" si="349"/>
        <v>Windrow</v>
      </c>
      <c r="C5261" s="138" t="str">
        <f t="shared" si="354"/>
        <v>Without Amendment</v>
      </c>
      <c r="D5261" s="138" t="str">
        <f t="shared" si="351"/>
        <v>High_Low</v>
      </c>
      <c r="E5261" s="138" t="str">
        <f t="shared" si="352"/>
        <v>Base</v>
      </c>
      <c r="F5261" s="138" t="str">
        <f t="shared" si="350"/>
        <v>Upgraded</v>
      </c>
      <c r="G5261" s="153"/>
      <c r="H5261" s="210">
        <v>-0.45810000000000001</v>
      </c>
      <c r="I5261" s="160" t="s">
        <v>149</v>
      </c>
      <c r="J5261" s="160">
        <v>-1.7799999999999999E-3</v>
      </c>
      <c r="K5261" s="160" t="s">
        <v>145</v>
      </c>
      <c r="L5261" s="154" t="str">
        <f>IF(OpenLCAbasic!K5261="CTUh", "Fill in Manually",IF(OR(K5261="Unit", K5261=""), "", INDEX(LookUps!$E$5:$E$12, MATCH(OpenLCAbasic!K5261,LookUps!$D$5:$D$12,0))))</f>
        <v>Particulate Matter Formation Potential (PMFP) - kg PM2.5 eq</v>
      </c>
      <c r="M5261" s="154" t="str">
        <f t="shared" si="353"/>
        <v>Base_High_Low_Upgraded_Particulate Matter Formation Potential (PMFP) - kg PM2.5 eq_Anaerobic Digestion; wastewater treatment unit; at updated plant - US_Without Amendment_Windrow</v>
      </c>
    </row>
    <row r="5262" spans="1:13" s="120" customFormat="1" x14ac:dyDescent="0.25">
      <c r="A5262" s="119"/>
      <c r="B5262" s="138" t="str">
        <f t="shared" si="349"/>
        <v/>
      </c>
      <c r="C5262" s="138" t="str">
        <f t="shared" si="354"/>
        <v/>
      </c>
      <c r="D5262" s="138" t="str">
        <f t="shared" si="351"/>
        <v/>
      </c>
      <c r="E5262" s="138" t="str">
        <f t="shared" si="352"/>
        <v/>
      </c>
      <c r="F5262" s="138" t="str">
        <f t="shared" si="350"/>
        <v/>
      </c>
      <c r="G5262" s="153" t="s">
        <v>51</v>
      </c>
      <c r="H5262" s="160"/>
      <c r="I5262" s="160" t="s">
        <v>47</v>
      </c>
      <c r="J5262" s="160" t="s">
        <v>52</v>
      </c>
      <c r="K5262" s="160" t="s">
        <v>27</v>
      </c>
      <c r="L5262" s="154" t="str">
        <f>IF(OpenLCAbasic!K5262="CTUh", "Fill in Manually",IF(OR(K5262="Unit", K5262=""), "", INDEX(LookUps!$E$5:$E$12, MATCH(OpenLCAbasic!K5262,LookUps!$D$5:$D$12,0))))</f>
        <v/>
      </c>
      <c r="M5262" s="154" t="str">
        <f t="shared" si="353"/>
        <v>____Process__</v>
      </c>
    </row>
    <row r="5263" spans="1:13" s="120" customFormat="1" x14ac:dyDescent="0.25">
      <c r="A5263" s="119"/>
      <c r="B5263" s="138" t="str">
        <f t="shared" si="349"/>
        <v>Windrow</v>
      </c>
      <c r="C5263" s="138" t="str">
        <f t="shared" si="354"/>
        <v>Without Amendment</v>
      </c>
      <c r="D5263" s="138" t="str">
        <f t="shared" si="351"/>
        <v>High_Low</v>
      </c>
      <c r="E5263" s="138" t="str">
        <f t="shared" si="352"/>
        <v>Base</v>
      </c>
      <c r="F5263" s="138" t="str">
        <f t="shared" si="350"/>
        <v>Upgraded</v>
      </c>
      <c r="G5263" s="153"/>
      <c r="H5263" s="210">
        <v>0.64249999999999996</v>
      </c>
      <c r="I5263" s="160" t="s">
        <v>55</v>
      </c>
      <c r="J5263" s="160">
        <v>0.16577</v>
      </c>
      <c r="K5263" s="160" t="s">
        <v>25</v>
      </c>
      <c r="L5263" s="154" t="str">
        <f>IF(OpenLCAbasic!K5263="CTUh", "Fill in Manually",IF(OR(K5263="Unit", K5263=""), "", INDEX(LookUps!$E$5:$E$12, MATCH(OpenLCAbasic!K5263,LookUps!$D$5:$D$12,0))))</f>
        <v>Smog Formation Potential (SFP) - kg O3 eq</v>
      </c>
      <c r="M5263" s="154" t="str">
        <f t="shared" si="353"/>
        <v>Base_High_Low_Upgraded_Smog Formation Potential (SFP) - kg O3 eq_Aeration Tanks; wastewater treatment unit; at updated plant - US_Without Amendment_Windrow</v>
      </c>
    </row>
    <row r="5264" spans="1:13" s="120" customFormat="1" x14ac:dyDescent="0.25">
      <c r="A5264" s="119"/>
      <c r="B5264" s="138" t="str">
        <f t="shared" si="349"/>
        <v>Windrow</v>
      </c>
      <c r="C5264" s="138" t="str">
        <f t="shared" si="354"/>
        <v>Without Amendment</v>
      </c>
      <c r="D5264" s="138" t="str">
        <f t="shared" si="351"/>
        <v>High_Low</v>
      </c>
      <c r="E5264" s="138" t="str">
        <f t="shared" si="352"/>
        <v>Base</v>
      </c>
      <c r="F5264" s="138" t="str">
        <f t="shared" si="350"/>
        <v>Upgraded</v>
      </c>
      <c r="G5264" s="153"/>
      <c r="H5264" s="210">
        <v>0.18629999999999999</v>
      </c>
      <c r="I5264" s="160" t="s">
        <v>54</v>
      </c>
      <c r="J5264" s="160">
        <v>4.8070000000000002E-2</v>
      </c>
      <c r="K5264" s="160" t="s">
        <v>25</v>
      </c>
      <c r="L5264" s="154" t="str">
        <f>IF(OpenLCAbasic!K5264="CTUh", "Fill in Manually",IF(OR(K5264="Unit", K5264=""), "", INDEX(LookUps!$E$5:$E$12, MATCH(OpenLCAbasic!K5264,LookUps!$D$5:$D$12,0))))</f>
        <v>Smog Formation Potential (SFP) - kg O3 eq</v>
      </c>
      <c r="M5264" s="154" t="str">
        <f t="shared" si="353"/>
        <v>Base_High_Low_Upgraded_Smog Formation Potential (SFP) - kg O3 eq_Clear Cove Primary Clarification; wastewater treatment unit; at updated plant - US_Without Amendment_Windrow</v>
      </c>
    </row>
    <row r="5265" spans="1:13" s="120" customFormat="1" x14ac:dyDescent="0.25">
      <c r="A5265" s="119"/>
      <c r="B5265" s="138" t="str">
        <f t="shared" si="349"/>
        <v>Windrow</v>
      </c>
      <c r="C5265" s="138" t="str">
        <f t="shared" si="354"/>
        <v>Without Amendment</v>
      </c>
      <c r="D5265" s="138" t="str">
        <f t="shared" si="351"/>
        <v>High_Low</v>
      </c>
      <c r="E5265" s="138" t="str">
        <f t="shared" si="352"/>
        <v>Base</v>
      </c>
      <c r="F5265" s="138" t="str">
        <f t="shared" si="350"/>
        <v>Upgraded</v>
      </c>
      <c r="G5265" s="153"/>
      <c r="H5265" s="210">
        <v>0.16309999999999999</v>
      </c>
      <c r="I5265" s="160" t="s">
        <v>58</v>
      </c>
      <c r="J5265" s="160">
        <v>4.2090000000000002E-2</v>
      </c>
      <c r="K5265" s="160" t="s">
        <v>25</v>
      </c>
      <c r="L5265" s="154" t="str">
        <f>IF(OpenLCAbasic!K5265="CTUh", "Fill in Manually",IF(OR(K5265="Unit", K5265=""), "", INDEX(LookUps!$E$5:$E$12, MATCH(OpenLCAbasic!K5265,LookUps!$D$5:$D$12,0))))</f>
        <v>Smog Formation Potential (SFP) - kg O3 eq</v>
      </c>
      <c r="M5265" s="154" t="str">
        <f t="shared" si="353"/>
        <v>Base_High_Low_Upgraded_Smog Formation Potential (SFP) - kg O3 eq_Pre-Anoxic &amp; Swing tank; wastewater treatment unit; at updated plant - US_Without Amendment_Windrow</v>
      </c>
    </row>
    <row r="5266" spans="1:13" s="120" customFormat="1" x14ac:dyDescent="0.25">
      <c r="A5266" s="119"/>
      <c r="B5266" s="138" t="str">
        <f t="shared" si="349"/>
        <v>Windrow</v>
      </c>
      <c r="C5266" s="138" t="str">
        <f t="shared" si="354"/>
        <v>Without Amendment</v>
      </c>
      <c r="D5266" s="138" t="str">
        <f t="shared" si="351"/>
        <v>High_Low</v>
      </c>
      <c r="E5266" s="138" t="str">
        <f t="shared" si="352"/>
        <v>Base</v>
      </c>
      <c r="F5266" s="138" t="str">
        <f t="shared" si="350"/>
        <v>Upgraded</v>
      </c>
      <c r="G5266" s="153"/>
      <c r="H5266" s="210">
        <v>0.1308</v>
      </c>
      <c r="I5266" s="160" t="s">
        <v>167</v>
      </c>
      <c r="J5266" s="160">
        <v>3.3759999999999998E-2</v>
      </c>
      <c r="K5266" s="160" t="s">
        <v>25</v>
      </c>
      <c r="L5266" s="154" t="str">
        <f>IF(OpenLCAbasic!K5266="CTUh", "Fill in Manually",IF(OR(K5266="Unit", K5266=""), "", INDEX(LookUps!$E$5:$E$12, MATCH(OpenLCAbasic!K5266,LookUps!$D$5:$D$12,0))))</f>
        <v>Smog Formation Potential (SFP) - kg O3 eq</v>
      </c>
      <c r="M5266" s="154" t="str">
        <f t="shared" si="353"/>
        <v>Base_High_Low_Upgraded_Smog Formation Potential (SFP) - kg O3 eq_Waste Receiving and Holding; wastewater treatment unit; at updated plant - US_Without Amendment_Windrow</v>
      </c>
    </row>
    <row r="5267" spans="1:13" s="120" customFormat="1" x14ac:dyDescent="0.25">
      <c r="A5267" s="119"/>
      <c r="B5267" s="138" t="str">
        <f t="shared" si="349"/>
        <v>Windrow</v>
      </c>
      <c r="C5267" s="138" t="str">
        <f t="shared" si="354"/>
        <v>Without Amendment</v>
      </c>
      <c r="D5267" s="138" t="str">
        <f t="shared" si="351"/>
        <v>High_Low</v>
      </c>
      <c r="E5267" s="138" t="str">
        <f t="shared" si="352"/>
        <v>Base</v>
      </c>
      <c r="F5267" s="138" t="str">
        <f t="shared" si="350"/>
        <v>Upgraded</v>
      </c>
      <c r="G5267" s="153"/>
      <c r="H5267" s="210">
        <v>0.12839999999999999</v>
      </c>
      <c r="I5267" s="160" t="s">
        <v>53</v>
      </c>
      <c r="J5267" s="160">
        <v>3.313E-2</v>
      </c>
      <c r="K5267" s="160" t="s">
        <v>25</v>
      </c>
      <c r="L5267" s="154" t="str">
        <f>IF(OpenLCAbasic!K5267="CTUh", "Fill in Manually",IF(OR(K5267="Unit", K5267=""), "", INDEX(LookUps!$E$5:$E$12, MATCH(OpenLCAbasic!K5267,LookUps!$D$5:$D$12,0))))</f>
        <v>Smog Formation Potential (SFP) - kg O3 eq</v>
      </c>
      <c r="M5267" s="154" t="str">
        <f t="shared" si="353"/>
        <v>Base_High_Low_Upgraded_Smog Formation Potential (SFP) - kg O3 eq_Wet Well and Sump Station; wastewater treatment unit; at updated plant - US_Without Amendment_Windrow</v>
      </c>
    </row>
    <row r="5268" spans="1:13" s="120" customFormat="1" x14ac:dyDescent="0.25">
      <c r="A5268" s="119"/>
      <c r="B5268" s="138" t="str">
        <f t="shared" si="349"/>
        <v>Windrow</v>
      </c>
      <c r="C5268" s="138" t="str">
        <f t="shared" si="354"/>
        <v>Without Amendment</v>
      </c>
      <c r="D5268" s="138" t="str">
        <f t="shared" si="351"/>
        <v>High_Low</v>
      </c>
      <c r="E5268" s="138" t="str">
        <f t="shared" si="352"/>
        <v>Base</v>
      </c>
      <c r="F5268" s="138" t="str">
        <f t="shared" si="350"/>
        <v>Upgraded</v>
      </c>
      <c r="G5268" s="153"/>
      <c r="H5268" s="210">
        <v>7.5200000000000003E-2</v>
      </c>
      <c r="I5268" s="160" t="s">
        <v>147</v>
      </c>
      <c r="J5268" s="160">
        <v>1.9400000000000001E-2</v>
      </c>
      <c r="K5268" s="160" t="s">
        <v>25</v>
      </c>
      <c r="L5268" s="154" t="str">
        <f>IF(OpenLCAbasic!K5268="CTUh", "Fill in Manually",IF(OR(K5268="Unit", K5268=""), "", INDEX(LookUps!$E$5:$E$12, MATCH(OpenLCAbasic!K5268,LookUps!$D$5:$D$12,0))))</f>
        <v>Smog Formation Potential (SFP) - kg O3 eq</v>
      </c>
      <c r="M5268" s="154" t="str">
        <f t="shared" si="353"/>
        <v>Base_High_Low_Upgraded_Smog Formation Potential (SFP) - kg O3 eq_Influent Pump Station; wastewater treatment unit; at updated plant - US_Without Amendment_Windrow</v>
      </c>
    </row>
    <row r="5269" spans="1:13" s="120" customFormat="1" x14ac:dyDescent="0.25">
      <c r="A5269" s="119"/>
      <c r="B5269" s="138" t="str">
        <f t="shared" si="349"/>
        <v>Windrow</v>
      </c>
      <c r="C5269" s="138" t="str">
        <f t="shared" si="354"/>
        <v>Without Amendment</v>
      </c>
      <c r="D5269" s="138" t="str">
        <f t="shared" si="351"/>
        <v>High_Low</v>
      </c>
      <c r="E5269" s="138" t="str">
        <f t="shared" si="352"/>
        <v>Base</v>
      </c>
      <c r="F5269" s="138" t="str">
        <f t="shared" si="350"/>
        <v>Upgraded</v>
      </c>
      <c r="G5269" s="153"/>
      <c r="H5269" s="210">
        <v>6.2E-2</v>
      </c>
      <c r="I5269" s="160" t="s">
        <v>60</v>
      </c>
      <c r="J5269" s="160">
        <v>1.5990000000000001E-2</v>
      </c>
      <c r="K5269" s="160" t="s">
        <v>25</v>
      </c>
      <c r="L5269" s="154" t="str">
        <f>IF(OpenLCAbasic!K5269="CTUh", "Fill in Manually",IF(OR(K5269="Unit", K5269=""), "", INDEX(LookUps!$E$5:$E$12, MATCH(OpenLCAbasic!K5269,LookUps!$D$5:$D$12,0))))</f>
        <v>Smog Formation Potential (SFP) - kg O3 eq</v>
      </c>
      <c r="M5269" s="154" t="str">
        <f t="shared" si="353"/>
        <v>Base_High_Low_Upgraded_Smog Formation Potential (SFP) - kg O3 eq_Belt filter press; wastewater treatment unit; at updated plant - US_Without Amendment_Windrow</v>
      </c>
    </row>
    <row r="5270" spans="1:13" s="120" customFormat="1" x14ac:dyDescent="0.25">
      <c r="A5270" s="119"/>
      <c r="B5270" s="138" t="str">
        <f t="shared" si="349"/>
        <v>Windrow</v>
      </c>
      <c r="C5270" s="138" t="str">
        <f t="shared" si="354"/>
        <v>Without Amendment</v>
      </c>
      <c r="D5270" s="138" t="str">
        <f t="shared" si="351"/>
        <v>High_Low</v>
      </c>
      <c r="E5270" s="138" t="str">
        <f t="shared" si="352"/>
        <v>Base</v>
      </c>
      <c r="F5270" s="138" t="str">
        <f t="shared" si="350"/>
        <v>Upgraded</v>
      </c>
      <c r="G5270" s="153"/>
      <c r="H5270" s="210">
        <v>4.6199999999999998E-2</v>
      </c>
      <c r="I5270" s="160" t="s">
        <v>128</v>
      </c>
      <c r="J5270" s="160">
        <v>1.192E-2</v>
      </c>
      <c r="K5270" s="160" t="s">
        <v>25</v>
      </c>
      <c r="L5270" s="154" t="str">
        <f>IF(OpenLCAbasic!K5270="CTUh", "Fill in Manually",IF(OR(K5270="Unit", K5270=""), "", INDEX(LookUps!$E$5:$E$12, MATCH(OpenLCAbasic!K5270,LookUps!$D$5:$D$12,0))))</f>
        <v>Smog Formation Potential (SFP) - kg O3 eq</v>
      </c>
      <c r="M5270" s="154" t="str">
        <f t="shared" si="353"/>
        <v>Base_High_Low_Upgraded_Smog Formation Potential (SFP) - kg O3 eq_Wastewater collection; operation and infrastructure; m3 wastewater_Without Amendment_Windrow</v>
      </c>
    </row>
    <row r="5271" spans="1:13" s="120" customFormat="1" x14ac:dyDescent="0.25">
      <c r="A5271" s="119"/>
      <c r="B5271" s="138" t="str">
        <f t="shared" si="349"/>
        <v>Windrow</v>
      </c>
      <c r="C5271" s="138" t="str">
        <f t="shared" si="354"/>
        <v>Without Amendment</v>
      </c>
      <c r="D5271" s="138" t="str">
        <f t="shared" si="351"/>
        <v>High_Low</v>
      </c>
      <c r="E5271" s="138" t="str">
        <f t="shared" si="352"/>
        <v>Base</v>
      </c>
      <c r="F5271" s="138" t="str">
        <f t="shared" si="350"/>
        <v>Upgraded</v>
      </c>
      <c r="G5271" s="153"/>
      <c r="H5271" s="210">
        <v>2.58E-2</v>
      </c>
      <c r="I5271" s="160" t="s">
        <v>57</v>
      </c>
      <c r="J5271" s="160">
        <v>6.6499999999999997E-3</v>
      </c>
      <c r="K5271" s="160" t="s">
        <v>25</v>
      </c>
      <c r="L5271" s="154" t="str">
        <f>IF(OpenLCAbasic!K5271="CTUh", "Fill in Manually",IF(OR(K5271="Unit", K5271=""), "", INDEX(LookUps!$E$5:$E$12, MATCH(OpenLCAbasic!K5271,LookUps!$D$5:$D$12,0))))</f>
        <v>Smog Formation Potential (SFP) - kg O3 eq</v>
      </c>
      <c r="M5271" s="154" t="str">
        <f t="shared" si="353"/>
        <v>Base_High_Low_Upgraded_Smog Formation Potential (SFP) - kg O3 eq_Gravity Belt Thickener; wastewater treatment unit; at updated plant - US_Without Amendment_Windrow</v>
      </c>
    </row>
    <row r="5272" spans="1:13" s="120" customFormat="1" x14ac:dyDescent="0.25">
      <c r="A5272" s="119"/>
      <c r="B5272" s="138" t="str">
        <f t="shared" si="349"/>
        <v>Windrow</v>
      </c>
      <c r="C5272" s="138" t="str">
        <f t="shared" si="354"/>
        <v>Without Amendment</v>
      </c>
      <c r="D5272" s="138" t="str">
        <f t="shared" si="351"/>
        <v>High_Low</v>
      </c>
      <c r="E5272" s="138" t="str">
        <f t="shared" si="352"/>
        <v>Base</v>
      </c>
      <c r="F5272" s="138" t="str">
        <f t="shared" si="350"/>
        <v>Upgraded</v>
      </c>
      <c r="G5272" s="153"/>
      <c r="H5272" s="210">
        <v>1.9300000000000001E-2</v>
      </c>
      <c r="I5272" s="160" t="s">
        <v>59</v>
      </c>
      <c r="J5272" s="160">
        <v>4.9699999999999996E-3</v>
      </c>
      <c r="K5272" s="160" t="s">
        <v>25</v>
      </c>
      <c r="L5272" s="154" t="str">
        <f>IF(OpenLCAbasic!K5272="CTUh", "Fill in Manually",IF(OR(K5272="Unit", K5272=""), "", INDEX(LookUps!$E$5:$E$12, MATCH(OpenLCAbasic!K5272,LookUps!$D$5:$D$12,0))))</f>
        <v>Smog Formation Potential (SFP) - kg O3 eq</v>
      </c>
      <c r="M5272" s="154" t="str">
        <f t="shared" si="353"/>
        <v>Base_High_Low_Upgraded_Smog Formation Potential (SFP) - kg O3 eq_Blend Tank; wastewater treatment unit; at updated plant - US_Without Amendment_Windrow</v>
      </c>
    </row>
    <row r="5273" spans="1:13" s="120" customFormat="1" x14ac:dyDescent="0.25">
      <c r="A5273" s="119"/>
      <c r="B5273" s="138" t="str">
        <f t="shared" si="349"/>
        <v>Windrow</v>
      </c>
      <c r="C5273" s="138" t="str">
        <f t="shared" si="354"/>
        <v>Without Amendment</v>
      </c>
      <c r="D5273" s="138" t="str">
        <f t="shared" si="351"/>
        <v>High_Low</v>
      </c>
      <c r="E5273" s="138" t="str">
        <f t="shared" si="352"/>
        <v>Base</v>
      </c>
      <c r="F5273" s="138" t="str">
        <f t="shared" si="350"/>
        <v>Upgraded</v>
      </c>
      <c r="G5273" s="153"/>
      <c r="H5273" s="210">
        <v>1.3100000000000001E-2</v>
      </c>
      <c r="I5273" s="160" t="s">
        <v>48</v>
      </c>
      <c r="J5273" s="160">
        <v>3.3899999999999998E-3</v>
      </c>
      <c r="K5273" s="160" t="s">
        <v>25</v>
      </c>
      <c r="L5273" s="154" t="str">
        <f>IF(OpenLCAbasic!K5273="CTUh", "Fill in Manually",IF(OR(K5273="Unit", K5273=""), "", INDEX(LookUps!$E$5:$E$12, MATCH(OpenLCAbasic!K5273,LookUps!$D$5:$D$12,0))))</f>
        <v>Smog Formation Potential (SFP) - kg O3 eq</v>
      </c>
      <c r="M5273" s="154" t="str">
        <f t="shared" si="353"/>
        <v>Base_High_Low_Upgraded_Smog Formation Potential (SFP) - kg O3 eq_Effluent release; wastewater treatment unit; at surface water; m3 wastewater - US_Without Amendment_Windrow</v>
      </c>
    </row>
    <row r="5274" spans="1:13" s="120" customFormat="1" x14ac:dyDescent="0.25">
      <c r="A5274" s="119"/>
      <c r="B5274" s="138" t="str">
        <f t="shared" si="349"/>
        <v>Windrow</v>
      </c>
      <c r="C5274" s="138" t="str">
        <f t="shared" si="354"/>
        <v>Without Amendment</v>
      </c>
      <c r="D5274" s="138" t="str">
        <f t="shared" si="351"/>
        <v>High_Low</v>
      </c>
      <c r="E5274" s="138" t="str">
        <f t="shared" si="352"/>
        <v>Base</v>
      </c>
      <c r="F5274" s="138" t="str">
        <f t="shared" si="350"/>
        <v>Upgraded</v>
      </c>
      <c r="G5274" s="153"/>
      <c r="H5274" s="210">
        <v>9.4999999999999998E-3</v>
      </c>
      <c r="I5274" s="160" t="s">
        <v>168</v>
      </c>
      <c r="J5274" s="160">
        <v>2.4599999999999999E-3</v>
      </c>
      <c r="K5274" s="160" t="s">
        <v>25</v>
      </c>
      <c r="L5274" s="154" t="str">
        <f>IF(OpenLCAbasic!K5274="CTUh", "Fill in Manually",IF(OR(K5274="Unit", K5274=""), "", INDEX(LookUps!$E$5:$E$12, MATCH(OpenLCAbasic!K5274,LookUps!$D$5:$D$12,0))))</f>
        <v>Smog Formation Potential (SFP) - kg O3 eq</v>
      </c>
      <c r="M5274" s="154" t="str">
        <f t="shared" si="353"/>
        <v>Base_High_Low_Upgraded_Smog Formation Potential (SFP) - kg O3 eq_ClearCove SCP; wastewater treatment unit; at updated plant - US_Without Amendment_Windrow</v>
      </c>
    </row>
    <row r="5275" spans="1:13" s="120" customFormat="1" x14ac:dyDescent="0.25">
      <c r="A5275" s="119"/>
      <c r="B5275" s="138" t="str">
        <f t="shared" si="349"/>
        <v>Windrow</v>
      </c>
      <c r="C5275" s="138" t="str">
        <f t="shared" si="354"/>
        <v>Without Amendment</v>
      </c>
      <c r="D5275" s="138" t="str">
        <f t="shared" si="351"/>
        <v>High_Low</v>
      </c>
      <c r="E5275" s="138" t="str">
        <f t="shared" si="352"/>
        <v>Base</v>
      </c>
      <c r="F5275" s="138" t="str">
        <f t="shared" si="350"/>
        <v>Upgraded</v>
      </c>
      <c r="G5275" s="153"/>
      <c r="H5275" s="210">
        <v>3.5999999999999999E-3</v>
      </c>
      <c r="I5275" s="160" t="s">
        <v>271</v>
      </c>
      <c r="J5275" s="160">
        <v>9.2000000000000003E-4</v>
      </c>
      <c r="K5275" s="160" t="s">
        <v>25</v>
      </c>
      <c r="L5275" s="154" t="str">
        <f>IF(OpenLCAbasic!K5275="CTUh", "Fill in Manually",IF(OR(K5275="Unit", K5275=""), "", INDEX(LookUps!$E$5:$E$12, MATCH(OpenLCAbasic!K5275,LookUps!$D$5:$D$12,0))))</f>
        <v>Smog Formation Potential (SFP) - kg O3 eq</v>
      </c>
      <c r="M5275" s="154" t="str">
        <f t="shared" si="353"/>
        <v>Base_High_Low_Upgraded_Smog Formation Potential (SFP) - kg O3 eq_Biosolids composting; windrow composting; wastewater treatment unit; at updated plant - US_Without Amendment_Windrow</v>
      </c>
    </row>
    <row r="5276" spans="1:13" s="120" customFormat="1" x14ac:dyDescent="0.25">
      <c r="A5276" s="119"/>
      <c r="B5276" s="138" t="str">
        <f t="shared" si="349"/>
        <v>Windrow</v>
      </c>
      <c r="C5276" s="138" t="str">
        <f t="shared" si="354"/>
        <v>Without Amendment</v>
      </c>
      <c r="D5276" s="138" t="str">
        <f t="shared" si="351"/>
        <v>High_Low</v>
      </c>
      <c r="E5276" s="138" t="str">
        <f t="shared" si="352"/>
        <v>Base</v>
      </c>
      <c r="F5276" s="138" t="str">
        <f t="shared" si="350"/>
        <v>Upgraded</v>
      </c>
      <c r="G5276" s="153"/>
      <c r="H5276" s="210">
        <v>2.0999999999999999E-3</v>
      </c>
      <c r="I5276" s="160" t="s">
        <v>148</v>
      </c>
      <c r="J5276" s="160">
        <v>5.4000000000000001E-4</v>
      </c>
      <c r="K5276" s="160" t="s">
        <v>25</v>
      </c>
      <c r="L5276" s="154" t="str">
        <f>IF(OpenLCAbasic!K5276="CTUh", "Fill in Manually",IF(OR(K5276="Unit", K5276=""), "", INDEX(LookUps!$E$5:$E$12, MATCH(OpenLCAbasic!K5276,LookUps!$D$5:$D$12,0))))</f>
        <v>Smog Formation Potential (SFP) - kg O3 eq</v>
      </c>
      <c r="M5276" s="154" t="str">
        <f t="shared" si="353"/>
        <v>Base_High_Low_Upgraded_Smog Formation Potential (SFP) - kg O3 eq_Control Building; at upgraded wastewater treatment plant - US_Without Amendment_Windrow</v>
      </c>
    </row>
    <row r="5277" spans="1:13" s="120" customFormat="1" x14ac:dyDescent="0.25">
      <c r="A5277" s="119"/>
      <c r="B5277" s="138" t="str">
        <f t="shared" si="349"/>
        <v>Windrow</v>
      </c>
      <c r="C5277" s="138" t="str">
        <f t="shared" si="354"/>
        <v>Without Amendment</v>
      </c>
      <c r="D5277" s="138" t="str">
        <f t="shared" si="351"/>
        <v>High_Low</v>
      </c>
      <c r="E5277" s="138" t="str">
        <f t="shared" si="352"/>
        <v>Base</v>
      </c>
      <c r="F5277" s="138" t="str">
        <f t="shared" si="350"/>
        <v>Upgraded</v>
      </c>
      <c r="G5277" s="153"/>
      <c r="H5277" s="210">
        <v>-1.47E-2</v>
      </c>
      <c r="I5277" s="160" t="s">
        <v>62</v>
      </c>
      <c r="J5277" s="160">
        <v>-3.79E-3</v>
      </c>
      <c r="K5277" s="160" t="s">
        <v>25</v>
      </c>
      <c r="L5277" s="154" t="str">
        <f>IF(OpenLCAbasic!K5277="CTUh", "Fill in Manually",IF(OR(K5277="Unit", K5277=""), "", INDEX(LookUps!$E$5:$E$12, MATCH(OpenLCAbasic!K5277,LookUps!$D$5:$D$12,0))))</f>
        <v>Smog Formation Potential (SFP) - kg O3 eq</v>
      </c>
      <c r="M5277" s="154" t="str">
        <f t="shared" si="353"/>
        <v>Base_High_Low_Upgraded_Smog Formation Potential (SFP) - kg O3 eq_Land application of compost; wastewater treatment unit; at updated plant - US_Without Amendment_Windrow</v>
      </c>
    </row>
    <row r="5278" spans="1:13" s="120" customFormat="1" x14ac:dyDescent="0.25">
      <c r="A5278" s="119"/>
      <c r="B5278" s="138" t="str">
        <f t="shared" si="349"/>
        <v>Windrow</v>
      </c>
      <c r="C5278" s="138" t="str">
        <f t="shared" si="354"/>
        <v>Without Amendment</v>
      </c>
      <c r="D5278" s="138" t="str">
        <f t="shared" si="351"/>
        <v>High_Low</v>
      </c>
      <c r="E5278" s="138" t="str">
        <f t="shared" si="352"/>
        <v>Base</v>
      </c>
      <c r="F5278" s="138" t="str">
        <f t="shared" si="350"/>
        <v>Upgraded</v>
      </c>
      <c r="G5278" s="153"/>
      <c r="H5278" s="210">
        <v>-0.49320000000000003</v>
      </c>
      <c r="I5278" s="160" t="s">
        <v>149</v>
      </c>
      <c r="J5278" s="160">
        <v>-0.12725</v>
      </c>
      <c r="K5278" s="160" t="s">
        <v>25</v>
      </c>
      <c r="L5278" s="154" t="str">
        <f>IF(OpenLCAbasic!K5278="CTUh", "Fill in Manually",IF(OR(K5278="Unit", K5278=""), "", INDEX(LookUps!$E$5:$E$12, MATCH(OpenLCAbasic!K5278,LookUps!$D$5:$D$12,0))))</f>
        <v>Smog Formation Potential (SFP) - kg O3 eq</v>
      </c>
      <c r="M5278" s="154" t="str">
        <f t="shared" si="353"/>
        <v>Base_High_Low_Upgraded_Smog Formation Potential (SFP) - kg O3 eq_Anaerobic Digestion; wastewater treatment unit; at updated plant - US_Without Amendment_Windrow</v>
      </c>
    </row>
    <row r="5279" spans="1:13" s="120" customFormat="1" x14ac:dyDescent="0.25">
      <c r="A5279" s="119"/>
      <c r="B5279" s="138" t="str">
        <f t="shared" si="349"/>
        <v/>
      </c>
      <c r="C5279" s="138" t="str">
        <f t="shared" si="354"/>
        <v/>
      </c>
      <c r="D5279" s="138" t="str">
        <f t="shared" si="351"/>
        <v/>
      </c>
      <c r="E5279" s="138" t="str">
        <f t="shared" si="352"/>
        <v/>
      </c>
      <c r="F5279" s="138" t="str">
        <f t="shared" si="350"/>
        <v/>
      </c>
      <c r="G5279" s="153" t="s">
        <v>51</v>
      </c>
      <c r="H5279" s="160"/>
      <c r="I5279" s="160" t="s">
        <v>47</v>
      </c>
      <c r="J5279" s="160" t="s">
        <v>52</v>
      </c>
      <c r="K5279" s="160" t="s">
        <v>27</v>
      </c>
      <c r="L5279" s="154" t="str">
        <f>IF(OpenLCAbasic!K5279="CTUh", "Fill in Manually",IF(OR(K5279="Unit", K5279=""), "", INDEX(LookUps!$E$5:$E$12, MATCH(OpenLCAbasic!K5279,LookUps!$D$5:$D$12,0))))</f>
        <v/>
      </c>
      <c r="M5279" s="154" t="str">
        <f t="shared" si="353"/>
        <v>____Process__</v>
      </c>
    </row>
    <row r="5280" spans="1:13" s="120" customFormat="1" x14ac:dyDescent="0.25">
      <c r="A5280" s="119"/>
      <c r="B5280" s="138" t="str">
        <f t="shared" si="349"/>
        <v>Windrow</v>
      </c>
      <c r="C5280" s="138" t="str">
        <f t="shared" si="354"/>
        <v>Without Amendment</v>
      </c>
      <c r="D5280" s="138" t="str">
        <f t="shared" si="351"/>
        <v>High_Low</v>
      </c>
      <c r="E5280" s="138" t="str">
        <f t="shared" si="352"/>
        <v>Base</v>
      </c>
      <c r="F5280" s="138" t="str">
        <f t="shared" si="350"/>
        <v>Upgraded</v>
      </c>
      <c r="G5280" s="153"/>
      <c r="H5280" s="210">
        <v>1.0737000000000001</v>
      </c>
      <c r="I5280" s="160" t="s">
        <v>167</v>
      </c>
      <c r="J5280" s="160">
        <v>3.4000000000000002E-4</v>
      </c>
      <c r="K5280" s="160" t="s">
        <v>26</v>
      </c>
      <c r="L5280" s="154" t="str">
        <f>IF(OpenLCAbasic!K5280="CTUh", "Fill in Manually",IF(OR(K5280="Unit", K5280=""), "", INDEX(LookUps!$E$5:$E$12, MATCH(OpenLCAbasic!K5280,LookUps!$D$5:$D$12,0))))</f>
        <v>Water Use (WU) - m3 H2O</v>
      </c>
      <c r="M5280" s="154" t="str">
        <f t="shared" si="353"/>
        <v>Base_High_Low_Upgraded_Water Use (WU) - m3 H2O_Waste Receiving and Holding; wastewater treatment unit; at updated plant - US_Without Amendment_Windrow</v>
      </c>
    </row>
    <row r="5281" spans="1:13" s="120" customFormat="1" x14ac:dyDescent="0.25">
      <c r="A5281" s="119"/>
      <c r="B5281" s="138" t="str">
        <f t="shared" si="349"/>
        <v>Windrow</v>
      </c>
      <c r="C5281" s="138" t="str">
        <f t="shared" si="354"/>
        <v>Without Amendment</v>
      </c>
      <c r="D5281" s="138" t="str">
        <f t="shared" si="351"/>
        <v>High_Low</v>
      </c>
      <c r="E5281" s="138" t="str">
        <f t="shared" si="352"/>
        <v>Base</v>
      </c>
      <c r="F5281" s="138" t="str">
        <f t="shared" si="350"/>
        <v>Upgraded</v>
      </c>
      <c r="G5281" s="153"/>
      <c r="H5281" s="210">
        <v>0.58750000000000002</v>
      </c>
      <c r="I5281" s="160" t="s">
        <v>147</v>
      </c>
      <c r="J5281" s="160">
        <v>1.8000000000000001E-4</v>
      </c>
      <c r="K5281" s="160" t="s">
        <v>26</v>
      </c>
      <c r="L5281" s="154" t="str">
        <f>IF(OpenLCAbasic!K5281="CTUh", "Fill in Manually",IF(OR(K5281="Unit", K5281=""), "", INDEX(LookUps!$E$5:$E$12, MATCH(OpenLCAbasic!K5281,LookUps!$D$5:$D$12,0))))</f>
        <v>Water Use (WU) - m3 H2O</v>
      </c>
      <c r="M5281" s="154" t="str">
        <f t="shared" si="353"/>
        <v>Base_High_Low_Upgraded_Water Use (WU) - m3 H2O_Influent Pump Station; wastewater treatment unit; at updated plant - US_Without Amendment_Windrow</v>
      </c>
    </row>
    <row r="5282" spans="1:13" s="120" customFormat="1" x14ac:dyDescent="0.25">
      <c r="A5282" s="119"/>
      <c r="B5282" s="138" t="str">
        <f t="shared" si="349"/>
        <v>Windrow</v>
      </c>
      <c r="C5282" s="138" t="str">
        <f t="shared" si="354"/>
        <v>Without Amendment</v>
      </c>
      <c r="D5282" s="138" t="str">
        <f t="shared" si="351"/>
        <v>High_Low</v>
      </c>
      <c r="E5282" s="138" t="str">
        <f t="shared" si="352"/>
        <v>Base</v>
      </c>
      <c r="F5282" s="138" t="str">
        <f t="shared" si="350"/>
        <v>Upgraded</v>
      </c>
      <c r="G5282" s="153"/>
      <c r="H5282" s="210">
        <v>0.57320000000000004</v>
      </c>
      <c r="I5282" s="160" t="s">
        <v>54</v>
      </c>
      <c r="J5282" s="160">
        <v>1.8000000000000001E-4</v>
      </c>
      <c r="K5282" s="160" t="s">
        <v>26</v>
      </c>
      <c r="L5282" s="154" t="str">
        <f>IF(OpenLCAbasic!K5282="CTUh", "Fill in Manually",IF(OR(K5282="Unit", K5282=""), "", INDEX(LookUps!$E$5:$E$12, MATCH(OpenLCAbasic!K5282,LookUps!$D$5:$D$12,0))))</f>
        <v>Water Use (WU) - m3 H2O</v>
      </c>
      <c r="M5282" s="154" t="str">
        <f t="shared" si="353"/>
        <v>Base_High_Low_Upgraded_Water Use (WU) - m3 H2O_Clear Cove Primary Clarification; wastewater treatment unit; at updated plant - US_Without Amendment_Windrow</v>
      </c>
    </row>
    <row r="5283" spans="1:13" s="120" customFormat="1" x14ac:dyDescent="0.25">
      <c r="A5283" s="119"/>
      <c r="B5283" s="138" t="str">
        <f t="shared" si="349"/>
        <v>Windrow</v>
      </c>
      <c r="C5283" s="138" t="str">
        <f t="shared" si="354"/>
        <v>Without Amendment</v>
      </c>
      <c r="D5283" s="138" t="str">
        <f t="shared" si="351"/>
        <v>High_Low</v>
      </c>
      <c r="E5283" s="138" t="str">
        <f t="shared" si="352"/>
        <v>Base</v>
      </c>
      <c r="F5283" s="138" t="str">
        <f t="shared" si="350"/>
        <v>Upgraded</v>
      </c>
      <c r="G5283" s="153"/>
      <c r="H5283" s="210">
        <v>0.52</v>
      </c>
      <c r="I5283" s="160" t="s">
        <v>55</v>
      </c>
      <c r="J5283" s="160">
        <v>1.6000000000000001E-4</v>
      </c>
      <c r="K5283" s="160" t="s">
        <v>26</v>
      </c>
      <c r="L5283" s="154" t="str">
        <f>IF(OpenLCAbasic!K5283="CTUh", "Fill in Manually",IF(OR(K5283="Unit", K5283=""), "", INDEX(LookUps!$E$5:$E$12, MATCH(OpenLCAbasic!K5283,LookUps!$D$5:$D$12,0))))</f>
        <v>Water Use (WU) - m3 H2O</v>
      </c>
      <c r="M5283" s="154" t="str">
        <f t="shared" si="353"/>
        <v>Base_High_Low_Upgraded_Water Use (WU) - m3 H2O_Aeration Tanks; wastewater treatment unit; at updated plant - US_Without Amendment_Windrow</v>
      </c>
    </row>
    <row r="5284" spans="1:13" s="120" customFormat="1" x14ac:dyDescent="0.25">
      <c r="A5284" s="119"/>
      <c r="B5284" s="138" t="str">
        <f t="shared" si="349"/>
        <v>Windrow</v>
      </c>
      <c r="C5284" s="138" t="str">
        <f t="shared" si="354"/>
        <v>Without Amendment</v>
      </c>
      <c r="D5284" s="138" t="str">
        <f t="shared" si="351"/>
        <v>High_Low</v>
      </c>
      <c r="E5284" s="138" t="str">
        <f t="shared" si="352"/>
        <v>Base</v>
      </c>
      <c r="F5284" s="138" t="str">
        <f t="shared" si="350"/>
        <v>Upgraded</v>
      </c>
      <c r="G5284" s="153"/>
      <c r="H5284" s="210">
        <v>0.47370000000000001</v>
      </c>
      <c r="I5284" s="160" t="s">
        <v>148</v>
      </c>
      <c r="J5284" s="160">
        <v>1.4999999999999999E-4</v>
      </c>
      <c r="K5284" s="160" t="s">
        <v>26</v>
      </c>
      <c r="L5284" s="154" t="str">
        <f>IF(OpenLCAbasic!K5284="CTUh", "Fill in Manually",IF(OR(K5284="Unit", K5284=""), "", INDEX(LookUps!$E$5:$E$12, MATCH(OpenLCAbasic!K5284,LookUps!$D$5:$D$12,0))))</f>
        <v>Water Use (WU) - m3 H2O</v>
      </c>
      <c r="M5284" s="154" t="str">
        <f t="shared" si="353"/>
        <v>Base_High_Low_Upgraded_Water Use (WU) - m3 H2O_Control Building; at upgraded wastewater treatment plant - US_Without Amendment_Windrow</v>
      </c>
    </row>
    <row r="5285" spans="1:13" s="120" customFormat="1" x14ac:dyDescent="0.25">
      <c r="A5285" s="119"/>
      <c r="B5285" s="138" t="str">
        <f t="shared" si="349"/>
        <v>Windrow</v>
      </c>
      <c r="C5285" s="138" t="str">
        <f t="shared" si="354"/>
        <v>Without Amendment</v>
      </c>
      <c r="D5285" s="138" t="str">
        <f t="shared" si="351"/>
        <v>High_Low</v>
      </c>
      <c r="E5285" s="138" t="str">
        <f t="shared" si="352"/>
        <v>Base</v>
      </c>
      <c r="F5285" s="138" t="str">
        <f t="shared" si="350"/>
        <v>Upgraded</v>
      </c>
      <c r="G5285" s="153"/>
      <c r="H5285" s="210">
        <v>0.22</v>
      </c>
      <c r="I5285" s="160" t="s">
        <v>48</v>
      </c>
      <c r="J5285" s="211">
        <v>6.8836400000000004E-5</v>
      </c>
      <c r="K5285" s="160" t="s">
        <v>26</v>
      </c>
      <c r="L5285" s="154" t="str">
        <f>IF(OpenLCAbasic!K5285="CTUh", "Fill in Manually",IF(OR(K5285="Unit", K5285=""), "", INDEX(LookUps!$E$5:$E$12, MATCH(OpenLCAbasic!K5285,LookUps!$D$5:$D$12,0))))</f>
        <v>Water Use (WU) - m3 H2O</v>
      </c>
      <c r="M5285" s="154" t="str">
        <f t="shared" si="353"/>
        <v>Base_High_Low_Upgraded_Water Use (WU) - m3 H2O_Effluent release; wastewater treatment unit; at surface water; m3 wastewater - US_Without Amendment_Windrow</v>
      </c>
    </row>
    <row r="5286" spans="1:13" s="120" customFormat="1" x14ac:dyDescent="0.25">
      <c r="A5286" s="119"/>
      <c r="B5286" s="138" t="str">
        <f t="shared" si="349"/>
        <v>Windrow</v>
      </c>
      <c r="C5286" s="138" t="str">
        <f t="shared" si="354"/>
        <v>Without Amendment</v>
      </c>
      <c r="D5286" s="138" t="str">
        <f t="shared" si="351"/>
        <v>High_Low</v>
      </c>
      <c r="E5286" s="138" t="str">
        <f t="shared" si="352"/>
        <v>Base</v>
      </c>
      <c r="F5286" s="138" t="str">
        <f t="shared" si="350"/>
        <v>Upgraded</v>
      </c>
      <c r="G5286" s="153"/>
      <c r="H5286" s="210">
        <v>0.1527</v>
      </c>
      <c r="I5286" s="160" t="s">
        <v>60</v>
      </c>
      <c r="J5286" s="211">
        <v>4.7769200000000003E-5</v>
      </c>
      <c r="K5286" s="160" t="s">
        <v>26</v>
      </c>
      <c r="L5286" s="154" t="str">
        <f>IF(OpenLCAbasic!K5286="CTUh", "Fill in Manually",IF(OR(K5286="Unit", K5286=""), "", INDEX(LookUps!$E$5:$E$12, MATCH(OpenLCAbasic!K5286,LookUps!$D$5:$D$12,0))))</f>
        <v>Water Use (WU) - m3 H2O</v>
      </c>
      <c r="M5286" s="154" t="str">
        <f t="shared" si="353"/>
        <v>Base_High_Low_Upgraded_Water Use (WU) - m3 H2O_Belt filter press; wastewater treatment unit; at updated plant - US_Without Amendment_Windrow</v>
      </c>
    </row>
    <row r="5287" spans="1:13" s="120" customFormat="1" x14ac:dyDescent="0.25">
      <c r="A5287" s="119"/>
      <c r="B5287" s="138" t="str">
        <f t="shared" si="349"/>
        <v>Windrow</v>
      </c>
      <c r="C5287" s="138" t="str">
        <f t="shared" si="354"/>
        <v>Without Amendment</v>
      </c>
      <c r="D5287" s="138" t="str">
        <f t="shared" si="351"/>
        <v>High_Low</v>
      </c>
      <c r="E5287" s="138" t="str">
        <f t="shared" si="352"/>
        <v>Base</v>
      </c>
      <c r="F5287" s="138" t="str">
        <f t="shared" si="350"/>
        <v>Upgraded</v>
      </c>
      <c r="G5287" s="153"/>
      <c r="H5287" s="210">
        <v>0.13830000000000001</v>
      </c>
      <c r="I5287" s="160" t="s">
        <v>58</v>
      </c>
      <c r="J5287" s="211">
        <v>4.3289399999999999E-5</v>
      </c>
      <c r="K5287" s="160" t="s">
        <v>26</v>
      </c>
      <c r="L5287" s="154" t="str">
        <f>IF(OpenLCAbasic!K5287="CTUh", "Fill in Manually",IF(OR(K5287="Unit", K5287=""), "", INDEX(LookUps!$E$5:$E$12, MATCH(OpenLCAbasic!K5287,LookUps!$D$5:$D$12,0))))</f>
        <v>Water Use (WU) - m3 H2O</v>
      </c>
      <c r="M5287" s="154" t="str">
        <f t="shared" si="353"/>
        <v>Base_High_Low_Upgraded_Water Use (WU) - m3 H2O_Pre-Anoxic &amp; Swing tank; wastewater treatment unit; at updated plant - US_Without Amendment_Windrow</v>
      </c>
    </row>
    <row r="5288" spans="1:13" s="120" customFormat="1" x14ac:dyDescent="0.25">
      <c r="A5288" s="119"/>
      <c r="B5288" s="138" t="str">
        <f t="shared" ref="B5288:B5351" si="355">IF(F5288="Legacy","n.a.",IF(F5288="","","Windrow"))</f>
        <v>Windrow</v>
      </c>
      <c r="C5288" s="138" t="str">
        <f t="shared" si="354"/>
        <v>Without Amendment</v>
      </c>
      <c r="D5288" s="138" t="str">
        <f t="shared" si="351"/>
        <v>High_Low</v>
      </c>
      <c r="E5288" s="138" t="str">
        <f t="shared" si="352"/>
        <v>Base</v>
      </c>
      <c r="F5288" s="138" t="str">
        <f t="shared" ref="F5288:F5351" si="356">IF(ISNUMBER(J5288),"Upgraded","")</f>
        <v>Upgraded</v>
      </c>
      <c r="G5288" s="153"/>
      <c r="H5288" s="210">
        <v>9.7199999999999995E-2</v>
      </c>
      <c r="I5288" s="160" t="s">
        <v>57</v>
      </c>
      <c r="J5288" s="211">
        <v>3.0408100000000001E-5</v>
      </c>
      <c r="K5288" s="160" t="s">
        <v>26</v>
      </c>
      <c r="L5288" s="154" t="str">
        <f>IF(OpenLCAbasic!K5288="CTUh", "Fill in Manually",IF(OR(K5288="Unit", K5288=""), "", INDEX(LookUps!$E$5:$E$12, MATCH(OpenLCAbasic!K5288,LookUps!$D$5:$D$12,0))))</f>
        <v>Water Use (WU) - m3 H2O</v>
      </c>
      <c r="M5288" s="154" t="str">
        <f t="shared" si="353"/>
        <v>Base_High_Low_Upgraded_Water Use (WU) - m3 H2O_Gravity Belt Thickener; wastewater treatment unit; at updated plant - US_Without Amendment_Windrow</v>
      </c>
    </row>
    <row r="5289" spans="1:13" s="120" customFormat="1" x14ac:dyDescent="0.25">
      <c r="A5289" s="119"/>
      <c r="B5289" s="138" t="str">
        <f t="shared" si="355"/>
        <v>Windrow</v>
      </c>
      <c r="C5289" s="138" t="str">
        <f t="shared" si="354"/>
        <v>Without Amendment</v>
      </c>
      <c r="D5289" s="138" t="str">
        <f t="shared" ref="D5289:D5295" si="357">IF(ISNUMBER($J5289),"High_Low","")</f>
        <v>High_Low</v>
      </c>
      <c r="E5289" s="138" t="str">
        <f t="shared" si="352"/>
        <v>Base</v>
      </c>
      <c r="F5289" s="138" t="str">
        <f t="shared" si="356"/>
        <v>Upgraded</v>
      </c>
      <c r="G5289" s="153"/>
      <c r="H5289" s="210">
        <v>5.5899999999999998E-2</v>
      </c>
      <c r="I5289" s="160" t="s">
        <v>53</v>
      </c>
      <c r="J5289" s="211">
        <v>1.75069E-5</v>
      </c>
      <c r="K5289" s="160" t="s">
        <v>26</v>
      </c>
      <c r="L5289" s="154" t="str">
        <f>IF(OpenLCAbasic!K5289="CTUh", "Fill in Manually",IF(OR(K5289="Unit", K5289=""), "", INDEX(LookUps!$E$5:$E$12, MATCH(OpenLCAbasic!K5289,LookUps!$D$5:$D$12,0))))</f>
        <v>Water Use (WU) - m3 H2O</v>
      </c>
      <c r="M5289" s="154" t="str">
        <f t="shared" si="353"/>
        <v>Base_High_Low_Upgraded_Water Use (WU) - m3 H2O_Wet Well and Sump Station; wastewater treatment unit; at updated plant - US_Without Amendment_Windrow</v>
      </c>
    </row>
    <row r="5290" spans="1:13" s="120" customFormat="1" x14ac:dyDescent="0.25">
      <c r="A5290" s="119"/>
      <c r="B5290" s="138" t="str">
        <f t="shared" si="355"/>
        <v>Windrow</v>
      </c>
      <c r="C5290" s="138" t="str">
        <f t="shared" si="354"/>
        <v>Without Amendment</v>
      </c>
      <c r="D5290" s="138" t="str">
        <f t="shared" si="357"/>
        <v>High_Low</v>
      </c>
      <c r="E5290" s="138" t="str">
        <f t="shared" si="352"/>
        <v>Base</v>
      </c>
      <c r="F5290" s="138" t="str">
        <f t="shared" si="356"/>
        <v>Upgraded</v>
      </c>
      <c r="G5290" s="153"/>
      <c r="H5290" s="210">
        <v>2.24E-2</v>
      </c>
      <c r="I5290" s="160" t="s">
        <v>59</v>
      </c>
      <c r="J5290" s="211">
        <v>7.0179500000000003E-6</v>
      </c>
      <c r="K5290" s="160" t="s">
        <v>26</v>
      </c>
      <c r="L5290" s="154" t="str">
        <f>IF(OpenLCAbasic!K5290="CTUh", "Fill in Manually",IF(OR(K5290="Unit", K5290=""), "", INDEX(LookUps!$E$5:$E$12, MATCH(OpenLCAbasic!K5290,LookUps!$D$5:$D$12,0))))</f>
        <v>Water Use (WU) - m3 H2O</v>
      </c>
      <c r="M5290" s="154" t="str">
        <f t="shared" si="353"/>
        <v>Base_High_Low_Upgraded_Water Use (WU) - m3 H2O_Blend Tank; wastewater treatment unit; at updated plant - US_Without Amendment_Windrow</v>
      </c>
    </row>
    <row r="5291" spans="1:13" s="120" customFormat="1" x14ac:dyDescent="0.25">
      <c r="A5291" s="119"/>
      <c r="B5291" s="138" t="str">
        <f t="shared" si="355"/>
        <v>Windrow</v>
      </c>
      <c r="C5291" s="138" t="str">
        <f t="shared" si="354"/>
        <v>Without Amendment</v>
      </c>
      <c r="D5291" s="138" t="str">
        <f t="shared" si="357"/>
        <v>High_Low</v>
      </c>
      <c r="E5291" s="138" t="str">
        <f t="shared" si="352"/>
        <v>Base</v>
      </c>
      <c r="F5291" s="138" t="str">
        <f t="shared" si="356"/>
        <v>Upgraded</v>
      </c>
      <c r="G5291" s="153"/>
      <c r="H5291" s="210">
        <v>1.6199999999999999E-2</v>
      </c>
      <c r="I5291" s="160" t="s">
        <v>128</v>
      </c>
      <c r="J5291" s="211">
        <v>5.0608900000000003E-6</v>
      </c>
      <c r="K5291" s="160" t="s">
        <v>26</v>
      </c>
      <c r="L5291" s="154" t="str">
        <f>IF(OpenLCAbasic!K5291="CTUh", "Fill in Manually",IF(OR(K5291="Unit", K5291=""), "", INDEX(LookUps!$E$5:$E$12, MATCH(OpenLCAbasic!K5291,LookUps!$D$5:$D$12,0))))</f>
        <v>Water Use (WU) - m3 H2O</v>
      </c>
      <c r="M5291" s="154" t="str">
        <f t="shared" si="353"/>
        <v>Base_High_Low_Upgraded_Water Use (WU) - m3 H2O_Wastewater collection; operation and infrastructure; m3 wastewater_Without Amendment_Windrow</v>
      </c>
    </row>
    <row r="5292" spans="1:13" s="120" customFormat="1" x14ac:dyDescent="0.25">
      <c r="A5292" s="119"/>
      <c r="B5292" s="138" t="str">
        <f t="shared" si="355"/>
        <v>Windrow</v>
      </c>
      <c r="C5292" s="138" t="str">
        <f t="shared" si="354"/>
        <v>Without Amendment</v>
      </c>
      <c r="D5292" s="138" t="str">
        <f t="shared" si="357"/>
        <v>High_Low</v>
      </c>
      <c r="E5292" s="138" t="str">
        <f t="shared" si="352"/>
        <v>Base</v>
      </c>
      <c r="F5292" s="138" t="str">
        <f t="shared" si="356"/>
        <v>Upgraded</v>
      </c>
      <c r="G5292" s="153"/>
      <c r="H5292" s="210">
        <v>7.3000000000000001E-3</v>
      </c>
      <c r="I5292" s="160" t="s">
        <v>271</v>
      </c>
      <c r="J5292" s="211">
        <v>2.2860400000000001E-6</v>
      </c>
      <c r="K5292" s="160" t="s">
        <v>26</v>
      </c>
      <c r="L5292" s="154" t="str">
        <f>IF(OpenLCAbasic!K5292="CTUh", "Fill in Manually",IF(OR(K5292="Unit", K5292=""), "", INDEX(LookUps!$E$5:$E$12, MATCH(OpenLCAbasic!K5292,LookUps!$D$5:$D$12,0))))</f>
        <v>Water Use (WU) - m3 H2O</v>
      </c>
      <c r="M5292" s="154" t="str">
        <f t="shared" si="353"/>
        <v>Base_High_Low_Upgraded_Water Use (WU) - m3 H2O_Biosolids composting; windrow composting; wastewater treatment unit; at updated plant - US_Without Amendment_Windrow</v>
      </c>
    </row>
    <row r="5293" spans="1:13" s="120" customFormat="1" x14ac:dyDescent="0.25">
      <c r="A5293" s="119"/>
      <c r="B5293" s="138" t="str">
        <f t="shared" si="355"/>
        <v>Windrow</v>
      </c>
      <c r="C5293" s="138" t="str">
        <f t="shared" si="354"/>
        <v>Without Amendment</v>
      </c>
      <c r="D5293" s="138" t="str">
        <f t="shared" si="357"/>
        <v>High_Low</v>
      </c>
      <c r="E5293" s="138" t="str">
        <f t="shared" si="352"/>
        <v>Base</v>
      </c>
      <c r="F5293" s="138" t="str">
        <f t="shared" si="356"/>
        <v>Upgraded</v>
      </c>
      <c r="G5293" s="153"/>
      <c r="H5293" s="210">
        <v>2.5000000000000001E-3</v>
      </c>
      <c r="I5293" s="160" t="s">
        <v>168</v>
      </c>
      <c r="J5293" s="211">
        <v>7.6697000000000004E-7</v>
      </c>
      <c r="K5293" s="160" t="s">
        <v>26</v>
      </c>
      <c r="L5293" s="154" t="str">
        <f>IF(OpenLCAbasic!K5293="CTUh", "Fill in Manually",IF(OR(K5293="Unit", K5293=""), "", INDEX(LookUps!$E$5:$E$12, MATCH(OpenLCAbasic!K5293,LookUps!$D$5:$D$12,0))))</f>
        <v>Water Use (WU) - m3 H2O</v>
      </c>
      <c r="M5293" s="154" t="str">
        <f t="shared" si="353"/>
        <v>Base_High_Low_Upgraded_Water Use (WU) - m3 H2O_ClearCove SCP; wastewater treatment unit; at updated plant - US_Without Amendment_Windrow</v>
      </c>
    </row>
    <row r="5294" spans="1:13" s="120" customFormat="1" x14ac:dyDescent="0.25">
      <c r="A5294" s="119"/>
      <c r="B5294" s="138" t="str">
        <f t="shared" si="355"/>
        <v>Windrow</v>
      </c>
      <c r="C5294" s="138" t="str">
        <f t="shared" si="354"/>
        <v>Without Amendment</v>
      </c>
      <c r="D5294" s="138" t="str">
        <f t="shared" si="357"/>
        <v>High_Low</v>
      </c>
      <c r="E5294" s="138" t="str">
        <f t="shared" si="352"/>
        <v>Base</v>
      </c>
      <c r="F5294" s="138" t="str">
        <f t="shared" si="356"/>
        <v>Upgraded</v>
      </c>
      <c r="G5294" s="153"/>
      <c r="H5294" s="210">
        <v>-3.9300000000000002E-2</v>
      </c>
      <c r="I5294" s="160" t="s">
        <v>149</v>
      </c>
      <c r="J5294" s="211">
        <v>-1.22975E-5</v>
      </c>
      <c r="K5294" s="160" t="s">
        <v>26</v>
      </c>
      <c r="L5294" s="154" t="str">
        <f>IF(OpenLCAbasic!K5294="CTUh", "Fill in Manually",IF(OR(K5294="Unit", K5294=""), "", INDEX(LookUps!$E$5:$E$12, MATCH(OpenLCAbasic!K5294,LookUps!$D$5:$D$12,0))))</f>
        <v>Water Use (WU) - m3 H2O</v>
      </c>
      <c r="M5294" s="154" t="str">
        <f t="shared" si="353"/>
        <v>Base_High_Low_Upgraded_Water Use (WU) - m3 H2O_Anaerobic Digestion; wastewater treatment unit; at updated plant - US_Without Amendment_Windrow</v>
      </c>
    </row>
    <row r="5295" spans="1:13" s="120" customFormat="1" x14ac:dyDescent="0.25">
      <c r="A5295" s="119"/>
      <c r="B5295" s="138" t="str">
        <f t="shared" si="355"/>
        <v>Windrow</v>
      </c>
      <c r="C5295" s="138" t="str">
        <f t="shared" si="354"/>
        <v>Without Amendment</v>
      </c>
      <c r="D5295" s="138" t="str">
        <f t="shared" si="357"/>
        <v>High_Low</v>
      </c>
      <c r="E5295" s="138" t="str">
        <f t="shared" si="352"/>
        <v>Base</v>
      </c>
      <c r="F5295" s="138" t="str">
        <f t="shared" si="356"/>
        <v>Upgraded</v>
      </c>
      <c r="G5295" s="153"/>
      <c r="H5295" s="210">
        <v>-4.9013</v>
      </c>
      <c r="I5295" s="160" t="s">
        <v>62</v>
      </c>
      <c r="J5295" s="160">
        <v>-1.5299999999999999E-3</v>
      </c>
      <c r="K5295" s="160" t="s">
        <v>26</v>
      </c>
      <c r="L5295" s="154" t="str">
        <f>IF(OpenLCAbasic!K5295="CTUh", "Fill in Manually",IF(OR(K5295="Unit", K5295=""), "", INDEX(LookUps!$E$5:$E$12, MATCH(OpenLCAbasic!K5295,LookUps!$D$5:$D$12,0))))</f>
        <v>Water Use (WU) - m3 H2O</v>
      </c>
      <c r="M5295" s="154" t="str">
        <f t="shared" si="353"/>
        <v>Base_High_Low_Upgraded_Water Use (WU) - m3 H2O_Land application of compost; wastewater treatment unit; at updated plant - US_Without Amendment_Windrow</v>
      </c>
    </row>
    <row r="5296" spans="1:13" s="120" customFormat="1" x14ac:dyDescent="0.25">
      <c r="A5296" s="119"/>
      <c r="B5296" s="138" t="str">
        <f t="shared" si="355"/>
        <v/>
      </c>
      <c r="C5296" s="138" t="str">
        <f t="shared" si="354"/>
        <v/>
      </c>
      <c r="D5296" s="138" t="str">
        <f>IF(ISNUMBER($J5296),"High_Base","")</f>
        <v/>
      </c>
      <c r="E5296" s="138" t="str">
        <f t="shared" si="352"/>
        <v/>
      </c>
      <c r="F5296" s="138" t="str">
        <f t="shared" si="356"/>
        <v/>
      </c>
      <c r="G5296" s="153" t="s">
        <v>51</v>
      </c>
      <c r="H5296" s="160"/>
      <c r="I5296" s="160" t="s">
        <v>47</v>
      </c>
      <c r="J5296" s="160" t="s">
        <v>52</v>
      </c>
      <c r="K5296" s="160" t="s">
        <v>27</v>
      </c>
      <c r="L5296" s="154" t="str">
        <f>IF(OpenLCAbasic!K5296="CTUh", "Fill in Manually",IF(OR(K5296="Unit", K5296=""), "", INDEX(LookUps!$E$5:$E$12, MATCH(OpenLCAbasic!K5296,LookUps!$D$5:$D$12,0))))</f>
        <v/>
      </c>
      <c r="M5296" s="154" t="str">
        <f t="shared" si="353"/>
        <v>____Process__</v>
      </c>
    </row>
    <row r="5297" spans="1:13" s="120" customFormat="1" x14ac:dyDescent="0.25">
      <c r="A5297" s="119"/>
      <c r="B5297" s="138" t="str">
        <f t="shared" si="355"/>
        <v>Windrow</v>
      </c>
      <c r="C5297" s="138" t="str">
        <f t="shared" si="354"/>
        <v>Without Amendment</v>
      </c>
      <c r="D5297" s="138" t="str">
        <f t="shared" ref="D5297:D5360" si="358">IF(ISNUMBER($J5297),"High_Base","")</f>
        <v>High_Base</v>
      </c>
      <c r="E5297" s="138" t="str">
        <f t="shared" ref="E5297:E5360" si="359">IF(ISNUMBER($J5297),"Base","")</f>
        <v>Base</v>
      </c>
      <c r="F5297" s="138" t="str">
        <f t="shared" si="356"/>
        <v>Upgraded</v>
      </c>
      <c r="G5297" s="153"/>
      <c r="H5297" s="210">
        <v>3.4695999999999998</v>
      </c>
      <c r="I5297" s="160" t="s">
        <v>55</v>
      </c>
      <c r="J5297" s="160">
        <v>1.7219999999999999E-2</v>
      </c>
      <c r="K5297" s="160" t="s">
        <v>24</v>
      </c>
      <c r="L5297" s="154" t="str">
        <f>IF(OpenLCAbasic!K5297="CTUh", "Fill in Manually",IF(OR(K5297="Unit", K5297=""), "", INDEX(LookUps!$E$5:$E$12, MATCH(OpenLCAbasic!K5297,LookUps!$D$5:$D$12,0))))</f>
        <v>Acidification Potential (AP) - kg SO2 eq</v>
      </c>
      <c r="M5297" s="154" t="str">
        <f t="shared" si="353"/>
        <v>Base_High_Base_Upgraded_Acidification Potential (AP) - kg SO2 eq_Aeration Tanks; wastewater treatment unit; at updated plant - US_Without Amendment_Windrow</v>
      </c>
    </row>
    <row r="5298" spans="1:13" s="120" customFormat="1" x14ac:dyDescent="0.25">
      <c r="A5298" s="119"/>
      <c r="B5298" s="138" t="str">
        <f t="shared" si="355"/>
        <v>Windrow</v>
      </c>
      <c r="C5298" s="138" t="str">
        <f t="shared" si="354"/>
        <v>Without Amendment</v>
      </c>
      <c r="D5298" s="138" t="str">
        <f t="shared" si="358"/>
        <v>High_Base</v>
      </c>
      <c r="E5298" s="138" t="str">
        <f t="shared" si="359"/>
        <v>Base</v>
      </c>
      <c r="F5298" s="138" t="str">
        <f t="shared" si="356"/>
        <v>Upgraded</v>
      </c>
      <c r="G5298" s="153"/>
      <c r="H5298" s="210">
        <v>1.4208000000000001</v>
      </c>
      <c r="I5298" s="160" t="s">
        <v>271</v>
      </c>
      <c r="J5298" s="160">
        <v>7.0499999999999998E-3</v>
      </c>
      <c r="K5298" s="160" t="s">
        <v>24</v>
      </c>
      <c r="L5298" s="154" t="str">
        <f>IF(OpenLCAbasic!K5298="CTUh", "Fill in Manually",IF(OR(K5298="Unit", K5298=""), "", INDEX(LookUps!$E$5:$E$12, MATCH(OpenLCAbasic!K5298,LookUps!$D$5:$D$12,0))))</f>
        <v>Acidification Potential (AP) - kg SO2 eq</v>
      </c>
      <c r="M5298" s="154" t="str">
        <f t="shared" si="353"/>
        <v>Base_High_Base_Upgraded_Acidification Potential (AP) - kg SO2 eq_Biosolids composting; windrow composting; wastewater treatment unit; at updated plant - US_Without Amendment_Windrow</v>
      </c>
    </row>
    <row r="5299" spans="1:13" s="120" customFormat="1" x14ac:dyDescent="0.25">
      <c r="A5299" s="119"/>
      <c r="B5299" s="138" t="str">
        <f t="shared" si="355"/>
        <v>Windrow</v>
      </c>
      <c r="C5299" s="138" t="str">
        <f t="shared" si="354"/>
        <v>Without Amendment</v>
      </c>
      <c r="D5299" s="138" t="str">
        <f t="shared" si="358"/>
        <v>High_Base</v>
      </c>
      <c r="E5299" s="138" t="str">
        <f t="shared" si="359"/>
        <v>Base</v>
      </c>
      <c r="F5299" s="138" t="str">
        <f t="shared" si="356"/>
        <v>Upgraded</v>
      </c>
      <c r="G5299" s="153"/>
      <c r="H5299" s="210">
        <v>1.0035000000000001</v>
      </c>
      <c r="I5299" s="160" t="s">
        <v>54</v>
      </c>
      <c r="J5299" s="160">
        <v>4.9800000000000001E-3</v>
      </c>
      <c r="K5299" s="160" t="s">
        <v>24</v>
      </c>
      <c r="L5299" s="154" t="str">
        <f>IF(OpenLCAbasic!K5299="CTUh", "Fill in Manually",IF(OR(K5299="Unit", K5299=""), "", INDEX(LookUps!$E$5:$E$12, MATCH(OpenLCAbasic!K5299,LookUps!$D$5:$D$12,0))))</f>
        <v>Acidification Potential (AP) - kg SO2 eq</v>
      </c>
      <c r="M5299" s="154" t="str">
        <f t="shared" si="353"/>
        <v>Base_High_Base_Upgraded_Acidification Potential (AP) - kg SO2 eq_Clear Cove Primary Clarification; wastewater treatment unit; at updated plant - US_Without Amendment_Windrow</v>
      </c>
    </row>
    <row r="5300" spans="1:13" s="120" customFormat="1" x14ac:dyDescent="0.25">
      <c r="A5300" s="119"/>
      <c r="B5300" s="138" t="str">
        <f t="shared" si="355"/>
        <v>Windrow</v>
      </c>
      <c r="C5300" s="138" t="str">
        <f t="shared" si="354"/>
        <v>Without Amendment</v>
      </c>
      <c r="D5300" s="138" t="str">
        <f t="shared" si="358"/>
        <v>High_Base</v>
      </c>
      <c r="E5300" s="138" t="str">
        <f t="shared" si="359"/>
        <v>Base</v>
      </c>
      <c r="F5300" s="138" t="str">
        <f t="shared" si="356"/>
        <v>Upgraded</v>
      </c>
      <c r="G5300" s="153"/>
      <c r="H5300" s="210">
        <v>0.87929999999999997</v>
      </c>
      <c r="I5300" s="160" t="s">
        <v>58</v>
      </c>
      <c r="J5300" s="160">
        <v>4.3600000000000002E-3</v>
      </c>
      <c r="K5300" s="160" t="s">
        <v>24</v>
      </c>
      <c r="L5300" s="154" t="str">
        <f>IF(OpenLCAbasic!K5300="CTUh", "Fill in Manually",IF(OR(K5300="Unit", K5300=""), "", INDEX(LookUps!$E$5:$E$12, MATCH(OpenLCAbasic!K5300,LookUps!$D$5:$D$12,0))))</f>
        <v>Acidification Potential (AP) - kg SO2 eq</v>
      </c>
      <c r="M5300" s="154" t="str">
        <f t="shared" si="353"/>
        <v>Base_High_Base_Upgraded_Acidification Potential (AP) - kg SO2 eq_Pre-Anoxic &amp; Swing tank; wastewater treatment unit; at updated plant - US_Without Amendment_Windrow</v>
      </c>
    </row>
    <row r="5301" spans="1:13" s="120" customFormat="1" x14ac:dyDescent="0.25">
      <c r="A5301" s="119"/>
      <c r="B5301" s="138" t="str">
        <f t="shared" si="355"/>
        <v>Windrow</v>
      </c>
      <c r="C5301" s="138" t="str">
        <f t="shared" si="354"/>
        <v>Without Amendment</v>
      </c>
      <c r="D5301" s="138" t="str">
        <f t="shared" si="358"/>
        <v>High_Base</v>
      </c>
      <c r="E5301" s="138" t="str">
        <f t="shared" si="359"/>
        <v>Base</v>
      </c>
      <c r="F5301" s="138" t="str">
        <f t="shared" si="356"/>
        <v>Upgraded</v>
      </c>
      <c r="G5301" s="153"/>
      <c r="H5301" s="210">
        <v>0.69530000000000003</v>
      </c>
      <c r="I5301" s="160" t="s">
        <v>53</v>
      </c>
      <c r="J5301" s="160">
        <v>3.4499999999999999E-3</v>
      </c>
      <c r="K5301" s="160" t="s">
        <v>24</v>
      </c>
      <c r="L5301" s="154" t="str">
        <f>IF(OpenLCAbasic!K5301="CTUh", "Fill in Manually",IF(OR(K5301="Unit", K5301=""), "", INDEX(LookUps!$E$5:$E$12, MATCH(OpenLCAbasic!K5301,LookUps!$D$5:$D$12,0))))</f>
        <v>Acidification Potential (AP) - kg SO2 eq</v>
      </c>
      <c r="M5301" s="154" t="str">
        <f t="shared" si="353"/>
        <v>Base_High_Base_Upgraded_Acidification Potential (AP) - kg SO2 eq_Wet Well and Sump Station; wastewater treatment unit; at updated plant - US_Without Amendment_Windrow</v>
      </c>
    </row>
    <row r="5302" spans="1:13" s="120" customFormat="1" x14ac:dyDescent="0.25">
      <c r="A5302" s="119"/>
      <c r="B5302" s="138" t="str">
        <f t="shared" si="355"/>
        <v>Windrow</v>
      </c>
      <c r="C5302" s="138" t="str">
        <f t="shared" si="354"/>
        <v>Without Amendment</v>
      </c>
      <c r="D5302" s="138" t="str">
        <f t="shared" si="358"/>
        <v>High_Base</v>
      </c>
      <c r="E5302" s="138" t="str">
        <f t="shared" si="359"/>
        <v>Base</v>
      </c>
      <c r="F5302" s="138" t="str">
        <f t="shared" si="356"/>
        <v>Upgraded</v>
      </c>
      <c r="G5302" s="153"/>
      <c r="H5302" s="210">
        <v>0.66039999999999999</v>
      </c>
      <c r="I5302" s="160" t="s">
        <v>62</v>
      </c>
      <c r="J5302" s="160">
        <v>3.2799999999999999E-3</v>
      </c>
      <c r="K5302" s="160" t="s">
        <v>24</v>
      </c>
      <c r="L5302" s="154" t="str">
        <f>IF(OpenLCAbasic!K5302="CTUh", "Fill in Manually",IF(OR(K5302="Unit", K5302=""), "", INDEX(LookUps!$E$5:$E$12, MATCH(OpenLCAbasic!K5302,LookUps!$D$5:$D$12,0))))</f>
        <v>Acidification Potential (AP) - kg SO2 eq</v>
      </c>
      <c r="M5302" s="154" t="str">
        <f t="shared" si="353"/>
        <v>Base_High_Base_Upgraded_Acidification Potential (AP) - kg SO2 eq_Land application of compost; wastewater treatment unit; at updated plant - US_Without Amendment_Windrow</v>
      </c>
    </row>
    <row r="5303" spans="1:13" s="120" customFormat="1" x14ac:dyDescent="0.25">
      <c r="A5303" s="119"/>
      <c r="B5303" s="138" t="str">
        <f t="shared" si="355"/>
        <v>Windrow</v>
      </c>
      <c r="C5303" s="138" t="str">
        <f t="shared" si="354"/>
        <v>Without Amendment</v>
      </c>
      <c r="D5303" s="138" t="str">
        <f t="shared" si="358"/>
        <v>High_Base</v>
      </c>
      <c r="E5303" s="138" t="str">
        <f t="shared" si="359"/>
        <v>Base</v>
      </c>
      <c r="F5303" s="138" t="str">
        <f t="shared" si="356"/>
        <v>Upgraded</v>
      </c>
      <c r="G5303" s="153"/>
      <c r="H5303" s="210">
        <v>0.54469999999999996</v>
      </c>
      <c r="I5303" s="160" t="s">
        <v>167</v>
      </c>
      <c r="J5303" s="160">
        <v>2.7000000000000001E-3</v>
      </c>
      <c r="K5303" s="160" t="s">
        <v>24</v>
      </c>
      <c r="L5303" s="154" t="str">
        <f>IF(OpenLCAbasic!K5303="CTUh", "Fill in Manually",IF(OR(K5303="Unit", K5303=""), "", INDEX(LookUps!$E$5:$E$12, MATCH(OpenLCAbasic!K5303,LookUps!$D$5:$D$12,0))))</f>
        <v>Acidification Potential (AP) - kg SO2 eq</v>
      </c>
      <c r="M5303" s="154" t="str">
        <f t="shared" si="353"/>
        <v>Base_High_Base_Upgraded_Acidification Potential (AP) - kg SO2 eq_Waste Receiving and Holding; wastewater treatment unit; at updated plant - US_Without Amendment_Windrow</v>
      </c>
    </row>
    <row r="5304" spans="1:13" s="120" customFormat="1" x14ac:dyDescent="0.25">
      <c r="A5304" s="119"/>
      <c r="B5304" s="138" t="str">
        <f t="shared" si="355"/>
        <v>Windrow</v>
      </c>
      <c r="C5304" s="138" t="str">
        <f t="shared" si="354"/>
        <v>Without Amendment</v>
      </c>
      <c r="D5304" s="138" t="str">
        <f t="shared" si="358"/>
        <v>High_Base</v>
      </c>
      <c r="E5304" s="138" t="str">
        <f t="shared" si="359"/>
        <v>Base</v>
      </c>
      <c r="F5304" s="138" t="str">
        <f t="shared" si="356"/>
        <v>Upgraded</v>
      </c>
      <c r="G5304" s="153"/>
      <c r="H5304" s="210">
        <v>0.4168</v>
      </c>
      <c r="I5304" s="160" t="s">
        <v>147</v>
      </c>
      <c r="J5304" s="160">
        <v>2.0699999999999998E-3</v>
      </c>
      <c r="K5304" s="160" t="s">
        <v>24</v>
      </c>
      <c r="L5304" s="154" t="str">
        <f>IF(OpenLCAbasic!K5304="CTUh", "Fill in Manually",IF(OR(K5304="Unit", K5304=""), "", INDEX(LookUps!$E$5:$E$12, MATCH(OpenLCAbasic!K5304,LookUps!$D$5:$D$12,0))))</f>
        <v>Acidification Potential (AP) - kg SO2 eq</v>
      </c>
      <c r="M5304" s="154" t="str">
        <f t="shared" si="353"/>
        <v>Base_High_Base_Upgraded_Acidification Potential (AP) - kg SO2 eq_Influent Pump Station; wastewater treatment unit; at updated plant - US_Without Amendment_Windrow</v>
      </c>
    </row>
    <row r="5305" spans="1:13" s="120" customFormat="1" x14ac:dyDescent="0.25">
      <c r="A5305" s="119"/>
      <c r="B5305" s="138" t="str">
        <f t="shared" si="355"/>
        <v>Windrow</v>
      </c>
      <c r="C5305" s="138" t="str">
        <f t="shared" si="354"/>
        <v>Without Amendment</v>
      </c>
      <c r="D5305" s="138" t="str">
        <f t="shared" si="358"/>
        <v>High_Base</v>
      </c>
      <c r="E5305" s="138" t="str">
        <f t="shared" si="359"/>
        <v>Base</v>
      </c>
      <c r="F5305" s="138" t="str">
        <f t="shared" si="356"/>
        <v>Upgraded</v>
      </c>
      <c r="G5305" s="153"/>
      <c r="H5305" s="210">
        <v>0.29370000000000002</v>
      </c>
      <c r="I5305" s="160" t="s">
        <v>60</v>
      </c>
      <c r="J5305" s="160">
        <v>1.4599999999999999E-3</v>
      </c>
      <c r="K5305" s="160" t="s">
        <v>24</v>
      </c>
      <c r="L5305" s="154" t="str">
        <f>IF(OpenLCAbasic!K5305="CTUh", "Fill in Manually",IF(OR(K5305="Unit", K5305=""), "", INDEX(LookUps!$E$5:$E$12, MATCH(OpenLCAbasic!K5305,LookUps!$D$5:$D$12,0))))</f>
        <v>Acidification Potential (AP) - kg SO2 eq</v>
      </c>
      <c r="M5305" s="154" t="str">
        <f t="shared" si="353"/>
        <v>Base_High_Base_Upgraded_Acidification Potential (AP) - kg SO2 eq_Belt filter press; wastewater treatment unit; at updated plant - US_Without Amendment_Windrow</v>
      </c>
    </row>
    <row r="5306" spans="1:13" s="120" customFormat="1" x14ac:dyDescent="0.25">
      <c r="A5306" s="119"/>
      <c r="B5306" s="138" t="str">
        <f t="shared" si="355"/>
        <v>Windrow</v>
      </c>
      <c r="C5306" s="138" t="str">
        <f t="shared" si="354"/>
        <v>Without Amendment</v>
      </c>
      <c r="D5306" s="138" t="str">
        <f t="shared" si="358"/>
        <v>High_Base</v>
      </c>
      <c r="E5306" s="138" t="str">
        <f t="shared" si="359"/>
        <v>Base</v>
      </c>
      <c r="F5306" s="138" t="str">
        <f t="shared" si="356"/>
        <v>Upgraded</v>
      </c>
      <c r="G5306" s="153"/>
      <c r="H5306" s="210">
        <v>0.24840000000000001</v>
      </c>
      <c r="I5306" s="160" t="s">
        <v>128</v>
      </c>
      <c r="J5306" s="160">
        <v>1.23E-3</v>
      </c>
      <c r="K5306" s="160" t="s">
        <v>24</v>
      </c>
      <c r="L5306" s="154" t="str">
        <f>IF(OpenLCAbasic!K5306="CTUh", "Fill in Manually",IF(OR(K5306="Unit", K5306=""), "", INDEX(LookUps!$E$5:$E$12, MATCH(OpenLCAbasic!K5306,LookUps!$D$5:$D$12,0))))</f>
        <v>Acidification Potential (AP) - kg SO2 eq</v>
      </c>
      <c r="M5306" s="154" t="str">
        <f t="shared" si="353"/>
        <v>Base_High_Base_Upgraded_Acidification Potential (AP) - kg SO2 eq_Wastewater collection; operation and infrastructure; m3 wastewater_Without Amendment_Windrow</v>
      </c>
    </row>
    <row r="5307" spans="1:13" s="120" customFormat="1" x14ac:dyDescent="0.25">
      <c r="A5307" s="119"/>
      <c r="B5307" s="138" t="str">
        <f t="shared" si="355"/>
        <v>Windrow</v>
      </c>
      <c r="C5307" s="138" t="str">
        <f t="shared" si="354"/>
        <v>Without Amendment</v>
      </c>
      <c r="D5307" s="138" t="str">
        <f t="shared" si="358"/>
        <v>High_Base</v>
      </c>
      <c r="E5307" s="138" t="str">
        <f t="shared" si="359"/>
        <v>Base</v>
      </c>
      <c r="F5307" s="138" t="str">
        <f t="shared" si="356"/>
        <v>Upgraded</v>
      </c>
      <c r="G5307" s="153"/>
      <c r="H5307" s="210">
        <v>0.14180000000000001</v>
      </c>
      <c r="I5307" s="160" t="s">
        <v>57</v>
      </c>
      <c r="J5307" s="160">
        <v>6.9999999999999999E-4</v>
      </c>
      <c r="K5307" s="160" t="s">
        <v>24</v>
      </c>
      <c r="L5307" s="154" t="str">
        <f>IF(OpenLCAbasic!K5307="CTUh", "Fill in Manually",IF(OR(K5307="Unit", K5307=""), "", INDEX(LookUps!$E$5:$E$12, MATCH(OpenLCAbasic!K5307,LookUps!$D$5:$D$12,0))))</f>
        <v>Acidification Potential (AP) - kg SO2 eq</v>
      </c>
      <c r="M5307" s="154" t="str">
        <f t="shared" ref="M5307:M5370" si="360">CONCATENATE(E5307,"_",D5307,"_",F5307,"_",L5307, "_",I5307,"_", C5307,"_", B5307)</f>
        <v>Base_High_Base_Upgraded_Acidification Potential (AP) - kg SO2 eq_Gravity Belt Thickener; wastewater treatment unit; at updated plant - US_Without Amendment_Windrow</v>
      </c>
    </row>
    <row r="5308" spans="1:13" s="120" customFormat="1" x14ac:dyDescent="0.25">
      <c r="A5308" s="119"/>
      <c r="B5308" s="138" t="str">
        <f t="shared" si="355"/>
        <v>Windrow</v>
      </c>
      <c r="C5308" s="138" t="str">
        <f t="shared" si="354"/>
        <v>Without Amendment</v>
      </c>
      <c r="D5308" s="138" t="str">
        <f t="shared" si="358"/>
        <v>High_Base</v>
      </c>
      <c r="E5308" s="138" t="str">
        <f t="shared" si="359"/>
        <v>Base</v>
      </c>
      <c r="F5308" s="138" t="str">
        <f t="shared" si="356"/>
        <v>Upgraded</v>
      </c>
      <c r="G5308" s="153"/>
      <c r="H5308" s="210">
        <v>0.104</v>
      </c>
      <c r="I5308" s="160" t="s">
        <v>59</v>
      </c>
      <c r="J5308" s="160">
        <v>5.1999999999999995E-4</v>
      </c>
      <c r="K5308" s="160" t="s">
        <v>24</v>
      </c>
      <c r="L5308" s="154" t="str">
        <f>IF(OpenLCAbasic!K5308="CTUh", "Fill in Manually",IF(OR(K5308="Unit", K5308=""), "", INDEX(LookUps!$E$5:$E$12, MATCH(OpenLCAbasic!K5308,LookUps!$D$5:$D$12,0))))</f>
        <v>Acidification Potential (AP) - kg SO2 eq</v>
      </c>
      <c r="M5308" s="154" t="str">
        <f t="shared" si="360"/>
        <v>Base_High_Base_Upgraded_Acidification Potential (AP) - kg SO2 eq_Blend Tank; wastewater treatment unit; at updated plant - US_Without Amendment_Windrow</v>
      </c>
    </row>
    <row r="5309" spans="1:13" s="120" customFormat="1" x14ac:dyDescent="0.25">
      <c r="A5309" s="119"/>
      <c r="B5309" s="138" t="str">
        <f t="shared" si="355"/>
        <v>Windrow</v>
      </c>
      <c r="C5309" s="138" t="str">
        <f t="shared" si="354"/>
        <v>Without Amendment</v>
      </c>
      <c r="D5309" s="138" t="str">
        <f t="shared" si="358"/>
        <v>High_Base</v>
      </c>
      <c r="E5309" s="138" t="str">
        <f t="shared" si="359"/>
        <v>Base</v>
      </c>
      <c r="F5309" s="138" t="str">
        <f t="shared" si="356"/>
        <v>Upgraded</v>
      </c>
      <c r="G5309" s="153"/>
      <c r="H5309" s="210">
        <v>6.9800000000000001E-2</v>
      </c>
      <c r="I5309" s="160" t="s">
        <v>48</v>
      </c>
      <c r="J5309" s="160">
        <v>3.5E-4</v>
      </c>
      <c r="K5309" s="160" t="s">
        <v>24</v>
      </c>
      <c r="L5309" s="154" t="str">
        <f>IF(OpenLCAbasic!K5309="CTUh", "Fill in Manually",IF(OR(K5309="Unit", K5309=""), "", INDEX(LookUps!$E$5:$E$12, MATCH(OpenLCAbasic!K5309,LookUps!$D$5:$D$12,0))))</f>
        <v>Acidification Potential (AP) - kg SO2 eq</v>
      </c>
      <c r="M5309" s="154" t="str">
        <f t="shared" si="360"/>
        <v>Base_High_Base_Upgraded_Acidification Potential (AP) - kg SO2 eq_Effluent release; wastewater treatment unit; at surface water; m3 wastewater - US_Without Amendment_Windrow</v>
      </c>
    </row>
    <row r="5310" spans="1:13" s="120" customFormat="1" x14ac:dyDescent="0.25">
      <c r="A5310" s="119"/>
      <c r="B5310" s="138" t="str">
        <f t="shared" si="355"/>
        <v>Windrow</v>
      </c>
      <c r="C5310" s="138" t="str">
        <f t="shared" si="354"/>
        <v>Without Amendment</v>
      </c>
      <c r="D5310" s="138" t="str">
        <f t="shared" si="358"/>
        <v>High_Base</v>
      </c>
      <c r="E5310" s="138" t="str">
        <f t="shared" si="359"/>
        <v>Base</v>
      </c>
      <c r="F5310" s="138" t="str">
        <f t="shared" si="356"/>
        <v>Upgraded</v>
      </c>
      <c r="G5310" s="153"/>
      <c r="H5310" s="210">
        <v>5.1400000000000001E-2</v>
      </c>
      <c r="I5310" s="160" t="s">
        <v>168</v>
      </c>
      <c r="J5310" s="160">
        <v>2.5999999999999998E-4</v>
      </c>
      <c r="K5310" s="160" t="s">
        <v>24</v>
      </c>
      <c r="L5310" s="154" t="str">
        <f>IF(OpenLCAbasic!K5310="CTUh", "Fill in Manually",IF(OR(K5310="Unit", K5310=""), "", INDEX(LookUps!$E$5:$E$12, MATCH(OpenLCAbasic!K5310,LookUps!$D$5:$D$12,0))))</f>
        <v>Acidification Potential (AP) - kg SO2 eq</v>
      </c>
      <c r="M5310" s="154" t="str">
        <f t="shared" si="360"/>
        <v>Base_High_Base_Upgraded_Acidification Potential (AP) - kg SO2 eq_ClearCove SCP; wastewater treatment unit; at updated plant - US_Without Amendment_Windrow</v>
      </c>
    </row>
    <row r="5311" spans="1:13" s="120" customFormat="1" x14ac:dyDescent="0.25">
      <c r="A5311" s="119"/>
      <c r="B5311" s="138" t="str">
        <f t="shared" si="355"/>
        <v>Windrow</v>
      </c>
      <c r="C5311" s="138" t="str">
        <f t="shared" si="354"/>
        <v>Without Amendment</v>
      </c>
      <c r="D5311" s="138" t="str">
        <f t="shared" si="358"/>
        <v>High_Base</v>
      </c>
      <c r="E5311" s="138" t="str">
        <f t="shared" si="359"/>
        <v>Base</v>
      </c>
      <c r="F5311" s="138" t="str">
        <f t="shared" si="356"/>
        <v>Upgraded</v>
      </c>
      <c r="G5311" s="153"/>
      <c r="H5311" s="210">
        <v>8.0999999999999996E-3</v>
      </c>
      <c r="I5311" s="160" t="s">
        <v>148</v>
      </c>
      <c r="J5311" s="211">
        <v>4.0354700000000002E-5</v>
      </c>
      <c r="K5311" s="160" t="s">
        <v>24</v>
      </c>
      <c r="L5311" s="154" t="str">
        <f>IF(OpenLCAbasic!K5311="CTUh", "Fill in Manually",IF(OR(K5311="Unit", K5311=""), "", INDEX(LookUps!$E$5:$E$12, MATCH(OpenLCAbasic!K5311,LookUps!$D$5:$D$12,0))))</f>
        <v>Acidification Potential (AP) - kg SO2 eq</v>
      </c>
      <c r="M5311" s="154" t="str">
        <f t="shared" si="360"/>
        <v>Base_High_Base_Upgraded_Acidification Potential (AP) - kg SO2 eq_Control Building; at upgraded wastewater treatment plant - US_Without Amendment_Windrow</v>
      </c>
    </row>
    <row r="5312" spans="1:13" s="120" customFormat="1" x14ac:dyDescent="0.25">
      <c r="A5312" s="119"/>
      <c r="B5312" s="138" t="str">
        <f t="shared" si="355"/>
        <v>Windrow</v>
      </c>
      <c r="C5312" s="138" t="str">
        <f t="shared" si="354"/>
        <v>Without Amendment</v>
      </c>
      <c r="D5312" s="138" t="str">
        <f t="shared" si="358"/>
        <v>High_Base</v>
      </c>
      <c r="E5312" s="138" t="str">
        <f t="shared" si="359"/>
        <v>Base</v>
      </c>
      <c r="F5312" s="138" t="str">
        <f t="shared" si="356"/>
        <v>Upgraded</v>
      </c>
      <c r="G5312" s="153"/>
      <c r="H5312" s="210">
        <v>-9.0076999999999998</v>
      </c>
      <c r="I5312" s="160" t="s">
        <v>149</v>
      </c>
      <c r="J5312" s="160">
        <v>-4.4699999999999997E-2</v>
      </c>
      <c r="K5312" s="160" t="s">
        <v>24</v>
      </c>
      <c r="L5312" s="154" t="str">
        <f>IF(OpenLCAbasic!K5312="CTUh", "Fill in Manually",IF(OR(K5312="Unit", K5312=""), "", INDEX(LookUps!$E$5:$E$12, MATCH(OpenLCAbasic!K5312,LookUps!$D$5:$D$12,0))))</f>
        <v>Acidification Potential (AP) - kg SO2 eq</v>
      </c>
      <c r="M5312" s="154" t="str">
        <f t="shared" si="360"/>
        <v>Base_High_Base_Upgraded_Acidification Potential (AP) - kg SO2 eq_Anaerobic Digestion; wastewater treatment unit; at updated plant - US_Without Amendment_Windrow</v>
      </c>
    </row>
    <row r="5313" spans="1:13" s="120" customFormat="1" x14ac:dyDescent="0.25">
      <c r="A5313" s="119"/>
      <c r="B5313" s="138" t="str">
        <f t="shared" si="355"/>
        <v/>
      </c>
      <c r="C5313" s="138" t="str">
        <f t="shared" ref="C5313:C5376" si="361">IF(ISNUMBER($J5313),"Without Amendment","")</f>
        <v/>
      </c>
      <c r="D5313" s="138" t="str">
        <f t="shared" si="358"/>
        <v/>
      </c>
      <c r="E5313" s="138" t="str">
        <f t="shared" si="359"/>
        <v/>
      </c>
      <c r="F5313" s="138" t="str">
        <f t="shared" si="356"/>
        <v/>
      </c>
      <c r="G5313" s="153" t="s">
        <v>51</v>
      </c>
      <c r="H5313" s="160"/>
      <c r="I5313" s="160" t="s">
        <v>47</v>
      </c>
      <c r="J5313" s="160" t="s">
        <v>52</v>
      </c>
      <c r="K5313" s="160" t="s">
        <v>27</v>
      </c>
      <c r="L5313" s="154" t="str">
        <f>IF(OpenLCAbasic!K5313="CTUh", "Fill in Manually",IF(OR(K5313="Unit", K5313=""), "", INDEX(LookUps!$E$5:$E$12, MATCH(OpenLCAbasic!K5313,LookUps!$D$5:$D$12,0))))</f>
        <v/>
      </c>
      <c r="M5313" s="154" t="str">
        <f t="shared" si="360"/>
        <v>____Process__</v>
      </c>
    </row>
    <row r="5314" spans="1:13" s="120" customFormat="1" x14ac:dyDescent="0.25">
      <c r="A5314" s="119"/>
      <c r="B5314" s="138" t="str">
        <f t="shared" si="355"/>
        <v>Windrow</v>
      </c>
      <c r="C5314" s="138" t="str">
        <f t="shared" si="361"/>
        <v>Without Amendment</v>
      </c>
      <c r="D5314" s="138" t="str">
        <f t="shared" si="358"/>
        <v>High_Base</v>
      </c>
      <c r="E5314" s="138" t="str">
        <f t="shared" si="359"/>
        <v>Base</v>
      </c>
      <c r="F5314" s="138" t="str">
        <f t="shared" si="356"/>
        <v>Upgraded</v>
      </c>
      <c r="G5314" s="153"/>
      <c r="H5314" s="210">
        <v>6.4044999999999996</v>
      </c>
      <c r="I5314" s="160" t="s">
        <v>167</v>
      </c>
      <c r="J5314" s="160">
        <v>5.1393399999999998</v>
      </c>
      <c r="K5314" s="160" t="s">
        <v>15</v>
      </c>
      <c r="L5314" s="154" t="str">
        <f>IF(OpenLCAbasic!K5314="CTUh", "Fill in Manually",IF(OR(K5314="Unit", K5314=""), "", INDEX(LookUps!$E$5:$E$12, MATCH(OpenLCAbasic!K5314,LookUps!$D$5:$D$12,0))))</f>
        <v>Cumulative Energy Demand (CED) - MJ</v>
      </c>
      <c r="M5314" s="154" t="str">
        <f t="shared" si="360"/>
        <v>Base_High_Base_Upgraded_Cumulative Energy Demand (CED) - MJ_Waste Receiving and Holding; wastewater treatment unit; at updated plant - US_Without Amendment_Windrow</v>
      </c>
    </row>
    <row r="5315" spans="1:13" s="120" customFormat="1" x14ac:dyDescent="0.25">
      <c r="A5315" s="119"/>
      <c r="B5315" s="138" t="str">
        <f t="shared" si="355"/>
        <v>Windrow</v>
      </c>
      <c r="C5315" s="138" t="str">
        <f t="shared" si="361"/>
        <v>Without Amendment</v>
      </c>
      <c r="D5315" s="138" t="str">
        <f t="shared" si="358"/>
        <v>High_Base</v>
      </c>
      <c r="E5315" s="138" t="str">
        <f t="shared" si="359"/>
        <v>Base</v>
      </c>
      <c r="F5315" s="138" t="str">
        <f t="shared" si="356"/>
        <v>Upgraded</v>
      </c>
      <c r="G5315" s="153"/>
      <c r="H5315" s="210">
        <v>4.4028</v>
      </c>
      <c r="I5315" s="160" t="s">
        <v>55</v>
      </c>
      <c r="J5315" s="160">
        <v>3.5330499999999998</v>
      </c>
      <c r="K5315" s="160" t="s">
        <v>15</v>
      </c>
      <c r="L5315" s="154" t="str">
        <f>IF(OpenLCAbasic!K5315="CTUh", "Fill in Manually",IF(OR(K5315="Unit", K5315=""), "", INDEX(LookUps!$E$5:$E$12, MATCH(OpenLCAbasic!K5315,LookUps!$D$5:$D$12,0))))</f>
        <v>Cumulative Energy Demand (CED) - MJ</v>
      </c>
      <c r="M5315" s="154" t="str">
        <f t="shared" si="360"/>
        <v>Base_High_Base_Upgraded_Cumulative Energy Demand (CED) - MJ_Aeration Tanks; wastewater treatment unit; at updated plant - US_Without Amendment_Windrow</v>
      </c>
    </row>
    <row r="5316" spans="1:13" s="120" customFormat="1" x14ac:dyDescent="0.25">
      <c r="A5316" s="119"/>
      <c r="B5316" s="138" t="str">
        <f t="shared" si="355"/>
        <v>Windrow</v>
      </c>
      <c r="C5316" s="138" t="str">
        <f t="shared" si="361"/>
        <v>Without Amendment</v>
      </c>
      <c r="D5316" s="138" t="str">
        <f t="shared" si="358"/>
        <v>High_Base</v>
      </c>
      <c r="E5316" s="138" t="str">
        <f t="shared" si="359"/>
        <v>Base</v>
      </c>
      <c r="F5316" s="138" t="str">
        <f t="shared" si="356"/>
        <v>Upgraded</v>
      </c>
      <c r="G5316" s="153"/>
      <c r="H5316" s="210">
        <v>1.4492</v>
      </c>
      <c r="I5316" s="160" t="s">
        <v>54</v>
      </c>
      <c r="J5316" s="160">
        <v>1.16289</v>
      </c>
      <c r="K5316" s="160" t="s">
        <v>15</v>
      </c>
      <c r="L5316" s="154" t="str">
        <f>IF(OpenLCAbasic!K5316="CTUh", "Fill in Manually",IF(OR(K5316="Unit", K5316=""), "", INDEX(LookUps!$E$5:$E$12, MATCH(OpenLCAbasic!K5316,LookUps!$D$5:$D$12,0))))</f>
        <v>Cumulative Energy Demand (CED) - MJ</v>
      </c>
      <c r="M5316" s="154" t="str">
        <f t="shared" si="360"/>
        <v>Base_High_Base_Upgraded_Cumulative Energy Demand (CED) - MJ_Clear Cove Primary Clarification; wastewater treatment unit; at updated plant - US_Without Amendment_Windrow</v>
      </c>
    </row>
    <row r="5317" spans="1:13" s="120" customFormat="1" x14ac:dyDescent="0.25">
      <c r="A5317" s="119"/>
      <c r="B5317" s="138" t="str">
        <f t="shared" si="355"/>
        <v>Windrow</v>
      </c>
      <c r="C5317" s="138" t="str">
        <f t="shared" si="361"/>
        <v>Without Amendment</v>
      </c>
      <c r="D5317" s="138" t="str">
        <f t="shared" si="358"/>
        <v>High_Base</v>
      </c>
      <c r="E5317" s="138" t="str">
        <f t="shared" si="359"/>
        <v>Base</v>
      </c>
      <c r="F5317" s="138" t="str">
        <f t="shared" si="356"/>
        <v>Upgraded</v>
      </c>
      <c r="G5317" s="153"/>
      <c r="H5317" s="210">
        <v>1.1099000000000001</v>
      </c>
      <c r="I5317" s="160" t="s">
        <v>58</v>
      </c>
      <c r="J5317" s="160">
        <v>0.89063999999999999</v>
      </c>
      <c r="K5317" s="160" t="s">
        <v>15</v>
      </c>
      <c r="L5317" s="154" t="str">
        <f>IF(OpenLCAbasic!K5317="CTUh", "Fill in Manually",IF(OR(K5317="Unit", K5317=""), "", INDEX(LookUps!$E$5:$E$12, MATCH(OpenLCAbasic!K5317,LookUps!$D$5:$D$12,0))))</f>
        <v>Cumulative Energy Demand (CED) - MJ</v>
      </c>
      <c r="M5317" s="154" t="str">
        <f t="shared" si="360"/>
        <v>Base_High_Base_Upgraded_Cumulative Energy Demand (CED) - MJ_Pre-Anoxic &amp; Swing tank; wastewater treatment unit; at updated plant - US_Without Amendment_Windrow</v>
      </c>
    </row>
    <row r="5318" spans="1:13" s="120" customFormat="1" x14ac:dyDescent="0.25">
      <c r="A5318" s="119"/>
      <c r="B5318" s="138" t="str">
        <f t="shared" si="355"/>
        <v>Windrow</v>
      </c>
      <c r="C5318" s="138" t="str">
        <f t="shared" si="361"/>
        <v>Without Amendment</v>
      </c>
      <c r="D5318" s="138" t="str">
        <f t="shared" si="358"/>
        <v>High_Base</v>
      </c>
      <c r="E5318" s="138" t="str">
        <f t="shared" si="359"/>
        <v>Base</v>
      </c>
      <c r="F5318" s="138" t="str">
        <f t="shared" si="356"/>
        <v>Upgraded</v>
      </c>
      <c r="G5318" s="153"/>
      <c r="H5318" s="210">
        <v>1.1003000000000001</v>
      </c>
      <c r="I5318" s="160" t="s">
        <v>147</v>
      </c>
      <c r="J5318" s="160">
        <v>0.88297000000000003</v>
      </c>
      <c r="K5318" s="160" t="s">
        <v>15</v>
      </c>
      <c r="L5318" s="154" t="str">
        <f>IF(OpenLCAbasic!K5318="CTUh", "Fill in Manually",IF(OR(K5318="Unit", K5318=""), "", INDEX(LookUps!$E$5:$E$12, MATCH(OpenLCAbasic!K5318,LookUps!$D$5:$D$12,0))))</f>
        <v>Cumulative Energy Demand (CED) - MJ</v>
      </c>
      <c r="M5318" s="154" t="str">
        <f t="shared" si="360"/>
        <v>Base_High_Base_Upgraded_Cumulative Energy Demand (CED) - MJ_Influent Pump Station; wastewater treatment unit; at updated plant - US_Without Amendment_Windrow</v>
      </c>
    </row>
    <row r="5319" spans="1:13" s="120" customFormat="1" x14ac:dyDescent="0.25">
      <c r="A5319" s="119"/>
      <c r="B5319" s="138" t="str">
        <f t="shared" si="355"/>
        <v>Windrow</v>
      </c>
      <c r="C5319" s="138" t="str">
        <f t="shared" si="361"/>
        <v>Without Amendment</v>
      </c>
      <c r="D5319" s="138" t="str">
        <f t="shared" si="358"/>
        <v>High_Base</v>
      </c>
      <c r="E5319" s="138" t="str">
        <f t="shared" si="359"/>
        <v>Base</v>
      </c>
      <c r="F5319" s="138" t="str">
        <f t="shared" si="356"/>
        <v>Upgraded</v>
      </c>
      <c r="G5319" s="153"/>
      <c r="H5319" s="210">
        <v>0.8679</v>
      </c>
      <c r="I5319" s="160" t="s">
        <v>53</v>
      </c>
      <c r="J5319" s="160">
        <v>0.69645000000000001</v>
      </c>
      <c r="K5319" s="160" t="s">
        <v>15</v>
      </c>
      <c r="L5319" s="154" t="str">
        <f>IF(OpenLCAbasic!K5319="CTUh", "Fill in Manually",IF(OR(K5319="Unit", K5319=""), "", INDEX(LookUps!$E$5:$E$12, MATCH(OpenLCAbasic!K5319,LookUps!$D$5:$D$12,0))))</f>
        <v>Cumulative Energy Demand (CED) - MJ</v>
      </c>
      <c r="M5319" s="154" t="str">
        <f t="shared" si="360"/>
        <v>Base_High_Base_Upgraded_Cumulative Energy Demand (CED) - MJ_Wet Well and Sump Station; wastewater treatment unit; at updated plant - US_Without Amendment_Windrow</v>
      </c>
    </row>
    <row r="5320" spans="1:13" s="120" customFormat="1" x14ac:dyDescent="0.25">
      <c r="A5320" s="119"/>
      <c r="B5320" s="138" t="str">
        <f t="shared" si="355"/>
        <v>Windrow</v>
      </c>
      <c r="C5320" s="138" t="str">
        <f t="shared" si="361"/>
        <v>Without Amendment</v>
      </c>
      <c r="D5320" s="138" t="str">
        <f t="shared" si="358"/>
        <v>High_Base</v>
      </c>
      <c r="E5320" s="138" t="str">
        <f t="shared" si="359"/>
        <v>Base</v>
      </c>
      <c r="F5320" s="138" t="str">
        <f t="shared" si="356"/>
        <v>Upgraded</v>
      </c>
      <c r="G5320" s="153"/>
      <c r="H5320" s="210">
        <v>0.67820000000000003</v>
      </c>
      <c r="I5320" s="160" t="s">
        <v>60</v>
      </c>
      <c r="J5320" s="160">
        <v>0.54422999999999999</v>
      </c>
      <c r="K5320" s="160" t="s">
        <v>15</v>
      </c>
      <c r="L5320" s="154" t="str">
        <f>IF(OpenLCAbasic!K5320="CTUh", "Fill in Manually",IF(OR(K5320="Unit", K5320=""), "", INDEX(LookUps!$E$5:$E$12, MATCH(OpenLCAbasic!K5320,LookUps!$D$5:$D$12,0))))</f>
        <v>Cumulative Energy Demand (CED) - MJ</v>
      </c>
      <c r="M5320" s="154" t="str">
        <f t="shared" si="360"/>
        <v>Base_High_Base_Upgraded_Cumulative Energy Demand (CED) - MJ_Belt filter press; wastewater treatment unit; at updated plant - US_Without Amendment_Windrow</v>
      </c>
    </row>
    <row r="5321" spans="1:13" s="120" customFormat="1" x14ac:dyDescent="0.25">
      <c r="A5321" s="119"/>
      <c r="B5321" s="138" t="str">
        <f t="shared" si="355"/>
        <v>Windrow</v>
      </c>
      <c r="C5321" s="138" t="str">
        <f t="shared" si="361"/>
        <v>Without Amendment</v>
      </c>
      <c r="D5321" s="138" t="str">
        <f t="shared" si="358"/>
        <v>High_Base</v>
      </c>
      <c r="E5321" s="138" t="str">
        <f t="shared" si="359"/>
        <v>Base</v>
      </c>
      <c r="F5321" s="138" t="str">
        <f t="shared" si="356"/>
        <v>Upgraded</v>
      </c>
      <c r="G5321" s="153"/>
      <c r="H5321" s="210">
        <v>0.4163</v>
      </c>
      <c r="I5321" s="160" t="s">
        <v>57</v>
      </c>
      <c r="J5321" s="160">
        <v>0.33404</v>
      </c>
      <c r="K5321" s="160" t="s">
        <v>15</v>
      </c>
      <c r="L5321" s="154" t="str">
        <f>IF(OpenLCAbasic!K5321="CTUh", "Fill in Manually",IF(OR(K5321="Unit", K5321=""), "", INDEX(LookUps!$E$5:$E$12, MATCH(OpenLCAbasic!K5321,LookUps!$D$5:$D$12,0))))</f>
        <v>Cumulative Energy Demand (CED) - MJ</v>
      </c>
      <c r="M5321" s="154" t="str">
        <f t="shared" si="360"/>
        <v>Base_High_Base_Upgraded_Cumulative Energy Demand (CED) - MJ_Gravity Belt Thickener; wastewater treatment unit; at updated plant - US_Without Amendment_Windrow</v>
      </c>
    </row>
    <row r="5322" spans="1:13" s="120" customFormat="1" x14ac:dyDescent="0.25">
      <c r="A5322" s="119"/>
      <c r="B5322" s="138" t="str">
        <f t="shared" si="355"/>
        <v>Windrow</v>
      </c>
      <c r="C5322" s="138" t="str">
        <f t="shared" si="361"/>
        <v>Without Amendment</v>
      </c>
      <c r="D5322" s="138" t="str">
        <f t="shared" si="358"/>
        <v>High_Base</v>
      </c>
      <c r="E5322" s="138" t="str">
        <f t="shared" si="359"/>
        <v>Base</v>
      </c>
      <c r="F5322" s="138" t="str">
        <f t="shared" si="356"/>
        <v>Upgraded</v>
      </c>
      <c r="G5322" s="153"/>
      <c r="H5322" s="210">
        <v>0.31909999999999999</v>
      </c>
      <c r="I5322" s="160" t="s">
        <v>128</v>
      </c>
      <c r="J5322" s="160">
        <v>0.25606000000000001</v>
      </c>
      <c r="K5322" s="160" t="s">
        <v>15</v>
      </c>
      <c r="L5322" s="154" t="str">
        <f>IF(OpenLCAbasic!K5322="CTUh", "Fill in Manually",IF(OR(K5322="Unit", K5322=""), "", INDEX(LookUps!$E$5:$E$12, MATCH(OpenLCAbasic!K5322,LookUps!$D$5:$D$12,0))))</f>
        <v>Cumulative Energy Demand (CED) - MJ</v>
      </c>
      <c r="M5322" s="154" t="str">
        <f t="shared" si="360"/>
        <v>Base_High_Base_Upgraded_Cumulative Energy Demand (CED) - MJ_Wastewater collection; operation and infrastructure; m3 wastewater_Without Amendment_Windrow</v>
      </c>
    </row>
    <row r="5323" spans="1:13" s="120" customFormat="1" x14ac:dyDescent="0.25">
      <c r="A5323" s="119"/>
      <c r="B5323" s="138" t="str">
        <f t="shared" si="355"/>
        <v>Windrow</v>
      </c>
      <c r="C5323" s="138" t="str">
        <f t="shared" si="361"/>
        <v>Without Amendment</v>
      </c>
      <c r="D5323" s="138" t="str">
        <f t="shared" si="358"/>
        <v>High_Base</v>
      </c>
      <c r="E5323" s="138" t="str">
        <f t="shared" si="359"/>
        <v>Base</v>
      </c>
      <c r="F5323" s="138" t="str">
        <f t="shared" si="356"/>
        <v>Upgraded</v>
      </c>
      <c r="G5323" s="153"/>
      <c r="H5323" s="210">
        <v>0.18190000000000001</v>
      </c>
      <c r="I5323" s="160" t="s">
        <v>148</v>
      </c>
      <c r="J5323" s="160">
        <v>0.14599000000000001</v>
      </c>
      <c r="K5323" s="160" t="s">
        <v>15</v>
      </c>
      <c r="L5323" s="154" t="str">
        <f>IF(OpenLCAbasic!K5323="CTUh", "Fill in Manually",IF(OR(K5323="Unit", K5323=""), "", INDEX(LookUps!$E$5:$E$12, MATCH(OpenLCAbasic!K5323,LookUps!$D$5:$D$12,0))))</f>
        <v>Cumulative Energy Demand (CED) - MJ</v>
      </c>
      <c r="M5323" s="154" t="str">
        <f t="shared" si="360"/>
        <v>Base_High_Base_Upgraded_Cumulative Energy Demand (CED) - MJ_Control Building; at upgraded wastewater treatment plant - US_Without Amendment_Windrow</v>
      </c>
    </row>
    <row r="5324" spans="1:13" s="120" customFormat="1" x14ac:dyDescent="0.25">
      <c r="A5324" s="119"/>
      <c r="B5324" s="138" t="str">
        <f t="shared" si="355"/>
        <v>Windrow</v>
      </c>
      <c r="C5324" s="138" t="str">
        <f t="shared" si="361"/>
        <v>Without Amendment</v>
      </c>
      <c r="D5324" s="138" t="str">
        <f t="shared" si="358"/>
        <v>High_Base</v>
      </c>
      <c r="E5324" s="138" t="str">
        <f t="shared" si="359"/>
        <v>Base</v>
      </c>
      <c r="F5324" s="138" t="str">
        <f t="shared" si="356"/>
        <v>Upgraded</v>
      </c>
      <c r="G5324" s="153"/>
      <c r="H5324" s="210">
        <v>0.16600000000000001</v>
      </c>
      <c r="I5324" s="160" t="s">
        <v>48</v>
      </c>
      <c r="J5324" s="160">
        <v>0.13321</v>
      </c>
      <c r="K5324" s="160" t="s">
        <v>15</v>
      </c>
      <c r="L5324" s="154" t="str">
        <f>IF(OpenLCAbasic!K5324="CTUh", "Fill in Manually",IF(OR(K5324="Unit", K5324=""), "", INDEX(LookUps!$E$5:$E$12, MATCH(OpenLCAbasic!K5324,LookUps!$D$5:$D$12,0))))</f>
        <v>Cumulative Energy Demand (CED) - MJ</v>
      </c>
      <c r="M5324" s="154" t="str">
        <f t="shared" si="360"/>
        <v>Base_High_Base_Upgraded_Cumulative Energy Demand (CED) - MJ_Effluent release; wastewater treatment unit; at surface water; m3 wastewater - US_Without Amendment_Windrow</v>
      </c>
    </row>
    <row r="5325" spans="1:13" s="120" customFormat="1" x14ac:dyDescent="0.25">
      <c r="A5325" s="119"/>
      <c r="B5325" s="138" t="str">
        <f t="shared" si="355"/>
        <v>Windrow</v>
      </c>
      <c r="C5325" s="138" t="str">
        <f t="shared" si="361"/>
        <v>Without Amendment</v>
      </c>
      <c r="D5325" s="138" t="str">
        <f t="shared" si="358"/>
        <v>High_Base</v>
      </c>
      <c r="E5325" s="138" t="str">
        <f t="shared" si="359"/>
        <v>Base</v>
      </c>
      <c r="F5325" s="138" t="str">
        <f t="shared" si="356"/>
        <v>Upgraded</v>
      </c>
      <c r="G5325" s="153"/>
      <c r="H5325" s="210">
        <v>0.1326</v>
      </c>
      <c r="I5325" s="160" t="s">
        <v>59</v>
      </c>
      <c r="J5325" s="160">
        <v>0.10638</v>
      </c>
      <c r="K5325" s="160" t="s">
        <v>15</v>
      </c>
      <c r="L5325" s="154" t="str">
        <f>IF(OpenLCAbasic!K5325="CTUh", "Fill in Manually",IF(OR(K5325="Unit", K5325=""), "", INDEX(LookUps!$E$5:$E$12, MATCH(OpenLCAbasic!K5325,LookUps!$D$5:$D$12,0))))</f>
        <v>Cumulative Energy Demand (CED) - MJ</v>
      </c>
      <c r="M5325" s="154" t="str">
        <f t="shared" si="360"/>
        <v>Base_High_Base_Upgraded_Cumulative Energy Demand (CED) - MJ_Blend Tank; wastewater treatment unit; at updated plant - US_Without Amendment_Windrow</v>
      </c>
    </row>
    <row r="5326" spans="1:13" s="120" customFormat="1" x14ac:dyDescent="0.25">
      <c r="A5326" s="119"/>
      <c r="B5326" s="138" t="str">
        <f t="shared" si="355"/>
        <v>Windrow</v>
      </c>
      <c r="C5326" s="138" t="str">
        <f t="shared" si="361"/>
        <v>Without Amendment</v>
      </c>
      <c r="D5326" s="138" t="str">
        <f t="shared" si="358"/>
        <v>High_Base</v>
      </c>
      <c r="E5326" s="138" t="str">
        <f t="shared" si="359"/>
        <v>Base</v>
      </c>
      <c r="F5326" s="138" t="str">
        <f t="shared" si="356"/>
        <v>Upgraded</v>
      </c>
      <c r="G5326" s="153"/>
      <c r="H5326" s="210">
        <v>6.3500000000000001E-2</v>
      </c>
      <c r="I5326" s="160" t="s">
        <v>168</v>
      </c>
      <c r="J5326" s="160">
        <v>5.0930000000000003E-2</v>
      </c>
      <c r="K5326" s="160" t="s">
        <v>15</v>
      </c>
      <c r="L5326" s="154" t="str">
        <f>IF(OpenLCAbasic!K5326="CTUh", "Fill in Manually",IF(OR(K5326="Unit", K5326=""), "", INDEX(LookUps!$E$5:$E$12, MATCH(OpenLCAbasic!K5326,LookUps!$D$5:$D$12,0))))</f>
        <v>Cumulative Energy Demand (CED) - MJ</v>
      </c>
      <c r="M5326" s="154" t="str">
        <f t="shared" si="360"/>
        <v>Base_High_Base_Upgraded_Cumulative Energy Demand (CED) - MJ_ClearCove SCP; wastewater treatment unit; at updated plant - US_Without Amendment_Windrow</v>
      </c>
    </row>
    <row r="5327" spans="1:13" s="120" customFormat="1" x14ac:dyDescent="0.25">
      <c r="A5327" s="119"/>
      <c r="B5327" s="138" t="str">
        <f t="shared" si="355"/>
        <v>Windrow</v>
      </c>
      <c r="C5327" s="138" t="str">
        <f t="shared" si="361"/>
        <v>Without Amendment</v>
      </c>
      <c r="D5327" s="138" t="str">
        <f t="shared" si="358"/>
        <v>High_Base</v>
      </c>
      <c r="E5327" s="138" t="str">
        <f t="shared" si="359"/>
        <v>Base</v>
      </c>
      <c r="F5327" s="138" t="str">
        <f t="shared" si="356"/>
        <v>Upgraded</v>
      </c>
      <c r="G5327" s="153"/>
      <c r="H5327" s="210">
        <v>4.4200000000000003E-2</v>
      </c>
      <c r="I5327" s="160" t="s">
        <v>271</v>
      </c>
      <c r="J5327" s="160">
        <v>3.5470000000000002E-2</v>
      </c>
      <c r="K5327" s="160" t="s">
        <v>15</v>
      </c>
      <c r="L5327" s="154" t="str">
        <f>IF(OpenLCAbasic!K5327="CTUh", "Fill in Manually",IF(OR(K5327="Unit", K5327=""), "", INDEX(LookUps!$E$5:$E$12, MATCH(OpenLCAbasic!K5327,LookUps!$D$5:$D$12,0))))</f>
        <v>Cumulative Energy Demand (CED) - MJ</v>
      </c>
      <c r="M5327" s="154" t="str">
        <f t="shared" si="360"/>
        <v>Base_High_Base_Upgraded_Cumulative Energy Demand (CED) - MJ_Biosolids composting; windrow composting; wastewater treatment unit; at updated plant - US_Without Amendment_Windrow</v>
      </c>
    </row>
    <row r="5328" spans="1:13" s="120" customFormat="1" x14ac:dyDescent="0.25">
      <c r="A5328" s="119"/>
      <c r="B5328" s="138" t="str">
        <f t="shared" si="355"/>
        <v>Windrow</v>
      </c>
      <c r="C5328" s="138" t="str">
        <f t="shared" si="361"/>
        <v>Without Amendment</v>
      </c>
      <c r="D5328" s="138" t="str">
        <f t="shared" si="358"/>
        <v>High_Base</v>
      </c>
      <c r="E5328" s="138" t="str">
        <f t="shared" si="359"/>
        <v>Base</v>
      </c>
      <c r="F5328" s="138" t="str">
        <f t="shared" si="356"/>
        <v>Upgraded</v>
      </c>
      <c r="G5328" s="153"/>
      <c r="H5328" s="210">
        <v>-0.66590000000000005</v>
      </c>
      <c r="I5328" s="160" t="s">
        <v>62</v>
      </c>
      <c r="J5328" s="160">
        <v>-0.53432000000000002</v>
      </c>
      <c r="K5328" s="160" t="s">
        <v>15</v>
      </c>
      <c r="L5328" s="154" t="str">
        <f>IF(OpenLCAbasic!K5328="CTUh", "Fill in Manually",IF(OR(K5328="Unit", K5328=""), "", INDEX(LookUps!$E$5:$E$12, MATCH(OpenLCAbasic!K5328,LookUps!$D$5:$D$12,0))))</f>
        <v>Cumulative Energy Demand (CED) - MJ</v>
      </c>
      <c r="M5328" s="154" t="str">
        <f t="shared" si="360"/>
        <v>Base_High_Base_Upgraded_Cumulative Energy Demand (CED) - MJ_Land application of compost; wastewater treatment unit; at updated plant - US_Without Amendment_Windrow</v>
      </c>
    </row>
    <row r="5329" spans="1:13" s="120" customFormat="1" x14ac:dyDescent="0.25">
      <c r="A5329" s="119"/>
      <c r="B5329" s="138" t="str">
        <f t="shared" si="355"/>
        <v>Windrow</v>
      </c>
      <c r="C5329" s="138" t="str">
        <f t="shared" si="361"/>
        <v>Without Amendment</v>
      </c>
      <c r="D5329" s="138" t="str">
        <f t="shared" si="358"/>
        <v>High_Base</v>
      </c>
      <c r="E5329" s="138" t="str">
        <f t="shared" si="359"/>
        <v>Base</v>
      </c>
      <c r="F5329" s="138" t="str">
        <f t="shared" si="356"/>
        <v>Upgraded</v>
      </c>
      <c r="G5329" s="153"/>
      <c r="H5329" s="210">
        <v>-17.670500000000001</v>
      </c>
      <c r="I5329" s="160" t="s">
        <v>149</v>
      </c>
      <c r="J5329" s="160">
        <v>-14.179790000000001</v>
      </c>
      <c r="K5329" s="160" t="s">
        <v>15</v>
      </c>
      <c r="L5329" s="154" t="str">
        <f>IF(OpenLCAbasic!K5329="CTUh", "Fill in Manually",IF(OR(K5329="Unit", K5329=""), "", INDEX(LookUps!$E$5:$E$12, MATCH(OpenLCAbasic!K5329,LookUps!$D$5:$D$12,0))))</f>
        <v>Cumulative Energy Demand (CED) - MJ</v>
      </c>
      <c r="M5329" s="154" t="str">
        <f t="shared" si="360"/>
        <v>Base_High_Base_Upgraded_Cumulative Energy Demand (CED) - MJ_Anaerobic Digestion; wastewater treatment unit; at updated plant - US_Without Amendment_Windrow</v>
      </c>
    </row>
    <row r="5330" spans="1:13" s="120" customFormat="1" x14ac:dyDescent="0.25">
      <c r="A5330" s="119"/>
      <c r="B5330" s="138" t="str">
        <f t="shared" si="355"/>
        <v/>
      </c>
      <c r="C5330" s="138" t="str">
        <f t="shared" si="361"/>
        <v/>
      </c>
      <c r="D5330" s="138" t="str">
        <f t="shared" si="358"/>
        <v/>
      </c>
      <c r="E5330" s="138" t="str">
        <f t="shared" si="359"/>
        <v/>
      </c>
      <c r="F5330" s="138" t="str">
        <f t="shared" si="356"/>
        <v/>
      </c>
      <c r="G5330" s="153" t="s">
        <v>51</v>
      </c>
      <c r="H5330" s="160"/>
      <c r="I5330" s="160" t="s">
        <v>47</v>
      </c>
      <c r="J5330" s="160" t="s">
        <v>52</v>
      </c>
      <c r="K5330" s="160" t="s">
        <v>27</v>
      </c>
      <c r="L5330" s="154" t="str">
        <f>IF(OpenLCAbasic!K5330="CTUh", "Fill in Manually",IF(OR(K5330="Unit", K5330=""), "", INDEX(LookUps!$E$5:$E$12, MATCH(OpenLCAbasic!K5330,LookUps!$D$5:$D$12,0))))</f>
        <v/>
      </c>
      <c r="M5330" s="154" t="str">
        <f t="shared" si="360"/>
        <v>____Process__</v>
      </c>
    </row>
    <row r="5331" spans="1:13" s="120" customFormat="1" x14ac:dyDescent="0.25">
      <c r="A5331" s="119"/>
      <c r="B5331" s="138" t="str">
        <f t="shared" si="355"/>
        <v>Windrow</v>
      </c>
      <c r="C5331" s="138" t="str">
        <f t="shared" si="361"/>
        <v>Without Amendment</v>
      </c>
      <c r="D5331" s="138" t="str">
        <f t="shared" si="358"/>
        <v>High_Base</v>
      </c>
      <c r="E5331" s="138" t="str">
        <f t="shared" si="359"/>
        <v>Base</v>
      </c>
      <c r="F5331" s="138" t="str">
        <f t="shared" si="356"/>
        <v>Upgraded</v>
      </c>
      <c r="G5331" s="153"/>
      <c r="H5331" s="210">
        <v>0.7833</v>
      </c>
      <c r="I5331" s="160" t="s">
        <v>48</v>
      </c>
      <c r="J5331" s="160">
        <v>1.1610000000000001E-2</v>
      </c>
      <c r="K5331" s="160" t="s">
        <v>13</v>
      </c>
      <c r="L5331" s="154" t="str">
        <f>IF(OpenLCAbasic!K5331="CTUh", "Fill in Manually",IF(OR(K5331="Unit", K5331=""), "", INDEX(LookUps!$E$5:$E$12, MATCH(OpenLCAbasic!K5331,LookUps!$D$5:$D$12,0))))</f>
        <v>Eutrophication Potential (EP) - kg N eq</v>
      </c>
      <c r="M5331" s="154" t="str">
        <f t="shared" si="360"/>
        <v>Base_High_Base_Upgraded_Eutrophication Potential (EP) - kg N eq_Effluent release; wastewater treatment unit; at surface water; m3 wastewater - US_Without Amendment_Windrow</v>
      </c>
    </row>
    <row r="5332" spans="1:13" s="120" customFormat="1" x14ac:dyDescent="0.25">
      <c r="A5332" s="119"/>
      <c r="B5332" s="138" t="str">
        <f t="shared" si="355"/>
        <v>Windrow</v>
      </c>
      <c r="C5332" s="138" t="str">
        <f t="shared" si="361"/>
        <v>Without Amendment</v>
      </c>
      <c r="D5332" s="138" t="str">
        <f t="shared" si="358"/>
        <v>High_Base</v>
      </c>
      <c r="E5332" s="138" t="str">
        <f t="shared" si="359"/>
        <v>Base</v>
      </c>
      <c r="F5332" s="138" t="str">
        <f t="shared" si="356"/>
        <v>Upgraded</v>
      </c>
      <c r="G5332" s="153"/>
      <c r="H5332" s="210">
        <v>0.16439999999999999</v>
      </c>
      <c r="I5332" s="160" t="s">
        <v>62</v>
      </c>
      <c r="J5332" s="160">
        <v>2.4399999999999999E-3</v>
      </c>
      <c r="K5332" s="160" t="s">
        <v>13</v>
      </c>
      <c r="L5332" s="154" t="str">
        <f>IF(OpenLCAbasic!K5332="CTUh", "Fill in Manually",IF(OR(K5332="Unit", K5332=""), "", INDEX(LookUps!$E$5:$E$12, MATCH(OpenLCAbasic!K5332,LookUps!$D$5:$D$12,0))))</f>
        <v>Eutrophication Potential (EP) - kg N eq</v>
      </c>
      <c r="M5332" s="154" t="str">
        <f t="shared" si="360"/>
        <v>Base_High_Base_Upgraded_Eutrophication Potential (EP) - kg N eq_Land application of compost; wastewater treatment unit; at updated plant - US_Without Amendment_Windrow</v>
      </c>
    </row>
    <row r="5333" spans="1:13" s="120" customFormat="1" x14ac:dyDescent="0.25">
      <c r="A5333" s="119"/>
      <c r="B5333" s="138" t="str">
        <f t="shared" si="355"/>
        <v>Windrow</v>
      </c>
      <c r="C5333" s="138" t="str">
        <f t="shared" si="361"/>
        <v>Without Amendment</v>
      </c>
      <c r="D5333" s="138" t="str">
        <f t="shared" si="358"/>
        <v>High_Base</v>
      </c>
      <c r="E5333" s="138" t="str">
        <f t="shared" si="359"/>
        <v>Base</v>
      </c>
      <c r="F5333" s="138" t="str">
        <f t="shared" si="356"/>
        <v>Upgraded</v>
      </c>
      <c r="G5333" s="153"/>
      <c r="H5333" s="210">
        <v>3.6900000000000002E-2</v>
      </c>
      <c r="I5333" s="160" t="s">
        <v>55</v>
      </c>
      <c r="J5333" s="160">
        <v>5.5000000000000003E-4</v>
      </c>
      <c r="K5333" s="160" t="s">
        <v>13</v>
      </c>
      <c r="L5333" s="154" t="str">
        <f>IF(OpenLCAbasic!K5333="CTUh", "Fill in Manually",IF(OR(K5333="Unit", K5333=""), "", INDEX(LookUps!$E$5:$E$12, MATCH(OpenLCAbasic!K5333,LookUps!$D$5:$D$12,0))))</f>
        <v>Eutrophication Potential (EP) - kg N eq</v>
      </c>
      <c r="M5333" s="154" t="str">
        <f t="shared" si="360"/>
        <v>Base_High_Base_Upgraded_Eutrophication Potential (EP) - kg N eq_Aeration Tanks; wastewater treatment unit; at updated plant - US_Without Amendment_Windrow</v>
      </c>
    </row>
    <row r="5334" spans="1:13" s="120" customFormat="1" x14ac:dyDescent="0.25">
      <c r="A5334" s="119"/>
      <c r="B5334" s="138" t="str">
        <f t="shared" si="355"/>
        <v>Windrow</v>
      </c>
      <c r="C5334" s="138" t="str">
        <f t="shared" si="361"/>
        <v>Without Amendment</v>
      </c>
      <c r="D5334" s="138" t="str">
        <f t="shared" si="358"/>
        <v>High_Base</v>
      </c>
      <c r="E5334" s="138" t="str">
        <f t="shared" si="359"/>
        <v>Base</v>
      </c>
      <c r="F5334" s="138" t="str">
        <f t="shared" si="356"/>
        <v>Upgraded</v>
      </c>
      <c r="G5334" s="153"/>
      <c r="H5334" s="210">
        <v>0.03</v>
      </c>
      <c r="I5334" s="160" t="s">
        <v>271</v>
      </c>
      <c r="J5334" s="160">
        <v>4.4000000000000002E-4</v>
      </c>
      <c r="K5334" s="160" t="s">
        <v>13</v>
      </c>
      <c r="L5334" s="154" t="str">
        <f>IF(OpenLCAbasic!K5334="CTUh", "Fill in Manually",IF(OR(K5334="Unit", K5334=""), "", INDEX(LookUps!$E$5:$E$12, MATCH(OpenLCAbasic!K5334,LookUps!$D$5:$D$12,0))))</f>
        <v>Eutrophication Potential (EP) - kg N eq</v>
      </c>
      <c r="M5334" s="154" t="str">
        <f t="shared" si="360"/>
        <v>Base_High_Base_Upgraded_Eutrophication Potential (EP) - kg N eq_Biosolids composting; windrow composting; wastewater treatment unit; at updated plant - US_Without Amendment_Windrow</v>
      </c>
    </row>
    <row r="5335" spans="1:13" s="120" customFormat="1" x14ac:dyDescent="0.25">
      <c r="A5335" s="119"/>
      <c r="B5335" s="138" t="str">
        <f t="shared" si="355"/>
        <v>Windrow</v>
      </c>
      <c r="C5335" s="138" t="str">
        <f t="shared" si="361"/>
        <v>Without Amendment</v>
      </c>
      <c r="D5335" s="138" t="str">
        <f t="shared" si="358"/>
        <v>High_Base</v>
      </c>
      <c r="E5335" s="138" t="str">
        <f t="shared" si="359"/>
        <v>Base</v>
      </c>
      <c r="F5335" s="138" t="str">
        <f t="shared" si="356"/>
        <v>Upgraded</v>
      </c>
      <c r="G5335" s="153"/>
      <c r="H5335" s="210">
        <v>1.6799999999999999E-2</v>
      </c>
      <c r="I5335" s="160" t="s">
        <v>147</v>
      </c>
      <c r="J5335" s="160">
        <v>2.5000000000000001E-4</v>
      </c>
      <c r="K5335" s="160" t="s">
        <v>13</v>
      </c>
      <c r="L5335" s="154" t="str">
        <f>IF(OpenLCAbasic!K5335="CTUh", "Fill in Manually",IF(OR(K5335="Unit", K5335=""), "", INDEX(LookUps!$E$5:$E$12, MATCH(OpenLCAbasic!K5335,LookUps!$D$5:$D$12,0))))</f>
        <v>Eutrophication Potential (EP) - kg N eq</v>
      </c>
      <c r="M5335" s="154" t="str">
        <f t="shared" si="360"/>
        <v>Base_High_Base_Upgraded_Eutrophication Potential (EP) - kg N eq_Influent Pump Station; wastewater treatment unit; at updated plant - US_Without Amendment_Windrow</v>
      </c>
    </row>
    <row r="5336" spans="1:13" s="120" customFormat="1" x14ac:dyDescent="0.25">
      <c r="A5336" s="119"/>
      <c r="B5336" s="138" t="str">
        <f t="shared" si="355"/>
        <v>Windrow</v>
      </c>
      <c r="C5336" s="138" t="str">
        <f t="shared" si="361"/>
        <v>Without Amendment</v>
      </c>
      <c r="D5336" s="138" t="str">
        <f t="shared" si="358"/>
        <v>High_Base</v>
      </c>
      <c r="E5336" s="138" t="str">
        <f t="shared" si="359"/>
        <v>Base</v>
      </c>
      <c r="F5336" s="138" t="str">
        <f t="shared" si="356"/>
        <v>Upgraded</v>
      </c>
      <c r="G5336" s="153"/>
      <c r="H5336" s="210">
        <v>1.49E-2</v>
      </c>
      <c r="I5336" s="160" t="s">
        <v>167</v>
      </c>
      <c r="J5336" s="160">
        <v>2.2000000000000001E-4</v>
      </c>
      <c r="K5336" s="160" t="s">
        <v>13</v>
      </c>
      <c r="L5336" s="154" t="str">
        <f>IF(OpenLCAbasic!K5336="CTUh", "Fill in Manually",IF(OR(K5336="Unit", K5336=""), "", INDEX(LookUps!$E$5:$E$12, MATCH(OpenLCAbasic!K5336,LookUps!$D$5:$D$12,0))))</f>
        <v>Eutrophication Potential (EP) - kg N eq</v>
      </c>
      <c r="M5336" s="154" t="str">
        <f t="shared" si="360"/>
        <v>Base_High_Base_Upgraded_Eutrophication Potential (EP) - kg N eq_Waste Receiving and Holding; wastewater treatment unit; at updated plant - US_Without Amendment_Windrow</v>
      </c>
    </row>
    <row r="5337" spans="1:13" s="120" customFormat="1" x14ac:dyDescent="0.25">
      <c r="A5337" s="119"/>
      <c r="B5337" s="138" t="str">
        <f t="shared" si="355"/>
        <v>Windrow</v>
      </c>
      <c r="C5337" s="138" t="str">
        <f t="shared" si="361"/>
        <v>Without Amendment</v>
      </c>
      <c r="D5337" s="138" t="str">
        <f t="shared" si="358"/>
        <v>High_Base</v>
      </c>
      <c r="E5337" s="138" t="str">
        <f t="shared" si="359"/>
        <v>Base</v>
      </c>
      <c r="F5337" s="138" t="str">
        <f t="shared" si="356"/>
        <v>Upgraded</v>
      </c>
      <c r="G5337" s="153"/>
      <c r="H5337" s="210">
        <v>1.34E-2</v>
      </c>
      <c r="I5337" s="160" t="s">
        <v>54</v>
      </c>
      <c r="J5337" s="160">
        <v>2.0000000000000001E-4</v>
      </c>
      <c r="K5337" s="160" t="s">
        <v>13</v>
      </c>
      <c r="L5337" s="154" t="str">
        <f>IF(OpenLCAbasic!K5337="CTUh", "Fill in Manually",IF(OR(K5337="Unit", K5337=""), "", INDEX(LookUps!$E$5:$E$12, MATCH(OpenLCAbasic!K5337,LookUps!$D$5:$D$12,0))))</f>
        <v>Eutrophication Potential (EP) - kg N eq</v>
      </c>
      <c r="M5337" s="154" t="str">
        <f t="shared" si="360"/>
        <v>Base_High_Base_Upgraded_Eutrophication Potential (EP) - kg N eq_Clear Cove Primary Clarification; wastewater treatment unit; at updated plant - US_Without Amendment_Windrow</v>
      </c>
    </row>
    <row r="5338" spans="1:13" s="120" customFormat="1" x14ac:dyDescent="0.25">
      <c r="A5338" s="119"/>
      <c r="B5338" s="138" t="str">
        <f t="shared" si="355"/>
        <v>Windrow</v>
      </c>
      <c r="C5338" s="138" t="str">
        <f t="shared" si="361"/>
        <v>Without Amendment</v>
      </c>
      <c r="D5338" s="138" t="str">
        <f t="shared" si="358"/>
        <v>High_Base</v>
      </c>
      <c r="E5338" s="138" t="str">
        <f t="shared" si="359"/>
        <v>Base</v>
      </c>
      <c r="F5338" s="138" t="str">
        <f t="shared" si="356"/>
        <v>Upgraded</v>
      </c>
      <c r="G5338" s="153"/>
      <c r="H5338" s="210">
        <v>9.1999999999999998E-3</v>
      </c>
      <c r="I5338" s="160" t="s">
        <v>58</v>
      </c>
      <c r="J5338" s="160">
        <v>1.3999999999999999E-4</v>
      </c>
      <c r="K5338" s="160" t="s">
        <v>13</v>
      </c>
      <c r="L5338" s="154" t="str">
        <f>IF(OpenLCAbasic!K5338="CTUh", "Fill in Manually",IF(OR(K5338="Unit", K5338=""), "", INDEX(LookUps!$E$5:$E$12, MATCH(OpenLCAbasic!K5338,LookUps!$D$5:$D$12,0))))</f>
        <v>Eutrophication Potential (EP) - kg N eq</v>
      </c>
      <c r="M5338" s="154" t="str">
        <f t="shared" si="360"/>
        <v>Base_High_Base_Upgraded_Eutrophication Potential (EP) - kg N eq_Pre-Anoxic &amp; Swing tank; wastewater treatment unit; at updated plant - US_Without Amendment_Windrow</v>
      </c>
    </row>
    <row r="5339" spans="1:13" s="120" customFormat="1" x14ac:dyDescent="0.25">
      <c r="A5339" s="119"/>
      <c r="B5339" s="138" t="str">
        <f t="shared" si="355"/>
        <v>Windrow</v>
      </c>
      <c r="C5339" s="138" t="str">
        <f t="shared" si="361"/>
        <v>Without Amendment</v>
      </c>
      <c r="D5339" s="138" t="str">
        <f t="shared" si="358"/>
        <v>High_Base</v>
      </c>
      <c r="E5339" s="138" t="str">
        <f t="shared" si="359"/>
        <v>Base</v>
      </c>
      <c r="F5339" s="138" t="str">
        <f t="shared" si="356"/>
        <v>Upgraded</v>
      </c>
      <c r="G5339" s="153"/>
      <c r="H5339" s="210">
        <v>7.1999999999999998E-3</v>
      </c>
      <c r="I5339" s="160" t="s">
        <v>53</v>
      </c>
      <c r="J5339" s="160">
        <v>1.1E-4</v>
      </c>
      <c r="K5339" s="160" t="s">
        <v>13</v>
      </c>
      <c r="L5339" s="154" t="str">
        <f>IF(OpenLCAbasic!K5339="CTUh", "Fill in Manually",IF(OR(K5339="Unit", K5339=""), "", INDEX(LookUps!$E$5:$E$12, MATCH(OpenLCAbasic!K5339,LookUps!$D$5:$D$12,0))))</f>
        <v>Eutrophication Potential (EP) - kg N eq</v>
      </c>
      <c r="M5339" s="154" t="str">
        <f t="shared" si="360"/>
        <v>Base_High_Base_Upgraded_Eutrophication Potential (EP) - kg N eq_Wet Well and Sump Station; wastewater treatment unit; at updated plant - US_Without Amendment_Windrow</v>
      </c>
    </row>
    <row r="5340" spans="1:13" s="120" customFormat="1" x14ac:dyDescent="0.25">
      <c r="A5340" s="119"/>
      <c r="B5340" s="138" t="str">
        <f t="shared" si="355"/>
        <v>Windrow</v>
      </c>
      <c r="C5340" s="138" t="str">
        <f t="shared" si="361"/>
        <v>Without Amendment</v>
      </c>
      <c r="D5340" s="138" t="str">
        <f t="shared" si="358"/>
        <v>High_Base</v>
      </c>
      <c r="E5340" s="138" t="str">
        <f t="shared" si="359"/>
        <v>Base</v>
      </c>
      <c r="F5340" s="138" t="str">
        <f t="shared" si="356"/>
        <v>Upgraded</v>
      </c>
      <c r="G5340" s="153"/>
      <c r="H5340" s="210">
        <v>6.4000000000000003E-3</v>
      </c>
      <c r="I5340" s="160" t="s">
        <v>60</v>
      </c>
      <c r="J5340" s="211">
        <v>9.5601799999999997E-5</v>
      </c>
      <c r="K5340" s="160" t="s">
        <v>13</v>
      </c>
      <c r="L5340" s="154" t="str">
        <f>IF(OpenLCAbasic!K5340="CTUh", "Fill in Manually",IF(OR(K5340="Unit", K5340=""), "", INDEX(LookUps!$E$5:$E$12, MATCH(OpenLCAbasic!K5340,LookUps!$D$5:$D$12,0))))</f>
        <v>Eutrophication Potential (EP) - kg N eq</v>
      </c>
      <c r="M5340" s="154" t="str">
        <f t="shared" si="360"/>
        <v>Base_High_Base_Upgraded_Eutrophication Potential (EP) - kg N eq_Belt filter press; wastewater treatment unit; at updated plant - US_Without Amendment_Windrow</v>
      </c>
    </row>
    <row r="5341" spans="1:13" s="120" customFormat="1" x14ac:dyDescent="0.25">
      <c r="A5341" s="119"/>
      <c r="B5341" s="138" t="str">
        <f t="shared" si="355"/>
        <v>Windrow</v>
      </c>
      <c r="C5341" s="138" t="str">
        <f t="shared" si="361"/>
        <v>Without Amendment</v>
      </c>
      <c r="D5341" s="138" t="str">
        <f t="shared" si="358"/>
        <v>High_Base</v>
      </c>
      <c r="E5341" s="138" t="str">
        <f t="shared" si="359"/>
        <v>Base</v>
      </c>
      <c r="F5341" s="138" t="str">
        <f t="shared" si="356"/>
        <v>Upgraded</v>
      </c>
      <c r="G5341" s="153"/>
      <c r="H5341" s="210">
        <v>4.1000000000000003E-3</v>
      </c>
      <c r="I5341" s="160" t="s">
        <v>57</v>
      </c>
      <c r="J5341" s="211">
        <v>6.0590300000000002E-5</v>
      </c>
      <c r="K5341" s="160" t="s">
        <v>13</v>
      </c>
      <c r="L5341" s="154" t="str">
        <f>IF(OpenLCAbasic!K5341="CTUh", "Fill in Manually",IF(OR(K5341="Unit", K5341=""), "", INDEX(LookUps!$E$5:$E$12, MATCH(OpenLCAbasic!K5341,LookUps!$D$5:$D$12,0))))</f>
        <v>Eutrophication Potential (EP) - kg N eq</v>
      </c>
      <c r="M5341" s="154" t="str">
        <f t="shared" si="360"/>
        <v>Base_High_Base_Upgraded_Eutrophication Potential (EP) - kg N eq_Gravity Belt Thickener; wastewater treatment unit; at updated plant - US_Without Amendment_Windrow</v>
      </c>
    </row>
    <row r="5342" spans="1:13" s="120" customFormat="1" x14ac:dyDescent="0.25">
      <c r="A5342" s="119"/>
      <c r="B5342" s="138" t="str">
        <f t="shared" si="355"/>
        <v>Windrow</v>
      </c>
      <c r="C5342" s="138" t="str">
        <f t="shared" si="361"/>
        <v>Without Amendment</v>
      </c>
      <c r="D5342" s="138" t="str">
        <f t="shared" si="358"/>
        <v>High_Base</v>
      </c>
      <c r="E5342" s="138" t="str">
        <f t="shared" si="359"/>
        <v>Base</v>
      </c>
      <c r="F5342" s="138" t="str">
        <f t="shared" si="356"/>
        <v>Upgraded</v>
      </c>
      <c r="G5342" s="153"/>
      <c r="H5342" s="210">
        <v>2.5000000000000001E-3</v>
      </c>
      <c r="I5342" s="160" t="s">
        <v>128</v>
      </c>
      <c r="J5342" s="211">
        <v>3.7559799999999999E-5</v>
      </c>
      <c r="K5342" s="160" t="s">
        <v>13</v>
      </c>
      <c r="L5342" s="154" t="str">
        <f>IF(OpenLCAbasic!K5342="CTUh", "Fill in Manually",IF(OR(K5342="Unit", K5342=""), "", INDEX(LookUps!$E$5:$E$12, MATCH(OpenLCAbasic!K5342,LookUps!$D$5:$D$12,0))))</f>
        <v>Eutrophication Potential (EP) - kg N eq</v>
      </c>
      <c r="M5342" s="154" t="str">
        <f t="shared" si="360"/>
        <v>Base_High_Base_Upgraded_Eutrophication Potential (EP) - kg N eq_Wastewater collection; operation and infrastructure; m3 wastewater_Without Amendment_Windrow</v>
      </c>
    </row>
    <row r="5343" spans="1:13" s="120" customFormat="1" x14ac:dyDescent="0.25">
      <c r="A5343" s="119"/>
      <c r="B5343" s="138" t="str">
        <f t="shared" si="355"/>
        <v>Windrow</v>
      </c>
      <c r="C5343" s="138" t="str">
        <f t="shared" si="361"/>
        <v>Without Amendment</v>
      </c>
      <c r="D5343" s="138" t="str">
        <f t="shared" si="358"/>
        <v>High_Base</v>
      </c>
      <c r="E5343" s="138" t="str">
        <f t="shared" si="359"/>
        <v>Base</v>
      </c>
      <c r="F5343" s="138" t="str">
        <f t="shared" si="356"/>
        <v>Upgraded</v>
      </c>
      <c r="G5343" s="153"/>
      <c r="H5343" s="210">
        <v>2.5000000000000001E-3</v>
      </c>
      <c r="I5343" s="160" t="s">
        <v>148</v>
      </c>
      <c r="J5343" s="211">
        <v>3.6874600000000001E-5</v>
      </c>
      <c r="K5343" s="160" t="s">
        <v>13</v>
      </c>
      <c r="L5343" s="154" t="str">
        <f>IF(OpenLCAbasic!K5343="CTUh", "Fill in Manually",IF(OR(K5343="Unit", K5343=""), "", INDEX(LookUps!$E$5:$E$12, MATCH(OpenLCAbasic!K5343,LookUps!$D$5:$D$12,0))))</f>
        <v>Eutrophication Potential (EP) - kg N eq</v>
      </c>
      <c r="M5343" s="154" t="str">
        <f t="shared" si="360"/>
        <v>Base_High_Base_Upgraded_Eutrophication Potential (EP) - kg N eq_Control Building; at upgraded wastewater treatment plant - US_Without Amendment_Windrow</v>
      </c>
    </row>
    <row r="5344" spans="1:13" s="120" customFormat="1" x14ac:dyDescent="0.25">
      <c r="A5344" s="119"/>
      <c r="B5344" s="138" t="str">
        <f t="shared" si="355"/>
        <v>Windrow</v>
      </c>
      <c r="C5344" s="138" t="str">
        <f t="shared" si="361"/>
        <v>Without Amendment</v>
      </c>
      <c r="D5344" s="138" t="str">
        <f t="shared" si="358"/>
        <v>High_Base</v>
      </c>
      <c r="E5344" s="138" t="str">
        <f t="shared" si="359"/>
        <v>Base</v>
      </c>
      <c r="F5344" s="138" t="str">
        <f t="shared" si="356"/>
        <v>Upgraded</v>
      </c>
      <c r="G5344" s="153"/>
      <c r="H5344" s="210">
        <v>1.1000000000000001E-3</v>
      </c>
      <c r="I5344" s="160" t="s">
        <v>59</v>
      </c>
      <c r="J5344" s="211">
        <v>1.6215700000000001E-5</v>
      </c>
      <c r="K5344" s="160" t="s">
        <v>13</v>
      </c>
      <c r="L5344" s="154" t="str">
        <f>IF(OpenLCAbasic!K5344="CTUh", "Fill in Manually",IF(OR(K5344="Unit", K5344=""), "", INDEX(LookUps!$E$5:$E$12, MATCH(OpenLCAbasic!K5344,LookUps!$D$5:$D$12,0))))</f>
        <v>Eutrophication Potential (EP) - kg N eq</v>
      </c>
      <c r="M5344" s="154" t="str">
        <f t="shared" si="360"/>
        <v>Base_High_Base_Upgraded_Eutrophication Potential (EP) - kg N eq_Blend Tank; wastewater treatment unit; at updated plant - US_Without Amendment_Windrow</v>
      </c>
    </row>
    <row r="5345" spans="1:13" s="120" customFormat="1" x14ac:dyDescent="0.25">
      <c r="A5345" s="119"/>
      <c r="B5345" s="138" t="str">
        <f t="shared" si="355"/>
        <v>Windrow</v>
      </c>
      <c r="C5345" s="138" t="str">
        <f t="shared" si="361"/>
        <v>Without Amendment</v>
      </c>
      <c r="D5345" s="138" t="str">
        <f t="shared" si="358"/>
        <v>High_Base</v>
      </c>
      <c r="E5345" s="138" t="str">
        <f t="shared" si="359"/>
        <v>Base</v>
      </c>
      <c r="F5345" s="138" t="str">
        <f t="shared" si="356"/>
        <v>Upgraded</v>
      </c>
      <c r="G5345" s="153"/>
      <c r="H5345" s="210">
        <v>5.0000000000000001E-4</v>
      </c>
      <c r="I5345" s="160" t="s">
        <v>168</v>
      </c>
      <c r="J5345" s="211">
        <v>7.7567199999999995E-6</v>
      </c>
      <c r="K5345" s="160" t="s">
        <v>13</v>
      </c>
      <c r="L5345" s="154" t="str">
        <f>IF(OpenLCAbasic!K5345="CTUh", "Fill in Manually",IF(OR(K5345="Unit", K5345=""), "", INDEX(LookUps!$E$5:$E$12, MATCH(OpenLCAbasic!K5345,LookUps!$D$5:$D$12,0))))</f>
        <v>Eutrophication Potential (EP) - kg N eq</v>
      </c>
      <c r="M5345" s="154" t="str">
        <f t="shared" si="360"/>
        <v>Base_High_Base_Upgraded_Eutrophication Potential (EP) - kg N eq_ClearCove SCP; wastewater treatment unit; at updated plant - US_Without Amendment_Windrow</v>
      </c>
    </row>
    <row r="5346" spans="1:13" s="120" customFormat="1" x14ac:dyDescent="0.25">
      <c r="A5346" s="119"/>
      <c r="B5346" s="138" t="str">
        <f t="shared" si="355"/>
        <v>Windrow</v>
      </c>
      <c r="C5346" s="138" t="str">
        <f t="shared" si="361"/>
        <v>Without Amendment</v>
      </c>
      <c r="D5346" s="138" t="str">
        <f t="shared" si="358"/>
        <v>High_Base</v>
      </c>
      <c r="E5346" s="138" t="str">
        <f t="shared" si="359"/>
        <v>Base</v>
      </c>
      <c r="F5346" s="138" t="str">
        <f t="shared" si="356"/>
        <v>Upgraded</v>
      </c>
      <c r="G5346" s="153"/>
      <c r="H5346" s="210">
        <v>-9.3200000000000005E-2</v>
      </c>
      <c r="I5346" s="160" t="s">
        <v>149</v>
      </c>
      <c r="J5346" s="160">
        <v>-1.3799999999999999E-3</v>
      </c>
      <c r="K5346" s="160" t="s">
        <v>13</v>
      </c>
      <c r="L5346" s="154" t="str">
        <f>IF(OpenLCAbasic!K5346="CTUh", "Fill in Manually",IF(OR(K5346="Unit", K5346=""), "", INDEX(LookUps!$E$5:$E$12, MATCH(OpenLCAbasic!K5346,LookUps!$D$5:$D$12,0))))</f>
        <v>Eutrophication Potential (EP) - kg N eq</v>
      </c>
      <c r="M5346" s="154" t="str">
        <f t="shared" si="360"/>
        <v>Base_High_Base_Upgraded_Eutrophication Potential (EP) - kg N eq_Anaerobic Digestion; wastewater treatment unit; at updated plant - US_Without Amendment_Windrow</v>
      </c>
    </row>
    <row r="5347" spans="1:13" s="120" customFormat="1" x14ac:dyDescent="0.25">
      <c r="A5347" s="119"/>
      <c r="B5347" s="138" t="str">
        <f t="shared" si="355"/>
        <v/>
      </c>
      <c r="C5347" s="138" t="str">
        <f t="shared" si="361"/>
        <v/>
      </c>
      <c r="D5347" s="138" t="str">
        <f t="shared" si="358"/>
        <v/>
      </c>
      <c r="E5347" s="138" t="str">
        <f t="shared" si="359"/>
        <v/>
      </c>
      <c r="F5347" s="138" t="str">
        <f t="shared" si="356"/>
        <v/>
      </c>
      <c r="G5347" s="153" t="s">
        <v>51</v>
      </c>
      <c r="H5347" s="160"/>
      <c r="I5347" s="160" t="s">
        <v>47</v>
      </c>
      <c r="J5347" s="160" t="s">
        <v>52</v>
      </c>
      <c r="K5347" s="160" t="s">
        <v>27</v>
      </c>
      <c r="L5347" s="154" t="str">
        <f>IF(OpenLCAbasic!K5347="CTUh", "Fill in Manually",IF(OR(K5347="Unit", K5347=""), "", INDEX(LookUps!$E$5:$E$12, MATCH(OpenLCAbasic!K5347,LookUps!$D$5:$D$12,0))))</f>
        <v/>
      </c>
      <c r="M5347" s="154" t="str">
        <f t="shared" si="360"/>
        <v>____Process__</v>
      </c>
    </row>
    <row r="5348" spans="1:13" s="120" customFormat="1" x14ac:dyDescent="0.25">
      <c r="A5348" s="119"/>
      <c r="B5348" s="138" t="str">
        <f t="shared" si="355"/>
        <v>Windrow</v>
      </c>
      <c r="C5348" s="138" t="str">
        <f t="shared" si="361"/>
        <v>Without Amendment</v>
      </c>
      <c r="D5348" s="138" t="str">
        <f t="shared" si="358"/>
        <v>High_Base</v>
      </c>
      <c r="E5348" s="138" t="str">
        <f t="shared" si="359"/>
        <v>Base</v>
      </c>
      <c r="F5348" s="138" t="str">
        <f t="shared" si="356"/>
        <v>Upgraded</v>
      </c>
      <c r="G5348" s="153"/>
      <c r="H5348" s="210">
        <v>7.3182999999999998</v>
      </c>
      <c r="I5348" s="160" t="s">
        <v>167</v>
      </c>
      <c r="J5348" s="160">
        <v>0.11719</v>
      </c>
      <c r="K5348" s="160" t="s">
        <v>14</v>
      </c>
      <c r="L5348" s="154" t="str">
        <f>IF(OpenLCAbasic!K5348="CTUh", "Fill in Manually",IF(OR(K5348="Unit", K5348=""), "", INDEX(LookUps!$E$5:$E$12, MATCH(OpenLCAbasic!K5348,LookUps!$D$5:$D$12,0))))</f>
        <v>Fossil Depletion Potential (FDP) - kg oil eq</v>
      </c>
      <c r="M5348" s="154" t="str">
        <f t="shared" si="360"/>
        <v>Base_High_Base_Upgraded_Fossil Depletion Potential (FDP) - kg oil eq_Waste Receiving and Holding; wastewater treatment unit; at updated plant - US_Without Amendment_Windrow</v>
      </c>
    </row>
    <row r="5349" spans="1:13" s="120" customFormat="1" x14ac:dyDescent="0.25">
      <c r="A5349" s="119"/>
      <c r="B5349" s="138" t="str">
        <f t="shared" si="355"/>
        <v>Windrow</v>
      </c>
      <c r="C5349" s="138" t="str">
        <f t="shared" si="361"/>
        <v>Without Amendment</v>
      </c>
      <c r="D5349" s="138" t="str">
        <f t="shared" si="358"/>
        <v>High_Base</v>
      </c>
      <c r="E5349" s="138" t="str">
        <f t="shared" si="359"/>
        <v>Base</v>
      </c>
      <c r="F5349" s="138" t="str">
        <f t="shared" si="356"/>
        <v>Upgraded</v>
      </c>
      <c r="G5349" s="153"/>
      <c r="H5349" s="210">
        <v>3.9710999999999999</v>
      </c>
      <c r="I5349" s="160" t="s">
        <v>55</v>
      </c>
      <c r="J5349" s="160">
        <v>6.3589999999999994E-2</v>
      </c>
      <c r="K5349" s="160" t="s">
        <v>14</v>
      </c>
      <c r="L5349" s="154" t="str">
        <f>IF(OpenLCAbasic!K5349="CTUh", "Fill in Manually",IF(OR(K5349="Unit", K5349=""), "", INDEX(LookUps!$E$5:$E$12, MATCH(OpenLCAbasic!K5349,LookUps!$D$5:$D$12,0))))</f>
        <v>Fossil Depletion Potential (FDP) - kg oil eq</v>
      </c>
      <c r="M5349" s="154" t="str">
        <f t="shared" si="360"/>
        <v>Base_High_Base_Upgraded_Fossil Depletion Potential (FDP) - kg oil eq_Aeration Tanks; wastewater treatment unit; at updated plant - US_Without Amendment_Windrow</v>
      </c>
    </row>
    <row r="5350" spans="1:13" s="120" customFormat="1" x14ac:dyDescent="0.25">
      <c r="A5350" s="119"/>
      <c r="B5350" s="138" t="str">
        <f t="shared" si="355"/>
        <v>Windrow</v>
      </c>
      <c r="C5350" s="138" t="str">
        <f t="shared" si="361"/>
        <v>Without Amendment</v>
      </c>
      <c r="D5350" s="138" t="str">
        <f t="shared" si="358"/>
        <v>High_Base</v>
      </c>
      <c r="E5350" s="138" t="str">
        <f t="shared" si="359"/>
        <v>Base</v>
      </c>
      <c r="F5350" s="138" t="str">
        <f t="shared" si="356"/>
        <v>Upgraded</v>
      </c>
      <c r="G5350" s="153"/>
      <c r="H5350" s="210">
        <v>1.3146</v>
      </c>
      <c r="I5350" s="160" t="s">
        <v>54</v>
      </c>
      <c r="J5350" s="160">
        <v>2.1049999999999999E-2</v>
      </c>
      <c r="K5350" s="160" t="s">
        <v>14</v>
      </c>
      <c r="L5350" s="154" t="str">
        <f>IF(OpenLCAbasic!K5350="CTUh", "Fill in Manually",IF(OR(K5350="Unit", K5350=""), "", INDEX(LookUps!$E$5:$E$12, MATCH(OpenLCAbasic!K5350,LookUps!$D$5:$D$12,0))))</f>
        <v>Fossil Depletion Potential (FDP) - kg oil eq</v>
      </c>
      <c r="M5350" s="154" t="str">
        <f t="shared" si="360"/>
        <v>Base_High_Base_Upgraded_Fossil Depletion Potential (FDP) - kg oil eq_Clear Cove Primary Clarification; wastewater treatment unit; at updated plant - US_Without Amendment_Windrow</v>
      </c>
    </row>
    <row r="5351" spans="1:13" s="120" customFormat="1" x14ac:dyDescent="0.25">
      <c r="A5351" s="119"/>
      <c r="B5351" s="138" t="str">
        <f t="shared" si="355"/>
        <v>Windrow</v>
      </c>
      <c r="C5351" s="138" t="str">
        <f t="shared" si="361"/>
        <v>Without Amendment</v>
      </c>
      <c r="D5351" s="138" t="str">
        <f t="shared" si="358"/>
        <v>High_Base</v>
      </c>
      <c r="E5351" s="138" t="str">
        <f t="shared" si="359"/>
        <v>Base</v>
      </c>
      <c r="F5351" s="138" t="str">
        <f t="shared" si="356"/>
        <v>Upgraded</v>
      </c>
      <c r="G5351" s="153"/>
      <c r="H5351" s="210">
        <v>1.0017</v>
      </c>
      <c r="I5351" s="160" t="s">
        <v>58</v>
      </c>
      <c r="J5351" s="160">
        <v>1.6039999999999999E-2</v>
      </c>
      <c r="K5351" s="160" t="s">
        <v>14</v>
      </c>
      <c r="L5351" s="154" t="str">
        <f>IF(OpenLCAbasic!K5351="CTUh", "Fill in Manually",IF(OR(K5351="Unit", K5351=""), "", INDEX(LookUps!$E$5:$E$12, MATCH(OpenLCAbasic!K5351,LookUps!$D$5:$D$12,0))))</f>
        <v>Fossil Depletion Potential (FDP) - kg oil eq</v>
      </c>
      <c r="M5351" s="154" t="str">
        <f t="shared" si="360"/>
        <v>Base_High_Base_Upgraded_Fossil Depletion Potential (FDP) - kg oil eq_Pre-Anoxic &amp; Swing tank; wastewater treatment unit; at updated plant - US_Without Amendment_Windrow</v>
      </c>
    </row>
    <row r="5352" spans="1:13" s="120" customFormat="1" x14ac:dyDescent="0.25">
      <c r="A5352" s="119"/>
      <c r="B5352" s="138" t="str">
        <f t="shared" ref="B5352:B5415" si="362">IF(F5352="Legacy","n.a.",IF(F5352="","","Windrow"))</f>
        <v>Windrow</v>
      </c>
      <c r="C5352" s="138" t="str">
        <f t="shared" si="361"/>
        <v>Without Amendment</v>
      </c>
      <c r="D5352" s="138" t="str">
        <f t="shared" si="358"/>
        <v>High_Base</v>
      </c>
      <c r="E5352" s="138" t="str">
        <f t="shared" si="359"/>
        <v>Base</v>
      </c>
      <c r="F5352" s="138" t="str">
        <f t="shared" ref="F5352:F5415" si="363">IF(ISNUMBER(J5352),"Upgraded","")</f>
        <v>Upgraded</v>
      </c>
      <c r="G5352" s="153"/>
      <c r="H5352" s="210">
        <v>0.94220000000000004</v>
      </c>
      <c r="I5352" s="160" t="s">
        <v>147</v>
      </c>
      <c r="J5352" s="160">
        <v>1.5089999999999999E-2</v>
      </c>
      <c r="K5352" s="160" t="s">
        <v>14</v>
      </c>
      <c r="L5352" s="154" t="str">
        <f>IF(OpenLCAbasic!K5352="CTUh", "Fill in Manually",IF(OR(K5352="Unit", K5352=""), "", INDEX(LookUps!$E$5:$E$12, MATCH(OpenLCAbasic!K5352,LookUps!$D$5:$D$12,0))))</f>
        <v>Fossil Depletion Potential (FDP) - kg oil eq</v>
      </c>
      <c r="M5352" s="154" t="str">
        <f t="shared" si="360"/>
        <v>Base_High_Base_Upgraded_Fossil Depletion Potential (FDP) - kg oil eq_Influent Pump Station; wastewater treatment unit; at updated plant - US_Without Amendment_Windrow</v>
      </c>
    </row>
    <row r="5353" spans="1:13" s="120" customFormat="1" x14ac:dyDescent="0.25">
      <c r="A5353" s="119"/>
      <c r="B5353" s="138" t="str">
        <f t="shared" si="362"/>
        <v>Windrow</v>
      </c>
      <c r="C5353" s="138" t="str">
        <f t="shared" si="361"/>
        <v>Without Amendment</v>
      </c>
      <c r="D5353" s="138" t="str">
        <f t="shared" si="358"/>
        <v>High_Base</v>
      </c>
      <c r="E5353" s="138" t="str">
        <f t="shared" si="359"/>
        <v>Base</v>
      </c>
      <c r="F5353" s="138" t="str">
        <f t="shared" si="363"/>
        <v>Upgraded</v>
      </c>
      <c r="G5353" s="153"/>
      <c r="H5353" s="210">
        <v>0.77990000000000004</v>
      </c>
      <c r="I5353" s="160" t="s">
        <v>53</v>
      </c>
      <c r="J5353" s="160">
        <v>1.2489999999999999E-2</v>
      </c>
      <c r="K5353" s="160" t="s">
        <v>14</v>
      </c>
      <c r="L5353" s="154" t="str">
        <f>IF(OpenLCAbasic!K5353="CTUh", "Fill in Manually",IF(OR(K5353="Unit", K5353=""), "", INDEX(LookUps!$E$5:$E$12, MATCH(OpenLCAbasic!K5353,LookUps!$D$5:$D$12,0))))</f>
        <v>Fossil Depletion Potential (FDP) - kg oil eq</v>
      </c>
      <c r="M5353" s="154" t="str">
        <f t="shared" si="360"/>
        <v>Base_High_Base_Upgraded_Fossil Depletion Potential (FDP) - kg oil eq_Wet Well and Sump Station; wastewater treatment unit; at updated plant - US_Without Amendment_Windrow</v>
      </c>
    </row>
    <row r="5354" spans="1:13" s="120" customFormat="1" x14ac:dyDescent="0.25">
      <c r="A5354" s="119"/>
      <c r="B5354" s="138" t="str">
        <f t="shared" si="362"/>
        <v>Windrow</v>
      </c>
      <c r="C5354" s="138" t="str">
        <f t="shared" si="361"/>
        <v>Without Amendment</v>
      </c>
      <c r="D5354" s="138" t="str">
        <f t="shared" si="358"/>
        <v>High_Base</v>
      </c>
      <c r="E5354" s="138" t="str">
        <f t="shared" si="359"/>
        <v>Base</v>
      </c>
      <c r="F5354" s="138" t="str">
        <f t="shared" si="363"/>
        <v>Upgraded</v>
      </c>
      <c r="G5354" s="153"/>
      <c r="H5354" s="210">
        <v>0.68530000000000002</v>
      </c>
      <c r="I5354" s="160" t="s">
        <v>60</v>
      </c>
      <c r="J5354" s="160">
        <v>1.0970000000000001E-2</v>
      </c>
      <c r="K5354" s="160" t="s">
        <v>14</v>
      </c>
      <c r="L5354" s="154" t="str">
        <f>IF(OpenLCAbasic!K5354="CTUh", "Fill in Manually",IF(OR(K5354="Unit", K5354=""), "", INDEX(LookUps!$E$5:$E$12, MATCH(OpenLCAbasic!K5354,LookUps!$D$5:$D$12,0))))</f>
        <v>Fossil Depletion Potential (FDP) - kg oil eq</v>
      </c>
      <c r="M5354" s="154" t="str">
        <f t="shared" si="360"/>
        <v>Base_High_Base_Upgraded_Fossil Depletion Potential (FDP) - kg oil eq_Belt filter press; wastewater treatment unit; at updated plant - US_Without Amendment_Windrow</v>
      </c>
    </row>
    <row r="5355" spans="1:13" s="120" customFormat="1" x14ac:dyDescent="0.25">
      <c r="A5355" s="119"/>
      <c r="B5355" s="138" t="str">
        <f t="shared" si="362"/>
        <v>Windrow</v>
      </c>
      <c r="C5355" s="138" t="str">
        <f t="shared" si="361"/>
        <v>Without Amendment</v>
      </c>
      <c r="D5355" s="138" t="str">
        <f t="shared" si="358"/>
        <v>High_Base</v>
      </c>
      <c r="E5355" s="138" t="str">
        <f t="shared" si="359"/>
        <v>Base</v>
      </c>
      <c r="F5355" s="138" t="str">
        <f t="shared" si="363"/>
        <v>Upgraded</v>
      </c>
      <c r="G5355" s="153"/>
      <c r="H5355" s="210">
        <v>0.43190000000000001</v>
      </c>
      <c r="I5355" s="160" t="s">
        <v>57</v>
      </c>
      <c r="J5355" s="160">
        <v>6.9199999999999999E-3</v>
      </c>
      <c r="K5355" s="160" t="s">
        <v>14</v>
      </c>
      <c r="L5355" s="154" t="str">
        <f>IF(OpenLCAbasic!K5355="CTUh", "Fill in Manually",IF(OR(K5355="Unit", K5355=""), "", INDEX(LookUps!$E$5:$E$12, MATCH(OpenLCAbasic!K5355,LookUps!$D$5:$D$12,0))))</f>
        <v>Fossil Depletion Potential (FDP) - kg oil eq</v>
      </c>
      <c r="M5355" s="154" t="str">
        <f t="shared" si="360"/>
        <v>Base_High_Base_Upgraded_Fossil Depletion Potential (FDP) - kg oil eq_Gravity Belt Thickener; wastewater treatment unit; at updated plant - US_Without Amendment_Windrow</v>
      </c>
    </row>
    <row r="5356" spans="1:13" s="120" customFormat="1" x14ac:dyDescent="0.25">
      <c r="A5356" s="119"/>
      <c r="B5356" s="138" t="str">
        <f t="shared" si="362"/>
        <v>Windrow</v>
      </c>
      <c r="C5356" s="138" t="str">
        <f t="shared" si="361"/>
        <v>Without Amendment</v>
      </c>
      <c r="D5356" s="138" t="str">
        <f t="shared" si="358"/>
        <v>High_Base</v>
      </c>
      <c r="E5356" s="138" t="str">
        <f t="shared" si="359"/>
        <v>Base</v>
      </c>
      <c r="F5356" s="138" t="str">
        <f t="shared" si="363"/>
        <v>Upgraded</v>
      </c>
      <c r="G5356" s="153"/>
      <c r="H5356" s="210">
        <v>0.28089999999999998</v>
      </c>
      <c r="I5356" s="160" t="s">
        <v>128</v>
      </c>
      <c r="J5356" s="160">
        <v>4.4999999999999997E-3</v>
      </c>
      <c r="K5356" s="160" t="s">
        <v>14</v>
      </c>
      <c r="L5356" s="154" t="str">
        <f>IF(OpenLCAbasic!K5356="CTUh", "Fill in Manually",IF(OR(K5356="Unit", K5356=""), "", INDEX(LookUps!$E$5:$E$12, MATCH(OpenLCAbasic!K5356,LookUps!$D$5:$D$12,0))))</f>
        <v>Fossil Depletion Potential (FDP) - kg oil eq</v>
      </c>
      <c r="M5356" s="154" t="str">
        <f t="shared" si="360"/>
        <v>Base_High_Base_Upgraded_Fossil Depletion Potential (FDP) - kg oil eq_Wastewater collection; operation and infrastructure; m3 wastewater_Without Amendment_Windrow</v>
      </c>
    </row>
    <row r="5357" spans="1:13" s="120" customFormat="1" x14ac:dyDescent="0.25">
      <c r="A5357" s="119"/>
      <c r="B5357" s="138" t="str">
        <f t="shared" si="362"/>
        <v>Windrow</v>
      </c>
      <c r="C5357" s="138" t="str">
        <f t="shared" si="361"/>
        <v>Without Amendment</v>
      </c>
      <c r="D5357" s="138" t="str">
        <f t="shared" si="358"/>
        <v>High_Base</v>
      </c>
      <c r="E5357" s="138" t="str">
        <f t="shared" si="359"/>
        <v>Base</v>
      </c>
      <c r="F5357" s="138" t="str">
        <f t="shared" si="363"/>
        <v>Upgraded</v>
      </c>
      <c r="G5357" s="153"/>
      <c r="H5357" s="210">
        <v>0.17469999999999999</v>
      </c>
      <c r="I5357" s="160" t="s">
        <v>148</v>
      </c>
      <c r="J5357" s="160">
        <v>2.8E-3</v>
      </c>
      <c r="K5357" s="160" t="s">
        <v>14</v>
      </c>
      <c r="L5357" s="154" t="str">
        <f>IF(OpenLCAbasic!K5357="CTUh", "Fill in Manually",IF(OR(K5357="Unit", K5357=""), "", INDEX(LookUps!$E$5:$E$12, MATCH(OpenLCAbasic!K5357,LookUps!$D$5:$D$12,0))))</f>
        <v>Fossil Depletion Potential (FDP) - kg oil eq</v>
      </c>
      <c r="M5357" s="154" t="str">
        <f t="shared" si="360"/>
        <v>Base_High_Base_Upgraded_Fossil Depletion Potential (FDP) - kg oil eq_Control Building; at upgraded wastewater treatment plant - US_Without Amendment_Windrow</v>
      </c>
    </row>
    <row r="5358" spans="1:13" s="120" customFormat="1" x14ac:dyDescent="0.25">
      <c r="A5358" s="119"/>
      <c r="B5358" s="138" t="str">
        <f t="shared" si="362"/>
        <v>Windrow</v>
      </c>
      <c r="C5358" s="138" t="str">
        <f t="shared" si="361"/>
        <v>Without Amendment</v>
      </c>
      <c r="D5358" s="138" t="str">
        <f t="shared" si="358"/>
        <v>High_Base</v>
      </c>
      <c r="E5358" s="138" t="str">
        <f t="shared" si="359"/>
        <v>Base</v>
      </c>
      <c r="F5358" s="138" t="str">
        <f t="shared" si="363"/>
        <v>Upgraded</v>
      </c>
      <c r="G5358" s="153"/>
      <c r="H5358" s="210">
        <v>0.14760000000000001</v>
      </c>
      <c r="I5358" s="160" t="s">
        <v>48</v>
      </c>
      <c r="J5358" s="160">
        <v>2.3600000000000001E-3</v>
      </c>
      <c r="K5358" s="160" t="s">
        <v>14</v>
      </c>
      <c r="L5358" s="154" t="str">
        <f>IF(OpenLCAbasic!K5358="CTUh", "Fill in Manually",IF(OR(K5358="Unit", K5358=""), "", INDEX(LookUps!$E$5:$E$12, MATCH(OpenLCAbasic!K5358,LookUps!$D$5:$D$12,0))))</f>
        <v>Fossil Depletion Potential (FDP) - kg oil eq</v>
      </c>
      <c r="M5358" s="154" t="str">
        <f t="shared" si="360"/>
        <v>Base_High_Base_Upgraded_Fossil Depletion Potential (FDP) - kg oil eq_Effluent release; wastewater treatment unit; at surface water; m3 wastewater - US_Without Amendment_Windrow</v>
      </c>
    </row>
    <row r="5359" spans="1:13" s="120" customFormat="1" x14ac:dyDescent="0.25">
      <c r="A5359" s="119"/>
      <c r="B5359" s="138" t="str">
        <f t="shared" si="362"/>
        <v>Windrow</v>
      </c>
      <c r="C5359" s="138" t="str">
        <f t="shared" si="361"/>
        <v>Without Amendment</v>
      </c>
      <c r="D5359" s="138" t="str">
        <f t="shared" si="358"/>
        <v>High_Base</v>
      </c>
      <c r="E5359" s="138" t="str">
        <f t="shared" si="359"/>
        <v>Base</v>
      </c>
      <c r="F5359" s="138" t="str">
        <f t="shared" si="363"/>
        <v>Upgraded</v>
      </c>
      <c r="G5359" s="153"/>
      <c r="H5359" s="210">
        <v>0.11990000000000001</v>
      </c>
      <c r="I5359" s="160" t="s">
        <v>59</v>
      </c>
      <c r="J5359" s="160">
        <v>1.92E-3</v>
      </c>
      <c r="K5359" s="160" t="s">
        <v>14</v>
      </c>
      <c r="L5359" s="154" t="str">
        <f>IF(OpenLCAbasic!K5359="CTUh", "Fill in Manually",IF(OR(K5359="Unit", K5359=""), "", INDEX(LookUps!$E$5:$E$12, MATCH(OpenLCAbasic!K5359,LookUps!$D$5:$D$12,0))))</f>
        <v>Fossil Depletion Potential (FDP) - kg oil eq</v>
      </c>
      <c r="M5359" s="154" t="str">
        <f t="shared" si="360"/>
        <v>Base_High_Base_Upgraded_Fossil Depletion Potential (FDP) - kg oil eq_Blend Tank; wastewater treatment unit; at updated plant - US_Without Amendment_Windrow</v>
      </c>
    </row>
    <row r="5360" spans="1:13" s="120" customFormat="1" x14ac:dyDescent="0.25">
      <c r="A5360" s="119"/>
      <c r="B5360" s="138" t="str">
        <f t="shared" si="362"/>
        <v>Windrow</v>
      </c>
      <c r="C5360" s="138" t="str">
        <f t="shared" si="361"/>
        <v>Without Amendment</v>
      </c>
      <c r="D5360" s="138" t="str">
        <f t="shared" si="358"/>
        <v>High_Base</v>
      </c>
      <c r="E5360" s="138" t="str">
        <f t="shared" si="359"/>
        <v>Base</v>
      </c>
      <c r="F5360" s="138" t="str">
        <f t="shared" si="363"/>
        <v>Upgraded</v>
      </c>
      <c r="G5360" s="153"/>
      <c r="H5360" s="210">
        <v>5.7099999999999998E-2</v>
      </c>
      <c r="I5360" s="160" t="s">
        <v>168</v>
      </c>
      <c r="J5360" s="160">
        <v>9.1E-4</v>
      </c>
      <c r="K5360" s="160" t="s">
        <v>14</v>
      </c>
      <c r="L5360" s="154" t="str">
        <f>IF(OpenLCAbasic!K5360="CTUh", "Fill in Manually",IF(OR(K5360="Unit", K5360=""), "", INDEX(LookUps!$E$5:$E$12, MATCH(OpenLCAbasic!K5360,LookUps!$D$5:$D$12,0))))</f>
        <v>Fossil Depletion Potential (FDP) - kg oil eq</v>
      </c>
      <c r="M5360" s="154" t="str">
        <f t="shared" si="360"/>
        <v>Base_High_Base_Upgraded_Fossil Depletion Potential (FDP) - kg oil eq_ClearCove SCP; wastewater treatment unit; at updated plant - US_Without Amendment_Windrow</v>
      </c>
    </row>
    <row r="5361" spans="1:13" s="120" customFormat="1" x14ac:dyDescent="0.25">
      <c r="A5361" s="119"/>
      <c r="B5361" s="138" t="str">
        <f t="shared" si="362"/>
        <v>Windrow</v>
      </c>
      <c r="C5361" s="138" t="str">
        <f t="shared" si="361"/>
        <v>Without Amendment</v>
      </c>
      <c r="D5361" s="138" t="str">
        <f t="shared" ref="D5361:D5424" si="364">IF(ISNUMBER($J5361),"High_Base","")</f>
        <v>High_Base</v>
      </c>
      <c r="E5361" s="138" t="str">
        <f t="shared" ref="E5361:E5424" si="365">IF(ISNUMBER($J5361),"Base","")</f>
        <v>Base</v>
      </c>
      <c r="F5361" s="138" t="str">
        <f t="shared" si="363"/>
        <v>Upgraded</v>
      </c>
      <c r="G5361" s="153"/>
      <c r="H5361" s="210">
        <v>4.8599999999999997E-2</v>
      </c>
      <c r="I5361" s="160" t="s">
        <v>271</v>
      </c>
      <c r="J5361" s="160">
        <v>7.7999999999999999E-4</v>
      </c>
      <c r="K5361" s="160" t="s">
        <v>14</v>
      </c>
      <c r="L5361" s="154" t="str">
        <f>IF(OpenLCAbasic!K5361="CTUh", "Fill in Manually",IF(OR(K5361="Unit", K5361=""), "", INDEX(LookUps!$E$5:$E$12, MATCH(OpenLCAbasic!K5361,LookUps!$D$5:$D$12,0))))</f>
        <v>Fossil Depletion Potential (FDP) - kg oil eq</v>
      </c>
      <c r="M5361" s="154" t="str">
        <f t="shared" si="360"/>
        <v>Base_High_Base_Upgraded_Fossil Depletion Potential (FDP) - kg oil eq_Biosolids composting; windrow composting; wastewater treatment unit; at updated plant - US_Without Amendment_Windrow</v>
      </c>
    </row>
    <row r="5362" spans="1:13" s="120" customFormat="1" x14ac:dyDescent="0.25">
      <c r="A5362" s="119"/>
      <c r="B5362" s="138" t="str">
        <f t="shared" si="362"/>
        <v>Windrow</v>
      </c>
      <c r="C5362" s="138" t="str">
        <f t="shared" si="361"/>
        <v>Without Amendment</v>
      </c>
      <c r="D5362" s="138" t="str">
        <f t="shared" si="364"/>
        <v>High_Base</v>
      </c>
      <c r="E5362" s="138" t="str">
        <f t="shared" si="365"/>
        <v>Base</v>
      </c>
      <c r="F5362" s="138" t="str">
        <f t="shared" si="363"/>
        <v>Upgraded</v>
      </c>
      <c r="G5362" s="153"/>
      <c r="H5362" s="210">
        <v>-0.47310000000000002</v>
      </c>
      <c r="I5362" s="160" t="s">
        <v>62</v>
      </c>
      <c r="J5362" s="160">
        <v>-7.5799999999999999E-3</v>
      </c>
      <c r="K5362" s="160" t="s">
        <v>14</v>
      </c>
      <c r="L5362" s="154" t="str">
        <f>IF(OpenLCAbasic!K5362="CTUh", "Fill in Manually",IF(OR(K5362="Unit", K5362=""), "", INDEX(LookUps!$E$5:$E$12, MATCH(OpenLCAbasic!K5362,LookUps!$D$5:$D$12,0))))</f>
        <v>Fossil Depletion Potential (FDP) - kg oil eq</v>
      </c>
      <c r="M5362" s="154" t="str">
        <f t="shared" si="360"/>
        <v>Base_High_Base_Upgraded_Fossil Depletion Potential (FDP) - kg oil eq_Land application of compost; wastewater treatment unit; at updated plant - US_Without Amendment_Windrow</v>
      </c>
    </row>
    <row r="5363" spans="1:13" s="120" customFormat="1" x14ac:dyDescent="0.25">
      <c r="A5363" s="119"/>
      <c r="B5363" s="138" t="str">
        <f t="shared" si="362"/>
        <v>Windrow</v>
      </c>
      <c r="C5363" s="138" t="str">
        <f t="shared" si="361"/>
        <v>Without Amendment</v>
      </c>
      <c r="D5363" s="138" t="str">
        <f t="shared" si="364"/>
        <v>High_Base</v>
      </c>
      <c r="E5363" s="138" t="str">
        <f t="shared" si="365"/>
        <v>Base</v>
      </c>
      <c r="F5363" s="138" t="str">
        <f t="shared" si="363"/>
        <v>Upgraded</v>
      </c>
      <c r="G5363" s="153"/>
      <c r="H5363" s="210">
        <v>-17.800799999999999</v>
      </c>
      <c r="I5363" s="160" t="s">
        <v>149</v>
      </c>
      <c r="J5363" s="160">
        <v>-0.28505000000000003</v>
      </c>
      <c r="K5363" s="160" t="s">
        <v>14</v>
      </c>
      <c r="L5363" s="154" t="str">
        <f>IF(OpenLCAbasic!K5363="CTUh", "Fill in Manually",IF(OR(K5363="Unit", K5363=""), "", INDEX(LookUps!$E$5:$E$12, MATCH(OpenLCAbasic!K5363,LookUps!$D$5:$D$12,0))))</f>
        <v>Fossil Depletion Potential (FDP) - kg oil eq</v>
      </c>
      <c r="M5363" s="154" t="str">
        <f t="shared" si="360"/>
        <v>Base_High_Base_Upgraded_Fossil Depletion Potential (FDP) - kg oil eq_Anaerobic Digestion; wastewater treatment unit; at updated plant - US_Without Amendment_Windrow</v>
      </c>
    </row>
    <row r="5364" spans="1:13" s="120" customFormat="1" x14ac:dyDescent="0.25">
      <c r="A5364" s="119"/>
      <c r="B5364" s="138" t="str">
        <f t="shared" si="362"/>
        <v/>
      </c>
      <c r="C5364" s="138" t="str">
        <f t="shared" si="361"/>
        <v/>
      </c>
      <c r="D5364" s="138" t="str">
        <f t="shared" si="364"/>
        <v/>
      </c>
      <c r="E5364" s="138" t="str">
        <f t="shared" si="365"/>
        <v/>
      </c>
      <c r="F5364" s="138" t="str">
        <f t="shared" si="363"/>
        <v/>
      </c>
      <c r="G5364" s="153" t="s">
        <v>51</v>
      </c>
      <c r="H5364" s="160"/>
      <c r="I5364" s="160" t="s">
        <v>47</v>
      </c>
      <c r="J5364" s="160" t="s">
        <v>52</v>
      </c>
      <c r="K5364" s="160" t="s">
        <v>27</v>
      </c>
      <c r="L5364" s="154" t="str">
        <f>IF(OpenLCAbasic!K5364="CTUh", "Fill in Manually",IF(OR(K5364="Unit", K5364=""), "", INDEX(LookUps!$E$5:$E$12, MATCH(OpenLCAbasic!K5364,LookUps!$D$5:$D$12,0))))</f>
        <v/>
      </c>
      <c r="M5364" s="154" t="str">
        <f t="shared" si="360"/>
        <v>____Process__</v>
      </c>
    </row>
    <row r="5365" spans="1:13" s="120" customFormat="1" x14ac:dyDescent="0.25">
      <c r="A5365" s="119"/>
      <c r="B5365" s="138" t="str">
        <f t="shared" si="362"/>
        <v>Windrow</v>
      </c>
      <c r="C5365" s="138" t="str">
        <f t="shared" si="361"/>
        <v>Without Amendment</v>
      </c>
      <c r="D5365" s="138" t="str">
        <f t="shared" si="364"/>
        <v>High_Base</v>
      </c>
      <c r="E5365" s="138" t="str">
        <f t="shared" si="365"/>
        <v>Base</v>
      </c>
      <c r="F5365" s="138" t="str">
        <f t="shared" si="363"/>
        <v>Upgraded</v>
      </c>
      <c r="G5365" s="153"/>
      <c r="H5365" s="210">
        <v>1.0053000000000001</v>
      </c>
      <c r="I5365" s="160" t="s">
        <v>271</v>
      </c>
      <c r="J5365" s="160">
        <v>0.73041999999999996</v>
      </c>
      <c r="K5365" s="160" t="s">
        <v>23</v>
      </c>
      <c r="L5365" s="154" t="str">
        <f>IF(OpenLCAbasic!K5365="CTUh", "Fill in Manually",IF(OR(K5365="Unit", K5365=""), "", INDEX(LookUps!$E$5:$E$12, MATCH(OpenLCAbasic!K5365,LookUps!$D$5:$D$12,0))))</f>
        <v>Global Warming Potential (GWP) - kg CO2 eq</v>
      </c>
      <c r="M5365" s="154" t="str">
        <f t="shared" si="360"/>
        <v>Base_High_Base_Upgraded_Global Warming Potential (GWP) - kg CO2 eq_Biosolids composting; windrow composting; wastewater treatment unit; at updated plant - US_Without Amendment_Windrow</v>
      </c>
    </row>
    <row r="5366" spans="1:13" s="120" customFormat="1" x14ac:dyDescent="0.25">
      <c r="A5366" s="119"/>
      <c r="B5366" s="138" t="str">
        <f t="shared" si="362"/>
        <v>Windrow</v>
      </c>
      <c r="C5366" s="138" t="str">
        <f t="shared" si="361"/>
        <v>Without Amendment</v>
      </c>
      <c r="D5366" s="138" t="str">
        <f t="shared" si="364"/>
        <v>High_Base</v>
      </c>
      <c r="E5366" s="138" t="str">
        <f t="shared" si="365"/>
        <v>Base</v>
      </c>
      <c r="F5366" s="138" t="str">
        <f t="shared" si="363"/>
        <v>Upgraded</v>
      </c>
      <c r="G5366" s="153"/>
      <c r="H5366" s="210">
        <v>0.34399999999999997</v>
      </c>
      <c r="I5366" s="160" t="s">
        <v>58</v>
      </c>
      <c r="J5366" s="160">
        <v>0.24992</v>
      </c>
      <c r="K5366" s="160" t="s">
        <v>23</v>
      </c>
      <c r="L5366" s="154" t="str">
        <f>IF(OpenLCAbasic!K5366="CTUh", "Fill in Manually",IF(OR(K5366="Unit", K5366=""), "", INDEX(LookUps!$E$5:$E$12, MATCH(OpenLCAbasic!K5366,LookUps!$D$5:$D$12,0))))</f>
        <v>Global Warming Potential (GWP) - kg CO2 eq</v>
      </c>
      <c r="M5366" s="154" t="str">
        <f t="shared" si="360"/>
        <v>Base_High_Base_Upgraded_Global Warming Potential (GWP) - kg CO2 eq_Pre-Anoxic &amp; Swing tank; wastewater treatment unit; at updated plant - US_Without Amendment_Windrow</v>
      </c>
    </row>
    <row r="5367" spans="1:13" s="120" customFormat="1" x14ac:dyDescent="0.25">
      <c r="A5367" s="119"/>
      <c r="B5367" s="138" t="str">
        <f t="shared" si="362"/>
        <v>Windrow</v>
      </c>
      <c r="C5367" s="138" t="str">
        <f t="shared" si="361"/>
        <v>Without Amendment</v>
      </c>
      <c r="D5367" s="138" t="str">
        <f t="shared" si="364"/>
        <v>High_Base</v>
      </c>
      <c r="E5367" s="138" t="str">
        <f t="shared" si="365"/>
        <v>Base</v>
      </c>
      <c r="F5367" s="138" t="str">
        <f t="shared" si="363"/>
        <v>Upgraded</v>
      </c>
      <c r="G5367" s="153"/>
      <c r="H5367" s="210">
        <v>0.23150000000000001</v>
      </c>
      <c r="I5367" s="160" t="s">
        <v>55</v>
      </c>
      <c r="J5367" s="160">
        <v>0.16822000000000001</v>
      </c>
      <c r="K5367" s="160" t="s">
        <v>23</v>
      </c>
      <c r="L5367" s="154" t="str">
        <f>IF(OpenLCAbasic!K5367="CTUh", "Fill in Manually",IF(OR(K5367="Unit", K5367=""), "", INDEX(LookUps!$E$5:$E$12, MATCH(OpenLCAbasic!K5367,LookUps!$D$5:$D$12,0))))</f>
        <v>Global Warming Potential (GWP) - kg CO2 eq</v>
      </c>
      <c r="M5367" s="154" t="str">
        <f t="shared" si="360"/>
        <v>Base_High_Base_Upgraded_Global Warming Potential (GWP) - kg CO2 eq_Aeration Tanks; wastewater treatment unit; at updated plant - US_Without Amendment_Windrow</v>
      </c>
    </row>
    <row r="5368" spans="1:13" s="120" customFormat="1" x14ac:dyDescent="0.25">
      <c r="A5368" s="119"/>
      <c r="B5368" s="138" t="str">
        <f t="shared" si="362"/>
        <v>Windrow</v>
      </c>
      <c r="C5368" s="138" t="str">
        <f t="shared" si="361"/>
        <v>Without Amendment</v>
      </c>
      <c r="D5368" s="138" t="str">
        <f t="shared" si="364"/>
        <v>High_Base</v>
      </c>
      <c r="E5368" s="138" t="str">
        <f t="shared" si="365"/>
        <v>Base</v>
      </c>
      <c r="F5368" s="138" t="str">
        <f t="shared" si="363"/>
        <v>Upgraded</v>
      </c>
      <c r="G5368" s="153"/>
      <c r="H5368" s="210">
        <v>0.2021</v>
      </c>
      <c r="I5368" s="160" t="s">
        <v>167</v>
      </c>
      <c r="J5368" s="160">
        <v>0.14685000000000001</v>
      </c>
      <c r="K5368" s="160" t="s">
        <v>23</v>
      </c>
      <c r="L5368" s="154" t="str">
        <f>IF(OpenLCAbasic!K5368="CTUh", "Fill in Manually",IF(OR(K5368="Unit", K5368=""), "", INDEX(LookUps!$E$5:$E$12, MATCH(OpenLCAbasic!K5368,LookUps!$D$5:$D$12,0))))</f>
        <v>Global Warming Potential (GWP) - kg CO2 eq</v>
      </c>
      <c r="M5368" s="154" t="str">
        <f t="shared" si="360"/>
        <v>Base_High_Base_Upgraded_Global Warming Potential (GWP) - kg CO2 eq_Waste Receiving and Holding; wastewater treatment unit; at updated plant - US_Without Amendment_Windrow</v>
      </c>
    </row>
    <row r="5369" spans="1:13" s="120" customFormat="1" x14ac:dyDescent="0.25">
      <c r="A5369" s="119"/>
      <c r="B5369" s="138" t="str">
        <f t="shared" si="362"/>
        <v>Windrow</v>
      </c>
      <c r="C5369" s="138" t="str">
        <f t="shared" si="361"/>
        <v>Without Amendment</v>
      </c>
      <c r="D5369" s="138" t="str">
        <f t="shared" si="364"/>
        <v>High_Base</v>
      </c>
      <c r="E5369" s="138" t="str">
        <f t="shared" si="365"/>
        <v>Base</v>
      </c>
      <c r="F5369" s="138" t="str">
        <f t="shared" si="363"/>
        <v>Upgraded</v>
      </c>
      <c r="G5369" s="153"/>
      <c r="H5369" s="210">
        <v>7.8600000000000003E-2</v>
      </c>
      <c r="I5369" s="160" t="s">
        <v>54</v>
      </c>
      <c r="J5369" s="160">
        <v>5.7079999999999999E-2</v>
      </c>
      <c r="K5369" s="160" t="s">
        <v>23</v>
      </c>
      <c r="L5369" s="154" t="str">
        <f>IF(OpenLCAbasic!K5369="CTUh", "Fill in Manually",IF(OR(K5369="Unit", K5369=""), "", INDEX(LookUps!$E$5:$E$12, MATCH(OpenLCAbasic!K5369,LookUps!$D$5:$D$12,0))))</f>
        <v>Global Warming Potential (GWP) - kg CO2 eq</v>
      </c>
      <c r="M5369" s="154" t="str">
        <f t="shared" si="360"/>
        <v>Base_High_Base_Upgraded_Global Warming Potential (GWP) - kg CO2 eq_Clear Cove Primary Clarification; wastewater treatment unit; at updated plant - US_Without Amendment_Windrow</v>
      </c>
    </row>
    <row r="5370" spans="1:13" s="120" customFormat="1" x14ac:dyDescent="0.25">
      <c r="A5370" s="119"/>
      <c r="B5370" s="138" t="str">
        <f t="shared" si="362"/>
        <v>Windrow</v>
      </c>
      <c r="C5370" s="138" t="str">
        <f t="shared" si="361"/>
        <v>Without Amendment</v>
      </c>
      <c r="D5370" s="138" t="str">
        <f t="shared" si="364"/>
        <v>High_Base</v>
      </c>
      <c r="E5370" s="138" t="str">
        <f t="shared" si="365"/>
        <v>Base</v>
      </c>
      <c r="F5370" s="138" t="str">
        <f t="shared" si="363"/>
        <v>Upgraded</v>
      </c>
      <c r="G5370" s="153"/>
      <c r="H5370" s="210">
        <v>7.2400000000000006E-2</v>
      </c>
      <c r="I5370" s="160" t="s">
        <v>48</v>
      </c>
      <c r="J5370" s="160">
        <v>5.2639999999999999E-2</v>
      </c>
      <c r="K5370" s="160" t="s">
        <v>23</v>
      </c>
      <c r="L5370" s="154" t="str">
        <f>IF(OpenLCAbasic!K5370="CTUh", "Fill in Manually",IF(OR(K5370="Unit", K5370=""), "", INDEX(LookUps!$E$5:$E$12, MATCH(OpenLCAbasic!K5370,LookUps!$D$5:$D$12,0))))</f>
        <v>Global Warming Potential (GWP) - kg CO2 eq</v>
      </c>
      <c r="M5370" s="154" t="str">
        <f t="shared" si="360"/>
        <v>Base_High_Base_Upgraded_Global Warming Potential (GWP) - kg CO2 eq_Effluent release; wastewater treatment unit; at surface water; m3 wastewater - US_Without Amendment_Windrow</v>
      </c>
    </row>
    <row r="5371" spans="1:13" s="120" customFormat="1" x14ac:dyDescent="0.25">
      <c r="A5371" s="119"/>
      <c r="B5371" s="138" t="str">
        <f t="shared" si="362"/>
        <v>Windrow</v>
      </c>
      <c r="C5371" s="138" t="str">
        <f t="shared" si="361"/>
        <v>Without Amendment</v>
      </c>
      <c r="D5371" s="138" t="str">
        <f t="shared" si="364"/>
        <v>High_Base</v>
      </c>
      <c r="E5371" s="138" t="str">
        <f t="shared" si="365"/>
        <v>Base</v>
      </c>
      <c r="F5371" s="138" t="str">
        <f t="shared" si="363"/>
        <v>Upgraded</v>
      </c>
      <c r="G5371" s="153"/>
      <c r="H5371" s="210">
        <v>6.9500000000000006E-2</v>
      </c>
      <c r="I5371" s="160" t="s">
        <v>147</v>
      </c>
      <c r="J5371" s="160">
        <v>5.0500000000000003E-2</v>
      </c>
      <c r="K5371" s="160" t="s">
        <v>23</v>
      </c>
      <c r="L5371" s="154" t="str">
        <f>IF(OpenLCAbasic!K5371="CTUh", "Fill in Manually",IF(OR(K5371="Unit", K5371=""), "", INDEX(LookUps!$E$5:$E$12, MATCH(OpenLCAbasic!K5371,LookUps!$D$5:$D$12,0))))</f>
        <v>Global Warming Potential (GWP) - kg CO2 eq</v>
      </c>
      <c r="M5371" s="154" t="str">
        <f t="shared" ref="M5371:M5434" si="366">CONCATENATE(E5371,"_",D5371,"_",F5371,"_",L5371, "_",I5371,"_", C5371,"_", B5371)</f>
        <v>Base_High_Base_Upgraded_Global Warming Potential (GWP) - kg CO2 eq_Influent Pump Station; wastewater treatment unit; at updated plant - US_Without Amendment_Windrow</v>
      </c>
    </row>
    <row r="5372" spans="1:13" s="120" customFormat="1" x14ac:dyDescent="0.25">
      <c r="A5372" s="119"/>
      <c r="B5372" s="138" t="str">
        <f t="shared" si="362"/>
        <v>Windrow</v>
      </c>
      <c r="C5372" s="138" t="str">
        <f t="shared" si="361"/>
        <v>Without Amendment</v>
      </c>
      <c r="D5372" s="138" t="str">
        <f t="shared" si="364"/>
        <v>High_Base</v>
      </c>
      <c r="E5372" s="138" t="str">
        <f t="shared" si="365"/>
        <v>Base</v>
      </c>
      <c r="F5372" s="138" t="str">
        <f t="shared" si="363"/>
        <v>Upgraded</v>
      </c>
      <c r="G5372" s="153"/>
      <c r="H5372" s="210">
        <v>4.58E-2</v>
      </c>
      <c r="I5372" s="160" t="s">
        <v>53</v>
      </c>
      <c r="J5372" s="160">
        <v>3.3259999999999998E-2</v>
      </c>
      <c r="K5372" s="160" t="s">
        <v>23</v>
      </c>
      <c r="L5372" s="154" t="str">
        <f>IF(OpenLCAbasic!K5372="CTUh", "Fill in Manually",IF(OR(K5372="Unit", K5372=""), "", INDEX(LookUps!$E$5:$E$12, MATCH(OpenLCAbasic!K5372,LookUps!$D$5:$D$12,0))))</f>
        <v>Global Warming Potential (GWP) - kg CO2 eq</v>
      </c>
      <c r="M5372" s="154" t="str">
        <f t="shared" si="366"/>
        <v>Base_High_Base_Upgraded_Global Warming Potential (GWP) - kg CO2 eq_Wet Well and Sump Station; wastewater treatment unit; at updated plant - US_Without Amendment_Windrow</v>
      </c>
    </row>
    <row r="5373" spans="1:13" s="120" customFormat="1" x14ac:dyDescent="0.25">
      <c r="A5373" s="119"/>
      <c r="B5373" s="138" t="str">
        <f t="shared" si="362"/>
        <v>Windrow</v>
      </c>
      <c r="C5373" s="138" t="str">
        <f t="shared" si="361"/>
        <v>Without Amendment</v>
      </c>
      <c r="D5373" s="138" t="str">
        <f t="shared" si="364"/>
        <v>High_Base</v>
      </c>
      <c r="E5373" s="138" t="str">
        <f t="shared" si="365"/>
        <v>Base</v>
      </c>
      <c r="F5373" s="138" t="str">
        <f t="shared" si="363"/>
        <v>Upgraded</v>
      </c>
      <c r="G5373" s="153"/>
      <c r="H5373" s="210">
        <v>3.32E-2</v>
      </c>
      <c r="I5373" s="160" t="s">
        <v>60</v>
      </c>
      <c r="J5373" s="160">
        <v>2.4119999999999999E-2</v>
      </c>
      <c r="K5373" s="160" t="s">
        <v>23</v>
      </c>
      <c r="L5373" s="154" t="str">
        <f>IF(OpenLCAbasic!K5373="CTUh", "Fill in Manually",IF(OR(K5373="Unit", K5373=""), "", INDEX(LookUps!$E$5:$E$12, MATCH(OpenLCAbasic!K5373,LookUps!$D$5:$D$12,0))))</f>
        <v>Global Warming Potential (GWP) - kg CO2 eq</v>
      </c>
      <c r="M5373" s="154" t="str">
        <f t="shared" si="366"/>
        <v>Base_High_Base_Upgraded_Global Warming Potential (GWP) - kg CO2 eq_Belt filter press; wastewater treatment unit; at updated plant - US_Without Amendment_Windrow</v>
      </c>
    </row>
    <row r="5374" spans="1:13" s="120" customFormat="1" x14ac:dyDescent="0.25">
      <c r="A5374" s="119"/>
      <c r="B5374" s="138" t="str">
        <f t="shared" si="362"/>
        <v>Windrow</v>
      </c>
      <c r="C5374" s="138" t="str">
        <f t="shared" si="361"/>
        <v>Without Amendment</v>
      </c>
      <c r="D5374" s="138" t="str">
        <f t="shared" si="364"/>
        <v>High_Base</v>
      </c>
      <c r="E5374" s="138" t="str">
        <f t="shared" si="365"/>
        <v>Base</v>
      </c>
      <c r="F5374" s="138" t="str">
        <f t="shared" si="363"/>
        <v>Upgraded</v>
      </c>
      <c r="G5374" s="153"/>
      <c r="H5374" s="210">
        <v>0.02</v>
      </c>
      <c r="I5374" s="160" t="s">
        <v>57</v>
      </c>
      <c r="J5374" s="160">
        <v>1.455E-2</v>
      </c>
      <c r="K5374" s="160" t="s">
        <v>23</v>
      </c>
      <c r="L5374" s="154" t="str">
        <f>IF(OpenLCAbasic!K5374="CTUh", "Fill in Manually",IF(OR(K5374="Unit", K5374=""), "", INDEX(LookUps!$E$5:$E$12, MATCH(OpenLCAbasic!K5374,LookUps!$D$5:$D$12,0))))</f>
        <v>Global Warming Potential (GWP) - kg CO2 eq</v>
      </c>
      <c r="M5374" s="154" t="str">
        <f t="shared" si="366"/>
        <v>Base_High_Base_Upgraded_Global Warming Potential (GWP) - kg CO2 eq_Gravity Belt Thickener; wastewater treatment unit; at updated plant - US_Without Amendment_Windrow</v>
      </c>
    </row>
    <row r="5375" spans="1:13" s="120" customFormat="1" x14ac:dyDescent="0.25">
      <c r="A5375" s="119"/>
      <c r="B5375" s="138" t="str">
        <f t="shared" si="362"/>
        <v>Windrow</v>
      </c>
      <c r="C5375" s="138" t="str">
        <f t="shared" si="361"/>
        <v>Without Amendment</v>
      </c>
      <c r="D5375" s="138" t="str">
        <f t="shared" si="364"/>
        <v>High_Base</v>
      </c>
      <c r="E5375" s="138" t="str">
        <f t="shared" si="365"/>
        <v>Base</v>
      </c>
      <c r="F5375" s="138" t="str">
        <f t="shared" si="363"/>
        <v>Upgraded</v>
      </c>
      <c r="G5375" s="153"/>
      <c r="H5375" s="210">
        <v>1.8599999999999998E-2</v>
      </c>
      <c r="I5375" s="160" t="s">
        <v>128</v>
      </c>
      <c r="J5375" s="160">
        <v>1.3509999999999999E-2</v>
      </c>
      <c r="K5375" s="160" t="s">
        <v>23</v>
      </c>
      <c r="L5375" s="154" t="str">
        <f>IF(OpenLCAbasic!K5375="CTUh", "Fill in Manually",IF(OR(K5375="Unit", K5375=""), "", INDEX(LookUps!$E$5:$E$12, MATCH(OpenLCAbasic!K5375,LookUps!$D$5:$D$12,0))))</f>
        <v>Global Warming Potential (GWP) - kg CO2 eq</v>
      </c>
      <c r="M5375" s="154" t="str">
        <f t="shared" si="366"/>
        <v>Base_High_Base_Upgraded_Global Warming Potential (GWP) - kg CO2 eq_Wastewater collection; operation and infrastructure; m3 wastewater_Without Amendment_Windrow</v>
      </c>
    </row>
    <row r="5376" spans="1:13" s="120" customFormat="1" x14ac:dyDescent="0.25">
      <c r="A5376" s="119"/>
      <c r="B5376" s="138" t="str">
        <f t="shared" si="362"/>
        <v>Windrow</v>
      </c>
      <c r="C5376" s="138" t="str">
        <f t="shared" si="361"/>
        <v>Without Amendment</v>
      </c>
      <c r="D5376" s="138" t="str">
        <f t="shared" si="364"/>
        <v>High_Base</v>
      </c>
      <c r="E5376" s="138" t="str">
        <f t="shared" si="365"/>
        <v>Base</v>
      </c>
      <c r="F5376" s="138" t="str">
        <f t="shared" si="363"/>
        <v>Upgraded</v>
      </c>
      <c r="G5376" s="153"/>
      <c r="H5376" s="210">
        <v>1.14E-2</v>
      </c>
      <c r="I5376" s="160" t="s">
        <v>148</v>
      </c>
      <c r="J5376" s="160">
        <v>8.3000000000000001E-3</v>
      </c>
      <c r="K5376" s="160" t="s">
        <v>23</v>
      </c>
      <c r="L5376" s="154" t="str">
        <f>IF(OpenLCAbasic!K5376="CTUh", "Fill in Manually",IF(OR(K5376="Unit", K5376=""), "", INDEX(LookUps!$E$5:$E$12, MATCH(OpenLCAbasic!K5376,LookUps!$D$5:$D$12,0))))</f>
        <v>Global Warming Potential (GWP) - kg CO2 eq</v>
      </c>
      <c r="M5376" s="154" t="str">
        <f t="shared" si="366"/>
        <v>Base_High_Base_Upgraded_Global Warming Potential (GWP) - kg CO2 eq_Control Building; at upgraded wastewater treatment plant - US_Without Amendment_Windrow</v>
      </c>
    </row>
    <row r="5377" spans="1:13" s="120" customFormat="1" x14ac:dyDescent="0.25">
      <c r="A5377" s="119"/>
      <c r="B5377" s="138" t="str">
        <f t="shared" si="362"/>
        <v>Windrow</v>
      </c>
      <c r="C5377" s="138" t="str">
        <f t="shared" ref="C5377:C5440" si="367">IF(ISNUMBER($J5377),"Without Amendment","")</f>
        <v>Without Amendment</v>
      </c>
      <c r="D5377" s="138" t="str">
        <f t="shared" si="364"/>
        <v>High_Base</v>
      </c>
      <c r="E5377" s="138" t="str">
        <f t="shared" si="365"/>
        <v>Base</v>
      </c>
      <c r="F5377" s="138" t="str">
        <f t="shared" si="363"/>
        <v>Upgraded</v>
      </c>
      <c r="G5377" s="153"/>
      <c r="H5377" s="210">
        <v>6.8999999999999999E-3</v>
      </c>
      <c r="I5377" s="160" t="s">
        <v>59</v>
      </c>
      <c r="J5377" s="160">
        <v>5.0400000000000002E-3</v>
      </c>
      <c r="K5377" s="160" t="s">
        <v>23</v>
      </c>
      <c r="L5377" s="154" t="str">
        <f>IF(OpenLCAbasic!K5377="CTUh", "Fill in Manually",IF(OR(K5377="Unit", K5377=""), "", INDEX(LookUps!$E$5:$E$12, MATCH(OpenLCAbasic!K5377,LookUps!$D$5:$D$12,0))))</f>
        <v>Global Warming Potential (GWP) - kg CO2 eq</v>
      </c>
      <c r="M5377" s="154" t="str">
        <f t="shared" si="366"/>
        <v>Base_High_Base_Upgraded_Global Warming Potential (GWP) - kg CO2 eq_Blend Tank; wastewater treatment unit; at updated plant - US_Without Amendment_Windrow</v>
      </c>
    </row>
    <row r="5378" spans="1:13" s="120" customFormat="1" x14ac:dyDescent="0.25">
      <c r="A5378" s="119"/>
      <c r="B5378" s="138" t="str">
        <f t="shared" si="362"/>
        <v>Windrow</v>
      </c>
      <c r="C5378" s="138" t="str">
        <f t="shared" si="367"/>
        <v>Without Amendment</v>
      </c>
      <c r="D5378" s="138" t="str">
        <f t="shared" si="364"/>
        <v>High_Base</v>
      </c>
      <c r="E5378" s="138" t="str">
        <f t="shared" si="365"/>
        <v>Base</v>
      </c>
      <c r="F5378" s="138" t="str">
        <f t="shared" si="363"/>
        <v>Upgraded</v>
      </c>
      <c r="G5378" s="153"/>
      <c r="H5378" s="210">
        <v>3.3E-3</v>
      </c>
      <c r="I5378" s="160" t="s">
        <v>168</v>
      </c>
      <c r="J5378" s="160">
        <v>2.4099999999999998E-3</v>
      </c>
      <c r="K5378" s="160" t="s">
        <v>23</v>
      </c>
      <c r="L5378" s="154" t="str">
        <f>IF(OpenLCAbasic!K5378="CTUh", "Fill in Manually",IF(OR(K5378="Unit", K5378=""), "", INDEX(LookUps!$E$5:$E$12, MATCH(OpenLCAbasic!K5378,LookUps!$D$5:$D$12,0))))</f>
        <v>Global Warming Potential (GWP) - kg CO2 eq</v>
      </c>
      <c r="M5378" s="154" t="str">
        <f t="shared" si="366"/>
        <v>Base_High_Base_Upgraded_Global Warming Potential (GWP) - kg CO2 eq_ClearCove SCP; wastewater treatment unit; at updated plant - US_Without Amendment_Windrow</v>
      </c>
    </row>
    <row r="5379" spans="1:13" s="120" customFormat="1" x14ac:dyDescent="0.25">
      <c r="A5379" s="119"/>
      <c r="B5379" s="138" t="str">
        <f t="shared" si="362"/>
        <v>Windrow</v>
      </c>
      <c r="C5379" s="138" t="str">
        <f t="shared" si="367"/>
        <v>Without Amendment</v>
      </c>
      <c r="D5379" s="138" t="str">
        <f t="shared" si="364"/>
        <v>High_Base</v>
      </c>
      <c r="E5379" s="138" t="str">
        <f t="shared" si="365"/>
        <v>Base</v>
      </c>
      <c r="F5379" s="138" t="str">
        <f t="shared" si="363"/>
        <v>Upgraded</v>
      </c>
      <c r="G5379" s="153"/>
      <c r="H5379" s="210">
        <v>-0.35680000000000001</v>
      </c>
      <c r="I5379" s="160" t="s">
        <v>62</v>
      </c>
      <c r="J5379" s="160">
        <v>-0.25923000000000002</v>
      </c>
      <c r="K5379" s="160" t="s">
        <v>23</v>
      </c>
      <c r="L5379" s="154" t="str">
        <f>IF(OpenLCAbasic!K5379="CTUh", "Fill in Manually",IF(OR(K5379="Unit", K5379=""), "", INDEX(LookUps!$E$5:$E$12, MATCH(OpenLCAbasic!K5379,LookUps!$D$5:$D$12,0))))</f>
        <v>Global Warming Potential (GWP) - kg CO2 eq</v>
      </c>
      <c r="M5379" s="154" t="str">
        <f t="shared" si="366"/>
        <v>Base_High_Base_Upgraded_Global Warming Potential (GWP) - kg CO2 eq_Land application of compost; wastewater treatment unit; at updated plant - US_Without Amendment_Windrow</v>
      </c>
    </row>
    <row r="5380" spans="1:13" s="120" customFormat="1" x14ac:dyDescent="0.25">
      <c r="A5380" s="119"/>
      <c r="B5380" s="138" t="str">
        <f t="shared" si="362"/>
        <v>Windrow</v>
      </c>
      <c r="C5380" s="138" t="str">
        <f t="shared" si="367"/>
        <v>Without Amendment</v>
      </c>
      <c r="D5380" s="138" t="str">
        <f t="shared" si="364"/>
        <v>High_Base</v>
      </c>
      <c r="E5380" s="138" t="str">
        <f t="shared" si="365"/>
        <v>Base</v>
      </c>
      <c r="F5380" s="138" t="str">
        <f t="shared" si="363"/>
        <v>Upgraded</v>
      </c>
      <c r="G5380" s="153"/>
      <c r="H5380" s="210">
        <v>-0.78590000000000004</v>
      </c>
      <c r="I5380" s="160" t="s">
        <v>149</v>
      </c>
      <c r="J5380" s="160">
        <v>-0.57099</v>
      </c>
      <c r="K5380" s="160" t="s">
        <v>23</v>
      </c>
      <c r="L5380" s="154" t="str">
        <f>IF(OpenLCAbasic!K5380="CTUh", "Fill in Manually",IF(OR(K5380="Unit", K5380=""), "", INDEX(LookUps!$E$5:$E$12, MATCH(OpenLCAbasic!K5380,LookUps!$D$5:$D$12,0))))</f>
        <v>Global Warming Potential (GWP) - kg CO2 eq</v>
      </c>
      <c r="M5380" s="154" t="str">
        <f t="shared" si="366"/>
        <v>Base_High_Base_Upgraded_Global Warming Potential (GWP) - kg CO2 eq_Anaerobic Digestion; wastewater treatment unit; at updated plant - US_Without Amendment_Windrow</v>
      </c>
    </row>
    <row r="5381" spans="1:13" s="120" customFormat="1" x14ac:dyDescent="0.25">
      <c r="A5381" s="119"/>
      <c r="B5381" s="138" t="str">
        <f t="shared" si="362"/>
        <v/>
      </c>
      <c r="C5381" s="138" t="str">
        <f t="shared" si="367"/>
        <v/>
      </c>
      <c r="D5381" s="138" t="str">
        <f t="shared" si="364"/>
        <v/>
      </c>
      <c r="E5381" s="138" t="str">
        <f t="shared" si="365"/>
        <v/>
      </c>
      <c r="F5381" s="138" t="str">
        <f t="shared" si="363"/>
        <v/>
      </c>
      <c r="G5381" s="153" t="s">
        <v>51</v>
      </c>
      <c r="H5381" s="160"/>
      <c r="I5381" s="160" t="s">
        <v>47</v>
      </c>
      <c r="J5381" s="160" t="s">
        <v>52</v>
      </c>
      <c r="K5381" s="160" t="s">
        <v>27</v>
      </c>
      <c r="L5381" s="154" t="str">
        <f>IF(OpenLCAbasic!K5381="CTUh", "Fill in Manually",IF(OR(K5381="Unit", K5381=""), "", INDEX(LookUps!$E$5:$E$12, MATCH(OpenLCAbasic!K5381,LookUps!$D$5:$D$12,0))))</f>
        <v/>
      </c>
      <c r="M5381" s="154" t="str">
        <f t="shared" si="366"/>
        <v>____Process__</v>
      </c>
    </row>
    <row r="5382" spans="1:13" s="120" customFormat="1" x14ac:dyDescent="0.25">
      <c r="A5382" s="119"/>
      <c r="B5382" s="138" t="str">
        <f t="shared" si="362"/>
        <v>Windrow</v>
      </c>
      <c r="C5382" s="138" t="str">
        <f t="shared" si="367"/>
        <v>Without Amendment</v>
      </c>
      <c r="D5382" s="138" t="str">
        <f t="shared" si="364"/>
        <v>High_Base</v>
      </c>
      <c r="E5382" s="138" t="str">
        <f t="shared" si="365"/>
        <v>Base</v>
      </c>
      <c r="F5382" s="138" t="str">
        <f t="shared" si="363"/>
        <v>Upgraded</v>
      </c>
      <c r="G5382" s="153"/>
      <c r="H5382" s="210">
        <v>5.5384000000000002</v>
      </c>
      <c r="I5382" s="160" t="s">
        <v>55</v>
      </c>
      <c r="J5382" s="160">
        <v>2.33E-3</v>
      </c>
      <c r="K5382" s="160" t="s">
        <v>145</v>
      </c>
      <c r="L5382" s="154" t="str">
        <f>IF(OpenLCAbasic!K5382="CTUh", "Fill in Manually",IF(OR(K5382="Unit", K5382=""), "", INDEX(LookUps!$E$5:$E$12, MATCH(OpenLCAbasic!K5382,LookUps!$D$5:$D$12,0))))</f>
        <v>Particulate Matter Formation Potential (PMFP) - kg PM2.5 eq</v>
      </c>
      <c r="M5382" s="154" t="str">
        <f t="shared" si="366"/>
        <v>Base_High_Base_Upgraded_Particulate Matter Formation Potential (PMFP) - kg PM2.5 eq_Aeration Tanks; wastewater treatment unit; at updated plant - US_Without Amendment_Windrow</v>
      </c>
    </row>
    <row r="5383" spans="1:13" s="120" customFormat="1" x14ac:dyDescent="0.25">
      <c r="A5383" s="119"/>
      <c r="B5383" s="138" t="str">
        <f t="shared" si="362"/>
        <v>Windrow</v>
      </c>
      <c r="C5383" s="138" t="str">
        <f t="shared" si="367"/>
        <v>Without Amendment</v>
      </c>
      <c r="D5383" s="138" t="str">
        <f t="shared" si="364"/>
        <v>High_Base</v>
      </c>
      <c r="E5383" s="138" t="str">
        <f t="shared" si="365"/>
        <v>Base</v>
      </c>
      <c r="F5383" s="138" t="str">
        <f t="shared" si="363"/>
        <v>Upgraded</v>
      </c>
      <c r="G5383" s="153"/>
      <c r="H5383" s="210">
        <v>1.6115999999999999</v>
      </c>
      <c r="I5383" s="160" t="s">
        <v>54</v>
      </c>
      <c r="J5383" s="160">
        <v>6.8000000000000005E-4</v>
      </c>
      <c r="K5383" s="160" t="s">
        <v>145</v>
      </c>
      <c r="L5383" s="154" t="str">
        <f>IF(OpenLCAbasic!K5383="CTUh", "Fill in Manually",IF(OR(K5383="Unit", K5383=""), "", INDEX(LookUps!$E$5:$E$12, MATCH(OpenLCAbasic!K5383,LookUps!$D$5:$D$12,0))))</f>
        <v>Particulate Matter Formation Potential (PMFP) - kg PM2.5 eq</v>
      </c>
      <c r="M5383" s="154" t="str">
        <f t="shared" si="366"/>
        <v>Base_High_Base_Upgraded_Particulate Matter Formation Potential (PMFP) - kg PM2.5 eq_Clear Cove Primary Clarification; wastewater treatment unit; at updated plant - US_Without Amendment_Windrow</v>
      </c>
    </row>
    <row r="5384" spans="1:13" s="120" customFormat="1" x14ac:dyDescent="0.25">
      <c r="A5384" s="119"/>
      <c r="B5384" s="138" t="str">
        <f t="shared" si="362"/>
        <v>Windrow</v>
      </c>
      <c r="C5384" s="138" t="str">
        <f t="shared" si="367"/>
        <v>Without Amendment</v>
      </c>
      <c r="D5384" s="138" t="str">
        <f t="shared" si="364"/>
        <v>High_Base</v>
      </c>
      <c r="E5384" s="138" t="str">
        <f t="shared" si="365"/>
        <v>Base</v>
      </c>
      <c r="F5384" s="138" t="str">
        <f t="shared" si="363"/>
        <v>Upgraded</v>
      </c>
      <c r="G5384" s="153"/>
      <c r="H5384" s="210">
        <v>1.4028</v>
      </c>
      <c r="I5384" s="160" t="s">
        <v>58</v>
      </c>
      <c r="J5384" s="160">
        <v>5.9000000000000003E-4</v>
      </c>
      <c r="K5384" s="160" t="s">
        <v>145</v>
      </c>
      <c r="L5384" s="154" t="str">
        <f>IF(OpenLCAbasic!K5384="CTUh", "Fill in Manually",IF(OR(K5384="Unit", K5384=""), "", INDEX(LookUps!$E$5:$E$12, MATCH(OpenLCAbasic!K5384,LookUps!$D$5:$D$12,0))))</f>
        <v>Particulate Matter Formation Potential (PMFP) - kg PM2.5 eq</v>
      </c>
      <c r="M5384" s="154" t="str">
        <f t="shared" si="366"/>
        <v>Base_High_Base_Upgraded_Particulate Matter Formation Potential (PMFP) - kg PM2.5 eq_Pre-Anoxic &amp; Swing tank; wastewater treatment unit; at updated plant - US_Without Amendment_Windrow</v>
      </c>
    </row>
    <row r="5385" spans="1:13" s="120" customFormat="1" x14ac:dyDescent="0.25">
      <c r="A5385" s="119"/>
      <c r="B5385" s="138" t="str">
        <f t="shared" si="362"/>
        <v>Windrow</v>
      </c>
      <c r="C5385" s="138" t="str">
        <f t="shared" si="367"/>
        <v>Without Amendment</v>
      </c>
      <c r="D5385" s="138" t="str">
        <f t="shared" si="364"/>
        <v>High_Base</v>
      </c>
      <c r="E5385" s="138" t="str">
        <f t="shared" si="365"/>
        <v>Base</v>
      </c>
      <c r="F5385" s="138" t="str">
        <f t="shared" si="363"/>
        <v>Upgraded</v>
      </c>
      <c r="G5385" s="153"/>
      <c r="H5385" s="210">
        <v>1.1073</v>
      </c>
      <c r="I5385" s="160" t="s">
        <v>53</v>
      </c>
      <c r="J5385" s="160">
        <v>4.6999999999999999E-4</v>
      </c>
      <c r="K5385" s="160" t="s">
        <v>145</v>
      </c>
      <c r="L5385" s="154" t="str">
        <f>IF(OpenLCAbasic!K5385="CTUh", "Fill in Manually",IF(OR(K5385="Unit", K5385=""), "", INDEX(LookUps!$E$5:$E$12, MATCH(OpenLCAbasic!K5385,LookUps!$D$5:$D$12,0))))</f>
        <v>Particulate Matter Formation Potential (PMFP) - kg PM2.5 eq</v>
      </c>
      <c r="M5385" s="154" t="str">
        <f t="shared" si="366"/>
        <v>Base_High_Base_Upgraded_Particulate Matter Formation Potential (PMFP) - kg PM2.5 eq_Wet Well and Sump Station; wastewater treatment unit; at updated plant - US_Without Amendment_Windrow</v>
      </c>
    </row>
    <row r="5386" spans="1:13" s="120" customFormat="1" x14ac:dyDescent="0.25">
      <c r="A5386" s="119"/>
      <c r="B5386" s="138" t="str">
        <f t="shared" si="362"/>
        <v>Windrow</v>
      </c>
      <c r="C5386" s="138" t="str">
        <f t="shared" si="367"/>
        <v>Without Amendment</v>
      </c>
      <c r="D5386" s="138" t="str">
        <f t="shared" si="364"/>
        <v>High_Base</v>
      </c>
      <c r="E5386" s="138" t="str">
        <f t="shared" si="365"/>
        <v>Base</v>
      </c>
      <c r="F5386" s="138" t="str">
        <f t="shared" si="363"/>
        <v>Upgraded</v>
      </c>
      <c r="G5386" s="153"/>
      <c r="H5386" s="210">
        <v>0.78720000000000001</v>
      </c>
      <c r="I5386" s="160" t="s">
        <v>167</v>
      </c>
      <c r="J5386" s="160">
        <v>3.3E-4</v>
      </c>
      <c r="K5386" s="160" t="s">
        <v>145</v>
      </c>
      <c r="L5386" s="154" t="str">
        <f>IF(OpenLCAbasic!K5386="CTUh", "Fill in Manually",IF(OR(K5386="Unit", K5386=""), "", INDEX(LookUps!$E$5:$E$12, MATCH(OpenLCAbasic!K5386,LookUps!$D$5:$D$12,0))))</f>
        <v>Particulate Matter Formation Potential (PMFP) - kg PM2.5 eq</v>
      </c>
      <c r="M5386" s="154" t="str">
        <f t="shared" si="366"/>
        <v>Base_High_Base_Upgraded_Particulate Matter Formation Potential (PMFP) - kg PM2.5 eq_Waste Receiving and Holding; wastewater treatment unit; at updated plant - US_Without Amendment_Windrow</v>
      </c>
    </row>
    <row r="5387" spans="1:13" s="120" customFormat="1" x14ac:dyDescent="0.25">
      <c r="A5387" s="119"/>
      <c r="B5387" s="138" t="str">
        <f t="shared" si="362"/>
        <v>Windrow</v>
      </c>
      <c r="C5387" s="138" t="str">
        <f t="shared" si="367"/>
        <v>Without Amendment</v>
      </c>
      <c r="D5387" s="138" t="str">
        <f t="shared" si="364"/>
        <v>High_Base</v>
      </c>
      <c r="E5387" s="138" t="str">
        <f t="shared" si="365"/>
        <v>Base</v>
      </c>
      <c r="F5387" s="138" t="str">
        <f t="shared" si="363"/>
        <v>Upgraded</v>
      </c>
      <c r="G5387" s="153"/>
      <c r="H5387" s="210">
        <v>0.63290000000000002</v>
      </c>
      <c r="I5387" s="160" t="s">
        <v>147</v>
      </c>
      <c r="J5387" s="160">
        <v>2.7E-4</v>
      </c>
      <c r="K5387" s="160" t="s">
        <v>145</v>
      </c>
      <c r="L5387" s="154" t="str">
        <f>IF(OpenLCAbasic!K5387="CTUh", "Fill in Manually",IF(OR(K5387="Unit", K5387=""), "", INDEX(LookUps!$E$5:$E$12, MATCH(OpenLCAbasic!K5387,LookUps!$D$5:$D$12,0))))</f>
        <v>Particulate Matter Formation Potential (PMFP) - kg PM2.5 eq</v>
      </c>
      <c r="M5387" s="154" t="str">
        <f t="shared" si="366"/>
        <v>Base_High_Base_Upgraded_Particulate Matter Formation Potential (PMFP) - kg PM2.5 eq_Influent Pump Station; wastewater treatment unit; at updated plant - US_Without Amendment_Windrow</v>
      </c>
    </row>
    <row r="5388" spans="1:13" s="120" customFormat="1" x14ac:dyDescent="0.25">
      <c r="A5388" s="119"/>
      <c r="B5388" s="138" t="str">
        <f t="shared" si="362"/>
        <v>Windrow</v>
      </c>
      <c r="C5388" s="138" t="str">
        <f t="shared" si="367"/>
        <v>Without Amendment</v>
      </c>
      <c r="D5388" s="138" t="str">
        <f t="shared" si="364"/>
        <v>High_Base</v>
      </c>
      <c r="E5388" s="138" t="str">
        <f t="shared" si="365"/>
        <v>Base</v>
      </c>
      <c r="F5388" s="138" t="str">
        <f t="shared" si="363"/>
        <v>Upgraded</v>
      </c>
      <c r="G5388" s="153"/>
      <c r="H5388" s="210">
        <v>0.59970000000000001</v>
      </c>
      <c r="I5388" s="160" t="s">
        <v>271</v>
      </c>
      <c r="J5388" s="160">
        <v>2.5000000000000001E-4</v>
      </c>
      <c r="K5388" s="160" t="s">
        <v>145</v>
      </c>
      <c r="L5388" s="154" t="str">
        <f>IF(OpenLCAbasic!K5388="CTUh", "Fill in Manually",IF(OR(K5388="Unit", K5388=""), "", INDEX(LookUps!$E$5:$E$12, MATCH(OpenLCAbasic!K5388,LookUps!$D$5:$D$12,0))))</f>
        <v>Particulate Matter Formation Potential (PMFP) - kg PM2.5 eq</v>
      </c>
      <c r="M5388" s="154" t="str">
        <f t="shared" si="366"/>
        <v>Base_High_Base_Upgraded_Particulate Matter Formation Potential (PMFP) - kg PM2.5 eq_Biosolids composting; windrow composting; wastewater treatment unit; at updated plant - US_Without Amendment_Windrow</v>
      </c>
    </row>
    <row r="5389" spans="1:13" s="120" customFormat="1" x14ac:dyDescent="0.25">
      <c r="A5389" s="119"/>
      <c r="B5389" s="138" t="str">
        <f t="shared" si="362"/>
        <v>Windrow</v>
      </c>
      <c r="C5389" s="138" t="str">
        <f t="shared" si="367"/>
        <v>Without Amendment</v>
      </c>
      <c r="D5389" s="138" t="str">
        <f t="shared" si="364"/>
        <v>High_Base</v>
      </c>
      <c r="E5389" s="138" t="str">
        <f t="shared" si="365"/>
        <v>Base</v>
      </c>
      <c r="F5389" s="138" t="str">
        <f t="shared" si="363"/>
        <v>Upgraded</v>
      </c>
      <c r="G5389" s="153"/>
      <c r="H5389" s="210">
        <v>0.46779999999999999</v>
      </c>
      <c r="I5389" s="160" t="s">
        <v>60</v>
      </c>
      <c r="J5389" s="160">
        <v>2.0000000000000001E-4</v>
      </c>
      <c r="K5389" s="160" t="s">
        <v>145</v>
      </c>
      <c r="L5389" s="154" t="str">
        <f>IF(OpenLCAbasic!K5389="CTUh", "Fill in Manually",IF(OR(K5389="Unit", K5389=""), "", INDEX(LookUps!$E$5:$E$12, MATCH(OpenLCAbasic!K5389,LookUps!$D$5:$D$12,0))))</f>
        <v>Particulate Matter Formation Potential (PMFP) - kg PM2.5 eq</v>
      </c>
      <c r="M5389" s="154" t="str">
        <f t="shared" si="366"/>
        <v>Base_High_Base_Upgraded_Particulate Matter Formation Potential (PMFP) - kg PM2.5 eq_Belt filter press; wastewater treatment unit; at updated plant - US_Without Amendment_Windrow</v>
      </c>
    </row>
    <row r="5390" spans="1:13" s="120" customFormat="1" x14ac:dyDescent="0.25">
      <c r="A5390" s="119"/>
      <c r="B5390" s="138" t="str">
        <f t="shared" si="362"/>
        <v>Windrow</v>
      </c>
      <c r="C5390" s="138" t="str">
        <f t="shared" si="367"/>
        <v>Without Amendment</v>
      </c>
      <c r="D5390" s="138" t="str">
        <f t="shared" si="364"/>
        <v>High_Base</v>
      </c>
      <c r="E5390" s="138" t="str">
        <f t="shared" si="365"/>
        <v>Base</v>
      </c>
      <c r="F5390" s="138" t="str">
        <f t="shared" si="363"/>
        <v>Upgraded</v>
      </c>
      <c r="G5390" s="153"/>
      <c r="H5390" s="210">
        <v>0.39500000000000002</v>
      </c>
      <c r="I5390" s="160" t="s">
        <v>128</v>
      </c>
      <c r="J5390" s="160">
        <v>1.7000000000000001E-4</v>
      </c>
      <c r="K5390" s="160" t="s">
        <v>145</v>
      </c>
      <c r="L5390" s="154" t="str">
        <f>IF(OpenLCAbasic!K5390="CTUh", "Fill in Manually",IF(OR(K5390="Unit", K5390=""), "", INDEX(LookUps!$E$5:$E$12, MATCH(OpenLCAbasic!K5390,LookUps!$D$5:$D$12,0))))</f>
        <v>Particulate Matter Formation Potential (PMFP) - kg PM2.5 eq</v>
      </c>
      <c r="M5390" s="154" t="str">
        <f t="shared" si="366"/>
        <v>Base_High_Base_Upgraded_Particulate Matter Formation Potential (PMFP) - kg PM2.5 eq_Wastewater collection; operation and infrastructure; m3 wastewater_Without Amendment_Windrow</v>
      </c>
    </row>
    <row r="5391" spans="1:13" s="120" customFormat="1" x14ac:dyDescent="0.25">
      <c r="A5391" s="119"/>
      <c r="B5391" s="138" t="str">
        <f t="shared" si="362"/>
        <v>Windrow</v>
      </c>
      <c r="C5391" s="138" t="str">
        <f t="shared" si="367"/>
        <v>Without Amendment</v>
      </c>
      <c r="D5391" s="138" t="str">
        <f t="shared" si="364"/>
        <v>High_Base</v>
      </c>
      <c r="E5391" s="138" t="str">
        <f t="shared" si="365"/>
        <v>Base</v>
      </c>
      <c r="F5391" s="138" t="str">
        <f t="shared" si="363"/>
        <v>Upgraded</v>
      </c>
      <c r="G5391" s="153"/>
      <c r="H5391" s="210">
        <v>0.2258</v>
      </c>
      <c r="I5391" s="160" t="s">
        <v>57</v>
      </c>
      <c r="J5391" s="211">
        <v>9.5153800000000004E-5</v>
      </c>
      <c r="K5391" s="160" t="s">
        <v>145</v>
      </c>
      <c r="L5391" s="154" t="str">
        <f>IF(OpenLCAbasic!K5391="CTUh", "Fill in Manually",IF(OR(K5391="Unit", K5391=""), "", INDEX(LookUps!$E$5:$E$12, MATCH(OpenLCAbasic!K5391,LookUps!$D$5:$D$12,0))))</f>
        <v>Particulate Matter Formation Potential (PMFP) - kg PM2.5 eq</v>
      </c>
      <c r="M5391" s="154" t="str">
        <f t="shared" si="366"/>
        <v>Base_High_Base_Upgraded_Particulate Matter Formation Potential (PMFP) - kg PM2.5 eq_Gravity Belt Thickener; wastewater treatment unit; at updated plant - US_Without Amendment_Windrow</v>
      </c>
    </row>
    <row r="5392" spans="1:13" s="120" customFormat="1" x14ac:dyDescent="0.25">
      <c r="A5392" s="119"/>
      <c r="B5392" s="138" t="str">
        <f t="shared" si="362"/>
        <v>Windrow</v>
      </c>
      <c r="C5392" s="138" t="str">
        <f t="shared" si="367"/>
        <v>Without Amendment</v>
      </c>
      <c r="D5392" s="138" t="str">
        <f t="shared" si="364"/>
        <v>High_Base</v>
      </c>
      <c r="E5392" s="138" t="str">
        <f t="shared" si="365"/>
        <v>Base</v>
      </c>
      <c r="F5392" s="138" t="str">
        <f t="shared" si="363"/>
        <v>Upgraded</v>
      </c>
      <c r="G5392" s="153"/>
      <c r="H5392" s="210">
        <v>0.16600000000000001</v>
      </c>
      <c r="I5392" s="160" t="s">
        <v>59</v>
      </c>
      <c r="J5392" s="211">
        <v>6.9942200000000003E-5</v>
      </c>
      <c r="K5392" s="160" t="s">
        <v>145</v>
      </c>
      <c r="L5392" s="154" t="str">
        <f>IF(OpenLCAbasic!K5392="CTUh", "Fill in Manually",IF(OR(K5392="Unit", K5392=""), "", INDEX(LookUps!$E$5:$E$12, MATCH(OpenLCAbasic!K5392,LookUps!$D$5:$D$12,0))))</f>
        <v>Particulate Matter Formation Potential (PMFP) - kg PM2.5 eq</v>
      </c>
      <c r="M5392" s="154" t="str">
        <f t="shared" si="366"/>
        <v>Base_High_Base_Upgraded_Particulate Matter Formation Potential (PMFP) - kg PM2.5 eq_Blend Tank; wastewater treatment unit; at updated plant - US_Without Amendment_Windrow</v>
      </c>
    </row>
    <row r="5393" spans="1:13" s="120" customFormat="1" x14ac:dyDescent="0.25">
      <c r="A5393" s="119"/>
      <c r="B5393" s="138" t="str">
        <f t="shared" si="362"/>
        <v>Windrow</v>
      </c>
      <c r="C5393" s="138" t="str">
        <f t="shared" si="367"/>
        <v>Without Amendment</v>
      </c>
      <c r="D5393" s="138" t="str">
        <f t="shared" si="364"/>
        <v>High_Base</v>
      </c>
      <c r="E5393" s="138" t="str">
        <f t="shared" si="365"/>
        <v>Base</v>
      </c>
      <c r="F5393" s="138" t="str">
        <f t="shared" si="363"/>
        <v>Upgraded</v>
      </c>
      <c r="G5393" s="153"/>
      <c r="H5393" s="210">
        <v>0.13150000000000001</v>
      </c>
      <c r="I5393" s="160" t="s">
        <v>62</v>
      </c>
      <c r="J5393" s="211">
        <v>5.5410700000000001E-5</v>
      </c>
      <c r="K5393" s="160" t="s">
        <v>145</v>
      </c>
      <c r="L5393" s="154" t="str">
        <f>IF(OpenLCAbasic!K5393="CTUh", "Fill in Manually",IF(OR(K5393="Unit", K5393=""), "", INDEX(LookUps!$E$5:$E$12, MATCH(OpenLCAbasic!K5393,LookUps!$D$5:$D$12,0))))</f>
        <v>Particulate Matter Formation Potential (PMFP) - kg PM2.5 eq</v>
      </c>
      <c r="M5393" s="154" t="str">
        <f t="shared" si="366"/>
        <v>Base_High_Base_Upgraded_Particulate Matter Formation Potential (PMFP) - kg PM2.5 eq_Land application of compost; wastewater treatment unit; at updated plant - US_Without Amendment_Windrow</v>
      </c>
    </row>
    <row r="5394" spans="1:13" s="120" customFormat="1" x14ac:dyDescent="0.25">
      <c r="A5394" s="119"/>
      <c r="B5394" s="138" t="str">
        <f t="shared" si="362"/>
        <v>Windrow</v>
      </c>
      <c r="C5394" s="138" t="str">
        <f t="shared" si="367"/>
        <v>Without Amendment</v>
      </c>
      <c r="D5394" s="138" t="str">
        <f t="shared" si="364"/>
        <v>High_Base</v>
      </c>
      <c r="E5394" s="138" t="str">
        <f t="shared" si="365"/>
        <v>Base</v>
      </c>
      <c r="F5394" s="138" t="str">
        <f t="shared" si="363"/>
        <v>Upgraded</v>
      </c>
      <c r="G5394" s="153"/>
      <c r="H5394" s="210">
        <v>0.1186</v>
      </c>
      <c r="I5394" s="160" t="s">
        <v>48</v>
      </c>
      <c r="J5394" s="211">
        <v>4.99741E-5</v>
      </c>
      <c r="K5394" s="160" t="s">
        <v>145</v>
      </c>
      <c r="L5394" s="154" t="str">
        <f>IF(OpenLCAbasic!K5394="CTUh", "Fill in Manually",IF(OR(K5394="Unit", K5394=""), "", INDEX(LookUps!$E$5:$E$12, MATCH(OpenLCAbasic!K5394,LookUps!$D$5:$D$12,0))))</f>
        <v>Particulate Matter Formation Potential (PMFP) - kg PM2.5 eq</v>
      </c>
      <c r="M5394" s="154" t="str">
        <f t="shared" si="366"/>
        <v>Base_High_Base_Upgraded_Particulate Matter Formation Potential (PMFP) - kg PM2.5 eq_Effluent release; wastewater treatment unit; at surface water; m3 wastewater - US_Without Amendment_Windrow</v>
      </c>
    </row>
    <row r="5395" spans="1:13" s="120" customFormat="1" x14ac:dyDescent="0.25">
      <c r="A5395" s="119"/>
      <c r="B5395" s="138" t="str">
        <f t="shared" si="362"/>
        <v>Windrow</v>
      </c>
      <c r="C5395" s="138" t="str">
        <f t="shared" si="367"/>
        <v>Without Amendment</v>
      </c>
      <c r="D5395" s="138" t="str">
        <f t="shared" si="364"/>
        <v>High_Base</v>
      </c>
      <c r="E5395" s="138" t="str">
        <f t="shared" si="365"/>
        <v>Base</v>
      </c>
      <c r="F5395" s="138" t="str">
        <f t="shared" si="363"/>
        <v>Upgraded</v>
      </c>
      <c r="G5395" s="153"/>
      <c r="H5395" s="210">
        <v>8.2000000000000003E-2</v>
      </c>
      <c r="I5395" s="160" t="s">
        <v>168</v>
      </c>
      <c r="J5395" s="211">
        <v>3.4562199999999999E-5</v>
      </c>
      <c r="K5395" s="160" t="s">
        <v>145</v>
      </c>
      <c r="L5395" s="154" t="str">
        <f>IF(OpenLCAbasic!K5395="CTUh", "Fill in Manually",IF(OR(K5395="Unit", K5395=""), "", INDEX(LookUps!$E$5:$E$12, MATCH(OpenLCAbasic!K5395,LookUps!$D$5:$D$12,0))))</f>
        <v>Particulate Matter Formation Potential (PMFP) - kg PM2.5 eq</v>
      </c>
      <c r="M5395" s="154" t="str">
        <f t="shared" si="366"/>
        <v>Base_High_Base_Upgraded_Particulate Matter Formation Potential (PMFP) - kg PM2.5 eq_ClearCove SCP; wastewater treatment unit; at updated plant - US_Without Amendment_Windrow</v>
      </c>
    </row>
    <row r="5396" spans="1:13" s="120" customFormat="1" x14ac:dyDescent="0.25">
      <c r="A5396" s="119"/>
      <c r="B5396" s="138" t="str">
        <f t="shared" si="362"/>
        <v>Windrow</v>
      </c>
      <c r="C5396" s="138" t="str">
        <f t="shared" si="367"/>
        <v>Without Amendment</v>
      </c>
      <c r="D5396" s="138" t="str">
        <f t="shared" si="364"/>
        <v>High_Base</v>
      </c>
      <c r="E5396" s="138" t="str">
        <f t="shared" si="365"/>
        <v>Base</v>
      </c>
      <c r="F5396" s="138" t="str">
        <f t="shared" si="363"/>
        <v>Upgraded</v>
      </c>
      <c r="G5396" s="153"/>
      <c r="H5396" s="210">
        <v>2.0899999999999998E-2</v>
      </c>
      <c r="I5396" s="160" t="s">
        <v>148</v>
      </c>
      <c r="J5396" s="211">
        <v>8.8212999999999997E-6</v>
      </c>
      <c r="K5396" s="160" t="s">
        <v>145</v>
      </c>
      <c r="L5396" s="154" t="str">
        <f>IF(OpenLCAbasic!K5396="CTUh", "Fill in Manually",IF(OR(K5396="Unit", K5396=""), "", INDEX(LookUps!$E$5:$E$12, MATCH(OpenLCAbasic!K5396,LookUps!$D$5:$D$12,0))))</f>
        <v>Particulate Matter Formation Potential (PMFP) - kg PM2.5 eq</v>
      </c>
      <c r="M5396" s="154" t="str">
        <f t="shared" si="366"/>
        <v>Base_High_Base_Upgraded_Particulate Matter Formation Potential (PMFP) - kg PM2.5 eq_Control Building; at upgraded wastewater treatment plant - US_Without Amendment_Windrow</v>
      </c>
    </row>
    <row r="5397" spans="1:13" s="120" customFormat="1" x14ac:dyDescent="0.25">
      <c r="A5397" s="119"/>
      <c r="B5397" s="138" t="str">
        <f t="shared" si="362"/>
        <v>Windrow</v>
      </c>
      <c r="C5397" s="138" t="str">
        <f t="shared" si="367"/>
        <v>Without Amendment</v>
      </c>
      <c r="D5397" s="138" t="str">
        <f t="shared" si="364"/>
        <v>High_Base</v>
      </c>
      <c r="E5397" s="138" t="str">
        <f t="shared" si="365"/>
        <v>Base</v>
      </c>
      <c r="F5397" s="138" t="str">
        <f t="shared" si="363"/>
        <v>Upgraded</v>
      </c>
      <c r="G5397" s="153"/>
      <c r="H5397" s="210">
        <v>-14.287599999999999</v>
      </c>
      <c r="I5397" s="160" t="s">
        <v>149</v>
      </c>
      <c r="J5397" s="160">
        <v>-6.0200000000000002E-3</v>
      </c>
      <c r="K5397" s="160" t="s">
        <v>145</v>
      </c>
      <c r="L5397" s="154" t="str">
        <f>IF(OpenLCAbasic!K5397="CTUh", "Fill in Manually",IF(OR(K5397="Unit", K5397=""), "", INDEX(LookUps!$E$5:$E$12, MATCH(OpenLCAbasic!K5397,LookUps!$D$5:$D$12,0))))</f>
        <v>Particulate Matter Formation Potential (PMFP) - kg PM2.5 eq</v>
      </c>
      <c r="M5397" s="154" t="str">
        <f t="shared" si="366"/>
        <v>Base_High_Base_Upgraded_Particulate Matter Formation Potential (PMFP) - kg PM2.5 eq_Anaerobic Digestion; wastewater treatment unit; at updated plant - US_Without Amendment_Windrow</v>
      </c>
    </row>
    <row r="5398" spans="1:13" s="120" customFormat="1" x14ac:dyDescent="0.25">
      <c r="A5398" s="119"/>
      <c r="B5398" s="138" t="str">
        <f t="shared" si="362"/>
        <v/>
      </c>
      <c r="C5398" s="138" t="str">
        <f t="shared" si="367"/>
        <v/>
      </c>
      <c r="D5398" s="138" t="str">
        <f t="shared" si="364"/>
        <v/>
      </c>
      <c r="E5398" s="138" t="str">
        <f t="shared" si="365"/>
        <v/>
      </c>
      <c r="F5398" s="138" t="str">
        <f t="shared" si="363"/>
        <v/>
      </c>
      <c r="G5398" s="153" t="s">
        <v>51</v>
      </c>
      <c r="H5398" s="160"/>
      <c r="I5398" s="160" t="s">
        <v>47</v>
      </c>
      <c r="J5398" s="160" t="s">
        <v>52</v>
      </c>
      <c r="K5398" s="160" t="s">
        <v>27</v>
      </c>
      <c r="L5398" s="154" t="str">
        <f>IF(OpenLCAbasic!K5398="CTUh", "Fill in Manually",IF(OR(K5398="Unit", K5398=""), "", INDEX(LookUps!$E$5:$E$12, MATCH(OpenLCAbasic!K5398,LookUps!$D$5:$D$12,0))))</f>
        <v/>
      </c>
      <c r="M5398" s="154" t="str">
        <f t="shared" si="366"/>
        <v>____Process__</v>
      </c>
    </row>
    <row r="5399" spans="1:13" s="120" customFormat="1" x14ac:dyDescent="0.25">
      <c r="A5399" s="119"/>
      <c r="B5399" s="138" t="str">
        <f t="shared" si="362"/>
        <v>Windrow</v>
      </c>
      <c r="C5399" s="138" t="str">
        <f t="shared" si="367"/>
        <v>Without Amendment</v>
      </c>
      <c r="D5399" s="138" t="str">
        <f t="shared" si="364"/>
        <v>High_Base</v>
      </c>
      <c r="E5399" s="138" t="str">
        <f t="shared" si="365"/>
        <v>Base</v>
      </c>
      <c r="F5399" s="138" t="str">
        <f t="shared" si="363"/>
        <v>Upgraded</v>
      </c>
      <c r="G5399" s="153"/>
      <c r="H5399" s="210">
        <v>3.5918999999999999</v>
      </c>
      <c r="I5399" s="160" t="s">
        <v>55</v>
      </c>
      <c r="J5399" s="160">
        <v>0.16577</v>
      </c>
      <c r="K5399" s="160" t="s">
        <v>25</v>
      </c>
      <c r="L5399" s="154" t="str">
        <f>IF(OpenLCAbasic!K5399="CTUh", "Fill in Manually",IF(OR(K5399="Unit", K5399=""), "", INDEX(LookUps!$E$5:$E$12, MATCH(OpenLCAbasic!K5399,LookUps!$D$5:$D$12,0))))</f>
        <v>Smog Formation Potential (SFP) - kg O3 eq</v>
      </c>
      <c r="M5399" s="154" t="str">
        <f t="shared" si="366"/>
        <v>Base_High_Base_Upgraded_Smog Formation Potential (SFP) - kg O3 eq_Aeration Tanks; wastewater treatment unit; at updated plant - US_Without Amendment_Windrow</v>
      </c>
    </row>
    <row r="5400" spans="1:13" s="120" customFormat="1" x14ac:dyDescent="0.25">
      <c r="A5400" s="119"/>
      <c r="B5400" s="138" t="str">
        <f t="shared" si="362"/>
        <v>Windrow</v>
      </c>
      <c r="C5400" s="138" t="str">
        <f t="shared" si="367"/>
        <v>Without Amendment</v>
      </c>
      <c r="D5400" s="138" t="str">
        <f t="shared" si="364"/>
        <v>High_Base</v>
      </c>
      <c r="E5400" s="138" t="str">
        <f t="shared" si="365"/>
        <v>Base</v>
      </c>
      <c r="F5400" s="138" t="str">
        <f t="shared" si="363"/>
        <v>Upgraded</v>
      </c>
      <c r="G5400" s="153"/>
      <c r="H5400" s="210">
        <v>1.0416000000000001</v>
      </c>
      <c r="I5400" s="160" t="s">
        <v>54</v>
      </c>
      <c r="J5400" s="160">
        <v>4.8070000000000002E-2</v>
      </c>
      <c r="K5400" s="160" t="s">
        <v>25</v>
      </c>
      <c r="L5400" s="154" t="str">
        <f>IF(OpenLCAbasic!K5400="CTUh", "Fill in Manually",IF(OR(K5400="Unit", K5400=""), "", INDEX(LookUps!$E$5:$E$12, MATCH(OpenLCAbasic!K5400,LookUps!$D$5:$D$12,0))))</f>
        <v>Smog Formation Potential (SFP) - kg O3 eq</v>
      </c>
      <c r="M5400" s="154" t="str">
        <f t="shared" si="366"/>
        <v>Base_High_Base_Upgraded_Smog Formation Potential (SFP) - kg O3 eq_Clear Cove Primary Clarification; wastewater treatment unit; at updated plant - US_Without Amendment_Windrow</v>
      </c>
    </row>
    <row r="5401" spans="1:13" s="120" customFormat="1" x14ac:dyDescent="0.25">
      <c r="A5401" s="119"/>
      <c r="B5401" s="138" t="str">
        <f t="shared" si="362"/>
        <v>Windrow</v>
      </c>
      <c r="C5401" s="138" t="str">
        <f t="shared" si="367"/>
        <v>Without Amendment</v>
      </c>
      <c r="D5401" s="138" t="str">
        <f t="shared" si="364"/>
        <v>High_Base</v>
      </c>
      <c r="E5401" s="138" t="str">
        <f t="shared" si="365"/>
        <v>Base</v>
      </c>
      <c r="F5401" s="138" t="str">
        <f t="shared" si="363"/>
        <v>Upgraded</v>
      </c>
      <c r="G5401" s="153"/>
      <c r="H5401" s="210">
        <v>0.91200000000000003</v>
      </c>
      <c r="I5401" s="160" t="s">
        <v>58</v>
      </c>
      <c r="J5401" s="160">
        <v>4.2090000000000002E-2</v>
      </c>
      <c r="K5401" s="160" t="s">
        <v>25</v>
      </c>
      <c r="L5401" s="154" t="str">
        <f>IF(OpenLCAbasic!K5401="CTUh", "Fill in Manually",IF(OR(K5401="Unit", K5401=""), "", INDEX(LookUps!$E$5:$E$12, MATCH(OpenLCAbasic!K5401,LookUps!$D$5:$D$12,0))))</f>
        <v>Smog Formation Potential (SFP) - kg O3 eq</v>
      </c>
      <c r="M5401" s="154" t="str">
        <f t="shared" si="366"/>
        <v>Base_High_Base_Upgraded_Smog Formation Potential (SFP) - kg O3 eq_Pre-Anoxic &amp; Swing tank; wastewater treatment unit; at updated plant - US_Without Amendment_Windrow</v>
      </c>
    </row>
    <row r="5402" spans="1:13" s="120" customFormat="1" x14ac:dyDescent="0.25">
      <c r="A5402" s="119"/>
      <c r="B5402" s="138" t="str">
        <f t="shared" si="362"/>
        <v>Windrow</v>
      </c>
      <c r="C5402" s="138" t="str">
        <f t="shared" si="367"/>
        <v>Without Amendment</v>
      </c>
      <c r="D5402" s="138" t="str">
        <f t="shared" si="364"/>
        <v>High_Base</v>
      </c>
      <c r="E5402" s="138" t="str">
        <f t="shared" si="365"/>
        <v>Base</v>
      </c>
      <c r="F5402" s="138" t="str">
        <f t="shared" si="363"/>
        <v>Upgraded</v>
      </c>
      <c r="G5402" s="153"/>
      <c r="H5402" s="210">
        <v>0.73140000000000005</v>
      </c>
      <c r="I5402" s="160" t="s">
        <v>167</v>
      </c>
      <c r="J5402" s="160">
        <v>3.3759999999999998E-2</v>
      </c>
      <c r="K5402" s="160" t="s">
        <v>25</v>
      </c>
      <c r="L5402" s="154" t="str">
        <f>IF(OpenLCAbasic!K5402="CTUh", "Fill in Manually",IF(OR(K5402="Unit", K5402=""), "", INDEX(LookUps!$E$5:$E$12, MATCH(OpenLCAbasic!K5402,LookUps!$D$5:$D$12,0))))</f>
        <v>Smog Formation Potential (SFP) - kg O3 eq</v>
      </c>
      <c r="M5402" s="154" t="str">
        <f t="shared" si="366"/>
        <v>Base_High_Base_Upgraded_Smog Formation Potential (SFP) - kg O3 eq_Waste Receiving and Holding; wastewater treatment unit; at updated plant - US_Without Amendment_Windrow</v>
      </c>
    </row>
    <row r="5403" spans="1:13" s="120" customFormat="1" x14ac:dyDescent="0.25">
      <c r="A5403" s="119"/>
      <c r="B5403" s="138" t="str">
        <f t="shared" si="362"/>
        <v>Windrow</v>
      </c>
      <c r="C5403" s="138" t="str">
        <f t="shared" si="367"/>
        <v>Without Amendment</v>
      </c>
      <c r="D5403" s="138" t="str">
        <f t="shared" si="364"/>
        <v>High_Base</v>
      </c>
      <c r="E5403" s="138" t="str">
        <f t="shared" si="365"/>
        <v>Base</v>
      </c>
      <c r="F5403" s="138" t="str">
        <f t="shared" si="363"/>
        <v>Upgraded</v>
      </c>
      <c r="G5403" s="153"/>
      <c r="H5403" s="210">
        <v>0.7177</v>
      </c>
      <c r="I5403" s="160" t="s">
        <v>53</v>
      </c>
      <c r="J5403" s="160">
        <v>3.313E-2</v>
      </c>
      <c r="K5403" s="160" t="s">
        <v>25</v>
      </c>
      <c r="L5403" s="154" t="str">
        <f>IF(OpenLCAbasic!K5403="CTUh", "Fill in Manually",IF(OR(K5403="Unit", K5403=""), "", INDEX(LookUps!$E$5:$E$12, MATCH(OpenLCAbasic!K5403,LookUps!$D$5:$D$12,0))))</f>
        <v>Smog Formation Potential (SFP) - kg O3 eq</v>
      </c>
      <c r="M5403" s="154" t="str">
        <f t="shared" si="366"/>
        <v>Base_High_Base_Upgraded_Smog Formation Potential (SFP) - kg O3 eq_Wet Well and Sump Station; wastewater treatment unit; at updated plant - US_Without Amendment_Windrow</v>
      </c>
    </row>
    <row r="5404" spans="1:13" s="120" customFormat="1" x14ac:dyDescent="0.25">
      <c r="A5404" s="119"/>
      <c r="B5404" s="138" t="str">
        <f t="shared" si="362"/>
        <v>Windrow</v>
      </c>
      <c r="C5404" s="138" t="str">
        <f t="shared" si="367"/>
        <v>Without Amendment</v>
      </c>
      <c r="D5404" s="138" t="str">
        <f t="shared" si="364"/>
        <v>High_Base</v>
      </c>
      <c r="E5404" s="138" t="str">
        <f t="shared" si="365"/>
        <v>Base</v>
      </c>
      <c r="F5404" s="138" t="str">
        <f t="shared" si="363"/>
        <v>Upgraded</v>
      </c>
      <c r="G5404" s="153"/>
      <c r="H5404" s="210">
        <v>0.42030000000000001</v>
      </c>
      <c r="I5404" s="160" t="s">
        <v>147</v>
      </c>
      <c r="J5404" s="160">
        <v>1.9400000000000001E-2</v>
      </c>
      <c r="K5404" s="160" t="s">
        <v>25</v>
      </c>
      <c r="L5404" s="154" t="str">
        <f>IF(OpenLCAbasic!K5404="CTUh", "Fill in Manually",IF(OR(K5404="Unit", K5404=""), "", INDEX(LookUps!$E$5:$E$12, MATCH(OpenLCAbasic!K5404,LookUps!$D$5:$D$12,0))))</f>
        <v>Smog Formation Potential (SFP) - kg O3 eq</v>
      </c>
      <c r="M5404" s="154" t="str">
        <f t="shared" si="366"/>
        <v>Base_High_Base_Upgraded_Smog Formation Potential (SFP) - kg O3 eq_Influent Pump Station; wastewater treatment unit; at updated plant - US_Without Amendment_Windrow</v>
      </c>
    </row>
    <row r="5405" spans="1:13" s="120" customFormat="1" x14ac:dyDescent="0.25">
      <c r="A5405" s="119"/>
      <c r="B5405" s="138" t="str">
        <f t="shared" si="362"/>
        <v>Windrow</v>
      </c>
      <c r="C5405" s="138" t="str">
        <f t="shared" si="367"/>
        <v>Without Amendment</v>
      </c>
      <c r="D5405" s="138" t="str">
        <f t="shared" si="364"/>
        <v>High_Base</v>
      </c>
      <c r="E5405" s="138" t="str">
        <f t="shared" si="365"/>
        <v>Base</v>
      </c>
      <c r="F5405" s="138" t="str">
        <f t="shared" si="363"/>
        <v>Upgraded</v>
      </c>
      <c r="G5405" s="153"/>
      <c r="H5405" s="210">
        <v>0.3004</v>
      </c>
      <c r="I5405" s="160" t="s">
        <v>60</v>
      </c>
      <c r="J5405" s="160">
        <v>1.387E-2</v>
      </c>
      <c r="K5405" s="160" t="s">
        <v>25</v>
      </c>
      <c r="L5405" s="154" t="str">
        <f>IF(OpenLCAbasic!K5405="CTUh", "Fill in Manually",IF(OR(K5405="Unit", K5405=""), "", INDEX(LookUps!$E$5:$E$12, MATCH(OpenLCAbasic!K5405,LookUps!$D$5:$D$12,0))))</f>
        <v>Smog Formation Potential (SFP) - kg O3 eq</v>
      </c>
      <c r="M5405" s="154" t="str">
        <f t="shared" si="366"/>
        <v>Base_High_Base_Upgraded_Smog Formation Potential (SFP) - kg O3 eq_Belt filter press; wastewater treatment unit; at updated plant - US_Without Amendment_Windrow</v>
      </c>
    </row>
    <row r="5406" spans="1:13" s="120" customFormat="1" x14ac:dyDescent="0.25">
      <c r="A5406" s="119"/>
      <c r="B5406" s="138" t="str">
        <f t="shared" si="362"/>
        <v>Windrow</v>
      </c>
      <c r="C5406" s="138" t="str">
        <f t="shared" si="367"/>
        <v>Without Amendment</v>
      </c>
      <c r="D5406" s="138" t="str">
        <f t="shared" si="364"/>
        <v>High_Base</v>
      </c>
      <c r="E5406" s="138" t="str">
        <f t="shared" si="365"/>
        <v>Base</v>
      </c>
      <c r="F5406" s="138" t="str">
        <f t="shared" si="363"/>
        <v>Upgraded</v>
      </c>
      <c r="G5406" s="153"/>
      <c r="H5406" s="210">
        <v>0.25819999999999999</v>
      </c>
      <c r="I5406" s="160" t="s">
        <v>128</v>
      </c>
      <c r="J5406" s="160">
        <v>1.192E-2</v>
      </c>
      <c r="K5406" s="160" t="s">
        <v>25</v>
      </c>
      <c r="L5406" s="154" t="str">
        <f>IF(OpenLCAbasic!K5406="CTUh", "Fill in Manually",IF(OR(K5406="Unit", K5406=""), "", INDEX(LookUps!$E$5:$E$12, MATCH(OpenLCAbasic!K5406,LookUps!$D$5:$D$12,0))))</f>
        <v>Smog Formation Potential (SFP) - kg O3 eq</v>
      </c>
      <c r="M5406" s="154" t="str">
        <f t="shared" si="366"/>
        <v>Base_High_Base_Upgraded_Smog Formation Potential (SFP) - kg O3 eq_Wastewater collection; operation and infrastructure; m3 wastewater_Without Amendment_Windrow</v>
      </c>
    </row>
    <row r="5407" spans="1:13" s="120" customFormat="1" x14ac:dyDescent="0.25">
      <c r="A5407" s="119"/>
      <c r="B5407" s="138" t="str">
        <f t="shared" si="362"/>
        <v>Windrow</v>
      </c>
      <c r="C5407" s="138" t="str">
        <f t="shared" si="367"/>
        <v>Without Amendment</v>
      </c>
      <c r="D5407" s="138" t="str">
        <f t="shared" si="364"/>
        <v>High_Base</v>
      </c>
      <c r="E5407" s="138" t="str">
        <f t="shared" si="365"/>
        <v>Base</v>
      </c>
      <c r="F5407" s="138" t="str">
        <f t="shared" si="363"/>
        <v>Upgraded</v>
      </c>
      <c r="G5407" s="153"/>
      <c r="H5407" s="210">
        <v>0.14419999999999999</v>
      </c>
      <c r="I5407" s="160" t="s">
        <v>57</v>
      </c>
      <c r="J5407" s="160">
        <v>6.6499999999999997E-3</v>
      </c>
      <c r="K5407" s="160" t="s">
        <v>25</v>
      </c>
      <c r="L5407" s="154" t="str">
        <f>IF(OpenLCAbasic!K5407="CTUh", "Fill in Manually",IF(OR(K5407="Unit", K5407=""), "", INDEX(LookUps!$E$5:$E$12, MATCH(OpenLCAbasic!K5407,LookUps!$D$5:$D$12,0))))</f>
        <v>Smog Formation Potential (SFP) - kg O3 eq</v>
      </c>
      <c r="M5407" s="154" t="str">
        <f t="shared" si="366"/>
        <v>Base_High_Base_Upgraded_Smog Formation Potential (SFP) - kg O3 eq_Gravity Belt Thickener; wastewater treatment unit; at updated plant - US_Without Amendment_Windrow</v>
      </c>
    </row>
    <row r="5408" spans="1:13" s="120" customFormat="1" x14ac:dyDescent="0.25">
      <c r="A5408" s="119"/>
      <c r="B5408" s="138" t="str">
        <f t="shared" si="362"/>
        <v>Windrow</v>
      </c>
      <c r="C5408" s="138" t="str">
        <f t="shared" si="367"/>
        <v>Without Amendment</v>
      </c>
      <c r="D5408" s="138" t="str">
        <f t="shared" si="364"/>
        <v>High_Base</v>
      </c>
      <c r="E5408" s="138" t="str">
        <f t="shared" si="365"/>
        <v>Base</v>
      </c>
      <c r="F5408" s="138" t="str">
        <f t="shared" si="363"/>
        <v>Upgraded</v>
      </c>
      <c r="G5408" s="153"/>
      <c r="H5408" s="210">
        <v>0.10780000000000001</v>
      </c>
      <c r="I5408" s="160" t="s">
        <v>59</v>
      </c>
      <c r="J5408" s="160">
        <v>4.9699999999999996E-3</v>
      </c>
      <c r="K5408" s="160" t="s">
        <v>25</v>
      </c>
      <c r="L5408" s="154" t="str">
        <f>IF(OpenLCAbasic!K5408="CTUh", "Fill in Manually",IF(OR(K5408="Unit", K5408=""), "", INDEX(LookUps!$E$5:$E$12, MATCH(OpenLCAbasic!K5408,LookUps!$D$5:$D$12,0))))</f>
        <v>Smog Formation Potential (SFP) - kg O3 eq</v>
      </c>
      <c r="M5408" s="154" t="str">
        <f t="shared" si="366"/>
        <v>Base_High_Base_Upgraded_Smog Formation Potential (SFP) - kg O3 eq_Blend Tank; wastewater treatment unit; at updated plant - US_Without Amendment_Windrow</v>
      </c>
    </row>
    <row r="5409" spans="1:13" s="120" customFormat="1" x14ac:dyDescent="0.25">
      <c r="A5409" s="119"/>
      <c r="B5409" s="138" t="str">
        <f t="shared" si="362"/>
        <v>Windrow</v>
      </c>
      <c r="C5409" s="138" t="str">
        <f t="shared" si="367"/>
        <v>Without Amendment</v>
      </c>
      <c r="D5409" s="138" t="str">
        <f t="shared" si="364"/>
        <v>High_Base</v>
      </c>
      <c r="E5409" s="138" t="str">
        <f t="shared" si="365"/>
        <v>Base</v>
      </c>
      <c r="F5409" s="138" t="str">
        <f t="shared" si="363"/>
        <v>Upgraded</v>
      </c>
      <c r="G5409" s="153"/>
      <c r="H5409" s="210">
        <v>7.3300000000000004E-2</v>
      </c>
      <c r="I5409" s="160" t="s">
        <v>48</v>
      </c>
      <c r="J5409" s="160">
        <v>3.3899999999999998E-3</v>
      </c>
      <c r="K5409" s="160" t="s">
        <v>25</v>
      </c>
      <c r="L5409" s="154" t="str">
        <f>IF(OpenLCAbasic!K5409="CTUh", "Fill in Manually",IF(OR(K5409="Unit", K5409=""), "", INDEX(LookUps!$E$5:$E$12, MATCH(OpenLCAbasic!K5409,LookUps!$D$5:$D$12,0))))</f>
        <v>Smog Formation Potential (SFP) - kg O3 eq</v>
      </c>
      <c r="M5409" s="154" t="str">
        <f t="shared" si="366"/>
        <v>Base_High_Base_Upgraded_Smog Formation Potential (SFP) - kg O3 eq_Effluent release; wastewater treatment unit; at surface water; m3 wastewater - US_Without Amendment_Windrow</v>
      </c>
    </row>
    <row r="5410" spans="1:13" s="120" customFormat="1" x14ac:dyDescent="0.25">
      <c r="A5410" s="119"/>
      <c r="B5410" s="138" t="str">
        <f t="shared" si="362"/>
        <v>Windrow</v>
      </c>
      <c r="C5410" s="138" t="str">
        <f t="shared" si="367"/>
        <v>Without Amendment</v>
      </c>
      <c r="D5410" s="138" t="str">
        <f t="shared" si="364"/>
        <v>High_Base</v>
      </c>
      <c r="E5410" s="138" t="str">
        <f t="shared" si="365"/>
        <v>Base</v>
      </c>
      <c r="F5410" s="138" t="str">
        <f t="shared" si="363"/>
        <v>Upgraded</v>
      </c>
      <c r="G5410" s="153"/>
      <c r="H5410" s="210">
        <v>5.3199999999999997E-2</v>
      </c>
      <c r="I5410" s="160" t="s">
        <v>168</v>
      </c>
      <c r="J5410" s="160">
        <v>2.4599999999999999E-3</v>
      </c>
      <c r="K5410" s="160" t="s">
        <v>25</v>
      </c>
      <c r="L5410" s="154" t="str">
        <f>IF(OpenLCAbasic!K5410="CTUh", "Fill in Manually",IF(OR(K5410="Unit", K5410=""), "", INDEX(LookUps!$E$5:$E$12, MATCH(OpenLCAbasic!K5410,LookUps!$D$5:$D$12,0))))</f>
        <v>Smog Formation Potential (SFP) - kg O3 eq</v>
      </c>
      <c r="M5410" s="154" t="str">
        <f t="shared" si="366"/>
        <v>Base_High_Base_Upgraded_Smog Formation Potential (SFP) - kg O3 eq_ClearCove SCP; wastewater treatment unit; at updated plant - US_Without Amendment_Windrow</v>
      </c>
    </row>
    <row r="5411" spans="1:13" s="120" customFormat="1" x14ac:dyDescent="0.25">
      <c r="A5411" s="119"/>
      <c r="B5411" s="138" t="str">
        <f t="shared" si="362"/>
        <v>Windrow</v>
      </c>
      <c r="C5411" s="138" t="str">
        <f t="shared" si="367"/>
        <v>Without Amendment</v>
      </c>
      <c r="D5411" s="138" t="str">
        <f t="shared" si="364"/>
        <v>High_Base</v>
      </c>
      <c r="E5411" s="138" t="str">
        <f t="shared" si="365"/>
        <v>Base</v>
      </c>
      <c r="F5411" s="138" t="str">
        <f t="shared" si="363"/>
        <v>Upgraded</v>
      </c>
      <c r="G5411" s="153"/>
      <c r="H5411" s="210">
        <v>1.7100000000000001E-2</v>
      </c>
      <c r="I5411" s="160" t="s">
        <v>271</v>
      </c>
      <c r="J5411" s="160">
        <v>7.9000000000000001E-4</v>
      </c>
      <c r="K5411" s="160" t="s">
        <v>25</v>
      </c>
      <c r="L5411" s="154" t="str">
        <f>IF(OpenLCAbasic!K5411="CTUh", "Fill in Manually",IF(OR(K5411="Unit", K5411=""), "", INDEX(LookUps!$E$5:$E$12, MATCH(OpenLCAbasic!K5411,LookUps!$D$5:$D$12,0))))</f>
        <v>Smog Formation Potential (SFP) - kg O3 eq</v>
      </c>
      <c r="M5411" s="154" t="str">
        <f t="shared" si="366"/>
        <v>Base_High_Base_Upgraded_Smog Formation Potential (SFP) - kg O3 eq_Biosolids composting; windrow composting; wastewater treatment unit; at updated plant - US_Without Amendment_Windrow</v>
      </c>
    </row>
    <row r="5412" spans="1:13" s="120" customFormat="1" x14ac:dyDescent="0.25">
      <c r="A5412" s="119"/>
      <c r="B5412" s="138" t="str">
        <f t="shared" si="362"/>
        <v>Windrow</v>
      </c>
      <c r="C5412" s="138" t="str">
        <f t="shared" si="367"/>
        <v>Without Amendment</v>
      </c>
      <c r="D5412" s="138" t="str">
        <f t="shared" si="364"/>
        <v>High_Base</v>
      </c>
      <c r="E5412" s="138" t="str">
        <f t="shared" si="365"/>
        <v>Base</v>
      </c>
      <c r="F5412" s="138" t="str">
        <f t="shared" si="363"/>
        <v>Upgraded</v>
      </c>
      <c r="G5412" s="153"/>
      <c r="H5412" s="210">
        <v>1.17E-2</v>
      </c>
      <c r="I5412" s="160" t="s">
        <v>148</v>
      </c>
      <c r="J5412" s="160">
        <v>5.4000000000000001E-4</v>
      </c>
      <c r="K5412" s="160" t="s">
        <v>25</v>
      </c>
      <c r="L5412" s="154" t="str">
        <f>IF(OpenLCAbasic!K5412="CTUh", "Fill in Manually",IF(OR(K5412="Unit", K5412=""), "", INDEX(LookUps!$E$5:$E$12, MATCH(OpenLCAbasic!K5412,LookUps!$D$5:$D$12,0))))</f>
        <v>Smog Formation Potential (SFP) - kg O3 eq</v>
      </c>
      <c r="M5412" s="154" t="str">
        <f t="shared" si="366"/>
        <v>Base_High_Base_Upgraded_Smog Formation Potential (SFP) - kg O3 eq_Control Building; at upgraded wastewater treatment plant - US_Without Amendment_Windrow</v>
      </c>
    </row>
    <row r="5413" spans="1:13" s="120" customFormat="1" x14ac:dyDescent="0.25">
      <c r="A5413" s="119"/>
      <c r="B5413" s="138" t="str">
        <f t="shared" si="362"/>
        <v>Windrow</v>
      </c>
      <c r="C5413" s="138" t="str">
        <f t="shared" si="367"/>
        <v>Without Amendment</v>
      </c>
      <c r="D5413" s="138" t="str">
        <f t="shared" si="364"/>
        <v>High_Base</v>
      </c>
      <c r="E5413" s="138" t="str">
        <f t="shared" si="365"/>
        <v>Base</v>
      </c>
      <c r="F5413" s="138" t="str">
        <f t="shared" si="363"/>
        <v>Upgraded</v>
      </c>
      <c r="G5413" s="153"/>
      <c r="H5413" s="210">
        <v>-7.1199999999999999E-2</v>
      </c>
      <c r="I5413" s="160" t="s">
        <v>62</v>
      </c>
      <c r="J5413" s="160">
        <v>-3.2799999999999999E-3</v>
      </c>
      <c r="K5413" s="160" t="s">
        <v>25</v>
      </c>
      <c r="L5413" s="154" t="str">
        <f>IF(OpenLCAbasic!K5413="CTUh", "Fill in Manually",IF(OR(K5413="Unit", K5413=""), "", INDEX(LookUps!$E$5:$E$12, MATCH(OpenLCAbasic!K5413,LookUps!$D$5:$D$12,0))))</f>
        <v>Smog Formation Potential (SFP) - kg O3 eq</v>
      </c>
      <c r="M5413" s="154" t="str">
        <f t="shared" si="366"/>
        <v>Base_High_Base_Upgraded_Smog Formation Potential (SFP) - kg O3 eq_Land application of compost; wastewater treatment unit; at updated plant - US_Without Amendment_Windrow</v>
      </c>
    </row>
    <row r="5414" spans="1:13" s="120" customFormat="1" x14ac:dyDescent="0.25">
      <c r="A5414" s="119"/>
      <c r="B5414" s="138" t="str">
        <f t="shared" si="362"/>
        <v>Windrow</v>
      </c>
      <c r="C5414" s="138" t="str">
        <f t="shared" si="367"/>
        <v>Without Amendment</v>
      </c>
      <c r="D5414" s="138" t="str">
        <f t="shared" si="364"/>
        <v>High_Base</v>
      </c>
      <c r="E5414" s="138" t="str">
        <f t="shared" si="365"/>
        <v>Base</v>
      </c>
      <c r="F5414" s="138" t="str">
        <f t="shared" si="363"/>
        <v>Upgraded</v>
      </c>
      <c r="G5414" s="153"/>
      <c r="H5414" s="210">
        <v>-9.3096999999999994</v>
      </c>
      <c r="I5414" s="160" t="s">
        <v>149</v>
      </c>
      <c r="J5414" s="160">
        <v>-0.42965999999999999</v>
      </c>
      <c r="K5414" s="160" t="s">
        <v>25</v>
      </c>
      <c r="L5414" s="154" t="str">
        <f>IF(OpenLCAbasic!K5414="CTUh", "Fill in Manually",IF(OR(K5414="Unit", K5414=""), "", INDEX(LookUps!$E$5:$E$12, MATCH(OpenLCAbasic!K5414,LookUps!$D$5:$D$12,0))))</f>
        <v>Smog Formation Potential (SFP) - kg O3 eq</v>
      </c>
      <c r="M5414" s="154" t="str">
        <f t="shared" si="366"/>
        <v>Base_High_Base_Upgraded_Smog Formation Potential (SFP) - kg O3 eq_Anaerobic Digestion; wastewater treatment unit; at updated plant - US_Without Amendment_Windrow</v>
      </c>
    </row>
    <row r="5415" spans="1:13" s="120" customFormat="1" x14ac:dyDescent="0.25">
      <c r="A5415" s="119"/>
      <c r="B5415" s="138" t="str">
        <f t="shared" si="362"/>
        <v/>
      </c>
      <c r="C5415" s="138" t="str">
        <f t="shared" si="367"/>
        <v/>
      </c>
      <c r="D5415" s="138" t="str">
        <f t="shared" si="364"/>
        <v/>
      </c>
      <c r="E5415" s="138" t="str">
        <f t="shared" si="365"/>
        <v/>
      </c>
      <c r="F5415" s="138" t="str">
        <f t="shared" si="363"/>
        <v/>
      </c>
      <c r="G5415" s="153" t="s">
        <v>51</v>
      </c>
      <c r="H5415" s="160"/>
      <c r="I5415" s="160" t="s">
        <v>47</v>
      </c>
      <c r="J5415" s="160" t="s">
        <v>52</v>
      </c>
      <c r="K5415" s="160" t="s">
        <v>27</v>
      </c>
      <c r="L5415" s="154" t="str">
        <f>IF(OpenLCAbasic!K5415="CTUh", "Fill in Manually",IF(OR(K5415="Unit", K5415=""), "", INDEX(LookUps!$E$5:$E$12, MATCH(OpenLCAbasic!K5415,LookUps!$D$5:$D$12,0))))</f>
        <v/>
      </c>
      <c r="M5415" s="154" t="str">
        <f t="shared" si="366"/>
        <v>____Process__</v>
      </c>
    </row>
    <row r="5416" spans="1:13" s="120" customFormat="1" x14ac:dyDescent="0.25">
      <c r="A5416" s="119"/>
      <c r="B5416" s="138" t="str">
        <f t="shared" ref="B5416:B5479" si="368">IF(F5416="Legacy","n.a.",IF(F5416="","","Windrow"))</f>
        <v>Windrow</v>
      </c>
      <c r="C5416" s="138" t="str">
        <f t="shared" si="367"/>
        <v>Without Amendment</v>
      </c>
      <c r="D5416" s="138" t="str">
        <f t="shared" si="364"/>
        <v>High_Base</v>
      </c>
      <c r="E5416" s="138" t="str">
        <f t="shared" si="365"/>
        <v>Base</v>
      </c>
      <c r="F5416" s="138" t="str">
        <f t="shared" ref="F5416:F5479" si="369">IF(ISNUMBER(J5416),"Upgraded","")</f>
        <v>Upgraded</v>
      </c>
      <c r="G5416" s="153"/>
      <c r="H5416" s="210">
        <v>1.5369999999999999</v>
      </c>
      <c r="I5416" s="160" t="s">
        <v>167</v>
      </c>
      <c r="J5416" s="160">
        <v>3.4000000000000002E-4</v>
      </c>
      <c r="K5416" s="160" t="s">
        <v>26</v>
      </c>
      <c r="L5416" s="154" t="str">
        <f>IF(OpenLCAbasic!K5416="CTUh", "Fill in Manually",IF(OR(K5416="Unit", K5416=""), "", INDEX(LookUps!$E$5:$E$12, MATCH(OpenLCAbasic!K5416,LookUps!$D$5:$D$12,0))))</f>
        <v>Water Use (WU) - m3 H2O</v>
      </c>
      <c r="M5416" s="154" t="str">
        <f t="shared" si="366"/>
        <v>Base_High_Base_Upgraded_Water Use (WU) - m3 H2O_Waste Receiving and Holding; wastewater treatment unit; at updated plant - US_Without Amendment_Windrow</v>
      </c>
    </row>
    <row r="5417" spans="1:13" s="120" customFormat="1" x14ac:dyDescent="0.25">
      <c r="A5417" s="119"/>
      <c r="B5417" s="138" t="str">
        <f t="shared" si="368"/>
        <v>Windrow</v>
      </c>
      <c r="C5417" s="138" t="str">
        <f t="shared" si="367"/>
        <v>Without Amendment</v>
      </c>
      <c r="D5417" s="138" t="str">
        <f t="shared" si="364"/>
        <v>High_Base</v>
      </c>
      <c r="E5417" s="138" t="str">
        <f t="shared" si="365"/>
        <v>Base</v>
      </c>
      <c r="F5417" s="138" t="str">
        <f t="shared" si="369"/>
        <v>Upgraded</v>
      </c>
      <c r="G5417" s="153"/>
      <c r="H5417" s="210">
        <v>0.84109999999999996</v>
      </c>
      <c r="I5417" s="160" t="s">
        <v>147</v>
      </c>
      <c r="J5417" s="160">
        <v>1.8000000000000001E-4</v>
      </c>
      <c r="K5417" s="160" t="s">
        <v>26</v>
      </c>
      <c r="L5417" s="154" t="str">
        <f>IF(OpenLCAbasic!K5417="CTUh", "Fill in Manually",IF(OR(K5417="Unit", K5417=""), "", INDEX(LookUps!$E$5:$E$12, MATCH(OpenLCAbasic!K5417,LookUps!$D$5:$D$12,0))))</f>
        <v>Water Use (WU) - m3 H2O</v>
      </c>
      <c r="M5417" s="154" t="str">
        <f t="shared" si="366"/>
        <v>Base_High_Base_Upgraded_Water Use (WU) - m3 H2O_Influent Pump Station; wastewater treatment unit; at updated plant - US_Without Amendment_Windrow</v>
      </c>
    </row>
    <row r="5418" spans="1:13" s="120" customFormat="1" x14ac:dyDescent="0.25">
      <c r="A5418" s="119"/>
      <c r="B5418" s="138" t="str">
        <f t="shared" si="368"/>
        <v>Windrow</v>
      </c>
      <c r="C5418" s="138" t="str">
        <f t="shared" si="367"/>
        <v>Without Amendment</v>
      </c>
      <c r="D5418" s="138" t="str">
        <f t="shared" si="364"/>
        <v>High_Base</v>
      </c>
      <c r="E5418" s="138" t="str">
        <f t="shared" si="365"/>
        <v>Base</v>
      </c>
      <c r="F5418" s="138" t="str">
        <f t="shared" si="369"/>
        <v>Upgraded</v>
      </c>
      <c r="G5418" s="153"/>
      <c r="H5418" s="210">
        <v>0.8206</v>
      </c>
      <c r="I5418" s="160" t="s">
        <v>54</v>
      </c>
      <c r="J5418" s="160">
        <v>1.8000000000000001E-4</v>
      </c>
      <c r="K5418" s="160" t="s">
        <v>26</v>
      </c>
      <c r="L5418" s="154" t="str">
        <f>IF(OpenLCAbasic!K5418="CTUh", "Fill in Manually",IF(OR(K5418="Unit", K5418=""), "", INDEX(LookUps!$E$5:$E$12, MATCH(OpenLCAbasic!K5418,LookUps!$D$5:$D$12,0))))</f>
        <v>Water Use (WU) - m3 H2O</v>
      </c>
      <c r="M5418" s="154" t="str">
        <f t="shared" si="366"/>
        <v>Base_High_Base_Upgraded_Water Use (WU) - m3 H2O_Clear Cove Primary Clarification; wastewater treatment unit; at updated plant - US_Without Amendment_Windrow</v>
      </c>
    </row>
    <row r="5419" spans="1:13" s="120" customFormat="1" x14ac:dyDescent="0.25">
      <c r="A5419" s="119"/>
      <c r="B5419" s="138" t="str">
        <f t="shared" si="368"/>
        <v>Windrow</v>
      </c>
      <c r="C5419" s="138" t="str">
        <f t="shared" si="367"/>
        <v>Without Amendment</v>
      </c>
      <c r="D5419" s="138" t="str">
        <f t="shared" si="364"/>
        <v>High_Base</v>
      </c>
      <c r="E5419" s="138" t="str">
        <f t="shared" si="365"/>
        <v>Base</v>
      </c>
      <c r="F5419" s="138" t="str">
        <f t="shared" si="369"/>
        <v>Upgraded</v>
      </c>
      <c r="G5419" s="153"/>
      <c r="H5419" s="210">
        <v>0.74450000000000005</v>
      </c>
      <c r="I5419" s="160" t="s">
        <v>55</v>
      </c>
      <c r="J5419" s="160">
        <v>1.6000000000000001E-4</v>
      </c>
      <c r="K5419" s="160" t="s">
        <v>26</v>
      </c>
      <c r="L5419" s="154" t="str">
        <f>IF(OpenLCAbasic!K5419="CTUh", "Fill in Manually",IF(OR(K5419="Unit", K5419=""), "", INDEX(LookUps!$E$5:$E$12, MATCH(OpenLCAbasic!K5419,LookUps!$D$5:$D$12,0))))</f>
        <v>Water Use (WU) - m3 H2O</v>
      </c>
      <c r="M5419" s="154" t="str">
        <f t="shared" si="366"/>
        <v>Base_High_Base_Upgraded_Water Use (WU) - m3 H2O_Aeration Tanks; wastewater treatment unit; at updated plant - US_Without Amendment_Windrow</v>
      </c>
    </row>
    <row r="5420" spans="1:13" s="120" customFormat="1" x14ac:dyDescent="0.25">
      <c r="A5420" s="119"/>
      <c r="B5420" s="138" t="str">
        <f t="shared" si="368"/>
        <v>Windrow</v>
      </c>
      <c r="C5420" s="138" t="str">
        <f t="shared" si="367"/>
        <v>Without Amendment</v>
      </c>
      <c r="D5420" s="138" t="str">
        <f t="shared" si="364"/>
        <v>High_Base</v>
      </c>
      <c r="E5420" s="138" t="str">
        <f t="shared" si="365"/>
        <v>Base</v>
      </c>
      <c r="F5420" s="138" t="str">
        <f t="shared" si="369"/>
        <v>Upgraded</v>
      </c>
      <c r="G5420" s="153"/>
      <c r="H5420" s="210">
        <v>0.67810000000000004</v>
      </c>
      <c r="I5420" s="160" t="s">
        <v>148</v>
      </c>
      <c r="J5420" s="160">
        <v>1.4999999999999999E-4</v>
      </c>
      <c r="K5420" s="160" t="s">
        <v>26</v>
      </c>
      <c r="L5420" s="154" t="str">
        <f>IF(OpenLCAbasic!K5420="CTUh", "Fill in Manually",IF(OR(K5420="Unit", K5420=""), "", INDEX(LookUps!$E$5:$E$12, MATCH(OpenLCAbasic!K5420,LookUps!$D$5:$D$12,0))))</f>
        <v>Water Use (WU) - m3 H2O</v>
      </c>
      <c r="M5420" s="154" t="str">
        <f t="shared" si="366"/>
        <v>Base_High_Base_Upgraded_Water Use (WU) - m3 H2O_Control Building; at upgraded wastewater treatment plant - US_Without Amendment_Windrow</v>
      </c>
    </row>
    <row r="5421" spans="1:13" s="120" customFormat="1" x14ac:dyDescent="0.25">
      <c r="A5421" s="119"/>
      <c r="B5421" s="138" t="str">
        <f t="shared" si="368"/>
        <v>Windrow</v>
      </c>
      <c r="C5421" s="138" t="str">
        <f t="shared" si="367"/>
        <v>Without Amendment</v>
      </c>
      <c r="D5421" s="138" t="str">
        <f t="shared" si="364"/>
        <v>High_Base</v>
      </c>
      <c r="E5421" s="138" t="str">
        <f t="shared" si="365"/>
        <v>Base</v>
      </c>
      <c r="F5421" s="138" t="str">
        <f t="shared" si="369"/>
        <v>Upgraded</v>
      </c>
      <c r="G5421" s="153"/>
      <c r="H5421" s="210">
        <v>0.31490000000000001</v>
      </c>
      <c r="I5421" s="160" t="s">
        <v>48</v>
      </c>
      <c r="J5421" s="211">
        <v>6.8836400000000004E-5</v>
      </c>
      <c r="K5421" s="160" t="s">
        <v>26</v>
      </c>
      <c r="L5421" s="154" t="str">
        <f>IF(OpenLCAbasic!K5421="CTUh", "Fill in Manually",IF(OR(K5421="Unit", K5421=""), "", INDEX(LookUps!$E$5:$E$12, MATCH(OpenLCAbasic!K5421,LookUps!$D$5:$D$12,0))))</f>
        <v>Water Use (WU) - m3 H2O</v>
      </c>
      <c r="M5421" s="154" t="str">
        <f t="shared" si="366"/>
        <v>Base_High_Base_Upgraded_Water Use (WU) - m3 H2O_Effluent release; wastewater treatment unit; at surface water; m3 wastewater - US_Without Amendment_Windrow</v>
      </c>
    </row>
    <row r="5422" spans="1:13" s="120" customFormat="1" x14ac:dyDescent="0.25">
      <c r="A5422" s="119"/>
      <c r="B5422" s="138" t="str">
        <f t="shared" si="368"/>
        <v>Windrow</v>
      </c>
      <c r="C5422" s="138" t="str">
        <f t="shared" si="367"/>
        <v>Without Amendment</v>
      </c>
      <c r="D5422" s="138" t="str">
        <f t="shared" si="364"/>
        <v>High_Base</v>
      </c>
      <c r="E5422" s="138" t="str">
        <f t="shared" si="365"/>
        <v>Base</v>
      </c>
      <c r="F5422" s="138" t="str">
        <f t="shared" si="369"/>
        <v>Upgraded</v>
      </c>
      <c r="G5422" s="153"/>
      <c r="H5422" s="210">
        <v>0.19800000000000001</v>
      </c>
      <c r="I5422" s="160" t="s">
        <v>58</v>
      </c>
      <c r="J5422" s="211">
        <v>4.3289399999999999E-5</v>
      </c>
      <c r="K5422" s="160" t="s">
        <v>26</v>
      </c>
      <c r="L5422" s="154" t="str">
        <f>IF(OpenLCAbasic!K5422="CTUh", "Fill in Manually",IF(OR(K5422="Unit", K5422=""), "", INDEX(LookUps!$E$5:$E$12, MATCH(OpenLCAbasic!K5422,LookUps!$D$5:$D$12,0))))</f>
        <v>Water Use (WU) - m3 H2O</v>
      </c>
      <c r="M5422" s="154" t="str">
        <f t="shared" si="366"/>
        <v>Base_High_Base_Upgraded_Water Use (WU) - m3 H2O_Pre-Anoxic &amp; Swing tank; wastewater treatment unit; at updated plant - US_Without Amendment_Windrow</v>
      </c>
    </row>
    <row r="5423" spans="1:13" s="120" customFormat="1" x14ac:dyDescent="0.25">
      <c r="A5423" s="119"/>
      <c r="B5423" s="138" t="str">
        <f t="shared" si="368"/>
        <v>Windrow</v>
      </c>
      <c r="C5423" s="138" t="str">
        <f t="shared" si="367"/>
        <v>Without Amendment</v>
      </c>
      <c r="D5423" s="138" t="str">
        <f t="shared" si="364"/>
        <v>High_Base</v>
      </c>
      <c r="E5423" s="138" t="str">
        <f t="shared" si="365"/>
        <v>Base</v>
      </c>
      <c r="F5423" s="138" t="str">
        <f t="shared" si="369"/>
        <v>Upgraded</v>
      </c>
      <c r="G5423" s="153"/>
      <c r="H5423" s="210">
        <v>0.1895</v>
      </c>
      <c r="I5423" s="160" t="s">
        <v>60</v>
      </c>
      <c r="J5423" s="211">
        <v>4.1413099999999998E-5</v>
      </c>
      <c r="K5423" s="160" t="s">
        <v>26</v>
      </c>
      <c r="L5423" s="154" t="str">
        <f>IF(OpenLCAbasic!K5423="CTUh", "Fill in Manually",IF(OR(K5423="Unit", K5423=""), "", INDEX(LookUps!$E$5:$E$12, MATCH(OpenLCAbasic!K5423,LookUps!$D$5:$D$12,0))))</f>
        <v>Water Use (WU) - m3 H2O</v>
      </c>
      <c r="M5423" s="154" t="str">
        <f t="shared" si="366"/>
        <v>Base_High_Base_Upgraded_Water Use (WU) - m3 H2O_Belt filter press; wastewater treatment unit; at updated plant - US_Without Amendment_Windrow</v>
      </c>
    </row>
    <row r="5424" spans="1:13" s="120" customFormat="1" x14ac:dyDescent="0.25">
      <c r="A5424" s="119"/>
      <c r="B5424" s="138" t="str">
        <f t="shared" si="368"/>
        <v>Windrow</v>
      </c>
      <c r="C5424" s="138" t="str">
        <f t="shared" si="367"/>
        <v>Without Amendment</v>
      </c>
      <c r="D5424" s="138" t="str">
        <f t="shared" si="364"/>
        <v>High_Base</v>
      </c>
      <c r="E5424" s="138" t="str">
        <f t="shared" si="365"/>
        <v>Base</v>
      </c>
      <c r="F5424" s="138" t="str">
        <f t="shared" si="369"/>
        <v>Upgraded</v>
      </c>
      <c r="G5424" s="153"/>
      <c r="H5424" s="210">
        <v>0.1391</v>
      </c>
      <c r="I5424" s="160" t="s">
        <v>57</v>
      </c>
      <c r="J5424" s="211">
        <v>3.0408100000000001E-5</v>
      </c>
      <c r="K5424" s="160" t="s">
        <v>26</v>
      </c>
      <c r="L5424" s="154" t="str">
        <f>IF(OpenLCAbasic!K5424="CTUh", "Fill in Manually",IF(OR(K5424="Unit", K5424=""), "", INDEX(LookUps!$E$5:$E$12, MATCH(OpenLCAbasic!K5424,LookUps!$D$5:$D$12,0))))</f>
        <v>Water Use (WU) - m3 H2O</v>
      </c>
      <c r="M5424" s="154" t="str">
        <f t="shared" si="366"/>
        <v>Base_High_Base_Upgraded_Water Use (WU) - m3 H2O_Gravity Belt Thickener; wastewater treatment unit; at updated plant - US_Without Amendment_Windrow</v>
      </c>
    </row>
    <row r="5425" spans="1:13" s="120" customFormat="1" x14ac:dyDescent="0.25">
      <c r="A5425" s="119"/>
      <c r="B5425" s="138" t="str">
        <f t="shared" si="368"/>
        <v>Windrow</v>
      </c>
      <c r="C5425" s="138" t="str">
        <f t="shared" si="367"/>
        <v>Without Amendment</v>
      </c>
      <c r="D5425" s="138" t="str">
        <f t="shared" ref="D5425:D5431" si="370">IF(ISNUMBER($J5425),"High_Base","")</f>
        <v>High_Base</v>
      </c>
      <c r="E5425" s="138" t="str">
        <f t="shared" ref="E5425:E5488" si="371">IF(ISNUMBER($J5425),"Base","")</f>
        <v>Base</v>
      </c>
      <c r="F5425" s="138" t="str">
        <f t="shared" si="369"/>
        <v>Upgraded</v>
      </c>
      <c r="G5425" s="153"/>
      <c r="H5425" s="210">
        <v>8.0100000000000005E-2</v>
      </c>
      <c r="I5425" s="160" t="s">
        <v>53</v>
      </c>
      <c r="J5425" s="211">
        <v>1.75069E-5</v>
      </c>
      <c r="K5425" s="160" t="s">
        <v>26</v>
      </c>
      <c r="L5425" s="154" t="str">
        <f>IF(OpenLCAbasic!K5425="CTUh", "Fill in Manually",IF(OR(K5425="Unit", K5425=""), "", INDEX(LookUps!$E$5:$E$12, MATCH(OpenLCAbasic!K5425,LookUps!$D$5:$D$12,0))))</f>
        <v>Water Use (WU) - m3 H2O</v>
      </c>
      <c r="M5425" s="154" t="str">
        <f t="shared" si="366"/>
        <v>Base_High_Base_Upgraded_Water Use (WU) - m3 H2O_Wet Well and Sump Station; wastewater treatment unit; at updated plant - US_Without Amendment_Windrow</v>
      </c>
    </row>
    <row r="5426" spans="1:13" s="120" customFormat="1" x14ac:dyDescent="0.25">
      <c r="A5426" s="119"/>
      <c r="B5426" s="138" t="str">
        <f t="shared" si="368"/>
        <v>Windrow</v>
      </c>
      <c r="C5426" s="138" t="str">
        <f t="shared" si="367"/>
        <v>Without Amendment</v>
      </c>
      <c r="D5426" s="138" t="str">
        <f t="shared" si="370"/>
        <v>High_Base</v>
      </c>
      <c r="E5426" s="138" t="str">
        <f t="shared" si="371"/>
        <v>Base</v>
      </c>
      <c r="F5426" s="138" t="str">
        <f t="shared" si="369"/>
        <v>Upgraded</v>
      </c>
      <c r="G5426" s="153"/>
      <c r="H5426" s="210">
        <v>3.2099999999999997E-2</v>
      </c>
      <c r="I5426" s="160" t="s">
        <v>59</v>
      </c>
      <c r="J5426" s="211">
        <v>7.0179500000000003E-6</v>
      </c>
      <c r="K5426" s="160" t="s">
        <v>26</v>
      </c>
      <c r="L5426" s="154" t="str">
        <f>IF(OpenLCAbasic!K5426="CTUh", "Fill in Manually",IF(OR(K5426="Unit", K5426=""), "", INDEX(LookUps!$E$5:$E$12, MATCH(OpenLCAbasic!K5426,LookUps!$D$5:$D$12,0))))</f>
        <v>Water Use (WU) - m3 H2O</v>
      </c>
      <c r="M5426" s="154" t="str">
        <f t="shared" si="366"/>
        <v>Base_High_Base_Upgraded_Water Use (WU) - m3 H2O_Blend Tank; wastewater treatment unit; at updated plant - US_Without Amendment_Windrow</v>
      </c>
    </row>
    <row r="5427" spans="1:13" s="120" customFormat="1" x14ac:dyDescent="0.25">
      <c r="A5427" s="119"/>
      <c r="B5427" s="138" t="str">
        <f t="shared" si="368"/>
        <v>Windrow</v>
      </c>
      <c r="C5427" s="138" t="str">
        <f t="shared" si="367"/>
        <v>Without Amendment</v>
      </c>
      <c r="D5427" s="138" t="str">
        <f t="shared" si="370"/>
        <v>High_Base</v>
      </c>
      <c r="E5427" s="138" t="str">
        <f t="shared" si="371"/>
        <v>Base</v>
      </c>
      <c r="F5427" s="138" t="str">
        <f t="shared" si="369"/>
        <v>Upgraded</v>
      </c>
      <c r="G5427" s="153"/>
      <c r="H5427" s="210">
        <v>2.3199999999999998E-2</v>
      </c>
      <c r="I5427" s="160" t="s">
        <v>128</v>
      </c>
      <c r="J5427" s="211">
        <v>5.0608900000000003E-6</v>
      </c>
      <c r="K5427" s="160" t="s">
        <v>26</v>
      </c>
      <c r="L5427" s="154" t="str">
        <f>IF(OpenLCAbasic!K5427="CTUh", "Fill in Manually",IF(OR(K5427="Unit", K5427=""), "", INDEX(LookUps!$E$5:$E$12, MATCH(OpenLCAbasic!K5427,LookUps!$D$5:$D$12,0))))</f>
        <v>Water Use (WU) - m3 H2O</v>
      </c>
      <c r="M5427" s="154" t="str">
        <f t="shared" si="366"/>
        <v>Base_High_Base_Upgraded_Water Use (WU) - m3 H2O_Wastewater collection; operation and infrastructure; m3 wastewater_Without Amendment_Windrow</v>
      </c>
    </row>
    <row r="5428" spans="1:13" s="120" customFormat="1" x14ac:dyDescent="0.25">
      <c r="A5428" s="119"/>
      <c r="B5428" s="138" t="str">
        <f t="shared" si="368"/>
        <v>Windrow</v>
      </c>
      <c r="C5428" s="138" t="str">
        <f t="shared" si="367"/>
        <v>Without Amendment</v>
      </c>
      <c r="D5428" s="138" t="str">
        <f t="shared" si="370"/>
        <v>High_Base</v>
      </c>
      <c r="E5428" s="138" t="str">
        <f t="shared" si="371"/>
        <v>Base</v>
      </c>
      <c r="F5428" s="138" t="str">
        <f t="shared" si="369"/>
        <v>Upgraded</v>
      </c>
      <c r="G5428" s="153"/>
      <c r="H5428" s="210">
        <v>8.9999999999999993E-3</v>
      </c>
      <c r="I5428" s="160" t="s">
        <v>271</v>
      </c>
      <c r="J5428" s="211">
        <v>1.9753299999999999E-6</v>
      </c>
      <c r="K5428" s="160" t="s">
        <v>26</v>
      </c>
      <c r="L5428" s="154" t="str">
        <f>IF(OpenLCAbasic!K5428="CTUh", "Fill in Manually",IF(OR(K5428="Unit", K5428=""), "", INDEX(LookUps!$E$5:$E$12, MATCH(OpenLCAbasic!K5428,LookUps!$D$5:$D$12,0))))</f>
        <v>Water Use (WU) - m3 H2O</v>
      </c>
      <c r="M5428" s="154" t="str">
        <f t="shared" si="366"/>
        <v>Base_High_Base_Upgraded_Water Use (WU) - m3 H2O_Biosolids composting; windrow composting; wastewater treatment unit; at updated plant - US_Without Amendment_Windrow</v>
      </c>
    </row>
    <row r="5429" spans="1:13" s="120" customFormat="1" x14ac:dyDescent="0.25">
      <c r="A5429" s="119"/>
      <c r="B5429" s="138" t="str">
        <f t="shared" si="368"/>
        <v>Windrow</v>
      </c>
      <c r="C5429" s="138" t="str">
        <f t="shared" si="367"/>
        <v>Without Amendment</v>
      </c>
      <c r="D5429" s="138" t="str">
        <f t="shared" si="370"/>
        <v>High_Base</v>
      </c>
      <c r="E5429" s="138" t="str">
        <f t="shared" si="371"/>
        <v>Base</v>
      </c>
      <c r="F5429" s="138" t="str">
        <f t="shared" si="369"/>
        <v>Upgraded</v>
      </c>
      <c r="G5429" s="153"/>
      <c r="H5429" s="210">
        <v>3.5000000000000001E-3</v>
      </c>
      <c r="I5429" s="160" t="s">
        <v>168</v>
      </c>
      <c r="J5429" s="211">
        <v>7.6697000000000004E-7</v>
      </c>
      <c r="K5429" s="160" t="s">
        <v>26</v>
      </c>
      <c r="L5429" s="154" t="str">
        <f>IF(OpenLCAbasic!K5429="CTUh", "Fill in Manually",IF(OR(K5429="Unit", K5429=""), "", INDEX(LookUps!$E$5:$E$12, MATCH(OpenLCAbasic!K5429,LookUps!$D$5:$D$12,0))))</f>
        <v>Water Use (WU) - m3 H2O</v>
      </c>
      <c r="M5429" s="154" t="str">
        <f t="shared" si="366"/>
        <v>Base_High_Base_Upgraded_Water Use (WU) - m3 H2O_ClearCove SCP; wastewater treatment unit; at updated plant - US_Without Amendment_Windrow</v>
      </c>
    </row>
    <row r="5430" spans="1:13" s="120" customFormat="1" x14ac:dyDescent="0.25">
      <c r="A5430" s="119"/>
      <c r="B5430" s="138" t="str">
        <f t="shared" si="368"/>
        <v>Windrow</v>
      </c>
      <c r="C5430" s="138" t="str">
        <f t="shared" si="367"/>
        <v>Without Amendment</v>
      </c>
      <c r="D5430" s="138" t="str">
        <f t="shared" si="370"/>
        <v>High_Base</v>
      </c>
      <c r="E5430" s="138" t="str">
        <f t="shared" si="371"/>
        <v>Base</v>
      </c>
      <c r="F5430" s="138" t="str">
        <f t="shared" si="369"/>
        <v>Upgraded</v>
      </c>
      <c r="G5430" s="153"/>
      <c r="H5430" s="210">
        <v>-0.52780000000000005</v>
      </c>
      <c r="I5430" s="160" t="s">
        <v>149</v>
      </c>
      <c r="J5430" s="160">
        <v>-1.2E-4</v>
      </c>
      <c r="K5430" s="160" t="s">
        <v>26</v>
      </c>
      <c r="L5430" s="154" t="str">
        <f>IF(OpenLCAbasic!K5430="CTUh", "Fill in Manually",IF(OR(K5430="Unit", K5430=""), "", INDEX(LookUps!$E$5:$E$12, MATCH(OpenLCAbasic!K5430,LookUps!$D$5:$D$12,0))))</f>
        <v>Water Use (WU) - m3 H2O</v>
      </c>
      <c r="M5430" s="154" t="str">
        <f t="shared" si="366"/>
        <v>Base_High_Base_Upgraded_Water Use (WU) - m3 H2O_Anaerobic Digestion; wastewater treatment unit; at updated plant - US_Without Amendment_Windrow</v>
      </c>
    </row>
    <row r="5431" spans="1:13" s="120" customFormat="1" x14ac:dyDescent="0.25">
      <c r="A5431" s="119"/>
      <c r="B5431" s="138" t="str">
        <f t="shared" si="368"/>
        <v>Windrow</v>
      </c>
      <c r="C5431" s="138" t="str">
        <f t="shared" si="367"/>
        <v>Without Amendment</v>
      </c>
      <c r="D5431" s="138" t="str">
        <f t="shared" si="370"/>
        <v>High_Base</v>
      </c>
      <c r="E5431" s="138" t="str">
        <f t="shared" si="371"/>
        <v>Base</v>
      </c>
      <c r="F5431" s="138" t="str">
        <f t="shared" si="369"/>
        <v>Upgraded</v>
      </c>
      <c r="G5431" s="153"/>
      <c r="H5431" s="210">
        <v>-6.0830000000000002</v>
      </c>
      <c r="I5431" s="160" t="s">
        <v>62</v>
      </c>
      <c r="J5431" s="160">
        <v>-1.33E-3</v>
      </c>
      <c r="K5431" s="160" t="s">
        <v>26</v>
      </c>
      <c r="L5431" s="154" t="str">
        <f>IF(OpenLCAbasic!K5431="CTUh", "Fill in Manually",IF(OR(K5431="Unit", K5431=""), "", INDEX(LookUps!$E$5:$E$12, MATCH(OpenLCAbasic!K5431,LookUps!$D$5:$D$12,0))))</f>
        <v>Water Use (WU) - m3 H2O</v>
      </c>
      <c r="M5431" s="154" t="str">
        <f t="shared" si="366"/>
        <v>Base_High_Base_Upgraded_Water Use (WU) - m3 H2O_Land application of compost; wastewater treatment unit; at updated plant - US_Without Amendment_Windrow</v>
      </c>
    </row>
    <row r="5432" spans="1:13" s="120" customFormat="1" x14ac:dyDescent="0.25">
      <c r="A5432" s="119"/>
      <c r="B5432" s="138" t="str">
        <f t="shared" si="368"/>
        <v/>
      </c>
      <c r="C5432" s="138" t="str">
        <f t="shared" si="367"/>
        <v/>
      </c>
      <c r="D5432" s="138" t="str">
        <f>IF(ISNUMBER($J5432),"High_High","")</f>
        <v/>
      </c>
      <c r="E5432" s="138" t="str">
        <f t="shared" si="371"/>
        <v/>
      </c>
      <c r="F5432" s="138" t="str">
        <f t="shared" si="369"/>
        <v/>
      </c>
      <c r="G5432" s="153" t="s">
        <v>51</v>
      </c>
      <c r="H5432" s="160"/>
      <c r="I5432" s="160" t="s">
        <v>47</v>
      </c>
      <c r="J5432" s="160" t="s">
        <v>52</v>
      </c>
      <c r="K5432" s="160" t="s">
        <v>27</v>
      </c>
      <c r="L5432" s="154" t="str">
        <f>IF(OpenLCAbasic!K5432="CTUh", "Fill in Manually",IF(OR(K5432="Unit", K5432=""), "", INDEX(LookUps!$E$5:$E$12, MATCH(OpenLCAbasic!K5432,LookUps!$D$5:$D$12,0))))</f>
        <v/>
      </c>
      <c r="M5432" s="154" t="str">
        <f t="shared" si="366"/>
        <v>____Process__</v>
      </c>
    </row>
    <row r="5433" spans="1:13" s="120" customFormat="1" x14ac:dyDescent="0.25">
      <c r="A5433" s="119"/>
      <c r="B5433" s="138" t="str">
        <f t="shared" si="368"/>
        <v>Windrow</v>
      </c>
      <c r="C5433" s="138" t="str">
        <f t="shared" si="367"/>
        <v>Without Amendment</v>
      </c>
      <c r="D5433" s="138" t="str">
        <f t="shared" ref="D5433:D5496" si="372">IF(ISNUMBER($J5433),"High_High","")</f>
        <v>High_High</v>
      </c>
      <c r="E5433" s="138" t="str">
        <f t="shared" si="371"/>
        <v>Base</v>
      </c>
      <c r="F5433" s="138" t="str">
        <f t="shared" si="369"/>
        <v>Upgraded</v>
      </c>
      <c r="G5433" s="153"/>
      <c r="H5433" s="210">
        <v>0.3589</v>
      </c>
      <c r="I5433" s="160" t="s">
        <v>55</v>
      </c>
      <c r="J5433" s="160">
        <v>1.7219999999999999E-2</v>
      </c>
      <c r="K5433" s="160" t="s">
        <v>24</v>
      </c>
      <c r="L5433" s="154" t="str">
        <f>IF(OpenLCAbasic!K5433="CTUh", "Fill in Manually",IF(OR(K5433="Unit", K5433=""), "", INDEX(LookUps!$E$5:$E$12, MATCH(OpenLCAbasic!K5433,LookUps!$D$5:$D$12,0))))</f>
        <v>Acidification Potential (AP) - kg SO2 eq</v>
      </c>
      <c r="M5433" s="154" t="str">
        <f t="shared" si="366"/>
        <v>Base_High_High_Upgraded_Acidification Potential (AP) - kg SO2 eq_Aeration Tanks; wastewater treatment unit; at updated plant - US_Without Amendment_Windrow</v>
      </c>
    </row>
    <row r="5434" spans="1:13" s="120" customFormat="1" x14ac:dyDescent="0.25">
      <c r="A5434" s="119"/>
      <c r="B5434" s="138" t="str">
        <f t="shared" si="368"/>
        <v>Windrow</v>
      </c>
      <c r="C5434" s="138" t="str">
        <f t="shared" si="367"/>
        <v>Without Amendment</v>
      </c>
      <c r="D5434" s="138" t="str">
        <f t="shared" si="372"/>
        <v>High_High</v>
      </c>
      <c r="E5434" s="138" t="str">
        <f t="shared" si="371"/>
        <v>Base</v>
      </c>
      <c r="F5434" s="138" t="str">
        <f t="shared" si="369"/>
        <v>Upgraded</v>
      </c>
      <c r="G5434" s="153"/>
      <c r="H5434" s="210">
        <v>0.13550000000000001</v>
      </c>
      <c r="I5434" s="160" t="s">
        <v>271</v>
      </c>
      <c r="J5434" s="160">
        <v>6.4999999999999997E-3</v>
      </c>
      <c r="K5434" s="160" t="s">
        <v>24</v>
      </c>
      <c r="L5434" s="154" t="str">
        <f>IF(OpenLCAbasic!K5434="CTUh", "Fill in Manually",IF(OR(K5434="Unit", K5434=""), "", INDEX(LookUps!$E$5:$E$12, MATCH(OpenLCAbasic!K5434,LookUps!$D$5:$D$12,0))))</f>
        <v>Acidification Potential (AP) - kg SO2 eq</v>
      </c>
      <c r="M5434" s="154" t="str">
        <f t="shared" si="366"/>
        <v>Base_High_High_Upgraded_Acidification Potential (AP) - kg SO2 eq_Biosolids composting; windrow composting; wastewater treatment unit; at updated plant - US_Without Amendment_Windrow</v>
      </c>
    </row>
    <row r="5435" spans="1:13" s="120" customFormat="1" x14ac:dyDescent="0.25">
      <c r="A5435" s="119"/>
      <c r="B5435" s="138" t="str">
        <f t="shared" si="368"/>
        <v>Windrow</v>
      </c>
      <c r="C5435" s="138" t="str">
        <f t="shared" si="367"/>
        <v>Without Amendment</v>
      </c>
      <c r="D5435" s="138" t="str">
        <f t="shared" si="372"/>
        <v>High_High</v>
      </c>
      <c r="E5435" s="138" t="str">
        <f t="shared" si="371"/>
        <v>Base</v>
      </c>
      <c r="F5435" s="138" t="str">
        <f t="shared" si="369"/>
        <v>Upgraded</v>
      </c>
      <c r="G5435" s="153"/>
      <c r="H5435" s="210">
        <v>0.1038</v>
      </c>
      <c r="I5435" s="160" t="s">
        <v>54</v>
      </c>
      <c r="J5435" s="160">
        <v>4.9800000000000001E-3</v>
      </c>
      <c r="K5435" s="160" t="s">
        <v>24</v>
      </c>
      <c r="L5435" s="154" t="str">
        <f>IF(OpenLCAbasic!K5435="CTUh", "Fill in Manually",IF(OR(K5435="Unit", K5435=""), "", INDEX(LookUps!$E$5:$E$12, MATCH(OpenLCAbasic!K5435,LookUps!$D$5:$D$12,0))))</f>
        <v>Acidification Potential (AP) - kg SO2 eq</v>
      </c>
      <c r="M5435" s="154" t="str">
        <f t="shared" ref="M5435:M5498" si="373">CONCATENATE(E5435,"_",D5435,"_",F5435,"_",L5435, "_",I5435,"_", C5435,"_", B5435)</f>
        <v>Base_High_High_Upgraded_Acidification Potential (AP) - kg SO2 eq_Clear Cove Primary Clarification; wastewater treatment unit; at updated plant - US_Without Amendment_Windrow</v>
      </c>
    </row>
    <row r="5436" spans="1:13" s="120" customFormat="1" x14ac:dyDescent="0.25">
      <c r="A5436" s="119"/>
      <c r="B5436" s="138" t="str">
        <f t="shared" si="368"/>
        <v>Windrow</v>
      </c>
      <c r="C5436" s="138" t="str">
        <f t="shared" si="367"/>
        <v>Without Amendment</v>
      </c>
      <c r="D5436" s="138" t="str">
        <f t="shared" si="372"/>
        <v>High_High</v>
      </c>
      <c r="E5436" s="138" t="str">
        <f t="shared" si="371"/>
        <v>Base</v>
      </c>
      <c r="F5436" s="138" t="str">
        <f t="shared" si="369"/>
        <v>Upgraded</v>
      </c>
      <c r="G5436" s="153"/>
      <c r="H5436" s="210">
        <v>9.0999999999999998E-2</v>
      </c>
      <c r="I5436" s="160" t="s">
        <v>58</v>
      </c>
      <c r="J5436" s="160">
        <v>4.3600000000000002E-3</v>
      </c>
      <c r="K5436" s="160" t="s">
        <v>24</v>
      </c>
      <c r="L5436" s="154" t="str">
        <f>IF(OpenLCAbasic!K5436="CTUh", "Fill in Manually",IF(OR(K5436="Unit", K5436=""), "", INDEX(LookUps!$E$5:$E$12, MATCH(OpenLCAbasic!K5436,LookUps!$D$5:$D$12,0))))</f>
        <v>Acidification Potential (AP) - kg SO2 eq</v>
      </c>
      <c r="M5436" s="154" t="str">
        <f t="shared" si="373"/>
        <v>Base_High_High_Upgraded_Acidification Potential (AP) - kg SO2 eq_Pre-Anoxic &amp; Swing tank; wastewater treatment unit; at updated plant - US_Without Amendment_Windrow</v>
      </c>
    </row>
    <row r="5437" spans="1:13" s="120" customFormat="1" x14ac:dyDescent="0.25">
      <c r="A5437" s="119"/>
      <c r="B5437" s="138" t="str">
        <f t="shared" si="368"/>
        <v>Windrow</v>
      </c>
      <c r="C5437" s="138" t="str">
        <f t="shared" si="367"/>
        <v>Without Amendment</v>
      </c>
      <c r="D5437" s="138" t="str">
        <f t="shared" si="372"/>
        <v>High_High</v>
      </c>
      <c r="E5437" s="138" t="str">
        <f t="shared" si="371"/>
        <v>Base</v>
      </c>
      <c r="F5437" s="138" t="str">
        <f t="shared" si="369"/>
        <v>Upgraded</v>
      </c>
      <c r="G5437" s="153"/>
      <c r="H5437" s="210">
        <v>7.1900000000000006E-2</v>
      </c>
      <c r="I5437" s="160" t="s">
        <v>53</v>
      </c>
      <c r="J5437" s="160">
        <v>3.4499999999999999E-3</v>
      </c>
      <c r="K5437" s="160" t="s">
        <v>24</v>
      </c>
      <c r="L5437" s="154" t="str">
        <f>IF(OpenLCAbasic!K5437="CTUh", "Fill in Manually",IF(OR(K5437="Unit", K5437=""), "", INDEX(LookUps!$E$5:$E$12, MATCH(OpenLCAbasic!K5437,LookUps!$D$5:$D$12,0))))</f>
        <v>Acidification Potential (AP) - kg SO2 eq</v>
      </c>
      <c r="M5437" s="154" t="str">
        <f t="shared" si="373"/>
        <v>Base_High_High_Upgraded_Acidification Potential (AP) - kg SO2 eq_Wet Well and Sump Station; wastewater treatment unit; at updated plant - US_Without Amendment_Windrow</v>
      </c>
    </row>
    <row r="5438" spans="1:13" s="120" customFormat="1" x14ac:dyDescent="0.25">
      <c r="A5438" s="119"/>
      <c r="B5438" s="138" t="str">
        <f t="shared" si="368"/>
        <v>Windrow</v>
      </c>
      <c r="C5438" s="138" t="str">
        <f t="shared" si="367"/>
        <v>Without Amendment</v>
      </c>
      <c r="D5438" s="138" t="str">
        <f t="shared" si="372"/>
        <v>High_High</v>
      </c>
      <c r="E5438" s="138" t="str">
        <f t="shared" si="371"/>
        <v>Base</v>
      </c>
      <c r="F5438" s="138" t="str">
        <f t="shared" si="369"/>
        <v>Upgraded</v>
      </c>
      <c r="G5438" s="153"/>
      <c r="H5438" s="210">
        <v>6.4799999999999996E-2</v>
      </c>
      <c r="I5438" s="160" t="s">
        <v>62</v>
      </c>
      <c r="J5438" s="160">
        <v>3.1099999999999999E-3</v>
      </c>
      <c r="K5438" s="160" t="s">
        <v>24</v>
      </c>
      <c r="L5438" s="154" t="str">
        <f>IF(OpenLCAbasic!K5438="CTUh", "Fill in Manually",IF(OR(K5438="Unit", K5438=""), "", INDEX(LookUps!$E$5:$E$12, MATCH(OpenLCAbasic!K5438,LookUps!$D$5:$D$12,0))))</f>
        <v>Acidification Potential (AP) - kg SO2 eq</v>
      </c>
      <c r="M5438" s="154" t="str">
        <f t="shared" si="373"/>
        <v>Base_High_High_Upgraded_Acidification Potential (AP) - kg SO2 eq_Land application of compost; wastewater treatment unit; at updated plant - US_Without Amendment_Windrow</v>
      </c>
    </row>
    <row r="5439" spans="1:13" s="120" customFormat="1" x14ac:dyDescent="0.25">
      <c r="A5439" s="119"/>
      <c r="B5439" s="138" t="str">
        <f t="shared" si="368"/>
        <v>Windrow</v>
      </c>
      <c r="C5439" s="138" t="str">
        <f t="shared" si="367"/>
        <v>Without Amendment</v>
      </c>
      <c r="D5439" s="138" t="str">
        <f t="shared" si="372"/>
        <v>High_High</v>
      </c>
      <c r="E5439" s="138" t="str">
        <f t="shared" si="371"/>
        <v>Base</v>
      </c>
      <c r="F5439" s="138" t="str">
        <f t="shared" si="369"/>
        <v>Upgraded</v>
      </c>
      <c r="G5439" s="153"/>
      <c r="H5439" s="210">
        <v>5.6300000000000003E-2</v>
      </c>
      <c r="I5439" s="160" t="s">
        <v>167</v>
      </c>
      <c r="J5439" s="160">
        <v>2.7000000000000001E-3</v>
      </c>
      <c r="K5439" s="160" t="s">
        <v>24</v>
      </c>
      <c r="L5439" s="154" t="str">
        <f>IF(OpenLCAbasic!K5439="CTUh", "Fill in Manually",IF(OR(K5439="Unit", K5439=""), "", INDEX(LookUps!$E$5:$E$12, MATCH(OpenLCAbasic!K5439,LookUps!$D$5:$D$12,0))))</f>
        <v>Acidification Potential (AP) - kg SO2 eq</v>
      </c>
      <c r="M5439" s="154" t="str">
        <f t="shared" si="373"/>
        <v>Base_High_High_Upgraded_Acidification Potential (AP) - kg SO2 eq_Waste Receiving and Holding; wastewater treatment unit; at updated plant - US_Without Amendment_Windrow</v>
      </c>
    </row>
    <row r="5440" spans="1:13" s="120" customFormat="1" x14ac:dyDescent="0.25">
      <c r="A5440" s="119"/>
      <c r="B5440" s="138" t="str">
        <f t="shared" si="368"/>
        <v>Windrow</v>
      </c>
      <c r="C5440" s="138" t="str">
        <f t="shared" si="367"/>
        <v>Without Amendment</v>
      </c>
      <c r="D5440" s="138" t="str">
        <f t="shared" si="372"/>
        <v>High_High</v>
      </c>
      <c r="E5440" s="138" t="str">
        <f t="shared" si="371"/>
        <v>Base</v>
      </c>
      <c r="F5440" s="138" t="str">
        <f t="shared" si="369"/>
        <v>Upgraded</v>
      </c>
      <c r="G5440" s="153"/>
      <c r="H5440" s="210">
        <v>4.3099999999999999E-2</v>
      </c>
      <c r="I5440" s="160" t="s">
        <v>147</v>
      </c>
      <c r="J5440" s="160">
        <v>2.0699999999999998E-3</v>
      </c>
      <c r="K5440" s="160" t="s">
        <v>24</v>
      </c>
      <c r="L5440" s="154" t="str">
        <f>IF(OpenLCAbasic!K5440="CTUh", "Fill in Manually",IF(OR(K5440="Unit", K5440=""), "", INDEX(LookUps!$E$5:$E$12, MATCH(OpenLCAbasic!K5440,LookUps!$D$5:$D$12,0))))</f>
        <v>Acidification Potential (AP) - kg SO2 eq</v>
      </c>
      <c r="M5440" s="154" t="str">
        <f t="shared" si="373"/>
        <v>Base_High_High_Upgraded_Acidification Potential (AP) - kg SO2 eq_Influent Pump Station; wastewater treatment unit; at updated plant - US_Without Amendment_Windrow</v>
      </c>
    </row>
    <row r="5441" spans="1:13" s="120" customFormat="1" x14ac:dyDescent="0.25">
      <c r="A5441" s="119"/>
      <c r="B5441" s="138" t="str">
        <f t="shared" si="368"/>
        <v>Windrow</v>
      </c>
      <c r="C5441" s="138" t="str">
        <f t="shared" ref="C5441:C5504" si="374">IF(ISNUMBER($J5441),"Without Amendment","")</f>
        <v>Without Amendment</v>
      </c>
      <c r="D5441" s="138" t="str">
        <f t="shared" si="372"/>
        <v>High_High</v>
      </c>
      <c r="E5441" s="138" t="str">
        <f t="shared" si="371"/>
        <v>Base</v>
      </c>
      <c r="F5441" s="138" t="str">
        <f t="shared" si="369"/>
        <v>Upgraded</v>
      </c>
      <c r="G5441" s="153"/>
      <c r="H5441" s="210">
        <v>2.8799999999999999E-2</v>
      </c>
      <c r="I5441" s="160" t="s">
        <v>60</v>
      </c>
      <c r="J5441" s="160">
        <v>1.3799999999999999E-3</v>
      </c>
      <c r="K5441" s="160" t="s">
        <v>24</v>
      </c>
      <c r="L5441" s="154" t="str">
        <f>IF(OpenLCAbasic!K5441="CTUh", "Fill in Manually",IF(OR(K5441="Unit", K5441=""), "", INDEX(LookUps!$E$5:$E$12, MATCH(OpenLCAbasic!K5441,LookUps!$D$5:$D$12,0))))</f>
        <v>Acidification Potential (AP) - kg SO2 eq</v>
      </c>
      <c r="M5441" s="154" t="str">
        <f t="shared" si="373"/>
        <v>Base_High_High_Upgraded_Acidification Potential (AP) - kg SO2 eq_Belt filter press; wastewater treatment unit; at updated plant - US_Without Amendment_Windrow</v>
      </c>
    </row>
    <row r="5442" spans="1:13" s="120" customFormat="1" x14ac:dyDescent="0.25">
      <c r="A5442" s="119"/>
      <c r="B5442" s="138" t="str">
        <f t="shared" si="368"/>
        <v>Windrow</v>
      </c>
      <c r="C5442" s="138" t="str">
        <f t="shared" si="374"/>
        <v>Without Amendment</v>
      </c>
      <c r="D5442" s="138" t="str">
        <f t="shared" si="372"/>
        <v>High_High</v>
      </c>
      <c r="E5442" s="138" t="str">
        <f t="shared" si="371"/>
        <v>Base</v>
      </c>
      <c r="F5442" s="138" t="str">
        <f t="shared" si="369"/>
        <v>Upgraded</v>
      </c>
      <c r="G5442" s="153"/>
      <c r="H5442" s="210">
        <v>2.5700000000000001E-2</v>
      </c>
      <c r="I5442" s="160" t="s">
        <v>128</v>
      </c>
      <c r="J5442" s="160">
        <v>1.23E-3</v>
      </c>
      <c r="K5442" s="160" t="s">
        <v>24</v>
      </c>
      <c r="L5442" s="154" t="str">
        <f>IF(OpenLCAbasic!K5442="CTUh", "Fill in Manually",IF(OR(K5442="Unit", K5442=""), "", INDEX(LookUps!$E$5:$E$12, MATCH(OpenLCAbasic!K5442,LookUps!$D$5:$D$12,0))))</f>
        <v>Acidification Potential (AP) - kg SO2 eq</v>
      </c>
      <c r="M5442" s="154" t="str">
        <f t="shared" si="373"/>
        <v>Base_High_High_Upgraded_Acidification Potential (AP) - kg SO2 eq_Wastewater collection; operation and infrastructure; m3 wastewater_Without Amendment_Windrow</v>
      </c>
    </row>
    <row r="5443" spans="1:13" s="120" customFormat="1" x14ac:dyDescent="0.25">
      <c r="A5443" s="119"/>
      <c r="B5443" s="138" t="str">
        <f t="shared" si="368"/>
        <v>Windrow</v>
      </c>
      <c r="C5443" s="138" t="str">
        <f t="shared" si="374"/>
        <v>Without Amendment</v>
      </c>
      <c r="D5443" s="138" t="str">
        <f t="shared" si="372"/>
        <v>High_High</v>
      </c>
      <c r="E5443" s="138" t="str">
        <f t="shared" si="371"/>
        <v>Base</v>
      </c>
      <c r="F5443" s="138" t="str">
        <f t="shared" si="369"/>
        <v>Upgraded</v>
      </c>
      <c r="G5443" s="153"/>
      <c r="H5443" s="210">
        <v>1.47E-2</v>
      </c>
      <c r="I5443" s="160" t="s">
        <v>57</v>
      </c>
      <c r="J5443" s="160">
        <v>6.9999999999999999E-4</v>
      </c>
      <c r="K5443" s="160" t="s">
        <v>24</v>
      </c>
      <c r="L5443" s="154" t="str">
        <f>IF(OpenLCAbasic!K5443="CTUh", "Fill in Manually",IF(OR(K5443="Unit", K5443=""), "", INDEX(LookUps!$E$5:$E$12, MATCH(OpenLCAbasic!K5443,LookUps!$D$5:$D$12,0))))</f>
        <v>Acidification Potential (AP) - kg SO2 eq</v>
      </c>
      <c r="M5443" s="154" t="str">
        <f t="shared" si="373"/>
        <v>Base_High_High_Upgraded_Acidification Potential (AP) - kg SO2 eq_Gravity Belt Thickener; wastewater treatment unit; at updated plant - US_Without Amendment_Windrow</v>
      </c>
    </row>
    <row r="5444" spans="1:13" s="120" customFormat="1" x14ac:dyDescent="0.25">
      <c r="A5444" s="119"/>
      <c r="B5444" s="138" t="str">
        <f t="shared" si="368"/>
        <v>Windrow</v>
      </c>
      <c r="C5444" s="138" t="str">
        <f t="shared" si="374"/>
        <v>Without Amendment</v>
      </c>
      <c r="D5444" s="138" t="str">
        <f t="shared" si="372"/>
        <v>High_High</v>
      </c>
      <c r="E5444" s="138" t="str">
        <f t="shared" si="371"/>
        <v>Base</v>
      </c>
      <c r="F5444" s="138" t="str">
        <f t="shared" si="369"/>
        <v>Upgraded</v>
      </c>
      <c r="G5444" s="153"/>
      <c r="H5444" s="210">
        <v>1.0800000000000001E-2</v>
      </c>
      <c r="I5444" s="160" t="s">
        <v>59</v>
      </c>
      <c r="J5444" s="160">
        <v>5.1999999999999995E-4</v>
      </c>
      <c r="K5444" s="160" t="s">
        <v>24</v>
      </c>
      <c r="L5444" s="154" t="str">
        <f>IF(OpenLCAbasic!K5444="CTUh", "Fill in Manually",IF(OR(K5444="Unit", K5444=""), "", INDEX(LookUps!$E$5:$E$12, MATCH(OpenLCAbasic!K5444,LookUps!$D$5:$D$12,0))))</f>
        <v>Acidification Potential (AP) - kg SO2 eq</v>
      </c>
      <c r="M5444" s="154" t="str">
        <f t="shared" si="373"/>
        <v>Base_High_High_Upgraded_Acidification Potential (AP) - kg SO2 eq_Blend Tank; wastewater treatment unit; at updated plant - US_Without Amendment_Windrow</v>
      </c>
    </row>
    <row r="5445" spans="1:13" s="120" customFormat="1" x14ac:dyDescent="0.25">
      <c r="A5445" s="119"/>
      <c r="B5445" s="138" t="str">
        <f t="shared" si="368"/>
        <v>Windrow</v>
      </c>
      <c r="C5445" s="138" t="str">
        <f t="shared" si="374"/>
        <v>Without Amendment</v>
      </c>
      <c r="D5445" s="138" t="str">
        <f t="shared" si="372"/>
        <v>High_High</v>
      </c>
      <c r="E5445" s="138" t="str">
        <f t="shared" si="371"/>
        <v>Base</v>
      </c>
      <c r="F5445" s="138" t="str">
        <f t="shared" si="369"/>
        <v>Upgraded</v>
      </c>
      <c r="G5445" s="153"/>
      <c r="H5445" s="210">
        <v>7.1999999999999998E-3</v>
      </c>
      <c r="I5445" s="160" t="s">
        <v>48</v>
      </c>
      <c r="J5445" s="160">
        <v>3.5E-4</v>
      </c>
      <c r="K5445" s="160" t="s">
        <v>24</v>
      </c>
      <c r="L5445" s="154" t="str">
        <f>IF(OpenLCAbasic!K5445="CTUh", "Fill in Manually",IF(OR(K5445="Unit", K5445=""), "", INDEX(LookUps!$E$5:$E$12, MATCH(OpenLCAbasic!K5445,LookUps!$D$5:$D$12,0))))</f>
        <v>Acidification Potential (AP) - kg SO2 eq</v>
      </c>
      <c r="M5445" s="154" t="str">
        <f t="shared" si="373"/>
        <v>Base_High_High_Upgraded_Acidification Potential (AP) - kg SO2 eq_Effluent release; wastewater treatment unit; at surface water; m3 wastewater - US_Without Amendment_Windrow</v>
      </c>
    </row>
    <row r="5446" spans="1:13" s="120" customFormat="1" x14ac:dyDescent="0.25">
      <c r="A5446" s="119"/>
      <c r="B5446" s="138" t="str">
        <f t="shared" si="368"/>
        <v>Windrow</v>
      </c>
      <c r="C5446" s="138" t="str">
        <f t="shared" si="374"/>
        <v>Without Amendment</v>
      </c>
      <c r="D5446" s="138" t="str">
        <f t="shared" si="372"/>
        <v>High_High</v>
      </c>
      <c r="E5446" s="138" t="str">
        <f t="shared" si="371"/>
        <v>Base</v>
      </c>
      <c r="F5446" s="138" t="str">
        <f t="shared" si="369"/>
        <v>Upgraded</v>
      </c>
      <c r="G5446" s="153"/>
      <c r="H5446" s="210">
        <v>5.3E-3</v>
      </c>
      <c r="I5446" s="160" t="s">
        <v>168</v>
      </c>
      <c r="J5446" s="160">
        <v>2.5999999999999998E-4</v>
      </c>
      <c r="K5446" s="160" t="s">
        <v>24</v>
      </c>
      <c r="L5446" s="154" t="str">
        <f>IF(OpenLCAbasic!K5446="CTUh", "Fill in Manually",IF(OR(K5446="Unit", K5446=""), "", INDEX(LookUps!$E$5:$E$12, MATCH(OpenLCAbasic!K5446,LookUps!$D$5:$D$12,0))))</f>
        <v>Acidification Potential (AP) - kg SO2 eq</v>
      </c>
      <c r="M5446" s="154" t="str">
        <f t="shared" si="373"/>
        <v>Base_High_High_Upgraded_Acidification Potential (AP) - kg SO2 eq_ClearCove SCP; wastewater treatment unit; at updated plant - US_Without Amendment_Windrow</v>
      </c>
    </row>
    <row r="5447" spans="1:13" s="120" customFormat="1" x14ac:dyDescent="0.25">
      <c r="A5447" s="119"/>
      <c r="B5447" s="138" t="str">
        <f t="shared" si="368"/>
        <v>Windrow</v>
      </c>
      <c r="C5447" s="138" t="str">
        <f t="shared" si="374"/>
        <v>Without Amendment</v>
      </c>
      <c r="D5447" s="138" t="str">
        <f t="shared" si="372"/>
        <v>High_High</v>
      </c>
      <c r="E5447" s="138" t="str">
        <f t="shared" si="371"/>
        <v>Base</v>
      </c>
      <c r="F5447" s="138" t="str">
        <f t="shared" si="369"/>
        <v>Upgraded</v>
      </c>
      <c r="G5447" s="153"/>
      <c r="H5447" s="210">
        <v>8.0000000000000004E-4</v>
      </c>
      <c r="I5447" s="160" t="s">
        <v>148</v>
      </c>
      <c r="J5447" s="211">
        <v>4.0354700000000002E-5</v>
      </c>
      <c r="K5447" s="160" t="s">
        <v>24</v>
      </c>
      <c r="L5447" s="154" t="str">
        <f>IF(OpenLCAbasic!K5447="CTUh", "Fill in Manually",IF(OR(K5447="Unit", K5447=""), "", INDEX(LookUps!$E$5:$E$12, MATCH(OpenLCAbasic!K5447,LookUps!$D$5:$D$12,0))))</f>
        <v>Acidification Potential (AP) - kg SO2 eq</v>
      </c>
      <c r="M5447" s="154" t="str">
        <f t="shared" si="373"/>
        <v>Base_High_High_Upgraded_Acidification Potential (AP) - kg SO2 eq_Control Building; at upgraded wastewater treatment plant - US_Without Amendment_Windrow</v>
      </c>
    </row>
    <row r="5448" spans="1:13" s="120" customFormat="1" x14ac:dyDescent="0.25">
      <c r="A5448" s="119"/>
      <c r="B5448" s="138" t="str">
        <f t="shared" si="368"/>
        <v>Windrow</v>
      </c>
      <c r="C5448" s="138" t="str">
        <f t="shared" si="374"/>
        <v>Without Amendment</v>
      </c>
      <c r="D5448" s="138" t="str">
        <f t="shared" si="372"/>
        <v>High_High</v>
      </c>
      <c r="E5448" s="138" t="str">
        <f t="shared" si="371"/>
        <v>Base</v>
      </c>
      <c r="F5448" s="138" t="str">
        <f t="shared" si="369"/>
        <v>Upgraded</v>
      </c>
      <c r="G5448" s="153"/>
      <c r="H5448" s="210">
        <v>-2.0188000000000001</v>
      </c>
      <c r="I5448" s="160" t="s">
        <v>149</v>
      </c>
      <c r="J5448" s="160">
        <v>-9.6839999999999996E-2</v>
      </c>
      <c r="K5448" s="160" t="s">
        <v>24</v>
      </c>
      <c r="L5448" s="154" t="str">
        <f>IF(OpenLCAbasic!K5448="CTUh", "Fill in Manually",IF(OR(K5448="Unit", K5448=""), "", INDEX(LookUps!$E$5:$E$12, MATCH(OpenLCAbasic!K5448,LookUps!$D$5:$D$12,0))))</f>
        <v>Acidification Potential (AP) - kg SO2 eq</v>
      </c>
      <c r="M5448" s="154" t="str">
        <f t="shared" si="373"/>
        <v>Base_High_High_Upgraded_Acidification Potential (AP) - kg SO2 eq_Anaerobic Digestion; wastewater treatment unit; at updated plant - US_Without Amendment_Windrow</v>
      </c>
    </row>
    <row r="5449" spans="1:13" s="120" customFormat="1" x14ac:dyDescent="0.25">
      <c r="A5449" s="119"/>
      <c r="B5449" s="138" t="str">
        <f t="shared" si="368"/>
        <v/>
      </c>
      <c r="C5449" s="138" t="str">
        <f t="shared" si="374"/>
        <v/>
      </c>
      <c r="D5449" s="138" t="str">
        <f t="shared" si="372"/>
        <v/>
      </c>
      <c r="E5449" s="138" t="str">
        <f t="shared" si="371"/>
        <v/>
      </c>
      <c r="F5449" s="138" t="str">
        <f t="shared" si="369"/>
        <v/>
      </c>
      <c r="G5449" s="153" t="s">
        <v>51</v>
      </c>
      <c r="H5449" s="160"/>
      <c r="I5449" s="160" t="s">
        <v>47</v>
      </c>
      <c r="J5449" s="160" t="s">
        <v>52</v>
      </c>
      <c r="K5449" s="160" t="s">
        <v>27</v>
      </c>
      <c r="L5449" s="154" t="str">
        <f>IF(OpenLCAbasic!K5449="CTUh", "Fill in Manually",IF(OR(K5449="Unit", K5449=""), "", INDEX(LookUps!$E$5:$E$12, MATCH(OpenLCAbasic!K5449,LookUps!$D$5:$D$12,0))))</f>
        <v/>
      </c>
      <c r="M5449" s="154" t="str">
        <f t="shared" si="373"/>
        <v>____Process__</v>
      </c>
    </row>
    <row r="5450" spans="1:13" s="120" customFormat="1" x14ac:dyDescent="0.25">
      <c r="A5450" s="119"/>
      <c r="B5450" s="138" t="str">
        <f t="shared" si="368"/>
        <v>Windrow</v>
      </c>
      <c r="C5450" s="138" t="str">
        <f t="shared" si="374"/>
        <v>Without Amendment</v>
      </c>
      <c r="D5450" s="138" t="str">
        <f t="shared" si="372"/>
        <v>High_High</v>
      </c>
      <c r="E5450" s="138" t="str">
        <f t="shared" si="371"/>
        <v>Base</v>
      </c>
      <c r="F5450" s="138" t="str">
        <f t="shared" si="369"/>
        <v>Upgraded</v>
      </c>
      <c r="G5450" s="153"/>
      <c r="H5450" s="210">
        <v>0.50429999999999997</v>
      </c>
      <c r="I5450" s="160" t="s">
        <v>167</v>
      </c>
      <c r="J5450" s="160">
        <v>5.1393399999999998</v>
      </c>
      <c r="K5450" s="160" t="s">
        <v>15</v>
      </c>
      <c r="L5450" s="154" t="str">
        <f>IF(OpenLCAbasic!K5450="CTUh", "Fill in Manually",IF(OR(K5450="Unit", K5450=""), "", INDEX(LookUps!$E$5:$E$12, MATCH(OpenLCAbasic!K5450,LookUps!$D$5:$D$12,0))))</f>
        <v>Cumulative Energy Demand (CED) - MJ</v>
      </c>
      <c r="M5450" s="154" t="str">
        <f t="shared" si="373"/>
        <v>Base_High_High_Upgraded_Cumulative Energy Demand (CED) - MJ_Waste Receiving and Holding; wastewater treatment unit; at updated plant - US_Without Amendment_Windrow</v>
      </c>
    </row>
    <row r="5451" spans="1:13" s="120" customFormat="1" x14ac:dyDescent="0.25">
      <c r="A5451" s="119"/>
      <c r="B5451" s="138" t="str">
        <f t="shared" si="368"/>
        <v>Windrow</v>
      </c>
      <c r="C5451" s="138" t="str">
        <f t="shared" si="374"/>
        <v>Without Amendment</v>
      </c>
      <c r="D5451" s="138" t="str">
        <f t="shared" si="372"/>
        <v>High_High</v>
      </c>
      <c r="E5451" s="138" t="str">
        <f t="shared" si="371"/>
        <v>Base</v>
      </c>
      <c r="F5451" s="138" t="str">
        <f t="shared" si="369"/>
        <v>Upgraded</v>
      </c>
      <c r="G5451" s="153"/>
      <c r="H5451" s="210">
        <v>0.34670000000000001</v>
      </c>
      <c r="I5451" s="160" t="s">
        <v>55</v>
      </c>
      <c r="J5451" s="160">
        <v>3.5330499999999998</v>
      </c>
      <c r="K5451" s="160" t="s">
        <v>15</v>
      </c>
      <c r="L5451" s="154" t="str">
        <f>IF(OpenLCAbasic!K5451="CTUh", "Fill in Manually",IF(OR(K5451="Unit", K5451=""), "", INDEX(LookUps!$E$5:$E$12, MATCH(OpenLCAbasic!K5451,LookUps!$D$5:$D$12,0))))</f>
        <v>Cumulative Energy Demand (CED) - MJ</v>
      </c>
      <c r="M5451" s="154" t="str">
        <f t="shared" si="373"/>
        <v>Base_High_High_Upgraded_Cumulative Energy Demand (CED) - MJ_Aeration Tanks; wastewater treatment unit; at updated plant - US_Without Amendment_Windrow</v>
      </c>
    </row>
    <row r="5452" spans="1:13" s="120" customFormat="1" x14ac:dyDescent="0.25">
      <c r="A5452" s="119"/>
      <c r="B5452" s="138" t="str">
        <f t="shared" si="368"/>
        <v>Windrow</v>
      </c>
      <c r="C5452" s="138" t="str">
        <f t="shared" si="374"/>
        <v>Without Amendment</v>
      </c>
      <c r="D5452" s="138" t="str">
        <f t="shared" si="372"/>
        <v>High_High</v>
      </c>
      <c r="E5452" s="138" t="str">
        <f t="shared" si="371"/>
        <v>Base</v>
      </c>
      <c r="F5452" s="138" t="str">
        <f t="shared" si="369"/>
        <v>Upgraded</v>
      </c>
      <c r="G5452" s="153"/>
      <c r="H5452" s="210">
        <v>0.11409999999999999</v>
      </c>
      <c r="I5452" s="160" t="s">
        <v>54</v>
      </c>
      <c r="J5452" s="160">
        <v>1.16289</v>
      </c>
      <c r="K5452" s="160" t="s">
        <v>15</v>
      </c>
      <c r="L5452" s="154" t="str">
        <f>IF(OpenLCAbasic!K5452="CTUh", "Fill in Manually",IF(OR(K5452="Unit", K5452=""), "", INDEX(LookUps!$E$5:$E$12, MATCH(OpenLCAbasic!K5452,LookUps!$D$5:$D$12,0))))</f>
        <v>Cumulative Energy Demand (CED) - MJ</v>
      </c>
      <c r="M5452" s="154" t="str">
        <f t="shared" si="373"/>
        <v>Base_High_High_Upgraded_Cumulative Energy Demand (CED) - MJ_Clear Cove Primary Clarification; wastewater treatment unit; at updated plant - US_Without Amendment_Windrow</v>
      </c>
    </row>
    <row r="5453" spans="1:13" s="120" customFormat="1" x14ac:dyDescent="0.25">
      <c r="A5453" s="119"/>
      <c r="B5453" s="138" t="str">
        <f t="shared" si="368"/>
        <v>Windrow</v>
      </c>
      <c r="C5453" s="138" t="str">
        <f t="shared" si="374"/>
        <v>Without Amendment</v>
      </c>
      <c r="D5453" s="138" t="str">
        <f t="shared" si="372"/>
        <v>High_High</v>
      </c>
      <c r="E5453" s="138" t="str">
        <f t="shared" si="371"/>
        <v>Base</v>
      </c>
      <c r="F5453" s="138" t="str">
        <f t="shared" si="369"/>
        <v>Upgraded</v>
      </c>
      <c r="G5453" s="153"/>
      <c r="H5453" s="210">
        <v>8.7400000000000005E-2</v>
      </c>
      <c r="I5453" s="160" t="s">
        <v>58</v>
      </c>
      <c r="J5453" s="160">
        <v>0.89063999999999999</v>
      </c>
      <c r="K5453" s="160" t="s">
        <v>15</v>
      </c>
      <c r="L5453" s="154" t="str">
        <f>IF(OpenLCAbasic!K5453="CTUh", "Fill in Manually",IF(OR(K5453="Unit", K5453=""), "", INDEX(LookUps!$E$5:$E$12, MATCH(OpenLCAbasic!K5453,LookUps!$D$5:$D$12,0))))</f>
        <v>Cumulative Energy Demand (CED) - MJ</v>
      </c>
      <c r="M5453" s="154" t="str">
        <f t="shared" si="373"/>
        <v>Base_High_High_Upgraded_Cumulative Energy Demand (CED) - MJ_Pre-Anoxic &amp; Swing tank; wastewater treatment unit; at updated plant - US_Without Amendment_Windrow</v>
      </c>
    </row>
    <row r="5454" spans="1:13" s="120" customFormat="1" x14ac:dyDescent="0.25">
      <c r="A5454" s="119"/>
      <c r="B5454" s="138" t="str">
        <f t="shared" si="368"/>
        <v>Windrow</v>
      </c>
      <c r="C5454" s="138" t="str">
        <f t="shared" si="374"/>
        <v>Without Amendment</v>
      </c>
      <c r="D5454" s="138" t="str">
        <f t="shared" si="372"/>
        <v>High_High</v>
      </c>
      <c r="E5454" s="138" t="str">
        <f t="shared" si="371"/>
        <v>Base</v>
      </c>
      <c r="F5454" s="138" t="str">
        <f t="shared" si="369"/>
        <v>Upgraded</v>
      </c>
      <c r="G5454" s="153"/>
      <c r="H5454" s="210">
        <v>8.6599999999999996E-2</v>
      </c>
      <c r="I5454" s="160" t="s">
        <v>147</v>
      </c>
      <c r="J5454" s="160">
        <v>0.88297000000000003</v>
      </c>
      <c r="K5454" s="160" t="s">
        <v>15</v>
      </c>
      <c r="L5454" s="154" t="str">
        <f>IF(OpenLCAbasic!K5454="CTUh", "Fill in Manually",IF(OR(K5454="Unit", K5454=""), "", INDEX(LookUps!$E$5:$E$12, MATCH(OpenLCAbasic!K5454,LookUps!$D$5:$D$12,0))))</f>
        <v>Cumulative Energy Demand (CED) - MJ</v>
      </c>
      <c r="M5454" s="154" t="str">
        <f t="shared" si="373"/>
        <v>Base_High_High_Upgraded_Cumulative Energy Demand (CED) - MJ_Influent Pump Station; wastewater treatment unit; at updated plant - US_Without Amendment_Windrow</v>
      </c>
    </row>
    <row r="5455" spans="1:13" s="120" customFormat="1" x14ac:dyDescent="0.25">
      <c r="A5455" s="119"/>
      <c r="B5455" s="138" t="str">
        <f t="shared" si="368"/>
        <v>Windrow</v>
      </c>
      <c r="C5455" s="138" t="str">
        <f t="shared" si="374"/>
        <v>Without Amendment</v>
      </c>
      <c r="D5455" s="138" t="str">
        <f t="shared" si="372"/>
        <v>High_High</v>
      </c>
      <c r="E5455" s="138" t="str">
        <f t="shared" si="371"/>
        <v>Base</v>
      </c>
      <c r="F5455" s="138" t="str">
        <f t="shared" si="369"/>
        <v>Upgraded</v>
      </c>
      <c r="G5455" s="153"/>
      <c r="H5455" s="210">
        <v>6.83E-2</v>
      </c>
      <c r="I5455" s="160" t="s">
        <v>53</v>
      </c>
      <c r="J5455" s="160">
        <v>0.69645000000000001</v>
      </c>
      <c r="K5455" s="160" t="s">
        <v>15</v>
      </c>
      <c r="L5455" s="154" t="str">
        <f>IF(OpenLCAbasic!K5455="CTUh", "Fill in Manually",IF(OR(K5455="Unit", K5455=""), "", INDEX(LookUps!$E$5:$E$12, MATCH(OpenLCAbasic!K5455,LookUps!$D$5:$D$12,0))))</f>
        <v>Cumulative Energy Demand (CED) - MJ</v>
      </c>
      <c r="M5455" s="154" t="str">
        <f t="shared" si="373"/>
        <v>Base_High_High_Upgraded_Cumulative Energy Demand (CED) - MJ_Wet Well and Sump Station; wastewater treatment unit; at updated plant - US_Without Amendment_Windrow</v>
      </c>
    </row>
    <row r="5456" spans="1:13" s="120" customFormat="1" x14ac:dyDescent="0.25">
      <c r="A5456" s="119"/>
      <c r="B5456" s="138" t="str">
        <f t="shared" si="368"/>
        <v>Windrow</v>
      </c>
      <c r="C5456" s="138" t="str">
        <f t="shared" si="374"/>
        <v>Without Amendment</v>
      </c>
      <c r="D5456" s="138" t="str">
        <f t="shared" si="372"/>
        <v>High_High</v>
      </c>
      <c r="E5456" s="138" t="str">
        <f t="shared" si="371"/>
        <v>Base</v>
      </c>
      <c r="F5456" s="138" t="str">
        <f t="shared" si="369"/>
        <v>Upgraded</v>
      </c>
      <c r="G5456" s="153"/>
      <c r="H5456" s="210">
        <v>5.0700000000000002E-2</v>
      </c>
      <c r="I5456" s="160" t="s">
        <v>60</v>
      </c>
      <c r="J5456" s="160">
        <v>0.51639000000000002</v>
      </c>
      <c r="K5456" s="160" t="s">
        <v>15</v>
      </c>
      <c r="L5456" s="154" t="str">
        <f>IF(OpenLCAbasic!K5456="CTUh", "Fill in Manually",IF(OR(K5456="Unit", K5456=""), "", INDEX(LookUps!$E$5:$E$12, MATCH(OpenLCAbasic!K5456,LookUps!$D$5:$D$12,0))))</f>
        <v>Cumulative Energy Demand (CED) - MJ</v>
      </c>
      <c r="M5456" s="154" t="str">
        <f t="shared" si="373"/>
        <v>Base_High_High_Upgraded_Cumulative Energy Demand (CED) - MJ_Belt filter press; wastewater treatment unit; at updated plant - US_Without Amendment_Windrow</v>
      </c>
    </row>
    <row r="5457" spans="1:13" s="120" customFormat="1" x14ac:dyDescent="0.25">
      <c r="A5457" s="119"/>
      <c r="B5457" s="138" t="str">
        <f t="shared" si="368"/>
        <v>Windrow</v>
      </c>
      <c r="C5457" s="138" t="str">
        <f t="shared" si="374"/>
        <v>Without Amendment</v>
      </c>
      <c r="D5457" s="138" t="str">
        <f t="shared" si="372"/>
        <v>High_High</v>
      </c>
      <c r="E5457" s="138" t="str">
        <f t="shared" si="371"/>
        <v>Base</v>
      </c>
      <c r="F5457" s="138" t="str">
        <f t="shared" si="369"/>
        <v>Upgraded</v>
      </c>
      <c r="G5457" s="153"/>
      <c r="H5457" s="210">
        <v>3.2800000000000003E-2</v>
      </c>
      <c r="I5457" s="160" t="s">
        <v>57</v>
      </c>
      <c r="J5457" s="160">
        <v>0.33404</v>
      </c>
      <c r="K5457" s="160" t="s">
        <v>15</v>
      </c>
      <c r="L5457" s="154" t="str">
        <f>IF(OpenLCAbasic!K5457="CTUh", "Fill in Manually",IF(OR(K5457="Unit", K5457=""), "", INDEX(LookUps!$E$5:$E$12, MATCH(OpenLCAbasic!K5457,LookUps!$D$5:$D$12,0))))</f>
        <v>Cumulative Energy Demand (CED) - MJ</v>
      </c>
      <c r="M5457" s="154" t="str">
        <f t="shared" si="373"/>
        <v>Base_High_High_Upgraded_Cumulative Energy Demand (CED) - MJ_Gravity Belt Thickener; wastewater treatment unit; at updated plant - US_Without Amendment_Windrow</v>
      </c>
    </row>
    <row r="5458" spans="1:13" s="120" customFormat="1" x14ac:dyDescent="0.25">
      <c r="A5458" s="119"/>
      <c r="B5458" s="138" t="str">
        <f t="shared" si="368"/>
        <v>Windrow</v>
      </c>
      <c r="C5458" s="138" t="str">
        <f t="shared" si="374"/>
        <v>Without Amendment</v>
      </c>
      <c r="D5458" s="138" t="str">
        <f t="shared" si="372"/>
        <v>High_High</v>
      </c>
      <c r="E5458" s="138" t="str">
        <f t="shared" si="371"/>
        <v>Base</v>
      </c>
      <c r="F5458" s="138" t="str">
        <f t="shared" si="369"/>
        <v>Upgraded</v>
      </c>
      <c r="G5458" s="153"/>
      <c r="H5458" s="210">
        <v>2.5100000000000001E-2</v>
      </c>
      <c r="I5458" s="160" t="s">
        <v>128</v>
      </c>
      <c r="J5458" s="160">
        <v>0.25606000000000001</v>
      </c>
      <c r="K5458" s="160" t="s">
        <v>15</v>
      </c>
      <c r="L5458" s="154" t="str">
        <f>IF(OpenLCAbasic!K5458="CTUh", "Fill in Manually",IF(OR(K5458="Unit", K5458=""), "", INDEX(LookUps!$E$5:$E$12, MATCH(OpenLCAbasic!K5458,LookUps!$D$5:$D$12,0))))</f>
        <v>Cumulative Energy Demand (CED) - MJ</v>
      </c>
      <c r="M5458" s="154" t="str">
        <f t="shared" si="373"/>
        <v>Base_High_High_Upgraded_Cumulative Energy Demand (CED) - MJ_Wastewater collection; operation and infrastructure; m3 wastewater_Without Amendment_Windrow</v>
      </c>
    </row>
    <row r="5459" spans="1:13" s="120" customFormat="1" x14ac:dyDescent="0.25">
      <c r="A5459" s="119"/>
      <c r="B5459" s="138" t="str">
        <f t="shared" si="368"/>
        <v>Windrow</v>
      </c>
      <c r="C5459" s="138" t="str">
        <f t="shared" si="374"/>
        <v>Without Amendment</v>
      </c>
      <c r="D5459" s="138" t="str">
        <f t="shared" si="372"/>
        <v>High_High</v>
      </c>
      <c r="E5459" s="138" t="str">
        <f t="shared" si="371"/>
        <v>Base</v>
      </c>
      <c r="F5459" s="138" t="str">
        <f t="shared" si="369"/>
        <v>Upgraded</v>
      </c>
      <c r="G5459" s="153"/>
      <c r="H5459" s="210">
        <v>1.43E-2</v>
      </c>
      <c r="I5459" s="160" t="s">
        <v>148</v>
      </c>
      <c r="J5459" s="160">
        <v>0.14599000000000001</v>
      </c>
      <c r="K5459" s="160" t="s">
        <v>15</v>
      </c>
      <c r="L5459" s="154" t="str">
        <f>IF(OpenLCAbasic!K5459="CTUh", "Fill in Manually",IF(OR(K5459="Unit", K5459=""), "", INDEX(LookUps!$E$5:$E$12, MATCH(OpenLCAbasic!K5459,LookUps!$D$5:$D$12,0))))</f>
        <v>Cumulative Energy Demand (CED) - MJ</v>
      </c>
      <c r="M5459" s="154" t="str">
        <f t="shared" si="373"/>
        <v>Base_High_High_Upgraded_Cumulative Energy Demand (CED) - MJ_Control Building; at upgraded wastewater treatment plant - US_Without Amendment_Windrow</v>
      </c>
    </row>
    <row r="5460" spans="1:13" s="120" customFormat="1" x14ac:dyDescent="0.25">
      <c r="A5460" s="119"/>
      <c r="B5460" s="138" t="str">
        <f t="shared" si="368"/>
        <v>Windrow</v>
      </c>
      <c r="C5460" s="138" t="str">
        <f t="shared" si="374"/>
        <v>Without Amendment</v>
      </c>
      <c r="D5460" s="138" t="str">
        <f t="shared" si="372"/>
        <v>High_High</v>
      </c>
      <c r="E5460" s="138" t="str">
        <f t="shared" si="371"/>
        <v>Base</v>
      </c>
      <c r="F5460" s="138" t="str">
        <f t="shared" si="369"/>
        <v>Upgraded</v>
      </c>
      <c r="G5460" s="153"/>
      <c r="H5460" s="210">
        <v>1.3100000000000001E-2</v>
      </c>
      <c r="I5460" s="160" t="s">
        <v>48</v>
      </c>
      <c r="J5460" s="160">
        <v>0.13321</v>
      </c>
      <c r="K5460" s="160" t="s">
        <v>15</v>
      </c>
      <c r="L5460" s="154" t="str">
        <f>IF(OpenLCAbasic!K5460="CTUh", "Fill in Manually",IF(OR(K5460="Unit", K5460=""), "", INDEX(LookUps!$E$5:$E$12, MATCH(OpenLCAbasic!K5460,LookUps!$D$5:$D$12,0))))</f>
        <v>Cumulative Energy Demand (CED) - MJ</v>
      </c>
      <c r="M5460" s="154" t="str">
        <f t="shared" si="373"/>
        <v>Base_High_High_Upgraded_Cumulative Energy Demand (CED) - MJ_Effluent release; wastewater treatment unit; at surface water; m3 wastewater - US_Without Amendment_Windrow</v>
      </c>
    </row>
    <row r="5461" spans="1:13" s="120" customFormat="1" x14ac:dyDescent="0.25">
      <c r="A5461" s="119"/>
      <c r="B5461" s="138" t="str">
        <f t="shared" si="368"/>
        <v>Windrow</v>
      </c>
      <c r="C5461" s="138" t="str">
        <f t="shared" si="374"/>
        <v>Without Amendment</v>
      </c>
      <c r="D5461" s="138" t="str">
        <f t="shared" si="372"/>
        <v>High_High</v>
      </c>
      <c r="E5461" s="138" t="str">
        <f t="shared" si="371"/>
        <v>Base</v>
      </c>
      <c r="F5461" s="138" t="str">
        <f t="shared" si="369"/>
        <v>Upgraded</v>
      </c>
      <c r="G5461" s="153"/>
      <c r="H5461" s="210">
        <v>1.04E-2</v>
      </c>
      <c r="I5461" s="160" t="s">
        <v>59</v>
      </c>
      <c r="J5461" s="160">
        <v>0.10638</v>
      </c>
      <c r="K5461" s="160" t="s">
        <v>15</v>
      </c>
      <c r="L5461" s="154" t="str">
        <f>IF(OpenLCAbasic!K5461="CTUh", "Fill in Manually",IF(OR(K5461="Unit", K5461=""), "", INDEX(LookUps!$E$5:$E$12, MATCH(OpenLCAbasic!K5461,LookUps!$D$5:$D$12,0))))</f>
        <v>Cumulative Energy Demand (CED) - MJ</v>
      </c>
      <c r="M5461" s="154" t="str">
        <f t="shared" si="373"/>
        <v>Base_High_High_Upgraded_Cumulative Energy Demand (CED) - MJ_Blend Tank; wastewater treatment unit; at updated plant - US_Without Amendment_Windrow</v>
      </c>
    </row>
    <row r="5462" spans="1:13" s="120" customFormat="1" x14ac:dyDescent="0.25">
      <c r="A5462" s="119"/>
      <c r="B5462" s="138" t="str">
        <f t="shared" si="368"/>
        <v>Windrow</v>
      </c>
      <c r="C5462" s="138" t="str">
        <f t="shared" si="374"/>
        <v>Without Amendment</v>
      </c>
      <c r="D5462" s="138" t="str">
        <f t="shared" si="372"/>
        <v>High_High</v>
      </c>
      <c r="E5462" s="138" t="str">
        <f t="shared" si="371"/>
        <v>Base</v>
      </c>
      <c r="F5462" s="138" t="str">
        <f t="shared" si="369"/>
        <v>Upgraded</v>
      </c>
      <c r="G5462" s="153"/>
      <c r="H5462" s="210">
        <v>5.0000000000000001E-3</v>
      </c>
      <c r="I5462" s="160" t="s">
        <v>168</v>
      </c>
      <c r="J5462" s="160">
        <v>5.0930000000000003E-2</v>
      </c>
      <c r="K5462" s="160" t="s">
        <v>15</v>
      </c>
      <c r="L5462" s="154" t="str">
        <f>IF(OpenLCAbasic!K5462="CTUh", "Fill in Manually",IF(OR(K5462="Unit", K5462=""), "", INDEX(LookUps!$E$5:$E$12, MATCH(OpenLCAbasic!K5462,LookUps!$D$5:$D$12,0))))</f>
        <v>Cumulative Energy Demand (CED) - MJ</v>
      </c>
      <c r="M5462" s="154" t="str">
        <f t="shared" si="373"/>
        <v>Base_High_High_Upgraded_Cumulative Energy Demand (CED) - MJ_ClearCove SCP; wastewater treatment unit; at updated plant - US_Without Amendment_Windrow</v>
      </c>
    </row>
    <row r="5463" spans="1:13" s="120" customFormat="1" x14ac:dyDescent="0.25">
      <c r="A5463" s="119"/>
      <c r="B5463" s="138" t="str">
        <f t="shared" si="368"/>
        <v>Windrow</v>
      </c>
      <c r="C5463" s="138" t="str">
        <f t="shared" si="374"/>
        <v>Without Amendment</v>
      </c>
      <c r="D5463" s="138" t="str">
        <f t="shared" si="372"/>
        <v>High_High</v>
      </c>
      <c r="E5463" s="138" t="str">
        <f t="shared" si="371"/>
        <v>Base</v>
      </c>
      <c r="F5463" s="138" t="str">
        <f t="shared" si="369"/>
        <v>Upgraded</v>
      </c>
      <c r="G5463" s="153"/>
      <c r="H5463" s="210">
        <v>3.3E-3</v>
      </c>
      <c r="I5463" s="160" t="s">
        <v>271</v>
      </c>
      <c r="J5463" s="160">
        <v>3.3840000000000002E-2</v>
      </c>
      <c r="K5463" s="160" t="s">
        <v>15</v>
      </c>
      <c r="L5463" s="154" t="str">
        <f>IF(OpenLCAbasic!K5463="CTUh", "Fill in Manually",IF(OR(K5463="Unit", K5463=""), "", INDEX(LookUps!$E$5:$E$12, MATCH(OpenLCAbasic!K5463,LookUps!$D$5:$D$12,0))))</f>
        <v>Cumulative Energy Demand (CED) - MJ</v>
      </c>
      <c r="M5463" s="154" t="str">
        <f t="shared" si="373"/>
        <v>Base_High_High_Upgraded_Cumulative Energy Demand (CED) - MJ_Biosolids composting; windrow composting; wastewater treatment unit; at updated plant - US_Without Amendment_Windrow</v>
      </c>
    </row>
    <row r="5464" spans="1:13" s="120" customFormat="1" x14ac:dyDescent="0.25">
      <c r="A5464" s="119"/>
      <c r="B5464" s="138" t="str">
        <f t="shared" si="368"/>
        <v>Windrow</v>
      </c>
      <c r="C5464" s="138" t="str">
        <f t="shared" si="374"/>
        <v>Without Amendment</v>
      </c>
      <c r="D5464" s="138" t="str">
        <f t="shared" si="372"/>
        <v>High_High</v>
      </c>
      <c r="E5464" s="138" t="str">
        <f t="shared" si="371"/>
        <v>Base</v>
      </c>
      <c r="F5464" s="138" t="str">
        <f t="shared" si="369"/>
        <v>Upgraded</v>
      </c>
      <c r="G5464" s="153"/>
      <c r="H5464" s="210">
        <v>-4.9700000000000001E-2</v>
      </c>
      <c r="I5464" s="160" t="s">
        <v>62</v>
      </c>
      <c r="J5464" s="160">
        <v>-0.50697999999999999</v>
      </c>
      <c r="K5464" s="160" t="s">
        <v>15</v>
      </c>
      <c r="L5464" s="154" t="str">
        <f>IF(OpenLCAbasic!K5464="CTUh", "Fill in Manually",IF(OR(K5464="Unit", K5464=""), "", INDEX(LookUps!$E$5:$E$12, MATCH(OpenLCAbasic!K5464,LookUps!$D$5:$D$12,0))))</f>
        <v>Cumulative Energy Demand (CED) - MJ</v>
      </c>
      <c r="M5464" s="154" t="str">
        <f t="shared" si="373"/>
        <v>Base_High_High_Upgraded_Cumulative Energy Demand (CED) - MJ_Land application of compost; wastewater treatment unit; at updated plant - US_Without Amendment_Windrow</v>
      </c>
    </row>
    <row r="5465" spans="1:13" s="120" customFormat="1" x14ac:dyDescent="0.25">
      <c r="A5465" s="119"/>
      <c r="B5465" s="138" t="str">
        <f t="shared" si="368"/>
        <v>Windrow</v>
      </c>
      <c r="C5465" s="138" t="str">
        <f t="shared" si="374"/>
        <v>Without Amendment</v>
      </c>
      <c r="D5465" s="138" t="str">
        <f t="shared" si="372"/>
        <v>High_High</v>
      </c>
      <c r="E5465" s="138" t="str">
        <f t="shared" si="371"/>
        <v>Base</v>
      </c>
      <c r="F5465" s="138" t="str">
        <f t="shared" si="369"/>
        <v>Upgraded</v>
      </c>
      <c r="G5465" s="153"/>
      <c r="H5465" s="210">
        <v>-2.3123</v>
      </c>
      <c r="I5465" s="160" t="s">
        <v>149</v>
      </c>
      <c r="J5465" s="160">
        <v>-23.56711</v>
      </c>
      <c r="K5465" s="160" t="s">
        <v>15</v>
      </c>
      <c r="L5465" s="154" t="str">
        <f>IF(OpenLCAbasic!K5465="CTUh", "Fill in Manually",IF(OR(K5465="Unit", K5465=""), "", INDEX(LookUps!$E$5:$E$12, MATCH(OpenLCAbasic!K5465,LookUps!$D$5:$D$12,0))))</f>
        <v>Cumulative Energy Demand (CED) - MJ</v>
      </c>
      <c r="M5465" s="154" t="str">
        <f t="shared" si="373"/>
        <v>Base_High_High_Upgraded_Cumulative Energy Demand (CED) - MJ_Anaerobic Digestion; wastewater treatment unit; at updated plant - US_Without Amendment_Windrow</v>
      </c>
    </row>
    <row r="5466" spans="1:13" s="120" customFormat="1" x14ac:dyDescent="0.25">
      <c r="A5466" s="119"/>
      <c r="B5466" s="138" t="str">
        <f t="shared" si="368"/>
        <v/>
      </c>
      <c r="C5466" s="138" t="str">
        <f t="shared" si="374"/>
        <v/>
      </c>
      <c r="D5466" s="138" t="str">
        <f t="shared" si="372"/>
        <v/>
      </c>
      <c r="E5466" s="138" t="str">
        <f t="shared" si="371"/>
        <v/>
      </c>
      <c r="F5466" s="138" t="str">
        <f t="shared" si="369"/>
        <v/>
      </c>
      <c r="G5466" s="153" t="s">
        <v>51</v>
      </c>
      <c r="H5466" s="160"/>
      <c r="I5466" s="160" t="s">
        <v>47</v>
      </c>
      <c r="J5466" s="160" t="s">
        <v>52</v>
      </c>
      <c r="K5466" s="160" t="s">
        <v>27</v>
      </c>
      <c r="L5466" s="154" t="str">
        <f>IF(OpenLCAbasic!K5466="CTUh", "Fill in Manually",IF(OR(K5466="Unit", K5466=""), "", INDEX(LookUps!$E$5:$E$12, MATCH(OpenLCAbasic!K5466,LookUps!$D$5:$D$12,0))))</f>
        <v/>
      </c>
      <c r="M5466" s="154" t="str">
        <f t="shared" si="373"/>
        <v>____Process__</v>
      </c>
    </row>
    <row r="5467" spans="1:13" s="120" customFormat="1" x14ac:dyDescent="0.25">
      <c r="A5467" s="119"/>
      <c r="B5467" s="138" t="str">
        <f t="shared" si="368"/>
        <v>Windrow</v>
      </c>
      <c r="C5467" s="138" t="str">
        <f t="shared" si="374"/>
        <v>Without Amendment</v>
      </c>
      <c r="D5467" s="138" t="str">
        <f t="shared" si="372"/>
        <v>High_High</v>
      </c>
      <c r="E5467" s="138" t="str">
        <f t="shared" si="371"/>
        <v>Base</v>
      </c>
      <c r="F5467" s="138" t="str">
        <f t="shared" si="369"/>
        <v>Upgraded</v>
      </c>
      <c r="G5467" s="153"/>
      <c r="H5467" s="210">
        <v>0.88780000000000003</v>
      </c>
      <c r="I5467" s="160" t="s">
        <v>48</v>
      </c>
      <c r="J5467" s="160">
        <v>1.1610000000000001E-2</v>
      </c>
      <c r="K5467" s="160" t="s">
        <v>13</v>
      </c>
      <c r="L5467" s="154" t="str">
        <f>IF(OpenLCAbasic!K5467="CTUh", "Fill in Manually",IF(OR(K5467="Unit", K5467=""), "", INDEX(LookUps!$E$5:$E$12, MATCH(OpenLCAbasic!K5467,LookUps!$D$5:$D$12,0))))</f>
        <v>Eutrophication Potential (EP) - kg N eq</v>
      </c>
      <c r="M5467" s="154" t="str">
        <f t="shared" si="373"/>
        <v>Base_High_High_Upgraded_Eutrophication Potential (EP) - kg N eq_Effluent release; wastewater treatment unit; at surface water; m3 wastewater - US_Without Amendment_Windrow</v>
      </c>
    </row>
    <row r="5468" spans="1:13" s="120" customFormat="1" x14ac:dyDescent="0.25">
      <c r="A5468" s="119"/>
      <c r="B5468" s="138" t="str">
        <f t="shared" si="368"/>
        <v>Windrow</v>
      </c>
      <c r="C5468" s="138" t="str">
        <f t="shared" si="374"/>
        <v>Without Amendment</v>
      </c>
      <c r="D5468" s="138" t="str">
        <f t="shared" si="372"/>
        <v>High_High</v>
      </c>
      <c r="E5468" s="138" t="str">
        <f t="shared" si="371"/>
        <v>Base</v>
      </c>
      <c r="F5468" s="138" t="str">
        <f t="shared" si="369"/>
        <v>Upgraded</v>
      </c>
      <c r="G5468" s="153"/>
      <c r="H5468" s="210">
        <v>0.1767</v>
      </c>
      <c r="I5468" s="160" t="s">
        <v>62</v>
      </c>
      <c r="J5468" s="160">
        <v>2.31E-3</v>
      </c>
      <c r="K5468" s="160" t="s">
        <v>13</v>
      </c>
      <c r="L5468" s="154" t="str">
        <f>IF(OpenLCAbasic!K5468="CTUh", "Fill in Manually",IF(OR(K5468="Unit", K5468=""), "", INDEX(LookUps!$E$5:$E$12, MATCH(OpenLCAbasic!K5468,LookUps!$D$5:$D$12,0))))</f>
        <v>Eutrophication Potential (EP) - kg N eq</v>
      </c>
      <c r="M5468" s="154" t="str">
        <f t="shared" si="373"/>
        <v>Base_High_High_Upgraded_Eutrophication Potential (EP) - kg N eq_Land application of compost; wastewater treatment unit; at updated plant - US_Without Amendment_Windrow</v>
      </c>
    </row>
    <row r="5469" spans="1:13" s="120" customFormat="1" x14ac:dyDescent="0.25">
      <c r="A5469" s="119"/>
      <c r="B5469" s="138" t="str">
        <f t="shared" si="368"/>
        <v>Windrow</v>
      </c>
      <c r="C5469" s="138" t="str">
        <f t="shared" si="374"/>
        <v>Without Amendment</v>
      </c>
      <c r="D5469" s="138" t="str">
        <f t="shared" si="372"/>
        <v>High_High</v>
      </c>
      <c r="E5469" s="138" t="str">
        <f t="shared" si="371"/>
        <v>Base</v>
      </c>
      <c r="F5469" s="138" t="str">
        <f t="shared" si="369"/>
        <v>Upgraded</v>
      </c>
      <c r="G5469" s="153"/>
      <c r="H5469" s="210">
        <v>4.1799999999999997E-2</v>
      </c>
      <c r="I5469" s="160" t="s">
        <v>55</v>
      </c>
      <c r="J5469" s="160">
        <v>5.5000000000000003E-4</v>
      </c>
      <c r="K5469" s="160" t="s">
        <v>13</v>
      </c>
      <c r="L5469" s="154" t="str">
        <f>IF(OpenLCAbasic!K5469="CTUh", "Fill in Manually",IF(OR(K5469="Unit", K5469=""), "", INDEX(LookUps!$E$5:$E$12, MATCH(OpenLCAbasic!K5469,LookUps!$D$5:$D$12,0))))</f>
        <v>Eutrophication Potential (EP) - kg N eq</v>
      </c>
      <c r="M5469" s="154" t="str">
        <f t="shared" si="373"/>
        <v>Base_High_High_Upgraded_Eutrophication Potential (EP) - kg N eq_Aeration Tanks; wastewater treatment unit; at updated plant - US_Without Amendment_Windrow</v>
      </c>
    </row>
    <row r="5470" spans="1:13" s="120" customFormat="1" x14ac:dyDescent="0.25">
      <c r="A5470" s="119"/>
      <c r="B5470" s="138" t="str">
        <f t="shared" si="368"/>
        <v>Windrow</v>
      </c>
      <c r="C5470" s="138" t="str">
        <f t="shared" si="374"/>
        <v>Without Amendment</v>
      </c>
      <c r="D5470" s="138" t="str">
        <f t="shared" si="372"/>
        <v>High_High</v>
      </c>
      <c r="E5470" s="138" t="str">
        <f t="shared" si="371"/>
        <v>Base</v>
      </c>
      <c r="F5470" s="138" t="str">
        <f t="shared" si="369"/>
        <v>Upgraded</v>
      </c>
      <c r="G5470" s="153"/>
      <c r="H5470" s="210">
        <v>3.1300000000000001E-2</v>
      </c>
      <c r="I5470" s="160" t="s">
        <v>271</v>
      </c>
      <c r="J5470" s="160">
        <v>4.0999999999999999E-4</v>
      </c>
      <c r="K5470" s="160" t="s">
        <v>13</v>
      </c>
      <c r="L5470" s="154" t="str">
        <f>IF(OpenLCAbasic!K5470="CTUh", "Fill in Manually",IF(OR(K5470="Unit", K5470=""), "", INDEX(LookUps!$E$5:$E$12, MATCH(OpenLCAbasic!K5470,LookUps!$D$5:$D$12,0))))</f>
        <v>Eutrophication Potential (EP) - kg N eq</v>
      </c>
      <c r="M5470" s="154" t="str">
        <f t="shared" si="373"/>
        <v>Base_High_High_Upgraded_Eutrophication Potential (EP) - kg N eq_Biosolids composting; windrow composting; wastewater treatment unit; at updated plant - US_Without Amendment_Windrow</v>
      </c>
    </row>
    <row r="5471" spans="1:13" s="120" customFormat="1" x14ac:dyDescent="0.25">
      <c r="A5471" s="119"/>
      <c r="B5471" s="138" t="str">
        <f t="shared" si="368"/>
        <v>Windrow</v>
      </c>
      <c r="C5471" s="138" t="str">
        <f t="shared" si="374"/>
        <v>Without Amendment</v>
      </c>
      <c r="D5471" s="138" t="str">
        <f t="shared" si="372"/>
        <v>High_High</v>
      </c>
      <c r="E5471" s="138" t="str">
        <f t="shared" si="371"/>
        <v>Base</v>
      </c>
      <c r="F5471" s="138" t="str">
        <f t="shared" si="369"/>
        <v>Upgraded</v>
      </c>
      <c r="G5471" s="153"/>
      <c r="H5471" s="210">
        <v>1.9099999999999999E-2</v>
      </c>
      <c r="I5471" s="160" t="s">
        <v>147</v>
      </c>
      <c r="J5471" s="160">
        <v>2.5000000000000001E-4</v>
      </c>
      <c r="K5471" s="160" t="s">
        <v>13</v>
      </c>
      <c r="L5471" s="154" t="str">
        <f>IF(OpenLCAbasic!K5471="CTUh", "Fill in Manually",IF(OR(K5471="Unit", K5471=""), "", INDEX(LookUps!$E$5:$E$12, MATCH(OpenLCAbasic!K5471,LookUps!$D$5:$D$12,0))))</f>
        <v>Eutrophication Potential (EP) - kg N eq</v>
      </c>
      <c r="M5471" s="154" t="str">
        <f t="shared" si="373"/>
        <v>Base_High_High_Upgraded_Eutrophication Potential (EP) - kg N eq_Influent Pump Station; wastewater treatment unit; at updated plant - US_Without Amendment_Windrow</v>
      </c>
    </row>
    <row r="5472" spans="1:13" s="120" customFormat="1" x14ac:dyDescent="0.25">
      <c r="A5472" s="119"/>
      <c r="B5472" s="138" t="str">
        <f t="shared" si="368"/>
        <v>Windrow</v>
      </c>
      <c r="C5472" s="138" t="str">
        <f t="shared" si="374"/>
        <v>Without Amendment</v>
      </c>
      <c r="D5472" s="138" t="str">
        <f t="shared" si="372"/>
        <v>High_High</v>
      </c>
      <c r="E5472" s="138" t="str">
        <f t="shared" si="371"/>
        <v>Base</v>
      </c>
      <c r="F5472" s="138" t="str">
        <f t="shared" si="369"/>
        <v>Upgraded</v>
      </c>
      <c r="G5472" s="153"/>
      <c r="H5472" s="210">
        <v>1.6799999999999999E-2</v>
      </c>
      <c r="I5472" s="160" t="s">
        <v>167</v>
      </c>
      <c r="J5472" s="160">
        <v>2.2000000000000001E-4</v>
      </c>
      <c r="K5472" s="160" t="s">
        <v>13</v>
      </c>
      <c r="L5472" s="154" t="str">
        <f>IF(OpenLCAbasic!K5472="CTUh", "Fill in Manually",IF(OR(K5472="Unit", K5472=""), "", INDEX(LookUps!$E$5:$E$12, MATCH(OpenLCAbasic!K5472,LookUps!$D$5:$D$12,0))))</f>
        <v>Eutrophication Potential (EP) - kg N eq</v>
      </c>
      <c r="M5472" s="154" t="str">
        <f t="shared" si="373"/>
        <v>Base_High_High_Upgraded_Eutrophication Potential (EP) - kg N eq_Waste Receiving and Holding; wastewater treatment unit; at updated plant - US_Without Amendment_Windrow</v>
      </c>
    </row>
    <row r="5473" spans="1:13" s="120" customFormat="1" x14ac:dyDescent="0.25">
      <c r="A5473" s="119"/>
      <c r="B5473" s="138" t="str">
        <f t="shared" si="368"/>
        <v>Windrow</v>
      </c>
      <c r="C5473" s="138" t="str">
        <f t="shared" si="374"/>
        <v>Without Amendment</v>
      </c>
      <c r="D5473" s="138" t="str">
        <f t="shared" si="372"/>
        <v>High_High</v>
      </c>
      <c r="E5473" s="138" t="str">
        <f t="shared" si="371"/>
        <v>Base</v>
      </c>
      <c r="F5473" s="138" t="str">
        <f t="shared" si="369"/>
        <v>Upgraded</v>
      </c>
      <c r="G5473" s="153"/>
      <c r="H5473" s="210">
        <v>1.52E-2</v>
      </c>
      <c r="I5473" s="160" t="s">
        <v>54</v>
      </c>
      <c r="J5473" s="160">
        <v>2.0000000000000001E-4</v>
      </c>
      <c r="K5473" s="160" t="s">
        <v>13</v>
      </c>
      <c r="L5473" s="154" t="str">
        <f>IF(OpenLCAbasic!K5473="CTUh", "Fill in Manually",IF(OR(K5473="Unit", K5473=""), "", INDEX(LookUps!$E$5:$E$12, MATCH(OpenLCAbasic!K5473,LookUps!$D$5:$D$12,0))))</f>
        <v>Eutrophication Potential (EP) - kg N eq</v>
      </c>
      <c r="M5473" s="154" t="str">
        <f t="shared" si="373"/>
        <v>Base_High_High_Upgraded_Eutrophication Potential (EP) - kg N eq_Clear Cove Primary Clarification; wastewater treatment unit; at updated plant - US_Without Amendment_Windrow</v>
      </c>
    </row>
    <row r="5474" spans="1:13" s="120" customFormat="1" x14ac:dyDescent="0.25">
      <c r="A5474" s="119"/>
      <c r="B5474" s="138" t="str">
        <f t="shared" si="368"/>
        <v>Windrow</v>
      </c>
      <c r="C5474" s="138" t="str">
        <f t="shared" si="374"/>
        <v>Without Amendment</v>
      </c>
      <c r="D5474" s="138" t="str">
        <f t="shared" si="372"/>
        <v>High_High</v>
      </c>
      <c r="E5474" s="138" t="str">
        <f t="shared" si="371"/>
        <v>Base</v>
      </c>
      <c r="F5474" s="138" t="str">
        <f t="shared" si="369"/>
        <v>Upgraded</v>
      </c>
      <c r="G5474" s="153"/>
      <c r="H5474" s="210">
        <v>1.04E-2</v>
      </c>
      <c r="I5474" s="160" t="s">
        <v>58</v>
      </c>
      <c r="J5474" s="160">
        <v>1.3999999999999999E-4</v>
      </c>
      <c r="K5474" s="160" t="s">
        <v>13</v>
      </c>
      <c r="L5474" s="154" t="str">
        <f>IF(OpenLCAbasic!K5474="CTUh", "Fill in Manually",IF(OR(K5474="Unit", K5474=""), "", INDEX(LookUps!$E$5:$E$12, MATCH(OpenLCAbasic!K5474,LookUps!$D$5:$D$12,0))))</f>
        <v>Eutrophication Potential (EP) - kg N eq</v>
      </c>
      <c r="M5474" s="154" t="str">
        <f t="shared" si="373"/>
        <v>Base_High_High_Upgraded_Eutrophication Potential (EP) - kg N eq_Pre-Anoxic &amp; Swing tank; wastewater treatment unit; at updated plant - US_Without Amendment_Windrow</v>
      </c>
    </row>
    <row r="5475" spans="1:13" s="120" customFormat="1" x14ac:dyDescent="0.25">
      <c r="A5475" s="119"/>
      <c r="B5475" s="138" t="str">
        <f t="shared" si="368"/>
        <v>Windrow</v>
      </c>
      <c r="C5475" s="138" t="str">
        <f t="shared" si="374"/>
        <v>Without Amendment</v>
      </c>
      <c r="D5475" s="138" t="str">
        <f t="shared" si="372"/>
        <v>High_High</v>
      </c>
      <c r="E5475" s="138" t="str">
        <f t="shared" si="371"/>
        <v>Base</v>
      </c>
      <c r="F5475" s="138" t="str">
        <f t="shared" si="369"/>
        <v>Upgraded</v>
      </c>
      <c r="G5475" s="153"/>
      <c r="H5475" s="210">
        <v>8.2000000000000007E-3</v>
      </c>
      <c r="I5475" s="160" t="s">
        <v>53</v>
      </c>
      <c r="J5475" s="160">
        <v>1.1E-4</v>
      </c>
      <c r="K5475" s="160" t="s">
        <v>13</v>
      </c>
      <c r="L5475" s="154" t="str">
        <f>IF(OpenLCAbasic!K5475="CTUh", "Fill in Manually",IF(OR(K5475="Unit", K5475=""), "", INDEX(LookUps!$E$5:$E$12, MATCH(OpenLCAbasic!K5475,LookUps!$D$5:$D$12,0))))</f>
        <v>Eutrophication Potential (EP) - kg N eq</v>
      </c>
      <c r="M5475" s="154" t="str">
        <f t="shared" si="373"/>
        <v>Base_High_High_Upgraded_Eutrophication Potential (EP) - kg N eq_Wet Well and Sump Station; wastewater treatment unit; at updated plant - US_Without Amendment_Windrow</v>
      </c>
    </row>
    <row r="5476" spans="1:13" s="120" customFormat="1" x14ac:dyDescent="0.25">
      <c r="A5476" s="119"/>
      <c r="B5476" s="138" t="str">
        <f t="shared" si="368"/>
        <v>Windrow</v>
      </c>
      <c r="C5476" s="138" t="str">
        <f t="shared" si="374"/>
        <v>Without Amendment</v>
      </c>
      <c r="D5476" s="138" t="str">
        <f t="shared" si="372"/>
        <v>High_High</v>
      </c>
      <c r="E5476" s="138" t="str">
        <f t="shared" si="371"/>
        <v>Base</v>
      </c>
      <c r="F5476" s="138" t="str">
        <f t="shared" si="369"/>
        <v>Upgraded</v>
      </c>
      <c r="G5476" s="153"/>
      <c r="H5476" s="210">
        <v>6.8999999999999999E-3</v>
      </c>
      <c r="I5476" s="160" t="s">
        <v>60</v>
      </c>
      <c r="J5476" s="211">
        <v>9.0710800000000006E-5</v>
      </c>
      <c r="K5476" s="160" t="s">
        <v>13</v>
      </c>
      <c r="L5476" s="154" t="str">
        <f>IF(OpenLCAbasic!K5476="CTUh", "Fill in Manually",IF(OR(K5476="Unit", K5476=""), "", INDEX(LookUps!$E$5:$E$12, MATCH(OpenLCAbasic!K5476,LookUps!$D$5:$D$12,0))))</f>
        <v>Eutrophication Potential (EP) - kg N eq</v>
      </c>
      <c r="M5476" s="154" t="str">
        <f t="shared" si="373"/>
        <v>Base_High_High_Upgraded_Eutrophication Potential (EP) - kg N eq_Belt filter press; wastewater treatment unit; at updated plant - US_Without Amendment_Windrow</v>
      </c>
    </row>
    <row r="5477" spans="1:13" s="120" customFormat="1" x14ac:dyDescent="0.25">
      <c r="A5477" s="119"/>
      <c r="B5477" s="138" t="str">
        <f t="shared" si="368"/>
        <v>Windrow</v>
      </c>
      <c r="C5477" s="138" t="str">
        <f t="shared" si="374"/>
        <v>Without Amendment</v>
      </c>
      <c r="D5477" s="138" t="str">
        <f t="shared" si="372"/>
        <v>High_High</v>
      </c>
      <c r="E5477" s="138" t="str">
        <f t="shared" si="371"/>
        <v>Base</v>
      </c>
      <c r="F5477" s="138" t="str">
        <f t="shared" si="369"/>
        <v>Upgraded</v>
      </c>
      <c r="G5477" s="153"/>
      <c r="H5477" s="210">
        <v>4.5999999999999999E-3</v>
      </c>
      <c r="I5477" s="160" t="s">
        <v>57</v>
      </c>
      <c r="J5477" s="211">
        <v>6.0590300000000002E-5</v>
      </c>
      <c r="K5477" s="160" t="s">
        <v>13</v>
      </c>
      <c r="L5477" s="154" t="str">
        <f>IF(OpenLCAbasic!K5477="CTUh", "Fill in Manually",IF(OR(K5477="Unit", K5477=""), "", INDEX(LookUps!$E$5:$E$12, MATCH(OpenLCAbasic!K5477,LookUps!$D$5:$D$12,0))))</f>
        <v>Eutrophication Potential (EP) - kg N eq</v>
      </c>
      <c r="M5477" s="154" t="str">
        <f t="shared" si="373"/>
        <v>Base_High_High_Upgraded_Eutrophication Potential (EP) - kg N eq_Gravity Belt Thickener; wastewater treatment unit; at updated plant - US_Without Amendment_Windrow</v>
      </c>
    </row>
    <row r="5478" spans="1:13" s="120" customFormat="1" x14ac:dyDescent="0.25">
      <c r="A5478" s="119"/>
      <c r="B5478" s="138" t="str">
        <f t="shared" si="368"/>
        <v>Windrow</v>
      </c>
      <c r="C5478" s="138" t="str">
        <f t="shared" si="374"/>
        <v>Without Amendment</v>
      </c>
      <c r="D5478" s="138" t="str">
        <f t="shared" si="372"/>
        <v>High_High</v>
      </c>
      <c r="E5478" s="138" t="str">
        <f t="shared" si="371"/>
        <v>Base</v>
      </c>
      <c r="F5478" s="138" t="str">
        <f t="shared" si="369"/>
        <v>Upgraded</v>
      </c>
      <c r="G5478" s="153"/>
      <c r="H5478" s="210">
        <v>2.8999999999999998E-3</v>
      </c>
      <c r="I5478" s="160" t="s">
        <v>128</v>
      </c>
      <c r="J5478" s="211">
        <v>3.7559799999999999E-5</v>
      </c>
      <c r="K5478" s="160" t="s">
        <v>13</v>
      </c>
      <c r="L5478" s="154" t="str">
        <f>IF(OpenLCAbasic!K5478="CTUh", "Fill in Manually",IF(OR(K5478="Unit", K5478=""), "", INDEX(LookUps!$E$5:$E$12, MATCH(OpenLCAbasic!K5478,LookUps!$D$5:$D$12,0))))</f>
        <v>Eutrophication Potential (EP) - kg N eq</v>
      </c>
      <c r="M5478" s="154" t="str">
        <f t="shared" si="373"/>
        <v>Base_High_High_Upgraded_Eutrophication Potential (EP) - kg N eq_Wastewater collection; operation and infrastructure; m3 wastewater_Without Amendment_Windrow</v>
      </c>
    </row>
    <row r="5479" spans="1:13" s="120" customFormat="1" x14ac:dyDescent="0.25">
      <c r="A5479" s="119"/>
      <c r="B5479" s="138" t="str">
        <f t="shared" si="368"/>
        <v>Windrow</v>
      </c>
      <c r="C5479" s="138" t="str">
        <f t="shared" si="374"/>
        <v>Without Amendment</v>
      </c>
      <c r="D5479" s="138" t="str">
        <f t="shared" si="372"/>
        <v>High_High</v>
      </c>
      <c r="E5479" s="138" t="str">
        <f t="shared" si="371"/>
        <v>Base</v>
      </c>
      <c r="F5479" s="138" t="str">
        <f t="shared" si="369"/>
        <v>Upgraded</v>
      </c>
      <c r="G5479" s="153"/>
      <c r="H5479" s="210">
        <v>2.8E-3</v>
      </c>
      <c r="I5479" s="160" t="s">
        <v>148</v>
      </c>
      <c r="J5479" s="211">
        <v>3.6874600000000001E-5</v>
      </c>
      <c r="K5479" s="160" t="s">
        <v>13</v>
      </c>
      <c r="L5479" s="154" t="str">
        <f>IF(OpenLCAbasic!K5479="CTUh", "Fill in Manually",IF(OR(K5479="Unit", K5479=""), "", INDEX(LookUps!$E$5:$E$12, MATCH(OpenLCAbasic!K5479,LookUps!$D$5:$D$12,0))))</f>
        <v>Eutrophication Potential (EP) - kg N eq</v>
      </c>
      <c r="M5479" s="154" t="str">
        <f t="shared" si="373"/>
        <v>Base_High_High_Upgraded_Eutrophication Potential (EP) - kg N eq_Control Building; at upgraded wastewater treatment plant - US_Without Amendment_Windrow</v>
      </c>
    </row>
    <row r="5480" spans="1:13" s="120" customFormat="1" x14ac:dyDescent="0.25">
      <c r="A5480" s="119"/>
      <c r="B5480" s="138" t="str">
        <f t="shared" ref="B5480:B5543" si="375">IF(F5480="Legacy","n.a.",IF(F5480="","","Windrow"))</f>
        <v>Windrow</v>
      </c>
      <c r="C5480" s="138" t="str">
        <f t="shared" si="374"/>
        <v>Without Amendment</v>
      </c>
      <c r="D5480" s="138" t="str">
        <f t="shared" si="372"/>
        <v>High_High</v>
      </c>
      <c r="E5480" s="138" t="str">
        <f t="shared" si="371"/>
        <v>Base</v>
      </c>
      <c r="F5480" s="138" t="str">
        <f t="shared" ref="F5480:F5543" si="376">IF(ISNUMBER(J5480),"Upgraded","")</f>
        <v>Upgraded</v>
      </c>
      <c r="G5480" s="153"/>
      <c r="H5480" s="210">
        <v>1.1999999999999999E-3</v>
      </c>
      <c r="I5480" s="160" t="s">
        <v>59</v>
      </c>
      <c r="J5480" s="211">
        <v>1.6215700000000001E-5</v>
      </c>
      <c r="K5480" s="160" t="s">
        <v>13</v>
      </c>
      <c r="L5480" s="154" t="str">
        <f>IF(OpenLCAbasic!K5480="CTUh", "Fill in Manually",IF(OR(K5480="Unit", K5480=""), "", INDEX(LookUps!$E$5:$E$12, MATCH(OpenLCAbasic!K5480,LookUps!$D$5:$D$12,0))))</f>
        <v>Eutrophication Potential (EP) - kg N eq</v>
      </c>
      <c r="M5480" s="154" t="str">
        <f t="shared" si="373"/>
        <v>Base_High_High_Upgraded_Eutrophication Potential (EP) - kg N eq_Blend Tank; wastewater treatment unit; at updated plant - US_Without Amendment_Windrow</v>
      </c>
    </row>
    <row r="5481" spans="1:13" s="120" customFormat="1" x14ac:dyDescent="0.25">
      <c r="A5481" s="119"/>
      <c r="B5481" s="138" t="str">
        <f t="shared" si="375"/>
        <v>Windrow</v>
      </c>
      <c r="C5481" s="138" t="str">
        <f t="shared" si="374"/>
        <v>Without Amendment</v>
      </c>
      <c r="D5481" s="138" t="str">
        <f t="shared" si="372"/>
        <v>High_High</v>
      </c>
      <c r="E5481" s="138" t="str">
        <f t="shared" si="371"/>
        <v>Base</v>
      </c>
      <c r="F5481" s="138" t="str">
        <f t="shared" si="376"/>
        <v>Upgraded</v>
      </c>
      <c r="G5481" s="153"/>
      <c r="H5481" s="210">
        <v>5.9999999999999995E-4</v>
      </c>
      <c r="I5481" s="160" t="s">
        <v>168</v>
      </c>
      <c r="J5481" s="211">
        <v>7.7567199999999995E-6</v>
      </c>
      <c r="K5481" s="160" t="s">
        <v>13</v>
      </c>
      <c r="L5481" s="154" t="str">
        <f>IF(OpenLCAbasic!K5481="CTUh", "Fill in Manually",IF(OR(K5481="Unit", K5481=""), "", INDEX(LookUps!$E$5:$E$12, MATCH(OpenLCAbasic!K5481,LookUps!$D$5:$D$12,0))))</f>
        <v>Eutrophication Potential (EP) - kg N eq</v>
      </c>
      <c r="M5481" s="154" t="str">
        <f t="shared" si="373"/>
        <v>Base_High_High_Upgraded_Eutrophication Potential (EP) - kg N eq_ClearCove SCP; wastewater treatment unit; at updated plant - US_Without Amendment_Windrow</v>
      </c>
    </row>
    <row r="5482" spans="1:13" s="120" customFormat="1" x14ac:dyDescent="0.25">
      <c r="A5482" s="119"/>
      <c r="B5482" s="138" t="str">
        <f t="shared" si="375"/>
        <v>Windrow</v>
      </c>
      <c r="C5482" s="138" t="str">
        <f t="shared" si="374"/>
        <v>Without Amendment</v>
      </c>
      <c r="D5482" s="138" t="str">
        <f t="shared" si="372"/>
        <v>High_High</v>
      </c>
      <c r="E5482" s="138" t="str">
        <f t="shared" si="371"/>
        <v>Base</v>
      </c>
      <c r="F5482" s="138" t="str">
        <f t="shared" si="376"/>
        <v>Upgraded</v>
      </c>
      <c r="G5482" s="153"/>
      <c r="H5482" s="210">
        <v>-0.22650000000000001</v>
      </c>
      <c r="I5482" s="160" t="s">
        <v>149</v>
      </c>
      <c r="J5482" s="160">
        <v>-2.96E-3</v>
      </c>
      <c r="K5482" s="160" t="s">
        <v>13</v>
      </c>
      <c r="L5482" s="154" t="str">
        <f>IF(OpenLCAbasic!K5482="CTUh", "Fill in Manually",IF(OR(K5482="Unit", K5482=""), "", INDEX(LookUps!$E$5:$E$12, MATCH(OpenLCAbasic!K5482,LookUps!$D$5:$D$12,0))))</f>
        <v>Eutrophication Potential (EP) - kg N eq</v>
      </c>
      <c r="M5482" s="154" t="str">
        <f t="shared" si="373"/>
        <v>Base_High_High_Upgraded_Eutrophication Potential (EP) - kg N eq_Anaerobic Digestion; wastewater treatment unit; at updated plant - US_Without Amendment_Windrow</v>
      </c>
    </row>
    <row r="5483" spans="1:13" s="120" customFormat="1" x14ac:dyDescent="0.25">
      <c r="A5483" s="119"/>
      <c r="B5483" s="138" t="str">
        <f t="shared" si="375"/>
        <v/>
      </c>
      <c r="C5483" s="138" t="str">
        <f t="shared" si="374"/>
        <v/>
      </c>
      <c r="D5483" s="138" t="str">
        <f t="shared" si="372"/>
        <v/>
      </c>
      <c r="E5483" s="138" t="str">
        <f t="shared" si="371"/>
        <v/>
      </c>
      <c r="F5483" s="138" t="str">
        <f t="shared" si="376"/>
        <v/>
      </c>
      <c r="G5483" s="153" t="s">
        <v>51</v>
      </c>
      <c r="H5483" s="160"/>
      <c r="I5483" s="160" t="s">
        <v>47</v>
      </c>
      <c r="J5483" s="160" t="s">
        <v>52</v>
      </c>
      <c r="K5483" s="160" t="s">
        <v>27</v>
      </c>
      <c r="L5483" s="154" t="str">
        <f>IF(OpenLCAbasic!K5483="CTUh", "Fill in Manually",IF(OR(K5483="Unit", K5483=""), "", INDEX(LookUps!$E$5:$E$12, MATCH(OpenLCAbasic!K5483,LookUps!$D$5:$D$12,0))))</f>
        <v/>
      </c>
      <c r="M5483" s="154" t="str">
        <f t="shared" si="373"/>
        <v>____Process__</v>
      </c>
    </row>
    <row r="5484" spans="1:13" s="120" customFormat="1" x14ac:dyDescent="0.25">
      <c r="A5484" s="119"/>
      <c r="B5484" s="138" t="str">
        <f t="shared" si="375"/>
        <v>Windrow</v>
      </c>
      <c r="C5484" s="138" t="str">
        <f t="shared" si="374"/>
        <v>Without Amendment</v>
      </c>
      <c r="D5484" s="138" t="str">
        <f t="shared" si="372"/>
        <v>High_High</v>
      </c>
      <c r="E5484" s="138" t="str">
        <f t="shared" si="371"/>
        <v>Base</v>
      </c>
      <c r="F5484" s="138" t="str">
        <f t="shared" si="376"/>
        <v>Upgraded</v>
      </c>
      <c r="G5484" s="153"/>
      <c r="H5484" s="210">
        <v>0.65500000000000003</v>
      </c>
      <c r="I5484" s="160" t="s">
        <v>167</v>
      </c>
      <c r="J5484" s="160">
        <v>0.11719</v>
      </c>
      <c r="K5484" s="160" t="s">
        <v>14</v>
      </c>
      <c r="L5484" s="154" t="str">
        <f>IF(OpenLCAbasic!K5484="CTUh", "Fill in Manually",IF(OR(K5484="Unit", K5484=""), "", INDEX(LookUps!$E$5:$E$12, MATCH(OpenLCAbasic!K5484,LookUps!$D$5:$D$12,0))))</f>
        <v>Fossil Depletion Potential (FDP) - kg oil eq</v>
      </c>
      <c r="M5484" s="154" t="str">
        <f t="shared" si="373"/>
        <v>Base_High_High_Upgraded_Fossil Depletion Potential (FDP) - kg oil eq_Waste Receiving and Holding; wastewater treatment unit; at updated plant - US_Without Amendment_Windrow</v>
      </c>
    </row>
    <row r="5485" spans="1:13" s="120" customFormat="1" x14ac:dyDescent="0.25">
      <c r="A5485" s="119"/>
      <c r="B5485" s="138" t="str">
        <f t="shared" si="375"/>
        <v>Windrow</v>
      </c>
      <c r="C5485" s="138" t="str">
        <f t="shared" si="374"/>
        <v>Without Amendment</v>
      </c>
      <c r="D5485" s="138" t="str">
        <f t="shared" si="372"/>
        <v>High_High</v>
      </c>
      <c r="E5485" s="138" t="str">
        <f t="shared" si="371"/>
        <v>Base</v>
      </c>
      <c r="F5485" s="138" t="str">
        <f t="shared" si="376"/>
        <v>Upgraded</v>
      </c>
      <c r="G5485" s="153"/>
      <c r="H5485" s="210">
        <v>0.35539999999999999</v>
      </c>
      <c r="I5485" s="160" t="s">
        <v>55</v>
      </c>
      <c r="J5485" s="160">
        <v>6.3589999999999994E-2</v>
      </c>
      <c r="K5485" s="160" t="s">
        <v>14</v>
      </c>
      <c r="L5485" s="154" t="str">
        <f>IF(OpenLCAbasic!K5485="CTUh", "Fill in Manually",IF(OR(K5485="Unit", K5485=""), "", INDEX(LookUps!$E$5:$E$12, MATCH(OpenLCAbasic!K5485,LookUps!$D$5:$D$12,0))))</f>
        <v>Fossil Depletion Potential (FDP) - kg oil eq</v>
      </c>
      <c r="M5485" s="154" t="str">
        <f t="shared" si="373"/>
        <v>Base_High_High_Upgraded_Fossil Depletion Potential (FDP) - kg oil eq_Aeration Tanks; wastewater treatment unit; at updated plant - US_Without Amendment_Windrow</v>
      </c>
    </row>
    <row r="5486" spans="1:13" s="120" customFormat="1" x14ac:dyDescent="0.25">
      <c r="A5486" s="119"/>
      <c r="B5486" s="138" t="str">
        <f t="shared" si="375"/>
        <v>Windrow</v>
      </c>
      <c r="C5486" s="138" t="str">
        <f t="shared" si="374"/>
        <v>Without Amendment</v>
      </c>
      <c r="D5486" s="138" t="str">
        <f t="shared" si="372"/>
        <v>High_High</v>
      </c>
      <c r="E5486" s="138" t="str">
        <f t="shared" si="371"/>
        <v>Base</v>
      </c>
      <c r="F5486" s="138" t="str">
        <f t="shared" si="376"/>
        <v>Upgraded</v>
      </c>
      <c r="G5486" s="153"/>
      <c r="H5486" s="210">
        <v>0.1176</v>
      </c>
      <c r="I5486" s="160" t="s">
        <v>54</v>
      </c>
      <c r="J5486" s="160">
        <v>2.1049999999999999E-2</v>
      </c>
      <c r="K5486" s="160" t="s">
        <v>14</v>
      </c>
      <c r="L5486" s="154" t="str">
        <f>IF(OpenLCAbasic!K5486="CTUh", "Fill in Manually",IF(OR(K5486="Unit", K5486=""), "", INDEX(LookUps!$E$5:$E$12, MATCH(OpenLCAbasic!K5486,LookUps!$D$5:$D$12,0))))</f>
        <v>Fossil Depletion Potential (FDP) - kg oil eq</v>
      </c>
      <c r="M5486" s="154" t="str">
        <f t="shared" si="373"/>
        <v>Base_High_High_Upgraded_Fossil Depletion Potential (FDP) - kg oil eq_Clear Cove Primary Clarification; wastewater treatment unit; at updated plant - US_Without Amendment_Windrow</v>
      </c>
    </row>
    <row r="5487" spans="1:13" s="120" customFormat="1" x14ac:dyDescent="0.25">
      <c r="A5487" s="119"/>
      <c r="B5487" s="138" t="str">
        <f t="shared" si="375"/>
        <v>Windrow</v>
      </c>
      <c r="C5487" s="138" t="str">
        <f t="shared" si="374"/>
        <v>Without Amendment</v>
      </c>
      <c r="D5487" s="138" t="str">
        <f t="shared" si="372"/>
        <v>High_High</v>
      </c>
      <c r="E5487" s="138" t="str">
        <f t="shared" si="371"/>
        <v>Base</v>
      </c>
      <c r="F5487" s="138" t="str">
        <f t="shared" si="376"/>
        <v>Upgraded</v>
      </c>
      <c r="G5487" s="153"/>
      <c r="H5487" s="210">
        <v>8.9599999999999999E-2</v>
      </c>
      <c r="I5487" s="160" t="s">
        <v>58</v>
      </c>
      <c r="J5487" s="160">
        <v>1.6039999999999999E-2</v>
      </c>
      <c r="K5487" s="160" t="s">
        <v>14</v>
      </c>
      <c r="L5487" s="154" t="str">
        <f>IF(OpenLCAbasic!K5487="CTUh", "Fill in Manually",IF(OR(K5487="Unit", K5487=""), "", INDEX(LookUps!$E$5:$E$12, MATCH(OpenLCAbasic!K5487,LookUps!$D$5:$D$12,0))))</f>
        <v>Fossil Depletion Potential (FDP) - kg oil eq</v>
      </c>
      <c r="M5487" s="154" t="str">
        <f t="shared" si="373"/>
        <v>Base_High_High_Upgraded_Fossil Depletion Potential (FDP) - kg oil eq_Pre-Anoxic &amp; Swing tank; wastewater treatment unit; at updated plant - US_Without Amendment_Windrow</v>
      </c>
    </row>
    <row r="5488" spans="1:13" s="120" customFormat="1" x14ac:dyDescent="0.25">
      <c r="A5488" s="119"/>
      <c r="B5488" s="138" t="str">
        <f t="shared" si="375"/>
        <v>Windrow</v>
      </c>
      <c r="C5488" s="138" t="str">
        <f t="shared" si="374"/>
        <v>Without Amendment</v>
      </c>
      <c r="D5488" s="138" t="str">
        <f t="shared" si="372"/>
        <v>High_High</v>
      </c>
      <c r="E5488" s="138" t="str">
        <f t="shared" si="371"/>
        <v>Base</v>
      </c>
      <c r="F5488" s="138" t="str">
        <f t="shared" si="376"/>
        <v>Upgraded</v>
      </c>
      <c r="G5488" s="153"/>
      <c r="H5488" s="210">
        <v>8.43E-2</v>
      </c>
      <c r="I5488" s="160" t="s">
        <v>147</v>
      </c>
      <c r="J5488" s="160">
        <v>1.5089999999999999E-2</v>
      </c>
      <c r="K5488" s="160" t="s">
        <v>14</v>
      </c>
      <c r="L5488" s="154" t="str">
        <f>IF(OpenLCAbasic!K5488="CTUh", "Fill in Manually",IF(OR(K5488="Unit", K5488=""), "", INDEX(LookUps!$E$5:$E$12, MATCH(OpenLCAbasic!K5488,LookUps!$D$5:$D$12,0))))</f>
        <v>Fossil Depletion Potential (FDP) - kg oil eq</v>
      </c>
      <c r="M5488" s="154" t="str">
        <f t="shared" si="373"/>
        <v>Base_High_High_Upgraded_Fossil Depletion Potential (FDP) - kg oil eq_Influent Pump Station; wastewater treatment unit; at updated plant - US_Without Amendment_Windrow</v>
      </c>
    </row>
    <row r="5489" spans="1:13" s="120" customFormat="1" x14ac:dyDescent="0.25">
      <c r="A5489" s="119"/>
      <c r="B5489" s="138" t="str">
        <f t="shared" si="375"/>
        <v>Windrow</v>
      </c>
      <c r="C5489" s="138" t="str">
        <f t="shared" si="374"/>
        <v>Without Amendment</v>
      </c>
      <c r="D5489" s="138" t="str">
        <f t="shared" si="372"/>
        <v>High_High</v>
      </c>
      <c r="E5489" s="138" t="str">
        <f t="shared" ref="E5489:E5552" si="377">IF(ISNUMBER($J5489),"Base","")</f>
        <v>Base</v>
      </c>
      <c r="F5489" s="138" t="str">
        <f t="shared" si="376"/>
        <v>Upgraded</v>
      </c>
      <c r="G5489" s="153"/>
      <c r="H5489" s="210">
        <v>6.9800000000000001E-2</v>
      </c>
      <c r="I5489" s="160" t="s">
        <v>53</v>
      </c>
      <c r="J5489" s="160">
        <v>1.2489999999999999E-2</v>
      </c>
      <c r="K5489" s="160" t="s">
        <v>14</v>
      </c>
      <c r="L5489" s="154" t="str">
        <f>IF(OpenLCAbasic!K5489="CTUh", "Fill in Manually",IF(OR(K5489="Unit", K5489=""), "", INDEX(LookUps!$E$5:$E$12, MATCH(OpenLCAbasic!K5489,LookUps!$D$5:$D$12,0))))</f>
        <v>Fossil Depletion Potential (FDP) - kg oil eq</v>
      </c>
      <c r="M5489" s="154" t="str">
        <f t="shared" si="373"/>
        <v>Base_High_High_Upgraded_Fossil Depletion Potential (FDP) - kg oil eq_Wet Well and Sump Station; wastewater treatment unit; at updated plant - US_Without Amendment_Windrow</v>
      </c>
    </row>
    <row r="5490" spans="1:13" s="120" customFormat="1" x14ac:dyDescent="0.25">
      <c r="A5490" s="119"/>
      <c r="B5490" s="138" t="str">
        <f t="shared" si="375"/>
        <v>Windrow</v>
      </c>
      <c r="C5490" s="138" t="str">
        <f t="shared" si="374"/>
        <v>Without Amendment</v>
      </c>
      <c r="D5490" s="138" t="str">
        <f t="shared" si="372"/>
        <v>High_High</v>
      </c>
      <c r="E5490" s="138" t="str">
        <f t="shared" si="377"/>
        <v>Base</v>
      </c>
      <c r="F5490" s="138" t="str">
        <f t="shared" si="376"/>
        <v>Upgraded</v>
      </c>
      <c r="G5490" s="153"/>
      <c r="H5490" s="210">
        <v>5.8200000000000002E-2</v>
      </c>
      <c r="I5490" s="160" t="s">
        <v>60</v>
      </c>
      <c r="J5490" s="160">
        <v>1.0410000000000001E-2</v>
      </c>
      <c r="K5490" s="160" t="s">
        <v>14</v>
      </c>
      <c r="L5490" s="154" t="str">
        <f>IF(OpenLCAbasic!K5490="CTUh", "Fill in Manually",IF(OR(K5490="Unit", K5490=""), "", INDEX(LookUps!$E$5:$E$12, MATCH(OpenLCAbasic!K5490,LookUps!$D$5:$D$12,0))))</f>
        <v>Fossil Depletion Potential (FDP) - kg oil eq</v>
      </c>
      <c r="M5490" s="154" t="str">
        <f t="shared" si="373"/>
        <v>Base_High_High_Upgraded_Fossil Depletion Potential (FDP) - kg oil eq_Belt filter press; wastewater treatment unit; at updated plant - US_Without Amendment_Windrow</v>
      </c>
    </row>
    <row r="5491" spans="1:13" s="120" customFormat="1" x14ac:dyDescent="0.25">
      <c r="A5491" s="119"/>
      <c r="B5491" s="138" t="str">
        <f t="shared" si="375"/>
        <v>Windrow</v>
      </c>
      <c r="C5491" s="138" t="str">
        <f t="shared" si="374"/>
        <v>Without Amendment</v>
      </c>
      <c r="D5491" s="138" t="str">
        <f t="shared" si="372"/>
        <v>High_High</v>
      </c>
      <c r="E5491" s="138" t="str">
        <f t="shared" si="377"/>
        <v>Base</v>
      </c>
      <c r="F5491" s="138" t="str">
        <f t="shared" si="376"/>
        <v>Upgraded</v>
      </c>
      <c r="G5491" s="153"/>
      <c r="H5491" s="210">
        <v>3.8699999999999998E-2</v>
      </c>
      <c r="I5491" s="160" t="s">
        <v>57</v>
      </c>
      <c r="J5491" s="160">
        <v>6.9199999999999999E-3</v>
      </c>
      <c r="K5491" s="160" t="s">
        <v>14</v>
      </c>
      <c r="L5491" s="154" t="str">
        <f>IF(OpenLCAbasic!K5491="CTUh", "Fill in Manually",IF(OR(K5491="Unit", K5491=""), "", INDEX(LookUps!$E$5:$E$12, MATCH(OpenLCAbasic!K5491,LookUps!$D$5:$D$12,0))))</f>
        <v>Fossil Depletion Potential (FDP) - kg oil eq</v>
      </c>
      <c r="M5491" s="154" t="str">
        <f t="shared" si="373"/>
        <v>Base_High_High_Upgraded_Fossil Depletion Potential (FDP) - kg oil eq_Gravity Belt Thickener; wastewater treatment unit; at updated plant - US_Without Amendment_Windrow</v>
      </c>
    </row>
    <row r="5492" spans="1:13" s="120" customFormat="1" x14ac:dyDescent="0.25">
      <c r="A5492" s="119"/>
      <c r="B5492" s="138" t="str">
        <f t="shared" si="375"/>
        <v>Windrow</v>
      </c>
      <c r="C5492" s="138" t="str">
        <f t="shared" si="374"/>
        <v>Without Amendment</v>
      </c>
      <c r="D5492" s="138" t="str">
        <f t="shared" si="372"/>
        <v>High_High</v>
      </c>
      <c r="E5492" s="138" t="str">
        <f t="shared" si="377"/>
        <v>Base</v>
      </c>
      <c r="F5492" s="138" t="str">
        <f t="shared" si="376"/>
        <v>Upgraded</v>
      </c>
      <c r="G5492" s="153"/>
      <c r="H5492" s="210">
        <v>2.5100000000000001E-2</v>
      </c>
      <c r="I5492" s="160" t="s">
        <v>128</v>
      </c>
      <c r="J5492" s="160">
        <v>4.4999999999999997E-3</v>
      </c>
      <c r="K5492" s="160" t="s">
        <v>14</v>
      </c>
      <c r="L5492" s="154" t="str">
        <f>IF(OpenLCAbasic!K5492="CTUh", "Fill in Manually",IF(OR(K5492="Unit", K5492=""), "", INDEX(LookUps!$E$5:$E$12, MATCH(OpenLCAbasic!K5492,LookUps!$D$5:$D$12,0))))</f>
        <v>Fossil Depletion Potential (FDP) - kg oil eq</v>
      </c>
      <c r="M5492" s="154" t="str">
        <f t="shared" si="373"/>
        <v>Base_High_High_Upgraded_Fossil Depletion Potential (FDP) - kg oil eq_Wastewater collection; operation and infrastructure; m3 wastewater_Without Amendment_Windrow</v>
      </c>
    </row>
    <row r="5493" spans="1:13" s="120" customFormat="1" x14ac:dyDescent="0.25">
      <c r="A5493" s="119"/>
      <c r="B5493" s="138" t="str">
        <f t="shared" si="375"/>
        <v>Windrow</v>
      </c>
      <c r="C5493" s="138" t="str">
        <f t="shared" si="374"/>
        <v>Without Amendment</v>
      </c>
      <c r="D5493" s="138" t="str">
        <f t="shared" si="372"/>
        <v>High_High</v>
      </c>
      <c r="E5493" s="138" t="str">
        <f t="shared" si="377"/>
        <v>Base</v>
      </c>
      <c r="F5493" s="138" t="str">
        <f t="shared" si="376"/>
        <v>Upgraded</v>
      </c>
      <c r="G5493" s="153"/>
      <c r="H5493" s="210">
        <v>1.5599999999999999E-2</v>
      </c>
      <c r="I5493" s="160" t="s">
        <v>148</v>
      </c>
      <c r="J5493" s="160">
        <v>2.8E-3</v>
      </c>
      <c r="K5493" s="160" t="s">
        <v>14</v>
      </c>
      <c r="L5493" s="154" t="str">
        <f>IF(OpenLCAbasic!K5493="CTUh", "Fill in Manually",IF(OR(K5493="Unit", K5493=""), "", INDEX(LookUps!$E$5:$E$12, MATCH(OpenLCAbasic!K5493,LookUps!$D$5:$D$12,0))))</f>
        <v>Fossil Depletion Potential (FDP) - kg oil eq</v>
      </c>
      <c r="M5493" s="154" t="str">
        <f t="shared" si="373"/>
        <v>Base_High_High_Upgraded_Fossil Depletion Potential (FDP) - kg oil eq_Control Building; at upgraded wastewater treatment plant - US_Without Amendment_Windrow</v>
      </c>
    </row>
    <row r="5494" spans="1:13" s="120" customFormat="1" x14ac:dyDescent="0.25">
      <c r="A5494" s="119"/>
      <c r="B5494" s="138" t="str">
        <f t="shared" si="375"/>
        <v>Windrow</v>
      </c>
      <c r="C5494" s="138" t="str">
        <f t="shared" si="374"/>
        <v>Without Amendment</v>
      </c>
      <c r="D5494" s="138" t="str">
        <f t="shared" si="372"/>
        <v>High_High</v>
      </c>
      <c r="E5494" s="138" t="str">
        <f t="shared" si="377"/>
        <v>Base</v>
      </c>
      <c r="F5494" s="138" t="str">
        <f t="shared" si="376"/>
        <v>Upgraded</v>
      </c>
      <c r="G5494" s="153"/>
      <c r="H5494" s="210">
        <v>1.32E-2</v>
      </c>
      <c r="I5494" s="160" t="s">
        <v>48</v>
      </c>
      <c r="J5494" s="160">
        <v>2.3600000000000001E-3</v>
      </c>
      <c r="K5494" s="160" t="s">
        <v>14</v>
      </c>
      <c r="L5494" s="154" t="str">
        <f>IF(OpenLCAbasic!K5494="CTUh", "Fill in Manually",IF(OR(K5494="Unit", K5494=""), "", INDEX(LookUps!$E$5:$E$12, MATCH(OpenLCAbasic!K5494,LookUps!$D$5:$D$12,0))))</f>
        <v>Fossil Depletion Potential (FDP) - kg oil eq</v>
      </c>
      <c r="M5494" s="154" t="str">
        <f t="shared" si="373"/>
        <v>Base_High_High_Upgraded_Fossil Depletion Potential (FDP) - kg oil eq_Effluent release; wastewater treatment unit; at surface water; m3 wastewater - US_Without Amendment_Windrow</v>
      </c>
    </row>
    <row r="5495" spans="1:13" s="120" customFormat="1" x14ac:dyDescent="0.25">
      <c r="A5495" s="119"/>
      <c r="B5495" s="138" t="str">
        <f t="shared" si="375"/>
        <v>Windrow</v>
      </c>
      <c r="C5495" s="138" t="str">
        <f t="shared" si="374"/>
        <v>Without Amendment</v>
      </c>
      <c r="D5495" s="138" t="str">
        <f t="shared" si="372"/>
        <v>High_High</v>
      </c>
      <c r="E5495" s="138" t="str">
        <f t="shared" si="377"/>
        <v>Base</v>
      </c>
      <c r="F5495" s="138" t="str">
        <f t="shared" si="376"/>
        <v>Upgraded</v>
      </c>
      <c r="G5495" s="153"/>
      <c r="H5495" s="210">
        <v>1.0699999999999999E-2</v>
      </c>
      <c r="I5495" s="160" t="s">
        <v>59</v>
      </c>
      <c r="J5495" s="160">
        <v>1.92E-3</v>
      </c>
      <c r="K5495" s="160" t="s">
        <v>14</v>
      </c>
      <c r="L5495" s="154" t="str">
        <f>IF(OpenLCAbasic!K5495="CTUh", "Fill in Manually",IF(OR(K5495="Unit", K5495=""), "", INDEX(LookUps!$E$5:$E$12, MATCH(OpenLCAbasic!K5495,LookUps!$D$5:$D$12,0))))</f>
        <v>Fossil Depletion Potential (FDP) - kg oil eq</v>
      </c>
      <c r="M5495" s="154" t="str">
        <f t="shared" si="373"/>
        <v>Base_High_High_Upgraded_Fossil Depletion Potential (FDP) - kg oil eq_Blend Tank; wastewater treatment unit; at updated plant - US_Without Amendment_Windrow</v>
      </c>
    </row>
    <row r="5496" spans="1:13" s="120" customFormat="1" x14ac:dyDescent="0.25">
      <c r="A5496" s="119"/>
      <c r="B5496" s="138" t="str">
        <f t="shared" si="375"/>
        <v>Windrow</v>
      </c>
      <c r="C5496" s="138" t="str">
        <f t="shared" si="374"/>
        <v>Without Amendment</v>
      </c>
      <c r="D5496" s="138" t="str">
        <f t="shared" si="372"/>
        <v>High_High</v>
      </c>
      <c r="E5496" s="138" t="str">
        <f t="shared" si="377"/>
        <v>Base</v>
      </c>
      <c r="F5496" s="138" t="str">
        <f t="shared" si="376"/>
        <v>Upgraded</v>
      </c>
      <c r="G5496" s="153"/>
      <c r="H5496" s="210">
        <v>5.1000000000000004E-3</v>
      </c>
      <c r="I5496" s="160" t="s">
        <v>168</v>
      </c>
      <c r="J5496" s="160">
        <v>9.1E-4</v>
      </c>
      <c r="K5496" s="160" t="s">
        <v>14</v>
      </c>
      <c r="L5496" s="154" t="str">
        <f>IF(OpenLCAbasic!K5496="CTUh", "Fill in Manually",IF(OR(K5496="Unit", K5496=""), "", INDEX(LookUps!$E$5:$E$12, MATCH(OpenLCAbasic!K5496,LookUps!$D$5:$D$12,0))))</f>
        <v>Fossil Depletion Potential (FDP) - kg oil eq</v>
      </c>
      <c r="M5496" s="154" t="str">
        <f t="shared" si="373"/>
        <v>Base_High_High_Upgraded_Fossil Depletion Potential (FDP) - kg oil eq_ClearCove SCP; wastewater treatment unit; at updated plant - US_Without Amendment_Windrow</v>
      </c>
    </row>
    <row r="5497" spans="1:13" s="120" customFormat="1" x14ac:dyDescent="0.25">
      <c r="A5497" s="119"/>
      <c r="B5497" s="138" t="str">
        <f t="shared" si="375"/>
        <v>Windrow</v>
      </c>
      <c r="C5497" s="138" t="str">
        <f t="shared" si="374"/>
        <v>Without Amendment</v>
      </c>
      <c r="D5497" s="138" t="str">
        <f t="shared" ref="D5497:D5560" si="378">IF(ISNUMBER($J5497),"High_High","")</f>
        <v>High_High</v>
      </c>
      <c r="E5497" s="138" t="str">
        <f t="shared" si="377"/>
        <v>Base</v>
      </c>
      <c r="F5497" s="138" t="str">
        <f t="shared" si="376"/>
        <v>Upgraded</v>
      </c>
      <c r="G5497" s="153"/>
      <c r="H5497" s="210">
        <v>4.1000000000000003E-3</v>
      </c>
      <c r="I5497" s="160" t="s">
        <v>271</v>
      </c>
      <c r="J5497" s="160">
        <v>7.3999999999999999E-4</v>
      </c>
      <c r="K5497" s="160" t="s">
        <v>14</v>
      </c>
      <c r="L5497" s="154" t="str">
        <f>IF(OpenLCAbasic!K5497="CTUh", "Fill in Manually",IF(OR(K5497="Unit", K5497=""), "", INDEX(LookUps!$E$5:$E$12, MATCH(OpenLCAbasic!K5497,LookUps!$D$5:$D$12,0))))</f>
        <v>Fossil Depletion Potential (FDP) - kg oil eq</v>
      </c>
      <c r="M5497" s="154" t="str">
        <f t="shared" si="373"/>
        <v>Base_High_High_Upgraded_Fossil Depletion Potential (FDP) - kg oil eq_Biosolids composting; windrow composting; wastewater treatment unit; at updated plant - US_Without Amendment_Windrow</v>
      </c>
    </row>
    <row r="5498" spans="1:13" s="120" customFormat="1" x14ac:dyDescent="0.25">
      <c r="A5498" s="119"/>
      <c r="B5498" s="138" t="str">
        <f t="shared" si="375"/>
        <v>Windrow</v>
      </c>
      <c r="C5498" s="138" t="str">
        <f t="shared" si="374"/>
        <v>Without Amendment</v>
      </c>
      <c r="D5498" s="138" t="str">
        <f t="shared" si="378"/>
        <v>High_High</v>
      </c>
      <c r="E5498" s="138" t="str">
        <f t="shared" si="377"/>
        <v>Base</v>
      </c>
      <c r="F5498" s="138" t="str">
        <f t="shared" si="376"/>
        <v>Upgraded</v>
      </c>
      <c r="G5498" s="153"/>
      <c r="H5498" s="210">
        <v>-4.02E-2</v>
      </c>
      <c r="I5498" s="160" t="s">
        <v>62</v>
      </c>
      <c r="J5498" s="160">
        <v>-7.1900000000000002E-3</v>
      </c>
      <c r="K5498" s="160" t="s">
        <v>14</v>
      </c>
      <c r="L5498" s="154" t="str">
        <f>IF(OpenLCAbasic!K5498="CTUh", "Fill in Manually",IF(OR(K5498="Unit", K5498=""), "", INDEX(LookUps!$E$5:$E$12, MATCH(OpenLCAbasic!K5498,LookUps!$D$5:$D$12,0))))</f>
        <v>Fossil Depletion Potential (FDP) - kg oil eq</v>
      </c>
      <c r="M5498" s="154" t="str">
        <f t="shared" si="373"/>
        <v>Base_High_High_Upgraded_Fossil Depletion Potential (FDP) - kg oil eq_Land application of compost; wastewater treatment unit; at updated plant - US_Without Amendment_Windrow</v>
      </c>
    </row>
    <row r="5499" spans="1:13" s="120" customFormat="1" x14ac:dyDescent="0.25">
      <c r="A5499" s="119"/>
      <c r="B5499" s="138" t="str">
        <f t="shared" si="375"/>
        <v>Windrow</v>
      </c>
      <c r="C5499" s="138" t="str">
        <f t="shared" si="374"/>
        <v>Without Amendment</v>
      </c>
      <c r="D5499" s="138" t="str">
        <f t="shared" si="378"/>
        <v>High_High</v>
      </c>
      <c r="E5499" s="138" t="str">
        <f t="shared" si="377"/>
        <v>Base</v>
      </c>
      <c r="F5499" s="138" t="str">
        <f t="shared" si="376"/>
        <v>Upgraded</v>
      </c>
      <c r="G5499" s="153"/>
      <c r="H5499" s="210">
        <v>-2.5024000000000002</v>
      </c>
      <c r="I5499" s="160" t="s">
        <v>149</v>
      </c>
      <c r="J5499" s="160">
        <v>-0.44775999999999999</v>
      </c>
      <c r="K5499" s="160" t="s">
        <v>14</v>
      </c>
      <c r="L5499" s="154" t="str">
        <f>IF(OpenLCAbasic!K5499="CTUh", "Fill in Manually",IF(OR(K5499="Unit", K5499=""), "", INDEX(LookUps!$E$5:$E$12, MATCH(OpenLCAbasic!K5499,LookUps!$D$5:$D$12,0))))</f>
        <v>Fossil Depletion Potential (FDP) - kg oil eq</v>
      </c>
      <c r="M5499" s="154" t="str">
        <f t="shared" ref="M5499:M5562" si="379">CONCATENATE(E5499,"_",D5499,"_",F5499,"_",L5499, "_",I5499,"_", C5499,"_", B5499)</f>
        <v>Base_High_High_Upgraded_Fossil Depletion Potential (FDP) - kg oil eq_Anaerobic Digestion; wastewater treatment unit; at updated plant - US_Without Amendment_Windrow</v>
      </c>
    </row>
    <row r="5500" spans="1:13" s="120" customFormat="1" x14ac:dyDescent="0.25">
      <c r="A5500" s="119"/>
      <c r="B5500" s="138" t="str">
        <f t="shared" si="375"/>
        <v/>
      </c>
      <c r="C5500" s="138" t="str">
        <f t="shared" si="374"/>
        <v/>
      </c>
      <c r="D5500" s="138" t="str">
        <f t="shared" si="378"/>
        <v/>
      </c>
      <c r="E5500" s="138" t="str">
        <f t="shared" si="377"/>
        <v/>
      </c>
      <c r="F5500" s="138" t="str">
        <f t="shared" si="376"/>
        <v/>
      </c>
      <c r="G5500" s="153" t="s">
        <v>51</v>
      </c>
      <c r="H5500" s="160"/>
      <c r="I5500" s="160" t="s">
        <v>47</v>
      </c>
      <c r="J5500" s="160" t="s">
        <v>52</v>
      </c>
      <c r="K5500" s="160" t="s">
        <v>27</v>
      </c>
      <c r="L5500" s="154" t="str">
        <f>IF(OpenLCAbasic!K5500="CTUh", "Fill in Manually",IF(OR(K5500="Unit", K5500=""), "", INDEX(LookUps!$E$5:$E$12, MATCH(OpenLCAbasic!K5500,LookUps!$D$5:$D$12,0))))</f>
        <v/>
      </c>
      <c r="M5500" s="154" t="str">
        <f t="shared" si="379"/>
        <v>____Process__</v>
      </c>
    </row>
    <row r="5501" spans="1:13" s="120" customFormat="1" x14ac:dyDescent="0.25">
      <c r="A5501" s="119"/>
      <c r="B5501" s="138" t="str">
        <f t="shared" si="375"/>
        <v>Windrow</v>
      </c>
      <c r="C5501" s="138" t="str">
        <f t="shared" si="374"/>
        <v>Without Amendment</v>
      </c>
      <c r="D5501" s="138" t="str">
        <f t="shared" si="378"/>
        <v>High_High</v>
      </c>
      <c r="E5501" s="138" t="str">
        <f t="shared" si="377"/>
        <v>Base</v>
      </c>
      <c r="F5501" s="138" t="str">
        <f t="shared" si="376"/>
        <v>Upgraded</v>
      </c>
      <c r="G5501" s="153"/>
      <c r="H5501" s="210">
        <v>1.8519000000000001</v>
      </c>
      <c r="I5501" s="160" t="s">
        <v>271</v>
      </c>
      <c r="J5501" s="160">
        <v>0.67535000000000001</v>
      </c>
      <c r="K5501" s="160" t="s">
        <v>23</v>
      </c>
      <c r="L5501" s="154" t="str">
        <f>IF(OpenLCAbasic!K5501="CTUh", "Fill in Manually",IF(OR(K5501="Unit", K5501=""), "", INDEX(LookUps!$E$5:$E$12, MATCH(OpenLCAbasic!K5501,LookUps!$D$5:$D$12,0))))</f>
        <v>Global Warming Potential (GWP) - kg CO2 eq</v>
      </c>
      <c r="M5501" s="154" t="str">
        <f t="shared" si="379"/>
        <v>Base_High_High_Upgraded_Global Warming Potential (GWP) - kg CO2 eq_Biosolids composting; windrow composting; wastewater treatment unit; at updated plant - US_Without Amendment_Windrow</v>
      </c>
    </row>
    <row r="5502" spans="1:13" s="120" customFormat="1" x14ac:dyDescent="0.25">
      <c r="A5502" s="119"/>
      <c r="B5502" s="138" t="str">
        <f t="shared" si="375"/>
        <v>Windrow</v>
      </c>
      <c r="C5502" s="138" t="str">
        <f t="shared" si="374"/>
        <v>Without Amendment</v>
      </c>
      <c r="D5502" s="138" t="str">
        <f t="shared" si="378"/>
        <v>High_High</v>
      </c>
      <c r="E5502" s="138" t="str">
        <f t="shared" si="377"/>
        <v>Base</v>
      </c>
      <c r="F5502" s="138" t="str">
        <f t="shared" si="376"/>
        <v>Upgraded</v>
      </c>
      <c r="G5502" s="153"/>
      <c r="H5502" s="210">
        <v>0.68530000000000002</v>
      </c>
      <c r="I5502" s="160" t="s">
        <v>58</v>
      </c>
      <c r="J5502" s="160">
        <v>0.24992</v>
      </c>
      <c r="K5502" s="160" t="s">
        <v>23</v>
      </c>
      <c r="L5502" s="154" t="str">
        <f>IF(OpenLCAbasic!K5502="CTUh", "Fill in Manually",IF(OR(K5502="Unit", K5502=""), "", INDEX(LookUps!$E$5:$E$12, MATCH(OpenLCAbasic!K5502,LookUps!$D$5:$D$12,0))))</f>
        <v>Global Warming Potential (GWP) - kg CO2 eq</v>
      </c>
      <c r="M5502" s="154" t="str">
        <f t="shared" si="379"/>
        <v>Base_High_High_Upgraded_Global Warming Potential (GWP) - kg CO2 eq_Pre-Anoxic &amp; Swing tank; wastewater treatment unit; at updated plant - US_Without Amendment_Windrow</v>
      </c>
    </row>
    <row r="5503" spans="1:13" s="120" customFormat="1" x14ac:dyDescent="0.25">
      <c r="A5503" s="119"/>
      <c r="B5503" s="138" t="str">
        <f t="shared" si="375"/>
        <v>Windrow</v>
      </c>
      <c r="C5503" s="138" t="str">
        <f t="shared" si="374"/>
        <v>Without Amendment</v>
      </c>
      <c r="D5503" s="138" t="str">
        <f t="shared" si="378"/>
        <v>High_High</v>
      </c>
      <c r="E5503" s="138" t="str">
        <f t="shared" si="377"/>
        <v>Base</v>
      </c>
      <c r="F5503" s="138" t="str">
        <f t="shared" si="376"/>
        <v>Upgraded</v>
      </c>
      <c r="G5503" s="153"/>
      <c r="H5503" s="210">
        <v>0.46129999999999999</v>
      </c>
      <c r="I5503" s="160" t="s">
        <v>55</v>
      </c>
      <c r="J5503" s="160">
        <v>0.16822000000000001</v>
      </c>
      <c r="K5503" s="160" t="s">
        <v>23</v>
      </c>
      <c r="L5503" s="154" t="str">
        <f>IF(OpenLCAbasic!K5503="CTUh", "Fill in Manually",IF(OR(K5503="Unit", K5503=""), "", INDEX(LookUps!$E$5:$E$12, MATCH(OpenLCAbasic!K5503,LookUps!$D$5:$D$12,0))))</f>
        <v>Global Warming Potential (GWP) - kg CO2 eq</v>
      </c>
      <c r="M5503" s="154" t="str">
        <f t="shared" si="379"/>
        <v>Base_High_High_Upgraded_Global Warming Potential (GWP) - kg CO2 eq_Aeration Tanks; wastewater treatment unit; at updated plant - US_Without Amendment_Windrow</v>
      </c>
    </row>
    <row r="5504" spans="1:13" s="120" customFormat="1" x14ac:dyDescent="0.25">
      <c r="A5504" s="119"/>
      <c r="B5504" s="138" t="str">
        <f t="shared" si="375"/>
        <v>Windrow</v>
      </c>
      <c r="C5504" s="138" t="str">
        <f t="shared" si="374"/>
        <v>Without Amendment</v>
      </c>
      <c r="D5504" s="138" t="str">
        <f t="shared" si="378"/>
        <v>High_High</v>
      </c>
      <c r="E5504" s="138" t="str">
        <f t="shared" si="377"/>
        <v>Base</v>
      </c>
      <c r="F5504" s="138" t="str">
        <f t="shared" si="376"/>
        <v>Upgraded</v>
      </c>
      <c r="G5504" s="153"/>
      <c r="H5504" s="210">
        <v>0.4027</v>
      </c>
      <c r="I5504" s="160" t="s">
        <v>167</v>
      </c>
      <c r="J5504" s="160">
        <v>0.14685000000000001</v>
      </c>
      <c r="K5504" s="160" t="s">
        <v>23</v>
      </c>
      <c r="L5504" s="154" t="str">
        <f>IF(OpenLCAbasic!K5504="CTUh", "Fill in Manually",IF(OR(K5504="Unit", K5504=""), "", INDEX(LookUps!$E$5:$E$12, MATCH(OpenLCAbasic!K5504,LookUps!$D$5:$D$12,0))))</f>
        <v>Global Warming Potential (GWP) - kg CO2 eq</v>
      </c>
      <c r="M5504" s="154" t="str">
        <f t="shared" si="379"/>
        <v>Base_High_High_Upgraded_Global Warming Potential (GWP) - kg CO2 eq_Waste Receiving and Holding; wastewater treatment unit; at updated plant - US_Without Amendment_Windrow</v>
      </c>
    </row>
    <row r="5505" spans="1:13" s="120" customFormat="1" x14ac:dyDescent="0.25">
      <c r="A5505" s="119"/>
      <c r="B5505" s="138" t="str">
        <f t="shared" si="375"/>
        <v>Windrow</v>
      </c>
      <c r="C5505" s="138" t="str">
        <f t="shared" ref="C5505:C5568" si="380">IF(ISNUMBER($J5505),"Without Amendment","")</f>
        <v>Without Amendment</v>
      </c>
      <c r="D5505" s="138" t="str">
        <f t="shared" si="378"/>
        <v>High_High</v>
      </c>
      <c r="E5505" s="138" t="str">
        <f t="shared" si="377"/>
        <v>Base</v>
      </c>
      <c r="F5505" s="138" t="str">
        <f t="shared" si="376"/>
        <v>Upgraded</v>
      </c>
      <c r="G5505" s="153"/>
      <c r="H5505" s="210">
        <v>0.1565</v>
      </c>
      <c r="I5505" s="160" t="s">
        <v>54</v>
      </c>
      <c r="J5505" s="160">
        <v>5.7079999999999999E-2</v>
      </c>
      <c r="K5505" s="160" t="s">
        <v>23</v>
      </c>
      <c r="L5505" s="154" t="str">
        <f>IF(OpenLCAbasic!K5505="CTUh", "Fill in Manually",IF(OR(K5505="Unit", K5505=""), "", INDEX(LookUps!$E$5:$E$12, MATCH(OpenLCAbasic!K5505,LookUps!$D$5:$D$12,0))))</f>
        <v>Global Warming Potential (GWP) - kg CO2 eq</v>
      </c>
      <c r="M5505" s="154" t="str">
        <f t="shared" si="379"/>
        <v>Base_High_High_Upgraded_Global Warming Potential (GWP) - kg CO2 eq_Clear Cove Primary Clarification; wastewater treatment unit; at updated plant - US_Without Amendment_Windrow</v>
      </c>
    </row>
    <row r="5506" spans="1:13" s="120" customFormat="1" x14ac:dyDescent="0.25">
      <c r="A5506" s="119"/>
      <c r="B5506" s="138" t="str">
        <f t="shared" si="375"/>
        <v>Windrow</v>
      </c>
      <c r="C5506" s="138" t="str">
        <f t="shared" si="380"/>
        <v>Without Amendment</v>
      </c>
      <c r="D5506" s="138" t="str">
        <f t="shared" si="378"/>
        <v>High_High</v>
      </c>
      <c r="E5506" s="138" t="str">
        <f t="shared" si="377"/>
        <v>Base</v>
      </c>
      <c r="F5506" s="138" t="str">
        <f t="shared" si="376"/>
        <v>Upgraded</v>
      </c>
      <c r="G5506" s="153"/>
      <c r="H5506" s="210">
        <v>0.14430000000000001</v>
      </c>
      <c r="I5506" s="160" t="s">
        <v>48</v>
      </c>
      <c r="J5506" s="160">
        <v>5.2639999999999999E-2</v>
      </c>
      <c r="K5506" s="160" t="s">
        <v>23</v>
      </c>
      <c r="L5506" s="154" t="str">
        <f>IF(OpenLCAbasic!K5506="CTUh", "Fill in Manually",IF(OR(K5506="Unit", K5506=""), "", INDEX(LookUps!$E$5:$E$12, MATCH(OpenLCAbasic!K5506,LookUps!$D$5:$D$12,0))))</f>
        <v>Global Warming Potential (GWP) - kg CO2 eq</v>
      </c>
      <c r="M5506" s="154" t="str">
        <f t="shared" si="379"/>
        <v>Base_High_High_Upgraded_Global Warming Potential (GWP) - kg CO2 eq_Effluent release; wastewater treatment unit; at surface water; m3 wastewater - US_Without Amendment_Windrow</v>
      </c>
    </row>
    <row r="5507" spans="1:13" s="120" customFormat="1" x14ac:dyDescent="0.25">
      <c r="A5507" s="119"/>
      <c r="B5507" s="138" t="str">
        <f t="shared" si="375"/>
        <v>Windrow</v>
      </c>
      <c r="C5507" s="138" t="str">
        <f t="shared" si="380"/>
        <v>Without Amendment</v>
      </c>
      <c r="D5507" s="138" t="str">
        <f t="shared" si="378"/>
        <v>High_High</v>
      </c>
      <c r="E5507" s="138" t="str">
        <f t="shared" si="377"/>
        <v>Base</v>
      </c>
      <c r="F5507" s="138" t="str">
        <f t="shared" si="376"/>
        <v>Upgraded</v>
      </c>
      <c r="G5507" s="153"/>
      <c r="H5507" s="210">
        <v>0.13850000000000001</v>
      </c>
      <c r="I5507" s="160" t="s">
        <v>147</v>
      </c>
      <c r="J5507" s="160">
        <v>5.0500000000000003E-2</v>
      </c>
      <c r="K5507" s="160" t="s">
        <v>23</v>
      </c>
      <c r="L5507" s="154" t="str">
        <f>IF(OpenLCAbasic!K5507="CTUh", "Fill in Manually",IF(OR(K5507="Unit", K5507=""), "", INDEX(LookUps!$E$5:$E$12, MATCH(OpenLCAbasic!K5507,LookUps!$D$5:$D$12,0))))</f>
        <v>Global Warming Potential (GWP) - kg CO2 eq</v>
      </c>
      <c r="M5507" s="154" t="str">
        <f t="shared" si="379"/>
        <v>Base_High_High_Upgraded_Global Warming Potential (GWP) - kg CO2 eq_Influent Pump Station; wastewater treatment unit; at updated plant - US_Without Amendment_Windrow</v>
      </c>
    </row>
    <row r="5508" spans="1:13" s="120" customFormat="1" x14ac:dyDescent="0.25">
      <c r="A5508" s="119"/>
      <c r="B5508" s="138" t="str">
        <f t="shared" si="375"/>
        <v>Windrow</v>
      </c>
      <c r="C5508" s="138" t="str">
        <f t="shared" si="380"/>
        <v>Without Amendment</v>
      </c>
      <c r="D5508" s="138" t="str">
        <f t="shared" si="378"/>
        <v>High_High</v>
      </c>
      <c r="E5508" s="138" t="str">
        <f t="shared" si="377"/>
        <v>Base</v>
      </c>
      <c r="F5508" s="138" t="str">
        <f t="shared" si="376"/>
        <v>Upgraded</v>
      </c>
      <c r="G5508" s="153"/>
      <c r="H5508" s="210">
        <v>9.1200000000000003E-2</v>
      </c>
      <c r="I5508" s="160" t="s">
        <v>53</v>
      </c>
      <c r="J5508" s="160">
        <v>3.3259999999999998E-2</v>
      </c>
      <c r="K5508" s="160" t="s">
        <v>23</v>
      </c>
      <c r="L5508" s="154" t="str">
        <f>IF(OpenLCAbasic!K5508="CTUh", "Fill in Manually",IF(OR(K5508="Unit", K5508=""), "", INDEX(LookUps!$E$5:$E$12, MATCH(OpenLCAbasic!K5508,LookUps!$D$5:$D$12,0))))</f>
        <v>Global Warming Potential (GWP) - kg CO2 eq</v>
      </c>
      <c r="M5508" s="154" t="str">
        <f t="shared" si="379"/>
        <v>Base_High_High_Upgraded_Global Warming Potential (GWP) - kg CO2 eq_Wet Well and Sump Station; wastewater treatment unit; at updated plant - US_Without Amendment_Windrow</v>
      </c>
    </row>
    <row r="5509" spans="1:13" s="120" customFormat="1" x14ac:dyDescent="0.25">
      <c r="A5509" s="119"/>
      <c r="B5509" s="138" t="str">
        <f t="shared" si="375"/>
        <v>Windrow</v>
      </c>
      <c r="C5509" s="138" t="str">
        <f t="shared" si="380"/>
        <v>Without Amendment</v>
      </c>
      <c r="D5509" s="138" t="str">
        <f t="shared" si="378"/>
        <v>High_High</v>
      </c>
      <c r="E5509" s="138" t="str">
        <f t="shared" si="377"/>
        <v>Base</v>
      </c>
      <c r="F5509" s="138" t="str">
        <f t="shared" si="376"/>
        <v>Upgraded</v>
      </c>
      <c r="G5509" s="153"/>
      <c r="H5509" s="210">
        <v>6.2700000000000006E-2</v>
      </c>
      <c r="I5509" s="160" t="s">
        <v>60</v>
      </c>
      <c r="J5509" s="160">
        <v>2.2880000000000001E-2</v>
      </c>
      <c r="K5509" s="160" t="s">
        <v>23</v>
      </c>
      <c r="L5509" s="154" t="str">
        <f>IF(OpenLCAbasic!K5509="CTUh", "Fill in Manually",IF(OR(K5509="Unit", K5509=""), "", INDEX(LookUps!$E$5:$E$12, MATCH(OpenLCAbasic!K5509,LookUps!$D$5:$D$12,0))))</f>
        <v>Global Warming Potential (GWP) - kg CO2 eq</v>
      </c>
      <c r="M5509" s="154" t="str">
        <f t="shared" si="379"/>
        <v>Base_High_High_Upgraded_Global Warming Potential (GWP) - kg CO2 eq_Belt filter press; wastewater treatment unit; at updated plant - US_Without Amendment_Windrow</v>
      </c>
    </row>
    <row r="5510" spans="1:13" s="120" customFormat="1" x14ac:dyDescent="0.25">
      <c r="A5510" s="119"/>
      <c r="B5510" s="138" t="str">
        <f t="shared" si="375"/>
        <v>Windrow</v>
      </c>
      <c r="C5510" s="138" t="str">
        <f t="shared" si="380"/>
        <v>Without Amendment</v>
      </c>
      <c r="D5510" s="138" t="str">
        <f t="shared" si="378"/>
        <v>High_High</v>
      </c>
      <c r="E5510" s="138" t="str">
        <f t="shared" si="377"/>
        <v>Base</v>
      </c>
      <c r="F5510" s="138" t="str">
        <f t="shared" si="376"/>
        <v>Upgraded</v>
      </c>
      <c r="G5510" s="153"/>
      <c r="H5510" s="210">
        <v>3.9899999999999998E-2</v>
      </c>
      <c r="I5510" s="160" t="s">
        <v>57</v>
      </c>
      <c r="J5510" s="160">
        <v>1.455E-2</v>
      </c>
      <c r="K5510" s="160" t="s">
        <v>23</v>
      </c>
      <c r="L5510" s="154" t="str">
        <f>IF(OpenLCAbasic!K5510="CTUh", "Fill in Manually",IF(OR(K5510="Unit", K5510=""), "", INDEX(LookUps!$E$5:$E$12, MATCH(OpenLCAbasic!K5510,LookUps!$D$5:$D$12,0))))</f>
        <v>Global Warming Potential (GWP) - kg CO2 eq</v>
      </c>
      <c r="M5510" s="154" t="str">
        <f t="shared" si="379"/>
        <v>Base_High_High_Upgraded_Global Warming Potential (GWP) - kg CO2 eq_Gravity Belt Thickener; wastewater treatment unit; at updated plant - US_Without Amendment_Windrow</v>
      </c>
    </row>
    <row r="5511" spans="1:13" s="120" customFormat="1" x14ac:dyDescent="0.25">
      <c r="A5511" s="119"/>
      <c r="B5511" s="138" t="str">
        <f t="shared" si="375"/>
        <v>Windrow</v>
      </c>
      <c r="C5511" s="138" t="str">
        <f t="shared" si="380"/>
        <v>Without Amendment</v>
      </c>
      <c r="D5511" s="138" t="str">
        <f t="shared" si="378"/>
        <v>High_High</v>
      </c>
      <c r="E5511" s="138" t="str">
        <f t="shared" si="377"/>
        <v>Base</v>
      </c>
      <c r="F5511" s="138" t="str">
        <f t="shared" si="376"/>
        <v>Upgraded</v>
      </c>
      <c r="G5511" s="153"/>
      <c r="H5511" s="210">
        <v>3.6999999999999998E-2</v>
      </c>
      <c r="I5511" s="160" t="s">
        <v>128</v>
      </c>
      <c r="J5511" s="160">
        <v>1.3509999999999999E-2</v>
      </c>
      <c r="K5511" s="160" t="s">
        <v>23</v>
      </c>
      <c r="L5511" s="154" t="str">
        <f>IF(OpenLCAbasic!K5511="CTUh", "Fill in Manually",IF(OR(K5511="Unit", K5511=""), "", INDEX(LookUps!$E$5:$E$12, MATCH(OpenLCAbasic!K5511,LookUps!$D$5:$D$12,0))))</f>
        <v>Global Warming Potential (GWP) - kg CO2 eq</v>
      </c>
      <c r="M5511" s="154" t="str">
        <f t="shared" si="379"/>
        <v>Base_High_High_Upgraded_Global Warming Potential (GWP) - kg CO2 eq_Wastewater collection; operation and infrastructure; m3 wastewater_Without Amendment_Windrow</v>
      </c>
    </row>
    <row r="5512" spans="1:13" s="120" customFormat="1" x14ac:dyDescent="0.25">
      <c r="A5512" s="119"/>
      <c r="B5512" s="138" t="str">
        <f t="shared" si="375"/>
        <v>Windrow</v>
      </c>
      <c r="C5512" s="138" t="str">
        <f t="shared" si="380"/>
        <v>Without Amendment</v>
      </c>
      <c r="D5512" s="138" t="str">
        <f t="shared" si="378"/>
        <v>High_High</v>
      </c>
      <c r="E5512" s="138" t="str">
        <f t="shared" si="377"/>
        <v>Base</v>
      </c>
      <c r="F5512" s="138" t="str">
        <f t="shared" si="376"/>
        <v>Upgraded</v>
      </c>
      <c r="G5512" s="153"/>
      <c r="H5512" s="210">
        <v>2.2800000000000001E-2</v>
      </c>
      <c r="I5512" s="160" t="s">
        <v>148</v>
      </c>
      <c r="J5512" s="160">
        <v>8.3000000000000001E-3</v>
      </c>
      <c r="K5512" s="160" t="s">
        <v>23</v>
      </c>
      <c r="L5512" s="154" t="str">
        <f>IF(OpenLCAbasic!K5512="CTUh", "Fill in Manually",IF(OR(K5512="Unit", K5512=""), "", INDEX(LookUps!$E$5:$E$12, MATCH(OpenLCAbasic!K5512,LookUps!$D$5:$D$12,0))))</f>
        <v>Global Warming Potential (GWP) - kg CO2 eq</v>
      </c>
      <c r="M5512" s="154" t="str">
        <f t="shared" si="379"/>
        <v>Base_High_High_Upgraded_Global Warming Potential (GWP) - kg CO2 eq_Control Building; at upgraded wastewater treatment plant - US_Without Amendment_Windrow</v>
      </c>
    </row>
    <row r="5513" spans="1:13" s="120" customFormat="1" x14ac:dyDescent="0.25">
      <c r="A5513" s="119"/>
      <c r="B5513" s="138" t="str">
        <f t="shared" si="375"/>
        <v>Windrow</v>
      </c>
      <c r="C5513" s="138" t="str">
        <f t="shared" si="380"/>
        <v>Without Amendment</v>
      </c>
      <c r="D5513" s="138" t="str">
        <f t="shared" si="378"/>
        <v>High_High</v>
      </c>
      <c r="E5513" s="138" t="str">
        <f t="shared" si="377"/>
        <v>Base</v>
      </c>
      <c r="F5513" s="138" t="str">
        <f t="shared" si="376"/>
        <v>Upgraded</v>
      </c>
      <c r="G5513" s="153"/>
      <c r="H5513" s="210">
        <v>1.38E-2</v>
      </c>
      <c r="I5513" s="160" t="s">
        <v>59</v>
      </c>
      <c r="J5513" s="160">
        <v>5.0400000000000002E-3</v>
      </c>
      <c r="K5513" s="160" t="s">
        <v>23</v>
      </c>
      <c r="L5513" s="154" t="str">
        <f>IF(OpenLCAbasic!K5513="CTUh", "Fill in Manually",IF(OR(K5513="Unit", K5513=""), "", INDEX(LookUps!$E$5:$E$12, MATCH(OpenLCAbasic!K5513,LookUps!$D$5:$D$12,0))))</f>
        <v>Global Warming Potential (GWP) - kg CO2 eq</v>
      </c>
      <c r="M5513" s="154" t="str">
        <f t="shared" si="379"/>
        <v>Base_High_High_Upgraded_Global Warming Potential (GWP) - kg CO2 eq_Blend Tank; wastewater treatment unit; at updated plant - US_Without Amendment_Windrow</v>
      </c>
    </row>
    <row r="5514" spans="1:13" s="120" customFormat="1" x14ac:dyDescent="0.25">
      <c r="A5514" s="119"/>
      <c r="B5514" s="138" t="str">
        <f t="shared" si="375"/>
        <v>Windrow</v>
      </c>
      <c r="C5514" s="138" t="str">
        <f t="shared" si="380"/>
        <v>Without Amendment</v>
      </c>
      <c r="D5514" s="138" t="str">
        <f t="shared" si="378"/>
        <v>High_High</v>
      </c>
      <c r="E5514" s="138" t="str">
        <f t="shared" si="377"/>
        <v>Base</v>
      </c>
      <c r="F5514" s="138" t="str">
        <f t="shared" si="376"/>
        <v>Upgraded</v>
      </c>
      <c r="G5514" s="153"/>
      <c r="H5514" s="210">
        <v>6.6E-3</v>
      </c>
      <c r="I5514" s="160" t="s">
        <v>168</v>
      </c>
      <c r="J5514" s="160">
        <v>2.4099999999999998E-3</v>
      </c>
      <c r="K5514" s="160" t="s">
        <v>23</v>
      </c>
      <c r="L5514" s="154" t="str">
        <f>IF(OpenLCAbasic!K5514="CTUh", "Fill in Manually",IF(OR(K5514="Unit", K5514=""), "", INDEX(LookUps!$E$5:$E$12, MATCH(OpenLCAbasic!K5514,LookUps!$D$5:$D$12,0))))</f>
        <v>Global Warming Potential (GWP) - kg CO2 eq</v>
      </c>
      <c r="M5514" s="154" t="str">
        <f t="shared" si="379"/>
        <v>Base_High_High_Upgraded_Global Warming Potential (GWP) - kg CO2 eq_ClearCove SCP; wastewater treatment unit; at updated plant - US_Without Amendment_Windrow</v>
      </c>
    </row>
    <row r="5515" spans="1:13" s="120" customFormat="1" x14ac:dyDescent="0.25">
      <c r="A5515" s="119"/>
      <c r="B5515" s="138" t="str">
        <f t="shared" si="375"/>
        <v>Windrow</v>
      </c>
      <c r="C5515" s="138" t="str">
        <f t="shared" si="380"/>
        <v>Without Amendment</v>
      </c>
      <c r="D5515" s="138" t="str">
        <f t="shared" si="378"/>
        <v>High_High</v>
      </c>
      <c r="E5515" s="138" t="str">
        <f t="shared" si="377"/>
        <v>Base</v>
      </c>
      <c r="F5515" s="138" t="str">
        <f t="shared" si="376"/>
        <v>Upgraded</v>
      </c>
      <c r="G5515" s="153"/>
      <c r="H5515" s="210">
        <v>-0.67430000000000001</v>
      </c>
      <c r="I5515" s="160" t="s">
        <v>62</v>
      </c>
      <c r="J5515" s="160">
        <v>-0.24590999999999999</v>
      </c>
      <c r="K5515" s="160" t="s">
        <v>23</v>
      </c>
      <c r="L5515" s="154" t="str">
        <f>IF(OpenLCAbasic!K5515="CTUh", "Fill in Manually",IF(OR(K5515="Unit", K5515=""), "", INDEX(LookUps!$E$5:$E$12, MATCH(OpenLCAbasic!K5515,LookUps!$D$5:$D$12,0))))</f>
        <v>Global Warming Potential (GWP) - kg CO2 eq</v>
      </c>
      <c r="M5515" s="154" t="str">
        <f t="shared" si="379"/>
        <v>Base_High_High_Upgraded_Global Warming Potential (GWP) - kg CO2 eq_Land application of compost; wastewater treatment unit; at updated plant - US_Without Amendment_Windrow</v>
      </c>
    </row>
    <row r="5516" spans="1:13" s="120" customFormat="1" x14ac:dyDescent="0.25">
      <c r="A5516" s="119"/>
      <c r="B5516" s="138" t="str">
        <f t="shared" si="375"/>
        <v>Windrow</v>
      </c>
      <c r="C5516" s="138" t="str">
        <f t="shared" si="380"/>
        <v>Without Amendment</v>
      </c>
      <c r="D5516" s="138" t="str">
        <f t="shared" si="378"/>
        <v>High_High</v>
      </c>
      <c r="E5516" s="138" t="str">
        <f t="shared" si="377"/>
        <v>Base</v>
      </c>
      <c r="F5516" s="138" t="str">
        <f t="shared" si="376"/>
        <v>Upgraded</v>
      </c>
      <c r="G5516" s="153"/>
      <c r="H5516" s="210">
        <v>-2.4403000000000001</v>
      </c>
      <c r="I5516" s="160" t="s">
        <v>149</v>
      </c>
      <c r="J5516" s="160">
        <v>-0.88992000000000004</v>
      </c>
      <c r="K5516" s="160" t="s">
        <v>23</v>
      </c>
      <c r="L5516" s="154" t="str">
        <f>IF(OpenLCAbasic!K5516="CTUh", "Fill in Manually",IF(OR(K5516="Unit", K5516=""), "", INDEX(LookUps!$E$5:$E$12, MATCH(OpenLCAbasic!K5516,LookUps!$D$5:$D$12,0))))</f>
        <v>Global Warming Potential (GWP) - kg CO2 eq</v>
      </c>
      <c r="M5516" s="154" t="str">
        <f t="shared" si="379"/>
        <v>Base_High_High_Upgraded_Global Warming Potential (GWP) - kg CO2 eq_Anaerobic Digestion; wastewater treatment unit; at updated plant - US_Without Amendment_Windrow</v>
      </c>
    </row>
    <row r="5517" spans="1:13" s="120" customFormat="1" x14ac:dyDescent="0.25">
      <c r="A5517" s="119"/>
      <c r="B5517" s="138" t="str">
        <f t="shared" si="375"/>
        <v/>
      </c>
      <c r="C5517" s="138" t="str">
        <f t="shared" si="380"/>
        <v/>
      </c>
      <c r="D5517" s="138" t="str">
        <f t="shared" si="378"/>
        <v/>
      </c>
      <c r="E5517" s="138" t="str">
        <f t="shared" si="377"/>
        <v/>
      </c>
      <c r="F5517" s="138" t="str">
        <f t="shared" si="376"/>
        <v/>
      </c>
      <c r="G5517" s="153" t="s">
        <v>51</v>
      </c>
      <c r="H5517" s="160"/>
      <c r="I5517" s="160" t="s">
        <v>47</v>
      </c>
      <c r="J5517" s="160" t="s">
        <v>52</v>
      </c>
      <c r="K5517" s="160" t="s">
        <v>27</v>
      </c>
      <c r="L5517" s="154" t="str">
        <f>IF(OpenLCAbasic!K5517="CTUh", "Fill in Manually",IF(OR(K5517="Unit", K5517=""), "", INDEX(LookUps!$E$5:$E$12, MATCH(OpenLCAbasic!K5517,LookUps!$D$5:$D$12,0))))</f>
        <v/>
      </c>
      <c r="M5517" s="154" t="str">
        <f t="shared" si="379"/>
        <v>____Process__</v>
      </c>
    </row>
    <row r="5518" spans="1:13" s="120" customFormat="1" x14ac:dyDescent="0.25">
      <c r="A5518" s="119"/>
      <c r="B5518" s="138" t="str">
        <f t="shared" si="375"/>
        <v>Windrow</v>
      </c>
      <c r="C5518" s="138" t="str">
        <f t="shared" si="380"/>
        <v>Without Amendment</v>
      </c>
      <c r="D5518" s="138" t="str">
        <f t="shared" si="378"/>
        <v>High_High</v>
      </c>
      <c r="E5518" s="138" t="str">
        <f t="shared" si="377"/>
        <v>Base</v>
      </c>
      <c r="F5518" s="138" t="str">
        <f t="shared" si="376"/>
        <v>Upgraded</v>
      </c>
      <c r="G5518" s="153"/>
      <c r="H5518" s="210">
        <v>0.31030000000000002</v>
      </c>
      <c r="I5518" s="160" t="s">
        <v>55</v>
      </c>
      <c r="J5518" s="160">
        <v>2.33E-3</v>
      </c>
      <c r="K5518" s="160" t="s">
        <v>145</v>
      </c>
      <c r="L5518" s="154" t="str">
        <f>IF(OpenLCAbasic!K5518="CTUh", "Fill in Manually",IF(OR(K5518="Unit", K5518=""), "", INDEX(LookUps!$E$5:$E$12, MATCH(OpenLCAbasic!K5518,LookUps!$D$5:$D$12,0))))</f>
        <v>Particulate Matter Formation Potential (PMFP) - kg PM2.5 eq</v>
      </c>
      <c r="M5518" s="154" t="str">
        <f t="shared" si="379"/>
        <v>Base_High_High_Upgraded_Particulate Matter Formation Potential (PMFP) - kg PM2.5 eq_Aeration Tanks; wastewater treatment unit; at updated plant - US_Without Amendment_Windrow</v>
      </c>
    </row>
    <row r="5519" spans="1:13" s="120" customFormat="1" x14ac:dyDescent="0.25">
      <c r="A5519" s="119"/>
      <c r="B5519" s="138" t="str">
        <f t="shared" si="375"/>
        <v>Windrow</v>
      </c>
      <c r="C5519" s="138" t="str">
        <f t="shared" si="380"/>
        <v>Without Amendment</v>
      </c>
      <c r="D5519" s="138" t="str">
        <f t="shared" si="378"/>
        <v>High_High</v>
      </c>
      <c r="E5519" s="138" t="str">
        <f t="shared" si="377"/>
        <v>Base</v>
      </c>
      <c r="F5519" s="138" t="str">
        <f t="shared" si="376"/>
        <v>Upgraded</v>
      </c>
      <c r="G5519" s="153"/>
      <c r="H5519" s="210">
        <v>9.0300000000000005E-2</v>
      </c>
      <c r="I5519" s="160" t="s">
        <v>54</v>
      </c>
      <c r="J5519" s="160">
        <v>6.8000000000000005E-4</v>
      </c>
      <c r="K5519" s="160" t="s">
        <v>145</v>
      </c>
      <c r="L5519" s="154" t="str">
        <f>IF(OpenLCAbasic!K5519="CTUh", "Fill in Manually",IF(OR(K5519="Unit", K5519=""), "", INDEX(LookUps!$E$5:$E$12, MATCH(OpenLCAbasic!K5519,LookUps!$D$5:$D$12,0))))</f>
        <v>Particulate Matter Formation Potential (PMFP) - kg PM2.5 eq</v>
      </c>
      <c r="M5519" s="154" t="str">
        <f t="shared" si="379"/>
        <v>Base_High_High_Upgraded_Particulate Matter Formation Potential (PMFP) - kg PM2.5 eq_Clear Cove Primary Clarification; wastewater treatment unit; at updated plant - US_Without Amendment_Windrow</v>
      </c>
    </row>
    <row r="5520" spans="1:13" s="120" customFormat="1" x14ac:dyDescent="0.25">
      <c r="A5520" s="119"/>
      <c r="B5520" s="138" t="str">
        <f t="shared" si="375"/>
        <v>Windrow</v>
      </c>
      <c r="C5520" s="138" t="str">
        <f t="shared" si="380"/>
        <v>Without Amendment</v>
      </c>
      <c r="D5520" s="138" t="str">
        <f t="shared" si="378"/>
        <v>High_High</v>
      </c>
      <c r="E5520" s="138" t="str">
        <f t="shared" si="377"/>
        <v>Base</v>
      </c>
      <c r="F5520" s="138" t="str">
        <f t="shared" si="376"/>
        <v>Upgraded</v>
      </c>
      <c r="G5520" s="153"/>
      <c r="H5520" s="210">
        <v>7.8600000000000003E-2</v>
      </c>
      <c r="I5520" s="160" t="s">
        <v>58</v>
      </c>
      <c r="J5520" s="160">
        <v>5.9000000000000003E-4</v>
      </c>
      <c r="K5520" s="160" t="s">
        <v>145</v>
      </c>
      <c r="L5520" s="154" t="str">
        <f>IF(OpenLCAbasic!K5520="CTUh", "Fill in Manually",IF(OR(K5520="Unit", K5520=""), "", INDEX(LookUps!$E$5:$E$12, MATCH(OpenLCAbasic!K5520,LookUps!$D$5:$D$12,0))))</f>
        <v>Particulate Matter Formation Potential (PMFP) - kg PM2.5 eq</v>
      </c>
      <c r="M5520" s="154" t="str">
        <f t="shared" si="379"/>
        <v>Base_High_High_Upgraded_Particulate Matter Formation Potential (PMFP) - kg PM2.5 eq_Pre-Anoxic &amp; Swing tank; wastewater treatment unit; at updated plant - US_Without Amendment_Windrow</v>
      </c>
    </row>
    <row r="5521" spans="1:13" s="120" customFormat="1" x14ac:dyDescent="0.25">
      <c r="A5521" s="119"/>
      <c r="B5521" s="138" t="str">
        <f t="shared" si="375"/>
        <v>Windrow</v>
      </c>
      <c r="C5521" s="138" t="str">
        <f t="shared" si="380"/>
        <v>Without Amendment</v>
      </c>
      <c r="D5521" s="138" t="str">
        <f t="shared" si="378"/>
        <v>High_High</v>
      </c>
      <c r="E5521" s="138" t="str">
        <f t="shared" si="377"/>
        <v>Base</v>
      </c>
      <c r="F5521" s="138" t="str">
        <f t="shared" si="376"/>
        <v>Upgraded</v>
      </c>
      <c r="G5521" s="153"/>
      <c r="H5521" s="210">
        <v>6.2E-2</v>
      </c>
      <c r="I5521" s="160" t="s">
        <v>53</v>
      </c>
      <c r="J5521" s="160">
        <v>4.6999999999999999E-4</v>
      </c>
      <c r="K5521" s="160" t="s">
        <v>145</v>
      </c>
      <c r="L5521" s="154" t="str">
        <f>IF(OpenLCAbasic!K5521="CTUh", "Fill in Manually",IF(OR(K5521="Unit", K5521=""), "", INDEX(LookUps!$E$5:$E$12, MATCH(OpenLCAbasic!K5521,LookUps!$D$5:$D$12,0))))</f>
        <v>Particulate Matter Formation Potential (PMFP) - kg PM2.5 eq</v>
      </c>
      <c r="M5521" s="154" t="str">
        <f t="shared" si="379"/>
        <v>Base_High_High_Upgraded_Particulate Matter Formation Potential (PMFP) - kg PM2.5 eq_Wet Well and Sump Station; wastewater treatment unit; at updated plant - US_Without Amendment_Windrow</v>
      </c>
    </row>
    <row r="5522" spans="1:13" s="120" customFormat="1" x14ac:dyDescent="0.25">
      <c r="A5522" s="119"/>
      <c r="B5522" s="138" t="str">
        <f t="shared" si="375"/>
        <v>Windrow</v>
      </c>
      <c r="C5522" s="138" t="str">
        <f t="shared" si="380"/>
        <v>Without Amendment</v>
      </c>
      <c r="D5522" s="138" t="str">
        <f t="shared" si="378"/>
        <v>High_High</v>
      </c>
      <c r="E5522" s="138" t="str">
        <f t="shared" si="377"/>
        <v>Base</v>
      </c>
      <c r="F5522" s="138" t="str">
        <f t="shared" si="376"/>
        <v>Upgraded</v>
      </c>
      <c r="G5522" s="153"/>
      <c r="H5522" s="210">
        <v>4.41E-2</v>
      </c>
      <c r="I5522" s="160" t="s">
        <v>167</v>
      </c>
      <c r="J5522" s="160">
        <v>3.3E-4</v>
      </c>
      <c r="K5522" s="160" t="s">
        <v>145</v>
      </c>
      <c r="L5522" s="154" t="str">
        <f>IF(OpenLCAbasic!K5522="CTUh", "Fill in Manually",IF(OR(K5522="Unit", K5522=""), "", INDEX(LookUps!$E$5:$E$12, MATCH(OpenLCAbasic!K5522,LookUps!$D$5:$D$12,0))))</f>
        <v>Particulate Matter Formation Potential (PMFP) - kg PM2.5 eq</v>
      </c>
      <c r="M5522" s="154" t="str">
        <f t="shared" si="379"/>
        <v>Base_High_High_Upgraded_Particulate Matter Formation Potential (PMFP) - kg PM2.5 eq_Waste Receiving and Holding; wastewater treatment unit; at updated plant - US_Without Amendment_Windrow</v>
      </c>
    </row>
    <row r="5523" spans="1:13" s="120" customFormat="1" x14ac:dyDescent="0.25">
      <c r="A5523" s="119"/>
      <c r="B5523" s="138" t="str">
        <f t="shared" si="375"/>
        <v>Windrow</v>
      </c>
      <c r="C5523" s="138" t="str">
        <f t="shared" si="380"/>
        <v>Without Amendment</v>
      </c>
      <c r="D5523" s="138" t="str">
        <f t="shared" si="378"/>
        <v>High_High</v>
      </c>
      <c r="E5523" s="138" t="str">
        <f t="shared" si="377"/>
        <v>Base</v>
      </c>
      <c r="F5523" s="138" t="str">
        <f t="shared" si="376"/>
        <v>Upgraded</v>
      </c>
      <c r="G5523" s="153"/>
      <c r="H5523" s="210">
        <v>3.5499999999999997E-2</v>
      </c>
      <c r="I5523" s="160" t="s">
        <v>147</v>
      </c>
      <c r="J5523" s="160">
        <v>2.7E-4</v>
      </c>
      <c r="K5523" s="160" t="s">
        <v>145</v>
      </c>
      <c r="L5523" s="154" t="str">
        <f>IF(OpenLCAbasic!K5523="CTUh", "Fill in Manually",IF(OR(K5523="Unit", K5523=""), "", INDEX(LookUps!$E$5:$E$12, MATCH(OpenLCAbasic!K5523,LookUps!$D$5:$D$12,0))))</f>
        <v>Particulate Matter Formation Potential (PMFP) - kg PM2.5 eq</v>
      </c>
      <c r="M5523" s="154" t="str">
        <f t="shared" si="379"/>
        <v>Base_High_High_Upgraded_Particulate Matter Formation Potential (PMFP) - kg PM2.5 eq_Influent Pump Station; wastewater treatment unit; at updated plant - US_Without Amendment_Windrow</v>
      </c>
    </row>
    <row r="5524" spans="1:13" s="120" customFormat="1" x14ac:dyDescent="0.25">
      <c r="A5524" s="119"/>
      <c r="B5524" s="138" t="str">
        <f t="shared" si="375"/>
        <v>Windrow</v>
      </c>
      <c r="C5524" s="138" t="str">
        <f t="shared" si="380"/>
        <v>Without Amendment</v>
      </c>
      <c r="D5524" s="138" t="str">
        <f t="shared" si="378"/>
        <v>High_High</v>
      </c>
      <c r="E5524" s="138" t="str">
        <f t="shared" si="377"/>
        <v>Base</v>
      </c>
      <c r="F5524" s="138" t="str">
        <f t="shared" si="376"/>
        <v>Upgraded</v>
      </c>
      <c r="G5524" s="153"/>
      <c r="H5524" s="210">
        <v>3.1E-2</v>
      </c>
      <c r="I5524" s="160" t="s">
        <v>271</v>
      </c>
      <c r="J5524" s="160">
        <v>2.3000000000000001E-4</v>
      </c>
      <c r="K5524" s="160" t="s">
        <v>145</v>
      </c>
      <c r="L5524" s="154" t="str">
        <f>IF(OpenLCAbasic!K5524="CTUh", "Fill in Manually",IF(OR(K5524="Unit", K5524=""), "", INDEX(LookUps!$E$5:$E$12, MATCH(OpenLCAbasic!K5524,LookUps!$D$5:$D$12,0))))</f>
        <v>Particulate Matter Formation Potential (PMFP) - kg PM2.5 eq</v>
      </c>
      <c r="M5524" s="154" t="str">
        <f t="shared" si="379"/>
        <v>Base_High_High_Upgraded_Particulate Matter Formation Potential (PMFP) - kg PM2.5 eq_Biosolids composting; windrow composting; wastewater treatment unit; at updated plant - US_Without Amendment_Windrow</v>
      </c>
    </row>
    <row r="5525" spans="1:13" s="120" customFormat="1" x14ac:dyDescent="0.25">
      <c r="A5525" s="119"/>
      <c r="B5525" s="138" t="str">
        <f t="shared" si="375"/>
        <v>Windrow</v>
      </c>
      <c r="C5525" s="138" t="str">
        <f t="shared" si="380"/>
        <v>Without Amendment</v>
      </c>
      <c r="D5525" s="138" t="str">
        <f t="shared" si="378"/>
        <v>High_High</v>
      </c>
      <c r="E5525" s="138" t="str">
        <f t="shared" si="377"/>
        <v>Base</v>
      </c>
      <c r="F5525" s="138" t="str">
        <f t="shared" si="376"/>
        <v>Upgraded</v>
      </c>
      <c r="G5525" s="153"/>
      <c r="H5525" s="210">
        <v>2.4899999999999999E-2</v>
      </c>
      <c r="I5525" s="160" t="s">
        <v>60</v>
      </c>
      <c r="J5525" s="160">
        <v>1.9000000000000001E-4</v>
      </c>
      <c r="K5525" s="160" t="s">
        <v>145</v>
      </c>
      <c r="L5525" s="154" t="str">
        <f>IF(OpenLCAbasic!K5525="CTUh", "Fill in Manually",IF(OR(K5525="Unit", K5525=""), "", INDEX(LookUps!$E$5:$E$12, MATCH(OpenLCAbasic!K5525,LookUps!$D$5:$D$12,0))))</f>
        <v>Particulate Matter Formation Potential (PMFP) - kg PM2.5 eq</v>
      </c>
      <c r="M5525" s="154" t="str">
        <f t="shared" si="379"/>
        <v>Base_High_High_Upgraded_Particulate Matter Formation Potential (PMFP) - kg PM2.5 eq_Belt filter press; wastewater treatment unit; at updated plant - US_Without Amendment_Windrow</v>
      </c>
    </row>
    <row r="5526" spans="1:13" s="120" customFormat="1" x14ac:dyDescent="0.25">
      <c r="A5526" s="119"/>
      <c r="B5526" s="138" t="str">
        <f t="shared" si="375"/>
        <v>Windrow</v>
      </c>
      <c r="C5526" s="138" t="str">
        <f t="shared" si="380"/>
        <v>Without Amendment</v>
      </c>
      <c r="D5526" s="138" t="str">
        <f t="shared" si="378"/>
        <v>High_High</v>
      </c>
      <c r="E5526" s="138" t="str">
        <f t="shared" si="377"/>
        <v>Base</v>
      </c>
      <c r="F5526" s="138" t="str">
        <f t="shared" si="376"/>
        <v>Upgraded</v>
      </c>
      <c r="G5526" s="153"/>
      <c r="H5526" s="210">
        <v>2.2100000000000002E-2</v>
      </c>
      <c r="I5526" s="160" t="s">
        <v>128</v>
      </c>
      <c r="J5526" s="160">
        <v>1.7000000000000001E-4</v>
      </c>
      <c r="K5526" s="160" t="s">
        <v>145</v>
      </c>
      <c r="L5526" s="154" t="str">
        <f>IF(OpenLCAbasic!K5526="CTUh", "Fill in Manually",IF(OR(K5526="Unit", K5526=""), "", INDEX(LookUps!$E$5:$E$12, MATCH(OpenLCAbasic!K5526,LookUps!$D$5:$D$12,0))))</f>
        <v>Particulate Matter Formation Potential (PMFP) - kg PM2.5 eq</v>
      </c>
      <c r="M5526" s="154" t="str">
        <f t="shared" si="379"/>
        <v>Base_High_High_Upgraded_Particulate Matter Formation Potential (PMFP) - kg PM2.5 eq_Wastewater collection; operation and infrastructure; m3 wastewater_Without Amendment_Windrow</v>
      </c>
    </row>
    <row r="5527" spans="1:13" s="120" customFormat="1" x14ac:dyDescent="0.25">
      <c r="A5527" s="119"/>
      <c r="B5527" s="138" t="str">
        <f t="shared" si="375"/>
        <v>Windrow</v>
      </c>
      <c r="C5527" s="138" t="str">
        <f t="shared" si="380"/>
        <v>Without Amendment</v>
      </c>
      <c r="D5527" s="138" t="str">
        <f t="shared" si="378"/>
        <v>High_High</v>
      </c>
      <c r="E5527" s="138" t="str">
        <f t="shared" si="377"/>
        <v>Base</v>
      </c>
      <c r="F5527" s="138" t="str">
        <f t="shared" si="376"/>
        <v>Upgraded</v>
      </c>
      <c r="G5527" s="153"/>
      <c r="H5527" s="210">
        <v>1.2699999999999999E-2</v>
      </c>
      <c r="I5527" s="160" t="s">
        <v>57</v>
      </c>
      <c r="J5527" s="211">
        <v>9.5153800000000004E-5</v>
      </c>
      <c r="K5527" s="160" t="s">
        <v>145</v>
      </c>
      <c r="L5527" s="154" t="str">
        <f>IF(OpenLCAbasic!K5527="CTUh", "Fill in Manually",IF(OR(K5527="Unit", K5527=""), "", INDEX(LookUps!$E$5:$E$12, MATCH(OpenLCAbasic!K5527,LookUps!$D$5:$D$12,0))))</f>
        <v>Particulate Matter Formation Potential (PMFP) - kg PM2.5 eq</v>
      </c>
      <c r="M5527" s="154" t="str">
        <f t="shared" si="379"/>
        <v>Base_High_High_Upgraded_Particulate Matter Formation Potential (PMFP) - kg PM2.5 eq_Gravity Belt Thickener; wastewater treatment unit; at updated plant - US_Without Amendment_Windrow</v>
      </c>
    </row>
    <row r="5528" spans="1:13" s="120" customFormat="1" x14ac:dyDescent="0.25">
      <c r="A5528" s="119"/>
      <c r="B5528" s="138" t="str">
        <f t="shared" si="375"/>
        <v>Windrow</v>
      </c>
      <c r="C5528" s="138" t="str">
        <f t="shared" si="380"/>
        <v>Without Amendment</v>
      </c>
      <c r="D5528" s="138" t="str">
        <f t="shared" si="378"/>
        <v>High_High</v>
      </c>
      <c r="E5528" s="138" t="str">
        <f t="shared" si="377"/>
        <v>Base</v>
      </c>
      <c r="F5528" s="138" t="str">
        <f t="shared" si="376"/>
        <v>Upgraded</v>
      </c>
      <c r="G5528" s="153"/>
      <c r="H5528" s="210">
        <v>9.2999999999999992E-3</v>
      </c>
      <c r="I5528" s="160" t="s">
        <v>59</v>
      </c>
      <c r="J5528" s="211">
        <v>6.9942200000000003E-5</v>
      </c>
      <c r="K5528" s="160" t="s">
        <v>145</v>
      </c>
      <c r="L5528" s="154" t="str">
        <f>IF(OpenLCAbasic!K5528="CTUh", "Fill in Manually",IF(OR(K5528="Unit", K5528=""), "", INDEX(LookUps!$E$5:$E$12, MATCH(OpenLCAbasic!K5528,LookUps!$D$5:$D$12,0))))</f>
        <v>Particulate Matter Formation Potential (PMFP) - kg PM2.5 eq</v>
      </c>
      <c r="M5528" s="154" t="str">
        <f t="shared" si="379"/>
        <v>Base_High_High_Upgraded_Particulate Matter Formation Potential (PMFP) - kg PM2.5 eq_Blend Tank; wastewater treatment unit; at updated plant - US_Without Amendment_Windrow</v>
      </c>
    </row>
    <row r="5529" spans="1:13" s="120" customFormat="1" x14ac:dyDescent="0.25">
      <c r="A5529" s="119"/>
      <c r="B5529" s="138" t="str">
        <f t="shared" si="375"/>
        <v>Windrow</v>
      </c>
      <c r="C5529" s="138" t="str">
        <f t="shared" si="380"/>
        <v>Without Amendment</v>
      </c>
      <c r="D5529" s="138" t="str">
        <f t="shared" si="378"/>
        <v>High_High</v>
      </c>
      <c r="E5529" s="138" t="str">
        <f t="shared" si="377"/>
        <v>Base</v>
      </c>
      <c r="F5529" s="138" t="str">
        <f t="shared" si="376"/>
        <v>Upgraded</v>
      </c>
      <c r="G5529" s="153"/>
      <c r="H5529" s="210">
        <v>7.0000000000000001E-3</v>
      </c>
      <c r="I5529" s="160" t="s">
        <v>62</v>
      </c>
      <c r="J5529" s="211">
        <v>5.2607E-5</v>
      </c>
      <c r="K5529" s="160" t="s">
        <v>145</v>
      </c>
      <c r="L5529" s="154" t="str">
        <f>IF(OpenLCAbasic!K5529="CTUh", "Fill in Manually",IF(OR(K5529="Unit", K5529=""), "", INDEX(LookUps!$E$5:$E$12, MATCH(OpenLCAbasic!K5529,LookUps!$D$5:$D$12,0))))</f>
        <v>Particulate Matter Formation Potential (PMFP) - kg PM2.5 eq</v>
      </c>
      <c r="M5529" s="154" t="str">
        <f t="shared" si="379"/>
        <v>Base_High_High_Upgraded_Particulate Matter Formation Potential (PMFP) - kg PM2.5 eq_Land application of compost; wastewater treatment unit; at updated plant - US_Without Amendment_Windrow</v>
      </c>
    </row>
    <row r="5530" spans="1:13" s="120" customFormat="1" x14ac:dyDescent="0.25">
      <c r="A5530" s="119"/>
      <c r="B5530" s="138" t="str">
        <f t="shared" si="375"/>
        <v>Windrow</v>
      </c>
      <c r="C5530" s="138" t="str">
        <f t="shared" si="380"/>
        <v>Without Amendment</v>
      </c>
      <c r="D5530" s="138" t="str">
        <f t="shared" si="378"/>
        <v>High_High</v>
      </c>
      <c r="E5530" s="138" t="str">
        <f t="shared" si="377"/>
        <v>Base</v>
      </c>
      <c r="F5530" s="138" t="str">
        <f t="shared" si="376"/>
        <v>Upgraded</v>
      </c>
      <c r="G5530" s="153"/>
      <c r="H5530" s="210">
        <v>6.6E-3</v>
      </c>
      <c r="I5530" s="160" t="s">
        <v>48</v>
      </c>
      <c r="J5530" s="211">
        <v>4.99741E-5</v>
      </c>
      <c r="K5530" s="160" t="s">
        <v>145</v>
      </c>
      <c r="L5530" s="154" t="str">
        <f>IF(OpenLCAbasic!K5530="CTUh", "Fill in Manually",IF(OR(K5530="Unit", K5530=""), "", INDEX(LookUps!$E$5:$E$12, MATCH(OpenLCAbasic!K5530,LookUps!$D$5:$D$12,0))))</f>
        <v>Particulate Matter Formation Potential (PMFP) - kg PM2.5 eq</v>
      </c>
      <c r="M5530" s="154" t="str">
        <f t="shared" si="379"/>
        <v>Base_High_High_Upgraded_Particulate Matter Formation Potential (PMFP) - kg PM2.5 eq_Effluent release; wastewater treatment unit; at surface water; m3 wastewater - US_Without Amendment_Windrow</v>
      </c>
    </row>
    <row r="5531" spans="1:13" s="120" customFormat="1" x14ac:dyDescent="0.25">
      <c r="A5531" s="119"/>
      <c r="B5531" s="138" t="str">
        <f t="shared" si="375"/>
        <v>Windrow</v>
      </c>
      <c r="C5531" s="138" t="str">
        <f t="shared" si="380"/>
        <v>Without Amendment</v>
      </c>
      <c r="D5531" s="138" t="str">
        <f t="shared" si="378"/>
        <v>High_High</v>
      </c>
      <c r="E5531" s="138" t="str">
        <f t="shared" si="377"/>
        <v>Base</v>
      </c>
      <c r="F5531" s="138" t="str">
        <f t="shared" si="376"/>
        <v>Upgraded</v>
      </c>
      <c r="G5531" s="153"/>
      <c r="H5531" s="210">
        <v>4.5999999999999999E-3</v>
      </c>
      <c r="I5531" s="160" t="s">
        <v>168</v>
      </c>
      <c r="J5531" s="211">
        <v>3.4562199999999999E-5</v>
      </c>
      <c r="K5531" s="160" t="s">
        <v>145</v>
      </c>
      <c r="L5531" s="154" t="str">
        <f>IF(OpenLCAbasic!K5531="CTUh", "Fill in Manually",IF(OR(K5531="Unit", K5531=""), "", INDEX(LookUps!$E$5:$E$12, MATCH(OpenLCAbasic!K5531,LookUps!$D$5:$D$12,0))))</f>
        <v>Particulate Matter Formation Potential (PMFP) - kg PM2.5 eq</v>
      </c>
      <c r="M5531" s="154" t="str">
        <f t="shared" si="379"/>
        <v>Base_High_High_Upgraded_Particulate Matter Formation Potential (PMFP) - kg PM2.5 eq_ClearCove SCP; wastewater treatment unit; at updated plant - US_Without Amendment_Windrow</v>
      </c>
    </row>
    <row r="5532" spans="1:13" s="120" customFormat="1" x14ac:dyDescent="0.25">
      <c r="A5532" s="119"/>
      <c r="B5532" s="138" t="str">
        <f t="shared" si="375"/>
        <v>Windrow</v>
      </c>
      <c r="C5532" s="138" t="str">
        <f t="shared" si="380"/>
        <v>Without Amendment</v>
      </c>
      <c r="D5532" s="138" t="str">
        <f t="shared" si="378"/>
        <v>High_High</v>
      </c>
      <c r="E5532" s="138" t="str">
        <f t="shared" si="377"/>
        <v>Base</v>
      </c>
      <c r="F5532" s="138" t="str">
        <f t="shared" si="376"/>
        <v>Upgraded</v>
      </c>
      <c r="G5532" s="153"/>
      <c r="H5532" s="210">
        <v>1.1999999999999999E-3</v>
      </c>
      <c r="I5532" s="160" t="s">
        <v>148</v>
      </c>
      <c r="J5532" s="211">
        <v>8.8212999999999997E-6</v>
      </c>
      <c r="K5532" s="160" t="s">
        <v>145</v>
      </c>
      <c r="L5532" s="154" t="str">
        <f>IF(OpenLCAbasic!K5532="CTUh", "Fill in Manually",IF(OR(K5532="Unit", K5532=""), "", INDEX(LookUps!$E$5:$E$12, MATCH(OpenLCAbasic!K5532,LookUps!$D$5:$D$12,0))))</f>
        <v>Particulate Matter Formation Potential (PMFP) - kg PM2.5 eq</v>
      </c>
      <c r="M5532" s="154" t="str">
        <f t="shared" si="379"/>
        <v>Base_High_High_Upgraded_Particulate Matter Formation Potential (PMFP) - kg PM2.5 eq_Control Building; at upgraded wastewater treatment plant - US_Without Amendment_Windrow</v>
      </c>
    </row>
    <row r="5533" spans="1:13" s="120" customFormat="1" x14ac:dyDescent="0.25">
      <c r="A5533" s="119"/>
      <c r="B5533" s="138" t="str">
        <f t="shared" si="375"/>
        <v>Windrow</v>
      </c>
      <c r="C5533" s="138" t="str">
        <f t="shared" si="380"/>
        <v>Without Amendment</v>
      </c>
      <c r="D5533" s="138" t="str">
        <f t="shared" si="378"/>
        <v>High_High</v>
      </c>
      <c r="E5533" s="138" t="str">
        <f t="shared" si="377"/>
        <v>Base</v>
      </c>
      <c r="F5533" s="138" t="str">
        <f t="shared" si="376"/>
        <v>Upgraded</v>
      </c>
      <c r="G5533" s="153"/>
      <c r="H5533" s="210">
        <v>-1.7401</v>
      </c>
      <c r="I5533" s="160" t="s">
        <v>149</v>
      </c>
      <c r="J5533" s="160">
        <v>-1.3089999999999999E-2</v>
      </c>
      <c r="K5533" s="160" t="s">
        <v>145</v>
      </c>
      <c r="L5533" s="154" t="str">
        <f>IF(OpenLCAbasic!K5533="CTUh", "Fill in Manually",IF(OR(K5533="Unit", K5533=""), "", INDEX(LookUps!$E$5:$E$12, MATCH(OpenLCAbasic!K5533,LookUps!$D$5:$D$12,0))))</f>
        <v>Particulate Matter Formation Potential (PMFP) - kg PM2.5 eq</v>
      </c>
      <c r="M5533" s="154" t="str">
        <f t="shared" si="379"/>
        <v>Base_High_High_Upgraded_Particulate Matter Formation Potential (PMFP) - kg PM2.5 eq_Anaerobic Digestion; wastewater treatment unit; at updated plant - US_Without Amendment_Windrow</v>
      </c>
    </row>
    <row r="5534" spans="1:13" s="120" customFormat="1" x14ac:dyDescent="0.25">
      <c r="A5534" s="119"/>
      <c r="B5534" s="138" t="str">
        <f t="shared" si="375"/>
        <v/>
      </c>
      <c r="C5534" s="138" t="str">
        <f t="shared" si="380"/>
        <v/>
      </c>
      <c r="D5534" s="138" t="str">
        <f t="shared" si="378"/>
        <v/>
      </c>
      <c r="E5534" s="138" t="str">
        <f t="shared" si="377"/>
        <v/>
      </c>
      <c r="F5534" s="138" t="str">
        <f t="shared" si="376"/>
        <v/>
      </c>
      <c r="G5534" s="153" t="s">
        <v>51</v>
      </c>
      <c r="H5534" s="160"/>
      <c r="I5534" s="160" t="s">
        <v>47</v>
      </c>
      <c r="J5534" s="160" t="s">
        <v>52</v>
      </c>
      <c r="K5534" s="160" t="s">
        <v>27</v>
      </c>
      <c r="L5534" s="154" t="str">
        <f>IF(OpenLCAbasic!K5534="CTUh", "Fill in Manually",IF(OR(K5534="Unit", K5534=""), "", INDEX(LookUps!$E$5:$E$12, MATCH(OpenLCAbasic!K5534,LookUps!$D$5:$D$12,0))))</f>
        <v/>
      </c>
      <c r="M5534" s="154" t="str">
        <f t="shared" si="379"/>
        <v>____Process__</v>
      </c>
    </row>
    <row r="5535" spans="1:13" s="120" customFormat="1" x14ac:dyDescent="0.25">
      <c r="A5535" s="119"/>
      <c r="B5535" s="138" t="str">
        <f t="shared" si="375"/>
        <v>Windrow</v>
      </c>
      <c r="C5535" s="138" t="str">
        <f t="shared" si="380"/>
        <v>Without Amendment</v>
      </c>
      <c r="D5535" s="138" t="str">
        <f t="shared" si="378"/>
        <v>High_High</v>
      </c>
      <c r="E5535" s="138" t="str">
        <f t="shared" si="377"/>
        <v>Base</v>
      </c>
      <c r="F5535" s="138" t="str">
        <f t="shared" si="376"/>
        <v>Upgraded</v>
      </c>
      <c r="G5535" s="153"/>
      <c r="H5535" s="210">
        <v>0.30230000000000001</v>
      </c>
      <c r="I5535" s="160" t="s">
        <v>55</v>
      </c>
      <c r="J5535" s="160">
        <v>0.16577</v>
      </c>
      <c r="K5535" s="160" t="s">
        <v>25</v>
      </c>
      <c r="L5535" s="154" t="str">
        <f>IF(OpenLCAbasic!K5535="CTUh", "Fill in Manually",IF(OR(K5535="Unit", K5535=""), "", INDEX(LookUps!$E$5:$E$12, MATCH(OpenLCAbasic!K5535,LookUps!$D$5:$D$12,0))))</f>
        <v>Smog Formation Potential (SFP) - kg O3 eq</v>
      </c>
      <c r="M5535" s="154" t="str">
        <f t="shared" si="379"/>
        <v>Base_High_High_Upgraded_Smog Formation Potential (SFP) - kg O3 eq_Aeration Tanks; wastewater treatment unit; at updated plant - US_Without Amendment_Windrow</v>
      </c>
    </row>
    <row r="5536" spans="1:13" s="120" customFormat="1" x14ac:dyDescent="0.25">
      <c r="A5536" s="119"/>
      <c r="B5536" s="138" t="str">
        <f t="shared" si="375"/>
        <v>Windrow</v>
      </c>
      <c r="C5536" s="138" t="str">
        <f t="shared" si="380"/>
        <v>Without Amendment</v>
      </c>
      <c r="D5536" s="138" t="str">
        <f t="shared" si="378"/>
        <v>High_High</v>
      </c>
      <c r="E5536" s="138" t="str">
        <f t="shared" si="377"/>
        <v>Base</v>
      </c>
      <c r="F5536" s="138" t="str">
        <f t="shared" si="376"/>
        <v>Upgraded</v>
      </c>
      <c r="G5536" s="153"/>
      <c r="H5536" s="210">
        <v>8.77E-2</v>
      </c>
      <c r="I5536" s="160" t="s">
        <v>54</v>
      </c>
      <c r="J5536" s="160">
        <v>4.8070000000000002E-2</v>
      </c>
      <c r="K5536" s="160" t="s">
        <v>25</v>
      </c>
      <c r="L5536" s="154" t="str">
        <f>IF(OpenLCAbasic!K5536="CTUh", "Fill in Manually",IF(OR(K5536="Unit", K5536=""), "", INDEX(LookUps!$E$5:$E$12, MATCH(OpenLCAbasic!K5536,LookUps!$D$5:$D$12,0))))</f>
        <v>Smog Formation Potential (SFP) - kg O3 eq</v>
      </c>
      <c r="M5536" s="154" t="str">
        <f t="shared" si="379"/>
        <v>Base_High_High_Upgraded_Smog Formation Potential (SFP) - kg O3 eq_Clear Cove Primary Clarification; wastewater treatment unit; at updated plant - US_Without Amendment_Windrow</v>
      </c>
    </row>
    <row r="5537" spans="1:13" s="120" customFormat="1" x14ac:dyDescent="0.25">
      <c r="A5537" s="119"/>
      <c r="B5537" s="138" t="str">
        <f t="shared" si="375"/>
        <v>Windrow</v>
      </c>
      <c r="C5537" s="138" t="str">
        <f t="shared" si="380"/>
        <v>Without Amendment</v>
      </c>
      <c r="D5537" s="138" t="str">
        <f t="shared" si="378"/>
        <v>High_High</v>
      </c>
      <c r="E5537" s="138" t="str">
        <f t="shared" si="377"/>
        <v>Base</v>
      </c>
      <c r="F5537" s="138" t="str">
        <f t="shared" si="376"/>
        <v>Upgraded</v>
      </c>
      <c r="G5537" s="153"/>
      <c r="H5537" s="210">
        <v>7.6799999999999993E-2</v>
      </c>
      <c r="I5537" s="160" t="s">
        <v>58</v>
      </c>
      <c r="J5537" s="160">
        <v>4.2090000000000002E-2</v>
      </c>
      <c r="K5537" s="160" t="s">
        <v>25</v>
      </c>
      <c r="L5537" s="154" t="str">
        <f>IF(OpenLCAbasic!K5537="CTUh", "Fill in Manually",IF(OR(K5537="Unit", K5537=""), "", INDEX(LookUps!$E$5:$E$12, MATCH(OpenLCAbasic!K5537,LookUps!$D$5:$D$12,0))))</f>
        <v>Smog Formation Potential (SFP) - kg O3 eq</v>
      </c>
      <c r="M5537" s="154" t="str">
        <f t="shared" si="379"/>
        <v>Base_High_High_Upgraded_Smog Formation Potential (SFP) - kg O3 eq_Pre-Anoxic &amp; Swing tank; wastewater treatment unit; at updated plant - US_Without Amendment_Windrow</v>
      </c>
    </row>
    <row r="5538" spans="1:13" s="120" customFormat="1" x14ac:dyDescent="0.25">
      <c r="A5538" s="119"/>
      <c r="B5538" s="138" t="str">
        <f t="shared" si="375"/>
        <v>Windrow</v>
      </c>
      <c r="C5538" s="138" t="str">
        <f t="shared" si="380"/>
        <v>Without Amendment</v>
      </c>
      <c r="D5538" s="138" t="str">
        <f t="shared" si="378"/>
        <v>High_High</v>
      </c>
      <c r="E5538" s="138" t="str">
        <f t="shared" si="377"/>
        <v>Base</v>
      </c>
      <c r="F5538" s="138" t="str">
        <f t="shared" si="376"/>
        <v>Upgraded</v>
      </c>
      <c r="G5538" s="153"/>
      <c r="H5538" s="210">
        <v>6.1600000000000002E-2</v>
      </c>
      <c r="I5538" s="160" t="s">
        <v>167</v>
      </c>
      <c r="J5538" s="160">
        <v>3.3759999999999998E-2</v>
      </c>
      <c r="K5538" s="160" t="s">
        <v>25</v>
      </c>
      <c r="L5538" s="154" t="str">
        <f>IF(OpenLCAbasic!K5538="CTUh", "Fill in Manually",IF(OR(K5538="Unit", K5538=""), "", INDEX(LookUps!$E$5:$E$12, MATCH(OpenLCAbasic!K5538,LookUps!$D$5:$D$12,0))))</f>
        <v>Smog Formation Potential (SFP) - kg O3 eq</v>
      </c>
      <c r="M5538" s="154" t="str">
        <f t="shared" si="379"/>
        <v>Base_High_High_Upgraded_Smog Formation Potential (SFP) - kg O3 eq_Waste Receiving and Holding; wastewater treatment unit; at updated plant - US_Without Amendment_Windrow</v>
      </c>
    </row>
    <row r="5539" spans="1:13" s="120" customFormat="1" x14ac:dyDescent="0.25">
      <c r="A5539" s="119"/>
      <c r="B5539" s="138" t="str">
        <f t="shared" si="375"/>
        <v>Windrow</v>
      </c>
      <c r="C5539" s="138" t="str">
        <f t="shared" si="380"/>
        <v>Without Amendment</v>
      </c>
      <c r="D5539" s="138" t="str">
        <f t="shared" si="378"/>
        <v>High_High</v>
      </c>
      <c r="E5539" s="138" t="str">
        <f t="shared" si="377"/>
        <v>Base</v>
      </c>
      <c r="F5539" s="138" t="str">
        <f t="shared" si="376"/>
        <v>Upgraded</v>
      </c>
      <c r="G5539" s="153"/>
      <c r="H5539" s="210">
        <v>6.0400000000000002E-2</v>
      </c>
      <c r="I5539" s="160" t="s">
        <v>53</v>
      </c>
      <c r="J5539" s="160">
        <v>3.313E-2</v>
      </c>
      <c r="K5539" s="160" t="s">
        <v>25</v>
      </c>
      <c r="L5539" s="154" t="str">
        <f>IF(OpenLCAbasic!K5539="CTUh", "Fill in Manually",IF(OR(K5539="Unit", K5539=""), "", INDEX(LookUps!$E$5:$E$12, MATCH(OpenLCAbasic!K5539,LookUps!$D$5:$D$12,0))))</f>
        <v>Smog Formation Potential (SFP) - kg O3 eq</v>
      </c>
      <c r="M5539" s="154" t="str">
        <f t="shared" si="379"/>
        <v>Base_High_High_Upgraded_Smog Formation Potential (SFP) - kg O3 eq_Wet Well and Sump Station; wastewater treatment unit; at updated plant - US_Without Amendment_Windrow</v>
      </c>
    </row>
    <row r="5540" spans="1:13" s="120" customFormat="1" x14ac:dyDescent="0.25">
      <c r="A5540" s="119"/>
      <c r="B5540" s="138" t="str">
        <f t="shared" si="375"/>
        <v>Windrow</v>
      </c>
      <c r="C5540" s="138" t="str">
        <f t="shared" si="380"/>
        <v>Without Amendment</v>
      </c>
      <c r="D5540" s="138" t="str">
        <f t="shared" si="378"/>
        <v>High_High</v>
      </c>
      <c r="E5540" s="138" t="str">
        <f t="shared" si="377"/>
        <v>Base</v>
      </c>
      <c r="F5540" s="138" t="str">
        <f t="shared" si="376"/>
        <v>Upgraded</v>
      </c>
      <c r="G5540" s="153"/>
      <c r="H5540" s="210">
        <v>3.5400000000000001E-2</v>
      </c>
      <c r="I5540" s="160" t="s">
        <v>147</v>
      </c>
      <c r="J5540" s="160">
        <v>1.9400000000000001E-2</v>
      </c>
      <c r="K5540" s="160" t="s">
        <v>25</v>
      </c>
      <c r="L5540" s="154" t="str">
        <f>IF(OpenLCAbasic!K5540="CTUh", "Fill in Manually",IF(OR(K5540="Unit", K5540=""), "", INDEX(LookUps!$E$5:$E$12, MATCH(OpenLCAbasic!K5540,LookUps!$D$5:$D$12,0))))</f>
        <v>Smog Formation Potential (SFP) - kg O3 eq</v>
      </c>
      <c r="M5540" s="154" t="str">
        <f t="shared" si="379"/>
        <v>Base_High_High_Upgraded_Smog Formation Potential (SFP) - kg O3 eq_Influent Pump Station; wastewater treatment unit; at updated plant - US_Without Amendment_Windrow</v>
      </c>
    </row>
    <row r="5541" spans="1:13" s="120" customFormat="1" x14ac:dyDescent="0.25">
      <c r="A5541" s="119"/>
      <c r="B5541" s="138" t="str">
        <f t="shared" si="375"/>
        <v>Windrow</v>
      </c>
      <c r="C5541" s="138" t="str">
        <f t="shared" si="380"/>
        <v>Without Amendment</v>
      </c>
      <c r="D5541" s="138" t="str">
        <f t="shared" si="378"/>
        <v>High_High</v>
      </c>
      <c r="E5541" s="138" t="str">
        <f t="shared" si="377"/>
        <v>Base</v>
      </c>
      <c r="F5541" s="138" t="str">
        <f t="shared" si="376"/>
        <v>Upgraded</v>
      </c>
      <c r="G5541" s="153"/>
      <c r="H5541" s="210">
        <v>2.4E-2</v>
      </c>
      <c r="I5541" s="160" t="s">
        <v>60</v>
      </c>
      <c r="J5541" s="160">
        <v>1.316E-2</v>
      </c>
      <c r="K5541" s="160" t="s">
        <v>25</v>
      </c>
      <c r="L5541" s="154" t="str">
        <f>IF(OpenLCAbasic!K5541="CTUh", "Fill in Manually",IF(OR(K5541="Unit", K5541=""), "", INDEX(LookUps!$E$5:$E$12, MATCH(OpenLCAbasic!K5541,LookUps!$D$5:$D$12,0))))</f>
        <v>Smog Formation Potential (SFP) - kg O3 eq</v>
      </c>
      <c r="M5541" s="154" t="str">
        <f t="shared" si="379"/>
        <v>Base_High_High_Upgraded_Smog Formation Potential (SFP) - kg O3 eq_Belt filter press; wastewater treatment unit; at updated plant - US_Without Amendment_Windrow</v>
      </c>
    </row>
    <row r="5542" spans="1:13" s="120" customFormat="1" x14ac:dyDescent="0.25">
      <c r="A5542" s="119"/>
      <c r="B5542" s="138" t="str">
        <f t="shared" si="375"/>
        <v>Windrow</v>
      </c>
      <c r="C5542" s="138" t="str">
        <f t="shared" si="380"/>
        <v>Without Amendment</v>
      </c>
      <c r="D5542" s="138" t="str">
        <f t="shared" si="378"/>
        <v>High_High</v>
      </c>
      <c r="E5542" s="138" t="str">
        <f t="shared" si="377"/>
        <v>Base</v>
      </c>
      <c r="F5542" s="138" t="str">
        <f t="shared" si="376"/>
        <v>Upgraded</v>
      </c>
      <c r="G5542" s="153"/>
      <c r="H5542" s="210">
        <v>2.1700000000000001E-2</v>
      </c>
      <c r="I5542" s="160" t="s">
        <v>128</v>
      </c>
      <c r="J5542" s="160">
        <v>1.192E-2</v>
      </c>
      <c r="K5542" s="160" t="s">
        <v>25</v>
      </c>
      <c r="L5542" s="154" t="str">
        <f>IF(OpenLCAbasic!K5542="CTUh", "Fill in Manually",IF(OR(K5542="Unit", K5542=""), "", INDEX(LookUps!$E$5:$E$12, MATCH(OpenLCAbasic!K5542,LookUps!$D$5:$D$12,0))))</f>
        <v>Smog Formation Potential (SFP) - kg O3 eq</v>
      </c>
      <c r="M5542" s="154" t="str">
        <f t="shared" si="379"/>
        <v>Base_High_High_Upgraded_Smog Formation Potential (SFP) - kg O3 eq_Wastewater collection; operation and infrastructure; m3 wastewater_Without Amendment_Windrow</v>
      </c>
    </row>
    <row r="5543" spans="1:13" s="120" customFormat="1" x14ac:dyDescent="0.25">
      <c r="A5543" s="119"/>
      <c r="B5543" s="138" t="str">
        <f t="shared" si="375"/>
        <v>Windrow</v>
      </c>
      <c r="C5543" s="138" t="str">
        <f t="shared" si="380"/>
        <v>Without Amendment</v>
      </c>
      <c r="D5543" s="138" t="str">
        <f t="shared" si="378"/>
        <v>High_High</v>
      </c>
      <c r="E5543" s="138" t="str">
        <f t="shared" si="377"/>
        <v>Base</v>
      </c>
      <c r="F5543" s="138" t="str">
        <f t="shared" si="376"/>
        <v>Upgraded</v>
      </c>
      <c r="G5543" s="153"/>
      <c r="H5543" s="210">
        <v>1.21E-2</v>
      </c>
      <c r="I5543" s="160" t="s">
        <v>57</v>
      </c>
      <c r="J5543" s="160">
        <v>6.6499999999999997E-3</v>
      </c>
      <c r="K5543" s="160" t="s">
        <v>25</v>
      </c>
      <c r="L5543" s="154" t="str">
        <f>IF(OpenLCAbasic!K5543="CTUh", "Fill in Manually",IF(OR(K5543="Unit", K5543=""), "", INDEX(LookUps!$E$5:$E$12, MATCH(OpenLCAbasic!K5543,LookUps!$D$5:$D$12,0))))</f>
        <v>Smog Formation Potential (SFP) - kg O3 eq</v>
      </c>
      <c r="M5543" s="154" t="str">
        <f t="shared" si="379"/>
        <v>Base_High_High_Upgraded_Smog Formation Potential (SFP) - kg O3 eq_Gravity Belt Thickener; wastewater treatment unit; at updated plant - US_Without Amendment_Windrow</v>
      </c>
    </row>
    <row r="5544" spans="1:13" s="120" customFormat="1" x14ac:dyDescent="0.25">
      <c r="A5544" s="119"/>
      <c r="B5544" s="138" t="str">
        <f t="shared" ref="B5544:B5607" si="381">IF(F5544="Legacy","n.a.",IF(F5544="","","Windrow"))</f>
        <v>Windrow</v>
      </c>
      <c r="C5544" s="138" t="str">
        <f t="shared" si="380"/>
        <v>Without Amendment</v>
      </c>
      <c r="D5544" s="138" t="str">
        <f t="shared" si="378"/>
        <v>High_High</v>
      </c>
      <c r="E5544" s="138" t="str">
        <f t="shared" si="377"/>
        <v>Base</v>
      </c>
      <c r="F5544" s="138" t="str">
        <f t="shared" ref="F5544:F5607" si="382">IF(ISNUMBER(J5544),"Upgraded","")</f>
        <v>Upgraded</v>
      </c>
      <c r="G5544" s="153"/>
      <c r="H5544" s="210">
        <v>9.1000000000000004E-3</v>
      </c>
      <c r="I5544" s="160" t="s">
        <v>59</v>
      </c>
      <c r="J5544" s="160">
        <v>4.9699999999999996E-3</v>
      </c>
      <c r="K5544" s="160" t="s">
        <v>25</v>
      </c>
      <c r="L5544" s="154" t="str">
        <f>IF(OpenLCAbasic!K5544="CTUh", "Fill in Manually",IF(OR(K5544="Unit", K5544=""), "", INDEX(LookUps!$E$5:$E$12, MATCH(OpenLCAbasic!K5544,LookUps!$D$5:$D$12,0))))</f>
        <v>Smog Formation Potential (SFP) - kg O3 eq</v>
      </c>
      <c r="M5544" s="154" t="str">
        <f t="shared" si="379"/>
        <v>Base_High_High_Upgraded_Smog Formation Potential (SFP) - kg O3 eq_Blend Tank; wastewater treatment unit; at updated plant - US_Without Amendment_Windrow</v>
      </c>
    </row>
    <row r="5545" spans="1:13" s="120" customFormat="1" x14ac:dyDescent="0.25">
      <c r="A5545" s="119"/>
      <c r="B5545" s="138" t="str">
        <f t="shared" si="381"/>
        <v>Windrow</v>
      </c>
      <c r="C5545" s="138" t="str">
        <f t="shared" si="380"/>
        <v>Without Amendment</v>
      </c>
      <c r="D5545" s="138" t="str">
        <f t="shared" si="378"/>
        <v>High_High</v>
      </c>
      <c r="E5545" s="138" t="str">
        <f t="shared" si="377"/>
        <v>Base</v>
      </c>
      <c r="F5545" s="138" t="str">
        <f t="shared" si="382"/>
        <v>Upgraded</v>
      </c>
      <c r="G5545" s="153"/>
      <c r="H5545" s="210">
        <v>6.1999999999999998E-3</v>
      </c>
      <c r="I5545" s="160" t="s">
        <v>48</v>
      </c>
      <c r="J5545" s="160">
        <v>3.3899999999999998E-3</v>
      </c>
      <c r="K5545" s="160" t="s">
        <v>25</v>
      </c>
      <c r="L5545" s="154" t="str">
        <f>IF(OpenLCAbasic!K5545="CTUh", "Fill in Manually",IF(OR(K5545="Unit", K5545=""), "", INDEX(LookUps!$E$5:$E$12, MATCH(OpenLCAbasic!K5545,LookUps!$D$5:$D$12,0))))</f>
        <v>Smog Formation Potential (SFP) - kg O3 eq</v>
      </c>
      <c r="M5545" s="154" t="str">
        <f t="shared" si="379"/>
        <v>Base_High_High_Upgraded_Smog Formation Potential (SFP) - kg O3 eq_Effluent release; wastewater treatment unit; at surface water; m3 wastewater - US_Without Amendment_Windrow</v>
      </c>
    </row>
    <row r="5546" spans="1:13" s="120" customFormat="1" x14ac:dyDescent="0.25">
      <c r="A5546" s="119"/>
      <c r="B5546" s="138" t="str">
        <f t="shared" si="381"/>
        <v>Windrow</v>
      </c>
      <c r="C5546" s="138" t="str">
        <f t="shared" si="380"/>
        <v>Without Amendment</v>
      </c>
      <c r="D5546" s="138" t="str">
        <f t="shared" si="378"/>
        <v>High_High</v>
      </c>
      <c r="E5546" s="138" t="str">
        <f t="shared" si="377"/>
        <v>Base</v>
      </c>
      <c r="F5546" s="138" t="str">
        <f t="shared" si="382"/>
        <v>Upgraded</v>
      </c>
      <c r="G5546" s="153"/>
      <c r="H5546" s="210">
        <v>4.4999999999999997E-3</v>
      </c>
      <c r="I5546" s="160" t="s">
        <v>168</v>
      </c>
      <c r="J5546" s="160">
        <v>2.4599999999999999E-3</v>
      </c>
      <c r="K5546" s="160" t="s">
        <v>25</v>
      </c>
      <c r="L5546" s="154" t="str">
        <f>IF(OpenLCAbasic!K5546="CTUh", "Fill in Manually",IF(OR(K5546="Unit", K5546=""), "", INDEX(LookUps!$E$5:$E$12, MATCH(OpenLCAbasic!K5546,LookUps!$D$5:$D$12,0))))</f>
        <v>Smog Formation Potential (SFP) - kg O3 eq</v>
      </c>
      <c r="M5546" s="154" t="str">
        <f t="shared" si="379"/>
        <v>Base_High_High_Upgraded_Smog Formation Potential (SFP) - kg O3 eq_ClearCove SCP; wastewater treatment unit; at updated plant - US_Without Amendment_Windrow</v>
      </c>
    </row>
    <row r="5547" spans="1:13" s="120" customFormat="1" x14ac:dyDescent="0.25">
      <c r="A5547" s="119"/>
      <c r="B5547" s="138" t="str">
        <f t="shared" si="381"/>
        <v>Windrow</v>
      </c>
      <c r="C5547" s="138" t="str">
        <f t="shared" si="380"/>
        <v>Without Amendment</v>
      </c>
      <c r="D5547" s="138" t="str">
        <f t="shared" si="378"/>
        <v>High_High</v>
      </c>
      <c r="E5547" s="138" t="str">
        <f t="shared" si="377"/>
        <v>Base</v>
      </c>
      <c r="F5547" s="138" t="str">
        <f t="shared" si="382"/>
        <v>Upgraded</v>
      </c>
      <c r="G5547" s="153"/>
      <c r="H5547" s="210">
        <v>1.4E-3</v>
      </c>
      <c r="I5547" s="160" t="s">
        <v>271</v>
      </c>
      <c r="J5547" s="160">
        <v>7.5000000000000002E-4</v>
      </c>
      <c r="K5547" s="160" t="s">
        <v>25</v>
      </c>
      <c r="L5547" s="154" t="str">
        <f>IF(OpenLCAbasic!K5547="CTUh", "Fill in Manually",IF(OR(K5547="Unit", K5547=""), "", INDEX(LookUps!$E$5:$E$12, MATCH(OpenLCAbasic!K5547,LookUps!$D$5:$D$12,0))))</f>
        <v>Smog Formation Potential (SFP) - kg O3 eq</v>
      </c>
      <c r="M5547" s="154" t="str">
        <f t="shared" si="379"/>
        <v>Base_High_High_Upgraded_Smog Formation Potential (SFP) - kg O3 eq_Biosolids composting; windrow composting; wastewater treatment unit; at updated plant - US_Without Amendment_Windrow</v>
      </c>
    </row>
    <row r="5548" spans="1:13" s="120" customFormat="1" x14ac:dyDescent="0.25">
      <c r="A5548" s="119"/>
      <c r="B5548" s="138" t="str">
        <f t="shared" si="381"/>
        <v>Windrow</v>
      </c>
      <c r="C5548" s="138" t="str">
        <f t="shared" si="380"/>
        <v>Without Amendment</v>
      </c>
      <c r="D5548" s="138" t="str">
        <f t="shared" si="378"/>
        <v>High_High</v>
      </c>
      <c r="E5548" s="138" t="str">
        <f t="shared" si="377"/>
        <v>Base</v>
      </c>
      <c r="F5548" s="138" t="str">
        <f t="shared" si="382"/>
        <v>Upgraded</v>
      </c>
      <c r="G5548" s="153"/>
      <c r="H5548" s="210">
        <v>1E-3</v>
      </c>
      <c r="I5548" s="160" t="s">
        <v>148</v>
      </c>
      <c r="J5548" s="160">
        <v>5.4000000000000001E-4</v>
      </c>
      <c r="K5548" s="160" t="s">
        <v>25</v>
      </c>
      <c r="L5548" s="154" t="str">
        <f>IF(OpenLCAbasic!K5548="CTUh", "Fill in Manually",IF(OR(K5548="Unit", K5548=""), "", INDEX(LookUps!$E$5:$E$12, MATCH(OpenLCAbasic!K5548,LookUps!$D$5:$D$12,0))))</f>
        <v>Smog Formation Potential (SFP) - kg O3 eq</v>
      </c>
      <c r="M5548" s="154" t="str">
        <f t="shared" si="379"/>
        <v>Base_High_High_Upgraded_Smog Formation Potential (SFP) - kg O3 eq_Control Building; at upgraded wastewater treatment plant - US_Without Amendment_Windrow</v>
      </c>
    </row>
    <row r="5549" spans="1:13" s="120" customFormat="1" x14ac:dyDescent="0.25">
      <c r="A5549" s="119"/>
      <c r="B5549" s="138" t="str">
        <f t="shared" si="381"/>
        <v>Windrow</v>
      </c>
      <c r="C5549" s="138" t="str">
        <f t="shared" si="380"/>
        <v>Without Amendment</v>
      </c>
      <c r="D5549" s="138" t="str">
        <f t="shared" si="378"/>
        <v>High_High</v>
      </c>
      <c r="E5549" s="138" t="str">
        <f t="shared" si="377"/>
        <v>Base</v>
      </c>
      <c r="F5549" s="138" t="str">
        <f t="shared" si="382"/>
        <v>Upgraded</v>
      </c>
      <c r="G5549" s="153"/>
      <c r="H5549" s="210">
        <v>-5.7000000000000002E-3</v>
      </c>
      <c r="I5549" s="160" t="s">
        <v>62</v>
      </c>
      <c r="J5549" s="160">
        <v>-3.1199999999999999E-3</v>
      </c>
      <c r="K5549" s="160" t="s">
        <v>25</v>
      </c>
      <c r="L5549" s="154" t="str">
        <f>IF(OpenLCAbasic!K5549="CTUh", "Fill in Manually",IF(OR(K5549="Unit", K5549=""), "", INDEX(LookUps!$E$5:$E$12, MATCH(OpenLCAbasic!K5549,LookUps!$D$5:$D$12,0))))</f>
        <v>Smog Formation Potential (SFP) - kg O3 eq</v>
      </c>
      <c r="M5549" s="154" t="str">
        <f t="shared" si="379"/>
        <v>Base_High_High_Upgraded_Smog Formation Potential (SFP) - kg O3 eq_Land application of compost; wastewater treatment unit; at updated plant - US_Without Amendment_Windrow</v>
      </c>
    </row>
    <row r="5550" spans="1:13" s="120" customFormat="1" x14ac:dyDescent="0.25">
      <c r="A5550" s="119"/>
      <c r="B5550" s="138" t="str">
        <f t="shared" si="381"/>
        <v>Windrow</v>
      </c>
      <c r="C5550" s="138" t="str">
        <f t="shared" si="380"/>
        <v>Without Amendment</v>
      </c>
      <c r="D5550" s="138" t="str">
        <f t="shared" si="378"/>
        <v>High_High</v>
      </c>
      <c r="E5550" s="138" t="str">
        <f t="shared" si="377"/>
        <v>Base</v>
      </c>
      <c r="F5550" s="138" t="str">
        <f t="shared" si="382"/>
        <v>Upgraded</v>
      </c>
      <c r="G5550" s="153"/>
      <c r="H5550" s="210">
        <v>-1.6982999999999999</v>
      </c>
      <c r="I5550" s="160" t="s">
        <v>149</v>
      </c>
      <c r="J5550" s="160">
        <v>-0.93125999999999998</v>
      </c>
      <c r="K5550" s="160" t="s">
        <v>25</v>
      </c>
      <c r="L5550" s="154" t="str">
        <f>IF(OpenLCAbasic!K5550="CTUh", "Fill in Manually",IF(OR(K5550="Unit", K5550=""), "", INDEX(LookUps!$E$5:$E$12, MATCH(OpenLCAbasic!K5550,LookUps!$D$5:$D$12,0))))</f>
        <v>Smog Formation Potential (SFP) - kg O3 eq</v>
      </c>
      <c r="M5550" s="154" t="str">
        <f t="shared" si="379"/>
        <v>Base_High_High_Upgraded_Smog Formation Potential (SFP) - kg O3 eq_Anaerobic Digestion; wastewater treatment unit; at updated plant - US_Without Amendment_Windrow</v>
      </c>
    </row>
    <row r="5551" spans="1:13" s="120" customFormat="1" x14ac:dyDescent="0.25">
      <c r="A5551" s="119"/>
      <c r="B5551" s="138" t="str">
        <f t="shared" si="381"/>
        <v/>
      </c>
      <c r="C5551" s="138" t="str">
        <f t="shared" si="380"/>
        <v/>
      </c>
      <c r="D5551" s="138" t="str">
        <f t="shared" si="378"/>
        <v/>
      </c>
      <c r="E5551" s="138" t="str">
        <f t="shared" si="377"/>
        <v/>
      </c>
      <c r="F5551" s="138" t="str">
        <f t="shared" si="382"/>
        <v/>
      </c>
      <c r="G5551" s="153" t="s">
        <v>51</v>
      </c>
      <c r="H5551" s="160"/>
      <c r="I5551" s="160" t="s">
        <v>47</v>
      </c>
      <c r="J5551" s="160" t="s">
        <v>52</v>
      </c>
      <c r="K5551" s="160" t="s">
        <v>27</v>
      </c>
      <c r="L5551" s="154" t="str">
        <f>IF(OpenLCAbasic!K5551="CTUh", "Fill in Manually",IF(OR(K5551="Unit", K5551=""), "", INDEX(LookUps!$E$5:$E$12, MATCH(OpenLCAbasic!K5551,LookUps!$D$5:$D$12,0))))</f>
        <v/>
      </c>
      <c r="M5551" s="154" t="str">
        <f t="shared" si="379"/>
        <v>____Process__</v>
      </c>
    </row>
    <row r="5552" spans="1:13" s="120" customFormat="1" x14ac:dyDescent="0.25">
      <c r="A5552" s="119"/>
      <c r="B5552" s="138" t="str">
        <f t="shared" si="381"/>
        <v>Windrow</v>
      </c>
      <c r="C5552" s="138" t="str">
        <f t="shared" si="380"/>
        <v>Without Amendment</v>
      </c>
      <c r="D5552" s="138" t="str">
        <f t="shared" si="378"/>
        <v>High_High</v>
      </c>
      <c r="E5552" s="138" t="str">
        <f t="shared" si="377"/>
        <v>Base</v>
      </c>
      <c r="F5552" s="138" t="str">
        <f t="shared" si="382"/>
        <v>Upgraded</v>
      </c>
      <c r="G5552" s="153"/>
      <c r="H5552" s="210">
        <v>1.0955999999999999</v>
      </c>
      <c r="I5552" s="160" t="s">
        <v>167</v>
      </c>
      <c r="J5552" s="160">
        <v>3.4000000000000002E-4</v>
      </c>
      <c r="K5552" s="160" t="s">
        <v>26</v>
      </c>
      <c r="L5552" s="154" t="str">
        <f>IF(OpenLCAbasic!K5552="CTUh", "Fill in Manually",IF(OR(K5552="Unit", K5552=""), "", INDEX(LookUps!$E$5:$E$12, MATCH(OpenLCAbasic!K5552,LookUps!$D$5:$D$12,0))))</f>
        <v>Water Use (WU) - m3 H2O</v>
      </c>
      <c r="M5552" s="154" t="str">
        <f t="shared" si="379"/>
        <v>Base_High_High_Upgraded_Water Use (WU) - m3 H2O_Waste Receiving and Holding; wastewater treatment unit; at updated plant - US_Without Amendment_Windrow</v>
      </c>
    </row>
    <row r="5553" spans="1:13" s="120" customFormat="1" x14ac:dyDescent="0.25">
      <c r="A5553" s="119"/>
      <c r="B5553" s="138" t="str">
        <f t="shared" si="381"/>
        <v>Windrow</v>
      </c>
      <c r="C5553" s="138" t="str">
        <f t="shared" si="380"/>
        <v>Without Amendment</v>
      </c>
      <c r="D5553" s="138" t="str">
        <f t="shared" si="378"/>
        <v>High_High</v>
      </c>
      <c r="E5553" s="138" t="str">
        <f t="shared" ref="E5553:E5567" si="383">IF(ISNUMBER($J5553),"Base","")</f>
        <v>Base</v>
      </c>
      <c r="F5553" s="138" t="str">
        <f t="shared" si="382"/>
        <v>Upgraded</v>
      </c>
      <c r="G5553" s="153"/>
      <c r="H5553" s="210">
        <v>0.59950000000000003</v>
      </c>
      <c r="I5553" s="160" t="s">
        <v>147</v>
      </c>
      <c r="J5553" s="160">
        <v>1.8000000000000001E-4</v>
      </c>
      <c r="K5553" s="160" t="s">
        <v>26</v>
      </c>
      <c r="L5553" s="154" t="str">
        <f>IF(OpenLCAbasic!K5553="CTUh", "Fill in Manually",IF(OR(K5553="Unit", K5553=""), "", INDEX(LookUps!$E$5:$E$12, MATCH(OpenLCAbasic!K5553,LookUps!$D$5:$D$12,0))))</f>
        <v>Water Use (WU) - m3 H2O</v>
      </c>
      <c r="M5553" s="154" t="str">
        <f t="shared" si="379"/>
        <v>Base_High_High_Upgraded_Water Use (WU) - m3 H2O_Influent Pump Station; wastewater treatment unit; at updated plant - US_Without Amendment_Windrow</v>
      </c>
    </row>
    <row r="5554" spans="1:13" s="120" customFormat="1" x14ac:dyDescent="0.25">
      <c r="A5554" s="119"/>
      <c r="B5554" s="138" t="str">
        <f t="shared" si="381"/>
        <v>Windrow</v>
      </c>
      <c r="C5554" s="138" t="str">
        <f t="shared" si="380"/>
        <v>Without Amendment</v>
      </c>
      <c r="D5554" s="138" t="str">
        <f t="shared" si="378"/>
        <v>High_High</v>
      </c>
      <c r="E5554" s="138" t="str">
        <f t="shared" si="383"/>
        <v>Base</v>
      </c>
      <c r="F5554" s="138" t="str">
        <f t="shared" si="382"/>
        <v>Upgraded</v>
      </c>
      <c r="G5554" s="153"/>
      <c r="H5554" s="210">
        <v>0.58489999999999998</v>
      </c>
      <c r="I5554" s="160" t="s">
        <v>54</v>
      </c>
      <c r="J5554" s="160">
        <v>1.8000000000000001E-4</v>
      </c>
      <c r="K5554" s="160" t="s">
        <v>26</v>
      </c>
      <c r="L5554" s="154" t="str">
        <f>IF(OpenLCAbasic!K5554="CTUh", "Fill in Manually",IF(OR(K5554="Unit", K5554=""), "", INDEX(LookUps!$E$5:$E$12, MATCH(OpenLCAbasic!K5554,LookUps!$D$5:$D$12,0))))</f>
        <v>Water Use (WU) - m3 H2O</v>
      </c>
      <c r="M5554" s="154" t="str">
        <f t="shared" si="379"/>
        <v>Base_High_High_Upgraded_Water Use (WU) - m3 H2O_Clear Cove Primary Clarification; wastewater treatment unit; at updated plant - US_Without Amendment_Windrow</v>
      </c>
    </row>
    <row r="5555" spans="1:13" s="120" customFormat="1" x14ac:dyDescent="0.25">
      <c r="A5555" s="119"/>
      <c r="B5555" s="138" t="str">
        <f t="shared" si="381"/>
        <v>Windrow</v>
      </c>
      <c r="C5555" s="138" t="str">
        <f t="shared" si="380"/>
        <v>Without Amendment</v>
      </c>
      <c r="D5555" s="138" t="str">
        <f t="shared" si="378"/>
        <v>High_High</v>
      </c>
      <c r="E5555" s="138" t="str">
        <f t="shared" si="383"/>
        <v>Base</v>
      </c>
      <c r="F5555" s="138" t="str">
        <f t="shared" si="382"/>
        <v>Upgraded</v>
      </c>
      <c r="G5555" s="153"/>
      <c r="H5555" s="210">
        <v>0.53059999999999996</v>
      </c>
      <c r="I5555" s="160" t="s">
        <v>55</v>
      </c>
      <c r="J5555" s="160">
        <v>1.6000000000000001E-4</v>
      </c>
      <c r="K5555" s="160" t="s">
        <v>26</v>
      </c>
      <c r="L5555" s="154" t="str">
        <f>IF(OpenLCAbasic!K5555="CTUh", "Fill in Manually",IF(OR(K5555="Unit", K5555=""), "", INDEX(LookUps!$E$5:$E$12, MATCH(OpenLCAbasic!K5555,LookUps!$D$5:$D$12,0))))</f>
        <v>Water Use (WU) - m3 H2O</v>
      </c>
      <c r="M5555" s="154" t="str">
        <f t="shared" si="379"/>
        <v>Base_High_High_Upgraded_Water Use (WU) - m3 H2O_Aeration Tanks; wastewater treatment unit; at updated plant - US_Without Amendment_Windrow</v>
      </c>
    </row>
    <row r="5556" spans="1:13" s="120" customFormat="1" x14ac:dyDescent="0.25">
      <c r="A5556" s="119"/>
      <c r="B5556" s="138" t="str">
        <f t="shared" si="381"/>
        <v>Windrow</v>
      </c>
      <c r="C5556" s="138" t="str">
        <f t="shared" si="380"/>
        <v>Without Amendment</v>
      </c>
      <c r="D5556" s="138" t="str">
        <f t="shared" si="378"/>
        <v>High_High</v>
      </c>
      <c r="E5556" s="138" t="str">
        <f t="shared" si="383"/>
        <v>Base</v>
      </c>
      <c r="F5556" s="138" t="str">
        <f t="shared" si="382"/>
        <v>Upgraded</v>
      </c>
      <c r="G5556" s="153"/>
      <c r="H5556" s="210">
        <v>0.4834</v>
      </c>
      <c r="I5556" s="160" t="s">
        <v>148</v>
      </c>
      <c r="J5556" s="160">
        <v>1.4999999999999999E-4</v>
      </c>
      <c r="K5556" s="160" t="s">
        <v>26</v>
      </c>
      <c r="L5556" s="154" t="str">
        <f>IF(OpenLCAbasic!K5556="CTUh", "Fill in Manually",IF(OR(K5556="Unit", K5556=""), "", INDEX(LookUps!$E$5:$E$12, MATCH(OpenLCAbasic!K5556,LookUps!$D$5:$D$12,0))))</f>
        <v>Water Use (WU) - m3 H2O</v>
      </c>
      <c r="M5556" s="154" t="str">
        <f t="shared" si="379"/>
        <v>Base_High_High_Upgraded_Water Use (WU) - m3 H2O_Control Building; at upgraded wastewater treatment plant - US_Without Amendment_Windrow</v>
      </c>
    </row>
    <row r="5557" spans="1:13" s="120" customFormat="1" x14ac:dyDescent="0.25">
      <c r="A5557" s="119"/>
      <c r="B5557" s="138" t="str">
        <f t="shared" si="381"/>
        <v>Windrow</v>
      </c>
      <c r="C5557" s="138" t="str">
        <f t="shared" si="380"/>
        <v>Without Amendment</v>
      </c>
      <c r="D5557" s="138" t="str">
        <f t="shared" si="378"/>
        <v>High_High</v>
      </c>
      <c r="E5557" s="138" t="str">
        <f t="shared" si="383"/>
        <v>Base</v>
      </c>
      <c r="F5557" s="138" t="str">
        <f t="shared" si="382"/>
        <v>Upgraded</v>
      </c>
      <c r="G5557" s="153"/>
      <c r="H5557" s="210">
        <v>0.22450000000000001</v>
      </c>
      <c r="I5557" s="160" t="s">
        <v>48</v>
      </c>
      <c r="J5557" s="211">
        <v>6.8836400000000004E-5</v>
      </c>
      <c r="K5557" s="160" t="s">
        <v>26</v>
      </c>
      <c r="L5557" s="154" t="str">
        <f>IF(OpenLCAbasic!K5557="CTUh", "Fill in Manually",IF(OR(K5557="Unit", K5557=""), "", INDEX(LookUps!$E$5:$E$12, MATCH(OpenLCAbasic!K5557,LookUps!$D$5:$D$12,0))))</f>
        <v>Water Use (WU) - m3 H2O</v>
      </c>
      <c r="M5557" s="154" t="str">
        <f t="shared" si="379"/>
        <v>Base_High_High_Upgraded_Water Use (WU) - m3 H2O_Effluent release; wastewater treatment unit; at surface water; m3 wastewater - US_Without Amendment_Windrow</v>
      </c>
    </row>
    <row r="5558" spans="1:13" s="120" customFormat="1" x14ac:dyDescent="0.25">
      <c r="A5558" s="119"/>
      <c r="B5558" s="138" t="str">
        <f t="shared" si="381"/>
        <v>Windrow</v>
      </c>
      <c r="C5558" s="138" t="str">
        <f t="shared" si="380"/>
        <v>Without Amendment</v>
      </c>
      <c r="D5558" s="138" t="str">
        <f t="shared" si="378"/>
        <v>High_High</v>
      </c>
      <c r="E5558" s="138" t="str">
        <f t="shared" si="383"/>
        <v>Base</v>
      </c>
      <c r="F5558" s="138" t="str">
        <f t="shared" si="382"/>
        <v>Upgraded</v>
      </c>
      <c r="G5558" s="153"/>
      <c r="H5558" s="210">
        <v>0.14119999999999999</v>
      </c>
      <c r="I5558" s="160" t="s">
        <v>58</v>
      </c>
      <c r="J5558" s="211">
        <v>4.3289399999999999E-5</v>
      </c>
      <c r="K5558" s="160" t="s">
        <v>26</v>
      </c>
      <c r="L5558" s="154" t="str">
        <f>IF(OpenLCAbasic!K5558="CTUh", "Fill in Manually",IF(OR(K5558="Unit", K5558=""), "", INDEX(LookUps!$E$5:$E$12, MATCH(OpenLCAbasic!K5558,LookUps!$D$5:$D$12,0))))</f>
        <v>Water Use (WU) - m3 H2O</v>
      </c>
      <c r="M5558" s="154" t="str">
        <f t="shared" si="379"/>
        <v>Base_High_High_Upgraded_Water Use (WU) - m3 H2O_Pre-Anoxic &amp; Swing tank; wastewater treatment unit; at updated plant - US_Without Amendment_Windrow</v>
      </c>
    </row>
    <row r="5559" spans="1:13" s="120" customFormat="1" x14ac:dyDescent="0.25">
      <c r="A5559" s="119"/>
      <c r="B5559" s="138" t="str">
        <f t="shared" si="381"/>
        <v>Windrow</v>
      </c>
      <c r="C5559" s="138" t="str">
        <f t="shared" si="380"/>
        <v>Without Amendment</v>
      </c>
      <c r="D5559" s="138" t="str">
        <f t="shared" si="378"/>
        <v>High_High</v>
      </c>
      <c r="E5559" s="138" t="str">
        <f t="shared" si="383"/>
        <v>Base</v>
      </c>
      <c r="F5559" s="138" t="str">
        <f t="shared" si="382"/>
        <v>Upgraded</v>
      </c>
      <c r="G5559" s="153"/>
      <c r="H5559" s="210">
        <v>0.12809999999999999</v>
      </c>
      <c r="I5559" s="160" t="s">
        <v>60</v>
      </c>
      <c r="J5559" s="211">
        <v>3.9294400000000001E-5</v>
      </c>
      <c r="K5559" s="160" t="s">
        <v>26</v>
      </c>
      <c r="L5559" s="154" t="str">
        <f>IF(OpenLCAbasic!K5559="CTUh", "Fill in Manually",IF(OR(K5559="Unit", K5559=""), "", INDEX(LookUps!$E$5:$E$12, MATCH(OpenLCAbasic!K5559,LookUps!$D$5:$D$12,0))))</f>
        <v>Water Use (WU) - m3 H2O</v>
      </c>
      <c r="M5559" s="154" t="str">
        <f t="shared" si="379"/>
        <v>Base_High_High_Upgraded_Water Use (WU) - m3 H2O_Belt filter press; wastewater treatment unit; at updated plant - US_Without Amendment_Windrow</v>
      </c>
    </row>
    <row r="5560" spans="1:13" s="120" customFormat="1" x14ac:dyDescent="0.25">
      <c r="A5560" s="119"/>
      <c r="B5560" s="138" t="str">
        <f t="shared" si="381"/>
        <v>Windrow</v>
      </c>
      <c r="C5560" s="138" t="str">
        <f t="shared" si="380"/>
        <v>Without Amendment</v>
      </c>
      <c r="D5560" s="138" t="str">
        <f t="shared" si="378"/>
        <v>High_High</v>
      </c>
      <c r="E5560" s="138" t="str">
        <f t="shared" si="383"/>
        <v>Base</v>
      </c>
      <c r="F5560" s="138" t="str">
        <f t="shared" si="382"/>
        <v>Upgraded</v>
      </c>
      <c r="G5560" s="153"/>
      <c r="H5560" s="210">
        <v>9.9199999999999997E-2</v>
      </c>
      <c r="I5560" s="160" t="s">
        <v>57</v>
      </c>
      <c r="J5560" s="211">
        <v>3.0408100000000001E-5</v>
      </c>
      <c r="K5560" s="160" t="s">
        <v>26</v>
      </c>
      <c r="L5560" s="154" t="str">
        <f>IF(OpenLCAbasic!K5560="CTUh", "Fill in Manually",IF(OR(K5560="Unit", K5560=""), "", INDEX(LookUps!$E$5:$E$12, MATCH(OpenLCAbasic!K5560,LookUps!$D$5:$D$12,0))))</f>
        <v>Water Use (WU) - m3 H2O</v>
      </c>
      <c r="M5560" s="154" t="str">
        <f t="shared" si="379"/>
        <v>Base_High_High_Upgraded_Water Use (WU) - m3 H2O_Gravity Belt Thickener; wastewater treatment unit; at updated plant - US_Without Amendment_Windrow</v>
      </c>
    </row>
    <row r="5561" spans="1:13" s="120" customFormat="1" x14ac:dyDescent="0.25">
      <c r="A5561" s="119"/>
      <c r="B5561" s="138" t="str">
        <f t="shared" si="381"/>
        <v>Windrow</v>
      </c>
      <c r="C5561" s="138" t="str">
        <f t="shared" si="380"/>
        <v>Without Amendment</v>
      </c>
      <c r="D5561" s="138" t="str">
        <f t="shared" ref="D5561:D5567" si="384">IF(ISNUMBER($J5561),"High_High","")</f>
        <v>High_High</v>
      </c>
      <c r="E5561" s="138" t="str">
        <f t="shared" si="383"/>
        <v>Base</v>
      </c>
      <c r="F5561" s="138" t="str">
        <f t="shared" si="382"/>
        <v>Upgraded</v>
      </c>
      <c r="G5561" s="153"/>
      <c r="H5561" s="210">
        <v>5.7099999999999998E-2</v>
      </c>
      <c r="I5561" s="160" t="s">
        <v>53</v>
      </c>
      <c r="J5561" s="211">
        <v>1.75069E-5</v>
      </c>
      <c r="K5561" s="160" t="s">
        <v>26</v>
      </c>
      <c r="L5561" s="154" t="str">
        <f>IF(OpenLCAbasic!K5561="CTUh", "Fill in Manually",IF(OR(K5561="Unit", K5561=""), "", INDEX(LookUps!$E$5:$E$12, MATCH(OpenLCAbasic!K5561,LookUps!$D$5:$D$12,0))))</f>
        <v>Water Use (WU) - m3 H2O</v>
      </c>
      <c r="M5561" s="154" t="str">
        <f t="shared" si="379"/>
        <v>Base_High_High_Upgraded_Water Use (WU) - m3 H2O_Wet Well and Sump Station; wastewater treatment unit; at updated plant - US_Without Amendment_Windrow</v>
      </c>
    </row>
    <row r="5562" spans="1:13" s="120" customFormat="1" x14ac:dyDescent="0.25">
      <c r="A5562" s="119"/>
      <c r="B5562" s="138" t="str">
        <f t="shared" si="381"/>
        <v>Windrow</v>
      </c>
      <c r="C5562" s="138" t="str">
        <f t="shared" si="380"/>
        <v>Without Amendment</v>
      </c>
      <c r="D5562" s="138" t="str">
        <f t="shared" si="384"/>
        <v>High_High</v>
      </c>
      <c r="E5562" s="138" t="str">
        <f t="shared" si="383"/>
        <v>Base</v>
      </c>
      <c r="F5562" s="138" t="str">
        <f t="shared" si="382"/>
        <v>Upgraded</v>
      </c>
      <c r="G5562" s="153"/>
      <c r="H5562" s="210">
        <v>2.29E-2</v>
      </c>
      <c r="I5562" s="160" t="s">
        <v>59</v>
      </c>
      <c r="J5562" s="211">
        <v>7.0179500000000003E-6</v>
      </c>
      <c r="K5562" s="160" t="s">
        <v>26</v>
      </c>
      <c r="L5562" s="154" t="str">
        <f>IF(OpenLCAbasic!K5562="CTUh", "Fill in Manually",IF(OR(K5562="Unit", K5562=""), "", INDEX(LookUps!$E$5:$E$12, MATCH(OpenLCAbasic!K5562,LookUps!$D$5:$D$12,0))))</f>
        <v>Water Use (WU) - m3 H2O</v>
      </c>
      <c r="M5562" s="154" t="str">
        <f t="shared" si="379"/>
        <v>Base_High_High_Upgraded_Water Use (WU) - m3 H2O_Blend Tank; wastewater treatment unit; at updated plant - US_Without Amendment_Windrow</v>
      </c>
    </row>
    <row r="5563" spans="1:13" s="120" customFormat="1" x14ac:dyDescent="0.25">
      <c r="A5563" s="119"/>
      <c r="B5563" s="138" t="str">
        <f t="shared" si="381"/>
        <v>Windrow</v>
      </c>
      <c r="C5563" s="138" t="str">
        <f t="shared" si="380"/>
        <v>Without Amendment</v>
      </c>
      <c r="D5563" s="138" t="str">
        <f t="shared" si="384"/>
        <v>High_High</v>
      </c>
      <c r="E5563" s="138" t="str">
        <f t="shared" si="383"/>
        <v>Base</v>
      </c>
      <c r="F5563" s="138" t="str">
        <f t="shared" si="382"/>
        <v>Upgraded</v>
      </c>
      <c r="G5563" s="153"/>
      <c r="H5563" s="210">
        <v>1.6500000000000001E-2</v>
      </c>
      <c r="I5563" s="160" t="s">
        <v>128</v>
      </c>
      <c r="J5563" s="211">
        <v>5.0608900000000003E-6</v>
      </c>
      <c r="K5563" s="160" t="s">
        <v>26</v>
      </c>
      <c r="L5563" s="154" t="str">
        <f>IF(OpenLCAbasic!K5563="CTUh", "Fill in Manually",IF(OR(K5563="Unit", K5563=""), "", INDEX(LookUps!$E$5:$E$12, MATCH(OpenLCAbasic!K5563,LookUps!$D$5:$D$12,0))))</f>
        <v>Water Use (WU) - m3 H2O</v>
      </c>
      <c r="M5563" s="154" t="str">
        <f t="shared" ref="M5563:M5626" si="385">CONCATENATE(E5563,"_",D5563,"_",F5563,"_",L5563, "_",I5563,"_", C5563,"_", B5563)</f>
        <v>Base_High_High_Upgraded_Water Use (WU) - m3 H2O_Wastewater collection; operation and infrastructure; m3 wastewater_Without Amendment_Windrow</v>
      </c>
    </row>
    <row r="5564" spans="1:13" s="120" customFormat="1" x14ac:dyDescent="0.25">
      <c r="A5564" s="119"/>
      <c r="B5564" s="138" t="str">
        <f t="shared" si="381"/>
        <v>Windrow</v>
      </c>
      <c r="C5564" s="138" t="str">
        <f t="shared" si="380"/>
        <v>Without Amendment</v>
      </c>
      <c r="D5564" s="138" t="str">
        <f t="shared" si="384"/>
        <v>High_High</v>
      </c>
      <c r="E5564" s="138" t="str">
        <f t="shared" si="383"/>
        <v>Base</v>
      </c>
      <c r="F5564" s="138" t="str">
        <f t="shared" si="382"/>
        <v>Upgraded</v>
      </c>
      <c r="G5564" s="153"/>
      <c r="H5564" s="210">
        <v>6.1000000000000004E-3</v>
      </c>
      <c r="I5564" s="160" t="s">
        <v>271</v>
      </c>
      <c r="J5564" s="211">
        <v>1.8779099999999999E-6</v>
      </c>
      <c r="K5564" s="160" t="s">
        <v>26</v>
      </c>
      <c r="L5564" s="154" t="str">
        <f>IF(OpenLCAbasic!K5564="CTUh", "Fill in Manually",IF(OR(K5564="Unit", K5564=""), "", INDEX(LookUps!$E$5:$E$12, MATCH(OpenLCAbasic!K5564,LookUps!$D$5:$D$12,0))))</f>
        <v>Water Use (WU) - m3 H2O</v>
      </c>
      <c r="M5564" s="154" t="str">
        <f t="shared" si="385"/>
        <v>Base_High_High_Upgraded_Water Use (WU) - m3 H2O_Biosolids composting; windrow composting; wastewater treatment unit; at updated plant - US_Without Amendment_Windrow</v>
      </c>
    </row>
    <row r="5565" spans="1:13" s="120" customFormat="1" x14ac:dyDescent="0.25">
      <c r="A5565" s="119"/>
      <c r="B5565" s="138" t="str">
        <f t="shared" si="381"/>
        <v>Windrow</v>
      </c>
      <c r="C5565" s="138" t="str">
        <f t="shared" si="380"/>
        <v>Without Amendment</v>
      </c>
      <c r="D5565" s="138" t="str">
        <f t="shared" si="384"/>
        <v>High_High</v>
      </c>
      <c r="E5565" s="138" t="str">
        <f t="shared" si="383"/>
        <v>Base</v>
      </c>
      <c r="F5565" s="138" t="str">
        <f t="shared" si="382"/>
        <v>Upgraded</v>
      </c>
      <c r="G5565" s="153"/>
      <c r="H5565" s="210">
        <v>2.5000000000000001E-3</v>
      </c>
      <c r="I5565" s="160" t="s">
        <v>168</v>
      </c>
      <c r="J5565" s="211">
        <v>7.6697000000000004E-7</v>
      </c>
      <c r="K5565" s="160" t="s">
        <v>26</v>
      </c>
      <c r="L5565" s="154" t="str">
        <f>IF(OpenLCAbasic!K5565="CTUh", "Fill in Manually",IF(OR(K5565="Unit", K5565=""), "", INDEX(LookUps!$E$5:$E$12, MATCH(OpenLCAbasic!K5565,LookUps!$D$5:$D$12,0))))</f>
        <v>Water Use (WU) - m3 H2O</v>
      </c>
      <c r="M5565" s="154" t="str">
        <f t="shared" si="385"/>
        <v>Base_High_High_Upgraded_Water Use (WU) - m3 H2O_ClearCove SCP; wastewater treatment unit; at updated plant - US_Without Amendment_Windrow</v>
      </c>
    </row>
    <row r="5566" spans="1:13" s="120" customFormat="1" x14ac:dyDescent="0.25">
      <c r="A5566" s="119"/>
      <c r="B5566" s="138" t="str">
        <f t="shared" si="381"/>
        <v>Windrow</v>
      </c>
      <c r="C5566" s="138" t="str">
        <f t="shared" si="380"/>
        <v>Without Amendment</v>
      </c>
      <c r="D5566" s="138" t="str">
        <f t="shared" si="384"/>
        <v>High_High</v>
      </c>
      <c r="E5566" s="138" t="str">
        <f t="shared" si="383"/>
        <v>Base</v>
      </c>
      <c r="F5566" s="138" t="str">
        <f t="shared" si="382"/>
        <v>Upgraded</v>
      </c>
      <c r="G5566" s="153"/>
      <c r="H5566" s="210">
        <v>-0.878</v>
      </c>
      <c r="I5566" s="160" t="s">
        <v>149</v>
      </c>
      <c r="J5566" s="160">
        <v>-2.7E-4</v>
      </c>
      <c r="K5566" s="160" t="s">
        <v>26</v>
      </c>
      <c r="L5566" s="154" t="str">
        <f>IF(OpenLCAbasic!K5566="CTUh", "Fill in Manually",IF(OR(K5566="Unit", K5566=""), "", INDEX(LookUps!$E$5:$E$12, MATCH(OpenLCAbasic!K5566,LookUps!$D$5:$D$12,0))))</f>
        <v>Water Use (WU) - m3 H2O</v>
      </c>
      <c r="M5566" s="154" t="str">
        <f t="shared" si="385"/>
        <v>Base_High_High_Upgraded_Water Use (WU) - m3 H2O_Anaerobic Digestion; wastewater treatment unit; at updated plant - US_Without Amendment_Windrow</v>
      </c>
    </row>
    <row r="5567" spans="1:13" s="120" customFormat="1" x14ac:dyDescent="0.25">
      <c r="A5567" s="119"/>
      <c r="B5567" s="138" t="str">
        <f t="shared" si="381"/>
        <v>Windrow</v>
      </c>
      <c r="C5567" s="138" t="str">
        <f t="shared" si="380"/>
        <v>Without Amendment</v>
      </c>
      <c r="D5567" s="138" t="str">
        <f t="shared" si="384"/>
        <v>High_High</v>
      </c>
      <c r="E5567" s="138" t="str">
        <f t="shared" si="383"/>
        <v>Base</v>
      </c>
      <c r="F5567" s="138" t="str">
        <f t="shared" si="382"/>
        <v>Upgraded</v>
      </c>
      <c r="G5567" s="153"/>
      <c r="H5567" s="210">
        <v>-4.1139999999999999</v>
      </c>
      <c r="I5567" s="160" t="s">
        <v>62</v>
      </c>
      <c r="J5567" s="160">
        <v>-1.2600000000000001E-3</v>
      </c>
      <c r="K5567" s="160" t="s">
        <v>26</v>
      </c>
      <c r="L5567" s="154" t="str">
        <f>IF(OpenLCAbasic!K5567="CTUh", "Fill in Manually",IF(OR(K5567="Unit", K5567=""), "", INDEX(LookUps!$E$5:$E$12, MATCH(OpenLCAbasic!K5567,LookUps!$D$5:$D$12,0))))</f>
        <v>Water Use (WU) - m3 H2O</v>
      </c>
      <c r="M5567" s="154" t="str">
        <f t="shared" si="385"/>
        <v>Base_High_High_Upgraded_Water Use (WU) - m3 H2O_Land application of compost; wastewater treatment unit; at updated plant - US_Without Amendment_Windrow</v>
      </c>
    </row>
    <row r="5568" spans="1:13" s="120" customFormat="1" x14ac:dyDescent="0.25">
      <c r="A5568" s="119"/>
      <c r="B5568" s="138" t="str">
        <f t="shared" si="381"/>
        <v/>
      </c>
      <c r="C5568" s="138" t="str">
        <f t="shared" si="380"/>
        <v/>
      </c>
      <c r="D5568" s="138" t="str">
        <f>IF(ISNUMBER($J5568),"Base_Low","")</f>
        <v/>
      </c>
      <c r="E5568" s="138" t="str">
        <f>IF(ISNUMBER($J5568),"Low","")</f>
        <v/>
      </c>
      <c r="F5568" s="138" t="str">
        <f t="shared" si="382"/>
        <v/>
      </c>
      <c r="G5568" s="153" t="s">
        <v>51</v>
      </c>
      <c r="H5568" s="160"/>
      <c r="I5568" s="160" t="s">
        <v>47</v>
      </c>
      <c r="J5568" s="160" t="s">
        <v>52</v>
      </c>
      <c r="K5568" s="160" t="s">
        <v>27</v>
      </c>
      <c r="L5568" s="154" t="str">
        <f>IF(OpenLCAbasic!K5568="CTUh", "Fill in Manually",IF(OR(K5568="Unit", K5568=""), "", INDEX(LookUps!$E$5:$E$12, MATCH(OpenLCAbasic!K5568,LookUps!$D$5:$D$12,0))))</f>
        <v/>
      </c>
      <c r="M5568" s="154" t="str">
        <f t="shared" si="385"/>
        <v>____Process__</v>
      </c>
    </row>
    <row r="5569" spans="1:13" s="120" customFormat="1" x14ac:dyDescent="0.25">
      <c r="A5569" s="119"/>
      <c r="B5569" s="138" t="str">
        <f t="shared" si="381"/>
        <v>Windrow</v>
      </c>
      <c r="C5569" s="138" t="str">
        <f t="shared" ref="C5569:C5632" si="386">IF(ISNUMBER($J5569),"Without Amendment","")</f>
        <v>Without Amendment</v>
      </c>
      <c r="D5569" s="138" t="str">
        <f t="shared" ref="D5569:D5632" si="387">IF(ISNUMBER($J5569),"Base_Low","")</f>
        <v>Base_Low</v>
      </c>
      <c r="E5569" s="138" t="str">
        <f t="shared" ref="E5569:E5632" si="388">IF(ISNUMBER($J5569),"Low","")</f>
        <v>Low</v>
      </c>
      <c r="F5569" s="138" t="str">
        <f t="shared" si="382"/>
        <v>Upgraded</v>
      </c>
      <c r="G5569" s="153"/>
      <c r="H5569" s="210">
        <v>0.39269999999999999</v>
      </c>
      <c r="I5569" s="160" t="s">
        <v>55</v>
      </c>
      <c r="J5569" s="160">
        <v>1.7219999999999999E-2</v>
      </c>
      <c r="K5569" s="160" t="s">
        <v>24</v>
      </c>
      <c r="L5569" s="154" t="str">
        <f>IF(OpenLCAbasic!K5569="CTUh", "Fill in Manually",IF(OR(K5569="Unit", K5569=""), "", INDEX(LookUps!$E$5:$E$12, MATCH(OpenLCAbasic!K5569,LookUps!$D$5:$D$12,0))))</f>
        <v>Acidification Potential (AP) - kg SO2 eq</v>
      </c>
      <c r="M5569" s="154" t="str">
        <f t="shared" si="385"/>
        <v>Low_Base_Low_Upgraded_Acidification Potential (AP) - kg SO2 eq_Aeration Tanks; wastewater treatment unit; at updated plant - US_Without Amendment_Windrow</v>
      </c>
    </row>
    <row r="5570" spans="1:13" s="120" customFormat="1" x14ac:dyDescent="0.25">
      <c r="A5570" s="119"/>
      <c r="B5570" s="138" t="str">
        <f t="shared" si="381"/>
        <v>Windrow</v>
      </c>
      <c r="C5570" s="138" t="str">
        <f t="shared" si="386"/>
        <v>Without Amendment</v>
      </c>
      <c r="D5570" s="138" t="str">
        <f t="shared" si="387"/>
        <v>Base_Low</v>
      </c>
      <c r="E5570" s="138" t="str">
        <f t="shared" si="388"/>
        <v>Low</v>
      </c>
      <c r="F5570" s="138" t="str">
        <f t="shared" si="382"/>
        <v>Upgraded</v>
      </c>
      <c r="G5570" s="153"/>
      <c r="H5570" s="210">
        <v>0.11360000000000001</v>
      </c>
      <c r="I5570" s="160" t="s">
        <v>54</v>
      </c>
      <c r="J5570" s="160">
        <v>4.9800000000000001E-3</v>
      </c>
      <c r="K5570" s="160" t="s">
        <v>24</v>
      </c>
      <c r="L5570" s="154" t="str">
        <f>IF(OpenLCAbasic!K5570="CTUh", "Fill in Manually",IF(OR(K5570="Unit", K5570=""), "", INDEX(LookUps!$E$5:$E$12, MATCH(OpenLCAbasic!K5570,LookUps!$D$5:$D$12,0))))</f>
        <v>Acidification Potential (AP) - kg SO2 eq</v>
      </c>
      <c r="M5570" s="154" t="str">
        <f t="shared" si="385"/>
        <v>Low_Base_Low_Upgraded_Acidification Potential (AP) - kg SO2 eq_Clear Cove Primary Clarification; wastewater treatment unit; at updated plant - US_Without Amendment_Windrow</v>
      </c>
    </row>
    <row r="5571" spans="1:13" s="120" customFormat="1" x14ac:dyDescent="0.25">
      <c r="A5571" s="119"/>
      <c r="B5571" s="138" t="str">
        <f t="shared" si="381"/>
        <v>Windrow</v>
      </c>
      <c r="C5571" s="138" t="str">
        <f t="shared" si="386"/>
        <v>Without Amendment</v>
      </c>
      <c r="D5571" s="138" t="str">
        <f t="shared" si="387"/>
        <v>Base_Low</v>
      </c>
      <c r="E5571" s="138" t="str">
        <f t="shared" si="388"/>
        <v>Low</v>
      </c>
      <c r="F5571" s="138" t="str">
        <f t="shared" si="382"/>
        <v>Upgraded</v>
      </c>
      <c r="G5571" s="153"/>
      <c r="H5571" s="210">
        <v>9.8799999999999999E-2</v>
      </c>
      <c r="I5571" s="160" t="s">
        <v>58</v>
      </c>
      <c r="J5571" s="160">
        <v>4.3299999999999996E-3</v>
      </c>
      <c r="K5571" s="160" t="s">
        <v>24</v>
      </c>
      <c r="L5571" s="154" t="str">
        <f>IF(OpenLCAbasic!K5571="CTUh", "Fill in Manually",IF(OR(K5571="Unit", K5571=""), "", INDEX(LookUps!$E$5:$E$12, MATCH(OpenLCAbasic!K5571,LookUps!$D$5:$D$12,0))))</f>
        <v>Acidification Potential (AP) - kg SO2 eq</v>
      </c>
      <c r="M5571" s="154" t="str">
        <f t="shared" si="385"/>
        <v>Low_Base_Low_Upgraded_Acidification Potential (AP) - kg SO2 eq_Pre-Anoxic &amp; Swing tank; wastewater treatment unit; at updated plant - US_Without Amendment_Windrow</v>
      </c>
    </row>
    <row r="5572" spans="1:13" s="120" customFormat="1" x14ac:dyDescent="0.25">
      <c r="A5572" s="119"/>
      <c r="B5572" s="138" t="str">
        <f t="shared" si="381"/>
        <v>Windrow</v>
      </c>
      <c r="C5572" s="138" t="str">
        <f t="shared" si="386"/>
        <v>Without Amendment</v>
      </c>
      <c r="D5572" s="138" t="str">
        <f t="shared" si="387"/>
        <v>Base_Low</v>
      </c>
      <c r="E5572" s="138" t="str">
        <f t="shared" si="388"/>
        <v>Low</v>
      </c>
      <c r="F5572" s="138" t="str">
        <f t="shared" si="382"/>
        <v>Upgraded</v>
      </c>
      <c r="G5572" s="153"/>
      <c r="H5572" s="210">
        <v>7.8700000000000006E-2</v>
      </c>
      <c r="I5572" s="160" t="s">
        <v>53</v>
      </c>
      <c r="J5572" s="160">
        <v>3.4499999999999999E-3</v>
      </c>
      <c r="K5572" s="160" t="s">
        <v>24</v>
      </c>
      <c r="L5572" s="154" t="str">
        <f>IF(OpenLCAbasic!K5572="CTUh", "Fill in Manually",IF(OR(K5572="Unit", K5572=""), "", INDEX(LookUps!$E$5:$E$12, MATCH(OpenLCAbasic!K5572,LookUps!$D$5:$D$12,0))))</f>
        <v>Acidification Potential (AP) - kg SO2 eq</v>
      </c>
      <c r="M5572" s="154" t="str">
        <f t="shared" si="385"/>
        <v>Low_Base_Low_Upgraded_Acidification Potential (AP) - kg SO2 eq_Wet Well and Sump Station; wastewater treatment unit; at updated plant - US_Without Amendment_Windrow</v>
      </c>
    </row>
    <row r="5573" spans="1:13" s="120" customFormat="1" x14ac:dyDescent="0.25">
      <c r="A5573" s="119"/>
      <c r="B5573" s="138" t="str">
        <f t="shared" si="381"/>
        <v>Windrow</v>
      </c>
      <c r="C5573" s="138" t="str">
        <f t="shared" si="386"/>
        <v>Without Amendment</v>
      </c>
      <c r="D5573" s="138" t="str">
        <f t="shared" si="387"/>
        <v>Base_Low</v>
      </c>
      <c r="E5573" s="138" t="str">
        <f t="shared" si="388"/>
        <v>Low</v>
      </c>
      <c r="F5573" s="138" t="str">
        <f t="shared" si="382"/>
        <v>Upgraded</v>
      </c>
      <c r="G5573" s="153"/>
      <c r="H5573" s="210">
        <v>5.9200000000000003E-2</v>
      </c>
      <c r="I5573" s="160" t="s">
        <v>149</v>
      </c>
      <c r="J5573" s="160">
        <v>2.5999999999999999E-3</v>
      </c>
      <c r="K5573" s="160" t="s">
        <v>24</v>
      </c>
      <c r="L5573" s="154" t="str">
        <f>IF(OpenLCAbasic!K5573="CTUh", "Fill in Manually",IF(OR(K5573="Unit", K5573=""), "", INDEX(LookUps!$E$5:$E$12, MATCH(OpenLCAbasic!K5573,LookUps!$D$5:$D$12,0))))</f>
        <v>Acidification Potential (AP) - kg SO2 eq</v>
      </c>
      <c r="M5573" s="154" t="str">
        <f t="shared" si="385"/>
        <v>Low_Base_Low_Upgraded_Acidification Potential (AP) - kg SO2 eq_Anaerobic Digestion; wastewater treatment unit; at updated plant - US_Without Amendment_Windrow</v>
      </c>
    </row>
    <row r="5574" spans="1:13" s="120" customFormat="1" x14ac:dyDescent="0.25">
      <c r="A5574" s="119"/>
      <c r="B5574" s="138" t="str">
        <f t="shared" si="381"/>
        <v>Windrow</v>
      </c>
      <c r="C5574" s="138" t="str">
        <f t="shared" si="386"/>
        <v>Without Amendment</v>
      </c>
      <c r="D5574" s="138" t="str">
        <f t="shared" si="387"/>
        <v>Base_Low</v>
      </c>
      <c r="E5574" s="138" t="str">
        <f t="shared" si="388"/>
        <v>Low</v>
      </c>
      <c r="F5574" s="138" t="str">
        <f t="shared" si="382"/>
        <v>Upgraded</v>
      </c>
      <c r="G5574" s="153"/>
      <c r="H5574" s="210">
        <v>5.4199999999999998E-2</v>
      </c>
      <c r="I5574" s="160" t="s">
        <v>167</v>
      </c>
      <c r="J5574" s="160">
        <v>2.3800000000000002E-3</v>
      </c>
      <c r="K5574" s="160" t="s">
        <v>24</v>
      </c>
      <c r="L5574" s="154" t="str">
        <f>IF(OpenLCAbasic!K5574="CTUh", "Fill in Manually",IF(OR(K5574="Unit", K5574=""), "", INDEX(LookUps!$E$5:$E$12, MATCH(OpenLCAbasic!K5574,LookUps!$D$5:$D$12,0))))</f>
        <v>Acidification Potential (AP) - kg SO2 eq</v>
      </c>
      <c r="M5574" s="154" t="str">
        <f t="shared" si="385"/>
        <v>Low_Base_Low_Upgraded_Acidification Potential (AP) - kg SO2 eq_Waste Receiving and Holding; wastewater treatment unit; at updated plant - US_Without Amendment_Windrow</v>
      </c>
    </row>
    <row r="5575" spans="1:13" s="120" customFormat="1" x14ac:dyDescent="0.25">
      <c r="A5575" s="119"/>
      <c r="B5575" s="138" t="str">
        <f t="shared" si="381"/>
        <v>Windrow</v>
      </c>
      <c r="C5575" s="138" t="str">
        <f t="shared" si="386"/>
        <v>Without Amendment</v>
      </c>
      <c r="D5575" s="138" t="str">
        <f t="shared" si="387"/>
        <v>Base_Low</v>
      </c>
      <c r="E5575" s="138" t="str">
        <f t="shared" si="388"/>
        <v>Low</v>
      </c>
      <c r="F5575" s="138" t="str">
        <f t="shared" si="382"/>
        <v>Upgraded</v>
      </c>
      <c r="G5575" s="153"/>
      <c r="H5575" s="210">
        <v>4.9000000000000002E-2</v>
      </c>
      <c r="I5575" s="160" t="s">
        <v>62</v>
      </c>
      <c r="J5575" s="160">
        <v>2.15E-3</v>
      </c>
      <c r="K5575" s="160" t="s">
        <v>24</v>
      </c>
      <c r="L5575" s="154" t="str">
        <f>IF(OpenLCAbasic!K5575="CTUh", "Fill in Manually",IF(OR(K5575="Unit", K5575=""), "", INDEX(LookUps!$E$5:$E$12, MATCH(OpenLCAbasic!K5575,LookUps!$D$5:$D$12,0))))</f>
        <v>Acidification Potential (AP) - kg SO2 eq</v>
      </c>
      <c r="M5575" s="154" t="str">
        <f t="shared" si="385"/>
        <v>Low_Base_Low_Upgraded_Acidification Potential (AP) - kg SO2 eq_Land application of compost; wastewater treatment unit; at updated plant - US_Without Amendment_Windrow</v>
      </c>
    </row>
    <row r="5576" spans="1:13" s="120" customFormat="1" x14ac:dyDescent="0.25">
      <c r="A5576" s="119"/>
      <c r="B5576" s="138" t="str">
        <f t="shared" si="381"/>
        <v>Windrow</v>
      </c>
      <c r="C5576" s="138" t="str">
        <f t="shared" si="386"/>
        <v>Without Amendment</v>
      </c>
      <c r="D5576" s="138" t="str">
        <f t="shared" si="387"/>
        <v>Base_Low</v>
      </c>
      <c r="E5576" s="138" t="str">
        <f t="shared" si="388"/>
        <v>Low</v>
      </c>
      <c r="F5576" s="138" t="str">
        <f t="shared" si="382"/>
        <v>Upgraded</v>
      </c>
      <c r="G5576" s="153"/>
      <c r="H5576" s="210">
        <v>4.7199999999999999E-2</v>
      </c>
      <c r="I5576" s="160" t="s">
        <v>147</v>
      </c>
      <c r="J5576" s="160">
        <v>2.0699999999999998E-3</v>
      </c>
      <c r="K5576" s="160" t="s">
        <v>24</v>
      </c>
      <c r="L5576" s="154" t="str">
        <f>IF(OpenLCAbasic!K5576="CTUh", "Fill in Manually",IF(OR(K5576="Unit", K5576=""), "", INDEX(LookUps!$E$5:$E$12, MATCH(OpenLCAbasic!K5576,LookUps!$D$5:$D$12,0))))</f>
        <v>Acidification Potential (AP) - kg SO2 eq</v>
      </c>
      <c r="M5576" s="154" t="str">
        <f t="shared" si="385"/>
        <v>Low_Base_Low_Upgraded_Acidification Potential (AP) - kg SO2 eq_Influent Pump Station; wastewater treatment unit; at updated plant - US_Without Amendment_Windrow</v>
      </c>
    </row>
    <row r="5577" spans="1:13" s="120" customFormat="1" x14ac:dyDescent="0.25">
      <c r="A5577" s="119"/>
      <c r="B5577" s="138" t="str">
        <f t="shared" si="381"/>
        <v>Windrow</v>
      </c>
      <c r="C5577" s="138" t="str">
        <f t="shared" si="386"/>
        <v>Without Amendment</v>
      </c>
      <c r="D5577" s="138" t="str">
        <f t="shared" si="387"/>
        <v>Base_Low</v>
      </c>
      <c r="E5577" s="138" t="str">
        <f t="shared" si="388"/>
        <v>Low</v>
      </c>
      <c r="F5577" s="138" t="str">
        <f t="shared" si="382"/>
        <v>Upgraded</v>
      </c>
      <c r="G5577" s="153"/>
      <c r="H5577" s="210">
        <v>2.81E-2</v>
      </c>
      <c r="I5577" s="160" t="s">
        <v>128</v>
      </c>
      <c r="J5577" s="160">
        <v>1.23E-3</v>
      </c>
      <c r="K5577" s="160" t="s">
        <v>24</v>
      </c>
      <c r="L5577" s="154" t="str">
        <f>IF(OpenLCAbasic!K5577="CTUh", "Fill in Manually",IF(OR(K5577="Unit", K5577=""), "", INDEX(LookUps!$E$5:$E$12, MATCH(OpenLCAbasic!K5577,LookUps!$D$5:$D$12,0))))</f>
        <v>Acidification Potential (AP) - kg SO2 eq</v>
      </c>
      <c r="M5577" s="154" t="str">
        <f t="shared" si="385"/>
        <v>Low_Base_Low_Upgraded_Acidification Potential (AP) - kg SO2 eq_Wastewater collection; operation and infrastructure; m3 wastewater_Without Amendment_Windrow</v>
      </c>
    </row>
    <row r="5578" spans="1:13" s="120" customFormat="1" x14ac:dyDescent="0.25">
      <c r="A5578" s="119"/>
      <c r="B5578" s="138" t="str">
        <f t="shared" si="381"/>
        <v>Windrow</v>
      </c>
      <c r="C5578" s="138" t="str">
        <f t="shared" si="386"/>
        <v>Without Amendment</v>
      </c>
      <c r="D5578" s="138" t="str">
        <f t="shared" si="387"/>
        <v>Base_Low</v>
      </c>
      <c r="E5578" s="138" t="str">
        <f t="shared" si="388"/>
        <v>Low</v>
      </c>
      <c r="F5578" s="138" t="str">
        <f t="shared" si="382"/>
        <v>Upgraded</v>
      </c>
      <c r="G5578" s="153"/>
      <c r="H5578" s="210">
        <v>1.95E-2</v>
      </c>
      <c r="I5578" s="160" t="s">
        <v>60</v>
      </c>
      <c r="J5578" s="160">
        <v>8.5999999999999998E-4</v>
      </c>
      <c r="K5578" s="160" t="s">
        <v>24</v>
      </c>
      <c r="L5578" s="154" t="str">
        <f>IF(OpenLCAbasic!K5578="CTUh", "Fill in Manually",IF(OR(K5578="Unit", K5578=""), "", INDEX(LookUps!$E$5:$E$12, MATCH(OpenLCAbasic!K5578,LookUps!$D$5:$D$12,0))))</f>
        <v>Acidification Potential (AP) - kg SO2 eq</v>
      </c>
      <c r="M5578" s="154" t="str">
        <f t="shared" si="385"/>
        <v>Low_Base_Low_Upgraded_Acidification Potential (AP) - kg SO2 eq_Belt filter press; wastewater treatment unit; at updated plant - US_Without Amendment_Windrow</v>
      </c>
    </row>
    <row r="5579" spans="1:13" s="120" customFormat="1" x14ac:dyDescent="0.25">
      <c r="A5579" s="119"/>
      <c r="B5579" s="138" t="str">
        <f t="shared" si="381"/>
        <v>Windrow</v>
      </c>
      <c r="C5579" s="138" t="str">
        <f t="shared" si="386"/>
        <v>Without Amendment</v>
      </c>
      <c r="D5579" s="138" t="str">
        <f t="shared" si="387"/>
        <v>Base_Low</v>
      </c>
      <c r="E5579" s="138" t="str">
        <f t="shared" si="388"/>
        <v>Low</v>
      </c>
      <c r="F5579" s="138" t="str">
        <f t="shared" si="382"/>
        <v>Upgraded</v>
      </c>
      <c r="G5579" s="153"/>
      <c r="H5579" s="210">
        <v>1.66E-2</v>
      </c>
      <c r="I5579" s="160" t="s">
        <v>271</v>
      </c>
      <c r="J5579" s="160">
        <v>7.2999999999999996E-4</v>
      </c>
      <c r="K5579" s="160" t="s">
        <v>24</v>
      </c>
      <c r="L5579" s="154" t="str">
        <f>IF(OpenLCAbasic!K5579="CTUh", "Fill in Manually",IF(OR(K5579="Unit", K5579=""), "", INDEX(LookUps!$E$5:$E$12, MATCH(OpenLCAbasic!K5579,LookUps!$D$5:$D$12,0))))</f>
        <v>Acidification Potential (AP) - kg SO2 eq</v>
      </c>
      <c r="M5579" s="154" t="str">
        <f t="shared" si="385"/>
        <v>Low_Base_Low_Upgraded_Acidification Potential (AP) - kg SO2 eq_Biosolids composting; windrow composting; wastewater treatment unit; at updated plant - US_Without Amendment_Windrow</v>
      </c>
    </row>
    <row r="5580" spans="1:13" s="120" customFormat="1" x14ac:dyDescent="0.25">
      <c r="A5580" s="119"/>
      <c r="B5580" s="138" t="str">
        <f t="shared" si="381"/>
        <v>Windrow</v>
      </c>
      <c r="C5580" s="138" t="str">
        <f t="shared" si="386"/>
        <v>Without Amendment</v>
      </c>
      <c r="D5580" s="138" t="str">
        <f t="shared" si="387"/>
        <v>Base_Low</v>
      </c>
      <c r="E5580" s="138" t="str">
        <f t="shared" si="388"/>
        <v>Low</v>
      </c>
      <c r="F5580" s="138" t="str">
        <f t="shared" si="382"/>
        <v>Upgraded</v>
      </c>
      <c r="G5580" s="153"/>
      <c r="H5580" s="210">
        <v>1.61E-2</v>
      </c>
      <c r="I5580" s="160" t="s">
        <v>57</v>
      </c>
      <c r="J5580" s="160">
        <v>6.9999999999999999E-4</v>
      </c>
      <c r="K5580" s="160" t="s">
        <v>24</v>
      </c>
      <c r="L5580" s="154" t="str">
        <f>IF(OpenLCAbasic!K5580="CTUh", "Fill in Manually",IF(OR(K5580="Unit", K5580=""), "", INDEX(LookUps!$E$5:$E$12, MATCH(OpenLCAbasic!K5580,LookUps!$D$5:$D$12,0))))</f>
        <v>Acidification Potential (AP) - kg SO2 eq</v>
      </c>
      <c r="M5580" s="154" t="str">
        <f t="shared" si="385"/>
        <v>Low_Base_Low_Upgraded_Acidification Potential (AP) - kg SO2 eq_Gravity Belt Thickener; wastewater treatment unit; at updated plant - US_Without Amendment_Windrow</v>
      </c>
    </row>
    <row r="5581" spans="1:13" s="120" customFormat="1" x14ac:dyDescent="0.25">
      <c r="A5581" s="119"/>
      <c r="B5581" s="138" t="str">
        <f t="shared" si="381"/>
        <v>Windrow</v>
      </c>
      <c r="C5581" s="138" t="str">
        <f t="shared" si="386"/>
        <v>Without Amendment</v>
      </c>
      <c r="D5581" s="138" t="str">
        <f t="shared" si="387"/>
        <v>Base_Low</v>
      </c>
      <c r="E5581" s="138" t="str">
        <f t="shared" si="388"/>
        <v>Low</v>
      </c>
      <c r="F5581" s="138" t="str">
        <f t="shared" si="382"/>
        <v>Upgraded</v>
      </c>
      <c r="G5581" s="153"/>
      <c r="H5581" s="210">
        <v>1.18E-2</v>
      </c>
      <c r="I5581" s="160" t="s">
        <v>59</v>
      </c>
      <c r="J5581" s="160">
        <v>5.1999999999999995E-4</v>
      </c>
      <c r="K5581" s="160" t="s">
        <v>24</v>
      </c>
      <c r="L5581" s="154" t="str">
        <f>IF(OpenLCAbasic!K5581="CTUh", "Fill in Manually",IF(OR(K5581="Unit", K5581=""), "", INDEX(LookUps!$E$5:$E$12, MATCH(OpenLCAbasic!K5581,LookUps!$D$5:$D$12,0))))</f>
        <v>Acidification Potential (AP) - kg SO2 eq</v>
      </c>
      <c r="M5581" s="154" t="str">
        <f t="shared" si="385"/>
        <v>Low_Base_Low_Upgraded_Acidification Potential (AP) - kg SO2 eq_Blend Tank; wastewater treatment unit; at updated plant - US_Without Amendment_Windrow</v>
      </c>
    </row>
    <row r="5582" spans="1:13" s="120" customFormat="1" x14ac:dyDescent="0.25">
      <c r="A5582" s="119"/>
      <c r="B5582" s="138" t="str">
        <f t="shared" si="381"/>
        <v>Windrow</v>
      </c>
      <c r="C5582" s="138" t="str">
        <f t="shared" si="386"/>
        <v>Without Amendment</v>
      </c>
      <c r="D5582" s="138" t="str">
        <f t="shared" si="387"/>
        <v>Base_Low</v>
      </c>
      <c r="E5582" s="138" t="str">
        <f t="shared" si="388"/>
        <v>Low</v>
      </c>
      <c r="F5582" s="138" t="str">
        <f t="shared" si="382"/>
        <v>Upgraded</v>
      </c>
      <c r="G5582" s="153"/>
      <c r="H5582" s="210">
        <v>7.9000000000000008E-3</v>
      </c>
      <c r="I5582" s="160" t="s">
        <v>48</v>
      </c>
      <c r="J5582" s="160">
        <v>3.5E-4</v>
      </c>
      <c r="K5582" s="160" t="s">
        <v>24</v>
      </c>
      <c r="L5582" s="154" t="str">
        <f>IF(OpenLCAbasic!K5582="CTUh", "Fill in Manually",IF(OR(K5582="Unit", K5582=""), "", INDEX(LookUps!$E$5:$E$12, MATCH(OpenLCAbasic!K5582,LookUps!$D$5:$D$12,0))))</f>
        <v>Acidification Potential (AP) - kg SO2 eq</v>
      </c>
      <c r="M5582" s="154" t="str">
        <f t="shared" si="385"/>
        <v>Low_Base_Low_Upgraded_Acidification Potential (AP) - kg SO2 eq_Effluent release; wastewater treatment unit; at surface water; m3 wastewater - US_Without Amendment_Windrow</v>
      </c>
    </row>
    <row r="5583" spans="1:13" s="120" customFormat="1" x14ac:dyDescent="0.25">
      <c r="A5583" s="119"/>
      <c r="B5583" s="138" t="str">
        <f t="shared" si="381"/>
        <v>Windrow</v>
      </c>
      <c r="C5583" s="138" t="str">
        <f t="shared" si="386"/>
        <v>Without Amendment</v>
      </c>
      <c r="D5583" s="138" t="str">
        <f t="shared" si="387"/>
        <v>Base_Low</v>
      </c>
      <c r="E5583" s="138" t="str">
        <f t="shared" si="388"/>
        <v>Low</v>
      </c>
      <c r="F5583" s="138" t="str">
        <f t="shared" si="382"/>
        <v>Upgraded</v>
      </c>
      <c r="G5583" s="153"/>
      <c r="H5583" s="210">
        <v>5.7999999999999996E-3</v>
      </c>
      <c r="I5583" s="160" t="s">
        <v>168</v>
      </c>
      <c r="J5583" s="160">
        <v>2.5999999999999998E-4</v>
      </c>
      <c r="K5583" s="160" t="s">
        <v>24</v>
      </c>
      <c r="L5583" s="154" t="str">
        <f>IF(OpenLCAbasic!K5583="CTUh", "Fill in Manually",IF(OR(K5583="Unit", K5583=""), "", INDEX(LookUps!$E$5:$E$12, MATCH(OpenLCAbasic!K5583,LookUps!$D$5:$D$12,0))))</f>
        <v>Acidification Potential (AP) - kg SO2 eq</v>
      </c>
      <c r="M5583" s="154" t="str">
        <f t="shared" si="385"/>
        <v>Low_Base_Low_Upgraded_Acidification Potential (AP) - kg SO2 eq_ClearCove SCP; wastewater treatment unit; at updated plant - US_Without Amendment_Windrow</v>
      </c>
    </row>
    <row r="5584" spans="1:13" s="120" customFormat="1" x14ac:dyDescent="0.25">
      <c r="A5584" s="119"/>
      <c r="B5584" s="138" t="str">
        <f t="shared" si="381"/>
        <v>Windrow</v>
      </c>
      <c r="C5584" s="138" t="str">
        <f t="shared" si="386"/>
        <v>Without Amendment</v>
      </c>
      <c r="D5584" s="138" t="str">
        <f t="shared" si="387"/>
        <v>Base_Low</v>
      </c>
      <c r="E5584" s="138" t="str">
        <f t="shared" si="388"/>
        <v>Low</v>
      </c>
      <c r="F5584" s="138" t="str">
        <f t="shared" si="382"/>
        <v>Upgraded</v>
      </c>
      <c r="G5584" s="153"/>
      <c r="H5584" s="210">
        <v>8.9999999999999998E-4</v>
      </c>
      <c r="I5584" s="160" t="s">
        <v>148</v>
      </c>
      <c r="J5584" s="211">
        <v>4.0354700000000002E-5</v>
      </c>
      <c r="K5584" s="160" t="s">
        <v>24</v>
      </c>
      <c r="L5584" s="154" t="str">
        <f>IF(OpenLCAbasic!K5584="CTUh", "Fill in Manually",IF(OR(K5584="Unit", K5584=""), "", INDEX(LookUps!$E$5:$E$12, MATCH(OpenLCAbasic!K5584,LookUps!$D$5:$D$12,0))))</f>
        <v>Acidification Potential (AP) - kg SO2 eq</v>
      </c>
      <c r="M5584" s="154" t="str">
        <f t="shared" si="385"/>
        <v>Low_Base_Low_Upgraded_Acidification Potential (AP) - kg SO2 eq_Control Building; at upgraded wastewater treatment plant - US_Without Amendment_Windrow</v>
      </c>
    </row>
    <row r="5585" spans="1:13" s="120" customFormat="1" x14ac:dyDescent="0.25">
      <c r="A5585" s="119"/>
      <c r="B5585" s="138" t="str">
        <f t="shared" si="381"/>
        <v/>
      </c>
      <c r="C5585" s="138" t="str">
        <f t="shared" si="386"/>
        <v/>
      </c>
      <c r="D5585" s="138" t="str">
        <f t="shared" si="387"/>
        <v/>
      </c>
      <c r="E5585" s="138" t="str">
        <f t="shared" si="388"/>
        <v/>
      </c>
      <c r="F5585" s="138" t="str">
        <f t="shared" si="382"/>
        <v/>
      </c>
      <c r="G5585" s="153" t="s">
        <v>51</v>
      </c>
      <c r="H5585" s="160"/>
      <c r="I5585" s="160" t="s">
        <v>47</v>
      </c>
      <c r="J5585" s="160" t="s">
        <v>52</v>
      </c>
      <c r="K5585" s="160" t="s">
        <v>27</v>
      </c>
      <c r="L5585" s="154" t="str">
        <f>IF(OpenLCAbasic!K5585="CTUh", "Fill in Manually",IF(OR(K5585="Unit", K5585=""), "", INDEX(LookUps!$E$5:$E$12, MATCH(OpenLCAbasic!K5585,LookUps!$D$5:$D$12,0))))</f>
        <v/>
      </c>
      <c r="M5585" s="154" t="str">
        <f t="shared" si="385"/>
        <v>____Process__</v>
      </c>
    </row>
    <row r="5586" spans="1:13" s="120" customFormat="1" x14ac:dyDescent="0.25">
      <c r="A5586" s="119"/>
      <c r="B5586" s="138" t="str">
        <f t="shared" si="381"/>
        <v>Windrow</v>
      </c>
      <c r="C5586" s="138" t="str">
        <f t="shared" si="386"/>
        <v>Without Amendment</v>
      </c>
      <c r="D5586" s="138" t="str">
        <f t="shared" si="387"/>
        <v>Base_Low</v>
      </c>
      <c r="E5586" s="138" t="str">
        <f t="shared" si="388"/>
        <v>Low</v>
      </c>
      <c r="F5586" s="138" t="str">
        <f t="shared" si="382"/>
        <v>Upgraded</v>
      </c>
      <c r="G5586" s="153"/>
      <c r="H5586" s="210">
        <v>0.245</v>
      </c>
      <c r="I5586" s="160" t="s">
        <v>55</v>
      </c>
      <c r="J5586" s="160">
        <v>3.5330499999999998</v>
      </c>
      <c r="K5586" s="160" t="s">
        <v>15</v>
      </c>
      <c r="L5586" s="154" t="str">
        <f>IF(OpenLCAbasic!K5586="CTUh", "Fill in Manually",IF(OR(K5586="Unit", K5586=""), "", INDEX(LookUps!$E$5:$E$12, MATCH(OpenLCAbasic!K5586,LookUps!$D$5:$D$12,0))))</f>
        <v>Cumulative Energy Demand (CED) - MJ</v>
      </c>
      <c r="M5586" s="154" t="str">
        <f t="shared" si="385"/>
        <v>Low_Base_Low_Upgraded_Cumulative Energy Demand (CED) - MJ_Aeration Tanks; wastewater treatment unit; at updated plant - US_Without Amendment_Windrow</v>
      </c>
    </row>
    <row r="5587" spans="1:13" s="120" customFormat="1" x14ac:dyDescent="0.25">
      <c r="A5587" s="119"/>
      <c r="B5587" s="138" t="str">
        <f t="shared" si="381"/>
        <v>Windrow</v>
      </c>
      <c r="C5587" s="138" t="str">
        <f t="shared" si="386"/>
        <v>Without Amendment</v>
      </c>
      <c r="D5587" s="138" t="str">
        <f t="shared" si="387"/>
        <v>Base_Low</v>
      </c>
      <c r="E5587" s="138" t="str">
        <f t="shared" si="388"/>
        <v>Low</v>
      </c>
      <c r="F5587" s="138" t="str">
        <f t="shared" si="382"/>
        <v>Upgraded</v>
      </c>
      <c r="G5587" s="153"/>
      <c r="H5587" s="210">
        <v>0.24249999999999999</v>
      </c>
      <c r="I5587" s="160" t="s">
        <v>167</v>
      </c>
      <c r="J5587" s="160">
        <v>3.4982700000000002</v>
      </c>
      <c r="K5587" s="160" t="s">
        <v>15</v>
      </c>
      <c r="L5587" s="154" t="str">
        <f>IF(OpenLCAbasic!K5587="CTUh", "Fill in Manually",IF(OR(K5587="Unit", K5587=""), "", INDEX(LookUps!$E$5:$E$12, MATCH(OpenLCAbasic!K5587,LookUps!$D$5:$D$12,0))))</f>
        <v>Cumulative Energy Demand (CED) - MJ</v>
      </c>
      <c r="M5587" s="154" t="str">
        <f t="shared" si="385"/>
        <v>Low_Base_Low_Upgraded_Cumulative Energy Demand (CED) - MJ_Waste Receiving and Holding; wastewater treatment unit; at updated plant - US_Without Amendment_Windrow</v>
      </c>
    </row>
    <row r="5588" spans="1:13" s="120" customFormat="1" x14ac:dyDescent="0.25">
      <c r="A5588" s="119"/>
      <c r="B5588" s="138" t="str">
        <f t="shared" si="381"/>
        <v>Windrow</v>
      </c>
      <c r="C5588" s="138" t="str">
        <f t="shared" si="386"/>
        <v>Without Amendment</v>
      </c>
      <c r="D5588" s="138" t="str">
        <f t="shared" si="387"/>
        <v>Base_Low</v>
      </c>
      <c r="E5588" s="138" t="str">
        <f t="shared" si="388"/>
        <v>Low</v>
      </c>
      <c r="F5588" s="138" t="str">
        <f t="shared" si="382"/>
        <v>Upgraded</v>
      </c>
      <c r="G5588" s="153"/>
      <c r="H5588" s="210">
        <v>0.1895</v>
      </c>
      <c r="I5588" s="160" t="s">
        <v>149</v>
      </c>
      <c r="J5588" s="160">
        <v>2.7332200000000002</v>
      </c>
      <c r="K5588" s="160" t="s">
        <v>15</v>
      </c>
      <c r="L5588" s="154" t="str">
        <f>IF(OpenLCAbasic!K5588="CTUh", "Fill in Manually",IF(OR(K5588="Unit", K5588=""), "", INDEX(LookUps!$E$5:$E$12, MATCH(OpenLCAbasic!K5588,LookUps!$D$5:$D$12,0))))</f>
        <v>Cumulative Energy Demand (CED) - MJ</v>
      </c>
      <c r="M5588" s="154" t="str">
        <f t="shared" si="385"/>
        <v>Low_Base_Low_Upgraded_Cumulative Energy Demand (CED) - MJ_Anaerobic Digestion; wastewater treatment unit; at updated plant - US_Without Amendment_Windrow</v>
      </c>
    </row>
    <row r="5589" spans="1:13" s="120" customFormat="1" x14ac:dyDescent="0.25">
      <c r="A5589" s="119"/>
      <c r="B5589" s="138" t="str">
        <f t="shared" si="381"/>
        <v>Windrow</v>
      </c>
      <c r="C5589" s="138" t="str">
        <f t="shared" si="386"/>
        <v>Without Amendment</v>
      </c>
      <c r="D5589" s="138" t="str">
        <f t="shared" si="387"/>
        <v>Base_Low</v>
      </c>
      <c r="E5589" s="138" t="str">
        <f t="shared" si="388"/>
        <v>Low</v>
      </c>
      <c r="F5589" s="138" t="str">
        <f t="shared" si="382"/>
        <v>Upgraded</v>
      </c>
      <c r="G5589" s="153"/>
      <c r="H5589" s="210">
        <v>8.0600000000000005E-2</v>
      </c>
      <c r="I5589" s="160" t="s">
        <v>54</v>
      </c>
      <c r="J5589" s="160">
        <v>1.16289</v>
      </c>
      <c r="K5589" s="160" t="s">
        <v>15</v>
      </c>
      <c r="L5589" s="154" t="str">
        <f>IF(OpenLCAbasic!K5589="CTUh", "Fill in Manually",IF(OR(K5589="Unit", K5589=""), "", INDEX(LookUps!$E$5:$E$12, MATCH(OpenLCAbasic!K5589,LookUps!$D$5:$D$12,0))))</f>
        <v>Cumulative Energy Demand (CED) - MJ</v>
      </c>
      <c r="M5589" s="154" t="str">
        <f t="shared" si="385"/>
        <v>Low_Base_Low_Upgraded_Cumulative Energy Demand (CED) - MJ_Clear Cove Primary Clarification; wastewater treatment unit; at updated plant - US_Without Amendment_Windrow</v>
      </c>
    </row>
    <row r="5590" spans="1:13" s="120" customFormat="1" x14ac:dyDescent="0.25">
      <c r="A5590" s="119"/>
      <c r="B5590" s="138" t="str">
        <f t="shared" si="381"/>
        <v>Windrow</v>
      </c>
      <c r="C5590" s="138" t="str">
        <f t="shared" si="386"/>
        <v>Without Amendment</v>
      </c>
      <c r="D5590" s="138" t="str">
        <f t="shared" si="387"/>
        <v>Base_Low</v>
      </c>
      <c r="E5590" s="138" t="str">
        <f t="shared" si="388"/>
        <v>Low</v>
      </c>
      <c r="F5590" s="138" t="str">
        <f t="shared" si="382"/>
        <v>Upgraded</v>
      </c>
      <c r="G5590" s="153"/>
      <c r="H5590" s="210">
        <v>6.13E-2</v>
      </c>
      <c r="I5590" s="160" t="s">
        <v>58</v>
      </c>
      <c r="J5590" s="160">
        <v>0.88417000000000001</v>
      </c>
      <c r="K5590" s="160" t="s">
        <v>15</v>
      </c>
      <c r="L5590" s="154" t="str">
        <f>IF(OpenLCAbasic!K5590="CTUh", "Fill in Manually",IF(OR(K5590="Unit", K5590=""), "", INDEX(LookUps!$E$5:$E$12, MATCH(OpenLCAbasic!K5590,LookUps!$D$5:$D$12,0))))</f>
        <v>Cumulative Energy Demand (CED) - MJ</v>
      </c>
      <c r="M5590" s="154" t="str">
        <f t="shared" si="385"/>
        <v>Low_Base_Low_Upgraded_Cumulative Energy Demand (CED) - MJ_Pre-Anoxic &amp; Swing tank; wastewater treatment unit; at updated plant - US_Without Amendment_Windrow</v>
      </c>
    </row>
    <row r="5591" spans="1:13" s="120" customFormat="1" x14ac:dyDescent="0.25">
      <c r="A5591" s="119"/>
      <c r="B5591" s="138" t="str">
        <f t="shared" si="381"/>
        <v>Windrow</v>
      </c>
      <c r="C5591" s="138" t="str">
        <f t="shared" si="386"/>
        <v>Without Amendment</v>
      </c>
      <c r="D5591" s="138" t="str">
        <f t="shared" si="387"/>
        <v>Base_Low</v>
      </c>
      <c r="E5591" s="138" t="str">
        <f t="shared" si="388"/>
        <v>Low</v>
      </c>
      <c r="F5591" s="138" t="str">
        <f t="shared" si="382"/>
        <v>Upgraded</v>
      </c>
      <c r="G5591" s="153"/>
      <c r="H5591" s="210">
        <v>6.1199999999999997E-2</v>
      </c>
      <c r="I5591" s="160" t="s">
        <v>147</v>
      </c>
      <c r="J5591" s="160">
        <v>0.88297000000000003</v>
      </c>
      <c r="K5591" s="160" t="s">
        <v>15</v>
      </c>
      <c r="L5591" s="154" t="str">
        <f>IF(OpenLCAbasic!K5591="CTUh", "Fill in Manually",IF(OR(K5591="Unit", K5591=""), "", INDEX(LookUps!$E$5:$E$12, MATCH(OpenLCAbasic!K5591,LookUps!$D$5:$D$12,0))))</f>
        <v>Cumulative Energy Demand (CED) - MJ</v>
      </c>
      <c r="M5591" s="154" t="str">
        <f t="shared" si="385"/>
        <v>Low_Base_Low_Upgraded_Cumulative Energy Demand (CED) - MJ_Influent Pump Station; wastewater treatment unit; at updated plant - US_Without Amendment_Windrow</v>
      </c>
    </row>
    <row r="5592" spans="1:13" s="120" customFormat="1" x14ac:dyDescent="0.25">
      <c r="A5592" s="119"/>
      <c r="B5592" s="138" t="str">
        <f t="shared" si="381"/>
        <v>Windrow</v>
      </c>
      <c r="C5592" s="138" t="str">
        <f t="shared" si="386"/>
        <v>Without Amendment</v>
      </c>
      <c r="D5592" s="138" t="str">
        <f t="shared" si="387"/>
        <v>Base_Low</v>
      </c>
      <c r="E5592" s="138" t="str">
        <f t="shared" si="388"/>
        <v>Low</v>
      </c>
      <c r="F5592" s="138" t="str">
        <f t="shared" si="382"/>
        <v>Upgraded</v>
      </c>
      <c r="G5592" s="153"/>
      <c r="H5592" s="210">
        <v>4.8300000000000003E-2</v>
      </c>
      <c r="I5592" s="160" t="s">
        <v>53</v>
      </c>
      <c r="J5592" s="160">
        <v>0.69645000000000001</v>
      </c>
      <c r="K5592" s="160" t="s">
        <v>15</v>
      </c>
      <c r="L5592" s="154" t="str">
        <f>IF(OpenLCAbasic!K5592="CTUh", "Fill in Manually",IF(OR(K5592="Unit", K5592=""), "", INDEX(LookUps!$E$5:$E$12, MATCH(OpenLCAbasic!K5592,LookUps!$D$5:$D$12,0))))</f>
        <v>Cumulative Energy Demand (CED) - MJ</v>
      </c>
      <c r="M5592" s="154" t="str">
        <f t="shared" si="385"/>
        <v>Low_Base_Low_Upgraded_Cumulative Energy Demand (CED) - MJ_Wet Well and Sump Station; wastewater treatment unit; at updated plant - US_Without Amendment_Windrow</v>
      </c>
    </row>
    <row r="5593" spans="1:13" s="120" customFormat="1" x14ac:dyDescent="0.25">
      <c r="A5593" s="119"/>
      <c r="B5593" s="138" t="str">
        <f t="shared" si="381"/>
        <v>Windrow</v>
      </c>
      <c r="C5593" s="138" t="str">
        <f t="shared" si="386"/>
        <v>Without Amendment</v>
      </c>
      <c r="D5593" s="138" t="str">
        <f t="shared" si="387"/>
        <v>Base_Low</v>
      </c>
      <c r="E5593" s="138" t="str">
        <f t="shared" si="388"/>
        <v>Low</v>
      </c>
      <c r="F5593" s="138" t="str">
        <f t="shared" si="382"/>
        <v>Upgraded</v>
      </c>
      <c r="G5593" s="153"/>
      <c r="H5593" s="210">
        <v>2.3199999999999998E-2</v>
      </c>
      <c r="I5593" s="160" t="s">
        <v>57</v>
      </c>
      <c r="J5593" s="160">
        <v>0.33404</v>
      </c>
      <c r="K5593" s="160" t="s">
        <v>15</v>
      </c>
      <c r="L5593" s="154" t="str">
        <f>IF(OpenLCAbasic!K5593="CTUh", "Fill in Manually",IF(OR(K5593="Unit", K5593=""), "", INDEX(LookUps!$E$5:$E$12, MATCH(OpenLCAbasic!K5593,LookUps!$D$5:$D$12,0))))</f>
        <v>Cumulative Energy Demand (CED) - MJ</v>
      </c>
      <c r="M5593" s="154" t="str">
        <f t="shared" si="385"/>
        <v>Low_Base_Low_Upgraded_Cumulative Energy Demand (CED) - MJ_Gravity Belt Thickener; wastewater treatment unit; at updated plant - US_Without Amendment_Windrow</v>
      </c>
    </row>
    <row r="5594" spans="1:13" s="120" customFormat="1" x14ac:dyDescent="0.25">
      <c r="A5594" s="119"/>
      <c r="B5594" s="138" t="str">
        <f t="shared" si="381"/>
        <v>Windrow</v>
      </c>
      <c r="C5594" s="138" t="str">
        <f t="shared" si="386"/>
        <v>Without Amendment</v>
      </c>
      <c r="D5594" s="138" t="str">
        <f t="shared" si="387"/>
        <v>Base_Low</v>
      </c>
      <c r="E5594" s="138" t="str">
        <f t="shared" si="388"/>
        <v>Low</v>
      </c>
      <c r="F5594" s="138" t="str">
        <f t="shared" si="382"/>
        <v>Upgraded</v>
      </c>
      <c r="G5594" s="153"/>
      <c r="H5594" s="210">
        <v>2.2200000000000001E-2</v>
      </c>
      <c r="I5594" s="160" t="s">
        <v>60</v>
      </c>
      <c r="J5594" s="160">
        <v>0.32008999999999999</v>
      </c>
      <c r="K5594" s="160" t="s">
        <v>15</v>
      </c>
      <c r="L5594" s="154" t="str">
        <f>IF(OpenLCAbasic!K5594="CTUh", "Fill in Manually",IF(OR(K5594="Unit", K5594=""), "", INDEX(LookUps!$E$5:$E$12, MATCH(OpenLCAbasic!K5594,LookUps!$D$5:$D$12,0))))</f>
        <v>Cumulative Energy Demand (CED) - MJ</v>
      </c>
      <c r="M5594" s="154" t="str">
        <f t="shared" si="385"/>
        <v>Low_Base_Low_Upgraded_Cumulative Energy Demand (CED) - MJ_Belt filter press; wastewater treatment unit; at updated plant - US_Without Amendment_Windrow</v>
      </c>
    </row>
    <row r="5595" spans="1:13" s="120" customFormat="1" x14ac:dyDescent="0.25">
      <c r="A5595" s="119"/>
      <c r="B5595" s="138" t="str">
        <f t="shared" si="381"/>
        <v>Windrow</v>
      </c>
      <c r="C5595" s="138" t="str">
        <f t="shared" si="386"/>
        <v>Without Amendment</v>
      </c>
      <c r="D5595" s="138" t="str">
        <f t="shared" si="387"/>
        <v>Base_Low</v>
      </c>
      <c r="E5595" s="138" t="str">
        <f t="shared" si="388"/>
        <v>Low</v>
      </c>
      <c r="F5595" s="138" t="str">
        <f t="shared" si="382"/>
        <v>Upgraded</v>
      </c>
      <c r="G5595" s="153"/>
      <c r="H5595" s="210">
        <v>1.78E-2</v>
      </c>
      <c r="I5595" s="160" t="s">
        <v>128</v>
      </c>
      <c r="J5595" s="160">
        <v>0.25606000000000001</v>
      </c>
      <c r="K5595" s="160" t="s">
        <v>15</v>
      </c>
      <c r="L5595" s="154" t="str">
        <f>IF(OpenLCAbasic!K5595="CTUh", "Fill in Manually",IF(OR(K5595="Unit", K5595=""), "", INDEX(LookUps!$E$5:$E$12, MATCH(OpenLCAbasic!K5595,LookUps!$D$5:$D$12,0))))</f>
        <v>Cumulative Energy Demand (CED) - MJ</v>
      </c>
      <c r="M5595" s="154" t="str">
        <f t="shared" si="385"/>
        <v>Low_Base_Low_Upgraded_Cumulative Energy Demand (CED) - MJ_Wastewater collection; operation and infrastructure; m3 wastewater_Without Amendment_Windrow</v>
      </c>
    </row>
    <row r="5596" spans="1:13" s="120" customFormat="1" x14ac:dyDescent="0.25">
      <c r="A5596" s="119"/>
      <c r="B5596" s="138" t="str">
        <f t="shared" si="381"/>
        <v>Windrow</v>
      </c>
      <c r="C5596" s="138" t="str">
        <f t="shared" si="386"/>
        <v>Without Amendment</v>
      </c>
      <c r="D5596" s="138" t="str">
        <f t="shared" si="387"/>
        <v>Base_Low</v>
      </c>
      <c r="E5596" s="138" t="str">
        <f t="shared" si="388"/>
        <v>Low</v>
      </c>
      <c r="F5596" s="138" t="str">
        <f t="shared" si="382"/>
        <v>Upgraded</v>
      </c>
      <c r="G5596" s="153"/>
      <c r="H5596" s="210">
        <v>1.01E-2</v>
      </c>
      <c r="I5596" s="160" t="s">
        <v>148</v>
      </c>
      <c r="J5596" s="160">
        <v>0.14599000000000001</v>
      </c>
      <c r="K5596" s="160" t="s">
        <v>15</v>
      </c>
      <c r="L5596" s="154" t="str">
        <f>IF(OpenLCAbasic!K5596="CTUh", "Fill in Manually",IF(OR(K5596="Unit", K5596=""), "", INDEX(LookUps!$E$5:$E$12, MATCH(OpenLCAbasic!K5596,LookUps!$D$5:$D$12,0))))</f>
        <v>Cumulative Energy Demand (CED) - MJ</v>
      </c>
      <c r="M5596" s="154" t="str">
        <f t="shared" si="385"/>
        <v>Low_Base_Low_Upgraded_Cumulative Energy Demand (CED) - MJ_Control Building; at upgraded wastewater treatment plant - US_Without Amendment_Windrow</v>
      </c>
    </row>
    <row r="5597" spans="1:13" s="120" customFormat="1" x14ac:dyDescent="0.25">
      <c r="A5597" s="119"/>
      <c r="B5597" s="138" t="str">
        <f t="shared" si="381"/>
        <v>Windrow</v>
      </c>
      <c r="C5597" s="138" t="str">
        <f t="shared" si="386"/>
        <v>Without Amendment</v>
      </c>
      <c r="D5597" s="138" t="str">
        <f t="shared" si="387"/>
        <v>Base_Low</v>
      </c>
      <c r="E5597" s="138" t="str">
        <f t="shared" si="388"/>
        <v>Low</v>
      </c>
      <c r="F5597" s="138" t="str">
        <f t="shared" si="382"/>
        <v>Upgraded</v>
      </c>
      <c r="G5597" s="153"/>
      <c r="H5597" s="210">
        <v>9.1999999999999998E-3</v>
      </c>
      <c r="I5597" s="160" t="s">
        <v>48</v>
      </c>
      <c r="J5597" s="160">
        <v>0.13321</v>
      </c>
      <c r="K5597" s="160" t="s">
        <v>15</v>
      </c>
      <c r="L5597" s="154" t="str">
        <f>IF(OpenLCAbasic!K5597="CTUh", "Fill in Manually",IF(OR(K5597="Unit", K5597=""), "", INDEX(LookUps!$E$5:$E$12, MATCH(OpenLCAbasic!K5597,LookUps!$D$5:$D$12,0))))</f>
        <v>Cumulative Energy Demand (CED) - MJ</v>
      </c>
      <c r="M5597" s="154" t="str">
        <f t="shared" si="385"/>
        <v>Low_Base_Low_Upgraded_Cumulative Energy Demand (CED) - MJ_Effluent release; wastewater treatment unit; at surface water; m3 wastewater - US_Without Amendment_Windrow</v>
      </c>
    </row>
    <row r="5598" spans="1:13" s="120" customFormat="1" x14ac:dyDescent="0.25">
      <c r="A5598" s="119"/>
      <c r="B5598" s="138" t="str">
        <f t="shared" si="381"/>
        <v>Windrow</v>
      </c>
      <c r="C5598" s="138" t="str">
        <f t="shared" si="386"/>
        <v>Without Amendment</v>
      </c>
      <c r="D5598" s="138" t="str">
        <f t="shared" si="387"/>
        <v>Base_Low</v>
      </c>
      <c r="E5598" s="138" t="str">
        <f t="shared" si="388"/>
        <v>Low</v>
      </c>
      <c r="F5598" s="138" t="str">
        <f t="shared" si="382"/>
        <v>Upgraded</v>
      </c>
      <c r="G5598" s="153"/>
      <c r="H5598" s="210">
        <v>7.4000000000000003E-3</v>
      </c>
      <c r="I5598" s="160" t="s">
        <v>59</v>
      </c>
      <c r="J5598" s="160">
        <v>0.10638</v>
      </c>
      <c r="K5598" s="160" t="s">
        <v>15</v>
      </c>
      <c r="L5598" s="154" t="str">
        <f>IF(OpenLCAbasic!K5598="CTUh", "Fill in Manually",IF(OR(K5598="Unit", K5598=""), "", INDEX(LookUps!$E$5:$E$12, MATCH(OpenLCAbasic!K5598,LookUps!$D$5:$D$12,0))))</f>
        <v>Cumulative Energy Demand (CED) - MJ</v>
      </c>
      <c r="M5598" s="154" t="str">
        <f t="shared" si="385"/>
        <v>Low_Base_Low_Upgraded_Cumulative Energy Demand (CED) - MJ_Blend Tank; wastewater treatment unit; at updated plant - US_Without Amendment_Windrow</v>
      </c>
    </row>
    <row r="5599" spans="1:13" s="120" customFormat="1" x14ac:dyDescent="0.25">
      <c r="A5599" s="119"/>
      <c r="B5599" s="138" t="str">
        <f t="shared" si="381"/>
        <v>Windrow</v>
      </c>
      <c r="C5599" s="138" t="str">
        <f t="shared" si="386"/>
        <v>Without Amendment</v>
      </c>
      <c r="D5599" s="138" t="str">
        <f t="shared" si="387"/>
        <v>Base_Low</v>
      </c>
      <c r="E5599" s="138" t="str">
        <f t="shared" si="388"/>
        <v>Low</v>
      </c>
      <c r="F5599" s="138" t="str">
        <f t="shared" si="382"/>
        <v>Upgraded</v>
      </c>
      <c r="G5599" s="153"/>
      <c r="H5599" s="210">
        <v>3.5000000000000001E-3</v>
      </c>
      <c r="I5599" s="160" t="s">
        <v>168</v>
      </c>
      <c r="J5599" s="160">
        <v>5.0930000000000003E-2</v>
      </c>
      <c r="K5599" s="160" t="s">
        <v>15</v>
      </c>
      <c r="L5599" s="154" t="str">
        <f>IF(OpenLCAbasic!K5599="CTUh", "Fill in Manually",IF(OR(K5599="Unit", K5599=""), "", INDEX(LookUps!$E$5:$E$12, MATCH(OpenLCAbasic!K5599,LookUps!$D$5:$D$12,0))))</f>
        <v>Cumulative Energy Demand (CED) - MJ</v>
      </c>
      <c r="M5599" s="154" t="str">
        <f t="shared" si="385"/>
        <v>Low_Base_Low_Upgraded_Cumulative Energy Demand (CED) - MJ_ClearCove SCP; wastewater treatment unit; at updated plant - US_Without Amendment_Windrow</v>
      </c>
    </row>
    <row r="5600" spans="1:13" s="120" customFormat="1" x14ac:dyDescent="0.25">
      <c r="A5600" s="119"/>
      <c r="B5600" s="138" t="str">
        <f t="shared" si="381"/>
        <v>Windrow</v>
      </c>
      <c r="C5600" s="138" t="str">
        <f t="shared" si="386"/>
        <v>Without Amendment</v>
      </c>
      <c r="D5600" s="138" t="str">
        <f t="shared" si="387"/>
        <v>Base_Low</v>
      </c>
      <c r="E5600" s="138" t="str">
        <f t="shared" si="388"/>
        <v>Low</v>
      </c>
      <c r="F5600" s="138" t="str">
        <f t="shared" si="382"/>
        <v>Upgraded</v>
      </c>
      <c r="G5600" s="153"/>
      <c r="H5600" s="210">
        <v>1.5E-3</v>
      </c>
      <c r="I5600" s="160" t="s">
        <v>271</v>
      </c>
      <c r="J5600" s="160">
        <v>2.094E-2</v>
      </c>
      <c r="K5600" s="160" t="s">
        <v>15</v>
      </c>
      <c r="L5600" s="154" t="str">
        <f>IF(OpenLCAbasic!K5600="CTUh", "Fill in Manually",IF(OR(K5600="Unit", K5600=""), "", INDEX(LookUps!$E$5:$E$12, MATCH(OpenLCAbasic!K5600,LookUps!$D$5:$D$12,0))))</f>
        <v>Cumulative Energy Demand (CED) - MJ</v>
      </c>
      <c r="M5600" s="154" t="str">
        <f t="shared" si="385"/>
        <v>Low_Base_Low_Upgraded_Cumulative Energy Demand (CED) - MJ_Biosolids composting; windrow composting; wastewater treatment unit; at updated plant - US_Without Amendment_Windrow</v>
      </c>
    </row>
    <row r="5601" spans="1:13" s="120" customFormat="1" x14ac:dyDescent="0.25">
      <c r="A5601" s="119"/>
      <c r="B5601" s="138" t="str">
        <f t="shared" si="381"/>
        <v>Windrow</v>
      </c>
      <c r="C5601" s="138" t="str">
        <f t="shared" si="386"/>
        <v>Without Amendment</v>
      </c>
      <c r="D5601" s="138" t="str">
        <f t="shared" si="387"/>
        <v>Base_Low</v>
      </c>
      <c r="E5601" s="138" t="str">
        <f t="shared" si="388"/>
        <v>Low</v>
      </c>
      <c r="F5601" s="138" t="str">
        <f t="shared" si="382"/>
        <v>Upgraded</v>
      </c>
      <c r="G5601" s="153"/>
      <c r="H5601" s="210">
        <v>-2.3300000000000001E-2</v>
      </c>
      <c r="I5601" s="160" t="s">
        <v>62</v>
      </c>
      <c r="J5601" s="160">
        <v>-0.33546999999999999</v>
      </c>
      <c r="K5601" s="160" t="s">
        <v>15</v>
      </c>
      <c r="L5601" s="154" t="str">
        <f>IF(OpenLCAbasic!K5601="CTUh", "Fill in Manually",IF(OR(K5601="Unit", K5601=""), "", INDEX(LookUps!$E$5:$E$12, MATCH(OpenLCAbasic!K5601,LookUps!$D$5:$D$12,0))))</f>
        <v>Cumulative Energy Demand (CED) - MJ</v>
      </c>
      <c r="M5601" s="154" t="str">
        <f t="shared" si="385"/>
        <v>Low_Base_Low_Upgraded_Cumulative Energy Demand (CED) - MJ_Land application of compost; wastewater treatment unit; at updated plant - US_Without Amendment_Windrow</v>
      </c>
    </row>
    <row r="5602" spans="1:13" s="120" customFormat="1" x14ac:dyDescent="0.25">
      <c r="A5602" s="119"/>
      <c r="B5602" s="138" t="str">
        <f t="shared" si="381"/>
        <v/>
      </c>
      <c r="C5602" s="138" t="str">
        <f t="shared" si="386"/>
        <v/>
      </c>
      <c r="D5602" s="138" t="str">
        <f t="shared" si="387"/>
        <v/>
      </c>
      <c r="E5602" s="138" t="str">
        <f t="shared" si="388"/>
        <v/>
      </c>
      <c r="F5602" s="138" t="str">
        <f t="shared" si="382"/>
        <v/>
      </c>
      <c r="G5602" s="153" t="s">
        <v>51</v>
      </c>
      <c r="H5602" s="160"/>
      <c r="I5602" s="160" t="s">
        <v>47</v>
      </c>
      <c r="J5602" s="160" t="s">
        <v>52</v>
      </c>
      <c r="K5602" s="160" t="s">
        <v>27</v>
      </c>
      <c r="L5602" s="154" t="str">
        <f>IF(OpenLCAbasic!K5602="CTUh", "Fill in Manually",IF(OR(K5602="Unit", K5602=""), "", INDEX(LookUps!$E$5:$E$12, MATCH(OpenLCAbasic!K5602,LookUps!$D$5:$D$12,0))))</f>
        <v/>
      </c>
      <c r="M5602" s="154" t="str">
        <f t="shared" si="385"/>
        <v>____Process__</v>
      </c>
    </row>
    <row r="5603" spans="1:13" s="120" customFormat="1" x14ac:dyDescent="0.25">
      <c r="A5603" s="119"/>
      <c r="B5603" s="138" t="str">
        <f t="shared" si="381"/>
        <v>Windrow</v>
      </c>
      <c r="C5603" s="138" t="str">
        <f t="shared" si="386"/>
        <v>Without Amendment</v>
      </c>
      <c r="D5603" s="138" t="str">
        <f t="shared" si="387"/>
        <v>Base_Low</v>
      </c>
      <c r="E5603" s="138" t="str">
        <f t="shared" si="388"/>
        <v>Low</v>
      </c>
      <c r="F5603" s="138" t="str">
        <f t="shared" si="382"/>
        <v>Upgraded</v>
      </c>
      <c r="G5603" s="153"/>
      <c r="H5603" s="210">
        <v>0.78180000000000005</v>
      </c>
      <c r="I5603" s="160" t="s">
        <v>48</v>
      </c>
      <c r="J5603" s="160">
        <v>1.1610000000000001E-2</v>
      </c>
      <c r="K5603" s="160" t="s">
        <v>13</v>
      </c>
      <c r="L5603" s="154" t="str">
        <f>IF(OpenLCAbasic!K5603="CTUh", "Fill in Manually",IF(OR(K5603="Unit", K5603=""), "", INDEX(LookUps!$E$5:$E$12, MATCH(OpenLCAbasic!K5603,LookUps!$D$5:$D$12,0))))</f>
        <v>Eutrophication Potential (EP) - kg N eq</v>
      </c>
      <c r="M5603" s="154" t="str">
        <f t="shared" si="385"/>
        <v>Low_Base_Low_Upgraded_Eutrophication Potential (EP) - kg N eq_Effluent release; wastewater treatment unit; at surface water; m3 wastewater - US_Without Amendment_Windrow</v>
      </c>
    </row>
    <row r="5604" spans="1:13" s="120" customFormat="1" x14ac:dyDescent="0.25">
      <c r="A5604" s="119"/>
      <c r="B5604" s="138" t="str">
        <f t="shared" si="381"/>
        <v>Windrow</v>
      </c>
      <c r="C5604" s="138" t="str">
        <f t="shared" si="386"/>
        <v>Without Amendment</v>
      </c>
      <c r="D5604" s="138" t="str">
        <f t="shared" si="387"/>
        <v>Base_Low</v>
      </c>
      <c r="E5604" s="138" t="str">
        <f t="shared" si="388"/>
        <v>Low</v>
      </c>
      <c r="F5604" s="138" t="str">
        <f t="shared" si="382"/>
        <v>Upgraded</v>
      </c>
      <c r="G5604" s="153"/>
      <c r="H5604" s="210">
        <v>0.1002</v>
      </c>
      <c r="I5604" s="160" t="s">
        <v>62</v>
      </c>
      <c r="J5604" s="160">
        <v>1.49E-3</v>
      </c>
      <c r="K5604" s="160" t="s">
        <v>13</v>
      </c>
      <c r="L5604" s="154" t="str">
        <f>IF(OpenLCAbasic!K5604="CTUh", "Fill in Manually",IF(OR(K5604="Unit", K5604=""), "", INDEX(LookUps!$E$5:$E$12, MATCH(OpenLCAbasic!K5604,LookUps!$D$5:$D$12,0))))</f>
        <v>Eutrophication Potential (EP) - kg N eq</v>
      </c>
      <c r="M5604" s="154" t="str">
        <f t="shared" si="385"/>
        <v>Low_Base_Low_Upgraded_Eutrophication Potential (EP) - kg N eq_Land application of compost; wastewater treatment unit; at updated plant - US_Without Amendment_Windrow</v>
      </c>
    </row>
    <row r="5605" spans="1:13" s="120" customFormat="1" x14ac:dyDescent="0.25">
      <c r="A5605" s="119"/>
      <c r="B5605" s="138" t="str">
        <f t="shared" si="381"/>
        <v>Windrow</v>
      </c>
      <c r="C5605" s="138" t="str">
        <f t="shared" si="386"/>
        <v>Without Amendment</v>
      </c>
      <c r="D5605" s="138" t="str">
        <f t="shared" si="387"/>
        <v>Base_Low</v>
      </c>
      <c r="E5605" s="138" t="str">
        <f t="shared" si="388"/>
        <v>Low</v>
      </c>
      <c r="F5605" s="138" t="str">
        <f t="shared" si="382"/>
        <v>Upgraded</v>
      </c>
      <c r="G5605" s="153"/>
      <c r="H5605" s="210">
        <v>3.6799999999999999E-2</v>
      </c>
      <c r="I5605" s="160" t="s">
        <v>55</v>
      </c>
      <c r="J5605" s="160">
        <v>5.5000000000000003E-4</v>
      </c>
      <c r="K5605" s="160" t="s">
        <v>13</v>
      </c>
      <c r="L5605" s="154" t="str">
        <f>IF(OpenLCAbasic!K5605="CTUh", "Fill in Manually",IF(OR(K5605="Unit", K5605=""), "", INDEX(LookUps!$E$5:$E$12, MATCH(OpenLCAbasic!K5605,LookUps!$D$5:$D$12,0))))</f>
        <v>Eutrophication Potential (EP) - kg N eq</v>
      </c>
      <c r="M5605" s="154" t="str">
        <f t="shared" si="385"/>
        <v>Low_Base_Low_Upgraded_Eutrophication Potential (EP) - kg N eq_Aeration Tanks; wastewater treatment unit; at updated plant - US_Without Amendment_Windrow</v>
      </c>
    </row>
    <row r="5606" spans="1:13" s="120" customFormat="1" x14ac:dyDescent="0.25">
      <c r="A5606" s="119"/>
      <c r="B5606" s="138" t="str">
        <f t="shared" si="381"/>
        <v>Windrow</v>
      </c>
      <c r="C5606" s="138" t="str">
        <f t="shared" si="386"/>
        <v>Without Amendment</v>
      </c>
      <c r="D5606" s="138" t="str">
        <f t="shared" si="387"/>
        <v>Base_Low</v>
      </c>
      <c r="E5606" s="138" t="str">
        <f t="shared" si="388"/>
        <v>Low</v>
      </c>
      <c r="F5606" s="138" t="str">
        <f t="shared" si="382"/>
        <v>Upgraded</v>
      </c>
      <c r="G5606" s="153"/>
      <c r="H5606" s="210">
        <v>1.6799999999999999E-2</v>
      </c>
      <c r="I5606" s="160" t="s">
        <v>147</v>
      </c>
      <c r="J5606" s="160">
        <v>2.5000000000000001E-4</v>
      </c>
      <c r="K5606" s="160" t="s">
        <v>13</v>
      </c>
      <c r="L5606" s="154" t="str">
        <f>IF(OpenLCAbasic!K5606="CTUh", "Fill in Manually",IF(OR(K5606="Unit", K5606=""), "", INDEX(LookUps!$E$5:$E$12, MATCH(OpenLCAbasic!K5606,LookUps!$D$5:$D$12,0))))</f>
        <v>Eutrophication Potential (EP) - kg N eq</v>
      </c>
      <c r="M5606" s="154" t="str">
        <f t="shared" si="385"/>
        <v>Low_Base_Low_Upgraded_Eutrophication Potential (EP) - kg N eq_Influent Pump Station; wastewater treatment unit; at updated plant - US_Without Amendment_Windrow</v>
      </c>
    </row>
    <row r="5607" spans="1:13" s="120" customFormat="1" x14ac:dyDescent="0.25">
      <c r="A5607" s="119"/>
      <c r="B5607" s="138" t="str">
        <f t="shared" si="381"/>
        <v>Windrow</v>
      </c>
      <c r="C5607" s="138" t="str">
        <f t="shared" si="386"/>
        <v>Without Amendment</v>
      </c>
      <c r="D5607" s="138" t="str">
        <f t="shared" si="387"/>
        <v>Base_Low</v>
      </c>
      <c r="E5607" s="138" t="str">
        <f t="shared" si="388"/>
        <v>Low</v>
      </c>
      <c r="F5607" s="138" t="str">
        <f t="shared" si="382"/>
        <v>Upgraded</v>
      </c>
      <c r="G5607" s="153"/>
      <c r="H5607" s="210">
        <v>1.3299999999999999E-2</v>
      </c>
      <c r="I5607" s="160" t="s">
        <v>54</v>
      </c>
      <c r="J5607" s="160">
        <v>2.0000000000000001E-4</v>
      </c>
      <c r="K5607" s="160" t="s">
        <v>13</v>
      </c>
      <c r="L5607" s="154" t="str">
        <f>IF(OpenLCAbasic!K5607="CTUh", "Fill in Manually",IF(OR(K5607="Unit", K5607=""), "", INDEX(LookUps!$E$5:$E$12, MATCH(OpenLCAbasic!K5607,LookUps!$D$5:$D$12,0))))</f>
        <v>Eutrophication Potential (EP) - kg N eq</v>
      </c>
      <c r="M5607" s="154" t="str">
        <f t="shared" si="385"/>
        <v>Low_Base_Low_Upgraded_Eutrophication Potential (EP) - kg N eq_Clear Cove Primary Clarification; wastewater treatment unit; at updated plant - US_Without Amendment_Windrow</v>
      </c>
    </row>
    <row r="5608" spans="1:13" s="120" customFormat="1" x14ac:dyDescent="0.25">
      <c r="A5608" s="119"/>
      <c r="B5608" s="138" t="str">
        <f t="shared" ref="B5608:B5671" si="389">IF(F5608="Legacy","n.a.",IF(F5608="","","Windrow"))</f>
        <v>Windrow</v>
      </c>
      <c r="C5608" s="138" t="str">
        <f t="shared" si="386"/>
        <v>Without Amendment</v>
      </c>
      <c r="D5608" s="138" t="str">
        <f t="shared" si="387"/>
        <v>Base_Low</v>
      </c>
      <c r="E5608" s="138" t="str">
        <f t="shared" si="388"/>
        <v>Low</v>
      </c>
      <c r="F5608" s="138" t="str">
        <f t="shared" ref="F5608:F5671" si="390">IF(ISNUMBER(J5608),"Upgraded","")</f>
        <v>Upgraded</v>
      </c>
      <c r="G5608" s="153"/>
      <c r="H5608" s="210">
        <v>1.0999999999999999E-2</v>
      </c>
      <c r="I5608" s="160" t="s">
        <v>167</v>
      </c>
      <c r="J5608" s="160">
        <v>1.6000000000000001E-4</v>
      </c>
      <c r="K5608" s="160" t="s">
        <v>13</v>
      </c>
      <c r="L5608" s="154" t="str">
        <f>IF(OpenLCAbasic!K5608="CTUh", "Fill in Manually",IF(OR(K5608="Unit", K5608=""), "", INDEX(LookUps!$E$5:$E$12, MATCH(OpenLCAbasic!K5608,LookUps!$D$5:$D$12,0))))</f>
        <v>Eutrophication Potential (EP) - kg N eq</v>
      </c>
      <c r="M5608" s="154" t="str">
        <f t="shared" si="385"/>
        <v>Low_Base_Low_Upgraded_Eutrophication Potential (EP) - kg N eq_Waste Receiving and Holding; wastewater treatment unit; at updated plant - US_Without Amendment_Windrow</v>
      </c>
    </row>
    <row r="5609" spans="1:13" s="120" customFormat="1" x14ac:dyDescent="0.25">
      <c r="A5609" s="119"/>
      <c r="B5609" s="138" t="str">
        <f t="shared" si="389"/>
        <v>Windrow</v>
      </c>
      <c r="C5609" s="138" t="str">
        <f t="shared" si="386"/>
        <v>Without Amendment</v>
      </c>
      <c r="D5609" s="138" t="str">
        <f t="shared" si="387"/>
        <v>Base_Low</v>
      </c>
      <c r="E5609" s="138" t="str">
        <f t="shared" si="388"/>
        <v>Low</v>
      </c>
      <c r="F5609" s="138" t="str">
        <f t="shared" si="390"/>
        <v>Upgraded</v>
      </c>
      <c r="G5609" s="153"/>
      <c r="H5609" s="210">
        <v>9.1000000000000004E-3</v>
      </c>
      <c r="I5609" s="160" t="s">
        <v>58</v>
      </c>
      <c r="J5609" s="160">
        <v>1.3999999999999999E-4</v>
      </c>
      <c r="K5609" s="160" t="s">
        <v>13</v>
      </c>
      <c r="L5609" s="154" t="str">
        <f>IF(OpenLCAbasic!K5609="CTUh", "Fill in Manually",IF(OR(K5609="Unit", K5609=""), "", INDEX(LookUps!$E$5:$E$12, MATCH(OpenLCAbasic!K5609,LookUps!$D$5:$D$12,0))))</f>
        <v>Eutrophication Potential (EP) - kg N eq</v>
      </c>
      <c r="M5609" s="154" t="str">
        <f t="shared" si="385"/>
        <v>Low_Base_Low_Upgraded_Eutrophication Potential (EP) - kg N eq_Pre-Anoxic &amp; Swing tank; wastewater treatment unit; at updated plant - US_Without Amendment_Windrow</v>
      </c>
    </row>
    <row r="5610" spans="1:13" s="120" customFormat="1" x14ac:dyDescent="0.25">
      <c r="A5610" s="119"/>
      <c r="B5610" s="138" t="str">
        <f t="shared" si="389"/>
        <v>Windrow</v>
      </c>
      <c r="C5610" s="138" t="str">
        <f t="shared" si="386"/>
        <v>Without Amendment</v>
      </c>
      <c r="D5610" s="138" t="str">
        <f t="shared" si="387"/>
        <v>Base_Low</v>
      </c>
      <c r="E5610" s="138" t="str">
        <f t="shared" si="388"/>
        <v>Low</v>
      </c>
      <c r="F5610" s="138" t="str">
        <f t="shared" si="390"/>
        <v>Upgraded</v>
      </c>
      <c r="G5610" s="153"/>
      <c r="H5610" s="210">
        <v>7.1999999999999998E-3</v>
      </c>
      <c r="I5610" s="160" t="s">
        <v>53</v>
      </c>
      <c r="J5610" s="160">
        <v>1.1E-4</v>
      </c>
      <c r="K5610" s="160" t="s">
        <v>13</v>
      </c>
      <c r="L5610" s="154" t="str">
        <f>IF(OpenLCAbasic!K5610="CTUh", "Fill in Manually",IF(OR(K5610="Unit", K5610=""), "", INDEX(LookUps!$E$5:$E$12, MATCH(OpenLCAbasic!K5610,LookUps!$D$5:$D$12,0))))</f>
        <v>Eutrophication Potential (EP) - kg N eq</v>
      </c>
      <c r="M5610" s="154" t="str">
        <f t="shared" si="385"/>
        <v>Low_Base_Low_Upgraded_Eutrophication Potential (EP) - kg N eq_Wet Well and Sump Station; wastewater treatment unit; at updated plant - US_Without Amendment_Windrow</v>
      </c>
    </row>
    <row r="5611" spans="1:13" s="120" customFormat="1" x14ac:dyDescent="0.25">
      <c r="A5611" s="119"/>
      <c r="B5611" s="138" t="str">
        <f t="shared" si="389"/>
        <v>Windrow</v>
      </c>
      <c r="C5611" s="138" t="str">
        <f t="shared" si="386"/>
        <v>Without Amendment</v>
      </c>
      <c r="D5611" s="138" t="str">
        <f t="shared" si="387"/>
        <v>Base_Low</v>
      </c>
      <c r="E5611" s="138" t="str">
        <f t="shared" si="388"/>
        <v>Low</v>
      </c>
      <c r="F5611" s="138" t="str">
        <f t="shared" si="390"/>
        <v>Upgraded</v>
      </c>
      <c r="G5611" s="153"/>
      <c r="H5611" s="210">
        <v>6.1999999999999998E-3</v>
      </c>
      <c r="I5611" s="160" t="s">
        <v>149</v>
      </c>
      <c r="J5611" s="211">
        <v>9.1798299999999998E-5</v>
      </c>
      <c r="K5611" s="160" t="s">
        <v>13</v>
      </c>
      <c r="L5611" s="154" t="str">
        <f>IF(OpenLCAbasic!K5611="CTUh", "Fill in Manually",IF(OR(K5611="Unit", K5611=""), "", INDEX(LookUps!$E$5:$E$12, MATCH(OpenLCAbasic!K5611,LookUps!$D$5:$D$12,0))))</f>
        <v>Eutrophication Potential (EP) - kg N eq</v>
      </c>
      <c r="M5611" s="154" t="str">
        <f t="shared" si="385"/>
        <v>Low_Base_Low_Upgraded_Eutrophication Potential (EP) - kg N eq_Anaerobic Digestion; wastewater treatment unit; at updated plant - US_Without Amendment_Windrow</v>
      </c>
    </row>
    <row r="5612" spans="1:13" s="120" customFormat="1" x14ac:dyDescent="0.25">
      <c r="A5612" s="119"/>
      <c r="B5612" s="138" t="str">
        <f t="shared" si="389"/>
        <v>Windrow</v>
      </c>
      <c r="C5612" s="138" t="str">
        <f t="shared" si="386"/>
        <v>Without Amendment</v>
      </c>
      <c r="D5612" s="138" t="str">
        <f t="shared" si="387"/>
        <v>Base_Low</v>
      </c>
      <c r="E5612" s="138" t="str">
        <f t="shared" si="388"/>
        <v>Low</v>
      </c>
      <c r="F5612" s="138" t="str">
        <f t="shared" si="390"/>
        <v>Upgraded</v>
      </c>
      <c r="G5612" s="153"/>
      <c r="H5612" s="210">
        <v>4.1000000000000003E-3</v>
      </c>
      <c r="I5612" s="160" t="s">
        <v>57</v>
      </c>
      <c r="J5612" s="211">
        <v>6.0590300000000002E-5</v>
      </c>
      <c r="K5612" s="160" t="s">
        <v>13</v>
      </c>
      <c r="L5612" s="154" t="str">
        <f>IF(OpenLCAbasic!K5612="CTUh", "Fill in Manually",IF(OR(K5612="Unit", K5612=""), "", INDEX(LookUps!$E$5:$E$12, MATCH(OpenLCAbasic!K5612,LookUps!$D$5:$D$12,0))))</f>
        <v>Eutrophication Potential (EP) - kg N eq</v>
      </c>
      <c r="M5612" s="154" t="str">
        <f t="shared" si="385"/>
        <v>Low_Base_Low_Upgraded_Eutrophication Potential (EP) - kg N eq_Gravity Belt Thickener; wastewater treatment unit; at updated plant - US_Without Amendment_Windrow</v>
      </c>
    </row>
    <row r="5613" spans="1:13" s="120" customFormat="1" x14ac:dyDescent="0.25">
      <c r="A5613" s="119"/>
      <c r="B5613" s="138" t="str">
        <f t="shared" si="389"/>
        <v>Windrow</v>
      </c>
      <c r="C5613" s="138" t="str">
        <f t="shared" si="386"/>
        <v>Without Amendment</v>
      </c>
      <c r="D5613" s="138" t="str">
        <f t="shared" si="387"/>
        <v>Base_Low</v>
      </c>
      <c r="E5613" s="138" t="str">
        <f t="shared" si="388"/>
        <v>Low</v>
      </c>
      <c r="F5613" s="138" t="str">
        <f t="shared" si="390"/>
        <v>Upgraded</v>
      </c>
      <c r="G5613" s="153"/>
      <c r="H5613" s="210">
        <v>3.8E-3</v>
      </c>
      <c r="I5613" s="160" t="s">
        <v>60</v>
      </c>
      <c r="J5613" s="211">
        <v>5.62289E-5</v>
      </c>
      <c r="K5613" s="160" t="s">
        <v>13</v>
      </c>
      <c r="L5613" s="154" t="str">
        <f>IF(OpenLCAbasic!K5613="CTUh", "Fill in Manually",IF(OR(K5613="Unit", K5613=""), "", INDEX(LookUps!$E$5:$E$12, MATCH(OpenLCAbasic!K5613,LookUps!$D$5:$D$12,0))))</f>
        <v>Eutrophication Potential (EP) - kg N eq</v>
      </c>
      <c r="M5613" s="154" t="str">
        <f t="shared" si="385"/>
        <v>Low_Base_Low_Upgraded_Eutrophication Potential (EP) - kg N eq_Belt filter press; wastewater treatment unit; at updated plant - US_Without Amendment_Windrow</v>
      </c>
    </row>
    <row r="5614" spans="1:13" s="120" customFormat="1" x14ac:dyDescent="0.25">
      <c r="A5614" s="119"/>
      <c r="B5614" s="138" t="str">
        <f t="shared" si="389"/>
        <v>Windrow</v>
      </c>
      <c r="C5614" s="138" t="str">
        <f t="shared" si="386"/>
        <v>Without Amendment</v>
      </c>
      <c r="D5614" s="138" t="str">
        <f t="shared" si="387"/>
        <v>Base_Low</v>
      </c>
      <c r="E5614" s="138" t="str">
        <f t="shared" si="388"/>
        <v>Low</v>
      </c>
      <c r="F5614" s="138" t="str">
        <f t="shared" si="390"/>
        <v>Upgraded</v>
      </c>
      <c r="G5614" s="153"/>
      <c r="H5614" s="210">
        <v>3.0999999999999999E-3</v>
      </c>
      <c r="I5614" s="160" t="s">
        <v>271</v>
      </c>
      <c r="J5614" s="211">
        <v>4.5772400000000002E-5</v>
      </c>
      <c r="K5614" s="160" t="s">
        <v>13</v>
      </c>
      <c r="L5614" s="154" t="str">
        <f>IF(OpenLCAbasic!K5614="CTUh", "Fill in Manually",IF(OR(K5614="Unit", K5614=""), "", INDEX(LookUps!$E$5:$E$12, MATCH(OpenLCAbasic!K5614,LookUps!$D$5:$D$12,0))))</f>
        <v>Eutrophication Potential (EP) - kg N eq</v>
      </c>
      <c r="M5614" s="154" t="str">
        <f t="shared" si="385"/>
        <v>Low_Base_Low_Upgraded_Eutrophication Potential (EP) - kg N eq_Biosolids composting; windrow composting; wastewater treatment unit; at updated plant - US_Without Amendment_Windrow</v>
      </c>
    </row>
    <row r="5615" spans="1:13" s="120" customFormat="1" x14ac:dyDescent="0.25">
      <c r="A5615" s="119"/>
      <c r="B5615" s="138" t="str">
        <f t="shared" si="389"/>
        <v>Windrow</v>
      </c>
      <c r="C5615" s="138" t="str">
        <f t="shared" si="386"/>
        <v>Without Amendment</v>
      </c>
      <c r="D5615" s="138" t="str">
        <f t="shared" si="387"/>
        <v>Base_Low</v>
      </c>
      <c r="E5615" s="138" t="str">
        <f t="shared" si="388"/>
        <v>Low</v>
      </c>
      <c r="F5615" s="138" t="str">
        <f t="shared" si="390"/>
        <v>Upgraded</v>
      </c>
      <c r="G5615" s="153"/>
      <c r="H5615" s="210">
        <v>2.5000000000000001E-3</v>
      </c>
      <c r="I5615" s="160" t="s">
        <v>128</v>
      </c>
      <c r="J5615" s="211">
        <v>3.7559799999999999E-5</v>
      </c>
      <c r="K5615" s="160" t="s">
        <v>13</v>
      </c>
      <c r="L5615" s="154" t="str">
        <f>IF(OpenLCAbasic!K5615="CTUh", "Fill in Manually",IF(OR(K5615="Unit", K5615=""), "", INDEX(LookUps!$E$5:$E$12, MATCH(OpenLCAbasic!K5615,LookUps!$D$5:$D$12,0))))</f>
        <v>Eutrophication Potential (EP) - kg N eq</v>
      </c>
      <c r="M5615" s="154" t="str">
        <f t="shared" si="385"/>
        <v>Low_Base_Low_Upgraded_Eutrophication Potential (EP) - kg N eq_Wastewater collection; operation and infrastructure; m3 wastewater_Without Amendment_Windrow</v>
      </c>
    </row>
    <row r="5616" spans="1:13" s="120" customFormat="1" x14ac:dyDescent="0.25">
      <c r="A5616" s="119"/>
      <c r="B5616" s="138" t="str">
        <f t="shared" si="389"/>
        <v>Windrow</v>
      </c>
      <c r="C5616" s="138" t="str">
        <f t="shared" si="386"/>
        <v>Without Amendment</v>
      </c>
      <c r="D5616" s="138" t="str">
        <f t="shared" si="387"/>
        <v>Base_Low</v>
      </c>
      <c r="E5616" s="138" t="str">
        <f t="shared" si="388"/>
        <v>Low</v>
      </c>
      <c r="F5616" s="138" t="str">
        <f t="shared" si="390"/>
        <v>Upgraded</v>
      </c>
      <c r="G5616" s="153"/>
      <c r="H5616" s="210">
        <v>2.5000000000000001E-3</v>
      </c>
      <c r="I5616" s="160" t="s">
        <v>148</v>
      </c>
      <c r="J5616" s="211">
        <v>3.6874600000000001E-5</v>
      </c>
      <c r="K5616" s="160" t="s">
        <v>13</v>
      </c>
      <c r="L5616" s="154" t="str">
        <f>IF(OpenLCAbasic!K5616="CTUh", "Fill in Manually",IF(OR(K5616="Unit", K5616=""), "", INDEX(LookUps!$E$5:$E$12, MATCH(OpenLCAbasic!K5616,LookUps!$D$5:$D$12,0))))</f>
        <v>Eutrophication Potential (EP) - kg N eq</v>
      </c>
      <c r="M5616" s="154" t="str">
        <f t="shared" si="385"/>
        <v>Low_Base_Low_Upgraded_Eutrophication Potential (EP) - kg N eq_Control Building; at upgraded wastewater treatment plant - US_Without Amendment_Windrow</v>
      </c>
    </row>
    <row r="5617" spans="1:13" s="120" customFormat="1" x14ac:dyDescent="0.25">
      <c r="A5617" s="119"/>
      <c r="B5617" s="138" t="str">
        <f t="shared" si="389"/>
        <v>Windrow</v>
      </c>
      <c r="C5617" s="138" t="str">
        <f t="shared" si="386"/>
        <v>Without Amendment</v>
      </c>
      <c r="D5617" s="138" t="str">
        <f t="shared" si="387"/>
        <v>Base_Low</v>
      </c>
      <c r="E5617" s="138" t="str">
        <f t="shared" si="388"/>
        <v>Low</v>
      </c>
      <c r="F5617" s="138" t="str">
        <f t="shared" si="390"/>
        <v>Upgraded</v>
      </c>
      <c r="G5617" s="153"/>
      <c r="H5617" s="210">
        <v>1.1000000000000001E-3</v>
      </c>
      <c r="I5617" s="160" t="s">
        <v>59</v>
      </c>
      <c r="J5617" s="211">
        <v>1.6215700000000001E-5</v>
      </c>
      <c r="K5617" s="160" t="s">
        <v>13</v>
      </c>
      <c r="L5617" s="154" t="str">
        <f>IF(OpenLCAbasic!K5617="CTUh", "Fill in Manually",IF(OR(K5617="Unit", K5617=""), "", INDEX(LookUps!$E$5:$E$12, MATCH(OpenLCAbasic!K5617,LookUps!$D$5:$D$12,0))))</f>
        <v>Eutrophication Potential (EP) - kg N eq</v>
      </c>
      <c r="M5617" s="154" t="str">
        <f t="shared" si="385"/>
        <v>Low_Base_Low_Upgraded_Eutrophication Potential (EP) - kg N eq_Blend Tank; wastewater treatment unit; at updated plant - US_Without Amendment_Windrow</v>
      </c>
    </row>
    <row r="5618" spans="1:13" s="120" customFormat="1" x14ac:dyDescent="0.25">
      <c r="A5618" s="119"/>
      <c r="B5618" s="138" t="str">
        <f t="shared" si="389"/>
        <v>Windrow</v>
      </c>
      <c r="C5618" s="138" t="str">
        <f t="shared" si="386"/>
        <v>Without Amendment</v>
      </c>
      <c r="D5618" s="138" t="str">
        <f t="shared" si="387"/>
        <v>Base_Low</v>
      </c>
      <c r="E5618" s="138" t="str">
        <f t="shared" si="388"/>
        <v>Low</v>
      </c>
      <c r="F5618" s="138" t="str">
        <f t="shared" si="390"/>
        <v>Upgraded</v>
      </c>
      <c r="G5618" s="153"/>
      <c r="H5618" s="210">
        <v>5.0000000000000001E-4</v>
      </c>
      <c r="I5618" s="160" t="s">
        <v>168</v>
      </c>
      <c r="J5618" s="211">
        <v>7.7567199999999995E-6</v>
      </c>
      <c r="K5618" s="160" t="s">
        <v>13</v>
      </c>
      <c r="L5618" s="154" t="str">
        <f>IF(OpenLCAbasic!K5618="CTUh", "Fill in Manually",IF(OR(K5618="Unit", K5618=""), "", INDEX(LookUps!$E$5:$E$12, MATCH(OpenLCAbasic!K5618,LookUps!$D$5:$D$12,0))))</f>
        <v>Eutrophication Potential (EP) - kg N eq</v>
      </c>
      <c r="M5618" s="154" t="str">
        <f t="shared" si="385"/>
        <v>Low_Base_Low_Upgraded_Eutrophication Potential (EP) - kg N eq_ClearCove SCP; wastewater treatment unit; at updated plant - US_Without Amendment_Windrow</v>
      </c>
    </row>
    <row r="5619" spans="1:13" s="120" customFormat="1" x14ac:dyDescent="0.25">
      <c r="A5619" s="119"/>
      <c r="B5619" s="138" t="str">
        <f t="shared" si="389"/>
        <v/>
      </c>
      <c r="C5619" s="138" t="str">
        <f t="shared" si="386"/>
        <v/>
      </c>
      <c r="D5619" s="138" t="str">
        <f t="shared" si="387"/>
        <v/>
      </c>
      <c r="E5619" s="138" t="str">
        <f t="shared" si="388"/>
        <v/>
      </c>
      <c r="F5619" s="138" t="str">
        <f t="shared" si="390"/>
        <v/>
      </c>
      <c r="G5619" s="153" t="s">
        <v>51</v>
      </c>
      <c r="H5619" s="160"/>
      <c r="I5619" s="160" t="s">
        <v>47</v>
      </c>
      <c r="J5619" s="160" t="s">
        <v>52</v>
      </c>
      <c r="K5619" s="160" t="s">
        <v>27</v>
      </c>
      <c r="L5619" s="154" t="str">
        <f>IF(OpenLCAbasic!K5619="CTUh", "Fill in Manually",IF(OR(K5619="Unit", K5619=""), "", INDEX(LookUps!$E$5:$E$12, MATCH(OpenLCAbasic!K5619,LookUps!$D$5:$D$12,0))))</f>
        <v/>
      </c>
      <c r="M5619" s="154" t="str">
        <f t="shared" si="385"/>
        <v>____Process__</v>
      </c>
    </row>
    <row r="5620" spans="1:13" s="120" customFormat="1" x14ac:dyDescent="0.25">
      <c r="A5620" s="119"/>
      <c r="B5620" s="138" t="str">
        <f t="shared" si="389"/>
        <v>Windrow</v>
      </c>
      <c r="C5620" s="138" t="str">
        <f t="shared" si="386"/>
        <v>Without Amendment</v>
      </c>
      <c r="D5620" s="138" t="str">
        <f t="shared" si="387"/>
        <v>Base_Low</v>
      </c>
      <c r="E5620" s="138" t="str">
        <f t="shared" si="388"/>
        <v>Low</v>
      </c>
      <c r="F5620" s="138" t="str">
        <f t="shared" si="390"/>
        <v>Upgraded</v>
      </c>
      <c r="G5620" s="153"/>
      <c r="H5620" s="210">
        <v>0.27250000000000002</v>
      </c>
      <c r="I5620" s="160" t="s">
        <v>167</v>
      </c>
      <c r="J5620" s="160">
        <v>7.9170000000000004E-2</v>
      </c>
      <c r="K5620" s="160" t="s">
        <v>14</v>
      </c>
      <c r="L5620" s="154" t="str">
        <f>IF(OpenLCAbasic!K5620="CTUh", "Fill in Manually",IF(OR(K5620="Unit", K5620=""), "", INDEX(LookUps!$E$5:$E$12, MATCH(OpenLCAbasic!K5620,LookUps!$D$5:$D$12,0))))</f>
        <v>Fossil Depletion Potential (FDP) - kg oil eq</v>
      </c>
      <c r="M5620" s="154" t="str">
        <f t="shared" si="385"/>
        <v>Low_Base_Low_Upgraded_Fossil Depletion Potential (FDP) - kg oil eq_Waste Receiving and Holding; wastewater treatment unit; at updated plant - US_Without Amendment_Windrow</v>
      </c>
    </row>
    <row r="5621" spans="1:13" s="120" customFormat="1" x14ac:dyDescent="0.25">
      <c r="A5621" s="119"/>
      <c r="B5621" s="138" t="str">
        <f t="shared" si="389"/>
        <v>Windrow</v>
      </c>
      <c r="C5621" s="138" t="str">
        <f t="shared" si="386"/>
        <v>Without Amendment</v>
      </c>
      <c r="D5621" s="138" t="str">
        <f t="shared" si="387"/>
        <v>Base_Low</v>
      </c>
      <c r="E5621" s="138" t="str">
        <f t="shared" si="388"/>
        <v>Low</v>
      </c>
      <c r="F5621" s="138" t="str">
        <f t="shared" si="390"/>
        <v>Upgraded</v>
      </c>
      <c r="G5621" s="153"/>
      <c r="H5621" s="210">
        <v>0.21879999999999999</v>
      </c>
      <c r="I5621" s="160" t="s">
        <v>55</v>
      </c>
      <c r="J5621" s="160">
        <v>6.3589999999999994E-2</v>
      </c>
      <c r="K5621" s="160" t="s">
        <v>14</v>
      </c>
      <c r="L5621" s="154" t="str">
        <f>IF(OpenLCAbasic!K5621="CTUh", "Fill in Manually",IF(OR(K5621="Unit", K5621=""), "", INDEX(LookUps!$E$5:$E$12, MATCH(OpenLCAbasic!K5621,LookUps!$D$5:$D$12,0))))</f>
        <v>Fossil Depletion Potential (FDP) - kg oil eq</v>
      </c>
      <c r="M5621" s="154" t="str">
        <f t="shared" si="385"/>
        <v>Low_Base_Low_Upgraded_Fossil Depletion Potential (FDP) - kg oil eq_Aeration Tanks; wastewater treatment unit; at updated plant - US_Without Amendment_Windrow</v>
      </c>
    </row>
    <row r="5622" spans="1:13" s="120" customFormat="1" x14ac:dyDescent="0.25">
      <c r="A5622" s="119"/>
      <c r="B5622" s="138" t="str">
        <f t="shared" si="389"/>
        <v>Windrow</v>
      </c>
      <c r="C5622" s="138" t="str">
        <f t="shared" si="386"/>
        <v>Without Amendment</v>
      </c>
      <c r="D5622" s="138" t="str">
        <f t="shared" si="387"/>
        <v>Base_Low</v>
      </c>
      <c r="E5622" s="138" t="str">
        <f t="shared" si="388"/>
        <v>Low</v>
      </c>
      <c r="F5622" s="138" t="str">
        <f t="shared" si="390"/>
        <v>Upgraded</v>
      </c>
      <c r="G5622" s="153"/>
      <c r="H5622" s="210">
        <v>0.2127</v>
      </c>
      <c r="I5622" s="160" t="s">
        <v>149</v>
      </c>
      <c r="J5622" s="160">
        <v>6.1809999999999997E-2</v>
      </c>
      <c r="K5622" s="160" t="s">
        <v>14</v>
      </c>
      <c r="L5622" s="154" t="str">
        <f>IF(OpenLCAbasic!K5622="CTUh", "Fill in Manually",IF(OR(K5622="Unit", K5622=""), "", INDEX(LookUps!$E$5:$E$12, MATCH(OpenLCAbasic!K5622,LookUps!$D$5:$D$12,0))))</f>
        <v>Fossil Depletion Potential (FDP) - kg oil eq</v>
      </c>
      <c r="M5622" s="154" t="str">
        <f t="shared" si="385"/>
        <v>Low_Base_Low_Upgraded_Fossil Depletion Potential (FDP) - kg oil eq_Anaerobic Digestion; wastewater treatment unit; at updated plant - US_Without Amendment_Windrow</v>
      </c>
    </row>
    <row r="5623" spans="1:13" s="120" customFormat="1" x14ac:dyDescent="0.25">
      <c r="A5623" s="119"/>
      <c r="B5623" s="138" t="str">
        <f t="shared" si="389"/>
        <v>Windrow</v>
      </c>
      <c r="C5623" s="138" t="str">
        <f t="shared" si="386"/>
        <v>Without Amendment</v>
      </c>
      <c r="D5623" s="138" t="str">
        <f t="shared" si="387"/>
        <v>Base_Low</v>
      </c>
      <c r="E5623" s="138" t="str">
        <f t="shared" si="388"/>
        <v>Low</v>
      </c>
      <c r="F5623" s="138" t="str">
        <f t="shared" si="390"/>
        <v>Upgraded</v>
      </c>
      <c r="G5623" s="153"/>
      <c r="H5623" s="210">
        <v>7.2400000000000006E-2</v>
      </c>
      <c r="I5623" s="160" t="s">
        <v>54</v>
      </c>
      <c r="J5623" s="160">
        <v>2.1049999999999999E-2</v>
      </c>
      <c r="K5623" s="160" t="s">
        <v>14</v>
      </c>
      <c r="L5623" s="154" t="str">
        <f>IF(OpenLCAbasic!K5623="CTUh", "Fill in Manually",IF(OR(K5623="Unit", K5623=""), "", INDEX(LookUps!$E$5:$E$12, MATCH(OpenLCAbasic!K5623,LookUps!$D$5:$D$12,0))))</f>
        <v>Fossil Depletion Potential (FDP) - kg oil eq</v>
      </c>
      <c r="M5623" s="154" t="str">
        <f t="shared" si="385"/>
        <v>Low_Base_Low_Upgraded_Fossil Depletion Potential (FDP) - kg oil eq_Clear Cove Primary Clarification; wastewater treatment unit; at updated plant - US_Without Amendment_Windrow</v>
      </c>
    </row>
    <row r="5624" spans="1:13" s="120" customFormat="1" x14ac:dyDescent="0.25">
      <c r="A5624" s="119"/>
      <c r="B5624" s="138" t="str">
        <f t="shared" si="389"/>
        <v>Windrow</v>
      </c>
      <c r="C5624" s="138" t="str">
        <f t="shared" si="386"/>
        <v>Without Amendment</v>
      </c>
      <c r="D5624" s="138" t="str">
        <f t="shared" si="387"/>
        <v>Base_Low</v>
      </c>
      <c r="E5624" s="138" t="str">
        <f t="shared" si="388"/>
        <v>Low</v>
      </c>
      <c r="F5624" s="138" t="str">
        <f t="shared" si="390"/>
        <v>Upgraded</v>
      </c>
      <c r="G5624" s="153"/>
      <c r="H5624" s="210">
        <v>5.4800000000000001E-2</v>
      </c>
      <c r="I5624" s="160" t="s">
        <v>58</v>
      </c>
      <c r="J5624" s="160">
        <v>1.592E-2</v>
      </c>
      <c r="K5624" s="160" t="s">
        <v>14</v>
      </c>
      <c r="L5624" s="154" t="str">
        <f>IF(OpenLCAbasic!K5624="CTUh", "Fill in Manually",IF(OR(K5624="Unit", K5624=""), "", INDEX(LookUps!$E$5:$E$12, MATCH(OpenLCAbasic!K5624,LookUps!$D$5:$D$12,0))))</f>
        <v>Fossil Depletion Potential (FDP) - kg oil eq</v>
      </c>
      <c r="M5624" s="154" t="str">
        <f t="shared" si="385"/>
        <v>Low_Base_Low_Upgraded_Fossil Depletion Potential (FDP) - kg oil eq_Pre-Anoxic &amp; Swing tank; wastewater treatment unit; at updated plant - US_Without Amendment_Windrow</v>
      </c>
    </row>
    <row r="5625" spans="1:13" s="120" customFormat="1" x14ac:dyDescent="0.25">
      <c r="A5625" s="119"/>
      <c r="B5625" s="138" t="str">
        <f t="shared" si="389"/>
        <v>Windrow</v>
      </c>
      <c r="C5625" s="138" t="str">
        <f t="shared" si="386"/>
        <v>Without Amendment</v>
      </c>
      <c r="D5625" s="138" t="str">
        <f t="shared" si="387"/>
        <v>Base_Low</v>
      </c>
      <c r="E5625" s="138" t="str">
        <f t="shared" si="388"/>
        <v>Low</v>
      </c>
      <c r="F5625" s="138" t="str">
        <f t="shared" si="390"/>
        <v>Upgraded</v>
      </c>
      <c r="G5625" s="153"/>
      <c r="H5625" s="210">
        <v>5.1900000000000002E-2</v>
      </c>
      <c r="I5625" s="160" t="s">
        <v>147</v>
      </c>
      <c r="J5625" s="160">
        <v>1.5089999999999999E-2</v>
      </c>
      <c r="K5625" s="160" t="s">
        <v>14</v>
      </c>
      <c r="L5625" s="154" t="str">
        <f>IF(OpenLCAbasic!K5625="CTUh", "Fill in Manually",IF(OR(K5625="Unit", K5625=""), "", INDEX(LookUps!$E$5:$E$12, MATCH(OpenLCAbasic!K5625,LookUps!$D$5:$D$12,0))))</f>
        <v>Fossil Depletion Potential (FDP) - kg oil eq</v>
      </c>
      <c r="M5625" s="154" t="str">
        <f t="shared" si="385"/>
        <v>Low_Base_Low_Upgraded_Fossil Depletion Potential (FDP) - kg oil eq_Influent Pump Station; wastewater treatment unit; at updated plant - US_Without Amendment_Windrow</v>
      </c>
    </row>
    <row r="5626" spans="1:13" s="120" customFormat="1" x14ac:dyDescent="0.25">
      <c r="A5626" s="119"/>
      <c r="B5626" s="138" t="str">
        <f t="shared" si="389"/>
        <v>Windrow</v>
      </c>
      <c r="C5626" s="138" t="str">
        <f t="shared" si="386"/>
        <v>Without Amendment</v>
      </c>
      <c r="D5626" s="138" t="str">
        <f t="shared" si="387"/>
        <v>Base_Low</v>
      </c>
      <c r="E5626" s="138" t="str">
        <f t="shared" si="388"/>
        <v>Low</v>
      </c>
      <c r="F5626" s="138" t="str">
        <f t="shared" si="390"/>
        <v>Upgraded</v>
      </c>
      <c r="G5626" s="153"/>
      <c r="H5626" s="210">
        <v>4.2999999999999997E-2</v>
      </c>
      <c r="I5626" s="160" t="s">
        <v>53</v>
      </c>
      <c r="J5626" s="160">
        <v>1.2489999999999999E-2</v>
      </c>
      <c r="K5626" s="160" t="s">
        <v>14</v>
      </c>
      <c r="L5626" s="154" t="str">
        <f>IF(OpenLCAbasic!K5626="CTUh", "Fill in Manually",IF(OR(K5626="Unit", K5626=""), "", INDEX(LookUps!$E$5:$E$12, MATCH(OpenLCAbasic!K5626,LookUps!$D$5:$D$12,0))))</f>
        <v>Fossil Depletion Potential (FDP) - kg oil eq</v>
      </c>
      <c r="M5626" s="154" t="str">
        <f t="shared" si="385"/>
        <v>Low_Base_Low_Upgraded_Fossil Depletion Potential (FDP) - kg oil eq_Wet Well and Sump Station; wastewater treatment unit; at updated plant - US_Without Amendment_Windrow</v>
      </c>
    </row>
    <row r="5627" spans="1:13" s="120" customFormat="1" x14ac:dyDescent="0.25">
      <c r="A5627" s="119"/>
      <c r="B5627" s="138" t="str">
        <f t="shared" si="389"/>
        <v>Windrow</v>
      </c>
      <c r="C5627" s="138" t="str">
        <f t="shared" si="386"/>
        <v>Without Amendment</v>
      </c>
      <c r="D5627" s="138" t="str">
        <f t="shared" si="387"/>
        <v>Base_Low</v>
      </c>
      <c r="E5627" s="138" t="str">
        <f t="shared" si="388"/>
        <v>Low</v>
      </c>
      <c r="F5627" s="138" t="str">
        <f t="shared" si="390"/>
        <v>Upgraded</v>
      </c>
      <c r="G5627" s="153"/>
      <c r="H5627" s="210">
        <v>2.3800000000000002E-2</v>
      </c>
      <c r="I5627" s="160" t="s">
        <v>57</v>
      </c>
      <c r="J5627" s="160">
        <v>6.9199999999999999E-3</v>
      </c>
      <c r="K5627" s="160" t="s">
        <v>14</v>
      </c>
      <c r="L5627" s="154" t="str">
        <f>IF(OpenLCAbasic!K5627="CTUh", "Fill in Manually",IF(OR(K5627="Unit", K5627=""), "", INDEX(LookUps!$E$5:$E$12, MATCH(OpenLCAbasic!K5627,LookUps!$D$5:$D$12,0))))</f>
        <v>Fossil Depletion Potential (FDP) - kg oil eq</v>
      </c>
      <c r="M5627" s="154" t="str">
        <f t="shared" ref="M5627:M5690" si="391">CONCATENATE(E5627,"_",D5627,"_",F5627,"_",L5627, "_",I5627,"_", C5627,"_", B5627)</f>
        <v>Low_Base_Low_Upgraded_Fossil Depletion Potential (FDP) - kg oil eq_Gravity Belt Thickener; wastewater treatment unit; at updated plant - US_Without Amendment_Windrow</v>
      </c>
    </row>
    <row r="5628" spans="1:13" s="120" customFormat="1" x14ac:dyDescent="0.25">
      <c r="A5628" s="119"/>
      <c r="B5628" s="138" t="str">
        <f t="shared" si="389"/>
        <v>Windrow</v>
      </c>
      <c r="C5628" s="138" t="str">
        <f t="shared" si="386"/>
        <v>Without Amendment</v>
      </c>
      <c r="D5628" s="138" t="str">
        <f t="shared" si="387"/>
        <v>Base_Low</v>
      </c>
      <c r="E5628" s="138" t="str">
        <f t="shared" si="388"/>
        <v>Low</v>
      </c>
      <c r="F5628" s="138" t="str">
        <f t="shared" si="390"/>
        <v>Upgraded</v>
      </c>
      <c r="G5628" s="153"/>
      <c r="H5628" s="210">
        <v>2.2200000000000001E-2</v>
      </c>
      <c r="I5628" s="160" t="s">
        <v>60</v>
      </c>
      <c r="J5628" s="160">
        <v>6.45E-3</v>
      </c>
      <c r="K5628" s="160" t="s">
        <v>14</v>
      </c>
      <c r="L5628" s="154" t="str">
        <f>IF(OpenLCAbasic!K5628="CTUh", "Fill in Manually",IF(OR(K5628="Unit", K5628=""), "", INDEX(LookUps!$E$5:$E$12, MATCH(OpenLCAbasic!K5628,LookUps!$D$5:$D$12,0))))</f>
        <v>Fossil Depletion Potential (FDP) - kg oil eq</v>
      </c>
      <c r="M5628" s="154" t="str">
        <f t="shared" si="391"/>
        <v>Low_Base_Low_Upgraded_Fossil Depletion Potential (FDP) - kg oil eq_Belt filter press; wastewater treatment unit; at updated plant - US_Without Amendment_Windrow</v>
      </c>
    </row>
    <row r="5629" spans="1:13" s="120" customFormat="1" x14ac:dyDescent="0.25">
      <c r="A5629" s="119"/>
      <c r="B5629" s="138" t="str">
        <f t="shared" si="389"/>
        <v>Windrow</v>
      </c>
      <c r="C5629" s="138" t="str">
        <f t="shared" si="386"/>
        <v>Without Amendment</v>
      </c>
      <c r="D5629" s="138" t="str">
        <f t="shared" si="387"/>
        <v>Base_Low</v>
      </c>
      <c r="E5629" s="138" t="str">
        <f t="shared" si="388"/>
        <v>Low</v>
      </c>
      <c r="F5629" s="138" t="str">
        <f t="shared" si="390"/>
        <v>Upgraded</v>
      </c>
      <c r="G5629" s="153"/>
      <c r="H5629" s="210">
        <v>1.55E-2</v>
      </c>
      <c r="I5629" s="160" t="s">
        <v>128</v>
      </c>
      <c r="J5629" s="160">
        <v>4.4999999999999997E-3</v>
      </c>
      <c r="K5629" s="160" t="s">
        <v>14</v>
      </c>
      <c r="L5629" s="154" t="str">
        <f>IF(OpenLCAbasic!K5629="CTUh", "Fill in Manually",IF(OR(K5629="Unit", K5629=""), "", INDEX(LookUps!$E$5:$E$12, MATCH(OpenLCAbasic!K5629,LookUps!$D$5:$D$12,0))))</f>
        <v>Fossil Depletion Potential (FDP) - kg oil eq</v>
      </c>
      <c r="M5629" s="154" t="str">
        <f t="shared" si="391"/>
        <v>Low_Base_Low_Upgraded_Fossil Depletion Potential (FDP) - kg oil eq_Wastewater collection; operation and infrastructure; m3 wastewater_Without Amendment_Windrow</v>
      </c>
    </row>
    <row r="5630" spans="1:13" s="120" customFormat="1" x14ac:dyDescent="0.25">
      <c r="A5630" s="119"/>
      <c r="B5630" s="138" t="str">
        <f t="shared" si="389"/>
        <v>Windrow</v>
      </c>
      <c r="C5630" s="138" t="str">
        <f t="shared" si="386"/>
        <v>Without Amendment</v>
      </c>
      <c r="D5630" s="138" t="str">
        <f t="shared" si="387"/>
        <v>Base_Low</v>
      </c>
      <c r="E5630" s="138" t="str">
        <f t="shared" si="388"/>
        <v>Low</v>
      </c>
      <c r="F5630" s="138" t="str">
        <f t="shared" si="390"/>
        <v>Upgraded</v>
      </c>
      <c r="G5630" s="153"/>
      <c r="H5630" s="210">
        <v>9.5999999999999992E-3</v>
      </c>
      <c r="I5630" s="160" t="s">
        <v>148</v>
      </c>
      <c r="J5630" s="160">
        <v>2.8E-3</v>
      </c>
      <c r="K5630" s="160" t="s">
        <v>14</v>
      </c>
      <c r="L5630" s="154" t="str">
        <f>IF(OpenLCAbasic!K5630="CTUh", "Fill in Manually",IF(OR(K5630="Unit", K5630=""), "", INDEX(LookUps!$E$5:$E$12, MATCH(OpenLCAbasic!K5630,LookUps!$D$5:$D$12,0))))</f>
        <v>Fossil Depletion Potential (FDP) - kg oil eq</v>
      </c>
      <c r="M5630" s="154" t="str">
        <f t="shared" si="391"/>
        <v>Low_Base_Low_Upgraded_Fossil Depletion Potential (FDP) - kg oil eq_Control Building; at upgraded wastewater treatment plant - US_Without Amendment_Windrow</v>
      </c>
    </row>
    <row r="5631" spans="1:13" s="120" customFormat="1" x14ac:dyDescent="0.25">
      <c r="A5631" s="119"/>
      <c r="B5631" s="138" t="str">
        <f t="shared" si="389"/>
        <v>Windrow</v>
      </c>
      <c r="C5631" s="138" t="str">
        <f t="shared" si="386"/>
        <v>Without Amendment</v>
      </c>
      <c r="D5631" s="138" t="str">
        <f t="shared" si="387"/>
        <v>Base_Low</v>
      </c>
      <c r="E5631" s="138" t="str">
        <f t="shared" si="388"/>
        <v>Low</v>
      </c>
      <c r="F5631" s="138" t="str">
        <f t="shared" si="390"/>
        <v>Upgraded</v>
      </c>
      <c r="G5631" s="153"/>
      <c r="H5631" s="210">
        <v>8.0999999999999996E-3</v>
      </c>
      <c r="I5631" s="160" t="s">
        <v>48</v>
      </c>
      <c r="J5631" s="160">
        <v>2.3600000000000001E-3</v>
      </c>
      <c r="K5631" s="160" t="s">
        <v>14</v>
      </c>
      <c r="L5631" s="154" t="str">
        <f>IF(OpenLCAbasic!K5631="CTUh", "Fill in Manually",IF(OR(K5631="Unit", K5631=""), "", INDEX(LookUps!$E$5:$E$12, MATCH(OpenLCAbasic!K5631,LookUps!$D$5:$D$12,0))))</f>
        <v>Fossil Depletion Potential (FDP) - kg oil eq</v>
      </c>
      <c r="M5631" s="154" t="str">
        <f t="shared" si="391"/>
        <v>Low_Base_Low_Upgraded_Fossil Depletion Potential (FDP) - kg oil eq_Effluent release; wastewater treatment unit; at surface water; m3 wastewater - US_Without Amendment_Windrow</v>
      </c>
    </row>
    <row r="5632" spans="1:13" s="120" customFormat="1" x14ac:dyDescent="0.25">
      <c r="A5632" s="119"/>
      <c r="B5632" s="138" t="str">
        <f t="shared" si="389"/>
        <v>Windrow</v>
      </c>
      <c r="C5632" s="138" t="str">
        <f t="shared" si="386"/>
        <v>Without Amendment</v>
      </c>
      <c r="D5632" s="138" t="str">
        <f t="shared" si="387"/>
        <v>Base_Low</v>
      </c>
      <c r="E5632" s="138" t="str">
        <f t="shared" si="388"/>
        <v>Low</v>
      </c>
      <c r="F5632" s="138" t="str">
        <f t="shared" si="390"/>
        <v>Upgraded</v>
      </c>
      <c r="G5632" s="153"/>
      <c r="H5632" s="210">
        <v>6.6E-3</v>
      </c>
      <c r="I5632" s="160" t="s">
        <v>59</v>
      </c>
      <c r="J5632" s="160">
        <v>1.92E-3</v>
      </c>
      <c r="K5632" s="160" t="s">
        <v>14</v>
      </c>
      <c r="L5632" s="154" t="str">
        <f>IF(OpenLCAbasic!K5632="CTUh", "Fill in Manually",IF(OR(K5632="Unit", K5632=""), "", INDEX(LookUps!$E$5:$E$12, MATCH(OpenLCAbasic!K5632,LookUps!$D$5:$D$12,0))))</f>
        <v>Fossil Depletion Potential (FDP) - kg oil eq</v>
      </c>
      <c r="M5632" s="154" t="str">
        <f t="shared" si="391"/>
        <v>Low_Base_Low_Upgraded_Fossil Depletion Potential (FDP) - kg oil eq_Blend Tank; wastewater treatment unit; at updated plant - US_Without Amendment_Windrow</v>
      </c>
    </row>
    <row r="5633" spans="1:13" s="120" customFormat="1" x14ac:dyDescent="0.25">
      <c r="A5633" s="119"/>
      <c r="B5633" s="138" t="str">
        <f t="shared" si="389"/>
        <v>Windrow</v>
      </c>
      <c r="C5633" s="138" t="str">
        <f t="shared" ref="C5633:C5696" si="392">IF(ISNUMBER($J5633),"Without Amendment","")</f>
        <v>Without Amendment</v>
      </c>
      <c r="D5633" s="138" t="str">
        <f t="shared" ref="D5633:D5696" si="393">IF(ISNUMBER($J5633),"Base_Low","")</f>
        <v>Base_Low</v>
      </c>
      <c r="E5633" s="138" t="str">
        <f t="shared" ref="E5633:E5696" si="394">IF(ISNUMBER($J5633),"Low","")</f>
        <v>Low</v>
      </c>
      <c r="F5633" s="138" t="str">
        <f t="shared" si="390"/>
        <v>Upgraded</v>
      </c>
      <c r="G5633" s="153"/>
      <c r="H5633" s="210">
        <v>3.0999999999999999E-3</v>
      </c>
      <c r="I5633" s="160" t="s">
        <v>168</v>
      </c>
      <c r="J5633" s="160">
        <v>9.1E-4</v>
      </c>
      <c r="K5633" s="160" t="s">
        <v>14</v>
      </c>
      <c r="L5633" s="154" t="str">
        <f>IF(OpenLCAbasic!K5633="CTUh", "Fill in Manually",IF(OR(K5633="Unit", K5633=""), "", INDEX(LookUps!$E$5:$E$12, MATCH(OpenLCAbasic!K5633,LookUps!$D$5:$D$12,0))))</f>
        <v>Fossil Depletion Potential (FDP) - kg oil eq</v>
      </c>
      <c r="M5633" s="154" t="str">
        <f t="shared" si="391"/>
        <v>Low_Base_Low_Upgraded_Fossil Depletion Potential (FDP) - kg oil eq_ClearCove SCP; wastewater treatment unit; at updated plant - US_Without Amendment_Windrow</v>
      </c>
    </row>
    <row r="5634" spans="1:13" s="120" customFormat="1" x14ac:dyDescent="0.25">
      <c r="A5634" s="119"/>
      <c r="B5634" s="138" t="str">
        <f t="shared" si="389"/>
        <v>Windrow</v>
      </c>
      <c r="C5634" s="138" t="str">
        <f t="shared" si="392"/>
        <v>Without Amendment</v>
      </c>
      <c r="D5634" s="138" t="str">
        <f t="shared" si="393"/>
        <v>Base_Low</v>
      </c>
      <c r="E5634" s="138" t="str">
        <f t="shared" si="394"/>
        <v>Low</v>
      </c>
      <c r="F5634" s="138" t="str">
        <f t="shared" si="390"/>
        <v>Upgraded</v>
      </c>
      <c r="G5634" s="153"/>
      <c r="H5634" s="210">
        <v>1.6000000000000001E-3</v>
      </c>
      <c r="I5634" s="160" t="s">
        <v>271</v>
      </c>
      <c r="J5634" s="160">
        <v>4.6000000000000001E-4</v>
      </c>
      <c r="K5634" s="160" t="s">
        <v>14</v>
      </c>
      <c r="L5634" s="154" t="str">
        <f>IF(OpenLCAbasic!K5634="CTUh", "Fill in Manually",IF(OR(K5634="Unit", K5634=""), "", INDEX(LookUps!$E$5:$E$12, MATCH(OpenLCAbasic!K5634,LookUps!$D$5:$D$12,0))))</f>
        <v>Fossil Depletion Potential (FDP) - kg oil eq</v>
      </c>
      <c r="M5634" s="154" t="str">
        <f t="shared" si="391"/>
        <v>Low_Base_Low_Upgraded_Fossil Depletion Potential (FDP) - kg oil eq_Biosolids composting; windrow composting; wastewater treatment unit; at updated plant - US_Without Amendment_Windrow</v>
      </c>
    </row>
    <row r="5635" spans="1:13" s="120" customFormat="1" x14ac:dyDescent="0.25">
      <c r="A5635" s="119"/>
      <c r="B5635" s="138" t="str">
        <f t="shared" si="389"/>
        <v>Windrow</v>
      </c>
      <c r="C5635" s="138" t="str">
        <f t="shared" si="392"/>
        <v>Without Amendment</v>
      </c>
      <c r="D5635" s="138" t="str">
        <f t="shared" si="393"/>
        <v>Base_Low</v>
      </c>
      <c r="E5635" s="138" t="str">
        <f t="shared" si="394"/>
        <v>Low</v>
      </c>
      <c r="F5635" s="138" t="str">
        <f t="shared" si="390"/>
        <v>Upgraded</v>
      </c>
      <c r="G5635" s="153"/>
      <c r="H5635" s="210">
        <v>-1.6799999999999999E-2</v>
      </c>
      <c r="I5635" s="160" t="s">
        <v>62</v>
      </c>
      <c r="J5635" s="160">
        <v>-4.8799999999999998E-3</v>
      </c>
      <c r="K5635" s="160" t="s">
        <v>14</v>
      </c>
      <c r="L5635" s="154" t="str">
        <f>IF(OpenLCAbasic!K5635="CTUh", "Fill in Manually",IF(OR(K5635="Unit", K5635=""), "", INDEX(LookUps!$E$5:$E$12, MATCH(OpenLCAbasic!K5635,LookUps!$D$5:$D$12,0))))</f>
        <v>Fossil Depletion Potential (FDP) - kg oil eq</v>
      </c>
      <c r="M5635" s="154" t="str">
        <f t="shared" si="391"/>
        <v>Low_Base_Low_Upgraded_Fossil Depletion Potential (FDP) - kg oil eq_Land application of compost; wastewater treatment unit; at updated plant - US_Without Amendment_Windrow</v>
      </c>
    </row>
    <row r="5636" spans="1:13" s="120" customFormat="1" x14ac:dyDescent="0.25">
      <c r="A5636" s="119"/>
      <c r="B5636" s="138" t="str">
        <f t="shared" si="389"/>
        <v/>
      </c>
      <c r="C5636" s="138" t="str">
        <f t="shared" si="392"/>
        <v/>
      </c>
      <c r="D5636" s="138" t="str">
        <f t="shared" si="393"/>
        <v/>
      </c>
      <c r="E5636" s="138" t="str">
        <f t="shared" si="394"/>
        <v/>
      </c>
      <c r="F5636" s="138" t="str">
        <f t="shared" si="390"/>
        <v/>
      </c>
      <c r="G5636" s="153" t="s">
        <v>51</v>
      </c>
      <c r="H5636" s="160"/>
      <c r="I5636" s="160" t="s">
        <v>47</v>
      </c>
      <c r="J5636" s="160" t="s">
        <v>52</v>
      </c>
      <c r="K5636" s="160" t="s">
        <v>27</v>
      </c>
      <c r="L5636" s="154" t="str">
        <f>IF(OpenLCAbasic!K5636="CTUh", "Fill in Manually",IF(OR(K5636="Unit", K5636=""), "", INDEX(LookUps!$E$5:$E$12, MATCH(OpenLCAbasic!K5636,LookUps!$D$5:$D$12,0))))</f>
        <v/>
      </c>
      <c r="M5636" s="154" t="str">
        <f t="shared" si="391"/>
        <v>____Process__</v>
      </c>
    </row>
    <row r="5637" spans="1:13" s="120" customFormat="1" x14ac:dyDescent="0.25">
      <c r="A5637" s="119"/>
      <c r="B5637" s="138" t="str">
        <f t="shared" si="389"/>
        <v>Windrow</v>
      </c>
      <c r="C5637" s="138" t="str">
        <f t="shared" si="392"/>
        <v>Without Amendment</v>
      </c>
      <c r="D5637" s="138" t="str">
        <f t="shared" si="393"/>
        <v>Base_Low</v>
      </c>
      <c r="E5637" s="138" t="str">
        <f t="shared" si="394"/>
        <v>Low</v>
      </c>
      <c r="F5637" s="138" t="str">
        <f t="shared" si="390"/>
        <v>Upgraded</v>
      </c>
      <c r="G5637" s="153"/>
      <c r="H5637" s="210">
        <v>0.2878</v>
      </c>
      <c r="I5637" s="160" t="s">
        <v>58</v>
      </c>
      <c r="J5637" s="160">
        <v>0.24279999999999999</v>
      </c>
      <c r="K5637" s="160" t="s">
        <v>23</v>
      </c>
      <c r="L5637" s="154" t="str">
        <f>IF(OpenLCAbasic!K5637="CTUh", "Fill in Manually",IF(OR(K5637="Unit", K5637=""), "", INDEX(LookUps!$E$5:$E$12, MATCH(OpenLCAbasic!K5637,LookUps!$D$5:$D$12,0))))</f>
        <v>Global Warming Potential (GWP) - kg CO2 eq</v>
      </c>
      <c r="M5637" s="154" t="str">
        <f t="shared" si="391"/>
        <v>Low_Base_Low_Upgraded_Global Warming Potential (GWP) - kg CO2 eq_Pre-Anoxic &amp; Swing tank; wastewater treatment unit; at updated plant - US_Without Amendment_Windrow</v>
      </c>
    </row>
    <row r="5638" spans="1:13" s="120" customFormat="1" x14ac:dyDescent="0.25">
      <c r="A5638" s="119"/>
      <c r="B5638" s="138" t="str">
        <f t="shared" si="389"/>
        <v>Windrow</v>
      </c>
      <c r="C5638" s="138" t="str">
        <f t="shared" si="392"/>
        <v>Without Amendment</v>
      </c>
      <c r="D5638" s="138" t="str">
        <f t="shared" si="393"/>
        <v>Base_Low</v>
      </c>
      <c r="E5638" s="138" t="str">
        <f t="shared" si="394"/>
        <v>Low</v>
      </c>
      <c r="F5638" s="138" t="str">
        <f t="shared" si="390"/>
        <v>Upgraded</v>
      </c>
      <c r="G5638" s="153"/>
      <c r="H5638" s="210">
        <v>0.20799999999999999</v>
      </c>
      <c r="I5638" s="160" t="s">
        <v>149</v>
      </c>
      <c r="J5638" s="160">
        <v>0.17544999999999999</v>
      </c>
      <c r="K5638" s="160" t="s">
        <v>23</v>
      </c>
      <c r="L5638" s="154" t="str">
        <f>IF(OpenLCAbasic!K5638="CTUh", "Fill in Manually",IF(OR(K5638="Unit", K5638=""), "", INDEX(LookUps!$E$5:$E$12, MATCH(OpenLCAbasic!K5638,LookUps!$D$5:$D$12,0))))</f>
        <v>Global Warming Potential (GWP) - kg CO2 eq</v>
      </c>
      <c r="M5638" s="154" t="str">
        <f t="shared" si="391"/>
        <v>Low_Base_Low_Upgraded_Global Warming Potential (GWP) - kg CO2 eq_Anaerobic Digestion; wastewater treatment unit; at updated plant - US_Without Amendment_Windrow</v>
      </c>
    </row>
    <row r="5639" spans="1:13" s="120" customFormat="1" x14ac:dyDescent="0.25">
      <c r="A5639" s="119"/>
      <c r="B5639" s="138" t="str">
        <f t="shared" si="389"/>
        <v>Windrow</v>
      </c>
      <c r="C5639" s="138" t="str">
        <f t="shared" si="392"/>
        <v>Without Amendment</v>
      </c>
      <c r="D5639" s="138" t="str">
        <f t="shared" si="393"/>
        <v>Base_Low</v>
      </c>
      <c r="E5639" s="138" t="str">
        <f t="shared" si="394"/>
        <v>Low</v>
      </c>
      <c r="F5639" s="138" t="str">
        <f t="shared" si="390"/>
        <v>Upgraded</v>
      </c>
      <c r="G5639" s="153"/>
      <c r="H5639" s="210">
        <v>0.19939999999999999</v>
      </c>
      <c r="I5639" s="160" t="s">
        <v>55</v>
      </c>
      <c r="J5639" s="160">
        <v>0.16822000000000001</v>
      </c>
      <c r="K5639" s="160" t="s">
        <v>23</v>
      </c>
      <c r="L5639" s="154" t="str">
        <f>IF(OpenLCAbasic!K5639="CTUh", "Fill in Manually",IF(OR(K5639="Unit", K5639=""), "", INDEX(LookUps!$E$5:$E$12, MATCH(OpenLCAbasic!K5639,LookUps!$D$5:$D$12,0))))</f>
        <v>Global Warming Potential (GWP) - kg CO2 eq</v>
      </c>
      <c r="M5639" s="154" t="str">
        <f t="shared" si="391"/>
        <v>Low_Base_Low_Upgraded_Global Warming Potential (GWP) - kg CO2 eq_Aeration Tanks; wastewater treatment unit; at updated plant - US_Without Amendment_Windrow</v>
      </c>
    </row>
    <row r="5640" spans="1:13" s="120" customFormat="1" x14ac:dyDescent="0.25">
      <c r="A5640" s="119"/>
      <c r="B5640" s="138" t="str">
        <f t="shared" si="389"/>
        <v>Windrow</v>
      </c>
      <c r="C5640" s="138" t="str">
        <f t="shared" si="392"/>
        <v>Without Amendment</v>
      </c>
      <c r="D5640" s="138" t="str">
        <f t="shared" si="393"/>
        <v>Base_Low</v>
      </c>
      <c r="E5640" s="138" t="str">
        <f t="shared" si="394"/>
        <v>Low</v>
      </c>
      <c r="F5640" s="138" t="str">
        <f t="shared" si="390"/>
        <v>Upgraded</v>
      </c>
      <c r="G5640" s="153"/>
      <c r="H5640" s="210">
        <v>0.12139999999999999</v>
      </c>
      <c r="I5640" s="160" t="s">
        <v>167</v>
      </c>
      <c r="J5640" s="160">
        <v>0.10241</v>
      </c>
      <c r="K5640" s="160" t="s">
        <v>23</v>
      </c>
      <c r="L5640" s="154" t="str">
        <f>IF(OpenLCAbasic!K5640="CTUh", "Fill in Manually",IF(OR(K5640="Unit", K5640=""), "", INDEX(LookUps!$E$5:$E$12, MATCH(OpenLCAbasic!K5640,LookUps!$D$5:$D$12,0))))</f>
        <v>Global Warming Potential (GWP) - kg CO2 eq</v>
      </c>
      <c r="M5640" s="154" t="str">
        <f t="shared" si="391"/>
        <v>Low_Base_Low_Upgraded_Global Warming Potential (GWP) - kg CO2 eq_Waste Receiving and Holding; wastewater treatment unit; at updated plant - US_Without Amendment_Windrow</v>
      </c>
    </row>
    <row r="5641" spans="1:13" s="120" customFormat="1" x14ac:dyDescent="0.25">
      <c r="A5641" s="119"/>
      <c r="B5641" s="138" t="str">
        <f t="shared" si="389"/>
        <v>Windrow</v>
      </c>
      <c r="C5641" s="138" t="str">
        <f t="shared" si="392"/>
        <v>Without Amendment</v>
      </c>
      <c r="D5641" s="138" t="str">
        <f t="shared" si="393"/>
        <v>Base_Low</v>
      </c>
      <c r="E5641" s="138" t="str">
        <f t="shared" si="394"/>
        <v>Low</v>
      </c>
      <c r="F5641" s="138" t="str">
        <f t="shared" si="390"/>
        <v>Upgraded</v>
      </c>
      <c r="G5641" s="153"/>
      <c r="H5641" s="210">
        <v>6.7699999999999996E-2</v>
      </c>
      <c r="I5641" s="160" t="s">
        <v>54</v>
      </c>
      <c r="J5641" s="160">
        <v>5.7079999999999999E-2</v>
      </c>
      <c r="K5641" s="160" t="s">
        <v>23</v>
      </c>
      <c r="L5641" s="154" t="str">
        <f>IF(OpenLCAbasic!K5641="CTUh", "Fill in Manually",IF(OR(K5641="Unit", K5641=""), "", INDEX(LookUps!$E$5:$E$12, MATCH(OpenLCAbasic!K5641,LookUps!$D$5:$D$12,0))))</f>
        <v>Global Warming Potential (GWP) - kg CO2 eq</v>
      </c>
      <c r="M5641" s="154" t="str">
        <f t="shared" si="391"/>
        <v>Low_Base_Low_Upgraded_Global Warming Potential (GWP) - kg CO2 eq_Clear Cove Primary Clarification; wastewater treatment unit; at updated plant - US_Without Amendment_Windrow</v>
      </c>
    </row>
    <row r="5642" spans="1:13" s="120" customFormat="1" x14ac:dyDescent="0.25">
      <c r="A5642" s="119"/>
      <c r="B5642" s="138" t="str">
        <f t="shared" si="389"/>
        <v>Windrow</v>
      </c>
      <c r="C5642" s="138" t="str">
        <f t="shared" si="392"/>
        <v>Without Amendment</v>
      </c>
      <c r="D5642" s="138" t="str">
        <f t="shared" si="393"/>
        <v>Base_Low</v>
      </c>
      <c r="E5642" s="138" t="str">
        <f t="shared" si="394"/>
        <v>Low</v>
      </c>
      <c r="F5642" s="138" t="str">
        <f t="shared" si="390"/>
        <v>Upgraded</v>
      </c>
      <c r="G5642" s="153"/>
      <c r="H5642" s="210">
        <v>6.4399999999999999E-2</v>
      </c>
      <c r="I5642" s="160" t="s">
        <v>271</v>
      </c>
      <c r="J5642" s="160">
        <v>5.4330000000000003E-2</v>
      </c>
      <c r="K5642" s="160" t="s">
        <v>23</v>
      </c>
      <c r="L5642" s="154" t="str">
        <f>IF(OpenLCAbasic!K5642="CTUh", "Fill in Manually",IF(OR(K5642="Unit", K5642=""), "", INDEX(LookUps!$E$5:$E$12, MATCH(OpenLCAbasic!K5642,LookUps!$D$5:$D$12,0))))</f>
        <v>Global Warming Potential (GWP) - kg CO2 eq</v>
      </c>
      <c r="M5642" s="154" t="str">
        <f t="shared" si="391"/>
        <v>Low_Base_Low_Upgraded_Global Warming Potential (GWP) - kg CO2 eq_Biosolids composting; windrow composting; wastewater treatment unit; at updated plant - US_Without Amendment_Windrow</v>
      </c>
    </row>
    <row r="5643" spans="1:13" s="120" customFormat="1" x14ac:dyDescent="0.25">
      <c r="A5643" s="119"/>
      <c r="B5643" s="138" t="str">
        <f t="shared" si="389"/>
        <v>Windrow</v>
      </c>
      <c r="C5643" s="138" t="str">
        <f t="shared" si="392"/>
        <v>Without Amendment</v>
      </c>
      <c r="D5643" s="138" t="str">
        <f t="shared" si="393"/>
        <v>Base_Low</v>
      </c>
      <c r="E5643" s="138" t="str">
        <f t="shared" si="394"/>
        <v>Low</v>
      </c>
      <c r="F5643" s="138" t="str">
        <f t="shared" si="390"/>
        <v>Upgraded</v>
      </c>
      <c r="G5643" s="153"/>
      <c r="H5643" s="210">
        <v>6.2399999999999997E-2</v>
      </c>
      <c r="I5643" s="160" t="s">
        <v>48</v>
      </c>
      <c r="J5643" s="160">
        <v>5.2639999999999999E-2</v>
      </c>
      <c r="K5643" s="160" t="s">
        <v>23</v>
      </c>
      <c r="L5643" s="154" t="str">
        <f>IF(OpenLCAbasic!K5643="CTUh", "Fill in Manually",IF(OR(K5643="Unit", K5643=""), "", INDEX(LookUps!$E$5:$E$12, MATCH(OpenLCAbasic!K5643,LookUps!$D$5:$D$12,0))))</f>
        <v>Global Warming Potential (GWP) - kg CO2 eq</v>
      </c>
      <c r="M5643" s="154" t="str">
        <f t="shared" si="391"/>
        <v>Low_Base_Low_Upgraded_Global Warming Potential (GWP) - kg CO2 eq_Effluent release; wastewater treatment unit; at surface water; m3 wastewater - US_Without Amendment_Windrow</v>
      </c>
    </row>
    <row r="5644" spans="1:13" s="120" customFormat="1" x14ac:dyDescent="0.25">
      <c r="A5644" s="119"/>
      <c r="B5644" s="138" t="str">
        <f t="shared" si="389"/>
        <v>Windrow</v>
      </c>
      <c r="C5644" s="138" t="str">
        <f t="shared" si="392"/>
        <v>Without Amendment</v>
      </c>
      <c r="D5644" s="138" t="str">
        <f t="shared" si="393"/>
        <v>Base_Low</v>
      </c>
      <c r="E5644" s="138" t="str">
        <f t="shared" si="394"/>
        <v>Low</v>
      </c>
      <c r="F5644" s="138" t="str">
        <f t="shared" si="390"/>
        <v>Upgraded</v>
      </c>
      <c r="G5644" s="153"/>
      <c r="H5644" s="210">
        <v>5.9900000000000002E-2</v>
      </c>
      <c r="I5644" s="160" t="s">
        <v>147</v>
      </c>
      <c r="J5644" s="160">
        <v>5.0500000000000003E-2</v>
      </c>
      <c r="K5644" s="160" t="s">
        <v>23</v>
      </c>
      <c r="L5644" s="154" t="str">
        <f>IF(OpenLCAbasic!K5644="CTUh", "Fill in Manually",IF(OR(K5644="Unit", K5644=""), "", INDEX(LookUps!$E$5:$E$12, MATCH(OpenLCAbasic!K5644,LookUps!$D$5:$D$12,0))))</f>
        <v>Global Warming Potential (GWP) - kg CO2 eq</v>
      </c>
      <c r="M5644" s="154" t="str">
        <f t="shared" si="391"/>
        <v>Low_Base_Low_Upgraded_Global Warming Potential (GWP) - kg CO2 eq_Influent Pump Station; wastewater treatment unit; at updated plant - US_Without Amendment_Windrow</v>
      </c>
    </row>
    <row r="5645" spans="1:13" s="120" customFormat="1" x14ac:dyDescent="0.25">
      <c r="A5645" s="119"/>
      <c r="B5645" s="138" t="str">
        <f t="shared" si="389"/>
        <v>Windrow</v>
      </c>
      <c r="C5645" s="138" t="str">
        <f t="shared" si="392"/>
        <v>Without Amendment</v>
      </c>
      <c r="D5645" s="138" t="str">
        <f t="shared" si="393"/>
        <v>Base_Low</v>
      </c>
      <c r="E5645" s="138" t="str">
        <f t="shared" si="394"/>
        <v>Low</v>
      </c>
      <c r="F5645" s="138" t="str">
        <f t="shared" si="390"/>
        <v>Upgraded</v>
      </c>
      <c r="G5645" s="153"/>
      <c r="H5645" s="210">
        <v>3.9399999999999998E-2</v>
      </c>
      <c r="I5645" s="160" t="s">
        <v>53</v>
      </c>
      <c r="J5645" s="160">
        <v>3.3259999999999998E-2</v>
      </c>
      <c r="K5645" s="160" t="s">
        <v>23</v>
      </c>
      <c r="L5645" s="154" t="str">
        <f>IF(OpenLCAbasic!K5645="CTUh", "Fill in Manually",IF(OR(K5645="Unit", K5645=""), "", INDEX(LookUps!$E$5:$E$12, MATCH(OpenLCAbasic!K5645,LookUps!$D$5:$D$12,0))))</f>
        <v>Global Warming Potential (GWP) - kg CO2 eq</v>
      </c>
      <c r="M5645" s="154" t="str">
        <f t="shared" si="391"/>
        <v>Low_Base_Low_Upgraded_Global Warming Potential (GWP) - kg CO2 eq_Wet Well and Sump Station; wastewater treatment unit; at updated plant - US_Without Amendment_Windrow</v>
      </c>
    </row>
    <row r="5646" spans="1:13" s="120" customFormat="1" x14ac:dyDescent="0.25">
      <c r="A5646" s="119"/>
      <c r="B5646" s="138" t="str">
        <f t="shared" si="389"/>
        <v>Windrow</v>
      </c>
      <c r="C5646" s="138" t="str">
        <f t="shared" si="392"/>
        <v>Without Amendment</v>
      </c>
      <c r="D5646" s="138" t="str">
        <f t="shared" si="393"/>
        <v>Base_Low</v>
      </c>
      <c r="E5646" s="138" t="str">
        <f t="shared" si="394"/>
        <v>Low</v>
      </c>
      <c r="F5646" s="138" t="str">
        <f t="shared" si="390"/>
        <v>Upgraded</v>
      </c>
      <c r="G5646" s="153"/>
      <c r="H5646" s="210">
        <v>1.72E-2</v>
      </c>
      <c r="I5646" s="160" t="s">
        <v>57</v>
      </c>
      <c r="J5646" s="160">
        <v>1.455E-2</v>
      </c>
      <c r="K5646" s="160" t="s">
        <v>23</v>
      </c>
      <c r="L5646" s="154" t="str">
        <f>IF(OpenLCAbasic!K5646="CTUh", "Fill in Manually",IF(OR(K5646="Unit", K5646=""), "", INDEX(LookUps!$E$5:$E$12, MATCH(OpenLCAbasic!K5646,LookUps!$D$5:$D$12,0))))</f>
        <v>Global Warming Potential (GWP) - kg CO2 eq</v>
      </c>
      <c r="M5646" s="154" t="str">
        <f t="shared" si="391"/>
        <v>Low_Base_Low_Upgraded_Global Warming Potential (GWP) - kg CO2 eq_Gravity Belt Thickener; wastewater treatment unit; at updated plant - US_Without Amendment_Windrow</v>
      </c>
    </row>
    <row r="5647" spans="1:13" s="120" customFormat="1" x14ac:dyDescent="0.25">
      <c r="A5647" s="119"/>
      <c r="B5647" s="138" t="str">
        <f t="shared" si="389"/>
        <v>Windrow</v>
      </c>
      <c r="C5647" s="138" t="str">
        <f t="shared" si="392"/>
        <v>Without Amendment</v>
      </c>
      <c r="D5647" s="138" t="str">
        <f t="shared" si="393"/>
        <v>Base_Low</v>
      </c>
      <c r="E5647" s="138" t="str">
        <f t="shared" si="394"/>
        <v>Low</v>
      </c>
      <c r="F5647" s="138" t="str">
        <f t="shared" si="390"/>
        <v>Upgraded</v>
      </c>
      <c r="G5647" s="153"/>
      <c r="H5647" s="210">
        <v>1.6799999999999999E-2</v>
      </c>
      <c r="I5647" s="160" t="s">
        <v>60</v>
      </c>
      <c r="J5647" s="160">
        <v>1.418E-2</v>
      </c>
      <c r="K5647" s="160" t="s">
        <v>23</v>
      </c>
      <c r="L5647" s="154" t="str">
        <f>IF(OpenLCAbasic!K5647="CTUh", "Fill in Manually",IF(OR(K5647="Unit", K5647=""), "", INDEX(LookUps!$E$5:$E$12, MATCH(OpenLCAbasic!K5647,LookUps!$D$5:$D$12,0))))</f>
        <v>Global Warming Potential (GWP) - kg CO2 eq</v>
      </c>
      <c r="M5647" s="154" t="str">
        <f t="shared" si="391"/>
        <v>Low_Base_Low_Upgraded_Global Warming Potential (GWP) - kg CO2 eq_Belt filter press; wastewater treatment unit; at updated plant - US_Without Amendment_Windrow</v>
      </c>
    </row>
    <row r="5648" spans="1:13" s="120" customFormat="1" x14ac:dyDescent="0.25">
      <c r="A5648" s="119"/>
      <c r="B5648" s="138" t="str">
        <f t="shared" si="389"/>
        <v>Windrow</v>
      </c>
      <c r="C5648" s="138" t="str">
        <f t="shared" si="392"/>
        <v>Without Amendment</v>
      </c>
      <c r="D5648" s="138" t="str">
        <f t="shared" si="393"/>
        <v>Base_Low</v>
      </c>
      <c r="E5648" s="138" t="str">
        <f t="shared" si="394"/>
        <v>Low</v>
      </c>
      <c r="F5648" s="138" t="str">
        <f t="shared" si="390"/>
        <v>Upgraded</v>
      </c>
      <c r="G5648" s="153"/>
      <c r="H5648" s="210">
        <v>1.6E-2</v>
      </c>
      <c r="I5648" s="160" t="s">
        <v>128</v>
      </c>
      <c r="J5648" s="160">
        <v>1.3509999999999999E-2</v>
      </c>
      <c r="K5648" s="160" t="s">
        <v>23</v>
      </c>
      <c r="L5648" s="154" t="str">
        <f>IF(OpenLCAbasic!K5648="CTUh", "Fill in Manually",IF(OR(K5648="Unit", K5648=""), "", INDEX(LookUps!$E$5:$E$12, MATCH(OpenLCAbasic!K5648,LookUps!$D$5:$D$12,0))))</f>
        <v>Global Warming Potential (GWP) - kg CO2 eq</v>
      </c>
      <c r="M5648" s="154" t="str">
        <f t="shared" si="391"/>
        <v>Low_Base_Low_Upgraded_Global Warming Potential (GWP) - kg CO2 eq_Wastewater collection; operation and infrastructure; m3 wastewater_Without Amendment_Windrow</v>
      </c>
    </row>
    <row r="5649" spans="1:13" s="120" customFormat="1" x14ac:dyDescent="0.25">
      <c r="A5649" s="119"/>
      <c r="B5649" s="138" t="str">
        <f t="shared" si="389"/>
        <v>Windrow</v>
      </c>
      <c r="C5649" s="138" t="str">
        <f t="shared" si="392"/>
        <v>Without Amendment</v>
      </c>
      <c r="D5649" s="138" t="str">
        <f t="shared" si="393"/>
        <v>Base_Low</v>
      </c>
      <c r="E5649" s="138" t="str">
        <f t="shared" si="394"/>
        <v>Low</v>
      </c>
      <c r="F5649" s="138" t="str">
        <f t="shared" si="390"/>
        <v>Upgraded</v>
      </c>
      <c r="G5649" s="153"/>
      <c r="H5649" s="210">
        <v>9.7999999999999997E-3</v>
      </c>
      <c r="I5649" s="160" t="s">
        <v>148</v>
      </c>
      <c r="J5649" s="160">
        <v>8.3000000000000001E-3</v>
      </c>
      <c r="K5649" s="160" t="s">
        <v>23</v>
      </c>
      <c r="L5649" s="154" t="str">
        <f>IF(OpenLCAbasic!K5649="CTUh", "Fill in Manually",IF(OR(K5649="Unit", K5649=""), "", INDEX(LookUps!$E$5:$E$12, MATCH(OpenLCAbasic!K5649,LookUps!$D$5:$D$12,0))))</f>
        <v>Global Warming Potential (GWP) - kg CO2 eq</v>
      </c>
      <c r="M5649" s="154" t="str">
        <f t="shared" si="391"/>
        <v>Low_Base_Low_Upgraded_Global Warming Potential (GWP) - kg CO2 eq_Control Building; at upgraded wastewater treatment plant - US_Without Amendment_Windrow</v>
      </c>
    </row>
    <row r="5650" spans="1:13" s="120" customFormat="1" x14ac:dyDescent="0.25">
      <c r="A5650" s="119"/>
      <c r="B5650" s="138" t="str">
        <f t="shared" si="389"/>
        <v>Windrow</v>
      </c>
      <c r="C5650" s="138" t="str">
        <f t="shared" si="392"/>
        <v>Without Amendment</v>
      </c>
      <c r="D5650" s="138" t="str">
        <f t="shared" si="393"/>
        <v>Base_Low</v>
      </c>
      <c r="E5650" s="138" t="str">
        <f t="shared" si="394"/>
        <v>Low</v>
      </c>
      <c r="F5650" s="138" t="str">
        <f t="shared" si="390"/>
        <v>Upgraded</v>
      </c>
      <c r="G5650" s="153"/>
      <c r="H5650" s="210">
        <v>6.0000000000000001E-3</v>
      </c>
      <c r="I5650" s="160" t="s">
        <v>59</v>
      </c>
      <c r="J5650" s="160">
        <v>5.0400000000000002E-3</v>
      </c>
      <c r="K5650" s="160" t="s">
        <v>23</v>
      </c>
      <c r="L5650" s="154" t="str">
        <f>IF(OpenLCAbasic!K5650="CTUh", "Fill in Manually",IF(OR(K5650="Unit", K5650=""), "", INDEX(LookUps!$E$5:$E$12, MATCH(OpenLCAbasic!K5650,LookUps!$D$5:$D$12,0))))</f>
        <v>Global Warming Potential (GWP) - kg CO2 eq</v>
      </c>
      <c r="M5650" s="154" t="str">
        <f t="shared" si="391"/>
        <v>Low_Base_Low_Upgraded_Global Warming Potential (GWP) - kg CO2 eq_Blend Tank; wastewater treatment unit; at updated plant - US_Without Amendment_Windrow</v>
      </c>
    </row>
    <row r="5651" spans="1:13" s="120" customFormat="1" x14ac:dyDescent="0.25">
      <c r="A5651" s="119"/>
      <c r="B5651" s="138" t="str">
        <f t="shared" si="389"/>
        <v>Windrow</v>
      </c>
      <c r="C5651" s="138" t="str">
        <f t="shared" si="392"/>
        <v>Without Amendment</v>
      </c>
      <c r="D5651" s="138" t="str">
        <f t="shared" si="393"/>
        <v>Base_Low</v>
      </c>
      <c r="E5651" s="138" t="str">
        <f t="shared" si="394"/>
        <v>Low</v>
      </c>
      <c r="F5651" s="138" t="str">
        <f t="shared" si="390"/>
        <v>Upgraded</v>
      </c>
      <c r="G5651" s="153"/>
      <c r="H5651" s="210">
        <v>2.8999999999999998E-3</v>
      </c>
      <c r="I5651" s="160" t="s">
        <v>168</v>
      </c>
      <c r="J5651" s="160">
        <v>2.4099999999999998E-3</v>
      </c>
      <c r="K5651" s="160" t="s">
        <v>23</v>
      </c>
      <c r="L5651" s="154" t="str">
        <f>IF(OpenLCAbasic!K5651="CTUh", "Fill in Manually",IF(OR(K5651="Unit", K5651=""), "", INDEX(LookUps!$E$5:$E$12, MATCH(OpenLCAbasic!K5651,LookUps!$D$5:$D$12,0))))</f>
        <v>Global Warming Potential (GWP) - kg CO2 eq</v>
      </c>
      <c r="M5651" s="154" t="str">
        <f t="shared" si="391"/>
        <v>Low_Base_Low_Upgraded_Global Warming Potential (GWP) - kg CO2 eq_ClearCove SCP; wastewater treatment unit; at updated plant - US_Without Amendment_Windrow</v>
      </c>
    </row>
    <row r="5652" spans="1:13" s="120" customFormat="1" x14ac:dyDescent="0.25">
      <c r="A5652" s="119"/>
      <c r="B5652" s="138" t="str">
        <f t="shared" si="389"/>
        <v>Windrow</v>
      </c>
      <c r="C5652" s="138" t="str">
        <f t="shared" si="392"/>
        <v>Without Amendment</v>
      </c>
      <c r="D5652" s="138" t="str">
        <f t="shared" si="393"/>
        <v>Base_Low</v>
      </c>
      <c r="E5652" s="138" t="str">
        <f t="shared" si="394"/>
        <v>Low</v>
      </c>
      <c r="F5652" s="138" t="str">
        <f t="shared" si="390"/>
        <v>Upgraded</v>
      </c>
      <c r="G5652" s="153"/>
      <c r="H5652" s="210">
        <v>-0.17899999999999999</v>
      </c>
      <c r="I5652" s="160" t="s">
        <v>62</v>
      </c>
      <c r="J5652" s="160">
        <v>-0.151</v>
      </c>
      <c r="K5652" s="160" t="s">
        <v>23</v>
      </c>
      <c r="L5652" s="154" t="str">
        <f>IF(OpenLCAbasic!K5652="CTUh", "Fill in Manually",IF(OR(K5652="Unit", K5652=""), "", INDEX(LookUps!$E$5:$E$12, MATCH(OpenLCAbasic!K5652,LookUps!$D$5:$D$12,0))))</f>
        <v>Global Warming Potential (GWP) - kg CO2 eq</v>
      </c>
      <c r="M5652" s="154" t="str">
        <f t="shared" si="391"/>
        <v>Low_Base_Low_Upgraded_Global Warming Potential (GWP) - kg CO2 eq_Land application of compost; wastewater treatment unit; at updated plant - US_Without Amendment_Windrow</v>
      </c>
    </row>
    <row r="5653" spans="1:13" s="120" customFormat="1" x14ac:dyDescent="0.25">
      <c r="A5653" s="119"/>
      <c r="B5653" s="138" t="str">
        <f t="shared" si="389"/>
        <v/>
      </c>
      <c r="C5653" s="138" t="str">
        <f t="shared" si="392"/>
        <v/>
      </c>
      <c r="D5653" s="138" t="str">
        <f t="shared" si="393"/>
        <v/>
      </c>
      <c r="E5653" s="138" t="str">
        <f t="shared" si="394"/>
        <v/>
      </c>
      <c r="F5653" s="138" t="str">
        <f t="shared" si="390"/>
        <v/>
      </c>
      <c r="G5653" s="153" t="s">
        <v>51</v>
      </c>
      <c r="H5653" s="160"/>
      <c r="I5653" s="160" t="s">
        <v>47</v>
      </c>
      <c r="J5653" s="160" t="s">
        <v>52</v>
      </c>
      <c r="K5653" s="160" t="s">
        <v>27</v>
      </c>
      <c r="L5653" s="154" t="str">
        <f>IF(OpenLCAbasic!K5653="CTUh", "Fill in Manually",IF(OR(K5653="Unit", K5653=""), "", INDEX(LookUps!$E$5:$E$12, MATCH(OpenLCAbasic!K5653,LookUps!$D$5:$D$12,0))))</f>
        <v/>
      </c>
      <c r="M5653" s="154" t="str">
        <f t="shared" si="391"/>
        <v>____Process__</v>
      </c>
    </row>
    <row r="5654" spans="1:13" s="120" customFormat="1" x14ac:dyDescent="0.25">
      <c r="A5654" s="119"/>
      <c r="B5654" s="138" t="str">
        <f t="shared" si="389"/>
        <v>Windrow</v>
      </c>
      <c r="C5654" s="138" t="str">
        <f t="shared" si="392"/>
        <v>Without Amendment</v>
      </c>
      <c r="D5654" s="138" t="str">
        <f t="shared" si="393"/>
        <v>Base_Low</v>
      </c>
      <c r="E5654" s="138" t="str">
        <f t="shared" si="394"/>
        <v>Low</v>
      </c>
      <c r="F5654" s="138" t="str">
        <f t="shared" si="390"/>
        <v>Upgraded</v>
      </c>
      <c r="G5654" s="153"/>
      <c r="H5654" s="210">
        <v>0.41849999999999998</v>
      </c>
      <c r="I5654" s="160" t="s">
        <v>55</v>
      </c>
      <c r="J5654" s="160">
        <v>2.33E-3</v>
      </c>
      <c r="K5654" s="160" t="s">
        <v>145</v>
      </c>
      <c r="L5654" s="154" t="str">
        <f>IF(OpenLCAbasic!K5654="CTUh", "Fill in Manually",IF(OR(K5654="Unit", K5654=""), "", INDEX(LookUps!$E$5:$E$12, MATCH(OpenLCAbasic!K5654,LookUps!$D$5:$D$12,0))))</f>
        <v>Particulate Matter Formation Potential (PMFP) - kg PM2.5 eq</v>
      </c>
      <c r="M5654" s="154" t="str">
        <f t="shared" si="391"/>
        <v>Low_Base_Low_Upgraded_Particulate Matter Formation Potential (PMFP) - kg PM2.5 eq_Aeration Tanks; wastewater treatment unit; at updated plant - US_Without Amendment_Windrow</v>
      </c>
    </row>
    <row r="5655" spans="1:13" s="120" customFormat="1" x14ac:dyDescent="0.25">
      <c r="A5655" s="119"/>
      <c r="B5655" s="138" t="str">
        <f t="shared" si="389"/>
        <v>Windrow</v>
      </c>
      <c r="C5655" s="138" t="str">
        <f t="shared" si="392"/>
        <v>Without Amendment</v>
      </c>
      <c r="D5655" s="138" t="str">
        <f t="shared" si="393"/>
        <v>Base_Low</v>
      </c>
      <c r="E5655" s="138" t="str">
        <f t="shared" si="394"/>
        <v>Low</v>
      </c>
      <c r="F5655" s="138" t="str">
        <f t="shared" si="390"/>
        <v>Upgraded</v>
      </c>
      <c r="G5655" s="153"/>
      <c r="H5655" s="210">
        <v>0.12180000000000001</v>
      </c>
      <c r="I5655" s="160" t="s">
        <v>54</v>
      </c>
      <c r="J5655" s="160">
        <v>6.8000000000000005E-4</v>
      </c>
      <c r="K5655" s="160" t="s">
        <v>145</v>
      </c>
      <c r="L5655" s="154" t="str">
        <f>IF(OpenLCAbasic!K5655="CTUh", "Fill in Manually",IF(OR(K5655="Unit", K5655=""), "", INDEX(LookUps!$E$5:$E$12, MATCH(OpenLCAbasic!K5655,LookUps!$D$5:$D$12,0))))</f>
        <v>Particulate Matter Formation Potential (PMFP) - kg PM2.5 eq</v>
      </c>
      <c r="M5655" s="154" t="str">
        <f t="shared" si="391"/>
        <v>Low_Base_Low_Upgraded_Particulate Matter Formation Potential (PMFP) - kg PM2.5 eq_Clear Cove Primary Clarification; wastewater treatment unit; at updated plant - US_Without Amendment_Windrow</v>
      </c>
    </row>
    <row r="5656" spans="1:13" s="120" customFormat="1" x14ac:dyDescent="0.25">
      <c r="A5656" s="119"/>
      <c r="B5656" s="138" t="str">
        <f t="shared" si="389"/>
        <v>Windrow</v>
      </c>
      <c r="C5656" s="138" t="str">
        <f t="shared" si="392"/>
        <v>Without Amendment</v>
      </c>
      <c r="D5656" s="138" t="str">
        <f t="shared" si="393"/>
        <v>Base_Low</v>
      </c>
      <c r="E5656" s="138" t="str">
        <f t="shared" si="394"/>
        <v>Low</v>
      </c>
      <c r="F5656" s="138" t="str">
        <f t="shared" si="390"/>
        <v>Upgraded</v>
      </c>
      <c r="G5656" s="153"/>
      <c r="H5656" s="210">
        <v>0.1052</v>
      </c>
      <c r="I5656" s="160" t="s">
        <v>58</v>
      </c>
      <c r="J5656" s="160">
        <v>5.9000000000000003E-4</v>
      </c>
      <c r="K5656" s="160" t="s">
        <v>145</v>
      </c>
      <c r="L5656" s="154" t="str">
        <f>IF(OpenLCAbasic!K5656="CTUh", "Fill in Manually",IF(OR(K5656="Unit", K5656=""), "", INDEX(LookUps!$E$5:$E$12, MATCH(OpenLCAbasic!K5656,LookUps!$D$5:$D$12,0))))</f>
        <v>Particulate Matter Formation Potential (PMFP) - kg PM2.5 eq</v>
      </c>
      <c r="M5656" s="154" t="str">
        <f t="shared" si="391"/>
        <v>Low_Base_Low_Upgraded_Particulate Matter Formation Potential (PMFP) - kg PM2.5 eq_Pre-Anoxic &amp; Swing tank; wastewater treatment unit; at updated plant - US_Without Amendment_Windrow</v>
      </c>
    </row>
    <row r="5657" spans="1:13" s="120" customFormat="1" x14ac:dyDescent="0.25">
      <c r="A5657" s="119"/>
      <c r="B5657" s="138" t="str">
        <f t="shared" si="389"/>
        <v>Windrow</v>
      </c>
      <c r="C5657" s="138" t="str">
        <f t="shared" si="392"/>
        <v>Without Amendment</v>
      </c>
      <c r="D5657" s="138" t="str">
        <f t="shared" si="393"/>
        <v>Base_Low</v>
      </c>
      <c r="E5657" s="138" t="str">
        <f t="shared" si="394"/>
        <v>Low</v>
      </c>
      <c r="F5657" s="138" t="str">
        <f t="shared" si="390"/>
        <v>Upgraded</v>
      </c>
      <c r="G5657" s="153"/>
      <c r="H5657" s="210">
        <v>8.3699999999999997E-2</v>
      </c>
      <c r="I5657" s="160" t="s">
        <v>53</v>
      </c>
      <c r="J5657" s="160">
        <v>4.6999999999999999E-4</v>
      </c>
      <c r="K5657" s="160" t="s">
        <v>145</v>
      </c>
      <c r="L5657" s="154" t="str">
        <f>IF(OpenLCAbasic!K5657="CTUh", "Fill in Manually",IF(OR(K5657="Unit", K5657=""), "", INDEX(LookUps!$E$5:$E$12, MATCH(OpenLCAbasic!K5657,LookUps!$D$5:$D$12,0))))</f>
        <v>Particulate Matter Formation Potential (PMFP) - kg PM2.5 eq</v>
      </c>
      <c r="M5657" s="154" t="str">
        <f t="shared" si="391"/>
        <v>Low_Base_Low_Upgraded_Particulate Matter Formation Potential (PMFP) - kg PM2.5 eq_Wet Well and Sump Station; wastewater treatment unit; at updated plant - US_Without Amendment_Windrow</v>
      </c>
    </row>
    <row r="5658" spans="1:13" s="120" customFormat="1" x14ac:dyDescent="0.25">
      <c r="A5658" s="119"/>
      <c r="B5658" s="138" t="str">
        <f t="shared" si="389"/>
        <v>Windrow</v>
      </c>
      <c r="C5658" s="138" t="str">
        <f t="shared" si="392"/>
        <v>Without Amendment</v>
      </c>
      <c r="D5658" s="138" t="str">
        <f t="shared" si="393"/>
        <v>Base_Low</v>
      </c>
      <c r="E5658" s="138" t="str">
        <f t="shared" si="394"/>
        <v>Low</v>
      </c>
      <c r="F5658" s="138" t="str">
        <f t="shared" si="390"/>
        <v>Upgraded</v>
      </c>
      <c r="G5658" s="153"/>
      <c r="H5658" s="210">
        <v>6.0499999999999998E-2</v>
      </c>
      <c r="I5658" s="160" t="s">
        <v>149</v>
      </c>
      <c r="J5658" s="160">
        <v>3.4000000000000002E-4</v>
      </c>
      <c r="K5658" s="160" t="s">
        <v>145</v>
      </c>
      <c r="L5658" s="154" t="str">
        <f>IF(OpenLCAbasic!K5658="CTUh", "Fill in Manually",IF(OR(K5658="Unit", K5658=""), "", INDEX(LookUps!$E$5:$E$12, MATCH(OpenLCAbasic!K5658,LookUps!$D$5:$D$12,0))))</f>
        <v>Particulate Matter Formation Potential (PMFP) - kg PM2.5 eq</v>
      </c>
      <c r="M5658" s="154" t="str">
        <f t="shared" si="391"/>
        <v>Low_Base_Low_Upgraded_Particulate Matter Formation Potential (PMFP) - kg PM2.5 eq_Anaerobic Digestion; wastewater treatment unit; at updated plant - US_Without Amendment_Windrow</v>
      </c>
    </row>
    <row r="5659" spans="1:13" s="120" customFormat="1" x14ac:dyDescent="0.25">
      <c r="A5659" s="119"/>
      <c r="B5659" s="138" t="str">
        <f t="shared" si="389"/>
        <v>Windrow</v>
      </c>
      <c r="C5659" s="138" t="str">
        <f t="shared" si="392"/>
        <v>Without Amendment</v>
      </c>
      <c r="D5659" s="138" t="str">
        <f t="shared" si="393"/>
        <v>Base_Low</v>
      </c>
      <c r="E5659" s="138" t="str">
        <f t="shared" si="394"/>
        <v>Low</v>
      </c>
      <c r="F5659" s="138" t="str">
        <f t="shared" si="390"/>
        <v>Upgraded</v>
      </c>
      <c r="G5659" s="153"/>
      <c r="H5659" s="210">
        <v>5.3600000000000002E-2</v>
      </c>
      <c r="I5659" s="160" t="s">
        <v>167</v>
      </c>
      <c r="J5659" s="160">
        <v>2.9999999999999997E-4</v>
      </c>
      <c r="K5659" s="160" t="s">
        <v>145</v>
      </c>
      <c r="L5659" s="154" t="str">
        <f>IF(OpenLCAbasic!K5659="CTUh", "Fill in Manually",IF(OR(K5659="Unit", K5659=""), "", INDEX(LookUps!$E$5:$E$12, MATCH(OpenLCAbasic!K5659,LookUps!$D$5:$D$12,0))))</f>
        <v>Particulate Matter Formation Potential (PMFP) - kg PM2.5 eq</v>
      </c>
      <c r="M5659" s="154" t="str">
        <f t="shared" si="391"/>
        <v>Low_Base_Low_Upgraded_Particulate Matter Formation Potential (PMFP) - kg PM2.5 eq_Waste Receiving and Holding; wastewater treatment unit; at updated plant - US_Without Amendment_Windrow</v>
      </c>
    </row>
    <row r="5660" spans="1:13" s="120" customFormat="1" x14ac:dyDescent="0.25">
      <c r="A5660" s="119"/>
      <c r="B5660" s="138" t="str">
        <f t="shared" si="389"/>
        <v>Windrow</v>
      </c>
      <c r="C5660" s="138" t="str">
        <f t="shared" si="392"/>
        <v>Without Amendment</v>
      </c>
      <c r="D5660" s="138" t="str">
        <f t="shared" si="393"/>
        <v>Base_Low</v>
      </c>
      <c r="E5660" s="138" t="str">
        <f t="shared" si="394"/>
        <v>Low</v>
      </c>
      <c r="F5660" s="138" t="str">
        <f t="shared" si="390"/>
        <v>Upgraded</v>
      </c>
      <c r="G5660" s="153"/>
      <c r="H5660" s="210">
        <v>4.7800000000000002E-2</v>
      </c>
      <c r="I5660" s="160" t="s">
        <v>147</v>
      </c>
      <c r="J5660" s="160">
        <v>2.7E-4</v>
      </c>
      <c r="K5660" s="160" t="s">
        <v>145</v>
      </c>
      <c r="L5660" s="154" t="str">
        <f>IF(OpenLCAbasic!K5660="CTUh", "Fill in Manually",IF(OR(K5660="Unit", K5660=""), "", INDEX(LookUps!$E$5:$E$12, MATCH(OpenLCAbasic!K5660,LookUps!$D$5:$D$12,0))))</f>
        <v>Particulate Matter Formation Potential (PMFP) - kg PM2.5 eq</v>
      </c>
      <c r="M5660" s="154" t="str">
        <f t="shared" si="391"/>
        <v>Low_Base_Low_Upgraded_Particulate Matter Formation Potential (PMFP) - kg PM2.5 eq_Influent Pump Station; wastewater treatment unit; at updated plant - US_Without Amendment_Windrow</v>
      </c>
    </row>
    <row r="5661" spans="1:13" s="120" customFormat="1" x14ac:dyDescent="0.25">
      <c r="A5661" s="119"/>
      <c r="B5661" s="138" t="str">
        <f t="shared" si="389"/>
        <v>Windrow</v>
      </c>
      <c r="C5661" s="138" t="str">
        <f t="shared" si="392"/>
        <v>Without Amendment</v>
      </c>
      <c r="D5661" s="138" t="str">
        <f t="shared" si="393"/>
        <v>Base_Low</v>
      </c>
      <c r="E5661" s="138" t="str">
        <f t="shared" si="394"/>
        <v>Low</v>
      </c>
      <c r="F5661" s="138" t="str">
        <f t="shared" si="390"/>
        <v>Upgraded</v>
      </c>
      <c r="G5661" s="153"/>
      <c r="H5661" s="210">
        <v>2.98E-2</v>
      </c>
      <c r="I5661" s="160" t="s">
        <v>128</v>
      </c>
      <c r="J5661" s="160">
        <v>1.7000000000000001E-4</v>
      </c>
      <c r="K5661" s="160" t="s">
        <v>145</v>
      </c>
      <c r="L5661" s="154" t="str">
        <f>IF(OpenLCAbasic!K5661="CTUh", "Fill in Manually",IF(OR(K5661="Unit", K5661=""), "", INDEX(LookUps!$E$5:$E$12, MATCH(OpenLCAbasic!K5661,LookUps!$D$5:$D$12,0))))</f>
        <v>Particulate Matter Formation Potential (PMFP) - kg PM2.5 eq</v>
      </c>
      <c r="M5661" s="154" t="str">
        <f t="shared" si="391"/>
        <v>Low_Base_Low_Upgraded_Particulate Matter Formation Potential (PMFP) - kg PM2.5 eq_Wastewater collection; operation and infrastructure; m3 wastewater_Without Amendment_Windrow</v>
      </c>
    </row>
    <row r="5662" spans="1:13" s="120" customFormat="1" x14ac:dyDescent="0.25">
      <c r="A5662" s="119"/>
      <c r="B5662" s="138" t="str">
        <f t="shared" si="389"/>
        <v>Windrow</v>
      </c>
      <c r="C5662" s="138" t="str">
        <f t="shared" si="392"/>
        <v>Without Amendment</v>
      </c>
      <c r="D5662" s="138" t="str">
        <f t="shared" si="393"/>
        <v>Base_Low</v>
      </c>
      <c r="E5662" s="138" t="str">
        <f t="shared" si="394"/>
        <v>Low</v>
      </c>
      <c r="F5662" s="138" t="str">
        <f t="shared" si="390"/>
        <v>Upgraded</v>
      </c>
      <c r="G5662" s="153"/>
      <c r="H5662" s="210">
        <v>2.0799999999999999E-2</v>
      </c>
      <c r="I5662" s="160" t="s">
        <v>60</v>
      </c>
      <c r="J5662" s="160">
        <v>1.2E-4</v>
      </c>
      <c r="K5662" s="160" t="s">
        <v>145</v>
      </c>
      <c r="L5662" s="154" t="str">
        <f>IF(OpenLCAbasic!K5662="CTUh", "Fill in Manually",IF(OR(K5662="Unit", K5662=""), "", INDEX(LookUps!$E$5:$E$12, MATCH(OpenLCAbasic!K5662,LookUps!$D$5:$D$12,0))))</f>
        <v>Particulate Matter Formation Potential (PMFP) - kg PM2.5 eq</v>
      </c>
      <c r="M5662" s="154" t="str">
        <f t="shared" si="391"/>
        <v>Low_Base_Low_Upgraded_Particulate Matter Formation Potential (PMFP) - kg PM2.5 eq_Belt filter press; wastewater treatment unit; at updated plant - US_Without Amendment_Windrow</v>
      </c>
    </row>
    <row r="5663" spans="1:13" s="120" customFormat="1" x14ac:dyDescent="0.25">
      <c r="A5663" s="119"/>
      <c r="B5663" s="138" t="str">
        <f t="shared" si="389"/>
        <v>Windrow</v>
      </c>
      <c r="C5663" s="138" t="str">
        <f t="shared" si="392"/>
        <v>Without Amendment</v>
      </c>
      <c r="D5663" s="138" t="str">
        <f t="shared" si="393"/>
        <v>Base_Low</v>
      </c>
      <c r="E5663" s="138" t="str">
        <f t="shared" si="394"/>
        <v>Low</v>
      </c>
      <c r="F5663" s="138" t="str">
        <f t="shared" si="390"/>
        <v>Upgraded</v>
      </c>
      <c r="G5663" s="153"/>
      <c r="H5663" s="210">
        <v>1.7100000000000001E-2</v>
      </c>
      <c r="I5663" s="160" t="s">
        <v>57</v>
      </c>
      <c r="J5663" s="211">
        <v>9.5153800000000004E-5</v>
      </c>
      <c r="K5663" s="160" t="s">
        <v>145</v>
      </c>
      <c r="L5663" s="154" t="str">
        <f>IF(OpenLCAbasic!K5663="CTUh", "Fill in Manually",IF(OR(K5663="Unit", K5663=""), "", INDEX(LookUps!$E$5:$E$12, MATCH(OpenLCAbasic!K5663,LookUps!$D$5:$D$12,0))))</f>
        <v>Particulate Matter Formation Potential (PMFP) - kg PM2.5 eq</v>
      </c>
      <c r="M5663" s="154" t="str">
        <f t="shared" si="391"/>
        <v>Low_Base_Low_Upgraded_Particulate Matter Formation Potential (PMFP) - kg PM2.5 eq_Gravity Belt Thickener; wastewater treatment unit; at updated plant - US_Without Amendment_Windrow</v>
      </c>
    </row>
    <row r="5664" spans="1:13" s="120" customFormat="1" x14ac:dyDescent="0.25">
      <c r="A5664" s="119"/>
      <c r="B5664" s="138" t="str">
        <f t="shared" si="389"/>
        <v>Windrow</v>
      </c>
      <c r="C5664" s="138" t="str">
        <f t="shared" si="392"/>
        <v>Without Amendment</v>
      </c>
      <c r="D5664" s="138" t="str">
        <f t="shared" si="393"/>
        <v>Base_Low</v>
      </c>
      <c r="E5664" s="138" t="str">
        <f t="shared" si="394"/>
        <v>Low</v>
      </c>
      <c r="F5664" s="138" t="str">
        <f t="shared" si="390"/>
        <v>Upgraded</v>
      </c>
      <c r="G5664" s="153"/>
      <c r="H5664" s="210">
        <v>1.2500000000000001E-2</v>
      </c>
      <c r="I5664" s="160" t="s">
        <v>59</v>
      </c>
      <c r="J5664" s="211">
        <v>6.9942200000000003E-5</v>
      </c>
      <c r="K5664" s="160" t="s">
        <v>145</v>
      </c>
      <c r="L5664" s="154" t="str">
        <f>IF(OpenLCAbasic!K5664="CTUh", "Fill in Manually",IF(OR(K5664="Unit", K5664=""), "", INDEX(LookUps!$E$5:$E$12, MATCH(OpenLCAbasic!K5664,LookUps!$D$5:$D$12,0))))</f>
        <v>Particulate Matter Formation Potential (PMFP) - kg PM2.5 eq</v>
      </c>
      <c r="M5664" s="154" t="str">
        <f t="shared" si="391"/>
        <v>Low_Base_Low_Upgraded_Particulate Matter Formation Potential (PMFP) - kg PM2.5 eq_Blend Tank; wastewater treatment unit; at updated plant - US_Without Amendment_Windrow</v>
      </c>
    </row>
    <row r="5665" spans="1:13" s="120" customFormat="1" x14ac:dyDescent="0.25">
      <c r="A5665" s="119"/>
      <c r="B5665" s="138" t="str">
        <f t="shared" si="389"/>
        <v>Windrow</v>
      </c>
      <c r="C5665" s="138" t="str">
        <f t="shared" si="392"/>
        <v>Without Amendment</v>
      </c>
      <c r="D5665" s="138" t="str">
        <f t="shared" si="393"/>
        <v>Base_Low</v>
      </c>
      <c r="E5665" s="138" t="str">
        <f t="shared" si="394"/>
        <v>Low</v>
      </c>
      <c r="F5665" s="138" t="str">
        <f t="shared" si="390"/>
        <v>Upgraded</v>
      </c>
      <c r="G5665" s="153"/>
      <c r="H5665" s="210">
        <v>8.9999999999999993E-3</v>
      </c>
      <c r="I5665" s="160" t="s">
        <v>48</v>
      </c>
      <c r="J5665" s="211">
        <v>4.99741E-5</v>
      </c>
      <c r="K5665" s="160" t="s">
        <v>145</v>
      </c>
      <c r="L5665" s="154" t="str">
        <f>IF(OpenLCAbasic!K5665="CTUh", "Fill in Manually",IF(OR(K5665="Unit", K5665=""), "", INDEX(LookUps!$E$5:$E$12, MATCH(OpenLCAbasic!K5665,LookUps!$D$5:$D$12,0))))</f>
        <v>Particulate Matter Formation Potential (PMFP) - kg PM2.5 eq</v>
      </c>
      <c r="M5665" s="154" t="str">
        <f t="shared" si="391"/>
        <v>Low_Base_Low_Upgraded_Particulate Matter Formation Potential (PMFP) - kg PM2.5 eq_Effluent release; wastewater treatment unit; at surface water; m3 wastewater - US_Without Amendment_Windrow</v>
      </c>
    </row>
    <row r="5666" spans="1:13" s="120" customFormat="1" x14ac:dyDescent="0.25">
      <c r="A5666" s="119"/>
      <c r="B5666" s="138" t="str">
        <f t="shared" si="389"/>
        <v>Windrow</v>
      </c>
      <c r="C5666" s="138" t="str">
        <f t="shared" si="392"/>
        <v>Without Amendment</v>
      </c>
      <c r="D5666" s="138" t="str">
        <f t="shared" si="393"/>
        <v>Base_Low</v>
      </c>
      <c r="E5666" s="138" t="str">
        <f t="shared" si="394"/>
        <v>Low</v>
      </c>
      <c r="F5666" s="138" t="str">
        <f t="shared" si="390"/>
        <v>Upgraded</v>
      </c>
      <c r="G5666" s="153"/>
      <c r="H5666" s="210">
        <v>7.0000000000000001E-3</v>
      </c>
      <c r="I5666" s="160" t="s">
        <v>62</v>
      </c>
      <c r="J5666" s="211">
        <v>3.8921200000000003E-5</v>
      </c>
      <c r="K5666" s="160" t="s">
        <v>145</v>
      </c>
      <c r="L5666" s="154" t="str">
        <f>IF(OpenLCAbasic!K5666="CTUh", "Fill in Manually",IF(OR(K5666="Unit", K5666=""), "", INDEX(LookUps!$E$5:$E$12, MATCH(OpenLCAbasic!K5666,LookUps!$D$5:$D$12,0))))</f>
        <v>Particulate Matter Formation Potential (PMFP) - kg PM2.5 eq</v>
      </c>
      <c r="M5666" s="154" t="str">
        <f t="shared" si="391"/>
        <v>Low_Base_Low_Upgraded_Particulate Matter Formation Potential (PMFP) - kg PM2.5 eq_Land application of compost; wastewater treatment unit; at updated plant - US_Without Amendment_Windrow</v>
      </c>
    </row>
    <row r="5667" spans="1:13" s="120" customFormat="1" x14ac:dyDescent="0.25">
      <c r="A5667" s="119"/>
      <c r="B5667" s="138" t="str">
        <f t="shared" si="389"/>
        <v>Windrow</v>
      </c>
      <c r="C5667" s="138" t="str">
        <f t="shared" si="392"/>
        <v>Without Amendment</v>
      </c>
      <c r="D5667" s="138" t="str">
        <f t="shared" si="393"/>
        <v>Base_Low</v>
      </c>
      <c r="E5667" s="138" t="str">
        <f t="shared" si="394"/>
        <v>Low</v>
      </c>
      <c r="F5667" s="138" t="str">
        <f t="shared" si="390"/>
        <v>Upgraded</v>
      </c>
      <c r="G5667" s="153"/>
      <c r="H5667" s="210">
        <v>6.1999999999999998E-3</v>
      </c>
      <c r="I5667" s="160" t="s">
        <v>168</v>
      </c>
      <c r="J5667" s="211">
        <v>3.4562199999999999E-5</v>
      </c>
      <c r="K5667" s="160" t="s">
        <v>145</v>
      </c>
      <c r="L5667" s="154" t="str">
        <f>IF(OpenLCAbasic!K5667="CTUh", "Fill in Manually",IF(OR(K5667="Unit", K5667=""), "", INDEX(LookUps!$E$5:$E$12, MATCH(OpenLCAbasic!K5667,LookUps!$D$5:$D$12,0))))</f>
        <v>Particulate Matter Formation Potential (PMFP) - kg PM2.5 eq</v>
      </c>
      <c r="M5667" s="154" t="str">
        <f t="shared" si="391"/>
        <v>Low_Base_Low_Upgraded_Particulate Matter Formation Potential (PMFP) - kg PM2.5 eq_ClearCove SCP; wastewater treatment unit; at updated plant - US_Without Amendment_Windrow</v>
      </c>
    </row>
    <row r="5668" spans="1:13" s="120" customFormat="1" x14ac:dyDescent="0.25">
      <c r="A5668" s="119"/>
      <c r="B5668" s="138" t="str">
        <f t="shared" si="389"/>
        <v>Windrow</v>
      </c>
      <c r="C5668" s="138" t="str">
        <f t="shared" si="392"/>
        <v>Without Amendment</v>
      </c>
      <c r="D5668" s="138" t="str">
        <f t="shared" si="393"/>
        <v>Base_Low</v>
      </c>
      <c r="E5668" s="138" t="str">
        <f t="shared" si="394"/>
        <v>Low</v>
      </c>
      <c r="F5668" s="138" t="str">
        <f t="shared" si="390"/>
        <v>Upgraded</v>
      </c>
      <c r="G5668" s="153"/>
      <c r="H5668" s="210">
        <v>4.8999999999999998E-3</v>
      </c>
      <c r="I5668" s="160" t="s">
        <v>271</v>
      </c>
      <c r="J5668" s="211">
        <v>2.73588E-5</v>
      </c>
      <c r="K5668" s="160" t="s">
        <v>145</v>
      </c>
      <c r="L5668" s="154" t="str">
        <f>IF(OpenLCAbasic!K5668="CTUh", "Fill in Manually",IF(OR(K5668="Unit", K5668=""), "", INDEX(LookUps!$E$5:$E$12, MATCH(OpenLCAbasic!K5668,LookUps!$D$5:$D$12,0))))</f>
        <v>Particulate Matter Formation Potential (PMFP) - kg PM2.5 eq</v>
      </c>
      <c r="M5668" s="154" t="str">
        <f t="shared" si="391"/>
        <v>Low_Base_Low_Upgraded_Particulate Matter Formation Potential (PMFP) - kg PM2.5 eq_Biosolids composting; windrow composting; wastewater treatment unit; at updated plant - US_Without Amendment_Windrow</v>
      </c>
    </row>
    <row r="5669" spans="1:13" s="120" customFormat="1" x14ac:dyDescent="0.25">
      <c r="A5669" s="119"/>
      <c r="B5669" s="138" t="str">
        <f t="shared" si="389"/>
        <v>Windrow</v>
      </c>
      <c r="C5669" s="138" t="str">
        <f t="shared" si="392"/>
        <v>Without Amendment</v>
      </c>
      <c r="D5669" s="138" t="str">
        <f t="shared" si="393"/>
        <v>Base_Low</v>
      </c>
      <c r="E5669" s="138" t="str">
        <f t="shared" si="394"/>
        <v>Low</v>
      </c>
      <c r="F5669" s="138" t="str">
        <f t="shared" si="390"/>
        <v>Upgraded</v>
      </c>
      <c r="G5669" s="153"/>
      <c r="H5669" s="210">
        <v>1.6000000000000001E-3</v>
      </c>
      <c r="I5669" s="160" t="s">
        <v>148</v>
      </c>
      <c r="J5669" s="211">
        <v>8.8212999999999997E-6</v>
      </c>
      <c r="K5669" s="160" t="s">
        <v>145</v>
      </c>
      <c r="L5669" s="154" t="str">
        <f>IF(OpenLCAbasic!K5669="CTUh", "Fill in Manually",IF(OR(K5669="Unit", K5669=""), "", INDEX(LookUps!$E$5:$E$12, MATCH(OpenLCAbasic!K5669,LookUps!$D$5:$D$12,0))))</f>
        <v>Particulate Matter Formation Potential (PMFP) - kg PM2.5 eq</v>
      </c>
      <c r="M5669" s="154" t="str">
        <f t="shared" si="391"/>
        <v>Low_Base_Low_Upgraded_Particulate Matter Formation Potential (PMFP) - kg PM2.5 eq_Control Building; at upgraded wastewater treatment plant - US_Without Amendment_Windrow</v>
      </c>
    </row>
    <row r="5670" spans="1:13" s="120" customFormat="1" x14ac:dyDescent="0.25">
      <c r="A5670" s="119"/>
      <c r="B5670" s="138" t="str">
        <f t="shared" si="389"/>
        <v/>
      </c>
      <c r="C5670" s="138" t="str">
        <f t="shared" si="392"/>
        <v/>
      </c>
      <c r="D5670" s="138" t="str">
        <f t="shared" si="393"/>
        <v/>
      </c>
      <c r="E5670" s="138" t="str">
        <f t="shared" si="394"/>
        <v/>
      </c>
      <c r="F5670" s="138" t="str">
        <f t="shared" si="390"/>
        <v/>
      </c>
      <c r="G5670" s="153" t="s">
        <v>51</v>
      </c>
      <c r="H5670" s="160"/>
      <c r="I5670" s="160" t="s">
        <v>47</v>
      </c>
      <c r="J5670" s="160" t="s">
        <v>52</v>
      </c>
      <c r="K5670" s="160" t="s">
        <v>27</v>
      </c>
      <c r="L5670" s="154" t="str">
        <f>IF(OpenLCAbasic!K5670="CTUh", "Fill in Manually",IF(OR(K5670="Unit", K5670=""), "", INDEX(LookUps!$E$5:$E$12, MATCH(OpenLCAbasic!K5670,LookUps!$D$5:$D$12,0))))</f>
        <v/>
      </c>
      <c r="M5670" s="154" t="str">
        <f t="shared" si="391"/>
        <v>____Process__</v>
      </c>
    </row>
    <row r="5671" spans="1:13" s="120" customFormat="1" x14ac:dyDescent="0.25">
      <c r="A5671" s="119"/>
      <c r="B5671" s="138" t="str">
        <f t="shared" si="389"/>
        <v>Windrow</v>
      </c>
      <c r="C5671" s="138" t="str">
        <f t="shared" si="392"/>
        <v>Without Amendment</v>
      </c>
      <c r="D5671" s="138" t="str">
        <f t="shared" si="393"/>
        <v>Base_Low</v>
      </c>
      <c r="E5671" s="138" t="str">
        <f t="shared" si="394"/>
        <v>Low</v>
      </c>
      <c r="F5671" s="138" t="str">
        <f t="shared" si="390"/>
        <v>Upgraded</v>
      </c>
      <c r="G5671" s="153"/>
      <c r="H5671" s="210">
        <v>0.41710000000000003</v>
      </c>
      <c r="I5671" s="160" t="s">
        <v>55</v>
      </c>
      <c r="J5671" s="160">
        <v>0.16577</v>
      </c>
      <c r="K5671" s="160" t="s">
        <v>25</v>
      </c>
      <c r="L5671" s="154" t="str">
        <f>IF(OpenLCAbasic!K5671="CTUh", "Fill in Manually",IF(OR(K5671="Unit", K5671=""), "", INDEX(LookUps!$E$5:$E$12, MATCH(OpenLCAbasic!K5671,LookUps!$D$5:$D$12,0))))</f>
        <v>Smog Formation Potential (SFP) - kg O3 eq</v>
      </c>
      <c r="M5671" s="154" t="str">
        <f t="shared" si="391"/>
        <v>Low_Base_Low_Upgraded_Smog Formation Potential (SFP) - kg O3 eq_Aeration Tanks; wastewater treatment unit; at updated plant - US_Without Amendment_Windrow</v>
      </c>
    </row>
    <row r="5672" spans="1:13" s="120" customFormat="1" x14ac:dyDescent="0.25">
      <c r="A5672" s="119"/>
      <c r="B5672" s="138" t="str">
        <f t="shared" ref="B5672:B5735" si="395">IF(F5672="Legacy","n.a.",IF(F5672="","","Windrow"))</f>
        <v>Windrow</v>
      </c>
      <c r="C5672" s="138" t="str">
        <f t="shared" si="392"/>
        <v>Without Amendment</v>
      </c>
      <c r="D5672" s="138" t="str">
        <f t="shared" si="393"/>
        <v>Base_Low</v>
      </c>
      <c r="E5672" s="138" t="str">
        <f t="shared" si="394"/>
        <v>Low</v>
      </c>
      <c r="F5672" s="138" t="str">
        <f t="shared" ref="F5672:F5735" si="396">IF(ISNUMBER(J5672),"Upgraded","")</f>
        <v>Upgraded</v>
      </c>
      <c r="G5672" s="153"/>
      <c r="H5672" s="210">
        <v>0.12089999999999999</v>
      </c>
      <c r="I5672" s="160" t="s">
        <v>54</v>
      </c>
      <c r="J5672" s="160">
        <v>4.8070000000000002E-2</v>
      </c>
      <c r="K5672" s="160" t="s">
        <v>25</v>
      </c>
      <c r="L5672" s="154" t="str">
        <f>IF(OpenLCAbasic!K5672="CTUh", "Fill in Manually",IF(OR(K5672="Unit", K5672=""), "", INDEX(LookUps!$E$5:$E$12, MATCH(OpenLCAbasic!K5672,LookUps!$D$5:$D$12,0))))</f>
        <v>Smog Formation Potential (SFP) - kg O3 eq</v>
      </c>
      <c r="M5672" s="154" t="str">
        <f t="shared" si="391"/>
        <v>Low_Base_Low_Upgraded_Smog Formation Potential (SFP) - kg O3 eq_Clear Cove Primary Clarification; wastewater treatment unit; at updated plant - US_Without Amendment_Windrow</v>
      </c>
    </row>
    <row r="5673" spans="1:13" s="120" customFormat="1" x14ac:dyDescent="0.25">
      <c r="A5673" s="119"/>
      <c r="B5673" s="138" t="str">
        <f t="shared" si="395"/>
        <v>Windrow</v>
      </c>
      <c r="C5673" s="138" t="str">
        <f t="shared" si="392"/>
        <v>Without Amendment</v>
      </c>
      <c r="D5673" s="138" t="str">
        <f t="shared" si="393"/>
        <v>Base_Low</v>
      </c>
      <c r="E5673" s="138" t="str">
        <f t="shared" si="394"/>
        <v>Low</v>
      </c>
      <c r="F5673" s="138" t="str">
        <f t="shared" si="396"/>
        <v>Upgraded</v>
      </c>
      <c r="G5673" s="153"/>
      <c r="H5673" s="210">
        <v>0.1051</v>
      </c>
      <c r="I5673" s="160" t="s">
        <v>58</v>
      </c>
      <c r="J5673" s="160">
        <v>4.1779999999999998E-2</v>
      </c>
      <c r="K5673" s="160" t="s">
        <v>25</v>
      </c>
      <c r="L5673" s="154" t="str">
        <f>IF(OpenLCAbasic!K5673="CTUh", "Fill in Manually",IF(OR(K5673="Unit", K5673=""), "", INDEX(LookUps!$E$5:$E$12, MATCH(OpenLCAbasic!K5673,LookUps!$D$5:$D$12,0))))</f>
        <v>Smog Formation Potential (SFP) - kg O3 eq</v>
      </c>
      <c r="M5673" s="154" t="str">
        <f t="shared" si="391"/>
        <v>Low_Base_Low_Upgraded_Smog Formation Potential (SFP) - kg O3 eq_Pre-Anoxic &amp; Swing tank; wastewater treatment unit; at updated plant - US_Without Amendment_Windrow</v>
      </c>
    </row>
    <row r="5674" spans="1:13" s="120" customFormat="1" x14ac:dyDescent="0.25">
      <c r="A5674" s="119"/>
      <c r="B5674" s="138" t="str">
        <f t="shared" si="395"/>
        <v>Windrow</v>
      </c>
      <c r="C5674" s="138" t="str">
        <f t="shared" si="392"/>
        <v>Without Amendment</v>
      </c>
      <c r="D5674" s="138" t="str">
        <f t="shared" si="393"/>
        <v>Base_Low</v>
      </c>
      <c r="E5674" s="138" t="str">
        <f t="shared" si="394"/>
        <v>Low</v>
      </c>
      <c r="F5674" s="138" t="str">
        <f t="shared" si="396"/>
        <v>Upgraded</v>
      </c>
      <c r="G5674" s="153"/>
      <c r="H5674" s="210">
        <v>8.3299999999999999E-2</v>
      </c>
      <c r="I5674" s="160" t="s">
        <v>53</v>
      </c>
      <c r="J5674" s="160">
        <v>3.313E-2</v>
      </c>
      <c r="K5674" s="160" t="s">
        <v>25</v>
      </c>
      <c r="L5674" s="154" t="str">
        <f>IF(OpenLCAbasic!K5674="CTUh", "Fill in Manually",IF(OR(K5674="Unit", K5674=""), "", INDEX(LookUps!$E$5:$E$12, MATCH(OpenLCAbasic!K5674,LookUps!$D$5:$D$12,0))))</f>
        <v>Smog Formation Potential (SFP) - kg O3 eq</v>
      </c>
      <c r="M5674" s="154" t="str">
        <f t="shared" si="391"/>
        <v>Low_Base_Low_Upgraded_Smog Formation Potential (SFP) - kg O3 eq_Wet Well and Sump Station; wastewater treatment unit; at updated plant - US_Without Amendment_Windrow</v>
      </c>
    </row>
    <row r="5675" spans="1:13" s="120" customFormat="1" x14ac:dyDescent="0.25">
      <c r="A5675" s="119"/>
      <c r="B5675" s="138" t="str">
        <f t="shared" si="395"/>
        <v>Windrow</v>
      </c>
      <c r="C5675" s="138" t="str">
        <f t="shared" si="392"/>
        <v>Without Amendment</v>
      </c>
      <c r="D5675" s="138" t="str">
        <f t="shared" si="393"/>
        <v>Base_Low</v>
      </c>
      <c r="E5675" s="138" t="str">
        <f t="shared" si="394"/>
        <v>Low</v>
      </c>
      <c r="F5675" s="138" t="str">
        <f t="shared" si="396"/>
        <v>Upgraded</v>
      </c>
      <c r="G5675" s="153"/>
      <c r="H5675" s="210">
        <v>7.0300000000000001E-2</v>
      </c>
      <c r="I5675" s="160" t="s">
        <v>167</v>
      </c>
      <c r="J5675" s="160">
        <v>2.7949999999999999E-2</v>
      </c>
      <c r="K5675" s="160" t="s">
        <v>25</v>
      </c>
      <c r="L5675" s="154" t="str">
        <f>IF(OpenLCAbasic!K5675="CTUh", "Fill in Manually",IF(OR(K5675="Unit", K5675=""), "", INDEX(LookUps!$E$5:$E$12, MATCH(OpenLCAbasic!K5675,LookUps!$D$5:$D$12,0))))</f>
        <v>Smog Formation Potential (SFP) - kg O3 eq</v>
      </c>
      <c r="M5675" s="154" t="str">
        <f t="shared" si="391"/>
        <v>Low_Base_Low_Upgraded_Smog Formation Potential (SFP) - kg O3 eq_Waste Receiving and Holding; wastewater treatment unit; at updated plant - US_Without Amendment_Windrow</v>
      </c>
    </row>
    <row r="5676" spans="1:13" s="120" customFormat="1" x14ac:dyDescent="0.25">
      <c r="A5676" s="119"/>
      <c r="B5676" s="138" t="str">
        <f t="shared" si="395"/>
        <v>Windrow</v>
      </c>
      <c r="C5676" s="138" t="str">
        <f t="shared" si="392"/>
        <v>Without Amendment</v>
      </c>
      <c r="D5676" s="138" t="str">
        <f t="shared" si="393"/>
        <v>Base_Low</v>
      </c>
      <c r="E5676" s="138" t="str">
        <f t="shared" si="394"/>
        <v>Low</v>
      </c>
      <c r="F5676" s="138" t="str">
        <f t="shared" si="396"/>
        <v>Upgraded</v>
      </c>
      <c r="G5676" s="153"/>
      <c r="H5676" s="210">
        <v>6.2600000000000003E-2</v>
      </c>
      <c r="I5676" s="160" t="s">
        <v>149</v>
      </c>
      <c r="J5676" s="160">
        <v>2.4889999999999999E-2</v>
      </c>
      <c r="K5676" s="160" t="s">
        <v>25</v>
      </c>
      <c r="L5676" s="154" t="str">
        <f>IF(OpenLCAbasic!K5676="CTUh", "Fill in Manually",IF(OR(K5676="Unit", K5676=""), "", INDEX(LookUps!$E$5:$E$12, MATCH(OpenLCAbasic!K5676,LookUps!$D$5:$D$12,0))))</f>
        <v>Smog Formation Potential (SFP) - kg O3 eq</v>
      </c>
      <c r="M5676" s="154" t="str">
        <f t="shared" si="391"/>
        <v>Low_Base_Low_Upgraded_Smog Formation Potential (SFP) - kg O3 eq_Anaerobic Digestion; wastewater treatment unit; at updated plant - US_Without Amendment_Windrow</v>
      </c>
    </row>
    <row r="5677" spans="1:13" s="120" customFormat="1" x14ac:dyDescent="0.25">
      <c r="A5677" s="119"/>
      <c r="B5677" s="138" t="str">
        <f t="shared" si="395"/>
        <v>Windrow</v>
      </c>
      <c r="C5677" s="138" t="str">
        <f t="shared" si="392"/>
        <v>Without Amendment</v>
      </c>
      <c r="D5677" s="138" t="str">
        <f t="shared" si="393"/>
        <v>Base_Low</v>
      </c>
      <c r="E5677" s="138" t="str">
        <f t="shared" si="394"/>
        <v>Low</v>
      </c>
      <c r="F5677" s="138" t="str">
        <f t="shared" si="396"/>
        <v>Upgraded</v>
      </c>
      <c r="G5677" s="153"/>
      <c r="H5677" s="210">
        <v>4.8800000000000003E-2</v>
      </c>
      <c r="I5677" s="160" t="s">
        <v>147</v>
      </c>
      <c r="J5677" s="160">
        <v>1.9400000000000001E-2</v>
      </c>
      <c r="K5677" s="160" t="s">
        <v>25</v>
      </c>
      <c r="L5677" s="154" t="str">
        <f>IF(OpenLCAbasic!K5677="CTUh", "Fill in Manually",IF(OR(K5677="Unit", K5677=""), "", INDEX(LookUps!$E$5:$E$12, MATCH(OpenLCAbasic!K5677,LookUps!$D$5:$D$12,0))))</f>
        <v>Smog Formation Potential (SFP) - kg O3 eq</v>
      </c>
      <c r="M5677" s="154" t="str">
        <f t="shared" si="391"/>
        <v>Low_Base_Low_Upgraded_Smog Formation Potential (SFP) - kg O3 eq_Influent Pump Station; wastewater treatment unit; at updated plant - US_Without Amendment_Windrow</v>
      </c>
    </row>
    <row r="5678" spans="1:13" s="120" customFormat="1" x14ac:dyDescent="0.25">
      <c r="A5678" s="119"/>
      <c r="B5678" s="138" t="str">
        <f t="shared" si="395"/>
        <v>Windrow</v>
      </c>
      <c r="C5678" s="138" t="str">
        <f t="shared" si="392"/>
        <v>Without Amendment</v>
      </c>
      <c r="D5678" s="138" t="str">
        <f t="shared" si="393"/>
        <v>Base_Low</v>
      </c>
      <c r="E5678" s="138" t="str">
        <f t="shared" si="394"/>
        <v>Low</v>
      </c>
      <c r="F5678" s="138" t="str">
        <f t="shared" si="396"/>
        <v>Upgraded</v>
      </c>
      <c r="G5678" s="153"/>
      <c r="H5678" s="210">
        <v>0.03</v>
      </c>
      <c r="I5678" s="160" t="s">
        <v>128</v>
      </c>
      <c r="J5678" s="160">
        <v>1.192E-2</v>
      </c>
      <c r="K5678" s="160" t="s">
        <v>25</v>
      </c>
      <c r="L5678" s="154" t="str">
        <f>IF(OpenLCAbasic!K5678="CTUh", "Fill in Manually",IF(OR(K5678="Unit", K5678=""), "", INDEX(LookUps!$E$5:$E$12, MATCH(OpenLCAbasic!K5678,LookUps!$D$5:$D$12,0))))</f>
        <v>Smog Formation Potential (SFP) - kg O3 eq</v>
      </c>
      <c r="M5678" s="154" t="str">
        <f t="shared" si="391"/>
        <v>Low_Base_Low_Upgraded_Smog Formation Potential (SFP) - kg O3 eq_Wastewater collection; operation and infrastructure; m3 wastewater_Without Amendment_Windrow</v>
      </c>
    </row>
    <row r="5679" spans="1:13" s="120" customFormat="1" x14ac:dyDescent="0.25">
      <c r="A5679" s="119"/>
      <c r="B5679" s="138" t="str">
        <f t="shared" si="395"/>
        <v>Windrow</v>
      </c>
      <c r="C5679" s="138" t="str">
        <f t="shared" si="392"/>
        <v>Without Amendment</v>
      </c>
      <c r="D5679" s="138" t="str">
        <f t="shared" si="393"/>
        <v>Base_Low</v>
      </c>
      <c r="E5679" s="138" t="str">
        <f t="shared" si="394"/>
        <v>Low</v>
      </c>
      <c r="F5679" s="138" t="str">
        <f t="shared" si="396"/>
        <v>Upgraded</v>
      </c>
      <c r="G5679" s="153"/>
      <c r="H5679" s="210">
        <v>2.0500000000000001E-2</v>
      </c>
      <c r="I5679" s="160" t="s">
        <v>60</v>
      </c>
      <c r="J5679" s="160">
        <v>8.1600000000000006E-3</v>
      </c>
      <c r="K5679" s="160" t="s">
        <v>25</v>
      </c>
      <c r="L5679" s="154" t="str">
        <f>IF(OpenLCAbasic!K5679="CTUh", "Fill in Manually",IF(OR(K5679="Unit", K5679=""), "", INDEX(LookUps!$E$5:$E$12, MATCH(OpenLCAbasic!K5679,LookUps!$D$5:$D$12,0))))</f>
        <v>Smog Formation Potential (SFP) - kg O3 eq</v>
      </c>
      <c r="M5679" s="154" t="str">
        <f t="shared" si="391"/>
        <v>Low_Base_Low_Upgraded_Smog Formation Potential (SFP) - kg O3 eq_Belt filter press; wastewater treatment unit; at updated plant - US_Without Amendment_Windrow</v>
      </c>
    </row>
    <row r="5680" spans="1:13" s="120" customFormat="1" x14ac:dyDescent="0.25">
      <c r="A5680" s="119"/>
      <c r="B5680" s="138" t="str">
        <f t="shared" si="395"/>
        <v>Windrow</v>
      </c>
      <c r="C5680" s="138" t="str">
        <f t="shared" si="392"/>
        <v>Without Amendment</v>
      </c>
      <c r="D5680" s="138" t="str">
        <f t="shared" si="393"/>
        <v>Base_Low</v>
      </c>
      <c r="E5680" s="138" t="str">
        <f t="shared" si="394"/>
        <v>Low</v>
      </c>
      <c r="F5680" s="138" t="str">
        <f t="shared" si="396"/>
        <v>Upgraded</v>
      </c>
      <c r="G5680" s="153"/>
      <c r="H5680" s="210">
        <v>1.67E-2</v>
      </c>
      <c r="I5680" s="160" t="s">
        <v>57</v>
      </c>
      <c r="J5680" s="160">
        <v>6.6499999999999997E-3</v>
      </c>
      <c r="K5680" s="160" t="s">
        <v>25</v>
      </c>
      <c r="L5680" s="154" t="str">
        <f>IF(OpenLCAbasic!K5680="CTUh", "Fill in Manually",IF(OR(K5680="Unit", K5680=""), "", INDEX(LookUps!$E$5:$E$12, MATCH(OpenLCAbasic!K5680,LookUps!$D$5:$D$12,0))))</f>
        <v>Smog Formation Potential (SFP) - kg O3 eq</v>
      </c>
      <c r="M5680" s="154" t="str">
        <f t="shared" si="391"/>
        <v>Low_Base_Low_Upgraded_Smog Formation Potential (SFP) - kg O3 eq_Gravity Belt Thickener; wastewater treatment unit; at updated plant - US_Without Amendment_Windrow</v>
      </c>
    </row>
    <row r="5681" spans="1:13" s="120" customFormat="1" x14ac:dyDescent="0.25">
      <c r="A5681" s="119"/>
      <c r="B5681" s="138" t="str">
        <f t="shared" si="395"/>
        <v>Windrow</v>
      </c>
      <c r="C5681" s="138" t="str">
        <f t="shared" si="392"/>
        <v>Without Amendment</v>
      </c>
      <c r="D5681" s="138" t="str">
        <f t="shared" si="393"/>
        <v>Base_Low</v>
      </c>
      <c r="E5681" s="138" t="str">
        <f t="shared" si="394"/>
        <v>Low</v>
      </c>
      <c r="F5681" s="138" t="str">
        <f t="shared" si="396"/>
        <v>Upgraded</v>
      </c>
      <c r="G5681" s="153"/>
      <c r="H5681" s="210">
        <v>1.2500000000000001E-2</v>
      </c>
      <c r="I5681" s="160" t="s">
        <v>59</v>
      </c>
      <c r="J5681" s="160">
        <v>4.9699999999999996E-3</v>
      </c>
      <c r="K5681" s="160" t="s">
        <v>25</v>
      </c>
      <c r="L5681" s="154" t="str">
        <f>IF(OpenLCAbasic!K5681="CTUh", "Fill in Manually",IF(OR(K5681="Unit", K5681=""), "", INDEX(LookUps!$E$5:$E$12, MATCH(OpenLCAbasic!K5681,LookUps!$D$5:$D$12,0))))</f>
        <v>Smog Formation Potential (SFP) - kg O3 eq</v>
      </c>
      <c r="M5681" s="154" t="str">
        <f t="shared" si="391"/>
        <v>Low_Base_Low_Upgraded_Smog Formation Potential (SFP) - kg O3 eq_Blend Tank; wastewater treatment unit; at updated plant - US_Without Amendment_Windrow</v>
      </c>
    </row>
    <row r="5682" spans="1:13" s="120" customFormat="1" x14ac:dyDescent="0.25">
      <c r="A5682" s="119"/>
      <c r="B5682" s="138" t="str">
        <f t="shared" si="395"/>
        <v>Windrow</v>
      </c>
      <c r="C5682" s="138" t="str">
        <f t="shared" si="392"/>
        <v>Without Amendment</v>
      </c>
      <c r="D5682" s="138" t="str">
        <f t="shared" si="393"/>
        <v>Base_Low</v>
      </c>
      <c r="E5682" s="138" t="str">
        <f t="shared" si="394"/>
        <v>Low</v>
      </c>
      <c r="F5682" s="138" t="str">
        <f t="shared" si="396"/>
        <v>Upgraded</v>
      </c>
      <c r="G5682" s="153"/>
      <c r="H5682" s="210">
        <v>8.5000000000000006E-3</v>
      </c>
      <c r="I5682" s="160" t="s">
        <v>48</v>
      </c>
      <c r="J5682" s="160">
        <v>3.3899999999999998E-3</v>
      </c>
      <c r="K5682" s="160" t="s">
        <v>25</v>
      </c>
      <c r="L5682" s="154" t="str">
        <f>IF(OpenLCAbasic!K5682="CTUh", "Fill in Manually",IF(OR(K5682="Unit", K5682=""), "", INDEX(LookUps!$E$5:$E$12, MATCH(OpenLCAbasic!K5682,LookUps!$D$5:$D$12,0))))</f>
        <v>Smog Formation Potential (SFP) - kg O3 eq</v>
      </c>
      <c r="M5682" s="154" t="str">
        <f t="shared" si="391"/>
        <v>Low_Base_Low_Upgraded_Smog Formation Potential (SFP) - kg O3 eq_Effluent release; wastewater treatment unit; at surface water; m3 wastewater - US_Without Amendment_Windrow</v>
      </c>
    </row>
    <row r="5683" spans="1:13" s="120" customFormat="1" x14ac:dyDescent="0.25">
      <c r="A5683" s="119"/>
      <c r="B5683" s="138" t="str">
        <f t="shared" si="395"/>
        <v>Windrow</v>
      </c>
      <c r="C5683" s="138" t="str">
        <f t="shared" si="392"/>
        <v>Without Amendment</v>
      </c>
      <c r="D5683" s="138" t="str">
        <f t="shared" si="393"/>
        <v>Base_Low</v>
      </c>
      <c r="E5683" s="138" t="str">
        <f t="shared" si="394"/>
        <v>Low</v>
      </c>
      <c r="F5683" s="138" t="str">
        <f t="shared" si="396"/>
        <v>Upgraded</v>
      </c>
      <c r="G5683" s="153"/>
      <c r="H5683" s="210">
        <v>6.1999999999999998E-3</v>
      </c>
      <c r="I5683" s="160" t="s">
        <v>168</v>
      </c>
      <c r="J5683" s="160">
        <v>2.4599999999999999E-3</v>
      </c>
      <c r="K5683" s="160" t="s">
        <v>25</v>
      </c>
      <c r="L5683" s="154" t="str">
        <f>IF(OpenLCAbasic!K5683="CTUh", "Fill in Manually",IF(OR(K5683="Unit", K5683=""), "", INDEX(LookUps!$E$5:$E$12, MATCH(OpenLCAbasic!K5683,LookUps!$D$5:$D$12,0))))</f>
        <v>Smog Formation Potential (SFP) - kg O3 eq</v>
      </c>
      <c r="M5683" s="154" t="str">
        <f t="shared" si="391"/>
        <v>Low_Base_Low_Upgraded_Smog Formation Potential (SFP) - kg O3 eq_ClearCove SCP; wastewater treatment unit; at updated plant - US_Without Amendment_Windrow</v>
      </c>
    </row>
    <row r="5684" spans="1:13" s="120" customFormat="1" x14ac:dyDescent="0.25">
      <c r="A5684" s="119"/>
      <c r="B5684" s="138" t="str">
        <f t="shared" si="395"/>
        <v>Windrow</v>
      </c>
      <c r="C5684" s="138" t="str">
        <f t="shared" si="392"/>
        <v>Without Amendment</v>
      </c>
      <c r="D5684" s="138" t="str">
        <f t="shared" si="393"/>
        <v>Base_Low</v>
      </c>
      <c r="E5684" s="138" t="str">
        <f t="shared" si="394"/>
        <v>Low</v>
      </c>
      <c r="F5684" s="138" t="str">
        <f t="shared" si="396"/>
        <v>Upgraded</v>
      </c>
      <c r="G5684" s="153"/>
      <c r="H5684" s="210">
        <v>1.4E-3</v>
      </c>
      <c r="I5684" s="160" t="s">
        <v>148</v>
      </c>
      <c r="J5684" s="160">
        <v>5.4000000000000001E-4</v>
      </c>
      <c r="K5684" s="160" t="s">
        <v>25</v>
      </c>
      <c r="L5684" s="154" t="str">
        <f>IF(OpenLCAbasic!K5684="CTUh", "Fill in Manually",IF(OR(K5684="Unit", K5684=""), "", INDEX(LookUps!$E$5:$E$12, MATCH(OpenLCAbasic!K5684,LookUps!$D$5:$D$12,0))))</f>
        <v>Smog Formation Potential (SFP) - kg O3 eq</v>
      </c>
      <c r="M5684" s="154" t="str">
        <f t="shared" si="391"/>
        <v>Low_Base_Low_Upgraded_Smog Formation Potential (SFP) - kg O3 eq_Control Building; at upgraded wastewater treatment plant - US_Without Amendment_Windrow</v>
      </c>
    </row>
    <row r="5685" spans="1:13" s="120" customFormat="1" x14ac:dyDescent="0.25">
      <c r="A5685" s="119"/>
      <c r="B5685" s="138" t="str">
        <f t="shared" si="395"/>
        <v>Windrow</v>
      </c>
      <c r="C5685" s="138" t="str">
        <f t="shared" si="392"/>
        <v>Without Amendment</v>
      </c>
      <c r="D5685" s="138" t="str">
        <f t="shared" si="393"/>
        <v>Base_Low</v>
      </c>
      <c r="E5685" s="138" t="str">
        <f t="shared" si="394"/>
        <v>Low</v>
      </c>
      <c r="F5685" s="138" t="str">
        <f t="shared" si="396"/>
        <v>Upgraded</v>
      </c>
      <c r="G5685" s="153"/>
      <c r="H5685" s="210">
        <v>1E-3</v>
      </c>
      <c r="I5685" s="160" t="s">
        <v>271</v>
      </c>
      <c r="J5685" s="160">
        <v>4.0999999999999999E-4</v>
      </c>
      <c r="K5685" s="160" t="s">
        <v>25</v>
      </c>
      <c r="L5685" s="154" t="str">
        <f>IF(OpenLCAbasic!K5685="CTUh", "Fill in Manually",IF(OR(K5685="Unit", K5685=""), "", INDEX(LookUps!$E$5:$E$12, MATCH(OpenLCAbasic!K5685,LookUps!$D$5:$D$12,0))))</f>
        <v>Smog Formation Potential (SFP) - kg O3 eq</v>
      </c>
      <c r="M5685" s="154" t="str">
        <f t="shared" si="391"/>
        <v>Low_Base_Low_Upgraded_Smog Formation Potential (SFP) - kg O3 eq_Biosolids composting; windrow composting; wastewater treatment unit; at updated plant - US_Without Amendment_Windrow</v>
      </c>
    </row>
    <row r="5686" spans="1:13" s="120" customFormat="1" x14ac:dyDescent="0.25">
      <c r="A5686" s="119"/>
      <c r="B5686" s="138" t="str">
        <f t="shared" si="395"/>
        <v>Windrow</v>
      </c>
      <c r="C5686" s="138" t="str">
        <f t="shared" si="392"/>
        <v>Without Amendment</v>
      </c>
      <c r="D5686" s="138" t="str">
        <f t="shared" si="393"/>
        <v>Base_Low</v>
      </c>
      <c r="E5686" s="138" t="str">
        <f t="shared" si="394"/>
        <v>Low</v>
      </c>
      <c r="F5686" s="138" t="str">
        <f t="shared" si="396"/>
        <v>Upgraded</v>
      </c>
      <c r="G5686" s="153"/>
      <c r="H5686" s="210">
        <v>-5.0000000000000001E-3</v>
      </c>
      <c r="I5686" s="160" t="s">
        <v>62</v>
      </c>
      <c r="J5686" s="160">
        <v>-2E-3</v>
      </c>
      <c r="K5686" s="160" t="s">
        <v>25</v>
      </c>
      <c r="L5686" s="154" t="str">
        <f>IF(OpenLCAbasic!K5686="CTUh", "Fill in Manually",IF(OR(K5686="Unit", K5686=""), "", INDEX(LookUps!$E$5:$E$12, MATCH(OpenLCAbasic!K5686,LookUps!$D$5:$D$12,0))))</f>
        <v>Smog Formation Potential (SFP) - kg O3 eq</v>
      </c>
      <c r="M5686" s="154" t="str">
        <f t="shared" si="391"/>
        <v>Low_Base_Low_Upgraded_Smog Formation Potential (SFP) - kg O3 eq_Land application of compost; wastewater treatment unit; at updated plant - US_Without Amendment_Windrow</v>
      </c>
    </row>
    <row r="5687" spans="1:13" s="120" customFormat="1" x14ac:dyDescent="0.25">
      <c r="A5687" s="119"/>
      <c r="B5687" s="138" t="str">
        <f t="shared" si="395"/>
        <v/>
      </c>
      <c r="C5687" s="138" t="str">
        <f t="shared" si="392"/>
        <v/>
      </c>
      <c r="D5687" s="138" t="str">
        <f t="shared" si="393"/>
        <v/>
      </c>
      <c r="E5687" s="138" t="str">
        <f t="shared" si="394"/>
        <v/>
      </c>
      <c r="F5687" s="138" t="str">
        <f t="shared" si="396"/>
        <v/>
      </c>
      <c r="G5687" s="153" t="s">
        <v>51</v>
      </c>
      <c r="H5687" s="160"/>
      <c r="I5687" s="160" t="s">
        <v>47</v>
      </c>
      <c r="J5687" s="160" t="s">
        <v>52</v>
      </c>
      <c r="K5687" s="160" t="s">
        <v>27</v>
      </c>
      <c r="L5687" s="154" t="str">
        <f>IF(OpenLCAbasic!K5687="CTUh", "Fill in Manually",IF(OR(K5687="Unit", K5687=""), "", INDEX(LookUps!$E$5:$E$12, MATCH(OpenLCAbasic!K5687,LookUps!$D$5:$D$12,0))))</f>
        <v/>
      </c>
      <c r="M5687" s="154" t="str">
        <f t="shared" si="391"/>
        <v>____Process__</v>
      </c>
    </row>
    <row r="5688" spans="1:13" s="120" customFormat="1" x14ac:dyDescent="0.25">
      <c r="A5688" s="119"/>
      <c r="B5688" s="138" t="str">
        <f t="shared" si="395"/>
        <v>Windrow</v>
      </c>
      <c r="C5688" s="138" t="str">
        <f t="shared" si="392"/>
        <v>Without Amendment</v>
      </c>
      <c r="D5688" s="138" t="str">
        <f t="shared" si="393"/>
        <v>Base_Low</v>
      </c>
      <c r="E5688" s="138" t="str">
        <f t="shared" si="394"/>
        <v>Low</v>
      </c>
      <c r="F5688" s="138" t="str">
        <f t="shared" si="396"/>
        <v>Upgraded</v>
      </c>
      <c r="G5688" s="153"/>
      <c r="H5688" s="210">
        <v>0.63249999999999995</v>
      </c>
      <c r="I5688" s="160" t="s">
        <v>167</v>
      </c>
      <c r="J5688" s="160">
        <v>2.3000000000000001E-4</v>
      </c>
      <c r="K5688" s="160" t="s">
        <v>26</v>
      </c>
      <c r="L5688" s="154" t="str">
        <f>IF(OpenLCAbasic!K5688="CTUh", "Fill in Manually",IF(OR(K5688="Unit", K5688=""), "", INDEX(LookUps!$E$5:$E$12, MATCH(OpenLCAbasic!K5688,LookUps!$D$5:$D$12,0))))</f>
        <v>Water Use (WU) - m3 H2O</v>
      </c>
      <c r="M5688" s="154" t="str">
        <f t="shared" si="391"/>
        <v>Low_Base_Low_Upgraded_Water Use (WU) - m3 H2O_Waste Receiving and Holding; wastewater treatment unit; at updated plant - US_Without Amendment_Windrow</v>
      </c>
    </row>
    <row r="5689" spans="1:13" s="120" customFormat="1" x14ac:dyDescent="0.25">
      <c r="A5689" s="119"/>
      <c r="B5689" s="138" t="str">
        <f t="shared" si="395"/>
        <v>Windrow</v>
      </c>
      <c r="C5689" s="138" t="str">
        <f t="shared" si="392"/>
        <v>Without Amendment</v>
      </c>
      <c r="D5689" s="138" t="str">
        <f t="shared" si="393"/>
        <v>Base_Low</v>
      </c>
      <c r="E5689" s="138" t="str">
        <f t="shared" si="394"/>
        <v>Low</v>
      </c>
      <c r="F5689" s="138" t="str">
        <f t="shared" si="396"/>
        <v>Upgraded</v>
      </c>
      <c r="G5689" s="153"/>
      <c r="H5689" s="210">
        <v>0.50039999999999996</v>
      </c>
      <c r="I5689" s="160" t="s">
        <v>147</v>
      </c>
      <c r="J5689" s="160">
        <v>1.8000000000000001E-4</v>
      </c>
      <c r="K5689" s="160" t="s">
        <v>26</v>
      </c>
      <c r="L5689" s="154" t="str">
        <f>IF(OpenLCAbasic!K5689="CTUh", "Fill in Manually",IF(OR(K5689="Unit", K5689=""), "", INDEX(LookUps!$E$5:$E$12, MATCH(OpenLCAbasic!K5689,LookUps!$D$5:$D$12,0))))</f>
        <v>Water Use (WU) - m3 H2O</v>
      </c>
      <c r="M5689" s="154" t="str">
        <f t="shared" si="391"/>
        <v>Low_Base_Low_Upgraded_Water Use (WU) - m3 H2O_Influent Pump Station; wastewater treatment unit; at updated plant - US_Without Amendment_Windrow</v>
      </c>
    </row>
    <row r="5690" spans="1:13" s="120" customFormat="1" x14ac:dyDescent="0.25">
      <c r="A5690" s="119"/>
      <c r="B5690" s="138" t="str">
        <f t="shared" si="395"/>
        <v>Windrow</v>
      </c>
      <c r="C5690" s="138" t="str">
        <f t="shared" si="392"/>
        <v>Without Amendment</v>
      </c>
      <c r="D5690" s="138" t="str">
        <f t="shared" si="393"/>
        <v>Base_Low</v>
      </c>
      <c r="E5690" s="138" t="str">
        <f t="shared" si="394"/>
        <v>Low</v>
      </c>
      <c r="F5690" s="138" t="str">
        <f t="shared" si="396"/>
        <v>Upgraded</v>
      </c>
      <c r="G5690" s="153"/>
      <c r="H5690" s="210">
        <v>0.48830000000000001</v>
      </c>
      <c r="I5690" s="160" t="s">
        <v>54</v>
      </c>
      <c r="J5690" s="160">
        <v>1.8000000000000001E-4</v>
      </c>
      <c r="K5690" s="160" t="s">
        <v>26</v>
      </c>
      <c r="L5690" s="154" t="str">
        <f>IF(OpenLCAbasic!K5690="CTUh", "Fill in Manually",IF(OR(K5690="Unit", K5690=""), "", INDEX(LookUps!$E$5:$E$12, MATCH(OpenLCAbasic!K5690,LookUps!$D$5:$D$12,0))))</f>
        <v>Water Use (WU) - m3 H2O</v>
      </c>
      <c r="M5690" s="154" t="str">
        <f t="shared" si="391"/>
        <v>Low_Base_Low_Upgraded_Water Use (WU) - m3 H2O_Clear Cove Primary Clarification; wastewater treatment unit; at updated plant - US_Without Amendment_Windrow</v>
      </c>
    </row>
    <row r="5691" spans="1:13" s="120" customFormat="1" x14ac:dyDescent="0.25">
      <c r="A5691" s="119"/>
      <c r="B5691" s="138" t="str">
        <f t="shared" si="395"/>
        <v>Windrow</v>
      </c>
      <c r="C5691" s="138" t="str">
        <f t="shared" si="392"/>
        <v>Without Amendment</v>
      </c>
      <c r="D5691" s="138" t="str">
        <f t="shared" si="393"/>
        <v>Base_Low</v>
      </c>
      <c r="E5691" s="138" t="str">
        <f t="shared" si="394"/>
        <v>Low</v>
      </c>
      <c r="F5691" s="138" t="str">
        <f t="shared" si="396"/>
        <v>Upgraded</v>
      </c>
      <c r="G5691" s="153"/>
      <c r="H5691" s="210">
        <v>0.443</v>
      </c>
      <c r="I5691" s="160" t="s">
        <v>55</v>
      </c>
      <c r="J5691" s="160">
        <v>1.6000000000000001E-4</v>
      </c>
      <c r="K5691" s="160" t="s">
        <v>26</v>
      </c>
      <c r="L5691" s="154" t="str">
        <f>IF(OpenLCAbasic!K5691="CTUh", "Fill in Manually",IF(OR(K5691="Unit", K5691=""), "", INDEX(LookUps!$E$5:$E$12, MATCH(OpenLCAbasic!K5691,LookUps!$D$5:$D$12,0))))</f>
        <v>Water Use (WU) - m3 H2O</v>
      </c>
      <c r="M5691" s="154" t="str">
        <f t="shared" ref="M5691:M5754" si="397">CONCATENATE(E5691,"_",D5691,"_",F5691,"_",L5691, "_",I5691,"_", C5691,"_", B5691)</f>
        <v>Low_Base_Low_Upgraded_Water Use (WU) - m3 H2O_Aeration Tanks; wastewater treatment unit; at updated plant - US_Without Amendment_Windrow</v>
      </c>
    </row>
    <row r="5692" spans="1:13" s="120" customFormat="1" x14ac:dyDescent="0.25">
      <c r="A5692" s="119"/>
      <c r="B5692" s="138" t="str">
        <f t="shared" si="395"/>
        <v>Windrow</v>
      </c>
      <c r="C5692" s="138" t="str">
        <f t="shared" si="392"/>
        <v>Without Amendment</v>
      </c>
      <c r="D5692" s="138" t="str">
        <f t="shared" si="393"/>
        <v>Base_Low</v>
      </c>
      <c r="E5692" s="138" t="str">
        <f t="shared" si="394"/>
        <v>Low</v>
      </c>
      <c r="F5692" s="138" t="str">
        <f t="shared" si="396"/>
        <v>Upgraded</v>
      </c>
      <c r="G5692" s="153"/>
      <c r="H5692" s="210">
        <v>0.40350000000000003</v>
      </c>
      <c r="I5692" s="160" t="s">
        <v>148</v>
      </c>
      <c r="J5692" s="160">
        <v>1.4999999999999999E-4</v>
      </c>
      <c r="K5692" s="160" t="s">
        <v>26</v>
      </c>
      <c r="L5692" s="154" t="str">
        <f>IF(OpenLCAbasic!K5692="CTUh", "Fill in Manually",IF(OR(K5692="Unit", K5692=""), "", INDEX(LookUps!$E$5:$E$12, MATCH(OpenLCAbasic!K5692,LookUps!$D$5:$D$12,0))))</f>
        <v>Water Use (WU) - m3 H2O</v>
      </c>
      <c r="M5692" s="154" t="str">
        <f t="shared" si="397"/>
        <v>Low_Base_Low_Upgraded_Water Use (WU) - m3 H2O_Control Building; at upgraded wastewater treatment plant - US_Without Amendment_Windrow</v>
      </c>
    </row>
    <row r="5693" spans="1:13" s="120" customFormat="1" x14ac:dyDescent="0.25">
      <c r="A5693" s="119"/>
      <c r="B5693" s="138" t="str">
        <f t="shared" si="395"/>
        <v>Windrow</v>
      </c>
      <c r="C5693" s="138" t="str">
        <f t="shared" si="392"/>
        <v>Without Amendment</v>
      </c>
      <c r="D5693" s="138" t="str">
        <f t="shared" si="393"/>
        <v>Base_Low</v>
      </c>
      <c r="E5693" s="138" t="str">
        <f t="shared" si="394"/>
        <v>Low</v>
      </c>
      <c r="F5693" s="138" t="str">
        <f t="shared" si="396"/>
        <v>Upgraded</v>
      </c>
      <c r="G5693" s="153"/>
      <c r="H5693" s="210">
        <v>0.18740000000000001</v>
      </c>
      <c r="I5693" s="160" t="s">
        <v>48</v>
      </c>
      <c r="J5693" s="211">
        <v>6.8836400000000004E-5</v>
      </c>
      <c r="K5693" s="160" t="s">
        <v>26</v>
      </c>
      <c r="L5693" s="154" t="str">
        <f>IF(OpenLCAbasic!K5693="CTUh", "Fill in Manually",IF(OR(K5693="Unit", K5693=""), "", INDEX(LookUps!$E$5:$E$12, MATCH(OpenLCAbasic!K5693,LookUps!$D$5:$D$12,0))))</f>
        <v>Water Use (WU) - m3 H2O</v>
      </c>
      <c r="M5693" s="154" t="str">
        <f t="shared" si="397"/>
        <v>Low_Base_Low_Upgraded_Water Use (WU) - m3 H2O_Effluent release; wastewater treatment unit; at surface water; m3 wastewater - US_Without Amendment_Windrow</v>
      </c>
    </row>
    <row r="5694" spans="1:13" s="120" customFormat="1" x14ac:dyDescent="0.25">
      <c r="A5694" s="119"/>
      <c r="B5694" s="138" t="str">
        <f t="shared" si="395"/>
        <v>Windrow</v>
      </c>
      <c r="C5694" s="138" t="str">
        <f t="shared" si="392"/>
        <v>Without Amendment</v>
      </c>
      <c r="D5694" s="138" t="str">
        <f t="shared" si="393"/>
        <v>Base_Low</v>
      </c>
      <c r="E5694" s="138" t="str">
        <f t="shared" si="394"/>
        <v>Low</v>
      </c>
      <c r="F5694" s="138" t="str">
        <f t="shared" si="396"/>
        <v>Upgraded</v>
      </c>
      <c r="G5694" s="153"/>
      <c r="H5694" s="210">
        <v>0.1288</v>
      </c>
      <c r="I5694" s="160" t="s">
        <v>149</v>
      </c>
      <c r="J5694" s="211">
        <v>4.7332900000000002E-5</v>
      </c>
      <c r="K5694" s="160" t="s">
        <v>26</v>
      </c>
      <c r="L5694" s="154" t="str">
        <f>IF(OpenLCAbasic!K5694="CTUh", "Fill in Manually",IF(OR(K5694="Unit", K5694=""), "", INDEX(LookUps!$E$5:$E$12, MATCH(OpenLCAbasic!K5694,LookUps!$D$5:$D$12,0))))</f>
        <v>Water Use (WU) - m3 H2O</v>
      </c>
      <c r="M5694" s="154" t="str">
        <f t="shared" si="397"/>
        <v>Low_Base_Low_Upgraded_Water Use (WU) - m3 H2O_Anaerobic Digestion; wastewater treatment unit; at updated plant - US_Without Amendment_Windrow</v>
      </c>
    </row>
    <row r="5695" spans="1:13" s="120" customFormat="1" x14ac:dyDescent="0.25">
      <c r="A5695" s="119"/>
      <c r="B5695" s="138" t="str">
        <f t="shared" si="395"/>
        <v>Windrow</v>
      </c>
      <c r="C5695" s="138" t="str">
        <f t="shared" si="392"/>
        <v>Without Amendment</v>
      </c>
      <c r="D5695" s="138" t="str">
        <f t="shared" si="393"/>
        <v>Base_Low</v>
      </c>
      <c r="E5695" s="138" t="str">
        <f t="shared" si="394"/>
        <v>Low</v>
      </c>
      <c r="F5695" s="138" t="str">
        <f t="shared" si="396"/>
        <v>Upgraded</v>
      </c>
      <c r="G5695" s="153"/>
      <c r="H5695" s="210">
        <v>0.1176</v>
      </c>
      <c r="I5695" s="160" t="s">
        <v>58</v>
      </c>
      <c r="J5695" s="211">
        <v>4.3192100000000003E-5</v>
      </c>
      <c r="K5695" s="160" t="s">
        <v>26</v>
      </c>
      <c r="L5695" s="154" t="str">
        <f>IF(OpenLCAbasic!K5695="CTUh", "Fill in Manually",IF(OR(K5695="Unit", K5695=""), "", INDEX(LookUps!$E$5:$E$12, MATCH(OpenLCAbasic!K5695,LookUps!$D$5:$D$12,0))))</f>
        <v>Water Use (WU) - m3 H2O</v>
      </c>
      <c r="M5695" s="154" t="str">
        <f t="shared" si="397"/>
        <v>Low_Base_Low_Upgraded_Water Use (WU) - m3 H2O_Pre-Anoxic &amp; Swing tank; wastewater treatment unit; at updated plant - US_Without Amendment_Windrow</v>
      </c>
    </row>
    <row r="5696" spans="1:13" s="120" customFormat="1" x14ac:dyDescent="0.25">
      <c r="A5696" s="119"/>
      <c r="B5696" s="138" t="str">
        <f t="shared" si="395"/>
        <v>Windrow</v>
      </c>
      <c r="C5696" s="138" t="str">
        <f t="shared" si="392"/>
        <v>Without Amendment</v>
      </c>
      <c r="D5696" s="138" t="str">
        <f t="shared" si="393"/>
        <v>Base_Low</v>
      </c>
      <c r="E5696" s="138" t="str">
        <f t="shared" si="394"/>
        <v>Low</v>
      </c>
      <c r="F5696" s="138" t="str">
        <f t="shared" si="396"/>
        <v>Upgraded</v>
      </c>
      <c r="G5696" s="153"/>
      <c r="H5696" s="210">
        <v>8.2799999999999999E-2</v>
      </c>
      <c r="I5696" s="160" t="s">
        <v>57</v>
      </c>
      <c r="J5696" s="211">
        <v>3.0408100000000001E-5</v>
      </c>
      <c r="K5696" s="160" t="s">
        <v>26</v>
      </c>
      <c r="L5696" s="154" t="str">
        <f>IF(OpenLCAbasic!K5696="CTUh", "Fill in Manually",IF(OR(K5696="Unit", K5696=""), "", INDEX(LookUps!$E$5:$E$12, MATCH(OpenLCAbasic!K5696,LookUps!$D$5:$D$12,0))))</f>
        <v>Water Use (WU) - m3 H2O</v>
      </c>
      <c r="M5696" s="154" t="str">
        <f t="shared" si="397"/>
        <v>Low_Base_Low_Upgraded_Water Use (WU) - m3 H2O_Gravity Belt Thickener; wastewater treatment unit; at updated plant - US_Without Amendment_Windrow</v>
      </c>
    </row>
    <row r="5697" spans="1:13" s="120" customFormat="1" x14ac:dyDescent="0.25">
      <c r="A5697" s="119"/>
      <c r="B5697" s="138" t="str">
        <f t="shared" si="395"/>
        <v>Windrow</v>
      </c>
      <c r="C5697" s="138" t="str">
        <f t="shared" ref="C5697:C5760" si="398">IF(ISNUMBER($J5697),"Without Amendment","")</f>
        <v>Without Amendment</v>
      </c>
      <c r="D5697" s="138" t="str">
        <f t="shared" ref="D5697:D5703" si="399">IF(ISNUMBER($J5697),"Base_Low","")</f>
        <v>Base_Low</v>
      </c>
      <c r="E5697" s="138" t="str">
        <f t="shared" ref="E5697:E5760" si="400">IF(ISNUMBER($J5697),"Low","")</f>
        <v>Low</v>
      </c>
      <c r="F5697" s="138" t="str">
        <f t="shared" si="396"/>
        <v>Upgraded</v>
      </c>
      <c r="G5697" s="153"/>
      <c r="H5697" s="210">
        <v>6.6299999999999998E-2</v>
      </c>
      <c r="I5697" s="160" t="s">
        <v>60</v>
      </c>
      <c r="J5697" s="211">
        <v>2.4357400000000002E-5</v>
      </c>
      <c r="K5697" s="160" t="s">
        <v>26</v>
      </c>
      <c r="L5697" s="154" t="str">
        <f>IF(OpenLCAbasic!K5697="CTUh", "Fill in Manually",IF(OR(K5697="Unit", K5697=""), "", INDEX(LookUps!$E$5:$E$12, MATCH(OpenLCAbasic!K5697,LookUps!$D$5:$D$12,0))))</f>
        <v>Water Use (WU) - m3 H2O</v>
      </c>
      <c r="M5697" s="154" t="str">
        <f t="shared" si="397"/>
        <v>Low_Base_Low_Upgraded_Water Use (WU) - m3 H2O_Belt filter press; wastewater treatment unit; at updated plant - US_Without Amendment_Windrow</v>
      </c>
    </row>
    <row r="5698" spans="1:13" s="120" customFormat="1" x14ac:dyDescent="0.25">
      <c r="A5698" s="119"/>
      <c r="B5698" s="138" t="str">
        <f t="shared" si="395"/>
        <v>Windrow</v>
      </c>
      <c r="C5698" s="138" t="str">
        <f t="shared" si="398"/>
        <v>Without Amendment</v>
      </c>
      <c r="D5698" s="138" t="str">
        <f t="shared" si="399"/>
        <v>Base_Low</v>
      </c>
      <c r="E5698" s="138" t="str">
        <f t="shared" si="400"/>
        <v>Low</v>
      </c>
      <c r="F5698" s="138" t="str">
        <f t="shared" si="396"/>
        <v>Upgraded</v>
      </c>
      <c r="G5698" s="153"/>
      <c r="H5698" s="210">
        <v>4.7699999999999999E-2</v>
      </c>
      <c r="I5698" s="160" t="s">
        <v>53</v>
      </c>
      <c r="J5698" s="211">
        <v>1.75069E-5</v>
      </c>
      <c r="K5698" s="160" t="s">
        <v>26</v>
      </c>
      <c r="L5698" s="154" t="str">
        <f>IF(OpenLCAbasic!K5698="CTUh", "Fill in Manually",IF(OR(K5698="Unit", K5698=""), "", INDEX(LookUps!$E$5:$E$12, MATCH(OpenLCAbasic!K5698,LookUps!$D$5:$D$12,0))))</f>
        <v>Water Use (WU) - m3 H2O</v>
      </c>
      <c r="M5698" s="154" t="str">
        <f t="shared" si="397"/>
        <v>Low_Base_Low_Upgraded_Water Use (WU) - m3 H2O_Wet Well and Sump Station; wastewater treatment unit; at updated plant - US_Without Amendment_Windrow</v>
      </c>
    </row>
    <row r="5699" spans="1:13" s="120" customFormat="1" x14ac:dyDescent="0.25">
      <c r="A5699" s="119"/>
      <c r="B5699" s="138" t="str">
        <f t="shared" si="395"/>
        <v>Windrow</v>
      </c>
      <c r="C5699" s="138" t="str">
        <f t="shared" si="398"/>
        <v>Without Amendment</v>
      </c>
      <c r="D5699" s="138" t="str">
        <f t="shared" si="399"/>
        <v>Base_Low</v>
      </c>
      <c r="E5699" s="138" t="str">
        <f t="shared" si="400"/>
        <v>Low</v>
      </c>
      <c r="F5699" s="138" t="str">
        <f t="shared" si="396"/>
        <v>Upgraded</v>
      </c>
      <c r="G5699" s="153"/>
      <c r="H5699" s="210">
        <v>1.9099999999999999E-2</v>
      </c>
      <c r="I5699" s="160" t="s">
        <v>59</v>
      </c>
      <c r="J5699" s="211">
        <v>7.0179500000000003E-6</v>
      </c>
      <c r="K5699" s="160" t="s">
        <v>26</v>
      </c>
      <c r="L5699" s="154" t="str">
        <f>IF(OpenLCAbasic!K5699="CTUh", "Fill in Manually",IF(OR(K5699="Unit", K5699=""), "", INDEX(LookUps!$E$5:$E$12, MATCH(OpenLCAbasic!K5699,LookUps!$D$5:$D$12,0))))</f>
        <v>Water Use (WU) - m3 H2O</v>
      </c>
      <c r="M5699" s="154" t="str">
        <f t="shared" si="397"/>
        <v>Low_Base_Low_Upgraded_Water Use (WU) - m3 H2O_Blend Tank; wastewater treatment unit; at updated plant - US_Without Amendment_Windrow</v>
      </c>
    </row>
    <row r="5700" spans="1:13" s="120" customFormat="1" x14ac:dyDescent="0.25">
      <c r="A5700" s="119"/>
      <c r="B5700" s="138" t="str">
        <f t="shared" si="395"/>
        <v>Windrow</v>
      </c>
      <c r="C5700" s="138" t="str">
        <f t="shared" si="398"/>
        <v>Without Amendment</v>
      </c>
      <c r="D5700" s="138" t="str">
        <f t="shared" si="399"/>
        <v>Base_Low</v>
      </c>
      <c r="E5700" s="138" t="str">
        <f t="shared" si="400"/>
        <v>Low</v>
      </c>
      <c r="F5700" s="138" t="str">
        <f t="shared" si="396"/>
        <v>Upgraded</v>
      </c>
      <c r="G5700" s="153"/>
      <c r="H5700" s="210">
        <v>1.38E-2</v>
      </c>
      <c r="I5700" s="160" t="s">
        <v>128</v>
      </c>
      <c r="J5700" s="211">
        <v>5.0608900000000003E-6</v>
      </c>
      <c r="K5700" s="160" t="s">
        <v>26</v>
      </c>
      <c r="L5700" s="154" t="str">
        <f>IF(OpenLCAbasic!K5700="CTUh", "Fill in Manually",IF(OR(K5700="Unit", K5700=""), "", INDEX(LookUps!$E$5:$E$12, MATCH(OpenLCAbasic!K5700,LookUps!$D$5:$D$12,0))))</f>
        <v>Water Use (WU) - m3 H2O</v>
      </c>
      <c r="M5700" s="154" t="str">
        <f t="shared" si="397"/>
        <v>Low_Base_Low_Upgraded_Water Use (WU) - m3 H2O_Wastewater collection; operation and infrastructure; m3 wastewater_Without Amendment_Windrow</v>
      </c>
    </row>
    <row r="5701" spans="1:13" s="120" customFormat="1" x14ac:dyDescent="0.25">
      <c r="A5701" s="119"/>
      <c r="B5701" s="138" t="str">
        <f t="shared" si="395"/>
        <v>Windrow</v>
      </c>
      <c r="C5701" s="138" t="str">
        <f t="shared" si="398"/>
        <v>Without Amendment</v>
      </c>
      <c r="D5701" s="138" t="str">
        <f t="shared" si="399"/>
        <v>Base_Low</v>
      </c>
      <c r="E5701" s="138" t="str">
        <f t="shared" si="400"/>
        <v>Low</v>
      </c>
      <c r="F5701" s="138" t="str">
        <f t="shared" si="396"/>
        <v>Upgraded</v>
      </c>
      <c r="G5701" s="153"/>
      <c r="H5701" s="210">
        <v>3.2000000000000002E-3</v>
      </c>
      <c r="I5701" s="160" t="s">
        <v>271</v>
      </c>
      <c r="J5701" s="211">
        <v>1.16325E-6</v>
      </c>
      <c r="K5701" s="160" t="s">
        <v>26</v>
      </c>
      <c r="L5701" s="154" t="str">
        <f>IF(OpenLCAbasic!K5701="CTUh", "Fill in Manually",IF(OR(K5701="Unit", K5701=""), "", INDEX(LookUps!$E$5:$E$12, MATCH(OpenLCAbasic!K5701,LookUps!$D$5:$D$12,0))))</f>
        <v>Water Use (WU) - m3 H2O</v>
      </c>
      <c r="M5701" s="154" t="str">
        <f t="shared" si="397"/>
        <v>Low_Base_Low_Upgraded_Water Use (WU) - m3 H2O_Biosolids composting; windrow composting; wastewater treatment unit; at updated plant - US_Without Amendment_Windrow</v>
      </c>
    </row>
    <row r="5702" spans="1:13" s="120" customFormat="1" x14ac:dyDescent="0.25">
      <c r="A5702" s="119"/>
      <c r="B5702" s="138" t="str">
        <f t="shared" si="395"/>
        <v>Windrow</v>
      </c>
      <c r="C5702" s="138" t="str">
        <f t="shared" si="398"/>
        <v>Without Amendment</v>
      </c>
      <c r="D5702" s="138" t="str">
        <f t="shared" si="399"/>
        <v>Base_Low</v>
      </c>
      <c r="E5702" s="138" t="str">
        <f t="shared" si="400"/>
        <v>Low</v>
      </c>
      <c r="F5702" s="138" t="str">
        <f t="shared" si="396"/>
        <v>Upgraded</v>
      </c>
      <c r="G5702" s="153"/>
      <c r="H5702" s="210">
        <v>2.0999999999999999E-3</v>
      </c>
      <c r="I5702" s="160" t="s">
        <v>168</v>
      </c>
      <c r="J5702" s="211">
        <v>7.6697000000000004E-7</v>
      </c>
      <c r="K5702" s="160" t="s">
        <v>26</v>
      </c>
      <c r="L5702" s="154" t="str">
        <f>IF(OpenLCAbasic!K5702="CTUh", "Fill in Manually",IF(OR(K5702="Unit", K5702=""), "", INDEX(LookUps!$E$5:$E$12, MATCH(OpenLCAbasic!K5702,LookUps!$D$5:$D$12,0))))</f>
        <v>Water Use (WU) - m3 H2O</v>
      </c>
      <c r="M5702" s="154" t="str">
        <f t="shared" si="397"/>
        <v>Low_Base_Low_Upgraded_Water Use (WU) - m3 H2O_ClearCove SCP; wastewater treatment unit; at updated plant - US_Without Amendment_Windrow</v>
      </c>
    </row>
    <row r="5703" spans="1:13" s="120" customFormat="1" x14ac:dyDescent="0.25">
      <c r="A5703" s="119"/>
      <c r="B5703" s="138" t="str">
        <f t="shared" si="395"/>
        <v>Windrow</v>
      </c>
      <c r="C5703" s="138" t="str">
        <f t="shared" si="398"/>
        <v>Without Amendment</v>
      </c>
      <c r="D5703" s="138" t="str">
        <f t="shared" si="399"/>
        <v>Base_Low</v>
      </c>
      <c r="E5703" s="138" t="str">
        <f t="shared" si="400"/>
        <v>Low</v>
      </c>
      <c r="F5703" s="138" t="str">
        <f t="shared" si="396"/>
        <v>Upgraded</v>
      </c>
      <c r="G5703" s="153"/>
      <c r="H5703" s="210">
        <v>-2.1362999999999999</v>
      </c>
      <c r="I5703" s="160" t="s">
        <v>62</v>
      </c>
      <c r="J5703" s="160">
        <v>-7.7999999999999999E-4</v>
      </c>
      <c r="K5703" s="160" t="s">
        <v>26</v>
      </c>
      <c r="L5703" s="154" t="str">
        <f>IF(OpenLCAbasic!K5703="CTUh", "Fill in Manually",IF(OR(K5703="Unit", K5703=""), "", INDEX(LookUps!$E$5:$E$12, MATCH(OpenLCAbasic!K5703,LookUps!$D$5:$D$12,0))))</f>
        <v>Water Use (WU) - m3 H2O</v>
      </c>
      <c r="M5703" s="154" t="str">
        <f t="shared" si="397"/>
        <v>Low_Base_Low_Upgraded_Water Use (WU) - m3 H2O_Land application of compost; wastewater treatment unit; at updated plant - US_Without Amendment_Windrow</v>
      </c>
    </row>
    <row r="5704" spans="1:13" s="120" customFormat="1" x14ac:dyDescent="0.25">
      <c r="A5704" s="119"/>
      <c r="B5704" s="138" t="str">
        <f t="shared" si="395"/>
        <v/>
      </c>
      <c r="C5704" s="138" t="str">
        <f t="shared" si="398"/>
        <v/>
      </c>
      <c r="D5704" s="138" t="str">
        <f>IF(ISNUMBER($J5704),"Base","")</f>
        <v/>
      </c>
      <c r="E5704" s="138" t="str">
        <f t="shared" si="400"/>
        <v/>
      </c>
      <c r="F5704" s="138" t="str">
        <f t="shared" si="396"/>
        <v/>
      </c>
      <c r="G5704" s="153" t="s">
        <v>51</v>
      </c>
      <c r="H5704" s="160"/>
      <c r="I5704" s="160" t="s">
        <v>47</v>
      </c>
      <c r="J5704" s="160" t="s">
        <v>52</v>
      </c>
      <c r="K5704" s="160" t="s">
        <v>27</v>
      </c>
      <c r="L5704" s="154" t="str">
        <f>IF(OpenLCAbasic!K5704="CTUh", "Fill in Manually",IF(OR(K5704="Unit", K5704=""), "", INDEX(LookUps!$E$5:$E$12, MATCH(OpenLCAbasic!K5704,LookUps!$D$5:$D$12,0))))</f>
        <v/>
      </c>
      <c r="M5704" s="154" t="str">
        <f t="shared" si="397"/>
        <v>____Process__</v>
      </c>
    </row>
    <row r="5705" spans="1:13" s="120" customFormat="1" x14ac:dyDescent="0.25">
      <c r="A5705" s="119"/>
      <c r="B5705" s="138" t="str">
        <f t="shared" si="395"/>
        <v>Windrow</v>
      </c>
      <c r="C5705" s="138" t="str">
        <f t="shared" si="398"/>
        <v>Without Amendment</v>
      </c>
      <c r="D5705" s="138" t="str">
        <f t="shared" ref="D5705:D5768" si="401">IF(ISNUMBER($J5705),"Base","")</f>
        <v>Base</v>
      </c>
      <c r="E5705" s="138" t="str">
        <f t="shared" si="400"/>
        <v>Low</v>
      </c>
      <c r="F5705" s="138" t="str">
        <f t="shared" si="396"/>
        <v>Upgraded</v>
      </c>
      <c r="G5705" s="153"/>
      <c r="H5705" s="210">
        <v>0.49980000000000002</v>
      </c>
      <c r="I5705" s="160" t="s">
        <v>55</v>
      </c>
      <c r="J5705" s="160">
        <v>1.7219999999999999E-2</v>
      </c>
      <c r="K5705" s="160" t="s">
        <v>24</v>
      </c>
      <c r="L5705" s="154" t="str">
        <f>IF(OpenLCAbasic!K5705="CTUh", "Fill in Manually",IF(OR(K5705="Unit", K5705=""), "", INDEX(LookUps!$E$5:$E$12, MATCH(OpenLCAbasic!K5705,LookUps!$D$5:$D$12,0))))</f>
        <v>Acidification Potential (AP) - kg SO2 eq</v>
      </c>
      <c r="M5705" s="154" t="str">
        <f t="shared" si="397"/>
        <v>Low_Base_Upgraded_Acidification Potential (AP) - kg SO2 eq_Aeration Tanks; wastewater treatment unit; at updated plant - US_Without Amendment_Windrow</v>
      </c>
    </row>
    <row r="5706" spans="1:13" s="120" customFormat="1" x14ac:dyDescent="0.25">
      <c r="A5706" s="119"/>
      <c r="B5706" s="138" t="str">
        <f t="shared" si="395"/>
        <v>Windrow</v>
      </c>
      <c r="C5706" s="138" t="str">
        <f t="shared" si="398"/>
        <v>Without Amendment</v>
      </c>
      <c r="D5706" s="138" t="str">
        <f t="shared" si="401"/>
        <v>Base</v>
      </c>
      <c r="E5706" s="138" t="str">
        <f t="shared" si="400"/>
        <v>Low</v>
      </c>
      <c r="F5706" s="138" t="str">
        <f t="shared" si="396"/>
        <v>Upgraded</v>
      </c>
      <c r="G5706" s="153"/>
      <c r="H5706" s="210">
        <v>0.14460000000000001</v>
      </c>
      <c r="I5706" s="160" t="s">
        <v>54</v>
      </c>
      <c r="J5706" s="160">
        <v>4.9800000000000001E-3</v>
      </c>
      <c r="K5706" s="160" t="s">
        <v>24</v>
      </c>
      <c r="L5706" s="154" t="str">
        <f>IF(OpenLCAbasic!K5706="CTUh", "Fill in Manually",IF(OR(K5706="Unit", K5706=""), "", INDEX(LookUps!$E$5:$E$12, MATCH(OpenLCAbasic!K5706,LookUps!$D$5:$D$12,0))))</f>
        <v>Acidification Potential (AP) - kg SO2 eq</v>
      </c>
      <c r="M5706" s="154" t="str">
        <f t="shared" si="397"/>
        <v>Low_Base_Upgraded_Acidification Potential (AP) - kg SO2 eq_Clear Cove Primary Clarification; wastewater treatment unit; at updated plant - US_Without Amendment_Windrow</v>
      </c>
    </row>
    <row r="5707" spans="1:13" s="120" customFormat="1" x14ac:dyDescent="0.25">
      <c r="A5707" s="119"/>
      <c r="B5707" s="138" t="str">
        <f t="shared" si="395"/>
        <v>Windrow</v>
      </c>
      <c r="C5707" s="138" t="str">
        <f t="shared" si="398"/>
        <v>Without Amendment</v>
      </c>
      <c r="D5707" s="138" t="str">
        <f t="shared" si="401"/>
        <v>Base</v>
      </c>
      <c r="E5707" s="138" t="str">
        <f t="shared" si="400"/>
        <v>Low</v>
      </c>
      <c r="F5707" s="138" t="str">
        <f t="shared" si="396"/>
        <v>Upgraded</v>
      </c>
      <c r="G5707" s="153"/>
      <c r="H5707" s="210">
        <v>0.12570000000000001</v>
      </c>
      <c r="I5707" s="160" t="s">
        <v>58</v>
      </c>
      <c r="J5707" s="160">
        <v>4.3299999999999996E-3</v>
      </c>
      <c r="K5707" s="160" t="s">
        <v>24</v>
      </c>
      <c r="L5707" s="154" t="str">
        <f>IF(OpenLCAbasic!K5707="CTUh", "Fill in Manually",IF(OR(K5707="Unit", K5707=""), "", INDEX(LookUps!$E$5:$E$12, MATCH(OpenLCAbasic!K5707,LookUps!$D$5:$D$12,0))))</f>
        <v>Acidification Potential (AP) - kg SO2 eq</v>
      </c>
      <c r="M5707" s="154" t="str">
        <f t="shared" si="397"/>
        <v>Low_Base_Upgraded_Acidification Potential (AP) - kg SO2 eq_Pre-Anoxic &amp; Swing tank; wastewater treatment unit; at updated plant - US_Without Amendment_Windrow</v>
      </c>
    </row>
    <row r="5708" spans="1:13" s="120" customFormat="1" x14ac:dyDescent="0.25">
      <c r="A5708" s="119"/>
      <c r="B5708" s="138" t="str">
        <f t="shared" si="395"/>
        <v>Windrow</v>
      </c>
      <c r="C5708" s="138" t="str">
        <f t="shared" si="398"/>
        <v>Without Amendment</v>
      </c>
      <c r="D5708" s="138" t="str">
        <f t="shared" si="401"/>
        <v>Base</v>
      </c>
      <c r="E5708" s="138" t="str">
        <f t="shared" si="400"/>
        <v>Low</v>
      </c>
      <c r="F5708" s="138" t="str">
        <f t="shared" si="396"/>
        <v>Upgraded</v>
      </c>
      <c r="G5708" s="153"/>
      <c r="H5708" s="210">
        <v>0.1002</v>
      </c>
      <c r="I5708" s="160" t="s">
        <v>53</v>
      </c>
      <c r="J5708" s="160">
        <v>3.4499999999999999E-3</v>
      </c>
      <c r="K5708" s="160" t="s">
        <v>24</v>
      </c>
      <c r="L5708" s="154" t="str">
        <f>IF(OpenLCAbasic!K5708="CTUh", "Fill in Manually",IF(OR(K5708="Unit", K5708=""), "", INDEX(LookUps!$E$5:$E$12, MATCH(OpenLCAbasic!K5708,LookUps!$D$5:$D$12,0))))</f>
        <v>Acidification Potential (AP) - kg SO2 eq</v>
      </c>
      <c r="M5708" s="154" t="str">
        <f t="shared" si="397"/>
        <v>Low_Base_Upgraded_Acidification Potential (AP) - kg SO2 eq_Wet Well and Sump Station; wastewater treatment unit; at updated plant - US_Without Amendment_Windrow</v>
      </c>
    </row>
    <row r="5709" spans="1:13" s="120" customFormat="1" x14ac:dyDescent="0.25">
      <c r="A5709" s="119"/>
      <c r="B5709" s="138" t="str">
        <f t="shared" si="395"/>
        <v>Windrow</v>
      </c>
      <c r="C5709" s="138" t="str">
        <f t="shared" si="398"/>
        <v>Without Amendment</v>
      </c>
      <c r="D5709" s="138" t="str">
        <f t="shared" si="401"/>
        <v>Base</v>
      </c>
      <c r="E5709" s="138" t="str">
        <f t="shared" si="400"/>
        <v>Low</v>
      </c>
      <c r="F5709" s="138" t="str">
        <f t="shared" si="396"/>
        <v>Upgraded</v>
      </c>
      <c r="G5709" s="153"/>
      <c r="H5709" s="210">
        <v>6.8900000000000003E-2</v>
      </c>
      <c r="I5709" s="160" t="s">
        <v>167</v>
      </c>
      <c r="J5709" s="160">
        <v>2.3800000000000002E-3</v>
      </c>
      <c r="K5709" s="160" t="s">
        <v>24</v>
      </c>
      <c r="L5709" s="154" t="str">
        <f>IF(OpenLCAbasic!K5709="CTUh", "Fill in Manually",IF(OR(K5709="Unit", K5709=""), "", INDEX(LookUps!$E$5:$E$12, MATCH(OpenLCAbasic!K5709,LookUps!$D$5:$D$12,0))))</f>
        <v>Acidification Potential (AP) - kg SO2 eq</v>
      </c>
      <c r="M5709" s="154" t="str">
        <f t="shared" si="397"/>
        <v>Low_Base_Upgraded_Acidification Potential (AP) - kg SO2 eq_Waste Receiving and Holding; wastewater treatment unit; at updated plant - US_Without Amendment_Windrow</v>
      </c>
    </row>
    <row r="5710" spans="1:13" s="120" customFormat="1" x14ac:dyDescent="0.25">
      <c r="A5710" s="119"/>
      <c r="B5710" s="138" t="str">
        <f t="shared" si="395"/>
        <v>Windrow</v>
      </c>
      <c r="C5710" s="138" t="str">
        <f t="shared" si="398"/>
        <v>Without Amendment</v>
      </c>
      <c r="D5710" s="138" t="str">
        <f t="shared" si="401"/>
        <v>Base</v>
      </c>
      <c r="E5710" s="138" t="str">
        <f t="shared" si="400"/>
        <v>Low</v>
      </c>
      <c r="F5710" s="138" t="str">
        <f t="shared" si="396"/>
        <v>Upgraded</v>
      </c>
      <c r="G5710" s="153"/>
      <c r="H5710" s="210">
        <v>0.06</v>
      </c>
      <c r="I5710" s="160" t="s">
        <v>147</v>
      </c>
      <c r="J5710" s="160">
        <v>2.0699999999999998E-3</v>
      </c>
      <c r="K5710" s="160" t="s">
        <v>24</v>
      </c>
      <c r="L5710" s="154" t="str">
        <f>IF(OpenLCAbasic!K5710="CTUh", "Fill in Manually",IF(OR(K5710="Unit", K5710=""), "", INDEX(LookUps!$E$5:$E$12, MATCH(OpenLCAbasic!K5710,LookUps!$D$5:$D$12,0))))</f>
        <v>Acidification Potential (AP) - kg SO2 eq</v>
      </c>
      <c r="M5710" s="154" t="str">
        <f t="shared" si="397"/>
        <v>Low_Base_Upgraded_Acidification Potential (AP) - kg SO2 eq_Influent Pump Station; wastewater treatment unit; at updated plant - US_Without Amendment_Windrow</v>
      </c>
    </row>
    <row r="5711" spans="1:13" s="120" customFormat="1" x14ac:dyDescent="0.25">
      <c r="A5711" s="119"/>
      <c r="B5711" s="138" t="str">
        <f t="shared" si="395"/>
        <v>Windrow</v>
      </c>
      <c r="C5711" s="138" t="str">
        <f t="shared" si="398"/>
        <v>Without Amendment</v>
      </c>
      <c r="D5711" s="138" t="str">
        <f t="shared" si="401"/>
        <v>Base</v>
      </c>
      <c r="E5711" s="138" t="str">
        <f t="shared" si="400"/>
        <v>Low</v>
      </c>
      <c r="F5711" s="138" t="str">
        <f t="shared" si="396"/>
        <v>Upgraded</v>
      </c>
      <c r="G5711" s="153"/>
      <c r="H5711" s="210">
        <v>5.62E-2</v>
      </c>
      <c r="I5711" s="160" t="s">
        <v>62</v>
      </c>
      <c r="J5711" s="160">
        <v>1.9400000000000001E-3</v>
      </c>
      <c r="K5711" s="160" t="s">
        <v>24</v>
      </c>
      <c r="L5711" s="154" t="str">
        <f>IF(OpenLCAbasic!K5711="CTUh", "Fill in Manually",IF(OR(K5711="Unit", K5711=""), "", INDEX(LookUps!$E$5:$E$12, MATCH(OpenLCAbasic!K5711,LookUps!$D$5:$D$12,0))))</f>
        <v>Acidification Potential (AP) - kg SO2 eq</v>
      </c>
      <c r="M5711" s="154" t="str">
        <f t="shared" si="397"/>
        <v>Low_Base_Upgraded_Acidification Potential (AP) - kg SO2 eq_Land application of compost; wastewater treatment unit; at updated plant - US_Without Amendment_Windrow</v>
      </c>
    </row>
    <row r="5712" spans="1:13" s="120" customFormat="1" x14ac:dyDescent="0.25">
      <c r="A5712" s="119"/>
      <c r="B5712" s="138" t="str">
        <f t="shared" si="395"/>
        <v>Windrow</v>
      </c>
      <c r="C5712" s="138" t="str">
        <f t="shared" si="398"/>
        <v>Without Amendment</v>
      </c>
      <c r="D5712" s="138" t="str">
        <f t="shared" si="401"/>
        <v>Base</v>
      </c>
      <c r="E5712" s="138" t="str">
        <f t="shared" si="400"/>
        <v>Low</v>
      </c>
      <c r="F5712" s="138" t="str">
        <f t="shared" si="396"/>
        <v>Upgraded</v>
      </c>
      <c r="G5712" s="153"/>
      <c r="H5712" s="210">
        <v>3.5799999999999998E-2</v>
      </c>
      <c r="I5712" s="160" t="s">
        <v>128</v>
      </c>
      <c r="J5712" s="160">
        <v>1.23E-3</v>
      </c>
      <c r="K5712" s="160" t="s">
        <v>24</v>
      </c>
      <c r="L5712" s="154" t="str">
        <f>IF(OpenLCAbasic!K5712="CTUh", "Fill in Manually",IF(OR(K5712="Unit", K5712=""), "", INDEX(LookUps!$E$5:$E$12, MATCH(OpenLCAbasic!K5712,LookUps!$D$5:$D$12,0))))</f>
        <v>Acidification Potential (AP) - kg SO2 eq</v>
      </c>
      <c r="M5712" s="154" t="str">
        <f t="shared" si="397"/>
        <v>Low_Base_Upgraded_Acidification Potential (AP) - kg SO2 eq_Wastewater collection; operation and infrastructure; m3 wastewater_Without Amendment_Windrow</v>
      </c>
    </row>
    <row r="5713" spans="1:13" s="120" customFormat="1" x14ac:dyDescent="0.25">
      <c r="A5713" s="119"/>
      <c r="B5713" s="138" t="str">
        <f t="shared" si="395"/>
        <v>Windrow</v>
      </c>
      <c r="C5713" s="138" t="str">
        <f t="shared" si="398"/>
        <v>Without Amendment</v>
      </c>
      <c r="D5713" s="138" t="str">
        <f t="shared" si="401"/>
        <v>Base</v>
      </c>
      <c r="E5713" s="138" t="str">
        <f t="shared" si="400"/>
        <v>Low</v>
      </c>
      <c r="F5713" s="138" t="str">
        <f t="shared" si="396"/>
        <v>Upgraded</v>
      </c>
      <c r="G5713" s="153"/>
      <c r="H5713" s="210">
        <v>2.24E-2</v>
      </c>
      <c r="I5713" s="160" t="s">
        <v>60</v>
      </c>
      <c r="J5713" s="160">
        <v>7.6999999999999996E-4</v>
      </c>
      <c r="K5713" s="160" t="s">
        <v>24</v>
      </c>
      <c r="L5713" s="154" t="str">
        <f>IF(OpenLCAbasic!K5713="CTUh", "Fill in Manually",IF(OR(K5713="Unit", K5713=""), "", INDEX(LookUps!$E$5:$E$12, MATCH(OpenLCAbasic!K5713,LookUps!$D$5:$D$12,0))))</f>
        <v>Acidification Potential (AP) - kg SO2 eq</v>
      </c>
      <c r="M5713" s="154" t="str">
        <f t="shared" si="397"/>
        <v>Low_Base_Upgraded_Acidification Potential (AP) - kg SO2 eq_Belt filter press; wastewater treatment unit; at updated plant - US_Without Amendment_Windrow</v>
      </c>
    </row>
    <row r="5714" spans="1:13" s="120" customFormat="1" x14ac:dyDescent="0.25">
      <c r="A5714" s="119"/>
      <c r="B5714" s="138" t="str">
        <f t="shared" si="395"/>
        <v>Windrow</v>
      </c>
      <c r="C5714" s="138" t="str">
        <f t="shared" si="398"/>
        <v>Without Amendment</v>
      </c>
      <c r="D5714" s="138" t="str">
        <f t="shared" si="401"/>
        <v>Base</v>
      </c>
      <c r="E5714" s="138" t="str">
        <f t="shared" si="400"/>
        <v>Low</v>
      </c>
      <c r="F5714" s="138" t="str">
        <f t="shared" si="396"/>
        <v>Upgraded</v>
      </c>
      <c r="G5714" s="153"/>
      <c r="H5714" s="210">
        <v>2.0400000000000001E-2</v>
      </c>
      <c r="I5714" s="160" t="s">
        <v>57</v>
      </c>
      <c r="J5714" s="160">
        <v>6.9999999999999999E-4</v>
      </c>
      <c r="K5714" s="160" t="s">
        <v>24</v>
      </c>
      <c r="L5714" s="154" t="str">
        <f>IF(OpenLCAbasic!K5714="CTUh", "Fill in Manually",IF(OR(K5714="Unit", K5714=""), "", INDEX(LookUps!$E$5:$E$12, MATCH(OpenLCAbasic!K5714,LookUps!$D$5:$D$12,0))))</f>
        <v>Acidification Potential (AP) - kg SO2 eq</v>
      </c>
      <c r="M5714" s="154" t="str">
        <f t="shared" si="397"/>
        <v>Low_Base_Upgraded_Acidification Potential (AP) - kg SO2 eq_Gravity Belt Thickener; wastewater treatment unit; at updated plant - US_Without Amendment_Windrow</v>
      </c>
    </row>
    <row r="5715" spans="1:13" s="120" customFormat="1" x14ac:dyDescent="0.25">
      <c r="A5715" s="119"/>
      <c r="B5715" s="138" t="str">
        <f t="shared" si="395"/>
        <v>Windrow</v>
      </c>
      <c r="C5715" s="138" t="str">
        <f t="shared" si="398"/>
        <v>Without Amendment</v>
      </c>
      <c r="D5715" s="138" t="str">
        <f t="shared" si="401"/>
        <v>Base</v>
      </c>
      <c r="E5715" s="138" t="str">
        <f t="shared" si="400"/>
        <v>Low</v>
      </c>
      <c r="F5715" s="138" t="str">
        <f t="shared" si="396"/>
        <v>Upgraded</v>
      </c>
      <c r="G5715" s="153"/>
      <c r="H5715" s="210">
        <v>1.95E-2</v>
      </c>
      <c r="I5715" s="160" t="s">
        <v>271</v>
      </c>
      <c r="J5715" s="160">
        <v>6.7000000000000002E-4</v>
      </c>
      <c r="K5715" s="160" t="s">
        <v>24</v>
      </c>
      <c r="L5715" s="154" t="str">
        <f>IF(OpenLCAbasic!K5715="CTUh", "Fill in Manually",IF(OR(K5715="Unit", K5715=""), "", INDEX(LookUps!$E$5:$E$12, MATCH(OpenLCAbasic!K5715,LookUps!$D$5:$D$12,0))))</f>
        <v>Acidification Potential (AP) - kg SO2 eq</v>
      </c>
      <c r="M5715" s="154" t="str">
        <f t="shared" si="397"/>
        <v>Low_Base_Upgraded_Acidification Potential (AP) - kg SO2 eq_Biosolids composting; windrow composting; wastewater treatment unit; at updated plant - US_Without Amendment_Windrow</v>
      </c>
    </row>
    <row r="5716" spans="1:13" s="120" customFormat="1" x14ac:dyDescent="0.25">
      <c r="A5716" s="119"/>
      <c r="B5716" s="138" t="str">
        <f t="shared" si="395"/>
        <v>Windrow</v>
      </c>
      <c r="C5716" s="138" t="str">
        <f t="shared" si="398"/>
        <v>Without Amendment</v>
      </c>
      <c r="D5716" s="138" t="str">
        <f t="shared" si="401"/>
        <v>Base</v>
      </c>
      <c r="E5716" s="138" t="str">
        <f t="shared" si="400"/>
        <v>Low</v>
      </c>
      <c r="F5716" s="138" t="str">
        <f t="shared" si="396"/>
        <v>Upgraded</v>
      </c>
      <c r="G5716" s="153"/>
      <c r="H5716" s="210">
        <v>1.4999999999999999E-2</v>
      </c>
      <c r="I5716" s="160" t="s">
        <v>59</v>
      </c>
      <c r="J5716" s="160">
        <v>5.1999999999999995E-4</v>
      </c>
      <c r="K5716" s="160" t="s">
        <v>24</v>
      </c>
      <c r="L5716" s="154" t="str">
        <f>IF(OpenLCAbasic!K5716="CTUh", "Fill in Manually",IF(OR(K5716="Unit", K5716=""), "", INDEX(LookUps!$E$5:$E$12, MATCH(OpenLCAbasic!K5716,LookUps!$D$5:$D$12,0))))</f>
        <v>Acidification Potential (AP) - kg SO2 eq</v>
      </c>
      <c r="M5716" s="154" t="str">
        <f t="shared" si="397"/>
        <v>Low_Base_Upgraded_Acidification Potential (AP) - kg SO2 eq_Blend Tank; wastewater treatment unit; at updated plant - US_Without Amendment_Windrow</v>
      </c>
    </row>
    <row r="5717" spans="1:13" s="120" customFormat="1" x14ac:dyDescent="0.25">
      <c r="A5717" s="119"/>
      <c r="B5717" s="138" t="str">
        <f t="shared" si="395"/>
        <v>Windrow</v>
      </c>
      <c r="C5717" s="138" t="str">
        <f t="shared" si="398"/>
        <v>Without Amendment</v>
      </c>
      <c r="D5717" s="138" t="str">
        <f t="shared" si="401"/>
        <v>Base</v>
      </c>
      <c r="E5717" s="138" t="str">
        <f t="shared" si="400"/>
        <v>Low</v>
      </c>
      <c r="F5717" s="138" t="str">
        <f t="shared" si="396"/>
        <v>Upgraded</v>
      </c>
      <c r="G5717" s="153"/>
      <c r="H5717" s="210">
        <v>1.01E-2</v>
      </c>
      <c r="I5717" s="160" t="s">
        <v>48</v>
      </c>
      <c r="J5717" s="160">
        <v>3.5E-4</v>
      </c>
      <c r="K5717" s="160" t="s">
        <v>24</v>
      </c>
      <c r="L5717" s="154" t="str">
        <f>IF(OpenLCAbasic!K5717="CTUh", "Fill in Manually",IF(OR(K5717="Unit", K5717=""), "", INDEX(LookUps!$E$5:$E$12, MATCH(OpenLCAbasic!K5717,LookUps!$D$5:$D$12,0))))</f>
        <v>Acidification Potential (AP) - kg SO2 eq</v>
      </c>
      <c r="M5717" s="154" t="str">
        <f t="shared" si="397"/>
        <v>Low_Base_Upgraded_Acidification Potential (AP) - kg SO2 eq_Effluent release; wastewater treatment unit; at surface water; m3 wastewater - US_Without Amendment_Windrow</v>
      </c>
    </row>
    <row r="5718" spans="1:13" s="120" customFormat="1" x14ac:dyDescent="0.25">
      <c r="A5718" s="119"/>
      <c r="B5718" s="138" t="str">
        <f t="shared" si="395"/>
        <v>Windrow</v>
      </c>
      <c r="C5718" s="138" t="str">
        <f t="shared" si="398"/>
        <v>Without Amendment</v>
      </c>
      <c r="D5718" s="138" t="str">
        <f t="shared" si="401"/>
        <v>Base</v>
      </c>
      <c r="E5718" s="138" t="str">
        <f t="shared" si="400"/>
        <v>Low</v>
      </c>
      <c r="F5718" s="138" t="str">
        <f t="shared" si="396"/>
        <v>Upgraded</v>
      </c>
      <c r="G5718" s="153"/>
      <c r="H5718" s="210">
        <v>7.4000000000000003E-3</v>
      </c>
      <c r="I5718" s="160" t="s">
        <v>168</v>
      </c>
      <c r="J5718" s="160">
        <v>2.5999999999999998E-4</v>
      </c>
      <c r="K5718" s="160" t="s">
        <v>24</v>
      </c>
      <c r="L5718" s="154" t="str">
        <f>IF(OpenLCAbasic!K5718="CTUh", "Fill in Manually",IF(OR(K5718="Unit", K5718=""), "", INDEX(LookUps!$E$5:$E$12, MATCH(OpenLCAbasic!K5718,LookUps!$D$5:$D$12,0))))</f>
        <v>Acidification Potential (AP) - kg SO2 eq</v>
      </c>
      <c r="M5718" s="154" t="str">
        <f t="shared" si="397"/>
        <v>Low_Base_Upgraded_Acidification Potential (AP) - kg SO2 eq_ClearCove SCP; wastewater treatment unit; at updated plant - US_Without Amendment_Windrow</v>
      </c>
    </row>
    <row r="5719" spans="1:13" s="120" customFormat="1" x14ac:dyDescent="0.25">
      <c r="A5719" s="119"/>
      <c r="B5719" s="138" t="str">
        <f t="shared" si="395"/>
        <v>Windrow</v>
      </c>
      <c r="C5719" s="138" t="str">
        <f t="shared" si="398"/>
        <v>Without Amendment</v>
      </c>
      <c r="D5719" s="138" t="str">
        <f t="shared" si="401"/>
        <v>Base</v>
      </c>
      <c r="E5719" s="138" t="str">
        <f t="shared" si="400"/>
        <v>Low</v>
      </c>
      <c r="F5719" s="138" t="str">
        <f t="shared" si="396"/>
        <v>Upgraded</v>
      </c>
      <c r="G5719" s="153"/>
      <c r="H5719" s="210">
        <v>1.1999999999999999E-3</v>
      </c>
      <c r="I5719" s="160" t="s">
        <v>148</v>
      </c>
      <c r="J5719" s="211">
        <v>4.0354700000000002E-5</v>
      </c>
      <c r="K5719" s="160" t="s">
        <v>24</v>
      </c>
      <c r="L5719" s="154" t="str">
        <f>IF(OpenLCAbasic!K5719="CTUh", "Fill in Manually",IF(OR(K5719="Unit", K5719=""), "", INDEX(LookUps!$E$5:$E$12, MATCH(OpenLCAbasic!K5719,LookUps!$D$5:$D$12,0))))</f>
        <v>Acidification Potential (AP) - kg SO2 eq</v>
      </c>
      <c r="M5719" s="154" t="str">
        <f t="shared" si="397"/>
        <v>Low_Base_Upgraded_Acidification Potential (AP) - kg SO2 eq_Control Building; at upgraded wastewater treatment plant - US_Without Amendment_Windrow</v>
      </c>
    </row>
    <row r="5720" spans="1:13" s="120" customFormat="1" x14ac:dyDescent="0.25">
      <c r="A5720" s="119"/>
      <c r="B5720" s="138" t="str">
        <f t="shared" si="395"/>
        <v>Windrow</v>
      </c>
      <c r="C5720" s="138" t="str">
        <f t="shared" si="398"/>
        <v>Without Amendment</v>
      </c>
      <c r="D5720" s="138" t="str">
        <f t="shared" si="401"/>
        <v>Base</v>
      </c>
      <c r="E5720" s="138" t="str">
        <f t="shared" si="400"/>
        <v>Low</v>
      </c>
      <c r="F5720" s="138" t="str">
        <f t="shared" si="396"/>
        <v>Upgraded</v>
      </c>
      <c r="G5720" s="153"/>
      <c r="H5720" s="210">
        <v>-0.18720000000000001</v>
      </c>
      <c r="I5720" s="160" t="s">
        <v>149</v>
      </c>
      <c r="J5720" s="160">
        <v>-6.45E-3</v>
      </c>
      <c r="K5720" s="160" t="s">
        <v>24</v>
      </c>
      <c r="L5720" s="154" t="str">
        <f>IF(OpenLCAbasic!K5720="CTUh", "Fill in Manually",IF(OR(K5720="Unit", K5720=""), "", INDEX(LookUps!$E$5:$E$12, MATCH(OpenLCAbasic!K5720,LookUps!$D$5:$D$12,0))))</f>
        <v>Acidification Potential (AP) - kg SO2 eq</v>
      </c>
      <c r="M5720" s="154" t="str">
        <f t="shared" si="397"/>
        <v>Low_Base_Upgraded_Acidification Potential (AP) - kg SO2 eq_Anaerobic Digestion; wastewater treatment unit; at updated plant - US_Without Amendment_Windrow</v>
      </c>
    </row>
    <row r="5721" spans="1:13" s="120" customFormat="1" x14ac:dyDescent="0.25">
      <c r="A5721" s="119"/>
      <c r="B5721" s="138" t="str">
        <f t="shared" si="395"/>
        <v/>
      </c>
      <c r="C5721" s="138" t="str">
        <f t="shared" si="398"/>
        <v/>
      </c>
      <c r="D5721" s="138" t="str">
        <f t="shared" si="401"/>
        <v/>
      </c>
      <c r="E5721" s="138" t="str">
        <f t="shared" si="400"/>
        <v/>
      </c>
      <c r="F5721" s="138" t="str">
        <f t="shared" si="396"/>
        <v/>
      </c>
      <c r="G5721" s="153" t="s">
        <v>51</v>
      </c>
      <c r="H5721" s="160"/>
      <c r="I5721" s="160" t="s">
        <v>47</v>
      </c>
      <c r="J5721" s="160" t="s">
        <v>52</v>
      </c>
      <c r="K5721" s="160" t="s">
        <v>27</v>
      </c>
      <c r="L5721" s="154" t="str">
        <f>IF(OpenLCAbasic!K5721="CTUh", "Fill in Manually",IF(OR(K5721="Unit", K5721=""), "", INDEX(LookUps!$E$5:$E$12, MATCH(OpenLCAbasic!K5721,LookUps!$D$5:$D$12,0))))</f>
        <v/>
      </c>
      <c r="M5721" s="154" t="str">
        <f t="shared" si="397"/>
        <v>____Process__</v>
      </c>
    </row>
    <row r="5722" spans="1:13" s="120" customFormat="1" x14ac:dyDescent="0.25">
      <c r="A5722" s="119"/>
      <c r="B5722" s="138" t="str">
        <f t="shared" si="395"/>
        <v>Windrow</v>
      </c>
      <c r="C5722" s="138" t="str">
        <f t="shared" si="398"/>
        <v>Without Amendment</v>
      </c>
      <c r="D5722" s="138" t="str">
        <f t="shared" si="401"/>
        <v>Base</v>
      </c>
      <c r="E5722" s="138" t="str">
        <f t="shared" si="400"/>
        <v>Low</v>
      </c>
      <c r="F5722" s="138" t="str">
        <f t="shared" si="396"/>
        <v>Upgraded</v>
      </c>
      <c r="G5722" s="153"/>
      <c r="H5722" s="210">
        <v>0.36449999999999999</v>
      </c>
      <c r="I5722" s="160" t="s">
        <v>55</v>
      </c>
      <c r="J5722" s="160">
        <v>3.5330499999999998</v>
      </c>
      <c r="K5722" s="160" t="s">
        <v>15</v>
      </c>
      <c r="L5722" s="154" t="str">
        <f>IF(OpenLCAbasic!K5722="CTUh", "Fill in Manually",IF(OR(K5722="Unit", K5722=""), "", INDEX(LookUps!$E$5:$E$12, MATCH(OpenLCAbasic!K5722,LookUps!$D$5:$D$12,0))))</f>
        <v>Cumulative Energy Demand (CED) - MJ</v>
      </c>
      <c r="M5722" s="154" t="str">
        <f t="shared" si="397"/>
        <v>Low_Base_Upgraded_Cumulative Energy Demand (CED) - MJ_Aeration Tanks; wastewater treatment unit; at updated plant - US_Without Amendment_Windrow</v>
      </c>
    </row>
    <row r="5723" spans="1:13" s="120" customFormat="1" x14ac:dyDescent="0.25">
      <c r="A5723" s="119"/>
      <c r="B5723" s="138" t="str">
        <f t="shared" si="395"/>
        <v>Windrow</v>
      </c>
      <c r="C5723" s="138" t="str">
        <f t="shared" si="398"/>
        <v>Without Amendment</v>
      </c>
      <c r="D5723" s="138" t="str">
        <f t="shared" si="401"/>
        <v>Base</v>
      </c>
      <c r="E5723" s="138" t="str">
        <f t="shared" si="400"/>
        <v>Low</v>
      </c>
      <c r="F5723" s="138" t="str">
        <f t="shared" si="396"/>
        <v>Upgraded</v>
      </c>
      <c r="G5723" s="153"/>
      <c r="H5723" s="210">
        <v>0.3609</v>
      </c>
      <c r="I5723" s="160" t="s">
        <v>167</v>
      </c>
      <c r="J5723" s="160">
        <v>3.4982700000000002</v>
      </c>
      <c r="K5723" s="160" t="s">
        <v>15</v>
      </c>
      <c r="L5723" s="154" t="str">
        <f>IF(OpenLCAbasic!K5723="CTUh", "Fill in Manually",IF(OR(K5723="Unit", K5723=""), "", INDEX(LookUps!$E$5:$E$12, MATCH(OpenLCAbasic!K5723,LookUps!$D$5:$D$12,0))))</f>
        <v>Cumulative Energy Demand (CED) - MJ</v>
      </c>
      <c r="M5723" s="154" t="str">
        <f t="shared" si="397"/>
        <v>Low_Base_Upgraded_Cumulative Energy Demand (CED) - MJ_Waste Receiving and Holding; wastewater treatment unit; at updated plant - US_Without Amendment_Windrow</v>
      </c>
    </row>
    <row r="5724" spans="1:13" s="120" customFormat="1" x14ac:dyDescent="0.25">
      <c r="A5724" s="119"/>
      <c r="B5724" s="138" t="str">
        <f t="shared" si="395"/>
        <v>Windrow</v>
      </c>
      <c r="C5724" s="138" t="str">
        <f t="shared" si="398"/>
        <v>Without Amendment</v>
      </c>
      <c r="D5724" s="138" t="str">
        <f t="shared" si="401"/>
        <v>Base</v>
      </c>
      <c r="E5724" s="138" t="str">
        <f t="shared" si="400"/>
        <v>Low</v>
      </c>
      <c r="F5724" s="138" t="str">
        <f t="shared" si="396"/>
        <v>Upgraded</v>
      </c>
      <c r="G5724" s="153"/>
      <c r="H5724" s="210">
        <v>0.12</v>
      </c>
      <c r="I5724" s="160" t="s">
        <v>54</v>
      </c>
      <c r="J5724" s="160">
        <v>1.16289</v>
      </c>
      <c r="K5724" s="160" t="s">
        <v>15</v>
      </c>
      <c r="L5724" s="154" t="str">
        <f>IF(OpenLCAbasic!K5724="CTUh", "Fill in Manually",IF(OR(K5724="Unit", K5724=""), "", INDEX(LookUps!$E$5:$E$12, MATCH(OpenLCAbasic!K5724,LookUps!$D$5:$D$12,0))))</f>
        <v>Cumulative Energy Demand (CED) - MJ</v>
      </c>
      <c r="M5724" s="154" t="str">
        <f t="shared" si="397"/>
        <v>Low_Base_Upgraded_Cumulative Energy Demand (CED) - MJ_Clear Cove Primary Clarification; wastewater treatment unit; at updated plant - US_Without Amendment_Windrow</v>
      </c>
    </row>
    <row r="5725" spans="1:13" s="120" customFormat="1" x14ac:dyDescent="0.25">
      <c r="A5725" s="119"/>
      <c r="B5725" s="138" t="str">
        <f t="shared" si="395"/>
        <v>Windrow</v>
      </c>
      <c r="C5725" s="138" t="str">
        <f t="shared" si="398"/>
        <v>Without Amendment</v>
      </c>
      <c r="D5725" s="138" t="str">
        <f t="shared" si="401"/>
        <v>Base</v>
      </c>
      <c r="E5725" s="138" t="str">
        <f t="shared" si="400"/>
        <v>Low</v>
      </c>
      <c r="F5725" s="138" t="str">
        <f t="shared" si="396"/>
        <v>Upgraded</v>
      </c>
      <c r="G5725" s="153"/>
      <c r="H5725" s="210">
        <v>9.1200000000000003E-2</v>
      </c>
      <c r="I5725" s="160" t="s">
        <v>58</v>
      </c>
      <c r="J5725" s="160">
        <v>0.88417000000000001</v>
      </c>
      <c r="K5725" s="160" t="s">
        <v>15</v>
      </c>
      <c r="L5725" s="154" t="str">
        <f>IF(OpenLCAbasic!K5725="CTUh", "Fill in Manually",IF(OR(K5725="Unit", K5725=""), "", INDEX(LookUps!$E$5:$E$12, MATCH(OpenLCAbasic!K5725,LookUps!$D$5:$D$12,0))))</f>
        <v>Cumulative Energy Demand (CED) - MJ</v>
      </c>
      <c r="M5725" s="154" t="str">
        <f t="shared" si="397"/>
        <v>Low_Base_Upgraded_Cumulative Energy Demand (CED) - MJ_Pre-Anoxic &amp; Swing tank; wastewater treatment unit; at updated plant - US_Without Amendment_Windrow</v>
      </c>
    </row>
    <row r="5726" spans="1:13" s="120" customFormat="1" x14ac:dyDescent="0.25">
      <c r="A5726" s="119"/>
      <c r="B5726" s="138" t="str">
        <f t="shared" si="395"/>
        <v>Windrow</v>
      </c>
      <c r="C5726" s="138" t="str">
        <f t="shared" si="398"/>
        <v>Without Amendment</v>
      </c>
      <c r="D5726" s="138" t="str">
        <f t="shared" si="401"/>
        <v>Base</v>
      </c>
      <c r="E5726" s="138" t="str">
        <f t="shared" si="400"/>
        <v>Low</v>
      </c>
      <c r="F5726" s="138" t="str">
        <f t="shared" si="396"/>
        <v>Upgraded</v>
      </c>
      <c r="G5726" s="153"/>
      <c r="H5726" s="210">
        <v>9.11E-2</v>
      </c>
      <c r="I5726" s="160" t="s">
        <v>147</v>
      </c>
      <c r="J5726" s="160">
        <v>0.88297000000000003</v>
      </c>
      <c r="K5726" s="160" t="s">
        <v>15</v>
      </c>
      <c r="L5726" s="154" t="str">
        <f>IF(OpenLCAbasic!K5726="CTUh", "Fill in Manually",IF(OR(K5726="Unit", K5726=""), "", INDEX(LookUps!$E$5:$E$12, MATCH(OpenLCAbasic!K5726,LookUps!$D$5:$D$12,0))))</f>
        <v>Cumulative Energy Demand (CED) - MJ</v>
      </c>
      <c r="M5726" s="154" t="str">
        <f t="shared" si="397"/>
        <v>Low_Base_Upgraded_Cumulative Energy Demand (CED) - MJ_Influent Pump Station; wastewater treatment unit; at updated plant - US_Without Amendment_Windrow</v>
      </c>
    </row>
    <row r="5727" spans="1:13" s="120" customFormat="1" x14ac:dyDescent="0.25">
      <c r="A5727" s="119"/>
      <c r="B5727" s="138" t="str">
        <f t="shared" si="395"/>
        <v>Windrow</v>
      </c>
      <c r="C5727" s="138" t="str">
        <f t="shared" si="398"/>
        <v>Without Amendment</v>
      </c>
      <c r="D5727" s="138" t="str">
        <f t="shared" si="401"/>
        <v>Base</v>
      </c>
      <c r="E5727" s="138" t="str">
        <f t="shared" si="400"/>
        <v>Low</v>
      </c>
      <c r="F5727" s="138" t="str">
        <f t="shared" si="396"/>
        <v>Upgraded</v>
      </c>
      <c r="G5727" s="153"/>
      <c r="H5727" s="210">
        <v>7.1900000000000006E-2</v>
      </c>
      <c r="I5727" s="160" t="s">
        <v>53</v>
      </c>
      <c r="J5727" s="160">
        <v>0.69645000000000001</v>
      </c>
      <c r="K5727" s="160" t="s">
        <v>15</v>
      </c>
      <c r="L5727" s="154" t="str">
        <f>IF(OpenLCAbasic!K5727="CTUh", "Fill in Manually",IF(OR(K5727="Unit", K5727=""), "", INDEX(LookUps!$E$5:$E$12, MATCH(OpenLCAbasic!K5727,LookUps!$D$5:$D$12,0))))</f>
        <v>Cumulative Energy Demand (CED) - MJ</v>
      </c>
      <c r="M5727" s="154" t="str">
        <f t="shared" si="397"/>
        <v>Low_Base_Upgraded_Cumulative Energy Demand (CED) - MJ_Wet Well and Sump Station; wastewater treatment unit; at updated plant - US_Without Amendment_Windrow</v>
      </c>
    </row>
    <row r="5728" spans="1:13" s="120" customFormat="1" x14ac:dyDescent="0.25">
      <c r="A5728" s="119"/>
      <c r="B5728" s="138" t="str">
        <f t="shared" si="395"/>
        <v>Windrow</v>
      </c>
      <c r="C5728" s="138" t="str">
        <f t="shared" si="398"/>
        <v>Without Amendment</v>
      </c>
      <c r="D5728" s="138" t="str">
        <f t="shared" si="401"/>
        <v>Base</v>
      </c>
      <c r="E5728" s="138" t="str">
        <f t="shared" si="400"/>
        <v>Low</v>
      </c>
      <c r="F5728" s="138" t="str">
        <f t="shared" si="396"/>
        <v>Upgraded</v>
      </c>
      <c r="G5728" s="153"/>
      <c r="H5728" s="210">
        <v>3.4500000000000003E-2</v>
      </c>
      <c r="I5728" s="160" t="s">
        <v>57</v>
      </c>
      <c r="J5728" s="160">
        <v>0.33404</v>
      </c>
      <c r="K5728" s="160" t="s">
        <v>15</v>
      </c>
      <c r="L5728" s="154" t="str">
        <f>IF(OpenLCAbasic!K5728="CTUh", "Fill in Manually",IF(OR(K5728="Unit", K5728=""), "", INDEX(LookUps!$E$5:$E$12, MATCH(OpenLCAbasic!K5728,LookUps!$D$5:$D$12,0))))</f>
        <v>Cumulative Energy Demand (CED) - MJ</v>
      </c>
      <c r="M5728" s="154" t="str">
        <f t="shared" si="397"/>
        <v>Low_Base_Upgraded_Cumulative Energy Demand (CED) - MJ_Gravity Belt Thickener; wastewater treatment unit; at updated plant - US_Without Amendment_Windrow</v>
      </c>
    </row>
    <row r="5729" spans="1:13" s="120" customFormat="1" x14ac:dyDescent="0.25">
      <c r="A5729" s="119"/>
      <c r="B5729" s="138" t="str">
        <f t="shared" si="395"/>
        <v>Windrow</v>
      </c>
      <c r="C5729" s="138" t="str">
        <f t="shared" si="398"/>
        <v>Without Amendment</v>
      </c>
      <c r="D5729" s="138" t="str">
        <f t="shared" si="401"/>
        <v>Base</v>
      </c>
      <c r="E5729" s="138" t="str">
        <f t="shared" si="400"/>
        <v>Low</v>
      </c>
      <c r="F5729" s="138" t="str">
        <f t="shared" si="396"/>
        <v>Upgraded</v>
      </c>
      <c r="G5729" s="153"/>
      <c r="H5729" s="210">
        <v>2.98E-2</v>
      </c>
      <c r="I5729" s="160" t="s">
        <v>60</v>
      </c>
      <c r="J5729" s="160">
        <v>0.28833999999999999</v>
      </c>
      <c r="K5729" s="160" t="s">
        <v>15</v>
      </c>
      <c r="L5729" s="154" t="str">
        <f>IF(OpenLCAbasic!K5729="CTUh", "Fill in Manually",IF(OR(K5729="Unit", K5729=""), "", INDEX(LookUps!$E$5:$E$12, MATCH(OpenLCAbasic!K5729,LookUps!$D$5:$D$12,0))))</f>
        <v>Cumulative Energy Demand (CED) - MJ</v>
      </c>
      <c r="M5729" s="154" t="str">
        <f t="shared" si="397"/>
        <v>Low_Base_Upgraded_Cumulative Energy Demand (CED) - MJ_Belt filter press; wastewater treatment unit; at updated plant - US_Without Amendment_Windrow</v>
      </c>
    </row>
    <row r="5730" spans="1:13" s="120" customFormat="1" x14ac:dyDescent="0.25">
      <c r="A5730" s="119"/>
      <c r="B5730" s="138" t="str">
        <f t="shared" si="395"/>
        <v>Windrow</v>
      </c>
      <c r="C5730" s="138" t="str">
        <f t="shared" si="398"/>
        <v>Without Amendment</v>
      </c>
      <c r="D5730" s="138" t="str">
        <f t="shared" si="401"/>
        <v>Base</v>
      </c>
      <c r="E5730" s="138" t="str">
        <f t="shared" si="400"/>
        <v>Low</v>
      </c>
      <c r="F5730" s="138" t="str">
        <f t="shared" si="396"/>
        <v>Upgraded</v>
      </c>
      <c r="G5730" s="153"/>
      <c r="H5730" s="210">
        <v>2.64E-2</v>
      </c>
      <c r="I5730" s="160" t="s">
        <v>128</v>
      </c>
      <c r="J5730" s="160">
        <v>0.25606000000000001</v>
      </c>
      <c r="K5730" s="160" t="s">
        <v>15</v>
      </c>
      <c r="L5730" s="154" t="str">
        <f>IF(OpenLCAbasic!K5730="CTUh", "Fill in Manually",IF(OR(K5730="Unit", K5730=""), "", INDEX(LookUps!$E$5:$E$12, MATCH(OpenLCAbasic!K5730,LookUps!$D$5:$D$12,0))))</f>
        <v>Cumulative Energy Demand (CED) - MJ</v>
      </c>
      <c r="M5730" s="154" t="str">
        <f t="shared" si="397"/>
        <v>Low_Base_Upgraded_Cumulative Energy Demand (CED) - MJ_Wastewater collection; operation and infrastructure; m3 wastewater_Without Amendment_Windrow</v>
      </c>
    </row>
    <row r="5731" spans="1:13" s="120" customFormat="1" x14ac:dyDescent="0.25">
      <c r="A5731" s="119"/>
      <c r="B5731" s="138" t="str">
        <f t="shared" si="395"/>
        <v>Windrow</v>
      </c>
      <c r="C5731" s="138" t="str">
        <f t="shared" si="398"/>
        <v>Without Amendment</v>
      </c>
      <c r="D5731" s="138" t="str">
        <f t="shared" si="401"/>
        <v>Base</v>
      </c>
      <c r="E5731" s="138" t="str">
        <f t="shared" si="400"/>
        <v>Low</v>
      </c>
      <c r="F5731" s="138" t="str">
        <f t="shared" si="396"/>
        <v>Upgraded</v>
      </c>
      <c r="G5731" s="153"/>
      <c r="H5731" s="210">
        <v>1.5100000000000001E-2</v>
      </c>
      <c r="I5731" s="160" t="s">
        <v>148</v>
      </c>
      <c r="J5731" s="160">
        <v>0.14599000000000001</v>
      </c>
      <c r="K5731" s="160" t="s">
        <v>15</v>
      </c>
      <c r="L5731" s="154" t="str">
        <f>IF(OpenLCAbasic!K5731="CTUh", "Fill in Manually",IF(OR(K5731="Unit", K5731=""), "", INDEX(LookUps!$E$5:$E$12, MATCH(OpenLCAbasic!K5731,LookUps!$D$5:$D$12,0))))</f>
        <v>Cumulative Energy Demand (CED) - MJ</v>
      </c>
      <c r="M5731" s="154" t="str">
        <f t="shared" si="397"/>
        <v>Low_Base_Upgraded_Cumulative Energy Demand (CED) - MJ_Control Building; at upgraded wastewater treatment plant - US_Without Amendment_Windrow</v>
      </c>
    </row>
    <row r="5732" spans="1:13" s="120" customFormat="1" x14ac:dyDescent="0.25">
      <c r="A5732" s="119"/>
      <c r="B5732" s="138" t="str">
        <f t="shared" si="395"/>
        <v>Windrow</v>
      </c>
      <c r="C5732" s="138" t="str">
        <f t="shared" si="398"/>
        <v>Without Amendment</v>
      </c>
      <c r="D5732" s="138" t="str">
        <f t="shared" si="401"/>
        <v>Base</v>
      </c>
      <c r="E5732" s="138" t="str">
        <f t="shared" si="400"/>
        <v>Low</v>
      </c>
      <c r="F5732" s="138" t="str">
        <f t="shared" si="396"/>
        <v>Upgraded</v>
      </c>
      <c r="G5732" s="153"/>
      <c r="H5732" s="210">
        <v>1.37E-2</v>
      </c>
      <c r="I5732" s="160" t="s">
        <v>48</v>
      </c>
      <c r="J5732" s="160">
        <v>0.13321</v>
      </c>
      <c r="K5732" s="160" t="s">
        <v>15</v>
      </c>
      <c r="L5732" s="154" t="str">
        <f>IF(OpenLCAbasic!K5732="CTUh", "Fill in Manually",IF(OR(K5732="Unit", K5732=""), "", INDEX(LookUps!$E$5:$E$12, MATCH(OpenLCAbasic!K5732,LookUps!$D$5:$D$12,0))))</f>
        <v>Cumulative Energy Demand (CED) - MJ</v>
      </c>
      <c r="M5732" s="154" t="str">
        <f t="shared" si="397"/>
        <v>Low_Base_Upgraded_Cumulative Energy Demand (CED) - MJ_Effluent release; wastewater treatment unit; at surface water; m3 wastewater - US_Without Amendment_Windrow</v>
      </c>
    </row>
    <row r="5733" spans="1:13" s="120" customFormat="1" x14ac:dyDescent="0.25">
      <c r="A5733" s="119"/>
      <c r="B5733" s="138" t="str">
        <f t="shared" si="395"/>
        <v>Windrow</v>
      </c>
      <c r="C5733" s="138" t="str">
        <f t="shared" si="398"/>
        <v>Without Amendment</v>
      </c>
      <c r="D5733" s="138" t="str">
        <f t="shared" si="401"/>
        <v>Base</v>
      </c>
      <c r="E5733" s="138" t="str">
        <f t="shared" si="400"/>
        <v>Low</v>
      </c>
      <c r="F5733" s="138" t="str">
        <f t="shared" si="396"/>
        <v>Upgraded</v>
      </c>
      <c r="G5733" s="153"/>
      <c r="H5733" s="210">
        <v>1.0999999999999999E-2</v>
      </c>
      <c r="I5733" s="160" t="s">
        <v>59</v>
      </c>
      <c r="J5733" s="160">
        <v>0.10638</v>
      </c>
      <c r="K5733" s="160" t="s">
        <v>15</v>
      </c>
      <c r="L5733" s="154" t="str">
        <f>IF(OpenLCAbasic!K5733="CTUh", "Fill in Manually",IF(OR(K5733="Unit", K5733=""), "", INDEX(LookUps!$E$5:$E$12, MATCH(OpenLCAbasic!K5733,LookUps!$D$5:$D$12,0))))</f>
        <v>Cumulative Energy Demand (CED) - MJ</v>
      </c>
      <c r="M5733" s="154" t="str">
        <f t="shared" si="397"/>
        <v>Low_Base_Upgraded_Cumulative Energy Demand (CED) - MJ_Blend Tank; wastewater treatment unit; at updated plant - US_Without Amendment_Windrow</v>
      </c>
    </row>
    <row r="5734" spans="1:13" s="120" customFormat="1" x14ac:dyDescent="0.25">
      <c r="A5734" s="119"/>
      <c r="B5734" s="138" t="str">
        <f t="shared" si="395"/>
        <v>Windrow</v>
      </c>
      <c r="C5734" s="138" t="str">
        <f t="shared" si="398"/>
        <v>Without Amendment</v>
      </c>
      <c r="D5734" s="138" t="str">
        <f t="shared" si="401"/>
        <v>Base</v>
      </c>
      <c r="E5734" s="138" t="str">
        <f t="shared" si="400"/>
        <v>Low</v>
      </c>
      <c r="F5734" s="138" t="str">
        <f t="shared" si="396"/>
        <v>Upgraded</v>
      </c>
      <c r="G5734" s="153"/>
      <c r="H5734" s="210">
        <v>5.3E-3</v>
      </c>
      <c r="I5734" s="160" t="s">
        <v>168</v>
      </c>
      <c r="J5734" s="160">
        <v>5.0930000000000003E-2</v>
      </c>
      <c r="K5734" s="160" t="s">
        <v>15</v>
      </c>
      <c r="L5734" s="154" t="str">
        <f>IF(OpenLCAbasic!K5734="CTUh", "Fill in Manually",IF(OR(K5734="Unit", K5734=""), "", INDEX(LookUps!$E$5:$E$12, MATCH(OpenLCAbasic!K5734,LookUps!$D$5:$D$12,0))))</f>
        <v>Cumulative Energy Demand (CED) - MJ</v>
      </c>
      <c r="M5734" s="154" t="str">
        <f t="shared" si="397"/>
        <v>Low_Base_Upgraded_Cumulative Energy Demand (CED) - MJ_ClearCove SCP; wastewater treatment unit; at updated plant - US_Without Amendment_Windrow</v>
      </c>
    </row>
    <row r="5735" spans="1:13" s="120" customFormat="1" x14ac:dyDescent="0.25">
      <c r="A5735" s="119"/>
      <c r="B5735" s="138" t="str">
        <f t="shared" si="395"/>
        <v>Windrow</v>
      </c>
      <c r="C5735" s="138" t="str">
        <f t="shared" si="398"/>
        <v>Without Amendment</v>
      </c>
      <c r="D5735" s="138" t="str">
        <f t="shared" si="401"/>
        <v>Base</v>
      </c>
      <c r="E5735" s="138" t="str">
        <f t="shared" si="400"/>
        <v>Low</v>
      </c>
      <c r="F5735" s="138" t="str">
        <f t="shared" si="396"/>
        <v>Upgraded</v>
      </c>
      <c r="G5735" s="153"/>
      <c r="H5735" s="210">
        <v>1.9E-3</v>
      </c>
      <c r="I5735" s="160" t="s">
        <v>271</v>
      </c>
      <c r="J5735" s="160">
        <v>1.8859999999999998E-2</v>
      </c>
      <c r="K5735" s="160" t="s">
        <v>15</v>
      </c>
      <c r="L5735" s="154" t="str">
        <f>IF(OpenLCAbasic!K5735="CTUh", "Fill in Manually",IF(OR(K5735="Unit", K5735=""), "", INDEX(LookUps!$E$5:$E$12, MATCH(OpenLCAbasic!K5735,LookUps!$D$5:$D$12,0))))</f>
        <v>Cumulative Energy Demand (CED) - MJ</v>
      </c>
      <c r="M5735" s="154" t="str">
        <f t="shared" si="397"/>
        <v>Low_Base_Upgraded_Cumulative Energy Demand (CED) - MJ_Biosolids composting; windrow composting; wastewater treatment unit; at updated plant - US_Without Amendment_Windrow</v>
      </c>
    </row>
    <row r="5736" spans="1:13" s="120" customFormat="1" x14ac:dyDescent="0.25">
      <c r="A5736" s="119"/>
      <c r="B5736" s="138" t="str">
        <f t="shared" ref="B5736:B5799" si="402">IF(F5736="Legacy","n.a.",IF(F5736="","","Windrow"))</f>
        <v>Windrow</v>
      </c>
      <c r="C5736" s="138" t="str">
        <f t="shared" si="398"/>
        <v>Without Amendment</v>
      </c>
      <c r="D5736" s="138" t="str">
        <f t="shared" si="401"/>
        <v>Base</v>
      </c>
      <c r="E5736" s="138" t="str">
        <f t="shared" si="400"/>
        <v>Low</v>
      </c>
      <c r="F5736" s="138" t="str">
        <f t="shared" ref="F5736:F5799" si="403">IF(ISNUMBER(J5736),"Upgraded","")</f>
        <v>Upgraded</v>
      </c>
      <c r="G5736" s="153"/>
      <c r="H5736" s="210">
        <v>-3.1199999999999999E-2</v>
      </c>
      <c r="I5736" s="160" t="s">
        <v>62</v>
      </c>
      <c r="J5736" s="160">
        <v>-0.30220999999999998</v>
      </c>
      <c r="K5736" s="160" t="s">
        <v>15</v>
      </c>
      <c r="L5736" s="154" t="str">
        <f>IF(OpenLCAbasic!K5736="CTUh", "Fill in Manually",IF(OR(K5736="Unit", K5736=""), "", INDEX(LookUps!$E$5:$E$12, MATCH(OpenLCAbasic!K5736,LookUps!$D$5:$D$12,0))))</f>
        <v>Cumulative Energy Demand (CED) - MJ</v>
      </c>
      <c r="M5736" s="154" t="str">
        <f t="shared" si="397"/>
        <v>Low_Base_Upgraded_Cumulative Energy Demand (CED) - MJ_Land application of compost; wastewater treatment unit; at updated plant - US_Without Amendment_Windrow</v>
      </c>
    </row>
    <row r="5737" spans="1:13" s="120" customFormat="1" x14ac:dyDescent="0.25">
      <c r="A5737" s="119"/>
      <c r="B5737" s="138" t="str">
        <f t="shared" si="402"/>
        <v>Windrow</v>
      </c>
      <c r="C5737" s="138" t="str">
        <f t="shared" si="398"/>
        <v>Without Amendment</v>
      </c>
      <c r="D5737" s="138" t="str">
        <f t="shared" si="401"/>
        <v>Base</v>
      </c>
      <c r="E5737" s="138" t="str">
        <f t="shared" si="400"/>
        <v>Low</v>
      </c>
      <c r="F5737" s="138" t="str">
        <f t="shared" si="403"/>
        <v>Upgraded</v>
      </c>
      <c r="G5737" s="153"/>
      <c r="H5737" s="210">
        <v>-0.20610000000000001</v>
      </c>
      <c r="I5737" s="160" t="s">
        <v>149</v>
      </c>
      <c r="J5737" s="160">
        <v>-1.99752</v>
      </c>
      <c r="K5737" s="160" t="s">
        <v>15</v>
      </c>
      <c r="L5737" s="154" t="str">
        <f>IF(OpenLCAbasic!K5737="CTUh", "Fill in Manually",IF(OR(K5737="Unit", K5737=""), "", INDEX(LookUps!$E$5:$E$12, MATCH(OpenLCAbasic!K5737,LookUps!$D$5:$D$12,0))))</f>
        <v>Cumulative Energy Demand (CED) - MJ</v>
      </c>
      <c r="M5737" s="154" t="str">
        <f t="shared" si="397"/>
        <v>Low_Base_Upgraded_Cumulative Energy Demand (CED) - MJ_Anaerobic Digestion; wastewater treatment unit; at updated plant - US_Without Amendment_Windrow</v>
      </c>
    </row>
    <row r="5738" spans="1:13" s="120" customFormat="1" x14ac:dyDescent="0.25">
      <c r="A5738" s="119"/>
      <c r="B5738" s="138" t="str">
        <f t="shared" si="402"/>
        <v/>
      </c>
      <c r="C5738" s="138" t="str">
        <f t="shared" si="398"/>
        <v/>
      </c>
      <c r="D5738" s="138" t="str">
        <f t="shared" si="401"/>
        <v/>
      </c>
      <c r="E5738" s="138" t="str">
        <f t="shared" si="400"/>
        <v/>
      </c>
      <c r="F5738" s="138" t="str">
        <f t="shared" si="403"/>
        <v/>
      </c>
      <c r="G5738" s="153" t="s">
        <v>51</v>
      </c>
      <c r="H5738" s="160"/>
      <c r="I5738" s="160" t="s">
        <v>47</v>
      </c>
      <c r="J5738" s="160" t="s">
        <v>52</v>
      </c>
      <c r="K5738" s="160" t="s">
        <v>27</v>
      </c>
      <c r="L5738" s="154" t="str">
        <f>IF(OpenLCAbasic!K5738="CTUh", "Fill in Manually",IF(OR(K5738="Unit", K5738=""), "", INDEX(LookUps!$E$5:$E$12, MATCH(OpenLCAbasic!K5738,LookUps!$D$5:$D$12,0))))</f>
        <v/>
      </c>
      <c r="M5738" s="154" t="str">
        <f t="shared" si="397"/>
        <v>____Process__</v>
      </c>
    </row>
    <row r="5739" spans="1:13" s="120" customFormat="1" x14ac:dyDescent="0.25">
      <c r="A5739" s="119"/>
      <c r="B5739" s="138" t="str">
        <f t="shared" si="402"/>
        <v>Windrow</v>
      </c>
      <c r="C5739" s="138" t="str">
        <f t="shared" si="398"/>
        <v>Without Amendment</v>
      </c>
      <c r="D5739" s="138" t="str">
        <f t="shared" si="401"/>
        <v>Base</v>
      </c>
      <c r="E5739" s="138" t="str">
        <f t="shared" si="400"/>
        <v>Low</v>
      </c>
      <c r="F5739" s="138" t="str">
        <f t="shared" si="403"/>
        <v>Upgraded</v>
      </c>
      <c r="G5739" s="153"/>
      <c r="H5739" s="210">
        <v>0.80600000000000005</v>
      </c>
      <c r="I5739" s="160" t="s">
        <v>48</v>
      </c>
      <c r="J5739" s="160">
        <v>1.1610000000000001E-2</v>
      </c>
      <c r="K5739" s="160" t="s">
        <v>13</v>
      </c>
      <c r="L5739" s="154" t="str">
        <f>IF(OpenLCAbasic!K5739="CTUh", "Fill in Manually",IF(OR(K5739="Unit", K5739=""), "", INDEX(LookUps!$E$5:$E$12, MATCH(OpenLCAbasic!K5739,LookUps!$D$5:$D$12,0))))</f>
        <v>Eutrophication Potential (EP) - kg N eq</v>
      </c>
      <c r="M5739" s="154" t="str">
        <f t="shared" si="397"/>
        <v>Low_Base_Upgraded_Eutrophication Potential (EP) - kg N eq_Effluent release; wastewater treatment unit; at surface water; m3 wastewater - US_Without Amendment_Windrow</v>
      </c>
    </row>
    <row r="5740" spans="1:13" s="120" customFormat="1" x14ac:dyDescent="0.25">
      <c r="A5740" s="119"/>
      <c r="B5740" s="138" t="str">
        <f t="shared" si="402"/>
        <v>Windrow</v>
      </c>
      <c r="C5740" s="138" t="str">
        <f t="shared" si="398"/>
        <v>Without Amendment</v>
      </c>
      <c r="D5740" s="138" t="str">
        <f t="shared" si="401"/>
        <v>Base</v>
      </c>
      <c r="E5740" s="138" t="str">
        <f t="shared" si="400"/>
        <v>Low</v>
      </c>
      <c r="F5740" s="138" t="str">
        <f t="shared" si="403"/>
        <v>Upgraded</v>
      </c>
      <c r="G5740" s="153"/>
      <c r="H5740" s="210">
        <v>9.2999999999999999E-2</v>
      </c>
      <c r="I5740" s="160" t="s">
        <v>62</v>
      </c>
      <c r="J5740" s="160">
        <v>1.34E-3</v>
      </c>
      <c r="K5740" s="160" t="s">
        <v>13</v>
      </c>
      <c r="L5740" s="154" t="str">
        <f>IF(OpenLCAbasic!K5740="CTUh", "Fill in Manually",IF(OR(K5740="Unit", K5740=""), "", INDEX(LookUps!$E$5:$E$12, MATCH(OpenLCAbasic!K5740,LookUps!$D$5:$D$12,0))))</f>
        <v>Eutrophication Potential (EP) - kg N eq</v>
      </c>
      <c r="M5740" s="154" t="str">
        <f t="shared" si="397"/>
        <v>Low_Base_Upgraded_Eutrophication Potential (EP) - kg N eq_Land application of compost; wastewater treatment unit; at updated plant - US_Without Amendment_Windrow</v>
      </c>
    </row>
    <row r="5741" spans="1:13" s="120" customFormat="1" x14ac:dyDescent="0.25">
      <c r="A5741" s="119"/>
      <c r="B5741" s="138" t="str">
        <f t="shared" si="402"/>
        <v>Windrow</v>
      </c>
      <c r="C5741" s="138" t="str">
        <f t="shared" si="398"/>
        <v>Without Amendment</v>
      </c>
      <c r="D5741" s="138" t="str">
        <f t="shared" si="401"/>
        <v>Base</v>
      </c>
      <c r="E5741" s="138" t="str">
        <f t="shared" si="400"/>
        <v>Low</v>
      </c>
      <c r="F5741" s="138" t="str">
        <f t="shared" si="403"/>
        <v>Upgraded</v>
      </c>
      <c r="G5741" s="153"/>
      <c r="H5741" s="210">
        <v>3.7900000000000003E-2</v>
      </c>
      <c r="I5741" s="160" t="s">
        <v>55</v>
      </c>
      <c r="J5741" s="160">
        <v>5.5000000000000003E-4</v>
      </c>
      <c r="K5741" s="160" t="s">
        <v>13</v>
      </c>
      <c r="L5741" s="154" t="str">
        <f>IF(OpenLCAbasic!K5741="CTUh", "Fill in Manually",IF(OR(K5741="Unit", K5741=""), "", INDEX(LookUps!$E$5:$E$12, MATCH(OpenLCAbasic!K5741,LookUps!$D$5:$D$12,0))))</f>
        <v>Eutrophication Potential (EP) - kg N eq</v>
      </c>
      <c r="M5741" s="154" t="str">
        <f t="shared" si="397"/>
        <v>Low_Base_Upgraded_Eutrophication Potential (EP) - kg N eq_Aeration Tanks; wastewater treatment unit; at updated plant - US_Without Amendment_Windrow</v>
      </c>
    </row>
    <row r="5742" spans="1:13" s="120" customFormat="1" x14ac:dyDescent="0.25">
      <c r="A5742" s="119"/>
      <c r="B5742" s="138" t="str">
        <f t="shared" si="402"/>
        <v>Windrow</v>
      </c>
      <c r="C5742" s="138" t="str">
        <f t="shared" si="398"/>
        <v>Without Amendment</v>
      </c>
      <c r="D5742" s="138" t="str">
        <f t="shared" si="401"/>
        <v>Base</v>
      </c>
      <c r="E5742" s="138" t="str">
        <f t="shared" si="400"/>
        <v>Low</v>
      </c>
      <c r="F5742" s="138" t="str">
        <f t="shared" si="403"/>
        <v>Upgraded</v>
      </c>
      <c r="G5742" s="153"/>
      <c r="H5742" s="210">
        <v>1.7299999999999999E-2</v>
      </c>
      <c r="I5742" s="160" t="s">
        <v>147</v>
      </c>
      <c r="J5742" s="160">
        <v>2.5000000000000001E-4</v>
      </c>
      <c r="K5742" s="160" t="s">
        <v>13</v>
      </c>
      <c r="L5742" s="154" t="str">
        <f>IF(OpenLCAbasic!K5742="CTUh", "Fill in Manually",IF(OR(K5742="Unit", K5742=""), "", INDEX(LookUps!$E$5:$E$12, MATCH(OpenLCAbasic!K5742,LookUps!$D$5:$D$12,0))))</f>
        <v>Eutrophication Potential (EP) - kg N eq</v>
      </c>
      <c r="M5742" s="154" t="str">
        <f t="shared" si="397"/>
        <v>Low_Base_Upgraded_Eutrophication Potential (EP) - kg N eq_Influent Pump Station; wastewater treatment unit; at updated plant - US_Without Amendment_Windrow</v>
      </c>
    </row>
    <row r="5743" spans="1:13" s="120" customFormat="1" x14ac:dyDescent="0.25">
      <c r="A5743" s="119"/>
      <c r="B5743" s="138" t="str">
        <f t="shared" si="402"/>
        <v>Windrow</v>
      </c>
      <c r="C5743" s="138" t="str">
        <f t="shared" si="398"/>
        <v>Without Amendment</v>
      </c>
      <c r="D5743" s="138" t="str">
        <f t="shared" si="401"/>
        <v>Base</v>
      </c>
      <c r="E5743" s="138" t="str">
        <f t="shared" si="400"/>
        <v>Low</v>
      </c>
      <c r="F5743" s="138" t="str">
        <f t="shared" si="403"/>
        <v>Upgraded</v>
      </c>
      <c r="G5743" s="153"/>
      <c r="H5743" s="210">
        <v>1.38E-2</v>
      </c>
      <c r="I5743" s="160" t="s">
        <v>54</v>
      </c>
      <c r="J5743" s="160">
        <v>2.0000000000000001E-4</v>
      </c>
      <c r="K5743" s="160" t="s">
        <v>13</v>
      </c>
      <c r="L5743" s="154" t="str">
        <f>IF(OpenLCAbasic!K5743="CTUh", "Fill in Manually",IF(OR(K5743="Unit", K5743=""), "", INDEX(LookUps!$E$5:$E$12, MATCH(OpenLCAbasic!K5743,LookUps!$D$5:$D$12,0))))</f>
        <v>Eutrophication Potential (EP) - kg N eq</v>
      </c>
      <c r="M5743" s="154" t="str">
        <f t="shared" si="397"/>
        <v>Low_Base_Upgraded_Eutrophication Potential (EP) - kg N eq_Clear Cove Primary Clarification; wastewater treatment unit; at updated plant - US_Without Amendment_Windrow</v>
      </c>
    </row>
    <row r="5744" spans="1:13" s="120" customFormat="1" x14ac:dyDescent="0.25">
      <c r="A5744" s="119"/>
      <c r="B5744" s="138" t="str">
        <f t="shared" si="402"/>
        <v>Windrow</v>
      </c>
      <c r="C5744" s="138" t="str">
        <f t="shared" si="398"/>
        <v>Without Amendment</v>
      </c>
      <c r="D5744" s="138" t="str">
        <f t="shared" si="401"/>
        <v>Base</v>
      </c>
      <c r="E5744" s="138" t="str">
        <f t="shared" si="400"/>
        <v>Low</v>
      </c>
      <c r="F5744" s="138" t="str">
        <f t="shared" si="403"/>
        <v>Upgraded</v>
      </c>
      <c r="G5744" s="153"/>
      <c r="H5744" s="210">
        <v>1.14E-2</v>
      </c>
      <c r="I5744" s="160" t="s">
        <v>167</v>
      </c>
      <c r="J5744" s="160">
        <v>1.6000000000000001E-4</v>
      </c>
      <c r="K5744" s="160" t="s">
        <v>13</v>
      </c>
      <c r="L5744" s="154" t="str">
        <f>IF(OpenLCAbasic!K5744="CTUh", "Fill in Manually",IF(OR(K5744="Unit", K5744=""), "", INDEX(LookUps!$E$5:$E$12, MATCH(OpenLCAbasic!K5744,LookUps!$D$5:$D$12,0))))</f>
        <v>Eutrophication Potential (EP) - kg N eq</v>
      </c>
      <c r="M5744" s="154" t="str">
        <f t="shared" si="397"/>
        <v>Low_Base_Upgraded_Eutrophication Potential (EP) - kg N eq_Waste Receiving and Holding; wastewater treatment unit; at updated plant - US_Without Amendment_Windrow</v>
      </c>
    </row>
    <row r="5745" spans="1:13" s="120" customFormat="1" x14ac:dyDescent="0.25">
      <c r="A5745" s="119"/>
      <c r="B5745" s="138" t="str">
        <f t="shared" si="402"/>
        <v>Windrow</v>
      </c>
      <c r="C5745" s="138" t="str">
        <f t="shared" si="398"/>
        <v>Without Amendment</v>
      </c>
      <c r="D5745" s="138" t="str">
        <f t="shared" si="401"/>
        <v>Base</v>
      </c>
      <c r="E5745" s="138" t="str">
        <f t="shared" si="400"/>
        <v>Low</v>
      </c>
      <c r="F5745" s="138" t="str">
        <f t="shared" si="403"/>
        <v>Upgraded</v>
      </c>
      <c r="G5745" s="153"/>
      <c r="H5745" s="210">
        <v>9.4000000000000004E-3</v>
      </c>
      <c r="I5745" s="160" t="s">
        <v>58</v>
      </c>
      <c r="J5745" s="160">
        <v>1.3999999999999999E-4</v>
      </c>
      <c r="K5745" s="160" t="s">
        <v>13</v>
      </c>
      <c r="L5745" s="154" t="str">
        <f>IF(OpenLCAbasic!K5745="CTUh", "Fill in Manually",IF(OR(K5745="Unit", K5745=""), "", INDEX(LookUps!$E$5:$E$12, MATCH(OpenLCAbasic!K5745,LookUps!$D$5:$D$12,0))))</f>
        <v>Eutrophication Potential (EP) - kg N eq</v>
      </c>
      <c r="M5745" s="154" t="str">
        <f t="shared" si="397"/>
        <v>Low_Base_Upgraded_Eutrophication Potential (EP) - kg N eq_Pre-Anoxic &amp; Swing tank; wastewater treatment unit; at updated plant - US_Without Amendment_Windrow</v>
      </c>
    </row>
    <row r="5746" spans="1:13" s="120" customFormat="1" x14ac:dyDescent="0.25">
      <c r="A5746" s="119"/>
      <c r="B5746" s="138" t="str">
        <f t="shared" si="402"/>
        <v>Windrow</v>
      </c>
      <c r="C5746" s="138" t="str">
        <f t="shared" si="398"/>
        <v>Without Amendment</v>
      </c>
      <c r="D5746" s="138" t="str">
        <f t="shared" si="401"/>
        <v>Base</v>
      </c>
      <c r="E5746" s="138" t="str">
        <f t="shared" si="400"/>
        <v>Low</v>
      </c>
      <c r="F5746" s="138" t="str">
        <f t="shared" si="403"/>
        <v>Upgraded</v>
      </c>
      <c r="G5746" s="153"/>
      <c r="H5746" s="210">
        <v>7.4999999999999997E-3</v>
      </c>
      <c r="I5746" s="160" t="s">
        <v>53</v>
      </c>
      <c r="J5746" s="160">
        <v>1.1E-4</v>
      </c>
      <c r="K5746" s="160" t="s">
        <v>13</v>
      </c>
      <c r="L5746" s="154" t="str">
        <f>IF(OpenLCAbasic!K5746="CTUh", "Fill in Manually",IF(OR(K5746="Unit", K5746=""), "", INDEX(LookUps!$E$5:$E$12, MATCH(OpenLCAbasic!K5746,LookUps!$D$5:$D$12,0))))</f>
        <v>Eutrophication Potential (EP) - kg N eq</v>
      </c>
      <c r="M5746" s="154" t="str">
        <f t="shared" si="397"/>
        <v>Low_Base_Upgraded_Eutrophication Potential (EP) - kg N eq_Wet Well and Sump Station; wastewater treatment unit; at updated plant - US_Without Amendment_Windrow</v>
      </c>
    </row>
    <row r="5747" spans="1:13" s="120" customFormat="1" x14ac:dyDescent="0.25">
      <c r="A5747" s="119"/>
      <c r="B5747" s="138" t="str">
        <f t="shared" si="402"/>
        <v>Windrow</v>
      </c>
      <c r="C5747" s="138" t="str">
        <f t="shared" si="398"/>
        <v>Without Amendment</v>
      </c>
      <c r="D5747" s="138" t="str">
        <f t="shared" si="401"/>
        <v>Base</v>
      </c>
      <c r="E5747" s="138" t="str">
        <f t="shared" si="400"/>
        <v>Low</v>
      </c>
      <c r="F5747" s="138" t="str">
        <f t="shared" si="403"/>
        <v>Upgraded</v>
      </c>
      <c r="G5747" s="153"/>
      <c r="H5747" s="210">
        <v>4.1999999999999997E-3</v>
      </c>
      <c r="I5747" s="160" t="s">
        <v>57</v>
      </c>
      <c r="J5747" s="211">
        <v>6.0590300000000002E-5</v>
      </c>
      <c r="K5747" s="160" t="s">
        <v>13</v>
      </c>
      <c r="L5747" s="154" t="str">
        <f>IF(OpenLCAbasic!K5747="CTUh", "Fill in Manually",IF(OR(K5747="Unit", K5747=""), "", INDEX(LookUps!$E$5:$E$12, MATCH(OpenLCAbasic!K5747,LookUps!$D$5:$D$12,0))))</f>
        <v>Eutrophication Potential (EP) - kg N eq</v>
      </c>
      <c r="M5747" s="154" t="str">
        <f t="shared" si="397"/>
        <v>Low_Base_Upgraded_Eutrophication Potential (EP) - kg N eq_Gravity Belt Thickener; wastewater treatment unit; at updated plant - US_Without Amendment_Windrow</v>
      </c>
    </row>
    <row r="5748" spans="1:13" s="120" customFormat="1" x14ac:dyDescent="0.25">
      <c r="A5748" s="119"/>
      <c r="B5748" s="138" t="str">
        <f t="shared" si="402"/>
        <v>Windrow</v>
      </c>
      <c r="C5748" s="138" t="str">
        <f t="shared" si="398"/>
        <v>Without Amendment</v>
      </c>
      <c r="D5748" s="138" t="str">
        <f t="shared" si="401"/>
        <v>Base</v>
      </c>
      <c r="E5748" s="138" t="str">
        <f t="shared" si="400"/>
        <v>Low</v>
      </c>
      <c r="F5748" s="138" t="str">
        <f t="shared" si="403"/>
        <v>Upgraded</v>
      </c>
      <c r="G5748" s="153"/>
      <c r="H5748" s="210">
        <v>3.5000000000000001E-3</v>
      </c>
      <c r="I5748" s="160" t="s">
        <v>60</v>
      </c>
      <c r="J5748" s="211">
        <v>5.06508E-5</v>
      </c>
      <c r="K5748" s="160" t="s">
        <v>13</v>
      </c>
      <c r="L5748" s="154" t="str">
        <f>IF(OpenLCAbasic!K5748="CTUh", "Fill in Manually",IF(OR(K5748="Unit", K5748=""), "", INDEX(LookUps!$E$5:$E$12, MATCH(OpenLCAbasic!K5748,LookUps!$D$5:$D$12,0))))</f>
        <v>Eutrophication Potential (EP) - kg N eq</v>
      </c>
      <c r="M5748" s="154" t="str">
        <f t="shared" si="397"/>
        <v>Low_Base_Upgraded_Eutrophication Potential (EP) - kg N eq_Belt filter press; wastewater treatment unit; at updated plant - US_Without Amendment_Windrow</v>
      </c>
    </row>
    <row r="5749" spans="1:13" s="120" customFormat="1" x14ac:dyDescent="0.25">
      <c r="A5749" s="119"/>
      <c r="B5749" s="138" t="str">
        <f t="shared" si="402"/>
        <v>Windrow</v>
      </c>
      <c r="C5749" s="138" t="str">
        <f t="shared" si="398"/>
        <v>Without Amendment</v>
      </c>
      <c r="D5749" s="138" t="str">
        <f t="shared" si="401"/>
        <v>Base</v>
      </c>
      <c r="E5749" s="138" t="str">
        <f t="shared" si="400"/>
        <v>Low</v>
      </c>
      <c r="F5749" s="138" t="str">
        <f t="shared" si="403"/>
        <v>Upgraded</v>
      </c>
      <c r="G5749" s="153"/>
      <c r="H5749" s="210">
        <v>2.8999999999999998E-3</v>
      </c>
      <c r="I5749" s="160" t="s">
        <v>271</v>
      </c>
      <c r="J5749" s="211">
        <v>4.2262000000000003E-5</v>
      </c>
      <c r="K5749" s="160" t="s">
        <v>13</v>
      </c>
      <c r="L5749" s="154" t="str">
        <f>IF(OpenLCAbasic!K5749="CTUh", "Fill in Manually",IF(OR(K5749="Unit", K5749=""), "", INDEX(LookUps!$E$5:$E$12, MATCH(OpenLCAbasic!K5749,LookUps!$D$5:$D$12,0))))</f>
        <v>Eutrophication Potential (EP) - kg N eq</v>
      </c>
      <c r="M5749" s="154" t="str">
        <f t="shared" si="397"/>
        <v>Low_Base_Upgraded_Eutrophication Potential (EP) - kg N eq_Biosolids composting; windrow composting; wastewater treatment unit; at updated plant - US_Without Amendment_Windrow</v>
      </c>
    </row>
    <row r="5750" spans="1:13" s="120" customFormat="1" x14ac:dyDescent="0.25">
      <c r="A5750" s="119"/>
      <c r="B5750" s="138" t="str">
        <f t="shared" si="402"/>
        <v>Windrow</v>
      </c>
      <c r="C5750" s="138" t="str">
        <f t="shared" si="398"/>
        <v>Without Amendment</v>
      </c>
      <c r="D5750" s="138" t="str">
        <f t="shared" si="401"/>
        <v>Base</v>
      </c>
      <c r="E5750" s="138" t="str">
        <f t="shared" si="400"/>
        <v>Low</v>
      </c>
      <c r="F5750" s="138" t="str">
        <f t="shared" si="403"/>
        <v>Upgraded</v>
      </c>
      <c r="G5750" s="153"/>
      <c r="H5750" s="210">
        <v>2.5999999999999999E-3</v>
      </c>
      <c r="I5750" s="160" t="s">
        <v>128</v>
      </c>
      <c r="J5750" s="211">
        <v>3.7559799999999999E-5</v>
      </c>
      <c r="K5750" s="160" t="s">
        <v>13</v>
      </c>
      <c r="L5750" s="154" t="str">
        <f>IF(OpenLCAbasic!K5750="CTUh", "Fill in Manually",IF(OR(K5750="Unit", K5750=""), "", INDEX(LookUps!$E$5:$E$12, MATCH(OpenLCAbasic!K5750,LookUps!$D$5:$D$12,0))))</f>
        <v>Eutrophication Potential (EP) - kg N eq</v>
      </c>
      <c r="M5750" s="154" t="str">
        <f t="shared" si="397"/>
        <v>Low_Base_Upgraded_Eutrophication Potential (EP) - kg N eq_Wastewater collection; operation and infrastructure; m3 wastewater_Without Amendment_Windrow</v>
      </c>
    </row>
    <row r="5751" spans="1:13" s="120" customFormat="1" x14ac:dyDescent="0.25">
      <c r="A5751" s="119"/>
      <c r="B5751" s="138" t="str">
        <f t="shared" si="402"/>
        <v>Windrow</v>
      </c>
      <c r="C5751" s="138" t="str">
        <f t="shared" si="398"/>
        <v>Without Amendment</v>
      </c>
      <c r="D5751" s="138" t="str">
        <f t="shared" si="401"/>
        <v>Base</v>
      </c>
      <c r="E5751" s="138" t="str">
        <f t="shared" si="400"/>
        <v>Low</v>
      </c>
      <c r="F5751" s="138" t="str">
        <f t="shared" si="403"/>
        <v>Upgraded</v>
      </c>
      <c r="G5751" s="153"/>
      <c r="H5751" s="210">
        <v>2.5999999999999999E-3</v>
      </c>
      <c r="I5751" s="160" t="s">
        <v>148</v>
      </c>
      <c r="J5751" s="211">
        <v>3.6874600000000001E-5</v>
      </c>
      <c r="K5751" s="160" t="s">
        <v>13</v>
      </c>
      <c r="L5751" s="154" t="str">
        <f>IF(OpenLCAbasic!K5751="CTUh", "Fill in Manually",IF(OR(K5751="Unit", K5751=""), "", INDEX(LookUps!$E$5:$E$12, MATCH(OpenLCAbasic!K5751,LookUps!$D$5:$D$12,0))))</f>
        <v>Eutrophication Potential (EP) - kg N eq</v>
      </c>
      <c r="M5751" s="154" t="str">
        <f t="shared" si="397"/>
        <v>Low_Base_Upgraded_Eutrophication Potential (EP) - kg N eq_Control Building; at upgraded wastewater treatment plant - US_Without Amendment_Windrow</v>
      </c>
    </row>
    <row r="5752" spans="1:13" s="120" customFormat="1" x14ac:dyDescent="0.25">
      <c r="A5752" s="119"/>
      <c r="B5752" s="138" t="str">
        <f t="shared" si="402"/>
        <v>Windrow</v>
      </c>
      <c r="C5752" s="138" t="str">
        <f t="shared" si="398"/>
        <v>Without Amendment</v>
      </c>
      <c r="D5752" s="138" t="str">
        <f t="shared" si="401"/>
        <v>Base</v>
      </c>
      <c r="E5752" s="138" t="str">
        <f t="shared" si="400"/>
        <v>Low</v>
      </c>
      <c r="F5752" s="138" t="str">
        <f t="shared" si="403"/>
        <v>Upgraded</v>
      </c>
      <c r="G5752" s="153"/>
      <c r="H5752" s="210">
        <v>1.1000000000000001E-3</v>
      </c>
      <c r="I5752" s="160" t="s">
        <v>59</v>
      </c>
      <c r="J5752" s="211">
        <v>1.6215700000000001E-5</v>
      </c>
      <c r="K5752" s="160" t="s">
        <v>13</v>
      </c>
      <c r="L5752" s="154" t="str">
        <f>IF(OpenLCAbasic!K5752="CTUh", "Fill in Manually",IF(OR(K5752="Unit", K5752=""), "", INDEX(LookUps!$E$5:$E$12, MATCH(OpenLCAbasic!K5752,LookUps!$D$5:$D$12,0))))</f>
        <v>Eutrophication Potential (EP) - kg N eq</v>
      </c>
      <c r="M5752" s="154" t="str">
        <f t="shared" si="397"/>
        <v>Low_Base_Upgraded_Eutrophication Potential (EP) - kg N eq_Blend Tank; wastewater treatment unit; at updated plant - US_Without Amendment_Windrow</v>
      </c>
    </row>
    <row r="5753" spans="1:13" s="120" customFormat="1" x14ac:dyDescent="0.25">
      <c r="A5753" s="119"/>
      <c r="B5753" s="138" t="str">
        <f t="shared" si="402"/>
        <v>Windrow</v>
      </c>
      <c r="C5753" s="138" t="str">
        <f t="shared" si="398"/>
        <v>Without Amendment</v>
      </c>
      <c r="D5753" s="138" t="str">
        <f t="shared" si="401"/>
        <v>Base</v>
      </c>
      <c r="E5753" s="138" t="str">
        <f t="shared" si="400"/>
        <v>Low</v>
      </c>
      <c r="F5753" s="138" t="str">
        <f t="shared" si="403"/>
        <v>Upgraded</v>
      </c>
      <c r="G5753" s="153"/>
      <c r="H5753" s="210">
        <v>5.0000000000000001E-4</v>
      </c>
      <c r="I5753" s="160" t="s">
        <v>168</v>
      </c>
      <c r="J5753" s="211">
        <v>7.7567199999999995E-6</v>
      </c>
      <c r="K5753" s="160" t="s">
        <v>13</v>
      </c>
      <c r="L5753" s="154" t="str">
        <f>IF(OpenLCAbasic!K5753="CTUh", "Fill in Manually",IF(OR(K5753="Unit", K5753=""), "", INDEX(LookUps!$E$5:$E$12, MATCH(OpenLCAbasic!K5753,LookUps!$D$5:$D$12,0))))</f>
        <v>Eutrophication Potential (EP) - kg N eq</v>
      </c>
      <c r="M5753" s="154" t="str">
        <f t="shared" si="397"/>
        <v>Low_Base_Upgraded_Eutrophication Potential (EP) - kg N eq_ClearCove SCP; wastewater treatment unit; at updated plant - US_Without Amendment_Windrow</v>
      </c>
    </row>
    <row r="5754" spans="1:13" s="120" customFormat="1" x14ac:dyDescent="0.25">
      <c r="A5754" s="119"/>
      <c r="B5754" s="138" t="str">
        <f t="shared" si="402"/>
        <v>Windrow</v>
      </c>
      <c r="C5754" s="138" t="str">
        <f t="shared" si="398"/>
        <v>Without Amendment</v>
      </c>
      <c r="D5754" s="138" t="str">
        <f t="shared" si="401"/>
        <v>Base</v>
      </c>
      <c r="E5754" s="138" t="str">
        <f t="shared" si="400"/>
        <v>Low</v>
      </c>
      <c r="F5754" s="138" t="str">
        <f t="shared" si="403"/>
        <v>Upgraded</v>
      </c>
      <c r="G5754" s="153"/>
      <c r="H5754" s="210">
        <v>-1.37E-2</v>
      </c>
      <c r="I5754" s="160" t="s">
        <v>149</v>
      </c>
      <c r="J5754" s="160">
        <v>-2.0000000000000001E-4</v>
      </c>
      <c r="K5754" s="160" t="s">
        <v>13</v>
      </c>
      <c r="L5754" s="154" t="str">
        <f>IF(OpenLCAbasic!K5754="CTUh", "Fill in Manually",IF(OR(K5754="Unit", K5754=""), "", INDEX(LookUps!$E$5:$E$12, MATCH(OpenLCAbasic!K5754,LookUps!$D$5:$D$12,0))))</f>
        <v>Eutrophication Potential (EP) - kg N eq</v>
      </c>
      <c r="M5754" s="154" t="str">
        <f t="shared" si="397"/>
        <v>Low_Base_Upgraded_Eutrophication Potential (EP) - kg N eq_Anaerobic Digestion; wastewater treatment unit; at updated plant - US_Without Amendment_Windrow</v>
      </c>
    </row>
    <row r="5755" spans="1:13" s="120" customFormat="1" x14ac:dyDescent="0.25">
      <c r="A5755" s="119"/>
      <c r="B5755" s="138" t="str">
        <f t="shared" si="402"/>
        <v/>
      </c>
      <c r="C5755" s="138" t="str">
        <f t="shared" si="398"/>
        <v/>
      </c>
      <c r="D5755" s="138" t="str">
        <f t="shared" si="401"/>
        <v/>
      </c>
      <c r="E5755" s="138" t="str">
        <f t="shared" si="400"/>
        <v/>
      </c>
      <c r="F5755" s="138" t="str">
        <f t="shared" si="403"/>
        <v/>
      </c>
      <c r="G5755" s="153" t="s">
        <v>51</v>
      </c>
      <c r="H5755" s="160"/>
      <c r="I5755" s="160" t="s">
        <v>47</v>
      </c>
      <c r="J5755" s="160" t="s">
        <v>52</v>
      </c>
      <c r="K5755" s="160" t="s">
        <v>27</v>
      </c>
      <c r="L5755" s="154" t="str">
        <f>IF(OpenLCAbasic!K5755="CTUh", "Fill in Manually",IF(OR(K5755="Unit", K5755=""), "", INDEX(LookUps!$E$5:$E$12, MATCH(OpenLCAbasic!K5755,LookUps!$D$5:$D$12,0))))</f>
        <v/>
      </c>
      <c r="M5755" s="154" t="str">
        <f t="shared" ref="M5755:M5818" si="404">CONCATENATE(E5755,"_",D5755,"_",F5755,"_",L5755, "_",I5755,"_", C5755,"_", B5755)</f>
        <v>____Process__</v>
      </c>
    </row>
    <row r="5756" spans="1:13" s="120" customFormat="1" x14ac:dyDescent="0.25">
      <c r="A5756" s="119"/>
      <c r="B5756" s="138" t="str">
        <f t="shared" si="402"/>
        <v>Windrow</v>
      </c>
      <c r="C5756" s="138" t="str">
        <f t="shared" si="398"/>
        <v>Without Amendment</v>
      </c>
      <c r="D5756" s="138" t="str">
        <f t="shared" si="401"/>
        <v>Base</v>
      </c>
      <c r="E5756" s="138" t="str">
        <f t="shared" si="400"/>
        <v>Low</v>
      </c>
      <c r="F5756" s="138" t="str">
        <f t="shared" si="403"/>
        <v>Upgraded</v>
      </c>
      <c r="G5756" s="153"/>
      <c r="H5756" s="210">
        <v>0.4199</v>
      </c>
      <c r="I5756" s="160" t="s">
        <v>167</v>
      </c>
      <c r="J5756" s="160">
        <v>7.9170000000000004E-2</v>
      </c>
      <c r="K5756" s="160" t="s">
        <v>14</v>
      </c>
      <c r="L5756" s="154" t="str">
        <f>IF(OpenLCAbasic!K5756="CTUh", "Fill in Manually",IF(OR(K5756="Unit", K5756=""), "", INDEX(LookUps!$E$5:$E$12, MATCH(OpenLCAbasic!K5756,LookUps!$D$5:$D$12,0))))</f>
        <v>Fossil Depletion Potential (FDP) - kg oil eq</v>
      </c>
      <c r="M5756" s="154" t="str">
        <f t="shared" si="404"/>
        <v>Low_Base_Upgraded_Fossil Depletion Potential (FDP) - kg oil eq_Waste Receiving and Holding; wastewater treatment unit; at updated plant - US_Without Amendment_Windrow</v>
      </c>
    </row>
    <row r="5757" spans="1:13" s="120" customFormat="1" x14ac:dyDescent="0.25">
      <c r="A5757" s="119"/>
      <c r="B5757" s="138" t="str">
        <f t="shared" si="402"/>
        <v>Windrow</v>
      </c>
      <c r="C5757" s="138" t="str">
        <f t="shared" si="398"/>
        <v>Without Amendment</v>
      </c>
      <c r="D5757" s="138" t="str">
        <f t="shared" si="401"/>
        <v>Base</v>
      </c>
      <c r="E5757" s="138" t="str">
        <f t="shared" si="400"/>
        <v>Low</v>
      </c>
      <c r="F5757" s="138" t="str">
        <f t="shared" si="403"/>
        <v>Upgraded</v>
      </c>
      <c r="G5757" s="153"/>
      <c r="H5757" s="210">
        <v>0.33729999999999999</v>
      </c>
      <c r="I5757" s="160" t="s">
        <v>55</v>
      </c>
      <c r="J5757" s="160">
        <v>6.3589999999999994E-2</v>
      </c>
      <c r="K5757" s="160" t="s">
        <v>14</v>
      </c>
      <c r="L5757" s="154" t="str">
        <f>IF(OpenLCAbasic!K5757="CTUh", "Fill in Manually",IF(OR(K5757="Unit", K5757=""), "", INDEX(LookUps!$E$5:$E$12, MATCH(OpenLCAbasic!K5757,LookUps!$D$5:$D$12,0))))</f>
        <v>Fossil Depletion Potential (FDP) - kg oil eq</v>
      </c>
      <c r="M5757" s="154" t="str">
        <f t="shared" si="404"/>
        <v>Low_Base_Upgraded_Fossil Depletion Potential (FDP) - kg oil eq_Aeration Tanks; wastewater treatment unit; at updated plant - US_Without Amendment_Windrow</v>
      </c>
    </row>
    <row r="5758" spans="1:13" s="120" customFormat="1" x14ac:dyDescent="0.25">
      <c r="A5758" s="119"/>
      <c r="B5758" s="138" t="str">
        <f t="shared" si="402"/>
        <v>Windrow</v>
      </c>
      <c r="C5758" s="138" t="str">
        <f t="shared" si="398"/>
        <v>Without Amendment</v>
      </c>
      <c r="D5758" s="138" t="str">
        <f t="shared" si="401"/>
        <v>Base</v>
      </c>
      <c r="E5758" s="138" t="str">
        <f t="shared" si="400"/>
        <v>Low</v>
      </c>
      <c r="F5758" s="138" t="str">
        <f t="shared" si="403"/>
        <v>Upgraded</v>
      </c>
      <c r="G5758" s="153"/>
      <c r="H5758" s="210">
        <v>0.11169999999999999</v>
      </c>
      <c r="I5758" s="160" t="s">
        <v>54</v>
      </c>
      <c r="J5758" s="160">
        <v>2.1049999999999999E-2</v>
      </c>
      <c r="K5758" s="160" t="s">
        <v>14</v>
      </c>
      <c r="L5758" s="154" t="str">
        <f>IF(OpenLCAbasic!K5758="CTUh", "Fill in Manually",IF(OR(K5758="Unit", K5758=""), "", INDEX(LookUps!$E$5:$E$12, MATCH(OpenLCAbasic!K5758,LookUps!$D$5:$D$12,0))))</f>
        <v>Fossil Depletion Potential (FDP) - kg oil eq</v>
      </c>
      <c r="M5758" s="154" t="str">
        <f t="shared" si="404"/>
        <v>Low_Base_Upgraded_Fossil Depletion Potential (FDP) - kg oil eq_Clear Cove Primary Clarification; wastewater treatment unit; at updated plant - US_Without Amendment_Windrow</v>
      </c>
    </row>
    <row r="5759" spans="1:13" s="120" customFormat="1" x14ac:dyDescent="0.25">
      <c r="A5759" s="119"/>
      <c r="B5759" s="138" t="str">
        <f t="shared" si="402"/>
        <v>Windrow</v>
      </c>
      <c r="C5759" s="138" t="str">
        <f t="shared" si="398"/>
        <v>Without Amendment</v>
      </c>
      <c r="D5759" s="138" t="str">
        <f t="shared" si="401"/>
        <v>Base</v>
      </c>
      <c r="E5759" s="138" t="str">
        <f t="shared" si="400"/>
        <v>Low</v>
      </c>
      <c r="F5759" s="138" t="str">
        <f t="shared" si="403"/>
        <v>Upgraded</v>
      </c>
      <c r="G5759" s="153"/>
      <c r="H5759" s="210">
        <v>8.4500000000000006E-2</v>
      </c>
      <c r="I5759" s="160" t="s">
        <v>58</v>
      </c>
      <c r="J5759" s="160">
        <v>1.592E-2</v>
      </c>
      <c r="K5759" s="160" t="s">
        <v>14</v>
      </c>
      <c r="L5759" s="154" t="str">
        <f>IF(OpenLCAbasic!K5759="CTUh", "Fill in Manually",IF(OR(K5759="Unit", K5759=""), "", INDEX(LookUps!$E$5:$E$12, MATCH(OpenLCAbasic!K5759,LookUps!$D$5:$D$12,0))))</f>
        <v>Fossil Depletion Potential (FDP) - kg oil eq</v>
      </c>
      <c r="M5759" s="154" t="str">
        <f t="shared" si="404"/>
        <v>Low_Base_Upgraded_Fossil Depletion Potential (FDP) - kg oil eq_Pre-Anoxic &amp; Swing tank; wastewater treatment unit; at updated plant - US_Without Amendment_Windrow</v>
      </c>
    </row>
    <row r="5760" spans="1:13" s="120" customFormat="1" x14ac:dyDescent="0.25">
      <c r="A5760" s="119"/>
      <c r="B5760" s="138" t="str">
        <f t="shared" si="402"/>
        <v>Windrow</v>
      </c>
      <c r="C5760" s="138" t="str">
        <f t="shared" si="398"/>
        <v>Without Amendment</v>
      </c>
      <c r="D5760" s="138" t="str">
        <f t="shared" si="401"/>
        <v>Base</v>
      </c>
      <c r="E5760" s="138" t="str">
        <f t="shared" si="400"/>
        <v>Low</v>
      </c>
      <c r="F5760" s="138" t="str">
        <f t="shared" si="403"/>
        <v>Upgraded</v>
      </c>
      <c r="G5760" s="153"/>
      <c r="H5760" s="210">
        <v>0.08</v>
      </c>
      <c r="I5760" s="160" t="s">
        <v>147</v>
      </c>
      <c r="J5760" s="160">
        <v>1.5089999999999999E-2</v>
      </c>
      <c r="K5760" s="160" t="s">
        <v>14</v>
      </c>
      <c r="L5760" s="154" t="str">
        <f>IF(OpenLCAbasic!K5760="CTUh", "Fill in Manually",IF(OR(K5760="Unit", K5760=""), "", INDEX(LookUps!$E$5:$E$12, MATCH(OpenLCAbasic!K5760,LookUps!$D$5:$D$12,0))))</f>
        <v>Fossil Depletion Potential (FDP) - kg oil eq</v>
      </c>
      <c r="M5760" s="154" t="str">
        <f t="shared" si="404"/>
        <v>Low_Base_Upgraded_Fossil Depletion Potential (FDP) - kg oil eq_Influent Pump Station; wastewater treatment unit; at updated plant - US_Without Amendment_Windrow</v>
      </c>
    </row>
    <row r="5761" spans="1:13" s="120" customFormat="1" x14ac:dyDescent="0.25">
      <c r="A5761" s="119"/>
      <c r="B5761" s="138" t="str">
        <f t="shared" si="402"/>
        <v>Windrow</v>
      </c>
      <c r="C5761" s="138" t="str">
        <f t="shared" ref="C5761:C5824" si="405">IF(ISNUMBER($J5761),"Without Amendment","")</f>
        <v>Without Amendment</v>
      </c>
      <c r="D5761" s="138" t="str">
        <f t="shared" si="401"/>
        <v>Base</v>
      </c>
      <c r="E5761" s="138" t="str">
        <f t="shared" ref="E5761:E5824" si="406">IF(ISNUMBER($J5761),"Low","")</f>
        <v>Low</v>
      </c>
      <c r="F5761" s="138" t="str">
        <f t="shared" si="403"/>
        <v>Upgraded</v>
      </c>
      <c r="G5761" s="153"/>
      <c r="H5761" s="210">
        <v>6.6199999999999995E-2</v>
      </c>
      <c r="I5761" s="160" t="s">
        <v>53</v>
      </c>
      <c r="J5761" s="160">
        <v>1.2489999999999999E-2</v>
      </c>
      <c r="K5761" s="160" t="s">
        <v>14</v>
      </c>
      <c r="L5761" s="154" t="str">
        <f>IF(OpenLCAbasic!K5761="CTUh", "Fill in Manually",IF(OR(K5761="Unit", K5761=""), "", INDEX(LookUps!$E$5:$E$12, MATCH(OpenLCAbasic!K5761,LookUps!$D$5:$D$12,0))))</f>
        <v>Fossil Depletion Potential (FDP) - kg oil eq</v>
      </c>
      <c r="M5761" s="154" t="str">
        <f t="shared" si="404"/>
        <v>Low_Base_Upgraded_Fossil Depletion Potential (FDP) - kg oil eq_Wet Well and Sump Station; wastewater treatment unit; at updated plant - US_Without Amendment_Windrow</v>
      </c>
    </row>
    <row r="5762" spans="1:13" s="120" customFormat="1" x14ac:dyDescent="0.25">
      <c r="A5762" s="119"/>
      <c r="B5762" s="138" t="str">
        <f t="shared" si="402"/>
        <v>Windrow</v>
      </c>
      <c r="C5762" s="138" t="str">
        <f t="shared" si="405"/>
        <v>Without Amendment</v>
      </c>
      <c r="D5762" s="138" t="str">
        <f t="shared" si="401"/>
        <v>Base</v>
      </c>
      <c r="E5762" s="138" t="str">
        <f t="shared" si="406"/>
        <v>Low</v>
      </c>
      <c r="F5762" s="138" t="str">
        <f t="shared" si="403"/>
        <v>Upgraded</v>
      </c>
      <c r="G5762" s="153"/>
      <c r="H5762" s="210">
        <v>3.6700000000000003E-2</v>
      </c>
      <c r="I5762" s="160" t="s">
        <v>57</v>
      </c>
      <c r="J5762" s="160">
        <v>6.9199999999999999E-3</v>
      </c>
      <c r="K5762" s="160" t="s">
        <v>14</v>
      </c>
      <c r="L5762" s="154" t="str">
        <f>IF(OpenLCAbasic!K5762="CTUh", "Fill in Manually",IF(OR(K5762="Unit", K5762=""), "", INDEX(LookUps!$E$5:$E$12, MATCH(OpenLCAbasic!K5762,LookUps!$D$5:$D$12,0))))</f>
        <v>Fossil Depletion Potential (FDP) - kg oil eq</v>
      </c>
      <c r="M5762" s="154" t="str">
        <f t="shared" si="404"/>
        <v>Low_Base_Upgraded_Fossil Depletion Potential (FDP) - kg oil eq_Gravity Belt Thickener; wastewater treatment unit; at updated plant - US_Without Amendment_Windrow</v>
      </c>
    </row>
    <row r="5763" spans="1:13" s="120" customFormat="1" x14ac:dyDescent="0.25">
      <c r="A5763" s="119"/>
      <c r="B5763" s="138" t="str">
        <f t="shared" si="402"/>
        <v>Windrow</v>
      </c>
      <c r="C5763" s="138" t="str">
        <f t="shared" si="405"/>
        <v>Without Amendment</v>
      </c>
      <c r="D5763" s="138" t="str">
        <f t="shared" si="401"/>
        <v>Base</v>
      </c>
      <c r="E5763" s="138" t="str">
        <f t="shared" si="406"/>
        <v>Low</v>
      </c>
      <c r="F5763" s="138" t="str">
        <f t="shared" si="403"/>
        <v>Upgraded</v>
      </c>
      <c r="G5763" s="153"/>
      <c r="H5763" s="210">
        <v>3.0800000000000001E-2</v>
      </c>
      <c r="I5763" s="160" t="s">
        <v>60</v>
      </c>
      <c r="J5763" s="160">
        <v>5.8100000000000001E-3</v>
      </c>
      <c r="K5763" s="160" t="s">
        <v>14</v>
      </c>
      <c r="L5763" s="154" t="str">
        <f>IF(OpenLCAbasic!K5763="CTUh", "Fill in Manually",IF(OR(K5763="Unit", K5763=""), "", INDEX(LookUps!$E$5:$E$12, MATCH(OpenLCAbasic!K5763,LookUps!$D$5:$D$12,0))))</f>
        <v>Fossil Depletion Potential (FDP) - kg oil eq</v>
      </c>
      <c r="M5763" s="154" t="str">
        <f t="shared" si="404"/>
        <v>Low_Base_Upgraded_Fossil Depletion Potential (FDP) - kg oil eq_Belt filter press; wastewater treatment unit; at updated plant - US_Without Amendment_Windrow</v>
      </c>
    </row>
    <row r="5764" spans="1:13" s="120" customFormat="1" x14ac:dyDescent="0.25">
      <c r="A5764" s="119"/>
      <c r="B5764" s="138" t="str">
        <f t="shared" si="402"/>
        <v>Windrow</v>
      </c>
      <c r="C5764" s="138" t="str">
        <f t="shared" si="405"/>
        <v>Without Amendment</v>
      </c>
      <c r="D5764" s="138" t="str">
        <f t="shared" si="401"/>
        <v>Base</v>
      </c>
      <c r="E5764" s="138" t="str">
        <f t="shared" si="406"/>
        <v>Low</v>
      </c>
      <c r="F5764" s="138" t="str">
        <f t="shared" si="403"/>
        <v>Upgraded</v>
      </c>
      <c r="G5764" s="153"/>
      <c r="H5764" s="210">
        <v>2.3900000000000001E-2</v>
      </c>
      <c r="I5764" s="160" t="s">
        <v>128</v>
      </c>
      <c r="J5764" s="160">
        <v>4.4999999999999997E-3</v>
      </c>
      <c r="K5764" s="160" t="s">
        <v>14</v>
      </c>
      <c r="L5764" s="154" t="str">
        <f>IF(OpenLCAbasic!K5764="CTUh", "Fill in Manually",IF(OR(K5764="Unit", K5764=""), "", INDEX(LookUps!$E$5:$E$12, MATCH(OpenLCAbasic!K5764,LookUps!$D$5:$D$12,0))))</f>
        <v>Fossil Depletion Potential (FDP) - kg oil eq</v>
      </c>
      <c r="M5764" s="154" t="str">
        <f t="shared" si="404"/>
        <v>Low_Base_Upgraded_Fossil Depletion Potential (FDP) - kg oil eq_Wastewater collection; operation and infrastructure; m3 wastewater_Without Amendment_Windrow</v>
      </c>
    </row>
    <row r="5765" spans="1:13" s="120" customFormat="1" x14ac:dyDescent="0.25">
      <c r="A5765" s="119"/>
      <c r="B5765" s="138" t="str">
        <f t="shared" si="402"/>
        <v>Windrow</v>
      </c>
      <c r="C5765" s="138" t="str">
        <f t="shared" si="405"/>
        <v>Without Amendment</v>
      </c>
      <c r="D5765" s="138" t="str">
        <f t="shared" si="401"/>
        <v>Base</v>
      </c>
      <c r="E5765" s="138" t="str">
        <f t="shared" si="406"/>
        <v>Low</v>
      </c>
      <c r="F5765" s="138" t="str">
        <f t="shared" si="403"/>
        <v>Upgraded</v>
      </c>
      <c r="G5765" s="153"/>
      <c r="H5765" s="210">
        <v>1.4800000000000001E-2</v>
      </c>
      <c r="I5765" s="160" t="s">
        <v>148</v>
      </c>
      <c r="J5765" s="160">
        <v>2.8E-3</v>
      </c>
      <c r="K5765" s="160" t="s">
        <v>14</v>
      </c>
      <c r="L5765" s="154" t="str">
        <f>IF(OpenLCAbasic!K5765="CTUh", "Fill in Manually",IF(OR(K5765="Unit", K5765=""), "", INDEX(LookUps!$E$5:$E$12, MATCH(OpenLCAbasic!K5765,LookUps!$D$5:$D$12,0))))</f>
        <v>Fossil Depletion Potential (FDP) - kg oil eq</v>
      </c>
      <c r="M5765" s="154" t="str">
        <f t="shared" si="404"/>
        <v>Low_Base_Upgraded_Fossil Depletion Potential (FDP) - kg oil eq_Control Building; at upgraded wastewater treatment plant - US_Without Amendment_Windrow</v>
      </c>
    </row>
    <row r="5766" spans="1:13" s="120" customFormat="1" x14ac:dyDescent="0.25">
      <c r="A5766" s="119"/>
      <c r="B5766" s="138" t="str">
        <f t="shared" si="402"/>
        <v>Windrow</v>
      </c>
      <c r="C5766" s="138" t="str">
        <f t="shared" si="405"/>
        <v>Without Amendment</v>
      </c>
      <c r="D5766" s="138" t="str">
        <f t="shared" si="401"/>
        <v>Base</v>
      </c>
      <c r="E5766" s="138" t="str">
        <f t="shared" si="406"/>
        <v>Low</v>
      </c>
      <c r="F5766" s="138" t="str">
        <f t="shared" si="403"/>
        <v>Upgraded</v>
      </c>
      <c r="G5766" s="153"/>
      <c r="H5766" s="210">
        <v>1.2500000000000001E-2</v>
      </c>
      <c r="I5766" s="160" t="s">
        <v>48</v>
      </c>
      <c r="J5766" s="160">
        <v>2.3600000000000001E-3</v>
      </c>
      <c r="K5766" s="160" t="s">
        <v>14</v>
      </c>
      <c r="L5766" s="154" t="str">
        <f>IF(OpenLCAbasic!K5766="CTUh", "Fill in Manually",IF(OR(K5766="Unit", K5766=""), "", INDEX(LookUps!$E$5:$E$12, MATCH(OpenLCAbasic!K5766,LookUps!$D$5:$D$12,0))))</f>
        <v>Fossil Depletion Potential (FDP) - kg oil eq</v>
      </c>
      <c r="M5766" s="154" t="str">
        <f t="shared" si="404"/>
        <v>Low_Base_Upgraded_Fossil Depletion Potential (FDP) - kg oil eq_Effluent release; wastewater treatment unit; at surface water; m3 wastewater - US_Without Amendment_Windrow</v>
      </c>
    </row>
    <row r="5767" spans="1:13" s="120" customFormat="1" x14ac:dyDescent="0.25">
      <c r="A5767" s="119"/>
      <c r="B5767" s="138" t="str">
        <f t="shared" si="402"/>
        <v>Windrow</v>
      </c>
      <c r="C5767" s="138" t="str">
        <f t="shared" si="405"/>
        <v>Without Amendment</v>
      </c>
      <c r="D5767" s="138" t="str">
        <f t="shared" si="401"/>
        <v>Base</v>
      </c>
      <c r="E5767" s="138" t="str">
        <f t="shared" si="406"/>
        <v>Low</v>
      </c>
      <c r="F5767" s="138" t="str">
        <f t="shared" si="403"/>
        <v>Upgraded</v>
      </c>
      <c r="G5767" s="153"/>
      <c r="H5767" s="210">
        <v>1.0200000000000001E-2</v>
      </c>
      <c r="I5767" s="160" t="s">
        <v>59</v>
      </c>
      <c r="J5767" s="160">
        <v>1.92E-3</v>
      </c>
      <c r="K5767" s="160" t="s">
        <v>14</v>
      </c>
      <c r="L5767" s="154" t="str">
        <f>IF(OpenLCAbasic!K5767="CTUh", "Fill in Manually",IF(OR(K5767="Unit", K5767=""), "", INDEX(LookUps!$E$5:$E$12, MATCH(OpenLCAbasic!K5767,LookUps!$D$5:$D$12,0))))</f>
        <v>Fossil Depletion Potential (FDP) - kg oil eq</v>
      </c>
      <c r="M5767" s="154" t="str">
        <f t="shared" si="404"/>
        <v>Low_Base_Upgraded_Fossil Depletion Potential (FDP) - kg oil eq_Blend Tank; wastewater treatment unit; at updated plant - US_Without Amendment_Windrow</v>
      </c>
    </row>
    <row r="5768" spans="1:13" s="120" customFormat="1" x14ac:dyDescent="0.25">
      <c r="A5768" s="119"/>
      <c r="B5768" s="138" t="str">
        <f t="shared" si="402"/>
        <v>Windrow</v>
      </c>
      <c r="C5768" s="138" t="str">
        <f t="shared" si="405"/>
        <v>Without Amendment</v>
      </c>
      <c r="D5768" s="138" t="str">
        <f t="shared" si="401"/>
        <v>Base</v>
      </c>
      <c r="E5768" s="138" t="str">
        <f t="shared" si="406"/>
        <v>Low</v>
      </c>
      <c r="F5768" s="138" t="str">
        <f t="shared" si="403"/>
        <v>Upgraded</v>
      </c>
      <c r="G5768" s="153"/>
      <c r="H5768" s="210">
        <v>4.8999999999999998E-3</v>
      </c>
      <c r="I5768" s="160" t="s">
        <v>168</v>
      </c>
      <c r="J5768" s="160">
        <v>9.1E-4</v>
      </c>
      <c r="K5768" s="160" t="s">
        <v>14</v>
      </c>
      <c r="L5768" s="154" t="str">
        <f>IF(OpenLCAbasic!K5768="CTUh", "Fill in Manually",IF(OR(K5768="Unit", K5768=""), "", INDEX(LookUps!$E$5:$E$12, MATCH(OpenLCAbasic!K5768,LookUps!$D$5:$D$12,0))))</f>
        <v>Fossil Depletion Potential (FDP) - kg oil eq</v>
      </c>
      <c r="M5768" s="154" t="str">
        <f t="shared" si="404"/>
        <v>Low_Base_Upgraded_Fossil Depletion Potential (FDP) - kg oil eq_ClearCove SCP; wastewater treatment unit; at updated plant - US_Without Amendment_Windrow</v>
      </c>
    </row>
    <row r="5769" spans="1:13" s="120" customFormat="1" x14ac:dyDescent="0.25">
      <c r="A5769" s="119"/>
      <c r="B5769" s="138" t="str">
        <f t="shared" si="402"/>
        <v>Windrow</v>
      </c>
      <c r="C5769" s="138" t="str">
        <f t="shared" si="405"/>
        <v>Without Amendment</v>
      </c>
      <c r="D5769" s="138" t="str">
        <f t="shared" ref="D5769:D5832" si="407">IF(ISNUMBER($J5769),"Base","")</f>
        <v>Base</v>
      </c>
      <c r="E5769" s="138" t="str">
        <f t="shared" si="406"/>
        <v>Low</v>
      </c>
      <c r="F5769" s="138" t="str">
        <f t="shared" si="403"/>
        <v>Upgraded</v>
      </c>
      <c r="G5769" s="153"/>
      <c r="H5769" s="210">
        <v>2.2000000000000001E-3</v>
      </c>
      <c r="I5769" s="160" t="s">
        <v>271</v>
      </c>
      <c r="J5769" s="160">
        <v>4.0999999999999999E-4</v>
      </c>
      <c r="K5769" s="160" t="s">
        <v>14</v>
      </c>
      <c r="L5769" s="154" t="str">
        <f>IF(OpenLCAbasic!K5769="CTUh", "Fill in Manually",IF(OR(K5769="Unit", K5769=""), "", INDEX(LookUps!$E$5:$E$12, MATCH(OpenLCAbasic!K5769,LookUps!$D$5:$D$12,0))))</f>
        <v>Fossil Depletion Potential (FDP) - kg oil eq</v>
      </c>
      <c r="M5769" s="154" t="str">
        <f t="shared" si="404"/>
        <v>Low_Base_Upgraded_Fossil Depletion Potential (FDP) - kg oil eq_Biosolids composting; windrow composting; wastewater treatment unit; at updated plant - US_Without Amendment_Windrow</v>
      </c>
    </row>
    <row r="5770" spans="1:13" s="120" customFormat="1" x14ac:dyDescent="0.25">
      <c r="A5770" s="119"/>
      <c r="B5770" s="138" t="str">
        <f t="shared" si="402"/>
        <v>Windrow</v>
      </c>
      <c r="C5770" s="138" t="str">
        <f t="shared" si="405"/>
        <v>Without Amendment</v>
      </c>
      <c r="D5770" s="138" t="str">
        <f t="shared" si="407"/>
        <v>Base</v>
      </c>
      <c r="E5770" s="138" t="str">
        <f t="shared" si="406"/>
        <v>Low</v>
      </c>
      <c r="F5770" s="138" t="str">
        <f t="shared" si="403"/>
        <v>Upgraded</v>
      </c>
      <c r="G5770" s="153"/>
      <c r="H5770" s="210">
        <v>-2.3300000000000001E-2</v>
      </c>
      <c r="I5770" s="160" t="s">
        <v>62</v>
      </c>
      <c r="J5770" s="160">
        <v>-4.3899999999999998E-3</v>
      </c>
      <c r="K5770" s="160" t="s">
        <v>14</v>
      </c>
      <c r="L5770" s="154" t="str">
        <f>IF(OpenLCAbasic!K5770="CTUh", "Fill in Manually",IF(OR(K5770="Unit", K5770=""), "", INDEX(LookUps!$E$5:$E$12, MATCH(OpenLCAbasic!K5770,LookUps!$D$5:$D$12,0))))</f>
        <v>Fossil Depletion Potential (FDP) - kg oil eq</v>
      </c>
      <c r="M5770" s="154" t="str">
        <f t="shared" si="404"/>
        <v>Low_Base_Upgraded_Fossil Depletion Potential (FDP) - kg oil eq_Land application of compost; wastewater treatment unit; at updated plant - US_Without Amendment_Windrow</v>
      </c>
    </row>
    <row r="5771" spans="1:13" s="120" customFormat="1" x14ac:dyDescent="0.25">
      <c r="A5771" s="119"/>
      <c r="B5771" s="138" t="str">
        <f t="shared" si="402"/>
        <v>Windrow</v>
      </c>
      <c r="C5771" s="138" t="str">
        <f t="shared" si="405"/>
        <v>Without Amendment</v>
      </c>
      <c r="D5771" s="138" t="str">
        <f t="shared" si="407"/>
        <v>Base</v>
      </c>
      <c r="E5771" s="138" t="str">
        <f t="shared" si="406"/>
        <v>Low</v>
      </c>
      <c r="F5771" s="138" t="str">
        <f t="shared" si="403"/>
        <v>Upgraded</v>
      </c>
      <c r="G5771" s="153"/>
      <c r="H5771" s="210">
        <v>-0.21229999999999999</v>
      </c>
      <c r="I5771" s="160" t="s">
        <v>149</v>
      </c>
      <c r="J5771" s="160">
        <v>-4.0030000000000003E-2</v>
      </c>
      <c r="K5771" s="160" t="s">
        <v>14</v>
      </c>
      <c r="L5771" s="154" t="str">
        <f>IF(OpenLCAbasic!K5771="CTUh", "Fill in Manually",IF(OR(K5771="Unit", K5771=""), "", INDEX(LookUps!$E$5:$E$12, MATCH(OpenLCAbasic!K5771,LookUps!$D$5:$D$12,0))))</f>
        <v>Fossil Depletion Potential (FDP) - kg oil eq</v>
      </c>
      <c r="M5771" s="154" t="str">
        <f t="shared" si="404"/>
        <v>Low_Base_Upgraded_Fossil Depletion Potential (FDP) - kg oil eq_Anaerobic Digestion; wastewater treatment unit; at updated plant - US_Without Amendment_Windrow</v>
      </c>
    </row>
    <row r="5772" spans="1:13" s="120" customFormat="1" x14ac:dyDescent="0.25">
      <c r="A5772" s="119"/>
      <c r="B5772" s="138" t="str">
        <f t="shared" si="402"/>
        <v/>
      </c>
      <c r="C5772" s="138" t="str">
        <f t="shared" si="405"/>
        <v/>
      </c>
      <c r="D5772" s="138" t="str">
        <f t="shared" si="407"/>
        <v/>
      </c>
      <c r="E5772" s="138" t="str">
        <f t="shared" si="406"/>
        <v/>
      </c>
      <c r="F5772" s="138" t="str">
        <f t="shared" si="403"/>
        <v/>
      </c>
      <c r="G5772" s="153" t="s">
        <v>51</v>
      </c>
      <c r="H5772" s="160"/>
      <c r="I5772" s="160" t="s">
        <v>47</v>
      </c>
      <c r="J5772" s="160" t="s">
        <v>52</v>
      </c>
      <c r="K5772" s="160" t="s">
        <v>27</v>
      </c>
      <c r="L5772" s="154" t="str">
        <f>IF(OpenLCAbasic!K5772="CTUh", "Fill in Manually",IF(OR(K5772="Unit", K5772=""), "", INDEX(LookUps!$E$5:$E$12, MATCH(OpenLCAbasic!K5772,LookUps!$D$5:$D$12,0))))</f>
        <v/>
      </c>
      <c r="M5772" s="154" t="str">
        <f t="shared" si="404"/>
        <v>____Process__</v>
      </c>
    </row>
    <row r="5773" spans="1:13" s="120" customFormat="1" x14ac:dyDescent="0.25">
      <c r="A5773" s="119"/>
      <c r="B5773" s="138" t="str">
        <f t="shared" si="402"/>
        <v>Windrow</v>
      </c>
      <c r="C5773" s="138" t="str">
        <f t="shared" si="405"/>
        <v>Without Amendment</v>
      </c>
      <c r="D5773" s="138" t="str">
        <f t="shared" si="407"/>
        <v>Base</v>
      </c>
      <c r="E5773" s="138" t="str">
        <f t="shared" si="406"/>
        <v>Low</v>
      </c>
      <c r="F5773" s="138" t="str">
        <f t="shared" si="403"/>
        <v>Upgraded</v>
      </c>
      <c r="G5773" s="153"/>
      <c r="H5773" s="210">
        <v>0.39140000000000003</v>
      </c>
      <c r="I5773" s="160" t="s">
        <v>58</v>
      </c>
      <c r="J5773" s="160">
        <v>0.24279999999999999</v>
      </c>
      <c r="K5773" s="160" t="s">
        <v>23</v>
      </c>
      <c r="L5773" s="154" t="str">
        <f>IF(OpenLCAbasic!K5773="CTUh", "Fill in Manually",IF(OR(K5773="Unit", K5773=""), "", INDEX(LookUps!$E$5:$E$12, MATCH(OpenLCAbasic!K5773,LookUps!$D$5:$D$12,0))))</f>
        <v>Global Warming Potential (GWP) - kg CO2 eq</v>
      </c>
      <c r="M5773" s="154" t="str">
        <f t="shared" si="404"/>
        <v>Low_Base_Upgraded_Global Warming Potential (GWP) - kg CO2 eq_Pre-Anoxic &amp; Swing tank; wastewater treatment unit; at updated plant - US_Without Amendment_Windrow</v>
      </c>
    </row>
    <row r="5774" spans="1:13" s="120" customFormat="1" x14ac:dyDescent="0.25">
      <c r="A5774" s="119"/>
      <c r="B5774" s="138" t="str">
        <f t="shared" si="402"/>
        <v>Windrow</v>
      </c>
      <c r="C5774" s="138" t="str">
        <f t="shared" si="405"/>
        <v>Without Amendment</v>
      </c>
      <c r="D5774" s="138" t="str">
        <f t="shared" si="407"/>
        <v>Base</v>
      </c>
      <c r="E5774" s="138" t="str">
        <f t="shared" si="406"/>
        <v>Low</v>
      </c>
      <c r="F5774" s="138" t="str">
        <f t="shared" si="403"/>
        <v>Upgraded</v>
      </c>
      <c r="G5774" s="153"/>
      <c r="H5774" s="210">
        <v>0.2712</v>
      </c>
      <c r="I5774" s="160" t="s">
        <v>55</v>
      </c>
      <c r="J5774" s="160">
        <v>0.16822000000000001</v>
      </c>
      <c r="K5774" s="160" t="s">
        <v>23</v>
      </c>
      <c r="L5774" s="154" t="str">
        <f>IF(OpenLCAbasic!K5774="CTUh", "Fill in Manually",IF(OR(K5774="Unit", K5774=""), "", INDEX(LookUps!$E$5:$E$12, MATCH(OpenLCAbasic!K5774,LookUps!$D$5:$D$12,0))))</f>
        <v>Global Warming Potential (GWP) - kg CO2 eq</v>
      </c>
      <c r="M5774" s="154" t="str">
        <f t="shared" si="404"/>
        <v>Low_Base_Upgraded_Global Warming Potential (GWP) - kg CO2 eq_Aeration Tanks; wastewater treatment unit; at updated plant - US_Without Amendment_Windrow</v>
      </c>
    </row>
    <row r="5775" spans="1:13" s="120" customFormat="1" x14ac:dyDescent="0.25">
      <c r="A5775" s="119"/>
      <c r="B5775" s="138" t="str">
        <f t="shared" si="402"/>
        <v>Windrow</v>
      </c>
      <c r="C5775" s="138" t="str">
        <f t="shared" si="405"/>
        <v>Without Amendment</v>
      </c>
      <c r="D5775" s="138" t="str">
        <f t="shared" si="407"/>
        <v>Base</v>
      </c>
      <c r="E5775" s="138" t="str">
        <f t="shared" si="406"/>
        <v>Low</v>
      </c>
      <c r="F5775" s="138" t="str">
        <f t="shared" si="403"/>
        <v>Upgraded</v>
      </c>
      <c r="G5775" s="153"/>
      <c r="H5775" s="210">
        <v>0.1651</v>
      </c>
      <c r="I5775" s="160" t="s">
        <v>167</v>
      </c>
      <c r="J5775" s="160">
        <v>0.10241</v>
      </c>
      <c r="K5775" s="160" t="s">
        <v>23</v>
      </c>
      <c r="L5775" s="154" t="str">
        <f>IF(OpenLCAbasic!K5775="CTUh", "Fill in Manually",IF(OR(K5775="Unit", K5775=""), "", INDEX(LookUps!$E$5:$E$12, MATCH(OpenLCAbasic!K5775,LookUps!$D$5:$D$12,0))))</f>
        <v>Global Warming Potential (GWP) - kg CO2 eq</v>
      </c>
      <c r="M5775" s="154" t="str">
        <f t="shared" si="404"/>
        <v>Low_Base_Upgraded_Global Warming Potential (GWP) - kg CO2 eq_Waste Receiving and Holding; wastewater treatment unit; at updated plant - US_Without Amendment_Windrow</v>
      </c>
    </row>
    <row r="5776" spans="1:13" s="120" customFormat="1" x14ac:dyDescent="0.25">
      <c r="A5776" s="119"/>
      <c r="B5776" s="138" t="str">
        <f t="shared" si="402"/>
        <v>Windrow</v>
      </c>
      <c r="C5776" s="138" t="str">
        <f t="shared" si="405"/>
        <v>Without Amendment</v>
      </c>
      <c r="D5776" s="138" t="str">
        <f t="shared" si="407"/>
        <v>Base</v>
      </c>
      <c r="E5776" s="138" t="str">
        <f t="shared" si="406"/>
        <v>Low</v>
      </c>
      <c r="F5776" s="138" t="str">
        <f t="shared" si="403"/>
        <v>Upgraded</v>
      </c>
      <c r="G5776" s="153"/>
      <c r="H5776" s="210">
        <v>9.1999999999999998E-2</v>
      </c>
      <c r="I5776" s="160" t="s">
        <v>54</v>
      </c>
      <c r="J5776" s="160">
        <v>5.7079999999999999E-2</v>
      </c>
      <c r="K5776" s="160" t="s">
        <v>23</v>
      </c>
      <c r="L5776" s="154" t="str">
        <f>IF(OpenLCAbasic!K5776="CTUh", "Fill in Manually",IF(OR(K5776="Unit", K5776=""), "", INDEX(LookUps!$E$5:$E$12, MATCH(OpenLCAbasic!K5776,LookUps!$D$5:$D$12,0))))</f>
        <v>Global Warming Potential (GWP) - kg CO2 eq</v>
      </c>
      <c r="M5776" s="154" t="str">
        <f t="shared" si="404"/>
        <v>Low_Base_Upgraded_Global Warming Potential (GWP) - kg CO2 eq_Clear Cove Primary Clarification; wastewater treatment unit; at updated plant - US_Without Amendment_Windrow</v>
      </c>
    </row>
    <row r="5777" spans="1:13" s="120" customFormat="1" x14ac:dyDescent="0.25">
      <c r="A5777" s="119"/>
      <c r="B5777" s="138" t="str">
        <f t="shared" si="402"/>
        <v>Windrow</v>
      </c>
      <c r="C5777" s="138" t="str">
        <f t="shared" si="405"/>
        <v>Without Amendment</v>
      </c>
      <c r="D5777" s="138" t="str">
        <f t="shared" si="407"/>
        <v>Base</v>
      </c>
      <c r="E5777" s="138" t="str">
        <f t="shared" si="406"/>
        <v>Low</v>
      </c>
      <c r="F5777" s="138" t="str">
        <f t="shared" si="403"/>
        <v>Upgraded</v>
      </c>
      <c r="G5777" s="153"/>
      <c r="H5777" s="210">
        <v>8.4900000000000003E-2</v>
      </c>
      <c r="I5777" s="160" t="s">
        <v>48</v>
      </c>
      <c r="J5777" s="160">
        <v>5.2639999999999999E-2</v>
      </c>
      <c r="K5777" s="160" t="s">
        <v>23</v>
      </c>
      <c r="L5777" s="154" t="str">
        <f>IF(OpenLCAbasic!K5777="CTUh", "Fill in Manually",IF(OR(K5777="Unit", K5777=""), "", INDEX(LookUps!$E$5:$E$12, MATCH(OpenLCAbasic!K5777,LookUps!$D$5:$D$12,0))))</f>
        <v>Global Warming Potential (GWP) - kg CO2 eq</v>
      </c>
      <c r="M5777" s="154" t="str">
        <f t="shared" si="404"/>
        <v>Low_Base_Upgraded_Global Warming Potential (GWP) - kg CO2 eq_Effluent release; wastewater treatment unit; at surface water; m3 wastewater - US_Without Amendment_Windrow</v>
      </c>
    </row>
    <row r="5778" spans="1:13" s="120" customFormat="1" x14ac:dyDescent="0.25">
      <c r="A5778" s="119"/>
      <c r="B5778" s="138" t="str">
        <f t="shared" si="402"/>
        <v>Windrow</v>
      </c>
      <c r="C5778" s="138" t="str">
        <f t="shared" si="405"/>
        <v>Without Amendment</v>
      </c>
      <c r="D5778" s="138" t="str">
        <f t="shared" si="407"/>
        <v>Base</v>
      </c>
      <c r="E5778" s="138" t="str">
        <f t="shared" si="406"/>
        <v>Low</v>
      </c>
      <c r="F5778" s="138" t="str">
        <f t="shared" si="403"/>
        <v>Upgraded</v>
      </c>
      <c r="G5778" s="153"/>
      <c r="H5778" s="210">
        <v>8.14E-2</v>
      </c>
      <c r="I5778" s="160" t="s">
        <v>147</v>
      </c>
      <c r="J5778" s="160">
        <v>5.0500000000000003E-2</v>
      </c>
      <c r="K5778" s="160" t="s">
        <v>23</v>
      </c>
      <c r="L5778" s="154" t="str">
        <f>IF(OpenLCAbasic!K5778="CTUh", "Fill in Manually",IF(OR(K5778="Unit", K5778=""), "", INDEX(LookUps!$E$5:$E$12, MATCH(OpenLCAbasic!K5778,LookUps!$D$5:$D$12,0))))</f>
        <v>Global Warming Potential (GWP) - kg CO2 eq</v>
      </c>
      <c r="M5778" s="154" t="str">
        <f t="shared" si="404"/>
        <v>Low_Base_Upgraded_Global Warming Potential (GWP) - kg CO2 eq_Influent Pump Station; wastewater treatment unit; at updated plant - US_Without Amendment_Windrow</v>
      </c>
    </row>
    <row r="5779" spans="1:13" s="120" customFormat="1" x14ac:dyDescent="0.25">
      <c r="A5779" s="119"/>
      <c r="B5779" s="138" t="str">
        <f t="shared" si="402"/>
        <v>Windrow</v>
      </c>
      <c r="C5779" s="138" t="str">
        <f t="shared" si="405"/>
        <v>Without Amendment</v>
      </c>
      <c r="D5779" s="138" t="str">
        <f t="shared" si="407"/>
        <v>Base</v>
      </c>
      <c r="E5779" s="138" t="str">
        <f t="shared" si="406"/>
        <v>Low</v>
      </c>
      <c r="F5779" s="138" t="str">
        <f t="shared" si="403"/>
        <v>Upgraded</v>
      </c>
      <c r="G5779" s="153"/>
      <c r="H5779" s="210">
        <v>7.9699999999999993E-2</v>
      </c>
      <c r="I5779" s="160" t="s">
        <v>271</v>
      </c>
      <c r="J5779" s="160">
        <v>4.9459999999999997E-2</v>
      </c>
      <c r="K5779" s="160" t="s">
        <v>23</v>
      </c>
      <c r="L5779" s="154" t="str">
        <f>IF(OpenLCAbasic!K5779="CTUh", "Fill in Manually",IF(OR(K5779="Unit", K5779=""), "", INDEX(LookUps!$E$5:$E$12, MATCH(OpenLCAbasic!K5779,LookUps!$D$5:$D$12,0))))</f>
        <v>Global Warming Potential (GWP) - kg CO2 eq</v>
      </c>
      <c r="M5779" s="154" t="str">
        <f t="shared" si="404"/>
        <v>Low_Base_Upgraded_Global Warming Potential (GWP) - kg CO2 eq_Biosolids composting; windrow composting; wastewater treatment unit; at updated plant - US_Without Amendment_Windrow</v>
      </c>
    </row>
    <row r="5780" spans="1:13" s="120" customFormat="1" x14ac:dyDescent="0.25">
      <c r="A5780" s="119"/>
      <c r="B5780" s="138" t="str">
        <f t="shared" si="402"/>
        <v>Windrow</v>
      </c>
      <c r="C5780" s="138" t="str">
        <f t="shared" si="405"/>
        <v>Without Amendment</v>
      </c>
      <c r="D5780" s="138" t="str">
        <f t="shared" si="407"/>
        <v>Base</v>
      </c>
      <c r="E5780" s="138" t="str">
        <f t="shared" si="406"/>
        <v>Low</v>
      </c>
      <c r="F5780" s="138" t="str">
        <f t="shared" si="403"/>
        <v>Upgraded</v>
      </c>
      <c r="G5780" s="153"/>
      <c r="H5780" s="210">
        <v>5.3600000000000002E-2</v>
      </c>
      <c r="I5780" s="160" t="s">
        <v>53</v>
      </c>
      <c r="J5780" s="160">
        <v>3.3259999999999998E-2</v>
      </c>
      <c r="K5780" s="160" t="s">
        <v>23</v>
      </c>
      <c r="L5780" s="154" t="str">
        <f>IF(OpenLCAbasic!K5780="CTUh", "Fill in Manually",IF(OR(K5780="Unit", K5780=""), "", INDEX(LookUps!$E$5:$E$12, MATCH(OpenLCAbasic!K5780,LookUps!$D$5:$D$12,0))))</f>
        <v>Global Warming Potential (GWP) - kg CO2 eq</v>
      </c>
      <c r="M5780" s="154" t="str">
        <f t="shared" si="404"/>
        <v>Low_Base_Upgraded_Global Warming Potential (GWP) - kg CO2 eq_Wet Well and Sump Station; wastewater treatment unit; at updated plant - US_Without Amendment_Windrow</v>
      </c>
    </row>
    <row r="5781" spans="1:13" s="120" customFormat="1" x14ac:dyDescent="0.25">
      <c r="A5781" s="119"/>
      <c r="B5781" s="138" t="str">
        <f t="shared" si="402"/>
        <v>Windrow</v>
      </c>
      <c r="C5781" s="138" t="str">
        <f t="shared" si="405"/>
        <v>Without Amendment</v>
      </c>
      <c r="D5781" s="138" t="str">
        <f t="shared" si="407"/>
        <v>Base</v>
      </c>
      <c r="E5781" s="138" t="str">
        <f t="shared" si="406"/>
        <v>Low</v>
      </c>
      <c r="F5781" s="138" t="str">
        <f t="shared" si="403"/>
        <v>Upgraded</v>
      </c>
      <c r="G5781" s="153"/>
      <c r="H5781" s="210">
        <v>2.35E-2</v>
      </c>
      <c r="I5781" s="160" t="s">
        <v>57</v>
      </c>
      <c r="J5781" s="160">
        <v>1.455E-2</v>
      </c>
      <c r="K5781" s="160" t="s">
        <v>23</v>
      </c>
      <c r="L5781" s="154" t="str">
        <f>IF(OpenLCAbasic!K5781="CTUh", "Fill in Manually",IF(OR(K5781="Unit", K5781=""), "", INDEX(LookUps!$E$5:$E$12, MATCH(OpenLCAbasic!K5781,LookUps!$D$5:$D$12,0))))</f>
        <v>Global Warming Potential (GWP) - kg CO2 eq</v>
      </c>
      <c r="M5781" s="154" t="str">
        <f t="shared" si="404"/>
        <v>Low_Base_Upgraded_Global Warming Potential (GWP) - kg CO2 eq_Gravity Belt Thickener; wastewater treatment unit; at updated plant - US_Without Amendment_Windrow</v>
      </c>
    </row>
    <row r="5782" spans="1:13" s="120" customFormat="1" x14ac:dyDescent="0.25">
      <c r="A5782" s="119"/>
      <c r="B5782" s="138" t="str">
        <f t="shared" si="402"/>
        <v>Windrow</v>
      </c>
      <c r="C5782" s="138" t="str">
        <f t="shared" si="405"/>
        <v>Without Amendment</v>
      </c>
      <c r="D5782" s="138" t="str">
        <f t="shared" si="407"/>
        <v>Base</v>
      </c>
      <c r="E5782" s="138" t="str">
        <f t="shared" si="406"/>
        <v>Low</v>
      </c>
      <c r="F5782" s="138" t="str">
        <f t="shared" si="403"/>
        <v>Upgraded</v>
      </c>
      <c r="G5782" s="153"/>
      <c r="H5782" s="210">
        <v>2.18E-2</v>
      </c>
      <c r="I5782" s="160" t="s">
        <v>128</v>
      </c>
      <c r="J5782" s="160">
        <v>1.3509999999999999E-2</v>
      </c>
      <c r="K5782" s="160" t="s">
        <v>23</v>
      </c>
      <c r="L5782" s="154" t="str">
        <f>IF(OpenLCAbasic!K5782="CTUh", "Fill in Manually",IF(OR(K5782="Unit", K5782=""), "", INDEX(LookUps!$E$5:$E$12, MATCH(OpenLCAbasic!K5782,LookUps!$D$5:$D$12,0))))</f>
        <v>Global Warming Potential (GWP) - kg CO2 eq</v>
      </c>
      <c r="M5782" s="154" t="str">
        <f t="shared" si="404"/>
        <v>Low_Base_Upgraded_Global Warming Potential (GWP) - kg CO2 eq_Wastewater collection; operation and infrastructure; m3 wastewater_Without Amendment_Windrow</v>
      </c>
    </row>
    <row r="5783" spans="1:13" s="120" customFormat="1" x14ac:dyDescent="0.25">
      <c r="A5783" s="119"/>
      <c r="B5783" s="138" t="str">
        <f t="shared" si="402"/>
        <v>Windrow</v>
      </c>
      <c r="C5783" s="138" t="str">
        <f t="shared" si="405"/>
        <v>Without Amendment</v>
      </c>
      <c r="D5783" s="138" t="str">
        <f t="shared" si="407"/>
        <v>Base</v>
      </c>
      <c r="E5783" s="138" t="str">
        <f t="shared" si="406"/>
        <v>Low</v>
      </c>
      <c r="F5783" s="138" t="str">
        <f t="shared" si="403"/>
        <v>Upgraded</v>
      </c>
      <c r="G5783" s="153"/>
      <c r="H5783" s="210">
        <v>2.06E-2</v>
      </c>
      <c r="I5783" s="160" t="s">
        <v>60</v>
      </c>
      <c r="J5783" s="160">
        <v>1.278E-2</v>
      </c>
      <c r="K5783" s="160" t="s">
        <v>23</v>
      </c>
      <c r="L5783" s="154" t="str">
        <f>IF(OpenLCAbasic!K5783="CTUh", "Fill in Manually",IF(OR(K5783="Unit", K5783=""), "", INDEX(LookUps!$E$5:$E$12, MATCH(OpenLCAbasic!K5783,LookUps!$D$5:$D$12,0))))</f>
        <v>Global Warming Potential (GWP) - kg CO2 eq</v>
      </c>
      <c r="M5783" s="154" t="str">
        <f t="shared" si="404"/>
        <v>Low_Base_Upgraded_Global Warming Potential (GWP) - kg CO2 eq_Belt filter press; wastewater treatment unit; at updated plant - US_Without Amendment_Windrow</v>
      </c>
    </row>
    <row r="5784" spans="1:13" s="120" customFormat="1" x14ac:dyDescent="0.25">
      <c r="A5784" s="119"/>
      <c r="B5784" s="138" t="str">
        <f t="shared" si="402"/>
        <v>Windrow</v>
      </c>
      <c r="C5784" s="138" t="str">
        <f t="shared" si="405"/>
        <v>Without Amendment</v>
      </c>
      <c r="D5784" s="138" t="str">
        <f t="shared" si="407"/>
        <v>Base</v>
      </c>
      <c r="E5784" s="138" t="str">
        <f t="shared" si="406"/>
        <v>Low</v>
      </c>
      <c r="F5784" s="138" t="str">
        <f t="shared" si="403"/>
        <v>Upgraded</v>
      </c>
      <c r="G5784" s="153"/>
      <c r="H5784" s="210">
        <v>1.34E-2</v>
      </c>
      <c r="I5784" s="160" t="s">
        <v>148</v>
      </c>
      <c r="J5784" s="160">
        <v>8.3000000000000001E-3</v>
      </c>
      <c r="K5784" s="160" t="s">
        <v>23</v>
      </c>
      <c r="L5784" s="154" t="str">
        <f>IF(OpenLCAbasic!K5784="CTUh", "Fill in Manually",IF(OR(K5784="Unit", K5784=""), "", INDEX(LookUps!$E$5:$E$12, MATCH(OpenLCAbasic!K5784,LookUps!$D$5:$D$12,0))))</f>
        <v>Global Warming Potential (GWP) - kg CO2 eq</v>
      </c>
      <c r="M5784" s="154" t="str">
        <f t="shared" si="404"/>
        <v>Low_Base_Upgraded_Global Warming Potential (GWP) - kg CO2 eq_Control Building; at upgraded wastewater treatment plant - US_Without Amendment_Windrow</v>
      </c>
    </row>
    <row r="5785" spans="1:13" s="120" customFormat="1" x14ac:dyDescent="0.25">
      <c r="A5785" s="119"/>
      <c r="B5785" s="138" t="str">
        <f t="shared" si="402"/>
        <v>Windrow</v>
      </c>
      <c r="C5785" s="138" t="str">
        <f t="shared" si="405"/>
        <v>Without Amendment</v>
      </c>
      <c r="D5785" s="138" t="str">
        <f t="shared" si="407"/>
        <v>Base</v>
      </c>
      <c r="E5785" s="138" t="str">
        <f t="shared" si="406"/>
        <v>Low</v>
      </c>
      <c r="F5785" s="138" t="str">
        <f t="shared" si="403"/>
        <v>Upgraded</v>
      </c>
      <c r="G5785" s="153"/>
      <c r="H5785" s="210">
        <v>8.0999999999999996E-3</v>
      </c>
      <c r="I5785" s="160" t="s">
        <v>59</v>
      </c>
      <c r="J5785" s="160">
        <v>5.0400000000000002E-3</v>
      </c>
      <c r="K5785" s="160" t="s">
        <v>23</v>
      </c>
      <c r="L5785" s="154" t="str">
        <f>IF(OpenLCAbasic!K5785="CTUh", "Fill in Manually",IF(OR(K5785="Unit", K5785=""), "", INDEX(LookUps!$E$5:$E$12, MATCH(OpenLCAbasic!K5785,LookUps!$D$5:$D$12,0))))</f>
        <v>Global Warming Potential (GWP) - kg CO2 eq</v>
      </c>
      <c r="M5785" s="154" t="str">
        <f t="shared" si="404"/>
        <v>Low_Base_Upgraded_Global Warming Potential (GWP) - kg CO2 eq_Blend Tank; wastewater treatment unit; at updated plant - US_Without Amendment_Windrow</v>
      </c>
    </row>
    <row r="5786" spans="1:13" s="120" customFormat="1" x14ac:dyDescent="0.25">
      <c r="A5786" s="119"/>
      <c r="B5786" s="138" t="str">
        <f t="shared" si="402"/>
        <v>Windrow</v>
      </c>
      <c r="C5786" s="138" t="str">
        <f t="shared" si="405"/>
        <v>Without Amendment</v>
      </c>
      <c r="D5786" s="138" t="str">
        <f t="shared" si="407"/>
        <v>Base</v>
      </c>
      <c r="E5786" s="138" t="str">
        <f t="shared" si="406"/>
        <v>Low</v>
      </c>
      <c r="F5786" s="138" t="str">
        <f t="shared" si="403"/>
        <v>Upgraded</v>
      </c>
      <c r="G5786" s="153"/>
      <c r="H5786" s="210">
        <v>3.8999999999999998E-3</v>
      </c>
      <c r="I5786" s="160" t="s">
        <v>168</v>
      </c>
      <c r="J5786" s="160">
        <v>2.4099999999999998E-3</v>
      </c>
      <c r="K5786" s="160" t="s">
        <v>23</v>
      </c>
      <c r="L5786" s="154" t="str">
        <f>IF(OpenLCAbasic!K5786="CTUh", "Fill in Manually",IF(OR(K5786="Unit", K5786=""), "", INDEX(LookUps!$E$5:$E$12, MATCH(OpenLCAbasic!K5786,LookUps!$D$5:$D$12,0))))</f>
        <v>Global Warming Potential (GWP) - kg CO2 eq</v>
      </c>
      <c r="M5786" s="154" t="str">
        <f t="shared" si="404"/>
        <v>Low_Base_Upgraded_Global Warming Potential (GWP) - kg CO2 eq_ClearCove SCP; wastewater treatment unit; at updated plant - US_Without Amendment_Windrow</v>
      </c>
    </row>
    <row r="5787" spans="1:13" s="120" customFormat="1" x14ac:dyDescent="0.25">
      <c r="A5787" s="119"/>
      <c r="B5787" s="138" t="str">
        <f t="shared" si="402"/>
        <v>Windrow</v>
      </c>
      <c r="C5787" s="138" t="str">
        <f t="shared" si="405"/>
        <v>Without Amendment</v>
      </c>
      <c r="D5787" s="138" t="str">
        <f t="shared" si="407"/>
        <v>Base</v>
      </c>
      <c r="E5787" s="138" t="str">
        <f t="shared" si="406"/>
        <v>Low</v>
      </c>
      <c r="F5787" s="138" t="str">
        <f t="shared" si="403"/>
        <v>Upgraded</v>
      </c>
      <c r="G5787" s="153"/>
      <c r="H5787" s="210">
        <v>-9.1300000000000006E-2</v>
      </c>
      <c r="I5787" s="160" t="s">
        <v>149</v>
      </c>
      <c r="J5787" s="160">
        <v>-5.6640000000000003E-2</v>
      </c>
      <c r="K5787" s="160" t="s">
        <v>23</v>
      </c>
      <c r="L5787" s="154" t="str">
        <f>IF(OpenLCAbasic!K5787="CTUh", "Fill in Manually",IF(OR(K5787="Unit", K5787=""), "", INDEX(LookUps!$E$5:$E$12, MATCH(OpenLCAbasic!K5787,LookUps!$D$5:$D$12,0))))</f>
        <v>Global Warming Potential (GWP) - kg CO2 eq</v>
      </c>
      <c r="M5787" s="154" t="str">
        <f t="shared" si="404"/>
        <v>Low_Base_Upgraded_Global Warming Potential (GWP) - kg CO2 eq_Anaerobic Digestion; wastewater treatment unit; at updated plant - US_Without Amendment_Windrow</v>
      </c>
    </row>
    <row r="5788" spans="1:13" s="120" customFormat="1" x14ac:dyDescent="0.25">
      <c r="A5788" s="119"/>
      <c r="B5788" s="138" t="str">
        <f t="shared" si="402"/>
        <v>Windrow</v>
      </c>
      <c r="C5788" s="138" t="str">
        <f t="shared" si="405"/>
        <v>Without Amendment</v>
      </c>
      <c r="D5788" s="138" t="str">
        <f t="shared" si="407"/>
        <v>Base</v>
      </c>
      <c r="E5788" s="138" t="str">
        <f t="shared" si="406"/>
        <v>Low</v>
      </c>
      <c r="F5788" s="138" t="str">
        <f t="shared" si="403"/>
        <v>Upgraded</v>
      </c>
      <c r="G5788" s="153"/>
      <c r="H5788" s="210">
        <v>-0.21920000000000001</v>
      </c>
      <c r="I5788" s="160" t="s">
        <v>62</v>
      </c>
      <c r="J5788" s="160">
        <v>-0.13600000000000001</v>
      </c>
      <c r="K5788" s="160" t="s">
        <v>23</v>
      </c>
      <c r="L5788" s="154" t="str">
        <f>IF(OpenLCAbasic!K5788="CTUh", "Fill in Manually",IF(OR(K5788="Unit", K5788=""), "", INDEX(LookUps!$E$5:$E$12, MATCH(OpenLCAbasic!K5788,LookUps!$D$5:$D$12,0))))</f>
        <v>Global Warming Potential (GWP) - kg CO2 eq</v>
      </c>
      <c r="M5788" s="154" t="str">
        <f t="shared" si="404"/>
        <v>Low_Base_Upgraded_Global Warming Potential (GWP) - kg CO2 eq_Land application of compost; wastewater treatment unit; at updated plant - US_Without Amendment_Windrow</v>
      </c>
    </row>
    <row r="5789" spans="1:13" s="120" customFormat="1" x14ac:dyDescent="0.25">
      <c r="A5789" s="119"/>
      <c r="B5789" s="138" t="str">
        <f t="shared" si="402"/>
        <v/>
      </c>
      <c r="C5789" s="138" t="str">
        <f t="shared" si="405"/>
        <v/>
      </c>
      <c r="D5789" s="138" t="str">
        <f t="shared" si="407"/>
        <v/>
      </c>
      <c r="E5789" s="138" t="str">
        <f t="shared" si="406"/>
        <v/>
      </c>
      <c r="F5789" s="138" t="str">
        <f t="shared" si="403"/>
        <v/>
      </c>
      <c r="G5789" s="153" t="s">
        <v>51</v>
      </c>
      <c r="H5789" s="160"/>
      <c r="I5789" s="160" t="s">
        <v>47</v>
      </c>
      <c r="J5789" s="160" t="s">
        <v>52</v>
      </c>
      <c r="K5789" s="160" t="s">
        <v>27</v>
      </c>
      <c r="L5789" s="154" t="str">
        <f>IF(OpenLCAbasic!K5789="CTUh", "Fill in Manually",IF(OR(K5789="Unit", K5789=""), "", INDEX(LookUps!$E$5:$E$12, MATCH(OpenLCAbasic!K5789,LookUps!$D$5:$D$12,0))))</f>
        <v/>
      </c>
      <c r="M5789" s="154" t="str">
        <f t="shared" si="404"/>
        <v>____Process__</v>
      </c>
    </row>
    <row r="5790" spans="1:13" s="120" customFormat="1" x14ac:dyDescent="0.25">
      <c r="A5790" s="119"/>
      <c r="B5790" s="138" t="str">
        <f t="shared" si="402"/>
        <v>Windrow</v>
      </c>
      <c r="C5790" s="138" t="str">
        <f t="shared" si="405"/>
        <v>Without Amendment</v>
      </c>
      <c r="D5790" s="138" t="str">
        <f t="shared" si="407"/>
        <v>Base</v>
      </c>
      <c r="E5790" s="138" t="str">
        <f t="shared" si="406"/>
        <v>Low</v>
      </c>
      <c r="F5790" s="138" t="str">
        <f t="shared" si="403"/>
        <v>Upgraded</v>
      </c>
      <c r="G5790" s="153"/>
      <c r="H5790" s="210">
        <v>0.53620000000000001</v>
      </c>
      <c r="I5790" s="160" t="s">
        <v>55</v>
      </c>
      <c r="J5790" s="160">
        <v>2.33E-3</v>
      </c>
      <c r="K5790" s="160" t="s">
        <v>145</v>
      </c>
      <c r="L5790" s="154" t="str">
        <f>IF(OpenLCAbasic!K5790="CTUh", "Fill in Manually",IF(OR(K5790="Unit", K5790=""), "", INDEX(LookUps!$E$5:$E$12, MATCH(OpenLCAbasic!K5790,LookUps!$D$5:$D$12,0))))</f>
        <v>Particulate Matter Formation Potential (PMFP) - kg PM2.5 eq</v>
      </c>
      <c r="M5790" s="154" t="str">
        <f t="shared" si="404"/>
        <v>Low_Base_Upgraded_Particulate Matter Formation Potential (PMFP) - kg PM2.5 eq_Aeration Tanks; wastewater treatment unit; at updated plant - US_Without Amendment_Windrow</v>
      </c>
    </row>
    <row r="5791" spans="1:13" s="120" customFormat="1" x14ac:dyDescent="0.25">
      <c r="A5791" s="119"/>
      <c r="B5791" s="138" t="str">
        <f t="shared" si="402"/>
        <v>Windrow</v>
      </c>
      <c r="C5791" s="138" t="str">
        <f t="shared" si="405"/>
        <v>Without Amendment</v>
      </c>
      <c r="D5791" s="138" t="str">
        <f t="shared" si="407"/>
        <v>Base</v>
      </c>
      <c r="E5791" s="138" t="str">
        <f t="shared" si="406"/>
        <v>Low</v>
      </c>
      <c r="F5791" s="138" t="str">
        <f t="shared" si="403"/>
        <v>Upgraded</v>
      </c>
      <c r="G5791" s="153"/>
      <c r="H5791" s="210">
        <v>0.156</v>
      </c>
      <c r="I5791" s="160" t="s">
        <v>54</v>
      </c>
      <c r="J5791" s="160">
        <v>6.8000000000000005E-4</v>
      </c>
      <c r="K5791" s="160" t="s">
        <v>145</v>
      </c>
      <c r="L5791" s="154" t="str">
        <f>IF(OpenLCAbasic!K5791="CTUh", "Fill in Manually",IF(OR(K5791="Unit", K5791=""), "", INDEX(LookUps!$E$5:$E$12, MATCH(OpenLCAbasic!K5791,LookUps!$D$5:$D$12,0))))</f>
        <v>Particulate Matter Formation Potential (PMFP) - kg PM2.5 eq</v>
      </c>
      <c r="M5791" s="154" t="str">
        <f t="shared" si="404"/>
        <v>Low_Base_Upgraded_Particulate Matter Formation Potential (PMFP) - kg PM2.5 eq_Clear Cove Primary Clarification; wastewater treatment unit; at updated plant - US_Without Amendment_Windrow</v>
      </c>
    </row>
    <row r="5792" spans="1:13" s="120" customFormat="1" x14ac:dyDescent="0.25">
      <c r="A5792" s="119"/>
      <c r="B5792" s="138" t="str">
        <f t="shared" si="402"/>
        <v>Windrow</v>
      </c>
      <c r="C5792" s="138" t="str">
        <f t="shared" si="405"/>
        <v>Without Amendment</v>
      </c>
      <c r="D5792" s="138" t="str">
        <f t="shared" si="407"/>
        <v>Base</v>
      </c>
      <c r="E5792" s="138" t="str">
        <f t="shared" si="406"/>
        <v>Low</v>
      </c>
      <c r="F5792" s="138" t="str">
        <f t="shared" si="403"/>
        <v>Upgraded</v>
      </c>
      <c r="G5792" s="153"/>
      <c r="H5792" s="210">
        <v>0.1348</v>
      </c>
      <c r="I5792" s="160" t="s">
        <v>58</v>
      </c>
      <c r="J5792" s="160">
        <v>5.9000000000000003E-4</v>
      </c>
      <c r="K5792" s="160" t="s">
        <v>145</v>
      </c>
      <c r="L5792" s="154" t="str">
        <f>IF(OpenLCAbasic!K5792="CTUh", "Fill in Manually",IF(OR(K5792="Unit", K5792=""), "", INDEX(LookUps!$E$5:$E$12, MATCH(OpenLCAbasic!K5792,LookUps!$D$5:$D$12,0))))</f>
        <v>Particulate Matter Formation Potential (PMFP) - kg PM2.5 eq</v>
      </c>
      <c r="M5792" s="154" t="str">
        <f t="shared" si="404"/>
        <v>Low_Base_Upgraded_Particulate Matter Formation Potential (PMFP) - kg PM2.5 eq_Pre-Anoxic &amp; Swing tank; wastewater treatment unit; at updated plant - US_Without Amendment_Windrow</v>
      </c>
    </row>
    <row r="5793" spans="1:13" s="120" customFormat="1" x14ac:dyDescent="0.25">
      <c r="A5793" s="119"/>
      <c r="B5793" s="138" t="str">
        <f t="shared" si="402"/>
        <v>Windrow</v>
      </c>
      <c r="C5793" s="138" t="str">
        <f t="shared" si="405"/>
        <v>Without Amendment</v>
      </c>
      <c r="D5793" s="138" t="str">
        <f t="shared" si="407"/>
        <v>Base</v>
      </c>
      <c r="E5793" s="138" t="str">
        <f t="shared" si="406"/>
        <v>Low</v>
      </c>
      <c r="F5793" s="138" t="str">
        <f t="shared" si="403"/>
        <v>Upgraded</v>
      </c>
      <c r="G5793" s="153"/>
      <c r="H5793" s="210">
        <v>0.1072</v>
      </c>
      <c r="I5793" s="160" t="s">
        <v>53</v>
      </c>
      <c r="J5793" s="160">
        <v>4.6999999999999999E-4</v>
      </c>
      <c r="K5793" s="160" t="s">
        <v>145</v>
      </c>
      <c r="L5793" s="154" t="str">
        <f>IF(OpenLCAbasic!K5793="CTUh", "Fill in Manually",IF(OR(K5793="Unit", K5793=""), "", INDEX(LookUps!$E$5:$E$12, MATCH(OpenLCAbasic!K5793,LookUps!$D$5:$D$12,0))))</f>
        <v>Particulate Matter Formation Potential (PMFP) - kg PM2.5 eq</v>
      </c>
      <c r="M5793" s="154" t="str">
        <f t="shared" si="404"/>
        <v>Low_Base_Upgraded_Particulate Matter Formation Potential (PMFP) - kg PM2.5 eq_Wet Well and Sump Station; wastewater treatment unit; at updated plant - US_Without Amendment_Windrow</v>
      </c>
    </row>
    <row r="5794" spans="1:13" s="120" customFormat="1" x14ac:dyDescent="0.25">
      <c r="A5794" s="119"/>
      <c r="B5794" s="138" t="str">
        <f t="shared" si="402"/>
        <v>Windrow</v>
      </c>
      <c r="C5794" s="138" t="str">
        <f t="shared" si="405"/>
        <v>Without Amendment</v>
      </c>
      <c r="D5794" s="138" t="str">
        <f t="shared" si="407"/>
        <v>Base</v>
      </c>
      <c r="E5794" s="138" t="str">
        <f t="shared" si="406"/>
        <v>Low</v>
      </c>
      <c r="F5794" s="138" t="str">
        <f t="shared" si="403"/>
        <v>Upgraded</v>
      </c>
      <c r="G5794" s="153"/>
      <c r="H5794" s="210">
        <v>6.8699999999999997E-2</v>
      </c>
      <c r="I5794" s="160" t="s">
        <v>167</v>
      </c>
      <c r="J5794" s="160">
        <v>2.9999999999999997E-4</v>
      </c>
      <c r="K5794" s="160" t="s">
        <v>145</v>
      </c>
      <c r="L5794" s="154" t="str">
        <f>IF(OpenLCAbasic!K5794="CTUh", "Fill in Manually",IF(OR(K5794="Unit", K5794=""), "", INDEX(LookUps!$E$5:$E$12, MATCH(OpenLCAbasic!K5794,LookUps!$D$5:$D$12,0))))</f>
        <v>Particulate Matter Formation Potential (PMFP) - kg PM2.5 eq</v>
      </c>
      <c r="M5794" s="154" t="str">
        <f t="shared" si="404"/>
        <v>Low_Base_Upgraded_Particulate Matter Formation Potential (PMFP) - kg PM2.5 eq_Waste Receiving and Holding; wastewater treatment unit; at updated plant - US_Without Amendment_Windrow</v>
      </c>
    </row>
    <row r="5795" spans="1:13" s="120" customFormat="1" x14ac:dyDescent="0.25">
      <c r="A5795" s="119"/>
      <c r="B5795" s="138" t="str">
        <f t="shared" si="402"/>
        <v>Windrow</v>
      </c>
      <c r="C5795" s="138" t="str">
        <f t="shared" si="405"/>
        <v>Without Amendment</v>
      </c>
      <c r="D5795" s="138" t="str">
        <f t="shared" si="407"/>
        <v>Base</v>
      </c>
      <c r="E5795" s="138" t="str">
        <f t="shared" si="406"/>
        <v>Low</v>
      </c>
      <c r="F5795" s="138" t="str">
        <f t="shared" si="403"/>
        <v>Upgraded</v>
      </c>
      <c r="G5795" s="153"/>
      <c r="H5795" s="210">
        <v>6.13E-2</v>
      </c>
      <c r="I5795" s="160" t="s">
        <v>147</v>
      </c>
      <c r="J5795" s="160">
        <v>2.7E-4</v>
      </c>
      <c r="K5795" s="160" t="s">
        <v>145</v>
      </c>
      <c r="L5795" s="154" t="str">
        <f>IF(OpenLCAbasic!K5795="CTUh", "Fill in Manually",IF(OR(K5795="Unit", K5795=""), "", INDEX(LookUps!$E$5:$E$12, MATCH(OpenLCAbasic!K5795,LookUps!$D$5:$D$12,0))))</f>
        <v>Particulate Matter Formation Potential (PMFP) - kg PM2.5 eq</v>
      </c>
      <c r="M5795" s="154" t="str">
        <f t="shared" si="404"/>
        <v>Low_Base_Upgraded_Particulate Matter Formation Potential (PMFP) - kg PM2.5 eq_Influent Pump Station; wastewater treatment unit; at updated plant - US_Without Amendment_Windrow</v>
      </c>
    </row>
    <row r="5796" spans="1:13" s="120" customFormat="1" x14ac:dyDescent="0.25">
      <c r="A5796" s="119"/>
      <c r="B5796" s="138" t="str">
        <f t="shared" si="402"/>
        <v>Windrow</v>
      </c>
      <c r="C5796" s="138" t="str">
        <f t="shared" si="405"/>
        <v>Without Amendment</v>
      </c>
      <c r="D5796" s="138" t="str">
        <f t="shared" si="407"/>
        <v>Base</v>
      </c>
      <c r="E5796" s="138" t="str">
        <f t="shared" si="406"/>
        <v>Low</v>
      </c>
      <c r="F5796" s="138" t="str">
        <f t="shared" si="403"/>
        <v>Upgraded</v>
      </c>
      <c r="G5796" s="153"/>
      <c r="H5796" s="210">
        <v>3.8199999999999998E-2</v>
      </c>
      <c r="I5796" s="160" t="s">
        <v>128</v>
      </c>
      <c r="J5796" s="160">
        <v>1.7000000000000001E-4</v>
      </c>
      <c r="K5796" s="160" t="s">
        <v>145</v>
      </c>
      <c r="L5796" s="154" t="str">
        <f>IF(OpenLCAbasic!K5796="CTUh", "Fill in Manually",IF(OR(K5796="Unit", K5796=""), "", INDEX(LookUps!$E$5:$E$12, MATCH(OpenLCAbasic!K5796,LookUps!$D$5:$D$12,0))))</f>
        <v>Particulate Matter Formation Potential (PMFP) - kg PM2.5 eq</v>
      </c>
      <c r="M5796" s="154" t="str">
        <f t="shared" si="404"/>
        <v>Low_Base_Upgraded_Particulate Matter Formation Potential (PMFP) - kg PM2.5 eq_Wastewater collection; operation and infrastructure; m3 wastewater_Without Amendment_Windrow</v>
      </c>
    </row>
    <row r="5797" spans="1:13" s="120" customFormat="1" x14ac:dyDescent="0.25">
      <c r="A5797" s="119"/>
      <c r="B5797" s="138" t="str">
        <f t="shared" si="402"/>
        <v>Windrow</v>
      </c>
      <c r="C5797" s="138" t="str">
        <f t="shared" si="405"/>
        <v>Without Amendment</v>
      </c>
      <c r="D5797" s="138" t="str">
        <f t="shared" si="407"/>
        <v>Base</v>
      </c>
      <c r="E5797" s="138" t="str">
        <f t="shared" si="406"/>
        <v>Low</v>
      </c>
      <c r="F5797" s="138" t="str">
        <f t="shared" si="403"/>
        <v>Upgraded</v>
      </c>
      <c r="G5797" s="153"/>
      <c r="H5797" s="210">
        <v>2.4E-2</v>
      </c>
      <c r="I5797" s="160" t="s">
        <v>60</v>
      </c>
      <c r="J5797" s="160">
        <v>1E-4</v>
      </c>
      <c r="K5797" s="160" t="s">
        <v>145</v>
      </c>
      <c r="L5797" s="154" t="str">
        <f>IF(OpenLCAbasic!K5797="CTUh", "Fill in Manually",IF(OR(K5797="Unit", K5797=""), "", INDEX(LookUps!$E$5:$E$12, MATCH(OpenLCAbasic!K5797,LookUps!$D$5:$D$12,0))))</f>
        <v>Particulate Matter Formation Potential (PMFP) - kg PM2.5 eq</v>
      </c>
      <c r="M5797" s="154" t="str">
        <f t="shared" si="404"/>
        <v>Low_Base_Upgraded_Particulate Matter Formation Potential (PMFP) - kg PM2.5 eq_Belt filter press; wastewater treatment unit; at updated plant - US_Without Amendment_Windrow</v>
      </c>
    </row>
    <row r="5798" spans="1:13" s="120" customFormat="1" x14ac:dyDescent="0.25">
      <c r="A5798" s="119"/>
      <c r="B5798" s="138" t="str">
        <f t="shared" si="402"/>
        <v>Windrow</v>
      </c>
      <c r="C5798" s="138" t="str">
        <f t="shared" si="405"/>
        <v>Without Amendment</v>
      </c>
      <c r="D5798" s="138" t="str">
        <f t="shared" si="407"/>
        <v>Base</v>
      </c>
      <c r="E5798" s="138" t="str">
        <f t="shared" si="406"/>
        <v>Low</v>
      </c>
      <c r="F5798" s="138" t="str">
        <f t="shared" si="403"/>
        <v>Upgraded</v>
      </c>
      <c r="G5798" s="153"/>
      <c r="H5798" s="210">
        <v>2.1899999999999999E-2</v>
      </c>
      <c r="I5798" s="160" t="s">
        <v>57</v>
      </c>
      <c r="J5798" s="211">
        <v>9.5153800000000004E-5</v>
      </c>
      <c r="K5798" s="160" t="s">
        <v>145</v>
      </c>
      <c r="L5798" s="154" t="str">
        <f>IF(OpenLCAbasic!K5798="CTUh", "Fill in Manually",IF(OR(K5798="Unit", K5798=""), "", INDEX(LookUps!$E$5:$E$12, MATCH(OpenLCAbasic!K5798,LookUps!$D$5:$D$12,0))))</f>
        <v>Particulate Matter Formation Potential (PMFP) - kg PM2.5 eq</v>
      </c>
      <c r="M5798" s="154" t="str">
        <f t="shared" si="404"/>
        <v>Low_Base_Upgraded_Particulate Matter Formation Potential (PMFP) - kg PM2.5 eq_Gravity Belt Thickener; wastewater treatment unit; at updated plant - US_Without Amendment_Windrow</v>
      </c>
    </row>
    <row r="5799" spans="1:13" s="120" customFormat="1" x14ac:dyDescent="0.25">
      <c r="A5799" s="119"/>
      <c r="B5799" s="138" t="str">
        <f t="shared" si="402"/>
        <v>Windrow</v>
      </c>
      <c r="C5799" s="138" t="str">
        <f t="shared" si="405"/>
        <v>Without Amendment</v>
      </c>
      <c r="D5799" s="138" t="str">
        <f t="shared" si="407"/>
        <v>Base</v>
      </c>
      <c r="E5799" s="138" t="str">
        <f t="shared" si="406"/>
        <v>Low</v>
      </c>
      <c r="F5799" s="138" t="str">
        <f t="shared" si="403"/>
        <v>Upgraded</v>
      </c>
      <c r="G5799" s="153"/>
      <c r="H5799" s="210">
        <v>1.61E-2</v>
      </c>
      <c r="I5799" s="160" t="s">
        <v>59</v>
      </c>
      <c r="J5799" s="211">
        <v>6.9942200000000003E-5</v>
      </c>
      <c r="K5799" s="160" t="s">
        <v>145</v>
      </c>
      <c r="L5799" s="154" t="str">
        <f>IF(OpenLCAbasic!K5799="CTUh", "Fill in Manually",IF(OR(K5799="Unit", K5799=""), "", INDEX(LookUps!$E$5:$E$12, MATCH(OpenLCAbasic!K5799,LookUps!$D$5:$D$12,0))))</f>
        <v>Particulate Matter Formation Potential (PMFP) - kg PM2.5 eq</v>
      </c>
      <c r="M5799" s="154" t="str">
        <f t="shared" si="404"/>
        <v>Low_Base_Upgraded_Particulate Matter Formation Potential (PMFP) - kg PM2.5 eq_Blend Tank; wastewater treatment unit; at updated plant - US_Without Amendment_Windrow</v>
      </c>
    </row>
    <row r="5800" spans="1:13" s="120" customFormat="1" x14ac:dyDescent="0.25">
      <c r="A5800" s="119"/>
      <c r="B5800" s="138" t="str">
        <f t="shared" ref="B5800:B5863" si="408">IF(F5800="Legacy","n.a.",IF(F5800="","","Windrow"))</f>
        <v>Windrow</v>
      </c>
      <c r="C5800" s="138" t="str">
        <f t="shared" si="405"/>
        <v>Without Amendment</v>
      </c>
      <c r="D5800" s="138" t="str">
        <f t="shared" si="407"/>
        <v>Base</v>
      </c>
      <c r="E5800" s="138" t="str">
        <f t="shared" si="406"/>
        <v>Low</v>
      </c>
      <c r="F5800" s="138" t="str">
        <f t="shared" ref="F5800:F5863" si="409">IF(ISNUMBER(J5800),"Upgraded","")</f>
        <v>Upgraded</v>
      </c>
      <c r="G5800" s="153"/>
      <c r="H5800" s="210">
        <v>1.15E-2</v>
      </c>
      <c r="I5800" s="160" t="s">
        <v>48</v>
      </c>
      <c r="J5800" s="211">
        <v>4.99741E-5</v>
      </c>
      <c r="K5800" s="160" t="s">
        <v>145</v>
      </c>
      <c r="L5800" s="154" t="str">
        <f>IF(OpenLCAbasic!K5800="CTUh", "Fill in Manually",IF(OR(K5800="Unit", K5800=""), "", INDEX(LookUps!$E$5:$E$12, MATCH(OpenLCAbasic!K5800,LookUps!$D$5:$D$12,0))))</f>
        <v>Particulate Matter Formation Potential (PMFP) - kg PM2.5 eq</v>
      </c>
      <c r="M5800" s="154" t="str">
        <f t="shared" si="404"/>
        <v>Low_Base_Upgraded_Particulate Matter Formation Potential (PMFP) - kg PM2.5 eq_Effluent release; wastewater treatment unit; at surface water; m3 wastewater - US_Without Amendment_Windrow</v>
      </c>
    </row>
    <row r="5801" spans="1:13" s="120" customFormat="1" x14ac:dyDescent="0.25">
      <c r="A5801" s="119"/>
      <c r="B5801" s="138" t="str">
        <f t="shared" si="408"/>
        <v>Windrow</v>
      </c>
      <c r="C5801" s="138" t="str">
        <f t="shared" si="405"/>
        <v>Without Amendment</v>
      </c>
      <c r="D5801" s="138" t="str">
        <f t="shared" si="407"/>
        <v>Base</v>
      </c>
      <c r="E5801" s="138" t="str">
        <f t="shared" si="406"/>
        <v>Low</v>
      </c>
      <c r="F5801" s="138" t="str">
        <f t="shared" si="409"/>
        <v>Upgraded</v>
      </c>
      <c r="G5801" s="153"/>
      <c r="H5801" s="210">
        <v>8.0999999999999996E-3</v>
      </c>
      <c r="I5801" s="160" t="s">
        <v>62</v>
      </c>
      <c r="J5801" s="211">
        <v>3.5061100000000002E-5</v>
      </c>
      <c r="K5801" s="160" t="s">
        <v>145</v>
      </c>
      <c r="L5801" s="154" t="str">
        <f>IF(OpenLCAbasic!K5801="CTUh", "Fill in Manually",IF(OR(K5801="Unit", K5801=""), "", INDEX(LookUps!$E$5:$E$12, MATCH(OpenLCAbasic!K5801,LookUps!$D$5:$D$12,0))))</f>
        <v>Particulate Matter Formation Potential (PMFP) - kg PM2.5 eq</v>
      </c>
      <c r="M5801" s="154" t="str">
        <f t="shared" si="404"/>
        <v>Low_Base_Upgraded_Particulate Matter Formation Potential (PMFP) - kg PM2.5 eq_Land application of compost; wastewater treatment unit; at updated plant - US_Without Amendment_Windrow</v>
      </c>
    </row>
    <row r="5802" spans="1:13" s="120" customFormat="1" x14ac:dyDescent="0.25">
      <c r="A5802" s="119"/>
      <c r="B5802" s="138" t="str">
        <f t="shared" si="408"/>
        <v>Windrow</v>
      </c>
      <c r="C5802" s="138" t="str">
        <f t="shared" si="405"/>
        <v>Without Amendment</v>
      </c>
      <c r="D5802" s="138" t="str">
        <f t="shared" si="407"/>
        <v>Base</v>
      </c>
      <c r="E5802" s="138" t="str">
        <f t="shared" si="406"/>
        <v>Low</v>
      </c>
      <c r="F5802" s="138" t="str">
        <f t="shared" si="409"/>
        <v>Upgraded</v>
      </c>
      <c r="G5802" s="153"/>
      <c r="H5802" s="210">
        <v>7.9000000000000008E-3</v>
      </c>
      <c r="I5802" s="160" t="s">
        <v>168</v>
      </c>
      <c r="J5802" s="211">
        <v>3.4562199999999999E-5</v>
      </c>
      <c r="K5802" s="160" t="s">
        <v>145</v>
      </c>
      <c r="L5802" s="154" t="str">
        <f>IF(OpenLCAbasic!K5802="CTUh", "Fill in Manually",IF(OR(K5802="Unit", K5802=""), "", INDEX(LookUps!$E$5:$E$12, MATCH(OpenLCAbasic!K5802,LookUps!$D$5:$D$12,0))))</f>
        <v>Particulate Matter Formation Potential (PMFP) - kg PM2.5 eq</v>
      </c>
      <c r="M5802" s="154" t="str">
        <f t="shared" si="404"/>
        <v>Low_Base_Upgraded_Particulate Matter Formation Potential (PMFP) - kg PM2.5 eq_ClearCove SCP; wastewater treatment unit; at updated plant - US_Without Amendment_Windrow</v>
      </c>
    </row>
    <row r="5803" spans="1:13" s="120" customFormat="1" x14ac:dyDescent="0.25">
      <c r="A5803" s="119"/>
      <c r="B5803" s="138" t="str">
        <f t="shared" si="408"/>
        <v>Windrow</v>
      </c>
      <c r="C5803" s="138" t="str">
        <f t="shared" si="405"/>
        <v>Without Amendment</v>
      </c>
      <c r="D5803" s="138" t="str">
        <f t="shared" si="407"/>
        <v>Base</v>
      </c>
      <c r="E5803" s="138" t="str">
        <f t="shared" si="406"/>
        <v>Low</v>
      </c>
      <c r="F5803" s="138" t="str">
        <f t="shared" si="409"/>
        <v>Upgraded</v>
      </c>
      <c r="G5803" s="153"/>
      <c r="H5803" s="210">
        <v>5.7999999999999996E-3</v>
      </c>
      <c r="I5803" s="160" t="s">
        <v>271</v>
      </c>
      <c r="J5803" s="211">
        <v>2.5225300000000001E-5</v>
      </c>
      <c r="K5803" s="160" t="s">
        <v>145</v>
      </c>
      <c r="L5803" s="154" t="str">
        <f>IF(OpenLCAbasic!K5803="CTUh", "Fill in Manually",IF(OR(K5803="Unit", K5803=""), "", INDEX(LookUps!$E$5:$E$12, MATCH(OpenLCAbasic!K5803,LookUps!$D$5:$D$12,0))))</f>
        <v>Particulate Matter Formation Potential (PMFP) - kg PM2.5 eq</v>
      </c>
      <c r="M5803" s="154" t="str">
        <f t="shared" si="404"/>
        <v>Low_Base_Upgraded_Particulate Matter Formation Potential (PMFP) - kg PM2.5 eq_Biosolids composting; windrow composting; wastewater treatment unit; at updated plant - US_Without Amendment_Windrow</v>
      </c>
    </row>
    <row r="5804" spans="1:13" s="120" customFormat="1" x14ac:dyDescent="0.25">
      <c r="A5804" s="119"/>
      <c r="B5804" s="138" t="str">
        <f t="shared" si="408"/>
        <v>Windrow</v>
      </c>
      <c r="C5804" s="138" t="str">
        <f t="shared" si="405"/>
        <v>Without Amendment</v>
      </c>
      <c r="D5804" s="138" t="str">
        <f t="shared" si="407"/>
        <v>Base</v>
      </c>
      <c r="E5804" s="138" t="str">
        <f t="shared" si="406"/>
        <v>Low</v>
      </c>
      <c r="F5804" s="138" t="str">
        <f t="shared" si="409"/>
        <v>Upgraded</v>
      </c>
      <c r="G5804" s="153"/>
      <c r="H5804" s="210">
        <v>2E-3</v>
      </c>
      <c r="I5804" s="160" t="s">
        <v>148</v>
      </c>
      <c r="J5804" s="211">
        <v>8.8212999999999997E-6</v>
      </c>
      <c r="K5804" s="160" t="s">
        <v>145</v>
      </c>
      <c r="L5804" s="154" t="str">
        <f>IF(OpenLCAbasic!K5804="CTUh", "Fill in Manually",IF(OR(K5804="Unit", K5804=""), "", INDEX(LookUps!$E$5:$E$12, MATCH(OpenLCAbasic!K5804,LookUps!$D$5:$D$12,0))))</f>
        <v>Particulate Matter Formation Potential (PMFP) - kg PM2.5 eq</v>
      </c>
      <c r="M5804" s="154" t="str">
        <f t="shared" si="404"/>
        <v>Low_Base_Upgraded_Particulate Matter Formation Potential (PMFP) - kg PM2.5 eq_Control Building; at upgraded wastewater treatment plant - US_Without Amendment_Windrow</v>
      </c>
    </row>
    <row r="5805" spans="1:13" s="120" customFormat="1" x14ac:dyDescent="0.25">
      <c r="A5805" s="119"/>
      <c r="B5805" s="138" t="str">
        <f t="shared" si="408"/>
        <v>Windrow</v>
      </c>
      <c r="C5805" s="138" t="str">
        <f t="shared" si="405"/>
        <v>Without Amendment</v>
      </c>
      <c r="D5805" s="138" t="str">
        <f t="shared" si="407"/>
        <v>Base</v>
      </c>
      <c r="E5805" s="138" t="str">
        <f t="shared" si="406"/>
        <v>Low</v>
      </c>
      <c r="F5805" s="138" t="str">
        <f t="shared" si="409"/>
        <v>Upgraded</v>
      </c>
      <c r="G5805" s="153"/>
      <c r="H5805" s="210">
        <v>-0.1996</v>
      </c>
      <c r="I5805" s="160" t="s">
        <v>149</v>
      </c>
      <c r="J5805" s="160">
        <v>-8.7000000000000001E-4</v>
      </c>
      <c r="K5805" s="160" t="s">
        <v>145</v>
      </c>
      <c r="L5805" s="154" t="str">
        <f>IF(OpenLCAbasic!K5805="CTUh", "Fill in Manually",IF(OR(K5805="Unit", K5805=""), "", INDEX(LookUps!$E$5:$E$12, MATCH(OpenLCAbasic!K5805,LookUps!$D$5:$D$12,0))))</f>
        <v>Particulate Matter Formation Potential (PMFP) - kg PM2.5 eq</v>
      </c>
      <c r="M5805" s="154" t="str">
        <f t="shared" si="404"/>
        <v>Low_Base_Upgraded_Particulate Matter Formation Potential (PMFP) - kg PM2.5 eq_Anaerobic Digestion; wastewater treatment unit; at updated plant - US_Without Amendment_Windrow</v>
      </c>
    </row>
    <row r="5806" spans="1:13" s="120" customFormat="1" x14ac:dyDescent="0.25">
      <c r="A5806" s="119"/>
      <c r="B5806" s="138" t="str">
        <f t="shared" si="408"/>
        <v/>
      </c>
      <c r="C5806" s="138" t="str">
        <f t="shared" si="405"/>
        <v/>
      </c>
      <c r="D5806" s="138" t="str">
        <f t="shared" si="407"/>
        <v/>
      </c>
      <c r="E5806" s="138" t="str">
        <f t="shared" si="406"/>
        <v/>
      </c>
      <c r="F5806" s="138" t="str">
        <f t="shared" si="409"/>
        <v/>
      </c>
      <c r="G5806" s="153" t="s">
        <v>51</v>
      </c>
      <c r="H5806" s="160"/>
      <c r="I5806" s="160" t="s">
        <v>47</v>
      </c>
      <c r="J5806" s="160" t="s">
        <v>52</v>
      </c>
      <c r="K5806" s="160" t="s">
        <v>27</v>
      </c>
      <c r="L5806" s="154" t="str">
        <f>IF(OpenLCAbasic!K5806="CTUh", "Fill in Manually",IF(OR(K5806="Unit", K5806=""), "", INDEX(LookUps!$E$5:$E$12, MATCH(OpenLCAbasic!K5806,LookUps!$D$5:$D$12,0))))</f>
        <v/>
      </c>
      <c r="M5806" s="154" t="str">
        <f t="shared" si="404"/>
        <v>____Process__</v>
      </c>
    </row>
    <row r="5807" spans="1:13" s="120" customFormat="1" x14ac:dyDescent="0.25">
      <c r="A5807" s="119"/>
      <c r="B5807" s="138" t="str">
        <f t="shared" si="408"/>
        <v>Windrow</v>
      </c>
      <c r="C5807" s="138" t="str">
        <f t="shared" si="405"/>
        <v>Without Amendment</v>
      </c>
      <c r="D5807" s="138" t="str">
        <f t="shared" si="407"/>
        <v>Base</v>
      </c>
      <c r="E5807" s="138" t="str">
        <f t="shared" si="406"/>
        <v>Low</v>
      </c>
      <c r="F5807" s="138" t="str">
        <f t="shared" si="409"/>
        <v>Upgraded</v>
      </c>
      <c r="G5807" s="153"/>
      <c r="H5807" s="210">
        <v>0.53480000000000005</v>
      </c>
      <c r="I5807" s="160" t="s">
        <v>55</v>
      </c>
      <c r="J5807" s="160">
        <v>0.16577</v>
      </c>
      <c r="K5807" s="160" t="s">
        <v>25</v>
      </c>
      <c r="L5807" s="154" t="str">
        <f>IF(OpenLCAbasic!K5807="CTUh", "Fill in Manually",IF(OR(K5807="Unit", K5807=""), "", INDEX(LookUps!$E$5:$E$12, MATCH(OpenLCAbasic!K5807,LookUps!$D$5:$D$12,0))))</f>
        <v>Smog Formation Potential (SFP) - kg O3 eq</v>
      </c>
      <c r="M5807" s="154" t="str">
        <f t="shared" si="404"/>
        <v>Low_Base_Upgraded_Smog Formation Potential (SFP) - kg O3 eq_Aeration Tanks; wastewater treatment unit; at updated plant - US_Without Amendment_Windrow</v>
      </c>
    </row>
    <row r="5808" spans="1:13" s="120" customFormat="1" x14ac:dyDescent="0.25">
      <c r="A5808" s="119"/>
      <c r="B5808" s="138" t="str">
        <f t="shared" si="408"/>
        <v>Windrow</v>
      </c>
      <c r="C5808" s="138" t="str">
        <f t="shared" si="405"/>
        <v>Without Amendment</v>
      </c>
      <c r="D5808" s="138" t="str">
        <f t="shared" si="407"/>
        <v>Base</v>
      </c>
      <c r="E5808" s="138" t="str">
        <f t="shared" si="406"/>
        <v>Low</v>
      </c>
      <c r="F5808" s="138" t="str">
        <f t="shared" si="409"/>
        <v>Upgraded</v>
      </c>
      <c r="G5808" s="153"/>
      <c r="H5808" s="210">
        <v>0.15509999999999999</v>
      </c>
      <c r="I5808" s="160" t="s">
        <v>54</v>
      </c>
      <c r="J5808" s="160">
        <v>4.8070000000000002E-2</v>
      </c>
      <c r="K5808" s="160" t="s">
        <v>25</v>
      </c>
      <c r="L5808" s="154" t="str">
        <f>IF(OpenLCAbasic!K5808="CTUh", "Fill in Manually",IF(OR(K5808="Unit", K5808=""), "", INDEX(LookUps!$E$5:$E$12, MATCH(OpenLCAbasic!K5808,LookUps!$D$5:$D$12,0))))</f>
        <v>Smog Formation Potential (SFP) - kg O3 eq</v>
      </c>
      <c r="M5808" s="154" t="str">
        <f t="shared" si="404"/>
        <v>Low_Base_Upgraded_Smog Formation Potential (SFP) - kg O3 eq_Clear Cove Primary Clarification; wastewater treatment unit; at updated plant - US_Without Amendment_Windrow</v>
      </c>
    </row>
    <row r="5809" spans="1:13" s="120" customFormat="1" x14ac:dyDescent="0.25">
      <c r="A5809" s="119"/>
      <c r="B5809" s="138" t="str">
        <f t="shared" si="408"/>
        <v>Windrow</v>
      </c>
      <c r="C5809" s="138" t="str">
        <f t="shared" si="405"/>
        <v>Without Amendment</v>
      </c>
      <c r="D5809" s="138" t="str">
        <f t="shared" si="407"/>
        <v>Base</v>
      </c>
      <c r="E5809" s="138" t="str">
        <f t="shared" si="406"/>
        <v>Low</v>
      </c>
      <c r="F5809" s="138" t="str">
        <f t="shared" si="409"/>
        <v>Upgraded</v>
      </c>
      <c r="G5809" s="153"/>
      <c r="H5809" s="210">
        <v>0.1348</v>
      </c>
      <c r="I5809" s="160" t="s">
        <v>58</v>
      </c>
      <c r="J5809" s="160">
        <v>4.1779999999999998E-2</v>
      </c>
      <c r="K5809" s="160" t="s">
        <v>25</v>
      </c>
      <c r="L5809" s="154" t="str">
        <f>IF(OpenLCAbasic!K5809="CTUh", "Fill in Manually",IF(OR(K5809="Unit", K5809=""), "", INDEX(LookUps!$E$5:$E$12, MATCH(OpenLCAbasic!K5809,LookUps!$D$5:$D$12,0))))</f>
        <v>Smog Formation Potential (SFP) - kg O3 eq</v>
      </c>
      <c r="M5809" s="154" t="str">
        <f t="shared" si="404"/>
        <v>Low_Base_Upgraded_Smog Formation Potential (SFP) - kg O3 eq_Pre-Anoxic &amp; Swing tank; wastewater treatment unit; at updated plant - US_Without Amendment_Windrow</v>
      </c>
    </row>
    <row r="5810" spans="1:13" s="120" customFormat="1" x14ac:dyDescent="0.25">
      <c r="A5810" s="119"/>
      <c r="B5810" s="138" t="str">
        <f t="shared" si="408"/>
        <v>Windrow</v>
      </c>
      <c r="C5810" s="138" t="str">
        <f t="shared" si="405"/>
        <v>Without Amendment</v>
      </c>
      <c r="D5810" s="138" t="str">
        <f t="shared" si="407"/>
        <v>Base</v>
      </c>
      <c r="E5810" s="138" t="str">
        <f t="shared" si="406"/>
        <v>Low</v>
      </c>
      <c r="F5810" s="138" t="str">
        <f t="shared" si="409"/>
        <v>Upgraded</v>
      </c>
      <c r="G5810" s="153"/>
      <c r="H5810" s="210">
        <v>0.1069</v>
      </c>
      <c r="I5810" s="160" t="s">
        <v>53</v>
      </c>
      <c r="J5810" s="160">
        <v>3.313E-2</v>
      </c>
      <c r="K5810" s="160" t="s">
        <v>25</v>
      </c>
      <c r="L5810" s="154" t="str">
        <f>IF(OpenLCAbasic!K5810="CTUh", "Fill in Manually",IF(OR(K5810="Unit", K5810=""), "", INDEX(LookUps!$E$5:$E$12, MATCH(OpenLCAbasic!K5810,LookUps!$D$5:$D$12,0))))</f>
        <v>Smog Formation Potential (SFP) - kg O3 eq</v>
      </c>
      <c r="M5810" s="154" t="str">
        <f t="shared" si="404"/>
        <v>Low_Base_Upgraded_Smog Formation Potential (SFP) - kg O3 eq_Wet Well and Sump Station; wastewater treatment unit; at updated plant - US_Without Amendment_Windrow</v>
      </c>
    </row>
    <row r="5811" spans="1:13" s="120" customFormat="1" x14ac:dyDescent="0.25">
      <c r="A5811" s="119"/>
      <c r="B5811" s="138" t="str">
        <f t="shared" si="408"/>
        <v>Windrow</v>
      </c>
      <c r="C5811" s="138" t="str">
        <f t="shared" si="405"/>
        <v>Without Amendment</v>
      </c>
      <c r="D5811" s="138" t="str">
        <f t="shared" si="407"/>
        <v>Base</v>
      </c>
      <c r="E5811" s="138" t="str">
        <f t="shared" si="406"/>
        <v>Low</v>
      </c>
      <c r="F5811" s="138" t="str">
        <f t="shared" si="409"/>
        <v>Upgraded</v>
      </c>
      <c r="G5811" s="153"/>
      <c r="H5811" s="210">
        <v>9.01E-2</v>
      </c>
      <c r="I5811" s="160" t="s">
        <v>167</v>
      </c>
      <c r="J5811" s="160">
        <v>2.7949999999999999E-2</v>
      </c>
      <c r="K5811" s="160" t="s">
        <v>25</v>
      </c>
      <c r="L5811" s="154" t="str">
        <f>IF(OpenLCAbasic!K5811="CTUh", "Fill in Manually",IF(OR(K5811="Unit", K5811=""), "", INDEX(LookUps!$E$5:$E$12, MATCH(OpenLCAbasic!K5811,LookUps!$D$5:$D$12,0))))</f>
        <v>Smog Formation Potential (SFP) - kg O3 eq</v>
      </c>
      <c r="M5811" s="154" t="str">
        <f t="shared" si="404"/>
        <v>Low_Base_Upgraded_Smog Formation Potential (SFP) - kg O3 eq_Waste Receiving and Holding; wastewater treatment unit; at updated plant - US_Without Amendment_Windrow</v>
      </c>
    </row>
    <row r="5812" spans="1:13" s="120" customFormat="1" x14ac:dyDescent="0.25">
      <c r="A5812" s="119"/>
      <c r="B5812" s="138" t="str">
        <f t="shared" si="408"/>
        <v>Windrow</v>
      </c>
      <c r="C5812" s="138" t="str">
        <f t="shared" si="405"/>
        <v>Without Amendment</v>
      </c>
      <c r="D5812" s="138" t="str">
        <f t="shared" si="407"/>
        <v>Base</v>
      </c>
      <c r="E5812" s="138" t="str">
        <f t="shared" si="406"/>
        <v>Low</v>
      </c>
      <c r="F5812" s="138" t="str">
        <f t="shared" si="409"/>
        <v>Upgraded</v>
      </c>
      <c r="G5812" s="153"/>
      <c r="H5812" s="210">
        <v>6.2600000000000003E-2</v>
      </c>
      <c r="I5812" s="160" t="s">
        <v>147</v>
      </c>
      <c r="J5812" s="160">
        <v>1.9400000000000001E-2</v>
      </c>
      <c r="K5812" s="160" t="s">
        <v>25</v>
      </c>
      <c r="L5812" s="154" t="str">
        <f>IF(OpenLCAbasic!K5812="CTUh", "Fill in Manually",IF(OR(K5812="Unit", K5812=""), "", INDEX(LookUps!$E$5:$E$12, MATCH(OpenLCAbasic!K5812,LookUps!$D$5:$D$12,0))))</f>
        <v>Smog Formation Potential (SFP) - kg O3 eq</v>
      </c>
      <c r="M5812" s="154" t="str">
        <f t="shared" si="404"/>
        <v>Low_Base_Upgraded_Smog Formation Potential (SFP) - kg O3 eq_Influent Pump Station; wastewater treatment unit; at updated plant - US_Without Amendment_Windrow</v>
      </c>
    </row>
    <row r="5813" spans="1:13" s="120" customFormat="1" x14ac:dyDescent="0.25">
      <c r="A5813" s="119"/>
      <c r="B5813" s="138" t="str">
        <f t="shared" si="408"/>
        <v>Windrow</v>
      </c>
      <c r="C5813" s="138" t="str">
        <f t="shared" si="405"/>
        <v>Without Amendment</v>
      </c>
      <c r="D5813" s="138" t="str">
        <f t="shared" si="407"/>
        <v>Base</v>
      </c>
      <c r="E5813" s="138" t="str">
        <f t="shared" si="406"/>
        <v>Low</v>
      </c>
      <c r="F5813" s="138" t="str">
        <f t="shared" si="409"/>
        <v>Upgraded</v>
      </c>
      <c r="G5813" s="153"/>
      <c r="H5813" s="210">
        <v>3.8399999999999997E-2</v>
      </c>
      <c r="I5813" s="160" t="s">
        <v>128</v>
      </c>
      <c r="J5813" s="160">
        <v>1.192E-2</v>
      </c>
      <c r="K5813" s="160" t="s">
        <v>25</v>
      </c>
      <c r="L5813" s="154" t="str">
        <f>IF(OpenLCAbasic!K5813="CTUh", "Fill in Manually",IF(OR(K5813="Unit", K5813=""), "", INDEX(LookUps!$E$5:$E$12, MATCH(OpenLCAbasic!K5813,LookUps!$D$5:$D$12,0))))</f>
        <v>Smog Formation Potential (SFP) - kg O3 eq</v>
      </c>
      <c r="M5813" s="154" t="str">
        <f t="shared" si="404"/>
        <v>Low_Base_Upgraded_Smog Formation Potential (SFP) - kg O3 eq_Wastewater collection; operation and infrastructure; m3 wastewater_Without Amendment_Windrow</v>
      </c>
    </row>
    <row r="5814" spans="1:13" s="120" customFormat="1" x14ac:dyDescent="0.25">
      <c r="A5814" s="119"/>
      <c r="B5814" s="138" t="str">
        <f t="shared" si="408"/>
        <v>Windrow</v>
      </c>
      <c r="C5814" s="138" t="str">
        <f t="shared" si="405"/>
        <v>Without Amendment</v>
      </c>
      <c r="D5814" s="138" t="str">
        <f t="shared" si="407"/>
        <v>Base</v>
      </c>
      <c r="E5814" s="138" t="str">
        <f t="shared" si="406"/>
        <v>Low</v>
      </c>
      <c r="F5814" s="138" t="str">
        <f t="shared" si="409"/>
        <v>Upgraded</v>
      </c>
      <c r="G5814" s="153"/>
      <c r="H5814" s="210">
        <v>2.3699999999999999E-2</v>
      </c>
      <c r="I5814" s="160" t="s">
        <v>60</v>
      </c>
      <c r="J5814" s="160">
        <v>7.3499999999999998E-3</v>
      </c>
      <c r="K5814" s="160" t="s">
        <v>25</v>
      </c>
      <c r="L5814" s="154" t="str">
        <f>IF(OpenLCAbasic!K5814="CTUh", "Fill in Manually",IF(OR(K5814="Unit", K5814=""), "", INDEX(LookUps!$E$5:$E$12, MATCH(OpenLCAbasic!K5814,LookUps!$D$5:$D$12,0))))</f>
        <v>Smog Formation Potential (SFP) - kg O3 eq</v>
      </c>
      <c r="M5814" s="154" t="str">
        <f t="shared" si="404"/>
        <v>Low_Base_Upgraded_Smog Formation Potential (SFP) - kg O3 eq_Belt filter press; wastewater treatment unit; at updated plant - US_Without Amendment_Windrow</v>
      </c>
    </row>
    <row r="5815" spans="1:13" s="120" customFormat="1" x14ac:dyDescent="0.25">
      <c r="A5815" s="119"/>
      <c r="B5815" s="138" t="str">
        <f t="shared" si="408"/>
        <v>Windrow</v>
      </c>
      <c r="C5815" s="138" t="str">
        <f t="shared" si="405"/>
        <v>Without Amendment</v>
      </c>
      <c r="D5815" s="138" t="str">
        <f t="shared" si="407"/>
        <v>Base</v>
      </c>
      <c r="E5815" s="138" t="str">
        <f t="shared" si="406"/>
        <v>Low</v>
      </c>
      <c r="F5815" s="138" t="str">
        <f t="shared" si="409"/>
        <v>Upgraded</v>
      </c>
      <c r="G5815" s="153"/>
      <c r="H5815" s="210">
        <v>2.1499999999999998E-2</v>
      </c>
      <c r="I5815" s="160" t="s">
        <v>57</v>
      </c>
      <c r="J5815" s="160">
        <v>6.6499999999999997E-3</v>
      </c>
      <c r="K5815" s="160" t="s">
        <v>25</v>
      </c>
      <c r="L5815" s="154" t="str">
        <f>IF(OpenLCAbasic!K5815="CTUh", "Fill in Manually",IF(OR(K5815="Unit", K5815=""), "", INDEX(LookUps!$E$5:$E$12, MATCH(OpenLCAbasic!K5815,LookUps!$D$5:$D$12,0))))</f>
        <v>Smog Formation Potential (SFP) - kg O3 eq</v>
      </c>
      <c r="M5815" s="154" t="str">
        <f t="shared" si="404"/>
        <v>Low_Base_Upgraded_Smog Formation Potential (SFP) - kg O3 eq_Gravity Belt Thickener; wastewater treatment unit; at updated plant - US_Without Amendment_Windrow</v>
      </c>
    </row>
    <row r="5816" spans="1:13" s="120" customFormat="1" x14ac:dyDescent="0.25">
      <c r="A5816" s="119"/>
      <c r="B5816" s="138" t="str">
        <f t="shared" si="408"/>
        <v>Windrow</v>
      </c>
      <c r="C5816" s="138" t="str">
        <f t="shared" si="405"/>
        <v>Without Amendment</v>
      </c>
      <c r="D5816" s="138" t="str">
        <f t="shared" si="407"/>
        <v>Base</v>
      </c>
      <c r="E5816" s="138" t="str">
        <f t="shared" si="406"/>
        <v>Low</v>
      </c>
      <c r="F5816" s="138" t="str">
        <f t="shared" si="409"/>
        <v>Upgraded</v>
      </c>
      <c r="G5816" s="153"/>
      <c r="H5816" s="210">
        <v>1.6E-2</v>
      </c>
      <c r="I5816" s="160" t="s">
        <v>59</v>
      </c>
      <c r="J5816" s="160">
        <v>4.9699999999999996E-3</v>
      </c>
      <c r="K5816" s="160" t="s">
        <v>25</v>
      </c>
      <c r="L5816" s="154" t="str">
        <f>IF(OpenLCAbasic!K5816="CTUh", "Fill in Manually",IF(OR(K5816="Unit", K5816=""), "", INDEX(LookUps!$E$5:$E$12, MATCH(OpenLCAbasic!K5816,LookUps!$D$5:$D$12,0))))</f>
        <v>Smog Formation Potential (SFP) - kg O3 eq</v>
      </c>
      <c r="M5816" s="154" t="str">
        <f t="shared" si="404"/>
        <v>Low_Base_Upgraded_Smog Formation Potential (SFP) - kg O3 eq_Blend Tank; wastewater treatment unit; at updated plant - US_Without Amendment_Windrow</v>
      </c>
    </row>
    <row r="5817" spans="1:13" s="120" customFormat="1" x14ac:dyDescent="0.25">
      <c r="A5817" s="119"/>
      <c r="B5817" s="138" t="str">
        <f t="shared" si="408"/>
        <v>Windrow</v>
      </c>
      <c r="C5817" s="138" t="str">
        <f t="shared" si="405"/>
        <v>Without Amendment</v>
      </c>
      <c r="D5817" s="138" t="str">
        <f t="shared" si="407"/>
        <v>Base</v>
      </c>
      <c r="E5817" s="138" t="str">
        <f t="shared" si="406"/>
        <v>Low</v>
      </c>
      <c r="F5817" s="138" t="str">
        <f t="shared" si="409"/>
        <v>Upgraded</v>
      </c>
      <c r="G5817" s="153"/>
      <c r="H5817" s="210">
        <v>1.09E-2</v>
      </c>
      <c r="I5817" s="160" t="s">
        <v>48</v>
      </c>
      <c r="J5817" s="160">
        <v>3.3899999999999998E-3</v>
      </c>
      <c r="K5817" s="160" t="s">
        <v>25</v>
      </c>
      <c r="L5817" s="154" t="str">
        <f>IF(OpenLCAbasic!K5817="CTUh", "Fill in Manually",IF(OR(K5817="Unit", K5817=""), "", INDEX(LookUps!$E$5:$E$12, MATCH(OpenLCAbasic!K5817,LookUps!$D$5:$D$12,0))))</f>
        <v>Smog Formation Potential (SFP) - kg O3 eq</v>
      </c>
      <c r="M5817" s="154" t="str">
        <f t="shared" si="404"/>
        <v>Low_Base_Upgraded_Smog Formation Potential (SFP) - kg O3 eq_Effluent release; wastewater treatment unit; at surface water; m3 wastewater - US_Without Amendment_Windrow</v>
      </c>
    </row>
    <row r="5818" spans="1:13" s="120" customFormat="1" x14ac:dyDescent="0.25">
      <c r="A5818" s="119"/>
      <c r="B5818" s="138" t="str">
        <f t="shared" si="408"/>
        <v>Windrow</v>
      </c>
      <c r="C5818" s="138" t="str">
        <f t="shared" si="405"/>
        <v>Without Amendment</v>
      </c>
      <c r="D5818" s="138" t="str">
        <f t="shared" si="407"/>
        <v>Base</v>
      </c>
      <c r="E5818" s="138" t="str">
        <f t="shared" si="406"/>
        <v>Low</v>
      </c>
      <c r="F5818" s="138" t="str">
        <f t="shared" si="409"/>
        <v>Upgraded</v>
      </c>
      <c r="G5818" s="153"/>
      <c r="H5818" s="210">
        <v>7.9000000000000008E-3</v>
      </c>
      <c r="I5818" s="160" t="s">
        <v>168</v>
      </c>
      <c r="J5818" s="160">
        <v>2.4599999999999999E-3</v>
      </c>
      <c r="K5818" s="160" t="s">
        <v>25</v>
      </c>
      <c r="L5818" s="154" t="str">
        <f>IF(OpenLCAbasic!K5818="CTUh", "Fill in Manually",IF(OR(K5818="Unit", K5818=""), "", INDEX(LookUps!$E$5:$E$12, MATCH(OpenLCAbasic!K5818,LookUps!$D$5:$D$12,0))))</f>
        <v>Smog Formation Potential (SFP) - kg O3 eq</v>
      </c>
      <c r="M5818" s="154" t="str">
        <f t="shared" si="404"/>
        <v>Low_Base_Upgraded_Smog Formation Potential (SFP) - kg O3 eq_ClearCove SCP; wastewater treatment unit; at updated plant - US_Without Amendment_Windrow</v>
      </c>
    </row>
    <row r="5819" spans="1:13" s="120" customFormat="1" x14ac:dyDescent="0.25">
      <c r="A5819" s="119"/>
      <c r="B5819" s="138" t="str">
        <f t="shared" si="408"/>
        <v>Windrow</v>
      </c>
      <c r="C5819" s="138" t="str">
        <f t="shared" si="405"/>
        <v>Without Amendment</v>
      </c>
      <c r="D5819" s="138" t="str">
        <f t="shared" si="407"/>
        <v>Base</v>
      </c>
      <c r="E5819" s="138" t="str">
        <f t="shared" si="406"/>
        <v>Low</v>
      </c>
      <c r="F5819" s="138" t="str">
        <f t="shared" si="409"/>
        <v>Upgraded</v>
      </c>
      <c r="G5819" s="153"/>
      <c r="H5819" s="210">
        <v>1.6999999999999999E-3</v>
      </c>
      <c r="I5819" s="160" t="s">
        <v>148</v>
      </c>
      <c r="J5819" s="160">
        <v>5.4000000000000001E-4</v>
      </c>
      <c r="K5819" s="160" t="s">
        <v>25</v>
      </c>
      <c r="L5819" s="154" t="str">
        <f>IF(OpenLCAbasic!K5819="CTUh", "Fill in Manually",IF(OR(K5819="Unit", K5819=""), "", INDEX(LookUps!$E$5:$E$12, MATCH(OpenLCAbasic!K5819,LookUps!$D$5:$D$12,0))))</f>
        <v>Smog Formation Potential (SFP) - kg O3 eq</v>
      </c>
      <c r="M5819" s="154" t="str">
        <f t="shared" ref="M5819:M5882" si="410">CONCATENATE(E5819,"_",D5819,"_",F5819,"_",L5819, "_",I5819,"_", C5819,"_", B5819)</f>
        <v>Low_Base_Upgraded_Smog Formation Potential (SFP) - kg O3 eq_Control Building; at upgraded wastewater treatment plant - US_Without Amendment_Windrow</v>
      </c>
    </row>
    <row r="5820" spans="1:13" s="120" customFormat="1" x14ac:dyDescent="0.25">
      <c r="A5820" s="119"/>
      <c r="B5820" s="138" t="str">
        <f t="shared" si="408"/>
        <v>Windrow</v>
      </c>
      <c r="C5820" s="138" t="str">
        <f t="shared" si="405"/>
        <v>Without Amendment</v>
      </c>
      <c r="D5820" s="138" t="str">
        <f t="shared" si="407"/>
        <v>Base</v>
      </c>
      <c r="E5820" s="138" t="str">
        <f t="shared" si="406"/>
        <v>Low</v>
      </c>
      <c r="F5820" s="138" t="str">
        <f t="shared" si="409"/>
        <v>Upgraded</v>
      </c>
      <c r="G5820" s="153"/>
      <c r="H5820" s="210">
        <v>1.1999999999999999E-3</v>
      </c>
      <c r="I5820" s="160" t="s">
        <v>271</v>
      </c>
      <c r="J5820" s="160">
        <v>3.8000000000000002E-4</v>
      </c>
      <c r="K5820" s="160" t="s">
        <v>25</v>
      </c>
      <c r="L5820" s="154" t="str">
        <f>IF(OpenLCAbasic!K5820="CTUh", "Fill in Manually",IF(OR(K5820="Unit", K5820=""), "", INDEX(LookUps!$E$5:$E$12, MATCH(OpenLCAbasic!K5820,LookUps!$D$5:$D$12,0))))</f>
        <v>Smog Formation Potential (SFP) - kg O3 eq</v>
      </c>
      <c r="M5820" s="154" t="str">
        <f t="shared" si="410"/>
        <v>Low_Base_Upgraded_Smog Formation Potential (SFP) - kg O3 eq_Biosolids composting; windrow composting; wastewater treatment unit; at updated plant - US_Without Amendment_Windrow</v>
      </c>
    </row>
    <row r="5821" spans="1:13" s="120" customFormat="1" x14ac:dyDescent="0.25">
      <c r="A5821" s="119"/>
      <c r="B5821" s="138" t="str">
        <f t="shared" si="408"/>
        <v>Windrow</v>
      </c>
      <c r="C5821" s="138" t="str">
        <f t="shared" si="405"/>
        <v>Without Amendment</v>
      </c>
      <c r="D5821" s="138" t="str">
        <f t="shared" si="407"/>
        <v>Base</v>
      </c>
      <c r="E5821" s="138" t="str">
        <f t="shared" si="406"/>
        <v>Low</v>
      </c>
      <c r="F5821" s="138" t="str">
        <f t="shared" si="409"/>
        <v>Upgraded</v>
      </c>
      <c r="G5821" s="153"/>
      <c r="H5821" s="210">
        <v>-5.7999999999999996E-3</v>
      </c>
      <c r="I5821" s="160" t="s">
        <v>62</v>
      </c>
      <c r="J5821" s="160">
        <v>-1.8E-3</v>
      </c>
      <c r="K5821" s="160" t="s">
        <v>25</v>
      </c>
      <c r="L5821" s="154" t="str">
        <f>IF(OpenLCAbasic!K5821="CTUh", "Fill in Manually",IF(OR(K5821="Unit", K5821=""), "", INDEX(LookUps!$E$5:$E$12, MATCH(OpenLCAbasic!K5821,LookUps!$D$5:$D$12,0))))</f>
        <v>Smog Formation Potential (SFP) - kg O3 eq</v>
      </c>
      <c r="M5821" s="154" t="str">
        <f t="shared" si="410"/>
        <v>Low_Base_Upgraded_Smog Formation Potential (SFP) - kg O3 eq_Land application of compost; wastewater treatment unit; at updated plant - US_Without Amendment_Windrow</v>
      </c>
    </row>
    <row r="5822" spans="1:13" s="120" customFormat="1" x14ac:dyDescent="0.25">
      <c r="A5822" s="119"/>
      <c r="B5822" s="138" t="str">
        <f t="shared" si="408"/>
        <v>Windrow</v>
      </c>
      <c r="C5822" s="138" t="str">
        <f t="shared" si="405"/>
        <v>Without Amendment</v>
      </c>
      <c r="D5822" s="138" t="str">
        <f t="shared" si="407"/>
        <v>Base</v>
      </c>
      <c r="E5822" s="138" t="str">
        <f t="shared" si="406"/>
        <v>Low</v>
      </c>
      <c r="F5822" s="138" t="str">
        <f t="shared" si="409"/>
        <v>Upgraded</v>
      </c>
      <c r="G5822" s="153"/>
      <c r="H5822" s="210">
        <v>-0.19980000000000001</v>
      </c>
      <c r="I5822" s="160" t="s">
        <v>149</v>
      </c>
      <c r="J5822" s="160">
        <v>-6.1940000000000002E-2</v>
      </c>
      <c r="K5822" s="160" t="s">
        <v>25</v>
      </c>
      <c r="L5822" s="154" t="str">
        <f>IF(OpenLCAbasic!K5822="CTUh", "Fill in Manually",IF(OR(K5822="Unit", K5822=""), "", INDEX(LookUps!$E$5:$E$12, MATCH(OpenLCAbasic!K5822,LookUps!$D$5:$D$12,0))))</f>
        <v>Smog Formation Potential (SFP) - kg O3 eq</v>
      </c>
      <c r="M5822" s="154" t="str">
        <f t="shared" si="410"/>
        <v>Low_Base_Upgraded_Smog Formation Potential (SFP) - kg O3 eq_Anaerobic Digestion; wastewater treatment unit; at updated plant - US_Without Amendment_Windrow</v>
      </c>
    </row>
    <row r="5823" spans="1:13" s="120" customFormat="1" x14ac:dyDescent="0.25">
      <c r="A5823" s="119"/>
      <c r="B5823" s="138" t="str">
        <f t="shared" si="408"/>
        <v/>
      </c>
      <c r="C5823" s="138" t="str">
        <f t="shared" si="405"/>
        <v/>
      </c>
      <c r="D5823" s="138" t="str">
        <f t="shared" si="407"/>
        <v/>
      </c>
      <c r="E5823" s="138" t="str">
        <f t="shared" si="406"/>
        <v/>
      </c>
      <c r="F5823" s="138" t="str">
        <f t="shared" si="409"/>
        <v/>
      </c>
      <c r="G5823" s="153" t="s">
        <v>51</v>
      </c>
      <c r="H5823" s="160"/>
      <c r="I5823" s="160" t="s">
        <v>47</v>
      </c>
      <c r="J5823" s="160" t="s">
        <v>52</v>
      </c>
      <c r="K5823" s="160" t="s">
        <v>27</v>
      </c>
      <c r="L5823" s="154" t="str">
        <f>IF(OpenLCAbasic!K5823="CTUh", "Fill in Manually",IF(OR(K5823="Unit", K5823=""), "", INDEX(LookUps!$E$5:$E$12, MATCH(OpenLCAbasic!K5823,LookUps!$D$5:$D$12,0))))</f>
        <v/>
      </c>
      <c r="M5823" s="154" t="str">
        <f t="shared" si="410"/>
        <v>____Process__</v>
      </c>
    </row>
    <row r="5824" spans="1:13" s="120" customFormat="1" x14ac:dyDescent="0.25">
      <c r="A5824" s="119"/>
      <c r="B5824" s="138" t="str">
        <f t="shared" si="408"/>
        <v>Windrow</v>
      </c>
      <c r="C5824" s="138" t="str">
        <f t="shared" si="405"/>
        <v>Without Amendment</v>
      </c>
      <c r="D5824" s="138" t="str">
        <f t="shared" si="407"/>
        <v>Base</v>
      </c>
      <c r="E5824" s="138" t="str">
        <f t="shared" si="406"/>
        <v>Low</v>
      </c>
      <c r="F5824" s="138" t="str">
        <f t="shared" si="409"/>
        <v>Upgraded</v>
      </c>
      <c r="G5824" s="153"/>
      <c r="H5824" s="210">
        <v>0.57020000000000004</v>
      </c>
      <c r="I5824" s="160" t="s">
        <v>167</v>
      </c>
      <c r="J5824" s="160">
        <v>2.3000000000000001E-4</v>
      </c>
      <c r="K5824" s="160" t="s">
        <v>26</v>
      </c>
      <c r="L5824" s="154" t="str">
        <f>IF(OpenLCAbasic!K5824="CTUh", "Fill in Manually",IF(OR(K5824="Unit", K5824=""), "", INDEX(LookUps!$E$5:$E$12, MATCH(OpenLCAbasic!K5824,LookUps!$D$5:$D$12,0))))</f>
        <v>Water Use (WU) - m3 H2O</v>
      </c>
      <c r="M5824" s="154" t="str">
        <f t="shared" si="410"/>
        <v>Low_Base_Upgraded_Water Use (WU) - m3 H2O_Waste Receiving and Holding; wastewater treatment unit; at updated plant - US_Without Amendment_Windrow</v>
      </c>
    </row>
    <row r="5825" spans="1:13" s="120" customFormat="1" x14ac:dyDescent="0.25">
      <c r="A5825" s="119"/>
      <c r="B5825" s="138" t="str">
        <f t="shared" si="408"/>
        <v>Windrow</v>
      </c>
      <c r="C5825" s="138" t="str">
        <f t="shared" ref="C5825:C5888" si="411">IF(ISNUMBER($J5825),"Without Amendment","")</f>
        <v>Without Amendment</v>
      </c>
      <c r="D5825" s="138" t="str">
        <f t="shared" si="407"/>
        <v>Base</v>
      </c>
      <c r="E5825" s="138" t="str">
        <f t="shared" ref="E5825:E5888" si="412">IF(ISNUMBER($J5825),"Low","")</f>
        <v>Low</v>
      </c>
      <c r="F5825" s="138" t="str">
        <f t="shared" si="409"/>
        <v>Upgraded</v>
      </c>
      <c r="G5825" s="153"/>
      <c r="H5825" s="210">
        <v>0.45119999999999999</v>
      </c>
      <c r="I5825" s="160" t="s">
        <v>147</v>
      </c>
      <c r="J5825" s="160">
        <v>1.8000000000000001E-4</v>
      </c>
      <c r="K5825" s="160" t="s">
        <v>26</v>
      </c>
      <c r="L5825" s="154" t="str">
        <f>IF(OpenLCAbasic!K5825="CTUh", "Fill in Manually",IF(OR(K5825="Unit", K5825=""), "", INDEX(LookUps!$E$5:$E$12, MATCH(OpenLCAbasic!K5825,LookUps!$D$5:$D$12,0))))</f>
        <v>Water Use (WU) - m3 H2O</v>
      </c>
      <c r="M5825" s="154" t="str">
        <f t="shared" si="410"/>
        <v>Low_Base_Upgraded_Water Use (WU) - m3 H2O_Influent Pump Station; wastewater treatment unit; at updated plant - US_Without Amendment_Windrow</v>
      </c>
    </row>
    <row r="5826" spans="1:13" s="120" customFormat="1" x14ac:dyDescent="0.25">
      <c r="A5826" s="119"/>
      <c r="B5826" s="138" t="str">
        <f t="shared" si="408"/>
        <v>Windrow</v>
      </c>
      <c r="C5826" s="138" t="str">
        <f t="shared" si="411"/>
        <v>Without Amendment</v>
      </c>
      <c r="D5826" s="138" t="str">
        <f t="shared" si="407"/>
        <v>Base</v>
      </c>
      <c r="E5826" s="138" t="str">
        <f t="shared" si="412"/>
        <v>Low</v>
      </c>
      <c r="F5826" s="138" t="str">
        <f t="shared" si="409"/>
        <v>Upgraded</v>
      </c>
      <c r="G5826" s="153"/>
      <c r="H5826" s="210">
        <v>0.44019999999999998</v>
      </c>
      <c r="I5826" s="160" t="s">
        <v>54</v>
      </c>
      <c r="J5826" s="160">
        <v>1.8000000000000001E-4</v>
      </c>
      <c r="K5826" s="160" t="s">
        <v>26</v>
      </c>
      <c r="L5826" s="154" t="str">
        <f>IF(OpenLCAbasic!K5826="CTUh", "Fill in Manually",IF(OR(K5826="Unit", K5826=""), "", INDEX(LookUps!$E$5:$E$12, MATCH(OpenLCAbasic!K5826,LookUps!$D$5:$D$12,0))))</f>
        <v>Water Use (WU) - m3 H2O</v>
      </c>
      <c r="M5826" s="154" t="str">
        <f t="shared" si="410"/>
        <v>Low_Base_Upgraded_Water Use (WU) - m3 H2O_Clear Cove Primary Clarification; wastewater treatment unit; at updated plant - US_Without Amendment_Windrow</v>
      </c>
    </row>
    <row r="5827" spans="1:13" s="120" customFormat="1" x14ac:dyDescent="0.25">
      <c r="A5827" s="119"/>
      <c r="B5827" s="138" t="str">
        <f t="shared" si="408"/>
        <v>Windrow</v>
      </c>
      <c r="C5827" s="138" t="str">
        <f t="shared" si="411"/>
        <v>Without Amendment</v>
      </c>
      <c r="D5827" s="138" t="str">
        <f t="shared" si="407"/>
        <v>Base</v>
      </c>
      <c r="E5827" s="138" t="str">
        <f t="shared" si="412"/>
        <v>Low</v>
      </c>
      <c r="F5827" s="138" t="str">
        <f t="shared" si="409"/>
        <v>Upgraded</v>
      </c>
      <c r="G5827" s="153"/>
      <c r="H5827" s="210">
        <v>0.39939999999999998</v>
      </c>
      <c r="I5827" s="160" t="s">
        <v>55</v>
      </c>
      <c r="J5827" s="160">
        <v>1.6000000000000001E-4</v>
      </c>
      <c r="K5827" s="160" t="s">
        <v>26</v>
      </c>
      <c r="L5827" s="154" t="str">
        <f>IF(OpenLCAbasic!K5827="CTUh", "Fill in Manually",IF(OR(K5827="Unit", K5827=""), "", INDEX(LookUps!$E$5:$E$12, MATCH(OpenLCAbasic!K5827,LookUps!$D$5:$D$12,0))))</f>
        <v>Water Use (WU) - m3 H2O</v>
      </c>
      <c r="M5827" s="154" t="str">
        <f t="shared" si="410"/>
        <v>Low_Base_Upgraded_Water Use (WU) - m3 H2O_Aeration Tanks; wastewater treatment unit; at updated plant - US_Without Amendment_Windrow</v>
      </c>
    </row>
    <row r="5828" spans="1:13" s="120" customFormat="1" x14ac:dyDescent="0.25">
      <c r="A5828" s="119"/>
      <c r="B5828" s="138" t="str">
        <f t="shared" si="408"/>
        <v>Windrow</v>
      </c>
      <c r="C5828" s="138" t="str">
        <f t="shared" si="411"/>
        <v>Without Amendment</v>
      </c>
      <c r="D5828" s="138" t="str">
        <f t="shared" si="407"/>
        <v>Base</v>
      </c>
      <c r="E5828" s="138" t="str">
        <f t="shared" si="412"/>
        <v>Low</v>
      </c>
      <c r="F5828" s="138" t="str">
        <f t="shared" si="409"/>
        <v>Upgraded</v>
      </c>
      <c r="G5828" s="153"/>
      <c r="H5828" s="210">
        <v>0.36380000000000001</v>
      </c>
      <c r="I5828" s="160" t="s">
        <v>148</v>
      </c>
      <c r="J5828" s="160">
        <v>1.4999999999999999E-4</v>
      </c>
      <c r="K5828" s="160" t="s">
        <v>26</v>
      </c>
      <c r="L5828" s="154" t="str">
        <f>IF(OpenLCAbasic!K5828="CTUh", "Fill in Manually",IF(OR(K5828="Unit", K5828=""), "", INDEX(LookUps!$E$5:$E$12, MATCH(OpenLCAbasic!K5828,LookUps!$D$5:$D$12,0))))</f>
        <v>Water Use (WU) - m3 H2O</v>
      </c>
      <c r="M5828" s="154" t="str">
        <f t="shared" si="410"/>
        <v>Low_Base_Upgraded_Water Use (WU) - m3 H2O_Control Building; at upgraded wastewater treatment plant - US_Without Amendment_Windrow</v>
      </c>
    </row>
    <row r="5829" spans="1:13" s="120" customFormat="1" x14ac:dyDescent="0.25">
      <c r="A5829" s="119"/>
      <c r="B5829" s="138" t="str">
        <f t="shared" si="408"/>
        <v>Windrow</v>
      </c>
      <c r="C5829" s="138" t="str">
        <f t="shared" si="411"/>
        <v>Without Amendment</v>
      </c>
      <c r="D5829" s="138" t="str">
        <f t="shared" si="407"/>
        <v>Base</v>
      </c>
      <c r="E5829" s="138" t="str">
        <f t="shared" si="412"/>
        <v>Low</v>
      </c>
      <c r="F5829" s="138" t="str">
        <f t="shared" si="409"/>
        <v>Upgraded</v>
      </c>
      <c r="G5829" s="153"/>
      <c r="H5829" s="210">
        <v>0.16889999999999999</v>
      </c>
      <c r="I5829" s="160" t="s">
        <v>48</v>
      </c>
      <c r="J5829" s="211">
        <v>6.8836400000000004E-5</v>
      </c>
      <c r="K5829" s="160" t="s">
        <v>26</v>
      </c>
      <c r="L5829" s="154" t="str">
        <f>IF(OpenLCAbasic!K5829="CTUh", "Fill in Manually",IF(OR(K5829="Unit", K5829=""), "", INDEX(LookUps!$E$5:$E$12, MATCH(OpenLCAbasic!K5829,LookUps!$D$5:$D$12,0))))</f>
        <v>Water Use (WU) - m3 H2O</v>
      </c>
      <c r="M5829" s="154" t="str">
        <f t="shared" si="410"/>
        <v>Low_Base_Upgraded_Water Use (WU) - m3 H2O_Effluent release; wastewater treatment unit; at surface water; m3 wastewater - US_Without Amendment_Windrow</v>
      </c>
    </row>
    <row r="5830" spans="1:13" s="120" customFormat="1" x14ac:dyDescent="0.25">
      <c r="A5830" s="119"/>
      <c r="B5830" s="138" t="str">
        <f t="shared" si="408"/>
        <v>Windrow</v>
      </c>
      <c r="C5830" s="138" t="str">
        <f t="shared" si="411"/>
        <v>Without Amendment</v>
      </c>
      <c r="D5830" s="138" t="str">
        <f t="shared" si="407"/>
        <v>Base</v>
      </c>
      <c r="E5830" s="138" t="str">
        <f t="shared" si="412"/>
        <v>Low</v>
      </c>
      <c r="F5830" s="138" t="str">
        <f t="shared" si="409"/>
        <v>Upgraded</v>
      </c>
      <c r="G5830" s="153"/>
      <c r="H5830" s="210">
        <v>0.106</v>
      </c>
      <c r="I5830" s="160" t="s">
        <v>58</v>
      </c>
      <c r="J5830" s="211">
        <v>4.3192100000000003E-5</v>
      </c>
      <c r="K5830" s="160" t="s">
        <v>26</v>
      </c>
      <c r="L5830" s="154" t="str">
        <f>IF(OpenLCAbasic!K5830="CTUh", "Fill in Manually",IF(OR(K5830="Unit", K5830=""), "", INDEX(LookUps!$E$5:$E$12, MATCH(OpenLCAbasic!K5830,LookUps!$D$5:$D$12,0))))</f>
        <v>Water Use (WU) - m3 H2O</v>
      </c>
      <c r="M5830" s="154" t="str">
        <f t="shared" si="410"/>
        <v>Low_Base_Upgraded_Water Use (WU) - m3 H2O_Pre-Anoxic &amp; Swing tank; wastewater treatment unit; at updated plant - US_Without Amendment_Windrow</v>
      </c>
    </row>
    <row r="5831" spans="1:13" s="120" customFormat="1" x14ac:dyDescent="0.25">
      <c r="A5831" s="119"/>
      <c r="B5831" s="138" t="str">
        <f t="shared" si="408"/>
        <v>Windrow</v>
      </c>
      <c r="C5831" s="138" t="str">
        <f t="shared" si="411"/>
        <v>Without Amendment</v>
      </c>
      <c r="D5831" s="138" t="str">
        <f t="shared" si="407"/>
        <v>Base</v>
      </c>
      <c r="E5831" s="138" t="str">
        <f t="shared" si="412"/>
        <v>Low</v>
      </c>
      <c r="F5831" s="138" t="str">
        <f t="shared" si="409"/>
        <v>Upgraded</v>
      </c>
      <c r="G5831" s="153"/>
      <c r="H5831" s="210">
        <v>7.46E-2</v>
      </c>
      <c r="I5831" s="160" t="s">
        <v>57</v>
      </c>
      <c r="J5831" s="211">
        <v>3.0408100000000001E-5</v>
      </c>
      <c r="K5831" s="160" t="s">
        <v>26</v>
      </c>
      <c r="L5831" s="154" t="str">
        <f>IF(OpenLCAbasic!K5831="CTUh", "Fill in Manually",IF(OR(K5831="Unit", K5831=""), "", INDEX(LookUps!$E$5:$E$12, MATCH(OpenLCAbasic!K5831,LookUps!$D$5:$D$12,0))))</f>
        <v>Water Use (WU) - m3 H2O</v>
      </c>
      <c r="M5831" s="154" t="str">
        <f t="shared" si="410"/>
        <v>Low_Base_Upgraded_Water Use (WU) - m3 H2O_Gravity Belt Thickener; wastewater treatment unit; at updated plant - US_Without Amendment_Windrow</v>
      </c>
    </row>
    <row r="5832" spans="1:13" s="120" customFormat="1" x14ac:dyDescent="0.25">
      <c r="A5832" s="119"/>
      <c r="B5832" s="138" t="str">
        <f t="shared" si="408"/>
        <v>Windrow</v>
      </c>
      <c r="C5832" s="138" t="str">
        <f t="shared" si="411"/>
        <v>Without Amendment</v>
      </c>
      <c r="D5832" s="138" t="str">
        <f t="shared" si="407"/>
        <v>Base</v>
      </c>
      <c r="E5832" s="138" t="str">
        <f t="shared" si="412"/>
        <v>Low</v>
      </c>
      <c r="F5832" s="138" t="str">
        <f t="shared" si="409"/>
        <v>Upgraded</v>
      </c>
      <c r="G5832" s="153"/>
      <c r="H5832" s="210">
        <v>5.3800000000000001E-2</v>
      </c>
      <c r="I5832" s="160" t="s">
        <v>60</v>
      </c>
      <c r="J5832" s="211">
        <v>2.1941099999999999E-5</v>
      </c>
      <c r="K5832" s="160" t="s">
        <v>26</v>
      </c>
      <c r="L5832" s="154" t="str">
        <f>IF(OpenLCAbasic!K5832="CTUh", "Fill in Manually",IF(OR(K5832="Unit", K5832=""), "", INDEX(LookUps!$E$5:$E$12, MATCH(OpenLCAbasic!K5832,LookUps!$D$5:$D$12,0))))</f>
        <v>Water Use (WU) - m3 H2O</v>
      </c>
      <c r="M5832" s="154" t="str">
        <f t="shared" si="410"/>
        <v>Low_Base_Upgraded_Water Use (WU) - m3 H2O_Belt filter press; wastewater treatment unit; at updated plant - US_Without Amendment_Windrow</v>
      </c>
    </row>
    <row r="5833" spans="1:13" s="120" customFormat="1" x14ac:dyDescent="0.25">
      <c r="A5833" s="119"/>
      <c r="B5833" s="138" t="str">
        <f t="shared" si="408"/>
        <v>Windrow</v>
      </c>
      <c r="C5833" s="138" t="str">
        <f t="shared" si="411"/>
        <v>Without Amendment</v>
      </c>
      <c r="D5833" s="138" t="str">
        <f t="shared" ref="D5833:D5839" si="413">IF(ISNUMBER($J5833),"Base","")</f>
        <v>Base</v>
      </c>
      <c r="E5833" s="138" t="str">
        <f t="shared" si="412"/>
        <v>Low</v>
      </c>
      <c r="F5833" s="138" t="str">
        <f t="shared" si="409"/>
        <v>Upgraded</v>
      </c>
      <c r="G5833" s="153"/>
      <c r="H5833" s="210">
        <v>4.2999999999999997E-2</v>
      </c>
      <c r="I5833" s="160" t="s">
        <v>53</v>
      </c>
      <c r="J5833" s="211">
        <v>1.75069E-5</v>
      </c>
      <c r="K5833" s="160" t="s">
        <v>26</v>
      </c>
      <c r="L5833" s="154" t="str">
        <f>IF(OpenLCAbasic!K5833="CTUh", "Fill in Manually",IF(OR(K5833="Unit", K5833=""), "", INDEX(LookUps!$E$5:$E$12, MATCH(OpenLCAbasic!K5833,LookUps!$D$5:$D$12,0))))</f>
        <v>Water Use (WU) - m3 H2O</v>
      </c>
      <c r="M5833" s="154" t="str">
        <f t="shared" si="410"/>
        <v>Low_Base_Upgraded_Water Use (WU) - m3 H2O_Wet Well and Sump Station; wastewater treatment unit; at updated plant - US_Without Amendment_Windrow</v>
      </c>
    </row>
    <row r="5834" spans="1:13" s="120" customFormat="1" x14ac:dyDescent="0.25">
      <c r="A5834" s="119"/>
      <c r="B5834" s="138" t="str">
        <f t="shared" si="408"/>
        <v>Windrow</v>
      </c>
      <c r="C5834" s="138" t="str">
        <f t="shared" si="411"/>
        <v>Without Amendment</v>
      </c>
      <c r="D5834" s="138" t="str">
        <f t="shared" si="413"/>
        <v>Base</v>
      </c>
      <c r="E5834" s="138" t="str">
        <f t="shared" si="412"/>
        <v>Low</v>
      </c>
      <c r="F5834" s="138" t="str">
        <f t="shared" si="409"/>
        <v>Upgraded</v>
      </c>
      <c r="G5834" s="153"/>
      <c r="H5834" s="210">
        <v>2.9700000000000001E-2</v>
      </c>
      <c r="I5834" s="160" t="s">
        <v>149</v>
      </c>
      <c r="J5834" s="211">
        <v>1.21043E-5</v>
      </c>
      <c r="K5834" s="160" t="s">
        <v>26</v>
      </c>
      <c r="L5834" s="154" t="str">
        <f>IF(OpenLCAbasic!K5834="CTUh", "Fill in Manually",IF(OR(K5834="Unit", K5834=""), "", INDEX(LookUps!$E$5:$E$12, MATCH(OpenLCAbasic!K5834,LookUps!$D$5:$D$12,0))))</f>
        <v>Water Use (WU) - m3 H2O</v>
      </c>
      <c r="M5834" s="154" t="str">
        <f t="shared" si="410"/>
        <v>Low_Base_Upgraded_Water Use (WU) - m3 H2O_Anaerobic Digestion; wastewater treatment unit; at updated plant - US_Without Amendment_Windrow</v>
      </c>
    </row>
    <row r="5835" spans="1:13" s="120" customFormat="1" x14ac:dyDescent="0.25">
      <c r="A5835" s="119"/>
      <c r="B5835" s="138" t="str">
        <f t="shared" si="408"/>
        <v>Windrow</v>
      </c>
      <c r="C5835" s="138" t="str">
        <f t="shared" si="411"/>
        <v>Without Amendment</v>
      </c>
      <c r="D5835" s="138" t="str">
        <f t="shared" si="413"/>
        <v>Base</v>
      </c>
      <c r="E5835" s="138" t="str">
        <f t="shared" si="412"/>
        <v>Low</v>
      </c>
      <c r="F5835" s="138" t="str">
        <f t="shared" si="409"/>
        <v>Upgraded</v>
      </c>
      <c r="G5835" s="153"/>
      <c r="H5835" s="210">
        <v>1.72E-2</v>
      </c>
      <c r="I5835" s="160" t="s">
        <v>59</v>
      </c>
      <c r="J5835" s="211">
        <v>7.0179500000000003E-6</v>
      </c>
      <c r="K5835" s="160" t="s">
        <v>26</v>
      </c>
      <c r="L5835" s="154" t="str">
        <f>IF(OpenLCAbasic!K5835="CTUh", "Fill in Manually",IF(OR(K5835="Unit", K5835=""), "", INDEX(LookUps!$E$5:$E$12, MATCH(OpenLCAbasic!K5835,LookUps!$D$5:$D$12,0))))</f>
        <v>Water Use (WU) - m3 H2O</v>
      </c>
      <c r="M5835" s="154" t="str">
        <f t="shared" si="410"/>
        <v>Low_Base_Upgraded_Water Use (WU) - m3 H2O_Blend Tank; wastewater treatment unit; at updated plant - US_Without Amendment_Windrow</v>
      </c>
    </row>
    <row r="5836" spans="1:13" s="120" customFormat="1" x14ac:dyDescent="0.25">
      <c r="A5836" s="119"/>
      <c r="B5836" s="138" t="str">
        <f t="shared" si="408"/>
        <v>Windrow</v>
      </c>
      <c r="C5836" s="138" t="str">
        <f t="shared" si="411"/>
        <v>Without Amendment</v>
      </c>
      <c r="D5836" s="138" t="str">
        <f t="shared" si="413"/>
        <v>Base</v>
      </c>
      <c r="E5836" s="138" t="str">
        <f t="shared" si="412"/>
        <v>Low</v>
      </c>
      <c r="F5836" s="138" t="str">
        <f t="shared" si="409"/>
        <v>Upgraded</v>
      </c>
      <c r="G5836" s="153"/>
      <c r="H5836" s="210">
        <v>1.24E-2</v>
      </c>
      <c r="I5836" s="160" t="s">
        <v>128</v>
      </c>
      <c r="J5836" s="211">
        <v>5.0608900000000003E-6</v>
      </c>
      <c r="K5836" s="160" t="s">
        <v>26</v>
      </c>
      <c r="L5836" s="154" t="str">
        <f>IF(OpenLCAbasic!K5836="CTUh", "Fill in Manually",IF(OR(K5836="Unit", K5836=""), "", INDEX(LookUps!$E$5:$E$12, MATCH(OpenLCAbasic!K5836,LookUps!$D$5:$D$12,0))))</f>
        <v>Water Use (WU) - m3 H2O</v>
      </c>
      <c r="M5836" s="154" t="str">
        <f t="shared" si="410"/>
        <v>Low_Base_Upgraded_Water Use (WU) - m3 H2O_Wastewater collection; operation and infrastructure; m3 wastewater_Without Amendment_Windrow</v>
      </c>
    </row>
    <row r="5837" spans="1:13" s="120" customFormat="1" x14ac:dyDescent="0.25">
      <c r="A5837" s="119"/>
      <c r="B5837" s="138" t="str">
        <f t="shared" si="408"/>
        <v>Windrow</v>
      </c>
      <c r="C5837" s="138" t="str">
        <f t="shared" si="411"/>
        <v>Without Amendment</v>
      </c>
      <c r="D5837" s="138" t="str">
        <f t="shared" si="413"/>
        <v>Base</v>
      </c>
      <c r="E5837" s="138" t="str">
        <f t="shared" si="412"/>
        <v>Low</v>
      </c>
      <c r="F5837" s="138" t="str">
        <f t="shared" si="409"/>
        <v>Upgraded</v>
      </c>
      <c r="G5837" s="153"/>
      <c r="H5837" s="210">
        <v>2.5999999999999999E-3</v>
      </c>
      <c r="I5837" s="160" t="s">
        <v>271</v>
      </c>
      <c r="J5837" s="211">
        <v>1.0478599999999999E-6</v>
      </c>
      <c r="K5837" s="160" t="s">
        <v>26</v>
      </c>
      <c r="L5837" s="154" t="str">
        <f>IF(OpenLCAbasic!K5837="CTUh", "Fill in Manually",IF(OR(K5837="Unit", K5837=""), "", INDEX(LookUps!$E$5:$E$12, MATCH(OpenLCAbasic!K5837,LookUps!$D$5:$D$12,0))))</f>
        <v>Water Use (WU) - m3 H2O</v>
      </c>
      <c r="M5837" s="154" t="str">
        <f t="shared" si="410"/>
        <v>Low_Base_Upgraded_Water Use (WU) - m3 H2O_Biosolids composting; windrow composting; wastewater treatment unit; at updated plant - US_Without Amendment_Windrow</v>
      </c>
    </row>
    <row r="5838" spans="1:13" s="120" customFormat="1" x14ac:dyDescent="0.25">
      <c r="A5838" s="119"/>
      <c r="B5838" s="138" t="str">
        <f t="shared" si="408"/>
        <v>Windrow</v>
      </c>
      <c r="C5838" s="138" t="str">
        <f t="shared" si="411"/>
        <v>Without Amendment</v>
      </c>
      <c r="D5838" s="138" t="str">
        <f t="shared" si="413"/>
        <v>Base</v>
      </c>
      <c r="E5838" s="138" t="str">
        <f t="shared" si="412"/>
        <v>Low</v>
      </c>
      <c r="F5838" s="138" t="str">
        <f t="shared" si="409"/>
        <v>Upgraded</v>
      </c>
      <c r="G5838" s="153"/>
      <c r="H5838" s="210">
        <v>1.9E-3</v>
      </c>
      <c r="I5838" s="160" t="s">
        <v>168</v>
      </c>
      <c r="J5838" s="211">
        <v>7.6697000000000004E-7</v>
      </c>
      <c r="K5838" s="160" t="s">
        <v>26</v>
      </c>
      <c r="L5838" s="154" t="str">
        <f>IF(OpenLCAbasic!K5838="CTUh", "Fill in Manually",IF(OR(K5838="Unit", K5838=""), "", INDEX(LookUps!$E$5:$E$12, MATCH(OpenLCAbasic!K5838,LookUps!$D$5:$D$12,0))))</f>
        <v>Water Use (WU) - m3 H2O</v>
      </c>
      <c r="M5838" s="154" t="str">
        <f t="shared" si="410"/>
        <v>Low_Base_Upgraded_Water Use (WU) - m3 H2O_ClearCove SCP; wastewater treatment unit; at updated plant - US_Without Amendment_Windrow</v>
      </c>
    </row>
    <row r="5839" spans="1:13" s="120" customFormat="1" x14ac:dyDescent="0.25">
      <c r="A5839" s="119"/>
      <c r="B5839" s="138" t="str">
        <f t="shared" si="408"/>
        <v>Windrow</v>
      </c>
      <c r="C5839" s="138" t="str">
        <f t="shared" si="411"/>
        <v>Without Amendment</v>
      </c>
      <c r="D5839" s="138" t="str">
        <f t="shared" si="413"/>
        <v>Base</v>
      </c>
      <c r="E5839" s="138" t="str">
        <f t="shared" si="412"/>
        <v>Low</v>
      </c>
      <c r="F5839" s="138" t="str">
        <f t="shared" si="409"/>
        <v>Upgraded</v>
      </c>
      <c r="G5839" s="153"/>
      <c r="H5839" s="210">
        <v>-1.7351000000000001</v>
      </c>
      <c r="I5839" s="160" t="s">
        <v>62</v>
      </c>
      <c r="J5839" s="160">
        <v>-7.1000000000000002E-4</v>
      </c>
      <c r="K5839" s="160" t="s">
        <v>26</v>
      </c>
      <c r="L5839" s="154" t="str">
        <f>IF(OpenLCAbasic!K5839="CTUh", "Fill in Manually",IF(OR(K5839="Unit", K5839=""), "", INDEX(LookUps!$E$5:$E$12, MATCH(OpenLCAbasic!K5839,LookUps!$D$5:$D$12,0))))</f>
        <v>Water Use (WU) - m3 H2O</v>
      </c>
      <c r="M5839" s="154" t="str">
        <f t="shared" si="410"/>
        <v>Low_Base_Upgraded_Water Use (WU) - m3 H2O_Land application of compost; wastewater treatment unit; at updated plant - US_Without Amendment_Windrow</v>
      </c>
    </row>
    <row r="5840" spans="1:13" s="120" customFormat="1" x14ac:dyDescent="0.25">
      <c r="A5840" s="119"/>
      <c r="B5840" s="138" t="str">
        <f t="shared" si="408"/>
        <v/>
      </c>
      <c r="C5840" s="138" t="str">
        <f t="shared" si="411"/>
        <v/>
      </c>
      <c r="D5840" s="138" t="str">
        <f>IF(ISNUMBER($J5840),"Base_High","")</f>
        <v/>
      </c>
      <c r="E5840" s="138" t="str">
        <f t="shared" si="412"/>
        <v/>
      </c>
      <c r="F5840" s="138" t="str">
        <f t="shared" si="409"/>
        <v/>
      </c>
      <c r="G5840" s="153" t="s">
        <v>51</v>
      </c>
      <c r="H5840" s="160"/>
      <c r="I5840" s="160" t="s">
        <v>47</v>
      </c>
      <c r="J5840" s="160" t="s">
        <v>52</v>
      </c>
      <c r="K5840" s="160" t="s">
        <v>27</v>
      </c>
      <c r="L5840" s="154" t="str">
        <f>IF(OpenLCAbasic!K5840="CTUh", "Fill in Manually",IF(OR(K5840="Unit", K5840=""), "", INDEX(LookUps!$E$5:$E$12, MATCH(OpenLCAbasic!K5840,LookUps!$D$5:$D$12,0))))</f>
        <v/>
      </c>
      <c r="M5840" s="154" t="str">
        <f t="shared" si="410"/>
        <v>____Process__</v>
      </c>
    </row>
    <row r="5841" spans="1:13" s="120" customFormat="1" x14ac:dyDescent="0.25">
      <c r="A5841" s="119"/>
      <c r="B5841" s="138" t="str">
        <f t="shared" si="408"/>
        <v>Windrow</v>
      </c>
      <c r="C5841" s="138" t="str">
        <f t="shared" si="411"/>
        <v>Without Amendment</v>
      </c>
      <c r="D5841" s="138" t="str">
        <f t="shared" ref="D5841:D5904" si="414">IF(ISNUMBER($J5841),"Base_High","")</f>
        <v>Base_High</v>
      </c>
      <c r="E5841" s="138" t="str">
        <f t="shared" si="412"/>
        <v>Low</v>
      </c>
      <c r="F5841" s="138" t="str">
        <f t="shared" si="409"/>
        <v>Upgraded</v>
      </c>
      <c r="G5841" s="153"/>
      <c r="H5841" s="210">
        <v>9.1088000000000005</v>
      </c>
      <c r="I5841" s="160" t="s">
        <v>55</v>
      </c>
      <c r="J5841" s="160">
        <v>1.7219999999999999E-2</v>
      </c>
      <c r="K5841" s="160" t="s">
        <v>24</v>
      </c>
      <c r="L5841" s="154" t="str">
        <f>IF(OpenLCAbasic!K5841="CTUh", "Fill in Manually",IF(OR(K5841="Unit", K5841=""), "", INDEX(LookUps!$E$5:$E$12, MATCH(OpenLCAbasic!K5841,LookUps!$D$5:$D$12,0))))</f>
        <v>Acidification Potential (AP) - kg SO2 eq</v>
      </c>
      <c r="M5841" s="154" t="str">
        <f t="shared" si="410"/>
        <v>Low_Base_High_Upgraded_Acidification Potential (AP) - kg SO2 eq_Aeration Tanks; wastewater treatment unit; at updated plant - US_Without Amendment_Windrow</v>
      </c>
    </row>
    <row r="5842" spans="1:13" s="120" customFormat="1" x14ac:dyDescent="0.25">
      <c r="A5842" s="119"/>
      <c r="B5842" s="138" t="str">
        <f t="shared" si="408"/>
        <v>Windrow</v>
      </c>
      <c r="C5842" s="138" t="str">
        <f t="shared" si="411"/>
        <v>Without Amendment</v>
      </c>
      <c r="D5842" s="138" t="str">
        <f t="shared" si="414"/>
        <v>Base_High</v>
      </c>
      <c r="E5842" s="138" t="str">
        <f t="shared" si="412"/>
        <v>Low</v>
      </c>
      <c r="F5842" s="138" t="str">
        <f t="shared" si="409"/>
        <v>Upgraded</v>
      </c>
      <c r="G5842" s="153"/>
      <c r="H5842" s="210">
        <v>2.6345000000000001</v>
      </c>
      <c r="I5842" s="160" t="s">
        <v>54</v>
      </c>
      <c r="J5842" s="160">
        <v>4.9800000000000001E-3</v>
      </c>
      <c r="K5842" s="160" t="s">
        <v>24</v>
      </c>
      <c r="L5842" s="154" t="str">
        <f>IF(OpenLCAbasic!K5842="CTUh", "Fill in Manually",IF(OR(K5842="Unit", K5842=""), "", INDEX(LookUps!$E$5:$E$12, MATCH(OpenLCAbasic!K5842,LookUps!$D$5:$D$12,0))))</f>
        <v>Acidification Potential (AP) - kg SO2 eq</v>
      </c>
      <c r="M5842" s="154" t="str">
        <f t="shared" si="410"/>
        <v>Low_Base_High_Upgraded_Acidification Potential (AP) - kg SO2 eq_Clear Cove Primary Clarification; wastewater treatment unit; at updated plant - US_Without Amendment_Windrow</v>
      </c>
    </row>
    <row r="5843" spans="1:13" s="120" customFormat="1" x14ac:dyDescent="0.25">
      <c r="A5843" s="119"/>
      <c r="B5843" s="138" t="str">
        <f t="shared" si="408"/>
        <v>Windrow</v>
      </c>
      <c r="C5843" s="138" t="str">
        <f t="shared" si="411"/>
        <v>Without Amendment</v>
      </c>
      <c r="D5843" s="138" t="str">
        <f t="shared" si="414"/>
        <v>Base_High</v>
      </c>
      <c r="E5843" s="138" t="str">
        <f t="shared" si="412"/>
        <v>Low</v>
      </c>
      <c r="F5843" s="138" t="str">
        <f t="shared" si="409"/>
        <v>Upgraded</v>
      </c>
      <c r="G5843" s="153"/>
      <c r="H5843" s="210">
        <v>2.2913000000000001</v>
      </c>
      <c r="I5843" s="160" t="s">
        <v>58</v>
      </c>
      <c r="J5843" s="160">
        <v>4.3299999999999996E-3</v>
      </c>
      <c r="K5843" s="160" t="s">
        <v>24</v>
      </c>
      <c r="L5843" s="154" t="str">
        <f>IF(OpenLCAbasic!K5843="CTUh", "Fill in Manually",IF(OR(K5843="Unit", K5843=""), "", INDEX(LookUps!$E$5:$E$12, MATCH(OpenLCAbasic!K5843,LookUps!$D$5:$D$12,0))))</f>
        <v>Acidification Potential (AP) - kg SO2 eq</v>
      </c>
      <c r="M5843" s="154" t="str">
        <f t="shared" si="410"/>
        <v>Low_Base_High_Upgraded_Acidification Potential (AP) - kg SO2 eq_Pre-Anoxic &amp; Swing tank; wastewater treatment unit; at updated plant - US_Without Amendment_Windrow</v>
      </c>
    </row>
    <row r="5844" spans="1:13" s="120" customFormat="1" x14ac:dyDescent="0.25">
      <c r="A5844" s="119"/>
      <c r="B5844" s="138" t="str">
        <f t="shared" si="408"/>
        <v>Windrow</v>
      </c>
      <c r="C5844" s="138" t="str">
        <f t="shared" si="411"/>
        <v>Without Amendment</v>
      </c>
      <c r="D5844" s="138" t="str">
        <f t="shared" si="414"/>
        <v>Base_High</v>
      </c>
      <c r="E5844" s="138" t="str">
        <f t="shared" si="412"/>
        <v>Low</v>
      </c>
      <c r="F5844" s="138" t="str">
        <f t="shared" si="409"/>
        <v>Upgraded</v>
      </c>
      <c r="G5844" s="153"/>
      <c r="H5844" s="210">
        <v>1.8253999999999999</v>
      </c>
      <c r="I5844" s="160" t="s">
        <v>53</v>
      </c>
      <c r="J5844" s="160">
        <v>3.4499999999999999E-3</v>
      </c>
      <c r="K5844" s="160" t="s">
        <v>24</v>
      </c>
      <c r="L5844" s="154" t="str">
        <f>IF(OpenLCAbasic!K5844="CTUh", "Fill in Manually",IF(OR(K5844="Unit", K5844=""), "", INDEX(LookUps!$E$5:$E$12, MATCH(OpenLCAbasic!K5844,LookUps!$D$5:$D$12,0))))</f>
        <v>Acidification Potential (AP) - kg SO2 eq</v>
      </c>
      <c r="M5844" s="154" t="str">
        <f t="shared" si="410"/>
        <v>Low_Base_High_Upgraded_Acidification Potential (AP) - kg SO2 eq_Wet Well and Sump Station; wastewater treatment unit; at updated plant - US_Without Amendment_Windrow</v>
      </c>
    </row>
    <row r="5845" spans="1:13" s="120" customFormat="1" x14ac:dyDescent="0.25">
      <c r="A5845" s="119"/>
      <c r="B5845" s="138" t="str">
        <f t="shared" si="408"/>
        <v>Windrow</v>
      </c>
      <c r="C5845" s="138" t="str">
        <f t="shared" si="411"/>
        <v>Without Amendment</v>
      </c>
      <c r="D5845" s="138" t="str">
        <f t="shared" si="414"/>
        <v>Base_High</v>
      </c>
      <c r="E5845" s="138" t="str">
        <f t="shared" si="412"/>
        <v>Low</v>
      </c>
      <c r="F5845" s="138" t="str">
        <f t="shared" si="409"/>
        <v>Upgraded</v>
      </c>
      <c r="G5845" s="153"/>
      <c r="H5845" s="210">
        <v>1.2564</v>
      </c>
      <c r="I5845" s="160" t="s">
        <v>167</v>
      </c>
      <c r="J5845" s="160">
        <v>2.3800000000000002E-3</v>
      </c>
      <c r="K5845" s="160" t="s">
        <v>24</v>
      </c>
      <c r="L5845" s="154" t="str">
        <f>IF(OpenLCAbasic!K5845="CTUh", "Fill in Manually",IF(OR(K5845="Unit", K5845=""), "", INDEX(LookUps!$E$5:$E$12, MATCH(OpenLCAbasic!K5845,LookUps!$D$5:$D$12,0))))</f>
        <v>Acidification Potential (AP) - kg SO2 eq</v>
      </c>
      <c r="M5845" s="154" t="str">
        <f t="shared" si="410"/>
        <v>Low_Base_High_Upgraded_Acidification Potential (AP) - kg SO2 eq_Waste Receiving and Holding; wastewater treatment unit; at updated plant - US_Without Amendment_Windrow</v>
      </c>
    </row>
    <row r="5846" spans="1:13" s="120" customFormat="1" x14ac:dyDescent="0.25">
      <c r="A5846" s="119"/>
      <c r="B5846" s="138" t="str">
        <f t="shared" si="408"/>
        <v>Windrow</v>
      </c>
      <c r="C5846" s="138" t="str">
        <f t="shared" si="411"/>
        <v>Without Amendment</v>
      </c>
      <c r="D5846" s="138" t="str">
        <f t="shared" si="414"/>
        <v>Base_High</v>
      </c>
      <c r="E5846" s="138" t="str">
        <f t="shared" si="412"/>
        <v>Low</v>
      </c>
      <c r="F5846" s="138" t="str">
        <f t="shared" si="409"/>
        <v>Upgraded</v>
      </c>
      <c r="G5846" s="153"/>
      <c r="H5846" s="210">
        <v>1.0942000000000001</v>
      </c>
      <c r="I5846" s="160" t="s">
        <v>147</v>
      </c>
      <c r="J5846" s="160">
        <v>2.0699999999999998E-3</v>
      </c>
      <c r="K5846" s="160" t="s">
        <v>24</v>
      </c>
      <c r="L5846" s="154" t="str">
        <f>IF(OpenLCAbasic!K5846="CTUh", "Fill in Manually",IF(OR(K5846="Unit", K5846=""), "", INDEX(LookUps!$E$5:$E$12, MATCH(OpenLCAbasic!K5846,LookUps!$D$5:$D$12,0))))</f>
        <v>Acidification Potential (AP) - kg SO2 eq</v>
      </c>
      <c r="M5846" s="154" t="str">
        <f t="shared" si="410"/>
        <v>Low_Base_High_Upgraded_Acidification Potential (AP) - kg SO2 eq_Influent Pump Station; wastewater treatment unit; at updated plant - US_Without Amendment_Windrow</v>
      </c>
    </row>
    <row r="5847" spans="1:13" s="120" customFormat="1" x14ac:dyDescent="0.25">
      <c r="A5847" s="119"/>
      <c r="B5847" s="138" t="str">
        <f t="shared" si="408"/>
        <v>Windrow</v>
      </c>
      <c r="C5847" s="138" t="str">
        <f t="shared" si="411"/>
        <v>Without Amendment</v>
      </c>
      <c r="D5847" s="138" t="str">
        <f t="shared" si="414"/>
        <v>Base_High</v>
      </c>
      <c r="E5847" s="138" t="str">
        <f t="shared" si="412"/>
        <v>Low</v>
      </c>
      <c r="F5847" s="138" t="str">
        <f t="shared" si="409"/>
        <v>Upgraded</v>
      </c>
      <c r="G5847" s="153"/>
      <c r="H5847" s="210">
        <v>0.98719999999999997</v>
      </c>
      <c r="I5847" s="160" t="s">
        <v>62</v>
      </c>
      <c r="J5847" s="160">
        <v>1.8699999999999999E-3</v>
      </c>
      <c r="K5847" s="160" t="s">
        <v>24</v>
      </c>
      <c r="L5847" s="154" t="str">
        <f>IF(OpenLCAbasic!K5847="CTUh", "Fill in Manually",IF(OR(K5847="Unit", K5847=""), "", INDEX(LookUps!$E$5:$E$12, MATCH(OpenLCAbasic!K5847,LookUps!$D$5:$D$12,0))))</f>
        <v>Acidification Potential (AP) - kg SO2 eq</v>
      </c>
      <c r="M5847" s="154" t="str">
        <f t="shared" si="410"/>
        <v>Low_Base_High_Upgraded_Acidification Potential (AP) - kg SO2 eq_Land application of compost; wastewater treatment unit; at updated plant - US_Without Amendment_Windrow</v>
      </c>
    </row>
    <row r="5848" spans="1:13" s="120" customFormat="1" x14ac:dyDescent="0.25">
      <c r="A5848" s="119"/>
      <c r="B5848" s="138" t="str">
        <f t="shared" si="408"/>
        <v>Windrow</v>
      </c>
      <c r="C5848" s="138" t="str">
        <f t="shared" si="411"/>
        <v>Without Amendment</v>
      </c>
      <c r="D5848" s="138" t="str">
        <f t="shared" si="414"/>
        <v>Base_High</v>
      </c>
      <c r="E5848" s="138" t="str">
        <f t="shared" si="412"/>
        <v>Low</v>
      </c>
      <c r="F5848" s="138" t="str">
        <f t="shared" si="409"/>
        <v>Upgraded</v>
      </c>
      <c r="G5848" s="153"/>
      <c r="H5848" s="210">
        <v>0.65229999999999999</v>
      </c>
      <c r="I5848" s="160" t="s">
        <v>128</v>
      </c>
      <c r="J5848" s="160">
        <v>1.23E-3</v>
      </c>
      <c r="K5848" s="160" t="s">
        <v>24</v>
      </c>
      <c r="L5848" s="154" t="str">
        <f>IF(OpenLCAbasic!K5848="CTUh", "Fill in Manually",IF(OR(K5848="Unit", K5848=""), "", INDEX(LookUps!$E$5:$E$12, MATCH(OpenLCAbasic!K5848,LookUps!$D$5:$D$12,0))))</f>
        <v>Acidification Potential (AP) - kg SO2 eq</v>
      </c>
      <c r="M5848" s="154" t="str">
        <f t="shared" si="410"/>
        <v>Low_Base_High_Upgraded_Acidification Potential (AP) - kg SO2 eq_Wastewater collection; operation and infrastructure; m3 wastewater_Without Amendment_Windrow</v>
      </c>
    </row>
    <row r="5849" spans="1:13" s="120" customFormat="1" x14ac:dyDescent="0.25">
      <c r="A5849" s="119"/>
      <c r="B5849" s="138" t="str">
        <f t="shared" si="408"/>
        <v>Windrow</v>
      </c>
      <c r="C5849" s="138" t="str">
        <f t="shared" si="411"/>
        <v>Without Amendment</v>
      </c>
      <c r="D5849" s="138" t="str">
        <f t="shared" si="414"/>
        <v>Base_High</v>
      </c>
      <c r="E5849" s="138" t="str">
        <f t="shared" si="412"/>
        <v>Low</v>
      </c>
      <c r="F5849" s="138" t="str">
        <f t="shared" si="409"/>
        <v>Upgraded</v>
      </c>
      <c r="G5849" s="153"/>
      <c r="H5849" s="210">
        <v>0.39350000000000002</v>
      </c>
      <c r="I5849" s="160" t="s">
        <v>60</v>
      </c>
      <c r="J5849" s="160">
        <v>7.3999999999999999E-4</v>
      </c>
      <c r="K5849" s="160" t="s">
        <v>24</v>
      </c>
      <c r="L5849" s="154" t="str">
        <f>IF(OpenLCAbasic!K5849="CTUh", "Fill in Manually",IF(OR(K5849="Unit", K5849=""), "", INDEX(LookUps!$E$5:$E$12, MATCH(OpenLCAbasic!K5849,LookUps!$D$5:$D$12,0))))</f>
        <v>Acidification Potential (AP) - kg SO2 eq</v>
      </c>
      <c r="M5849" s="154" t="str">
        <f t="shared" si="410"/>
        <v>Low_Base_High_Upgraded_Acidification Potential (AP) - kg SO2 eq_Belt filter press; wastewater treatment unit; at updated plant - US_Without Amendment_Windrow</v>
      </c>
    </row>
    <row r="5850" spans="1:13" s="120" customFormat="1" x14ac:dyDescent="0.25">
      <c r="A5850" s="119"/>
      <c r="B5850" s="138" t="str">
        <f t="shared" si="408"/>
        <v>Windrow</v>
      </c>
      <c r="C5850" s="138" t="str">
        <f t="shared" si="411"/>
        <v>Without Amendment</v>
      </c>
      <c r="D5850" s="138" t="str">
        <f t="shared" si="414"/>
        <v>Base_High</v>
      </c>
      <c r="E5850" s="138" t="str">
        <f t="shared" si="412"/>
        <v>Low</v>
      </c>
      <c r="F5850" s="138" t="str">
        <f t="shared" si="409"/>
        <v>Upgraded</v>
      </c>
      <c r="G5850" s="153"/>
      <c r="H5850" s="210">
        <v>0.37240000000000001</v>
      </c>
      <c r="I5850" s="160" t="s">
        <v>57</v>
      </c>
      <c r="J5850" s="160">
        <v>6.9999999999999999E-4</v>
      </c>
      <c r="K5850" s="160" t="s">
        <v>24</v>
      </c>
      <c r="L5850" s="154" t="str">
        <f>IF(OpenLCAbasic!K5850="CTUh", "Fill in Manually",IF(OR(K5850="Unit", K5850=""), "", INDEX(LookUps!$E$5:$E$12, MATCH(OpenLCAbasic!K5850,LookUps!$D$5:$D$12,0))))</f>
        <v>Acidification Potential (AP) - kg SO2 eq</v>
      </c>
      <c r="M5850" s="154" t="str">
        <f t="shared" si="410"/>
        <v>Low_Base_High_Upgraded_Acidification Potential (AP) - kg SO2 eq_Gravity Belt Thickener; wastewater treatment unit; at updated plant - US_Without Amendment_Windrow</v>
      </c>
    </row>
    <row r="5851" spans="1:13" s="120" customFormat="1" x14ac:dyDescent="0.25">
      <c r="A5851" s="119"/>
      <c r="B5851" s="138" t="str">
        <f t="shared" si="408"/>
        <v>Windrow</v>
      </c>
      <c r="C5851" s="138" t="str">
        <f t="shared" si="411"/>
        <v>Without Amendment</v>
      </c>
      <c r="D5851" s="138" t="str">
        <f t="shared" si="414"/>
        <v>Base_High</v>
      </c>
      <c r="E5851" s="138" t="str">
        <f t="shared" si="412"/>
        <v>Low</v>
      </c>
      <c r="F5851" s="138" t="str">
        <f t="shared" si="409"/>
        <v>Upgraded</v>
      </c>
      <c r="G5851" s="153"/>
      <c r="H5851" s="210">
        <v>0.3347</v>
      </c>
      <c r="I5851" s="160" t="s">
        <v>271</v>
      </c>
      <c r="J5851" s="160">
        <v>6.3000000000000003E-4</v>
      </c>
      <c r="K5851" s="160" t="s">
        <v>24</v>
      </c>
      <c r="L5851" s="154" t="str">
        <f>IF(OpenLCAbasic!K5851="CTUh", "Fill in Manually",IF(OR(K5851="Unit", K5851=""), "", INDEX(LookUps!$E$5:$E$12, MATCH(OpenLCAbasic!K5851,LookUps!$D$5:$D$12,0))))</f>
        <v>Acidification Potential (AP) - kg SO2 eq</v>
      </c>
      <c r="M5851" s="154" t="str">
        <f t="shared" si="410"/>
        <v>Low_Base_High_Upgraded_Acidification Potential (AP) - kg SO2 eq_Biosolids composting; windrow composting; wastewater treatment unit; at updated plant - US_Without Amendment_Windrow</v>
      </c>
    </row>
    <row r="5852" spans="1:13" s="120" customFormat="1" x14ac:dyDescent="0.25">
      <c r="A5852" s="119"/>
      <c r="B5852" s="138" t="str">
        <f t="shared" si="408"/>
        <v>Windrow</v>
      </c>
      <c r="C5852" s="138" t="str">
        <f t="shared" si="411"/>
        <v>Without Amendment</v>
      </c>
      <c r="D5852" s="138" t="str">
        <f t="shared" si="414"/>
        <v>Base_High</v>
      </c>
      <c r="E5852" s="138" t="str">
        <f t="shared" si="412"/>
        <v>Low</v>
      </c>
      <c r="F5852" s="138" t="str">
        <f t="shared" si="409"/>
        <v>Upgraded</v>
      </c>
      <c r="G5852" s="153"/>
      <c r="H5852" s="210">
        <v>0.27310000000000001</v>
      </c>
      <c r="I5852" s="160" t="s">
        <v>59</v>
      </c>
      <c r="J5852" s="160">
        <v>5.1999999999999995E-4</v>
      </c>
      <c r="K5852" s="160" t="s">
        <v>24</v>
      </c>
      <c r="L5852" s="154" t="str">
        <f>IF(OpenLCAbasic!K5852="CTUh", "Fill in Manually",IF(OR(K5852="Unit", K5852=""), "", INDEX(LookUps!$E$5:$E$12, MATCH(OpenLCAbasic!K5852,LookUps!$D$5:$D$12,0))))</f>
        <v>Acidification Potential (AP) - kg SO2 eq</v>
      </c>
      <c r="M5852" s="154" t="str">
        <f t="shared" si="410"/>
        <v>Low_Base_High_Upgraded_Acidification Potential (AP) - kg SO2 eq_Blend Tank; wastewater treatment unit; at updated plant - US_Without Amendment_Windrow</v>
      </c>
    </row>
    <row r="5853" spans="1:13" s="120" customFormat="1" x14ac:dyDescent="0.25">
      <c r="A5853" s="119"/>
      <c r="B5853" s="138" t="str">
        <f t="shared" si="408"/>
        <v>Windrow</v>
      </c>
      <c r="C5853" s="138" t="str">
        <f t="shared" si="411"/>
        <v>Without Amendment</v>
      </c>
      <c r="D5853" s="138" t="str">
        <f t="shared" si="414"/>
        <v>Base_High</v>
      </c>
      <c r="E5853" s="138" t="str">
        <f t="shared" si="412"/>
        <v>Low</v>
      </c>
      <c r="F5853" s="138" t="str">
        <f t="shared" si="409"/>
        <v>Upgraded</v>
      </c>
      <c r="G5853" s="153"/>
      <c r="H5853" s="210">
        <v>0.18329999999999999</v>
      </c>
      <c r="I5853" s="160" t="s">
        <v>48</v>
      </c>
      <c r="J5853" s="160">
        <v>3.5E-4</v>
      </c>
      <c r="K5853" s="160" t="s">
        <v>24</v>
      </c>
      <c r="L5853" s="154" t="str">
        <f>IF(OpenLCAbasic!K5853="CTUh", "Fill in Manually",IF(OR(K5853="Unit", K5853=""), "", INDEX(LookUps!$E$5:$E$12, MATCH(OpenLCAbasic!K5853,LookUps!$D$5:$D$12,0))))</f>
        <v>Acidification Potential (AP) - kg SO2 eq</v>
      </c>
      <c r="M5853" s="154" t="str">
        <f t="shared" si="410"/>
        <v>Low_Base_High_Upgraded_Acidification Potential (AP) - kg SO2 eq_Effluent release; wastewater treatment unit; at surface water; m3 wastewater - US_Without Amendment_Windrow</v>
      </c>
    </row>
    <row r="5854" spans="1:13" s="120" customFormat="1" x14ac:dyDescent="0.25">
      <c r="A5854" s="119"/>
      <c r="B5854" s="138" t="str">
        <f t="shared" si="408"/>
        <v>Windrow</v>
      </c>
      <c r="C5854" s="138" t="str">
        <f t="shared" si="411"/>
        <v>Without Amendment</v>
      </c>
      <c r="D5854" s="138" t="str">
        <f t="shared" si="414"/>
        <v>Base_High</v>
      </c>
      <c r="E5854" s="138" t="str">
        <f t="shared" si="412"/>
        <v>Low</v>
      </c>
      <c r="F5854" s="138" t="str">
        <f t="shared" si="409"/>
        <v>Upgraded</v>
      </c>
      <c r="G5854" s="153"/>
      <c r="H5854" s="210">
        <v>0.13500000000000001</v>
      </c>
      <c r="I5854" s="160" t="s">
        <v>168</v>
      </c>
      <c r="J5854" s="160">
        <v>2.5999999999999998E-4</v>
      </c>
      <c r="K5854" s="160" t="s">
        <v>24</v>
      </c>
      <c r="L5854" s="154" t="str">
        <f>IF(OpenLCAbasic!K5854="CTUh", "Fill in Manually",IF(OR(K5854="Unit", K5854=""), "", INDEX(LookUps!$E$5:$E$12, MATCH(OpenLCAbasic!K5854,LookUps!$D$5:$D$12,0))))</f>
        <v>Acidification Potential (AP) - kg SO2 eq</v>
      </c>
      <c r="M5854" s="154" t="str">
        <f t="shared" si="410"/>
        <v>Low_Base_High_Upgraded_Acidification Potential (AP) - kg SO2 eq_ClearCove SCP; wastewater treatment unit; at updated plant - US_Without Amendment_Windrow</v>
      </c>
    </row>
    <row r="5855" spans="1:13" s="120" customFormat="1" x14ac:dyDescent="0.25">
      <c r="A5855" s="119"/>
      <c r="B5855" s="138" t="str">
        <f t="shared" si="408"/>
        <v>Windrow</v>
      </c>
      <c r="C5855" s="138" t="str">
        <f t="shared" si="411"/>
        <v>Without Amendment</v>
      </c>
      <c r="D5855" s="138" t="str">
        <f t="shared" si="414"/>
        <v>Base_High</v>
      </c>
      <c r="E5855" s="138" t="str">
        <f t="shared" si="412"/>
        <v>Low</v>
      </c>
      <c r="F5855" s="138" t="str">
        <f t="shared" si="409"/>
        <v>Upgraded</v>
      </c>
      <c r="G5855" s="153"/>
      <c r="H5855" s="210">
        <v>2.1299999999999999E-2</v>
      </c>
      <c r="I5855" s="160" t="s">
        <v>148</v>
      </c>
      <c r="J5855" s="211">
        <v>4.0354700000000002E-5</v>
      </c>
      <c r="K5855" s="160" t="s">
        <v>24</v>
      </c>
      <c r="L5855" s="154" t="str">
        <f>IF(OpenLCAbasic!K5855="CTUh", "Fill in Manually",IF(OR(K5855="Unit", K5855=""), "", INDEX(LookUps!$E$5:$E$12, MATCH(OpenLCAbasic!K5855,LookUps!$D$5:$D$12,0))))</f>
        <v>Acidification Potential (AP) - kg SO2 eq</v>
      </c>
      <c r="M5855" s="154" t="str">
        <f t="shared" si="410"/>
        <v>Low_Base_High_Upgraded_Acidification Potential (AP) - kg SO2 eq_Control Building; at upgraded wastewater treatment plant - US_Without Amendment_Windrow</v>
      </c>
    </row>
    <row r="5856" spans="1:13" s="120" customFormat="1" x14ac:dyDescent="0.25">
      <c r="A5856" s="119"/>
      <c r="B5856" s="138" t="str">
        <f t="shared" si="408"/>
        <v>Windrow</v>
      </c>
      <c r="C5856" s="138" t="str">
        <f t="shared" si="411"/>
        <v>Without Amendment</v>
      </c>
      <c r="D5856" s="138" t="str">
        <f t="shared" si="414"/>
        <v>Base_High</v>
      </c>
      <c r="E5856" s="138" t="str">
        <f t="shared" si="412"/>
        <v>Low</v>
      </c>
      <c r="F5856" s="138" t="str">
        <f t="shared" si="409"/>
        <v>Upgraded</v>
      </c>
      <c r="G5856" s="153"/>
      <c r="H5856" s="210">
        <v>-20.563400000000001</v>
      </c>
      <c r="I5856" s="160" t="s">
        <v>149</v>
      </c>
      <c r="J5856" s="160">
        <v>-3.8870000000000002E-2</v>
      </c>
      <c r="K5856" s="160" t="s">
        <v>24</v>
      </c>
      <c r="L5856" s="154" t="str">
        <f>IF(OpenLCAbasic!K5856="CTUh", "Fill in Manually",IF(OR(K5856="Unit", K5856=""), "", INDEX(LookUps!$E$5:$E$12, MATCH(OpenLCAbasic!K5856,LookUps!$D$5:$D$12,0))))</f>
        <v>Acidification Potential (AP) - kg SO2 eq</v>
      </c>
      <c r="M5856" s="154" t="str">
        <f t="shared" si="410"/>
        <v>Low_Base_High_Upgraded_Acidification Potential (AP) - kg SO2 eq_Anaerobic Digestion; wastewater treatment unit; at updated plant - US_Without Amendment_Windrow</v>
      </c>
    </row>
    <row r="5857" spans="1:13" s="120" customFormat="1" x14ac:dyDescent="0.25">
      <c r="A5857" s="119"/>
      <c r="B5857" s="138" t="str">
        <f t="shared" si="408"/>
        <v/>
      </c>
      <c r="C5857" s="138" t="str">
        <f t="shared" si="411"/>
        <v/>
      </c>
      <c r="D5857" s="138" t="str">
        <f t="shared" si="414"/>
        <v/>
      </c>
      <c r="E5857" s="138" t="str">
        <f t="shared" si="412"/>
        <v/>
      </c>
      <c r="F5857" s="138" t="str">
        <f t="shared" si="409"/>
        <v/>
      </c>
      <c r="G5857" s="153" t="s">
        <v>51</v>
      </c>
      <c r="H5857" s="160"/>
      <c r="I5857" s="160" t="s">
        <v>47</v>
      </c>
      <c r="J5857" s="160" t="s">
        <v>52</v>
      </c>
      <c r="K5857" s="160" t="s">
        <v>27</v>
      </c>
      <c r="L5857" s="154" t="str">
        <f>IF(OpenLCAbasic!K5857="CTUh", "Fill in Manually",IF(OR(K5857="Unit", K5857=""), "", INDEX(LookUps!$E$5:$E$12, MATCH(OpenLCAbasic!K5857,LookUps!$D$5:$D$12,0))))</f>
        <v/>
      </c>
      <c r="M5857" s="154" t="str">
        <f t="shared" si="410"/>
        <v>____Process__</v>
      </c>
    </row>
    <row r="5858" spans="1:13" s="120" customFormat="1" x14ac:dyDescent="0.25">
      <c r="A5858" s="119"/>
      <c r="B5858" s="138" t="str">
        <f t="shared" si="408"/>
        <v>Windrow</v>
      </c>
      <c r="C5858" s="138" t="str">
        <f t="shared" si="411"/>
        <v>Without Amendment</v>
      </c>
      <c r="D5858" s="138" t="str">
        <f t="shared" si="414"/>
        <v>Base_High</v>
      </c>
      <c r="E5858" s="138" t="str">
        <f t="shared" si="412"/>
        <v>Low</v>
      </c>
      <c r="F5858" s="138" t="str">
        <f t="shared" si="409"/>
        <v>Upgraded</v>
      </c>
      <c r="G5858" s="153"/>
      <c r="H5858" s="210">
        <v>9.3778000000000006</v>
      </c>
      <c r="I5858" s="160" t="s">
        <v>55</v>
      </c>
      <c r="J5858" s="160">
        <v>3.5330499999999998</v>
      </c>
      <c r="K5858" s="160" t="s">
        <v>15</v>
      </c>
      <c r="L5858" s="154" t="str">
        <f>IF(OpenLCAbasic!K5858="CTUh", "Fill in Manually",IF(OR(K5858="Unit", K5858=""), "", INDEX(LookUps!$E$5:$E$12, MATCH(OpenLCAbasic!K5858,LookUps!$D$5:$D$12,0))))</f>
        <v>Cumulative Energy Demand (CED) - MJ</v>
      </c>
      <c r="M5858" s="154" t="str">
        <f t="shared" si="410"/>
        <v>Low_Base_High_Upgraded_Cumulative Energy Demand (CED) - MJ_Aeration Tanks; wastewater treatment unit; at updated plant - US_Without Amendment_Windrow</v>
      </c>
    </row>
    <row r="5859" spans="1:13" s="120" customFormat="1" x14ac:dyDescent="0.25">
      <c r="A5859" s="119"/>
      <c r="B5859" s="138" t="str">
        <f t="shared" si="408"/>
        <v>Windrow</v>
      </c>
      <c r="C5859" s="138" t="str">
        <f t="shared" si="411"/>
        <v>Without Amendment</v>
      </c>
      <c r="D5859" s="138" t="str">
        <f t="shared" si="414"/>
        <v>Base_High</v>
      </c>
      <c r="E5859" s="138" t="str">
        <f t="shared" si="412"/>
        <v>Low</v>
      </c>
      <c r="F5859" s="138" t="str">
        <f t="shared" si="409"/>
        <v>Upgraded</v>
      </c>
      <c r="G5859" s="153"/>
      <c r="H5859" s="210">
        <v>9.2855000000000008</v>
      </c>
      <c r="I5859" s="160" t="s">
        <v>167</v>
      </c>
      <c r="J5859" s="160">
        <v>3.4982700000000002</v>
      </c>
      <c r="K5859" s="160" t="s">
        <v>15</v>
      </c>
      <c r="L5859" s="154" t="str">
        <f>IF(OpenLCAbasic!K5859="CTUh", "Fill in Manually",IF(OR(K5859="Unit", K5859=""), "", INDEX(LookUps!$E$5:$E$12, MATCH(OpenLCAbasic!K5859,LookUps!$D$5:$D$12,0))))</f>
        <v>Cumulative Energy Demand (CED) - MJ</v>
      </c>
      <c r="M5859" s="154" t="str">
        <f t="shared" si="410"/>
        <v>Low_Base_High_Upgraded_Cumulative Energy Demand (CED) - MJ_Waste Receiving and Holding; wastewater treatment unit; at updated plant - US_Without Amendment_Windrow</v>
      </c>
    </row>
    <row r="5860" spans="1:13" s="120" customFormat="1" x14ac:dyDescent="0.25">
      <c r="A5860" s="119"/>
      <c r="B5860" s="138" t="str">
        <f t="shared" si="408"/>
        <v>Windrow</v>
      </c>
      <c r="C5860" s="138" t="str">
        <f t="shared" si="411"/>
        <v>Without Amendment</v>
      </c>
      <c r="D5860" s="138" t="str">
        <f t="shared" si="414"/>
        <v>Base_High</v>
      </c>
      <c r="E5860" s="138" t="str">
        <f t="shared" si="412"/>
        <v>Low</v>
      </c>
      <c r="F5860" s="138" t="str">
        <f t="shared" si="409"/>
        <v>Upgraded</v>
      </c>
      <c r="G5860" s="153"/>
      <c r="H5860" s="210">
        <v>3.0867</v>
      </c>
      <c r="I5860" s="160" t="s">
        <v>54</v>
      </c>
      <c r="J5860" s="160">
        <v>1.16289</v>
      </c>
      <c r="K5860" s="160" t="s">
        <v>15</v>
      </c>
      <c r="L5860" s="154" t="str">
        <f>IF(OpenLCAbasic!K5860="CTUh", "Fill in Manually",IF(OR(K5860="Unit", K5860=""), "", INDEX(LookUps!$E$5:$E$12, MATCH(OpenLCAbasic!K5860,LookUps!$D$5:$D$12,0))))</f>
        <v>Cumulative Energy Demand (CED) - MJ</v>
      </c>
      <c r="M5860" s="154" t="str">
        <f t="shared" si="410"/>
        <v>Low_Base_High_Upgraded_Cumulative Energy Demand (CED) - MJ_Clear Cove Primary Clarification; wastewater treatment unit; at updated plant - US_Without Amendment_Windrow</v>
      </c>
    </row>
    <row r="5861" spans="1:13" s="120" customFormat="1" x14ac:dyDescent="0.25">
      <c r="A5861" s="119"/>
      <c r="B5861" s="138" t="str">
        <f t="shared" si="408"/>
        <v>Windrow</v>
      </c>
      <c r="C5861" s="138" t="str">
        <f t="shared" si="411"/>
        <v>Without Amendment</v>
      </c>
      <c r="D5861" s="138" t="str">
        <f t="shared" si="414"/>
        <v>Base_High</v>
      </c>
      <c r="E5861" s="138" t="str">
        <f t="shared" si="412"/>
        <v>Low</v>
      </c>
      <c r="F5861" s="138" t="str">
        <f t="shared" si="409"/>
        <v>Upgraded</v>
      </c>
      <c r="G5861" s="153"/>
      <c r="H5861" s="210">
        <v>2.3469000000000002</v>
      </c>
      <c r="I5861" s="160" t="s">
        <v>58</v>
      </c>
      <c r="J5861" s="160">
        <v>0.88417000000000001</v>
      </c>
      <c r="K5861" s="160" t="s">
        <v>15</v>
      </c>
      <c r="L5861" s="154" t="str">
        <f>IF(OpenLCAbasic!K5861="CTUh", "Fill in Manually",IF(OR(K5861="Unit", K5861=""), "", INDEX(LookUps!$E$5:$E$12, MATCH(OpenLCAbasic!K5861,LookUps!$D$5:$D$12,0))))</f>
        <v>Cumulative Energy Demand (CED) - MJ</v>
      </c>
      <c r="M5861" s="154" t="str">
        <f t="shared" si="410"/>
        <v>Low_Base_High_Upgraded_Cumulative Energy Demand (CED) - MJ_Pre-Anoxic &amp; Swing tank; wastewater treatment unit; at updated plant - US_Without Amendment_Windrow</v>
      </c>
    </row>
    <row r="5862" spans="1:13" s="120" customFormat="1" x14ac:dyDescent="0.25">
      <c r="A5862" s="119"/>
      <c r="B5862" s="138" t="str">
        <f t="shared" si="408"/>
        <v>Windrow</v>
      </c>
      <c r="C5862" s="138" t="str">
        <f t="shared" si="411"/>
        <v>Without Amendment</v>
      </c>
      <c r="D5862" s="138" t="str">
        <f t="shared" si="414"/>
        <v>Base_High</v>
      </c>
      <c r="E5862" s="138" t="str">
        <f t="shared" si="412"/>
        <v>Low</v>
      </c>
      <c r="F5862" s="138" t="str">
        <f t="shared" si="409"/>
        <v>Upgraded</v>
      </c>
      <c r="G5862" s="153"/>
      <c r="H5862" s="210">
        <v>2.3437000000000001</v>
      </c>
      <c r="I5862" s="160" t="s">
        <v>147</v>
      </c>
      <c r="J5862" s="160">
        <v>0.88297000000000003</v>
      </c>
      <c r="K5862" s="160" t="s">
        <v>15</v>
      </c>
      <c r="L5862" s="154" t="str">
        <f>IF(OpenLCAbasic!K5862="CTUh", "Fill in Manually",IF(OR(K5862="Unit", K5862=""), "", INDEX(LookUps!$E$5:$E$12, MATCH(OpenLCAbasic!K5862,LookUps!$D$5:$D$12,0))))</f>
        <v>Cumulative Energy Demand (CED) - MJ</v>
      </c>
      <c r="M5862" s="154" t="str">
        <f t="shared" si="410"/>
        <v>Low_Base_High_Upgraded_Cumulative Energy Demand (CED) - MJ_Influent Pump Station; wastewater treatment unit; at updated plant - US_Without Amendment_Windrow</v>
      </c>
    </row>
    <row r="5863" spans="1:13" s="120" customFormat="1" x14ac:dyDescent="0.25">
      <c r="A5863" s="119"/>
      <c r="B5863" s="138" t="str">
        <f t="shared" si="408"/>
        <v>Windrow</v>
      </c>
      <c r="C5863" s="138" t="str">
        <f t="shared" si="411"/>
        <v>Without Amendment</v>
      </c>
      <c r="D5863" s="138" t="str">
        <f t="shared" si="414"/>
        <v>Base_High</v>
      </c>
      <c r="E5863" s="138" t="str">
        <f t="shared" si="412"/>
        <v>Low</v>
      </c>
      <c r="F5863" s="138" t="str">
        <f t="shared" si="409"/>
        <v>Upgraded</v>
      </c>
      <c r="G5863" s="153"/>
      <c r="H5863" s="210">
        <v>1.8486</v>
      </c>
      <c r="I5863" s="160" t="s">
        <v>53</v>
      </c>
      <c r="J5863" s="160">
        <v>0.69645000000000001</v>
      </c>
      <c r="K5863" s="160" t="s">
        <v>15</v>
      </c>
      <c r="L5863" s="154" t="str">
        <f>IF(OpenLCAbasic!K5863="CTUh", "Fill in Manually",IF(OR(K5863="Unit", K5863=""), "", INDEX(LookUps!$E$5:$E$12, MATCH(OpenLCAbasic!K5863,LookUps!$D$5:$D$12,0))))</f>
        <v>Cumulative Energy Demand (CED) - MJ</v>
      </c>
      <c r="M5863" s="154" t="str">
        <f t="shared" si="410"/>
        <v>Low_Base_High_Upgraded_Cumulative Energy Demand (CED) - MJ_Wet Well and Sump Station; wastewater treatment unit; at updated plant - US_Without Amendment_Windrow</v>
      </c>
    </row>
    <row r="5864" spans="1:13" s="120" customFormat="1" x14ac:dyDescent="0.25">
      <c r="A5864" s="119"/>
      <c r="B5864" s="138" t="str">
        <f t="shared" ref="B5864:B5927" si="415">IF(F5864="Legacy","n.a.",IF(F5864="","","Windrow"))</f>
        <v>Windrow</v>
      </c>
      <c r="C5864" s="138" t="str">
        <f t="shared" si="411"/>
        <v>Without Amendment</v>
      </c>
      <c r="D5864" s="138" t="str">
        <f t="shared" si="414"/>
        <v>Base_High</v>
      </c>
      <c r="E5864" s="138" t="str">
        <f t="shared" si="412"/>
        <v>Low</v>
      </c>
      <c r="F5864" s="138" t="str">
        <f t="shared" ref="F5864:F5927" si="416">IF(ISNUMBER(J5864),"Upgraded","")</f>
        <v>Upgraded</v>
      </c>
      <c r="G5864" s="153"/>
      <c r="H5864" s="210">
        <v>0.88670000000000004</v>
      </c>
      <c r="I5864" s="160" t="s">
        <v>57</v>
      </c>
      <c r="J5864" s="160">
        <v>0.33404</v>
      </c>
      <c r="K5864" s="160" t="s">
        <v>15</v>
      </c>
      <c r="L5864" s="154" t="str">
        <f>IF(OpenLCAbasic!K5864="CTUh", "Fill in Manually",IF(OR(K5864="Unit", K5864=""), "", INDEX(LookUps!$E$5:$E$12, MATCH(OpenLCAbasic!K5864,LookUps!$D$5:$D$12,0))))</f>
        <v>Cumulative Energy Demand (CED) - MJ</v>
      </c>
      <c r="M5864" s="154" t="str">
        <f t="shared" si="410"/>
        <v>Low_Base_High_Upgraded_Cumulative Energy Demand (CED) - MJ_Gravity Belt Thickener; wastewater treatment unit; at updated plant - US_Without Amendment_Windrow</v>
      </c>
    </row>
    <row r="5865" spans="1:13" s="120" customFormat="1" x14ac:dyDescent="0.25">
      <c r="A5865" s="119"/>
      <c r="B5865" s="138" t="str">
        <f t="shared" si="415"/>
        <v>Windrow</v>
      </c>
      <c r="C5865" s="138" t="str">
        <f t="shared" si="411"/>
        <v>Without Amendment</v>
      </c>
      <c r="D5865" s="138" t="str">
        <f t="shared" si="414"/>
        <v>Base_High</v>
      </c>
      <c r="E5865" s="138" t="str">
        <f t="shared" si="412"/>
        <v>Low</v>
      </c>
      <c r="F5865" s="138" t="str">
        <f t="shared" si="416"/>
        <v>Upgraded</v>
      </c>
      <c r="G5865" s="153"/>
      <c r="H5865" s="210">
        <v>0.73719999999999997</v>
      </c>
      <c r="I5865" s="160" t="s">
        <v>60</v>
      </c>
      <c r="J5865" s="160">
        <v>0.27775</v>
      </c>
      <c r="K5865" s="160" t="s">
        <v>15</v>
      </c>
      <c r="L5865" s="154" t="str">
        <f>IF(OpenLCAbasic!K5865="CTUh", "Fill in Manually",IF(OR(K5865="Unit", K5865=""), "", INDEX(LookUps!$E$5:$E$12, MATCH(OpenLCAbasic!K5865,LookUps!$D$5:$D$12,0))))</f>
        <v>Cumulative Energy Demand (CED) - MJ</v>
      </c>
      <c r="M5865" s="154" t="str">
        <f t="shared" si="410"/>
        <v>Low_Base_High_Upgraded_Cumulative Energy Demand (CED) - MJ_Belt filter press; wastewater treatment unit; at updated plant - US_Without Amendment_Windrow</v>
      </c>
    </row>
    <row r="5866" spans="1:13" s="120" customFormat="1" x14ac:dyDescent="0.25">
      <c r="A5866" s="119"/>
      <c r="B5866" s="138" t="str">
        <f t="shared" si="415"/>
        <v>Windrow</v>
      </c>
      <c r="C5866" s="138" t="str">
        <f t="shared" si="411"/>
        <v>Without Amendment</v>
      </c>
      <c r="D5866" s="138" t="str">
        <f t="shared" si="414"/>
        <v>Base_High</v>
      </c>
      <c r="E5866" s="138" t="str">
        <f t="shared" si="412"/>
        <v>Low</v>
      </c>
      <c r="F5866" s="138" t="str">
        <f t="shared" si="416"/>
        <v>Upgraded</v>
      </c>
      <c r="G5866" s="153"/>
      <c r="H5866" s="210">
        <v>0.67969999999999997</v>
      </c>
      <c r="I5866" s="160" t="s">
        <v>128</v>
      </c>
      <c r="J5866" s="160">
        <v>0.25606000000000001</v>
      </c>
      <c r="K5866" s="160" t="s">
        <v>15</v>
      </c>
      <c r="L5866" s="154" t="str">
        <f>IF(OpenLCAbasic!K5866="CTUh", "Fill in Manually",IF(OR(K5866="Unit", K5866=""), "", INDEX(LookUps!$E$5:$E$12, MATCH(OpenLCAbasic!K5866,LookUps!$D$5:$D$12,0))))</f>
        <v>Cumulative Energy Demand (CED) - MJ</v>
      </c>
      <c r="M5866" s="154" t="str">
        <f t="shared" si="410"/>
        <v>Low_Base_High_Upgraded_Cumulative Energy Demand (CED) - MJ_Wastewater collection; operation and infrastructure; m3 wastewater_Without Amendment_Windrow</v>
      </c>
    </row>
    <row r="5867" spans="1:13" s="120" customFormat="1" x14ac:dyDescent="0.25">
      <c r="A5867" s="119"/>
      <c r="B5867" s="138" t="str">
        <f t="shared" si="415"/>
        <v>Windrow</v>
      </c>
      <c r="C5867" s="138" t="str">
        <f t="shared" si="411"/>
        <v>Without Amendment</v>
      </c>
      <c r="D5867" s="138" t="str">
        <f t="shared" si="414"/>
        <v>Base_High</v>
      </c>
      <c r="E5867" s="138" t="str">
        <f t="shared" si="412"/>
        <v>Low</v>
      </c>
      <c r="F5867" s="138" t="str">
        <f t="shared" si="416"/>
        <v>Upgraded</v>
      </c>
      <c r="G5867" s="153"/>
      <c r="H5867" s="210">
        <v>0.38750000000000001</v>
      </c>
      <c r="I5867" s="160" t="s">
        <v>148</v>
      </c>
      <c r="J5867" s="160">
        <v>0.14599000000000001</v>
      </c>
      <c r="K5867" s="160" t="s">
        <v>15</v>
      </c>
      <c r="L5867" s="154" t="str">
        <f>IF(OpenLCAbasic!K5867="CTUh", "Fill in Manually",IF(OR(K5867="Unit", K5867=""), "", INDEX(LookUps!$E$5:$E$12, MATCH(OpenLCAbasic!K5867,LookUps!$D$5:$D$12,0))))</f>
        <v>Cumulative Energy Demand (CED) - MJ</v>
      </c>
      <c r="M5867" s="154" t="str">
        <f t="shared" si="410"/>
        <v>Low_Base_High_Upgraded_Cumulative Energy Demand (CED) - MJ_Control Building; at upgraded wastewater treatment plant - US_Without Amendment_Windrow</v>
      </c>
    </row>
    <row r="5868" spans="1:13" s="120" customFormat="1" x14ac:dyDescent="0.25">
      <c r="A5868" s="119"/>
      <c r="B5868" s="138" t="str">
        <f t="shared" si="415"/>
        <v>Windrow</v>
      </c>
      <c r="C5868" s="138" t="str">
        <f t="shared" si="411"/>
        <v>Without Amendment</v>
      </c>
      <c r="D5868" s="138" t="str">
        <f t="shared" si="414"/>
        <v>Base_High</v>
      </c>
      <c r="E5868" s="138" t="str">
        <f t="shared" si="412"/>
        <v>Low</v>
      </c>
      <c r="F5868" s="138" t="str">
        <f t="shared" si="416"/>
        <v>Upgraded</v>
      </c>
      <c r="G5868" s="153"/>
      <c r="H5868" s="210">
        <v>0.35360000000000003</v>
      </c>
      <c r="I5868" s="160" t="s">
        <v>48</v>
      </c>
      <c r="J5868" s="160">
        <v>0.13321</v>
      </c>
      <c r="K5868" s="160" t="s">
        <v>15</v>
      </c>
      <c r="L5868" s="154" t="str">
        <f>IF(OpenLCAbasic!K5868="CTUh", "Fill in Manually",IF(OR(K5868="Unit", K5868=""), "", INDEX(LookUps!$E$5:$E$12, MATCH(OpenLCAbasic!K5868,LookUps!$D$5:$D$12,0))))</f>
        <v>Cumulative Energy Demand (CED) - MJ</v>
      </c>
      <c r="M5868" s="154" t="str">
        <f t="shared" si="410"/>
        <v>Low_Base_High_Upgraded_Cumulative Energy Demand (CED) - MJ_Effluent release; wastewater treatment unit; at surface water; m3 wastewater - US_Without Amendment_Windrow</v>
      </c>
    </row>
    <row r="5869" spans="1:13" s="120" customFormat="1" x14ac:dyDescent="0.25">
      <c r="A5869" s="119"/>
      <c r="B5869" s="138" t="str">
        <f t="shared" si="415"/>
        <v>Windrow</v>
      </c>
      <c r="C5869" s="138" t="str">
        <f t="shared" si="411"/>
        <v>Without Amendment</v>
      </c>
      <c r="D5869" s="138" t="str">
        <f t="shared" si="414"/>
        <v>Base_High</v>
      </c>
      <c r="E5869" s="138" t="str">
        <f t="shared" si="412"/>
        <v>Low</v>
      </c>
      <c r="F5869" s="138" t="str">
        <f t="shared" si="416"/>
        <v>Upgraded</v>
      </c>
      <c r="G5869" s="153"/>
      <c r="H5869" s="210">
        <v>0.28239999999999998</v>
      </c>
      <c r="I5869" s="160" t="s">
        <v>59</v>
      </c>
      <c r="J5869" s="160">
        <v>0.10638</v>
      </c>
      <c r="K5869" s="160" t="s">
        <v>15</v>
      </c>
      <c r="L5869" s="154" t="str">
        <f>IF(OpenLCAbasic!K5869="CTUh", "Fill in Manually",IF(OR(K5869="Unit", K5869=""), "", INDEX(LookUps!$E$5:$E$12, MATCH(OpenLCAbasic!K5869,LookUps!$D$5:$D$12,0))))</f>
        <v>Cumulative Energy Demand (CED) - MJ</v>
      </c>
      <c r="M5869" s="154" t="str">
        <f t="shared" si="410"/>
        <v>Low_Base_High_Upgraded_Cumulative Energy Demand (CED) - MJ_Blend Tank; wastewater treatment unit; at updated plant - US_Without Amendment_Windrow</v>
      </c>
    </row>
    <row r="5870" spans="1:13" s="120" customFormat="1" x14ac:dyDescent="0.25">
      <c r="A5870" s="119"/>
      <c r="B5870" s="138" t="str">
        <f t="shared" si="415"/>
        <v>Windrow</v>
      </c>
      <c r="C5870" s="138" t="str">
        <f t="shared" si="411"/>
        <v>Without Amendment</v>
      </c>
      <c r="D5870" s="138" t="str">
        <f t="shared" si="414"/>
        <v>Base_High</v>
      </c>
      <c r="E5870" s="138" t="str">
        <f t="shared" si="412"/>
        <v>Low</v>
      </c>
      <c r="F5870" s="138" t="str">
        <f t="shared" si="416"/>
        <v>Upgraded</v>
      </c>
      <c r="G5870" s="153"/>
      <c r="H5870" s="210">
        <v>0.13519999999999999</v>
      </c>
      <c r="I5870" s="160" t="s">
        <v>168</v>
      </c>
      <c r="J5870" s="160">
        <v>5.0930000000000003E-2</v>
      </c>
      <c r="K5870" s="160" t="s">
        <v>15</v>
      </c>
      <c r="L5870" s="154" t="str">
        <f>IF(OpenLCAbasic!K5870="CTUh", "Fill in Manually",IF(OR(K5870="Unit", K5870=""), "", INDEX(LookUps!$E$5:$E$12, MATCH(OpenLCAbasic!K5870,LookUps!$D$5:$D$12,0))))</f>
        <v>Cumulative Energy Demand (CED) - MJ</v>
      </c>
      <c r="M5870" s="154" t="str">
        <f t="shared" si="410"/>
        <v>Low_Base_High_Upgraded_Cumulative Energy Demand (CED) - MJ_ClearCove SCP; wastewater treatment unit; at updated plant - US_Without Amendment_Windrow</v>
      </c>
    </row>
    <row r="5871" spans="1:13" s="120" customFormat="1" x14ac:dyDescent="0.25">
      <c r="A5871" s="119"/>
      <c r="B5871" s="138" t="str">
        <f t="shared" si="415"/>
        <v>Windrow</v>
      </c>
      <c r="C5871" s="138" t="str">
        <f t="shared" si="411"/>
        <v>Without Amendment</v>
      </c>
      <c r="D5871" s="138" t="str">
        <f t="shared" si="414"/>
        <v>Base_High</v>
      </c>
      <c r="E5871" s="138" t="str">
        <f t="shared" si="412"/>
        <v>Low</v>
      </c>
      <c r="F5871" s="138" t="str">
        <f t="shared" si="416"/>
        <v>Upgraded</v>
      </c>
      <c r="G5871" s="153"/>
      <c r="H5871" s="210">
        <v>4.8500000000000001E-2</v>
      </c>
      <c r="I5871" s="160" t="s">
        <v>271</v>
      </c>
      <c r="J5871" s="160">
        <v>1.8270000000000002E-2</v>
      </c>
      <c r="K5871" s="160" t="s">
        <v>15</v>
      </c>
      <c r="L5871" s="154" t="str">
        <f>IF(OpenLCAbasic!K5871="CTUh", "Fill in Manually",IF(OR(K5871="Unit", K5871=""), "", INDEX(LookUps!$E$5:$E$12, MATCH(OpenLCAbasic!K5871,LookUps!$D$5:$D$12,0))))</f>
        <v>Cumulative Energy Demand (CED) - MJ</v>
      </c>
      <c r="M5871" s="154" t="str">
        <f t="shared" si="410"/>
        <v>Low_Base_High_Upgraded_Cumulative Energy Demand (CED) - MJ_Biosolids composting; windrow composting; wastewater treatment unit; at updated plant - US_Without Amendment_Windrow</v>
      </c>
    </row>
    <row r="5872" spans="1:13" s="120" customFormat="1" x14ac:dyDescent="0.25">
      <c r="A5872" s="119"/>
      <c r="B5872" s="138" t="str">
        <f t="shared" si="415"/>
        <v>Windrow</v>
      </c>
      <c r="C5872" s="138" t="str">
        <f t="shared" si="411"/>
        <v>Without Amendment</v>
      </c>
      <c r="D5872" s="138" t="str">
        <f t="shared" si="414"/>
        <v>Base_High</v>
      </c>
      <c r="E5872" s="138" t="str">
        <f t="shared" si="412"/>
        <v>Low</v>
      </c>
      <c r="F5872" s="138" t="str">
        <f t="shared" si="416"/>
        <v>Upgraded</v>
      </c>
      <c r="G5872" s="153"/>
      <c r="H5872" s="210">
        <v>-0.77270000000000005</v>
      </c>
      <c r="I5872" s="160" t="s">
        <v>62</v>
      </c>
      <c r="J5872" s="160">
        <v>-0.29110999999999998</v>
      </c>
      <c r="K5872" s="160" t="s">
        <v>15</v>
      </c>
      <c r="L5872" s="154" t="str">
        <f>IF(OpenLCAbasic!K5872="CTUh", "Fill in Manually",IF(OR(K5872="Unit", K5872=""), "", INDEX(LookUps!$E$5:$E$12, MATCH(OpenLCAbasic!K5872,LookUps!$D$5:$D$12,0))))</f>
        <v>Cumulative Energy Demand (CED) - MJ</v>
      </c>
      <c r="M5872" s="154" t="str">
        <f t="shared" si="410"/>
        <v>Low_Base_High_Upgraded_Cumulative Energy Demand (CED) - MJ_Land application of compost; wastewater treatment unit; at updated plant - US_Without Amendment_Windrow</v>
      </c>
    </row>
    <row r="5873" spans="1:13" s="120" customFormat="1" x14ac:dyDescent="0.25">
      <c r="A5873" s="119"/>
      <c r="B5873" s="138" t="str">
        <f t="shared" si="415"/>
        <v>Windrow</v>
      </c>
      <c r="C5873" s="138" t="str">
        <f t="shared" si="411"/>
        <v>Without Amendment</v>
      </c>
      <c r="D5873" s="138" t="str">
        <f t="shared" si="414"/>
        <v>Base_High</v>
      </c>
      <c r="E5873" s="138" t="str">
        <f t="shared" si="412"/>
        <v>Low</v>
      </c>
      <c r="F5873" s="138" t="str">
        <f t="shared" si="416"/>
        <v>Upgraded</v>
      </c>
      <c r="G5873" s="153"/>
      <c r="H5873" s="210">
        <v>-30.027200000000001</v>
      </c>
      <c r="I5873" s="160" t="s">
        <v>149</v>
      </c>
      <c r="J5873" s="160">
        <v>-11.31259</v>
      </c>
      <c r="K5873" s="160" t="s">
        <v>15</v>
      </c>
      <c r="L5873" s="154" t="str">
        <f>IF(OpenLCAbasic!K5873="CTUh", "Fill in Manually",IF(OR(K5873="Unit", K5873=""), "", INDEX(LookUps!$E$5:$E$12, MATCH(OpenLCAbasic!K5873,LookUps!$D$5:$D$12,0))))</f>
        <v>Cumulative Energy Demand (CED) - MJ</v>
      </c>
      <c r="M5873" s="154" t="str">
        <f t="shared" si="410"/>
        <v>Low_Base_High_Upgraded_Cumulative Energy Demand (CED) - MJ_Anaerobic Digestion; wastewater treatment unit; at updated plant - US_Without Amendment_Windrow</v>
      </c>
    </row>
    <row r="5874" spans="1:13" s="120" customFormat="1" x14ac:dyDescent="0.25">
      <c r="A5874" s="119"/>
      <c r="B5874" s="138" t="str">
        <f t="shared" si="415"/>
        <v/>
      </c>
      <c r="C5874" s="138" t="str">
        <f t="shared" si="411"/>
        <v/>
      </c>
      <c r="D5874" s="138" t="str">
        <f t="shared" si="414"/>
        <v/>
      </c>
      <c r="E5874" s="138" t="str">
        <f t="shared" si="412"/>
        <v/>
      </c>
      <c r="F5874" s="138" t="str">
        <f t="shared" si="416"/>
        <v/>
      </c>
      <c r="G5874" s="153" t="s">
        <v>51</v>
      </c>
      <c r="H5874" s="160"/>
      <c r="I5874" s="160" t="s">
        <v>47</v>
      </c>
      <c r="J5874" s="160" t="s">
        <v>52</v>
      </c>
      <c r="K5874" s="160" t="s">
        <v>27</v>
      </c>
      <c r="L5874" s="154" t="str">
        <f>IF(OpenLCAbasic!K5874="CTUh", "Fill in Manually",IF(OR(K5874="Unit", K5874=""), "", INDEX(LookUps!$E$5:$E$12, MATCH(OpenLCAbasic!K5874,LookUps!$D$5:$D$12,0))))</f>
        <v/>
      </c>
      <c r="M5874" s="154" t="str">
        <f t="shared" si="410"/>
        <v>____Process__</v>
      </c>
    </row>
    <row r="5875" spans="1:13" s="120" customFormat="1" x14ac:dyDescent="0.25">
      <c r="A5875" s="119"/>
      <c r="B5875" s="138" t="str">
        <f t="shared" si="415"/>
        <v>Windrow</v>
      </c>
      <c r="C5875" s="138" t="str">
        <f t="shared" si="411"/>
        <v>Without Amendment</v>
      </c>
      <c r="D5875" s="138" t="str">
        <f t="shared" si="414"/>
        <v>Base_High</v>
      </c>
      <c r="E5875" s="138" t="str">
        <f t="shared" si="412"/>
        <v>Low</v>
      </c>
      <c r="F5875" s="138" t="str">
        <f t="shared" si="416"/>
        <v>Upgraded</v>
      </c>
      <c r="G5875" s="153"/>
      <c r="H5875" s="210">
        <v>0.86950000000000005</v>
      </c>
      <c r="I5875" s="160" t="s">
        <v>48</v>
      </c>
      <c r="J5875" s="160">
        <v>1.1610000000000001E-2</v>
      </c>
      <c r="K5875" s="160" t="s">
        <v>13</v>
      </c>
      <c r="L5875" s="154" t="str">
        <f>IF(OpenLCAbasic!K5875="CTUh", "Fill in Manually",IF(OR(K5875="Unit", K5875=""), "", INDEX(LookUps!$E$5:$E$12, MATCH(OpenLCAbasic!K5875,LookUps!$D$5:$D$12,0))))</f>
        <v>Eutrophication Potential (EP) - kg N eq</v>
      </c>
      <c r="M5875" s="154" t="str">
        <f t="shared" si="410"/>
        <v>Low_Base_High_Upgraded_Eutrophication Potential (EP) - kg N eq_Effluent release; wastewater treatment unit; at surface water; m3 wastewater - US_Without Amendment_Windrow</v>
      </c>
    </row>
    <row r="5876" spans="1:13" s="120" customFormat="1" x14ac:dyDescent="0.25">
      <c r="A5876" s="119"/>
      <c r="B5876" s="138" t="str">
        <f t="shared" si="415"/>
        <v>Windrow</v>
      </c>
      <c r="C5876" s="138" t="str">
        <f t="shared" si="411"/>
        <v>Without Amendment</v>
      </c>
      <c r="D5876" s="138" t="str">
        <f t="shared" si="414"/>
        <v>Base_High</v>
      </c>
      <c r="E5876" s="138" t="str">
        <f t="shared" si="412"/>
        <v>Low</v>
      </c>
      <c r="F5876" s="138" t="str">
        <f t="shared" si="416"/>
        <v>Upgraded</v>
      </c>
      <c r="G5876" s="153"/>
      <c r="H5876" s="210">
        <v>9.6699999999999994E-2</v>
      </c>
      <c r="I5876" s="160" t="s">
        <v>62</v>
      </c>
      <c r="J5876" s="160">
        <v>1.2899999999999999E-3</v>
      </c>
      <c r="K5876" s="160" t="s">
        <v>13</v>
      </c>
      <c r="L5876" s="154" t="str">
        <f>IF(OpenLCAbasic!K5876="CTUh", "Fill in Manually",IF(OR(K5876="Unit", K5876=""), "", INDEX(LookUps!$E$5:$E$12, MATCH(OpenLCAbasic!K5876,LookUps!$D$5:$D$12,0))))</f>
        <v>Eutrophication Potential (EP) - kg N eq</v>
      </c>
      <c r="M5876" s="154" t="str">
        <f t="shared" si="410"/>
        <v>Low_Base_High_Upgraded_Eutrophication Potential (EP) - kg N eq_Land application of compost; wastewater treatment unit; at updated plant - US_Without Amendment_Windrow</v>
      </c>
    </row>
    <row r="5877" spans="1:13" s="120" customFormat="1" x14ac:dyDescent="0.25">
      <c r="A5877" s="119"/>
      <c r="B5877" s="138" t="str">
        <f t="shared" si="415"/>
        <v>Windrow</v>
      </c>
      <c r="C5877" s="138" t="str">
        <f t="shared" si="411"/>
        <v>Without Amendment</v>
      </c>
      <c r="D5877" s="138" t="str">
        <f t="shared" si="414"/>
        <v>Base_High</v>
      </c>
      <c r="E5877" s="138" t="str">
        <f t="shared" si="412"/>
        <v>Low</v>
      </c>
      <c r="F5877" s="138" t="str">
        <f t="shared" si="416"/>
        <v>Upgraded</v>
      </c>
      <c r="G5877" s="153"/>
      <c r="H5877" s="210">
        <v>4.0899999999999999E-2</v>
      </c>
      <c r="I5877" s="160" t="s">
        <v>55</v>
      </c>
      <c r="J5877" s="160">
        <v>5.5000000000000003E-4</v>
      </c>
      <c r="K5877" s="160" t="s">
        <v>13</v>
      </c>
      <c r="L5877" s="154" t="str">
        <f>IF(OpenLCAbasic!K5877="CTUh", "Fill in Manually",IF(OR(K5877="Unit", K5877=""), "", INDEX(LookUps!$E$5:$E$12, MATCH(OpenLCAbasic!K5877,LookUps!$D$5:$D$12,0))))</f>
        <v>Eutrophication Potential (EP) - kg N eq</v>
      </c>
      <c r="M5877" s="154" t="str">
        <f t="shared" si="410"/>
        <v>Low_Base_High_Upgraded_Eutrophication Potential (EP) - kg N eq_Aeration Tanks; wastewater treatment unit; at updated plant - US_Without Amendment_Windrow</v>
      </c>
    </row>
    <row r="5878" spans="1:13" s="120" customFormat="1" x14ac:dyDescent="0.25">
      <c r="A5878" s="119"/>
      <c r="B5878" s="138" t="str">
        <f t="shared" si="415"/>
        <v>Windrow</v>
      </c>
      <c r="C5878" s="138" t="str">
        <f t="shared" si="411"/>
        <v>Without Amendment</v>
      </c>
      <c r="D5878" s="138" t="str">
        <f t="shared" si="414"/>
        <v>Base_High</v>
      </c>
      <c r="E5878" s="138" t="str">
        <f t="shared" si="412"/>
        <v>Low</v>
      </c>
      <c r="F5878" s="138" t="str">
        <f t="shared" si="416"/>
        <v>Upgraded</v>
      </c>
      <c r="G5878" s="153"/>
      <c r="H5878" s="210">
        <v>1.8700000000000001E-2</v>
      </c>
      <c r="I5878" s="160" t="s">
        <v>147</v>
      </c>
      <c r="J5878" s="160">
        <v>2.5000000000000001E-4</v>
      </c>
      <c r="K5878" s="160" t="s">
        <v>13</v>
      </c>
      <c r="L5878" s="154" t="str">
        <f>IF(OpenLCAbasic!K5878="CTUh", "Fill in Manually",IF(OR(K5878="Unit", K5878=""), "", INDEX(LookUps!$E$5:$E$12, MATCH(OpenLCAbasic!K5878,LookUps!$D$5:$D$12,0))))</f>
        <v>Eutrophication Potential (EP) - kg N eq</v>
      </c>
      <c r="M5878" s="154" t="str">
        <f t="shared" si="410"/>
        <v>Low_Base_High_Upgraded_Eutrophication Potential (EP) - kg N eq_Influent Pump Station; wastewater treatment unit; at updated plant - US_Without Amendment_Windrow</v>
      </c>
    </row>
    <row r="5879" spans="1:13" s="120" customFormat="1" x14ac:dyDescent="0.25">
      <c r="A5879" s="119"/>
      <c r="B5879" s="138" t="str">
        <f t="shared" si="415"/>
        <v>Windrow</v>
      </c>
      <c r="C5879" s="138" t="str">
        <f t="shared" si="411"/>
        <v>Without Amendment</v>
      </c>
      <c r="D5879" s="138" t="str">
        <f t="shared" si="414"/>
        <v>Base_High</v>
      </c>
      <c r="E5879" s="138" t="str">
        <f t="shared" si="412"/>
        <v>Low</v>
      </c>
      <c r="F5879" s="138" t="str">
        <f t="shared" si="416"/>
        <v>Upgraded</v>
      </c>
      <c r="G5879" s="153"/>
      <c r="H5879" s="210">
        <v>1.4800000000000001E-2</v>
      </c>
      <c r="I5879" s="160" t="s">
        <v>54</v>
      </c>
      <c r="J5879" s="160">
        <v>2.0000000000000001E-4</v>
      </c>
      <c r="K5879" s="160" t="s">
        <v>13</v>
      </c>
      <c r="L5879" s="154" t="str">
        <f>IF(OpenLCAbasic!K5879="CTUh", "Fill in Manually",IF(OR(K5879="Unit", K5879=""), "", INDEX(LookUps!$E$5:$E$12, MATCH(OpenLCAbasic!K5879,LookUps!$D$5:$D$12,0))))</f>
        <v>Eutrophication Potential (EP) - kg N eq</v>
      </c>
      <c r="M5879" s="154" t="str">
        <f t="shared" si="410"/>
        <v>Low_Base_High_Upgraded_Eutrophication Potential (EP) - kg N eq_Clear Cove Primary Clarification; wastewater treatment unit; at updated plant - US_Without Amendment_Windrow</v>
      </c>
    </row>
    <row r="5880" spans="1:13" s="120" customFormat="1" x14ac:dyDescent="0.25">
      <c r="A5880" s="119"/>
      <c r="B5880" s="138" t="str">
        <f t="shared" si="415"/>
        <v>Windrow</v>
      </c>
      <c r="C5880" s="138" t="str">
        <f t="shared" si="411"/>
        <v>Without Amendment</v>
      </c>
      <c r="D5880" s="138" t="str">
        <f t="shared" si="414"/>
        <v>Base_High</v>
      </c>
      <c r="E5880" s="138" t="str">
        <f t="shared" si="412"/>
        <v>Low</v>
      </c>
      <c r="F5880" s="138" t="str">
        <f t="shared" si="416"/>
        <v>Upgraded</v>
      </c>
      <c r="G5880" s="153"/>
      <c r="H5880" s="210">
        <v>1.23E-2</v>
      </c>
      <c r="I5880" s="160" t="s">
        <v>167</v>
      </c>
      <c r="J5880" s="160">
        <v>1.6000000000000001E-4</v>
      </c>
      <c r="K5880" s="160" t="s">
        <v>13</v>
      </c>
      <c r="L5880" s="154" t="str">
        <f>IF(OpenLCAbasic!K5880="CTUh", "Fill in Manually",IF(OR(K5880="Unit", K5880=""), "", INDEX(LookUps!$E$5:$E$12, MATCH(OpenLCAbasic!K5880,LookUps!$D$5:$D$12,0))))</f>
        <v>Eutrophication Potential (EP) - kg N eq</v>
      </c>
      <c r="M5880" s="154" t="str">
        <f t="shared" si="410"/>
        <v>Low_Base_High_Upgraded_Eutrophication Potential (EP) - kg N eq_Waste Receiving and Holding; wastewater treatment unit; at updated plant - US_Without Amendment_Windrow</v>
      </c>
    </row>
    <row r="5881" spans="1:13" s="120" customFormat="1" x14ac:dyDescent="0.25">
      <c r="A5881" s="119"/>
      <c r="B5881" s="138" t="str">
        <f t="shared" si="415"/>
        <v>Windrow</v>
      </c>
      <c r="C5881" s="138" t="str">
        <f t="shared" si="411"/>
        <v>Without Amendment</v>
      </c>
      <c r="D5881" s="138" t="str">
        <f t="shared" si="414"/>
        <v>Base_High</v>
      </c>
      <c r="E5881" s="138" t="str">
        <f t="shared" si="412"/>
        <v>Low</v>
      </c>
      <c r="F5881" s="138" t="str">
        <f t="shared" si="416"/>
        <v>Upgraded</v>
      </c>
      <c r="G5881" s="153"/>
      <c r="H5881" s="210">
        <v>1.01E-2</v>
      </c>
      <c r="I5881" s="160" t="s">
        <v>58</v>
      </c>
      <c r="J5881" s="160">
        <v>1.3999999999999999E-4</v>
      </c>
      <c r="K5881" s="160" t="s">
        <v>13</v>
      </c>
      <c r="L5881" s="154" t="str">
        <f>IF(OpenLCAbasic!K5881="CTUh", "Fill in Manually",IF(OR(K5881="Unit", K5881=""), "", INDEX(LookUps!$E$5:$E$12, MATCH(OpenLCAbasic!K5881,LookUps!$D$5:$D$12,0))))</f>
        <v>Eutrophication Potential (EP) - kg N eq</v>
      </c>
      <c r="M5881" s="154" t="str">
        <f t="shared" si="410"/>
        <v>Low_Base_High_Upgraded_Eutrophication Potential (EP) - kg N eq_Pre-Anoxic &amp; Swing tank; wastewater treatment unit; at updated plant - US_Without Amendment_Windrow</v>
      </c>
    </row>
    <row r="5882" spans="1:13" s="120" customFormat="1" x14ac:dyDescent="0.25">
      <c r="A5882" s="119"/>
      <c r="B5882" s="138" t="str">
        <f t="shared" si="415"/>
        <v>Windrow</v>
      </c>
      <c r="C5882" s="138" t="str">
        <f t="shared" si="411"/>
        <v>Without Amendment</v>
      </c>
      <c r="D5882" s="138" t="str">
        <f t="shared" si="414"/>
        <v>Base_High</v>
      </c>
      <c r="E5882" s="138" t="str">
        <f t="shared" si="412"/>
        <v>Low</v>
      </c>
      <c r="F5882" s="138" t="str">
        <f t="shared" si="416"/>
        <v>Upgraded</v>
      </c>
      <c r="G5882" s="153"/>
      <c r="H5882" s="210">
        <v>8.0000000000000002E-3</v>
      </c>
      <c r="I5882" s="160" t="s">
        <v>53</v>
      </c>
      <c r="J5882" s="160">
        <v>1.1E-4</v>
      </c>
      <c r="K5882" s="160" t="s">
        <v>13</v>
      </c>
      <c r="L5882" s="154" t="str">
        <f>IF(OpenLCAbasic!K5882="CTUh", "Fill in Manually",IF(OR(K5882="Unit", K5882=""), "", INDEX(LookUps!$E$5:$E$12, MATCH(OpenLCAbasic!K5882,LookUps!$D$5:$D$12,0))))</f>
        <v>Eutrophication Potential (EP) - kg N eq</v>
      </c>
      <c r="M5882" s="154" t="str">
        <f t="shared" si="410"/>
        <v>Low_Base_High_Upgraded_Eutrophication Potential (EP) - kg N eq_Wet Well and Sump Station; wastewater treatment unit; at updated plant - US_Without Amendment_Windrow</v>
      </c>
    </row>
    <row r="5883" spans="1:13" s="120" customFormat="1" x14ac:dyDescent="0.25">
      <c r="A5883" s="119"/>
      <c r="B5883" s="138" t="str">
        <f t="shared" si="415"/>
        <v>Windrow</v>
      </c>
      <c r="C5883" s="138" t="str">
        <f t="shared" si="411"/>
        <v>Without Amendment</v>
      </c>
      <c r="D5883" s="138" t="str">
        <f t="shared" si="414"/>
        <v>Base_High</v>
      </c>
      <c r="E5883" s="138" t="str">
        <f t="shared" si="412"/>
        <v>Low</v>
      </c>
      <c r="F5883" s="138" t="str">
        <f t="shared" si="416"/>
        <v>Upgraded</v>
      </c>
      <c r="G5883" s="153"/>
      <c r="H5883" s="210">
        <v>4.4999999999999997E-3</v>
      </c>
      <c r="I5883" s="160" t="s">
        <v>57</v>
      </c>
      <c r="J5883" s="211">
        <v>6.0590300000000002E-5</v>
      </c>
      <c r="K5883" s="160" t="s">
        <v>13</v>
      </c>
      <c r="L5883" s="154" t="str">
        <f>IF(OpenLCAbasic!K5883="CTUh", "Fill in Manually",IF(OR(K5883="Unit", K5883=""), "", INDEX(LookUps!$E$5:$E$12, MATCH(OpenLCAbasic!K5883,LookUps!$D$5:$D$12,0))))</f>
        <v>Eutrophication Potential (EP) - kg N eq</v>
      </c>
      <c r="M5883" s="154" t="str">
        <f t="shared" ref="M5883:M5946" si="417">CONCATENATE(E5883,"_",D5883,"_",F5883,"_",L5883, "_",I5883,"_", C5883,"_", B5883)</f>
        <v>Low_Base_High_Upgraded_Eutrophication Potential (EP) - kg N eq_Gravity Belt Thickener; wastewater treatment unit; at updated plant - US_Without Amendment_Windrow</v>
      </c>
    </row>
    <row r="5884" spans="1:13" s="120" customFormat="1" x14ac:dyDescent="0.25">
      <c r="A5884" s="119"/>
      <c r="B5884" s="138" t="str">
        <f t="shared" si="415"/>
        <v>Windrow</v>
      </c>
      <c r="C5884" s="138" t="str">
        <f t="shared" si="411"/>
        <v>Without Amendment</v>
      </c>
      <c r="D5884" s="138" t="str">
        <f t="shared" si="414"/>
        <v>Base_High</v>
      </c>
      <c r="E5884" s="138" t="str">
        <f t="shared" si="412"/>
        <v>Low</v>
      </c>
      <c r="F5884" s="138" t="str">
        <f t="shared" si="416"/>
        <v>Upgraded</v>
      </c>
      <c r="G5884" s="153"/>
      <c r="H5884" s="210">
        <v>3.7000000000000002E-3</v>
      </c>
      <c r="I5884" s="160" t="s">
        <v>60</v>
      </c>
      <c r="J5884" s="211">
        <v>4.8791500000000002E-5</v>
      </c>
      <c r="K5884" s="160" t="s">
        <v>13</v>
      </c>
      <c r="L5884" s="154" t="str">
        <f>IF(OpenLCAbasic!K5884="CTUh", "Fill in Manually",IF(OR(K5884="Unit", K5884=""), "", INDEX(LookUps!$E$5:$E$12, MATCH(OpenLCAbasic!K5884,LookUps!$D$5:$D$12,0))))</f>
        <v>Eutrophication Potential (EP) - kg N eq</v>
      </c>
      <c r="M5884" s="154" t="str">
        <f t="shared" si="417"/>
        <v>Low_Base_High_Upgraded_Eutrophication Potential (EP) - kg N eq_Belt filter press; wastewater treatment unit; at updated plant - US_Without Amendment_Windrow</v>
      </c>
    </row>
    <row r="5885" spans="1:13" s="120" customFormat="1" x14ac:dyDescent="0.25">
      <c r="A5885" s="119"/>
      <c r="B5885" s="138" t="str">
        <f t="shared" si="415"/>
        <v>Windrow</v>
      </c>
      <c r="C5885" s="138" t="str">
        <f t="shared" si="411"/>
        <v>Without Amendment</v>
      </c>
      <c r="D5885" s="138" t="str">
        <f t="shared" si="414"/>
        <v>Base_High</v>
      </c>
      <c r="E5885" s="138" t="str">
        <f t="shared" si="412"/>
        <v>Low</v>
      </c>
      <c r="F5885" s="138" t="str">
        <f t="shared" si="416"/>
        <v>Upgraded</v>
      </c>
      <c r="G5885" s="153"/>
      <c r="H5885" s="210">
        <v>3.0000000000000001E-3</v>
      </c>
      <c r="I5885" s="160" t="s">
        <v>271</v>
      </c>
      <c r="J5885" s="211">
        <v>3.9876899999999998E-5</v>
      </c>
      <c r="K5885" s="160" t="s">
        <v>13</v>
      </c>
      <c r="L5885" s="154" t="str">
        <f>IF(OpenLCAbasic!K5885="CTUh", "Fill in Manually",IF(OR(K5885="Unit", K5885=""), "", INDEX(LookUps!$E$5:$E$12, MATCH(OpenLCAbasic!K5885,LookUps!$D$5:$D$12,0))))</f>
        <v>Eutrophication Potential (EP) - kg N eq</v>
      </c>
      <c r="M5885" s="154" t="str">
        <f t="shared" si="417"/>
        <v>Low_Base_High_Upgraded_Eutrophication Potential (EP) - kg N eq_Biosolids composting; windrow composting; wastewater treatment unit; at updated plant - US_Without Amendment_Windrow</v>
      </c>
    </row>
    <row r="5886" spans="1:13" s="120" customFormat="1" x14ac:dyDescent="0.25">
      <c r="A5886" s="119"/>
      <c r="B5886" s="138" t="str">
        <f t="shared" si="415"/>
        <v>Windrow</v>
      </c>
      <c r="C5886" s="138" t="str">
        <f t="shared" si="411"/>
        <v>Without Amendment</v>
      </c>
      <c r="D5886" s="138" t="str">
        <f t="shared" si="414"/>
        <v>Base_High</v>
      </c>
      <c r="E5886" s="138" t="str">
        <f t="shared" si="412"/>
        <v>Low</v>
      </c>
      <c r="F5886" s="138" t="str">
        <f t="shared" si="416"/>
        <v>Upgraded</v>
      </c>
      <c r="G5886" s="153"/>
      <c r="H5886" s="210">
        <v>2.8E-3</v>
      </c>
      <c r="I5886" s="160" t="s">
        <v>128</v>
      </c>
      <c r="J5886" s="211">
        <v>3.7559799999999999E-5</v>
      </c>
      <c r="K5886" s="160" t="s">
        <v>13</v>
      </c>
      <c r="L5886" s="154" t="str">
        <f>IF(OpenLCAbasic!K5886="CTUh", "Fill in Manually",IF(OR(K5886="Unit", K5886=""), "", INDEX(LookUps!$E$5:$E$12, MATCH(OpenLCAbasic!K5886,LookUps!$D$5:$D$12,0))))</f>
        <v>Eutrophication Potential (EP) - kg N eq</v>
      </c>
      <c r="M5886" s="154" t="str">
        <f t="shared" si="417"/>
        <v>Low_Base_High_Upgraded_Eutrophication Potential (EP) - kg N eq_Wastewater collection; operation and infrastructure; m3 wastewater_Without Amendment_Windrow</v>
      </c>
    </row>
    <row r="5887" spans="1:13" s="120" customFormat="1" x14ac:dyDescent="0.25">
      <c r="A5887" s="119"/>
      <c r="B5887" s="138" t="str">
        <f t="shared" si="415"/>
        <v>Windrow</v>
      </c>
      <c r="C5887" s="138" t="str">
        <f t="shared" si="411"/>
        <v>Without Amendment</v>
      </c>
      <c r="D5887" s="138" t="str">
        <f t="shared" si="414"/>
        <v>Base_High</v>
      </c>
      <c r="E5887" s="138" t="str">
        <f t="shared" si="412"/>
        <v>Low</v>
      </c>
      <c r="F5887" s="138" t="str">
        <f t="shared" si="416"/>
        <v>Upgraded</v>
      </c>
      <c r="G5887" s="153"/>
      <c r="H5887" s="210">
        <v>2.8E-3</v>
      </c>
      <c r="I5887" s="160" t="s">
        <v>148</v>
      </c>
      <c r="J5887" s="211">
        <v>3.6874600000000001E-5</v>
      </c>
      <c r="K5887" s="160" t="s">
        <v>13</v>
      </c>
      <c r="L5887" s="154" t="str">
        <f>IF(OpenLCAbasic!K5887="CTUh", "Fill in Manually",IF(OR(K5887="Unit", K5887=""), "", INDEX(LookUps!$E$5:$E$12, MATCH(OpenLCAbasic!K5887,LookUps!$D$5:$D$12,0))))</f>
        <v>Eutrophication Potential (EP) - kg N eq</v>
      </c>
      <c r="M5887" s="154" t="str">
        <f t="shared" si="417"/>
        <v>Low_Base_High_Upgraded_Eutrophication Potential (EP) - kg N eq_Control Building; at upgraded wastewater treatment plant - US_Without Amendment_Windrow</v>
      </c>
    </row>
    <row r="5888" spans="1:13" s="120" customFormat="1" x14ac:dyDescent="0.25">
      <c r="A5888" s="119"/>
      <c r="B5888" s="138" t="str">
        <f t="shared" si="415"/>
        <v>Windrow</v>
      </c>
      <c r="C5888" s="138" t="str">
        <f t="shared" si="411"/>
        <v>Without Amendment</v>
      </c>
      <c r="D5888" s="138" t="str">
        <f t="shared" si="414"/>
        <v>Base_High</v>
      </c>
      <c r="E5888" s="138" t="str">
        <f t="shared" si="412"/>
        <v>Low</v>
      </c>
      <c r="F5888" s="138" t="str">
        <f t="shared" si="416"/>
        <v>Upgraded</v>
      </c>
      <c r="G5888" s="153"/>
      <c r="H5888" s="210">
        <v>1.1999999999999999E-3</v>
      </c>
      <c r="I5888" s="160" t="s">
        <v>59</v>
      </c>
      <c r="J5888" s="211">
        <v>1.6215700000000001E-5</v>
      </c>
      <c r="K5888" s="160" t="s">
        <v>13</v>
      </c>
      <c r="L5888" s="154" t="str">
        <f>IF(OpenLCAbasic!K5888="CTUh", "Fill in Manually",IF(OR(K5888="Unit", K5888=""), "", INDEX(LookUps!$E$5:$E$12, MATCH(OpenLCAbasic!K5888,LookUps!$D$5:$D$12,0))))</f>
        <v>Eutrophication Potential (EP) - kg N eq</v>
      </c>
      <c r="M5888" s="154" t="str">
        <f t="shared" si="417"/>
        <v>Low_Base_High_Upgraded_Eutrophication Potential (EP) - kg N eq_Blend Tank; wastewater treatment unit; at updated plant - US_Without Amendment_Windrow</v>
      </c>
    </row>
    <row r="5889" spans="1:13" s="120" customFormat="1" x14ac:dyDescent="0.25">
      <c r="A5889" s="119"/>
      <c r="B5889" s="138" t="str">
        <f t="shared" si="415"/>
        <v>Windrow</v>
      </c>
      <c r="C5889" s="138" t="str">
        <f t="shared" ref="C5889:C5952" si="418">IF(ISNUMBER($J5889),"Without Amendment","")</f>
        <v>Without Amendment</v>
      </c>
      <c r="D5889" s="138" t="str">
        <f t="shared" si="414"/>
        <v>Base_High</v>
      </c>
      <c r="E5889" s="138" t="str">
        <f t="shared" ref="E5889:E5952" si="419">IF(ISNUMBER($J5889),"Low","")</f>
        <v>Low</v>
      </c>
      <c r="F5889" s="138" t="str">
        <f t="shared" si="416"/>
        <v>Upgraded</v>
      </c>
      <c r="G5889" s="153"/>
      <c r="H5889" s="210">
        <v>5.9999999999999995E-4</v>
      </c>
      <c r="I5889" s="160" t="s">
        <v>168</v>
      </c>
      <c r="J5889" s="211">
        <v>7.7567199999999995E-6</v>
      </c>
      <c r="K5889" s="160" t="s">
        <v>13</v>
      </c>
      <c r="L5889" s="154" t="str">
        <f>IF(OpenLCAbasic!K5889="CTUh", "Fill in Manually",IF(OR(K5889="Unit", K5889=""), "", INDEX(LookUps!$E$5:$E$12, MATCH(OpenLCAbasic!K5889,LookUps!$D$5:$D$12,0))))</f>
        <v>Eutrophication Potential (EP) - kg N eq</v>
      </c>
      <c r="M5889" s="154" t="str">
        <f t="shared" si="417"/>
        <v>Low_Base_High_Upgraded_Eutrophication Potential (EP) - kg N eq_ClearCove SCP; wastewater treatment unit; at updated plant - US_Without Amendment_Windrow</v>
      </c>
    </row>
    <row r="5890" spans="1:13" s="120" customFormat="1" x14ac:dyDescent="0.25">
      <c r="A5890" s="119"/>
      <c r="B5890" s="138" t="str">
        <f t="shared" si="415"/>
        <v>Windrow</v>
      </c>
      <c r="C5890" s="138" t="str">
        <f t="shared" si="418"/>
        <v>Without Amendment</v>
      </c>
      <c r="D5890" s="138" t="str">
        <f t="shared" si="414"/>
        <v>Base_High</v>
      </c>
      <c r="E5890" s="138" t="str">
        <f t="shared" si="419"/>
        <v>Low</v>
      </c>
      <c r="F5890" s="138" t="str">
        <f t="shared" si="416"/>
        <v>Upgraded</v>
      </c>
      <c r="G5890" s="153"/>
      <c r="H5890" s="210">
        <v>-8.9599999999999999E-2</v>
      </c>
      <c r="I5890" s="160" t="s">
        <v>149</v>
      </c>
      <c r="J5890" s="160">
        <v>-1.1999999999999999E-3</v>
      </c>
      <c r="K5890" s="160" t="s">
        <v>13</v>
      </c>
      <c r="L5890" s="154" t="str">
        <f>IF(OpenLCAbasic!K5890="CTUh", "Fill in Manually",IF(OR(K5890="Unit", K5890=""), "", INDEX(LookUps!$E$5:$E$12, MATCH(OpenLCAbasic!K5890,LookUps!$D$5:$D$12,0))))</f>
        <v>Eutrophication Potential (EP) - kg N eq</v>
      </c>
      <c r="M5890" s="154" t="str">
        <f t="shared" si="417"/>
        <v>Low_Base_High_Upgraded_Eutrophication Potential (EP) - kg N eq_Anaerobic Digestion; wastewater treatment unit; at updated plant - US_Without Amendment_Windrow</v>
      </c>
    </row>
    <row r="5891" spans="1:13" s="120" customFormat="1" x14ac:dyDescent="0.25">
      <c r="A5891" s="119"/>
      <c r="B5891" s="138" t="str">
        <f t="shared" si="415"/>
        <v/>
      </c>
      <c r="C5891" s="138" t="str">
        <f t="shared" si="418"/>
        <v/>
      </c>
      <c r="D5891" s="138" t="str">
        <f t="shared" si="414"/>
        <v/>
      </c>
      <c r="E5891" s="138" t="str">
        <f t="shared" si="419"/>
        <v/>
      </c>
      <c r="F5891" s="138" t="str">
        <f t="shared" si="416"/>
        <v/>
      </c>
      <c r="G5891" s="153" t="s">
        <v>51</v>
      </c>
      <c r="H5891" s="160"/>
      <c r="I5891" s="160" t="s">
        <v>47</v>
      </c>
      <c r="J5891" s="160" t="s">
        <v>52</v>
      </c>
      <c r="K5891" s="160" t="s">
        <v>27</v>
      </c>
      <c r="L5891" s="154" t="str">
        <f>IF(OpenLCAbasic!K5891="CTUh", "Fill in Manually",IF(OR(K5891="Unit", K5891=""), "", INDEX(LookUps!$E$5:$E$12, MATCH(OpenLCAbasic!K5891,LookUps!$D$5:$D$12,0))))</f>
        <v/>
      </c>
      <c r="M5891" s="154" t="str">
        <f t="shared" si="417"/>
        <v>____Process__</v>
      </c>
    </row>
    <row r="5892" spans="1:13" s="120" customFormat="1" x14ac:dyDescent="0.25">
      <c r="A5892" s="119"/>
      <c r="B5892" s="138" t="str">
        <f t="shared" si="415"/>
        <v>Windrow</v>
      </c>
      <c r="C5892" s="138" t="str">
        <f t="shared" si="418"/>
        <v>Without Amendment</v>
      </c>
      <c r="D5892" s="138" t="str">
        <f t="shared" si="414"/>
        <v>Base_High</v>
      </c>
      <c r="E5892" s="138" t="str">
        <f t="shared" si="419"/>
        <v>Low</v>
      </c>
      <c r="F5892" s="138" t="str">
        <f t="shared" si="416"/>
        <v>Upgraded</v>
      </c>
      <c r="G5892" s="153"/>
      <c r="H5892" s="210">
        <v>16.6172</v>
      </c>
      <c r="I5892" s="160" t="s">
        <v>167</v>
      </c>
      <c r="J5892" s="160">
        <v>7.9170000000000004E-2</v>
      </c>
      <c r="K5892" s="160" t="s">
        <v>14</v>
      </c>
      <c r="L5892" s="154" t="str">
        <f>IF(OpenLCAbasic!K5892="CTUh", "Fill in Manually",IF(OR(K5892="Unit", K5892=""), "", INDEX(LookUps!$E$5:$E$12, MATCH(OpenLCAbasic!K5892,LookUps!$D$5:$D$12,0))))</f>
        <v>Fossil Depletion Potential (FDP) - kg oil eq</v>
      </c>
      <c r="M5892" s="154" t="str">
        <f t="shared" si="417"/>
        <v>Low_Base_High_Upgraded_Fossil Depletion Potential (FDP) - kg oil eq_Waste Receiving and Holding; wastewater treatment unit; at updated plant - US_Without Amendment_Windrow</v>
      </c>
    </row>
    <row r="5893" spans="1:13" s="120" customFormat="1" x14ac:dyDescent="0.25">
      <c r="A5893" s="119"/>
      <c r="B5893" s="138" t="str">
        <f t="shared" si="415"/>
        <v>Windrow</v>
      </c>
      <c r="C5893" s="138" t="str">
        <f t="shared" si="418"/>
        <v>Without Amendment</v>
      </c>
      <c r="D5893" s="138" t="str">
        <f t="shared" si="414"/>
        <v>Base_High</v>
      </c>
      <c r="E5893" s="138" t="str">
        <f t="shared" si="419"/>
        <v>Low</v>
      </c>
      <c r="F5893" s="138" t="str">
        <f t="shared" si="416"/>
        <v>Upgraded</v>
      </c>
      <c r="G5893" s="153"/>
      <c r="H5893" s="210">
        <v>13.3474</v>
      </c>
      <c r="I5893" s="160" t="s">
        <v>55</v>
      </c>
      <c r="J5893" s="160">
        <v>6.3589999999999994E-2</v>
      </c>
      <c r="K5893" s="160" t="s">
        <v>14</v>
      </c>
      <c r="L5893" s="154" t="str">
        <f>IF(OpenLCAbasic!K5893="CTUh", "Fill in Manually",IF(OR(K5893="Unit", K5893=""), "", INDEX(LookUps!$E$5:$E$12, MATCH(OpenLCAbasic!K5893,LookUps!$D$5:$D$12,0))))</f>
        <v>Fossil Depletion Potential (FDP) - kg oil eq</v>
      </c>
      <c r="M5893" s="154" t="str">
        <f t="shared" si="417"/>
        <v>Low_Base_High_Upgraded_Fossil Depletion Potential (FDP) - kg oil eq_Aeration Tanks; wastewater treatment unit; at updated plant - US_Without Amendment_Windrow</v>
      </c>
    </row>
    <row r="5894" spans="1:13" s="120" customFormat="1" x14ac:dyDescent="0.25">
      <c r="A5894" s="119"/>
      <c r="B5894" s="138" t="str">
        <f t="shared" si="415"/>
        <v>Windrow</v>
      </c>
      <c r="C5894" s="138" t="str">
        <f t="shared" si="418"/>
        <v>Without Amendment</v>
      </c>
      <c r="D5894" s="138" t="str">
        <f t="shared" si="414"/>
        <v>Base_High</v>
      </c>
      <c r="E5894" s="138" t="str">
        <f t="shared" si="419"/>
        <v>Low</v>
      </c>
      <c r="F5894" s="138" t="str">
        <f t="shared" si="416"/>
        <v>Upgraded</v>
      </c>
      <c r="G5894" s="153"/>
      <c r="H5894" s="210">
        <v>4.4183000000000003</v>
      </c>
      <c r="I5894" s="160" t="s">
        <v>54</v>
      </c>
      <c r="J5894" s="160">
        <v>2.1049999999999999E-2</v>
      </c>
      <c r="K5894" s="160" t="s">
        <v>14</v>
      </c>
      <c r="L5894" s="154" t="str">
        <f>IF(OpenLCAbasic!K5894="CTUh", "Fill in Manually",IF(OR(K5894="Unit", K5894=""), "", INDEX(LookUps!$E$5:$E$12, MATCH(OpenLCAbasic!K5894,LookUps!$D$5:$D$12,0))))</f>
        <v>Fossil Depletion Potential (FDP) - kg oil eq</v>
      </c>
      <c r="M5894" s="154" t="str">
        <f t="shared" si="417"/>
        <v>Low_Base_High_Upgraded_Fossil Depletion Potential (FDP) - kg oil eq_Clear Cove Primary Clarification; wastewater treatment unit; at updated plant - US_Without Amendment_Windrow</v>
      </c>
    </row>
    <row r="5895" spans="1:13" s="120" customFormat="1" x14ac:dyDescent="0.25">
      <c r="A5895" s="119"/>
      <c r="B5895" s="138" t="str">
        <f t="shared" si="415"/>
        <v>Windrow</v>
      </c>
      <c r="C5895" s="138" t="str">
        <f t="shared" si="418"/>
        <v>Without Amendment</v>
      </c>
      <c r="D5895" s="138" t="str">
        <f t="shared" si="414"/>
        <v>Base_High</v>
      </c>
      <c r="E5895" s="138" t="str">
        <f t="shared" si="419"/>
        <v>Low</v>
      </c>
      <c r="F5895" s="138" t="str">
        <f t="shared" si="416"/>
        <v>Upgraded</v>
      </c>
      <c r="G5895" s="153"/>
      <c r="H5895" s="210">
        <v>3.3424</v>
      </c>
      <c r="I5895" s="160" t="s">
        <v>58</v>
      </c>
      <c r="J5895" s="160">
        <v>1.592E-2</v>
      </c>
      <c r="K5895" s="160" t="s">
        <v>14</v>
      </c>
      <c r="L5895" s="154" t="str">
        <f>IF(OpenLCAbasic!K5895="CTUh", "Fill in Manually",IF(OR(K5895="Unit", K5895=""), "", INDEX(LookUps!$E$5:$E$12, MATCH(OpenLCAbasic!K5895,LookUps!$D$5:$D$12,0))))</f>
        <v>Fossil Depletion Potential (FDP) - kg oil eq</v>
      </c>
      <c r="M5895" s="154" t="str">
        <f t="shared" si="417"/>
        <v>Low_Base_High_Upgraded_Fossil Depletion Potential (FDP) - kg oil eq_Pre-Anoxic &amp; Swing tank; wastewater treatment unit; at updated plant - US_Without Amendment_Windrow</v>
      </c>
    </row>
    <row r="5896" spans="1:13" s="120" customFormat="1" x14ac:dyDescent="0.25">
      <c r="A5896" s="119"/>
      <c r="B5896" s="138" t="str">
        <f t="shared" si="415"/>
        <v>Windrow</v>
      </c>
      <c r="C5896" s="138" t="str">
        <f t="shared" si="418"/>
        <v>Without Amendment</v>
      </c>
      <c r="D5896" s="138" t="str">
        <f t="shared" si="414"/>
        <v>Base_High</v>
      </c>
      <c r="E5896" s="138" t="str">
        <f t="shared" si="419"/>
        <v>Low</v>
      </c>
      <c r="F5896" s="138" t="str">
        <f t="shared" si="416"/>
        <v>Upgraded</v>
      </c>
      <c r="G5896" s="153"/>
      <c r="H5896" s="210">
        <v>3.1669</v>
      </c>
      <c r="I5896" s="160" t="s">
        <v>147</v>
      </c>
      <c r="J5896" s="160">
        <v>1.5089999999999999E-2</v>
      </c>
      <c r="K5896" s="160" t="s">
        <v>14</v>
      </c>
      <c r="L5896" s="154" t="str">
        <f>IF(OpenLCAbasic!K5896="CTUh", "Fill in Manually",IF(OR(K5896="Unit", K5896=""), "", INDEX(LookUps!$E$5:$E$12, MATCH(OpenLCAbasic!K5896,LookUps!$D$5:$D$12,0))))</f>
        <v>Fossil Depletion Potential (FDP) - kg oil eq</v>
      </c>
      <c r="M5896" s="154" t="str">
        <f t="shared" si="417"/>
        <v>Low_Base_High_Upgraded_Fossil Depletion Potential (FDP) - kg oil eq_Influent Pump Station; wastewater treatment unit; at updated plant - US_Without Amendment_Windrow</v>
      </c>
    </row>
    <row r="5897" spans="1:13" s="120" customFormat="1" x14ac:dyDescent="0.25">
      <c r="A5897" s="119"/>
      <c r="B5897" s="138" t="str">
        <f t="shared" si="415"/>
        <v>Windrow</v>
      </c>
      <c r="C5897" s="138" t="str">
        <f t="shared" si="418"/>
        <v>Without Amendment</v>
      </c>
      <c r="D5897" s="138" t="str">
        <f t="shared" si="414"/>
        <v>Base_High</v>
      </c>
      <c r="E5897" s="138" t="str">
        <f t="shared" si="419"/>
        <v>Low</v>
      </c>
      <c r="F5897" s="138" t="str">
        <f t="shared" si="416"/>
        <v>Upgraded</v>
      </c>
      <c r="G5897" s="153"/>
      <c r="H5897" s="210">
        <v>2.6213000000000002</v>
      </c>
      <c r="I5897" s="160" t="s">
        <v>53</v>
      </c>
      <c r="J5897" s="160">
        <v>1.2489999999999999E-2</v>
      </c>
      <c r="K5897" s="160" t="s">
        <v>14</v>
      </c>
      <c r="L5897" s="154" t="str">
        <f>IF(OpenLCAbasic!K5897="CTUh", "Fill in Manually",IF(OR(K5897="Unit", K5897=""), "", INDEX(LookUps!$E$5:$E$12, MATCH(OpenLCAbasic!K5897,LookUps!$D$5:$D$12,0))))</f>
        <v>Fossil Depletion Potential (FDP) - kg oil eq</v>
      </c>
      <c r="M5897" s="154" t="str">
        <f t="shared" si="417"/>
        <v>Low_Base_High_Upgraded_Fossil Depletion Potential (FDP) - kg oil eq_Wet Well and Sump Station; wastewater treatment unit; at updated plant - US_Without Amendment_Windrow</v>
      </c>
    </row>
    <row r="5898" spans="1:13" s="120" customFormat="1" x14ac:dyDescent="0.25">
      <c r="A5898" s="119"/>
      <c r="B5898" s="138" t="str">
        <f t="shared" si="415"/>
        <v>Windrow</v>
      </c>
      <c r="C5898" s="138" t="str">
        <f t="shared" si="418"/>
        <v>Without Amendment</v>
      </c>
      <c r="D5898" s="138" t="str">
        <f t="shared" si="414"/>
        <v>Base_High</v>
      </c>
      <c r="E5898" s="138" t="str">
        <f t="shared" si="419"/>
        <v>Low</v>
      </c>
      <c r="F5898" s="138" t="str">
        <f t="shared" si="416"/>
        <v>Upgraded</v>
      </c>
      <c r="G5898" s="153"/>
      <c r="H5898" s="210">
        <v>1.4516</v>
      </c>
      <c r="I5898" s="160" t="s">
        <v>57</v>
      </c>
      <c r="J5898" s="160">
        <v>6.9199999999999999E-3</v>
      </c>
      <c r="K5898" s="160" t="s">
        <v>14</v>
      </c>
      <c r="L5898" s="154" t="str">
        <f>IF(OpenLCAbasic!K5898="CTUh", "Fill in Manually",IF(OR(K5898="Unit", K5898=""), "", INDEX(LookUps!$E$5:$E$12, MATCH(OpenLCAbasic!K5898,LookUps!$D$5:$D$12,0))))</f>
        <v>Fossil Depletion Potential (FDP) - kg oil eq</v>
      </c>
      <c r="M5898" s="154" t="str">
        <f t="shared" si="417"/>
        <v>Low_Base_High_Upgraded_Fossil Depletion Potential (FDP) - kg oil eq_Gravity Belt Thickener; wastewater treatment unit; at updated plant - US_Without Amendment_Windrow</v>
      </c>
    </row>
    <row r="5899" spans="1:13" s="120" customFormat="1" x14ac:dyDescent="0.25">
      <c r="A5899" s="119"/>
      <c r="B5899" s="138" t="str">
        <f t="shared" si="415"/>
        <v>Windrow</v>
      </c>
      <c r="C5899" s="138" t="str">
        <f t="shared" si="418"/>
        <v>Without Amendment</v>
      </c>
      <c r="D5899" s="138" t="str">
        <f t="shared" si="414"/>
        <v>Base_High</v>
      </c>
      <c r="E5899" s="138" t="str">
        <f t="shared" si="419"/>
        <v>Low</v>
      </c>
      <c r="F5899" s="138" t="str">
        <f t="shared" si="416"/>
        <v>Upgraded</v>
      </c>
      <c r="G5899" s="153"/>
      <c r="H5899" s="210">
        <v>1.1756</v>
      </c>
      <c r="I5899" s="160" t="s">
        <v>60</v>
      </c>
      <c r="J5899" s="160">
        <v>5.5999999999999999E-3</v>
      </c>
      <c r="K5899" s="160" t="s">
        <v>14</v>
      </c>
      <c r="L5899" s="154" t="str">
        <f>IF(OpenLCAbasic!K5899="CTUh", "Fill in Manually",IF(OR(K5899="Unit", K5899=""), "", INDEX(LookUps!$E$5:$E$12, MATCH(OpenLCAbasic!K5899,LookUps!$D$5:$D$12,0))))</f>
        <v>Fossil Depletion Potential (FDP) - kg oil eq</v>
      </c>
      <c r="M5899" s="154" t="str">
        <f t="shared" si="417"/>
        <v>Low_Base_High_Upgraded_Fossil Depletion Potential (FDP) - kg oil eq_Belt filter press; wastewater treatment unit; at updated plant - US_Without Amendment_Windrow</v>
      </c>
    </row>
    <row r="5900" spans="1:13" s="120" customFormat="1" x14ac:dyDescent="0.25">
      <c r="A5900" s="119"/>
      <c r="B5900" s="138" t="str">
        <f t="shared" si="415"/>
        <v>Windrow</v>
      </c>
      <c r="C5900" s="138" t="str">
        <f t="shared" si="418"/>
        <v>Without Amendment</v>
      </c>
      <c r="D5900" s="138" t="str">
        <f t="shared" si="414"/>
        <v>Base_High</v>
      </c>
      <c r="E5900" s="138" t="str">
        <f t="shared" si="419"/>
        <v>Low</v>
      </c>
      <c r="F5900" s="138" t="str">
        <f t="shared" si="416"/>
        <v>Upgraded</v>
      </c>
      <c r="G5900" s="153"/>
      <c r="H5900" s="210">
        <v>0.94430000000000003</v>
      </c>
      <c r="I5900" s="160" t="s">
        <v>128</v>
      </c>
      <c r="J5900" s="160">
        <v>4.4999999999999997E-3</v>
      </c>
      <c r="K5900" s="160" t="s">
        <v>14</v>
      </c>
      <c r="L5900" s="154" t="str">
        <f>IF(OpenLCAbasic!K5900="CTUh", "Fill in Manually",IF(OR(K5900="Unit", K5900=""), "", INDEX(LookUps!$E$5:$E$12, MATCH(OpenLCAbasic!K5900,LookUps!$D$5:$D$12,0))))</f>
        <v>Fossil Depletion Potential (FDP) - kg oil eq</v>
      </c>
      <c r="M5900" s="154" t="str">
        <f t="shared" si="417"/>
        <v>Low_Base_High_Upgraded_Fossil Depletion Potential (FDP) - kg oil eq_Wastewater collection; operation and infrastructure; m3 wastewater_Without Amendment_Windrow</v>
      </c>
    </row>
    <row r="5901" spans="1:13" s="120" customFormat="1" x14ac:dyDescent="0.25">
      <c r="A5901" s="119"/>
      <c r="B5901" s="138" t="str">
        <f t="shared" si="415"/>
        <v>Windrow</v>
      </c>
      <c r="C5901" s="138" t="str">
        <f t="shared" si="418"/>
        <v>Without Amendment</v>
      </c>
      <c r="D5901" s="138" t="str">
        <f t="shared" si="414"/>
        <v>Base_High</v>
      </c>
      <c r="E5901" s="138" t="str">
        <f t="shared" si="419"/>
        <v>Low</v>
      </c>
      <c r="F5901" s="138" t="str">
        <f t="shared" si="416"/>
        <v>Upgraded</v>
      </c>
      <c r="G5901" s="153"/>
      <c r="H5901" s="210">
        <v>0.58720000000000006</v>
      </c>
      <c r="I5901" s="160" t="s">
        <v>148</v>
      </c>
      <c r="J5901" s="160">
        <v>2.8E-3</v>
      </c>
      <c r="K5901" s="160" t="s">
        <v>14</v>
      </c>
      <c r="L5901" s="154" t="str">
        <f>IF(OpenLCAbasic!K5901="CTUh", "Fill in Manually",IF(OR(K5901="Unit", K5901=""), "", INDEX(LookUps!$E$5:$E$12, MATCH(OpenLCAbasic!K5901,LookUps!$D$5:$D$12,0))))</f>
        <v>Fossil Depletion Potential (FDP) - kg oil eq</v>
      </c>
      <c r="M5901" s="154" t="str">
        <f t="shared" si="417"/>
        <v>Low_Base_High_Upgraded_Fossil Depletion Potential (FDP) - kg oil eq_Control Building; at upgraded wastewater treatment plant - US_Without Amendment_Windrow</v>
      </c>
    </row>
    <row r="5902" spans="1:13" s="120" customFormat="1" x14ac:dyDescent="0.25">
      <c r="A5902" s="119"/>
      <c r="B5902" s="138" t="str">
        <f t="shared" si="415"/>
        <v>Windrow</v>
      </c>
      <c r="C5902" s="138" t="str">
        <f t="shared" si="418"/>
        <v>Without Amendment</v>
      </c>
      <c r="D5902" s="138" t="str">
        <f t="shared" si="414"/>
        <v>Base_High</v>
      </c>
      <c r="E5902" s="138" t="str">
        <f t="shared" si="419"/>
        <v>Low</v>
      </c>
      <c r="F5902" s="138" t="str">
        <f t="shared" si="416"/>
        <v>Upgraded</v>
      </c>
      <c r="G5902" s="153"/>
      <c r="H5902" s="210">
        <v>0.49609999999999999</v>
      </c>
      <c r="I5902" s="160" t="s">
        <v>48</v>
      </c>
      <c r="J5902" s="160">
        <v>2.3600000000000001E-3</v>
      </c>
      <c r="K5902" s="160" t="s">
        <v>14</v>
      </c>
      <c r="L5902" s="154" t="str">
        <f>IF(OpenLCAbasic!K5902="CTUh", "Fill in Manually",IF(OR(K5902="Unit", K5902=""), "", INDEX(LookUps!$E$5:$E$12, MATCH(OpenLCAbasic!K5902,LookUps!$D$5:$D$12,0))))</f>
        <v>Fossil Depletion Potential (FDP) - kg oil eq</v>
      </c>
      <c r="M5902" s="154" t="str">
        <f t="shared" si="417"/>
        <v>Low_Base_High_Upgraded_Fossil Depletion Potential (FDP) - kg oil eq_Effluent release; wastewater treatment unit; at surface water; m3 wastewater - US_Without Amendment_Windrow</v>
      </c>
    </row>
    <row r="5903" spans="1:13" s="120" customFormat="1" x14ac:dyDescent="0.25">
      <c r="A5903" s="119"/>
      <c r="B5903" s="138" t="str">
        <f t="shared" si="415"/>
        <v>Windrow</v>
      </c>
      <c r="C5903" s="138" t="str">
        <f t="shared" si="418"/>
        <v>Without Amendment</v>
      </c>
      <c r="D5903" s="138" t="str">
        <f t="shared" si="414"/>
        <v>Base_High</v>
      </c>
      <c r="E5903" s="138" t="str">
        <f t="shared" si="419"/>
        <v>Low</v>
      </c>
      <c r="F5903" s="138" t="str">
        <f t="shared" si="416"/>
        <v>Upgraded</v>
      </c>
      <c r="G5903" s="153"/>
      <c r="H5903" s="210">
        <v>0.40289999999999998</v>
      </c>
      <c r="I5903" s="160" t="s">
        <v>59</v>
      </c>
      <c r="J5903" s="160">
        <v>1.92E-3</v>
      </c>
      <c r="K5903" s="160" t="s">
        <v>14</v>
      </c>
      <c r="L5903" s="154" t="str">
        <f>IF(OpenLCAbasic!K5903="CTUh", "Fill in Manually",IF(OR(K5903="Unit", K5903=""), "", INDEX(LookUps!$E$5:$E$12, MATCH(OpenLCAbasic!K5903,LookUps!$D$5:$D$12,0))))</f>
        <v>Fossil Depletion Potential (FDP) - kg oil eq</v>
      </c>
      <c r="M5903" s="154" t="str">
        <f t="shared" si="417"/>
        <v>Low_Base_High_Upgraded_Fossil Depletion Potential (FDP) - kg oil eq_Blend Tank; wastewater treatment unit; at updated plant - US_Without Amendment_Windrow</v>
      </c>
    </row>
    <row r="5904" spans="1:13" s="120" customFormat="1" x14ac:dyDescent="0.25">
      <c r="A5904" s="119"/>
      <c r="B5904" s="138" t="str">
        <f t="shared" si="415"/>
        <v>Windrow</v>
      </c>
      <c r="C5904" s="138" t="str">
        <f t="shared" si="418"/>
        <v>Without Amendment</v>
      </c>
      <c r="D5904" s="138" t="str">
        <f t="shared" si="414"/>
        <v>Base_High</v>
      </c>
      <c r="E5904" s="138" t="str">
        <f t="shared" si="419"/>
        <v>Low</v>
      </c>
      <c r="F5904" s="138" t="str">
        <f t="shared" si="416"/>
        <v>Upgraded</v>
      </c>
      <c r="G5904" s="153"/>
      <c r="H5904" s="210">
        <v>0.192</v>
      </c>
      <c r="I5904" s="160" t="s">
        <v>168</v>
      </c>
      <c r="J5904" s="160">
        <v>9.1E-4</v>
      </c>
      <c r="K5904" s="160" t="s">
        <v>14</v>
      </c>
      <c r="L5904" s="154" t="str">
        <f>IF(OpenLCAbasic!K5904="CTUh", "Fill in Manually",IF(OR(K5904="Unit", K5904=""), "", INDEX(LookUps!$E$5:$E$12, MATCH(OpenLCAbasic!K5904,LookUps!$D$5:$D$12,0))))</f>
        <v>Fossil Depletion Potential (FDP) - kg oil eq</v>
      </c>
      <c r="M5904" s="154" t="str">
        <f t="shared" si="417"/>
        <v>Low_Base_High_Upgraded_Fossil Depletion Potential (FDP) - kg oil eq_ClearCove SCP; wastewater treatment unit; at updated plant - US_Without Amendment_Windrow</v>
      </c>
    </row>
    <row r="5905" spans="1:13" s="120" customFormat="1" x14ac:dyDescent="0.25">
      <c r="A5905" s="119"/>
      <c r="B5905" s="138" t="str">
        <f t="shared" si="415"/>
        <v>Windrow</v>
      </c>
      <c r="C5905" s="138" t="str">
        <f t="shared" si="418"/>
        <v>Without Amendment</v>
      </c>
      <c r="D5905" s="138" t="str">
        <f t="shared" ref="D5905:D5968" si="420">IF(ISNUMBER($J5905),"Base_High","")</f>
        <v>Base_High</v>
      </c>
      <c r="E5905" s="138" t="str">
        <f t="shared" si="419"/>
        <v>Low</v>
      </c>
      <c r="F5905" s="138" t="str">
        <f t="shared" si="416"/>
        <v>Upgraded</v>
      </c>
      <c r="G5905" s="153"/>
      <c r="H5905" s="210">
        <v>8.4000000000000005E-2</v>
      </c>
      <c r="I5905" s="160" t="s">
        <v>271</v>
      </c>
      <c r="J5905" s="160">
        <v>4.0000000000000002E-4</v>
      </c>
      <c r="K5905" s="160" t="s">
        <v>14</v>
      </c>
      <c r="L5905" s="154" t="str">
        <f>IF(OpenLCAbasic!K5905="CTUh", "Fill in Manually",IF(OR(K5905="Unit", K5905=""), "", INDEX(LookUps!$E$5:$E$12, MATCH(OpenLCAbasic!K5905,LookUps!$D$5:$D$12,0))))</f>
        <v>Fossil Depletion Potential (FDP) - kg oil eq</v>
      </c>
      <c r="M5905" s="154" t="str">
        <f t="shared" si="417"/>
        <v>Low_Base_High_Upgraded_Fossil Depletion Potential (FDP) - kg oil eq_Biosolids composting; windrow composting; wastewater treatment unit; at updated plant - US_Without Amendment_Windrow</v>
      </c>
    </row>
    <row r="5906" spans="1:13" s="120" customFormat="1" x14ac:dyDescent="0.25">
      <c r="A5906" s="119"/>
      <c r="B5906" s="138" t="str">
        <f t="shared" si="415"/>
        <v>Windrow</v>
      </c>
      <c r="C5906" s="138" t="str">
        <f t="shared" si="418"/>
        <v>Without Amendment</v>
      </c>
      <c r="D5906" s="138" t="str">
        <f t="shared" si="420"/>
        <v>Base_High</v>
      </c>
      <c r="E5906" s="138" t="str">
        <f t="shared" si="419"/>
        <v>Low</v>
      </c>
      <c r="F5906" s="138" t="str">
        <f t="shared" si="416"/>
        <v>Upgraded</v>
      </c>
      <c r="G5906" s="153"/>
      <c r="H5906" s="210">
        <v>-0.88800000000000001</v>
      </c>
      <c r="I5906" s="160" t="s">
        <v>62</v>
      </c>
      <c r="J5906" s="160">
        <v>-4.2300000000000003E-3</v>
      </c>
      <c r="K5906" s="160" t="s">
        <v>14</v>
      </c>
      <c r="L5906" s="154" t="str">
        <f>IF(OpenLCAbasic!K5906="CTUh", "Fill in Manually",IF(OR(K5906="Unit", K5906=""), "", INDEX(LookUps!$E$5:$E$12, MATCH(OpenLCAbasic!K5906,LookUps!$D$5:$D$12,0))))</f>
        <v>Fossil Depletion Potential (FDP) - kg oil eq</v>
      </c>
      <c r="M5906" s="154" t="str">
        <f t="shared" si="417"/>
        <v>Low_Base_High_Upgraded_Fossil Depletion Potential (FDP) - kg oil eq_Land application of compost; wastewater treatment unit; at updated plant - US_Without Amendment_Windrow</v>
      </c>
    </row>
    <row r="5907" spans="1:13" s="120" customFormat="1" x14ac:dyDescent="0.25">
      <c r="A5907" s="119"/>
      <c r="B5907" s="138" t="str">
        <f t="shared" si="415"/>
        <v>Windrow</v>
      </c>
      <c r="C5907" s="138" t="str">
        <f t="shared" si="418"/>
        <v>Without Amendment</v>
      </c>
      <c r="D5907" s="138" t="str">
        <f t="shared" si="420"/>
        <v>Base_High</v>
      </c>
      <c r="E5907" s="138" t="str">
        <f t="shared" si="419"/>
        <v>Low</v>
      </c>
      <c r="F5907" s="138" t="str">
        <f t="shared" si="416"/>
        <v>Upgraded</v>
      </c>
      <c r="G5907" s="153"/>
      <c r="H5907" s="210">
        <v>-46.959200000000003</v>
      </c>
      <c r="I5907" s="160" t="s">
        <v>149</v>
      </c>
      <c r="J5907" s="160">
        <v>-0.22373000000000001</v>
      </c>
      <c r="K5907" s="160" t="s">
        <v>14</v>
      </c>
      <c r="L5907" s="154" t="str">
        <f>IF(OpenLCAbasic!K5907="CTUh", "Fill in Manually",IF(OR(K5907="Unit", K5907=""), "", INDEX(LookUps!$E$5:$E$12, MATCH(OpenLCAbasic!K5907,LookUps!$D$5:$D$12,0))))</f>
        <v>Fossil Depletion Potential (FDP) - kg oil eq</v>
      </c>
      <c r="M5907" s="154" t="str">
        <f t="shared" si="417"/>
        <v>Low_Base_High_Upgraded_Fossil Depletion Potential (FDP) - kg oil eq_Anaerobic Digestion; wastewater treatment unit; at updated plant - US_Without Amendment_Windrow</v>
      </c>
    </row>
    <row r="5908" spans="1:13" s="120" customFormat="1" x14ac:dyDescent="0.25">
      <c r="A5908" s="119"/>
      <c r="B5908" s="138" t="str">
        <f t="shared" si="415"/>
        <v/>
      </c>
      <c r="C5908" s="138" t="str">
        <f t="shared" si="418"/>
        <v/>
      </c>
      <c r="D5908" s="138" t="str">
        <f t="shared" si="420"/>
        <v/>
      </c>
      <c r="E5908" s="138" t="str">
        <f t="shared" si="419"/>
        <v/>
      </c>
      <c r="F5908" s="138" t="str">
        <f t="shared" si="416"/>
        <v/>
      </c>
      <c r="G5908" s="153" t="s">
        <v>51</v>
      </c>
      <c r="H5908" s="160"/>
      <c r="I5908" s="160" t="s">
        <v>47</v>
      </c>
      <c r="J5908" s="160" t="s">
        <v>52</v>
      </c>
      <c r="K5908" s="160" t="s">
        <v>27</v>
      </c>
      <c r="L5908" s="154" t="str">
        <f>IF(OpenLCAbasic!K5908="CTUh", "Fill in Manually",IF(OR(K5908="Unit", K5908=""), "", INDEX(LookUps!$E$5:$E$12, MATCH(OpenLCAbasic!K5908,LookUps!$D$5:$D$12,0))))</f>
        <v/>
      </c>
      <c r="M5908" s="154" t="str">
        <f t="shared" si="417"/>
        <v>____Process__</v>
      </c>
    </row>
    <row r="5909" spans="1:13" s="120" customFormat="1" x14ac:dyDescent="0.25">
      <c r="A5909" s="119"/>
      <c r="B5909" s="138" t="str">
        <f t="shared" si="415"/>
        <v>Windrow</v>
      </c>
      <c r="C5909" s="138" t="str">
        <f t="shared" si="418"/>
        <v>Without Amendment</v>
      </c>
      <c r="D5909" s="138" t="str">
        <f t="shared" si="420"/>
        <v>Base_High</v>
      </c>
      <c r="E5909" s="138" t="str">
        <f t="shared" si="419"/>
        <v>Low</v>
      </c>
      <c r="F5909" s="138" t="str">
        <f t="shared" si="416"/>
        <v>Upgraded</v>
      </c>
      <c r="G5909" s="153"/>
      <c r="H5909" s="210">
        <v>1.0568</v>
      </c>
      <c r="I5909" s="160" t="s">
        <v>58</v>
      </c>
      <c r="J5909" s="160">
        <v>0.24279999999999999</v>
      </c>
      <c r="K5909" s="160" t="s">
        <v>23</v>
      </c>
      <c r="L5909" s="154" t="str">
        <f>IF(OpenLCAbasic!K5909="CTUh", "Fill in Manually",IF(OR(K5909="Unit", K5909=""), "", INDEX(LookUps!$E$5:$E$12, MATCH(OpenLCAbasic!K5909,LookUps!$D$5:$D$12,0))))</f>
        <v>Global Warming Potential (GWP) - kg CO2 eq</v>
      </c>
      <c r="M5909" s="154" t="str">
        <f t="shared" si="417"/>
        <v>Low_Base_High_Upgraded_Global Warming Potential (GWP) - kg CO2 eq_Pre-Anoxic &amp; Swing tank; wastewater treatment unit; at updated plant - US_Without Amendment_Windrow</v>
      </c>
    </row>
    <row r="5910" spans="1:13" s="120" customFormat="1" x14ac:dyDescent="0.25">
      <c r="A5910" s="119"/>
      <c r="B5910" s="138" t="str">
        <f t="shared" si="415"/>
        <v>Windrow</v>
      </c>
      <c r="C5910" s="138" t="str">
        <f t="shared" si="418"/>
        <v>Without Amendment</v>
      </c>
      <c r="D5910" s="138" t="str">
        <f t="shared" si="420"/>
        <v>Base_High</v>
      </c>
      <c r="E5910" s="138" t="str">
        <f t="shared" si="419"/>
        <v>Low</v>
      </c>
      <c r="F5910" s="138" t="str">
        <f t="shared" si="416"/>
        <v>Upgraded</v>
      </c>
      <c r="G5910" s="153"/>
      <c r="H5910" s="210">
        <v>0.73219999999999996</v>
      </c>
      <c r="I5910" s="160" t="s">
        <v>55</v>
      </c>
      <c r="J5910" s="160">
        <v>0.16822000000000001</v>
      </c>
      <c r="K5910" s="160" t="s">
        <v>23</v>
      </c>
      <c r="L5910" s="154" t="str">
        <f>IF(OpenLCAbasic!K5910="CTUh", "Fill in Manually",IF(OR(K5910="Unit", K5910=""), "", INDEX(LookUps!$E$5:$E$12, MATCH(OpenLCAbasic!K5910,LookUps!$D$5:$D$12,0))))</f>
        <v>Global Warming Potential (GWP) - kg CO2 eq</v>
      </c>
      <c r="M5910" s="154" t="str">
        <f t="shared" si="417"/>
        <v>Low_Base_High_Upgraded_Global Warming Potential (GWP) - kg CO2 eq_Aeration Tanks; wastewater treatment unit; at updated plant - US_Without Amendment_Windrow</v>
      </c>
    </row>
    <row r="5911" spans="1:13" s="120" customFormat="1" x14ac:dyDescent="0.25">
      <c r="A5911" s="119"/>
      <c r="B5911" s="138" t="str">
        <f t="shared" si="415"/>
        <v>Windrow</v>
      </c>
      <c r="C5911" s="138" t="str">
        <f t="shared" si="418"/>
        <v>Without Amendment</v>
      </c>
      <c r="D5911" s="138" t="str">
        <f t="shared" si="420"/>
        <v>Base_High</v>
      </c>
      <c r="E5911" s="138" t="str">
        <f t="shared" si="419"/>
        <v>Low</v>
      </c>
      <c r="F5911" s="138" t="str">
        <f t="shared" si="416"/>
        <v>Upgraded</v>
      </c>
      <c r="G5911" s="153"/>
      <c r="H5911" s="210">
        <v>0.44579999999999997</v>
      </c>
      <c r="I5911" s="160" t="s">
        <v>167</v>
      </c>
      <c r="J5911" s="160">
        <v>0.10241</v>
      </c>
      <c r="K5911" s="160" t="s">
        <v>23</v>
      </c>
      <c r="L5911" s="154" t="str">
        <f>IF(OpenLCAbasic!K5911="CTUh", "Fill in Manually",IF(OR(K5911="Unit", K5911=""), "", INDEX(LookUps!$E$5:$E$12, MATCH(OpenLCAbasic!K5911,LookUps!$D$5:$D$12,0))))</f>
        <v>Global Warming Potential (GWP) - kg CO2 eq</v>
      </c>
      <c r="M5911" s="154" t="str">
        <f t="shared" si="417"/>
        <v>Low_Base_High_Upgraded_Global Warming Potential (GWP) - kg CO2 eq_Waste Receiving and Holding; wastewater treatment unit; at updated plant - US_Without Amendment_Windrow</v>
      </c>
    </row>
    <row r="5912" spans="1:13" s="120" customFormat="1" x14ac:dyDescent="0.25">
      <c r="A5912" s="119"/>
      <c r="B5912" s="138" t="str">
        <f t="shared" si="415"/>
        <v>Windrow</v>
      </c>
      <c r="C5912" s="138" t="str">
        <f t="shared" si="418"/>
        <v>Without Amendment</v>
      </c>
      <c r="D5912" s="138" t="str">
        <f t="shared" si="420"/>
        <v>Base_High</v>
      </c>
      <c r="E5912" s="138" t="str">
        <f t="shared" si="419"/>
        <v>Low</v>
      </c>
      <c r="F5912" s="138" t="str">
        <f t="shared" si="416"/>
        <v>Upgraded</v>
      </c>
      <c r="G5912" s="153"/>
      <c r="H5912" s="210">
        <v>0.2485</v>
      </c>
      <c r="I5912" s="160" t="s">
        <v>54</v>
      </c>
      <c r="J5912" s="160">
        <v>5.7079999999999999E-2</v>
      </c>
      <c r="K5912" s="160" t="s">
        <v>23</v>
      </c>
      <c r="L5912" s="154" t="str">
        <f>IF(OpenLCAbasic!K5912="CTUh", "Fill in Manually",IF(OR(K5912="Unit", K5912=""), "", INDEX(LookUps!$E$5:$E$12, MATCH(OpenLCAbasic!K5912,LookUps!$D$5:$D$12,0))))</f>
        <v>Global Warming Potential (GWP) - kg CO2 eq</v>
      </c>
      <c r="M5912" s="154" t="str">
        <f t="shared" si="417"/>
        <v>Low_Base_High_Upgraded_Global Warming Potential (GWP) - kg CO2 eq_Clear Cove Primary Clarification; wastewater treatment unit; at updated plant - US_Without Amendment_Windrow</v>
      </c>
    </row>
    <row r="5913" spans="1:13" s="120" customFormat="1" x14ac:dyDescent="0.25">
      <c r="A5913" s="119"/>
      <c r="B5913" s="138" t="str">
        <f t="shared" si="415"/>
        <v>Windrow</v>
      </c>
      <c r="C5913" s="138" t="str">
        <f t="shared" si="418"/>
        <v>Without Amendment</v>
      </c>
      <c r="D5913" s="138" t="str">
        <f t="shared" si="420"/>
        <v>Base_High</v>
      </c>
      <c r="E5913" s="138" t="str">
        <f t="shared" si="419"/>
        <v>Low</v>
      </c>
      <c r="F5913" s="138" t="str">
        <f t="shared" si="416"/>
        <v>Upgraded</v>
      </c>
      <c r="G5913" s="153"/>
      <c r="H5913" s="210">
        <v>0.2291</v>
      </c>
      <c r="I5913" s="160" t="s">
        <v>48</v>
      </c>
      <c r="J5913" s="160">
        <v>5.2639999999999999E-2</v>
      </c>
      <c r="K5913" s="160" t="s">
        <v>23</v>
      </c>
      <c r="L5913" s="154" t="str">
        <f>IF(OpenLCAbasic!K5913="CTUh", "Fill in Manually",IF(OR(K5913="Unit", K5913=""), "", INDEX(LookUps!$E$5:$E$12, MATCH(OpenLCAbasic!K5913,LookUps!$D$5:$D$12,0))))</f>
        <v>Global Warming Potential (GWP) - kg CO2 eq</v>
      </c>
      <c r="M5913" s="154" t="str">
        <f t="shared" si="417"/>
        <v>Low_Base_High_Upgraded_Global Warming Potential (GWP) - kg CO2 eq_Effluent release; wastewater treatment unit; at surface water; m3 wastewater - US_Without Amendment_Windrow</v>
      </c>
    </row>
    <row r="5914" spans="1:13" s="120" customFormat="1" x14ac:dyDescent="0.25">
      <c r="A5914" s="119"/>
      <c r="B5914" s="138" t="str">
        <f t="shared" si="415"/>
        <v>Windrow</v>
      </c>
      <c r="C5914" s="138" t="str">
        <f t="shared" si="418"/>
        <v>Without Amendment</v>
      </c>
      <c r="D5914" s="138" t="str">
        <f t="shared" si="420"/>
        <v>Base_High</v>
      </c>
      <c r="E5914" s="138" t="str">
        <f t="shared" si="419"/>
        <v>Low</v>
      </c>
      <c r="F5914" s="138" t="str">
        <f t="shared" si="416"/>
        <v>Upgraded</v>
      </c>
      <c r="G5914" s="153"/>
      <c r="H5914" s="210">
        <v>0.2198</v>
      </c>
      <c r="I5914" s="160" t="s">
        <v>147</v>
      </c>
      <c r="J5914" s="160">
        <v>5.0500000000000003E-2</v>
      </c>
      <c r="K5914" s="160" t="s">
        <v>23</v>
      </c>
      <c r="L5914" s="154" t="str">
        <f>IF(OpenLCAbasic!K5914="CTUh", "Fill in Manually",IF(OR(K5914="Unit", K5914=""), "", INDEX(LookUps!$E$5:$E$12, MATCH(OpenLCAbasic!K5914,LookUps!$D$5:$D$12,0))))</f>
        <v>Global Warming Potential (GWP) - kg CO2 eq</v>
      </c>
      <c r="M5914" s="154" t="str">
        <f t="shared" si="417"/>
        <v>Low_Base_High_Upgraded_Global Warming Potential (GWP) - kg CO2 eq_Influent Pump Station; wastewater treatment unit; at updated plant - US_Without Amendment_Windrow</v>
      </c>
    </row>
    <row r="5915" spans="1:13" s="120" customFormat="1" x14ac:dyDescent="0.25">
      <c r="A5915" s="119"/>
      <c r="B5915" s="138" t="str">
        <f t="shared" si="415"/>
        <v>Windrow</v>
      </c>
      <c r="C5915" s="138" t="str">
        <f t="shared" si="418"/>
        <v>Without Amendment</v>
      </c>
      <c r="D5915" s="138" t="str">
        <f t="shared" si="420"/>
        <v>Base_High</v>
      </c>
      <c r="E5915" s="138" t="str">
        <f t="shared" si="419"/>
        <v>Low</v>
      </c>
      <c r="F5915" s="138" t="str">
        <f t="shared" si="416"/>
        <v>Upgraded</v>
      </c>
      <c r="G5915" s="153"/>
      <c r="H5915" s="210">
        <v>0.2034</v>
      </c>
      <c r="I5915" s="160" t="s">
        <v>271</v>
      </c>
      <c r="J5915" s="160">
        <v>4.6730000000000001E-2</v>
      </c>
      <c r="K5915" s="160" t="s">
        <v>23</v>
      </c>
      <c r="L5915" s="154" t="str">
        <f>IF(OpenLCAbasic!K5915="CTUh", "Fill in Manually",IF(OR(K5915="Unit", K5915=""), "", INDEX(LookUps!$E$5:$E$12, MATCH(OpenLCAbasic!K5915,LookUps!$D$5:$D$12,0))))</f>
        <v>Global Warming Potential (GWP) - kg CO2 eq</v>
      </c>
      <c r="M5915" s="154" t="str">
        <f t="shared" si="417"/>
        <v>Low_Base_High_Upgraded_Global Warming Potential (GWP) - kg CO2 eq_Biosolids composting; windrow composting; wastewater treatment unit; at updated plant - US_Without Amendment_Windrow</v>
      </c>
    </row>
    <row r="5916" spans="1:13" s="120" customFormat="1" x14ac:dyDescent="0.25">
      <c r="A5916" s="119"/>
      <c r="B5916" s="138" t="str">
        <f t="shared" si="415"/>
        <v>Windrow</v>
      </c>
      <c r="C5916" s="138" t="str">
        <f t="shared" si="418"/>
        <v>Without Amendment</v>
      </c>
      <c r="D5916" s="138" t="str">
        <f t="shared" si="420"/>
        <v>Base_High</v>
      </c>
      <c r="E5916" s="138" t="str">
        <f t="shared" si="419"/>
        <v>Low</v>
      </c>
      <c r="F5916" s="138" t="str">
        <f t="shared" si="416"/>
        <v>Upgraded</v>
      </c>
      <c r="G5916" s="153"/>
      <c r="H5916" s="210">
        <v>0.14480000000000001</v>
      </c>
      <c r="I5916" s="160" t="s">
        <v>53</v>
      </c>
      <c r="J5916" s="160">
        <v>3.3259999999999998E-2</v>
      </c>
      <c r="K5916" s="160" t="s">
        <v>23</v>
      </c>
      <c r="L5916" s="154" t="str">
        <f>IF(OpenLCAbasic!K5916="CTUh", "Fill in Manually",IF(OR(K5916="Unit", K5916=""), "", INDEX(LookUps!$E$5:$E$12, MATCH(OpenLCAbasic!K5916,LookUps!$D$5:$D$12,0))))</f>
        <v>Global Warming Potential (GWP) - kg CO2 eq</v>
      </c>
      <c r="M5916" s="154" t="str">
        <f t="shared" si="417"/>
        <v>Low_Base_High_Upgraded_Global Warming Potential (GWP) - kg CO2 eq_Wet Well and Sump Station; wastewater treatment unit; at updated plant - US_Without Amendment_Windrow</v>
      </c>
    </row>
    <row r="5917" spans="1:13" s="120" customFormat="1" x14ac:dyDescent="0.25">
      <c r="A5917" s="119"/>
      <c r="B5917" s="138" t="str">
        <f t="shared" si="415"/>
        <v>Windrow</v>
      </c>
      <c r="C5917" s="138" t="str">
        <f t="shared" si="418"/>
        <v>Without Amendment</v>
      </c>
      <c r="D5917" s="138" t="str">
        <f t="shared" si="420"/>
        <v>Base_High</v>
      </c>
      <c r="E5917" s="138" t="str">
        <f t="shared" si="419"/>
        <v>Low</v>
      </c>
      <c r="F5917" s="138" t="str">
        <f t="shared" si="416"/>
        <v>Upgraded</v>
      </c>
      <c r="G5917" s="153"/>
      <c r="H5917" s="210">
        <v>6.3299999999999995E-2</v>
      </c>
      <c r="I5917" s="160" t="s">
        <v>57</v>
      </c>
      <c r="J5917" s="160">
        <v>1.455E-2</v>
      </c>
      <c r="K5917" s="160" t="s">
        <v>23</v>
      </c>
      <c r="L5917" s="154" t="str">
        <f>IF(OpenLCAbasic!K5917="CTUh", "Fill in Manually",IF(OR(K5917="Unit", K5917=""), "", INDEX(LookUps!$E$5:$E$12, MATCH(OpenLCAbasic!K5917,LookUps!$D$5:$D$12,0))))</f>
        <v>Global Warming Potential (GWP) - kg CO2 eq</v>
      </c>
      <c r="M5917" s="154" t="str">
        <f t="shared" si="417"/>
        <v>Low_Base_High_Upgraded_Global Warming Potential (GWP) - kg CO2 eq_Gravity Belt Thickener; wastewater treatment unit; at updated plant - US_Without Amendment_Windrow</v>
      </c>
    </row>
    <row r="5918" spans="1:13" s="120" customFormat="1" x14ac:dyDescent="0.25">
      <c r="A5918" s="119"/>
      <c r="B5918" s="138" t="str">
        <f t="shared" si="415"/>
        <v>Windrow</v>
      </c>
      <c r="C5918" s="138" t="str">
        <f t="shared" si="418"/>
        <v>Without Amendment</v>
      </c>
      <c r="D5918" s="138" t="str">
        <f t="shared" si="420"/>
        <v>Base_High</v>
      </c>
      <c r="E5918" s="138" t="str">
        <f t="shared" si="419"/>
        <v>Low</v>
      </c>
      <c r="F5918" s="138" t="str">
        <f t="shared" si="416"/>
        <v>Upgraded</v>
      </c>
      <c r="G5918" s="153"/>
      <c r="H5918" s="210">
        <v>5.8799999999999998E-2</v>
      </c>
      <c r="I5918" s="160" t="s">
        <v>128</v>
      </c>
      <c r="J5918" s="160">
        <v>1.3509999999999999E-2</v>
      </c>
      <c r="K5918" s="160" t="s">
        <v>23</v>
      </c>
      <c r="L5918" s="154" t="str">
        <f>IF(OpenLCAbasic!K5918="CTUh", "Fill in Manually",IF(OR(K5918="Unit", K5918=""), "", INDEX(LookUps!$E$5:$E$12, MATCH(OpenLCAbasic!K5918,LookUps!$D$5:$D$12,0))))</f>
        <v>Global Warming Potential (GWP) - kg CO2 eq</v>
      </c>
      <c r="M5918" s="154" t="str">
        <f t="shared" si="417"/>
        <v>Low_Base_High_Upgraded_Global Warming Potential (GWP) - kg CO2 eq_Wastewater collection; operation and infrastructure; m3 wastewater_Without Amendment_Windrow</v>
      </c>
    </row>
    <row r="5919" spans="1:13" s="120" customFormat="1" x14ac:dyDescent="0.25">
      <c r="A5919" s="119"/>
      <c r="B5919" s="138" t="str">
        <f t="shared" si="415"/>
        <v>Windrow</v>
      </c>
      <c r="C5919" s="138" t="str">
        <f t="shared" si="418"/>
        <v>Without Amendment</v>
      </c>
      <c r="D5919" s="138" t="str">
        <f t="shared" si="420"/>
        <v>Base_High</v>
      </c>
      <c r="E5919" s="138" t="str">
        <f t="shared" si="419"/>
        <v>Low</v>
      </c>
      <c r="F5919" s="138" t="str">
        <f t="shared" si="416"/>
        <v>Upgraded</v>
      </c>
      <c r="G5919" s="153"/>
      <c r="H5919" s="210">
        <v>5.3600000000000002E-2</v>
      </c>
      <c r="I5919" s="160" t="s">
        <v>60</v>
      </c>
      <c r="J5919" s="160">
        <v>1.231E-2</v>
      </c>
      <c r="K5919" s="160" t="s">
        <v>23</v>
      </c>
      <c r="L5919" s="154" t="str">
        <f>IF(OpenLCAbasic!K5919="CTUh", "Fill in Manually",IF(OR(K5919="Unit", K5919=""), "", INDEX(LookUps!$E$5:$E$12, MATCH(OpenLCAbasic!K5919,LookUps!$D$5:$D$12,0))))</f>
        <v>Global Warming Potential (GWP) - kg CO2 eq</v>
      </c>
      <c r="M5919" s="154" t="str">
        <f t="shared" si="417"/>
        <v>Low_Base_High_Upgraded_Global Warming Potential (GWP) - kg CO2 eq_Belt filter press; wastewater treatment unit; at updated plant - US_Without Amendment_Windrow</v>
      </c>
    </row>
    <row r="5920" spans="1:13" s="120" customFormat="1" x14ac:dyDescent="0.25">
      <c r="A5920" s="119"/>
      <c r="B5920" s="138" t="str">
        <f t="shared" si="415"/>
        <v>Windrow</v>
      </c>
      <c r="C5920" s="138" t="str">
        <f t="shared" si="418"/>
        <v>Without Amendment</v>
      </c>
      <c r="D5920" s="138" t="str">
        <f t="shared" si="420"/>
        <v>Base_High</v>
      </c>
      <c r="E5920" s="138" t="str">
        <f t="shared" si="419"/>
        <v>Low</v>
      </c>
      <c r="F5920" s="138" t="str">
        <f t="shared" si="416"/>
        <v>Upgraded</v>
      </c>
      <c r="G5920" s="153"/>
      <c r="H5920" s="210">
        <v>3.61E-2</v>
      </c>
      <c r="I5920" s="160" t="s">
        <v>148</v>
      </c>
      <c r="J5920" s="160">
        <v>8.3000000000000001E-3</v>
      </c>
      <c r="K5920" s="160" t="s">
        <v>23</v>
      </c>
      <c r="L5920" s="154" t="str">
        <f>IF(OpenLCAbasic!K5920="CTUh", "Fill in Manually",IF(OR(K5920="Unit", K5920=""), "", INDEX(LookUps!$E$5:$E$12, MATCH(OpenLCAbasic!K5920,LookUps!$D$5:$D$12,0))))</f>
        <v>Global Warming Potential (GWP) - kg CO2 eq</v>
      </c>
      <c r="M5920" s="154" t="str">
        <f t="shared" si="417"/>
        <v>Low_Base_High_Upgraded_Global Warming Potential (GWP) - kg CO2 eq_Control Building; at upgraded wastewater treatment plant - US_Without Amendment_Windrow</v>
      </c>
    </row>
    <row r="5921" spans="1:13" s="120" customFormat="1" x14ac:dyDescent="0.25">
      <c r="A5921" s="119"/>
      <c r="B5921" s="138" t="str">
        <f t="shared" si="415"/>
        <v>Windrow</v>
      </c>
      <c r="C5921" s="138" t="str">
        <f t="shared" si="418"/>
        <v>Without Amendment</v>
      </c>
      <c r="D5921" s="138" t="str">
        <f t="shared" si="420"/>
        <v>Base_High</v>
      </c>
      <c r="E5921" s="138" t="str">
        <f t="shared" si="419"/>
        <v>Low</v>
      </c>
      <c r="F5921" s="138" t="str">
        <f t="shared" si="416"/>
        <v>Upgraded</v>
      </c>
      <c r="G5921" s="153"/>
      <c r="H5921" s="210">
        <v>2.1999999999999999E-2</v>
      </c>
      <c r="I5921" s="160" t="s">
        <v>59</v>
      </c>
      <c r="J5921" s="160">
        <v>5.0400000000000002E-3</v>
      </c>
      <c r="K5921" s="160" t="s">
        <v>23</v>
      </c>
      <c r="L5921" s="154" t="str">
        <f>IF(OpenLCAbasic!K5921="CTUh", "Fill in Manually",IF(OR(K5921="Unit", K5921=""), "", INDEX(LookUps!$E$5:$E$12, MATCH(OpenLCAbasic!K5921,LookUps!$D$5:$D$12,0))))</f>
        <v>Global Warming Potential (GWP) - kg CO2 eq</v>
      </c>
      <c r="M5921" s="154" t="str">
        <f t="shared" si="417"/>
        <v>Low_Base_High_Upgraded_Global Warming Potential (GWP) - kg CO2 eq_Blend Tank; wastewater treatment unit; at updated plant - US_Without Amendment_Windrow</v>
      </c>
    </row>
    <row r="5922" spans="1:13" s="120" customFormat="1" x14ac:dyDescent="0.25">
      <c r="A5922" s="119"/>
      <c r="B5922" s="138" t="str">
        <f t="shared" si="415"/>
        <v>Windrow</v>
      </c>
      <c r="C5922" s="138" t="str">
        <f t="shared" si="418"/>
        <v>Without Amendment</v>
      </c>
      <c r="D5922" s="138" t="str">
        <f t="shared" si="420"/>
        <v>Base_High</v>
      </c>
      <c r="E5922" s="138" t="str">
        <f t="shared" si="419"/>
        <v>Low</v>
      </c>
      <c r="F5922" s="138" t="str">
        <f t="shared" si="416"/>
        <v>Upgraded</v>
      </c>
      <c r="G5922" s="153"/>
      <c r="H5922" s="210">
        <v>1.0500000000000001E-2</v>
      </c>
      <c r="I5922" s="160" t="s">
        <v>168</v>
      </c>
      <c r="J5922" s="160">
        <v>2.4099999999999998E-3</v>
      </c>
      <c r="K5922" s="160" t="s">
        <v>23</v>
      </c>
      <c r="L5922" s="154" t="str">
        <f>IF(OpenLCAbasic!K5922="CTUh", "Fill in Manually",IF(OR(K5922="Unit", K5922=""), "", INDEX(LookUps!$E$5:$E$12, MATCH(OpenLCAbasic!K5922,LookUps!$D$5:$D$12,0))))</f>
        <v>Global Warming Potential (GWP) - kg CO2 eq</v>
      </c>
      <c r="M5922" s="154" t="str">
        <f t="shared" si="417"/>
        <v>Low_Base_High_Upgraded_Global Warming Potential (GWP) - kg CO2 eq_ClearCove SCP; wastewater treatment unit; at updated plant - US_Without Amendment_Windrow</v>
      </c>
    </row>
    <row r="5923" spans="1:13" s="120" customFormat="1" x14ac:dyDescent="0.25">
      <c r="A5923" s="119"/>
      <c r="B5923" s="138" t="str">
        <f t="shared" si="415"/>
        <v>Windrow</v>
      </c>
      <c r="C5923" s="138" t="str">
        <f t="shared" si="418"/>
        <v>Without Amendment</v>
      </c>
      <c r="D5923" s="138" t="str">
        <f t="shared" si="420"/>
        <v>Base_High</v>
      </c>
      <c r="E5923" s="138" t="str">
        <f t="shared" si="419"/>
        <v>Low</v>
      </c>
      <c r="F5923" s="138" t="str">
        <f t="shared" si="416"/>
        <v>Upgraded</v>
      </c>
      <c r="G5923" s="153"/>
      <c r="H5923" s="210">
        <v>-0.56989999999999996</v>
      </c>
      <c r="I5923" s="160" t="s">
        <v>62</v>
      </c>
      <c r="J5923" s="160">
        <v>-0.13092000000000001</v>
      </c>
      <c r="K5923" s="160" t="s">
        <v>23</v>
      </c>
      <c r="L5923" s="154" t="str">
        <f>IF(OpenLCAbasic!K5923="CTUh", "Fill in Manually",IF(OR(K5923="Unit", K5923=""), "", INDEX(LookUps!$E$5:$E$12, MATCH(OpenLCAbasic!K5923,LookUps!$D$5:$D$12,0))))</f>
        <v>Global Warming Potential (GWP) - kg CO2 eq</v>
      </c>
      <c r="M5923" s="154" t="str">
        <f t="shared" si="417"/>
        <v>Low_Base_High_Upgraded_Global Warming Potential (GWP) - kg CO2 eq_Land application of compost; wastewater treatment unit; at updated plant - US_Without Amendment_Windrow</v>
      </c>
    </row>
    <row r="5924" spans="1:13" s="120" customFormat="1" x14ac:dyDescent="0.25">
      <c r="A5924" s="119"/>
      <c r="B5924" s="138" t="str">
        <f t="shared" si="415"/>
        <v>Windrow</v>
      </c>
      <c r="C5924" s="138" t="str">
        <f t="shared" si="418"/>
        <v>Without Amendment</v>
      </c>
      <c r="D5924" s="138" t="str">
        <f t="shared" si="420"/>
        <v>Base_High</v>
      </c>
      <c r="E5924" s="138" t="str">
        <f t="shared" si="419"/>
        <v>Low</v>
      </c>
      <c r="F5924" s="138" t="str">
        <f t="shared" si="416"/>
        <v>Upgraded</v>
      </c>
      <c r="G5924" s="153"/>
      <c r="H5924" s="210">
        <v>-1.9548000000000001</v>
      </c>
      <c r="I5924" s="160" t="s">
        <v>149</v>
      </c>
      <c r="J5924" s="160">
        <v>-0.44908999999999999</v>
      </c>
      <c r="K5924" s="160" t="s">
        <v>23</v>
      </c>
      <c r="L5924" s="154" t="str">
        <f>IF(OpenLCAbasic!K5924="CTUh", "Fill in Manually",IF(OR(K5924="Unit", K5924=""), "", INDEX(LookUps!$E$5:$E$12, MATCH(OpenLCAbasic!K5924,LookUps!$D$5:$D$12,0))))</f>
        <v>Global Warming Potential (GWP) - kg CO2 eq</v>
      </c>
      <c r="M5924" s="154" t="str">
        <f t="shared" si="417"/>
        <v>Low_Base_High_Upgraded_Global Warming Potential (GWP) - kg CO2 eq_Anaerobic Digestion; wastewater treatment unit; at updated plant - US_Without Amendment_Windrow</v>
      </c>
    </row>
    <row r="5925" spans="1:13" s="120" customFormat="1" x14ac:dyDescent="0.25">
      <c r="A5925" s="119"/>
      <c r="B5925" s="138" t="str">
        <f t="shared" si="415"/>
        <v/>
      </c>
      <c r="C5925" s="138" t="str">
        <f t="shared" si="418"/>
        <v/>
      </c>
      <c r="D5925" s="138" t="str">
        <f t="shared" si="420"/>
        <v/>
      </c>
      <c r="E5925" s="138" t="str">
        <f t="shared" si="419"/>
        <v/>
      </c>
      <c r="F5925" s="138" t="str">
        <f t="shared" si="416"/>
        <v/>
      </c>
      <c r="G5925" s="153" t="s">
        <v>51</v>
      </c>
      <c r="H5925" s="160"/>
      <c r="I5925" s="160" t="s">
        <v>47</v>
      </c>
      <c r="J5925" s="160" t="s">
        <v>52</v>
      </c>
      <c r="K5925" s="160" t="s">
        <v>27</v>
      </c>
      <c r="L5925" s="154" t="str">
        <f>IF(OpenLCAbasic!K5925="CTUh", "Fill in Manually",IF(OR(K5925="Unit", K5925=""), "", INDEX(LookUps!$E$5:$E$12, MATCH(OpenLCAbasic!K5925,LookUps!$D$5:$D$12,0))))</f>
        <v/>
      </c>
      <c r="M5925" s="154" t="str">
        <f t="shared" si="417"/>
        <v>____Process__</v>
      </c>
    </row>
    <row r="5926" spans="1:13" s="120" customFormat="1" x14ac:dyDescent="0.25">
      <c r="A5926" s="119"/>
      <c r="B5926" s="138" t="str">
        <f t="shared" si="415"/>
        <v>Windrow</v>
      </c>
      <c r="C5926" s="138" t="str">
        <f t="shared" si="418"/>
        <v>Without Amendment</v>
      </c>
      <c r="D5926" s="138" t="str">
        <f t="shared" si="420"/>
        <v>Base_High</v>
      </c>
      <c r="E5926" s="138" t="str">
        <f t="shared" si="419"/>
        <v>Low</v>
      </c>
      <c r="F5926" s="138" t="str">
        <f t="shared" si="416"/>
        <v>Upgraded</v>
      </c>
      <c r="G5926" s="153"/>
      <c r="H5926" s="210">
        <v>88.380499999999998</v>
      </c>
      <c r="I5926" s="160" t="s">
        <v>55</v>
      </c>
      <c r="J5926" s="160">
        <v>2.33E-3</v>
      </c>
      <c r="K5926" s="160" t="s">
        <v>145</v>
      </c>
      <c r="L5926" s="154" t="str">
        <f>IF(OpenLCAbasic!K5926="CTUh", "Fill in Manually",IF(OR(K5926="Unit", K5926=""), "", INDEX(LookUps!$E$5:$E$12, MATCH(OpenLCAbasic!K5926,LookUps!$D$5:$D$12,0))))</f>
        <v>Particulate Matter Formation Potential (PMFP) - kg PM2.5 eq</v>
      </c>
      <c r="M5926" s="154" t="str">
        <f t="shared" si="417"/>
        <v>Low_Base_High_Upgraded_Particulate Matter Formation Potential (PMFP) - kg PM2.5 eq_Aeration Tanks; wastewater treatment unit; at updated plant - US_Without Amendment_Windrow</v>
      </c>
    </row>
    <row r="5927" spans="1:13" s="120" customFormat="1" x14ac:dyDescent="0.25">
      <c r="A5927" s="119"/>
      <c r="B5927" s="138" t="str">
        <f t="shared" si="415"/>
        <v>Windrow</v>
      </c>
      <c r="C5927" s="138" t="str">
        <f t="shared" si="418"/>
        <v>Without Amendment</v>
      </c>
      <c r="D5927" s="138" t="str">
        <f t="shared" si="420"/>
        <v>Base_High</v>
      </c>
      <c r="E5927" s="138" t="str">
        <f t="shared" si="419"/>
        <v>Low</v>
      </c>
      <c r="F5927" s="138" t="str">
        <f t="shared" si="416"/>
        <v>Upgraded</v>
      </c>
      <c r="G5927" s="153"/>
      <c r="H5927" s="210">
        <v>25.7178</v>
      </c>
      <c r="I5927" s="160" t="s">
        <v>54</v>
      </c>
      <c r="J5927" s="160">
        <v>6.8000000000000005E-4</v>
      </c>
      <c r="K5927" s="160" t="s">
        <v>145</v>
      </c>
      <c r="L5927" s="154" t="str">
        <f>IF(OpenLCAbasic!K5927="CTUh", "Fill in Manually",IF(OR(K5927="Unit", K5927=""), "", INDEX(LookUps!$E$5:$E$12, MATCH(OpenLCAbasic!K5927,LookUps!$D$5:$D$12,0))))</f>
        <v>Particulate Matter Formation Potential (PMFP) - kg PM2.5 eq</v>
      </c>
      <c r="M5927" s="154" t="str">
        <f t="shared" si="417"/>
        <v>Low_Base_High_Upgraded_Particulate Matter Formation Potential (PMFP) - kg PM2.5 eq_Clear Cove Primary Clarification; wastewater treatment unit; at updated plant - US_Without Amendment_Windrow</v>
      </c>
    </row>
    <row r="5928" spans="1:13" s="120" customFormat="1" x14ac:dyDescent="0.25">
      <c r="A5928" s="119"/>
      <c r="B5928" s="138" t="str">
        <f t="shared" ref="B5928:B5991" si="421">IF(F5928="Legacy","n.a.",IF(F5928="","","Windrow"))</f>
        <v>Windrow</v>
      </c>
      <c r="C5928" s="138" t="str">
        <f t="shared" si="418"/>
        <v>Without Amendment</v>
      </c>
      <c r="D5928" s="138" t="str">
        <f t="shared" si="420"/>
        <v>Base_High</v>
      </c>
      <c r="E5928" s="138" t="str">
        <f t="shared" si="419"/>
        <v>Low</v>
      </c>
      <c r="F5928" s="138" t="str">
        <f t="shared" ref="F5928:F5991" si="422">IF(ISNUMBER(J5928),"Upgraded","")</f>
        <v>Upgraded</v>
      </c>
      <c r="G5928" s="153"/>
      <c r="H5928" s="210">
        <v>22.22</v>
      </c>
      <c r="I5928" s="160" t="s">
        <v>58</v>
      </c>
      <c r="J5928" s="160">
        <v>5.9000000000000003E-4</v>
      </c>
      <c r="K5928" s="160" t="s">
        <v>145</v>
      </c>
      <c r="L5928" s="154" t="str">
        <f>IF(OpenLCAbasic!K5928="CTUh", "Fill in Manually",IF(OR(K5928="Unit", K5928=""), "", INDEX(LookUps!$E$5:$E$12, MATCH(OpenLCAbasic!K5928,LookUps!$D$5:$D$12,0))))</f>
        <v>Particulate Matter Formation Potential (PMFP) - kg PM2.5 eq</v>
      </c>
      <c r="M5928" s="154" t="str">
        <f t="shared" si="417"/>
        <v>Low_Base_High_Upgraded_Particulate Matter Formation Potential (PMFP) - kg PM2.5 eq_Pre-Anoxic &amp; Swing tank; wastewater treatment unit; at updated plant - US_Without Amendment_Windrow</v>
      </c>
    </row>
    <row r="5929" spans="1:13" s="120" customFormat="1" x14ac:dyDescent="0.25">
      <c r="A5929" s="119"/>
      <c r="B5929" s="138" t="str">
        <f t="shared" si="421"/>
        <v>Windrow</v>
      </c>
      <c r="C5929" s="138" t="str">
        <f t="shared" si="418"/>
        <v>Without Amendment</v>
      </c>
      <c r="D5929" s="138" t="str">
        <f t="shared" si="420"/>
        <v>Base_High</v>
      </c>
      <c r="E5929" s="138" t="str">
        <f t="shared" si="419"/>
        <v>Low</v>
      </c>
      <c r="F5929" s="138" t="str">
        <f t="shared" si="422"/>
        <v>Upgraded</v>
      </c>
      <c r="G5929" s="153"/>
      <c r="H5929" s="210">
        <v>17.6707</v>
      </c>
      <c r="I5929" s="160" t="s">
        <v>53</v>
      </c>
      <c r="J5929" s="160">
        <v>4.6999999999999999E-4</v>
      </c>
      <c r="K5929" s="160" t="s">
        <v>145</v>
      </c>
      <c r="L5929" s="154" t="str">
        <f>IF(OpenLCAbasic!K5929="CTUh", "Fill in Manually",IF(OR(K5929="Unit", K5929=""), "", INDEX(LookUps!$E$5:$E$12, MATCH(OpenLCAbasic!K5929,LookUps!$D$5:$D$12,0))))</f>
        <v>Particulate Matter Formation Potential (PMFP) - kg PM2.5 eq</v>
      </c>
      <c r="M5929" s="154" t="str">
        <f t="shared" si="417"/>
        <v>Low_Base_High_Upgraded_Particulate Matter Formation Potential (PMFP) - kg PM2.5 eq_Wet Well and Sump Station; wastewater treatment unit; at updated plant - US_Without Amendment_Windrow</v>
      </c>
    </row>
    <row r="5930" spans="1:13" s="120" customFormat="1" x14ac:dyDescent="0.25">
      <c r="A5930" s="119"/>
      <c r="B5930" s="138" t="str">
        <f t="shared" si="421"/>
        <v>Windrow</v>
      </c>
      <c r="C5930" s="138" t="str">
        <f t="shared" si="418"/>
        <v>Without Amendment</v>
      </c>
      <c r="D5930" s="138" t="str">
        <f t="shared" si="420"/>
        <v>Base_High</v>
      </c>
      <c r="E5930" s="138" t="str">
        <f t="shared" si="419"/>
        <v>Low</v>
      </c>
      <c r="F5930" s="138" t="str">
        <f t="shared" si="422"/>
        <v>Upgraded</v>
      </c>
      <c r="G5930" s="153"/>
      <c r="H5930" s="210">
        <v>11.3284</v>
      </c>
      <c r="I5930" s="160" t="s">
        <v>167</v>
      </c>
      <c r="J5930" s="160">
        <v>2.9999999999999997E-4</v>
      </c>
      <c r="K5930" s="160" t="s">
        <v>145</v>
      </c>
      <c r="L5930" s="154" t="str">
        <f>IF(OpenLCAbasic!K5930="CTUh", "Fill in Manually",IF(OR(K5930="Unit", K5930=""), "", INDEX(LookUps!$E$5:$E$12, MATCH(OpenLCAbasic!K5930,LookUps!$D$5:$D$12,0))))</f>
        <v>Particulate Matter Formation Potential (PMFP) - kg PM2.5 eq</v>
      </c>
      <c r="M5930" s="154" t="str">
        <f t="shared" si="417"/>
        <v>Low_Base_High_Upgraded_Particulate Matter Formation Potential (PMFP) - kg PM2.5 eq_Waste Receiving and Holding; wastewater treatment unit; at updated plant - US_Without Amendment_Windrow</v>
      </c>
    </row>
    <row r="5931" spans="1:13" s="120" customFormat="1" x14ac:dyDescent="0.25">
      <c r="A5931" s="119"/>
      <c r="B5931" s="138" t="str">
        <f t="shared" si="421"/>
        <v>Windrow</v>
      </c>
      <c r="C5931" s="138" t="str">
        <f t="shared" si="418"/>
        <v>Without Amendment</v>
      </c>
      <c r="D5931" s="138" t="str">
        <f t="shared" si="420"/>
        <v>Base_High</v>
      </c>
      <c r="E5931" s="138" t="str">
        <f t="shared" si="419"/>
        <v>Low</v>
      </c>
      <c r="F5931" s="138" t="str">
        <f t="shared" si="422"/>
        <v>Upgraded</v>
      </c>
      <c r="G5931" s="153"/>
      <c r="H5931" s="210">
        <v>10.1004</v>
      </c>
      <c r="I5931" s="160" t="s">
        <v>147</v>
      </c>
      <c r="J5931" s="160">
        <v>2.7E-4</v>
      </c>
      <c r="K5931" s="160" t="s">
        <v>145</v>
      </c>
      <c r="L5931" s="154" t="str">
        <f>IF(OpenLCAbasic!K5931="CTUh", "Fill in Manually",IF(OR(K5931="Unit", K5931=""), "", INDEX(LookUps!$E$5:$E$12, MATCH(OpenLCAbasic!K5931,LookUps!$D$5:$D$12,0))))</f>
        <v>Particulate Matter Formation Potential (PMFP) - kg PM2.5 eq</v>
      </c>
      <c r="M5931" s="154" t="str">
        <f t="shared" si="417"/>
        <v>Low_Base_High_Upgraded_Particulate Matter Formation Potential (PMFP) - kg PM2.5 eq_Influent Pump Station; wastewater treatment unit; at updated plant - US_Without Amendment_Windrow</v>
      </c>
    </row>
    <row r="5932" spans="1:13" s="120" customFormat="1" x14ac:dyDescent="0.25">
      <c r="A5932" s="119"/>
      <c r="B5932" s="138" t="str">
        <f t="shared" si="421"/>
        <v>Windrow</v>
      </c>
      <c r="C5932" s="138" t="str">
        <f t="shared" si="418"/>
        <v>Without Amendment</v>
      </c>
      <c r="D5932" s="138" t="str">
        <f t="shared" si="420"/>
        <v>Base_High</v>
      </c>
      <c r="E5932" s="138" t="str">
        <f t="shared" si="419"/>
        <v>Low</v>
      </c>
      <c r="F5932" s="138" t="str">
        <f t="shared" si="422"/>
        <v>Upgraded</v>
      </c>
      <c r="G5932" s="153"/>
      <c r="H5932" s="210">
        <v>6.3036000000000003</v>
      </c>
      <c r="I5932" s="160" t="s">
        <v>128</v>
      </c>
      <c r="J5932" s="160">
        <v>1.7000000000000001E-4</v>
      </c>
      <c r="K5932" s="160" t="s">
        <v>145</v>
      </c>
      <c r="L5932" s="154" t="str">
        <f>IF(OpenLCAbasic!K5932="CTUh", "Fill in Manually",IF(OR(K5932="Unit", K5932=""), "", INDEX(LookUps!$E$5:$E$12, MATCH(OpenLCAbasic!K5932,LookUps!$D$5:$D$12,0))))</f>
        <v>Particulate Matter Formation Potential (PMFP) - kg PM2.5 eq</v>
      </c>
      <c r="M5932" s="154" t="str">
        <f t="shared" si="417"/>
        <v>Low_Base_High_Upgraded_Particulate Matter Formation Potential (PMFP) - kg PM2.5 eq_Wastewater collection; operation and infrastructure; m3 wastewater_Without Amendment_Windrow</v>
      </c>
    </row>
    <row r="5933" spans="1:13" s="120" customFormat="1" x14ac:dyDescent="0.25">
      <c r="A5933" s="119"/>
      <c r="B5933" s="138" t="str">
        <f t="shared" si="421"/>
        <v>Windrow</v>
      </c>
      <c r="C5933" s="138" t="str">
        <f t="shared" si="418"/>
        <v>Without Amendment</v>
      </c>
      <c r="D5933" s="138" t="str">
        <f t="shared" si="420"/>
        <v>Base_High</v>
      </c>
      <c r="E5933" s="138" t="str">
        <f t="shared" si="419"/>
        <v>Low</v>
      </c>
      <c r="F5933" s="138" t="str">
        <f t="shared" si="422"/>
        <v>Upgraded</v>
      </c>
      <c r="G5933" s="153"/>
      <c r="H5933" s="210">
        <v>3.81</v>
      </c>
      <c r="I5933" s="160" t="s">
        <v>60</v>
      </c>
      <c r="J5933" s="160">
        <v>1E-4</v>
      </c>
      <c r="K5933" s="160" t="s">
        <v>145</v>
      </c>
      <c r="L5933" s="154" t="str">
        <f>IF(OpenLCAbasic!K5933="CTUh", "Fill in Manually",IF(OR(K5933="Unit", K5933=""), "", INDEX(LookUps!$E$5:$E$12, MATCH(OpenLCAbasic!K5933,LookUps!$D$5:$D$12,0))))</f>
        <v>Particulate Matter Formation Potential (PMFP) - kg PM2.5 eq</v>
      </c>
      <c r="M5933" s="154" t="str">
        <f t="shared" si="417"/>
        <v>Low_Base_High_Upgraded_Particulate Matter Formation Potential (PMFP) - kg PM2.5 eq_Belt filter press; wastewater treatment unit; at updated plant - US_Without Amendment_Windrow</v>
      </c>
    </row>
    <row r="5934" spans="1:13" s="120" customFormat="1" x14ac:dyDescent="0.25">
      <c r="A5934" s="119"/>
      <c r="B5934" s="138" t="str">
        <f t="shared" si="421"/>
        <v>Windrow</v>
      </c>
      <c r="C5934" s="138" t="str">
        <f t="shared" si="418"/>
        <v>Without Amendment</v>
      </c>
      <c r="D5934" s="138" t="str">
        <f t="shared" si="420"/>
        <v>Base_High</v>
      </c>
      <c r="E5934" s="138" t="str">
        <f t="shared" si="419"/>
        <v>Low</v>
      </c>
      <c r="F5934" s="138" t="str">
        <f t="shared" si="422"/>
        <v>Upgraded</v>
      </c>
      <c r="G5934" s="153"/>
      <c r="H5934" s="210">
        <v>3.6031</v>
      </c>
      <c r="I5934" s="160" t="s">
        <v>57</v>
      </c>
      <c r="J5934" s="211">
        <v>9.5153800000000004E-5</v>
      </c>
      <c r="K5934" s="160" t="s">
        <v>145</v>
      </c>
      <c r="L5934" s="154" t="str">
        <f>IF(OpenLCAbasic!K5934="CTUh", "Fill in Manually",IF(OR(K5934="Unit", K5934=""), "", INDEX(LookUps!$E$5:$E$12, MATCH(OpenLCAbasic!K5934,LookUps!$D$5:$D$12,0))))</f>
        <v>Particulate Matter Formation Potential (PMFP) - kg PM2.5 eq</v>
      </c>
      <c r="M5934" s="154" t="str">
        <f t="shared" si="417"/>
        <v>Low_Base_High_Upgraded_Particulate Matter Formation Potential (PMFP) - kg PM2.5 eq_Gravity Belt Thickener; wastewater treatment unit; at updated plant - US_Without Amendment_Windrow</v>
      </c>
    </row>
    <row r="5935" spans="1:13" s="120" customFormat="1" x14ac:dyDescent="0.25">
      <c r="A5935" s="119"/>
      <c r="B5935" s="138" t="str">
        <f t="shared" si="421"/>
        <v>Windrow</v>
      </c>
      <c r="C5935" s="138" t="str">
        <f t="shared" si="418"/>
        <v>Without Amendment</v>
      </c>
      <c r="D5935" s="138" t="str">
        <f t="shared" si="420"/>
        <v>Base_High</v>
      </c>
      <c r="E5935" s="138" t="str">
        <f t="shared" si="419"/>
        <v>Low</v>
      </c>
      <c r="F5935" s="138" t="str">
        <f t="shared" si="422"/>
        <v>Upgraded</v>
      </c>
      <c r="G5935" s="153"/>
      <c r="H5935" s="210">
        <v>2.6484999999999999</v>
      </c>
      <c r="I5935" s="160" t="s">
        <v>59</v>
      </c>
      <c r="J5935" s="211">
        <v>6.9942200000000003E-5</v>
      </c>
      <c r="K5935" s="160" t="s">
        <v>145</v>
      </c>
      <c r="L5935" s="154" t="str">
        <f>IF(OpenLCAbasic!K5935="CTUh", "Fill in Manually",IF(OR(K5935="Unit", K5935=""), "", INDEX(LookUps!$E$5:$E$12, MATCH(OpenLCAbasic!K5935,LookUps!$D$5:$D$12,0))))</f>
        <v>Particulate Matter Formation Potential (PMFP) - kg PM2.5 eq</v>
      </c>
      <c r="M5935" s="154" t="str">
        <f t="shared" si="417"/>
        <v>Low_Base_High_Upgraded_Particulate Matter Formation Potential (PMFP) - kg PM2.5 eq_Blend Tank; wastewater treatment unit; at updated plant - US_Without Amendment_Windrow</v>
      </c>
    </row>
    <row r="5936" spans="1:13" s="120" customFormat="1" x14ac:dyDescent="0.25">
      <c r="A5936" s="119"/>
      <c r="B5936" s="138" t="str">
        <f t="shared" si="421"/>
        <v>Windrow</v>
      </c>
      <c r="C5936" s="138" t="str">
        <f t="shared" si="418"/>
        <v>Without Amendment</v>
      </c>
      <c r="D5936" s="138" t="str">
        <f t="shared" si="420"/>
        <v>Base_High</v>
      </c>
      <c r="E5936" s="138" t="str">
        <f t="shared" si="419"/>
        <v>Low</v>
      </c>
      <c r="F5936" s="138" t="str">
        <f t="shared" si="422"/>
        <v>Upgraded</v>
      </c>
      <c r="G5936" s="153"/>
      <c r="H5936" s="210">
        <v>1.8923000000000001</v>
      </c>
      <c r="I5936" s="160" t="s">
        <v>48</v>
      </c>
      <c r="J5936" s="211">
        <v>4.99741E-5</v>
      </c>
      <c r="K5936" s="160" t="s">
        <v>145</v>
      </c>
      <c r="L5936" s="154" t="str">
        <f>IF(OpenLCAbasic!K5936="CTUh", "Fill in Manually",IF(OR(K5936="Unit", K5936=""), "", INDEX(LookUps!$E$5:$E$12, MATCH(OpenLCAbasic!K5936,LookUps!$D$5:$D$12,0))))</f>
        <v>Particulate Matter Formation Potential (PMFP) - kg PM2.5 eq</v>
      </c>
      <c r="M5936" s="154" t="str">
        <f t="shared" si="417"/>
        <v>Low_Base_High_Upgraded_Particulate Matter Formation Potential (PMFP) - kg PM2.5 eq_Effluent release; wastewater treatment unit; at surface water; m3 wastewater - US_Without Amendment_Windrow</v>
      </c>
    </row>
    <row r="5937" spans="1:13" s="120" customFormat="1" x14ac:dyDescent="0.25">
      <c r="A5937" s="119"/>
      <c r="B5937" s="138" t="str">
        <f t="shared" si="421"/>
        <v>Windrow</v>
      </c>
      <c r="C5937" s="138" t="str">
        <f t="shared" si="418"/>
        <v>Without Amendment</v>
      </c>
      <c r="D5937" s="138" t="str">
        <f t="shared" si="420"/>
        <v>Base_High</v>
      </c>
      <c r="E5937" s="138" t="str">
        <f t="shared" si="419"/>
        <v>Low</v>
      </c>
      <c r="F5937" s="138" t="str">
        <f t="shared" si="422"/>
        <v>Upgraded</v>
      </c>
      <c r="G5937" s="153"/>
      <c r="H5937" s="210">
        <v>1.3087</v>
      </c>
      <c r="I5937" s="160" t="s">
        <v>168</v>
      </c>
      <c r="J5937" s="211">
        <v>3.4562199999999999E-5</v>
      </c>
      <c r="K5937" s="160" t="s">
        <v>145</v>
      </c>
      <c r="L5937" s="154" t="str">
        <f>IF(OpenLCAbasic!K5937="CTUh", "Fill in Manually",IF(OR(K5937="Unit", K5937=""), "", INDEX(LookUps!$E$5:$E$12, MATCH(OpenLCAbasic!K5937,LookUps!$D$5:$D$12,0))))</f>
        <v>Particulate Matter Formation Potential (PMFP) - kg PM2.5 eq</v>
      </c>
      <c r="M5937" s="154" t="str">
        <f t="shared" si="417"/>
        <v>Low_Base_High_Upgraded_Particulate Matter Formation Potential (PMFP) - kg PM2.5 eq_ClearCove SCP; wastewater treatment unit; at updated plant - US_Without Amendment_Windrow</v>
      </c>
    </row>
    <row r="5938" spans="1:13" s="120" customFormat="1" x14ac:dyDescent="0.25">
      <c r="A5938" s="119"/>
      <c r="B5938" s="138" t="str">
        <f t="shared" si="421"/>
        <v>Windrow</v>
      </c>
      <c r="C5938" s="138" t="str">
        <f t="shared" si="418"/>
        <v>Without Amendment</v>
      </c>
      <c r="D5938" s="138" t="str">
        <f t="shared" si="420"/>
        <v>Base_High</v>
      </c>
      <c r="E5938" s="138" t="str">
        <f t="shared" si="419"/>
        <v>Low</v>
      </c>
      <c r="F5938" s="138" t="str">
        <f t="shared" si="422"/>
        <v>Upgraded</v>
      </c>
      <c r="G5938" s="153"/>
      <c r="H5938" s="210">
        <v>1.2798</v>
      </c>
      <c r="I5938" s="160" t="s">
        <v>62</v>
      </c>
      <c r="J5938" s="211">
        <v>3.3796800000000001E-5</v>
      </c>
      <c r="K5938" s="160" t="s">
        <v>145</v>
      </c>
      <c r="L5938" s="154" t="str">
        <f>IF(OpenLCAbasic!K5938="CTUh", "Fill in Manually",IF(OR(K5938="Unit", K5938=""), "", INDEX(LookUps!$E$5:$E$12, MATCH(OpenLCAbasic!K5938,LookUps!$D$5:$D$12,0))))</f>
        <v>Particulate Matter Formation Potential (PMFP) - kg PM2.5 eq</v>
      </c>
      <c r="M5938" s="154" t="str">
        <f t="shared" si="417"/>
        <v>Low_Base_High_Upgraded_Particulate Matter Formation Potential (PMFP) - kg PM2.5 eq_Land application of compost; wastewater treatment unit; at updated plant - US_Without Amendment_Windrow</v>
      </c>
    </row>
    <row r="5939" spans="1:13" s="120" customFormat="1" x14ac:dyDescent="0.25">
      <c r="A5939" s="119"/>
      <c r="B5939" s="138" t="str">
        <f t="shared" si="421"/>
        <v>Windrow</v>
      </c>
      <c r="C5939" s="138" t="str">
        <f t="shared" si="418"/>
        <v>Without Amendment</v>
      </c>
      <c r="D5939" s="138" t="str">
        <f t="shared" si="420"/>
        <v>Base_High</v>
      </c>
      <c r="E5939" s="138" t="str">
        <f t="shared" si="419"/>
        <v>Low</v>
      </c>
      <c r="F5939" s="138" t="str">
        <f t="shared" si="422"/>
        <v>Upgraded</v>
      </c>
      <c r="G5939" s="153"/>
      <c r="H5939" s="210">
        <v>0.9042</v>
      </c>
      <c r="I5939" s="160" t="s">
        <v>271</v>
      </c>
      <c r="J5939" s="211">
        <v>2.38791E-5</v>
      </c>
      <c r="K5939" s="160" t="s">
        <v>145</v>
      </c>
      <c r="L5939" s="154" t="str">
        <f>IF(OpenLCAbasic!K5939="CTUh", "Fill in Manually",IF(OR(K5939="Unit", K5939=""), "", INDEX(LookUps!$E$5:$E$12, MATCH(OpenLCAbasic!K5939,LookUps!$D$5:$D$12,0))))</f>
        <v>Particulate Matter Formation Potential (PMFP) - kg PM2.5 eq</v>
      </c>
      <c r="M5939" s="154" t="str">
        <f t="shared" si="417"/>
        <v>Low_Base_High_Upgraded_Particulate Matter Formation Potential (PMFP) - kg PM2.5 eq_Biosolids composting; windrow composting; wastewater treatment unit; at updated plant - US_Without Amendment_Windrow</v>
      </c>
    </row>
    <row r="5940" spans="1:13" s="120" customFormat="1" x14ac:dyDescent="0.25">
      <c r="A5940" s="119"/>
      <c r="B5940" s="138" t="str">
        <f t="shared" si="421"/>
        <v>Windrow</v>
      </c>
      <c r="C5940" s="138" t="str">
        <f t="shared" si="418"/>
        <v>Without Amendment</v>
      </c>
      <c r="D5940" s="138" t="str">
        <f t="shared" si="420"/>
        <v>Base_High</v>
      </c>
      <c r="E5940" s="138" t="str">
        <f t="shared" si="419"/>
        <v>Low</v>
      </c>
      <c r="F5940" s="138" t="str">
        <f t="shared" si="422"/>
        <v>Upgraded</v>
      </c>
      <c r="G5940" s="153"/>
      <c r="H5940" s="210">
        <v>0.33400000000000002</v>
      </c>
      <c r="I5940" s="160" t="s">
        <v>148</v>
      </c>
      <c r="J5940" s="211">
        <v>8.8212999999999997E-6</v>
      </c>
      <c r="K5940" s="160" t="s">
        <v>145</v>
      </c>
      <c r="L5940" s="154" t="str">
        <f>IF(OpenLCAbasic!K5940="CTUh", "Fill in Manually",IF(OR(K5940="Unit", K5940=""), "", INDEX(LookUps!$E$5:$E$12, MATCH(OpenLCAbasic!K5940,LookUps!$D$5:$D$12,0))))</f>
        <v>Particulate Matter Formation Potential (PMFP) - kg PM2.5 eq</v>
      </c>
      <c r="M5940" s="154" t="str">
        <f t="shared" si="417"/>
        <v>Low_Base_High_Upgraded_Particulate Matter Formation Potential (PMFP) - kg PM2.5 eq_Control Building; at upgraded wastewater treatment plant - US_Without Amendment_Windrow</v>
      </c>
    </row>
    <row r="5941" spans="1:13" s="120" customFormat="1" x14ac:dyDescent="0.25">
      <c r="A5941" s="119"/>
      <c r="B5941" s="138" t="str">
        <f t="shared" si="421"/>
        <v>Windrow</v>
      </c>
      <c r="C5941" s="138" t="str">
        <f t="shared" si="418"/>
        <v>Without Amendment</v>
      </c>
      <c r="D5941" s="138" t="str">
        <f t="shared" si="420"/>
        <v>Base_High</v>
      </c>
      <c r="E5941" s="138" t="str">
        <f t="shared" si="419"/>
        <v>Low</v>
      </c>
      <c r="F5941" s="138" t="str">
        <f t="shared" si="422"/>
        <v>Upgraded</v>
      </c>
      <c r="G5941" s="153"/>
      <c r="H5941" s="210">
        <v>-198.50229999999999</v>
      </c>
      <c r="I5941" s="160" t="s">
        <v>149</v>
      </c>
      <c r="J5941" s="160">
        <v>-5.2399999999999999E-3</v>
      </c>
      <c r="K5941" s="160" t="s">
        <v>145</v>
      </c>
      <c r="L5941" s="154" t="str">
        <f>IF(OpenLCAbasic!K5941="CTUh", "Fill in Manually",IF(OR(K5941="Unit", K5941=""), "", INDEX(LookUps!$E$5:$E$12, MATCH(OpenLCAbasic!K5941,LookUps!$D$5:$D$12,0))))</f>
        <v>Particulate Matter Formation Potential (PMFP) - kg PM2.5 eq</v>
      </c>
      <c r="M5941" s="154" t="str">
        <f t="shared" si="417"/>
        <v>Low_Base_High_Upgraded_Particulate Matter Formation Potential (PMFP) - kg PM2.5 eq_Anaerobic Digestion; wastewater treatment unit; at updated plant - US_Without Amendment_Windrow</v>
      </c>
    </row>
    <row r="5942" spans="1:13" s="120" customFormat="1" x14ac:dyDescent="0.25">
      <c r="A5942" s="119"/>
      <c r="B5942" s="138" t="str">
        <f t="shared" si="421"/>
        <v/>
      </c>
      <c r="C5942" s="138" t="str">
        <f t="shared" si="418"/>
        <v/>
      </c>
      <c r="D5942" s="138" t="str">
        <f t="shared" si="420"/>
        <v/>
      </c>
      <c r="E5942" s="138" t="str">
        <f t="shared" si="419"/>
        <v/>
      </c>
      <c r="F5942" s="138" t="str">
        <f t="shared" si="422"/>
        <v/>
      </c>
      <c r="G5942" s="153" t="s">
        <v>51</v>
      </c>
      <c r="H5942" s="160"/>
      <c r="I5942" s="160" t="s">
        <v>47</v>
      </c>
      <c r="J5942" s="160" t="s">
        <v>52</v>
      </c>
      <c r="K5942" s="160" t="s">
        <v>27</v>
      </c>
      <c r="L5942" s="154" t="str">
        <f>IF(OpenLCAbasic!K5942="CTUh", "Fill in Manually",IF(OR(K5942="Unit", K5942=""), "", INDEX(LookUps!$E$5:$E$12, MATCH(OpenLCAbasic!K5942,LookUps!$D$5:$D$12,0))))</f>
        <v/>
      </c>
      <c r="M5942" s="154" t="str">
        <f t="shared" si="417"/>
        <v>____Process__</v>
      </c>
    </row>
    <row r="5943" spans="1:13" s="120" customFormat="1" x14ac:dyDescent="0.25">
      <c r="A5943" s="119"/>
      <c r="B5943" s="138" t="str">
        <f t="shared" si="421"/>
        <v>Windrow</v>
      </c>
      <c r="C5943" s="138" t="str">
        <f t="shared" si="418"/>
        <v>Without Amendment</v>
      </c>
      <c r="D5943" s="138" t="str">
        <f t="shared" si="420"/>
        <v>Base_High</v>
      </c>
      <c r="E5943" s="138" t="str">
        <f t="shared" si="419"/>
        <v>Low</v>
      </c>
      <c r="F5943" s="138" t="str">
        <f t="shared" si="422"/>
        <v>Upgraded</v>
      </c>
      <c r="G5943" s="153"/>
      <c r="H5943" s="210">
        <v>84.967399999999998</v>
      </c>
      <c r="I5943" s="160" t="s">
        <v>55</v>
      </c>
      <c r="J5943" s="160">
        <v>0.16577</v>
      </c>
      <c r="K5943" s="160" t="s">
        <v>25</v>
      </c>
      <c r="L5943" s="154" t="str">
        <f>IF(OpenLCAbasic!K5943="CTUh", "Fill in Manually",IF(OR(K5943="Unit", K5943=""), "", INDEX(LookUps!$E$5:$E$12, MATCH(OpenLCAbasic!K5943,LookUps!$D$5:$D$12,0))))</f>
        <v>Smog Formation Potential (SFP) - kg O3 eq</v>
      </c>
      <c r="M5943" s="154" t="str">
        <f t="shared" si="417"/>
        <v>Low_Base_High_Upgraded_Smog Formation Potential (SFP) - kg O3 eq_Aeration Tanks; wastewater treatment unit; at updated plant - US_Without Amendment_Windrow</v>
      </c>
    </row>
    <row r="5944" spans="1:13" s="120" customFormat="1" x14ac:dyDescent="0.25">
      <c r="A5944" s="119"/>
      <c r="B5944" s="138" t="str">
        <f t="shared" si="421"/>
        <v>Windrow</v>
      </c>
      <c r="C5944" s="138" t="str">
        <f t="shared" si="418"/>
        <v>Without Amendment</v>
      </c>
      <c r="D5944" s="138" t="str">
        <f t="shared" si="420"/>
        <v>Base_High</v>
      </c>
      <c r="E5944" s="138" t="str">
        <f t="shared" si="419"/>
        <v>Low</v>
      </c>
      <c r="F5944" s="138" t="str">
        <f t="shared" si="422"/>
        <v>Upgraded</v>
      </c>
      <c r="G5944" s="153"/>
      <c r="H5944" s="210">
        <v>24.6404</v>
      </c>
      <c r="I5944" s="160" t="s">
        <v>54</v>
      </c>
      <c r="J5944" s="160">
        <v>4.8070000000000002E-2</v>
      </c>
      <c r="K5944" s="160" t="s">
        <v>25</v>
      </c>
      <c r="L5944" s="154" t="str">
        <f>IF(OpenLCAbasic!K5944="CTUh", "Fill in Manually",IF(OR(K5944="Unit", K5944=""), "", INDEX(LookUps!$E$5:$E$12, MATCH(OpenLCAbasic!K5944,LookUps!$D$5:$D$12,0))))</f>
        <v>Smog Formation Potential (SFP) - kg O3 eq</v>
      </c>
      <c r="M5944" s="154" t="str">
        <f t="shared" si="417"/>
        <v>Low_Base_High_Upgraded_Smog Formation Potential (SFP) - kg O3 eq_Clear Cove Primary Clarification; wastewater treatment unit; at updated plant - US_Without Amendment_Windrow</v>
      </c>
    </row>
    <row r="5945" spans="1:13" s="120" customFormat="1" x14ac:dyDescent="0.25">
      <c r="A5945" s="119"/>
      <c r="B5945" s="138" t="str">
        <f t="shared" si="421"/>
        <v>Windrow</v>
      </c>
      <c r="C5945" s="138" t="str">
        <f t="shared" si="418"/>
        <v>Without Amendment</v>
      </c>
      <c r="D5945" s="138" t="str">
        <f t="shared" si="420"/>
        <v>Base_High</v>
      </c>
      <c r="E5945" s="138" t="str">
        <f t="shared" si="419"/>
        <v>Low</v>
      </c>
      <c r="F5945" s="138" t="str">
        <f t="shared" si="422"/>
        <v>Upgraded</v>
      </c>
      <c r="G5945" s="153"/>
      <c r="H5945" s="210">
        <v>21.414400000000001</v>
      </c>
      <c r="I5945" s="160" t="s">
        <v>58</v>
      </c>
      <c r="J5945" s="160">
        <v>4.1779999999999998E-2</v>
      </c>
      <c r="K5945" s="160" t="s">
        <v>25</v>
      </c>
      <c r="L5945" s="154" t="str">
        <f>IF(OpenLCAbasic!K5945="CTUh", "Fill in Manually",IF(OR(K5945="Unit", K5945=""), "", INDEX(LookUps!$E$5:$E$12, MATCH(OpenLCAbasic!K5945,LookUps!$D$5:$D$12,0))))</f>
        <v>Smog Formation Potential (SFP) - kg O3 eq</v>
      </c>
      <c r="M5945" s="154" t="str">
        <f t="shared" si="417"/>
        <v>Low_Base_High_Upgraded_Smog Formation Potential (SFP) - kg O3 eq_Pre-Anoxic &amp; Swing tank; wastewater treatment unit; at updated plant - US_Without Amendment_Windrow</v>
      </c>
    </row>
    <row r="5946" spans="1:13" s="120" customFormat="1" x14ac:dyDescent="0.25">
      <c r="A5946" s="119"/>
      <c r="B5946" s="138" t="str">
        <f t="shared" si="421"/>
        <v>Windrow</v>
      </c>
      <c r="C5946" s="138" t="str">
        <f t="shared" si="418"/>
        <v>Without Amendment</v>
      </c>
      <c r="D5946" s="138" t="str">
        <f t="shared" si="420"/>
        <v>Base_High</v>
      </c>
      <c r="E5946" s="138" t="str">
        <f t="shared" si="419"/>
        <v>Low</v>
      </c>
      <c r="F5946" s="138" t="str">
        <f t="shared" si="422"/>
        <v>Upgraded</v>
      </c>
      <c r="G5946" s="153"/>
      <c r="H5946" s="210">
        <v>16.9787</v>
      </c>
      <c r="I5946" s="160" t="s">
        <v>53</v>
      </c>
      <c r="J5946" s="160">
        <v>3.313E-2</v>
      </c>
      <c r="K5946" s="160" t="s">
        <v>25</v>
      </c>
      <c r="L5946" s="154" t="str">
        <f>IF(OpenLCAbasic!K5946="CTUh", "Fill in Manually",IF(OR(K5946="Unit", K5946=""), "", INDEX(LookUps!$E$5:$E$12, MATCH(OpenLCAbasic!K5946,LookUps!$D$5:$D$12,0))))</f>
        <v>Smog Formation Potential (SFP) - kg O3 eq</v>
      </c>
      <c r="M5946" s="154" t="str">
        <f t="shared" si="417"/>
        <v>Low_Base_High_Upgraded_Smog Formation Potential (SFP) - kg O3 eq_Wet Well and Sump Station; wastewater treatment unit; at updated plant - US_Without Amendment_Windrow</v>
      </c>
    </row>
    <row r="5947" spans="1:13" s="120" customFormat="1" x14ac:dyDescent="0.25">
      <c r="A5947" s="119"/>
      <c r="B5947" s="138" t="str">
        <f t="shared" si="421"/>
        <v>Windrow</v>
      </c>
      <c r="C5947" s="138" t="str">
        <f t="shared" si="418"/>
        <v>Without Amendment</v>
      </c>
      <c r="D5947" s="138" t="str">
        <f t="shared" si="420"/>
        <v>Base_High</v>
      </c>
      <c r="E5947" s="138" t="str">
        <f t="shared" si="419"/>
        <v>Low</v>
      </c>
      <c r="F5947" s="138" t="str">
        <f t="shared" si="422"/>
        <v>Upgraded</v>
      </c>
      <c r="G5947" s="153"/>
      <c r="H5947" s="210">
        <v>14.323600000000001</v>
      </c>
      <c r="I5947" s="160" t="s">
        <v>167</v>
      </c>
      <c r="J5947" s="160">
        <v>2.7949999999999999E-2</v>
      </c>
      <c r="K5947" s="160" t="s">
        <v>25</v>
      </c>
      <c r="L5947" s="154" t="str">
        <f>IF(OpenLCAbasic!K5947="CTUh", "Fill in Manually",IF(OR(K5947="Unit", K5947=""), "", INDEX(LookUps!$E$5:$E$12, MATCH(OpenLCAbasic!K5947,LookUps!$D$5:$D$12,0))))</f>
        <v>Smog Formation Potential (SFP) - kg O3 eq</v>
      </c>
      <c r="M5947" s="154" t="str">
        <f t="shared" ref="M5947:M6010" si="423">CONCATENATE(E5947,"_",D5947,"_",F5947,"_",L5947, "_",I5947,"_", C5947,"_", B5947)</f>
        <v>Low_Base_High_Upgraded_Smog Formation Potential (SFP) - kg O3 eq_Waste Receiving and Holding; wastewater treatment unit; at updated plant - US_Without Amendment_Windrow</v>
      </c>
    </row>
    <row r="5948" spans="1:13" s="120" customFormat="1" x14ac:dyDescent="0.25">
      <c r="A5948" s="119"/>
      <c r="B5948" s="138" t="str">
        <f t="shared" si="421"/>
        <v>Windrow</v>
      </c>
      <c r="C5948" s="138" t="str">
        <f t="shared" si="418"/>
        <v>Without Amendment</v>
      </c>
      <c r="D5948" s="138" t="str">
        <f t="shared" si="420"/>
        <v>Base_High</v>
      </c>
      <c r="E5948" s="138" t="str">
        <f t="shared" si="419"/>
        <v>Low</v>
      </c>
      <c r="F5948" s="138" t="str">
        <f t="shared" si="422"/>
        <v>Upgraded</v>
      </c>
      <c r="G5948" s="153"/>
      <c r="H5948" s="210">
        <v>9.9428999999999998</v>
      </c>
      <c r="I5948" s="160" t="s">
        <v>147</v>
      </c>
      <c r="J5948" s="160">
        <v>1.9400000000000001E-2</v>
      </c>
      <c r="K5948" s="160" t="s">
        <v>25</v>
      </c>
      <c r="L5948" s="154" t="str">
        <f>IF(OpenLCAbasic!K5948="CTUh", "Fill in Manually",IF(OR(K5948="Unit", K5948=""), "", INDEX(LookUps!$E$5:$E$12, MATCH(OpenLCAbasic!K5948,LookUps!$D$5:$D$12,0))))</f>
        <v>Smog Formation Potential (SFP) - kg O3 eq</v>
      </c>
      <c r="M5948" s="154" t="str">
        <f t="shared" si="423"/>
        <v>Low_Base_High_Upgraded_Smog Formation Potential (SFP) - kg O3 eq_Influent Pump Station; wastewater treatment unit; at updated plant - US_Without Amendment_Windrow</v>
      </c>
    </row>
    <row r="5949" spans="1:13" s="120" customFormat="1" x14ac:dyDescent="0.25">
      <c r="A5949" s="119"/>
      <c r="B5949" s="138" t="str">
        <f t="shared" si="421"/>
        <v>Windrow</v>
      </c>
      <c r="C5949" s="138" t="str">
        <f t="shared" si="418"/>
        <v>Without Amendment</v>
      </c>
      <c r="D5949" s="138" t="str">
        <f t="shared" si="420"/>
        <v>Base_High</v>
      </c>
      <c r="E5949" s="138" t="str">
        <f t="shared" si="419"/>
        <v>Low</v>
      </c>
      <c r="F5949" s="138" t="str">
        <f t="shared" si="422"/>
        <v>Upgraded</v>
      </c>
      <c r="G5949" s="153"/>
      <c r="H5949" s="210">
        <v>6.1087999999999996</v>
      </c>
      <c r="I5949" s="160" t="s">
        <v>128</v>
      </c>
      <c r="J5949" s="160">
        <v>1.192E-2</v>
      </c>
      <c r="K5949" s="160" t="s">
        <v>25</v>
      </c>
      <c r="L5949" s="154" t="str">
        <f>IF(OpenLCAbasic!K5949="CTUh", "Fill in Manually",IF(OR(K5949="Unit", K5949=""), "", INDEX(LookUps!$E$5:$E$12, MATCH(OpenLCAbasic!K5949,LookUps!$D$5:$D$12,0))))</f>
        <v>Smog Formation Potential (SFP) - kg O3 eq</v>
      </c>
      <c r="M5949" s="154" t="str">
        <f t="shared" si="423"/>
        <v>Low_Base_High_Upgraded_Smog Formation Potential (SFP) - kg O3 eq_Wastewater collection; operation and infrastructure; m3 wastewater_Without Amendment_Windrow</v>
      </c>
    </row>
    <row r="5950" spans="1:13" s="120" customFormat="1" x14ac:dyDescent="0.25">
      <c r="A5950" s="119"/>
      <c r="B5950" s="138" t="str">
        <f t="shared" si="421"/>
        <v>Windrow</v>
      </c>
      <c r="C5950" s="138" t="str">
        <f t="shared" si="418"/>
        <v>Without Amendment</v>
      </c>
      <c r="D5950" s="138" t="str">
        <f t="shared" si="420"/>
        <v>Base_High</v>
      </c>
      <c r="E5950" s="138" t="str">
        <f t="shared" si="419"/>
        <v>Low</v>
      </c>
      <c r="F5950" s="138" t="str">
        <f t="shared" si="422"/>
        <v>Upgraded</v>
      </c>
      <c r="G5950" s="153"/>
      <c r="H5950" s="210">
        <v>3.6271</v>
      </c>
      <c r="I5950" s="160" t="s">
        <v>60</v>
      </c>
      <c r="J5950" s="160">
        <v>7.0800000000000004E-3</v>
      </c>
      <c r="K5950" s="160" t="s">
        <v>25</v>
      </c>
      <c r="L5950" s="154" t="str">
        <f>IF(OpenLCAbasic!K5950="CTUh", "Fill in Manually",IF(OR(K5950="Unit", K5950=""), "", INDEX(LookUps!$E$5:$E$12, MATCH(OpenLCAbasic!K5950,LookUps!$D$5:$D$12,0))))</f>
        <v>Smog Formation Potential (SFP) - kg O3 eq</v>
      </c>
      <c r="M5950" s="154" t="str">
        <f t="shared" si="423"/>
        <v>Low_Base_High_Upgraded_Smog Formation Potential (SFP) - kg O3 eq_Belt filter press; wastewater treatment unit; at updated plant - US_Without Amendment_Windrow</v>
      </c>
    </row>
    <row r="5951" spans="1:13" s="120" customFormat="1" x14ac:dyDescent="0.25">
      <c r="A5951" s="119"/>
      <c r="B5951" s="138" t="str">
        <f t="shared" si="421"/>
        <v>Windrow</v>
      </c>
      <c r="C5951" s="138" t="str">
        <f t="shared" si="418"/>
        <v>Without Amendment</v>
      </c>
      <c r="D5951" s="138" t="str">
        <f t="shared" si="420"/>
        <v>Base_High</v>
      </c>
      <c r="E5951" s="138" t="str">
        <f t="shared" si="419"/>
        <v>Low</v>
      </c>
      <c r="F5951" s="138" t="str">
        <f t="shared" si="422"/>
        <v>Upgraded</v>
      </c>
      <c r="G5951" s="153"/>
      <c r="H5951" s="210">
        <v>3.41</v>
      </c>
      <c r="I5951" s="160" t="s">
        <v>57</v>
      </c>
      <c r="J5951" s="160">
        <v>6.6499999999999997E-3</v>
      </c>
      <c r="K5951" s="160" t="s">
        <v>25</v>
      </c>
      <c r="L5951" s="154" t="str">
        <f>IF(OpenLCAbasic!K5951="CTUh", "Fill in Manually",IF(OR(K5951="Unit", K5951=""), "", INDEX(LookUps!$E$5:$E$12, MATCH(OpenLCAbasic!K5951,LookUps!$D$5:$D$12,0))))</f>
        <v>Smog Formation Potential (SFP) - kg O3 eq</v>
      </c>
      <c r="M5951" s="154" t="str">
        <f t="shared" si="423"/>
        <v>Low_Base_High_Upgraded_Smog Formation Potential (SFP) - kg O3 eq_Gravity Belt Thickener; wastewater treatment unit; at updated plant - US_Without Amendment_Windrow</v>
      </c>
    </row>
    <row r="5952" spans="1:13" s="120" customFormat="1" x14ac:dyDescent="0.25">
      <c r="A5952" s="119"/>
      <c r="B5952" s="138" t="str">
        <f t="shared" si="421"/>
        <v>Windrow</v>
      </c>
      <c r="C5952" s="138" t="str">
        <f t="shared" si="418"/>
        <v>Without Amendment</v>
      </c>
      <c r="D5952" s="138" t="str">
        <f t="shared" si="420"/>
        <v>Base_High</v>
      </c>
      <c r="E5952" s="138" t="str">
        <f t="shared" si="419"/>
        <v>Low</v>
      </c>
      <c r="F5952" s="138" t="str">
        <f t="shared" si="422"/>
        <v>Upgraded</v>
      </c>
      <c r="G5952" s="153"/>
      <c r="H5952" s="210">
        <v>2.5489999999999999</v>
      </c>
      <c r="I5952" s="160" t="s">
        <v>59</v>
      </c>
      <c r="J5952" s="160">
        <v>4.9699999999999996E-3</v>
      </c>
      <c r="K5952" s="160" t="s">
        <v>25</v>
      </c>
      <c r="L5952" s="154" t="str">
        <f>IF(OpenLCAbasic!K5952="CTUh", "Fill in Manually",IF(OR(K5952="Unit", K5952=""), "", INDEX(LookUps!$E$5:$E$12, MATCH(OpenLCAbasic!K5952,LookUps!$D$5:$D$12,0))))</f>
        <v>Smog Formation Potential (SFP) - kg O3 eq</v>
      </c>
      <c r="M5952" s="154" t="str">
        <f t="shared" si="423"/>
        <v>Low_Base_High_Upgraded_Smog Formation Potential (SFP) - kg O3 eq_Blend Tank; wastewater treatment unit; at updated plant - US_Without Amendment_Windrow</v>
      </c>
    </row>
    <row r="5953" spans="1:13" s="120" customFormat="1" x14ac:dyDescent="0.25">
      <c r="A5953" s="119"/>
      <c r="B5953" s="138" t="str">
        <f t="shared" si="421"/>
        <v>Windrow</v>
      </c>
      <c r="C5953" s="138" t="str">
        <f t="shared" ref="C5953:C6016" si="424">IF(ISNUMBER($J5953),"Without Amendment","")</f>
        <v>Without Amendment</v>
      </c>
      <c r="D5953" s="138" t="str">
        <f t="shared" si="420"/>
        <v>Base_High</v>
      </c>
      <c r="E5953" s="138" t="str">
        <f t="shared" ref="E5953:E6016" si="425">IF(ISNUMBER($J5953),"Low","")</f>
        <v>Low</v>
      </c>
      <c r="F5953" s="138" t="str">
        <f t="shared" si="422"/>
        <v>Upgraded</v>
      </c>
      <c r="G5953" s="153"/>
      <c r="H5953" s="210">
        <v>1.7351000000000001</v>
      </c>
      <c r="I5953" s="160" t="s">
        <v>48</v>
      </c>
      <c r="J5953" s="160">
        <v>3.3899999999999998E-3</v>
      </c>
      <c r="K5953" s="160" t="s">
        <v>25</v>
      </c>
      <c r="L5953" s="154" t="str">
        <f>IF(OpenLCAbasic!K5953="CTUh", "Fill in Manually",IF(OR(K5953="Unit", K5953=""), "", INDEX(LookUps!$E$5:$E$12, MATCH(OpenLCAbasic!K5953,LookUps!$D$5:$D$12,0))))</f>
        <v>Smog Formation Potential (SFP) - kg O3 eq</v>
      </c>
      <c r="M5953" s="154" t="str">
        <f t="shared" si="423"/>
        <v>Low_Base_High_Upgraded_Smog Formation Potential (SFP) - kg O3 eq_Effluent release; wastewater treatment unit; at surface water; m3 wastewater - US_Without Amendment_Windrow</v>
      </c>
    </row>
    <row r="5954" spans="1:13" s="120" customFormat="1" x14ac:dyDescent="0.25">
      <c r="A5954" s="119"/>
      <c r="B5954" s="138" t="str">
        <f t="shared" si="421"/>
        <v>Windrow</v>
      </c>
      <c r="C5954" s="138" t="str">
        <f t="shared" si="424"/>
        <v>Without Amendment</v>
      </c>
      <c r="D5954" s="138" t="str">
        <f t="shared" si="420"/>
        <v>Base_High</v>
      </c>
      <c r="E5954" s="138" t="str">
        <f t="shared" si="425"/>
        <v>Low</v>
      </c>
      <c r="F5954" s="138" t="str">
        <f t="shared" si="422"/>
        <v>Upgraded</v>
      </c>
      <c r="G5954" s="153"/>
      <c r="H5954" s="210">
        <v>1.2584</v>
      </c>
      <c r="I5954" s="160" t="s">
        <v>168</v>
      </c>
      <c r="J5954" s="160">
        <v>2.4599999999999999E-3</v>
      </c>
      <c r="K5954" s="160" t="s">
        <v>25</v>
      </c>
      <c r="L5954" s="154" t="str">
        <f>IF(OpenLCAbasic!K5954="CTUh", "Fill in Manually",IF(OR(K5954="Unit", K5954=""), "", INDEX(LookUps!$E$5:$E$12, MATCH(OpenLCAbasic!K5954,LookUps!$D$5:$D$12,0))))</f>
        <v>Smog Formation Potential (SFP) - kg O3 eq</v>
      </c>
      <c r="M5954" s="154" t="str">
        <f t="shared" si="423"/>
        <v>Low_Base_High_Upgraded_Smog Formation Potential (SFP) - kg O3 eq_ClearCove SCP; wastewater treatment unit; at updated plant - US_Without Amendment_Windrow</v>
      </c>
    </row>
    <row r="5955" spans="1:13" s="120" customFormat="1" x14ac:dyDescent="0.25">
      <c r="A5955" s="119"/>
      <c r="B5955" s="138" t="str">
        <f t="shared" si="421"/>
        <v>Windrow</v>
      </c>
      <c r="C5955" s="138" t="str">
        <f t="shared" si="424"/>
        <v>Without Amendment</v>
      </c>
      <c r="D5955" s="138" t="str">
        <f t="shared" si="420"/>
        <v>Base_High</v>
      </c>
      <c r="E5955" s="138" t="str">
        <f t="shared" si="425"/>
        <v>Low</v>
      </c>
      <c r="F5955" s="138" t="str">
        <f t="shared" si="422"/>
        <v>Upgraded</v>
      </c>
      <c r="G5955" s="153"/>
      <c r="H5955" s="210">
        <v>0.27610000000000001</v>
      </c>
      <c r="I5955" s="160" t="s">
        <v>148</v>
      </c>
      <c r="J5955" s="160">
        <v>5.4000000000000001E-4</v>
      </c>
      <c r="K5955" s="160" t="s">
        <v>25</v>
      </c>
      <c r="L5955" s="154" t="str">
        <f>IF(OpenLCAbasic!K5955="CTUh", "Fill in Manually",IF(OR(K5955="Unit", K5955=""), "", INDEX(LookUps!$E$5:$E$12, MATCH(OpenLCAbasic!K5955,LookUps!$D$5:$D$12,0))))</f>
        <v>Smog Formation Potential (SFP) - kg O3 eq</v>
      </c>
      <c r="M5955" s="154" t="str">
        <f t="shared" si="423"/>
        <v>Low_Base_High_Upgraded_Smog Formation Potential (SFP) - kg O3 eq_Control Building; at upgraded wastewater treatment plant - US_Without Amendment_Windrow</v>
      </c>
    </row>
    <row r="5956" spans="1:13" s="120" customFormat="1" x14ac:dyDescent="0.25">
      <c r="A5956" s="119"/>
      <c r="B5956" s="138" t="str">
        <f t="shared" si="421"/>
        <v>Windrow</v>
      </c>
      <c r="C5956" s="138" t="str">
        <f t="shared" si="424"/>
        <v>Without Amendment</v>
      </c>
      <c r="D5956" s="138" t="str">
        <f t="shared" si="420"/>
        <v>Base_High</v>
      </c>
      <c r="E5956" s="138" t="str">
        <f t="shared" si="425"/>
        <v>Low</v>
      </c>
      <c r="F5956" s="138" t="str">
        <f t="shared" si="422"/>
        <v>Upgraded</v>
      </c>
      <c r="G5956" s="153"/>
      <c r="H5956" s="210">
        <v>0.1875</v>
      </c>
      <c r="I5956" s="160" t="s">
        <v>271</v>
      </c>
      <c r="J5956" s="160">
        <v>3.6999999999999999E-4</v>
      </c>
      <c r="K5956" s="160" t="s">
        <v>25</v>
      </c>
      <c r="L5956" s="154" t="str">
        <f>IF(OpenLCAbasic!K5956="CTUh", "Fill in Manually",IF(OR(K5956="Unit", K5956=""), "", INDEX(LookUps!$E$5:$E$12, MATCH(OpenLCAbasic!K5956,LookUps!$D$5:$D$12,0))))</f>
        <v>Smog Formation Potential (SFP) - kg O3 eq</v>
      </c>
      <c r="M5956" s="154" t="str">
        <f t="shared" si="423"/>
        <v>Low_Base_High_Upgraded_Smog Formation Potential (SFP) - kg O3 eq_Biosolids composting; windrow composting; wastewater treatment unit; at updated plant - US_Without Amendment_Windrow</v>
      </c>
    </row>
    <row r="5957" spans="1:13" s="120" customFormat="1" x14ac:dyDescent="0.25">
      <c r="A5957" s="119"/>
      <c r="B5957" s="138" t="str">
        <f t="shared" si="421"/>
        <v>Windrow</v>
      </c>
      <c r="C5957" s="138" t="str">
        <f t="shared" si="424"/>
        <v>Without Amendment</v>
      </c>
      <c r="D5957" s="138" t="str">
        <f t="shared" si="420"/>
        <v>Base_High</v>
      </c>
      <c r="E5957" s="138" t="str">
        <f t="shared" si="425"/>
        <v>Low</v>
      </c>
      <c r="F5957" s="138" t="str">
        <f t="shared" si="422"/>
        <v>Upgraded</v>
      </c>
      <c r="G5957" s="153"/>
      <c r="H5957" s="210">
        <v>-0.88970000000000005</v>
      </c>
      <c r="I5957" s="160" t="s">
        <v>62</v>
      </c>
      <c r="J5957" s="160">
        <v>-1.74E-3</v>
      </c>
      <c r="K5957" s="160" t="s">
        <v>25</v>
      </c>
      <c r="L5957" s="154" t="str">
        <f>IF(OpenLCAbasic!K5957="CTUh", "Fill in Manually",IF(OR(K5957="Unit", K5957=""), "", INDEX(LookUps!$E$5:$E$12, MATCH(OpenLCAbasic!K5957,LookUps!$D$5:$D$12,0))))</f>
        <v>Smog Formation Potential (SFP) - kg O3 eq</v>
      </c>
      <c r="M5957" s="154" t="str">
        <f t="shared" si="423"/>
        <v>Low_Base_High_Upgraded_Smog Formation Potential (SFP) - kg O3 eq_Land application of compost; wastewater treatment unit; at updated plant - US_Without Amendment_Windrow</v>
      </c>
    </row>
    <row r="5958" spans="1:13" s="120" customFormat="1" x14ac:dyDescent="0.25">
      <c r="A5958" s="119"/>
      <c r="B5958" s="138" t="str">
        <f t="shared" si="421"/>
        <v>Windrow</v>
      </c>
      <c r="C5958" s="138" t="str">
        <f t="shared" si="424"/>
        <v>Without Amendment</v>
      </c>
      <c r="D5958" s="138" t="str">
        <f t="shared" si="420"/>
        <v>Base_High</v>
      </c>
      <c r="E5958" s="138" t="str">
        <f t="shared" si="425"/>
        <v>Low</v>
      </c>
      <c r="F5958" s="138" t="str">
        <f t="shared" si="422"/>
        <v>Upgraded</v>
      </c>
      <c r="G5958" s="153"/>
      <c r="H5958" s="210">
        <v>-191.52979999999999</v>
      </c>
      <c r="I5958" s="160" t="s">
        <v>149</v>
      </c>
      <c r="J5958" s="160">
        <v>-0.37367</v>
      </c>
      <c r="K5958" s="160" t="s">
        <v>25</v>
      </c>
      <c r="L5958" s="154" t="str">
        <f>IF(OpenLCAbasic!K5958="CTUh", "Fill in Manually",IF(OR(K5958="Unit", K5958=""), "", INDEX(LookUps!$E$5:$E$12, MATCH(OpenLCAbasic!K5958,LookUps!$D$5:$D$12,0))))</f>
        <v>Smog Formation Potential (SFP) - kg O3 eq</v>
      </c>
      <c r="M5958" s="154" t="str">
        <f t="shared" si="423"/>
        <v>Low_Base_High_Upgraded_Smog Formation Potential (SFP) - kg O3 eq_Anaerobic Digestion; wastewater treatment unit; at updated plant - US_Without Amendment_Windrow</v>
      </c>
    </row>
    <row r="5959" spans="1:13" s="120" customFormat="1" x14ac:dyDescent="0.25">
      <c r="A5959" s="119"/>
      <c r="B5959" s="138" t="str">
        <f t="shared" si="421"/>
        <v/>
      </c>
      <c r="C5959" s="138" t="str">
        <f t="shared" si="424"/>
        <v/>
      </c>
      <c r="D5959" s="138" t="str">
        <f t="shared" si="420"/>
        <v/>
      </c>
      <c r="E5959" s="138" t="str">
        <f t="shared" si="425"/>
        <v/>
      </c>
      <c r="F5959" s="138" t="str">
        <f t="shared" si="422"/>
        <v/>
      </c>
      <c r="G5959" s="153" t="s">
        <v>51</v>
      </c>
      <c r="H5959" s="160"/>
      <c r="I5959" s="160" t="s">
        <v>47</v>
      </c>
      <c r="J5959" s="160" t="s">
        <v>52</v>
      </c>
      <c r="K5959" s="160" t="s">
        <v>27</v>
      </c>
      <c r="L5959" s="154" t="str">
        <f>IF(OpenLCAbasic!K5959="CTUh", "Fill in Manually",IF(OR(K5959="Unit", K5959=""), "", INDEX(LookUps!$E$5:$E$12, MATCH(OpenLCAbasic!K5959,LookUps!$D$5:$D$12,0))))</f>
        <v/>
      </c>
      <c r="M5959" s="154" t="str">
        <f t="shared" si="423"/>
        <v>____Process__</v>
      </c>
    </row>
    <row r="5960" spans="1:13" s="120" customFormat="1" x14ac:dyDescent="0.25">
      <c r="A5960" s="119"/>
      <c r="B5960" s="138" t="str">
        <f t="shared" si="421"/>
        <v>Windrow</v>
      </c>
      <c r="C5960" s="138" t="str">
        <f t="shared" si="424"/>
        <v>Without Amendment</v>
      </c>
      <c r="D5960" s="138" t="str">
        <f t="shared" si="420"/>
        <v>Base_High</v>
      </c>
      <c r="E5960" s="138" t="str">
        <f t="shared" si="425"/>
        <v>Low</v>
      </c>
      <c r="F5960" s="138" t="str">
        <f t="shared" si="422"/>
        <v>Upgraded</v>
      </c>
      <c r="G5960" s="153"/>
      <c r="H5960" s="210">
        <v>0.70989999999999998</v>
      </c>
      <c r="I5960" s="160" t="s">
        <v>167</v>
      </c>
      <c r="J5960" s="160">
        <v>2.3000000000000001E-4</v>
      </c>
      <c r="K5960" s="160" t="s">
        <v>26</v>
      </c>
      <c r="L5960" s="154" t="str">
        <f>IF(OpenLCAbasic!K5960="CTUh", "Fill in Manually",IF(OR(K5960="Unit", K5960=""), "", INDEX(LookUps!$E$5:$E$12, MATCH(OpenLCAbasic!K5960,LookUps!$D$5:$D$12,0))))</f>
        <v>Water Use (WU) - m3 H2O</v>
      </c>
      <c r="M5960" s="154" t="str">
        <f t="shared" si="423"/>
        <v>Low_Base_High_Upgraded_Water Use (WU) - m3 H2O_Waste Receiving and Holding; wastewater treatment unit; at updated plant - US_Without Amendment_Windrow</v>
      </c>
    </row>
    <row r="5961" spans="1:13" s="120" customFormat="1" x14ac:dyDescent="0.25">
      <c r="A5961" s="119"/>
      <c r="B5961" s="138" t="str">
        <f t="shared" si="421"/>
        <v>Windrow</v>
      </c>
      <c r="C5961" s="138" t="str">
        <f t="shared" si="424"/>
        <v>Without Amendment</v>
      </c>
      <c r="D5961" s="138" t="str">
        <f t="shared" si="420"/>
        <v>Base_High</v>
      </c>
      <c r="E5961" s="138" t="str">
        <f t="shared" si="425"/>
        <v>Low</v>
      </c>
      <c r="F5961" s="138" t="str">
        <f t="shared" si="422"/>
        <v>Upgraded</v>
      </c>
      <c r="G5961" s="153"/>
      <c r="H5961" s="210">
        <v>0.56169999999999998</v>
      </c>
      <c r="I5961" s="160" t="s">
        <v>147</v>
      </c>
      <c r="J5961" s="160">
        <v>1.8000000000000001E-4</v>
      </c>
      <c r="K5961" s="160" t="s">
        <v>26</v>
      </c>
      <c r="L5961" s="154" t="str">
        <f>IF(OpenLCAbasic!K5961="CTUh", "Fill in Manually",IF(OR(K5961="Unit", K5961=""), "", INDEX(LookUps!$E$5:$E$12, MATCH(OpenLCAbasic!K5961,LookUps!$D$5:$D$12,0))))</f>
        <v>Water Use (WU) - m3 H2O</v>
      </c>
      <c r="M5961" s="154" t="str">
        <f t="shared" si="423"/>
        <v>Low_Base_High_Upgraded_Water Use (WU) - m3 H2O_Influent Pump Station; wastewater treatment unit; at updated plant - US_Without Amendment_Windrow</v>
      </c>
    </row>
    <row r="5962" spans="1:13" s="120" customFormat="1" x14ac:dyDescent="0.25">
      <c r="A5962" s="119"/>
      <c r="B5962" s="138" t="str">
        <f t="shared" si="421"/>
        <v>Windrow</v>
      </c>
      <c r="C5962" s="138" t="str">
        <f t="shared" si="424"/>
        <v>Without Amendment</v>
      </c>
      <c r="D5962" s="138" t="str">
        <f t="shared" si="420"/>
        <v>Base_High</v>
      </c>
      <c r="E5962" s="138" t="str">
        <f t="shared" si="425"/>
        <v>Low</v>
      </c>
      <c r="F5962" s="138" t="str">
        <f t="shared" si="422"/>
        <v>Upgraded</v>
      </c>
      <c r="G5962" s="153"/>
      <c r="H5962" s="210">
        <v>0.54810000000000003</v>
      </c>
      <c r="I5962" s="160" t="s">
        <v>54</v>
      </c>
      <c r="J5962" s="160">
        <v>1.8000000000000001E-4</v>
      </c>
      <c r="K5962" s="160" t="s">
        <v>26</v>
      </c>
      <c r="L5962" s="154" t="str">
        <f>IF(OpenLCAbasic!K5962="CTUh", "Fill in Manually",IF(OR(K5962="Unit", K5962=""), "", INDEX(LookUps!$E$5:$E$12, MATCH(OpenLCAbasic!K5962,LookUps!$D$5:$D$12,0))))</f>
        <v>Water Use (WU) - m3 H2O</v>
      </c>
      <c r="M5962" s="154" t="str">
        <f t="shared" si="423"/>
        <v>Low_Base_High_Upgraded_Water Use (WU) - m3 H2O_Clear Cove Primary Clarification; wastewater treatment unit; at updated plant - US_Without Amendment_Windrow</v>
      </c>
    </row>
    <row r="5963" spans="1:13" s="120" customFormat="1" x14ac:dyDescent="0.25">
      <c r="A5963" s="119"/>
      <c r="B5963" s="138" t="str">
        <f t="shared" si="421"/>
        <v>Windrow</v>
      </c>
      <c r="C5963" s="138" t="str">
        <f t="shared" si="424"/>
        <v>Without Amendment</v>
      </c>
      <c r="D5963" s="138" t="str">
        <f t="shared" si="420"/>
        <v>Base_High</v>
      </c>
      <c r="E5963" s="138" t="str">
        <f t="shared" si="425"/>
        <v>Low</v>
      </c>
      <c r="F5963" s="138" t="str">
        <f t="shared" si="422"/>
        <v>Upgraded</v>
      </c>
      <c r="G5963" s="153"/>
      <c r="H5963" s="210">
        <v>0.49719999999999998</v>
      </c>
      <c r="I5963" s="160" t="s">
        <v>55</v>
      </c>
      <c r="J5963" s="160">
        <v>1.6000000000000001E-4</v>
      </c>
      <c r="K5963" s="160" t="s">
        <v>26</v>
      </c>
      <c r="L5963" s="154" t="str">
        <f>IF(OpenLCAbasic!K5963="CTUh", "Fill in Manually",IF(OR(K5963="Unit", K5963=""), "", INDEX(LookUps!$E$5:$E$12, MATCH(OpenLCAbasic!K5963,LookUps!$D$5:$D$12,0))))</f>
        <v>Water Use (WU) - m3 H2O</v>
      </c>
      <c r="M5963" s="154" t="str">
        <f t="shared" si="423"/>
        <v>Low_Base_High_Upgraded_Water Use (WU) - m3 H2O_Aeration Tanks; wastewater treatment unit; at updated plant - US_Without Amendment_Windrow</v>
      </c>
    </row>
    <row r="5964" spans="1:13" s="120" customFormat="1" x14ac:dyDescent="0.25">
      <c r="A5964" s="119"/>
      <c r="B5964" s="138" t="str">
        <f t="shared" si="421"/>
        <v>Windrow</v>
      </c>
      <c r="C5964" s="138" t="str">
        <f t="shared" si="424"/>
        <v>Without Amendment</v>
      </c>
      <c r="D5964" s="138" t="str">
        <f t="shared" si="420"/>
        <v>Base_High</v>
      </c>
      <c r="E5964" s="138" t="str">
        <f t="shared" si="425"/>
        <v>Low</v>
      </c>
      <c r="F5964" s="138" t="str">
        <f t="shared" si="422"/>
        <v>Upgraded</v>
      </c>
      <c r="G5964" s="153"/>
      <c r="H5964" s="210">
        <v>0.45290000000000002</v>
      </c>
      <c r="I5964" s="160" t="s">
        <v>148</v>
      </c>
      <c r="J5964" s="160">
        <v>1.4999999999999999E-4</v>
      </c>
      <c r="K5964" s="160" t="s">
        <v>26</v>
      </c>
      <c r="L5964" s="154" t="str">
        <f>IF(OpenLCAbasic!K5964="CTUh", "Fill in Manually",IF(OR(K5964="Unit", K5964=""), "", INDEX(LookUps!$E$5:$E$12, MATCH(OpenLCAbasic!K5964,LookUps!$D$5:$D$12,0))))</f>
        <v>Water Use (WU) - m3 H2O</v>
      </c>
      <c r="M5964" s="154" t="str">
        <f t="shared" si="423"/>
        <v>Low_Base_High_Upgraded_Water Use (WU) - m3 H2O_Control Building; at upgraded wastewater treatment plant - US_Without Amendment_Windrow</v>
      </c>
    </row>
    <row r="5965" spans="1:13" s="120" customFormat="1" x14ac:dyDescent="0.25">
      <c r="A5965" s="119"/>
      <c r="B5965" s="138" t="str">
        <f t="shared" si="421"/>
        <v>Windrow</v>
      </c>
      <c r="C5965" s="138" t="str">
        <f t="shared" si="424"/>
        <v>Without Amendment</v>
      </c>
      <c r="D5965" s="138" t="str">
        <f t="shared" si="420"/>
        <v>Base_High</v>
      </c>
      <c r="E5965" s="138" t="str">
        <f t="shared" si="425"/>
        <v>Low</v>
      </c>
      <c r="F5965" s="138" t="str">
        <f t="shared" si="422"/>
        <v>Upgraded</v>
      </c>
      <c r="G5965" s="153"/>
      <c r="H5965" s="210">
        <v>0.21029999999999999</v>
      </c>
      <c r="I5965" s="160" t="s">
        <v>48</v>
      </c>
      <c r="J5965" s="211">
        <v>6.8836400000000004E-5</v>
      </c>
      <c r="K5965" s="160" t="s">
        <v>26</v>
      </c>
      <c r="L5965" s="154" t="str">
        <f>IF(OpenLCAbasic!K5965="CTUh", "Fill in Manually",IF(OR(K5965="Unit", K5965=""), "", INDEX(LookUps!$E$5:$E$12, MATCH(OpenLCAbasic!K5965,LookUps!$D$5:$D$12,0))))</f>
        <v>Water Use (WU) - m3 H2O</v>
      </c>
      <c r="M5965" s="154" t="str">
        <f t="shared" si="423"/>
        <v>Low_Base_High_Upgraded_Water Use (WU) - m3 H2O_Effluent release; wastewater treatment unit; at surface water; m3 wastewater - US_Without Amendment_Windrow</v>
      </c>
    </row>
    <row r="5966" spans="1:13" s="120" customFormat="1" x14ac:dyDescent="0.25">
      <c r="A5966" s="119"/>
      <c r="B5966" s="138" t="str">
        <f t="shared" si="421"/>
        <v>Windrow</v>
      </c>
      <c r="C5966" s="138" t="str">
        <f t="shared" si="424"/>
        <v>Without Amendment</v>
      </c>
      <c r="D5966" s="138" t="str">
        <f t="shared" si="420"/>
        <v>Base_High</v>
      </c>
      <c r="E5966" s="138" t="str">
        <f t="shared" si="425"/>
        <v>Low</v>
      </c>
      <c r="F5966" s="138" t="str">
        <f t="shared" si="422"/>
        <v>Upgraded</v>
      </c>
      <c r="G5966" s="153"/>
      <c r="H5966" s="210">
        <v>0.13200000000000001</v>
      </c>
      <c r="I5966" s="160" t="s">
        <v>58</v>
      </c>
      <c r="J5966" s="211">
        <v>4.3192100000000003E-5</v>
      </c>
      <c r="K5966" s="160" t="s">
        <v>26</v>
      </c>
      <c r="L5966" s="154" t="str">
        <f>IF(OpenLCAbasic!K5966="CTUh", "Fill in Manually",IF(OR(K5966="Unit", K5966=""), "", INDEX(LookUps!$E$5:$E$12, MATCH(OpenLCAbasic!K5966,LookUps!$D$5:$D$12,0))))</f>
        <v>Water Use (WU) - m3 H2O</v>
      </c>
      <c r="M5966" s="154" t="str">
        <f t="shared" si="423"/>
        <v>Low_Base_High_Upgraded_Water Use (WU) - m3 H2O_Pre-Anoxic &amp; Swing tank; wastewater treatment unit; at updated plant - US_Without Amendment_Windrow</v>
      </c>
    </row>
    <row r="5967" spans="1:13" s="120" customFormat="1" x14ac:dyDescent="0.25">
      <c r="A5967" s="119"/>
      <c r="B5967" s="138" t="str">
        <f t="shared" si="421"/>
        <v>Windrow</v>
      </c>
      <c r="C5967" s="138" t="str">
        <f t="shared" si="424"/>
        <v>Without Amendment</v>
      </c>
      <c r="D5967" s="138" t="str">
        <f t="shared" si="420"/>
        <v>Base_High</v>
      </c>
      <c r="E5967" s="138" t="str">
        <f t="shared" si="425"/>
        <v>Low</v>
      </c>
      <c r="F5967" s="138" t="str">
        <f t="shared" si="422"/>
        <v>Upgraded</v>
      </c>
      <c r="G5967" s="153"/>
      <c r="H5967" s="210">
        <v>9.2899999999999996E-2</v>
      </c>
      <c r="I5967" s="160" t="s">
        <v>57</v>
      </c>
      <c r="J5967" s="211">
        <v>3.0408100000000001E-5</v>
      </c>
      <c r="K5967" s="160" t="s">
        <v>26</v>
      </c>
      <c r="L5967" s="154" t="str">
        <f>IF(OpenLCAbasic!K5967="CTUh", "Fill in Manually",IF(OR(K5967="Unit", K5967=""), "", INDEX(LookUps!$E$5:$E$12, MATCH(OpenLCAbasic!K5967,LookUps!$D$5:$D$12,0))))</f>
        <v>Water Use (WU) - m3 H2O</v>
      </c>
      <c r="M5967" s="154" t="str">
        <f t="shared" si="423"/>
        <v>Low_Base_High_Upgraded_Water Use (WU) - m3 H2O_Gravity Belt Thickener; wastewater treatment unit; at updated plant - US_Without Amendment_Windrow</v>
      </c>
    </row>
    <row r="5968" spans="1:13" s="120" customFormat="1" x14ac:dyDescent="0.25">
      <c r="A5968" s="119"/>
      <c r="B5968" s="138" t="str">
        <f t="shared" si="421"/>
        <v>Windrow</v>
      </c>
      <c r="C5968" s="138" t="str">
        <f t="shared" si="424"/>
        <v>Without Amendment</v>
      </c>
      <c r="D5968" s="138" t="str">
        <f t="shared" si="420"/>
        <v>Base_High</v>
      </c>
      <c r="E5968" s="138" t="str">
        <f t="shared" si="425"/>
        <v>Low</v>
      </c>
      <c r="F5968" s="138" t="str">
        <f t="shared" si="422"/>
        <v>Upgraded</v>
      </c>
      <c r="G5968" s="153"/>
      <c r="H5968" s="210">
        <v>6.4600000000000005E-2</v>
      </c>
      <c r="I5968" s="160" t="s">
        <v>60</v>
      </c>
      <c r="J5968" s="211">
        <v>2.1135600000000001E-5</v>
      </c>
      <c r="K5968" s="160" t="s">
        <v>26</v>
      </c>
      <c r="L5968" s="154" t="str">
        <f>IF(OpenLCAbasic!K5968="CTUh", "Fill in Manually",IF(OR(K5968="Unit", K5968=""), "", INDEX(LookUps!$E$5:$E$12, MATCH(OpenLCAbasic!K5968,LookUps!$D$5:$D$12,0))))</f>
        <v>Water Use (WU) - m3 H2O</v>
      </c>
      <c r="M5968" s="154" t="str">
        <f t="shared" si="423"/>
        <v>Low_Base_High_Upgraded_Water Use (WU) - m3 H2O_Belt filter press; wastewater treatment unit; at updated plant - US_Without Amendment_Windrow</v>
      </c>
    </row>
    <row r="5969" spans="1:13" s="120" customFormat="1" x14ac:dyDescent="0.25">
      <c r="A5969" s="119"/>
      <c r="B5969" s="138" t="str">
        <f t="shared" si="421"/>
        <v>Windrow</v>
      </c>
      <c r="C5969" s="138" t="str">
        <f t="shared" si="424"/>
        <v>Without Amendment</v>
      </c>
      <c r="D5969" s="138" t="str">
        <f t="shared" ref="D5969:D5975" si="426">IF(ISNUMBER($J5969),"Base_High","")</f>
        <v>Base_High</v>
      </c>
      <c r="E5969" s="138" t="str">
        <f t="shared" si="425"/>
        <v>Low</v>
      </c>
      <c r="F5969" s="138" t="str">
        <f t="shared" si="422"/>
        <v>Upgraded</v>
      </c>
      <c r="G5969" s="153"/>
      <c r="H5969" s="210">
        <v>5.3499999999999999E-2</v>
      </c>
      <c r="I5969" s="160" t="s">
        <v>53</v>
      </c>
      <c r="J5969" s="211">
        <v>1.75069E-5</v>
      </c>
      <c r="K5969" s="160" t="s">
        <v>26</v>
      </c>
      <c r="L5969" s="154" t="str">
        <f>IF(OpenLCAbasic!K5969="CTUh", "Fill in Manually",IF(OR(K5969="Unit", K5969=""), "", INDEX(LookUps!$E$5:$E$12, MATCH(OpenLCAbasic!K5969,LookUps!$D$5:$D$12,0))))</f>
        <v>Water Use (WU) - m3 H2O</v>
      </c>
      <c r="M5969" s="154" t="str">
        <f t="shared" si="423"/>
        <v>Low_Base_High_Upgraded_Water Use (WU) - m3 H2O_Wet Well and Sump Station; wastewater treatment unit; at updated plant - US_Without Amendment_Windrow</v>
      </c>
    </row>
    <row r="5970" spans="1:13" s="120" customFormat="1" x14ac:dyDescent="0.25">
      <c r="A5970" s="119"/>
      <c r="B5970" s="138" t="str">
        <f t="shared" si="421"/>
        <v>Windrow</v>
      </c>
      <c r="C5970" s="138" t="str">
        <f t="shared" si="424"/>
        <v>Without Amendment</v>
      </c>
      <c r="D5970" s="138" t="str">
        <f t="shared" si="426"/>
        <v>Base_High</v>
      </c>
      <c r="E5970" s="138" t="str">
        <f t="shared" si="425"/>
        <v>Low</v>
      </c>
      <c r="F5970" s="138" t="str">
        <f t="shared" si="422"/>
        <v>Upgraded</v>
      </c>
      <c r="G5970" s="153"/>
      <c r="H5970" s="210">
        <v>2.1399999999999999E-2</v>
      </c>
      <c r="I5970" s="160" t="s">
        <v>59</v>
      </c>
      <c r="J5970" s="211">
        <v>7.0179500000000003E-6</v>
      </c>
      <c r="K5970" s="160" t="s">
        <v>26</v>
      </c>
      <c r="L5970" s="154" t="str">
        <f>IF(OpenLCAbasic!K5970="CTUh", "Fill in Manually",IF(OR(K5970="Unit", K5970=""), "", INDEX(LookUps!$E$5:$E$12, MATCH(OpenLCAbasic!K5970,LookUps!$D$5:$D$12,0))))</f>
        <v>Water Use (WU) - m3 H2O</v>
      </c>
      <c r="M5970" s="154" t="str">
        <f t="shared" si="423"/>
        <v>Low_Base_High_Upgraded_Water Use (WU) - m3 H2O_Blend Tank; wastewater treatment unit; at updated plant - US_Without Amendment_Windrow</v>
      </c>
    </row>
    <row r="5971" spans="1:13" s="120" customFormat="1" x14ac:dyDescent="0.25">
      <c r="A5971" s="119"/>
      <c r="B5971" s="138" t="str">
        <f t="shared" si="421"/>
        <v>Windrow</v>
      </c>
      <c r="C5971" s="138" t="str">
        <f t="shared" si="424"/>
        <v>Without Amendment</v>
      </c>
      <c r="D5971" s="138" t="str">
        <f t="shared" si="426"/>
        <v>Base_High</v>
      </c>
      <c r="E5971" s="138" t="str">
        <f t="shared" si="425"/>
        <v>Low</v>
      </c>
      <c r="F5971" s="138" t="str">
        <f t="shared" si="422"/>
        <v>Upgraded</v>
      </c>
      <c r="G5971" s="153"/>
      <c r="H5971" s="210">
        <v>1.55E-2</v>
      </c>
      <c r="I5971" s="160" t="s">
        <v>128</v>
      </c>
      <c r="J5971" s="211">
        <v>5.0608900000000003E-6</v>
      </c>
      <c r="K5971" s="160" t="s">
        <v>26</v>
      </c>
      <c r="L5971" s="154" t="str">
        <f>IF(OpenLCAbasic!K5971="CTUh", "Fill in Manually",IF(OR(K5971="Unit", K5971=""), "", INDEX(LookUps!$E$5:$E$12, MATCH(OpenLCAbasic!K5971,LookUps!$D$5:$D$12,0))))</f>
        <v>Water Use (WU) - m3 H2O</v>
      </c>
      <c r="M5971" s="154" t="str">
        <f t="shared" si="423"/>
        <v>Low_Base_High_Upgraded_Water Use (WU) - m3 H2O_Wastewater collection; operation and infrastructure; m3 wastewater_Without Amendment_Windrow</v>
      </c>
    </row>
    <row r="5972" spans="1:13" s="120" customFormat="1" x14ac:dyDescent="0.25">
      <c r="A5972" s="119"/>
      <c r="B5972" s="138" t="str">
        <f t="shared" si="421"/>
        <v>Windrow</v>
      </c>
      <c r="C5972" s="138" t="str">
        <f t="shared" si="424"/>
        <v>Without Amendment</v>
      </c>
      <c r="D5972" s="138" t="str">
        <f t="shared" si="426"/>
        <v>Base_High</v>
      </c>
      <c r="E5972" s="138" t="str">
        <f t="shared" si="425"/>
        <v>Low</v>
      </c>
      <c r="F5972" s="138" t="str">
        <f t="shared" si="422"/>
        <v>Upgraded</v>
      </c>
      <c r="G5972" s="153"/>
      <c r="H5972" s="210">
        <v>3.0999999999999999E-3</v>
      </c>
      <c r="I5972" s="160" t="s">
        <v>271</v>
      </c>
      <c r="J5972" s="211">
        <v>1.01147E-6</v>
      </c>
      <c r="K5972" s="160" t="s">
        <v>26</v>
      </c>
      <c r="L5972" s="154" t="str">
        <f>IF(OpenLCAbasic!K5972="CTUh", "Fill in Manually",IF(OR(K5972="Unit", K5972=""), "", INDEX(LookUps!$E$5:$E$12, MATCH(OpenLCAbasic!K5972,LookUps!$D$5:$D$12,0))))</f>
        <v>Water Use (WU) - m3 H2O</v>
      </c>
      <c r="M5972" s="154" t="str">
        <f t="shared" si="423"/>
        <v>Low_Base_High_Upgraded_Water Use (WU) - m3 H2O_Biosolids composting; windrow composting; wastewater treatment unit; at updated plant - US_Without Amendment_Windrow</v>
      </c>
    </row>
    <row r="5973" spans="1:13" s="120" customFormat="1" x14ac:dyDescent="0.25">
      <c r="A5973" s="119"/>
      <c r="B5973" s="138" t="str">
        <f t="shared" si="421"/>
        <v>Windrow</v>
      </c>
      <c r="C5973" s="138" t="str">
        <f t="shared" si="424"/>
        <v>Without Amendment</v>
      </c>
      <c r="D5973" s="138" t="str">
        <f t="shared" si="426"/>
        <v>Base_High</v>
      </c>
      <c r="E5973" s="138" t="str">
        <f t="shared" si="425"/>
        <v>Low</v>
      </c>
      <c r="F5973" s="138" t="str">
        <f t="shared" si="422"/>
        <v>Upgraded</v>
      </c>
      <c r="G5973" s="153"/>
      <c r="H5973" s="210">
        <v>2.3E-3</v>
      </c>
      <c r="I5973" s="160" t="s">
        <v>168</v>
      </c>
      <c r="J5973" s="211">
        <v>7.6697000000000004E-7</v>
      </c>
      <c r="K5973" s="160" t="s">
        <v>26</v>
      </c>
      <c r="L5973" s="154" t="str">
        <f>IF(OpenLCAbasic!K5973="CTUh", "Fill in Manually",IF(OR(K5973="Unit", K5973=""), "", INDEX(LookUps!$E$5:$E$12, MATCH(OpenLCAbasic!K5973,LookUps!$D$5:$D$12,0))))</f>
        <v>Water Use (WU) - m3 H2O</v>
      </c>
      <c r="M5973" s="154" t="str">
        <f t="shared" si="423"/>
        <v>Low_Base_High_Upgraded_Water Use (WU) - m3 H2O_ClearCove SCP; wastewater treatment unit; at updated plant - US_Without Amendment_Windrow</v>
      </c>
    </row>
    <row r="5974" spans="1:13" s="120" customFormat="1" x14ac:dyDescent="0.25">
      <c r="A5974" s="119"/>
      <c r="B5974" s="138" t="str">
        <f t="shared" si="421"/>
        <v>Windrow</v>
      </c>
      <c r="C5974" s="138" t="str">
        <f t="shared" si="424"/>
        <v>Without Amendment</v>
      </c>
      <c r="D5974" s="138" t="str">
        <f t="shared" si="426"/>
        <v>Base_High</v>
      </c>
      <c r="E5974" s="138" t="str">
        <f t="shared" si="425"/>
        <v>Low</v>
      </c>
      <c r="F5974" s="138" t="str">
        <f t="shared" si="422"/>
        <v>Upgraded</v>
      </c>
      <c r="G5974" s="153"/>
      <c r="H5974" s="210">
        <v>-0.28460000000000002</v>
      </c>
      <c r="I5974" s="160" t="s">
        <v>149</v>
      </c>
      <c r="J5974" s="211">
        <v>-9.3162899999999995E-5</v>
      </c>
      <c r="K5974" s="160" t="s">
        <v>26</v>
      </c>
      <c r="L5974" s="154" t="str">
        <f>IF(OpenLCAbasic!K5974="CTUh", "Fill in Manually",IF(OR(K5974="Unit", K5974=""), "", INDEX(LookUps!$E$5:$E$12, MATCH(OpenLCAbasic!K5974,LookUps!$D$5:$D$12,0))))</f>
        <v>Water Use (WU) - m3 H2O</v>
      </c>
      <c r="M5974" s="154" t="str">
        <f t="shared" si="423"/>
        <v>Low_Base_High_Upgraded_Water Use (WU) - m3 H2O_Anaerobic Digestion; wastewater treatment unit; at updated plant - US_Without Amendment_Windrow</v>
      </c>
    </row>
    <row r="5975" spans="1:13" s="120" customFormat="1" x14ac:dyDescent="0.25">
      <c r="A5975" s="119"/>
      <c r="B5975" s="138" t="str">
        <f t="shared" si="421"/>
        <v>Windrow</v>
      </c>
      <c r="C5975" s="138" t="str">
        <f t="shared" si="424"/>
        <v>Without Amendment</v>
      </c>
      <c r="D5975" s="138" t="str">
        <f t="shared" si="426"/>
        <v>Base_High</v>
      </c>
      <c r="E5975" s="138" t="str">
        <f t="shared" si="425"/>
        <v>Low</v>
      </c>
      <c r="F5975" s="138" t="str">
        <f t="shared" si="422"/>
        <v>Upgraded</v>
      </c>
      <c r="G5975" s="153"/>
      <c r="H5975" s="210">
        <v>-2.0807000000000002</v>
      </c>
      <c r="I5975" s="160" t="s">
        <v>62</v>
      </c>
      <c r="J5975" s="160">
        <v>-6.8000000000000005E-4</v>
      </c>
      <c r="K5975" s="160" t="s">
        <v>26</v>
      </c>
      <c r="L5975" s="154" t="str">
        <f>IF(OpenLCAbasic!K5975="CTUh", "Fill in Manually",IF(OR(K5975="Unit", K5975=""), "", INDEX(LookUps!$E$5:$E$12, MATCH(OpenLCAbasic!K5975,LookUps!$D$5:$D$12,0))))</f>
        <v>Water Use (WU) - m3 H2O</v>
      </c>
      <c r="M5975" s="154" t="str">
        <f t="shared" si="423"/>
        <v>Low_Base_High_Upgraded_Water Use (WU) - m3 H2O_Land application of compost; wastewater treatment unit; at updated plant - US_Without Amendment_Windrow</v>
      </c>
    </row>
    <row r="5976" spans="1:13" s="120" customFormat="1" x14ac:dyDescent="0.25">
      <c r="A5976" s="119"/>
      <c r="B5976" s="138" t="str">
        <f t="shared" si="421"/>
        <v/>
      </c>
      <c r="C5976" s="138" t="str">
        <f t="shared" si="424"/>
        <v/>
      </c>
      <c r="D5976" s="138" t="str">
        <f>IF(ISNUMBER($J5976),"Medium_Low","")</f>
        <v/>
      </c>
      <c r="E5976" s="138" t="str">
        <f t="shared" si="425"/>
        <v/>
      </c>
      <c r="F5976" s="138" t="str">
        <f t="shared" si="422"/>
        <v/>
      </c>
      <c r="G5976" s="153" t="s">
        <v>51</v>
      </c>
      <c r="H5976" s="160"/>
      <c r="I5976" s="160" t="s">
        <v>47</v>
      </c>
      <c r="J5976" s="160" t="s">
        <v>52</v>
      </c>
      <c r="K5976" s="160" t="s">
        <v>27</v>
      </c>
      <c r="L5976" s="154" t="str">
        <f>IF(OpenLCAbasic!K5976="CTUh", "Fill in Manually",IF(OR(K5976="Unit", K5976=""), "", INDEX(LookUps!$E$5:$E$12, MATCH(OpenLCAbasic!K5976,LookUps!$D$5:$D$12,0))))</f>
        <v/>
      </c>
      <c r="M5976" s="154" t="str">
        <f t="shared" si="423"/>
        <v>____Process__</v>
      </c>
    </row>
    <row r="5977" spans="1:13" s="120" customFormat="1" x14ac:dyDescent="0.25">
      <c r="A5977" s="119"/>
      <c r="B5977" s="138" t="str">
        <f t="shared" si="421"/>
        <v>Windrow</v>
      </c>
      <c r="C5977" s="138" t="str">
        <f t="shared" si="424"/>
        <v>Without Amendment</v>
      </c>
      <c r="D5977" s="138" t="str">
        <f t="shared" ref="D5977:D6040" si="427">IF(ISNUMBER($J5977),"Medium_Low","")</f>
        <v>Medium_Low</v>
      </c>
      <c r="E5977" s="138" t="str">
        <f t="shared" si="425"/>
        <v>Low</v>
      </c>
      <c r="F5977" s="138" t="str">
        <f t="shared" si="422"/>
        <v>Upgraded</v>
      </c>
      <c r="G5977" s="153"/>
      <c r="H5977" s="210">
        <v>0.42880000000000001</v>
      </c>
      <c r="I5977" s="160" t="s">
        <v>55</v>
      </c>
      <c r="J5977" s="160">
        <v>1.7219999999999999E-2</v>
      </c>
      <c r="K5977" s="160" t="s">
        <v>24</v>
      </c>
      <c r="L5977" s="154" t="str">
        <f>IF(OpenLCAbasic!K5977="CTUh", "Fill in Manually",IF(OR(K5977="Unit", K5977=""), "", INDEX(LookUps!$E$5:$E$12, MATCH(OpenLCAbasic!K5977,LookUps!$D$5:$D$12,0))))</f>
        <v>Acidification Potential (AP) - kg SO2 eq</v>
      </c>
      <c r="M5977" s="154" t="str">
        <f t="shared" si="423"/>
        <v>Low_Medium_Low_Upgraded_Acidification Potential (AP) - kg SO2 eq_Aeration Tanks; wastewater treatment unit; at updated plant - US_Without Amendment_Windrow</v>
      </c>
    </row>
    <row r="5978" spans="1:13" s="120" customFormat="1" x14ac:dyDescent="0.25">
      <c r="A5978" s="119"/>
      <c r="B5978" s="138" t="str">
        <f t="shared" si="421"/>
        <v>Windrow</v>
      </c>
      <c r="C5978" s="138" t="str">
        <f t="shared" si="424"/>
        <v>Without Amendment</v>
      </c>
      <c r="D5978" s="138" t="str">
        <f t="shared" si="427"/>
        <v>Medium_Low</v>
      </c>
      <c r="E5978" s="138" t="str">
        <f t="shared" si="425"/>
        <v>Low</v>
      </c>
      <c r="F5978" s="138" t="str">
        <f t="shared" si="422"/>
        <v>Upgraded</v>
      </c>
      <c r="G5978" s="153"/>
      <c r="H5978" s="210">
        <v>0.124</v>
      </c>
      <c r="I5978" s="160" t="s">
        <v>54</v>
      </c>
      <c r="J5978" s="160">
        <v>4.9800000000000001E-3</v>
      </c>
      <c r="K5978" s="160" t="s">
        <v>24</v>
      </c>
      <c r="L5978" s="154" t="str">
        <f>IF(OpenLCAbasic!K5978="CTUh", "Fill in Manually",IF(OR(K5978="Unit", K5978=""), "", INDEX(LookUps!$E$5:$E$12, MATCH(OpenLCAbasic!K5978,LookUps!$D$5:$D$12,0))))</f>
        <v>Acidification Potential (AP) - kg SO2 eq</v>
      </c>
      <c r="M5978" s="154" t="str">
        <f t="shared" si="423"/>
        <v>Low_Medium_Low_Upgraded_Acidification Potential (AP) - kg SO2 eq_Clear Cove Primary Clarification; wastewater treatment unit; at updated plant - US_Without Amendment_Windrow</v>
      </c>
    </row>
    <row r="5979" spans="1:13" s="120" customFormat="1" x14ac:dyDescent="0.25">
      <c r="A5979" s="119"/>
      <c r="B5979" s="138" t="str">
        <f t="shared" si="421"/>
        <v>Windrow</v>
      </c>
      <c r="C5979" s="138" t="str">
        <f t="shared" si="424"/>
        <v>Without Amendment</v>
      </c>
      <c r="D5979" s="138" t="str">
        <f t="shared" si="427"/>
        <v>Medium_Low</v>
      </c>
      <c r="E5979" s="138" t="str">
        <f t="shared" si="425"/>
        <v>Low</v>
      </c>
      <c r="F5979" s="138" t="str">
        <f t="shared" si="422"/>
        <v>Upgraded</v>
      </c>
      <c r="G5979" s="153"/>
      <c r="H5979" s="210">
        <v>0.1082</v>
      </c>
      <c r="I5979" s="160" t="s">
        <v>58</v>
      </c>
      <c r="J5979" s="160">
        <v>4.3499999999999997E-3</v>
      </c>
      <c r="K5979" s="160" t="s">
        <v>24</v>
      </c>
      <c r="L5979" s="154" t="str">
        <f>IF(OpenLCAbasic!K5979="CTUh", "Fill in Manually",IF(OR(K5979="Unit", K5979=""), "", INDEX(LookUps!$E$5:$E$12, MATCH(OpenLCAbasic!K5979,LookUps!$D$5:$D$12,0))))</f>
        <v>Acidification Potential (AP) - kg SO2 eq</v>
      </c>
      <c r="M5979" s="154" t="str">
        <f t="shared" si="423"/>
        <v>Low_Medium_Low_Upgraded_Acidification Potential (AP) - kg SO2 eq_Pre-Anoxic &amp; Swing tank; wastewater treatment unit; at updated plant - US_Without Amendment_Windrow</v>
      </c>
    </row>
    <row r="5980" spans="1:13" s="120" customFormat="1" x14ac:dyDescent="0.25">
      <c r="A5980" s="119"/>
      <c r="B5980" s="138" t="str">
        <f t="shared" si="421"/>
        <v>Windrow</v>
      </c>
      <c r="C5980" s="138" t="str">
        <f t="shared" si="424"/>
        <v>Without Amendment</v>
      </c>
      <c r="D5980" s="138" t="str">
        <f t="shared" si="427"/>
        <v>Medium_Low</v>
      </c>
      <c r="E5980" s="138" t="str">
        <f t="shared" si="425"/>
        <v>Low</v>
      </c>
      <c r="F5980" s="138" t="str">
        <f t="shared" si="422"/>
        <v>Upgraded</v>
      </c>
      <c r="G5980" s="153"/>
      <c r="H5980" s="210">
        <v>8.5900000000000004E-2</v>
      </c>
      <c r="I5980" s="160" t="s">
        <v>53</v>
      </c>
      <c r="J5980" s="160">
        <v>3.4499999999999999E-3</v>
      </c>
      <c r="K5980" s="160" t="s">
        <v>24</v>
      </c>
      <c r="L5980" s="154" t="str">
        <f>IF(OpenLCAbasic!K5980="CTUh", "Fill in Manually",IF(OR(K5980="Unit", K5980=""), "", INDEX(LookUps!$E$5:$E$12, MATCH(OpenLCAbasic!K5980,LookUps!$D$5:$D$12,0))))</f>
        <v>Acidification Potential (AP) - kg SO2 eq</v>
      </c>
      <c r="M5980" s="154" t="str">
        <f t="shared" si="423"/>
        <v>Low_Medium_Low_Upgraded_Acidification Potential (AP) - kg SO2 eq_Wet Well and Sump Station; wastewater treatment unit; at updated plant - US_Without Amendment_Windrow</v>
      </c>
    </row>
    <row r="5981" spans="1:13" s="120" customFormat="1" x14ac:dyDescent="0.25">
      <c r="A5981" s="119"/>
      <c r="B5981" s="138" t="str">
        <f t="shared" si="421"/>
        <v>Windrow</v>
      </c>
      <c r="C5981" s="138" t="str">
        <f t="shared" si="424"/>
        <v>Without Amendment</v>
      </c>
      <c r="D5981" s="138" t="str">
        <f t="shared" si="427"/>
        <v>Medium_Low</v>
      </c>
      <c r="E5981" s="138" t="str">
        <f t="shared" si="425"/>
        <v>Low</v>
      </c>
      <c r="F5981" s="138" t="str">
        <f t="shared" si="422"/>
        <v>Upgraded</v>
      </c>
      <c r="G5981" s="153"/>
      <c r="H5981" s="210">
        <v>7.5200000000000003E-2</v>
      </c>
      <c r="I5981" s="160" t="s">
        <v>62</v>
      </c>
      <c r="J5981" s="160">
        <v>3.0200000000000001E-3</v>
      </c>
      <c r="K5981" s="160" t="s">
        <v>24</v>
      </c>
      <c r="L5981" s="154" t="str">
        <f>IF(OpenLCAbasic!K5981="CTUh", "Fill in Manually",IF(OR(K5981="Unit", K5981=""), "", INDEX(LookUps!$E$5:$E$12, MATCH(OpenLCAbasic!K5981,LookUps!$D$5:$D$12,0))))</f>
        <v>Acidification Potential (AP) - kg SO2 eq</v>
      </c>
      <c r="M5981" s="154" t="str">
        <f t="shared" si="423"/>
        <v>Low_Medium_Low_Upgraded_Acidification Potential (AP) - kg SO2 eq_Land application of compost; wastewater treatment unit; at updated plant - US_Without Amendment_Windrow</v>
      </c>
    </row>
    <row r="5982" spans="1:13" s="120" customFormat="1" x14ac:dyDescent="0.25">
      <c r="A5982" s="119"/>
      <c r="B5982" s="138" t="str">
        <f t="shared" si="421"/>
        <v>Windrow</v>
      </c>
      <c r="C5982" s="138" t="str">
        <f t="shared" si="424"/>
        <v>Without Amendment</v>
      </c>
      <c r="D5982" s="138" t="str">
        <f t="shared" si="427"/>
        <v>Medium_Low</v>
      </c>
      <c r="E5982" s="138" t="str">
        <f t="shared" si="425"/>
        <v>Low</v>
      </c>
      <c r="F5982" s="138" t="str">
        <f t="shared" si="422"/>
        <v>Upgraded</v>
      </c>
      <c r="G5982" s="153"/>
      <c r="H5982" s="210">
        <v>6.3E-2</v>
      </c>
      <c r="I5982" s="160" t="s">
        <v>167</v>
      </c>
      <c r="J5982" s="160">
        <v>2.5300000000000001E-3</v>
      </c>
      <c r="K5982" s="160" t="s">
        <v>24</v>
      </c>
      <c r="L5982" s="154" t="str">
        <f>IF(OpenLCAbasic!K5982="CTUh", "Fill in Manually",IF(OR(K5982="Unit", K5982=""), "", INDEX(LookUps!$E$5:$E$12, MATCH(OpenLCAbasic!K5982,LookUps!$D$5:$D$12,0))))</f>
        <v>Acidification Potential (AP) - kg SO2 eq</v>
      </c>
      <c r="M5982" s="154" t="str">
        <f t="shared" si="423"/>
        <v>Low_Medium_Low_Upgraded_Acidification Potential (AP) - kg SO2 eq_Waste Receiving and Holding; wastewater treatment unit; at updated plant - US_Without Amendment_Windrow</v>
      </c>
    </row>
    <row r="5983" spans="1:13" s="120" customFormat="1" x14ac:dyDescent="0.25">
      <c r="A5983" s="119"/>
      <c r="B5983" s="138" t="str">
        <f t="shared" si="421"/>
        <v>Windrow</v>
      </c>
      <c r="C5983" s="138" t="str">
        <f t="shared" si="424"/>
        <v>Without Amendment</v>
      </c>
      <c r="D5983" s="138" t="str">
        <f t="shared" si="427"/>
        <v>Medium_Low</v>
      </c>
      <c r="E5983" s="138" t="str">
        <f t="shared" si="425"/>
        <v>Low</v>
      </c>
      <c r="F5983" s="138" t="str">
        <f t="shared" si="422"/>
        <v>Upgraded</v>
      </c>
      <c r="G5983" s="153"/>
      <c r="H5983" s="210">
        <v>5.1499999999999997E-2</v>
      </c>
      <c r="I5983" s="160" t="s">
        <v>147</v>
      </c>
      <c r="J5983" s="160">
        <v>2.0699999999999998E-3</v>
      </c>
      <c r="K5983" s="160" t="s">
        <v>24</v>
      </c>
      <c r="L5983" s="154" t="str">
        <f>IF(OpenLCAbasic!K5983="CTUh", "Fill in Manually",IF(OR(K5983="Unit", K5983=""), "", INDEX(LookUps!$E$5:$E$12, MATCH(OpenLCAbasic!K5983,LookUps!$D$5:$D$12,0))))</f>
        <v>Acidification Potential (AP) - kg SO2 eq</v>
      </c>
      <c r="M5983" s="154" t="str">
        <f t="shared" si="423"/>
        <v>Low_Medium_Low_Upgraded_Acidification Potential (AP) - kg SO2 eq_Influent Pump Station; wastewater treatment unit; at updated plant - US_Without Amendment_Windrow</v>
      </c>
    </row>
    <row r="5984" spans="1:13" s="120" customFormat="1" x14ac:dyDescent="0.25">
      <c r="A5984" s="119"/>
      <c r="B5984" s="138" t="str">
        <f t="shared" si="421"/>
        <v>Windrow</v>
      </c>
      <c r="C5984" s="138" t="str">
        <f t="shared" si="424"/>
        <v>Without Amendment</v>
      </c>
      <c r="D5984" s="138" t="str">
        <f t="shared" si="427"/>
        <v>Medium_Low</v>
      </c>
      <c r="E5984" s="138" t="str">
        <f t="shared" si="425"/>
        <v>Low</v>
      </c>
      <c r="F5984" s="138" t="str">
        <f t="shared" si="422"/>
        <v>Upgraded</v>
      </c>
      <c r="G5984" s="153"/>
      <c r="H5984" s="210">
        <v>3.0700000000000002E-2</v>
      </c>
      <c r="I5984" s="160" t="s">
        <v>128</v>
      </c>
      <c r="J5984" s="160">
        <v>1.23E-3</v>
      </c>
      <c r="K5984" s="160" t="s">
        <v>24</v>
      </c>
      <c r="L5984" s="154" t="str">
        <f>IF(OpenLCAbasic!K5984="CTUh", "Fill in Manually",IF(OR(K5984="Unit", K5984=""), "", INDEX(LookUps!$E$5:$E$12, MATCH(OpenLCAbasic!K5984,LookUps!$D$5:$D$12,0))))</f>
        <v>Acidification Potential (AP) - kg SO2 eq</v>
      </c>
      <c r="M5984" s="154" t="str">
        <f t="shared" si="423"/>
        <v>Low_Medium_Low_Upgraded_Acidification Potential (AP) - kg SO2 eq_Wastewater collection; operation and infrastructure; m3 wastewater_Without Amendment_Windrow</v>
      </c>
    </row>
    <row r="5985" spans="1:13" s="120" customFormat="1" x14ac:dyDescent="0.25">
      <c r="A5985" s="119"/>
      <c r="B5985" s="138" t="str">
        <f t="shared" si="421"/>
        <v>Windrow</v>
      </c>
      <c r="C5985" s="138" t="str">
        <f t="shared" si="424"/>
        <v>Without Amendment</v>
      </c>
      <c r="D5985" s="138" t="str">
        <f t="shared" si="427"/>
        <v>Medium_Low</v>
      </c>
      <c r="E5985" s="138" t="str">
        <f t="shared" si="425"/>
        <v>Low</v>
      </c>
      <c r="F5985" s="138" t="str">
        <f t="shared" si="422"/>
        <v>Upgraded</v>
      </c>
      <c r="G5985" s="153"/>
      <c r="H5985" s="210">
        <v>0.03</v>
      </c>
      <c r="I5985" s="160" t="s">
        <v>60</v>
      </c>
      <c r="J5985" s="160">
        <v>1.1999999999999999E-3</v>
      </c>
      <c r="K5985" s="160" t="s">
        <v>24</v>
      </c>
      <c r="L5985" s="154" t="str">
        <f>IF(OpenLCAbasic!K5985="CTUh", "Fill in Manually",IF(OR(K5985="Unit", K5985=""), "", INDEX(LookUps!$E$5:$E$12, MATCH(OpenLCAbasic!K5985,LookUps!$D$5:$D$12,0))))</f>
        <v>Acidification Potential (AP) - kg SO2 eq</v>
      </c>
      <c r="M5985" s="154" t="str">
        <f t="shared" si="423"/>
        <v>Low_Medium_Low_Upgraded_Acidification Potential (AP) - kg SO2 eq_Belt filter press; wastewater treatment unit; at updated plant - US_Without Amendment_Windrow</v>
      </c>
    </row>
    <row r="5986" spans="1:13" s="120" customFormat="1" x14ac:dyDescent="0.25">
      <c r="A5986" s="119"/>
      <c r="B5986" s="138" t="str">
        <f t="shared" si="421"/>
        <v>Windrow</v>
      </c>
      <c r="C5986" s="138" t="str">
        <f t="shared" si="424"/>
        <v>Without Amendment</v>
      </c>
      <c r="D5986" s="138" t="str">
        <f t="shared" si="427"/>
        <v>Medium_Low</v>
      </c>
      <c r="E5986" s="138" t="str">
        <f t="shared" si="425"/>
        <v>Low</v>
      </c>
      <c r="F5986" s="138" t="str">
        <f t="shared" si="422"/>
        <v>Upgraded</v>
      </c>
      <c r="G5986" s="153"/>
      <c r="H5986" s="210">
        <v>2.5499999999999998E-2</v>
      </c>
      <c r="I5986" s="160" t="s">
        <v>271</v>
      </c>
      <c r="J5986" s="160">
        <v>1.0200000000000001E-3</v>
      </c>
      <c r="K5986" s="160" t="s">
        <v>24</v>
      </c>
      <c r="L5986" s="154" t="str">
        <f>IF(OpenLCAbasic!K5986="CTUh", "Fill in Manually",IF(OR(K5986="Unit", K5986=""), "", INDEX(LookUps!$E$5:$E$12, MATCH(OpenLCAbasic!K5986,LookUps!$D$5:$D$12,0))))</f>
        <v>Acidification Potential (AP) - kg SO2 eq</v>
      </c>
      <c r="M5986" s="154" t="str">
        <f t="shared" si="423"/>
        <v>Low_Medium_Low_Upgraded_Acidification Potential (AP) - kg SO2 eq_Biosolids composting; windrow composting; wastewater treatment unit; at updated plant - US_Without Amendment_Windrow</v>
      </c>
    </row>
    <row r="5987" spans="1:13" s="120" customFormat="1" x14ac:dyDescent="0.25">
      <c r="A5987" s="119"/>
      <c r="B5987" s="138" t="str">
        <f t="shared" si="421"/>
        <v>Windrow</v>
      </c>
      <c r="C5987" s="138" t="str">
        <f t="shared" si="424"/>
        <v>Without Amendment</v>
      </c>
      <c r="D5987" s="138" t="str">
        <f t="shared" si="427"/>
        <v>Medium_Low</v>
      </c>
      <c r="E5987" s="138" t="str">
        <f t="shared" si="425"/>
        <v>Low</v>
      </c>
      <c r="F5987" s="138" t="str">
        <f t="shared" si="422"/>
        <v>Upgraded</v>
      </c>
      <c r="G5987" s="153"/>
      <c r="H5987" s="210">
        <v>1.7500000000000002E-2</v>
      </c>
      <c r="I5987" s="160" t="s">
        <v>57</v>
      </c>
      <c r="J5987" s="160">
        <v>6.9999999999999999E-4</v>
      </c>
      <c r="K5987" s="160" t="s">
        <v>24</v>
      </c>
      <c r="L5987" s="154" t="str">
        <f>IF(OpenLCAbasic!K5987="CTUh", "Fill in Manually",IF(OR(K5987="Unit", K5987=""), "", INDEX(LookUps!$E$5:$E$12, MATCH(OpenLCAbasic!K5987,LookUps!$D$5:$D$12,0))))</f>
        <v>Acidification Potential (AP) - kg SO2 eq</v>
      </c>
      <c r="M5987" s="154" t="str">
        <f t="shared" si="423"/>
        <v>Low_Medium_Low_Upgraded_Acidification Potential (AP) - kg SO2 eq_Gravity Belt Thickener; wastewater treatment unit; at updated plant - US_Without Amendment_Windrow</v>
      </c>
    </row>
    <row r="5988" spans="1:13" s="120" customFormat="1" x14ac:dyDescent="0.25">
      <c r="A5988" s="119"/>
      <c r="B5988" s="138" t="str">
        <f t="shared" si="421"/>
        <v>Windrow</v>
      </c>
      <c r="C5988" s="138" t="str">
        <f t="shared" si="424"/>
        <v>Without Amendment</v>
      </c>
      <c r="D5988" s="138" t="str">
        <f t="shared" si="427"/>
        <v>Medium_Low</v>
      </c>
      <c r="E5988" s="138" t="str">
        <f t="shared" si="425"/>
        <v>Low</v>
      </c>
      <c r="F5988" s="138" t="str">
        <f t="shared" si="422"/>
        <v>Upgraded</v>
      </c>
      <c r="G5988" s="153"/>
      <c r="H5988" s="210">
        <v>1.29E-2</v>
      </c>
      <c r="I5988" s="160" t="s">
        <v>59</v>
      </c>
      <c r="J5988" s="160">
        <v>5.1999999999999995E-4</v>
      </c>
      <c r="K5988" s="160" t="s">
        <v>24</v>
      </c>
      <c r="L5988" s="154" t="str">
        <f>IF(OpenLCAbasic!K5988="CTUh", "Fill in Manually",IF(OR(K5988="Unit", K5988=""), "", INDEX(LookUps!$E$5:$E$12, MATCH(OpenLCAbasic!K5988,LookUps!$D$5:$D$12,0))))</f>
        <v>Acidification Potential (AP) - kg SO2 eq</v>
      </c>
      <c r="M5988" s="154" t="str">
        <f t="shared" si="423"/>
        <v>Low_Medium_Low_Upgraded_Acidification Potential (AP) - kg SO2 eq_Blend Tank; wastewater treatment unit; at updated plant - US_Without Amendment_Windrow</v>
      </c>
    </row>
    <row r="5989" spans="1:13" s="120" customFormat="1" x14ac:dyDescent="0.25">
      <c r="A5989" s="119"/>
      <c r="B5989" s="138" t="str">
        <f t="shared" si="421"/>
        <v>Windrow</v>
      </c>
      <c r="C5989" s="138" t="str">
        <f t="shared" si="424"/>
        <v>Without Amendment</v>
      </c>
      <c r="D5989" s="138" t="str">
        <f t="shared" si="427"/>
        <v>Medium_Low</v>
      </c>
      <c r="E5989" s="138" t="str">
        <f t="shared" si="425"/>
        <v>Low</v>
      </c>
      <c r="F5989" s="138" t="str">
        <f t="shared" si="422"/>
        <v>Upgraded</v>
      </c>
      <c r="G5989" s="153"/>
      <c r="H5989" s="210">
        <v>8.6E-3</v>
      </c>
      <c r="I5989" s="160" t="s">
        <v>48</v>
      </c>
      <c r="J5989" s="160">
        <v>3.5E-4</v>
      </c>
      <c r="K5989" s="160" t="s">
        <v>24</v>
      </c>
      <c r="L5989" s="154" t="str">
        <f>IF(OpenLCAbasic!K5989="CTUh", "Fill in Manually",IF(OR(K5989="Unit", K5989=""), "", INDEX(LookUps!$E$5:$E$12, MATCH(OpenLCAbasic!K5989,LookUps!$D$5:$D$12,0))))</f>
        <v>Acidification Potential (AP) - kg SO2 eq</v>
      </c>
      <c r="M5989" s="154" t="str">
        <f t="shared" si="423"/>
        <v>Low_Medium_Low_Upgraded_Acidification Potential (AP) - kg SO2 eq_Effluent release; wastewater treatment unit; at surface water; m3 wastewater - US_Without Amendment_Windrow</v>
      </c>
    </row>
    <row r="5990" spans="1:13" s="120" customFormat="1" x14ac:dyDescent="0.25">
      <c r="A5990" s="119"/>
      <c r="B5990" s="138" t="str">
        <f t="shared" si="421"/>
        <v>Windrow</v>
      </c>
      <c r="C5990" s="138" t="str">
        <f t="shared" si="424"/>
        <v>Without Amendment</v>
      </c>
      <c r="D5990" s="138" t="str">
        <f t="shared" si="427"/>
        <v>Medium_Low</v>
      </c>
      <c r="E5990" s="138" t="str">
        <f t="shared" si="425"/>
        <v>Low</v>
      </c>
      <c r="F5990" s="138" t="str">
        <f t="shared" si="422"/>
        <v>Upgraded</v>
      </c>
      <c r="G5990" s="153"/>
      <c r="H5990" s="210">
        <v>6.4000000000000003E-3</v>
      </c>
      <c r="I5990" s="160" t="s">
        <v>168</v>
      </c>
      <c r="J5990" s="160">
        <v>2.5999999999999998E-4</v>
      </c>
      <c r="K5990" s="160" t="s">
        <v>24</v>
      </c>
      <c r="L5990" s="154" t="str">
        <f>IF(OpenLCAbasic!K5990="CTUh", "Fill in Manually",IF(OR(K5990="Unit", K5990=""), "", INDEX(LookUps!$E$5:$E$12, MATCH(OpenLCAbasic!K5990,LookUps!$D$5:$D$12,0))))</f>
        <v>Acidification Potential (AP) - kg SO2 eq</v>
      </c>
      <c r="M5990" s="154" t="str">
        <f t="shared" si="423"/>
        <v>Low_Medium_Low_Upgraded_Acidification Potential (AP) - kg SO2 eq_ClearCove SCP; wastewater treatment unit; at updated plant - US_Without Amendment_Windrow</v>
      </c>
    </row>
    <row r="5991" spans="1:13" s="120" customFormat="1" x14ac:dyDescent="0.25">
      <c r="A5991" s="119"/>
      <c r="B5991" s="138" t="str">
        <f t="shared" si="421"/>
        <v>Windrow</v>
      </c>
      <c r="C5991" s="138" t="str">
        <f t="shared" si="424"/>
        <v>Without Amendment</v>
      </c>
      <c r="D5991" s="138" t="str">
        <f t="shared" si="427"/>
        <v>Medium_Low</v>
      </c>
      <c r="E5991" s="138" t="str">
        <f t="shared" si="425"/>
        <v>Low</v>
      </c>
      <c r="F5991" s="138" t="str">
        <f t="shared" si="422"/>
        <v>Upgraded</v>
      </c>
      <c r="G5991" s="153"/>
      <c r="H5991" s="210">
        <v>1E-3</v>
      </c>
      <c r="I5991" s="160" t="s">
        <v>148</v>
      </c>
      <c r="J5991" s="211">
        <v>4.0354700000000002E-5</v>
      </c>
      <c r="K5991" s="160" t="s">
        <v>24</v>
      </c>
      <c r="L5991" s="154" t="str">
        <f>IF(OpenLCAbasic!K5991="CTUh", "Fill in Manually",IF(OR(K5991="Unit", K5991=""), "", INDEX(LookUps!$E$5:$E$12, MATCH(OpenLCAbasic!K5991,LookUps!$D$5:$D$12,0))))</f>
        <v>Acidification Potential (AP) - kg SO2 eq</v>
      </c>
      <c r="M5991" s="154" t="str">
        <f t="shared" si="423"/>
        <v>Low_Medium_Low_Upgraded_Acidification Potential (AP) - kg SO2 eq_Control Building; at upgraded wastewater treatment plant - US_Without Amendment_Windrow</v>
      </c>
    </row>
    <row r="5992" spans="1:13" s="120" customFormat="1" x14ac:dyDescent="0.25">
      <c r="A5992" s="119"/>
      <c r="B5992" s="138" t="str">
        <f t="shared" ref="B5992:B6055" si="428">IF(F5992="Legacy","n.a.",IF(F5992="","","Windrow"))</f>
        <v>Windrow</v>
      </c>
      <c r="C5992" s="138" t="str">
        <f t="shared" si="424"/>
        <v>Without Amendment</v>
      </c>
      <c r="D5992" s="138" t="str">
        <f t="shared" si="427"/>
        <v>Medium_Low</v>
      </c>
      <c r="E5992" s="138" t="str">
        <f t="shared" si="425"/>
        <v>Low</v>
      </c>
      <c r="F5992" s="138" t="str">
        <f t="shared" ref="F5992:F6055" si="429">IF(ISNUMBER(J5992),"Upgraded","")</f>
        <v>Upgraded</v>
      </c>
      <c r="G5992" s="153"/>
      <c r="H5992" s="210">
        <v>-6.9199999999999998E-2</v>
      </c>
      <c r="I5992" s="160" t="s">
        <v>149</v>
      </c>
      <c r="J5992" s="160">
        <v>-2.7799999999999999E-3</v>
      </c>
      <c r="K5992" s="160" t="s">
        <v>24</v>
      </c>
      <c r="L5992" s="154" t="str">
        <f>IF(OpenLCAbasic!K5992="CTUh", "Fill in Manually",IF(OR(K5992="Unit", K5992=""), "", INDEX(LookUps!$E$5:$E$12, MATCH(OpenLCAbasic!K5992,LookUps!$D$5:$D$12,0))))</f>
        <v>Acidification Potential (AP) - kg SO2 eq</v>
      </c>
      <c r="M5992" s="154" t="str">
        <f t="shared" si="423"/>
        <v>Low_Medium_Low_Upgraded_Acidification Potential (AP) - kg SO2 eq_Anaerobic Digestion; wastewater treatment unit; at updated plant - US_Without Amendment_Windrow</v>
      </c>
    </row>
    <row r="5993" spans="1:13" s="120" customFormat="1" x14ac:dyDescent="0.25">
      <c r="A5993" s="119"/>
      <c r="B5993" s="138" t="str">
        <f t="shared" si="428"/>
        <v/>
      </c>
      <c r="C5993" s="138" t="str">
        <f t="shared" si="424"/>
        <v/>
      </c>
      <c r="D5993" s="138" t="str">
        <f t="shared" si="427"/>
        <v/>
      </c>
      <c r="E5993" s="138" t="str">
        <f t="shared" si="425"/>
        <v/>
      </c>
      <c r="F5993" s="138" t="str">
        <f t="shared" si="429"/>
        <v/>
      </c>
      <c r="G5993" s="153" t="s">
        <v>51</v>
      </c>
      <c r="H5993" s="160"/>
      <c r="I5993" s="160" t="s">
        <v>47</v>
      </c>
      <c r="J5993" s="160" t="s">
        <v>52</v>
      </c>
      <c r="K5993" s="160" t="s">
        <v>27</v>
      </c>
      <c r="L5993" s="154" t="str">
        <f>IF(OpenLCAbasic!K5993="CTUh", "Fill in Manually",IF(OR(K5993="Unit", K5993=""), "", INDEX(LookUps!$E$5:$E$12, MATCH(OpenLCAbasic!K5993,LookUps!$D$5:$D$12,0))))</f>
        <v/>
      </c>
      <c r="M5993" s="154" t="str">
        <f t="shared" si="423"/>
        <v>____Process__</v>
      </c>
    </row>
    <row r="5994" spans="1:13" s="120" customFormat="1" x14ac:dyDescent="0.25">
      <c r="A5994" s="119"/>
      <c r="B5994" s="138" t="str">
        <f t="shared" si="428"/>
        <v>Windrow</v>
      </c>
      <c r="C5994" s="138" t="str">
        <f t="shared" si="424"/>
        <v>Without Amendment</v>
      </c>
      <c r="D5994" s="138" t="str">
        <f t="shared" si="427"/>
        <v>Medium_Low</v>
      </c>
      <c r="E5994" s="138" t="str">
        <f t="shared" si="425"/>
        <v>Low</v>
      </c>
      <c r="F5994" s="138" t="str">
        <f t="shared" si="429"/>
        <v>Upgraded</v>
      </c>
      <c r="G5994" s="153"/>
      <c r="H5994" s="210">
        <v>0.33560000000000001</v>
      </c>
      <c r="I5994" s="160" t="s">
        <v>167</v>
      </c>
      <c r="J5994" s="160">
        <v>4.2789599999999997</v>
      </c>
      <c r="K5994" s="160" t="s">
        <v>15</v>
      </c>
      <c r="L5994" s="154" t="str">
        <f>IF(OpenLCAbasic!K5994="CTUh", "Fill in Manually",IF(OR(K5994="Unit", K5994=""), "", INDEX(LookUps!$E$5:$E$12, MATCH(OpenLCAbasic!K5994,LookUps!$D$5:$D$12,0))))</f>
        <v>Cumulative Energy Demand (CED) - MJ</v>
      </c>
      <c r="M5994" s="154" t="str">
        <f t="shared" si="423"/>
        <v>Low_Medium_Low_Upgraded_Cumulative Energy Demand (CED) - MJ_Waste Receiving and Holding; wastewater treatment unit; at updated plant - US_Without Amendment_Windrow</v>
      </c>
    </row>
    <row r="5995" spans="1:13" s="120" customFormat="1" x14ac:dyDescent="0.25">
      <c r="A5995" s="119"/>
      <c r="B5995" s="138" t="str">
        <f t="shared" si="428"/>
        <v>Windrow</v>
      </c>
      <c r="C5995" s="138" t="str">
        <f t="shared" si="424"/>
        <v>Without Amendment</v>
      </c>
      <c r="D5995" s="138" t="str">
        <f t="shared" si="427"/>
        <v>Medium_Low</v>
      </c>
      <c r="E5995" s="138" t="str">
        <f t="shared" si="425"/>
        <v>Low</v>
      </c>
      <c r="F5995" s="138" t="str">
        <f t="shared" si="429"/>
        <v>Upgraded</v>
      </c>
      <c r="G5995" s="153"/>
      <c r="H5995" s="210">
        <v>0.27710000000000001</v>
      </c>
      <c r="I5995" s="160" t="s">
        <v>55</v>
      </c>
      <c r="J5995" s="160">
        <v>3.5330499999999998</v>
      </c>
      <c r="K5995" s="160" t="s">
        <v>15</v>
      </c>
      <c r="L5995" s="154" t="str">
        <f>IF(OpenLCAbasic!K5995="CTUh", "Fill in Manually",IF(OR(K5995="Unit", K5995=""), "", INDEX(LookUps!$E$5:$E$12, MATCH(OpenLCAbasic!K5995,LookUps!$D$5:$D$12,0))))</f>
        <v>Cumulative Energy Demand (CED) - MJ</v>
      </c>
      <c r="M5995" s="154" t="str">
        <f t="shared" si="423"/>
        <v>Low_Medium_Low_Upgraded_Cumulative Energy Demand (CED) - MJ_Aeration Tanks; wastewater treatment unit; at updated plant - US_Without Amendment_Windrow</v>
      </c>
    </row>
    <row r="5996" spans="1:13" s="120" customFormat="1" x14ac:dyDescent="0.25">
      <c r="A5996" s="119"/>
      <c r="B5996" s="138" t="str">
        <f t="shared" si="428"/>
        <v>Windrow</v>
      </c>
      <c r="C5996" s="138" t="str">
        <f t="shared" si="424"/>
        <v>Without Amendment</v>
      </c>
      <c r="D5996" s="138" t="str">
        <f t="shared" si="427"/>
        <v>Medium_Low</v>
      </c>
      <c r="E5996" s="138" t="str">
        <f t="shared" si="425"/>
        <v>Low</v>
      </c>
      <c r="F5996" s="138" t="str">
        <f t="shared" si="429"/>
        <v>Upgraded</v>
      </c>
      <c r="G5996" s="153"/>
      <c r="H5996" s="210">
        <v>9.1200000000000003E-2</v>
      </c>
      <c r="I5996" s="160" t="s">
        <v>54</v>
      </c>
      <c r="J5996" s="160">
        <v>1.16289</v>
      </c>
      <c r="K5996" s="160" t="s">
        <v>15</v>
      </c>
      <c r="L5996" s="154" t="str">
        <f>IF(OpenLCAbasic!K5996="CTUh", "Fill in Manually",IF(OR(K5996="Unit", K5996=""), "", INDEX(LookUps!$E$5:$E$12, MATCH(OpenLCAbasic!K5996,LookUps!$D$5:$D$12,0))))</f>
        <v>Cumulative Energy Demand (CED) - MJ</v>
      </c>
      <c r="M5996" s="154" t="str">
        <f t="shared" si="423"/>
        <v>Low_Medium_Low_Upgraded_Cumulative Energy Demand (CED) - MJ_Clear Cove Primary Clarification; wastewater treatment unit; at updated plant - US_Without Amendment_Windrow</v>
      </c>
    </row>
    <row r="5997" spans="1:13" s="120" customFormat="1" x14ac:dyDescent="0.25">
      <c r="A5997" s="119"/>
      <c r="B5997" s="138" t="str">
        <f t="shared" si="428"/>
        <v>Windrow</v>
      </c>
      <c r="C5997" s="138" t="str">
        <f t="shared" si="424"/>
        <v>Without Amendment</v>
      </c>
      <c r="D5997" s="138" t="str">
        <f t="shared" si="427"/>
        <v>Medium_Low</v>
      </c>
      <c r="E5997" s="138" t="str">
        <f t="shared" si="425"/>
        <v>Low</v>
      </c>
      <c r="F5997" s="138" t="str">
        <f t="shared" si="429"/>
        <v>Upgraded</v>
      </c>
      <c r="G5997" s="153"/>
      <c r="H5997" s="210">
        <v>6.9599999999999995E-2</v>
      </c>
      <c r="I5997" s="160" t="s">
        <v>58</v>
      </c>
      <c r="J5997" s="160">
        <v>0.88705000000000001</v>
      </c>
      <c r="K5997" s="160" t="s">
        <v>15</v>
      </c>
      <c r="L5997" s="154" t="str">
        <f>IF(OpenLCAbasic!K5997="CTUh", "Fill in Manually",IF(OR(K5997="Unit", K5997=""), "", INDEX(LookUps!$E$5:$E$12, MATCH(OpenLCAbasic!K5997,LookUps!$D$5:$D$12,0))))</f>
        <v>Cumulative Energy Demand (CED) - MJ</v>
      </c>
      <c r="M5997" s="154" t="str">
        <f t="shared" si="423"/>
        <v>Low_Medium_Low_Upgraded_Cumulative Energy Demand (CED) - MJ_Pre-Anoxic &amp; Swing tank; wastewater treatment unit; at updated plant - US_Without Amendment_Windrow</v>
      </c>
    </row>
    <row r="5998" spans="1:13" s="120" customFormat="1" x14ac:dyDescent="0.25">
      <c r="A5998" s="119"/>
      <c r="B5998" s="138" t="str">
        <f t="shared" si="428"/>
        <v>Windrow</v>
      </c>
      <c r="C5998" s="138" t="str">
        <f t="shared" si="424"/>
        <v>Without Amendment</v>
      </c>
      <c r="D5998" s="138" t="str">
        <f t="shared" si="427"/>
        <v>Medium_Low</v>
      </c>
      <c r="E5998" s="138" t="str">
        <f t="shared" si="425"/>
        <v>Low</v>
      </c>
      <c r="F5998" s="138" t="str">
        <f t="shared" si="429"/>
        <v>Upgraded</v>
      </c>
      <c r="G5998" s="153"/>
      <c r="H5998" s="210">
        <v>6.93E-2</v>
      </c>
      <c r="I5998" s="160" t="s">
        <v>147</v>
      </c>
      <c r="J5998" s="160">
        <v>0.88297000000000003</v>
      </c>
      <c r="K5998" s="160" t="s">
        <v>15</v>
      </c>
      <c r="L5998" s="154" t="str">
        <f>IF(OpenLCAbasic!K5998="CTUh", "Fill in Manually",IF(OR(K5998="Unit", K5998=""), "", INDEX(LookUps!$E$5:$E$12, MATCH(OpenLCAbasic!K5998,LookUps!$D$5:$D$12,0))))</f>
        <v>Cumulative Energy Demand (CED) - MJ</v>
      </c>
      <c r="M5998" s="154" t="str">
        <f t="shared" si="423"/>
        <v>Low_Medium_Low_Upgraded_Cumulative Energy Demand (CED) - MJ_Influent Pump Station; wastewater treatment unit; at updated plant - US_Without Amendment_Windrow</v>
      </c>
    </row>
    <row r="5999" spans="1:13" s="120" customFormat="1" x14ac:dyDescent="0.25">
      <c r="A5999" s="119"/>
      <c r="B5999" s="138" t="str">
        <f t="shared" si="428"/>
        <v>Windrow</v>
      </c>
      <c r="C5999" s="138" t="str">
        <f t="shared" si="424"/>
        <v>Without Amendment</v>
      </c>
      <c r="D5999" s="138" t="str">
        <f t="shared" si="427"/>
        <v>Medium_Low</v>
      </c>
      <c r="E5999" s="138" t="str">
        <f t="shared" si="425"/>
        <v>Low</v>
      </c>
      <c r="F5999" s="138" t="str">
        <f t="shared" si="429"/>
        <v>Upgraded</v>
      </c>
      <c r="G5999" s="153"/>
      <c r="H5999" s="210">
        <v>5.4600000000000003E-2</v>
      </c>
      <c r="I5999" s="160" t="s">
        <v>53</v>
      </c>
      <c r="J5999" s="160">
        <v>0.69645000000000001</v>
      </c>
      <c r="K5999" s="160" t="s">
        <v>15</v>
      </c>
      <c r="L5999" s="154" t="str">
        <f>IF(OpenLCAbasic!K5999="CTUh", "Fill in Manually",IF(OR(K5999="Unit", K5999=""), "", INDEX(LookUps!$E$5:$E$12, MATCH(OpenLCAbasic!K5999,LookUps!$D$5:$D$12,0))))</f>
        <v>Cumulative Energy Demand (CED) - MJ</v>
      </c>
      <c r="M5999" s="154" t="str">
        <f t="shared" si="423"/>
        <v>Low_Medium_Low_Upgraded_Cumulative Energy Demand (CED) - MJ_Wet Well and Sump Station; wastewater treatment unit; at updated plant - US_Without Amendment_Windrow</v>
      </c>
    </row>
    <row r="6000" spans="1:13" s="120" customFormat="1" x14ac:dyDescent="0.25">
      <c r="A6000" s="119"/>
      <c r="B6000" s="138" t="str">
        <f t="shared" si="428"/>
        <v>Windrow</v>
      </c>
      <c r="C6000" s="138" t="str">
        <f t="shared" si="424"/>
        <v>Without Amendment</v>
      </c>
      <c r="D6000" s="138" t="str">
        <f t="shared" si="427"/>
        <v>Medium_Low</v>
      </c>
      <c r="E6000" s="138" t="str">
        <f t="shared" si="425"/>
        <v>Low</v>
      </c>
      <c r="F6000" s="138" t="str">
        <f t="shared" si="429"/>
        <v>Upgraded</v>
      </c>
      <c r="G6000" s="153"/>
      <c r="H6000" s="210">
        <v>3.5200000000000002E-2</v>
      </c>
      <c r="I6000" s="160" t="s">
        <v>60</v>
      </c>
      <c r="J6000" s="160">
        <v>0.44939000000000001</v>
      </c>
      <c r="K6000" s="160" t="s">
        <v>15</v>
      </c>
      <c r="L6000" s="154" t="str">
        <f>IF(OpenLCAbasic!K6000="CTUh", "Fill in Manually",IF(OR(K6000="Unit", K6000=""), "", INDEX(LookUps!$E$5:$E$12, MATCH(OpenLCAbasic!K6000,LookUps!$D$5:$D$12,0))))</f>
        <v>Cumulative Energy Demand (CED) - MJ</v>
      </c>
      <c r="M6000" s="154" t="str">
        <f t="shared" si="423"/>
        <v>Low_Medium_Low_Upgraded_Cumulative Energy Demand (CED) - MJ_Belt filter press; wastewater treatment unit; at updated plant - US_Without Amendment_Windrow</v>
      </c>
    </row>
    <row r="6001" spans="1:13" s="120" customFormat="1" x14ac:dyDescent="0.25">
      <c r="A6001" s="119"/>
      <c r="B6001" s="138" t="str">
        <f t="shared" si="428"/>
        <v>Windrow</v>
      </c>
      <c r="C6001" s="138" t="str">
        <f t="shared" si="424"/>
        <v>Without Amendment</v>
      </c>
      <c r="D6001" s="138" t="str">
        <f t="shared" si="427"/>
        <v>Medium_Low</v>
      </c>
      <c r="E6001" s="138" t="str">
        <f t="shared" si="425"/>
        <v>Low</v>
      </c>
      <c r="F6001" s="138" t="str">
        <f t="shared" si="429"/>
        <v>Upgraded</v>
      </c>
      <c r="G6001" s="153"/>
      <c r="H6001" s="210">
        <v>2.6200000000000001E-2</v>
      </c>
      <c r="I6001" s="160" t="s">
        <v>57</v>
      </c>
      <c r="J6001" s="160">
        <v>0.33404</v>
      </c>
      <c r="K6001" s="160" t="s">
        <v>15</v>
      </c>
      <c r="L6001" s="154" t="str">
        <f>IF(OpenLCAbasic!K6001="CTUh", "Fill in Manually",IF(OR(K6001="Unit", K6001=""), "", INDEX(LookUps!$E$5:$E$12, MATCH(OpenLCAbasic!K6001,LookUps!$D$5:$D$12,0))))</f>
        <v>Cumulative Energy Demand (CED) - MJ</v>
      </c>
      <c r="M6001" s="154" t="str">
        <f t="shared" si="423"/>
        <v>Low_Medium_Low_Upgraded_Cumulative Energy Demand (CED) - MJ_Gravity Belt Thickener; wastewater treatment unit; at updated plant - US_Without Amendment_Windrow</v>
      </c>
    </row>
    <row r="6002" spans="1:13" s="120" customFormat="1" x14ac:dyDescent="0.25">
      <c r="A6002" s="119"/>
      <c r="B6002" s="138" t="str">
        <f t="shared" si="428"/>
        <v>Windrow</v>
      </c>
      <c r="C6002" s="138" t="str">
        <f t="shared" si="424"/>
        <v>Without Amendment</v>
      </c>
      <c r="D6002" s="138" t="str">
        <f t="shared" si="427"/>
        <v>Medium_Low</v>
      </c>
      <c r="E6002" s="138" t="str">
        <f t="shared" si="425"/>
        <v>Low</v>
      </c>
      <c r="F6002" s="138" t="str">
        <f t="shared" si="429"/>
        <v>Upgraded</v>
      </c>
      <c r="G6002" s="153"/>
      <c r="H6002" s="210">
        <v>2.1499999999999998E-2</v>
      </c>
      <c r="I6002" s="160" t="s">
        <v>149</v>
      </c>
      <c r="J6002" s="160">
        <v>0.27453</v>
      </c>
      <c r="K6002" s="160" t="s">
        <v>15</v>
      </c>
      <c r="L6002" s="154" t="str">
        <f>IF(OpenLCAbasic!K6002="CTUh", "Fill in Manually",IF(OR(K6002="Unit", K6002=""), "", INDEX(LookUps!$E$5:$E$12, MATCH(OpenLCAbasic!K6002,LookUps!$D$5:$D$12,0))))</f>
        <v>Cumulative Energy Demand (CED) - MJ</v>
      </c>
      <c r="M6002" s="154" t="str">
        <f t="shared" si="423"/>
        <v>Low_Medium_Low_Upgraded_Cumulative Energy Demand (CED) - MJ_Anaerobic Digestion; wastewater treatment unit; at updated plant - US_Without Amendment_Windrow</v>
      </c>
    </row>
    <row r="6003" spans="1:13" s="120" customFormat="1" x14ac:dyDescent="0.25">
      <c r="A6003" s="119"/>
      <c r="B6003" s="138" t="str">
        <f t="shared" si="428"/>
        <v>Windrow</v>
      </c>
      <c r="C6003" s="138" t="str">
        <f t="shared" si="424"/>
        <v>Without Amendment</v>
      </c>
      <c r="D6003" s="138" t="str">
        <f t="shared" si="427"/>
        <v>Medium_Low</v>
      </c>
      <c r="E6003" s="138" t="str">
        <f t="shared" si="425"/>
        <v>Low</v>
      </c>
      <c r="F6003" s="138" t="str">
        <f t="shared" si="429"/>
        <v>Upgraded</v>
      </c>
      <c r="G6003" s="153"/>
      <c r="H6003" s="210">
        <v>2.01E-2</v>
      </c>
      <c r="I6003" s="160" t="s">
        <v>128</v>
      </c>
      <c r="J6003" s="160">
        <v>0.25606000000000001</v>
      </c>
      <c r="K6003" s="160" t="s">
        <v>15</v>
      </c>
      <c r="L6003" s="154" t="str">
        <f>IF(OpenLCAbasic!K6003="CTUh", "Fill in Manually",IF(OR(K6003="Unit", K6003=""), "", INDEX(LookUps!$E$5:$E$12, MATCH(OpenLCAbasic!K6003,LookUps!$D$5:$D$12,0))))</f>
        <v>Cumulative Energy Demand (CED) - MJ</v>
      </c>
      <c r="M6003" s="154" t="str">
        <f t="shared" si="423"/>
        <v>Low_Medium_Low_Upgraded_Cumulative Energy Demand (CED) - MJ_Wastewater collection; operation and infrastructure; m3 wastewater_Without Amendment_Windrow</v>
      </c>
    </row>
    <row r="6004" spans="1:13" s="120" customFormat="1" x14ac:dyDescent="0.25">
      <c r="A6004" s="119"/>
      <c r="B6004" s="138" t="str">
        <f t="shared" si="428"/>
        <v>Windrow</v>
      </c>
      <c r="C6004" s="138" t="str">
        <f t="shared" si="424"/>
        <v>Without Amendment</v>
      </c>
      <c r="D6004" s="138" t="str">
        <f t="shared" si="427"/>
        <v>Medium_Low</v>
      </c>
      <c r="E6004" s="138" t="str">
        <f t="shared" si="425"/>
        <v>Low</v>
      </c>
      <c r="F6004" s="138" t="str">
        <f t="shared" si="429"/>
        <v>Upgraded</v>
      </c>
      <c r="G6004" s="153"/>
      <c r="H6004" s="210">
        <v>1.15E-2</v>
      </c>
      <c r="I6004" s="160" t="s">
        <v>148</v>
      </c>
      <c r="J6004" s="160">
        <v>0.14599000000000001</v>
      </c>
      <c r="K6004" s="160" t="s">
        <v>15</v>
      </c>
      <c r="L6004" s="154" t="str">
        <f>IF(OpenLCAbasic!K6004="CTUh", "Fill in Manually",IF(OR(K6004="Unit", K6004=""), "", INDEX(LookUps!$E$5:$E$12, MATCH(OpenLCAbasic!K6004,LookUps!$D$5:$D$12,0))))</f>
        <v>Cumulative Energy Demand (CED) - MJ</v>
      </c>
      <c r="M6004" s="154" t="str">
        <f t="shared" si="423"/>
        <v>Low_Medium_Low_Upgraded_Cumulative Energy Demand (CED) - MJ_Control Building; at upgraded wastewater treatment plant - US_Without Amendment_Windrow</v>
      </c>
    </row>
    <row r="6005" spans="1:13" s="120" customFormat="1" x14ac:dyDescent="0.25">
      <c r="A6005" s="119"/>
      <c r="B6005" s="138" t="str">
        <f t="shared" si="428"/>
        <v>Windrow</v>
      </c>
      <c r="C6005" s="138" t="str">
        <f t="shared" si="424"/>
        <v>Without Amendment</v>
      </c>
      <c r="D6005" s="138" t="str">
        <f t="shared" si="427"/>
        <v>Medium_Low</v>
      </c>
      <c r="E6005" s="138" t="str">
        <f t="shared" si="425"/>
        <v>Low</v>
      </c>
      <c r="F6005" s="138" t="str">
        <f t="shared" si="429"/>
        <v>Upgraded</v>
      </c>
      <c r="G6005" s="153"/>
      <c r="H6005" s="210">
        <v>1.04E-2</v>
      </c>
      <c r="I6005" s="160" t="s">
        <v>48</v>
      </c>
      <c r="J6005" s="160">
        <v>0.13321</v>
      </c>
      <c r="K6005" s="160" t="s">
        <v>15</v>
      </c>
      <c r="L6005" s="154" t="str">
        <f>IF(OpenLCAbasic!K6005="CTUh", "Fill in Manually",IF(OR(K6005="Unit", K6005=""), "", INDEX(LookUps!$E$5:$E$12, MATCH(OpenLCAbasic!K6005,LookUps!$D$5:$D$12,0))))</f>
        <v>Cumulative Energy Demand (CED) - MJ</v>
      </c>
      <c r="M6005" s="154" t="str">
        <f t="shared" si="423"/>
        <v>Low_Medium_Low_Upgraded_Cumulative Energy Demand (CED) - MJ_Effluent release; wastewater treatment unit; at surface water; m3 wastewater - US_Without Amendment_Windrow</v>
      </c>
    </row>
    <row r="6006" spans="1:13" s="120" customFormat="1" x14ac:dyDescent="0.25">
      <c r="A6006" s="119"/>
      <c r="B6006" s="138" t="str">
        <f t="shared" si="428"/>
        <v>Windrow</v>
      </c>
      <c r="C6006" s="138" t="str">
        <f t="shared" si="424"/>
        <v>Without Amendment</v>
      </c>
      <c r="D6006" s="138" t="str">
        <f t="shared" si="427"/>
        <v>Medium_Low</v>
      </c>
      <c r="E6006" s="138" t="str">
        <f t="shared" si="425"/>
        <v>Low</v>
      </c>
      <c r="F6006" s="138" t="str">
        <f t="shared" si="429"/>
        <v>Upgraded</v>
      </c>
      <c r="G6006" s="153"/>
      <c r="H6006" s="210">
        <v>8.3000000000000001E-3</v>
      </c>
      <c r="I6006" s="160" t="s">
        <v>59</v>
      </c>
      <c r="J6006" s="160">
        <v>0.10638</v>
      </c>
      <c r="K6006" s="160" t="s">
        <v>15</v>
      </c>
      <c r="L6006" s="154" t="str">
        <f>IF(OpenLCAbasic!K6006="CTUh", "Fill in Manually",IF(OR(K6006="Unit", K6006=""), "", INDEX(LookUps!$E$5:$E$12, MATCH(OpenLCAbasic!K6006,LookUps!$D$5:$D$12,0))))</f>
        <v>Cumulative Energy Demand (CED) - MJ</v>
      </c>
      <c r="M6006" s="154" t="str">
        <f t="shared" si="423"/>
        <v>Low_Medium_Low_Upgraded_Cumulative Energy Demand (CED) - MJ_Blend Tank; wastewater treatment unit; at updated plant - US_Without Amendment_Windrow</v>
      </c>
    </row>
    <row r="6007" spans="1:13" s="120" customFormat="1" x14ac:dyDescent="0.25">
      <c r="A6007" s="119"/>
      <c r="B6007" s="138" t="str">
        <f t="shared" si="428"/>
        <v>Windrow</v>
      </c>
      <c r="C6007" s="138" t="str">
        <f t="shared" si="424"/>
        <v>Without Amendment</v>
      </c>
      <c r="D6007" s="138" t="str">
        <f t="shared" si="427"/>
        <v>Medium_Low</v>
      </c>
      <c r="E6007" s="138" t="str">
        <f t="shared" si="425"/>
        <v>Low</v>
      </c>
      <c r="F6007" s="138" t="str">
        <f t="shared" si="429"/>
        <v>Upgraded</v>
      </c>
      <c r="G6007" s="153"/>
      <c r="H6007" s="210">
        <v>4.0000000000000001E-3</v>
      </c>
      <c r="I6007" s="160" t="s">
        <v>168</v>
      </c>
      <c r="J6007" s="160">
        <v>5.0930000000000003E-2</v>
      </c>
      <c r="K6007" s="160" t="s">
        <v>15</v>
      </c>
      <c r="L6007" s="154" t="str">
        <f>IF(OpenLCAbasic!K6007="CTUh", "Fill in Manually",IF(OR(K6007="Unit", K6007=""), "", INDEX(LookUps!$E$5:$E$12, MATCH(OpenLCAbasic!K6007,LookUps!$D$5:$D$12,0))))</f>
        <v>Cumulative Energy Demand (CED) - MJ</v>
      </c>
      <c r="M6007" s="154" t="str">
        <f t="shared" si="423"/>
        <v>Low_Medium_Low_Upgraded_Cumulative Energy Demand (CED) - MJ_ClearCove SCP; wastewater treatment unit; at updated plant - US_Without Amendment_Windrow</v>
      </c>
    </row>
    <row r="6008" spans="1:13" s="120" customFormat="1" x14ac:dyDescent="0.25">
      <c r="A6008" s="119"/>
      <c r="B6008" s="138" t="str">
        <f t="shared" si="428"/>
        <v>Windrow</v>
      </c>
      <c r="C6008" s="138" t="str">
        <f t="shared" si="424"/>
        <v>Without Amendment</v>
      </c>
      <c r="D6008" s="138" t="str">
        <f t="shared" si="427"/>
        <v>Medium_Low</v>
      </c>
      <c r="E6008" s="138" t="str">
        <f t="shared" si="425"/>
        <v>Low</v>
      </c>
      <c r="F6008" s="138" t="str">
        <f t="shared" si="429"/>
        <v>Upgraded</v>
      </c>
      <c r="G6008" s="153"/>
      <c r="H6008" s="210">
        <v>2.3E-3</v>
      </c>
      <c r="I6008" s="160" t="s">
        <v>271</v>
      </c>
      <c r="J6008" s="160">
        <v>2.9559999999999999E-2</v>
      </c>
      <c r="K6008" s="160" t="s">
        <v>15</v>
      </c>
      <c r="L6008" s="154" t="str">
        <f>IF(OpenLCAbasic!K6008="CTUh", "Fill in Manually",IF(OR(K6008="Unit", K6008=""), "", INDEX(LookUps!$E$5:$E$12, MATCH(OpenLCAbasic!K6008,LookUps!$D$5:$D$12,0))))</f>
        <v>Cumulative Energy Demand (CED) - MJ</v>
      </c>
      <c r="M6008" s="154" t="str">
        <f t="shared" si="423"/>
        <v>Low_Medium_Low_Upgraded_Cumulative Energy Demand (CED) - MJ_Biosolids composting; windrow composting; wastewater treatment unit; at updated plant - US_Without Amendment_Windrow</v>
      </c>
    </row>
    <row r="6009" spans="1:13" s="120" customFormat="1" x14ac:dyDescent="0.25">
      <c r="A6009" s="119"/>
      <c r="B6009" s="138" t="str">
        <f t="shared" si="428"/>
        <v>Windrow</v>
      </c>
      <c r="C6009" s="138" t="str">
        <f t="shared" si="424"/>
        <v>Without Amendment</v>
      </c>
      <c r="D6009" s="138" t="str">
        <f t="shared" si="427"/>
        <v>Medium_Low</v>
      </c>
      <c r="E6009" s="138" t="str">
        <f t="shared" si="425"/>
        <v>Low</v>
      </c>
      <c r="F6009" s="138" t="str">
        <f t="shared" si="429"/>
        <v>Upgraded</v>
      </c>
      <c r="G6009" s="153"/>
      <c r="H6009" s="210">
        <v>-3.6900000000000002E-2</v>
      </c>
      <c r="I6009" s="160" t="s">
        <v>62</v>
      </c>
      <c r="J6009" s="160">
        <v>-0.47099999999999997</v>
      </c>
      <c r="K6009" s="160" t="s">
        <v>15</v>
      </c>
      <c r="L6009" s="154" t="str">
        <f>IF(OpenLCAbasic!K6009="CTUh", "Fill in Manually",IF(OR(K6009="Unit", K6009=""), "", INDEX(LookUps!$E$5:$E$12, MATCH(OpenLCAbasic!K6009,LookUps!$D$5:$D$12,0))))</f>
        <v>Cumulative Energy Demand (CED) - MJ</v>
      </c>
      <c r="M6009" s="154" t="str">
        <f t="shared" si="423"/>
        <v>Low_Medium_Low_Upgraded_Cumulative Energy Demand (CED) - MJ_Land application of compost; wastewater treatment unit; at updated plant - US_Without Amendment_Windrow</v>
      </c>
    </row>
    <row r="6010" spans="1:13" s="120" customFormat="1" x14ac:dyDescent="0.25">
      <c r="A6010" s="119"/>
      <c r="B6010" s="138" t="str">
        <f t="shared" si="428"/>
        <v/>
      </c>
      <c r="C6010" s="138" t="str">
        <f t="shared" si="424"/>
        <v/>
      </c>
      <c r="D6010" s="138" t="str">
        <f t="shared" si="427"/>
        <v/>
      </c>
      <c r="E6010" s="138" t="str">
        <f t="shared" si="425"/>
        <v/>
      </c>
      <c r="F6010" s="138" t="str">
        <f t="shared" si="429"/>
        <v/>
      </c>
      <c r="G6010" s="153" t="s">
        <v>51</v>
      </c>
      <c r="H6010" s="160"/>
      <c r="I6010" s="160" t="s">
        <v>47</v>
      </c>
      <c r="J6010" s="160" t="s">
        <v>52</v>
      </c>
      <c r="K6010" s="160" t="s">
        <v>27</v>
      </c>
      <c r="L6010" s="154" t="str">
        <f>IF(OpenLCAbasic!K6010="CTUh", "Fill in Manually",IF(OR(K6010="Unit", K6010=""), "", INDEX(LookUps!$E$5:$E$12, MATCH(OpenLCAbasic!K6010,LookUps!$D$5:$D$12,0))))</f>
        <v/>
      </c>
      <c r="M6010" s="154" t="str">
        <f t="shared" si="423"/>
        <v>____Process__</v>
      </c>
    </row>
    <row r="6011" spans="1:13" s="120" customFormat="1" x14ac:dyDescent="0.25">
      <c r="A6011" s="119"/>
      <c r="B6011" s="138" t="str">
        <f t="shared" si="428"/>
        <v>Windrow</v>
      </c>
      <c r="C6011" s="138" t="str">
        <f t="shared" si="424"/>
        <v>Without Amendment</v>
      </c>
      <c r="D6011" s="138" t="str">
        <f t="shared" si="427"/>
        <v>Medium_Low</v>
      </c>
      <c r="E6011" s="138" t="str">
        <f t="shared" si="425"/>
        <v>Low</v>
      </c>
      <c r="F6011" s="138" t="str">
        <f t="shared" si="429"/>
        <v>Upgraded</v>
      </c>
      <c r="G6011" s="153"/>
      <c r="H6011" s="210">
        <v>0.75629999999999997</v>
      </c>
      <c r="I6011" s="160" t="s">
        <v>48</v>
      </c>
      <c r="J6011" s="160">
        <v>1.1610000000000001E-2</v>
      </c>
      <c r="K6011" s="160" t="s">
        <v>13</v>
      </c>
      <c r="L6011" s="154" t="str">
        <f>IF(OpenLCAbasic!K6011="CTUh", "Fill in Manually",IF(OR(K6011="Unit", K6011=""), "", INDEX(LookUps!$E$5:$E$12, MATCH(OpenLCAbasic!K6011,LookUps!$D$5:$D$12,0))))</f>
        <v>Eutrophication Potential (EP) - kg N eq</v>
      </c>
      <c r="M6011" s="154" t="str">
        <f t="shared" ref="M6011:M6074" si="430">CONCATENATE(E6011,"_",D6011,"_",F6011,"_",L6011, "_",I6011,"_", C6011,"_", B6011)</f>
        <v>Low_Medium_Low_Upgraded_Eutrophication Potential (EP) - kg N eq_Effluent release; wastewater treatment unit; at surface water; m3 wastewater - US_Without Amendment_Windrow</v>
      </c>
    </row>
    <row r="6012" spans="1:13" s="120" customFormat="1" x14ac:dyDescent="0.25">
      <c r="A6012" s="119"/>
      <c r="B6012" s="138" t="str">
        <f t="shared" si="428"/>
        <v>Windrow</v>
      </c>
      <c r="C6012" s="138" t="str">
        <f t="shared" si="424"/>
        <v>Without Amendment</v>
      </c>
      <c r="D6012" s="138" t="str">
        <f t="shared" si="427"/>
        <v>Medium_Low</v>
      </c>
      <c r="E6012" s="138" t="str">
        <f t="shared" si="425"/>
        <v>Low</v>
      </c>
      <c r="F6012" s="138" t="str">
        <f t="shared" si="429"/>
        <v>Upgraded</v>
      </c>
      <c r="G6012" s="153"/>
      <c r="H6012" s="210">
        <v>0.13600000000000001</v>
      </c>
      <c r="I6012" s="160" t="s">
        <v>62</v>
      </c>
      <c r="J6012" s="160">
        <v>2.0899999999999998E-3</v>
      </c>
      <c r="K6012" s="160" t="s">
        <v>13</v>
      </c>
      <c r="L6012" s="154" t="str">
        <f>IF(OpenLCAbasic!K6012="CTUh", "Fill in Manually",IF(OR(K6012="Unit", K6012=""), "", INDEX(LookUps!$E$5:$E$12, MATCH(OpenLCAbasic!K6012,LookUps!$D$5:$D$12,0))))</f>
        <v>Eutrophication Potential (EP) - kg N eq</v>
      </c>
      <c r="M6012" s="154" t="str">
        <f t="shared" si="430"/>
        <v>Low_Medium_Low_Upgraded_Eutrophication Potential (EP) - kg N eq_Land application of compost; wastewater treatment unit; at updated plant - US_Without Amendment_Windrow</v>
      </c>
    </row>
    <row r="6013" spans="1:13" s="120" customFormat="1" x14ac:dyDescent="0.25">
      <c r="A6013" s="119"/>
      <c r="B6013" s="138" t="str">
        <f t="shared" si="428"/>
        <v>Windrow</v>
      </c>
      <c r="C6013" s="138" t="str">
        <f t="shared" si="424"/>
        <v>Without Amendment</v>
      </c>
      <c r="D6013" s="138" t="str">
        <f t="shared" si="427"/>
        <v>Medium_Low</v>
      </c>
      <c r="E6013" s="138" t="str">
        <f t="shared" si="425"/>
        <v>Low</v>
      </c>
      <c r="F6013" s="138" t="str">
        <f t="shared" si="429"/>
        <v>Upgraded</v>
      </c>
      <c r="G6013" s="153"/>
      <c r="H6013" s="210">
        <v>3.56E-2</v>
      </c>
      <c r="I6013" s="160" t="s">
        <v>55</v>
      </c>
      <c r="J6013" s="160">
        <v>5.5000000000000003E-4</v>
      </c>
      <c r="K6013" s="160" t="s">
        <v>13</v>
      </c>
      <c r="L6013" s="154" t="str">
        <f>IF(OpenLCAbasic!K6013="CTUh", "Fill in Manually",IF(OR(K6013="Unit", K6013=""), "", INDEX(LookUps!$E$5:$E$12, MATCH(OpenLCAbasic!K6013,LookUps!$D$5:$D$12,0))))</f>
        <v>Eutrophication Potential (EP) - kg N eq</v>
      </c>
      <c r="M6013" s="154" t="str">
        <f t="shared" si="430"/>
        <v>Low_Medium_Low_Upgraded_Eutrophication Potential (EP) - kg N eq_Aeration Tanks; wastewater treatment unit; at updated plant - US_Without Amendment_Windrow</v>
      </c>
    </row>
    <row r="6014" spans="1:13" s="120" customFormat="1" x14ac:dyDescent="0.25">
      <c r="A6014" s="119"/>
      <c r="B6014" s="138" t="str">
        <f t="shared" si="428"/>
        <v>Windrow</v>
      </c>
      <c r="C6014" s="138" t="str">
        <f t="shared" si="424"/>
        <v>Without Amendment</v>
      </c>
      <c r="D6014" s="138" t="str">
        <f t="shared" si="427"/>
        <v>Medium_Low</v>
      </c>
      <c r="E6014" s="138" t="str">
        <f t="shared" si="425"/>
        <v>Low</v>
      </c>
      <c r="F6014" s="138" t="str">
        <f t="shared" si="429"/>
        <v>Upgraded</v>
      </c>
      <c r="G6014" s="153"/>
      <c r="H6014" s="210">
        <v>1.6299999999999999E-2</v>
      </c>
      <c r="I6014" s="160" t="s">
        <v>147</v>
      </c>
      <c r="J6014" s="160">
        <v>2.5000000000000001E-4</v>
      </c>
      <c r="K6014" s="160" t="s">
        <v>13</v>
      </c>
      <c r="L6014" s="154" t="str">
        <f>IF(OpenLCAbasic!K6014="CTUh", "Fill in Manually",IF(OR(K6014="Unit", K6014=""), "", INDEX(LookUps!$E$5:$E$12, MATCH(OpenLCAbasic!K6014,LookUps!$D$5:$D$12,0))))</f>
        <v>Eutrophication Potential (EP) - kg N eq</v>
      </c>
      <c r="M6014" s="154" t="str">
        <f t="shared" si="430"/>
        <v>Low_Medium_Low_Upgraded_Eutrophication Potential (EP) - kg N eq_Influent Pump Station; wastewater treatment unit; at updated plant - US_Without Amendment_Windrow</v>
      </c>
    </row>
    <row r="6015" spans="1:13" s="120" customFormat="1" x14ac:dyDescent="0.25">
      <c r="A6015" s="119"/>
      <c r="B6015" s="138" t="str">
        <f t="shared" si="428"/>
        <v>Windrow</v>
      </c>
      <c r="C6015" s="138" t="str">
        <f t="shared" si="424"/>
        <v>Without Amendment</v>
      </c>
      <c r="D6015" s="138" t="str">
        <f t="shared" si="427"/>
        <v>Medium_Low</v>
      </c>
      <c r="E6015" s="138" t="str">
        <f t="shared" si="425"/>
        <v>Low</v>
      </c>
      <c r="F6015" s="138" t="str">
        <f t="shared" si="429"/>
        <v>Upgraded</v>
      </c>
      <c r="G6015" s="153"/>
      <c r="H6015" s="210">
        <v>1.29E-2</v>
      </c>
      <c r="I6015" s="160" t="s">
        <v>54</v>
      </c>
      <c r="J6015" s="160">
        <v>2.0000000000000001E-4</v>
      </c>
      <c r="K6015" s="160" t="s">
        <v>13</v>
      </c>
      <c r="L6015" s="154" t="str">
        <f>IF(OpenLCAbasic!K6015="CTUh", "Fill in Manually",IF(OR(K6015="Unit", K6015=""), "", INDEX(LookUps!$E$5:$E$12, MATCH(OpenLCAbasic!K6015,LookUps!$D$5:$D$12,0))))</f>
        <v>Eutrophication Potential (EP) - kg N eq</v>
      </c>
      <c r="M6015" s="154" t="str">
        <f t="shared" si="430"/>
        <v>Low_Medium_Low_Upgraded_Eutrophication Potential (EP) - kg N eq_Clear Cove Primary Clarification; wastewater treatment unit; at updated plant - US_Without Amendment_Windrow</v>
      </c>
    </row>
    <row r="6016" spans="1:13" s="120" customFormat="1" x14ac:dyDescent="0.25">
      <c r="A6016" s="119"/>
      <c r="B6016" s="138" t="str">
        <f t="shared" si="428"/>
        <v>Windrow</v>
      </c>
      <c r="C6016" s="138" t="str">
        <f t="shared" si="424"/>
        <v>Without Amendment</v>
      </c>
      <c r="D6016" s="138" t="str">
        <f t="shared" si="427"/>
        <v>Medium_Low</v>
      </c>
      <c r="E6016" s="138" t="str">
        <f t="shared" si="425"/>
        <v>Low</v>
      </c>
      <c r="F6016" s="138" t="str">
        <f t="shared" si="429"/>
        <v>Upgraded</v>
      </c>
      <c r="G6016" s="153"/>
      <c r="H6016" s="210">
        <v>1.24E-2</v>
      </c>
      <c r="I6016" s="160" t="s">
        <v>167</v>
      </c>
      <c r="J6016" s="160">
        <v>1.9000000000000001E-4</v>
      </c>
      <c r="K6016" s="160" t="s">
        <v>13</v>
      </c>
      <c r="L6016" s="154" t="str">
        <f>IF(OpenLCAbasic!K6016="CTUh", "Fill in Manually",IF(OR(K6016="Unit", K6016=""), "", INDEX(LookUps!$E$5:$E$12, MATCH(OpenLCAbasic!K6016,LookUps!$D$5:$D$12,0))))</f>
        <v>Eutrophication Potential (EP) - kg N eq</v>
      </c>
      <c r="M6016" s="154" t="str">
        <f t="shared" si="430"/>
        <v>Low_Medium_Low_Upgraded_Eutrophication Potential (EP) - kg N eq_Waste Receiving and Holding; wastewater treatment unit; at updated plant - US_Without Amendment_Windrow</v>
      </c>
    </row>
    <row r="6017" spans="1:13" s="120" customFormat="1" x14ac:dyDescent="0.25">
      <c r="A6017" s="119"/>
      <c r="B6017" s="138" t="str">
        <f t="shared" si="428"/>
        <v>Windrow</v>
      </c>
      <c r="C6017" s="138" t="str">
        <f t="shared" ref="C6017:C6080" si="431">IF(ISNUMBER($J6017),"Without Amendment","")</f>
        <v>Without Amendment</v>
      </c>
      <c r="D6017" s="138" t="str">
        <f t="shared" si="427"/>
        <v>Medium_Low</v>
      </c>
      <c r="E6017" s="138" t="str">
        <f t="shared" ref="E6017:E6080" si="432">IF(ISNUMBER($J6017),"Low","")</f>
        <v>Low</v>
      </c>
      <c r="F6017" s="138" t="str">
        <f t="shared" si="429"/>
        <v>Upgraded</v>
      </c>
      <c r="G6017" s="153"/>
      <c r="H6017" s="210">
        <v>8.8000000000000005E-3</v>
      </c>
      <c r="I6017" s="160" t="s">
        <v>58</v>
      </c>
      <c r="J6017" s="160">
        <v>1.3999999999999999E-4</v>
      </c>
      <c r="K6017" s="160" t="s">
        <v>13</v>
      </c>
      <c r="L6017" s="154" t="str">
        <f>IF(OpenLCAbasic!K6017="CTUh", "Fill in Manually",IF(OR(K6017="Unit", K6017=""), "", INDEX(LookUps!$E$5:$E$12, MATCH(OpenLCAbasic!K6017,LookUps!$D$5:$D$12,0))))</f>
        <v>Eutrophication Potential (EP) - kg N eq</v>
      </c>
      <c r="M6017" s="154" t="str">
        <f t="shared" si="430"/>
        <v>Low_Medium_Low_Upgraded_Eutrophication Potential (EP) - kg N eq_Pre-Anoxic &amp; Swing tank; wastewater treatment unit; at updated plant - US_Without Amendment_Windrow</v>
      </c>
    </row>
    <row r="6018" spans="1:13" s="120" customFormat="1" x14ac:dyDescent="0.25">
      <c r="A6018" s="119"/>
      <c r="B6018" s="138" t="str">
        <f t="shared" si="428"/>
        <v>Windrow</v>
      </c>
      <c r="C6018" s="138" t="str">
        <f t="shared" si="431"/>
        <v>Without Amendment</v>
      </c>
      <c r="D6018" s="138" t="str">
        <f t="shared" si="427"/>
        <v>Medium_Low</v>
      </c>
      <c r="E6018" s="138" t="str">
        <f t="shared" si="432"/>
        <v>Low</v>
      </c>
      <c r="F6018" s="138" t="str">
        <f t="shared" si="429"/>
        <v>Upgraded</v>
      </c>
      <c r="G6018" s="153"/>
      <c r="H6018" s="210">
        <v>7.0000000000000001E-3</v>
      </c>
      <c r="I6018" s="160" t="s">
        <v>53</v>
      </c>
      <c r="J6018" s="160">
        <v>1.1E-4</v>
      </c>
      <c r="K6018" s="160" t="s">
        <v>13</v>
      </c>
      <c r="L6018" s="154" t="str">
        <f>IF(OpenLCAbasic!K6018="CTUh", "Fill in Manually",IF(OR(K6018="Unit", K6018=""), "", INDEX(LookUps!$E$5:$E$12, MATCH(OpenLCAbasic!K6018,LookUps!$D$5:$D$12,0))))</f>
        <v>Eutrophication Potential (EP) - kg N eq</v>
      </c>
      <c r="M6018" s="154" t="str">
        <f t="shared" si="430"/>
        <v>Low_Medium_Low_Upgraded_Eutrophication Potential (EP) - kg N eq_Wet Well and Sump Station; wastewater treatment unit; at updated plant - US_Without Amendment_Windrow</v>
      </c>
    </row>
    <row r="6019" spans="1:13" s="120" customFormat="1" x14ac:dyDescent="0.25">
      <c r="A6019" s="119"/>
      <c r="B6019" s="138" t="str">
        <f t="shared" si="428"/>
        <v>Windrow</v>
      </c>
      <c r="C6019" s="138" t="str">
        <f t="shared" si="431"/>
        <v>Without Amendment</v>
      </c>
      <c r="D6019" s="138" t="str">
        <f t="shared" si="427"/>
        <v>Medium_Low</v>
      </c>
      <c r="E6019" s="138" t="str">
        <f t="shared" si="432"/>
        <v>Low</v>
      </c>
      <c r="F6019" s="138" t="str">
        <f t="shared" si="429"/>
        <v>Upgraded</v>
      </c>
      <c r="G6019" s="153"/>
      <c r="H6019" s="210">
        <v>5.1000000000000004E-3</v>
      </c>
      <c r="I6019" s="160" t="s">
        <v>60</v>
      </c>
      <c r="J6019" s="211">
        <v>7.8941800000000004E-5</v>
      </c>
      <c r="K6019" s="160" t="s">
        <v>13</v>
      </c>
      <c r="L6019" s="154" t="str">
        <f>IF(OpenLCAbasic!K6019="CTUh", "Fill in Manually",IF(OR(K6019="Unit", K6019=""), "", INDEX(LookUps!$E$5:$E$12, MATCH(OpenLCAbasic!K6019,LookUps!$D$5:$D$12,0))))</f>
        <v>Eutrophication Potential (EP) - kg N eq</v>
      </c>
      <c r="M6019" s="154" t="str">
        <f t="shared" si="430"/>
        <v>Low_Medium_Low_Upgraded_Eutrophication Potential (EP) - kg N eq_Belt filter press; wastewater treatment unit; at updated plant - US_Without Amendment_Windrow</v>
      </c>
    </row>
    <row r="6020" spans="1:13" s="120" customFormat="1" x14ac:dyDescent="0.25">
      <c r="A6020" s="119"/>
      <c r="B6020" s="138" t="str">
        <f t="shared" si="428"/>
        <v>Windrow</v>
      </c>
      <c r="C6020" s="138" t="str">
        <f t="shared" si="431"/>
        <v>Without Amendment</v>
      </c>
      <c r="D6020" s="138" t="str">
        <f t="shared" si="427"/>
        <v>Medium_Low</v>
      </c>
      <c r="E6020" s="138" t="str">
        <f t="shared" si="432"/>
        <v>Low</v>
      </c>
      <c r="F6020" s="138" t="str">
        <f t="shared" si="429"/>
        <v>Upgraded</v>
      </c>
      <c r="G6020" s="153"/>
      <c r="H6020" s="210">
        <v>4.1999999999999997E-3</v>
      </c>
      <c r="I6020" s="160" t="s">
        <v>271</v>
      </c>
      <c r="J6020" s="211">
        <v>6.4517000000000006E-5</v>
      </c>
      <c r="K6020" s="160" t="s">
        <v>13</v>
      </c>
      <c r="L6020" s="154" t="str">
        <f>IF(OpenLCAbasic!K6020="CTUh", "Fill in Manually",IF(OR(K6020="Unit", K6020=""), "", INDEX(LookUps!$E$5:$E$12, MATCH(OpenLCAbasic!K6020,LookUps!$D$5:$D$12,0))))</f>
        <v>Eutrophication Potential (EP) - kg N eq</v>
      </c>
      <c r="M6020" s="154" t="str">
        <f t="shared" si="430"/>
        <v>Low_Medium_Low_Upgraded_Eutrophication Potential (EP) - kg N eq_Biosolids composting; windrow composting; wastewater treatment unit; at updated plant - US_Without Amendment_Windrow</v>
      </c>
    </row>
    <row r="6021" spans="1:13" s="120" customFormat="1" x14ac:dyDescent="0.25">
      <c r="A6021" s="119"/>
      <c r="B6021" s="138" t="str">
        <f t="shared" si="428"/>
        <v>Windrow</v>
      </c>
      <c r="C6021" s="138" t="str">
        <f t="shared" si="431"/>
        <v>Without Amendment</v>
      </c>
      <c r="D6021" s="138" t="str">
        <f t="shared" si="427"/>
        <v>Medium_Low</v>
      </c>
      <c r="E6021" s="138" t="str">
        <f t="shared" si="432"/>
        <v>Low</v>
      </c>
      <c r="F6021" s="138" t="str">
        <f t="shared" si="429"/>
        <v>Upgraded</v>
      </c>
      <c r="G6021" s="153"/>
      <c r="H6021" s="210">
        <v>3.8999999999999998E-3</v>
      </c>
      <c r="I6021" s="160" t="s">
        <v>57</v>
      </c>
      <c r="J6021" s="211">
        <v>6.0590300000000002E-5</v>
      </c>
      <c r="K6021" s="160" t="s">
        <v>13</v>
      </c>
      <c r="L6021" s="154" t="str">
        <f>IF(OpenLCAbasic!K6021="CTUh", "Fill in Manually",IF(OR(K6021="Unit", K6021=""), "", INDEX(LookUps!$E$5:$E$12, MATCH(OpenLCAbasic!K6021,LookUps!$D$5:$D$12,0))))</f>
        <v>Eutrophication Potential (EP) - kg N eq</v>
      </c>
      <c r="M6021" s="154" t="str">
        <f t="shared" si="430"/>
        <v>Low_Medium_Low_Upgraded_Eutrophication Potential (EP) - kg N eq_Gravity Belt Thickener; wastewater treatment unit; at updated plant - US_Without Amendment_Windrow</v>
      </c>
    </row>
    <row r="6022" spans="1:13" s="120" customFormat="1" x14ac:dyDescent="0.25">
      <c r="A6022" s="119"/>
      <c r="B6022" s="138" t="str">
        <f t="shared" si="428"/>
        <v>Windrow</v>
      </c>
      <c r="C6022" s="138" t="str">
        <f t="shared" si="431"/>
        <v>Without Amendment</v>
      </c>
      <c r="D6022" s="138" t="str">
        <f t="shared" si="427"/>
        <v>Medium_Low</v>
      </c>
      <c r="E6022" s="138" t="str">
        <f t="shared" si="432"/>
        <v>Low</v>
      </c>
      <c r="F6022" s="138" t="str">
        <f t="shared" si="429"/>
        <v>Upgraded</v>
      </c>
      <c r="G6022" s="153"/>
      <c r="H6022" s="210">
        <v>2.3999999999999998E-3</v>
      </c>
      <c r="I6022" s="160" t="s">
        <v>128</v>
      </c>
      <c r="J6022" s="211">
        <v>3.7559799999999999E-5</v>
      </c>
      <c r="K6022" s="160" t="s">
        <v>13</v>
      </c>
      <c r="L6022" s="154" t="str">
        <f>IF(OpenLCAbasic!K6022="CTUh", "Fill in Manually",IF(OR(K6022="Unit", K6022=""), "", INDEX(LookUps!$E$5:$E$12, MATCH(OpenLCAbasic!K6022,LookUps!$D$5:$D$12,0))))</f>
        <v>Eutrophication Potential (EP) - kg N eq</v>
      </c>
      <c r="M6022" s="154" t="str">
        <f t="shared" si="430"/>
        <v>Low_Medium_Low_Upgraded_Eutrophication Potential (EP) - kg N eq_Wastewater collection; operation and infrastructure; m3 wastewater_Without Amendment_Windrow</v>
      </c>
    </row>
    <row r="6023" spans="1:13" s="120" customFormat="1" x14ac:dyDescent="0.25">
      <c r="A6023" s="119"/>
      <c r="B6023" s="138" t="str">
        <f t="shared" si="428"/>
        <v>Windrow</v>
      </c>
      <c r="C6023" s="138" t="str">
        <f t="shared" si="431"/>
        <v>Without Amendment</v>
      </c>
      <c r="D6023" s="138" t="str">
        <f t="shared" si="427"/>
        <v>Medium_Low</v>
      </c>
      <c r="E6023" s="138" t="str">
        <f t="shared" si="432"/>
        <v>Low</v>
      </c>
      <c r="F6023" s="138" t="str">
        <f t="shared" si="429"/>
        <v>Upgraded</v>
      </c>
      <c r="G6023" s="153"/>
      <c r="H6023" s="210">
        <v>2.3999999999999998E-3</v>
      </c>
      <c r="I6023" s="160" t="s">
        <v>148</v>
      </c>
      <c r="J6023" s="211">
        <v>3.6874600000000001E-5</v>
      </c>
      <c r="K6023" s="160" t="s">
        <v>13</v>
      </c>
      <c r="L6023" s="154" t="str">
        <f>IF(OpenLCAbasic!K6023="CTUh", "Fill in Manually",IF(OR(K6023="Unit", K6023=""), "", INDEX(LookUps!$E$5:$E$12, MATCH(OpenLCAbasic!K6023,LookUps!$D$5:$D$12,0))))</f>
        <v>Eutrophication Potential (EP) - kg N eq</v>
      </c>
      <c r="M6023" s="154" t="str">
        <f t="shared" si="430"/>
        <v>Low_Medium_Low_Upgraded_Eutrophication Potential (EP) - kg N eq_Control Building; at upgraded wastewater treatment plant - US_Without Amendment_Windrow</v>
      </c>
    </row>
    <row r="6024" spans="1:13" s="120" customFormat="1" x14ac:dyDescent="0.25">
      <c r="A6024" s="119"/>
      <c r="B6024" s="138" t="str">
        <f t="shared" si="428"/>
        <v>Windrow</v>
      </c>
      <c r="C6024" s="138" t="str">
        <f t="shared" si="431"/>
        <v>Without Amendment</v>
      </c>
      <c r="D6024" s="138" t="str">
        <f t="shared" si="427"/>
        <v>Medium_Low</v>
      </c>
      <c r="E6024" s="138" t="str">
        <f t="shared" si="432"/>
        <v>Low</v>
      </c>
      <c r="F6024" s="138" t="str">
        <f t="shared" si="429"/>
        <v>Upgraded</v>
      </c>
      <c r="G6024" s="153"/>
      <c r="H6024" s="210">
        <v>1.1000000000000001E-3</v>
      </c>
      <c r="I6024" s="160" t="s">
        <v>59</v>
      </c>
      <c r="J6024" s="211">
        <v>1.6215700000000001E-5</v>
      </c>
      <c r="K6024" s="160" t="s">
        <v>13</v>
      </c>
      <c r="L6024" s="154" t="str">
        <f>IF(OpenLCAbasic!K6024="CTUh", "Fill in Manually",IF(OR(K6024="Unit", K6024=""), "", INDEX(LookUps!$E$5:$E$12, MATCH(OpenLCAbasic!K6024,LookUps!$D$5:$D$12,0))))</f>
        <v>Eutrophication Potential (EP) - kg N eq</v>
      </c>
      <c r="M6024" s="154" t="str">
        <f t="shared" si="430"/>
        <v>Low_Medium_Low_Upgraded_Eutrophication Potential (EP) - kg N eq_Blend Tank; wastewater treatment unit; at updated plant - US_Without Amendment_Windrow</v>
      </c>
    </row>
    <row r="6025" spans="1:13" s="120" customFormat="1" x14ac:dyDescent="0.25">
      <c r="A6025" s="119"/>
      <c r="B6025" s="138" t="str">
        <f t="shared" si="428"/>
        <v>Windrow</v>
      </c>
      <c r="C6025" s="138" t="str">
        <f t="shared" si="431"/>
        <v>Without Amendment</v>
      </c>
      <c r="D6025" s="138" t="str">
        <f t="shared" si="427"/>
        <v>Medium_Low</v>
      </c>
      <c r="E6025" s="138" t="str">
        <f t="shared" si="432"/>
        <v>Low</v>
      </c>
      <c r="F6025" s="138" t="str">
        <f t="shared" si="429"/>
        <v>Upgraded</v>
      </c>
      <c r="G6025" s="153"/>
      <c r="H6025" s="210">
        <v>5.0000000000000001E-4</v>
      </c>
      <c r="I6025" s="160" t="s">
        <v>168</v>
      </c>
      <c r="J6025" s="211">
        <v>7.7567199999999995E-6</v>
      </c>
      <c r="K6025" s="160" t="s">
        <v>13</v>
      </c>
      <c r="L6025" s="154" t="str">
        <f>IF(OpenLCAbasic!K6025="CTUh", "Fill in Manually",IF(OR(K6025="Unit", K6025=""), "", INDEX(LookUps!$E$5:$E$12, MATCH(OpenLCAbasic!K6025,LookUps!$D$5:$D$12,0))))</f>
        <v>Eutrophication Potential (EP) - kg N eq</v>
      </c>
      <c r="M6025" s="154" t="str">
        <f t="shared" si="430"/>
        <v>Low_Medium_Low_Upgraded_Eutrophication Potential (EP) - kg N eq_ClearCove SCP; wastewater treatment unit; at updated plant - US_Without Amendment_Windrow</v>
      </c>
    </row>
    <row r="6026" spans="1:13" s="120" customFormat="1" x14ac:dyDescent="0.25">
      <c r="A6026" s="119"/>
      <c r="B6026" s="138" t="str">
        <f t="shared" si="428"/>
        <v>Windrow</v>
      </c>
      <c r="C6026" s="138" t="str">
        <f t="shared" si="431"/>
        <v>Without Amendment</v>
      </c>
      <c r="D6026" s="138" t="str">
        <f t="shared" si="427"/>
        <v>Medium_Low</v>
      </c>
      <c r="E6026" s="138" t="str">
        <f t="shared" si="432"/>
        <v>Low</v>
      </c>
      <c r="F6026" s="138" t="str">
        <f t="shared" si="429"/>
        <v>Upgraded</v>
      </c>
      <c r="G6026" s="153"/>
      <c r="H6026" s="210">
        <v>-5.1000000000000004E-3</v>
      </c>
      <c r="I6026" s="160" t="s">
        <v>149</v>
      </c>
      <c r="J6026" s="211">
        <v>-7.8280099999999996E-5</v>
      </c>
      <c r="K6026" s="160" t="s">
        <v>13</v>
      </c>
      <c r="L6026" s="154" t="str">
        <f>IF(OpenLCAbasic!K6026="CTUh", "Fill in Manually",IF(OR(K6026="Unit", K6026=""), "", INDEX(LookUps!$E$5:$E$12, MATCH(OpenLCAbasic!K6026,LookUps!$D$5:$D$12,0))))</f>
        <v>Eutrophication Potential (EP) - kg N eq</v>
      </c>
      <c r="M6026" s="154" t="str">
        <f t="shared" si="430"/>
        <v>Low_Medium_Low_Upgraded_Eutrophication Potential (EP) - kg N eq_Anaerobic Digestion; wastewater treatment unit; at updated plant - US_Without Amendment_Windrow</v>
      </c>
    </row>
    <row r="6027" spans="1:13" s="120" customFormat="1" x14ac:dyDescent="0.25">
      <c r="A6027" s="119"/>
      <c r="B6027" s="138" t="str">
        <f t="shared" si="428"/>
        <v/>
      </c>
      <c r="C6027" s="138" t="str">
        <f t="shared" si="431"/>
        <v/>
      </c>
      <c r="D6027" s="138" t="str">
        <f t="shared" si="427"/>
        <v/>
      </c>
      <c r="E6027" s="138" t="str">
        <f t="shared" si="432"/>
        <v/>
      </c>
      <c r="F6027" s="138" t="str">
        <f t="shared" si="429"/>
        <v/>
      </c>
      <c r="G6027" s="153" t="s">
        <v>51</v>
      </c>
      <c r="H6027" s="160"/>
      <c r="I6027" s="160" t="s">
        <v>47</v>
      </c>
      <c r="J6027" s="160" t="s">
        <v>52</v>
      </c>
      <c r="K6027" s="160" t="s">
        <v>27</v>
      </c>
      <c r="L6027" s="154" t="str">
        <f>IF(OpenLCAbasic!K6027="CTUh", "Fill in Manually",IF(OR(K6027="Unit", K6027=""), "", INDEX(LookUps!$E$5:$E$12, MATCH(OpenLCAbasic!K6027,LookUps!$D$5:$D$12,0))))</f>
        <v/>
      </c>
      <c r="M6027" s="154" t="str">
        <f t="shared" si="430"/>
        <v>____Process__</v>
      </c>
    </row>
    <row r="6028" spans="1:13" s="120" customFormat="1" x14ac:dyDescent="0.25">
      <c r="A6028" s="119"/>
      <c r="B6028" s="138" t="str">
        <f t="shared" si="428"/>
        <v>Windrow</v>
      </c>
      <c r="C6028" s="138" t="str">
        <f t="shared" si="431"/>
        <v>Without Amendment</v>
      </c>
      <c r="D6028" s="138" t="str">
        <f t="shared" si="427"/>
        <v>Medium_Low</v>
      </c>
      <c r="E6028" s="138" t="str">
        <f t="shared" si="432"/>
        <v>Low</v>
      </c>
      <c r="F6028" s="138" t="str">
        <f t="shared" si="429"/>
        <v>Upgraded</v>
      </c>
      <c r="G6028" s="153"/>
      <c r="H6028" s="210">
        <v>0.37790000000000001</v>
      </c>
      <c r="I6028" s="160" t="s">
        <v>167</v>
      </c>
      <c r="J6028" s="160">
        <v>9.7259999999999999E-2</v>
      </c>
      <c r="K6028" s="160" t="s">
        <v>14</v>
      </c>
      <c r="L6028" s="154" t="str">
        <f>IF(OpenLCAbasic!K6028="CTUh", "Fill in Manually",IF(OR(K6028="Unit", K6028=""), "", INDEX(LookUps!$E$5:$E$12, MATCH(OpenLCAbasic!K6028,LookUps!$D$5:$D$12,0))))</f>
        <v>Fossil Depletion Potential (FDP) - kg oil eq</v>
      </c>
      <c r="M6028" s="154" t="str">
        <f t="shared" si="430"/>
        <v>Low_Medium_Low_Upgraded_Fossil Depletion Potential (FDP) - kg oil eq_Waste Receiving and Holding; wastewater treatment unit; at updated plant - US_Without Amendment_Windrow</v>
      </c>
    </row>
    <row r="6029" spans="1:13" s="120" customFormat="1" x14ac:dyDescent="0.25">
      <c r="A6029" s="119"/>
      <c r="B6029" s="138" t="str">
        <f t="shared" si="428"/>
        <v>Windrow</v>
      </c>
      <c r="C6029" s="138" t="str">
        <f t="shared" si="431"/>
        <v>Without Amendment</v>
      </c>
      <c r="D6029" s="138" t="str">
        <f t="shared" si="427"/>
        <v>Medium_Low</v>
      </c>
      <c r="E6029" s="138" t="str">
        <f t="shared" si="432"/>
        <v>Low</v>
      </c>
      <c r="F6029" s="138" t="str">
        <f t="shared" si="429"/>
        <v>Upgraded</v>
      </c>
      <c r="G6029" s="153"/>
      <c r="H6029" s="210">
        <v>0.24709999999999999</v>
      </c>
      <c r="I6029" s="160" t="s">
        <v>55</v>
      </c>
      <c r="J6029" s="160">
        <v>6.3589999999999994E-2</v>
      </c>
      <c r="K6029" s="160" t="s">
        <v>14</v>
      </c>
      <c r="L6029" s="154" t="str">
        <f>IF(OpenLCAbasic!K6029="CTUh", "Fill in Manually",IF(OR(K6029="Unit", K6029=""), "", INDEX(LookUps!$E$5:$E$12, MATCH(OpenLCAbasic!K6029,LookUps!$D$5:$D$12,0))))</f>
        <v>Fossil Depletion Potential (FDP) - kg oil eq</v>
      </c>
      <c r="M6029" s="154" t="str">
        <f t="shared" si="430"/>
        <v>Low_Medium_Low_Upgraded_Fossil Depletion Potential (FDP) - kg oil eq_Aeration Tanks; wastewater treatment unit; at updated plant - US_Without Amendment_Windrow</v>
      </c>
    </row>
    <row r="6030" spans="1:13" s="120" customFormat="1" x14ac:dyDescent="0.25">
      <c r="A6030" s="119"/>
      <c r="B6030" s="138" t="str">
        <f t="shared" si="428"/>
        <v>Windrow</v>
      </c>
      <c r="C6030" s="138" t="str">
        <f t="shared" si="431"/>
        <v>Without Amendment</v>
      </c>
      <c r="D6030" s="138" t="str">
        <f t="shared" si="427"/>
        <v>Medium_Low</v>
      </c>
      <c r="E6030" s="138" t="str">
        <f t="shared" si="432"/>
        <v>Low</v>
      </c>
      <c r="F6030" s="138" t="str">
        <f t="shared" si="429"/>
        <v>Upgraded</v>
      </c>
      <c r="G6030" s="153"/>
      <c r="H6030" s="210">
        <v>8.1799999999999998E-2</v>
      </c>
      <c r="I6030" s="160" t="s">
        <v>54</v>
      </c>
      <c r="J6030" s="160">
        <v>2.1049999999999999E-2</v>
      </c>
      <c r="K6030" s="160" t="s">
        <v>14</v>
      </c>
      <c r="L6030" s="154" t="str">
        <f>IF(OpenLCAbasic!K6030="CTUh", "Fill in Manually",IF(OR(K6030="Unit", K6030=""), "", INDEX(LookUps!$E$5:$E$12, MATCH(OpenLCAbasic!K6030,LookUps!$D$5:$D$12,0))))</f>
        <v>Fossil Depletion Potential (FDP) - kg oil eq</v>
      </c>
      <c r="M6030" s="154" t="str">
        <f t="shared" si="430"/>
        <v>Low_Medium_Low_Upgraded_Fossil Depletion Potential (FDP) - kg oil eq_Clear Cove Primary Clarification; wastewater treatment unit; at updated plant - US_Without Amendment_Windrow</v>
      </c>
    </row>
    <row r="6031" spans="1:13" s="120" customFormat="1" x14ac:dyDescent="0.25">
      <c r="A6031" s="119"/>
      <c r="B6031" s="138" t="str">
        <f t="shared" si="428"/>
        <v>Windrow</v>
      </c>
      <c r="C6031" s="138" t="str">
        <f t="shared" si="431"/>
        <v>Without Amendment</v>
      </c>
      <c r="D6031" s="138" t="str">
        <f t="shared" si="427"/>
        <v>Medium_Low</v>
      </c>
      <c r="E6031" s="138" t="str">
        <f t="shared" si="432"/>
        <v>Low</v>
      </c>
      <c r="F6031" s="138" t="str">
        <f t="shared" si="429"/>
        <v>Upgraded</v>
      </c>
      <c r="G6031" s="153"/>
      <c r="H6031" s="210">
        <v>6.2100000000000002E-2</v>
      </c>
      <c r="I6031" s="160" t="s">
        <v>58</v>
      </c>
      <c r="J6031" s="160">
        <v>1.5980000000000001E-2</v>
      </c>
      <c r="K6031" s="160" t="s">
        <v>14</v>
      </c>
      <c r="L6031" s="154" t="str">
        <f>IF(OpenLCAbasic!K6031="CTUh", "Fill in Manually",IF(OR(K6031="Unit", K6031=""), "", INDEX(LookUps!$E$5:$E$12, MATCH(OpenLCAbasic!K6031,LookUps!$D$5:$D$12,0))))</f>
        <v>Fossil Depletion Potential (FDP) - kg oil eq</v>
      </c>
      <c r="M6031" s="154" t="str">
        <f t="shared" si="430"/>
        <v>Low_Medium_Low_Upgraded_Fossil Depletion Potential (FDP) - kg oil eq_Pre-Anoxic &amp; Swing tank; wastewater treatment unit; at updated plant - US_Without Amendment_Windrow</v>
      </c>
    </row>
    <row r="6032" spans="1:13" s="120" customFormat="1" x14ac:dyDescent="0.25">
      <c r="A6032" s="119"/>
      <c r="B6032" s="138" t="str">
        <f t="shared" si="428"/>
        <v>Windrow</v>
      </c>
      <c r="C6032" s="138" t="str">
        <f t="shared" si="431"/>
        <v>Without Amendment</v>
      </c>
      <c r="D6032" s="138" t="str">
        <f t="shared" si="427"/>
        <v>Medium_Low</v>
      </c>
      <c r="E6032" s="138" t="str">
        <f t="shared" si="432"/>
        <v>Low</v>
      </c>
      <c r="F6032" s="138" t="str">
        <f t="shared" si="429"/>
        <v>Upgraded</v>
      </c>
      <c r="G6032" s="153"/>
      <c r="H6032" s="210">
        <v>5.8599999999999999E-2</v>
      </c>
      <c r="I6032" s="160" t="s">
        <v>147</v>
      </c>
      <c r="J6032" s="160">
        <v>1.5089999999999999E-2</v>
      </c>
      <c r="K6032" s="160" t="s">
        <v>14</v>
      </c>
      <c r="L6032" s="154" t="str">
        <f>IF(OpenLCAbasic!K6032="CTUh", "Fill in Manually",IF(OR(K6032="Unit", K6032=""), "", INDEX(LookUps!$E$5:$E$12, MATCH(OpenLCAbasic!K6032,LookUps!$D$5:$D$12,0))))</f>
        <v>Fossil Depletion Potential (FDP) - kg oil eq</v>
      </c>
      <c r="M6032" s="154" t="str">
        <f t="shared" si="430"/>
        <v>Low_Medium_Low_Upgraded_Fossil Depletion Potential (FDP) - kg oil eq_Influent Pump Station; wastewater treatment unit; at updated plant - US_Without Amendment_Windrow</v>
      </c>
    </row>
    <row r="6033" spans="1:13" s="120" customFormat="1" x14ac:dyDescent="0.25">
      <c r="A6033" s="119"/>
      <c r="B6033" s="138" t="str">
        <f t="shared" si="428"/>
        <v>Windrow</v>
      </c>
      <c r="C6033" s="138" t="str">
        <f t="shared" si="431"/>
        <v>Without Amendment</v>
      </c>
      <c r="D6033" s="138" t="str">
        <f t="shared" si="427"/>
        <v>Medium_Low</v>
      </c>
      <c r="E6033" s="138" t="str">
        <f t="shared" si="432"/>
        <v>Low</v>
      </c>
      <c r="F6033" s="138" t="str">
        <f t="shared" si="429"/>
        <v>Upgraded</v>
      </c>
      <c r="G6033" s="153"/>
      <c r="H6033" s="210">
        <v>4.8500000000000001E-2</v>
      </c>
      <c r="I6033" s="160" t="s">
        <v>53</v>
      </c>
      <c r="J6033" s="160">
        <v>1.2489999999999999E-2</v>
      </c>
      <c r="K6033" s="160" t="s">
        <v>14</v>
      </c>
      <c r="L6033" s="154" t="str">
        <f>IF(OpenLCAbasic!K6033="CTUh", "Fill in Manually",IF(OR(K6033="Unit", K6033=""), "", INDEX(LookUps!$E$5:$E$12, MATCH(OpenLCAbasic!K6033,LookUps!$D$5:$D$12,0))))</f>
        <v>Fossil Depletion Potential (FDP) - kg oil eq</v>
      </c>
      <c r="M6033" s="154" t="str">
        <f t="shared" si="430"/>
        <v>Low_Medium_Low_Upgraded_Fossil Depletion Potential (FDP) - kg oil eq_Wet Well and Sump Station; wastewater treatment unit; at updated plant - US_Without Amendment_Windrow</v>
      </c>
    </row>
    <row r="6034" spans="1:13" s="120" customFormat="1" x14ac:dyDescent="0.25">
      <c r="A6034" s="119"/>
      <c r="B6034" s="138" t="str">
        <f t="shared" si="428"/>
        <v>Windrow</v>
      </c>
      <c r="C6034" s="138" t="str">
        <f t="shared" si="431"/>
        <v>Without Amendment</v>
      </c>
      <c r="D6034" s="138" t="str">
        <f t="shared" si="427"/>
        <v>Medium_Low</v>
      </c>
      <c r="E6034" s="138" t="str">
        <f t="shared" si="432"/>
        <v>Low</v>
      </c>
      <c r="F6034" s="138" t="str">
        <f t="shared" si="429"/>
        <v>Upgraded</v>
      </c>
      <c r="G6034" s="153"/>
      <c r="H6034" s="210">
        <v>3.7499999999999999E-2</v>
      </c>
      <c r="I6034" s="160" t="s">
        <v>149</v>
      </c>
      <c r="J6034" s="160">
        <v>9.6600000000000002E-3</v>
      </c>
      <c r="K6034" s="160" t="s">
        <v>14</v>
      </c>
      <c r="L6034" s="154" t="str">
        <f>IF(OpenLCAbasic!K6034="CTUh", "Fill in Manually",IF(OR(K6034="Unit", K6034=""), "", INDEX(LookUps!$E$5:$E$12, MATCH(OpenLCAbasic!K6034,LookUps!$D$5:$D$12,0))))</f>
        <v>Fossil Depletion Potential (FDP) - kg oil eq</v>
      </c>
      <c r="M6034" s="154" t="str">
        <f t="shared" si="430"/>
        <v>Low_Medium_Low_Upgraded_Fossil Depletion Potential (FDP) - kg oil eq_Anaerobic Digestion; wastewater treatment unit; at updated plant - US_Without Amendment_Windrow</v>
      </c>
    </row>
    <row r="6035" spans="1:13" s="120" customFormat="1" x14ac:dyDescent="0.25">
      <c r="A6035" s="119"/>
      <c r="B6035" s="138" t="str">
        <f t="shared" si="428"/>
        <v>Windrow</v>
      </c>
      <c r="C6035" s="138" t="str">
        <f t="shared" si="431"/>
        <v>Without Amendment</v>
      </c>
      <c r="D6035" s="138" t="str">
        <f t="shared" si="427"/>
        <v>Medium_Low</v>
      </c>
      <c r="E6035" s="138" t="str">
        <f t="shared" si="432"/>
        <v>Low</v>
      </c>
      <c r="F6035" s="138" t="str">
        <f t="shared" si="429"/>
        <v>Upgraded</v>
      </c>
      <c r="G6035" s="153"/>
      <c r="H6035" s="210">
        <v>3.5200000000000002E-2</v>
      </c>
      <c r="I6035" s="160" t="s">
        <v>60</v>
      </c>
      <c r="J6035" s="160">
        <v>9.0600000000000003E-3</v>
      </c>
      <c r="K6035" s="160" t="s">
        <v>14</v>
      </c>
      <c r="L6035" s="154" t="str">
        <f>IF(OpenLCAbasic!K6035="CTUh", "Fill in Manually",IF(OR(K6035="Unit", K6035=""), "", INDEX(LookUps!$E$5:$E$12, MATCH(OpenLCAbasic!K6035,LookUps!$D$5:$D$12,0))))</f>
        <v>Fossil Depletion Potential (FDP) - kg oil eq</v>
      </c>
      <c r="M6035" s="154" t="str">
        <f t="shared" si="430"/>
        <v>Low_Medium_Low_Upgraded_Fossil Depletion Potential (FDP) - kg oil eq_Belt filter press; wastewater treatment unit; at updated plant - US_Without Amendment_Windrow</v>
      </c>
    </row>
    <row r="6036" spans="1:13" s="120" customFormat="1" x14ac:dyDescent="0.25">
      <c r="A6036" s="119"/>
      <c r="B6036" s="138" t="str">
        <f t="shared" si="428"/>
        <v>Windrow</v>
      </c>
      <c r="C6036" s="138" t="str">
        <f t="shared" si="431"/>
        <v>Without Amendment</v>
      </c>
      <c r="D6036" s="138" t="str">
        <f t="shared" si="427"/>
        <v>Medium_Low</v>
      </c>
      <c r="E6036" s="138" t="str">
        <f t="shared" si="432"/>
        <v>Low</v>
      </c>
      <c r="F6036" s="138" t="str">
        <f t="shared" si="429"/>
        <v>Upgraded</v>
      </c>
      <c r="G6036" s="153"/>
      <c r="H6036" s="210">
        <v>2.69E-2</v>
      </c>
      <c r="I6036" s="160" t="s">
        <v>57</v>
      </c>
      <c r="J6036" s="160">
        <v>6.9199999999999999E-3</v>
      </c>
      <c r="K6036" s="160" t="s">
        <v>14</v>
      </c>
      <c r="L6036" s="154" t="str">
        <f>IF(OpenLCAbasic!K6036="CTUh", "Fill in Manually",IF(OR(K6036="Unit", K6036=""), "", INDEX(LookUps!$E$5:$E$12, MATCH(OpenLCAbasic!K6036,LookUps!$D$5:$D$12,0))))</f>
        <v>Fossil Depletion Potential (FDP) - kg oil eq</v>
      </c>
      <c r="M6036" s="154" t="str">
        <f t="shared" si="430"/>
        <v>Low_Medium_Low_Upgraded_Fossil Depletion Potential (FDP) - kg oil eq_Gravity Belt Thickener; wastewater treatment unit; at updated plant - US_Without Amendment_Windrow</v>
      </c>
    </row>
    <row r="6037" spans="1:13" s="120" customFormat="1" x14ac:dyDescent="0.25">
      <c r="A6037" s="119"/>
      <c r="B6037" s="138" t="str">
        <f t="shared" si="428"/>
        <v>Windrow</v>
      </c>
      <c r="C6037" s="138" t="str">
        <f t="shared" si="431"/>
        <v>Without Amendment</v>
      </c>
      <c r="D6037" s="138" t="str">
        <f t="shared" si="427"/>
        <v>Medium_Low</v>
      </c>
      <c r="E6037" s="138" t="str">
        <f t="shared" si="432"/>
        <v>Low</v>
      </c>
      <c r="F6037" s="138" t="str">
        <f t="shared" si="429"/>
        <v>Upgraded</v>
      </c>
      <c r="G6037" s="153"/>
      <c r="H6037" s="210">
        <v>1.7500000000000002E-2</v>
      </c>
      <c r="I6037" s="160" t="s">
        <v>128</v>
      </c>
      <c r="J6037" s="160">
        <v>4.4999999999999997E-3</v>
      </c>
      <c r="K6037" s="160" t="s">
        <v>14</v>
      </c>
      <c r="L6037" s="154" t="str">
        <f>IF(OpenLCAbasic!K6037="CTUh", "Fill in Manually",IF(OR(K6037="Unit", K6037=""), "", INDEX(LookUps!$E$5:$E$12, MATCH(OpenLCAbasic!K6037,LookUps!$D$5:$D$12,0))))</f>
        <v>Fossil Depletion Potential (FDP) - kg oil eq</v>
      </c>
      <c r="M6037" s="154" t="str">
        <f t="shared" si="430"/>
        <v>Low_Medium_Low_Upgraded_Fossil Depletion Potential (FDP) - kg oil eq_Wastewater collection; operation and infrastructure; m3 wastewater_Without Amendment_Windrow</v>
      </c>
    </row>
    <row r="6038" spans="1:13" s="120" customFormat="1" x14ac:dyDescent="0.25">
      <c r="A6038" s="119"/>
      <c r="B6038" s="138" t="str">
        <f t="shared" si="428"/>
        <v>Windrow</v>
      </c>
      <c r="C6038" s="138" t="str">
        <f t="shared" si="431"/>
        <v>Without Amendment</v>
      </c>
      <c r="D6038" s="138" t="str">
        <f t="shared" si="427"/>
        <v>Medium_Low</v>
      </c>
      <c r="E6038" s="138" t="str">
        <f t="shared" si="432"/>
        <v>Low</v>
      </c>
      <c r="F6038" s="138" t="str">
        <f t="shared" si="429"/>
        <v>Upgraded</v>
      </c>
      <c r="G6038" s="153"/>
      <c r="H6038" s="210">
        <v>1.09E-2</v>
      </c>
      <c r="I6038" s="160" t="s">
        <v>148</v>
      </c>
      <c r="J6038" s="160">
        <v>2.8E-3</v>
      </c>
      <c r="K6038" s="160" t="s">
        <v>14</v>
      </c>
      <c r="L6038" s="154" t="str">
        <f>IF(OpenLCAbasic!K6038="CTUh", "Fill in Manually",IF(OR(K6038="Unit", K6038=""), "", INDEX(LookUps!$E$5:$E$12, MATCH(OpenLCAbasic!K6038,LookUps!$D$5:$D$12,0))))</f>
        <v>Fossil Depletion Potential (FDP) - kg oil eq</v>
      </c>
      <c r="M6038" s="154" t="str">
        <f t="shared" si="430"/>
        <v>Low_Medium_Low_Upgraded_Fossil Depletion Potential (FDP) - kg oil eq_Control Building; at upgraded wastewater treatment plant - US_Without Amendment_Windrow</v>
      </c>
    </row>
    <row r="6039" spans="1:13" s="120" customFormat="1" x14ac:dyDescent="0.25">
      <c r="A6039" s="119"/>
      <c r="B6039" s="138" t="str">
        <f t="shared" si="428"/>
        <v>Windrow</v>
      </c>
      <c r="C6039" s="138" t="str">
        <f t="shared" si="431"/>
        <v>Without Amendment</v>
      </c>
      <c r="D6039" s="138" t="str">
        <f t="shared" si="427"/>
        <v>Medium_Low</v>
      </c>
      <c r="E6039" s="138" t="str">
        <f t="shared" si="432"/>
        <v>Low</v>
      </c>
      <c r="F6039" s="138" t="str">
        <f t="shared" si="429"/>
        <v>Upgraded</v>
      </c>
      <c r="G6039" s="153"/>
      <c r="H6039" s="210">
        <v>9.1999999999999998E-3</v>
      </c>
      <c r="I6039" s="160" t="s">
        <v>48</v>
      </c>
      <c r="J6039" s="160">
        <v>2.3600000000000001E-3</v>
      </c>
      <c r="K6039" s="160" t="s">
        <v>14</v>
      </c>
      <c r="L6039" s="154" t="str">
        <f>IF(OpenLCAbasic!K6039="CTUh", "Fill in Manually",IF(OR(K6039="Unit", K6039=""), "", INDEX(LookUps!$E$5:$E$12, MATCH(OpenLCAbasic!K6039,LookUps!$D$5:$D$12,0))))</f>
        <v>Fossil Depletion Potential (FDP) - kg oil eq</v>
      </c>
      <c r="M6039" s="154" t="str">
        <f t="shared" si="430"/>
        <v>Low_Medium_Low_Upgraded_Fossil Depletion Potential (FDP) - kg oil eq_Effluent release; wastewater treatment unit; at surface water; m3 wastewater - US_Without Amendment_Windrow</v>
      </c>
    </row>
    <row r="6040" spans="1:13" s="120" customFormat="1" x14ac:dyDescent="0.25">
      <c r="A6040" s="119"/>
      <c r="B6040" s="138" t="str">
        <f t="shared" si="428"/>
        <v>Windrow</v>
      </c>
      <c r="C6040" s="138" t="str">
        <f t="shared" si="431"/>
        <v>Without Amendment</v>
      </c>
      <c r="D6040" s="138" t="str">
        <f t="shared" si="427"/>
        <v>Medium_Low</v>
      </c>
      <c r="E6040" s="138" t="str">
        <f t="shared" si="432"/>
        <v>Low</v>
      </c>
      <c r="F6040" s="138" t="str">
        <f t="shared" si="429"/>
        <v>Upgraded</v>
      </c>
      <c r="G6040" s="153"/>
      <c r="H6040" s="210">
        <v>7.4999999999999997E-3</v>
      </c>
      <c r="I6040" s="160" t="s">
        <v>59</v>
      </c>
      <c r="J6040" s="160">
        <v>1.92E-3</v>
      </c>
      <c r="K6040" s="160" t="s">
        <v>14</v>
      </c>
      <c r="L6040" s="154" t="str">
        <f>IF(OpenLCAbasic!K6040="CTUh", "Fill in Manually",IF(OR(K6040="Unit", K6040=""), "", INDEX(LookUps!$E$5:$E$12, MATCH(OpenLCAbasic!K6040,LookUps!$D$5:$D$12,0))))</f>
        <v>Fossil Depletion Potential (FDP) - kg oil eq</v>
      </c>
      <c r="M6040" s="154" t="str">
        <f t="shared" si="430"/>
        <v>Low_Medium_Low_Upgraded_Fossil Depletion Potential (FDP) - kg oil eq_Blend Tank; wastewater treatment unit; at updated plant - US_Without Amendment_Windrow</v>
      </c>
    </row>
    <row r="6041" spans="1:13" s="120" customFormat="1" x14ac:dyDescent="0.25">
      <c r="A6041" s="119"/>
      <c r="B6041" s="138" t="str">
        <f t="shared" si="428"/>
        <v>Windrow</v>
      </c>
      <c r="C6041" s="138" t="str">
        <f t="shared" si="431"/>
        <v>Without Amendment</v>
      </c>
      <c r="D6041" s="138" t="str">
        <f t="shared" ref="D6041:D6104" si="433">IF(ISNUMBER($J6041),"Medium_Low","")</f>
        <v>Medium_Low</v>
      </c>
      <c r="E6041" s="138" t="str">
        <f t="shared" si="432"/>
        <v>Low</v>
      </c>
      <c r="F6041" s="138" t="str">
        <f t="shared" si="429"/>
        <v>Upgraded</v>
      </c>
      <c r="G6041" s="153"/>
      <c r="H6041" s="210">
        <v>3.5999999999999999E-3</v>
      </c>
      <c r="I6041" s="160" t="s">
        <v>168</v>
      </c>
      <c r="J6041" s="160">
        <v>9.1E-4</v>
      </c>
      <c r="K6041" s="160" t="s">
        <v>14</v>
      </c>
      <c r="L6041" s="154" t="str">
        <f>IF(OpenLCAbasic!K6041="CTUh", "Fill in Manually",IF(OR(K6041="Unit", K6041=""), "", INDEX(LookUps!$E$5:$E$12, MATCH(OpenLCAbasic!K6041,LookUps!$D$5:$D$12,0))))</f>
        <v>Fossil Depletion Potential (FDP) - kg oil eq</v>
      </c>
      <c r="M6041" s="154" t="str">
        <f t="shared" si="430"/>
        <v>Low_Medium_Low_Upgraded_Fossil Depletion Potential (FDP) - kg oil eq_ClearCove SCP; wastewater treatment unit; at updated plant - US_Without Amendment_Windrow</v>
      </c>
    </row>
    <row r="6042" spans="1:13" s="120" customFormat="1" x14ac:dyDescent="0.25">
      <c r="A6042" s="119"/>
      <c r="B6042" s="138" t="str">
        <f t="shared" si="428"/>
        <v>Windrow</v>
      </c>
      <c r="C6042" s="138" t="str">
        <f t="shared" si="431"/>
        <v>Without Amendment</v>
      </c>
      <c r="D6042" s="138" t="str">
        <f t="shared" si="433"/>
        <v>Medium_Low</v>
      </c>
      <c r="E6042" s="138" t="str">
        <f t="shared" si="432"/>
        <v>Low</v>
      </c>
      <c r="F6042" s="138" t="str">
        <f t="shared" si="429"/>
        <v>Upgraded</v>
      </c>
      <c r="G6042" s="153"/>
      <c r="H6042" s="210">
        <v>2.5000000000000001E-3</v>
      </c>
      <c r="I6042" s="160" t="s">
        <v>271</v>
      </c>
      <c r="J6042" s="160">
        <v>6.4999999999999997E-4</v>
      </c>
      <c r="K6042" s="160" t="s">
        <v>14</v>
      </c>
      <c r="L6042" s="154" t="str">
        <f>IF(OpenLCAbasic!K6042="CTUh", "Fill in Manually",IF(OR(K6042="Unit", K6042=""), "", INDEX(LookUps!$E$5:$E$12, MATCH(OpenLCAbasic!K6042,LookUps!$D$5:$D$12,0))))</f>
        <v>Fossil Depletion Potential (FDP) - kg oil eq</v>
      </c>
      <c r="M6042" s="154" t="str">
        <f t="shared" si="430"/>
        <v>Low_Medium_Low_Upgraded_Fossil Depletion Potential (FDP) - kg oil eq_Biosolids composting; windrow composting; wastewater treatment unit; at updated plant - US_Without Amendment_Windrow</v>
      </c>
    </row>
    <row r="6043" spans="1:13" s="120" customFormat="1" x14ac:dyDescent="0.25">
      <c r="A6043" s="119"/>
      <c r="B6043" s="138" t="str">
        <f t="shared" si="428"/>
        <v>Windrow</v>
      </c>
      <c r="C6043" s="138" t="str">
        <f t="shared" si="431"/>
        <v>Without Amendment</v>
      </c>
      <c r="D6043" s="138" t="str">
        <f t="shared" si="433"/>
        <v>Medium_Low</v>
      </c>
      <c r="E6043" s="138" t="str">
        <f t="shared" si="432"/>
        <v>Low</v>
      </c>
      <c r="F6043" s="138" t="str">
        <f t="shared" si="429"/>
        <v>Upgraded</v>
      </c>
      <c r="G6043" s="153"/>
      <c r="H6043" s="210">
        <v>-2.6599999999999999E-2</v>
      </c>
      <c r="I6043" s="160" t="s">
        <v>62</v>
      </c>
      <c r="J6043" s="160">
        <v>-6.8500000000000002E-3</v>
      </c>
      <c r="K6043" s="160" t="s">
        <v>14</v>
      </c>
      <c r="L6043" s="154" t="str">
        <f>IF(OpenLCAbasic!K6043="CTUh", "Fill in Manually",IF(OR(K6043="Unit", K6043=""), "", INDEX(LookUps!$E$5:$E$12, MATCH(OpenLCAbasic!K6043,LookUps!$D$5:$D$12,0))))</f>
        <v>Fossil Depletion Potential (FDP) - kg oil eq</v>
      </c>
      <c r="M6043" s="154" t="str">
        <f t="shared" si="430"/>
        <v>Low_Medium_Low_Upgraded_Fossil Depletion Potential (FDP) - kg oil eq_Land application of compost; wastewater treatment unit; at updated plant - US_Without Amendment_Windrow</v>
      </c>
    </row>
    <row r="6044" spans="1:13" s="120" customFormat="1" x14ac:dyDescent="0.25">
      <c r="A6044" s="119"/>
      <c r="B6044" s="138" t="str">
        <f t="shared" si="428"/>
        <v/>
      </c>
      <c r="C6044" s="138" t="str">
        <f t="shared" si="431"/>
        <v/>
      </c>
      <c r="D6044" s="138" t="str">
        <f t="shared" si="433"/>
        <v/>
      </c>
      <c r="E6044" s="138" t="str">
        <f t="shared" si="432"/>
        <v/>
      </c>
      <c r="F6044" s="138" t="str">
        <f t="shared" si="429"/>
        <v/>
      </c>
      <c r="G6044" s="153" t="s">
        <v>51</v>
      </c>
      <c r="H6044" s="160"/>
      <c r="I6044" s="160" t="s">
        <v>47</v>
      </c>
      <c r="J6044" s="160" t="s">
        <v>52</v>
      </c>
      <c r="K6044" s="160" t="s">
        <v>27</v>
      </c>
      <c r="L6044" s="154" t="str">
        <f>IF(OpenLCAbasic!K6044="CTUh", "Fill in Manually",IF(OR(K6044="Unit", K6044=""), "", INDEX(LookUps!$E$5:$E$12, MATCH(OpenLCAbasic!K6044,LookUps!$D$5:$D$12,0))))</f>
        <v/>
      </c>
      <c r="M6044" s="154" t="str">
        <f t="shared" si="430"/>
        <v>____Process__</v>
      </c>
    </row>
    <row r="6045" spans="1:13" s="120" customFormat="1" x14ac:dyDescent="0.25">
      <c r="A6045" s="119"/>
      <c r="B6045" s="138" t="str">
        <f t="shared" si="428"/>
        <v>Windrow</v>
      </c>
      <c r="C6045" s="138" t="str">
        <f t="shared" si="431"/>
        <v>Without Amendment</v>
      </c>
      <c r="D6045" s="138" t="str">
        <f t="shared" si="433"/>
        <v>Medium_Low</v>
      </c>
      <c r="E6045" s="138" t="str">
        <f t="shared" si="432"/>
        <v>Low</v>
      </c>
      <c r="F6045" s="138" t="str">
        <f t="shared" si="429"/>
        <v>Upgraded</v>
      </c>
      <c r="G6045" s="153"/>
      <c r="H6045" s="210">
        <v>0.34010000000000001</v>
      </c>
      <c r="I6045" s="160" t="s">
        <v>58</v>
      </c>
      <c r="J6045" s="160">
        <v>0.24568999999999999</v>
      </c>
      <c r="K6045" s="160" t="s">
        <v>23</v>
      </c>
      <c r="L6045" s="154" t="str">
        <f>IF(OpenLCAbasic!K6045="CTUh", "Fill in Manually",IF(OR(K6045="Unit", K6045=""), "", INDEX(LookUps!$E$5:$E$12, MATCH(OpenLCAbasic!K6045,LookUps!$D$5:$D$12,0))))</f>
        <v>Global Warming Potential (GWP) - kg CO2 eq</v>
      </c>
      <c r="M6045" s="154" t="str">
        <f t="shared" si="430"/>
        <v>Low_Medium_Low_Upgraded_Global Warming Potential (GWP) - kg CO2 eq_Pre-Anoxic &amp; Swing tank; wastewater treatment unit; at updated plant - US_Without Amendment_Windrow</v>
      </c>
    </row>
    <row r="6046" spans="1:13" s="120" customFormat="1" x14ac:dyDescent="0.25">
      <c r="A6046" s="119"/>
      <c r="B6046" s="138" t="str">
        <f t="shared" si="428"/>
        <v>Windrow</v>
      </c>
      <c r="C6046" s="138" t="str">
        <f t="shared" si="431"/>
        <v>Without Amendment</v>
      </c>
      <c r="D6046" s="138" t="str">
        <f t="shared" si="433"/>
        <v>Medium_Low</v>
      </c>
      <c r="E6046" s="138" t="str">
        <f t="shared" si="432"/>
        <v>Low</v>
      </c>
      <c r="F6046" s="138" t="str">
        <f t="shared" si="429"/>
        <v>Upgraded</v>
      </c>
      <c r="G6046" s="153"/>
      <c r="H6046" s="210">
        <v>0.2329</v>
      </c>
      <c r="I6046" s="160" t="s">
        <v>55</v>
      </c>
      <c r="J6046" s="160">
        <v>0.16822000000000001</v>
      </c>
      <c r="K6046" s="160" t="s">
        <v>23</v>
      </c>
      <c r="L6046" s="154" t="str">
        <f>IF(OpenLCAbasic!K6046="CTUh", "Fill in Manually",IF(OR(K6046="Unit", K6046=""), "", INDEX(LookUps!$E$5:$E$12, MATCH(OpenLCAbasic!K6046,LookUps!$D$5:$D$12,0))))</f>
        <v>Global Warming Potential (GWP) - kg CO2 eq</v>
      </c>
      <c r="M6046" s="154" t="str">
        <f t="shared" si="430"/>
        <v>Low_Medium_Low_Upgraded_Global Warming Potential (GWP) - kg CO2 eq_Aeration Tanks; wastewater treatment unit; at updated plant - US_Without Amendment_Windrow</v>
      </c>
    </row>
    <row r="6047" spans="1:13" s="120" customFormat="1" x14ac:dyDescent="0.25">
      <c r="A6047" s="119"/>
      <c r="B6047" s="138" t="str">
        <f t="shared" si="428"/>
        <v>Windrow</v>
      </c>
      <c r="C6047" s="138" t="str">
        <f t="shared" si="431"/>
        <v>Without Amendment</v>
      </c>
      <c r="D6047" s="138" t="str">
        <f t="shared" si="433"/>
        <v>Medium_Low</v>
      </c>
      <c r="E6047" s="138" t="str">
        <f t="shared" si="432"/>
        <v>Low</v>
      </c>
      <c r="F6047" s="138" t="str">
        <f t="shared" si="429"/>
        <v>Upgraded</v>
      </c>
      <c r="G6047" s="153"/>
      <c r="H6047" s="210">
        <v>0.17100000000000001</v>
      </c>
      <c r="I6047" s="160" t="s">
        <v>167</v>
      </c>
      <c r="J6047" s="160">
        <v>0.12354999999999999</v>
      </c>
      <c r="K6047" s="160" t="s">
        <v>23</v>
      </c>
      <c r="L6047" s="154" t="str">
        <f>IF(OpenLCAbasic!K6047="CTUh", "Fill in Manually",IF(OR(K6047="Unit", K6047=""), "", INDEX(LookUps!$E$5:$E$12, MATCH(OpenLCAbasic!K6047,LookUps!$D$5:$D$12,0))))</f>
        <v>Global Warming Potential (GWP) - kg CO2 eq</v>
      </c>
      <c r="M6047" s="154" t="str">
        <f t="shared" si="430"/>
        <v>Low_Medium_Low_Upgraded_Global Warming Potential (GWP) - kg CO2 eq_Waste Receiving and Holding; wastewater treatment unit; at updated plant - US_Without Amendment_Windrow</v>
      </c>
    </row>
    <row r="6048" spans="1:13" s="120" customFormat="1" x14ac:dyDescent="0.25">
      <c r="A6048" s="119"/>
      <c r="B6048" s="138" t="str">
        <f t="shared" si="428"/>
        <v>Windrow</v>
      </c>
      <c r="C6048" s="138" t="str">
        <f t="shared" si="431"/>
        <v>Without Amendment</v>
      </c>
      <c r="D6048" s="138" t="str">
        <f t="shared" si="433"/>
        <v>Medium_Low</v>
      </c>
      <c r="E6048" s="138" t="str">
        <f t="shared" si="432"/>
        <v>Low</v>
      </c>
      <c r="F6048" s="138" t="str">
        <f t="shared" si="429"/>
        <v>Upgraded</v>
      </c>
      <c r="G6048" s="153"/>
      <c r="H6048" s="210">
        <v>0.1048</v>
      </c>
      <c r="I6048" s="160" t="s">
        <v>271</v>
      </c>
      <c r="J6048" s="160">
        <v>7.5730000000000006E-2</v>
      </c>
      <c r="K6048" s="160" t="s">
        <v>23</v>
      </c>
      <c r="L6048" s="154" t="str">
        <f>IF(OpenLCAbasic!K6048="CTUh", "Fill in Manually",IF(OR(K6048="Unit", K6048=""), "", INDEX(LookUps!$E$5:$E$12, MATCH(OpenLCAbasic!K6048,LookUps!$D$5:$D$12,0))))</f>
        <v>Global Warming Potential (GWP) - kg CO2 eq</v>
      </c>
      <c r="M6048" s="154" t="str">
        <f t="shared" si="430"/>
        <v>Low_Medium_Low_Upgraded_Global Warming Potential (GWP) - kg CO2 eq_Biosolids composting; windrow composting; wastewater treatment unit; at updated plant - US_Without Amendment_Windrow</v>
      </c>
    </row>
    <row r="6049" spans="1:13" s="120" customFormat="1" x14ac:dyDescent="0.25">
      <c r="A6049" s="119"/>
      <c r="B6049" s="138" t="str">
        <f t="shared" si="428"/>
        <v>Windrow</v>
      </c>
      <c r="C6049" s="138" t="str">
        <f t="shared" si="431"/>
        <v>Without Amendment</v>
      </c>
      <c r="D6049" s="138" t="str">
        <f t="shared" si="433"/>
        <v>Medium_Low</v>
      </c>
      <c r="E6049" s="138" t="str">
        <f t="shared" si="432"/>
        <v>Low</v>
      </c>
      <c r="F6049" s="138" t="str">
        <f t="shared" si="429"/>
        <v>Upgraded</v>
      </c>
      <c r="G6049" s="153"/>
      <c r="H6049" s="210">
        <v>8.8099999999999998E-2</v>
      </c>
      <c r="I6049" s="160" t="s">
        <v>149</v>
      </c>
      <c r="J6049" s="160">
        <v>6.3659999999999994E-2</v>
      </c>
      <c r="K6049" s="160" t="s">
        <v>23</v>
      </c>
      <c r="L6049" s="154" t="str">
        <f>IF(OpenLCAbasic!K6049="CTUh", "Fill in Manually",IF(OR(K6049="Unit", K6049=""), "", INDEX(LookUps!$E$5:$E$12, MATCH(OpenLCAbasic!K6049,LookUps!$D$5:$D$12,0))))</f>
        <v>Global Warming Potential (GWP) - kg CO2 eq</v>
      </c>
      <c r="M6049" s="154" t="str">
        <f t="shared" si="430"/>
        <v>Low_Medium_Low_Upgraded_Global Warming Potential (GWP) - kg CO2 eq_Anaerobic Digestion; wastewater treatment unit; at updated plant - US_Without Amendment_Windrow</v>
      </c>
    </row>
    <row r="6050" spans="1:13" s="120" customFormat="1" x14ac:dyDescent="0.25">
      <c r="A6050" s="119"/>
      <c r="B6050" s="138" t="str">
        <f t="shared" si="428"/>
        <v>Windrow</v>
      </c>
      <c r="C6050" s="138" t="str">
        <f t="shared" si="431"/>
        <v>Without Amendment</v>
      </c>
      <c r="D6050" s="138" t="str">
        <f t="shared" si="433"/>
        <v>Medium_Low</v>
      </c>
      <c r="E6050" s="138" t="str">
        <f t="shared" si="432"/>
        <v>Low</v>
      </c>
      <c r="F6050" s="138" t="str">
        <f t="shared" si="429"/>
        <v>Upgraded</v>
      </c>
      <c r="G6050" s="153"/>
      <c r="H6050" s="210">
        <v>7.9000000000000001E-2</v>
      </c>
      <c r="I6050" s="160" t="s">
        <v>54</v>
      </c>
      <c r="J6050" s="160">
        <v>5.7079999999999999E-2</v>
      </c>
      <c r="K6050" s="160" t="s">
        <v>23</v>
      </c>
      <c r="L6050" s="154" t="str">
        <f>IF(OpenLCAbasic!K6050="CTUh", "Fill in Manually",IF(OR(K6050="Unit", K6050=""), "", INDEX(LookUps!$E$5:$E$12, MATCH(OpenLCAbasic!K6050,LookUps!$D$5:$D$12,0))))</f>
        <v>Global Warming Potential (GWP) - kg CO2 eq</v>
      </c>
      <c r="M6050" s="154" t="str">
        <f t="shared" si="430"/>
        <v>Low_Medium_Low_Upgraded_Global Warming Potential (GWP) - kg CO2 eq_Clear Cove Primary Clarification; wastewater treatment unit; at updated plant - US_Without Amendment_Windrow</v>
      </c>
    </row>
    <row r="6051" spans="1:13" s="120" customFormat="1" x14ac:dyDescent="0.25">
      <c r="A6051" s="119"/>
      <c r="B6051" s="138" t="str">
        <f t="shared" si="428"/>
        <v>Windrow</v>
      </c>
      <c r="C6051" s="138" t="str">
        <f t="shared" si="431"/>
        <v>Without Amendment</v>
      </c>
      <c r="D6051" s="138" t="str">
        <f t="shared" si="433"/>
        <v>Medium_Low</v>
      </c>
      <c r="E6051" s="138" t="str">
        <f t="shared" si="432"/>
        <v>Low</v>
      </c>
      <c r="F6051" s="138" t="str">
        <f t="shared" si="429"/>
        <v>Upgraded</v>
      </c>
      <c r="G6051" s="153"/>
      <c r="H6051" s="210">
        <v>7.2900000000000006E-2</v>
      </c>
      <c r="I6051" s="160" t="s">
        <v>48</v>
      </c>
      <c r="J6051" s="160">
        <v>5.2639999999999999E-2</v>
      </c>
      <c r="K6051" s="160" t="s">
        <v>23</v>
      </c>
      <c r="L6051" s="154" t="str">
        <f>IF(OpenLCAbasic!K6051="CTUh", "Fill in Manually",IF(OR(K6051="Unit", K6051=""), "", INDEX(LookUps!$E$5:$E$12, MATCH(OpenLCAbasic!K6051,LookUps!$D$5:$D$12,0))))</f>
        <v>Global Warming Potential (GWP) - kg CO2 eq</v>
      </c>
      <c r="M6051" s="154" t="str">
        <f t="shared" si="430"/>
        <v>Low_Medium_Low_Upgraded_Global Warming Potential (GWP) - kg CO2 eq_Effluent release; wastewater treatment unit; at surface water; m3 wastewater - US_Without Amendment_Windrow</v>
      </c>
    </row>
    <row r="6052" spans="1:13" s="120" customFormat="1" x14ac:dyDescent="0.25">
      <c r="A6052" s="119"/>
      <c r="B6052" s="138" t="str">
        <f t="shared" si="428"/>
        <v>Windrow</v>
      </c>
      <c r="C6052" s="138" t="str">
        <f t="shared" si="431"/>
        <v>Without Amendment</v>
      </c>
      <c r="D6052" s="138" t="str">
        <f t="shared" si="433"/>
        <v>Medium_Low</v>
      </c>
      <c r="E6052" s="138" t="str">
        <f t="shared" si="432"/>
        <v>Low</v>
      </c>
      <c r="F6052" s="138" t="str">
        <f t="shared" si="429"/>
        <v>Upgraded</v>
      </c>
      <c r="G6052" s="153"/>
      <c r="H6052" s="210">
        <v>6.9900000000000004E-2</v>
      </c>
      <c r="I6052" s="160" t="s">
        <v>147</v>
      </c>
      <c r="J6052" s="160">
        <v>5.0500000000000003E-2</v>
      </c>
      <c r="K6052" s="160" t="s">
        <v>23</v>
      </c>
      <c r="L6052" s="154" t="str">
        <f>IF(OpenLCAbasic!K6052="CTUh", "Fill in Manually",IF(OR(K6052="Unit", K6052=""), "", INDEX(LookUps!$E$5:$E$12, MATCH(OpenLCAbasic!K6052,LookUps!$D$5:$D$12,0))))</f>
        <v>Global Warming Potential (GWP) - kg CO2 eq</v>
      </c>
      <c r="M6052" s="154" t="str">
        <f t="shared" si="430"/>
        <v>Low_Medium_Low_Upgraded_Global Warming Potential (GWP) - kg CO2 eq_Influent Pump Station; wastewater treatment unit; at updated plant - US_Without Amendment_Windrow</v>
      </c>
    </row>
    <row r="6053" spans="1:13" s="120" customFormat="1" x14ac:dyDescent="0.25">
      <c r="A6053" s="119"/>
      <c r="B6053" s="138" t="str">
        <f t="shared" si="428"/>
        <v>Windrow</v>
      </c>
      <c r="C6053" s="138" t="str">
        <f t="shared" si="431"/>
        <v>Without Amendment</v>
      </c>
      <c r="D6053" s="138" t="str">
        <f t="shared" si="433"/>
        <v>Medium_Low</v>
      </c>
      <c r="E6053" s="138" t="str">
        <f t="shared" si="432"/>
        <v>Low</v>
      </c>
      <c r="F6053" s="138" t="str">
        <f t="shared" si="429"/>
        <v>Upgraded</v>
      </c>
      <c r="G6053" s="153"/>
      <c r="H6053" s="210">
        <v>4.5999999999999999E-2</v>
      </c>
      <c r="I6053" s="160" t="s">
        <v>53</v>
      </c>
      <c r="J6053" s="160">
        <v>3.3259999999999998E-2</v>
      </c>
      <c r="K6053" s="160" t="s">
        <v>23</v>
      </c>
      <c r="L6053" s="154" t="str">
        <f>IF(OpenLCAbasic!K6053="CTUh", "Fill in Manually",IF(OR(K6053="Unit", K6053=""), "", INDEX(LookUps!$E$5:$E$12, MATCH(OpenLCAbasic!K6053,LookUps!$D$5:$D$12,0))))</f>
        <v>Global Warming Potential (GWP) - kg CO2 eq</v>
      </c>
      <c r="M6053" s="154" t="str">
        <f t="shared" si="430"/>
        <v>Low_Medium_Low_Upgraded_Global Warming Potential (GWP) - kg CO2 eq_Wet Well and Sump Station; wastewater treatment unit; at updated plant - US_Without Amendment_Windrow</v>
      </c>
    </row>
    <row r="6054" spans="1:13" s="120" customFormat="1" x14ac:dyDescent="0.25">
      <c r="A6054" s="119"/>
      <c r="B6054" s="138" t="str">
        <f t="shared" si="428"/>
        <v>Windrow</v>
      </c>
      <c r="C6054" s="138" t="str">
        <f t="shared" si="431"/>
        <v>Without Amendment</v>
      </c>
      <c r="D6054" s="138" t="str">
        <f t="shared" si="433"/>
        <v>Medium_Low</v>
      </c>
      <c r="E6054" s="138" t="str">
        <f t="shared" si="432"/>
        <v>Low</v>
      </c>
      <c r="F6054" s="138" t="str">
        <f t="shared" si="429"/>
        <v>Upgraded</v>
      </c>
      <c r="G6054" s="153"/>
      <c r="H6054" s="210">
        <v>2.76E-2</v>
      </c>
      <c r="I6054" s="160" t="s">
        <v>60</v>
      </c>
      <c r="J6054" s="160">
        <v>1.9910000000000001E-2</v>
      </c>
      <c r="K6054" s="160" t="s">
        <v>23</v>
      </c>
      <c r="L6054" s="154" t="str">
        <f>IF(OpenLCAbasic!K6054="CTUh", "Fill in Manually",IF(OR(K6054="Unit", K6054=""), "", INDEX(LookUps!$E$5:$E$12, MATCH(OpenLCAbasic!K6054,LookUps!$D$5:$D$12,0))))</f>
        <v>Global Warming Potential (GWP) - kg CO2 eq</v>
      </c>
      <c r="M6054" s="154" t="str">
        <f t="shared" si="430"/>
        <v>Low_Medium_Low_Upgraded_Global Warming Potential (GWP) - kg CO2 eq_Belt filter press; wastewater treatment unit; at updated plant - US_Without Amendment_Windrow</v>
      </c>
    </row>
    <row r="6055" spans="1:13" s="120" customFormat="1" x14ac:dyDescent="0.25">
      <c r="A6055" s="119"/>
      <c r="B6055" s="138" t="str">
        <f t="shared" si="428"/>
        <v>Windrow</v>
      </c>
      <c r="C6055" s="138" t="str">
        <f t="shared" si="431"/>
        <v>Without Amendment</v>
      </c>
      <c r="D6055" s="138" t="str">
        <f t="shared" si="433"/>
        <v>Medium_Low</v>
      </c>
      <c r="E6055" s="138" t="str">
        <f t="shared" si="432"/>
        <v>Low</v>
      </c>
      <c r="F6055" s="138" t="str">
        <f t="shared" si="429"/>
        <v>Upgraded</v>
      </c>
      <c r="G6055" s="153"/>
      <c r="H6055" s="210">
        <v>2.01E-2</v>
      </c>
      <c r="I6055" s="160" t="s">
        <v>57</v>
      </c>
      <c r="J6055" s="160">
        <v>1.455E-2</v>
      </c>
      <c r="K6055" s="160" t="s">
        <v>23</v>
      </c>
      <c r="L6055" s="154" t="str">
        <f>IF(OpenLCAbasic!K6055="CTUh", "Fill in Manually",IF(OR(K6055="Unit", K6055=""), "", INDEX(LookUps!$E$5:$E$12, MATCH(OpenLCAbasic!K6055,LookUps!$D$5:$D$12,0))))</f>
        <v>Global Warming Potential (GWP) - kg CO2 eq</v>
      </c>
      <c r="M6055" s="154" t="str">
        <f t="shared" si="430"/>
        <v>Low_Medium_Low_Upgraded_Global Warming Potential (GWP) - kg CO2 eq_Gravity Belt Thickener; wastewater treatment unit; at updated plant - US_Without Amendment_Windrow</v>
      </c>
    </row>
    <row r="6056" spans="1:13" s="120" customFormat="1" x14ac:dyDescent="0.25">
      <c r="A6056" s="119"/>
      <c r="B6056" s="138" t="str">
        <f t="shared" ref="B6056:B6119" si="434">IF(F6056="Legacy","n.a.",IF(F6056="","","Windrow"))</f>
        <v>Windrow</v>
      </c>
      <c r="C6056" s="138" t="str">
        <f t="shared" si="431"/>
        <v>Without Amendment</v>
      </c>
      <c r="D6056" s="138" t="str">
        <f t="shared" si="433"/>
        <v>Medium_Low</v>
      </c>
      <c r="E6056" s="138" t="str">
        <f t="shared" si="432"/>
        <v>Low</v>
      </c>
      <c r="F6056" s="138" t="str">
        <f t="shared" ref="F6056:F6119" si="435">IF(ISNUMBER(J6056),"Upgraded","")</f>
        <v>Upgraded</v>
      </c>
      <c r="G6056" s="153"/>
      <c r="H6056" s="210">
        <v>1.8700000000000001E-2</v>
      </c>
      <c r="I6056" s="160" t="s">
        <v>128</v>
      </c>
      <c r="J6056" s="160">
        <v>1.3509999999999999E-2</v>
      </c>
      <c r="K6056" s="160" t="s">
        <v>23</v>
      </c>
      <c r="L6056" s="154" t="str">
        <f>IF(OpenLCAbasic!K6056="CTUh", "Fill in Manually",IF(OR(K6056="Unit", K6056=""), "", INDEX(LookUps!$E$5:$E$12, MATCH(OpenLCAbasic!K6056,LookUps!$D$5:$D$12,0))))</f>
        <v>Global Warming Potential (GWP) - kg CO2 eq</v>
      </c>
      <c r="M6056" s="154" t="str">
        <f t="shared" si="430"/>
        <v>Low_Medium_Low_Upgraded_Global Warming Potential (GWP) - kg CO2 eq_Wastewater collection; operation and infrastructure; m3 wastewater_Without Amendment_Windrow</v>
      </c>
    </row>
    <row r="6057" spans="1:13" s="120" customFormat="1" x14ac:dyDescent="0.25">
      <c r="A6057" s="119"/>
      <c r="B6057" s="138" t="str">
        <f t="shared" si="434"/>
        <v>Windrow</v>
      </c>
      <c r="C6057" s="138" t="str">
        <f t="shared" si="431"/>
        <v>Without Amendment</v>
      </c>
      <c r="D6057" s="138" t="str">
        <f t="shared" si="433"/>
        <v>Medium_Low</v>
      </c>
      <c r="E6057" s="138" t="str">
        <f t="shared" si="432"/>
        <v>Low</v>
      </c>
      <c r="F6057" s="138" t="str">
        <f t="shared" si="435"/>
        <v>Upgraded</v>
      </c>
      <c r="G6057" s="153"/>
      <c r="H6057" s="210">
        <v>1.15E-2</v>
      </c>
      <c r="I6057" s="160" t="s">
        <v>148</v>
      </c>
      <c r="J6057" s="160">
        <v>8.3000000000000001E-3</v>
      </c>
      <c r="K6057" s="160" t="s">
        <v>23</v>
      </c>
      <c r="L6057" s="154" t="str">
        <f>IF(OpenLCAbasic!K6057="CTUh", "Fill in Manually",IF(OR(K6057="Unit", K6057=""), "", INDEX(LookUps!$E$5:$E$12, MATCH(OpenLCAbasic!K6057,LookUps!$D$5:$D$12,0))))</f>
        <v>Global Warming Potential (GWP) - kg CO2 eq</v>
      </c>
      <c r="M6057" s="154" t="str">
        <f t="shared" si="430"/>
        <v>Low_Medium_Low_Upgraded_Global Warming Potential (GWP) - kg CO2 eq_Control Building; at upgraded wastewater treatment plant - US_Without Amendment_Windrow</v>
      </c>
    </row>
    <row r="6058" spans="1:13" s="120" customFormat="1" x14ac:dyDescent="0.25">
      <c r="A6058" s="119"/>
      <c r="B6058" s="138" t="str">
        <f t="shared" si="434"/>
        <v>Windrow</v>
      </c>
      <c r="C6058" s="138" t="str">
        <f t="shared" si="431"/>
        <v>Without Amendment</v>
      </c>
      <c r="D6058" s="138" t="str">
        <f t="shared" si="433"/>
        <v>Medium_Low</v>
      </c>
      <c r="E6058" s="138" t="str">
        <f t="shared" si="432"/>
        <v>Low</v>
      </c>
      <c r="F6058" s="138" t="str">
        <f t="shared" si="435"/>
        <v>Upgraded</v>
      </c>
      <c r="G6058" s="153"/>
      <c r="H6058" s="210">
        <v>7.0000000000000001E-3</v>
      </c>
      <c r="I6058" s="160" t="s">
        <v>59</v>
      </c>
      <c r="J6058" s="160">
        <v>5.0400000000000002E-3</v>
      </c>
      <c r="K6058" s="160" t="s">
        <v>23</v>
      </c>
      <c r="L6058" s="154" t="str">
        <f>IF(OpenLCAbasic!K6058="CTUh", "Fill in Manually",IF(OR(K6058="Unit", K6058=""), "", INDEX(LookUps!$E$5:$E$12, MATCH(OpenLCAbasic!K6058,LookUps!$D$5:$D$12,0))))</f>
        <v>Global Warming Potential (GWP) - kg CO2 eq</v>
      </c>
      <c r="M6058" s="154" t="str">
        <f t="shared" si="430"/>
        <v>Low_Medium_Low_Upgraded_Global Warming Potential (GWP) - kg CO2 eq_Blend Tank; wastewater treatment unit; at updated plant - US_Without Amendment_Windrow</v>
      </c>
    </row>
    <row r="6059" spans="1:13" s="120" customFormat="1" x14ac:dyDescent="0.25">
      <c r="A6059" s="119"/>
      <c r="B6059" s="138" t="str">
        <f t="shared" si="434"/>
        <v>Windrow</v>
      </c>
      <c r="C6059" s="138" t="str">
        <f t="shared" si="431"/>
        <v>Without Amendment</v>
      </c>
      <c r="D6059" s="138" t="str">
        <f t="shared" si="433"/>
        <v>Medium_Low</v>
      </c>
      <c r="E6059" s="138" t="str">
        <f t="shared" si="432"/>
        <v>Low</v>
      </c>
      <c r="F6059" s="138" t="str">
        <f t="shared" si="435"/>
        <v>Upgraded</v>
      </c>
      <c r="G6059" s="153"/>
      <c r="H6059" s="210">
        <v>3.3E-3</v>
      </c>
      <c r="I6059" s="160" t="s">
        <v>168</v>
      </c>
      <c r="J6059" s="160">
        <v>2.4099999999999998E-3</v>
      </c>
      <c r="K6059" s="160" t="s">
        <v>23</v>
      </c>
      <c r="L6059" s="154" t="str">
        <f>IF(OpenLCAbasic!K6059="CTUh", "Fill in Manually",IF(OR(K6059="Unit", K6059=""), "", INDEX(LookUps!$E$5:$E$12, MATCH(OpenLCAbasic!K6059,LookUps!$D$5:$D$12,0))))</f>
        <v>Global Warming Potential (GWP) - kg CO2 eq</v>
      </c>
      <c r="M6059" s="154" t="str">
        <f t="shared" si="430"/>
        <v>Low_Medium_Low_Upgraded_Global Warming Potential (GWP) - kg CO2 eq_ClearCove SCP; wastewater treatment unit; at updated plant - US_Without Amendment_Windrow</v>
      </c>
    </row>
    <row r="6060" spans="1:13" s="120" customFormat="1" x14ac:dyDescent="0.25">
      <c r="A6060" s="119"/>
      <c r="B6060" s="138" t="str">
        <f t="shared" si="434"/>
        <v>Windrow</v>
      </c>
      <c r="C6060" s="138" t="str">
        <f t="shared" si="431"/>
        <v>Without Amendment</v>
      </c>
      <c r="D6060" s="138" t="str">
        <f t="shared" si="433"/>
        <v>Medium_Low</v>
      </c>
      <c r="E6060" s="138" t="str">
        <f t="shared" si="432"/>
        <v>Low</v>
      </c>
      <c r="F6060" s="138" t="str">
        <f t="shared" si="435"/>
        <v>Upgraded</v>
      </c>
      <c r="G6060" s="153"/>
      <c r="H6060" s="210">
        <v>-0.29310000000000003</v>
      </c>
      <c r="I6060" s="160" t="s">
        <v>62</v>
      </c>
      <c r="J6060" s="160">
        <v>-0.21173</v>
      </c>
      <c r="K6060" s="160" t="s">
        <v>23</v>
      </c>
      <c r="L6060" s="154" t="str">
        <f>IF(OpenLCAbasic!K6060="CTUh", "Fill in Manually",IF(OR(K6060="Unit", K6060=""), "", INDEX(LookUps!$E$5:$E$12, MATCH(OpenLCAbasic!K6060,LookUps!$D$5:$D$12,0))))</f>
        <v>Global Warming Potential (GWP) - kg CO2 eq</v>
      </c>
      <c r="M6060" s="154" t="str">
        <f t="shared" si="430"/>
        <v>Low_Medium_Low_Upgraded_Global Warming Potential (GWP) - kg CO2 eq_Land application of compost; wastewater treatment unit; at updated plant - US_Without Amendment_Windrow</v>
      </c>
    </row>
    <row r="6061" spans="1:13" s="120" customFormat="1" x14ac:dyDescent="0.25">
      <c r="A6061" s="119"/>
      <c r="B6061" s="138" t="str">
        <f t="shared" si="434"/>
        <v/>
      </c>
      <c r="C6061" s="138" t="str">
        <f t="shared" si="431"/>
        <v/>
      </c>
      <c r="D6061" s="138" t="str">
        <f t="shared" si="433"/>
        <v/>
      </c>
      <c r="E6061" s="138" t="str">
        <f t="shared" si="432"/>
        <v/>
      </c>
      <c r="F6061" s="138" t="str">
        <f t="shared" si="435"/>
        <v/>
      </c>
      <c r="G6061" s="153" t="s">
        <v>51</v>
      </c>
      <c r="H6061" s="160"/>
      <c r="I6061" s="160" t="s">
        <v>47</v>
      </c>
      <c r="J6061" s="160" t="s">
        <v>52</v>
      </c>
      <c r="K6061" s="160" t="s">
        <v>27</v>
      </c>
      <c r="L6061" s="154" t="str">
        <f>IF(OpenLCAbasic!K6061="CTUh", "Fill in Manually",IF(OR(K6061="Unit", K6061=""), "", INDEX(LookUps!$E$5:$E$12, MATCH(OpenLCAbasic!K6061,LookUps!$D$5:$D$12,0))))</f>
        <v/>
      </c>
      <c r="M6061" s="154" t="str">
        <f t="shared" si="430"/>
        <v>____Process__</v>
      </c>
    </row>
    <row r="6062" spans="1:13" s="120" customFormat="1" x14ac:dyDescent="0.25">
      <c r="A6062" s="119"/>
      <c r="B6062" s="138" t="str">
        <f t="shared" si="434"/>
        <v>Windrow</v>
      </c>
      <c r="C6062" s="138" t="str">
        <f t="shared" si="431"/>
        <v>Without Amendment</v>
      </c>
      <c r="D6062" s="138" t="str">
        <f t="shared" si="433"/>
        <v>Medium_Low</v>
      </c>
      <c r="E6062" s="138" t="str">
        <f t="shared" si="432"/>
        <v>Low</v>
      </c>
      <c r="F6062" s="138" t="str">
        <f t="shared" si="435"/>
        <v>Upgraded</v>
      </c>
      <c r="G6062" s="153"/>
      <c r="H6062" s="210">
        <v>0.47160000000000002</v>
      </c>
      <c r="I6062" s="160" t="s">
        <v>55</v>
      </c>
      <c r="J6062" s="160">
        <v>2.33E-3</v>
      </c>
      <c r="K6062" s="160" t="s">
        <v>145</v>
      </c>
      <c r="L6062" s="154" t="str">
        <f>IF(OpenLCAbasic!K6062="CTUh", "Fill in Manually",IF(OR(K6062="Unit", K6062=""), "", INDEX(LookUps!$E$5:$E$12, MATCH(OpenLCAbasic!K6062,LookUps!$D$5:$D$12,0))))</f>
        <v>Particulate Matter Formation Potential (PMFP) - kg PM2.5 eq</v>
      </c>
      <c r="M6062" s="154" t="str">
        <f t="shared" si="430"/>
        <v>Low_Medium_Low_Upgraded_Particulate Matter Formation Potential (PMFP) - kg PM2.5 eq_Aeration Tanks; wastewater treatment unit; at updated plant - US_Without Amendment_Windrow</v>
      </c>
    </row>
    <row r="6063" spans="1:13" s="120" customFormat="1" x14ac:dyDescent="0.25">
      <c r="A6063" s="119"/>
      <c r="B6063" s="138" t="str">
        <f t="shared" si="434"/>
        <v>Windrow</v>
      </c>
      <c r="C6063" s="138" t="str">
        <f t="shared" si="431"/>
        <v>Without Amendment</v>
      </c>
      <c r="D6063" s="138" t="str">
        <f t="shared" si="433"/>
        <v>Medium_Low</v>
      </c>
      <c r="E6063" s="138" t="str">
        <f t="shared" si="432"/>
        <v>Low</v>
      </c>
      <c r="F6063" s="138" t="str">
        <f t="shared" si="435"/>
        <v>Upgraded</v>
      </c>
      <c r="G6063" s="153"/>
      <c r="H6063" s="210">
        <v>0.13719999999999999</v>
      </c>
      <c r="I6063" s="160" t="s">
        <v>54</v>
      </c>
      <c r="J6063" s="160">
        <v>6.8000000000000005E-4</v>
      </c>
      <c r="K6063" s="160" t="s">
        <v>145</v>
      </c>
      <c r="L6063" s="154" t="str">
        <f>IF(OpenLCAbasic!K6063="CTUh", "Fill in Manually",IF(OR(K6063="Unit", K6063=""), "", INDEX(LookUps!$E$5:$E$12, MATCH(OpenLCAbasic!K6063,LookUps!$D$5:$D$12,0))))</f>
        <v>Particulate Matter Formation Potential (PMFP) - kg PM2.5 eq</v>
      </c>
      <c r="M6063" s="154" t="str">
        <f t="shared" si="430"/>
        <v>Low_Medium_Low_Upgraded_Particulate Matter Formation Potential (PMFP) - kg PM2.5 eq_Clear Cove Primary Clarification; wastewater treatment unit; at updated plant - US_Without Amendment_Windrow</v>
      </c>
    </row>
    <row r="6064" spans="1:13" s="120" customFormat="1" x14ac:dyDescent="0.25">
      <c r="A6064" s="119"/>
      <c r="B6064" s="138" t="str">
        <f t="shared" si="434"/>
        <v>Windrow</v>
      </c>
      <c r="C6064" s="138" t="str">
        <f t="shared" si="431"/>
        <v>Without Amendment</v>
      </c>
      <c r="D6064" s="138" t="str">
        <f t="shared" si="433"/>
        <v>Medium_Low</v>
      </c>
      <c r="E6064" s="138" t="str">
        <f t="shared" si="432"/>
        <v>Low</v>
      </c>
      <c r="F6064" s="138" t="str">
        <f t="shared" si="435"/>
        <v>Upgraded</v>
      </c>
      <c r="G6064" s="153"/>
      <c r="H6064" s="210">
        <v>0.11899999999999999</v>
      </c>
      <c r="I6064" s="160" t="s">
        <v>58</v>
      </c>
      <c r="J6064" s="160">
        <v>5.9000000000000003E-4</v>
      </c>
      <c r="K6064" s="160" t="s">
        <v>145</v>
      </c>
      <c r="L6064" s="154" t="str">
        <f>IF(OpenLCAbasic!K6064="CTUh", "Fill in Manually",IF(OR(K6064="Unit", K6064=""), "", INDEX(LookUps!$E$5:$E$12, MATCH(OpenLCAbasic!K6064,LookUps!$D$5:$D$12,0))))</f>
        <v>Particulate Matter Formation Potential (PMFP) - kg PM2.5 eq</v>
      </c>
      <c r="M6064" s="154" t="str">
        <f t="shared" si="430"/>
        <v>Low_Medium_Low_Upgraded_Particulate Matter Formation Potential (PMFP) - kg PM2.5 eq_Pre-Anoxic &amp; Swing tank; wastewater treatment unit; at updated plant - US_Without Amendment_Windrow</v>
      </c>
    </row>
    <row r="6065" spans="1:13" s="120" customFormat="1" x14ac:dyDescent="0.25">
      <c r="A6065" s="119"/>
      <c r="B6065" s="138" t="str">
        <f t="shared" si="434"/>
        <v>Windrow</v>
      </c>
      <c r="C6065" s="138" t="str">
        <f t="shared" si="431"/>
        <v>Without Amendment</v>
      </c>
      <c r="D6065" s="138" t="str">
        <f t="shared" si="433"/>
        <v>Medium_Low</v>
      </c>
      <c r="E6065" s="138" t="str">
        <f t="shared" si="432"/>
        <v>Low</v>
      </c>
      <c r="F6065" s="138" t="str">
        <f t="shared" si="435"/>
        <v>Upgraded</v>
      </c>
      <c r="G6065" s="153"/>
      <c r="H6065" s="210">
        <v>9.4299999999999995E-2</v>
      </c>
      <c r="I6065" s="160" t="s">
        <v>53</v>
      </c>
      <c r="J6065" s="160">
        <v>4.6999999999999999E-4</v>
      </c>
      <c r="K6065" s="160" t="s">
        <v>145</v>
      </c>
      <c r="L6065" s="154" t="str">
        <f>IF(OpenLCAbasic!K6065="CTUh", "Fill in Manually",IF(OR(K6065="Unit", K6065=""), "", INDEX(LookUps!$E$5:$E$12, MATCH(OpenLCAbasic!K6065,LookUps!$D$5:$D$12,0))))</f>
        <v>Particulate Matter Formation Potential (PMFP) - kg PM2.5 eq</v>
      </c>
      <c r="M6065" s="154" t="str">
        <f t="shared" si="430"/>
        <v>Low_Medium_Low_Upgraded_Particulate Matter Formation Potential (PMFP) - kg PM2.5 eq_Wet Well and Sump Station; wastewater treatment unit; at updated plant - US_Without Amendment_Windrow</v>
      </c>
    </row>
    <row r="6066" spans="1:13" s="120" customFormat="1" x14ac:dyDescent="0.25">
      <c r="A6066" s="119"/>
      <c r="B6066" s="138" t="str">
        <f t="shared" si="434"/>
        <v>Windrow</v>
      </c>
      <c r="C6066" s="138" t="str">
        <f t="shared" si="431"/>
        <v>Without Amendment</v>
      </c>
      <c r="D6066" s="138" t="str">
        <f t="shared" si="433"/>
        <v>Medium_Low</v>
      </c>
      <c r="E6066" s="138" t="str">
        <f t="shared" si="432"/>
        <v>Low</v>
      </c>
      <c r="F6066" s="138" t="str">
        <f t="shared" si="435"/>
        <v>Upgraded</v>
      </c>
      <c r="G6066" s="153"/>
      <c r="H6066" s="210">
        <v>6.3600000000000004E-2</v>
      </c>
      <c r="I6066" s="160" t="s">
        <v>167</v>
      </c>
      <c r="J6066" s="160">
        <v>3.1E-4</v>
      </c>
      <c r="K6066" s="160" t="s">
        <v>145</v>
      </c>
      <c r="L6066" s="154" t="str">
        <f>IF(OpenLCAbasic!K6066="CTUh", "Fill in Manually",IF(OR(K6066="Unit", K6066=""), "", INDEX(LookUps!$E$5:$E$12, MATCH(OpenLCAbasic!K6066,LookUps!$D$5:$D$12,0))))</f>
        <v>Particulate Matter Formation Potential (PMFP) - kg PM2.5 eq</v>
      </c>
      <c r="M6066" s="154" t="str">
        <f t="shared" si="430"/>
        <v>Low_Medium_Low_Upgraded_Particulate Matter Formation Potential (PMFP) - kg PM2.5 eq_Waste Receiving and Holding; wastewater treatment unit; at updated plant - US_Without Amendment_Windrow</v>
      </c>
    </row>
    <row r="6067" spans="1:13" s="120" customFormat="1" x14ac:dyDescent="0.25">
      <c r="A6067" s="119"/>
      <c r="B6067" s="138" t="str">
        <f t="shared" si="434"/>
        <v>Windrow</v>
      </c>
      <c r="C6067" s="138" t="str">
        <f t="shared" si="431"/>
        <v>Without Amendment</v>
      </c>
      <c r="D6067" s="138" t="str">
        <f t="shared" si="433"/>
        <v>Medium_Low</v>
      </c>
      <c r="E6067" s="138" t="str">
        <f t="shared" si="432"/>
        <v>Low</v>
      </c>
      <c r="F6067" s="138" t="str">
        <f t="shared" si="435"/>
        <v>Upgraded</v>
      </c>
      <c r="G6067" s="153"/>
      <c r="H6067" s="210">
        <v>5.3900000000000003E-2</v>
      </c>
      <c r="I6067" s="160" t="s">
        <v>147</v>
      </c>
      <c r="J6067" s="160">
        <v>2.7E-4</v>
      </c>
      <c r="K6067" s="160" t="s">
        <v>145</v>
      </c>
      <c r="L6067" s="154" t="str">
        <f>IF(OpenLCAbasic!K6067="CTUh", "Fill in Manually",IF(OR(K6067="Unit", K6067=""), "", INDEX(LookUps!$E$5:$E$12, MATCH(OpenLCAbasic!K6067,LookUps!$D$5:$D$12,0))))</f>
        <v>Particulate Matter Formation Potential (PMFP) - kg PM2.5 eq</v>
      </c>
      <c r="M6067" s="154" t="str">
        <f t="shared" si="430"/>
        <v>Low_Medium_Low_Upgraded_Particulate Matter Formation Potential (PMFP) - kg PM2.5 eq_Influent Pump Station; wastewater treatment unit; at updated plant - US_Without Amendment_Windrow</v>
      </c>
    </row>
    <row r="6068" spans="1:13" s="120" customFormat="1" x14ac:dyDescent="0.25">
      <c r="A6068" s="119"/>
      <c r="B6068" s="138" t="str">
        <f t="shared" si="434"/>
        <v>Windrow</v>
      </c>
      <c r="C6068" s="138" t="str">
        <f t="shared" si="431"/>
        <v>Without Amendment</v>
      </c>
      <c r="D6068" s="138" t="str">
        <f t="shared" si="433"/>
        <v>Medium_Low</v>
      </c>
      <c r="E6068" s="138" t="str">
        <f t="shared" si="432"/>
        <v>Low</v>
      </c>
      <c r="F6068" s="138" t="str">
        <f t="shared" si="435"/>
        <v>Upgraded</v>
      </c>
      <c r="G6068" s="153"/>
      <c r="H6068" s="210">
        <v>3.3599999999999998E-2</v>
      </c>
      <c r="I6068" s="160" t="s">
        <v>128</v>
      </c>
      <c r="J6068" s="160">
        <v>1.7000000000000001E-4</v>
      </c>
      <c r="K6068" s="160" t="s">
        <v>145</v>
      </c>
      <c r="L6068" s="154" t="str">
        <f>IF(OpenLCAbasic!K6068="CTUh", "Fill in Manually",IF(OR(K6068="Unit", K6068=""), "", INDEX(LookUps!$E$5:$E$12, MATCH(OpenLCAbasic!K6068,LookUps!$D$5:$D$12,0))))</f>
        <v>Particulate Matter Formation Potential (PMFP) - kg PM2.5 eq</v>
      </c>
      <c r="M6068" s="154" t="str">
        <f t="shared" si="430"/>
        <v>Low_Medium_Low_Upgraded_Particulate Matter Formation Potential (PMFP) - kg PM2.5 eq_Wastewater collection; operation and infrastructure; m3 wastewater_Without Amendment_Windrow</v>
      </c>
    </row>
    <row r="6069" spans="1:13" s="120" customFormat="1" x14ac:dyDescent="0.25">
      <c r="A6069" s="119"/>
      <c r="B6069" s="138" t="str">
        <f t="shared" si="434"/>
        <v>Windrow</v>
      </c>
      <c r="C6069" s="138" t="str">
        <f t="shared" si="431"/>
        <v>Without Amendment</v>
      </c>
      <c r="D6069" s="138" t="str">
        <f t="shared" si="433"/>
        <v>Medium_Low</v>
      </c>
      <c r="E6069" s="138" t="str">
        <f t="shared" si="432"/>
        <v>Low</v>
      </c>
      <c r="F6069" s="138" t="str">
        <f t="shared" si="435"/>
        <v>Upgraded</v>
      </c>
      <c r="G6069" s="153"/>
      <c r="H6069" s="210">
        <v>3.2899999999999999E-2</v>
      </c>
      <c r="I6069" s="160" t="s">
        <v>60</v>
      </c>
      <c r="J6069" s="160">
        <v>1.6000000000000001E-4</v>
      </c>
      <c r="K6069" s="160" t="s">
        <v>145</v>
      </c>
      <c r="L6069" s="154" t="str">
        <f>IF(OpenLCAbasic!K6069="CTUh", "Fill in Manually",IF(OR(K6069="Unit", K6069=""), "", INDEX(LookUps!$E$5:$E$12, MATCH(OpenLCAbasic!K6069,LookUps!$D$5:$D$12,0))))</f>
        <v>Particulate Matter Formation Potential (PMFP) - kg PM2.5 eq</v>
      </c>
      <c r="M6069" s="154" t="str">
        <f t="shared" si="430"/>
        <v>Low_Medium_Low_Upgraded_Particulate Matter Formation Potential (PMFP) - kg PM2.5 eq_Belt filter press; wastewater treatment unit; at updated plant - US_Without Amendment_Windrow</v>
      </c>
    </row>
    <row r="6070" spans="1:13" s="120" customFormat="1" x14ac:dyDescent="0.25">
      <c r="A6070" s="119"/>
      <c r="B6070" s="138" t="str">
        <f t="shared" si="434"/>
        <v>Windrow</v>
      </c>
      <c r="C6070" s="138" t="str">
        <f t="shared" si="431"/>
        <v>Without Amendment</v>
      </c>
      <c r="D6070" s="138" t="str">
        <f t="shared" si="433"/>
        <v>Medium_Low</v>
      </c>
      <c r="E6070" s="138" t="str">
        <f t="shared" si="432"/>
        <v>Low</v>
      </c>
      <c r="F6070" s="138" t="str">
        <f t="shared" si="435"/>
        <v>Upgraded</v>
      </c>
      <c r="G6070" s="153"/>
      <c r="H6070" s="210">
        <v>1.9199999999999998E-2</v>
      </c>
      <c r="I6070" s="160" t="s">
        <v>57</v>
      </c>
      <c r="J6070" s="211">
        <v>9.5153800000000004E-5</v>
      </c>
      <c r="K6070" s="160" t="s">
        <v>145</v>
      </c>
      <c r="L6070" s="154" t="str">
        <f>IF(OpenLCAbasic!K6070="CTUh", "Fill in Manually",IF(OR(K6070="Unit", K6070=""), "", INDEX(LookUps!$E$5:$E$12, MATCH(OpenLCAbasic!K6070,LookUps!$D$5:$D$12,0))))</f>
        <v>Particulate Matter Formation Potential (PMFP) - kg PM2.5 eq</v>
      </c>
      <c r="M6070" s="154" t="str">
        <f t="shared" si="430"/>
        <v>Low_Medium_Low_Upgraded_Particulate Matter Formation Potential (PMFP) - kg PM2.5 eq_Gravity Belt Thickener; wastewater treatment unit; at updated plant - US_Without Amendment_Windrow</v>
      </c>
    </row>
    <row r="6071" spans="1:13" s="120" customFormat="1" x14ac:dyDescent="0.25">
      <c r="A6071" s="119"/>
      <c r="B6071" s="138" t="str">
        <f t="shared" si="434"/>
        <v>Windrow</v>
      </c>
      <c r="C6071" s="138" t="str">
        <f t="shared" si="431"/>
        <v>Without Amendment</v>
      </c>
      <c r="D6071" s="138" t="str">
        <f t="shared" si="433"/>
        <v>Medium_Low</v>
      </c>
      <c r="E6071" s="138" t="str">
        <f t="shared" si="432"/>
        <v>Low</v>
      </c>
      <c r="F6071" s="138" t="str">
        <f t="shared" si="435"/>
        <v>Upgraded</v>
      </c>
      <c r="G6071" s="153"/>
      <c r="H6071" s="210">
        <v>1.41E-2</v>
      </c>
      <c r="I6071" s="160" t="s">
        <v>59</v>
      </c>
      <c r="J6071" s="211">
        <v>6.9942200000000003E-5</v>
      </c>
      <c r="K6071" s="160" t="s">
        <v>145</v>
      </c>
      <c r="L6071" s="154" t="str">
        <f>IF(OpenLCAbasic!K6071="CTUh", "Fill in Manually",IF(OR(K6071="Unit", K6071=""), "", INDEX(LookUps!$E$5:$E$12, MATCH(OpenLCAbasic!K6071,LookUps!$D$5:$D$12,0))))</f>
        <v>Particulate Matter Formation Potential (PMFP) - kg PM2.5 eq</v>
      </c>
      <c r="M6071" s="154" t="str">
        <f t="shared" si="430"/>
        <v>Low_Medium_Low_Upgraded_Particulate Matter Formation Potential (PMFP) - kg PM2.5 eq_Blend Tank; wastewater treatment unit; at updated plant - US_Without Amendment_Windrow</v>
      </c>
    </row>
    <row r="6072" spans="1:13" s="120" customFormat="1" x14ac:dyDescent="0.25">
      <c r="A6072" s="119"/>
      <c r="B6072" s="138" t="str">
        <f t="shared" si="434"/>
        <v>Windrow</v>
      </c>
      <c r="C6072" s="138" t="str">
        <f t="shared" si="431"/>
        <v>Without Amendment</v>
      </c>
      <c r="D6072" s="138" t="str">
        <f t="shared" si="433"/>
        <v>Medium_Low</v>
      </c>
      <c r="E6072" s="138" t="str">
        <f t="shared" si="432"/>
        <v>Low</v>
      </c>
      <c r="F6072" s="138" t="str">
        <f t="shared" si="435"/>
        <v>Upgraded</v>
      </c>
      <c r="G6072" s="153"/>
      <c r="H6072" s="210">
        <v>1.0999999999999999E-2</v>
      </c>
      <c r="I6072" s="160" t="s">
        <v>62</v>
      </c>
      <c r="J6072" s="211">
        <v>5.46621E-5</v>
      </c>
      <c r="K6072" s="160" t="s">
        <v>145</v>
      </c>
      <c r="L6072" s="154" t="str">
        <f>IF(OpenLCAbasic!K6072="CTUh", "Fill in Manually",IF(OR(K6072="Unit", K6072=""), "", INDEX(LookUps!$E$5:$E$12, MATCH(OpenLCAbasic!K6072,LookUps!$D$5:$D$12,0))))</f>
        <v>Particulate Matter Formation Potential (PMFP) - kg PM2.5 eq</v>
      </c>
      <c r="M6072" s="154" t="str">
        <f t="shared" si="430"/>
        <v>Low_Medium_Low_Upgraded_Particulate Matter Formation Potential (PMFP) - kg PM2.5 eq_Land application of compost; wastewater treatment unit; at updated plant - US_Without Amendment_Windrow</v>
      </c>
    </row>
    <row r="6073" spans="1:13" s="120" customFormat="1" x14ac:dyDescent="0.25">
      <c r="A6073" s="119"/>
      <c r="B6073" s="138" t="str">
        <f t="shared" si="434"/>
        <v>Windrow</v>
      </c>
      <c r="C6073" s="138" t="str">
        <f t="shared" si="431"/>
        <v>Without Amendment</v>
      </c>
      <c r="D6073" s="138" t="str">
        <f t="shared" si="433"/>
        <v>Medium_Low</v>
      </c>
      <c r="E6073" s="138" t="str">
        <f t="shared" si="432"/>
        <v>Low</v>
      </c>
      <c r="F6073" s="138" t="str">
        <f t="shared" si="435"/>
        <v>Upgraded</v>
      </c>
      <c r="G6073" s="153"/>
      <c r="H6073" s="210">
        <v>1.01E-2</v>
      </c>
      <c r="I6073" s="160" t="s">
        <v>48</v>
      </c>
      <c r="J6073" s="211">
        <v>4.99741E-5</v>
      </c>
      <c r="K6073" s="160" t="s">
        <v>145</v>
      </c>
      <c r="L6073" s="154" t="str">
        <f>IF(OpenLCAbasic!K6073="CTUh", "Fill in Manually",IF(OR(K6073="Unit", K6073=""), "", INDEX(LookUps!$E$5:$E$12, MATCH(OpenLCAbasic!K6073,LookUps!$D$5:$D$12,0))))</f>
        <v>Particulate Matter Formation Potential (PMFP) - kg PM2.5 eq</v>
      </c>
      <c r="M6073" s="154" t="str">
        <f t="shared" si="430"/>
        <v>Low_Medium_Low_Upgraded_Particulate Matter Formation Potential (PMFP) - kg PM2.5 eq_Effluent release; wastewater treatment unit; at surface water; m3 wastewater - US_Without Amendment_Windrow</v>
      </c>
    </row>
    <row r="6074" spans="1:13" s="120" customFormat="1" x14ac:dyDescent="0.25">
      <c r="A6074" s="119"/>
      <c r="B6074" s="138" t="str">
        <f t="shared" si="434"/>
        <v>Windrow</v>
      </c>
      <c r="C6074" s="138" t="str">
        <f t="shared" si="431"/>
        <v>Without Amendment</v>
      </c>
      <c r="D6074" s="138" t="str">
        <f t="shared" si="433"/>
        <v>Medium_Low</v>
      </c>
      <c r="E6074" s="138" t="str">
        <f t="shared" si="432"/>
        <v>Low</v>
      </c>
      <c r="F6074" s="138" t="str">
        <f t="shared" si="435"/>
        <v>Upgraded</v>
      </c>
      <c r="G6074" s="153"/>
      <c r="H6074" s="210">
        <v>7.7999999999999996E-3</v>
      </c>
      <c r="I6074" s="160" t="s">
        <v>271</v>
      </c>
      <c r="J6074" s="211">
        <v>3.8634199999999997E-5</v>
      </c>
      <c r="K6074" s="160" t="s">
        <v>145</v>
      </c>
      <c r="L6074" s="154" t="str">
        <f>IF(OpenLCAbasic!K6074="CTUh", "Fill in Manually",IF(OR(K6074="Unit", K6074=""), "", INDEX(LookUps!$E$5:$E$12, MATCH(OpenLCAbasic!K6074,LookUps!$D$5:$D$12,0))))</f>
        <v>Particulate Matter Formation Potential (PMFP) - kg PM2.5 eq</v>
      </c>
      <c r="M6074" s="154" t="str">
        <f t="shared" si="430"/>
        <v>Low_Medium_Low_Upgraded_Particulate Matter Formation Potential (PMFP) - kg PM2.5 eq_Biosolids composting; windrow composting; wastewater treatment unit; at updated plant - US_Without Amendment_Windrow</v>
      </c>
    </row>
    <row r="6075" spans="1:13" s="120" customFormat="1" x14ac:dyDescent="0.25">
      <c r="A6075" s="119"/>
      <c r="B6075" s="138" t="str">
        <f t="shared" si="434"/>
        <v>Windrow</v>
      </c>
      <c r="C6075" s="138" t="str">
        <f t="shared" si="431"/>
        <v>Without Amendment</v>
      </c>
      <c r="D6075" s="138" t="str">
        <f t="shared" si="433"/>
        <v>Medium_Low</v>
      </c>
      <c r="E6075" s="138" t="str">
        <f t="shared" si="432"/>
        <v>Low</v>
      </c>
      <c r="F6075" s="138" t="str">
        <f t="shared" si="435"/>
        <v>Upgraded</v>
      </c>
      <c r="G6075" s="153"/>
      <c r="H6075" s="210">
        <v>7.0000000000000001E-3</v>
      </c>
      <c r="I6075" s="160" t="s">
        <v>168</v>
      </c>
      <c r="J6075" s="211">
        <v>3.4562199999999999E-5</v>
      </c>
      <c r="K6075" s="160" t="s">
        <v>145</v>
      </c>
      <c r="L6075" s="154" t="str">
        <f>IF(OpenLCAbasic!K6075="CTUh", "Fill in Manually",IF(OR(K6075="Unit", K6075=""), "", INDEX(LookUps!$E$5:$E$12, MATCH(OpenLCAbasic!K6075,LookUps!$D$5:$D$12,0))))</f>
        <v>Particulate Matter Formation Potential (PMFP) - kg PM2.5 eq</v>
      </c>
      <c r="M6075" s="154" t="str">
        <f t="shared" ref="M6075:M6138" si="436">CONCATENATE(E6075,"_",D6075,"_",F6075,"_",L6075, "_",I6075,"_", C6075,"_", B6075)</f>
        <v>Low_Medium_Low_Upgraded_Particulate Matter Formation Potential (PMFP) - kg PM2.5 eq_ClearCove SCP; wastewater treatment unit; at updated plant - US_Without Amendment_Windrow</v>
      </c>
    </row>
    <row r="6076" spans="1:13" s="120" customFormat="1" x14ac:dyDescent="0.25">
      <c r="A6076" s="119"/>
      <c r="B6076" s="138" t="str">
        <f t="shared" si="434"/>
        <v>Windrow</v>
      </c>
      <c r="C6076" s="138" t="str">
        <f t="shared" si="431"/>
        <v>Without Amendment</v>
      </c>
      <c r="D6076" s="138" t="str">
        <f t="shared" si="433"/>
        <v>Medium_Low</v>
      </c>
      <c r="E6076" s="138" t="str">
        <f t="shared" si="432"/>
        <v>Low</v>
      </c>
      <c r="F6076" s="138" t="str">
        <f t="shared" si="435"/>
        <v>Upgraded</v>
      </c>
      <c r="G6076" s="153"/>
      <c r="H6076" s="210">
        <v>1.8E-3</v>
      </c>
      <c r="I6076" s="160" t="s">
        <v>148</v>
      </c>
      <c r="J6076" s="211">
        <v>8.8212999999999997E-6</v>
      </c>
      <c r="K6076" s="160" t="s">
        <v>145</v>
      </c>
      <c r="L6076" s="154" t="str">
        <f>IF(OpenLCAbasic!K6076="CTUh", "Fill in Manually",IF(OR(K6076="Unit", K6076=""), "", INDEX(LookUps!$E$5:$E$12, MATCH(OpenLCAbasic!K6076,LookUps!$D$5:$D$12,0))))</f>
        <v>Particulate Matter Formation Potential (PMFP) - kg PM2.5 eq</v>
      </c>
      <c r="M6076" s="154" t="str">
        <f t="shared" si="436"/>
        <v>Low_Medium_Low_Upgraded_Particulate Matter Formation Potential (PMFP) - kg PM2.5 eq_Control Building; at upgraded wastewater treatment plant - US_Without Amendment_Windrow</v>
      </c>
    </row>
    <row r="6077" spans="1:13" s="120" customFormat="1" x14ac:dyDescent="0.25">
      <c r="A6077" s="119"/>
      <c r="B6077" s="138" t="str">
        <f t="shared" si="434"/>
        <v>Windrow</v>
      </c>
      <c r="C6077" s="138" t="str">
        <f t="shared" si="431"/>
        <v>Without Amendment</v>
      </c>
      <c r="D6077" s="138" t="str">
        <f t="shared" si="433"/>
        <v>Medium_Low</v>
      </c>
      <c r="E6077" s="138" t="str">
        <f t="shared" si="432"/>
        <v>Low</v>
      </c>
      <c r="F6077" s="138" t="str">
        <f t="shared" si="435"/>
        <v>Upgraded</v>
      </c>
      <c r="G6077" s="153"/>
      <c r="H6077" s="210">
        <v>-7.7100000000000002E-2</v>
      </c>
      <c r="I6077" s="160" t="s">
        <v>149</v>
      </c>
      <c r="J6077" s="160">
        <v>-3.8000000000000002E-4</v>
      </c>
      <c r="K6077" s="160" t="s">
        <v>145</v>
      </c>
      <c r="L6077" s="154" t="str">
        <f>IF(OpenLCAbasic!K6077="CTUh", "Fill in Manually",IF(OR(K6077="Unit", K6077=""), "", INDEX(LookUps!$E$5:$E$12, MATCH(OpenLCAbasic!K6077,LookUps!$D$5:$D$12,0))))</f>
        <v>Particulate Matter Formation Potential (PMFP) - kg PM2.5 eq</v>
      </c>
      <c r="M6077" s="154" t="str">
        <f t="shared" si="436"/>
        <v>Low_Medium_Low_Upgraded_Particulate Matter Formation Potential (PMFP) - kg PM2.5 eq_Anaerobic Digestion; wastewater treatment unit; at updated plant - US_Without Amendment_Windrow</v>
      </c>
    </row>
    <row r="6078" spans="1:13" s="120" customFormat="1" x14ac:dyDescent="0.25">
      <c r="A6078" s="119"/>
      <c r="B6078" s="138" t="str">
        <f t="shared" si="434"/>
        <v/>
      </c>
      <c r="C6078" s="138" t="str">
        <f t="shared" si="431"/>
        <v/>
      </c>
      <c r="D6078" s="138" t="str">
        <f t="shared" si="433"/>
        <v/>
      </c>
      <c r="E6078" s="138" t="str">
        <f t="shared" si="432"/>
        <v/>
      </c>
      <c r="F6078" s="138" t="str">
        <f t="shared" si="435"/>
        <v/>
      </c>
      <c r="G6078" s="153" t="s">
        <v>51</v>
      </c>
      <c r="H6078" s="160"/>
      <c r="I6078" s="160" t="s">
        <v>47</v>
      </c>
      <c r="J6078" s="160" t="s">
        <v>52</v>
      </c>
      <c r="K6078" s="160" t="s">
        <v>27</v>
      </c>
      <c r="L6078" s="154" t="str">
        <f>IF(OpenLCAbasic!K6078="CTUh", "Fill in Manually",IF(OR(K6078="Unit", K6078=""), "", INDEX(LookUps!$E$5:$E$12, MATCH(OpenLCAbasic!K6078,LookUps!$D$5:$D$12,0))))</f>
        <v/>
      </c>
      <c r="M6078" s="154" t="str">
        <f t="shared" si="436"/>
        <v>____Process__</v>
      </c>
    </row>
    <row r="6079" spans="1:13" s="120" customFormat="1" x14ac:dyDescent="0.25">
      <c r="A6079" s="119"/>
      <c r="B6079" s="138" t="str">
        <f t="shared" si="434"/>
        <v>Windrow</v>
      </c>
      <c r="C6079" s="138" t="str">
        <f t="shared" si="431"/>
        <v>Without Amendment</v>
      </c>
      <c r="D6079" s="138" t="str">
        <f t="shared" si="433"/>
        <v>Medium_Low</v>
      </c>
      <c r="E6079" s="138" t="str">
        <f t="shared" si="432"/>
        <v>Low</v>
      </c>
      <c r="F6079" s="138" t="str">
        <f t="shared" si="435"/>
        <v>Upgraded</v>
      </c>
      <c r="G6079" s="153"/>
      <c r="H6079" s="210">
        <v>0.47170000000000001</v>
      </c>
      <c r="I6079" s="160" t="s">
        <v>55</v>
      </c>
      <c r="J6079" s="160">
        <v>0.16577</v>
      </c>
      <c r="K6079" s="160" t="s">
        <v>25</v>
      </c>
      <c r="L6079" s="154" t="str">
        <f>IF(OpenLCAbasic!K6079="CTUh", "Fill in Manually",IF(OR(K6079="Unit", K6079=""), "", INDEX(LookUps!$E$5:$E$12, MATCH(OpenLCAbasic!K6079,LookUps!$D$5:$D$12,0))))</f>
        <v>Smog Formation Potential (SFP) - kg O3 eq</v>
      </c>
      <c r="M6079" s="154" t="str">
        <f t="shared" si="436"/>
        <v>Low_Medium_Low_Upgraded_Smog Formation Potential (SFP) - kg O3 eq_Aeration Tanks; wastewater treatment unit; at updated plant - US_Without Amendment_Windrow</v>
      </c>
    </row>
    <row r="6080" spans="1:13" s="120" customFormat="1" x14ac:dyDescent="0.25">
      <c r="A6080" s="119"/>
      <c r="B6080" s="138" t="str">
        <f t="shared" si="434"/>
        <v>Windrow</v>
      </c>
      <c r="C6080" s="138" t="str">
        <f t="shared" si="431"/>
        <v>Without Amendment</v>
      </c>
      <c r="D6080" s="138" t="str">
        <f t="shared" si="433"/>
        <v>Medium_Low</v>
      </c>
      <c r="E6080" s="138" t="str">
        <f t="shared" si="432"/>
        <v>Low</v>
      </c>
      <c r="F6080" s="138" t="str">
        <f t="shared" si="435"/>
        <v>Upgraded</v>
      </c>
      <c r="G6080" s="153"/>
      <c r="H6080" s="210">
        <v>0.1368</v>
      </c>
      <c r="I6080" s="160" t="s">
        <v>54</v>
      </c>
      <c r="J6080" s="160">
        <v>4.8070000000000002E-2</v>
      </c>
      <c r="K6080" s="160" t="s">
        <v>25</v>
      </c>
      <c r="L6080" s="154" t="str">
        <f>IF(OpenLCAbasic!K6080="CTUh", "Fill in Manually",IF(OR(K6080="Unit", K6080=""), "", INDEX(LookUps!$E$5:$E$12, MATCH(OpenLCAbasic!K6080,LookUps!$D$5:$D$12,0))))</f>
        <v>Smog Formation Potential (SFP) - kg O3 eq</v>
      </c>
      <c r="M6080" s="154" t="str">
        <f t="shared" si="436"/>
        <v>Low_Medium_Low_Upgraded_Smog Formation Potential (SFP) - kg O3 eq_Clear Cove Primary Clarification; wastewater treatment unit; at updated plant - US_Without Amendment_Windrow</v>
      </c>
    </row>
    <row r="6081" spans="1:13" s="120" customFormat="1" x14ac:dyDescent="0.25">
      <c r="A6081" s="119"/>
      <c r="B6081" s="138" t="str">
        <f t="shared" si="434"/>
        <v>Windrow</v>
      </c>
      <c r="C6081" s="138" t="str">
        <f t="shared" ref="C6081:C6144" si="437">IF(ISNUMBER($J6081),"Without Amendment","")</f>
        <v>Without Amendment</v>
      </c>
      <c r="D6081" s="138" t="str">
        <f t="shared" si="433"/>
        <v>Medium_Low</v>
      </c>
      <c r="E6081" s="138" t="str">
        <f t="shared" ref="E6081:E6144" si="438">IF(ISNUMBER($J6081),"Low","")</f>
        <v>Low</v>
      </c>
      <c r="F6081" s="138" t="str">
        <f t="shared" si="435"/>
        <v>Upgraded</v>
      </c>
      <c r="G6081" s="153"/>
      <c r="H6081" s="210">
        <v>0.1193</v>
      </c>
      <c r="I6081" s="160" t="s">
        <v>58</v>
      </c>
      <c r="J6081" s="160">
        <v>4.1919999999999999E-2</v>
      </c>
      <c r="K6081" s="160" t="s">
        <v>25</v>
      </c>
      <c r="L6081" s="154" t="str">
        <f>IF(OpenLCAbasic!K6081="CTUh", "Fill in Manually",IF(OR(K6081="Unit", K6081=""), "", INDEX(LookUps!$E$5:$E$12, MATCH(OpenLCAbasic!K6081,LookUps!$D$5:$D$12,0))))</f>
        <v>Smog Formation Potential (SFP) - kg O3 eq</v>
      </c>
      <c r="M6081" s="154" t="str">
        <f t="shared" si="436"/>
        <v>Low_Medium_Low_Upgraded_Smog Formation Potential (SFP) - kg O3 eq_Pre-Anoxic &amp; Swing tank; wastewater treatment unit; at updated plant - US_Without Amendment_Windrow</v>
      </c>
    </row>
    <row r="6082" spans="1:13" s="120" customFormat="1" x14ac:dyDescent="0.25">
      <c r="A6082" s="119"/>
      <c r="B6082" s="138" t="str">
        <f t="shared" si="434"/>
        <v>Windrow</v>
      </c>
      <c r="C6082" s="138" t="str">
        <f t="shared" si="437"/>
        <v>Without Amendment</v>
      </c>
      <c r="D6082" s="138" t="str">
        <f t="shared" si="433"/>
        <v>Medium_Low</v>
      </c>
      <c r="E6082" s="138" t="str">
        <f t="shared" si="438"/>
        <v>Low</v>
      </c>
      <c r="F6082" s="138" t="str">
        <f t="shared" si="435"/>
        <v>Upgraded</v>
      </c>
      <c r="G6082" s="153"/>
      <c r="H6082" s="210">
        <v>9.4299999999999995E-2</v>
      </c>
      <c r="I6082" s="160" t="s">
        <v>53</v>
      </c>
      <c r="J6082" s="160">
        <v>3.313E-2</v>
      </c>
      <c r="K6082" s="160" t="s">
        <v>25</v>
      </c>
      <c r="L6082" s="154" t="str">
        <f>IF(OpenLCAbasic!K6082="CTUh", "Fill in Manually",IF(OR(K6082="Unit", K6082=""), "", INDEX(LookUps!$E$5:$E$12, MATCH(OpenLCAbasic!K6082,LookUps!$D$5:$D$12,0))))</f>
        <v>Smog Formation Potential (SFP) - kg O3 eq</v>
      </c>
      <c r="M6082" s="154" t="str">
        <f t="shared" si="436"/>
        <v>Low_Medium_Low_Upgraded_Smog Formation Potential (SFP) - kg O3 eq_Wet Well and Sump Station; wastewater treatment unit; at updated plant - US_Without Amendment_Windrow</v>
      </c>
    </row>
    <row r="6083" spans="1:13" s="120" customFormat="1" x14ac:dyDescent="0.25">
      <c r="A6083" s="119"/>
      <c r="B6083" s="138" t="str">
        <f t="shared" si="434"/>
        <v>Windrow</v>
      </c>
      <c r="C6083" s="138" t="str">
        <f t="shared" si="437"/>
        <v>Without Amendment</v>
      </c>
      <c r="D6083" s="138" t="str">
        <f t="shared" si="433"/>
        <v>Medium_Low</v>
      </c>
      <c r="E6083" s="138" t="str">
        <f t="shared" si="438"/>
        <v>Low</v>
      </c>
      <c r="F6083" s="138" t="str">
        <f t="shared" si="435"/>
        <v>Upgraded</v>
      </c>
      <c r="G6083" s="153"/>
      <c r="H6083" s="210">
        <v>8.7400000000000005E-2</v>
      </c>
      <c r="I6083" s="160" t="s">
        <v>167</v>
      </c>
      <c r="J6083" s="160">
        <v>3.0710000000000001E-2</v>
      </c>
      <c r="K6083" s="160" t="s">
        <v>25</v>
      </c>
      <c r="L6083" s="154" t="str">
        <f>IF(OpenLCAbasic!K6083="CTUh", "Fill in Manually",IF(OR(K6083="Unit", K6083=""), "", INDEX(LookUps!$E$5:$E$12, MATCH(OpenLCAbasic!K6083,LookUps!$D$5:$D$12,0))))</f>
        <v>Smog Formation Potential (SFP) - kg O3 eq</v>
      </c>
      <c r="M6083" s="154" t="str">
        <f t="shared" si="436"/>
        <v>Low_Medium_Low_Upgraded_Smog Formation Potential (SFP) - kg O3 eq_Waste Receiving and Holding; wastewater treatment unit; at updated plant - US_Without Amendment_Windrow</v>
      </c>
    </row>
    <row r="6084" spans="1:13" s="120" customFormat="1" x14ac:dyDescent="0.25">
      <c r="A6084" s="119"/>
      <c r="B6084" s="138" t="str">
        <f t="shared" si="434"/>
        <v>Windrow</v>
      </c>
      <c r="C6084" s="138" t="str">
        <f t="shared" si="437"/>
        <v>Without Amendment</v>
      </c>
      <c r="D6084" s="138" t="str">
        <f t="shared" si="433"/>
        <v>Medium_Low</v>
      </c>
      <c r="E6084" s="138" t="str">
        <f t="shared" si="438"/>
        <v>Low</v>
      </c>
      <c r="F6084" s="138" t="str">
        <f t="shared" si="435"/>
        <v>Upgraded</v>
      </c>
      <c r="G6084" s="153"/>
      <c r="H6084" s="210">
        <v>5.5199999999999999E-2</v>
      </c>
      <c r="I6084" s="160" t="s">
        <v>147</v>
      </c>
      <c r="J6084" s="160">
        <v>1.9400000000000001E-2</v>
      </c>
      <c r="K6084" s="160" t="s">
        <v>25</v>
      </c>
      <c r="L6084" s="154" t="str">
        <f>IF(OpenLCAbasic!K6084="CTUh", "Fill in Manually",IF(OR(K6084="Unit", K6084=""), "", INDEX(LookUps!$E$5:$E$12, MATCH(OpenLCAbasic!K6084,LookUps!$D$5:$D$12,0))))</f>
        <v>Smog Formation Potential (SFP) - kg O3 eq</v>
      </c>
      <c r="M6084" s="154" t="str">
        <f t="shared" si="436"/>
        <v>Low_Medium_Low_Upgraded_Smog Formation Potential (SFP) - kg O3 eq_Influent Pump Station; wastewater treatment unit; at updated plant - US_Without Amendment_Windrow</v>
      </c>
    </row>
    <row r="6085" spans="1:13" s="120" customFormat="1" x14ac:dyDescent="0.25">
      <c r="A6085" s="119"/>
      <c r="B6085" s="138" t="str">
        <f t="shared" si="434"/>
        <v>Windrow</v>
      </c>
      <c r="C6085" s="138" t="str">
        <f t="shared" si="437"/>
        <v>Without Amendment</v>
      </c>
      <c r="D6085" s="138" t="str">
        <f t="shared" si="433"/>
        <v>Medium_Low</v>
      </c>
      <c r="E6085" s="138" t="str">
        <f t="shared" si="438"/>
        <v>Low</v>
      </c>
      <c r="F6085" s="138" t="str">
        <f t="shared" si="435"/>
        <v>Upgraded</v>
      </c>
      <c r="G6085" s="153"/>
      <c r="H6085" s="210">
        <v>3.39E-2</v>
      </c>
      <c r="I6085" s="160" t="s">
        <v>128</v>
      </c>
      <c r="J6085" s="160">
        <v>1.192E-2</v>
      </c>
      <c r="K6085" s="160" t="s">
        <v>25</v>
      </c>
      <c r="L6085" s="154" t="str">
        <f>IF(OpenLCAbasic!K6085="CTUh", "Fill in Manually",IF(OR(K6085="Unit", K6085=""), "", INDEX(LookUps!$E$5:$E$12, MATCH(OpenLCAbasic!K6085,LookUps!$D$5:$D$12,0))))</f>
        <v>Smog Formation Potential (SFP) - kg O3 eq</v>
      </c>
      <c r="M6085" s="154" t="str">
        <f t="shared" si="436"/>
        <v>Low_Medium_Low_Upgraded_Smog Formation Potential (SFP) - kg O3 eq_Wastewater collection; operation and infrastructure; m3 wastewater_Without Amendment_Windrow</v>
      </c>
    </row>
    <row r="6086" spans="1:13" s="120" customFormat="1" x14ac:dyDescent="0.25">
      <c r="A6086" s="119"/>
      <c r="B6086" s="138" t="str">
        <f t="shared" si="434"/>
        <v>Windrow</v>
      </c>
      <c r="C6086" s="138" t="str">
        <f t="shared" si="437"/>
        <v>Without Amendment</v>
      </c>
      <c r="D6086" s="138" t="str">
        <f t="shared" si="433"/>
        <v>Medium_Low</v>
      </c>
      <c r="E6086" s="138" t="str">
        <f t="shared" si="438"/>
        <v>Low</v>
      </c>
      <c r="F6086" s="138" t="str">
        <f t="shared" si="435"/>
        <v>Upgraded</v>
      </c>
      <c r="G6086" s="153"/>
      <c r="H6086" s="210">
        <v>3.2599999999999997E-2</v>
      </c>
      <c r="I6086" s="160" t="s">
        <v>60</v>
      </c>
      <c r="J6086" s="160">
        <v>1.145E-2</v>
      </c>
      <c r="K6086" s="160" t="s">
        <v>25</v>
      </c>
      <c r="L6086" s="154" t="str">
        <f>IF(OpenLCAbasic!K6086="CTUh", "Fill in Manually",IF(OR(K6086="Unit", K6086=""), "", INDEX(LookUps!$E$5:$E$12, MATCH(OpenLCAbasic!K6086,LookUps!$D$5:$D$12,0))))</f>
        <v>Smog Formation Potential (SFP) - kg O3 eq</v>
      </c>
      <c r="M6086" s="154" t="str">
        <f t="shared" si="436"/>
        <v>Low_Medium_Low_Upgraded_Smog Formation Potential (SFP) - kg O3 eq_Belt filter press; wastewater treatment unit; at updated plant - US_Without Amendment_Windrow</v>
      </c>
    </row>
    <row r="6087" spans="1:13" s="120" customFormat="1" x14ac:dyDescent="0.25">
      <c r="A6087" s="119"/>
      <c r="B6087" s="138" t="str">
        <f t="shared" si="434"/>
        <v>Windrow</v>
      </c>
      <c r="C6087" s="138" t="str">
        <f t="shared" si="437"/>
        <v>Without Amendment</v>
      </c>
      <c r="D6087" s="138" t="str">
        <f t="shared" si="433"/>
        <v>Medium_Low</v>
      </c>
      <c r="E6087" s="138" t="str">
        <f t="shared" si="438"/>
        <v>Low</v>
      </c>
      <c r="F6087" s="138" t="str">
        <f t="shared" si="435"/>
        <v>Upgraded</v>
      </c>
      <c r="G6087" s="153"/>
      <c r="H6087" s="210">
        <v>1.89E-2</v>
      </c>
      <c r="I6087" s="160" t="s">
        <v>57</v>
      </c>
      <c r="J6087" s="160">
        <v>6.6499999999999997E-3</v>
      </c>
      <c r="K6087" s="160" t="s">
        <v>25</v>
      </c>
      <c r="L6087" s="154" t="str">
        <f>IF(OpenLCAbasic!K6087="CTUh", "Fill in Manually",IF(OR(K6087="Unit", K6087=""), "", INDEX(LookUps!$E$5:$E$12, MATCH(OpenLCAbasic!K6087,LookUps!$D$5:$D$12,0))))</f>
        <v>Smog Formation Potential (SFP) - kg O3 eq</v>
      </c>
      <c r="M6087" s="154" t="str">
        <f t="shared" si="436"/>
        <v>Low_Medium_Low_Upgraded_Smog Formation Potential (SFP) - kg O3 eq_Gravity Belt Thickener; wastewater treatment unit; at updated plant - US_Without Amendment_Windrow</v>
      </c>
    </row>
    <row r="6088" spans="1:13" s="120" customFormat="1" x14ac:dyDescent="0.25">
      <c r="A6088" s="119"/>
      <c r="B6088" s="138" t="str">
        <f t="shared" si="434"/>
        <v>Windrow</v>
      </c>
      <c r="C6088" s="138" t="str">
        <f t="shared" si="437"/>
        <v>Without Amendment</v>
      </c>
      <c r="D6088" s="138" t="str">
        <f t="shared" si="433"/>
        <v>Medium_Low</v>
      </c>
      <c r="E6088" s="138" t="str">
        <f t="shared" si="438"/>
        <v>Low</v>
      </c>
      <c r="F6088" s="138" t="str">
        <f t="shared" si="435"/>
        <v>Upgraded</v>
      </c>
      <c r="G6088" s="153"/>
      <c r="H6088" s="210">
        <v>1.4200000000000001E-2</v>
      </c>
      <c r="I6088" s="160" t="s">
        <v>59</v>
      </c>
      <c r="J6088" s="160">
        <v>4.9699999999999996E-3</v>
      </c>
      <c r="K6088" s="160" t="s">
        <v>25</v>
      </c>
      <c r="L6088" s="154" t="str">
        <f>IF(OpenLCAbasic!K6088="CTUh", "Fill in Manually",IF(OR(K6088="Unit", K6088=""), "", INDEX(LookUps!$E$5:$E$12, MATCH(OpenLCAbasic!K6088,LookUps!$D$5:$D$12,0))))</f>
        <v>Smog Formation Potential (SFP) - kg O3 eq</v>
      </c>
      <c r="M6088" s="154" t="str">
        <f t="shared" si="436"/>
        <v>Low_Medium_Low_Upgraded_Smog Formation Potential (SFP) - kg O3 eq_Blend Tank; wastewater treatment unit; at updated plant - US_Without Amendment_Windrow</v>
      </c>
    </row>
    <row r="6089" spans="1:13" s="120" customFormat="1" x14ac:dyDescent="0.25">
      <c r="A6089" s="119"/>
      <c r="B6089" s="138" t="str">
        <f t="shared" si="434"/>
        <v>Windrow</v>
      </c>
      <c r="C6089" s="138" t="str">
        <f t="shared" si="437"/>
        <v>Without Amendment</v>
      </c>
      <c r="D6089" s="138" t="str">
        <f t="shared" si="433"/>
        <v>Medium_Low</v>
      </c>
      <c r="E6089" s="138" t="str">
        <f t="shared" si="438"/>
        <v>Low</v>
      </c>
      <c r="F6089" s="138" t="str">
        <f t="shared" si="435"/>
        <v>Upgraded</v>
      </c>
      <c r="G6089" s="153"/>
      <c r="H6089" s="210">
        <v>9.5999999999999992E-3</v>
      </c>
      <c r="I6089" s="160" t="s">
        <v>48</v>
      </c>
      <c r="J6089" s="160">
        <v>3.3899999999999998E-3</v>
      </c>
      <c r="K6089" s="160" t="s">
        <v>25</v>
      </c>
      <c r="L6089" s="154" t="str">
        <f>IF(OpenLCAbasic!K6089="CTUh", "Fill in Manually",IF(OR(K6089="Unit", K6089=""), "", INDEX(LookUps!$E$5:$E$12, MATCH(OpenLCAbasic!K6089,LookUps!$D$5:$D$12,0))))</f>
        <v>Smog Formation Potential (SFP) - kg O3 eq</v>
      </c>
      <c r="M6089" s="154" t="str">
        <f t="shared" si="436"/>
        <v>Low_Medium_Low_Upgraded_Smog Formation Potential (SFP) - kg O3 eq_Effluent release; wastewater treatment unit; at surface water; m3 wastewater - US_Without Amendment_Windrow</v>
      </c>
    </row>
    <row r="6090" spans="1:13" s="120" customFormat="1" x14ac:dyDescent="0.25">
      <c r="A6090" s="119"/>
      <c r="B6090" s="138" t="str">
        <f t="shared" si="434"/>
        <v>Windrow</v>
      </c>
      <c r="C6090" s="138" t="str">
        <f t="shared" si="437"/>
        <v>Without Amendment</v>
      </c>
      <c r="D6090" s="138" t="str">
        <f t="shared" si="433"/>
        <v>Medium_Low</v>
      </c>
      <c r="E6090" s="138" t="str">
        <f t="shared" si="438"/>
        <v>Low</v>
      </c>
      <c r="F6090" s="138" t="str">
        <f t="shared" si="435"/>
        <v>Upgraded</v>
      </c>
      <c r="G6090" s="153"/>
      <c r="H6090" s="210">
        <v>7.0000000000000001E-3</v>
      </c>
      <c r="I6090" s="160" t="s">
        <v>168</v>
      </c>
      <c r="J6090" s="160">
        <v>2.4599999999999999E-3</v>
      </c>
      <c r="K6090" s="160" t="s">
        <v>25</v>
      </c>
      <c r="L6090" s="154" t="str">
        <f>IF(OpenLCAbasic!K6090="CTUh", "Fill in Manually",IF(OR(K6090="Unit", K6090=""), "", INDEX(LookUps!$E$5:$E$12, MATCH(OpenLCAbasic!K6090,LookUps!$D$5:$D$12,0))))</f>
        <v>Smog Formation Potential (SFP) - kg O3 eq</v>
      </c>
      <c r="M6090" s="154" t="str">
        <f t="shared" si="436"/>
        <v>Low_Medium_Low_Upgraded_Smog Formation Potential (SFP) - kg O3 eq_ClearCove SCP; wastewater treatment unit; at updated plant - US_Without Amendment_Windrow</v>
      </c>
    </row>
    <row r="6091" spans="1:13" s="120" customFormat="1" x14ac:dyDescent="0.25">
      <c r="A6091" s="119"/>
      <c r="B6091" s="138" t="str">
        <f t="shared" si="434"/>
        <v>Windrow</v>
      </c>
      <c r="C6091" s="138" t="str">
        <f t="shared" si="437"/>
        <v>Without Amendment</v>
      </c>
      <c r="D6091" s="138" t="str">
        <f t="shared" si="433"/>
        <v>Medium_Low</v>
      </c>
      <c r="E6091" s="138" t="str">
        <f t="shared" si="438"/>
        <v>Low</v>
      </c>
      <c r="F6091" s="138" t="str">
        <f t="shared" si="435"/>
        <v>Upgraded</v>
      </c>
      <c r="G6091" s="153"/>
      <c r="H6091" s="210">
        <v>1.6999999999999999E-3</v>
      </c>
      <c r="I6091" s="160" t="s">
        <v>271</v>
      </c>
      <c r="J6091" s="160">
        <v>5.9000000000000003E-4</v>
      </c>
      <c r="K6091" s="160" t="s">
        <v>25</v>
      </c>
      <c r="L6091" s="154" t="str">
        <f>IF(OpenLCAbasic!K6091="CTUh", "Fill in Manually",IF(OR(K6091="Unit", K6091=""), "", INDEX(LookUps!$E$5:$E$12, MATCH(OpenLCAbasic!K6091,LookUps!$D$5:$D$12,0))))</f>
        <v>Smog Formation Potential (SFP) - kg O3 eq</v>
      </c>
      <c r="M6091" s="154" t="str">
        <f t="shared" si="436"/>
        <v>Low_Medium_Low_Upgraded_Smog Formation Potential (SFP) - kg O3 eq_Biosolids composting; windrow composting; wastewater treatment unit; at updated plant - US_Without Amendment_Windrow</v>
      </c>
    </row>
    <row r="6092" spans="1:13" s="120" customFormat="1" x14ac:dyDescent="0.25">
      <c r="A6092" s="119"/>
      <c r="B6092" s="138" t="str">
        <f t="shared" si="434"/>
        <v>Windrow</v>
      </c>
      <c r="C6092" s="138" t="str">
        <f t="shared" si="437"/>
        <v>Without Amendment</v>
      </c>
      <c r="D6092" s="138" t="str">
        <f t="shared" si="433"/>
        <v>Medium_Low</v>
      </c>
      <c r="E6092" s="138" t="str">
        <f t="shared" si="438"/>
        <v>Low</v>
      </c>
      <c r="F6092" s="138" t="str">
        <f t="shared" si="435"/>
        <v>Upgraded</v>
      </c>
      <c r="G6092" s="153"/>
      <c r="H6092" s="210">
        <v>1.5E-3</v>
      </c>
      <c r="I6092" s="160" t="s">
        <v>148</v>
      </c>
      <c r="J6092" s="160">
        <v>5.4000000000000001E-4</v>
      </c>
      <c r="K6092" s="160" t="s">
        <v>25</v>
      </c>
      <c r="L6092" s="154" t="str">
        <f>IF(OpenLCAbasic!K6092="CTUh", "Fill in Manually",IF(OR(K6092="Unit", K6092=""), "", INDEX(LookUps!$E$5:$E$12, MATCH(OpenLCAbasic!K6092,LookUps!$D$5:$D$12,0))))</f>
        <v>Smog Formation Potential (SFP) - kg O3 eq</v>
      </c>
      <c r="M6092" s="154" t="str">
        <f t="shared" si="436"/>
        <v>Low_Medium_Low_Upgraded_Smog Formation Potential (SFP) - kg O3 eq_Control Building; at upgraded wastewater treatment plant - US_Without Amendment_Windrow</v>
      </c>
    </row>
    <row r="6093" spans="1:13" s="120" customFormat="1" x14ac:dyDescent="0.25">
      <c r="A6093" s="119"/>
      <c r="B6093" s="138" t="str">
        <f t="shared" si="434"/>
        <v>Windrow</v>
      </c>
      <c r="C6093" s="138" t="str">
        <f t="shared" si="437"/>
        <v>Without Amendment</v>
      </c>
      <c r="D6093" s="138" t="str">
        <f t="shared" si="433"/>
        <v>Medium_Low</v>
      </c>
      <c r="E6093" s="138" t="str">
        <f t="shared" si="438"/>
        <v>Low</v>
      </c>
      <c r="F6093" s="138" t="str">
        <f t="shared" si="435"/>
        <v>Upgraded</v>
      </c>
      <c r="G6093" s="153"/>
      <c r="H6093" s="210">
        <v>-8.0000000000000002E-3</v>
      </c>
      <c r="I6093" s="160" t="s">
        <v>62</v>
      </c>
      <c r="J6093" s="160">
        <v>-2.81E-3</v>
      </c>
      <c r="K6093" s="160" t="s">
        <v>25</v>
      </c>
      <c r="L6093" s="154" t="str">
        <f>IF(OpenLCAbasic!K6093="CTUh", "Fill in Manually",IF(OR(K6093="Unit", K6093=""), "", INDEX(LookUps!$E$5:$E$12, MATCH(OpenLCAbasic!K6093,LookUps!$D$5:$D$12,0))))</f>
        <v>Smog Formation Potential (SFP) - kg O3 eq</v>
      </c>
      <c r="M6093" s="154" t="str">
        <f t="shared" si="436"/>
        <v>Low_Medium_Low_Upgraded_Smog Formation Potential (SFP) - kg O3 eq_Land application of compost; wastewater treatment unit; at updated plant - US_Without Amendment_Windrow</v>
      </c>
    </row>
    <row r="6094" spans="1:13" s="120" customFormat="1" x14ac:dyDescent="0.25">
      <c r="A6094" s="119"/>
      <c r="B6094" s="138" t="str">
        <f t="shared" si="434"/>
        <v>Windrow</v>
      </c>
      <c r="C6094" s="138" t="str">
        <f t="shared" si="437"/>
        <v>Without Amendment</v>
      </c>
      <c r="D6094" s="138" t="str">
        <f t="shared" si="433"/>
        <v>Medium_Low</v>
      </c>
      <c r="E6094" s="138" t="str">
        <f t="shared" si="438"/>
        <v>Low</v>
      </c>
      <c r="F6094" s="138" t="str">
        <f t="shared" si="435"/>
        <v>Upgraded</v>
      </c>
      <c r="G6094" s="153"/>
      <c r="H6094" s="210">
        <v>-7.6100000000000001E-2</v>
      </c>
      <c r="I6094" s="160" t="s">
        <v>149</v>
      </c>
      <c r="J6094" s="160">
        <v>-2.673E-2</v>
      </c>
      <c r="K6094" s="160" t="s">
        <v>25</v>
      </c>
      <c r="L6094" s="154" t="str">
        <f>IF(OpenLCAbasic!K6094="CTUh", "Fill in Manually",IF(OR(K6094="Unit", K6094=""), "", INDEX(LookUps!$E$5:$E$12, MATCH(OpenLCAbasic!K6094,LookUps!$D$5:$D$12,0))))</f>
        <v>Smog Formation Potential (SFP) - kg O3 eq</v>
      </c>
      <c r="M6094" s="154" t="str">
        <f t="shared" si="436"/>
        <v>Low_Medium_Low_Upgraded_Smog Formation Potential (SFP) - kg O3 eq_Anaerobic Digestion; wastewater treatment unit; at updated plant - US_Without Amendment_Windrow</v>
      </c>
    </row>
    <row r="6095" spans="1:13" s="120" customFormat="1" x14ac:dyDescent="0.25">
      <c r="A6095" s="119"/>
      <c r="B6095" s="138" t="str">
        <f t="shared" si="434"/>
        <v/>
      </c>
      <c r="C6095" s="138" t="str">
        <f t="shared" si="437"/>
        <v/>
      </c>
      <c r="D6095" s="138" t="str">
        <f t="shared" si="433"/>
        <v/>
      </c>
      <c r="E6095" s="138" t="str">
        <f t="shared" si="438"/>
        <v/>
      </c>
      <c r="F6095" s="138" t="str">
        <f t="shared" si="435"/>
        <v/>
      </c>
      <c r="G6095" s="153" t="s">
        <v>51</v>
      </c>
      <c r="H6095" s="160"/>
      <c r="I6095" s="160" t="s">
        <v>47</v>
      </c>
      <c r="J6095" s="160" t="s">
        <v>52</v>
      </c>
      <c r="K6095" s="160" t="s">
        <v>27</v>
      </c>
      <c r="L6095" s="154" t="str">
        <f>IF(OpenLCAbasic!K6095="CTUh", "Fill in Manually",IF(OR(K6095="Unit", K6095=""), "", INDEX(LookUps!$E$5:$E$12, MATCH(OpenLCAbasic!K6095,LookUps!$D$5:$D$12,0))))</f>
        <v/>
      </c>
      <c r="M6095" s="154" t="str">
        <f t="shared" si="436"/>
        <v>____Process__</v>
      </c>
    </row>
    <row r="6096" spans="1:13" s="120" customFormat="1" x14ac:dyDescent="0.25">
      <c r="A6096" s="119"/>
      <c r="B6096" s="138" t="str">
        <f t="shared" si="434"/>
        <v>Windrow</v>
      </c>
      <c r="C6096" s="138" t="str">
        <f t="shared" si="437"/>
        <v>Without Amendment</v>
      </c>
      <c r="D6096" s="138" t="str">
        <f t="shared" si="433"/>
        <v>Medium_Low</v>
      </c>
      <c r="E6096" s="138" t="str">
        <f t="shared" si="438"/>
        <v>Low</v>
      </c>
      <c r="F6096" s="138" t="str">
        <f t="shared" si="435"/>
        <v>Upgraded</v>
      </c>
      <c r="G6096" s="153"/>
      <c r="H6096" s="210">
        <v>3.1280000000000001</v>
      </c>
      <c r="I6096" s="160" t="s">
        <v>167</v>
      </c>
      <c r="J6096" s="160">
        <v>2.7999999999999998E-4</v>
      </c>
      <c r="K6096" s="160" t="s">
        <v>26</v>
      </c>
      <c r="L6096" s="154" t="str">
        <f>IF(OpenLCAbasic!K6096="CTUh", "Fill in Manually",IF(OR(K6096="Unit", K6096=""), "", INDEX(LookUps!$E$5:$E$12, MATCH(OpenLCAbasic!K6096,LookUps!$D$5:$D$12,0))))</f>
        <v>Water Use (WU) - m3 H2O</v>
      </c>
      <c r="M6096" s="154" t="str">
        <f t="shared" si="436"/>
        <v>Low_Medium_Low_Upgraded_Water Use (WU) - m3 H2O_Waste Receiving and Holding; wastewater treatment unit; at updated plant - US_Without Amendment_Windrow</v>
      </c>
    </row>
    <row r="6097" spans="1:13" s="120" customFormat="1" x14ac:dyDescent="0.25">
      <c r="A6097" s="119"/>
      <c r="B6097" s="138" t="str">
        <f t="shared" si="434"/>
        <v>Windrow</v>
      </c>
      <c r="C6097" s="138" t="str">
        <f t="shared" si="437"/>
        <v>Without Amendment</v>
      </c>
      <c r="D6097" s="138" t="str">
        <f t="shared" si="433"/>
        <v>Medium_Low</v>
      </c>
      <c r="E6097" s="138" t="str">
        <f t="shared" si="438"/>
        <v>Low</v>
      </c>
      <c r="F6097" s="138" t="str">
        <f t="shared" si="435"/>
        <v>Upgraded</v>
      </c>
      <c r="G6097" s="153"/>
      <c r="H6097" s="210">
        <v>2.0417999999999998</v>
      </c>
      <c r="I6097" s="160" t="s">
        <v>147</v>
      </c>
      <c r="J6097" s="160">
        <v>1.8000000000000001E-4</v>
      </c>
      <c r="K6097" s="160" t="s">
        <v>26</v>
      </c>
      <c r="L6097" s="154" t="str">
        <f>IF(OpenLCAbasic!K6097="CTUh", "Fill in Manually",IF(OR(K6097="Unit", K6097=""), "", INDEX(LookUps!$E$5:$E$12, MATCH(OpenLCAbasic!K6097,LookUps!$D$5:$D$12,0))))</f>
        <v>Water Use (WU) - m3 H2O</v>
      </c>
      <c r="M6097" s="154" t="str">
        <f t="shared" si="436"/>
        <v>Low_Medium_Low_Upgraded_Water Use (WU) - m3 H2O_Influent Pump Station; wastewater treatment unit; at updated plant - US_Without Amendment_Windrow</v>
      </c>
    </row>
    <row r="6098" spans="1:13" s="120" customFormat="1" x14ac:dyDescent="0.25">
      <c r="A6098" s="119"/>
      <c r="B6098" s="138" t="str">
        <f t="shared" si="434"/>
        <v>Windrow</v>
      </c>
      <c r="C6098" s="138" t="str">
        <f t="shared" si="437"/>
        <v>Without Amendment</v>
      </c>
      <c r="D6098" s="138" t="str">
        <f t="shared" si="433"/>
        <v>Medium_Low</v>
      </c>
      <c r="E6098" s="138" t="str">
        <f t="shared" si="438"/>
        <v>Low</v>
      </c>
      <c r="F6098" s="138" t="str">
        <f t="shared" si="435"/>
        <v>Upgraded</v>
      </c>
      <c r="G6098" s="153"/>
      <c r="H6098" s="210">
        <v>1.9922</v>
      </c>
      <c r="I6098" s="160" t="s">
        <v>54</v>
      </c>
      <c r="J6098" s="160">
        <v>1.8000000000000001E-4</v>
      </c>
      <c r="K6098" s="160" t="s">
        <v>26</v>
      </c>
      <c r="L6098" s="154" t="str">
        <f>IF(OpenLCAbasic!K6098="CTUh", "Fill in Manually",IF(OR(K6098="Unit", K6098=""), "", INDEX(LookUps!$E$5:$E$12, MATCH(OpenLCAbasic!K6098,LookUps!$D$5:$D$12,0))))</f>
        <v>Water Use (WU) - m3 H2O</v>
      </c>
      <c r="M6098" s="154" t="str">
        <f t="shared" si="436"/>
        <v>Low_Medium_Low_Upgraded_Water Use (WU) - m3 H2O_Clear Cove Primary Clarification; wastewater treatment unit; at updated plant - US_Without Amendment_Windrow</v>
      </c>
    </row>
    <row r="6099" spans="1:13" s="120" customFormat="1" x14ac:dyDescent="0.25">
      <c r="A6099" s="119"/>
      <c r="B6099" s="138" t="str">
        <f t="shared" si="434"/>
        <v>Windrow</v>
      </c>
      <c r="C6099" s="138" t="str">
        <f t="shared" si="437"/>
        <v>Without Amendment</v>
      </c>
      <c r="D6099" s="138" t="str">
        <f t="shared" si="433"/>
        <v>Medium_Low</v>
      </c>
      <c r="E6099" s="138" t="str">
        <f t="shared" si="438"/>
        <v>Low</v>
      </c>
      <c r="F6099" s="138" t="str">
        <f t="shared" si="435"/>
        <v>Upgraded</v>
      </c>
      <c r="G6099" s="153"/>
      <c r="H6099" s="210">
        <v>1.8072999999999999</v>
      </c>
      <c r="I6099" s="160" t="s">
        <v>55</v>
      </c>
      <c r="J6099" s="160">
        <v>1.6000000000000001E-4</v>
      </c>
      <c r="K6099" s="160" t="s">
        <v>26</v>
      </c>
      <c r="L6099" s="154" t="str">
        <f>IF(OpenLCAbasic!K6099="CTUh", "Fill in Manually",IF(OR(K6099="Unit", K6099=""), "", INDEX(LookUps!$E$5:$E$12, MATCH(OpenLCAbasic!K6099,LookUps!$D$5:$D$12,0))))</f>
        <v>Water Use (WU) - m3 H2O</v>
      </c>
      <c r="M6099" s="154" t="str">
        <f t="shared" si="436"/>
        <v>Low_Medium_Low_Upgraded_Water Use (WU) - m3 H2O_Aeration Tanks; wastewater treatment unit; at updated plant - US_Without Amendment_Windrow</v>
      </c>
    </row>
    <row r="6100" spans="1:13" s="120" customFormat="1" x14ac:dyDescent="0.25">
      <c r="A6100" s="119"/>
      <c r="B6100" s="138" t="str">
        <f t="shared" si="434"/>
        <v>Windrow</v>
      </c>
      <c r="C6100" s="138" t="str">
        <f t="shared" si="437"/>
        <v>Without Amendment</v>
      </c>
      <c r="D6100" s="138" t="str">
        <f t="shared" si="433"/>
        <v>Medium_Low</v>
      </c>
      <c r="E6100" s="138" t="str">
        <f t="shared" si="438"/>
        <v>Low</v>
      </c>
      <c r="F6100" s="138" t="str">
        <f t="shared" si="435"/>
        <v>Upgraded</v>
      </c>
      <c r="G6100" s="153"/>
      <c r="H6100" s="210">
        <v>1.6463000000000001</v>
      </c>
      <c r="I6100" s="160" t="s">
        <v>148</v>
      </c>
      <c r="J6100" s="160">
        <v>1.4999999999999999E-4</v>
      </c>
      <c r="K6100" s="160" t="s">
        <v>26</v>
      </c>
      <c r="L6100" s="154" t="str">
        <f>IF(OpenLCAbasic!K6100="CTUh", "Fill in Manually",IF(OR(K6100="Unit", K6100=""), "", INDEX(LookUps!$E$5:$E$12, MATCH(OpenLCAbasic!K6100,LookUps!$D$5:$D$12,0))))</f>
        <v>Water Use (WU) - m3 H2O</v>
      </c>
      <c r="M6100" s="154" t="str">
        <f t="shared" si="436"/>
        <v>Low_Medium_Low_Upgraded_Water Use (WU) - m3 H2O_Control Building; at upgraded wastewater treatment plant - US_Without Amendment_Windrow</v>
      </c>
    </row>
    <row r="6101" spans="1:13" s="120" customFormat="1" x14ac:dyDescent="0.25">
      <c r="A6101" s="119"/>
      <c r="B6101" s="138" t="str">
        <f t="shared" si="434"/>
        <v>Windrow</v>
      </c>
      <c r="C6101" s="138" t="str">
        <f t="shared" si="437"/>
        <v>Without Amendment</v>
      </c>
      <c r="D6101" s="138" t="str">
        <f t="shared" si="433"/>
        <v>Medium_Low</v>
      </c>
      <c r="E6101" s="138" t="str">
        <f t="shared" si="438"/>
        <v>Low</v>
      </c>
      <c r="F6101" s="138" t="str">
        <f t="shared" si="435"/>
        <v>Upgraded</v>
      </c>
      <c r="G6101" s="153"/>
      <c r="H6101" s="210">
        <v>0.76449999999999996</v>
      </c>
      <c r="I6101" s="160" t="s">
        <v>48</v>
      </c>
      <c r="J6101" s="211">
        <v>6.8836400000000004E-5</v>
      </c>
      <c r="K6101" s="160" t="s">
        <v>26</v>
      </c>
      <c r="L6101" s="154" t="str">
        <f>IF(OpenLCAbasic!K6101="CTUh", "Fill in Manually",IF(OR(K6101="Unit", K6101=""), "", INDEX(LookUps!$E$5:$E$12, MATCH(OpenLCAbasic!K6101,LookUps!$D$5:$D$12,0))))</f>
        <v>Water Use (WU) - m3 H2O</v>
      </c>
      <c r="M6101" s="154" t="str">
        <f t="shared" si="436"/>
        <v>Low_Medium_Low_Upgraded_Water Use (WU) - m3 H2O_Effluent release; wastewater treatment unit; at surface water; m3 wastewater - US_Without Amendment_Windrow</v>
      </c>
    </row>
    <row r="6102" spans="1:13" s="120" customFormat="1" x14ac:dyDescent="0.25">
      <c r="A6102" s="119"/>
      <c r="B6102" s="138" t="str">
        <f t="shared" si="434"/>
        <v>Windrow</v>
      </c>
      <c r="C6102" s="138" t="str">
        <f t="shared" si="437"/>
        <v>Without Amendment</v>
      </c>
      <c r="D6102" s="138" t="str">
        <f t="shared" si="433"/>
        <v>Medium_Low</v>
      </c>
      <c r="E6102" s="138" t="str">
        <f t="shared" si="438"/>
        <v>Low</v>
      </c>
      <c r="F6102" s="138" t="str">
        <f t="shared" si="435"/>
        <v>Upgraded</v>
      </c>
      <c r="G6102" s="153"/>
      <c r="H6102" s="210">
        <v>0.48020000000000002</v>
      </c>
      <c r="I6102" s="160" t="s">
        <v>58</v>
      </c>
      <c r="J6102" s="211">
        <v>4.3235300000000003E-5</v>
      </c>
      <c r="K6102" s="160" t="s">
        <v>26</v>
      </c>
      <c r="L6102" s="154" t="str">
        <f>IF(OpenLCAbasic!K6102="CTUh", "Fill in Manually",IF(OR(K6102="Unit", K6102=""), "", INDEX(LookUps!$E$5:$E$12, MATCH(OpenLCAbasic!K6102,LookUps!$D$5:$D$12,0))))</f>
        <v>Water Use (WU) - m3 H2O</v>
      </c>
      <c r="M6102" s="154" t="str">
        <f t="shared" si="436"/>
        <v>Low_Medium_Low_Upgraded_Water Use (WU) - m3 H2O_Pre-Anoxic &amp; Swing tank; wastewater treatment unit; at updated plant - US_Without Amendment_Windrow</v>
      </c>
    </row>
    <row r="6103" spans="1:13" s="120" customFormat="1" x14ac:dyDescent="0.25">
      <c r="A6103" s="119"/>
      <c r="B6103" s="138" t="str">
        <f t="shared" si="434"/>
        <v>Windrow</v>
      </c>
      <c r="C6103" s="138" t="str">
        <f t="shared" si="437"/>
        <v>Without Amendment</v>
      </c>
      <c r="D6103" s="138" t="str">
        <f t="shared" si="433"/>
        <v>Medium_Low</v>
      </c>
      <c r="E6103" s="138" t="str">
        <f t="shared" si="438"/>
        <v>Low</v>
      </c>
      <c r="F6103" s="138" t="str">
        <f t="shared" si="435"/>
        <v>Upgraded</v>
      </c>
      <c r="G6103" s="153"/>
      <c r="H6103" s="210">
        <v>0.37980000000000003</v>
      </c>
      <c r="I6103" s="160" t="s">
        <v>60</v>
      </c>
      <c r="J6103" s="211">
        <v>3.4196200000000003E-5</v>
      </c>
      <c r="K6103" s="160" t="s">
        <v>26</v>
      </c>
      <c r="L6103" s="154" t="str">
        <f>IF(OpenLCAbasic!K6103="CTUh", "Fill in Manually",IF(OR(K6103="Unit", K6103=""), "", INDEX(LookUps!$E$5:$E$12, MATCH(OpenLCAbasic!K6103,LookUps!$D$5:$D$12,0))))</f>
        <v>Water Use (WU) - m3 H2O</v>
      </c>
      <c r="M6103" s="154" t="str">
        <f t="shared" si="436"/>
        <v>Low_Medium_Low_Upgraded_Water Use (WU) - m3 H2O_Belt filter press; wastewater treatment unit; at updated plant - US_Without Amendment_Windrow</v>
      </c>
    </row>
    <row r="6104" spans="1:13" s="120" customFormat="1" x14ac:dyDescent="0.25">
      <c r="A6104" s="119"/>
      <c r="B6104" s="138" t="str">
        <f t="shared" si="434"/>
        <v>Windrow</v>
      </c>
      <c r="C6104" s="138" t="str">
        <f t="shared" si="437"/>
        <v>Without Amendment</v>
      </c>
      <c r="D6104" s="138" t="str">
        <f t="shared" si="433"/>
        <v>Medium_Low</v>
      </c>
      <c r="E6104" s="138" t="str">
        <f t="shared" si="438"/>
        <v>Low</v>
      </c>
      <c r="F6104" s="138" t="str">
        <f t="shared" si="435"/>
        <v>Upgraded</v>
      </c>
      <c r="G6104" s="153"/>
      <c r="H6104" s="210">
        <v>0.3377</v>
      </c>
      <c r="I6104" s="160" t="s">
        <v>57</v>
      </c>
      <c r="J6104" s="211">
        <v>3.0408100000000001E-5</v>
      </c>
      <c r="K6104" s="160" t="s">
        <v>26</v>
      </c>
      <c r="L6104" s="154" t="str">
        <f>IF(OpenLCAbasic!K6104="CTUh", "Fill in Manually",IF(OR(K6104="Unit", K6104=""), "", INDEX(LookUps!$E$5:$E$12, MATCH(OpenLCAbasic!K6104,LookUps!$D$5:$D$12,0))))</f>
        <v>Water Use (WU) - m3 H2O</v>
      </c>
      <c r="M6104" s="154" t="str">
        <f t="shared" si="436"/>
        <v>Low_Medium_Low_Upgraded_Water Use (WU) - m3 H2O_Gravity Belt Thickener; wastewater treatment unit; at updated plant - US_Without Amendment_Windrow</v>
      </c>
    </row>
    <row r="6105" spans="1:13" s="120" customFormat="1" x14ac:dyDescent="0.25">
      <c r="A6105" s="119"/>
      <c r="B6105" s="138" t="str">
        <f t="shared" si="434"/>
        <v>Windrow</v>
      </c>
      <c r="C6105" s="138" t="str">
        <f t="shared" si="437"/>
        <v>Without Amendment</v>
      </c>
      <c r="D6105" s="138" t="str">
        <f t="shared" ref="D6105:D6111" si="439">IF(ISNUMBER($J6105),"Medium_Low","")</f>
        <v>Medium_Low</v>
      </c>
      <c r="E6105" s="138" t="str">
        <f t="shared" si="438"/>
        <v>Low</v>
      </c>
      <c r="F6105" s="138" t="str">
        <f t="shared" si="435"/>
        <v>Upgraded</v>
      </c>
      <c r="G6105" s="153"/>
      <c r="H6105" s="210">
        <v>0.30399999999999999</v>
      </c>
      <c r="I6105" s="160" t="s">
        <v>149</v>
      </c>
      <c r="J6105" s="211">
        <v>2.7368600000000001E-5</v>
      </c>
      <c r="K6105" s="160" t="s">
        <v>26</v>
      </c>
      <c r="L6105" s="154" t="str">
        <f>IF(OpenLCAbasic!K6105="CTUh", "Fill in Manually",IF(OR(K6105="Unit", K6105=""), "", INDEX(LookUps!$E$5:$E$12, MATCH(OpenLCAbasic!K6105,LookUps!$D$5:$D$12,0))))</f>
        <v>Water Use (WU) - m3 H2O</v>
      </c>
      <c r="M6105" s="154" t="str">
        <f t="shared" si="436"/>
        <v>Low_Medium_Low_Upgraded_Water Use (WU) - m3 H2O_Anaerobic Digestion; wastewater treatment unit; at updated plant - US_Without Amendment_Windrow</v>
      </c>
    </row>
    <row r="6106" spans="1:13" s="120" customFormat="1" x14ac:dyDescent="0.25">
      <c r="A6106" s="119"/>
      <c r="B6106" s="138" t="str">
        <f t="shared" si="434"/>
        <v>Windrow</v>
      </c>
      <c r="C6106" s="138" t="str">
        <f t="shared" si="437"/>
        <v>Without Amendment</v>
      </c>
      <c r="D6106" s="138" t="str">
        <f t="shared" si="439"/>
        <v>Medium_Low</v>
      </c>
      <c r="E6106" s="138" t="str">
        <f t="shared" si="438"/>
        <v>Low</v>
      </c>
      <c r="F6106" s="138" t="str">
        <f t="shared" si="435"/>
        <v>Upgraded</v>
      </c>
      <c r="G6106" s="153"/>
      <c r="H6106" s="210">
        <v>0.19439999999999999</v>
      </c>
      <c r="I6106" s="160" t="s">
        <v>53</v>
      </c>
      <c r="J6106" s="211">
        <v>1.75069E-5</v>
      </c>
      <c r="K6106" s="160" t="s">
        <v>26</v>
      </c>
      <c r="L6106" s="154" t="str">
        <f>IF(OpenLCAbasic!K6106="CTUh", "Fill in Manually",IF(OR(K6106="Unit", K6106=""), "", INDEX(LookUps!$E$5:$E$12, MATCH(OpenLCAbasic!K6106,LookUps!$D$5:$D$12,0))))</f>
        <v>Water Use (WU) - m3 H2O</v>
      </c>
      <c r="M6106" s="154" t="str">
        <f t="shared" si="436"/>
        <v>Low_Medium_Low_Upgraded_Water Use (WU) - m3 H2O_Wet Well and Sump Station; wastewater treatment unit; at updated plant - US_Without Amendment_Windrow</v>
      </c>
    </row>
    <row r="6107" spans="1:13" s="120" customFormat="1" x14ac:dyDescent="0.25">
      <c r="A6107" s="119"/>
      <c r="B6107" s="138" t="str">
        <f t="shared" si="434"/>
        <v>Windrow</v>
      </c>
      <c r="C6107" s="138" t="str">
        <f t="shared" si="437"/>
        <v>Without Amendment</v>
      </c>
      <c r="D6107" s="138" t="str">
        <f t="shared" si="439"/>
        <v>Medium_Low</v>
      </c>
      <c r="E6107" s="138" t="str">
        <f t="shared" si="438"/>
        <v>Low</v>
      </c>
      <c r="F6107" s="138" t="str">
        <f t="shared" si="435"/>
        <v>Upgraded</v>
      </c>
      <c r="G6107" s="153"/>
      <c r="H6107" s="210">
        <v>7.7899999999999997E-2</v>
      </c>
      <c r="I6107" s="160" t="s">
        <v>59</v>
      </c>
      <c r="J6107" s="211">
        <v>7.0179500000000003E-6</v>
      </c>
      <c r="K6107" s="160" t="s">
        <v>26</v>
      </c>
      <c r="L6107" s="154" t="str">
        <f>IF(OpenLCAbasic!K6107="CTUh", "Fill in Manually",IF(OR(K6107="Unit", K6107=""), "", INDEX(LookUps!$E$5:$E$12, MATCH(OpenLCAbasic!K6107,LookUps!$D$5:$D$12,0))))</f>
        <v>Water Use (WU) - m3 H2O</v>
      </c>
      <c r="M6107" s="154" t="str">
        <f t="shared" si="436"/>
        <v>Low_Medium_Low_Upgraded_Water Use (WU) - m3 H2O_Blend Tank; wastewater treatment unit; at updated plant - US_Without Amendment_Windrow</v>
      </c>
    </row>
    <row r="6108" spans="1:13" s="120" customFormat="1" x14ac:dyDescent="0.25">
      <c r="A6108" s="119"/>
      <c r="B6108" s="138" t="str">
        <f t="shared" si="434"/>
        <v>Windrow</v>
      </c>
      <c r="C6108" s="138" t="str">
        <f t="shared" si="437"/>
        <v>Without Amendment</v>
      </c>
      <c r="D6108" s="138" t="str">
        <f t="shared" si="439"/>
        <v>Medium_Low</v>
      </c>
      <c r="E6108" s="138" t="str">
        <f t="shared" si="438"/>
        <v>Low</v>
      </c>
      <c r="F6108" s="138" t="str">
        <f t="shared" si="435"/>
        <v>Upgraded</v>
      </c>
      <c r="G6108" s="153"/>
      <c r="H6108" s="210">
        <v>5.62E-2</v>
      </c>
      <c r="I6108" s="160" t="s">
        <v>128</v>
      </c>
      <c r="J6108" s="211">
        <v>5.0608900000000003E-6</v>
      </c>
      <c r="K6108" s="160" t="s">
        <v>26</v>
      </c>
      <c r="L6108" s="154" t="str">
        <f>IF(OpenLCAbasic!K6108="CTUh", "Fill in Manually",IF(OR(K6108="Unit", K6108=""), "", INDEX(LookUps!$E$5:$E$12, MATCH(OpenLCAbasic!K6108,LookUps!$D$5:$D$12,0))))</f>
        <v>Water Use (WU) - m3 H2O</v>
      </c>
      <c r="M6108" s="154" t="str">
        <f t="shared" si="436"/>
        <v>Low_Medium_Low_Upgraded_Water Use (WU) - m3 H2O_Wastewater collection; operation and infrastructure; m3 wastewater_Without Amendment_Windrow</v>
      </c>
    </row>
    <row r="6109" spans="1:13" s="120" customFormat="1" x14ac:dyDescent="0.25">
      <c r="A6109" s="119"/>
      <c r="B6109" s="138" t="str">
        <f t="shared" si="434"/>
        <v>Windrow</v>
      </c>
      <c r="C6109" s="138" t="str">
        <f t="shared" si="437"/>
        <v>Without Amendment</v>
      </c>
      <c r="D6109" s="138" t="str">
        <f t="shared" si="439"/>
        <v>Medium_Low</v>
      </c>
      <c r="E6109" s="138" t="str">
        <f t="shared" si="438"/>
        <v>Low</v>
      </c>
      <c r="F6109" s="138" t="str">
        <f t="shared" si="435"/>
        <v>Upgraded</v>
      </c>
      <c r="G6109" s="153"/>
      <c r="H6109" s="210">
        <v>1.8200000000000001E-2</v>
      </c>
      <c r="I6109" s="160" t="s">
        <v>271</v>
      </c>
      <c r="J6109" s="211">
        <v>1.6364900000000001E-6</v>
      </c>
      <c r="K6109" s="160" t="s">
        <v>26</v>
      </c>
      <c r="L6109" s="154" t="str">
        <f>IF(OpenLCAbasic!K6109="CTUh", "Fill in Manually",IF(OR(K6109="Unit", K6109=""), "", INDEX(LookUps!$E$5:$E$12, MATCH(OpenLCAbasic!K6109,LookUps!$D$5:$D$12,0))))</f>
        <v>Water Use (WU) - m3 H2O</v>
      </c>
      <c r="M6109" s="154" t="str">
        <f t="shared" si="436"/>
        <v>Low_Medium_Low_Upgraded_Water Use (WU) - m3 H2O_Biosolids composting; windrow composting; wastewater treatment unit; at updated plant - US_Without Amendment_Windrow</v>
      </c>
    </row>
    <row r="6110" spans="1:13" s="120" customFormat="1" x14ac:dyDescent="0.25">
      <c r="A6110" s="119"/>
      <c r="B6110" s="138" t="str">
        <f t="shared" si="434"/>
        <v>Windrow</v>
      </c>
      <c r="C6110" s="138" t="str">
        <f t="shared" si="437"/>
        <v>Without Amendment</v>
      </c>
      <c r="D6110" s="138" t="str">
        <f t="shared" si="439"/>
        <v>Medium_Low</v>
      </c>
      <c r="E6110" s="138" t="str">
        <f t="shared" si="438"/>
        <v>Low</v>
      </c>
      <c r="F6110" s="138" t="str">
        <f t="shared" si="435"/>
        <v>Upgraded</v>
      </c>
      <c r="G6110" s="153"/>
      <c r="H6110" s="210">
        <v>8.5000000000000006E-3</v>
      </c>
      <c r="I6110" s="160" t="s">
        <v>168</v>
      </c>
      <c r="J6110" s="211">
        <v>7.6697000000000004E-7</v>
      </c>
      <c r="K6110" s="160" t="s">
        <v>26</v>
      </c>
      <c r="L6110" s="154" t="str">
        <f>IF(OpenLCAbasic!K6110="CTUh", "Fill in Manually",IF(OR(K6110="Unit", K6110=""), "", INDEX(LookUps!$E$5:$E$12, MATCH(OpenLCAbasic!K6110,LookUps!$D$5:$D$12,0))))</f>
        <v>Water Use (WU) - m3 H2O</v>
      </c>
      <c r="M6110" s="154" t="str">
        <f t="shared" si="436"/>
        <v>Low_Medium_Low_Upgraded_Water Use (WU) - m3 H2O_ClearCove SCP; wastewater treatment unit; at updated plant - US_Without Amendment_Windrow</v>
      </c>
    </row>
    <row r="6111" spans="1:13" s="120" customFormat="1" x14ac:dyDescent="0.25">
      <c r="A6111" s="119"/>
      <c r="B6111" s="138" t="str">
        <f t="shared" si="434"/>
        <v>Windrow</v>
      </c>
      <c r="C6111" s="138" t="str">
        <f t="shared" si="437"/>
        <v>Without Amendment</v>
      </c>
      <c r="D6111" s="138" t="str">
        <f t="shared" si="439"/>
        <v>Medium_Low</v>
      </c>
      <c r="E6111" s="138" t="str">
        <f t="shared" si="438"/>
        <v>Low</v>
      </c>
      <c r="F6111" s="138" t="str">
        <f t="shared" si="435"/>
        <v>Upgraded</v>
      </c>
      <c r="G6111" s="153"/>
      <c r="H6111" s="210">
        <v>-12.2371</v>
      </c>
      <c r="I6111" s="160" t="s">
        <v>62</v>
      </c>
      <c r="J6111" s="160">
        <v>-1.1000000000000001E-3</v>
      </c>
      <c r="K6111" s="160" t="s">
        <v>26</v>
      </c>
      <c r="L6111" s="154" t="str">
        <f>IF(OpenLCAbasic!K6111="CTUh", "Fill in Manually",IF(OR(K6111="Unit", K6111=""), "", INDEX(LookUps!$E$5:$E$12, MATCH(OpenLCAbasic!K6111,LookUps!$D$5:$D$12,0))))</f>
        <v>Water Use (WU) - m3 H2O</v>
      </c>
      <c r="M6111" s="154" t="str">
        <f t="shared" si="436"/>
        <v>Low_Medium_Low_Upgraded_Water Use (WU) - m3 H2O_Land application of compost; wastewater treatment unit; at updated plant - US_Without Amendment_Windrow</v>
      </c>
    </row>
    <row r="6112" spans="1:13" s="120" customFormat="1" x14ac:dyDescent="0.25">
      <c r="A6112" s="119"/>
      <c r="B6112" s="138" t="str">
        <f t="shared" si="434"/>
        <v/>
      </c>
      <c r="C6112" s="138" t="str">
        <f t="shared" si="437"/>
        <v/>
      </c>
      <c r="D6112" s="138" t="str">
        <f>IF(ISNUMBER($J6112),"Medium_Base","")</f>
        <v/>
      </c>
      <c r="E6112" s="138" t="str">
        <f t="shared" si="438"/>
        <v/>
      </c>
      <c r="F6112" s="138" t="str">
        <f t="shared" si="435"/>
        <v/>
      </c>
      <c r="G6112" s="153" t="s">
        <v>51</v>
      </c>
      <c r="H6112" s="160"/>
      <c r="I6112" s="160" t="s">
        <v>47</v>
      </c>
      <c r="J6112" s="160" t="s">
        <v>52</v>
      </c>
      <c r="K6112" s="160" t="s">
        <v>27</v>
      </c>
      <c r="L6112" s="154" t="str">
        <f>IF(OpenLCAbasic!K6112="CTUh", "Fill in Manually",IF(OR(K6112="Unit", K6112=""), "", INDEX(LookUps!$E$5:$E$12, MATCH(OpenLCAbasic!K6112,LookUps!$D$5:$D$12,0))))</f>
        <v/>
      </c>
      <c r="M6112" s="154" t="str">
        <f t="shared" si="436"/>
        <v>____Process__</v>
      </c>
    </row>
    <row r="6113" spans="1:13" s="120" customFormat="1" x14ac:dyDescent="0.25">
      <c r="A6113" s="119"/>
      <c r="B6113" s="138" t="str">
        <f t="shared" si="434"/>
        <v>Windrow</v>
      </c>
      <c r="C6113" s="138" t="str">
        <f t="shared" si="437"/>
        <v>Without Amendment</v>
      </c>
      <c r="D6113" s="138" t="str">
        <f t="shared" ref="D6113:D6176" si="440">IF(ISNUMBER($J6113),"Medium_Base","")</f>
        <v>Medium_Base</v>
      </c>
      <c r="E6113" s="138" t="str">
        <f t="shared" si="438"/>
        <v>Low</v>
      </c>
      <c r="F6113" s="138" t="str">
        <f t="shared" si="435"/>
        <v>Upgraded</v>
      </c>
      <c r="G6113" s="153"/>
      <c r="H6113" s="210">
        <v>0.76039999999999996</v>
      </c>
      <c r="I6113" s="160" t="s">
        <v>55</v>
      </c>
      <c r="J6113" s="160">
        <v>1.7219999999999999E-2</v>
      </c>
      <c r="K6113" s="160" t="s">
        <v>24</v>
      </c>
      <c r="L6113" s="154" t="str">
        <f>IF(OpenLCAbasic!K6113="CTUh", "Fill in Manually",IF(OR(K6113="Unit", K6113=""), "", INDEX(LookUps!$E$5:$E$12, MATCH(OpenLCAbasic!K6113,LookUps!$D$5:$D$12,0))))</f>
        <v>Acidification Potential (AP) - kg SO2 eq</v>
      </c>
      <c r="M6113" s="154" t="str">
        <f t="shared" si="436"/>
        <v>Low_Medium_Base_Upgraded_Acidification Potential (AP) - kg SO2 eq_Aeration Tanks; wastewater treatment unit; at updated plant - US_Without Amendment_Windrow</v>
      </c>
    </row>
    <row r="6114" spans="1:13" s="120" customFormat="1" x14ac:dyDescent="0.25">
      <c r="A6114" s="119"/>
      <c r="B6114" s="138" t="str">
        <f t="shared" si="434"/>
        <v>Windrow</v>
      </c>
      <c r="C6114" s="138" t="str">
        <f t="shared" si="437"/>
        <v>Without Amendment</v>
      </c>
      <c r="D6114" s="138" t="str">
        <f t="shared" si="440"/>
        <v>Medium_Base</v>
      </c>
      <c r="E6114" s="138" t="str">
        <f t="shared" si="438"/>
        <v>Low</v>
      </c>
      <c r="F6114" s="138" t="str">
        <f t="shared" si="435"/>
        <v>Upgraded</v>
      </c>
      <c r="G6114" s="153"/>
      <c r="H6114" s="210">
        <v>0.21990000000000001</v>
      </c>
      <c r="I6114" s="160" t="s">
        <v>54</v>
      </c>
      <c r="J6114" s="160">
        <v>4.9800000000000001E-3</v>
      </c>
      <c r="K6114" s="160" t="s">
        <v>24</v>
      </c>
      <c r="L6114" s="154" t="str">
        <f>IF(OpenLCAbasic!K6114="CTUh", "Fill in Manually",IF(OR(K6114="Unit", K6114=""), "", INDEX(LookUps!$E$5:$E$12, MATCH(OpenLCAbasic!K6114,LookUps!$D$5:$D$12,0))))</f>
        <v>Acidification Potential (AP) - kg SO2 eq</v>
      </c>
      <c r="M6114" s="154" t="str">
        <f t="shared" si="436"/>
        <v>Low_Medium_Base_Upgraded_Acidification Potential (AP) - kg SO2 eq_Clear Cove Primary Clarification; wastewater treatment unit; at updated plant - US_Without Amendment_Windrow</v>
      </c>
    </row>
    <row r="6115" spans="1:13" s="120" customFormat="1" x14ac:dyDescent="0.25">
      <c r="A6115" s="119"/>
      <c r="B6115" s="138" t="str">
        <f t="shared" si="434"/>
        <v>Windrow</v>
      </c>
      <c r="C6115" s="138" t="str">
        <f t="shared" si="437"/>
        <v>Without Amendment</v>
      </c>
      <c r="D6115" s="138" t="str">
        <f t="shared" si="440"/>
        <v>Medium_Base</v>
      </c>
      <c r="E6115" s="138" t="str">
        <f t="shared" si="438"/>
        <v>Low</v>
      </c>
      <c r="F6115" s="138" t="str">
        <f t="shared" si="435"/>
        <v>Upgraded</v>
      </c>
      <c r="G6115" s="153"/>
      <c r="H6115" s="210">
        <v>0.19189999999999999</v>
      </c>
      <c r="I6115" s="160" t="s">
        <v>58</v>
      </c>
      <c r="J6115" s="160">
        <v>4.3499999999999997E-3</v>
      </c>
      <c r="K6115" s="160" t="s">
        <v>24</v>
      </c>
      <c r="L6115" s="154" t="str">
        <f>IF(OpenLCAbasic!K6115="CTUh", "Fill in Manually",IF(OR(K6115="Unit", K6115=""), "", INDEX(LookUps!$E$5:$E$12, MATCH(OpenLCAbasic!K6115,LookUps!$D$5:$D$12,0))))</f>
        <v>Acidification Potential (AP) - kg SO2 eq</v>
      </c>
      <c r="M6115" s="154" t="str">
        <f t="shared" si="436"/>
        <v>Low_Medium_Base_Upgraded_Acidification Potential (AP) - kg SO2 eq_Pre-Anoxic &amp; Swing tank; wastewater treatment unit; at updated plant - US_Without Amendment_Windrow</v>
      </c>
    </row>
    <row r="6116" spans="1:13" s="120" customFormat="1" x14ac:dyDescent="0.25">
      <c r="A6116" s="119"/>
      <c r="B6116" s="138" t="str">
        <f t="shared" si="434"/>
        <v>Windrow</v>
      </c>
      <c r="C6116" s="138" t="str">
        <f t="shared" si="437"/>
        <v>Without Amendment</v>
      </c>
      <c r="D6116" s="138" t="str">
        <f t="shared" si="440"/>
        <v>Medium_Base</v>
      </c>
      <c r="E6116" s="138" t="str">
        <f t="shared" si="438"/>
        <v>Low</v>
      </c>
      <c r="F6116" s="138" t="str">
        <f t="shared" si="435"/>
        <v>Upgraded</v>
      </c>
      <c r="G6116" s="153"/>
      <c r="H6116" s="210">
        <v>0.15240000000000001</v>
      </c>
      <c r="I6116" s="160" t="s">
        <v>53</v>
      </c>
      <c r="J6116" s="160">
        <v>3.4499999999999999E-3</v>
      </c>
      <c r="K6116" s="160" t="s">
        <v>24</v>
      </c>
      <c r="L6116" s="154" t="str">
        <f>IF(OpenLCAbasic!K6116="CTUh", "Fill in Manually",IF(OR(K6116="Unit", K6116=""), "", INDEX(LookUps!$E$5:$E$12, MATCH(OpenLCAbasic!K6116,LookUps!$D$5:$D$12,0))))</f>
        <v>Acidification Potential (AP) - kg SO2 eq</v>
      </c>
      <c r="M6116" s="154" t="str">
        <f t="shared" si="436"/>
        <v>Low_Medium_Base_Upgraded_Acidification Potential (AP) - kg SO2 eq_Wet Well and Sump Station; wastewater treatment unit; at updated plant - US_Without Amendment_Windrow</v>
      </c>
    </row>
    <row r="6117" spans="1:13" s="120" customFormat="1" x14ac:dyDescent="0.25">
      <c r="A6117" s="119"/>
      <c r="B6117" s="138" t="str">
        <f t="shared" si="434"/>
        <v>Windrow</v>
      </c>
      <c r="C6117" s="138" t="str">
        <f t="shared" si="437"/>
        <v>Without Amendment</v>
      </c>
      <c r="D6117" s="138" t="str">
        <f t="shared" si="440"/>
        <v>Medium_Base</v>
      </c>
      <c r="E6117" s="138" t="str">
        <f t="shared" si="438"/>
        <v>Low</v>
      </c>
      <c r="F6117" s="138" t="str">
        <f t="shared" si="435"/>
        <v>Upgraded</v>
      </c>
      <c r="G6117" s="153"/>
      <c r="H6117" s="210">
        <v>0.11799999999999999</v>
      </c>
      <c r="I6117" s="160" t="s">
        <v>62</v>
      </c>
      <c r="J6117" s="160">
        <v>2.6700000000000001E-3</v>
      </c>
      <c r="K6117" s="160" t="s">
        <v>24</v>
      </c>
      <c r="L6117" s="154" t="str">
        <f>IF(OpenLCAbasic!K6117="CTUh", "Fill in Manually",IF(OR(K6117="Unit", K6117=""), "", INDEX(LookUps!$E$5:$E$12, MATCH(OpenLCAbasic!K6117,LookUps!$D$5:$D$12,0))))</f>
        <v>Acidification Potential (AP) - kg SO2 eq</v>
      </c>
      <c r="M6117" s="154" t="str">
        <f t="shared" si="436"/>
        <v>Low_Medium_Base_Upgraded_Acidification Potential (AP) - kg SO2 eq_Land application of compost; wastewater treatment unit; at updated plant - US_Without Amendment_Windrow</v>
      </c>
    </row>
    <row r="6118" spans="1:13" s="120" customFormat="1" x14ac:dyDescent="0.25">
      <c r="A6118" s="119"/>
      <c r="B6118" s="138" t="str">
        <f t="shared" si="434"/>
        <v>Windrow</v>
      </c>
      <c r="C6118" s="138" t="str">
        <f t="shared" si="437"/>
        <v>Without Amendment</v>
      </c>
      <c r="D6118" s="138" t="str">
        <f t="shared" si="440"/>
        <v>Medium_Base</v>
      </c>
      <c r="E6118" s="138" t="str">
        <f t="shared" si="438"/>
        <v>Low</v>
      </c>
      <c r="F6118" s="138" t="str">
        <f t="shared" si="435"/>
        <v>Upgraded</v>
      </c>
      <c r="G6118" s="153"/>
      <c r="H6118" s="210">
        <v>0.1118</v>
      </c>
      <c r="I6118" s="160" t="s">
        <v>167</v>
      </c>
      <c r="J6118" s="160">
        <v>2.5300000000000001E-3</v>
      </c>
      <c r="K6118" s="160" t="s">
        <v>24</v>
      </c>
      <c r="L6118" s="154" t="str">
        <f>IF(OpenLCAbasic!K6118="CTUh", "Fill in Manually",IF(OR(K6118="Unit", K6118=""), "", INDEX(LookUps!$E$5:$E$12, MATCH(OpenLCAbasic!K6118,LookUps!$D$5:$D$12,0))))</f>
        <v>Acidification Potential (AP) - kg SO2 eq</v>
      </c>
      <c r="M6118" s="154" t="str">
        <f t="shared" si="436"/>
        <v>Low_Medium_Base_Upgraded_Acidification Potential (AP) - kg SO2 eq_Waste Receiving and Holding; wastewater treatment unit; at updated plant - US_Without Amendment_Windrow</v>
      </c>
    </row>
    <row r="6119" spans="1:13" s="120" customFormat="1" x14ac:dyDescent="0.25">
      <c r="A6119" s="119"/>
      <c r="B6119" s="138" t="str">
        <f t="shared" si="434"/>
        <v>Windrow</v>
      </c>
      <c r="C6119" s="138" t="str">
        <f t="shared" si="437"/>
        <v>Without Amendment</v>
      </c>
      <c r="D6119" s="138" t="str">
        <f t="shared" si="440"/>
        <v>Medium_Base</v>
      </c>
      <c r="E6119" s="138" t="str">
        <f t="shared" si="438"/>
        <v>Low</v>
      </c>
      <c r="F6119" s="138" t="str">
        <f t="shared" si="435"/>
        <v>Upgraded</v>
      </c>
      <c r="G6119" s="153"/>
      <c r="H6119" s="210">
        <v>9.1300000000000006E-2</v>
      </c>
      <c r="I6119" s="160" t="s">
        <v>147</v>
      </c>
      <c r="J6119" s="160">
        <v>2.0699999999999998E-3</v>
      </c>
      <c r="K6119" s="160" t="s">
        <v>24</v>
      </c>
      <c r="L6119" s="154" t="str">
        <f>IF(OpenLCAbasic!K6119="CTUh", "Fill in Manually",IF(OR(K6119="Unit", K6119=""), "", INDEX(LookUps!$E$5:$E$12, MATCH(OpenLCAbasic!K6119,LookUps!$D$5:$D$12,0))))</f>
        <v>Acidification Potential (AP) - kg SO2 eq</v>
      </c>
      <c r="M6119" s="154" t="str">
        <f t="shared" si="436"/>
        <v>Low_Medium_Base_Upgraded_Acidification Potential (AP) - kg SO2 eq_Influent Pump Station; wastewater treatment unit; at updated plant - US_Without Amendment_Windrow</v>
      </c>
    </row>
    <row r="6120" spans="1:13" s="120" customFormat="1" x14ac:dyDescent="0.25">
      <c r="A6120" s="119"/>
      <c r="B6120" s="138" t="str">
        <f t="shared" ref="B6120:B6183" si="441">IF(F6120="Legacy","n.a.",IF(F6120="","","Windrow"))</f>
        <v>Windrow</v>
      </c>
      <c r="C6120" s="138" t="str">
        <f t="shared" si="437"/>
        <v>Without Amendment</v>
      </c>
      <c r="D6120" s="138" t="str">
        <f t="shared" si="440"/>
        <v>Medium_Base</v>
      </c>
      <c r="E6120" s="138" t="str">
        <f t="shared" si="438"/>
        <v>Low</v>
      </c>
      <c r="F6120" s="138" t="str">
        <f t="shared" ref="F6120:F6183" si="442">IF(ISNUMBER(J6120),"Upgraded","")</f>
        <v>Upgraded</v>
      </c>
      <c r="G6120" s="153"/>
      <c r="H6120" s="210">
        <v>5.4399999999999997E-2</v>
      </c>
      <c r="I6120" s="160" t="s">
        <v>128</v>
      </c>
      <c r="J6120" s="160">
        <v>1.23E-3</v>
      </c>
      <c r="K6120" s="160" t="s">
        <v>24</v>
      </c>
      <c r="L6120" s="154" t="str">
        <f>IF(OpenLCAbasic!K6120="CTUh", "Fill in Manually",IF(OR(K6120="Unit", K6120=""), "", INDEX(LookUps!$E$5:$E$12, MATCH(OpenLCAbasic!K6120,LookUps!$D$5:$D$12,0))))</f>
        <v>Acidification Potential (AP) - kg SO2 eq</v>
      </c>
      <c r="M6120" s="154" t="str">
        <f t="shared" si="436"/>
        <v>Low_Medium_Base_Upgraded_Acidification Potential (AP) - kg SO2 eq_Wastewater collection; operation and infrastructure; m3 wastewater_Without Amendment_Windrow</v>
      </c>
    </row>
    <row r="6121" spans="1:13" s="120" customFormat="1" x14ac:dyDescent="0.25">
      <c r="A6121" s="119"/>
      <c r="B6121" s="138" t="str">
        <f t="shared" si="441"/>
        <v>Windrow</v>
      </c>
      <c r="C6121" s="138" t="str">
        <f t="shared" si="437"/>
        <v>Without Amendment</v>
      </c>
      <c r="D6121" s="138" t="str">
        <f t="shared" si="440"/>
        <v>Medium_Base</v>
      </c>
      <c r="E6121" s="138" t="str">
        <f t="shared" si="438"/>
        <v>Low</v>
      </c>
      <c r="F6121" s="138" t="str">
        <f t="shared" si="442"/>
        <v>Upgraded</v>
      </c>
      <c r="G6121" s="153"/>
      <c r="H6121" s="210">
        <v>4.7100000000000003E-2</v>
      </c>
      <c r="I6121" s="160" t="s">
        <v>60</v>
      </c>
      <c r="J6121" s="160">
        <v>1.07E-3</v>
      </c>
      <c r="K6121" s="160" t="s">
        <v>24</v>
      </c>
      <c r="L6121" s="154" t="str">
        <f>IF(OpenLCAbasic!K6121="CTUh", "Fill in Manually",IF(OR(K6121="Unit", K6121=""), "", INDEX(LookUps!$E$5:$E$12, MATCH(OpenLCAbasic!K6121,LookUps!$D$5:$D$12,0))))</f>
        <v>Acidification Potential (AP) - kg SO2 eq</v>
      </c>
      <c r="M6121" s="154" t="str">
        <f t="shared" si="436"/>
        <v>Low_Medium_Base_Upgraded_Acidification Potential (AP) - kg SO2 eq_Belt filter press; wastewater treatment unit; at updated plant - US_Without Amendment_Windrow</v>
      </c>
    </row>
    <row r="6122" spans="1:13" s="120" customFormat="1" x14ac:dyDescent="0.25">
      <c r="A6122" s="119"/>
      <c r="B6122" s="138" t="str">
        <f t="shared" si="441"/>
        <v>Windrow</v>
      </c>
      <c r="C6122" s="138" t="str">
        <f t="shared" si="437"/>
        <v>Without Amendment</v>
      </c>
      <c r="D6122" s="138" t="str">
        <f t="shared" si="440"/>
        <v>Medium_Base</v>
      </c>
      <c r="E6122" s="138" t="str">
        <f t="shared" si="438"/>
        <v>Low</v>
      </c>
      <c r="F6122" s="138" t="str">
        <f t="shared" si="442"/>
        <v>Upgraded</v>
      </c>
      <c r="G6122" s="153"/>
      <c r="H6122" s="210">
        <v>4.1200000000000001E-2</v>
      </c>
      <c r="I6122" s="160" t="s">
        <v>271</v>
      </c>
      <c r="J6122" s="160">
        <v>9.3000000000000005E-4</v>
      </c>
      <c r="K6122" s="160" t="s">
        <v>24</v>
      </c>
      <c r="L6122" s="154" t="str">
        <f>IF(OpenLCAbasic!K6122="CTUh", "Fill in Manually",IF(OR(K6122="Unit", K6122=""), "", INDEX(LookUps!$E$5:$E$12, MATCH(OpenLCAbasic!K6122,LookUps!$D$5:$D$12,0))))</f>
        <v>Acidification Potential (AP) - kg SO2 eq</v>
      </c>
      <c r="M6122" s="154" t="str">
        <f t="shared" si="436"/>
        <v>Low_Medium_Base_Upgraded_Acidification Potential (AP) - kg SO2 eq_Biosolids composting; windrow composting; wastewater treatment unit; at updated plant - US_Without Amendment_Windrow</v>
      </c>
    </row>
    <row r="6123" spans="1:13" s="120" customFormat="1" x14ac:dyDescent="0.25">
      <c r="A6123" s="119"/>
      <c r="B6123" s="138" t="str">
        <f t="shared" si="441"/>
        <v>Windrow</v>
      </c>
      <c r="C6123" s="138" t="str">
        <f t="shared" si="437"/>
        <v>Without Amendment</v>
      </c>
      <c r="D6123" s="138" t="str">
        <f t="shared" si="440"/>
        <v>Medium_Base</v>
      </c>
      <c r="E6123" s="138" t="str">
        <f t="shared" si="438"/>
        <v>Low</v>
      </c>
      <c r="F6123" s="138" t="str">
        <f t="shared" si="442"/>
        <v>Upgraded</v>
      </c>
      <c r="G6123" s="153"/>
      <c r="H6123" s="210">
        <v>3.1099999999999999E-2</v>
      </c>
      <c r="I6123" s="160" t="s">
        <v>57</v>
      </c>
      <c r="J6123" s="160">
        <v>6.9999999999999999E-4</v>
      </c>
      <c r="K6123" s="160" t="s">
        <v>24</v>
      </c>
      <c r="L6123" s="154" t="str">
        <f>IF(OpenLCAbasic!K6123="CTUh", "Fill in Manually",IF(OR(K6123="Unit", K6123=""), "", INDEX(LookUps!$E$5:$E$12, MATCH(OpenLCAbasic!K6123,LookUps!$D$5:$D$12,0))))</f>
        <v>Acidification Potential (AP) - kg SO2 eq</v>
      </c>
      <c r="M6123" s="154" t="str">
        <f t="shared" si="436"/>
        <v>Low_Medium_Base_Upgraded_Acidification Potential (AP) - kg SO2 eq_Gravity Belt Thickener; wastewater treatment unit; at updated plant - US_Without Amendment_Windrow</v>
      </c>
    </row>
    <row r="6124" spans="1:13" s="120" customFormat="1" x14ac:dyDescent="0.25">
      <c r="A6124" s="119"/>
      <c r="B6124" s="138" t="str">
        <f t="shared" si="441"/>
        <v>Windrow</v>
      </c>
      <c r="C6124" s="138" t="str">
        <f t="shared" si="437"/>
        <v>Without Amendment</v>
      </c>
      <c r="D6124" s="138" t="str">
        <f t="shared" si="440"/>
        <v>Medium_Base</v>
      </c>
      <c r="E6124" s="138" t="str">
        <f t="shared" si="438"/>
        <v>Low</v>
      </c>
      <c r="F6124" s="138" t="str">
        <f t="shared" si="442"/>
        <v>Upgraded</v>
      </c>
      <c r="G6124" s="153"/>
      <c r="H6124" s="210">
        <v>2.2800000000000001E-2</v>
      </c>
      <c r="I6124" s="160" t="s">
        <v>59</v>
      </c>
      <c r="J6124" s="160">
        <v>5.1999999999999995E-4</v>
      </c>
      <c r="K6124" s="160" t="s">
        <v>24</v>
      </c>
      <c r="L6124" s="154" t="str">
        <f>IF(OpenLCAbasic!K6124="CTUh", "Fill in Manually",IF(OR(K6124="Unit", K6124=""), "", INDEX(LookUps!$E$5:$E$12, MATCH(OpenLCAbasic!K6124,LookUps!$D$5:$D$12,0))))</f>
        <v>Acidification Potential (AP) - kg SO2 eq</v>
      </c>
      <c r="M6124" s="154" t="str">
        <f t="shared" si="436"/>
        <v>Low_Medium_Base_Upgraded_Acidification Potential (AP) - kg SO2 eq_Blend Tank; wastewater treatment unit; at updated plant - US_Without Amendment_Windrow</v>
      </c>
    </row>
    <row r="6125" spans="1:13" s="120" customFormat="1" x14ac:dyDescent="0.25">
      <c r="A6125" s="119"/>
      <c r="B6125" s="138" t="str">
        <f t="shared" si="441"/>
        <v>Windrow</v>
      </c>
      <c r="C6125" s="138" t="str">
        <f t="shared" si="437"/>
        <v>Without Amendment</v>
      </c>
      <c r="D6125" s="138" t="str">
        <f t="shared" si="440"/>
        <v>Medium_Base</v>
      </c>
      <c r="E6125" s="138" t="str">
        <f t="shared" si="438"/>
        <v>Low</v>
      </c>
      <c r="F6125" s="138" t="str">
        <f t="shared" si="442"/>
        <v>Upgraded</v>
      </c>
      <c r="G6125" s="153"/>
      <c r="H6125" s="210">
        <v>1.5299999999999999E-2</v>
      </c>
      <c r="I6125" s="160" t="s">
        <v>48</v>
      </c>
      <c r="J6125" s="160">
        <v>3.5E-4</v>
      </c>
      <c r="K6125" s="160" t="s">
        <v>24</v>
      </c>
      <c r="L6125" s="154" t="str">
        <f>IF(OpenLCAbasic!K6125="CTUh", "Fill in Manually",IF(OR(K6125="Unit", K6125=""), "", INDEX(LookUps!$E$5:$E$12, MATCH(OpenLCAbasic!K6125,LookUps!$D$5:$D$12,0))))</f>
        <v>Acidification Potential (AP) - kg SO2 eq</v>
      </c>
      <c r="M6125" s="154" t="str">
        <f t="shared" si="436"/>
        <v>Low_Medium_Base_Upgraded_Acidification Potential (AP) - kg SO2 eq_Effluent release; wastewater treatment unit; at surface water; m3 wastewater - US_Without Amendment_Windrow</v>
      </c>
    </row>
    <row r="6126" spans="1:13" s="120" customFormat="1" x14ac:dyDescent="0.25">
      <c r="A6126" s="119"/>
      <c r="B6126" s="138" t="str">
        <f t="shared" si="441"/>
        <v>Windrow</v>
      </c>
      <c r="C6126" s="138" t="str">
        <f t="shared" si="437"/>
        <v>Without Amendment</v>
      </c>
      <c r="D6126" s="138" t="str">
        <f t="shared" si="440"/>
        <v>Medium_Base</v>
      </c>
      <c r="E6126" s="138" t="str">
        <f t="shared" si="438"/>
        <v>Low</v>
      </c>
      <c r="F6126" s="138" t="str">
        <f t="shared" si="442"/>
        <v>Upgraded</v>
      </c>
      <c r="G6126" s="153"/>
      <c r="H6126" s="210">
        <v>1.1299999999999999E-2</v>
      </c>
      <c r="I6126" s="160" t="s">
        <v>168</v>
      </c>
      <c r="J6126" s="160">
        <v>2.5999999999999998E-4</v>
      </c>
      <c r="K6126" s="160" t="s">
        <v>24</v>
      </c>
      <c r="L6126" s="154" t="str">
        <f>IF(OpenLCAbasic!K6126="CTUh", "Fill in Manually",IF(OR(K6126="Unit", K6126=""), "", INDEX(LookUps!$E$5:$E$12, MATCH(OpenLCAbasic!K6126,LookUps!$D$5:$D$12,0))))</f>
        <v>Acidification Potential (AP) - kg SO2 eq</v>
      </c>
      <c r="M6126" s="154" t="str">
        <f t="shared" si="436"/>
        <v>Low_Medium_Base_Upgraded_Acidification Potential (AP) - kg SO2 eq_ClearCove SCP; wastewater treatment unit; at updated plant - US_Without Amendment_Windrow</v>
      </c>
    </row>
    <row r="6127" spans="1:13" s="120" customFormat="1" x14ac:dyDescent="0.25">
      <c r="A6127" s="119"/>
      <c r="B6127" s="138" t="str">
        <f t="shared" si="441"/>
        <v>Windrow</v>
      </c>
      <c r="C6127" s="138" t="str">
        <f t="shared" si="437"/>
        <v>Without Amendment</v>
      </c>
      <c r="D6127" s="138" t="str">
        <f t="shared" si="440"/>
        <v>Medium_Base</v>
      </c>
      <c r="E6127" s="138" t="str">
        <f t="shared" si="438"/>
        <v>Low</v>
      </c>
      <c r="F6127" s="138" t="str">
        <f t="shared" si="442"/>
        <v>Upgraded</v>
      </c>
      <c r="G6127" s="153"/>
      <c r="H6127" s="210">
        <v>1.8E-3</v>
      </c>
      <c r="I6127" s="160" t="s">
        <v>148</v>
      </c>
      <c r="J6127" s="211">
        <v>4.0354700000000002E-5</v>
      </c>
      <c r="K6127" s="160" t="s">
        <v>24</v>
      </c>
      <c r="L6127" s="154" t="str">
        <f>IF(OpenLCAbasic!K6127="CTUh", "Fill in Manually",IF(OR(K6127="Unit", K6127=""), "", INDEX(LookUps!$E$5:$E$12, MATCH(OpenLCAbasic!K6127,LookUps!$D$5:$D$12,0))))</f>
        <v>Acidification Potential (AP) - kg SO2 eq</v>
      </c>
      <c r="M6127" s="154" t="str">
        <f t="shared" si="436"/>
        <v>Low_Medium_Base_Upgraded_Acidification Potential (AP) - kg SO2 eq_Control Building; at upgraded wastewater treatment plant - US_Without Amendment_Windrow</v>
      </c>
    </row>
    <row r="6128" spans="1:13" s="120" customFormat="1" x14ac:dyDescent="0.25">
      <c r="A6128" s="119"/>
      <c r="B6128" s="138" t="str">
        <f t="shared" si="441"/>
        <v>Windrow</v>
      </c>
      <c r="C6128" s="138" t="str">
        <f t="shared" si="437"/>
        <v>Without Amendment</v>
      </c>
      <c r="D6128" s="138" t="str">
        <f t="shared" si="440"/>
        <v>Medium_Base</v>
      </c>
      <c r="E6128" s="138" t="str">
        <f t="shared" si="438"/>
        <v>Low</v>
      </c>
      <c r="F6128" s="138" t="str">
        <f t="shared" si="442"/>
        <v>Upgraded</v>
      </c>
      <c r="G6128" s="153"/>
      <c r="H6128" s="210">
        <v>-0.87070000000000003</v>
      </c>
      <c r="I6128" s="160" t="s">
        <v>149</v>
      </c>
      <c r="J6128" s="160">
        <v>-1.9720000000000001E-2</v>
      </c>
      <c r="K6128" s="160" t="s">
        <v>24</v>
      </c>
      <c r="L6128" s="154" t="str">
        <f>IF(OpenLCAbasic!K6128="CTUh", "Fill in Manually",IF(OR(K6128="Unit", K6128=""), "", INDEX(LookUps!$E$5:$E$12, MATCH(OpenLCAbasic!K6128,LookUps!$D$5:$D$12,0))))</f>
        <v>Acidification Potential (AP) - kg SO2 eq</v>
      </c>
      <c r="M6128" s="154" t="str">
        <f t="shared" si="436"/>
        <v>Low_Medium_Base_Upgraded_Acidification Potential (AP) - kg SO2 eq_Anaerobic Digestion; wastewater treatment unit; at updated plant - US_Without Amendment_Windrow</v>
      </c>
    </row>
    <row r="6129" spans="1:13" s="120" customFormat="1" x14ac:dyDescent="0.25">
      <c r="A6129" s="119"/>
      <c r="B6129" s="138" t="str">
        <f t="shared" si="441"/>
        <v/>
      </c>
      <c r="C6129" s="138" t="str">
        <f t="shared" si="437"/>
        <v/>
      </c>
      <c r="D6129" s="138" t="str">
        <f t="shared" si="440"/>
        <v/>
      </c>
      <c r="E6129" s="138" t="str">
        <f t="shared" si="438"/>
        <v/>
      </c>
      <c r="F6129" s="138" t="str">
        <f t="shared" si="442"/>
        <v/>
      </c>
      <c r="G6129" s="153" t="s">
        <v>51</v>
      </c>
      <c r="H6129" s="160"/>
      <c r="I6129" s="160" t="s">
        <v>47</v>
      </c>
      <c r="J6129" s="160" t="s">
        <v>52</v>
      </c>
      <c r="K6129" s="160" t="s">
        <v>27</v>
      </c>
      <c r="L6129" s="154" t="str">
        <f>IF(OpenLCAbasic!K6129="CTUh", "Fill in Manually",IF(OR(K6129="Unit", K6129=""), "", INDEX(LookUps!$E$5:$E$12, MATCH(OpenLCAbasic!K6129,LookUps!$D$5:$D$12,0))))</f>
        <v/>
      </c>
      <c r="M6129" s="154" t="str">
        <f t="shared" si="436"/>
        <v>____Process__</v>
      </c>
    </row>
    <row r="6130" spans="1:13" s="120" customFormat="1" x14ac:dyDescent="0.25">
      <c r="A6130" s="119"/>
      <c r="B6130" s="138" t="str">
        <f t="shared" si="441"/>
        <v>Windrow</v>
      </c>
      <c r="C6130" s="138" t="str">
        <f t="shared" si="437"/>
        <v>Without Amendment</v>
      </c>
      <c r="D6130" s="138" t="str">
        <f t="shared" si="440"/>
        <v>Medium_Base</v>
      </c>
      <c r="E6130" s="138" t="str">
        <f t="shared" si="438"/>
        <v>Low</v>
      </c>
      <c r="F6130" s="138" t="str">
        <f t="shared" si="442"/>
        <v>Upgraded</v>
      </c>
      <c r="G6130" s="153"/>
      <c r="H6130" s="210">
        <v>1.0983000000000001</v>
      </c>
      <c r="I6130" s="160" t="s">
        <v>167</v>
      </c>
      <c r="J6130" s="160">
        <v>4.2789599999999997</v>
      </c>
      <c r="K6130" s="160" t="s">
        <v>15</v>
      </c>
      <c r="L6130" s="154" t="str">
        <f>IF(OpenLCAbasic!K6130="CTUh", "Fill in Manually",IF(OR(K6130="Unit", K6130=""), "", INDEX(LookUps!$E$5:$E$12, MATCH(OpenLCAbasic!K6130,LookUps!$D$5:$D$12,0))))</f>
        <v>Cumulative Energy Demand (CED) - MJ</v>
      </c>
      <c r="M6130" s="154" t="str">
        <f t="shared" si="436"/>
        <v>Low_Medium_Base_Upgraded_Cumulative Energy Demand (CED) - MJ_Waste Receiving and Holding; wastewater treatment unit; at updated plant - US_Without Amendment_Windrow</v>
      </c>
    </row>
    <row r="6131" spans="1:13" s="120" customFormat="1" x14ac:dyDescent="0.25">
      <c r="A6131" s="119"/>
      <c r="B6131" s="138" t="str">
        <f t="shared" si="441"/>
        <v>Windrow</v>
      </c>
      <c r="C6131" s="138" t="str">
        <f t="shared" si="437"/>
        <v>Without Amendment</v>
      </c>
      <c r="D6131" s="138" t="str">
        <f t="shared" si="440"/>
        <v>Medium_Base</v>
      </c>
      <c r="E6131" s="138" t="str">
        <f t="shared" si="438"/>
        <v>Low</v>
      </c>
      <c r="F6131" s="138" t="str">
        <f t="shared" si="442"/>
        <v>Upgraded</v>
      </c>
      <c r="G6131" s="153"/>
      <c r="H6131" s="210">
        <v>0.90680000000000005</v>
      </c>
      <c r="I6131" s="160" t="s">
        <v>55</v>
      </c>
      <c r="J6131" s="160">
        <v>3.5330499999999998</v>
      </c>
      <c r="K6131" s="160" t="s">
        <v>15</v>
      </c>
      <c r="L6131" s="154" t="str">
        <f>IF(OpenLCAbasic!K6131="CTUh", "Fill in Manually",IF(OR(K6131="Unit", K6131=""), "", INDEX(LookUps!$E$5:$E$12, MATCH(OpenLCAbasic!K6131,LookUps!$D$5:$D$12,0))))</f>
        <v>Cumulative Energy Demand (CED) - MJ</v>
      </c>
      <c r="M6131" s="154" t="str">
        <f t="shared" si="436"/>
        <v>Low_Medium_Base_Upgraded_Cumulative Energy Demand (CED) - MJ_Aeration Tanks; wastewater treatment unit; at updated plant - US_Without Amendment_Windrow</v>
      </c>
    </row>
    <row r="6132" spans="1:13" s="120" customFormat="1" x14ac:dyDescent="0.25">
      <c r="A6132" s="119"/>
      <c r="B6132" s="138" t="str">
        <f t="shared" si="441"/>
        <v>Windrow</v>
      </c>
      <c r="C6132" s="138" t="str">
        <f t="shared" si="437"/>
        <v>Without Amendment</v>
      </c>
      <c r="D6132" s="138" t="str">
        <f t="shared" si="440"/>
        <v>Medium_Base</v>
      </c>
      <c r="E6132" s="138" t="str">
        <f t="shared" si="438"/>
        <v>Low</v>
      </c>
      <c r="F6132" s="138" t="str">
        <f t="shared" si="442"/>
        <v>Upgraded</v>
      </c>
      <c r="G6132" s="153"/>
      <c r="H6132" s="210">
        <v>0.29849999999999999</v>
      </c>
      <c r="I6132" s="160" t="s">
        <v>54</v>
      </c>
      <c r="J6132" s="160">
        <v>1.16289</v>
      </c>
      <c r="K6132" s="160" t="s">
        <v>15</v>
      </c>
      <c r="L6132" s="154" t="str">
        <f>IF(OpenLCAbasic!K6132="CTUh", "Fill in Manually",IF(OR(K6132="Unit", K6132=""), "", INDEX(LookUps!$E$5:$E$12, MATCH(OpenLCAbasic!K6132,LookUps!$D$5:$D$12,0))))</f>
        <v>Cumulative Energy Demand (CED) - MJ</v>
      </c>
      <c r="M6132" s="154" t="str">
        <f t="shared" si="436"/>
        <v>Low_Medium_Base_Upgraded_Cumulative Energy Demand (CED) - MJ_Clear Cove Primary Clarification; wastewater treatment unit; at updated plant - US_Without Amendment_Windrow</v>
      </c>
    </row>
    <row r="6133" spans="1:13" s="120" customFormat="1" x14ac:dyDescent="0.25">
      <c r="A6133" s="119"/>
      <c r="B6133" s="138" t="str">
        <f t="shared" si="441"/>
        <v>Windrow</v>
      </c>
      <c r="C6133" s="138" t="str">
        <f t="shared" si="437"/>
        <v>Without Amendment</v>
      </c>
      <c r="D6133" s="138" t="str">
        <f t="shared" si="440"/>
        <v>Medium_Base</v>
      </c>
      <c r="E6133" s="138" t="str">
        <f t="shared" si="438"/>
        <v>Low</v>
      </c>
      <c r="F6133" s="138" t="str">
        <f t="shared" si="442"/>
        <v>Upgraded</v>
      </c>
      <c r="G6133" s="153"/>
      <c r="H6133" s="210">
        <v>0.22770000000000001</v>
      </c>
      <c r="I6133" s="160" t="s">
        <v>58</v>
      </c>
      <c r="J6133" s="160">
        <v>0.88705000000000001</v>
      </c>
      <c r="K6133" s="160" t="s">
        <v>15</v>
      </c>
      <c r="L6133" s="154" t="str">
        <f>IF(OpenLCAbasic!K6133="CTUh", "Fill in Manually",IF(OR(K6133="Unit", K6133=""), "", INDEX(LookUps!$E$5:$E$12, MATCH(OpenLCAbasic!K6133,LookUps!$D$5:$D$12,0))))</f>
        <v>Cumulative Energy Demand (CED) - MJ</v>
      </c>
      <c r="M6133" s="154" t="str">
        <f t="shared" si="436"/>
        <v>Low_Medium_Base_Upgraded_Cumulative Energy Demand (CED) - MJ_Pre-Anoxic &amp; Swing tank; wastewater treatment unit; at updated plant - US_Without Amendment_Windrow</v>
      </c>
    </row>
    <row r="6134" spans="1:13" s="120" customFormat="1" x14ac:dyDescent="0.25">
      <c r="A6134" s="119"/>
      <c r="B6134" s="138" t="str">
        <f t="shared" si="441"/>
        <v>Windrow</v>
      </c>
      <c r="C6134" s="138" t="str">
        <f t="shared" si="437"/>
        <v>Without Amendment</v>
      </c>
      <c r="D6134" s="138" t="str">
        <f t="shared" si="440"/>
        <v>Medium_Base</v>
      </c>
      <c r="E6134" s="138" t="str">
        <f t="shared" si="438"/>
        <v>Low</v>
      </c>
      <c r="F6134" s="138" t="str">
        <f t="shared" si="442"/>
        <v>Upgraded</v>
      </c>
      <c r="G6134" s="153"/>
      <c r="H6134" s="210">
        <v>0.2266</v>
      </c>
      <c r="I6134" s="160" t="s">
        <v>147</v>
      </c>
      <c r="J6134" s="160">
        <v>0.88297000000000003</v>
      </c>
      <c r="K6134" s="160" t="s">
        <v>15</v>
      </c>
      <c r="L6134" s="154" t="str">
        <f>IF(OpenLCAbasic!K6134="CTUh", "Fill in Manually",IF(OR(K6134="Unit", K6134=""), "", INDEX(LookUps!$E$5:$E$12, MATCH(OpenLCAbasic!K6134,LookUps!$D$5:$D$12,0))))</f>
        <v>Cumulative Energy Demand (CED) - MJ</v>
      </c>
      <c r="M6134" s="154" t="str">
        <f t="shared" si="436"/>
        <v>Low_Medium_Base_Upgraded_Cumulative Energy Demand (CED) - MJ_Influent Pump Station; wastewater treatment unit; at updated plant - US_Without Amendment_Windrow</v>
      </c>
    </row>
    <row r="6135" spans="1:13" s="120" customFormat="1" x14ac:dyDescent="0.25">
      <c r="A6135" s="119"/>
      <c r="B6135" s="138" t="str">
        <f t="shared" si="441"/>
        <v>Windrow</v>
      </c>
      <c r="C6135" s="138" t="str">
        <f t="shared" si="437"/>
        <v>Without Amendment</v>
      </c>
      <c r="D6135" s="138" t="str">
        <f t="shared" si="440"/>
        <v>Medium_Base</v>
      </c>
      <c r="E6135" s="138" t="str">
        <f t="shared" si="438"/>
        <v>Low</v>
      </c>
      <c r="F6135" s="138" t="str">
        <f t="shared" si="442"/>
        <v>Upgraded</v>
      </c>
      <c r="G6135" s="153"/>
      <c r="H6135" s="210">
        <v>0.17879999999999999</v>
      </c>
      <c r="I6135" s="160" t="s">
        <v>53</v>
      </c>
      <c r="J6135" s="160">
        <v>0.69645000000000001</v>
      </c>
      <c r="K6135" s="160" t="s">
        <v>15</v>
      </c>
      <c r="L6135" s="154" t="str">
        <f>IF(OpenLCAbasic!K6135="CTUh", "Fill in Manually",IF(OR(K6135="Unit", K6135=""), "", INDEX(LookUps!$E$5:$E$12, MATCH(OpenLCAbasic!K6135,LookUps!$D$5:$D$12,0))))</f>
        <v>Cumulative Energy Demand (CED) - MJ</v>
      </c>
      <c r="M6135" s="154" t="str">
        <f t="shared" si="436"/>
        <v>Low_Medium_Base_Upgraded_Cumulative Energy Demand (CED) - MJ_Wet Well and Sump Station; wastewater treatment unit; at updated plant - US_Without Amendment_Windrow</v>
      </c>
    </row>
    <row r="6136" spans="1:13" s="120" customFormat="1" x14ac:dyDescent="0.25">
      <c r="A6136" s="119"/>
      <c r="B6136" s="138" t="str">
        <f t="shared" si="441"/>
        <v>Windrow</v>
      </c>
      <c r="C6136" s="138" t="str">
        <f t="shared" si="437"/>
        <v>Without Amendment</v>
      </c>
      <c r="D6136" s="138" t="str">
        <f t="shared" si="440"/>
        <v>Medium_Base</v>
      </c>
      <c r="E6136" s="138" t="str">
        <f t="shared" si="438"/>
        <v>Low</v>
      </c>
      <c r="F6136" s="138" t="str">
        <f t="shared" si="442"/>
        <v>Upgraded</v>
      </c>
      <c r="G6136" s="153"/>
      <c r="H6136" s="210">
        <v>0.1022</v>
      </c>
      <c r="I6136" s="160" t="s">
        <v>60</v>
      </c>
      <c r="J6136" s="160">
        <v>0.39804</v>
      </c>
      <c r="K6136" s="160" t="s">
        <v>15</v>
      </c>
      <c r="L6136" s="154" t="str">
        <f>IF(OpenLCAbasic!K6136="CTUh", "Fill in Manually",IF(OR(K6136="Unit", K6136=""), "", INDEX(LookUps!$E$5:$E$12, MATCH(OpenLCAbasic!K6136,LookUps!$D$5:$D$12,0))))</f>
        <v>Cumulative Energy Demand (CED) - MJ</v>
      </c>
      <c r="M6136" s="154" t="str">
        <f t="shared" si="436"/>
        <v>Low_Medium_Base_Upgraded_Cumulative Energy Demand (CED) - MJ_Belt filter press; wastewater treatment unit; at updated plant - US_Without Amendment_Windrow</v>
      </c>
    </row>
    <row r="6137" spans="1:13" s="120" customFormat="1" x14ac:dyDescent="0.25">
      <c r="A6137" s="119"/>
      <c r="B6137" s="138" t="str">
        <f t="shared" si="441"/>
        <v>Windrow</v>
      </c>
      <c r="C6137" s="138" t="str">
        <f t="shared" si="437"/>
        <v>Without Amendment</v>
      </c>
      <c r="D6137" s="138" t="str">
        <f t="shared" si="440"/>
        <v>Medium_Base</v>
      </c>
      <c r="E6137" s="138" t="str">
        <f t="shared" si="438"/>
        <v>Low</v>
      </c>
      <c r="F6137" s="138" t="str">
        <f t="shared" si="442"/>
        <v>Upgraded</v>
      </c>
      <c r="G6137" s="153"/>
      <c r="H6137" s="210">
        <v>8.5699999999999998E-2</v>
      </c>
      <c r="I6137" s="160" t="s">
        <v>57</v>
      </c>
      <c r="J6137" s="160">
        <v>0.33404</v>
      </c>
      <c r="K6137" s="160" t="s">
        <v>15</v>
      </c>
      <c r="L6137" s="154" t="str">
        <f>IF(OpenLCAbasic!K6137="CTUh", "Fill in Manually",IF(OR(K6137="Unit", K6137=""), "", INDEX(LookUps!$E$5:$E$12, MATCH(OpenLCAbasic!K6137,LookUps!$D$5:$D$12,0))))</f>
        <v>Cumulative Energy Demand (CED) - MJ</v>
      </c>
      <c r="M6137" s="154" t="str">
        <f t="shared" si="436"/>
        <v>Low_Medium_Base_Upgraded_Cumulative Energy Demand (CED) - MJ_Gravity Belt Thickener; wastewater treatment unit; at updated plant - US_Without Amendment_Windrow</v>
      </c>
    </row>
    <row r="6138" spans="1:13" s="120" customFormat="1" x14ac:dyDescent="0.25">
      <c r="A6138" s="119"/>
      <c r="B6138" s="138" t="str">
        <f t="shared" si="441"/>
        <v>Windrow</v>
      </c>
      <c r="C6138" s="138" t="str">
        <f t="shared" si="437"/>
        <v>Without Amendment</v>
      </c>
      <c r="D6138" s="138" t="str">
        <f t="shared" si="440"/>
        <v>Medium_Base</v>
      </c>
      <c r="E6138" s="138" t="str">
        <f t="shared" si="438"/>
        <v>Low</v>
      </c>
      <c r="F6138" s="138" t="str">
        <f t="shared" si="442"/>
        <v>Upgraded</v>
      </c>
      <c r="G6138" s="153"/>
      <c r="H6138" s="210">
        <v>6.5699999999999995E-2</v>
      </c>
      <c r="I6138" s="160" t="s">
        <v>128</v>
      </c>
      <c r="J6138" s="160">
        <v>0.25606000000000001</v>
      </c>
      <c r="K6138" s="160" t="s">
        <v>15</v>
      </c>
      <c r="L6138" s="154" t="str">
        <f>IF(OpenLCAbasic!K6138="CTUh", "Fill in Manually",IF(OR(K6138="Unit", K6138=""), "", INDEX(LookUps!$E$5:$E$12, MATCH(OpenLCAbasic!K6138,LookUps!$D$5:$D$12,0))))</f>
        <v>Cumulative Energy Demand (CED) - MJ</v>
      </c>
      <c r="M6138" s="154" t="str">
        <f t="shared" si="436"/>
        <v>Low_Medium_Base_Upgraded_Cumulative Energy Demand (CED) - MJ_Wastewater collection; operation and infrastructure; m3 wastewater_Without Amendment_Windrow</v>
      </c>
    </row>
    <row r="6139" spans="1:13" s="120" customFormat="1" x14ac:dyDescent="0.25">
      <c r="A6139" s="119"/>
      <c r="B6139" s="138" t="str">
        <f t="shared" si="441"/>
        <v>Windrow</v>
      </c>
      <c r="C6139" s="138" t="str">
        <f t="shared" si="437"/>
        <v>Without Amendment</v>
      </c>
      <c r="D6139" s="138" t="str">
        <f t="shared" si="440"/>
        <v>Medium_Base</v>
      </c>
      <c r="E6139" s="138" t="str">
        <f t="shared" si="438"/>
        <v>Low</v>
      </c>
      <c r="F6139" s="138" t="str">
        <f t="shared" si="442"/>
        <v>Upgraded</v>
      </c>
      <c r="G6139" s="153"/>
      <c r="H6139" s="210">
        <v>3.7499999999999999E-2</v>
      </c>
      <c r="I6139" s="160" t="s">
        <v>148</v>
      </c>
      <c r="J6139" s="160">
        <v>0.14599000000000001</v>
      </c>
      <c r="K6139" s="160" t="s">
        <v>15</v>
      </c>
      <c r="L6139" s="154" t="str">
        <f>IF(OpenLCAbasic!K6139="CTUh", "Fill in Manually",IF(OR(K6139="Unit", K6139=""), "", INDEX(LookUps!$E$5:$E$12, MATCH(OpenLCAbasic!K6139,LookUps!$D$5:$D$12,0))))</f>
        <v>Cumulative Energy Demand (CED) - MJ</v>
      </c>
      <c r="M6139" s="154" t="str">
        <f t="shared" ref="M6139:M6202" si="443">CONCATENATE(E6139,"_",D6139,"_",F6139,"_",L6139, "_",I6139,"_", C6139,"_", B6139)</f>
        <v>Low_Medium_Base_Upgraded_Cumulative Energy Demand (CED) - MJ_Control Building; at upgraded wastewater treatment plant - US_Without Amendment_Windrow</v>
      </c>
    </row>
    <row r="6140" spans="1:13" s="120" customFormat="1" x14ac:dyDescent="0.25">
      <c r="A6140" s="119"/>
      <c r="B6140" s="138" t="str">
        <f t="shared" si="441"/>
        <v>Windrow</v>
      </c>
      <c r="C6140" s="138" t="str">
        <f t="shared" si="437"/>
        <v>Without Amendment</v>
      </c>
      <c r="D6140" s="138" t="str">
        <f t="shared" si="440"/>
        <v>Medium_Base</v>
      </c>
      <c r="E6140" s="138" t="str">
        <f t="shared" si="438"/>
        <v>Low</v>
      </c>
      <c r="F6140" s="138" t="str">
        <f t="shared" si="442"/>
        <v>Upgraded</v>
      </c>
      <c r="G6140" s="153"/>
      <c r="H6140" s="210">
        <v>3.4200000000000001E-2</v>
      </c>
      <c r="I6140" s="160" t="s">
        <v>48</v>
      </c>
      <c r="J6140" s="160">
        <v>0.13321</v>
      </c>
      <c r="K6140" s="160" t="s">
        <v>15</v>
      </c>
      <c r="L6140" s="154" t="str">
        <f>IF(OpenLCAbasic!K6140="CTUh", "Fill in Manually",IF(OR(K6140="Unit", K6140=""), "", INDEX(LookUps!$E$5:$E$12, MATCH(OpenLCAbasic!K6140,LookUps!$D$5:$D$12,0))))</f>
        <v>Cumulative Energy Demand (CED) - MJ</v>
      </c>
      <c r="M6140" s="154" t="str">
        <f t="shared" si="443"/>
        <v>Low_Medium_Base_Upgraded_Cumulative Energy Demand (CED) - MJ_Effluent release; wastewater treatment unit; at surface water; m3 wastewater - US_Without Amendment_Windrow</v>
      </c>
    </row>
    <row r="6141" spans="1:13" s="120" customFormat="1" x14ac:dyDescent="0.25">
      <c r="A6141" s="119"/>
      <c r="B6141" s="138" t="str">
        <f t="shared" si="441"/>
        <v>Windrow</v>
      </c>
      <c r="C6141" s="138" t="str">
        <f t="shared" si="437"/>
        <v>Without Amendment</v>
      </c>
      <c r="D6141" s="138" t="str">
        <f t="shared" si="440"/>
        <v>Medium_Base</v>
      </c>
      <c r="E6141" s="138" t="str">
        <f t="shared" si="438"/>
        <v>Low</v>
      </c>
      <c r="F6141" s="138" t="str">
        <f t="shared" si="442"/>
        <v>Upgraded</v>
      </c>
      <c r="G6141" s="153"/>
      <c r="H6141" s="210">
        <v>2.7300000000000001E-2</v>
      </c>
      <c r="I6141" s="160" t="s">
        <v>59</v>
      </c>
      <c r="J6141" s="160">
        <v>0.10638</v>
      </c>
      <c r="K6141" s="160" t="s">
        <v>15</v>
      </c>
      <c r="L6141" s="154" t="str">
        <f>IF(OpenLCAbasic!K6141="CTUh", "Fill in Manually",IF(OR(K6141="Unit", K6141=""), "", INDEX(LookUps!$E$5:$E$12, MATCH(OpenLCAbasic!K6141,LookUps!$D$5:$D$12,0))))</f>
        <v>Cumulative Energy Demand (CED) - MJ</v>
      </c>
      <c r="M6141" s="154" t="str">
        <f t="shared" si="443"/>
        <v>Low_Medium_Base_Upgraded_Cumulative Energy Demand (CED) - MJ_Blend Tank; wastewater treatment unit; at updated plant - US_Without Amendment_Windrow</v>
      </c>
    </row>
    <row r="6142" spans="1:13" s="120" customFormat="1" x14ac:dyDescent="0.25">
      <c r="A6142" s="119"/>
      <c r="B6142" s="138" t="str">
        <f t="shared" si="441"/>
        <v>Windrow</v>
      </c>
      <c r="C6142" s="138" t="str">
        <f t="shared" si="437"/>
        <v>Without Amendment</v>
      </c>
      <c r="D6142" s="138" t="str">
        <f t="shared" si="440"/>
        <v>Medium_Base</v>
      </c>
      <c r="E6142" s="138" t="str">
        <f t="shared" si="438"/>
        <v>Low</v>
      </c>
      <c r="F6142" s="138" t="str">
        <f t="shared" si="442"/>
        <v>Upgraded</v>
      </c>
      <c r="G6142" s="153"/>
      <c r="H6142" s="210">
        <v>1.3100000000000001E-2</v>
      </c>
      <c r="I6142" s="160" t="s">
        <v>168</v>
      </c>
      <c r="J6142" s="160">
        <v>5.0930000000000003E-2</v>
      </c>
      <c r="K6142" s="160" t="s">
        <v>15</v>
      </c>
      <c r="L6142" s="154" t="str">
        <f>IF(OpenLCAbasic!K6142="CTUh", "Fill in Manually",IF(OR(K6142="Unit", K6142=""), "", INDEX(LookUps!$E$5:$E$12, MATCH(OpenLCAbasic!K6142,LookUps!$D$5:$D$12,0))))</f>
        <v>Cumulative Energy Demand (CED) - MJ</v>
      </c>
      <c r="M6142" s="154" t="str">
        <f t="shared" si="443"/>
        <v>Low_Medium_Base_Upgraded_Cumulative Energy Demand (CED) - MJ_ClearCove SCP; wastewater treatment unit; at updated plant - US_Without Amendment_Windrow</v>
      </c>
    </row>
    <row r="6143" spans="1:13" s="120" customFormat="1" x14ac:dyDescent="0.25">
      <c r="A6143" s="119"/>
      <c r="B6143" s="138" t="str">
        <f t="shared" si="441"/>
        <v>Windrow</v>
      </c>
      <c r="C6143" s="138" t="str">
        <f t="shared" si="437"/>
        <v>Without Amendment</v>
      </c>
      <c r="D6143" s="138" t="str">
        <f t="shared" si="440"/>
        <v>Medium_Base</v>
      </c>
      <c r="E6143" s="138" t="str">
        <f t="shared" si="438"/>
        <v>Low</v>
      </c>
      <c r="F6143" s="138" t="str">
        <f t="shared" si="442"/>
        <v>Upgraded</v>
      </c>
      <c r="G6143" s="153"/>
      <c r="H6143" s="210">
        <v>6.7000000000000002E-3</v>
      </c>
      <c r="I6143" s="160" t="s">
        <v>271</v>
      </c>
      <c r="J6143" s="160">
        <v>2.6040000000000001E-2</v>
      </c>
      <c r="K6143" s="160" t="s">
        <v>15</v>
      </c>
      <c r="L6143" s="154" t="str">
        <f>IF(OpenLCAbasic!K6143="CTUh", "Fill in Manually",IF(OR(K6143="Unit", K6143=""), "", INDEX(LookUps!$E$5:$E$12, MATCH(OpenLCAbasic!K6143,LookUps!$D$5:$D$12,0))))</f>
        <v>Cumulative Energy Demand (CED) - MJ</v>
      </c>
      <c r="M6143" s="154" t="str">
        <f t="shared" si="443"/>
        <v>Low_Medium_Base_Upgraded_Cumulative Energy Demand (CED) - MJ_Biosolids composting; windrow composting; wastewater treatment unit; at updated plant - US_Without Amendment_Windrow</v>
      </c>
    </row>
    <row r="6144" spans="1:13" s="120" customFormat="1" x14ac:dyDescent="0.25">
      <c r="A6144" s="119"/>
      <c r="B6144" s="138" t="str">
        <f t="shared" si="441"/>
        <v>Windrow</v>
      </c>
      <c r="C6144" s="138" t="str">
        <f t="shared" si="437"/>
        <v>Without Amendment</v>
      </c>
      <c r="D6144" s="138" t="str">
        <f t="shared" si="440"/>
        <v>Medium_Base</v>
      </c>
      <c r="E6144" s="138" t="str">
        <f t="shared" si="438"/>
        <v>Low</v>
      </c>
      <c r="F6144" s="138" t="str">
        <f t="shared" si="442"/>
        <v>Upgraded</v>
      </c>
      <c r="G6144" s="153"/>
      <c r="H6144" s="210">
        <v>-0.1071</v>
      </c>
      <c r="I6144" s="160" t="s">
        <v>62</v>
      </c>
      <c r="J6144" s="160">
        <v>-0.41719000000000001</v>
      </c>
      <c r="K6144" s="160" t="s">
        <v>15</v>
      </c>
      <c r="L6144" s="154" t="str">
        <f>IF(OpenLCAbasic!K6144="CTUh", "Fill in Manually",IF(OR(K6144="Unit", K6144=""), "", INDEX(LookUps!$E$5:$E$12, MATCH(OpenLCAbasic!K6144,LookUps!$D$5:$D$12,0))))</f>
        <v>Cumulative Energy Demand (CED) - MJ</v>
      </c>
      <c r="M6144" s="154" t="str">
        <f t="shared" si="443"/>
        <v>Low_Medium_Base_Upgraded_Cumulative Energy Demand (CED) - MJ_Land application of compost; wastewater treatment unit; at updated plant - US_Without Amendment_Windrow</v>
      </c>
    </row>
    <row r="6145" spans="1:13" s="120" customFormat="1" x14ac:dyDescent="0.25">
      <c r="A6145" s="119"/>
      <c r="B6145" s="138" t="str">
        <f t="shared" si="441"/>
        <v>Windrow</v>
      </c>
      <c r="C6145" s="138" t="str">
        <f t="shared" ref="C6145:C6208" si="444">IF(ISNUMBER($J6145),"Without Amendment","")</f>
        <v>Without Amendment</v>
      </c>
      <c r="D6145" s="138" t="str">
        <f t="shared" si="440"/>
        <v>Medium_Base</v>
      </c>
      <c r="E6145" s="138" t="str">
        <f t="shared" ref="E6145:E6208" si="445">IF(ISNUMBER($J6145),"Low","")</f>
        <v>Low</v>
      </c>
      <c r="F6145" s="138" t="str">
        <f t="shared" si="442"/>
        <v>Upgraded</v>
      </c>
      <c r="G6145" s="153"/>
      <c r="H6145" s="210">
        <v>-2.202</v>
      </c>
      <c r="I6145" s="160" t="s">
        <v>149</v>
      </c>
      <c r="J6145" s="160">
        <v>-8.5788899999999995</v>
      </c>
      <c r="K6145" s="160" t="s">
        <v>15</v>
      </c>
      <c r="L6145" s="154" t="str">
        <f>IF(OpenLCAbasic!K6145="CTUh", "Fill in Manually",IF(OR(K6145="Unit", K6145=""), "", INDEX(LookUps!$E$5:$E$12, MATCH(OpenLCAbasic!K6145,LookUps!$D$5:$D$12,0))))</f>
        <v>Cumulative Energy Demand (CED) - MJ</v>
      </c>
      <c r="M6145" s="154" t="str">
        <f t="shared" si="443"/>
        <v>Low_Medium_Base_Upgraded_Cumulative Energy Demand (CED) - MJ_Anaerobic Digestion; wastewater treatment unit; at updated plant - US_Without Amendment_Windrow</v>
      </c>
    </row>
    <row r="6146" spans="1:13" s="120" customFormat="1" x14ac:dyDescent="0.25">
      <c r="A6146" s="119"/>
      <c r="B6146" s="138" t="str">
        <f t="shared" si="441"/>
        <v/>
      </c>
      <c r="C6146" s="138" t="str">
        <f t="shared" si="444"/>
        <v/>
      </c>
      <c r="D6146" s="138" t="str">
        <f t="shared" si="440"/>
        <v/>
      </c>
      <c r="E6146" s="138" t="str">
        <f t="shared" si="445"/>
        <v/>
      </c>
      <c r="F6146" s="138" t="str">
        <f t="shared" si="442"/>
        <v/>
      </c>
      <c r="G6146" s="153" t="s">
        <v>51</v>
      </c>
      <c r="H6146" s="160"/>
      <c r="I6146" s="160" t="s">
        <v>47</v>
      </c>
      <c r="J6146" s="160" t="s">
        <v>52</v>
      </c>
      <c r="K6146" s="160" t="s">
        <v>27</v>
      </c>
      <c r="L6146" s="154" t="str">
        <f>IF(OpenLCAbasic!K6146="CTUh", "Fill in Manually",IF(OR(K6146="Unit", K6146=""), "", INDEX(LookUps!$E$5:$E$12, MATCH(OpenLCAbasic!K6146,LookUps!$D$5:$D$12,0))))</f>
        <v/>
      </c>
      <c r="M6146" s="154" t="str">
        <f t="shared" si="443"/>
        <v>____Process__</v>
      </c>
    </row>
    <row r="6147" spans="1:13" s="120" customFormat="1" x14ac:dyDescent="0.25">
      <c r="A6147" s="119"/>
      <c r="B6147" s="138" t="str">
        <f t="shared" si="441"/>
        <v>Windrow</v>
      </c>
      <c r="C6147" s="138" t="str">
        <f t="shared" si="444"/>
        <v>Without Amendment</v>
      </c>
      <c r="D6147" s="138" t="str">
        <f t="shared" si="440"/>
        <v>Medium_Base</v>
      </c>
      <c r="E6147" s="138" t="str">
        <f t="shared" si="445"/>
        <v>Low</v>
      </c>
      <c r="F6147" s="138" t="str">
        <f t="shared" si="442"/>
        <v>Upgraded</v>
      </c>
      <c r="G6147" s="153"/>
      <c r="H6147" s="210">
        <v>0.79759999999999998</v>
      </c>
      <c r="I6147" s="160" t="s">
        <v>48</v>
      </c>
      <c r="J6147" s="160">
        <v>1.1610000000000001E-2</v>
      </c>
      <c r="K6147" s="160" t="s">
        <v>13</v>
      </c>
      <c r="L6147" s="154" t="str">
        <f>IF(OpenLCAbasic!K6147="CTUh", "Fill in Manually",IF(OR(K6147="Unit", K6147=""), "", INDEX(LookUps!$E$5:$E$12, MATCH(OpenLCAbasic!K6147,LookUps!$D$5:$D$12,0))))</f>
        <v>Eutrophication Potential (EP) - kg N eq</v>
      </c>
      <c r="M6147" s="154" t="str">
        <f t="shared" si="443"/>
        <v>Low_Medium_Base_Upgraded_Eutrophication Potential (EP) - kg N eq_Effluent release; wastewater treatment unit; at surface water; m3 wastewater - US_Without Amendment_Windrow</v>
      </c>
    </row>
    <row r="6148" spans="1:13" s="120" customFormat="1" x14ac:dyDescent="0.25">
      <c r="A6148" s="119"/>
      <c r="B6148" s="138" t="str">
        <f t="shared" si="441"/>
        <v>Windrow</v>
      </c>
      <c r="C6148" s="138" t="str">
        <f t="shared" si="444"/>
        <v>Without Amendment</v>
      </c>
      <c r="D6148" s="138" t="str">
        <f t="shared" si="440"/>
        <v>Medium_Base</v>
      </c>
      <c r="E6148" s="138" t="str">
        <f t="shared" si="445"/>
        <v>Low</v>
      </c>
      <c r="F6148" s="138" t="str">
        <f t="shared" si="442"/>
        <v>Upgraded</v>
      </c>
      <c r="G6148" s="153"/>
      <c r="H6148" s="210">
        <v>0.12709999999999999</v>
      </c>
      <c r="I6148" s="160" t="s">
        <v>62</v>
      </c>
      <c r="J6148" s="160">
        <v>1.8500000000000001E-3</v>
      </c>
      <c r="K6148" s="160" t="s">
        <v>13</v>
      </c>
      <c r="L6148" s="154" t="str">
        <f>IF(OpenLCAbasic!K6148="CTUh", "Fill in Manually",IF(OR(K6148="Unit", K6148=""), "", INDEX(LookUps!$E$5:$E$12, MATCH(OpenLCAbasic!K6148,LookUps!$D$5:$D$12,0))))</f>
        <v>Eutrophication Potential (EP) - kg N eq</v>
      </c>
      <c r="M6148" s="154" t="str">
        <f t="shared" si="443"/>
        <v>Low_Medium_Base_Upgraded_Eutrophication Potential (EP) - kg N eq_Land application of compost; wastewater treatment unit; at updated plant - US_Without Amendment_Windrow</v>
      </c>
    </row>
    <row r="6149" spans="1:13" s="120" customFormat="1" x14ac:dyDescent="0.25">
      <c r="A6149" s="119"/>
      <c r="B6149" s="138" t="str">
        <f t="shared" si="441"/>
        <v>Windrow</v>
      </c>
      <c r="C6149" s="138" t="str">
        <f t="shared" si="444"/>
        <v>Without Amendment</v>
      </c>
      <c r="D6149" s="138" t="str">
        <f t="shared" si="440"/>
        <v>Medium_Base</v>
      </c>
      <c r="E6149" s="138" t="str">
        <f t="shared" si="445"/>
        <v>Low</v>
      </c>
      <c r="F6149" s="138" t="str">
        <f t="shared" si="442"/>
        <v>Upgraded</v>
      </c>
      <c r="G6149" s="153"/>
      <c r="H6149" s="210">
        <v>3.7499999999999999E-2</v>
      </c>
      <c r="I6149" s="160" t="s">
        <v>55</v>
      </c>
      <c r="J6149" s="160">
        <v>5.5000000000000003E-4</v>
      </c>
      <c r="K6149" s="160" t="s">
        <v>13</v>
      </c>
      <c r="L6149" s="154" t="str">
        <f>IF(OpenLCAbasic!K6149="CTUh", "Fill in Manually",IF(OR(K6149="Unit", K6149=""), "", INDEX(LookUps!$E$5:$E$12, MATCH(OpenLCAbasic!K6149,LookUps!$D$5:$D$12,0))))</f>
        <v>Eutrophication Potential (EP) - kg N eq</v>
      </c>
      <c r="M6149" s="154" t="str">
        <f t="shared" si="443"/>
        <v>Low_Medium_Base_Upgraded_Eutrophication Potential (EP) - kg N eq_Aeration Tanks; wastewater treatment unit; at updated plant - US_Without Amendment_Windrow</v>
      </c>
    </row>
    <row r="6150" spans="1:13" s="120" customFormat="1" x14ac:dyDescent="0.25">
      <c r="A6150" s="119"/>
      <c r="B6150" s="138" t="str">
        <f t="shared" si="441"/>
        <v>Windrow</v>
      </c>
      <c r="C6150" s="138" t="str">
        <f t="shared" si="444"/>
        <v>Without Amendment</v>
      </c>
      <c r="D6150" s="138" t="str">
        <f t="shared" si="440"/>
        <v>Medium_Base</v>
      </c>
      <c r="E6150" s="138" t="str">
        <f t="shared" si="445"/>
        <v>Low</v>
      </c>
      <c r="F6150" s="138" t="str">
        <f t="shared" si="442"/>
        <v>Upgraded</v>
      </c>
      <c r="G6150" s="153"/>
      <c r="H6150" s="210">
        <v>1.72E-2</v>
      </c>
      <c r="I6150" s="160" t="s">
        <v>147</v>
      </c>
      <c r="J6150" s="160">
        <v>2.5000000000000001E-4</v>
      </c>
      <c r="K6150" s="160" t="s">
        <v>13</v>
      </c>
      <c r="L6150" s="154" t="str">
        <f>IF(OpenLCAbasic!K6150="CTUh", "Fill in Manually",IF(OR(K6150="Unit", K6150=""), "", INDEX(LookUps!$E$5:$E$12, MATCH(OpenLCAbasic!K6150,LookUps!$D$5:$D$12,0))))</f>
        <v>Eutrophication Potential (EP) - kg N eq</v>
      </c>
      <c r="M6150" s="154" t="str">
        <f t="shared" si="443"/>
        <v>Low_Medium_Base_Upgraded_Eutrophication Potential (EP) - kg N eq_Influent Pump Station; wastewater treatment unit; at updated plant - US_Without Amendment_Windrow</v>
      </c>
    </row>
    <row r="6151" spans="1:13" s="120" customFormat="1" x14ac:dyDescent="0.25">
      <c r="A6151" s="119"/>
      <c r="B6151" s="138" t="str">
        <f t="shared" si="441"/>
        <v>Windrow</v>
      </c>
      <c r="C6151" s="138" t="str">
        <f t="shared" si="444"/>
        <v>Without Amendment</v>
      </c>
      <c r="D6151" s="138" t="str">
        <f t="shared" si="440"/>
        <v>Medium_Base</v>
      </c>
      <c r="E6151" s="138" t="str">
        <f t="shared" si="445"/>
        <v>Low</v>
      </c>
      <c r="F6151" s="138" t="str">
        <f t="shared" si="442"/>
        <v>Upgraded</v>
      </c>
      <c r="G6151" s="153"/>
      <c r="H6151" s="210">
        <v>1.3599999999999999E-2</v>
      </c>
      <c r="I6151" s="160" t="s">
        <v>54</v>
      </c>
      <c r="J6151" s="160">
        <v>2.0000000000000001E-4</v>
      </c>
      <c r="K6151" s="160" t="s">
        <v>13</v>
      </c>
      <c r="L6151" s="154" t="str">
        <f>IF(OpenLCAbasic!K6151="CTUh", "Fill in Manually",IF(OR(K6151="Unit", K6151=""), "", INDEX(LookUps!$E$5:$E$12, MATCH(OpenLCAbasic!K6151,LookUps!$D$5:$D$12,0))))</f>
        <v>Eutrophication Potential (EP) - kg N eq</v>
      </c>
      <c r="M6151" s="154" t="str">
        <f t="shared" si="443"/>
        <v>Low_Medium_Base_Upgraded_Eutrophication Potential (EP) - kg N eq_Clear Cove Primary Clarification; wastewater treatment unit; at updated plant - US_Without Amendment_Windrow</v>
      </c>
    </row>
    <row r="6152" spans="1:13" s="120" customFormat="1" x14ac:dyDescent="0.25">
      <c r="A6152" s="119"/>
      <c r="B6152" s="138" t="str">
        <f t="shared" si="441"/>
        <v>Windrow</v>
      </c>
      <c r="C6152" s="138" t="str">
        <f t="shared" si="444"/>
        <v>Without Amendment</v>
      </c>
      <c r="D6152" s="138" t="str">
        <f t="shared" si="440"/>
        <v>Medium_Base</v>
      </c>
      <c r="E6152" s="138" t="str">
        <f t="shared" si="445"/>
        <v>Low</v>
      </c>
      <c r="F6152" s="138" t="str">
        <f t="shared" si="442"/>
        <v>Upgraded</v>
      </c>
      <c r="G6152" s="153"/>
      <c r="H6152" s="210">
        <v>1.3100000000000001E-2</v>
      </c>
      <c r="I6152" s="160" t="s">
        <v>167</v>
      </c>
      <c r="J6152" s="160">
        <v>1.9000000000000001E-4</v>
      </c>
      <c r="K6152" s="160" t="s">
        <v>13</v>
      </c>
      <c r="L6152" s="154" t="str">
        <f>IF(OpenLCAbasic!K6152="CTUh", "Fill in Manually",IF(OR(K6152="Unit", K6152=""), "", INDEX(LookUps!$E$5:$E$12, MATCH(OpenLCAbasic!K6152,LookUps!$D$5:$D$12,0))))</f>
        <v>Eutrophication Potential (EP) - kg N eq</v>
      </c>
      <c r="M6152" s="154" t="str">
        <f t="shared" si="443"/>
        <v>Low_Medium_Base_Upgraded_Eutrophication Potential (EP) - kg N eq_Waste Receiving and Holding; wastewater treatment unit; at updated plant - US_Without Amendment_Windrow</v>
      </c>
    </row>
    <row r="6153" spans="1:13" s="120" customFormat="1" x14ac:dyDescent="0.25">
      <c r="A6153" s="119"/>
      <c r="B6153" s="138" t="str">
        <f t="shared" si="441"/>
        <v>Windrow</v>
      </c>
      <c r="C6153" s="138" t="str">
        <f t="shared" si="444"/>
        <v>Without Amendment</v>
      </c>
      <c r="D6153" s="138" t="str">
        <f t="shared" si="440"/>
        <v>Medium_Base</v>
      </c>
      <c r="E6153" s="138" t="str">
        <f t="shared" si="445"/>
        <v>Low</v>
      </c>
      <c r="F6153" s="138" t="str">
        <f t="shared" si="442"/>
        <v>Upgraded</v>
      </c>
      <c r="G6153" s="153"/>
      <c r="H6153" s="210">
        <v>9.2999999999999992E-3</v>
      </c>
      <c r="I6153" s="160" t="s">
        <v>58</v>
      </c>
      <c r="J6153" s="160">
        <v>1.3999999999999999E-4</v>
      </c>
      <c r="K6153" s="160" t="s">
        <v>13</v>
      </c>
      <c r="L6153" s="154" t="str">
        <f>IF(OpenLCAbasic!K6153="CTUh", "Fill in Manually",IF(OR(K6153="Unit", K6153=""), "", INDEX(LookUps!$E$5:$E$12, MATCH(OpenLCAbasic!K6153,LookUps!$D$5:$D$12,0))))</f>
        <v>Eutrophication Potential (EP) - kg N eq</v>
      </c>
      <c r="M6153" s="154" t="str">
        <f t="shared" si="443"/>
        <v>Low_Medium_Base_Upgraded_Eutrophication Potential (EP) - kg N eq_Pre-Anoxic &amp; Swing tank; wastewater treatment unit; at updated plant - US_Without Amendment_Windrow</v>
      </c>
    </row>
    <row r="6154" spans="1:13" s="120" customFormat="1" x14ac:dyDescent="0.25">
      <c r="A6154" s="119"/>
      <c r="B6154" s="138" t="str">
        <f t="shared" si="441"/>
        <v>Windrow</v>
      </c>
      <c r="C6154" s="138" t="str">
        <f t="shared" si="444"/>
        <v>Without Amendment</v>
      </c>
      <c r="D6154" s="138" t="str">
        <f t="shared" si="440"/>
        <v>Medium_Base</v>
      </c>
      <c r="E6154" s="138" t="str">
        <f t="shared" si="445"/>
        <v>Low</v>
      </c>
      <c r="F6154" s="138" t="str">
        <f t="shared" si="442"/>
        <v>Upgraded</v>
      </c>
      <c r="G6154" s="153"/>
      <c r="H6154" s="210">
        <v>7.4000000000000003E-3</v>
      </c>
      <c r="I6154" s="160" t="s">
        <v>53</v>
      </c>
      <c r="J6154" s="160">
        <v>1.1E-4</v>
      </c>
      <c r="K6154" s="160" t="s">
        <v>13</v>
      </c>
      <c r="L6154" s="154" t="str">
        <f>IF(OpenLCAbasic!K6154="CTUh", "Fill in Manually",IF(OR(K6154="Unit", K6154=""), "", INDEX(LookUps!$E$5:$E$12, MATCH(OpenLCAbasic!K6154,LookUps!$D$5:$D$12,0))))</f>
        <v>Eutrophication Potential (EP) - kg N eq</v>
      </c>
      <c r="M6154" s="154" t="str">
        <f t="shared" si="443"/>
        <v>Low_Medium_Base_Upgraded_Eutrophication Potential (EP) - kg N eq_Wet Well and Sump Station; wastewater treatment unit; at updated plant - US_Without Amendment_Windrow</v>
      </c>
    </row>
    <row r="6155" spans="1:13" s="120" customFormat="1" x14ac:dyDescent="0.25">
      <c r="A6155" s="119"/>
      <c r="B6155" s="138" t="str">
        <f t="shared" si="441"/>
        <v>Windrow</v>
      </c>
      <c r="C6155" s="138" t="str">
        <f t="shared" si="444"/>
        <v>Without Amendment</v>
      </c>
      <c r="D6155" s="138" t="str">
        <f t="shared" si="440"/>
        <v>Medium_Base</v>
      </c>
      <c r="E6155" s="138" t="str">
        <f t="shared" si="445"/>
        <v>Low</v>
      </c>
      <c r="F6155" s="138" t="str">
        <f t="shared" si="442"/>
        <v>Upgraded</v>
      </c>
      <c r="G6155" s="153"/>
      <c r="H6155" s="210">
        <v>4.7999999999999996E-3</v>
      </c>
      <c r="I6155" s="160" t="s">
        <v>60</v>
      </c>
      <c r="J6155" s="211">
        <v>6.9922100000000006E-5</v>
      </c>
      <c r="K6155" s="160" t="s">
        <v>13</v>
      </c>
      <c r="L6155" s="154" t="str">
        <f>IF(OpenLCAbasic!K6155="CTUh", "Fill in Manually",IF(OR(K6155="Unit", K6155=""), "", INDEX(LookUps!$E$5:$E$12, MATCH(OpenLCAbasic!K6155,LookUps!$D$5:$D$12,0))))</f>
        <v>Eutrophication Potential (EP) - kg N eq</v>
      </c>
      <c r="M6155" s="154" t="str">
        <f t="shared" si="443"/>
        <v>Low_Medium_Base_Upgraded_Eutrophication Potential (EP) - kg N eq_Belt filter press; wastewater treatment unit; at updated plant - US_Without Amendment_Windrow</v>
      </c>
    </row>
    <row r="6156" spans="1:13" s="120" customFormat="1" x14ac:dyDescent="0.25">
      <c r="A6156" s="119"/>
      <c r="B6156" s="138" t="str">
        <f t="shared" si="441"/>
        <v>Windrow</v>
      </c>
      <c r="C6156" s="138" t="str">
        <f t="shared" si="444"/>
        <v>Without Amendment</v>
      </c>
      <c r="D6156" s="138" t="str">
        <f t="shared" si="440"/>
        <v>Medium_Base</v>
      </c>
      <c r="E6156" s="138" t="str">
        <f t="shared" si="445"/>
        <v>Low</v>
      </c>
      <c r="F6156" s="138" t="str">
        <f t="shared" si="442"/>
        <v>Upgraded</v>
      </c>
      <c r="G6156" s="153"/>
      <c r="H6156" s="210">
        <v>4.1999999999999997E-3</v>
      </c>
      <c r="I6156" s="160" t="s">
        <v>57</v>
      </c>
      <c r="J6156" s="211">
        <v>6.0590300000000002E-5</v>
      </c>
      <c r="K6156" s="160" t="s">
        <v>13</v>
      </c>
      <c r="L6156" s="154" t="str">
        <f>IF(OpenLCAbasic!K6156="CTUh", "Fill in Manually",IF(OR(K6156="Unit", K6156=""), "", INDEX(LookUps!$E$5:$E$12, MATCH(OpenLCAbasic!K6156,LookUps!$D$5:$D$12,0))))</f>
        <v>Eutrophication Potential (EP) - kg N eq</v>
      </c>
      <c r="M6156" s="154" t="str">
        <f t="shared" si="443"/>
        <v>Low_Medium_Base_Upgraded_Eutrophication Potential (EP) - kg N eq_Gravity Belt Thickener; wastewater treatment unit; at updated plant - US_Without Amendment_Windrow</v>
      </c>
    </row>
    <row r="6157" spans="1:13" s="120" customFormat="1" x14ac:dyDescent="0.25">
      <c r="A6157" s="119"/>
      <c r="B6157" s="138" t="str">
        <f t="shared" si="441"/>
        <v>Windrow</v>
      </c>
      <c r="C6157" s="138" t="str">
        <f t="shared" si="444"/>
        <v>Without Amendment</v>
      </c>
      <c r="D6157" s="138" t="str">
        <f t="shared" si="440"/>
        <v>Medium_Base</v>
      </c>
      <c r="E6157" s="138" t="str">
        <f t="shared" si="445"/>
        <v>Low</v>
      </c>
      <c r="F6157" s="138" t="str">
        <f t="shared" si="442"/>
        <v>Upgraded</v>
      </c>
      <c r="G6157" s="153"/>
      <c r="H6157" s="210">
        <v>4.0000000000000001E-3</v>
      </c>
      <c r="I6157" s="160" t="s">
        <v>271</v>
      </c>
      <c r="J6157" s="211">
        <v>5.8787099999999998E-5</v>
      </c>
      <c r="K6157" s="160" t="s">
        <v>13</v>
      </c>
      <c r="L6157" s="154" t="str">
        <f>IF(OpenLCAbasic!K6157="CTUh", "Fill in Manually",IF(OR(K6157="Unit", K6157=""), "", INDEX(LookUps!$E$5:$E$12, MATCH(OpenLCAbasic!K6157,LookUps!$D$5:$D$12,0))))</f>
        <v>Eutrophication Potential (EP) - kg N eq</v>
      </c>
      <c r="M6157" s="154" t="str">
        <f t="shared" si="443"/>
        <v>Low_Medium_Base_Upgraded_Eutrophication Potential (EP) - kg N eq_Biosolids composting; windrow composting; wastewater treatment unit; at updated plant - US_Without Amendment_Windrow</v>
      </c>
    </row>
    <row r="6158" spans="1:13" s="120" customFormat="1" x14ac:dyDescent="0.25">
      <c r="A6158" s="119"/>
      <c r="B6158" s="138" t="str">
        <f t="shared" si="441"/>
        <v>Windrow</v>
      </c>
      <c r="C6158" s="138" t="str">
        <f t="shared" si="444"/>
        <v>Without Amendment</v>
      </c>
      <c r="D6158" s="138" t="str">
        <f t="shared" si="440"/>
        <v>Medium_Base</v>
      </c>
      <c r="E6158" s="138" t="str">
        <f t="shared" si="445"/>
        <v>Low</v>
      </c>
      <c r="F6158" s="138" t="str">
        <f t="shared" si="442"/>
        <v>Upgraded</v>
      </c>
      <c r="G6158" s="153"/>
      <c r="H6158" s="210">
        <v>2.5999999999999999E-3</v>
      </c>
      <c r="I6158" s="160" t="s">
        <v>128</v>
      </c>
      <c r="J6158" s="211">
        <v>3.7559799999999999E-5</v>
      </c>
      <c r="K6158" s="160" t="s">
        <v>13</v>
      </c>
      <c r="L6158" s="154" t="str">
        <f>IF(OpenLCAbasic!K6158="CTUh", "Fill in Manually",IF(OR(K6158="Unit", K6158=""), "", INDEX(LookUps!$E$5:$E$12, MATCH(OpenLCAbasic!K6158,LookUps!$D$5:$D$12,0))))</f>
        <v>Eutrophication Potential (EP) - kg N eq</v>
      </c>
      <c r="M6158" s="154" t="str">
        <f t="shared" si="443"/>
        <v>Low_Medium_Base_Upgraded_Eutrophication Potential (EP) - kg N eq_Wastewater collection; operation and infrastructure; m3 wastewater_Without Amendment_Windrow</v>
      </c>
    </row>
    <row r="6159" spans="1:13" s="120" customFormat="1" x14ac:dyDescent="0.25">
      <c r="A6159" s="119"/>
      <c r="B6159" s="138" t="str">
        <f t="shared" si="441"/>
        <v>Windrow</v>
      </c>
      <c r="C6159" s="138" t="str">
        <f t="shared" si="444"/>
        <v>Without Amendment</v>
      </c>
      <c r="D6159" s="138" t="str">
        <f t="shared" si="440"/>
        <v>Medium_Base</v>
      </c>
      <c r="E6159" s="138" t="str">
        <f t="shared" si="445"/>
        <v>Low</v>
      </c>
      <c r="F6159" s="138" t="str">
        <f t="shared" si="442"/>
        <v>Upgraded</v>
      </c>
      <c r="G6159" s="153"/>
      <c r="H6159" s="210">
        <v>2.5000000000000001E-3</v>
      </c>
      <c r="I6159" s="160" t="s">
        <v>148</v>
      </c>
      <c r="J6159" s="211">
        <v>3.6874600000000001E-5</v>
      </c>
      <c r="K6159" s="160" t="s">
        <v>13</v>
      </c>
      <c r="L6159" s="154" t="str">
        <f>IF(OpenLCAbasic!K6159="CTUh", "Fill in Manually",IF(OR(K6159="Unit", K6159=""), "", INDEX(LookUps!$E$5:$E$12, MATCH(OpenLCAbasic!K6159,LookUps!$D$5:$D$12,0))))</f>
        <v>Eutrophication Potential (EP) - kg N eq</v>
      </c>
      <c r="M6159" s="154" t="str">
        <f t="shared" si="443"/>
        <v>Low_Medium_Base_Upgraded_Eutrophication Potential (EP) - kg N eq_Control Building; at upgraded wastewater treatment plant - US_Without Amendment_Windrow</v>
      </c>
    </row>
    <row r="6160" spans="1:13" s="120" customFormat="1" x14ac:dyDescent="0.25">
      <c r="A6160" s="119"/>
      <c r="B6160" s="138" t="str">
        <f t="shared" si="441"/>
        <v>Windrow</v>
      </c>
      <c r="C6160" s="138" t="str">
        <f t="shared" si="444"/>
        <v>Without Amendment</v>
      </c>
      <c r="D6160" s="138" t="str">
        <f t="shared" si="440"/>
        <v>Medium_Base</v>
      </c>
      <c r="E6160" s="138" t="str">
        <f t="shared" si="445"/>
        <v>Low</v>
      </c>
      <c r="F6160" s="138" t="str">
        <f t="shared" si="442"/>
        <v>Upgraded</v>
      </c>
      <c r="G6160" s="153"/>
      <c r="H6160" s="210">
        <v>1.1000000000000001E-3</v>
      </c>
      <c r="I6160" s="160" t="s">
        <v>59</v>
      </c>
      <c r="J6160" s="211">
        <v>1.6215700000000001E-5</v>
      </c>
      <c r="K6160" s="160" t="s">
        <v>13</v>
      </c>
      <c r="L6160" s="154" t="str">
        <f>IF(OpenLCAbasic!K6160="CTUh", "Fill in Manually",IF(OR(K6160="Unit", K6160=""), "", INDEX(LookUps!$E$5:$E$12, MATCH(OpenLCAbasic!K6160,LookUps!$D$5:$D$12,0))))</f>
        <v>Eutrophication Potential (EP) - kg N eq</v>
      </c>
      <c r="M6160" s="154" t="str">
        <f t="shared" si="443"/>
        <v>Low_Medium_Base_Upgraded_Eutrophication Potential (EP) - kg N eq_Blend Tank; wastewater treatment unit; at updated plant - US_Without Amendment_Windrow</v>
      </c>
    </row>
    <row r="6161" spans="1:13" s="120" customFormat="1" x14ac:dyDescent="0.25">
      <c r="A6161" s="119"/>
      <c r="B6161" s="138" t="str">
        <f t="shared" si="441"/>
        <v>Windrow</v>
      </c>
      <c r="C6161" s="138" t="str">
        <f t="shared" si="444"/>
        <v>Without Amendment</v>
      </c>
      <c r="D6161" s="138" t="str">
        <f t="shared" si="440"/>
        <v>Medium_Base</v>
      </c>
      <c r="E6161" s="138" t="str">
        <f t="shared" si="445"/>
        <v>Low</v>
      </c>
      <c r="F6161" s="138" t="str">
        <f t="shared" si="442"/>
        <v>Upgraded</v>
      </c>
      <c r="G6161" s="153"/>
      <c r="H6161" s="210">
        <v>5.0000000000000001E-4</v>
      </c>
      <c r="I6161" s="160" t="s">
        <v>168</v>
      </c>
      <c r="J6161" s="211">
        <v>7.7567199999999995E-6</v>
      </c>
      <c r="K6161" s="160" t="s">
        <v>13</v>
      </c>
      <c r="L6161" s="154" t="str">
        <f>IF(OpenLCAbasic!K6161="CTUh", "Fill in Manually",IF(OR(K6161="Unit", K6161=""), "", INDEX(LookUps!$E$5:$E$12, MATCH(OpenLCAbasic!K6161,LookUps!$D$5:$D$12,0))))</f>
        <v>Eutrophication Potential (EP) - kg N eq</v>
      </c>
      <c r="M6161" s="154" t="str">
        <f t="shared" si="443"/>
        <v>Low_Medium_Base_Upgraded_Eutrophication Potential (EP) - kg N eq_ClearCove SCP; wastewater treatment unit; at updated plant - US_Without Amendment_Windrow</v>
      </c>
    </row>
    <row r="6162" spans="1:13" s="120" customFormat="1" x14ac:dyDescent="0.25">
      <c r="A6162" s="119"/>
      <c r="B6162" s="138" t="str">
        <f t="shared" si="441"/>
        <v>Windrow</v>
      </c>
      <c r="C6162" s="138" t="str">
        <f t="shared" si="444"/>
        <v>Without Amendment</v>
      </c>
      <c r="D6162" s="138" t="str">
        <f t="shared" si="440"/>
        <v>Medium_Base</v>
      </c>
      <c r="E6162" s="138" t="str">
        <f t="shared" si="445"/>
        <v>Low</v>
      </c>
      <c r="F6162" s="138" t="str">
        <f t="shared" si="442"/>
        <v>Upgraded</v>
      </c>
      <c r="G6162" s="153"/>
      <c r="H6162" s="210">
        <v>-4.2599999999999999E-2</v>
      </c>
      <c r="I6162" s="160" t="s">
        <v>149</v>
      </c>
      <c r="J6162" s="160">
        <v>-6.2E-4</v>
      </c>
      <c r="K6162" s="160" t="s">
        <v>13</v>
      </c>
      <c r="L6162" s="154" t="str">
        <f>IF(OpenLCAbasic!K6162="CTUh", "Fill in Manually",IF(OR(K6162="Unit", K6162=""), "", INDEX(LookUps!$E$5:$E$12, MATCH(OpenLCAbasic!K6162,LookUps!$D$5:$D$12,0))))</f>
        <v>Eutrophication Potential (EP) - kg N eq</v>
      </c>
      <c r="M6162" s="154" t="str">
        <f t="shared" si="443"/>
        <v>Low_Medium_Base_Upgraded_Eutrophication Potential (EP) - kg N eq_Anaerobic Digestion; wastewater treatment unit; at updated plant - US_Without Amendment_Windrow</v>
      </c>
    </row>
    <row r="6163" spans="1:13" s="120" customFormat="1" x14ac:dyDescent="0.25">
      <c r="A6163" s="119"/>
      <c r="B6163" s="138" t="str">
        <f t="shared" si="441"/>
        <v/>
      </c>
      <c r="C6163" s="138" t="str">
        <f t="shared" si="444"/>
        <v/>
      </c>
      <c r="D6163" s="138" t="str">
        <f t="shared" si="440"/>
        <v/>
      </c>
      <c r="E6163" s="138" t="str">
        <f t="shared" si="445"/>
        <v/>
      </c>
      <c r="F6163" s="138" t="str">
        <f t="shared" si="442"/>
        <v/>
      </c>
      <c r="G6163" s="153" t="s">
        <v>51</v>
      </c>
      <c r="H6163" s="160"/>
      <c r="I6163" s="160" t="s">
        <v>47</v>
      </c>
      <c r="J6163" s="160" t="s">
        <v>52</v>
      </c>
      <c r="K6163" s="160" t="s">
        <v>27</v>
      </c>
      <c r="L6163" s="154" t="str">
        <f>IF(OpenLCAbasic!K6163="CTUh", "Fill in Manually",IF(OR(K6163="Unit", K6163=""), "", INDEX(LookUps!$E$5:$E$12, MATCH(OpenLCAbasic!K6163,LookUps!$D$5:$D$12,0))))</f>
        <v/>
      </c>
      <c r="M6163" s="154" t="str">
        <f t="shared" si="443"/>
        <v>____Process__</v>
      </c>
    </row>
    <row r="6164" spans="1:13" s="120" customFormat="1" x14ac:dyDescent="0.25">
      <c r="A6164" s="119"/>
      <c r="B6164" s="138" t="str">
        <f t="shared" si="441"/>
        <v>Windrow</v>
      </c>
      <c r="C6164" s="138" t="str">
        <f t="shared" si="444"/>
        <v>Without Amendment</v>
      </c>
      <c r="D6164" s="138" t="str">
        <f t="shared" si="440"/>
        <v>Medium_Base</v>
      </c>
      <c r="E6164" s="138" t="str">
        <f t="shared" si="445"/>
        <v>Low</v>
      </c>
      <c r="F6164" s="138" t="str">
        <f t="shared" si="442"/>
        <v>Upgraded</v>
      </c>
      <c r="G6164" s="153"/>
      <c r="H6164" s="210">
        <v>1.4631000000000001</v>
      </c>
      <c r="I6164" s="160" t="s">
        <v>167</v>
      </c>
      <c r="J6164" s="160">
        <v>9.7259999999999999E-2</v>
      </c>
      <c r="K6164" s="160" t="s">
        <v>14</v>
      </c>
      <c r="L6164" s="154" t="str">
        <f>IF(OpenLCAbasic!K6164="CTUh", "Fill in Manually",IF(OR(K6164="Unit", K6164=""), "", INDEX(LookUps!$E$5:$E$12, MATCH(OpenLCAbasic!K6164,LookUps!$D$5:$D$12,0))))</f>
        <v>Fossil Depletion Potential (FDP) - kg oil eq</v>
      </c>
      <c r="M6164" s="154" t="str">
        <f t="shared" si="443"/>
        <v>Low_Medium_Base_Upgraded_Fossil Depletion Potential (FDP) - kg oil eq_Waste Receiving and Holding; wastewater treatment unit; at updated plant - US_Without Amendment_Windrow</v>
      </c>
    </row>
    <row r="6165" spans="1:13" s="120" customFormat="1" x14ac:dyDescent="0.25">
      <c r="A6165" s="119"/>
      <c r="B6165" s="138" t="str">
        <f t="shared" si="441"/>
        <v>Windrow</v>
      </c>
      <c r="C6165" s="138" t="str">
        <f t="shared" si="444"/>
        <v>Without Amendment</v>
      </c>
      <c r="D6165" s="138" t="str">
        <f t="shared" si="440"/>
        <v>Medium_Base</v>
      </c>
      <c r="E6165" s="138" t="str">
        <f t="shared" si="445"/>
        <v>Low</v>
      </c>
      <c r="F6165" s="138" t="str">
        <f t="shared" si="442"/>
        <v>Upgraded</v>
      </c>
      <c r="G6165" s="153"/>
      <c r="H6165" s="210">
        <v>0.95660000000000001</v>
      </c>
      <c r="I6165" s="160" t="s">
        <v>55</v>
      </c>
      <c r="J6165" s="160">
        <v>6.3589999999999994E-2</v>
      </c>
      <c r="K6165" s="160" t="s">
        <v>14</v>
      </c>
      <c r="L6165" s="154" t="str">
        <f>IF(OpenLCAbasic!K6165="CTUh", "Fill in Manually",IF(OR(K6165="Unit", K6165=""), "", INDEX(LookUps!$E$5:$E$12, MATCH(OpenLCAbasic!K6165,LookUps!$D$5:$D$12,0))))</f>
        <v>Fossil Depletion Potential (FDP) - kg oil eq</v>
      </c>
      <c r="M6165" s="154" t="str">
        <f t="shared" si="443"/>
        <v>Low_Medium_Base_Upgraded_Fossil Depletion Potential (FDP) - kg oil eq_Aeration Tanks; wastewater treatment unit; at updated plant - US_Without Amendment_Windrow</v>
      </c>
    </row>
    <row r="6166" spans="1:13" s="120" customFormat="1" x14ac:dyDescent="0.25">
      <c r="A6166" s="119"/>
      <c r="B6166" s="138" t="str">
        <f t="shared" si="441"/>
        <v>Windrow</v>
      </c>
      <c r="C6166" s="138" t="str">
        <f t="shared" si="444"/>
        <v>Without Amendment</v>
      </c>
      <c r="D6166" s="138" t="str">
        <f t="shared" si="440"/>
        <v>Medium_Base</v>
      </c>
      <c r="E6166" s="138" t="str">
        <f t="shared" si="445"/>
        <v>Low</v>
      </c>
      <c r="F6166" s="138" t="str">
        <f t="shared" si="442"/>
        <v>Upgraded</v>
      </c>
      <c r="G6166" s="153"/>
      <c r="H6166" s="210">
        <v>0.31669999999999998</v>
      </c>
      <c r="I6166" s="160" t="s">
        <v>54</v>
      </c>
      <c r="J6166" s="160">
        <v>2.1049999999999999E-2</v>
      </c>
      <c r="K6166" s="160" t="s">
        <v>14</v>
      </c>
      <c r="L6166" s="154" t="str">
        <f>IF(OpenLCAbasic!K6166="CTUh", "Fill in Manually",IF(OR(K6166="Unit", K6166=""), "", INDEX(LookUps!$E$5:$E$12, MATCH(OpenLCAbasic!K6166,LookUps!$D$5:$D$12,0))))</f>
        <v>Fossil Depletion Potential (FDP) - kg oil eq</v>
      </c>
      <c r="M6166" s="154" t="str">
        <f t="shared" si="443"/>
        <v>Low_Medium_Base_Upgraded_Fossil Depletion Potential (FDP) - kg oil eq_Clear Cove Primary Clarification; wastewater treatment unit; at updated plant - US_Without Amendment_Windrow</v>
      </c>
    </row>
    <row r="6167" spans="1:13" s="120" customFormat="1" x14ac:dyDescent="0.25">
      <c r="A6167" s="119"/>
      <c r="B6167" s="138" t="str">
        <f t="shared" si="441"/>
        <v>Windrow</v>
      </c>
      <c r="C6167" s="138" t="str">
        <f t="shared" si="444"/>
        <v>Without Amendment</v>
      </c>
      <c r="D6167" s="138" t="str">
        <f t="shared" si="440"/>
        <v>Medium_Base</v>
      </c>
      <c r="E6167" s="138" t="str">
        <f t="shared" si="445"/>
        <v>Low</v>
      </c>
      <c r="F6167" s="138" t="str">
        <f t="shared" si="442"/>
        <v>Upgraded</v>
      </c>
      <c r="G6167" s="153"/>
      <c r="H6167" s="210">
        <v>0.24030000000000001</v>
      </c>
      <c r="I6167" s="160" t="s">
        <v>58</v>
      </c>
      <c r="J6167" s="160">
        <v>1.5980000000000001E-2</v>
      </c>
      <c r="K6167" s="160" t="s">
        <v>14</v>
      </c>
      <c r="L6167" s="154" t="str">
        <f>IF(OpenLCAbasic!K6167="CTUh", "Fill in Manually",IF(OR(K6167="Unit", K6167=""), "", INDEX(LookUps!$E$5:$E$12, MATCH(OpenLCAbasic!K6167,LookUps!$D$5:$D$12,0))))</f>
        <v>Fossil Depletion Potential (FDP) - kg oil eq</v>
      </c>
      <c r="M6167" s="154" t="str">
        <f t="shared" si="443"/>
        <v>Low_Medium_Base_Upgraded_Fossil Depletion Potential (FDP) - kg oil eq_Pre-Anoxic &amp; Swing tank; wastewater treatment unit; at updated plant - US_Without Amendment_Windrow</v>
      </c>
    </row>
    <row r="6168" spans="1:13" s="120" customFormat="1" x14ac:dyDescent="0.25">
      <c r="A6168" s="119"/>
      <c r="B6168" s="138" t="str">
        <f t="shared" si="441"/>
        <v>Windrow</v>
      </c>
      <c r="C6168" s="138" t="str">
        <f t="shared" si="444"/>
        <v>Without Amendment</v>
      </c>
      <c r="D6168" s="138" t="str">
        <f t="shared" si="440"/>
        <v>Medium_Base</v>
      </c>
      <c r="E6168" s="138" t="str">
        <f t="shared" si="445"/>
        <v>Low</v>
      </c>
      <c r="F6168" s="138" t="str">
        <f t="shared" si="442"/>
        <v>Upgraded</v>
      </c>
      <c r="G6168" s="153"/>
      <c r="H6168" s="210">
        <v>0.22700000000000001</v>
      </c>
      <c r="I6168" s="160" t="s">
        <v>147</v>
      </c>
      <c r="J6168" s="160">
        <v>1.5089999999999999E-2</v>
      </c>
      <c r="K6168" s="160" t="s">
        <v>14</v>
      </c>
      <c r="L6168" s="154" t="str">
        <f>IF(OpenLCAbasic!K6168="CTUh", "Fill in Manually",IF(OR(K6168="Unit", K6168=""), "", INDEX(LookUps!$E$5:$E$12, MATCH(OpenLCAbasic!K6168,LookUps!$D$5:$D$12,0))))</f>
        <v>Fossil Depletion Potential (FDP) - kg oil eq</v>
      </c>
      <c r="M6168" s="154" t="str">
        <f t="shared" si="443"/>
        <v>Low_Medium_Base_Upgraded_Fossil Depletion Potential (FDP) - kg oil eq_Influent Pump Station; wastewater treatment unit; at updated plant - US_Without Amendment_Windrow</v>
      </c>
    </row>
    <row r="6169" spans="1:13" s="120" customFormat="1" x14ac:dyDescent="0.25">
      <c r="A6169" s="119"/>
      <c r="B6169" s="138" t="str">
        <f t="shared" si="441"/>
        <v>Windrow</v>
      </c>
      <c r="C6169" s="138" t="str">
        <f t="shared" si="444"/>
        <v>Without Amendment</v>
      </c>
      <c r="D6169" s="138" t="str">
        <f t="shared" si="440"/>
        <v>Medium_Base</v>
      </c>
      <c r="E6169" s="138" t="str">
        <f t="shared" si="445"/>
        <v>Low</v>
      </c>
      <c r="F6169" s="138" t="str">
        <f t="shared" si="442"/>
        <v>Upgraded</v>
      </c>
      <c r="G6169" s="153"/>
      <c r="H6169" s="210">
        <v>0.18790000000000001</v>
      </c>
      <c r="I6169" s="160" t="s">
        <v>53</v>
      </c>
      <c r="J6169" s="160">
        <v>1.2489999999999999E-2</v>
      </c>
      <c r="K6169" s="160" t="s">
        <v>14</v>
      </c>
      <c r="L6169" s="154" t="str">
        <f>IF(OpenLCAbasic!K6169="CTUh", "Fill in Manually",IF(OR(K6169="Unit", K6169=""), "", INDEX(LookUps!$E$5:$E$12, MATCH(OpenLCAbasic!K6169,LookUps!$D$5:$D$12,0))))</f>
        <v>Fossil Depletion Potential (FDP) - kg oil eq</v>
      </c>
      <c r="M6169" s="154" t="str">
        <f t="shared" si="443"/>
        <v>Low_Medium_Base_Upgraded_Fossil Depletion Potential (FDP) - kg oil eq_Wet Well and Sump Station; wastewater treatment unit; at updated plant - US_Without Amendment_Windrow</v>
      </c>
    </row>
    <row r="6170" spans="1:13" s="120" customFormat="1" x14ac:dyDescent="0.25">
      <c r="A6170" s="119"/>
      <c r="B6170" s="138" t="str">
        <f t="shared" si="441"/>
        <v>Windrow</v>
      </c>
      <c r="C6170" s="138" t="str">
        <f t="shared" si="444"/>
        <v>Without Amendment</v>
      </c>
      <c r="D6170" s="138" t="str">
        <f t="shared" si="440"/>
        <v>Medium_Base</v>
      </c>
      <c r="E6170" s="138" t="str">
        <f t="shared" si="445"/>
        <v>Low</v>
      </c>
      <c r="F6170" s="138" t="str">
        <f t="shared" si="442"/>
        <v>Upgraded</v>
      </c>
      <c r="G6170" s="153"/>
      <c r="H6170" s="210">
        <v>0.1207</v>
      </c>
      <c r="I6170" s="160" t="s">
        <v>60</v>
      </c>
      <c r="J6170" s="160">
        <v>8.0300000000000007E-3</v>
      </c>
      <c r="K6170" s="160" t="s">
        <v>14</v>
      </c>
      <c r="L6170" s="154" t="str">
        <f>IF(OpenLCAbasic!K6170="CTUh", "Fill in Manually",IF(OR(K6170="Unit", K6170=""), "", INDEX(LookUps!$E$5:$E$12, MATCH(OpenLCAbasic!K6170,LookUps!$D$5:$D$12,0))))</f>
        <v>Fossil Depletion Potential (FDP) - kg oil eq</v>
      </c>
      <c r="M6170" s="154" t="str">
        <f t="shared" si="443"/>
        <v>Low_Medium_Base_Upgraded_Fossil Depletion Potential (FDP) - kg oil eq_Belt filter press; wastewater treatment unit; at updated plant - US_Without Amendment_Windrow</v>
      </c>
    </row>
    <row r="6171" spans="1:13" s="120" customFormat="1" x14ac:dyDescent="0.25">
      <c r="A6171" s="119"/>
      <c r="B6171" s="138" t="str">
        <f t="shared" si="441"/>
        <v>Windrow</v>
      </c>
      <c r="C6171" s="138" t="str">
        <f t="shared" si="444"/>
        <v>Without Amendment</v>
      </c>
      <c r="D6171" s="138" t="str">
        <f t="shared" si="440"/>
        <v>Medium_Base</v>
      </c>
      <c r="E6171" s="138" t="str">
        <f t="shared" si="445"/>
        <v>Low</v>
      </c>
      <c r="F6171" s="138" t="str">
        <f t="shared" si="442"/>
        <v>Upgraded</v>
      </c>
      <c r="G6171" s="153"/>
      <c r="H6171" s="210">
        <v>0.104</v>
      </c>
      <c r="I6171" s="160" t="s">
        <v>57</v>
      </c>
      <c r="J6171" s="160">
        <v>6.9199999999999999E-3</v>
      </c>
      <c r="K6171" s="160" t="s">
        <v>14</v>
      </c>
      <c r="L6171" s="154" t="str">
        <f>IF(OpenLCAbasic!K6171="CTUh", "Fill in Manually",IF(OR(K6171="Unit", K6171=""), "", INDEX(LookUps!$E$5:$E$12, MATCH(OpenLCAbasic!K6171,LookUps!$D$5:$D$12,0))))</f>
        <v>Fossil Depletion Potential (FDP) - kg oil eq</v>
      </c>
      <c r="M6171" s="154" t="str">
        <f t="shared" si="443"/>
        <v>Low_Medium_Base_Upgraded_Fossil Depletion Potential (FDP) - kg oil eq_Gravity Belt Thickener; wastewater treatment unit; at updated plant - US_Without Amendment_Windrow</v>
      </c>
    </row>
    <row r="6172" spans="1:13" s="120" customFormat="1" x14ac:dyDescent="0.25">
      <c r="A6172" s="119"/>
      <c r="B6172" s="138" t="str">
        <f t="shared" si="441"/>
        <v>Windrow</v>
      </c>
      <c r="C6172" s="138" t="str">
        <f t="shared" si="444"/>
        <v>Without Amendment</v>
      </c>
      <c r="D6172" s="138" t="str">
        <f t="shared" si="440"/>
        <v>Medium_Base</v>
      </c>
      <c r="E6172" s="138" t="str">
        <f t="shared" si="445"/>
        <v>Low</v>
      </c>
      <c r="F6172" s="138" t="str">
        <f t="shared" si="442"/>
        <v>Upgraded</v>
      </c>
      <c r="G6172" s="153"/>
      <c r="H6172" s="210">
        <v>6.7699999999999996E-2</v>
      </c>
      <c r="I6172" s="160" t="s">
        <v>128</v>
      </c>
      <c r="J6172" s="160">
        <v>4.4999999999999997E-3</v>
      </c>
      <c r="K6172" s="160" t="s">
        <v>14</v>
      </c>
      <c r="L6172" s="154" t="str">
        <f>IF(OpenLCAbasic!K6172="CTUh", "Fill in Manually",IF(OR(K6172="Unit", K6172=""), "", INDEX(LookUps!$E$5:$E$12, MATCH(OpenLCAbasic!K6172,LookUps!$D$5:$D$12,0))))</f>
        <v>Fossil Depletion Potential (FDP) - kg oil eq</v>
      </c>
      <c r="M6172" s="154" t="str">
        <f t="shared" si="443"/>
        <v>Low_Medium_Base_Upgraded_Fossil Depletion Potential (FDP) - kg oil eq_Wastewater collection; operation and infrastructure; m3 wastewater_Without Amendment_Windrow</v>
      </c>
    </row>
    <row r="6173" spans="1:13" s="120" customFormat="1" x14ac:dyDescent="0.25">
      <c r="A6173" s="119"/>
      <c r="B6173" s="138" t="str">
        <f t="shared" si="441"/>
        <v>Windrow</v>
      </c>
      <c r="C6173" s="138" t="str">
        <f t="shared" si="444"/>
        <v>Without Amendment</v>
      </c>
      <c r="D6173" s="138" t="str">
        <f t="shared" si="440"/>
        <v>Medium_Base</v>
      </c>
      <c r="E6173" s="138" t="str">
        <f t="shared" si="445"/>
        <v>Low</v>
      </c>
      <c r="F6173" s="138" t="str">
        <f t="shared" si="442"/>
        <v>Upgraded</v>
      </c>
      <c r="G6173" s="153"/>
      <c r="H6173" s="210">
        <v>4.2099999999999999E-2</v>
      </c>
      <c r="I6173" s="160" t="s">
        <v>148</v>
      </c>
      <c r="J6173" s="160">
        <v>2.8E-3</v>
      </c>
      <c r="K6173" s="160" t="s">
        <v>14</v>
      </c>
      <c r="L6173" s="154" t="str">
        <f>IF(OpenLCAbasic!K6173="CTUh", "Fill in Manually",IF(OR(K6173="Unit", K6173=""), "", INDEX(LookUps!$E$5:$E$12, MATCH(OpenLCAbasic!K6173,LookUps!$D$5:$D$12,0))))</f>
        <v>Fossil Depletion Potential (FDP) - kg oil eq</v>
      </c>
      <c r="M6173" s="154" t="str">
        <f t="shared" si="443"/>
        <v>Low_Medium_Base_Upgraded_Fossil Depletion Potential (FDP) - kg oil eq_Control Building; at upgraded wastewater treatment plant - US_Without Amendment_Windrow</v>
      </c>
    </row>
    <row r="6174" spans="1:13" s="120" customFormat="1" x14ac:dyDescent="0.25">
      <c r="A6174" s="119"/>
      <c r="B6174" s="138" t="str">
        <f t="shared" si="441"/>
        <v>Windrow</v>
      </c>
      <c r="C6174" s="138" t="str">
        <f t="shared" si="444"/>
        <v>Without Amendment</v>
      </c>
      <c r="D6174" s="138" t="str">
        <f t="shared" si="440"/>
        <v>Medium_Base</v>
      </c>
      <c r="E6174" s="138" t="str">
        <f t="shared" si="445"/>
        <v>Low</v>
      </c>
      <c r="F6174" s="138" t="str">
        <f t="shared" si="442"/>
        <v>Upgraded</v>
      </c>
      <c r="G6174" s="153"/>
      <c r="H6174" s="210">
        <v>3.56E-2</v>
      </c>
      <c r="I6174" s="160" t="s">
        <v>48</v>
      </c>
      <c r="J6174" s="160">
        <v>2.3600000000000001E-3</v>
      </c>
      <c r="K6174" s="160" t="s">
        <v>14</v>
      </c>
      <c r="L6174" s="154" t="str">
        <f>IF(OpenLCAbasic!K6174="CTUh", "Fill in Manually",IF(OR(K6174="Unit", K6174=""), "", INDEX(LookUps!$E$5:$E$12, MATCH(OpenLCAbasic!K6174,LookUps!$D$5:$D$12,0))))</f>
        <v>Fossil Depletion Potential (FDP) - kg oil eq</v>
      </c>
      <c r="M6174" s="154" t="str">
        <f t="shared" si="443"/>
        <v>Low_Medium_Base_Upgraded_Fossil Depletion Potential (FDP) - kg oil eq_Effluent release; wastewater treatment unit; at surface water; m3 wastewater - US_Without Amendment_Windrow</v>
      </c>
    </row>
    <row r="6175" spans="1:13" s="120" customFormat="1" x14ac:dyDescent="0.25">
      <c r="A6175" s="119"/>
      <c r="B6175" s="138" t="str">
        <f t="shared" si="441"/>
        <v>Windrow</v>
      </c>
      <c r="C6175" s="138" t="str">
        <f t="shared" si="444"/>
        <v>Without Amendment</v>
      </c>
      <c r="D6175" s="138" t="str">
        <f t="shared" si="440"/>
        <v>Medium_Base</v>
      </c>
      <c r="E6175" s="138" t="str">
        <f t="shared" si="445"/>
        <v>Low</v>
      </c>
      <c r="F6175" s="138" t="str">
        <f t="shared" si="442"/>
        <v>Upgraded</v>
      </c>
      <c r="G6175" s="153"/>
      <c r="H6175" s="210">
        <v>2.8899999999999999E-2</v>
      </c>
      <c r="I6175" s="160" t="s">
        <v>59</v>
      </c>
      <c r="J6175" s="160">
        <v>1.92E-3</v>
      </c>
      <c r="K6175" s="160" t="s">
        <v>14</v>
      </c>
      <c r="L6175" s="154" t="str">
        <f>IF(OpenLCAbasic!K6175="CTUh", "Fill in Manually",IF(OR(K6175="Unit", K6175=""), "", INDEX(LookUps!$E$5:$E$12, MATCH(OpenLCAbasic!K6175,LookUps!$D$5:$D$12,0))))</f>
        <v>Fossil Depletion Potential (FDP) - kg oil eq</v>
      </c>
      <c r="M6175" s="154" t="str">
        <f t="shared" si="443"/>
        <v>Low_Medium_Base_Upgraded_Fossil Depletion Potential (FDP) - kg oil eq_Blend Tank; wastewater treatment unit; at updated plant - US_Without Amendment_Windrow</v>
      </c>
    </row>
    <row r="6176" spans="1:13" s="120" customFormat="1" x14ac:dyDescent="0.25">
      <c r="A6176" s="119"/>
      <c r="B6176" s="138" t="str">
        <f t="shared" si="441"/>
        <v>Windrow</v>
      </c>
      <c r="C6176" s="138" t="str">
        <f t="shared" si="444"/>
        <v>Without Amendment</v>
      </c>
      <c r="D6176" s="138" t="str">
        <f t="shared" si="440"/>
        <v>Medium_Base</v>
      </c>
      <c r="E6176" s="138" t="str">
        <f t="shared" si="445"/>
        <v>Low</v>
      </c>
      <c r="F6176" s="138" t="str">
        <f t="shared" si="442"/>
        <v>Upgraded</v>
      </c>
      <c r="G6176" s="153"/>
      <c r="H6176" s="210">
        <v>1.38E-2</v>
      </c>
      <c r="I6176" s="160" t="s">
        <v>168</v>
      </c>
      <c r="J6176" s="160">
        <v>9.1E-4</v>
      </c>
      <c r="K6176" s="160" t="s">
        <v>14</v>
      </c>
      <c r="L6176" s="154" t="str">
        <f>IF(OpenLCAbasic!K6176="CTUh", "Fill in Manually",IF(OR(K6176="Unit", K6176=""), "", INDEX(LookUps!$E$5:$E$12, MATCH(OpenLCAbasic!K6176,LookUps!$D$5:$D$12,0))))</f>
        <v>Fossil Depletion Potential (FDP) - kg oil eq</v>
      </c>
      <c r="M6176" s="154" t="str">
        <f t="shared" si="443"/>
        <v>Low_Medium_Base_Upgraded_Fossil Depletion Potential (FDP) - kg oil eq_ClearCove SCP; wastewater treatment unit; at updated plant - US_Without Amendment_Windrow</v>
      </c>
    </row>
    <row r="6177" spans="1:13" s="120" customFormat="1" x14ac:dyDescent="0.25">
      <c r="A6177" s="119"/>
      <c r="B6177" s="138" t="str">
        <f t="shared" si="441"/>
        <v>Windrow</v>
      </c>
      <c r="C6177" s="138" t="str">
        <f t="shared" si="444"/>
        <v>Without Amendment</v>
      </c>
      <c r="D6177" s="138" t="str">
        <f t="shared" ref="D6177:D6240" si="446">IF(ISNUMBER($J6177),"Medium_Base","")</f>
        <v>Medium_Base</v>
      </c>
      <c r="E6177" s="138" t="str">
        <f t="shared" si="445"/>
        <v>Low</v>
      </c>
      <c r="F6177" s="138" t="str">
        <f t="shared" si="442"/>
        <v>Upgraded</v>
      </c>
      <c r="G6177" s="153"/>
      <c r="H6177" s="210">
        <v>8.6E-3</v>
      </c>
      <c r="I6177" s="160" t="s">
        <v>271</v>
      </c>
      <c r="J6177" s="160">
        <v>5.6999999999999998E-4</v>
      </c>
      <c r="K6177" s="160" t="s">
        <v>14</v>
      </c>
      <c r="L6177" s="154" t="str">
        <f>IF(OpenLCAbasic!K6177="CTUh", "Fill in Manually",IF(OR(K6177="Unit", K6177=""), "", INDEX(LookUps!$E$5:$E$12, MATCH(OpenLCAbasic!K6177,LookUps!$D$5:$D$12,0))))</f>
        <v>Fossil Depletion Potential (FDP) - kg oil eq</v>
      </c>
      <c r="M6177" s="154" t="str">
        <f t="shared" si="443"/>
        <v>Low_Medium_Base_Upgraded_Fossil Depletion Potential (FDP) - kg oil eq_Biosolids composting; windrow composting; wastewater treatment unit; at updated plant - US_Without Amendment_Windrow</v>
      </c>
    </row>
    <row r="6178" spans="1:13" s="120" customFormat="1" x14ac:dyDescent="0.25">
      <c r="A6178" s="119"/>
      <c r="B6178" s="138" t="str">
        <f t="shared" si="441"/>
        <v>Windrow</v>
      </c>
      <c r="C6178" s="138" t="str">
        <f t="shared" si="444"/>
        <v>Without Amendment</v>
      </c>
      <c r="D6178" s="138" t="str">
        <f t="shared" si="446"/>
        <v>Medium_Base</v>
      </c>
      <c r="E6178" s="138" t="str">
        <f t="shared" si="445"/>
        <v>Low</v>
      </c>
      <c r="F6178" s="138" t="str">
        <f t="shared" si="442"/>
        <v>Upgraded</v>
      </c>
      <c r="G6178" s="153"/>
      <c r="H6178" s="210">
        <v>-9.1200000000000003E-2</v>
      </c>
      <c r="I6178" s="160" t="s">
        <v>62</v>
      </c>
      <c r="J6178" s="160">
        <v>-6.0600000000000003E-3</v>
      </c>
      <c r="K6178" s="160" t="s">
        <v>14</v>
      </c>
      <c r="L6178" s="154" t="str">
        <f>IF(OpenLCAbasic!K6178="CTUh", "Fill in Manually",IF(OR(K6178="Unit", K6178=""), "", INDEX(LookUps!$E$5:$E$12, MATCH(OpenLCAbasic!K6178,LookUps!$D$5:$D$12,0))))</f>
        <v>Fossil Depletion Potential (FDP) - kg oil eq</v>
      </c>
      <c r="M6178" s="154" t="str">
        <f t="shared" si="443"/>
        <v>Low_Medium_Base_Upgraded_Fossil Depletion Potential (FDP) - kg oil eq_Land application of compost; wastewater treatment unit; at updated plant - US_Without Amendment_Windrow</v>
      </c>
    </row>
    <row r="6179" spans="1:13" s="120" customFormat="1" x14ac:dyDescent="0.25">
      <c r="A6179" s="119"/>
      <c r="B6179" s="138" t="str">
        <f t="shared" si="441"/>
        <v>Windrow</v>
      </c>
      <c r="C6179" s="138" t="str">
        <f t="shared" si="444"/>
        <v>Without Amendment</v>
      </c>
      <c r="D6179" s="138" t="str">
        <f t="shared" si="446"/>
        <v>Medium_Base</v>
      </c>
      <c r="E6179" s="138" t="str">
        <f t="shared" si="445"/>
        <v>Low</v>
      </c>
      <c r="F6179" s="138" t="str">
        <f t="shared" si="442"/>
        <v>Upgraded</v>
      </c>
      <c r="G6179" s="153"/>
      <c r="H6179" s="210">
        <v>-2.7216</v>
      </c>
      <c r="I6179" s="160" t="s">
        <v>149</v>
      </c>
      <c r="J6179" s="160">
        <v>-0.18092</v>
      </c>
      <c r="K6179" s="160" t="s">
        <v>14</v>
      </c>
      <c r="L6179" s="154" t="str">
        <f>IF(OpenLCAbasic!K6179="CTUh", "Fill in Manually",IF(OR(K6179="Unit", K6179=""), "", INDEX(LookUps!$E$5:$E$12, MATCH(OpenLCAbasic!K6179,LookUps!$D$5:$D$12,0))))</f>
        <v>Fossil Depletion Potential (FDP) - kg oil eq</v>
      </c>
      <c r="M6179" s="154" t="str">
        <f t="shared" si="443"/>
        <v>Low_Medium_Base_Upgraded_Fossil Depletion Potential (FDP) - kg oil eq_Anaerobic Digestion; wastewater treatment unit; at updated plant - US_Without Amendment_Windrow</v>
      </c>
    </row>
    <row r="6180" spans="1:13" s="120" customFormat="1" x14ac:dyDescent="0.25">
      <c r="A6180" s="119"/>
      <c r="B6180" s="138" t="str">
        <f t="shared" si="441"/>
        <v/>
      </c>
      <c r="C6180" s="138" t="str">
        <f t="shared" si="444"/>
        <v/>
      </c>
      <c r="D6180" s="138" t="str">
        <f t="shared" si="446"/>
        <v/>
      </c>
      <c r="E6180" s="138" t="str">
        <f t="shared" si="445"/>
        <v/>
      </c>
      <c r="F6180" s="138" t="str">
        <f t="shared" si="442"/>
        <v/>
      </c>
      <c r="G6180" s="153" t="s">
        <v>51</v>
      </c>
      <c r="H6180" s="160"/>
      <c r="I6180" s="160" t="s">
        <v>47</v>
      </c>
      <c r="J6180" s="160" t="s">
        <v>52</v>
      </c>
      <c r="K6180" s="160" t="s">
        <v>27</v>
      </c>
      <c r="L6180" s="154" t="str">
        <f>IF(OpenLCAbasic!K6180="CTUh", "Fill in Manually",IF(OR(K6180="Unit", K6180=""), "", INDEX(LookUps!$E$5:$E$12, MATCH(OpenLCAbasic!K6180,LookUps!$D$5:$D$12,0))))</f>
        <v/>
      </c>
      <c r="M6180" s="154" t="str">
        <f t="shared" si="443"/>
        <v>____Process__</v>
      </c>
    </row>
    <row r="6181" spans="1:13" s="120" customFormat="1" x14ac:dyDescent="0.25">
      <c r="A6181" s="119"/>
      <c r="B6181" s="138" t="str">
        <f t="shared" si="441"/>
        <v>Windrow</v>
      </c>
      <c r="C6181" s="138" t="str">
        <f t="shared" si="444"/>
        <v>Without Amendment</v>
      </c>
      <c r="D6181" s="138" t="str">
        <f t="shared" si="446"/>
        <v>Medium_Base</v>
      </c>
      <c r="E6181" s="138" t="str">
        <f t="shared" si="445"/>
        <v>Low</v>
      </c>
      <c r="F6181" s="138" t="str">
        <f t="shared" si="442"/>
        <v>Upgraded</v>
      </c>
      <c r="G6181" s="153"/>
      <c r="H6181" s="210">
        <v>0.81020000000000003</v>
      </c>
      <c r="I6181" s="160" t="s">
        <v>58</v>
      </c>
      <c r="J6181" s="160">
        <v>0.24568999999999999</v>
      </c>
      <c r="K6181" s="160" t="s">
        <v>23</v>
      </c>
      <c r="L6181" s="154" t="str">
        <f>IF(OpenLCAbasic!K6181="CTUh", "Fill in Manually",IF(OR(K6181="Unit", K6181=""), "", INDEX(LookUps!$E$5:$E$12, MATCH(OpenLCAbasic!K6181,LookUps!$D$5:$D$12,0))))</f>
        <v>Global Warming Potential (GWP) - kg CO2 eq</v>
      </c>
      <c r="M6181" s="154" t="str">
        <f t="shared" si="443"/>
        <v>Low_Medium_Base_Upgraded_Global Warming Potential (GWP) - kg CO2 eq_Pre-Anoxic &amp; Swing tank; wastewater treatment unit; at updated plant - US_Without Amendment_Windrow</v>
      </c>
    </row>
    <row r="6182" spans="1:13" s="120" customFormat="1" x14ac:dyDescent="0.25">
      <c r="A6182" s="119"/>
      <c r="B6182" s="138" t="str">
        <f t="shared" si="441"/>
        <v>Windrow</v>
      </c>
      <c r="C6182" s="138" t="str">
        <f t="shared" si="444"/>
        <v>Without Amendment</v>
      </c>
      <c r="D6182" s="138" t="str">
        <f t="shared" si="446"/>
        <v>Medium_Base</v>
      </c>
      <c r="E6182" s="138" t="str">
        <f t="shared" si="445"/>
        <v>Low</v>
      </c>
      <c r="F6182" s="138" t="str">
        <f t="shared" si="442"/>
        <v>Upgraded</v>
      </c>
      <c r="G6182" s="153"/>
      <c r="H6182" s="210">
        <v>0.55469999999999997</v>
      </c>
      <c r="I6182" s="160" t="s">
        <v>55</v>
      </c>
      <c r="J6182" s="160">
        <v>0.16822000000000001</v>
      </c>
      <c r="K6182" s="160" t="s">
        <v>23</v>
      </c>
      <c r="L6182" s="154" t="str">
        <f>IF(OpenLCAbasic!K6182="CTUh", "Fill in Manually",IF(OR(K6182="Unit", K6182=""), "", INDEX(LookUps!$E$5:$E$12, MATCH(OpenLCAbasic!K6182,LookUps!$D$5:$D$12,0))))</f>
        <v>Global Warming Potential (GWP) - kg CO2 eq</v>
      </c>
      <c r="M6182" s="154" t="str">
        <f t="shared" si="443"/>
        <v>Low_Medium_Base_Upgraded_Global Warming Potential (GWP) - kg CO2 eq_Aeration Tanks; wastewater treatment unit; at updated plant - US_Without Amendment_Windrow</v>
      </c>
    </row>
    <row r="6183" spans="1:13" s="120" customFormat="1" x14ac:dyDescent="0.25">
      <c r="A6183" s="119"/>
      <c r="B6183" s="138" t="str">
        <f t="shared" si="441"/>
        <v>Windrow</v>
      </c>
      <c r="C6183" s="138" t="str">
        <f t="shared" si="444"/>
        <v>Without Amendment</v>
      </c>
      <c r="D6183" s="138" t="str">
        <f t="shared" si="446"/>
        <v>Medium_Base</v>
      </c>
      <c r="E6183" s="138" t="str">
        <f t="shared" si="445"/>
        <v>Low</v>
      </c>
      <c r="F6183" s="138" t="str">
        <f t="shared" si="442"/>
        <v>Upgraded</v>
      </c>
      <c r="G6183" s="153"/>
      <c r="H6183" s="210">
        <v>0.40739999999999998</v>
      </c>
      <c r="I6183" s="160" t="s">
        <v>167</v>
      </c>
      <c r="J6183" s="160">
        <v>0.12354999999999999</v>
      </c>
      <c r="K6183" s="160" t="s">
        <v>23</v>
      </c>
      <c r="L6183" s="154" t="str">
        <f>IF(OpenLCAbasic!K6183="CTUh", "Fill in Manually",IF(OR(K6183="Unit", K6183=""), "", INDEX(LookUps!$E$5:$E$12, MATCH(OpenLCAbasic!K6183,LookUps!$D$5:$D$12,0))))</f>
        <v>Global Warming Potential (GWP) - kg CO2 eq</v>
      </c>
      <c r="M6183" s="154" t="str">
        <f t="shared" si="443"/>
        <v>Low_Medium_Base_Upgraded_Global Warming Potential (GWP) - kg CO2 eq_Waste Receiving and Holding; wastewater treatment unit; at updated plant - US_Without Amendment_Windrow</v>
      </c>
    </row>
    <row r="6184" spans="1:13" s="120" customFormat="1" x14ac:dyDescent="0.25">
      <c r="A6184" s="119"/>
      <c r="B6184" s="138" t="str">
        <f t="shared" ref="B6184:B6247" si="447">IF(F6184="Legacy","n.a.",IF(F6184="","","Windrow"))</f>
        <v>Windrow</v>
      </c>
      <c r="C6184" s="138" t="str">
        <f t="shared" si="444"/>
        <v>Without Amendment</v>
      </c>
      <c r="D6184" s="138" t="str">
        <f t="shared" si="446"/>
        <v>Medium_Base</v>
      </c>
      <c r="E6184" s="138" t="str">
        <f t="shared" si="445"/>
        <v>Low</v>
      </c>
      <c r="F6184" s="138" t="str">
        <f t="shared" ref="F6184:F6247" si="448">IF(ISNUMBER(J6184),"Upgraded","")</f>
        <v>Upgraded</v>
      </c>
      <c r="G6184" s="153"/>
      <c r="H6184" s="210">
        <v>0.22589999999999999</v>
      </c>
      <c r="I6184" s="160" t="s">
        <v>271</v>
      </c>
      <c r="J6184" s="160">
        <v>6.8519999999999998E-2</v>
      </c>
      <c r="K6184" s="160" t="s">
        <v>23</v>
      </c>
      <c r="L6184" s="154" t="str">
        <f>IF(OpenLCAbasic!K6184="CTUh", "Fill in Manually",IF(OR(K6184="Unit", K6184=""), "", INDEX(LookUps!$E$5:$E$12, MATCH(OpenLCAbasic!K6184,LookUps!$D$5:$D$12,0))))</f>
        <v>Global Warming Potential (GWP) - kg CO2 eq</v>
      </c>
      <c r="M6184" s="154" t="str">
        <f t="shared" si="443"/>
        <v>Low_Medium_Base_Upgraded_Global Warming Potential (GWP) - kg CO2 eq_Biosolids composting; windrow composting; wastewater treatment unit; at updated plant - US_Without Amendment_Windrow</v>
      </c>
    </row>
    <row r="6185" spans="1:13" s="120" customFormat="1" x14ac:dyDescent="0.25">
      <c r="A6185" s="119"/>
      <c r="B6185" s="138" t="str">
        <f t="shared" si="447"/>
        <v>Windrow</v>
      </c>
      <c r="C6185" s="138" t="str">
        <f t="shared" si="444"/>
        <v>Without Amendment</v>
      </c>
      <c r="D6185" s="138" t="str">
        <f t="shared" si="446"/>
        <v>Medium_Base</v>
      </c>
      <c r="E6185" s="138" t="str">
        <f t="shared" si="445"/>
        <v>Low</v>
      </c>
      <c r="F6185" s="138" t="str">
        <f t="shared" si="448"/>
        <v>Upgraded</v>
      </c>
      <c r="G6185" s="153"/>
      <c r="H6185" s="210">
        <v>0.18820000000000001</v>
      </c>
      <c r="I6185" s="160" t="s">
        <v>54</v>
      </c>
      <c r="J6185" s="160">
        <v>5.7079999999999999E-2</v>
      </c>
      <c r="K6185" s="160" t="s">
        <v>23</v>
      </c>
      <c r="L6185" s="154" t="str">
        <f>IF(OpenLCAbasic!K6185="CTUh", "Fill in Manually",IF(OR(K6185="Unit", K6185=""), "", INDEX(LookUps!$E$5:$E$12, MATCH(OpenLCAbasic!K6185,LookUps!$D$5:$D$12,0))))</f>
        <v>Global Warming Potential (GWP) - kg CO2 eq</v>
      </c>
      <c r="M6185" s="154" t="str">
        <f t="shared" si="443"/>
        <v>Low_Medium_Base_Upgraded_Global Warming Potential (GWP) - kg CO2 eq_Clear Cove Primary Clarification; wastewater treatment unit; at updated plant - US_Without Amendment_Windrow</v>
      </c>
    </row>
    <row r="6186" spans="1:13" s="120" customFormat="1" x14ac:dyDescent="0.25">
      <c r="A6186" s="119"/>
      <c r="B6186" s="138" t="str">
        <f t="shared" si="447"/>
        <v>Windrow</v>
      </c>
      <c r="C6186" s="138" t="str">
        <f t="shared" si="444"/>
        <v>Without Amendment</v>
      </c>
      <c r="D6186" s="138" t="str">
        <f t="shared" si="446"/>
        <v>Medium_Base</v>
      </c>
      <c r="E6186" s="138" t="str">
        <f t="shared" si="445"/>
        <v>Low</v>
      </c>
      <c r="F6186" s="138" t="str">
        <f t="shared" si="448"/>
        <v>Upgraded</v>
      </c>
      <c r="G6186" s="153"/>
      <c r="H6186" s="210">
        <v>0.1736</v>
      </c>
      <c r="I6186" s="160" t="s">
        <v>48</v>
      </c>
      <c r="J6186" s="160">
        <v>5.2639999999999999E-2</v>
      </c>
      <c r="K6186" s="160" t="s">
        <v>23</v>
      </c>
      <c r="L6186" s="154" t="str">
        <f>IF(OpenLCAbasic!K6186="CTUh", "Fill in Manually",IF(OR(K6186="Unit", K6186=""), "", INDEX(LookUps!$E$5:$E$12, MATCH(OpenLCAbasic!K6186,LookUps!$D$5:$D$12,0))))</f>
        <v>Global Warming Potential (GWP) - kg CO2 eq</v>
      </c>
      <c r="M6186" s="154" t="str">
        <f t="shared" si="443"/>
        <v>Low_Medium_Base_Upgraded_Global Warming Potential (GWP) - kg CO2 eq_Effluent release; wastewater treatment unit; at surface water; m3 wastewater - US_Without Amendment_Windrow</v>
      </c>
    </row>
    <row r="6187" spans="1:13" s="120" customFormat="1" x14ac:dyDescent="0.25">
      <c r="A6187" s="119"/>
      <c r="B6187" s="138" t="str">
        <f t="shared" si="447"/>
        <v>Windrow</v>
      </c>
      <c r="C6187" s="138" t="str">
        <f t="shared" si="444"/>
        <v>Without Amendment</v>
      </c>
      <c r="D6187" s="138" t="str">
        <f t="shared" si="446"/>
        <v>Medium_Base</v>
      </c>
      <c r="E6187" s="138" t="str">
        <f t="shared" si="445"/>
        <v>Low</v>
      </c>
      <c r="F6187" s="138" t="str">
        <f t="shared" si="448"/>
        <v>Upgraded</v>
      </c>
      <c r="G6187" s="153"/>
      <c r="H6187" s="210">
        <v>0.16650000000000001</v>
      </c>
      <c r="I6187" s="160" t="s">
        <v>147</v>
      </c>
      <c r="J6187" s="160">
        <v>5.0500000000000003E-2</v>
      </c>
      <c r="K6187" s="160" t="s">
        <v>23</v>
      </c>
      <c r="L6187" s="154" t="str">
        <f>IF(OpenLCAbasic!K6187="CTUh", "Fill in Manually",IF(OR(K6187="Unit", K6187=""), "", INDEX(LookUps!$E$5:$E$12, MATCH(OpenLCAbasic!K6187,LookUps!$D$5:$D$12,0))))</f>
        <v>Global Warming Potential (GWP) - kg CO2 eq</v>
      </c>
      <c r="M6187" s="154" t="str">
        <f t="shared" si="443"/>
        <v>Low_Medium_Base_Upgraded_Global Warming Potential (GWP) - kg CO2 eq_Influent Pump Station; wastewater treatment unit; at updated plant - US_Without Amendment_Windrow</v>
      </c>
    </row>
    <row r="6188" spans="1:13" s="120" customFormat="1" x14ac:dyDescent="0.25">
      <c r="A6188" s="119"/>
      <c r="B6188" s="138" t="str">
        <f t="shared" si="447"/>
        <v>Windrow</v>
      </c>
      <c r="C6188" s="138" t="str">
        <f t="shared" si="444"/>
        <v>Without Amendment</v>
      </c>
      <c r="D6188" s="138" t="str">
        <f t="shared" si="446"/>
        <v>Medium_Base</v>
      </c>
      <c r="E6188" s="138" t="str">
        <f t="shared" si="445"/>
        <v>Low</v>
      </c>
      <c r="F6188" s="138" t="str">
        <f t="shared" si="448"/>
        <v>Upgraded</v>
      </c>
      <c r="G6188" s="153"/>
      <c r="H6188" s="210">
        <v>0.10970000000000001</v>
      </c>
      <c r="I6188" s="160" t="s">
        <v>53</v>
      </c>
      <c r="J6188" s="160">
        <v>3.3259999999999998E-2</v>
      </c>
      <c r="K6188" s="160" t="s">
        <v>23</v>
      </c>
      <c r="L6188" s="154" t="str">
        <f>IF(OpenLCAbasic!K6188="CTUh", "Fill in Manually",IF(OR(K6188="Unit", K6188=""), "", INDEX(LookUps!$E$5:$E$12, MATCH(OpenLCAbasic!K6188,LookUps!$D$5:$D$12,0))))</f>
        <v>Global Warming Potential (GWP) - kg CO2 eq</v>
      </c>
      <c r="M6188" s="154" t="str">
        <f t="shared" si="443"/>
        <v>Low_Medium_Base_Upgraded_Global Warming Potential (GWP) - kg CO2 eq_Wet Well and Sump Station; wastewater treatment unit; at updated plant - US_Without Amendment_Windrow</v>
      </c>
    </row>
    <row r="6189" spans="1:13" s="120" customFormat="1" x14ac:dyDescent="0.25">
      <c r="A6189" s="119"/>
      <c r="B6189" s="138" t="str">
        <f t="shared" si="447"/>
        <v>Windrow</v>
      </c>
      <c r="C6189" s="138" t="str">
        <f t="shared" si="444"/>
        <v>Without Amendment</v>
      </c>
      <c r="D6189" s="138" t="str">
        <f t="shared" si="446"/>
        <v>Medium_Base</v>
      </c>
      <c r="E6189" s="138" t="str">
        <f t="shared" si="445"/>
        <v>Low</v>
      </c>
      <c r="F6189" s="138" t="str">
        <f t="shared" si="448"/>
        <v>Upgraded</v>
      </c>
      <c r="G6189" s="153"/>
      <c r="H6189" s="210">
        <v>5.8200000000000002E-2</v>
      </c>
      <c r="I6189" s="160" t="s">
        <v>60</v>
      </c>
      <c r="J6189" s="160">
        <v>1.7639999999999999E-2</v>
      </c>
      <c r="K6189" s="160" t="s">
        <v>23</v>
      </c>
      <c r="L6189" s="154" t="str">
        <f>IF(OpenLCAbasic!K6189="CTUh", "Fill in Manually",IF(OR(K6189="Unit", K6189=""), "", INDEX(LookUps!$E$5:$E$12, MATCH(OpenLCAbasic!K6189,LookUps!$D$5:$D$12,0))))</f>
        <v>Global Warming Potential (GWP) - kg CO2 eq</v>
      </c>
      <c r="M6189" s="154" t="str">
        <f t="shared" si="443"/>
        <v>Low_Medium_Base_Upgraded_Global Warming Potential (GWP) - kg CO2 eq_Belt filter press; wastewater treatment unit; at updated plant - US_Without Amendment_Windrow</v>
      </c>
    </row>
    <row r="6190" spans="1:13" s="120" customFormat="1" x14ac:dyDescent="0.25">
      <c r="A6190" s="119"/>
      <c r="B6190" s="138" t="str">
        <f t="shared" si="447"/>
        <v>Windrow</v>
      </c>
      <c r="C6190" s="138" t="str">
        <f t="shared" si="444"/>
        <v>Without Amendment</v>
      </c>
      <c r="D6190" s="138" t="str">
        <f t="shared" si="446"/>
        <v>Medium_Base</v>
      </c>
      <c r="E6190" s="138" t="str">
        <f t="shared" si="445"/>
        <v>Low</v>
      </c>
      <c r="F6190" s="138" t="str">
        <f t="shared" si="448"/>
        <v>Upgraded</v>
      </c>
      <c r="G6190" s="153"/>
      <c r="H6190" s="210">
        <v>4.8000000000000001E-2</v>
      </c>
      <c r="I6190" s="160" t="s">
        <v>57</v>
      </c>
      <c r="J6190" s="160">
        <v>1.455E-2</v>
      </c>
      <c r="K6190" s="160" t="s">
        <v>23</v>
      </c>
      <c r="L6190" s="154" t="str">
        <f>IF(OpenLCAbasic!K6190="CTUh", "Fill in Manually",IF(OR(K6190="Unit", K6190=""), "", INDEX(LookUps!$E$5:$E$12, MATCH(OpenLCAbasic!K6190,LookUps!$D$5:$D$12,0))))</f>
        <v>Global Warming Potential (GWP) - kg CO2 eq</v>
      </c>
      <c r="M6190" s="154" t="str">
        <f t="shared" si="443"/>
        <v>Low_Medium_Base_Upgraded_Global Warming Potential (GWP) - kg CO2 eq_Gravity Belt Thickener; wastewater treatment unit; at updated plant - US_Without Amendment_Windrow</v>
      </c>
    </row>
    <row r="6191" spans="1:13" s="120" customFormat="1" x14ac:dyDescent="0.25">
      <c r="A6191" s="119"/>
      <c r="B6191" s="138" t="str">
        <f t="shared" si="447"/>
        <v>Windrow</v>
      </c>
      <c r="C6191" s="138" t="str">
        <f t="shared" si="444"/>
        <v>Without Amendment</v>
      </c>
      <c r="D6191" s="138" t="str">
        <f t="shared" si="446"/>
        <v>Medium_Base</v>
      </c>
      <c r="E6191" s="138" t="str">
        <f t="shared" si="445"/>
        <v>Low</v>
      </c>
      <c r="F6191" s="138" t="str">
        <f t="shared" si="448"/>
        <v>Upgraded</v>
      </c>
      <c r="G6191" s="153"/>
      <c r="H6191" s="210">
        <v>4.4499999999999998E-2</v>
      </c>
      <c r="I6191" s="160" t="s">
        <v>128</v>
      </c>
      <c r="J6191" s="160">
        <v>1.3509999999999999E-2</v>
      </c>
      <c r="K6191" s="160" t="s">
        <v>23</v>
      </c>
      <c r="L6191" s="154" t="str">
        <f>IF(OpenLCAbasic!K6191="CTUh", "Fill in Manually",IF(OR(K6191="Unit", K6191=""), "", INDEX(LookUps!$E$5:$E$12, MATCH(OpenLCAbasic!K6191,LookUps!$D$5:$D$12,0))))</f>
        <v>Global Warming Potential (GWP) - kg CO2 eq</v>
      </c>
      <c r="M6191" s="154" t="str">
        <f t="shared" si="443"/>
        <v>Low_Medium_Base_Upgraded_Global Warming Potential (GWP) - kg CO2 eq_Wastewater collection; operation and infrastructure; m3 wastewater_Without Amendment_Windrow</v>
      </c>
    </row>
    <row r="6192" spans="1:13" s="120" customFormat="1" x14ac:dyDescent="0.25">
      <c r="A6192" s="119"/>
      <c r="B6192" s="138" t="str">
        <f t="shared" si="447"/>
        <v>Windrow</v>
      </c>
      <c r="C6192" s="138" t="str">
        <f t="shared" si="444"/>
        <v>Without Amendment</v>
      </c>
      <c r="D6192" s="138" t="str">
        <f t="shared" si="446"/>
        <v>Medium_Base</v>
      </c>
      <c r="E6192" s="138" t="str">
        <f t="shared" si="445"/>
        <v>Low</v>
      </c>
      <c r="F6192" s="138" t="str">
        <f t="shared" si="448"/>
        <v>Upgraded</v>
      </c>
      <c r="G6192" s="153"/>
      <c r="H6192" s="210">
        <v>2.7400000000000001E-2</v>
      </c>
      <c r="I6192" s="160" t="s">
        <v>148</v>
      </c>
      <c r="J6192" s="160">
        <v>8.3000000000000001E-3</v>
      </c>
      <c r="K6192" s="160" t="s">
        <v>23</v>
      </c>
      <c r="L6192" s="154" t="str">
        <f>IF(OpenLCAbasic!K6192="CTUh", "Fill in Manually",IF(OR(K6192="Unit", K6192=""), "", INDEX(LookUps!$E$5:$E$12, MATCH(OpenLCAbasic!K6192,LookUps!$D$5:$D$12,0))))</f>
        <v>Global Warming Potential (GWP) - kg CO2 eq</v>
      </c>
      <c r="M6192" s="154" t="str">
        <f t="shared" si="443"/>
        <v>Low_Medium_Base_Upgraded_Global Warming Potential (GWP) - kg CO2 eq_Control Building; at upgraded wastewater treatment plant - US_Without Amendment_Windrow</v>
      </c>
    </row>
    <row r="6193" spans="1:13" s="120" customFormat="1" x14ac:dyDescent="0.25">
      <c r="A6193" s="119"/>
      <c r="B6193" s="138" t="str">
        <f t="shared" si="447"/>
        <v>Windrow</v>
      </c>
      <c r="C6193" s="138" t="str">
        <f t="shared" si="444"/>
        <v>Without Amendment</v>
      </c>
      <c r="D6193" s="138" t="str">
        <f t="shared" si="446"/>
        <v>Medium_Base</v>
      </c>
      <c r="E6193" s="138" t="str">
        <f t="shared" si="445"/>
        <v>Low</v>
      </c>
      <c r="F6193" s="138" t="str">
        <f t="shared" si="448"/>
        <v>Upgraded</v>
      </c>
      <c r="G6193" s="153"/>
      <c r="H6193" s="210">
        <v>1.66E-2</v>
      </c>
      <c r="I6193" s="160" t="s">
        <v>59</v>
      </c>
      <c r="J6193" s="160">
        <v>5.0400000000000002E-3</v>
      </c>
      <c r="K6193" s="160" t="s">
        <v>23</v>
      </c>
      <c r="L6193" s="154" t="str">
        <f>IF(OpenLCAbasic!K6193="CTUh", "Fill in Manually",IF(OR(K6193="Unit", K6193=""), "", INDEX(LookUps!$E$5:$E$12, MATCH(OpenLCAbasic!K6193,LookUps!$D$5:$D$12,0))))</f>
        <v>Global Warming Potential (GWP) - kg CO2 eq</v>
      </c>
      <c r="M6193" s="154" t="str">
        <f t="shared" si="443"/>
        <v>Low_Medium_Base_Upgraded_Global Warming Potential (GWP) - kg CO2 eq_Blend Tank; wastewater treatment unit; at updated plant - US_Without Amendment_Windrow</v>
      </c>
    </row>
    <row r="6194" spans="1:13" s="120" customFormat="1" x14ac:dyDescent="0.25">
      <c r="A6194" s="119"/>
      <c r="B6194" s="138" t="str">
        <f t="shared" si="447"/>
        <v>Windrow</v>
      </c>
      <c r="C6194" s="138" t="str">
        <f t="shared" si="444"/>
        <v>Without Amendment</v>
      </c>
      <c r="D6194" s="138" t="str">
        <f t="shared" si="446"/>
        <v>Medium_Base</v>
      </c>
      <c r="E6194" s="138" t="str">
        <f t="shared" si="445"/>
        <v>Low</v>
      </c>
      <c r="F6194" s="138" t="str">
        <f t="shared" si="448"/>
        <v>Upgraded</v>
      </c>
      <c r="G6194" s="153"/>
      <c r="H6194" s="210">
        <v>8.0000000000000002E-3</v>
      </c>
      <c r="I6194" s="160" t="s">
        <v>168</v>
      </c>
      <c r="J6194" s="160">
        <v>2.4099999999999998E-3</v>
      </c>
      <c r="K6194" s="160" t="s">
        <v>23</v>
      </c>
      <c r="L6194" s="154" t="str">
        <f>IF(OpenLCAbasic!K6194="CTUh", "Fill in Manually",IF(OR(K6194="Unit", K6194=""), "", INDEX(LookUps!$E$5:$E$12, MATCH(OpenLCAbasic!K6194,LookUps!$D$5:$D$12,0))))</f>
        <v>Global Warming Potential (GWP) - kg CO2 eq</v>
      </c>
      <c r="M6194" s="154" t="str">
        <f t="shared" si="443"/>
        <v>Low_Medium_Base_Upgraded_Global Warming Potential (GWP) - kg CO2 eq_ClearCove SCP; wastewater treatment unit; at updated plant - US_Without Amendment_Windrow</v>
      </c>
    </row>
    <row r="6195" spans="1:13" s="120" customFormat="1" x14ac:dyDescent="0.25">
      <c r="A6195" s="119"/>
      <c r="B6195" s="138" t="str">
        <f t="shared" si="447"/>
        <v>Windrow</v>
      </c>
      <c r="C6195" s="138" t="str">
        <f t="shared" si="444"/>
        <v>Without Amendment</v>
      </c>
      <c r="D6195" s="138" t="str">
        <f t="shared" si="446"/>
        <v>Medium_Base</v>
      </c>
      <c r="E6195" s="138" t="str">
        <f t="shared" si="445"/>
        <v>Low</v>
      </c>
      <c r="F6195" s="138" t="str">
        <f t="shared" si="448"/>
        <v>Upgraded</v>
      </c>
      <c r="G6195" s="153"/>
      <c r="H6195" s="210">
        <v>-0.61890000000000001</v>
      </c>
      <c r="I6195" s="160" t="s">
        <v>62</v>
      </c>
      <c r="J6195" s="160">
        <v>-0.18768000000000001</v>
      </c>
      <c r="K6195" s="160" t="s">
        <v>23</v>
      </c>
      <c r="L6195" s="154" t="str">
        <f>IF(OpenLCAbasic!K6195="CTUh", "Fill in Manually",IF(OR(K6195="Unit", K6195=""), "", INDEX(LookUps!$E$5:$E$12, MATCH(OpenLCAbasic!K6195,LookUps!$D$5:$D$12,0))))</f>
        <v>Global Warming Potential (GWP) - kg CO2 eq</v>
      </c>
      <c r="M6195" s="154" t="str">
        <f t="shared" si="443"/>
        <v>Low_Medium_Base_Upgraded_Global Warming Potential (GWP) - kg CO2 eq_Land application of compost; wastewater treatment unit; at updated plant - US_Without Amendment_Windrow</v>
      </c>
    </row>
    <row r="6196" spans="1:13" s="120" customFormat="1" x14ac:dyDescent="0.25">
      <c r="A6196" s="119"/>
      <c r="B6196" s="138" t="str">
        <f t="shared" si="447"/>
        <v>Windrow</v>
      </c>
      <c r="C6196" s="138" t="str">
        <f t="shared" si="444"/>
        <v>Without Amendment</v>
      </c>
      <c r="D6196" s="138" t="str">
        <f t="shared" si="446"/>
        <v>Medium_Base</v>
      </c>
      <c r="E6196" s="138" t="str">
        <f t="shared" si="445"/>
        <v>Low</v>
      </c>
      <c r="F6196" s="138" t="str">
        <f t="shared" si="448"/>
        <v>Upgraded</v>
      </c>
      <c r="G6196" s="153"/>
      <c r="H6196" s="210">
        <v>-1.22</v>
      </c>
      <c r="I6196" s="160" t="s">
        <v>149</v>
      </c>
      <c r="J6196" s="160">
        <v>-0.36997999999999998</v>
      </c>
      <c r="K6196" s="160" t="s">
        <v>23</v>
      </c>
      <c r="L6196" s="154" t="str">
        <f>IF(OpenLCAbasic!K6196="CTUh", "Fill in Manually",IF(OR(K6196="Unit", K6196=""), "", INDEX(LookUps!$E$5:$E$12, MATCH(OpenLCAbasic!K6196,LookUps!$D$5:$D$12,0))))</f>
        <v>Global Warming Potential (GWP) - kg CO2 eq</v>
      </c>
      <c r="M6196" s="154" t="str">
        <f t="shared" si="443"/>
        <v>Low_Medium_Base_Upgraded_Global Warming Potential (GWP) - kg CO2 eq_Anaerobic Digestion; wastewater treatment unit; at updated plant - US_Without Amendment_Windrow</v>
      </c>
    </row>
    <row r="6197" spans="1:13" s="120" customFormat="1" x14ac:dyDescent="0.25">
      <c r="A6197" s="119"/>
      <c r="B6197" s="138" t="str">
        <f t="shared" si="447"/>
        <v/>
      </c>
      <c r="C6197" s="138" t="str">
        <f t="shared" si="444"/>
        <v/>
      </c>
      <c r="D6197" s="138" t="str">
        <f t="shared" si="446"/>
        <v/>
      </c>
      <c r="E6197" s="138" t="str">
        <f t="shared" si="445"/>
        <v/>
      </c>
      <c r="F6197" s="138" t="str">
        <f t="shared" si="448"/>
        <v/>
      </c>
      <c r="G6197" s="153" t="s">
        <v>51</v>
      </c>
      <c r="H6197" s="160"/>
      <c r="I6197" s="160" t="s">
        <v>47</v>
      </c>
      <c r="J6197" s="160" t="s">
        <v>52</v>
      </c>
      <c r="K6197" s="160" t="s">
        <v>27</v>
      </c>
      <c r="L6197" s="154" t="str">
        <f>IF(OpenLCAbasic!K6197="CTUh", "Fill in Manually",IF(OR(K6197="Unit", K6197=""), "", INDEX(LookUps!$E$5:$E$12, MATCH(OpenLCAbasic!K6197,LookUps!$D$5:$D$12,0))))</f>
        <v/>
      </c>
      <c r="M6197" s="154" t="str">
        <f t="shared" si="443"/>
        <v>____Process__</v>
      </c>
    </row>
    <row r="6198" spans="1:13" s="120" customFormat="1" x14ac:dyDescent="0.25">
      <c r="A6198" s="119"/>
      <c r="B6198" s="138" t="str">
        <f t="shared" si="447"/>
        <v>Windrow</v>
      </c>
      <c r="C6198" s="138" t="str">
        <f t="shared" si="444"/>
        <v>Without Amendment</v>
      </c>
      <c r="D6198" s="138" t="str">
        <f t="shared" si="446"/>
        <v>Medium_Base</v>
      </c>
      <c r="E6198" s="138" t="str">
        <f t="shared" si="445"/>
        <v>Low</v>
      </c>
      <c r="F6198" s="138" t="str">
        <f t="shared" si="448"/>
        <v>Upgraded</v>
      </c>
      <c r="G6198" s="153"/>
      <c r="H6198" s="210">
        <v>0.877</v>
      </c>
      <c r="I6198" s="160" t="s">
        <v>55</v>
      </c>
      <c r="J6198" s="160">
        <v>2.33E-3</v>
      </c>
      <c r="K6198" s="160" t="s">
        <v>145</v>
      </c>
      <c r="L6198" s="154" t="str">
        <f>IF(OpenLCAbasic!K6198="CTUh", "Fill in Manually",IF(OR(K6198="Unit", K6198=""), "", INDEX(LookUps!$E$5:$E$12, MATCH(OpenLCAbasic!K6198,LookUps!$D$5:$D$12,0))))</f>
        <v>Particulate Matter Formation Potential (PMFP) - kg PM2.5 eq</v>
      </c>
      <c r="M6198" s="154" t="str">
        <f t="shared" si="443"/>
        <v>Low_Medium_Base_Upgraded_Particulate Matter Formation Potential (PMFP) - kg PM2.5 eq_Aeration Tanks; wastewater treatment unit; at updated plant - US_Without Amendment_Windrow</v>
      </c>
    </row>
    <row r="6199" spans="1:13" s="120" customFormat="1" x14ac:dyDescent="0.25">
      <c r="A6199" s="119"/>
      <c r="B6199" s="138" t="str">
        <f t="shared" si="447"/>
        <v>Windrow</v>
      </c>
      <c r="C6199" s="138" t="str">
        <f t="shared" si="444"/>
        <v>Without Amendment</v>
      </c>
      <c r="D6199" s="138" t="str">
        <f t="shared" si="446"/>
        <v>Medium_Base</v>
      </c>
      <c r="E6199" s="138" t="str">
        <f t="shared" si="445"/>
        <v>Low</v>
      </c>
      <c r="F6199" s="138" t="str">
        <f t="shared" si="448"/>
        <v>Upgraded</v>
      </c>
      <c r="G6199" s="153"/>
      <c r="H6199" s="210">
        <v>0.25519999999999998</v>
      </c>
      <c r="I6199" s="160" t="s">
        <v>54</v>
      </c>
      <c r="J6199" s="160">
        <v>6.8000000000000005E-4</v>
      </c>
      <c r="K6199" s="160" t="s">
        <v>145</v>
      </c>
      <c r="L6199" s="154" t="str">
        <f>IF(OpenLCAbasic!K6199="CTUh", "Fill in Manually",IF(OR(K6199="Unit", K6199=""), "", INDEX(LookUps!$E$5:$E$12, MATCH(OpenLCAbasic!K6199,LookUps!$D$5:$D$12,0))))</f>
        <v>Particulate Matter Formation Potential (PMFP) - kg PM2.5 eq</v>
      </c>
      <c r="M6199" s="154" t="str">
        <f t="shared" si="443"/>
        <v>Low_Medium_Base_Upgraded_Particulate Matter Formation Potential (PMFP) - kg PM2.5 eq_Clear Cove Primary Clarification; wastewater treatment unit; at updated plant - US_Without Amendment_Windrow</v>
      </c>
    </row>
    <row r="6200" spans="1:13" s="120" customFormat="1" x14ac:dyDescent="0.25">
      <c r="A6200" s="119"/>
      <c r="B6200" s="138" t="str">
        <f t="shared" si="447"/>
        <v>Windrow</v>
      </c>
      <c r="C6200" s="138" t="str">
        <f t="shared" si="444"/>
        <v>Without Amendment</v>
      </c>
      <c r="D6200" s="138" t="str">
        <f t="shared" si="446"/>
        <v>Medium_Base</v>
      </c>
      <c r="E6200" s="138" t="str">
        <f t="shared" si="445"/>
        <v>Low</v>
      </c>
      <c r="F6200" s="138" t="str">
        <f t="shared" si="448"/>
        <v>Upgraded</v>
      </c>
      <c r="G6200" s="153"/>
      <c r="H6200" s="210">
        <v>0.22120000000000001</v>
      </c>
      <c r="I6200" s="160" t="s">
        <v>58</v>
      </c>
      <c r="J6200" s="160">
        <v>5.9000000000000003E-4</v>
      </c>
      <c r="K6200" s="160" t="s">
        <v>145</v>
      </c>
      <c r="L6200" s="154" t="str">
        <f>IF(OpenLCAbasic!K6200="CTUh", "Fill in Manually",IF(OR(K6200="Unit", K6200=""), "", INDEX(LookUps!$E$5:$E$12, MATCH(OpenLCAbasic!K6200,LookUps!$D$5:$D$12,0))))</f>
        <v>Particulate Matter Formation Potential (PMFP) - kg PM2.5 eq</v>
      </c>
      <c r="M6200" s="154" t="str">
        <f t="shared" si="443"/>
        <v>Low_Medium_Base_Upgraded_Particulate Matter Formation Potential (PMFP) - kg PM2.5 eq_Pre-Anoxic &amp; Swing tank; wastewater treatment unit; at updated plant - US_Without Amendment_Windrow</v>
      </c>
    </row>
    <row r="6201" spans="1:13" s="120" customFormat="1" x14ac:dyDescent="0.25">
      <c r="A6201" s="119"/>
      <c r="B6201" s="138" t="str">
        <f t="shared" si="447"/>
        <v>Windrow</v>
      </c>
      <c r="C6201" s="138" t="str">
        <f t="shared" si="444"/>
        <v>Without Amendment</v>
      </c>
      <c r="D6201" s="138" t="str">
        <f t="shared" si="446"/>
        <v>Medium_Base</v>
      </c>
      <c r="E6201" s="138" t="str">
        <f t="shared" si="445"/>
        <v>Low</v>
      </c>
      <c r="F6201" s="138" t="str">
        <f t="shared" si="448"/>
        <v>Upgraded</v>
      </c>
      <c r="G6201" s="153"/>
      <c r="H6201" s="210">
        <v>0.17530000000000001</v>
      </c>
      <c r="I6201" s="160" t="s">
        <v>53</v>
      </c>
      <c r="J6201" s="160">
        <v>4.6999999999999999E-4</v>
      </c>
      <c r="K6201" s="160" t="s">
        <v>145</v>
      </c>
      <c r="L6201" s="154" t="str">
        <f>IF(OpenLCAbasic!K6201="CTUh", "Fill in Manually",IF(OR(K6201="Unit", K6201=""), "", INDEX(LookUps!$E$5:$E$12, MATCH(OpenLCAbasic!K6201,LookUps!$D$5:$D$12,0))))</f>
        <v>Particulate Matter Formation Potential (PMFP) - kg PM2.5 eq</v>
      </c>
      <c r="M6201" s="154" t="str">
        <f t="shared" si="443"/>
        <v>Low_Medium_Base_Upgraded_Particulate Matter Formation Potential (PMFP) - kg PM2.5 eq_Wet Well and Sump Station; wastewater treatment unit; at updated plant - US_Without Amendment_Windrow</v>
      </c>
    </row>
    <row r="6202" spans="1:13" s="120" customFormat="1" x14ac:dyDescent="0.25">
      <c r="A6202" s="119"/>
      <c r="B6202" s="138" t="str">
        <f t="shared" si="447"/>
        <v>Windrow</v>
      </c>
      <c r="C6202" s="138" t="str">
        <f t="shared" si="444"/>
        <v>Without Amendment</v>
      </c>
      <c r="D6202" s="138" t="str">
        <f t="shared" si="446"/>
        <v>Medium_Base</v>
      </c>
      <c r="E6202" s="138" t="str">
        <f t="shared" si="445"/>
        <v>Low</v>
      </c>
      <c r="F6202" s="138" t="str">
        <f t="shared" si="448"/>
        <v>Upgraded</v>
      </c>
      <c r="G6202" s="153"/>
      <c r="H6202" s="210">
        <v>0.1182</v>
      </c>
      <c r="I6202" s="160" t="s">
        <v>167</v>
      </c>
      <c r="J6202" s="160">
        <v>3.1E-4</v>
      </c>
      <c r="K6202" s="160" t="s">
        <v>145</v>
      </c>
      <c r="L6202" s="154" t="str">
        <f>IF(OpenLCAbasic!K6202="CTUh", "Fill in Manually",IF(OR(K6202="Unit", K6202=""), "", INDEX(LookUps!$E$5:$E$12, MATCH(OpenLCAbasic!K6202,LookUps!$D$5:$D$12,0))))</f>
        <v>Particulate Matter Formation Potential (PMFP) - kg PM2.5 eq</v>
      </c>
      <c r="M6202" s="154" t="str">
        <f t="shared" si="443"/>
        <v>Low_Medium_Base_Upgraded_Particulate Matter Formation Potential (PMFP) - kg PM2.5 eq_Waste Receiving and Holding; wastewater treatment unit; at updated plant - US_Without Amendment_Windrow</v>
      </c>
    </row>
    <row r="6203" spans="1:13" s="120" customFormat="1" x14ac:dyDescent="0.25">
      <c r="A6203" s="119"/>
      <c r="B6203" s="138" t="str">
        <f t="shared" si="447"/>
        <v>Windrow</v>
      </c>
      <c r="C6203" s="138" t="str">
        <f t="shared" si="444"/>
        <v>Without Amendment</v>
      </c>
      <c r="D6203" s="138" t="str">
        <f t="shared" si="446"/>
        <v>Medium_Base</v>
      </c>
      <c r="E6203" s="138" t="str">
        <f t="shared" si="445"/>
        <v>Low</v>
      </c>
      <c r="F6203" s="138" t="str">
        <f t="shared" si="448"/>
        <v>Upgraded</v>
      </c>
      <c r="G6203" s="153"/>
      <c r="H6203" s="210">
        <v>0.1002</v>
      </c>
      <c r="I6203" s="160" t="s">
        <v>147</v>
      </c>
      <c r="J6203" s="160">
        <v>2.7E-4</v>
      </c>
      <c r="K6203" s="160" t="s">
        <v>145</v>
      </c>
      <c r="L6203" s="154" t="str">
        <f>IF(OpenLCAbasic!K6203="CTUh", "Fill in Manually",IF(OR(K6203="Unit", K6203=""), "", INDEX(LookUps!$E$5:$E$12, MATCH(OpenLCAbasic!K6203,LookUps!$D$5:$D$12,0))))</f>
        <v>Particulate Matter Formation Potential (PMFP) - kg PM2.5 eq</v>
      </c>
      <c r="M6203" s="154" t="str">
        <f t="shared" ref="M6203:M6266" si="449">CONCATENATE(E6203,"_",D6203,"_",F6203,"_",L6203, "_",I6203,"_", C6203,"_", B6203)</f>
        <v>Low_Medium_Base_Upgraded_Particulate Matter Formation Potential (PMFP) - kg PM2.5 eq_Influent Pump Station; wastewater treatment unit; at updated plant - US_Without Amendment_Windrow</v>
      </c>
    </row>
    <row r="6204" spans="1:13" s="120" customFormat="1" x14ac:dyDescent="0.25">
      <c r="A6204" s="119"/>
      <c r="B6204" s="138" t="str">
        <f t="shared" si="447"/>
        <v>Windrow</v>
      </c>
      <c r="C6204" s="138" t="str">
        <f t="shared" si="444"/>
        <v>Without Amendment</v>
      </c>
      <c r="D6204" s="138" t="str">
        <f t="shared" si="446"/>
        <v>Medium_Base</v>
      </c>
      <c r="E6204" s="138" t="str">
        <f t="shared" si="445"/>
        <v>Low</v>
      </c>
      <c r="F6204" s="138" t="str">
        <f t="shared" si="448"/>
        <v>Upgraded</v>
      </c>
      <c r="G6204" s="153"/>
      <c r="H6204" s="210">
        <v>6.25E-2</v>
      </c>
      <c r="I6204" s="160" t="s">
        <v>128</v>
      </c>
      <c r="J6204" s="160">
        <v>1.7000000000000001E-4</v>
      </c>
      <c r="K6204" s="160" t="s">
        <v>145</v>
      </c>
      <c r="L6204" s="154" t="str">
        <f>IF(OpenLCAbasic!K6204="CTUh", "Fill in Manually",IF(OR(K6204="Unit", K6204=""), "", INDEX(LookUps!$E$5:$E$12, MATCH(OpenLCAbasic!K6204,LookUps!$D$5:$D$12,0))))</f>
        <v>Particulate Matter Formation Potential (PMFP) - kg PM2.5 eq</v>
      </c>
      <c r="M6204" s="154" t="str">
        <f t="shared" si="449"/>
        <v>Low_Medium_Base_Upgraded_Particulate Matter Formation Potential (PMFP) - kg PM2.5 eq_Wastewater collection; operation and infrastructure; m3 wastewater_Without Amendment_Windrow</v>
      </c>
    </row>
    <row r="6205" spans="1:13" s="120" customFormat="1" x14ac:dyDescent="0.25">
      <c r="A6205" s="119"/>
      <c r="B6205" s="138" t="str">
        <f t="shared" si="447"/>
        <v>Windrow</v>
      </c>
      <c r="C6205" s="138" t="str">
        <f t="shared" si="444"/>
        <v>Without Amendment</v>
      </c>
      <c r="D6205" s="138" t="str">
        <f t="shared" si="446"/>
        <v>Medium_Base</v>
      </c>
      <c r="E6205" s="138" t="str">
        <f t="shared" si="445"/>
        <v>Low</v>
      </c>
      <c r="F6205" s="138" t="str">
        <f t="shared" si="448"/>
        <v>Upgraded</v>
      </c>
      <c r="G6205" s="153"/>
      <c r="H6205" s="210">
        <v>5.4199999999999998E-2</v>
      </c>
      <c r="I6205" s="160" t="s">
        <v>60</v>
      </c>
      <c r="J6205" s="160">
        <v>1.3999999999999999E-4</v>
      </c>
      <c r="K6205" s="160" t="s">
        <v>145</v>
      </c>
      <c r="L6205" s="154" t="str">
        <f>IF(OpenLCAbasic!K6205="CTUh", "Fill in Manually",IF(OR(K6205="Unit", K6205=""), "", INDEX(LookUps!$E$5:$E$12, MATCH(OpenLCAbasic!K6205,LookUps!$D$5:$D$12,0))))</f>
        <v>Particulate Matter Formation Potential (PMFP) - kg PM2.5 eq</v>
      </c>
      <c r="M6205" s="154" t="str">
        <f t="shared" si="449"/>
        <v>Low_Medium_Base_Upgraded_Particulate Matter Formation Potential (PMFP) - kg PM2.5 eq_Belt filter press; wastewater treatment unit; at updated plant - US_Without Amendment_Windrow</v>
      </c>
    </row>
    <row r="6206" spans="1:13" s="120" customFormat="1" x14ac:dyDescent="0.25">
      <c r="A6206" s="119"/>
      <c r="B6206" s="138" t="str">
        <f t="shared" si="447"/>
        <v>Windrow</v>
      </c>
      <c r="C6206" s="138" t="str">
        <f t="shared" si="444"/>
        <v>Without Amendment</v>
      </c>
      <c r="D6206" s="138" t="str">
        <f t="shared" si="446"/>
        <v>Medium_Base</v>
      </c>
      <c r="E6206" s="138" t="str">
        <f t="shared" si="445"/>
        <v>Low</v>
      </c>
      <c r="F6206" s="138" t="str">
        <f t="shared" si="448"/>
        <v>Upgraded</v>
      </c>
      <c r="G6206" s="153"/>
      <c r="H6206" s="210">
        <v>3.5799999999999998E-2</v>
      </c>
      <c r="I6206" s="160" t="s">
        <v>57</v>
      </c>
      <c r="J6206" s="211">
        <v>9.5153800000000004E-5</v>
      </c>
      <c r="K6206" s="160" t="s">
        <v>145</v>
      </c>
      <c r="L6206" s="154" t="str">
        <f>IF(OpenLCAbasic!K6206="CTUh", "Fill in Manually",IF(OR(K6206="Unit", K6206=""), "", INDEX(LookUps!$E$5:$E$12, MATCH(OpenLCAbasic!K6206,LookUps!$D$5:$D$12,0))))</f>
        <v>Particulate Matter Formation Potential (PMFP) - kg PM2.5 eq</v>
      </c>
      <c r="M6206" s="154" t="str">
        <f t="shared" si="449"/>
        <v>Low_Medium_Base_Upgraded_Particulate Matter Formation Potential (PMFP) - kg PM2.5 eq_Gravity Belt Thickener; wastewater treatment unit; at updated plant - US_Without Amendment_Windrow</v>
      </c>
    </row>
    <row r="6207" spans="1:13" s="120" customFormat="1" x14ac:dyDescent="0.25">
      <c r="A6207" s="119"/>
      <c r="B6207" s="138" t="str">
        <f t="shared" si="447"/>
        <v>Windrow</v>
      </c>
      <c r="C6207" s="138" t="str">
        <f t="shared" si="444"/>
        <v>Without Amendment</v>
      </c>
      <c r="D6207" s="138" t="str">
        <f t="shared" si="446"/>
        <v>Medium_Base</v>
      </c>
      <c r="E6207" s="138" t="str">
        <f t="shared" si="445"/>
        <v>Low</v>
      </c>
      <c r="F6207" s="138" t="str">
        <f t="shared" si="448"/>
        <v>Upgraded</v>
      </c>
      <c r="G6207" s="153"/>
      <c r="H6207" s="210">
        <v>2.63E-2</v>
      </c>
      <c r="I6207" s="160" t="s">
        <v>59</v>
      </c>
      <c r="J6207" s="211">
        <v>6.9942200000000003E-5</v>
      </c>
      <c r="K6207" s="160" t="s">
        <v>145</v>
      </c>
      <c r="L6207" s="154" t="str">
        <f>IF(OpenLCAbasic!K6207="CTUh", "Fill in Manually",IF(OR(K6207="Unit", K6207=""), "", INDEX(LookUps!$E$5:$E$12, MATCH(OpenLCAbasic!K6207,LookUps!$D$5:$D$12,0))))</f>
        <v>Particulate Matter Formation Potential (PMFP) - kg PM2.5 eq</v>
      </c>
      <c r="M6207" s="154" t="str">
        <f t="shared" si="449"/>
        <v>Low_Medium_Base_Upgraded_Particulate Matter Formation Potential (PMFP) - kg PM2.5 eq_Blend Tank; wastewater treatment unit; at updated plant - US_Without Amendment_Windrow</v>
      </c>
    </row>
    <row r="6208" spans="1:13" s="120" customFormat="1" x14ac:dyDescent="0.25">
      <c r="A6208" s="119"/>
      <c r="B6208" s="138" t="str">
        <f t="shared" si="447"/>
        <v>Windrow</v>
      </c>
      <c r="C6208" s="138" t="str">
        <f t="shared" si="444"/>
        <v>Without Amendment</v>
      </c>
      <c r="D6208" s="138" t="str">
        <f t="shared" si="446"/>
        <v>Medium_Base</v>
      </c>
      <c r="E6208" s="138" t="str">
        <f t="shared" si="445"/>
        <v>Low</v>
      </c>
      <c r="F6208" s="138" t="str">
        <f t="shared" si="448"/>
        <v>Upgraded</v>
      </c>
      <c r="G6208" s="153"/>
      <c r="H6208" s="210">
        <v>1.8800000000000001E-2</v>
      </c>
      <c r="I6208" s="160" t="s">
        <v>48</v>
      </c>
      <c r="J6208" s="211">
        <v>4.99741E-5</v>
      </c>
      <c r="K6208" s="160" t="s">
        <v>145</v>
      </c>
      <c r="L6208" s="154" t="str">
        <f>IF(OpenLCAbasic!K6208="CTUh", "Fill in Manually",IF(OR(K6208="Unit", K6208=""), "", INDEX(LookUps!$E$5:$E$12, MATCH(OpenLCAbasic!K6208,LookUps!$D$5:$D$12,0))))</f>
        <v>Particulate Matter Formation Potential (PMFP) - kg PM2.5 eq</v>
      </c>
      <c r="M6208" s="154" t="str">
        <f t="shared" si="449"/>
        <v>Low_Medium_Base_Upgraded_Particulate Matter Formation Potential (PMFP) - kg PM2.5 eq_Effluent release; wastewater treatment unit; at surface water; m3 wastewater - US_Without Amendment_Windrow</v>
      </c>
    </row>
    <row r="6209" spans="1:13" s="120" customFormat="1" x14ac:dyDescent="0.25">
      <c r="A6209" s="119"/>
      <c r="B6209" s="138" t="str">
        <f t="shared" si="447"/>
        <v>Windrow</v>
      </c>
      <c r="C6209" s="138" t="str">
        <f t="shared" ref="C6209:C6272" si="450">IF(ISNUMBER($J6209),"Without Amendment","")</f>
        <v>Without Amendment</v>
      </c>
      <c r="D6209" s="138" t="str">
        <f t="shared" si="446"/>
        <v>Medium_Base</v>
      </c>
      <c r="E6209" s="138" t="str">
        <f t="shared" ref="E6209:E6272" si="451">IF(ISNUMBER($J6209),"Low","")</f>
        <v>Low</v>
      </c>
      <c r="F6209" s="138" t="str">
        <f t="shared" si="448"/>
        <v>Upgraded</v>
      </c>
      <c r="G6209" s="153"/>
      <c r="H6209" s="210">
        <v>1.8200000000000001E-2</v>
      </c>
      <c r="I6209" s="160" t="s">
        <v>62</v>
      </c>
      <c r="J6209" s="211">
        <v>4.83949E-5</v>
      </c>
      <c r="K6209" s="160" t="s">
        <v>145</v>
      </c>
      <c r="L6209" s="154" t="str">
        <f>IF(OpenLCAbasic!K6209="CTUh", "Fill in Manually",IF(OR(K6209="Unit", K6209=""), "", INDEX(LookUps!$E$5:$E$12, MATCH(OpenLCAbasic!K6209,LookUps!$D$5:$D$12,0))))</f>
        <v>Particulate Matter Formation Potential (PMFP) - kg PM2.5 eq</v>
      </c>
      <c r="M6209" s="154" t="str">
        <f t="shared" si="449"/>
        <v>Low_Medium_Base_Upgraded_Particulate Matter Formation Potential (PMFP) - kg PM2.5 eq_Land application of compost; wastewater treatment unit; at updated plant - US_Without Amendment_Windrow</v>
      </c>
    </row>
    <row r="6210" spans="1:13" s="120" customFormat="1" x14ac:dyDescent="0.25">
      <c r="A6210" s="119"/>
      <c r="B6210" s="138" t="str">
        <f t="shared" si="447"/>
        <v>Windrow</v>
      </c>
      <c r="C6210" s="138" t="str">
        <f t="shared" si="450"/>
        <v>Without Amendment</v>
      </c>
      <c r="D6210" s="138" t="str">
        <f t="shared" si="446"/>
        <v>Medium_Base</v>
      </c>
      <c r="E6210" s="138" t="str">
        <f t="shared" si="451"/>
        <v>Low</v>
      </c>
      <c r="F6210" s="138" t="str">
        <f t="shared" si="448"/>
        <v>Upgraded</v>
      </c>
      <c r="G6210" s="153"/>
      <c r="H6210" s="210">
        <v>1.32E-2</v>
      </c>
      <c r="I6210" s="160" t="s">
        <v>271</v>
      </c>
      <c r="J6210" s="211">
        <v>3.5074399999999997E-5</v>
      </c>
      <c r="K6210" s="160" t="s">
        <v>145</v>
      </c>
      <c r="L6210" s="154" t="str">
        <f>IF(OpenLCAbasic!K6210="CTUh", "Fill in Manually",IF(OR(K6210="Unit", K6210=""), "", INDEX(LookUps!$E$5:$E$12, MATCH(OpenLCAbasic!K6210,LookUps!$D$5:$D$12,0))))</f>
        <v>Particulate Matter Formation Potential (PMFP) - kg PM2.5 eq</v>
      </c>
      <c r="M6210" s="154" t="str">
        <f t="shared" si="449"/>
        <v>Low_Medium_Base_Upgraded_Particulate Matter Formation Potential (PMFP) - kg PM2.5 eq_Biosolids composting; windrow composting; wastewater treatment unit; at updated plant - US_Without Amendment_Windrow</v>
      </c>
    </row>
    <row r="6211" spans="1:13" s="120" customFormat="1" x14ac:dyDescent="0.25">
      <c r="A6211" s="119"/>
      <c r="B6211" s="138" t="str">
        <f t="shared" si="447"/>
        <v>Windrow</v>
      </c>
      <c r="C6211" s="138" t="str">
        <f t="shared" si="450"/>
        <v>Without Amendment</v>
      </c>
      <c r="D6211" s="138" t="str">
        <f t="shared" si="446"/>
        <v>Medium_Base</v>
      </c>
      <c r="E6211" s="138" t="str">
        <f t="shared" si="451"/>
        <v>Low</v>
      </c>
      <c r="F6211" s="138" t="str">
        <f t="shared" si="448"/>
        <v>Upgraded</v>
      </c>
      <c r="G6211" s="153"/>
      <c r="H6211" s="210">
        <v>1.2999999999999999E-2</v>
      </c>
      <c r="I6211" s="160" t="s">
        <v>168</v>
      </c>
      <c r="J6211" s="211">
        <v>3.4562199999999999E-5</v>
      </c>
      <c r="K6211" s="160" t="s">
        <v>145</v>
      </c>
      <c r="L6211" s="154" t="str">
        <f>IF(OpenLCAbasic!K6211="CTUh", "Fill in Manually",IF(OR(K6211="Unit", K6211=""), "", INDEX(LookUps!$E$5:$E$12, MATCH(OpenLCAbasic!K6211,LookUps!$D$5:$D$12,0))))</f>
        <v>Particulate Matter Formation Potential (PMFP) - kg PM2.5 eq</v>
      </c>
      <c r="M6211" s="154" t="str">
        <f t="shared" si="449"/>
        <v>Low_Medium_Base_Upgraded_Particulate Matter Formation Potential (PMFP) - kg PM2.5 eq_ClearCove SCP; wastewater treatment unit; at updated plant - US_Without Amendment_Windrow</v>
      </c>
    </row>
    <row r="6212" spans="1:13" s="120" customFormat="1" x14ac:dyDescent="0.25">
      <c r="A6212" s="119"/>
      <c r="B6212" s="138" t="str">
        <f t="shared" si="447"/>
        <v>Windrow</v>
      </c>
      <c r="C6212" s="138" t="str">
        <f t="shared" si="450"/>
        <v>Without Amendment</v>
      </c>
      <c r="D6212" s="138" t="str">
        <f t="shared" si="446"/>
        <v>Medium_Base</v>
      </c>
      <c r="E6212" s="138" t="str">
        <f t="shared" si="451"/>
        <v>Low</v>
      </c>
      <c r="F6212" s="138" t="str">
        <f t="shared" si="448"/>
        <v>Upgraded</v>
      </c>
      <c r="G6212" s="153"/>
      <c r="H6212" s="210">
        <v>3.3E-3</v>
      </c>
      <c r="I6212" s="160" t="s">
        <v>148</v>
      </c>
      <c r="J6212" s="211">
        <v>8.8212999999999997E-6</v>
      </c>
      <c r="K6212" s="160" t="s">
        <v>145</v>
      </c>
      <c r="L6212" s="154" t="str">
        <f>IF(OpenLCAbasic!K6212="CTUh", "Fill in Manually",IF(OR(K6212="Unit", K6212=""), "", INDEX(LookUps!$E$5:$E$12, MATCH(OpenLCAbasic!K6212,LookUps!$D$5:$D$12,0))))</f>
        <v>Particulate Matter Formation Potential (PMFP) - kg PM2.5 eq</v>
      </c>
      <c r="M6212" s="154" t="str">
        <f t="shared" si="449"/>
        <v>Low_Medium_Base_Upgraded_Particulate Matter Formation Potential (PMFP) - kg PM2.5 eq_Control Building; at upgraded wastewater treatment plant - US_Without Amendment_Windrow</v>
      </c>
    </row>
    <row r="6213" spans="1:13" s="120" customFormat="1" x14ac:dyDescent="0.25">
      <c r="A6213" s="119"/>
      <c r="B6213" s="138" t="str">
        <f t="shared" si="447"/>
        <v>Windrow</v>
      </c>
      <c r="C6213" s="138" t="str">
        <f t="shared" si="450"/>
        <v>Without Amendment</v>
      </c>
      <c r="D6213" s="138" t="str">
        <f t="shared" si="446"/>
        <v>Medium_Base</v>
      </c>
      <c r="E6213" s="138" t="str">
        <f t="shared" si="451"/>
        <v>Low</v>
      </c>
      <c r="F6213" s="138" t="str">
        <f t="shared" si="448"/>
        <v>Upgraded</v>
      </c>
      <c r="G6213" s="153"/>
      <c r="H6213" s="210">
        <v>-0.99239999999999995</v>
      </c>
      <c r="I6213" s="160" t="s">
        <v>149</v>
      </c>
      <c r="J6213" s="160">
        <v>-2.64E-3</v>
      </c>
      <c r="K6213" s="160" t="s">
        <v>145</v>
      </c>
      <c r="L6213" s="154" t="str">
        <f>IF(OpenLCAbasic!K6213="CTUh", "Fill in Manually",IF(OR(K6213="Unit", K6213=""), "", INDEX(LookUps!$E$5:$E$12, MATCH(OpenLCAbasic!K6213,LookUps!$D$5:$D$12,0))))</f>
        <v>Particulate Matter Formation Potential (PMFP) - kg PM2.5 eq</v>
      </c>
      <c r="M6213" s="154" t="str">
        <f t="shared" si="449"/>
        <v>Low_Medium_Base_Upgraded_Particulate Matter Formation Potential (PMFP) - kg PM2.5 eq_Anaerobic Digestion; wastewater treatment unit; at updated plant - US_Without Amendment_Windrow</v>
      </c>
    </row>
    <row r="6214" spans="1:13" s="120" customFormat="1" x14ac:dyDescent="0.25">
      <c r="A6214" s="119"/>
      <c r="B6214" s="138" t="str">
        <f t="shared" si="447"/>
        <v/>
      </c>
      <c r="C6214" s="138" t="str">
        <f t="shared" si="450"/>
        <v/>
      </c>
      <c r="D6214" s="138" t="str">
        <f t="shared" si="446"/>
        <v/>
      </c>
      <c r="E6214" s="138" t="str">
        <f t="shared" si="451"/>
        <v/>
      </c>
      <c r="F6214" s="138" t="str">
        <f t="shared" si="448"/>
        <v/>
      </c>
      <c r="G6214" s="153" t="s">
        <v>51</v>
      </c>
      <c r="H6214" s="160"/>
      <c r="I6214" s="160" t="s">
        <v>47</v>
      </c>
      <c r="J6214" s="160" t="s">
        <v>52</v>
      </c>
      <c r="K6214" s="160" t="s">
        <v>27</v>
      </c>
      <c r="L6214" s="154" t="str">
        <f>IF(OpenLCAbasic!K6214="CTUh", "Fill in Manually",IF(OR(K6214="Unit", K6214=""), "", INDEX(LookUps!$E$5:$E$12, MATCH(OpenLCAbasic!K6214,LookUps!$D$5:$D$12,0))))</f>
        <v/>
      </c>
      <c r="M6214" s="154" t="str">
        <f t="shared" si="449"/>
        <v>____Process__</v>
      </c>
    </row>
    <row r="6215" spans="1:13" s="120" customFormat="1" x14ac:dyDescent="0.25">
      <c r="A6215" s="119"/>
      <c r="B6215" s="138" t="str">
        <f t="shared" si="447"/>
        <v>Windrow</v>
      </c>
      <c r="C6215" s="138" t="str">
        <f t="shared" si="450"/>
        <v>Without Amendment</v>
      </c>
      <c r="D6215" s="138" t="str">
        <f t="shared" si="446"/>
        <v>Medium_Base</v>
      </c>
      <c r="E6215" s="138" t="str">
        <f t="shared" si="451"/>
        <v>Low</v>
      </c>
      <c r="F6215" s="138" t="str">
        <f t="shared" si="448"/>
        <v>Upgraded</v>
      </c>
      <c r="G6215" s="153"/>
      <c r="H6215" s="210">
        <v>0.88300000000000001</v>
      </c>
      <c r="I6215" s="160" t="s">
        <v>55</v>
      </c>
      <c r="J6215" s="160">
        <v>0.16577</v>
      </c>
      <c r="K6215" s="160" t="s">
        <v>25</v>
      </c>
      <c r="L6215" s="154" t="str">
        <f>IF(OpenLCAbasic!K6215="CTUh", "Fill in Manually",IF(OR(K6215="Unit", K6215=""), "", INDEX(LookUps!$E$5:$E$12, MATCH(OpenLCAbasic!K6215,LookUps!$D$5:$D$12,0))))</f>
        <v>Smog Formation Potential (SFP) - kg O3 eq</v>
      </c>
      <c r="M6215" s="154" t="str">
        <f t="shared" si="449"/>
        <v>Low_Medium_Base_Upgraded_Smog Formation Potential (SFP) - kg O3 eq_Aeration Tanks; wastewater treatment unit; at updated plant - US_Without Amendment_Windrow</v>
      </c>
    </row>
    <row r="6216" spans="1:13" s="120" customFormat="1" x14ac:dyDescent="0.25">
      <c r="A6216" s="119"/>
      <c r="B6216" s="138" t="str">
        <f t="shared" si="447"/>
        <v>Windrow</v>
      </c>
      <c r="C6216" s="138" t="str">
        <f t="shared" si="450"/>
        <v>Without Amendment</v>
      </c>
      <c r="D6216" s="138" t="str">
        <f t="shared" si="446"/>
        <v>Medium_Base</v>
      </c>
      <c r="E6216" s="138" t="str">
        <f t="shared" si="451"/>
        <v>Low</v>
      </c>
      <c r="F6216" s="138" t="str">
        <f t="shared" si="448"/>
        <v>Upgraded</v>
      </c>
      <c r="G6216" s="153"/>
      <c r="H6216" s="210">
        <v>0.25609999999999999</v>
      </c>
      <c r="I6216" s="160" t="s">
        <v>54</v>
      </c>
      <c r="J6216" s="160">
        <v>4.8070000000000002E-2</v>
      </c>
      <c r="K6216" s="160" t="s">
        <v>25</v>
      </c>
      <c r="L6216" s="154" t="str">
        <f>IF(OpenLCAbasic!K6216="CTUh", "Fill in Manually",IF(OR(K6216="Unit", K6216=""), "", INDEX(LookUps!$E$5:$E$12, MATCH(OpenLCAbasic!K6216,LookUps!$D$5:$D$12,0))))</f>
        <v>Smog Formation Potential (SFP) - kg O3 eq</v>
      </c>
      <c r="M6216" s="154" t="str">
        <f t="shared" si="449"/>
        <v>Low_Medium_Base_Upgraded_Smog Formation Potential (SFP) - kg O3 eq_Clear Cove Primary Clarification; wastewater treatment unit; at updated plant - US_Without Amendment_Windrow</v>
      </c>
    </row>
    <row r="6217" spans="1:13" s="120" customFormat="1" x14ac:dyDescent="0.25">
      <c r="A6217" s="119"/>
      <c r="B6217" s="138" t="str">
        <f t="shared" si="447"/>
        <v>Windrow</v>
      </c>
      <c r="C6217" s="138" t="str">
        <f t="shared" si="450"/>
        <v>Without Amendment</v>
      </c>
      <c r="D6217" s="138" t="str">
        <f t="shared" si="446"/>
        <v>Medium_Base</v>
      </c>
      <c r="E6217" s="138" t="str">
        <f t="shared" si="451"/>
        <v>Low</v>
      </c>
      <c r="F6217" s="138" t="str">
        <f t="shared" si="448"/>
        <v>Upgraded</v>
      </c>
      <c r="G6217" s="153"/>
      <c r="H6217" s="210">
        <v>0.2233</v>
      </c>
      <c r="I6217" s="160" t="s">
        <v>58</v>
      </c>
      <c r="J6217" s="160">
        <v>4.1919999999999999E-2</v>
      </c>
      <c r="K6217" s="160" t="s">
        <v>25</v>
      </c>
      <c r="L6217" s="154" t="str">
        <f>IF(OpenLCAbasic!K6217="CTUh", "Fill in Manually",IF(OR(K6217="Unit", K6217=""), "", INDEX(LookUps!$E$5:$E$12, MATCH(OpenLCAbasic!K6217,LookUps!$D$5:$D$12,0))))</f>
        <v>Smog Formation Potential (SFP) - kg O3 eq</v>
      </c>
      <c r="M6217" s="154" t="str">
        <f t="shared" si="449"/>
        <v>Low_Medium_Base_Upgraded_Smog Formation Potential (SFP) - kg O3 eq_Pre-Anoxic &amp; Swing tank; wastewater treatment unit; at updated plant - US_Without Amendment_Windrow</v>
      </c>
    </row>
    <row r="6218" spans="1:13" s="120" customFormat="1" x14ac:dyDescent="0.25">
      <c r="A6218" s="119"/>
      <c r="B6218" s="138" t="str">
        <f t="shared" si="447"/>
        <v>Windrow</v>
      </c>
      <c r="C6218" s="138" t="str">
        <f t="shared" si="450"/>
        <v>Without Amendment</v>
      </c>
      <c r="D6218" s="138" t="str">
        <f t="shared" si="446"/>
        <v>Medium_Base</v>
      </c>
      <c r="E6218" s="138" t="str">
        <f t="shared" si="451"/>
        <v>Low</v>
      </c>
      <c r="F6218" s="138" t="str">
        <f t="shared" si="448"/>
        <v>Upgraded</v>
      </c>
      <c r="G6218" s="153"/>
      <c r="H6218" s="210">
        <v>0.1764</v>
      </c>
      <c r="I6218" s="160" t="s">
        <v>53</v>
      </c>
      <c r="J6218" s="160">
        <v>3.313E-2</v>
      </c>
      <c r="K6218" s="160" t="s">
        <v>25</v>
      </c>
      <c r="L6218" s="154" t="str">
        <f>IF(OpenLCAbasic!K6218="CTUh", "Fill in Manually",IF(OR(K6218="Unit", K6218=""), "", INDEX(LookUps!$E$5:$E$12, MATCH(OpenLCAbasic!K6218,LookUps!$D$5:$D$12,0))))</f>
        <v>Smog Formation Potential (SFP) - kg O3 eq</v>
      </c>
      <c r="M6218" s="154" t="str">
        <f t="shared" si="449"/>
        <v>Low_Medium_Base_Upgraded_Smog Formation Potential (SFP) - kg O3 eq_Wet Well and Sump Station; wastewater treatment unit; at updated plant - US_Without Amendment_Windrow</v>
      </c>
    </row>
    <row r="6219" spans="1:13" s="120" customFormat="1" x14ac:dyDescent="0.25">
      <c r="A6219" s="119"/>
      <c r="B6219" s="138" t="str">
        <f t="shared" si="447"/>
        <v>Windrow</v>
      </c>
      <c r="C6219" s="138" t="str">
        <f t="shared" si="450"/>
        <v>Without Amendment</v>
      </c>
      <c r="D6219" s="138" t="str">
        <f t="shared" si="446"/>
        <v>Medium_Base</v>
      </c>
      <c r="E6219" s="138" t="str">
        <f t="shared" si="451"/>
        <v>Low</v>
      </c>
      <c r="F6219" s="138" t="str">
        <f t="shared" si="448"/>
        <v>Upgraded</v>
      </c>
      <c r="G6219" s="153"/>
      <c r="H6219" s="210">
        <v>0.1636</v>
      </c>
      <c r="I6219" s="160" t="s">
        <v>167</v>
      </c>
      <c r="J6219" s="160">
        <v>3.0710000000000001E-2</v>
      </c>
      <c r="K6219" s="160" t="s">
        <v>25</v>
      </c>
      <c r="L6219" s="154" t="str">
        <f>IF(OpenLCAbasic!K6219="CTUh", "Fill in Manually",IF(OR(K6219="Unit", K6219=""), "", INDEX(LookUps!$E$5:$E$12, MATCH(OpenLCAbasic!K6219,LookUps!$D$5:$D$12,0))))</f>
        <v>Smog Formation Potential (SFP) - kg O3 eq</v>
      </c>
      <c r="M6219" s="154" t="str">
        <f t="shared" si="449"/>
        <v>Low_Medium_Base_Upgraded_Smog Formation Potential (SFP) - kg O3 eq_Waste Receiving and Holding; wastewater treatment unit; at updated plant - US_Without Amendment_Windrow</v>
      </c>
    </row>
    <row r="6220" spans="1:13" s="120" customFormat="1" x14ac:dyDescent="0.25">
      <c r="A6220" s="119"/>
      <c r="B6220" s="138" t="str">
        <f t="shared" si="447"/>
        <v>Windrow</v>
      </c>
      <c r="C6220" s="138" t="str">
        <f t="shared" si="450"/>
        <v>Without Amendment</v>
      </c>
      <c r="D6220" s="138" t="str">
        <f t="shared" si="446"/>
        <v>Medium_Base</v>
      </c>
      <c r="E6220" s="138" t="str">
        <f t="shared" si="451"/>
        <v>Low</v>
      </c>
      <c r="F6220" s="138" t="str">
        <f t="shared" si="448"/>
        <v>Upgraded</v>
      </c>
      <c r="G6220" s="153"/>
      <c r="H6220" s="210">
        <v>0.1033</v>
      </c>
      <c r="I6220" s="160" t="s">
        <v>147</v>
      </c>
      <c r="J6220" s="160">
        <v>1.9400000000000001E-2</v>
      </c>
      <c r="K6220" s="160" t="s">
        <v>25</v>
      </c>
      <c r="L6220" s="154" t="str">
        <f>IF(OpenLCAbasic!K6220="CTUh", "Fill in Manually",IF(OR(K6220="Unit", K6220=""), "", INDEX(LookUps!$E$5:$E$12, MATCH(OpenLCAbasic!K6220,LookUps!$D$5:$D$12,0))))</f>
        <v>Smog Formation Potential (SFP) - kg O3 eq</v>
      </c>
      <c r="M6220" s="154" t="str">
        <f t="shared" si="449"/>
        <v>Low_Medium_Base_Upgraded_Smog Formation Potential (SFP) - kg O3 eq_Influent Pump Station; wastewater treatment unit; at updated plant - US_Without Amendment_Windrow</v>
      </c>
    </row>
    <row r="6221" spans="1:13" s="120" customFormat="1" x14ac:dyDescent="0.25">
      <c r="A6221" s="119"/>
      <c r="B6221" s="138" t="str">
        <f t="shared" si="447"/>
        <v>Windrow</v>
      </c>
      <c r="C6221" s="138" t="str">
        <f t="shared" si="450"/>
        <v>Without Amendment</v>
      </c>
      <c r="D6221" s="138" t="str">
        <f t="shared" si="446"/>
        <v>Medium_Base</v>
      </c>
      <c r="E6221" s="138" t="str">
        <f t="shared" si="451"/>
        <v>Low</v>
      </c>
      <c r="F6221" s="138" t="str">
        <f t="shared" si="448"/>
        <v>Upgraded</v>
      </c>
      <c r="G6221" s="153"/>
      <c r="H6221" s="210">
        <v>6.3500000000000001E-2</v>
      </c>
      <c r="I6221" s="160" t="s">
        <v>128</v>
      </c>
      <c r="J6221" s="160">
        <v>1.192E-2</v>
      </c>
      <c r="K6221" s="160" t="s">
        <v>25</v>
      </c>
      <c r="L6221" s="154" t="str">
        <f>IF(OpenLCAbasic!K6221="CTUh", "Fill in Manually",IF(OR(K6221="Unit", K6221=""), "", INDEX(LookUps!$E$5:$E$12, MATCH(OpenLCAbasic!K6221,LookUps!$D$5:$D$12,0))))</f>
        <v>Smog Formation Potential (SFP) - kg O3 eq</v>
      </c>
      <c r="M6221" s="154" t="str">
        <f t="shared" si="449"/>
        <v>Low_Medium_Base_Upgraded_Smog Formation Potential (SFP) - kg O3 eq_Wastewater collection; operation and infrastructure; m3 wastewater_Without Amendment_Windrow</v>
      </c>
    </row>
    <row r="6222" spans="1:13" s="120" customFormat="1" x14ac:dyDescent="0.25">
      <c r="A6222" s="119"/>
      <c r="B6222" s="138" t="str">
        <f t="shared" si="447"/>
        <v>Windrow</v>
      </c>
      <c r="C6222" s="138" t="str">
        <f t="shared" si="450"/>
        <v>Without Amendment</v>
      </c>
      <c r="D6222" s="138" t="str">
        <f t="shared" si="446"/>
        <v>Medium_Base</v>
      </c>
      <c r="E6222" s="138" t="str">
        <f t="shared" si="451"/>
        <v>Low</v>
      </c>
      <c r="F6222" s="138" t="str">
        <f t="shared" si="448"/>
        <v>Upgraded</v>
      </c>
      <c r="G6222" s="153"/>
      <c r="H6222" s="210">
        <v>5.3999999999999999E-2</v>
      </c>
      <c r="I6222" s="160" t="s">
        <v>60</v>
      </c>
      <c r="J6222" s="160">
        <v>1.014E-2</v>
      </c>
      <c r="K6222" s="160" t="s">
        <v>25</v>
      </c>
      <c r="L6222" s="154" t="str">
        <f>IF(OpenLCAbasic!K6222="CTUh", "Fill in Manually",IF(OR(K6222="Unit", K6222=""), "", INDEX(LookUps!$E$5:$E$12, MATCH(OpenLCAbasic!K6222,LookUps!$D$5:$D$12,0))))</f>
        <v>Smog Formation Potential (SFP) - kg O3 eq</v>
      </c>
      <c r="M6222" s="154" t="str">
        <f t="shared" si="449"/>
        <v>Low_Medium_Base_Upgraded_Smog Formation Potential (SFP) - kg O3 eq_Belt filter press; wastewater treatment unit; at updated plant - US_Without Amendment_Windrow</v>
      </c>
    </row>
    <row r="6223" spans="1:13" s="120" customFormat="1" x14ac:dyDescent="0.25">
      <c r="A6223" s="119"/>
      <c r="B6223" s="138" t="str">
        <f t="shared" si="447"/>
        <v>Windrow</v>
      </c>
      <c r="C6223" s="138" t="str">
        <f t="shared" si="450"/>
        <v>Without Amendment</v>
      </c>
      <c r="D6223" s="138" t="str">
        <f t="shared" si="446"/>
        <v>Medium_Base</v>
      </c>
      <c r="E6223" s="138" t="str">
        <f t="shared" si="451"/>
        <v>Low</v>
      </c>
      <c r="F6223" s="138" t="str">
        <f t="shared" si="448"/>
        <v>Upgraded</v>
      </c>
      <c r="G6223" s="153"/>
      <c r="H6223" s="210">
        <v>3.5400000000000001E-2</v>
      </c>
      <c r="I6223" s="160" t="s">
        <v>57</v>
      </c>
      <c r="J6223" s="160">
        <v>6.6499999999999997E-3</v>
      </c>
      <c r="K6223" s="160" t="s">
        <v>25</v>
      </c>
      <c r="L6223" s="154" t="str">
        <f>IF(OpenLCAbasic!K6223="CTUh", "Fill in Manually",IF(OR(K6223="Unit", K6223=""), "", INDEX(LookUps!$E$5:$E$12, MATCH(OpenLCAbasic!K6223,LookUps!$D$5:$D$12,0))))</f>
        <v>Smog Formation Potential (SFP) - kg O3 eq</v>
      </c>
      <c r="M6223" s="154" t="str">
        <f t="shared" si="449"/>
        <v>Low_Medium_Base_Upgraded_Smog Formation Potential (SFP) - kg O3 eq_Gravity Belt Thickener; wastewater treatment unit; at updated plant - US_Without Amendment_Windrow</v>
      </c>
    </row>
    <row r="6224" spans="1:13" s="120" customFormat="1" x14ac:dyDescent="0.25">
      <c r="A6224" s="119"/>
      <c r="B6224" s="138" t="str">
        <f t="shared" si="447"/>
        <v>Windrow</v>
      </c>
      <c r="C6224" s="138" t="str">
        <f t="shared" si="450"/>
        <v>Without Amendment</v>
      </c>
      <c r="D6224" s="138" t="str">
        <f t="shared" si="446"/>
        <v>Medium_Base</v>
      </c>
      <c r="E6224" s="138" t="str">
        <f t="shared" si="451"/>
        <v>Low</v>
      </c>
      <c r="F6224" s="138" t="str">
        <f t="shared" si="448"/>
        <v>Upgraded</v>
      </c>
      <c r="G6224" s="153"/>
      <c r="H6224" s="210">
        <v>2.6499999999999999E-2</v>
      </c>
      <c r="I6224" s="160" t="s">
        <v>59</v>
      </c>
      <c r="J6224" s="160">
        <v>4.9699999999999996E-3</v>
      </c>
      <c r="K6224" s="160" t="s">
        <v>25</v>
      </c>
      <c r="L6224" s="154" t="str">
        <f>IF(OpenLCAbasic!K6224="CTUh", "Fill in Manually",IF(OR(K6224="Unit", K6224=""), "", INDEX(LookUps!$E$5:$E$12, MATCH(OpenLCAbasic!K6224,LookUps!$D$5:$D$12,0))))</f>
        <v>Smog Formation Potential (SFP) - kg O3 eq</v>
      </c>
      <c r="M6224" s="154" t="str">
        <f t="shared" si="449"/>
        <v>Low_Medium_Base_Upgraded_Smog Formation Potential (SFP) - kg O3 eq_Blend Tank; wastewater treatment unit; at updated plant - US_Without Amendment_Windrow</v>
      </c>
    </row>
    <row r="6225" spans="1:13" s="120" customFormat="1" x14ac:dyDescent="0.25">
      <c r="A6225" s="119"/>
      <c r="B6225" s="138" t="str">
        <f t="shared" si="447"/>
        <v>Windrow</v>
      </c>
      <c r="C6225" s="138" t="str">
        <f t="shared" si="450"/>
        <v>Without Amendment</v>
      </c>
      <c r="D6225" s="138" t="str">
        <f t="shared" si="446"/>
        <v>Medium_Base</v>
      </c>
      <c r="E6225" s="138" t="str">
        <f t="shared" si="451"/>
        <v>Low</v>
      </c>
      <c r="F6225" s="138" t="str">
        <f t="shared" si="448"/>
        <v>Upgraded</v>
      </c>
      <c r="G6225" s="153"/>
      <c r="H6225" s="210">
        <v>1.7999999999999999E-2</v>
      </c>
      <c r="I6225" s="160" t="s">
        <v>48</v>
      </c>
      <c r="J6225" s="160">
        <v>3.3899999999999998E-3</v>
      </c>
      <c r="K6225" s="160" t="s">
        <v>25</v>
      </c>
      <c r="L6225" s="154" t="str">
        <f>IF(OpenLCAbasic!K6225="CTUh", "Fill in Manually",IF(OR(K6225="Unit", K6225=""), "", INDEX(LookUps!$E$5:$E$12, MATCH(OpenLCAbasic!K6225,LookUps!$D$5:$D$12,0))))</f>
        <v>Smog Formation Potential (SFP) - kg O3 eq</v>
      </c>
      <c r="M6225" s="154" t="str">
        <f t="shared" si="449"/>
        <v>Low_Medium_Base_Upgraded_Smog Formation Potential (SFP) - kg O3 eq_Effluent release; wastewater treatment unit; at surface water; m3 wastewater - US_Without Amendment_Windrow</v>
      </c>
    </row>
    <row r="6226" spans="1:13" s="120" customFormat="1" x14ac:dyDescent="0.25">
      <c r="A6226" s="119"/>
      <c r="B6226" s="138" t="str">
        <f t="shared" si="447"/>
        <v>Windrow</v>
      </c>
      <c r="C6226" s="138" t="str">
        <f t="shared" si="450"/>
        <v>Without Amendment</v>
      </c>
      <c r="D6226" s="138" t="str">
        <f t="shared" si="446"/>
        <v>Medium_Base</v>
      </c>
      <c r="E6226" s="138" t="str">
        <f t="shared" si="451"/>
        <v>Low</v>
      </c>
      <c r="F6226" s="138" t="str">
        <f t="shared" si="448"/>
        <v>Upgraded</v>
      </c>
      <c r="G6226" s="153"/>
      <c r="H6226" s="210">
        <v>1.3100000000000001E-2</v>
      </c>
      <c r="I6226" s="160" t="s">
        <v>168</v>
      </c>
      <c r="J6226" s="160">
        <v>2.4599999999999999E-3</v>
      </c>
      <c r="K6226" s="160" t="s">
        <v>25</v>
      </c>
      <c r="L6226" s="154" t="str">
        <f>IF(OpenLCAbasic!K6226="CTUh", "Fill in Manually",IF(OR(K6226="Unit", K6226=""), "", INDEX(LookUps!$E$5:$E$12, MATCH(OpenLCAbasic!K6226,LookUps!$D$5:$D$12,0))))</f>
        <v>Smog Formation Potential (SFP) - kg O3 eq</v>
      </c>
      <c r="M6226" s="154" t="str">
        <f t="shared" si="449"/>
        <v>Low_Medium_Base_Upgraded_Smog Formation Potential (SFP) - kg O3 eq_ClearCove SCP; wastewater treatment unit; at updated plant - US_Without Amendment_Windrow</v>
      </c>
    </row>
    <row r="6227" spans="1:13" s="120" customFormat="1" x14ac:dyDescent="0.25">
      <c r="A6227" s="119"/>
      <c r="B6227" s="138" t="str">
        <f t="shared" si="447"/>
        <v>Windrow</v>
      </c>
      <c r="C6227" s="138" t="str">
        <f t="shared" si="450"/>
        <v>Without Amendment</v>
      </c>
      <c r="D6227" s="138" t="str">
        <f t="shared" si="446"/>
        <v>Medium_Base</v>
      </c>
      <c r="E6227" s="138" t="str">
        <f t="shared" si="451"/>
        <v>Low</v>
      </c>
      <c r="F6227" s="138" t="str">
        <f t="shared" si="448"/>
        <v>Upgraded</v>
      </c>
      <c r="G6227" s="153"/>
      <c r="H6227" s="210">
        <v>2.8999999999999998E-3</v>
      </c>
      <c r="I6227" s="160" t="s">
        <v>148</v>
      </c>
      <c r="J6227" s="160">
        <v>5.4000000000000001E-4</v>
      </c>
      <c r="K6227" s="160" t="s">
        <v>25</v>
      </c>
      <c r="L6227" s="154" t="str">
        <f>IF(OpenLCAbasic!K6227="CTUh", "Fill in Manually",IF(OR(K6227="Unit", K6227=""), "", INDEX(LookUps!$E$5:$E$12, MATCH(OpenLCAbasic!K6227,LookUps!$D$5:$D$12,0))))</f>
        <v>Smog Formation Potential (SFP) - kg O3 eq</v>
      </c>
      <c r="M6227" s="154" t="str">
        <f t="shared" si="449"/>
        <v>Low_Medium_Base_Upgraded_Smog Formation Potential (SFP) - kg O3 eq_Control Building; at upgraded wastewater treatment plant - US_Without Amendment_Windrow</v>
      </c>
    </row>
    <row r="6228" spans="1:13" s="120" customFormat="1" x14ac:dyDescent="0.25">
      <c r="A6228" s="119"/>
      <c r="B6228" s="138" t="str">
        <f t="shared" si="447"/>
        <v>Windrow</v>
      </c>
      <c r="C6228" s="138" t="str">
        <f t="shared" si="450"/>
        <v>Without Amendment</v>
      </c>
      <c r="D6228" s="138" t="str">
        <f t="shared" si="446"/>
        <v>Medium_Base</v>
      </c>
      <c r="E6228" s="138" t="str">
        <f t="shared" si="451"/>
        <v>Low</v>
      </c>
      <c r="F6228" s="138" t="str">
        <f t="shared" si="448"/>
        <v>Upgraded</v>
      </c>
      <c r="G6228" s="153"/>
      <c r="H6228" s="210">
        <v>2.8E-3</v>
      </c>
      <c r="I6228" s="160" t="s">
        <v>271</v>
      </c>
      <c r="J6228" s="160">
        <v>5.1999999999999995E-4</v>
      </c>
      <c r="K6228" s="160" t="s">
        <v>25</v>
      </c>
      <c r="L6228" s="154" t="str">
        <f>IF(OpenLCAbasic!K6228="CTUh", "Fill in Manually",IF(OR(K6228="Unit", K6228=""), "", INDEX(LookUps!$E$5:$E$12, MATCH(OpenLCAbasic!K6228,LookUps!$D$5:$D$12,0))))</f>
        <v>Smog Formation Potential (SFP) - kg O3 eq</v>
      </c>
      <c r="M6228" s="154" t="str">
        <f t="shared" si="449"/>
        <v>Low_Medium_Base_Upgraded_Smog Formation Potential (SFP) - kg O3 eq_Biosolids composting; windrow composting; wastewater treatment unit; at updated plant - US_Without Amendment_Windrow</v>
      </c>
    </row>
    <row r="6229" spans="1:13" s="120" customFormat="1" x14ac:dyDescent="0.25">
      <c r="A6229" s="119"/>
      <c r="B6229" s="138" t="str">
        <f t="shared" si="447"/>
        <v>Windrow</v>
      </c>
      <c r="C6229" s="138" t="str">
        <f t="shared" si="450"/>
        <v>Without Amendment</v>
      </c>
      <c r="D6229" s="138" t="str">
        <f t="shared" si="446"/>
        <v>Medium_Base</v>
      </c>
      <c r="E6229" s="138" t="str">
        <f t="shared" si="451"/>
        <v>Low</v>
      </c>
      <c r="F6229" s="138" t="str">
        <f t="shared" si="448"/>
        <v>Upgraded</v>
      </c>
      <c r="G6229" s="153"/>
      <c r="H6229" s="210">
        <v>-1.3299999999999999E-2</v>
      </c>
      <c r="I6229" s="160" t="s">
        <v>62</v>
      </c>
      <c r="J6229" s="160">
        <v>-2.49E-3</v>
      </c>
      <c r="K6229" s="160" t="s">
        <v>25</v>
      </c>
      <c r="L6229" s="154" t="str">
        <f>IF(OpenLCAbasic!K6229="CTUh", "Fill in Manually",IF(OR(K6229="Unit", K6229=""), "", INDEX(LookUps!$E$5:$E$12, MATCH(OpenLCAbasic!K6229,LookUps!$D$5:$D$12,0))))</f>
        <v>Smog Formation Potential (SFP) - kg O3 eq</v>
      </c>
      <c r="M6229" s="154" t="str">
        <f t="shared" si="449"/>
        <v>Low_Medium_Base_Upgraded_Smog Formation Potential (SFP) - kg O3 eq_Land application of compost; wastewater treatment unit; at updated plant - US_Without Amendment_Windrow</v>
      </c>
    </row>
    <row r="6230" spans="1:13" s="120" customFormat="1" x14ac:dyDescent="0.25">
      <c r="A6230" s="119"/>
      <c r="B6230" s="138" t="str">
        <f t="shared" si="447"/>
        <v>Windrow</v>
      </c>
      <c r="C6230" s="138" t="str">
        <f t="shared" si="450"/>
        <v>Without Amendment</v>
      </c>
      <c r="D6230" s="138" t="str">
        <f t="shared" si="446"/>
        <v>Medium_Base</v>
      </c>
      <c r="E6230" s="138" t="str">
        <f t="shared" si="451"/>
        <v>Low</v>
      </c>
      <c r="F6230" s="138" t="str">
        <f t="shared" si="448"/>
        <v>Upgraded</v>
      </c>
      <c r="G6230" s="153"/>
      <c r="H6230" s="210">
        <v>-1.0085999999999999</v>
      </c>
      <c r="I6230" s="160" t="s">
        <v>149</v>
      </c>
      <c r="J6230" s="160">
        <v>-0.18936</v>
      </c>
      <c r="K6230" s="160" t="s">
        <v>25</v>
      </c>
      <c r="L6230" s="154" t="str">
        <f>IF(OpenLCAbasic!K6230="CTUh", "Fill in Manually",IF(OR(K6230="Unit", K6230=""), "", INDEX(LookUps!$E$5:$E$12, MATCH(OpenLCAbasic!K6230,LookUps!$D$5:$D$12,0))))</f>
        <v>Smog Formation Potential (SFP) - kg O3 eq</v>
      </c>
      <c r="M6230" s="154" t="str">
        <f t="shared" si="449"/>
        <v>Low_Medium_Base_Upgraded_Smog Formation Potential (SFP) - kg O3 eq_Anaerobic Digestion; wastewater treatment unit; at updated plant - US_Without Amendment_Windrow</v>
      </c>
    </row>
    <row r="6231" spans="1:13" s="120" customFormat="1" x14ac:dyDescent="0.25">
      <c r="A6231" s="119"/>
      <c r="B6231" s="138" t="str">
        <f t="shared" si="447"/>
        <v/>
      </c>
      <c r="C6231" s="138" t="str">
        <f t="shared" si="450"/>
        <v/>
      </c>
      <c r="D6231" s="138" t="str">
        <f t="shared" si="446"/>
        <v/>
      </c>
      <c r="E6231" s="138" t="str">
        <f t="shared" si="451"/>
        <v/>
      </c>
      <c r="F6231" s="138" t="str">
        <f t="shared" si="448"/>
        <v/>
      </c>
      <c r="G6231" s="153" t="s">
        <v>51</v>
      </c>
      <c r="H6231" s="160"/>
      <c r="I6231" s="160" t="s">
        <v>47</v>
      </c>
      <c r="J6231" s="160" t="s">
        <v>52</v>
      </c>
      <c r="K6231" s="160" t="s">
        <v>27</v>
      </c>
      <c r="L6231" s="154" t="str">
        <f>IF(OpenLCAbasic!K6231="CTUh", "Fill in Manually",IF(OR(K6231="Unit", K6231=""), "", INDEX(LookUps!$E$5:$E$12, MATCH(OpenLCAbasic!K6231,LookUps!$D$5:$D$12,0))))</f>
        <v/>
      </c>
      <c r="M6231" s="154" t="str">
        <f t="shared" si="449"/>
        <v>____Process__</v>
      </c>
    </row>
    <row r="6232" spans="1:13" s="120" customFormat="1" x14ac:dyDescent="0.25">
      <c r="A6232" s="119"/>
      <c r="B6232" s="138" t="str">
        <f t="shared" si="447"/>
        <v>Windrow</v>
      </c>
      <c r="C6232" s="138" t="str">
        <f t="shared" si="450"/>
        <v>Without Amendment</v>
      </c>
      <c r="D6232" s="138" t="str">
        <f t="shared" si="446"/>
        <v>Medium_Base</v>
      </c>
      <c r="E6232" s="138" t="str">
        <f t="shared" si="451"/>
        <v>Low</v>
      </c>
      <c r="F6232" s="138" t="str">
        <f t="shared" si="448"/>
        <v>Upgraded</v>
      </c>
      <c r="G6232" s="153"/>
      <c r="H6232" s="210">
        <v>1.9307000000000001</v>
      </c>
      <c r="I6232" s="160" t="s">
        <v>167</v>
      </c>
      <c r="J6232" s="160">
        <v>2.7999999999999998E-4</v>
      </c>
      <c r="K6232" s="160" t="s">
        <v>26</v>
      </c>
      <c r="L6232" s="154" t="str">
        <f>IF(OpenLCAbasic!K6232="CTUh", "Fill in Manually",IF(OR(K6232="Unit", K6232=""), "", INDEX(LookUps!$E$5:$E$12, MATCH(OpenLCAbasic!K6232,LookUps!$D$5:$D$12,0))))</f>
        <v>Water Use (WU) - m3 H2O</v>
      </c>
      <c r="M6232" s="154" t="str">
        <f t="shared" si="449"/>
        <v>Low_Medium_Base_Upgraded_Water Use (WU) - m3 H2O_Waste Receiving and Holding; wastewater treatment unit; at updated plant - US_Without Amendment_Windrow</v>
      </c>
    </row>
    <row r="6233" spans="1:13" s="120" customFormat="1" x14ac:dyDescent="0.25">
      <c r="A6233" s="119"/>
      <c r="B6233" s="138" t="str">
        <f t="shared" si="447"/>
        <v>Windrow</v>
      </c>
      <c r="C6233" s="138" t="str">
        <f t="shared" si="450"/>
        <v>Without Amendment</v>
      </c>
      <c r="D6233" s="138" t="str">
        <f t="shared" si="446"/>
        <v>Medium_Base</v>
      </c>
      <c r="E6233" s="138" t="str">
        <f t="shared" si="451"/>
        <v>Low</v>
      </c>
      <c r="F6233" s="138" t="str">
        <f t="shared" si="448"/>
        <v>Upgraded</v>
      </c>
      <c r="G6233" s="153"/>
      <c r="H6233" s="210">
        <v>1.2603</v>
      </c>
      <c r="I6233" s="160" t="s">
        <v>147</v>
      </c>
      <c r="J6233" s="160">
        <v>1.8000000000000001E-4</v>
      </c>
      <c r="K6233" s="160" t="s">
        <v>26</v>
      </c>
      <c r="L6233" s="154" t="str">
        <f>IF(OpenLCAbasic!K6233="CTUh", "Fill in Manually",IF(OR(K6233="Unit", K6233=""), "", INDEX(LookUps!$E$5:$E$12, MATCH(OpenLCAbasic!K6233,LookUps!$D$5:$D$12,0))))</f>
        <v>Water Use (WU) - m3 H2O</v>
      </c>
      <c r="M6233" s="154" t="str">
        <f t="shared" si="449"/>
        <v>Low_Medium_Base_Upgraded_Water Use (WU) - m3 H2O_Influent Pump Station; wastewater treatment unit; at updated plant - US_Without Amendment_Windrow</v>
      </c>
    </row>
    <row r="6234" spans="1:13" s="120" customFormat="1" x14ac:dyDescent="0.25">
      <c r="A6234" s="119"/>
      <c r="B6234" s="138" t="str">
        <f t="shared" si="447"/>
        <v>Windrow</v>
      </c>
      <c r="C6234" s="138" t="str">
        <f t="shared" si="450"/>
        <v>Without Amendment</v>
      </c>
      <c r="D6234" s="138" t="str">
        <f t="shared" si="446"/>
        <v>Medium_Base</v>
      </c>
      <c r="E6234" s="138" t="str">
        <f t="shared" si="451"/>
        <v>Low</v>
      </c>
      <c r="F6234" s="138" t="str">
        <f t="shared" si="448"/>
        <v>Upgraded</v>
      </c>
      <c r="G6234" s="153"/>
      <c r="H6234" s="210">
        <v>1.2297</v>
      </c>
      <c r="I6234" s="160" t="s">
        <v>54</v>
      </c>
      <c r="J6234" s="160">
        <v>1.8000000000000001E-4</v>
      </c>
      <c r="K6234" s="160" t="s">
        <v>26</v>
      </c>
      <c r="L6234" s="154" t="str">
        <f>IF(OpenLCAbasic!K6234="CTUh", "Fill in Manually",IF(OR(K6234="Unit", K6234=""), "", INDEX(LookUps!$E$5:$E$12, MATCH(OpenLCAbasic!K6234,LookUps!$D$5:$D$12,0))))</f>
        <v>Water Use (WU) - m3 H2O</v>
      </c>
      <c r="M6234" s="154" t="str">
        <f t="shared" si="449"/>
        <v>Low_Medium_Base_Upgraded_Water Use (WU) - m3 H2O_Clear Cove Primary Clarification; wastewater treatment unit; at updated plant - US_Without Amendment_Windrow</v>
      </c>
    </row>
    <row r="6235" spans="1:13" s="120" customFormat="1" x14ac:dyDescent="0.25">
      <c r="A6235" s="119"/>
      <c r="B6235" s="138" t="str">
        <f t="shared" si="447"/>
        <v>Windrow</v>
      </c>
      <c r="C6235" s="138" t="str">
        <f t="shared" si="450"/>
        <v>Without Amendment</v>
      </c>
      <c r="D6235" s="138" t="str">
        <f t="shared" si="446"/>
        <v>Medium_Base</v>
      </c>
      <c r="E6235" s="138" t="str">
        <f t="shared" si="451"/>
        <v>Low</v>
      </c>
      <c r="F6235" s="138" t="str">
        <f t="shared" si="448"/>
        <v>Upgraded</v>
      </c>
      <c r="G6235" s="153"/>
      <c r="H6235" s="210">
        <v>1.1154999999999999</v>
      </c>
      <c r="I6235" s="160" t="s">
        <v>55</v>
      </c>
      <c r="J6235" s="160">
        <v>1.6000000000000001E-4</v>
      </c>
      <c r="K6235" s="160" t="s">
        <v>26</v>
      </c>
      <c r="L6235" s="154" t="str">
        <f>IF(OpenLCAbasic!K6235="CTUh", "Fill in Manually",IF(OR(K6235="Unit", K6235=""), "", INDEX(LookUps!$E$5:$E$12, MATCH(OpenLCAbasic!K6235,LookUps!$D$5:$D$12,0))))</f>
        <v>Water Use (WU) - m3 H2O</v>
      </c>
      <c r="M6235" s="154" t="str">
        <f t="shared" si="449"/>
        <v>Low_Medium_Base_Upgraded_Water Use (WU) - m3 H2O_Aeration Tanks; wastewater treatment unit; at updated plant - US_Without Amendment_Windrow</v>
      </c>
    </row>
    <row r="6236" spans="1:13" s="120" customFormat="1" x14ac:dyDescent="0.25">
      <c r="A6236" s="119"/>
      <c r="B6236" s="138" t="str">
        <f t="shared" si="447"/>
        <v>Windrow</v>
      </c>
      <c r="C6236" s="138" t="str">
        <f t="shared" si="450"/>
        <v>Without Amendment</v>
      </c>
      <c r="D6236" s="138" t="str">
        <f t="shared" si="446"/>
        <v>Medium_Base</v>
      </c>
      <c r="E6236" s="138" t="str">
        <f t="shared" si="451"/>
        <v>Low</v>
      </c>
      <c r="F6236" s="138" t="str">
        <f t="shared" si="448"/>
        <v>Upgraded</v>
      </c>
      <c r="G6236" s="153"/>
      <c r="H6236" s="210">
        <v>1.0162</v>
      </c>
      <c r="I6236" s="160" t="s">
        <v>148</v>
      </c>
      <c r="J6236" s="160">
        <v>1.4999999999999999E-4</v>
      </c>
      <c r="K6236" s="160" t="s">
        <v>26</v>
      </c>
      <c r="L6236" s="154" t="str">
        <f>IF(OpenLCAbasic!K6236="CTUh", "Fill in Manually",IF(OR(K6236="Unit", K6236=""), "", INDEX(LookUps!$E$5:$E$12, MATCH(OpenLCAbasic!K6236,LookUps!$D$5:$D$12,0))))</f>
        <v>Water Use (WU) - m3 H2O</v>
      </c>
      <c r="M6236" s="154" t="str">
        <f t="shared" si="449"/>
        <v>Low_Medium_Base_Upgraded_Water Use (WU) - m3 H2O_Control Building; at upgraded wastewater treatment plant - US_Without Amendment_Windrow</v>
      </c>
    </row>
    <row r="6237" spans="1:13" s="120" customFormat="1" x14ac:dyDescent="0.25">
      <c r="A6237" s="119"/>
      <c r="B6237" s="138" t="str">
        <f t="shared" si="447"/>
        <v>Windrow</v>
      </c>
      <c r="C6237" s="138" t="str">
        <f t="shared" si="450"/>
        <v>Without Amendment</v>
      </c>
      <c r="D6237" s="138" t="str">
        <f t="shared" si="446"/>
        <v>Medium_Base</v>
      </c>
      <c r="E6237" s="138" t="str">
        <f t="shared" si="451"/>
        <v>Low</v>
      </c>
      <c r="F6237" s="138" t="str">
        <f t="shared" si="448"/>
        <v>Upgraded</v>
      </c>
      <c r="G6237" s="153"/>
      <c r="H6237" s="210">
        <v>0.47189999999999999</v>
      </c>
      <c r="I6237" s="160" t="s">
        <v>48</v>
      </c>
      <c r="J6237" s="211">
        <v>6.8836400000000004E-5</v>
      </c>
      <c r="K6237" s="160" t="s">
        <v>26</v>
      </c>
      <c r="L6237" s="154" t="str">
        <f>IF(OpenLCAbasic!K6237="CTUh", "Fill in Manually",IF(OR(K6237="Unit", K6237=""), "", INDEX(LookUps!$E$5:$E$12, MATCH(OpenLCAbasic!K6237,LookUps!$D$5:$D$12,0))))</f>
        <v>Water Use (WU) - m3 H2O</v>
      </c>
      <c r="M6237" s="154" t="str">
        <f t="shared" si="449"/>
        <v>Low_Medium_Base_Upgraded_Water Use (WU) - m3 H2O_Effluent release; wastewater treatment unit; at surface water; m3 wastewater - US_Without Amendment_Windrow</v>
      </c>
    </row>
    <row r="6238" spans="1:13" s="120" customFormat="1" x14ac:dyDescent="0.25">
      <c r="A6238" s="119"/>
      <c r="B6238" s="138" t="str">
        <f t="shared" si="447"/>
        <v>Windrow</v>
      </c>
      <c r="C6238" s="138" t="str">
        <f t="shared" si="450"/>
        <v>Without Amendment</v>
      </c>
      <c r="D6238" s="138" t="str">
        <f t="shared" si="446"/>
        <v>Medium_Base</v>
      </c>
      <c r="E6238" s="138" t="str">
        <f t="shared" si="451"/>
        <v>Low</v>
      </c>
      <c r="F6238" s="138" t="str">
        <f t="shared" si="448"/>
        <v>Upgraded</v>
      </c>
      <c r="G6238" s="153"/>
      <c r="H6238" s="210">
        <v>0.2964</v>
      </c>
      <c r="I6238" s="160" t="s">
        <v>58</v>
      </c>
      <c r="J6238" s="211">
        <v>4.3235300000000003E-5</v>
      </c>
      <c r="K6238" s="160" t="s">
        <v>26</v>
      </c>
      <c r="L6238" s="154" t="str">
        <f>IF(OpenLCAbasic!K6238="CTUh", "Fill in Manually",IF(OR(K6238="Unit", K6238=""), "", INDEX(LookUps!$E$5:$E$12, MATCH(OpenLCAbasic!K6238,LookUps!$D$5:$D$12,0))))</f>
        <v>Water Use (WU) - m3 H2O</v>
      </c>
      <c r="M6238" s="154" t="str">
        <f t="shared" si="449"/>
        <v>Low_Medium_Base_Upgraded_Water Use (WU) - m3 H2O_Pre-Anoxic &amp; Swing tank; wastewater treatment unit; at updated plant - US_Without Amendment_Windrow</v>
      </c>
    </row>
    <row r="6239" spans="1:13" s="120" customFormat="1" x14ac:dyDescent="0.25">
      <c r="A6239" s="119"/>
      <c r="B6239" s="138" t="str">
        <f t="shared" si="447"/>
        <v>Windrow</v>
      </c>
      <c r="C6239" s="138" t="str">
        <f t="shared" si="450"/>
        <v>Without Amendment</v>
      </c>
      <c r="D6239" s="138" t="str">
        <f t="shared" si="446"/>
        <v>Medium_Base</v>
      </c>
      <c r="E6239" s="138" t="str">
        <f t="shared" si="451"/>
        <v>Low</v>
      </c>
      <c r="F6239" s="138" t="str">
        <f t="shared" si="448"/>
        <v>Upgraded</v>
      </c>
      <c r="G6239" s="153"/>
      <c r="H6239" s="210">
        <v>0.20849999999999999</v>
      </c>
      <c r="I6239" s="160" t="s">
        <v>57</v>
      </c>
      <c r="J6239" s="211">
        <v>3.0408100000000001E-5</v>
      </c>
      <c r="K6239" s="160" t="s">
        <v>26</v>
      </c>
      <c r="L6239" s="154" t="str">
        <f>IF(OpenLCAbasic!K6239="CTUh", "Fill in Manually",IF(OR(K6239="Unit", K6239=""), "", INDEX(LookUps!$E$5:$E$12, MATCH(OpenLCAbasic!K6239,LookUps!$D$5:$D$12,0))))</f>
        <v>Water Use (WU) - m3 H2O</v>
      </c>
      <c r="M6239" s="154" t="str">
        <f t="shared" si="449"/>
        <v>Low_Medium_Base_Upgraded_Water Use (WU) - m3 H2O_Gravity Belt Thickener; wastewater treatment unit; at updated plant - US_Without Amendment_Windrow</v>
      </c>
    </row>
    <row r="6240" spans="1:13" s="120" customFormat="1" x14ac:dyDescent="0.25">
      <c r="A6240" s="119"/>
      <c r="B6240" s="138" t="str">
        <f t="shared" si="447"/>
        <v>Windrow</v>
      </c>
      <c r="C6240" s="138" t="str">
        <f t="shared" si="450"/>
        <v>Without Amendment</v>
      </c>
      <c r="D6240" s="138" t="str">
        <f t="shared" si="446"/>
        <v>Medium_Base</v>
      </c>
      <c r="E6240" s="138" t="str">
        <f t="shared" si="451"/>
        <v>Low</v>
      </c>
      <c r="F6240" s="138" t="str">
        <f t="shared" si="448"/>
        <v>Upgraded</v>
      </c>
      <c r="G6240" s="153"/>
      <c r="H6240" s="210">
        <v>0.20760000000000001</v>
      </c>
      <c r="I6240" s="160" t="s">
        <v>60</v>
      </c>
      <c r="J6240" s="211">
        <v>3.0289000000000001E-5</v>
      </c>
      <c r="K6240" s="160" t="s">
        <v>26</v>
      </c>
      <c r="L6240" s="154" t="str">
        <f>IF(OpenLCAbasic!K6240="CTUh", "Fill in Manually",IF(OR(K6240="Unit", K6240=""), "", INDEX(LookUps!$E$5:$E$12, MATCH(OpenLCAbasic!K6240,LookUps!$D$5:$D$12,0))))</f>
        <v>Water Use (WU) - m3 H2O</v>
      </c>
      <c r="M6240" s="154" t="str">
        <f t="shared" si="449"/>
        <v>Low_Medium_Base_Upgraded_Water Use (WU) - m3 H2O_Belt filter press; wastewater treatment unit; at updated plant - US_Without Amendment_Windrow</v>
      </c>
    </row>
    <row r="6241" spans="1:13" s="120" customFormat="1" x14ac:dyDescent="0.25">
      <c r="A6241" s="119"/>
      <c r="B6241" s="138" t="str">
        <f t="shared" si="447"/>
        <v>Windrow</v>
      </c>
      <c r="C6241" s="138" t="str">
        <f t="shared" si="450"/>
        <v>Without Amendment</v>
      </c>
      <c r="D6241" s="138" t="str">
        <f t="shared" ref="D6241:D6247" si="452">IF(ISNUMBER($J6241),"Medium_Base","")</f>
        <v>Medium_Base</v>
      </c>
      <c r="E6241" s="138" t="str">
        <f t="shared" si="451"/>
        <v>Low</v>
      </c>
      <c r="F6241" s="138" t="str">
        <f t="shared" si="448"/>
        <v>Upgraded</v>
      </c>
      <c r="G6241" s="153"/>
      <c r="H6241" s="210">
        <v>0.12</v>
      </c>
      <c r="I6241" s="160" t="s">
        <v>53</v>
      </c>
      <c r="J6241" s="211">
        <v>1.75069E-5</v>
      </c>
      <c r="K6241" s="160" t="s">
        <v>26</v>
      </c>
      <c r="L6241" s="154" t="str">
        <f>IF(OpenLCAbasic!K6241="CTUh", "Fill in Manually",IF(OR(K6241="Unit", K6241=""), "", INDEX(LookUps!$E$5:$E$12, MATCH(OpenLCAbasic!K6241,LookUps!$D$5:$D$12,0))))</f>
        <v>Water Use (WU) - m3 H2O</v>
      </c>
      <c r="M6241" s="154" t="str">
        <f t="shared" si="449"/>
        <v>Low_Medium_Base_Upgraded_Water Use (WU) - m3 H2O_Wet Well and Sump Station; wastewater treatment unit; at updated plant - US_Without Amendment_Windrow</v>
      </c>
    </row>
    <row r="6242" spans="1:13" s="120" customFormat="1" x14ac:dyDescent="0.25">
      <c r="A6242" s="119"/>
      <c r="B6242" s="138" t="str">
        <f t="shared" si="447"/>
        <v>Windrow</v>
      </c>
      <c r="C6242" s="138" t="str">
        <f t="shared" si="450"/>
        <v>Without Amendment</v>
      </c>
      <c r="D6242" s="138" t="str">
        <f t="shared" si="452"/>
        <v>Medium_Base</v>
      </c>
      <c r="E6242" s="138" t="str">
        <f t="shared" si="451"/>
        <v>Low</v>
      </c>
      <c r="F6242" s="138" t="str">
        <f t="shared" si="448"/>
        <v>Upgraded</v>
      </c>
      <c r="G6242" s="153"/>
      <c r="H6242" s="210">
        <v>4.8099999999999997E-2</v>
      </c>
      <c r="I6242" s="160" t="s">
        <v>59</v>
      </c>
      <c r="J6242" s="211">
        <v>7.0179500000000003E-6</v>
      </c>
      <c r="K6242" s="160" t="s">
        <v>26</v>
      </c>
      <c r="L6242" s="154" t="str">
        <f>IF(OpenLCAbasic!K6242="CTUh", "Fill in Manually",IF(OR(K6242="Unit", K6242=""), "", INDEX(LookUps!$E$5:$E$12, MATCH(OpenLCAbasic!K6242,LookUps!$D$5:$D$12,0))))</f>
        <v>Water Use (WU) - m3 H2O</v>
      </c>
      <c r="M6242" s="154" t="str">
        <f t="shared" si="449"/>
        <v>Low_Medium_Base_Upgraded_Water Use (WU) - m3 H2O_Blend Tank; wastewater treatment unit; at updated plant - US_Without Amendment_Windrow</v>
      </c>
    </row>
    <row r="6243" spans="1:13" s="120" customFormat="1" x14ac:dyDescent="0.25">
      <c r="A6243" s="119"/>
      <c r="B6243" s="138" t="str">
        <f t="shared" si="447"/>
        <v>Windrow</v>
      </c>
      <c r="C6243" s="138" t="str">
        <f t="shared" si="450"/>
        <v>Without Amendment</v>
      </c>
      <c r="D6243" s="138" t="str">
        <f t="shared" si="452"/>
        <v>Medium_Base</v>
      </c>
      <c r="E6243" s="138" t="str">
        <f t="shared" si="451"/>
        <v>Low</v>
      </c>
      <c r="F6243" s="138" t="str">
        <f t="shared" si="448"/>
        <v>Upgraded</v>
      </c>
      <c r="G6243" s="153"/>
      <c r="H6243" s="210">
        <v>3.4700000000000002E-2</v>
      </c>
      <c r="I6243" s="160" t="s">
        <v>128</v>
      </c>
      <c r="J6243" s="211">
        <v>5.0608900000000003E-6</v>
      </c>
      <c r="K6243" s="160" t="s">
        <v>26</v>
      </c>
      <c r="L6243" s="154" t="str">
        <f>IF(OpenLCAbasic!K6243="CTUh", "Fill in Manually",IF(OR(K6243="Unit", K6243=""), "", INDEX(LookUps!$E$5:$E$12, MATCH(OpenLCAbasic!K6243,LookUps!$D$5:$D$12,0))))</f>
        <v>Water Use (WU) - m3 H2O</v>
      </c>
      <c r="M6243" s="154" t="str">
        <f t="shared" si="449"/>
        <v>Low_Medium_Base_Upgraded_Water Use (WU) - m3 H2O_Wastewater collection; operation and infrastructure; m3 wastewater_Without Amendment_Windrow</v>
      </c>
    </row>
    <row r="6244" spans="1:13" s="120" customFormat="1" x14ac:dyDescent="0.25">
      <c r="A6244" s="119"/>
      <c r="B6244" s="138" t="str">
        <f t="shared" si="447"/>
        <v>Windrow</v>
      </c>
      <c r="C6244" s="138" t="str">
        <f t="shared" si="450"/>
        <v>Without Amendment</v>
      </c>
      <c r="D6244" s="138" t="str">
        <f t="shared" si="452"/>
        <v>Medium_Base</v>
      </c>
      <c r="E6244" s="138" t="str">
        <f t="shared" si="451"/>
        <v>Low</v>
      </c>
      <c r="F6244" s="138" t="str">
        <f t="shared" si="448"/>
        <v>Upgraded</v>
      </c>
      <c r="G6244" s="153"/>
      <c r="H6244" s="210">
        <v>9.9000000000000008E-3</v>
      </c>
      <c r="I6244" s="160" t="s">
        <v>271</v>
      </c>
      <c r="J6244" s="211">
        <v>1.4465700000000001E-6</v>
      </c>
      <c r="K6244" s="160" t="s">
        <v>26</v>
      </c>
      <c r="L6244" s="154" t="str">
        <f>IF(OpenLCAbasic!K6244="CTUh", "Fill in Manually",IF(OR(K6244="Unit", K6244=""), "", INDEX(LookUps!$E$5:$E$12, MATCH(OpenLCAbasic!K6244,LookUps!$D$5:$D$12,0))))</f>
        <v>Water Use (WU) - m3 H2O</v>
      </c>
      <c r="M6244" s="154" t="str">
        <f t="shared" si="449"/>
        <v>Low_Medium_Base_Upgraded_Water Use (WU) - m3 H2O_Biosolids composting; windrow composting; wastewater treatment unit; at updated plant - US_Without Amendment_Windrow</v>
      </c>
    </row>
    <row r="6245" spans="1:13" s="120" customFormat="1" x14ac:dyDescent="0.25">
      <c r="A6245" s="119"/>
      <c r="B6245" s="138" t="str">
        <f t="shared" si="447"/>
        <v>Windrow</v>
      </c>
      <c r="C6245" s="138" t="str">
        <f t="shared" si="450"/>
        <v>Without Amendment</v>
      </c>
      <c r="D6245" s="138" t="str">
        <f t="shared" si="452"/>
        <v>Medium_Base</v>
      </c>
      <c r="E6245" s="138" t="str">
        <f t="shared" si="451"/>
        <v>Low</v>
      </c>
      <c r="F6245" s="138" t="str">
        <f t="shared" si="448"/>
        <v>Upgraded</v>
      </c>
      <c r="G6245" s="153"/>
      <c r="H6245" s="210">
        <v>5.3E-3</v>
      </c>
      <c r="I6245" s="160" t="s">
        <v>168</v>
      </c>
      <c r="J6245" s="211">
        <v>7.6697000000000004E-7</v>
      </c>
      <c r="K6245" s="160" t="s">
        <v>26</v>
      </c>
      <c r="L6245" s="154" t="str">
        <f>IF(OpenLCAbasic!K6245="CTUh", "Fill in Manually",IF(OR(K6245="Unit", K6245=""), "", INDEX(LookUps!$E$5:$E$12, MATCH(OpenLCAbasic!K6245,LookUps!$D$5:$D$12,0))))</f>
        <v>Water Use (WU) - m3 H2O</v>
      </c>
      <c r="M6245" s="154" t="str">
        <f t="shared" si="449"/>
        <v>Low_Medium_Base_Upgraded_Water Use (WU) - m3 H2O_ClearCove SCP; wastewater treatment unit; at updated plant - US_Without Amendment_Windrow</v>
      </c>
    </row>
    <row r="6246" spans="1:13" s="120" customFormat="1" x14ac:dyDescent="0.25">
      <c r="A6246" s="119"/>
      <c r="B6246" s="138" t="str">
        <f t="shared" si="447"/>
        <v>Windrow</v>
      </c>
      <c r="C6246" s="138" t="str">
        <f t="shared" si="450"/>
        <v>Without Amendment</v>
      </c>
      <c r="D6246" s="138" t="str">
        <f t="shared" si="452"/>
        <v>Medium_Base</v>
      </c>
      <c r="E6246" s="138" t="str">
        <f t="shared" si="451"/>
        <v>Low</v>
      </c>
      <c r="F6246" s="138" t="str">
        <f t="shared" si="448"/>
        <v>Upgraded</v>
      </c>
      <c r="G6246" s="153"/>
      <c r="H6246" s="210">
        <v>-0.26450000000000001</v>
      </c>
      <c r="I6246" s="160" t="s">
        <v>149</v>
      </c>
      <c r="J6246" s="211">
        <v>-3.8591399999999998E-5</v>
      </c>
      <c r="K6246" s="160" t="s">
        <v>26</v>
      </c>
      <c r="L6246" s="154" t="str">
        <f>IF(OpenLCAbasic!K6246="CTUh", "Fill in Manually",IF(OR(K6246="Unit", K6246=""), "", INDEX(LookUps!$E$5:$E$12, MATCH(OpenLCAbasic!K6246,LookUps!$D$5:$D$12,0))))</f>
        <v>Water Use (WU) - m3 H2O</v>
      </c>
      <c r="M6246" s="154" t="str">
        <f t="shared" si="449"/>
        <v>Low_Medium_Base_Upgraded_Water Use (WU) - m3 H2O_Anaerobic Digestion; wastewater treatment unit; at updated plant - US_Without Amendment_Windrow</v>
      </c>
    </row>
    <row r="6247" spans="1:13" s="120" customFormat="1" x14ac:dyDescent="0.25">
      <c r="A6247" s="119"/>
      <c r="B6247" s="138" t="str">
        <f t="shared" si="447"/>
        <v>Windrow</v>
      </c>
      <c r="C6247" s="138" t="str">
        <f t="shared" si="450"/>
        <v>Without Amendment</v>
      </c>
      <c r="D6247" s="138" t="str">
        <f t="shared" si="452"/>
        <v>Medium_Base</v>
      </c>
      <c r="E6247" s="138" t="str">
        <f t="shared" si="451"/>
        <v>Low</v>
      </c>
      <c r="F6247" s="138" t="str">
        <f t="shared" si="448"/>
        <v>Upgraded</v>
      </c>
      <c r="G6247" s="153"/>
      <c r="H6247" s="210">
        <v>-6.6901999999999999</v>
      </c>
      <c r="I6247" s="160" t="s">
        <v>62</v>
      </c>
      <c r="J6247" s="160">
        <v>-9.7999999999999997E-4</v>
      </c>
      <c r="K6247" s="160" t="s">
        <v>26</v>
      </c>
      <c r="L6247" s="154" t="str">
        <f>IF(OpenLCAbasic!K6247="CTUh", "Fill in Manually",IF(OR(K6247="Unit", K6247=""), "", INDEX(LookUps!$E$5:$E$12, MATCH(OpenLCAbasic!K6247,LookUps!$D$5:$D$12,0))))</f>
        <v>Water Use (WU) - m3 H2O</v>
      </c>
      <c r="M6247" s="154" t="str">
        <f t="shared" si="449"/>
        <v>Low_Medium_Base_Upgraded_Water Use (WU) - m3 H2O_Land application of compost; wastewater treatment unit; at updated plant - US_Without Amendment_Windrow</v>
      </c>
    </row>
    <row r="6248" spans="1:13" s="120" customFormat="1" x14ac:dyDescent="0.25">
      <c r="A6248" s="119"/>
      <c r="B6248" s="138" t="str">
        <f t="shared" ref="B6248:B6311" si="453">IF(F6248="Legacy","n.a.",IF(F6248="","","Windrow"))</f>
        <v/>
      </c>
      <c r="C6248" s="138" t="str">
        <f t="shared" si="450"/>
        <v/>
      </c>
      <c r="D6248" s="138" t="str">
        <f>IF(ISNUMBER($J6248),"Medium_High","")</f>
        <v/>
      </c>
      <c r="E6248" s="138" t="str">
        <f t="shared" si="451"/>
        <v/>
      </c>
      <c r="F6248" s="138" t="str">
        <f t="shared" ref="F6248:F6311" si="454">IF(ISNUMBER(J6248),"Upgraded","")</f>
        <v/>
      </c>
      <c r="G6248" s="153" t="s">
        <v>51</v>
      </c>
      <c r="H6248" s="160"/>
      <c r="I6248" s="160" t="s">
        <v>47</v>
      </c>
      <c r="J6248" s="160" t="s">
        <v>52</v>
      </c>
      <c r="K6248" s="160" t="s">
        <v>27</v>
      </c>
      <c r="L6248" s="154" t="str">
        <f>IF(OpenLCAbasic!K6248="CTUh", "Fill in Manually",IF(OR(K6248="Unit", K6248=""), "", INDEX(LookUps!$E$5:$E$12, MATCH(OpenLCAbasic!K6248,LookUps!$D$5:$D$12,0))))</f>
        <v/>
      </c>
      <c r="M6248" s="154" t="str">
        <f t="shared" si="449"/>
        <v>____Process__</v>
      </c>
    </row>
    <row r="6249" spans="1:13" s="120" customFormat="1" x14ac:dyDescent="0.25">
      <c r="A6249" s="119"/>
      <c r="B6249" s="138" t="str">
        <f t="shared" si="453"/>
        <v>Windrow</v>
      </c>
      <c r="C6249" s="138" t="str">
        <f t="shared" si="450"/>
        <v>Without Amendment</v>
      </c>
      <c r="D6249" s="138" t="str">
        <f t="shared" ref="D6249:D6312" si="455">IF(ISNUMBER($J6249),"Medium_High","")</f>
        <v>Medium_High</v>
      </c>
      <c r="E6249" s="138" t="str">
        <f t="shared" si="451"/>
        <v>Low</v>
      </c>
      <c r="F6249" s="138" t="str">
        <f t="shared" si="454"/>
        <v>Upgraded</v>
      </c>
      <c r="G6249" s="153"/>
      <c r="H6249" s="210">
        <v>1.0851999999999999</v>
      </c>
      <c r="I6249" s="160" t="s">
        <v>55</v>
      </c>
      <c r="J6249" s="160">
        <v>1.7219999999999999E-2</v>
      </c>
      <c r="K6249" s="160" t="s">
        <v>24</v>
      </c>
      <c r="L6249" s="154" t="str">
        <f>IF(OpenLCAbasic!K6249="CTUh", "Fill in Manually",IF(OR(K6249="Unit", K6249=""), "", INDEX(LookUps!$E$5:$E$12, MATCH(OpenLCAbasic!K6249,LookUps!$D$5:$D$12,0))))</f>
        <v>Acidification Potential (AP) - kg SO2 eq</v>
      </c>
      <c r="M6249" s="154" t="str">
        <f t="shared" si="449"/>
        <v>Low_Medium_High_Upgraded_Acidification Potential (AP) - kg SO2 eq_Aeration Tanks; wastewater treatment unit; at updated plant - US_Without Amendment_Windrow</v>
      </c>
    </row>
    <row r="6250" spans="1:13" s="120" customFormat="1" x14ac:dyDescent="0.25">
      <c r="A6250" s="119"/>
      <c r="B6250" s="138" t="str">
        <f t="shared" si="453"/>
        <v>Windrow</v>
      </c>
      <c r="C6250" s="138" t="str">
        <f t="shared" si="450"/>
        <v>Without Amendment</v>
      </c>
      <c r="D6250" s="138" t="str">
        <f t="shared" si="455"/>
        <v>Medium_High</v>
      </c>
      <c r="E6250" s="138" t="str">
        <f t="shared" si="451"/>
        <v>Low</v>
      </c>
      <c r="F6250" s="138" t="str">
        <f t="shared" si="454"/>
        <v>Upgraded</v>
      </c>
      <c r="G6250" s="153"/>
      <c r="H6250" s="210">
        <v>0.31390000000000001</v>
      </c>
      <c r="I6250" s="160" t="s">
        <v>54</v>
      </c>
      <c r="J6250" s="160">
        <v>4.9800000000000001E-3</v>
      </c>
      <c r="K6250" s="160" t="s">
        <v>24</v>
      </c>
      <c r="L6250" s="154" t="str">
        <f>IF(OpenLCAbasic!K6250="CTUh", "Fill in Manually",IF(OR(K6250="Unit", K6250=""), "", INDEX(LookUps!$E$5:$E$12, MATCH(OpenLCAbasic!K6250,LookUps!$D$5:$D$12,0))))</f>
        <v>Acidification Potential (AP) - kg SO2 eq</v>
      </c>
      <c r="M6250" s="154" t="str">
        <f t="shared" si="449"/>
        <v>Low_Medium_High_Upgraded_Acidification Potential (AP) - kg SO2 eq_Clear Cove Primary Clarification; wastewater treatment unit; at updated plant - US_Without Amendment_Windrow</v>
      </c>
    </row>
    <row r="6251" spans="1:13" s="120" customFormat="1" x14ac:dyDescent="0.25">
      <c r="A6251" s="119"/>
      <c r="B6251" s="138" t="str">
        <f t="shared" si="453"/>
        <v>Windrow</v>
      </c>
      <c r="C6251" s="138" t="str">
        <f t="shared" si="450"/>
        <v>Without Amendment</v>
      </c>
      <c r="D6251" s="138" t="str">
        <f t="shared" si="455"/>
        <v>Medium_High</v>
      </c>
      <c r="E6251" s="138" t="str">
        <f t="shared" si="451"/>
        <v>Low</v>
      </c>
      <c r="F6251" s="138" t="str">
        <f t="shared" si="454"/>
        <v>Upgraded</v>
      </c>
      <c r="G6251" s="153"/>
      <c r="H6251" s="210">
        <v>0.27389999999999998</v>
      </c>
      <c r="I6251" s="160" t="s">
        <v>58</v>
      </c>
      <c r="J6251" s="160">
        <v>4.3499999999999997E-3</v>
      </c>
      <c r="K6251" s="160" t="s">
        <v>24</v>
      </c>
      <c r="L6251" s="154" t="str">
        <f>IF(OpenLCAbasic!K6251="CTUh", "Fill in Manually",IF(OR(K6251="Unit", K6251=""), "", INDEX(LookUps!$E$5:$E$12, MATCH(OpenLCAbasic!K6251,LookUps!$D$5:$D$12,0))))</f>
        <v>Acidification Potential (AP) - kg SO2 eq</v>
      </c>
      <c r="M6251" s="154" t="str">
        <f t="shared" si="449"/>
        <v>Low_Medium_High_Upgraded_Acidification Potential (AP) - kg SO2 eq_Pre-Anoxic &amp; Swing tank; wastewater treatment unit; at updated plant - US_Without Amendment_Windrow</v>
      </c>
    </row>
    <row r="6252" spans="1:13" s="120" customFormat="1" x14ac:dyDescent="0.25">
      <c r="A6252" s="119"/>
      <c r="B6252" s="138" t="str">
        <f t="shared" si="453"/>
        <v>Windrow</v>
      </c>
      <c r="C6252" s="138" t="str">
        <f t="shared" si="450"/>
        <v>Without Amendment</v>
      </c>
      <c r="D6252" s="138" t="str">
        <f t="shared" si="455"/>
        <v>Medium_High</v>
      </c>
      <c r="E6252" s="138" t="str">
        <f t="shared" si="451"/>
        <v>Low</v>
      </c>
      <c r="F6252" s="138" t="str">
        <f t="shared" si="454"/>
        <v>Upgraded</v>
      </c>
      <c r="G6252" s="153"/>
      <c r="H6252" s="210">
        <v>0.2175</v>
      </c>
      <c r="I6252" s="160" t="s">
        <v>53</v>
      </c>
      <c r="J6252" s="160">
        <v>3.4499999999999999E-3</v>
      </c>
      <c r="K6252" s="160" t="s">
        <v>24</v>
      </c>
      <c r="L6252" s="154" t="str">
        <f>IF(OpenLCAbasic!K6252="CTUh", "Fill in Manually",IF(OR(K6252="Unit", K6252=""), "", INDEX(LookUps!$E$5:$E$12, MATCH(OpenLCAbasic!K6252,LookUps!$D$5:$D$12,0))))</f>
        <v>Acidification Potential (AP) - kg SO2 eq</v>
      </c>
      <c r="M6252" s="154" t="str">
        <f t="shared" si="449"/>
        <v>Low_Medium_High_Upgraded_Acidification Potential (AP) - kg SO2 eq_Wet Well and Sump Station; wastewater treatment unit; at updated plant - US_Without Amendment_Windrow</v>
      </c>
    </row>
    <row r="6253" spans="1:13" s="120" customFormat="1" x14ac:dyDescent="0.25">
      <c r="A6253" s="119"/>
      <c r="B6253" s="138" t="str">
        <f t="shared" si="453"/>
        <v>Windrow</v>
      </c>
      <c r="C6253" s="138" t="str">
        <f t="shared" si="450"/>
        <v>Without Amendment</v>
      </c>
      <c r="D6253" s="138" t="str">
        <f t="shared" si="455"/>
        <v>Medium_High</v>
      </c>
      <c r="E6253" s="138" t="str">
        <f t="shared" si="451"/>
        <v>Low</v>
      </c>
      <c r="F6253" s="138" t="str">
        <f t="shared" si="454"/>
        <v>Upgraded</v>
      </c>
      <c r="G6253" s="153"/>
      <c r="H6253" s="210">
        <v>0.16120000000000001</v>
      </c>
      <c r="I6253" s="160" t="s">
        <v>62</v>
      </c>
      <c r="J6253" s="160">
        <v>2.5600000000000002E-3</v>
      </c>
      <c r="K6253" s="160" t="s">
        <v>24</v>
      </c>
      <c r="L6253" s="154" t="str">
        <f>IF(OpenLCAbasic!K6253="CTUh", "Fill in Manually",IF(OR(K6253="Unit", K6253=""), "", INDEX(LookUps!$E$5:$E$12, MATCH(OpenLCAbasic!K6253,LookUps!$D$5:$D$12,0))))</f>
        <v>Acidification Potential (AP) - kg SO2 eq</v>
      </c>
      <c r="M6253" s="154" t="str">
        <f t="shared" si="449"/>
        <v>Low_Medium_High_Upgraded_Acidification Potential (AP) - kg SO2 eq_Land application of compost; wastewater treatment unit; at updated plant - US_Without Amendment_Windrow</v>
      </c>
    </row>
    <row r="6254" spans="1:13" s="120" customFormat="1" x14ac:dyDescent="0.25">
      <c r="A6254" s="119"/>
      <c r="B6254" s="138" t="str">
        <f t="shared" si="453"/>
        <v>Windrow</v>
      </c>
      <c r="C6254" s="138" t="str">
        <f t="shared" si="450"/>
        <v>Without Amendment</v>
      </c>
      <c r="D6254" s="138" t="str">
        <f t="shared" si="455"/>
        <v>Medium_High</v>
      </c>
      <c r="E6254" s="138" t="str">
        <f t="shared" si="451"/>
        <v>Low</v>
      </c>
      <c r="F6254" s="138" t="str">
        <f t="shared" si="454"/>
        <v>Upgraded</v>
      </c>
      <c r="G6254" s="153"/>
      <c r="H6254" s="210">
        <v>0.1595</v>
      </c>
      <c r="I6254" s="160" t="s">
        <v>167</v>
      </c>
      <c r="J6254" s="160">
        <v>2.5300000000000001E-3</v>
      </c>
      <c r="K6254" s="160" t="s">
        <v>24</v>
      </c>
      <c r="L6254" s="154" t="str">
        <f>IF(OpenLCAbasic!K6254="CTUh", "Fill in Manually",IF(OR(K6254="Unit", K6254=""), "", INDEX(LookUps!$E$5:$E$12, MATCH(OpenLCAbasic!K6254,LookUps!$D$5:$D$12,0))))</f>
        <v>Acidification Potential (AP) - kg SO2 eq</v>
      </c>
      <c r="M6254" s="154" t="str">
        <f t="shared" si="449"/>
        <v>Low_Medium_High_Upgraded_Acidification Potential (AP) - kg SO2 eq_Waste Receiving and Holding; wastewater treatment unit; at updated plant - US_Without Amendment_Windrow</v>
      </c>
    </row>
    <row r="6255" spans="1:13" s="120" customFormat="1" x14ac:dyDescent="0.25">
      <c r="A6255" s="119"/>
      <c r="B6255" s="138" t="str">
        <f t="shared" si="453"/>
        <v>Windrow</v>
      </c>
      <c r="C6255" s="138" t="str">
        <f t="shared" si="450"/>
        <v>Without Amendment</v>
      </c>
      <c r="D6255" s="138" t="str">
        <f t="shared" si="455"/>
        <v>Medium_High</v>
      </c>
      <c r="E6255" s="138" t="str">
        <f t="shared" si="451"/>
        <v>Low</v>
      </c>
      <c r="F6255" s="138" t="str">
        <f t="shared" si="454"/>
        <v>Upgraded</v>
      </c>
      <c r="G6255" s="153"/>
      <c r="H6255" s="210">
        <v>0.13039999999999999</v>
      </c>
      <c r="I6255" s="160" t="s">
        <v>147</v>
      </c>
      <c r="J6255" s="160">
        <v>2.0699999999999998E-3</v>
      </c>
      <c r="K6255" s="160" t="s">
        <v>24</v>
      </c>
      <c r="L6255" s="154" t="str">
        <f>IF(OpenLCAbasic!K6255="CTUh", "Fill in Manually",IF(OR(K6255="Unit", K6255=""), "", INDEX(LookUps!$E$5:$E$12, MATCH(OpenLCAbasic!K6255,LookUps!$D$5:$D$12,0))))</f>
        <v>Acidification Potential (AP) - kg SO2 eq</v>
      </c>
      <c r="M6255" s="154" t="str">
        <f t="shared" si="449"/>
        <v>Low_Medium_High_Upgraded_Acidification Potential (AP) - kg SO2 eq_Influent Pump Station; wastewater treatment unit; at updated plant - US_Without Amendment_Windrow</v>
      </c>
    </row>
    <row r="6256" spans="1:13" s="120" customFormat="1" x14ac:dyDescent="0.25">
      <c r="A6256" s="119"/>
      <c r="B6256" s="138" t="str">
        <f t="shared" si="453"/>
        <v>Windrow</v>
      </c>
      <c r="C6256" s="138" t="str">
        <f t="shared" si="450"/>
        <v>Without Amendment</v>
      </c>
      <c r="D6256" s="138" t="str">
        <f t="shared" si="455"/>
        <v>Medium_High</v>
      </c>
      <c r="E6256" s="138" t="str">
        <f t="shared" si="451"/>
        <v>Low</v>
      </c>
      <c r="F6256" s="138" t="str">
        <f t="shared" si="454"/>
        <v>Upgraded</v>
      </c>
      <c r="G6256" s="153"/>
      <c r="H6256" s="210">
        <v>7.7700000000000005E-2</v>
      </c>
      <c r="I6256" s="160" t="s">
        <v>128</v>
      </c>
      <c r="J6256" s="160">
        <v>1.23E-3</v>
      </c>
      <c r="K6256" s="160" t="s">
        <v>24</v>
      </c>
      <c r="L6256" s="154" t="str">
        <f>IF(OpenLCAbasic!K6256="CTUh", "Fill in Manually",IF(OR(K6256="Unit", K6256=""), "", INDEX(LookUps!$E$5:$E$12, MATCH(OpenLCAbasic!K6256,LookUps!$D$5:$D$12,0))))</f>
        <v>Acidification Potential (AP) - kg SO2 eq</v>
      </c>
      <c r="M6256" s="154" t="str">
        <f t="shared" si="449"/>
        <v>Low_Medium_High_Upgraded_Acidification Potential (AP) - kg SO2 eq_Wastewater collection; operation and infrastructure; m3 wastewater_Without Amendment_Windrow</v>
      </c>
    </row>
    <row r="6257" spans="1:13" s="120" customFormat="1" x14ac:dyDescent="0.25">
      <c r="A6257" s="119"/>
      <c r="B6257" s="138" t="str">
        <f t="shared" si="453"/>
        <v>Windrow</v>
      </c>
      <c r="C6257" s="138" t="str">
        <f t="shared" si="450"/>
        <v>Without Amendment</v>
      </c>
      <c r="D6257" s="138" t="str">
        <f t="shared" si="455"/>
        <v>Medium_High</v>
      </c>
      <c r="E6257" s="138" t="str">
        <f t="shared" si="451"/>
        <v>Low</v>
      </c>
      <c r="F6257" s="138" t="str">
        <f t="shared" si="454"/>
        <v>Upgraded</v>
      </c>
      <c r="G6257" s="153"/>
      <c r="H6257" s="210">
        <v>6.4299999999999996E-2</v>
      </c>
      <c r="I6257" s="160" t="s">
        <v>60</v>
      </c>
      <c r="J6257" s="160">
        <v>1.0200000000000001E-3</v>
      </c>
      <c r="K6257" s="160" t="s">
        <v>24</v>
      </c>
      <c r="L6257" s="154" t="str">
        <f>IF(OpenLCAbasic!K6257="CTUh", "Fill in Manually",IF(OR(K6257="Unit", K6257=""), "", INDEX(LookUps!$E$5:$E$12, MATCH(OpenLCAbasic!K6257,LookUps!$D$5:$D$12,0))))</f>
        <v>Acidification Potential (AP) - kg SO2 eq</v>
      </c>
      <c r="M6257" s="154" t="str">
        <f t="shared" si="449"/>
        <v>Low_Medium_High_Upgraded_Acidification Potential (AP) - kg SO2 eq_Belt filter press; wastewater treatment unit; at updated plant - US_Without Amendment_Windrow</v>
      </c>
    </row>
    <row r="6258" spans="1:13" s="120" customFormat="1" x14ac:dyDescent="0.25">
      <c r="A6258" s="119"/>
      <c r="B6258" s="138" t="str">
        <f t="shared" si="453"/>
        <v>Windrow</v>
      </c>
      <c r="C6258" s="138" t="str">
        <f t="shared" si="450"/>
        <v>Without Amendment</v>
      </c>
      <c r="D6258" s="138" t="str">
        <f t="shared" si="455"/>
        <v>Medium_High</v>
      </c>
      <c r="E6258" s="138" t="str">
        <f t="shared" si="451"/>
        <v>Low</v>
      </c>
      <c r="F6258" s="138" t="str">
        <f t="shared" si="454"/>
        <v>Upgraded</v>
      </c>
      <c r="G6258" s="153"/>
      <c r="H6258" s="210">
        <v>5.4800000000000001E-2</v>
      </c>
      <c r="I6258" s="160" t="s">
        <v>271</v>
      </c>
      <c r="J6258" s="160">
        <v>8.7000000000000001E-4</v>
      </c>
      <c r="K6258" s="160" t="s">
        <v>24</v>
      </c>
      <c r="L6258" s="154" t="str">
        <f>IF(OpenLCAbasic!K6258="CTUh", "Fill in Manually",IF(OR(K6258="Unit", K6258=""), "", INDEX(LookUps!$E$5:$E$12, MATCH(OpenLCAbasic!K6258,LookUps!$D$5:$D$12,0))))</f>
        <v>Acidification Potential (AP) - kg SO2 eq</v>
      </c>
      <c r="M6258" s="154" t="str">
        <f t="shared" si="449"/>
        <v>Low_Medium_High_Upgraded_Acidification Potential (AP) - kg SO2 eq_Biosolids composting; windrow composting; wastewater treatment unit; at updated plant - US_Without Amendment_Windrow</v>
      </c>
    </row>
    <row r="6259" spans="1:13" s="120" customFormat="1" x14ac:dyDescent="0.25">
      <c r="A6259" s="119"/>
      <c r="B6259" s="138" t="str">
        <f t="shared" si="453"/>
        <v>Windrow</v>
      </c>
      <c r="C6259" s="138" t="str">
        <f t="shared" si="450"/>
        <v>Without Amendment</v>
      </c>
      <c r="D6259" s="138" t="str">
        <f t="shared" si="455"/>
        <v>Medium_High</v>
      </c>
      <c r="E6259" s="138" t="str">
        <f t="shared" si="451"/>
        <v>Low</v>
      </c>
      <c r="F6259" s="138" t="str">
        <f t="shared" si="454"/>
        <v>Upgraded</v>
      </c>
      <c r="G6259" s="153"/>
      <c r="H6259" s="210">
        <v>4.4400000000000002E-2</v>
      </c>
      <c r="I6259" s="160" t="s">
        <v>57</v>
      </c>
      <c r="J6259" s="160">
        <v>6.9999999999999999E-4</v>
      </c>
      <c r="K6259" s="160" t="s">
        <v>24</v>
      </c>
      <c r="L6259" s="154" t="str">
        <f>IF(OpenLCAbasic!K6259="CTUh", "Fill in Manually",IF(OR(K6259="Unit", K6259=""), "", INDEX(LookUps!$E$5:$E$12, MATCH(OpenLCAbasic!K6259,LookUps!$D$5:$D$12,0))))</f>
        <v>Acidification Potential (AP) - kg SO2 eq</v>
      </c>
      <c r="M6259" s="154" t="str">
        <f t="shared" si="449"/>
        <v>Low_Medium_High_Upgraded_Acidification Potential (AP) - kg SO2 eq_Gravity Belt Thickener; wastewater treatment unit; at updated plant - US_Without Amendment_Windrow</v>
      </c>
    </row>
    <row r="6260" spans="1:13" s="120" customFormat="1" x14ac:dyDescent="0.25">
      <c r="A6260" s="119"/>
      <c r="B6260" s="138" t="str">
        <f t="shared" si="453"/>
        <v>Windrow</v>
      </c>
      <c r="C6260" s="138" t="str">
        <f t="shared" si="450"/>
        <v>Without Amendment</v>
      </c>
      <c r="D6260" s="138" t="str">
        <f t="shared" si="455"/>
        <v>Medium_High</v>
      </c>
      <c r="E6260" s="138" t="str">
        <f t="shared" si="451"/>
        <v>Low</v>
      </c>
      <c r="F6260" s="138" t="str">
        <f t="shared" si="454"/>
        <v>Upgraded</v>
      </c>
      <c r="G6260" s="153"/>
      <c r="H6260" s="210">
        <v>3.2500000000000001E-2</v>
      </c>
      <c r="I6260" s="160" t="s">
        <v>59</v>
      </c>
      <c r="J6260" s="160">
        <v>5.1999999999999995E-4</v>
      </c>
      <c r="K6260" s="160" t="s">
        <v>24</v>
      </c>
      <c r="L6260" s="154" t="str">
        <f>IF(OpenLCAbasic!K6260="CTUh", "Fill in Manually",IF(OR(K6260="Unit", K6260=""), "", INDEX(LookUps!$E$5:$E$12, MATCH(OpenLCAbasic!K6260,LookUps!$D$5:$D$12,0))))</f>
        <v>Acidification Potential (AP) - kg SO2 eq</v>
      </c>
      <c r="M6260" s="154" t="str">
        <f t="shared" si="449"/>
        <v>Low_Medium_High_Upgraded_Acidification Potential (AP) - kg SO2 eq_Blend Tank; wastewater treatment unit; at updated plant - US_Without Amendment_Windrow</v>
      </c>
    </row>
    <row r="6261" spans="1:13" s="120" customFormat="1" x14ac:dyDescent="0.25">
      <c r="A6261" s="119"/>
      <c r="B6261" s="138" t="str">
        <f t="shared" si="453"/>
        <v>Windrow</v>
      </c>
      <c r="C6261" s="138" t="str">
        <f t="shared" si="450"/>
        <v>Without Amendment</v>
      </c>
      <c r="D6261" s="138" t="str">
        <f t="shared" si="455"/>
        <v>Medium_High</v>
      </c>
      <c r="E6261" s="138" t="str">
        <f t="shared" si="451"/>
        <v>Low</v>
      </c>
      <c r="F6261" s="138" t="str">
        <f t="shared" si="454"/>
        <v>Upgraded</v>
      </c>
      <c r="G6261" s="153"/>
      <c r="H6261" s="210">
        <v>2.18E-2</v>
      </c>
      <c r="I6261" s="160" t="s">
        <v>48</v>
      </c>
      <c r="J6261" s="160">
        <v>3.5E-4</v>
      </c>
      <c r="K6261" s="160" t="s">
        <v>24</v>
      </c>
      <c r="L6261" s="154" t="str">
        <f>IF(OpenLCAbasic!K6261="CTUh", "Fill in Manually",IF(OR(K6261="Unit", K6261=""), "", INDEX(LookUps!$E$5:$E$12, MATCH(OpenLCAbasic!K6261,LookUps!$D$5:$D$12,0))))</f>
        <v>Acidification Potential (AP) - kg SO2 eq</v>
      </c>
      <c r="M6261" s="154" t="str">
        <f t="shared" si="449"/>
        <v>Low_Medium_High_Upgraded_Acidification Potential (AP) - kg SO2 eq_Effluent release; wastewater treatment unit; at surface water; m3 wastewater - US_Without Amendment_Windrow</v>
      </c>
    </row>
    <row r="6262" spans="1:13" s="120" customFormat="1" x14ac:dyDescent="0.25">
      <c r="A6262" s="119"/>
      <c r="B6262" s="138" t="str">
        <f t="shared" si="453"/>
        <v>Windrow</v>
      </c>
      <c r="C6262" s="138" t="str">
        <f t="shared" si="450"/>
        <v>Without Amendment</v>
      </c>
      <c r="D6262" s="138" t="str">
        <f t="shared" si="455"/>
        <v>Medium_High</v>
      </c>
      <c r="E6262" s="138" t="str">
        <f t="shared" si="451"/>
        <v>Low</v>
      </c>
      <c r="F6262" s="138" t="str">
        <f t="shared" si="454"/>
        <v>Upgraded</v>
      </c>
      <c r="G6262" s="153"/>
      <c r="H6262" s="210">
        <v>1.61E-2</v>
      </c>
      <c r="I6262" s="160" t="s">
        <v>168</v>
      </c>
      <c r="J6262" s="160">
        <v>2.5999999999999998E-4</v>
      </c>
      <c r="K6262" s="160" t="s">
        <v>24</v>
      </c>
      <c r="L6262" s="154" t="str">
        <f>IF(OpenLCAbasic!K6262="CTUh", "Fill in Manually",IF(OR(K6262="Unit", K6262=""), "", INDEX(LookUps!$E$5:$E$12, MATCH(OpenLCAbasic!K6262,LookUps!$D$5:$D$12,0))))</f>
        <v>Acidification Potential (AP) - kg SO2 eq</v>
      </c>
      <c r="M6262" s="154" t="str">
        <f t="shared" si="449"/>
        <v>Low_Medium_High_Upgraded_Acidification Potential (AP) - kg SO2 eq_ClearCove SCP; wastewater treatment unit; at updated plant - US_Without Amendment_Windrow</v>
      </c>
    </row>
    <row r="6263" spans="1:13" s="120" customFormat="1" x14ac:dyDescent="0.25">
      <c r="A6263" s="119"/>
      <c r="B6263" s="138" t="str">
        <f t="shared" si="453"/>
        <v>Windrow</v>
      </c>
      <c r="C6263" s="138" t="str">
        <f t="shared" si="450"/>
        <v>Without Amendment</v>
      </c>
      <c r="D6263" s="138" t="str">
        <f t="shared" si="455"/>
        <v>Medium_High</v>
      </c>
      <c r="E6263" s="138" t="str">
        <f t="shared" si="451"/>
        <v>Low</v>
      </c>
      <c r="F6263" s="138" t="str">
        <f t="shared" si="454"/>
        <v>Upgraded</v>
      </c>
      <c r="G6263" s="153"/>
      <c r="H6263" s="210">
        <v>2.5000000000000001E-3</v>
      </c>
      <c r="I6263" s="160" t="s">
        <v>148</v>
      </c>
      <c r="J6263" s="211">
        <v>4.0354700000000002E-5</v>
      </c>
      <c r="K6263" s="160" t="s">
        <v>24</v>
      </c>
      <c r="L6263" s="154" t="str">
        <f>IF(OpenLCAbasic!K6263="CTUh", "Fill in Manually",IF(OR(K6263="Unit", K6263=""), "", INDEX(LookUps!$E$5:$E$12, MATCH(OpenLCAbasic!K6263,LookUps!$D$5:$D$12,0))))</f>
        <v>Acidification Potential (AP) - kg SO2 eq</v>
      </c>
      <c r="M6263" s="154" t="str">
        <f t="shared" si="449"/>
        <v>Low_Medium_High_Upgraded_Acidification Potential (AP) - kg SO2 eq_Control Building; at upgraded wastewater treatment plant - US_Without Amendment_Windrow</v>
      </c>
    </row>
    <row r="6264" spans="1:13" s="120" customFormat="1" x14ac:dyDescent="0.25">
      <c r="A6264" s="119"/>
      <c r="B6264" s="138" t="str">
        <f t="shared" si="453"/>
        <v>Windrow</v>
      </c>
      <c r="C6264" s="138" t="str">
        <f t="shared" si="450"/>
        <v>Without Amendment</v>
      </c>
      <c r="D6264" s="138" t="str">
        <f t="shared" si="455"/>
        <v>Medium_High</v>
      </c>
      <c r="E6264" s="138" t="str">
        <f t="shared" si="451"/>
        <v>Low</v>
      </c>
      <c r="F6264" s="138" t="str">
        <f t="shared" si="454"/>
        <v>Upgraded</v>
      </c>
      <c r="G6264" s="153"/>
      <c r="H6264" s="210">
        <v>-3.6556999999999999</v>
      </c>
      <c r="I6264" s="160" t="s">
        <v>149</v>
      </c>
      <c r="J6264" s="160">
        <v>-5.8009999999999999E-2</v>
      </c>
      <c r="K6264" s="160" t="s">
        <v>24</v>
      </c>
      <c r="L6264" s="154" t="str">
        <f>IF(OpenLCAbasic!K6264="CTUh", "Fill in Manually",IF(OR(K6264="Unit", K6264=""), "", INDEX(LookUps!$E$5:$E$12, MATCH(OpenLCAbasic!K6264,LookUps!$D$5:$D$12,0))))</f>
        <v>Acidification Potential (AP) - kg SO2 eq</v>
      </c>
      <c r="M6264" s="154" t="str">
        <f t="shared" si="449"/>
        <v>Low_Medium_High_Upgraded_Acidification Potential (AP) - kg SO2 eq_Anaerobic Digestion; wastewater treatment unit; at updated plant - US_Without Amendment_Windrow</v>
      </c>
    </row>
    <row r="6265" spans="1:13" s="120" customFormat="1" x14ac:dyDescent="0.25">
      <c r="A6265" s="119"/>
      <c r="B6265" s="138" t="str">
        <f t="shared" si="453"/>
        <v/>
      </c>
      <c r="C6265" s="138" t="str">
        <f t="shared" si="450"/>
        <v/>
      </c>
      <c r="D6265" s="138" t="str">
        <f t="shared" si="455"/>
        <v/>
      </c>
      <c r="E6265" s="138" t="str">
        <f t="shared" si="451"/>
        <v/>
      </c>
      <c r="F6265" s="138" t="str">
        <f t="shared" si="454"/>
        <v/>
      </c>
      <c r="G6265" s="153" t="s">
        <v>51</v>
      </c>
      <c r="H6265" s="160"/>
      <c r="I6265" s="160" t="s">
        <v>47</v>
      </c>
      <c r="J6265" s="160" t="s">
        <v>52</v>
      </c>
      <c r="K6265" s="160" t="s">
        <v>27</v>
      </c>
      <c r="L6265" s="154" t="str">
        <f>IF(OpenLCAbasic!K6265="CTUh", "Fill in Manually",IF(OR(K6265="Unit", K6265=""), "", INDEX(LookUps!$E$5:$E$12, MATCH(OpenLCAbasic!K6265,LookUps!$D$5:$D$12,0))))</f>
        <v/>
      </c>
      <c r="M6265" s="154" t="str">
        <f t="shared" si="449"/>
        <v>____Process__</v>
      </c>
    </row>
    <row r="6266" spans="1:13" s="120" customFormat="1" x14ac:dyDescent="0.25">
      <c r="A6266" s="119"/>
      <c r="B6266" s="138" t="str">
        <f t="shared" si="453"/>
        <v>Windrow</v>
      </c>
      <c r="C6266" s="138" t="str">
        <f t="shared" si="450"/>
        <v>Without Amendment</v>
      </c>
      <c r="D6266" s="138" t="str">
        <f t="shared" si="455"/>
        <v>Medium_High</v>
      </c>
      <c r="E6266" s="138" t="str">
        <f t="shared" si="451"/>
        <v>Low</v>
      </c>
      <c r="F6266" s="138" t="str">
        <f t="shared" si="454"/>
        <v>Upgraded</v>
      </c>
      <c r="G6266" s="153"/>
      <c r="H6266" s="210">
        <v>1.4276</v>
      </c>
      <c r="I6266" s="160" t="s">
        <v>167</v>
      </c>
      <c r="J6266" s="160">
        <v>4.2789599999999997</v>
      </c>
      <c r="K6266" s="160" t="s">
        <v>15</v>
      </c>
      <c r="L6266" s="154" t="str">
        <f>IF(OpenLCAbasic!K6266="CTUh", "Fill in Manually",IF(OR(K6266="Unit", K6266=""), "", INDEX(LookUps!$E$5:$E$12, MATCH(OpenLCAbasic!K6266,LookUps!$D$5:$D$12,0))))</f>
        <v>Cumulative Energy Demand (CED) - MJ</v>
      </c>
      <c r="M6266" s="154" t="str">
        <f t="shared" si="449"/>
        <v>Low_Medium_High_Upgraded_Cumulative Energy Demand (CED) - MJ_Waste Receiving and Holding; wastewater treatment unit; at updated plant - US_Without Amendment_Windrow</v>
      </c>
    </row>
    <row r="6267" spans="1:13" s="120" customFormat="1" x14ac:dyDescent="0.25">
      <c r="A6267" s="119"/>
      <c r="B6267" s="138" t="str">
        <f t="shared" si="453"/>
        <v>Windrow</v>
      </c>
      <c r="C6267" s="138" t="str">
        <f t="shared" si="450"/>
        <v>Without Amendment</v>
      </c>
      <c r="D6267" s="138" t="str">
        <f t="shared" si="455"/>
        <v>Medium_High</v>
      </c>
      <c r="E6267" s="138" t="str">
        <f t="shared" si="451"/>
        <v>Low</v>
      </c>
      <c r="F6267" s="138" t="str">
        <f t="shared" si="454"/>
        <v>Upgraded</v>
      </c>
      <c r="G6267" s="153"/>
      <c r="H6267" s="210">
        <v>1.1788000000000001</v>
      </c>
      <c r="I6267" s="160" t="s">
        <v>55</v>
      </c>
      <c r="J6267" s="160">
        <v>3.5330499999999998</v>
      </c>
      <c r="K6267" s="160" t="s">
        <v>15</v>
      </c>
      <c r="L6267" s="154" t="str">
        <f>IF(OpenLCAbasic!K6267="CTUh", "Fill in Manually",IF(OR(K6267="Unit", K6267=""), "", INDEX(LookUps!$E$5:$E$12, MATCH(OpenLCAbasic!K6267,LookUps!$D$5:$D$12,0))))</f>
        <v>Cumulative Energy Demand (CED) - MJ</v>
      </c>
      <c r="M6267" s="154" t="str">
        <f t="shared" ref="M6267:M6330" si="456">CONCATENATE(E6267,"_",D6267,"_",F6267,"_",L6267, "_",I6267,"_", C6267,"_", B6267)</f>
        <v>Low_Medium_High_Upgraded_Cumulative Energy Demand (CED) - MJ_Aeration Tanks; wastewater treatment unit; at updated plant - US_Without Amendment_Windrow</v>
      </c>
    </row>
    <row r="6268" spans="1:13" s="120" customFormat="1" x14ac:dyDescent="0.25">
      <c r="A6268" s="119"/>
      <c r="B6268" s="138" t="str">
        <f t="shared" si="453"/>
        <v>Windrow</v>
      </c>
      <c r="C6268" s="138" t="str">
        <f t="shared" si="450"/>
        <v>Without Amendment</v>
      </c>
      <c r="D6268" s="138" t="str">
        <f t="shared" si="455"/>
        <v>Medium_High</v>
      </c>
      <c r="E6268" s="138" t="str">
        <f t="shared" si="451"/>
        <v>Low</v>
      </c>
      <c r="F6268" s="138" t="str">
        <f t="shared" si="454"/>
        <v>Upgraded</v>
      </c>
      <c r="G6268" s="153"/>
      <c r="H6268" s="210">
        <v>0.38800000000000001</v>
      </c>
      <c r="I6268" s="160" t="s">
        <v>54</v>
      </c>
      <c r="J6268" s="160">
        <v>1.16289</v>
      </c>
      <c r="K6268" s="160" t="s">
        <v>15</v>
      </c>
      <c r="L6268" s="154" t="str">
        <f>IF(OpenLCAbasic!K6268="CTUh", "Fill in Manually",IF(OR(K6268="Unit", K6268=""), "", INDEX(LookUps!$E$5:$E$12, MATCH(OpenLCAbasic!K6268,LookUps!$D$5:$D$12,0))))</f>
        <v>Cumulative Energy Demand (CED) - MJ</v>
      </c>
      <c r="M6268" s="154" t="str">
        <f t="shared" si="456"/>
        <v>Low_Medium_High_Upgraded_Cumulative Energy Demand (CED) - MJ_Clear Cove Primary Clarification; wastewater treatment unit; at updated plant - US_Without Amendment_Windrow</v>
      </c>
    </row>
    <row r="6269" spans="1:13" s="120" customFormat="1" x14ac:dyDescent="0.25">
      <c r="A6269" s="119"/>
      <c r="B6269" s="138" t="str">
        <f t="shared" si="453"/>
        <v>Windrow</v>
      </c>
      <c r="C6269" s="138" t="str">
        <f t="shared" si="450"/>
        <v>Without Amendment</v>
      </c>
      <c r="D6269" s="138" t="str">
        <f t="shared" si="455"/>
        <v>Medium_High</v>
      </c>
      <c r="E6269" s="138" t="str">
        <f t="shared" si="451"/>
        <v>Low</v>
      </c>
      <c r="F6269" s="138" t="str">
        <f t="shared" si="454"/>
        <v>Upgraded</v>
      </c>
      <c r="G6269" s="153"/>
      <c r="H6269" s="210">
        <v>0.29599999999999999</v>
      </c>
      <c r="I6269" s="160" t="s">
        <v>58</v>
      </c>
      <c r="J6269" s="160">
        <v>0.88705000000000001</v>
      </c>
      <c r="K6269" s="160" t="s">
        <v>15</v>
      </c>
      <c r="L6269" s="154" t="str">
        <f>IF(OpenLCAbasic!K6269="CTUh", "Fill in Manually",IF(OR(K6269="Unit", K6269=""), "", INDEX(LookUps!$E$5:$E$12, MATCH(OpenLCAbasic!K6269,LookUps!$D$5:$D$12,0))))</f>
        <v>Cumulative Energy Demand (CED) - MJ</v>
      </c>
      <c r="M6269" s="154" t="str">
        <f t="shared" si="456"/>
        <v>Low_Medium_High_Upgraded_Cumulative Energy Demand (CED) - MJ_Pre-Anoxic &amp; Swing tank; wastewater treatment unit; at updated plant - US_Without Amendment_Windrow</v>
      </c>
    </row>
    <row r="6270" spans="1:13" s="120" customFormat="1" x14ac:dyDescent="0.25">
      <c r="A6270" s="119"/>
      <c r="B6270" s="138" t="str">
        <f t="shared" si="453"/>
        <v>Windrow</v>
      </c>
      <c r="C6270" s="138" t="str">
        <f t="shared" si="450"/>
        <v>Without Amendment</v>
      </c>
      <c r="D6270" s="138" t="str">
        <f t="shared" si="455"/>
        <v>Medium_High</v>
      </c>
      <c r="E6270" s="138" t="str">
        <f t="shared" si="451"/>
        <v>Low</v>
      </c>
      <c r="F6270" s="138" t="str">
        <f t="shared" si="454"/>
        <v>Upgraded</v>
      </c>
      <c r="G6270" s="153"/>
      <c r="H6270" s="210">
        <v>0.29459999999999997</v>
      </c>
      <c r="I6270" s="160" t="s">
        <v>147</v>
      </c>
      <c r="J6270" s="160">
        <v>0.88297000000000003</v>
      </c>
      <c r="K6270" s="160" t="s">
        <v>15</v>
      </c>
      <c r="L6270" s="154" t="str">
        <f>IF(OpenLCAbasic!K6270="CTUh", "Fill in Manually",IF(OR(K6270="Unit", K6270=""), "", INDEX(LookUps!$E$5:$E$12, MATCH(OpenLCAbasic!K6270,LookUps!$D$5:$D$12,0))))</f>
        <v>Cumulative Energy Demand (CED) - MJ</v>
      </c>
      <c r="M6270" s="154" t="str">
        <f t="shared" si="456"/>
        <v>Low_Medium_High_Upgraded_Cumulative Energy Demand (CED) - MJ_Influent Pump Station; wastewater treatment unit; at updated plant - US_Without Amendment_Windrow</v>
      </c>
    </row>
    <row r="6271" spans="1:13" s="120" customFormat="1" x14ac:dyDescent="0.25">
      <c r="A6271" s="119"/>
      <c r="B6271" s="138" t="str">
        <f t="shared" si="453"/>
        <v>Windrow</v>
      </c>
      <c r="C6271" s="138" t="str">
        <f t="shared" si="450"/>
        <v>Without Amendment</v>
      </c>
      <c r="D6271" s="138" t="str">
        <f t="shared" si="455"/>
        <v>Medium_High</v>
      </c>
      <c r="E6271" s="138" t="str">
        <f t="shared" si="451"/>
        <v>Low</v>
      </c>
      <c r="F6271" s="138" t="str">
        <f t="shared" si="454"/>
        <v>Upgraded</v>
      </c>
      <c r="G6271" s="153"/>
      <c r="H6271" s="210">
        <v>0.2324</v>
      </c>
      <c r="I6271" s="160" t="s">
        <v>53</v>
      </c>
      <c r="J6271" s="160">
        <v>0.69645000000000001</v>
      </c>
      <c r="K6271" s="160" t="s">
        <v>15</v>
      </c>
      <c r="L6271" s="154" t="str">
        <f>IF(OpenLCAbasic!K6271="CTUh", "Fill in Manually",IF(OR(K6271="Unit", K6271=""), "", INDEX(LookUps!$E$5:$E$12, MATCH(OpenLCAbasic!K6271,LookUps!$D$5:$D$12,0))))</f>
        <v>Cumulative Energy Demand (CED) - MJ</v>
      </c>
      <c r="M6271" s="154" t="str">
        <f t="shared" si="456"/>
        <v>Low_Medium_High_Upgraded_Cumulative Energy Demand (CED) - MJ_Wet Well and Sump Station; wastewater treatment unit; at updated plant - US_Without Amendment_Windrow</v>
      </c>
    </row>
    <row r="6272" spans="1:13" s="120" customFormat="1" x14ac:dyDescent="0.25">
      <c r="A6272" s="119"/>
      <c r="B6272" s="138" t="str">
        <f t="shared" si="453"/>
        <v>Windrow</v>
      </c>
      <c r="C6272" s="138" t="str">
        <f t="shared" si="450"/>
        <v>Without Amendment</v>
      </c>
      <c r="D6272" s="138" t="str">
        <f t="shared" si="455"/>
        <v>Medium_High</v>
      </c>
      <c r="E6272" s="138" t="str">
        <f t="shared" si="451"/>
        <v>Low</v>
      </c>
      <c r="F6272" s="138" t="str">
        <f t="shared" si="454"/>
        <v>Upgraded</v>
      </c>
      <c r="G6272" s="153"/>
      <c r="H6272" s="210">
        <v>0.12709999999999999</v>
      </c>
      <c r="I6272" s="160" t="s">
        <v>60</v>
      </c>
      <c r="J6272" s="160">
        <v>0.38092999999999999</v>
      </c>
      <c r="K6272" s="160" t="s">
        <v>15</v>
      </c>
      <c r="L6272" s="154" t="str">
        <f>IF(OpenLCAbasic!K6272="CTUh", "Fill in Manually",IF(OR(K6272="Unit", K6272=""), "", INDEX(LookUps!$E$5:$E$12, MATCH(OpenLCAbasic!K6272,LookUps!$D$5:$D$12,0))))</f>
        <v>Cumulative Energy Demand (CED) - MJ</v>
      </c>
      <c r="M6272" s="154" t="str">
        <f t="shared" si="456"/>
        <v>Low_Medium_High_Upgraded_Cumulative Energy Demand (CED) - MJ_Belt filter press; wastewater treatment unit; at updated plant - US_Without Amendment_Windrow</v>
      </c>
    </row>
    <row r="6273" spans="1:13" s="120" customFormat="1" x14ac:dyDescent="0.25">
      <c r="A6273" s="119"/>
      <c r="B6273" s="138" t="str">
        <f t="shared" si="453"/>
        <v>Windrow</v>
      </c>
      <c r="C6273" s="138" t="str">
        <f t="shared" ref="C6273:C6336" si="457">IF(ISNUMBER($J6273),"Without Amendment","")</f>
        <v>Without Amendment</v>
      </c>
      <c r="D6273" s="138" t="str">
        <f t="shared" si="455"/>
        <v>Medium_High</v>
      </c>
      <c r="E6273" s="138" t="str">
        <f t="shared" ref="E6273:E6336" si="458">IF(ISNUMBER($J6273),"Low","")</f>
        <v>Low</v>
      </c>
      <c r="F6273" s="138" t="str">
        <f t="shared" si="454"/>
        <v>Upgraded</v>
      </c>
      <c r="G6273" s="153"/>
      <c r="H6273" s="210">
        <v>0.1115</v>
      </c>
      <c r="I6273" s="160" t="s">
        <v>57</v>
      </c>
      <c r="J6273" s="160">
        <v>0.33404</v>
      </c>
      <c r="K6273" s="160" t="s">
        <v>15</v>
      </c>
      <c r="L6273" s="154" t="str">
        <f>IF(OpenLCAbasic!K6273="CTUh", "Fill in Manually",IF(OR(K6273="Unit", K6273=""), "", INDEX(LookUps!$E$5:$E$12, MATCH(OpenLCAbasic!K6273,LookUps!$D$5:$D$12,0))))</f>
        <v>Cumulative Energy Demand (CED) - MJ</v>
      </c>
      <c r="M6273" s="154" t="str">
        <f t="shared" si="456"/>
        <v>Low_Medium_High_Upgraded_Cumulative Energy Demand (CED) - MJ_Gravity Belt Thickener; wastewater treatment unit; at updated plant - US_Without Amendment_Windrow</v>
      </c>
    </row>
    <row r="6274" spans="1:13" s="120" customFormat="1" x14ac:dyDescent="0.25">
      <c r="A6274" s="119"/>
      <c r="B6274" s="138" t="str">
        <f t="shared" si="453"/>
        <v>Windrow</v>
      </c>
      <c r="C6274" s="138" t="str">
        <f t="shared" si="457"/>
        <v>Without Amendment</v>
      </c>
      <c r="D6274" s="138" t="str">
        <f t="shared" si="455"/>
        <v>Medium_High</v>
      </c>
      <c r="E6274" s="138" t="str">
        <f t="shared" si="458"/>
        <v>Low</v>
      </c>
      <c r="F6274" s="138" t="str">
        <f t="shared" si="454"/>
        <v>Upgraded</v>
      </c>
      <c r="G6274" s="153"/>
      <c r="H6274" s="210">
        <v>8.5400000000000004E-2</v>
      </c>
      <c r="I6274" s="160" t="s">
        <v>128</v>
      </c>
      <c r="J6274" s="160">
        <v>0.25606000000000001</v>
      </c>
      <c r="K6274" s="160" t="s">
        <v>15</v>
      </c>
      <c r="L6274" s="154" t="str">
        <f>IF(OpenLCAbasic!K6274="CTUh", "Fill in Manually",IF(OR(K6274="Unit", K6274=""), "", INDEX(LookUps!$E$5:$E$12, MATCH(OpenLCAbasic!K6274,LookUps!$D$5:$D$12,0))))</f>
        <v>Cumulative Energy Demand (CED) - MJ</v>
      </c>
      <c r="M6274" s="154" t="str">
        <f t="shared" si="456"/>
        <v>Low_Medium_High_Upgraded_Cumulative Energy Demand (CED) - MJ_Wastewater collection; operation and infrastructure; m3 wastewater_Without Amendment_Windrow</v>
      </c>
    </row>
    <row r="6275" spans="1:13" s="120" customFormat="1" x14ac:dyDescent="0.25">
      <c r="A6275" s="119"/>
      <c r="B6275" s="138" t="str">
        <f t="shared" si="453"/>
        <v>Windrow</v>
      </c>
      <c r="C6275" s="138" t="str">
        <f t="shared" si="457"/>
        <v>Without Amendment</v>
      </c>
      <c r="D6275" s="138" t="str">
        <f t="shared" si="455"/>
        <v>Medium_High</v>
      </c>
      <c r="E6275" s="138" t="str">
        <f t="shared" si="458"/>
        <v>Low</v>
      </c>
      <c r="F6275" s="138" t="str">
        <f t="shared" si="454"/>
        <v>Upgraded</v>
      </c>
      <c r="G6275" s="153"/>
      <c r="H6275" s="210">
        <v>4.87E-2</v>
      </c>
      <c r="I6275" s="160" t="s">
        <v>148</v>
      </c>
      <c r="J6275" s="160">
        <v>0.14599000000000001</v>
      </c>
      <c r="K6275" s="160" t="s">
        <v>15</v>
      </c>
      <c r="L6275" s="154" t="str">
        <f>IF(OpenLCAbasic!K6275="CTUh", "Fill in Manually",IF(OR(K6275="Unit", K6275=""), "", INDEX(LookUps!$E$5:$E$12, MATCH(OpenLCAbasic!K6275,LookUps!$D$5:$D$12,0))))</f>
        <v>Cumulative Energy Demand (CED) - MJ</v>
      </c>
      <c r="M6275" s="154" t="str">
        <f t="shared" si="456"/>
        <v>Low_Medium_High_Upgraded_Cumulative Energy Demand (CED) - MJ_Control Building; at upgraded wastewater treatment plant - US_Without Amendment_Windrow</v>
      </c>
    </row>
    <row r="6276" spans="1:13" s="120" customFormat="1" x14ac:dyDescent="0.25">
      <c r="A6276" s="119"/>
      <c r="B6276" s="138" t="str">
        <f t="shared" si="453"/>
        <v>Windrow</v>
      </c>
      <c r="C6276" s="138" t="str">
        <f t="shared" si="457"/>
        <v>Without Amendment</v>
      </c>
      <c r="D6276" s="138" t="str">
        <f t="shared" si="455"/>
        <v>Medium_High</v>
      </c>
      <c r="E6276" s="138" t="str">
        <f t="shared" si="458"/>
        <v>Low</v>
      </c>
      <c r="F6276" s="138" t="str">
        <f t="shared" si="454"/>
        <v>Upgraded</v>
      </c>
      <c r="G6276" s="153"/>
      <c r="H6276" s="210">
        <v>4.4400000000000002E-2</v>
      </c>
      <c r="I6276" s="160" t="s">
        <v>48</v>
      </c>
      <c r="J6276" s="160">
        <v>0.13321</v>
      </c>
      <c r="K6276" s="160" t="s">
        <v>15</v>
      </c>
      <c r="L6276" s="154" t="str">
        <f>IF(OpenLCAbasic!K6276="CTUh", "Fill in Manually",IF(OR(K6276="Unit", K6276=""), "", INDEX(LookUps!$E$5:$E$12, MATCH(OpenLCAbasic!K6276,LookUps!$D$5:$D$12,0))))</f>
        <v>Cumulative Energy Demand (CED) - MJ</v>
      </c>
      <c r="M6276" s="154" t="str">
        <f t="shared" si="456"/>
        <v>Low_Medium_High_Upgraded_Cumulative Energy Demand (CED) - MJ_Effluent release; wastewater treatment unit; at surface water; m3 wastewater - US_Without Amendment_Windrow</v>
      </c>
    </row>
    <row r="6277" spans="1:13" s="120" customFormat="1" x14ac:dyDescent="0.25">
      <c r="A6277" s="119"/>
      <c r="B6277" s="138" t="str">
        <f t="shared" si="453"/>
        <v>Windrow</v>
      </c>
      <c r="C6277" s="138" t="str">
        <f t="shared" si="457"/>
        <v>Without Amendment</v>
      </c>
      <c r="D6277" s="138" t="str">
        <f t="shared" si="455"/>
        <v>Medium_High</v>
      </c>
      <c r="E6277" s="138" t="str">
        <f t="shared" si="458"/>
        <v>Low</v>
      </c>
      <c r="F6277" s="138" t="str">
        <f t="shared" si="454"/>
        <v>Upgraded</v>
      </c>
      <c r="G6277" s="153"/>
      <c r="H6277" s="210">
        <v>3.5499999999999997E-2</v>
      </c>
      <c r="I6277" s="160" t="s">
        <v>59</v>
      </c>
      <c r="J6277" s="160">
        <v>0.10638</v>
      </c>
      <c r="K6277" s="160" t="s">
        <v>15</v>
      </c>
      <c r="L6277" s="154" t="str">
        <f>IF(OpenLCAbasic!K6277="CTUh", "Fill in Manually",IF(OR(K6277="Unit", K6277=""), "", INDEX(LookUps!$E$5:$E$12, MATCH(OpenLCAbasic!K6277,LookUps!$D$5:$D$12,0))))</f>
        <v>Cumulative Energy Demand (CED) - MJ</v>
      </c>
      <c r="M6277" s="154" t="str">
        <f t="shared" si="456"/>
        <v>Low_Medium_High_Upgraded_Cumulative Energy Demand (CED) - MJ_Blend Tank; wastewater treatment unit; at updated plant - US_Without Amendment_Windrow</v>
      </c>
    </row>
    <row r="6278" spans="1:13" s="120" customFormat="1" x14ac:dyDescent="0.25">
      <c r="A6278" s="119"/>
      <c r="B6278" s="138" t="str">
        <f t="shared" si="453"/>
        <v>Windrow</v>
      </c>
      <c r="C6278" s="138" t="str">
        <f t="shared" si="457"/>
        <v>Without Amendment</v>
      </c>
      <c r="D6278" s="138" t="str">
        <f t="shared" si="455"/>
        <v>Medium_High</v>
      </c>
      <c r="E6278" s="138" t="str">
        <f t="shared" si="458"/>
        <v>Low</v>
      </c>
      <c r="F6278" s="138" t="str">
        <f t="shared" si="454"/>
        <v>Upgraded</v>
      </c>
      <c r="G6278" s="153"/>
      <c r="H6278" s="210">
        <v>1.7000000000000001E-2</v>
      </c>
      <c r="I6278" s="160" t="s">
        <v>168</v>
      </c>
      <c r="J6278" s="160">
        <v>5.0930000000000003E-2</v>
      </c>
      <c r="K6278" s="160" t="s">
        <v>15</v>
      </c>
      <c r="L6278" s="154" t="str">
        <f>IF(OpenLCAbasic!K6278="CTUh", "Fill in Manually",IF(OR(K6278="Unit", K6278=""), "", INDEX(LookUps!$E$5:$E$12, MATCH(OpenLCAbasic!K6278,LookUps!$D$5:$D$12,0))))</f>
        <v>Cumulative Energy Demand (CED) - MJ</v>
      </c>
      <c r="M6278" s="154" t="str">
        <f t="shared" si="456"/>
        <v>Low_Medium_High_Upgraded_Cumulative Energy Demand (CED) - MJ_ClearCove SCP; wastewater treatment unit; at updated plant - US_Without Amendment_Windrow</v>
      </c>
    </row>
    <row r="6279" spans="1:13" s="120" customFormat="1" x14ac:dyDescent="0.25">
      <c r="A6279" s="119"/>
      <c r="B6279" s="138" t="str">
        <f t="shared" si="453"/>
        <v>Windrow</v>
      </c>
      <c r="C6279" s="138" t="str">
        <f t="shared" si="457"/>
        <v>Without Amendment</v>
      </c>
      <c r="D6279" s="138" t="str">
        <f t="shared" si="455"/>
        <v>Medium_High</v>
      </c>
      <c r="E6279" s="138" t="str">
        <f t="shared" si="458"/>
        <v>Low</v>
      </c>
      <c r="F6279" s="138" t="str">
        <f t="shared" si="454"/>
        <v>Upgraded</v>
      </c>
      <c r="G6279" s="153"/>
      <c r="H6279" s="210">
        <v>8.3000000000000001E-3</v>
      </c>
      <c r="I6279" s="160" t="s">
        <v>271</v>
      </c>
      <c r="J6279" s="160">
        <v>2.486E-2</v>
      </c>
      <c r="K6279" s="160" t="s">
        <v>15</v>
      </c>
      <c r="L6279" s="154" t="str">
        <f>IF(OpenLCAbasic!K6279="CTUh", "Fill in Manually",IF(OR(K6279="Unit", K6279=""), "", INDEX(LookUps!$E$5:$E$12, MATCH(OpenLCAbasic!K6279,LookUps!$D$5:$D$12,0))))</f>
        <v>Cumulative Energy Demand (CED) - MJ</v>
      </c>
      <c r="M6279" s="154" t="str">
        <f t="shared" si="456"/>
        <v>Low_Medium_High_Upgraded_Cumulative Energy Demand (CED) - MJ_Biosolids composting; windrow composting; wastewater treatment unit; at updated plant - US_Without Amendment_Windrow</v>
      </c>
    </row>
    <row r="6280" spans="1:13" s="120" customFormat="1" x14ac:dyDescent="0.25">
      <c r="A6280" s="119"/>
      <c r="B6280" s="138" t="str">
        <f t="shared" si="453"/>
        <v>Windrow</v>
      </c>
      <c r="C6280" s="138" t="str">
        <f t="shared" si="457"/>
        <v>Without Amendment</v>
      </c>
      <c r="D6280" s="138" t="str">
        <f t="shared" si="455"/>
        <v>Medium_High</v>
      </c>
      <c r="E6280" s="138" t="str">
        <f t="shared" si="458"/>
        <v>Low</v>
      </c>
      <c r="F6280" s="138" t="str">
        <f t="shared" si="454"/>
        <v>Upgraded</v>
      </c>
      <c r="G6280" s="153"/>
      <c r="H6280" s="210">
        <v>-0.13320000000000001</v>
      </c>
      <c r="I6280" s="160" t="s">
        <v>62</v>
      </c>
      <c r="J6280" s="160">
        <v>-0.39922999999999997</v>
      </c>
      <c r="K6280" s="160" t="s">
        <v>15</v>
      </c>
      <c r="L6280" s="154" t="str">
        <f>IF(OpenLCAbasic!K6280="CTUh", "Fill in Manually",IF(OR(K6280="Unit", K6280=""), "", INDEX(LookUps!$E$5:$E$12, MATCH(OpenLCAbasic!K6280,LookUps!$D$5:$D$12,0))))</f>
        <v>Cumulative Energy Demand (CED) - MJ</v>
      </c>
      <c r="M6280" s="154" t="str">
        <f t="shared" si="456"/>
        <v>Low_Medium_High_Upgraded_Cumulative Energy Demand (CED) - MJ_Land application of compost; wastewater treatment unit; at updated plant - US_Without Amendment_Windrow</v>
      </c>
    </row>
    <row r="6281" spans="1:13" s="120" customFormat="1" x14ac:dyDescent="0.25">
      <c r="A6281" s="119"/>
      <c r="B6281" s="138" t="str">
        <f t="shared" si="453"/>
        <v>Windrow</v>
      </c>
      <c r="C6281" s="138" t="str">
        <f t="shared" si="457"/>
        <v>Without Amendment</v>
      </c>
      <c r="D6281" s="138" t="str">
        <f t="shared" si="455"/>
        <v>Medium_High</v>
      </c>
      <c r="E6281" s="138" t="str">
        <f t="shared" si="458"/>
        <v>Low</v>
      </c>
      <c r="F6281" s="138" t="str">
        <f t="shared" si="454"/>
        <v>Upgraded</v>
      </c>
      <c r="G6281" s="153"/>
      <c r="H6281" s="210">
        <v>-5.1619999999999999</v>
      </c>
      <c r="I6281" s="160" t="s">
        <v>149</v>
      </c>
      <c r="J6281" s="160">
        <v>-15.471780000000001</v>
      </c>
      <c r="K6281" s="160" t="s">
        <v>15</v>
      </c>
      <c r="L6281" s="154" t="str">
        <f>IF(OpenLCAbasic!K6281="CTUh", "Fill in Manually",IF(OR(K6281="Unit", K6281=""), "", INDEX(LookUps!$E$5:$E$12, MATCH(OpenLCAbasic!K6281,LookUps!$D$5:$D$12,0))))</f>
        <v>Cumulative Energy Demand (CED) - MJ</v>
      </c>
      <c r="M6281" s="154" t="str">
        <f t="shared" si="456"/>
        <v>Low_Medium_High_Upgraded_Cumulative Energy Demand (CED) - MJ_Anaerobic Digestion; wastewater treatment unit; at updated plant - US_Without Amendment_Windrow</v>
      </c>
    </row>
    <row r="6282" spans="1:13" s="120" customFormat="1" x14ac:dyDescent="0.25">
      <c r="A6282" s="119"/>
      <c r="B6282" s="138" t="str">
        <f t="shared" si="453"/>
        <v/>
      </c>
      <c r="C6282" s="138" t="str">
        <f t="shared" si="457"/>
        <v/>
      </c>
      <c r="D6282" s="138" t="str">
        <f t="shared" si="455"/>
        <v/>
      </c>
      <c r="E6282" s="138" t="str">
        <f t="shared" si="458"/>
        <v/>
      </c>
      <c r="F6282" s="138" t="str">
        <f t="shared" si="454"/>
        <v/>
      </c>
      <c r="G6282" s="153" t="s">
        <v>51</v>
      </c>
      <c r="H6282" s="160"/>
      <c r="I6282" s="160" t="s">
        <v>47</v>
      </c>
      <c r="J6282" s="160" t="s">
        <v>52</v>
      </c>
      <c r="K6282" s="160" t="s">
        <v>27</v>
      </c>
      <c r="L6282" s="154" t="str">
        <f>IF(OpenLCAbasic!K6282="CTUh", "Fill in Manually",IF(OR(K6282="Unit", K6282=""), "", INDEX(LookUps!$E$5:$E$12, MATCH(OpenLCAbasic!K6282,LookUps!$D$5:$D$12,0))))</f>
        <v/>
      </c>
      <c r="M6282" s="154" t="str">
        <f t="shared" si="456"/>
        <v>____Process__</v>
      </c>
    </row>
    <row r="6283" spans="1:13" s="120" customFormat="1" x14ac:dyDescent="0.25">
      <c r="A6283" s="119"/>
      <c r="B6283" s="138" t="str">
        <f t="shared" si="453"/>
        <v>Windrow</v>
      </c>
      <c r="C6283" s="138" t="str">
        <f t="shared" si="457"/>
        <v>Without Amendment</v>
      </c>
      <c r="D6283" s="138" t="str">
        <f t="shared" si="455"/>
        <v>Medium_High</v>
      </c>
      <c r="E6283" s="138" t="str">
        <f t="shared" si="458"/>
        <v>Low</v>
      </c>
      <c r="F6283" s="138" t="str">
        <f t="shared" si="454"/>
        <v>Upgraded</v>
      </c>
      <c r="G6283" s="153"/>
      <c r="H6283" s="210">
        <v>0.87229999999999996</v>
      </c>
      <c r="I6283" s="160" t="s">
        <v>48</v>
      </c>
      <c r="J6283" s="160">
        <v>1.1610000000000001E-2</v>
      </c>
      <c r="K6283" s="160" t="s">
        <v>13</v>
      </c>
      <c r="L6283" s="154" t="str">
        <f>IF(OpenLCAbasic!K6283="CTUh", "Fill in Manually",IF(OR(K6283="Unit", K6283=""), "", INDEX(LookUps!$E$5:$E$12, MATCH(OpenLCAbasic!K6283,LookUps!$D$5:$D$12,0))))</f>
        <v>Eutrophication Potential (EP) - kg N eq</v>
      </c>
      <c r="M6283" s="154" t="str">
        <f t="shared" si="456"/>
        <v>Low_Medium_High_Upgraded_Eutrophication Potential (EP) - kg N eq_Effluent release; wastewater treatment unit; at surface water; m3 wastewater - US_Without Amendment_Windrow</v>
      </c>
    </row>
    <row r="6284" spans="1:13" s="120" customFormat="1" x14ac:dyDescent="0.25">
      <c r="A6284" s="119"/>
      <c r="B6284" s="138" t="str">
        <f t="shared" si="453"/>
        <v>Windrow</v>
      </c>
      <c r="C6284" s="138" t="str">
        <f t="shared" si="457"/>
        <v>Without Amendment</v>
      </c>
      <c r="D6284" s="138" t="str">
        <f t="shared" si="455"/>
        <v>Medium_High</v>
      </c>
      <c r="E6284" s="138" t="str">
        <f t="shared" si="458"/>
        <v>Low</v>
      </c>
      <c r="F6284" s="138" t="str">
        <f t="shared" si="454"/>
        <v>Upgraded</v>
      </c>
      <c r="G6284" s="153"/>
      <c r="H6284" s="210">
        <v>0.13300000000000001</v>
      </c>
      <c r="I6284" s="160" t="s">
        <v>62</v>
      </c>
      <c r="J6284" s="160">
        <v>1.7700000000000001E-3</v>
      </c>
      <c r="K6284" s="160" t="s">
        <v>13</v>
      </c>
      <c r="L6284" s="154" t="str">
        <f>IF(OpenLCAbasic!K6284="CTUh", "Fill in Manually",IF(OR(K6284="Unit", K6284=""), "", INDEX(LookUps!$E$5:$E$12, MATCH(OpenLCAbasic!K6284,LookUps!$D$5:$D$12,0))))</f>
        <v>Eutrophication Potential (EP) - kg N eq</v>
      </c>
      <c r="M6284" s="154" t="str">
        <f t="shared" si="456"/>
        <v>Low_Medium_High_Upgraded_Eutrophication Potential (EP) - kg N eq_Land application of compost; wastewater treatment unit; at updated plant - US_Without Amendment_Windrow</v>
      </c>
    </row>
    <row r="6285" spans="1:13" s="120" customFormat="1" x14ac:dyDescent="0.25">
      <c r="A6285" s="119"/>
      <c r="B6285" s="138" t="str">
        <f t="shared" si="453"/>
        <v>Windrow</v>
      </c>
      <c r="C6285" s="138" t="str">
        <f t="shared" si="457"/>
        <v>Without Amendment</v>
      </c>
      <c r="D6285" s="138" t="str">
        <f t="shared" si="455"/>
        <v>Medium_High</v>
      </c>
      <c r="E6285" s="138" t="str">
        <f t="shared" si="458"/>
        <v>Low</v>
      </c>
      <c r="F6285" s="138" t="str">
        <f t="shared" si="454"/>
        <v>Upgraded</v>
      </c>
      <c r="G6285" s="153"/>
      <c r="H6285" s="210">
        <v>4.1099999999999998E-2</v>
      </c>
      <c r="I6285" s="160" t="s">
        <v>55</v>
      </c>
      <c r="J6285" s="160">
        <v>5.5000000000000003E-4</v>
      </c>
      <c r="K6285" s="160" t="s">
        <v>13</v>
      </c>
      <c r="L6285" s="154" t="str">
        <f>IF(OpenLCAbasic!K6285="CTUh", "Fill in Manually",IF(OR(K6285="Unit", K6285=""), "", INDEX(LookUps!$E$5:$E$12, MATCH(OpenLCAbasic!K6285,LookUps!$D$5:$D$12,0))))</f>
        <v>Eutrophication Potential (EP) - kg N eq</v>
      </c>
      <c r="M6285" s="154" t="str">
        <f t="shared" si="456"/>
        <v>Low_Medium_High_Upgraded_Eutrophication Potential (EP) - kg N eq_Aeration Tanks; wastewater treatment unit; at updated plant - US_Without Amendment_Windrow</v>
      </c>
    </row>
    <row r="6286" spans="1:13" s="120" customFormat="1" x14ac:dyDescent="0.25">
      <c r="A6286" s="119"/>
      <c r="B6286" s="138" t="str">
        <f t="shared" si="453"/>
        <v>Windrow</v>
      </c>
      <c r="C6286" s="138" t="str">
        <f t="shared" si="457"/>
        <v>Without Amendment</v>
      </c>
      <c r="D6286" s="138" t="str">
        <f t="shared" si="455"/>
        <v>Medium_High</v>
      </c>
      <c r="E6286" s="138" t="str">
        <f t="shared" si="458"/>
        <v>Low</v>
      </c>
      <c r="F6286" s="138" t="str">
        <f t="shared" si="454"/>
        <v>Upgraded</v>
      </c>
      <c r="G6286" s="153"/>
      <c r="H6286" s="210">
        <v>1.8800000000000001E-2</v>
      </c>
      <c r="I6286" s="160" t="s">
        <v>147</v>
      </c>
      <c r="J6286" s="160">
        <v>2.5000000000000001E-4</v>
      </c>
      <c r="K6286" s="160" t="s">
        <v>13</v>
      </c>
      <c r="L6286" s="154" t="str">
        <f>IF(OpenLCAbasic!K6286="CTUh", "Fill in Manually",IF(OR(K6286="Unit", K6286=""), "", INDEX(LookUps!$E$5:$E$12, MATCH(OpenLCAbasic!K6286,LookUps!$D$5:$D$12,0))))</f>
        <v>Eutrophication Potential (EP) - kg N eq</v>
      </c>
      <c r="M6286" s="154" t="str">
        <f t="shared" si="456"/>
        <v>Low_Medium_High_Upgraded_Eutrophication Potential (EP) - kg N eq_Influent Pump Station; wastewater treatment unit; at updated plant - US_Without Amendment_Windrow</v>
      </c>
    </row>
    <row r="6287" spans="1:13" s="120" customFormat="1" x14ac:dyDescent="0.25">
      <c r="A6287" s="119"/>
      <c r="B6287" s="138" t="str">
        <f t="shared" si="453"/>
        <v>Windrow</v>
      </c>
      <c r="C6287" s="138" t="str">
        <f t="shared" si="457"/>
        <v>Without Amendment</v>
      </c>
      <c r="D6287" s="138" t="str">
        <f t="shared" si="455"/>
        <v>Medium_High</v>
      </c>
      <c r="E6287" s="138" t="str">
        <f t="shared" si="458"/>
        <v>Low</v>
      </c>
      <c r="F6287" s="138" t="str">
        <f t="shared" si="454"/>
        <v>Upgraded</v>
      </c>
      <c r="G6287" s="153"/>
      <c r="H6287" s="210">
        <v>1.49E-2</v>
      </c>
      <c r="I6287" s="160" t="s">
        <v>54</v>
      </c>
      <c r="J6287" s="160">
        <v>2.0000000000000001E-4</v>
      </c>
      <c r="K6287" s="160" t="s">
        <v>13</v>
      </c>
      <c r="L6287" s="154" t="str">
        <f>IF(OpenLCAbasic!K6287="CTUh", "Fill in Manually",IF(OR(K6287="Unit", K6287=""), "", INDEX(LookUps!$E$5:$E$12, MATCH(OpenLCAbasic!K6287,LookUps!$D$5:$D$12,0))))</f>
        <v>Eutrophication Potential (EP) - kg N eq</v>
      </c>
      <c r="M6287" s="154" t="str">
        <f t="shared" si="456"/>
        <v>Low_Medium_High_Upgraded_Eutrophication Potential (EP) - kg N eq_Clear Cove Primary Clarification; wastewater treatment unit; at updated plant - US_Without Amendment_Windrow</v>
      </c>
    </row>
    <row r="6288" spans="1:13" s="120" customFormat="1" x14ac:dyDescent="0.25">
      <c r="A6288" s="119"/>
      <c r="B6288" s="138" t="str">
        <f t="shared" si="453"/>
        <v>Windrow</v>
      </c>
      <c r="C6288" s="138" t="str">
        <f t="shared" si="457"/>
        <v>Without Amendment</v>
      </c>
      <c r="D6288" s="138" t="str">
        <f t="shared" si="455"/>
        <v>Medium_High</v>
      </c>
      <c r="E6288" s="138" t="str">
        <f t="shared" si="458"/>
        <v>Low</v>
      </c>
      <c r="F6288" s="138" t="str">
        <f t="shared" si="454"/>
        <v>Upgraded</v>
      </c>
      <c r="G6288" s="153"/>
      <c r="H6288" s="210">
        <v>1.43E-2</v>
      </c>
      <c r="I6288" s="160" t="s">
        <v>167</v>
      </c>
      <c r="J6288" s="160">
        <v>1.9000000000000001E-4</v>
      </c>
      <c r="K6288" s="160" t="s">
        <v>13</v>
      </c>
      <c r="L6288" s="154" t="str">
        <f>IF(OpenLCAbasic!K6288="CTUh", "Fill in Manually",IF(OR(K6288="Unit", K6288=""), "", INDEX(LookUps!$E$5:$E$12, MATCH(OpenLCAbasic!K6288,LookUps!$D$5:$D$12,0))))</f>
        <v>Eutrophication Potential (EP) - kg N eq</v>
      </c>
      <c r="M6288" s="154" t="str">
        <f t="shared" si="456"/>
        <v>Low_Medium_High_Upgraded_Eutrophication Potential (EP) - kg N eq_Waste Receiving and Holding; wastewater treatment unit; at updated plant - US_Without Amendment_Windrow</v>
      </c>
    </row>
    <row r="6289" spans="1:13" s="120" customFormat="1" x14ac:dyDescent="0.25">
      <c r="A6289" s="119"/>
      <c r="B6289" s="138" t="str">
        <f t="shared" si="453"/>
        <v>Windrow</v>
      </c>
      <c r="C6289" s="138" t="str">
        <f t="shared" si="457"/>
        <v>Without Amendment</v>
      </c>
      <c r="D6289" s="138" t="str">
        <f t="shared" si="455"/>
        <v>Medium_High</v>
      </c>
      <c r="E6289" s="138" t="str">
        <f t="shared" si="458"/>
        <v>Low</v>
      </c>
      <c r="F6289" s="138" t="str">
        <f t="shared" si="454"/>
        <v>Upgraded</v>
      </c>
      <c r="G6289" s="153"/>
      <c r="H6289" s="210">
        <v>1.0200000000000001E-2</v>
      </c>
      <c r="I6289" s="160" t="s">
        <v>58</v>
      </c>
      <c r="J6289" s="160">
        <v>1.3999999999999999E-4</v>
      </c>
      <c r="K6289" s="160" t="s">
        <v>13</v>
      </c>
      <c r="L6289" s="154" t="str">
        <f>IF(OpenLCAbasic!K6289="CTUh", "Fill in Manually",IF(OR(K6289="Unit", K6289=""), "", INDEX(LookUps!$E$5:$E$12, MATCH(OpenLCAbasic!K6289,LookUps!$D$5:$D$12,0))))</f>
        <v>Eutrophication Potential (EP) - kg N eq</v>
      </c>
      <c r="M6289" s="154" t="str">
        <f t="shared" si="456"/>
        <v>Low_Medium_High_Upgraded_Eutrophication Potential (EP) - kg N eq_Pre-Anoxic &amp; Swing tank; wastewater treatment unit; at updated plant - US_Without Amendment_Windrow</v>
      </c>
    </row>
    <row r="6290" spans="1:13" s="120" customFormat="1" x14ac:dyDescent="0.25">
      <c r="A6290" s="119"/>
      <c r="B6290" s="138" t="str">
        <f t="shared" si="453"/>
        <v>Windrow</v>
      </c>
      <c r="C6290" s="138" t="str">
        <f t="shared" si="457"/>
        <v>Without Amendment</v>
      </c>
      <c r="D6290" s="138" t="str">
        <f t="shared" si="455"/>
        <v>Medium_High</v>
      </c>
      <c r="E6290" s="138" t="str">
        <f t="shared" si="458"/>
        <v>Low</v>
      </c>
      <c r="F6290" s="138" t="str">
        <f t="shared" si="454"/>
        <v>Upgraded</v>
      </c>
      <c r="G6290" s="153"/>
      <c r="H6290" s="210">
        <v>8.0999999999999996E-3</v>
      </c>
      <c r="I6290" s="160" t="s">
        <v>53</v>
      </c>
      <c r="J6290" s="160">
        <v>1.1E-4</v>
      </c>
      <c r="K6290" s="160" t="s">
        <v>13</v>
      </c>
      <c r="L6290" s="154" t="str">
        <f>IF(OpenLCAbasic!K6290="CTUh", "Fill in Manually",IF(OR(K6290="Unit", K6290=""), "", INDEX(LookUps!$E$5:$E$12, MATCH(OpenLCAbasic!K6290,LookUps!$D$5:$D$12,0))))</f>
        <v>Eutrophication Potential (EP) - kg N eq</v>
      </c>
      <c r="M6290" s="154" t="str">
        <f t="shared" si="456"/>
        <v>Low_Medium_High_Upgraded_Eutrophication Potential (EP) - kg N eq_Wet Well and Sump Station; wastewater treatment unit; at updated plant - US_Without Amendment_Windrow</v>
      </c>
    </row>
    <row r="6291" spans="1:13" s="120" customFormat="1" x14ac:dyDescent="0.25">
      <c r="A6291" s="119"/>
      <c r="B6291" s="138" t="str">
        <f t="shared" si="453"/>
        <v>Windrow</v>
      </c>
      <c r="C6291" s="138" t="str">
        <f t="shared" si="457"/>
        <v>Without Amendment</v>
      </c>
      <c r="D6291" s="138" t="str">
        <f t="shared" si="455"/>
        <v>Medium_High</v>
      </c>
      <c r="E6291" s="138" t="str">
        <f t="shared" si="458"/>
        <v>Low</v>
      </c>
      <c r="F6291" s="138" t="str">
        <f t="shared" si="454"/>
        <v>Upgraded</v>
      </c>
      <c r="G6291" s="153"/>
      <c r="H6291" s="210">
        <v>5.0000000000000001E-3</v>
      </c>
      <c r="I6291" s="160" t="s">
        <v>60</v>
      </c>
      <c r="J6291" s="211">
        <v>6.69155E-5</v>
      </c>
      <c r="K6291" s="160" t="s">
        <v>13</v>
      </c>
      <c r="L6291" s="154" t="str">
        <f>IF(OpenLCAbasic!K6291="CTUh", "Fill in Manually",IF(OR(K6291="Unit", K6291=""), "", INDEX(LookUps!$E$5:$E$12, MATCH(OpenLCAbasic!K6291,LookUps!$D$5:$D$12,0))))</f>
        <v>Eutrophication Potential (EP) - kg N eq</v>
      </c>
      <c r="M6291" s="154" t="str">
        <f t="shared" si="456"/>
        <v>Low_Medium_High_Upgraded_Eutrophication Potential (EP) - kg N eq_Belt filter press; wastewater treatment unit; at updated plant - US_Without Amendment_Windrow</v>
      </c>
    </row>
    <row r="6292" spans="1:13" s="120" customFormat="1" x14ac:dyDescent="0.25">
      <c r="A6292" s="119"/>
      <c r="B6292" s="138" t="str">
        <f t="shared" si="453"/>
        <v>Windrow</v>
      </c>
      <c r="C6292" s="138" t="str">
        <f t="shared" si="457"/>
        <v>Without Amendment</v>
      </c>
      <c r="D6292" s="138" t="str">
        <f t="shared" si="455"/>
        <v>Medium_High</v>
      </c>
      <c r="E6292" s="138" t="str">
        <f t="shared" si="458"/>
        <v>Low</v>
      </c>
      <c r="F6292" s="138" t="str">
        <f t="shared" si="454"/>
        <v>Upgraded</v>
      </c>
      <c r="G6292" s="153"/>
      <c r="H6292" s="210">
        <v>4.5999999999999999E-3</v>
      </c>
      <c r="I6292" s="160" t="s">
        <v>57</v>
      </c>
      <c r="J6292" s="211">
        <v>6.0590300000000002E-5</v>
      </c>
      <c r="K6292" s="160" t="s">
        <v>13</v>
      </c>
      <c r="L6292" s="154" t="str">
        <f>IF(OpenLCAbasic!K6292="CTUh", "Fill in Manually",IF(OR(K6292="Unit", K6292=""), "", INDEX(LookUps!$E$5:$E$12, MATCH(OpenLCAbasic!K6292,LookUps!$D$5:$D$12,0))))</f>
        <v>Eutrophication Potential (EP) - kg N eq</v>
      </c>
      <c r="M6292" s="154" t="str">
        <f t="shared" si="456"/>
        <v>Low_Medium_High_Upgraded_Eutrophication Potential (EP) - kg N eq_Gravity Belt Thickener; wastewater treatment unit; at updated plant - US_Without Amendment_Windrow</v>
      </c>
    </row>
    <row r="6293" spans="1:13" s="120" customFormat="1" x14ac:dyDescent="0.25">
      <c r="A6293" s="119"/>
      <c r="B6293" s="138" t="str">
        <f t="shared" si="453"/>
        <v>Windrow</v>
      </c>
      <c r="C6293" s="138" t="str">
        <f t="shared" si="457"/>
        <v>Without Amendment</v>
      </c>
      <c r="D6293" s="138" t="str">
        <f t="shared" si="455"/>
        <v>Medium_High</v>
      </c>
      <c r="E6293" s="138" t="str">
        <f t="shared" si="458"/>
        <v>Low</v>
      </c>
      <c r="F6293" s="138" t="str">
        <f t="shared" si="454"/>
        <v>Upgraded</v>
      </c>
      <c r="G6293" s="153"/>
      <c r="H6293" s="210">
        <v>4.1000000000000003E-3</v>
      </c>
      <c r="I6293" s="160" t="s">
        <v>271</v>
      </c>
      <c r="J6293" s="211">
        <v>5.4854200000000001E-5</v>
      </c>
      <c r="K6293" s="160" t="s">
        <v>13</v>
      </c>
      <c r="L6293" s="154" t="str">
        <f>IF(OpenLCAbasic!K6293="CTUh", "Fill in Manually",IF(OR(K6293="Unit", K6293=""), "", INDEX(LookUps!$E$5:$E$12, MATCH(OpenLCAbasic!K6293,LookUps!$D$5:$D$12,0))))</f>
        <v>Eutrophication Potential (EP) - kg N eq</v>
      </c>
      <c r="M6293" s="154" t="str">
        <f t="shared" si="456"/>
        <v>Low_Medium_High_Upgraded_Eutrophication Potential (EP) - kg N eq_Biosolids composting; windrow composting; wastewater treatment unit; at updated plant - US_Without Amendment_Windrow</v>
      </c>
    </row>
    <row r="6294" spans="1:13" s="120" customFormat="1" x14ac:dyDescent="0.25">
      <c r="A6294" s="119"/>
      <c r="B6294" s="138" t="str">
        <f t="shared" si="453"/>
        <v>Windrow</v>
      </c>
      <c r="C6294" s="138" t="str">
        <f t="shared" si="457"/>
        <v>Without Amendment</v>
      </c>
      <c r="D6294" s="138" t="str">
        <f t="shared" si="455"/>
        <v>Medium_High</v>
      </c>
      <c r="E6294" s="138" t="str">
        <f t="shared" si="458"/>
        <v>Low</v>
      </c>
      <c r="F6294" s="138" t="str">
        <f t="shared" si="454"/>
        <v>Upgraded</v>
      </c>
      <c r="G6294" s="153"/>
      <c r="H6294" s="210">
        <v>2.8E-3</v>
      </c>
      <c r="I6294" s="160" t="s">
        <v>128</v>
      </c>
      <c r="J6294" s="211">
        <v>3.7559799999999999E-5</v>
      </c>
      <c r="K6294" s="160" t="s">
        <v>13</v>
      </c>
      <c r="L6294" s="154" t="str">
        <f>IF(OpenLCAbasic!K6294="CTUh", "Fill in Manually",IF(OR(K6294="Unit", K6294=""), "", INDEX(LookUps!$E$5:$E$12, MATCH(OpenLCAbasic!K6294,LookUps!$D$5:$D$12,0))))</f>
        <v>Eutrophication Potential (EP) - kg N eq</v>
      </c>
      <c r="M6294" s="154" t="str">
        <f t="shared" si="456"/>
        <v>Low_Medium_High_Upgraded_Eutrophication Potential (EP) - kg N eq_Wastewater collection; operation and infrastructure; m3 wastewater_Without Amendment_Windrow</v>
      </c>
    </row>
    <row r="6295" spans="1:13" s="120" customFormat="1" x14ac:dyDescent="0.25">
      <c r="A6295" s="119"/>
      <c r="B6295" s="138" t="str">
        <f t="shared" si="453"/>
        <v>Windrow</v>
      </c>
      <c r="C6295" s="138" t="str">
        <f t="shared" si="457"/>
        <v>Without Amendment</v>
      </c>
      <c r="D6295" s="138" t="str">
        <f t="shared" si="455"/>
        <v>Medium_High</v>
      </c>
      <c r="E6295" s="138" t="str">
        <f t="shared" si="458"/>
        <v>Low</v>
      </c>
      <c r="F6295" s="138" t="str">
        <f t="shared" si="454"/>
        <v>Upgraded</v>
      </c>
      <c r="G6295" s="153"/>
      <c r="H6295" s="210">
        <v>2.8E-3</v>
      </c>
      <c r="I6295" s="160" t="s">
        <v>148</v>
      </c>
      <c r="J6295" s="211">
        <v>3.6874600000000001E-5</v>
      </c>
      <c r="K6295" s="160" t="s">
        <v>13</v>
      </c>
      <c r="L6295" s="154" t="str">
        <f>IF(OpenLCAbasic!K6295="CTUh", "Fill in Manually",IF(OR(K6295="Unit", K6295=""), "", INDEX(LookUps!$E$5:$E$12, MATCH(OpenLCAbasic!K6295,LookUps!$D$5:$D$12,0))))</f>
        <v>Eutrophication Potential (EP) - kg N eq</v>
      </c>
      <c r="M6295" s="154" t="str">
        <f t="shared" si="456"/>
        <v>Low_Medium_High_Upgraded_Eutrophication Potential (EP) - kg N eq_Control Building; at upgraded wastewater treatment plant - US_Without Amendment_Windrow</v>
      </c>
    </row>
    <row r="6296" spans="1:13" s="120" customFormat="1" x14ac:dyDescent="0.25">
      <c r="A6296" s="119"/>
      <c r="B6296" s="138" t="str">
        <f t="shared" si="453"/>
        <v>Windrow</v>
      </c>
      <c r="C6296" s="138" t="str">
        <f t="shared" si="457"/>
        <v>Without Amendment</v>
      </c>
      <c r="D6296" s="138" t="str">
        <f t="shared" si="455"/>
        <v>Medium_High</v>
      </c>
      <c r="E6296" s="138" t="str">
        <f t="shared" si="458"/>
        <v>Low</v>
      </c>
      <c r="F6296" s="138" t="str">
        <f t="shared" si="454"/>
        <v>Upgraded</v>
      </c>
      <c r="G6296" s="153"/>
      <c r="H6296" s="210">
        <v>1.1999999999999999E-3</v>
      </c>
      <c r="I6296" s="160" t="s">
        <v>59</v>
      </c>
      <c r="J6296" s="211">
        <v>1.6215700000000001E-5</v>
      </c>
      <c r="K6296" s="160" t="s">
        <v>13</v>
      </c>
      <c r="L6296" s="154" t="str">
        <f>IF(OpenLCAbasic!K6296="CTUh", "Fill in Manually",IF(OR(K6296="Unit", K6296=""), "", INDEX(LookUps!$E$5:$E$12, MATCH(OpenLCAbasic!K6296,LookUps!$D$5:$D$12,0))))</f>
        <v>Eutrophication Potential (EP) - kg N eq</v>
      </c>
      <c r="M6296" s="154" t="str">
        <f t="shared" si="456"/>
        <v>Low_Medium_High_Upgraded_Eutrophication Potential (EP) - kg N eq_Blend Tank; wastewater treatment unit; at updated plant - US_Without Amendment_Windrow</v>
      </c>
    </row>
    <row r="6297" spans="1:13" s="120" customFormat="1" x14ac:dyDescent="0.25">
      <c r="A6297" s="119"/>
      <c r="B6297" s="138" t="str">
        <f t="shared" si="453"/>
        <v>Windrow</v>
      </c>
      <c r="C6297" s="138" t="str">
        <f t="shared" si="457"/>
        <v>Without Amendment</v>
      </c>
      <c r="D6297" s="138" t="str">
        <f t="shared" si="455"/>
        <v>Medium_High</v>
      </c>
      <c r="E6297" s="138" t="str">
        <f t="shared" si="458"/>
        <v>Low</v>
      </c>
      <c r="F6297" s="138" t="str">
        <f t="shared" si="454"/>
        <v>Upgraded</v>
      </c>
      <c r="G6297" s="153"/>
      <c r="H6297" s="210">
        <v>5.9999999999999995E-4</v>
      </c>
      <c r="I6297" s="160" t="s">
        <v>168</v>
      </c>
      <c r="J6297" s="211">
        <v>7.7567199999999995E-6</v>
      </c>
      <c r="K6297" s="160" t="s">
        <v>13</v>
      </c>
      <c r="L6297" s="154" t="str">
        <f>IF(OpenLCAbasic!K6297="CTUh", "Fill in Manually",IF(OR(K6297="Unit", K6297=""), "", INDEX(LookUps!$E$5:$E$12, MATCH(OpenLCAbasic!K6297,LookUps!$D$5:$D$12,0))))</f>
        <v>Eutrophication Potential (EP) - kg N eq</v>
      </c>
      <c r="M6297" s="154" t="str">
        <f t="shared" si="456"/>
        <v>Low_Medium_High_Upgraded_Eutrophication Potential (EP) - kg N eq_ClearCove SCP; wastewater treatment unit; at updated plant - US_Without Amendment_Windrow</v>
      </c>
    </row>
    <row r="6298" spans="1:13" s="120" customFormat="1" x14ac:dyDescent="0.25">
      <c r="A6298" s="119"/>
      <c r="B6298" s="138" t="str">
        <f t="shared" si="453"/>
        <v>Windrow</v>
      </c>
      <c r="C6298" s="138" t="str">
        <f t="shared" si="457"/>
        <v>Without Amendment</v>
      </c>
      <c r="D6298" s="138" t="str">
        <f t="shared" si="455"/>
        <v>Medium_High</v>
      </c>
      <c r="E6298" s="138" t="str">
        <f t="shared" si="458"/>
        <v>Low</v>
      </c>
      <c r="F6298" s="138" t="str">
        <f t="shared" si="454"/>
        <v>Upgraded</v>
      </c>
      <c r="G6298" s="153"/>
      <c r="H6298" s="210">
        <v>-0.13370000000000001</v>
      </c>
      <c r="I6298" s="160" t="s">
        <v>149</v>
      </c>
      <c r="J6298" s="160">
        <v>-1.7799999999999999E-3</v>
      </c>
      <c r="K6298" s="160" t="s">
        <v>13</v>
      </c>
      <c r="L6298" s="154" t="str">
        <f>IF(OpenLCAbasic!K6298="CTUh", "Fill in Manually",IF(OR(K6298="Unit", K6298=""), "", INDEX(LookUps!$E$5:$E$12, MATCH(OpenLCAbasic!K6298,LookUps!$D$5:$D$12,0))))</f>
        <v>Eutrophication Potential (EP) - kg N eq</v>
      </c>
      <c r="M6298" s="154" t="str">
        <f t="shared" si="456"/>
        <v>Low_Medium_High_Upgraded_Eutrophication Potential (EP) - kg N eq_Anaerobic Digestion; wastewater treatment unit; at updated plant - US_Without Amendment_Windrow</v>
      </c>
    </row>
    <row r="6299" spans="1:13" s="120" customFormat="1" x14ac:dyDescent="0.25">
      <c r="A6299" s="119"/>
      <c r="B6299" s="138" t="str">
        <f t="shared" si="453"/>
        <v/>
      </c>
      <c r="C6299" s="138" t="str">
        <f t="shared" si="457"/>
        <v/>
      </c>
      <c r="D6299" s="138" t="str">
        <f t="shared" si="455"/>
        <v/>
      </c>
      <c r="E6299" s="138" t="str">
        <f t="shared" si="458"/>
        <v/>
      </c>
      <c r="F6299" s="138" t="str">
        <f t="shared" si="454"/>
        <v/>
      </c>
      <c r="G6299" s="153" t="s">
        <v>51</v>
      </c>
      <c r="H6299" s="160"/>
      <c r="I6299" s="160" t="s">
        <v>47</v>
      </c>
      <c r="J6299" s="160" t="s">
        <v>52</v>
      </c>
      <c r="K6299" s="160" t="s">
        <v>27</v>
      </c>
      <c r="L6299" s="154" t="str">
        <f>IF(OpenLCAbasic!K6299="CTUh", "Fill in Manually",IF(OR(K6299="Unit", K6299=""), "", INDEX(LookUps!$E$5:$E$12, MATCH(OpenLCAbasic!K6299,LookUps!$D$5:$D$12,0))))</f>
        <v/>
      </c>
      <c r="M6299" s="154" t="str">
        <f t="shared" si="456"/>
        <v>____Process__</v>
      </c>
    </row>
    <row r="6300" spans="1:13" s="120" customFormat="1" x14ac:dyDescent="0.25">
      <c r="A6300" s="119"/>
      <c r="B6300" s="138" t="str">
        <f t="shared" si="453"/>
        <v>Windrow</v>
      </c>
      <c r="C6300" s="138" t="str">
        <f t="shared" si="457"/>
        <v>Without Amendment</v>
      </c>
      <c r="D6300" s="138" t="str">
        <f t="shared" si="455"/>
        <v>Medium_High</v>
      </c>
      <c r="E6300" s="138" t="str">
        <f t="shared" si="458"/>
        <v>Low</v>
      </c>
      <c r="F6300" s="138" t="str">
        <f t="shared" si="454"/>
        <v>Upgraded</v>
      </c>
      <c r="G6300" s="153"/>
      <c r="H6300" s="210">
        <v>1.8315999999999999</v>
      </c>
      <c r="I6300" s="160" t="s">
        <v>167</v>
      </c>
      <c r="J6300" s="160">
        <v>9.7259999999999999E-2</v>
      </c>
      <c r="K6300" s="160" t="s">
        <v>14</v>
      </c>
      <c r="L6300" s="154" t="str">
        <f>IF(OpenLCAbasic!K6300="CTUh", "Fill in Manually",IF(OR(K6300="Unit", K6300=""), "", INDEX(LookUps!$E$5:$E$12, MATCH(OpenLCAbasic!K6300,LookUps!$D$5:$D$12,0))))</f>
        <v>Fossil Depletion Potential (FDP) - kg oil eq</v>
      </c>
      <c r="M6300" s="154" t="str">
        <f t="shared" si="456"/>
        <v>Low_Medium_High_Upgraded_Fossil Depletion Potential (FDP) - kg oil eq_Waste Receiving and Holding; wastewater treatment unit; at updated plant - US_Without Amendment_Windrow</v>
      </c>
    </row>
    <row r="6301" spans="1:13" s="120" customFormat="1" x14ac:dyDescent="0.25">
      <c r="A6301" s="119"/>
      <c r="B6301" s="138" t="str">
        <f t="shared" si="453"/>
        <v>Windrow</v>
      </c>
      <c r="C6301" s="138" t="str">
        <f t="shared" si="457"/>
        <v>Without Amendment</v>
      </c>
      <c r="D6301" s="138" t="str">
        <f t="shared" si="455"/>
        <v>Medium_High</v>
      </c>
      <c r="E6301" s="138" t="str">
        <f t="shared" si="458"/>
        <v>Low</v>
      </c>
      <c r="F6301" s="138" t="str">
        <f t="shared" si="454"/>
        <v>Upgraded</v>
      </c>
      <c r="G6301" s="153"/>
      <c r="H6301" s="210">
        <v>1.1976</v>
      </c>
      <c r="I6301" s="160" t="s">
        <v>55</v>
      </c>
      <c r="J6301" s="160">
        <v>6.3589999999999994E-2</v>
      </c>
      <c r="K6301" s="160" t="s">
        <v>14</v>
      </c>
      <c r="L6301" s="154" t="str">
        <f>IF(OpenLCAbasic!K6301="CTUh", "Fill in Manually",IF(OR(K6301="Unit", K6301=""), "", INDEX(LookUps!$E$5:$E$12, MATCH(OpenLCAbasic!K6301,LookUps!$D$5:$D$12,0))))</f>
        <v>Fossil Depletion Potential (FDP) - kg oil eq</v>
      </c>
      <c r="M6301" s="154" t="str">
        <f t="shared" si="456"/>
        <v>Low_Medium_High_Upgraded_Fossil Depletion Potential (FDP) - kg oil eq_Aeration Tanks; wastewater treatment unit; at updated plant - US_Without Amendment_Windrow</v>
      </c>
    </row>
    <row r="6302" spans="1:13" s="120" customFormat="1" x14ac:dyDescent="0.25">
      <c r="A6302" s="119"/>
      <c r="B6302" s="138" t="str">
        <f t="shared" si="453"/>
        <v>Windrow</v>
      </c>
      <c r="C6302" s="138" t="str">
        <f t="shared" si="457"/>
        <v>Without Amendment</v>
      </c>
      <c r="D6302" s="138" t="str">
        <f t="shared" si="455"/>
        <v>Medium_High</v>
      </c>
      <c r="E6302" s="138" t="str">
        <f t="shared" si="458"/>
        <v>Low</v>
      </c>
      <c r="F6302" s="138" t="str">
        <f t="shared" si="454"/>
        <v>Upgraded</v>
      </c>
      <c r="G6302" s="153"/>
      <c r="H6302" s="210">
        <v>0.39639999999999997</v>
      </c>
      <c r="I6302" s="160" t="s">
        <v>54</v>
      </c>
      <c r="J6302" s="160">
        <v>2.1049999999999999E-2</v>
      </c>
      <c r="K6302" s="160" t="s">
        <v>14</v>
      </c>
      <c r="L6302" s="154" t="str">
        <f>IF(OpenLCAbasic!K6302="CTUh", "Fill in Manually",IF(OR(K6302="Unit", K6302=""), "", INDEX(LookUps!$E$5:$E$12, MATCH(OpenLCAbasic!K6302,LookUps!$D$5:$D$12,0))))</f>
        <v>Fossil Depletion Potential (FDP) - kg oil eq</v>
      </c>
      <c r="M6302" s="154" t="str">
        <f t="shared" si="456"/>
        <v>Low_Medium_High_Upgraded_Fossil Depletion Potential (FDP) - kg oil eq_Clear Cove Primary Clarification; wastewater treatment unit; at updated plant - US_Without Amendment_Windrow</v>
      </c>
    </row>
    <row r="6303" spans="1:13" s="120" customFormat="1" x14ac:dyDescent="0.25">
      <c r="A6303" s="119"/>
      <c r="B6303" s="138" t="str">
        <f t="shared" si="453"/>
        <v>Windrow</v>
      </c>
      <c r="C6303" s="138" t="str">
        <f t="shared" si="457"/>
        <v>Without Amendment</v>
      </c>
      <c r="D6303" s="138" t="str">
        <f t="shared" si="455"/>
        <v>Medium_High</v>
      </c>
      <c r="E6303" s="138" t="str">
        <f t="shared" si="458"/>
        <v>Low</v>
      </c>
      <c r="F6303" s="138" t="str">
        <f t="shared" si="454"/>
        <v>Upgraded</v>
      </c>
      <c r="G6303" s="153"/>
      <c r="H6303" s="210">
        <v>0.3009</v>
      </c>
      <c r="I6303" s="160" t="s">
        <v>58</v>
      </c>
      <c r="J6303" s="160">
        <v>1.5980000000000001E-2</v>
      </c>
      <c r="K6303" s="160" t="s">
        <v>14</v>
      </c>
      <c r="L6303" s="154" t="str">
        <f>IF(OpenLCAbasic!K6303="CTUh", "Fill in Manually",IF(OR(K6303="Unit", K6303=""), "", INDEX(LookUps!$E$5:$E$12, MATCH(OpenLCAbasic!K6303,LookUps!$D$5:$D$12,0))))</f>
        <v>Fossil Depletion Potential (FDP) - kg oil eq</v>
      </c>
      <c r="M6303" s="154" t="str">
        <f t="shared" si="456"/>
        <v>Low_Medium_High_Upgraded_Fossil Depletion Potential (FDP) - kg oil eq_Pre-Anoxic &amp; Swing tank; wastewater treatment unit; at updated plant - US_Without Amendment_Windrow</v>
      </c>
    </row>
    <row r="6304" spans="1:13" s="120" customFormat="1" x14ac:dyDescent="0.25">
      <c r="A6304" s="119"/>
      <c r="B6304" s="138" t="str">
        <f t="shared" si="453"/>
        <v>Windrow</v>
      </c>
      <c r="C6304" s="138" t="str">
        <f t="shared" si="457"/>
        <v>Without Amendment</v>
      </c>
      <c r="D6304" s="138" t="str">
        <f t="shared" si="455"/>
        <v>Medium_High</v>
      </c>
      <c r="E6304" s="138" t="str">
        <f t="shared" si="458"/>
        <v>Low</v>
      </c>
      <c r="F6304" s="138" t="str">
        <f t="shared" si="454"/>
        <v>Upgraded</v>
      </c>
      <c r="G6304" s="153"/>
      <c r="H6304" s="210">
        <v>0.28410000000000002</v>
      </c>
      <c r="I6304" s="160" t="s">
        <v>147</v>
      </c>
      <c r="J6304" s="160">
        <v>1.5089999999999999E-2</v>
      </c>
      <c r="K6304" s="160" t="s">
        <v>14</v>
      </c>
      <c r="L6304" s="154" t="str">
        <f>IF(OpenLCAbasic!K6304="CTUh", "Fill in Manually",IF(OR(K6304="Unit", K6304=""), "", INDEX(LookUps!$E$5:$E$12, MATCH(OpenLCAbasic!K6304,LookUps!$D$5:$D$12,0))))</f>
        <v>Fossil Depletion Potential (FDP) - kg oil eq</v>
      </c>
      <c r="M6304" s="154" t="str">
        <f t="shared" si="456"/>
        <v>Low_Medium_High_Upgraded_Fossil Depletion Potential (FDP) - kg oil eq_Influent Pump Station; wastewater treatment unit; at updated plant - US_Without Amendment_Windrow</v>
      </c>
    </row>
    <row r="6305" spans="1:13" s="120" customFormat="1" x14ac:dyDescent="0.25">
      <c r="A6305" s="119"/>
      <c r="B6305" s="138" t="str">
        <f t="shared" si="453"/>
        <v>Windrow</v>
      </c>
      <c r="C6305" s="138" t="str">
        <f t="shared" si="457"/>
        <v>Without Amendment</v>
      </c>
      <c r="D6305" s="138" t="str">
        <f t="shared" si="455"/>
        <v>Medium_High</v>
      </c>
      <c r="E6305" s="138" t="str">
        <f t="shared" si="458"/>
        <v>Low</v>
      </c>
      <c r="F6305" s="138" t="str">
        <f t="shared" si="454"/>
        <v>Upgraded</v>
      </c>
      <c r="G6305" s="153"/>
      <c r="H6305" s="210">
        <v>0.23519999999999999</v>
      </c>
      <c r="I6305" s="160" t="s">
        <v>53</v>
      </c>
      <c r="J6305" s="160">
        <v>1.2489999999999999E-2</v>
      </c>
      <c r="K6305" s="160" t="s">
        <v>14</v>
      </c>
      <c r="L6305" s="154" t="str">
        <f>IF(OpenLCAbasic!K6305="CTUh", "Fill in Manually",IF(OR(K6305="Unit", K6305=""), "", INDEX(LookUps!$E$5:$E$12, MATCH(OpenLCAbasic!K6305,LookUps!$D$5:$D$12,0))))</f>
        <v>Fossil Depletion Potential (FDP) - kg oil eq</v>
      </c>
      <c r="M6305" s="154" t="str">
        <f t="shared" si="456"/>
        <v>Low_Medium_High_Upgraded_Fossil Depletion Potential (FDP) - kg oil eq_Wet Well and Sump Station; wastewater treatment unit; at updated plant - US_Without Amendment_Windrow</v>
      </c>
    </row>
    <row r="6306" spans="1:13" s="120" customFormat="1" x14ac:dyDescent="0.25">
      <c r="A6306" s="119"/>
      <c r="B6306" s="138" t="str">
        <f t="shared" si="453"/>
        <v>Windrow</v>
      </c>
      <c r="C6306" s="138" t="str">
        <f t="shared" si="457"/>
        <v>Without Amendment</v>
      </c>
      <c r="D6306" s="138" t="str">
        <f t="shared" si="455"/>
        <v>Medium_High</v>
      </c>
      <c r="E6306" s="138" t="str">
        <f t="shared" si="458"/>
        <v>Low</v>
      </c>
      <c r="F6306" s="138" t="str">
        <f t="shared" si="454"/>
        <v>Upgraded</v>
      </c>
      <c r="G6306" s="153"/>
      <c r="H6306" s="210">
        <v>0.1447</v>
      </c>
      <c r="I6306" s="160" t="s">
        <v>60</v>
      </c>
      <c r="J6306" s="160">
        <v>7.6800000000000002E-3</v>
      </c>
      <c r="K6306" s="160" t="s">
        <v>14</v>
      </c>
      <c r="L6306" s="154" t="str">
        <f>IF(OpenLCAbasic!K6306="CTUh", "Fill in Manually",IF(OR(K6306="Unit", K6306=""), "", INDEX(LookUps!$E$5:$E$12, MATCH(OpenLCAbasic!K6306,LookUps!$D$5:$D$12,0))))</f>
        <v>Fossil Depletion Potential (FDP) - kg oil eq</v>
      </c>
      <c r="M6306" s="154" t="str">
        <f t="shared" si="456"/>
        <v>Low_Medium_High_Upgraded_Fossil Depletion Potential (FDP) - kg oil eq_Belt filter press; wastewater treatment unit; at updated plant - US_Without Amendment_Windrow</v>
      </c>
    </row>
    <row r="6307" spans="1:13" s="120" customFormat="1" x14ac:dyDescent="0.25">
      <c r="A6307" s="119"/>
      <c r="B6307" s="138" t="str">
        <f t="shared" si="453"/>
        <v>Windrow</v>
      </c>
      <c r="C6307" s="138" t="str">
        <f t="shared" si="457"/>
        <v>Without Amendment</v>
      </c>
      <c r="D6307" s="138" t="str">
        <f t="shared" si="455"/>
        <v>Medium_High</v>
      </c>
      <c r="E6307" s="138" t="str">
        <f t="shared" si="458"/>
        <v>Low</v>
      </c>
      <c r="F6307" s="138" t="str">
        <f t="shared" si="454"/>
        <v>Upgraded</v>
      </c>
      <c r="G6307" s="153"/>
      <c r="H6307" s="210">
        <v>0.13020000000000001</v>
      </c>
      <c r="I6307" s="160" t="s">
        <v>57</v>
      </c>
      <c r="J6307" s="160">
        <v>6.9199999999999999E-3</v>
      </c>
      <c r="K6307" s="160" t="s">
        <v>14</v>
      </c>
      <c r="L6307" s="154" t="str">
        <f>IF(OpenLCAbasic!K6307="CTUh", "Fill in Manually",IF(OR(K6307="Unit", K6307=""), "", INDEX(LookUps!$E$5:$E$12, MATCH(OpenLCAbasic!K6307,LookUps!$D$5:$D$12,0))))</f>
        <v>Fossil Depletion Potential (FDP) - kg oil eq</v>
      </c>
      <c r="M6307" s="154" t="str">
        <f t="shared" si="456"/>
        <v>Low_Medium_High_Upgraded_Fossil Depletion Potential (FDP) - kg oil eq_Gravity Belt Thickener; wastewater treatment unit; at updated plant - US_Without Amendment_Windrow</v>
      </c>
    </row>
    <row r="6308" spans="1:13" s="120" customFormat="1" x14ac:dyDescent="0.25">
      <c r="A6308" s="119"/>
      <c r="B6308" s="138" t="str">
        <f t="shared" si="453"/>
        <v>Windrow</v>
      </c>
      <c r="C6308" s="138" t="str">
        <f t="shared" si="457"/>
        <v>Without Amendment</v>
      </c>
      <c r="D6308" s="138" t="str">
        <f t="shared" si="455"/>
        <v>Medium_High</v>
      </c>
      <c r="E6308" s="138" t="str">
        <f t="shared" si="458"/>
        <v>Low</v>
      </c>
      <c r="F6308" s="138" t="str">
        <f t="shared" si="454"/>
        <v>Upgraded</v>
      </c>
      <c r="G6308" s="153"/>
      <c r="H6308" s="210">
        <v>8.4699999999999998E-2</v>
      </c>
      <c r="I6308" s="160" t="s">
        <v>128</v>
      </c>
      <c r="J6308" s="160">
        <v>4.4999999999999997E-3</v>
      </c>
      <c r="K6308" s="160" t="s">
        <v>14</v>
      </c>
      <c r="L6308" s="154" t="str">
        <f>IF(OpenLCAbasic!K6308="CTUh", "Fill in Manually",IF(OR(K6308="Unit", K6308=""), "", INDEX(LookUps!$E$5:$E$12, MATCH(OpenLCAbasic!K6308,LookUps!$D$5:$D$12,0))))</f>
        <v>Fossil Depletion Potential (FDP) - kg oil eq</v>
      </c>
      <c r="M6308" s="154" t="str">
        <f t="shared" si="456"/>
        <v>Low_Medium_High_Upgraded_Fossil Depletion Potential (FDP) - kg oil eq_Wastewater collection; operation and infrastructure; m3 wastewater_Without Amendment_Windrow</v>
      </c>
    </row>
    <row r="6309" spans="1:13" s="120" customFormat="1" x14ac:dyDescent="0.25">
      <c r="A6309" s="119"/>
      <c r="B6309" s="138" t="str">
        <f t="shared" si="453"/>
        <v>Windrow</v>
      </c>
      <c r="C6309" s="138" t="str">
        <f t="shared" si="457"/>
        <v>Without Amendment</v>
      </c>
      <c r="D6309" s="138" t="str">
        <f t="shared" si="455"/>
        <v>Medium_High</v>
      </c>
      <c r="E6309" s="138" t="str">
        <f t="shared" si="458"/>
        <v>Low</v>
      </c>
      <c r="F6309" s="138" t="str">
        <f t="shared" si="454"/>
        <v>Upgraded</v>
      </c>
      <c r="G6309" s="153"/>
      <c r="H6309" s="210">
        <v>5.2699999999999997E-2</v>
      </c>
      <c r="I6309" s="160" t="s">
        <v>148</v>
      </c>
      <c r="J6309" s="160">
        <v>2.8E-3</v>
      </c>
      <c r="K6309" s="160" t="s">
        <v>14</v>
      </c>
      <c r="L6309" s="154" t="str">
        <f>IF(OpenLCAbasic!K6309="CTUh", "Fill in Manually",IF(OR(K6309="Unit", K6309=""), "", INDEX(LookUps!$E$5:$E$12, MATCH(OpenLCAbasic!K6309,LookUps!$D$5:$D$12,0))))</f>
        <v>Fossil Depletion Potential (FDP) - kg oil eq</v>
      </c>
      <c r="M6309" s="154" t="str">
        <f t="shared" si="456"/>
        <v>Low_Medium_High_Upgraded_Fossil Depletion Potential (FDP) - kg oil eq_Control Building; at upgraded wastewater treatment plant - US_Without Amendment_Windrow</v>
      </c>
    </row>
    <row r="6310" spans="1:13" s="120" customFormat="1" x14ac:dyDescent="0.25">
      <c r="A6310" s="119"/>
      <c r="B6310" s="138" t="str">
        <f t="shared" si="453"/>
        <v>Windrow</v>
      </c>
      <c r="C6310" s="138" t="str">
        <f t="shared" si="457"/>
        <v>Without Amendment</v>
      </c>
      <c r="D6310" s="138" t="str">
        <f t="shared" si="455"/>
        <v>Medium_High</v>
      </c>
      <c r="E6310" s="138" t="str">
        <f t="shared" si="458"/>
        <v>Low</v>
      </c>
      <c r="F6310" s="138" t="str">
        <f t="shared" si="454"/>
        <v>Upgraded</v>
      </c>
      <c r="G6310" s="153"/>
      <c r="H6310" s="210">
        <v>4.4499999999999998E-2</v>
      </c>
      <c r="I6310" s="160" t="s">
        <v>48</v>
      </c>
      <c r="J6310" s="160">
        <v>2.3600000000000001E-3</v>
      </c>
      <c r="K6310" s="160" t="s">
        <v>14</v>
      </c>
      <c r="L6310" s="154" t="str">
        <f>IF(OpenLCAbasic!K6310="CTUh", "Fill in Manually",IF(OR(K6310="Unit", K6310=""), "", INDEX(LookUps!$E$5:$E$12, MATCH(OpenLCAbasic!K6310,LookUps!$D$5:$D$12,0))))</f>
        <v>Fossil Depletion Potential (FDP) - kg oil eq</v>
      </c>
      <c r="M6310" s="154" t="str">
        <f t="shared" si="456"/>
        <v>Low_Medium_High_Upgraded_Fossil Depletion Potential (FDP) - kg oil eq_Effluent release; wastewater treatment unit; at surface water; m3 wastewater - US_Without Amendment_Windrow</v>
      </c>
    </row>
    <row r="6311" spans="1:13" s="120" customFormat="1" x14ac:dyDescent="0.25">
      <c r="A6311" s="119"/>
      <c r="B6311" s="138" t="str">
        <f t="shared" si="453"/>
        <v>Windrow</v>
      </c>
      <c r="C6311" s="138" t="str">
        <f t="shared" si="457"/>
        <v>Without Amendment</v>
      </c>
      <c r="D6311" s="138" t="str">
        <f t="shared" si="455"/>
        <v>Medium_High</v>
      </c>
      <c r="E6311" s="138" t="str">
        <f t="shared" si="458"/>
        <v>Low</v>
      </c>
      <c r="F6311" s="138" t="str">
        <f t="shared" si="454"/>
        <v>Upgraded</v>
      </c>
      <c r="G6311" s="153"/>
      <c r="H6311" s="210">
        <v>3.6200000000000003E-2</v>
      </c>
      <c r="I6311" s="160" t="s">
        <v>59</v>
      </c>
      <c r="J6311" s="160">
        <v>1.92E-3</v>
      </c>
      <c r="K6311" s="160" t="s">
        <v>14</v>
      </c>
      <c r="L6311" s="154" t="str">
        <f>IF(OpenLCAbasic!K6311="CTUh", "Fill in Manually",IF(OR(K6311="Unit", K6311=""), "", INDEX(LookUps!$E$5:$E$12, MATCH(OpenLCAbasic!K6311,LookUps!$D$5:$D$12,0))))</f>
        <v>Fossil Depletion Potential (FDP) - kg oil eq</v>
      </c>
      <c r="M6311" s="154" t="str">
        <f t="shared" si="456"/>
        <v>Low_Medium_High_Upgraded_Fossil Depletion Potential (FDP) - kg oil eq_Blend Tank; wastewater treatment unit; at updated plant - US_Without Amendment_Windrow</v>
      </c>
    </row>
    <row r="6312" spans="1:13" s="120" customFormat="1" x14ac:dyDescent="0.25">
      <c r="A6312" s="119"/>
      <c r="B6312" s="138" t="str">
        <f t="shared" ref="B6312:B6375" si="459">IF(F6312="Legacy","n.a.",IF(F6312="","","Windrow"))</f>
        <v>Windrow</v>
      </c>
      <c r="C6312" s="138" t="str">
        <f t="shared" si="457"/>
        <v>Without Amendment</v>
      </c>
      <c r="D6312" s="138" t="str">
        <f t="shared" si="455"/>
        <v>Medium_High</v>
      </c>
      <c r="E6312" s="138" t="str">
        <f t="shared" si="458"/>
        <v>Low</v>
      </c>
      <c r="F6312" s="138" t="str">
        <f t="shared" ref="F6312:F6375" si="460">IF(ISNUMBER(J6312),"Upgraded","")</f>
        <v>Upgraded</v>
      </c>
      <c r="G6312" s="153"/>
      <c r="H6312" s="210">
        <v>1.72E-2</v>
      </c>
      <c r="I6312" s="160" t="s">
        <v>168</v>
      </c>
      <c r="J6312" s="160">
        <v>9.1E-4</v>
      </c>
      <c r="K6312" s="160" t="s">
        <v>14</v>
      </c>
      <c r="L6312" s="154" t="str">
        <f>IF(OpenLCAbasic!K6312="CTUh", "Fill in Manually",IF(OR(K6312="Unit", K6312=""), "", INDEX(LookUps!$E$5:$E$12, MATCH(OpenLCAbasic!K6312,LookUps!$D$5:$D$12,0))))</f>
        <v>Fossil Depletion Potential (FDP) - kg oil eq</v>
      </c>
      <c r="M6312" s="154" t="str">
        <f t="shared" si="456"/>
        <v>Low_Medium_High_Upgraded_Fossil Depletion Potential (FDP) - kg oil eq_ClearCove SCP; wastewater treatment unit; at updated plant - US_Without Amendment_Windrow</v>
      </c>
    </row>
    <row r="6313" spans="1:13" s="120" customFormat="1" x14ac:dyDescent="0.25">
      <c r="A6313" s="119"/>
      <c r="B6313" s="138" t="str">
        <f t="shared" si="459"/>
        <v>Windrow</v>
      </c>
      <c r="C6313" s="138" t="str">
        <f t="shared" si="457"/>
        <v>Without Amendment</v>
      </c>
      <c r="D6313" s="138" t="str">
        <f t="shared" ref="D6313:D6376" si="461">IF(ISNUMBER($J6313),"Medium_High","")</f>
        <v>Medium_High</v>
      </c>
      <c r="E6313" s="138" t="str">
        <f t="shared" si="458"/>
        <v>Low</v>
      </c>
      <c r="F6313" s="138" t="str">
        <f t="shared" si="460"/>
        <v>Upgraded</v>
      </c>
      <c r="G6313" s="153"/>
      <c r="H6313" s="210">
        <v>1.03E-2</v>
      </c>
      <c r="I6313" s="160" t="s">
        <v>271</v>
      </c>
      <c r="J6313" s="160">
        <v>5.5000000000000003E-4</v>
      </c>
      <c r="K6313" s="160" t="s">
        <v>14</v>
      </c>
      <c r="L6313" s="154" t="str">
        <f>IF(OpenLCAbasic!K6313="CTUh", "Fill in Manually",IF(OR(K6313="Unit", K6313=""), "", INDEX(LookUps!$E$5:$E$12, MATCH(OpenLCAbasic!K6313,LookUps!$D$5:$D$12,0))))</f>
        <v>Fossil Depletion Potential (FDP) - kg oil eq</v>
      </c>
      <c r="M6313" s="154" t="str">
        <f t="shared" si="456"/>
        <v>Low_Medium_High_Upgraded_Fossil Depletion Potential (FDP) - kg oil eq_Biosolids composting; windrow composting; wastewater treatment unit; at updated plant - US_Without Amendment_Windrow</v>
      </c>
    </row>
    <row r="6314" spans="1:13" s="120" customFormat="1" x14ac:dyDescent="0.25">
      <c r="A6314" s="119"/>
      <c r="B6314" s="138" t="str">
        <f t="shared" si="459"/>
        <v>Windrow</v>
      </c>
      <c r="C6314" s="138" t="str">
        <f t="shared" si="457"/>
        <v>Without Amendment</v>
      </c>
      <c r="D6314" s="138" t="str">
        <f t="shared" si="461"/>
        <v>Medium_High</v>
      </c>
      <c r="E6314" s="138" t="str">
        <f t="shared" si="458"/>
        <v>Low</v>
      </c>
      <c r="F6314" s="138" t="str">
        <f t="shared" si="460"/>
        <v>Upgraded</v>
      </c>
      <c r="G6314" s="153"/>
      <c r="H6314" s="210">
        <v>-0.10929999999999999</v>
      </c>
      <c r="I6314" s="160" t="s">
        <v>62</v>
      </c>
      <c r="J6314" s="160">
        <v>-5.7999999999999996E-3</v>
      </c>
      <c r="K6314" s="160" t="s">
        <v>14</v>
      </c>
      <c r="L6314" s="154" t="str">
        <f>IF(OpenLCAbasic!K6314="CTUh", "Fill in Manually",IF(OR(K6314="Unit", K6314=""), "", INDEX(LookUps!$E$5:$E$12, MATCH(OpenLCAbasic!K6314,LookUps!$D$5:$D$12,0))))</f>
        <v>Fossil Depletion Potential (FDP) - kg oil eq</v>
      </c>
      <c r="M6314" s="154" t="str">
        <f t="shared" si="456"/>
        <v>Low_Medium_High_Upgraded_Fossil Depletion Potential (FDP) - kg oil eq_Land application of compost; wastewater treatment unit; at updated plant - US_Without Amendment_Windrow</v>
      </c>
    </row>
    <row r="6315" spans="1:13" s="120" customFormat="1" x14ac:dyDescent="0.25">
      <c r="A6315" s="119"/>
      <c r="B6315" s="138" t="str">
        <f t="shared" si="459"/>
        <v>Windrow</v>
      </c>
      <c r="C6315" s="138" t="str">
        <f t="shared" si="457"/>
        <v>Without Amendment</v>
      </c>
      <c r="D6315" s="138" t="str">
        <f t="shared" si="461"/>
        <v>Medium_High</v>
      </c>
      <c r="E6315" s="138" t="str">
        <f t="shared" si="458"/>
        <v>Low</v>
      </c>
      <c r="F6315" s="138" t="str">
        <f t="shared" si="460"/>
        <v>Upgraded</v>
      </c>
      <c r="G6315" s="153"/>
      <c r="H6315" s="210">
        <v>-5.6569000000000003</v>
      </c>
      <c r="I6315" s="160" t="s">
        <v>149</v>
      </c>
      <c r="J6315" s="160">
        <v>-0.30038999999999999</v>
      </c>
      <c r="K6315" s="160" t="s">
        <v>14</v>
      </c>
      <c r="L6315" s="154" t="str">
        <f>IF(OpenLCAbasic!K6315="CTUh", "Fill in Manually",IF(OR(K6315="Unit", K6315=""), "", INDEX(LookUps!$E$5:$E$12, MATCH(OpenLCAbasic!K6315,LookUps!$D$5:$D$12,0))))</f>
        <v>Fossil Depletion Potential (FDP) - kg oil eq</v>
      </c>
      <c r="M6315" s="154" t="str">
        <f t="shared" si="456"/>
        <v>Low_Medium_High_Upgraded_Fossil Depletion Potential (FDP) - kg oil eq_Anaerobic Digestion; wastewater treatment unit; at updated plant - US_Without Amendment_Windrow</v>
      </c>
    </row>
    <row r="6316" spans="1:13" s="120" customFormat="1" x14ac:dyDescent="0.25">
      <c r="A6316" s="119"/>
      <c r="B6316" s="138" t="str">
        <f t="shared" si="459"/>
        <v/>
      </c>
      <c r="C6316" s="138" t="str">
        <f t="shared" si="457"/>
        <v/>
      </c>
      <c r="D6316" s="138" t="str">
        <f t="shared" si="461"/>
        <v/>
      </c>
      <c r="E6316" s="138" t="str">
        <f t="shared" si="458"/>
        <v/>
      </c>
      <c r="F6316" s="138" t="str">
        <f t="shared" si="460"/>
        <v/>
      </c>
      <c r="G6316" s="153" t="s">
        <v>51</v>
      </c>
      <c r="H6316" s="160"/>
      <c r="I6316" s="160" t="s">
        <v>47</v>
      </c>
      <c r="J6316" s="160" t="s">
        <v>52</v>
      </c>
      <c r="K6316" s="160" t="s">
        <v>27</v>
      </c>
      <c r="L6316" s="154" t="str">
        <f>IF(OpenLCAbasic!K6316="CTUh", "Fill in Manually",IF(OR(K6316="Unit", K6316=""), "", INDEX(LookUps!$E$5:$E$12, MATCH(OpenLCAbasic!K6316,LookUps!$D$5:$D$12,0))))</f>
        <v/>
      </c>
      <c r="M6316" s="154" t="str">
        <f t="shared" si="456"/>
        <v>____Process__</v>
      </c>
    </row>
    <row r="6317" spans="1:13" s="120" customFormat="1" x14ac:dyDescent="0.25">
      <c r="A6317" s="119"/>
      <c r="B6317" s="138" t="str">
        <f t="shared" si="459"/>
        <v>Windrow</v>
      </c>
      <c r="C6317" s="138" t="str">
        <f t="shared" si="457"/>
        <v>Without Amendment</v>
      </c>
      <c r="D6317" s="138" t="str">
        <f t="shared" si="461"/>
        <v>Medium_High</v>
      </c>
      <c r="E6317" s="138" t="str">
        <f t="shared" si="458"/>
        <v>Low</v>
      </c>
      <c r="F6317" s="138" t="str">
        <f t="shared" si="460"/>
        <v>Upgraded</v>
      </c>
      <c r="G6317" s="153"/>
      <c r="H6317" s="210">
        <v>3.2387999999999999</v>
      </c>
      <c r="I6317" s="160" t="s">
        <v>58</v>
      </c>
      <c r="J6317" s="160">
        <v>0.24568999999999999</v>
      </c>
      <c r="K6317" s="160" t="s">
        <v>23</v>
      </c>
      <c r="L6317" s="154" t="str">
        <f>IF(OpenLCAbasic!K6317="CTUh", "Fill in Manually",IF(OR(K6317="Unit", K6317=""), "", INDEX(LookUps!$E$5:$E$12, MATCH(OpenLCAbasic!K6317,LookUps!$D$5:$D$12,0))))</f>
        <v>Global Warming Potential (GWP) - kg CO2 eq</v>
      </c>
      <c r="M6317" s="154" t="str">
        <f t="shared" si="456"/>
        <v>Low_Medium_High_Upgraded_Global Warming Potential (GWP) - kg CO2 eq_Pre-Anoxic &amp; Swing tank; wastewater treatment unit; at updated plant - US_Without Amendment_Windrow</v>
      </c>
    </row>
    <row r="6318" spans="1:13" s="120" customFormat="1" x14ac:dyDescent="0.25">
      <c r="A6318" s="119"/>
      <c r="B6318" s="138" t="str">
        <f t="shared" si="459"/>
        <v>Windrow</v>
      </c>
      <c r="C6318" s="138" t="str">
        <f t="shared" si="457"/>
        <v>Without Amendment</v>
      </c>
      <c r="D6318" s="138" t="str">
        <f t="shared" si="461"/>
        <v>Medium_High</v>
      </c>
      <c r="E6318" s="138" t="str">
        <f t="shared" si="458"/>
        <v>Low</v>
      </c>
      <c r="F6318" s="138" t="str">
        <f t="shared" si="460"/>
        <v>Upgraded</v>
      </c>
      <c r="G6318" s="153"/>
      <c r="H6318" s="210">
        <v>2.2176</v>
      </c>
      <c r="I6318" s="160" t="s">
        <v>55</v>
      </c>
      <c r="J6318" s="160">
        <v>0.16822000000000001</v>
      </c>
      <c r="K6318" s="160" t="s">
        <v>23</v>
      </c>
      <c r="L6318" s="154" t="str">
        <f>IF(OpenLCAbasic!K6318="CTUh", "Fill in Manually",IF(OR(K6318="Unit", K6318=""), "", INDEX(LookUps!$E$5:$E$12, MATCH(OpenLCAbasic!K6318,LookUps!$D$5:$D$12,0))))</f>
        <v>Global Warming Potential (GWP) - kg CO2 eq</v>
      </c>
      <c r="M6318" s="154" t="str">
        <f t="shared" si="456"/>
        <v>Low_Medium_High_Upgraded_Global Warming Potential (GWP) - kg CO2 eq_Aeration Tanks; wastewater treatment unit; at updated plant - US_Without Amendment_Windrow</v>
      </c>
    </row>
    <row r="6319" spans="1:13" s="120" customFormat="1" x14ac:dyDescent="0.25">
      <c r="A6319" s="119"/>
      <c r="B6319" s="138" t="str">
        <f t="shared" si="459"/>
        <v>Windrow</v>
      </c>
      <c r="C6319" s="138" t="str">
        <f t="shared" si="457"/>
        <v>Without Amendment</v>
      </c>
      <c r="D6319" s="138" t="str">
        <f t="shared" si="461"/>
        <v>Medium_High</v>
      </c>
      <c r="E6319" s="138" t="str">
        <f t="shared" si="458"/>
        <v>Low</v>
      </c>
      <c r="F6319" s="138" t="str">
        <f t="shared" si="460"/>
        <v>Upgraded</v>
      </c>
      <c r="G6319" s="153"/>
      <c r="H6319" s="210">
        <v>1.6287</v>
      </c>
      <c r="I6319" s="160" t="s">
        <v>167</v>
      </c>
      <c r="J6319" s="160">
        <v>0.12354999999999999</v>
      </c>
      <c r="K6319" s="160" t="s">
        <v>23</v>
      </c>
      <c r="L6319" s="154" t="str">
        <f>IF(OpenLCAbasic!K6319="CTUh", "Fill in Manually",IF(OR(K6319="Unit", K6319=""), "", INDEX(LookUps!$E$5:$E$12, MATCH(OpenLCAbasic!K6319,LookUps!$D$5:$D$12,0))))</f>
        <v>Global Warming Potential (GWP) - kg CO2 eq</v>
      </c>
      <c r="M6319" s="154" t="str">
        <f t="shared" si="456"/>
        <v>Low_Medium_High_Upgraded_Global Warming Potential (GWP) - kg CO2 eq_Waste Receiving and Holding; wastewater treatment unit; at updated plant - US_Without Amendment_Windrow</v>
      </c>
    </row>
    <row r="6320" spans="1:13" s="120" customFormat="1" x14ac:dyDescent="0.25">
      <c r="A6320" s="119"/>
      <c r="B6320" s="138" t="str">
        <f t="shared" si="459"/>
        <v>Windrow</v>
      </c>
      <c r="C6320" s="138" t="str">
        <f t="shared" si="457"/>
        <v>Without Amendment</v>
      </c>
      <c r="D6320" s="138" t="str">
        <f t="shared" si="461"/>
        <v>Medium_High</v>
      </c>
      <c r="E6320" s="138" t="str">
        <f t="shared" si="458"/>
        <v>Low</v>
      </c>
      <c r="F6320" s="138" t="str">
        <f t="shared" si="460"/>
        <v>Upgraded</v>
      </c>
      <c r="G6320" s="153"/>
      <c r="H6320" s="210">
        <v>0.85719999999999996</v>
      </c>
      <c r="I6320" s="160" t="s">
        <v>271</v>
      </c>
      <c r="J6320" s="160">
        <v>6.5030000000000004E-2</v>
      </c>
      <c r="K6320" s="160" t="s">
        <v>23</v>
      </c>
      <c r="L6320" s="154" t="str">
        <f>IF(OpenLCAbasic!K6320="CTUh", "Fill in Manually",IF(OR(K6320="Unit", K6320=""), "", INDEX(LookUps!$E$5:$E$12, MATCH(OpenLCAbasic!K6320,LookUps!$D$5:$D$12,0))))</f>
        <v>Global Warming Potential (GWP) - kg CO2 eq</v>
      </c>
      <c r="M6320" s="154" t="str">
        <f t="shared" si="456"/>
        <v>Low_Medium_High_Upgraded_Global Warming Potential (GWP) - kg CO2 eq_Biosolids composting; windrow composting; wastewater treatment unit; at updated plant - US_Without Amendment_Windrow</v>
      </c>
    </row>
    <row r="6321" spans="1:13" s="120" customFormat="1" x14ac:dyDescent="0.25">
      <c r="A6321" s="119"/>
      <c r="B6321" s="138" t="str">
        <f t="shared" si="459"/>
        <v>Windrow</v>
      </c>
      <c r="C6321" s="138" t="str">
        <f t="shared" si="457"/>
        <v>Without Amendment</v>
      </c>
      <c r="D6321" s="138" t="str">
        <f t="shared" si="461"/>
        <v>Medium_High</v>
      </c>
      <c r="E6321" s="138" t="str">
        <f t="shared" si="458"/>
        <v>Low</v>
      </c>
      <c r="F6321" s="138" t="str">
        <f t="shared" si="460"/>
        <v>Upgraded</v>
      </c>
      <c r="G6321" s="153"/>
      <c r="H6321" s="210">
        <v>0.75249999999999995</v>
      </c>
      <c r="I6321" s="160" t="s">
        <v>54</v>
      </c>
      <c r="J6321" s="160">
        <v>5.7079999999999999E-2</v>
      </c>
      <c r="K6321" s="160" t="s">
        <v>23</v>
      </c>
      <c r="L6321" s="154" t="str">
        <f>IF(OpenLCAbasic!K6321="CTUh", "Fill in Manually",IF(OR(K6321="Unit", K6321=""), "", INDEX(LookUps!$E$5:$E$12, MATCH(OpenLCAbasic!K6321,LookUps!$D$5:$D$12,0))))</f>
        <v>Global Warming Potential (GWP) - kg CO2 eq</v>
      </c>
      <c r="M6321" s="154" t="str">
        <f t="shared" si="456"/>
        <v>Low_Medium_High_Upgraded_Global Warming Potential (GWP) - kg CO2 eq_Clear Cove Primary Clarification; wastewater treatment unit; at updated plant - US_Without Amendment_Windrow</v>
      </c>
    </row>
    <row r="6322" spans="1:13" s="120" customFormat="1" x14ac:dyDescent="0.25">
      <c r="A6322" s="119"/>
      <c r="B6322" s="138" t="str">
        <f t="shared" si="459"/>
        <v>Windrow</v>
      </c>
      <c r="C6322" s="138" t="str">
        <f t="shared" si="457"/>
        <v>Without Amendment</v>
      </c>
      <c r="D6322" s="138" t="str">
        <f t="shared" si="461"/>
        <v>Medium_High</v>
      </c>
      <c r="E6322" s="138" t="str">
        <f t="shared" si="458"/>
        <v>Low</v>
      </c>
      <c r="F6322" s="138" t="str">
        <f t="shared" si="460"/>
        <v>Upgraded</v>
      </c>
      <c r="G6322" s="153"/>
      <c r="H6322" s="210">
        <v>0.69389999999999996</v>
      </c>
      <c r="I6322" s="160" t="s">
        <v>48</v>
      </c>
      <c r="J6322" s="160">
        <v>5.2639999999999999E-2</v>
      </c>
      <c r="K6322" s="160" t="s">
        <v>23</v>
      </c>
      <c r="L6322" s="154" t="str">
        <f>IF(OpenLCAbasic!K6322="CTUh", "Fill in Manually",IF(OR(K6322="Unit", K6322=""), "", INDEX(LookUps!$E$5:$E$12, MATCH(OpenLCAbasic!K6322,LookUps!$D$5:$D$12,0))))</f>
        <v>Global Warming Potential (GWP) - kg CO2 eq</v>
      </c>
      <c r="M6322" s="154" t="str">
        <f t="shared" si="456"/>
        <v>Low_Medium_High_Upgraded_Global Warming Potential (GWP) - kg CO2 eq_Effluent release; wastewater treatment unit; at surface water; m3 wastewater - US_Without Amendment_Windrow</v>
      </c>
    </row>
    <row r="6323" spans="1:13" s="120" customFormat="1" x14ac:dyDescent="0.25">
      <c r="A6323" s="119"/>
      <c r="B6323" s="138" t="str">
        <f t="shared" si="459"/>
        <v>Windrow</v>
      </c>
      <c r="C6323" s="138" t="str">
        <f t="shared" si="457"/>
        <v>Without Amendment</v>
      </c>
      <c r="D6323" s="138" t="str">
        <f t="shared" si="461"/>
        <v>Medium_High</v>
      </c>
      <c r="E6323" s="138" t="str">
        <f t="shared" si="458"/>
        <v>Low</v>
      </c>
      <c r="F6323" s="138" t="str">
        <f t="shared" si="460"/>
        <v>Upgraded</v>
      </c>
      <c r="G6323" s="153"/>
      <c r="H6323" s="210">
        <v>0.66569999999999996</v>
      </c>
      <c r="I6323" s="160" t="s">
        <v>147</v>
      </c>
      <c r="J6323" s="160">
        <v>5.0500000000000003E-2</v>
      </c>
      <c r="K6323" s="160" t="s">
        <v>23</v>
      </c>
      <c r="L6323" s="154" t="str">
        <f>IF(OpenLCAbasic!K6323="CTUh", "Fill in Manually",IF(OR(K6323="Unit", K6323=""), "", INDEX(LookUps!$E$5:$E$12, MATCH(OpenLCAbasic!K6323,LookUps!$D$5:$D$12,0))))</f>
        <v>Global Warming Potential (GWP) - kg CO2 eq</v>
      </c>
      <c r="M6323" s="154" t="str">
        <f t="shared" si="456"/>
        <v>Low_Medium_High_Upgraded_Global Warming Potential (GWP) - kg CO2 eq_Influent Pump Station; wastewater treatment unit; at updated plant - US_Without Amendment_Windrow</v>
      </c>
    </row>
    <row r="6324" spans="1:13" s="120" customFormat="1" x14ac:dyDescent="0.25">
      <c r="A6324" s="119"/>
      <c r="B6324" s="138" t="str">
        <f t="shared" si="459"/>
        <v>Windrow</v>
      </c>
      <c r="C6324" s="138" t="str">
        <f t="shared" si="457"/>
        <v>Without Amendment</v>
      </c>
      <c r="D6324" s="138" t="str">
        <f t="shared" si="461"/>
        <v>Medium_High</v>
      </c>
      <c r="E6324" s="138" t="str">
        <f t="shared" si="458"/>
        <v>Low</v>
      </c>
      <c r="F6324" s="138" t="str">
        <f t="shared" si="460"/>
        <v>Upgraded</v>
      </c>
      <c r="G6324" s="153"/>
      <c r="H6324" s="210">
        <v>0.43840000000000001</v>
      </c>
      <c r="I6324" s="160" t="s">
        <v>53</v>
      </c>
      <c r="J6324" s="160">
        <v>3.3259999999999998E-2</v>
      </c>
      <c r="K6324" s="160" t="s">
        <v>23</v>
      </c>
      <c r="L6324" s="154" t="str">
        <f>IF(OpenLCAbasic!K6324="CTUh", "Fill in Manually",IF(OR(K6324="Unit", K6324=""), "", INDEX(LookUps!$E$5:$E$12, MATCH(OpenLCAbasic!K6324,LookUps!$D$5:$D$12,0))))</f>
        <v>Global Warming Potential (GWP) - kg CO2 eq</v>
      </c>
      <c r="M6324" s="154" t="str">
        <f t="shared" si="456"/>
        <v>Low_Medium_High_Upgraded_Global Warming Potential (GWP) - kg CO2 eq_Wet Well and Sump Station; wastewater treatment unit; at updated plant - US_Without Amendment_Windrow</v>
      </c>
    </row>
    <row r="6325" spans="1:13" s="120" customFormat="1" x14ac:dyDescent="0.25">
      <c r="A6325" s="119"/>
      <c r="B6325" s="138" t="str">
        <f t="shared" si="459"/>
        <v>Windrow</v>
      </c>
      <c r="C6325" s="138" t="str">
        <f t="shared" si="457"/>
        <v>Without Amendment</v>
      </c>
      <c r="D6325" s="138" t="str">
        <f t="shared" si="461"/>
        <v>Medium_High</v>
      </c>
      <c r="E6325" s="138" t="str">
        <f t="shared" si="458"/>
        <v>Low</v>
      </c>
      <c r="F6325" s="138" t="str">
        <f t="shared" si="460"/>
        <v>Upgraded</v>
      </c>
      <c r="G6325" s="153"/>
      <c r="H6325" s="210">
        <v>0.2225</v>
      </c>
      <c r="I6325" s="160" t="s">
        <v>60</v>
      </c>
      <c r="J6325" s="160">
        <v>1.6879999999999999E-2</v>
      </c>
      <c r="K6325" s="160" t="s">
        <v>23</v>
      </c>
      <c r="L6325" s="154" t="str">
        <f>IF(OpenLCAbasic!K6325="CTUh", "Fill in Manually",IF(OR(K6325="Unit", K6325=""), "", INDEX(LookUps!$E$5:$E$12, MATCH(OpenLCAbasic!K6325,LookUps!$D$5:$D$12,0))))</f>
        <v>Global Warming Potential (GWP) - kg CO2 eq</v>
      </c>
      <c r="M6325" s="154" t="str">
        <f t="shared" si="456"/>
        <v>Low_Medium_High_Upgraded_Global Warming Potential (GWP) - kg CO2 eq_Belt filter press; wastewater treatment unit; at updated plant - US_Without Amendment_Windrow</v>
      </c>
    </row>
    <row r="6326" spans="1:13" s="120" customFormat="1" x14ac:dyDescent="0.25">
      <c r="A6326" s="119"/>
      <c r="B6326" s="138" t="str">
        <f t="shared" si="459"/>
        <v>Windrow</v>
      </c>
      <c r="C6326" s="138" t="str">
        <f t="shared" si="457"/>
        <v>Without Amendment</v>
      </c>
      <c r="D6326" s="138" t="str">
        <f t="shared" si="461"/>
        <v>Medium_High</v>
      </c>
      <c r="E6326" s="138" t="str">
        <f t="shared" si="458"/>
        <v>Low</v>
      </c>
      <c r="F6326" s="138" t="str">
        <f t="shared" si="460"/>
        <v>Upgraded</v>
      </c>
      <c r="G6326" s="153"/>
      <c r="H6326" s="210">
        <v>0.1918</v>
      </c>
      <c r="I6326" s="160" t="s">
        <v>57</v>
      </c>
      <c r="J6326" s="160">
        <v>1.455E-2</v>
      </c>
      <c r="K6326" s="160" t="s">
        <v>23</v>
      </c>
      <c r="L6326" s="154" t="str">
        <f>IF(OpenLCAbasic!K6326="CTUh", "Fill in Manually",IF(OR(K6326="Unit", K6326=""), "", INDEX(LookUps!$E$5:$E$12, MATCH(OpenLCAbasic!K6326,LookUps!$D$5:$D$12,0))))</f>
        <v>Global Warming Potential (GWP) - kg CO2 eq</v>
      </c>
      <c r="M6326" s="154" t="str">
        <f t="shared" si="456"/>
        <v>Low_Medium_High_Upgraded_Global Warming Potential (GWP) - kg CO2 eq_Gravity Belt Thickener; wastewater treatment unit; at updated plant - US_Without Amendment_Windrow</v>
      </c>
    </row>
    <row r="6327" spans="1:13" s="120" customFormat="1" x14ac:dyDescent="0.25">
      <c r="A6327" s="119"/>
      <c r="B6327" s="138" t="str">
        <f t="shared" si="459"/>
        <v>Windrow</v>
      </c>
      <c r="C6327" s="138" t="str">
        <f t="shared" si="457"/>
        <v>Without Amendment</v>
      </c>
      <c r="D6327" s="138" t="str">
        <f t="shared" si="461"/>
        <v>Medium_High</v>
      </c>
      <c r="E6327" s="138" t="str">
        <f t="shared" si="458"/>
        <v>Low</v>
      </c>
      <c r="F6327" s="138" t="str">
        <f t="shared" si="460"/>
        <v>Upgraded</v>
      </c>
      <c r="G6327" s="153"/>
      <c r="H6327" s="210">
        <v>0.17799999999999999</v>
      </c>
      <c r="I6327" s="160" t="s">
        <v>128</v>
      </c>
      <c r="J6327" s="160">
        <v>1.3509999999999999E-2</v>
      </c>
      <c r="K6327" s="160" t="s">
        <v>23</v>
      </c>
      <c r="L6327" s="154" t="str">
        <f>IF(OpenLCAbasic!K6327="CTUh", "Fill in Manually",IF(OR(K6327="Unit", K6327=""), "", INDEX(LookUps!$E$5:$E$12, MATCH(OpenLCAbasic!K6327,LookUps!$D$5:$D$12,0))))</f>
        <v>Global Warming Potential (GWP) - kg CO2 eq</v>
      </c>
      <c r="M6327" s="154" t="str">
        <f t="shared" si="456"/>
        <v>Low_Medium_High_Upgraded_Global Warming Potential (GWP) - kg CO2 eq_Wastewater collection; operation and infrastructure; m3 wastewater_Without Amendment_Windrow</v>
      </c>
    </row>
    <row r="6328" spans="1:13" s="120" customFormat="1" x14ac:dyDescent="0.25">
      <c r="A6328" s="119"/>
      <c r="B6328" s="138" t="str">
        <f t="shared" si="459"/>
        <v>Windrow</v>
      </c>
      <c r="C6328" s="138" t="str">
        <f t="shared" si="457"/>
        <v>Without Amendment</v>
      </c>
      <c r="D6328" s="138" t="str">
        <f t="shared" si="461"/>
        <v>Medium_High</v>
      </c>
      <c r="E6328" s="138" t="str">
        <f t="shared" si="458"/>
        <v>Low</v>
      </c>
      <c r="F6328" s="138" t="str">
        <f t="shared" si="460"/>
        <v>Upgraded</v>
      </c>
      <c r="G6328" s="153"/>
      <c r="H6328" s="210">
        <v>0.1094</v>
      </c>
      <c r="I6328" s="160" t="s">
        <v>148</v>
      </c>
      <c r="J6328" s="160">
        <v>8.3000000000000001E-3</v>
      </c>
      <c r="K6328" s="160" t="s">
        <v>23</v>
      </c>
      <c r="L6328" s="154" t="str">
        <f>IF(OpenLCAbasic!K6328="CTUh", "Fill in Manually",IF(OR(K6328="Unit", K6328=""), "", INDEX(LookUps!$E$5:$E$12, MATCH(OpenLCAbasic!K6328,LookUps!$D$5:$D$12,0))))</f>
        <v>Global Warming Potential (GWP) - kg CO2 eq</v>
      </c>
      <c r="M6328" s="154" t="str">
        <f t="shared" si="456"/>
        <v>Low_Medium_High_Upgraded_Global Warming Potential (GWP) - kg CO2 eq_Control Building; at upgraded wastewater treatment plant - US_Without Amendment_Windrow</v>
      </c>
    </row>
    <row r="6329" spans="1:13" s="120" customFormat="1" x14ac:dyDescent="0.25">
      <c r="A6329" s="119"/>
      <c r="B6329" s="138" t="str">
        <f t="shared" si="459"/>
        <v>Windrow</v>
      </c>
      <c r="C6329" s="138" t="str">
        <f t="shared" si="457"/>
        <v>Without Amendment</v>
      </c>
      <c r="D6329" s="138" t="str">
        <f t="shared" si="461"/>
        <v>Medium_High</v>
      </c>
      <c r="E6329" s="138" t="str">
        <f t="shared" si="458"/>
        <v>Low</v>
      </c>
      <c r="F6329" s="138" t="str">
        <f t="shared" si="460"/>
        <v>Upgraded</v>
      </c>
      <c r="G6329" s="153"/>
      <c r="H6329" s="210">
        <v>6.6500000000000004E-2</v>
      </c>
      <c r="I6329" s="160" t="s">
        <v>59</v>
      </c>
      <c r="J6329" s="160">
        <v>5.0400000000000002E-3</v>
      </c>
      <c r="K6329" s="160" t="s">
        <v>23</v>
      </c>
      <c r="L6329" s="154" t="str">
        <f>IF(OpenLCAbasic!K6329="CTUh", "Fill in Manually",IF(OR(K6329="Unit", K6329=""), "", INDEX(LookUps!$E$5:$E$12, MATCH(OpenLCAbasic!K6329,LookUps!$D$5:$D$12,0))))</f>
        <v>Global Warming Potential (GWP) - kg CO2 eq</v>
      </c>
      <c r="M6329" s="154" t="str">
        <f t="shared" si="456"/>
        <v>Low_Medium_High_Upgraded_Global Warming Potential (GWP) - kg CO2 eq_Blend Tank; wastewater treatment unit; at updated plant - US_Without Amendment_Windrow</v>
      </c>
    </row>
    <row r="6330" spans="1:13" s="120" customFormat="1" x14ac:dyDescent="0.25">
      <c r="A6330" s="119"/>
      <c r="B6330" s="138" t="str">
        <f t="shared" si="459"/>
        <v>Windrow</v>
      </c>
      <c r="C6330" s="138" t="str">
        <f t="shared" si="457"/>
        <v>Without Amendment</v>
      </c>
      <c r="D6330" s="138" t="str">
        <f t="shared" si="461"/>
        <v>Medium_High</v>
      </c>
      <c r="E6330" s="138" t="str">
        <f t="shared" si="458"/>
        <v>Low</v>
      </c>
      <c r="F6330" s="138" t="str">
        <f t="shared" si="460"/>
        <v>Upgraded</v>
      </c>
      <c r="G6330" s="153"/>
      <c r="H6330" s="210">
        <v>3.1800000000000002E-2</v>
      </c>
      <c r="I6330" s="160" t="s">
        <v>168</v>
      </c>
      <c r="J6330" s="160">
        <v>2.4099999999999998E-3</v>
      </c>
      <c r="K6330" s="160" t="s">
        <v>23</v>
      </c>
      <c r="L6330" s="154" t="str">
        <f>IF(OpenLCAbasic!K6330="CTUh", "Fill in Manually",IF(OR(K6330="Unit", K6330=""), "", INDEX(LookUps!$E$5:$E$12, MATCH(OpenLCAbasic!K6330,LookUps!$D$5:$D$12,0))))</f>
        <v>Global Warming Potential (GWP) - kg CO2 eq</v>
      </c>
      <c r="M6330" s="154" t="str">
        <f t="shared" si="456"/>
        <v>Low_Medium_High_Upgraded_Global Warming Potential (GWP) - kg CO2 eq_ClearCove SCP; wastewater treatment unit; at updated plant - US_Without Amendment_Windrow</v>
      </c>
    </row>
    <row r="6331" spans="1:13" s="120" customFormat="1" x14ac:dyDescent="0.25">
      <c r="A6331" s="119"/>
      <c r="B6331" s="138" t="str">
        <f t="shared" si="459"/>
        <v>Windrow</v>
      </c>
      <c r="C6331" s="138" t="str">
        <f t="shared" si="457"/>
        <v>Without Amendment</v>
      </c>
      <c r="D6331" s="138" t="str">
        <f t="shared" si="461"/>
        <v>Medium_High</v>
      </c>
      <c r="E6331" s="138" t="str">
        <f t="shared" si="458"/>
        <v>Low</v>
      </c>
      <c r="F6331" s="138" t="str">
        <f t="shared" si="460"/>
        <v>Upgraded</v>
      </c>
      <c r="G6331" s="153"/>
      <c r="H6331" s="210">
        <v>-2.3692000000000002</v>
      </c>
      <c r="I6331" s="160" t="s">
        <v>62</v>
      </c>
      <c r="J6331" s="160">
        <v>-0.17973</v>
      </c>
      <c r="K6331" s="160" t="s">
        <v>23</v>
      </c>
      <c r="L6331" s="154" t="str">
        <f>IF(OpenLCAbasic!K6331="CTUh", "Fill in Manually",IF(OR(K6331="Unit", K6331=""), "", INDEX(LookUps!$E$5:$E$12, MATCH(OpenLCAbasic!K6331,LookUps!$D$5:$D$12,0))))</f>
        <v>Global Warming Potential (GWP) - kg CO2 eq</v>
      </c>
      <c r="M6331" s="154" t="str">
        <f t="shared" ref="M6331:M6394" si="462">CONCATENATE(E6331,"_",D6331,"_",F6331,"_",L6331, "_",I6331,"_", C6331,"_", B6331)</f>
        <v>Low_Medium_High_Upgraded_Global Warming Potential (GWP) - kg CO2 eq_Land application of compost; wastewater treatment unit; at updated plant - US_Without Amendment_Windrow</v>
      </c>
    </row>
    <row r="6332" spans="1:13" s="120" customFormat="1" x14ac:dyDescent="0.25">
      <c r="A6332" s="119"/>
      <c r="B6332" s="138" t="str">
        <f t="shared" si="459"/>
        <v>Windrow</v>
      </c>
      <c r="C6332" s="138" t="str">
        <f t="shared" si="457"/>
        <v>Without Amendment</v>
      </c>
      <c r="D6332" s="138" t="str">
        <f t="shared" si="461"/>
        <v>Medium_High</v>
      </c>
      <c r="E6332" s="138" t="str">
        <f t="shared" si="458"/>
        <v>Low</v>
      </c>
      <c r="F6332" s="138" t="str">
        <f t="shared" si="460"/>
        <v>Upgraded</v>
      </c>
      <c r="G6332" s="153"/>
      <c r="H6332" s="210">
        <v>-7.9234999999999998</v>
      </c>
      <c r="I6332" s="160" t="s">
        <v>149</v>
      </c>
      <c r="J6332" s="160">
        <v>-0.60107999999999995</v>
      </c>
      <c r="K6332" s="160" t="s">
        <v>23</v>
      </c>
      <c r="L6332" s="154" t="str">
        <f>IF(OpenLCAbasic!K6332="CTUh", "Fill in Manually",IF(OR(K6332="Unit", K6332=""), "", INDEX(LookUps!$E$5:$E$12, MATCH(OpenLCAbasic!K6332,LookUps!$D$5:$D$12,0))))</f>
        <v>Global Warming Potential (GWP) - kg CO2 eq</v>
      </c>
      <c r="M6332" s="154" t="str">
        <f t="shared" si="462"/>
        <v>Low_Medium_High_Upgraded_Global Warming Potential (GWP) - kg CO2 eq_Anaerobic Digestion; wastewater treatment unit; at updated plant - US_Without Amendment_Windrow</v>
      </c>
    </row>
    <row r="6333" spans="1:13" s="120" customFormat="1" x14ac:dyDescent="0.25">
      <c r="A6333" s="119"/>
      <c r="B6333" s="138" t="str">
        <f t="shared" si="459"/>
        <v/>
      </c>
      <c r="C6333" s="138" t="str">
        <f t="shared" si="457"/>
        <v/>
      </c>
      <c r="D6333" s="138" t="str">
        <f t="shared" si="461"/>
        <v/>
      </c>
      <c r="E6333" s="138" t="str">
        <f t="shared" si="458"/>
        <v/>
      </c>
      <c r="F6333" s="138" t="str">
        <f t="shared" si="460"/>
        <v/>
      </c>
      <c r="G6333" s="153" t="s">
        <v>51</v>
      </c>
      <c r="H6333" s="160"/>
      <c r="I6333" s="160" t="s">
        <v>47</v>
      </c>
      <c r="J6333" s="160" t="s">
        <v>52</v>
      </c>
      <c r="K6333" s="160" t="s">
        <v>27</v>
      </c>
      <c r="L6333" s="154" t="str">
        <f>IF(OpenLCAbasic!K6333="CTUh", "Fill in Manually",IF(OR(K6333="Unit", K6333=""), "", INDEX(LookUps!$E$5:$E$12, MATCH(OpenLCAbasic!K6333,LookUps!$D$5:$D$12,0))))</f>
        <v/>
      </c>
      <c r="M6333" s="154" t="str">
        <f t="shared" si="462"/>
        <v>____Process__</v>
      </c>
    </row>
    <row r="6334" spans="1:13" s="120" customFormat="1" x14ac:dyDescent="0.25">
      <c r="A6334" s="119"/>
      <c r="B6334" s="138" t="str">
        <f t="shared" si="459"/>
        <v>Windrow</v>
      </c>
      <c r="C6334" s="138" t="str">
        <f t="shared" si="457"/>
        <v>Without Amendment</v>
      </c>
      <c r="D6334" s="138" t="str">
        <f t="shared" si="461"/>
        <v>Medium_High</v>
      </c>
      <c r="E6334" s="138" t="str">
        <f t="shared" si="458"/>
        <v>Low</v>
      </c>
      <c r="F6334" s="138" t="str">
        <f t="shared" si="460"/>
        <v>Upgraded</v>
      </c>
      <c r="G6334" s="153"/>
      <c r="H6334" s="210">
        <v>0.91910000000000003</v>
      </c>
      <c r="I6334" s="160" t="s">
        <v>55</v>
      </c>
      <c r="J6334" s="160">
        <v>2.33E-3</v>
      </c>
      <c r="K6334" s="160" t="s">
        <v>145</v>
      </c>
      <c r="L6334" s="154" t="str">
        <f>IF(OpenLCAbasic!K6334="CTUh", "Fill in Manually",IF(OR(K6334="Unit", K6334=""), "", INDEX(LookUps!$E$5:$E$12, MATCH(OpenLCAbasic!K6334,LookUps!$D$5:$D$12,0))))</f>
        <v>Particulate Matter Formation Potential (PMFP) - kg PM2.5 eq</v>
      </c>
      <c r="M6334" s="154" t="str">
        <f t="shared" si="462"/>
        <v>Low_Medium_High_Upgraded_Particulate Matter Formation Potential (PMFP) - kg PM2.5 eq_Aeration Tanks; wastewater treatment unit; at updated plant - US_Without Amendment_Windrow</v>
      </c>
    </row>
    <row r="6335" spans="1:13" s="120" customFormat="1" x14ac:dyDescent="0.25">
      <c r="A6335" s="119"/>
      <c r="B6335" s="138" t="str">
        <f t="shared" si="459"/>
        <v>Windrow</v>
      </c>
      <c r="C6335" s="138" t="str">
        <f t="shared" si="457"/>
        <v>Without Amendment</v>
      </c>
      <c r="D6335" s="138" t="str">
        <f t="shared" si="461"/>
        <v>Medium_High</v>
      </c>
      <c r="E6335" s="138" t="str">
        <f t="shared" si="458"/>
        <v>Low</v>
      </c>
      <c r="F6335" s="138" t="str">
        <f t="shared" si="460"/>
        <v>Upgraded</v>
      </c>
      <c r="G6335" s="153"/>
      <c r="H6335" s="210">
        <v>0.26750000000000002</v>
      </c>
      <c r="I6335" s="160" t="s">
        <v>54</v>
      </c>
      <c r="J6335" s="160">
        <v>6.8000000000000005E-4</v>
      </c>
      <c r="K6335" s="160" t="s">
        <v>145</v>
      </c>
      <c r="L6335" s="154" t="str">
        <f>IF(OpenLCAbasic!K6335="CTUh", "Fill in Manually",IF(OR(K6335="Unit", K6335=""), "", INDEX(LookUps!$E$5:$E$12, MATCH(OpenLCAbasic!K6335,LookUps!$D$5:$D$12,0))))</f>
        <v>Particulate Matter Formation Potential (PMFP) - kg PM2.5 eq</v>
      </c>
      <c r="M6335" s="154" t="str">
        <f t="shared" si="462"/>
        <v>Low_Medium_High_Upgraded_Particulate Matter Formation Potential (PMFP) - kg PM2.5 eq_Clear Cove Primary Clarification; wastewater treatment unit; at updated plant - US_Without Amendment_Windrow</v>
      </c>
    </row>
    <row r="6336" spans="1:13" s="120" customFormat="1" x14ac:dyDescent="0.25">
      <c r="A6336" s="119"/>
      <c r="B6336" s="138" t="str">
        <f t="shared" si="459"/>
        <v>Windrow</v>
      </c>
      <c r="C6336" s="138" t="str">
        <f t="shared" si="457"/>
        <v>Without Amendment</v>
      </c>
      <c r="D6336" s="138" t="str">
        <f t="shared" si="461"/>
        <v>Medium_High</v>
      </c>
      <c r="E6336" s="138" t="str">
        <f t="shared" si="458"/>
        <v>Low</v>
      </c>
      <c r="F6336" s="138" t="str">
        <f t="shared" si="460"/>
        <v>Upgraded</v>
      </c>
      <c r="G6336" s="153"/>
      <c r="H6336" s="210">
        <v>0.23180000000000001</v>
      </c>
      <c r="I6336" s="160" t="s">
        <v>58</v>
      </c>
      <c r="J6336" s="160">
        <v>5.9000000000000003E-4</v>
      </c>
      <c r="K6336" s="160" t="s">
        <v>145</v>
      </c>
      <c r="L6336" s="154" t="str">
        <f>IF(OpenLCAbasic!K6336="CTUh", "Fill in Manually",IF(OR(K6336="Unit", K6336=""), "", INDEX(LookUps!$E$5:$E$12, MATCH(OpenLCAbasic!K6336,LookUps!$D$5:$D$12,0))))</f>
        <v>Particulate Matter Formation Potential (PMFP) - kg PM2.5 eq</v>
      </c>
      <c r="M6336" s="154" t="str">
        <f t="shared" si="462"/>
        <v>Low_Medium_High_Upgraded_Particulate Matter Formation Potential (PMFP) - kg PM2.5 eq_Pre-Anoxic &amp; Swing tank; wastewater treatment unit; at updated plant - US_Without Amendment_Windrow</v>
      </c>
    </row>
    <row r="6337" spans="1:13" s="120" customFormat="1" x14ac:dyDescent="0.25">
      <c r="A6337" s="119"/>
      <c r="B6337" s="138" t="str">
        <f t="shared" si="459"/>
        <v>Windrow</v>
      </c>
      <c r="C6337" s="138" t="str">
        <f t="shared" ref="C6337:C6400" si="463">IF(ISNUMBER($J6337),"Without Amendment","")</f>
        <v>Without Amendment</v>
      </c>
      <c r="D6337" s="138" t="str">
        <f t="shared" si="461"/>
        <v>Medium_High</v>
      </c>
      <c r="E6337" s="138" t="str">
        <f t="shared" ref="E6337:E6400" si="464">IF(ISNUMBER($J6337),"Low","")</f>
        <v>Low</v>
      </c>
      <c r="F6337" s="138" t="str">
        <f t="shared" si="460"/>
        <v>Upgraded</v>
      </c>
      <c r="G6337" s="153"/>
      <c r="H6337" s="210">
        <v>0.18379999999999999</v>
      </c>
      <c r="I6337" s="160" t="s">
        <v>53</v>
      </c>
      <c r="J6337" s="160">
        <v>4.6999999999999999E-4</v>
      </c>
      <c r="K6337" s="160" t="s">
        <v>145</v>
      </c>
      <c r="L6337" s="154" t="str">
        <f>IF(OpenLCAbasic!K6337="CTUh", "Fill in Manually",IF(OR(K6337="Unit", K6337=""), "", INDEX(LookUps!$E$5:$E$12, MATCH(OpenLCAbasic!K6337,LookUps!$D$5:$D$12,0))))</f>
        <v>Particulate Matter Formation Potential (PMFP) - kg PM2.5 eq</v>
      </c>
      <c r="M6337" s="154" t="str">
        <f t="shared" si="462"/>
        <v>Low_Medium_High_Upgraded_Particulate Matter Formation Potential (PMFP) - kg PM2.5 eq_Wet Well and Sump Station; wastewater treatment unit; at updated plant - US_Without Amendment_Windrow</v>
      </c>
    </row>
    <row r="6338" spans="1:13" s="120" customFormat="1" x14ac:dyDescent="0.25">
      <c r="A6338" s="119"/>
      <c r="B6338" s="138" t="str">
        <f t="shared" si="459"/>
        <v>Windrow</v>
      </c>
      <c r="C6338" s="138" t="str">
        <f t="shared" si="463"/>
        <v>Without Amendment</v>
      </c>
      <c r="D6338" s="138" t="str">
        <f t="shared" si="461"/>
        <v>Medium_High</v>
      </c>
      <c r="E6338" s="138" t="str">
        <f t="shared" si="464"/>
        <v>Low</v>
      </c>
      <c r="F6338" s="138" t="str">
        <f t="shared" si="460"/>
        <v>Upgraded</v>
      </c>
      <c r="G6338" s="153"/>
      <c r="H6338" s="210">
        <v>0.1239</v>
      </c>
      <c r="I6338" s="160" t="s">
        <v>167</v>
      </c>
      <c r="J6338" s="160">
        <v>3.1E-4</v>
      </c>
      <c r="K6338" s="160" t="s">
        <v>145</v>
      </c>
      <c r="L6338" s="154" t="str">
        <f>IF(OpenLCAbasic!K6338="CTUh", "Fill in Manually",IF(OR(K6338="Unit", K6338=""), "", INDEX(LookUps!$E$5:$E$12, MATCH(OpenLCAbasic!K6338,LookUps!$D$5:$D$12,0))))</f>
        <v>Particulate Matter Formation Potential (PMFP) - kg PM2.5 eq</v>
      </c>
      <c r="M6338" s="154" t="str">
        <f t="shared" si="462"/>
        <v>Low_Medium_High_Upgraded_Particulate Matter Formation Potential (PMFP) - kg PM2.5 eq_Waste Receiving and Holding; wastewater treatment unit; at updated plant - US_Without Amendment_Windrow</v>
      </c>
    </row>
    <row r="6339" spans="1:13" s="120" customFormat="1" x14ac:dyDescent="0.25">
      <c r="A6339" s="119"/>
      <c r="B6339" s="138" t="str">
        <f t="shared" si="459"/>
        <v>Windrow</v>
      </c>
      <c r="C6339" s="138" t="str">
        <f t="shared" si="463"/>
        <v>Without Amendment</v>
      </c>
      <c r="D6339" s="138" t="str">
        <f t="shared" si="461"/>
        <v>Medium_High</v>
      </c>
      <c r="E6339" s="138" t="str">
        <f t="shared" si="464"/>
        <v>Low</v>
      </c>
      <c r="F6339" s="138" t="str">
        <f t="shared" si="460"/>
        <v>Upgraded</v>
      </c>
      <c r="G6339" s="153"/>
      <c r="H6339" s="210">
        <v>0.105</v>
      </c>
      <c r="I6339" s="160" t="s">
        <v>147</v>
      </c>
      <c r="J6339" s="160">
        <v>2.7E-4</v>
      </c>
      <c r="K6339" s="160" t="s">
        <v>145</v>
      </c>
      <c r="L6339" s="154" t="str">
        <f>IF(OpenLCAbasic!K6339="CTUh", "Fill in Manually",IF(OR(K6339="Unit", K6339=""), "", INDEX(LookUps!$E$5:$E$12, MATCH(OpenLCAbasic!K6339,LookUps!$D$5:$D$12,0))))</f>
        <v>Particulate Matter Formation Potential (PMFP) - kg PM2.5 eq</v>
      </c>
      <c r="M6339" s="154" t="str">
        <f t="shared" si="462"/>
        <v>Low_Medium_High_Upgraded_Particulate Matter Formation Potential (PMFP) - kg PM2.5 eq_Influent Pump Station; wastewater treatment unit; at updated plant - US_Without Amendment_Windrow</v>
      </c>
    </row>
    <row r="6340" spans="1:13" s="120" customFormat="1" x14ac:dyDescent="0.25">
      <c r="A6340" s="119"/>
      <c r="B6340" s="138" t="str">
        <f t="shared" si="459"/>
        <v>Windrow</v>
      </c>
      <c r="C6340" s="138" t="str">
        <f t="shared" si="463"/>
        <v>Without Amendment</v>
      </c>
      <c r="D6340" s="138" t="str">
        <f t="shared" si="461"/>
        <v>Medium_High</v>
      </c>
      <c r="E6340" s="138" t="str">
        <f t="shared" si="464"/>
        <v>Low</v>
      </c>
      <c r="F6340" s="138" t="str">
        <f t="shared" si="460"/>
        <v>Upgraded</v>
      </c>
      <c r="G6340" s="153"/>
      <c r="H6340" s="210">
        <v>6.5600000000000006E-2</v>
      </c>
      <c r="I6340" s="160" t="s">
        <v>128</v>
      </c>
      <c r="J6340" s="160">
        <v>1.7000000000000001E-4</v>
      </c>
      <c r="K6340" s="160" t="s">
        <v>145</v>
      </c>
      <c r="L6340" s="154" t="str">
        <f>IF(OpenLCAbasic!K6340="CTUh", "Fill in Manually",IF(OR(K6340="Unit", K6340=""), "", INDEX(LookUps!$E$5:$E$12, MATCH(OpenLCAbasic!K6340,LookUps!$D$5:$D$12,0))))</f>
        <v>Particulate Matter Formation Potential (PMFP) - kg PM2.5 eq</v>
      </c>
      <c r="M6340" s="154" t="str">
        <f t="shared" si="462"/>
        <v>Low_Medium_High_Upgraded_Particulate Matter Formation Potential (PMFP) - kg PM2.5 eq_Wastewater collection; operation and infrastructure; m3 wastewater_Without Amendment_Windrow</v>
      </c>
    </row>
    <row r="6341" spans="1:13" s="120" customFormat="1" x14ac:dyDescent="0.25">
      <c r="A6341" s="119"/>
      <c r="B6341" s="138" t="str">
        <f t="shared" si="459"/>
        <v>Windrow</v>
      </c>
      <c r="C6341" s="138" t="str">
        <f t="shared" si="463"/>
        <v>Without Amendment</v>
      </c>
      <c r="D6341" s="138" t="str">
        <f t="shared" si="461"/>
        <v>Medium_High</v>
      </c>
      <c r="E6341" s="138" t="str">
        <f t="shared" si="464"/>
        <v>Low</v>
      </c>
      <c r="F6341" s="138" t="str">
        <f t="shared" si="460"/>
        <v>Upgraded</v>
      </c>
      <c r="G6341" s="153"/>
      <c r="H6341" s="210">
        <v>5.4300000000000001E-2</v>
      </c>
      <c r="I6341" s="160" t="s">
        <v>60</v>
      </c>
      <c r="J6341" s="160">
        <v>1.3999999999999999E-4</v>
      </c>
      <c r="K6341" s="160" t="s">
        <v>145</v>
      </c>
      <c r="L6341" s="154" t="str">
        <f>IF(OpenLCAbasic!K6341="CTUh", "Fill in Manually",IF(OR(K6341="Unit", K6341=""), "", INDEX(LookUps!$E$5:$E$12, MATCH(OpenLCAbasic!K6341,LookUps!$D$5:$D$12,0))))</f>
        <v>Particulate Matter Formation Potential (PMFP) - kg PM2.5 eq</v>
      </c>
      <c r="M6341" s="154" t="str">
        <f t="shared" si="462"/>
        <v>Low_Medium_High_Upgraded_Particulate Matter Formation Potential (PMFP) - kg PM2.5 eq_Belt filter press; wastewater treatment unit; at updated plant - US_Without Amendment_Windrow</v>
      </c>
    </row>
    <row r="6342" spans="1:13" s="120" customFormat="1" x14ac:dyDescent="0.25">
      <c r="A6342" s="119"/>
      <c r="B6342" s="138" t="str">
        <f t="shared" si="459"/>
        <v>Windrow</v>
      </c>
      <c r="C6342" s="138" t="str">
        <f t="shared" si="463"/>
        <v>Without Amendment</v>
      </c>
      <c r="D6342" s="138" t="str">
        <f t="shared" si="461"/>
        <v>Medium_High</v>
      </c>
      <c r="E6342" s="138" t="str">
        <f t="shared" si="464"/>
        <v>Low</v>
      </c>
      <c r="F6342" s="138" t="str">
        <f t="shared" si="460"/>
        <v>Upgraded</v>
      </c>
      <c r="G6342" s="153"/>
      <c r="H6342" s="210">
        <v>3.7499999999999999E-2</v>
      </c>
      <c r="I6342" s="160" t="s">
        <v>57</v>
      </c>
      <c r="J6342" s="211">
        <v>9.5153800000000004E-5</v>
      </c>
      <c r="K6342" s="160" t="s">
        <v>145</v>
      </c>
      <c r="L6342" s="154" t="str">
        <f>IF(OpenLCAbasic!K6342="CTUh", "Fill in Manually",IF(OR(K6342="Unit", K6342=""), "", INDEX(LookUps!$E$5:$E$12, MATCH(OpenLCAbasic!K6342,LookUps!$D$5:$D$12,0))))</f>
        <v>Particulate Matter Formation Potential (PMFP) - kg PM2.5 eq</v>
      </c>
      <c r="M6342" s="154" t="str">
        <f t="shared" si="462"/>
        <v>Low_Medium_High_Upgraded_Particulate Matter Formation Potential (PMFP) - kg PM2.5 eq_Gravity Belt Thickener; wastewater treatment unit; at updated plant - US_Without Amendment_Windrow</v>
      </c>
    </row>
    <row r="6343" spans="1:13" s="120" customFormat="1" x14ac:dyDescent="0.25">
      <c r="A6343" s="119"/>
      <c r="B6343" s="138" t="str">
        <f t="shared" si="459"/>
        <v>Windrow</v>
      </c>
      <c r="C6343" s="138" t="str">
        <f t="shared" si="463"/>
        <v>Without Amendment</v>
      </c>
      <c r="D6343" s="138" t="str">
        <f t="shared" si="461"/>
        <v>Medium_High</v>
      </c>
      <c r="E6343" s="138" t="str">
        <f t="shared" si="464"/>
        <v>Low</v>
      </c>
      <c r="F6343" s="138" t="str">
        <f t="shared" si="460"/>
        <v>Upgraded</v>
      </c>
      <c r="G6343" s="153"/>
      <c r="H6343" s="210">
        <v>2.75E-2</v>
      </c>
      <c r="I6343" s="160" t="s">
        <v>59</v>
      </c>
      <c r="J6343" s="211">
        <v>6.9942200000000003E-5</v>
      </c>
      <c r="K6343" s="160" t="s">
        <v>145</v>
      </c>
      <c r="L6343" s="154" t="str">
        <f>IF(OpenLCAbasic!K6343="CTUh", "Fill in Manually",IF(OR(K6343="Unit", K6343=""), "", INDEX(LookUps!$E$5:$E$12, MATCH(OpenLCAbasic!K6343,LookUps!$D$5:$D$12,0))))</f>
        <v>Particulate Matter Formation Potential (PMFP) - kg PM2.5 eq</v>
      </c>
      <c r="M6343" s="154" t="str">
        <f t="shared" si="462"/>
        <v>Low_Medium_High_Upgraded_Particulate Matter Formation Potential (PMFP) - kg PM2.5 eq_Blend Tank; wastewater treatment unit; at updated plant - US_Without Amendment_Windrow</v>
      </c>
    </row>
    <row r="6344" spans="1:13" s="120" customFormat="1" x14ac:dyDescent="0.25">
      <c r="A6344" s="119"/>
      <c r="B6344" s="138" t="str">
        <f t="shared" si="459"/>
        <v>Windrow</v>
      </c>
      <c r="C6344" s="138" t="str">
        <f t="shared" si="463"/>
        <v>Without Amendment</v>
      </c>
      <c r="D6344" s="138" t="str">
        <f t="shared" si="461"/>
        <v>Medium_High</v>
      </c>
      <c r="E6344" s="138" t="str">
        <f t="shared" si="464"/>
        <v>Low</v>
      </c>
      <c r="F6344" s="138" t="str">
        <f t="shared" si="460"/>
        <v>Upgraded</v>
      </c>
      <c r="G6344" s="153"/>
      <c r="H6344" s="210">
        <v>1.9699999999999999E-2</v>
      </c>
      <c r="I6344" s="160" t="s">
        <v>48</v>
      </c>
      <c r="J6344" s="211">
        <v>4.99741E-5</v>
      </c>
      <c r="K6344" s="160" t="s">
        <v>145</v>
      </c>
      <c r="L6344" s="154" t="str">
        <f>IF(OpenLCAbasic!K6344="CTUh", "Fill in Manually",IF(OR(K6344="Unit", K6344=""), "", INDEX(LookUps!$E$5:$E$12, MATCH(OpenLCAbasic!K6344,LookUps!$D$5:$D$12,0))))</f>
        <v>Particulate Matter Formation Potential (PMFP) - kg PM2.5 eq</v>
      </c>
      <c r="M6344" s="154" t="str">
        <f t="shared" si="462"/>
        <v>Low_Medium_High_Upgraded_Particulate Matter Formation Potential (PMFP) - kg PM2.5 eq_Effluent release; wastewater treatment unit; at surface water; m3 wastewater - US_Without Amendment_Windrow</v>
      </c>
    </row>
    <row r="6345" spans="1:13" s="120" customFormat="1" x14ac:dyDescent="0.25">
      <c r="A6345" s="119"/>
      <c r="B6345" s="138" t="str">
        <f t="shared" si="459"/>
        <v>Windrow</v>
      </c>
      <c r="C6345" s="138" t="str">
        <f t="shared" si="463"/>
        <v>Without Amendment</v>
      </c>
      <c r="D6345" s="138" t="str">
        <f t="shared" si="461"/>
        <v>Medium_High</v>
      </c>
      <c r="E6345" s="138" t="str">
        <f t="shared" si="464"/>
        <v>Low</v>
      </c>
      <c r="F6345" s="138" t="str">
        <f t="shared" si="460"/>
        <v>Upgraded</v>
      </c>
      <c r="G6345" s="153"/>
      <c r="H6345" s="210">
        <v>1.8200000000000001E-2</v>
      </c>
      <c r="I6345" s="160" t="s">
        <v>62</v>
      </c>
      <c r="J6345" s="211">
        <v>4.6309300000000001E-5</v>
      </c>
      <c r="K6345" s="160" t="s">
        <v>145</v>
      </c>
      <c r="L6345" s="154" t="str">
        <f>IF(OpenLCAbasic!K6345="CTUh", "Fill in Manually",IF(OR(K6345="Unit", K6345=""), "", INDEX(LookUps!$E$5:$E$12, MATCH(OpenLCAbasic!K6345,LookUps!$D$5:$D$12,0))))</f>
        <v>Particulate Matter Formation Potential (PMFP) - kg PM2.5 eq</v>
      </c>
      <c r="M6345" s="154" t="str">
        <f t="shared" si="462"/>
        <v>Low_Medium_High_Upgraded_Particulate Matter Formation Potential (PMFP) - kg PM2.5 eq_Land application of compost; wastewater treatment unit; at updated plant - US_Without Amendment_Windrow</v>
      </c>
    </row>
    <row r="6346" spans="1:13" s="120" customFormat="1" x14ac:dyDescent="0.25">
      <c r="A6346" s="119"/>
      <c r="B6346" s="138" t="str">
        <f t="shared" si="459"/>
        <v>Windrow</v>
      </c>
      <c r="C6346" s="138" t="str">
        <f t="shared" si="463"/>
        <v>Without Amendment</v>
      </c>
      <c r="D6346" s="138" t="str">
        <f t="shared" si="461"/>
        <v>Medium_High</v>
      </c>
      <c r="E6346" s="138" t="str">
        <f t="shared" si="464"/>
        <v>Low</v>
      </c>
      <c r="F6346" s="138" t="str">
        <f t="shared" si="460"/>
        <v>Upgraded</v>
      </c>
      <c r="G6346" s="153"/>
      <c r="H6346" s="210">
        <v>1.3599999999999999E-2</v>
      </c>
      <c r="I6346" s="160" t="s">
        <v>168</v>
      </c>
      <c r="J6346" s="211">
        <v>3.4562199999999999E-5</v>
      </c>
      <c r="K6346" s="160" t="s">
        <v>145</v>
      </c>
      <c r="L6346" s="154" t="str">
        <f>IF(OpenLCAbasic!K6346="CTUh", "Fill in Manually",IF(OR(K6346="Unit", K6346=""), "", INDEX(LookUps!$E$5:$E$12, MATCH(OpenLCAbasic!K6346,LookUps!$D$5:$D$12,0))))</f>
        <v>Particulate Matter Formation Potential (PMFP) - kg PM2.5 eq</v>
      </c>
      <c r="M6346" s="154" t="str">
        <f t="shared" si="462"/>
        <v>Low_Medium_High_Upgraded_Particulate Matter Formation Potential (PMFP) - kg PM2.5 eq_ClearCove SCP; wastewater treatment unit; at updated plant - US_Without Amendment_Windrow</v>
      </c>
    </row>
    <row r="6347" spans="1:13" s="120" customFormat="1" x14ac:dyDescent="0.25">
      <c r="A6347" s="119"/>
      <c r="B6347" s="138" t="str">
        <f t="shared" si="459"/>
        <v>Windrow</v>
      </c>
      <c r="C6347" s="138" t="str">
        <f t="shared" si="463"/>
        <v>Without Amendment</v>
      </c>
      <c r="D6347" s="138" t="str">
        <f t="shared" si="461"/>
        <v>Medium_High</v>
      </c>
      <c r="E6347" s="138" t="str">
        <f t="shared" si="464"/>
        <v>Low</v>
      </c>
      <c r="F6347" s="138" t="str">
        <f t="shared" si="460"/>
        <v>Upgraded</v>
      </c>
      <c r="G6347" s="153"/>
      <c r="H6347" s="210">
        <v>1.29E-2</v>
      </c>
      <c r="I6347" s="160" t="s">
        <v>271</v>
      </c>
      <c r="J6347" s="211">
        <v>3.2747599999999998E-5</v>
      </c>
      <c r="K6347" s="160" t="s">
        <v>145</v>
      </c>
      <c r="L6347" s="154" t="str">
        <f>IF(OpenLCAbasic!K6347="CTUh", "Fill in Manually",IF(OR(K6347="Unit", K6347=""), "", INDEX(LookUps!$E$5:$E$12, MATCH(OpenLCAbasic!K6347,LookUps!$D$5:$D$12,0))))</f>
        <v>Particulate Matter Formation Potential (PMFP) - kg PM2.5 eq</v>
      </c>
      <c r="M6347" s="154" t="str">
        <f t="shared" si="462"/>
        <v>Low_Medium_High_Upgraded_Particulate Matter Formation Potential (PMFP) - kg PM2.5 eq_Biosolids composting; windrow composting; wastewater treatment unit; at updated plant - US_Without Amendment_Windrow</v>
      </c>
    </row>
    <row r="6348" spans="1:13" s="120" customFormat="1" x14ac:dyDescent="0.25">
      <c r="A6348" s="119"/>
      <c r="B6348" s="138" t="str">
        <f t="shared" si="459"/>
        <v>Windrow</v>
      </c>
      <c r="C6348" s="138" t="str">
        <f t="shared" si="463"/>
        <v>Without Amendment</v>
      </c>
      <c r="D6348" s="138" t="str">
        <f t="shared" si="461"/>
        <v>Medium_High</v>
      </c>
      <c r="E6348" s="138" t="str">
        <f t="shared" si="464"/>
        <v>Low</v>
      </c>
      <c r="F6348" s="138" t="str">
        <f t="shared" si="460"/>
        <v>Upgraded</v>
      </c>
      <c r="G6348" s="153"/>
      <c r="H6348" s="210">
        <v>3.5000000000000001E-3</v>
      </c>
      <c r="I6348" s="160" t="s">
        <v>148</v>
      </c>
      <c r="J6348" s="211">
        <v>8.8212999999999997E-6</v>
      </c>
      <c r="K6348" s="160" t="s">
        <v>145</v>
      </c>
      <c r="L6348" s="154" t="str">
        <f>IF(OpenLCAbasic!K6348="CTUh", "Fill in Manually",IF(OR(K6348="Unit", K6348=""), "", INDEX(LookUps!$E$5:$E$12, MATCH(OpenLCAbasic!K6348,LookUps!$D$5:$D$12,0))))</f>
        <v>Particulate Matter Formation Potential (PMFP) - kg PM2.5 eq</v>
      </c>
      <c r="M6348" s="154" t="str">
        <f t="shared" si="462"/>
        <v>Low_Medium_High_Upgraded_Particulate Matter Formation Potential (PMFP) - kg PM2.5 eq_Control Building; at upgraded wastewater treatment plant - US_Without Amendment_Windrow</v>
      </c>
    </row>
    <row r="6349" spans="1:13" s="120" customFormat="1" x14ac:dyDescent="0.25">
      <c r="A6349" s="119"/>
      <c r="B6349" s="138" t="str">
        <f t="shared" si="459"/>
        <v>Windrow</v>
      </c>
      <c r="C6349" s="138" t="str">
        <f t="shared" si="463"/>
        <v>Without Amendment</v>
      </c>
      <c r="D6349" s="138" t="str">
        <f t="shared" si="461"/>
        <v>Medium_High</v>
      </c>
      <c r="E6349" s="138" t="str">
        <f t="shared" si="464"/>
        <v>Low</v>
      </c>
      <c r="F6349" s="138" t="str">
        <f t="shared" si="460"/>
        <v>Upgraded</v>
      </c>
      <c r="G6349" s="153"/>
      <c r="H6349" s="210">
        <v>-3.0838999999999999</v>
      </c>
      <c r="I6349" s="160" t="s">
        <v>149</v>
      </c>
      <c r="J6349" s="160">
        <v>-7.8300000000000002E-3</v>
      </c>
      <c r="K6349" s="160" t="s">
        <v>145</v>
      </c>
      <c r="L6349" s="154" t="str">
        <f>IF(OpenLCAbasic!K6349="CTUh", "Fill in Manually",IF(OR(K6349="Unit", K6349=""), "", INDEX(LookUps!$E$5:$E$12, MATCH(OpenLCAbasic!K6349,LookUps!$D$5:$D$12,0))))</f>
        <v>Particulate Matter Formation Potential (PMFP) - kg PM2.5 eq</v>
      </c>
      <c r="M6349" s="154" t="str">
        <f t="shared" si="462"/>
        <v>Low_Medium_High_Upgraded_Particulate Matter Formation Potential (PMFP) - kg PM2.5 eq_Anaerobic Digestion; wastewater treatment unit; at updated plant - US_Without Amendment_Windrow</v>
      </c>
    </row>
    <row r="6350" spans="1:13" s="120" customFormat="1" x14ac:dyDescent="0.25">
      <c r="A6350" s="119"/>
      <c r="B6350" s="138" t="str">
        <f t="shared" si="459"/>
        <v/>
      </c>
      <c r="C6350" s="138" t="str">
        <f t="shared" si="463"/>
        <v/>
      </c>
      <c r="D6350" s="138" t="str">
        <f t="shared" si="461"/>
        <v/>
      </c>
      <c r="E6350" s="138" t="str">
        <f t="shared" si="464"/>
        <v/>
      </c>
      <c r="F6350" s="138" t="str">
        <f t="shared" si="460"/>
        <v/>
      </c>
      <c r="G6350" s="153" t="s">
        <v>51</v>
      </c>
      <c r="H6350" s="160"/>
      <c r="I6350" s="160" t="s">
        <v>47</v>
      </c>
      <c r="J6350" s="160" t="s">
        <v>52</v>
      </c>
      <c r="K6350" s="160" t="s">
        <v>27</v>
      </c>
      <c r="L6350" s="154" t="str">
        <f>IF(OpenLCAbasic!K6350="CTUh", "Fill in Manually",IF(OR(K6350="Unit", K6350=""), "", INDEX(LookUps!$E$5:$E$12, MATCH(OpenLCAbasic!K6350,LookUps!$D$5:$D$12,0))))</f>
        <v/>
      </c>
      <c r="M6350" s="154" t="str">
        <f t="shared" si="462"/>
        <v>____Process__</v>
      </c>
    </row>
    <row r="6351" spans="1:13" s="120" customFormat="1" x14ac:dyDescent="0.25">
      <c r="A6351" s="119"/>
      <c r="B6351" s="138" t="str">
        <f t="shared" si="459"/>
        <v>Windrow</v>
      </c>
      <c r="C6351" s="138" t="str">
        <f t="shared" si="463"/>
        <v>Without Amendment</v>
      </c>
      <c r="D6351" s="138" t="str">
        <f t="shared" si="461"/>
        <v>Medium_High</v>
      </c>
      <c r="E6351" s="138" t="str">
        <f t="shared" si="464"/>
        <v>Low</v>
      </c>
      <c r="F6351" s="138" t="str">
        <f t="shared" si="460"/>
        <v>Upgraded</v>
      </c>
      <c r="G6351" s="153"/>
      <c r="H6351" s="210">
        <v>0.91600000000000004</v>
      </c>
      <c r="I6351" s="160" t="s">
        <v>55</v>
      </c>
      <c r="J6351" s="160">
        <v>0.16577</v>
      </c>
      <c r="K6351" s="160" t="s">
        <v>25</v>
      </c>
      <c r="L6351" s="154" t="str">
        <f>IF(OpenLCAbasic!K6351="CTUh", "Fill in Manually",IF(OR(K6351="Unit", K6351=""), "", INDEX(LookUps!$E$5:$E$12, MATCH(OpenLCAbasic!K6351,LookUps!$D$5:$D$12,0))))</f>
        <v>Smog Formation Potential (SFP) - kg O3 eq</v>
      </c>
      <c r="M6351" s="154" t="str">
        <f t="shared" si="462"/>
        <v>Low_Medium_High_Upgraded_Smog Formation Potential (SFP) - kg O3 eq_Aeration Tanks; wastewater treatment unit; at updated plant - US_Without Amendment_Windrow</v>
      </c>
    </row>
    <row r="6352" spans="1:13" s="120" customFormat="1" x14ac:dyDescent="0.25">
      <c r="A6352" s="119"/>
      <c r="B6352" s="138" t="str">
        <f t="shared" si="459"/>
        <v>Windrow</v>
      </c>
      <c r="C6352" s="138" t="str">
        <f t="shared" si="463"/>
        <v>Without Amendment</v>
      </c>
      <c r="D6352" s="138" t="str">
        <f t="shared" si="461"/>
        <v>Medium_High</v>
      </c>
      <c r="E6352" s="138" t="str">
        <f t="shared" si="464"/>
        <v>Low</v>
      </c>
      <c r="F6352" s="138" t="str">
        <f t="shared" si="460"/>
        <v>Upgraded</v>
      </c>
      <c r="G6352" s="153"/>
      <c r="H6352" s="210">
        <v>0.2656</v>
      </c>
      <c r="I6352" s="160" t="s">
        <v>54</v>
      </c>
      <c r="J6352" s="160">
        <v>4.8070000000000002E-2</v>
      </c>
      <c r="K6352" s="160" t="s">
        <v>25</v>
      </c>
      <c r="L6352" s="154" t="str">
        <f>IF(OpenLCAbasic!K6352="CTUh", "Fill in Manually",IF(OR(K6352="Unit", K6352=""), "", INDEX(LookUps!$E$5:$E$12, MATCH(OpenLCAbasic!K6352,LookUps!$D$5:$D$12,0))))</f>
        <v>Smog Formation Potential (SFP) - kg O3 eq</v>
      </c>
      <c r="M6352" s="154" t="str">
        <f t="shared" si="462"/>
        <v>Low_Medium_High_Upgraded_Smog Formation Potential (SFP) - kg O3 eq_Clear Cove Primary Clarification; wastewater treatment unit; at updated plant - US_Without Amendment_Windrow</v>
      </c>
    </row>
    <row r="6353" spans="1:13" s="120" customFormat="1" x14ac:dyDescent="0.25">
      <c r="A6353" s="119"/>
      <c r="B6353" s="138" t="str">
        <f t="shared" si="459"/>
        <v>Windrow</v>
      </c>
      <c r="C6353" s="138" t="str">
        <f t="shared" si="463"/>
        <v>Without Amendment</v>
      </c>
      <c r="D6353" s="138" t="str">
        <f t="shared" si="461"/>
        <v>Medium_High</v>
      </c>
      <c r="E6353" s="138" t="str">
        <f t="shared" si="464"/>
        <v>Low</v>
      </c>
      <c r="F6353" s="138" t="str">
        <f t="shared" si="460"/>
        <v>Upgraded</v>
      </c>
      <c r="G6353" s="153"/>
      <c r="H6353" s="210">
        <v>0.2316</v>
      </c>
      <c r="I6353" s="160" t="s">
        <v>58</v>
      </c>
      <c r="J6353" s="160">
        <v>4.1919999999999999E-2</v>
      </c>
      <c r="K6353" s="160" t="s">
        <v>25</v>
      </c>
      <c r="L6353" s="154" t="str">
        <f>IF(OpenLCAbasic!K6353="CTUh", "Fill in Manually",IF(OR(K6353="Unit", K6353=""), "", INDEX(LookUps!$E$5:$E$12, MATCH(OpenLCAbasic!K6353,LookUps!$D$5:$D$12,0))))</f>
        <v>Smog Formation Potential (SFP) - kg O3 eq</v>
      </c>
      <c r="M6353" s="154" t="str">
        <f t="shared" si="462"/>
        <v>Low_Medium_High_Upgraded_Smog Formation Potential (SFP) - kg O3 eq_Pre-Anoxic &amp; Swing tank; wastewater treatment unit; at updated plant - US_Without Amendment_Windrow</v>
      </c>
    </row>
    <row r="6354" spans="1:13" s="120" customFormat="1" x14ac:dyDescent="0.25">
      <c r="A6354" s="119"/>
      <c r="B6354" s="138" t="str">
        <f t="shared" si="459"/>
        <v>Windrow</v>
      </c>
      <c r="C6354" s="138" t="str">
        <f t="shared" si="463"/>
        <v>Without Amendment</v>
      </c>
      <c r="D6354" s="138" t="str">
        <f t="shared" si="461"/>
        <v>Medium_High</v>
      </c>
      <c r="E6354" s="138" t="str">
        <f t="shared" si="464"/>
        <v>Low</v>
      </c>
      <c r="F6354" s="138" t="str">
        <f t="shared" si="460"/>
        <v>Upgraded</v>
      </c>
      <c r="G6354" s="153"/>
      <c r="H6354" s="210">
        <v>0.183</v>
      </c>
      <c r="I6354" s="160" t="s">
        <v>53</v>
      </c>
      <c r="J6354" s="160">
        <v>3.313E-2</v>
      </c>
      <c r="K6354" s="160" t="s">
        <v>25</v>
      </c>
      <c r="L6354" s="154" t="str">
        <f>IF(OpenLCAbasic!K6354="CTUh", "Fill in Manually",IF(OR(K6354="Unit", K6354=""), "", INDEX(LookUps!$E$5:$E$12, MATCH(OpenLCAbasic!K6354,LookUps!$D$5:$D$12,0))))</f>
        <v>Smog Formation Potential (SFP) - kg O3 eq</v>
      </c>
      <c r="M6354" s="154" t="str">
        <f t="shared" si="462"/>
        <v>Low_Medium_High_Upgraded_Smog Formation Potential (SFP) - kg O3 eq_Wet Well and Sump Station; wastewater treatment unit; at updated plant - US_Without Amendment_Windrow</v>
      </c>
    </row>
    <row r="6355" spans="1:13" s="120" customFormat="1" x14ac:dyDescent="0.25">
      <c r="A6355" s="119"/>
      <c r="B6355" s="138" t="str">
        <f t="shared" si="459"/>
        <v>Windrow</v>
      </c>
      <c r="C6355" s="138" t="str">
        <f t="shared" si="463"/>
        <v>Without Amendment</v>
      </c>
      <c r="D6355" s="138" t="str">
        <f t="shared" si="461"/>
        <v>Medium_High</v>
      </c>
      <c r="E6355" s="138" t="str">
        <f t="shared" si="464"/>
        <v>Low</v>
      </c>
      <c r="F6355" s="138" t="str">
        <f t="shared" si="460"/>
        <v>Upgraded</v>
      </c>
      <c r="G6355" s="153"/>
      <c r="H6355" s="210">
        <v>0.16969999999999999</v>
      </c>
      <c r="I6355" s="160" t="s">
        <v>167</v>
      </c>
      <c r="J6355" s="160">
        <v>3.0710000000000001E-2</v>
      </c>
      <c r="K6355" s="160" t="s">
        <v>25</v>
      </c>
      <c r="L6355" s="154" t="str">
        <f>IF(OpenLCAbasic!K6355="CTUh", "Fill in Manually",IF(OR(K6355="Unit", K6355=""), "", INDEX(LookUps!$E$5:$E$12, MATCH(OpenLCAbasic!K6355,LookUps!$D$5:$D$12,0))))</f>
        <v>Smog Formation Potential (SFP) - kg O3 eq</v>
      </c>
      <c r="M6355" s="154" t="str">
        <f t="shared" si="462"/>
        <v>Low_Medium_High_Upgraded_Smog Formation Potential (SFP) - kg O3 eq_Waste Receiving and Holding; wastewater treatment unit; at updated plant - US_Without Amendment_Windrow</v>
      </c>
    </row>
    <row r="6356" spans="1:13" s="120" customFormat="1" x14ac:dyDescent="0.25">
      <c r="A6356" s="119"/>
      <c r="B6356" s="138" t="str">
        <f t="shared" si="459"/>
        <v>Windrow</v>
      </c>
      <c r="C6356" s="138" t="str">
        <f t="shared" si="463"/>
        <v>Without Amendment</v>
      </c>
      <c r="D6356" s="138" t="str">
        <f t="shared" si="461"/>
        <v>Medium_High</v>
      </c>
      <c r="E6356" s="138" t="str">
        <f t="shared" si="464"/>
        <v>Low</v>
      </c>
      <c r="F6356" s="138" t="str">
        <f t="shared" si="460"/>
        <v>Upgraded</v>
      </c>
      <c r="G6356" s="153"/>
      <c r="H6356" s="210">
        <v>0.1072</v>
      </c>
      <c r="I6356" s="160" t="s">
        <v>147</v>
      </c>
      <c r="J6356" s="160">
        <v>1.9400000000000001E-2</v>
      </c>
      <c r="K6356" s="160" t="s">
        <v>25</v>
      </c>
      <c r="L6356" s="154" t="str">
        <f>IF(OpenLCAbasic!K6356="CTUh", "Fill in Manually",IF(OR(K6356="Unit", K6356=""), "", INDEX(LookUps!$E$5:$E$12, MATCH(OpenLCAbasic!K6356,LookUps!$D$5:$D$12,0))))</f>
        <v>Smog Formation Potential (SFP) - kg O3 eq</v>
      </c>
      <c r="M6356" s="154" t="str">
        <f t="shared" si="462"/>
        <v>Low_Medium_High_Upgraded_Smog Formation Potential (SFP) - kg O3 eq_Influent Pump Station; wastewater treatment unit; at updated plant - US_Without Amendment_Windrow</v>
      </c>
    </row>
    <row r="6357" spans="1:13" s="120" customFormat="1" x14ac:dyDescent="0.25">
      <c r="A6357" s="119"/>
      <c r="B6357" s="138" t="str">
        <f t="shared" si="459"/>
        <v>Windrow</v>
      </c>
      <c r="C6357" s="138" t="str">
        <f t="shared" si="463"/>
        <v>Without Amendment</v>
      </c>
      <c r="D6357" s="138" t="str">
        <f t="shared" si="461"/>
        <v>Medium_High</v>
      </c>
      <c r="E6357" s="138" t="str">
        <f t="shared" si="464"/>
        <v>Low</v>
      </c>
      <c r="F6357" s="138" t="str">
        <f t="shared" si="460"/>
        <v>Upgraded</v>
      </c>
      <c r="G6357" s="153"/>
      <c r="H6357" s="210">
        <v>6.59E-2</v>
      </c>
      <c r="I6357" s="160" t="s">
        <v>128</v>
      </c>
      <c r="J6357" s="160">
        <v>1.192E-2</v>
      </c>
      <c r="K6357" s="160" t="s">
        <v>25</v>
      </c>
      <c r="L6357" s="154" t="str">
        <f>IF(OpenLCAbasic!K6357="CTUh", "Fill in Manually",IF(OR(K6357="Unit", K6357=""), "", INDEX(LookUps!$E$5:$E$12, MATCH(OpenLCAbasic!K6357,LookUps!$D$5:$D$12,0))))</f>
        <v>Smog Formation Potential (SFP) - kg O3 eq</v>
      </c>
      <c r="M6357" s="154" t="str">
        <f t="shared" si="462"/>
        <v>Low_Medium_High_Upgraded_Smog Formation Potential (SFP) - kg O3 eq_Wastewater collection; operation and infrastructure; m3 wastewater_Without Amendment_Windrow</v>
      </c>
    </row>
    <row r="6358" spans="1:13" s="120" customFormat="1" x14ac:dyDescent="0.25">
      <c r="A6358" s="119"/>
      <c r="B6358" s="138" t="str">
        <f t="shared" si="459"/>
        <v>Windrow</v>
      </c>
      <c r="C6358" s="138" t="str">
        <f t="shared" si="463"/>
        <v>Without Amendment</v>
      </c>
      <c r="D6358" s="138" t="str">
        <f t="shared" si="461"/>
        <v>Medium_High</v>
      </c>
      <c r="E6358" s="138" t="str">
        <f t="shared" si="464"/>
        <v>Low</v>
      </c>
      <c r="F6358" s="138" t="str">
        <f t="shared" si="460"/>
        <v>Upgraded</v>
      </c>
      <c r="G6358" s="153"/>
      <c r="H6358" s="210">
        <v>5.3600000000000002E-2</v>
      </c>
      <c r="I6358" s="160" t="s">
        <v>60</v>
      </c>
      <c r="J6358" s="160">
        <v>9.7099999999999999E-3</v>
      </c>
      <c r="K6358" s="160" t="s">
        <v>25</v>
      </c>
      <c r="L6358" s="154" t="str">
        <f>IF(OpenLCAbasic!K6358="CTUh", "Fill in Manually",IF(OR(K6358="Unit", K6358=""), "", INDEX(LookUps!$E$5:$E$12, MATCH(OpenLCAbasic!K6358,LookUps!$D$5:$D$12,0))))</f>
        <v>Smog Formation Potential (SFP) - kg O3 eq</v>
      </c>
      <c r="M6358" s="154" t="str">
        <f t="shared" si="462"/>
        <v>Low_Medium_High_Upgraded_Smog Formation Potential (SFP) - kg O3 eq_Belt filter press; wastewater treatment unit; at updated plant - US_Without Amendment_Windrow</v>
      </c>
    </row>
    <row r="6359" spans="1:13" s="120" customFormat="1" x14ac:dyDescent="0.25">
      <c r="A6359" s="119"/>
      <c r="B6359" s="138" t="str">
        <f t="shared" si="459"/>
        <v>Windrow</v>
      </c>
      <c r="C6359" s="138" t="str">
        <f t="shared" si="463"/>
        <v>Without Amendment</v>
      </c>
      <c r="D6359" s="138" t="str">
        <f t="shared" si="461"/>
        <v>Medium_High</v>
      </c>
      <c r="E6359" s="138" t="str">
        <f t="shared" si="464"/>
        <v>Low</v>
      </c>
      <c r="F6359" s="138" t="str">
        <f t="shared" si="460"/>
        <v>Upgraded</v>
      </c>
      <c r="G6359" s="153"/>
      <c r="H6359" s="210">
        <v>3.6799999999999999E-2</v>
      </c>
      <c r="I6359" s="160" t="s">
        <v>57</v>
      </c>
      <c r="J6359" s="160">
        <v>6.6499999999999997E-3</v>
      </c>
      <c r="K6359" s="160" t="s">
        <v>25</v>
      </c>
      <c r="L6359" s="154" t="str">
        <f>IF(OpenLCAbasic!K6359="CTUh", "Fill in Manually",IF(OR(K6359="Unit", K6359=""), "", INDEX(LookUps!$E$5:$E$12, MATCH(OpenLCAbasic!K6359,LookUps!$D$5:$D$12,0))))</f>
        <v>Smog Formation Potential (SFP) - kg O3 eq</v>
      </c>
      <c r="M6359" s="154" t="str">
        <f t="shared" si="462"/>
        <v>Low_Medium_High_Upgraded_Smog Formation Potential (SFP) - kg O3 eq_Gravity Belt Thickener; wastewater treatment unit; at updated plant - US_Without Amendment_Windrow</v>
      </c>
    </row>
    <row r="6360" spans="1:13" s="120" customFormat="1" x14ac:dyDescent="0.25">
      <c r="A6360" s="119"/>
      <c r="B6360" s="138" t="str">
        <f t="shared" si="459"/>
        <v>Windrow</v>
      </c>
      <c r="C6360" s="138" t="str">
        <f t="shared" si="463"/>
        <v>Without Amendment</v>
      </c>
      <c r="D6360" s="138" t="str">
        <f t="shared" si="461"/>
        <v>Medium_High</v>
      </c>
      <c r="E6360" s="138" t="str">
        <f t="shared" si="464"/>
        <v>Low</v>
      </c>
      <c r="F6360" s="138" t="str">
        <f t="shared" si="460"/>
        <v>Upgraded</v>
      </c>
      <c r="G6360" s="153"/>
      <c r="H6360" s="210">
        <v>2.75E-2</v>
      </c>
      <c r="I6360" s="160" t="s">
        <v>59</v>
      </c>
      <c r="J6360" s="160">
        <v>4.9699999999999996E-3</v>
      </c>
      <c r="K6360" s="160" t="s">
        <v>25</v>
      </c>
      <c r="L6360" s="154" t="str">
        <f>IF(OpenLCAbasic!K6360="CTUh", "Fill in Manually",IF(OR(K6360="Unit", K6360=""), "", INDEX(LookUps!$E$5:$E$12, MATCH(OpenLCAbasic!K6360,LookUps!$D$5:$D$12,0))))</f>
        <v>Smog Formation Potential (SFP) - kg O3 eq</v>
      </c>
      <c r="M6360" s="154" t="str">
        <f t="shared" si="462"/>
        <v>Low_Medium_High_Upgraded_Smog Formation Potential (SFP) - kg O3 eq_Blend Tank; wastewater treatment unit; at updated plant - US_Without Amendment_Windrow</v>
      </c>
    </row>
    <row r="6361" spans="1:13" s="120" customFormat="1" x14ac:dyDescent="0.25">
      <c r="A6361" s="119"/>
      <c r="B6361" s="138" t="str">
        <f t="shared" si="459"/>
        <v>Windrow</v>
      </c>
      <c r="C6361" s="138" t="str">
        <f t="shared" si="463"/>
        <v>Without Amendment</v>
      </c>
      <c r="D6361" s="138" t="str">
        <f t="shared" si="461"/>
        <v>Medium_High</v>
      </c>
      <c r="E6361" s="138" t="str">
        <f t="shared" si="464"/>
        <v>Low</v>
      </c>
      <c r="F6361" s="138" t="str">
        <f t="shared" si="460"/>
        <v>Upgraded</v>
      </c>
      <c r="G6361" s="153"/>
      <c r="H6361" s="210">
        <v>1.8700000000000001E-2</v>
      </c>
      <c r="I6361" s="160" t="s">
        <v>48</v>
      </c>
      <c r="J6361" s="160">
        <v>3.3899999999999998E-3</v>
      </c>
      <c r="K6361" s="160" t="s">
        <v>25</v>
      </c>
      <c r="L6361" s="154" t="str">
        <f>IF(OpenLCAbasic!K6361="CTUh", "Fill in Manually",IF(OR(K6361="Unit", K6361=""), "", INDEX(LookUps!$E$5:$E$12, MATCH(OpenLCAbasic!K6361,LookUps!$D$5:$D$12,0))))</f>
        <v>Smog Formation Potential (SFP) - kg O3 eq</v>
      </c>
      <c r="M6361" s="154" t="str">
        <f t="shared" si="462"/>
        <v>Low_Medium_High_Upgraded_Smog Formation Potential (SFP) - kg O3 eq_Effluent release; wastewater treatment unit; at surface water; m3 wastewater - US_Without Amendment_Windrow</v>
      </c>
    </row>
    <row r="6362" spans="1:13" s="120" customFormat="1" x14ac:dyDescent="0.25">
      <c r="A6362" s="119"/>
      <c r="B6362" s="138" t="str">
        <f t="shared" si="459"/>
        <v>Windrow</v>
      </c>
      <c r="C6362" s="138" t="str">
        <f t="shared" si="463"/>
        <v>Without Amendment</v>
      </c>
      <c r="D6362" s="138" t="str">
        <f t="shared" si="461"/>
        <v>Medium_High</v>
      </c>
      <c r="E6362" s="138" t="str">
        <f t="shared" si="464"/>
        <v>Low</v>
      </c>
      <c r="F6362" s="138" t="str">
        <f t="shared" si="460"/>
        <v>Upgraded</v>
      </c>
      <c r="G6362" s="153"/>
      <c r="H6362" s="210">
        <v>1.3599999999999999E-2</v>
      </c>
      <c r="I6362" s="160" t="s">
        <v>168</v>
      </c>
      <c r="J6362" s="160">
        <v>2.4599999999999999E-3</v>
      </c>
      <c r="K6362" s="160" t="s">
        <v>25</v>
      </c>
      <c r="L6362" s="154" t="str">
        <f>IF(OpenLCAbasic!K6362="CTUh", "Fill in Manually",IF(OR(K6362="Unit", K6362=""), "", INDEX(LookUps!$E$5:$E$12, MATCH(OpenLCAbasic!K6362,LookUps!$D$5:$D$12,0))))</f>
        <v>Smog Formation Potential (SFP) - kg O3 eq</v>
      </c>
      <c r="M6362" s="154" t="str">
        <f t="shared" si="462"/>
        <v>Low_Medium_High_Upgraded_Smog Formation Potential (SFP) - kg O3 eq_ClearCove SCP; wastewater treatment unit; at updated plant - US_Without Amendment_Windrow</v>
      </c>
    </row>
    <row r="6363" spans="1:13" s="120" customFormat="1" x14ac:dyDescent="0.25">
      <c r="A6363" s="119"/>
      <c r="B6363" s="138" t="str">
        <f t="shared" si="459"/>
        <v>Windrow</v>
      </c>
      <c r="C6363" s="138" t="str">
        <f t="shared" si="463"/>
        <v>Without Amendment</v>
      </c>
      <c r="D6363" s="138" t="str">
        <f t="shared" si="461"/>
        <v>Medium_High</v>
      </c>
      <c r="E6363" s="138" t="str">
        <f t="shared" si="464"/>
        <v>Low</v>
      </c>
      <c r="F6363" s="138" t="str">
        <f t="shared" si="460"/>
        <v>Upgraded</v>
      </c>
      <c r="G6363" s="153"/>
      <c r="H6363" s="210">
        <v>3.0000000000000001E-3</v>
      </c>
      <c r="I6363" s="160" t="s">
        <v>148</v>
      </c>
      <c r="J6363" s="160">
        <v>5.4000000000000001E-4</v>
      </c>
      <c r="K6363" s="160" t="s">
        <v>25</v>
      </c>
      <c r="L6363" s="154" t="str">
        <f>IF(OpenLCAbasic!K6363="CTUh", "Fill in Manually",IF(OR(K6363="Unit", K6363=""), "", INDEX(LookUps!$E$5:$E$12, MATCH(OpenLCAbasic!K6363,LookUps!$D$5:$D$12,0))))</f>
        <v>Smog Formation Potential (SFP) - kg O3 eq</v>
      </c>
      <c r="M6363" s="154" t="str">
        <f t="shared" si="462"/>
        <v>Low_Medium_High_Upgraded_Smog Formation Potential (SFP) - kg O3 eq_Control Building; at upgraded wastewater treatment plant - US_Without Amendment_Windrow</v>
      </c>
    </row>
    <row r="6364" spans="1:13" s="120" customFormat="1" x14ac:dyDescent="0.25">
      <c r="A6364" s="119"/>
      <c r="B6364" s="138" t="str">
        <f t="shared" si="459"/>
        <v>Windrow</v>
      </c>
      <c r="C6364" s="138" t="str">
        <f t="shared" si="463"/>
        <v>Without Amendment</v>
      </c>
      <c r="D6364" s="138" t="str">
        <f t="shared" si="461"/>
        <v>Medium_High</v>
      </c>
      <c r="E6364" s="138" t="str">
        <f t="shared" si="464"/>
        <v>Low</v>
      </c>
      <c r="F6364" s="138" t="str">
        <f t="shared" si="460"/>
        <v>Upgraded</v>
      </c>
      <c r="G6364" s="153"/>
      <c r="H6364" s="210">
        <v>2.7000000000000001E-3</v>
      </c>
      <c r="I6364" s="160" t="s">
        <v>271</v>
      </c>
      <c r="J6364" s="160">
        <v>4.8999999999999998E-4</v>
      </c>
      <c r="K6364" s="160" t="s">
        <v>25</v>
      </c>
      <c r="L6364" s="154" t="str">
        <f>IF(OpenLCAbasic!K6364="CTUh", "Fill in Manually",IF(OR(K6364="Unit", K6364=""), "", INDEX(LookUps!$E$5:$E$12, MATCH(OpenLCAbasic!K6364,LookUps!$D$5:$D$12,0))))</f>
        <v>Smog Formation Potential (SFP) - kg O3 eq</v>
      </c>
      <c r="M6364" s="154" t="str">
        <f t="shared" si="462"/>
        <v>Low_Medium_High_Upgraded_Smog Formation Potential (SFP) - kg O3 eq_Biosolids composting; windrow composting; wastewater treatment unit; at updated plant - US_Without Amendment_Windrow</v>
      </c>
    </row>
    <row r="6365" spans="1:13" s="120" customFormat="1" x14ac:dyDescent="0.25">
      <c r="A6365" s="119"/>
      <c r="B6365" s="138" t="str">
        <f t="shared" si="459"/>
        <v>Windrow</v>
      </c>
      <c r="C6365" s="138" t="str">
        <f t="shared" si="463"/>
        <v>Without Amendment</v>
      </c>
      <c r="D6365" s="138" t="str">
        <f t="shared" si="461"/>
        <v>Medium_High</v>
      </c>
      <c r="E6365" s="138" t="str">
        <f t="shared" si="464"/>
        <v>Low</v>
      </c>
      <c r="F6365" s="138" t="str">
        <f t="shared" si="460"/>
        <v>Upgraded</v>
      </c>
      <c r="G6365" s="153"/>
      <c r="H6365" s="210">
        <v>-1.32E-2</v>
      </c>
      <c r="I6365" s="160" t="s">
        <v>62</v>
      </c>
      <c r="J6365" s="160">
        <v>-2.3800000000000002E-3</v>
      </c>
      <c r="K6365" s="160" t="s">
        <v>25</v>
      </c>
      <c r="L6365" s="154" t="str">
        <f>IF(OpenLCAbasic!K6365="CTUh", "Fill in Manually",IF(OR(K6365="Unit", K6365=""), "", INDEX(LookUps!$E$5:$E$12, MATCH(OpenLCAbasic!K6365,LookUps!$D$5:$D$12,0))))</f>
        <v>Smog Formation Potential (SFP) - kg O3 eq</v>
      </c>
      <c r="M6365" s="154" t="str">
        <f t="shared" si="462"/>
        <v>Low_Medium_High_Upgraded_Smog Formation Potential (SFP) - kg O3 eq_Land application of compost; wastewater treatment unit; at updated plant - US_Without Amendment_Windrow</v>
      </c>
    </row>
    <row r="6366" spans="1:13" s="120" customFormat="1" x14ac:dyDescent="0.25">
      <c r="A6366" s="119"/>
      <c r="B6366" s="138" t="str">
        <f t="shared" si="459"/>
        <v>Windrow</v>
      </c>
      <c r="C6366" s="138" t="str">
        <f t="shared" si="463"/>
        <v>Without Amendment</v>
      </c>
      <c r="D6366" s="138" t="str">
        <f t="shared" si="461"/>
        <v>Medium_High</v>
      </c>
      <c r="E6366" s="138" t="str">
        <f t="shared" si="464"/>
        <v>Low</v>
      </c>
      <c r="F6366" s="138" t="str">
        <f t="shared" si="460"/>
        <v>Upgraded</v>
      </c>
      <c r="G6366" s="153"/>
      <c r="H6366" s="210">
        <v>-3.0817000000000001</v>
      </c>
      <c r="I6366" s="160" t="s">
        <v>149</v>
      </c>
      <c r="J6366" s="160">
        <v>-0.55771000000000004</v>
      </c>
      <c r="K6366" s="160" t="s">
        <v>25</v>
      </c>
      <c r="L6366" s="154" t="str">
        <f>IF(OpenLCAbasic!K6366="CTUh", "Fill in Manually",IF(OR(K6366="Unit", K6366=""), "", INDEX(LookUps!$E$5:$E$12, MATCH(OpenLCAbasic!K6366,LookUps!$D$5:$D$12,0))))</f>
        <v>Smog Formation Potential (SFP) - kg O3 eq</v>
      </c>
      <c r="M6366" s="154" t="str">
        <f t="shared" si="462"/>
        <v>Low_Medium_High_Upgraded_Smog Formation Potential (SFP) - kg O3 eq_Anaerobic Digestion; wastewater treatment unit; at updated plant - US_Without Amendment_Windrow</v>
      </c>
    </row>
    <row r="6367" spans="1:13" s="120" customFormat="1" x14ac:dyDescent="0.25">
      <c r="A6367" s="119"/>
      <c r="B6367" s="138" t="str">
        <f t="shared" si="459"/>
        <v/>
      </c>
      <c r="C6367" s="138" t="str">
        <f t="shared" si="463"/>
        <v/>
      </c>
      <c r="D6367" s="138" t="str">
        <f t="shared" si="461"/>
        <v/>
      </c>
      <c r="E6367" s="138" t="str">
        <f t="shared" si="464"/>
        <v/>
      </c>
      <c r="F6367" s="138" t="str">
        <f t="shared" si="460"/>
        <v/>
      </c>
      <c r="G6367" s="153" t="s">
        <v>51</v>
      </c>
      <c r="H6367" s="160"/>
      <c r="I6367" s="160" t="s">
        <v>47</v>
      </c>
      <c r="J6367" s="160" t="s">
        <v>52</v>
      </c>
      <c r="K6367" s="160" t="s">
        <v>27</v>
      </c>
      <c r="L6367" s="154" t="str">
        <f>IF(OpenLCAbasic!K6367="CTUh", "Fill in Manually",IF(OR(K6367="Unit", K6367=""), "", INDEX(LookUps!$E$5:$E$12, MATCH(OpenLCAbasic!K6367,LookUps!$D$5:$D$12,0))))</f>
        <v/>
      </c>
      <c r="M6367" s="154" t="str">
        <f t="shared" si="462"/>
        <v>____Process__</v>
      </c>
    </row>
    <row r="6368" spans="1:13" s="120" customFormat="1" x14ac:dyDescent="0.25">
      <c r="A6368" s="119"/>
      <c r="B6368" s="138" t="str">
        <f t="shared" si="459"/>
        <v>Windrow</v>
      </c>
      <c r="C6368" s="138" t="str">
        <f t="shared" si="463"/>
        <v>Without Amendment</v>
      </c>
      <c r="D6368" s="138" t="str">
        <f t="shared" si="461"/>
        <v>Medium_High</v>
      </c>
      <c r="E6368" s="138" t="str">
        <f t="shared" si="464"/>
        <v>Low</v>
      </c>
      <c r="F6368" s="138" t="str">
        <f t="shared" si="460"/>
        <v>Upgraded</v>
      </c>
      <c r="G6368" s="153"/>
      <c r="H6368" s="210">
        <v>3.8336999999999999</v>
      </c>
      <c r="I6368" s="160" t="s">
        <v>167</v>
      </c>
      <c r="J6368" s="160">
        <v>2.7999999999999998E-4</v>
      </c>
      <c r="K6368" s="160" t="s">
        <v>26</v>
      </c>
      <c r="L6368" s="154" t="str">
        <f>IF(OpenLCAbasic!K6368="CTUh", "Fill in Manually",IF(OR(K6368="Unit", K6368=""), "", INDEX(LookUps!$E$5:$E$12, MATCH(OpenLCAbasic!K6368,LookUps!$D$5:$D$12,0))))</f>
        <v>Water Use (WU) - m3 H2O</v>
      </c>
      <c r="M6368" s="154" t="str">
        <f t="shared" si="462"/>
        <v>Low_Medium_High_Upgraded_Water Use (WU) - m3 H2O_Waste Receiving and Holding; wastewater treatment unit; at updated plant - US_Without Amendment_Windrow</v>
      </c>
    </row>
    <row r="6369" spans="1:13" s="120" customFormat="1" x14ac:dyDescent="0.25">
      <c r="A6369" s="119"/>
      <c r="B6369" s="138" t="str">
        <f t="shared" si="459"/>
        <v>Windrow</v>
      </c>
      <c r="C6369" s="138" t="str">
        <f t="shared" si="463"/>
        <v>Without Amendment</v>
      </c>
      <c r="D6369" s="138" t="str">
        <f t="shared" si="461"/>
        <v>Medium_High</v>
      </c>
      <c r="E6369" s="138" t="str">
        <f t="shared" si="464"/>
        <v>Low</v>
      </c>
      <c r="F6369" s="138" t="str">
        <f t="shared" si="460"/>
        <v>Upgraded</v>
      </c>
      <c r="G6369" s="153"/>
      <c r="H6369" s="210">
        <v>2.5024999999999999</v>
      </c>
      <c r="I6369" s="160" t="s">
        <v>147</v>
      </c>
      <c r="J6369" s="160">
        <v>1.8000000000000001E-4</v>
      </c>
      <c r="K6369" s="160" t="s">
        <v>26</v>
      </c>
      <c r="L6369" s="154" t="str">
        <f>IF(OpenLCAbasic!K6369="CTUh", "Fill in Manually",IF(OR(K6369="Unit", K6369=""), "", INDEX(LookUps!$E$5:$E$12, MATCH(OpenLCAbasic!K6369,LookUps!$D$5:$D$12,0))))</f>
        <v>Water Use (WU) - m3 H2O</v>
      </c>
      <c r="M6369" s="154" t="str">
        <f t="shared" si="462"/>
        <v>Low_Medium_High_Upgraded_Water Use (WU) - m3 H2O_Influent Pump Station; wastewater treatment unit; at updated plant - US_Without Amendment_Windrow</v>
      </c>
    </row>
    <row r="6370" spans="1:13" s="120" customFormat="1" x14ac:dyDescent="0.25">
      <c r="A6370" s="119"/>
      <c r="B6370" s="138" t="str">
        <f t="shared" si="459"/>
        <v>Windrow</v>
      </c>
      <c r="C6370" s="138" t="str">
        <f t="shared" si="463"/>
        <v>Without Amendment</v>
      </c>
      <c r="D6370" s="138" t="str">
        <f t="shared" si="461"/>
        <v>Medium_High</v>
      </c>
      <c r="E6370" s="138" t="str">
        <f t="shared" si="464"/>
        <v>Low</v>
      </c>
      <c r="F6370" s="138" t="str">
        <f t="shared" si="460"/>
        <v>Upgraded</v>
      </c>
      <c r="G6370" s="153"/>
      <c r="H6370" s="210">
        <v>2.4417</v>
      </c>
      <c r="I6370" s="160" t="s">
        <v>54</v>
      </c>
      <c r="J6370" s="160">
        <v>1.8000000000000001E-4</v>
      </c>
      <c r="K6370" s="160" t="s">
        <v>26</v>
      </c>
      <c r="L6370" s="154" t="str">
        <f>IF(OpenLCAbasic!K6370="CTUh", "Fill in Manually",IF(OR(K6370="Unit", K6370=""), "", INDEX(LookUps!$E$5:$E$12, MATCH(OpenLCAbasic!K6370,LookUps!$D$5:$D$12,0))))</f>
        <v>Water Use (WU) - m3 H2O</v>
      </c>
      <c r="M6370" s="154" t="str">
        <f t="shared" si="462"/>
        <v>Low_Medium_High_Upgraded_Water Use (WU) - m3 H2O_Clear Cove Primary Clarification; wastewater treatment unit; at updated plant - US_Without Amendment_Windrow</v>
      </c>
    </row>
    <row r="6371" spans="1:13" s="120" customFormat="1" x14ac:dyDescent="0.25">
      <c r="A6371" s="119"/>
      <c r="B6371" s="138" t="str">
        <f t="shared" si="459"/>
        <v>Windrow</v>
      </c>
      <c r="C6371" s="138" t="str">
        <f t="shared" si="463"/>
        <v>Without Amendment</v>
      </c>
      <c r="D6371" s="138" t="str">
        <f t="shared" si="461"/>
        <v>Medium_High</v>
      </c>
      <c r="E6371" s="138" t="str">
        <f t="shared" si="464"/>
        <v>Low</v>
      </c>
      <c r="F6371" s="138" t="str">
        <f t="shared" si="460"/>
        <v>Upgraded</v>
      </c>
      <c r="G6371" s="153"/>
      <c r="H6371" s="210">
        <v>2.2151000000000001</v>
      </c>
      <c r="I6371" s="160" t="s">
        <v>55</v>
      </c>
      <c r="J6371" s="160">
        <v>1.6000000000000001E-4</v>
      </c>
      <c r="K6371" s="160" t="s">
        <v>26</v>
      </c>
      <c r="L6371" s="154" t="str">
        <f>IF(OpenLCAbasic!K6371="CTUh", "Fill in Manually",IF(OR(K6371="Unit", K6371=""), "", INDEX(LookUps!$E$5:$E$12, MATCH(OpenLCAbasic!K6371,LookUps!$D$5:$D$12,0))))</f>
        <v>Water Use (WU) - m3 H2O</v>
      </c>
      <c r="M6371" s="154" t="str">
        <f t="shared" si="462"/>
        <v>Low_Medium_High_Upgraded_Water Use (WU) - m3 H2O_Aeration Tanks; wastewater treatment unit; at updated plant - US_Without Amendment_Windrow</v>
      </c>
    </row>
    <row r="6372" spans="1:13" s="120" customFormat="1" x14ac:dyDescent="0.25">
      <c r="A6372" s="119"/>
      <c r="B6372" s="138" t="str">
        <f t="shared" si="459"/>
        <v>Windrow</v>
      </c>
      <c r="C6372" s="138" t="str">
        <f t="shared" si="463"/>
        <v>Without Amendment</v>
      </c>
      <c r="D6372" s="138" t="str">
        <f t="shared" si="461"/>
        <v>Medium_High</v>
      </c>
      <c r="E6372" s="138" t="str">
        <f t="shared" si="464"/>
        <v>Low</v>
      </c>
      <c r="F6372" s="138" t="str">
        <f t="shared" si="460"/>
        <v>Upgraded</v>
      </c>
      <c r="G6372" s="153"/>
      <c r="H6372" s="210">
        <v>2.0177999999999998</v>
      </c>
      <c r="I6372" s="160" t="s">
        <v>148</v>
      </c>
      <c r="J6372" s="160">
        <v>1.4999999999999999E-4</v>
      </c>
      <c r="K6372" s="160" t="s">
        <v>26</v>
      </c>
      <c r="L6372" s="154" t="str">
        <f>IF(OpenLCAbasic!K6372="CTUh", "Fill in Manually",IF(OR(K6372="Unit", K6372=""), "", INDEX(LookUps!$E$5:$E$12, MATCH(OpenLCAbasic!K6372,LookUps!$D$5:$D$12,0))))</f>
        <v>Water Use (WU) - m3 H2O</v>
      </c>
      <c r="M6372" s="154" t="str">
        <f t="shared" si="462"/>
        <v>Low_Medium_High_Upgraded_Water Use (WU) - m3 H2O_Control Building; at upgraded wastewater treatment plant - US_Without Amendment_Windrow</v>
      </c>
    </row>
    <row r="6373" spans="1:13" s="120" customFormat="1" x14ac:dyDescent="0.25">
      <c r="A6373" s="119"/>
      <c r="B6373" s="138" t="str">
        <f t="shared" si="459"/>
        <v>Windrow</v>
      </c>
      <c r="C6373" s="138" t="str">
        <f t="shared" si="463"/>
        <v>Without Amendment</v>
      </c>
      <c r="D6373" s="138" t="str">
        <f t="shared" si="461"/>
        <v>Medium_High</v>
      </c>
      <c r="E6373" s="138" t="str">
        <f t="shared" si="464"/>
        <v>Low</v>
      </c>
      <c r="F6373" s="138" t="str">
        <f t="shared" si="460"/>
        <v>Upgraded</v>
      </c>
      <c r="G6373" s="153"/>
      <c r="H6373" s="210">
        <v>0.93700000000000006</v>
      </c>
      <c r="I6373" s="160" t="s">
        <v>48</v>
      </c>
      <c r="J6373" s="211">
        <v>6.8836400000000004E-5</v>
      </c>
      <c r="K6373" s="160" t="s">
        <v>26</v>
      </c>
      <c r="L6373" s="154" t="str">
        <f>IF(OpenLCAbasic!K6373="CTUh", "Fill in Manually",IF(OR(K6373="Unit", K6373=""), "", INDEX(LookUps!$E$5:$E$12, MATCH(OpenLCAbasic!K6373,LookUps!$D$5:$D$12,0))))</f>
        <v>Water Use (WU) - m3 H2O</v>
      </c>
      <c r="M6373" s="154" t="str">
        <f t="shared" si="462"/>
        <v>Low_Medium_High_Upgraded_Water Use (WU) - m3 H2O_Effluent release; wastewater treatment unit; at surface water; m3 wastewater - US_Without Amendment_Windrow</v>
      </c>
    </row>
    <row r="6374" spans="1:13" s="120" customFormat="1" x14ac:dyDescent="0.25">
      <c r="A6374" s="119"/>
      <c r="B6374" s="138" t="str">
        <f t="shared" si="459"/>
        <v>Windrow</v>
      </c>
      <c r="C6374" s="138" t="str">
        <f t="shared" si="463"/>
        <v>Without Amendment</v>
      </c>
      <c r="D6374" s="138" t="str">
        <f t="shared" si="461"/>
        <v>Medium_High</v>
      </c>
      <c r="E6374" s="138" t="str">
        <f t="shared" si="464"/>
        <v>Low</v>
      </c>
      <c r="F6374" s="138" t="str">
        <f t="shared" si="460"/>
        <v>Upgraded</v>
      </c>
      <c r="G6374" s="153"/>
      <c r="H6374" s="210">
        <v>0.58850000000000002</v>
      </c>
      <c r="I6374" s="160" t="s">
        <v>58</v>
      </c>
      <c r="J6374" s="211">
        <v>4.3235300000000003E-5</v>
      </c>
      <c r="K6374" s="160" t="s">
        <v>26</v>
      </c>
      <c r="L6374" s="154" t="str">
        <f>IF(OpenLCAbasic!K6374="CTUh", "Fill in Manually",IF(OR(K6374="Unit", K6374=""), "", INDEX(LookUps!$E$5:$E$12, MATCH(OpenLCAbasic!K6374,LookUps!$D$5:$D$12,0))))</f>
        <v>Water Use (WU) - m3 H2O</v>
      </c>
      <c r="M6374" s="154" t="str">
        <f t="shared" si="462"/>
        <v>Low_Medium_High_Upgraded_Water Use (WU) - m3 H2O_Pre-Anoxic &amp; Swing tank; wastewater treatment unit; at updated plant - US_Without Amendment_Windrow</v>
      </c>
    </row>
    <row r="6375" spans="1:13" s="120" customFormat="1" x14ac:dyDescent="0.25">
      <c r="A6375" s="119"/>
      <c r="B6375" s="138" t="str">
        <f t="shared" si="459"/>
        <v>Windrow</v>
      </c>
      <c r="C6375" s="138" t="str">
        <f t="shared" si="463"/>
        <v>Without Amendment</v>
      </c>
      <c r="D6375" s="138" t="str">
        <f t="shared" si="461"/>
        <v>Medium_High</v>
      </c>
      <c r="E6375" s="138" t="str">
        <f t="shared" si="464"/>
        <v>Low</v>
      </c>
      <c r="F6375" s="138" t="str">
        <f t="shared" si="460"/>
        <v>Upgraded</v>
      </c>
      <c r="G6375" s="153"/>
      <c r="H6375" s="210">
        <v>0.41389999999999999</v>
      </c>
      <c r="I6375" s="160" t="s">
        <v>57</v>
      </c>
      <c r="J6375" s="211">
        <v>3.0408100000000001E-5</v>
      </c>
      <c r="K6375" s="160" t="s">
        <v>26</v>
      </c>
      <c r="L6375" s="154" t="str">
        <f>IF(OpenLCAbasic!K6375="CTUh", "Fill in Manually",IF(OR(K6375="Unit", K6375=""), "", INDEX(LookUps!$E$5:$E$12, MATCH(OpenLCAbasic!K6375,LookUps!$D$5:$D$12,0))))</f>
        <v>Water Use (WU) - m3 H2O</v>
      </c>
      <c r="M6375" s="154" t="str">
        <f t="shared" si="462"/>
        <v>Low_Medium_High_Upgraded_Water Use (WU) - m3 H2O_Gravity Belt Thickener; wastewater treatment unit; at updated plant - US_Without Amendment_Windrow</v>
      </c>
    </row>
    <row r="6376" spans="1:13" s="120" customFormat="1" x14ac:dyDescent="0.25">
      <c r="A6376" s="119"/>
      <c r="B6376" s="138" t="str">
        <f t="shared" ref="B6376:B6439" si="465">IF(F6376="Legacy","n.a.",IF(F6376="","","Windrow"))</f>
        <v>Windrow</v>
      </c>
      <c r="C6376" s="138" t="str">
        <f t="shared" si="463"/>
        <v>Without Amendment</v>
      </c>
      <c r="D6376" s="138" t="str">
        <f t="shared" si="461"/>
        <v>Medium_High</v>
      </c>
      <c r="E6376" s="138" t="str">
        <f t="shared" si="464"/>
        <v>Low</v>
      </c>
      <c r="F6376" s="138" t="str">
        <f t="shared" ref="F6376:F6439" si="466">IF(ISNUMBER(J6376),"Upgraded","")</f>
        <v>Upgraded</v>
      </c>
      <c r="G6376" s="153"/>
      <c r="H6376" s="210">
        <v>0.39460000000000001</v>
      </c>
      <c r="I6376" s="160" t="s">
        <v>60</v>
      </c>
      <c r="J6376" s="211">
        <v>2.8986600000000001E-5</v>
      </c>
      <c r="K6376" s="160" t="s">
        <v>26</v>
      </c>
      <c r="L6376" s="154" t="str">
        <f>IF(OpenLCAbasic!K6376="CTUh", "Fill in Manually",IF(OR(K6376="Unit", K6376=""), "", INDEX(LookUps!$E$5:$E$12, MATCH(OpenLCAbasic!K6376,LookUps!$D$5:$D$12,0))))</f>
        <v>Water Use (WU) - m3 H2O</v>
      </c>
      <c r="M6376" s="154" t="str">
        <f t="shared" si="462"/>
        <v>Low_Medium_High_Upgraded_Water Use (WU) - m3 H2O_Belt filter press; wastewater treatment unit; at updated plant - US_Without Amendment_Windrow</v>
      </c>
    </row>
    <row r="6377" spans="1:13" s="120" customFormat="1" x14ac:dyDescent="0.25">
      <c r="A6377" s="119"/>
      <c r="B6377" s="138" t="str">
        <f t="shared" si="465"/>
        <v>Windrow</v>
      </c>
      <c r="C6377" s="138" t="str">
        <f t="shared" si="463"/>
        <v>Without Amendment</v>
      </c>
      <c r="D6377" s="138" t="str">
        <f t="shared" ref="D6377:D6383" si="467">IF(ISNUMBER($J6377),"Medium_High","")</f>
        <v>Medium_High</v>
      </c>
      <c r="E6377" s="138" t="str">
        <f t="shared" si="464"/>
        <v>Low</v>
      </c>
      <c r="F6377" s="138" t="str">
        <f t="shared" si="466"/>
        <v>Upgraded</v>
      </c>
      <c r="G6377" s="153"/>
      <c r="H6377" s="210">
        <v>0.23830000000000001</v>
      </c>
      <c r="I6377" s="160" t="s">
        <v>53</v>
      </c>
      <c r="J6377" s="211">
        <v>1.75069E-5</v>
      </c>
      <c r="K6377" s="160" t="s">
        <v>26</v>
      </c>
      <c r="L6377" s="154" t="str">
        <f>IF(OpenLCAbasic!K6377="CTUh", "Fill in Manually",IF(OR(K6377="Unit", K6377=""), "", INDEX(LookUps!$E$5:$E$12, MATCH(OpenLCAbasic!K6377,LookUps!$D$5:$D$12,0))))</f>
        <v>Water Use (WU) - m3 H2O</v>
      </c>
      <c r="M6377" s="154" t="str">
        <f t="shared" si="462"/>
        <v>Low_Medium_High_Upgraded_Water Use (WU) - m3 H2O_Wet Well and Sump Station; wastewater treatment unit; at updated plant - US_Without Amendment_Windrow</v>
      </c>
    </row>
    <row r="6378" spans="1:13" s="120" customFormat="1" x14ac:dyDescent="0.25">
      <c r="A6378" s="119"/>
      <c r="B6378" s="138" t="str">
        <f t="shared" si="465"/>
        <v>Windrow</v>
      </c>
      <c r="C6378" s="138" t="str">
        <f t="shared" si="463"/>
        <v>Without Amendment</v>
      </c>
      <c r="D6378" s="138" t="str">
        <f t="shared" si="467"/>
        <v>Medium_High</v>
      </c>
      <c r="E6378" s="138" t="str">
        <f t="shared" si="464"/>
        <v>Low</v>
      </c>
      <c r="F6378" s="138" t="str">
        <f t="shared" si="466"/>
        <v>Upgraded</v>
      </c>
      <c r="G6378" s="153"/>
      <c r="H6378" s="210">
        <v>9.5500000000000002E-2</v>
      </c>
      <c r="I6378" s="160" t="s">
        <v>59</v>
      </c>
      <c r="J6378" s="211">
        <v>7.0179500000000003E-6</v>
      </c>
      <c r="K6378" s="160" t="s">
        <v>26</v>
      </c>
      <c r="L6378" s="154" t="str">
        <f>IF(OpenLCAbasic!K6378="CTUh", "Fill in Manually",IF(OR(K6378="Unit", K6378=""), "", INDEX(LookUps!$E$5:$E$12, MATCH(OpenLCAbasic!K6378,LookUps!$D$5:$D$12,0))))</f>
        <v>Water Use (WU) - m3 H2O</v>
      </c>
      <c r="M6378" s="154" t="str">
        <f t="shared" si="462"/>
        <v>Low_Medium_High_Upgraded_Water Use (WU) - m3 H2O_Blend Tank; wastewater treatment unit; at updated plant - US_Without Amendment_Windrow</v>
      </c>
    </row>
    <row r="6379" spans="1:13" s="120" customFormat="1" x14ac:dyDescent="0.25">
      <c r="A6379" s="119"/>
      <c r="B6379" s="138" t="str">
        <f t="shared" si="465"/>
        <v>Windrow</v>
      </c>
      <c r="C6379" s="138" t="str">
        <f t="shared" si="463"/>
        <v>Without Amendment</v>
      </c>
      <c r="D6379" s="138" t="str">
        <f t="shared" si="467"/>
        <v>Medium_High</v>
      </c>
      <c r="E6379" s="138" t="str">
        <f t="shared" si="464"/>
        <v>Low</v>
      </c>
      <c r="F6379" s="138" t="str">
        <f t="shared" si="466"/>
        <v>Upgraded</v>
      </c>
      <c r="G6379" s="153"/>
      <c r="H6379" s="210">
        <v>6.8900000000000003E-2</v>
      </c>
      <c r="I6379" s="160" t="s">
        <v>128</v>
      </c>
      <c r="J6379" s="211">
        <v>5.0608900000000003E-6</v>
      </c>
      <c r="K6379" s="160" t="s">
        <v>26</v>
      </c>
      <c r="L6379" s="154" t="str">
        <f>IF(OpenLCAbasic!K6379="CTUh", "Fill in Manually",IF(OR(K6379="Unit", K6379=""), "", INDEX(LookUps!$E$5:$E$12, MATCH(OpenLCAbasic!K6379,LookUps!$D$5:$D$12,0))))</f>
        <v>Water Use (WU) - m3 H2O</v>
      </c>
      <c r="M6379" s="154" t="str">
        <f t="shared" si="462"/>
        <v>Low_Medium_High_Upgraded_Water Use (WU) - m3 H2O_Wastewater collection; operation and infrastructure; m3 wastewater_Without Amendment_Windrow</v>
      </c>
    </row>
    <row r="6380" spans="1:13" s="120" customFormat="1" x14ac:dyDescent="0.25">
      <c r="A6380" s="119"/>
      <c r="B6380" s="138" t="str">
        <f t="shared" si="465"/>
        <v>Windrow</v>
      </c>
      <c r="C6380" s="138" t="str">
        <f t="shared" si="463"/>
        <v>Without Amendment</v>
      </c>
      <c r="D6380" s="138" t="str">
        <f t="shared" si="467"/>
        <v>Medium_High</v>
      </c>
      <c r="E6380" s="138" t="str">
        <f t="shared" si="464"/>
        <v>Low</v>
      </c>
      <c r="F6380" s="138" t="str">
        <f t="shared" si="466"/>
        <v>Upgraded</v>
      </c>
      <c r="G6380" s="153"/>
      <c r="H6380" s="210">
        <v>1.8800000000000001E-2</v>
      </c>
      <c r="I6380" s="160" t="s">
        <v>271</v>
      </c>
      <c r="J6380" s="211">
        <v>1.3832200000000001E-6</v>
      </c>
      <c r="K6380" s="160" t="s">
        <v>26</v>
      </c>
      <c r="L6380" s="154" t="str">
        <f>IF(OpenLCAbasic!K6380="CTUh", "Fill in Manually",IF(OR(K6380="Unit", K6380=""), "", INDEX(LookUps!$E$5:$E$12, MATCH(OpenLCAbasic!K6380,LookUps!$D$5:$D$12,0))))</f>
        <v>Water Use (WU) - m3 H2O</v>
      </c>
      <c r="M6380" s="154" t="str">
        <f t="shared" si="462"/>
        <v>Low_Medium_High_Upgraded_Water Use (WU) - m3 H2O_Biosolids composting; windrow composting; wastewater treatment unit; at updated plant - US_Without Amendment_Windrow</v>
      </c>
    </row>
    <row r="6381" spans="1:13" s="120" customFormat="1" x14ac:dyDescent="0.25">
      <c r="A6381" s="119"/>
      <c r="B6381" s="138" t="str">
        <f t="shared" si="465"/>
        <v>Windrow</v>
      </c>
      <c r="C6381" s="138" t="str">
        <f t="shared" si="463"/>
        <v>Without Amendment</v>
      </c>
      <c r="D6381" s="138" t="str">
        <f t="shared" si="467"/>
        <v>Medium_High</v>
      </c>
      <c r="E6381" s="138" t="str">
        <f t="shared" si="464"/>
        <v>Low</v>
      </c>
      <c r="F6381" s="138" t="str">
        <f t="shared" si="466"/>
        <v>Upgraded</v>
      </c>
      <c r="G6381" s="153"/>
      <c r="H6381" s="210">
        <v>1.04E-2</v>
      </c>
      <c r="I6381" s="160" t="s">
        <v>168</v>
      </c>
      <c r="J6381" s="211">
        <v>7.6697000000000004E-7</v>
      </c>
      <c r="K6381" s="160" t="s">
        <v>26</v>
      </c>
      <c r="L6381" s="154" t="str">
        <f>IF(OpenLCAbasic!K6381="CTUh", "Fill in Manually",IF(OR(K6381="Unit", K6381=""), "", INDEX(LookUps!$E$5:$E$12, MATCH(OpenLCAbasic!K6381,LookUps!$D$5:$D$12,0))))</f>
        <v>Water Use (WU) - m3 H2O</v>
      </c>
      <c r="M6381" s="154" t="str">
        <f t="shared" si="462"/>
        <v>Low_Medium_High_Upgraded_Water Use (WU) - m3 H2O_ClearCove SCP; wastewater treatment unit; at updated plant - US_Without Amendment_Windrow</v>
      </c>
    </row>
    <row r="6382" spans="1:13" s="120" customFormat="1" x14ac:dyDescent="0.25">
      <c r="A6382" s="119"/>
      <c r="B6382" s="138" t="str">
        <f t="shared" si="465"/>
        <v>Windrow</v>
      </c>
      <c r="C6382" s="138" t="str">
        <f t="shared" si="463"/>
        <v>Without Amendment</v>
      </c>
      <c r="D6382" s="138" t="str">
        <f t="shared" si="467"/>
        <v>Medium_High</v>
      </c>
      <c r="E6382" s="138" t="str">
        <f t="shared" si="464"/>
        <v>Low</v>
      </c>
      <c r="F6382" s="138" t="str">
        <f t="shared" si="466"/>
        <v>Upgraded</v>
      </c>
      <c r="G6382" s="153"/>
      <c r="H6382" s="210">
        <v>-2.0636000000000001</v>
      </c>
      <c r="I6382" s="160" t="s">
        <v>149</v>
      </c>
      <c r="J6382" s="160">
        <v>-1.4999999999999999E-4</v>
      </c>
      <c r="K6382" s="160" t="s">
        <v>26</v>
      </c>
      <c r="L6382" s="154" t="str">
        <f>IF(OpenLCAbasic!K6382="CTUh", "Fill in Manually",IF(OR(K6382="Unit", K6382=""), "", INDEX(LookUps!$E$5:$E$12, MATCH(OpenLCAbasic!K6382,LookUps!$D$5:$D$12,0))))</f>
        <v>Water Use (WU) - m3 H2O</v>
      </c>
      <c r="M6382" s="154" t="str">
        <f t="shared" si="462"/>
        <v>Low_Medium_High_Upgraded_Water Use (WU) - m3 H2O_Anaerobic Digestion; wastewater treatment unit; at updated plant - US_Without Amendment_Windrow</v>
      </c>
    </row>
    <row r="6383" spans="1:13" s="120" customFormat="1" x14ac:dyDescent="0.25">
      <c r="A6383" s="119"/>
      <c r="B6383" s="138" t="str">
        <f t="shared" si="465"/>
        <v>Windrow</v>
      </c>
      <c r="C6383" s="138" t="str">
        <f t="shared" si="463"/>
        <v>Without Amendment</v>
      </c>
      <c r="D6383" s="138" t="str">
        <f t="shared" si="467"/>
        <v>Medium_High</v>
      </c>
      <c r="E6383" s="138" t="str">
        <f t="shared" si="464"/>
        <v>Low</v>
      </c>
      <c r="F6383" s="138" t="str">
        <f t="shared" si="466"/>
        <v>Upgraded</v>
      </c>
      <c r="G6383" s="153"/>
      <c r="H6383" s="210">
        <v>-12.713200000000001</v>
      </c>
      <c r="I6383" s="160" t="s">
        <v>62</v>
      </c>
      <c r="J6383" s="160">
        <v>-9.3000000000000005E-4</v>
      </c>
      <c r="K6383" s="160" t="s">
        <v>26</v>
      </c>
      <c r="L6383" s="154" t="str">
        <f>IF(OpenLCAbasic!K6383="CTUh", "Fill in Manually",IF(OR(K6383="Unit", K6383=""), "", INDEX(LookUps!$E$5:$E$12, MATCH(OpenLCAbasic!K6383,LookUps!$D$5:$D$12,0))))</f>
        <v>Water Use (WU) - m3 H2O</v>
      </c>
      <c r="M6383" s="154" t="str">
        <f t="shared" si="462"/>
        <v>Low_Medium_High_Upgraded_Water Use (WU) - m3 H2O_Land application of compost; wastewater treatment unit; at updated plant - US_Without Amendment_Windrow</v>
      </c>
    </row>
    <row r="6384" spans="1:13" s="120" customFormat="1" x14ac:dyDescent="0.25">
      <c r="A6384" s="119"/>
      <c r="B6384" s="138" t="str">
        <f t="shared" si="465"/>
        <v/>
      </c>
      <c r="C6384" s="138" t="str">
        <f t="shared" si="463"/>
        <v/>
      </c>
      <c r="D6384" s="138" t="str">
        <f>IF(ISNUMBER($J6384),"High_Low","")</f>
        <v/>
      </c>
      <c r="E6384" s="138" t="str">
        <f t="shared" si="464"/>
        <v/>
      </c>
      <c r="F6384" s="138" t="str">
        <f t="shared" si="466"/>
        <v/>
      </c>
      <c r="G6384" s="153" t="s">
        <v>51</v>
      </c>
      <c r="H6384" s="160"/>
      <c r="I6384" s="160" t="s">
        <v>47</v>
      </c>
      <c r="J6384" s="160" t="s">
        <v>52</v>
      </c>
      <c r="K6384" s="160" t="s">
        <v>27</v>
      </c>
      <c r="L6384" s="154" t="str">
        <f>IF(OpenLCAbasic!K6384="CTUh", "Fill in Manually",IF(OR(K6384="Unit", K6384=""), "", INDEX(LookUps!$E$5:$E$12, MATCH(OpenLCAbasic!K6384,LookUps!$D$5:$D$12,0))))</f>
        <v/>
      </c>
      <c r="M6384" s="154" t="str">
        <f t="shared" si="462"/>
        <v>____Process__</v>
      </c>
    </row>
    <row r="6385" spans="1:13" s="120" customFormat="1" x14ac:dyDescent="0.25">
      <c r="A6385" s="119"/>
      <c r="B6385" s="138" t="str">
        <f t="shared" si="465"/>
        <v>Windrow</v>
      </c>
      <c r="C6385" s="138" t="str">
        <f t="shared" si="463"/>
        <v>Without Amendment</v>
      </c>
      <c r="D6385" s="138" t="str">
        <f t="shared" ref="D6385:D6448" si="468">IF(ISNUMBER($J6385),"High_Low","")</f>
        <v>High_Low</v>
      </c>
      <c r="E6385" s="138" t="str">
        <f t="shared" si="464"/>
        <v>Low</v>
      </c>
      <c r="F6385" s="138" t="str">
        <f t="shared" si="466"/>
        <v>Upgraded</v>
      </c>
      <c r="G6385" s="153"/>
      <c r="H6385" s="210">
        <v>0.53869999999999996</v>
      </c>
      <c r="I6385" s="160" t="s">
        <v>55</v>
      </c>
      <c r="J6385" s="160">
        <v>1.7219999999999999E-2</v>
      </c>
      <c r="K6385" s="160" t="s">
        <v>24</v>
      </c>
      <c r="L6385" s="154" t="str">
        <f>IF(OpenLCAbasic!K6385="CTUh", "Fill in Manually",IF(OR(K6385="Unit", K6385=""), "", INDEX(LookUps!$E$5:$E$12, MATCH(OpenLCAbasic!K6385,LookUps!$D$5:$D$12,0))))</f>
        <v>Acidification Potential (AP) - kg SO2 eq</v>
      </c>
      <c r="M6385" s="154" t="str">
        <f t="shared" si="462"/>
        <v>Low_High_Low_Upgraded_Acidification Potential (AP) - kg SO2 eq_Aeration Tanks; wastewater treatment unit; at updated plant - US_Without Amendment_Windrow</v>
      </c>
    </row>
    <row r="6386" spans="1:13" s="120" customFormat="1" x14ac:dyDescent="0.25">
      <c r="A6386" s="119"/>
      <c r="B6386" s="138" t="str">
        <f t="shared" si="465"/>
        <v>Windrow</v>
      </c>
      <c r="C6386" s="138" t="str">
        <f t="shared" si="463"/>
        <v>Without Amendment</v>
      </c>
      <c r="D6386" s="138" t="str">
        <f t="shared" si="468"/>
        <v>High_Low</v>
      </c>
      <c r="E6386" s="138" t="str">
        <f t="shared" si="464"/>
        <v>Low</v>
      </c>
      <c r="F6386" s="138" t="str">
        <f t="shared" si="466"/>
        <v>Upgraded</v>
      </c>
      <c r="G6386" s="153"/>
      <c r="H6386" s="210">
        <v>0.15579999999999999</v>
      </c>
      <c r="I6386" s="160" t="s">
        <v>54</v>
      </c>
      <c r="J6386" s="160">
        <v>4.9800000000000001E-3</v>
      </c>
      <c r="K6386" s="160" t="s">
        <v>24</v>
      </c>
      <c r="L6386" s="154" t="str">
        <f>IF(OpenLCAbasic!K6386="CTUh", "Fill in Manually",IF(OR(K6386="Unit", K6386=""), "", INDEX(LookUps!$E$5:$E$12, MATCH(OpenLCAbasic!K6386,LookUps!$D$5:$D$12,0))))</f>
        <v>Acidification Potential (AP) - kg SO2 eq</v>
      </c>
      <c r="M6386" s="154" t="str">
        <f t="shared" si="462"/>
        <v>Low_High_Low_Upgraded_Acidification Potential (AP) - kg SO2 eq_Clear Cove Primary Clarification; wastewater treatment unit; at updated plant - US_Without Amendment_Windrow</v>
      </c>
    </row>
    <row r="6387" spans="1:13" s="120" customFormat="1" x14ac:dyDescent="0.25">
      <c r="A6387" s="119"/>
      <c r="B6387" s="138" t="str">
        <f t="shared" si="465"/>
        <v>Windrow</v>
      </c>
      <c r="C6387" s="138" t="str">
        <f t="shared" si="463"/>
        <v>Without Amendment</v>
      </c>
      <c r="D6387" s="138" t="str">
        <f t="shared" si="468"/>
        <v>High_Low</v>
      </c>
      <c r="E6387" s="138" t="str">
        <f t="shared" si="464"/>
        <v>Low</v>
      </c>
      <c r="F6387" s="138" t="str">
        <f t="shared" si="466"/>
        <v>Upgraded</v>
      </c>
      <c r="G6387" s="153"/>
      <c r="H6387" s="210">
        <v>0.13650000000000001</v>
      </c>
      <c r="I6387" s="160" t="s">
        <v>58</v>
      </c>
      <c r="J6387" s="160">
        <v>4.3600000000000002E-3</v>
      </c>
      <c r="K6387" s="160" t="s">
        <v>24</v>
      </c>
      <c r="L6387" s="154" t="str">
        <f>IF(OpenLCAbasic!K6387="CTUh", "Fill in Manually",IF(OR(K6387="Unit", K6387=""), "", INDEX(LookUps!$E$5:$E$12, MATCH(OpenLCAbasic!K6387,LookUps!$D$5:$D$12,0))))</f>
        <v>Acidification Potential (AP) - kg SO2 eq</v>
      </c>
      <c r="M6387" s="154" t="str">
        <f t="shared" si="462"/>
        <v>Low_High_Low_Upgraded_Acidification Potential (AP) - kg SO2 eq_Pre-Anoxic &amp; Swing tank; wastewater treatment unit; at updated plant - US_Without Amendment_Windrow</v>
      </c>
    </row>
    <row r="6388" spans="1:13" s="120" customFormat="1" x14ac:dyDescent="0.25">
      <c r="A6388" s="119"/>
      <c r="B6388" s="138" t="str">
        <f t="shared" si="465"/>
        <v>Windrow</v>
      </c>
      <c r="C6388" s="138" t="str">
        <f t="shared" si="463"/>
        <v>Without Amendment</v>
      </c>
      <c r="D6388" s="138" t="str">
        <f t="shared" si="468"/>
        <v>High_Low</v>
      </c>
      <c r="E6388" s="138" t="str">
        <f t="shared" si="464"/>
        <v>Low</v>
      </c>
      <c r="F6388" s="138" t="str">
        <f t="shared" si="466"/>
        <v>Upgraded</v>
      </c>
      <c r="G6388" s="153"/>
      <c r="H6388" s="210">
        <v>0.13189999999999999</v>
      </c>
      <c r="I6388" s="160" t="s">
        <v>62</v>
      </c>
      <c r="J6388" s="160">
        <v>4.2199999999999998E-3</v>
      </c>
      <c r="K6388" s="160" t="s">
        <v>24</v>
      </c>
      <c r="L6388" s="154" t="str">
        <f>IF(OpenLCAbasic!K6388="CTUh", "Fill in Manually",IF(OR(K6388="Unit", K6388=""), "", INDEX(LookUps!$E$5:$E$12, MATCH(OpenLCAbasic!K6388,LookUps!$D$5:$D$12,0))))</f>
        <v>Acidification Potential (AP) - kg SO2 eq</v>
      </c>
      <c r="M6388" s="154" t="str">
        <f t="shared" si="462"/>
        <v>Low_High_Low_Upgraded_Acidification Potential (AP) - kg SO2 eq_Land application of compost; wastewater treatment unit; at updated plant - US_Without Amendment_Windrow</v>
      </c>
    </row>
    <row r="6389" spans="1:13" s="120" customFormat="1" x14ac:dyDescent="0.25">
      <c r="A6389" s="119"/>
      <c r="B6389" s="138" t="str">
        <f t="shared" si="465"/>
        <v>Windrow</v>
      </c>
      <c r="C6389" s="138" t="str">
        <f t="shared" si="463"/>
        <v>Without Amendment</v>
      </c>
      <c r="D6389" s="138" t="str">
        <f t="shared" si="468"/>
        <v>High_Low</v>
      </c>
      <c r="E6389" s="138" t="str">
        <f t="shared" si="464"/>
        <v>Low</v>
      </c>
      <c r="F6389" s="138" t="str">
        <f t="shared" si="466"/>
        <v>Upgraded</v>
      </c>
      <c r="G6389" s="153"/>
      <c r="H6389" s="210">
        <v>0.1079</v>
      </c>
      <c r="I6389" s="160" t="s">
        <v>53</v>
      </c>
      <c r="J6389" s="160">
        <v>3.4499999999999999E-3</v>
      </c>
      <c r="K6389" s="160" t="s">
        <v>24</v>
      </c>
      <c r="L6389" s="154" t="str">
        <f>IF(OpenLCAbasic!K6389="CTUh", "Fill in Manually",IF(OR(K6389="Unit", K6389=""), "", INDEX(LookUps!$E$5:$E$12, MATCH(OpenLCAbasic!K6389,LookUps!$D$5:$D$12,0))))</f>
        <v>Acidification Potential (AP) - kg SO2 eq</v>
      </c>
      <c r="M6389" s="154" t="str">
        <f t="shared" si="462"/>
        <v>Low_High_Low_Upgraded_Acidification Potential (AP) - kg SO2 eq_Wet Well and Sump Station; wastewater treatment unit; at updated plant - US_Without Amendment_Windrow</v>
      </c>
    </row>
    <row r="6390" spans="1:13" s="120" customFormat="1" x14ac:dyDescent="0.25">
      <c r="A6390" s="119"/>
      <c r="B6390" s="138" t="str">
        <f t="shared" si="465"/>
        <v>Windrow</v>
      </c>
      <c r="C6390" s="138" t="str">
        <f t="shared" si="463"/>
        <v>Without Amendment</v>
      </c>
      <c r="D6390" s="138" t="str">
        <f t="shared" si="468"/>
        <v>High_Low</v>
      </c>
      <c r="E6390" s="138" t="str">
        <f t="shared" si="464"/>
        <v>Low</v>
      </c>
      <c r="F6390" s="138" t="str">
        <f t="shared" si="466"/>
        <v>Upgraded</v>
      </c>
      <c r="G6390" s="153"/>
      <c r="H6390" s="210">
        <v>8.4599999999999995E-2</v>
      </c>
      <c r="I6390" s="160" t="s">
        <v>167</v>
      </c>
      <c r="J6390" s="160">
        <v>2.7000000000000001E-3</v>
      </c>
      <c r="K6390" s="160" t="s">
        <v>24</v>
      </c>
      <c r="L6390" s="154" t="str">
        <f>IF(OpenLCAbasic!K6390="CTUh", "Fill in Manually",IF(OR(K6390="Unit", K6390=""), "", INDEX(LookUps!$E$5:$E$12, MATCH(OpenLCAbasic!K6390,LookUps!$D$5:$D$12,0))))</f>
        <v>Acidification Potential (AP) - kg SO2 eq</v>
      </c>
      <c r="M6390" s="154" t="str">
        <f t="shared" si="462"/>
        <v>Low_High_Low_Upgraded_Acidification Potential (AP) - kg SO2 eq_Waste Receiving and Holding; wastewater treatment unit; at updated plant - US_Without Amendment_Windrow</v>
      </c>
    </row>
    <row r="6391" spans="1:13" s="120" customFormat="1" x14ac:dyDescent="0.25">
      <c r="A6391" s="119"/>
      <c r="B6391" s="138" t="str">
        <f t="shared" si="465"/>
        <v>Windrow</v>
      </c>
      <c r="C6391" s="138" t="str">
        <f t="shared" si="463"/>
        <v>Without Amendment</v>
      </c>
      <c r="D6391" s="138" t="str">
        <f t="shared" si="468"/>
        <v>High_Low</v>
      </c>
      <c r="E6391" s="138" t="str">
        <f t="shared" si="464"/>
        <v>Low</v>
      </c>
      <c r="F6391" s="138" t="str">
        <f t="shared" si="466"/>
        <v>Upgraded</v>
      </c>
      <c r="G6391" s="153"/>
      <c r="H6391" s="210">
        <v>6.4699999999999994E-2</v>
      </c>
      <c r="I6391" s="160" t="s">
        <v>147</v>
      </c>
      <c r="J6391" s="160">
        <v>2.0699999999999998E-3</v>
      </c>
      <c r="K6391" s="160" t="s">
        <v>24</v>
      </c>
      <c r="L6391" s="154" t="str">
        <f>IF(OpenLCAbasic!K6391="CTUh", "Fill in Manually",IF(OR(K6391="Unit", K6391=""), "", INDEX(LookUps!$E$5:$E$12, MATCH(OpenLCAbasic!K6391,LookUps!$D$5:$D$12,0))))</f>
        <v>Acidification Potential (AP) - kg SO2 eq</v>
      </c>
      <c r="M6391" s="154" t="str">
        <f t="shared" si="462"/>
        <v>Low_High_Low_Upgraded_Acidification Potential (AP) - kg SO2 eq_Influent Pump Station; wastewater treatment unit; at updated plant - US_Without Amendment_Windrow</v>
      </c>
    </row>
    <row r="6392" spans="1:13" s="120" customFormat="1" x14ac:dyDescent="0.25">
      <c r="A6392" s="119"/>
      <c r="B6392" s="138" t="str">
        <f t="shared" si="465"/>
        <v>Windrow</v>
      </c>
      <c r="C6392" s="138" t="str">
        <f t="shared" si="463"/>
        <v>Without Amendment</v>
      </c>
      <c r="D6392" s="138" t="str">
        <f t="shared" si="468"/>
        <v>High_Low</v>
      </c>
      <c r="E6392" s="138" t="str">
        <f t="shared" si="464"/>
        <v>Low</v>
      </c>
      <c r="F6392" s="138" t="str">
        <f t="shared" si="466"/>
        <v>Upgraded</v>
      </c>
      <c r="G6392" s="153"/>
      <c r="H6392" s="210">
        <v>5.2600000000000001E-2</v>
      </c>
      <c r="I6392" s="160" t="s">
        <v>60</v>
      </c>
      <c r="J6392" s="160">
        <v>1.6800000000000001E-3</v>
      </c>
      <c r="K6392" s="160" t="s">
        <v>24</v>
      </c>
      <c r="L6392" s="154" t="str">
        <f>IF(OpenLCAbasic!K6392="CTUh", "Fill in Manually",IF(OR(K6392="Unit", K6392=""), "", INDEX(LookUps!$E$5:$E$12, MATCH(OpenLCAbasic!K6392,LookUps!$D$5:$D$12,0))))</f>
        <v>Acidification Potential (AP) - kg SO2 eq</v>
      </c>
      <c r="M6392" s="154" t="str">
        <f t="shared" si="462"/>
        <v>Low_High_Low_Upgraded_Acidification Potential (AP) - kg SO2 eq_Belt filter press; wastewater treatment unit; at updated plant - US_Without Amendment_Windrow</v>
      </c>
    </row>
    <row r="6393" spans="1:13" s="120" customFormat="1" x14ac:dyDescent="0.25">
      <c r="A6393" s="119"/>
      <c r="B6393" s="138" t="str">
        <f t="shared" si="465"/>
        <v>Windrow</v>
      </c>
      <c r="C6393" s="138" t="str">
        <f t="shared" si="463"/>
        <v>Without Amendment</v>
      </c>
      <c r="D6393" s="138" t="str">
        <f t="shared" si="468"/>
        <v>High_Low</v>
      </c>
      <c r="E6393" s="138" t="str">
        <f t="shared" si="464"/>
        <v>Low</v>
      </c>
      <c r="F6393" s="138" t="str">
        <f t="shared" si="466"/>
        <v>Upgraded</v>
      </c>
      <c r="G6393" s="153"/>
      <c r="H6393" s="210">
        <v>4.4900000000000002E-2</v>
      </c>
      <c r="I6393" s="160" t="s">
        <v>271</v>
      </c>
      <c r="J6393" s="160">
        <v>1.4400000000000001E-3</v>
      </c>
      <c r="K6393" s="160" t="s">
        <v>24</v>
      </c>
      <c r="L6393" s="154" t="str">
        <f>IF(OpenLCAbasic!K6393="CTUh", "Fill in Manually",IF(OR(K6393="Unit", K6393=""), "", INDEX(LookUps!$E$5:$E$12, MATCH(OpenLCAbasic!K6393,LookUps!$D$5:$D$12,0))))</f>
        <v>Acidification Potential (AP) - kg SO2 eq</v>
      </c>
      <c r="M6393" s="154" t="str">
        <f t="shared" si="462"/>
        <v>Low_High_Low_Upgraded_Acidification Potential (AP) - kg SO2 eq_Biosolids composting; windrow composting; wastewater treatment unit; at updated plant - US_Without Amendment_Windrow</v>
      </c>
    </row>
    <row r="6394" spans="1:13" s="120" customFormat="1" x14ac:dyDescent="0.25">
      <c r="A6394" s="119"/>
      <c r="B6394" s="138" t="str">
        <f t="shared" si="465"/>
        <v>Windrow</v>
      </c>
      <c r="C6394" s="138" t="str">
        <f t="shared" si="463"/>
        <v>Without Amendment</v>
      </c>
      <c r="D6394" s="138" t="str">
        <f t="shared" si="468"/>
        <v>High_Low</v>
      </c>
      <c r="E6394" s="138" t="str">
        <f t="shared" si="464"/>
        <v>Low</v>
      </c>
      <c r="F6394" s="138" t="str">
        <f t="shared" si="466"/>
        <v>Upgraded</v>
      </c>
      <c r="G6394" s="153"/>
      <c r="H6394" s="210">
        <v>3.8600000000000002E-2</v>
      </c>
      <c r="I6394" s="160" t="s">
        <v>128</v>
      </c>
      <c r="J6394" s="160">
        <v>1.23E-3</v>
      </c>
      <c r="K6394" s="160" t="s">
        <v>24</v>
      </c>
      <c r="L6394" s="154" t="str">
        <f>IF(OpenLCAbasic!K6394="CTUh", "Fill in Manually",IF(OR(K6394="Unit", K6394=""), "", INDEX(LookUps!$E$5:$E$12, MATCH(OpenLCAbasic!K6394,LookUps!$D$5:$D$12,0))))</f>
        <v>Acidification Potential (AP) - kg SO2 eq</v>
      </c>
      <c r="M6394" s="154" t="str">
        <f t="shared" si="462"/>
        <v>Low_High_Low_Upgraded_Acidification Potential (AP) - kg SO2 eq_Wastewater collection; operation and infrastructure; m3 wastewater_Without Amendment_Windrow</v>
      </c>
    </row>
    <row r="6395" spans="1:13" s="120" customFormat="1" x14ac:dyDescent="0.25">
      <c r="A6395" s="119"/>
      <c r="B6395" s="138" t="str">
        <f t="shared" si="465"/>
        <v>Windrow</v>
      </c>
      <c r="C6395" s="138" t="str">
        <f t="shared" si="463"/>
        <v>Without Amendment</v>
      </c>
      <c r="D6395" s="138" t="str">
        <f t="shared" si="468"/>
        <v>High_Low</v>
      </c>
      <c r="E6395" s="138" t="str">
        <f t="shared" si="464"/>
        <v>Low</v>
      </c>
      <c r="F6395" s="138" t="str">
        <f t="shared" si="466"/>
        <v>Upgraded</v>
      </c>
      <c r="G6395" s="153"/>
      <c r="H6395" s="210">
        <v>2.1999999999999999E-2</v>
      </c>
      <c r="I6395" s="160" t="s">
        <v>57</v>
      </c>
      <c r="J6395" s="160">
        <v>6.9999999999999999E-4</v>
      </c>
      <c r="K6395" s="160" t="s">
        <v>24</v>
      </c>
      <c r="L6395" s="154" t="str">
        <f>IF(OpenLCAbasic!K6395="CTUh", "Fill in Manually",IF(OR(K6395="Unit", K6395=""), "", INDEX(LookUps!$E$5:$E$12, MATCH(OpenLCAbasic!K6395,LookUps!$D$5:$D$12,0))))</f>
        <v>Acidification Potential (AP) - kg SO2 eq</v>
      </c>
      <c r="M6395" s="154" t="str">
        <f t="shared" ref="M6395:M6458" si="469">CONCATENATE(E6395,"_",D6395,"_",F6395,"_",L6395, "_",I6395,"_", C6395,"_", B6395)</f>
        <v>Low_High_Low_Upgraded_Acidification Potential (AP) - kg SO2 eq_Gravity Belt Thickener; wastewater treatment unit; at updated plant - US_Without Amendment_Windrow</v>
      </c>
    </row>
    <row r="6396" spans="1:13" s="120" customFormat="1" x14ac:dyDescent="0.25">
      <c r="A6396" s="119"/>
      <c r="B6396" s="138" t="str">
        <f t="shared" si="465"/>
        <v>Windrow</v>
      </c>
      <c r="C6396" s="138" t="str">
        <f t="shared" si="463"/>
        <v>Without Amendment</v>
      </c>
      <c r="D6396" s="138" t="str">
        <f t="shared" si="468"/>
        <v>High_Low</v>
      </c>
      <c r="E6396" s="138" t="str">
        <f t="shared" si="464"/>
        <v>Low</v>
      </c>
      <c r="F6396" s="138" t="str">
        <f t="shared" si="466"/>
        <v>Upgraded</v>
      </c>
      <c r="G6396" s="153"/>
      <c r="H6396" s="210">
        <v>1.6199999999999999E-2</v>
      </c>
      <c r="I6396" s="160" t="s">
        <v>59</v>
      </c>
      <c r="J6396" s="160">
        <v>5.1999999999999995E-4</v>
      </c>
      <c r="K6396" s="160" t="s">
        <v>24</v>
      </c>
      <c r="L6396" s="154" t="str">
        <f>IF(OpenLCAbasic!K6396="CTUh", "Fill in Manually",IF(OR(K6396="Unit", K6396=""), "", INDEX(LookUps!$E$5:$E$12, MATCH(OpenLCAbasic!K6396,LookUps!$D$5:$D$12,0))))</f>
        <v>Acidification Potential (AP) - kg SO2 eq</v>
      </c>
      <c r="M6396" s="154" t="str">
        <f t="shared" si="469"/>
        <v>Low_High_Low_Upgraded_Acidification Potential (AP) - kg SO2 eq_Blend Tank; wastewater treatment unit; at updated plant - US_Without Amendment_Windrow</v>
      </c>
    </row>
    <row r="6397" spans="1:13" s="120" customFormat="1" x14ac:dyDescent="0.25">
      <c r="A6397" s="119"/>
      <c r="B6397" s="138" t="str">
        <f t="shared" si="465"/>
        <v>Windrow</v>
      </c>
      <c r="C6397" s="138" t="str">
        <f t="shared" si="463"/>
        <v>Without Amendment</v>
      </c>
      <c r="D6397" s="138" t="str">
        <f t="shared" si="468"/>
        <v>High_Low</v>
      </c>
      <c r="E6397" s="138" t="str">
        <f t="shared" si="464"/>
        <v>Low</v>
      </c>
      <c r="F6397" s="138" t="str">
        <f t="shared" si="466"/>
        <v>Upgraded</v>
      </c>
      <c r="G6397" s="153"/>
      <c r="H6397" s="210">
        <v>1.0800000000000001E-2</v>
      </c>
      <c r="I6397" s="160" t="s">
        <v>48</v>
      </c>
      <c r="J6397" s="160">
        <v>3.5E-4</v>
      </c>
      <c r="K6397" s="160" t="s">
        <v>24</v>
      </c>
      <c r="L6397" s="154" t="str">
        <f>IF(OpenLCAbasic!K6397="CTUh", "Fill in Manually",IF(OR(K6397="Unit", K6397=""), "", INDEX(LookUps!$E$5:$E$12, MATCH(OpenLCAbasic!K6397,LookUps!$D$5:$D$12,0))))</f>
        <v>Acidification Potential (AP) - kg SO2 eq</v>
      </c>
      <c r="M6397" s="154" t="str">
        <f t="shared" si="469"/>
        <v>Low_High_Low_Upgraded_Acidification Potential (AP) - kg SO2 eq_Effluent release; wastewater treatment unit; at surface water; m3 wastewater - US_Without Amendment_Windrow</v>
      </c>
    </row>
    <row r="6398" spans="1:13" s="120" customFormat="1" x14ac:dyDescent="0.25">
      <c r="A6398" s="119"/>
      <c r="B6398" s="138" t="str">
        <f t="shared" si="465"/>
        <v>Windrow</v>
      </c>
      <c r="C6398" s="138" t="str">
        <f t="shared" si="463"/>
        <v>Without Amendment</v>
      </c>
      <c r="D6398" s="138" t="str">
        <f t="shared" si="468"/>
        <v>High_Low</v>
      </c>
      <c r="E6398" s="138" t="str">
        <f t="shared" si="464"/>
        <v>Low</v>
      </c>
      <c r="F6398" s="138" t="str">
        <f t="shared" si="466"/>
        <v>Upgraded</v>
      </c>
      <c r="G6398" s="153"/>
      <c r="H6398" s="210">
        <v>8.0000000000000002E-3</v>
      </c>
      <c r="I6398" s="160" t="s">
        <v>168</v>
      </c>
      <c r="J6398" s="160">
        <v>2.5999999999999998E-4</v>
      </c>
      <c r="K6398" s="160" t="s">
        <v>24</v>
      </c>
      <c r="L6398" s="154" t="str">
        <f>IF(OpenLCAbasic!K6398="CTUh", "Fill in Manually",IF(OR(K6398="Unit", K6398=""), "", INDEX(LookUps!$E$5:$E$12, MATCH(OpenLCAbasic!K6398,LookUps!$D$5:$D$12,0))))</f>
        <v>Acidification Potential (AP) - kg SO2 eq</v>
      </c>
      <c r="M6398" s="154" t="str">
        <f t="shared" si="469"/>
        <v>Low_High_Low_Upgraded_Acidification Potential (AP) - kg SO2 eq_ClearCove SCP; wastewater treatment unit; at updated plant - US_Without Amendment_Windrow</v>
      </c>
    </row>
    <row r="6399" spans="1:13" s="120" customFormat="1" x14ac:dyDescent="0.25">
      <c r="A6399" s="119"/>
      <c r="B6399" s="138" t="str">
        <f t="shared" si="465"/>
        <v>Windrow</v>
      </c>
      <c r="C6399" s="138" t="str">
        <f t="shared" si="463"/>
        <v>Without Amendment</v>
      </c>
      <c r="D6399" s="138" t="str">
        <f t="shared" si="468"/>
        <v>High_Low</v>
      </c>
      <c r="E6399" s="138" t="str">
        <f t="shared" si="464"/>
        <v>Low</v>
      </c>
      <c r="F6399" s="138" t="str">
        <f t="shared" si="466"/>
        <v>Upgraded</v>
      </c>
      <c r="G6399" s="153"/>
      <c r="H6399" s="210">
        <v>1.2999999999999999E-3</v>
      </c>
      <c r="I6399" s="160" t="s">
        <v>148</v>
      </c>
      <c r="J6399" s="211">
        <v>4.0354700000000002E-5</v>
      </c>
      <c r="K6399" s="160" t="s">
        <v>24</v>
      </c>
      <c r="L6399" s="154" t="str">
        <f>IF(OpenLCAbasic!K6399="CTUh", "Fill in Manually",IF(OR(K6399="Unit", K6399=""), "", INDEX(LookUps!$E$5:$E$12, MATCH(OpenLCAbasic!K6399,LookUps!$D$5:$D$12,0))))</f>
        <v>Acidification Potential (AP) - kg SO2 eq</v>
      </c>
      <c r="M6399" s="154" t="str">
        <f t="shared" si="469"/>
        <v>Low_High_Low_Upgraded_Acidification Potential (AP) - kg SO2 eq_Control Building; at upgraded wastewater treatment plant - US_Without Amendment_Windrow</v>
      </c>
    </row>
    <row r="6400" spans="1:13" s="120" customFormat="1" x14ac:dyDescent="0.25">
      <c r="A6400" s="119"/>
      <c r="B6400" s="138" t="str">
        <f t="shared" si="465"/>
        <v>Windrow</v>
      </c>
      <c r="C6400" s="138" t="str">
        <f t="shared" si="463"/>
        <v>Without Amendment</v>
      </c>
      <c r="D6400" s="138" t="str">
        <f t="shared" si="468"/>
        <v>High_Low</v>
      </c>
      <c r="E6400" s="138" t="str">
        <f t="shared" si="464"/>
        <v>Low</v>
      </c>
      <c r="F6400" s="138" t="str">
        <f t="shared" si="466"/>
        <v>Upgraded</v>
      </c>
      <c r="G6400" s="153"/>
      <c r="H6400" s="210">
        <v>-0.41439999999999999</v>
      </c>
      <c r="I6400" s="160" t="s">
        <v>149</v>
      </c>
      <c r="J6400" s="160">
        <v>-1.325E-2</v>
      </c>
      <c r="K6400" s="160" t="s">
        <v>24</v>
      </c>
      <c r="L6400" s="154" t="str">
        <f>IF(OpenLCAbasic!K6400="CTUh", "Fill in Manually",IF(OR(K6400="Unit", K6400=""), "", INDEX(LookUps!$E$5:$E$12, MATCH(OpenLCAbasic!K6400,LookUps!$D$5:$D$12,0))))</f>
        <v>Acidification Potential (AP) - kg SO2 eq</v>
      </c>
      <c r="M6400" s="154" t="str">
        <f t="shared" si="469"/>
        <v>Low_High_Low_Upgraded_Acidification Potential (AP) - kg SO2 eq_Anaerobic Digestion; wastewater treatment unit; at updated plant - US_Without Amendment_Windrow</v>
      </c>
    </row>
    <row r="6401" spans="1:13" s="120" customFormat="1" x14ac:dyDescent="0.25">
      <c r="A6401" s="119"/>
      <c r="B6401" s="138" t="str">
        <f t="shared" si="465"/>
        <v/>
      </c>
      <c r="C6401" s="138" t="str">
        <f t="shared" ref="C6401:C6464" si="470">IF(ISNUMBER($J6401),"Without Amendment","")</f>
        <v/>
      </c>
      <c r="D6401" s="138" t="str">
        <f t="shared" si="468"/>
        <v/>
      </c>
      <c r="E6401" s="138" t="str">
        <f t="shared" ref="E6401:E6464" si="471">IF(ISNUMBER($J6401),"Low","")</f>
        <v/>
      </c>
      <c r="F6401" s="138" t="str">
        <f t="shared" si="466"/>
        <v/>
      </c>
      <c r="G6401" s="153" t="s">
        <v>51</v>
      </c>
      <c r="H6401" s="160"/>
      <c r="I6401" s="160" t="s">
        <v>47</v>
      </c>
      <c r="J6401" s="160" t="s">
        <v>52</v>
      </c>
      <c r="K6401" s="160" t="s">
        <v>27</v>
      </c>
      <c r="L6401" s="154" t="str">
        <f>IF(OpenLCAbasic!K6401="CTUh", "Fill in Manually",IF(OR(K6401="Unit", K6401=""), "", INDEX(LookUps!$E$5:$E$12, MATCH(OpenLCAbasic!K6401,LookUps!$D$5:$D$12,0))))</f>
        <v/>
      </c>
      <c r="M6401" s="154" t="str">
        <f t="shared" si="469"/>
        <v>____Process__</v>
      </c>
    </row>
    <row r="6402" spans="1:13" s="120" customFormat="1" x14ac:dyDescent="0.25">
      <c r="A6402" s="119"/>
      <c r="B6402" s="138" t="str">
        <f t="shared" si="465"/>
        <v>Windrow</v>
      </c>
      <c r="C6402" s="138" t="str">
        <f t="shared" si="470"/>
        <v>Without Amendment</v>
      </c>
      <c r="D6402" s="138" t="str">
        <f t="shared" si="468"/>
        <v>High_Low</v>
      </c>
      <c r="E6402" s="138" t="str">
        <f t="shared" si="471"/>
        <v>Low</v>
      </c>
      <c r="F6402" s="138" t="str">
        <f t="shared" si="466"/>
        <v>Upgraded</v>
      </c>
      <c r="G6402" s="153"/>
      <c r="H6402" s="210">
        <v>0.60140000000000005</v>
      </c>
      <c r="I6402" s="160" t="s">
        <v>167</v>
      </c>
      <c r="J6402" s="160">
        <v>5.1393399999999998</v>
      </c>
      <c r="K6402" s="160" t="s">
        <v>15</v>
      </c>
      <c r="L6402" s="154" t="str">
        <f>IF(OpenLCAbasic!K6402="CTUh", "Fill in Manually",IF(OR(K6402="Unit", K6402=""), "", INDEX(LookUps!$E$5:$E$12, MATCH(OpenLCAbasic!K6402,LookUps!$D$5:$D$12,0))))</f>
        <v>Cumulative Energy Demand (CED) - MJ</v>
      </c>
      <c r="M6402" s="154" t="str">
        <f t="shared" si="469"/>
        <v>Low_High_Low_Upgraded_Cumulative Energy Demand (CED) - MJ_Waste Receiving and Holding; wastewater treatment unit; at updated plant - US_Without Amendment_Windrow</v>
      </c>
    </row>
    <row r="6403" spans="1:13" s="120" customFormat="1" x14ac:dyDescent="0.25">
      <c r="A6403" s="119"/>
      <c r="B6403" s="138" t="str">
        <f t="shared" si="465"/>
        <v>Windrow</v>
      </c>
      <c r="C6403" s="138" t="str">
        <f t="shared" si="470"/>
        <v>Without Amendment</v>
      </c>
      <c r="D6403" s="138" t="str">
        <f t="shared" si="468"/>
        <v>High_Low</v>
      </c>
      <c r="E6403" s="138" t="str">
        <f t="shared" si="471"/>
        <v>Low</v>
      </c>
      <c r="F6403" s="138" t="str">
        <f t="shared" si="466"/>
        <v>Upgraded</v>
      </c>
      <c r="G6403" s="153"/>
      <c r="H6403" s="210">
        <v>0.41339999999999999</v>
      </c>
      <c r="I6403" s="160" t="s">
        <v>55</v>
      </c>
      <c r="J6403" s="160">
        <v>3.5330499999999998</v>
      </c>
      <c r="K6403" s="160" t="s">
        <v>15</v>
      </c>
      <c r="L6403" s="154" t="str">
        <f>IF(OpenLCAbasic!K6403="CTUh", "Fill in Manually",IF(OR(K6403="Unit", K6403=""), "", INDEX(LookUps!$E$5:$E$12, MATCH(OpenLCAbasic!K6403,LookUps!$D$5:$D$12,0))))</f>
        <v>Cumulative Energy Demand (CED) - MJ</v>
      </c>
      <c r="M6403" s="154" t="str">
        <f t="shared" si="469"/>
        <v>Low_High_Low_Upgraded_Cumulative Energy Demand (CED) - MJ_Aeration Tanks; wastewater treatment unit; at updated plant - US_Without Amendment_Windrow</v>
      </c>
    </row>
    <row r="6404" spans="1:13" s="120" customFormat="1" x14ac:dyDescent="0.25">
      <c r="A6404" s="119"/>
      <c r="B6404" s="138" t="str">
        <f t="shared" si="465"/>
        <v>Windrow</v>
      </c>
      <c r="C6404" s="138" t="str">
        <f t="shared" si="470"/>
        <v>Without Amendment</v>
      </c>
      <c r="D6404" s="138" t="str">
        <f t="shared" si="468"/>
        <v>High_Low</v>
      </c>
      <c r="E6404" s="138" t="str">
        <f t="shared" si="471"/>
        <v>Low</v>
      </c>
      <c r="F6404" s="138" t="str">
        <f t="shared" si="466"/>
        <v>Upgraded</v>
      </c>
      <c r="G6404" s="153"/>
      <c r="H6404" s="210">
        <v>0.1361</v>
      </c>
      <c r="I6404" s="160" t="s">
        <v>54</v>
      </c>
      <c r="J6404" s="160">
        <v>1.16289</v>
      </c>
      <c r="K6404" s="160" t="s">
        <v>15</v>
      </c>
      <c r="L6404" s="154" t="str">
        <f>IF(OpenLCAbasic!K6404="CTUh", "Fill in Manually",IF(OR(K6404="Unit", K6404=""), "", INDEX(LookUps!$E$5:$E$12, MATCH(OpenLCAbasic!K6404,LookUps!$D$5:$D$12,0))))</f>
        <v>Cumulative Energy Demand (CED) - MJ</v>
      </c>
      <c r="M6404" s="154" t="str">
        <f t="shared" si="469"/>
        <v>Low_High_Low_Upgraded_Cumulative Energy Demand (CED) - MJ_Clear Cove Primary Clarification; wastewater treatment unit; at updated plant - US_Without Amendment_Windrow</v>
      </c>
    </row>
    <row r="6405" spans="1:13" s="120" customFormat="1" x14ac:dyDescent="0.25">
      <c r="A6405" s="119"/>
      <c r="B6405" s="138" t="str">
        <f t="shared" si="465"/>
        <v>Windrow</v>
      </c>
      <c r="C6405" s="138" t="str">
        <f t="shared" si="470"/>
        <v>Without Amendment</v>
      </c>
      <c r="D6405" s="138" t="str">
        <f t="shared" si="468"/>
        <v>High_Low</v>
      </c>
      <c r="E6405" s="138" t="str">
        <f t="shared" si="471"/>
        <v>Low</v>
      </c>
      <c r="F6405" s="138" t="str">
        <f t="shared" si="466"/>
        <v>Upgraded</v>
      </c>
      <c r="G6405" s="153"/>
      <c r="H6405" s="210">
        <v>0.1042</v>
      </c>
      <c r="I6405" s="160" t="s">
        <v>58</v>
      </c>
      <c r="J6405" s="160">
        <v>0.89063999999999999</v>
      </c>
      <c r="K6405" s="160" t="s">
        <v>15</v>
      </c>
      <c r="L6405" s="154" t="str">
        <f>IF(OpenLCAbasic!K6405="CTUh", "Fill in Manually",IF(OR(K6405="Unit", K6405=""), "", INDEX(LookUps!$E$5:$E$12, MATCH(OpenLCAbasic!K6405,LookUps!$D$5:$D$12,0))))</f>
        <v>Cumulative Energy Demand (CED) - MJ</v>
      </c>
      <c r="M6405" s="154" t="str">
        <f t="shared" si="469"/>
        <v>Low_High_Low_Upgraded_Cumulative Energy Demand (CED) - MJ_Pre-Anoxic &amp; Swing tank; wastewater treatment unit; at updated plant - US_Without Amendment_Windrow</v>
      </c>
    </row>
    <row r="6406" spans="1:13" s="120" customFormat="1" x14ac:dyDescent="0.25">
      <c r="A6406" s="119"/>
      <c r="B6406" s="138" t="str">
        <f t="shared" si="465"/>
        <v>Windrow</v>
      </c>
      <c r="C6406" s="138" t="str">
        <f t="shared" si="470"/>
        <v>Without Amendment</v>
      </c>
      <c r="D6406" s="138" t="str">
        <f t="shared" si="468"/>
        <v>High_Low</v>
      </c>
      <c r="E6406" s="138" t="str">
        <f t="shared" si="471"/>
        <v>Low</v>
      </c>
      <c r="F6406" s="138" t="str">
        <f t="shared" si="466"/>
        <v>Upgraded</v>
      </c>
      <c r="G6406" s="153"/>
      <c r="H6406" s="210">
        <v>0.1033</v>
      </c>
      <c r="I6406" s="160" t="s">
        <v>147</v>
      </c>
      <c r="J6406" s="160">
        <v>0.88297000000000003</v>
      </c>
      <c r="K6406" s="160" t="s">
        <v>15</v>
      </c>
      <c r="L6406" s="154" t="str">
        <f>IF(OpenLCAbasic!K6406="CTUh", "Fill in Manually",IF(OR(K6406="Unit", K6406=""), "", INDEX(LookUps!$E$5:$E$12, MATCH(OpenLCAbasic!K6406,LookUps!$D$5:$D$12,0))))</f>
        <v>Cumulative Energy Demand (CED) - MJ</v>
      </c>
      <c r="M6406" s="154" t="str">
        <f t="shared" si="469"/>
        <v>Low_High_Low_Upgraded_Cumulative Energy Demand (CED) - MJ_Influent Pump Station; wastewater treatment unit; at updated plant - US_Without Amendment_Windrow</v>
      </c>
    </row>
    <row r="6407" spans="1:13" s="120" customFormat="1" x14ac:dyDescent="0.25">
      <c r="A6407" s="119"/>
      <c r="B6407" s="138" t="str">
        <f t="shared" si="465"/>
        <v>Windrow</v>
      </c>
      <c r="C6407" s="138" t="str">
        <f t="shared" si="470"/>
        <v>Without Amendment</v>
      </c>
      <c r="D6407" s="138" t="str">
        <f t="shared" si="468"/>
        <v>High_Low</v>
      </c>
      <c r="E6407" s="138" t="str">
        <f t="shared" si="471"/>
        <v>Low</v>
      </c>
      <c r="F6407" s="138" t="str">
        <f t="shared" si="466"/>
        <v>Upgraded</v>
      </c>
      <c r="G6407" s="153"/>
      <c r="H6407" s="210">
        <v>8.1500000000000003E-2</v>
      </c>
      <c r="I6407" s="160" t="s">
        <v>53</v>
      </c>
      <c r="J6407" s="160">
        <v>0.69645000000000001</v>
      </c>
      <c r="K6407" s="160" t="s">
        <v>15</v>
      </c>
      <c r="L6407" s="154" t="str">
        <f>IF(OpenLCAbasic!K6407="CTUh", "Fill in Manually",IF(OR(K6407="Unit", K6407=""), "", INDEX(LookUps!$E$5:$E$12, MATCH(OpenLCAbasic!K6407,LookUps!$D$5:$D$12,0))))</f>
        <v>Cumulative Energy Demand (CED) - MJ</v>
      </c>
      <c r="M6407" s="154" t="str">
        <f t="shared" si="469"/>
        <v>Low_High_Low_Upgraded_Cumulative Energy Demand (CED) - MJ_Wet Well and Sump Station; wastewater treatment unit; at updated plant - US_Without Amendment_Windrow</v>
      </c>
    </row>
    <row r="6408" spans="1:13" s="120" customFormat="1" x14ac:dyDescent="0.25">
      <c r="A6408" s="119"/>
      <c r="B6408" s="138" t="str">
        <f t="shared" si="465"/>
        <v>Windrow</v>
      </c>
      <c r="C6408" s="138" t="str">
        <f t="shared" si="470"/>
        <v>Without Amendment</v>
      </c>
      <c r="D6408" s="138" t="str">
        <f t="shared" si="468"/>
        <v>High_Low</v>
      </c>
      <c r="E6408" s="138" t="str">
        <f t="shared" si="471"/>
        <v>Low</v>
      </c>
      <c r="F6408" s="138" t="str">
        <f t="shared" si="466"/>
        <v>Upgraded</v>
      </c>
      <c r="G6408" s="153"/>
      <c r="H6408" s="210">
        <v>7.3499999999999996E-2</v>
      </c>
      <c r="I6408" s="160" t="s">
        <v>60</v>
      </c>
      <c r="J6408" s="160">
        <v>0.62775999999999998</v>
      </c>
      <c r="K6408" s="160" t="s">
        <v>15</v>
      </c>
      <c r="L6408" s="154" t="str">
        <f>IF(OpenLCAbasic!K6408="CTUh", "Fill in Manually",IF(OR(K6408="Unit", K6408=""), "", INDEX(LookUps!$E$5:$E$12, MATCH(OpenLCAbasic!K6408,LookUps!$D$5:$D$12,0))))</f>
        <v>Cumulative Energy Demand (CED) - MJ</v>
      </c>
      <c r="M6408" s="154" t="str">
        <f t="shared" si="469"/>
        <v>Low_High_Low_Upgraded_Cumulative Energy Demand (CED) - MJ_Belt filter press; wastewater treatment unit; at updated plant - US_Without Amendment_Windrow</v>
      </c>
    </row>
    <row r="6409" spans="1:13" s="120" customFormat="1" x14ac:dyDescent="0.25">
      <c r="A6409" s="119"/>
      <c r="B6409" s="138" t="str">
        <f t="shared" si="465"/>
        <v>Windrow</v>
      </c>
      <c r="C6409" s="138" t="str">
        <f t="shared" si="470"/>
        <v>Without Amendment</v>
      </c>
      <c r="D6409" s="138" t="str">
        <f t="shared" si="468"/>
        <v>High_Low</v>
      </c>
      <c r="E6409" s="138" t="str">
        <f t="shared" si="471"/>
        <v>Low</v>
      </c>
      <c r="F6409" s="138" t="str">
        <f t="shared" si="466"/>
        <v>Upgraded</v>
      </c>
      <c r="G6409" s="153"/>
      <c r="H6409" s="210">
        <v>3.9100000000000003E-2</v>
      </c>
      <c r="I6409" s="160" t="s">
        <v>57</v>
      </c>
      <c r="J6409" s="160">
        <v>0.33404</v>
      </c>
      <c r="K6409" s="160" t="s">
        <v>15</v>
      </c>
      <c r="L6409" s="154" t="str">
        <f>IF(OpenLCAbasic!K6409="CTUh", "Fill in Manually",IF(OR(K6409="Unit", K6409=""), "", INDEX(LookUps!$E$5:$E$12, MATCH(OpenLCAbasic!K6409,LookUps!$D$5:$D$12,0))))</f>
        <v>Cumulative Energy Demand (CED) - MJ</v>
      </c>
      <c r="M6409" s="154" t="str">
        <f t="shared" si="469"/>
        <v>Low_High_Low_Upgraded_Cumulative Energy Demand (CED) - MJ_Gravity Belt Thickener; wastewater treatment unit; at updated plant - US_Without Amendment_Windrow</v>
      </c>
    </row>
    <row r="6410" spans="1:13" s="120" customFormat="1" x14ac:dyDescent="0.25">
      <c r="A6410" s="119"/>
      <c r="B6410" s="138" t="str">
        <f t="shared" si="465"/>
        <v>Windrow</v>
      </c>
      <c r="C6410" s="138" t="str">
        <f t="shared" si="470"/>
        <v>Without Amendment</v>
      </c>
      <c r="D6410" s="138" t="str">
        <f t="shared" si="468"/>
        <v>High_Low</v>
      </c>
      <c r="E6410" s="138" t="str">
        <f t="shared" si="471"/>
        <v>Low</v>
      </c>
      <c r="F6410" s="138" t="str">
        <f t="shared" si="466"/>
        <v>Upgraded</v>
      </c>
      <c r="G6410" s="153"/>
      <c r="H6410" s="210">
        <v>0.03</v>
      </c>
      <c r="I6410" s="160" t="s">
        <v>128</v>
      </c>
      <c r="J6410" s="160">
        <v>0.25606000000000001</v>
      </c>
      <c r="K6410" s="160" t="s">
        <v>15</v>
      </c>
      <c r="L6410" s="154" t="str">
        <f>IF(OpenLCAbasic!K6410="CTUh", "Fill in Manually",IF(OR(K6410="Unit", K6410=""), "", INDEX(LookUps!$E$5:$E$12, MATCH(OpenLCAbasic!K6410,LookUps!$D$5:$D$12,0))))</f>
        <v>Cumulative Energy Demand (CED) - MJ</v>
      </c>
      <c r="M6410" s="154" t="str">
        <f t="shared" si="469"/>
        <v>Low_High_Low_Upgraded_Cumulative Energy Demand (CED) - MJ_Wastewater collection; operation and infrastructure; m3 wastewater_Without Amendment_Windrow</v>
      </c>
    </row>
    <row r="6411" spans="1:13" s="120" customFormat="1" x14ac:dyDescent="0.25">
      <c r="A6411" s="119"/>
      <c r="B6411" s="138" t="str">
        <f t="shared" si="465"/>
        <v>Windrow</v>
      </c>
      <c r="C6411" s="138" t="str">
        <f t="shared" si="470"/>
        <v>Without Amendment</v>
      </c>
      <c r="D6411" s="138" t="str">
        <f t="shared" si="468"/>
        <v>High_Low</v>
      </c>
      <c r="E6411" s="138" t="str">
        <f t="shared" si="471"/>
        <v>Low</v>
      </c>
      <c r="F6411" s="138" t="str">
        <f t="shared" si="466"/>
        <v>Upgraded</v>
      </c>
      <c r="G6411" s="153"/>
      <c r="H6411" s="210">
        <v>1.7100000000000001E-2</v>
      </c>
      <c r="I6411" s="160" t="s">
        <v>148</v>
      </c>
      <c r="J6411" s="160">
        <v>0.14599000000000001</v>
      </c>
      <c r="K6411" s="160" t="s">
        <v>15</v>
      </c>
      <c r="L6411" s="154" t="str">
        <f>IF(OpenLCAbasic!K6411="CTUh", "Fill in Manually",IF(OR(K6411="Unit", K6411=""), "", INDEX(LookUps!$E$5:$E$12, MATCH(OpenLCAbasic!K6411,LookUps!$D$5:$D$12,0))))</f>
        <v>Cumulative Energy Demand (CED) - MJ</v>
      </c>
      <c r="M6411" s="154" t="str">
        <f t="shared" si="469"/>
        <v>Low_High_Low_Upgraded_Cumulative Energy Demand (CED) - MJ_Control Building; at upgraded wastewater treatment plant - US_Without Amendment_Windrow</v>
      </c>
    </row>
    <row r="6412" spans="1:13" s="120" customFormat="1" x14ac:dyDescent="0.25">
      <c r="A6412" s="119"/>
      <c r="B6412" s="138" t="str">
        <f t="shared" si="465"/>
        <v>Windrow</v>
      </c>
      <c r="C6412" s="138" t="str">
        <f t="shared" si="470"/>
        <v>Without Amendment</v>
      </c>
      <c r="D6412" s="138" t="str">
        <f t="shared" si="468"/>
        <v>High_Low</v>
      </c>
      <c r="E6412" s="138" t="str">
        <f t="shared" si="471"/>
        <v>Low</v>
      </c>
      <c r="F6412" s="138" t="str">
        <f t="shared" si="466"/>
        <v>Upgraded</v>
      </c>
      <c r="G6412" s="153"/>
      <c r="H6412" s="210">
        <v>1.5599999999999999E-2</v>
      </c>
      <c r="I6412" s="160" t="s">
        <v>48</v>
      </c>
      <c r="J6412" s="160">
        <v>0.13321</v>
      </c>
      <c r="K6412" s="160" t="s">
        <v>15</v>
      </c>
      <c r="L6412" s="154" t="str">
        <f>IF(OpenLCAbasic!K6412="CTUh", "Fill in Manually",IF(OR(K6412="Unit", K6412=""), "", INDEX(LookUps!$E$5:$E$12, MATCH(OpenLCAbasic!K6412,LookUps!$D$5:$D$12,0))))</f>
        <v>Cumulative Energy Demand (CED) - MJ</v>
      </c>
      <c r="M6412" s="154" t="str">
        <f t="shared" si="469"/>
        <v>Low_High_Low_Upgraded_Cumulative Energy Demand (CED) - MJ_Effluent release; wastewater treatment unit; at surface water; m3 wastewater - US_Without Amendment_Windrow</v>
      </c>
    </row>
    <row r="6413" spans="1:13" s="120" customFormat="1" x14ac:dyDescent="0.25">
      <c r="A6413" s="119"/>
      <c r="B6413" s="138" t="str">
        <f t="shared" si="465"/>
        <v>Windrow</v>
      </c>
      <c r="C6413" s="138" t="str">
        <f t="shared" si="470"/>
        <v>Without Amendment</v>
      </c>
      <c r="D6413" s="138" t="str">
        <f t="shared" si="468"/>
        <v>High_Low</v>
      </c>
      <c r="E6413" s="138" t="str">
        <f t="shared" si="471"/>
        <v>Low</v>
      </c>
      <c r="F6413" s="138" t="str">
        <f t="shared" si="466"/>
        <v>Upgraded</v>
      </c>
      <c r="G6413" s="153"/>
      <c r="H6413" s="210">
        <v>1.24E-2</v>
      </c>
      <c r="I6413" s="160" t="s">
        <v>59</v>
      </c>
      <c r="J6413" s="160">
        <v>0.10638</v>
      </c>
      <c r="K6413" s="160" t="s">
        <v>15</v>
      </c>
      <c r="L6413" s="154" t="str">
        <f>IF(OpenLCAbasic!K6413="CTUh", "Fill in Manually",IF(OR(K6413="Unit", K6413=""), "", INDEX(LookUps!$E$5:$E$12, MATCH(OpenLCAbasic!K6413,LookUps!$D$5:$D$12,0))))</f>
        <v>Cumulative Energy Demand (CED) - MJ</v>
      </c>
      <c r="M6413" s="154" t="str">
        <f t="shared" si="469"/>
        <v>Low_High_Low_Upgraded_Cumulative Energy Demand (CED) - MJ_Blend Tank; wastewater treatment unit; at updated plant - US_Without Amendment_Windrow</v>
      </c>
    </row>
    <row r="6414" spans="1:13" s="120" customFormat="1" x14ac:dyDescent="0.25">
      <c r="A6414" s="119"/>
      <c r="B6414" s="138" t="str">
        <f t="shared" si="465"/>
        <v>Windrow</v>
      </c>
      <c r="C6414" s="138" t="str">
        <f t="shared" si="470"/>
        <v>Without Amendment</v>
      </c>
      <c r="D6414" s="138" t="str">
        <f t="shared" si="468"/>
        <v>High_Low</v>
      </c>
      <c r="E6414" s="138" t="str">
        <f t="shared" si="471"/>
        <v>Low</v>
      </c>
      <c r="F6414" s="138" t="str">
        <f t="shared" si="466"/>
        <v>Upgraded</v>
      </c>
      <c r="G6414" s="153"/>
      <c r="H6414" s="210">
        <v>6.0000000000000001E-3</v>
      </c>
      <c r="I6414" s="160" t="s">
        <v>168</v>
      </c>
      <c r="J6414" s="160">
        <v>5.0930000000000003E-2</v>
      </c>
      <c r="K6414" s="160" t="s">
        <v>15</v>
      </c>
      <c r="L6414" s="154" t="str">
        <f>IF(OpenLCAbasic!K6414="CTUh", "Fill in Manually",IF(OR(K6414="Unit", K6414=""), "", INDEX(LookUps!$E$5:$E$12, MATCH(OpenLCAbasic!K6414,LookUps!$D$5:$D$12,0))))</f>
        <v>Cumulative Energy Demand (CED) - MJ</v>
      </c>
      <c r="M6414" s="154" t="str">
        <f t="shared" si="469"/>
        <v>Low_High_Low_Upgraded_Cumulative Energy Demand (CED) - MJ_ClearCove SCP; wastewater treatment unit; at updated plant - US_Without Amendment_Windrow</v>
      </c>
    </row>
    <row r="6415" spans="1:13" s="120" customFormat="1" x14ac:dyDescent="0.25">
      <c r="A6415" s="119"/>
      <c r="B6415" s="138" t="str">
        <f t="shared" si="465"/>
        <v>Windrow</v>
      </c>
      <c r="C6415" s="138" t="str">
        <f t="shared" si="470"/>
        <v>Without Amendment</v>
      </c>
      <c r="D6415" s="138" t="str">
        <f t="shared" si="468"/>
        <v>High_Low</v>
      </c>
      <c r="E6415" s="138" t="str">
        <f t="shared" si="471"/>
        <v>Low</v>
      </c>
      <c r="F6415" s="138" t="str">
        <f t="shared" si="466"/>
        <v>Upgraded</v>
      </c>
      <c r="G6415" s="153"/>
      <c r="H6415" s="210">
        <v>4.7999999999999996E-3</v>
      </c>
      <c r="I6415" s="160" t="s">
        <v>271</v>
      </c>
      <c r="J6415" s="160">
        <v>4.1300000000000003E-2</v>
      </c>
      <c r="K6415" s="160" t="s">
        <v>15</v>
      </c>
      <c r="L6415" s="154" t="str">
        <f>IF(OpenLCAbasic!K6415="CTUh", "Fill in Manually",IF(OR(K6415="Unit", K6415=""), "", INDEX(LookUps!$E$5:$E$12, MATCH(OpenLCAbasic!K6415,LookUps!$D$5:$D$12,0))))</f>
        <v>Cumulative Energy Demand (CED) - MJ</v>
      </c>
      <c r="M6415" s="154" t="str">
        <f t="shared" si="469"/>
        <v>Low_High_Low_Upgraded_Cumulative Energy Demand (CED) - MJ_Biosolids composting; windrow composting; wastewater treatment unit; at updated plant - US_Without Amendment_Windrow</v>
      </c>
    </row>
    <row r="6416" spans="1:13" s="120" customFormat="1" x14ac:dyDescent="0.25">
      <c r="A6416" s="119"/>
      <c r="B6416" s="138" t="str">
        <f t="shared" si="465"/>
        <v>Windrow</v>
      </c>
      <c r="C6416" s="138" t="str">
        <f t="shared" si="470"/>
        <v>Without Amendment</v>
      </c>
      <c r="D6416" s="138" t="str">
        <f t="shared" si="468"/>
        <v>High_Low</v>
      </c>
      <c r="E6416" s="138" t="str">
        <f t="shared" si="471"/>
        <v>Low</v>
      </c>
      <c r="F6416" s="138" t="str">
        <f t="shared" si="466"/>
        <v>Upgraded</v>
      </c>
      <c r="G6416" s="153"/>
      <c r="H6416" s="210">
        <v>-7.6999999999999999E-2</v>
      </c>
      <c r="I6416" s="160" t="s">
        <v>62</v>
      </c>
      <c r="J6416" s="160">
        <v>-0.65795999999999999</v>
      </c>
      <c r="K6416" s="160" t="s">
        <v>15</v>
      </c>
      <c r="L6416" s="154" t="str">
        <f>IF(OpenLCAbasic!K6416="CTUh", "Fill in Manually",IF(OR(K6416="Unit", K6416=""), "", INDEX(LookUps!$E$5:$E$12, MATCH(OpenLCAbasic!K6416,LookUps!$D$5:$D$12,0))))</f>
        <v>Cumulative Energy Demand (CED) - MJ</v>
      </c>
      <c r="M6416" s="154" t="str">
        <f t="shared" si="469"/>
        <v>Low_High_Low_Upgraded_Cumulative Energy Demand (CED) - MJ_Land application of compost; wastewater treatment unit; at updated plant - US_Without Amendment_Windrow</v>
      </c>
    </row>
    <row r="6417" spans="1:13" s="120" customFormat="1" x14ac:dyDescent="0.25">
      <c r="A6417" s="119"/>
      <c r="B6417" s="138" t="str">
        <f t="shared" si="465"/>
        <v>Windrow</v>
      </c>
      <c r="C6417" s="138" t="str">
        <f t="shared" si="470"/>
        <v>Without Amendment</v>
      </c>
      <c r="D6417" s="138" t="str">
        <f t="shared" si="468"/>
        <v>High_Low</v>
      </c>
      <c r="E6417" s="138" t="str">
        <f t="shared" si="471"/>
        <v>Low</v>
      </c>
      <c r="F6417" s="138" t="str">
        <f t="shared" si="466"/>
        <v>Upgraded</v>
      </c>
      <c r="G6417" s="153"/>
      <c r="H6417" s="210">
        <v>-0.56140000000000001</v>
      </c>
      <c r="I6417" s="160" t="s">
        <v>149</v>
      </c>
      <c r="J6417" s="160">
        <v>-4.7974600000000001</v>
      </c>
      <c r="K6417" s="160" t="s">
        <v>15</v>
      </c>
      <c r="L6417" s="154" t="str">
        <f>IF(OpenLCAbasic!K6417="CTUh", "Fill in Manually",IF(OR(K6417="Unit", K6417=""), "", INDEX(LookUps!$E$5:$E$12, MATCH(OpenLCAbasic!K6417,LookUps!$D$5:$D$12,0))))</f>
        <v>Cumulative Energy Demand (CED) - MJ</v>
      </c>
      <c r="M6417" s="154" t="str">
        <f t="shared" si="469"/>
        <v>Low_High_Low_Upgraded_Cumulative Energy Demand (CED) - MJ_Anaerobic Digestion; wastewater treatment unit; at updated plant - US_Without Amendment_Windrow</v>
      </c>
    </row>
    <row r="6418" spans="1:13" s="120" customFormat="1" x14ac:dyDescent="0.25">
      <c r="A6418" s="119"/>
      <c r="B6418" s="138" t="str">
        <f t="shared" si="465"/>
        <v/>
      </c>
      <c r="C6418" s="138" t="str">
        <f t="shared" si="470"/>
        <v/>
      </c>
      <c r="D6418" s="138" t="str">
        <f t="shared" si="468"/>
        <v/>
      </c>
      <c r="E6418" s="138" t="str">
        <f t="shared" si="471"/>
        <v/>
      </c>
      <c r="F6418" s="138" t="str">
        <f t="shared" si="466"/>
        <v/>
      </c>
      <c r="G6418" s="153" t="s">
        <v>51</v>
      </c>
      <c r="H6418" s="160"/>
      <c r="I6418" s="160" t="s">
        <v>47</v>
      </c>
      <c r="J6418" s="160" t="s">
        <v>52</v>
      </c>
      <c r="K6418" s="160" t="s">
        <v>27</v>
      </c>
      <c r="L6418" s="154" t="str">
        <f>IF(OpenLCAbasic!K6418="CTUh", "Fill in Manually",IF(OR(K6418="Unit", K6418=""), "", INDEX(LookUps!$E$5:$E$12, MATCH(OpenLCAbasic!K6418,LookUps!$D$5:$D$12,0))))</f>
        <v/>
      </c>
      <c r="M6418" s="154" t="str">
        <f t="shared" si="469"/>
        <v>____Process__</v>
      </c>
    </row>
    <row r="6419" spans="1:13" s="120" customFormat="1" x14ac:dyDescent="0.25">
      <c r="A6419" s="119"/>
      <c r="B6419" s="138" t="str">
        <f t="shared" si="465"/>
        <v>Windrow</v>
      </c>
      <c r="C6419" s="138" t="str">
        <f t="shared" si="470"/>
        <v>Without Amendment</v>
      </c>
      <c r="D6419" s="138" t="str">
        <f t="shared" si="468"/>
        <v>High_Low</v>
      </c>
      <c r="E6419" s="138" t="str">
        <f t="shared" si="471"/>
        <v>Low</v>
      </c>
      <c r="F6419" s="138" t="str">
        <f t="shared" si="466"/>
        <v>Upgraded</v>
      </c>
      <c r="G6419" s="153"/>
      <c r="H6419" s="210">
        <v>0.72860000000000003</v>
      </c>
      <c r="I6419" s="160" t="s">
        <v>48</v>
      </c>
      <c r="J6419" s="160">
        <v>1.1610000000000001E-2</v>
      </c>
      <c r="K6419" s="160" t="s">
        <v>13</v>
      </c>
      <c r="L6419" s="154" t="str">
        <f>IF(OpenLCAbasic!K6419="CTUh", "Fill in Manually",IF(OR(K6419="Unit", K6419=""), "", INDEX(LookUps!$E$5:$E$12, MATCH(OpenLCAbasic!K6419,LookUps!$D$5:$D$12,0))))</f>
        <v>Eutrophication Potential (EP) - kg N eq</v>
      </c>
      <c r="M6419" s="154" t="str">
        <f t="shared" si="469"/>
        <v>Low_High_Low_Upgraded_Eutrophication Potential (EP) - kg N eq_Effluent release; wastewater treatment unit; at surface water; m3 wastewater - US_Without Amendment_Windrow</v>
      </c>
    </row>
    <row r="6420" spans="1:13" s="120" customFormat="1" x14ac:dyDescent="0.25">
      <c r="A6420" s="119"/>
      <c r="B6420" s="138" t="str">
        <f t="shared" si="465"/>
        <v>Windrow</v>
      </c>
      <c r="C6420" s="138" t="str">
        <f t="shared" si="470"/>
        <v>Without Amendment</v>
      </c>
      <c r="D6420" s="138" t="str">
        <f t="shared" si="468"/>
        <v>High_Low</v>
      </c>
      <c r="E6420" s="138" t="str">
        <f t="shared" si="471"/>
        <v>Low</v>
      </c>
      <c r="F6420" s="138" t="str">
        <f t="shared" si="466"/>
        <v>Upgraded</v>
      </c>
      <c r="G6420" s="153"/>
      <c r="H6420" s="210">
        <v>0.18310000000000001</v>
      </c>
      <c r="I6420" s="160" t="s">
        <v>62</v>
      </c>
      <c r="J6420" s="160">
        <v>2.9199999999999999E-3</v>
      </c>
      <c r="K6420" s="160" t="s">
        <v>13</v>
      </c>
      <c r="L6420" s="154" t="str">
        <f>IF(OpenLCAbasic!K6420="CTUh", "Fill in Manually",IF(OR(K6420="Unit", K6420=""), "", INDEX(LookUps!$E$5:$E$12, MATCH(OpenLCAbasic!K6420,LookUps!$D$5:$D$12,0))))</f>
        <v>Eutrophication Potential (EP) - kg N eq</v>
      </c>
      <c r="M6420" s="154" t="str">
        <f t="shared" si="469"/>
        <v>Low_High_Low_Upgraded_Eutrophication Potential (EP) - kg N eq_Land application of compost; wastewater treatment unit; at updated plant - US_Without Amendment_Windrow</v>
      </c>
    </row>
    <row r="6421" spans="1:13" s="120" customFormat="1" x14ac:dyDescent="0.25">
      <c r="A6421" s="119"/>
      <c r="B6421" s="138" t="str">
        <f t="shared" si="465"/>
        <v>Windrow</v>
      </c>
      <c r="C6421" s="138" t="str">
        <f t="shared" si="470"/>
        <v>Without Amendment</v>
      </c>
      <c r="D6421" s="138" t="str">
        <f t="shared" si="468"/>
        <v>High_Low</v>
      </c>
      <c r="E6421" s="138" t="str">
        <f t="shared" si="471"/>
        <v>Low</v>
      </c>
      <c r="F6421" s="138" t="str">
        <f t="shared" si="466"/>
        <v>Upgraded</v>
      </c>
      <c r="G6421" s="153"/>
      <c r="H6421" s="210">
        <v>3.4299999999999997E-2</v>
      </c>
      <c r="I6421" s="160" t="s">
        <v>55</v>
      </c>
      <c r="J6421" s="160">
        <v>5.5000000000000003E-4</v>
      </c>
      <c r="K6421" s="160" t="s">
        <v>13</v>
      </c>
      <c r="L6421" s="154" t="str">
        <f>IF(OpenLCAbasic!K6421="CTUh", "Fill in Manually",IF(OR(K6421="Unit", K6421=""), "", INDEX(LookUps!$E$5:$E$12, MATCH(OpenLCAbasic!K6421,LookUps!$D$5:$D$12,0))))</f>
        <v>Eutrophication Potential (EP) - kg N eq</v>
      </c>
      <c r="M6421" s="154" t="str">
        <f t="shared" si="469"/>
        <v>Low_High_Low_Upgraded_Eutrophication Potential (EP) - kg N eq_Aeration Tanks; wastewater treatment unit; at updated plant - US_Without Amendment_Windrow</v>
      </c>
    </row>
    <row r="6422" spans="1:13" s="120" customFormat="1" x14ac:dyDescent="0.25">
      <c r="A6422" s="119"/>
      <c r="B6422" s="138" t="str">
        <f t="shared" si="465"/>
        <v>Windrow</v>
      </c>
      <c r="C6422" s="138" t="str">
        <f t="shared" si="470"/>
        <v>Without Amendment</v>
      </c>
      <c r="D6422" s="138" t="str">
        <f t="shared" si="468"/>
        <v>High_Low</v>
      </c>
      <c r="E6422" s="138" t="str">
        <f t="shared" si="471"/>
        <v>Low</v>
      </c>
      <c r="F6422" s="138" t="str">
        <f t="shared" si="466"/>
        <v>Upgraded</v>
      </c>
      <c r="G6422" s="153"/>
      <c r="H6422" s="210">
        <v>1.5699999999999999E-2</v>
      </c>
      <c r="I6422" s="160" t="s">
        <v>147</v>
      </c>
      <c r="J6422" s="160">
        <v>2.5000000000000001E-4</v>
      </c>
      <c r="K6422" s="160" t="s">
        <v>13</v>
      </c>
      <c r="L6422" s="154" t="str">
        <f>IF(OpenLCAbasic!K6422="CTUh", "Fill in Manually",IF(OR(K6422="Unit", K6422=""), "", INDEX(LookUps!$E$5:$E$12, MATCH(OpenLCAbasic!K6422,LookUps!$D$5:$D$12,0))))</f>
        <v>Eutrophication Potential (EP) - kg N eq</v>
      </c>
      <c r="M6422" s="154" t="str">
        <f t="shared" si="469"/>
        <v>Low_High_Low_Upgraded_Eutrophication Potential (EP) - kg N eq_Influent Pump Station; wastewater treatment unit; at updated plant - US_Without Amendment_Windrow</v>
      </c>
    </row>
    <row r="6423" spans="1:13" s="120" customFormat="1" x14ac:dyDescent="0.25">
      <c r="A6423" s="119"/>
      <c r="B6423" s="138" t="str">
        <f t="shared" si="465"/>
        <v>Windrow</v>
      </c>
      <c r="C6423" s="138" t="str">
        <f t="shared" si="470"/>
        <v>Without Amendment</v>
      </c>
      <c r="D6423" s="138" t="str">
        <f t="shared" si="468"/>
        <v>High_Low</v>
      </c>
      <c r="E6423" s="138" t="str">
        <f t="shared" si="471"/>
        <v>Low</v>
      </c>
      <c r="F6423" s="138" t="str">
        <f t="shared" si="466"/>
        <v>Upgraded</v>
      </c>
      <c r="G6423" s="153"/>
      <c r="H6423" s="210">
        <v>1.38E-2</v>
      </c>
      <c r="I6423" s="160" t="s">
        <v>167</v>
      </c>
      <c r="J6423" s="160">
        <v>2.2000000000000001E-4</v>
      </c>
      <c r="K6423" s="160" t="s">
        <v>13</v>
      </c>
      <c r="L6423" s="154" t="str">
        <f>IF(OpenLCAbasic!K6423="CTUh", "Fill in Manually",IF(OR(K6423="Unit", K6423=""), "", INDEX(LookUps!$E$5:$E$12, MATCH(OpenLCAbasic!K6423,LookUps!$D$5:$D$12,0))))</f>
        <v>Eutrophication Potential (EP) - kg N eq</v>
      </c>
      <c r="M6423" s="154" t="str">
        <f t="shared" si="469"/>
        <v>Low_High_Low_Upgraded_Eutrophication Potential (EP) - kg N eq_Waste Receiving and Holding; wastewater treatment unit; at updated plant - US_Without Amendment_Windrow</v>
      </c>
    </row>
    <row r="6424" spans="1:13" s="120" customFormat="1" x14ac:dyDescent="0.25">
      <c r="A6424" s="119"/>
      <c r="B6424" s="138" t="str">
        <f t="shared" si="465"/>
        <v>Windrow</v>
      </c>
      <c r="C6424" s="138" t="str">
        <f t="shared" si="470"/>
        <v>Without Amendment</v>
      </c>
      <c r="D6424" s="138" t="str">
        <f t="shared" si="468"/>
        <v>High_Low</v>
      </c>
      <c r="E6424" s="138" t="str">
        <f t="shared" si="471"/>
        <v>Low</v>
      </c>
      <c r="F6424" s="138" t="str">
        <f t="shared" si="466"/>
        <v>Upgraded</v>
      </c>
      <c r="G6424" s="153"/>
      <c r="H6424" s="210">
        <v>1.24E-2</v>
      </c>
      <c r="I6424" s="160" t="s">
        <v>54</v>
      </c>
      <c r="J6424" s="160">
        <v>2.0000000000000001E-4</v>
      </c>
      <c r="K6424" s="160" t="s">
        <v>13</v>
      </c>
      <c r="L6424" s="154" t="str">
        <f>IF(OpenLCAbasic!K6424="CTUh", "Fill in Manually",IF(OR(K6424="Unit", K6424=""), "", INDEX(LookUps!$E$5:$E$12, MATCH(OpenLCAbasic!K6424,LookUps!$D$5:$D$12,0))))</f>
        <v>Eutrophication Potential (EP) - kg N eq</v>
      </c>
      <c r="M6424" s="154" t="str">
        <f t="shared" si="469"/>
        <v>Low_High_Low_Upgraded_Eutrophication Potential (EP) - kg N eq_Clear Cove Primary Clarification; wastewater treatment unit; at updated plant - US_Without Amendment_Windrow</v>
      </c>
    </row>
    <row r="6425" spans="1:13" s="120" customFormat="1" x14ac:dyDescent="0.25">
      <c r="A6425" s="119"/>
      <c r="B6425" s="138" t="str">
        <f t="shared" si="465"/>
        <v>Windrow</v>
      </c>
      <c r="C6425" s="138" t="str">
        <f t="shared" si="470"/>
        <v>Without Amendment</v>
      </c>
      <c r="D6425" s="138" t="str">
        <f t="shared" si="468"/>
        <v>High_Low</v>
      </c>
      <c r="E6425" s="138" t="str">
        <f t="shared" si="471"/>
        <v>Low</v>
      </c>
      <c r="F6425" s="138" t="str">
        <f t="shared" si="466"/>
        <v>Upgraded</v>
      </c>
      <c r="G6425" s="153"/>
      <c r="H6425" s="210">
        <v>8.5000000000000006E-3</v>
      </c>
      <c r="I6425" s="160" t="s">
        <v>58</v>
      </c>
      <c r="J6425" s="160">
        <v>1.3999999999999999E-4</v>
      </c>
      <c r="K6425" s="160" t="s">
        <v>13</v>
      </c>
      <c r="L6425" s="154" t="str">
        <f>IF(OpenLCAbasic!K6425="CTUh", "Fill in Manually",IF(OR(K6425="Unit", K6425=""), "", INDEX(LookUps!$E$5:$E$12, MATCH(OpenLCAbasic!K6425,LookUps!$D$5:$D$12,0))))</f>
        <v>Eutrophication Potential (EP) - kg N eq</v>
      </c>
      <c r="M6425" s="154" t="str">
        <f t="shared" si="469"/>
        <v>Low_High_Low_Upgraded_Eutrophication Potential (EP) - kg N eq_Pre-Anoxic &amp; Swing tank; wastewater treatment unit; at updated plant - US_Without Amendment_Windrow</v>
      </c>
    </row>
    <row r="6426" spans="1:13" s="120" customFormat="1" x14ac:dyDescent="0.25">
      <c r="A6426" s="119"/>
      <c r="B6426" s="138" t="str">
        <f t="shared" si="465"/>
        <v>Windrow</v>
      </c>
      <c r="C6426" s="138" t="str">
        <f t="shared" si="470"/>
        <v>Without Amendment</v>
      </c>
      <c r="D6426" s="138" t="str">
        <f t="shared" si="468"/>
        <v>High_Low</v>
      </c>
      <c r="E6426" s="138" t="str">
        <f t="shared" si="471"/>
        <v>Low</v>
      </c>
      <c r="F6426" s="138" t="str">
        <f t="shared" si="466"/>
        <v>Upgraded</v>
      </c>
      <c r="G6426" s="153"/>
      <c r="H6426" s="210">
        <v>6.8999999999999999E-3</v>
      </c>
      <c r="I6426" s="160" t="s">
        <v>60</v>
      </c>
      <c r="J6426" s="160">
        <v>1.1E-4</v>
      </c>
      <c r="K6426" s="160" t="s">
        <v>13</v>
      </c>
      <c r="L6426" s="154" t="str">
        <f>IF(OpenLCAbasic!K6426="CTUh", "Fill in Manually",IF(OR(K6426="Unit", K6426=""), "", INDEX(LookUps!$E$5:$E$12, MATCH(OpenLCAbasic!K6426,LookUps!$D$5:$D$12,0))))</f>
        <v>Eutrophication Potential (EP) - kg N eq</v>
      </c>
      <c r="M6426" s="154" t="str">
        <f t="shared" si="469"/>
        <v>Low_High_Low_Upgraded_Eutrophication Potential (EP) - kg N eq_Belt filter press; wastewater treatment unit; at updated plant - US_Without Amendment_Windrow</v>
      </c>
    </row>
    <row r="6427" spans="1:13" s="120" customFormat="1" x14ac:dyDescent="0.25">
      <c r="A6427" s="119"/>
      <c r="B6427" s="138" t="str">
        <f t="shared" si="465"/>
        <v>Windrow</v>
      </c>
      <c r="C6427" s="138" t="str">
        <f t="shared" si="470"/>
        <v>Without Amendment</v>
      </c>
      <c r="D6427" s="138" t="str">
        <f t="shared" si="468"/>
        <v>High_Low</v>
      </c>
      <c r="E6427" s="138" t="str">
        <f t="shared" si="471"/>
        <v>Low</v>
      </c>
      <c r="F6427" s="138" t="str">
        <f t="shared" si="466"/>
        <v>Upgraded</v>
      </c>
      <c r="G6427" s="153"/>
      <c r="H6427" s="210">
        <v>6.7000000000000002E-3</v>
      </c>
      <c r="I6427" s="160" t="s">
        <v>53</v>
      </c>
      <c r="J6427" s="211">
        <v>1.1E-4</v>
      </c>
      <c r="K6427" s="160" t="s">
        <v>13</v>
      </c>
      <c r="L6427" s="154" t="str">
        <f>IF(OpenLCAbasic!K6427="CTUh", "Fill in Manually",IF(OR(K6427="Unit", K6427=""), "", INDEX(LookUps!$E$5:$E$12, MATCH(OpenLCAbasic!K6427,LookUps!$D$5:$D$12,0))))</f>
        <v>Eutrophication Potential (EP) - kg N eq</v>
      </c>
      <c r="M6427" s="154" t="str">
        <f t="shared" si="469"/>
        <v>Low_High_Low_Upgraded_Eutrophication Potential (EP) - kg N eq_Wet Well and Sump Station; wastewater treatment unit; at updated plant - US_Without Amendment_Windrow</v>
      </c>
    </row>
    <row r="6428" spans="1:13" s="120" customFormat="1" x14ac:dyDescent="0.25">
      <c r="A6428" s="119"/>
      <c r="B6428" s="138" t="str">
        <f t="shared" si="465"/>
        <v>Windrow</v>
      </c>
      <c r="C6428" s="138" t="str">
        <f t="shared" si="470"/>
        <v>Without Amendment</v>
      </c>
      <c r="D6428" s="138" t="str">
        <f t="shared" si="468"/>
        <v>High_Low</v>
      </c>
      <c r="E6428" s="138" t="str">
        <f t="shared" si="471"/>
        <v>Low</v>
      </c>
      <c r="F6428" s="138" t="str">
        <f t="shared" si="466"/>
        <v>Upgraded</v>
      </c>
      <c r="G6428" s="153"/>
      <c r="H6428" s="210">
        <v>5.7000000000000002E-3</v>
      </c>
      <c r="I6428" s="160" t="s">
        <v>271</v>
      </c>
      <c r="J6428" s="211">
        <v>9.04858E-5</v>
      </c>
      <c r="K6428" s="160" t="s">
        <v>13</v>
      </c>
      <c r="L6428" s="154" t="str">
        <f>IF(OpenLCAbasic!K6428="CTUh", "Fill in Manually",IF(OR(K6428="Unit", K6428=""), "", INDEX(LookUps!$E$5:$E$12, MATCH(OpenLCAbasic!K6428,LookUps!$D$5:$D$12,0))))</f>
        <v>Eutrophication Potential (EP) - kg N eq</v>
      </c>
      <c r="M6428" s="154" t="str">
        <f t="shared" si="469"/>
        <v>Low_High_Low_Upgraded_Eutrophication Potential (EP) - kg N eq_Biosolids composting; windrow composting; wastewater treatment unit; at updated plant - US_Without Amendment_Windrow</v>
      </c>
    </row>
    <row r="6429" spans="1:13" s="120" customFormat="1" x14ac:dyDescent="0.25">
      <c r="A6429" s="119"/>
      <c r="B6429" s="138" t="str">
        <f t="shared" si="465"/>
        <v>Windrow</v>
      </c>
      <c r="C6429" s="138" t="str">
        <f t="shared" si="470"/>
        <v>Without Amendment</v>
      </c>
      <c r="D6429" s="138" t="str">
        <f t="shared" si="468"/>
        <v>High_Low</v>
      </c>
      <c r="E6429" s="138" t="str">
        <f t="shared" si="471"/>
        <v>Low</v>
      </c>
      <c r="F6429" s="138" t="str">
        <f t="shared" si="466"/>
        <v>Upgraded</v>
      </c>
      <c r="G6429" s="153"/>
      <c r="H6429" s="210">
        <v>3.8E-3</v>
      </c>
      <c r="I6429" s="160" t="s">
        <v>57</v>
      </c>
      <c r="J6429" s="211">
        <v>6.0590300000000002E-5</v>
      </c>
      <c r="K6429" s="160" t="s">
        <v>13</v>
      </c>
      <c r="L6429" s="154" t="str">
        <f>IF(OpenLCAbasic!K6429="CTUh", "Fill in Manually",IF(OR(K6429="Unit", K6429=""), "", INDEX(LookUps!$E$5:$E$12, MATCH(OpenLCAbasic!K6429,LookUps!$D$5:$D$12,0))))</f>
        <v>Eutrophication Potential (EP) - kg N eq</v>
      </c>
      <c r="M6429" s="154" t="str">
        <f t="shared" si="469"/>
        <v>Low_High_Low_Upgraded_Eutrophication Potential (EP) - kg N eq_Gravity Belt Thickener; wastewater treatment unit; at updated plant - US_Without Amendment_Windrow</v>
      </c>
    </row>
    <row r="6430" spans="1:13" s="120" customFormat="1" x14ac:dyDescent="0.25">
      <c r="A6430" s="119"/>
      <c r="B6430" s="138" t="str">
        <f t="shared" si="465"/>
        <v>Windrow</v>
      </c>
      <c r="C6430" s="138" t="str">
        <f t="shared" si="470"/>
        <v>Without Amendment</v>
      </c>
      <c r="D6430" s="138" t="str">
        <f t="shared" si="468"/>
        <v>High_Low</v>
      </c>
      <c r="E6430" s="138" t="str">
        <f t="shared" si="471"/>
        <v>Low</v>
      </c>
      <c r="F6430" s="138" t="str">
        <f t="shared" si="466"/>
        <v>Upgraded</v>
      </c>
      <c r="G6430" s="153"/>
      <c r="H6430" s="210">
        <v>2.3999999999999998E-3</v>
      </c>
      <c r="I6430" s="160" t="s">
        <v>128</v>
      </c>
      <c r="J6430" s="211">
        <v>3.7559799999999999E-5</v>
      </c>
      <c r="K6430" s="160" t="s">
        <v>13</v>
      </c>
      <c r="L6430" s="154" t="str">
        <f>IF(OpenLCAbasic!K6430="CTUh", "Fill in Manually",IF(OR(K6430="Unit", K6430=""), "", INDEX(LookUps!$E$5:$E$12, MATCH(OpenLCAbasic!K6430,LookUps!$D$5:$D$12,0))))</f>
        <v>Eutrophication Potential (EP) - kg N eq</v>
      </c>
      <c r="M6430" s="154" t="str">
        <f t="shared" si="469"/>
        <v>Low_High_Low_Upgraded_Eutrophication Potential (EP) - kg N eq_Wastewater collection; operation and infrastructure; m3 wastewater_Without Amendment_Windrow</v>
      </c>
    </row>
    <row r="6431" spans="1:13" s="120" customFormat="1" x14ac:dyDescent="0.25">
      <c r="A6431" s="119"/>
      <c r="B6431" s="138" t="str">
        <f t="shared" si="465"/>
        <v>Windrow</v>
      </c>
      <c r="C6431" s="138" t="str">
        <f t="shared" si="470"/>
        <v>Without Amendment</v>
      </c>
      <c r="D6431" s="138" t="str">
        <f t="shared" si="468"/>
        <v>High_Low</v>
      </c>
      <c r="E6431" s="138" t="str">
        <f t="shared" si="471"/>
        <v>Low</v>
      </c>
      <c r="F6431" s="138" t="str">
        <f t="shared" si="466"/>
        <v>Upgraded</v>
      </c>
      <c r="G6431" s="153"/>
      <c r="H6431" s="210">
        <v>2.3E-3</v>
      </c>
      <c r="I6431" s="160" t="s">
        <v>148</v>
      </c>
      <c r="J6431" s="211">
        <v>3.6874600000000001E-5</v>
      </c>
      <c r="K6431" s="160" t="s">
        <v>13</v>
      </c>
      <c r="L6431" s="154" t="str">
        <f>IF(OpenLCAbasic!K6431="CTUh", "Fill in Manually",IF(OR(K6431="Unit", K6431=""), "", INDEX(LookUps!$E$5:$E$12, MATCH(OpenLCAbasic!K6431,LookUps!$D$5:$D$12,0))))</f>
        <v>Eutrophication Potential (EP) - kg N eq</v>
      </c>
      <c r="M6431" s="154" t="str">
        <f t="shared" si="469"/>
        <v>Low_High_Low_Upgraded_Eutrophication Potential (EP) - kg N eq_Control Building; at upgraded wastewater treatment plant - US_Without Amendment_Windrow</v>
      </c>
    </row>
    <row r="6432" spans="1:13" s="120" customFormat="1" x14ac:dyDescent="0.25">
      <c r="A6432" s="119"/>
      <c r="B6432" s="138" t="str">
        <f t="shared" si="465"/>
        <v>Windrow</v>
      </c>
      <c r="C6432" s="138" t="str">
        <f t="shared" si="470"/>
        <v>Without Amendment</v>
      </c>
      <c r="D6432" s="138" t="str">
        <f t="shared" si="468"/>
        <v>High_Low</v>
      </c>
      <c r="E6432" s="138" t="str">
        <f t="shared" si="471"/>
        <v>Low</v>
      </c>
      <c r="F6432" s="138" t="str">
        <f t="shared" si="466"/>
        <v>Upgraded</v>
      </c>
      <c r="G6432" s="153"/>
      <c r="H6432" s="210">
        <v>1E-3</v>
      </c>
      <c r="I6432" s="160" t="s">
        <v>59</v>
      </c>
      <c r="J6432" s="211">
        <v>1.6215700000000001E-5</v>
      </c>
      <c r="K6432" s="160" t="s">
        <v>13</v>
      </c>
      <c r="L6432" s="154" t="str">
        <f>IF(OpenLCAbasic!K6432="CTUh", "Fill in Manually",IF(OR(K6432="Unit", K6432=""), "", INDEX(LookUps!$E$5:$E$12, MATCH(OpenLCAbasic!K6432,LookUps!$D$5:$D$12,0))))</f>
        <v>Eutrophication Potential (EP) - kg N eq</v>
      </c>
      <c r="M6432" s="154" t="str">
        <f t="shared" si="469"/>
        <v>Low_High_Low_Upgraded_Eutrophication Potential (EP) - kg N eq_Blend Tank; wastewater treatment unit; at updated plant - US_Without Amendment_Windrow</v>
      </c>
    </row>
    <row r="6433" spans="1:13" s="120" customFormat="1" x14ac:dyDescent="0.25">
      <c r="A6433" s="119"/>
      <c r="B6433" s="138" t="str">
        <f t="shared" si="465"/>
        <v>Windrow</v>
      </c>
      <c r="C6433" s="138" t="str">
        <f t="shared" si="470"/>
        <v>Without Amendment</v>
      </c>
      <c r="D6433" s="138" t="str">
        <f t="shared" si="468"/>
        <v>High_Low</v>
      </c>
      <c r="E6433" s="138" t="str">
        <f t="shared" si="471"/>
        <v>Low</v>
      </c>
      <c r="F6433" s="138" t="str">
        <f t="shared" si="466"/>
        <v>Upgraded</v>
      </c>
      <c r="G6433" s="153"/>
      <c r="H6433" s="210">
        <v>5.0000000000000001E-4</v>
      </c>
      <c r="I6433" s="160" t="s">
        <v>168</v>
      </c>
      <c r="J6433" s="211">
        <v>7.7567199999999995E-6</v>
      </c>
      <c r="K6433" s="160" t="s">
        <v>13</v>
      </c>
      <c r="L6433" s="154" t="str">
        <f>IF(OpenLCAbasic!K6433="CTUh", "Fill in Manually",IF(OR(K6433="Unit", K6433=""), "", INDEX(LookUps!$E$5:$E$12, MATCH(OpenLCAbasic!K6433,LookUps!$D$5:$D$12,0))))</f>
        <v>Eutrophication Potential (EP) - kg N eq</v>
      </c>
      <c r="M6433" s="154" t="str">
        <f t="shared" si="469"/>
        <v>Low_High_Low_Upgraded_Eutrophication Potential (EP) - kg N eq_ClearCove SCP; wastewater treatment unit; at updated plant - US_Without Amendment_Windrow</v>
      </c>
    </row>
    <row r="6434" spans="1:13" s="120" customFormat="1" x14ac:dyDescent="0.25">
      <c r="A6434" s="119"/>
      <c r="B6434" s="138" t="str">
        <f t="shared" si="465"/>
        <v>Windrow</v>
      </c>
      <c r="C6434" s="138" t="str">
        <f t="shared" si="470"/>
        <v>Without Amendment</v>
      </c>
      <c r="D6434" s="138" t="str">
        <f t="shared" si="468"/>
        <v>High_Low</v>
      </c>
      <c r="E6434" s="138" t="str">
        <f t="shared" si="471"/>
        <v>Low</v>
      </c>
      <c r="F6434" s="138" t="str">
        <f t="shared" si="466"/>
        <v>Upgraded</v>
      </c>
      <c r="G6434" s="153"/>
      <c r="H6434" s="210">
        <v>-2.58E-2</v>
      </c>
      <c r="I6434" s="160" t="s">
        <v>149</v>
      </c>
      <c r="J6434" s="160">
        <v>-4.0999999999999999E-4</v>
      </c>
      <c r="K6434" s="160" t="s">
        <v>13</v>
      </c>
      <c r="L6434" s="154" t="str">
        <f>IF(OpenLCAbasic!K6434="CTUh", "Fill in Manually",IF(OR(K6434="Unit", K6434=""), "", INDEX(LookUps!$E$5:$E$12, MATCH(OpenLCAbasic!K6434,LookUps!$D$5:$D$12,0))))</f>
        <v>Eutrophication Potential (EP) - kg N eq</v>
      </c>
      <c r="M6434" s="154" t="str">
        <f t="shared" si="469"/>
        <v>Low_High_Low_Upgraded_Eutrophication Potential (EP) - kg N eq_Anaerobic Digestion; wastewater treatment unit; at updated plant - US_Without Amendment_Windrow</v>
      </c>
    </row>
    <row r="6435" spans="1:13" s="120" customFormat="1" x14ac:dyDescent="0.25">
      <c r="A6435" s="119"/>
      <c r="B6435" s="138" t="str">
        <f t="shared" si="465"/>
        <v/>
      </c>
      <c r="C6435" s="138" t="str">
        <f t="shared" si="470"/>
        <v/>
      </c>
      <c r="D6435" s="138" t="str">
        <f t="shared" si="468"/>
        <v/>
      </c>
      <c r="E6435" s="138" t="str">
        <f t="shared" si="471"/>
        <v/>
      </c>
      <c r="F6435" s="138" t="str">
        <f t="shared" si="466"/>
        <v/>
      </c>
      <c r="G6435" s="153" t="s">
        <v>51</v>
      </c>
      <c r="H6435" s="160"/>
      <c r="I6435" s="160" t="s">
        <v>47</v>
      </c>
      <c r="J6435" s="160" t="s">
        <v>52</v>
      </c>
      <c r="K6435" s="160" t="s">
        <v>27</v>
      </c>
      <c r="L6435" s="154" t="str">
        <f>IF(OpenLCAbasic!K6435="CTUh", "Fill in Manually",IF(OR(K6435="Unit", K6435=""), "", INDEX(LookUps!$E$5:$E$12, MATCH(OpenLCAbasic!K6435,LookUps!$D$5:$D$12,0))))</f>
        <v/>
      </c>
      <c r="M6435" s="154" t="str">
        <f t="shared" si="469"/>
        <v>____Process__</v>
      </c>
    </row>
    <row r="6436" spans="1:13" s="120" customFormat="1" x14ac:dyDescent="0.25">
      <c r="A6436" s="119"/>
      <c r="B6436" s="138" t="str">
        <f t="shared" si="465"/>
        <v>Windrow</v>
      </c>
      <c r="C6436" s="138" t="str">
        <f t="shared" si="470"/>
        <v>Without Amendment</v>
      </c>
      <c r="D6436" s="138" t="str">
        <f t="shared" si="468"/>
        <v>High_Low</v>
      </c>
      <c r="E6436" s="138" t="str">
        <f t="shared" si="471"/>
        <v>Low</v>
      </c>
      <c r="F6436" s="138" t="str">
        <f t="shared" si="466"/>
        <v>Upgraded</v>
      </c>
      <c r="G6436" s="153"/>
      <c r="H6436" s="210">
        <v>0.6885</v>
      </c>
      <c r="I6436" s="160" t="s">
        <v>167</v>
      </c>
      <c r="J6436" s="160">
        <v>0.11719</v>
      </c>
      <c r="K6436" s="160" t="s">
        <v>14</v>
      </c>
      <c r="L6436" s="154" t="str">
        <f>IF(OpenLCAbasic!K6436="CTUh", "Fill in Manually",IF(OR(K6436="Unit", K6436=""), "", INDEX(LookUps!$E$5:$E$12, MATCH(OpenLCAbasic!K6436,LookUps!$D$5:$D$12,0))))</f>
        <v>Fossil Depletion Potential (FDP) - kg oil eq</v>
      </c>
      <c r="M6436" s="154" t="str">
        <f t="shared" si="469"/>
        <v>Low_High_Low_Upgraded_Fossil Depletion Potential (FDP) - kg oil eq_Waste Receiving and Holding; wastewater treatment unit; at updated plant - US_Without Amendment_Windrow</v>
      </c>
    </row>
    <row r="6437" spans="1:13" s="120" customFormat="1" x14ac:dyDescent="0.25">
      <c r="A6437" s="119"/>
      <c r="B6437" s="138" t="str">
        <f t="shared" si="465"/>
        <v>Windrow</v>
      </c>
      <c r="C6437" s="138" t="str">
        <f t="shared" si="470"/>
        <v>Without Amendment</v>
      </c>
      <c r="D6437" s="138" t="str">
        <f t="shared" si="468"/>
        <v>High_Low</v>
      </c>
      <c r="E6437" s="138" t="str">
        <f t="shared" si="471"/>
        <v>Low</v>
      </c>
      <c r="F6437" s="138" t="str">
        <f t="shared" si="466"/>
        <v>Upgraded</v>
      </c>
      <c r="G6437" s="153"/>
      <c r="H6437" s="210">
        <v>0.37359999999999999</v>
      </c>
      <c r="I6437" s="160" t="s">
        <v>55</v>
      </c>
      <c r="J6437" s="160">
        <v>6.3589999999999994E-2</v>
      </c>
      <c r="K6437" s="160" t="s">
        <v>14</v>
      </c>
      <c r="L6437" s="154" t="str">
        <f>IF(OpenLCAbasic!K6437="CTUh", "Fill in Manually",IF(OR(K6437="Unit", K6437=""), "", INDEX(LookUps!$E$5:$E$12, MATCH(OpenLCAbasic!K6437,LookUps!$D$5:$D$12,0))))</f>
        <v>Fossil Depletion Potential (FDP) - kg oil eq</v>
      </c>
      <c r="M6437" s="154" t="str">
        <f t="shared" si="469"/>
        <v>Low_High_Low_Upgraded_Fossil Depletion Potential (FDP) - kg oil eq_Aeration Tanks; wastewater treatment unit; at updated plant - US_Without Amendment_Windrow</v>
      </c>
    </row>
    <row r="6438" spans="1:13" s="120" customFormat="1" x14ac:dyDescent="0.25">
      <c r="A6438" s="119"/>
      <c r="B6438" s="138" t="str">
        <f t="shared" si="465"/>
        <v>Windrow</v>
      </c>
      <c r="C6438" s="138" t="str">
        <f t="shared" si="470"/>
        <v>Without Amendment</v>
      </c>
      <c r="D6438" s="138" t="str">
        <f t="shared" si="468"/>
        <v>High_Low</v>
      </c>
      <c r="E6438" s="138" t="str">
        <f t="shared" si="471"/>
        <v>Low</v>
      </c>
      <c r="F6438" s="138" t="str">
        <f t="shared" si="466"/>
        <v>Upgraded</v>
      </c>
      <c r="G6438" s="153"/>
      <c r="H6438" s="210">
        <v>0.1237</v>
      </c>
      <c r="I6438" s="160" t="s">
        <v>54</v>
      </c>
      <c r="J6438" s="160">
        <v>2.1049999999999999E-2</v>
      </c>
      <c r="K6438" s="160" t="s">
        <v>14</v>
      </c>
      <c r="L6438" s="154" t="str">
        <f>IF(OpenLCAbasic!K6438="CTUh", "Fill in Manually",IF(OR(K6438="Unit", K6438=""), "", INDEX(LookUps!$E$5:$E$12, MATCH(OpenLCAbasic!K6438,LookUps!$D$5:$D$12,0))))</f>
        <v>Fossil Depletion Potential (FDP) - kg oil eq</v>
      </c>
      <c r="M6438" s="154" t="str">
        <f t="shared" si="469"/>
        <v>Low_High_Low_Upgraded_Fossil Depletion Potential (FDP) - kg oil eq_Clear Cove Primary Clarification; wastewater treatment unit; at updated plant - US_Without Amendment_Windrow</v>
      </c>
    </row>
    <row r="6439" spans="1:13" s="120" customFormat="1" x14ac:dyDescent="0.25">
      <c r="A6439" s="119"/>
      <c r="B6439" s="138" t="str">
        <f t="shared" si="465"/>
        <v>Windrow</v>
      </c>
      <c r="C6439" s="138" t="str">
        <f t="shared" si="470"/>
        <v>Without Amendment</v>
      </c>
      <c r="D6439" s="138" t="str">
        <f t="shared" si="468"/>
        <v>High_Low</v>
      </c>
      <c r="E6439" s="138" t="str">
        <f t="shared" si="471"/>
        <v>Low</v>
      </c>
      <c r="F6439" s="138" t="str">
        <f t="shared" si="466"/>
        <v>Upgraded</v>
      </c>
      <c r="G6439" s="153"/>
      <c r="H6439" s="210">
        <v>9.4200000000000006E-2</v>
      </c>
      <c r="I6439" s="160" t="s">
        <v>58</v>
      </c>
      <c r="J6439" s="160">
        <v>1.6039999999999999E-2</v>
      </c>
      <c r="K6439" s="160" t="s">
        <v>14</v>
      </c>
      <c r="L6439" s="154" t="str">
        <f>IF(OpenLCAbasic!K6439="CTUh", "Fill in Manually",IF(OR(K6439="Unit", K6439=""), "", INDEX(LookUps!$E$5:$E$12, MATCH(OpenLCAbasic!K6439,LookUps!$D$5:$D$12,0))))</f>
        <v>Fossil Depletion Potential (FDP) - kg oil eq</v>
      </c>
      <c r="M6439" s="154" t="str">
        <f t="shared" si="469"/>
        <v>Low_High_Low_Upgraded_Fossil Depletion Potential (FDP) - kg oil eq_Pre-Anoxic &amp; Swing tank; wastewater treatment unit; at updated plant - US_Without Amendment_Windrow</v>
      </c>
    </row>
    <row r="6440" spans="1:13" s="120" customFormat="1" x14ac:dyDescent="0.25">
      <c r="A6440" s="119"/>
      <c r="B6440" s="138" t="str">
        <f t="shared" ref="B6440:B6503" si="472">IF(F6440="Legacy","n.a.",IF(F6440="","","Windrow"))</f>
        <v>Windrow</v>
      </c>
      <c r="C6440" s="138" t="str">
        <f t="shared" si="470"/>
        <v>Without Amendment</v>
      </c>
      <c r="D6440" s="138" t="str">
        <f t="shared" si="468"/>
        <v>High_Low</v>
      </c>
      <c r="E6440" s="138" t="str">
        <f t="shared" si="471"/>
        <v>Low</v>
      </c>
      <c r="F6440" s="138" t="str">
        <f t="shared" ref="F6440:F6503" si="473">IF(ISNUMBER(J6440),"Upgraded","")</f>
        <v>Upgraded</v>
      </c>
      <c r="G6440" s="153"/>
      <c r="H6440" s="210">
        <v>8.8599999999999998E-2</v>
      </c>
      <c r="I6440" s="160" t="s">
        <v>147</v>
      </c>
      <c r="J6440" s="160">
        <v>1.5089999999999999E-2</v>
      </c>
      <c r="K6440" s="160" t="s">
        <v>14</v>
      </c>
      <c r="L6440" s="154" t="str">
        <f>IF(OpenLCAbasic!K6440="CTUh", "Fill in Manually",IF(OR(K6440="Unit", K6440=""), "", INDEX(LookUps!$E$5:$E$12, MATCH(OpenLCAbasic!K6440,LookUps!$D$5:$D$12,0))))</f>
        <v>Fossil Depletion Potential (FDP) - kg oil eq</v>
      </c>
      <c r="M6440" s="154" t="str">
        <f t="shared" si="469"/>
        <v>Low_High_Low_Upgraded_Fossil Depletion Potential (FDP) - kg oil eq_Influent Pump Station; wastewater treatment unit; at updated plant - US_Without Amendment_Windrow</v>
      </c>
    </row>
    <row r="6441" spans="1:13" s="120" customFormat="1" x14ac:dyDescent="0.25">
      <c r="A6441" s="119"/>
      <c r="B6441" s="138" t="str">
        <f t="shared" si="472"/>
        <v>Windrow</v>
      </c>
      <c r="C6441" s="138" t="str">
        <f t="shared" si="470"/>
        <v>Without Amendment</v>
      </c>
      <c r="D6441" s="138" t="str">
        <f t="shared" si="468"/>
        <v>High_Low</v>
      </c>
      <c r="E6441" s="138" t="str">
        <f t="shared" si="471"/>
        <v>Low</v>
      </c>
      <c r="F6441" s="138" t="str">
        <f t="shared" si="473"/>
        <v>Upgraded</v>
      </c>
      <c r="G6441" s="153"/>
      <c r="H6441" s="210">
        <v>7.4399999999999994E-2</v>
      </c>
      <c r="I6441" s="160" t="s">
        <v>60</v>
      </c>
      <c r="J6441" s="160">
        <v>1.2659999999999999E-2</v>
      </c>
      <c r="K6441" s="160" t="s">
        <v>14</v>
      </c>
      <c r="L6441" s="154" t="str">
        <f>IF(OpenLCAbasic!K6441="CTUh", "Fill in Manually",IF(OR(K6441="Unit", K6441=""), "", INDEX(LookUps!$E$5:$E$12, MATCH(OpenLCAbasic!K6441,LookUps!$D$5:$D$12,0))))</f>
        <v>Fossil Depletion Potential (FDP) - kg oil eq</v>
      </c>
      <c r="M6441" s="154" t="str">
        <f t="shared" si="469"/>
        <v>Low_High_Low_Upgraded_Fossil Depletion Potential (FDP) - kg oil eq_Belt filter press; wastewater treatment unit; at updated plant - US_Without Amendment_Windrow</v>
      </c>
    </row>
    <row r="6442" spans="1:13" s="120" customFormat="1" x14ac:dyDescent="0.25">
      <c r="A6442" s="119"/>
      <c r="B6442" s="138" t="str">
        <f t="shared" si="472"/>
        <v>Windrow</v>
      </c>
      <c r="C6442" s="138" t="str">
        <f t="shared" si="470"/>
        <v>Without Amendment</v>
      </c>
      <c r="D6442" s="138" t="str">
        <f t="shared" si="468"/>
        <v>High_Low</v>
      </c>
      <c r="E6442" s="138" t="str">
        <f t="shared" si="471"/>
        <v>Low</v>
      </c>
      <c r="F6442" s="138" t="str">
        <f t="shared" si="473"/>
        <v>Upgraded</v>
      </c>
      <c r="G6442" s="153"/>
      <c r="H6442" s="210">
        <v>7.3400000000000007E-2</v>
      </c>
      <c r="I6442" s="160" t="s">
        <v>53</v>
      </c>
      <c r="J6442" s="160">
        <v>1.2489999999999999E-2</v>
      </c>
      <c r="K6442" s="160" t="s">
        <v>14</v>
      </c>
      <c r="L6442" s="154" t="str">
        <f>IF(OpenLCAbasic!K6442="CTUh", "Fill in Manually",IF(OR(K6442="Unit", K6442=""), "", INDEX(LookUps!$E$5:$E$12, MATCH(OpenLCAbasic!K6442,LookUps!$D$5:$D$12,0))))</f>
        <v>Fossil Depletion Potential (FDP) - kg oil eq</v>
      </c>
      <c r="M6442" s="154" t="str">
        <f t="shared" si="469"/>
        <v>Low_High_Low_Upgraded_Fossil Depletion Potential (FDP) - kg oil eq_Wet Well and Sump Station; wastewater treatment unit; at updated plant - US_Without Amendment_Windrow</v>
      </c>
    </row>
    <row r="6443" spans="1:13" s="120" customFormat="1" x14ac:dyDescent="0.25">
      <c r="A6443" s="119"/>
      <c r="B6443" s="138" t="str">
        <f t="shared" si="472"/>
        <v>Windrow</v>
      </c>
      <c r="C6443" s="138" t="str">
        <f t="shared" si="470"/>
        <v>Without Amendment</v>
      </c>
      <c r="D6443" s="138" t="str">
        <f t="shared" si="468"/>
        <v>High_Low</v>
      </c>
      <c r="E6443" s="138" t="str">
        <f t="shared" si="471"/>
        <v>Low</v>
      </c>
      <c r="F6443" s="138" t="str">
        <f t="shared" si="473"/>
        <v>Upgraded</v>
      </c>
      <c r="G6443" s="153"/>
      <c r="H6443" s="210">
        <v>4.0599999999999997E-2</v>
      </c>
      <c r="I6443" s="160" t="s">
        <v>57</v>
      </c>
      <c r="J6443" s="160">
        <v>6.9199999999999999E-3</v>
      </c>
      <c r="K6443" s="160" t="s">
        <v>14</v>
      </c>
      <c r="L6443" s="154" t="str">
        <f>IF(OpenLCAbasic!K6443="CTUh", "Fill in Manually",IF(OR(K6443="Unit", K6443=""), "", INDEX(LookUps!$E$5:$E$12, MATCH(OpenLCAbasic!K6443,LookUps!$D$5:$D$12,0))))</f>
        <v>Fossil Depletion Potential (FDP) - kg oil eq</v>
      </c>
      <c r="M6443" s="154" t="str">
        <f t="shared" si="469"/>
        <v>Low_High_Low_Upgraded_Fossil Depletion Potential (FDP) - kg oil eq_Gravity Belt Thickener; wastewater treatment unit; at updated plant - US_Without Amendment_Windrow</v>
      </c>
    </row>
    <row r="6444" spans="1:13" s="120" customFormat="1" x14ac:dyDescent="0.25">
      <c r="A6444" s="119"/>
      <c r="B6444" s="138" t="str">
        <f t="shared" si="472"/>
        <v>Windrow</v>
      </c>
      <c r="C6444" s="138" t="str">
        <f t="shared" si="470"/>
        <v>Without Amendment</v>
      </c>
      <c r="D6444" s="138" t="str">
        <f t="shared" si="468"/>
        <v>High_Low</v>
      </c>
      <c r="E6444" s="138" t="str">
        <f t="shared" si="471"/>
        <v>Low</v>
      </c>
      <c r="F6444" s="138" t="str">
        <f t="shared" si="473"/>
        <v>Upgraded</v>
      </c>
      <c r="G6444" s="153"/>
      <c r="H6444" s="210">
        <v>2.64E-2</v>
      </c>
      <c r="I6444" s="160" t="s">
        <v>128</v>
      </c>
      <c r="J6444" s="160">
        <v>4.4999999999999997E-3</v>
      </c>
      <c r="K6444" s="160" t="s">
        <v>14</v>
      </c>
      <c r="L6444" s="154" t="str">
        <f>IF(OpenLCAbasic!K6444="CTUh", "Fill in Manually",IF(OR(K6444="Unit", K6444=""), "", INDEX(LookUps!$E$5:$E$12, MATCH(OpenLCAbasic!K6444,LookUps!$D$5:$D$12,0))))</f>
        <v>Fossil Depletion Potential (FDP) - kg oil eq</v>
      </c>
      <c r="M6444" s="154" t="str">
        <f t="shared" si="469"/>
        <v>Low_High_Low_Upgraded_Fossil Depletion Potential (FDP) - kg oil eq_Wastewater collection; operation and infrastructure; m3 wastewater_Without Amendment_Windrow</v>
      </c>
    </row>
    <row r="6445" spans="1:13" s="120" customFormat="1" x14ac:dyDescent="0.25">
      <c r="A6445" s="119"/>
      <c r="B6445" s="138" t="str">
        <f t="shared" si="472"/>
        <v>Windrow</v>
      </c>
      <c r="C6445" s="138" t="str">
        <f t="shared" si="470"/>
        <v>Without Amendment</v>
      </c>
      <c r="D6445" s="138" t="str">
        <f t="shared" si="468"/>
        <v>High_Low</v>
      </c>
      <c r="E6445" s="138" t="str">
        <f t="shared" si="471"/>
        <v>Low</v>
      </c>
      <c r="F6445" s="138" t="str">
        <f t="shared" si="473"/>
        <v>Upgraded</v>
      </c>
      <c r="G6445" s="153"/>
      <c r="H6445" s="210">
        <v>1.6400000000000001E-2</v>
      </c>
      <c r="I6445" s="160" t="s">
        <v>148</v>
      </c>
      <c r="J6445" s="160">
        <v>2.8E-3</v>
      </c>
      <c r="K6445" s="160" t="s">
        <v>14</v>
      </c>
      <c r="L6445" s="154" t="str">
        <f>IF(OpenLCAbasic!K6445="CTUh", "Fill in Manually",IF(OR(K6445="Unit", K6445=""), "", INDEX(LookUps!$E$5:$E$12, MATCH(OpenLCAbasic!K6445,LookUps!$D$5:$D$12,0))))</f>
        <v>Fossil Depletion Potential (FDP) - kg oil eq</v>
      </c>
      <c r="M6445" s="154" t="str">
        <f t="shared" si="469"/>
        <v>Low_High_Low_Upgraded_Fossil Depletion Potential (FDP) - kg oil eq_Control Building; at upgraded wastewater treatment plant - US_Without Amendment_Windrow</v>
      </c>
    </row>
    <row r="6446" spans="1:13" s="120" customFormat="1" x14ac:dyDescent="0.25">
      <c r="A6446" s="119"/>
      <c r="B6446" s="138" t="str">
        <f t="shared" si="472"/>
        <v>Windrow</v>
      </c>
      <c r="C6446" s="138" t="str">
        <f t="shared" si="470"/>
        <v>Without Amendment</v>
      </c>
      <c r="D6446" s="138" t="str">
        <f t="shared" si="468"/>
        <v>High_Low</v>
      </c>
      <c r="E6446" s="138" t="str">
        <f t="shared" si="471"/>
        <v>Low</v>
      </c>
      <c r="F6446" s="138" t="str">
        <f t="shared" si="473"/>
        <v>Upgraded</v>
      </c>
      <c r="G6446" s="153"/>
      <c r="H6446" s="210">
        <v>1.3899999999999999E-2</v>
      </c>
      <c r="I6446" s="160" t="s">
        <v>48</v>
      </c>
      <c r="J6446" s="160">
        <v>2.3600000000000001E-3</v>
      </c>
      <c r="K6446" s="160" t="s">
        <v>14</v>
      </c>
      <c r="L6446" s="154" t="str">
        <f>IF(OpenLCAbasic!K6446="CTUh", "Fill in Manually",IF(OR(K6446="Unit", K6446=""), "", INDEX(LookUps!$E$5:$E$12, MATCH(OpenLCAbasic!K6446,LookUps!$D$5:$D$12,0))))</f>
        <v>Fossil Depletion Potential (FDP) - kg oil eq</v>
      </c>
      <c r="M6446" s="154" t="str">
        <f t="shared" si="469"/>
        <v>Low_High_Low_Upgraded_Fossil Depletion Potential (FDP) - kg oil eq_Effluent release; wastewater treatment unit; at surface water; m3 wastewater - US_Without Amendment_Windrow</v>
      </c>
    </row>
    <row r="6447" spans="1:13" s="120" customFormat="1" x14ac:dyDescent="0.25">
      <c r="A6447" s="119"/>
      <c r="B6447" s="138" t="str">
        <f t="shared" si="472"/>
        <v>Windrow</v>
      </c>
      <c r="C6447" s="138" t="str">
        <f t="shared" si="470"/>
        <v>Without Amendment</v>
      </c>
      <c r="D6447" s="138" t="str">
        <f t="shared" si="468"/>
        <v>High_Low</v>
      </c>
      <c r="E6447" s="138" t="str">
        <f t="shared" si="471"/>
        <v>Low</v>
      </c>
      <c r="F6447" s="138" t="str">
        <f t="shared" si="473"/>
        <v>Upgraded</v>
      </c>
      <c r="G6447" s="153"/>
      <c r="H6447" s="210">
        <v>1.1299999999999999E-2</v>
      </c>
      <c r="I6447" s="160" t="s">
        <v>59</v>
      </c>
      <c r="J6447" s="160">
        <v>1.92E-3</v>
      </c>
      <c r="K6447" s="160" t="s">
        <v>14</v>
      </c>
      <c r="L6447" s="154" t="str">
        <f>IF(OpenLCAbasic!K6447="CTUh", "Fill in Manually",IF(OR(K6447="Unit", K6447=""), "", INDEX(LookUps!$E$5:$E$12, MATCH(OpenLCAbasic!K6447,LookUps!$D$5:$D$12,0))))</f>
        <v>Fossil Depletion Potential (FDP) - kg oil eq</v>
      </c>
      <c r="M6447" s="154" t="str">
        <f t="shared" si="469"/>
        <v>Low_High_Low_Upgraded_Fossil Depletion Potential (FDP) - kg oil eq_Blend Tank; wastewater treatment unit; at updated plant - US_Without Amendment_Windrow</v>
      </c>
    </row>
    <row r="6448" spans="1:13" s="120" customFormat="1" x14ac:dyDescent="0.25">
      <c r="A6448" s="119"/>
      <c r="B6448" s="138" t="str">
        <f t="shared" si="472"/>
        <v>Windrow</v>
      </c>
      <c r="C6448" s="138" t="str">
        <f t="shared" si="470"/>
        <v>Without Amendment</v>
      </c>
      <c r="D6448" s="138" t="str">
        <f t="shared" si="468"/>
        <v>High_Low</v>
      </c>
      <c r="E6448" s="138" t="str">
        <f t="shared" si="471"/>
        <v>Low</v>
      </c>
      <c r="F6448" s="138" t="str">
        <f t="shared" si="473"/>
        <v>Upgraded</v>
      </c>
      <c r="G6448" s="153"/>
      <c r="H6448" s="210">
        <v>5.4000000000000003E-3</v>
      </c>
      <c r="I6448" s="160" t="s">
        <v>168</v>
      </c>
      <c r="J6448" s="160">
        <v>9.1E-4</v>
      </c>
      <c r="K6448" s="160" t="s">
        <v>14</v>
      </c>
      <c r="L6448" s="154" t="str">
        <f>IF(OpenLCAbasic!K6448="CTUh", "Fill in Manually",IF(OR(K6448="Unit", K6448=""), "", INDEX(LookUps!$E$5:$E$12, MATCH(OpenLCAbasic!K6448,LookUps!$D$5:$D$12,0))))</f>
        <v>Fossil Depletion Potential (FDP) - kg oil eq</v>
      </c>
      <c r="M6448" s="154" t="str">
        <f t="shared" si="469"/>
        <v>Low_High_Low_Upgraded_Fossil Depletion Potential (FDP) - kg oil eq_ClearCove SCP; wastewater treatment unit; at updated plant - US_Without Amendment_Windrow</v>
      </c>
    </row>
    <row r="6449" spans="1:13" s="120" customFormat="1" x14ac:dyDescent="0.25">
      <c r="A6449" s="119"/>
      <c r="B6449" s="138" t="str">
        <f t="shared" si="472"/>
        <v>Windrow</v>
      </c>
      <c r="C6449" s="138" t="str">
        <f t="shared" si="470"/>
        <v>Without Amendment</v>
      </c>
      <c r="D6449" s="138" t="str">
        <f t="shared" ref="D6449:D6512" si="474">IF(ISNUMBER($J6449),"High_Low","")</f>
        <v>High_Low</v>
      </c>
      <c r="E6449" s="138" t="str">
        <f t="shared" si="471"/>
        <v>Low</v>
      </c>
      <c r="F6449" s="138" t="str">
        <f t="shared" si="473"/>
        <v>Upgraded</v>
      </c>
      <c r="G6449" s="153"/>
      <c r="H6449" s="210">
        <v>5.3E-3</v>
      </c>
      <c r="I6449" s="160" t="s">
        <v>271</v>
      </c>
      <c r="J6449" s="160">
        <v>8.9999999999999998E-4</v>
      </c>
      <c r="K6449" s="160" t="s">
        <v>14</v>
      </c>
      <c r="L6449" s="154" t="str">
        <f>IF(OpenLCAbasic!K6449="CTUh", "Fill in Manually",IF(OR(K6449="Unit", K6449=""), "", INDEX(LookUps!$E$5:$E$12, MATCH(OpenLCAbasic!K6449,LookUps!$D$5:$D$12,0))))</f>
        <v>Fossil Depletion Potential (FDP) - kg oil eq</v>
      </c>
      <c r="M6449" s="154" t="str">
        <f t="shared" si="469"/>
        <v>Low_High_Low_Upgraded_Fossil Depletion Potential (FDP) - kg oil eq_Biosolids composting; windrow composting; wastewater treatment unit; at updated plant - US_Without Amendment_Windrow</v>
      </c>
    </row>
    <row r="6450" spans="1:13" s="120" customFormat="1" x14ac:dyDescent="0.25">
      <c r="A6450" s="119"/>
      <c r="B6450" s="138" t="str">
        <f t="shared" si="472"/>
        <v>Windrow</v>
      </c>
      <c r="C6450" s="138" t="str">
        <f t="shared" si="470"/>
        <v>Without Amendment</v>
      </c>
      <c r="D6450" s="138" t="str">
        <f t="shared" si="474"/>
        <v>High_Low</v>
      </c>
      <c r="E6450" s="138" t="str">
        <f t="shared" si="471"/>
        <v>Low</v>
      </c>
      <c r="F6450" s="138" t="str">
        <f t="shared" si="473"/>
        <v>Upgraded</v>
      </c>
      <c r="G6450" s="153"/>
      <c r="H6450" s="210">
        <v>-5.62E-2</v>
      </c>
      <c r="I6450" s="160" t="s">
        <v>62</v>
      </c>
      <c r="J6450" s="160">
        <v>-9.5600000000000008E-3</v>
      </c>
      <c r="K6450" s="160" t="s">
        <v>14</v>
      </c>
      <c r="L6450" s="154" t="str">
        <f>IF(OpenLCAbasic!K6450="CTUh", "Fill in Manually",IF(OR(K6450="Unit", K6450=""), "", INDEX(LookUps!$E$5:$E$12, MATCH(OpenLCAbasic!K6450,LookUps!$D$5:$D$12,0))))</f>
        <v>Fossil Depletion Potential (FDP) - kg oil eq</v>
      </c>
      <c r="M6450" s="154" t="str">
        <f t="shared" si="469"/>
        <v>Low_High_Low_Upgraded_Fossil Depletion Potential (FDP) - kg oil eq_Land application of compost; wastewater treatment unit; at updated plant - US_Without Amendment_Windrow</v>
      </c>
    </row>
    <row r="6451" spans="1:13" s="120" customFormat="1" x14ac:dyDescent="0.25">
      <c r="A6451" s="119"/>
      <c r="B6451" s="138" t="str">
        <f t="shared" si="472"/>
        <v>Windrow</v>
      </c>
      <c r="C6451" s="138" t="str">
        <f t="shared" si="470"/>
        <v>Without Amendment</v>
      </c>
      <c r="D6451" s="138" t="str">
        <f t="shared" si="474"/>
        <v>High_Low</v>
      </c>
      <c r="E6451" s="138" t="str">
        <f t="shared" si="471"/>
        <v>Low</v>
      </c>
      <c r="F6451" s="138" t="str">
        <f t="shared" si="473"/>
        <v>Upgraded</v>
      </c>
      <c r="G6451" s="153"/>
      <c r="H6451" s="210">
        <v>-0.57950000000000002</v>
      </c>
      <c r="I6451" s="160" t="s">
        <v>149</v>
      </c>
      <c r="J6451" s="160">
        <v>-9.8640000000000005E-2</v>
      </c>
      <c r="K6451" s="160" t="s">
        <v>14</v>
      </c>
      <c r="L6451" s="154" t="str">
        <f>IF(OpenLCAbasic!K6451="CTUh", "Fill in Manually",IF(OR(K6451="Unit", K6451=""), "", INDEX(LookUps!$E$5:$E$12, MATCH(OpenLCAbasic!K6451,LookUps!$D$5:$D$12,0))))</f>
        <v>Fossil Depletion Potential (FDP) - kg oil eq</v>
      </c>
      <c r="M6451" s="154" t="str">
        <f t="shared" si="469"/>
        <v>Low_High_Low_Upgraded_Fossil Depletion Potential (FDP) - kg oil eq_Anaerobic Digestion; wastewater treatment unit; at updated plant - US_Without Amendment_Windrow</v>
      </c>
    </row>
    <row r="6452" spans="1:13" s="120" customFormat="1" x14ac:dyDescent="0.25">
      <c r="A6452" s="119"/>
      <c r="B6452" s="138" t="str">
        <f t="shared" si="472"/>
        <v/>
      </c>
      <c r="C6452" s="138" t="str">
        <f t="shared" si="470"/>
        <v/>
      </c>
      <c r="D6452" s="138" t="str">
        <f t="shared" si="474"/>
        <v/>
      </c>
      <c r="E6452" s="138" t="str">
        <f t="shared" si="471"/>
        <v/>
      </c>
      <c r="F6452" s="138" t="str">
        <f t="shared" si="473"/>
        <v/>
      </c>
      <c r="G6452" s="153" t="s">
        <v>51</v>
      </c>
      <c r="H6452" s="160"/>
      <c r="I6452" s="160" t="s">
        <v>47</v>
      </c>
      <c r="J6452" s="160" t="s">
        <v>52</v>
      </c>
      <c r="K6452" s="160" t="s">
        <v>27</v>
      </c>
      <c r="L6452" s="154" t="str">
        <f>IF(OpenLCAbasic!K6452="CTUh", "Fill in Manually",IF(OR(K6452="Unit", K6452=""), "", INDEX(LookUps!$E$5:$E$12, MATCH(OpenLCAbasic!K6452,LookUps!$D$5:$D$12,0))))</f>
        <v/>
      </c>
      <c r="M6452" s="154" t="str">
        <f t="shared" si="469"/>
        <v>____Process__</v>
      </c>
    </row>
    <row r="6453" spans="1:13" s="120" customFormat="1" x14ac:dyDescent="0.25">
      <c r="A6453" s="119"/>
      <c r="B6453" s="138" t="str">
        <f t="shared" si="472"/>
        <v>Windrow</v>
      </c>
      <c r="C6453" s="138" t="str">
        <f t="shared" si="470"/>
        <v>Without Amendment</v>
      </c>
      <c r="D6453" s="138" t="str">
        <f t="shared" si="474"/>
        <v>High_Low</v>
      </c>
      <c r="E6453" s="138" t="str">
        <f t="shared" si="471"/>
        <v>Low</v>
      </c>
      <c r="F6453" s="138" t="str">
        <f t="shared" si="473"/>
        <v>Upgraded</v>
      </c>
      <c r="G6453" s="153"/>
      <c r="H6453" s="210">
        <v>0.5323</v>
      </c>
      <c r="I6453" s="160" t="s">
        <v>58</v>
      </c>
      <c r="J6453" s="160">
        <v>0.24992</v>
      </c>
      <c r="K6453" s="160" t="s">
        <v>23</v>
      </c>
      <c r="L6453" s="154" t="str">
        <f>IF(OpenLCAbasic!K6453="CTUh", "Fill in Manually",IF(OR(K6453="Unit", K6453=""), "", INDEX(LookUps!$E$5:$E$12, MATCH(OpenLCAbasic!K6453,LookUps!$D$5:$D$12,0))))</f>
        <v>Global Warming Potential (GWP) - kg CO2 eq</v>
      </c>
      <c r="M6453" s="154" t="str">
        <f t="shared" si="469"/>
        <v>Low_High_Low_Upgraded_Global Warming Potential (GWP) - kg CO2 eq_Pre-Anoxic &amp; Swing tank; wastewater treatment unit; at updated plant - US_Without Amendment_Windrow</v>
      </c>
    </row>
    <row r="6454" spans="1:13" s="120" customFormat="1" x14ac:dyDescent="0.25">
      <c r="A6454" s="119"/>
      <c r="B6454" s="138" t="str">
        <f t="shared" si="472"/>
        <v>Windrow</v>
      </c>
      <c r="C6454" s="138" t="str">
        <f t="shared" si="470"/>
        <v>Without Amendment</v>
      </c>
      <c r="D6454" s="138" t="str">
        <f t="shared" si="474"/>
        <v>High_Low</v>
      </c>
      <c r="E6454" s="138" t="str">
        <f t="shared" si="471"/>
        <v>Low</v>
      </c>
      <c r="F6454" s="138" t="str">
        <f t="shared" si="473"/>
        <v>Upgraded</v>
      </c>
      <c r="G6454" s="153"/>
      <c r="H6454" s="210">
        <v>0.35830000000000001</v>
      </c>
      <c r="I6454" s="160" t="s">
        <v>55</v>
      </c>
      <c r="J6454" s="160">
        <v>0.16822000000000001</v>
      </c>
      <c r="K6454" s="160" t="s">
        <v>23</v>
      </c>
      <c r="L6454" s="154" t="str">
        <f>IF(OpenLCAbasic!K6454="CTUh", "Fill in Manually",IF(OR(K6454="Unit", K6454=""), "", INDEX(LookUps!$E$5:$E$12, MATCH(OpenLCAbasic!K6454,LookUps!$D$5:$D$12,0))))</f>
        <v>Global Warming Potential (GWP) - kg CO2 eq</v>
      </c>
      <c r="M6454" s="154" t="str">
        <f t="shared" si="469"/>
        <v>Low_High_Low_Upgraded_Global Warming Potential (GWP) - kg CO2 eq_Aeration Tanks; wastewater treatment unit; at updated plant - US_Without Amendment_Windrow</v>
      </c>
    </row>
    <row r="6455" spans="1:13" s="120" customFormat="1" x14ac:dyDescent="0.25">
      <c r="A6455" s="119"/>
      <c r="B6455" s="138" t="str">
        <f t="shared" si="472"/>
        <v>Windrow</v>
      </c>
      <c r="C6455" s="138" t="str">
        <f t="shared" si="470"/>
        <v>Without Amendment</v>
      </c>
      <c r="D6455" s="138" t="str">
        <f t="shared" si="474"/>
        <v>High_Low</v>
      </c>
      <c r="E6455" s="138" t="str">
        <f t="shared" si="471"/>
        <v>Low</v>
      </c>
      <c r="F6455" s="138" t="str">
        <f t="shared" si="473"/>
        <v>Upgraded</v>
      </c>
      <c r="G6455" s="153"/>
      <c r="H6455" s="210">
        <v>0.31280000000000002</v>
      </c>
      <c r="I6455" s="160" t="s">
        <v>167</v>
      </c>
      <c r="J6455" s="160">
        <v>0.14685000000000001</v>
      </c>
      <c r="K6455" s="160" t="s">
        <v>23</v>
      </c>
      <c r="L6455" s="154" t="str">
        <f>IF(OpenLCAbasic!K6455="CTUh", "Fill in Manually",IF(OR(K6455="Unit", K6455=""), "", INDEX(LookUps!$E$5:$E$12, MATCH(OpenLCAbasic!K6455,LookUps!$D$5:$D$12,0))))</f>
        <v>Global Warming Potential (GWP) - kg CO2 eq</v>
      </c>
      <c r="M6455" s="154" t="str">
        <f t="shared" si="469"/>
        <v>Low_High_Low_Upgraded_Global Warming Potential (GWP) - kg CO2 eq_Waste Receiving and Holding; wastewater treatment unit; at updated plant - US_Without Amendment_Windrow</v>
      </c>
    </row>
    <row r="6456" spans="1:13" s="120" customFormat="1" x14ac:dyDescent="0.25">
      <c r="A6456" s="119"/>
      <c r="B6456" s="138" t="str">
        <f t="shared" si="472"/>
        <v>Windrow</v>
      </c>
      <c r="C6456" s="138" t="str">
        <f t="shared" si="470"/>
        <v>Without Amendment</v>
      </c>
      <c r="D6456" s="138" t="str">
        <f t="shared" si="474"/>
        <v>High_Low</v>
      </c>
      <c r="E6456" s="138" t="str">
        <f t="shared" si="471"/>
        <v>Low</v>
      </c>
      <c r="F6456" s="138" t="str">
        <f t="shared" si="473"/>
        <v>Upgraded</v>
      </c>
      <c r="G6456" s="153"/>
      <c r="H6456" s="210">
        <v>0.22500000000000001</v>
      </c>
      <c r="I6456" s="160" t="s">
        <v>271</v>
      </c>
      <c r="J6456" s="160">
        <v>0.10564999999999999</v>
      </c>
      <c r="K6456" s="160" t="s">
        <v>23</v>
      </c>
      <c r="L6456" s="154" t="str">
        <f>IF(OpenLCAbasic!K6456="CTUh", "Fill in Manually",IF(OR(K6456="Unit", K6456=""), "", INDEX(LookUps!$E$5:$E$12, MATCH(OpenLCAbasic!K6456,LookUps!$D$5:$D$12,0))))</f>
        <v>Global Warming Potential (GWP) - kg CO2 eq</v>
      </c>
      <c r="M6456" s="154" t="str">
        <f t="shared" si="469"/>
        <v>Low_High_Low_Upgraded_Global Warming Potential (GWP) - kg CO2 eq_Biosolids composting; windrow composting; wastewater treatment unit; at updated plant - US_Without Amendment_Windrow</v>
      </c>
    </row>
    <row r="6457" spans="1:13" s="120" customFormat="1" x14ac:dyDescent="0.25">
      <c r="A6457" s="119"/>
      <c r="B6457" s="138" t="str">
        <f t="shared" si="472"/>
        <v>Windrow</v>
      </c>
      <c r="C6457" s="138" t="str">
        <f t="shared" si="470"/>
        <v>Without Amendment</v>
      </c>
      <c r="D6457" s="138" t="str">
        <f t="shared" si="474"/>
        <v>High_Low</v>
      </c>
      <c r="E6457" s="138" t="str">
        <f t="shared" si="471"/>
        <v>Low</v>
      </c>
      <c r="F6457" s="138" t="str">
        <f t="shared" si="473"/>
        <v>Upgraded</v>
      </c>
      <c r="G6457" s="153"/>
      <c r="H6457" s="210">
        <v>0.1216</v>
      </c>
      <c r="I6457" s="160" t="s">
        <v>54</v>
      </c>
      <c r="J6457" s="160">
        <v>5.7079999999999999E-2</v>
      </c>
      <c r="K6457" s="160" t="s">
        <v>23</v>
      </c>
      <c r="L6457" s="154" t="str">
        <f>IF(OpenLCAbasic!K6457="CTUh", "Fill in Manually",IF(OR(K6457="Unit", K6457=""), "", INDEX(LookUps!$E$5:$E$12, MATCH(OpenLCAbasic!K6457,LookUps!$D$5:$D$12,0))))</f>
        <v>Global Warming Potential (GWP) - kg CO2 eq</v>
      </c>
      <c r="M6457" s="154" t="str">
        <f t="shared" si="469"/>
        <v>Low_High_Low_Upgraded_Global Warming Potential (GWP) - kg CO2 eq_Clear Cove Primary Clarification; wastewater treatment unit; at updated plant - US_Without Amendment_Windrow</v>
      </c>
    </row>
    <row r="6458" spans="1:13" s="120" customFormat="1" x14ac:dyDescent="0.25">
      <c r="A6458" s="119"/>
      <c r="B6458" s="138" t="str">
        <f t="shared" si="472"/>
        <v>Windrow</v>
      </c>
      <c r="C6458" s="138" t="str">
        <f t="shared" si="470"/>
        <v>Without Amendment</v>
      </c>
      <c r="D6458" s="138" t="str">
        <f t="shared" si="474"/>
        <v>High_Low</v>
      </c>
      <c r="E6458" s="138" t="str">
        <f t="shared" si="471"/>
        <v>Low</v>
      </c>
      <c r="F6458" s="138" t="str">
        <f t="shared" si="473"/>
        <v>Upgraded</v>
      </c>
      <c r="G6458" s="153"/>
      <c r="H6458" s="210">
        <v>0.11210000000000001</v>
      </c>
      <c r="I6458" s="160" t="s">
        <v>48</v>
      </c>
      <c r="J6458" s="160">
        <v>5.2639999999999999E-2</v>
      </c>
      <c r="K6458" s="160" t="s">
        <v>23</v>
      </c>
      <c r="L6458" s="154" t="str">
        <f>IF(OpenLCAbasic!K6458="CTUh", "Fill in Manually",IF(OR(K6458="Unit", K6458=""), "", INDEX(LookUps!$E$5:$E$12, MATCH(OpenLCAbasic!K6458,LookUps!$D$5:$D$12,0))))</f>
        <v>Global Warming Potential (GWP) - kg CO2 eq</v>
      </c>
      <c r="M6458" s="154" t="str">
        <f t="shared" si="469"/>
        <v>Low_High_Low_Upgraded_Global Warming Potential (GWP) - kg CO2 eq_Effluent release; wastewater treatment unit; at surface water; m3 wastewater - US_Without Amendment_Windrow</v>
      </c>
    </row>
    <row r="6459" spans="1:13" s="120" customFormat="1" x14ac:dyDescent="0.25">
      <c r="A6459" s="119"/>
      <c r="B6459" s="138" t="str">
        <f t="shared" si="472"/>
        <v>Windrow</v>
      </c>
      <c r="C6459" s="138" t="str">
        <f t="shared" si="470"/>
        <v>Without Amendment</v>
      </c>
      <c r="D6459" s="138" t="str">
        <f t="shared" si="474"/>
        <v>High_Low</v>
      </c>
      <c r="E6459" s="138" t="str">
        <f t="shared" si="471"/>
        <v>Low</v>
      </c>
      <c r="F6459" s="138" t="str">
        <f t="shared" si="473"/>
        <v>Upgraded</v>
      </c>
      <c r="G6459" s="153"/>
      <c r="H6459" s="210">
        <v>0.1076</v>
      </c>
      <c r="I6459" s="160" t="s">
        <v>147</v>
      </c>
      <c r="J6459" s="160">
        <v>5.0500000000000003E-2</v>
      </c>
      <c r="K6459" s="160" t="s">
        <v>23</v>
      </c>
      <c r="L6459" s="154" t="str">
        <f>IF(OpenLCAbasic!K6459="CTUh", "Fill in Manually",IF(OR(K6459="Unit", K6459=""), "", INDEX(LookUps!$E$5:$E$12, MATCH(OpenLCAbasic!K6459,LookUps!$D$5:$D$12,0))))</f>
        <v>Global Warming Potential (GWP) - kg CO2 eq</v>
      </c>
      <c r="M6459" s="154" t="str">
        <f t="shared" ref="M6459:M6522" si="475">CONCATENATE(E6459,"_",D6459,"_",F6459,"_",L6459, "_",I6459,"_", C6459,"_", B6459)</f>
        <v>Low_High_Low_Upgraded_Global Warming Potential (GWP) - kg CO2 eq_Influent Pump Station; wastewater treatment unit; at updated plant - US_Without Amendment_Windrow</v>
      </c>
    </row>
    <row r="6460" spans="1:13" s="120" customFormat="1" x14ac:dyDescent="0.25">
      <c r="A6460" s="119"/>
      <c r="B6460" s="138" t="str">
        <f t="shared" si="472"/>
        <v>Windrow</v>
      </c>
      <c r="C6460" s="138" t="str">
        <f t="shared" si="470"/>
        <v>Without Amendment</v>
      </c>
      <c r="D6460" s="138" t="str">
        <f t="shared" si="474"/>
        <v>High_Low</v>
      </c>
      <c r="E6460" s="138" t="str">
        <f t="shared" si="471"/>
        <v>Low</v>
      </c>
      <c r="F6460" s="138" t="str">
        <f t="shared" si="473"/>
        <v>Upgraded</v>
      </c>
      <c r="G6460" s="153"/>
      <c r="H6460" s="210">
        <v>7.0800000000000002E-2</v>
      </c>
      <c r="I6460" s="160" t="s">
        <v>53</v>
      </c>
      <c r="J6460" s="160">
        <v>3.3259999999999998E-2</v>
      </c>
      <c r="K6460" s="160" t="s">
        <v>23</v>
      </c>
      <c r="L6460" s="154" t="str">
        <f>IF(OpenLCAbasic!K6460="CTUh", "Fill in Manually",IF(OR(K6460="Unit", K6460=""), "", INDEX(LookUps!$E$5:$E$12, MATCH(OpenLCAbasic!K6460,LookUps!$D$5:$D$12,0))))</f>
        <v>Global Warming Potential (GWP) - kg CO2 eq</v>
      </c>
      <c r="M6460" s="154" t="str">
        <f t="shared" si="475"/>
        <v>Low_High_Low_Upgraded_Global Warming Potential (GWP) - kg CO2 eq_Wet Well and Sump Station; wastewater treatment unit; at updated plant - US_Without Amendment_Windrow</v>
      </c>
    </row>
    <row r="6461" spans="1:13" s="120" customFormat="1" x14ac:dyDescent="0.25">
      <c r="A6461" s="119"/>
      <c r="B6461" s="138" t="str">
        <f t="shared" si="472"/>
        <v>Windrow</v>
      </c>
      <c r="C6461" s="138" t="str">
        <f t="shared" si="470"/>
        <v>Without Amendment</v>
      </c>
      <c r="D6461" s="138" t="str">
        <f t="shared" si="474"/>
        <v>High_Low</v>
      </c>
      <c r="E6461" s="138" t="str">
        <f t="shared" si="471"/>
        <v>Low</v>
      </c>
      <c r="F6461" s="138" t="str">
        <f t="shared" si="473"/>
        <v>Upgraded</v>
      </c>
      <c r="G6461" s="153"/>
      <c r="H6461" s="210">
        <v>5.9200000000000003E-2</v>
      </c>
      <c r="I6461" s="160" t="s">
        <v>60</v>
      </c>
      <c r="J6461" s="160">
        <v>2.7820000000000001E-2</v>
      </c>
      <c r="K6461" s="160" t="s">
        <v>23</v>
      </c>
      <c r="L6461" s="154" t="str">
        <f>IF(OpenLCAbasic!K6461="CTUh", "Fill in Manually",IF(OR(K6461="Unit", K6461=""), "", INDEX(LookUps!$E$5:$E$12, MATCH(OpenLCAbasic!K6461,LookUps!$D$5:$D$12,0))))</f>
        <v>Global Warming Potential (GWP) - kg CO2 eq</v>
      </c>
      <c r="M6461" s="154" t="str">
        <f t="shared" si="475"/>
        <v>Low_High_Low_Upgraded_Global Warming Potential (GWP) - kg CO2 eq_Belt filter press; wastewater treatment unit; at updated plant - US_Without Amendment_Windrow</v>
      </c>
    </row>
    <row r="6462" spans="1:13" s="120" customFormat="1" x14ac:dyDescent="0.25">
      <c r="A6462" s="119"/>
      <c r="B6462" s="138" t="str">
        <f t="shared" si="472"/>
        <v>Windrow</v>
      </c>
      <c r="C6462" s="138" t="str">
        <f t="shared" si="470"/>
        <v>Without Amendment</v>
      </c>
      <c r="D6462" s="138" t="str">
        <f t="shared" si="474"/>
        <v>High_Low</v>
      </c>
      <c r="E6462" s="138" t="str">
        <f t="shared" si="471"/>
        <v>Low</v>
      </c>
      <c r="F6462" s="138" t="str">
        <f t="shared" si="473"/>
        <v>Upgraded</v>
      </c>
      <c r="G6462" s="153"/>
      <c r="H6462" s="210">
        <v>3.1E-2</v>
      </c>
      <c r="I6462" s="160" t="s">
        <v>57</v>
      </c>
      <c r="J6462" s="160">
        <v>1.455E-2</v>
      </c>
      <c r="K6462" s="160" t="s">
        <v>23</v>
      </c>
      <c r="L6462" s="154" t="str">
        <f>IF(OpenLCAbasic!K6462="CTUh", "Fill in Manually",IF(OR(K6462="Unit", K6462=""), "", INDEX(LookUps!$E$5:$E$12, MATCH(OpenLCAbasic!K6462,LookUps!$D$5:$D$12,0))))</f>
        <v>Global Warming Potential (GWP) - kg CO2 eq</v>
      </c>
      <c r="M6462" s="154" t="str">
        <f t="shared" si="475"/>
        <v>Low_High_Low_Upgraded_Global Warming Potential (GWP) - kg CO2 eq_Gravity Belt Thickener; wastewater treatment unit; at updated plant - US_Without Amendment_Windrow</v>
      </c>
    </row>
    <row r="6463" spans="1:13" s="120" customFormat="1" x14ac:dyDescent="0.25">
      <c r="A6463" s="119"/>
      <c r="B6463" s="138" t="str">
        <f t="shared" si="472"/>
        <v>Windrow</v>
      </c>
      <c r="C6463" s="138" t="str">
        <f t="shared" si="470"/>
        <v>Without Amendment</v>
      </c>
      <c r="D6463" s="138" t="str">
        <f t="shared" si="474"/>
        <v>High_Low</v>
      </c>
      <c r="E6463" s="138" t="str">
        <f t="shared" si="471"/>
        <v>Low</v>
      </c>
      <c r="F6463" s="138" t="str">
        <f t="shared" si="473"/>
        <v>Upgraded</v>
      </c>
      <c r="G6463" s="153"/>
      <c r="H6463" s="210">
        <v>2.8799999999999999E-2</v>
      </c>
      <c r="I6463" s="160" t="s">
        <v>128</v>
      </c>
      <c r="J6463" s="160">
        <v>1.3509999999999999E-2</v>
      </c>
      <c r="K6463" s="160" t="s">
        <v>23</v>
      </c>
      <c r="L6463" s="154" t="str">
        <f>IF(OpenLCAbasic!K6463="CTUh", "Fill in Manually",IF(OR(K6463="Unit", K6463=""), "", INDEX(LookUps!$E$5:$E$12, MATCH(OpenLCAbasic!K6463,LookUps!$D$5:$D$12,0))))</f>
        <v>Global Warming Potential (GWP) - kg CO2 eq</v>
      </c>
      <c r="M6463" s="154" t="str">
        <f t="shared" si="475"/>
        <v>Low_High_Low_Upgraded_Global Warming Potential (GWP) - kg CO2 eq_Wastewater collection; operation and infrastructure; m3 wastewater_Without Amendment_Windrow</v>
      </c>
    </row>
    <row r="6464" spans="1:13" s="120" customFormat="1" x14ac:dyDescent="0.25">
      <c r="A6464" s="119"/>
      <c r="B6464" s="138" t="str">
        <f t="shared" si="472"/>
        <v>Windrow</v>
      </c>
      <c r="C6464" s="138" t="str">
        <f t="shared" si="470"/>
        <v>Without Amendment</v>
      </c>
      <c r="D6464" s="138" t="str">
        <f t="shared" si="474"/>
        <v>High_Low</v>
      </c>
      <c r="E6464" s="138" t="str">
        <f t="shared" si="471"/>
        <v>Low</v>
      </c>
      <c r="F6464" s="138" t="str">
        <f t="shared" si="473"/>
        <v>Upgraded</v>
      </c>
      <c r="G6464" s="153"/>
      <c r="H6464" s="210">
        <v>1.77E-2</v>
      </c>
      <c r="I6464" s="160" t="s">
        <v>148</v>
      </c>
      <c r="J6464" s="160">
        <v>8.3000000000000001E-3</v>
      </c>
      <c r="K6464" s="160" t="s">
        <v>23</v>
      </c>
      <c r="L6464" s="154" t="str">
        <f>IF(OpenLCAbasic!K6464="CTUh", "Fill in Manually",IF(OR(K6464="Unit", K6464=""), "", INDEX(LookUps!$E$5:$E$12, MATCH(OpenLCAbasic!K6464,LookUps!$D$5:$D$12,0))))</f>
        <v>Global Warming Potential (GWP) - kg CO2 eq</v>
      </c>
      <c r="M6464" s="154" t="str">
        <f t="shared" si="475"/>
        <v>Low_High_Low_Upgraded_Global Warming Potential (GWP) - kg CO2 eq_Control Building; at upgraded wastewater treatment plant - US_Without Amendment_Windrow</v>
      </c>
    </row>
    <row r="6465" spans="1:13" s="120" customFormat="1" x14ac:dyDescent="0.25">
      <c r="A6465" s="119"/>
      <c r="B6465" s="138" t="str">
        <f t="shared" si="472"/>
        <v>Windrow</v>
      </c>
      <c r="C6465" s="138" t="str">
        <f t="shared" ref="C6465:C6528" si="476">IF(ISNUMBER($J6465),"Without Amendment","")</f>
        <v>Without Amendment</v>
      </c>
      <c r="D6465" s="138" t="str">
        <f t="shared" si="474"/>
        <v>High_Low</v>
      </c>
      <c r="E6465" s="138" t="str">
        <f t="shared" ref="E6465:E6528" si="477">IF(ISNUMBER($J6465),"Low","")</f>
        <v>Low</v>
      </c>
      <c r="F6465" s="138" t="str">
        <f t="shared" si="473"/>
        <v>Upgraded</v>
      </c>
      <c r="G6465" s="153"/>
      <c r="H6465" s="210">
        <v>1.0699999999999999E-2</v>
      </c>
      <c r="I6465" s="160" t="s">
        <v>59</v>
      </c>
      <c r="J6465" s="160">
        <v>5.0400000000000002E-3</v>
      </c>
      <c r="K6465" s="160" t="s">
        <v>23</v>
      </c>
      <c r="L6465" s="154" t="str">
        <f>IF(OpenLCAbasic!K6465="CTUh", "Fill in Manually",IF(OR(K6465="Unit", K6465=""), "", INDEX(LookUps!$E$5:$E$12, MATCH(OpenLCAbasic!K6465,LookUps!$D$5:$D$12,0))))</f>
        <v>Global Warming Potential (GWP) - kg CO2 eq</v>
      </c>
      <c r="M6465" s="154" t="str">
        <f t="shared" si="475"/>
        <v>Low_High_Low_Upgraded_Global Warming Potential (GWP) - kg CO2 eq_Blend Tank; wastewater treatment unit; at updated plant - US_Without Amendment_Windrow</v>
      </c>
    </row>
    <row r="6466" spans="1:13" s="120" customFormat="1" x14ac:dyDescent="0.25">
      <c r="A6466" s="119"/>
      <c r="B6466" s="138" t="str">
        <f t="shared" si="472"/>
        <v>Windrow</v>
      </c>
      <c r="C6466" s="138" t="str">
        <f t="shared" si="476"/>
        <v>Without Amendment</v>
      </c>
      <c r="D6466" s="138" t="str">
        <f t="shared" si="474"/>
        <v>High_Low</v>
      </c>
      <c r="E6466" s="138" t="str">
        <f t="shared" si="477"/>
        <v>Low</v>
      </c>
      <c r="F6466" s="138" t="str">
        <f t="shared" si="473"/>
        <v>Upgraded</v>
      </c>
      <c r="G6466" s="153"/>
      <c r="H6466" s="210">
        <v>5.1000000000000004E-3</v>
      </c>
      <c r="I6466" s="160" t="s">
        <v>168</v>
      </c>
      <c r="J6466" s="160">
        <v>2.4099999999999998E-3</v>
      </c>
      <c r="K6466" s="160" t="s">
        <v>23</v>
      </c>
      <c r="L6466" s="154" t="str">
        <f>IF(OpenLCAbasic!K6466="CTUh", "Fill in Manually",IF(OR(K6466="Unit", K6466=""), "", INDEX(LookUps!$E$5:$E$12, MATCH(OpenLCAbasic!K6466,LookUps!$D$5:$D$12,0))))</f>
        <v>Global Warming Potential (GWP) - kg CO2 eq</v>
      </c>
      <c r="M6466" s="154" t="str">
        <f t="shared" si="475"/>
        <v>Low_High_Low_Upgraded_Global Warming Potential (GWP) - kg CO2 eq_ClearCove SCP; wastewater treatment unit; at updated plant - US_Without Amendment_Windrow</v>
      </c>
    </row>
    <row r="6467" spans="1:13" s="120" customFormat="1" x14ac:dyDescent="0.25">
      <c r="A6467" s="119"/>
      <c r="B6467" s="138" t="str">
        <f t="shared" si="472"/>
        <v>Windrow</v>
      </c>
      <c r="C6467" s="138" t="str">
        <f t="shared" si="476"/>
        <v>Without Amendment</v>
      </c>
      <c r="D6467" s="138" t="str">
        <f t="shared" si="474"/>
        <v>High_Low</v>
      </c>
      <c r="E6467" s="138" t="str">
        <f t="shared" si="477"/>
        <v>Low</v>
      </c>
      <c r="F6467" s="138" t="str">
        <f t="shared" si="473"/>
        <v>Upgraded</v>
      </c>
      <c r="G6467" s="153"/>
      <c r="H6467" s="210">
        <v>-0.36330000000000001</v>
      </c>
      <c r="I6467" s="160" t="s">
        <v>149</v>
      </c>
      <c r="J6467" s="160">
        <v>-0.17055999999999999</v>
      </c>
      <c r="K6467" s="160" t="s">
        <v>23</v>
      </c>
      <c r="L6467" s="154" t="str">
        <f>IF(OpenLCAbasic!K6467="CTUh", "Fill in Manually",IF(OR(K6467="Unit", K6467=""), "", INDEX(LookUps!$E$5:$E$12, MATCH(OpenLCAbasic!K6467,LookUps!$D$5:$D$12,0))))</f>
        <v>Global Warming Potential (GWP) - kg CO2 eq</v>
      </c>
      <c r="M6467" s="154" t="str">
        <f t="shared" si="475"/>
        <v>Low_High_Low_Upgraded_Global Warming Potential (GWP) - kg CO2 eq_Anaerobic Digestion; wastewater treatment unit; at updated plant - US_Without Amendment_Windrow</v>
      </c>
    </row>
    <row r="6468" spans="1:13" s="120" customFormat="1" x14ac:dyDescent="0.25">
      <c r="A6468" s="119"/>
      <c r="B6468" s="138" t="str">
        <f t="shared" si="472"/>
        <v>Windrow</v>
      </c>
      <c r="C6468" s="138" t="str">
        <f t="shared" si="476"/>
        <v>Without Amendment</v>
      </c>
      <c r="D6468" s="138" t="str">
        <f t="shared" si="474"/>
        <v>High_Low</v>
      </c>
      <c r="E6468" s="138" t="str">
        <f t="shared" si="477"/>
        <v>Low</v>
      </c>
      <c r="F6468" s="138" t="str">
        <f t="shared" si="473"/>
        <v>Upgraded</v>
      </c>
      <c r="G6468" s="153"/>
      <c r="H6468" s="210">
        <v>-0.62970000000000004</v>
      </c>
      <c r="I6468" s="160" t="s">
        <v>62</v>
      </c>
      <c r="J6468" s="160">
        <v>-0.29565999999999998</v>
      </c>
      <c r="K6468" s="160" t="s">
        <v>23</v>
      </c>
      <c r="L6468" s="154" t="str">
        <f>IF(OpenLCAbasic!K6468="CTUh", "Fill in Manually",IF(OR(K6468="Unit", K6468=""), "", INDEX(LookUps!$E$5:$E$12, MATCH(OpenLCAbasic!K6468,LookUps!$D$5:$D$12,0))))</f>
        <v>Global Warming Potential (GWP) - kg CO2 eq</v>
      </c>
      <c r="M6468" s="154" t="str">
        <f t="shared" si="475"/>
        <v>Low_High_Low_Upgraded_Global Warming Potential (GWP) - kg CO2 eq_Land application of compost; wastewater treatment unit; at updated plant - US_Without Amendment_Windrow</v>
      </c>
    </row>
    <row r="6469" spans="1:13" s="120" customFormat="1" x14ac:dyDescent="0.25">
      <c r="A6469" s="119"/>
      <c r="B6469" s="138" t="str">
        <f t="shared" si="472"/>
        <v/>
      </c>
      <c r="C6469" s="138" t="str">
        <f t="shared" si="476"/>
        <v/>
      </c>
      <c r="D6469" s="138" t="str">
        <f t="shared" si="474"/>
        <v/>
      </c>
      <c r="E6469" s="138" t="str">
        <f t="shared" si="477"/>
        <v/>
      </c>
      <c r="F6469" s="138" t="str">
        <f t="shared" si="473"/>
        <v/>
      </c>
      <c r="G6469" s="153" t="s">
        <v>51</v>
      </c>
      <c r="H6469" s="160"/>
      <c r="I6469" s="160" t="s">
        <v>47</v>
      </c>
      <c r="J6469" s="160" t="s">
        <v>52</v>
      </c>
      <c r="K6469" s="160" t="s">
        <v>27</v>
      </c>
      <c r="L6469" s="154" t="str">
        <f>IF(OpenLCAbasic!K6469="CTUh", "Fill in Manually",IF(OR(K6469="Unit", K6469=""), "", INDEX(LookUps!$E$5:$E$12, MATCH(OpenLCAbasic!K6469,LookUps!$D$5:$D$12,0))))</f>
        <v/>
      </c>
      <c r="M6469" s="154" t="str">
        <f t="shared" si="475"/>
        <v>____Process__</v>
      </c>
    </row>
    <row r="6470" spans="1:13" s="120" customFormat="1" x14ac:dyDescent="0.25">
      <c r="A6470" s="119"/>
      <c r="B6470" s="138" t="str">
        <f t="shared" si="472"/>
        <v>Windrow</v>
      </c>
      <c r="C6470" s="138" t="str">
        <f t="shared" si="476"/>
        <v>Without Amendment</v>
      </c>
      <c r="D6470" s="138" t="str">
        <f t="shared" si="474"/>
        <v>High_Low</v>
      </c>
      <c r="E6470" s="138" t="str">
        <f t="shared" si="477"/>
        <v>Low</v>
      </c>
      <c r="F6470" s="138" t="str">
        <f t="shared" si="473"/>
        <v>Upgraded</v>
      </c>
      <c r="G6470" s="153"/>
      <c r="H6470" s="210">
        <v>0.63570000000000004</v>
      </c>
      <c r="I6470" s="160" t="s">
        <v>55</v>
      </c>
      <c r="J6470" s="160">
        <v>2.33E-3</v>
      </c>
      <c r="K6470" s="160" t="s">
        <v>145</v>
      </c>
      <c r="L6470" s="154" t="str">
        <f>IF(OpenLCAbasic!K6470="CTUh", "Fill in Manually",IF(OR(K6470="Unit", K6470=""), "", INDEX(LookUps!$E$5:$E$12, MATCH(OpenLCAbasic!K6470,LookUps!$D$5:$D$12,0))))</f>
        <v>Particulate Matter Formation Potential (PMFP) - kg PM2.5 eq</v>
      </c>
      <c r="M6470" s="154" t="str">
        <f t="shared" si="475"/>
        <v>Low_High_Low_Upgraded_Particulate Matter Formation Potential (PMFP) - kg PM2.5 eq_Aeration Tanks; wastewater treatment unit; at updated plant - US_Without Amendment_Windrow</v>
      </c>
    </row>
    <row r="6471" spans="1:13" s="120" customFormat="1" x14ac:dyDescent="0.25">
      <c r="A6471" s="119"/>
      <c r="B6471" s="138" t="str">
        <f t="shared" si="472"/>
        <v>Windrow</v>
      </c>
      <c r="C6471" s="138" t="str">
        <f t="shared" si="476"/>
        <v>Without Amendment</v>
      </c>
      <c r="D6471" s="138" t="str">
        <f t="shared" si="474"/>
        <v>High_Low</v>
      </c>
      <c r="E6471" s="138" t="str">
        <f t="shared" si="477"/>
        <v>Low</v>
      </c>
      <c r="F6471" s="138" t="str">
        <f t="shared" si="473"/>
        <v>Upgraded</v>
      </c>
      <c r="G6471" s="153"/>
      <c r="H6471" s="210">
        <v>0.185</v>
      </c>
      <c r="I6471" s="160" t="s">
        <v>54</v>
      </c>
      <c r="J6471" s="160">
        <v>6.8000000000000005E-4</v>
      </c>
      <c r="K6471" s="160" t="s">
        <v>145</v>
      </c>
      <c r="L6471" s="154" t="str">
        <f>IF(OpenLCAbasic!K6471="CTUh", "Fill in Manually",IF(OR(K6471="Unit", K6471=""), "", INDEX(LookUps!$E$5:$E$12, MATCH(OpenLCAbasic!K6471,LookUps!$D$5:$D$12,0))))</f>
        <v>Particulate Matter Formation Potential (PMFP) - kg PM2.5 eq</v>
      </c>
      <c r="M6471" s="154" t="str">
        <f t="shared" si="475"/>
        <v>Low_High_Low_Upgraded_Particulate Matter Formation Potential (PMFP) - kg PM2.5 eq_Clear Cove Primary Clarification; wastewater treatment unit; at updated plant - US_Without Amendment_Windrow</v>
      </c>
    </row>
    <row r="6472" spans="1:13" s="120" customFormat="1" x14ac:dyDescent="0.25">
      <c r="A6472" s="119"/>
      <c r="B6472" s="138" t="str">
        <f t="shared" si="472"/>
        <v>Windrow</v>
      </c>
      <c r="C6472" s="138" t="str">
        <f t="shared" si="476"/>
        <v>Without Amendment</v>
      </c>
      <c r="D6472" s="138" t="str">
        <f t="shared" si="474"/>
        <v>High_Low</v>
      </c>
      <c r="E6472" s="138" t="str">
        <f t="shared" si="477"/>
        <v>Low</v>
      </c>
      <c r="F6472" s="138" t="str">
        <f t="shared" si="473"/>
        <v>Upgraded</v>
      </c>
      <c r="G6472" s="153"/>
      <c r="H6472" s="210">
        <v>0.161</v>
      </c>
      <c r="I6472" s="160" t="s">
        <v>58</v>
      </c>
      <c r="J6472" s="160">
        <v>5.9000000000000003E-4</v>
      </c>
      <c r="K6472" s="160" t="s">
        <v>145</v>
      </c>
      <c r="L6472" s="154" t="str">
        <f>IF(OpenLCAbasic!K6472="CTUh", "Fill in Manually",IF(OR(K6472="Unit", K6472=""), "", INDEX(LookUps!$E$5:$E$12, MATCH(OpenLCAbasic!K6472,LookUps!$D$5:$D$12,0))))</f>
        <v>Particulate Matter Formation Potential (PMFP) - kg PM2.5 eq</v>
      </c>
      <c r="M6472" s="154" t="str">
        <f t="shared" si="475"/>
        <v>Low_High_Low_Upgraded_Particulate Matter Formation Potential (PMFP) - kg PM2.5 eq_Pre-Anoxic &amp; Swing tank; wastewater treatment unit; at updated plant - US_Without Amendment_Windrow</v>
      </c>
    </row>
    <row r="6473" spans="1:13" s="120" customFormat="1" x14ac:dyDescent="0.25">
      <c r="A6473" s="119"/>
      <c r="B6473" s="138" t="str">
        <f t="shared" si="472"/>
        <v>Windrow</v>
      </c>
      <c r="C6473" s="138" t="str">
        <f t="shared" si="476"/>
        <v>Without Amendment</v>
      </c>
      <c r="D6473" s="138" t="str">
        <f t="shared" si="474"/>
        <v>High_Low</v>
      </c>
      <c r="E6473" s="138" t="str">
        <f t="shared" si="477"/>
        <v>Low</v>
      </c>
      <c r="F6473" s="138" t="str">
        <f t="shared" si="473"/>
        <v>Upgraded</v>
      </c>
      <c r="G6473" s="153"/>
      <c r="H6473" s="210">
        <v>0.12709999999999999</v>
      </c>
      <c r="I6473" s="160" t="s">
        <v>53</v>
      </c>
      <c r="J6473" s="160">
        <v>4.6999999999999999E-4</v>
      </c>
      <c r="K6473" s="160" t="s">
        <v>145</v>
      </c>
      <c r="L6473" s="154" t="str">
        <f>IF(OpenLCAbasic!K6473="CTUh", "Fill in Manually",IF(OR(K6473="Unit", K6473=""), "", INDEX(LookUps!$E$5:$E$12, MATCH(OpenLCAbasic!K6473,LookUps!$D$5:$D$12,0))))</f>
        <v>Particulate Matter Formation Potential (PMFP) - kg PM2.5 eq</v>
      </c>
      <c r="M6473" s="154" t="str">
        <f t="shared" si="475"/>
        <v>Low_High_Low_Upgraded_Particulate Matter Formation Potential (PMFP) - kg PM2.5 eq_Wet Well and Sump Station; wastewater treatment unit; at updated plant - US_Without Amendment_Windrow</v>
      </c>
    </row>
    <row r="6474" spans="1:13" s="120" customFormat="1" x14ac:dyDescent="0.25">
      <c r="A6474" s="119"/>
      <c r="B6474" s="138" t="str">
        <f t="shared" si="472"/>
        <v>Windrow</v>
      </c>
      <c r="C6474" s="138" t="str">
        <f t="shared" si="476"/>
        <v>Without Amendment</v>
      </c>
      <c r="D6474" s="138" t="str">
        <f t="shared" si="474"/>
        <v>High_Low</v>
      </c>
      <c r="E6474" s="138" t="str">
        <f t="shared" si="477"/>
        <v>Low</v>
      </c>
      <c r="F6474" s="138" t="str">
        <f t="shared" si="473"/>
        <v>Upgraded</v>
      </c>
      <c r="G6474" s="153"/>
      <c r="H6474" s="210">
        <v>9.0300000000000005E-2</v>
      </c>
      <c r="I6474" s="160" t="s">
        <v>167</v>
      </c>
      <c r="J6474" s="160">
        <v>3.3E-4</v>
      </c>
      <c r="K6474" s="160" t="s">
        <v>145</v>
      </c>
      <c r="L6474" s="154" t="str">
        <f>IF(OpenLCAbasic!K6474="CTUh", "Fill in Manually",IF(OR(K6474="Unit", K6474=""), "", INDEX(LookUps!$E$5:$E$12, MATCH(OpenLCAbasic!K6474,LookUps!$D$5:$D$12,0))))</f>
        <v>Particulate Matter Formation Potential (PMFP) - kg PM2.5 eq</v>
      </c>
      <c r="M6474" s="154" t="str">
        <f t="shared" si="475"/>
        <v>Low_High_Low_Upgraded_Particulate Matter Formation Potential (PMFP) - kg PM2.5 eq_Waste Receiving and Holding; wastewater treatment unit; at updated plant - US_Without Amendment_Windrow</v>
      </c>
    </row>
    <row r="6475" spans="1:13" s="120" customFormat="1" x14ac:dyDescent="0.25">
      <c r="A6475" s="119"/>
      <c r="B6475" s="138" t="str">
        <f t="shared" si="472"/>
        <v>Windrow</v>
      </c>
      <c r="C6475" s="138" t="str">
        <f t="shared" si="476"/>
        <v>Without Amendment</v>
      </c>
      <c r="D6475" s="138" t="str">
        <f t="shared" si="474"/>
        <v>High_Low</v>
      </c>
      <c r="E6475" s="138" t="str">
        <f t="shared" si="477"/>
        <v>Low</v>
      </c>
      <c r="F6475" s="138" t="str">
        <f t="shared" si="473"/>
        <v>Upgraded</v>
      </c>
      <c r="G6475" s="153"/>
      <c r="H6475" s="210">
        <v>7.2599999999999998E-2</v>
      </c>
      <c r="I6475" s="160" t="s">
        <v>147</v>
      </c>
      <c r="J6475" s="160">
        <v>2.7E-4</v>
      </c>
      <c r="K6475" s="160" t="s">
        <v>145</v>
      </c>
      <c r="L6475" s="154" t="str">
        <f>IF(OpenLCAbasic!K6475="CTUh", "Fill in Manually",IF(OR(K6475="Unit", K6475=""), "", INDEX(LookUps!$E$5:$E$12, MATCH(OpenLCAbasic!K6475,LookUps!$D$5:$D$12,0))))</f>
        <v>Particulate Matter Formation Potential (PMFP) - kg PM2.5 eq</v>
      </c>
      <c r="M6475" s="154" t="str">
        <f t="shared" si="475"/>
        <v>Low_High_Low_Upgraded_Particulate Matter Formation Potential (PMFP) - kg PM2.5 eq_Influent Pump Station; wastewater treatment unit; at updated plant - US_Without Amendment_Windrow</v>
      </c>
    </row>
    <row r="6476" spans="1:13" s="120" customFormat="1" x14ac:dyDescent="0.25">
      <c r="A6476" s="119"/>
      <c r="B6476" s="138" t="str">
        <f t="shared" si="472"/>
        <v>Windrow</v>
      </c>
      <c r="C6476" s="138" t="str">
        <f t="shared" si="476"/>
        <v>Without Amendment</v>
      </c>
      <c r="D6476" s="138" t="str">
        <f t="shared" si="474"/>
        <v>High_Low</v>
      </c>
      <c r="E6476" s="138" t="str">
        <f t="shared" si="477"/>
        <v>Low</v>
      </c>
      <c r="F6476" s="138" t="str">
        <f t="shared" si="473"/>
        <v>Upgraded</v>
      </c>
      <c r="G6476" s="153"/>
      <c r="H6476" s="210">
        <v>6.1899999999999997E-2</v>
      </c>
      <c r="I6476" s="160" t="s">
        <v>60</v>
      </c>
      <c r="J6476" s="160">
        <v>2.3000000000000001E-4</v>
      </c>
      <c r="K6476" s="160" t="s">
        <v>145</v>
      </c>
      <c r="L6476" s="154" t="str">
        <f>IF(OpenLCAbasic!K6476="CTUh", "Fill in Manually",IF(OR(K6476="Unit", K6476=""), "", INDEX(LookUps!$E$5:$E$12, MATCH(OpenLCAbasic!K6476,LookUps!$D$5:$D$12,0))))</f>
        <v>Particulate Matter Formation Potential (PMFP) - kg PM2.5 eq</v>
      </c>
      <c r="M6476" s="154" t="str">
        <f t="shared" si="475"/>
        <v>Low_High_Low_Upgraded_Particulate Matter Formation Potential (PMFP) - kg PM2.5 eq_Belt filter press; wastewater treatment unit; at updated plant - US_Without Amendment_Windrow</v>
      </c>
    </row>
    <row r="6477" spans="1:13" s="120" customFormat="1" x14ac:dyDescent="0.25">
      <c r="A6477" s="119"/>
      <c r="B6477" s="138" t="str">
        <f t="shared" si="472"/>
        <v>Windrow</v>
      </c>
      <c r="C6477" s="138" t="str">
        <f t="shared" si="476"/>
        <v>Without Amendment</v>
      </c>
      <c r="D6477" s="138" t="str">
        <f t="shared" si="474"/>
        <v>High_Low</v>
      </c>
      <c r="E6477" s="138" t="str">
        <f t="shared" si="477"/>
        <v>Low</v>
      </c>
      <c r="F6477" s="138" t="str">
        <f t="shared" si="473"/>
        <v>Upgraded</v>
      </c>
      <c r="G6477" s="153"/>
      <c r="H6477" s="210">
        <v>4.53E-2</v>
      </c>
      <c r="I6477" s="160" t="s">
        <v>128</v>
      </c>
      <c r="J6477" s="160">
        <v>1.7000000000000001E-4</v>
      </c>
      <c r="K6477" s="160" t="s">
        <v>145</v>
      </c>
      <c r="L6477" s="154" t="str">
        <f>IF(OpenLCAbasic!K6477="CTUh", "Fill in Manually",IF(OR(K6477="Unit", K6477=""), "", INDEX(LookUps!$E$5:$E$12, MATCH(OpenLCAbasic!K6477,LookUps!$D$5:$D$12,0))))</f>
        <v>Particulate Matter Formation Potential (PMFP) - kg PM2.5 eq</v>
      </c>
      <c r="M6477" s="154" t="str">
        <f t="shared" si="475"/>
        <v>Low_High_Low_Upgraded_Particulate Matter Formation Potential (PMFP) - kg PM2.5 eq_Wastewater collection; operation and infrastructure; m3 wastewater_Without Amendment_Windrow</v>
      </c>
    </row>
    <row r="6478" spans="1:13" s="120" customFormat="1" x14ac:dyDescent="0.25">
      <c r="A6478" s="119"/>
      <c r="B6478" s="138" t="str">
        <f t="shared" si="472"/>
        <v>Windrow</v>
      </c>
      <c r="C6478" s="138" t="str">
        <f t="shared" si="476"/>
        <v>Without Amendment</v>
      </c>
      <c r="D6478" s="138" t="str">
        <f t="shared" si="474"/>
        <v>High_Low</v>
      </c>
      <c r="E6478" s="138" t="str">
        <f t="shared" si="477"/>
        <v>Low</v>
      </c>
      <c r="F6478" s="138" t="str">
        <f t="shared" si="473"/>
        <v>Upgraded</v>
      </c>
      <c r="G6478" s="153"/>
      <c r="H6478" s="210">
        <v>2.5899999999999999E-2</v>
      </c>
      <c r="I6478" s="160" t="s">
        <v>57</v>
      </c>
      <c r="J6478" s="211">
        <v>9.5153800000000004E-5</v>
      </c>
      <c r="K6478" s="160" t="s">
        <v>145</v>
      </c>
      <c r="L6478" s="154" t="str">
        <f>IF(OpenLCAbasic!K6478="CTUh", "Fill in Manually",IF(OR(K6478="Unit", K6478=""), "", INDEX(LookUps!$E$5:$E$12, MATCH(OpenLCAbasic!K6478,LookUps!$D$5:$D$12,0))))</f>
        <v>Particulate Matter Formation Potential (PMFP) - kg PM2.5 eq</v>
      </c>
      <c r="M6478" s="154" t="str">
        <f t="shared" si="475"/>
        <v>Low_High_Low_Upgraded_Particulate Matter Formation Potential (PMFP) - kg PM2.5 eq_Gravity Belt Thickener; wastewater treatment unit; at updated plant - US_Without Amendment_Windrow</v>
      </c>
    </row>
    <row r="6479" spans="1:13" s="120" customFormat="1" x14ac:dyDescent="0.25">
      <c r="A6479" s="119"/>
      <c r="B6479" s="138" t="str">
        <f t="shared" si="472"/>
        <v>Windrow</v>
      </c>
      <c r="C6479" s="138" t="str">
        <f t="shared" si="476"/>
        <v>Without Amendment</v>
      </c>
      <c r="D6479" s="138" t="str">
        <f t="shared" si="474"/>
        <v>High_Low</v>
      </c>
      <c r="E6479" s="138" t="str">
        <f t="shared" si="477"/>
        <v>Low</v>
      </c>
      <c r="F6479" s="138" t="str">
        <f t="shared" si="473"/>
        <v>Upgraded</v>
      </c>
      <c r="G6479" s="153"/>
      <c r="H6479" s="210">
        <v>2.0799999999999999E-2</v>
      </c>
      <c r="I6479" s="160" t="s">
        <v>62</v>
      </c>
      <c r="J6479" s="211">
        <v>7.6371600000000006E-5</v>
      </c>
      <c r="K6479" s="160" t="s">
        <v>145</v>
      </c>
      <c r="L6479" s="154" t="str">
        <f>IF(OpenLCAbasic!K6479="CTUh", "Fill in Manually",IF(OR(K6479="Unit", K6479=""), "", INDEX(LookUps!$E$5:$E$12, MATCH(OpenLCAbasic!K6479,LookUps!$D$5:$D$12,0))))</f>
        <v>Particulate Matter Formation Potential (PMFP) - kg PM2.5 eq</v>
      </c>
      <c r="M6479" s="154" t="str">
        <f t="shared" si="475"/>
        <v>Low_High_Low_Upgraded_Particulate Matter Formation Potential (PMFP) - kg PM2.5 eq_Land application of compost; wastewater treatment unit; at updated plant - US_Without Amendment_Windrow</v>
      </c>
    </row>
    <row r="6480" spans="1:13" s="120" customFormat="1" x14ac:dyDescent="0.25">
      <c r="A6480" s="119"/>
      <c r="B6480" s="138" t="str">
        <f t="shared" si="472"/>
        <v>Windrow</v>
      </c>
      <c r="C6480" s="138" t="str">
        <f t="shared" si="476"/>
        <v>Without Amendment</v>
      </c>
      <c r="D6480" s="138" t="str">
        <f t="shared" si="474"/>
        <v>High_Low</v>
      </c>
      <c r="E6480" s="138" t="str">
        <f t="shared" si="477"/>
        <v>Low</v>
      </c>
      <c r="F6480" s="138" t="str">
        <f t="shared" si="473"/>
        <v>Upgraded</v>
      </c>
      <c r="G6480" s="153"/>
      <c r="H6480" s="210">
        <v>1.9E-2</v>
      </c>
      <c r="I6480" s="160" t="s">
        <v>59</v>
      </c>
      <c r="J6480" s="211">
        <v>6.9942200000000003E-5</v>
      </c>
      <c r="K6480" s="160" t="s">
        <v>145</v>
      </c>
      <c r="L6480" s="154" t="str">
        <f>IF(OpenLCAbasic!K6480="CTUh", "Fill in Manually",IF(OR(K6480="Unit", K6480=""), "", INDEX(LookUps!$E$5:$E$12, MATCH(OpenLCAbasic!K6480,LookUps!$D$5:$D$12,0))))</f>
        <v>Particulate Matter Formation Potential (PMFP) - kg PM2.5 eq</v>
      </c>
      <c r="M6480" s="154" t="str">
        <f t="shared" si="475"/>
        <v>Low_High_Low_Upgraded_Particulate Matter Formation Potential (PMFP) - kg PM2.5 eq_Blend Tank; wastewater treatment unit; at updated plant - US_Without Amendment_Windrow</v>
      </c>
    </row>
    <row r="6481" spans="1:13" s="120" customFormat="1" x14ac:dyDescent="0.25">
      <c r="A6481" s="119"/>
      <c r="B6481" s="138" t="str">
        <f t="shared" si="472"/>
        <v>Windrow</v>
      </c>
      <c r="C6481" s="138" t="str">
        <f t="shared" si="476"/>
        <v>Without Amendment</v>
      </c>
      <c r="D6481" s="138" t="str">
        <f t="shared" si="474"/>
        <v>High_Low</v>
      </c>
      <c r="E6481" s="138" t="str">
        <f t="shared" si="477"/>
        <v>Low</v>
      </c>
      <c r="F6481" s="138" t="str">
        <f t="shared" si="473"/>
        <v>Upgraded</v>
      </c>
      <c r="G6481" s="153"/>
      <c r="H6481" s="210">
        <v>1.4800000000000001E-2</v>
      </c>
      <c r="I6481" s="160" t="s">
        <v>271</v>
      </c>
      <c r="J6481" s="211">
        <v>5.4172100000000003E-5</v>
      </c>
      <c r="K6481" s="160" t="s">
        <v>145</v>
      </c>
      <c r="L6481" s="154" t="str">
        <f>IF(OpenLCAbasic!K6481="CTUh", "Fill in Manually",IF(OR(K6481="Unit", K6481=""), "", INDEX(LookUps!$E$5:$E$12, MATCH(OpenLCAbasic!K6481,LookUps!$D$5:$D$12,0))))</f>
        <v>Particulate Matter Formation Potential (PMFP) - kg PM2.5 eq</v>
      </c>
      <c r="M6481" s="154" t="str">
        <f t="shared" si="475"/>
        <v>Low_High_Low_Upgraded_Particulate Matter Formation Potential (PMFP) - kg PM2.5 eq_Biosolids composting; windrow composting; wastewater treatment unit; at updated plant - US_Without Amendment_Windrow</v>
      </c>
    </row>
    <row r="6482" spans="1:13" s="120" customFormat="1" x14ac:dyDescent="0.25">
      <c r="A6482" s="119"/>
      <c r="B6482" s="138" t="str">
        <f t="shared" si="472"/>
        <v>Windrow</v>
      </c>
      <c r="C6482" s="138" t="str">
        <f t="shared" si="476"/>
        <v>Without Amendment</v>
      </c>
      <c r="D6482" s="138" t="str">
        <f t="shared" si="474"/>
        <v>High_Low</v>
      </c>
      <c r="E6482" s="138" t="str">
        <f t="shared" si="477"/>
        <v>Low</v>
      </c>
      <c r="F6482" s="138" t="str">
        <f t="shared" si="473"/>
        <v>Upgraded</v>
      </c>
      <c r="G6482" s="153"/>
      <c r="H6482" s="210">
        <v>1.3599999999999999E-2</v>
      </c>
      <c r="I6482" s="160" t="s">
        <v>48</v>
      </c>
      <c r="J6482" s="211">
        <v>4.99741E-5</v>
      </c>
      <c r="K6482" s="160" t="s">
        <v>145</v>
      </c>
      <c r="L6482" s="154" t="str">
        <f>IF(OpenLCAbasic!K6482="CTUh", "Fill in Manually",IF(OR(K6482="Unit", K6482=""), "", INDEX(LookUps!$E$5:$E$12, MATCH(OpenLCAbasic!K6482,LookUps!$D$5:$D$12,0))))</f>
        <v>Particulate Matter Formation Potential (PMFP) - kg PM2.5 eq</v>
      </c>
      <c r="M6482" s="154" t="str">
        <f t="shared" si="475"/>
        <v>Low_High_Low_Upgraded_Particulate Matter Formation Potential (PMFP) - kg PM2.5 eq_Effluent release; wastewater treatment unit; at surface water; m3 wastewater - US_Without Amendment_Windrow</v>
      </c>
    </row>
    <row r="6483" spans="1:13" s="120" customFormat="1" x14ac:dyDescent="0.25">
      <c r="A6483" s="119"/>
      <c r="B6483" s="138" t="str">
        <f t="shared" si="472"/>
        <v>Windrow</v>
      </c>
      <c r="C6483" s="138" t="str">
        <f t="shared" si="476"/>
        <v>Without Amendment</v>
      </c>
      <c r="D6483" s="138" t="str">
        <f t="shared" si="474"/>
        <v>High_Low</v>
      </c>
      <c r="E6483" s="138" t="str">
        <f t="shared" si="477"/>
        <v>Low</v>
      </c>
      <c r="F6483" s="138" t="str">
        <f t="shared" si="473"/>
        <v>Upgraded</v>
      </c>
      <c r="G6483" s="153"/>
      <c r="H6483" s="210">
        <v>9.4000000000000004E-3</v>
      </c>
      <c r="I6483" s="160" t="s">
        <v>168</v>
      </c>
      <c r="J6483" s="211">
        <v>3.4562199999999999E-5</v>
      </c>
      <c r="K6483" s="160" t="s">
        <v>145</v>
      </c>
      <c r="L6483" s="154" t="str">
        <f>IF(OpenLCAbasic!K6483="CTUh", "Fill in Manually",IF(OR(K6483="Unit", K6483=""), "", INDEX(LookUps!$E$5:$E$12, MATCH(OpenLCAbasic!K6483,LookUps!$D$5:$D$12,0))))</f>
        <v>Particulate Matter Formation Potential (PMFP) - kg PM2.5 eq</v>
      </c>
      <c r="M6483" s="154" t="str">
        <f t="shared" si="475"/>
        <v>Low_High_Low_Upgraded_Particulate Matter Formation Potential (PMFP) - kg PM2.5 eq_ClearCove SCP; wastewater treatment unit; at updated plant - US_Without Amendment_Windrow</v>
      </c>
    </row>
    <row r="6484" spans="1:13" s="120" customFormat="1" x14ac:dyDescent="0.25">
      <c r="A6484" s="119"/>
      <c r="B6484" s="138" t="str">
        <f t="shared" si="472"/>
        <v>Windrow</v>
      </c>
      <c r="C6484" s="138" t="str">
        <f t="shared" si="476"/>
        <v>Without Amendment</v>
      </c>
      <c r="D6484" s="138" t="str">
        <f t="shared" si="474"/>
        <v>High_Low</v>
      </c>
      <c r="E6484" s="138" t="str">
        <f t="shared" si="477"/>
        <v>Low</v>
      </c>
      <c r="F6484" s="138" t="str">
        <f t="shared" si="473"/>
        <v>Upgraded</v>
      </c>
      <c r="G6484" s="153"/>
      <c r="H6484" s="210">
        <v>2.3999999999999998E-3</v>
      </c>
      <c r="I6484" s="160" t="s">
        <v>148</v>
      </c>
      <c r="J6484" s="211">
        <v>8.8212999999999997E-6</v>
      </c>
      <c r="K6484" s="160" t="s">
        <v>145</v>
      </c>
      <c r="L6484" s="154" t="str">
        <f>IF(OpenLCAbasic!K6484="CTUh", "Fill in Manually",IF(OR(K6484="Unit", K6484=""), "", INDEX(LookUps!$E$5:$E$12, MATCH(OpenLCAbasic!K6484,LookUps!$D$5:$D$12,0))))</f>
        <v>Particulate Matter Formation Potential (PMFP) - kg PM2.5 eq</v>
      </c>
      <c r="M6484" s="154" t="str">
        <f t="shared" si="475"/>
        <v>Low_High_Low_Upgraded_Particulate Matter Formation Potential (PMFP) - kg PM2.5 eq_Control Building; at upgraded wastewater treatment plant - US_Without Amendment_Windrow</v>
      </c>
    </row>
    <row r="6485" spans="1:13" s="120" customFormat="1" x14ac:dyDescent="0.25">
      <c r="A6485" s="119"/>
      <c r="B6485" s="138" t="str">
        <f t="shared" si="472"/>
        <v>Windrow</v>
      </c>
      <c r="C6485" s="138" t="str">
        <f t="shared" si="476"/>
        <v>Without Amendment</v>
      </c>
      <c r="D6485" s="138" t="str">
        <f t="shared" si="474"/>
        <v>High_Low</v>
      </c>
      <c r="E6485" s="138" t="str">
        <f t="shared" si="477"/>
        <v>Low</v>
      </c>
      <c r="F6485" s="138" t="str">
        <f t="shared" si="473"/>
        <v>Upgraded</v>
      </c>
      <c r="G6485" s="153"/>
      <c r="H6485" s="210">
        <v>-0.48499999999999999</v>
      </c>
      <c r="I6485" s="160" t="s">
        <v>149</v>
      </c>
      <c r="J6485" s="160">
        <v>-1.7799999999999999E-3</v>
      </c>
      <c r="K6485" s="160" t="s">
        <v>145</v>
      </c>
      <c r="L6485" s="154" t="str">
        <f>IF(OpenLCAbasic!K6485="CTUh", "Fill in Manually",IF(OR(K6485="Unit", K6485=""), "", INDEX(LookUps!$E$5:$E$12, MATCH(OpenLCAbasic!K6485,LookUps!$D$5:$D$12,0))))</f>
        <v>Particulate Matter Formation Potential (PMFP) - kg PM2.5 eq</v>
      </c>
      <c r="M6485" s="154" t="str">
        <f t="shared" si="475"/>
        <v>Low_High_Low_Upgraded_Particulate Matter Formation Potential (PMFP) - kg PM2.5 eq_Anaerobic Digestion; wastewater treatment unit; at updated plant - US_Without Amendment_Windrow</v>
      </c>
    </row>
    <row r="6486" spans="1:13" s="120" customFormat="1" x14ac:dyDescent="0.25">
      <c r="A6486" s="119"/>
      <c r="B6486" s="138" t="str">
        <f t="shared" si="472"/>
        <v/>
      </c>
      <c r="C6486" s="138" t="str">
        <f t="shared" si="476"/>
        <v/>
      </c>
      <c r="D6486" s="138" t="str">
        <f t="shared" si="474"/>
        <v/>
      </c>
      <c r="E6486" s="138" t="str">
        <f t="shared" si="477"/>
        <v/>
      </c>
      <c r="F6486" s="138" t="str">
        <f t="shared" si="473"/>
        <v/>
      </c>
      <c r="G6486" s="153" t="s">
        <v>51</v>
      </c>
      <c r="H6486" s="160"/>
      <c r="I6486" s="160" t="s">
        <v>47</v>
      </c>
      <c r="J6486" s="160" t="s">
        <v>52</v>
      </c>
      <c r="K6486" s="160" t="s">
        <v>27</v>
      </c>
      <c r="L6486" s="154" t="str">
        <f>IF(OpenLCAbasic!K6486="CTUh", "Fill in Manually",IF(OR(K6486="Unit", K6486=""), "", INDEX(LookUps!$E$5:$E$12, MATCH(OpenLCAbasic!K6486,LookUps!$D$5:$D$12,0))))</f>
        <v/>
      </c>
      <c r="M6486" s="154" t="str">
        <f t="shared" si="475"/>
        <v>____Process__</v>
      </c>
    </row>
    <row r="6487" spans="1:13" s="120" customFormat="1" x14ac:dyDescent="0.25">
      <c r="A6487" s="119"/>
      <c r="B6487" s="138" t="str">
        <f t="shared" si="472"/>
        <v>Windrow</v>
      </c>
      <c r="C6487" s="138" t="str">
        <f t="shared" si="476"/>
        <v>Without Amendment</v>
      </c>
      <c r="D6487" s="138" t="str">
        <f t="shared" si="474"/>
        <v>High_Low</v>
      </c>
      <c r="E6487" s="138" t="str">
        <f t="shared" si="477"/>
        <v>Low</v>
      </c>
      <c r="F6487" s="138" t="str">
        <f t="shared" si="473"/>
        <v>Upgraded</v>
      </c>
      <c r="G6487" s="153"/>
      <c r="H6487" s="210">
        <v>0.6431</v>
      </c>
      <c r="I6487" s="160" t="s">
        <v>55</v>
      </c>
      <c r="J6487" s="160">
        <v>0.16577</v>
      </c>
      <c r="K6487" s="160" t="s">
        <v>25</v>
      </c>
      <c r="L6487" s="154" t="str">
        <f>IF(OpenLCAbasic!K6487="CTUh", "Fill in Manually",IF(OR(K6487="Unit", K6487=""), "", INDEX(LookUps!$E$5:$E$12, MATCH(OpenLCAbasic!K6487,LookUps!$D$5:$D$12,0))))</f>
        <v>Smog Formation Potential (SFP) - kg O3 eq</v>
      </c>
      <c r="M6487" s="154" t="str">
        <f t="shared" si="475"/>
        <v>Low_High_Low_Upgraded_Smog Formation Potential (SFP) - kg O3 eq_Aeration Tanks; wastewater treatment unit; at updated plant - US_Without Amendment_Windrow</v>
      </c>
    </row>
    <row r="6488" spans="1:13" s="120" customFormat="1" x14ac:dyDescent="0.25">
      <c r="A6488" s="119"/>
      <c r="B6488" s="138" t="str">
        <f t="shared" si="472"/>
        <v>Windrow</v>
      </c>
      <c r="C6488" s="138" t="str">
        <f t="shared" si="476"/>
        <v>Without Amendment</v>
      </c>
      <c r="D6488" s="138" t="str">
        <f t="shared" si="474"/>
        <v>High_Low</v>
      </c>
      <c r="E6488" s="138" t="str">
        <f t="shared" si="477"/>
        <v>Low</v>
      </c>
      <c r="F6488" s="138" t="str">
        <f t="shared" si="473"/>
        <v>Upgraded</v>
      </c>
      <c r="G6488" s="153"/>
      <c r="H6488" s="210">
        <v>0.1865</v>
      </c>
      <c r="I6488" s="160" t="s">
        <v>54</v>
      </c>
      <c r="J6488" s="160">
        <v>4.8070000000000002E-2</v>
      </c>
      <c r="K6488" s="160" t="s">
        <v>25</v>
      </c>
      <c r="L6488" s="154" t="str">
        <f>IF(OpenLCAbasic!K6488="CTUh", "Fill in Manually",IF(OR(K6488="Unit", K6488=""), "", INDEX(LookUps!$E$5:$E$12, MATCH(OpenLCAbasic!K6488,LookUps!$D$5:$D$12,0))))</f>
        <v>Smog Formation Potential (SFP) - kg O3 eq</v>
      </c>
      <c r="M6488" s="154" t="str">
        <f t="shared" si="475"/>
        <v>Low_High_Low_Upgraded_Smog Formation Potential (SFP) - kg O3 eq_Clear Cove Primary Clarification; wastewater treatment unit; at updated plant - US_Without Amendment_Windrow</v>
      </c>
    </row>
    <row r="6489" spans="1:13" s="120" customFormat="1" x14ac:dyDescent="0.25">
      <c r="A6489" s="119"/>
      <c r="B6489" s="138" t="str">
        <f t="shared" si="472"/>
        <v>Windrow</v>
      </c>
      <c r="C6489" s="138" t="str">
        <f t="shared" si="476"/>
        <v>Without Amendment</v>
      </c>
      <c r="D6489" s="138" t="str">
        <f t="shared" si="474"/>
        <v>High_Low</v>
      </c>
      <c r="E6489" s="138" t="str">
        <f t="shared" si="477"/>
        <v>Low</v>
      </c>
      <c r="F6489" s="138" t="str">
        <f t="shared" si="473"/>
        <v>Upgraded</v>
      </c>
      <c r="G6489" s="153"/>
      <c r="H6489" s="210">
        <v>0.1633</v>
      </c>
      <c r="I6489" s="160" t="s">
        <v>58</v>
      </c>
      <c r="J6489" s="160">
        <v>4.2090000000000002E-2</v>
      </c>
      <c r="K6489" s="160" t="s">
        <v>25</v>
      </c>
      <c r="L6489" s="154" t="str">
        <f>IF(OpenLCAbasic!K6489="CTUh", "Fill in Manually",IF(OR(K6489="Unit", K6489=""), "", INDEX(LookUps!$E$5:$E$12, MATCH(OpenLCAbasic!K6489,LookUps!$D$5:$D$12,0))))</f>
        <v>Smog Formation Potential (SFP) - kg O3 eq</v>
      </c>
      <c r="M6489" s="154" t="str">
        <f t="shared" si="475"/>
        <v>Low_High_Low_Upgraded_Smog Formation Potential (SFP) - kg O3 eq_Pre-Anoxic &amp; Swing tank; wastewater treatment unit; at updated plant - US_Without Amendment_Windrow</v>
      </c>
    </row>
    <row r="6490" spans="1:13" s="120" customFormat="1" x14ac:dyDescent="0.25">
      <c r="A6490" s="119"/>
      <c r="B6490" s="138" t="str">
        <f t="shared" si="472"/>
        <v>Windrow</v>
      </c>
      <c r="C6490" s="138" t="str">
        <f t="shared" si="476"/>
        <v>Without Amendment</v>
      </c>
      <c r="D6490" s="138" t="str">
        <f t="shared" si="474"/>
        <v>High_Low</v>
      </c>
      <c r="E6490" s="138" t="str">
        <f t="shared" si="477"/>
        <v>Low</v>
      </c>
      <c r="F6490" s="138" t="str">
        <f t="shared" si="473"/>
        <v>Upgraded</v>
      </c>
      <c r="G6490" s="153"/>
      <c r="H6490" s="210">
        <v>0.13089999999999999</v>
      </c>
      <c r="I6490" s="160" t="s">
        <v>167</v>
      </c>
      <c r="J6490" s="160">
        <v>3.3759999999999998E-2</v>
      </c>
      <c r="K6490" s="160" t="s">
        <v>25</v>
      </c>
      <c r="L6490" s="154" t="str">
        <f>IF(OpenLCAbasic!K6490="CTUh", "Fill in Manually",IF(OR(K6490="Unit", K6490=""), "", INDEX(LookUps!$E$5:$E$12, MATCH(OpenLCAbasic!K6490,LookUps!$D$5:$D$12,0))))</f>
        <v>Smog Formation Potential (SFP) - kg O3 eq</v>
      </c>
      <c r="M6490" s="154" t="str">
        <f t="shared" si="475"/>
        <v>Low_High_Low_Upgraded_Smog Formation Potential (SFP) - kg O3 eq_Waste Receiving and Holding; wastewater treatment unit; at updated plant - US_Without Amendment_Windrow</v>
      </c>
    </row>
    <row r="6491" spans="1:13" s="120" customFormat="1" x14ac:dyDescent="0.25">
      <c r="A6491" s="119"/>
      <c r="B6491" s="138" t="str">
        <f t="shared" si="472"/>
        <v>Windrow</v>
      </c>
      <c r="C6491" s="138" t="str">
        <f t="shared" si="476"/>
        <v>Without Amendment</v>
      </c>
      <c r="D6491" s="138" t="str">
        <f t="shared" si="474"/>
        <v>High_Low</v>
      </c>
      <c r="E6491" s="138" t="str">
        <f t="shared" si="477"/>
        <v>Low</v>
      </c>
      <c r="F6491" s="138" t="str">
        <f t="shared" si="473"/>
        <v>Upgraded</v>
      </c>
      <c r="G6491" s="153"/>
      <c r="H6491" s="210">
        <v>0.1285</v>
      </c>
      <c r="I6491" s="160" t="s">
        <v>53</v>
      </c>
      <c r="J6491" s="160">
        <v>3.313E-2</v>
      </c>
      <c r="K6491" s="160" t="s">
        <v>25</v>
      </c>
      <c r="L6491" s="154" t="str">
        <f>IF(OpenLCAbasic!K6491="CTUh", "Fill in Manually",IF(OR(K6491="Unit", K6491=""), "", INDEX(LookUps!$E$5:$E$12, MATCH(OpenLCAbasic!K6491,LookUps!$D$5:$D$12,0))))</f>
        <v>Smog Formation Potential (SFP) - kg O3 eq</v>
      </c>
      <c r="M6491" s="154" t="str">
        <f t="shared" si="475"/>
        <v>Low_High_Low_Upgraded_Smog Formation Potential (SFP) - kg O3 eq_Wet Well and Sump Station; wastewater treatment unit; at updated plant - US_Without Amendment_Windrow</v>
      </c>
    </row>
    <row r="6492" spans="1:13" s="120" customFormat="1" x14ac:dyDescent="0.25">
      <c r="A6492" s="119"/>
      <c r="B6492" s="138" t="str">
        <f t="shared" si="472"/>
        <v>Windrow</v>
      </c>
      <c r="C6492" s="138" t="str">
        <f t="shared" si="476"/>
        <v>Without Amendment</v>
      </c>
      <c r="D6492" s="138" t="str">
        <f t="shared" si="474"/>
        <v>High_Low</v>
      </c>
      <c r="E6492" s="138" t="str">
        <f t="shared" si="477"/>
        <v>Low</v>
      </c>
      <c r="F6492" s="138" t="str">
        <f t="shared" si="473"/>
        <v>Upgraded</v>
      </c>
      <c r="G6492" s="153"/>
      <c r="H6492" s="210">
        <v>7.5300000000000006E-2</v>
      </c>
      <c r="I6492" s="160" t="s">
        <v>147</v>
      </c>
      <c r="J6492" s="160">
        <v>1.9400000000000001E-2</v>
      </c>
      <c r="K6492" s="160" t="s">
        <v>25</v>
      </c>
      <c r="L6492" s="154" t="str">
        <f>IF(OpenLCAbasic!K6492="CTUh", "Fill in Manually",IF(OR(K6492="Unit", K6492=""), "", INDEX(LookUps!$E$5:$E$12, MATCH(OpenLCAbasic!K6492,LookUps!$D$5:$D$12,0))))</f>
        <v>Smog Formation Potential (SFP) - kg O3 eq</v>
      </c>
      <c r="M6492" s="154" t="str">
        <f t="shared" si="475"/>
        <v>Low_High_Low_Upgraded_Smog Formation Potential (SFP) - kg O3 eq_Influent Pump Station; wastewater treatment unit; at updated plant - US_Without Amendment_Windrow</v>
      </c>
    </row>
    <row r="6493" spans="1:13" s="120" customFormat="1" x14ac:dyDescent="0.25">
      <c r="A6493" s="119"/>
      <c r="B6493" s="138" t="str">
        <f t="shared" si="472"/>
        <v>Windrow</v>
      </c>
      <c r="C6493" s="138" t="str">
        <f t="shared" si="476"/>
        <v>Without Amendment</v>
      </c>
      <c r="D6493" s="138" t="str">
        <f t="shared" si="474"/>
        <v>High_Low</v>
      </c>
      <c r="E6493" s="138" t="str">
        <f t="shared" si="477"/>
        <v>Low</v>
      </c>
      <c r="F6493" s="138" t="str">
        <f t="shared" si="473"/>
        <v>Upgraded</v>
      </c>
      <c r="G6493" s="153"/>
      <c r="H6493" s="210">
        <v>6.2E-2</v>
      </c>
      <c r="I6493" s="160" t="s">
        <v>60</v>
      </c>
      <c r="J6493" s="160">
        <v>1.5990000000000001E-2</v>
      </c>
      <c r="K6493" s="160" t="s">
        <v>25</v>
      </c>
      <c r="L6493" s="154" t="str">
        <f>IF(OpenLCAbasic!K6493="CTUh", "Fill in Manually",IF(OR(K6493="Unit", K6493=""), "", INDEX(LookUps!$E$5:$E$12, MATCH(OpenLCAbasic!K6493,LookUps!$D$5:$D$12,0))))</f>
        <v>Smog Formation Potential (SFP) - kg O3 eq</v>
      </c>
      <c r="M6493" s="154" t="str">
        <f t="shared" si="475"/>
        <v>Low_High_Low_Upgraded_Smog Formation Potential (SFP) - kg O3 eq_Belt filter press; wastewater treatment unit; at updated plant - US_Without Amendment_Windrow</v>
      </c>
    </row>
    <row r="6494" spans="1:13" s="120" customFormat="1" x14ac:dyDescent="0.25">
      <c r="A6494" s="119"/>
      <c r="B6494" s="138" t="str">
        <f t="shared" si="472"/>
        <v>Windrow</v>
      </c>
      <c r="C6494" s="138" t="str">
        <f t="shared" si="476"/>
        <v>Without Amendment</v>
      </c>
      <c r="D6494" s="138" t="str">
        <f t="shared" si="474"/>
        <v>High_Low</v>
      </c>
      <c r="E6494" s="138" t="str">
        <f t="shared" si="477"/>
        <v>Low</v>
      </c>
      <c r="F6494" s="138" t="str">
        <f t="shared" si="473"/>
        <v>Upgraded</v>
      </c>
      <c r="G6494" s="153"/>
      <c r="H6494" s="210">
        <v>4.6199999999999998E-2</v>
      </c>
      <c r="I6494" s="160" t="s">
        <v>128</v>
      </c>
      <c r="J6494" s="160">
        <v>1.192E-2</v>
      </c>
      <c r="K6494" s="160" t="s">
        <v>25</v>
      </c>
      <c r="L6494" s="154" t="str">
        <f>IF(OpenLCAbasic!K6494="CTUh", "Fill in Manually",IF(OR(K6494="Unit", K6494=""), "", INDEX(LookUps!$E$5:$E$12, MATCH(OpenLCAbasic!K6494,LookUps!$D$5:$D$12,0))))</f>
        <v>Smog Formation Potential (SFP) - kg O3 eq</v>
      </c>
      <c r="M6494" s="154" t="str">
        <f t="shared" si="475"/>
        <v>Low_High_Low_Upgraded_Smog Formation Potential (SFP) - kg O3 eq_Wastewater collection; operation and infrastructure; m3 wastewater_Without Amendment_Windrow</v>
      </c>
    </row>
    <row r="6495" spans="1:13" s="120" customFormat="1" x14ac:dyDescent="0.25">
      <c r="A6495" s="119"/>
      <c r="B6495" s="138" t="str">
        <f t="shared" si="472"/>
        <v>Windrow</v>
      </c>
      <c r="C6495" s="138" t="str">
        <f t="shared" si="476"/>
        <v>Without Amendment</v>
      </c>
      <c r="D6495" s="138" t="str">
        <f t="shared" si="474"/>
        <v>High_Low</v>
      </c>
      <c r="E6495" s="138" t="str">
        <f t="shared" si="477"/>
        <v>Low</v>
      </c>
      <c r="F6495" s="138" t="str">
        <f t="shared" si="473"/>
        <v>Upgraded</v>
      </c>
      <c r="G6495" s="153"/>
      <c r="H6495" s="210">
        <v>2.58E-2</v>
      </c>
      <c r="I6495" s="160" t="s">
        <v>57</v>
      </c>
      <c r="J6495" s="160">
        <v>6.6499999999999997E-3</v>
      </c>
      <c r="K6495" s="160" t="s">
        <v>25</v>
      </c>
      <c r="L6495" s="154" t="str">
        <f>IF(OpenLCAbasic!K6495="CTUh", "Fill in Manually",IF(OR(K6495="Unit", K6495=""), "", INDEX(LookUps!$E$5:$E$12, MATCH(OpenLCAbasic!K6495,LookUps!$D$5:$D$12,0))))</f>
        <v>Smog Formation Potential (SFP) - kg O3 eq</v>
      </c>
      <c r="M6495" s="154" t="str">
        <f t="shared" si="475"/>
        <v>Low_High_Low_Upgraded_Smog Formation Potential (SFP) - kg O3 eq_Gravity Belt Thickener; wastewater treatment unit; at updated plant - US_Without Amendment_Windrow</v>
      </c>
    </row>
    <row r="6496" spans="1:13" s="120" customFormat="1" x14ac:dyDescent="0.25">
      <c r="A6496" s="119"/>
      <c r="B6496" s="138" t="str">
        <f t="shared" si="472"/>
        <v>Windrow</v>
      </c>
      <c r="C6496" s="138" t="str">
        <f t="shared" si="476"/>
        <v>Without Amendment</v>
      </c>
      <c r="D6496" s="138" t="str">
        <f t="shared" si="474"/>
        <v>High_Low</v>
      </c>
      <c r="E6496" s="138" t="str">
        <f t="shared" si="477"/>
        <v>Low</v>
      </c>
      <c r="F6496" s="138" t="str">
        <f t="shared" si="473"/>
        <v>Upgraded</v>
      </c>
      <c r="G6496" s="153"/>
      <c r="H6496" s="210">
        <v>1.9300000000000001E-2</v>
      </c>
      <c r="I6496" s="160" t="s">
        <v>59</v>
      </c>
      <c r="J6496" s="160">
        <v>4.9699999999999996E-3</v>
      </c>
      <c r="K6496" s="160" t="s">
        <v>25</v>
      </c>
      <c r="L6496" s="154" t="str">
        <f>IF(OpenLCAbasic!K6496="CTUh", "Fill in Manually",IF(OR(K6496="Unit", K6496=""), "", INDEX(LookUps!$E$5:$E$12, MATCH(OpenLCAbasic!K6496,LookUps!$D$5:$D$12,0))))</f>
        <v>Smog Formation Potential (SFP) - kg O3 eq</v>
      </c>
      <c r="M6496" s="154" t="str">
        <f t="shared" si="475"/>
        <v>Low_High_Low_Upgraded_Smog Formation Potential (SFP) - kg O3 eq_Blend Tank; wastewater treatment unit; at updated plant - US_Without Amendment_Windrow</v>
      </c>
    </row>
    <row r="6497" spans="1:13" s="120" customFormat="1" x14ac:dyDescent="0.25">
      <c r="A6497" s="119"/>
      <c r="B6497" s="138" t="str">
        <f t="shared" si="472"/>
        <v>Windrow</v>
      </c>
      <c r="C6497" s="138" t="str">
        <f t="shared" si="476"/>
        <v>Without Amendment</v>
      </c>
      <c r="D6497" s="138" t="str">
        <f t="shared" si="474"/>
        <v>High_Low</v>
      </c>
      <c r="E6497" s="138" t="str">
        <f t="shared" si="477"/>
        <v>Low</v>
      </c>
      <c r="F6497" s="138" t="str">
        <f t="shared" si="473"/>
        <v>Upgraded</v>
      </c>
      <c r="G6497" s="153"/>
      <c r="H6497" s="210">
        <v>1.3100000000000001E-2</v>
      </c>
      <c r="I6497" s="160" t="s">
        <v>48</v>
      </c>
      <c r="J6497" s="160">
        <v>3.3899999999999998E-3</v>
      </c>
      <c r="K6497" s="160" t="s">
        <v>25</v>
      </c>
      <c r="L6497" s="154" t="str">
        <f>IF(OpenLCAbasic!K6497="CTUh", "Fill in Manually",IF(OR(K6497="Unit", K6497=""), "", INDEX(LookUps!$E$5:$E$12, MATCH(OpenLCAbasic!K6497,LookUps!$D$5:$D$12,0))))</f>
        <v>Smog Formation Potential (SFP) - kg O3 eq</v>
      </c>
      <c r="M6497" s="154" t="str">
        <f t="shared" si="475"/>
        <v>Low_High_Low_Upgraded_Smog Formation Potential (SFP) - kg O3 eq_Effluent release; wastewater treatment unit; at surface water; m3 wastewater - US_Without Amendment_Windrow</v>
      </c>
    </row>
    <row r="6498" spans="1:13" s="120" customFormat="1" x14ac:dyDescent="0.25">
      <c r="A6498" s="119"/>
      <c r="B6498" s="138" t="str">
        <f t="shared" si="472"/>
        <v>Windrow</v>
      </c>
      <c r="C6498" s="138" t="str">
        <f t="shared" si="476"/>
        <v>Without Amendment</v>
      </c>
      <c r="D6498" s="138" t="str">
        <f t="shared" si="474"/>
        <v>High_Low</v>
      </c>
      <c r="E6498" s="138" t="str">
        <f t="shared" si="477"/>
        <v>Low</v>
      </c>
      <c r="F6498" s="138" t="str">
        <f t="shared" si="473"/>
        <v>Upgraded</v>
      </c>
      <c r="G6498" s="153"/>
      <c r="H6498" s="210">
        <v>9.4999999999999998E-3</v>
      </c>
      <c r="I6498" s="160" t="s">
        <v>168</v>
      </c>
      <c r="J6498" s="160">
        <v>2.4599999999999999E-3</v>
      </c>
      <c r="K6498" s="160" t="s">
        <v>25</v>
      </c>
      <c r="L6498" s="154" t="str">
        <f>IF(OpenLCAbasic!K6498="CTUh", "Fill in Manually",IF(OR(K6498="Unit", K6498=""), "", INDEX(LookUps!$E$5:$E$12, MATCH(OpenLCAbasic!K6498,LookUps!$D$5:$D$12,0))))</f>
        <v>Smog Formation Potential (SFP) - kg O3 eq</v>
      </c>
      <c r="M6498" s="154" t="str">
        <f t="shared" si="475"/>
        <v>Low_High_Low_Upgraded_Smog Formation Potential (SFP) - kg O3 eq_ClearCove SCP; wastewater treatment unit; at updated plant - US_Without Amendment_Windrow</v>
      </c>
    </row>
    <row r="6499" spans="1:13" s="120" customFormat="1" x14ac:dyDescent="0.25">
      <c r="A6499" s="119"/>
      <c r="B6499" s="138" t="str">
        <f t="shared" si="472"/>
        <v>Windrow</v>
      </c>
      <c r="C6499" s="138" t="str">
        <f t="shared" si="476"/>
        <v>Without Amendment</v>
      </c>
      <c r="D6499" s="138" t="str">
        <f t="shared" si="474"/>
        <v>High_Low</v>
      </c>
      <c r="E6499" s="138" t="str">
        <f t="shared" si="477"/>
        <v>Low</v>
      </c>
      <c r="F6499" s="138" t="str">
        <f t="shared" si="473"/>
        <v>Upgraded</v>
      </c>
      <c r="G6499" s="153"/>
      <c r="H6499" s="210">
        <v>3.2000000000000002E-3</v>
      </c>
      <c r="I6499" s="160" t="s">
        <v>271</v>
      </c>
      <c r="J6499" s="160">
        <v>8.3000000000000001E-4</v>
      </c>
      <c r="K6499" s="160" t="s">
        <v>25</v>
      </c>
      <c r="L6499" s="154" t="str">
        <f>IF(OpenLCAbasic!K6499="CTUh", "Fill in Manually",IF(OR(K6499="Unit", K6499=""), "", INDEX(LookUps!$E$5:$E$12, MATCH(OpenLCAbasic!K6499,LookUps!$D$5:$D$12,0))))</f>
        <v>Smog Formation Potential (SFP) - kg O3 eq</v>
      </c>
      <c r="M6499" s="154" t="str">
        <f t="shared" si="475"/>
        <v>Low_High_Low_Upgraded_Smog Formation Potential (SFP) - kg O3 eq_Biosolids composting; windrow composting; wastewater treatment unit; at updated plant - US_Without Amendment_Windrow</v>
      </c>
    </row>
    <row r="6500" spans="1:13" s="120" customFormat="1" x14ac:dyDescent="0.25">
      <c r="A6500" s="119"/>
      <c r="B6500" s="138" t="str">
        <f t="shared" si="472"/>
        <v>Windrow</v>
      </c>
      <c r="C6500" s="138" t="str">
        <f t="shared" si="476"/>
        <v>Without Amendment</v>
      </c>
      <c r="D6500" s="138" t="str">
        <f t="shared" si="474"/>
        <v>High_Low</v>
      </c>
      <c r="E6500" s="138" t="str">
        <f t="shared" si="477"/>
        <v>Low</v>
      </c>
      <c r="F6500" s="138" t="str">
        <f t="shared" si="473"/>
        <v>Upgraded</v>
      </c>
      <c r="G6500" s="153"/>
      <c r="H6500" s="210">
        <v>2.0999999999999999E-3</v>
      </c>
      <c r="I6500" s="160" t="s">
        <v>148</v>
      </c>
      <c r="J6500" s="160">
        <v>5.4000000000000001E-4</v>
      </c>
      <c r="K6500" s="160" t="s">
        <v>25</v>
      </c>
      <c r="L6500" s="154" t="str">
        <f>IF(OpenLCAbasic!K6500="CTUh", "Fill in Manually",IF(OR(K6500="Unit", K6500=""), "", INDEX(LookUps!$E$5:$E$12, MATCH(OpenLCAbasic!K6500,LookUps!$D$5:$D$12,0))))</f>
        <v>Smog Formation Potential (SFP) - kg O3 eq</v>
      </c>
      <c r="M6500" s="154" t="str">
        <f t="shared" si="475"/>
        <v>Low_High_Low_Upgraded_Smog Formation Potential (SFP) - kg O3 eq_Control Building; at upgraded wastewater treatment plant - US_Without Amendment_Windrow</v>
      </c>
    </row>
    <row r="6501" spans="1:13" s="120" customFormat="1" x14ac:dyDescent="0.25">
      <c r="A6501" s="119"/>
      <c r="B6501" s="138" t="str">
        <f t="shared" si="472"/>
        <v>Windrow</v>
      </c>
      <c r="C6501" s="138" t="str">
        <f t="shared" si="476"/>
        <v>Without Amendment</v>
      </c>
      <c r="D6501" s="138" t="str">
        <f t="shared" si="474"/>
        <v>High_Low</v>
      </c>
      <c r="E6501" s="138" t="str">
        <f t="shared" si="477"/>
        <v>Low</v>
      </c>
      <c r="F6501" s="138" t="str">
        <f t="shared" si="473"/>
        <v>Upgraded</v>
      </c>
      <c r="G6501" s="153"/>
      <c r="H6501" s="210">
        <v>-1.52E-2</v>
      </c>
      <c r="I6501" s="160" t="s">
        <v>62</v>
      </c>
      <c r="J6501" s="160">
        <v>-3.9199999999999999E-3</v>
      </c>
      <c r="K6501" s="160" t="s">
        <v>25</v>
      </c>
      <c r="L6501" s="154" t="str">
        <f>IF(OpenLCAbasic!K6501="CTUh", "Fill in Manually",IF(OR(K6501="Unit", K6501=""), "", INDEX(LookUps!$E$5:$E$12, MATCH(OpenLCAbasic!K6501,LookUps!$D$5:$D$12,0))))</f>
        <v>Smog Formation Potential (SFP) - kg O3 eq</v>
      </c>
      <c r="M6501" s="154" t="str">
        <f t="shared" si="475"/>
        <v>Low_High_Low_Upgraded_Smog Formation Potential (SFP) - kg O3 eq_Land application of compost; wastewater treatment unit; at updated plant - US_Without Amendment_Windrow</v>
      </c>
    </row>
    <row r="6502" spans="1:13" s="120" customFormat="1" x14ac:dyDescent="0.25">
      <c r="A6502" s="119"/>
      <c r="B6502" s="138" t="str">
        <f t="shared" si="472"/>
        <v>Windrow</v>
      </c>
      <c r="C6502" s="138" t="str">
        <f t="shared" si="476"/>
        <v>Without Amendment</v>
      </c>
      <c r="D6502" s="138" t="str">
        <f t="shared" si="474"/>
        <v>High_Low</v>
      </c>
      <c r="E6502" s="138" t="str">
        <f t="shared" si="477"/>
        <v>Low</v>
      </c>
      <c r="F6502" s="138" t="str">
        <f t="shared" si="473"/>
        <v>Upgraded</v>
      </c>
      <c r="G6502" s="153"/>
      <c r="H6502" s="210">
        <v>-0.49359999999999998</v>
      </c>
      <c r="I6502" s="160" t="s">
        <v>149</v>
      </c>
      <c r="J6502" s="160">
        <v>-0.12725</v>
      </c>
      <c r="K6502" s="160" t="s">
        <v>25</v>
      </c>
      <c r="L6502" s="154" t="str">
        <f>IF(OpenLCAbasic!K6502="CTUh", "Fill in Manually",IF(OR(K6502="Unit", K6502=""), "", INDEX(LookUps!$E$5:$E$12, MATCH(OpenLCAbasic!K6502,LookUps!$D$5:$D$12,0))))</f>
        <v>Smog Formation Potential (SFP) - kg O3 eq</v>
      </c>
      <c r="M6502" s="154" t="str">
        <f t="shared" si="475"/>
        <v>Low_High_Low_Upgraded_Smog Formation Potential (SFP) - kg O3 eq_Anaerobic Digestion; wastewater treatment unit; at updated plant - US_Without Amendment_Windrow</v>
      </c>
    </row>
    <row r="6503" spans="1:13" s="120" customFormat="1" x14ac:dyDescent="0.25">
      <c r="A6503" s="119"/>
      <c r="B6503" s="138" t="str">
        <f t="shared" si="472"/>
        <v/>
      </c>
      <c r="C6503" s="138" t="str">
        <f t="shared" si="476"/>
        <v/>
      </c>
      <c r="D6503" s="138" t="str">
        <f t="shared" si="474"/>
        <v/>
      </c>
      <c r="E6503" s="138" t="str">
        <f t="shared" si="477"/>
        <v/>
      </c>
      <c r="F6503" s="138" t="str">
        <f t="shared" si="473"/>
        <v/>
      </c>
      <c r="G6503" s="153" t="s">
        <v>51</v>
      </c>
      <c r="H6503" s="160"/>
      <c r="I6503" s="160" t="s">
        <v>47</v>
      </c>
      <c r="J6503" s="160" t="s">
        <v>52</v>
      </c>
      <c r="K6503" s="160" t="s">
        <v>27</v>
      </c>
      <c r="L6503" s="154" t="str">
        <f>IF(OpenLCAbasic!K6503="CTUh", "Fill in Manually",IF(OR(K6503="Unit", K6503=""), "", INDEX(LookUps!$E$5:$E$12, MATCH(OpenLCAbasic!K6503,LookUps!$D$5:$D$12,0))))</f>
        <v/>
      </c>
      <c r="M6503" s="154" t="str">
        <f t="shared" si="475"/>
        <v>____Process__</v>
      </c>
    </row>
    <row r="6504" spans="1:13" s="120" customFormat="1" x14ac:dyDescent="0.25">
      <c r="A6504" s="119"/>
      <c r="B6504" s="138" t="str">
        <f t="shared" ref="B6504:B6567" si="478">IF(F6504="Legacy","n.a.",IF(F6504="","","Windrow"))</f>
        <v>Windrow</v>
      </c>
      <c r="C6504" s="138" t="str">
        <f t="shared" si="476"/>
        <v>Without Amendment</v>
      </c>
      <c r="D6504" s="138" t="str">
        <f t="shared" si="474"/>
        <v>High_Low</v>
      </c>
      <c r="E6504" s="138" t="str">
        <f t="shared" si="477"/>
        <v>Low</v>
      </c>
      <c r="F6504" s="138" t="str">
        <f t="shared" ref="F6504:F6567" si="479">IF(ISNUMBER(J6504),"Upgraded","")</f>
        <v>Upgraded</v>
      </c>
      <c r="G6504" s="153"/>
      <c r="H6504" s="210">
        <v>1.0553999999999999</v>
      </c>
      <c r="I6504" s="160" t="s">
        <v>167</v>
      </c>
      <c r="J6504" s="160">
        <v>3.4000000000000002E-4</v>
      </c>
      <c r="K6504" s="160" t="s">
        <v>26</v>
      </c>
      <c r="L6504" s="154" t="str">
        <f>IF(OpenLCAbasic!K6504="CTUh", "Fill in Manually",IF(OR(K6504="Unit", K6504=""), "", INDEX(LookUps!$E$5:$E$12, MATCH(OpenLCAbasic!K6504,LookUps!$D$5:$D$12,0))))</f>
        <v>Water Use (WU) - m3 H2O</v>
      </c>
      <c r="M6504" s="154" t="str">
        <f t="shared" si="475"/>
        <v>Low_High_Low_Upgraded_Water Use (WU) - m3 H2O_Waste Receiving and Holding; wastewater treatment unit; at updated plant - US_Without Amendment_Windrow</v>
      </c>
    </row>
    <row r="6505" spans="1:13" s="120" customFormat="1" x14ac:dyDescent="0.25">
      <c r="A6505" s="119"/>
      <c r="B6505" s="138" t="str">
        <f t="shared" si="478"/>
        <v>Windrow</v>
      </c>
      <c r="C6505" s="138" t="str">
        <f t="shared" si="476"/>
        <v>Without Amendment</v>
      </c>
      <c r="D6505" s="138" t="str">
        <f t="shared" si="474"/>
        <v>High_Low</v>
      </c>
      <c r="E6505" s="138" t="str">
        <f t="shared" si="477"/>
        <v>Low</v>
      </c>
      <c r="F6505" s="138" t="str">
        <f t="shared" si="479"/>
        <v>Upgraded</v>
      </c>
      <c r="G6505" s="153"/>
      <c r="H6505" s="210">
        <v>0.57750000000000001</v>
      </c>
      <c r="I6505" s="160" t="s">
        <v>147</v>
      </c>
      <c r="J6505" s="160">
        <v>1.8000000000000001E-4</v>
      </c>
      <c r="K6505" s="160" t="s">
        <v>26</v>
      </c>
      <c r="L6505" s="154" t="str">
        <f>IF(OpenLCAbasic!K6505="CTUh", "Fill in Manually",IF(OR(K6505="Unit", K6505=""), "", INDEX(LookUps!$E$5:$E$12, MATCH(OpenLCAbasic!K6505,LookUps!$D$5:$D$12,0))))</f>
        <v>Water Use (WU) - m3 H2O</v>
      </c>
      <c r="M6505" s="154" t="str">
        <f t="shared" si="475"/>
        <v>Low_High_Low_Upgraded_Water Use (WU) - m3 H2O_Influent Pump Station; wastewater treatment unit; at updated plant - US_Without Amendment_Windrow</v>
      </c>
    </row>
    <row r="6506" spans="1:13" s="120" customFormat="1" x14ac:dyDescent="0.25">
      <c r="A6506" s="119"/>
      <c r="B6506" s="138" t="str">
        <f t="shared" si="478"/>
        <v>Windrow</v>
      </c>
      <c r="C6506" s="138" t="str">
        <f t="shared" si="476"/>
        <v>Without Amendment</v>
      </c>
      <c r="D6506" s="138" t="str">
        <f t="shared" si="474"/>
        <v>High_Low</v>
      </c>
      <c r="E6506" s="138" t="str">
        <f t="shared" si="477"/>
        <v>Low</v>
      </c>
      <c r="F6506" s="138" t="str">
        <f t="shared" si="479"/>
        <v>Upgraded</v>
      </c>
      <c r="G6506" s="153"/>
      <c r="H6506" s="210">
        <v>0.5635</v>
      </c>
      <c r="I6506" s="160" t="s">
        <v>54</v>
      </c>
      <c r="J6506" s="160">
        <v>1.8000000000000001E-4</v>
      </c>
      <c r="K6506" s="160" t="s">
        <v>26</v>
      </c>
      <c r="L6506" s="154" t="str">
        <f>IF(OpenLCAbasic!K6506="CTUh", "Fill in Manually",IF(OR(K6506="Unit", K6506=""), "", INDEX(LookUps!$E$5:$E$12, MATCH(OpenLCAbasic!K6506,LookUps!$D$5:$D$12,0))))</f>
        <v>Water Use (WU) - m3 H2O</v>
      </c>
      <c r="M6506" s="154" t="str">
        <f t="shared" si="475"/>
        <v>Low_High_Low_Upgraded_Water Use (WU) - m3 H2O_Clear Cove Primary Clarification; wastewater treatment unit; at updated plant - US_Without Amendment_Windrow</v>
      </c>
    </row>
    <row r="6507" spans="1:13" s="120" customFormat="1" x14ac:dyDescent="0.25">
      <c r="A6507" s="119"/>
      <c r="B6507" s="138" t="str">
        <f t="shared" si="478"/>
        <v>Windrow</v>
      </c>
      <c r="C6507" s="138" t="str">
        <f t="shared" si="476"/>
        <v>Without Amendment</v>
      </c>
      <c r="D6507" s="138" t="str">
        <f t="shared" si="474"/>
        <v>High_Low</v>
      </c>
      <c r="E6507" s="138" t="str">
        <f t="shared" si="477"/>
        <v>Low</v>
      </c>
      <c r="F6507" s="138" t="str">
        <f t="shared" si="479"/>
        <v>Upgraded</v>
      </c>
      <c r="G6507" s="153"/>
      <c r="H6507" s="210">
        <v>0.51119999999999999</v>
      </c>
      <c r="I6507" s="160" t="s">
        <v>55</v>
      </c>
      <c r="J6507" s="160">
        <v>1.6000000000000001E-4</v>
      </c>
      <c r="K6507" s="160" t="s">
        <v>26</v>
      </c>
      <c r="L6507" s="154" t="str">
        <f>IF(OpenLCAbasic!K6507="CTUh", "Fill in Manually",IF(OR(K6507="Unit", K6507=""), "", INDEX(LookUps!$E$5:$E$12, MATCH(OpenLCAbasic!K6507,LookUps!$D$5:$D$12,0))))</f>
        <v>Water Use (WU) - m3 H2O</v>
      </c>
      <c r="M6507" s="154" t="str">
        <f t="shared" si="475"/>
        <v>Low_High_Low_Upgraded_Water Use (WU) - m3 H2O_Aeration Tanks; wastewater treatment unit; at updated plant - US_Without Amendment_Windrow</v>
      </c>
    </row>
    <row r="6508" spans="1:13" s="120" customFormat="1" x14ac:dyDescent="0.25">
      <c r="A6508" s="119"/>
      <c r="B6508" s="138" t="str">
        <f t="shared" si="478"/>
        <v>Windrow</v>
      </c>
      <c r="C6508" s="138" t="str">
        <f t="shared" si="476"/>
        <v>Without Amendment</v>
      </c>
      <c r="D6508" s="138" t="str">
        <f t="shared" si="474"/>
        <v>High_Low</v>
      </c>
      <c r="E6508" s="138" t="str">
        <f t="shared" si="477"/>
        <v>Low</v>
      </c>
      <c r="F6508" s="138" t="str">
        <f t="shared" si="479"/>
        <v>Upgraded</v>
      </c>
      <c r="G6508" s="153"/>
      <c r="H6508" s="210">
        <v>0.46560000000000001</v>
      </c>
      <c r="I6508" s="160" t="s">
        <v>148</v>
      </c>
      <c r="J6508" s="160">
        <v>1.4999999999999999E-4</v>
      </c>
      <c r="K6508" s="160" t="s">
        <v>26</v>
      </c>
      <c r="L6508" s="154" t="str">
        <f>IF(OpenLCAbasic!K6508="CTUh", "Fill in Manually",IF(OR(K6508="Unit", K6508=""), "", INDEX(LookUps!$E$5:$E$12, MATCH(OpenLCAbasic!K6508,LookUps!$D$5:$D$12,0))))</f>
        <v>Water Use (WU) - m3 H2O</v>
      </c>
      <c r="M6508" s="154" t="str">
        <f t="shared" si="475"/>
        <v>Low_High_Low_Upgraded_Water Use (WU) - m3 H2O_Control Building; at upgraded wastewater treatment plant - US_Without Amendment_Windrow</v>
      </c>
    </row>
    <row r="6509" spans="1:13" s="120" customFormat="1" x14ac:dyDescent="0.25">
      <c r="A6509" s="119"/>
      <c r="B6509" s="138" t="str">
        <f t="shared" si="478"/>
        <v>Windrow</v>
      </c>
      <c r="C6509" s="138" t="str">
        <f t="shared" si="476"/>
        <v>Without Amendment</v>
      </c>
      <c r="D6509" s="138" t="str">
        <f t="shared" si="474"/>
        <v>High_Low</v>
      </c>
      <c r="E6509" s="138" t="str">
        <f t="shared" si="477"/>
        <v>Low</v>
      </c>
      <c r="F6509" s="138" t="str">
        <f t="shared" si="479"/>
        <v>Upgraded</v>
      </c>
      <c r="G6509" s="153"/>
      <c r="H6509" s="210">
        <v>0.2162</v>
      </c>
      <c r="I6509" s="160" t="s">
        <v>48</v>
      </c>
      <c r="J6509" s="211">
        <v>6.8836400000000004E-5</v>
      </c>
      <c r="K6509" s="160" t="s">
        <v>26</v>
      </c>
      <c r="L6509" s="154" t="str">
        <f>IF(OpenLCAbasic!K6509="CTUh", "Fill in Manually",IF(OR(K6509="Unit", K6509=""), "", INDEX(LookUps!$E$5:$E$12, MATCH(OpenLCAbasic!K6509,LookUps!$D$5:$D$12,0))))</f>
        <v>Water Use (WU) - m3 H2O</v>
      </c>
      <c r="M6509" s="154" t="str">
        <f t="shared" si="475"/>
        <v>Low_High_Low_Upgraded_Water Use (WU) - m3 H2O_Effluent release; wastewater treatment unit; at surface water; m3 wastewater - US_Without Amendment_Windrow</v>
      </c>
    </row>
    <row r="6510" spans="1:13" s="120" customFormat="1" x14ac:dyDescent="0.25">
      <c r="A6510" s="119"/>
      <c r="B6510" s="138" t="str">
        <f t="shared" si="478"/>
        <v>Windrow</v>
      </c>
      <c r="C6510" s="138" t="str">
        <f t="shared" si="476"/>
        <v>Without Amendment</v>
      </c>
      <c r="D6510" s="138" t="str">
        <f t="shared" si="474"/>
        <v>High_Low</v>
      </c>
      <c r="E6510" s="138" t="str">
        <f t="shared" si="477"/>
        <v>Low</v>
      </c>
      <c r="F6510" s="138" t="str">
        <f t="shared" si="479"/>
        <v>Upgraded</v>
      </c>
      <c r="G6510" s="153"/>
      <c r="H6510" s="210">
        <v>0.15010000000000001</v>
      </c>
      <c r="I6510" s="160" t="s">
        <v>60</v>
      </c>
      <c r="J6510" s="211">
        <v>4.7769200000000003E-5</v>
      </c>
      <c r="K6510" s="160" t="s">
        <v>26</v>
      </c>
      <c r="L6510" s="154" t="str">
        <f>IF(OpenLCAbasic!K6510="CTUh", "Fill in Manually",IF(OR(K6510="Unit", K6510=""), "", INDEX(LookUps!$E$5:$E$12, MATCH(OpenLCAbasic!K6510,LookUps!$D$5:$D$12,0))))</f>
        <v>Water Use (WU) - m3 H2O</v>
      </c>
      <c r="M6510" s="154" t="str">
        <f t="shared" si="475"/>
        <v>Low_High_Low_Upgraded_Water Use (WU) - m3 H2O_Belt filter press; wastewater treatment unit; at updated plant - US_Without Amendment_Windrow</v>
      </c>
    </row>
    <row r="6511" spans="1:13" s="120" customFormat="1" x14ac:dyDescent="0.25">
      <c r="A6511" s="119"/>
      <c r="B6511" s="138" t="str">
        <f t="shared" si="478"/>
        <v>Windrow</v>
      </c>
      <c r="C6511" s="138" t="str">
        <f t="shared" si="476"/>
        <v>Without Amendment</v>
      </c>
      <c r="D6511" s="138" t="str">
        <f t="shared" si="474"/>
        <v>High_Low</v>
      </c>
      <c r="E6511" s="138" t="str">
        <f t="shared" si="477"/>
        <v>Low</v>
      </c>
      <c r="F6511" s="138" t="str">
        <f t="shared" si="479"/>
        <v>Upgraded</v>
      </c>
      <c r="G6511" s="153"/>
      <c r="H6511" s="210">
        <v>0.13600000000000001</v>
      </c>
      <c r="I6511" s="160" t="s">
        <v>58</v>
      </c>
      <c r="J6511" s="211">
        <v>4.3289399999999999E-5</v>
      </c>
      <c r="K6511" s="160" t="s">
        <v>26</v>
      </c>
      <c r="L6511" s="154" t="str">
        <f>IF(OpenLCAbasic!K6511="CTUh", "Fill in Manually",IF(OR(K6511="Unit", K6511=""), "", INDEX(LookUps!$E$5:$E$12, MATCH(OpenLCAbasic!K6511,LookUps!$D$5:$D$12,0))))</f>
        <v>Water Use (WU) - m3 H2O</v>
      </c>
      <c r="M6511" s="154" t="str">
        <f t="shared" si="475"/>
        <v>Low_High_Low_Upgraded_Water Use (WU) - m3 H2O_Pre-Anoxic &amp; Swing tank; wastewater treatment unit; at updated plant - US_Without Amendment_Windrow</v>
      </c>
    </row>
    <row r="6512" spans="1:13" s="120" customFormat="1" x14ac:dyDescent="0.25">
      <c r="A6512" s="119"/>
      <c r="B6512" s="138" t="str">
        <f t="shared" si="478"/>
        <v>Windrow</v>
      </c>
      <c r="C6512" s="138" t="str">
        <f t="shared" si="476"/>
        <v>Without Amendment</v>
      </c>
      <c r="D6512" s="138" t="str">
        <f t="shared" si="474"/>
        <v>High_Low</v>
      </c>
      <c r="E6512" s="138" t="str">
        <f t="shared" si="477"/>
        <v>Low</v>
      </c>
      <c r="F6512" s="138" t="str">
        <f t="shared" si="479"/>
        <v>Upgraded</v>
      </c>
      <c r="G6512" s="153"/>
      <c r="H6512" s="210">
        <v>9.5500000000000002E-2</v>
      </c>
      <c r="I6512" s="160" t="s">
        <v>57</v>
      </c>
      <c r="J6512" s="211">
        <v>3.0408100000000001E-5</v>
      </c>
      <c r="K6512" s="160" t="s">
        <v>26</v>
      </c>
      <c r="L6512" s="154" t="str">
        <f>IF(OpenLCAbasic!K6512="CTUh", "Fill in Manually",IF(OR(K6512="Unit", K6512=""), "", INDEX(LookUps!$E$5:$E$12, MATCH(OpenLCAbasic!K6512,LookUps!$D$5:$D$12,0))))</f>
        <v>Water Use (WU) - m3 H2O</v>
      </c>
      <c r="M6512" s="154" t="str">
        <f t="shared" si="475"/>
        <v>Low_High_Low_Upgraded_Water Use (WU) - m3 H2O_Gravity Belt Thickener; wastewater treatment unit; at updated plant - US_Without Amendment_Windrow</v>
      </c>
    </row>
    <row r="6513" spans="1:13" s="120" customFormat="1" x14ac:dyDescent="0.25">
      <c r="A6513" s="119"/>
      <c r="B6513" s="138" t="str">
        <f t="shared" si="478"/>
        <v>Windrow</v>
      </c>
      <c r="C6513" s="138" t="str">
        <f t="shared" si="476"/>
        <v>Without Amendment</v>
      </c>
      <c r="D6513" s="138" t="str">
        <f t="shared" ref="D6513:D6519" si="480">IF(ISNUMBER($J6513),"High_Low","")</f>
        <v>High_Low</v>
      </c>
      <c r="E6513" s="138" t="str">
        <f t="shared" si="477"/>
        <v>Low</v>
      </c>
      <c r="F6513" s="138" t="str">
        <f t="shared" si="479"/>
        <v>Upgraded</v>
      </c>
      <c r="G6513" s="153"/>
      <c r="H6513" s="210">
        <v>5.5E-2</v>
      </c>
      <c r="I6513" s="160" t="s">
        <v>53</v>
      </c>
      <c r="J6513" s="211">
        <v>1.75069E-5</v>
      </c>
      <c r="K6513" s="160" t="s">
        <v>26</v>
      </c>
      <c r="L6513" s="154" t="str">
        <f>IF(OpenLCAbasic!K6513="CTUh", "Fill in Manually",IF(OR(K6513="Unit", K6513=""), "", INDEX(LookUps!$E$5:$E$12, MATCH(OpenLCAbasic!K6513,LookUps!$D$5:$D$12,0))))</f>
        <v>Water Use (WU) - m3 H2O</v>
      </c>
      <c r="M6513" s="154" t="str">
        <f t="shared" si="475"/>
        <v>Low_High_Low_Upgraded_Water Use (WU) - m3 H2O_Wet Well and Sump Station; wastewater treatment unit; at updated plant - US_Without Amendment_Windrow</v>
      </c>
    </row>
    <row r="6514" spans="1:13" s="120" customFormat="1" x14ac:dyDescent="0.25">
      <c r="A6514" s="119"/>
      <c r="B6514" s="138" t="str">
        <f t="shared" si="478"/>
        <v>Windrow</v>
      </c>
      <c r="C6514" s="138" t="str">
        <f t="shared" si="476"/>
        <v>Without Amendment</v>
      </c>
      <c r="D6514" s="138" t="str">
        <f t="shared" si="480"/>
        <v>High_Low</v>
      </c>
      <c r="E6514" s="138" t="str">
        <f t="shared" si="477"/>
        <v>Low</v>
      </c>
      <c r="F6514" s="138" t="str">
        <f t="shared" si="479"/>
        <v>Upgraded</v>
      </c>
      <c r="G6514" s="153"/>
      <c r="H6514" s="210">
        <v>2.1999999999999999E-2</v>
      </c>
      <c r="I6514" s="160" t="s">
        <v>59</v>
      </c>
      <c r="J6514" s="211">
        <v>7.0179500000000003E-6</v>
      </c>
      <c r="K6514" s="160" t="s">
        <v>26</v>
      </c>
      <c r="L6514" s="154" t="str">
        <f>IF(OpenLCAbasic!K6514="CTUh", "Fill in Manually",IF(OR(K6514="Unit", K6514=""), "", INDEX(LookUps!$E$5:$E$12, MATCH(OpenLCAbasic!K6514,LookUps!$D$5:$D$12,0))))</f>
        <v>Water Use (WU) - m3 H2O</v>
      </c>
      <c r="M6514" s="154" t="str">
        <f t="shared" si="475"/>
        <v>Low_High_Low_Upgraded_Water Use (WU) - m3 H2O_Blend Tank; wastewater treatment unit; at updated plant - US_Without Amendment_Windrow</v>
      </c>
    </row>
    <row r="6515" spans="1:13" s="120" customFormat="1" x14ac:dyDescent="0.25">
      <c r="A6515" s="119"/>
      <c r="B6515" s="138" t="str">
        <f t="shared" si="478"/>
        <v>Windrow</v>
      </c>
      <c r="C6515" s="138" t="str">
        <f t="shared" si="476"/>
        <v>Without Amendment</v>
      </c>
      <c r="D6515" s="138" t="str">
        <f t="shared" si="480"/>
        <v>High_Low</v>
      </c>
      <c r="E6515" s="138" t="str">
        <f t="shared" si="477"/>
        <v>Low</v>
      </c>
      <c r="F6515" s="138" t="str">
        <f t="shared" si="479"/>
        <v>Upgraded</v>
      </c>
      <c r="G6515" s="153"/>
      <c r="H6515" s="210">
        <v>1.5900000000000001E-2</v>
      </c>
      <c r="I6515" s="160" t="s">
        <v>128</v>
      </c>
      <c r="J6515" s="211">
        <v>5.0608900000000003E-6</v>
      </c>
      <c r="K6515" s="160" t="s">
        <v>26</v>
      </c>
      <c r="L6515" s="154" t="str">
        <f>IF(OpenLCAbasic!K6515="CTUh", "Fill in Manually",IF(OR(K6515="Unit", K6515=""), "", INDEX(LookUps!$E$5:$E$12, MATCH(OpenLCAbasic!K6515,LookUps!$D$5:$D$12,0))))</f>
        <v>Water Use (WU) - m3 H2O</v>
      </c>
      <c r="M6515" s="154" t="str">
        <f t="shared" si="475"/>
        <v>Low_High_Low_Upgraded_Water Use (WU) - m3 H2O_Wastewater collection; operation and infrastructure; m3 wastewater_Without Amendment_Windrow</v>
      </c>
    </row>
    <row r="6516" spans="1:13" s="120" customFormat="1" x14ac:dyDescent="0.25">
      <c r="A6516" s="119"/>
      <c r="B6516" s="138" t="str">
        <f t="shared" si="478"/>
        <v>Windrow</v>
      </c>
      <c r="C6516" s="138" t="str">
        <f t="shared" si="476"/>
        <v>Without Amendment</v>
      </c>
      <c r="D6516" s="138" t="str">
        <f t="shared" si="480"/>
        <v>High_Low</v>
      </c>
      <c r="E6516" s="138" t="str">
        <f t="shared" si="477"/>
        <v>Low</v>
      </c>
      <c r="F6516" s="138" t="str">
        <f t="shared" si="479"/>
        <v>Upgraded</v>
      </c>
      <c r="G6516" s="153"/>
      <c r="H6516" s="210">
        <v>7.1999999999999998E-3</v>
      </c>
      <c r="I6516" s="160" t="s">
        <v>271</v>
      </c>
      <c r="J6516" s="211">
        <v>2.2860400000000001E-6</v>
      </c>
      <c r="K6516" s="160" t="s">
        <v>26</v>
      </c>
      <c r="L6516" s="154" t="str">
        <f>IF(OpenLCAbasic!K6516="CTUh", "Fill in Manually",IF(OR(K6516="Unit", K6516=""), "", INDEX(LookUps!$E$5:$E$12, MATCH(OpenLCAbasic!K6516,LookUps!$D$5:$D$12,0))))</f>
        <v>Water Use (WU) - m3 H2O</v>
      </c>
      <c r="M6516" s="154" t="str">
        <f t="shared" si="475"/>
        <v>Low_High_Low_Upgraded_Water Use (WU) - m3 H2O_Biosolids composting; windrow composting; wastewater treatment unit; at updated plant - US_Without Amendment_Windrow</v>
      </c>
    </row>
    <row r="6517" spans="1:13" s="120" customFormat="1" x14ac:dyDescent="0.25">
      <c r="A6517" s="119"/>
      <c r="B6517" s="138" t="str">
        <f t="shared" si="478"/>
        <v>Windrow</v>
      </c>
      <c r="C6517" s="138" t="str">
        <f t="shared" si="476"/>
        <v>Without Amendment</v>
      </c>
      <c r="D6517" s="138" t="str">
        <f t="shared" si="480"/>
        <v>High_Low</v>
      </c>
      <c r="E6517" s="138" t="str">
        <f t="shared" si="477"/>
        <v>Low</v>
      </c>
      <c r="F6517" s="138" t="str">
        <f t="shared" si="479"/>
        <v>Upgraded</v>
      </c>
      <c r="G6517" s="153"/>
      <c r="H6517" s="210">
        <v>2.3999999999999998E-3</v>
      </c>
      <c r="I6517" s="160" t="s">
        <v>168</v>
      </c>
      <c r="J6517" s="211">
        <v>7.6697000000000004E-7</v>
      </c>
      <c r="K6517" s="160" t="s">
        <v>26</v>
      </c>
      <c r="L6517" s="154" t="str">
        <f>IF(OpenLCAbasic!K6517="CTUh", "Fill in Manually",IF(OR(K6517="Unit", K6517=""), "", INDEX(LookUps!$E$5:$E$12, MATCH(OpenLCAbasic!K6517,LookUps!$D$5:$D$12,0))))</f>
        <v>Water Use (WU) - m3 H2O</v>
      </c>
      <c r="M6517" s="154" t="str">
        <f t="shared" si="475"/>
        <v>Low_High_Low_Upgraded_Water Use (WU) - m3 H2O_ClearCove SCP; wastewater treatment unit; at updated plant - US_Without Amendment_Windrow</v>
      </c>
    </row>
    <row r="6518" spans="1:13" s="120" customFormat="1" x14ac:dyDescent="0.25">
      <c r="A6518" s="119"/>
      <c r="B6518" s="138" t="str">
        <f t="shared" si="478"/>
        <v>Windrow</v>
      </c>
      <c r="C6518" s="138" t="str">
        <f t="shared" si="476"/>
        <v>Without Amendment</v>
      </c>
      <c r="D6518" s="138" t="str">
        <f t="shared" si="480"/>
        <v>High_Low</v>
      </c>
      <c r="E6518" s="138" t="str">
        <f t="shared" si="477"/>
        <v>Low</v>
      </c>
      <c r="F6518" s="138" t="str">
        <f t="shared" si="479"/>
        <v>Upgraded</v>
      </c>
      <c r="G6518" s="153"/>
      <c r="H6518" s="210">
        <v>-3.8600000000000002E-2</v>
      </c>
      <c r="I6518" s="160" t="s">
        <v>149</v>
      </c>
      <c r="J6518" s="211">
        <v>-1.22975E-5</v>
      </c>
      <c r="K6518" s="160" t="s">
        <v>26</v>
      </c>
      <c r="L6518" s="154" t="str">
        <f>IF(OpenLCAbasic!K6518="CTUh", "Fill in Manually",IF(OR(K6518="Unit", K6518=""), "", INDEX(LookUps!$E$5:$E$12, MATCH(OpenLCAbasic!K6518,LookUps!$D$5:$D$12,0))))</f>
        <v>Water Use (WU) - m3 H2O</v>
      </c>
      <c r="M6518" s="154" t="str">
        <f t="shared" si="475"/>
        <v>Low_High_Low_Upgraded_Water Use (WU) - m3 H2O_Anaerobic Digestion; wastewater treatment unit; at updated plant - US_Without Amendment_Windrow</v>
      </c>
    </row>
    <row r="6519" spans="1:13" s="120" customFormat="1" x14ac:dyDescent="0.25">
      <c r="A6519" s="119"/>
      <c r="B6519" s="138" t="str">
        <f t="shared" si="478"/>
        <v>Windrow</v>
      </c>
      <c r="C6519" s="138" t="str">
        <f t="shared" si="476"/>
        <v>Without Amendment</v>
      </c>
      <c r="D6519" s="138" t="str">
        <f t="shared" si="480"/>
        <v>High_Low</v>
      </c>
      <c r="E6519" s="138" t="str">
        <f t="shared" si="477"/>
        <v>Low</v>
      </c>
      <c r="F6519" s="138" t="str">
        <f t="shared" si="479"/>
        <v>Upgraded</v>
      </c>
      <c r="G6519" s="153"/>
      <c r="H6519" s="210">
        <v>-4.8349000000000002</v>
      </c>
      <c r="I6519" s="160" t="s">
        <v>62</v>
      </c>
      <c r="J6519" s="160">
        <v>-1.5399999999999999E-3</v>
      </c>
      <c r="K6519" s="160" t="s">
        <v>26</v>
      </c>
      <c r="L6519" s="154" t="str">
        <f>IF(OpenLCAbasic!K6519="CTUh", "Fill in Manually",IF(OR(K6519="Unit", K6519=""), "", INDEX(LookUps!$E$5:$E$12, MATCH(OpenLCAbasic!K6519,LookUps!$D$5:$D$12,0))))</f>
        <v>Water Use (WU) - m3 H2O</v>
      </c>
      <c r="M6519" s="154" t="str">
        <f t="shared" si="475"/>
        <v>Low_High_Low_Upgraded_Water Use (WU) - m3 H2O_Land application of compost; wastewater treatment unit; at updated plant - US_Without Amendment_Windrow</v>
      </c>
    </row>
    <row r="6520" spans="1:13" s="120" customFormat="1" x14ac:dyDescent="0.25">
      <c r="A6520" s="119"/>
      <c r="B6520" s="138" t="str">
        <f t="shared" si="478"/>
        <v/>
      </c>
      <c r="C6520" s="138" t="str">
        <f t="shared" si="476"/>
        <v/>
      </c>
      <c r="D6520" s="138" t="str">
        <f>IF(ISNUMBER($J6520),"High_Base","")</f>
        <v/>
      </c>
      <c r="E6520" s="138" t="str">
        <f t="shared" si="477"/>
        <v/>
      </c>
      <c r="F6520" s="138" t="str">
        <f t="shared" si="479"/>
        <v/>
      </c>
      <c r="G6520" s="153" t="s">
        <v>51</v>
      </c>
      <c r="H6520" s="160"/>
      <c r="I6520" s="160" t="s">
        <v>47</v>
      </c>
      <c r="J6520" s="160" t="s">
        <v>52</v>
      </c>
      <c r="K6520" s="160" t="s">
        <v>27</v>
      </c>
      <c r="L6520" s="154" t="str">
        <f>IF(OpenLCAbasic!K6520="CTUh", "Fill in Manually",IF(OR(K6520="Unit", K6520=""), "", INDEX(LookUps!$E$5:$E$12, MATCH(OpenLCAbasic!K6520,LookUps!$D$5:$D$12,0))))</f>
        <v/>
      </c>
      <c r="M6520" s="154" t="str">
        <f t="shared" si="475"/>
        <v>____Process__</v>
      </c>
    </row>
    <row r="6521" spans="1:13" s="120" customFormat="1" x14ac:dyDescent="0.25">
      <c r="A6521" s="119"/>
      <c r="B6521" s="138" t="str">
        <f t="shared" si="478"/>
        <v>Windrow</v>
      </c>
      <c r="C6521" s="138" t="str">
        <f t="shared" si="476"/>
        <v>Without Amendment</v>
      </c>
      <c r="D6521" s="138" t="str">
        <f t="shared" ref="D6521:D6584" si="481">IF(ISNUMBER($J6521),"High_Base","")</f>
        <v>High_Base</v>
      </c>
      <c r="E6521" s="138" t="str">
        <f t="shared" si="477"/>
        <v>Low</v>
      </c>
      <c r="F6521" s="138" t="str">
        <f t="shared" si="479"/>
        <v>Upgraded</v>
      </c>
      <c r="G6521" s="153"/>
      <c r="H6521" s="210">
        <v>40.581299999999999</v>
      </c>
      <c r="I6521" s="160" t="s">
        <v>55</v>
      </c>
      <c r="J6521" s="160">
        <v>1.7219999999999999E-2</v>
      </c>
      <c r="K6521" s="160" t="s">
        <v>24</v>
      </c>
      <c r="L6521" s="154" t="str">
        <f>IF(OpenLCAbasic!K6521="CTUh", "Fill in Manually",IF(OR(K6521="Unit", K6521=""), "", INDEX(LookUps!$E$5:$E$12, MATCH(OpenLCAbasic!K6521,LookUps!$D$5:$D$12,0))))</f>
        <v>Acidification Potential (AP) - kg SO2 eq</v>
      </c>
      <c r="M6521" s="154" t="str">
        <f t="shared" si="475"/>
        <v>Low_High_Base_Upgraded_Acidification Potential (AP) - kg SO2 eq_Aeration Tanks; wastewater treatment unit; at updated plant - US_Without Amendment_Windrow</v>
      </c>
    </row>
    <row r="6522" spans="1:13" s="120" customFormat="1" x14ac:dyDescent="0.25">
      <c r="A6522" s="119"/>
      <c r="B6522" s="138" t="str">
        <f t="shared" si="478"/>
        <v>Windrow</v>
      </c>
      <c r="C6522" s="138" t="str">
        <f t="shared" si="476"/>
        <v>Without Amendment</v>
      </c>
      <c r="D6522" s="138" t="str">
        <f t="shared" si="481"/>
        <v>High_Base</v>
      </c>
      <c r="E6522" s="138" t="str">
        <f t="shared" si="477"/>
        <v>Low</v>
      </c>
      <c r="F6522" s="138" t="str">
        <f t="shared" si="479"/>
        <v>Upgraded</v>
      </c>
      <c r="G6522" s="153"/>
      <c r="H6522" s="210">
        <v>11.737399999999999</v>
      </c>
      <c r="I6522" s="160" t="s">
        <v>54</v>
      </c>
      <c r="J6522" s="160">
        <v>4.9800000000000001E-3</v>
      </c>
      <c r="K6522" s="160" t="s">
        <v>24</v>
      </c>
      <c r="L6522" s="154" t="str">
        <f>IF(OpenLCAbasic!K6522="CTUh", "Fill in Manually",IF(OR(K6522="Unit", K6522=""), "", INDEX(LookUps!$E$5:$E$12, MATCH(OpenLCAbasic!K6522,LookUps!$D$5:$D$12,0))))</f>
        <v>Acidification Potential (AP) - kg SO2 eq</v>
      </c>
      <c r="M6522" s="154" t="str">
        <f t="shared" si="475"/>
        <v>Low_High_Base_Upgraded_Acidification Potential (AP) - kg SO2 eq_Clear Cove Primary Clarification; wastewater treatment unit; at updated plant - US_Without Amendment_Windrow</v>
      </c>
    </row>
    <row r="6523" spans="1:13" s="120" customFormat="1" x14ac:dyDescent="0.25">
      <c r="A6523" s="119"/>
      <c r="B6523" s="138" t="str">
        <f t="shared" si="478"/>
        <v>Windrow</v>
      </c>
      <c r="C6523" s="138" t="str">
        <f t="shared" si="476"/>
        <v>Without Amendment</v>
      </c>
      <c r="D6523" s="138" t="str">
        <f t="shared" si="481"/>
        <v>High_Base</v>
      </c>
      <c r="E6523" s="138" t="str">
        <f t="shared" si="477"/>
        <v>Low</v>
      </c>
      <c r="F6523" s="138" t="str">
        <f t="shared" si="479"/>
        <v>Upgraded</v>
      </c>
      <c r="G6523" s="153"/>
      <c r="H6523" s="210">
        <v>10.2844</v>
      </c>
      <c r="I6523" s="160" t="s">
        <v>58</v>
      </c>
      <c r="J6523" s="160">
        <v>4.3600000000000002E-3</v>
      </c>
      <c r="K6523" s="160" t="s">
        <v>24</v>
      </c>
      <c r="L6523" s="154" t="str">
        <f>IF(OpenLCAbasic!K6523="CTUh", "Fill in Manually",IF(OR(K6523="Unit", K6523=""), "", INDEX(LookUps!$E$5:$E$12, MATCH(OpenLCAbasic!K6523,LookUps!$D$5:$D$12,0))))</f>
        <v>Acidification Potential (AP) - kg SO2 eq</v>
      </c>
      <c r="M6523" s="154" t="str">
        <f t="shared" ref="M6523:M6586" si="482">CONCATENATE(E6523,"_",D6523,"_",F6523,"_",L6523, "_",I6523,"_", C6523,"_", B6523)</f>
        <v>Low_High_Base_Upgraded_Acidification Potential (AP) - kg SO2 eq_Pre-Anoxic &amp; Swing tank; wastewater treatment unit; at updated plant - US_Without Amendment_Windrow</v>
      </c>
    </row>
    <row r="6524" spans="1:13" s="120" customFormat="1" x14ac:dyDescent="0.25">
      <c r="A6524" s="119"/>
      <c r="B6524" s="138" t="str">
        <f t="shared" si="478"/>
        <v>Windrow</v>
      </c>
      <c r="C6524" s="138" t="str">
        <f t="shared" si="476"/>
        <v>Without Amendment</v>
      </c>
      <c r="D6524" s="138" t="str">
        <f t="shared" si="481"/>
        <v>High_Base</v>
      </c>
      <c r="E6524" s="138" t="str">
        <f t="shared" si="477"/>
        <v>Low</v>
      </c>
      <c r="F6524" s="138" t="str">
        <f t="shared" si="479"/>
        <v>Upgraded</v>
      </c>
      <c r="G6524" s="153"/>
      <c r="H6524" s="210">
        <v>8.6129999999999995</v>
      </c>
      <c r="I6524" s="160" t="s">
        <v>62</v>
      </c>
      <c r="J6524" s="160">
        <v>3.65E-3</v>
      </c>
      <c r="K6524" s="160" t="s">
        <v>24</v>
      </c>
      <c r="L6524" s="154" t="str">
        <f>IF(OpenLCAbasic!K6524="CTUh", "Fill in Manually",IF(OR(K6524="Unit", K6524=""), "", INDEX(LookUps!$E$5:$E$12, MATCH(OpenLCAbasic!K6524,LookUps!$D$5:$D$12,0))))</f>
        <v>Acidification Potential (AP) - kg SO2 eq</v>
      </c>
      <c r="M6524" s="154" t="str">
        <f t="shared" si="482"/>
        <v>Low_High_Base_Upgraded_Acidification Potential (AP) - kg SO2 eq_Land application of compost; wastewater treatment unit; at updated plant - US_Without Amendment_Windrow</v>
      </c>
    </row>
    <row r="6525" spans="1:13" s="120" customFormat="1" x14ac:dyDescent="0.25">
      <c r="A6525" s="119"/>
      <c r="B6525" s="138" t="str">
        <f t="shared" si="478"/>
        <v>Windrow</v>
      </c>
      <c r="C6525" s="138" t="str">
        <f t="shared" si="476"/>
        <v>Without Amendment</v>
      </c>
      <c r="D6525" s="138" t="str">
        <f t="shared" si="481"/>
        <v>High_Base</v>
      </c>
      <c r="E6525" s="138" t="str">
        <f t="shared" si="477"/>
        <v>Low</v>
      </c>
      <c r="F6525" s="138" t="str">
        <f t="shared" si="479"/>
        <v>Upgraded</v>
      </c>
      <c r="G6525" s="153"/>
      <c r="H6525" s="210">
        <v>8.1325000000000003</v>
      </c>
      <c r="I6525" s="160" t="s">
        <v>53</v>
      </c>
      <c r="J6525" s="160">
        <v>3.4499999999999999E-3</v>
      </c>
      <c r="K6525" s="160" t="s">
        <v>24</v>
      </c>
      <c r="L6525" s="154" t="str">
        <f>IF(OpenLCAbasic!K6525="CTUh", "Fill in Manually",IF(OR(K6525="Unit", K6525=""), "", INDEX(LookUps!$E$5:$E$12, MATCH(OpenLCAbasic!K6525,LookUps!$D$5:$D$12,0))))</f>
        <v>Acidification Potential (AP) - kg SO2 eq</v>
      </c>
      <c r="M6525" s="154" t="str">
        <f t="shared" si="482"/>
        <v>Low_High_Base_Upgraded_Acidification Potential (AP) - kg SO2 eq_Wet Well and Sump Station; wastewater treatment unit; at updated plant - US_Without Amendment_Windrow</v>
      </c>
    </row>
    <row r="6526" spans="1:13" s="120" customFormat="1" x14ac:dyDescent="0.25">
      <c r="A6526" s="119"/>
      <c r="B6526" s="138" t="str">
        <f t="shared" si="478"/>
        <v>Windrow</v>
      </c>
      <c r="C6526" s="138" t="str">
        <f t="shared" si="476"/>
        <v>Without Amendment</v>
      </c>
      <c r="D6526" s="138" t="str">
        <f t="shared" si="481"/>
        <v>High_Base</v>
      </c>
      <c r="E6526" s="138" t="str">
        <f t="shared" si="477"/>
        <v>Low</v>
      </c>
      <c r="F6526" s="138" t="str">
        <f t="shared" si="479"/>
        <v>Upgraded</v>
      </c>
      <c r="G6526" s="153"/>
      <c r="H6526" s="210">
        <v>6.3704000000000001</v>
      </c>
      <c r="I6526" s="160" t="s">
        <v>167</v>
      </c>
      <c r="J6526" s="160">
        <v>2.7000000000000001E-3</v>
      </c>
      <c r="K6526" s="160" t="s">
        <v>24</v>
      </c>
      <c r="L6526" s="154" t="str">
        <f>IF(OpenLCAbasic!K6526="CTUh", "Fill in Manually",IF(OR(K6526="Unit", K6526=""), "", INDEX(LookUps!$E$5:$E$12, MATCH(OpenLCAbasic!K6526,LookUps!$D$5:$D$12,0))))</f>
        <v>Acidification Potential (AP) - kg SO2 eq</v>
      </c>
      <c r="M6526" s="154" t="str">
        <f t="shared" si="482"/>
        <v>Low_High_Base_Upgraded_Acidification Potential (AP) - kg SO2 eq_Waste Receiving and Holding; wastewater treatment unit; at updated plant - US_Without Amendment_Windrow</v>
      </c>
    </row>
    <row r="6527" spans="1:13" s="120" customFormat="1" x14ac:dyDescent="0.25">
      <c r="A6527" s="119"/>
      <c r="B6527" s="138" t="str">
        <f t="shared" si="478"/>
        <v>Windrow</v>
      </c>
      <c r="C6527" s="138" t="str">
        <f t="shared" si="476"/>
        <v>Without Amendment</v>
      </c>
      <c r="D6527" s="138" t="str">
        <f t="shared" si="481"/>
        <v>High_Base</v>
      </c>
      <c r="E6527" s="138" t="str">
        <f t="shared" si="477"/>
        <v>Low</v>
      </c>
      <c r="F6527" s="138" t="str">
        <f t="shared" si="479"/>
        <v>Upgraded</v>
      </c>
      <c r="G6527" s="153"/>
      <c r="H6527" s="210">
        <v>4.875</v>
      </c>
      <c r="I6527" s="160" t="s">
        <v>147</v>
      </c>
      <c r="J6527" s="160">
        <v>2.0699999999999998E-3</v>
      </c>
      <c r="K6527" s="160" t="s">
        <v>24</v>
      </c>
      <c r="L6527" s="154" t="str">
        <f>IF(OpenLCAbasic!K6527="CTUh", "Fill in Manually",IF(OR(K6527="Unit", K6527=""), "", INDEX(LookUps!$E$5:$E$12, MATCH(OpenLCAbasic!K6527,LookUps!$D$5:$D$12,0))))</f>
        <v>Acidification Potential (AP) - kg SO2 eq</v>
      </c>
      <c r="M6527" s="154" t="str">
        <f t="shared" si="482"/>
        <v>Low_High_Base_Upgraded_Acidification Potential (AP) - kg SO2 eq_Influent Pump Station; wastewater treatment unit; at updated plant - US_Without Amendment_Windrow</v>
      </c>
    </row>
    <row r="6528" spans="1:13" s="120" customFormat="1" x14ac:dyDescent="0.25">
      <c r="A6528" s="119"/>
      <c r="B6528" s="138" t="str">
        <f t="shared" si="478"/>
        <v>Windrow</v>
      </c>
      <c r="C6528" s="138" t="str">
        <f t="shared" si="476"/>
        <v>Without Amendment</v>
      </c>
      <c r="D6528" s="138" t="str">
        <f t="shared" si="481"/>
        <v>High_Base</v>
      </c>
      <c r="E6528" s="138" t="str">
        <f t="shared" si="477"/>
        <v>Low</v>
      </c>
      <c r="F6528" s="138" t="str">
        <f t="shared" si="479"/>
        <v>Upgraded</v>
      </c>
      <c r="G6528" s="153"/>
      <c r="H6528" s="210">
        <v>3.4348999999999998</v>
      </c>
      <c r="I6528" s="160" t="s">
        <v>60</v>
      </c>
      <c r="J6528" s="160">
        <v>1.4599999999999999E-3</v>
      </c>
      <c r="K6528" s="160" t="s">
        <v>24</v>
      </c>
      <c r="L6528" s="154" t="str">
        <f>IF(OpenLCAbasic!K6528="CTUh", "Fill in Manually",IF(OR(K6528="Unit", K6528=""), "", INDEX(LookUps!$E$5:$E$12, MATCH(OpenLCAbasic!K6528,LookUps!$D$5:$D$12,0))))</f>
        <v>Acidification Potential (AP) - kg SO2 eq</v>
      </c>
      <c r="M6528" s="154" t="str">
        <f t="shared" si="482"/>
        <v>Low_High_Base_Upgraded_Acidification Potential (AP) - kg SO2 eq_Belt filter press; wastewater treatment unit; at updated plant - US_Without Amendment_Windrow</v>
      </c>
    </row>
    <row r="6529" spans="1:13" s="120" customFormat="1" x14ac:dyDescent="0.25">
      <c r="A6529" s="119"/>
      <c r="B6529" s="138" t="str">
        <f t="shared" si="478"/>
        <v>Windrow</v>
      </c>
      <c r="C6529" s="138" t="str">
        <f t="shared" ref="C6529:C6592" si="483">IF(ISNUMBER($J6529),"Without Amendment","")</f>
        <v>Without Amendment</v>
      </c>
      <c r="D6529" s="138" t="str">
        <f t="shared" si="481"/>
        <v>High_Base</v>
      </c>
      <c r="E6529" s="138" t="str">
        <f t="shared" ref="E6529:E6592" si="484">IF(ISNUMBER($J6529),"Low","")</f>
        <v>Low</v>
      </c>
      <c r="F6529" s="138" t="str">
        <f t="shared" si="479"/>
        <v>Upgraded</v>
      </c>
      <c r="G6529" s="153"/>
      <c r="H6529" s="210">
        <v>3.0326</v>
      </c>
      <c r="I6529" s="160" t="s">
        <v>271</v>
      </c>
      <c r="J6529" s="160">
        <v>1.2899999999999999E-3</v>
      </c>
      <c r="K6529" s="160" t="s">
        <v>24</v>
      </c>
      <c r="L6529" s="154" t="str">
        <f>IF(OpenLCAbasic!K6529="CTUh", "Fill in Manually",IF(OR(K6529="Unit", K6529=""), "", INDEX(LookUps!$E$5:$E$12, MATCH(OpenLCAbasic!K6529,LookUps!$D$5:$D$12,0))))</f>
        <v>Acidification Potential (AP) - kg SO2 eq</v>
      </c>
      <c r="M6529" s="154" t="str">
        <f t="shared" si="482"/>
        <v>Low_High_Base_Upgraded_Acidification Potential (AP) - kg SO2 eq_Biosolids composting; windrow composting; wastewater treatment unit; at updated plant - US_Without Amendment_Windrow</v>
      </c>
    </row>
    <row r="6530" spans="1:13" s="120" customFormat="1" x14ac:dyDescent="0.25">
      <c r="A6530" s="119"/>
      <c r="B6530" s="138" t="str">
        <f t="shared" si="478"/>
        <v>Windrow</v>
      </c>
      <c r="C6530" s="138" t="str">
        <f t="shared" si="483"/>
        <v>Without Amendment</v>
      </c>
      <c r="D6530" s="138" t="str">
        <f t="shared" si="481"/>
        <v>High_Base</v>
      </c>
      <c r="E6530" s="138" t="str">
        <f t="shared" si="484"/>
        <v>Low</v>
      </c>
      <c r="F6530" s="138" t="str">
        <f t="shared" si="479"/>
        <v>Upgraded</v>
      </c>
      <c r="G6530" s="153"/>
      <c r="H6530" s="210">
        <v>2.9058999999999999</v>
      </c>
      <c r="I6530" s="160" t="s">
        <v>128</v>
      </c>
      <c r="J6530" s="160">
        <v>1.23E-3</v>
      </c>
      <c r="K6530" s="160" t="s">
        <v>24</v>
      </c>
      <c r="L6530" s="154" t="str">
        <f>IF(OpenLCAbasic!K6530="CTUh", "Fill in Manually",IF(OR(K6530="Unit", K6530=""), "", INDEX(LookUps!$E$5:$E$12, MATCH(OpenLCAbasic!K6530,LookUps!$D$5:$D$12,0))))</f>
        <v>Acidification Potential (AP) - kg SO2 eq</v>
      </c>
      <c r="M6530" s="154" t="str">
        <f t="shared" si="482"/>
        <v>Low_High_Base_Upgraded_Acidification Potential (AP) - kg SO2 eq_Wastewater collection; operation and infrastructure; m3 wastewater_Without Amendment_Windrow</v>
      </c>
    </row>
    <row r="6531" spans="1:13" s="120" customFormat="1" x14ac:dyDescent="0.25">
      <c r="A6531" s="119"/>
      <c r="B6531" s="138" t="str">
        <f t="shared" si="478"/>
        <v>Windrow</v>
      </c>
      <c r="C6531" s="138" t="str">
        <f t="shared" si="483"/>
        <v>Without Amendment</v>
      </c>
      <c r="D6531" s="138" t="str">
        <f t="shared" si="481"/>
        <v>High_Base</v>
      </c>
      <c r="E6531" s="138" t="str">
        <f t="shared" si="484"/>
        <v>Low</v>
      </c>
      <c r="F6531" s="138" t="str">
        <f t="shared" si="479"/>
        <v>Upgraded</v>
      </c>
      <c r="G6531" s="153"/>
      <c r="H6531" s="210">
        <v>1.659</v>
      </c>
      <c r="I6531" s="160" t="s">
        <v>57</v>
      </c>
      <c r="J6531" s="160">
        <v>6.9999999999999999E-4</v>
      </c>
      <c r="K6531" s="160" t="s">
        <v>24</v>
      </c>
      <c r="L6531" s="154" t="str">
        <f>IF(OpenLCAbasic!K6531="CTUh", "Fill in Manually",IF(OR(K6531="Unit", K6531=""), "", INDEX(LookUps!$E$5:$E$12, MATCH(OpenLCAbasic!K6531,LookUps!$D$5:$D$12,0))))</f>
        <v>Acidification Potential (AP) - kg SO2 eq</v>
      </c>
      <c r="M6531" s="154" t="str">
        <f t="shared" si="482"/>
        <v>Low_High_Base_Upgraded_Acidification Potential (AP) - kg SO2 eq_Gravity Belt Thickener; wastewater treatment unit; at updated plant - US_Without Amendment_Windrow</v>
      </c>
    </row>
    <row r="6532" spans="1:13" s="120" customFormat="1" x14ac:dyDescent="0.25">
      <c r="A6532" s="119"/>
      <c r="B6532" s="138" t="str">
        <f t="shared" si="478"/>
        <v>Windrow</v>
      </c>
      <c r="C6532" s="138" t="str">
        <f t="shared" si="483"/>
        <v>Without Amendment</v>
      </c>
      <c r="D6532" s="138" t="str">
        <f t="shared" si="481"/>
        <v>High_Base</v>
      </c>
      <c r="E6532" s="138" t="str">
        <f t="shared" si="484"/>
        <v>Low</v>
      </c>
      <c r="F6532" s="138" t="str">
        <f t="shared" si="479"/>
        <v>Upgraded</v>
      </c>
      <c r="G6532" s="153"/>
      <c r="H6532" s="210">
        <v>1.2168000000000001</v>
      </c>
      <c r="I6532" s="160" t="s">
        <v>59</v>
      </c>
      <c r="J6532" s="160">
        <v>5.1999999999999995E-4</v>
      </c>
      <c r="K6532" s="160" t="s">
        <v>24</v>
      </c>
      <c r="L6532" s="154" t="str">
        <f>IF(OpenLCAbasic!K6532="CTUh", "Fill in Manually",IF(OR(K6532="Unit", K6532=""), "", INDEX(LookUps!$E$5:$E$12, MATCH(OpenLCAbasic!K6532,LookUps!$D$5:$D$12,0))))</f>
        <v>Acidification Potential (AP) - kg SO2 eq</v>
      </c>
      <c r="M6532" s="154" t="str">
        <f t="shared" si="482"/>
        <v>Low_High_Base_Upgraded_Acidification Potential (AP) - kg SO2 eq_Blend Tank; wastewater treatment unit; at updated plant - US_Without Amendment_Windrow</v>
      </c>
    </row>
    <row r="6533" spans="1:13" s="120" customFormat="1" x14ac:dyDescent="0.25">
      <c r="A6533" s="119"/>
      <c r="B6533" s="138" t="str">
        <f t="shared" si="478"/>
        <v>Windrow</v>
      </c>
      <c r="C6533" s="138" t="str">
        <f t="shared" si="483"/>
        <v>Without Amendment</v>
      </c>
      <c r="D6533" s="138" t="str">
        <f t="shared" si="481"/>
        <v>High_Base</v>
      </c>
      <c r="E6533" s="138" t="str">
        <f t="shared" si="484"/>
        <v>Low</v>
      </c>
      <c r="F6533" s="138" t="str">
        <f t="shared" si="479"/>
        <v>Upgraded</v>
      </c>
      <c r="G6533" s="153"/>
      <c r="H6533" s="210">
        <v>0.81669999999999998</v>
      </c>
      <c r="I6533" s="160" t="s">
        <v>48</v>
      </c>
      <c r="J6533" s="160">
        <v>3.5E-4</v>
      </c>
      <c r="K6533" s="160" t="s">
        <v>24</v>
      </c>
      <c r="L6533" s="154" t="str">
        <f>IF(OpenLCAbasic!K6533="CTUh", "Fill in Manually",IF(OR(K6533="Unit", K6533=""), "", INDEX(LookUps!$E$5:$E$12, MATCH(OpenLCAbasic!K6533,LookUps!$D$5:$D$12,0))))</f>
        <v>Acidification Potential (AP) - kg SO2 eq</v>
      </c>
      <c r="M6533" s="154" t="str">
        <f t="shared" si="482"/>
        <v>Low_High_Base_Upgraded_Acidification Potential (AP) - kg SO2 eq_Effluent release; wastewater treatment unit; at surface water; m3 wastewater - US_Without Amendment_Windrow</v>
      </c>
    </row>
    <row r="6534" spans="1:13" s="120" customFormat="1" x14ac:dyDescent="0.25">
      <c r="A6534" s="119"/>
      <c r="B6534" s="138" t="str">
        <f t="shared" si="478"/>
        <v>Windrow</v>
      </c>
      <c r="C6534" s="138" t="str">
        <f t="shared" si="483"/>
        <v>Without Amendment</v>
      </c>
      <c r="D6534" s="138" t="str">
        <f t="shared" si="481"/>
        <v>High_Base</v>
      </c>
      <c r="E6534" s="138" t="str">
        <f t="shared" si="484"/>
        <v>Low</v>
      </c>
      <c r="F6534" s="138" t="str">
        <f t="shared" si="479"/>
        <v>Upgraded</v>
      </c>
      <c r="G6534" s="153"/>
      <c r="H6534" s="210">
        <v>0.60150000000000003</v>
      </c>
      <c r="I6534" s="160" t="s">
        <v>168</v>
      </c>
      <c r="J6534" s="160">
        <v>2.5999999999999998E-4</v>
      </c>
      <c r="K6534" s="160" t="s">
        <v>24</v>
      </c>
      <c r="L6534" s="154" t="str">
        <f>IF(OpenLCAbasic!K6534="CTUh", "Fill in Manually",IF(OR(K6534="Unit", K6534=""), "", INDEX(LookUps!$E$5:$E$12, MATCH(OpenLCAbasic!K6534,LookUps!$D$5:$D$12,0))))</f>
        <v>Acidification Potential (AP) - kg SO2 eq</v>
      </c>
      <c r="M6534" s="154" t="str">
        <f t="shared" si="482"/>
        <v>Low_High_Base_Upgraded_Acidification Potential (AP) - kg SO2 eq_ClearCove SCP; wastewater treatment unit; at updated plant - US_Without Amendment_Windrow</v>
      </c>
    </row>
    <row r="6535" spans="1:13" s="120" customFormat="1" x14ac:dyDescent="0.25">
      <c r="A6535" s="119"/>
      <c r="B6535" s="138" t="str">
        <f t="shared" si="478"/>
        <v>Windrow</v>
      </c>
      <c r="C6535" s="138" t="str">
        <f t="shared" si="483"/>
        <v>Without Amendment</v>
      </c>
      <c r="D6535" s="138" t="str">
        <f t="shared" si="481"/>
        <v>High_Base</v>
      </c>
      <c r="E6535" s="138" t="str">
        <f t="shared" si="484"/>
        <v>Low</v>
      </c>
      <c r="F6535" s="138" t="str">
        <f t="shared" si="479"/>
        <v>Upgraded</v>
      </c>
      <c r="G6535" s="153"/>
      <c r="H6535" s="210">
        <v>9.5100000000000004E-2</v>
      </c>
      <c r="I6535" s="160" t="s">
        <v>148</v>
      </c>
      <c r="J6535" s="211">
        <v>4.0354700000000002E-5</v>
      </c>
      <c r="K6535" s="160" t="s">
        <v>24</v>
      </c>
      <c r="L6535" s="154" t="str">
        <f>IF(OpenLCAbasic!K6535="CTUh", "Fill in Manually",IF(OR(K6535="Unit", K6535=""), "", INDEX(LookUps!$E$5:$E$12, MATCH(OpenLCAbasic!K6535,LookUps!$D$5:$D$12,0))))</f>
        <v>Acidification Potential (AP) - kg SO2 eq</v>
      </c>
      <c r="M6535" s="154" t="str">
        <f t="shared" si="482"/>
        <v>Low_High_Base_Upgraded_Acidification Potential (AP) - kg SO2 eq_Control Building; at upgraded wastewater treatment plant - US_Without Amendment_Windrow</v>
      </c>
    </row>
    <row r="6536" spans="1:13" s="120" customFormat="1" x14ac:dyDescent="0.25">
      <c r="A6536" s="119"/>
      <c r="B6536" s="138" t="str">
        <f t="shared" si="478"/>
        <v>Windrow</v>
      </c>
      <c r="C6536" s="138" t="str">
        <f t="shared" si="483"/>
        <v>Without Amendment</v>
      </c>
      <c r="D6536" s="138" t="str">
        <f t="shared" si="481"/>
        <v>High_Base</v>
      </c>
      <c r="E6536" s="138" t="str">
        <f t="shared" si="484"/>
        <v>Low</v>
      </c>
      <c r="F6536" s="138" t="str">
        <f t="shared" si="479"/>
        <v>Upgraded</v>
      </c>
      <c r="G6536" s="153"/>
      <c r="H6536" s="210">
        <v>-105.3566</v>
      </c>
      <c r="I6536" s="160" t="s">
        <v>149</v>
      </c>
      <c r="J6536" s="160">
        <v>-4.4699999999999997E-2</v>
      </c>
      <c r="K6536" s="160" t="s">
        <v>24</v>
      </c>
      <c r="L6536" s="154" t="str">
        <f>IF(OpenLCAbasic!K6536="CTUh", "Fill in Manually",IF(OR(K6536="Unit", K6536=""), "", INDEX(LookUps!$E$5:$E$12, MATCH(OpenLCAbasic!K6536,LookUps!$D$5:$D$12,0))))</f>
        <v>Acidification Potential (AP) - kg SO2 eq</v>
      </c>
      <c r="M6536" s="154" t="str">
        <f t="shared" si="482"/>
        <v>Low_High_Base_Upgraded_Acidification Potential (AP) - kg SO2 eq_Anaerobic Digestion; wastewater treatment unit; at updated plant - US_Without Amendment_Windrow</v>
      </c>
    </row>
    <row r="6537" spans="1:13" s="120" customFormat="1" x14ac:dyDescent="0.25">
      <c r="A6537" s="119"/>
      <c r="B6537" s="138" t="str">
        <f t="shared" si="478"/>
        <v/>
      </c>
      <c r="C6537" s="138" t="str">
        <f t="shared" si="483"/>
        <v/>
      </c>
      <c r="D6537" s="138" t="str">
        <f t="shared" si="481"/>
        <v/>
      </c>
      <c r="E6537" s="138" t="str">
        <f t="shared" si="484"/>
        <v/>
      </c>
      <c r="F6537" s="138" t="str">
        <f t="shared" si="479"/>
        <v/>
      </c>
      <c r="G6537" s="153" t="s">
        <v>51</v>
      </c>
      <c r="H6537" s="160"/>
      <c r="I6537" s="160" t="s">
        <v>47</v>
      </c>
      <c r="J6537" s="160" t="s">
        <v>52</v>
      </c>
      <c r="K6537" s="160" t="s">
        <v>27</v>
      </c>
      <c r="L6537" s="154" t="str">
        <f>IF(OpenLCAbasic!K6537="CTUh", "Fill in Manually",IF(OR(K6537="Unit", K6537=""), "", INDEX(LookUps!$E$5:$E$12, MATCH(OpenLCAbasic!K6537,LookUps!$D$5:$D$12,0))))</f>
        <v/>
      </c>
      <c r="M6537" s="154" t="str">
        <f t="shared" si="482"/>
        <v>____Process__</v>
      </c>
    </row>
    <row r="6538" spans="1:13" s="120" customFormat="1" x14ac:dyDescent="0.25">
      <c r="A6538" s="119"/>
      <c r="B6538" s="138" t="str">
        <f t="shared" si="478"/>
        <v>Windrow</v>
      </c>
      <c r="C6538" s="138" t="str">
        <f t="shared" si="483"/>
        <v>Without Amendment</v>
      </c>
      <c r="D6538" s="138" t="str">
        <f t="shared" si="481"/>
        <v>High_Base</v>
      </c>
      <c r="E6538" s="138" t="str">
        <f t="shared" si="484"/>
        <v>Low</v>
      </c>
      <c r="F6538" s="138" t="str">
        <f t="shared" si="479"/>
        <v>Upgraded</v>
      </c>
      <c r="G6538" s="153"/>
      <c r="H6538" s="210">
        <v>6.1288999999999998</v>
      </c>
      <c r="I6538" s="160" t="s">
        <v>167</v>
      </c>
      <c r="J6538" s="160">
        <v>5.1393399999999998</v>
      </c>
      <c r="K6538" s="160" t="s">
        <v>15</v>
      </c>
      <c r="L6538" s="154" t="str">
        <f>IF(OpenLCAbasic!K6538="CTUh", "Fill in Manually",IF(OR(K6538="Unit", K6538=""), "", INDEX(LookUps!$E$5:$E$12, MATCH(OpenLCAbasic!K6538,LookUps!$D$5:$D$12,0))))</f>
        <v>Cumulative Energy Demand (CED) - MJ</v>
      </c>
      <c r="M6538" s="154" t="str">
        <f t="shared" si="482"/>
        <v>Low_High_Base_Upgraded_Cumulative Energy Demand (CED) - MJ_Waste Receiving and Holding; wastewater treatment unit; at updated plant - US_Without Amendment_Windrow</v>
      </c>
    </row>
    <row r="6539" spans="1:13" s="120" customFormat="1" x14ac:dyDescent="0.25">
      <c r="A6539" s="119"/>
      <c r="B6539" s="138" t="str">
        <f t="shared" si="478"/>
        <v>Windrow</v>
      </c>
      <c r="C6539" s="138" t="str">
        <f t="shared" si="483"/>
        <v>Without Amendment</v>
      </c>
      <c r="D6539" s="138" t="str">
        <f t="shared" si="481"/>
        <v>High_Base</v>
      </c>
      <c r="E6539" s="138" t="str">
        <f t="shared" si="484"/>
        <v>Low</v>
      </c>
      <c r="F6539" s="138" t="str">
        <f t="shared" si="479"/>
        <v>Upgraded</v>
      </c>
      <c r="G6539" s="153"/>
      <c r="H6539" s="210">
        <v>4.2133000000000003</v>
      </c>
      <c r="I6539" s="160" t="s">
        <v>55</v>
      </c>
      <c r="J6539" s="160">
        <v>3.5330499999999998</v>
      </c>
      <c r="K6539" s="160" t="s">
        <v>15</v>
      </c>
      <c r="L6539" s="154" t="str">
        <f>IF(OpenLCAbasic!K6539="CTUh", "Fill in Manually",IF(OR(K6539="Unit", K6539=""), "", INDEX(LookUps!$E$5:$E$12, MATCH(OpenLCAbasic!K6539,LookUps!$D$5:$D$12,0))))</f>
        <v>Cumulative Energy Demand (CED) - MJ</v>
      </c>
      <c r="M6539" s="154" t="str">
        <f t="shared" si="482"/>
        <v>Low_High_Base_Upgraded_Cumulative Energy Demand (CED) - MJ_Aeration Tanks; wastewater treatment unit; at updated plant - US_Without Amendment_Windrow</v>
      </c>
    </row>
    <row r="6540" spans="1:13" s="120" customFormat="1" x14ac:dyDescent="0.25">
      <c r="A6540" s="119"/>
      <c r="B6540" s="138" t="str">
        <f t="shared" si="478"/>
        <v>Windrow</v>
      </c>
      <c r="C6540" s="138" t="str">
        <f t="shared" si="483"/>
        <v>Without Amendment</v>
      </c>
      <c r="D6540" s="138" t="str">
        <f t="shared" si="481"/>
        <v>High_Base</v>
      </c>
      <c r="E6540" s="138" t="str">
        <f t="shared" si="484"/>
        <v>Low</v>
      </c>
      <c r="F6540" s="138" t="str">
        <f t="shared" si="479"/>
        <v>Upgraded</v>
      </c>
      <c r="G6540" s="153"/>
      <c r="H6540" s="210">
        <v>1.3868</v>
      </c>
      <c r="I6540" s="160" t="s">
        <v>54</v>
      </c>
      <c r="J6540" s="160">
        <v>1.16289</v>
      </c>
      <c r="K6540" s="160" t="s">
        <v>15</v>
      </c>
      <c r="L6540" s="154" t="str">
        <f>IF(OpenLCAbasic!K6540="CTUh", "Fill in Manually",IF(OR(K6540="Unit", K6540=""), "", INDEX(LookUps!$E$5:$E$12, MATCH(OpenLCAbasic!K6540,LookUps!$D$5:$D$12,0))))</f>
        <v>Cumulative Energy Demand (CED) - MJ</v>
      </c>
      <c r="M6540" s="154" t="str">
        <f t="shared" si="482"/>
        <v>Low_High_Base_Upgraded_Cumulative Energy Demand (CED) - MJ_Clear Cove Primary Clarification; wastewater treatment unit; at updated plant - US_Without Amendment_Windrow</v>
      </c>
    </row>
    <row r="6541" spans="1:13" s="120" customFormat="1" x14ac:dyDescent="0.25">
      <c r="A6541" s="119"/>
      <c r="B6541" s="138" t="str">
        <f t="shared" si="478"/>
        <v>Windrow</v>
      </c>
      <c r="C6541" s="138" t="str">
        <f t="shared" si="483"/>
        <v>Without Amendment</v>
      </c>
      <c r="D6541" s="138" t="str">
        <f t="shared" si="481"/>
        <v>High_Base</v>
      </c>
      <c r="E6541" s="138" t="str">
        <f t="shared" si="484"/>
        <v>Low</v>
      </c>
      <c r="F6541" s="138" t="str">
        <f t="shared" si="479"/>
        <v>Upgraded</v>
      </c>
      <c r="G6541" s="153"/>
      <c r="H6541" s="210">
        <v>1.0621</v>
      </c>
      <c r="I6541" s="160" t="s">
        <v>58</v>
      </c>
      <c r="J6541" s="160">
        <v>0.89063999999999999</v>
      </c>
      <c r="K6541" s="160" t="s">
        <v>15</v>
      </c>
      <c r="L6541" s="154" t="str">
        <f>IF(OpenLCAbasic!K6541="CTUh", "Fill in Manually",IF(OR(K6541="Unit", K6541=""), "", INDEX(LookUps!$E$5:$E$12, MATCH(OpenLCAbasic!K6541,LookUps!$D$5:$D$12,0))))</f>
        <v>Cumulative Energy Demand (CED) - MJ</v>
      </c>
      <c r="M6541" s="154" t="str">
        <f t="shared" si="482"/>
        <v>Low_High_Base_Upgraded_Cumulative Energy Demand (CED) - MJ_Pre-Anoxic &amp; Swing tank; wastewater treatment unit; at updated plant - US_Without Amendment_Windrow</v>
      </c>
    </row>
    <row r="6542" spans="1:13" s="120" customFormat="1" x14ac:dyDescent="0.25">
      <c r="A6542" s="119"/>
      <c r="B6542" s="138" t="str">
        <f t="shared" si="478"/>
        <v>Windrow</v>
      </c>
      <c r="C6542" s="138" t="str">
        <f t="shared" si="483"/>
        <v>Without Amendment</v>
      </c>
      <c r="D6542" s="138" t="str">
        <f t="shared" si="481"/>
        <v>High_Base</v>
      </c>
      <c r="E6542" s="138" t="str">
        <f t="shared" si="484"/>
        <v>Low</v>
      </c>
      <c r="F6542" s="138" t="str">
        <f t="shared" si="479"/>
        <v>Upgraded</v>
      </c>
      <c r="G6542" s="153"/>
      <c r="H6542" s="210">
        <v>1.0529999999999999</v>
      </c>
      <c r="I6542" s="160" t="s">
        <v>147</v>
      </c>
      <c r="J6542" s="160">
        <v>0.88297000000000003</v>
      </c>
      <c r="K6542" s="160" t="s">
        <v>15</v>
      </c>
      <c r="L6542" s="154" t="str">
        <f>IF(OpenLCAbasic!K6542="CTUh", "Fill in Manually",IF(OR(K6542="Unit", K6542=""), "", INDEX(LookUps!$E$5:$E$12, MATCH(OpenLCAbasic!K6542,LookUps!$D$5:$D$12,0))))</f>
        <v>Cumulative Energy Demand (CED) - MJ</v>
      </c>
      <c r="M6542" s="154" t="str">
        <f t="shared" si="482"/>
        <v>Low_High_Base_Upgraded_Cumulative Energy Demand (CED) - MJ_Influent Pump Station; wastewater treatment unit; at updated plant - US_Without Amendment_Windrow</v>
      </c>
    </row>
    <row r="6543" spans="1:13" s="120" customFormat="1" x14ac:dyDescent="0.25">
      <c r="A6543" s="119"/>
      <c r="B6543" s="138" t="str">
        <f t="shared" si="478"/>
        <v>Windrow</v>
      </c>
      <c r="C6543" s="138" t="str">
        <f t="shared" si="483"/>
        <v>Without Amendment</v>
      </c>
      <c r="D6543" s="138" t="str">
        <f t="shared" si="481"/>
        <v>High_Base</v>
      </c>
      <c r="E6543" s="138" t="str">
        <f t="shared" si="484"/>
        <v>Low</v>
      </c>
      <c r="F6543" s="138" t="str">
        <f t="shared" si="479"/>
        <v>Upgraded</v>
      </c>
      <c r="G6543" s="153"/>
      <c r="H6543" s="210">
        <v>0.83050000000000002</v>
      </c>
      <c r="I6543" s="160" t="s">
        <v>53</v>
      </c>
      <c r="J6543" s="160">
        <v>0.69645000000000001</v>
      </c>
      <c r="K6543" s="160" t="s">
        <v>15</v>
      </c>
      <c r="L6543" s="154" t="str">
        <f>IF(OpenLCAbasic!K6543="CTUh", "Fill in Manually",IF(OR(K6543="Unit", K6543=""), "", INDEX(LookUps!$E$5:$E$12, MATCH(OpenLCAbasic!K6543,LookUps!$D$5:$D$12,0))))</f>
        <v>Cumulative Energy Demand (CED) - MJ</v>
      </c>
      <c r="M6543" s="154" t="str">
        <f t="shared" si="482"/>
        <v>Low_High_Base_Upgraded_Cumulative Energy Demand (CED) - MJ_Wet Well and Sump Station; wastewater treatment unit; at updated plant - US_Without Amendment_Windrow</v>
      </c>
    </row>
    <row r="6544" spans="1:13" s="120" customFormat="1" x14ac:dyDescent="0.25">
      <c r="A6544" s="119"/>
      <c r="B6544" s="138" t="str">
        <f t="shared" si="478"/>
        <v>Windrow</v>
      </c>
      <c r="C6544" s="138" t="str">
        <f t="shared" si="483"/>
        <v>Without Amendment</v>
      </c>
      <c r="D6544" s="138" t="str">
        <f t="shared" si="481"/>
        <v>High_Base</v>
      </c>
      <c r="E6544" s="138" t="str">
        <f t="shared" si="484"/>
        <v>Low</v>
      </c>
      <c r="F6544" s="138" t="str">
        <f t="shared" si="479"/>
        <v>Upgraded</v>
      </c>
      <c r="G6544" s="153"/>
      <c r="H6544" s="210">
        <v>0.64900000000000002</v>
      </c>
      <c r="I6544" s="160" t="s">
        <v>60</v>
      </c>
      <c r="J6544" s="160">
        <v>0.54422999999999999</v>
      </c>
      <c r="K6544" s="160" t="s">
        <v>15</v>
      </c>
      <c r="L6544" s="154" t="str">
        <f>IF(OpenLCAbasic!K6544="CTUh", "Fill in Manually",IF(OR(K6544="Unit", K6544=""), "", INDEX(LookUps!$E$5:$E$12, MATCH(OpenLCAbasic!K6544,LookUps!$D$5:$D$12,0))))</f>
        <v>Cumulative Energy Demand (CED) - MJ</v>
      </c>
      <c r="M6544" s="154" t="str">
        <f t="shared" si="482"/>
        <v>Low_High_Base_Upgraded_Cumulative Energy Demand (CED) - MJ_Belt filter press; wastewater treatment unit; at updated plant - US_Without Amendment_Windrow</v>
      </c>
    </row>
    <row r="6545" spans="1:13" s="120" customFormat="1" x14ac:dyDescent="0.25">
      <c r="A6545" s="119"/>
      <c r="B6545" s="138" t="str">
        <f t="shared" si="478"/>
        <v>Windrow</v>
      </c>
      <c r="C6545" s="138" t="str">
        <f t="shared" si="483"/>
        <v>Without Amendment</v>
      </c>
      <c r="D6545" s="138" t="str">
        <f t="shared" si="481"/>
        <v>High_Base</v>
      </c>
      <c r="E6545" s="138" t="str">
        <f t="shared" si="484"/>
        <v>Low</v>
      </c>
      <c r="F6545" s="138" t="str">
        <f t="shared" si="479"/>
        <v>Upgraded</v>
      </c>
      <c r="G6545" s="153"/>
      <c r="H6545" s="210">
        <v>0.39839999999999998</v>
      </c>
      <c r="I6545" s="160" t="s">
        <v>57</v>
      </c>
      <c r="J6545" s="160">
        <v>0.33404</v>
      </c>
      <c r="K6545" s="160" t="s">
        <v>15</v>
      </c>
      <c r="L6545" s="154" t="str">
        <f>IF(OpenLCAbasic!K6545="CTUh", "Fill in Manually",IF(OR(K6545="Unit", K6545=""), "", INDEX(LookUps!$E$5:$E$12, MATCH(OpenLCAbasic!K6545,LookUps!$D$5:$D$12,0))))</f>
        <v>Cumulative Energy Demand (CED) - MJ</v>
      </c>
      <c r="M6545" s="154" t="str">
        <f t="shared" si="482"/>
        <v>Low_High_Base_Upgraded_Cumulative Energy Demand (CED) - MJ_Gravity Belt Thickener; wastewater treatment unit; at updated plant - US_Without Amendment_Windrow</v>
      </c>
    </row>
    <row r="6546" spans="1:13" s="120" customFormat="1" x14ac:dyDescent="0.25">
      <c r="A6546" s="119"/>
      <c r="B6546" s="138" t="str">
        <f t="shared" si="478"/>
        <v>Windrow</v>
      </c>
      <c r="C6546" s="138" t="str">
        <f t="shared" si="483"/>
        <v>Without Amendment</v>
      </c>
      <c r="D6546" s="138" t="str">
        <f t="shared" si="481"/>
        <v>High_Base</v>
      </c>
      <c r="E6546" s="138" t="str">
        <f t="shared" si="484"/>
        <v>Low</v>
      </c>
      <c r="F6546" s="138" t="str">
        <f t="shared" si="479"/>
        <v>Upgraded</v>
      </c>
      <c r="G6546" s="153"/>
      <c r="H6546" s="210">
        <v>0.3054</v>
      </c>
      <c r="I6546" s="160" t="s">
        <v>128</v>
      </c>
      <c r="J6546" s="160">
        <v>0.25606000000000001</v>
      </c>
      <c r="K6546" s="160" t="s">
        <v>15</v>
      </c>
      <c r="L6546" s="154" t="str">
        <f>IF(OpenLCAbasic!K6546="CTUh", "Fill in Manually",IF(OR(K6546="Unit", K6546=""), "", INDEX(LookUps!$E$5:$E$12, MATCH(OpenLCAbasic!K6546,LookUps!$D$5:$D$12,0))))</f>
        <v>Cumulative Energy Demand (CED) - MJ</v>
      </c>
      <c r="M6546" s="154" t="str">
        <f t="shared" si="482"/>
        <v>Low_High_Base_Upgraded_Cumulative Energy Demand (CED) - MJ_Wastewater collection; operation and infrastructure; m3 wastewater_Without Amendment_Windrow</v>
      </c>
    </row>
    <row r="6547" spans="1:13" s="120" customFormat="1" x14ac:dyDescent="0.25">
      <c r="A6547" s="119"/>
      <c r="B6547" s="138" t="str">
        <f t="shared" si="478"/>
        <v>Windrow</v>
      </c>
      <c r="C6547" s="138" t="str">
        <f t="shared" si="483"/>
        <v>Without Amendment</v>
      </c>
      <c r="D6547" s="138" t="str">
        <f t="shared" si="481"/>
        <v>High_Base</v>
      </c>
      <c r="E6547" s="138" t="str">
        <f t="shared" si="484"/>
        <v>Low</v>
      </c>
      <c r="F6547" s="138" t="str">
        <f t="shared" si="479"/>
        <v>Upgraded</v>
      </c>
      <c r="G6547" s="153"/>
      <c r="H6547" s="210">
        <v>0.1741</v>
      </c>
      <c r="I6547" s="160" t="s">
        <v>148</v>
      </c>
      <c r="J6547" s="160">
        <v>0.14599000000000001</v>
      </c>
      <c r="K6547" s="160" t="s">
        <v>15</v>
      </c>
      <c r="L6547" s="154" t="str">
        <f>IF(OpenLCAbasic!K6547="CTUh", "Fill in Manually",IF(OR(K6547="Unit", K6547=""), "", INDEX(LookUps!$E$5:$E$12, MATCH(OpenLCAbasic!K6547,LookUps!$D$5:$D$12,0))))</f>
        <v>Cumulative Energy Demand (CED) - MJ</v>
      </c>
      <c r="M6547" s="154" t="str">
        <f t="shared" si="482"/>
        <v>Low_High_Base_Upgraded_Cumulative Energy Demand (CED) - MJ_Control Building; at upgraded wastewater treatment plant - US_Without Amendment_Windrow</v>
      </c>
    </row>
    <row r="6548" spans="1:13" s="120" customFormat="1" x14ac:dyDescent="0.25">
      <c r="A6548" s="119"/>
      <c r="B6548" s="138" t="str">
        <f t="shared" si="478"/>
        <v>Windrow</v>
      </c>
      <c r="C6548" s="138" t="str">
        <f t="shared" si="483"/>
        <v>Without Amendment</v>
      </c>
      <c r="D6548" s="138" t="str">
        <f t="shared" si="481"/>
        <v>High_Base</v>
      </c>
      <c r="E6548" s="138" t="str">
        <f t="shared" si="484"/>
        <v>Low</v>
      </c>
      <c r="F6548" s="138" t="str">
        <f t="shared" si="479"/>
        <v>Upgraded</v>
      </c>
      <c r="G6548" s="153"/>
      <c r="H6548" s="210">
        <v>0.15890000000000001</v>
      </c>
      <c r="I6548" s="160" t="s">
        <v>48</v>
      </c>
      <c r="J6548" s="160">
        <v>0.13321</v>
      </c>
      <c r="K6548" s="160" t="s">
        <v>15</v>
      </c>
      <c r="L6548" s="154" t="str">
        <f>IF(OpenLCAbasic!K6548="CTUh", "Fill in Manually",IF(OR(K6548="Unit", K6548=""), "", INDEX(LookUps!$E$5:$E$12, MATCH(OpenLCAbasic!K6548,LookUps!$D$5:$D$12,0))))</f>
        <v>Cumulative Energy Demand (CED) - MJ</v>
      </c>
      <c r="M6548" s="154" t="str">
        <f t="shared" si="482"/>
        <v>Low_High_Base_Upgraded_Cumulative Energy Demand (CED) - MJ_Effluent release; wastewater treatment unit; at surface water; m3 wastewater - US_Without Amendment_Windrow</v>
      </c>
    </row>
    <row r="6549" spans="1:13" s="120" customFormat="1" x14ac:dyDescent="0.25">
      <c r="A6549" s="119"/>
      <c r="B6549" s="138" t="str">
        <f t="shared" si="478"/>
        <v>Windrow</v>
      </c>
      <c r="C6549" s="138" t="str">
        <f t="shared" si="483"/>
        <v>Without Amendment</v>
      </c>
      <c r="D6549" s="138" t="str">
        <f t="shared" si="481"/>
        <v>High_Base</v>
      </c>
      <c r="E6549" s="138" t="str">
        <f t="shared" si="484"/>
        <v>Low</v>
      </c>
      <c r="F6549" s="138" t="str">
        <f t="shared" si="479"/>
        <v>Upgraded</v>
      </c>
      <c r="G6549" s="153"/>
      <c r="H6549" s="210">
        <v>0.12690000000000001</v>
      </c>
      <c r="I6549" s="160" t="s">
        <v>59</v>
      </c>
      <c r="J6549" s="160">
        <v>0.10638</v>
      </c>
      <c r="K6549" s="160" t="s">
        <v>15</v>
      </c>
      <c r="L6549" s="154" t="str">
        <f>IF(OpenLCAbasic!K6549="CTUh", "Fill in Manually",IF(OR(K6549="Unit", K6549=""), "", INDEX(LookUps!$E$5:$E$12, MATCH(OpenLCAbasic!K6549,LookUps!$D$5:$D$12,0))))</f>
        <v>Cumulative Energy Demand (CED) - MJ</v>
      </c>
      <c r="M6549" s="154" t="str">
        <f t="shared" si="482"/>
        <v>Low_High_Base_Upgraded_Cumulative Energy Demand (CED) - MJ_Blend Tank; wastewater treatment unit; at updated plant - US_Without Amendment_Windrow</v>
      </c>
    </row>
    <row r="6550" spans="1:13" s="120" customFormat="1" x14ac:dyDescent="0.25">
      <c r="A6550" s="119"/>
      <c r="B6550" s="138" t="str">
        <f t="shared" si="478"/>
        <v>Windrow</v>
      </c>
      <c r="C6550" s="138" t="str">
        <f t="shared" si="483"/>
        <v>Without Amendment</v>
      </c>
      <c r="D6550" s="138" t="str">
        <f t="shared" si="481"/>
        <v>High_Base</v>
      </c>
      <c r="E6550" s="138" t="str">
        <f t="shared" si="484"/>
        <v>Low</v>
      </c>
      <c r="F6550" s="138" t="str">
        <f t="shared" si="479"/>
        <v>Upgraded</v>
      </c>
      <c r="G6550" s="153"/>
      <c r="H6550" s="210">
        <v>6.0699999999999997E-2</v>
      </c>
      <c r="I6550" s="160" t="s">
        <v>168</v>
      </c>
      <c r="J6550" s="160">
        <v>5.0930000000000003E-2</v>
      </c>
      <c r="K6550" s="160" t="s">
        <v>15</v>
      </c>
      <c r="L6550" s="154" t="str">
        <f>IF(OpenLCAbasic!K6550="CTUh", "Fill in Manually",IF(OR(K6550="Unit", K6550=""), "", INDEX(LookUps!$E$5:$E$12, MATCH(OpenLCAbasic!K6550,LookUps!$D$5:$D$12,0))))</f>
        <v>Cumulative Energy Demand (CED) - MJ</v>
      </c>
      <c r="M6550" s="154" t="str">
        <f t="shared" si="482"/>
        <v>Low_High_Base_Upgraded_Cumulative Energy Demand (CED) - MJ_ClearCove SCP; wastewater treatment unit; at updated plant - US_Without Amendment_Windrow</v>
      </c>
    </row>
    <row r="6551" spans="1:13" s="120" customFormat="1" x14ac:dyDescent="0.25">
      <c r="A6551" s="119"/>
      <c r="B6551" s="138" t="str">
        <f t="shared" si="478"/>
        <v>Windrow</v>
      </c>
      <c r="C6551" s="138" t="str">
        <f t="shared" si="483"/>
        <v>Without Amendment</v>
      </c>
      <c r="D6551" s="138" t="str">
        <f t="shared" si="481"/>
        <v>High_Base</v>
      </c>
      <c r="E6551" s="138" t="str">
        <f t="shared" si="484"/>
        <v>Low</v>
      </c>
      <c r="F6551" s="138" t="str">
        <f t="shared" si="479"/>
        <v>Upgraded</v>
      </c>
      <c r="G6551" s="153"/>
      <c r="H6551" s="210">
        <v>4.2299999999999997E-2</v>
      </c>
      <c r="I6551" s="160" t="s">
        <v>271</v>
      </c>
      <c r="J6551" s="160">
        <v>3.5470000000000002E-2</v>
      </c>
      <c r="K6551" s="160" t="s">
        <v>15</v>
      </c>
      <c r="L6551" s="154" t="str">
        <f>IF(OpenLCAbasic!K6551="CTUh", "Fill in Manually",IF(OR(K6551="Unit", K6551=""), "", INDEX(LookUps!$E$5:$E$12, MATCH(OpenLCAbasic!K6551,LookUps!$D$5:$D$12,0))))</f>
        <v>Cumulative Energy Demand (CED) - MJ</v>
      </c>
      <c r="M6551" s="154" t="str">
        <f t="shared" si="482"/>
        <v>Low_High_Base_Upgraded_Cumulative Energy Demand (CED) - MJ_Biosolids composting; windrow composting; wastewater treatment unit; at updated plant - US_Without Amendment_Windrow</v>
      </c>
    </row>
    <row r="6552" spans="1:13" s="120" customFormat="1" x14ac:dyDescent="0.25">
      <c r="A6552" s="119"/>
      <c r="B6552" s="138" t="str">
        <f t="shared" si="478"/>
        <v>Windrow</v>
      </c>
      <c r="C6552" s="138" t="str">
        <f t="shared" si="483"/>
        <v>Without Amendment</v>
      </c>
      <c r="D6552" s="138" t="str">
        <f t="shared" si="481"/>
        <v>High_Base</v>
      </c>
      <c r="E6552" s="138" t="str">
        <f t="shared" si="484"/>
        <v>Low</v>
      </c>
      <c r="F6552" s="138" t="str">
        <f t="shared" si="479"/>
        <v>Upgraded</v>
      </c>
      <c r="G6552" s="153"/>
      <c r="H6552" s="210">
        <v>-0.68020000000000003</v>
      </c>
      <c r="I6552" s="160" t="s">
        <v>62</v>
      </c>
      <c r="J6552" s="160">
        <v>-0.57040999999999997</v>
      </c>
      <c r="K6552" s="160" t="s">
        <v>15</v>
      </c>
      <c r="L6552" s="154" t="str">
        <f>IF(OpenLCAbasic!K6552="CTUh", "Fill in Manually",IF(OR(K6552="Unit", K6552=""), "", INDEX(LookUps!$E$5:$E$12, MATCH(OpenLCAbasic!K6552,LookUps!$D$5:$D$12,0))))</f>
        <v>Cumulative Energy Demand (CED) - MJ</v>
      </c>
      <c r="M6552" s="154" t="str">
        <f t="shared" si="482"/>
        <v>Low_High_Base_Upgraded_Cumulative Energy Demand (CED) - MJ_Land application of compost; wastewater treatment unit; at updated plant - US_Without Amendment_Windrow</v>
      </c>
    </row>
    <row r="6553" spans="1:13" s="120" customFormat="1" x14ac:dyDescent="0.25">
      <c r="A6553" s="119"/>
      <c r="B6553" s="138" t="str">
        <f t="shared" si="478"/>
        <v>Windrow</v>
      </c>
      <c r="C6553" s="138" t="str">
        <f t="shared" si="483"/>
        <v>Without Amendment</v>
      </c>
      <c r="D6553" s="138" t="str">
        <f t="shared" si="481"/>
        <v>High_Base</v>
      </c>
      <c r="E6553" s="138" t="str">
        <f t="shared" si="484"/>
        <v>Low</v>
      </c>
      <c r="F6553" s="138" t="str">
        <f t="shared" si="479"/>
        <v>Upgraded</v>
      </c>
      <c r="G6553" s="153"/>
      <c r="H6553" s="210">
        <v>-16.9099</v>
      </c>
      <c r="I6553" s="160" t="s">
        <v>149</v>
      </c>
      <c r="J6553" s="160">
        <v>-14.179790000000001</v>
      </c>
      <c r="K6553" s="160" t="s">
        <v>15</v>
      </c>
      <c r="L6553" s="154" t="str">
        <f>IF(OpenLCAbasic!K6553="CTUh", "Fill in Manually",IF(OR(K6553="Unit", K6553=""), "", INDEX(LookUps!$E$5:$E$12, MATCH(OpenLCAbasic!K6553,LookUps!$D$5:$D$12,0))))</f>
        <v>Cumulative Energy Demand (CED) - MJ</v>
      </c>
      <c r="M6553" s="154" t="str">
        <f t="shared" si="482"/>
        <v>Low_High_Base_Upgraded_Cumulative Energy Demand (CED) - MJ_Anaerobic Digestion; wastewater treatment unit; at updated plant - US_Without Amendment_Windrow</v>
      </c>
    </row>
    <row r="6554" spans="1:13" s="120" customFormat="1" x14ac:dyDescent="0.25">
      <c r="A6554" s="119"/>
      <c r="B6554" s="138" t="str">
        <f t="shared" si="478"/>
        <v/>
      </c>
      <c r="C6554" s="138" t="str">
        <f t="shared" si="483"/>
        <v/>
      </c>
      <c r="D6554" s="138" t="str">
        <f t="shared" si="481"/>
        <v/>
      </c>
      <c r="E6554" s="138" t="str">
        <f t="shared" si="484"/>
        <v/>
      </c>
      <c r="F6554" s="138" t="str">
        <f t="shared" si="479"/>
        <v/>
      </c>
      <c r="G6554" s="153" t="s">
        <v>51</v>
      </c>
      <c r="H6554" s="160"/>
      <c r="I6554" s="160" t="s">
        <v>47</v>
      </c>
      <c r="J6554" s="160" t="s">
        <v>52</v>
      </c>
      <c r="K6554" s="160" t="s">
        <v>27</v>
      </c>
      <c r="L6554" s="154" t="str">
        <f>IF(OpenLCAbasic!K6554="CTUh", "Fill in Manually",IF(OR(K6554="Unit", K6554=""), "", INDEX(LookUps!$E$5:$E$12, MATCH(OpenLCAbasic!K6554,LookUps!$D$5:$D$12,0))))</f>
        <v/>
      </c>
      <c r="M6554" s="154" t="str">
        <f t="shared" si="482"/>
        <v>____Process__</v>
      </c>
    </row>
    <row r="6555" spans="1:13" s="120" customFormat="1" x14ac:dyDescent="0.25">
      <c r="A6555" s="119"/>
      <c r="B6555" s="138" t="str">
        <f t="shared" si="478"/>
        <v>Windrow</v>
      </c>
      <c r="C6555" s="138" t="str">
        <f t="shared" si="483"/>
        <v>Without Amendment</v>
      </c>
      <c r="D6555" s="138" t="str">
        <f t="shared" si="481"/>
        <v>High_Base</v>
      </c>
      <c r="E6555" s="138" t="str">
        <f t="shared" si="484"/>
        <v>Low</v>
      </c>
      <c r="F6555" s="138" t="str">
        <f t="shared" si="479"/>
        <v>Upgraded</v>
      </c>
      <c r="G6555" s="153"/>
      <c r="H6555" s="210">
        <v>0.79790000000000005</v>
      </c>
      <c r="I6555" s="160" t="s">
        <v>48</v>
      </c>
      <c r="J6555" s="160">
        <v>1.1610000000000001E-2</v>
      </c>
      <c r="K6555" s="160" t="s">
        <v>13</v>
      </c>
      <c r="L6555" s="154" t="str">
        <f>IF(OpenLCAbasic!K6555="CTUh", "Fill in Manually",IF(OR(K6555="Unit", K6555=""), "", INDEX(LookUps!$E$5:$E$12, MATCH(OpenLCAbasic!K6555,LookUps!$D$5:$D$12,0))))</f>
        <v>Eutrophication Potential (EP) - kg N eq</v>
      </c>
      <c r="M6555" s="154" t="str">
        <f t="shared" si="482"/>
        <v>Low_High_Base_Upgraded_Eutrophication Potential (EP) - kg N eq_Effluent release; wastewater treatment unit; at surface water; m3 wastewater - US_Without Amendment_Windrow</v>
      </c>
    </row>
    <row r="6556" spans="1:13" s="120" customFormat="1" x14ac:dyDescent="0.25">
      <c r="A6556" s="119"/>
      <c r="B6556" s="138" t="str">
        <f t="shared" si="478"/>
        <v>Windrow</v>
      </c>
      <c r="C6556" s="138" t="str">
        <f t="shared" si="483"/>
        <v>Without Amendment</v>
      </c>
      <c r="D6556" s="138" t="str">
        <f t="shared" si="481"/>
        <v>High_Base</v>
      </c>
      <c r="E6556" s="138" t="str">
        <f t="shared" si="484"/>
        <v>Low</v>
      </c>
      <c r="F6556" s="138" t="str">
        <f t="shared" si="479"/>
        <v>Upgraded</v>
      </c>
      <c r="G6556" s="153"/>
      <c r="H6556" s="210">
        <v>0.17380000000000001</v>
      </c>
      <c r="I6556" s="160" t="s">
        <v>62</v>
      </c>
      <c r="J6556" s="160">
        <v>2.5300000000000001E-3</v>
      </c>
      <c r="K6556" s="160" t="s">
        <v>13</v>
      </c>
      <c r="L6556" s="154" t="str">
        <f>IF(OpenLCAbasic!K6556="CTUh", "Fill in Manually",IF(OR(K6556="Unit", K6556=""), "", INDEX(LookUps!$E$5:$E$12, MATCH(OpenLCAbasic!K6556,LookUps!$D$5:$D$12,0))))</f>
        <v>Eutrophication Potential (EP) - kg N eq</v>
      </c>
      <c r="M6556" s="154" t="str">
        <f t="shared" si="482"/>
        <v>Low_High_Base_Upgraded_Eutrophication Potential (EP) - kg N eq_Land application of compost; wastewater treatment unit; at updated plant - US_Without Amendment_Windrow</v>
      </c>
    </row>
    <row r="6557" spans="1:13" s="120" customFormat="1" x14ac:dyDescent="0.25">
      <c r="A6557" s="119"/>
      <c r="B6557" s="138" t="str">
        <f t="shared" si="478"/>
        <v>Windrow</v>
      </c>
      <c r="C6557" s="138" t="str">
        <f t="shared" si="483"/>
        <v>Without Amendment</v>
      </c>
      <c r="D6557" s="138" t="str">
        <f t="shared" si="481"/>
        <v>High_Base</v>
      </c>
      <c r="E6557" s="138" t="str">
        <f t="shared" si="484"/>
        <v>Low</v>
      </c>
      <c r="F6557" s="138" t="str">
        <f t="shared" si="479"/>
        <v>Upgraded</v>
      </c>
      <c r="G6557" s="153"/>
      <c r="H6557" s="210">
        <v>3.7499999999999999E-2</v>
      </c>
      <c r="I6557" s="160" t="s">
        <v>55</v>
      </c>
      <c r="J6557" s="160">
        <v>5.5000000000000003E-4</v>
      </c>
      <c r="K6557" s="160" t="s">
        <v>13</v>
      </c>
      <c r="L6557" s="154" t="str">
        <f>IF(OpenLCAbasic!K6557="CTUh", "Fill in Manually",IF(OR(K6557="Unit", K6557=""), "", INDEX(LookUps!$E$5:$E$12, MATCH(OpenLCAbasic!K6557,LookUps!$D$5:$D$12,0))))</f>
        <v>Eutrophication Potential (EP) - kg N eq</v>
      </c>
      <c r="M6557" s="154" t="str">
        <f t="shared" si="482"/>
        <v>Low_High_Base_Upgraded_Eutrophication Potential (EP) - kg N eq_Aeration Tanks; wastewater treatment unit; at updated plant - US_Without Amendment_Windrow</v>
      </c>
    </row>
    <row r="6558" spans="1:13" s="120" customFormat="1" x14ac:dyDescent="0.25">
      <c r="A6558" s="119"/>
      <c r="B6558" s="138" t="str">
        <f t="shared" si="478"/>
        <v>Windrow</v>
      </c>
      <c r="C6558" s="138" t="str">
        <f t="shared" si="483"/>
        <v>Without Amendment</v>
      </c>
      <c r="D6558" s="138" t="str">
        <f t="shared" si="481"/>
        <v>High_Base</v>
      </c>
      <c r="E6558" s="138" t="str">
        <f t="shared" si="484"/>
        <v>Low</v>
      </c>
      <c r="F6558" s="138" t="str">
        <f t="shared" si="479"/>
        <v>Upgraded</v>
      </c>
      <c r="G6558" s="153"/>
      <c r="H6558" s="210">
        <v>1.72E-2</v>
      </c>
      <c r="I6558" s="160" t="s">
        <v>147</v>
      </c>
      <c r="J6558" s="160">
        <v>2.5000000000000001E-4</v>
      </c>
      <c r="K6558" s="160" t="s">
        <v>13</v>
      </c>
      <c r="L6558" s="154" t="str">
        <f>IF(OpenLCAbasic!K6558="CTUh", "Fill in Manually",IF(OR(K6558="Unit", K6558=""), "", INDEX(LookUps!$E$5:$E$12, MATCH(OpenLCAbasic!K6558,LookUps!$D$5:$D$12,0))))</f>
        <v>Eutrophication Potential (EP) - kg N eq</v>
      </c>
      <c r="M6558" s="154" t="str">
        <f t="shared" si="482"/>
        <v>Low_High_Base_Upgraded_Eutrophication Potential (EP) - kg N eq_Influent Pump Station; wastewater treatment unit; at updated plant - US_Without Amendment_Windrow</v>
      </c>
    </row>
    <row r="6559" spans="1:13" s="120" customFormat="1" x14ac:dyDescent="0.25">
      <c r="A6559" s="119"/>
      <c r="B6559" s="138" t="str">
        <f t="shared" si="478"/>
        <v>Windrow</v>
      </c>
      <c r="C6559" s="138" t="str">
        <f t="shared" si="483"/>
        <v>Without Amendment</v>
      </c>
      <c r="D6559" s="138" t="str">
        <f t="shared" si="481"/>
        <v>High_Base</v>
      </c>
      <c r="E6559" s="138" t="str">
        <f t="shared" si="484"/>
        <v>Low</v>
      </c>
      <c r="F6559" s="138" t="str">
        <f t="shared" si="479"/>
        <v>Upgraded</v>
      </c>
      <c r="G6559" s="153"/>
      <c r="H6559" s="210">
        <v>1.5100000000000001E-2</v>
      </c>
      <c r="I6559" s="160" t="s">
        <v>167</v>
      </c>
      <c r="J6559" s="160">
        <v>2.2000000000000001E-4</v>
      </c>
      <c r="K6559" s="160" t="s">
        <v>13</v>
      </c>
      <c r="L6559" s="154" t="str">
        <f>IF(OpenLCAbasic!K6559="CTUh", "Fill in Manually",IF(OR(K6559="Unit", K6559=""), "", INDEX(LookUps!$E$5:$E$12, MATCH(OpenLCAbasic!K6559,LookUps!$D$5:$D$12,0))))</f>
        <v>Eutrophication Potential (EP) - kg N eq</v>
      </c>
      <c r="M6559" s="154" t="str">
        <f t="shared" si="482"/>
        <v>Low_High_Base_Upgraded_Eutrophication Potential (EP) - kg N eq_Waste Receiving and Holding; wastewater treatment unit; at updated plant - US_Without Amendment_Windrow</v>
      </c>
    </row>
    <row r="6560" spans="1:13" s="120" customFormat="1" x14ac:dyDescent="0.25">
      <c r="A6560" s="119"/>
      <c r="B6560" s="138" t="str">
        <f t="shared" si="478"/>
        <v>Windrow</v>
      </c>
      <c r="C6560" s="138" t="str">
        <f t="shared" si="483"/>
        <v>Without Amendment</v>
      </c>
      <c r="D6560" s="138" t="str">
        <f t="shared" si="481"/>
        <v>High_Base</v>
      </c>
      <c r="E6560" s="138" t="str">
        <f t="shared" si="484"/>
        <v>Low</v>
      </c>
      <c r="F6560" s="138" t="str">
        <f t="shared" si="479"/>
        <v>Upgraded</v>
      </c>
      <c r="G6560" s="153"/>
      <c r="H6560" s="210">
        <v>1.3599999999999999E-2</v>
      </c>
      <c r="I6560" s="160" t="s">
        <v>54</v>
      </c>
      <c r="J6560" s="160">
        <v>2.0000000000000001E-4</v>
      </c>
      <c r="K6560" s="160" t="s">
        <v>13</v>
      </c>
      <c r="L6560" s="154" t="str">
        <f>IF(OpenLCAbasic!K6560="CTUh", "Fill in Manually",IF(OR(K6560="Unit", K6560=""), "", INDEX(LookUps!$E$5:$E$12, MATCH(OpenLCAbasic!K6560,LookUps!$D$5:$D$12,0))))</f>
        <v>Eutrophication Potential (EP) - kg N eq</v>
      </c>
      <c r="M6560" s="154" t="str">
        <f t="shared" si="482"/>
        <v>Low_High_Base_Upgraded_Eutrophication Potential (EP) - kg N eq_Clear Cove Primary Clarification; wastewater treatment unit; at updated plant - US_Without Amendment_Windrow</v>
      </c>
    </row>
    <row r="6561" spans="1:13" s="120" customFormat="1" x14ac:dyDescent="0.25">
      <c r="A6561" s="119"/>
      <c r="B6561" s="138" t="str">
        <f t="shared" si="478"/>
        <v>Windrow</v>
      </c>
      <c r="C6561" s="138" t="str">
        <f t="shared" si="483"/>
        <v>Without Amendment</v>
      </c>
      <c r="D6561" s="138" t="str">
        <f t="shared" si="481"/>
        <v>High_Base</v>
      </c>
      <c r="E6561" s="138" t="str">
        <f t="shared" si="484"/>
        <v>Low</v>
      </c>
      <c r="F6561" s="138" t="str">
        <f t="shared" si="479"/>
        <v>Upgraded</v>
      </c>
      <c r="G6561" s="153"/>
      <c r="H6561" s="210">
        <v>9.4000000000000004E-3</v>
      </c>
      <c r="I6561" s="160" t="s">
        <v>58</v>
      </c>
      <c r="J6561" s="160">
        <v>1.3999999999999999E-4</v>
      </c>
      <c r="K6561" s="160" t="s">
        <v>13</v>
      </c>
      <c r="L6561" s="154" t="str">
        <f>IF(OpenLCAbasic!K6561="CTUh", "Fill in Manually",IF(OR(K6561="Unit", K6561=""), "", INDEX(LookUps!$E$5:$E$12, MATCH(OpenLCAbasic!K6561,LookUps!$D$5:$D$12,0))))</f>
        <v>Eutrophication Potential (EP) - kg N eq</v>
      </c>
      <c r="M6561" s="154" t="str">
        <f t="shared" si="482"/>
        <v>Low_High_Base_Upgraded_Eutrophication Potential (EP) - kg N eq_Pre-Anoxic &amp; Swing tank; wastewater treatment unit; at updated plant - US_Without Amendment_Windrow</v>
      </c>
    </row>
    <row r="6562" spans="1:13" s="120" customFormat="1" x14ac:dyDescent="0.25">
      <c r="A6562" s="119"/>
      <c r="B6562" s="138" t="str">
        <f t="shared" si="478"/>
        <v>Windrow</v>
      </c>
      <c r="C6562" s="138" t="str">
        <f t="shared" si="483"/>
        <v>Without Amendment</v>
      </c>
      <c r="D6562" s="138" t="str">
        <f t="shared" si="481"/>
        <v>High_Base</v>
      </c>
      <c r="E6562" s="138" t="str">
        <f t="shared" si="484"/>
        <v>Low</v>
      </c>
      <c r="F6562" s="138" t="str">
        <f t="shared" si="479"/>
        <v>Upgraded</v>
      </c>
      <c r="G6562" s="153"/>
      <c r="H6562" s="210">
        <v>7.4000000000000003E-3</v>
      </c>
      <c r="I6562" s="160" t="s">
        <v>53</v>
      </c>
      <c r="J6562" s="160">
        <v>1.1E-4</v>
      </c>
      <c r="K6562" s="160" t="s">
        <v>13</v>
      </c>
      <c r="L6562" s="154" t="str">
        <f>IF(OpenLCAbasic!K6562="CTUh", "Fill in Manually",IF(OR(K6562="Unit", K6562=""), "", INDEX(LookUps!$E$5:$E$12, MATCH(OpenLCAbasic!K6562,LookUps!$D$5:$D$12,0))))</f>
        <v>Eutrophication Potential (EP) - kg N eq</v>
      </c>
      <c r="M6562" s="154" t="str">
        <f t="shared" si="482"/>
        <v>Low_High_Base_Upgraded_Eutrophication Potential (EP) - kg N eq_Wet Well and Sump Station; wastewater treatment unit; at updated plant - US_Without Amendment_Windrow</v>
      </c>
    </row>
    <row r="6563" spans="1:13" s="120" customFormat="1" x14ac:dyDescent="0.25">
      <c r="A6563" s="119"/>
      <c r="B6563" s="138" t="str">
        <f t="shared" si="478"/>
        <v>Windrow</v>
      </c>
      <c r="C6563" s="138" t="str">
        <f t="shared" si="483"/>
        <v>Without Amendment</v>
      </c>
      <c r="D6563" s="138" t="str">
        <f t="shared" si="481"/>
        <v>High_Base</v>
      </c>
      <c r="E6563" s="138" t="str">
        <f t="shared" si="484"/>
        <v>Low</v>
      </c>
      <c r="F6563" s="138" t="str">
        <f t="shared" si="479"/>
        <v>Upgraded</v>
      </c>
      <c r="G6563" s="153"/>
      <c r="H6563" s="210">
        <v>6.6E-3</v>
      </c>
      <c r="I6563" s="160" t="s">
        <v>60</v>
      </c>
      <c r="J6563" s="211">
        <v>9.5601799999999997E-5</v>
      </c>
      <c r="K6563" s="160" t="s">
        <v>13</v>
      </c>
      <c r="L6563" s="154" t="str">
        <f>IF(OpenLCAbasic!K6563="CTUh", "Fill in Manually",IF(OR(K6563="Unit", K6563=""), "", INDEX(LookUps!$E$5:$E$12, MATCH(OpenLCAbasic!K6563,LookUps!$D$5:$D$12,0))))</f>
        <v>Eutrophication Potential (EP) - kg N eq</v>
      </c>
      <c r="M6563" s="154" t="str">
        <f t="shared" si="482"/>
        <v>Low_High_Base_Upgraded_Eutrophication Potential (EP) - kg N eq_Belt filter press; wastewater treatment unit; at updated plant - US_Without Amendment_Windrow</v>
      </c>
    </row>
    <row r="6564" spans="1:13" s="120" customFormat="1" x14ac:dyDescent="0.25">
      <c r="A6564" s="119"/>
      <c r="B6564" s="138" t="str">
        <f t="shared" si="478"/>
        <v>Windrow</v>
      </c>
      <c r="C6564" s="138" t="str">
        <f t="shared" si="483"/>
        <v>Without Amendment</v>
      </c>
      <c r="D6564" s="138" t="str">
        <f t="shared" si="481"/>
        <v>High_Base</v>
      </c>
      <c r="E6564" s="138" t="str">
        <f t="shared" si="484"/>
        <v>Low</v>
      </c>
      <c r="F6564" s="138" t="str">
        <f t="shared" si="479"/>
        <v>Upgraded</v>
      </c>
      <c r="G6564" s="153"/>
      <c r="H6564" s="210">
        <v>5.5999999999999999E-3</v>
      </c>
      <c r="I6564" s="160" t="s">
        <v>271</v>
      </c>
      <c r="J6564" s="211">
        <v>8.1110099999999994E-5</v>
      </c>
      <c r="K6564" s="160" t="s">
        <v>13</v>
      </c>
      <c r="L6564" s="154" t="str">
        <f>IF(OpenLCAbasic!K6564="CTUh", "Fill in Manually",IF(OR(K6564="Unit", K6564=""), "", INDEX(LookUps!$E$5:$E$12, MATCH(OpenLCAbasic!K6564,LookUps!$D$5:$D$12,0))))</f>
        <v>Eutrophication Potential (EP) - kg N eq</v>
      </c>
      <c r="M6564" s="154" t="str">
        <f t="shared" si="482"/>
        <v>Low_High_Base_Upgraded_Eutrophication Potential (EP) - kg N eq_Biosolids composting; windrow composting; wastewater treatment unit; at updated plant - US_Without Amendment_Windrow</v>
      </c>
    </row>
    <row r="6565" spans="1:13" s="120" customFormat="1" x14ac:dyDescent="0.25">
      <c r="A6565" s="119"/>
      <c r="B6565" s="138" t="str">
        <f t="shared" si="478"/>
        <v>Windrow</v>
      </c>
      <c r="C6565" s="138" t="str">
        <f t="shared" si="483"/>
        <v>Without Amendment</v>
      </c>
      <c r="D6565" s="138" t="str">
        <f t="shared" si="481"/>
        <v>High_Base</v>
      </c>
      <c r="E6565" s="138" t="str">
        <f t="shared" si="484"/>
        <v>Low</v>
      </c>
      <c r="F6565" s="138" t="str">
        <f t="shared" si="479"/>
        <v>Upgraded</v>
      </c>
      <c r="G6565" s="153"/>
      <c r="H6565" s="210">
        <v>4.1999999999999997E-3</v>
      </c>
      <c r="I6565" s="160" t="s">
        <v>57</v>
      </c>
      <c r="J6565" s="211">
        <v>6.0590300000000002E-5</v>
      </c>
      <c r="K6565" s="160" t="s">
        <v>13</v>
      </c>
      <c r="L6565" s="154" t="str">
        <f>IF(OpenLCAbasic!K6565="CTUh", "Fill in Manually",IF(OR(K6565="Unit", K6565=""), "", INDEX(LookUps!$E$5:$E$12, MATCH(OpenLCAbasic!K6565,LookUps!$D$5:$D$12,0))))</f>
        <v>Eutrophication Potential (EP) - kg N eq</v>
      </c>
      <c r="M6565" s="154" t="str">
        <f t="shared" si="482"/>
        <v>Low_High_Base_Upgraded_Eutrophication Potential (EP) - kg N eq_Gravity Belt Thickener; wastewater treatment unit; at updated plant - US_Without Amendment_Windrow</v>
      </c>
    </row>
    <row r="6566" spans="1:13" s="120" customFormat="1" x14ac:dyDescent="0.25">
      <c r="A6566" s="119"/>
      <c r="B6566" s="138" t="str">
        <f t="shared" si="478"/>
        <v>Windrow</v>
      </c>
      <c r="C6566" s="138" t="str">
        <f t="shared" si="483"/>
        <v>Without Amendment</v>
      </c>
      <c r="D6566" s="138" t="str">
        <f t="shared" si="481"/>
        <v>High_Base</v>
      </c>
      <c r="E6566" s="138" t="str">
        <f t="shared" si="484"/>
        <v>Low</v>
      </c>
      <c r="F6566" s="138" t="str">
        <f t="shared" si="479"/>
        <v>Upgraded</v>
      </c>
      <c r="G6566" s="153"/>
      <c r="H6566" s="210">
        <v>2.5999999999999999E-3</v>
      </c>
      <c r="I6566" s="160" t="s">
        <v>128</v>
      </c>
      <c r="J6566" s="211">
        <v>3.7559799999999999E-5</v>
      </c>
      <c r="K6566" s="160" t="s">
        <v>13</v>
      </c>
      <c r="L6566" s="154" t="str">
        <f>IF(OpenLCAbasic!K6566="CTUh", "Fill in Manually",IF(OR(K6566="Unit", K6566=""), "", INDEX(LookUps!$E$5:$E$12, MATCH(OpenLCAbasic!K6566,LookUps!$D$5:$D$12,0))))</f>
        <v>Eutrophication Potential (EP) - kg N eq</v>
      </c>
      <c r="M6566" s="154" t="str">
        <f t="shared" si="482"/>
        <v>Low_High_Base_Upgraded_Eutrophication Potential (EP) - kg N eq_Wastewater collection; operation and infrastructure; m3 wastewater_Without Amendment_Windrow</v>
      </c>
    </row>
    <row r="6567" spans="1:13" s="120" customFormat="1" x14ac:dyDescent="0.25">
      <c r="A6567" s="119"/>
      <c r="B6567" s="138" t="str">
        <f t="shared" si="478"/>
        <v>Windrow</v>
      </c>
      <c r="C6567" s="138" t="str">
        <f t="shared" si="483"/>
        <v>Without Amendment</v>
      </c>
      <c r="D6567" s="138" t="str">
        <f t="shared" si="481"/>
        <v>High_Base</v>
      </c>
      <c r="E6567" s="138" t="str">
        <f t="shared" si="484"/>
        <v>Low</v>
      </c>
      <c r="F6567" s="138" t="str">
        <f t="shared" si="479"/>
        <v>Upgraded</v>
      </c>
      <c r="G6567" s="153"/>
      <c r="H6567" s="210">
        <v>2.5000000000000001E-3</v>
      </c>
      <c r="I6567" s="160" t="s">
        <v>148</v>
      </c>
      <c r="J6567" s="211">
        <v>3.6874600000000001E-5</v>
      </c>
      <c r="K6567" s="160" t="s">
        <v>13</v>
      </c>
      <c r="L6567" s="154" t="str">
        <f>IF(OpenLCAbasic!K6567="CTUh", "Fill in Manually",IF(OR(K6567="Unit", K6567=""), "", INDEX(LookUps!$E$5:$E$12, MATCH(OpenLCAbasic!K6567,LookUps!$D$5:$D$12,0))))</f>
        <v>Eutrophication Potential (EP) - kg N eq</v>
      </c>
      <c r="M6567" s="154" t="str">
        <f t="shared" si="482"/>
        <v>Low_High_Base_Upgraded_Eutrophication Potential (EP) - kg N eq_Control Building; at upgraded wastewater treatment plant - US_Without Amendment_Windrow</v>
      </c>
    </row>
    <row r="6568" spans="1:13" s="120" customFormat="1" x14ac:dyDescent="0.25">
      <c r="A6568" s="119"/>
      <c r="B6568" s="138" t="str">
        <f t="shared" ref="B6568:B6631" si="485">IF(F6568="Legacy","n.a.",IF(F6568="","","Windrow"))</f>
        <v>Windrow</v>
      </c>
      <c r="C6568" s="138" t="str">
        <f t="shared" si="483"/>
        <v>Without Amendment</v>
      </c>
      <c r="D6568" s="138" t="str">
        <f t="shared" si="481"/>
        <v>High_Base</v>
      </c>
      <c r="E6568" s="138" t="str">
        <f t="shared" si="484"/>
        <v>Low</v>
      </c>
      <c r="F6568" s="138" t="str">
        <f t="shared" ref="F6568:F6631" si="486">IF(ISNUMBER(J6568),"Upgraded","")</f>
        <v>Upgraded</v>
      </c>
      <c r="G6568" s="153"/>
      <c r="H6568" s="210">
        <v>1.1000000000000001E-3</v>
      </c>
      <c r="I6568" s="160" t="s">
        <v>59</v>
      </c>
      <c r="J6568" s="211">
        <v>1.6215700000000001E-5</v>
      </c>
      <c r="K6568" s="160" t="s">
        <v>13</v>
      </c>
      <c r="L6568" s="154" t="str">
        <f>IF(OpenLCAbasic!K6568="CTUh", "Fill in Manually",IF(OR(K6568="Unit", K6568=""), "", INDEX(LookUps!$E$5:$E$12, MATCH(OpenLCAbasic!K6568,LookUps!$D$5:$D$12,0))))</f>
        <v>Eutrophication Potential (EP) - kg N eq</v>
      </c>
      <c r="M6568" s="154" t="str">
        <f t="shared" si="482"/>
        <v>Low_High_Base_Upgraded_Eutrophication Potential (EP) - kg N eq_Blend Tank; wastewater treatment unit; at updated plant - US_Without Amendment_Windrow</v>
      </c>
    </row>
    <row r="6569" spans="1:13" s="120" customFormat="1" x14ac:dyDescent="0.25">
      <c r="A6569" s="119"/>
      <c r="B6569" s="138" t="str">
        <f t="shared" si="485"/>
        <v>Windrow</v>
      </c>
      <c r="C6569" s="138" t="str">
        <f t="shared" si="483"/>
        <v>Without Amendment</v>
      </c>
      <c r="D6569" s="138" t="str">
        <f t="shared" si="481"/>
        <v>High_Base</v>
      </c>
      <c r="E6569" s="138" t="str">
        <f t="shared" si="484"/>
        <v>Low</v>
      </c>
      <c r="F6569" s="138" t="str">
        <f t="shared" si="486"/>
        <v>Upgraded</v>
      </c>
      <c r="G6569" s="153"/>
      <c r="H6569" s="210">
        <v>5.0000000000000001E-4</v>
      </c>
      <c r="I6569" s="160" t="s">
        <v>168</v>
      </c>
      <c r="J6569" s="211">
        <v>7.7567199999999995E-6</v>
      </c>
      <c r="K6569" s="160" t="s">
        <v>13</v>
      </c>
      <c r="L6569" s="154" t="str">
        <f>IF(OpenLCAbasic!K6569="CTUh", "Fill in Manually",IF(OR(K6569="Unit", K6569=""), "", INDEX(LookUps!$E$5:$E$12, MATCH(OpenLCAbasic!K6569,LookUps!$D$5:$D$12,0))))</f>
        <v>Eutrophication Potential (EP) - kg N eq</v>
      </c>
      <c r="M6569" s="154" t="str">
        <f t="shared" si="482"/>
        <v>Low_High_Base_Upgraded_Eutrophication Potential (EP) - kg N eq_ClearCove SCP; wastewater treatment unit; at updated plant - US_Without Amendment_Windrow</v>
      </c>
    </row>
    <row r="6570" spans="1:13" s="120" customFormat="1" x14ac:dyDescent="0.25">
      <c r="A6570" s="119"/>
      <c r="B6570" s="138" t="str">
        <f t="shared" si="485"/>
        <v>Windrow</v>
      </c>
      <c r="C6570" s="138" t="str">
        <f t="shared" si="483"/>
        <v>Without Amendment</v>
      </c>
      <c r="D6570" s="138" t="str">
        <f t="shared" si="481"/>
        <v>High_Base</v>
      </c>
      <c r="E6570" s="138" t="str">
        <f t="shared" si="484"/>
        <v>Low</v>
      </c>
      <c r="F6570" s="138" t="str">
        <f t="shared" si="486"/>
        <v>Upgraded</v>
      </c>
      <c r="G6570" s="153"/>
      <c r="H6570" s="210">
        <v>-9.5000000000000001E-2</v>
      </c>
      <c r="I6570" s="160" t="s">
        <v>149</v>
      </c>
      <c r="J6570" s="160">
        <v>-1.3799999999999999E-3</v>
      </c>
      <c r="K6570" s="160" t="s">
        <v>13</v>
      </c>
      <c r="L6570" s="154" t="str">
        <f>IF(OpenLCAbasic!K6570="CTUh", "Fill in Manually",IF(OR(K6570="Unit", K6570=""), "", INDEX(LookUps!$E$5:$E$12, MATCH(OpenLCAbasic!K6570,LookUps!$D$5:$D$12,0))))</f>
        <v>Eutrophication Potential (EP) - kg N eq</v>
      </c>
      <c r="M6570" s="154" t="str">
        <f t="shared" si="482"/>
        <v>Low_High_Base_Upgraded_Eutrophication Potential (EP) - kg N eq_Anaerobic Digestion; wastewater treatment unit; at updated plant - US_Without Amendment_Windrow</v>
      </c>
    </row>
    <row r="6571" spans="1:13" s="120" customFormat="1" x14ac:dyDescent="0.25">
      <c r="A6571" s="119"/>
      <c r="B6571" s="138" t="str">
        <f t="shared" si="485"/>
        <v/>
      </c>
      <c r="C6571" s="138" t="str">
        <f t="shared" si="483"/>
        <v/>
      </c>
      <c r="D6571" s="138" t="str">
        <f t="shared" si="481"/>
        <v/>
      </c>
      <c r="E6571" s="138" t="str">
        <f t="shared" si="484"/>
        <v/>
      </c>
      <c r="F6571" s="138" t="str">
        <f t="shared" si="486"/>
        <v/>
      </c>
      <c r="G6571" s="153" t="s">
        <v>51</v>
      </c>
      <c r="H6571" s="160"/>
      <c r="I6571" s="160" t="s">
        <v>47</v>
      </c>
      <c r="J6571" s="160" t="s">
        <v>52</v>
      </c>
      <c r="K6571" s="160" t="s">
        <v>27</v>
      </c>
      <c r="L6571" s="154" t="str">
        <f>IF(OpenLCAbasic!K6571="CTUh", "Fill in Manually",IF(OR(K6571="Unit", K6571=""), "", INDEX(LookUps!$E$5:$E$12, MATCH(OpenLCAbasic!K6571,LookUps!$D$5:$D$12,0))))</f>
        <v/>
      </c>
      <c r="M6571" s="154" t="str">
        <f t="shared" si="482"/>
        <v>____Process__</v>
      </c>
    </row>
    <row r="6572" spans="1:13" s="120" customFormat="1" x14ac:dyDescent="0.25">
      <c r="A6572" s="119"/>
      <c r="B6572" s="138" t="str">
        <f t="shared" si="485"/>
        <v>Windrow</v>
      </c>
      <c r="C6572" s="138" t="str">
        <f t="shared" si="483"/>
        <v>Without Amendment</v>
      </c>
      <c r="D6572" s="138" t="str">
        <f t="shared" si="481"/>
        <v>High_Base</v>
      </c>
      <c r="E6572" s="138" t="str">
        <f t="shared" si="484"/>
        <v>Low</v>
      </c>
      <c r="F6572" s="138" t="str">
        <f t="shared" si="486"/>
        <v>Upgraded</v>
      </c>
      <c r="G6572" s="153"/>
      <c r="H6572" s="210">
        <v>7.0057</v>
      </c>
      <c r="I6572" s="160" t="s">
        <v>167</v>
      </c>
      <c r="J6572" s="160">
        <v>0.11719</v>
      </c>
      <c r="K6572" s="160" t="s">
        <v>14</v>
      </c>
      <c r="L6572" s="154" t="str">
        <f>IF(OpenLCAbasic!K6572="CTUh", "Fill in Manually",IF(OR(K6572="Unit", K6572=""), "", INDEX(LookUps!$E$5:$E$12, MATCH(OpenLCAbasic!K6572,LookUps!$D$5:$D$12,0))))</f>
        <v>Fossil Depletion Potential (FDP) - kg oil eq</v>
      </c>
      <c r="M6572" s="154" t="str">
        <f t="shared" si="482"/>
        <v>Low_High_Base_Upgraded_Fossil Depletion Potential (FDP) - kg oil eq_Waste Receiving and Holding; wastewater treatment unit; at updated plant - US_Without Amendment_Windrow</v>
      </c>
    </row>
    <row r="6573" spans="1:13" s="120" customFormat="1" x14ac:dyDescent="0.25">
      <c r="A6573" s="119"/>
      <c r="B6573" s="138" t="str">
        <f t="shared" si="485"/>
        <v>Windrow</v>
      </c>
      <c r="C6573" s="138" t="str">
        <f t="shared" si="483"/>
        <v>Without Amendment</v>
      </c>
      <c r="D6573" s="138" t="str">
        <f t="shared" si="481"/>
        <v>High_Base</v>
      </c>
      <c r="E6573" s="138" t="str">
        <f t="shared" si="484"/>
        <v>Low</v>
      </c>
      <c r="F6573" s="138" t="str">
        <f t="shared" si="486"/>
        <v>Upgraded</v>
      </c>
      <c r="G6573" s="153"/>
      <c r="H6573" s="210">
        <v>3.8014999999999999</v>
      </c>
      <c r="I6573" s="160" t="s">
        <v>55</v>
      </c>
      <c r="J6573" s="160">
        <v>6.3589999999999994E-2</v>
      </c>
      <c r="K6573" s="160" t="s">
        <v>14</v>
      </c>
      <c r="L6573" s="154" t="str">
        <f>IF(OpenLCAbasic!K6573="CTUh", "Fill in Manually",IF(OR(K6573="Unit", K6573=""), "", INDEX(LookUps!$E$5:$E$12, MATCH(OpenLCAbasic!K6573,LookUps!$D$5:$D$12,0))))</f>
        <v>Fossil Depletion Potential (FDP) - kg oil eq</v>
      </c>
      <c r="M6573" s="154" t="str">
        <f t="shared" si="482"/>
        <v>Low_High_Base_Upgraded_Fossil Depletion Potential (FDP) - kg oil eq_Aeration Tanks; wastewater treatment unit; at updated plant - US_Without Amendment_Windrow</v>
      </c>
    </row>
    <row r="6574" spans="1:13" s="120" customFormat="1" x14ac:dyDescent="0.25">
      <c r="A6574" s="119"/>
      <c r="B6574" s="138" t="str">
        <f t="shared" si="485"/>
        <v>Windrow</v>
      </c>
      <c r="C6574" s="138" t="str">
        <f t="shared" si="483"/>
        <v>Without Amendment</v>
      </c>
      <c r="D6574" s="138" t="str">
        <f t="shared" si="481"/>
        <v>High_Base</v>
      </c>
      <c r="E6574" s="138" t="str">
        <f t="shared" si="484"/>
        <v>Low</v>
      </c>
      <c r="F6574" s="138" t="str">
        <f t="shared" si="486"/>
        <v>Upgraded</v>
      </c>
      <c r="G6574" s="153"/>
      <c r="H6574" s="210">
        <v>1.2584</v>
      </c>
      <c r="I6574" s="160" t="s">
        <v>54</v>
      </c>
      <c r="J6574" s="160">
        <v>2.1049999999999999E-2</v>
      </c>
      <c r="K6574" s="160" t="s">
        <v>14</v>
      </c>
      <c r="L6574" s="154" t="str">
        <f>IF(OpenLCAbasic!K6574="CTUh", "Fill in Manually",IF(OR(K6574="Unit", K6574=""), "", INDEX(LookUps!$E$5:$E$12, MATCH(OpenLCAbasic!K6574,LookUps!$D$5:$D$12,0))))</f>
        <v>Fossil Depletion Potential (FDP) - kg oil eq</v>
      </c>
      <c r="M6574" s="154" t="str">
        <f t="shared" si="482"/>
        <v>Low_High_Base_Upgraded_Fossil Depletion Potential (FDP) - kg oil eq_Clear Cove Primary Clarification; wastewater treatment unit; at updated plant - US_Without Amendment_Windrow</v>
      </c>
    </row>
    <row r="6575" spans="1:13" s="120" customFormat="1" x14ac:dyDescent="0.25">
      <c r="A6575" s="119"/>
      <c r="B6575" s="138" t="str">
        <f t="shared" si="485"/>
        <v>Windrow</v>
      </c>
      <c r="C6575" s="138" t="str">
        <f t="shared" si="483"/>
        <v>Without Amendment</v>
      </c>
      <c r="D6575" s="138" t="str">
        <f t="shared" si="481"/>
        <v>High_Base</v>
      </c>
      <c r="E6575" s="138" t="str">
        <f t="shared" si="484"/>
        <v>Low</v>
      </c>
      <c r="F6575" s="138" t="str">
        <f t="shared" si="486"/>
        <v>Upgraded</v>
      </c>
      <c r="G6575" s="153"/>
      <c r="H6575" s="210">
        <v>0.95889999999999997</v>
      </c>
      <c r="I6575" s="160" t="s">
        <v>58</v>
      </c>
      <c r="J6575" s="160">
        <v>1.6039999999999999E-2</v>
      </c>
      <c r="K6575" s="160" t="s">
        <v>14</v>
      </c>
      <c r="L6575" s="154" t="str">
        <f>IF(OpenLCAbasic!K6575="CTUh", "Fill in Manually",IF(OR(K6575="Unit", K6575=""), "", INDEX(LookUps!$E$5:$E$12, MATCH(OpenLCAbasic!K6575,LookUps!$D$5:$D$12,0))))</f>
        <v>Fossil Depletion Potential (FDP) - kg oil eq</v>
      </c>
      <c r="M6575" s="154" t="str">
        <f t="shared" si="482"/>
        <v>Low_High_Base_Upgraded_Fossil Depletion Potential (FDP) - kg oil eq_Pre-Anoxic &amp; Swing tank; wastewater treatment unit; at updated plant - US_Without Amendment_Windrow</v>
      </c>
    </row>
    <row r="6576" spans="1:13" s="120" customFormat="1" x14ac:dyDescent="0.25">
      <c r="A6576" s="119"/>
      <c r="B6576" s="138" t="str">
        <f t="shared" si="485"/>
        <v>Windrow</v>
      </c>
      <c r="C6576" s="138" t="str">
        <f t="shared" si="483"/>
        <v>Without Amendment</v>
      </c>
      <c r="D6576" s="138" t="str">
        <f t="shared" si="481"/>
        <v>High_Base</v>
      </c>
      <c r="E6576" s="138" t="str">
        <f t="shared" si="484"/>
        <v>Low</v>
      </c>
      <c r="F6576" s="138" t="str">
        <f t="shared" si="486"/>
        <v>Upgraded</v>
      </c>
      <c r="G6576" s="153"/>
      <c r="H6576" s="210">
        <v>0.90200000000000002</v>
      </c>
      <c r="I6576" s="160" t="s">
        <v>147</v>
      </c>
      <c r="J6576" s="160">
        <v>1.5089999999999999E-2</v>
      </c>
      <c r="K6576" s="160" t="s">
        <v>14</v>
      </c>
      <c r="L6576" s="154" t="str">
        <f>IF(OpenLCAbasic!K6576="CTUh", "Fill in Manually",IF(OR(K6576="Unit", K6576=""), "", INDEX(LookUps!$E$5:$E$12, MATCH(OpenLCAbasic!K6576,LookUps!$D$5:$D$12,0))))</f>
        <v>Fossil Depletion Potential (FDP) - kg oil eq</v>
      </c>
      <c r="M6576" s="154" t="str">
        <f t="shared" si="482"/>
        <v>Low_High_Base_Upgraded_Fossil Depletion Potential (FDP) - kg oil eq_Influent Pump Station; wastewater treatment unit; at updated plant - US_Without Amendment_Windrow</v>
      </c>
    </row>
    <row r="6577" spans="1:13" s="120" customFormat="1" x14ac:dyDescent="0.25">
      <c r="A6577" s="119"/>
      <c r="B6577" s="138" t="str">
        <f t="shared" si="485"/>
        <v>Windrow</v>
      </c>
      <c r="C6577" s="138" t="str">
        <f t="shared" si="483"/>
        <v>Without Amendment</v>
      </c>
      <c r="D6577" s="138" t="str">
        <f t="shared" si="481"/>
        <v>High_Base</v>
      </c>
      <c r="E6577" s="138" t="str">
        <f t="shared" si="484"/>
        <v>Low</v>
      </c>
      <c r="F6577" s="138" t="str">
        <f t="shared" si="486"/>
        <v>Upgraded</v>
      </c>
      <c r="G6577" s="153"/>
      <c r="H6577" s="210">
        <v>0.74660000000000004</v>
      </c>
      <c r="I6577" s="160" t="s">
        <v>53</v>
      </c>
      <c r="J6577" s="160">
        <v>1.2489999999999999E-2</v>
      </c>
      <c r="K6577" s="160" t="s">
        <v>14</v>
      </c>
      <c r="L6577" s="154" t="str">
        <f>IF(OpenLCAbasic!K6577="CTUh", "Fill in Manually",IF(OR(K6577="Unit", K6577=""), "", INDEX(LookUps!$E$5:$E$12, MATCH(OpenLCAbasic!K6577,LookUps!$D$5:$D$12,0))))</f>
        <v>Fossil Depletion Potential (FDP) - kg oil eq</v>
      </c>
      <c r="M6577" s="154" t="str">
        <f t="shared" si="482"/>
        <v>Low_High_Base_Upgraded_Fossil Depletion Potential (FDP) - kg oil eq_Wet Well and Sump Station; wastewater treatment unit; at updated plant - US_Without Amendment_Windrow</v>
      </c>
    </row>
    <row r="6578" spans="1:13" s="120" customFormat="1" x14ac:dyDescent="0.25">
      <c r="A6578" s="119"/>
      <c r="B6578" s="138" t="str">
        <f t="shared" si="485"/>
        <v>Windrow</v>
      </c>
      <c r="C6578" s="138" t="str">
        <f t="shared" si="483"/>
        <v>Without Amendment</v>
      </c>
      <c r="D6578" s="138" t="str">
        <f t="shared" si="481"/>
        <v>High_Base</v>
      </c>
      <c r="E6578" s="138" t="str">
        <f t="shared" si="484"/>
        <v>Low</v>
      </c>
      <c r="F6578" s="138" t="str">
        <f t="shared" si="486"/>
        <v>Upgraded</v>
      </c>
      <c r="G6578" s="153"/>
      <c r="H6578" s="210">
        <v>0.65600000000000003</v>
      </c>
      <c r="I6578" s="160" t="s">
        <v>60</v>
      </c>
      <c r="J6578" s="160">
        <v>1.0970000000000001E-2</v>
      </c>
      <c r="K6578" s="160" t="s">
        <v>14</v>
      </c>
      <c r="L6578" s="154" t="str">
        <f>IF(OpenLCAbasic!K6578="CTUh", "Fill in Manually",IF(OR(K6578="Unit", K6578=""), "", INDEX(LookUps!$E$5:$E$12, MATCH(OpenLCAbasic!K6578,LookUps!$D$5:$D$12,0))))</f>
        <v>Fossil Depletion Potential (FDP) - kg oil eq</v>
      </c>
      <c r="M6578" s="154" t="str">
        <f t="shared" si="482"/>
        <v>Low_High_Base_Upgraded_Fossil Depletion Potential (FDP) - kg oil eq_Belt filter press; wastewater treatment unit; at updated plant - US_Without Amendment_Windrow</v>
      </c>
    </row>
    <row r="6579" spans="1:13" s="120" customFormat="1" x14ac:dyDescent="0.25">
      <c r="A6579" s="119"/>
      <c r="B6579" s="138" t="str">
        <f t="shared" si="485"/>
        <v>Windrow</v>
      </c>
      <c r="C6579" s="138" t="str">
        <f t="shared" si="483"/>
        <v>Without Amendment</v>
      </c>
      <c r="D6579" s="138" t="str">
        <f t="shared" si="481"/>
        <v>High_Base</v>
      </c>
      <c r="E6579" s="138" t="str">
        <f t="shared" si="484"/>
        <v>Low</v>
      </c>
      <c r="F6579" s="138" t="str">
        <f t="shared" si="486"/>
        <v>Upgraded</v>
      </c>
      <c r="G6579" s="153"/>
      <c r="H6579" s="210">
        <v>0.41339999999999999</v>
      </c>
      <c r="I6579" s="160" t="s">
        <v>57</v>
      </c>
      <c r="J6579" s="160">
        <v>6.9199999999999999E-3</v>
      </c>
      <c r="K6579" s="160" t="s">
        <v>14</v>
      </c>
      <c r="L6579" s="154" t="str">
        <f>IF(OpenLCAbasic!K6579="CTUh", "Fill in Manually",IF(OR(K6579="Unit", K6579=""), "", INDEX(LookUps!$E$5:$E$12, MATCH(OpenLCAbasic!K6579,LookUps!$D$5:$D$12,0))))</f>
        <v>Fossil Depletion Potential (FDP) - kg oil eq</v>
      </c>
      <c r="M6579" s="154" t="str">
        <f t="shared" si="482"/>
        <v>Low_High_Base_Upgraded_Fossil Depletion Potential (FDP) - kg oil eq_Gravity Belt Thickener; wastewater treatment unit; at updated plant - US_Without Amendment_Windrow</v>
      </c>
    </row>
    <row r="6580" spans="1:13" s="120" customFormat="1" x14ac:dyDescent="0.25">
      <c r="A6580" s="119"/>
      <c r="B6580" s="138" t="str">
        <f t="shared" si="485"/>
        <v>Windrow</v>
      </c>
      <c r="C6580" s="138" t="str">
        <f t="shared" si="483"/>
        <v>Without Amendment</v>
      </c>
      <c r="D6580" s="138" t="str">
        <f t="shared" si="481"/>
        <v>High_Base</v>
      </c>
      <c r="E6580" s="138" t="str">
        <f t="shared" si="484"/>
        <v>Low</v>
      </c>
      <c r="F6580" s="138" t="str">
        <f t="shared" si="486"/>
        <v>Upgraded</v>
      </c>
      <c r="G6580" s="153"/>
      <c r="H6580" s="210">
        <v>0.26889999999999997</v>
      </c>
      <c r="I6580" s="160" t="s">
        <v>128</v>
      </c>
      <c r="J6580" s="160">
        <v>4.4999999999999997E-3</v>
      </c>
      <c r="K6580" s="160" t="s">
        <v>14</v>
      </c>
      <c r="L6580" s="154" t="str">
        <f>IF(OpenLCAbasic!K6580="CTUh", "Fill in Manually",IF(OR(K6580="Unit", K6580=""), "", INDEX(LookUps!$E$5:$E$12, MATCH(OpenLCAbasic!K6580,LookUps!$D$5:$D$12,0))))</f>
        <v>Fossil Depletion Potential (FDP) - kg oil eq</v>
      </c>
      <c r="M6580" s="154" t="str">
        <f t="shared" si="482"/>
        <v>Low_High_Base_Upgraded_Fossil Depletion Potential (FDP) - kg oil eq_Wastewater collection; operation and infrastructure; m3 wastewater_Without Amendment_Windrow</v>
      </c>
    </row>
    <row r="6581" spans="1:13" s="120" customFormat="1" x14ac:dyDescent="0.25">
      <c r="A6581" s="119"/>
      <c r="B6581" s="138" t="str">
        <f t="shared" si="485"/>
        <v>Windrow</v>
      </c>
      <c r="C6581" s="138" t="str">
        <f t="shared" si="483"/>
        <v>Without Amendment</v>
      </c>
      <c r="D6581" s="138" t="str">
        <f t="shared" si="481"/>
        <v>High_Base</v>
      </c>
      <c r="E6581" s="138" t="str">
        <f t="shared" si="484"/>
        <v>Low</v>
      </c>
      <c r="F6581" s="138" t="str">
        <f t="shared" si="486"/>
        <v>Upgraded</v>
      </c>
      <c r="G6581" s="153"/>
      <c r="H6581" s="210">
        <v>0.16719999999999999</v>
      </c>
      <c r="I6581" s="160" t="s">
        <v>148</v>
      </c>
      <c r="J6581" s="160">
        <v>2.8E-3</v>
      </c>
      <c r="K6581" s="160" t="s">
        <v>14</v>
      </c>
      <c r="L6581" s="154" t="str">
        <f>IF(OpenLCAbasic!K6581="CTUh", "Fill in Manually",IF(OR(K6581="Unit", K6581=""), "", INDEX(LookUps!$E$5:$E$12, MATCH(OpenLCAbasic!K6581,LookUps!$D$5:$D$12,0))))</f>
        <v>Fossil Depletion Potential (FDP) - kg oil eq</v>
      </c>
      <c r="M6581" s="154" t="str">
        <f t="shared" si="482"/>
        <v>Low_High_Base_Upgraded_Fossil Depletion Potential (FDP) - kg oil eq_Control Building; at upgraded wastewater treatment plant - US_Without Amendment_Windrow</v>
      </c>
    </row>
    <row r="6582" spans="1:13" s="120" customFormat="1" x14ac:dyDescent="0.25">
      <c r="A6582" s="119"/>
      <c r="B6582" s="138" t="str">
        <f t="shared" si="485"/>
        <v>Windrow</v>
      </c>
      <c r="C6582" s="138" t="str">
        <f t="shared" si="483"/>
        <v>Without Amendment</v>
      </c>
      <c r="D6582" s="138" t="str">
        <f t="shared" si="481"/>
        <v>High_Base</v>
      </c>
      <c r="E6582" s="138" t="str">
        <f t="shared" si="484"/>
        <v>Low</v>
      </c>
      <c r="F6582" s="138" t="str">
        <f t="shared" si="486"/>
        <v>Upgraded</v>
      </c>
      <c r="G6582" s="153"/>
      <c r="H6582" s="210">
        <v>0.14130000000000001</v>
      </c>
      <c r="I6582" s="160" t="s">
        <v>48</v>
      </c>
      <c r="J6582" s="160">
        <v>2.3600000000000001E-3</v>
      </c>
      <c r="K6582" s="160" t="s">
        <v>14</v>
      </c>
      <c r="L6582" s="154" t="str">
        <f>IF(OpenLCAbasic!K6582="CTUh", "Fill in Manually",IF(OR(K6582="Unit", K6582=""), "", INDEX(LookUps!$E$5:$E$12, MATCH(OpenLCAbasic!K6582,LookUps!$D$5:$D$12,0))))</f>
        <v>Fossil Depletion Potential (FDP) - kg oil eq</v>
      </c>
      <c r="M6582" s="154" t="str">
        <f t="shared" si="482"/>
        <v>Low_High_Base_Upgraded_Fossil Depletion Potential (FDP) - kg oil eq_Effluent release; wastewater treatment unit; at surface water; m3 wastewater - US_Without Amendment_Windrow</v>
      </c>
    </row>
    <row r="6583" spans="1:13" s="120" customFormat="1" x14ac:dyDescent="0.25">
      <c r="A6583" s="119"/>
      <c r="B6583" s="138" t="str">
        <f t="shared" si="485"/>
        <v>Windrow</v>
      </c>
      <c r="C6583" s="138" t="str">
        <f t="shared" si="483"/>
        <v>Without Amendment</v>
      </c>
      <c r="D6583" s="138" t="str">
        <f t="shared" si="481"/>
        <v>High_Base</v>
      </c>
      <c r="E6583" s="138" t="str">
        <f t="shared" si="484"/>
        <v>Low</v>
      </c>
      <c r="F6583" s="138" t="str">
        <f t="shared" si="486"/>
        <v>Upgraded</v>
      </c>
      <c r="G6583" s="153"/>
      <c r="H6583" s="210">
        <v>0.1148</v>
      </c>
      <c r="I6583" s="160" t="s">
        <v>59</v>
      </c>
      <c r="J6583" s="160">
        <v>1.92E-3</v>
      </c>
      <c r="K6583" s="160" t="s">
        <v>14</v>
      </c>
      <c r="L6583" s="154" t="str">
        <f>IF(OpenLCAbasic!K6583="CTUh", "Fill in Manually",IF(OR(K6583="Unit", K6583=""), "", INDEX(LookUps!$E$5:$E$12, MATCH(OpenLCAbasic!K6583,LookUps!$D$5:$D$12,0))))</f>
        <v>Fossil Depletion Potential (FDP) - kg oil eq</v>
      </c>
      <c r="M6583" s="154" t="str">
        <f t="shared" si="482"/>
        <v>Low_High_Base_Upgraded_Fossil Depletion Potential (FDP) - kg oil eq_Blend Tank; wastewater treatment unit; at updated plant - US_Without Amendment_Windrow</v>
      </c>
    </row>
    <row r="6584" spans="1:13" s="120" customFormat="1" x14ac:dyDescent="0.25">
      <c r="A6584" s="119"/>
      <c r="B6584" s="138" t="str">
        <f t="shared" si="485"/>
        <v>Windrow</v>
      </c>
      <c r="C6584" s="138" t="str">
        <f t="shared" si="483"/>
        <v>Without Amendment</v>
      </c>
      <c r="D6584" s="138" t="str">
        <f t="shared" si="481"/>
        <v>High_Base</v>
      </c>
      <c r="E6584" s="138" t="str">
        <f t="shared" si="484"/>
        <v>Low</v>
      </c>
      <c r="F6584" s="138" t="str">
        <f t="shared" si="486"/>
        <v>Upgraded</v>
      </c>
      <c r="G6584" s="153"/>
      <c r="H6584" s="210">
        <v>5.4699999999999999E-2</v>
      </c>
      <c r="I6584" s="160" t="s">
        <v>168</v>
      </c>
      <c r="J6584" s="160">
        <v>9.1E-4</v>
      </c>
      <c r="K6584" s="160" t="s">
        <v>14</v>
      </c>
      <c r="L6584" s="154" t="str">
        <f>IF(OpenLCAbasic!K6584="CTUh", "Fill in Manually",IF(OR(K6584="Unit", K6584=""), "", INDEX(LookUps!$E$5:$E$12, MATCH(OpenLCAbasic!K6584,LookUps!$D$5:$D$12,0))))</f>
        <v>Fossil Depletion Potential (FDP) - kg oil eq</v>
      </c>
      <c r="M6584" s="154" t="str">
        <f t="shared" si="482"/>
        <v>Low_High_Base_Upgraded_Fossil Depletion Potential (FDP) - kg oil eq_ClearCove SCP; wastewater treatment unit; at updated plant - US_Without Amendment_Windrow</v>
      </c>
    </row>
    <row r="6585" spans="1:13" s="120" customFormat="1" x14ac:dyDescent="0.25">
      <c r="A6585" s="119"/>
      <c r="B6585" s="138" t="str">
        <f t="shared" si="485"/>
        <v>Windrow</v>
      </c>
      <c r="C6585" s="138" t="str">
        <f t="shared" si="483"/>
        <v>Without Amendment</v>
      </c>
      <c r="D6585" s="138" t="str">
        <f t="shared" ref="D6585:D6648" si="487">IF(ISNUMBER($J6585),"High_Base","")</f>
        <v>High_Base</v>
      </c>
      <c r="E6585" s="138" t="str">
        <f t="shared" si="484"/>
        <v>Low</v>
      </c>
      <c r="F6585" s="138" t="str">
        <f t="shared" si="486"/>
        <v>Upgraded</v>
      </c>
      <c r="G6585" s="153"/>
      <c r="H6585" s="210">
        <v>4.65E-2</v>
      </c>
      <c r="I6585" s="160" t="s">
        <v>271</v>
      </c>
      <c r="J6585" s="160">
        <v>7.7999999999999999E-4</v>
      </c>
      <c r="K6585" s="160" t="s">
        <v>14</v>
      </c>
      <c r="L6585" s="154" t="str">
        <f>IF(OpenLCAbasic!K6585="CTUh", "Fill in Manually",IF(OR(K6585="Unit", K6585=""), "", INDEX(LookUps!$E$5:$E$12, MATCH(OpenLCAbasic!K6585,LookUps!$D$5:$D$12,0))))</f>
        <v>Fossil Depletion Potential (FDP) - kg oil eq</v>
      </c>
      <c r="M6585" s="154" t="str">
        <f t="shared" si="482"/>
        <v>Low_High_Base_Upgraded_Fossil Depletion Potential (FDP) - kg oil eq_Biosolids composting; windrow composting; wastewater treatment unit; at updated plant - US_Without Amendment_Windrow</v>
      </c>
    </row>
    <row r="6586" spans="1:13" s="120" customFormat="1" x14ac:dyDescent="0.25">
      <c r="A6586" s="119"/>
      <c r="B6586" s="138" t="str">
        <f t="shared" si="485"/>
        <v>Windrow</v>
      </c>
      <c r="C6586" s="138" t="str">
        <f t="shared" si="483"/>
        <v>Without Amendment</v>
      </c>
      <c r="D6586" s="138" t="str">
        <f t="shared" si="487"/>
        <v>High_Base</v>
      </c>
      <c r="E6586" s="138" t="str">
        <f t="shared" si="484"/>
        <v>Low</v>
      </c>
      <c r="F6586" s="138" t="str">
        <f t="shared" si="486"/>
        <v>Upgraded</v>
      </c>
      <c r="G6586" s="153"/>
      <c r="H6586" s="210">
        <v>-0.49559999999999998</v>
      </c>
      <c r="I6586" s="160" t="s">
        <v>62</v>
      </c>
      <c r="J6586" s="160">
        <v>-8.2900000000000005E-3</v>
      </c>
      <c r="K6586" s="160" t="s">
        <v>14</v>
      </c>
      <c r="L6586" s="154" t="str">
        <f>IF(OpenLCAbasic!K6586="CTUh", "Fill in Manually",IF(OR(K6586="Unit", K6586=""), "", INDEX(LookUps!$E$5:$E$12, MATCH(OpenLCAbasic!K6586,LookUps!$D$5:$D$12,0))))</f>
        <v>Fossil Depletion Potential (FDP) - kg oil eq</v>
      </c>
      <c r="M6586" s="154" t="str">
        <f t="shared" si="482"/>
        <v>Low_High_Base_Upgraded_Fossil Depletion Potential (FDP) - kg oil eq_Land application of compost; wastewater treatment unit; at updated plant - US_Without Amendment_Windrow</v>
      </c>
    </row>
    <row r="6587" spans="1:13" s="120" customFormat="1" x14ac:dyDescent="0.25">
      <c r="A6587" s="119"/>
      <c r="B6587" s="138" t="str">
        <f t="shared" si="485"/>
        <v>Windrow</v>
      </c>
      <c r="C6587" s="138" t="str">
        <f t="shared" si="483"/>
        <v>Without Amendment</v>
      </c>
      <c r="D6587" s="138" t="str">
        <f t="shared" si="487"/>
        <v>High_Base</v>
      </c>
      <c r="E6587" s="138" t="str">
        <f t="shared" si="484"/>
        <v>Low</v>
      </c>
      <c r="F6587" s="138" t="str">
        <f t="shared" si="486"/>
        <v>Upgraded</v>
      </c>
      <c r="G6587" s="153"/>
      <c r="H6587" s="210">
        <v>-17.040400000000002</v>
      </c>
      <c r="I6587" s="160" t="s">
        <v>149</v>
      </c>
      <c r="J6587" s="160">
        <v>-0.28505000000000003</v>
      </c>
      <c r="K6587" s="160" t="s">
        <v>14</v>
      </c>
      <c r="L6587" s="154" t="str">
        <f>IF(OpenLCAbasic!K6587="CTUh", "Fill in Manually",IF(OR(K6587="Unit", K6587=""), "", INDEX(LookUps!$E$5:$E$12, MATCH(OpenLCAbasic!K6587,LookUps!$D$5:$D$12,0))))</f>
        <v>Fossil Depletion Potential (FDP) - kg oil eq</v>
      </c>
      <c r="M6587" s="154" t="str">
        <f t="shared" ref="M6587:M6650" si="488">CONCATENATE(E6587,"_",D6587,"_",F6587,"_",L6587, "_",I6587,"_", C6587,"_", B6587)</f>
        <v>Low_High_Base_Upgraded_Fossil Depletion Potential (FDP) - kg oil eq_Anaerobic Digestion; wastewater treatment unit; at updated plant - US_Without Amendment_Windrow</v>
      </c>
    </row>
    <row r="6588" spans="1:13" s="120" customFormat="1" x14ac:dyDescent="0.25">
      <c r="A6588" s="119"/>
      <c r="B6588" s="138" t="str">
        <f t="shared" si="485"/>
        <v/>
      </c>
      <c r="C6588" s="138" t="str">
        <f t="shared" si="483"/>
        <v/>
      </c>
      <c r="D6588" s="138" t="str">
        <f t="shared" si="487"/>
        <v/>
      </c>
      <c r="E6588" s="138" t="str">
        <f t="shared" si="484"/>
        <v/>
      </c>
      <c r="F6588" s="138" t="str">
        <f t="shared" si="486"/>
        <v/>
      </c>
      <c r="G6588" s="153" t="s">
        <v>51</v>
      </c>
      <c r="H6588" s="160"/>
      <c r="I6588" s="160" t="s">
        <v>47</v>
      </c>
      <c r="J6588" s="160" t="s">
        <v>52</v>
      </c>
      <c r="K6588" s="160" t="s">
        <v>27</v>
      </c>
      <c r="L6588" s="154" t="str">
        <f>IF(OpenLCAbasic!K6588="CTUh", "Fill in Manually",IF(OR(K6588="Unit", K6588=""), "", INDEX(LookUps!$E$5:$E$12, MATCH(OpenLCAbasic!K6588,LookUps!$D$5:$D$12,0))))</f>
        <v/>
      </c>
      <c r="M6588" s="154" t="str">
        <f t="shared" si="488"/>
        <v>____Process__</v>
      </c>
    </row>
    <row r="6589" spans="1:13" s="120" customFormat="1" x14ac:dyDescent="0.25">
      <c r="A6589" s="119"/>
      <c r="B6589" s="138" t="str">
        <f t="shared" si="485"/>
        <v>Windrow</v>
      </c>
      <c r="C6589" s="138" t="str">
        <f t="shared" si="483"/>
        <v>Without Amendment</v>
      </c>
      <c r="D6589" s="138" t="str">
        <f t="shared" si="487"/>
        <v>High_Base</v>
      </c>
      <c r="E6589" s="138" t="str">
        <f t="shared" si="484"/>
        <v>Low</v>
      </c>
      <c r="F6589" s="138" t="str">
        <f t="shared" si="486"/>
        <v>Upgraded</v>
      </c>
      <c r="G6589" s="153"/>
      <c r="H6589" s="210">
        <v>2.6833</v>
      </c>
      <c r="I6589" s="160" t="s">
        <v>58</v>
      </c>
      <c r="J6589" s="160">
        <v>0.24992</v>
      </c>
      <c r="K6589" s="160" t="s">
        <v>23</v>
      </c>
      <c r="L6589" s="154" t="str">
        <f>IF(OpenLCAbasic!K6589="CTUh", "Fill in Manually",IF(OR(K6589="Unit", K6589=""), "", INDEX(LookUps!$E$5:$E$12, MATCH(OpenLCAbasic!K6589,LookUps!$D$5:$D$12,0))))</f>
        <v>Global Warming Potential (GWP) - kg CO2 eq</v>
      </c>
      <c r="M6589" s="154" t="str">
        <f t="shared" si="488"/>
        <v>Low_High_Base_Upgraded_Global Warming Potential (GWP) - kg CO2 eq_Pre-Anoxic &amp; Swing tank; wastewater treatment unit; at updated plant - US_Without Amendment_Windrow</v>
      </c>
    </row>
    <row r="6590" spans="1:13" s="120" customFormat="1" x14ac:dyDescent="0.25">
      <c r="A6590" s="119"/>
      <c r="B6590" s="138" t="str">
        <f t="shared" si="485"/>
        <v>Windrow</v>
      </c>
      <c r="C6590" s="138" t="str">
        <f t="shared" si="483"/>
        <v>Without Amendment</v>
      </c>
      <c r="D6590" s="138" t="str">
        <f t="shared" si="487"/>
        <v>High_Base</v>
      </c>
      <c r="E6590" s="138" t="str">
        <f t="shared" si="484"/>
        <v>Low</v>
      </c>
      <c r="F6590" s="138" t="str">
        <f t="shared" si="486"/>
        <v>Upgraded</v>
      </c>
      <c r="G6590" s="153"/>
      <c r="H6590" s="210">
        <v>1.8062</v>
      </c>
      <c r="I6590" s="160" t="s">
        <v>55</v>
      </c>
      <c r="J6590" s="160">
        <v>0.16822000000000001</v>
      </c>
      <c r="K6590" s="160" t="s">
        <v>23</v>
      </c>
      <c r="L6590" s="154" t="str">
        <f>IF(OpenLCAbasic!K6590="CTUh", "Fill in Manually",IF(OR(K6590="Unit", K6590=""), "", INDEX(LookUps!$E$5:$E$12, MATCH(OpenLCAbasic!K6590,LookUps!$D$5:$D$12,0))))</f>
        <v>Global Warming Potential (GWP) - kg CO2 eq</v>
      </c>
      <c r="M6590" s="154" t="str">
        <f t="shared" si="488"/>
        <v>Low_High_Base_Upgraded_Global Warming Potential (GWP) - kg CO2 eq_Aeration Tanks; wastewater treatment unit; at updated plant - US_Without Amendment_Windrow</v>
      </c>
    </row>
    <row r="6591" spans="1:13" s="120" customFormat="1" x14ac:dyDescent="0.25">
      <c r="A6591" s="119"/>
      <c r="B6591" s="138" t="str">
        <f t="shared" si="485"/>
        <v>Windrow</v>
      </c>
      <c r="C6591" s="138" t="str">
        <f t="shared" si="483"/>
        <v>Without Amendment</v>
      </c>
      <c r="D6591" s="138" t="str">
        <f t="shared" si="487"/>
        <v>High_Base</v>
      </c>
      <c r="E6591" s="138" t="str">
        <f t="shared" si="484"/>
        <v>Low</v>
      </c>
      <c r="F6591" s="138" t="str">
        <f t="shared" si="486"/>
        <v>Upgraded</v>
      </c>
      <c r="G6591" s="153"/>
      <c r="H6591" s="210">
        <v>1.5767</v>
      </c>
      <c r="I6591" s="160" t="s">
        <v>167</v>
      </c>
      <c r="J6591" s="160">
        <v>0.14685000000000001</v>
      </c>
      <c r="K6591" s="160" t="s">
        <v>23</v>
      </c>
      <c r="L6591" s="154" t="str">
        <f>IF(OpenLCAbasic!K6591="CTUh", "Fill in Manually",IF(OR(K6591="Unit", K6591=""), "", INDEX(LookUps!$E$5:$E$12, MATCH(OpenLCAbasic!K6591,LookUps!$D$5:$D$12,0))))</f>
        <v>Global Warming Potential (GWP) - kg CO2 eq</v>
      </c>
      <c r="M6591" s="154" t="str">
        <f t="shared" si="488"/>
        <v>Low_High_Base_Upgraded_Global Warming Potential (GWP) - kg CO2 eq_Waste Receiving and Holding; wastewater treatment unit; at updated plant - US_Without Amendment_Windrow</v>
      </c>
    </row>
    <row r="6592" spans="1:13" s="120" customFormat="1" x14ac:dyDescent="0.25">
      <c r="A6592" s="119"/>
      <c r="B6592" s="138" t="str">
        <f t="shared" si="485"/>
        <v>Windrow</v>
      </c>
      <c r="C6592" s="138" t="str">
        <f t="shared" si="483"/>
        <v>Without Amendment</v>
      </c>
      <c r="D6592" s="138" t="str">
        <f t="shared" si="487"/>
        <v>High_Base</v>
      </c>
      <c r="E6592" s="138" t="str">
        <f t="shared" si="484"/>
        <v>Low</v>
      </c>
      <c r="F6592" s="138" t="str">
        <f t="shared" si="486"/>
        <v>Upgraded</v>
      </c>
      <c r="G6592" s="153"/>
      <c r="H6592" s="210">
        <v>1.0142</v>
      </c>
      <c r="I6592" s="160" t="s">
        <v>271</v>
      </c>
      <c r="J6592" s="160">
        <v>9.4460000000000002E-2</v>
      </c>
      <c r="K6592" s="160" t="s">
        <v>23</v>
      </c>
      <c r="L6592" s="154" t="str">
        <f>IF(OpenLCAbasic!K6592="CTUh", "Fill in Manually",IF(OR(K6592="Unit", K6592=""), "", INDEX(LookUps!$E$5:$E$12, MATCH(OpenLCAbasic!K6592,LookUps!$D$5:$D$12,0))))</f>
        <v>Global Warming Potential (GWP) - kg CO2 eq</v>
      </c>
      <c r="M6592" s="154" t="str">
        <f t="shared" si="488"/>
        <v>Low_High_Base_Upgraded_Global Warming Potential (GWP) - kg CO2 eq_Biosolids composting; windrow composting; wastewater treatment unit; at updated plant - US_Without Amendment_Windrow</v>
      </c>
    </row>
    <row r="6593" spans="1:13" s="120" customFormat="1" x14ac:dyDescent="0.25">
      <c r="A6593" s="119"/>
      <c r="B6593" s="138" t="str">
        <f t="shared" si="485"/>
        <v>Windrow</v>
      </c>
      <c r="C6593" s="138" t="str">
        <f t="shared" ref="C6593:C6656" si="489">IF(ISNUMBER($J6593),"Without Amendment","")</f>
        <v>Without Amendment</v>
      </c>
      <c r="D6593" s="138" t="str">
        <f t="shared" si="487"/>
        <v>High_Base</v>
      </c>
      <c r="E6593" s="138" t="str">
        <f t="shared" ref="E6593:E6656" si="490">IF(ISNUMBER($J6593),"Low","")</f>
        <v>Low</v>
      </c>
      <c r="F6593" s="138" t="str">
        <f t="shared" si="486"/>
        <v>Upgraded</v>
      </c>
      <c r="G6593" s="153"/>
      <c r="H6593" s="210">
        <v>0.6129</v>
      </c>
      <c r="I6593" s="160" t="s">
        <v>54</v>
      </c>
      <c r="J6593" s="160">
        <v>5.7079999999999999E-2</v>
      </c>
      <c r="K6593" s="160" t="s">
        <v>23</v>
      </c>
      <c r="L6593" s="154" t="str">
        <f>IF(OpenLCAbasic!K6593="CTUh", "Fill in Manually",IF(OR(K6593="Unit", K6593=""), "", INDEX(LookUps!$E$5:$E$12, MATCH(OpenLCAbasic!K6593,LookUps!$D$5:$D$12,0))))</f>
        <v>Global Warming Potential (GWP) - kg CO2 eq</v>
      </c>
      <c r="M6593" s="154" t="str">
        <f t="shared" si="488"/>
        <v>Low_High_Base_Upgraded_Global Warming Potential (GWP) - kg CO2 eq_Clear Cove Primary Clarification; wastewater treatment unit; at updated plant - US_Without Amendment_Windrow</v>
      </c>
    </row>
    <row r="6594" spans="1:13" s="120" customFormat="1" x14ac:dyDescent="0.25">
      <c r="A6594" s="119"/>
      <c r="B6594" s="138" t="str">
        <f t="shared" si="485"/>
        <v>Windrow</v>
      </c>
      <c r="C6594" s="138" t="str">
        <f t="shared" si="489"/>
        <v>Without Amendment</v>
      </c>
      <c r="D6594" s="138" t="str">
        <f t="shared" si="487"/>
        <v>High_Base</v>
      </c>
      <c r="E6594" s="138" t="str">
        <f t="shared" si="490"/>
        <v>Low</v>
      </c>
      <c r="F6594" s="138" t="str">
        <f t="shared" si="486"/>
        <v>Upgraded</v>
      </c>
      <c r="G6594" s="153"/>
      <c r="H6594" s="210">
        <v>0.56510000000000005</v>
      </c>
      <c r="I6594" s="160" t="s">
        <v>48</v>
      </c>
      <c r="J6594" s="160">
        <v>5.2639999999999999E-2</v>
      </c>
      <c r="K6594" s="160" t="s">
        <v>23</v>
      </c>
      <c r="L6594" s="154" t="str">
        <f>IF(OpenLCAbasic!K6594="CTUh", "Fill in Manually",IF(OR(K6594="Unit", K6594=""), "", INDEX(LookUps!$E$5:$E$12, MATCH(OpenLCAbasic!K6594,LookUps!$D$5:$D$12,0))))</f>
        <v>Global Warming Potential (GWP) - kg CO2 eq</v>
      </c>
      <c r="M6594" s="154" t="str">
        <f t="shared" si="488"/>
        <v>Low_High_Base_Upgraded_Global Warming Potential (GWP) - kg CO2 eq_Effluent release; wastewater treatment unit; at surface water; m3 wastewater - US_Without Amendment_Windrow</v>
      </c>
    </row>
    <row r="6595" spans="1:13" s="120" customFormat="1" x14ac:dyDescent="0.25">
      <c r="A6595" s="119"/>
      <c r="B6595" s="138" t="str">
        <f t="shared" si="485"/>
        <v>Windrow</v>
      </c>
      <c r="C6595" s="138" t="str">
        <f t="shared" si="489"/>
        <v>Without Amendment</v>
      </c>
      <c r="D6595" s="138" t="str">
        <f t="shared" si="487"/>
        <v>High_Base</v>
      </c>
      <c r="E6595" s="138" t="str">
        <f t="shared" si="490"/>
        <v>Low</v>
      </c>
      <c r="F6595" s="138" t="str">
        <f t="shared" si="486"/>
        <v>Upgraded</v>
      </c>
      <c r="G6595" s="153"/>
      <c r="H6595" s="210">
        <v>0.54220000000000002</v>
      </c>
      <c r="I6595" s="160" t="s">
        <v>147</v>
      </c>
      <c r="J6595" s="160">
        <v>5.0500000000000003E-2</v>
      </c>
      <c r="K6595" s="160" t="s">
        <v>23</v>
      </c>
      <c r="L6595" s="154" t="str">
        <f>IF(OpenLCAbasic!K6595="CTUh", "Fill in Manually",IF(OR(K6595="Unit", K6595=""), "", INDEX(LookUps!$E$5:$E$12, MATCH(OpenLCAbasic!K6595,LookUps!$D$5:$D$12,0))))</f>
        <v>Global Warming Potential (GWP) - kg CO2 eq</v>
      </c>
      <c r="M6595" s="154" t="str">
        <f t="shared" si="488"/>
        <v>Low_High_Base_Upgraded_Global Warming Potential (GWP) - kg CO2 eq_Influent Pump Station; wastewater treatment unit; at updated plant - US_Without Amendment_Windrow</v>
      </c>
    </row>
    <row r="6596" spans="1:13" s="120" customFormat="1" x14ac:dyDescent="0.25">
      <c r="A6596" s="119"/>
      <c r="B6596" s="138" t="str">
        <f t="shared" si="485"/>
        <v>Windrow</v>
      </c>
      <c r="C6596" s="138" t="str">
        <f t="shared" si="489"/>
        <v>Without Amendment</v>
      </c>
      <c r="D6596" s="138" t="str">
        <f t="shared" si="487"/>
        <v>High_Base</v>
      </c>
      <c r="E6596" s="138" t="str">
        <f t="shared" si="490"/>
        <v>Low</v>
      </c>
      <c r="F6596" s="138" t="str">
        <f t="shared" si="486"/>
        <v>Upgraded</v>
      </c>
      <c r="G6596" s="153"/>
      <c r="H6596" s="210">
        <v>0.35709999999999997</v>
      </c>
      <c r="I6596" s="160" t="s">
        <v>53</v>
      </c>
      <c r="J6596" s="160">
        <v>3.3259999999999998E-2</v>
      </c>
      <c r="K6596" s="160" t="s">
        <v>23</v>
      </c>
      <c r="L6596" s="154" t="str">
        <f>IF(OpenLCAbasic!K6596="CTUh", "Fill in Manually",IF(OR(K6596="Unit", K6596=""), "", INDEX(LookUps!$E$5:$E$12, MATCH(OpenLCAbasic!K6596,LookUps!$D$5:$D$12,0))))</f>
        <v>Global Warming Potential (GWP) - kg CO2 eq</v>
      </c>
      <c r="M6596" s="154" t="str">
        <f t="shared" si="488"/>
        <v>Low_High_Base_Upgraded_Global Warming Potential (GWP) - kg CO2 eq_Wet Well and Sump Station; wastewater treatment unit; at updated plant - US_Without Amendment_Windrow</v>
      </c>
    </row>
    <row r="6597" spans="1:13" s="120" customFormat="1" x14ac:dyDescent="0.25">
      <c r="A6597" s="119"/>
      <c r="B6597" s="138" t="str">
        <f t="shared" si="485"/>
        <v>Windrow</v>
      </c>
      <c r="C6597" s="138" t="str">
        <f t="shared" si="489"/>
        <v>Without Amendment</v>
      </c>
      <c r="D6597" s="138" t="str">
        <f t="shared" si="487"/>
        <v>High_Base</v>
      </c>
      <c r="E6597" s="138" t="str">
        <f t="shared" si="490"/>
        <v>Low</v>
      </c>
      <c r="F6597" s="138" t="str">
        <f t="shared" si="486"/>
        <v>Upgraded</v>
      </c>
      <c r="G6597" s="153"/>
      <c r="H6597" s="210">
        <v>0.25890000000000002</v>
      </c>
      <c r="I6597" s="160" t="s">
        <v>60</v>
      </c>
      <c r="J6597" s="160">
        <v>2.4119999999999999E-2</v>
      </c>
      <c r="K6597" s="160" t="s">
        <v>23</v>
      </c>
      <c r="L6597" s="154" t="str">
        <f>IF(OpenLCAbasic!K6597="CTUh", "Fill in Manually",IF(OR(K6597="Unit", K6597=""), "", INDEX(LookUps!$E$5:$E$12, MATCH(OpenLCAbasic!K6597,LookUps!$D$5:$D$12,0))))</f>
        <v>Global Warming Potential (GWP) - kg CO2 eq</v>
      </c>
      <c r="M6597" s="154" t="str">
        <f t="shared" si="488"/>
        <v>Low_High_Base_Upgraded_Global Warming Potential (GWP) - kg CO2 eq_Belt filter press; wastewater treatment unit; at updated plant - US_Without Amendment_Windrow</v>
      </c>
    </row>
    <row r="6598" spans="1:13" s="120" customFormat="1" x14ac:dyDescent="0.25">
      <c r="A6598" s="119"/>
      <c r="B6598" s="138" t="str">
        <f t="shared" si="485"/>
        <v>Windrow</v>
      </c>
      <c r="C6598" s="138" t="str">
        <f t="shared" si="489"/>
        <v>Without Amendment</v>
      </c>
      <c r="D6598" s="138" t="str">
        <f t="shared" si="487"/>
        <v>High_Base</v>
      </c>
      <c r="E6598" s="138" t="str">
        <f t="shared" si="490"/>
        <v>Low</v>
      </c>
      <c r="F6598" s="138" t="str">
        <f t="shared" si="486"/>
        <v>Upgraded</v>
      </c>
      <c r="G6598" s="153"/>
      <c r="H6598" s="210">
        <v>0.15620000000000001</v>
      </c>
      <c r="I6598" s="160" t="s">
        <v>57</v>
      </c>
      <c r="J6598" s="160">
        <v>1.455E-2</v>
      </c>
      <c r="K6598" s="160" t="s">
        <v>23</v>
      </c>
      <c r="L6598" s="154" t="str">
        <f>IF(OpenLCAbasic!K6598="CTUh", "Fill in Manually",IF(OR(K6598="Unit", K6598=""), "", INDEX(LookUps!$E$5:$E$12, MATCH(OpenLCAbasic!K6598,LookUps!$D$5:$D$12,0))))</f>
        <v>Global Warming Potential (GWP) - kg CO2 eq</v>
      </c>
      <c r="M6598" s="154" t="str">
        <f t="shared" si="488"/>
        <v>Low_High_Base_Upgraded_Global Warming Potential (GWP) - kg CO2 eq_Gravity Belt Thickener; wastewater treatment unit; at updated plant - US_Without Amendment_Windrow</v>
      </c>
    </row>
    <row r="6599" spans="1:13" s="120" customFormat="1" x14ac:dyDescent="0.25">
      <c r="A6599" s="119"/>
      <c r="B6599" s="138" t="str">
        <f t="shared" si="485"/>
        <v>Windrow</v>
      </c>
      <c r="C6599" s="138" t="str">
        <f t="shared" si="489"/>
        <v>Without Amendment</v>
      </c>
      <c r="D6599" s="138" t="str">
        <f t="shared" si="487"/>
        <v>High_Base</v>
      </c>
      <c r="E6599" s="138" t="str">
        <f t="shared" si="490"/>
        <v>Low</v>
      </c>
      <c r="F6599" s="138" t="str">
        <f t="shared" si="486"/>
        <v>Upgraded</v>
      </c>
      <c r="G6599" s="153"/>
      <c r="H6599" s="210">
        <v>0.14499999999999999</v>
      </c>
      <c r="I6599" s="160" t="s">
        <v>128</v>
      </c>
      <c r="J6599" s="160">
        <v>1.3509999999999999E-2</v>
      </c>
      <c r="K6599" s="160" t="s">
        <v>23</v>
      </c>
      <c r="L6599" s="154" t="str">
        <f>IF(OpenLCAbasic!K6599="CTUh", "Fill in Manually",IF(OR(K6599="Unit", K6599=""), "", INDEX(LookUps!$E$5:$E$12, MATCH(OpenLCAbasic!K6599,LookUps!$D$5:$D$12,0))))</f>
        <v>Global Warming Potential (GWP) - kg CO2 eq</v>
      </c>
      <c r="M6599" s="154" t="str">
        <f t="shared" si="488"/>
        <v>Low_High_Base_Upgraded_Global Warming Potential (GWP) - kg CO2 eq_Wastewater collection; operation and infrastructure; m3 wastewater_Without Amendment_Windrow</v>
      </c>
    </row>
    <row r="6600" spans="1:13" s="120" customFormat="1" x14ac:dyDescent="0.25">
      <c r="A6600" s="119"/>
      <c r="B6600" s="138" t="str">
        <f t="shared" si="485"/>
        <v>Windrow</v>
      </c>
      <c r="C6600" s="138" t="str">
        <f t="shared" si="489"/>
        <v>Without Amendment</v>
      </c>
      <c r="D6600" s="138" t="str">
        <f t="shared" si="487"/>
        <v>High_Base</v>
      </c>
      <c r="E6600" s="138" t="str">
        <f t="shared" si="490"/>
        <v>Low</v>
      </c>
      <c r="F6600" s="138" t="str">
        <f t="shared" si="486"/>
        <v>Upgraded</v>
      </c>
      <c r="G6600" s="153"/>
      <c r="H6600" s="210">
        <v>8.9099999999999999E-2</v>
      </c>
      <c r="I6600" s="160" t="s">
        <v>148</v>
      </c>
      <c r="J6600" s="160">
        <v>8.3000000000000001E-3</v>
      </c>
      <c r="K6600" s="160" t="s">
        <v>23</v>
      </c>
      <c r="L6600" s="154" t="str">
        <f>IF(OpenLCAbasic!K6600="CTUh", "Fill in Manually",IF(OR(K6600="Unit", K6600=""), "", INDEX(LookUps!$E$5:$E$12, MATCH(OpenLCAbasic!K6600,LookUps!$D$5:$D$12,0))))</f>
        <v>Global Warming Potential (GWP) - kg CO2 eq</v>
      </c>
      <c r="M6600" s="154" t="str">
        <f t="shared" si="488"/>
        <v>Low_High_Base_Upgraded_Global Warming Potential (GWP) - kg CO2 eq_Control Building; at upgraded wastewater treatment plant - US_Without Amendment_Windrow</v>
      </c>
    </row>
    <row r="6601" spans="1:13" s="120" customFormat="1" x14ac:dyDescent="0.25">
      <c r="A6601" s="119"/>
      <c r="B6601" s="138" t="str">
        <f t="shared" si="485"/>
        <v>Windrow</v>
      </c>
      <c r="C6601" s="138" t="str">
        <f t="shared" si="489"/>
        <v>Without Amendment</v>
      </c>
      <c r="D6601" s="138" t="str">
        <f t="shared" si="487"/>
        <v>High_Base</v>
      </c>
      <c r="E6601" s="138" t="str">
        <f t="shared" si="490"/>
        <v>Low</v>
      </c>
      <c r="F6601" s="138" t="str">
        <f t="shared" si="486"/>
        <v>Upgraded</v>
      </c>
      <c r="G6601" s="153"/>
      <c r="H6601" s="210">
        <v>5.4199999999999998E-2</v>
      </c>
      <c r="I6601" s="160" t="s">
        <v>59</v>
      </c>
      <c r="J6601" s="160">
        <v>5.0400000000000002E-3</v>
      </c>
      <c r="K6601" s="160" t="s">
        <v>23</v>
      </c>
      <c r="L6601" s="154" t="str">
        <f>IF(OpenLCAbasic!K6601="CTUh", "Fill in Manually",IF(OR(K6601="Unit", K6601=""), "", INDEX(LookUps!$E$5:$E$12, MATCH(OpenLCAbasic!K6601,LookUps!$D$5:$D$12,0))))</f>
        <v>Global Warming Potential (GWP) - kg CO2 eq</v>
      </c>
      <c r="M6601" s="154" t="str">
        <f t="shared" si="488"/>
        <v>Low_High_Base_Upgraded_Global Warming Potential (GWP) - kg CO2 eq_Blend Tank; wastewater treatment unit; at updated plant - US_Without Amendment_Windrow</v>
      </c>
    </row>
    <row r="6602" spans="1:13" s="120" customFormat="1" x14ac:dyDescent="0.25">
      <c r="A6602" s="119"/>
      <c r="B6602" s="138" t="str">
        <f t="shared" si="485"/>
        <v>Windrow</v>
      </c>
      <c r="C6602" s="138" t="str">
        <f t="shared" si="489"/>
        <v>Without Amendment</v>
      </c>
      <c r="D6602" s="138" t="str">
        <f t="shared" si="487"/>
        <v>High_Base</v>
      </c>
      <c r="E6602" s="138" t="str">
        <f t="shared" si="490"/>
        <v>Low</v>
      </c>
      <c r="F6602" s="138" t="str">
        <f t="shared" si="486"/>
        <v>Upgraded</v>
      </c>
      <c r="G6602" s="153"/>
      <c r="H6602" s="210">
        <v>2.5899999999999999E-2</v>
      </c>
      <c r="I6602" s="160" t="s">
        <v>168</v>
      </c>
      <c r="J6602" s="160">
        <v>2.4099999999999998E-3</v>
      </c>
      <c r="K6602" s="160" t="s">
        <v>23</v>
      </c>
      <c r="L6602" s="154" t="str">
        <f>IF(OpenLCAbasic!K6602="CTUh", "Fill in Manually",IF(OR(K6602="Unit", K6602=""), "", INDEX(LookUps!$E$5:$E$12, MATCH(OpenLCAbasic!K6602,LookUps!$D$5:$D$12,0))))</f>
        <v>Global Warming Potential (GWP) - kg CO2 eq</v>
      </c>
      <c r="M6602" s="154" t="str">
        <f t="shared" si="488"/>
        <v>Low_High_Base_Upgraded_Global Warming Potential (GWP) - kg CO2 eq_ClearCove SCP; wastewater treatment unit; at updated plant - US_Without Amendment_Windrow</v>
      </c>
    </row>
    <row r="6603" spans="1:13" s="120" customFormat="1" x14ac:dyDescent="0.25">
      <c r="A6603" s="119"/>
      <c r="B6603" s="138" t="str">
        <f t="shared" si="485"/>
        <v>Windrow</v>
      </c>
      <c r="C6603" s="138" t="str">
        <f t="shared" si="489"/>
        <v>Without Amendment</v>
      </c>
      <c r="D6603" s="138" t="str">
        <f t="shared" si="487"/>
        <v>High_Base</v>
      </c>
      <c r="E6603" s="138" t="str">
        <f t="shared" si="490"/>
        <v>Low</v>
      </c>
      <c r="F6603" s="138" t="str">
        <f t="shared" si="486"/>
        <v>Upgraded</v>
      </c>
      <c r="G6603" s="153"/>
      <c r="H6603" s="210">
        <v>-2.7564000000000002</v>
      </c>
      <c r="I6603" s="160" t="s">
        <v>62</v>
      </c>
      <c r="J6603" s="160">
        <v>-0.25672</v>
      </c>
      <c r="K6603" s="160" t="s">
        <v>23</v>
      </c>
      <c r="L6603" s="154" t="str">
        <f>IF(OpenLCAbasic!K6603="CTUh", "Fill in Manually",IF(OR(K6603="Unit", K6603=""), "", INDEX(LookUps!$E$5:$E$12, MATCH(OpenLCAbasic!K6603,LookUps!$D$5:$D$12,0))))</f>
        <v>Global Warming Potential (GWP) - kg CO2 eq</v>
      </c>
      <c r="M6603" s="154" t="str">
        <f t="shared" si="488"/>
        <v>Low_High_Base_Upgraded_Global Warming Potential (GWP) - kg CO2 eq_Land application of compost; wastewater treatment unit; at updated plant - US_Without Amendment_Windrow</v>
      </c>
    </row>
    <row r="6604" spans="1:13" s="120" customFormat="1" x14ac:dyDescent="0.25">
      <c r="A6604" s="119"/>
      <c r="B6604" s="138" t="str">
        <f t="shared" si="485"/>
        <v>Windrow</v>
      </c>
      <c r="C6604" s="138" t="str">
        <f t="shared" si="489"/>
        <v>Without Amendment</v>
      </c>
      <c r="D6604" s="138" t="str">
        <f t="shared" si="487"/>
        <v>High_Base</v>
      </c>
      <c r="E6604" s="138" t="str">
        <f t="shared" si="490"/>
        <v>Low</v>
      </c>
      <c r="F6604" s="138" t="str">
        <f t="shared" si="486"/>
        <v>Upgraded</v>
      </c>
      <c r="G6604" s="153"/>
      <c r="H6604" s="210">
        <v>-6.1306000000000003</v>
      </c>
      <c r="I6604" s="160" t="s">
        <v>149</v>
      </c>
      <c r="J6604" s="160">
        <v>-0.57099</v>
      </c>
      <c r="K6604" s="160" t="s">
        <v>23</v>
      </c>
      <c r="L6604" s="154" t="str">
        <f>IF(OpenLCAbasic!K6604="CTUh", "Fill in Manually",IF(OR(K6604="Unit", K6604=""), "", INDEX(LookUps!$E$5:$E$12, MATCH(OpenLCAbasic!K6604,LookUps!$D$5:$D$12,0))))</f>
        <v>Global Warming Potential (GWP) - kg CO2 eq</v>
      </c>
      <c r="M6604" s="154" t="str">
        <f t="shared" si="488"/>
        <v>Low_High_Base_Upgraded_Global Warming Potential (GWP) - kg CO2 eq_Anaerobic Digestion; wastewater treatment unit; at updated plant - US_Without Amendment_Windrow</v>
      </c>
    </row>
    <row r="6605" spans="1:13" s="120" customFormat="1" x14ac:dyDescent="0.25">
      <c r="A6605" s="119"/>
      <c r="B6605" s="138" t="str">
        <f t="shared" si="485"/>
        <v/>
      </c>
      <c r="C6605" s="138" t="str">
        <f t="shared" si="489"/>
        <v/>
      </c>
      <c r="D6605" s="138" t="str">
        <f t="shared" si="487"/>
        <v/>
      </c>
      <c r="E6605" s="138" t="str">
        <f t="shared" si="490"/>
        <v/>
      </c>
      <c r="F6605" s="138" t="str">
        <f t="shared" si="486"/>
        <v/>
      </c>
      <c r="G6605" s="153" t="s">
        <v>51</v>
      </c>
      <c r="H6605" s="160"/>
      <c r="I6605" s="160" t="s">
        <v>47</v>
      </c>
      <c r="J6605" s="160" t="s">
        <v>52</v>
      </c>
      <c r="K6605" s="160" t="s">
        <v>27</v>
      </c>
      <c r="L6605" s="154" t="str">
        <f>IF(OpenLCAbasic!K6605="CTUh", "Fill in Manually",IF(OR(K6605="Unit", K6605=""), "", INDEX(LookUps!$E$5:$E$12, MATCH(OpenLCAbasic!K6605,LookUps!$D$5:$D$12,0))))</f>
        <v/>
      </c>
      <c r="M6605" s="154" t="str">
        <f t="shared" si="488"/>
        <v>____Process__</v>
      </c>
    </row>
    <row r="6606" spans="1:13" s="120" customFormat="1" x14ac:dyDescent="0.25">
      <c r="A6606" s="119"/>
      <c r="B6606" s="138" t="str">
        <f t="shared" si="485"/>
        <v>Windrow</v>
      </c>
      <c r="C6606" s="138" t="str">
        <f t="shared" si="489"/>
        <v>Without Amendment</v>
      </c>
      <c r="D6606" s="138" t="str">
        <f t="shared" si="487"/>
        <v>High_Base</v>
      </c>
      <c r="E6606" s="138" t="str">
        <f t="shared" si="490"/>
        <v>Low</v>
      </c>
      <c r="F6606" s="138" t="str">
        <f t="shared" si="486"/>
        <v>Upgraded</v>
      </c>
      <c r="G6606" s="153"/>
      <c r="H6606" s="210">
        <v>3.7945000000000002</v>
      </c>
      <c r="I6606" s="160" t="s">
        <v>55</v>
      </c>
      <c r="J6606" s="160">
        <v>2.33E-3</v>
      </c>
      <c r="K6606" s="160" t="s">
        <v>145</v>
      </c>
      <c r="L6606" s="154" t="str">
        <f>IF(OpenLCAbasic!K6606="CTUh", "Fill in Manually",IF(OR(K6606="Unit", K6606=""), "", INDEX(LookUps!$E$5:$E$12, MATCH(OpenLCAbasic!K6606,LookUps!$D$5:$D$12,0))))</f>
        <v>Particulate Matter Formation Potential (PMFP) - kg PM2.5 eq</v>
      </c>
      <c r="M6606" s="154" t="str">
        <f t="shared" si="488"/>
        <v>Low_High_Base_Upgraded_Particulate Matter Formation Potential (PMFP) - kg PM2.5 eq_Aeration Tanks; wastewater treatment unit; at updated plant - US_Without Amendment_Windrow</v>
      </c>
    </row>
    <row r="6607" spans="1:13" s="120" customFormat="1" x14ac:dyDescent="0.25">
      <c r="A6607" s="119"/>
      <c r="B6607" s="138" t="str">
        <f t="shared" si="485"/>
        <v>Windrow</v>
      </c>
      <c r="C6607" s="138" t="str">
        <f t="shared" si="489"/>
        <v>Without Amendment</v>
      </c>
      <c r="D6607" s="138" t="str">
        <f t="shared" si="487"/>
        <v>High_Base</v>
      </c>
      <c r="E6607" s="138" t="str">
        <f t="shared" si="490"/>
        <v>Low</v>
      </c>
      <c r="F6607" s="138" t="str">
        <f t="shared" si="486"/>
        <v>Upgraded</v>
      </c>
      <c r="G6607" s="153"/>
      <c r="H6607" s="210">
        <v>1.1042000000000001</v>
      </c>
      <c r="I6607" s="160" t="s">
        <v>54</v>
      </c>
      <c r="J6607" s="160">
        <v>6.8000000000000005E-4</v>
      </c>
      <c r="K6607" s="160" t="s">
        <v>145</v>
      </c>
      <c r="L6607" s="154" t="str">
        <f>IF(OpenLCAbasic!K6607="CTUh", "Fill in Manually",IF(OR(K6607="Unit", K6607=""), "", INDEX(LookUps!$E$5:$E$12, MATCH(OpenLCAbasic!K6607,LookUps!$D$5:$D$12,0))))</f>
        <v>Particulate Matter Formation Potential (PMFP) - kg PM2.5 eq</v>
      </c>
      <c r="M6607" s="154" t="str">
        <f t="shared" si="488"/>
        <v>Low_High_Base_Upgraded_Particulate Matter Formation Potential (PMFP) - kg PM2.5 eq_Clear Cove Primary Clarification; wastewater treatment unit; at updated plant - US_Without Amendment_Windrow</v>
      </c>
    </row>
    <row r="6608" spans="1:13" s="120" customFormat="1" x14ac:dyDescent="0.25">
      <c r="A6608" s="119"/>
      <c r="B6608" s="138" t="str">
        <f t="shared" si="485"/>
        <v>Windrow</v>
      </c>
      <c r="C6608" s="138" t="str">
        <f t="shared" si="489"/>
        <v>Without Amendment</v>
      </c>
      <c r="D6608" s="138" t="str">
        <f t="shared" si="487"/>
        <v>High_Base</v>
      </c>
      <c r="E6608" s="138" t="str">
        <f t="shared" si="490"/>
        <v>Low</v>
      </c>
      <c r="F6608" s="138" t="str">
        <f t="shared" si="486"/>
        <v>Upgraded</v>
      </c>
      <c r="G6608" s="153"/>
      <c r="H6608" s="210">
        <v>0.96109999999999995</v>
      </c>
      <c r="I6608" s="160" t="s">
        <v>58</v>
      </c>
      <c r="J6608" s="160">
        <v>5.9000000000000003E-4</v>
      </c>
      <c r="K6608" s="160" t="s">
        <v>145</v>
      </c>
      <c r="L6608" s="154" t="str">
        <f>IF(OpenLCAbasic!K6608="CTUh", "Fill in Manually",IF(OR(K6608="Unit", K6608=""), "", INDEX(LookUps!$E$5:$E$12, MATCH(OpenLCAbasic!K6608,LookUps!$D$5:$D$12,0))))</f>
        <v>Particulate Matter Formation Potential (PMFP) - kg PM2.5 eq</v>
      </c>
      <c r="M6608" s="154" t="str">
        <f t="shared" si="488"/>
        <v>Low_High_Base_Upgraded_Particulate Matter Formation Potential (PMFP) - kg PM2.5 eq_Pre-Anoxic &amp; Swing tank; wastewater treatment unit; at updated plant - US_Without Amendment_Windrow</v>
      </c>
    </row>
    <row r="6609" spans="1:13" s="120" customFormat="1" x14ac:dyDescent="0.25">
      <c r="A6609" s="119"/>
      <c r="B6609" s="138" t="str">
        <f t="shared" si="485"/>
        <v>Windrow</v>
      </c>
      <c r="C6609" s="138" t="str">
        <f t="shared" si="489"/>
        <v>Without Amendment</v>
      </c>
      <c r="D6609" s="138" t="str">
        <f t="shared" si="487"/>
        <v>High_Base</v>
      </c>
      <c r="E6609" s="138" t="str">
        <f t="shared" si="490"/>
        <v>Low</v>
      </c>
      <c r="F6609" s="138" t="str">
        <f t="shared" si="486"/>
        <v>Upgraded</v>
      </c>
      <c r="G6609" s="153"/>
      <c r="H6609" s="210">
        <v>0.75870000000000004</v>
      </c>
      <c r="I6609" s="160" t="s">
        <v>53</v>
      </c>
      <c r="J6609" s="160">
        <v>4.6999999999999999E-4</v>
      </c>
      <c r="K6609" s="160" t="s">
        <v>145</v>
      </c>
      <c r="L6609" s="154" t="str">
        <f>IF(OpenLCAbasic!K6609="CTUh", "Fill in Manually",IF(OR(K6609="Unit", K6609=""), "", INDEX(LookUps!$E$5:$E$12, MATCH(OpenLCAbasic!K6609,LookUps!$D$5:$D$12,0))))</f>
        <v>Particulate Matter Formation Potential (PMFP) - kg PM2.5 eq</v>
      </c>
      <c r="M6609" s="154" t="str">
        <f t="shared" si="488"/>
        <v>Low_High_Base_Upgraded_Particulate Matter Formation Potential (PMFP) - kg PM2.5 eq_Wet Well and Sump Station; wastewater treatment unit; at updated plant - US_Without Amendment_Windrow</v>
      </c>
    </row>
    <row r="6610" spans="1:13" s="120" customFormat="1" x14ac:dyDescent="0.25">
      <c r="A6610" s="119"/>
      <c r="B6610" s="138" t="str">
        <f t="shared" si="485"/>
        <v>Windrow</v>
      </c>
      <c r="C6610" s="138" t="str">
        <f t="shared" si="489"/>
        <v>Without Amendment</v>
      </c>
      <c r="D6610" s="138" t="str">
        <f t="shared" si="487"/>
        <v>High_Base</v>
      </c>
      <c r="E6610" s="138" t="str">
        <f t="shared" si="490"/>
        <v>Low</v>
      </c>
      <c r="F6610" s="138" t="str">
        <f t="shared" si="486"/>
        <v>Upgraded</v>
      </c>
      <c r="G6610" s="153"/>
      <c r="H6610" s="210">
        <v>0.5393</v>
      </c>
      <c r="I6610" s="160" t="s">
        <v>167</v>
      </c>
      <c r="J6610" s="160">
        <v>3.3E-4</v>
      </c>
      <c r="K6610" s="160" t="s">
        <v>145</v>
      </c>
      <c r="L6610" s="154" t="str">
        <f>IF(OpenLCAbasic!K6610="CTUh", "Fill in Manually",IF(OR(K6610="Unit", K6610=""), "", INDEX(LookUps!$E$5:$E$12, MATCH(OpenLCAbasic!K6610,LookUps!$D$5:$D$12,0))))</f>
        <v>Particulate Matter Formation Potential (PMFP) - kg PM2.5 eq</v>
      </c>
      <c r="M6610" s="154" t="str">
        <f t="shared" si="488"/>
        <v>Low_High_Base_Upgraded_Particulate Matter Formation Potential (PMFP) - kg PM2.5 eq_Waste Receiving and Holding; wastewater treatment unit; at updated plant - US_Without Amendment_Windrow</v>
      </c>
    </row>
    <row r="6611" spans="1:13" s="120" customFormat="1" x14ac:dyDescent="0.25">
      <c r="A6611" s="119"/>
      <c r="B6611" s="138" t="str">
        <f t="shared" si="485"/>
        <v>Windrow</v>
      </c>
      <c r="C6611" s="138" t="str">
        <f t="shared" si="489"/>
        <v>Without Amendment</v>
      </c>
      <c r="D6611" s="138" t="str">
        <f t="shared" si="487"/>
        <v>High_Base</v>
      </c>
      <c r="E6611" s="138" t="str">
        <f t="shared" si="490"/>
        <v>Low</v>
      </c>
      <c r="F6611" s="138" t="str">
        <f t="shared" si="486"/>
        <v>Upgraded</v>
      </c>
      <c r="G6611" s="153"/>
      <c r="H6611" s="210">
        <v>0.43359999999999999</v>
      </c>
      <c r="I6611" s="160" t="s">
        <v>147</v>
      </c>
      <c r="J6611" s="160">
        <v>2.7E-4</v>
      </c>
      <c r="K6611" s="160" t="s">
        <v>145</v>
      </c>
      <c r="L6611" s="154" t="str">
        <f>IF(OpenLCAbasic!K6611="CTUh", "Fill in Manually",IF(OR(K6611="Unit", K6611=""), "", INDEX(LookUps!$E$5:$E$12, MATCH(OpenLCAbasic!K6611,LookUps!$D$5:$D$12,0))))</f>
        <v>Particulate Matter Formation Potential (PMFP) - kg PM2.5 eq</v>
      </c>
      <c r="M6611" s="154" t="str">
        <f t="shared" si="488"/>
        <v>Low_High_Base_Upgraded_Particulate Matter Formation Potential (PMFP) - kg PM2.5 eq_Influent Pump Station; wastewater treatment unit; at updated plant - US_Without Amendment_Windrow</v>
      </c>
    </row>
    <row r="6612" spans="1:13" s="120" customFormat="1" x14ac:dyDescent="0.25">
      <c r="A6612" s="119"/>
      <c r="B6612" s="138" t="str">
        <f t="shared" si="485"/>
        <v>Windrow</v>
      </c>
      <c r="C6612" s="138" t="str">
        <f t="shared" si="489"/>
        <v>Without Amendment</v>
      </c>
      <c r="D6612" s="138" t="str">
        <f t="shared" si="487"/>
        <v>High_Base</v>
      </c>
      <c r="E6612" s="138" t="str">
        <f t="shared" si="490"/>
        <v>Low</v>
      </c>
      <c r="F6612" s="138" t="str">
        <f t="shared" si="486"/>
        <v>Upgraded</v>
      </c>
      <c r="G6612" s="153"/>
      <c r="H6612" s="210">
        <v>0.32050000000000001</v>
      </c>
      <c r="I6612" s="160" t="s">
        <v>60</v>
      </c>
      <c r="J6612" s="160">
        <v>2.0000000000000001E-4</v>
      </c>
      <c r="K6612" s="160" t="s">
        <v>145</v>
      </c>
      <c r="L6612" s="154" t="str">
        <f>IF(OpenLCAbasic!K6612="CTUh", "Fill in Manually",IF(OR(K6612="Unit", K6612=""), "", INDEX(LookUps!$E$5:$E$12, MATCH(OpenLCAbasic!K6612,LookUps!$D$5:$D$12,0))))</f>
        <v>Particulate Matter Formation Potential (PMFP) - kg PM2.5 eq</v>
      </c>
      <c r="M6612" s="154" t="str">
        <f t="shared" si="488"/>
        <v>Low_High_Base_Upgraded_Particulate Matter Formation Potential (PMFP) - kg PM2.5 eq_Belt filter press; wastewater treatment unit; at updated plant - US_Without Amendment_Windrow</v>
      </c>
    </row>
    <row r="6613" spans="1:13" s="120" customFormat="1" x14ac:dyDescent="0.25">
      <c r="A6613" s="119"/>
      <c r="B6613" s="138" t="str">
        <f t="shared" si="485"/>
        <v>Windrow</v>
      </c>
      <c r="C6613" s="138" t="str">
        <f t="shared" si="489"/>
        <v>Without Amendment</v>
      </c>
      <c r="D6613" s="138" t="str">
        <f t="shared" si="487"/>
        <v>High_Base</v>
      </c>
      <c r="E6613" s="138" t="str">
        <f t="shared" si="490"/>
        <v>Low</v>
      </c>
      <c r="F6613" s="138" t="str">
        <f t="shared" si="486"/>
        <v>Upgraded</v>
      </c>
      <c r="G6613" s="153"/>
      <c r="H6613" s="210">
        <v>0.27060000000000001</v>
      </c>
      <c r="I6613" s="160" t="s">
        <v>128</v>
      </c>
      <c r="J6613" s="160">
        <v>1.7000000000000001E-4</v>
      </c>
      <c r="K6613" s="160" t="s">
        <v>145</v>
      </c>
      <c r="L6613" s="154" t="str">
        <f>IF(OpenLCAbasic!K6613="CTUh", "Fill in Manually",IF(OR(K6613="Unit", K6613=""), "", INDEX(LookUps!$E$5:$E$12, MATCH(OpenLCAbasic!K6613,LookUps!$D$5:$D$12,0))))</f>
        <v>Particulate Matter Formation Potential (PMFP) - kg PM2.5 eq</v>
      </c>
      <c r="M6613" s="154" t="str">
        <f t="shared" si="488"/>
        <v>Low_High_Base_Upgraded_Particulate Matter Formation Potential (PMFP) - kg PM2.5 eq_Wastewater collection; operation and infrastructure; m3 wastewater_Without Amendment_Windrow</v>
      </c>
    </row>
    <row r="6614" spans="1:13" s="120" customFormat="1" x14ac:dyDescent="0.25">
      <c r="A6614" s="119"/>
      <c r="B6614" s="138" t="str">
        <f t="shared" si="485"/>
        <v>Windrow</v>
      </c>
      <c r="C6614" s="138" t="str">
        <f t="shared" si="489"/>
        <v>Without Amendment</v>
      </c>
      <c r="D6614" s="138" t="str">
        <f t="shared" si="487"/>
        <v>High_Base</v>
      </c>
      <c r="E6614" s="138" t="str">
        <f t="shared" si="490"/>
        <v>Low</v>
      </c>
      <c r="F6614" s="138" t="str">
        <f t="shared" si="486"/>
        <v>Upgraded</v>
      </c>
      <c r="G6614" s="153"/>
      <c r="H6614" s="210">
        <v>0.1547</v>
      </c>
      <c r="I6614" s="160" t="s">
        <v>57</v>
      </c>
      <c r="J6614" s="211">
        <v>9.5153800000000004E-5</v>
      </c>
      <c r="K6614" s="160" t="s">
        <v>145</v>
      </c>
      <c r="L6614" s="154" t="str">
        <f>IF(OpenLCAbasic!K6614="CTUh", "Fill in Manually",IF(OR(K6614="Unit", K6614=""), "", INDEX(LookUps!$E$5:$E$12, MATCH(OpenLCAbasic!K6614,LookUps!$D$5:$D$12,0))))</f>
        <v>Particulate Matter Formation Potential (PMFP) - kg PM2.5 eq</v>
      </c>
      <c r="M6614" s="154" t="str">
        <f t="shared" si="488"/>
        <v>Low_High_Base_Upgraded_Particulate Matter Formation Potential (PMFP) - kg PM2.5 eq_Gravity Belt Thickener; wastewater treatment unit; at updated plant - US_Without Amendment_Windrow</v>
      </c>
    </row>
    <row r="6615" spans="1:13" s="120" customFormat="1" x14ac:dyDescent="0.25">
      <c r="A6615" s="119"/>
      <c r="B6615" s="138" t="str">
        <f t="shared" si="485"/>
        <v>Windrow</v>
      </c>
      <c r="C6615" s="138" t="str">
        <f t="shared" si="489"/>
        <v>Without Amendment</v>
      </c>
      <c r="D6615" s="138" t="str">
        <f t="shared" si="487"/>
        <v>High_Base</v>
      </c>
      <c r="E6615" s="138" t="str">
        <f t="shared" si="490"/>
        <v>Low</v>
      </c>
      <c r="F6615" s="138" t="str">
        <f t="shared" si="486"/>
        <v>Upgraded</v>
      </c>
      <c r="G6615" s="153"/>
      <c r="H6615" s="210">
        <v>0.1137</v>
      </c>
      <c r="I6615" s="160" t="s">
        <v>59</v>
      </c>
      <c r="J6615" s="211">
        <v>6.9942200000000003E-5</v>
      </c>
      <c r="K6615" s="160" t="s">
        <v>145</v>
      </c>
      <c r="L6615" s="154" t="str">
        <f>IF(OpenLCAbasic!K6615="CTUh", "Fill in Manually",IF(OR(K6615="Unit", K6615=""), "", INDEX(LookUps!$E$5:$E$12, MATCH(OpenLCAbasic!K6615,LookUps!$D$5:$D$12,0))))</f>
        <v>Particulate Matter Formation Potential (PMFP) - kg PM2.5 eq</v>
      </c>
      <c r="M6615" s="154" t="str">
        <f t="shared" si="488"/>
        <v>Low_High_Base_Upgraded_Particulate Matter Formation Potential (PMFP) - kg PM2.5 eq_Blend Tank; wastewater treatment unit; at updated plant - US_Without Amendment_Windrow</v>
      </c>
    </row>
    <row r="6616" spans="1:13" s="120" customFormat="1" x14ac:dyDescent="0.25">
      <c r="A6616" s="119"/>
      <c r="B6616" s="138" t="str">
        <f t="shared" si="485"/>
        <v>Windrow</v>
      </c>
      <c r="C6616" s="138" t="str">
        <f t="shared" si="489"/>
        <v>Without Amendment</v>
      </c>
      <c r="D6616" s="138" t="str">
        <f t="shared" si="487"/>
        <v>High_Base</v>
      </c>
      <c r="E6616" s="138" t="str">
        <f t="shared" si="490"/>
        <v>Low</v>
      </c>
      <c r="F6616" s="138" t="str">
        <f t="shared" si="486"/>
        <v>Upgraded</v>
      </c>
      <c r="G6616" s="153"/>
      <c r="H6616" s="210">
        <v>0.1076</v>
      </c>
      <c r="I6616" s="160" t="s">
        <v>62</v>
      </c>
      <c r="J6616" s="211">
        <v>6.6154800000000006E-5</v>
      </c>
      <c r="K6616" s="160" t="s">
        <v>145</v>
      </c>
      <c r="L6616" s="154" t="str">
        <f>IF(OpenLCAbasic!K6616="CTUh", "Fill in Manually",IF(OR(K6616="Unit", K6616=""), "", INDEX(LookUps!$E$5:$E$12, MATCH(OpenLCAbasic!K6616,LookUps!$D$5:$D$12,0))))</f>
        <v>Particulate Matter Formation Potential (PMFP) - kg PM2.5 eq</v>
      </c>
      <c r="M6616" s="154" t="str">
        <f t="shared" si="488"/>
        <v>Low_High_Base_Upgraded_Particulate Matter Formation Potential (PMFP) - kg PM2.5 eq_Land application of compost; wastewater treatment unit; at updated plant - US_Without Amendment_Windrow</v>
      </c>
    </row>
    <row r="6617" spans="1:13" s="120" customFormat="1" x14ac:dyDescent="0.25">
      <c r="A6617" s="119"/>
      <c r="B6617" s="138" t="str">
        <f t="shared" si="485"/>
        <v>Windrow</v>
      </c>
      <c r="C6617" s="138" t="str">
        <f t="shared" si="489"/>
        <v>Without Amendment</v>
      </c>
      <c r="D6617" s="138" t="str">
        <f t="shared" si="487"/>
        <v>High_Base</v>
      </c>
      <c r="E6617" s="138" t="str">
        <f t="shared" si="490"/>
        <v>Low</v>
      </c>
      <c r="F6617" s="138" t="str">
        <f t="shared" si="486"/>
        <v>Upgraded</v>
      </c>
      <c r="G6617" s="153"/>
      <c r="H6617" s="210">
        <v>8.1199999999999994E-2</v>
      </c>
      <c r="I6617" s="160" t="s">
        <v>48</v>
      </c>
      <c r="J6617" s="211">
        <v>4.99741E-5</v>
      </c>
      <c r="K6617" s="160" t="s">
        <v>145</v>
      </c>
      <c r="L6617" s="154" t="str">
        <f>IF(OpenLCAbasic!K6617="CTUh", "Fill in Manually",IF(OR(K6617="Unit", K6617=""), "", INDEX(LookUps!$E$5:$E$12, MATCH(OpenLCAbasic!K6617,LookUps!$D$5:$D$12,0))))</f>
        <v>Particulate Matter Formation Potential (PMFP) - kg PM2.5 eq</v>
      </c>
      <c r="M6617" s="154" t="str">
        <f t="shared" si="488"/>
        <v>Low_High_Base_Upgraded_Particulate Matter Formation Potential (PMFP) - kg PM2.5 eq_Effluent release; wastewater treatment unit; at surface water; m3 wastewater - US_Without Amendment_Windrow</v>
      </c>
    </row>
    <row r="6618" spans="1:13" s="120" customFormat="1" x14ac:dyDescent="0.25">
      <c r="A6618" s="119"/>
      <c r="B6618" s="138" t="str">
        <f t="shared" si="485"/>
        <v>Windrow</v>
      </c>
      <c r="C6618" s="138" t="str">
        <f t="shared" si="489"/>
        <v>Without Amendment</v>
      </c>
      <c r="D6618" s="138" t="str">
        <f t="shared" si="487"/>
        <v>High_Base</v>
      </c>
      <c r="E6618" s="138" t="str">
        <f t="shared" si="490"/>
        <v>Low</v>
      </c>
      <c r="F6618" s="138" t="str">
        <f t="shared" si="486"/>
        <v>Upgraded</v>
      </c>
      <c r="G6618" s="153"/>
      <c r="H6618" s="210">
        <v>7.85E-2</v>
      </c>
      <c r="I6618" s="160" t="s">
        <v>271</v>
      </c>
      <c r="J6618" s="211">
        <v>4.8308800000000001E-5</v>
      </c>
      <c r="K6618" s="160" t="s">
        <v>145</v>
      </c>
      <c r="L6618" s="154" t="str">
        <f>IF(OpenLCAbasic!K6618="CTUh", "Fill in Manually",IF(OR(K6618="Unit", K6618=""), "", INDEX(LookUps!$E$5:$E$12, MATCH(OpenLCAbasic!K6618,LookUps!$D$5:$D$12,0))))</f>
        <v>Particulate Matter Formation Potential (PMFP) - kg PM2.5 eq</v>
      </c>
      <c r="M6618" s="154" t="str">
        <f t="shared" si="488"/>
        <v>Low_High_Base_Upgraded_Particulate Matter Formation Potential (PMFP) - kg PM2.5 eq_Biosolids composting; windrow composting; wastewater treatment unit; at updated plant - US_Without Amendment_Windrow</v>
      </c>
    </row>
    <row r="6619" spans="1:13" s="120" customFormat="1" x14ac:dyDescent="0.25">
      <c r="A6619" s="119"/>
      <c r="B6619" s="138" t="str">
        <f t="shared" si="485"/>
        <v>Windrow</v>
      </c>
      <c r="C6619" s="138" t="str">
        <f t="shared" si="489"/>
        <v>Without Amendment</v>
      </c>
      <c r="D6619" s="138" t="str">
        <f t="shared" si="487"/>
        <v>High_Base</v>
      </c>
      <c r="E6619" s="138" t="str">
        <f t="shared" si="490"/>
        <v>Low</v>
      </c>
      <c r="F6619" s="138" t="str">
        <f t="shared" si="486"/>
        <v>Upgraded</v>
      </c>
      <c r="G6619" s="153"/>
      <c r="H6619" s="210">
        <v>5.62E-2</v>
      </c>
      <c r="I6619" s="160" t="s">
        <v>168</v>
      </c>
      <c r="J6619" s="211">
        <v>3.4562199999999999E-5</v>
      </c>
      <c r="K6619" s="160" t="s">
        <v>145</v>
      </c>
      <c r="L6619" s="154" t="str">
        <f>IF(OpenLCAbasic!K6619="CTUh", "Fill in Manually",IF(OR(K6619="Unit", K6619=""), "", INDEX(LookUps!$E$5:$E$12, MATCH(OpenLCAbasic!K6619,LookUps!$D$5:$D$12,0))))</f>
        <v>Particulate Matter Formation Potential (PMFP) - kg PM2.5 eq</v>
      </c>
      <c r="M6619" s="154" t="str">
        <f t="shared" si="488"/>
        <v>Low_High_Base_Upgraded_Particulate Matter Formation Potential (PMFP) - kg PM2.5 eq_ClearCove SCP; wastewater treatment unit; at updated plant - US_Without Amendment_Windrow</v>
      </c>
    </row>
    <row r="6620" spans="1:13" s="120" customFormat="1" x14ac:dyDescent="0.25">
      <c r="A6620" s="119"/>
      <c r="B6620" s="138" t="str">
        <f t="shared" si="485"/>
        <v>Windrow</v>
      </c>
      <c r="C6620" s="138" t="str">
        <f t="shared" si="489"/>
        <v>Without Amendment</v>
      </c>
      <c r="D6620" s="138" t="str">
        <f t="shared" si="487"/>
        <v>High_Base</v>
      </c>
      <c r="E6620" s="138" t="str">
        <f t="shared" si="490"/>
        <v>Low</v>
      </c>
      <c r="F6620" s="138" t="str">
        <f t="shared" si="486"/>
        <v>Upgraded</v>
      </c>
      <c r="G6620" s="153"/>
      <c r="H6620" s="210">
        <v>1.43E-2</v>
      </c>
      <c r="I6620" s="160" t="s">
        <v>148</v>
      </c>
      <c r="J6620" s="211">
        <v>8.8212999999999997E-6</v>
      </c>
      <c r="K6620" s="160" t="s">
        <v>145</v>
      </c>
      <c r="L6620" s="154" t="str">
        <f>IF(OpenLCAbasic!K6620="CTUh", "Fill in Manually",IF(OR(K6620="Unit", K6620=""), "", INDEX(LookUps!$E$5:$E$12, MATCH(OpenLCAbasic!K6620,LookUps!$D$5:$D$12,0))))</f>
        <v>Particulate Matter Formation Potential (PMFP) - kg PM2.5 eq</v>
      </c>
      <c r="M6620" s="154" t="str">
        <f t="shared" si="488"/>
        <v>Low_High_Base_Upgraded_Particulate Matter Formation Potential (PMFP) - kg PM2.5 eq_Control Building; at upgraded wastewater treatment plant - US_Without Amendment_Windrow</v>
      </c>
    </row>
    <row r="6621" spans="1:13" s="120" customFormat="1" x14ac:dyDescent="0.25">
      <c r="A6621" s="119"/>
      <c r="B6621" s="138" t="str">
        <f t="shared" si="485"/>
        <v>Windrow</v>
      </c>
      <c r="C6621" s="138" t="str">
        <f t="shared" si="489"/>
        <v>Without Amendment</v>
      </c>
      <c r="D6621" s="138" t="str">
        <f t="shared" si="487"/>
        <v>High_Base</v>
      </c>
      <c r="E6621" s="138" t="str">
        <f t="shared" si="490"/>
        <v>Low</v>
      </c>
      <c r="F6621" s="138" t="str">
        <f t="shared" si="486"/>
        <v>Upgraded</v>
      </c>
      <c r="G6621" s="153"/>
      <c r="H6621" s="210">
        <v>-9.7888000000000002</v>
      </c>
      <c r="I6621" s="160" t="s">
        <v>149</v>
      </c>
      <c r="J6621" s="160">
        <v>-6.0200000000000002E-3</v>
      </c>
      <c r="K6621" s="160" t="s">
        <v>145</v>
      </c>
      <c r="L6621" s="154" t="str">
        <f>IF(OpenLCAbasic!K6621="CTUh", "Fill in Manually",IF(OR(K6621="Unit", K6621=""), "", INDEX(LookUps!$E$5:$E$12, MATCH(OpenLCAbasic!K6621,LookUps!$D$5:$D$12,0))))</f>
        <v>Particulate Matter Formation Potential (PMFP) - kg PM2.5 eq</v>
      </c>
      <c r="M6621" s="154" t="str">
        <f t="shared" si="488"/>
        <v>Low_High_Base_Upgraded_Particulate Matter Formation Potential (PMFP) - kg PM2.5 eq_Anaerobic Digestion; wastewater treatment unit; at updated plant - US_Without Amendment_Windrow</v>
      </c>
    </row>
    <row r="6622" spans="1:13" s="120" customFormat="1" x14ac:dyDescent="0.25">
      <c r="A6622" s="119"/>
      <c r="B6622" s="138" t="str">
        <f t="shared" si="485"/>
        <v/>
      </c>
      <c r="C6622" s="138" t="str">
        <f t="shared" si="489"/>
        <v/>
      </c>
      <c r="D6622" s="138" t="str">
        <f t="shared" si="487"/>
        <v/>
      </c>
      <c r="E6622" s="138" t="str">
        <f t="shared" si="490"/>
        <v/>
      </c>
      <c r="F6622" s="138" t="str">
        <f t="shared" si="486"/>
        <v/>
      </c>
      <c r="G6622" s="153" t="s">
        <v>51</v>
      </c>
      <c r="H6622" s="160"/>
      <c r="I6622" s="160" t="s">
        <v>47</v>
      </c>
      <c r="J6622" s="160" t="s">
        <v>52</v>
      </c>
      <c r="K6622" s="160" t="s">
        <v>27</v>
      </c>
      <c r="L6622" s="154" t="str">
        <f>IF(OpenLCAbasic!K6622="CTUh", "Fill in Manually",IF(OR(K6622="Unit", K6622=""), "", INDEX(LookUps!$E$5:$E$12, MATCH(OpenLCAbasic!K6622,LookUps!$D$5:$D$12,0))))</f>
        <v/>
      </c>
      <c r="M6622" s="154" t="str">
        <f t="shared" si="488"/>
        <v>____Process__</v>
      </c>
    </row>
    <row r="6623" spans="1:13" s="120" customFormat="1" x14ac:dyDescent="0.25">
      <c r="A6623" s="119"/>
      <c r="B6623" s="138" t="str">
        <f t="shared" si="485"/>
        <v>Windrow</v>
      </c>
      <c r="C6623" s="138" t="str">
        <f t="shared" si="489"/>
        <v>Without Amendment</v>
      </c>
      <c r="D6623" s="138" t="str">
        <f t="shared" si="487"/>
        <v>High_Base</v>
      </c>
      <c r="E6623" s="138" t="str">
        <f t="shared" si="490"/>
        <v>Low</v>
      </c>
      <c r="F6623" s="138" t="str">
        <f t="shared" si="486"/>
        <v>Upgraded</v>
      </c>
      <c r="G6623" s="153"/>
      <c r="H6623" s="210">
        <v>3.5768</v>
      </c>
      <c r="I6623" s="160" t="s">
        <v>55</v>
      </c>
      <c r="J6623" s="160">
        <v>0.16577</v>
      </c>
      <c r="K6623" s="160" t="s">
        <v>25</v>
      </c>
      <c r="L6623" s="154" t="str">
        <f>IF(OpenLCAbasic!K6623="CTUh", "Fill in Manually",IF(OR(K6623="Unit", K6623=""), "", INDEX(LookUps!$E$5:$E$12, MATCH(OpenLCAbasic!K6623,LookUps!$D$5:$D$12,0))))</f>
        <v>Smog Formation Potential (SFP) - kg O3 eq</v>
      </c>
      <c r="M6623" s="154" t="str">
        <f t="shared" si="488"/>
        <v>Low_High_Base_Upgraded_Smog Formation Potential (SFP) - kg O3 eq_Aeration Tanks; wastewater treatment unit; at updated plant - US_Without Amendment_Windrow</v>
      </c>
    </row>
    <row r="6624" spans="1:13" s="120" customFormat="1" x14ac:dyDescent="0.25">
      <c r="A6624" s="119"/>
      <c r="B6624" s="138" t="str">
        <f t="shared" si="485"/>
        <v>Windrow</v>
      </c>
      <c r="C6624" s="138" t="str">
        <f t="shared" si="489"/>
        <v>Without Amendment</v>
      </c>
      <c r="D6624" s="138" t="str">
        <f t="shared" si="487"/>
        <v>High_Base</v>
      </c>
      <c r="E6624" s="138" t="str">
        <f t="shared" si="490"/>
        <v>Low</v>
      </c>
      <c r="F6624" s="138" t="str">
        <f t="shared" si="486"/>
        <v>Upgraded</v>
      </c>
      <c r="G6624" s="153"/>
      <c r="H6624" s="210">
        <v>1.0373000000000001</v>
      </c>
      <c r="I6624" s="160" t="s">
        <v>54</v>
      </c>
      <c r="J6624" s="160">
        <v>4.8070000000000002E-2</v>
      </c>
      <c r="K6624" s="160" t="s">
        <v>25</v>
      </c>
      <c r="L6624" s="154" t="str">
        <f>IF(OpenLCAbasic!K6624="CTUh", "Fill in Manually",IF(OR(K6624="Unit", K6624=""), "", INDEX(LookUps!$E$5:$E$12, MATCH(OpenLCAbasic!K6624,LookUps!$D$5:$D$12,0))))</f>
        <v>Smog Formation Potential (SFP) - kg O3 eq</v>
      </c>
      <c r="M6624" s="154" t="str">
        <f t="shared" si="488"/>
        <v>Low_High_Base_Upgraded_Smog Formation Potential (SFP) - kg O3 eq_Clear Cove Primary Clarification; wastewater treatment unit; at updated plant - US_Without Amendment_Windrow</v>
      </c>
    </row>
    <row r="6625" spans="1:13" s="120" customFormat="1" x14ac:dyDescent="0.25">
      <c r="A6625" s="119"/>
      <c r="B6625" s="138" t="str">
        <f t="shared" si="485"/>
        <v>Windrow</v>
      </c>
      <c r="C6625" s="138" t="str">
        <f t="shared" si="489"/>
        <v>Without Amendment</v>
      </c>
      <c r="D6625" s="138" t="str">
        <f t="shared" si="487"/>
        <v>High_Base</v>
      </c>
      <c r="E6625" s="138" t="str">
        <f t="shared" si="490"/>
        <v>Low</v>
      </c>
      <c r="F6625" s="138" t="str">
        <f t="shared" si="486"/>
        <v>Upgraded</v>
      </c>
      <c r="G6625" s="153"/>
      <c r="H6625" s="210">
        <v>0.90820000000000001</v>
      </c>
      <c r="I6625" s="160" t="s">
        <v>58</v>
      </c>
      <c r="J6625" s="160">
        <v>4.2090000000000002E-2</v>
      </c>
      <c r="K6625" s="160" t="s">
        <v>25</v>
      </c>
      <c r="L6625" s="154" t="str">
        <f>IF(OpenLCAbasic!K6625="CTUh", "Fill in Manually",IF(OR(K6625="Unit", K6625=""), "", INDEX(LookUps!$E$5:$E$12, MATCH(OpenLCAbasic!K6625,LookUps!$D$5:$D$12,0))))</f>
        <v>Smog Formation Potential (SFP) - kg O3 eq</v>
      </c>
      <c r="M6625" s="154" t="str">
        <f t="shared" si="488"/>
        <v>Low_High_Base_Upgraded_Smog Formation Potential (SFP) - kg O3 eq_Pre-Anoxic &amp; Swing tank; wastewater treatment unit; at updated plant - US_Without Amendment_Windrow</v>
      </c>
    </row>
    <row r="6626" spans="1:13" s="120" customFormat="1" x14ac:dyDescent="0.25">
      <c r="A6626" s="119"/>
      <c r="B6626" s="138" t="str">
        <f t="shared" si="485"/>
        <v>Windrow</v>
      </c>
      <c r="C6626" s="138" t="str">
        <f t="shared" si="489"/>
        <v>Without Amendment</v>
      </c>
      <c r="D6626" s="138" t="str">
        <f t="shared" si="487"/>
        <v>High_Base</v>
      </c>
      <c r="E6626" s="138" t="str">
        <f t="shared" si="490"/>
        <v>Low</v>
      </c>
      <c r="F6626" s="138" t="str">
        <f t="shared" si="486"/>
        <v>Upgraded</v>
      </c>
      <c r="G6626" s="153"/>
      <c r="H6626" s="210">
        <v>0.72829999999999995</v>
      </c>
      <c r="I6626" s="160" t="s">
        <v>167</v>
      </c>
      <c r="J6626" s="160">
        <v>3.3759999999999998E-2</v>
      </c>
      <c r="K6626" s="160" t="s">
        <v>25</v>
      </c>
      <c r="L6626" s="154" t="str">
        <f>IF(OpenLCAbasic!K6626="CTUh", "Fill in Manually",IF(OR(K6626="Unit", K6626=""), "", INDEX(LookUps!$E$5:$E$12, MATCH(OpenLCAbasic!K6626,LookUps!$D$5:$D$12,0))))</f>
        <v>Smog Formation Potential (SFP) - kg O3 eq</v>
      </c>
      <c r="M6626" s="154" t="str">
        <f t="shared" si="488"/>
        <v>Low_High_Base_Upgraded_Smog Formation Potential (SFP) - kg O3 eq_Waste Receiving and Holding; wastewater treatment unit; at updated plant - US_Without Amendment_Windrow</v>
      </c>
    </row>
    <row r="6627" spans="1:13" s="120" customFormat="1" x14ac:dyDescent="0.25">
      <c r="A6627" s="119"/>
      <c r="B6627" s="138" t="str">
        <f t="shared" si="485"/>
        <v>Windrow</v>
      </c>
      <c r="C6627" s="138" t="str">
        <f t="shared" si="489"/>
        <v>Without Amendment</v>
      </c>
      <c r="D6627" s="138" t="str">
        <f t="shared" si="487"/>
        <v>High_Base</v>
      </c>
      <c r="E6627" s="138" t="str">
        <f t="shared" si="490"/>
        <v>Low</v>
      </c>
      <c r="F6627" s="138" t="str">
        <f t="shared" si="486"/>
        <v>Upgraded</v>
      </c>
      <c r="G6627" s="153"/>
      <c r="H6627" s="210">
        <v>0.7147</v>
      </c>
      <c r="I6627" s="160" t="s">
        <v>53</v>
      </c>
      <c r="J6627" s="160">
        <v>3.313E-2</v>
      </c>
      <c r="K6627" s="160" t="s">
        <v>25</v>
      </c>
      <c r="L6627" s="154" t="str">
        <f>IF(OpenLCAbasic!K6627="CTUh", "Fill in Manually",IF(OR(K6627="Unit", K6627=""), "", INDEX(LookUps!$E$5:$E$12, MATCH(OpenLCAbasic!K6627,LookUps!$D$5:$D$12,0))))</f>
        <v>Smog Formation Potential (SFP) - kg O3 eq</v>
      </c>
      <c r="M6627" s="154" t="str">
        <f t="shared" si="488"/>
        <v>Low_High_Base_Upgraded_Smog Formation Potential (SFP) - kg O3 eq_Wet Well and Sump Station; wastewater treatment unit; at updated plant - US_Without Amendment_Windrow</v>
      </c>
    </row>
    <row r="6628" spans="1:13" s="120" customFormat="1" x14ac:dyDescent="0.25">
      <c r="A6628" s="119"/>
      <c r="B6628" s="138" t="str">
        <f t="shared" si="485"/>
        <v>Windrow</v>
      </c>
      <c r="C6628" s="138" t="str">
        <f t="shared" si="489"/>
        <v>Without Amendment</v>
      </c>
      <c r="D6628" s="138" t="str">
        <f t="shared" si="487"/>
        <v>High_Base</v>
      </c>
      <c r="E6628" s="138" t="str">
        <f t="shared" si="490"/>
        <v>Low</v>
      </c>
      <c r="F6628" s="138" t="str">
        <f t="shared" si="486"/>
        <v>Upgraded</v>
      </c>
      <c r="G6628" s="153"/>
      <c r="H6628" s="210">
        <v>0.41860000000000003</v>
      </c>
      <c r="I6628" s="160" t="s">
        <v>147</v>
      </c>
      <c r="J6628" s="160">
        <v>1.9400000000000001E-2</v>
      </c>
      <c r="K6628" s="160" t="s">
        <v>25</v>
      </c>
      <c r="L6628" s="154" t="str">
        <f>IF(OpenLCAbasic!K6628="CTUh", "Fill in Manually",IF(OR(K6628="Unit", K6628=""), "", INDEX(LookUps!$E$5:$E$12, MATCH(OpenLCAbasic!K6628,LookUps!$D$5:$D$12,0))))</f>
        <v>Smog Formation Potential (SFP) - kg O3 eq</v>
      </c>
      <c r="M6628" s="154" t="str">
        <f t="shared" si="488"/>
        <v>Low_High_Base_Upgraded_Smog Formation Potential (SFP) - kg O3 eq_Influent Pump Station; wastewater treatment unit; at updated plant - US_Without Amendment_Windrow</v>
      </c>
    </row>
    <row r="6629" spans="1:13" s="120" customFormat="1" x14ac:dyDescent="0.25">
      <c r="A6629" s="119"/>
      <c r="B6629" s="138" t="str">
        <f t="shared" si="485"/>
        <v>Windrow</v>
      </c>
      <c r="C6629" s="138" t="str">
        <f t="shared" si="489"/>
        <v>Without Amendment</v>
      </c>
      <c r="D6629" s="138" t="str">
        <f t="shared" si="487"/>
        <v>High_Base</v>
      </c>
      <c r="E6629" s="138" t="str">
        <f t="shared" si="490"/>
        <v>Low</v>
      </c>
      <c r="F6629" s="138" t="str">
        <f t="shared" si="486"/>
        <v>Upgraded</v>
      </c>
      <c r="G6629" s="153"/>
      <c r="H6629" s="210">
        <v>0.29920000000000002</v>
      </c>
      <c r="I6629" s="160" t="s">
        <v>60</v>
      </c>
      <c r="J6629" s="160">
        <v>1.387E-2</v>
      </c>
      <c r="K6629" s="160" t="s">
        <v>25</v>
      </c>
      <c r="L6629" s="154" t="str">
        <f>IF(OpenLCAbasic!K6629="CTUh", "Fill in Manually",IF(OR(K6629="Unit", K6629=""), "", INDEX(LookUps!$E$5:$E$12, MATCH(OpenLCAbasic!K6629,LookUps!$D$5:$D$12,0))))</f>
        <v>Smog Formation Potential (SFP) - kg O3 eq</v>
      </c>
      <c r="M6629" s="154" t="str">
        <f t="shared" si="488"/>
        <v>Low_High_Base_Upgraded_Smog Formation Potential (SFP) - kg O3 eq_Belt filter press; wastewater treatment unit; at updated plant - US_Without Amendment_Windrow</v>
      </c>
    </row>
    <row r="6630" spans="1:13" s="120" customFormat="1" x14ac:dyDescent="0.25">
      <c r="A6630" s="119"/>
      <c r="B6630" s="138" t="str">
        <f t="shared" si="485"/>
        <v>Windrow</v>
      </c>
      <c r="C6630" s="138" t="str">
        <f t="shared" si="489"/>
        <v>Without Amendment</v>
      </c>
      <c r="D6630" s="138" t="str">
        <f t="shared" si="487"/>
        <v>High_Base</v>
      </c>
      <c r="E6630" s="138" t="str">
        <f t="shared" si="490"/>
        <v>Low</v>
      </c>
      <c r="F6630" s="138" t="str">
        <f t="shared" si="486"/>
        <v>Upgraded</v>
      </c>
      <c r="G6630" s="153"/>
      <c r="H6630" s="210">
        <v>0.25719999999999998</v>
      </c>
      <c r="I6630" s="160" t="s">
        <v>128</v>
      </c>
      <c r="J6630" s="160">
        <v>1.192E-2</v>
      </c>
      <c r="K6630" s="160" t="s">
        <v>25</v>
      </c>
      <c r="L6630" s="154" t="str">
        <f>IF(OpenLCAbasic!K6630="CTUh", "Fill in Manually",IF(OR(K6630="Unit", K6630=""), "", INDEX(LookUps!$E$5:$E$12, MATCH(OpenLCAbasic!K6630,LookUps!$D$5:$D$12,0))))</f>
        <v>Smog Formation Potential (SFP) - kg O3 eq</v>
      </c>
      <c r="M6630" s="154" t="str">
        <f t="shared" si="488"/>
        <v>Low_High_Base_Upgraded_Smog Formation Potential (SFP) - kg O3 eq_Wastewater collection; operation and infrastructure; m3 wastewater_Without Amendment_Windrow</v>
      </c>
    </row>
    <row r="6631" spans="1:13" s="120" customFormat="1" x14ac:dyDescent="0.25">
      <c r="A6631" s="119"/>
      <c r="B6631" s="138" t="str">
        <f t="shared" si="485"/>
        <v>Windrow</v>
      </c>
      <c r="C6631" s="138" t="str">
        <f t="shared" si="489"/>
        <v>Without Amendment</v>
      </c>
      <c r="D6631" s="138" t="str">
        <f t="shared" si="487"/>
        <v>High_Base</v>
      </c>
      <c r="E6631" s="138" t="str">
        <f t="shared" si="490"/>
        <v>Low</v>
      </c>
      <c r="F6631" s="138" t="str">
        <f t="shared" si="486"/>
        <v>Upgraded</v>
      </c>
      <c r="G6631" s="153"/>
      <c r="H6631" s="210">
        <v>0.14360000000000001</v>
      </c>
      <c r="I6631" s="160" t="s">
        <v>57</v>
      </c>
      <c r="J6631" s="160">
        <v>6.6499999999999997E-3</v>
      </c>
      <c r="K6631" s="160" t="s">
        <v>25</v>
      </c>
      <c r="L6631" s="154" t="str">
        <f>IF(OpenLCAbasic!K6631="CTUh", "Fill in Manually",IF(OR(K6631="Unit", K6631=""), "", INDEX(LookUps!$E$5:$E$12, MATCH(OpenLCAbasic!K6631,LookUps!$D$5:$D$12,0))))</f>
        <v>Smog Formation Potential (SFP) - kg O3 eq</v>
      </c>
      <c r="M6631" s="154" t="str">
        <f t="shared" si="488"/>
        <v>Low_High_Base_Upgraded_Smog Formation Potential (SFP) - kg O3 eq_Gravity Belt Thickener; wastewater treatment unit; at updated plant - US_Without Amendment_Windrow</v>
      </c>
    </row>
    <row r="6632" spans="1:13" s="120" customFormat="1" x14ac:dyDescent="0.25">
      <c r="A6632" s="119"/>
      <c r="B6632" s="138" t="str">
        <f t="shared" ref="B6632:B6695" si="491">IF(F6632="Legacy","n.a.",IF(F6632="","","Windrow"))</f>
        <v>Windrow</v>
      </c>
      <c r="C6632" s="138" t="str">
        <f t="shared" si="489"/>
        <v>Without Amendment</v>
      </c>
      <c r="D6632" s="138" t="str">
        <f t="shared" si="487"/>
        <v>High_Base</v>
      </c>
      <c r="E6632" s="138" t="str">
        <f t="shared" si="490"/>
        <v>Low</v>
      </c>
      <c r="F6632" s="138" t="str">
        <f t="shared" ref="F6632:F6695" si="492">IF(ISNUMBER(J6632),"Upgraded","")</f>
        <v>Upgraded</v>
      </c>
      <c r="G6632" s="153"/>
      <c r="H6632" s="210">
        <v>0.10730000000000001</v>
      </c>
      <c r="I6632" s="160" t="s">
        <v>59</v>
      </c>
      <c r="J6632" s="160">
        <v>4.9699999999999996E-3</v>
      </c>
      <c r="K6632" s="160" t="s">
        <v>25</v>
      </c>
      <c r="L6632" s="154" t="str">
        <f>IF(OpenLCAbasic!K6632="CTUh", "Fill in Manually",IF(OR(K6632="Unit", K6632=""), "", INDEX(LookUps!$E$5:$E$12, MATCH(OpenLCAbasic!K6632,LookUps!$D$5:$D$12,0))))</f>
        <v>Smog Formation Potential (SFP) - kg O3 eq</v>
      </c>
      <c r="M6632" s="154" t="str">
        <f t="shared" si="488"/>
        <v>Low_High_Base_Upgraded_Smog Formation Potential (SFP) - kg O3 eq_Blend Tank; wastewater treatment unit; at updated plant - US_Without Amendment_Windrow</v>
      </c>
    </row>
    <row r="6633" spans="1:13" s="120" customFormat="1" x14ac:dyDescent="0.25">
      <c r="A6633" s="119"/>
      <c r="B6633" s="138" t="str">
        <f t="shared" si="491"/>
        <v>Windrow</v>
      </c>
      <c r="C6633" s="138" t="str">
        <f t="shared" si="489"/>
        <v>Without Amendment</v>
      </c>
      <c r="D6633" s="138" t="str">
        <f t="shared" si="487"/>
        <v>High_Base</v>
      </c>
      <c r="E6633" s="138" t="str">
        <f t="shared" si="490"/>
        <v>Low</v>
      </c>
      <c r="F6633" s="138" t="str">
        <f t="shared" si="492"/>
        <v>Upgraded</v>
      </c>
      <c r="G6633" s="153"/>
      <c r="H6633" s="210">
        <v>7.2999999999999995E-2</v>
      </c>
      <c r="I6633" s="160" t="s">
        <v>48</v>
      </c>
      <c r="J6633" s="160">
        <v>3.3899999999999998E-3</v>
      </c>
      <c r="K6633" s="160" t="s">
        <v>25</v>
      </c>
      <c r="L6633" s="154" t="str">
        <f>IF(OpenLCAbasic!K6633="CTUh", "Fill in Manually",IF(OR(K6633="Unit", K6633=""), "", INDEX(LookUps!$E$5:$E$12, MATCH(OpenLCAbasic!K6633,LookUps!$D$5:$D$12,0))))</f>
        <v>Smog Formation Potential (SFP) - kg O3 eq</v>
      </c>
      <c r="M6633" s="154" t="str">
        <f t="shared" si="488"/>
        <v>Low_High_Base_Upgraded_Smog Formation Potential (SFP) - kg O3 eq_Effluent release; wastewater treatment unit; at surface water; m3 wastewater - US_Without Amendment_Windrow</v>
      </c>
    </row>
    <row r="6634" spans="1:13" s="120" customFormat="1" x14ac:dyDescent="0.25">
      <c r="A6634" s="119"/>
      <c r="B6634" s="138" t="str">
        <f t="shared" si="491"/>
        <v>Windrow</v>
      </c>
      <c r="C6634" s="138" t="str">
        <f t="shared" si="489"/>
        <v>Without Amendment</v>
      </c>
      <c r="D6634" s="138" t="str">
        <f t="shared" si="487"/>
        <v>High_Base</v>
      </c>
      <c r="E6634" s="138" t="str">
        <f t="shared" si="490"/>
        <v>Low</v>
      </c>
      <c r="F6634" s="138" t="str">
        <f t="shared" si="492"/>
        <v>Upgraded</v>
      </c>
      <c r="G6634" s="153"/>
      <c r="H6634" s="210">
        <v>5.2999999999999999E-2</v>
      </c>
      <c r="I6634" s="160" t="s">
        <v>168</v>
      </c>
      <c r="J6634" s="160">
        <v>2.4599999999999999E-3</v>
      </c>
      <c r="K6634" s="160" t="s">
        <v>25</v>
      </c>
      <c r="L6634" s="154" t="str">
        <f>IF(OpenLCAbasic!K6634="CTUh", "Fill in Manually",IF(OR(K6634="Unit", K6634=""), "", INDEX(LookUps!$E$5:$E$12, MATCH(OpenLCAbasic!K6634,LookUps!$D$5:$D$12,0))))</f>
        <v>Smog Formation Potential (SFP) - kg O3 eq</v>
      </c>
      <c r="M6634" s="154" t="str">
        <f t="shared" si="488"/>
        <v>Low_High_Base_Upgraded_Smog Formation Potential (SFP) - kg O3 eq_ClearCove SCP; wastewater treatment unit; at updated plant - US_Without Amendment_Windrow</v>
      </c>
    </row>
    <row r="6635" spans="1:13" s="120" customFormat="1" x14ac:dyDescent="0.25">
      <c r="A6635" s="119"/>
      <c r="B6635" s="138" t="str">
        <f t="shared" si="491"/>
        <v>Windrow</v>
      </c>
      <c r="C6635" s="138" t="str">
        <f t="shared" si="489"/>
        <v>Without Amendment</v>
      </c>
      <c r="D6635" s="138" t="str">
        <f t="shared" si="487"/>
        <v>High_Base</v>
      </c>
      <c r="E6635" s="138" t="str">
        <f t="shared" si="490"/>
        <v>Low</v>
      </c>
      <c r="F6635" s="138" t="str">
        <f t="shared" si="492"/>
        <v>Upgraded</v>
      </c>
      <c r="G6635" s="153"/>
      <c r="H6635" s="210">
        <v>1.5299999999999999E-2</v>
      </c>
      <c r="I6635" s="160" t="s">
        <v>271</v>
      </c>
      <c r="J6635" s="160">
        <v>7.1000000000000002E-4</v>
      </c>
      <c r="K6635" s="160" t="s">
        <v>25</v>
      </c>
      <c r="L6635" s="154" t="str">
        <f>IF(OpenLCAbasic!K6635="CTUh", "Fill in Manually",IF(OR(K6635="Unit", K6635=""), "", INDEX(LookUps!$E$5:$E$12, MATCH(OpenLCAbasic!K6635,LookUps!$D$5:$D$12,0))))</f>
        <v>Smog Formation Potential (SFP) - kg O3 eq</v>
      </c>
      <c r="M6635" s="154" t="str">
        <f t="shared" si="488"/>
        <v>Low_High_Base_Upgraded_Smog Formation Potential (SFP) - kg O3 eq_Biosolids composting; windrow composting; wastewater treatment unit; at updated plant - US_Without Amendment_Windrow</v>
      </c>
    </row>
    <row r="6636" spans="1:13" s="120" customFormat="1" x14ac:dyDescent="0.25">
      <c r="A6636" s="119"/>
      <c r="B6636" s="138" t="str">
        <f t="shared" si="491"/>
        <v>Windrow</v>
      </c>
      <c r="C6636" s="138" t="str">
        <f t="shared" si="489"/>
        <v>Without Amendment</v>
      </c>
      <c r="D6636" s="138" t="str">
        <f t="shared" si="487"/>
        <v>High_Base</v>
      </c>
      <c r="E6636" s="138" t="str">
        <f t="shared" si="490"/>
        <v>Low</v>
      </c>
      <c r="F6636" s="138" t="str">
        <f t="shared" si="492"/>
        <v>Upgraded</v>
      </c>
      <c r="G6636" s="153"/>
      <c r="H6636" s="210">
        <v>1.1599999999999999E-2</v>
      </c>
      <c r="I6636" s="160" t="s">
        <v>148</v>
      </c>
      <c r="J6636" s="160">
        <v>5.4000000000000001E-4</v>
      </c>
      <c r="K6636" s="160" t="s">
        <v>25</v>
      </c>
      <c r="L6636" s="154" t="str">
        <f>IF(OpenLCAbasic!K6636="CTUh", "Fill in Manually",IF(OR(K6636="Unit", K6636=""), "", INDEX(LookUps!$E$5:$E$12, MATCH(OpenLCAbasic!K6636,LookUps!$D$5:$D$12,0))))</f>
        <v>Smog Formation Potential (SFP) - kg O3 eq</v>
      </c>
      <c r="M6636" s="154" t="str">
        <f t="shared" si="488"/>
        <v>Low_High_Base_Upgraded_Smog Formation Potential (SFP) - kg O3 eq_Control Building; at upgraded wastewater treatment plant - US_Without Amendment_Windrow</v>
      </c>
    </row>
    <row r="6637" spans="1:13" s="120" customFormat="1" x14ac:dyDescent="0.25">
      <c r="A6637" s="119"/>
      <c r="B6637" s="138" t="str">
        <f t="shared" si="491"/>
        <v>Windrow</v>
      </c>
      <c r="C6637" s="138" t="str">
        <f t="shared" si="489"/>
        <v>Without Amendment</v>
      </c>
      <c r="D6637" s="138" t="str">
        <f t="shared" si="487"/>
        <v>High_Base</v>
      </c>
      <c r="E6637" s="138" t="str">
        <f t="shared" si="490"/>
        <v>Low</v>
      </c>
      <c r="F6637" s="138" t="str">
        <f t="shared" si="492"/>
        <v>Upgraded</v>
      </c>
      <c r="G6637" s="153"/>
      <c r="H6637" s="210">
        <v>-7.3400000000000007E-2</v>
      </c>
      <c r="I6637" s="160" t="s">
        <v>62</v>
      </c>
      <c r="J6637" s="160">
        <v>-3.3999999999999998E-3</v>
      </c>
      <c r="K6637" s="160" t="s">
        <v>25</v>
      </c>
      <c r="L6637" s="154" t="str">
        <f>IF(OpenLCAbasic!K6637="CTUh", "Fill in Manually",IF(OR(K6637="Unit", K6637=""), "", INDEX(LookUps!$E$5:$E$12, MATCH(OpenLCAbasic!K6637,LookUps!$D$5:$D$12,0))))</f>
        <v>Smog Formation Potential (SFP) - kg O3 eq</v>
      </c>
      <c r="M6637" s="154" t="str">
        <f t="shared" si="488"/>
        <v>Low_High_Base_Upgraded_Smog Formation Potential (SFP) - kg O3 eq_Land application of compost; wastewater treatment unit; at updated plant - US_Without Amendment_Windrow</v>
      </c>
    </row>
    <row r="6638" spans="1:13" s="120" customFormat="1" x14ac:dyDescent="0.25">
      <c r="A6638" s="119"/>
      <c r="B6638" s="138" t="str">
        <f t="shared" si="491"/>
        <v>Windrow</v>
      </c>
      <c r="C6638" s="138" t="str">
        <f t="shared" si="489"/>
        <v>Without Amendment</v>
      </c>
      <c r="D6638" s="138" t="str">
        <f t="shared" si="487"/>
        <v>High_Base</v>
      </c>
      <c r="E6638" s="138" t="str">
        <f t="shared" si="490"/>
        <v>Low</v>
      </c>
      <c r="F6638" s="138" t="str">
        <f t="shared" si="492"/>
        <v>Upgraded</v>
      </c>
      <c r="G6638" s="153"/>
      <c r="H6638" s="210">
        <v>-9.2706999999999997</v>
      </c>
      <c r="I6638" s="160" t="s">
        <v>149</v>
      </c>
      <c r="J6638" s="160">
        <v>-0.42965999999999999</v>
      </c>
      <c r="K6638" s="160" t="s">
        <v>25</v>
      </c>
      <c r="L6638" s="154" t="str">
        <f>IF(OpenLCAbasic!K6638="CTUh", "Fill in Manually",IF(OR(K6638="Unit", K6638=""), "", INDEX(LookUps!$E$5:$E$12, MATCH(OpenLCAbasic!K6638,LookUps!$D$5:$D$12,0))))</f>
        <v>Smog Formation Potential (SFP) - kg O3 eq</v>
      </c>
      <c r="M6638" s="154" t="str">
        <f t="shared" si="488"/>
        <v>Low_High_Base_Upgraded_Smog Formation Potential (SFP) - kg O3 eq_Anaerobic Digestion; wastewater treatment unit; at updated plant - US_Without Amendment_Windrow</v>
      </c>
    </row>
    <row r="6639" spans="1:13" s="120" customFormat="1" x14ac:dyDescent="0.25">
      <c r="A6639" s="119"/>
      <c r="B6639" s="138" t="str">
        <f t="shared" si="491"/>
        <v/>
      </c>
      <c r="C6639" s="138" t="str">
        <f t="shared" si="489"/>
        <v/>
      </c>
      <c r="D6639" s="138" t="str">
        <f t="shared" si="487"/>
        <v/>
      </c>
      <c r="E6639" s="138" t="str">
        <f t="shared" si="490"/>
        <v/>
      </c>
      <c r="F6639" s="138" t="str">
        <f t="shared" si="492"/>
        <v/>
      </c>
      <c r="G6639" s="153" t="s">
        <v>51</v>
      </c>
      <c r="H6639" s="160"/>
      <c r="I6639" s="160" t="s">
        <v>47</v>
      </c>
      <c r="J6639" s="160" t="s">
        <v>52</v>
      </c>
      <c r="K6639" s="160" t="s">
        <v>27</v>
      </c>
      <c r="L6639" s="154" t="str">
        <f>IF(OpenLCAbasic!K6639="CTUh", "Fill in Manually",IF(OR(K6639="Unit", K6639=""), "", INDEX(LookUps!$E$5:$E$12, MATCH(OpenLCAbasic!K6639,LookUps!$D$5:$D$12,0))))</f>
        <v/>
      </c>
      <c r="M6639" s="154" t="str">
        <f t="shared" si="488"/>
        <v>____Process__</v>
      </c>
    </row>
    <row r="6640" spans="1:13" s="120" customFormat="1" x14ac:dyDescent="0.25">
      <c r="A6640" s="119"/>
      <c r="B6640" s="138" t="str">
        <f t="shared" si="491"/>
        <v>Windrow</v>
      </c>
      <c r="C6640" s="138" t="str">
        <f t="shared" si="489"/>
        <v>Without Amendment</v>
      </c>
      <c r="D6640" s="138" t="str">
        <f t="shared" si="487"/>
        <v>High_Base</v>
      </c>
      <c r="E6640" s="138" t="str">
        <f t="shared" si="490"/>
        <v>Low</v>
      </c>
      <c r="F6640" s="138" t="str">
        <f t="shared" si="492"/>
        <v>Upgraded</v>
      </c>
      <c r="G6640" s="153"/>
      <c r="H6640" s="210">
        <v>1.5046999999999999</v>
      </c>
      <c r="I6640" s="160" t="s">
        <v>167</v>
      </c>
      <c r="J6640" s="160">
        <v>3.4000000000000002E-4</v>
      </c>
      <c r="K6640" s="160" t="s">
        <v>26</v>
      </c>
      <c r="L6640" s="154" t="str">
        <f>IF(OpenLCAbasic!K6640="CTUh", "Fill in Manually",IF(OR(K6640="Unit", K6640=""), "", INDEX(LookUps!$E$5:$E$12, MATCH(OpenLCAbasic!K6640,LookUps!$D$5:$D$12,0))))</f>
        <v>Water Use (WU) - m3 H2O</v>
      </c>
      <c r="M6640" s="154" t="str">
        <f t="shared" si="488"/>
        <v>Low_High_Base_Upgraded_Water Use (WU) - m3 H2O_Waste Receiving and Holding; wastewater treatment unit; at updated plant - US_Without Amendment_Windrow</v>
      </c>
    </row>
    <row r="6641" spans="1:13" s="120" customFormat="1" x14ac:dyDescent="0.25">
      <c r="A6641" s="119"/>
      <c r="B6641" s="138" t="str">
        <f t="shared" si="491"/>
        <v>Windrow</v>
      </c>
      <c r="C6641" s="138" t="str">
        <f t="shared" si="489"/>
        <v>Without Amendment</v>
      </c>
      <c r="D6641" s="138" t="str">
        <f t="shared" si="487"/>
        <v>High_Base</v>
      </c>
      <c r="E6641" s="138" t="str">
        <f t="shared" si="490"/>
        <v>Low</v>
      </c>
      <c r="F6641" s="138" t="str">
        <f t="shared" si="492"/>
        <v>Upgraded</v>
      </c>
      <c r="G6641" s="153"/>
      <c r="H6641" s="210">
        <v>0.82340000000000002</v>
      </c>
      <c r="I6641" s="160" t="s">
        <v>147</v>
      </c>
      <c r="J6641" s="160">
        <v>1.8000000000000001E-4</v>
      </c>
      <c r="K6641" s="160" t="s">
        <v>26</v>
      </c>
      <c r="L6641" s="154" t="str">
        <f>IF(OpenLCAbasic!K6641="CTUh", "Fill in Manually",IF(OR(K6641="Unit", K6641=""), "", INDEX(LookUps!$E$5:$E$12, MATCH(OpenLCAbasic!K6641,LookUps!$D$5:$D$12,0))))</f>
        <v>Water Use (WU) - m3 H2O</v>
      </c>
      <c r="M6641" s="154" t="str">
        <f t="shared" si="488"/>
        <v>Low_High_Base_Upgraded_Water Use (WU) - m3 H2O_Influent Pump Station; wastewater treatment unit; at updated plant - US_Without Amendment_Windrow</v>
      </c>
    </row>
    <row r="6642" spans="1:13" s="120" customFormat="1" x14ac:dyDescent="0.25">
      <c r="A6642" s="119"/>
      <c r="B6642" s="138" t="str">
        <f t="shared" si="491"/>
        <v>Windrow</v>
      </c>
      <c r="C6642" s="138" t="str">
        <f t="shared" si="489"/>
        <v>Without Amendment</v>
      </c>
      <c r="D6642" s="138" t="str">
        <f t="shared" si="487"/>
        <v>High_Base</v>
      </c>
      <c r="E6642" s="138" t="str">
        <f t="shared" si="490"/>
        <v>Low</v>
      </c>
      <c r="F6642" s="138" t="str">
        <f t="shared" si="492"/>
        <v>Upgraded</v>
      </c>
      <c r="G6642" s="153"/>
      <c r="H6642" s="210">
        <v>0.8034</v>
      </c>
      <c r="I6642" s="160" t="s">
        <v>54</v>
      </c>
      <c r="J6642" s="160">
        <v>1.8000000000000001E-4</v>
      </c>
      <c r="K6642" s="160" t="s">
        <v>26</v>
      </c>
      <c r="L6642" s="154" t="str">
        <f>IF(OpenLCAbasic!K6642="CTUh", "Fill in Manually",IF(OR(K6642="Unit", K6642=""), "", INDEX(LookUps!$E$5:$E$12, MATCH(OpenLCAbasic!K6642,LookUps!$D$5:$D$12,0))))</f>
        <v>Water Use (WU) - m3 H2O</v>
      </c>
      <c r="M6642" s="154" t="str">
        <f t="shared" si="488"/>
        <v>Low_High_Base_Upgraded_Water Use (WU) - m3 H2O_Clear Cove Primary Clarification; wastewater treatment unit; at updated plant - US_Without Amendment_Windrow</v>
      </c>
    </row>
    <row r="6643" spans="1:13" s="120" customFormat="1" x14ac:dyDescent="0.25">
      <c r="A6643" s="119"/>
      <c r="B6643" s="138" t="str">
        <f t="shared" si="491"/>
        <v>Windrow</v>
      </c>
      <c r="C6643" s="138" t="str">
        <f t="shared" si="489"/>
        <v>Without Amendment</v>
      </c>
      <c r="D6643" s="138" t="str">
        <f t="shared" si="487"/>
        <v>High_Base</v>
      </c>
      <c r="E6643" s="138" t="str">
        <f t="shared" si="490"/>
        <v>Low</v>
      </c>
      <c r="F6643" s="138" t="str">
        <f t="shared" si="492"/>
        <v>Upgraded</v>
      </c>
      <c r="G6643" s="153"/>
      <c r="H6643" s="210">
        <v>0.7288</v>
      </c>
      <c r="I6643" s="160" t="s">
        <v>55</v>
      </c>
      <c r="J6643" s="160">
        <v>1.6000000000000001E-4</v>
      </c>
      <c r="K6643" s="160" t="s">
        <v>26</v>
      </c>
      <c r="L6643" s="154" t="str">
        <f>IF(OpenLCAbasic!K6643="CTUh", "Fill in Manually",IF(OR(K6643="Unit", K6643=""), "", INDEX(LookUps!$E$5:$E$12, MATCH(OpenLCAbasic!K6643,LookUps!$D$5:$D$12,0))))</f>
        <v>Water Use (WU) - m3 H2O</v>
      </c>
      <c r="M6643" s="154" t="str">
        <f t="shared" si="488"/>
        <v>Low_High_Base_Upgraded_Water Use (WU) - m3 H2O_Aeration Tanks; wastewater treatment unit; at updated plant - US_Without Amendment_Windrow</v>
      </c>
    </row>
    <row r="6644" spans="1:13" s="120" customFormat="1" x14ac:dyDescent="0.25">
      <c r="A6644" s="119"/>
      <c r="B6644" s="138" t="str">
        <f t="shared" si="491"/>
        <v>Windrow</v>
      </c>
      <c r="C6644" s="138" t="str">
        <f t="shared" si="489"/>
        <v>Without Amendment</v>
      </c>
      <c r="D6644" s="138" t="str">
        <f t="shared" si="487"/>
        <v>High_Base</v>
      </c>
      <c r="E6644" s="138" t="str">
        <f t="shared" si="490"/>
        <v>Low</v>
      </c>
      <c r="F6644" s="138" t="str">
        <f t="shared" si="492"/>
        <v>Upgraded</v>
      </c>
      <c r="G6644" s="153"/>
      <c r="H6644" s="210">
        <v>0.66390000000000005</v>
      </c>
      <c r="I6644" s="160" t="s">
        <v>148</v>
      </c>
      <c r="J6644" s="160">
        <v>1.4999999999999999E-4</v>
      </c>
      <c r="K6644" s="160" t="s">
        <v>26</v>
      </c>
      <c r="L6644" s="154" t="str">
        <f>IF(OpenLCAbasic!K6644="CTUh", "Fill in Manually",IF(OR(K6644="Unit", K6644=""), "", INDEX(LookUps!$E$5:$E$12, MATCH(OpenLCAbasic!K6644,LookUps!$D$5:$D$12,0))))</f>
        <v>Water Use (WU) - m3 H2O</v>
      </c>
      <c r="M6644" s="154" t="str">
        <f t="shared" si="488"/>
        <v>Low_High_Base_Upgraded_Water Use (WU) - m3 H2O_Control Building; at upgraded wastewater treatment plant - US_Without Amendment_Windrow</v>
      </c>
    </row>
    <row r="6645" spans="1:13" s="120" customFormat="1" x14ac:dyDescent="0.25">
      <c r="A6645" s="119"/>
      <c r="B6645" s="138" t="str">
        <f t="shared" si="491"/>
        <v>Windrow</v>
      </c>
      <c r="C6645" s="138" t="str">
        <f t="shared" si="489"/>
        <v>Without Amendment</v>
      </c>
      <c r="D6645" s="138" t="str">
        <f t="shared" si="487"/>
        <v>High_Base</v>
      </c>
      <c r="E6645" s="138" t="str">
        <f t="shared" si="490"/>
        <v>Low</v>
      </c>
      <c r="F6645" s="138" t="str">
        <f t="shared" si="492"/>
        <v>Upgraded</v>
      </c>
      <c r="G6645" s="153"/>
      <c r="H6645" s="210">
        <v>0.30830000000000002</v>
      </c>
      <c r="I6645" s="160" t="s">
        <v>48</v>
      </c>
      <c r="J6645" s="211">
        <v>6.8836400000000004E-5</v>
      </c>
      <c r="K6645" s="160" t="s">
        <v>26</v>
      </c>
      <c r="L6645" s="154" t="str">
        <f>IF(OpenLCAbasic!K6645="CTUh", "Fill in Manually",IF(OR(K6645="Unit", K6645=""), "", INDEX(LookUps!$E$5:$E$12, MATCH(OpenLCAbasic!K6645,LookUps!$D$5:$D$12,0))))</f>
        <v>Water Use (WU) - m3 H2O</v>
      </c>
      <c r="M6645" s="154" t="str">
        <f t="shared" si="488"/>
        <v>Low_High_Base_Upgraded_Water Use (WU) - m3 H2O_Effluent release; wastewater treatment unit; at surface water; m3 wastewater - US_Without Amendment_Windrow</v>
      </c>
    </row>
    <row r="6646" spans="1:13" s="120" customFormat="1" x14ac:dyDescent="0.25">
      <c r="A6646" s="119"/>
      <c r="B6646" s="138" t="str">
        <f t="shared" si="491"/>
        <v>Windrow</v>
      </c>
      <c r="C6646" s="138" t="str">
        <f t="shared" si="489"/>
        <v>Without Amendment</v>
      </c>
      <c r="D6646" s="138" t="str">
        <f t="shared" si="487"/>
        <v>High_Base</v>
      </c>
      <c r="E6646" s="138" t="str">
        <f t="shared" si="490"/>
        <v>Low</v>
      </c>
      <c r="F6646" s="138" t="str">
        <f t="shared" si="492"/>
        <v>Upgraded</v>
      </c>
      <c r="G6646" s="153"/>
      <c r="H6646" s="210">
        <v>0.19389999999999999</v>
      </c>
      <c r="I6646" s="160" t="s">
        <v>58</v>
      </c>
      <c r="J6646" s="211">
        <v>4.3289399999999999E-5</v>
      </c>
      <c r="K6646" s="160" t="s">
        <v>26</v>
      </c>
      <c r="L6646" s="154" t="str">
        <f>IF(OpenLCAbasic!K6646="CTUh", "Fill in Manually",IF(OR(K6646="Unit", K6646=""), "", INDEX(LookUps!$E$5:$E$12, MATCH(OpenLCAbasic!K6646,LookUps!$D$5:$D$12,0))))</f>
        <v>Water Use (WU) - m3 H2O</v>
      </c>
      <c r="M6646" s="154" t="str">
        <f t="shared" si="488"/>
        <v>Low_High_Base_Upgraded_Water Use (WU) - m3 H2O_Pre-Anoxic &amp; Swing tank; wastewater treatment unit; at updated plant - US_Without Amendment_Windrow</v>
      </c>
    </row>
    <row r="6647" spans="1:13" s="120" customFormat="1" x14ac:dyDescent="0.25">
      <c r="A6647" s="119"/>
      <c r="B6647" s="138" t="str">
        <f t="shared" si="491"/>
        <v>Windrow</v>
      </c>
      <c r="C6647" s="138" t="str">
        <f t="shared" si="489"/>
        <v>Without Amendment</v>
      </c>
      <c r="D6647" s="138" t="str">
        <f t="shared" si="487"/>
        <v>High_Base</v>
      </c>
      <c r="E6647" s="138" t="str">
        <f t="shared" si="490"/>
        <v>Low</v>
      </c>
      <c r="F6647" s="138" t="str">
        <f t="shared" si="492"/>
        <v>Upgraded</v>
      </c>
      <c r="G6647" s="153"/>
      <c r="H6647" s="210">
        <v>0.1855</v>
      </c>
      <c r="I6647" s="160" t="s">
        <v>60</v>
      </c>
      <c r="J6647" s="211">
        <v>4.1413099999999998E-5</v>
      </c>
      <c r="K6647" s="160" t="s">
        <v>26</v>
      </c>
      <c r="L6647" s="154" t="str">
        <f>IF(OpenLCAbasic!K6647="CTUh", "Fill in Manually",IF(OR(K6647="Unit", K6647=""), "", INDEX(LookUps!$E$5:$E$12, MATCH(OpenLCAbasic!K6647,LookUps!$D$5:$D$12,0))))</f>
        <v>Water Use (WU) - m3 H2O</v>
      </c>
      <c r="M6647" s="154" t="str">
        <f t="shared" si="488"/>
        <v>Low_High_Base_Upgraded_Water Use (WU) - m3 H2O_Belt filter press; wastewater treatment unit; at updated plant - US_Without Amendment_Windrow</v>
      </c>
    </row>
    <row r="6648" spans="1:13" s="120" customFormat="1" x14ac:dyDescent="0.25">
      <c r="A6648" s="119"/>
      <c r="B6648" s="138" t="str">
        <f t="shared" si="491"/>
        <v>Windrow</v>
      </c>
      <c r="C6648" s="138" t="str">
        <f t="shared" si="489"/>
        <v>Without Amendment</v>
      </c>
      <c r="D6648" s="138" t="str">
        <f t="shared" si="487"/>
        <v>High_Base</v>
      </c>
      <c r="E6648" s="138" t="str">
        <f t="shared" si="490"/>
        <v>Low</v>
      </c>
      <c r="F6648" s="138" t="str">
        <f t="shared" si="492"/>
        <v>Upgraded</v>
      </c>
      <c r="G6648" s="153"/>
      <c r="H6648" s="210">
        <v>0.13619999999999999</v>
      </c>
      <c r="I6648" s="160" t="s">
        <v>57</v>
      </c>
      <c r="J6648" s="211">
        <v>3.0408100000000001E-5</v>
      </c>
      <c r="K6648" s="160" t="s">
        <v>26</v>
      </c>
      <c r="L6648" s="154" t="str">
        <f>IF(OpenLCAbasic!K6648="CTUh", "Fill in Manually",IF(OR(K6648="Unit", K6648=""), "", INDEX(LookUps!$E$5:$E$12, MATCH(OpenLCAbasic!K6648,LookUps!$D$5:$D$12,0))))</f>
        <v>Water Use (WU) - m3 H2O</v>
      </c>
      <c r="M6648" s="154" t="str">
        <f t="shared" si="488"/>
        <v>Low_High_Base_Upgraded_Water Use (WU) - m3 H2O_Gravity Belt Thickener; wastewater treatment unit; at updated plant - US_Without Amendment_Windrow</v>
      </c>
    </row>
    <row r="6649" spans="1:13" s="120" customFormat="1" x14ac:dyDescent="0.25">
      <c r="A6649" s="119"/>
      <c r="B6649" s="138" t="str">
        <f t="shared" si="491"/>
        <v>Windrow</v>
      </c>
      <c r="C6649" s="138" t="str">
        <f t="shared" si="489"/>
        <v>Without Amendment</v>
      </c>
      <c r="D6649" s="138" t="str">
        <f t="shared" ref="D6649:D6655" si="493">IF(ISNUMBER($J6649),"High_Base","")</f>
        <v>High_Base</v>
      </c>
      <c r="E6649" s="138" t="str">
        <f t="shared" si="490"/>
        <v>Low</v>
      </c>
      <c r="F6649" s="138" t="str">
        <f t="shared" si="492"/>
        <v>Upgraded</v>
      </c>
      <c r="G6649" s="153"/>
      <c r="H6649" s="210">
        <v>7.8399999999999997E-2</v>
      </c>
      <c r="I6649" s="160" t="s">
        <v>53</v>
      </c>
      <c r="J6649" s="211">
        <v>1.75069E-5</v>
      </c>
      <c r="K6649" s="160" t="s">
        <v>26</v>
      </c>
      <c r="L6649" s="154" t="str">
        <f>IF(OpenLCAbasic!K6649="CTUh", "Fill in Manually",IF(OR(K6649="Unit", K6649=""), "", INDEX(LookUps!$E$5:$E$12, MATCH(OpenLCAbasic!K6649,LookUps!$D$5:$D$12,0))))</f>
        <v>Water Use (WU) - m3 H2O</v>
      </c>
      <c r="M6649" s="154" t="str">
        <f t="shared" si="488"/>
        <v>Low_High_Base_Upgraded_Water Use (WU) - m3 H2O_Wet Well and Sump Station; wastewater treatment unit; at updated plant - US_Without Amendment_Windrow</v>
      </c>
    </row>
    <row r="6650" spans="1:13" s="120" customFormat="1" x14ac:dyDescent="0.25">
      <c r="A6650" s="119"/>
      <c r="B6650" s="138" t="str">
        <f t="shared" si="491"/>
        <v>Windrow</v>
      </c>
      <c r="C6650" s="138" t="str">
        <f t="shared" si="489"/>
        <v>Without Amendment</v>
      </c>
      <c r="D6650" s="138" t="str">
        <f t="shared" si="493"/>
        <v>High_Base</v>
      </c>
      <c r="E6650" s="138" t="str">
        <f t="shared" si="490"/>
        <v>Low</v>
      </c>
      <c r="F6650" s="138" t="str">
        <f t="shared" si="492"/>
        <v>Upgraded</v>
      </c>
      <c r="G6650" s="153"/>
      <c r="H6650" s="210">
        <v>3.1399999999999997E-2</v>
      </c>
      <c r="I6650" s="160" t="s">
        <v>59</v>
      </c>
      <c r="J6650" s="211">
        <v>7.0179500000000003E-6</v>
      </c>
      <c r="K6650" s="160" t="s">
        <v>26</v>
      </c>
      <c r="L6650" s="154" t="str">
        <f>IF(OpenLCAbasic!K6650="CTUh", "Fill in Manually",IF(OR(K6650="Unit", K6650=""), "", INDEX(LookUps!$E$5:$E$12, MATCH(OpenLCAbasic!K6650,LookUps!$D$5:$D$12,0))))</f>
        <v>Water Use (WU) - m3 H2O</v>
      </c>
      <c r="M6650" s="154" t="str">
        <f t="shared" si="488"/>
        <v>Low_High_Base_Upgraded_Water Use (WU) - m3 H2O_Blend Tank; wastewater treatment unit; at updated plant - US_Without Amendment_Windrow</v>
      </c>
    </row>
    <row r="6651" spans="1:13" s="120" customFormat="1" x14ac:dyDescent="0.25">
      <c r="A6651" s="119"/>
      <c r="B6651" s="138" t="str">
        <f t="shared" si="491"/>
        <v>Windrow</v>
      </c>
      <c r="C6651" s="138" t="str">
        <f t="shared" si="489"/>
        <v>Without Amendment</v>
      </c>
      <c r="D6651" s="138" t="str">
        <f t="shared" si="493"/>
        <v>High_Base</v>
      </c>
      <c r="E6651" s="138" t="str">
        <f t="shared" si="490"/>
        <v>Low</v>
      </c>
      <c r="F6651" s="138" t="str">
        <f t="shared" si="492"/>
        <v>Upgraded</v>
      </c>
      <c r="G6651" s="153"/>
      <c r="H6651" s="210">
        <v>2.2700000000000001E-2</v>
      </c>
      <c r="I6651" s="160" t="s">
        <v>128</v>
      </c>
      <c r="J6651" s="211">
        <v>5.0608900000000003E-6</v>
      </c>
      <c r="K6651" s="160" t="s">
        <v>26</v>
      </c>
      <c r="L6651" s="154" t="str">
        <f>IF(OpenLCAbasic!K6651="CTUh", "Fill in Manually",IF(OR(K6651="Unit", K6651=""), "", INDEX(LookUps!$E$5:$E$12, MATCH(OpenLCAbasic!K6651,LookUps!$D$5:$D$12,0))))</f>
        <v>Water Use (WU) - m3 H2O</v>
      </c>
      <c r="M6651" s="154" t="str">
        <f t="shared" ref="M6651:M6714" si="494">CONCATENATE(E6651,"_",D6651,"_",F6651,"_",L6651, "_",I6651,"_", C6651,"_", B6651)</f>
        <v>Low_High_Base_Upgraded_Water Use (WU) - m3 H2O_Wastewater collection; operation and infrastructure; m3 wastewater_Without Amendment_Windrow</v>
      </c>
    </row>
    <row r="6652" spans="1:13" s="120" customFormat="1" x14ac:dyDescent="0.25">
      <c r="A6652" s="119"/>
      <c r="B6652" s="138" t="str">
        <f t="shared" si="491"/>
        <v>Windrow</v>
      </c>
      <c r="C6652" s="138" t="str">
        <f t="shared" si="489"/>
        <v>Without Amendment</v>
      </c>
      <c r="D6652" s="138" t="str">
        <f t="shared" si="493"/>
        <v>High_Base</v>
      </c>
      <c r="E6652" s="138" t="str">
        <f t="shared" si="490"/>
        <v>Low</v>
      </c>
      <c r="F6652" s="138" t="str">
        <f t="shared" si="492"/>
        <v>Upgraded</v>
      </c>
      <c r="G6652" s="153"/>
      <c r="H6652" s="210">
        <v>8.8000000000000005E-3</v>
      </c>
      <c r="I6652" s="160" t="s">
        <v>271</v>
      </c>
      <c r="J6652" s="211">
        <v>1.9753299999999999E-6</v>
      </c>
      <c r="K6652" s="160" t="s">
        <v>26</v>
      </c>
      <c r="L6652" s="154" t="str">
        <f>IF(OpenLCAbasic!K6652="CTUh", "Fill in Manually",IF(OR(K6652="Unit", K6652=""), "", INDEX(LookUps!$E$5:$E$12, MATCH(OpenLCAbasic!K6652,LookUps!$D$5:$D$12,0))))</f>
        <v>Water Use (WU) - m3 H2O</v>
      </c>
      <c r="M6652" s="154" t="str">
        <f t="shared" si="494"/>
        <v>Low_High_Base_Upgraded_Water Use (WU) - m3 H2O_Biosolids composting; windrow composting; wastewater treatment unit; at updated plant - US_Without Amendment_Windrow</v>
      </c>
    </row>
    <row r="6653" spans="1:13" s="120" customFormat="1" x14ac:dyDescent="0.25">
      <c r="A6653" s="119"/>
      <c r="B6653" s="138" t="str">
        <f t="shared" si="491"/>
        <v>Windrow</v>
      </c>
      <c r="C6653" s="138" t="str">
        <f t="shared" si="489"/>
        <v>Without Amendment</v>
      </c>
      <c r="D6653" s="138" t="str">
        <f t="shared" si="493"/>
        <v>High_Base</v>
      </c>
      <c r="E6653" s="138" t="str">
        <f t="shared" si="490"/>
        <v>Low</v>
      </c>
      <c r="F6653" s="138" t="str">
        <f t="shared" si="492"/>
        <v>Upgraded</v>
      </c>
      <c r="G6653" s="153"/>
      <c r="H6653" s="210">
        <v>3.3999999999999998E-3</v>
      </c>
      <c r="I6653" s="160" t="s">
        <v>168</v>
      </c>
      <c r="J6653" s="211">
        <v>7.6697000000000004E-7</v>
      </c>
      <c r="K6653" s="160" t="s">
        <v>26</v>
      </c>
      <c r="L6653" s="154" t="str">
        <f>IF(OpenLCAbasic!K6653="CTUh", "Fill in Manually",IF(OR(K6653="Unit", K6653=""), "", INDEX(LookUps!$E$5:$E$12, MATCH(OpenLCAbasic!K6653,LookUps!$D$5:$D$12,0))))</f>
        <v>Water Use (WU) - m3 H2O</v>
      </c>
      <c r="M6653" s="154" t="str">
        <f t="shared" si="494"/>
        <v>Low_High_Base_Upgraded_Water Use (WU) - m3 H2O_ClearCove SCP; wastewater treatment unit; at updated plant - US_Without Amendment_Windrow</v>
      </c>
    </row>
    <row r="6654" spans="1:13" s="120" customFormat="1" x14ac:dyDescent="0.25">
      <c r="A6654" s="119"/>
      <c r="B6654" s="138" t="str">
        <f t="shared" si="491"/>
        <v>Windrow</v>
      </c>
      <c r="C6654" s="138" t="str">
        <f t="shared" si="489"/>
        <v>Without Amendment</v>
      </c>
      <c r="D6654" s="138" t="str">
        <f t="shared" si="493"/>
        <v>High_Base</v>
      </c>
      <c r="E6654" s="138" t="str">
        <f t="shared" si="490"/>
        <v>Low</v>
      </c>
      <c r="F6654" s="138" t="str">
        <f t="shared" si="492"/>
        <v>Upgraded</v>
      </c>
      <c r="G6654" s="153"/>
      <c r="H6654" s="210">
        <v>-0.51670000000000005</v>
      </c>
      <c r="I6654" s="160" t="s">
        <v>149</v>
      </c>
      <c r="J6654" s="160">
        <v>-1.2E-4</v>
      </c>
      <c r="K6654" s="160" t="s">
        <v>26</v>
      </c>
      <c r="L6654" s="154" t="str">
        <f>IF(OpenLCAbasic!K6654="CTUh", "Fill in Manually",IF(OR(K6654="Unit", K6654=""), "", INDEX(LookUps!$E$5:$E$12, MATCH(OpenLCAbasic!K6654,LookUps!$D$5:$D$12,0))))</f>
        <v>Water Use (WU) - m3 H2O</v>
      </c>
      <c r="M6654" s="154" t="str">
        <f t="shared" si="494"/>
        <v>Low_High_Base_Upgraded_Water Use (WU) - m3 H2O_Anaerobic Digestion; wastewater treatment unit; at updated plant - US_Without Amendment_Windrow</v>
      </c>
    </row>
    <row r="6655" spans="1:13" s="120" customFormat="1" x14ac:dyDescent="0.25">
      <c r="A6655" s="119"/>
      <c r="B6655" s="138" t="str">
        <f t="shared" si="491"/>
        <v>Windrow</v>
      </c>
      <c r="C6655" s="138" t="str">
        <f t="shared" si="489"/>
        <v>Without Amendment</v>
      </c>
      <c r="D6655" s="138" t="str">
        <f t="shared" si="493"/>
        <v>High_Base</v>
      </c>
      <c r="E6655" s="138" t="str">
        <f t="shared" si="490"/>
        <v>Low</v>
      </c>
      <c r="F6655" s="138" t="str">
        <f t="shared" si="492"/>
        <v>Upgraded</v>
      </c>
      <c r="G6655" s="153"/>
      <c r="H6655" s="210">
        <v>-5.976</v>
      </c>
      <c r="I6655" s="160" t="s">
        <v>62</v>
      </c>
      <c r="J6655" s="160">
        <v>-1.33E-3</v>
      </c>
      <c r="K6655" s="160" t="s">
        <v>26</v>
      </c>
      <c r="L6655" s="154" t="str">
        <f>IF(OpenLCAbasic!K6655="CTUh", "Fill in Manually",IF(OR(K6655="Unit", K6655=""), "", INDEX(LookUps!$E$5:$E$12, MATCH(OpenLCAbasic!K6655,LookUps!$D$5:$D$12,0))))</f>
        <v>Water Use (WU) - m3 H2O</v>
      </c>
      <c r="M6655" s="154" t="str">
        <f t="shared" si="494"/>
        <v>Low_High_Base_Upgraded_Water Use (WU) - m3 H2O_Land application of compost; wastewater treatment unit; at updated plant - US_Without Amendment_Windrow</v>
      </c>
    </row>
    <row r="6656" spans="1:13" s="120" customFormat="1" x14ac:dyDescent="0.25">
      <c r="A6656" s="119"/>
      <c r="B6656" s="138" t="str">
        <f t="shared" si="491"/>
        <v/>
      </c>
      <c r="C6656" s="138" t="str">
        <f t="shared" si="489"/>
        <v/>
      </c>
      <c r="D6656" s="138" t="str">
        <f>IF(ISNUMBER($J6656),"High_High","")</f>
        <v/>
      </c>
      <c r="E6656" s="138" t="str">
        <f t="shared" si="490"/>
        <v/>
      </c>
      <c r="F6656" s="138" t="str">
        <f t="shared" si="492"/>
        <v/>
      </c>
      <c r="G6656" s="153" t="s">
        <v>51</v>
      </c>
      <c r="H6656" s="160"/>
      <c r="I6656" s="160" t="s">
        <v>47</v>
      </c>
      <c r="J6656" s="160" t="s">
        <v>52</v>
      </c>
      <c r="K6656" s="160" t="s">
        <v>27</v>
      </c>
      <c r="L6656" s="154" t="str">
        <f>IF(OpenLCAbasic!K6656="CTUh", "Fill in Manually",IF(OR(K6656="Unit", K6656=""), "", INDEX(LookUps!$E$5:$E$12, MATCH(OpenLCAbasic!K6656,LookUps!$D$5:$D$12,0))))</f>
        <v/>
      </c>
      <c r="M6656" s="154" t="str">
        <f t="shared" si="494"/>
        <v>____Process__</v>
      </c>
    </row>
    <row r="6657" spans="1:13" s="120" customFormat="1" x14ac:dyDescent="0.25">
      <c r="A6657" s="119"/>
      <c r="B6657" s="138" t="str">
        <f t="shared" si="491"/>
        <v>Windrow</v>
      </c>
      <c r="C6657" s="138" t="str">
        <f t="shared" ref="C6657:C6720" si="495">IF(ISNUMBER($J6657),"Without Amendment","")</f>
        <v>Without Amendment</v>
      </c>
      <c r="D6657" s="138" t="str">
        <f t="shared" ref="D6657:D6720" si="496">IF(ISNUMBER($J6657),"High_High","")</f>
        <v>High_High</v>
      </c>
      <c r="E6657" s="138" t="str">
        <f t="shared" ref="E6657:E6720" si="497">IF(ISNUMBER($J6657),"Low","")</f>
        <v>Low</v>
      </c>
      <c r="F6657" s="138" t="str">
        <f t="shared" si="492"/>
        <v>Upgraded</v>
      </c>
      <c r="G6657" s="153"/>
      <c r="H6657" s="210">
        <v>0.32540000000000002</v>
      </c>
      <c r="I6657" s="160" t="s">
        <v>55</v>
      </c>
      <c r="J6657" s="160">
        <v>1.7219999999999999E-2</v>
      </c>
      <c r="K6657" s="160" t="s">
        <v>24</v>
      </c>
      <c r="L6657" s="154" t="str">
        <f>IF(OpenLCAbasic!K6657="CTUh", "Fill in Manually",IF(OR(K6657="Unit", K6657=""), "", INDEX(LookUps!$E$5:$E$12, MATCH(OpenLCAbasic!K6657,LookUps!$D$5:$D$12,0))))</f>
        <v>Acidification Potential (AP) - kg SO2 eq</v>
      </c>
      <c r="M6657" s="154" t="str">
        <f t="shared" si="494"/>
        <v>Low_High_High_Upgraded_Acidification Potential (AP) - kg SO2 eq_Aeration Tanks; wastewater treatment unit; at updated plant - US_Without Amendment_Windrow</v>
      </c>
    </row>
    <row r="6658" spans="1:13" s="120" customFormat="1" x14ac:dyDescent="0.25">
      <c r="A6658" s="119"/>
      <c r="B6658" s="138" t="str">
        <f t="shared" si="491"/>
        <v>Windrow</v>
      </c>
      <c r="C6658" s="138" t="str">
        <f t="shared" si="495"/>
        <v>Without Amendment</v>
      </c>
      <c r="D6658" s="138" t="str">
        <f t="shared" si="496"/>
        <v>High_High</v>
      </c>
      <c r="E6658" s="138" t="str">
        <f t="shared" si="497"/>
        <v>Low</v>
      </c>
      <c r="F6658" s="138" t="str">
        <f t="shared" si="492"/>
        <v>Upgraded</v>
      </c>
      <c r="G6658" s="153"/>
      <c r="H6658" s="210">
        <v>9.4100000000000003E-2</v>
      </c>
      <c r="I6658" s="160" t="s">
        <v>54</v>
      </c>
      <c r="J6658" s="160">
        <v>4.9800000000000001E-3</v>
      </c>
      <c r="K6658" s="160" t="s">
        <v>24</v>
      </c>
      <c r="L6658" s="154" t="str">
        <f>IF(OpenLCAbasic!K6658="CTUh", "Fill in Manually",IF(OR(K6658="Unit", K6658=""), "", INDEX(LookUps!$E$5:$E$12, MATCH(OpenLCAbasic!K6658,LookUps!$D$5:$D$12,0))))</f>
        <v>Acidification Potential (AP) - kg SO2 eq</v>
      </c>
      <c r="M6658" s="154" t="str">
        <f t="shared" si="494"/>
        <v>Low_High_High_Upgraded_Acidification Potential (AP) - kg SO2 eq_Clear Cove Primary Clarification; wastewater treatment unit; at updated plant - US_Without Amendment_Windrow</v>
      </c>
    </row>
    <row r="6659" spans="1:13" s="120" customFormat="1" x14ac:dyDescent="0.25">
      <c r="A6659" s="119"/>
      <c r="B6659" s="138" t="str">
        <f t="shared" si="491"/>
        <v>Windrow</v>
      </c>
      <c r="C6659" s="138" t="str">
        <f t="shared" si="495"/>
        <v>Without Amendment</v>
      </c>
      <c r="D6659" s="138" t="str">
        <f t="shared" si="496"/>
        <v>High_High</v>
      </c>
      <c r="E6659" s="138" t="str">
        <f t="shared" si="497"/>
        <v>Low</v>
      </c>
      <c r="F6659" s="138" t="str">
        <f t="shared" si="492"/>
        <v>Upgraded</v>
      </c>
      <c r="G6659" s="153"/>
      <c r="H6659" s="210">
        <v>8.2500000000000004E-2</v>
      </c>
      <c r="I6659" s="160" t="s">
        <v>58</v>
      </c>
      <c r="J6659" s="160">
        <v>4.3600000000000002E-3</v>
      </c>
      <c r="K6659" s="160" t="s">
        <v>24</v>
      </c>
      <c r="L6659" s="154" t="str">
        <f>IF(OpenLCAbasic!K6659="CTUh", "Fill in Manually",IF(OR(K6659="Unit", K6659=""), "", INDEX(LookUps!$E$5:$E$12, MATCH(OpenLCAbasic!K6659,LookUps!$D$5:$D$12,0))))</f>
        <v>Acidification Potential (AP) - kg SO2 eq</v>
      </c>
      <c r="M6659" s="154" t="str">
        <f t="shared" si="494"/>
        <v>Low_High_High_Upgraded_Acidification Potential (AP) - kg SO2 eq_Pre-Anoxic &amp; Swing tank; wastewater treatment unit; at updated plant - US_Without Amendment_Windrow</v>
      </c>
    </row>
    <row r="6660" spans="1:13" s="120" customFormat="1" x14ac:dyDescent="0.25">
      <c r="A6660" s="119"/>
      <c r="B6660" s="138" t="str">
        <f t="shared" si="491"/>
        <v>Windrow</v>
      </c>
      <c r="C6660" s="138" t="str">
        <f t="shared" si="495"/>
        <v>Without Amendment</v>
      </c>
      <c r="D6660" s="138" t="str">
        <f t="shared" si="496"/>
        <v>High_High</v>
      </c>
      <c r="E6660" s="138" t="str">
        <f t="shared" si="497"/>
        <v>Low</v>
      </c>
      <c r="F6660" s="138" t="str">
        <f t="shared" si="492"/>
        <v>Upgraded</v>
      </c>
      <c r="G6660" s="153"/>
      <c r="H6660" s="210">
        <v>6.5500000000000003E-2</v>
      </c>
      <c r="I6660" s="160" t="s">
        <v>62</v>
      </c>
      <c r="J6660" s="160">
        <v>3.47E-3</v>
      </c>
      <c r="K6660" s="160" t="s">
        <v>24</v>
      </c>
      <c r="L6660" s="154" t="str">
        <f>IF(OpenLCAbasic!K6660="CTUh", "Fill in Manually",IF(OR(K6660="Unit", K6660=""), "", INDEX(LookUps!$E$5:$E$12, MATCH(OpenLCAbasic!K6660,LookUps!$D$5:$D$12,0))))</f>
        <v>Acidification Potential (AP) - kg SO2 eq</v>
      </c>
      <c r="M6660" s="154" t="str">
        <f t="shared" si="494"/>
        <v>Low_High_High_Upgraded_Acidification Potential (AP) - kg SO2 eq_Land application of compost; wastewater treatment unit; at updated plant - US_Without Amendment_Windrow</v>
      </c>
    </row>
    <row r="6661" spans="1:13" s="120" customFormat="1" x14ac:dyDescent="0.25">
      <c r="A6661" s="119"/>
      <c r="B6661" s="138" t="str">
        <f t="shared" si="491"/>
        <v>Windrow</v>
      </c>
      <c r="C6661" s="138" t="str">
        <f t="shared" si="495"/>
        <v>Without Amendment</v>
      </c>
      <c r="D6661" s="138" t="str">
        <f t="shared" si="496"/>
        <v>High_High</v>
      </c>
      <c r="E6661" s="138" t="str">
        <f t="shared" si="497"/>
        <v>Low</v>
      </c>
      <c r="F6661" s="138" t="str">
        <f t="shared" si="492"/>
        <v>Upgraded</v>
      </c>
      <c r="G6661" s="153"/>
      <c r="H6661" s="210">
        <v>6.5199999999999994E-2</v>
      </c>
      <c r="I6661" s="160" t="s">
        <v>53</v>
      </c>
      <c r="J6661" s="160">
        <v>3.4499999999999999E-3</v>
      </c>
      <c r="K6661" s="160" t="s">
        <v>24</v>
      </c>
      <c r="L6661" s="154" t="str">
        <f>IF(OpenLCAbasic!K6661="CTUh", "Fill in Manually",IF(OR(K6661="Unit", K6661=""), "", INDEX(LookUps!$E$5:$E$12, MATCH(OpenLCAbasic!K6661,LookUps!$D$5:$D$12,0))))</f>
        <v>Acidification Potential (AP) - kg SO2 eq</v>
      </c>
      <c r="M6661" s="154" t="str">
        <f t="shared" si="494"/>
        <v>Low_High_High_Upgraded_Acidification Potential (AP) - kg SO2 eq_Wet Well and Sump Station; wastewater treatment unit; at updated plant - US_Without Amendment_Windrow</v>
      </c>
    </row>
    <row r="6662" spans="1:13" s="120" customFormat="1" x14ac:dyDescent="0.25">
      <c r="A6662" s="119"/>
      <c r="B6662" s="138" t="str">
        <f t="shared" si="491"/>
        <v>Windrow</v>
      </c>
      <c r="C6662" s="138" t="str">
        <f t="shared" si="495"/>
        <v>Without Amendment</v>
      </c>
      <c r="D6662" s="138" t="str">
        <f t="shared" si="496"/>
        <v>High_High</v>
      </c>
      <c r="E6662" s="138" t="str">
        <f t="shared" si="497"/>
        <v>Low</v>
      </c>
      <c r="F6662" s="138" t="str">
        <f t="shared" si="492"/>
        <v>Upgraded</v>
      </c>
      <c r="G6662" s="153"/>
      <c r="H6662" s="210">
        <v>5.11E-2</v>
      </c>
      <c r="I6662" s="160" t="s">
        <v>167</v>
      </c>
      <c r="J6662" s="160">
        <v>2.7000000000000001E-3</v>
      </c>
      <c r="K6662" s="160" t="s">
        <v>24</v>
      </c>
      <c r="L6662" s="154" t="str">
        <f>IF(OpenLCAbasic!K6662="CTUh", "Fill in Manually",IF(OR(K6662="Unit", K6662=""), "", INDEX(LookUps!$E$5:$E$12, MATCH(OpenLCAbasic!K6662,LookUps!$D$5:$D$12,0))))</f>
        <v>Acidification Potential (AP) - kg SO2 eq</v>
      </c>
      <c r="M6662" s="154" t="str">
        <f t="shared" si="494"/>
        <v>Low_High_High_Upgraded_Acidification Potential (AP) - kg SO2 eq_Waste Receiving and Holding; wastewater treatment unit; at updated plant - US_Without Amendment_Windrow</v>
      </c>
    </row>
    <row r="6663" spans="1:13" s="120" customFormat="1" x14ac:dyDescent="0.25">
      <c r="A6663" s="119"/>
      <c r="B6663" s="138" t="str">
        <f t="shared" si="491"/>
        <v>Windrow</v>
      </c>
      <c r="C6663" s="138" t="str">
        <f t="shared" si="495"/>
        <v>Without Amendment</v>
      </c>
      <c r="D6663" s="138" t="str">
        <f t="shared" si="496"/>
        <v>High_High</v>
      </c>
      <c r="E6663" s="138" t="str">
        <f t="shared" si="497"/>
        <v>Low</v>
      </c>
      <c r="F6663" s="138" t="str">
        <f t="shared" si="492"/>
        <v>Upgraded</v>
      </c>
      <c r="G6663" s="153"/>
      <c r="H6663" s="210">
        <v>3.9100000000000003E-2</v>
      </c>
      <c r="I6663" s="160" t="s">
        <v>147</v>
      </c>
      <c r="J6663" s="160">
        <v>2.0699999999999998E-3</v>
      </c>
      <c r="K6663" s="160" t="s">
        <v>24</v>
      </c>
      <c r="L6663" s="154" t="str">
        <f>IF(OpenLCAbasic!K6663="CTUh", "Fill in Manually",IF(OR(K6663="Unit", K6663=""), "", INDEX(LookUps!$E$5:$E$12, MATCH(OpenLCAbasic!K6663,LookUps!$D$5:$D$12,0))))</f>
        <v>Acidification Potential (AP) - kg SO2 eq</v>
      </c>
      <c r="M6663" s="154" t="str">
        <f t="shared" si="494"/>
        <v>Low_High_High_Upgraded_Acidification Potential (AP) - kg SO2 eq_Influent Pump Station; wastewater treatment unit; at updated plant - US_Without Amendment_Windrow</v>
      </c>
    </row>
    <row r="6664" spans="1:13" s="120" customFormat="1" x14ac:dyDescent="0.25">
      <c r="A6664" s="119"/>
      <c r="B6664" s="138" t="str">
        <f t="shared" si="491"/>
        <v>Windrow</v>
      </c>
      <c r="C6664" s="138" t="str">
        <f t="shared" si="495"/>
        <v>Without Amendment</v>
      </c>
      <c r="D6664" s="138" t="str">
        <f t="shared" si="496"/>
        <v>High_High</v>
      </c>
      <c r="E6664" s="138" t="str">
        <f t="shared" si="497"/>
        <v>Low</v>
      </c>
      <c r="F6664" s="138" t="str">
        <f t="shared" si="492"/>
        <v>Upgraded</v>
      </c>
      <c r="G6664" s="153"/>
      <c r="H6664" s="210">
        <v>2.6100000000000002E-2</v>
      </c>
      <c r="I6664" s="160" t="s">
        <v>60</v>
      </c>
      <c r="J6664" s="160">
        <v>1.3799999999999999E-3</v>
      </c>
      <c r="K6664" s="160" t="s">
        <v>24</v>
      </c>
      <c r="L6664" s="154" t="str">
        <f>IF(OpenLCAbasic!K6664="CTUh", "Fill in Manually",IF(OR(K6664="Unit", K6664=""), "", INDEX(LookUps!$E$5:$E$12, MATCH(OpenLCAbasic!K6664,LookUps!$D$5:$D$12,0))))</f>
        <v>Acidification Potential (AP) - kg SO2 eq</v>
      </c>
      <c r="M6664" s="154" t="str">
        <f t="shared" si="494"/>
        <v>Low_High_High_Upgraded_Acidification Potential (AP) - kg SO2 eq_Belt filter press; wastewater treatment unit; at updated plant - US_Without Amendment_Windrow</v>
      </c>
    </row>
    <row r="6665" spans="1:13" s="120" customFormat="1" x14ac:dyDescent="0.25">
      <c r="A6665" s="119"/>
      <c r="B6665" s="138" t="str">
        <f t="shared" si="491"/>
        <v>Windrow</v>
      </c>
      <c r="C6665" s="138" t="str">
        <f t="shared" si="495"/>
        <v>Without Amendment</v>
      </c>
      <c r="D6665" s="138" t="str">
        <f t="shared" si="496"/>
        <v>High_High</v>
      </c>
      <c r="E6665" s="138" t="str">
        <f t="shared" si="497"/>
        <v>Low</v>
      </c>
      <c r="F6665" s="138" t="str">
        <f t="shared" si="492"/>
        <v>Upgraded</v>
      </c>
      <c r="G6665" s="153"/>
      <c r="H6665" s="210">
        <v>2.3300000000000001E-2</v>
      </c>
      <c r="I6665" s="160" t="s">
        <v>128</v>
      </c>
      <c r="J6665" s="160">
        <v>1.23E-3</v>
      </c>
      <c r="K6665" s="160" t="s">
        <v>24</v>
      </c>
      <c r="L6665" s="154" t="str">
        <f>IF(OpenLCAbasic!K6665="CTUh", "Fill in Manually",IF(OR(K6665="Unit", K6665=""), "", INDEX(LookUps!$E$5:$E$12, MATCH(OpenLCAbasic!K6665,LookUps!$D$5:$D$12,0))))</f>
        <v>Acidification Potential (AP) - kg SO2 eq</v>
      </c>
      <c r="M6665" s="154" t="str">
        <f t="shared" si="494"/>
        <v>Low_High_High_Upgraded_Acidification Potential (AP) - kg SO2 eq_Wastewater collection; operation and infrastructure; m3 wastewater_Without Amendment_Windrow</v>
      </c>
    </row>
    <row r="6666" spans="1:13" s="120" customFormat="1" x14ac:dyDescent="0.25">
      <c r="A6666" s="119"/>
      <c r="B6666" s="138" t="str">
        <f t="shared" si="491"/>
        <v>Windrow</v>
      </c>
      <c r="C6666" s="138" t="str">
        <f t="shared" si="495"/>
        <v>Without Amendment</v>
      </c>
      <c r="D6666" s="138" t="str">
        <f t="shared" si="496"/>
        <v>High_High</v>
      </c>
      <c r="E6666" s="138" t="str">
        <f t="shared" si="497"/>
        <v>Low</v>
      </c>
      <c r="F6666" s="138" t="str">
        <f t="shared" si="492"/>
        <v>Upgraded</v>
      </c>
      <c r="G6666" s="153"/>
      <c r="H6666" s="210">
        <v>2.24E-2</v>
      </c>
      <c r="I6666" s="160" t="s">
        <v>271</v>
      </c>
      <c r="J6666" s="160">
        <v>1.1900000000000001E-3</v>
      </c>
      <c r="K6666" s="160" t="s">
        <v>24</v>
      </c>
      <c r="L6666" s="154" t="str">
        <f>IF(OpenLCAbasic!K6666="CTUh", "Fill in Manually",IF(OR(K6666="Unit", K6666=""), "", INDEX(LookUps!$E$5:$E$12, MATCH(OpenLCAbasic!K6666,LookUps!$D$5:$D$12,0))))</f>
        <v>Acidification Potential (AP) - kg SO2 eq</v>
      </c>
      <c r="M6666" s="154" t="str">
        <f t="shared" si="494"/>
        <v>Low_High_High_Upgraded_Acidification Potential (AP) - kg SO2 eq_Biosolids composting; windrow composting; wastewater treatment unit; at updated plant - US_Without Amendment_Windrow</v>
      </c>
    </row>
    <row r="6667" spans="1:13" s="120" customFormat="1" x14ac:dyDescent="0.25">
      <c r="A6667" s="119"/>
      <c r="B6667" s="138" t="str">
        <f t="shared" si="491"/>
        <v>Windrow</v>
      </c>
      <c r="C6667" s="138" t="str">
        <f t="shared" si="495"/>
        <v>Without Amendment</v>
      </c>
      <c r="D6667" s="138" t="str">
        <f t="shared" si="496"/>
        <v>High_High</v>
      </c>
      <c r="E6667" s="138" t="str">
        <f t="shared" si="497"/>
        <v>Low</v>
      </c>
      <c r="F6667" s="138" t="str">
        <f t="shared" si="492"/>
        <v>Upgraded</v>
      </c>
      <c r="G6667" s="153"/>
      <c r="H6667" s="210">
        <v>1.3299999999999999E-2</v>
      </c>
      <c r="I6667" s="160" t="s">
        <v>57</v>
      </c>
      <c r="J6667" s="160">
        <v>6.9999999999999999E-4</v>
      </c>
      <c r="K6667" s="160" t="s">
        <v>24</v>
      </c>
      <c r="L6667" s="154" t="str">
        <f>IF(OpenLCAbasic!K6667="CTUh", "Fill in Manually",IF(OR(K6667="Unit", K6667=""), "", INDEX(LookUps!$E$5:$E$12, MATCH(OpenLCAbasic!K6667,LookUps!$D$5:$D$12,0))))</f>
        <v>Acidification Potential (AP) - kg SO2 eq</v>
      </c>
      <c r="M6667" s="154" t="str">
        <f t="shared" si="494"/>
        <v>Low_High_High_Upgraded_Acidification Potential (AP) - kg SO2 eq_Gravity Belt Thickener; wastewater treatment unit; at updated plant - US_Without Amendment_Windrow</v>
      </c>
    </row>
    <row r="6668" spans="1:13" s="120" customFormat="1" x14ac:dyDescent="0.25">
      <c r="A6668" s="119"/>
      <c r="B6668" s="138" t="str">
        <f t="shared" si="491"/>
        <v>Windrow</v>
      </c>
      <c r="C6668" s="138" t="str">
        <f t="shared" si="495"/>
        <v>Without Amendment</v>
      </c>
      <c r="D6668" s="138" t="str">
        <f t="shared" si="496"/>
        <v>High_High</v>
      </c>
      <c r="E6668" s="138" t="str">
        <f t="shared" si="497"/>
        <v>Low</v>
      </c>
      <c r="F6668" s="138" t="str">
        <f t="shared" si="492"/>
        <v>Upgraded</v>
      </c>
      <c r="G6668" s="153"/>
      <c r="H6668" s="210">
        <v>9.7999999999999997E-3</v>
      </c>
      <c r="I6668" s="160" t="s">
        <v>59</v>
      </c>
      <c r="J6668" s="160">
        <v>5.1999999999999995E-4</v>
      </c>
      <c r="K6668" s="160" t="s">
        <v>24</v>
      </c>
      <c r="L6668" s="154" t="str">
        <f>IF(OpenLCAbasic!K6668="CTUh", "Fill in Manually",IF(OR(K6668="Unit", K6668=""), "", INDEX(LookUps!$E$5:$E$12, MATCH(OpenLCAbasic!K6668,LookUps!$D$5:$D$12,0))))</f>
        <v>Acidification Potential (AP) - kg SO2 eq</v>
      </c>
      <c r="M6668" s="154" t="str">
        <f t="shared" si="494"/>
        <v>Low_High_High_Upgraded_Acidification Potential (AP) - kg SO2 eq_Blend Tank; wastewater treatment unit; at updated plant - US_Without Amendment_Windrow</v>
      </c>
    </row>
    <row r="6669" spans="1:13" s="120" customFormat="1" x14ac:dyDescent="0.25">
      <c r="A6669" s="119"/>
      <c r="B6669" s="138" t="str">
        <f t="shared" si="491"/>
        <v>Windrow</v>
      </c>
      <c r="C6669" s="138" t="str">
        <f t="shared" si="495"/>
        <v>Without Amendment</v>
      </c>
      <c r="D6669" s="138" t="str">
        <f t="shared" si="496"/>
        <v>High_High</v>
      </c>
      <c r="E6669" s="138" t="str">
        <f t="shared" si="497"/>
        <v>Low</v>
      </c>
      <c r="F6669" s="138" t="str">
        <f t="shared" si="492"/>
        <v>Upgraded</v>
      </c>
      <c r="G6669" s="153"/>
      <c r="H6669" s="210">
        <v>6.4999999999999997E-3</v>
      </c>
      <c r="I6669" s="160" t="s">
        <v>48</v>
      </c>
      <c r="J6669" s="160">
        <v>3.5E-4</v>
      </c>
      <c r="K6669" s="160" t="s">
        <v>24</v>
      </c>
      <c r="L6669" s="154" t="str">
        <f>IF(OpenLCAbasic!K6669="CTUh", "Fill in Manually",IF(OR(K6669="Unit", K6669=""), "", INDEX(LookUps!$E$5:$E$12, MATCH(OpenLCAbasic!K6669,LookUps!$D$5:$D$12,0))))</f>
        <v>Acidification Potential (AP) - kg SO2 eq</v>
      </c>
      <c r="M6669" s="154" t="str">
        <f t="shared" si="494"/>
        <v>Low_High_High_Upgraded_Acidification Potential (AP) - kg SO2 eq_Effluent release; wastewater treatment unit; at surface water; m3 wastewater - US_Without Amendment_Windrow</v>
      </c>
    </row>
    <row r="6670" spans="1:13" s="120" customFormat="1" x14ac:dyDescent="0.25">
      <c r="A6670" s="119"/>
      <c r="B6670" s="138" t="str">
        <f t="shared" si="491"/>
        <v>Windrow</v>
      </c>
      <c r="C6670" s="138" t="str">
        <f t="shared" si="495"/>
        <v>Without Amendment</v>
      </c>
      <c r="D6670" s="138" t="str">
        <f t="shared" si="496"/>
        <v>High_High</v>
      </c>
      <c r="E6670" s="138" t="str">
        <f t="shared" si="497"/>
        <v>Low</v>
      </c>
      <c r="F6670" s="138" t="str">
        <f t="shared" si="492"/>
        <v>Upgraded</v>
      </c>
      <c r="G6670" s="153"/>
      <c r="H6670" s="210">
        <v>4.7999999999999996E-3</v>
      </c>
      <c r="I6670" s="160" t="s">
        <v>168</v>
      </c>
      <c r="J6670" s="160">
        <v>2.5999999999999998E-4</v>
      </c>
      <c r="K6670" s="160" t="s">
        <v>24</v>
      </c>
      <c r="L6670" s="154" t="str">
        <f>IF(OpenLCAbasic!K6670="CTUh", "Fill in Manually",IF(OR(K6670="Unit", K6670=""), "", INDEX(LookUps!$E$5:$E$12, MATCH(OpenLCAbasic!K6670,LookUps!$D$5:$D$12,0))))</f>
        <v>Acidification Potential (AP) - kg SO2 eq</v>
      </c>
      <c r="M6670" s="154" t="str">
        <f t="shared" si="494"/>
        <v>Low_High_High_Upgraded_Acidification Potential (AP) - kg SO2 eq_ClearCove SCP; wastewater treatment unit; at updated plant - US_Without Amendment_Windrow</v>
      </c>
    </row>
    <row r="6671" spans="1:13" s="120" customFormat="1" x14ac:dyDescent="0.25">
      <c r="A6671" s="119"/>
      <c r="B6671" s="138" t="str">
        <f t="shared" si="491"/>
        <v>Windrow</v>
      </c>
      <c r="C6671" s="138" t="str">
        <f t="shared" si="495"/>
        <v>Without Amendment</v>
      </c>
      <c r="D6671" s="138" t="str">
        <f t="shared" si="496"/>
        <v>High_High</v>
      </c>
      <c r="E6671" s="138" t="str">
        <f t="shared" si="497"/>
        <v>Low</v>
      </c>
      <c r="F6671" s="138" t="str">
        <f t="shared" si="492"/>
        <v>Upgraded</v>
      </c>
      <c r="G6671" s="153"/>
      <c r="H6671" s="210">
        <v>8.0000000000000004E-4</v>
      </c>
      <c r="I6671" s="160" t="s">
        <v>148</v>
      </c>
      <c r="J6671" s="211">
        <v>4.0354700000000002E-5</v>
      </c>
      <c r="K6671" s="160" t="s">
        <v>24</v>
      </c>
      <c r="L6671" s="154" t="str">
        <f>IF(OpenLCAbasic!K6671="CTUh", "Fill in Manually",IF(OR(K6671="Unit", K6671=""), "", INDEX(LookUps!$E$5:$E$12, MATCH(OpenLCAbasic!K6671,LookUps!$D$5:$D$12,0))))</f>
        <v>Acidification Potential (AP) - kg SO2 eq</v>
      </c>
      <c r="M6671" s="154" t="str">
        <f t="shared" si="494"/>
        <v>Low_High_High_Upgraded_Acidification Potential (AP) - kg SO2 eq_Control Building; at upgraded wastewater treatment plant - US_Without Amendment_Windrow</v>
      </c>
    </row>
    <row r="6672" spans="1:13" s="120" customFormat="1" x14ac:dyDescent="0.25">
      <c r="A6672" s="119"/>
      <c r="B6672" s="138" t="str">
        <f t="shared" si="491"/>
        <v>Windrow</v>
      </c>
      <c r="C6672" s="138" t="str">
        <f t="shared" si="495"/>
        <v>Without Amendment</v>
      </c>
      <c r="D6672" s="138" t="str">
        <f t="shared" si="496"/>
        <v>High_High</v>
      </c>
      <c r="E6672" s="138" t="str">
        <f t="shared" si="497"/>
        <v>Low</v>
      </c>
      <c r="F6672" s="138" t="str">
        <f t="shared" si="492"/>
        <v>Upgraded</v>
      </c>
      <c r="G6672" s="153"/>
      <c r="H6672" s="210">
        <v>-1.8299000000000001</v>
      </c>
      <c r="I6672" s="160" t="s">
        <v>149</v>
      </c>
      <c r="J6672" s="160">
        <v>-9.6839999999999996E-2</v>
      </c>
      <c r="K6672" s="160" t="s">
        <v>24</v>
      </c>
      <c r="L6672" s="154" t="str">
        <f>IF(OpenLCAbasic!K6672="CTUh", "Fill in Manually",IF(OR(K6672="Unit", K6672=""), "", INDEX(LookUps!$E$5:$E$12, MATCH(OpenLCAbasic!K6672,LookUps!$D$5:$D$12,0))))</f>
        <v>Acidification Potential (AP) - kg SO2 eq</v>
      </c>
      <c r="M6672" s="154" t="str">
        <f t="shared" si="494"/>
        <v>Low_High_High_Upgraded_Acidification Potential (AP) - kg SO2 eq_Anaerobic Digestion; wastewater treatment unit; at updated plant - US_Without Amendment_Windrow</v>
      </c>
    </row>
    <row r="6673" spans="1:13" s="120" customFormat="1" x14ac:dyDescent="0.25">
      <c r="A6673" s="119"/>
      <c r="B6673" s="138" t="str">
        <f t="shared" si="491"/>
        <v/>
      </c>
      <c r="C6673" s="138" t="str">
        <f t="shared" si="495"/>
        <v/>
      </c>
      <c r="D6673" s="138" t="str">
        <f t="shared" si="496"/>
        <v/>
      </c>
      <c r="E6673" s="138" t="str">
        <f t="shared" si="497"/>
        <v/>
      </c>
      <c r="F6673" s="138" t="str">
        <f t="shared" si="492"/>
        <v/>
      </c>
      <c r="G6673" s="153" t="s">
        <v>51</v>
      </c>
      <c r="H6673" s="160"/>
      <c r="I6673" s="160" t="s">
        <v>47</v>
      </c>
      <c r="J6673" s="160" t="s">
        <v>52</v>
      </c>
      <c r="K6673" s="160" t="s">
        <v>27</v>
      </c>
      <c r="L6673" s="154" t="str">
        <f>IF(OpenLCAbasic!K6673="CTUh", "Fill in Manually",IF(OR(K6673="Unit", K6673=""), "", INDEX(LookUps!$E$5:$E$12, MATCH(OpenLCAbasic!K6673,LookUps!$D$5:$D$12,0))))</f>
        <v/>
      </c>
      <c r="M6673" s="154" t="str">
        <f t="shared" si="494"/>
        <v>____Process__</v>
      </c>
    </row>
    <row r="6674" spans="1:13" s="120" customFormat="1" x14ac:dyDescent="0.25">
      <c r="A6674" s="119"/>
      <c r="B6674" s="138" t="str">
        <f t="shared" si="491"/>
        <v>Windrow</v>
      </c>
      <c r="C6674" s="138" t="str">
        <f t="shared" si="495"/>
        <v>Without Amendment</v>
      </c>
      <c r="D6674" s="138" t="str">
        <f t="shared" si="496"/>
        <v>High_High</v>
      </c>
      <c r="E6674" s="138" t="str">
        <f t="shared" si="497"/>
        <v>Low</v>
      </c>
      <c r="F6674" s="138" t="str">
        <f t="shared" si="492"/>
        <v>Upgraded</v>
      </c>
      <c r="G6674" s="153"/>
      <c r="H6674" s="210">
        <v>0.50260000000000005</v>
      </c>
      <c r="I6674" s="160" t="s">
        <v>167</v>
      </c>
      <c r="J6674" s="160">
        <v>5.1393399999999998</v>
      </c>
      <c r="K6674" s="160" t="s">
        <v>15</v>
      </c>
      <c r="L6674" s="154" t="str">
        <f>IF(OpenLCAbasic!K6674="CTUh", "Fill in Manually",IF(OR(K6674="Unit", K6674=""), "", INDEX(LookUps!$E$5:$E$12, MATCH(OpenLCAbasic!K6674,LookUps!$D$5:$D$12,0))))</f>
        <v>Cumulative Energy Demand (CED) - MJ</v>
      </c>
      <c r="M6674" s="154" t="str">
        <f t="shared" si="494"/>
        <v>Low_High_High_Upgraded_Cumulative Energy Demand (CED) - MJ_Waste Receiving and Holding; wastewater treatment unit; at updated plant - US_Without Amendment_Windrow</v>
      </c>
    </row>
    <row r="6675" spans="1:13" s="120" customFormat="1" x14ac:dyDescent="0.25">
      <c r="A6675" s="119"/>
      <c r="B6675" s="138" t="str">
        <f t="shared" si="491"/>
        <v>Windrow</v>
      </c>
      <c r="C6675" s="138" t="str">
        <f t="shared" si="495"/>
        <v>Without Amendment</v>
      </c>
      <c r="D6675" s="138" t="str">
        <f t="shared" si="496"/>
        <v>High_High</v>
      </c>
      <c r="E6675" s="138" t="str">
        <f t="shared" si="497"/>
        <v>Low</v>
      </c>
      <c r="F6675" s="138" t="str">
        <f t="shared" si="492"/>
        <v>Upgraded</v>
      </c>
      <c r="G6675" s="153"/>
      <c r="H6675" s="210">
        <v>0.34549999999999997</v>
      </c>
      <c r="I6675" s="160" t="s">
        <v>55</v>
      </c>
      <c r="J6675" s="160">
        <v>3.5330499999999998</v>
      </c>
      <c r="K6675" s="160" t="s">
        <v>15</v>
      </c>
      <c r="L6675" s="154" t="str">
        <f>IF(OpenLCAbasic!K6675="CTUh", "Fill in Manually",IF(OR(K6675="Unit", K6675=""), "", INDEX(LookUps!$E$5:$E$12, MATCH(OpenLCAbasic!K6675,LookUps!$D$5:$D$12,0))))</f>
        <v>Cumulative Energy Demand (CED) - MJ</v>
      </c>
      <c r="M6675" s="154" t="str">
        <f t="shared" si="494"/>
        <v>Low_High_High_Upgraded_Cumulative Energy Demand (CED) - MJ_Aeration Tanks; wastewater treatment unit; at updated plant - US_Without Amendment_Windrow</v>
      </c>
    </row>
    <row r="6676" spans="1:13" s="120" customFormat="1" x14ac:dyDescent="0.25">
      <c r="A6676" s="119"/>
      <c r="B6676" s="138" t="str">
        <f t="shared" si="491"/>
        <v>Windrow</v>
      </c>
      <c r="C6676" s="138" t="str">
        <f t="shared" si="495"/>
        <v>Without Amendment</v>
      </c>
      <c r="D6676" s="138" t="str">
        <f t="shared" si="496"/>
        <v>High_High</v>
      </c>
      <c r="E6676" s="138" t="str">
        <f t="shared" si="497"/>
        <v>Low</v>
      </c>
      <c r="F6676" s="138" t="str">
        <f t="shared" si="492"/>
        <v>Upgraded</v>
      </c>
      <c r="G6676" s="153"/>
      <c r="H6676" s="210">
        <v>0.1137</v>
      </c>
      <c r="I6676" s="160" t="s">
        <v>54</v>
      </c>
      <c r="J6676" s="160">
        <v>1.16289</v>
      </c>
      <c r="K6676" s="160" t="s">
        <v>15</v>
      </c>
      <c r="L6676" s="154" t="str">
        <f>IF(OpenLCAbasic!K6676="CTUh", "Fill in Manually",IF(OR(K6676="Unit", K6676=""), "", INDEX(LookUps!$E$5:$E$12, MATCH(OpenLCAbasic!K6676,LookUps!$D$5:$D$12,0))))</f>
        <v>Cumulative Energy Demand (CED) - MJ</v>
      </c>
      <c r="M6676" s="154" t="str">
        <f t="shared" si="494"/>
        <v>Low_High_High_Upgraded_Cumulative Energy Demand (CED) - MJ_Clear Cove Primary Clarification; wastewater treatment unit; at updated plant - US_Without Amendment_Windrow</v>
      </c>
    </row>
    <row r="6677" spans="1:13" s="120" customFormat="1" x14ac:dyDescent="0.25">
      <c r="A6677" s="119"/>
      <c r="B6677" s="138" t="str">
        <f t="shared" si="491"/>
        <v>Windrow</v>
      </c>
      <c r="C6677" s="138" t="str">
        <f t="shared" si="495"/>
        <v>Without Amendment</v>
      </c>
      <c r="D6677" s="138" t="str">
        <f t="shared" si="496"/>
        <v>High_High</v>
      </c>
      <c r="E6677" s="138" t="str">
        <f t="shared" si="497"/>
        <v>Low</v>
      </c>
      <c r="F6677" s="138" t="str">
        <f t="shared" si="492"/>
        <v>Upgraded</v>
      </c>
      <c r="G6677" s="153"/>
      <c r="H6677" s="210">
        <v>8.7099999999999997E-2</v>
      </c>
      <c r="I6677" s="160" t="s">
        <v>58</v>
      </c>
      <c r="J6677" s="160">
        <v>0.89063999999999999</v>
      </c>
      <c r="K6677" s="160" t="s">
        <v>15</v>
      </c>
      <c r="L6677" s="154" t="str">
        <f>IF(OpenLCAbasic!K6677="CTUh", "Fill in Manually",IF(OR(K6677="Unit", K6677=""), "", INDEX(LookUps!$E$5:$E$12, MATCH(OpenLCAbasic!K6677,LookUps!$D$5:$D$12,0))))</f>
        <v>Cumulative Energy Demand (CED) - MJ</v>
      </c>
      <c r="M6677" s="154" t="str">
        <f t="shared" si="494"/>
        <v>Low_High_High_Upgraded_Cumulative Energy Demand (CED) - MJ_Pre-Anoxic &amp; Swing tank; wastewater treatment unit; at updated plant - US_Without Amendment_Windrow</v>
      </c>
    </row>
    <row r="6678" spans="1:13" s="120" customFormat="1" x14ac:dyDescent="0.25">
      <c r="A6678" s="119"/>
      <c r="B6678" s="138" t="str">
        <f t="shared" si="491"/>
        <v>Windrow</v>
      </c>
      <c r="C6678" s="138" t="str">
        <f t="shared" si="495"/>
        <v>Without Amendment</v>
      </c>
      <c r="D6678" s="138" t="str">
        <f t="shared" si="496"/>
        <v>High_High</v>
      </c>
      <c r="E6678" s="138" t="str">
        <f t="shared" si="497"/>
        <v>Low</v>
      </c>
      <c r="F6678" s="138" t="str">
        <f t="shared" si="492"/>
        <v>Upgraded</v>
      </c>
      <c r="G6678" s="153"/>
      <c r="H6678" s="210">
        <v>8.6300000000000002E-2</v>
      </c>
      <c r="I6678" s="160" t="s">
        <v>147</v>
      </c>
      <c r="J6678" s="160">
        <v>0.88297000000000003</v>
      </c>
      <c r="K6678" s="160" t="s">
        <v>15</v>
      </c>
      <c r="L6678" s="154" t="str">
        <f>IF(OpenLCAbasic!K6678="CTUh", "Fill in Manually",IF(OR(K6678="Unit", K6678=""), "", INDEX(LookUps!$E$5:$E$12, MATCH(OpenLCAbasic!K6678,LookUps!$D$5:$D$12,0))))</f>
        <v>Cumulative Energy Demand (CED) - MJ</v>
      </c>
      <c r="M6678" s="154" t="str">
        <f t="shared" si="494"/>
        <v>Low_High_High_Upgraded_Cumulative Energy Demand (CED) - MJ_Influent Pump Station; wastewater treatment unit; at updated plant - US_Without Amendment_Windrow</v>
      </c>
    </row>
    <row r="6679" spans="1:13" s="120" customFormat="1" x14ac:dyDescent="0.25">
      <c r="A6679" s="119"/>
      <c r="B6679" s="138" t="str">
        <f t="shared" si="491"/>
        <v>Windrow</v>
      </c>
      <c r="C6679" s="138" t="str">
        <f t="shared" si="495"/>
        <v>Without Amendment</v>
      </c>
      <c r="D6679" s="138" t="str">
        <f t="shared" si="496"/>
        <v>High_High</v>
      </c>
      <c r="E6679" s="138" t="str">
        <f t="shared" si="497"/>
        <v>Low</v>
      </c>
      <c r="F6679" s="138" t="str">
        <f t="shared" si="492"/>
        <v>Upgraded</v>
      </c>
      <c r="G6679" s="153"/>
      <c r="H6679" s="210">
        <v>6.8099999999999994E-2</v>
      </c>
      <c r="I6679" s="160" t="s">
        <v>53</v>
      </c>
      <c r="J6679" s="160">
        <v>0.69645000000000001</v>
      </c>
      <c r="K6679" s="160" t="s">
        <v>15</v>
      </c>
      <c r="L6679" s="154" t="str">
        <f>IF(OpenLCAbasic!K6679="CTUh", "Fill in Manually",IF(OR(K6679="Unit", K6679=""), "", INDEX(LookUps!$E$5:$E$12, MATCH(OpenLCAbasic!K6679,LookUps!$D$5:$D$12,0))))</f>
        <v>Cumulative Energy Demand (CED) - MJ</v>
      </c>
      <c r="M6679" s="154" t="str">
        <f t="shared" si="494"/>
        <v>Low_High_High_Upgraded_Cumulative Energy Demand (CED) - MJ_Wet Well and Sump Station; wastewater treatment unit; at updated plant - US_Without Amendment_Windrow</v>
      </c>
    </row>
    <row r="6680" spans="1:13" s="120" customFormat="1" x14ac:dyDescent="0.25">
      <c r="A6680" s="119"/>
      <c r="B6680" s="138" t="str">
        <f t="shared" si="491"/>
        <v>Windrow</v>
      </c>
      <c r="C6680" s="138" t="str">
        <f t="shared" si="495"/>
        <v>Without Amendment</v>
      </c>
      <c r="D6680" s="138" t="str">
        <f t="shared" si="496"/>
        <v>High_High</v>
      </c>
      <c r="E6680" s="138" t="str">
        <f t="shared" si="497"/>
        <v>Low</v>
      </c>
      <c r="F6680" s="138" t="str">
        <f t="shared" si="492"/>
        <v>Upgraded</v>
      </c>
      <c r="G6680" s="153"/>
      <c r="H6680" s="210">
        <v>5.0500000000000003E-2</v>
      </c>
      <c r="I6680" s="160" t="s">
        <v>60</v>
      </c>
      <c r="J6680" s="160">
        <v>0.51639000000000002</v>
      </c>
      <c r="K6680" s="160" t="s">
        <v>15</v>
      </c>
      <c r="L6680" s="154" t="str">
        <f>IF(OpenLCAbasic!K6680="CTUh", "Fill in Manually",IF(OR(K6680="Unit", K6680=""), "", INDEX(LookUps!$E$5:$E$12, MATCH(OpenLCAbasic!K6680,LookUps!$D$5:$D$12,0))))</f>
        <v>Cumulative Energy Demand (CED) - MJ</v>
      </c>
      <c r="M6680" s="154" t="str">
        <f t="shared" si="494"/>
        <v>Low_High_High_Upgraded_Cumulative Energy Demand (CED) - MJ_Belt filter press; wastewater treatment unit; at updated plant - US_Without Amendment_Windrow</v>
      </c>
    </row>
    <row r="6681" spans="1:13" s="120" customFormat="1" x14ac:dyDescent="0.25">
      <c r="A6681" s="119"/>
      <c r="B6681" s="138" t="str">
        <f t="shared" si="491"/>
        <v>Windrow</v>
      </c>
      <c r="C6681" s="138" t="str">
        <f t="shared" si="495"/>
        <v>Without Amendment</v>
      </c>
      <c r="D6681" s="138" t="str">
        <f t="shared" si="496"/>
        <v>High_High</v>
      </c>
      <c r="E6681" s="138" t="str">
        <f t="shared" si="497"/>
        <v>Low</v>
      </c>
      <c r="F6681" s="138" t="str">
        <f t="shared" si="492"/>
        <v>Upgraded</v>
      </c>
      <c r="G6681" s="153"/>
      <c r="H6681" s="210">
        <v>3.27E-2</v>
      </c>
      <c r="I6681" s="160" t="s">
        <v>57</v>
      </c>
      <c r="J6681" s="160">
        <v>0.33404</v>
      </c>
      <c r="K6681" s="160" t="s">
        <v>15</v>
      </c>
      <c r="L6681" s="154" t="str">
        <f>IF(OpenLCAbasic!K6681="CTUh", "Fill in Manually",IF(OR(K6681="Unit", K6681=""), "", INDEX(LookUps!$E$5:$E$12, MATCH(OpenLCAbasic!K6681,LookUps!$D$5:$D$12,0))))</f>
        <v>Cumulative Energy Demand (CED) - MJ</v>
      </c>
      <c r="M6681" s="154" t="str">
        <f t="shared" si="494"/>
        <v>Low_High_High_Upgraded_Cumulative Energy Demand (CED) - MJ_Gravity Belt Thickener; wastewater treatment unit; at updated plant - US_Without Amendment_Windrow</v>
      </c>
    </row>
    <row r="6682" spans="1:13" s="120" customFormat="1" x14ac:dyDescent="0.25">
      <c r="A6682" s="119"/>
      <c r="B6682" s="138" t="str">
        <f t="shared" si="491"/>
        <v>Windrow</v>
      </c>
      <c r="C6682" s="138" t="str">
        <f t="shared" si="495"/>
        <v>Without Amendment</v>
      </c>
      <c r="D6682" s="138" t="str">
        <f t="shared" si="496"/>
        <v>High_High</v>
      </c>
      <c r="E6682" s="138" t="str">
        <f t="shared" si="497"/>
        <v>Low</v>
      </c>
      <c r="F6682" s="138" t="str">
        <f t="shared" si="492"/>
        <v>Upgraded</v>
      </c>
      <c r="G6682" s="153"/>
      <c r="H6682" s="210">
        <v>2.5000000000000001E-2</v>
      </c>
      <c r="I6682" s="160" t="s">
        <v>128</v>
      </c>
      <c r="J6682" s="160">
        <v>0.25606000000000001</v>
      </c>
      <c r="K6682" s="160" t="s">
        <v>15</v>
      </c>
      <c r="L6682" s="154" t="str">
        <f>IF(OpenLCAbasic!K6682="CTUh", "Fill in Manually",IF(OR(K6682="Unit", K6682=""), "", INDEX(LookUps!$E$5:$E$12, MATCH(OpenLCAbasic!K6682,LookUps!$D$5:$D$12,0))))</f>
        <v>Cumulative Energy Demand (CED) - MJ</v>
      </c>
      <c r="M6682" s="154" t="str">
        <f t="shared" si="494"/>
        <v>Low_High_High_Upgraded_Cumulative Energy Demand (CED) - MJ_Wastewater collection; operation and infrastructure; m3 wastewater_Without Amendment_Windrow</v>
      </c>
    </row>
    <row r="6683" spans="1:13" s="120" customFormat="1" x14ac:dyDescent="0.25">
      <c r="A6683" s="119"/>
      <c r="B6683" s="138" t="str">
        <f t="shared" si="491"/>
        <v>Windrow</v>
      </c>
      <c r="C6683" s="138" t="str">
        <f t="shared" si="495"/>
        <v>Without Amendment</v>
      </c>
      <c r="D6683" s="138" t="str">
        <f t="shared" si="496"/>
        <v>High_High</v>
      </c>
      <c r="E6683" s="138" t="str">
        <f t="shared" si="497"/>
        <v>Low</v>
      </c>
      <c r="F6683" s="138" t="str">
        <f t="shared" si="492"/>
        <v>Upgraded</v>
      </c>
      <c r="G6683" s="153"/>
      <c r="H6683" s="210">
        <v>1.43E-2</v>
      </c>
      <c r="I6683" s="160" t="s">
        <v>148</v>
      </c>
      <c r="J6683" s="160">
        <v>0.14599000000000001</v>
      </c>
      <c r="K6683" s="160" t="s">
        <v>15</v>
      </c>
      <c r="L6683" s="154" t="str">
        <f>IF(OpenLCAbasic!K6683="CTUh", "Fill in Manually",IF(OR(K6683="Unit", K6683=""), "", INDEX(LookUps!$E$5:$E$12, MATCH(OpenLCAbasic!K6683,LookUps!$D$5:$D$12,0))))</f>
        <v>Cumulative Energy Demand (CED) - MJ</v>
      </c>
      <c r="M6683" s="154" t="str">
        <f t="shared" si="494"/>
        <v>Low_High_High_Upgraded_Cumulative Energy Demand (CED) - MJ_Control Building; at upgraded wastewater treatment plant - US_Without Amendment_Windrow</v>
      </c>
    </row>
    <row r="6684" spans="1:13" s="120" customFormat="1" x14ac:dyDescent="0.25">
      <c r="A6684" s="119"/>
      <c r="B6684" s="138" t="str">
        <f t="shared" si="491"/>
        <v>Windrow</v>
      </c>
      <c r="C6684" s="138" t="str">
        <f t="shared" si="495"/>
        <v>Without Amendment</v>
      </c>
      <c r="D6684" s="138" t="str">
        <f t="shared" si="496"/>
        <v>High_High</v>
      </c>
      <c r="E6684" s="138" t="str">
        <f t="shared" si="497"/>
        <v>Low</v>
      </c>
      <c r="F6684" s="138" t="str">
        <f t="shared" si="492"/>
        <v>Upgraded</v>
      </c>
      <c r="G6684" s="153"/>
      <c r="H6684" s="210">
        <v>1.2999999999999999E-2</v>
      </c>
      <c r="I6684" s="160" t="s">
        <v>48</v>
      </c>
      <c r="J6684" s="160">
        <v>0.13321</v>
      </c>
      <c r="K6684" s="160" t="s">
        <v>15</v>
      </c>
      <c r="L6684" s="154" t="str">
        <f>IF(OpenLCAbasic!K6684="CTUh", "Fill in Manually",IF(OR(K6684="Unit", K6684=""), "", INDEX(LookUps!$E$5:$E$12, MATCH(OpenLCAbasic!K6684,LookUps!$D$5:$D$12,0))))</f>
        <v>Cumulative Energy Demand (CED) - MJ</v>
      </c>
      <c r="M6684" s="154" t="str">
        <f t="shared" si="494"/>
        <v>Low_High_High_Upgraded_Cumulative Energy Demand (CED) - MJ_Effluent release; wastewater treatment unit; at surface water; m3 wastewater - US_Without Amendment_Windrow</v>
      </c>
    </row>
    <row r="6685" spans="1:13" s="120" customFormat="1" x14ac:dyDescent="0.25">
      <c r="A6685" s="119"/>
      <c r="B6685" s="138" t="str">
        <f t="shared" si="491"/>
        <v>Windrow</v>
      </c>
      <c r="C6685" s="138" t="str">
        <f t="shared" si="495"/>
        <v>Without Amendment</v>
      </c>
      <c r="D6685" s="138" t="str">
        <f t="shared" si="496"/>
        <v>High_High</v>
      </c>
      <c r="E6685" s="138" t="str">
        <f t="shared" si="497"/>
        <v>Low</v>
      </c>
      <c r="F6685" s="138" t="str">
        <f t="shared" si="492"/>
        <v>Upgraded</v>
      </c>
      <c r="G6685" s="153"/>
      <c r="H6685" s="210">
        <v>1.04E-2</v>
      </c>
      <c r="I6685" s="160" t="s">
        <v>59</v>
      </c>
      <c r="J6685" s="160">
        <v>0.10638</v>
      </c>
      <c r="K6685" s="160" t="s">
        <v>15</v>
      </c>
      <c r="L6685" s="154" t="str">
        <f>IF(OpenLCAbasic!K6685="CTUh", "Fill in Manually",IF(OR(K6685="Unit", K6685=""), "", INDEX(LookUps!$E$5:$E$12, MATCH(OpenLCAbasic!K6685,LookUps!$D$5:$D$12,0))))</f>
        <v>Cumulative Energy Demand (CED) - MJ</v>
      </c>
      <c r="M6685" s="154" t="str">
        <f t="shared" si="494"/>
        <v>Low_High_High_Upgraded_Cumulative Energy Demand (CED) - MJ_Blend Tank; wastewater treatment unit; at updated plant - US_Without Amendment_Windrow</v>
      </c>
    </row>
    <row r="6686" spans="1:13" s="120" customFormat="1" x14ac:dyDescent="0.25">
      <c r="A6686" s="119"/>
      <c r="B6686" s="138" t="str">
        <f t="shared" si="491"/>
        <v>Windrow</v>
      </c>
      <c r="C6686" s="138" t="str">
        <f t="shared" si="495"/>
        <v>Without Amendment</v>
      </c>
      <c r="D6686" s="138" t="str">
        <f t="shared" si="496"/>
        <v>High_High</v>
      </c>
      <c r="E6686" s="138" t="str">
        <f t="shared" si="497"/>
        <v>Low</v>
      </c>
      <c r="F6686" s="138" t="str">
        <f t="shared" si="492"/>
        <v>Upgraded</v>
      </c>
      <c r="G6686" s="153"/>
      <c r="H6686" s="210">
        <v>5.0000000000000001E-3</v>
      </c>
      <c r="I6686" s="160" t="s">
        <v>168</v>
      </c>
      <c r="J6686" s="160">
        <v>5.0930000000000003E-2</v>
      </c>
      <c r="K6686" s="160" t="s">
        <v>15</v>
      </c>
      <c r="L6686" s="154" t="str">
        <f>IF(OpenLCAbasic!K6686="CTUh", "Fill in Manually",IF(OR(K6686="Unit", K6686=""), "", INDEX(LookUps!$E$5:$E$12, MATCH(OpenLCAbasic!K6686,LookUps!$D$5:$D$12,0))))</f>
        <v>Cumulative Energy Demand (CED) - MJ</v>
      </c>
      <c r="M6686" s="154" t="str">
        <f t="shared" si="494"/>
        <v>Low_High_High_Upgraded_Cumulative Energy Demand (CED) - MJ_ClearCove SCP; wastewater treatment unit; at updated plant - US_Without Amendment_Windrow</v>
      </c>
    </row>
    <row r="6687" spans="1:13" s="120" customFormat="1" x14ac:dyDescent="0.25">
      <c r="A6687" s="119"/>
      <c r="B6687" s="138" t="str">
        <f t="shared" si="491"/>
        <v>Windrow</v>
      </c>
      <c r="C6687" s="138" t="str">
        <f t="shared" si="495"/>
        <v>Without Amendment</v>
      </c>
      <c r="D6687" s="138" t="str">
        <f t="shared" si="496"/>
        <v>High_High</v>
      </c>
      <c r="E6687" s="138" t="str">
        <f t="shared" si="497"/>
        <v>Low</v>
      </c>
      <c r="F6687" s="138" t="str">
        <f t="shared" si="492"/>
        <v>Upgraded</v>
      </c>
      <c r="G6687" s="153"/>
      <c r="H6687" s="210">
        <v>3.3E-3</v>
      </c>
      <c r="I6687" s="160" t="s">
        <v>271</v>
      </c>
      <c r="J6687" s="160">
        <v>3.3840000000000002E-2</v>
      </c>
      <c r="K6687" s="160" t="s">
        <v>15</v>
      </c>
      <c r="L6687" s="154" t="str">
        <f>IF(OpenLCAbasic!K6687="CTUh", "Fill in Manually",IF(OR(K6687="Unit", K6687=""), "", INDEX(LookUps!$E$5:$E$12, MATCH(OpenLCAbasic!K6687,LookUps!$D$5:$D$12,0))))</f>
        <v>Cumulative Energy Demand (CED) - MJ</v>
      </c>
      <c r="M6687" s="154" t="str">
        <f t="shared" si="494"/>
        <v>Low_High_High_Upgraded_Cumulative Energy Demand (CED) - MJ_Biosolids composting; windrow composting; wastewater treatment unit; at updated plant - US_Without Amendment_Windrow</v>
      </c>
    </row>
    <row r="6688" spans="1:13" s="120" customFormat="1" x14ac:dyDescent="0.25">
      <c r="A6688" s="119"/>
      <c r="B6688" s="138" t="str">
        <f t="shared" si="491"/>
        <v>Windrow</v>
      </c>
      <c r="C6688" s="138" t="str">
        <f t="shared" si="495"/>
        <v>Without Amendment</v>
      </c>
      <c r="D6688" s="138" t="str">
        <f t="shared" si="496"/>
        <v>High_High</v>
      </c>
      <c r="E6688" s="138" t="str">
        <f t="shared" si="497"/>
        <v>Low</v>
      </c>
      <c r="F6688" s="138" t="str">
        <f t="shared" si="492"/>
        <v>Upgraded</v>
      </c>
      <c r="G6688" s="153"/>
      <c r="H6688" s="210">
        <v>-5.2900000000000003E-2</v>
      </c>
      <c r="I6688" s="160" t="s">
        <v>62</v>
      </c>
      <c r="J6688" s="160">
        <v>-0.54122000000000003</v>
      </c>
      <c r="K6688" s="160" t="s">
        <v>15</v>
      </c>
      <c r="L6688" s="154" t="str">
        <f>IF(OpenLCAbasic!K6688="CTUh", "Fill in Manually",IF(OR(K6688="Unit", K6688=""), "", INDEX(LookUps!$E$5:$E$12, MATCH(OpenLCAbasic!K6688,LookUps!$D$5:$D$12,0))))</f>
        <v>Cumulative Energy Demand (CED) - MJ</v>
      </c>
      <c r="M6688" s="154" t="str">
        <f t="shared" si="494"/>
        <v>Low_High_High_Upgraded_Cumulative Energy Demand (CED) - MJ_Land application of compost; wastewater treatment unit; at updated plant - US_Without Amendment_Windrow</v>
      </c>
    </row>
    <row r="6689" spans="1:13" s="120" customFormat="1" x14ac:dyDescent="0.25">
      <c r="A6689" s="119"/>
      <c r="B6689" s="138" t="str">
        <f t="shared" si="491"/>
        <v>Windrow</v>
      </c>
      <c r="C6689" s="138" t="str">
        <f t="shared" si="495"/>
        <v>Without Amendment</v>
      </c>
      <c r="D6689" s="138" t="str">
        <f t="shared" si="496"/>
        <v>High_High</v>
      </c>
      <c r="E6689" s="138" t="str">
        <f t="shared" si="497"/>
        <v>Low</v>
      </c>
      <c r="F6689" s="138" t="str">
        <f t="shared" si="492"/>
        <v>Upgraded</v>
      </c>
      <c r="G6689" s="153"/>
      <c r="H6689" s="210">
        <v>-2.3046000000000002</v>
      </c>
      <c r="I6689" s="160" t="s">
        <v>149</v>
      </c>
      <c r="J6689" s="160">
        <v>-23.56711</v>
      </c>
      <c r="K6689" s="160" t="s">
        <v>15</v>
      </c>
      <c r="L6689" s="154" t="str">
        <f>IF(OpenLCAbasic!K6689="CTUh", "Fill in Manually",IF(OR(K6689="Unit", K6689=""), "", INDEX(LookUps!$E$5:$E$12, MATCH(OpenLCAbasic!K6689,LookUps!$D$5:$D$12,0))))</f>
        <v>Cumulative Energy Demand (CED) - MJ</v>
      </c>
      <c r="M6689" s="154" t="str">
        <f t="shared" si="494"/>
        <v>Low_High_High_Upgraded_Cumulative Energy Demand (CED) - MJ_Anaerobic Digestion; wastewater treatment unit; at updated plant - US_Without Amendment_Windrow</v>
      </c>
    </row>
    <row r="6690" spans="1:13" s="120" customFormat="1" x14ac:dyDescent="0.25">
      <c r="A6690" s="119"/>
      <c r="B6690" s="138" t="str">
        <f t="shared" si="491"/>
        <v/>
      </c>
      <c r="C6690" s="138" t="str">
        <f t="shared" si="495"/>
        <v/>
      </c>
      <c r="D6690" s="138" t="str">
        <f t="shared" si="496"/>
        <v/>
      </c>
      <c r="E6690" s="138" t="str">
        <f t="shared" si="497"/>
        <v/>
      </c>
      <c r="F6690" s="138" t="str">
        <f t="shared" si="492"/>
        <v/>
      </c>
      <c r="G6690" s="153" t="s">
        <v>51</v>
      </c>
      <c r="H6690" s="160"/>
      <c r="I6690" s="160" t="s">
        <v>47</v>
      </c>
      <c r="J6690" s="160" t="s">
        <v>52</v>
      </c>
      <c r="K6690" s="160" t="s">
        <v>27</v>
      </c>
      <c r="L6690" s="154" t="str">
        <f>IF(OpenLCAbasic!K6690="CTUh", "Fill in Manually",IF(OR(K6690="Unit", K6690=""), "", INDEX(LookUps!$E$5:$E$12, MATCH(OpenLCAbasic!K6690,LookUps!$D$5:$D$12,0))))</f>
        <v/>
      </c>
      <c r="M6690" s="154" t="str">
        <f t="shared" si="494"/>
        <v>____Process__</v>
      </c>
    </row>
    <row r="6691" spans="1:13" s="120" customFormat="1" x14ac:dyDescent="0.25">
      <c r="A6691" s="119"/>
      <c r="B6691" s="138" t="str">
        <f t="shared" si="491"/>
        <v>Windrow</v>
      </c>
      <c r="C6691" s="138" t="str">
        <f t="shared" si="495"/>
        <v>Without Amendment</v>
      </c>
      <c r="D6691" s="138" t="str">
        <f t="shared" si="496"/>
        <v>High_High</v>
      </c>
      <c r="E6691" s="138" t="str">
        <f t="shared" si="497"/>
        <v>Low</v>
      </c>
      <c r="F6691" s="138" t="str">
        <f t="shared" si="492"/>
        <v>Upgraded</v>
      </c>
      <c r="G6691" s="153"/>
      <c r="H6691" s="210">
        <v>0.90490000000000004</v>
      </c>
      <c r="I6691" s="160" t="s">
        <v>48</v>
      </c>
      <c r="J6691" s="160">
        <v>1.1610000000000001E-2</v>
      </c>
      <c r="K6691" s="160" t="s">
        <v>13</v>
      </c>
      <c r="L6691" s="154" t="str">
        <f>IF(OpenLCAbasic!K6691="CTUh", "Fill in Manually",IF(OR(K6691="Unit", K6691=""), "", INDEX(LookUps!$E$5:$E$12, MATCH(OpenLCAbasic!K6691,LookUps!$D$5:$D$12,0))))</f>
        <v>Eutrophication Potential (EP) - kg N eq</v>
      </c>
      <c r="M6691" s="154" t="str">
        <f t="shared" si="494"/>
        <v>Low_High_High_Upgraded_Eutrophication Potential (EP) - kg N eq_Effluent release; wastewater treatment unit; at surface water; m3 wastewater - US_Without Amendment_Windrow</v>
      </c>
    </row>
    <row r="6692" spans="1:13" s="120" customFormat="1" x14ac:dyDescent="0.25">
      <c r="A6692" s="119"/>
      <c r="B6692" s="138" t="str">
        <f t="shared" si="491"/>
        <v>Windrow</v>
      </c>
      <c r="C6692" s="138" t="str">
        <f t="shared" si="495"/>
        <v>Without Amendment</v>
      </c>
      <c r="D6692" s="138" t="str">
        <f t="shared" si="496"/>
        <v>High_High</v>
      </c>
      <c r="E6692" s="138" t="str">
        <f t="shared" si="497"/>
        <v>Low</v>
      </c>
      <c r="F6692" s="138" t="str">
        <f t="shared" si="492"/>
        <v>Upgraded</v>
      </c>
      <c r="G6692" s="153"/>
      <c r="H6692" s="210">
        <v>0.187</v>
      </c>
      <c r="I6692" s="160" t="s">
        <v>62</v>
      </c>
      <c r="J6692" s="160">
        <v>2.3999999999999998E-3</v>
      </c>
      <c r="K6692" s="160" t="s">
        <v>13</v>
      </c>
      <c r="L6692" s="154" t="str">
        <f>IF(OpenLCAbasic!K6692="CTUh", "Fill in Manually",IF(OR(K6692="Unit", K6692=""), "", INDEX(LookUps!$E$5:$E$12, MATCH(OpenLCAbasic!K6692,LookUps!$D$5:$D$12,0))))</f>
        <v>Eutrophication Potential (EP) - kg N eq</v>
      </c>
      <c r="M6692" s="154" t="str">
        <f t="shared" si="494"/>
        <v>Low_High_High_Upgraded_Eutrophication Potential (EP) - kg N eq_Land application of compost; wastewater treatment unit; at updated plant - US_Without Amendment_Windrow</v>
      </c>
    </row>
    <row r="6693" spans="1:13" s="120" customFormat="1" x14ac:dyDescent="0.25">
      <c r="A6693" s="119"/>
      <c r="B6693" s="138" t="str">
        <f t="shared" si="491"/>
        <v>Windrow</v>
      </c>
      <c r="C6693" s="138" t="str">
        <f t="shared" si="495"/>
        <v>Without Amendment</v>
      </c>
      <c r="D6693" s="138" t="str">
        <f t="shared" si="496"/>
        <v>High_High</v>
      </c>
      <c r="E6693" s="138" t="str">
        <f t="shared" si="497"/>
        <v>Low</v>
      </c>
      <c r="F6693" s="138" t="str">
        <f t="shared" si="492"/>
        <v>Upgraded</v>
      </c>
      <c r="G6693" s="153"/>
      <c r="H6693" s="210">
        <v>4.2599999999999999E-2</v>
      </c>
      <c r="I6693" s="160" t="s">
        <v>55</v>
      </c>
      <c r="J6693" s="160">
        <v>5.5000000000000003E-4</v>
      </c>
      <c r="K6693" s="160" t="s">
        <v>13</v>
      </c>
      <c r="L6693" s="154" t="str">
        <f>IF(OpenLCAbasic!K6693="CTUh", "Fill in Manually",IF(OR(K6693="Unit", K6693=""), "", INDEX(LookUps!$E$5:$E$12, MATCH(OpenLCAbasic!K6693,LookUps!$D$5:$D$12,0))))</f>
        <v>Eutrophication Potential (EP) - kg N eq</v>
      </c>
      <c r="M6693" s="154" t="str">
        <f t="shared" si="494"/>
        <v>Low_High_High_Upgraded_Eutrophication Potential (EP) - kg N eq_Aeration Tanks; wastewater treatment unit; at updated plant - US_Without Amendment_Windrow</v>
      </c>
    </row>
    <row r="6694" spans="1:13" s="120" customFormat="1" x14ac:dyDescent="0.25">
      <c r="A6694" s="119"/>
      <c r="B6694" s="138" t="str">
        <f t="shared" si="491"/>
        <v>Windrow</v>
      </c>
      <c r="C6694" s="138" t="str">
        <f t="shared" si="495"/>
        <v>Without Amendment</v>
      </c>
      <c r="D6694" s="138" t="str">
        <f t="shared" si="496"/>
        <v>High_High</v>
      </c>
      <c r="E6694" s="138" t="str">
        <f t="shared" si="497"/>
        <v>Low</v>
      </c>
      <c r="F6694" s="138" t="str">
        <f t="shared" si="492"/>
        <v>Upgraded</v>
      </c>
      <c r="G6694" s="153"/>
      <c r="H6694" s="210">
        <v>1.95E-2</v>
      </c>
      <c r="I6694" s="160" t="s">
        <v>147</v>
      </c>
      <c r="J6694" s="160">
        <v>2.5000000000000001E-4</v>
      </c>
      <c r="K6694" s="160" t="s">
        <v>13</v>
      </c>
      <c r="L6694" s="154" t="str">
        <f>IF(OpenLCAbasic!K6694="CTUh", "Fill in Manually",IF(OR(K6694="Unit", K6694=""), "", INDEX(LookUps!$E$5:$E$12, MATCH(OpenLCAbasic!K6694,LookUps!$D$5:$D$12,0))))</f>
        <v>Eutrophication Potential (EP) - kg N eq</v>
      </c>
      <c r="M6694" s="154" t="str">
        <f t="shared" si="494"/>
        <v>Low_High_High_Upgraded_Eutrophication Potential (EP) - kg N eq_Influent Pump Station; wastewater treatment unit; at updated plant - US_Without Amendment_Windrow</v>
      </c>
    </row>
    <row r="6695" spans="1:13" s="120" customFormat="1" x14ac:dyDescent="0.25">
      <c r="A6695" s="119"/>
      <c r="B6695" s="138" t="str">
        <f t="shared" si="491"/>
        <v>Windrow</v>
      </c>
      <c r="C6695" s="138" t="str">
        <f t="shared" si="495"/>
        <v>Without Amendment</v>
      </c>
      <c r="D6695" s="138" t="str">
        <f t="shared" si="496"/>
        <v>High_High</v>
      </c>
      <c r="E6695" s="138" t="str">
        <f t="shared" si="497"/>
        <v>Low</v>
      </c>
      <c r="F6695" s="138" t="str">
        <f t="shared" si="492"/>
        <v>Upgraded</v>
      </c>
      <c r="G6695" s="153"/>
      <c r="H6695" s="210">
        <v>1.72E-2</v>
      </c>
      <c r="I6695" s="160" t="s">
        <v>167</v>
      </c>
      <c r="J6695" s="160">
        <v>2.2000000000000001E-4</v>
      </c>
      <c r="K6695" s="160" t="s">
        <v>13</v>
      </c>
      <c r="L6695" s="154" t="str">
        <f>IF(OpenLCAbasic!K6695="CTUh", "Fill in Manually",IF(OR(K6695="Unit", K6695=""), "", INDEX(LookUps!$E$5:$E$12, MATCH(OpenLCAbasic!K6695,LookUps!$D$5:$D$12,0))))</f>
        <v>Eutrophication Potential (EP) - kg N eq</v>
      </c>
      <c r="M6695" s="154" t="str">
        <f t="shared" si="494"/>
        <v>Low_High_High_Upgraded_Eutrophication Potential (EP) - kg N eq_Waste Receiving and Holding; wastewater treatment unit; at updated plant - US_Without Amendment_Windrow</v>
      </c>
    </row>
    <row r="6696" spans="1:13" s="120" customFormat="1" x14ac:dyDescent="0.25">
      <c r="A6696" s="119"/>
      <c r="B6696" s="138" t="str">
        <f t="shared" ref="B6696:B6759" si="498">IF(F6696="Legacy","n.a.",IF(F6696="","","Windrow"))</f>
        <v>Windrow</v>
      </c>
      <c r="C6696" s="138" t="str">
        <f t="shared" si="495"/>
        <v>Without Amendment</v>
      </c>
      <c r="D6696" s="138" t="str">
        <f t="shared" si="496"/>
        <v>High_High</v>
      </c>
      <c r="E6696" s="138" t="str">
        <f t="shared" si="497"/>
        <v>Low</v>
      </c>
      <c r="F6696" s="138" t="str">
        <f t="shared" ref="F6696:F6759" si="499">IF(ISNUMBER(J6696),"Upgraded","")</f>
        <v>Upgraded</v>
      </c>
      <c r="G6696" s="153"/>
      <c r="H6696" s="210">
        <v>1.54E-2</v>
      </c>
      <c r="I6696" s="160" t="s">
        <v>54</v>
      </c>
      <c r="J6696" s="160">
        <v>2.0000000000000001E-4</v>
      </c>
      <c r="K6696" s="160" t="s">
        <v>13</v>
      </c>
      <c r="L6696" s="154" t="str">
        <f>IF(OpenLCAbasic!K6696="CTUh", "Fill in Manually",IF(OR(K6696="Unit", K6696=""), "", INDEX(LookUps!$E$5:$E$12, MATCH(OpenLCAbasic!K6696,LookUps!$D$5:$D$12,0))))</f>
        <v>Eutrophication Potential (EP) - kg N eq</v>
      </c>
      <c r="M6696" s="154" t="str">
        <f t="shared" si="494"/>
        <v>Low_High_High_Upgraded_Eutrophication Potential (EP) - kg N eq_Clear Cove Primary Clarification; wastewater treatment unit; at updated plant - US_Without Amendment_Windrow</v>
      </c>
    </row>
    <row r="6697" spans="1:13" s="120" customFormat="1" x14ac:dyDescent="0.25">
      <c r="A6697" s="119"/>
      <c r="B6697" s="138" t="str">
        <f t="shared" si="498"/>
        <v>Windrow</v>
      </c>
      <c r="C6697" s="138" t="str">
        <f t="shared" si="495"/>
        <v>Without Amendment</v>
      </c>
      <c r="D6697" s="138" t="str">
        <f t="shared" si="496"/>
        <v>High_High</v>
      </c>
      <c r="E6697" s="138" t="str">
        <f t="shared" si="497"/>
        <v>Low</v>
      </c>
      <c r="F6697" s="138" t="str">
        <f t="shared" si="499"/>
        <v>Upgraded</v>
      </c>
      <c r="G6697" s="153"/>
      <c r="H6697" s="210">
        <v>1.06E-2</v>
      </c>
      <c r="I6697" s="160" t="s">
        <v>58</v>
      </c>
      <c r="J6697" s="160">
        <v>1.3999999999999999E-4</v>
      </c>
      <c r="K6697" s="160" t="s">
        <v>13</v>
      </c>
      <c r="L6697" s="154" t="str">
        <f>IF(OpenLCAbasic!K6697="CTUh", "Fill in Manually",IF(OR(K6697="Unit", K6697=""), "", INDEX(LookUps!$E$5:$E$12, MATCH(OpenLCAbasic!K6697,LookUps!$D$5:$D$12,0))))</f>
        <v>Eutrophication Potential (EP) - kg N eq</v>
      </c>
      <c r="M6697" s="154" t="str">
        <f t="shared" si="494"/>
        <v>Low_High_High_Upgraded_Eutrophication Potential (EP) - kg N eq_Pre-Anoxic &amp; Swing tank; wastewater treatment unit; at updated plant - US_Without Amendment_Windrow</v>
      </c>
    </row>
    <row r="6698" spans="1:13" s="120" customFormat="1" x14ac:dyDescent="0.25">
      <c r="A6698" s="119"/>
      <c r="B6698" s="138" t="str">
        <f t="shared" si="498"/>
        <v>Windrow</v>
      </c>
      <c r="C6698" s="138" t="str">
        <f t="shared" si="495"/>
        <v>Without Amendment</v>
      </c>
      <c r="D6698" s="138" t="str">
        <f t="shared" si="496"/>
        <v>High_High</v>
      </c>
      <c r="E6698" s="138" t="str">
        <f t="shared" si="497"/>
        <v>Low</v>
      </c>
      <c r="F6698" s="138" t="str">
        <f t="shared" si="499"/>
        <v>Upgraded</v>
      </c>
      <c r="G6698" s="153"/>
      <c r="H6698" s="210">
        <v>8.3999999999999995E-3</v>
      </c>
      <c r="I6698" s="160" t="s">
        <v>53</v>
      </c>
      <c r="J6698" s="160">
        <v>1.1E-4</v>
      </c>
      <c r="K6698" s="160" t="s">
        <v>13</v>
      </c>
      <c r="L6698" s="154" t="str">
        <f>IF(OpenLCAbasic!K6698="CTUh", "Fill in Manually",IF(OR(K6698="Unit", K6698=""), "", INDEX(LookUps!$E$5:$E$12, MATCH(OpenLCAbasic!K6698,LookUps!$D$5:$D$12,0))))</f>
        <v>Eutrophication Potential (EP) - kg N eq</v>
      </c>
      <c r="M6698" s="154" t="str">
        <f t="shared" si="494"/>
        <v>Low_High_High_Upgraded_Eutrophication Potential (EP) - kg N eq_Wet Well and Sump Station; wastewater treatment unit; at updated plant - US_Without Amendment_Windrow</v>
      </c>
    </row>
    <row r="6699" spans="1:13" s="120" customFormat="1" x14ac:dyDescent="0.25">
      <c r="A6699" s="119"/>
      <c r="B6699" s="138" t="str">
        <f t="shared" si="498"/>
        <v>Windrow</v>
      </c>
      <c r="C6699" s="138" t="str">
        <f t="shared" si="495"/>
        <v>Without Amendment</v>
      </c>
      <c r="D6699" s="138" t="str">
        <f t="shared" si="496"/>
        <v>High_High</v>
      </c>
      <c r="E6699" s="138" t="str">
        <f t="shared" si="497"/>
        <v>Low</v>
      </c>
      <c r="F6699" s="138" t="str">
        <f t="shared" si="499"/>
        <v>Upgraded</v>
      </c>
      <c r="G6699" s="153"/>
      <c r="H6699" s="210">
        <v>7.1000000000000004E-3</v>
      </c>
      <c r="I6699" s="160" t="s">
        <v>60</v>
      </c>
      <c r="J6699" s="211">
        <v>9.0710800000000006E-5</v>
      </c>
      <c r="K6699" s="160" t="s">
        <v>13</v>
      </c>
      <c r="L6699" s="154" t="str">
        <f>IF(OpenLCAbasic!K6699="CTUh", "Fill in Manually",IF(OR(K6699="Unit", K6699=""), "", INDEX(LookUps!$E$5:$E$12, MATCH(OpenLCAbasic!K6699,LookUps!$D$5:$D$12,0))))</f>
        <v>Eutrophication Potential (EP) - kg N eq</v>
      </c>
      <c r="M6699" s="154" t="str">
        <f t="shared" si="494"/>
        <v>Low_High_High_Upgraded_Eutrophication Potential (EP) - kg N eq_Belt filter press; wastewater treatment unit; at updated plant - US_Without Amendment_Windrow</v>
      </c>
    </row>
    <row r="6700" spans="1:13" s="120" customFormat="1" x14ac:dyDescent="0.25">
      <c r="A6700" s="119"/>
      <c r="B6700" s="138" t="str">
        <f t="shared" si="498"/>
        <v>Windrow</v>
      </c>
      <c r="C6700" s="138" t="str">
        <f t="shared" si="495"/>
        <v>Without Amendment</v>
      </c>
      <c r="D6700" s="138" t="str">
        <f t="shared" si="496"/>
        <v>High_High</v>
      </c>
      <c r="E6700" s="138" t="str">
        <f t="shared" si="497"/>
        <v>Low</v>
      </c>
      <c r="F6700" s="138" t="str">
        <f t="shared" si="499"/>
        <v>Upgraded</v>
      </c>
      <c r="G6700" s="153"/>
      <c r="H6700" s="210">
        <v>5.7999999999999996E-3</v>
      </c>
      <c r="I6700" s="160" t="s">
        <v>271</v>
      </c>
      <c r="J6700" s="211">
        <v>7.4817199999999999E-5</v>
      </c>
      <c r="K6700" s="160" t="s">
        <v>13</v>
      </c>
      <c r="L6700" s="154" t="str">
        <f>IF(OpenLCAbasic!K6700="CTUh", "Fill in Manually",IF(OR(K6700="Unit", K6700=""), "", INDEX(LookUps!$E$5:$E$12, MATCH(OpenLCAbasic!K6700,LookUps!$D$5:$D$12,0))))</f>
        <v>Eutrophication Potential (EP) - kg N eq</v>
      </c>
      <c r="M6700" s="154" t="str">
        <f t="shared" si="494"/>
        <v>Low_High_High_Upgraded_Eutrophication Potential (EP) - kg N eq_Biosolids composting; windrow composting; wastewater treatment unit; at updated plant - US_Without Amendment_Windrow</v>
      </c>
    </row>
    <row r="6701" spans="1:13" s="120" customFormat="1" x14ac:dyDescent="0.25">
      <c r="A6701" s="119"/>
      <c r="B6701" s="138" t="str">
        <f t="shared" si="498"/>
        <v>Windrow</v>
      </c>
      <c r="C6701" s="138" t="str">
        <f t="shared" si="495"/>
        <v>Without Amendment</v>
      </c>
      <c r="D6701" s="138" t="str">
        <f t="shared" si="496"/>
        <v>High_High</v>
      </c>
      <c r="E6701" s="138" t="str">
        <f t="shared" si="497"/>
        <v>Low</v>
      </c>
      <c r="F6701" s="138" t="str">
        <f t="shared" si="499"/>
        <v>Upgraded</v>
      </c>
      <c r="G6701" s="153"/>
      <c r="H6701" s="210">
        <v>4.7000000000000002E-3</v>
      </c>
      <c r="I6701" s="160" t="s">
        <v>57</v>
      </c>
      <c r="J6701" s="211">
        <v>6.0590300000000002E-5</v>
      </c>
      <c r="K6701" s="160" t="s">
        <v>13</v>
      </c>
      <c r="L6701" s="154" t="str">
        <f>IF(OpenLCAbasic!K6701="CTUh", "Fill in Manually",IF(OR(K6701="Unit", K6701=""), "", INDEX(LookUps!$E$5:$E$12, MATCH(OpenLCAbasic!K6701,LookUps!$D$5:$D$12,0))))</f>
        <v>Eutrophication Potential (EP) - kg N eq</v>
      </c>
      <c r="M6701" s="154" t="str">
        <f t="shared" si="494"/>
        <v>Low_High_High_Upgraded_Eutrophication Potential (EP) - kg N eq_Gravity Belt Thickener; wastewater treatment unit; at updated plant - US_Without Amendment_Windrow</v>
      </c>
    </row>
    <row r="6702" spans="1:13" s="120" customFormat="1" x14ac:dyDescent="0.25">
      <c r="A6702" s="119"/>
      <c r="B6702" s="138" t="str">
        <f t="shared" si="498"/>
        <v>Windrow</v>
      </c>
      <c r="C6702" s="138" t="str">
        <f t="shared" si="495"/>
        <v>Without Amendment</v>
      </c>
      <c r="D6702" s="138" t="str">
        <f t="shared" si="496"/>
        <v>High_High</v>
      </c>
      <c r="E6702" s="138" t="str">
        <f t="shared" si="497"/>
        <v>Low</v>
      </c>
      <c r="F6702" s="138" t="str">
        <f t="shared" si="499"/>
        <v>Upgraded</v>
      </c>
      <c r="G6702" s="153"/>
      <c r="H6702" s="210">
        <v>2.8999999999999998E-3</v>
      </c>
      <c r="I6702" s="160" t="s">
        <v>128</v>
      </c>
      <c r="J6702" s="211">
        <v>3.7559799999999999E-5</v>
      </c>
      <c r="K6702" s="160" t="s">
        <v>13</v>
      </c>
      <c r="L6702" s="154" t="str">
        <f>IF(OpenLCAbasic!K6702="CTUh", "Fill in Manually",IF(OR(K6702="Unit", K6702=""), "", INDEX(LookUps!$E$5:$E$12, MATCH(OpenLCAbasic!K6702,LookUps!$D$5:$D$12,0))))</f>
        <v>Eutrophication Potential (EP) - kg N eq</v>
      </c>
      <c r="M6702" s="154" t="str">
        <f t="shared" si="494"/>
        <v>Low_High_High_Upgraded_Eutrophication Potential (EP) - kg N eq_Wastewater collection; operation and infrastructure; m3 wastewater_Without Amendment_Windrow</v>
      </c>
    </row>
    <row r="6703" spans="1:13" s="120" customFormat="1" x14ac:dyDescent="0.25">
      <c r="A6703" s="119"/>
      <c r="B6703" s="138" t="str">
        <f t="shared" si="498"/>
        <v>Windrow</v>
      </c>
      <c r="C6703" s="138" t="str">
        <f t="shared" si="495"/>
        <v>Without Amendment</v>
      </c>
      <c r="D6703" s="138" t="str">
        <f t="shared" si="496"/>
        <v>High_High</v>
      </c>
      <c r="E6703" s="138" t="str">
        <f t="shared" si="497"/>
        <v>Low</v>
      </c>
      <c r="F6703" s="138" t="str">
        <f t="shared" si="499"/>
        <v>Upgraded</v>
      </c>
      <c r="G6703" s="153"/>
      <c r="H6703" s="210">
        <v>2.8999999999999998E-3</v>
      </c>
      <c r="I6703" s="160" t="s">
        <v>148</v>
      </c>
      <c r="J6703" s="211">
        <v>3.6874600000000001E-5</v>
      </c>
      <c r="K6703" s="160" t="s">
        <v>13</v>
      </c>
      <c r="L6703" s="154" t="str">
        <f>IF(OpenLCAbasic!K6703="CTUh", "Fill in Manually",IF(OR(K6703="Unit", K6703=""), "", INDEX(LookUps!$E$5:$E$12, MATCH(OpenLCAbasic!K6703,LookUps!$D$5:$D$12,0))))</f>
        <v>Eutrophication Potential (EP) - kg N eq</v>
      </c>
      <c r="M6703" s="154" t="str">
        <f t="shared" si="494"/>
        <v>Low_High_High_Upgraded_Eutrophication Potential (EP) - kg N eq_Control Building; at upgraded wastewater treatment plant - US_Without Amendment_Windrow</v>
      </c>
    </row>
    <row r="6704" spans="1:13" s="120" customFormat="1" x14ac:dyDescent="0.25">
      <c r="A6704" s="119"/>
      <c r="B6704" s="138" t="str">
        <f t="shared" si="498"/>
        <v>Windrow</v>
      </c>
      <c r="C6704" s="138" t="str">
        <f t="shared" si="495"/>
        <v>Without Amendment</v>
      </c>
      <c r="D6704" s="138" t="str">
        <f t="shared" si="496"/>
        <v>High_High</v>
      </c>
      <c r="E6704" s="138" t="str">
        <f t="shared" si="497"/>
        <v>Low</v>
      </c>
      <c r="F6704" s="138" t="str">
        <f t="shared" si="499"/>
        <v>Upgraded</v>
      </c>
      <c r="G6704" s="153"/>
      <c r="H6704" s="210">
        <v>1.2999999999999999E-3</v>
      </c>
      <c r="I6704" s="160" t="s">
        <v>59</v>
      </c>
      <c r="J6704" s="211">
        <v>1.6215700000000001E-5</v>
      </c>
      <c r="K6704" s="160" t="s">
        <v>13</v>
      </c>
      <c r="L6704" s="154" t="str">
        <f>IF(OpenLCAbasic!K6704="CTUh", "Fill in Manually",IF(OR(K6704="Unit", K6704=""), "", INDEX(LookUps!$E$5:$E$12, MATCH(OpenLCAbasic!K6704,LookUps!$D$5:$D$12,0))))</f>
        <v>Eutrophication Potential (EP) - kg N eq</v>
      </c>
      <c r="M6704" s="154" t="str">
        <f t="shared" si="494"/>
        <v>Low_High_High_Upgraded_Eutrophication Potential (EP) - kg N eq_Blend Tank; wastewater treatment unit; at updated plant - US_Without Amendment_Windrow</v>
      </c>
    </row>
    <row r="6705" spans="1:13" s="120" customFormat="1" x14ac:dyDescent="0.25">
      <c r="A6705" s="119"/>
      <c r="B6705" s="138" t="str">
        <f t="shared" si="498"/>
        <v>Windrow</v>
      </c>
      <c r="C6705" s="138" t="str">
        <f t="shared" si="495"/>
        <v>Without Amendment</v>
      </c>
      <c r="D6705" s="138" t="str">
        <f t="shared" si="496"/>
        <v>High_High</v>
      </c>
      <c r="E6705" s="138" t="str">
        <f t="shared" si="497"/>
        <v>Low</v>
      </c>
      <c r="F6705" s="138" t="str">
        <f t="shared" si="499"/>
        <v>Upgraded</v>
      </c>
      <c r="G6705" s="153"/>
      <c r="H6705" s="210">
        <v>5.9999999999999995E-4</v>
      </c>
      <c r="I6705" s="160" t="s">
        <v>168</v>
      </c>
      <c r="J6705" s="211">
        <v>7.7567199999999995E-6</v>
      </c>
      <c r="K6705" s="160" t="s">
        <v>13</v>
      </c>
      <c r="L6705" s="154" t="str">
        <f>IF(OpenLCAbasic!K6705="CTUh", "Fill in Manually",IF(OR(K6705="Unit", K6705=""), "", INDEX(LookUps!$E$5:$E$12, MATCH(OpenLCAbasic!K6705,LookUps!$D$5:$D$12,0))))</f>
        <v>Eutrophication Potential (EP) - kg N eq</v>
      </c>
      <c r="M6705" s="154" t="str">
        <f t="shared" si="494"/>
        <v>Low_High_High_Upgraded_Eutrophication Potential (EP) - kg N eq_ClearCove SCP; wastewater treatment unit; at updated plant - US_Without Amendment_Windrow</v>
      </c>
    </row>
    <row r="6706" spans="1:13" s="120" customFormat="1" x14ac:dyDescent="0.25">
      <c r="A6706" s="119"/>
      <c r="B6706" s="138" t="str">
        <f t="shared" si="498"/>
        <v>Windrow</v>
      </c>
      <c r="C6706" s="138" t="str">
        <f t="shared" si="495"/>
        <v>Without Amendment</v>
      </c>
      <c r="D6706" s="138" t="str">
        <f t="shared" si="496"/>
        <v>High_High</v>
      </c>
      <c r="E6706" s="138" t="str">
        <f t="shared" si="497"/>
        <v>Low</v>
      </c>
      <c r="F6706" s="138" t="str">
        <f t="shared" si="499"/>
        <v>Upgraded</v>
      </c>
      <c r="G6706" s="153"/>
      <c r="H6706" s="210">
        <v>-0.23080000000000001</v>
      </c>
      <c r="I6706" s="160" t="s">
        <v>149</v>
      </c>
      <c r="J6706" s="160">
        <v>-2.96E-3</v>
      </c>
      <c r="K6706" s="160" t="s">
        <v>13</v>
      </c>
      <c r="L6706" s="154" t="str">
        <f>IF(OpenLCAbasic!K6706="CTUh", "Fill in Manually",IF(OR(K6706="Unit", K6706=""), "", INDEX(LookUps!$E$5:$E$12, MATCH(OpenLCAbasic!K6706,LookUps!$D$5:$D$12,0))))</f>
        <v>Eutrophication Potential (EP) - kg N eq</v>
      </c>
      <c r="M6706" s="154" t="str">
        <f t="shared" si="494"/>
        <v>Low_High_High_Upgraded_Eutrophication Potential (EP) - kg N eq_Anaerobic Digestion; wastewater treatment unit; at updated plant - US_Without Amendment_Windrow</v>
      </c>
    </row>
    <row r="6707" spans="1:13" s="120" customFormat="1" x14ac:dyDescent="0.25">
      <c r="A6707" s="119"/>
      <c r="B6707" s="138" t="str">
        <f t="shared" si="498"/>
        <v/>
      </c>
      <c r="C6707" s="138" t="str">
        <f t="shared" si="495"/>
        <v/>
      </c>
      <c r="D6707" s="138" t="str">
        <f t="shared" si="496"/>
        <v/>
      </c>
      <c r="E6707" s="138" t="str">
        <f t="shared" si="497"/>
        <v/>
      </c>
      <c r="F6707" s="138" t="str">
        <f t="shared" si="499"/>
        <v/>
      </c>
      <c r="G6707" s="153" t="s">
        <v>51</v>
      </c>
      <c r="H6707" s="160"/>
      <c r="I6707" s="160" t="s">
        <v>47</v>
      </c>
      <c r="J6707" s="160" t="s">
        <v>52</v>
      </c>
      <c r="K6707" s="160" t="s">
        <v>27</v>
      </c>
      <c r="L6707" s="154" t="str">
        <f>IF(OpenLCAbasic!K6707="CTUh", "Fill in Manually",IF(OR(K6707="Unit", K6707=""), "", INDEX(LookUps!$E$5:$E$12, MATCH(OpenLCAbasic!K6707,LookUps!$D$5:$D$12,0))))</f>
        <v/>
      </c>
      <c r="M6707" s="154" t="str">
        <f t="shared" si="494"/>
        <v>____Process__</v>
      </c>
    </row>
    <row r="6708" spans="1:13" s="120" customFormat="1" x14ac:dyDescent="0.25">
      <c r="A6708" s="119"/>
      <c r="B6708" s="138" t="str">
        <f t="shared" si="498"/>
        <v>Windrow</v>
      </c>
      <c r="C6708" s="138" t="str">
        <f t="shared" si="495"/>
        <v>Without Amendment</v>
      </c>
      <c r="D6708" s="138" t="str">
        <f t="shared" si="496"/>
        <v>High_High</v>
      </c>
      <c r="E6708" s="138" t="str">
        <f t="shared" si="497"/>
        <v>Low</v>
      </c>
      <c r="F6708" s="138" t="str">
        <f t="shared" si="499"/>
        <v>Upgraded</v>
      </c>
      <c r="G6708" s="153"/>
      <c r="H6708" s="210">
        <v>0.65249999999999997</v>
      </c>
      <c r="I6708" s="160" t="s">
        <v>167</v>
      </c>
      <c r="J6708" s="160">
        <v>0.11719</v>
      </c>
      <c r="K6708" s="160" t="s">
        <v>14</v>
      </c>
      <c r="L6708" s="154" t="str">
        <f>IF(OpenLCAbasic!K6708="CTUh", "Fill in Manually",IF(OR(K6708="Unit", K6708=""), "", INDEX(LookUps!$E$5:$E$12, MATCH(OpenLCAbasic!K6708,LookUps!$D$5:$D$12,0))))</f>
        <v>Fossil Depletion Potential (FDP) - kg oil eq</v>
      </c>
      <c r="M6708" s="154" t="str">
        <f t="shared" si="494"/>
        <v>Low_High_High_Upgraded_Fossil Depletion Potential (FDP) - kg oil eq_Waste Receiving and Holding; wastewater treatment unit; at updated plant - US_Without Amendment_Windrow</v>
      </c>
    </row>
    <row r="6709" spans="1:13" s="120" customFormat="1" x14ac:dyDescent="0.25">
      <c r="A6709" s="119"/>
      <c r="B6709" s="138" t="str">
        <f t="shared" si="498"/>
        <v>Windrow</v>
      </c>
      <c r="C6709" s="138" t="str">
        <f t="shared" si="495"/>
        <v>Without Amendment</v>
      </c>
      <c r="D6709" s="138" t="str">
        <f t="shared" si="496"/>
        <v>High_High</v>
      </c>
      <c r="E6709" s="138" t="str">
        <f t="shared" si="497"/>
        <v>Low</v>
      </c>
      <c r="F6709" s="138" t="str">
        <f t="shared" si="499"/>
        <v>Upgraded</v>
      </c>
      <c r="G6709" s="153"/>
      <c r="H6709" s="210">
        <v>0.35410000000000003</v>
      </c>
      <c r="I6709" s="160" t="s">
        <v>55</v>
      </c>
      <c r="J6709" s="160">
        <v>6.3589999999999994E-2</v>
      </c>
      <c r="K6709" s="160" t="s">
        <v>14</v>
      </c>
      <c r="L6709" s="154" t="str">
        <f>IF(OpenLCAbasic!K6709="CTUh", "Fill in Manually",IF(OR(K6709="Unit", K6709=""), "", INDEX(LookUps!$E$5:$E$12, MATCH(OpenLCAbasic!K6709,LookUps!$D$5:$D$12,0))))</f>
        <v>Fossil Depletion Potential (FDP) - kg oil eq</v>
      </c>
      <c r="M6709" s="154" t="str">
        <f t="shared" si="494"/>
        <v>Low_High_High_Upgraded_Fossil Depletion Potential (FDP) - kg oil eq_Aeration Tanks; wastewater treatment unit; at updated plant - US_Without Amendment_Windrow</v>
      </c>
    </row>
    <row r="6710" spans="1:13" s="120" customFormat="1" x14ac:dyDescent="0.25">
      <c r="A6710" s="119"/>
      <c r="B6710" s="138" t="str">
        <f t="shared" si="498"/>
        <v>Windrow</v>
      </c>
      <c r="C6710" s="138" t="str">
        <f t="shared" si="495"/>
        <v>Without Amendment</v>
      </c>
      <c r="D6710" s="138" t="str">
        <f t="shared" si="496"/>
        <v>High_High</v>
      </c>
      <c r="E6710" s="138" t="str">
        <f t="shared" si="497"/>
        <v>Low</v>
      </c>
      <c r="F6710" s="138" t="str">
        <f t="shared" si="499"/>
        <v>Upgraded</v>
      </c>
      <c r="G6710" s="153"/>
      <c r="H6710" s="210">
        <v>0.1172</v>
      </c>
      <c r="I6710" s="160" t="s">
        <v>54</v>
      </c>
      <c r="J6710" s="160">
        <v>2.1049999999999999E-2</v>
      </c>
      <c r="K6710" s="160" t="s">
        <v>14</v>
      </c>
      <c r="L6710" s="154" t="str">
        <f>IF(OpenLCAbasic!K6710="CTUh", "Fill in Manually",IF(OR(K6710="Unit", K6710=""), "", INDEX(LookUps!$E$5:$E$12, MATCH(OpenLCAbasic!K6710,LookUps!$D$5:$D$12,0))))</f>
        <v>Fossil Depletion Potential (FDP) - kg oil eq</v>
      </c>
      <c r="M6710" s="154" t="str">
        <f t="shared" si="494"/>
        <v>Low_High_High_Upgraded_Fossil Depletion Potential (FDP) - kg oil eq_Clear Cove Primary Clarification; wastewater treatment unit; at updated plant - US_Without Amendment_Windrow</v>
      </c>
    </row>
    <row r="6711" spans="1:13" s="120" customFormat="1" x14ac:dyDescent="0.25">
      <c r="A6711" s="119"/>
      <c r="B6711" s="138" t="str">
        <f t="shared" si="498"/>
        <v>Windrow</v>
      </c>
      <c r="C6711" s="138" t="str">
        <f t="shared" si="495"/>
        <v>Without Amendment</v>
      </c>
      <c r="D6711" s="138" t="str">
        <f t="shared" si="496"/>
        <v>High_High</v>
      </c>
      <c r="E6711" s="138" t="str">
        <f t="shared" si="497"/>
        <v>Low</v>
      </c>
      <c r="F6711" s="138" t="str">
        <f t="shared" si="499"/>
        <v>Upgraded</v>
      </c>
      <c r="G6711" s="153"/>
      <c r="H6711" s="210">
        <v>8.9300000000000004E-2</v>
      </c>
      <c r="I6711" s="160" t="s">
        <v>58</v>
      </c>
      <c r="J6711" s="160">
        <v>1.6039999999999999E-2</v>
      </c>
      <c r="K6711" s="160" t="s">
        <v>14</v>
      </c>
      <c r="L6711" s="154" t="str">
        <f>IF(OpenLCAbasic!K6711="CTUh", "Fill in Manually",IF(OR(K6711="Unit", K6711=""), "", INDEX(LookUps!$E$5:$E$12, MATCH(OpenLCAbasic!K6711,LookUps!$D$5:$D$12,0))))</f>
        <v>Fossil Depletion Potential (FDP) - kg oil eq</v>
      </c>
      <c r="M6711" s="154" t="str">
        <f t="shared" si="494"/>
        <v>Low_High_High_Upgraded_Fossil Depletion Potential (FDP) - kg oil eq_Pre-Anoxic &amp; Swing tank; wastewater treatment unit; at updated plant - US_Without Amendment_Windrow</v>
      </c>
    </row>
    <row r="6712" spans="1:13" s="120" customFormat="1" x14ac:dyDescent="0.25">
      <c r="A6712" s="119"/>
      <c r="B6712" s="138" t="str">
        <f t="shared" si="498"/>
        <v>Windrow</v>
      </c>
      <c r="C6712" s="138" t="str">
        <f t="shared" si="495"/>
        <v>Without Amendment</v>
      </c>
      <c r="D6712" s="138" t="str">
        <f t="shared" si="496"/>
        <v>High_High</v>
      </c>
      <c r="E6712" s="138" t="str">
        <f t="shared" si="497"/>
        <v>Low</v>
      </c>
      <c r="F6712" s="138" t="str">
        <f t="shared" si="499"/>
        <v>Upgraded</v>
      </c>
      <c r="G6712" s="153"/>
      <c r="H6712" s="210">
        <v>8.4000000000000005E-2</v>
      </c>
      <c r="I6712" s="160" t="s">
        <v>147</v>
      </c>
      <c r="J6712" s="160">
        <v>1.5089999999999999E-2</v>
      </c>
      <c r="K6712" s="160" t="s">
        <v>14</v>
      </c>
      <c r="L6712" s="154" t="str">
        <f>IF(OpenLCAbasic!K6712="CTUh", "Fill in Manually",IF(OR(K6712="Unit", K6712=""), "", INDEX(LookUps!$E$5:$E$12, MATCH(OpenLCAbasic!K6712,LookUps!$D$5:$D$12,0))))</f>
        <v>Fossil Depletion Potential (FDP) - kg oil eq</v>
      </c>
      <c r="M6712" s="154" t="str">
        <f t="shared" si="494"/>
        <v>Low_High_High_Upgraded_Fossil Depletion Potential (FDP) - kg oil eq_Influent Pump Station; wastewater treatment unit; at updated plant - US_Without Amendment_Windrow</v>
      </c>
    </row>
    <row r="6713" spans="1:13" s="120" customFormat="1" x14ac:dyDescent="0.25">
      <c r="A6713" s="119"/>
      <c r="B6713" s="138" t="str">
        <f t="shared" si="498"/>
        <v>Windrow</v>
      </c>
      <c r="C6713" s="138" t="str">
        <f t="shared" si="495"/>
        <v>Without Amendment</v>
      </c>
      <c r="D6713" s="138" t="str">
        <f t="shared" si="496"/>
        <v>High_High</v>
      </c>
      <c r="E6713" s="138" t="str">
        <f t="shared" si="497"/>
        <v>Low</v>
      </c>
      <c r="F6713" s="138" t="str">
        <f t="shared" si="499"/>
        <v>Upgraded</v>
      </c>
      <c r="G6713" s="153"/>
      <c r="H6713" s="210">
        <v>6.9500000000000006E-2</v>
      </c>
      <c r="I6713" s="160" t="s">
        <v>53</v>
      </c>
      <c r="J6713" s="160">
        <v>1.2489999999999999E-2</v>
      </c>
      <c r="K6713" s="160" t="s">
        <v>14</v>
      </c>
      <c r="L6713" s="154" t="str">
        <f>IF(OpenLCAbasic!K6713="CTUh", "Fill in Manually",IF(OR(K6713="Unit", K6713=""), "", INDEX(LookUps!$E$5:$E$12, MATCH(OpenLCAbasic!K6713,LookUps!$D$5:$D$12,0))))</f>
        <v>Fossil Depletion Potential (FDP) - kg oil eq</v>
      </c>
      <c r="M6713" s="154" t="str">
        <f t="shared" si="494"/>
        <v>Low_High_High_Upgraded_Fossil Depletion Potential (FDP) - kg oil eq_Wet Well and Sump Station; wastewater treatment unit; at updated plant - US_Without Amendment_Windrow</v>
      </c>
    </row>
    <row r="6714" spans="1:13" s="120" customFormat="1" x14ac:dyDescent="0.25">
      <c r="A6714" s="119"/>
      <c r="B6714" s="138" t="str">
        <f t="shared" si="498"/>
        <v>Windrow</v>
      </c>
      <c r="C6714" s="138" t="str">
        <f t="shared" si="495"/>
        <v>Without Amendment</v>
      </c>
      <c r="D6714" s="138" t="str">
        <f t="shared" si="496"/>
        <v>High_High</v>
      </c>
      <c r="E6714" s="138" t="str">
        <f t="shared" si="497"/>
        <v>Low</v>
      </c>
      <c r="F6714" s="138" t="str">
        <f t="shared" si="499"/>
        <v>Upgraded</v>
      </c>
      <c r="G6714" s="153"/>
      <c r="H6714" s="210">
        <v>5.8000000000000003E-2</v>
      </c>
      <c r="I6714" s="160" t="s">
        <v>60</v>
      </c>
      <c r="J6714" s="160">
        <v>1.0410000000000001E-2</v>
      </c>
      <c r="K6714" s="160" t="s">
        <v>14</v>
      </c>
      <c r="L6714" s="154" t="str">
        <f>IF(OpenLCAbasic!K6714="CTUh", "Fill in Manually",IF(OR(K6714="Unit", K6714=""), "", INDEX(LookUps!$E$5:$E$12, MATCH(OpenLCAbasic!K6714,LookUps!$D$5:$D$12,0))))</f>
        <v>Fossil Depletion Potential (FDP) - kg oil eq</v>
      </c>
      <c r="M6714" s="154" t="str">
        <f t="shared" si="494"/>
        <v>Low_High_High_Upgraded_Fossil Depletion Potential (FDP) - kg oil eq_Belt filter press; wastewater treatment unit; at updated plant - US_Without Amendment_Windrow</v>
      </c>
    </row>
    <row r="6715" spans="1:13" s="120" customFormat="1" x14ac:dyDescent="0.25">
      <c r="A6715" s="119"/>
      <c r="B6715" s="138" t="str">
        <f t="shared" si="498"/>
        <v>Windrow</v>
      </c>
      <c r="C6715" s="138" t="str">
        <f t="shared" si="495"/>
        <v>Without Amendment</v>
      </c>
      <c r="D6715" s="138" t="str">
        <f t="shared" si="496"/>
        <v>High_High</v>
      </c>
      <c r="E6715" s="138" t="str">
        <f t="shared" si="497"/>
        <v>Low</v>
      </c>
      <c r="F6715" s="138" t="str">
        <f t="shared" si="499"/>
        <v>Upgraded</v>
      </c>
      <c r="G6715" s="153"/>
      <c r="H6715" s="210">
        <v>3.85E-2</v>
      </c>
      <c r="I6715" s="160" t="s">
        <v>57</v>
      </c>
      <c r="J6715" s="160">
        <v>6.9199999999999999E-3</v>
      </c>
      <c r="K6715" s="160" t="s">
        <v>14</v>
      </c>
      <c r="L6715" s="154" t="str">
        <f>IF(OpenLCAbasic!K6715="CTUh", "Fill in Manually",IF(OR(K6715="Unit", K6715=""), "", INDEX(LookUps!$E$5:$E$12, MATCH(OpenLCAbasic!K6715,LookUps!$D$5:$D$12,0))))</f>
        <v>Fossil Depletion Potential (FDP) - kg oil eq</v>
      </c>
      <c r="M6715" s="154" t="str">
        <f t="shared" ref="M6715:M6778" si="500">CONCATENATE(E6715,"_",D6715,"_",F6715,"_",L6715, "_",I6715,"_", C6715,"_", B6715)</f>
        <v>Low_High_High_Upgraded_Fossil Depletion Potential (FDP) - kg oil eq_Gravity Belt Thickener; wastewater treatment unit; at updated plant - US_Without Amendment_Windrow</v>
      </c>
    </row>
    <row r="6716" spans="1:13" s="120" customFormat="1" x14ac:dyDescent="0.25">
      <c r="A6716" s="119"/>
      <c r="B6716" s="138" t="str">
        <f t="shared" si="498"/>
        <v>Windrow</v>
      </c>
      <c r="C6716" s="138" t="str">
        <f t="shared" si="495"/>
        <v>Without Amendment</v>
      </c>
      <c r="D6716" s="138" t="str">
        <f t="shared" si="496"/>
        <v>High_High</v>
      </c>
      <c r="E6716" s="138" t="str">
        <f t="shared" si="497"/>
        <v>Low</v>
      </c>
      <c r="F6716" s="138" t="str">
        <f t="shared" si="499"/>
        <v>Upgraded</v>
      </c>
      <c r="G6716" s="153"/>
      <c r="H6716" s="210">
        <v>2.5000000000000001E-2</v>
      </c>
      <c r="I6716" s="160" t="s">
        <v>128</v>
      </c>
      <c r="J6716" s="160">
        <v>4.4999999999999997E-3</v>
      </c>
      <c r="K6716" s="160" t="s">
        <v>14</v>
      </c>
      <c r="L6716" s="154" t="str">
        <f>IF(OpenLCAbasic!K6716="CTUh", "Fill in Manually",IF(OR(K6716="Unit", K6716=""), "", INDEX(LookUps!$E$5:$E$12, MATCH(OpenLCAbasic!K6716,LookUps!$D$5:$D$12,0))))</f>
        <v>Fossil Depletion Potential (FDP) - kg oil eq</v>
      </c>
      <c r="M6716" s="154" t="str">
        <f t="shared" si="500"/>
        <v>Low_High_High_Upgraded_Fossil Depletion Potential (FDP) - kg oil eq_Wastewater collection; operation and infrastructure; m3 wastewater_Without Amendment_Windrow</v>
      </c>
    </row>
    <row r="6717" spans="1:13" s="120" customFormat="1" x14ac:dyDescent="0.25">
      <c r="A6717" s="119"/>
      <c r="B6717" s="138" t="str">
        <f t="shared" si="498"/>
        <v>Windrow</v>
      </c>
      <c r="C6717" s="138" t="str">
        <f t="shared" si="495"/>
        <v>Without Amendment</v>
      </c>
      <c r="D6717" s="138" t="str">
        <f t="shared" si="496"/>
        <v>High_High</v>
      </c>
      <c r="E6717" s="138" t="str">
        <f t="shared" si="497"/>
        <v>Low</v>
      </c>
      <c r="F6717" s="138" t="str">
        <f t="shared" si="499"/>
        <v>Upgraded</v>
      </c>
      <c r="G6717" s="153"/>
      <c r="H6717" s="210">
        <v>1.5599999999999999E-2</v>
      </c>
      <c r="I6717" s="160" t="s">
        <v>148</v>
      </c>
      <c r="J6717" s="160">
        <v>2.8E-3</v>
      </c>
      <c r="K6717" s="160" t="s">
        <v>14</v>
      </c>
      <c r="L6717" s="154" t="str">
        <f>IF(OpenLCAbasic!K6717="CTUh", "Fill in Manually",IF(OR(K6717="Unit", K6717=""), "", INDEX(LookUps!$E$5:$E$12, MATCH(OpenLCAbasic!K6717,LookUps!$D$5:$D$12,0))))</f>
        <v>Fossil Depletion Potential (FDP) - kg oil eq</v>
      </c>
      <c r="M6717" s="154" t="str">
        <f t="shared" si="500"/>
        <v>Low_High_High_Upgraded_Fossil Depletion Potential (FDP) - kg oil eq_Control Building; at upgraded wastewater treatment plant - US_Without Amendment_Windrow</v>
      </c>
    </row>
    <row r="6718" spans="1:13" s="120" customFormat="1" x14ac:dyDescent="0.25">
      <c r="A6718" s="119"/>
      <c r="B6718" s="138" t="str">
        <f t="shared" si="498"/>
        <v>Windrow</v>
      </c>
      <c r="C6718" s="138" t="str">
        <f t="shared" si="495"/>
        <v>Without Amendment</v>
      </c>
      <c r="D6718" s="138" t="str">
        <f t="shared" si="496"/>
        <v>High_High</v>
      </c>
      <c r="E6718" s="138" t="str">
        <f t="shared" si="497"/>
        <v>Low</v>
      </c>
      <c r="F6718" s="138" t="str">
        <f t="shared" si="499"/>
        <v>Upgraded</v>
      </c>
      <c r="G6718" s="153"/>
      <c r="H6718" s="210">
        <v>1.32E-2</v>
      </c>
      <c r="I6718" s="160" t="s">
        <v>48</v>
      </c>
      <c r="J6718" s="160">
        <v>2.3600000000000001E-3</v>
      </c>
      <c r="K6718" s="160" t="s">
        <v>14</v>
      </c>
      <c r="L6718" s="154" t="str">
        <f>IF(OpenLCAbasic!K6718="CTUh", "Fill in Manually",IF(OR(K6718="Unit", K6718=""), "", INDEX(LookUps!$E$5:$E$12, MATCH(OpenLCAbasic!K6718,LookUps!$D$5:$D$12,0))))</f>
        <v>Fossil Depletion Potential (FDP) - kg oil eq</v>
      </c>
      <c r="M6718" s="154" t="str">
        <f t="shared" si="500"/>
        <v>Low_High_High_Upgraded_Fossil Depletion Potential (FDP) - kg oil eq_Effluent release; wastewater treatment unit; at surface water; m3 wastewater - US_Without Amendment_Windrow</v>
      </c>
    </row>
    <row r="6719" spans="1:13" s="120" customFormat="1" x14ac:dyDescent="0.25">
      <c r="A6719" s="119"/>
      <c r="B6719" s="138" t="str">
        <f t="shared" si="498"/>
        <v>Windrow</v>
      </c>
      <c r="C6719" s="138" t="str">
        <f t="shared" si="495"/>
        <v>Without Amendment</v>
      </c>
      <c r="D6719" s="138" t="str">
        <f t="shared" si="496"/>
        <v>High_High</v>
      </c>
      <c r="E6719" s="138" t="str">
        <f t="shared" si="497"/>
        <v>Low</v>
      </c>
      <c r="F6719" s="138" t="str">
        <f t="shared" si="499"/>
        <v>Upgraded</v>
      </c>
      <c r="G6719" s="153"/>
      <c r="H6719" s="210">
        <v>1.0699999999999999E-2</v>
      </c>
      <c r="I6719" s="160" t="s">
        <v>59</v>
      </c>
      <c r="J6719" s="160">
        <v>1.92E-3</v>
      </c>
      <c r="K6719" s="160" t="s">
        <v>14</v>
      </c>
      <c r="L6719" s="154" t="str">
        <f>IF(OpenLCAbasic!K6719="CTUh", "Fill in Manually",IF(OR(K6719="Unit", K6719=""), "", INDEX(LookUps!$E$5:$E$12, MATCH(OpenLCAbasic!K6719,LookUps!$D$5:$D$12,0))))</f>
        <v>Fossil Depletion Potential (FDP) - kg oil eq</v>
      </c>
      <c r="M6719" s="154" t="str">
        <f t="shared" si="500"/>
        <v>Low_High_High_Upgraded_Fossil Depletion Potential (FDP) - kg oil eq_Blend Tank; wastewater treatment unit; at updated plant - US_Without Amendment_Windrow</v>
      </c>
    </row>
    <row r="6720" spans="1:13" s="120" customFormat="1" x14ac:dyDescent="0.25">
      <c r="A6720" s="119"/>
      <c r="B6720" s="138" t="str">
        <f t="shared" si="498"/>
        <v>Windrow</v>
      </c>
      <c r="C6720" s="138" t="str">
        <f t="shared" si="495"/>
        <v>Without Amendment</v>
      </c>
      <c r="D6720" s="138" t="str">
        <f t="shared" si="496"/>
        <v>High_High</v>
      </c>
      <c r="E6720" s="138" t="str">
        <f t="shared" si="497"/>
        <v>Low</v>
      </c>
      <c r="F6720" s="138" t="str">
        <f t="shared" si="499"/>
        <v>Upgraded</v>
      </c>
      <c r="G6720" s="153"/>
      <c r="H6720" s="210">
        <v>5.1000000000000004E-3</v>
      </c>
      <c r="I6720" s="160" t="s">
        <v>168</v>
      </c>
      <c r="J6720" s="160">
        <v>9.1E-4</v>
      </c>
      <c r="K6720" s="160" t="s">
        <v>14</v>
      </c>
      <c r="L6720" s="154" t="str">
        <f>IF(OpenLCAbasic!K6720="CTUh", "Fill in Manually",IF(OR(K6720="Unit", K6720=""), "", INDEX(LookUps!$E$5:$E$12, MATCH(OpenLCAbasic!K6720,LookUps!$D$5:$D$12,0))))</f>
        <v>Fossil Depletion Potential (FDP) - kg oil eq</v>
      </c>
      <c r="M6720" s="154" t="str">
        <f t="shared" si="500"/>
        <v>Low_High_High_Upgraded_Fossil Depletion Potential (FDP) - kg oil eq_ClearCove SCP; wastewater treatment unit; at updated plant - US_Without Amendment_Windrow</v>
      </c>
    </row>
    <row r="6721" spans="1:13" s="120" customFormat="1" x14ac:dyDescent="0.25">
      <c r="A6721" s="119"/>
      <c r="B6721" s="138" t="str">
        <f t="shared" si="498"/>
        <v>Windrow</v>
      </c>
      <c r="C6721" s="138" t="str">
        <f t="shared" ref="C6721:C6784" si="501">IF(ISNUMBER($J6721),"Without Amendment","")</f>
        <v>Without Amendment</v>
      </c>
      <c r="D6721" s="138" t="str">
        <f t="shared" ref="D6721:D6784" si="502">IF(ISNUMBER($J6721),"High_High","")</f>
        <v>High_High</v>
      </c>
      <c r="E6721" s="138" t="str">
        <f t="shared" ref="E6721:E6784" si="503">IF(ISNUMBER($J6721),"Low","")</f>
        <v>Low</v>
      </c>
      <c r="F6721" s="138" t="str">
        <f t="shared" si="499"/>
        <v>Upgraded</v>
      </c>
      <c r="G6721" s="153"/>
      <c r="H6721" s="210">
        <v>4.1000000000000003E-3</v>
      </c>
      <c r="I6721" s="160" t="s">
        <v>271</v>
      </c>
      <c r="J6721" s="160">
        <v>7.3999999999999999E-4</v>
      </c>
      <c r="K6721" s="160" t="s">
        <v>14</v>
      </c>
      <c r="L6721" s="154" t="str">
        <f>IF(OpenLCAbasic!K6721="CTUh", "Fill in Manually",IF(OR(K6721="Unit", K6721=""), "", INDEX(LookUps!$E$5:$E$12, MATCH(OpenLCAbasic!K6721,LookUps!$D$5:$D$12,0))))</f>
        <v>Fossil Depletion Potential (FDP) - kg oil eq</v>
      </c>
      <c r="M6721" s="154" t="str">
        <f t="shared" si="500"/>
        <v>Low_High_High_Upgraded_Fossil Depletion Potential (FDP) - kg oil eq_Biosolids composting; windrow composting; wastewater treatment unit; at updated plant - US_Without Amendment_Windrow</v>
      </c>
    </row>
    <row r="6722" spans="1:13" s="120" customFormat="1" x14ac:dyDescent="0.25">
      <c r="A6722" s="119"/>
      <c r="B6722" s="138" t="str">
        <f t="shared" si="498"/>
        <v>Windrow</v>
      </c>
      <c r="C6722" s="138" t="str">
        <f t="shared" si="501"/>
        <v>Without Amendment</v>
      </c>
      <c r="D6722" s="138" t="str">
        <f t="shared" si="502"/>
        <v>High_High</v>
      </c>
      <c r="E6722" s="138" t="str">
        <f t="shared" si="503"/>
        <v>Low</v>
      </c>
      <c r="F6722" s="138" t="str">
        <f t="shared" si="499"/>
        <v>Upgraded</v>
      </c>
      <c r="G6722" s="153"/>
      <c r="H6722" s="210">
        <v>-4.3799999999999999E-2</v>
      </c>
      <c r="I6722" s="160" t="s">
        <v>62</v>
      </c>
      <c r="J6722" s="160">
        <v>-7.8700000000000003E-3</v>
      </c>
      <c r="K6722" s="160" t="s">
        <v>14</v>
      </c>
      <c r="L6722" s="154" t="str">
        <f>IF(OpenLCAbasic!K6722="CTUh", "Fill in Manually",IF(OR(K6722="Unit", K6722=""), "", INDEX(LookUps!$E$5:$E$12, MATCH(OpenLCAbasic!K6722,LookUps!$D$5:$D$12,0))))</f>
        <v>Fossil Depletion Potential (FDP) - kg oil eq</v>
      </c>
      <c r="M6722" s="154" t="str">
        <f t="shared" si="500"/>
        <v>Low_High_High_Upgraded_Fossil Depletion Potential (FDP) - kg oil eq_Land application of compost; wastewater treatment unit; at updated plant - US_Without Amendment_Windrow</v>
      </c>
    </row>
    <row r="6723" spans="1:13" s="120" customFormat="1" x14ac:dyDescent="0.25">
      <c r="A6723" s="119"/>
      <c r="B6723" s="138" t="str">
        <f t="shared" si="498"/>
        <v>Windrow</v>
      </c>
      <c r="C6723" s="138" t="str">
        <f t="shared" si="501"/>
        <v>Without Amendment</v>
      </c>
      <c r="D6723" s="138" t="str">
        <f t="shared" si="502"/>
        <v>High_High</v>
      </c>
      <c r="E6723" s="138" t="str">
        <f t="shared" si="503"/>
        <v>Low</v>
      </c>
      <c r="F6723" s="138" t="str">
        <f t="shared" si="499"/>
        <v>Upgraded</v>
      </c>
      <c r="G6723" s="153"/>
      <c r="H6723" s="210">
        <v>-2.4929999999999999</v>
      </c>
      <c r="I6723" s="160" t="s">
        <v>149</v>
      </c>
      <c r="J6723" s="160">
        <v>-0.44775999999999999</v>
      </c>
      <c r="K6723" s="160" t="s">
        <v>14</v>
      </c>
      <c r="L6723" s="154" t="str">
        <f>IF(OpenLCAbasic!K6723="CTUh", "Fill in Manually",IF(OR(K6723="Unit", K6723=""), "", INDEX(LookUps!$E$5:$E$12, MATCH(OpenLCAbasic!K6723,LookUps!$D$5:$D$12,0))))</f>
        <v>Fossil Depletion Potential (FDP) - kg oil eq</v>
      </c>
      <c r="M6723" s="154" t="str">
        <f t="shared" si="500"/>
        <v>Low_High_High_Upgraded_Fossil Depletion Potential (FDP) - kg oil eq_Anaerobic Digestion; wastewater treatment unit; at updated plant - US_Without Amendment_Windrow</v>
      </c>
    </row>
    <row r="6724" spans="1:13" s="120" customFormat="1" x14ac:dyDescent="0.25">
      <c r="A6724" s="119"/>
      <c r="B6724" s="138" t="str">
        <f t="shared" si="498"/>
        <v/>
      </c>
      <c r="C6724" s="138" t="str">
        <f t="shared" si="501"/>
        <v/>
      </c>
      <c r="D6724" s="138" t="str">
        <f t="shared" si="502"/>
        <v/>
      </c>
      <c r="E6724" s="138" t="str">
        <f t="shared" si="503"/>
        <v/>
      </c>
      <c r="F6724" s="138" t="str">
        <f t="shared" si="499"/>
        <v/>
      </c>
      <c r="G6724" s="153" t="s">
        <v>51</v>
      </c>
      <c r="H6724" s="160"/>
      <c r="I6724" s="160" t="s">
        <v>47</v>
      </c>
      <c r="J6724" s="160" t="s">
        <v>52</v>
      </c>
      <c r="K6724" s="160" t="s">
        <v>27</v>
      </c>
      <c r="L6724" s="154" t="str">
        <f>IF(OpenLCAbasic!K6724="CTUh", "Fill in Manually",IF(OR(K6724="Unit", K6724=""), "", INDEX(LookUps!$E$5:$E$12, MATCH(OpenLCAbasic!K6724,LookUps!$D$5:$D$12,0))))</f>
        <v/>
      </c>
      <c r="M6724" s="154" t="str">
        <f t="shared" si="500"/>
        <v>____Process__</v>
      </c>
    </row>
    <row r="6725" spans="1:13" s="120" customFormat="1" x14ac:dyDescent="0.25">
      <c r="A6725" s="119"/>
      <c r="B6725" s="138" t="str">
        <f t="shared" si="498"/>
        <v>Windrow</v>
      </c>
      <c r="C6725" s="138" t="str">
        <f t="shared" si="501"/>
        <v>Without Amendment</v>
      </c>
      <c r="D6725" s="138" t="str">
        <f t="shared" si="502"/>
        <v>High_High</v>
      </c>
      <c r="E6725" s="138" t="str">
        <f t="shared" si="503"/>
        <v>Low</v>
      </c>
      <c r="F6725" s="138" t="str">
        <f t="shared" si="499"/>
        <v>Upgraded</v>
      </c>
      <c r="G6725" s="153"/>
      <c r="H6725" s="210">
        <v>1.1341000000000001</v>
      </c>
      <c r="I6725" s="160" t="s">
        <v>58</v>
      </c>
      <c r="J6725" s="160">
        <v>0.24992</v>
      </c>
      <c r="K6725" s="160" t="s">
        <v>23</v>
      </c>
      <c r="L6725" s="154" t="str">
        <f>IF(OpenLCAbasic!K6725="CTUh", "Fill in Manually",IF(OR(K6725="Unit", K6725=""), "", INDEX(LookUps!$E$5:$E$12, MATCH(OpenLCAbasic!K6725,LookUps!$D$5:$D$12,0))))</f>
        <v>Global Warming Potential (GWP) - kg CO2 eq</v>
      </c>
      <c r="M6725" s="154" t="str">
        <f t="shared" si="500"/>
        <v>Low_High_High_Upgraded_Global Warming Potential (GWP) - kg CO2 eq_Pre-Anoxic &amp; Swing tank; wastewater treatment unit; at updated plant - US_Without Amendment_Windrow</v>
      </c>
    </row>
    <row r="6726" spans="1:13" s="120" customFormat="1" x14ac:dyDescent="0.25">
      <c r="A6726" s="119"/>
      <c r="B6726" s="138" t="str">
        <f t="shared" si="498"/>
        <v>Windrow</v>
      </c>
      <c r="C6726" s="138" t="str">
        <f t="shared" si="501"/>
        <v>Without Amendment</v>
      </c>
      <c r="D6726" s="138" t="str">
        <f t="shared" si="502"/>
        <v>High_High</v>
      </c>
      <c r="E6726" s="138" t="str">
        <f t="shared" si="503"/>
        <v>Low</v>
      </c>
      <c r="F6726" s="138" t="str">
        <f t="shared" si="499"/>
        <v>Upgraded</v>
      </c>
      <c r="G6726" s="153"/>
      <c r="H6726" s="210">
        <v>0.76339999999999997</v>
      </c>
      <c r="I6726" s="160" t="s">
        <v>55</v>
      </c>
      <c r="J6726" s="160">
        <v>0.16822000000000001</v>
      </c>
      <c r="K6726" s="160" t="s">
        <v>23</v>
      </c>
      <c r="L6726" s="154" t="str">
        <f>IF(OpenLCAbasic!K6726="CTUh", "Fill in Manually",IF(OR(K6726="Unit", K6726=""), "", INDEX(LookUps!$E$5:$E$12, MATCH(OpenLCAbasic!K6726,LookUps!$D$5:$D$12,0))))</f>
        <v>Global Warming Potential (GWP) - kg CO2 eq</v>
      </c>
      <c r="M6726" s="154" t="str">
        <f t="shared" si="500"/>
        <v>Low_High_High_Upgraded_Global Warming Potential (GWP) - kg CO2 eq_Aeration Tanks; wastewater treatment unit; at updated plant - US_Without Amendment_Windrow</v>
      </c>
    </row>
    <row r="6727" spans="1:13" s="120" customFormat="1" x14ac:dyDescent="0.25">
      <c r="A6727" s="119"/>
      <c r="B6727" s="138" t="str">
        <f t="shared" si="498"/>
        <v>Windrow</v>
      </c>
      <c r="C6727" s="138" t="str">
        <f t="shared" si="501"/>
        <v>Without Amendment</v>
      </c>
      <c r="D6727" s="138" t="str">
        <f t="shared" si="502"/>
        <v>High_High</v>
      </c>
      <c r="E6727" s="138" t="str">
        <f t="shared" si="503"/>
        <v>Low</v>
      </c>
      <c r="F6727" s="138" t="str">
        <f t="shared" si="499"/>
        <v>Upgraded</v>
      </c>
      <c r="G6727" s="153"/>
      <c r="H6727" s="210">
        <v>0.66639999999999999</v>
      </c>
      <c r="I6727" s="160" t="s">
        <v>167</v>
      </c>
      <c r="J6727" s="160">
        <v>0.14685000000000001</v>
      </c>
      <c r="K6727" s="160" t="s">
        <v>23</v>
      </c>
      <c r="L6727" s="154" t="str">
        <f>IF(OpenLCAbasic!K6727="CTUh", "Fill in Manually",IF(OR(K6727="Unit", K6727=""), "", INDEX(LookUps!$E$5:$E$12, MATCH(OpenLCAbasic!K6727,LookUps!$D$5:$D$12,0))))</f>
        <v>Global Warming Potential (GWP) - kg CO2 eq</v>
      </c>
      <c r="M6727" s="154" t="str">
        <f t="shared" si="500"/>
        <v>Low_High_High_Upgraded_Global Warming Potential (GWP) - kg CO2 eq_Waste Receiving and Holding; wastewater treatment unit; at updated plant - US_Without Amendment_Windrow</v>
      </c>
    </row>
    <row r="6728" spans="1:13" s="120" customFormat="1" x14ac:dyDescent="0.25">
      <c r="A6728" s="119"/>
      <c r="B6728" s="138" t="str">
        <f t="shared" si="498"/>
        <v>Windrow</v>
      </c>
      <c r="C6728" s="138" t="str">
        <f t="shared" si="501"/>
        <v>Without Amendment</v>
      </c>
      <c r="D6728" s="138" t="str">
        <f t="shared" si="502"/>
        <v>High_High</v>
      </c>
      <c r="E6728" s="138" t="str">
        <f t="shared" si="503"/>
        <v>Low</v>
      </c>
      <c r="F6728" s="138" t="str">
        <f t="shared" si="499"/>
        <v>Upgraded</v>
      </c>
      <c r="G6728" s="153"/>
      <c r="H6728" s="210">
        <v>0.39900000000000002</v>
      </c>
      <c r="I6728" s="160" t="s">
        <v>271</v>
      </c>
      <c r="J6728" s="160">
        <v>8.7929999999999994E-2</v>
      </c>
      <c r="K6728" s="160" t="s">
        <v>23</v>
      </c>
      <c r="L6728" s="154" t="str">
        <f>IF(OpenLCAbasic!K6728="CTUh", "Fill in Manually",IF(OR(K6728="Unit", K6728=""), "", INDEX(LookUps!$E$5:$E$12, MATCH(OpenLCAbasic!K6728,LookUps!$D$5:$D$12,0))))</f>
        <v>Global Warming Potential (GWP) - kg CO2 eq</v>
      </c>
      <c r="M6728" s="154" t="str">
        <f t="shared" si="500"/>
        <v>Low_High_High_Upgraded_Global Warming Potential (GWP) - kg CO2 eq_Biosolids composting; windrow composting; wastewater treatment unit; at updated plant - US_Without Amendment_Windrow</v>
      </c>
    </row>
    <row r="6729" spans="1:13" s="120" customFormat="1" x14ac:dyDescent="0.25">
      <c r="A6729" s="119"/>
      <c r="B6729" s="138" t="str">
        <f t="shared" si="498"/>
        <v>Windrow</v>
      </c>
      <c r="C6729" s="138" t="str">
        <f t="shared" si="501"/>
        <v>Without Amendment</v>
      </c>
      <c r="D6729" s="138" t="str">
        <f t="shared" si="502"/>
        <v>High_High</v>
      </c>
      <c r="E6729" s="138" t="str">
        <f t="shared" si="503"/>
        <v>Low</v>
      </c>
      <c r="F6729" s="138" t="str">
        <f t="shared" si="499"/>
        <v>Upgraded</v>
      </c>
      <c r="G6729" s="153"/>
      <c r="H6729" s="210">
        <v>0.25900000000000001</v>
      </c>
      <c r="I6729" s="160" t="s">
        <v>54</v>
      </c>
      <c r="J6729" s="160">
        <v>5.7079999999999999E-2</v>
      </c>
      <c r="K6729" s="160" t="s">
        <v>23</v>
      </c>
      <c r="L6729" s="154" t="str">
        <f>IF(OpenLCAbasic!K6729="CTUh", "Fill in Manually",IF(OR(K6729="Unit", K6729=""), "", INDEX(LookUps!$E$5:$E$12, MATCH(OpenLCAbasic!K6729,LookUps!$D$5:$D$12,0))))</f>
        <v>Global Warming Potential (GWP) - kg CO2 eq</v>
      </c>
      <c r="M6729" s="154" t="str">
        <f t="shared" si="500"/>
        <v>Low_High_High_Upgraded_Global Warming Potential (GWP) - kg CO2 eq_Clear Cove Primary Clarification; wastewater treatment unit; at updated plant - US_Without Amendment_Windrow</v>
      </c>
    </row>
    <row r="6730" spans="1:13" s="120" customFormat="1" x14ac:dyDescent="0.25">
      <c r="A6730" s="119"/>
      <c r="B6730" s="138" t="str">
        <f t="shared" si="498"/>
        <v>Windrow</v>
      </c>
      <c r="C6730" s="138" t="str">
        <f t="shared" si="501"/>
        <v>Without Amendment</v>
      </c>
      <c r="D6730" s="138" t="str">
        <f t="shared" si="502"/>
        <v>High_High</v>
      </c>
      <c r="E6730" s="138" t="str">
        <f t="shared" si="503"/>
        <v>Low</v>
      </c>
      <c r="F6730" s="138" t="str">
        <f t="shared" si="499"/>
        <v>Upgraded</v>
      </c>
      <c r="G6730" s="153"/>
      <c r="H6730" s="210">
        <v>0.2389</v>
      </c>
      <c r="I6730" s="160" t="s">
        <v>48</v>
      </c>
      <c r="J6730" s="160">
        <v>5.2639999999999999E-2</v>
      </c>
      <c r="K6730" s="160" t="s">
        <v>23</v>
      </c>
      <c r="L6730" s="154" t="str">
        <f>IF(OpenLCAbasic!K6730="CTUh", "Fill in Manually",IF(OR(K6730="Unit", K6730=""), "", INDEX(LookUps!$E$5:$E$12, MATCH(OpenLCAbasic!K6730,LookUps!$D$5:$D$12,0))))</f>
        <v>Global Warming Potential (GWP) - kg CO2 eq</v>
      </c>
      <c r="M6730" s="154" t="str">
        <f t="shared" si="500"/>
        <v>Low_High_High_Upgraded_Global Warming Potential (GWP) - kg CO2 eq_Effluent release; wastewater treatment unit; at surface water; m3 wastewater - US_Without Amendment_Windrow</v>
      </c>
    </row>
    <row r="6731" spans="1:13" s="120" customFormat="1" x14ac:dyDescent="0.25">
      <c r="A6731" s="119"/>
      <c r="B6731" s="138" t="str">
        <f t="shared" si="498"/>
        <v>Windrow</v>
      </c>
      <c r="C6731" s="138" t="str">
        <f t="shared" si="501"/>
        <v>Without Amendment</v>
      </c>
      <c r="D6731" s="138" t="str">
        <f t="shared" si="502"/>
        <v>High_High</v>
      </c>
      <c r="E6731" s="138" t="str">
        <f t="shared" si="503"/>
        <v>Low</v>
      </c>
      <c r="F6731" s="138" t="str">
        <f t="shared" si="499"/>
        <v>Upgraded</v>
      </c>
      <c r="G6731" s="153"/>
      <c r="H6731" s="210">
        <v>0.22919999999999999</v>
      </c>
      <c r="I6731" s="160" t="s">
        <v>147</v>
      </c>
      <c r="J6731" s="160">
        <v>5.0500000000000003E-2</v>
      </c>
      <c r="K6731" s="160" t="s">
        <v>23</v>
      </c>
      <c r="L6731" s="154" t="str">
        <f>IF(OpenLCAbasic!K6731="CTUh", "Fill in Manually",IF(OR(K6731="Unit", K6731=""), "", INDEX(LookUps!$E$5:$E$12, MATCH(OpenLCAbasic!K6731,LookUps!$D$5:$D$12,0))))</f>
        <v>Global Warming Potential (GWP) - kg CO2 eq</v>
      </c>
      <c r="M6731" s="154" t="str">
        <f t="shared" si="500"/>
        <v>Low_High_High_Upgraded_Global Warming Potential (GWP) - kg CO2 eq_Influent Pump Station; wastewater treatment unit; at updated plant - US_Without Amendment_Windrow</v>
      </c>
    </row>
    <row r="6732" spans="1:13" s="120" customFormat="1" x14ac:dyDescent="0.25">
      <c r="A6732" s="119"/>
      <c r="B6732" s="138" t="str">
        <f t="shared" si="498"/>
        <v>Windrow</v>
      </c>
      <c r="C6732" s="138" t="str">
        <f t="shared" si="501"/>
        <v>Without Amendment</v>
      </c>
      <c r="D6732" s="138" t="str">
        <f t="shared" si="502"/>
        <v>High_High</v>
      </c>
      <c r="E6732" s="138" t="str">
        <f t="shared" si="503"/>
        <v>Low</v>
      </c>
      <c r="F6732" s="138" t="str">
        <f t="shared" si="499"/>
        <v>Upgraded</v>
      </c>
      <c r="G6732" s="153"/>
      <c r="H6732" s="210">
        <v>0.15090000000000001</v>
      </c>
      <c r="I6732" s="160" t="s">
        <v>53</v>
      </c>
      <c r="J6732" s="160">
        <v>3.3259999999999998E-2</v>
      </c>
      <c r="K6732" s="160" t="s">
        <v>23</v>
      </c>
      <c r="L6732" s="154" t="str">
        <f>IF(OpenLCAbasic!K6732="CTUh", "Fill in Manually",IF(OR(K6732="Unit", K6732=""), "", INDEX(LookUps!$E$5:$E$12, MATCH(OpenLCAbasic!K6732,LookUps!$D$5:$D$12,0))))</f>
        <v>Global Warming Potential (GWP) - kg CO2 eq</v>
      </c>
      <c r="M6732" s="154" t="str">
        <f t="shared" si="500"/>
        <v>Low_High_High_Upgraded_Global Warming Potential (GWP) - kg CO2 eq_Wet Well and Sump Station; wastewater treatment unit; at updated plant - US_Without Amendment_Windrow</v>
      </c>
    </row>
    <row r="6733" spans="1:13" s="120" customFormat="1" x14ac:dyDescent="0.25">
      <c r="A6733" s="119"/>
      <c r="B6733" s="138" t="str">
        <f t="shared" si="498"/>
        <v>Windrow</v>
      </c>
      <c r="C6733" s="138" t="str">
        <f t="shared" si="501"/>
        <v>Without Amendment</v>
      </c>
      <c r="D6733" s="138" t="str">
        <f t="shared" si="502"/>
        <v>High_High</v>
      </c>
      <c r="E6733" s="138" t="str">
        <f t="shared" si="503"/>
        <v>Low</v>
      </c>
      <c r="F6733" s="138" t="str">
        <f t="shared" si="499"/>
        <v>Upgraded</v>
      </c>
      <c r="G6733" s="153"/>
      <c r="H6733" s="210">
        <v>0.1038</v>
      </c>
      <c r="I6733" s="160" t="s">
        <v>60</v>
      </c>
      <c r="J6733" s="160">
        <v>2.2880000000000001E-2</v>
      </c>
      <c r="K6733" s="160" t="s">
        <v>23</v>
      </c>
      <c r="L6733" s="154" t="str">
        <f>IF(OpenLCAbasic!K6733="CTUh", "Fill in Manually",IF(OR(K6733="Unit", K6733=""), "", INDEX(LookUps!$E$5:$E$12, MATCH(OpenLCAbasic!K6733,LookUps!$D$5:$D$12,0))))</f>
        <v>Global Warming Potential (GWP) - kg CO2 eq</v>
      </c>
      <c r="M6733" s="154" t="str">
        <f t="shared" si="500"/>
        <v>Low_High_High_Upgraded_Global Warming Potential (GWP) - kg CO2 eq_Belt filter press; wastewater treatment unit; at updated plant - US_Without Amendment_Windrow</v>
      </c>
    </row>
    <row r="6734" spans="1:13" s="120" customFormat="1" x14ac:dyDescent="0.25">
      <c r="A6734" s="119"/>
      <c r="B6734" s="138" t="str">
        <f t="shared" si="498"/>
        <v>Windrow</v>
      </c>
      <c r="C6734" s="138" t="str">
        <f t="shared" si="501"/>
        <v>Without Amendment</v>
      </c>
      <c r="D6734" s="138" t="str">
        <f t="shared" si="502"/>
        <v>High_High</v>
      </c>
      <c r="E6734" s="138" t="str">
        <f t="shared" si="503"/>
        <v>Low</v>
      </c>
      <c r="F6734" s="138" t="str">
        <f t="shared" si="499"/>
        <v>Upgraded</v>
      </c>
      <c r="G6734" s="153"/>
      <c r="H6734" s="210">
        <v>6.6000000000000003E-2</v>
      </c>
      <c r="I6734" s="160" t="s">
        <v>57</v>
      </c>
      <c r="J6734" s="160">
        <v>1.455E-2</v>
      </c>
      <c r="K6734" s="160" t="s">
        <v>23</v>
      </c>
      <c r="L6734" s="154" t="str">
        <f>IF(OpenLCAbasic!K6734="CTUh", "Fill in Manually",IF(OR(K6734="Unit", K6734=""), "", INDEX(LookUps!$E$5:$E$12, MATCH(OpenLCAbasic!K6734,LookUps!$D$5:$D$12,0))))</f>
        <v>Global Warming Potential (GWP) - kg CO2 eq</v>
      </c>
      <c r="M6734" s="154" t="str">
        <f t="shared" si="500"/>
        <v>Low_High_High_Upgraded_Global Warming Potential (GWP) - kg CO2 eq_Gravity Belt Thickener; wastewater treatment unit; at updated plant - US_Without Amendment_Windrow</v>
      </c>
    </row>
    <row r="6735" spans="1:13" s="120" customFormat="1" x14ac:dyDescent="0.25">
      <c r="A6735" s="119"/>
      <c r="B6735" s="138" t="str">
        <f t="shared" si="498"/>
        <v>Windrow</v>
      </c>
      <c r="C6735" s="138" t="str">
        <f t="shared" si="501"/>
        <v>Without Amendment</v>
      </c>
      <c r="D6735" s="138" t="str">
        <f t="shared" si="502"/>
        <v>High_High</v>
      </c>
      <c r="E6735" s="138" t="str">
        <f t="shared" si="503"/>
        <v>Low</v>
      </c>
      <c r="F6735" s="138" t="str">
        <f t="shared" si="499"/>
        <v>Upgraded</v>
      </c>
      <c r="G6735" s="153"/>
      <c r="H6735" s="210">
        <v>6.13E-2</v>
      </c>
      <c r="I6735" s="160" t="s">
        <v>128</v>
      </c>
      <c r="J6735" s="160">
        <v>1.3509999999999999E-2</v>
      </c>
      <c r="K6735" s="160" t="s">
        <v>23</v>
      </c>
      <c r="L6735" s="154" t="str">
        <f>IF(OpenLCAbasic!K6735="CTUh", "Fill in Manually",IF(OR(K6735="Unit", K6735=""), "", INDEX(LookUps!$E$5:$E$12, MATCH(OpenLCAbasic!K6735,LookUps!$D$5:$D$12,0))))</f>
        <v>Global Warming Potential (GWP) - kg CO2 eq</v>
      </c>
      <c r="M6735" s="154" t="str">
        <f t="shared" si="500"/>
        <v>Low_High_High_Upgraded_Global Warming Potential (GWP) - kg CO2 eq_Wastewater collection; operation and infrastructure; m3 wastewater_Without Amendment_Windrow</v>
      </c>
    </row>
    <row r="6736" spans="1:13" s="120" customFormat="1" x14ac:dyDescent="0.25">
      <c r="A6736" s="119"/>
      <c r="B6736" s="138" t="str">
        <f t="shared" si="498"/>
        <v>Windrow</v>
      </c>
      <c r="C6736" s="138" t="str">
        <f t="shared" si="501"/>
        <v>Without Amendment</v>
      </c>
      <c r="D6736" s="138" t="str">
        <f t="shared" si="502"/>
        <v>High_High</v>
      </c>
      <c r="E6736" s="138" t="str">
        <f t="shared" si="503"/>
        <v>Low</v>
      </c>
      <c r="F6736" s="138" t="str">
        <f t="shared" si="499"/>
        <v>Upgraded</v>
      </c>
      <c r="G6736" s="153"/>
      <c r="H6736" s="210">
        <v>3.7699999999999997E-2</v>
      </c>
      <c r="I6736" s="160" t="s">
        <v>148</v>
      </c>
      <c r="J6736" s="160">
        <v>8.3000000000000001E-3</v>
      </c>
      <c r="K6736" s="160" t="s">
        <v>23</v>
      </c>
      <c r="L6736" s="154" t="str">
        <f>IF(OpenLCAbasic!K6736="CTUh", "Fill in Manually",IF(OR(K6736="Unit", K6736=""), "", INDEX(LookUps!$E$5:$E$12, MATCH(OpenLCAbasic!K6736,LookUps!$D$5:$D$12,0))))</f>
        <v>Global Warming Potential (GWP) - kg CO2 eq</v>
      </c>
      <c r="M6736" s="154" t="str">
        <f t="shared" si="500"/>
        <v>Low_High_High_Upgraded_Global Warming Potential (GWP) - kg CO2 eq_Control Building; at upgraded wastewater treatment plant - US_Without Amendment_Windrow</v>
      </c>
    </row>
    <row r="6737" spans="1:13" s="120" customFormat="1" x14ac:dyDescent="0.25">
      <c r="A6737" s="119"/>
      <c r="B6737" s="138" t="str">
        <f t="shared" si="498"/>
        <v>Windrow</v>
      </c>
      <c r="C6737" s="138" t="str">
        <f t="shared" si="501"/>
        <v>Without Amendment</v>
      </c>
      <c r="D6737" s="138" t="str">
        <f t="shared" si="502"/>
        <v>High_High</v>
      </c>
      <c r="E6737" s="138" t="str">
        <f t="shared" si="503"/>
        <v>Low</v>
      </c>
      <c r="F6737" s="138" t="str">
        <f t="shared" si="499"/>
        <v>Upgraded</v>
      </c>
      <c r="G6737" s="153"/>
      <c r="H6737" s="210">
        <v>2.29E-2</v>
      </c>
      <c r="I6737" s="160" t="s">
        <v>59</v>
      </c>
      <c r="J6737" s="160">
        <v>5.0400000000000002E-3</v>
      </c>
      <c r="K6737" s="160" t="s">
        <v>23</v>
      </c>
      <c r="L6737" s="154" t="str">
        <f>IF(OpenLCAbasic!K6737="CTUh", "Fill in Manually",IF(OR(K6737="Unit", K6737=""), "", INDEX(LookUps!$E$5:$E$12, MATCH(OpenLCAbasic!K6737,LookUps!$D$5:$D$12,0))))</f>
        <v>Global Warming Potential (GWP) - kg CO2 eq</v>
      </c>
      <c r="M6737" s="154" t="str">
        <f t="shared" si="500"/>
        <v>Low_High_High_Upgraded_Global Warming Potential (GWP) - kg CO2 eq_Blend Tank; wastewater treatment unit; at updated plant - US_Without Amendment_Windrow</v>
      </c>
    </row>
    <row r="6738" spans="1:13" s="120" customFormat="1" x14ac:dyDescent="0.25">
      <c r="A6738" s="119"/>
      <c r="B6738" s="138" t="str">
        <f t="shared" si="498"/>
        <v>Windrow</v>
      </c>
      <c r="C6738" s="138" t="str">
        <f t="shared" si="501"/>
        <v>Without Amendment</v>
      </c>
      <c r="D6738" s="138" t="str">
        <f t="shared" si="502"/>
        <v>High_High</v>
      </c>
      <c r="E6738" s="138" t="str">
        <f t="shared" si="503"/>
        <v>Low</v>
      </c>
      <c r="F6738" s="138" t="str">
        <f t="shared" si="499"/>
        <v>Upgraded</v>
      </c>
      <c r="G6738" s="153"/>
      <c r="H6738" s="210">
        <v>1.0999999999999999E-2</v>
      </c>
      <c r="I6738" s="160" t="s">
        <v>168</v>
      </c>
      <c r="J6738" s="160">
        <v>2.4099999999999998E-3</v>
      </c>
      <c r="K6738" s="160" t="s">
        <v>23</v>
      </c>
      <c r="L6738" s="154" t="str">
        <f>IF(OpenLCAbasic!K6738="CTUh", "Fill in Manually",IF(OR(K6738="Unit", K6738=""), "", INDEX(LookUps!$E$5:$E$12, MATCH(OpenLCAbasic!K6738,LookUps!$D$5:$D$12,0))))</f>
        <v>Global Warming Potential (GWP) - kg CO2 eq</v>
      </c>
      <c r="M6738" s="154" t="str">
        <f t="shared" si="500"/>
        <v>Low_High_High_Upgraded_Global Warming Potential (GWP) - kg CO2 eq_ClearCove SCP; wastewater treatment unit; at updated plant - US_Without Amendment_Windrow</v>
      </c>
    </row>
    <row r="6739" spans="1:13" s="120" customFormat="1" x14ac:dyDescent="0.25">
      <c r="A6739" s="119"/>
      <c r="B6739" s="138" t="str">
        <f t="shared" si="498"/>
        <v>Windrow</v>
      </c>
      <c r="C6739" s="138" t="str">
        <f t="shared" si="501"/>
        <v>Without Amendment</v>
      </c>
      <c r="D6739" s="138" t="str">
        <f t="shared" si="502"/>
        <v>High_High</v>
      </c>
      <c r="E6739" s="138" t="str">
        <f t="shared" si="503"/>
        <v>Low</v>
      </c>
      <c r="F6739" s="138" t="str">
        <f t="shared" si="499"/>
        <v>Upgraded</v>
      </c>
      <c r="G6739" s="153"/>
      <c r="H6739" s="210">
        <v>-1.1052</v>
      </c>
      <c r="I6739" s="160" t="s">
        <v>62</v>
      </c>
      <c r="J6739" s="160">
        <v>-0.24353</v>
      </c>
      <c r="K6739" s="160" t="s">
        <v>23</v>
      </c>
      <c r="L6739" s="154" t="str">
        <f>IF(OpenLCAbasic!K6739="CTUh", "Fill in Manually",IF(OR(K6739="Unit", K6739=""), "", INDEX(LookUps!$E$5:$E$12, MATCH(OpenLCAbasic!K6739,LookUps!$D$5:$D$12,0))))</f>
        <v>Global Warming Potential (GWP) - kg CO2 eq</v>
      </c>
      <c r="M6739" s="154" t="str">
        <f t="shared" si="500"/>
        <v>Low_High_High_Upgraded_Global Warming Potential (GWP) - kg CO2 eq_Land application of compost; wastewater treatment unit; at updated plant - US_Without Amendment_Windrow</v>
      </c>
    </row>
    <row r="6740" spans="1:13" s="120" customFormat="1" x14ac:dyDescent="0.25">
      <c r="A6740" s="119"/>
      <c r="B6740" s="138" t="str">
        <f t="shared" si="498"/>
        <v>Windrow</v>
      </c>
      <c r="C6740" s="138" t="str">
        <f t="shared" si="501"/>
        <v>Without Amendment</v>
      </c>
      <c r="D6740" s="138" t="str">
        <f t="shared" si="502"/>
        <v>High_High</v>
      </c>
      <c r="E6740" s="138" t="str">
        <f t="shared" si="503"/>
        <v>Low</v>
      </c>
      <c r="F6740" s="138" t="str">
        <f t="shared" si="499"/>
        <v>Upgraded</v>
      </c>
      <c r="G6740" s="153"/>
      <c r="H6740" s="210">
        <v>-4.0385</v>
      </c>
      <c r="I6740" s="160" t="s">
        <v>149</v>
      </c>
      <c r="J6740" s="160">
        <v>-0.88992000000000004</v>
      </c>
      <c r="K6740" s="160" t="s">
        <v>23</v>
      </c>
      <c r="L6740" s="154" t="str">
        <f>IF(OpenLCAbasic!K6740="CTUh", "Fill in Manually",IF(OR(K6740="Unit", K6740=""), "", INDEX(LookUps!$E$5:$E$12, MATCH(OpenLCAbasic!K6740,LookUps!$D$5:$D$12,0))))</f>
        <v>Global Warming Potential (GWP) - kg CO2 eq</v>
      </c>
      <c r="M6740" s="154" t="str">
        <f t="shared" si="500"/>
        <v>Low_High_High_Upgraded_Global Warming Potential (GWP) - kg CO2 eq_Anaerobic Digestion; wastewater treatment unit; at updated plant - US_Without Amendment_Windrow</v>
      </c>
    </row>
    <row r="6741" spans="1:13" s="120" customFormat="1" x14ac:dyDescent="0.25">
      <c r="A6741" s="119"/>
      <c r="B6741" s="138" t="str">
        <f t="shared" si="498"/>
        <v/>
      </c>
      <c r="C6741" s="138" t="str">
        <f t="shared" si="501"/>
        <v/>
      </c>
      <c r="D6741" s="138" t="str">
        <f t="shared" si="502"/>
        <v/>
      </c>
      <c r="E6741" s="138" t="str">
        <f t="shared" si="503"/>
        <v/>
      </c>
      <c r="F6741" s="138" t="str">
        <f t="shared" si="499"/>
        <v/>
      </c>
      <c r="G6741" s="153" t="s">
        <v>51</v>
      </c>
      <c r="H6741" s="160"/>
      <c r="I6741" s="160" t="s">
        <v>47</v>
      </c>
      <c r="J6741" s="160" t="s">
        <v>52</v>
      </c>
      <c r="K6741" s="160" t="s">
        <v>27</v>
      </c>
      <c r="L6741" s="154" t="str">
        <f>IF(OpenLCAbasic!K6741="CTUh", "Fill in Manually",IF(OR(K6741="Unit", K6741=""), "", INDEX(LookUps!$E$5:$E$12, MATCH(OpenLCAbasic!K6741,LookUps!$D$5:$D$12,0))))</f>
        <v/>
      </c>
      <c r="M6741" s="154" t="str">
        <f t="shared" si="500"/>
        <v>____Process__</v>
      </c>
    </row>
    <row r="6742" spans="1:13" s="120" customFormat="1" x14ac:dyDescent="0.25">
      <c r="A6742" s="119"/>
      <c r="B6742" s="138" t="str">
        <f t="shared" si="498"/>
        <v>Windrow</v>
      </c>
      <c r="C6742" s="138" t="str">
        <f t="shared" si="501"/>
        <v>Without Amendment</v>
      </c>
      <c r="D6742" s="138" t="str">
        <f t="shared" si="502"/>
        <v>High_High</v>
      </c>
      <c r="E6742" s="138" t="str">
        <f t="shared" si="503"/>
        <v>Low</v>
      </c>
      <c r="F6742" s="138" t="str">
        <f t="shared" si="499"/>
        <v>Upgraded</v>
      </c>
      <c r="G6742" s="153"/>
      <c r="H6742" s="210">
        <v>0.30309999999999998</v>
      </c>
      <c r="I6742" s="160" t="s">
        <v>55</v>
      </c>
      <c r="J6742" s="160">
        <v>2.33E-3</v>
      </c>
      <c r="K6742" s="160" t="s">
        <v>145</v>
      </c>
      <c r="L6742" s="154" t="str">
        <f>IF(OpenLCAbasic!K6742="CTUh", "Fill in Manually",IF(OR(K6742="Unit", K6742=""), "", INDEX(LookUps!$E$5:$E$12, MATCH(OpenLCAbasic!K6742,LookUps!$D$5:$D$12,0))))</f>
        <v>Particulate Matter Formation Potential (PMFP) - kg PM2.5 eq</v>
      </c>
      <c r="M6742" s="154" t="str">
        <f t="shared" si="500"/>
        <v>Low_High_High_Upgraded_Particulate Matter Formation Potential (PMFP) - kg PM2.5 eq_Aeration Tanks; wastewater treatment unit; at updated plant - US_Without Amendment_Windrow</v>
      </c>
    </row>
    <row r="6743" spans="1:13" s="120" customFormat="1" x14ac:dyDescent="0.25">
      <c r="A6743" s="119"/>
      <c r="B6743" s="138" t="str">
        <f t="shared" si="498"/>
        <v>Windrow</v>
      </c>
      <c r="C6743" s="138" t="str">
        <f t="shared" si="501"/>
        <v>Without Amendment</v>
      </c>
      <c r="D6743" s="138" t="str">
        <f t="shared" si="502"/>
        <v>High_High</v>
      </c>
      <c r="E6743" s="138" t="str">
        <f t="shared" si="503"/>
        <v>Low</v>
      </c>
      <c r="F6743" s="138" t="str">
        <f t="shared" si="499"/>
        <v>Upgraded</v>
      </c>
      <c r="G6743" s="153"/>
      <c r="H6743" s="210">
        <v>8.8200000000000001E-2</v>
      </c>
      <c r="I6743" s="160" t="s">
        <v>54</v>
      </c>
      <c r="J6743" s="160">
        <v>6.8000000000000005E-4</v>
      </c>
      <c r="K6743" s="160" t="s">
        <v>145</v>
      </c>
      <c r="L6743" s="154" t="str">
        <f>IF(OpenLCAbasic!K6743="CTUh", "Fill in Manually",IF(OR(K6743="Unit", K6743=""), "", INDEX(LookUps!$E$5:$E$12, MATCH(OpenLCAbasic!K6743,LookUps!$D$5:$D$12,0))))</f>
        <v>Particulate Matter Formation Potential (PMFP) - kg PM2.5 eq</v>
      </c>
      <c r="M6743" s="154" t="str">
        <f t="shared" si="500"/>
        <v>Low_High_High_Upgraded_Particulate Matter Formation Potential (PMFP) - kg PM2.5 eq_Clear Cove Primary Clarification; wastewater treatment unit; at updated plant - US_Without Amendment_Windrow</v>
      </c>
    </row>
    <row r="6744" spans="1:13" s="120" customFormat="1" x14ac:dyDescent="0.25">
      <c r="A6744" s="119"/>
      <c r="B6744" s="138" t="str">
        <f t="shared" si="498"/>
        <v>Windrow</v>
      </c>
      <c r="C6744" s="138" t="str">
        <f t="shared" si="501"/>
        <v>Without Amendment</v>
      </c>
      <c r="D6744" s="138" t="str">
        <f t="shared" si="502"/>
        <v>High_High</v>
      </c>
      <c r="E6744" s="138" t="str">
        <f t="shared" si="503"/>
        <v>Low</v>
      </c>
      <c r="F6744" s="138" t="str">
        <f t="shared" si="499"/>
        <v>Upgraded</v>
      </c>
      <c r="G6744" s="153"/>
      <c r="H6744" s="210">
        <v>7.6799999999999993E-2</v>
      </c>
      <c r="I6744" s="160" t="s">
        <v>58</v>
      </c>
      <c r="J6744" s="160">
        <v>5.9000000000000003E-4</v>
      </c>
      <c r="K6744" s="160" t="s">
        <v>145</v>
      </c>
      <c r="L6744" s="154" t="str">
        <f>IF(OpenLCAbasic!K6744="CTUh", "Fill in Manually",IF(OR(K6744="Unit", K6744=""), "", INDEX(LookUps!$E$5:$E$12, MATCH(OpenLCAbasic!K6744,LookUps!$D$5:$D$12,0))))</f>
        <v>Particulate Matter Formation Potential (PMFP) - kg PM2.5 eq</v>
      </c>
      <c r="M6744" s="154" t="str">
        <f t="shared" si="500"/>
        <v>Low_High_High_Upgraded_Particulate Matter Formation Potential (PMFP) - kg PM2.5 eq_Pre-Anoxic &amp; Swing tank; wastewater treatment unit; at updated plant - US_Without Amendment_Windrow</v>
      </c>
    </row>
    <row r="6745" spans="1:13" s="120" customFormat="1" x14ac:dyDescent="0.25">
      <c r="A6745" s="119"/>
      <c r="B6745" s="138" t="str">
        <f t="shared" si="498"/>
        <v>Windrow</v>
      </c>
      <c r="C6745" s="138" t="str">
        <f t="shared" si="501"/>
        <v>Without Amendment</v>
      </c>
      <c r="D6745" s="138" t="str">
        <f t="shared" si="502"/>
        <v>High_High</v>
      </c>
      <c r="E6745" s="138" t="str">
        <f t="shared" si="503"/>
        <v>Low</v>
      </c>
      <c r="F6745" s="138" t="str">
        <f t="shared" si="499"/>
        <v>Upgraded</v>
      </c>
      <c r="G6745" s="153"/>
      <c r="H6745" s="210">
        <v>6.0600000000000001E-2</v>
      </c>
      <c r="I6745" s="160" t="s">
        <v>53</v>
      </c>
      <c r="J6745" s="160">
        <v>4.6999999999999999E-4</v>
      </c>
      <c r="K6745" s="160" t="s">
        <v>145</v>
      </c>
      <c r="L6745" s="154" t="str">
        <f>IF(OpenLCAbasic!K6745="CTUh", "Fill in Manually",IF(OR(K6745="Unit", K6745=""), "", INDEX(LookUps!$E$5:$E$12, MATCH(OpenLCAbasic!K6745,LookUps!$D$5:$D$12,0))))</f>
        <v>Particulate Matter Formation Potential (PMFP) - kg PM2.5 eq</v>
      </c>
      <c r="M6745" s="154" t="str">
        <f t="shared" si="500"/>
        <v>Low_High_High_Upgraded_Particulate Matter Formation Potential (PMFP) - kg PM2.5 eq_Wet Well and Sump Station; wastewater treatment unit; at updated plant - US_Without Amendment_Windrow</v>
      </c>
    </row>
    <row r="6746" spans="1:13" s="120" customFormat="1" x14ac:dyDescent="0.25">
      <c r="A6746" s="119"/>
      <c r="B6746" s="138" t="str">
        <f t="shared" si="498"/>
        <v>Windrow</v>
      </c>
      <c r="C6746" s="138" t="str">
        <f t="shared" si="501"/>
        <v>Without Amendment</v>
      </c>
      <c r="D6746" s="138" t="str">
        <f t="shared" si="502"/>
        <v>High_High</v>
      </c>
      <c r="E6746" s="138" t="str">
        <f t="shared" si="503"/>
        <v>Low</v>
      </c>
      <c r="F6746" s="138" t="str">
        <f t="shared" si="499"/>
        <v>Upgraded</v>
      </c>
      <c r="G6746" s="153"/>
      <c r="H6746" s="210">
        <v>4.3099999999999999E-2</v>
      </c>
      <c r="I6746" s="160" t="s">
        <v>167</v>
      </c>
      <c r="J6746" s="160">
        <v>3.3E-4</v>
      </c>
      <c r="K6746" s="160" t="s">
        <v>145</v>
      </c>
      <c r="L6746" s="154" t="str">
        <f>IF(OpenLCAbasic!K6746="CTUh", "Fill in Manually",IF(OR(K6746="Unit", K6746=""), "", INDEX(LookUps!$E$5:$E$12, MATCH(OpenLCAbasic!K6746,LookUps!$D$5:$D$12,0))))</f>
        <v>Particulate Matter Formation Potential (PMFP) - kg PM2.5 eq</v>
      </c>
      <c r="M6746" s="154" t="str">
        <f t="shared" si="500"/>
        <v>Low_High_High_Upgraded_Particulate Matter Formation Potential (PMFP) - kg PM2.5 eq_Waste Receiving and Holding; wastewater treatment unit; at updated plant - US_Without Amendment_Windrow</v>
      </c>
    </row>
    <row r="6747" spans="1:13" s="120" customFormat="1" x14ac:dyDescent="0.25">
      <c r="A6747" s="119"/>
      <c r="B6747" s="138" t="str">
        <f t="shared" si="498"/>
        <v>Windrow</v>
      </c>
      <c r="C6747" s="138" t="str">
        <f t="shared" si="501"/>
        <v>Without Amendment</v>
      </c>
      <c r="D6747" s="138" t="str">
        <f t="shared" si="502"/>
        <v>High_High</v>
      </c>
      <c r="E6747" s="138" t="str">
        <f t="shared" si="503"/>
        <v>Low</v>
      </c>
      <c r="F6747" s="138" t="str">
        <f t="shared" si="499"/>
        <v>Upgraded</v>
      </c>
      <c r="G6747" s="153"/>
      <c r="H6747" s="210">
        <v>3.4599999999999999E-2</v>
      </c>
      <c r="I6747" s="160" t="s">
        <v>147</v>
      </c>
      <c r="J6747" s="160">
        <v>2.7E-4</v>
      </c>
      <c r="K6747" s="160" t="s">
        <v>145</v>
      </c>
      <c r="L6747" s="154" t="str">
        <f>IF(OpenLCAbasic!K6747="CTUh", "Fill in Manually",IF(OR(K6747="Unit", K6747=""), "", INDEX(LookUps!$E$5:$E$12, MATCH(OpenLCAbasic!K6747,LookUps!$D$5:$D$12,0))))</f>
        <v>Particulate Matter Formation Potential (PMFP) - kg PM2.5 eq</v>
      </c>
      <c r="M6747" s="154" t="str">
        <f t="shared" si="500"/>
        <v>Low_High_High_Upgraded_Particulate Matter Formation Potential (PMFP) - kg PM2.5 eq_Influent Pump Station; wastewater treatment unit; at updated plant - US_Without Amendment_Windrow</v>
      </c>
    </row>
    <row r="6748" spans="1:13" s="120" customFormat="1" x14ac:dyDescent="0.25">
      <c r="A6748" s="119"/>
      <c r="B6748" s="138" t="str">
        <f t="shared" si="498"/>
        <v>Windrow</v>
      </c>
      <c r="C6748" s="138" t="str">
        <f t="shared" si="501"/>
        <v>Without Amendment</v>
      </c>
      <c r="D6748" s="138" t="str">
        <f t="shared" si="502"/>
        <v>High_High</v>
      </c>
      <c r="E6748" s="138" t="str">
        <f t="shared" si="503"/>
        <v>Low</v>
      </c>
      <c r="F6748" s="138" t="str">
        <f t="shared" si="499"/>
        <v>Upgraded</v>
      </c>
      <c r="G6748" s="153"/>
      <c r="H6748" s="210">
        <v>2.4299999999999999E-2</v>
      </c>
      <c r="I6748" s="160" t="s">
        <v>60</v>
      </c>
      <c r="J6748" s="160">
        <v>1.9000000000000001E-4</v>
      </c>
      <c r="K6748" s="160" t="s">
        <v>145</v>
      </c>
      <c r="L6748" s="154" t="str">
        <f>IF(OpenLCAbasic!K6748="CTUh", "Fill in Manually",IF(OR(K6748="Unit", K6748=""), "", INDEX(LookUps!$E$5:$E$12, MATCH(OpenLCAbasic!K6748,LookUps!$D$5:$D$12,0))))</f>
        <v>Particulate Matter Formation Potential (PMFP) - kg PM2.5 eq</v>
      </c>
      <c r="M6748" s="154" t="str">
        <f t="shared" si="500"/>
        <v>Low_High_High_Upgraded_Particulate Matter Formation Potential (PMFP) - kg PM2.5 eq_Belt filter press; wastewater treatment unit; at updated plant - US_Without Amendment_Windrow</v>
      </c>
    </row>
    <row r="6749" spans="1:13" s="120" customFormat="1" x14ac:dyDescent="0.25">
      <c r="A6749" s="119"/>
      <c r="B6749" s="138" t="str">
        <f t="shared" si="498"/>
        <v>Windrow</v>
      </c>
      <c r="C6749" s="138" t="str">
        <f t="shared" si="501"/>
        <v>Without Amendment</v>
      </c>
      <c r="D6749" s="138" t="str">
        <f t="shared" si="502"/>
        <v>High_High</v>
      </c>
      <c r="E6749" s="138" t="str">
        <f t="shared" si="503"/>
        <v>Low</v>
      </c>
      <c r="F6749" s="138" t="str">
        <f t="shared" si="499"/>
        <v>Upgraded</v>
      </c>
      <c r="G6749" s="153"/>
      <c r="H6749" s="210">
        <v>2.1600000000000001E-2</v>
      </c>
      <c r="I6749" s="160" t="s">
        <v>128</v>
      </c>
      <c r="J6749" s="160">
        <v>1.7000000000000001E-4</v>
      </c>
      <c r="K6749" s="160" t="s">
        <v>145</v>
      </c>
      <c r="L6749" s="154" t="str">
        <f>IF(OpenLCAbasic!K6749="CTUh", "Fill in Manually",IF(OR(K6749="Unit", K6749=""), "", INDEX(LookUps!$E$5:$E$12, MATCH(OpenLCAbasic!K6749,LookUps!$D$5:$D$12,0))))</f>
        <v>Particulate Matter Formation Potential (PMFP) - kg PM2.5 eq</v>
      </c>
      <c r="M6749" s="154" t="str">
        <f t="shared" si="500"/>
        <v>Low_High_High_Upgraded_Particulate Matter Formation Potential (PMFP) - kg PM2.5 eq_Wastewater collection; operation and infrastructure; m3 wastewater_Without Amendment_Windrow</v>
      </c>
    </row>
    <row r="6750" spans="1:13" s="120" customFormat="1" x14ac:dyDescent="0.25">
      <c r="A6750" s="119"/>
      <c r="B6750" s="138" t="str">
        <f t="shared" si="498"/>
        <v>Windrow</v>
      </c>
      <c r="C6750" s="138" t="str">
        <f t="shared" si="501"/>
        <v>Without Amendment</v>
      </c>
      <c r="D6750" s="138" t="str">
        <f t="shared" si="502"/>
        <v>High_High</v>
      </c>
      <c r="E6750" s="138" t="str">
        <f t="shared" si="503"/>
        <v>Low</v>
      </c>
      <c r="F6750" s="138" t="str">
        <f t="shared" si="499"/>
        <v>Upgraded</v>
      </c>
      <c r="G6750" s="153"/>
      <c r="H6750" s="210">
        <v>1.24E-2</v>
      </c>
      <c r="I6750" s="160" t="s">
        <v>57</v>
      </c>
      <c r="J6750" s="211">
        <v>9.5153800000000004E-5</v>
      </c>
      <c r="K6750" s="160" t="s">
        <v>145</v>
      </c>
      <c r="L6750" s="154" t="str">
        <f>IF(OpenLCAbasic!K6750="CTUh", "Fill in Manually",IF(OR(K6750="Unit", K6750=""), "", INDEX(LookUps!$E$5:$E$12, MATCH(OpenLCAbasic!K6750,LookUps!$D$5:$D$12,0))))</f>
        <v>Particulate Matter Formation Potential (PMFP) - kg PM2.5 eq</v>
      </c>
      <c r="M6750" s="154" t="str">
        <f t="shared" si="500"/>
        <v>Low_High_High_Upgraded_Particulate Matter Formation Potential (PMFP) - kg PM2.5 eq_Gravity Belt Thickener; wastewater treatment unit; at updated plant - US_Without Amendment_Windrow</v>
      </c>
    </row>
    <row r="6751" spans="1:13" s="120" customFormat="1" x14ac:dyDescent="0.25">
      <c r="A6751" s="119"/>
      <c r="B6751" s="138" t="str">
        <f t="shared" si="498"/>
        <v>Windrow</v>
      </c>
      <c r="C6751" s="138" t="str">
        <f t="shared" si="501"/>
        <v>Without Amendment</v>
      </c>
      <c r="D6751" s="138" t="str">
        <f t="shared" si="502"/>
        <v>High_High</v>
      </c>
      <c r="E6751" s="138" t="str">
        <f t="shared" si="503"/>
        <v>Low</v>
      </c>
      <c r="F6751" s="138" t="str">
        <f t="shared" si="499"/>
        <v>Upgraded</v>
      </c>
      <c r="G6751" s="153"/>
      <c r="H6751" s="210">
        <v>9.1000000000000004E-3</v>
      </c>
      <c r="I6751" s="160" t="s">
        <v>59</v>
      </c>
      <c r="J6751" s="211">
        <v>6.9942200000000003E-5</v>
      </c>
      <c r="K6751" s="160" t="s">
        <v>145</v>
      </c>
      <c r="L6751" s="154" t="str">
        <f>IF(OpenLCAbasic!K6751="CTUh", "Fill in Manually",IF(OR(K6751="Unit", K6751=""), "", INDEX(LookUps!$E$5:$E$12, MATCH(OpenLCAbasic!K6751,LookUps!$D$5:$D$12,0))))</f>
        <v>Particulate Matter Formation Potential (PMFP) - kg PM2.5 eq</v>
      </c>
      <c r="M6751" s="154" t="str">
        <f t="shared" si="500"/>
        <v>Low_High_High_Upgraded_Particulate Matter Formation Potential (PMFP) - kg PM2.5 eq_Blend Tank; wastewater treatment unit; at updated plant - US_Without Amendment_Windrow</v>
      </c>
    </row>
    <row r="6752" spans="1:13" s="120" customFormat="1" x14ac:dyDescent="0.25">
      <c r="A6752" s="119"/>
      <c r="B6752" s="138" t="str">
        <f t="shared" si="498"/>
        <v>Windrow</v>
      </c>
      <c r="C6752" s="138" t="str">
        <f t="shared" si="501"/>
        <v>Without Amendment</v>
      </c>
      <c r="D6752" s="138" t="str">
        <f t="shared" si="502"/>
        <v>High_High</v>
      </c>
      <c r="E6752" s="138" t="str">
        <f t="shared" si="503"/>
        <v>Low</v>
      </c>
      <c r="F6752" s="138" t="str">
        <f t="shared" si="499"/>
        <v>Upgraded</v>
      </c>
      <c r="G6752" s="153"/>
      <c r="H6752" s="210">
        <v>8.2000000000000007E-3</v>
      </c>
      <c r="I6752" s="160" t="s">
        <v>62</v>
      </c>
      <c r="J6752" s="211">
        <v>6.2799000000000006E-5</v>
      </c>
      <c r="K6752" s="160" t="s">
        <v>145</v>
      </c>
      <c r="L6752" s="154" t="str">
        <f>IF(OpenLCAbasic!K6752="CTUh", "Fill in Manually",IF(OR(K6752="Unit", K6752=""), "", INDEX(LookUps!$E$5:$E$12, MATCH(OpenLCAbasic!K6752,LookUps!$D$5:$D$12,0))))</f>
        <v>Particulate Matter Formation Potential (PMFP) - kg PM2.5 eq</v>
      </c>
      <c r="M6752" s="154" t="str">
        <f t="shared" si="500"/>
        <v>Low_High_High_Upgraded_Particulate Matter Formation Potential (PMFP) - kg PM2.5 eq_Land application of compost; wastewater treatment unit; at updated plant - US_Without Amendment_Windrow</v>
      </c>
    </row>
    <row r="6753" spans="1:13" s="120" customFormat="1" x14ac:dyDescent="0.25">
      <c r="A6753" s="119"/>
      <c r="B6753" s="138" t="str">
        <f t="shared" si="498"/>
        <v>Windrow</v>
      </c>
      <c r="C6753" s="138" t="str">
        <f t="shared" si="501"/>
        <v>Without Amendment</v>
      </c>
      <c r="D6753" s="138" t="str">
        <f t="shared" si="502"/>
        <v>High_High</v>
      </c>
      <c r="E6753" s="138" t="str">
        <f t="shared" si="503"/>
        <v>Low</v>
      </c>
      <c r="F6753" s="138" t="str">
        <f t="shared" si="499"/>
        <v>Upgraded</v>
      </c>
      <c r="G6753" s="153"/>
      <c r="H6753" s="210">
        <v>6.4999999999999997E-3</v>
      </c>
      <c r="I6753" s="160" t="s">
        <v>48</v>
      </c>
      <c r="J6753" s="211">
        <v>4.99741E-5</v>
      </c>
      <c r="K6753" s="160" t="s">
        <v>145</v>
      </c>
      <c r="L6753" s="154" t="str">
        <f>IF(OpenLCAbasic!K6753="CTUh", "Fill in Manually",IF(OR(K6753="Unit", K6753=""), "", INDEX(LookUps!$E$5:$E$12, MATCH(OpenLCAbasic!K6753,LookUps!$D$5:$D$12,0))))</f>
        <v>Particulate Matter Formation Potential (PMFP) - kg PM2.5 eq</v>
      </c>
      <c r="M6753" s="154" t="str">
        <f t="shared" si="500"/>
        <v>Low_High_High_Upgraded_Particulate Matter Formation Potential (PMFP) - kg PM2.5 eq_Effluent release; wastewater treatment unit; at surface water; m3 wastewater - US_Without Amendment_Windrow</v>
      </c>
    </row>
    <row r="6754" spans="1:13" s="120" customFormat="1" x14ac:dyDescent="0.25">
      <c r="A6754" s="119"/>
      <c r="B6754" s="138" t="str">
        <f t="shared" si="498"/>
        <v>Windrow</v>
      </c>
      <c r="C6754" s="138" t="str">
        <f t="shared" si="501"/>
        <v>Without Amendment</v>
      </c>
      <c r="D6754" s="138" t="str">
        <f t="shared" si="502"/>
        <v>High_High</v>
      </c>
      <c r="E6754" s="138" t="str">
        <f t="shared" si="503"/>
        <v>Low</v>
      </c>
      <c r="F6754" s="138" t="str">
        <f t="shared" si="499"/>
        <v>Upgraded</v>
      </c>
      <c r="G6754" s="153"/>
      <c r="H6754" s="210">
        <v>5.7999999999999996E-3</v>
      </c>
      <c r="I6754" s="160" t="s">
        <v>271</v>
      </c>
      <c r="J6754" s="211">
        <v>4.4716799999999998E-5</v>
      </c>
      <c r="K6754" s="160" t="s">
        <v>145</v>
      </c>
      <c r="L6754" s="154" t="str">
        <f>IF(OpenLCAbasic!K6754="CTUh", "Fill in Manually",IF(OR(K6754="Unit", K6754=""), "", INDEX(LookUps!$E$5:$E$12, MATCH(OpenLCAbasic!K6754,LookUps!$D$5:$D$12,0))))</f>
        <v>Particulate Matter Formation Potential (PMFP) - kg PM2.5 eq</v>
      </c>
      <c r="M6754" s="154" t="str">
        <f t="shared" si="500"/>
        <v>Low_High_High_Upgraded_Particulate Matter Formation Potential (PMFP) - kg PM2.5 eq_Biosolids composting; windrow composting; wastewater treatment unit; at updated plant - US_Without Amendment_Windrow</v>
      </c>
    </row>
    <row r="6755" spans="1:13" s="120" customFormat="1" x14ac:dyDescent="0.25">
      <c r="A6755" s="119"/>
      <c r="B6755" s="138" t="str">
        <f t="shared" si="498"/>
        <v>Windrow</v>
      </c>
      <c r="C6755" s="138" t="str">
        <f t="shared" si="501"/>
        <v>Without Amendment</v>
      </c>
      <c r="D6755" s="138" t="str">
        <f t="shared" si="502"/>
        <v>High_High</v>
      </c>
      <c r="E6755" s="138" t="str">
        <f t="shared" si="503"/>
        <v>Low</v>
      </c>
      <c r="F6755" s="138" t="str">
        <f t="shared" si="499"/>
        <v>Upgraded</v>
      </c>
      <c r="G6755" s="153"/>
      <c r="H6755" s="210">
        <v>4.4999999999999997E-3</v>
      </c>
      <c r="I6755" s="160" t="s">
        <v>168</v>
      </c>
      <c r="J6755" s="211">
        <v>3.4562199999999999E-5</v>
      </c>
      <c r="K6755" s="160" t="s">
        <v>145</v>
      </c>
      <c r="L6755" s="154" t="str">
        <f>IF(OpenLCAbasic!K6755="CTUh", "Fill in Manually",IF(OR(K6755="Unit", K6755=""), "", INDEX(LookUps!$E$5:$E$12, MATCH(OpenLCAbasic!K6755,LookUps!$D$5:$D$12,0))))</f>
        <v>Particulate Matter Formation Potential (PMFP) - kg PM2.5 eq</v>
      </c>
      <c r="M6755" s="154" t="str">
        <f t="shared" si="500"/>
        <v>Low_High_High_Upgraded_Particulate Matter Formation Potential (PMFP) - kg PM2.5 eq_ClearCove SCP; wastewater treatment unit; at updated plant - US_Without Amendment_Windrow</v>
      </c>
    </row>
    <row r="6756" spans="1:13" s="120" customFormat="1" x14ac:dyDescent="0.25">
      <c r="A6756" s="119"/>
      <c r="B6756" s="138" t="str">
        <f t="shared" si="498"/>
        <v>Windrow</v>
      </c>
      <c r="C6756" s="138" t="str">
        <f t="shared" si="501"/>
        <v>Without Amendment</v>
      </c>
      <c r="D6756" s="138" t="str">
        <f t="shared" si="502"/>
        <v>High_High</v>
      </c>
      <c r="E6756" s="138" t="str">
        <f t="shared" si="503"/>
        <v>Low</v>
      </c>
      <c r="F6756" s="138" t="str">
        <f t="shared" si="499"/>
        <v>Upgraded</v>
      </c>
      <c r="G6756" s="153"/>
      <c r="H6756" s="210">
        <v>1.1000000000000001E-3</v>
      </c>
      <c r="I6756" s="160" t="s">
        <v>148</v>
      </c>
      <c r="J6756" s="211">
        <v>8.8212999999999997E-6</v>
      </c>
      <c r="K6756" s="160" t="s">
        <v>145</v>
      </c>
      <c r="L6756" s="154" t="str">
        <f>IF(OpenLCAbasic!K6756="CTUh", "Fill in Manually",IF(OR(K6756="Unit", K6756=""), "", INDEX(LookUps!$E$5:$E$12, MATCH(OpenLCAbasic!K6756,LookUps!$D$5:$D$12,0))))</f>
        <v>Particulate Matter Formation Potential (PMFP) - kg PM2.5 eq</v>
      </c>
      <c r="M6756" s="154" t="str">
        <f t="shared" si="500"/>
        <v>Low_High_High_Upgraded_Particulate Matter Formation Potential (PMFP) - kg PM2.5 eq_Control Building; at upgraded wastewater treatment plant - US_Without Amendment_Windrow</v>
      </c>
    </row>
    <row r="6757" spans="1:13" s="120" customFormat="1" x14ac:dyDescent="0.25">
      <c r="A6757" s="119"/>
      <c r="B6757" s="138" t="str">
        <f t="shared" si="498"/>
        <v>Windrow</v>
      </c>
      <c r="C6757" s="138" t="str">
        <f t="shared" si="501"/>
        <v>Without Amendment</v>
      </c>
      <c r="D6757" s="138" t="str">
        <f t="shared" si="502"/>
        <v>High_High</v>
      </c>
      <c r="E6757" s="138" t="str">
        <f t="shared" si="503"/>
        <v>Low</v>
      </c>
      <c r="F6757" s="138" t="str">
        <f t="shared" si="499"/>
        <v>Upgraded</v>
      </c>
      <c r="G6757" s="153"/>
      <c r="H6757" s="210">
        <v>-1.6999</v>
      </c>
      <c r="I6757" s="160" t="s">
        <v>149</v>
      </c>
      <c r="J6757" s="160">
        <v>-1.3089999999999999E-2</v>
      </c>
      <c r="K6757" s="160" t="s">
        <v>145</v>
      </c>
      <c r="L6757" s="154" t="str">
        <f>IF(OpenLCAbasic!K6757="CTUh", "Fill in Manually",IF(OR(K6757="Unit", K6757=""), "", INDEX(LookUps!$E$5:$E$12, MATCH(OpenLCAbasic!K6757,LookUps!$D$5:$D$12,0))))</f>
        <v>Particulate Matter Formation Potential (PMFP) - kg PM2.5 eq</v>
      </c>
      <c r="M6757" s="154" t="str">
        <f t="shared" si="500"/>
        <v>Low_High_High_Upgraded_Particulate Matter Formation Potential (PMFP) - kg PM2.5 eq_Anaerobic Digestion; wastewater treatment unit; at updated plant - US_Without Amendment_Windrow</v>
      </c>
    </row>
    <row r="6758" spans="1:13" s="120" customFormat="1" x14ac:dyDescent="0.25">
      <c r="A6758" s="119"/>
      <c r="B6758" s="138" t="str">
        <f t="shared" si="498"/>
        <v/>
      </c>
      <c r="C6758" s="138" t="str">
        <f t="shared" si="501"/>
        <v/>
      </c>
      <c r="D6758" s="138" t="str">
        <f t="shared" si="502"/>
        <v/>
      </c>
      <c r="E6758" s="138" t="str">
        <f t="shared" si="503"/>
        <v/>
      </c>
      <c r="F6758" s="138" t="str">
        <f t="shared" si="499"/>
        <v/>
      </c>
      <c r="G6758" s="153" t="s">
        <v>51</v>
      </c>
      <c r="H6758" s="160"/>
      <c r="I6758" s="160" t="s">
        <v>47</v>
      </c>
      <c r="J6758" s="160" t="s">
        <v>52</v>
      </c>
      <c r="K6758" s="160" t="s">
        <v>27</v>
      </c>
      <c r="L6758" s="154" t="str">
        <f>IF(OpenLCAbasic!K6758="CTUh", "Fill in Manually",IF(OR(K6758="Unit", K6758=""), "", INDEX(LookUps!$E$5:$E$12, MATCH(OpenLCAbasic!K6758,LookUps!$D$5:$D$12,0))))</f>
        <v/>
      </c>
      <c r="M6758" s="154" t="str">
        <f t="shared" si="500"/>
        <v>____Process__</v>
      </c>
    </row>
    <row r="6759" spans="1:13" s="120" customFormat="1" x14ac:dyDescent="0.25">
      <c r="A6759" s="119"/>
      <c r="B6759" s="138" t="str">
        <f t="shared" si="498"/>
        <v>Windrow</v>
      </c>
      <c r="C6759" s="138" t="str">
        <f t="shared" si="501"/>
        <v>Without Amendment</v>
      </c>
      <c r="D6759" s="138" t="str">
        <f t="shared" si="502"/>
        <v>High_High</v>
      </c>
      <c r="E6759" s="138" t="str">
        <f t="shared" si="503"/>
        <v>Low</v>
      </c>
      <c r="F6759" s="138" t="str">
        <f t="shared" si="499"/>
        <v>Upgraded</v>
      </c>
      <c r="G6759" s="153"/>
      <c r="H6759" s="210">
        <v>0.30220000000000002</v>
      </c>
      <c r="I6759" s="160" t="s">
        <v>55</v>
      </c>
      <c r="J6759" s="160">
        <v>0.16577</v>
      </c>
      <c r="K6759" s="160" t="s">
        <v>25</v>
      </c>
      <c r="L6759" s="154" t="str">
        <f>IF(OpenLCAbasic!K6759="CTUh", "Fill in Manually",IF(OR(K6759="Unit", K6759=""), "", INDEX(LookUps!$E$5:$E$12, MATCH(OpenLCAbasic!K6759,LookUps!$D$5:$D$12,0))))</f>
        <v>Smog Formation Potential (SFP) - kg O3 eq</v>
      </c>
      <c r="M6759" s="154" t="str">
        <f t="shared" si="500"/>
        <v>Low_High_High_Upgraded_Smog Formation Potential (SFP) - kg O3 eq_Aeration Tanks; wastewater treatment unit; at updated plant - US_Without Amendment_Windrow</v>
      </c>
    </row>
    <row r="6760" spans="1:13" s="120" customFormat="1" x14ac:dyDescent="0.25">
      <c r="A6760" s="119"/>
      <c r="B6760" s="138" t="str">
        <f t="shared" ref="B6760:B6823" si="504">IF(F6760="Legacy","n.a.",IF(F6760="","","Windrow"))</f>
        <v>Windrow</v>
      </c>
      <c r="C6760" s="138" t="str">
        <f t="shared" si="501"/>
        <v>Without Amendment</v>
      </c>
      <c r="D6760" s="138" t="str">
        <f t="shared" si="502"/>
        <v>High_High</v>
      </c>
      <c r="E6760" s="138" t="str">
        <f t="shared" si="503"/>
        <v>Low</v>
      </c>
      <c r="F6760" s="138" t="str">
        <f t="shared" ref="F6760:F6823" si="505">IF(ISNUMBER(J6760),"Upgraded","")</f>
        <v>Upgraded</v>
      </c>
      <c r="G6760" s="153"/>
      <c r="H6760" s="210">
        <v>8.7599999999999997E-2</v>
      </c>
      <c r="I6760" s="160" t="s">
        <v>54</v>
      </c>
      <c r="J6760" s="160">
        <v>4.8070000000000002E-2</v>
      </c>
      <c r="K6760" s="160" t="s">
        <v>25</v>
      </c>
      <c r="L6760" s="154" t="str">
        <f>IF(OpenLCAbasic!K6760="CTUh", "Fill in Manually",IF(OR(K6760="Unit", K6760=""), "", INDEX(LookUps!$E$5:$E$12, MATCH(OpenLCAbasic!K6760,LookUps!$D$5:$D$12,0))))</f>
        <v>Smog Formation Potential (SFP) - kg O3 eq</v>
      </c>
      <c r="M6760" s="154" t="str">
        <f t="shared" si="500"/>
        <v>Low_High_High_Upgraded_Smog Formation Potential (SFP) - kg O3 eq_Clear Cove Primary Clarification; wastewater treatment unit; at updated plant - US_Without Amendment_Windrow</v>
      </c>
    </row>
    <row r="6761" spans="1:13" s="120" customFormat="1" x14ac:dyDescent="0.25">
      <c r="A6761" s="119"/>
      <c r="B6761" s="138" t="str">
        <f t="shared" si="504"/>
        <v>Windrow</v>
      </c>
      <c r="C6761" s="138" t="str">
        <f t="shared" si="501"/>
        <v>Without Amendment</v>
      </c>
      <c r="D6761" s="138" t="str">
        <f t="shared" si="502"/>
        <v>High_High</v>
      </c>
      <c r="E6761" s="138" t="str">
        <f t="shared" si="503"/>
        <v>Low</v>
      </c>
      <c r="F6761" s="138" t="str">
        <f t="shared" si="505"/>
        <v>Upgraded</v>
      </c>
      <c r="G6761" s="153"/>
      <c r="H6761" s="210">
        <v>7.6700000000000004E-2</v>
      </c>
      <c r="I6761" s="160" t="s">
        <v>58</v>
      </c>
      <c r="J6761" s="160">
        <v>4.2090000000000002E-2</v>
      </c>
      <c r="K6761" s="160" t="s">
        <v>25</v>
      </c>
      <c r="L6761" s="154" t="str">
        <f>IF(OpenLCAbasic!K6761="CTUh", "Fill in Manually",IF(OR(K6761="Unit", K6761=""), "", INDEX(LookUps!$E$5:$E$12, MATCH(OpenLCAbasic!K6761,LookUps!$D$5:$D$12,0))))</f>
        <v>Smog Formation Potential (SFP) - kg O3 eq</v>
      </c>
      <c r="M6761" s="154" t="str">
        <f t="shared" si="500"/>
        <v>Low_High_High_Upgraded_Smog Formation Potential (SFP) - kg O3 eq_Pre-Anoxic &amp; Swing tank; wastewater treatment unit; at updated plant - US_Without Amendment_Windrow</v>
      </c>
    </row>
    <row r="6762" spans="1:13" s="120" customFormat="1" x14ac:dyDescent="0.25">
      <c r="A6762" s="119"/>
      <c r="B6762" s="138" t="str">
        <f t="shared" si="504"/>
        <v>Windrow</v>
      </c>
      <c r="C6762" s="138" t="str">
        <f t="shared" si="501"/>
        <v>Without Amendment</v>
      </c>
      <c r="D6762" s="138" t="str">
        <f t="shared" si="502"/>
        <v>High_High</v>
      </c>
      <c r="E6762" s="138" t="str">
        <f t="shared" si="503"/>
        <v>Low</v>
      </c>
      <c r="F6762" s="138" t="str">
        <f t="shared" si="505"/>
        <v>Upgraded</v>
      </c>
      <c r="G6762" s="153"/>
      <c r="H6762" s="210">
        <v>6.1499999999999999E-2</v>
      </c>
      <c r="I6762" s="160" t="s">
        <v>167</v>
      </c>
      <c r="J6762" s="160">
        <v>3.3759999999999998E-2</v>
      </c>
      <c r="K6762" s="160" t="s">
        <v>25</v>
      </c>
      <c r="L6762" s="154" t="str">
        <f>IF(OpenLCAbasic!K6762="CTUh", "Fill in Manually",IF(OR(K6762="Unit", K6762=""), "", INDEX(LookUps!$E$5:$E$12, MATCH(OpenLCAbasic!K6762,LookUps!$D$5:$D$12,0))))</f>
        <v>Smog Formation Potential (SFP) - kg O3 eq</v>
      </c>
      <c r="M6762" s="154" t="str">
        <f t="shared" si="500"/>
        <v>Low_High_High_Upgraded_Smog Formation Potential (SFP) - kg O3 eq_Waste Receiving and Holding; wastewater treatment unit; at updated plant - US_Without Amendment_Windrow</v>
      </c>
    </row>
    <row r="6763" spans="1:13" s="120" customFormat="1" x14ac:dyDescent="0.25">
      <c r="A6763" s="119"/>
      <c r="B6763" s="138" t="str">
        <f t="shared" si="504"/>
        <v>Windrow</v>
      </c>
      <c r="C6763" s="138" t="str">
        <f t="shared" si="501"/>
        <v>Without Amendment</v>
      </c>
      <c r="D6763" s="138" t="str">
        <f t="shared" si="502"/>
        <v>High_High</v>
      </c>
      <c r="E6763" s="138" t="str">
        <f t="shared" si="503"/>
        <v>Low</v>
      </c>
      <c r="F6763" s="138" t="str">
        <f t="shared" si="505"/>
        <v>Upgraded</v>
      </c>
      <c r="G6763" s="153"/>
      <c r="H6763" s="210">
        <v>6.0400000000000002E-2</v>
      </c>
      <c r="I6763" s="160" t="s">
        <v>53</v>
      </c>
      <c r="J6763" s="160">
        <v>3.313E-2</v>
      </c>
      <c r="K6763" s="160" t="s">
        <v>25</v>
      </c>
      <c r="L6763" s="154" t="str">
        <f>IF(OpenLCAbasic!K6763="CTUh", "Fill in Manually",IF(OR(K6763="Unit", K6763=""), "", INDEX(LookUps!$E$5:$E$12, MATCH(OpenLCAbasic!K6763,LookUps!$D$5:$D$12,0))))</f>
        <v>Smog Formation Potential (SFP) - kg O3 eq</v>
      </c>
      <c r="M6763" s="154" t="str">
        <f t="shared" si="500"/>
        <v>Low_High_High_Upgraded_Smog Formation Potential (SFP) - kg O3 eq_Wet Well and Sump Station; wastewater treatment unit; at updated plant - US_Without Amendment_Windrow</v>
      </c>
    </row>
    <row r="6764" spans="1:13" s="120" customFormat="1" x14ac:dyDescent="0.25">
      <c r="A6764" s="119"/>
      <c r="B6764" s="138" t="str">
        <f t="shared" si="504"/>
        <v>Windrow</v>
      </c>
      <c r="C6764" s="138" t="str">
        <f t="shared" si="501"/>
        <v>Without Amendment</v>
      </c>
      <c r="D6764" s="138" t="str">
        <f t="shared" si="502"/>
        <v>High_High</v>
      </c>
      <c r="E6764" s="138" t="str">
        <f t="shared" si="503"/>
        <v>Low</v>
      </c>
      <c r="F6764" s="138" t="str">
        <f t="shared" si="505"/>
        <v>Upgraded</v>
      </c>
      <c r="G6764" s="153"/>
      <c r="H6764" s="210">
        <v>3.5400000000000001E-2</v>
      </c>
      <c r="I6764" s="160" t="s">
        <v>147</v>
      </c>
      <c r="J6764" s="160">
        <v>1.9400000000000001E-2</v>
      </c>
      <c r="K6764" s="160" t="s">
        <v>25</v>
      </c>
      <c r="L6764" s="154" t="str">
        <f>IF(OpenLCAbasic!K6764="CTUh", "Fill in Manually",IF(OR(K6764="Unit", K6764=""), "", INDEX(LookUps!$E$5:$E$12, MATCH(OpenLCAbasic!K6764,LookUps!$D$5:$D$12,0))))</f>
        <v>Smog Formation Potential (SFP) - kg O3 eq</v>
      </c>
      <c r="M6764" s="154" t="str">
        <f t="shared" si="500"/>
        <v>Low_High_High_Upgraded_Smog Formation Potential (SFP) - kg O3 eq_Influent Pump Station; wastewater treatment unit; at updated plant - US_Without Amendment_Windrow</v>
      </c>
    </row>
    <row r="6765" spans="1:13" s="120" customFormat="1" x14ac:dyDescent="0.25">
      <c r="A6765" s="119"/>
      <c r="B6765" s="138" t="str">
        <f t="shared" si="504"/>
        <v>Windrow</v>
      </c>
      <c r="C6765" s="138" t="str">
        <f t="shared" si="501"/>
        <v>Without Amendment</v>
      </c>
      <c r="D6765" s="138" t="str">
        <f t="shared" si="502"/>
        <v>High_High</v>
      </c>
      <c r="E6765" s="138" t="str">
        <f t="shared" si="503"/>
        <v>Low</v>
      </c>
      <c r="F6765" s="138" t="str">
        <f t="shared" si="505"/>
        <v>Upgraded</v>
      </c>
      <c r="G6765" s="153"/>
      <c r="H6765" s="210">
        <v>2.4E-2</v>
      </c>
      <c r="I6765" s="160" t="s">
        <v>60</v>
      </c>
      <c r="J6765" s="160">
        <v>1.316E-2</v>
      </c>
      <c r="K6765" s="160" t="s">
        <v>25</v>
      </c>
      <c r="L6765" s="154" t="str">
        <f>IF(OpenLCAbasic!K6765="CTUh", "Fill in Manually",IF(OR(K6765="Unit", K6765=""), "", INDEX(LookUps!$E$5:$E$12, MATCH(OpenLCAbasic!K6765,LookUps!$D$5:$D$12,0))))</f>
        <v>Smog Formation Potential (SFP) - kg O3 eq</v>
      </c>
      <c r="M6765" s="154" t="str">
        <f t="shared" si="500"/>
        <v>Low_High_High_Upgraded_Smog Formation Potential (SFP) - kg O3 eq_Belt filter press; wastewater treatment unit; at updated plant - US_Without Amendment_Windrow</v>
      </c>
    </row>
    <row r="6766" spans="1:13" s="120" customFormat="1" x14ac:dyDescent="0.25">
      <c r="A6766" s="119"/>
      <c r="B6766" s="138" t="str">
        <f t="shared" si="504"/>
        <v>Windrow</v>
      </c>
      <c r="C6766" s="138" t="str">
        <f t="shared" si="501"/>
        <v>Without Amendment</v>
      </c>
      <c r="D6766" s="138" t="str">
        <f t="shared" si="502"/>
        <v>High_High</v>
      </c>
      <c r="E6766" s="138" t="str">
        <f t="shared" si="503"/>
        <v>Low</v>
      </c>
      <c r="F6766" s="138" t="str">
        <f t="shared" si="505"/>
        <v>Upgraded</v>
      </c>
      <c r="G6766" s="153"/>
      <c r="H6766" s="210">
        <v>2.1700000000000001E-2</v>
      </c>
      <c r="I6766" s="160" t="s">
        <v>128</v>
      </c>
      <c r="J6766" s="160">
        <v>1.192E-2</v>
      </c>
      <c r="K6766" s="160" t="s">
        <v>25</v>
      </c>
      <c r="L6766" s="154" t="str">
        <f>IF(OpenLCAbasic!K6766="CTUh", "Fill in Manually",IF(OR(K6766="Unit", K6766=""), "", INDEX(LookUps!$E$5:$E$12, MATCH(OpenLCAbasic!K6766,LookUps!$D$5:$D$12,0))))</f>
        <v>Smog Formation Potential (SFP) - kg O3 eq</v>
      </c>
      <c r="M6766" s="154" t="str">
        <f t="shared" si="500"/>
        <v>Low_High_High_Upgraded_Smog Formation Potential (SFP) - kg O3 eq_Wastewater collection; operation and infrastructure; m3 wastewater_Without Amendment_Windrow</v>
      </c>
    </row>
    <row r="6767" spans="1:13" s="120" customFormat="1" x14ac:dyDescent="0.25">
      <c r="A6767" s="119"/>
      <c r="B6767" s="138" t="str">
        <f t="shared" si="504"/>
        <v>Windrow</v>
      </c>
      <c r="C6767" s="138" t="str">
        <f t="shared" si="501"/>
        <v>Without Amendment</v>
      </c>
      <c r="D6767" s="138" t="str">
        <f t="shared" si="502"/>
        <v>High_High</v>
      </c>
      <c r="E6767" s="138" t="str">
        <f t="shared" si="503"/>
        <v>Low</v>
      </c>
      <c r="F6767" s="138" t="str">
        <f t="shared" si="505"/>
        <v>Upgraded</v>
      </c>
      <c r="G6767" s="153"/>
      <c r="H6767" s="210">
        <v>1.21E-2</v>
      </c>
      <c r="I6767" s="160" t="s">
        <v>57</v>
      </c>
      <c r="J6767" s="160">
        <v>6.6499999999999997E-3</v>
      </c>
      <c r="K6767" s="160" t="s">
        <v>25</v>
      </c>
      <c r="L6767" s="154" t="str">
        <f>IF(OpenLCAbasic!K6767="CTUh", "Fill in Manually",IF(OR(K6767="Unit", K6767=""), "", INDEX(LookUps!$E$5:$E$12, MATCH(OpenLCAbasic!K6767,LookUps!$D$5:$D$12,0))))</f>
        <v>Smog Formation Potential (SFP) - kg O3 eq</v>
      </c>
      <c r="M6767" s="154" t="str">
        <f t="shared" si="500"/>
        <v>Low_High_High_Upgraded_Smog Formation Potential (SFP) - kg O3 eq_Gravity Belt Thickener; wastewater treatment unit; at updated plant - US_Without Amendment_Windrow</v>
      </c>
    </row>
    <row r="6768" spans="1:13" s="120" customFormat="1" x14ac:dyDescent="0.25">
      <c r="A6768" s="119"/>
      <c r="B6768" s="138" t="str">
        <f t="shared" si="504"/>
        <v>Windrow</v>
      </c>
      <c r="C6768" s="138" t="str">
        <f t="shared" si="501"/>
        <v>Without Amendment</v>
      </c>
      <c r="D6768" s="138" t="str">
        <f t="shared" si="502"/>
        <v>High_High</v>
      </c>
      <c r="E6768" s="138" t="str">
        <f t="shared" si="503"/>
        <v>Low</v>
      </c>
      <c r="F6768" s="138" t="str">
        <f t="shared" si="505"/>
        <v>Upgraded</v>
      </c>
      <c r="G6768" s="153"/>
      <c r="H6768" s="210">
        <v>9.1000000000000004E-3</v>
      </c>
      <c r="I6768" s="160" t="s">
        <v>59</v>
      </c>
      <c r="J6768" s="160">
        <v>4.9699999999999996E-3</v>
      </c>
      <c r="K6768" s="160" t="s">
        <v>25</v>
      </c>
      <c r="L6768" s="154" t="str">
        <f>IF(OpenLCAbasic!K6768="CTUh", "Fill in Manually",IF(OR(K6768="Unit", K6768=""), "", INDEX(LookUps!$E$5:$E$12, MATCH(OpenLCAbasic!K6768,LookUps!$D$5:$D$12,0))))</f>
        <v>Smog Formation Potential (SFP) - kg O3 eq</v>
      </c>
      <c r="M6768" s="154" t="str">
        <f t="shared" si="500"/>
        <v>Low_High_High_Upgraded_Smog Formation Potential (SFP) - kg O3 eq_Blend Tank; wastewater treatment unit; at updated plant - US_Without Amendment_Windrow</v>
      </c>
    </row>
    <row r="6769" spans="1:13" s="120" customFormat="1" x14ac:dyDescent="0.25">
      <c r="A6769" s="119"/>
      <c r="B6769" s="138" t="str">
        <f t="shared" si="504"/>
        <v>Windrow</v>
      </c>
      <c r="C6769" s="138" t="str">
        <f t="shared" si="501"/>
        <v>Without Amendment</v>
      </c>
      <c r="D6769" s="138" t="str">
        <f t="shared" si="502"/>
        <v>High_High</v>
      </c>
      <c r="E6769" s="138" t="str">
        <f t="shared" si="503"/>
        <v>Low</v>
      </c>
      <c r="F6769" s="138" t="str">
        <f t="shared" si="505"/>
        <v>Upgraded</v>
      </c>
      <c r="G6769" s="153"/>
      <c r="H6769" s="210">
        <v>6.1999999999999998E-3</v>
      </c>
      <c r="I6769" s="160" t="s">
        <v>48</v>
      </c>
      <c r="J6769" s="160">
        <v>3.3899999999999998E-3</v>
      </c>
      <c r="K6769" s="160" t="s">
        <v>25</v>
      </c>
      <c r="L6769" s="154" t="str">
        <f>IF(OpenLCAbasic!K6769="CTUh", "Fill in Manually",IF(OR(K6769="Unit", K6769=""), "", INDEX(LookUps!$E$5:$E$12, MATCH(OpenLCAbasic!K6769,LookUps!$D$5:$D$12,0))))</f>
        <v>Smog Formation Potential (SFP) - kg O3 eq</v>
      </c>
      <c r="M6769" s="154" t="str">
        <f t="shared" si="500"/>
        <v>Low_High_High_Upgraded_Smog Formation Potential (SFP) - kg O3 eq_Effluent release; wastewater treatment unit; at surface water; m3 wastewater - US_Without Amendment_Windrow</v>
      </c>
    </row>
    <row r="6770" spans="1:13" s="120" customFormat="1" x14ac:dyDescent="0.25">
      <c r="A6770" s="119"/>
      <c r="B6770" s="138" t="str">
        <f t="shared" si="504"/>
        <v>Windrow</v>
      </c>
      <c r="C6770" s="138" t="str">
        <f t="shared" si="501"/>
        <v>Without Amendment</v>
      </c>
      <c r="D6770" s="138" t="str">
        <f t="shared" si="502"/>
        <v>High_High</v>
      </c>
      <c r="E6770" s="138" t="str">
        <f t="shared" si="503"/>
        <v>Low</v>
      </c>
      <c r="F6770" s="138" t="str">
        <f t="shared" si="505"/>
        <v>Upgraded</v>
      </c>
      <c r="G6770" s="153"/>
      <c r="H6770" s="210">
        <v>4.4999999999999997E-3</v>
      </c>
      <c r="I6770" s="160" t="s">
        <v>168</v>
      </c>
      <c r="J6770" s="160">
        <v>2.4599999999999999E-3</v>
      </c>
      <c r="K6770" s="160" t="s">
        <v>25</v>
      </c>
      <c r="L6770" s="154" t="str">
        <f>IF(OpenLCAbasic!K6770="CTUh", "Fill in Manually",IF(OR(K6770="Unit", K6770=""), "", INDEX(LookUps!$E$5:$E$12, MATCH(OpenLCAbasic!K6770,LookUps!$D$5:$D$12,0))))</f>
        <v>Smog Formation Potential (SFP) - kg O3 eq</v>
      </c>
      <c r="M6770" s="154" t="str">
        <f t="shared" si="500"/>
        <v>Low_High_High_Upgraded_Smog Formation Potential (SFP) - kg O3 eq_ClearCove SCP; wastewater treatment unit; at updated plant - US_Without Amendment_Windrow</v>
      </c>
    </row>
    <row r="6771" spans="1:13" s="120" customFormat="1" x14ac:dyDescent="0.25">
      <c r="A6771" s="119"/>
      <c r="B6771" s="138" t="str">
        <f t="shared" si="504"/>
        <v>Windrow</v>
      </c>
      <c r="C6771" s="138" t="str">
        <f t="shared" si="501"/>
        <v>Without Amendment</v>
      </c>
      <c r="D6771" s="138" t="str">
        <f t="shared" si="502"/>
        <v>High_High</v>
      </c>
      <c r="E6771" s="138" t="str">
        <f t="shared" si="503"/>
        <v>Low</v>
      </c>
      <c r="F6771" s="138" t="str">
        <f t="shared" si="505"/>
        <v>Upgraded</v>
      </c>
      <c r="G6771" s="153"/>
      <c r="H6771" s="210">
        <v>1.1999999999999999E-3</v>
      </c>
      <c r="I6771" s="160" t="s">
        <v>271</v>
      </c>
      <c r="J6771" s="160">
        <v>6.7000000000000002E-4</v>
      </c>
      <c r="K6771" s="160" t="s">
        <v>25</v>
      </c>
      <c r="L6771" s="154" t="str">
        <f>IF(OpenLCAbasic!K6771="CTUh", "Fill in Manually",IF(OR(K6771="Unit", K6771=""), "", INDEX(LookUps!$E$5:$E$12, MATCH(OpenLCAbasic!K6771,LookUps!$D$5:$D$12,0))))</f>
        <v>Smog Formation Potential (SFP) - kg O3 eq</v>
      </c>
      <c r="M6771" s="154" t="str">
        <f t="shared" si="500"/>
        <v>Low_High_High_Upgraded_Smog Formation Potential (SFP) - kg O3 eq_Biosolids composting; windrow composting; wastewater treatment unit; at updated plant - US_Without Amendment_Windrow</v>
      </c>
    </row>
    <row r="6772" spans="1:13" s="120" customFormat="1" x14ac:dyDescent="0.25">
      <c r="A6772" s="119"/>
      <c r="B6772" s="138" t="str">
        <f t="shared" si="504"/>
        <v>Windrow</v>
      </c>
      <c r="C6772" s="138" t="str">
        <f t="shared" si="501"/>
        <v>Without Amendment</v>
      </c>
      <c r="D6772" s="138" t="str">
        <f t="shared" si="502"/>
        <v>High_High</v>
      </c>
      <c r="E6772" s="138" t="str">
        <f t="shared" si="503"/>
        <v>Low</v>
      </c>
      <c r="F6772" s="138" t="str">
        <f t="shared" si="505"/>
        <v>Upgraded</v>
      </c>
      <c r="G6772" s="153"/>
      <c r="H6772" s="210">
        <v>1E-3</v>
      </c>
      <c r="I6772" s="160" t="s">
        <v>148</v>
      </c>
      <c r="J6772" s="160">
        <v>5.4000000000000001E-4</v>
      </c>
      <c r="K6772" s="160" t="s">
        <v>25</v>
      </c>
      <c r="L6772" s="154" t="str">
        <f>IF(OpenLCAbasic!K6772="CTUh", "Fill in Manually",IF(OR(K6772="Unit", K6772=""), "", INDEX(LookUps!$E$5:$E$12, MATCH(OpenLCAbasic!K6772,LookUps!$D$5:$D$12,0))))</f>
        <v>Smog Formation Potential (SFP) - kg O3 eq</v>
      </c>
      <c r="M6772" s="154" t="str">
        <f t="shared" si="500"/>
        <v>Low_High_High_Upgraded_Smog Formation Potential (SFP) - kg O3 eq_Control Building; at upgraded wastewater treatment plant - US_Without Amendment_Windrow</v>
      </c>
    </row>
    <row r="6773" spans="1:13" s="120" customFormat="1" x14ac:dyDescent="0.25">
      <c r="A6773" s="119"/>
      <c r="B6773" s="138" t="str">
        <f t="shared" si="504"/>
        <v>Windrow</v>
      </c>
      <c r="C6773" s="138" t="str">
        <f t="shared" si="501"/>
        <v>Without Amendment</v>
      </c>
      <c r="D6773" s="138" t="str">
        <f t="shared" si="502"/>
        <v>High_High</v>
      </c>
      <c r="E6773" s="138" t="str">
        <f t="shared" si="503"/>
        <v>Low</v>
      </c>
      <c r="F6773" s="138" t="str">
        <f t="shared" si="505"/>
        <v>Upgraded</v>
      </c>
      <c r="G6773" s="153"/>
      <c r="H6773" s="210">
        <v>-5.8999999999999999E-3</v>
      </c>
      <c r="I6773" s="160" t="s">
        <v>62</v>
      </c>
      <c r="J6773" s="160">
        <v>-3.2299999999999998E-3</v>
      </c>
      <c r="K6773" s="160" t="s">
        <v>25</v>
      </c>
      <c r="L6773" s="154" t="str">
        <f>IF(OpenLCAbasic!K6773="CTUh", "Fill in Manually",IF(OR(K6773="Unit", K6773=""), "", INDEX(LookUps!$E$5:$E$12, MATCH(OpenLCAbasic!K6773,LookUps!$D$5:$D$12,0))))</f>
        <v>Smog Formation Potential (SFP) - kg O3 eq</v>
      </c>
      <c r="M6773" s="154" t="str">
        <f t="shared" si="500"/>
        <v>Low_High_High_Upgraded_Smog Formation Potential (SFP) - kg O3 eq_Land application of compost; wastewater treatment unit; at updated plant - US_Without Amendment_Windrow</v>
      </c>
    </row>
    <row r="6774" spans="1:13" s="120" customFormat="1" x14ac:dyDescent="0.25">
      <c r="A6774" s="119"/>
      <c r="B6774" s="138" t="str">
        <f t="shared" si="504"/>
        <v>Windrow</v>
      </c>
      <c r="C6774" s="138" t="str">
        <f t="shared" si="501"/>
        <v>Without Amendment</v>
      </c>
      <c r="D6774" s="138" t="str">
        <f t="shared" si="502"/>
        <v>High_High</v>
      </c>
      <c r="E6774" s="138" t="str">
        <f t="shared" si="503"/>
        <v>Low</v>
      </c>
      <c r="F6774" s="138" t="str">
        <f t="shared" si="505"/>
        <v>Upgraded</v>
      </c>
      <c r="G6774" s="153"/>
      <c r="H6774" s="210">
        <v>-1.6978</v>
      </c>
      <c r="I6774" s="160" t="s">
        <v>149</v>
      </c>
      <c r="J6774" s="160">
        <v>-0.93125999999999998</v>
      </c>
      <c r="K6774" s="160" t="s">
        <v>25</v>
      </c>
      <c r="L6774" s="154" t="str">
        <f>IF(OpenLCAbasic!K6774="CTUh", "Fill in Manually",IF(OR(K6774="Unit", K6774=""), "", INDEX(LookUps!$E$5:$E$12, MATCH(OpenLCAbasic!K6774,LookUps!$D$5:$D$12,0))))</f>
        <v>Smog Formation Potential (SFP) - kg O3 eq</v>
      </c>
      <c r="M6774" s="154" t="str">
        <f t="shared" si="500"/>
        <v>Low_High_High_Upgraded_Smog Formation Potential (SFP) - kg O3 eq_Anaerobic Digestion; wastewater treatment unit; at updated plant - US_Without Amendment_Windrow</v>
      </c>
    </row>
    <row r="6775" spans="1:13" s="120" customFormat="1" x14ac:dyDescent="0.25">
      <c r="A6775" s="119"/>
      <c r="B6775" s="138" t="str">
        <f t="shared" si="504"/>
        <v/>
      </c>
      <c r="C6775" s="138" t="str">
        <f t="shared" si="501"/>
        <v/>
      </c>
      <c r="D6775" s="138" t="str">
        <f t="shared" si="502"/>
        <v/>
      </c>
      <c r="E6775" s="138" t="str">
        <f t="shared" si="503"/>
        <v/>
      </c>
      <c r="F6775" s="138" t="str">
        <f t="shared" si="505"/>
        <v/>
      </c>
      <c r="G6775" s="153" t="s">
        <v>51</v>
      </c>
      <c r="H6775" s="160"/>
      <c r="I6775" s="160" t="s">
        <v>47</v>
      </c>
      <c r="J6775" s="160" t="s">
        <v>52</v>
      </c>
      <c r="K6775" s="160" t="s">
        <v>27</v>
      </c>
      <c r="L6775" s="154" t="str">
        <f>IF(OpenLCAbasic!K6775="CTUh", "Fill in Manually",IF(OR(K6775="Unit", K6775=""), "", INDEX(LookUps!$E$5:$E$12, MATCH(OpenLCAbasic!K6775,LookUps!$D$5:$D$12,0))))</f>
        <v/>
      </c>
      <c r="M6775" s="154" t="str">
        <f t="shared" si="500"/>
        <v>____Process__</v>
      </c>
    </row>
    <row r="6776" spans="1:13" s="120" customFormat="1" x14ac:dyDescent="0.25">
      <c r="A6776" s="119"/>
      <c r="B6776" s="138" t="str">
        <f t="shared" si="504"/>
        <v>Windrow</v>
      </c>
      <c r="C6776" s="138" t="str">
        <f t="shared" si="501"/>
        <v>Without Amendment</v>
      </c>
      <c r="D6776" s="138" t="str">
        <f t="shared" si="502"/>
        <v>High_High</v>
      </c>
      <c r="E6776" s="138" t="str">
        <f t="shared" si="503"/>
        <v>Low</v>
      </c>
      <c r="F6776" s="138" t="str">
        <f t="shared" si="505"/>
        <v>Upgraded</v>
      </c>
      <c r="G6776" s="153"/>
      <c r="H6776" s="210">
        <v>1.0799000000000001</v>
      </c>
      <c r="I6776" s="160" t="s">
        <v>167</v>
      </c>
      <c r="J6776" s="160">
        <v>3.4000000000000002E-4</v>
      </c>
      <c r="K6776" s="160" t="s">
        <v>26</v>
      </c>
      <c r="L6776" s="154" t="str">
        <f>IF(OpenLCAbasic!K6776="CTUh", "Fill in Manually",IF(OR(K6776="Unit", K6776=""), "", INDEX(LookUps!$E$5:$E$12, MATCH(OpenLCAbasic!K6776,LookUps!$D$5:$D$12,0))))</f>
        <v>Water Use (WU) - m3 H2O</v>
      </c>
      <c r="M6776" s="154" t="str">
        <f t="shared" si="500"/>
        <v>Low_High_High_Upgraded_Water Use (WU) - m3 H2O_Waste Receiving and Holding; wastewater treatment unit; at updated plant - US_Without Amendment_Windrow</v>
      </c>
    </row>
    <row r="6777" spans="1:13" s="120" customFormat="1" x14ac:dyDescent="0.25">
      <c r="A6777" s="119"/>
      <c r="B6777" s="138" t="str">
        <f t="shared" si="504"/>
        <v>Windrow</v>
      </c>
      <c r="C6777" s="138" t="str">
        <f t="shared" si="501"/>
        <v>Without Amendment</v>
      </c>
      <c r="D6777" s="138" t="str">
        <f t="shared" si="502"/>
        <v>High_High</v>
      </c>
      <c r="E6777" s="138" t="str">
        <f t="shared" si="503"/>
        <v>Low</v>
      </c>
      <c r="F6777" s="138" t="str">
        <f t="shared" si="505"/>
        <v>Upgraded</v>
      </c>
      <c r="G6777" s="153"/>
      <c r="H6777" s="210">
        <v>0.59089999999999998</v>
      </c>
      <c r="I6777" s="160" t="s">
        <v>147</v>
      </c>
      <c r="J6777" s="160">
        <v>1.8000000000000001E-4</v>
      </c>
      <c r="K6777" s="160" t="s">
        <v>26</v>
      </c>
      <c r="L6777" s="154" t="str">
        <f>IF(OpenLCAbasic!K6777="CTUh", "Fill in Manually",IF(OR(K6777="Unit", K6777=""), "", INDEX(LookUps!$E$5:$E$12, MATCH(OpenLCAbasic!K6777,LookUps!$D$5:$D$12,0))))</f>
        <v>Water Use (WU) - m3 H2O</v>
      </c>
      <c r="M6777" s="154" t="str">
        <f t="shared" si="500"/>
        <v>Low_High_High_Upgraded_Water Use (WU) - m3 H2O_Influent Pump Station; wastewater treatment unit; at updated plant - US_Without Amendment_Windrow</v>
      </c>
    </row>
    <row r="6778" spans="1:13" s="120" customFormat="1" x14ac:dyDescent="0.25">
      <c r="A6778" s="119"/>
      <c r="B6778" s="138" t="str">
        <f t="shared" si="504"/>
        <v>Windrow</v>
      </c>
      <c r="C6778" s="138" t="str">
        <f t="shared" si="501"/>
        <v>Without Amendment</v>
      </c>
      <c r="D6778" s="138" t="str">
        <f t="shared" si="502"/>
        <v>High_High</v>
      </c>
      <c r="E6778" s="138" t="str">
        <f t="shared" si="503"/>
        <v>Low</v>
      </c>
      <c r="F6778" s="138" t="str">
        <f t="shared" si="505"/>
        <v>Upgraded</v>
      </c>
      <c r="G6778" s="153"/>
      <c r="H6778" s="210">
        <v>0.57650000000000001</v>
      </c>
      <c r="I6778" s="160" t="s">
        <v>54</v>
      </c>
      <c r="J6778" s="160">
        <v>1.8000000000000001E-4</v>
      </c>
      <c r="K6778" s="160" t="s">
        <v>26</v>
      </c>
      <c r="L6778" s="154" t="str">
        <f>IF(OpenLCAbasic!K6778="CTUh", "Fill in Manually",IF(OR(K6778="Unit", K6778=""), "", INDEX(LookUps!$E$5:$E$12, MATCH(OpenLCAbasic!K6778,LookUps!$D$5:$D$12,0))))</f>
        <v>Water Use (WU) - m3 H2O</v>
      </c>
      <c r="M6778" s="154" t="str">
        <f t="shared" si="500"/>
        <v>Low_High_High_Upgraded_Water Use (WU) - m3 H2O_Clear Cove Primary Clarification; wastewater treatment unit; at updated plant - US_Without Amendment_Windrow</v>
      </c>
    </row>
    <row r="6779" spans="1:13" s="120" customFormat="1" x14ac:dyDescent="0.25">
      <c r="A6779" s="119"/>
      <c r="B6779" s="138" t="str">
        <f t="shared" si="504"/>
        <v>Windrow</v>
      </c>
      <c r="C6779" s="138" t="str">
        <f t="shared" si="501"/>
        <v>Without Amendment</v>
      </c>
      <c r="D6779" s="138" t="str">
        <f t="shared" si="502"/>
        <v>High_High</v>
      </c>
      <c r="E6779" s="138" t="str">
        <f t="shared" si="503"/>
        <v>Low</v>
      </c>
      <c r="F6779" s="138" t="str">
        <f t="shared" si="505"/>
        <v>Upgraded</v>
      </c>
      <c r="G6779" s="153"/>
      <c r="H6779" s="210">
        <v>0.52300000000000002</v>
      </c>
      <c r="I6779" s="160" t="s">
        <v>55</v>
      </c>
      <c r="J6779" s="160">
        <v>1.6000000000000001E-4</v>
      </c>
      <c r="K6779" s="160" t="s">
        <v>26</v>
      </c>
      <c r="L6779" s="154" t="str">
        <f>IF(OpenLCAbasic!K6779="CTUh", "Fill in Manually",IF(OR(K6779="Unit", K6779=""), "", INDEX(LookUps!$E$5:$E$12, MATCH(OpenLCAbasic!K6779,LookUps!$D$5:$D$12,0))))</f>
        <v>Water Use (WU) - m3 H2O</v>
      </c>
      <c r="M6779" s="154" t="str">
        <f t="shared" ref="M6779:M6842" si="506">CONCATENATE(E6779,"_",D6779,"_",F6779,"_",L6779, "_",I6779,"_", C6779,"_", B6779)</f>
        <v>Low_High_High_Upgraded_Water Use (WU) - m3 H2O_Aeration Tanks; wastewater treatment unit; at updated plant - US_Without Amendment_Windrow</v>
      </c>
    </row>
    <row r="6780" spans="1:13" s="120" customFormat="1" x14ac:dyDescent="0.25">
      <c r="A6780" s="119"/>
      <c r="B6780" s="138" t="str">
        <f t="shared" si="504"/>
        <v>Windrow</v>
      </c>
      <c r="C6780" s="138" t="str">
        <f t="shared" si="501"/>
        <v>Without Amendment</v>
      </c>
      <c r="D6780" s="138" t="str">
        <f t="shared" si="502"/>
        <v>High_High</v>
      </c>
      <c r="E6780" s="138" t="str">
        <f t="shared" si="503"/>
        <v>Low</v>
      </c>
      <c r="F6780" s="138" t="str">
        <f t="shared" si="505"/>
        <v>Upgraded</v>
      </c>
      <c r="G6780" s="153"/>
      <c r="H6780" s="210">
        <v>0.47639999999999999</v>
      </c>
      <c r="I6780" s="160" t="s">
        <v>148</v>
      </c>
      <c r="J6780" s="160">
        <v>1.4999999999999999E-4</v>
      </c>
      <c r="K6780" s="160" t="s">
        <v>26</v>
      </c>
      <c r="L6780" s="154" t="str">
        <f>IF(OpenLCAbasic!K6780="CTUh", "Fill in Manually",IF(OR(K6780="Unit", K6780=""), "", INDEX(LookUps!$E$5:$E$12, MATCH(OpenLCAbasic!K6780,LookUps!$D$5:$D$12,0))))</f>
        <v>Water Use (WU) - m3 H2O</v>
      </c>
      <c r="M6780" s="154" t="str">
        <f t="shared" si="506"/>
        <v>Low_High_High_Upgraded_Water Use (WU) - m3 H2O_Control Building; at upgraded wastewater treatment plant - US_Without Amendment_Windrow</v>
      </c>
    </row>
    <row r="6781" spans="1:13" s="120" customFormat="1" x14ac:dyDescent="0.25">
      <c r="A6781" s="119"/>
      <c r="B6781" s="138" t="str">
        <f t="shared" si="504"/>
        <v>Windrow</v>
      </c>
      <c r="C6781" s="138" t="str">
        <f t="shared" si="501"/>
        <v>Without Amendment</v>
      </c>
      <c r="D6781" s="138" t="str">
        <f t="shared" si="502"/>
        <v>High_High</v>
      </c>
      <c r="E6781" s="138" t="str">
        <f t="shared" si="503"/>
        <v>Low</v>
      </c>
      <c r="F6781" s="138" t="str">
        <f t="shared" si="505"/>
        <v>Upgraded</v>
      </c>
      <c r="G6781" s="153"/>
      <c r="H6781" s="210">
        <v>0.22120000000000001</v>
      </c>
      <c r="I6781" s="160" t="s">
        <v>48</v>
      </c>
      <c r="J6781" s="211">
        <v>6.8836400000000004E-5</v>
      </c>
      <c r="K6781" s="160" t="s">
        <v>26</v>
      </c>
      <c r="L6781" s="154" t="str">
        <f>IF(OpenLCAbasic!K6781="CTUh", "Fill in Manually",IF(OR(K6781="Unit", K6781=""), "", INDEX(LookUps!$E$5:$E$12, MATCH(OpenLCAbasic!K6781,LookUps!$D$5:$D$12,0))))</f>
        <v>Water Use (WU) - m3 H2O</v>
      </c>
      <c r="M6781" s="154" t="str">
        <f t="shared" si="506"/>
        <v>Low_High_High_Upgraded_Water Use (WU) - m3 H2O_Effluent release; wastewater treatment unit; at surface water; m3 wastewater - US_Without Amendment_Windrow</v>
      </c>
    </row>
    <row r="6782" spans="1:13" s="120" customFormat="1" x14ac:dyDescent="0.25">
      <c r="A6782" s="119"/>
      <c r="B6782" s="138" t="str">
        <f t="shared" si="504"/>
        <v>Windrow</v>
      </c>
      <c r="C6782" s="138" t="str">
        <f t="shared" si="501"/>
        <v>Without Amendment</v>
      </c>
      <c r="D6782" s="138" t="str">
        <f t="shared" si="502"/>
        <v>High_High</v>
      </c>
      <c r="E6782" s="138" t="str">
        <f t="shared" si="503"/>
        <v>Low</v>
      </c>
      <c r="F6782" s="138" t="str">
        <f t="shared" si="505"/>
        <v>Upgraded</v>
      </c>
      <c r="G6782" s="153"/>
      <c r="H6782" s="210">
        <v>0.1391</v>
      </c>
      <c r="I6782" s="160" t="s">
        <v>58</v>
      </c>
      <c r="J6782" s="211">
        <v>4.3289399999999999E-5</v>
      </c>
      <c r="K6782" s="160" t="s">
        <v>26</v>
      </c>
      <c r="L6782" s="154" t="str">
        <f>IF(OpenLCAbasic!K6782="CTUh", "Fill in Manually",IF(OR(K6782="Unit", K6782=""), "", INDEX(LookUps!$E$5:$E$12, MATCH(OpenLCAbasic!K6782,LookUps!$D$5:$D$12,0))))</f>
        <v>Water Use (WU) - m3 H2O</v>
      </c>
      <c r="M6782" s="154" t="str">
        <f t="shared" si="506"/>
        <v>Low_High_High_Upgraded_Water Use (WU) - m3 H2O_Pre-Anoxic &amp; Swing tank; wastewater treatment unit; at updated plant - US_Without Amendment_Windrow</v>
      </c>
    </row>
    <row r="6783" spans="1:13" s="120" customFormat="1" x14ac:dyDescent="0.25">
      <c r="A6783" s="119"/>
      <c r="B6783" s="138" t="str">
        <f t="shared" si="504"/>
        <v>Windrow</v>
      </c>
      <c r="C6783" s="138" t="str">
        <f t="shared" si="501"/>
        <v>Without Amendment</v>
      </c>
      <c r="D6783" s="138" t="str">
        <f t="shared" si="502"/>
        <v>High_High</v>
      </c>
      <c r="E6783" s="138" t="str">
        <f t="shared" si="503"/>
        <v>Low</v>
      </c>
      <c r="F6783" s="138" t="str">
        <f t="shared" si="505"/>
        <v>Upgraded</v>
      </c>
      <c r="G6783" s="153"/>
      <c r="H6783" s="210">
        <v>0.1263</v>
      </c>
      <c r="I6783" s="160" t="s">
        <v>60</v>
      </c>
      <c r="J6783" s="211">
        <v>3.9294400000000001E-5</v>
      </c>
      <c r="K6783" s="160" t="s">
        <v>26</v>
      </c>
      <c r="L6783" s="154" t="str">
        <f>IF(OpenLCAbasic!K6783="CTUh", "Fill in Manually",IF(OR(K6783="Unit", K6783=""), "", INDEX(LookUps!$E$5:$E$12, MATCH(OpenLCAbasic!K6783,LookUps!$D$5:$D$12,0))))</f>
        <v>Water Use (WU) - m3 H2O</v>
      </c>
      <c r="M6783" s="154" t="str">
        <f t="shared" si="506"/>
        <v>Low_High_High_Upgraded_Water Use (WU) - m3 H2O_Belt filter press; wastewater treatment unit; at updated plant - US_Without Amendment_Windrow</v>
      </c>
    </row>
    <row r="6784" spans="1:13" s="120" customFormat="1" x14ac:dyDescent="0.25">
      <c r="A6784" s="119"/>
      <c r="B6784" s="138" t="str">
        <f t="shared" si="504"/>
        <v>Windrow</v>
      </c>
      <c r="C6784" s="138" t="str">
        <f t="shared" si="501"/>
        <v>Without Amendment</v>
      </c>
      <c r="D6784" s="138" t="str">
        <f t="shared" si="502"/>
        <v>High_High</v>
      </c>
      <c r="E6784" s="138" t="str">
        <f t="shared" si="503"/>
        <v>Low</v>
      </c>
      <c r="F6784" s="138" t="str">
        <f t="shared" si="505"/>
        <v>Upgraded</v>
      </c>
      <c r="G6784" s="153"/>
      <c r="H6784" s="210">
        <v>9.7699999999999995E-2</v>
      </c>
      <c r="I6784" s="160" t="s">
        <v>57</v>
      </c>
      <c r="J6784" s="211">
        <v>3.0408100000000001E-5</v>
      </c>
      <c r="K6784" s="160" t="s">
        <v>26</v>
      </c>
      <c r="L6784" s="154" t="str">
        <f>IF(OpenLCAbasic!K6784="CTUh", "Fill in Manually",IF(OR(K6784="Unit", K6784=""), "", INDEX(LookUps!$E$5:$E$12, MATCH(OpenLCAbasic!K6784,LookUps!$D$5:$D$12,0))))</f>
        <v>Water Use (WU) - m3 H2O</v>
      </c>
      <c r="M6784" s="154" t="str">
        <f t="shared" si="506"/>
        <v>Low_High_High_Upgraded_Water Use (WU) - m3 H2O_Gravity Belt Thickener; wastewater treatment unit; at updated plant - US_Without Amendment_Windrow</v>
      </c>
    </row>
    <row r="6785" spans="1:13" s="120" customFormat="1" x14ac:dyDescent="0.25">
      <c r="A6785" s="119"/>
      <c r="B6785" s="138" t="str">
        <f t="shared" si="504"/>
        <v>Windrow</v>
      </c>
      <c r="C6785" s="138" t="str">
        <f t="shared" ref="C6785:C6848" si="507">IF(ISNUMBER($J6785),"Without Amendment","")</f>
        <v>Without Amendment</v>
      </c>
      <c r="D6785" s="138" t="str">
        <f t="shared" ref="D6785:D6791" si="508">IF(ISNUMBER($J6785),"High_High","")</f>
        <v>High_High</v>
      </c>
      <c r="E6785" s="138" t="str">
        <f t="shared" ref="E6785:E6791" si="509">IF(ISNUMBER($J6785),"Low","")</f>
        <v>Low</v>
      </c>
      <c r="F6785" s="138" t="str">
        <f t="shared" si="505"/>
        <v>Upgraded</v>
      </c>
      <c r="G6785" s="153"/>
      <c r="H6785" s="210">
        <v>5.6300000000000003E-2</v>
      </c>
      <c r="I6785" s="160" t="s">
        <v>53</v>
      </c>
      <c r="J6785" s="211">
        <v>1.75069E-5</v>
      </c>
      <c r="K6785" s="160" t="s">
        <v>26</v>
      </c>
      <c r="L6785" s="154" t="str">
        <f>IF(OpenLCAbasic!K6785="CTUh", "Fill in Manually",IF(OR(K6785="Unit", K6785=""), "", INDEX(LookUps!$E$5:$E$12, MATCH(OpenLCAbasic!K6785,LookUps!$D$5:$D$12,0))))</f>
        <v>Water Use (WU) - m3 H2O</v>
      </c>
      <c r="M6785" s="154" t="str">
        <f t="shared" si="506"/>
        <v>Low_High_High_Upgraded_Water Use (WU) - m3 H2O_Wet Well and Sump Station; wastewater treatment unit; at updated plant - US_Without Amendment_Windrow</v>
      </c>
    </row>
    <row r="6786" spans="1:13" s="120" customFormat="1" x14ac:dyDescent="0.25">
      <c r="A6786" s="119"/>
      <c r="B6786" s="138" t="str">
        <f t="shared" si="504"/>
        <v>Windrow</v>
      </c>
      <c r="C6786" s="138" t="str">
        <f t="shared" si="507"/>
        <v>Without Amendment</v>
      </c>
      <c r="D6786" s="138" t="str">
        <f t="shared" si="508"/>
        <v>High_High</v>
      </c>
      <c r="E6786" s="138" t="str">
        <f t="shared" si="509"/>
        <v>Low</v>
      </c>
      <c r="F6786" s="138" t="str">
        <f t="shared" si="505"/>
        <v>Upgraded</v>
      </c>
      <c r="G6786" s="153"/>
      <c r="H6786" s="210">
        <v>2.2599999999999999E-2</v>
      </c>
      <c r="I6786" s="160" t="s">
        <v>59</v>
      </c>
      <c r="J6786" s="211">
        <v>7.0179500000000003E-6</v>
      </c>
      <c r="K6786" s="160" t="s">
        <v>26</v>
      </c>
      <c r="L6786" s="154" t="str">
        <f>IF(OpenLCAbasic!K6786="CTUh", "Fill in Manually",IF(OR(K6786="Unit", K6786=""), "", INDEX(LookUps!$E$5:$E$12, MATCH(OpenLCAbasic!K6786,LookUps!$D$5:$D$12,0))))</f>
        <v>Water Use (WU) - m3 H2O</v>
      </c>
      <c r="M6786" s="154" t="str">
        <f t="shared" si="506"/>
        <v>Low_High_High_Upgraded_Water Use (WU) - m3 H2O_Blend Tank; wastewater treatment unit; at updated plant - US_Without Amendment_Windrow</v>
      </c>
    </row>
    <row r="6787" spans="1:13" s="120" customFormat="1" x14ac:dyDescent="0.25">
      <c r="A6787" s="119"/>
      <c r="B6787" s="138" t="str">
        <f t="shared" si="504"/>
        <v>Windrow</v>
      </c>
      <c r="C6787" s="138" t="str">
        <f t="shared" si="507"/>
        <v>Without Amendment</v>
      </c>
      <c r="D6787" s="138" t="str">
        <f t="shared" si="508"/>
        <v>High_High</v>
      </c>
      <c r="E6787" s="138" t="str">
        <f t="shared" si="509"/>
        <v>Low</v>
      </c>
      <c r="F6787" s="138" t="str">
        <f t="shared" si="505"/>
        <v>Upgraded</v>
      </c>
      <c r="G6787" s="153"/>
      <c r="H6787" s="210">
        <v>1.6299999999999999E-2</v>
      </c>
      <c r="I6787" s="160" t="s">
        <v>128</v>
      </c>
      <c r="J6787" s="211">
        <v>5.0608900000000003E-6</v>
      </c>
      <c r="K6787" s="160" t="s">
        <v>26</v>
      </c>
      <c r="L6787" s="154" t="str">
        <f>IF(OpenLCAbasic!K6787="CTUh", "Fill in Manually",IF(OR(K6787="Unit", K6787=""), "", INDEX(LookUps!$E$5:$E$12, MATCH(OpenLCAbasic!K6787,LookUps!$D$5:$D$12,0))))</f>
        <v>Water Use (WU) - m3 H2O</v>
      </c>
      <c r="M6787" s="154" t="str">
        <f t="shared" si="506"/>
        <v>Low_High_High_Upgraded_Water Use (WU) - m3 H2O_Wastewater collection; operation and infrastructure; m3 wastewater_Without Amendment_Windrow</v>
      </c>
    </row>
    <row r="6788" spans="1:13" s="120" customFormat="1" x14ac:dyDescent="0.25">
      <c r="A6788" s="119"/>
      <c r="B6788" s="138" t="str">
        <f t="shared" si="504"/>
        <v>Windrow</v>
      </c>
      <c r="C6788" s="138" t="str">
        <f t="shared" si="507"/>
        <v>Without Amendment</v>
      </c>
      <c r="D6788" s="138" t="str">
        <f t="shared" si="508"/>
        <v>High_High</v>
      </c>
      <c r="E6788" s="138" t="str">
        <f t="shared" si="509"/>
        <v>Low</v>
      </c>
      <c r="F6788" s="138" t="str">
        <f t="shared" si="505"/>
        <v>Upgraded</v>
      </c>
      <c r="G6788" s="153"/>
      <c r="H6788" s="210">
        <v>6.0000000000000001E-3</v>
      </c>
      <c r="I6788" s="160" t="s">
        <v>271</v>
      </c>
      <c r="J6788" s="211">
        <v>1.8779099999999999E-6</v>
      </c>
      <c r="K6788" s="160" t="s">
        <v>26</v>
      </c>
      <c r="L6788" s="154" t="str">
        <f>IF(OpenLCAbasic!K6788="CTUh", "Fill in Manually",IF(OR(K6788="Unit", K6788=""), "", INDEX(LookUps!$E$5:$E$12, MATCH(OpenLCAbasic!K6788,LookUps!$D$5:$D$12,0))))</f>
        <v>Water Use (WU) - m3 H2O</v>
      </c>
      <c r="M6788" s="154" t="str">
        <f t="shared" si="506"/>
        <v>Low_High_High_Upgraded_Water Use (WU) - m3 H2O_Biosolids composting; windrow composting; wastewater treatment unit; at updated plant - US_Without Amendment_Windrow</v>
      </c>
    </row>
    <row r="6789" spans="1:13" s="120" customFormat="1" x14ac:dyDescent="0.25">
      <c r="A6789" s="119"/>
      <c r="B6789" s="138" t="str">
        <f t="shared" si="504"/>
        <v>Windrow</v>
      </c>
      <c r="C6789" s="138" t="str">
        <f t="shared" si="507"/>
        <v>Without Amendment</v>
      </c>
      <c r="D6789" s="138" t="str">
        <f t="shared" si="508"/>
        <v>High_High</v>
      </c>
      <c r="E6789" s="138" t="str">
        <f t="shared" si="509"/>
        <v>Low</v>
      </c>
      <c r="F6789" s="138" t="str">
        <f t="shared" si="505"/>
        <v>Upgraded</v>
      </c>
      <c r="G6789" s="153"/>
      <c r="H6789" s="210">
        <v>2.5000000000000001E-3</v>
      </c>
      <c r="I6789" s="160" t="s">
        <v>168</v>
      </c>
      <c r="J6789" s="211">
        <v>7.6697000000000004E-7</v>
      </c>
      <c r="K6789" s="160" t="s">
        <v>26</v>
      </c>
      <c r="L6789" s="154" t="str">
        <f>IF(OpenLCAbasic!K6789="CTUh", "Fill in Manually",IF(OR(K6789="Unit", K6789=""), "", INDEX(LookUps!$E$5:$E$12, MATCH(OpenLCAbasic!K6789,LookUps!$D$5:$D$12,0))))</f>
        <v>Water Use (WU) - m3 H2O</v>
      </c>
      <c r="M6789" s="154" t="str">
        <f t="shared" si="506"/>
        <v>Low_High_High_Upgraded_Water Use (WU) - m3 H2O_ClearCove SCP; wastewater treatment unit; at updated plant - US_Without Amendment_Windrow</v>
      </c>
    </row>
    <row r="6790" spans="1:13" s="120" customFormat="1" x14ac:dyDescent="0.25">
      <c r="A6790" s="119"/>
      <c r="B6790" s="138" t="str">
        <f t="shared" si="504"/>
        <v>Windrow</v>
      </c>
      <c r="C6790" s="138" t="str">
        <f t="shared" si="507"/>
        <v>Without Amendment</v>
      </c>
      <c r="D6790" s="138" t="str">
        <f t="shared" si="508"/>
        <v>High_High</v>
      </c>
      <c r="E6790" s="138" t="str">
        <f t="shared" si="509"/>
        <v>Low</v>
      </c>
      <c r="F6790" s="138" t="str">
        <f t="shared" si="505"/>
        <v>Upgraded</v>
      </c>
      <c r="G6790" s="153"/>
      <c r="H6790" s="210">
        <v>-0.86539999999999995</v>
      </c>
      <c r="I6790" s="160" t="s">
        <v>149</v>
      </c>
      <c r="J6790" s="160">
        <v>-2.7E-4</v>
      </c>
      <c r="K6790" s="160" t="s">
        <v>26</v>
      </c>
      <c r="L6790" s="154" t="str">
        <f>IF(OpenLCAbasic!K6790="CTUh", "Fill in Manually",IF(OR(K6790="Unit", K6790=""), "", INDEX(LookUps!$E$5:$E$12, MATCH(OpenLCAbasic!K6790,LookUps!$D$5:$D$12,0))))</f>
        <v>Water Use (WU) - m3 H2O</v>
      </c>
      <c r="M6790" s="154" t="str">
        <f t="shared" si="506"/>
        <v>Low_High_High_Upgraded_Water Use (WU) - m3 H2O_Anaerobic Digestion; wastewater treatment unit; at updated plant - US_Without Amendment_Windrow</v>
      </c>
    </row>
    <row r="6791" spans="1:13" s="120" customFormat="1" x14ac:dyDescent="0.25">
      <c r="A6791" s="119"/>
      <c r="B6791" s="138" t="str">
        <f t="shared" si="504"/>
        <v>Windrow</v>
      </c>
      <c r="C6791" s="138" t="str">
        <f t="shared" si="507"/>
        <v>Without Amendment</v>
      </c>
      <c r="D6791" s="138" t="str">
        <f t="shared" si="508"/>
        <v>High_High</v>
      </c>
      <c r="E6791" s="138" t="str">
        <f t="shared" si="509"/>
        <v>Low</v>
      </c>
      <c r="F6791" s="138" t="str">
        <f t="shared" si="505"/>
        <v>Upgraded</v>
      </c>
      <c r="G6791" s="153"/>
      <c r="H6791" s="210">
        <v>-4.0693000000000001</v>
      </c>
      <c r="I6791" s="160" t="s">
        <v>62</v>
      </c>
      <c r="J6791" s="160">
        <v>-1.2700000000000001E-3</v>
      </c>
      <c r="K6791" s="160" t="s">
        <v>26</v>
      </c>
      <c r="L6791" s="154" t="str">
        <f>IF(OpenLCAbasic!K6791="CTUh", "Fill in Manually",IF(OR(K6791="Unit", K6791=""), "", INDEX(LookUps!$E$5:$E$12, MATCH(OpenLCAbasic!K6791,LookUps!$D$5:$D$12,0))))</f>
        <v>Water Use (WU) - m3 H2O</v>
      </c>
      <c r="M6791" s="154" t="str">
        <f t="shared" si="506"/>
        <v>Low_High_High_Upgraded_Water Use (WU) - m3 H2O_Land application of compost; wastewater treatment unit; at updated plant - US_Without Amendment_Windrow</v>
      </c>
    </row>
    <row r="6792" spans="1:13" s="120" customFormat="1" x14ac:dyDescent="0.25">
      <c r="A6792" s="119"/>
      <c r="B6792" s="138" t="str">
        <f t="shared" si="504"/>
        <v/>
      </c>
      <c r="C6792" s="138" t="str">
        <f t="shared" si="507"/>
        <v/>
      </c>
      <c r="D6792" s="138" t="str">
        <f>IF(ISNUMBER($J6792),"Base_Low","")</f>
        <v/>
      </c>
      <c r="E6792" s="138" t="str">
        <f>IF(ISNUMBER($J6792),"High","")</f>
        <v/>
      </c>
      <c r="F6792" s="138" t="str">
        <f t="shared" si="505"/>
        <v/>
      </c>
      <c r="G6792" s="153" t="s">
        <v>51</v>
      </c>
      <c r="H6792" s="160"/>
      <c r="I6792" s="160" t="s">
        <v>47</v>
      </c>
      <c r="J6792" s="160" t="s">
        <v>52</v>
      </c>
      <c r="K6792" s="160" t="s">
        <v>27</v>
      </c>
      <c r="L6792" s="154" t="str">
        <f>IF(OpenLCAbasic!K6792="CTUh", "Fill in Manually",IF(OR(K6792="Unit", K6792=""), "", INDEX(LookUps!$E$5:$E$12, MATCH(OpenLCAbasic!K6792,LookUps!$D$5:$D$12,0))))</f>
        <v/>
      </c>
      <c r="M6792" s="154" t="str">
        <f t="shared" si="506"/>
        <v>____Process__</v>
      </c>
    </row>
    <row r="6793" spans="1:13" s="120" customFormat="1" x14ac:dyDescent="0.25">
      <c r="A6793" s="119"/>
      <c r="B6793" s="138" t="str">
        <f t="shared" si="504"/>
        <v>Windrow</v>
      </c>
      <c r="C6793" s="138" t="str">
        <f t="shared" si="507"/>
        <v>Without Amendment</v>
      </c>
      <c r="D6793" s="138" t="str">
        <f t="shared" ref="D6793:D6856" si="510">IF(ISNUMBER($J6793),"Base_Low","")</f>
        <v>Base_Low</v>
      </c>
      <c r="E6793" s="138" t="str">
        <f t="shared" ref="E6793:E6856" si="511">IF(ISNUMBER($J6793),"High","")</f>
        <v>High</v>
      </c>
      <c r="F6793" s="138" t="str">
        <f t="shared" si="505"/>
        <v>Upgraded</v>
      </c>
      <c r="G6793" s="153"/>
      <c r="H6793" s="210">
        <v>0.34289999999999998</v>
      </c>
      <c r="I6793" s="160" t="s">
        <v>55</v>
      </c>
      <c r="J6793" s="160">
        <v>1.7219999999999999E-2</v>
      </c>
      <c r="K6793" s="160" t="s">
        <v>24</v>
      </c>
      <c r="L6793" s="154" t="str">
        <f>IF(OpenLCAbasic!K6793="CTUh", "Fill in Manually",IF(OR(K6793="Unit", K6793=""), "", INDEX(LookUps!$E$5:$E$12, MATCH(OpenLCAbasic!K6793,LookUps!$D$5:$D$12,0))))</f>
        <v>Acidification Potential (AP) - kg SO2 eq</v>
      </c>
      <c r="M6793" s="154" t="str">
        <f t="shared" si="506"/>
        <v>High_Base_Low_Upgraded_Acidification Potential (AP) - kg SO2 eq_Aeration Tanks; wastewater treatment unit; at updated plant - US_Without Amendment_Windrow</v>
      </c>
    </row>
    <row r="6794" spans="1:13" s="120" customFormat="1" x14ac:dyDescent="0.25">
      <c r="A6794" s="119"/>
      <c r="B6794" s="138" t="str">
        <f t="shared" si="504"/>
        <v>Windrow</v>
      </c>
      <c r="C6794" s="138" t="str">
        <f t="shared" si="507"/>
        <v>Without Amendment</v>
      </c>
      <c r="D6794" s="138" t="str">
        <f t="shared" si="510"/>
        <v>Base_Low</v>
      </c>
      <c r="E6794" s="138" t="str">
        <f t="shared" si="511"/>
        <v>High</v>
      </c>
      <c r="F6794" s="138" t="str">
        <f t="shared" si="505"/>
        <v>Upgraded</v>
      </c>
      <c r="G6794" s="153"/>
      <c r="H6794" s="210">
        <v>0.15029999999999999</v>
      </c>
      <c r="I6794" s="160" t="s">
        <v>271</v>
      </c>
      <c r="J6794" s="160">
        <v>7.5500000000000003E-3</v>
      </c>
      <c r="K6794" s="160" t="s">
        <v>24</v>
      </c>
      <c r="L6794" s="154" t="str">
        <f>IF(OpenLCAbasic!K6794="CTUh", "Fill in Manually",IF(OR(K6794="Unit", K6794=""), "", INDEX(LookUps!$E$5:$E$12, MATCH(OpenLCAbasic!K6794,LookUps!$D$5:$D$12,0))))</f>
        <v>Acidification Potential (AP) - kg SO2 eq</v>
      </c>
      <c r="M6794" s="154" t="str">
        <f t="shared" si="506"/>
        <v>High_Base_Low_Upgraded_Acidification Potential (AP) - kg SO2 eq_Biosolids composting; windrow composting; wastewater treatment unit; at updated plant - US_Without Amendment_Windrow</v>
      </c>
    </row>
    <row r="6795" spans="1:13" s="120" customFormat="1" x14ac:dyDescent="0.25">
      <c r="A6795" s="119"/>
      <c r="B6795" s="138" t="str">
        <f t="shared" si="504"/>
        <v>Windrow</v>
      </c>
      <c r="C6795" s="138" t="str">
        <f t="shared" si="507"/>
        <v>Without Amendment</v>
      </c>
      <c r="D6795" s="138" t="str">
        <f t="shared" si="510"/>
        <v>Base_Low</v>
      </c>
      <c r="E6795" s="138" t="str">
        <f t="shared" si="511"/>
        <v>High</v>
      </c>
      <c r="F6795" s="138" t="str">
        <f t="shared" si="505"/>
        <v>Upgraded</v>
      </c>
      <c r="G6795" s="153"/>
      <c r="H6795" s="210">
        <v>9.9199999999999997E-2</v>
      </c>
      <c r="I6795" s="160" t="s">
        <v>54</v>
      </c>
      <c r="J6795" s="160">
        <v>4.9800000000000001E-3</v>
      </c>
      <c r="K6795" s="160" t="s">
        <v>24</v>
      </c>
      <c r="L6795" s="154" t="str">
        <f>IF(OpenLCAbasic!K6795="CTUh", "Fill in Manually",IF(OR(K6795="Unit", K6795=""), "", INDEX(LookUps!$E$5:$E$12, MATCH(OpenLCAbasic!K6795,LookUps!$D$5:$D$12,0))))</f>
        <v>Acidification Potential (AP) - kg SO2 eq</v>
      </c>
      <c r="M6795" s="154" t="str">
        <f t="shared" si="506"/>
        <v>High_Base_Low_Upgraded_Acidification Potential (AP) - kg SO2 eq_Clear Cove Primary Clarification; wastewater treatment unit; at updated plant - US_Without Amendment_Windrow</v>
      </c>
    </row>
    <row r="6796" spans="1:13" s="120" customFormat="1" x14ac:dyDescent="0.25">
      <c r="A6796" s="119"/>
      <c r="B6796" s="138" t="str">
        <f t="shared" si="504"/>
        <v>Windrow</v>
      </c>
      <c r="C6796" s="138" t="str">
        <f t="shared" si="507"/>
        <v>Without Amendment</v>
      </c>
      <c r="D6796" s="138" t="str">
        <f t="shared" si="510"/>
        <v>Base_Low</v>
      </c>
      <c r="E6796" s="138" t="str">
        <f t="shared" si="511"/>
        <v>High</v>
      </c>
      <c r="F6796" s="138" t="str">
        <f t="shared" si="505"/>
        <v>Upgraded</v>
      </c>
      <c r="G6796" s="153"/>
      <c r="H6796" s="210">
        <v>8.6199999999999999E-2</v>
      </c>
      <c r="I6796" s="160" t="s">
        <v>58</v>
      </c>
      <c r="J6796" s="160">
        <v>4.3299999999999996E-3</v>
      </c>
      <c r="K6796" s="160" t="s">
        <v>24</v>
      </c>
      <c r="L6796" s="154" t="str">
        <f>IF(OpenLCAbasic!K6796="CTUh", "Fill in Manually",IF(OR(K6796="Unit", K6796=""), "", INDEX(LookUps!$E$5:$E$12, MATCH(OpenLCAbasic!K6796,LookUps!$D$5:$D$12,0))))</f>
        <v>Acidification Potential (AP) - kg SO2 eq</v>
      </c>
      <c r="M6796" s="154" t="str">
        <f t="shared" si="506"/>
        <v>High_Base_Low_Upgraded_Acidification Potential (AP) - kg SO2 eq_Pre-Anoxic &amp; Swing tank; wastewater treatment unit; at updated plant - US_Without Amendment_Windrow</v>
      </c>
    </row>
    <row r="6797" spans="1:13" s="120" customFormat="1" x14ac:dyDescent="0.25">
      <c r="A6797" s="119"/>
      <c r="B6797" s="138" t="str">
        <f t="shared" si="504"/>
        <v>Windrow</v>
      </c>
      <c r="C6797" s="138" t="str">
        <f t="shared" si="507"/>
        <v>Without Amendment</v>
      </c>
      <c r="D6797" s="138" t="str">
        <f t="shared" si="510"/>
        <v>Base_Low</v>
      </c>
      <c r="E6797" s="138" t="str">
        <f t="shared" si="511"/>
        <v>High</v>
      </c>
      <c r="F6797" s="138" t="str">
        <f t="shared" si="505"/>
        <v>Upgraded</v>
      </c>
      <c r="G6797" s="153"/>
      <c r="H6797" s="210">
        <v>6.8699999999999997E-2</v>
      </c>
      <c r="I6797" s="160" t="s">
        <v>53</v>
      </c>
      <c r="J6797" s="160">
        <v>3.4499999999999999E-3</v>
      </c>
      <c r="K6797" s="160" t="s">
        <v>24</v>
      </c>
      <c r="L6797" s="154" t="str">
        <f>IF(OpenLCAbasic!K6797="CTUh", "Fill in Manually",IF(OR(K6797="Unit", K6797=""), "", INDEX(LookUps!$E$5:$E$12, MATCH(OpenLCAbasic!K6797,LookUps!$D$5:$D$12,0))))</f>
        <v>Acidification Potential (AP) - kg SO2 eq</v>
      </c>
      <c r="M6797" s="154" t="str">
        <f t="shared" si="506"/>
        <v>High_Base_Low_Upgraded_Acidification Potential (AP) - kg SO2 eq_Wet Well and Sump Station; wastewater treatment unit; at updated plant - US_Without Amendment_Windrow</v>
      </c>
    </row>
    <row r="6798" spans="1:13" s="120" customFormat="1" x14ac:dyDescent="0.25">
      <c r="A6798" s="119"/>
      <c r="B6798" s="138" t="str">
        <f t="shared" si="504"/>
        <v>Windrow</v>
      </c>
      <c r="C6798" s="138" t="str">
        <f t="shared" si="507"/>
        <v>Without Amendment</v>
      </c>
      <c r="D6798" s="138" t="str">
        <f t="shared" si="510"/>
        <v>Base_Low</v>
      </c>
      <c r="E6798" s="138" t="str">
        <f t="shared" si="511"/>
        <v>High</v>
      </c>
      <c r="F6798" s="138" t="str">
        <f t="shared" si="505"/>
        <v>Upgraded</v>
      </c>
      <c r="G6798" s="153"/>
      <c r="H6798" s="210">
        <v>5.1700000000000003E-2</v>
      </c>
      <c r="I6798" s="160" t="s">
        <v>149</v>
      </c>
      <c r="J6798" s="160">
        <v>2.5999999999999999E-3</v>
      </c>
      <c r="K6798" s="160" t="s">
        <v>24</v>
      </c>
      <c r="L6798" s="154" t="str">
        <f>IF(OpenLCAbasic!K6798="CTUh", "Fill in Manually",IF(OR(K6798="Unit", K6798=""), "", INDEX(LookUps!$E$5:$E$12, MATCH(OpenLCAbasic!K6798,LookUps!$D$5:$D$12,0))))</f>
        <v>Acidification Potential (AP) - kg SO2 eq</v>
      </c>
      <c r="M6798" s="154" t="str">
        <f t="shared" si="506"/>
        <v>High_Base_Low_Upgraded_Acidification Potential (AP) - kg SO2 eq_Anaerobic Digestion; wastewater treatment unit; at updated plant - US_Without Amendment_Windrow</v>
      </c>
    </row>
    <row r="6799" spans="1:13" s="120" customFormat="1" x14ac:dyDescent="0.25">
      <c r="A6799" s="119"/>
      <c r="B6799" s="138" t="str">
        <f t="shared" si="504"/>
        <v>Windrow</v>
      </c>
      <c r="C6799" s="138" t="str">
        <f t="shared" si="507"/>
        <v>Without Amendment</v>
      </c>
      <c r="D6799" s="138" t="str">
        <f t="shared" si="510"/>
        <v>Base_Low</v>
      </c>
      <c r="E6799" s="138" t="str">
        <f t="shared" si="511"/>
        <v>High</v>
      </c>
      <c r="F6799" s="138" t="str">
        <f t="shared" si="505"/>
        <v>Upgraded</v>
      </c>
      <c r="G6799" s="153"/>
      <c r="H6799" s="210">
        <v>4.7300000000000002E-2</v>
      </c>
      <c r="I6799" s="160" t="s">
        <v>167</v>
      </c>
      <c r="J6799" s="160">
        <v>2.3800000000000002E-3</v>
      </c>
      <c r="K6799" s="160" t="s">
        <v>24</v>
      </c>
      <c r="L6799" s="154" t="str">
        <f>IF(OpenLCAbasic!K6799="CTUh", "Fill in Manually",IF(OR(K6799="Unit", K6799=""), "", INDEX(LookUps!$E$5:$E$12, MATCH(OpenLCAbasic!K6799,LookUps!$D$5:$D$12,0))))</f>
        <v>Acidification Potential (AP) - kg SO2 eq</v>
      </c>
      <c r="M6799" s="154" t="str">
        <f t="shared" si="506"/>
        <v>High_Base_Low_Upgraded_Acidification Potential (AP) - kg SO2 eq_Waste Receiving and Holding; wastewater treatment unit; at updated plant - US_Without Amendment_Windrow</v>
      </c>
    </row>
    <row r="6800" spans="1:13" s="120" customFormat="1" x14ac:dyDescent="0.25">
      <c r="A6800" s="119"/>
      <c r="B6800" s="138" t="str">
        <f t="shared" si="504"/>
        <v>Windrow</v>
      </c>
      <c r="C6800" s="138" t="str">
        <f t="shared" si="507"/>
        <v>Without Amendment</v>
      </c>
      <c r="D6800" s="138" t="str">
        <f t="shared" si="510"/>
        <v>Base_Low</v>
      </c>
      <c r="E6800" s="138" t="str">
        <f t="shared" si="511"/>
        <v>High</v>
      </c>
      <c r="F6800" s="138" t="str">
        <f t="shared" si="505"/>
        <v>Upgraded</v>
      </c>
      <c r="G6800" s="153"/>
      <c r="H6800" s="210">
        <v>4.1200000000000001E-2</v>
      </c>
      <c r="I6800" s="160" t="s">
        <v>147</v>
      </c>
      <c r="J6800" s="160">
        <v>2.0699999999999998E-3</v>
      </c>
      <c r="K6800" s="160" t="s">
        <v>24</v>
      </c>
      <c r="L6800" s="154" t="str">
        <f>IF(OpenLCAbasic!K6800="CTUh", "Fill in Manually",IF(OR(K6800="Unit", K6800=""), "", INDEX(LookUps!$E$5:$E$12, MATCH(OpenLCAbasic!K6800,LookUps!$D$5:$D$12,0))))</f>
        <v>Acidification Potential (AP) - kg SO2 eq</v>
      </c>
      <c r="M6800" s="154" t="str">
        <f t="shared" si="506"/>
        <v>High_Base_Low_Upgraded_Acidification Potential (AP) - kg SO2 eq_Influent Pump Station; wastewater treatment unit; at updated plant - US_Without Amendment_Windrow</v>
      </c>
    </row>
    <row r="6801" spans="1:13" s="120" customFormat="1" x14ac:dyDescent="0.25">
      <c r="A6801" s="119"/>
      <c r="B6801" s="138" t="str">
        <f t="shared" si="504"/>
        <v>Windrow</v>
      </c>
      <c r="C6801" s="138" t="str">
        <f t="shared" si="507"/>
        <v>Without Amendment</v>
      </c>
      <c r="D6801" s="138" t="str">
        <f t="shared" si="510"/>
        <v>Base_Low</v>
      </c>
      <c r="E6801" s="138" t="str">
        <f t="shared" si="511"/>
        <v>High</v>
      </c>
      <c r="F6801" s="138" t="str">
        <f t="shared" si="505"/>
        <v>Upgraded</v>
      </c>
      <c r="G6801" s="153"/>
      <c r="H6801" s="210">
        <v>3.39E-2</v>
      </c>
      <c r="I6801" s="160" t="s">
        <v>62</v>
      </c>
      <c r="J6801" s="160">
        <v>1.6999999999999999E-3</v>
      </c>
      <c r="K6801" s="160" t="s">
        <v>24</v>
      </c>
      <c r="L6801" s="154" t="str">
        <f>IF(OpenLCAbasic!K6801="CTUh", "Fill in Manually",IF(OR(K6801="Unit", K6801=""), "", INDEX(LookUps!$E$5:$E$12, MATCH(OpenLCAbasic!K6801,LookUps!$D$5:$D$12,0))))</f>
        <v>Acidification Potential (AP) - kg SO2 eq</v>
      </c>
      <c r="M6801" s="154" t="str">
        <f t="shared" si="506"/>
        <v>High_Base_Low_Upgraded_Acidification Potential (AP) - kg SO2 eq_Land application of compost; wastewater treatment unit; at updated plant - US_Without Amendment_Windrow</v>
      </c>
    </row>
    <row r="6802" spans="1:13" s="120" customFormat="1" x14ac:dyDescent="0.25">
      <c r="A6802" s="119"/>
      <c r="B6802" s="138" t="str">
        <f t="shared" si="504"/>
        <v>Windrow</v>
      </c>
      <c r="C6802" s="138" t="str">
        <f t="shared" si="507"/>
        <v>Without Amendment</v>
      </c>
      <c r="D6802" s="138" t="str">
        <f t="shared" si="510"/>
        <v>Base_Low</v>
      </c>
      <c r="E6802" s="138" t="str">
        <f t="shared" si="511"/>
        <v>High</v>
      </c>
      <c r="F6802" s="138" t="str">
        <f t="shared" si="505"/>
        <v>Upgraded</v>
      </c>
      <c r="G6802" s="153"/>
      <c r="H6802" s="210">
        <v>2.46E-2</v>
      </c>
      <c r="I6802" s="160" t="s">
        <v>128</v>
      </c>
      <c r="J6802" s="160">
        <v>1.23E-3</v>
      </c>
      <c r="K6802" s="160" t="s">
        <v>24</v>
      </c>
      <c r="L6802" s="154" t="str">
        <f>IF(OpenLCAbasic!K6802="CTUh", "Fill in Manually",IF(OR(K6802="Unit", K6802=""), "", INDEX(LookUps!$E$5:$E$12, MATCH(OpenLCAbasic!K6802,LookUps!$D$5:$D$12,0))))</f>
        <v>Acidification Potential (AP) - kg SO2 eq</v>
      </c>
      <c r="M6802" s="154" t="str">
        <f t="shared" si="506"/>
        <v>High_Base_Low_Upgraded_Acidification Potential (AP) - kg SO2 eq_Wastewater collection; operation and infrastructure; m3 wastewater_Without Amendment_Windrow</v>
      </c>
    </row>
    <row r="6803" spans="1:13" s="120" customFormat="1" x14ac:dyDescent="0.25">
      <c r="A6803" s="119"/>
      <c r="B6803" s="138" t="str">
        <f t="shared" si="504"/>
        <v>Windrow</v>
      </c>
      <c r="C6803" s="138" t="str">
        <f t="shared" si="507"/>
        <v>Without Amendment</v>
      </c>
      <c r="D6803" s="138" t="str">
        <f t="shared" si="510"/>
        <v>Base_Low</v>
      </c>
      <c r="E6803" s="138" t="str">
        <f t="shared" si="511"/>
        <v>High</v>
      </c>
      <c r="F6803" s="138" t="str">
        <f t="shared" si="505"/>
        <v>Upgraded</v>
      </c>
      <c r="G6803" s="153"/>
      <c r="H6803" s="210">
        <v>1.7100000000000001E-2</v>
      </c>
      <c r="I6803" s="160" t="s">
        <v>60</v>
      </c>
      <c r="J6803" s="160">
        <v>8.5999999999999998E-4</v>
      </c>
      <c r="K6803" s="160" t="s">
        <v>24</v>
      </c>
      <c r="L6803" s="154" t="str">
        <f>IF(OpenLCAbasic!K6803="CTUh", "Fill in Manually",IF(OR(K6803="Unit", K6803=""), "", INDEX(LookUps!$E$5:$E$12, MATCH(OpenLCAbasic!K6803,LookUps!$D$5:$D$12,0))))</f>
        <v>Acidification Potential (AP) - kg SO2 eq</v>
      </c>
      <c r="M6803" s="154" t="str">
        <f t="shared" si="506"/>
        <v>High_Base_Low_Upgraded_Acidification Potential (AP) - kg SO2 eq_Belt filter press; wastewater treatment unit; at updated plant - US_Without Amendment_Windrow</v>
      </c>
    </row>
    <row r="6804" spans="1:13" s="120" customFormat="1" x14ac:dyDescent="0.25">
      <c r="A6804" s="119"/>
      <c r="B6804" s="138" t="str">
        <f t="shared" si="504"/>
        <v>Windrow</v>
      </c>
      <c r="C6804" s="138" t="str">
        <f t="shared" si="507"/>
        <v>Without Amendment</v>
      </c>
      <c r="D6804" s="138" t="str">
        <f t="shared" si="510"/>
        <v>Base_Low</v>
      </c>
      <c r="E6804" s="138" t="str">
        <f t="shared" si="511"/>
        <v>High</v>
      </c>
      <c r="F6804" s="138" t="str">
        <f t="shared" si="505"/>
        <v>Upgraded</v>
      </c>
      <c r="G6804" s="153"/>
      <c r="H6804" s="210">
        <v>1.4E-2</v>
      </c>
      <c r="I6804" s="160" t="s">
        <v>57</v>
      </c>
      <c r="J6804" s="160">
        <v>6.9999999999999999E-4</v>
      </c>
      <c r="K6804" s="160" t="s">
        <v>24</v>
      </c>
      <c r="L6804" s="154" t="str">
        <f>IF(OpenLCAbasic!K6804="CTUh", "Fill in Manually",IF(OR(K6804="Unit", K6804=""), "", INDEX(LookUps!$E$5:$E$12, MATCH(OpenLCAbasic!K6804,LookUps!$D$5:$D$12,0))))</f>
        <v>Acidification Potential (AP) - kg SO2 eq</v>
      </c>
      <c r="M6804" s="154" t="str">
        <f t="shared" si="506"/>
        <v>High_Base_Low_Upgraded_Acidification Potential (AP) - kg SO2 eq_Gravity Belt Thickener; wastewater treatment unit; at updated plant - US_Without Amendment_Windrow</v>
      </c>
    </row>
    <row r="6805" spans="1:13" s="120" customFormat="1" x14ac:dyDescent="0.25">
      <c r="A6805" s="119"/>
      <c r="B6805" s="138" t="str">
        <f t="shared" si="504"/>
        <v>Windrow</v>
      </c>
      <c r="C6805" s="138" t="str">
        <f t="shared" si="507"/>
        <v>Without Amendment</v>
      </c>
      <c r="D6805" s="138" t="str">
        <f t="shared" si="510"/>
        <v>Base_Low</v>
      </c>
      <c r="E6805" s="138" t="str">
        <f t="shared" si="511"/>
        <v>High</v>
      </c>
      <c r="F6805" s="138" t="str">
        <f t="shared" si="505"/>
        <v>Upgraded</v>
      </c>
      <c r="G6805" s="153"/>
      <c r="H6805" s="210">
        <v>1.03E-2</v>
      </c>
      <c r="I6805" s="160" t="s">
        <v>59</v>
      </c>
      <c r="J6805" s="160">
        <v>5.1999999999999995E-4</v>
      </c>
      <c r="K6805" s="160" t="s">
        <v>24</v>
      </c>
      <c r="L6805" s="154" t="str">
        <f>IF(OpenLCAbasic!K6805="CTUh", "Fill in Manually",IF(OR(K6805="Unit", K6805=""), "", INDEX(LookUps!$E$5:$E$12, MATCH(OpenLCAbasic!K6805,LookUps!$D$5:$D$12,0))))</f>
        <v>Acidification Potential (AP) - kg SO2 eq</v>
      </c>
      <c r="M6805" s="154" t="str">
        <f t="shared" si="506"/>
        <v>High_Base_Low_Upgraded_Acidification Potential (AP) - kg SO2 eq_Blend Tank; wastewater treatment unit; at updated plant - US_Without Amendment_Windrow</v>
      </c>
    </row>
    <row r="6806" spans="1:13" s="120" customFormat="1" x14ac:dyDescent="0.25">
      <c r="A6806" s="119"/>
      <c r="B6806" s="138" t="str">
        <f t="shared" si="504"/>
        <v>Windrow</v>
      </c>
      <c r="C6806" s="138" t="str">
        <f t="shared" si="507"/>
        <v>Without Amendment</v>
      </c>
      <c r="D6806" s="138" t="str">
        <f t="shared" si="510"/>
        <v>Base_Low</v>
      </c>
      <c r="E6806" s="138" t="str">
        <f t="shared" si="511"/>
        <v>High</v>
      </c>
      <c r="F6806" s="138" t="str">
        <f t="shared" si="505"/>
        <v>Upgraded</v>
      </c>
      <c r="G6806" s="153"/>
      <c r="H6806" s="210">
        <v>6.8999999999999999E-3</v>
      </c>
      <c r="I6806" s="160" t="s">
        <v>48</v>
      </c>
      <c r="J6806" s="160">
        <v>3.5E-4</v>
      </c>
      <c r="K6806" s="160" t="s">
        <v>24</v>
      </c>
      <c r="L6806" s="154" t="str">
        <f>IF(OpenLCAbasic!K6806="CTUh", "Fill in Manually",IF(OR(K6806="Unit", K6806=""), "", INDEX(LookUps!$E$5:$E$12, MATCH(OpenLCAbasic!K6806,LookUps!$D$5:$D$12,0))))</f>
        <v>Acidification Potential (AP) - kg SO2 eq</v>
      </c>
      <c r="M6806" s="154" t="str">
        <f t="shared" si="506"/>
        <v>High_Base_Low_Upgraded_Acidification Potential (AP) - kg SO2 eq_Effluent release; wastewater treatment unit; at surface water; m3 wastewater - US_Without Amendment_Windrow</v>
      </c>
    </row>
    <row r="6807" spans="1:13" s="120" customFormat="1" x14ac:dyDescent="0.25">
      <c r="A6807" s="119"/>
      <c r="B6807" s="138" t="str">
        <f t="shared" si="504"/>
        <v>Windrow</v>
      </c>
      <c r="C6807" s="138" t="str">
        <f t="shared" si="507"/>
        <v>Without Amendment</v>
      </c>
      <c r="D6807" s="138" t="str">
        <f t="shared" si="510"/>
        <v>Base_Low</v>
      </c>
      <c r="E6807" s="138" t="str">
        <f t="shared" si="511"/>
        <v>High</v>
      </c>
      <c r="F6807" s="138" t="str">
        <f t="shared" si="505"/>
        <v>Upgraded</v>
      </c>
      <c r="G6807" s="153"/>
      <c r="H6807" s="210">
        <v>5.1000000000000004E-3</v>
      </c>
      <c r="I6807" s="160" t="s">
        <v>168</v>
      </c>
      <c r="J6807" s="160">
        <v>2.5999999999999998E-4</v>
      </c>
      <c r="K6807" s="160" t="s">
        <v>24</v>
      </c>
      <c r="L6807" s="154" t="str">
        <f>IF(OpenLCAbasic!K6807="CTUh", "Fill in Manually",IF(OR(K6807="Unit", K6807=""), "", INDEX(LookUps!$E$5:$E$12, MATCH(OpenLCAbasic!K6807,LookUps!$D$5:$D$12,0))))</f>
        <v>Acidification Potential (AP) - kg SO2 eq</v>
      </c>
      <c r="M6807" s="154" t="str">
        <f t="shared" si="506"/>
        <v>High_Base_Low_Upgraded_Acidification Potential (AP) - kg SO2 eq_ClearCove SCP; wastewater treatment unit; at updated plant - US_Without Amendment_Windrow</v>
      </c>
    </row>
    <row r="6808" spans="1:13" s="120" customFormat="1" x14ac:dyDescent="0.25">
      <c r="A6808" s="119"/>
      <c r="B6808" s="138" t="str">
        <f t="shared" si="504"/>
        <v>Windrow</v>
      </c>
      <c r="C6808" s="138" t="str">
        <f t="shared" si="507"/>
        <v>Without Amendment</v>
      </c>
      <c r="D6808" s="138" t="str">
        <f t="shared" si="510"/>
        <v>Base_Low</v>
      </c>
      <c r="E6808" s="138" t="str">
        <f t="shared" si="511"/>
        <v>High</v>
      </c>
      <c r="F6808" s="138" t="str">
        <f t="shared" si="505"/>
        <v>Upgraded</v>
      </c>
      <c r="G6808" s="153"/>
      <c r="H6808" s="210">
        <v>8.0000000000000004E-4</v>
      </c>
      <c r="I6808" s="160" t="s">
        <v>148</v>
      </c>
      <c r="J6808" s="211">
        <v>4.0354700000000002E-5</v>
      </c>
      <c r="K6808" s="160" t="s">
        <v>24</v>
      </c>
      <c r="L6808" s="154" t="str">
        <f>IF(OpenLCAbasic!K6808="CTUh", "Fill in Manually",IF(OR(K6808="Unit", K6808=""), "", INDEX(LookUps!$E$5:$E$12, MATCH(OpenLCAbasic!K6808,LookUps!$D$5:$D$12,0))))</f>
        <v>Acidification Potential (AP) - kg SO2 eq</v>
      </c>
      <c r="M6808" s="154" t="str">
        <f t="shared" si="506"/>
        <v>High_Base_Low_Upgraded_Acidification Potential (AP) - kg SO2 eq_Control Building; at upgraded wastewater treatment plant - US_Without Amendment_Windrow</v>
      </c>
    </row>
    <row r="6809" spans="1:13" s="120" customFormat="1" x14ac:dyDescent="0.25">
      <c r="A6809" s="119"/>
      <c r="B6809" s="138" t="str">
        <f t="shared" si="504"/>
        <v/>
      </c>
      <c r="C6809" s="138" t="str">
        <f t="shared" si="507"/>
        <v/>
      </c>
      <c r="D6809" s="138" t="str">
        <f t="shared" si="510"/>
        <v/>
      </c>
      <c r="E6809" s="138" t="str">
        <f t="shared" si="511"/>
        <v/>
      </c>
      <c r="F6809" s="138" t="str">
        <f t="shared" si="505"/>
        <v/>
      </c>
      <c r="G6809" s="153" t="s">
        <v>51</v>
      </c>
      <c r="H6809" s="160"/>
      <c r="I6809" s="160" t="s">
        <v>47</v>
      </c>
      <c r="J6809" s="160" t="s">
        <v>52</v>
      </c>
      <c r="K6809" s="160" t="s">
        <v>27</v>
      </c>
      <c r="L6809" s="154" t="str">
        <f>IF(OpenLCAbasic!K6809="CTUh", "Fill in Manually",IF(OR(K6809="Unit", K6809=""), "", INDEX(LookUps!$E$5:$E$12, MATCH(OpenLCAbasic!K6809,LookUps!$D$5:$D$12,0))))</f>
        <v/>
      </c>
      <c r="M6809" s="154" t="str">
        <f t="shared" si="506"/>
        <v>____Process__</v>
      </c>
    </row>
    <row r="6810" spans="1:13" s="120" customFormat="1" x14ac:dyDescent="0.25">
      <c r="A6810" s="119"/>
      <c r="B6810" s="138" t="str">
        <f t="shared" si="504"/>
        <v>Windrow</v>
      </c>
      <c r="C6810" s="138" t="str">
        <f t="shared" si="507"/>
        <v>Without Amendment</v>
      </c>
      <c r="D6810" s="138" t="str">
        <f t="shared" si="510"/>
        <v>Base_Low</v>
      </c>
      <c r="E6810" s="138" t="str">
        <f t="shared" si="511"/>
        <v>High</v>
      </c>
      <c r="F6810" s="138" t="str">
        <f t="shared" si="505"/>
        <v>Upgraded</v>
      </c>
      <c r="G6810" s="153"/>
      <c r="H6810" s="210">
        <v>0.2442</v>
      </c>
      <c r="I6810" s="160" t="s">
        <v>55</v>
      </c>
      <c r="J6810" s="160">
        <v>3.5330499999999998</v>
      </c>
      <c r="K6810" s="160" t="s">
        <v>15</v>
      </c>
      <c r="L6810" s="154" t="str">
        <f>IF(OpenLCAbasic!K6810="CTUh", "Fill in Manually",IF(OR(K6810="Unit", K6810=""), "", INDEX(LookUps!$E$5:$E$12, MATCH(OpenLCAbasic!K6810,LookUps!$D$5:$D$12,0))))</f>
        <v>Cumulative Energy Demand (CED) - MJ</v>
      </c>
      <c r="M6810" s="154" t="str">
        <f t="shared" si="506"/>
        <v>High_Base_Low_Upgraded_Cumulative Energy Demand (CED) - MJ_Aeration Tanks; wastewater treatment unit; at updated plant - US_Without Amendment_Windrow</v>
      </c>
    </row>
    <row r="6811" spans="1:13" s="120" customFormat="1" x14ac:dyDescent="0.25">
      <c r="A6811" s="119"/>
      <c r="B6811" s="138" t="str">
        <f t="shared" si="504"/>
        <v>Windrow</v>
      </c>
      <c r="C6811" s="138" t="str">
        <f t="shared" si="507"/>
        <v>Without Amendment</v>
      </c>
      <c r="D6811" s="138" t="str">
        <f t="shared" si="510"/>
        <v>Base_Low</v>
      </c>
      <c r="E6811" s="138" t="str">
        <f t="shared" si="511"/>
        <v>High</v>
      </c>
      <c r="F6811" s="138" t="str">
        <f t="shared" si="505"/>
        <v>Upgraded</v>
      </c>
      <c r="G6811" s="153"/>
      <c r="H6811" s="210">
        <v>0.24179999999999999</v>
      </c>
      <c r="I6811" s="160" t="s">
        <v>167</v>
      </c>
      <c r="J6811" s="160">
        <v>3.4982700000000002</v>
      </c>
      <c r="K6811" s="160" t="s">
        <v>15</v>
      </c>
      <c r="L6811" s="154" t="str">
        <f>IF(OpenLCAbasic!K6811="CTUh", "Fill in Manually",IF(OR(K6811="Unit", K6811=""), "", INDEX(LookUps!$E$5:$E$12, MATCH(OpenLCAbasic!K6811,LookUps!$D$5:$D$12,0))))</f>
        <v>Cumulative Energy Demand (CED) - MJ</v>
      </c>
      <c r="M6811" s="154" t="str">
        <f t="shared" si="506"/>
        <v>High_Base_Low_Upgraded_Cumulative Energy Demand (CED) - MJ_Waste Receiving and Holding; wastewater treatment unit; at updated plant - US_Without Amendment_Windrow</v>
      </c>
    </row>
    <row r="6812" spans="1:13" s="120" customFormat="1" x14ac:dyDescent="0.25">
      <c r="A6812" s="119"/>
      <c r="B6812" s="138" t="str">
        <f t="shared" si="504"/>
        <v>Windrow</v>
      </c>
      <c r="C6812" s="138" t="str">
        <f t="shared" si="507"/>
        <v>Without Amendment</v>
      </c>
      <c r="D6812" s="138" t="str">
        <f t="shared" si="510"/>
        <v>Base_Low</v>
      </c>
      <c r="E6812" s="138" t="str">
        <f t="shared" si="511"/>
        <v>High</v>
      </c>
      <c r="F6812" s="138" t="str">
        <f t="shared" si="505"/>
        <v>Upgraded</v>
      </c>
      <c r="G6812" s="153"/>
      <c r="H6812" s="210">
        <v>0.18890000000000001</v>
      </c>
      <c r="I6812" s="160" t="s">
        <v>149</v>
      </c>
      <c r="J6812" s="160">
        <v>2.7332200000000002</v>
      </c>
      <c r="K6812" s="160" t="s">
        <v>15</v>
      </c>
      <c r="L6812" s="154" t="str">
        <f>IF(OpenLCAbasic!K6812="CTUh", "Fill in Manually",IF(OR(K6812="Unit", K6812=""), "", INDEX(LookUps!$E$5:$E$12, MATCH(OpenLCAbasic!K6812,LookUps!$D$5:$D$12,0))))</f>
        <v>Cumulative Energy Demand (CED) - MJ</v>
      </c>
      <c r="M6812" s="154" t="str">
        <f t="shared" si="506"/>
        <v>High_Base_Low_Upgraded_Cumulative Energy Demand (CED) - MJ_Anaerobic Digestion; wastewater treatment unit; at updated plant - US_Without Amendment_Windrow</v>
      </c>
    </row>
    <row r="6813" spans="1:13" s="120" customFormat="1" x14ac:dyDescent="0.25">
      <c r="A6813" s="119"/>
      <c r="B6813" s="138" t="str">
        <f t="shared" si="504"/>
        <v>Windrow</v>
      </c>
      <c r="C6813" s="138" t="str">
        <f t="shared" si="507"/>
        <v>Without Amendment</v>
      </c>
      <c r="D6813" s="138" t="str">
        <f t="shared" si="510"/>
        <v>Base_Low</v>
      </c>
      <c r="E6813" s="138" t="str">
        <f t="shared" si="511"/>
        <v>High</v>
      </c>
      <c r="F6813" s="138" t="str">
        <f t="shared" si="505"/>
        <v>Upgraded</v>
      </c>
      <c r="G6813" s="153"/>
      <c r="H6813" s="210">
        <v>8.0399999999999999E-2</v>
      </c>
      <c r="I6813" s="160" t="s">
        <v>54</v>
      </c>
      <c r="J6813" s="160">
        <v>1.16289</v>
      </c>
      <c r="K6813" s="160" t="s">
        <v>15</v>
      </c>
      <c r="L6813" s="154" t="str">
        <f>IF(OpenLCAbasic!K6813="CTUh", "Fill in Manually",IF(OR(K6813="Unit", K6813=""), "", INDEX(LookUps!$E$5:$E$12, MATCH(OpenLCAbasic!K6813,LookUps!$D$5:$D$12,0))))</f>
        <v>Cumulative Energy Demand (CED) - MJ</v>
      </c>
      <c r="M6813" s="154" t="str">
        <f t="shared" si="506"/>
        <v>High_Base_Low_Upgraded_Cumulative Energy Demand (CED) - MJ_Clear Cove Primary Clarification; wastewater treatment unit; at updated plant - US_Without Amendment_Windrow</v>
      </c>
    </row>
    <row r="6814" spans="1:13" s="120" customFormat="1" x14ac:dyDescent="0.25">
      <c r="A6814" s="119"/>
      <c r="B6814" s="138" t="str">
        <f t="shared" si="504"/>
        <v>Windrow</v>
      </c>
      <c r="C6814" s="138" t="str">
        <f t="shared" si="507"/>
        <v>Without Amendment</v>
      </c>
      <c r="D6814" s="138" t="str">
        <f t="shared" si="510"/>
        <v>Base_Low</v>
      </c>
      <c r="E6814" s="138" t="str">
        <f t="shared" si="511"/>
        <v>High</v>
      </c>
      <c r="F6814" s="138" t="str">
        <f t="shared" si="505"/>
        <v>Upgraded</v>
      </c>
      <c r="G6814" s="153"/>
      <c r="H6814" s="210">
        <v>6.1100000000000002E-2</v>
      </c>
      <c r="I6814" s="160" t="s">
        <v>58</v>
      </c>
      <c r="J6814" s="160">
        <v>0.88417000000000001</v>
      </c>
      <c r="K6814" s="160" t="s">
        <v>15</v>
      </c>
      <c r="L6814" s="154" t="str">
        <f>IF(OpenLCAbasic!K6814="CTUh", "Fill in Manually",IF(OR(K6814="Unit", K6814=""), "", INDEX(LookUps!$E$5:$E$12, MATCH(OpenLCAbasic!K6814,LookUps!$D$5:$D$12,0))))</f>
        <v>Cumulative Energy Demand (CED) - MJ</v>
      </c>
      <c r="M6814" s="154" t="str">
        <f t="shared" si="506"/>
        <v>High_Base_Low_Upgraded_Cumulative Energy Demand (CED) - MJ_Pre-Anoxic &amp; Swing tank; wastewater treatment unit; at updated plant - US_Without Amendment_Windrow</v>
      </c>
    </row>
    <row r="6815" spans="1:13" s="120" customFormat="1" x14ac:dyDescent="0.25">
      <c r="A6815" s="119"/>
      <c r="B6815" s="138" t="str">
        <f t="shared" si="504"/>
        <v>Windrow</v>
      </c>
      <c r="C6815" s="138" t="str">
        <f t="shared" si="507"/>
        <v>Without Amendment</v>
      </c>
      <c r="D6815" s="138" t="str">
        <f t="shared" si="510"/>
        <v>Base_Low</v>
      </c>
      <c r="E6815" s="138" t="str">
        <f t="shared" si="511"/>
        <v>High</v>
      </c>
      <c r="F6815" s="138" t="str">
        <f t="shared" si="505"/>
        <v>Upgraded</v>
      </c>
      <c r="G6815" s="153"/>
      <c r="H6815" s="210">
        <v>6.0999999999999999E-2</v>
      </c>
      <c r="I6815" s="160" t="s">
        <v>147</v>
      </c>
      <c r="J6815" s="160">
        <v>0.88297000000000003</v>
      </c>
      <c r="K6815" s="160" t="s">
        <v>15</v>
      </c>
      <c r="L6815" s="154" t="str">
        <f>IF(OpenLCAbasic!K6815="CTUh", "Fill in Manually",IF(OR(K6815="Unit", K6815=""), "", INDEX(LookUps!$E$5:$E$12, MATCH(OpenLCAbasic!K6815,LookUps!$D$5:$D$12,0))))</f>
        <v>Cumulative Energy Demand (CED) - MJ</v>
      </c>
      <c r="M6815" s="154" t="str">
        <f t="shared" si="506"/>
        <v>High_Base_Low_Upgraded_Cumulative Energy Demand (CED) - MJ_Influent Pump Station; wastewater treatment unit; at updated plant - US_Without Amendment_Windrow</v>
      </c>
    </row>
    <row r="6816" spans="1:13" s="120" customFormat="1" x14ac:dyDescent="0.25">
      <c r="A6816" s="119"/>
      <c r="B6816" s="138" t="str">
        <f t="shared" si="504"/>
        <v>Windrow</v>
      </c>
      <c r="C6816" s="138" t="str">
        <f t="shared" si="507"/>
        <v>Without Amendment</v>
      </c>
      <c r="D6816" s="138" t="str">
        <f t="shared" si="510"/>
        <v>Base_Low</v>
      </c>
      <c r="E6816" s="138" t="str">
        <f t="shared" si="511"/>
        <v>High</v>
      </c>
      <c r="F6816" s="138" t="str">
        <f t="shared" si="505"/>
        <v>Upgraded</v>
      </c>
      <c r="G6816" s="153"/>
      <c r="H6816" s="210">
        <v>4.8099999999999997E-2</v>
      </c>
      <c r="I6816" s="160" t="s">
        <v>53</v>
      </c>
      <c r="J6816" s="160">
        <v>0.69645000000000001</v>
      </c>
      <c r="K6816" s="160" t="s">
        <v>15</v>
      </c>
      <c r="L6816" s="154" t="str">
        <f>IF(OpenLCAbasic!K6816="CTUh", "Fill in Manually",IF(OR(K6816="Unit", K6816=""), "", INDEX(LookUps!$E$5:$E$12, MATCH(OpenLCAbasic!K6816,LookUps!$D$5:$D$12,0))))</f>
        <v>Cumulative Energy Demand (CED) - MJ</v>
      </c>
      <c r="M6816" s="154" t="str">
        <f t="shared" si="506"/>
        <v>High_Base_Low_Upgraded_Cumulative Energy Demand (CED) - MJ_Wet Well and Sump Station; wastewater treatment unit; at updated plant - US_Without Amendment_Windrow</v>
      </c>
    </row>
    <row r="6817" spans="1:13" s="120" customFormat="1" x14ac:dyDescent="0.25">
      <c r="A6817" s="119"/>
      <c r="B6817" s="138" t="str">
        <f t="shared" si="504"/>
        <v>Windrow</v>
      </c>
      <c r="C6817" s="138" t="str">
        <f t="shared" si="507"/>
        <v>Without Amendment</v>
      </c>
      <c r="D6817" s="138" t="str">
        <f t="shared" si="510"/>
        <v>Base_Low</v>
      </c>
      <c r="E6817" s="138" t="str">
        <f t="shared" si="511"/>
        <v>High</v>
      </c>
      <c r="F6817" s="138" t="str">
        <f t="shared" si="505"/>
        <v>Upgraded</v>
      </c>
      <c r="G6817" s="153"/>
      <c r="H6817" s="210">
        <v>2.3099999999999999E-2</v>
      </c>
      <c r="I6817" s="160" t="s">
        <v>57</v>
      </c>
      <c r="J6817" s="160">
        <v>0.33404</v>
      </c>
      <c r="K6817" s="160" t="s">
        <v>15</v>
      </c>
      <c r="L6817" s="154" t="str">
        <f>IF(OpenLCAbasic!K6817="CTUh", "Fill in Manually",IF(OR(K6817="Unit", K6817=""), "", INDEX(LookUps!$E$5:$E$12, MATCH(OpenLCAbasic!K6817,LookUps!$D$5:$D$12,0))))</f>
        <v>Cumulative Energy Demand (CED) - MJ</v>
      </c>
      <c r="M6817" s="154" t="str">
        <f t="shared" si="506"/>
        <v>High_Base_Low_Upgraded_Cumulative Energy Demand (CED) - MJ_Gravity Belt Thickener; wastewater treatment unit; at updated plant - US_Without Amendment_Windrow</v>
      </c>
    </row>
    <row r="6818" spans="1:13" s="120" customFormat="1" x14ac:dyDescent="0.25">
      <c r="A6818" s="119"/>
      <c r="B6818" s="138" t="str">
        <f t="shared" si="504"/>
        <v>Windrow</v>
      </c>
      <c r="C6818" s="138" t="str">
        <f t="shared" si="507"/>
        <v>Without Amendment</v>
      </c>
      <c r="D6818" s="138" t="str">
        <f t="shared" si="510"/>
        <v>Base_Low</v>
      </c>
      <c r="E6818" s="138" t="str">
        <f t="shared" si="511"/>
        <v>High</v>
      </c>
      <c r="F6818" s="138" t="str">
        <f t="shared" si="505"/>
        <v>Upgraded</v>
      </c>
      <c r="G6818" s="153"/>
      <c r="H6818" s="210">
        <v>2.2100000000000002E-2</v>
      </c>
      <c r="I6818" s="160" t="s">
        <v>60</v>
      </c>
      <c r="J6818" s="160">
        <v>0.32008999999999999</v>
      </c>
      <c r="K6818" s="160" t="s">
        <v>15</v>
      </c>
      <c r="L6818" s="154" t="str">
        <f>IF(OpenLCAbasic!K6818="CTUh", "Fill in Manually",IF(OR(K6818="Unit", K6818=""), "", INDEX(LookUps!$E$5:$E$12, MATCH(OpenLCAbasic!K6818,LookUps!$D$5:$D$12,0))))</f>
        <v>Cumulative Energy Demand (CED) - MJ</v>
      </c>
      <c r="M6818" s="154" t="str">
        <f t="shared" si="506"/>
        <v>High_Base_Low_Upgraded_Cumulative Energy Demand (CED) - MJ_Belt filter press; wastewater treatment unit; at updated plant - US_Without Amendment_Windrow</v>
      </c>
    </row>
    <row r="6819" spans="1:13" s="120" customFormat="1" x14ac:dyDescent="0.25">
      <c r="A6819" s="119"/>
      <c r="B6819" s="138" t="str">
        <f t="shared" si="504"/>
        <v>Windrow</v>
      </c>
      <c r="C6819" s="138" t="str">
        <f t="shared" si="507"/>
        <v>Without Amendment</v>
      </c>
      <c r="D6819" s="138" t="str">
        <f t="shared" si="510"/>
        <v>Base_Low</v>
      </c>
      <c r="E6819" s="138" t="str">
        <f t="shared" si="511"/>
        <v>High</v>
      </c>
      <c r="F6819" s="138" t="str">
        <f t="shared" si="505"/>
        <v>Upgraded</v>
      </c>
      <c r="G6819" s="153"/>
      <c r="H6819" s="210">
        <v>1.77E-2</v>
      </c>
      <c r="I6819" s="160" t="s">
        <v>128</v>
      </c>
      <c r="J6819" s="160">
        <v>0.25606000000000001</v>
      </c>
      <c r="K6819" s="160" t="s">
        <v>15</v>
      </c>
      <c r="L6819" s="154" t="str">
        <f>IF(OpenLCAbasic!K6819="CTUh", "Fill in Manually",IF(OR(K6819="Unit", K6819=""), "", INDEX(LookUps!$E$5:$E$12, MATCH(OpenLCAbasic!K6819,LookUps!$D$5:$D$12,0))))</f>
        <v>Cumulative Energy Demand (CED) - MJ</v>
      </c>
      <c r="M6819" s="154" t="str">
        <f t="shared" si="506"/>
        <v>High_Base_Low_Upgraded_Cumulative Energy Demand (CED) - MJ_Wastewater collection; operation and infrastructure; m3 wastewater_Without Amendment_Windrow</v>
      </c>
    </row>
    <row r="6820" spans="1:13" s="120" customFormat="1" x14ac:dyDescent="0.25">
      <c r="A6820" s="119"/>
      <c r="B6820" s="138" t="str">
        <f t="shared" si="504"/>
        <v>Windrow</v>
      </c>
      <c r="C6820" s="138" t="str">
        <f t="shared" si="507"/>
        <v>Without Amendment</v>
      </c>
      <c r="D6820" s="138" t="str">
        <f t="shared" si="510"/>
        <v>Base_Low</v>
      </c>
      <c r="E6820" s="138" t="str">
        <f t="shared" si="511"/>
        <v>High</v>
      </c>
      <c r="F6820" s="138" t="str">
        <f t="shared" si="505"/>
        <v>Upgraded</v>
      </c>
      <c r="G6820" s="153"/>
      <c r="H6820" s="210">
        <v>1.01E-2</v>
      </c>
      <c r="I6820" s="160" t="s">
        <v>148</v>
      </c>
      <c r="J6820" s="160">
        <v>0.14599000000000001</v>
      </c>
      <c r="K6820" s="160" t="s">
        <v>15</v>
      </c>
      <c r="L6820" s="154" t="str">
        <f>IF(OpenLCAbasic!K6820="CTUh", "Fill in Manually",IF(OR(K6820="Unit", K6820=""), "", INDEX(LookUps!$E$5:$E$12, MATCH(OpenLCAbasic!K6820,LookUps!$D$5:$D$12,0))))</f>
        <v>Cumulative Energy Demand (CED) - MJ</v>
      </c>
      <c r="M6820" s="154" t="str">
        <f t="shared" si="506"/>
        <v>High_Base_Low_Upgraded_Cumulative Energy Demand (CED) - MJ_Control Building; at upgraded wastewater treatment plant - US_Without Amendment_Windrow</v>
      </c>
    </row>
    <row r="6821" spans="1:13" s="120" customFormat="1" x14ac:dyDescent="0.25">
      <c r="A6821" s="119"/>
      <c r="B6821" s="138" t="str">
        <f t="shared" si="504"/>
        <v>Windrow</v>
      </c>
      <c r="C6821" s="138" t="str">
        <f t="shared" si="507"/>
        <v>Without Amendment</v>
      </c>
      <c r="D6821" s="138" t="str">
        <f t="shared" si="510"/>
        <v>Base_Low</v>
      </c>
      <c r="E6821" s="138" t="str">
        <f t="shared" si="511"/>
        <v>High</v>
      </c>
      <c r="F6821" s="138" t="str">
        <f t="shared" si="505"/>
        <v>Upgraded</v>
      </c>
      <c r="G6821" s="153"/>
      <c r="H6821" s="210">
        <v>9.1999999999999998E-3</v>
      </c>
      <c r="I6821" s="160" t="s">
        <v>48</v>
      </c>
      <c r="J6821" s="160">
        <v>0.13321</v>
      </c>
      <c r="K6821" s="160" t="s">
        <v>15</v>
      </c>
      <c r="L6821" s="154" t="str">
        <f>IF(OpenLCAbasic!K6821="CTUh", "Fill in Manually",IF(OR(K6821="Unit", K6821=""), "", INDEX(LookUps!$E$5:$E$12, MATCH(OpenLCAbasic!K6821,LookUps!$D$5:$D$12,0))))</f>
        <v>Cumulative Energy Demand (CED) - MJ</v>
      </c>
      <c r="M6821" s="154" t="str">
        <f t="shared" si="506"/>
        <v>High_Base_Low_Upgraded_Cumulative Energy Demand (CED) - MJ_Effluent release; wastewater treatment unit; at surface water; m3 wastewater - US_Without Amendment_Windrow</v>
      </c>
    </row>
    <row r="6822" spans="1:13" s="120" customFormat="1" x14ac:dyDescent="0.25">
      <c r="A6822" s="119"/>
      <c r="B6822" s="138" t="str">
        <f t="shared" si="504"/>
        <v>Windrow</v>
      </c>
      <c r="C6822" s="138" t="str">
        <f t="shared" si="507"/>
        <v>Without Amendment</v>
      </c>
      <c r="D6822" s="138" t="str">
        <f t="shared" si="510"/>
        <v>Base_Low</v>
      </c>
      <c r="E6822" s="138" t="str">
        <f t="shared" si="511"/>
        <v>High</v>
      </c>
      <c r="F6822" s="138" t="str">
        <f t="shared" si="505"/>
        <v>Upgraded</v>
      </c>
      <c r="G6822" s="153"/>
      <c r="H6822" s="210">
        <v>7.4000000000000003E-3</v>
      </c>
      <c r="I6822" s="160" t="s">
        <v>59</v>
      </c>
      <c r="J6822" s="160">
        <v>0.10638</v>
      </c>
      <c r="K6822" s="160" t="s">
        <v>15</v>
      </c>
      <c r="L6822" s="154" t="str">
        <f>IF(OpenLCAbasic!K6822="CTUh", "Fill in Manually",IF(OR(K6822="Unit", K6822=""), "", INDEX(LookUps!$E$5:$E$12, MATCH(OpenLCAbasic!K6822,LookUps!$D$5:$D$12,0))))</f>
        <v>Cumulative Energy Demand (CED) - MJ</v>
      </c>
      <c r="M6822" s="154" t="str">
        <f t="shared" si="506"/>
        <v>High_Base_Low_Upgraded_Cumulative Energy Demand (CED) - MJ_Blend Tank; wastewater treatment unit; at updated plant - US_Without Amendment_Windrow</v>
      </c>
    </row>
    <row r="6823" spans="1:13" s="120" customFormat="1" x14ac:dyDescent="0.25">
      <c r="A6823" s="119"/>
      <c r="B6823" s="138" t="str">
        <f t="shared" si="504"/>
        <v>Windrow</v>
      </c>
      <c r="C6823" s="138" t="str">
        <f t="shared" si="507"/>
        <v>Without Amendment</v>
      </c>
      <c r="D6823" s="138" t="str">
        <f t="shared" si="510"/>
        <v>Base_Low</v>
      </c>
      <c r="E6823" s="138" t="str">
        <f t="shared" si="511"/>
        <v>High</v>
      </c>
      <c r="F6823" s="138" t="str">
        <f t="shared" si="505"/>
        <v>Upgraded</v>
      </c>
      <c r="G6823" s="153"/>
      <c r="H6823" s="210">
        <v>3.5000000000000001E-3</v>
      </c>
      <c r="I6823" s="160" t="s">
        <v>168</v>
      </c>
      <c r="J6823" s="160">
        <v>5.0930000000000003E-2</v>
      </c>
      <c r="K6823" s="160" t="s">
        <v>15</v>
      </c>
      <c r="L6823" s="154" t="str">
        <f>IF(OpenLCAbasic!K6823="CTUh", "Fill in Manually",IF(OR(K6823="Unit", K6823=""), "", INDEX(LookUps!$E$5:$E$12, MATCH(OpenLCAbasic!K6823,LookUps!$D$5:$D$12,0))))</f>
        <v>Cumulative Energy Demand (CED) - MJ</v>
      </c>
      <c r="M6823" s="154" t="str">
        <f t="shared" si="506"/>
        <v>High_Base_Low_Upgraded_Cumulative Energy Demand (CED) - MJ_ClearCove SCP; wastewater treatment unit; at updated plant - US_Without Amendment_Windrow</v>
      </c>
    </row>
    <row r="6824" spans="1:13" s="120" customFormat="1" x14ac:dyDescent="0.25">
      <c r="A6824" s="119"/>
      <c r="B6824" s="138" t="str">
        <f t="shared" ref="B6824:B6887" si="512">IF(F6824="Legacy","n.a.",IF(F6824="","","Windrow"))</f>
        <v>Windrow</v>
      </c>
      <c r="C6824" s="138" t="str">
        <f t="shared" si="507"/>
        <v>Without Amendment</v>
      </c>
      <c r="D6824" s="138" t="str">
        <f t="shared" si="510"/>
        <v>Base_Low</v>
      </c>
      <c r="E6824" s="138" t="str">
        <f t="shared" si="511"/>
        <v>High</v>
      </c>
      <c r="F6824" s="138" t="str">
        <f t="shared" ref="F6824:F6887" si="513">IF(ISNUMBER(J6824),"Upgraded","")</f>
        <v>Upgraded</v>
      </c>
      <c r="G6824" s="153"/>
      <c r="H6824" s="210">
        <v>1.4E-3</v>
      </c>
      <c r="I6824" s="160" t="s">
        <v>271</v>
      </c>
      <c r="J6824" s="160">
        <v>2.094E-2</v>
      </c>
      <c r="K6824" s="160" t="s">
        <v>15</v>
      </c>
      <c r="L6824" s="154" t="str">
        <f>IF(OpenLCAbasic!K6824="CTUh", "Fill in Manually",IF(OR(K6824="Unit", K6824=""), "", INDEX(LookUps!$E$5:$E$12, MATCH(OpenLCAbasic!K6824,LookUps!$D$5:$D$12,0))))</f>
        <v>Cumulative Energy Demand (CED) - MJ</v>
      </c>
      <c r="M6824" s="154" t="str">
        <f t="shared" si="506"/>
        <v>High_Base_Low_Upgraded_Cumulative Energy Demand (CED) - MJ_Biosolids composting; windrow composting; wastewater treatment unit; at updated plant - US_Without Amendment_Windrow</v>
      </c>
    </row>
    <row r="6825" spans="1:13" s="120" customFormat="1" x14ac:dyDescent="0.25">
      <c r="A6825" s="119"/>
      <c r="B6825" s="138" t="str">
        <f t="shared" si="512"/>
        <v>Windrow</v>
      </c>
      <c r="C6825" s="138" t="str">
        <f t="shared" si="507"/>
        <v>Without Amendment</v>
      </c>
      <c r="D6825" s="138" t="str">
        <f t="shared" si="510"/>
        <v>Base_Low</v>
      </c>
      <c r="E6825" s="138" t="str">
        <f t="shared" si="511"/>
        <v>High</v>
      </c>
      <c r="F6825" s="138" t="str">
        <f t="shared" si="513"/>
        <v>Upgraded</v>
      </c>
      <c r="G6825" s="153"/>
      <c r="H6825" s="210">
        <v>-2.0199999999999999E-2</v>
      </c>
      <c r="I6825" s="160" t="s">
        <v>62</v>
      </c>
      <c r="J6825" s="160">
        <v>-0.29252</v>
      </c>
      <c r="K6825" s="160" t="s">
        <v>15</v>
      </c>
      <c r="L6825" s="154" t="str">
        <f>IF(OpenLCAbasic!K6825="CTUh", "Fill in Manually",IF(OR(K6825="Unit", K6825=""), "", INDEX(LookUps!$E$5:$E$12, MATCH(OpenLCAbasic!K6825,LookUps!$D$5:$D$12,0))))</f>
        <v>Cumulative Energy Demand (CED) - MJ</v>
      </c>
      <c r="M6825" s="154" t="str">
        <f t="shared" si="506"/>
        <v>High_Base_Low_Upgraded_Cumulative Energy Demand (CED) - MJ_Land application of compost; wastewater treatment unit; at updated plant - US_Without Amendment_Windrow</v>
      </c>
    </row>
    <row r="6826" spans="1:13" s="120" customFormat="1" x14ac:dyDescent="0.25">
      <c r="A6826" s="119"/>
      <c r="B6826" s="138" t="str">
        <f t="shared" si="512"/>
        <v/>
      </c>
      <c r="C6826" s="138" t="str">
        <f t="shared" si="507"/>
        <v/>
      </c>
      <c r="D6826" s="138" t="str">
        <f t="shared" si="510"/>
        <v/>
      </c>
      <c r="E6826" s="138" t="str">
        <f t="shared" si="511"/>
        <v/>
      </c>
      <c r="F6826" s="138" t="str">
        <f t="shared" si="513"/>
        <v/>
      </c>
      <c r="G6826" s="153" t="s">
        <v>51</v>
      </c>
      <c r="H6826" s="160"/>
      <c r="I6826" s="160" t="s">
        <v>47</v>
      </c>
      <c r="J6826" s="160" t="s">
        <v>52</v>
      </c>
      <c r="K6826" s="160" t="s">
        <v>27</v>
      </c>
      <c r="L6826" s="154" t="str">
        <f>IF(OpenLCAbasic!K6826="CTUh", "Fill in Manually",IF(OR(K6826="Unit", K6826=""), "", INDEX(LookUps!$E$5:$E$12, MATCH(OpenLCAbasic!K6826,LookUps!$D$5:$D$12,0))))</f>
        <v/>
      </c>
      <c r="M6826" s="154" t="str">
        <f t="shared" si="506"/>
        <v>____Process__</v>
      </c>
    </row>
    <row r="6827" spans="1:13" s="120" customFormat="1" x14ac:dyDescent="0.25">
      <c r="A6827" s="119"/>
      <c r="B6827" s="138" t="str">
        <f t="shared" si="512"/>
        <v>Windrow</v>
      </c>
      <c r="C6827" s="138" t="str">
        <f t="shared" si="507"/>
        <v>Without Amendment</v>
      </c>
      <c r="D6827" s="138" t="str">
        <f t="shared" si="510"/>
        <v>Base_Low</v>
      </c>
      <c r="E6827" s="138" t="str">
        <f t="shared" si="511"/>
        <v>High</v>
      </c>
      <c r="F6827" s="138" t="str">
        <f t="shared" si="513"/>
        <v>Upgraded</v>
      </c>
      <c r="G6827" s="153"/>
      <c r="H6827" s="210">
        <v>0.76529999999999998</v>
      </c>
      <c r="I6827" s="160" t="s">
        <v>48</v>
      </c>
      <c r="J6827" s="160">
        <v>1.1610000000000001E-2</v>
      </c>
      <c r="K6827" s="160" t="s">
        <v>13</v>
      </c>
      <c r="L6827" s="154" t="str">
        <f>IF(OpenLCAbasic!K6827="CTUh", "Fill in Manually",IF(OR(K6827="Unit", K6827=""), "", INDEX(LookUps!$E$5:$E$12, MATCH(OpenLCAbasic!K6827,LookUps!$D$5:$D$12,0))))</f>
        <v>Eutrophication Potential (EP) - kg N eq</v>
      </c>
      <c r="M6827" s="154" t="str">
        <f t="shared" si="506"/>
        <v>High_Base_Low_Upgraded_Eutrophication Potential (EP) - kg N eq_Effluent release; wastewater treatment unit; at surface water; m3 wastewater - US_Without Amendment_Windrow</v>
      </c>
    </row>
    <row r="6828" spans="1:13" s="120" customFormat="1" x14ac:dyDescent="0.25">
      <c r="A6828" s="119"/>
      <c r="B6828" s="138" t="str">
        <f t="shared" si="512"/>
        <v>Windrow</v>
      </c>
      <c r="C6828" s="138" t="str">
        <f t="shared" si="507"/>
        <v>Without Amendment</v>
      </c>
      <c r="D6828" s="138" t="str">
        <f t="shared" si="510"/>
        <v>Base_Low</v>
      </c>
      <c r="E6828" s="138" t="str">
        <f t="shared" si="511"/>
        <v>High</v>
      </c>
      <c r="F6828" s="138" t="str">
        <f t="shared" si="513"/>
        <v>Upgraded</v>
      </c>
      <c r="G6828" s="153"/>
      <c r="H6828" s="210">
        <v>9.0700000000000003E-2</v>
      </c>
      <c r="I6828" s="160" t="s">
        <v>62</v>
      </c>
      <c r="J6828" s="160">
        <v>1.3799999999999999E-3</v>
      </c>
      <c r="K6828" s="160" t="s">
        <v>13</v>
      </c>
      <c r="L6828" s="154" t="str">
        <f>IF(OpenLCAbasic!K6828="CTUh", "Fill in Manually",IF(OR(K6828="Unit", K6828=""), "", INDEX(LookUps!$E$5:$E$12, MATCH(OpenLCAbasic!K6828,LookUps!$D$5:$D$12,0))))</f>
        <v>Eutrophication Potential (EP) - kg N eq</v>
      </c>
      <c r="M6828" s="154" t="str">
        <f t="shared" si="506"/>
        <v>High_Base_Low_Upgraded_Eutrophication Potential (EP) - kg N eq_Land application of compost; wastewater treatment unit; at updated plant - US_Without Amendment_Windrow</v>
      </c>
    </row>
    <row r="6829" spans="1:13" s="120" customFormat="1" x14ac:dyDescent="0.25">
      <c r="A6829" s="119"/>
      <c r="B6829" s="138" t="str">
        <f t="shared" si="512"/>
        <v>Windrow</v>
      </c>
      <c r="C6829" s="138" t="str">
        <f t="shared" si="507"/>
        <v>Without Amendment</v>
      </c>
      <c r="D6829" s="138" t="str">
        <f t="shared" si="510"/>
        <v>Base_Low</v>
      </c>
      <c r="E6829" s="138" t="str">
        <f t="shared" si="511"/>
        <v>High</v>
      </c>
      <c r="F6829" s="138" t="str">
        <f t="shared" si="513"/>
        <v>Upgraded</v>
      </c>
      <c r="G6829" s="153"/>
      <c r="H6829" s="210">
        <v>3.5999999999999997E-2</v>
      </c>
      <c r="I6829" s="160" t="s">
        <v>55</v>
      </c>
      <c r="J6829" s="160">
        <v>5.5000000000000003E-4</v>
      </c>
      <c r="K6829" s="160" t="s">
        <v>13</v>
      </c>
      <c r="L6829" s="154" t="str">
        <f>IF(OpenLCAbasic!K6829="CTUh", "Fill in Manually",IF(OR(K6829="Unit", K6829=""), "", INDEX(LookUps!$E$5:$E$12, MATCH(OpenLCAbasic!K6829,LookUps!$D$5:$D$12,0))))</f>
        <v>Eutrophication Potential (EP) - kg N eq</v>
      </c>
      <c r="M6829" s="154" t="str">
        <f t="shared" si="506"/>
        <v>High_Base_Low_Upgraded_Eutrophication Potential (EP) - kg N eq_Aeration Tanks; wastewater treatment unit; at updated plant - US_Without Amendment_Windrow</v>
      </c>
    </row>
    <row r="6830" spans="1:13" s="120" customFormat="1" x14ac:dyDescent="0.25">
      <c r="A6830" s="119"/>
      <c r="B6830" s="138" t="str">
        <f t="shared" si="512"/>
        <v>Windrow</v>
      </c>
      <c r="C6830" s="138" t="str">
        <f t="shared" si="507"/>
        <v>Without Amendment</v>
      </c>
      <c r="D6830" s="138" t="str">
        <f t="shared" si="510"/>
        <v>Base_Low</v>
      </c>
      <c r="E6830" s="138" t="str">
        <f t="shared" si="511"/>
        <v>High</v>
      </c>
      <c r="F6830" s="138" t="str">
        <f t="shared" si="513"/>
        <v>Upgraded</v>
      </c>
      <c r="G6830" s="153"/>
      <c r="H6830" s="210">
        <v>3.1399999999999997E-2</v>
      </c>
      <c r="I6830" s="160" t="s">
        <v>271</v>
      </c>
      <c r="J6830" s="160">
        <v>4.8000000000000001E-4</v>
      </c>
      <c r="K6830" s="160" t="s">
        <v>13</v>
      </c>
      <c r="L6830" s="154" t="str">
        <f>IF(OpenLCAbasic!K6830="CTUh", "Fill in Manually",IF(OR(K6830="Unit", K6830=""), "", INDEX(LookUps!$E$5:$E$12, MATCH(OpenLCAbasic!K6830,LookUps!$D$5:$D$12,0))))</f>
        <v>Eutrophication Potential (EP) - kg N eq</v>
      </c>
      <c r="M6830" s="154" t="str">
        <f t="shared" si="506"/>
        <v>High_Base_Low_Upgraded_Eutrophication Potential (EP) - kg N eq_Biosolids composting; windrow composting; wastewater treatment unit; at updated plant - US_Without Amendment_Windrow</v>
      </c>
    </row>
    <row r="6831" spans="1:13" s="120" customFormat="1" x14ac:dyDescent="0.25">
      <c r="A6831" s="119"/>
      <c r="B6831" s="138" t="str">
        <f t="shared" si="512"/>
        <v>Windrow</v>
      </c>
      <c r="C6831" s="138" t="str">
        <f t="shared" si="507"/>
        <v>Without Amendment</v>
      </c>
      <c r="D6831" s="138" t="str">
        <f t="shared" si="510"/>
        <v>Base_Low</v>
      </c>
      <c r="E6831" s="138" t="str">
        <f t="shared" si="511"/>
        <v>High</v>
      </c>
      <c r="F6831" s="138" t="str">
        <f t="shared" si="513"/>
        <v>Upgraded</v>
      </c>
      <c r="G6831" s="153"/>
      <c r="H6831" s="210">
        <v>1.6500000000000001E-2</v>
      </c>
      <c r="I6831" s="160" t="s">
        <v>147</v>
      </c>
      <c r="J6831" s="160">
        <v>2.5000000000000001E-4</v>
      </c>
      <c r="K6831" s="160" t="s">
        <v>13</v>
      </c>
      <c r="L6831" s="154" t="str">
        <f>IF(OpenLCAbasic!K6831="CTUh", "Fill in Manually",IF(OR(K6831="Unit", K6831=""), "", INDEX(LookUps!$E$5:$E$12, MATCH(OpenLCAbasic!K6831,LookUps!$D$5:$D$12,0))))</f>
        <v>Eutrophication Potential (EP) - kg N eq</v>
      </c>
      <c r="M6831" s="154" t="str">
        <f t="shared" si="506"/>
        <v>High_Base_Low_Upgraded_Eutrophication Potential (EP) - kg N eq_Influent Pump Station; wastewater treatment unit; at updated plant - US_Without Amendment_Windrow</v>
      </c>
    </row>
    <row r="6832" spans="1:13" s="120" customFormat="1" x14ac:dyDescent="0.25">
      <c r="A6832" s="119"/>
      <c r="B6832" s="138" t="str">
        <f t="shared" si="512"/>
        <v>Windrow</v>
      </c>
      <c r="C6832" s="138" t="str">
        <f t="shared" si="507"/>
        <v>Without Amendment</v>
      </c>
      <c r="D6832" s="138" t="str">
        <f t="shared" si="510"/>
        <v>Base_Low</v>
      </c>
      <c r="E6832" s="138" t="str">
        <f t="shared" si="511"/>
        <v>High</v>
      </c>
      <c r="F6832" s="138" t="str">
        <f t="shared" si="513"/>
        <v>Upgraded</v>
      </c>
      <c r="G6832" s="153"/>
      <c r="H6832" s="210">
        <v>1.3100000000000001E-2</v>
      </c>
      <c r="I6832" s="160" t="s">
        <v>54</v>
      </c>
      <c r="J6832" s="160">
        <v>2.0000000000000001E-4</v>
      </c>
      <c r="K6832" s="160" t="s">
        <v>13</v>
      </c>
      <c r="L6832" s="154" t="str">
        <f>IF(OpenLCAbasic!K6832="CTUh", "Fill in Manually",IF(OR(K6832="Unit", K6832=""), "", INDEX(LookUps!$E$5:$E$12, MATCH(OpenLCAbasic!K6832,LookUps!$D$5:$D$12,0))))</f>
        <v>Eutrophication Potential (EP) - kg N eq</v>
      </c>
      <c r="M6832" s="154" t="str">
        <f t="shared" si="506"/>
        <v>High_Base_Low_Upgraded_Eutrophication Potential (EP) - kg N eq_Clear Cove Primary Clarification; wastewater treatment unit; at updated plant - US_Without Amendment_Windrow</v>
      </c>
    </row>
    <row r="6833" spans="1:13" s="120" customFormat="1" x14ac:dyDescent="0.25">
      <c r="A6833" s="119"/>
      <c r="B6833" s="138" t="str">
        <f t="shared" si="512"/>
        <v>Windrow</v>
      </c>
      <c r="C6833" s="138" t="str">
        <f t="shared" si="507"/>
        <v>Without Amendment</v>
      </c>
      <c r="D6833" s="138" t="str">
        <f t="shared" si="510"/>
        <v>Base_Low</v>
      </c>
      <c r="E6833" s="138" t="str">
        <f t="shared" si="511"/>
        <v>High</v>
      </c>
      <c r="F6833" s="138" t="str">
        <f t="shared" si="513"/>
        <v>Upgraded</v>
      </c>
      <c r="G6833" s="153"/>
      <c r="H6833" s="210">
        <v>1.0800000000000001E-2</v>
      </c>
      <c r="I6833" s="160" t="s">
        <v>167</v>
      </c>
      <c r="J6833" s="160">
        <v>1.6000000000000001E-4</v>
      </c>
      <c r="K6833" s="160" t="s">
        <v>13</v>
      </c>
      <c r="L6833" s="154" t="str">
        <f>IF(OpenLCAbasic!K6833="CTUh", "Fill in Manually",IF(OR(K6833="Unit", K6833=""), "", INDEX(LookUps!$E$5:$E$12, MATCH(OpenLCAbasic!K6833,LookUps!$D$5:$D$12,0))))</f>
        <v>Eutrophication Potential (EP) - kg N eq</v>
      </c>
      <c r="M6833" s="154" t="str">
        <f t="shared" si="506"/>
        <v>High_Base_Low_Upgraded_Eutrophication Potential (EP) - kg N eq_Waste Receiving and Holding; wastewater treatment unit; at updated plant - US_Without Amendment_Windrow</v>
      </c>
    </row>
    <row r="6834" spans="1:13" s="120" customFormat="1" x14ac:dyDescent="0.25">
      <c r="A6834" s="119"/>
      <c r="B6834" s="138" t="str">
        <f t="shared" si="512"/>
        <v>Windrow</v>
      </c>
      <c r="C6834" s="138" t="str">
        <f t="shared" si="507"/>
        <v>Without Amendment</v>
      </c>
      <c r="D6834" s="138" t="str">
        <f t="shared" si="510"/>
        <v>Base_Low</v>
      </c>
      <c r="E6834" s="138" t="str">
        <f t="shared" si="511"/>
        <v>High</v>
      </c>
      <c r="F6834" s="138" t="str">
        <f t="shared" si="513"/>
        <v>Upgraded</v>
      </c>
      <c r="G6834" s="153"/>
      <c r="H6834" s="210">
        <v>8.8999999999999999E-3</v>
      </c>
      <c r="I6834" s="160" t="s">
        <v>58</v>
      </c>
      <c r="J6834" s="160">
        <v>1.3999999999999999E-4</v>
      </c>
      <c r="K6834" s="160" t="s">
        <v>13</v>
      </c>
      <c r="L6834" s="154" t="str">
        <f>IF(OpenLCAbasic!K6834="CTUh", "Fill in Manually",IF(OR(K6834="Unit", K6834=""), "", INDEX(LookUps!$E$5:$E$12, MATCH(OpenLCAbasic!K6834,LookUps!$D$5:$D$12,0))))</f>
        <v>Eutrophication Potential (EP) - kg N eq</v>
      </c>
      <c r="M6834" s="154" t="str">
        <f t="shared" si="506"/>
        <v>High_Base_Low_Upgraded_Eutrophication Potential (EP) - kg N eq_Pre-Anoxic &amp; Swing tank; wastewater treatment unit; at updated plant - US_Without Amendment_Windrow</v>
      </c>
    </row>
    <row r="6835" spans="1:13" s="120" customFormat="1" x14ac:dyDescent="0.25">
      <c r="A6835" s="119"/>
      <c r="B6835" s="138" t="str">
        <f t="shared" si="512"/>
        <v>Windrow</v>
      </c>
      <c r="C6835" s="138" t="str">
        <f t="shared" si="507"/>
        <v>Without Amendment</v>
      </c>
      <c r="D6835" s="138" t="str">
        <f t="shared" si="510"/>
        <v>Base_Low</v>
      </c>
      <c r="E6835" s="138" t="str">
        <f t="shared" si="511"/>
        <v>High</v>
      </c>
      <c r="F6835" s="138" t="str">
        <f t="shared" si="513"/>
        <v>Upgraded</v>
      </c>
      <c r="G6835" s="153"/>
      <c r="H6835" s="210">
        <v>7.1000000000000004E-3</v>
      </c>
      <c r="I6835" s="160" t="s">
        <v>53</v>
      </c>
      <c r="J6835" s="160">
        <v>1.1E-4</v>
      </c>
      <c r="K6835" s="160" t="s">
        <v>13</v>
      </c>
      <c r="L6835" s="154" t="str">
        <f>IF(OpenLCAbasic!K6835="CTUh", "Fill in Manually",IF(OR(K6835="Unit", K6835=""), "", INDEX(LookUps!$E$5:$E$12, MATCH(OpenLCAbasic!K6835,LookUps!$D$5:$D$12,0))))</f>
        <v>Eutrophication Potential (EP) - kg N eq</v>
      </c>
      <c r="M6835" s="154" t="str">
        <f t="shared" si="506"/>
        <v>High_Base_Low_Upgraded_Eutrophication Potential (EP) - kg N eq_Wet Well and Sump Station; wastewater treatment unit; at updated plant - US_Without Amendment_Windrow</v>
      </c>
    </row>
    <row r="6836" spans="1:13" s="120" customFormat="1" x14ac:dyDescent="0.25">
      <c r="A6836" s="119"/>
      <c r="B6836" s="138" t="str">
        <f t="shared" si="512"/>
        <v>Windrow</v>
      </c>
      <c r="C6836" s="138" t="str">
        <f t="shared" si="507"/>
        <v>Without Amendment</v>
      </c>
      <c r="D6836" s="138" t="str">
        <f t="shared" si="510"/>
        <v>Base_Low</v>
      </c>
      <c r="E6836" s="138" t="str">
        <f t="shared" si="511"/>
        <v>High</v>
      </c>
      <c r="F6836" s="138" t="str">
        <f t="shared" si="513"/>
        <v>Upgraded</v>
      </c>
      <c r="G6836" s="153"/>
      <c r="H6836" s="210">
        <v>6.1000000000000004E-3</v>
      </c>
      <c r="I6836" s="160" t="s">
        <v>149</v>
      </c>
      <c r="J6836" s="211">
        <v>9.1798299999999998E-5</v>
      </c>
      <c r="K6836" s="160" t="s">
        <v>13</v>
      </c>
      <c r="L6836" s="154" t="str">
        <f>IF(OpenLCAbasic!K6836="CTUh", "Fill in Manually",IF(OR(K6836="Unit", K6836=""), "", INDEX(LookUps!$E$5:$E$12, MATCH(OpenLCAbasic!K6836,LookUps!$D$5:$D$12,0))))</f>
        <v>Eutrophication Potential (EP) - kg N eq</v>
      </c>
      <c r="M6836" s="154" t="str">
        <f t="shared" si="506"/>
        <v>High_Base_Low_Upgraded_Eutrophication Potential (EP) - kg N eq_Anaerobic Digestion; wastewater treatment unit; at updated plant - US_Without Amendment_Windrow</v>
      </c>
    </row>
    <row r="6837" spans="1:13" s="120" customFormat="1" x14ac:dyDescent="0.25">
      <c r="A6837" s="119"/>
      <c r="B6837" s="138" t="str">
        <f t="shared" si="512"/>
        <v>Windrow</v>
      </c>
      <c r="C6837" s="138" t="str">
        <f t="shared" si="507"/>
        <v>Without Amendment</v>
      </c>
      <c r="D6837" s="138" t="str">
        <f t="shared" si="510"/>
        <v>Base_Low</v>
      </c>
      <c r="E6837" s="138" t="str">
        <f t="shared" si="511"/>
        <v>High</v>
      </c>
      <c r="F6837" s="138" t="str">
        <f t="shared" si="513"/>
        <v>Upgraded</v>
      </c>
      <c r="G6837" s="153"/>
      <c r="H6837" s="210">
        <v>4.0000000000000001E-3</v>
      </c>
      <c r="I6837" s="160" t="s">
        <v>57</v>
      </c>
      <c r="J6837" s="211">
        <v>6.0590300000000002E-5</v>
      </c>
      <c r="K6837" s="160" t="s">
        <v>13</v>
      </c>
      <c r="L6837" s="154" t="str">
        <f>IF(OpenLCAbasic!K6837="CTUh", "Fill in Manually",IF(OR(K6837="Unit", K6837=""), "", INDEX(LookUps!$E$5:$E$12, MATCH(OpenLCAbasic!K6837,LookUps!$D$5:$D$12,0))))</f>
        <v>Eutrophication Potential (EP) - kg N eq</v>
      </c>
      <c r="M6837" s="154" t="str">
        <f t="shared" si="506"/>
        <v>High_Base_Low_Upgraded_Eutrophication Potential (EP) - kg N eq_Gravity Belt Thickener; wastewater treatment unit; at updated plant - US_Without Amendment_Windrow</v>
      </c>
    </row>
    <row r="6838" spans="1:13" s="120" customFormat="1" x14ac:dyDescent="0.25">
      <c r="A6838" s="119"/>
      <c r="B6838" s="138" t="str">
        <f t="shared" si="512"/>
        <v>Windrow</v>
      </c>
      <c r="C6838" s="138" t="str">
        <f t="shared" si="507"/>
        <v>Without Amendment</v>
      </c>
      <c r="D6838" s="138" t="str">
        <f t="shared" si="510"/>
        <v>Base_Low</v>
      </c>
      <c r="E6838" s="138" t="str">
        <f t="shared" si="511"/>
        <v>High</v>
      </c>
      <c r="F6838" s="138" t="str">
        <f t="shared" si="513"/>
        <v>Upgraded</v>
      </c>
      <c r="G6838" s="153"/>
      <c r="H6838" s="210">
        <v>3.7000000000000002E-3</v>
      </c>
      <c r="I6838" s="160" t="s">
        <v>60</v>
      </c>
      <c r="J6838" s="211">
        <v>5.62289E-5</v>
      </c>
      <c r="K6838" s="160" t="s">
        <v>13</v>
      </c>
      <c r="L6838" s="154" t="str">
        <f>IF(OpenLCAbasic!K6838="CTUh", "Fill in Manually",IF(OR(K6838="Unit", K6838=""), "", INDEX(LookUps!$E$5:$E$12, MATCH(OpenLCAbasic!K6838,LookUps!$D$5:$D$12,0))))</f>
        <v>Eutrophication Potential (EP) - kg N eq</v>
      </c>
      <c r="M6838" s="154" t="str">
        <f t="shared" si="506"/>
        <v>High_Base_Low_Upgraded_Eutrophication Potential (EP) - kg N eq_Belt filter press; wastewater treatment unit; at updated plant - US_Without Amendment_Windrow</v>
      </c>
    </row>
    <row r="6839" spans="1:13" s="120" customFormat="1" x14ac:dyDescent="0.25">
      <c r="A6839" s="119"/>
      <c r="B6839" s="138" t="str">
        <f t="shared" si="512"/>
        <v>Windrow</v>
      </c>
      <c r="C6839" s="138" t="str">
        <f t="shared" si="507"/>
        <v>Without Amendment</v>
      </c>
      <c r="D6839" s="138" t="str">
        <f t="shared" si="510"/>
        <v>Base_Low</v>
      </c>
      <c r="E6839" s="138" t="str">
        <f t="shared" si="511"/>
        <v>High</v>
      </c>
      <c r="F6839" s="138" t="str">
        <f t="shared" si="513"/>
        <v>Upgraded</v>
      </c>
      <c r="G6839" s="153"/>
      <c r="H6839" s="210">
        <v>2.5000000000000001E-3</v>
      </c>
      <c r="I6839" s="160" t="s">
        <v>128</v>
      </c>
      <c r="J6839" s="211">
        <v>3.7559799999999999E-5</v>
      </c>
      <c r="K6839" s="160" t="s">
        <v>13</v>
      </c>
      <c r="L6839" s="154" t="str">
        <f>IF(OpenLCAbasic!K6839="CTUh", "Fill in Manually",IF(OR(K6839="Unit", K6839=""), "", INDEX(LookUps!$E$5:$E$12, MATCH(OpenLCAbasic!K6839,LookUps!$D$5:$D$12,0))))</f>
        <v>Eutrophication Potential (EP) - kg N eq</v>
      </c>
      <c r="M6839" s="154" t="str">
        <f t="shared" si="506"/>
        <v>High_Base_Low_Upgraded_Eutrophication Potential (EP) - kg N eq_Wastewater collection; operation and infrastructure; m3 wastewater_Without Amendment_Windrow</v>
      </c>
    </row>
    <row r="6840" spans="1:13" s="120" customFormat="1" x14ac:dyDescent="0.25">
      <c r="A6840" s="119"/>
      <c r="B6840" s="138" t="str">
        <f t="shared" si="512"/>
        <v>Windrow</v>
      </c>
      <c r="C6840" s="138" t="str">
        <f t="shared" si="507"/>
        <v>Without Amendment</v>
      </c>
      <c r="D6840" s="138" t="str">
        <f t="shared" si="510"/>
        <v>Base_Low</v>
      </c>
      <c r="E6840" s="138" t="str">
        <f t="shared" si="511"/>
        <v>High</v>
      </c>
      <c r="F6840" s="138" t="str">
        <f t="shared" si="513"/>
        <v>Upgraded</v>
      </c>
      <c r="G6840" s="153"/>
      <c r="H6840" s="210">
        <v>2.3999999999999998E-3</v>
      </c>
      <c r="I6840" s="160" t="s">
        <v>148</v>
      </c>
      <c r="J6840" s="211">
        <v>3.6874600000000001E-5</v>
      </c>
      <c r="K6840" s="160" t="s">
        <v>13</v>
      </c>
      <c r="L6840" s="154" t="str">
        <f>IF(OpenLCAbasic!K6840="CTUh", "Fill in Manually",IF(OR(K6840="Unit", K6840=""), "", INDEX(LookUps!$E$5:$E$12, MATCH(OpenLCAbasic!K6840,LookUps!$D$5:$D$12,0))))</f>
        <v>Eutrophication Potential (EP) - kg N eq</v>
      </c>
      <c r="M6840" s="154" t="str">
        <f t="shared" si="506"/>
        <v>High_Base_Low_Upgraded_Eutrophication Potential (EP) - kg N eq_Control Building; at upgraded wastewater treatment plant - US_Without Amendment_Windrow</v>
      </c>
    </row>
    <row r="6841" spans="1:13" s="120" customFormat="1" x14ac:dyDescent="0.25">
      <c r="A6841" s="119"/>
      <c r="B6841" s="138" t="str">
        <f t="shared" si="512"/>
        <v>Windrow</v>
      </c>
      <c r="C6841" s="138" t="str">
        <f t="shared" si="507"/>
        <v>Without Amendment</v>
      </c>
      <c r="D6841" s="138" t="str">
        <f t="shared" si="510"/>
        <v>Base_Low</v>
      </c>
      <c r="E6841" s="138" t="str">
        <f t="shared" si="511"/>
        <v>High</v>
      </c>
      <c r="F6841" s="138" t="str">
        <f t="shared" si="513"/>
        <v>Upgraded</v>
      </c>
      <c r="G6841" s="153"/>
      <c r="H6841" s="210">
        <v>1.1000000000000001E-3</v>
      </c>
      <c r="I6841" s="160" t="s">
        <v>59</v>
      </c>
      <c r="J6841" s="211">
        <v>1.6215700000000001E-5</v>
      </c>
      <c r="K6841" s="160" t="s">
        <v>13</v>
      </c>
      <c r="L6841" s="154" t="str">
        <f>IF(OpenLCAbasic!K6841="CTUh", "Fill in Manually",IF(OR(K6841="Unit", K6841=""), "", INDEX(LookUps!$E$5:$E$12, MATCH(OpenLCAbasic!K6841,LookUps!$D$5:$D$12,0))))</f>
        <v>Eutrophication Potential (EP) - kg N eq</v>
      </c>
      <c r="M6841" s="154" t="str">
        <f t="shared" si="506"/>
        <v>High_Base_Low_Upgraded_Eutrophication Potential (EP) - kg N eq_Blend Tank; wastewater treatment unit; at updated plant - US_Without Amendment_Windrow</v>
      </c>
    </row>
    <row r="6842" spans="1:13" s="120" customFormat="1" x14ac:dyDescent="0.25">
      <c r="A6842" s="119"/>
      <c r="B6842" s="138" t="str">
        <f t="shared" si="512"/>
        <v>Windrow</v>
      </c>
      <c r="C6842" s="138" t="str">
        <f t="shared" si="507"/>
        <v>Without Amendment</v>
      </c>
      <c r="D6842" s="138" t="str">
        <f t="shared" si="510"/>
        <v>Base_Low</v>
      </c>
      <c r="E6842" s="138" t="str">
        <f t="shared" si="511"/>
        <v>High</v>
      </c>
      <c r="F6842" s="138" t="str">
        <f t="shared" si="513"/>
        <v>Upgraded</v>
      </c>
      <c r="G6842" s="153"/>
      <c r="H6842" s="210">
        <v>5.0000000000000001E-4</v>
      </c>
      <c r="I6842" s="160" t="s">
        <v>168</v>
      </c>
      <c r="J6842" s="211">
        <v>7.7567199999999995E-6</v>
      </c>
      <c r="K6842" s="160" t="s">
        <v>13</v>
      </c>
      <c r="L6842" s="154" t="str">
        <f>IF(OpenLCAbasic!K6842="CTUh", "Fill in Manually",IF(OR(K6842="Unit", K6842=""), "", INDEX(LookUps!$E$5:$E$12, MATCH(OpenLCAbasic!K6842,LookUps!$D$5:$D$12,0))))</f>
        <v>Eutrophication Potential (EP) - kg N eq</v>
      </c>
      <c r="M6842" s="154" t="str">
        <f t="shared" si="506"/>
        <v>High_Base_Low_Upgraded_Eutrophication Potential (EP) - kg N eq_ClearCove SCP; wastewater treatment unit; at updated plant - US_Without Amendment_Windrow</v>
      </c>
    </row>
    <row r="6843" spans="1:13" s="120" customFormat="1" x14ac:dyDescent="0.25">
      <c r="A6843" s="119"/>
      <c r="B6843" s="138" t="str">
        <f t="shared" si="512"/>
        <v/>
      </c>
      <c r="C6843" s="138" t="str">
        <f t="shared" si="507"/>
        <v/>
      </c>
      <c r="D6843" s="138" t="str">
        <f t="shared" si="510"/>
        <v/>
      </c>
      <c r="E6843" s="138" t="str">
        <f t="shared" si="511"/>
        <v/>
      </c>
      <c r="F6843" s="138" t="str">
        <f t="shared" si="513"/>
        <v/>
      </c>
      <c r="G6843" s="153" t="s">
        <v>51</v>
      </c>
      <c r="H6843" s="160"/>
      <c r="I6843" s="160" t="s">
        <v>47</v>
      </c>
      <c r="J6843" s="160" t="s">
        <v>52</v>
      </c>
      <c r="K6843" s="160" t="s">
        <v>27</v>
      </c>
      <c r="L6843" s="154" t="str">
        <f>IF(OpenLCAbasic!K6843="CTUh", "Fill in Manually",IF(OR(K6843="Unit", K6843=""), "", INDEX(LookUps!$E$5:$E$12, MATCH(OpenLCAbasic!K6843,LookUps!$D$5:$D$12,0))))</f>
        <v/>
      </c>
      <c r="M6843" s="154" t="str">
        <f t="shared" ref="M6843:M6906" si="514">CONCATENATE(E6843,"_",D6843,"_",F6843,"_",L6843, "_",I6843,"_", C6843,"_", B6843)</f>
        <v>____Process__</v>
      </c>
    </row>
    <row r="6844" spans="1:13" s="120" customFormat="1" x14ac:dyDescent="0.25">
      <c r="A6844" s="119"/>
      <c r="B6844" s="138" t="str">
        <f t="shared" si="512"/>
        <v>Windrow</v>
      </c>
      <c r="C6844" s="138" t="str">
        <f t="shared" si="507"/>
        <v>Without Amendment</v>
      </c>
      <c r="D6844" s="138" t="str">
        <f t="shared" si="510"/>
        <v>Base_Low</v>
      </c>
      <c r="E6844" s="138" t="str">
        <f t="shared" si="511"/>
        <v>High</v>
      </c>
      <c r="F6844" s="138" t="str">
        <f t="shared" si="513"/>
        <v>Upgraded</v>
      </c>
      <c r="G6844" s="153"/>
      <c r="H6844" s="210">
        <v>0.2717</v>
      </c>
      <c r="I6844" s="160" t="s">
        <v>167</v>
      </c>
      <c r="J6844" s="160">
        <v>7.9170000000000004E-2</v>
      </c>
      <c r="K6844" s="160" t="s">
        <v>14</v>
      </c>
      <c r="L6844" s="154" t="str">
        <f>IF(OpenLCAbasic!K6844="CTUh", "Fill in Manually",IF(OR(K6844="Unit", K6844=""), "", INDEX(LookUps!$E$5:$E$12, MATCH(OpenLCAbasic!K6844,LookUps!$D$5:$D$12,0))))</f>
        <v>Fossil Depletion Potential (FDP) - kg oil eq</v>
      </c>
      <c r="M6844" s="154" t="str">
        <f t="shared" si="514"/>
        <v>High_Base_Low_Upgraded_Fossil Depletion Potential (FDP) - kg oil eq_Waste Receiving and Holding; wastewater treatment unit; at updated plant - US_Without Amendment_Windrow</v>
      </c>
    </row>
    <row r="6845" spans="1:13" s="120" customFormat="1" x14ac:dyDescent="0.25">
      <c r="A6845" s="119"/>
      <c r="B6845" s="138" t="str">
        <f t="shared" si="512"/>
        <v>Windrow</v>
      </c>
      <c r="C6845" s="138" t="str">
        <f t="shared" si="507"/>
        <v>Without Amendment</v>
      </c>
      <c r="D6845" s="138" t="str">
        <f t="shared" si="510"/>
        <v>Base_Low</v>
      </c>
      <c r="E6845" s="138" t="str">
        <f t="shared" si="511"/>
        <v>High</v>
      </c>
      <c r="F6845" s="138" t="str">
        <f t="shared" si="513"/>
        <v>Upgraded</v>
      </c>
      <c r="G6845" s="153"/>
      <c r="H6845" s="210">
        <v>0.21820000000000001</v>
      </c>
      <c r="I6845" s="160" t="s">
        <v>55</v>
      </c>
      <c r="J6845" s="160">
        <v>6.3589999999999994E-2</v>
      </c>
      <c r="K6845" s="160" t="s">
        <v>14</v>
      </c>
      <c r="L6845" s="154" t="str">
        <f>IF(OpenLCAbasic!K6845="CTUh", "Fill in Manually",IF(OR(K6845="Unit", K6845=""), "", INDEX(LookUps!$E$5:$E$12, MATCH(OpenLCAbasic!K6845,LookUps!$D$5:$D$12,0))))</f>
        <v>Fossil Depletion Potential (FDP) - kg oil eq</v>
      </c>
      <c r="M6845" s="154" t="str">
        <f t="shared" si="514"/>
        <v>High_Base_Low_Upgraded_Fossil Depletion Potential (FDP) - kg oil eq_Aeration Tanks; wastewater treatment unit; at updated plant - US_Without Amendment_Windrow</v>
      </c>
    </row>
    <row r="6846" spans="1:13" s="120" customFormat="1" x14ac:dyDescent="0.25">
      <c r="A6846" s="119"/>
      <c r="B6846" s="138" t="str">
        <f t="shared" si="512"/>
        <v>Windrow</v>
      </c>
      <c r="C6846" s="138" t="str">
        <f t="shared" si="507"/>
        <v>Without Amendment</v>
      </c>
      <c r="D6846" s="138" t="str">
        <f t="shared" si="510"/>
        <v>Base_Low</v>
      </c>
      <c r="E6846" s="138" t="str">
        <f t="shared" si="511"/>
        <v>High</v>
      </c>
      <c r="F6846" s="138" t="str">
        <f t="shared" si="513"/>
        <v>Upgraded</v>
      </c>
      <c r="G6846" s="153"/>
      <c r="H6846" s="210">
        <v>0.21210000000000001</v>
      </c>
      <c r="I6846" s="160" t="s">
        <v>149</v>
      </c>
      <c r="J6846" s="160">
        <v>6.1809999999999997E-2</v>
      </c>
      <c r="K6846" s="160" t="s">
        <v>14</v>
      </c>
      <c r="L6846" s="154" t="str">
        <f>IF(OpenLCAbasic!K6846="CTUh", "Fill in Manually",IF(OR(K6846="Unit", K6846=""), "", INDEX(LookUps!$E$5:$E$12, MATCH(OpenLCAbasic!K6846,LookUps!$D$5:$D$12,0))))</f>
        <v>Fossil Depletion Potential (FDP) - kg oil eq</v>
      </c>
      <c r="M6846" s="154" t="str">
        <f t="shared" si="514"/>
        <v>High_Base_Low_Upgraded_Fossil Depletion Potential (FDP) - kg oil eq_Anaerobic Digestion; wastewater treatment unit; at updated plant - US_Without Amendment_Windrow</v>
      </c>
    </row>
    <row r="6847" spans="1:13" s="120" customFormat="1" x14ac:dyDescent="0.25">
      <c r="A6847" s="119"/>
      <c r="B6847" s="138" t="str">
        <f t="shared" si="512"/>
        <v>Windrow</v>
      </c>
      <c r="C6847" s="138" t="str">
        <f t="shared" si="507"/>
        <v>Without Amendment</v>
      </c>
      <c r="D6847" s="138" t="str">
        <f t="shared" si="510"/>
        <v>Base_Low</v>
      </c>
      <c r="E6847" s="138" t="str">
        <f t="shared" si="511"/>
        <v>High</v>
      </c>
      <c r="F6847" s="138" t="str">
        <f t="shared" si="513"/>
        <v>Upgraded</v>
      </c>
      <c r="G6847" s="153"/>
      <c r="H6847" s="210">
        <v>7.22E-2</v>
      </c>
      <c r="I6847" s="160" t="s">
        <v>54</v>
      </c>
      <c r="J6847" s="160">
        <v>2.1049999999999999E-2</v>
      </c>
      <c r="K6847" s="160" t="s">
        <v>14</v>
      </c>
      <c r="L6847" s="154" t="str">
        <f>IF(OpenLCAbasic!K6847="CTUh", "Fill in Manually",IF(OR(K6847="Unit", K6847=""), "", INDEX(LookUps!$E$5:$E$12, MATCH(OpenLCAbasic!K6847,LookUps!$D$5:$D$12,0))))</f>
        <v>Fossil Depletion Potential (FDP) - kg oil eq</v>
      </c>
      <c r="M6847" s="154" t="str">
        <f t="shared" si="514"/>
        <v>High_Base_Low_Upgraded_Fossil Depletion Potential (FDP) - kg oil eq_Clear Cove Primary Clarification; wastewater treatment unit; at updated plant - US_Without Amendment_Windrow</v>
      </c>
    </row>
    <row r="6848" spans="1:13" s="120" customFormat="1" x14ac:dyDescent="0.25">
      <c r="A6848" s="119"/>
      <c r="B6848" s="138" t="str">
        <f t="shared" si="512"/>
        <v>Windrow</v>
      </c>
      <c r="C6848" s="138" t="str">
        <f t="shared" si="507"/>
        <v>Without Amendment</v>
      </c>
      <c r="D6848" s="138" t="str">
        <f t="shared" si="510"/>
        <v>Base_Low</v>
      </c>
      <c r="E6848" s="138" t="str">
        <f t="shared" si="511"/>
        <v>High</v>
      </c>
      <c r="F6848" s="138" t="str">
        <f t="shared" si="513"/>
        <v>Upgraded</v>
      </c>
      <c r="G6848" s="153"/>
      <c r="H6848" s="210">
        <v>5.4600000000000003E-2</v>
      </c>
      <c r="I6848" s="160" t="s">
        <v>58</v>
      </c>
      <c r="J6848" s="160">
        <v>1.592E-2</v>
      </c>
      <c r="K6848" s="160" t="s">
        <v>14</v>
      </c>
      <c r="L6848" s="154" t="str">
        <f>IF(OpenLCAbasic!K6848="CTUh", "Fill in Manually",IF(OR(K6848="Unit", K6848=""), "", INDEX(LookUps!$E$5:$E$12, MATCH(OpenLCAbasic!K6848,LookUps!$D$5:$D$12,0))))</f>
        <v>Fossil Depletion Potential (FDP) - kg oil eq</v>
      </c>
      <c r="M6848" s="154" t="str">
        <f t="shared" si="514"/>
        <v>High_Base_Low_Upgraded_Fossil Depletion Potential (FDP) - kg oil eq_Pre-Anoxic &amp; Swing tank; wastewater treatment unit; at updated plant - US_Without Amendment_Windrow</v>
      </c>
    </row>
    <row r="6849" spans="1:13" s="120" customFormat="1" x14ac:dyDescent="0.25">
      <c r="A6849" s="119"/>
      <c r="B6849" s="138" t="str">
        <f t="shared" si="512"/>
        <v>Windrow</v>
      </c>
      <c r="C6849" s="138" t="str">
        <f t="shared" ref="C6849:C6912" si="515">IF(ISNUMBER($J6849),"Without Amendment","")</f>
        <v>Without Amendment</v>
      </c>
      <c r="D6849" s="138" t="str">
        <f t="shared" si="510"/>
        <v>Base_Low</v>
      </c>
      <c r="E6849" s="138" t="str">
        <f t="shared" si="511"/>
        <v>High</v>
      </c>
      <c r="F6849" s="138" t="str">
        <f t="shared" si="513"/>
        <v>Upgraded</v>
      </c>
      <c r="G6849" s="153"/>
      <c r="H6849" s="210">
        <v>5.1799999999999999E-2</v>
      </c>
      <c r="I6849" s="160" t="s">
        <v>147</v>
      </c>
      <c r="J6849" s="160">
        <v>1.5089999999999999E-2</v>
      </c>
      <c r="K6849" s="160" t="s">
        <v>14</v>
      </c>
      <c r="L6849" s="154" t="str">
        <f>IF(OpenLCAbasic!K6849="CTUh", "Fill in Manually",IF(OR(K6849="Unit", K6849=""), "", INDEX(LookUps!$E$5:$E$12, MATCH(OpenLCAbasic!K6849,LookUps!$D$5:$D$12,0))))</f>
        <v>Fossil Depletion Potential (FDP) - kg oil eq</v>
      </c>
      <c r="M6849" s="154" t="str">
        <f t="shared" si="514"/>
        <v>High_Base_Low_Upgraded_Fossil Depletion Potential (FDP) - kg oil eq_Influent Pump Station; wastewater treatment unit; at updated plant - US_Without Amendment_Windrow</v>
      </c>
    </row>
    <row r="6850" spans="1:13" s="120" customFormat="1" x14ac:dyDescent="0.25">
      <c r="A6850" s="119"/>
      <c r="B6850" s="138" t="str">
        <f t="shared" si="512"/>
        <v>Windrow</v>
      </c>
      <c r="C6850" s="138" t="str">
        <f t="shared" si="515"/>
        <v>Without Amendment</v>
      </c>
      <c r="D6850" s="138" t="str">
        <f t="shared" si="510"/>
        <v>Base_Low</v>
      </c>
      <c r="E6850" s="138" t="str">
        <f t="shared" si="511"/>
        <v>High</v>
      </c>
      <c r="F6850" s="138" t="str">
        <f t="shared" si="513"/>
        <v>Upgraded</v>
      </c>
      <c r="G6850" s="153"/>
      <c r="H6850" s="210">
        <v>4.2900000000000001E-2</v>
      </c>
      <c r="I6850" s="160" t="s">
        <v>53</v>
      </c>
      <c r="J6850" s="160">
        <v>1.2489999999999999E-2</v>
      </c>
      <c r="K6850" s="160" t="s">
        <v>14</v>
      </c>
      <c r="L6850" s="154" t="str">
        <f>IF(OpenLCAbasic!K6850="CTUh", "Fill in Manually",IF(OR(K6850="Unit", K6850=""), "", INDEX(LookUps!$E$5:$E$12, MATCH(OpenLCAbasic!K6850,LookUps!$D$5:$D$12,0))))</f>
        <v>Fossil Depletion Potential (FDP) - kg oil eq</v>
      </c>
      <c r="M6850" s="154" t="str">
        <f t="shared" si="514"/>
        <v>High_Base_Low_Upgraded_Fossil Depletion Potential (FDP) - kg oil eq_Wet Well and Sump Station; wastewater treatment unit; at updated plant - US_Without Amendment_Windrow</v>
      </c>
    </row>
    <row r="6851" spans="1:13" s="120" customFormat="1" x14ac:dyDescent="0.25">
      <c r="A6851" s="119"/>
      <c r="B6851" s="138" t="str">
        <f t="shared" si="512"/>
        <v>Windrow</v>
      </c>
      <c r="C6851" s="138" t="str">
        <f t="shared" si="515"/>
        <v>Without Amendment</v>
      </c>
      <c r="D6851" s="138" t="str">
        <f t="shared" si="510"/>
        <v>Base_Low</v>
      </c>
      <c r="E6851" s="138" t="str">
        <f t="shared" si="511"/>
        <v>High</v>
      </c>
      <c r="F6851" s="138" t="str">
        <f t="shared" si="513"/>
        <v>Upgraded</v>
      </c>
      <c r="G6851" s="153"/>
      <c r="H6851" s="210">
        <v>2.3699999999999999E-2</v>
      </c>
      <c r="I6851" s="160" t="s">
        <v>57</v>
      </c>
      <c r="J6851" s="160">
        <v>6.9199999999999999E-3</v>
      </c>
      <c r="K6851" s="160" t="s">
        <v>14</v>
      </c>
      <c r="L6851" s="154" t="str">
        <f>IF(OpenLCAbasic!K6851="CTUh", "Fill in Manually",IF(OR(K6851="Unit", K6851=""), "", INDEX(LookUps!$E$5:$E$12, MATCH(OpenLCAbasic!K6851,LookUps!$D$5:$D$12,0))))</f>
        <v>Fossil Depletion Potential (FDP) - kg oil eq</v>
      </c>
      <c r="M6851" s="154" t="str">
        <f t="shared" si="514"/>
        <v>High_Base_Low_Upgraded_Fossil Depletion Potential (FDP) - kg oil eq_Gravity Belt Thickener; wastewater treatment unit; at updated plant - US_Without Amendment_Windrow</v>
      </c>
    </row>
    <row r="6852" spans="1:13" s="120" customFormat="1" x14ac:dyDescent="0.25">
      <c r="A6852" s="119"/>
      <c r="B6852" s="138" t="str">
        <f t="shared" si="512"/>
        <v>Windrow</v>
      </c>
      <c r="C6852" s="138" t="str">
        <f t="shared" si="515"/>
        <v>Without Amendment</v>
      </c>
      <c r="D6852" s="138" t="str">
        <f t="shared" si="510"/>
        <v>Base_Low</v>
      </c>
      <c r="E6852" s="138" t="str">
        <f t="shared" si="511"/>
        <v>High</v>
      </c>
      <c r="F6852" s="138" t="str">
        <f t="shared" si="513"/>
        <v>Upgraded</v>
      </c>
      <c r="G6852" s="153"/>
      <c r="H6852" s="210">
        <v>2.2100000000000002E-2</v>
      </c>
      <c r="I6852" s="160" t="s">
        <v>60</v>
      </c>
      <c r="J6852" s="160">
        <v>6.45E-3</v>
      </c>
      <c r="K6852" s="160" t="s">
        <v>14</v>
      </c>
      <c r="L6852" s="154" t="str">
        <f>IF(OpenLCAbasic!K6852="CTUh", "Fill in Manually",IF(OR(K6852="Unit", K6852=""), "", INDEX(LookUps!$E$5:$E$12, MATCH(OpenLCAbasic!K6852,LookUps!$D$5:$D$12,0))))</f>
        <v>Fossil Depletion Potential (FDP) - kg oil eq</v>
      </c>
      <c r="M6852" s="154" t="str">
        <f t="shared" si="514"/>
        <v>High_Base_Low_Upgraded_Fossil Depletion Potential (FDP) - kg oil eq_Belt filter press; wastewater treatment unit; at updated plant - US_Without Amendment_Windrow</v>
      </c>
    </row>
    <row r="6853" spans="1:13" s="120" customFormat="1" x14ac:dyDescent="0.25">
      <c r="A6853" s="119"/>
      <c r="B6853" s="138" t="str">
        <f t="shared" si="512"/>
        <v>Windrow</v>
      </c>
      <c r="C6853" s="138" t="str">
        <f t="shared" si="515"/>
        <v>Without Amendment</v>
      </c>
      <c r="D6853" s="138" t="str">
        <f t="shared" si="510"/>
        <v>Base_Low</v>
      </c>
      <c r="E6853" s="138" t="str">
        <f t="shared" si="511"/>
        <v>High</v>
      </c>
      <c r="F6853" s="138" t="str">
        <f t="shared" si="513"/>
        <v>Upgraded</v>
      </c>
      <c r="G6853" s="153"/>
      <c r="H6853" s="210">
        <v>1.54E-2</v>
      </c>
      <c r="I6853" s="160" t="s">
        <v>128</v>
      </c>
      <c r="J6853" s="160">
        <v>4.4999999999999997E-3</v>
      </c>
      <c r="K6853" s="160" t="s">
        <v>14</v>
      </c>
      <c r="L6853" s="154" t="str">
        <f>IF(OpenLCAbasic!K6853="CTUh", "Fill in Manually",IF(OR(K6853="Unit", K6853=""), "", INDEX(LookUps!$E$5:$E$12, MATCH(OpenLCAbasic!K6853,LookUps!$D$5:$D$12,0))))</f>
        <v>Fossil Depletion Potential (FDP) - kg oil eq</v>
      </c>
      <c r="M6853" s="154" t="str">
        <f t="shared" si="514"/>
        <v>High_Base_Low_Upgraded_Fossil Depletion Potential (FDP) - kg oil eq_Wastewater collection; operation and infrastructure; m3 wastewater_Without Amendment_Windrow</v>
      </c>
    </row>
    <row r="6854" spans="1:13" s="120" customFormat="1" x14ac:dyDescent="0.25">
      <c r="A6854" s="119"/>
      <c r="B6854" s="138" t="str">
        <f t="shared" si="512"/>
        <v>Windrow</v>
      </c>
      <c r="C6854" s="138" t="str">
        <f t="shared" si="515"/>
        <v>Without Amendment</v>
      </c>
      <c r="D6854" s="138" t="str">
        <f t="shared" si="510"/>
        <v>Base_Low</v>
      </c>
      <c r="E6854" s="138" t="str">
        <f t="shared" si="511"/>
        <v>High</v>
      </c>
      <c r="F6854" s="138" t="str">
        <f t="shared" si="513"/>
        <v>Upgraded</v>
      </c>
      <c r="G6854" s="153"/>
      <c r="H6854" s="210">
        <v>9.5999999999999992E-3</v>
      </c>
      <c r="I6854" s="160" t="s">
        <v>148</v>
      </c>
      <c r="J6854" s="160">
        <v>2.8E-3</v>
      </c>
      <c r="K6854" s="160" t="s">
        <v>14</v>
      </c>
      <c r="L6854" s="154" t="str">
        <f>IF(OpenLCAbasic!K6854="CTUh", "Fill in Manually",IF(OR(K6854="Unit", K6854=""), "", INDEX(LookUps!$E$5:$E$12, MATCH(OpenLCAbasic!K6854,LookUps!$D$5:$D$12,0))))</f>
        <v>Fossil Depletion Potential (FDP) - kg oil eq</v>
      </c>
      <c r="M6854" s="154" t="str">
        <f t="shared" si="514"/>
        <v>High_Base_Low_Upgraded_Fossil Depletion Potential (FDP) - kg oil eq_Control Building; at upgraded wastewater treatment plant - US_Without Amendment_Windrow</v>
      </c>
    </row>
    <row r="6855" spans="1:13" s="120" customFormat="1" x14ac:dyDescent="0.25">
      <c r="A6855" s="119"/>
      <c r="B6855" s="138" t="str">
        <f t="shared" si="512"/>
        <v>Windrow</v>
      </c>
      <c r="C6855" s="138" t="str">
        <f t="shared" si="515"/>
        <v>Without Amendment</v>
      </c>
      <c r="D6855" s="138" t="str">
        <f t="shared" si="510"/>
        <v>Base_Low</v>
      </c>
      <c r="E6855" s="138" t="str">
        <f t="shared" si="511"/>
        <v>High</v>
      </c>
      <c r="F6855" s="138" t="str">
        <f t="shared" si="513"/>
        <v>Upgraded</v>
      </c>
      <c r="G6855" s="153"/>
      <c r="H6855" s="210">
        <v>8.0999999999999996E-3</v>
      </c>
      <c r="I6855" s="160" t="s">
        <v>48</v>
      </c>
      <c r="J6855" s="160">
        <v>2.3600000000000001E-3</v>
      </c>
      <c r="K6855" s="160" t="s">
        <v>14</v>
      </c>
      <c r="L6855" s="154" t="str">
        <f>IF(OpenLCAbasic!K6855="CTUh", "Fill in Manually",IF(OR(K6855="Unit", K6855=""), "", INDEX(LookUps!$E$5:$E$12, MATCH(OpenLCAbasic!K6855,LookUps!$D$5:$D$12,0))))</f>
        <v>Fossil Depletion Potential (FDP) - kg oil eq</v>
      </c>
      <c r="M6855" s="154" t="str">
        <f t="shared" si="514"/>
        <v>High_Base_Low_Upgraded_Fossil Depletion Potential (FDP) - kg oil eq_Effluent release; wastewater treatment unit; at surface water; m3 wastewater - US_Without Amendment_Windrow</v>
      </c>
    </row>
    <row r="6856" spans="1:13" s="120" customFormat="1" x14ac:dyDescent="0.25">
      <c r="A6856" s="119"/>
      <c r="B6856" s="138" t="str">
        <f t="shared" si="512"/>
        <v>Windrow</v>
      </c>
      <c r="C6856" s="138" t="str">
        <f t="shared" si="515"/>
        <v>Without Amendment</v>
      </c>
      <c r="D6856" s="138" t="str">
        <f t="shared" si="510"/>
        <v>Base_Low</v>
      </c>
      <c r="E6856" s="138" t="str">
        <f t="shared" si="511"/>
        <v>High</v>
      </c>
      <c r="F6856" s="138" t="str">
        <f t="shared" si="513"/>
        <v>Upgraded</v>
      </c>
      <c r="G6856" s="153"/>
      <c r="H6856" s="210">
        <v>6.6E-3</v>
      </c>
      <c r="I6856" s="160" t="s">
        <v>59</v>
      </c>
      <c r="J6856" s="160">
        <v>1.92E-3</v>
      </c>
      <c r="K6856" s="160" t="s">
        <v>14</v>
      </c>
      <c r="L6856" s="154" t="str">
        <f>IF(OpenLCAbasic!K6856="CTUh", "Fill in Manually",IF(OR(K6856="Unit", K6856=""), "", INDEX(LookUps!$E$5:$E$12, MATCH(OpenLCAbasic!K6856,LookUps!$D$5:$D$12,0))))</f>
        <v>Fossil Depletion Potential (FDP) - kg oil eq</v>
      </c>
      <c r="M6856" s="154" t="str">
        <f t="shared" si="514"/>
        <v>High_Base_Low_Upgraded_Fossil Depletion Potential (FDP) - kg oil eq_Blend Tank; wastewater treatment unit; at updated plant - US_Without Amendment_Windrow</v>
      </c>
    </row>
    <row r="6857" spans="1:13" s="120" customFormat="1" x14ac:dyDescent="0.25">
      <c r="A6857" s="119"/>
      <c r="B6857" s="138" t="str">
        <f t="shared" si="512"/>
        <v>Windrow</v>
      </c>
      <c r="C6857" s="138" t="str">
        <f t="shared" si="515"/>
        <v>Without Amendment</v>
      </c>
      <c r="D6857" s="138" t="str">
        <f t="shared" ref="D6857:D6920" si="516">IF(ISNUMBER($J6857),"Base_Low","")</f>
        <v>Base_Low</v>
      </c>
      <c r="E6857" s="138" t="str">
        <f t="shared" ref="E6857:E6920" si="517">IF(ISNUMBER($J6857),"High","")</f>
        <v>High</v>
      </c>
      <c r="F6857" s="138" t="str">
        <f t="shared" si="513"/>
        <v>Upgraded</v>
      </c>
      <c r="G6857" s="153"/>
      <c r="H6857" s="210">
        <v>3.0999999999999999E-3</v>
      </c>
      <c r="I6857" s="160" t="s">
        <v>168</v>
      </c>
      <c r="J6857" s="160">
        <v>9.1E-4</v>
      </c>
      <c r="K6857" s="160" t="s">
        <v>14</v>
      </c>
      <c r="L6857" s="154" t="str">
        <f>IF(OpenLCAbasic!K6857="CTUh", "Fill in Manually",IF(OR(K6857="Unit", K6857=""), "", INDEX(LookUps!$E$5:$E$12, MATCH(OpenLCAbasic!K6857,LookUps!$D$5:$D$12,0))))</f>
        <v>Fossil Depletion Potential (FDP) - kg oil eq</v>
      </c>
      <c r="M6857" s="154" t="str">
        <f t="shared" si="514"/>
        <v>High_Base_Low_Upgraded_Fossil Depletion Potential (FDP) - kg oil eq_ClearCove SCP; wastewater treatment unit; at updated plant - US_Without Amendment_Windrow</v>
      </c>
    </row>
    <row r="6858" spans="1:13" s="120" customFormat="1" x14ac:dyDescent="0.25">
      <c r="A6858" s="119"/>
      <c r="B6858" s="138" t="str">
        <f t="shared" si="512"/>
        <v>Windrow</v>
      </c>
      <c r="C6858" s="138" t="str">
        <f t="shared" si="515"/>
        <v>Without Amendment</v>
      </c>
      <c r="D6858" s="138" t="str">
        <f t="shared" si="516"/>
        <v>Base_Low</v>
      </c>
      <c r="E6858" s="138" t="str">
        <f t="shared" si="517"/>
        <v>High</v>
      </c>
      <c r="F6858" s="138" t="str">
        <f t="shared" si="513"/>
        <v>Upgraded</v>
      </c>
      <c r="G6858" s="153"/>
      <c r="H6858" s="210">
        <v>1.6000000000000001E-3</v>
      </c>
      <c r="I6858" s="160" t="s">
        <v>271</v>
      </c>
      <c r="J6858" s="160">
        <v>4.6000000000000001E-4</v>
      </c>
      <c r="K6858" s="160" t="s">
        <v>14</v>
      </c>
      <c r="L6858" s="154" t="str">
        <f>IF(OpenLCAbasic!K6858="CTUh", "Fill in Manually",IF(OR(K6858="Unit", K6858=""), "", INDEX(LookUps!$E$5:$E$12, MATCH(OpenLCAbasic!K6858,LookUps!$D$5:$D$12,0))))</f>
        <v>Fossil Depletion Potential (FDP) - kg oil eq</v>
      </c>
      <c r="M6858" s="154" t="str">
        <f t="shared" si="514"/>
        <v>High_Base_Low_Upgraded_Fossil Depletion Potential (FDP) - kg oil eq_Biosolids composting; windrow composting; wastewater treatment unit; at updated plant - US_Without Amendment_Windrow</v>
      </c>
    </row>
    <row r="6859" spans="1:13" s="120" customFormat="1" x14ac:dyDescent="0.25">
      <c r="A6859" s="119"/>
      <c r="B6859" s="138" t="str">
        <f t="shared" si="512"/>
        <v>Windrow</v>
      </c>
      <c r="C6859" s="138" t="str">
        <f t="shared" si="515"/>
        <v>Without Amendment</v>
      </c>
      <c r="D6859" s="138" t="str">
        <f t="shared" si="516"/>
        <v>Base_Low</v>
      </c>
      <c r="E6859" s="138" t="str">
        <f t="shared" si="517"/>
        <v>High</v>
      </c>
      <c r="F6859" s="138" t="str">
        <f t="shared" si="513"/>
        <v>Upgraded</v>
      </c>
      <c r="G6859" s="153"/>
      <c r="H6859" s="210">
        <v>-1.38E-2</v>
      </c>
      <c r="I6859" s="160" t="s">
        <v>62</v>
      </c>
      <c r="J6859" s="160">
        <v>-4.0299999999999997E-3</v>
      </c>
      <c r="K6859" s="160" t="s">
        <v>14</v>
      </c>
      <c r="L6859" s="154" t="str">
        <f>IF(OpenLCAbasic!K6859="CTUh", "Fill in Manually",IF(OR(K6859="Unit", K6859=""), "", INDEX(LookUps!$E$5:$E$12, MATCH(OpenLCAbasic!K6859,LookUps!$D$5:$D$12,0))))</f>
        <v>Fossil Depletion Potential (FDP) - kg oil eq</v>
      </c>
      <c r="M6859" s="154" t="str">
        <f t="shared" si="514"/>
        <v>High_Base_Low_Upgraded_Fossil Depletion Potential (FDP) - kg oil eq_Land application of compost; wastewater treatment unit; at updated plant - US_Without Amendment_Windrow</v>
      </c>
    </row>
    <row r="6860" spans="1:13" s="120" customFormat="1" x14ac:dyDescent="0.25">
      <c r="A6860" s="119"/>
      <c r="B6860" s="138" t="str">
        <f t="shared" si="512"/>
        <v/>
      </c>
      <c r="C6860" s="138" t="str">
        <f t="shared" si="515"/>
        <v/>
      </c>
      <c r="D6860" s="138" t="str">
        <f t="shared" si="516"/>
        <v/>
      </c>
      <c r="E6860" s="138" t="str">
        <f t="shared" si="517"/>
        <v/>
      </c>
      <c r="F6860" s="138" t="str">
        <f t="shared" si="513"/>
        <v/>
      </c>
      <c r="G6860" s="153" t="s">
        <v>51</v>
      </c>
      <c r="H6860" s="160"/>
      <c r="I6860" s="160" t="s">
        <v>47</v>
      </c>
      <c r="J6860" s="160" t="s">
        <v>52</v>
      </c>
      <c r="K6860" s="160" t="s">
        <v>27</v>
      </c>
      <c r="L6860" s="154" t="str">
        <f>IF(OpenLCAbasic!K6860="CTUh", "Fill in Manually",IF(OR(K6860="Unit", K6860=""), "", INDEX(LookUps!$E$5:$E$12, MATCH(OpenLCAbasic!K6860,LookUps!$D$5:$D$12,0))))</f>
        <v/>
      </c>
      <c r="M6860" s="154" t="str">
        <f t="shared" si="514"/>
        <v>____Process__</v>
      </c>
    </row>
    <row r="6861" spans="1:13" s="120" customFormat="1" x14ac:dyDescent="0.25">
      <c r="A6861" s="119"/>
      <c r="B6861" s="138" t="str">
        <f t="shared" si="512"/>
        <v>Windrow</v>
      </c>
      <c r="C6861" s="138" t="str">
        <f t="shared" si="515"/>
        <v>Without Amendment</v>
      </c>
      <c r="D6861" s="138" t="str">
        <f t="shared" si="516"/>
        <v>Base_Low</v>
      </c>
      <c r="E6861" s="138" t="str">
        <f t="shared" si="517"/>
        <v>High</v>
      </c>
      <c r="F6861" s="138" t="str">
        <f t="shared" si="513"/>
        <v>Upgraded</v>
      </c>
      <c r="G6861" s="153"/>
      <c r="H6861" s="210">
        <v>0.5151</v>
      </c>
      <c r="I6861" s="160" t="s">
        <v>271</v>
      </c>
      <c r="J6861" s="160">
        <v>0.83543999999999996</v>
      </c>
      <c r="K6861" s="160" t="s">
        <v>23</v>
      </c>
      <c r="L6861" s="154" t="str">
        <f>IF(OpenLCAbasic!K6861="CTUh", "Fill in Manually",IF(OR(K6861="Unit", K6861=""), "", INDEX(LookUps!$E$5:$E$12, MATCH(OpenLCAbasic!K6861,LookUps!$D$5:$D$12,0))))</f>
        <v>Global Warming Potential (GWP) - kg CO2 eq</v>
      </c>
      <c r="M6861" s="154" t="str">
        <f t="shared" si="514"/>
        <v>High_Base_Low_Upgraded_Global Warming Potential (GWP) - kg CO2 eq_Biosolids composting; windrow composting; wastewater treatment unit; at updated plant - US_Without Amendment_Windrow</v>
      </c>
    </row>
    <row r="6862" spans="1:13" s="120" customFormat="1" x14ac:dyDescent="0.25">
      <c r="A6862" s="119"/>
      <c r="B6862" s="138" t="str">
        <f t="shared" si="512"/>
        <v>Windrow</v>
      </c>
      <c r="C6862" s="138" t="str">
        <f t="shared" si="515"/>
        <v>Without Amendment</v>
      </c>
      <c r="D6862" s="138" t="str">
        <f t="shared" si="516"/>
        <v>Base_Low</v>
      </c>
      <c r="E6862" s="138" t="str">
        <f t="shared" si="517"/>
        <v>High</v>
      </c>
      <c r="F6862" s="138" t="str">
        <f t="shared" si="513"/>
        <v>Upgraded</v>
      </c>
      <c r="G6862" s="153"/>
      <c r="H6862" s="210">
        <v>0.1497</v>
      </c>
      <c r="I6862" s="160" t="s">
        <v>58</v>
      </c>
      <c r="J6862" s="160">
        <v>0.24279999999999999</v>
      </c>
      <c r="K6862" s="160" t="s">
        <v>23</v>
      </c>
      <c r="L6862" s="154" t="str">
        <f>IF(OpenLCAbasic!K6862="CTUh", "Fill in Manually",IF(OR(K6862="Unit", K6862=""), "", INDEX(LookUps!$E$5:$E$12, MATCH(OpenLCAbasic!K6862,LookUps!$D$5:$D$12,0))))</f>
        <v>Global Warming Potential (GWP) - kg CO2 eq</v>
      </c>
      <c r="M6862" s="154" t="str">
        <f t="shared" si="514"/>
        <v>High_Base_Low_Upgraded_Global Warming Potential (GWP) - kg CO2 eq_Pre-Anoxic &amp; Swing tank; wastewater treatment unit; at updated plant - US_Without Amendment_Windrow</v>
      </c>
    </row>
    <row r="6863" spans="1:13" s="120" customFormat="1" x14ac:dyDescent="0.25">
      <c r="A6863" s="119"/>
      <c r="B6863" s="138" t="str">
        <f t="shared" si="512"/>
        <v>Windrow</v>
      </c>
      <c r="C6863" s="138" t="str">
        <f t="shared" si="515"/>
        <v>Without Amendment</v>
      </c>
      <c r="D6863" s="138" t="str">
        <f t="shared" si="516"/>
        <v>Base_Low</v>
      </c>
      <c r="E6863" s="138" t="str">
        <f t="shared" si="517"/>
        <v>High</v>
      </c>
      <c r="F6863" s="138" t="str">
        <f t="shared" si="513"/>
        <v>Upgraded</v>
      </c>
      <c r="G6863" s="153"/>
      <c r="H6863" s="210">
        <v>0.1082</v>
      </c>
      <c r="I6863" s="160" t="s">
        <v>149</v>
      </c>
      <c r="J6863" s="160">
        <v>0.17544999999999999</v>
      </c>
      <c r="K6863" s="160" t="s">
        <v>23</v>
      </c>
      <c r="L6863" s="154" t="str">
        <f>IF(OpenLCAbasic!K6863="CTUh", "Fill in Manually",IF(OR(K6863="Unit", K6863=""), "", INDEX(LookUps!$E$5:$E$12, MATCH(OpenLCAbasic!K6863,LookUps!$D$5:$D$12,0))))</f>
        <v>Global Warming Potential (GWP) - kg CO2 eq</v>
      </c>
      <c r="M6863" s="154" t="str">
        <f t="shared" si="514"/>
        <v>High_Base_Low_Upgraded_Global Warming Potential (GWP) - kg CO2 eq_Anaerobic Digestion; wastewater treatment unit; at updated plant - US_Without Amendment_Windrow</v>
      </c>
    </row>
    <row r="6864" spans="1:13" s="120" customFormat="1" x14ac:dyDescent="0.25">
      <c r="A6864" s="119"/>
      <c r="B6864" s="138" t="str">
        <f t="shared" si="512"/>
        <v>Windrow</v>
      </c>
      <c r="C6864" s="138" t="str">
        <f t="shared" si="515"/>
        <v>Without Amendment</v>
      </c>
      <c r="D6864" s="138" t="str">
        <f t="shared" si="516"/>
        <v>Base_Low</v>
      </c>
      <c r="E6864" s="138" t="str">
        <f t="shared" si="517"/>
        <v>High</v>
      </c>
      <c r="F6864" s="138" t="str">
        <f t="shared" si="513"/>
        <v>Upgraded</v>
      </c>
      <c r="G6864" s="153"/>
      <c r="H6864" s="210">
        <v>0.1037</v>
      </c>
      <c r="I6864" s="160" t="s">
        <v>55</v>
      </c>
      <c r="J6864" s="160">
        <v>0.16822000000000001</v>
      </c>
      <c r="K6864" s="160" t="s">
        <v>23</v>
      </c>
      <c r="L6864" s="154" t="str">
        <f>IF(OpenLCAbasic!K6864="CTUh", "Fill in Manually",IF(OR(K6864="Unit", K6864=""), "", INDEX(LookUps!$E$5:$E$12, MATCH(OpenLCAbasic!K6864,LookUps!$D$5:$D$12,0))))</f>
        <v>Global Warming Potential (GWP) - kg CO2 eq</v>
      </c>
      <c r="M6864" s="154" t="str">
        <f t="shared" si="514"/>
        <v>High_Base_Low_Upgraded_Global Warming Potential (GWP) - kg CO2 eq_Aeration Tanks; wastewater treatment unit; at updated plant - US_Without Amendment_Windrow</v>
      </c>
    </row>
    <row r="6865" spans="1:13" s="120" customFormat="1" x14ac:dyDescent="0.25">
      <c r="A6865" s="119"/>
      <c r="B6865" s="138" t="str">
        <f t="shared" si="512"/>
        <v>Windrow</v>
      </c>
      <c r="C6865" s="138" t="str">
        <f t="shared" si="515"/>
        <v>Without Amendment</v>
      </c>
      <c r="D6865" s="138" t="str">
        <f t="shared" si="516"/>
        <v>Base_Low</v>
      </c>
      <c r="E6865" s="138" t="str">
        <f t="shared" si="517"/>
        <v>High</v>
      </c>
      <c r="F6865" s="138" t="str">
        <f t="shared" si="513"/>
        <v>Upgraded</v>
      </c>
      <c r="G6865" s="153"/>
      <c r="H6865" s="210">
        <v>6.3100000000000003E-2</v>
      </c>
      <c r="I6865" s="160" t="s">
        <v>167</v>
      </c>
      <c r="J6865" s="160">
        <v>0.10241</v>
      </c>
      <c r="K6865" s="160" t="s">
        <v>23</v>
      </c>
      <c r="L6865" s="154" t="str">
        <f>IF(OpenLCAbasic!K6865="CTUh", "Fill in Manually",IF(OR(K6865="Unit", K6865=""), "", INDEX(LookUps!$E$5:$E$12, MATCH(OpenLCAbasic!K6865,LookUps!$D$5:$D$12,0))))</f>
        <v>Global Warming Potential (GWP) - kg CO2 eq</v>
      </c>
      <c r="M6865" s="154" t="str">
        <f t="shared" si="514"/>
        <v>High_Base_Low_Upgraded_Global Warming Potential (GWP) - kg CO2 eq_Waste Receiving and Holding; wastewater treatment unit; at updated plant - US_Without Amendment_Windrow</v>
      </c>
    </row>
    <row r="6866" spans="1:13" s="120" customFormat="1" x14ac:dyDescent="0.25">
      <c r="A6866" s="119"/>
      <c r="B6866" s="138" t="str">
        <f t="shared" si="512"/>
        <v>Windrow</v>
      </c>
      <c r="C6866" s="138" t="str">
        <f t="shared" si="515"/>
        <v>Without Amendment</v>
      </c>
      <c r="D6866" s="138" t="str">
        <f t="shared" si="516"/>
        <v>Base_Low</v>
      </c>
      <c r="E6866" s="138" t="str">
        <f t="shared" si="517"/>
        <v>High</v>
      </c>
      <c r="F6866" s="138" t="str">
        <f t="shared" si="513"/>
        <v>Upgraded</v>
      </c>
      <c r="G6866" s="153"/>
      <c r="H6866" s="210">
        <v>3.5200000000000002E-2</v>
      </c>
      <c r="I6866" s="160" t="s">
        <v>54</v>
      </c>
      <c r="J6866" s="160">
        <v>5.7079999999999999E-2</v>
      </c>
      <c r="K6866" s="160" t="s">
        <v>23</v>
      </c>
      <c r="L6866" s="154" t="str">
        <f>IF(OpenLCAbasic!K6866="CTUh", "Fill in Manually",IF(OR(K6866="Unit", K6866=""), "", INDEX(LookUps!$E$5:$E$12, MATCH(OpenLCAbasic!K6866,LookUps!$D$5:$D$12,0))))</f>
        <v>Global Warming Potential (GWP) - kg CO2 eq</v>
      </c>
      <c r="M6866" s="154" t="str">
        <f t="shared" si="514"/>
        <v>High_Base_Low_Upgraded_Global Warming Potential (GWP) - kg CO2 eq_Clear Cove Primary Clarification; wastewater treatment unit; at updated plant - US_Without Amendment_Windrow</v>
      </c>
    </row>
    <row r="6867" spans="1:13" s="120" customFormat="1" x14ac:dyDescent="0.25">
      <c r="A6867" s="119"/>
      <c r="B6867" s="138" t="str">
        <f t="shared" si="512"/>
        <v>Windrow</v>
      </c>
      <c r="C6867" s="138" t="str">
        <f t="shared" si="515"/>
        <v>Without Amendment</v>
      </c>
      <c r="D6867" s="138" t="str">
        <f t="shared" si="516"/>
        <v>Base_Low</v>
      </c>
      <c r="E6867" s="138" t="str">
        <f t="shared" si="517"/>
        <v>High</v>
      </c>
      <c r="F6867" s="138" t="str">
        <f t="shared" si="513"/>
        <v>Upgraded</v>
      </c>
      <c r="G6867" s="153"/>
      <c r="H6867" s="210">
        <v>3.2500000000000001E-2</v>
      </c>
      <c r="I6867" s="160" t="s">
        <v>48</v>
      </c>
      <c r="J6867" s="160">
        <v>5.2639999999999999E-2</v>
      </c>
      <c r="K6867" s="160" t="s">
        <v>23</v>
      </c>
      <c r="L6867" s="154" t="str">
        <f>IF(OpenLCAbasic!K6867="CTUh", "Fill in Manually",IF(OR(K6867="Unit", K6867=""), "", INDEX(LookUps!$E$5:$E$12, MATCH(OpenLCAbasic!K6867,LookUps!$D$5:$D$12,0))))</f>
        <v>Global Warming Potential (GWP) - kg CO2 eq</v>
      </c>
      <c r="M6867" s="154" t="str">
        <f t="shared" si="514"/>
        <v>High_Base_Low_Upgraded_Global Warming Potential (GWP) - kg CO2 eq_Effluent release; wastewater treatment unit; at surface water; m3 wastewater - US_Without Amendment_Windrow</v>
      </c>
    </row>
    <row r="6868" spans="1:13" s="120" customFormat="1" x14ac:dyDescent="0.25">
      <c r="A6868" s="119"/>
      <c r="B6868" s="138" t="str">
        <f t="shared" si="512"/>
        <v>Windrow</v>
      </c>
      <c r="C6868" s="138" t="str">
        <f t="shared" si="515"/>
        <v>Without Amendment</v>
      </c>
      <c r="D6868" s="138" t="str">
        <f t="shared" si="516"/>
        <v>Base_Low</v>
      </c>
      <c r="E6868" s="138" t="str">
        <f t="shared" si="517"/>
        <v>High</v>
      </c>
      <c r="F6868" s="138" t="str">
        <f t="shared" si="513"/>
        <v>Upgraded</v>
      </c>
      <c r="G6868" s="153"/>
      <c r="H6868" s="210">
        <v>3.1099999999999999E-2</v>
      </c>
      <c r="I6868" s="160" t="s">
        <v>147</v>
      </c>
      <c r="J6868" s="160">
        <v>5.0500000000000003E-2</v>
      </c>
      <c r="K6868" s="160" t="s">
        <v>23</v>
      </c>
      <c r="L6868" s="154" t="str">
        <f>IF(OpenLCAbasic!K6868="CTUh", "Fill in Manually",IF(OR(K6868="Unit", K6868=""), "", INDEX(LookUps!$E$5:$E$12, MATCH(OpenLCAbasic!K6868,LookUps!$D$5:$D$12,0))))</f>
        <v>Global Warming Potential (GWP) - kg CO2 eq</v>
      </c>
      <c r="M6868" s="154" t="str">
        <f t="shared" si="514"/>
        <v>High_Base_Low_Upgraded_Global Warming Potential (GWP) - kg CO2 eq_Influent Pump Station; wastewater treatment unit; at updated plant - US_Without Amendment_Windrow</v>
      </c>
    </row>
    <row r="6869" spans="1:13" s="120" customFormat="1" x14ac:dyDescent="0.25">
      <c r="A6869" s="119"/>
      <c r="B6869" s="138" t="str">
        <f t="shared" si="512"/>
        <v>Windrow</v>
      </c>
      <c r="C6869" s="138" t="str">
        <f t="shared" si="515"/>
        <v>Without Amendment</v>
      </c>
      <c r="D6869" s="138" t="str">
        <f t="shared" si="516"/>
        <v>Base_Low</v>
      </c>
      <c r="E6869" s="138" t="str">
        <f t="shared" si="517"/>
        <v>High</v>
      </c>
      <c r="F6869" s="138" t="str">
        <f t="shared" si="513"/>
        <v>Upgraded</v>
      </c>
      <c r="G6869" s="153"/>
      <c r="H6869" s="210">
        <v>2.0500000000000001E-2</v>
      </c>
      <c r="I6869" s="160" t="s">
        <v>53</v>
      </c>
      <c r="J6869" s="160">
        <v>3.3259999999999998E-2</v>
      </c>
      <c r="K6869" s="160" t="s">
        <v>23</v>
      </c>
      <c r="L6869" s="154" t="str">
        <f>IF(OpenLCAbasic!K6869="CTUh", "Fill in Manually",IF(OR(K6869="Unit", K6869=""), "", INDEX(LookUps!$E$5:$E$12, MATCH(OpenLCAbasic!K6869,LookUps!$D$5:$D$12,0))))</f>
        <v>Global Warming Potential (GWP) - kg CO2 eq</v>
      </c>
      <c r="M6869" s="154" t="str">
        <f t="shared" si="514"/>
        <v>High_Base_Low_Upgraded_Global Warming Potential (GWP) - kg CO2 eq_Wet Well and Sump Station; wastewater treatment unit; at updated plant - US_Without Amendment_Windrow</v>
      </c>
    </row>
    <row r="6870" spans="1:13" s="120" customFormat="1" x14ac:dyDescent="0.25">
      <c r="A6870" s="119"/>
      <c r="B6870" s="138" t="str">
        <f t="shared" si="512"/>
        <v>Windrow</v>
      </c>
      <c r="C6870" s="138" t="str">
        <f t="shared" si="515"/>
        <v>Without Amendment</v>
      </c>
      <c r="D6870" s="138" t="str">
        <f t="shared" si="516"/>
        <v>Base_Low</v>
      </c>
      <c r="E6870" s="138" t="str">
        <f t="shared" si="517"/>
        <v>High</v>
      </c>
      <c r="F6870" s="138" t="str">
        <f t="shared" si="513"/>
        <v>Upgraded</v>
      </c>
      <c r="G6870" s="153"/>
      <c r="H6870" s="210">
        <v>8.9999999999999993E-3</v>
      </c>
      <c r="I6870" s="160" t="s">
        <v>57</v>
      </c>
      <c r="J6870" s="160">
        <v>1.455E-2</v>
      </c>
      <c r="K6870" s="160" t="s">
        <v>23</v>
      </c>
      <c r="L6870" s="154" t="str">
        <f>IF(OpenLCAbasic!K6870="CTUh", "Fill in Manually",IF(OR(K6870="Unit", K6870=""), "", INDEX(LookUps!$E$5:$E$12, MATCH(OpenLCAbasic!K6870,LookUps!$D$5:$D$12,0))))</f>
        <v>Global Warming Potential (GWP) - kg CO2 eq</v>
      </c>
      <c r="M6870" s="154" t="str">
        <f t="shared" si="514"/>
        <v>High_Base_Low_Upgraded_Global Warming Potential (GWP) - kg CO2 eq_Gravity Belt Thickener; wastewater treatment unit; at updated plant - US_Without Amendment_Windrow</v>
      </c>
    </row>
    <row r="6871" spans="1:13" s="120" customFormat="1" x14ac:dyDescent="0.25">
      <c r="A6871" s="119"/>
      <c r="B6871" s="138" t="str">
        <f t="shared" si="512"/>
        <v>Windrow</v>
      </c>
      <c r="C6871" s="138" t="str">
        <f t="shared" si="515"/>
        <v>Without Amendment</v>
      </c>
      <c r="D6871" s="138" t="str">
        <f t="shared" si="516"/>
        <v>Base_Low</v>
      </c>
      <c r="E6871" s="138" t="str">
        <f t="shared" si="517"/>
        <v>High</v>
      </c>
      <c r="F6871" s="138" t="str">
        <f t="shared" si="513"/>
        <v>Upgraded</v>
      </c>
      <c r="G6871" s="153"/>
      <c r="H6871" s="210">
        <v>8.6999999999999994E-3</v>
      </c>
      <c r="I6871" s="160" t="s">
        <v>60</v>
      </c>
      <c r="J6871" s="160">
        <v>1.418E-2</v>
      </c>
      <c r="K6871" s="160" t="s">
        <v>23</v>
      </c>
      <c r="L6871" s="154" t="str">
        <f>IF(OpenLCAbasic!K6871="CTUh", "Fill in Manually",IF(OR(K6871="Unit", K6871=""), "", INDEX(LookUps!$E$5:$E$12, MATCH(OpenLCAbasic!K6871,LookUps!$D$5:$D$12,0))))</f>
        <v>Global Warming Potential (GWP) - kg CO2 eq</v>
      </c>
      <c r="M6871" s="154" t="str">
        <f t="shared" si="514"/>
        <v>High_Base_Low_Upgraded_Global Warming Potential (GWP) - kg CO2 eq_Belt filter press; wastewater treatment unit; at updated plant - US_Without Amendment_Windrow</v>
      </c>
    </row>
    <row r="6872" spans="1:13" s="120" customFormat="1" x14ac:dyDescent="0.25">
      <c r="A6872" s="119"/>
      <c r="B6872" s="138" t="str">
        <f t="shared" si="512"/>
        <v>Windrow</v>
      </c>
      <c r="C6872" s="138" t="str">
        <f t="shared" si="515"/>
        <v>Without Amendment</v>
      </c>
      <c r="D6872" s="138" t="str">
        <f t="shared" si="516"/>
        <v>Base_Low</v>
      </c>
      <c r="E6872" s="138" t="str">
        <f t="shared" si="517"/>
        <v>High</v>
      </c>
      <c r="F6872" s="138" t="str">
        <f t="shared" si="513"/>
        <v>Upgraded</v>
      </c>
      <c r="G6872" s="153"/>
      <c r="H6872" s="210">
        <v>8.3000000000000001E-3</v>
      </c>
      <c r="I6872" s="160" t="s">
        <v>128</v>
      </c>
      <c r="J6872" s="160">
        <v>1.3509999999999999E-2</v>
      </c>
      <c r="K6872" s="160" t="s">
        <v>23</v>
      </c>
      <c r="L6872" s="154" t="str">
        <f>IF(OpenLCAbasic!K6872="CTUh", "Fill in Manually",IF(OR(K6872="Unit", K6872=""), "", INDEX(LookUps!$E$5:$E$12, MATCH(OpenLCAbasic!K6872,LookUps!$D$5:$D$12,0))))</f>
        <v>Global Warming Potential (GWP) - kg CO2 eq</v>
      </c>
      <c r="M6872" s="154" t="str">
        <f t="shared" si="514"/>
        <v>High_Base_Low_Upgraded_Global Warming Potential (GWP) - kg CO2 eq_Wastewater collection; operation and infrastructure; m3 wastewater_Without Amendment_Windrow</v>
      </c>
    </row>
    <row r="6873" spans="1:13" s="120" customFormat="1" x14ac:dyDescent="0.25">
      <c r="A6873" s="119"/>
      <c r="B6873" s="138" t="str">
        <f t="shared" si="512"/>
        <v>Windrow</v>
      </c>
      <c r="C6873" s="138" t="str">
        <f t="shared" si="515"/>
        <v>Without Amendment</v>
      </c>
      <c r="D6873" s="138" t="str">
        <f t="shared" si="516"/>
        <v>Base_Low</v>
      </c>
      <c r="E6873" s="138" t="str">
        <f t="shared" si="517"/>
        <v>High</v>
      </c>
      <c r="F6873" s="138" t="str">
        <f t="shared" si="513"/>
        <v>Upgraded</v>
      </c>
      <c r="G6873" s="153"/>
      <c r="H6873" s="210">
        <v>5.1000000000000004E-3</v>
      </c>
      <c r="I6873" s="160" t="s">
        <v>148</v>
      </c>
      <c r="J6873" s="160">
        <v>8.3000000000000001E-3</v>
      </c>
      <c r="K6873" s="160" t="s">
        <v>23</v>
      </c>
      <c r="L6873" s="154" t="str">
        <f>IF(OpenLCAbasic!K6873="CTUh", "Fill in Manually",IF(OR(K6873="Unit", K6873=""), "", INDEX(LookUps!$E$5:$E$12, MATCH(OpenLCAbasic!K6873,LookUps!$D$5:$D$12,0))))</f>
        <v>Global Warming Potential (GWP) - kg CO2 eq</v>
      </c>
      <c r="M6873" s="154" t="str">
        <f t="shared" si="514"/>
        <v>High_Base_Low_Upgraded_Global Warming Potential (GWP) - kg CO2 eq_Control Building; at upgraded wastewater treatment plant - US_Without Amendment_Windrow</v>
      </c>
    </row>
    <row r="6874" spans="1:13" s="120" customFormat="1" x14ac:dyDescent="0.25">
      <c r="A6874" s="119"/>
      <c r="B6874" s="138" t="str">
        <f t="shared" si="512"/>
        <v>Windrow</v>
      </c>
      <c r="C6874" s="138" t="str">
        <f t="shared" si="515"/>
        <v>Without Amendment</v>
      </c>
      <c r="D6874" s="138" t="str">
        <f t="shared" si="516"/>
        <v>Base_Low</v>
      </c>
      <c r="E6874" s="138" t="str">
        <f t="shared" si="517"/>
        <v>High</v>
      </c>
      <c r="F6874" s="138" t="str">
        <f t="shared" si="513"/>
        <v>Upgraded</v>
      </c>
      <c r="G6874" s="153"/>
      <c r="H6874" s="210">
        <v>3.0999999999999999E-3</v>
      </c>
      <c r="I6874" s="160" t="s">
        <v>59</v>
      </c>
      <c r="J6874" s="160">
        <v>5.0400000000000002E-3</v>
      </c>
      <c r="K6874" s="160" t="s">
        <v>23</v>
      </c>
      <c r="L6874" s="154" t="str">
        <f>IF(OpenLCAbasic!K6874="CTUh", "Fill in Manually",IF(OR(K6874="Unit", K6874=""), "", INDEX(LookUps!$E$5:$E$12, MATCH(OpenLCAbasic!K6874,LookUps!$D$5:$D$12,0))))</f>
        <v>Global Warming Potential (GWP) - kg CO2 eq</v>
      </c>
      <c r="M6874" s="154" t="str">
        <f t="shared" si="514"/>
        <v>High_Base_Low_Upgraded_Global Warming Potential (GWP) - kg CO2 eq_Blend Tank; wastewater treatment unit; at updated plant - US_Without Amendment_Windrow</v>
      </c>
    </row>
    <row r="6875" spans="1:13" s="120" customFormat="1" x14ac:dyDescent="0.25">
      <c r="A6875" s="119"/>
      <c r="B6875" s="138" t="str">
        <f t="shared" si="512"/>
        <v>Windrow</v>
      </c>
      <c r="C6875" s="138" t="str">
        <f t="shared" si="515"/>
        <v>Without Amendment</v>
      </c>
      <c r="D6875" s="138" t="str">
        <f t="shared" si="516"/>
        <v>Base_Low</v>
      </c>
      <c r="E6875" s="138" t="str">
        <f t="shared" si="517"/>
        <v>High</v>
      </c>
      <c r="F6875" s="138" t="str">
        <f t="shared" si="513"/>
        <v>Upgraded</v>
      </c>
      <c r="G6875" s="153"/>
      <c r="H6875" s="210">
        <v>1.5E-3</v>
      </c>
      <c r="I6875" s="160" t="s">
        <v>168</v>
      </c>
      <c r="J6875" s="160">
        <v>2.4099999999999998E-3</v>
      </c>
      <c r="K6875" s="160" t="s">
        <v>23</v>
      </c>
      <c r="L6875" s="154" t="str">
        <f>IF(OpenLCAbasic!K6875="CTUh", "Fill in Manually",IF(OR(K6875="Unit", K6875=""), "", INDEX(LookUps!$E$5:$E$12, MATCH(OpenLCAbasic!K6875,LookUps!$D$5:$D$12,0))))</f>
        <v>Global Warming Potential (GWP) - kg CO2 eq</v>
      </c>
      <c r="M6875" s="154" t="str">
        <f t="shared" si="514"/>
        <v>High_Base_Low_Upgraded_Global Warming Potential (GWP) - kg CO2 eq_ClearCove SCP; wastewater treatment unit; at updated plant - US_Without Amendment_Windrow</v>
      </c>
    </row>
    <row r="6876" spans="1:13" s="120" customFormat="1" x14ac:dyDescent="0.25">
      <c r="A6876" s="119"/>
      <c r="B6876" s="138" t="str">
        <f t="shared" si="512"/>
        <v>Windrow</v>
      </c>
      <c r="C6876" s="138" t="str">
        <f t="shared" si="515"/>
        <v>Without Amendment</v>
      </c>
      <c r="D6876" s="138" t="str">
        <f t="shared" si="516"/>
        <v>Base_Low</v>
      </c>
      <c r="E6876" s="138" t="str">
        <f t="shared" si="517"/>
        <v>High</v>
      </c>
      <c r="F6876" s="138" t="str">
        <f t="shared" si="513"/>
        <v>Upgraded</v>
      </c>
      <c r="G6876" s="153"/>
      <c r="H6876" s="210">
        <v>-9.5000000000000001E-2</v>
      </c>
      <c r="I6876" s="160" t="s">
        <v>62</v>
      </c>
      <c r="J6876" s="160">
        <v>-0.15398999999999999</v>
      </c>
      <c r="K6876" s="160" t="s">
        <v>23</v>
      </c>
      <c r="L6876" s="154" t="str">
        <f>IF(OpenLCAbasic!K6876="CTUh", "Fill in Manually",IF(OR(K6876="Unit", K6876=""), "", INDEX(LookUps!$E$5:$E$12, MATCH(OpenLCAbasic!K6876,LookUps!$D$5:$D$12,0))))</f>
        <v>Global Warming Potential (GWP) - kg CO2 eq</v>
      </c>
      <c r="M6876" s="154" t="str">
        <f t="shared" si="514"/>
        <v>High_Base_Low_Upgraded_Global Warming Potential (GWP) - kg CO2 eq_Land application of compost; wastewater treatment unit; at updated plant - US_Without Amendment_Windrow</v>
      </c>
    </row>
    <row r="6877" spans="1:13" s="120" customFormat="1" x14ac:dyDescent="0.25">
      <c r="A6877" s="119"/>
      <c r="B6877" s="138" t="str">
        <f t="shared" si="512"/>
        <v/>
      </c>
      <c r="C6877" s="138" t="str">
        <f t="shared" si="515"/>
        <v/>
      </c>
      <c r="D6877" s="138" t="str">
        <f t="shared" si="516"/>
        <v/>
      </c>
      <c r="E6877" s="138" t="str">
        <f t="shared" si="517"/>
        <v/>
      </c>
      <c r="F6877" s="138" t="str">
        <f t="shared" si="513"/>
        <v/>
      </c>
      <c r="G6877" s="153" t="s">
        <v>51</v>
      </c>
      <c r="H6877" s="160"/>
      <c r="I6877" s="160" t="s">
        <v>47</v>
      </c>
      <c r="J6877" s="160" t="s">
        <v>52</v>
      </c>
      <c r="K6877" s="160" t="s">
        <v>27</v>
      </c>
      <c r="L6877" s="154" t="str">
        <f>IF(OpenLCAbasic!K6877="CTUh", "Fill in Manually",IF(OR(K6877="Unit", K6877=""), "", INDEX(LookUps!$E$5:$E$12, MATCH(OpenLCAbasic!K6877,LookUps!$D$5:$D$12,0))))</f>
        <v/>
      </c>
      <c r="M6877" s="154" t="str">
        <f t="shared" si="514"/>
        <v>____Process__</v>
      </c>
    </row>
    <row r="6878" spans="1:13" s="120" customFormat="1" x14ac:dyDescent="0.25">
      <c r="A6878" s="119"/>
      <c r="B6878" s="138" t="str">
        <f t="shared" si="512"/>
        <v>Windrow</v>
      </c>
      <c r="C6878" s="138" t="str">
        <f t="shared" si="515"/>
        <v>Without Amendment</v>
      </c>
      <c r="D6878" s="138" t="str">
        <f t="shared" si="516"/>
        <v>Base_Low</v>
      </c>
      <c r="E6878" s="138" t="str">
        <f t="shared" si="517"/>
        <v>High</v>
      </c>
      <c r="F6878" s="138" t="str">
        <f t="shared" si="513"/>
        <v>Upgraded</v>
      </c>
      <c r="G6878" s="153"/>
      <c r="H6878" s="210">
        <v>0.40200000000000002</v>
      </c>
      <c r="I6878" s="160" t="s">
        <v>55</v>
      </c>
      <c r="J6878" s="160">
        <v>2.33E-3</v>
      </c>
      <c r="K6878" s="160" t="s">
        <v>145</v>
      </c>
      <c r="L6878" s="154" t="str">
        <f>IF(OpenLCAbasic!K6878="CTUh", "Fill in Manually",IF(OR(K6878="Unit", K6878=""), "", INDEX(LookUps!$E$5:$E$12, MATCH(OpenLCAbasic!K6878,LookUps!$D$5:$D$12,0))))</f>
        <v>Particulate Matter Formation Potential (PMFP) - kg PM2.5 eq</v>
      </c>
      <c r="M6878" s="154" t="str">
        <f t="shared" si="514"/>
        <v>High_Base_Low_Upgraded_Particulate Matter Formation Potential (PMFP) - kg PM2.5 eq_Aeration Tanks; wastewater treatment unit; at updated plant - US_Without Amendment_Windrow</v>
      </c>
    </row>
    <row r="6879" spans="1:13" s="120" customFormat="1" x14ac:dyDescent="0.25">
      <c r="A6879" s="119"/>
      <c r="B6879" s="138" t="str">
        <f t="shared" si="512"/>
        <v>Windrow</v>
      </c>
      <c r="C6879" s="138" t="str">
        <f t="shared" si="515"/>
        <v>Without Amendment</v>
      </c>
      <c r="D6879" s="138" t="str">
        <f t="shared" si="516"/>
        <v>Base_Low</v>
      </c>
      <c r="E6879" s="138" t="str">
        <f t="shared" si="517"/>
        <v>High</v>
      </c>
      <c r="F6879" s="138" t="str">
        <f t="shared" si="513"/>
        <v>Upgraded</v>
      </c>
      <c r="G6879" s="153"/>
      <c r="H6879" s="210">
        <v>0.11700000000000001</v>
      </c>
      <c r="I6879" s="160" t="s">
        <v>54</v>
      </c>
      <c r="J6879" s="160">
        <v>6.8000000000000005E-4</v>
      </c>
      <c r="K6879" s="160" t="s">
        <v>145</v>
      </c>
      <c r="L6879" s="154" t="str">
        <f>IF(OpenLCAbasic!K6879="CTUh", "Fill in Manually",IF(OR(K6879="Unit", K6879=""), "", INDEX(LookUps!$E$5:$E$12, MATCH(OpenLCAbasic!K6879,LookUps!$D$5:$D$12,0))))</f>
        <v>Particulate Matter Formation Potential (PMFP) - kg PM2.5 eq</v>
      </c>
      <c r="M6879" s="154" t="str">
        <f t="shared" si="514"/>
        <v>High_Base_Low_Upgraded_Particulate Matter Formation Potential (PMFP) - kg PM2.5 eq_Clear Cove Primary Clarification; wastewater treatment unit; at updated plant - US_Without Amendment_Windrow</v>
      </c>
    </row>
    <row r="6880" spans="1:13" s="120" customFormat="1" x14ac:dyDescent="0.25">
      <c r="A6880" s="119"/>
      <c r="B6880" s="138" t="str">
        <f t="shared" si="512"/>
        <v>Windrow</v>
      </c>
      <c r="C6880" s="138" t="str">
        <f t="shared" si="515"/>
        <v>Without Amendment</v>
      </c>
      <c r="D6880" s="138" t="str">
        <f t="shared" si="516"/>
        <v>Base_Low</v>
      </c>
      <c r="E6880" s="138" t="str">
        <f t="shared" si="517"/>
        <v>High</v>
      </c>
      <c r="F6880" s="138" t="str">
        <f t="shared" si="513"/>
        <v>Upgraded</v>
      </c>
      <c r="G6880" s="153"/>
      <c r="H6880" s="210">
        <v>0.1011</v>
      </c>
      <c r="I6880" s="160" t="s">
        <v>58</v>
      </c>
      <c r="J6880" s="160">
        <v>5.9000000000000003E-4</v>
      </c>
      <c r="K6880" s="160" t="s">
        <v>145</v>
      </c>
      <c r="L6880" s="154" t="str">
        <f>IF(OpenLCAbasic!K6880="CTUh", "Fill in Manually",IF(OR(K6880="Unit", K6880=""), "", INDEX(LookUps!$E$5:$E$12, MATCH(OpenLCAbasic!K6880,LookUps!$D$5:$D$12,0))))</f>
        <v>Particulate Matter Formation Potential (PMFP) - kg PM2.5 eq</v>
      </c>
      <c r="M6880" s="154" t="str">
        <f t="shared" si="514"/>
        <v>High_Base_Low_Upgraded_Particulate Matter Formation Potential (PMFP) - kg PM2.5 eq_Pre-Anoxic &amp; Swing tank; wastewater treatment unit; at updated plant - US_Without Amendment_Windrow</v>
      </c>
    </row>
    <row r="6881" spans="1:13" s="120" customFormat="1" x14ac:dyDescent="0.25">
      <c r="A6881" s="119"/>
      <c r="B6881" s="138" t="str">
        <f t="shared" si="512"/>
        <v>Windrow</v>
      </c>
      <c r="C6881" s="138" t="str">
        <f t="shared" si="515"/>
        <v>Without Amendment</v>
      </c>
      <c r="D6881" s="138" t="str">
        <f t="shared" si="516"/>
        <v>Base_Low</v>
      </c>
      <c r="E6881" s="138" t="str">
        <f t="shared" si="517"/>
        <v>High</v>
      </c>
      <c r="F6881" s="138" t="str">
        <f t="shared" si="513"/>
        <v>Upgraded</v>
      </c>
      <c r="G6881" s="153"/>
      <c r="H6881" s="210">
        <v>8.0399999999999999E-2</v>
      </c>
      <c r="I6881" s="160" t="s">
        <v>53</v>
      </c>
      <c r="J6881" s="160">
        <v>4.6999999999999999E-4</v>
      </c>
      <c r="K6881" s="160" t="s">
        <v>145</v>
      </c>
      <c r="L6881" s="154" t="str">
        <f>IF(OpenLCAbasic!K6881="CTUh", "Fill in Manually",IF(OR(K6881="Unit", K6881=""), "", INDEX(LookUps!$E$5:$E$12, MATCH(OpenLCAbasic!K6881,LookUps!$D$5:$D$12,0))))</f>
        <v>Particulate Matter Formation Potential (PMFP) - kg PM2.5 eq</v>
      </c>
      <c r="M6881" s="154" t="str">
        <f t="shared" si="514"/>
        <v>High_Base_Low_Upgraded_Particulate Matter Formation Potential (PMFP) - kg PM2.5 eq_Wet Well and Sump Station; wastewater treatment unit; at updated plant - US_Without Amendment_Windrow</v>
      </c>
    </row>
    <row r="6882" spans="1:13" s="120" customFormat="1" x14ac:dyDescent="0.25">
      <c r="A6882" s="119"/>
      <c r="B6882" s="138" t="str">
        <f t="shared" si="512"/>
        <v>Windrow</v>
      </c>
      <c r="C6882" s="138" t="str">
        <f t="shared" si="515"/>
        <v>Without Amendment</v>
      </c>
      <c r="D6882" s="138" t="str">
        <f t="shared" si="516"/>
        <v>Base_Low</v>
      </c>
      <c r="E6882" s="138" t="str">
        <f t="shared" si="517"/>
        <v>High</v>
      </c>
      <c r="F6882" s="138" t="str">
        <f t="shared" si="513"/>
        <v>Upgraded</v>
      </c>
      <c r="G6882" s="153"/>
      <c r="H6882" s="210">
        <v>5.8099999999999999E-2</v>
      </c>
      <c r="I6882" s="160" t="s">
        <v>149</v>
      </c>
      <c r="J6882" s="160">
        <v>3.4000000000000002E-4</v>
      </c>
      <c r="K6882" s="160" t="s">
        <v>145</v>
      </c>
      <c r="L6882" s="154" t="str">
        <f>IF(OpenLCAbasic!K6882="CTUh", "Fill in Manually",IF(OR(K6882="Unit", K6882=""), "", INDEX(LookUps!$E$5:$E$12, MATCH(OpenLCAbasic!K6882,LookUps!$D$5:$D$12,0))))</f>
        <v>Particulate Matter Formation Potential (PMFP) - kg PM2.5 eq</v>
      </c>
      <c r="M6882" s="154" t="str">
        <f t="shared" si="514"/>
        <v>High_Base_Low_Upgraded_Particulate Matter Formation Potential (PMFP) - kg PM2.5 eq_Anaerobic Digestion; wastewater treatment unit; at updated plant - US_Without Amendment_Windrow</v>
      </c>
    </row>
    <row r="6883" spans="1:13" s="120" customFormat="1" x14ac:dyDescent="0.25">
      <c r="A6883" s="119"/>
      <c r="B6883" s="138" t="str">
        <f t="shared" si="512"/>
        <v>Windrow</v>
      </c>
      <c r="C6883" s="138" t="str">
        <f t="shared" si="515"/>
        <v>Without Amendment</v>
      </c>
      <c r="D6883" s="138" t="str">
        <f t="shared" si="516"/>
        <v>Base_Low</v>
      </c>
      <c r="E6883" s="138" t="str">
        <f t="shared" si="517"/>
        <v>High</v>
      </c>
      <c r="F6883" s="138" t="str">
        <f t="shared" si="513"/>
        <v>Upgraded</v>
      </c>
      <c r="G6883" s="153"/>
      <c r="H6883" s="210">
        <v>5.1499999999999997E-2</v>
      </c>
      <c r="I6883" s="160" t="s">
        <v>167</v>
      </c>
      <c r="J6883" s="160">
        <v>2.9999999999999997E-4</v>
      </c>
      <c r="K6883" s="160" t="s">
        <v>145</v>
      </c>
      <c r="L6883" s="154" t="str">
        <f>IF(OpenLCAbasic!K6883="CTUh", "Fill in Manually",IF(OR(K6883="Unit", K6883=""), "", INDEX(LookUps!$E$5:$E$12, MATCH(OpenLCAbasic!K6883,LookUps!$D$5:$D$12,0))))</f>
        <v>Particulate Matter Formation Potential (PMFP) - kg PM2.5 eq</v>
      </c>
      <c r="M6883" s="154" t="str">
        <f t="shared" si="514"/>
        <v>High_Base_Low_Upgraded_Particulate Matter Formation Potential (PMFP) - kg PM2.5 eq_Waste Receiving and Holding; wastewater treatment unit; at updated plant - US_Without Amendment_Windrow</v>
      </c>
    </row>
    <row r="6884" spans="1:13" s="120" customFormat="1" x14ac:dyDescent="0.25">
      <c r="A6884" s="119"/>
      <c r="B6884" s="138" t="str">
        <f t="shared" si="512"/>
        <v>Windrow</v>
      </c>
      <c r="C6884" s="138" t="str">
        <f t="shared" si="515"/>
        <v>Without Amendment</v>
      </c>
      <c r="D6884" s="138" t="str">
        <f t="shared" si="516"/>
        <v>Base_Low</v>
      </c>
      <c r="E6884" s="138" t="str">
        <f t="shared" si="517"/>
        <v>High</v>
      </c>
      <c r="F6884" s="138" t="str">
        <f t="shared" si="513"/>
        <v>Upgraded</v>
      </c>
      <c r="G6884" s="153"/>
      <c r="H6884" s="210">
        <v>4.6399999999999997E-2</v>
      </c>
      <c r="I6884" s="160" t="s">
        <v>271</v>
      </c>
      <c r="J6884" s="160">
        <v>2.7E-4</v>
      </c>
      <c r="K6884" s="160" t="s">
        <v>145</v>
      </c>
      <c r="L6884" s="154" t="str">
        <f>IF(OpenLCAbasic!K6884="CTUh", "Fill in Manually",IF(OR(K6884="Unit", K6884=""), "", INDEX(LookUps!$E$5:$E$12, MATCH(OpenLCAbasic!K6884,LookUps!$D$5:$D$12,0))))</f>
        <v>Particulate Matter Formation Potential (PMFP) - kg PM2.5 eq</v>
      </c>
      <c r="M6884" s="154" t="str">
        <f t="shared" si="514"/>
        <v>High_Base_Low_Upgraded_Particulate Matter Formation Potential (PMFP) - kg PM2.5 eq_Biosolids composting; windrow composting; wastewater treatment unit; at updated plant - US_Without Amendment_Windrow</v>
      </c>
    </row>
    <row r="6885" spans="1:13" s="120" customFormat="1" x14ac:dyDescent="0.25">
      <c r="A6885" s="119"/>
      <c r="B6885" s="138" t="str">
        <f t="shared" si="512"/>
        <v>Windrow</v>
      </c>
      <c r="C6885" s="138" t="str">
        <f t="shared" si="515"/>
        <v>Without Amendment</v>
      </c>
      <c r="D6885" s="138" t="str">
        <f t="shared" si="516"/>
        <v>Base_Low</v>
      </c>
      <c r="E6885" s="138" t="str">
        <f t="shared" si="517"/>
        <v>High</v>
      </c>
      <c r="F6885" s="138" t="str">
        <f t="shared" si="513"/>
        <v>Upgraded</v>
      </c>
      <c r="G6885" s="153"/>
      <c r="H6885" s="210">
        <v>4.5900000000000003E-2</v>
      </c>
      <c r="I6885" s="160" t="s">
        <v>147</v>
      </c>
      <c r="J6885" s="160">
        <v>2.7E-4</v>
      </c>
      <c r="K6885" s="160" t="s">
        <v>145</v>
      </c>
      <c r="L6885" s="154" t="str">
        <f>IF(OpenLCAbasic!K6885="CTUh", "Fill in Manually",IF(OR(K6885="Unit", K6885=""), "", INDEX(LookUps!$E$5:$E$12, MATCH(OpenLCAbasic!K6885,LookUps!$D$5:$D$12,0))))</f>
        <v>Particulate Matter Formation Potential (PMFP) - kg PM2.5 eq</v>
      </c>
      <c r="M6885" s="154" t="str">
        <f t="shared" si="514"/>
        <v>High_Base_Low_Upgraded_Particulate Matter Formation Potential (PMFP) - kg PM2.5 eq_Influent Pump Station; wastewater treatment unit; at updated plant - US_Without Amendment_Windrow</v>
      </c>
    </row>
    <row r="6886" spans="1:13" s="120" customFormat="1" x14ac:dyDescent="0.25">
      <c r="A6886" s="119"/>
      <c r="B6886" s="138" t="str">
        <f t="shared" si="512"/>
        <v>Windrow</v>
      </c>
      <c r="C6886" s="138" t="str">
        <f t="shared" si="515"/>
        <v>Without Amendment</v>
      </c>
      <c r="D6886" s="138" t="str">
        <f t="shared" si="516"/>
        <v>Base_Low</v>
      </c>
      <c r="E6886" s="138" t="str">
        <f t="shared" si="517"/>
        <v>High</v>
      </c>
      <c r="F6886" s="138" t="str">
        <f t="shared" si="513"/>
        <v>Upgraded</v>
      </c>
      <c r="G6886" s="153"/>
      <c r="H6886" s="210">
        <v>2.87E-2</v>
      </c>
      <c r="I6886" s="160" t="s">
        <v>128</v>
      </c>
      <c r="J6886" s="160">
        <v>1.7000000000000001E-4</v>
      </c>
      <c r="K6886" s="160" t="s">
        <v>145</v>
      </c>
      <c r="L6886" s="154" t="str">
        <f>IF(OpenLCAbasic!K6886="CTUh", "Fill in Manually",IF(OR(K6886="Unit", K6886=""), "", INDEX(LookUps!$E$5:$E$12, MATCH(OpenLCAbasic!K6886,LookUps!$D$5:$D$12,0))))</f>
        <v>Particulate Matter Formation Potential (PMFP) - kg PM2.5 eq</v>
      </c>
      <c r="M6886" s="154" t="str">
        <f t="shared" si="514"/>
        <v>High_Base_Low_Upgraded_Particulate Matter Formation Potential (PMFP) - kg PM2.5 eq_Wastewater collection; operation and infrastructure; m3 wastewater_Without Amendment_Windrow</v>
      </c>
    </row>
    <row r="6887" spans="1:13" s="120" customFormat="1" x14ac:dyDescent="0.25">
      <c r="A6887" s="119"/>
      <c r="B6887" s="138" t="str">
        <f t="shared" si="512"/>
        <v>Windrow</v>
      </c>
      <c r="C6887" s="138" t="str">
        <f t="shared" si="515"/>
        <v>Without Amendment</v>
      </c>
      <c r="D6887" s="138" t="str">
        <f t="shared" si="516"/>
        <v>Base_Low</v>
      </c>
      <c r="E6887" s="138" t="str">
        <f t="shared" si="517"/>
        <v>High</v>
      </c>
      <c r="F6887" s="138" t="str">
        <f t="shared" si="513"/>
        <v>Upgraded</v>
      </c>
      <c r="G6887" s="153"/>
      <c r="H6887" s="210">
        <v>0.02</v>
      </c>
      <c r="I6887" s="160" t="s">
        <v>60</v>
      </c>
      <c r="J6887" s="160">
        <v>1.2E-4</v>
      </c>
      <c r="K6887" s="160" t="s">
        <v>145</v>
      </c>
      <c r="L6887" s="154" t="str">
        <f>IF(OpenLCAbasic!K6887="CTUh", "Fill in Manually",IF(OR(K6887="Unit", K6887=""), "", INDEX(LookUps!$E$5:$E$12, MATCH(OpenLCAbasic!K6887,LookUps!$D$5:$D$12,0))))</f>
        <v>Particulate Matter Formation Potential (PMFP) - kg PM2.5 eq</v>
      </c>
      <c r="M6887" s="154" t="str">
        <f t="shared" si="514"/>
        <v>High_Base_Low_Upgraded_Particulate Matter Formation Potential (PMFP) - kg PM2.5 eq_Belt filter press; wastewater treatment unit; at updated plant - US_Without Amendment_Windrow</v>
      </c>
    </row>
    <row r="6888" spans="1:13" s="120" customFormat="1" x14ac:dyDescent="0.25">
      <c r="A6888" s="119"/>
      <c r="B6888" s="138" t="str">
        <f t="shared" ref="B6888:B6951" si="518">IF(F6888="Legacy","n.a.",IF(F6888="","","Windrow"))</f>
        <v>Windrow</v>
      </c>
      <c r="C6888" s="138" t="str">
        <f t="shared" si="515"/>
        <v>Without Amendment</v>
      </c>
      <c r="D6888" s="138" t="str">
        <f t="shared" si="516"/>
        <v>Base_Low</v>
      </c>
      <c r="E6888" s="138" t="str">
        <f t="shared" si="517"/>
        <v>High</v>
      </c>
      <c r="F6888" s="138" t="str">
        <f t="shared" ref="F6888:F6951" si="519">IF(ISNUMBER(J6888),"Upgraded","")</f>
        <v>Upgraded</v>
      </c>
      <c r="G6888" s="153"/>
      <c r="H6888" s="210">
        <v>1.6400000000000001E-2</v>
      </c>
      <c r="I6888" s="160" t="s">
        <v>57</v>
      </c>
      <c r="J6888" s="211">
        <v>9.5153800000000004E-5</v>
      </c>
      <c r="K6888" s="160" t="s">
        <v>145</v>
      </c>
      <c r="L6888" s="154" t="str">
        <f>IF(OpenLCAbasic!K6888="CTUh", "Fill in Manually",IF(OR(K6888="Unit", K6888=""), "", INDEX(LookUps!$E$5:$E$12, MATCH(OpenLCAbasic!K6888,LookUps!$D$5:$D$12,0))))</f>
        <v>Particulate Matter Formation Potential (PMFP) - kg PM2.5 eq</v>
      </c>
      <c r="M6888" s="154" t="str">
        <f t="shared" si="514"/>
        <v>High_Base_Low_Upgraded_Particulate Matter Formation Potential (PMFP) - kg PM2.5 eq_Gravity Belt Thickener; wastewater treatment unit; at updated plant - US_Without Amendment_Windrow</v>
      </c>
    </row>
    <row r="6889" spans="1:13" s="120" customFormat="1" x14ac:dyDescent="0.25">
      <c r="A6889" s="119"/>
      <c r="B6889" s="138" t="str">
        <f t="shared" si="518"/>
        <v>Windrow</v>
      </c>
      <c r="C6889" s="138" t="str">
        <f t="shared" si="515"/>
        <v>Without Amendment</v>
      </c>
      <c r="D6889" s="138" t="str">
        <f t="shared" si="516"/>
        <v>Base_Low</v>
      </c>
      <c r="E6889" s="138" t="str">
        <f t="shared" si="517"/>
        <v>High</v>
      </c>
      <c r="F6889" s="138" t="str">
        <f t="shared" si="519"/>
        <v>Upgraded</v>
      </c>
      <c r="G6889" s="153"/>
      <c r="H6889" s="210">
        <v>1.2E-2</v>
      </c>
      <c r="I6889" s="160" t="s">
        <v>59</v>
      </c>
      <c r="J6889" s="211">
        <v>6.9942200000000003E-5</v>
      </c>
      <c r="K6889" s="160" t="s">
        <v>145</v>
      </c>
      <c r="L6889" s="154" t="str">
        <f>IF(OpenLCAbasic!K6889="CTUh", "Fill in Manually",IF(OR(K6889="Unit", K6889=""), "", INDEX(LookUps!$E$5:$E$12, MATCH(OpenLCAbasic!K6889,LookUps!$D$5:$D$12,0))))</f>
        <v>Particulate Matter Formation Potential (PMFP) - kg PM2.5 eq</v>
      </c>
      <c r="M6889" s="154" t="str">
        <f t="shared" si="514"/>
        <v>High_Base_Low_Upgraded_Particulate Matter Formation Potential (PMFP) - kg PM2.5 eq_Blend Tank; wastewater treatment unit; at updated plant - US_Without Amendment_Windrow</v>
      </c>
    </row>
    <row r="6890" spans="1:13" s="120" customFormat="1" x14ac:dyDescent="0.25">
      <c r="A6890" s="119"/>
      <c r="B6890" s="138" t="str">
        <f t="shared" si="518"/>
        <v>Windrow</v>
      </c>
      <c r="C6890" s="138" t="str">
        <f t="shared" si="515"/>
        <v>Without Amendment</v>
      </c>
      <c r="D6890" s="138" t="str">
        <f t="shared" si="516"/>
        <v>Base_Low</v>
      </c>
      <c r="E6890" s="138" t="str">
        <f t="shared" si="517"/>
        <v>High</v>
      </c>
      <c r="F6890" s="138" t="str">
        <f t="shared" si="519"/>
        <v>Upgraded</v>
      </c>
      <c r="G6890" s="153"/>
      <c r="H6890" s="210">
        <v>8.6E-3</v>
      </c>
      <c r="I6890" s="160" t="s">
        <v>48</v>
      </c>
      <c r="J6890" s="211">
        <v>4.99741E-5</v>
      </c>
      <c r="K6890" s="160" t="s">
        <v>145</v>
      </c>
      <c r="L6890" s="154" t="str">
        <f>IF(OpenLCAbasic!K6890="CTUh", "Fill in Manually",IF(OR(K6890="Unit", K6890=""), "", INDEX(LookUps!$E$5:$E$12, MATCH(OpenLCAbasic!K6890,LookUps!$D$5:$D$12,0))))</f>
        <v>Particulate Matter Formation Potential (PMFP) - kg PM2.5 eq</v>
      </c>
      <c r="M6890" s="154" t="str">
        <f t="shared" si="514"/>
        <v>High_Base_Low_Upgraded_Particulate Matter Formation Potential (PMFP) - kg PM2.5 eq_Effluent release; wastewater treatment unit; at surface water; m3 wastewater - US_Without Amendment_Windrow</v>
      </c>
    </row>
    <row r="6891" spans="1:13" s="120" customFormat="1" x14ac:dyDescent="0.25">
      <c r="A6891" s="119"/>
      <c r="B6891" s="138" t="str">
        <f t="shared" si="518"/>
        <v>Windrow</v>
      </c>
      <c r="C6891" s="138" t="str">
        <f t="shared" si="515"/>
        <v>Without Amendment</v>
      </c>
      <c r="D6891" s="138" t="str">
        <f t="shared" si="516"/>
        <v>Base_Low</v>
      </c>
      <c r="E6891" s="138" t="str">
        <f t="shared" si="517"/>
        <v>High</v>
      </c>
      <c r="F6891" s="138" t="str">
        <f t="shared" si="519"/>
        <v>Upgraded</v>
      </c>
      <c r="G6891" s="153"/>
      <c r="H6891" s="210">
        <v>6.0000000000000001E-3</v>
      </c>
      <c r="I6891" s="160" t="s">
        <v>168</v>
      </c>
      <c r="J6891" s="211">
        <v>3.4562199999999999E-5</v>
      </c>
      <c r="K6891" s="160" t="s">
        <v>145</v>
      </c>
      <c r="L6891" s="154" t="str">
        <f>IF(OpenLCAbasic!K6891="CTUh", "Fill in Manually",IF(OR(K6891="Unit", K6891=""), "", INDEX(LookUps!$E$5:$E$12, MATCH(OpenLCAbasic!K6891,LookUps!$D$5:$D$12,0))))</f>
        <v>Particulate Matter Formation Potential (PMFP) - kg PM2.5 eq</v>
      </c>
      <c r="M6891" s="154" t="str">
        <f t="shared" si="514"/>
        <v>High_Base_Low_Upgraded_Particulate Matter Formation Potential (PMFP) - kg PM2.5 eq_ClearCove SCP; wastewater treatment unit; at updated plant - US_Without Amendment_Windrow</v>
      </c>
    </row>
    <row r="6892" spans="1:13" s="120" customFormat="1" x14ac:dyDescent="0.25">
      <c r="A6892" s="119"/>
      <c r="B6892" s="138" t="str">
        <f t="shared" si="518"/>
        <v>Windrow</v>
      </c>
      <c r="C6892" s="138" t="str">
        <f t="shared" si="515"/>
        <v>Without Amendment</v>
      </c>
      <c r="D6892" s="138" t="str">
        <f t="shared" si="516"/>
        <v>Base_Low</v>
      </c>
      <c r="E6892" s="138" t="str">
        <f t="shared" si="517"/>
        <v>High</v>
      </c>
      <c r="F6892" s="138" t="str">
        <f t="shared" si="519"/>
        <v>Upgraded</v>
      </c>
      <c r="G6892" s="153"/>
      <c r="H6892" s="210">
        <v>4.4999999999999997E-3</v>
      </c>
      <c r="I6892" s="160" t="s">
        <v>62</v>
      </c>
      <c r="J6892" s="211">
        <v>2.6144099999999999E-5</v>
      </c>
      <c r="K6892" s="160" t="s">
        <v>145</v>
      </c>
      <c r="L6892" s="154" t="str">
        <f>IF(OpenLCAbasic!K6892="CTUh", "Fill in Manually",IF(OR(K6892="Unit", K6892=""), "", INDEX(LookUps!$E$5:$E$12, MATCH(OpenLCAbasic!K6892,LookUps!$D$5:$D$12,0))))</f>
        <v>Particulate Matter Formation Potential (PMFP) - kg PM2.5 eq</v>
      </c>
      <c r="M6892" s="154" t="str">
        <f t="shared" si="514"/>
        <v>High_Base_Low_Upgraded_Particulate Matter Formation Potential (PMFP) - kg PM2.5 eq_Land application of compost; wastewater treatment unit; at updated plant - US_Without Amendment_Windrow</v>
      </c>
    </row>
    <row r="6893" spans="1:13" s="120" customFormat="1" x14ac:dyDescent="0.25">
      <c r="A6893" s="119"/>
      <c r="B6893" s="138" t="str">
        <f t="shared" si="518"/>
        <v>Windrow</v>
      </c>
      <c r="C6893" s="138" t="str">
        <f t="shared" si="515"/>
        <v>Without Amendment</v>
      </c>
      <c r="D6893" s="138" t="str">
        <f t="shared" si="516"/>
        <v>Base_Low</v>
      </c>
      <c r="E6893" s="138" t="str">
        <f t="shared" si="517"/>
        <v>High</v>
      </c>
      <c r="F6893" s="138" t="str">
        <f t="shared" si="519"/>
        <v>Upgraded</v>
      </c>
      <c r="G6893" s="153"/>
      <c r="H6893" s="210">
        <v>1.5E-3</v>
      </c>
      <c r="I6893" s="160" t="s">
        <v>148</v>
      </c>
      <c r="J6893" s="211">
        <v>8.8212999999999997E-6</v>
      </c>
      <c r="K6893" s="160" t="s">
        <v>145</v>
      </c>
      <c r="L6893" s="154" t="str">
        <f>IF(OpenLCAbasic!K6893="CTUh", "Fill in Manually",IF(OR(K6893="Unit", K6893=""), "", INDEX(LookUps!$E$5:$E$12, MATCH(OpenLCAbasic!K6893,LookUps!$D$5:$D$12,0))))</f>
        <v>Particulate Matter Formation Potential (PMFP) - kg PM2.5 eq</v>
      </c>
      <c r="M6893" s="154" t="str">
        <f t="shared" si="514"/>
        <v>High_Base_Low_Upgraded_Particulate Matter Formation Potential (PMFP) - kg PM2.5 eq_Control Building; at upgraded wastewater treatment plant - US_Without Amendment_Windrow</v>
      </c>
    </row>
    <row r="6894" spans="1:13" s="120" customFormat="1" x14ac:dyDescent="0.25">
      <c r="A6894" s="119"/>
      <c r="B6894" s="138" t="str">
        <f t="shared" si="518"/>
        <v/>
      </c>
      <c r="C6894" s="138" t="str">
        <f t="shared" si="515"/>
        <v/>
      </c>
      <c r="D6894" s="138" t="str">
        <f t="shared" si="516"/>
        <v/>
      </c>
      <c r="E6894" s="138" t="str">
        <f t="shared" si="517"/>
        <v/>
      </c>
      <c r="F6894" s="138" t="str">
        <f t="shared" si="519"/>
        <v/>
      </c>
      <c r="G6894" s="153" t="s">
        <v>51</v>
      </c>
      <c r="H6894" s="160"/>
      <c r="I6894" s="160" t="s">
        <v>47</v>
      </c>
      <c r="J6894" s="160" t="s">
        <v>52</v>
      </c>
      <c r="K6894" s="160" t="s">
        <v>27</v>
      </c>
      <c r="L6894" s="154" t="str">
        <f>IF(OpenLCAbasic!K6894="CTUh", "Fill in Manually",IF(OR(K6894="Unit", K6894=""), "", INDEX(LookUps!$E$5:$E$12, MATCH(OpenLCAbasic!K6894,LookUps!$D$5:$D$12,0))))</f>
        <v/>
      </c>
      <c r="M6894" s="154" t="str">
        <f t="shared" si="514"/>
        <v>____Process__</v>
      </c>
    </row>
    <row r="6895" spans="1:13" s="120" customFormat="1" x14ac:dyDescent="0.25">
      <c r="A6895" s="119"/>
      <c r="B6895" s="138" t="str">
        <f t="shared" si="518"/>
        <v>Windrow</v>
      </c>
      <c r="C6895" s="138" t="str">
        <f t="shared" si="515"/>
        <v>Without Amendment</v>
      </c>
      <c r="D6895" s="138" t="str">
        <f t="shared" si="516"/>
        <v>Base_Low</v>
      </c>
      <c r="E6895" s="138" t="str">
        <f t="shared" si="517"/>
        <v>High</v>
      </c>
      <c r="F6895" s="138" t="str">
        <f t="shared" si="519"/>
        <v>Upgraded</v>
      </c>
      <c r="G6895" s="153"/>
      <c r="H6895" s="210">
        <v>0.4168</v>
      </c>
      <c r="I6895" s="160" t="s">
        <v>55</v>
      </c>
      <c r="J6895" s="160">
        <v>0.16577</v>
      </c>
      <c r="K6895" s="160" t="s">
        <v>25</v>
      </c>
      <c r="L6895" s="154" t="str">
        <f>IF(OpenLCAbasic!K6895="CTUh", "Fill in Manually",IF(OR(K6895="Unit", K6895=""), "", INDEX(LookUps!$E$5:$E$12, MATCH(OpenLCAbasic!K6895,LookUps!$D$5:$D$12,0))))</f>
        <v>Smog Formation Potential (SFP) - kg O3 eq</v>
      </c>
      <c r="M6895" s="154" t="str">
        <f t="shared" si="514"/>
        <v>High_Base_Low_Upgraded_Smog Formation Potential (SFP) - kg O3 eq_Aeration Tanks; wastewater treatment unit; at updated plant - US_Without Amendment_Windrow</v>
      </c>
    </row>
    <row r="6896" spans="1:13" s="120" customFormat="1" x14ac:dyDescent="0.25">
      <c r="A6896" s="119"/>
      <c r="B6896" s="138" t="str">
        <f t="shared" si="518"/>
        <v>Windrow</v>
      </c>
      <c r="C6896" s="138" t="str">
        <f t="shared" si="515"/>
        <v>Without Amendment</v>
      </c>
      <c r="D6896" s="138" t="str">
        <f t="shared" si="516"/>
        <v>Base_Low</v>
      </c>
      <c r="E6896" s="138" t="str">
        <f t="shared" si="517"/>
        <v>High</v>
      </c>
      <c r="F6896" s="138" t="str">
        <f t="shared" si="519"/>
        <v>Upgraded</v>
      </c>
      <c r="G6896" s="153"/>
      <c r="H6896" s="210">
        <v>0.12089999999999999</v>
      </c>
      <c r="I6896" s="160" t="s">
        <v>54</v>
      </c>
      <c r="J6896" s="160">
        <v>4.8070000000000002E-2</v>
      </c>
      <c r="K6896" s="160" t="s">
        <v>25</v>
      </c>
      <c r="L6896" s="154" t="str">
        <f>IF(OpenLCAbasic!K6896="CTUh", "Fill in Manually",IF(OR(K6896="Unit", K6896=""), "", INDEX(LookUps!$E$5:$E$12, MATCH(OpenLCAbasic!K6896,LookUps!$D$5:$D$12,0))))</f>
        <v>Smog Formation Potential (SFP) - kg O3 eq</v>
      </c>
      <c r="M6896" s="154" t="str">
        <f t="shared" si="514"/>
        <v>High_Base_Low_Upgraded_Smog Formation Potential (SFP) - kg O3 eq_Clear Cove Primary Clarification; wastewater treatment unit; at updated plant - US_Without Amendment_Windrow</v>
      </c>
    </row>
    <row r="6897" spans="1:13" s="120" customFormat="1" x14ac:dyDescent="0.25">
      <c r="A6897" s="119"/>
      <c r="B6897" s="138" t="str">
        <f t="shared" si="518"/>
        <v>Windrow</v>
      </c>
      <c r="C6897" s="138" t="str">
        <f t="shared" si="515"/>
        <v>Without Amendment</v>
      </c>
      <c r="D6897" s="138" t="str">
        <f t="shared" si="516"/>
        <v>Base_Low</v>
      </c>
      <c r="E6897" s="138" t="str">
        <f t="shared" si="517"/>
        <v>High</v>
      </c>
      <c r="F6897" s="138" t="str">
        <f t="shared" si="519"/>
        <v>Upgraded</v>
      </c>
      <c r="G6897" s="153"/>
      <c r="H6897" s="210">
        <v>0.105</v>
      </c>
      <c r="I6897" s="160" t="s">
        <v>58</v>
      </c>
      <c r="J6897" s="160">
        <v>4.1779999999999998E-2</v>
      </c>
      <c r="K6897" s="160" t="s">
        <v>25</v>
      </c>
      <c r="L6897" s="154" t="str">
        <f>IF(OpenLCAbasic!K6897="CTUh", "Fill in Manually",IF(OR(K6897="Unit", K6897=""), "", INDEX(LookUps!$E$5:$E$12, MATCH(OpenLCAbasic!K6897,LookUps!$D$5:$D$12,0))))</f>
        <v>Smog Formation Potential (SFP) - kg O3 eq</v>
      </c>
      <c r="M6897" s="154" t="str">
        <f t="shared" si="514"/>
        <v>High_Base_Low_Upgraded_Smog Formation Potential (SFP) - kg O3 eq_Pre-Anoxic &amp; Swing tank; wastewater treatment unit; at updated plant - US_Without Amendment_Windrow</v>
      </c>
    </row>
    <row r="6898" spans="1:13" s="120" customFormat="1" x14ac:dyDescent="0.25">
      <c r="A6898" s="119"/>
      <c r="B6898" s="138" t="str">
        <f t="shared" si="518"/>
        <v>Windrow</v>
      </c>
      <c r="C6898" s="138" t="str">
        <f t="shared" si="515"/>
        <v>Without Amendment</v>
      </c>
      <c r="D6898" s="138" t="str">
        <f t="shared" si="516"/>
        <v>Base_Low</v>
      </c>
      <c r="E6898" s="138" t="str">
        <f t="shared" si="517"/>
        <v>High</v>
      </c>
      <c r="F6898" s="138" t="str">
        <f t="shared" si="519"/>
        <v>Upgraded</v>
      </c>
      <c r="G6898" s="153"/>
      <c r="H6898" s="210">
        <v>8.3299999999999999E-2</v>
      </c>
      <c r="I6898" s="160" t="s">
        <v>53</v>
      </c>
      <c r="J6898" s="160">
        <v>3.313E-2</v>
      </c>
      <c r="K6898" s="160" t="s">
        <v>25</v>
      </c>
      <c r="L6898" s="154" t="str">
        <f>IF(OpenLCAbasic!K6898="CTUh", "Fill in Manually",IF(OR(K6898="Unit", K6898=""), "", INDEX(LookUps!$E$5:$E$12, MATCH(OpenLCAbasic!K6898,LookUps!$D$5:$D$12,0))))</f>
        <v>Smog Formation Potential (SFP) - kg O3 eq</v>
      </c>
      <c r="M6898" s="154" t="str">
        <f t="shared" si="514"/>
        <v>High_Base_Low_Upgraded_Smog Formation Potential (SFP) - kg O3 eq_Wet Well and Sump Station; wastewater treatment unit; at updated plant - US_Without Amendment_Windrow</v>
      </c>
    </row>
    <row r="6899" spans="1:13" s="120" customFormat="1" x14ac:dyDescent="0.25">
      <c r="A6899" s="119"/>
      <c r="B6899" s="138" t="str">
        <f t="shared" si="518"/>
        <v>Windrow</v>
      </c>
      <c r="C6899" s="138" t="str">
        <f t="shared" si="515"/>
        <v>Without Amendment</v>
      </c>
      <c r="D6899" s="138" t="str">
        <f t="shared" si="516"/>
        <v>Base_Low</v>
      </c>
      <c r="E6899" s="138" t="str">
        <f t="shared" si="517"/>
        <v>High</v>
      </c>
      <c r="F6899" s="138" t="str">
        <f t="shared" si="519"/>
        <v>Upgraded</v>
      </c>
      <c r="G6899" s="153"/>
      <c r="H6899" s="210">
        <v>7.0300000000000001E-2</v>
      </c>
      <c r="I6899" s="160" t="s">
        <v>167</v>
      </c>
      <c r="J6899" s="160">
        <v>2.7949999999999999E-2</v>
      </c>
      <c r="K6899" s="160" t="s">
        <v>25</v>
      </c>
      <c r="L6899" s="154" t="str">
        <f>IF(OpenLCAbasic!K6899="CTUh", "Fill in Manually",IF(OR(K6899="Unit", K6899=""), "", INDEX(LookUps!$E$5:$E$12, MATCH(OpenLCAbasic!K6899,LookUps!$D$5:$D$12,0))))</f>
        <v>Smog Formation Potential (SFP) - kg O3 eq</v>
      </c>
      <c r="M6899" s="154" t="str">
        <f t="shared" si="514"/>
        <v>High_Base_Low_Upgraded_Smog Formation Potential (SFP) - kg O3 eq_Waste Receiving and Holding; wastewater treatment unit; at updated plant - US_Without Amendment_Windrow</v>
      </c>
    </row>
    <row r="6900" spans="1:13" s="120" customFormat="1" x14ac:dyDescent="0.25">
      <c r="A6900" s="119"/>
      <c r="B6900" s="138" t="str">
        <f t="shared" si="518"/>
        <v>Windrow</v>
      </c>
      <c r="C6900" s="138" t="str">
        <f t="shared" si="515"/>
        <v>Without Amendment</v>
      </c>
      <c r="D6900" s="138" t="str">
        <f t="shared" si="516"/>
        <v>Base_Low</v>
      </c>
      <c r="E6900" s="138" t="str">
        <f t="shared" si="517"/>
        <v>High</v>
      </c>
      <c r="F6900" s="138" t="str">
        <f t="shared" si="519"/>
        <v>Upgraded</v>
      </c>
      <c r="G6900" s="153"/>
      <c r="H6900" s="210">
        <v>6.2600000000000003E-2</v>
      </c>
      <c r="I6900" s="160" t="s">
        <v>149</v>
      </c>
      <c r="J6900" s="160">
        <v>2.4889999999999999E-2</v>
      </c>
      <c r="K6900" s="160" t="s">
        <v>25</v>
      </c>
      <c r="L6900" s="154" t="str">
        <f>IF(OpenLCAbasic!K6900="CTUh", "Fill in Manually",IF(OR(K6900="Unit", K6900=""), "", INDEX(LookUps!$E$5:$E$12, MATCH(OpenLCAbasic!K6900,LookUps!$D$5:$D$12,0))))</f>
        <v>Smog Formation Potential (SFP) - kg O3 eq</v>
      </c>
      <c r="M6900" s="154" t="str">
        <f t="shared" si="514"/>
        <v>High_Base_Low_Upgraded_Smog Formation Potential (SFP) - kg O3 eq_Anaerobic Digestion; wastewater treatment unit; at updated plant - US_Without Amendment_Windrow</v>
      </c>
    </row>
    <row r="6901" spans="1:13" s="120" customFormat="1" x14ac:dyDescent="0.25">
      <c r="A6901" s="119"/>
      <c r="B6901" s="138" t="str">
        <f t="shared" si="518"/>
        <v>Windrow</v>
      </c>
      <c r="C6901" s="138" t="str">
        <f t="shared" si="515"/>
        <v>Without Amendment</v>
      </c>
      <c r="D6901" s="138" t="str">
        <f t="shared" si="516"/>
        <v>Base_Low</v>
      </c>
      <c r="E6901" s="138" t="str">
        <f t="shared" si="517"/>
        <v>High</v>
      </c>
      <c r="F6901" s="138" t="str">
        <f t="shared" si="519"/>
        <v>Upgraded</v>
      </c>
      <c r="G6901" s="153"/>
      <c r="H6901" s="210">
        <v>4.8800000000000003E-2</v>
      </c>
      <c r="I6901" s="160" t="s">
        <v>147</v>
      </c>
      <c r="J6901" s="160">
        <v>1.9400000000000001E-2</v>
      </c>
      <c r="K6901" s="160" t="s">
        <v>25</v>
      </c>
      <c r="L6901" s="154" t="str">
        <f>IF(OpenLCAbasic!K6901="CTUh", "Fill in Manually",IF(OR(K6901="Unit", K6901=""), "", INDEX(LookUps!$E$5:$E$12, MATCH(OpenLCAbasic!K6901,LookUps!$D$5:$D$12,0))))</f>
        <v>Smog Formation Potential (SFP) - kg O3 eq</v>
      </c>
      <c r="M6901" s="154" t="str">
        <f t="shared" si="514"/>
        <v>High_Base_Low_Upgraded_Smog Formation Potential (SFP) - kg O3 eq_Influent Pump Station; wastewater treatment unit; at updated plant - US_Without Amendment_Windrow</v>
      </c>
    </row>
    <row r="6902" spans="1:13" s="120" customFormat="1" x14ac:dyDescent="0.25">
      <c r="A6902" s="119"/>
      <c r="B6902" s="138" t="str">
        <f t="shared" si="518"/>
        <v>Windrow</v>
      </c>
      <c r="C6902" s="138" t="str">
        <f t="shared" si="515"/>
        <v>Without Amendment</v>
      </c>
      <c r="D6902" s="138" t="str">
        <f t="shared" si="516"/>
        <v>Base_Low</v>
      </c>
      <c r="E6902" s="138" t="str">
        <f t="shared" si="517"/>
        <v>High</v>
      </c>
      <c r="F6902" s="138" t="str">
        <f t="shared" si="519"/>
        <v>Upgraded</v>
      </c>
      <c r="G6902" s="153"/>
      <c r="H6902" s="210">
        <v>0.03</v>
      </c>
      <c r="I6902" s="160" t="s">
        <v>128</v>
      </c>
      <c r="J6902" s="160">
        <v>1.192E-2</v>
      </c>
      <c r="K6902" s="160" t="s">
        <v>25</v>
      </c>
      <c r="L6902" s="154" t="str">
        <f>IF(OpenLCAbasic!K6902="CTUh", "Fill in Manually",IF(OR(K6902="Unit", K6902=""), "", INDEX(LookUps!$E$5:$E$12, MATCH(OpenLCAbasic!K6902,LookUps!$D$5:$D$12,0))))</f>
        <v>Smog Formation Potential (SFP) - kg O3 eq</v>
      </c>
      <c r="M6902" s="154" t="str">
        <f t="shared" si="514"/>
        <v>High_Base_Low_Upgraded_Smog Formation Potential (SFP) - kg O3 eq_Wastewater collection; operation and infrastructure; m3 wastewater_Without Amendment_Windrow</v>
      </c>
    </row>
    <row r="6903" spans="1:13" s="120" customFormat="1" x14ac:dyDescent="0.25">
      <c r="A6903" s="119"/>
      <c r="B6903" s="138" t="str">
        <f t="shared" si="518"/>
        <v>Windrow</v>
      </c>
      <c r="C6903" s="138" t="str">
        <f t="shared" si="515"/>
        <v>Without Amendment</v>
      </c>
      <c r="D6903" s="138" t="str">
        <f t="shared" si="516"/>
        <v>Base_Low</v>
      </c>
      <c r="E6903" s="138" t="str">
        <f t="shared" si="517"/>
        <v>High</v>
      </c>
      <c r="F6903" s="138" t="str">
        <f t="shared" si="519"/>
        <v>Upgraded</v>
      </c>
      <c r="G6903" s="153"/>
      <c r="H6903" s="210">
        <v>2.0500000000000001E-2</v>
      </c>
      <c r="I6903" s="160" t="s">
        <v>60</v>
      </c>
      <c r="J6903" s="160">
        <v>8.1600000000000006E-3</v>
      </c>
      <c r="K6903" s="160" t="s">
        <v>25</v>
      </c>
      <c r="L6903" s="154" t="str">
        <f>IF(OpenLCAbasic!K6903="CTUh", "Fill in Manually",IF(OR(K6903="Unit", K6903=""), "", INDEX(LookUps!$E$5:$E$12, MATCH(OpenLCAbasic!K6903,LookUps!$D$5:$D$12,0))))</f>
        <v>Smog Formation Potential (SFP) - kg O3 eq</v>
      </c>
      <c r="M6903" s="154" t="str">
        <f t="shared" si="514"/>
        <v>High_Base_Low_Upgraded_Smog Formation Potential (SFP) - kg O3 eq_Belt filter press; wastewater treatment unit; at updated plant - US_Without Amendment_Windrow</v>
      </c>
    </row>
    <row r="6904" spans="1:13" s="120" customFormat="1" x14ac:dyDescent="0.25">
      <c r="A6904" s="119"/>
      <c r="B6904" s="138" t="str">
        <f t="shared" si="518"/>
        <v>Windrow</v>
      </c>
      <c r="C6904" s="138" t="str">
        <f t="shared" si="515"/>
        <v>Without Amendment</v>
      </c>
      <c r="D6904" s="138" t="str">
        <f t="shared" si="516"/>
        <v>Base_Low</v>
      </c>
      <c r="E6904" s="138" t="str">
        <f t="shared" si="517"/>
        <v>High</v>
      </c>
      <c r="F6904" s="138" t="str">
        <f t="shared" si="519"/>
        <v>Upgraded</v>
      </c>
      <c r="G6904" s="153"/>
      <c r="H6904" s="210">
        <v>1.67E-2</v>
      </c>
      <c r="I6904" s="160" t="s">
        <v>57</v>
      </c>
      <c r="J6904" s="160">
        <v>6.6499999999999997E-3</v>
      </c>
      <c r="K6904" s="160" t="s">
        <v>25</v>
      </c>
      <c r="L6904" s="154" t="str">
        <f>IF(OpenLCAbasic!K6904="CTUh", "Fill in Manually",IF(OR(K6904="Unit", K6904=""), "", INDEX(LookUps!$E$5:$E$12, MATCH(OpenLCAbasic!K6904,LookUps!$D$5:$D$12,0))))</f>
        <v>Smog Formation Potential (SFP) - kg O3 eq</v>
      </c>
      <c r="M6904" s="154" t="str">
        <f t="shared" si="514"/>
        <v>High_Base_Low_Upgraded_Smog Formation Potential (SFP) - kg O3 eq_Gravity Belt Thickener; wastewater treatment unit; at updated plant - US_Without Amendment_Windrow</v>
      </c>
    </row>
    <row r="6905" spans="1:13" s="120" customFormat="1" x14ac:dyDescent="0.25">
      <c r="A6905" s="119"/>
      <c r="B6905" s="138" t="str">
        <f t="shared" si="518"/>
        <v>Windrow</v>
      </c>
      <c r="C6905" s="138" t="str">
        <f t="shared" si="515"/>
        <v>Without Amendment</v>
      </c>
      <c r="D6905" s="138" t="str">
        <f t="shared" si="516"/>
        <v>Base_Low</v>
      </c>
      <c r="E6905" s="138" t="str">
        <f t="shared" si="517"/>
        <v>High</v>
      </c>
      <c r="F6905" s="138" t="str">
        <f t="shared" si="519"/>
        <v>Upgraded</v>
      </c>
      <c r="G6905" s="153"/>
      <c r="H6905" s="210">
        <v>1.2500000000000001E-2</v>
      </c>
      <c r="I6905" s="160" t="s">
        <v>59</v>
      </c>
      <c r="J6905" s="160">
        <v>4.9699999999999996E-3</v>
      </c>
      <c r="K6905" s="160" t="s">
        <v>25</v>
      </c>
      <c r="L6905" s="154" t="str">
        <f>IF(OpenLCAbasic!K6905="CTUh", "Fill in Manually",IF(OR(K6905="Unit", K6905=""), "", INDEX(LookUps!$E$5:$E$12, MATCH(OpenLCAbasic!K6905,LookUps!$D$5:$D$12,0))))</f>
        <v>Smog Formation Potential (SFP) - kg O3 eq</v>
      </c>
      <c r="M6905" s="154" t="str">
        <f t="shared" si="514"/>
        <v>High_Base_Low_Upgraded_Smog Formation Potential (SFP) - kg O3 eq_Blend Tank; wastewater treatment unit; at updated plant - US_Without Amendment_Windrow</v>
      </c>
    </row>
    <row r="6906" spans="1:13" s="120" customFormat="1" x14ac:dyDescent="0.25">
      <c r="A6906" s="119"/>
      <c r="B6906" s="138" t="str">
        <f t="shared" si="518"/>
        <v>Windrow</v>
      </c>
      <c r="C6906" s="138" t="str">
        <f t="shared" si="515"/>
        <v>Without Amendment</v>
      </c>
      <c r="D6906" s="138" t="str">
        <f t="shared" si="516"/>
        <v>Base_Low</v>
      </c>
      <c r="E6906" s="138" t="str">
        <f t="shared" si="517"/>
        <v>High</v>
      </c>
      <c r="F6906" s="138" t="str">
        <f t="shared" si="519"/>
        <v>Upgraded</v>
      </c>
      <c r="G6906" s="153"/>
      <c r="H6906" s="210">
        <v>8.5000000000000006E-3</v>
      </c>
      <c r="I6906" s="160" t="s">
        <v>48</v>
      </c>
      <c r="J6906" s="160">
        <v>3.3899999999999998E-3</v>
      </c>
      <c r="K6906" s="160" t="s">
        <v>25</v>
      </c>
      <c r="L6906" s="154" t="str">
        <f>IF(OpenLCAbasic!K6906="CTUh", "Fill in Manually",IF(OR(K6906="Unit", K6906=""), "", INDEX(LookUps!$E$5:$E$12, MATCH(OpenLCAbasic!K6906,LookUps!$D$5:$D$12,0))))</f>
        <v>Smog Formation Potential (SFP) - kg O3 eq</v>
      </c>
      <c r="M6906" s="154" t="str">
        <f t="shared" si="514"/>
        <v>High_Base_Low_Upgraded_Smog Formation Potential (SFP) - kg O3 eq_Effluent release; wastewater treatment unit; at surface water; m3 wastewater - US_Without Amendment_Windrow</v>
      </c>
    </row>
    <row r="6907" spans="1:13" s="120" customFormat="1" x14ac:dyDescent="0.25">
      <c r="A6907" s="119"/>
      <c r="B6907" s="138" t="str">
        <f t="shared" si="518"/>
        <v>Windrow</v>
      </c>
      <c r="C6907" s="138" t="str">
        <f t="shared" si="515"/>
        <v>Without Amendment</v>
      </c>
      <c r="D6907" s="138" t="str">
        <f t="shared" si="516"/>
        <v>Base_Low</v>
      </c>
      <c r="E6907" s="138" t="str">
        <f t="shared" si="517"/>
        <v>High</v>
      </c>
      <c r="F6907" s="138" t="str">
        <f t="shared" si="519"/>
        <v>Upgraded</v>
      </c>
      <c r="G6907" s="153"/>
      <c r="H6907" s="210">
        <v>6.1999999999999998E-3</v>
      </c>
      <c r="I6907" s="160" t="s">
        <v>168</v>
      </c>
      <c r="J6907" s="160">
        <v>2.4599999999999999E-3</v>
      </c>
      <c r="K6907" s="160" t="s">
        <v>25</v>
      </c>
      <c r="L6907" s="154" t="str">
        <f>IF(OpenLCAbasic!K6907="CTUh", "Fill in Manually",IF(OR(K6907="Unit", K6907=""), "", INDEX(LookUps!$E$5:$E$12, MATCH(OpenLCAbasic!K6907,LookUps!$D$5:$D$12,0))))</f>
        <v>Smog Formation Potential (SFP) - kg O3 eq</v>
      </c>
      <c r="M6907" s="154" t="str">
        <f t="shared" ref="M6907:M6970" si="520">CONCATENATE(E6907,"_",D6907,"_",F6907,"_",L6907, "_",I6907,"_", C6907,"_", B6907)</f>
        <v>High_Base_Low_Upgraded_Smog Formation Potential (SFP) - kg O3 eq_ClearCove SCP; wastewater treatment unit; at updated plant - US_Without Amendment_Windrow</v>
      </c>
    </row>
    <row r="6908" spans="1:13" s="120" customFormat="1" x14ac:dyDescent="0.25">
      <c r="A6908" s="119"/>
      <c r="B6908" s="138" t="str">
        <f t="shared" si="518"/>
        <v>Windrow</v>
      </c>
      <c r="C6908" s="138" t="str">
        <f t="shared" si="515"/>
        <v>Without Amendment</v>
      </c>
      <c r="D6908" s="138" t="str">
        <f t="shared" si="516"/>
        <v>Base_Low</v>
      </c>
      <c r="E6908" s="138" t="str">
        <f t="shared" si="517"/>
        <v>High</v>
      </c>
      <c r="F6908" s="138" t="str">
        <f t="shared" si="519"/>
        <v>Upgraded</v>
      </c>
      <c r="G6908" s="153"/>
      <c r="H6908" s="210">
        <v>1.4E-3</v>
      </c>
      <c r="I6908" s="160" t="s">
        <v>271</v>
      </c>
      <c r="J6908" s="160">
        <v>5.5999999999999995E-4</v>
      </c>
      <c r="K6908" s="160" t="s">
        <v>25</v>
      </c>
      <c r="L6908" s="154" t="str">
        <f>IF(OpenLCAbasic!K6908="CTUh", "Fill in Manually",IF(OR(K6908="Unit", K6908=""), "", INDEX(LookUps!$E$5:$E$12, MATCH(OpenLCAbasic!K6908,LookUps!$D$5:$D$12,0))))</f>
        <v>Smog Formation Potential (SFP) - kg O3 eq</v>
      </c>
      <c r="M6908" s="154" t="str">
        <f t="shared" si="520"/>
        <v>High_Base_Low_Upgraded_Smog Formation Potential (SFP) - kg O3 eq_Biosolids composting; windrow composting; wastewater treatment unit; at updated plant - US_Without Amendment_Windrow</v>
      </c>
    </row>
    <row r="6909" spans="1:13" s="120" customFormat="1" x14ac:dyDescent="0.25">
      <c r="A6909" s="119"/>
      <c r="B6909" s="138" t="str">
        <f t="shared" si="518"/>
        <v>Windrow</v>
      </c>
      <c r="C6909" s="138" t="str">
        <f t="shared" si="515"/>
        <v>Without Amendment</v>
      </c>
      <c r="D6909" s="138" t="str">
        <f t="shared" si="516"/>
        <v>Base_Low</v>
      </c>
      <c r="E6909" s="138" t="str">
        <f t="shared" si="517"/>
        <v>High</v>
      </c>
      <c r="F6909" s="138" t="str">
        <f t="shared" si="519"/>
        <v>Upgraded</v>
      </c>
      <c r="G6909" s="153"/>
      <c r="H6909" s="210">
        <v>1.4E-3</v>
      </c>
      <c r="I6909" s="160" t="s">
        <v>148</v>
      </c>
      <c r="J6909" s="160">
        <v>5.4000000000000001E-4</v>
      </c>
      <c r="K6909" s="160" t="s">
        <v>25</v>
      </c>
      <c r="L6909" s="154" t="str">
        <f>IF(OpenLCAbasic!K6909="CTUh", "Fill in Manually",IF(OR(K6909="Unit", K6909=""), "", INDEX(LookUps!$E$5:$E$12, MATCH(OpenLCAbasic!K6909,LookUps!$D$5:$D$12,0))))</f>
        <v>Smog Formation Potential (SFP) - kg O3 eq</v>
      </c>
      <c r="M6909" s="154" t="str">
        <f t="shared" si="520"/>
        <v>High_Base_Low_Upgraded_Smog Formation Potential (SFP) - kg O3 eq_Control Building; at upgraded wastewater treatment plant - US_Without Amendment_Windrow</v>
      </c>
    </row>
    <row r="6910" spans="1:13" s="120" customFormat="1" x14ac:dyDescent="0.25">
      <c r="A6910" s="119"/>
      <c r="B6910" s="138" t="str">
        <f t="shared" si="518"/>
        <v>Windrow</v>
      </c>
      <c r="C6910" s="138" t="str">
        <f t="shared" si="515"/>
        <v>Without Amendment</v>
      </c>
      <c r="D6910" s="138" t="str">
        <f t="shared" si="516"/>
        <v>Base_Low</v>
      </c>
      <c r="E6910" s="138" t="str">
        <f t="shared" si="517"/>
        <v>High</v>
      </c>
      <c r="F6910" s="138" t="str">
        <f t="shared" si="519"/>
        <v>Upgraded</v>
      </c>
      <c r="G6910" s="153"/>
      <c r="H6910" s="210">
        <v>-4.7000000000000002E-3</v>
      </c>
      <c r="I6910" s="160" t="s">
        <v>62</v>
      </c>
      <c r="J6910" s="160">
        <v>-1.8600000000000001E-3</v>
      </c>
      <c r="K6910" s="160" t="s">
        <v>25</v>
      </c>
      <c r="L6910" s="154" t="str">
        <f>IF(OpenLCAbasic!K6910="CTUh", "Fill in Manually",IF(OR(K6910="Unit", K6910=""), "", INDEX(LookUps!$E$5:$E$12, MATCH(OpenLCAbasic!K6910,LookUps!$D$5:$D$12,0))))</f>
        <v>Smog Formation Potential (SFP) - kg O3 eq</v>
      </c>
      <c r="M6910" s="154" t="str">
        <f t="shared" si="520"/>
        <v>High_Base_Low_Upgraded_Smog Formation Potential (SFP) - kg O3 eq_Land application of compost; wastewater treatment unit; at updated plant - US_Without Amendment_Windrow</v>
      </c>
    </row>
    <row r="6911" spans="1:13" s="120" customFormat="1" x14ac:dyDescent="0.25">
      <c r="A6911" s="119"/>
      <c r="B6911" s="138" t="str">
        <f t="shared" si="518"/>
        <v/>
      </c>
      <c r="C6911" s="138" t="str">
        <f t="shared" si="515"/>
        <v/>
      </c>
      <c r="D6911" s="138" t="str">
        <f t="shared" si="516"/>
        <v/>
      </c>
      <c r="E6911" s="138" t="str">
        <f t="shared" si="517"/>
        <v/>
      </c>
      <c r="F6911" s="138" t="str">
        <f t="shared" si="519"/>
        <v/>
      </c>
      <c r="G6911" s="153" t="s">
        <v>51</v>
      </c>
      <c r="H6911" s="160"/>
      <c r="I6911" s="160" t="s">
        <v>47</v>
      </c>
      <c r="J6911" s="160" t="s">
        <v>52</v>
      </c>
      <c r="K6911" s="160" t="s">
        <v>27</v>
      </c>
      <c r="L6911" s="154" t="str">
        <f>IF(OpenLCAbasic!K6911="CTUh", "Fill in Manually",IF(OR(K6911="Unit", K6911=""), "", INDEX(LookUps!$E$5:$E$12, MATCH(OpenLCAbasic!K6911,LookUps!$D$5:$D$12,0))))</f>
        <v/>
      </c>
      <c r="M6911" s="154" t="str">
        <f t="shared" si="520"/>
        <v>____Process__</v>
      </c>
    </row>
    <row r="6912" spans="1:13" s="120" customFormat="1" x14ac:dyDescent="0.25">
      <c r="A6912" s="119"/>
      <c r="B6912" s="138" t="str">
        <f t="shared" si="518"/>
        <v>Windrow</v>
      </c>
      <c r="C6912" s="138" t="str">
        <f t="shared" si="515"/>
        <v>Without Amendment</v>
      </c>
      <c r="D6912" s="138" t="str">
        <f t="shared" si="516"/>
        <v>Base_Low</v>
      </c>
      <c r="E6912" s="138" t="str">
        <f t="shared" si="517"/>
        <v>High</v>
      </c>
      <c r="F6912" s="138" t="str">
        <f t="shared" si="519"/>
        <v>Upgraded</v>
      </c>
      <c r="G6912" s="153"/>
      <c r="H6912" s="210">
        <v>0.623</v>
      </c>
      <c r="I6912" s="160" t="s">
        <v>167</v>
      </c>
      <c r="J6912" s="160">
        <v>2.3000000000000001E-4</v>
      </c>
      <c r="K6912" s="160" t="s">
        <v>26</v>
      </c>
      <c r="L6912" s="154" t="str">
        <f>IF(OpenLCAbasic!K6912="CTUh", "Fill in Manually",IF(OR(K6912="Unit", K6912=""), "", INDEX(LookUps!$E$5:$E$12, MATCH(OpenLCAbasic!K6912,LookUps!$D$5:$D$12,0))))</f>
        <v>Water Use (WU) - m3 H2O</v>
      </c>
      <c r="M6912" s="154" t="str">
        <f t="shared" si="520"/>
        <v>High_Base_Low_Upgraded_Water Use (WU) - m3 H2O_Waste Receiving and Holding; wastewater treatment unit; at updated plant - US_Without Amendment_Windrow</v>
      </c>
    </row>
    <row r="6913" spans="1:13" s="120" customFormat="1" x14ac:dyDescent="0.25">
      <c r="A6913" s="119"/>
      <c r="B6913" s="138" t="str">
        <f t="shared" si="518"/>
        <v>Windrow</v>
      </c>
      <c r="C6913" s="138" t="str">
        <f t="shared" ref="C6913:C6976" si="521">IF(ISNUMBER($J6913),"Without Amendment","")</f>
        <v>Without Amendment</v>
      </c>
      <c r="D6913" s="138" t="str">
        <f t="shared" si="516"/>
        <v>Base_Low</v>
      </c>
      <c r="E6913" s="138" t="str">
        <f t="shared" si="517"/>
        <v>High</v>
      </c>
      <c r="F6913" s="138" t="str">
        <f t="shared" si="519"/>
        <v>Upgraded</v>
      </c>
      <c r="G6913" s="153"/>
      <c r="H6913" s="210">
        <v>0.4929</v>
      </c>
      <c r="I6913" s="160" t="s">
        <v>147</v>
      </c>
      <c r="J6913" s="160">
        <v>1.8000000000000001E-4</v>
      </c>
      <c r="K6913" s="160" t="s">
        <v>26</v>
      </c>
      <c r="L6913" s="154" t="str">
        <f>IF(OpenLCAbasic!K6913="CTUh", "Fill in Manually",IF(OR(K6913="Unit", K6913=""), "", INDEX(LookUps!$E$5:$E$12, MATCH(OpenLCAbasic!K6913,LookUps!$D$5:$D$12,0))))</f>
        <v>Water Use (WU) - m3 H2O</v>
      </c>
      <c r="M6913" s="154" t="str">
        <f t="shared" si="520"/>
        <v>High_Base_Low_Upgraded_Water Use (WU) - m3 H2O_Influent Pump Station; wastewater treatment unit; at updated plant - US_Without Amendment_Windrow</v>
      </c>
    </row>
    <row r="6914" spans="1:13" s="120" customFormat="1" x14ac:dyDescent="0.25">
      <c r="A6914" s="119"/>
      <c r="B6914" s="138" t="str">
        <f t="shared" si="518"/>
        <v>Windrow</v>
      </c>
      <c r="C6914" s="138" t="str">
        <f t="shared" si="521"/>
        <v>Without Amendment</v>
      </c>
      <c r="D6914" s="138" t="str">
        <f t="shared" si="516"/>
        <v>Base_Low</v>
      </c>
      <c r="E6914" s="138" t="str">
        <f t="shared" si="517"/>
        <v>High</v>
      </c>
      <c r="F6914" s="138" t="str">
        <f t="shared" si="519"/>
        <v>Upgraded</v>
      </c>
      <c r="G6914" s="153"/>
      <c r="H6914" s="210">
        <v>0.48099999999999998</v>
      </c>
      <c r="I6914" s="160" t="s">
        <v>54</v>
      </c>
      <c r="J6914" s="160">
        <v>1.8000000000000001E-4</v>
      </c>
      <c r="K6914" s="160" t="s">
        <v>26</v>
      </c>
      <c r="L6914" s="154" t="str">
        <f>IF(OpenLCAbasic!K6914="CTUh", "Fill in Manually",IF(OR(K6914="Unit", K6914=""), "", INDEX(LookUps!$E$5:$E$12, MATCH(OpenLCAbasic!K6914,LookUps!$D$5:$D$12,0))))</f>
        <v>Water Use (WU) - m3 H2O</v>
      </c>
      <c r="M6914" s="154" t="str">
        <f t="shared" si="520"/>
        <v>High_Base_Low_Upgraded_Water Use (WU) - m3 H2O_Clear Cove Primary Clarification; wastewater treatment unit; at updated plant - US_Without Amendment_Windrow</v>
      </c>
    </row>
    <row r="6915" spans="1:13" s="120" customFormat="1" x14ac:dyDescent="0.25">
      <c r="A6915" s="119"/>
      <c r="B6915" s="138" t="str">
        <f t="shared" si="518"/>
        <v>Windrow</v>
      </c>
      <c r="C6915" s="138" t="str">
        <f t="shared" si="521"/>
        <v>Without Amendment</v>
      </c>
      <c r="D6915" s="138" t="str">
        <f t="shared" si="516"/>
        <v>Base_Low</v>
      </c>
      <c r="E6915" s="138" t="str">
        <f t="shared" si="517"/>
        <v>High</v>
      </c>
      <c r="F6915" s="138" t="str">
        <f t="shared" si="519"/>
        <v>Upgraded</v>
      </c>
      <c r="G6915" s="153"/>
      <c r="H6915" s="210">
        <v>0.43630000000000002</v>
      </c>
      <c r="I6915" s="160" t="s">
        <v>55</v>
      </c>
      <c r="J6915" s="160">
        <v>1.6000000000000001E-4</v>
      </c>
      <c r="K6915" s="160" t="s">
        <v>26</v>
      </c>
      <c r="L6915" s="154" t="str">
        <f>IF(OpenLCAbasic!K6915="CTUh", "Fill in Manually",IF(OR(K6915="Unit", K6915=""), "", INDEX(LookUps!$E$5:$E$12, MATCH(OpenLCAbasic!K6915,LookUps!$D$5:$D$12,0))))</f>
        <v>Water Use (WU) - m3 H2O</v>
      </c>
      <c r="M6915" s="154" t="str">
        <f t="shared" si="520"/>
        <v>High_Base_Low_Upgraded_Water Use (WU) - m3 H2O_Aeration Tanks; wastewater treatment unit; at updated plant - US_Without Amendment_Windrow</v>
      </c>
    </row>
    <row r="6916" spans="1:13" s="120" customFormat="1" x14ac:dyDescent="0.25">
      <c r="A6916" s="119"/>
      <c r="B6916" s="138" t="str">
        <f t="shared" si="518"/>
        <v>Windrow</v>
      </c>
      <c r="C6916" s="138" t="str">
        <f t="shared" si="521"/>
        <v>Without Amendment</v>
      </c>
      <c r="D6916" s="138" t="str">
        <f t="shared" si="516"/>
        <v>Base_Low</v>
      </c>
      <c r="E6916" s="138" t="str">
        <f t="shared" si="517"/>
        <v>High</v>
      </c>
      <c r="F6916" s="138" t="str">
        <f t="shared" si="519"/>
        <v>Upgraded</v>
      </c>
      <c r="G6916" s="153"/>
      <c r="H6916" s="210">
        <v>0.39750000000000002</v>
      </c>
      <c r="I6916" s="160" t="s">
        <v>148</v>
      </c>
      <c r="J6916" s="160">
        <v>1.4999999999999999E-4</v>
      </c>
      <c r="K6916" s="160" t="s">
        <v>26</v>
      </c>
      <c r="L6916" s="154" t="str">
        <f>IF(OpenLCAbasic!K6916="CTUh", "Fill in Manually",IF(OR(K6916="Unit", K6916=""), "", INDEX(LookUps!$E$5:$E$12, MATCH(OpenLCAbasic!K6916,LookUps!$D$5:$D$12,0))))</f>
        <v>Water Use (WU) - m3 H2O</v>
      </c>
      <c r="M6916" s="154" t="str">
        <f t="shared" si="520"/>
        <v>High_Base_Low_Upgraded_Water Use (WU) - m3 H2O_Control Building; at upgraded wastewater treatment plant - US_Without Amendment_Windrow</v>
      </c>
    </row>
    <row r="6917" spans="1:13" s="120" customFormat="1" x14ac:dyDescent="0.25">
      <c r="A6917" s="119"/>
      <c r="B6917" s="138" t="str">
        <f t="shared" si="518"/>
        <v>Windrow</v>
      </c>
      <c r="C6917" s="138" t="str">
        <f t="shared" si="521"/>
        <v>Without Amendment</v>
      </c>
      <c r="D6917" s="138" t="str">
        <f t="shared" si="516"/>
        <v>Base_Low</v>
      </c>
      <c r="E6917" s="138" t="str">
        <f t="shared" si="517"/>
        <v>High</v>
      </c>
      <c r="F6917" s="138" t="str">
        <f t="shared" si="519"/>
        <v>Upgraded</v>
      </c>
      <c r="G6917" s="153"/>
      <c r="H6917" s="210">
        <v>0.18459999999999999</v>
      </c>
      <c r="I6917" s="160" t="s">
        <v>48</v>
      </c>
      <c r="J6917" s="211">
        <v>6.8836400000000004E-5</v>
      </c>
      <c r="K6917" s="160" t="s">
        <v>26</v>
      </c>
      <c r="L6917" s="154" t="str">
        <f>IF(OpenLCAbasic!K6917="CTUh", "Fill in Manually",IF(OR(K6917="Unit", K6917=""), "", INDEX(LookUps!$E$5:$E$12, MATCH(OpenLCAbasic!K6917,LookUps!$D$5:$D$12,0))))</f>
        <v>Water Use (WU) - m3 H2O</v>
      </c>
      <c r="M6917" s="154" t="str">
        <f t="shared" si="520"/>
        <v>High_Base_Low_Upgraded_Water Use (WU) - m3 H2O_Effluent release; wastewater treatment unit; at surface water; m3 wastewater - US_Without Amendment_Windrow</v>
      </c>
    </row>
    <row r="6918" spans="1:13" s="120" customFormat="1" x14ac:dyDescent="0.25">
      <c r="A6918" s="119"/>
      <c r="B6918" s="138" t="str">
        <f t="shared" si="518"/>
        <v>Windrow</v>
      </c>
      <c r="C6918" s="138" t="str">
        <f t="shared" si="521"/>
        <v>Without Amendment</v>
      </c>
      <c r="D6918" s="138" t="str">
        <f t="shared" si="516"/>
        <v>Base_Low</v>
      </c>
      <c r="E6918" s="138" t="str">
        <f t="shared" si="517"/>
        <v>High</v>
      </c>
      <c r="F6918" s="138" t="str">
        <f t="shared" si="519"/>
        <v>Upgraded</v>
      </c>
      <c r="G6918" s="153"/>
      <c r="H6918" s="210">
        <v>0.12690000000000001</v>
      </c>
      <c r="I6918" s="160" t="s">
        <v>149</v>
      </c>
      <c r="J6918" s="211">
        <v>4.7332900000000002E-5</v>
      </c>
      <c r="K6918" s="160" t="s">
        <v>26</v>
      </c>
      <c r="L6918" s="154" t="str">
        <f>IF(OpenLCAbasic!K6918="CTUh", "Fill in Manually",IF(OR(K6918="Unit", K6918=""), "", INDEX(LookUps!$E$5:$E$12, MATCH(OpenLCAbasic!K6918,LookUps!$D$5:$D$12,0))))</f>
        <v>Water Use (WU) - m3 H2O</v>
      </c>
      <c r="M6918" s="154" t="str">
        <f t="shared" si="520"/>
        <v>High_Base_Low_Upgraded_Water Use (WU) - m3 H2O_Anaerobic Digestion; wastewater treatment unit; at updated plant - US_Without Amendment_Windrow</v>
      </c>
    </row>
    <row r="6919" spans="1:13" s="120" customFormat="1" x14ac:dyDescent="0.25">
      <c r="A6919" s="119"/>
      <c r="B6919" s="138" t="str">
        <f t="shared" si="518"/>
        <v>Windrow</v>
      </c>
      <c r="C6919" s="138" t="str">
        <f t="shared" si="521"/>
        <v>Without Amendment</v>
      </c>
      <c r="D6919" s="138" t="str">
        <f t="shared" si="516"/>
        <v>Base_Low</v>
      </c>
      <c r="E6919" s="138" t="str">
        <f t="shared" si="517"/>
        <v>High</v>
      </c>
      <c r="F6919" s="138" t="str">
        <f t="shared" si="519"/>
        <v>Upgraded</v>
      </c>
      <c r="G6919" s="153"/>
      <c r="H6919" s="210">
        <v>0.1158</v>
      </c>
      <c r="I6919" s="160" t="s">
        <v>58</v>
      </c>
      <c r="J6919" s="211">
        <v>4.3192100000000003E-5</v>
      </c>
      <c r="K6919" s="160" t="s">
        <v>26</v>
      </c>
      <c r="L6919" s="154" t="str">
        <f>IF(OpenLCAbasic!K6919="CTUh", "Fill in Manually",IF(OR(K6919="Unit", K6919=""), "", INDEX(LookUps!$E$5:$E$12, MATCH(OpenLCAbasic!K6919,LookUps!$D$5:$D$12,0))))</f>
        <v>Water Use (WU) - m3 H2O</v>
      </c>
      <c r="M6919" s="154" t="str">
        <f t="shared" si="520"/>
        <v>High_Base_Low_Upgraded_Water Use (WU) - m3 H2O_Pre-Anoxic &amp; Swing tank; wastewater treatment unit; at updated plant - US_Without Amendment_Windrow</v>
      </c>
    </row>
    <row r="6920" spans="1:13" s="120" customFormat="1" x14ac:dyDescent="0.25">
      <c r="A6920" s="119"/>
      <c r="B6920" s="138" t="str">
        <f t="shared" si="518"/>
        <v>Windrow</v>
      </c>
      <c r="C6920" s="138" t="str">
        <f t="shared" si="521"/>
        <v>Without Amendment</v>
      </c>
      <c r="D6920" s="138" t="str">
        <f t="shared" si="516"/>
        <v>Base_Low</v>
      </c>
      <c r="E6920" s="138" t="str">
        <f t="shared" si="517"/>
        <v>High</v>
      </c>
      <c r="F6920" s="138" t="str">
        <f t="shared" si="519"/>
        <v>Upgraded</v>
      </c>
      <c r="G6920" s="153"/>
      <c r="H6920" s="210">
        <v>8.1500000000000003E-2</v>
      </c>
      <c r="I6920" s="160" t="s">
        <v>57</v>
      </c>
      <c r="J6920" s="211">
        <v>3.0408100000000001E-5</v>
      </c>
      <c r="K6920" s="160" t="s">
        <v>26</v>
      </c>
      <c r="L6920" s="154" t="str">
        <f>IF(OpenLCAbasic!K6920="CTUh", "Fill in Manually",IF(OR(K6920="Unit", K6920=""), "", INDEX(LookUps!$E$5:$E$12, MATCH(OpenLCAbasic!K6920,LookUps!$D$5:$D$12,0))))</f>
        <v>Water Use (WU) - m3 H2O</v>
      </c>
      <c r="M6920" s="154" t="str">
        <f t="shared" si="520"/>
        <v>High_Base_Low_Upgraded_Water Use (WU) - m3 H2O_Gravity Belt Thickener; wastewater treatment unit; at updated plant - US_Without Amendment_Windrow</v>
      </c>
    </row>
    <row r="6921" spans="1:13" s="120" customFormat="1" x14ac:dyDescent="0.25">
      <c r="A6921" s="119"/>
      <c r="B6921" s="138" t="str">
        <f t="shared" si="518"/>
        <v>Windrow</v>
      </c>
      <c r="C6921" s="138" t="str">
        <f t="shared" si="521"/>
        <v>Without Amendment</v>
      </c>
      <c r="D6921" s="138" t="str">
        <f t="shared" ref="D6921:D6927" si="522">IF(ISNUMBER($J6921),"Base_Low","")</f>
        <v>Base_Low</v>
      </c>
      <c r="E6921" s="138" t="str">
        <f t="shared" ref="E6921:E6984" si="523">IF(ISNUMBER($J6921),"High","")</f>
        <v>High</v>
      </c>
      <c r="F6921" s="138" t="str">
        <f t="shared" si="519"/>
        <v>Upgraded</v>
      </c>
      <c r="G6921" s="153"/>
      <c r="H6921" s="210">
        <v>6.5299999999999997E-2</v>
      </c>
      <c r="I6921" s="160" t="s">
        <v>60</v>
      </c>
      <c r="J6921" s="211">
        <v>2.4357400000000002E-5</v>
      </c>
      <c r="K6921" s="160" t="s">
        <v>26</v>
      </c>
      <c r="L6921" s="154" t="str">
        <f>IF(OpenLCAbasic!K6921="CTUh", "Fill in Manually",IF(OR(K6921="Unit", K6921=""), "", INDEX(LookUps!$E$5:$E$12, MATCH(OpenLCAbasic!K6921,LookUps!$D$5:$D$12,0))))</f>
        <v>Water Use (WU) - m3 H2O</v>
      </c>
      <c r="M6921" s="154" t="str">
        <f t="shared" si="520"/>
        <v>High_Base_Low_Upgraded_Water Use (WU) - m3 H2O_Belt filter press; wastewater treatment unit; at updated plant - US_Without Amendment_Windrow</v>
      </c>
    </row>
    <row r="6922" spans="1:13" s="120" customFormat="1" x14ac:dyDescent="0.25">
      <c r="A6922" s="119"/>
      <c r="B6922" s="138" t="str">
        <f t="shared" si="518"/>
        <v>Windrow</v>
      </c>
      <c r="C6922" s="138" t="str">
        <f t="shared" si="521"/>
        <v>Without Amendment</v>
      </c>
      <c r="D6922" s="138" t="str">
        <f t="shared" si="522"/>
        <v>Base_Low</v>
      </c>
      <c r="E6922" s="138" t="str">
        <f t="shared" si="523"/>
        <v>High</v>
      </c>
      <c r="F6922" s="138" t="str">
        <f t="shared" si="519"/>
        <v>Upgraded</v>
      </c>
      <c r="G6922" s="153"/>
      <c r="H6922" s="210">
        <v>4.6899999999999997E-2</v>
      </c>
      <c r="I6922" s="160" t="s">
        <v>53</v>
      </c>
      <c r="J6922" s="211">
        <v>1.75069E-5</v>
      </c>
      <c r="K6922" s="160" t="s">
        <v>26</v>
      </c>
      <c r="L6922" s="154" t="str">
        <f>IF(OpenLCAbasic!K6922="CTUh", "Fill in Manually",IF(OR(K6922="Unit", K6922=""), "", INDEX(LookUps!$E$5:$E$12, MATCH(OpenLCAbasic!K6922,LookUps!$D$5:$D$12,0))))</f>
        <v>Water Use (WU) - m3 H2O</v>
      </c>
      <c r="M6922" s="154" t="str">
        <f t="shared" si="520"/>
        <v>High_Base_Low_Upgraded_Water Use (WU) - m3 H2O_Wet Well and Sump Station; wastewater treatment unit; at updated plant - US_Without Amendment_Windrow</v>
      </c>
    </row>
    <row r="6923" spans="1:13" s="120" customFormat="1" x14ac:dyDescent="0.25">
      <c r="A6923" s="119"/>
      <c r="B6923" s="138" t="str">
        <f t="shared" si="518"/>
        <v>Windrow</v>
      </c>
      <c r="C6923" s="138" t="str">
        <f t="shared" si="521"/>
        <v>Without Amendment</v>
      </c>
      <c r="D6923" s="138" t="str">
        <f t="shared" si="522"/>
        <v>Base_Low</v>
      </c>
      <c r="E6923" s="138" t="str">
        <f t="shared" si="523"/>
        <v>High</v>
      </c>
      <c r="F6923" s="138" t="str">
        <f t="shared" si="519"/>
        <v>Upgraded</v>
      </c>
      <c r="G6923" s="153"/>
      <c r="H6923" s="210">
        <v>1.8800000000000001E-2</v>
      </c>
      <c r="I6923" s="160" t="s">
        <v>59</v>
      </c>
      <c r="J6923" s="211">
        <v>7.0179500000000003E-6</v>
      </c>
      <c r="K6923" s="160" t="s">
        <v>26</v>
      </c>
      <c r="L6923" s="154" t="str">
        <f>IF(OpenLCAbasic!K6923="CTUh", "Fill in Manually",IF(OR(K6923="Unit", K6923=""), "", INDEX(LookUps!$E$5:$E$12, MATCH(OpenLCAbasic!K6923,LookUps!$D$5:$D$12,0))))</f>
        <v>Water Use (WU) - m3 H2O</v>
      </c>
      <c r="M6923" s="154" t="str">
        <f t="shared" si="520"/>
        <v>High_Base_Low_Upgraded_Water Use (WU) - m3 H2O_Blend Tank; wastewater treatment unit; at updated plant - US_Without Amendment_Windrow</v>
      </c>
    </row>
    <row r="6924" spans="1:13" s="120" customFormat="1" x14ac:dyDescent="0.25">
      <c r="A6924" s="119"/>
      <c r="B6924" s="138" t="str">
        <f t="shared" si="518"/>
        <v>Windrow</v>
      </c>
      <c r="C6924" s="138" t="str">
        <f t="shared" si="521"/>
        <v>Without Amendment</v>
      </c>
      <c r="D6924" s="138" t="str">
        <f t="shared" si="522"/>
        <v>Base_Low</v>
      </c>
      <c r="E6924" s="138" t="str">
        <f t="shared" si="523"/>
        <v>High</v>
      </c>
      <c r="F6924" s="138" t="str">
        <f t="shared" si="519"/>
        <v>Upgraded</v>
      </c>
      <c r="G6924" s="153"/>
      <c r="H6924" s="210">
        <v>1.3599999999999999E-2</v>
      </c>
      <c r="I6924" s="160" t="s">
        <v>128</v>
      </c>
      <c r="J6924" s="211">
        <v>5.0608900000000003E-6</v>
      </c>
      <c r="K6924" s="160" t="s">
        <v>26</v>
      </c>
      <c r="L6924" s="154" t="str">
        <f>IF(OpenLCAbasic!K6924="CTUh", "Fill in Manually",IF(OR(K6924="Unit", K6924=""), "", INDEX(LookUps!$E$5:$E$12, MATCH(OpenLCAbasic!K6924,LookUps!$D$5:$D$12,0))))</f>
        <v>Water Use (WU) - m3 H2O</v>
      </c>
      <c r="M6924" s="154" t="str">
        <f t="shared" si="520"/>
        <v>High_Base_Low_Upgraded_Water Use (WU) - m3 H2O_Wastewater collection; operation and infrastructure; m3 wastewater_Without Amendment_Windrow</v>
      </c>
    </row>
    <row r="6925" spans="1:13" s="120" customFormat="1" x14ac:dyDescent="0.25">
      <c r="A6925" s="119"/>
      <c r="B6925" s="138" t="str">
        <f t="shared" si="518"/>
        <v>Windrow</v>
      </c>
      <c r="C6925" s="138" t="str">
        <f t="shared" si="521"/>
        <v>Without Amendment</v>
      </c>
      <c r="D6925" s="138" t="str">
        <f t="shared" si="522"/>
        <v>Base_Low</v>
      </c>
      <c r="E6925" s="138" t="str">
        <f t="shared" si="523"/>
        <v>High</v>
      </c>
      <c r="F6925" s="138" t="str">
        <f t="shared" si="519"/>
        <v>Upgraded</v>
      </c>
      <c r="G6925" s="153"/>
      <c r="H6925" s="210">
        <v>3.0999999999999999E-3</v>
      </c>
      <c r="I6925" s="160" t="s">
        <v>271</v>
      </c>
      <c r="J6925" s="211">
        <v>1.16325E-6</v>
      </c>
      <c r="K6925" s="160" t="s">
        <v>26</v>
      </c>
      <c r="L6925" s="154" t="str">
        <f>IF(OpenLCAbasic!K6925="CTUh", "Fill in Manually",IF(OR(K6925="Unit", K6925=""), "", INDEX(LookUps!$E$5:$E$12, MATCH(OpenLCAbasic!K6925,LookUps!$D$5:$D$12,0))))</f>
        <v>Water Use (WU) - m3 H2O</v>
      </c>
      <c r="M6925" s="154" t="str">
        <f t="shared" si="520"/>
        <v>High_Base_Low_Upgraded_Water Use (WU) - m3 H2O_Biosolids composting; windrow composting; wastewater treatment unit; at updated plant - US_Without Amendment_Windrow</v>
      </c>
    </row>
    <row r="6926" spans="1:13" s="120" customFormat="1" x14ac:dyDescent="0.25">
      <c r="A6926" s="119"/>
      <c r="B6926" s="138" t="str">
        <f t="shared" si="518"/>
        <v>Windrow</v>
      </c>
      <c r="C6926" s="138" t="str">
        <f t="shared" si="521"/>
        <v>Without Amendment</v>
      </c>
      <c r="D6926" s="138" t="str">
        <f t="shared" si="522"/>
        <v>Base_Low</v>
      </c>
      <c r="E6926" s="138" t="str">
        <f t="shared" si="523"/>
        <v>High</v>
      </c>
      <c r="F6926" s="138" t="str">
        <f t="shared" si="519"/>
        <v>Upgraded</v>
      </c>
      <c r="G6926" s="153"/>
      <c r="H6926" s="210">
        <v>2.0999999999999999E-3</v>
      </c>
      <c r="I6926" s="160" t="s">
        <v>168</v>
      </c>
      <c r="J6926" s="211">
        <v>7.6697000000000004E-7</v>
      </c>
      <c r="K6926" s="160" t="s">
        <v>26</v>
      </c>
      <c r="L6926" s="154" t="str">
        <f>IF(OpenLCAbasic!K6926="CTUh", "Fill in Manually",IF(OR(K6926="Unit", K6926=""), "", INDEX(LookUps!$E$5:$E$12, MATCH(OpenLCAbasic!K6926,LookUps!$D$5:$D$12,0))))</f>
        <v>Water Use (WU) - m3 H2O</v>
      </c>
      <c r="M6926" s="154" t="str">
        <f t="shared" si="520"/>
        <v>High_Base_Low_Upgraded_Water Use (WU) - m3 H2O_ClearCove SCP; wastewater treatment unit; at updated plant - US_Without Amendment_Windrow</v>
      </c>
    </row>
    <row r="6927" spans="1:13" s="120" customFormat="1" x14ac:dyDescent="0.25">
      <c r="A6927" s="119"/>
      <c r="B6927" s="138" t="str">
        <f t="shared" si="518"/>
        <v>Windrow</v>
      </c>
      <c r="C6927" s="138" t="str">
        <f t="shared" si="521"/>
        <v>Without Amendment</v>
      </c>
      <c r="D6927" s="138" t="str">
        <f t="shared" si="522"/>
        <v>Base_Low</v>
      </c>
      <c r="E6927" s="138" t="str">
        <f t="shared" si="523"/>
        <v>High</v>
      </c>
      <c r="F6927" s="138" t="str">
        <f t="shared" si="519"/>
        <v>Upgraded</v>
      </c>
      <c r="G6927" s="153"/>
      <c r="H6927" s="210">
        <v>-2.0893000000000002</v>
      </c>
      <c r="I6927" s="160" t="s">
        <v>62</v>
      </c>
      <c r="J6927" s="160">
        <v>-7.7999999999999999E-4</v>
      </c>
      <c r="K6927" s="160" t="s">
        <v>26</v>
      </c>
      <c r="L6927" s="154" t="str">
        <f>IF(OpenLCAbasic!K6927="CTUh", "Fill in Manually",IF(OR(K6927="Unit", K6927=""), "", INDEX(LookUps!$E$5:$E$12, MATCH(OpenLCAbasic!K6927,LookUps!$D$5:$D$12,0))))</f>
        <v>Water Use (WU) - m3 H2O</v>
      </c>
      <c r="M6927" s="154" t="str">
        <f t="shared" si="520"/>
        <v>High_Base_Low_Upgraded_Water Use (WU) - m3 H2O_Land application of compost; wastewater treatment unit; at updated plant - US_Without Amendment_Windrow</v>
      </c>
    </row>
    <row r="6928" spans="1:13" s="120" customFormat="1" x14ac:dyDescent="0.25">
      <c r="A6928" s="119"/>
      <c r="B6928" s="138" t="str">
        <f t="shared" si="518"/>
        <v/>
      </c>
      <c r="C6928" s="138" t="str">
        <f t="shared" si="521"/>
        <v/>
      </c>
      <c r="D6928" s="138" t="str">
        <f>IF(ISNUMBER($J6928),"Base_Base","")</f>
        <v/>
      </c>
      <c r="E6928" s="138" t="str">
        <f t="shared" si="523"/>
        <v/>
      </c>
      <c r="F6928" s="138" t="str">
        <f t="shared" si="519"/>
        <v/>
      </c>
      <c r="G6928" s="153" t="s">
        <v>51</v>
      </c>
      <c r="H6928" s="160"/>
      <c r="I6928" s="160" t="s">
        <v>47</v>
      </c>
      <c r="J6928" s="160" t="s">
        <v>52</v>
      </c>
      <c r="K6928" s="160" t="s">
        <v>27</v>
      </c>
      <c r="L6928" s="154" t="str">
        <f>IF(OpenLCAbasic!K6928="CTUh", "Fill in Manually",IF(OR(K6928="Unit", K6928=""), "", INDEX(LookUps!$E$5:$E$12, MATCH(OpenLCAbasic!K6928,LookUps!$D$5:$D$12,0))))</f>
        <v/>
      </c>
      <c r="M6928" s="154" t="str">
        <f t="shared" si="520"/>
        <v>____Process__</v>
      </c>
    </row>
    <row r="6929" spans="1:13" s="120" customFormat="1" x14ac:dyDescent="0.25">
      <c r="A6929" s="119"/>
      <c r="B6929" s="138" t="str">
        <f t="shared" si="518"/>
        <v>Windrow</v>
      </c>
      <c r="C6929" s="138" t="str">
        <f t="shared" si="521"/>
        <v>Without Amendment</v>
      </c>
      <c r="D6929" s="138" t="s">
        <v>130</v>
      </c>
      <c r="E6929" s="138" t="str">
        <f t="shared" si="523"/>
        <v>High</v>
      </c>
      <c r="F6929" s="138" t="str">
        <f t="shared" si="519"/>
        <v>Upgraded</v>
      </c>
      <c r="G6929" s="153"/>
      <c r="H6929" s="210">
        <v>0.42680000000000001</v>
      </c>
      <c r="I6929" s="160" t="s">
        <v>55</v>
      </c>
      <c r="J6929" s="160">
        <v>1.7219999999999999E-2</v>
      </c>
      <c r="K6929" s="160" t="s">
        <v>24</v>
      </c>
      <c r="L6929" s="154" t="str">
        <f>IF(OpenLCAbasic!K6929="CTUh", "Fill in Manually",IF(OR(K6929="Unit", K6929=""), "", INDEX(LookUps!$E$5:$E$12, MATCH(OpenLCAbasic!K6929,LookUps!$D$5:$D$12,0))))</f>
        <v>Acidification Potential (AP) - kg SO2 eq</v>
      </c>
      <c r="M6929" s="154" t="str">
        <f t="shared" si="520"/>
        <v>High_Base_Upgraded_Acidification Potential (AP) - kg SO2 eq_Aeration Tanks; wastewater treatment unit; at updated plant - US_Without Amendment_Windrow</v>
      </c>
    </row>
    <row r="6930" spans="1:13" s="120" customFormat="1" x14ac:dyDescent="0.25">
      <c r="A6930" s="119"/>
      <c r="B6930" s="138" t="str">
        <f t="shared" si="518"/>
        <v>Windrow</v>
      </c>
      <c r="C6930" s="138" t="str">
        <f t="shared" si="521"/>
        <v>Without Amendment</v>
      </c>
      <c r="D6930" s="138" t="s">
        <v>130</v>
      </c>
      <c r="E6930" s="138" t="str">
        <f t="shared" si="523"/>
        <v>High</v>
      </c>
      <c r="F6930" s="138" t="str">
        <f t="shared" si="519"/>
        <v>Upgraded</v>
      </c>
      <c r="G6930" s="153"/>
      <c r="H6930" s="210">
        <v>0.17280000000000001</v>
      </c>
      <c r="I6930" s="160" t="s">
        <v>271</v>
      </c>
      <c r="J6930" s="160">
        <v>6.9699999999999996E-3</v>
      </c>
      <c r="K6930" s="160" t="s">
        <v>24</v>
      </c>
      <c r="L6930" s="154" t="str">
        <f>IF(OpenLCAbasic!K6930="CTUh", "Fill in Manually",IF(OR(K6930="Unit", K6930=""), "", INDEX(LookUps!$E$5:$E$12, MATCH(OpenLCAbasic!K6930,LookUps!$D$5:$D$12,0))))</f>
        <v>Acidification Potential (AP) - kg SO2 eq</v>
      </c>
      <c r="M6930" s="154" t="str">
        <f t="shared" si="520"/>
        <v>High_Base_Upgraded_Acidification Potential (AP) - kg SO2 eq_Biosolids composting; windrow composting; wastewater treatment unit; at updated plant - US_Without Amendment_Windrow</v>
      </c>
    </row>
    <row r="6931" spans="1:13" s="120" customFormat="1" x14ac:dyDescent="0.25">
      <c r="A6931" s="119"/>
      <c r="B6931" s="138" t="str">
        <f t="shared" si="518"/>
        <v>Windrow</v>
      </c>
      <c r="C6931" s="138" t="str">
        <f t="shared" si="521"/>
        <v>Without Amendment</v>
      </c>
      <c r="D6931" s="138" t="s">
        <v>130</v>
      </c>
      <c r="E6931" s="138" t="str">
        <f t="shared" si="523"/>
        <v>High</v>
      </c>
      <c r="F6931" s="138" t="str">
        <f t="shared" si="519"/>
        <v>Upgraded</v>
      </c>
      <c r="G6931" s="153"/>
      <c r="H6931" s="210">
        <v>0.1234</v>
      </c>
      <c r="I6931" s="160" t="s">
        <v>54</v>
      </c>
      <c r="J6931" s="160">
        <v>4.9800000000000001E-3</v>
      </c>
      <c r="K6931" s="160" t="s">
        <v>24</v>
      </c>
      <c r="L6931" s="154" t="str">
        <f>IF(OpenLCAbasic!K6931="CTUh", "Fill in Manually",IF(OR(K6931="Unit", K6931=""), "", INDEX(LookUps!$E$5:$E$12, MATCH(OpenLCAbasic!K6931,LookUps!$D$5:$D$12,0))))</f>
        <v>Acidification Potential (AP) - kg SO2 eq</v>
      </c>
      <c r="M6931" s="154" t="str">
        <f t="shared" si="520"/>
        <v>High_Base_Upgraded_Acidification Potential (AP) - kg SO2 eq_Clear Cove Primary Clarification; wastewater treatment unit; at updated plant - US_Without Amendment_Windrow</v>
      </c>
    </row>
    <row r="6932" spans="1:13" s="120" customFormat="1" x14ac:dyDescent="0.25">
      <c r="A6932" s="119"/>
      <c r="B6932" s="138" t="str">
        <f t="shared" si="518"/>
        <v>Windrow</v>
      </c>
      <c r="C6932" s="138" t="str">
        <f t="shared" si="521"/>
        <v>Without Amendment</v>
      </c>
      <c r="D6932" s="138" t="s">
        <v>130</v>
      </c>
      <c r="E6932" s="138" t="str">
        <f t="shared" si="523"/>
        <v>High</v>
      </c>
      <c r="F6932" s="138" t="str">
        <f t="shared" si="519"/>
        <v>Upgraded</v>
      </c>
      <c r="G6932" s="153"/>
      <c r="H6932" s="210">
        <v>0.1074</v>
      </c>
      <c r="I6932" s="160" t="s">
        <v>58</v>
      </c>
      <c r="J6932" s="160">
        <v>4.3299999999999996E-3</v>
      </c>
      <c r="K6932" s="160" t="s">
        <v>24</v>
      </c>
      <c r="L6932" s="154" t="str">
        <f>IF(OpenLCAbasic!K6932="CTUh", "Fill in Manually",IF(OR(K6932="Unit", K6932=""), "", INDEX(LookUps!$E$5:$E$12, MATCH(OpenLCAbasic!K6932,LookUps!$D$5:$D$12,0))))</f>
        <v>Acidification Potential (AP) - kg SO2 eq</v>
      </c>
      <c r="M6932" s="154" t="str">
        <f t="shared" si="520"/>
        <v>High_Base_Upgraded_Acidification Potential (AP) - kg SO2 eq_Pre-Anoxic &amp; Swing tank; wastewater treatment unit; at updated plant - US_Without Amendment_Windrow</v>
      </c>
    </row>
    <row r="6933" spans="1:13" s="120" customFormat="1" x14ac:dyDescent="0.25">
      <c r="A6933" s="119"/>
      <c r="B6933" s="138" t="str">
        <f t="shared" si="518"/>
        <v>Windrow</v>
      </c>
      <c r="C6933" s="138" t="str">
        <f t="shared" si="521"/>
        <v>Without Amendment</v>
      </c>
      <c r="D6933" s="138" t="s">
        <v>130</v>
      </c>
      <c r="E6933" s="138" t="str">
        <f t="shared" si="523"/>
        <v>High</v>
      </c>
      <c r="F6933" s="138" t="str">
        <f t="shared" si="519"/>
        <v>Upgraded</v>
      </c>
      <c r="G6933" s="153"/>
      <c r="H6933" s="210">
        <v>8.5500000000000007E-2</v>
      </c>
      <c r="I6933" s="160" t="s">
        <v>53</v>
      </c>
      <c r="J6933" s="160">
        <v>3.4499999999999999E-3</v>
      </c>
      <c r="K6933" s="160" t="s">
        <v>24</v>
      </c>
      <c r="L6933" s="154" t="str">
        <f>IF(OpenLCAbasic!K6933="CTUh", "Fill in Manually",IF(OR(K6933="Unit", K6933=""), "", INDEX(LookUps!$E$5:$E$12, MATCH(OpenLCAbasic!K6933,LookUps!$D$5:$D$12,0))))</f>
        <v>Acidification Potential (AP) - kg SO2 eq</v>
      </c>
      <c r="M6933" s="154" t="str">
        <f t="shared" si="520"/>
        <v>High_Base_Upgraded_Acidification Potential (AP) - kg SO2 eq_Wet Well and Sump Station; wastewater treatment unit; at updated plant - US_Without Amendment_Windrow</v>
      </c>
    </row>
    <row r="6934" spans="1:13" s="120" customFormat="1" x14ac:dyDescent="0.25">
      <c r="A6934" s="119"/>
      <c r="B6934" s="138" t="str">
        <f t="shared" si="518"/>
        <v>Windrow</v>
      </c>
      <c r="C6934" s="138" t="str">
        <f t="shared" si="521"/>
        <v>Without Amendment</v>
      </c>
      <c r="D6934" s="138" t="s">
        <v>130</v>
      </c>
      <c r="E6934" s="138" t="str">
        <f t="shared" si="523"/>
        <v>High</v>
      </c>
      <c r="F6934" s="138" t="str">
        <f t="shared" si="519"/>
        <v>Upgraded</v>
      </c>
      <c r="G6934" s="153"/>
      <c r="H6934" s="210">
        <v>5.8900000000000001E-2</v>
      </c>
      <c r="I6934" s="160" t="s">
        <v>167</v>
      </c>
      <c r="J6934" s="160">
        <v>2.3800000000000002E-3</v>
      </c>
      <c r="K6934" s="160" t="s">
        <v>24</v>
      </c>
      <c r="L6934" s="154" t="str">
        <f>IF(OpenLCAbasic!K6934="CTUh", "Fill in Manually",IF(OR(K6934="Unit", K6934=""), "", INDEX(LookUps!$E$5:$E$12, MATCH(OpenLCAbasic!K6934,LookUps!$D$5:$D$12,0))))</f>
        <v>Acidification Potential (AP) - kg SO2 eq</v>
      </c>
      <c r="M6934" s="154" t="str">
        <f t="shared" si="520"/>
        <v>High_Base_Upgraded_Acidification Potential (AP) - kg SO2 eq_Waste Receiving and Holding; wastewater treatment unit; at updated plant - US_Without Amendment_Windrow</v>
      </c>
    </row>
    <row r="6935" spans="1:13" s="120" customFormat="1" x14ac:dyDescent="0.25">
      <c r="A6935" s="119"/>
      <c r="B6935" s="138" t="str">
        <f t="shared" si="518"/>
        <v>Windrow</v>
      </c>
      <c r="C6935" s="138" t="str">
        <f t="shared" si="521"/>
        <v>Without Amendment</v>
      </c>
      <c r="D6935" s="138" t="s">
        <v>130</v>
      </c>
      <c r="E6935" s="138" t="str">
        <f t="shared" si="523"/>
        <v>High</v>
      </c>
      <c r="F6935" s="138" t="str">
        <f t="shared" si="519"/>
        <v>Upgraded</v>
      </c>
      <c r="G6935" s="153"/>
      <c r="H6935" s="210">
        <v>5.1299999999999998E-2</v>
      </c>
      <c r="I6935" s="160" t="s">
        <v>147</v>
      </c>
      <c r="J6935" s="160">
        <v>2.0699999999999998E-3</v>
      </c>
      <c r="K6935" s="160" t="s">
        <v>24</v>
      </c>
      <c r="L6935" s="154" t="str">
        <f>IF(OpenLCAbasic!K6935="CTUh", "Fill in Manually",IF(OR(K6935="Unit", K6935=""), "", INDEX(LookUps!$E$5:$E$12, MATCH(OpenLCAbasic!K6935,LookUps!$D$5:$D$12,0))))</f>
        <v>Acidification Potential (AP) - kg SO2 eq</v>
      </c>
      <c r="M6935" s="154" t="str">
        <f t="shared" si="520"/>
        <v>High_Base_Upgraded_Acidification Potential (AP) - kg SO2 eq_Influent Pump Station; wastewater treatment unit; at updated plant - US_Without Amendment_Windrow</v>
      </c>
    </row>
    <row r="6936" spans="1:13" s="120" customFormat="1" x14ac:dyDescent="0.25">
      <c r="A6936" s="119"/>
      <c r="B6936" s="138" t="str">
        <f t="shared" si="518"/>
        <v>Windrow</v>
      </c>
      <c r="C6936" s="138" t="str">
        <f t="shared" si="521"/>
        <v>Without Amendment</v>
      </c>
      <c r="D6936" s="138" t="s">
        <v>130</v>
      </c>
      <c r="E6936" s="138" t="str">
        <f t="shared" si="523"/>
        <v>High</v>
      </c>
      <c r="F6936" s="138" t="str">
        <f t="shared" si="519"/>
        <v>Upgraded</v>
      </c>
      <c r="G6936" s="153"/>
      <c r="H6936" s="210">
        <v>3.7999999999999999E-2</v>
      </c>
      <c r="I6936" s="160" t="s">
        <v>62</v>
      </c>
      <c r="J6936" s="160">
        <v>1.5299999999999999E-3</v>
      </c>
      <c r="K6936" s="160" t="s">
        <v>24</v>
      </c>
      <c r="L6936" s="154" t="str">
        <f>IF(OpenLCAbasic!K6936="CTUh", "Fill in Manually",IF(OR(K6936="Unit", K6936=""), "", INDEX(LookUps!$E$5:$E$12, MATCH(OpenLCAbasic!K6936,LookUps!$D$5:$D$12,0))))</f>
        <v>Acidification Potential (AP) - kg SO2 eq</v>
      </c>
      <c r="M6936" s="154" t="str">
        <f t="shared" si="520"/>
        <v>High_Base_Upgraded_Acidification Potential (AP) - kg SO2 eq_Land application of compost; wastewater treatment unit; at updated plant - US_Without Amendment_Windrow</v>
      </c>
    </row>
    <row r="6937" spans="1:13" s="120" customFormat="1" x14ac:dyDescent="0.25">
      <c r="A6937" s="119"/>
      <c r="B6937" s="138" t="str">
        <f t="shared" si="518"/>
        <v>Windrow</v>
      </c>
      <c r="C6937" s="138" t="str">
        <f t="shared" si="521"/>
        <v>Without Amendment</v>
      </c>
      <c r="D6937" s="138" t="s">
        <v>130</v>
      </c>
      <c r="E6937" s="138" t="str">
        <f t="shared" si="523"/>
        <v>High</v>
      </c>
      <c r="F6937" s="138" t="str">
        <f t="shared" si="519"/>
        <v>Upgraded</v>
      </c>
      <c r="G6937" s="153"/>
      <c r="H6937" s="210">
        <v>3.0599999999999999E-2</v>
      </c>
      <c r="I6937" s="160" t="s">
        <v>128</v>
      </c>
      <c r="J6937" s="160">
        <v>1.23E-3</v>
      </c>
      <c r="K6937" s="160" t="s">
        <v>24</v>
      </c>
      <c r="L6937" s="154" t="str">
        <f>IF(OpenLCAbasic!K6937="CTUh", "Fill in Manually",IF(OR(K6937="Unit", K6937=""), "", INDEX(LookUps!$E$5:$E$12, MATCH(OpenLCAbasic!K6937,LookUps!$D$5:$D$12,0))))</f>
        <v>Acidification Potential (AP) - kg SO2 eq</v>
      </c>
      <c r="M6937" s="154" t="str">
        <f t="shared" si="520"/>
        <v>High_Base_Upgraded_Acidification Potential (AP) - kg SO2 eq_Wastewater collection; operation and infrastructure; m3 wastewater_Without Amendment_Windrow</v>
      </c>
    </row>
    <row r="6938" spans="1:13" s="120" customFormat="1" x14ac:dyDescent="0.25">
      <c r="A6938" s="119"/>
      <c r="B6938" s="138" t="str">
        <f t="shared" si="518"/>
        <v>Windrow</v>
      </c>
      <c r="C6938" s="138" t="str">
        <f t="shared" si="521"/>
        <v>Without Amendment</v>
      </c>
      <c r="D6938" s="138" t="s">
        <v>130</v>
      </c>
      <c r="E6938" s="138" t="str">
        <f t="shared" si="523"/>
        <v>High</v>
      </c>
      <c r="F6938" s="138" t="str">
        <f t="shared" si="519"/>
        <v>Upgraded</v>
      </c>
      <c r="G6938" s="153"/>
      <c r="H6938" s="210">
        <v>1.9099999999999999E-2</v>
      </c>
      <c r="I6938" s="160" t="s">
        <v>60</v>
      </c>
      <c r="J6938" s="160">
        <v>7.6999999999999996E-4</v>
      </c>
      <c r="K6938" s="160" t="s">
        <v>24</v>
      </c>
      <c r="L6938" s="154" t="str">
        <f>IF(OpenLCAbasic!K6938="CTUh", "Fill in Manually",IF(OR(K6938="Unit", K6938=""), "", INDEX(LookUps!$E$5:$E$12, MATCH(OpenLCAbasic!K6938,LookUps!$D$5:$D$12,0))))</f>
        <v>Acidification Potential (AP) - kg SO2 eq</v>
      </c>
      <c r="M6938" s="154" t="str">
        <f t="shared" si="520"/>
        <v>High_Base_Upgraded_Acidification Potential (AP) - kg SO2 eq_Belt filter press; wastewater treatment unit; at updated plant - US_Without Amendment_Windrow</v>
      </c>
    </row>
    <row r="6939" spans="1:13" s="120" customFormat="1" x14ac:dyDescent="0.25">
      <c r="A6939" s="119"/>
      <c r="B6939" s="138" t="str">
        <f t="shared" si="518"/>
        <v>Windrow</v>
      </c>
      <c r="C6939" s="138" t="str">
        <f t="shared" si="521"/>
        <v>Without Amendment</v>
      </c>
      <c r="D6939" s="138" t="s">
        <v>130</v>
      </c>
      <c r="E6939" s="138" t="str">
        <f t="shared" si="523"/>
        <v>High</v>
      </c>
      <c r="F6939" s="138" t="str">
        <f t="shared" si="519"/>
        <v>Upgraded</v>
      </c>
      <c r="G6939" s="153"/>
      <c r="H6939" s="210">
        <v>1.7399999999999999E-2</v>
      </c>
      <c r="I6939" s="160" t="s">
        <v>57</v>
      </c>
      <c r="J6939" s="160">
        <v>6.9999999999999999E-4</v>
      </c>
      <c r="K6939" s="160" t="s">
        <v>24</v>
      </c>
      <c r="L6939" s="154" t="str">
        <f>IF(OpenLCAbasic!K6939="CTUh", "Fill in Manually",IF(OR(K6939="Unit", K6939=""), "", INDEX(LookUps!$E$5:$E$12, MATCH(OpenLCAbasic!K6939,LookUps!$D$5:$D$12,0))))</f>
        <v>Acidification Potential (AP) - kg SO2 eq</v>
      </c>
      <c r="M6939" s="154" t="str">
        <f t="shared" si="520"/>
        <v>High_Base_Upgraded_Acidification Potential (AP) - kg SO2 eq_Gravity Belt Thickener; wastewater treatment unit; at updated plant - US_Without Amendment_Windrow</v>
      </c>
    </row>
    <row r="6940" spans="1:13" s="120" customFormat="1" x14ac:dyDescent="0.25">
      <c r="A6940" s="119"/>
      <c r="B6940" s="138" t="str">
        <f t="shared" si="518"/>
        <v>Windrow</v>
      </c>
      <c r="C6940" s="138" t="str">
        <f t="shared" si="521"/>
        <v>Without Amendment</v>
      </c>
      <c r="D6940" s="138" t="s">
        <v>130</v>
      </c>
      <c r="E6940" s="138" t="str">
        <f t="shared" si="523"/>
        <v>High</v>
      </c>
      <c r="F6940" s="138" t="str">
        <f t="shared" si="519"/>
        <v>Upgraded</v>
      </c>
      <c r="G6940" s="153"/>
      <c r="H6940" s="210">
        <v>1.2800000000000001E-2</v>
      </c>
      <c r="I6940" s="160" t="s">
        <v>59</v>
      </c>
      <c r="J6940" s="160">
        <v>5.1999999999999995E-4</v>
      </c>
      <c r="K6940" s="160" t="s">
        <v>24</v>
      </c>
      <c r="L6940" s="154" t="str">
        <f>IF(OpenLCAbasic!K6940="CTUh", "Fill in Manually",IF(OR(K6940="Unit", K6940=""), "", INDEX(LookUps!$E$5:$E$12, MATCH(OpenLCAbasic!K6940,LookUps!$D$5:$D$12,0))))</f>
        <v>Acidification Potential (AP) - kg SO2 eq</v>
      </c>
      <c r="M6940" s="154" t="str">
        <f t="shared" si="520"/>
        <v>High_Base_Upgraded_Acidification Potential (AP) - kg SO2 eq_Blend Tank; wastewater treatment unit; at updated plant - US_Without Amendment_Windrow</v>
      </c>
    </row>
    <row r="6941" spans="1:13" s="120" customFormat="1" x14ac:dyDescent="0.25">
      <c r="A6941" s="119"/>
      <c r="B6941" s="138" t="str">
        <f t="shared" si="518"/>
        <v>Windrow</v>
      </c>
      <c r="C6941" s="138" t="str">
        <f t="shared" si="521"/>
        <v>Without Amendment</v>
      </c>
      <c r="D6941" s="138" t="s">
        <v>130</v>
      </c>
      <c r="E6941" s="138" t="str">
        <f t="shared" si="523"/>
        <v>High</v>
      </c>
      <c r="F6941" s="138" t="str">
        <f t="shared" si="519"/>
        <v>Upgraded</v>
      </c>
      <c r="G6941" s="153"/>
      <c r="H6941" s="210">
        <v>8.6E-3</v>
      </c>
      <c r="I6941" s="160" t="s">
        <v>48</v>
      </c>
      <c r="J6941" s="160">
        <v>3.5E-4</v>
      </c>
      <c r="K6941" s="160" t="s">
        <v>24</v>
      </c>
      <c r="L6941" s="154" t="str">
        <f>IF(OpenLCAbasic!K6941="CTUh", "Fill in Manually",IF(OR(K6941="Unit", K6941=""), "", INDEX(LookUps!$E$5:$E$12, MATCH(OpenLCAbasic!K6941,LookUps!$D$5:$D$12,0))))</f>
        <v>Acidification Potential (AP) - kg SO2 eq</v>
      </c>
      <c r="M6941" s="154" t="str">
        <f t="shared" si="520"/>
        <v>High_Base_Upgraded_Acidification Potential (AP) - kg SO2 eq_Effluent release; wastewater treatment unit; at surface water; m3 wastewater - US_Without Amendment_Windrow</v>
      </c>
    </row>
    <row r="6942" spans="1:13" s="120" customFormat="1" x14ac:dyDescent="0.25">
      <c r="A6942" s="119"/>
      <c r="B6942" s="138" t="str">
        <f t="shared" si="518"/>
        <v>Windrow</v>
      </c>
      <c r="C6942" s="138" t="str">
        <f t="shared" si="521"/>
        <v>Without Amendment</v>
      </c>
      <c r="D6942" s="138" t="s">
        <v>130</v>
      </c>
      <c r="E6942" s="138" t="str">
        <f t="shared" si="523"/>
        <v>High</v>
      </c>
      <c r="F6942" s="138" t="str">
        <f t="shared" si="519"/>
        <v>Upgraded</v>
      </c>
      <c r="G6942" s="153"/>
      <c r="H6942" s="210">
        <v>6.3E-3</v>
      </c>
      <c r="I6942" s="160" t="s">
        <v>168</v>
      </c>
      <c r="J6942" s="160">
        <v>2.5999999999999998E-4</v>
      </c>
      <c r="K6942" s="160" t="s">
        <v>24</v>
      </c>
      <c r="L6942" s="154" t="str">
        <f>IF(OpenLCAbasic!K6942="CTUh", "Fill in Manually",IF(OR(K6942="Unit", K6942=""), "", INDEX(LookUps!$E$5:$E$12, MATCH(OpenLCAbasic!K6942,LookUps!$D$5:$D$12,0))))</f>
        <v>Acidification Potential (AP) - kg SO2 eq</v>
      </c>
      <c r="M6942" s="154" t="str">
        <f t="shared" si="520"/>
        <v>High_Base_Upgraded_Acidification Potential (AP) - kg SO2 eq_ClearCove SCP; wastewater treatment unit; at updated plant - US_Without Amendment_Windrow</v>
      </c>
    </row>
    <row r="6943" spans="1:13" s="120" customFormat="1" x14ac:dyDescent="0.25">
      <c r="A6943" s="119"/>
      <c r="B6943" s="138" t="str">
        <f t="shared" si="518"/>
        <v>Windrow</v>
      </c>
      <c r="C6943" s="138" t="str">
        <f t="shared" si="521"/>
        <v>Without Amendment</v>
      </c>
      <c r="D6943" s="138" t="s">
        <v>130</v>
      </c>
      <c r="E6943" s="138" t="str">
        <f t="shared" si="523"/>
        <v>High</v>
      </c>
      <c r="F6943" s="138" t="str">
        <f t="shared" si="519"/>
        <v>Upgraded</v>
      </c>
      <c r="G6943" s="153"/>
      <c r="H6943" s="210">
        <v>1E-3</v>
      </c>
      <c r="I6943" s="160" t="s">
        <v>148</v>
      </c>
      <c r="J6943" s="211">
        <v>4.0354700000000002E-5</v>
      </c>
      <c r="K6943" s="160" t="s">
        <v>24</v>
      </c>
      <c r="L6943" s="154" t="str">
        <f>IF(OpenLCAbasic!K6943="CTUh", "Fill in Manually",IF(OR(K6943="Unit", K6943=""), "", INDEX(LookUps!$E$5:$E$12, MATCH(OpenLCAbasic!K6943,LookUps!$D$5:$D$12,0))))</f>
        <v>Acidification Potential (AP) - kg SO2 eq</v>
      </c>
      <c r="M6943" s="154" t="str">
        <f t="shared" si="520"/>
        <v>High_Base_Upgraded_Acidification Potential (AP) - kg SO2 eq_Control Building; at upgraded wastewater treatment plant - US_Without Amendment_Windrow</v>
      </c>
    </row>
    <row r="6944" spans="1:13" s="120" customFormat="1" x14ac:dyDescent="0.25">
      <c r="A6944" s="119"/>
      <c r="B6944" s="138" t="str">
        <f t="shared" si="518"/>
        <v>Windrow</v>
      </c>
      <c r="C6944" s="138" t="str">
        <f t="shared" si="521"/>
        <v>Without Amendment</v>
      </c>
      <c r="D6944" s="138" t="s">
        <v>130</v>
      </c>
      <c r="E6944" s="138" t="str">
        <f t="shared" si="523"/>
        <v>High</v>
      </c>
      <c r="F6944" s="138" t="str">
        <f t="shared" si="519"/>
        <v>Upgraded</v>
      </c>
      <c r="G6944" s="153"/>
      <c r="H6944" s="210">
        <v>-0.1598</v>
      </c>
      <c r="I6944" s="160" t="s">
        <v>149</v>
      </c>
      <c r="J6944" s="160">
        <v>-6.45E-3</v>
      </c>
      <c r="K6944" s="160" t="s">
        <v>24</v>
      </c>
      <c r="L6944" s="154" t="str">
        <f>IF(OpenLCAbasic!K6944="CTUh", "Fill in Manually",IF(OR(K6944="Unit", K6944=""), "", INDEX(LookUps!$E$5:$E$12, MATCH(OpenLCAbasic!K6944,LookUps!$D$5:$D$12,0))))</f>
        <v>Acidification Potential (AP) - kg SO2 eq</v>
      </c>
      <c r="M6944" s="154" t="str">
        <f t="shared" si="520"/>
        <v>High_Base_Upgraded_Acidification Potential (AP) - kg SO2 eq_Anaerobic Digestion; wastewater treatment unit; at updated plant - US_Without Amendment_Windrow</v>
      </c>
    </row>
    <row r="6945" spans="1:13" s="120" customFormat="1" x14ac:dyDescent="0.25">
      <c r="A6945" s="119"/>
      <c r="B6945" s="138" t="str">
        <f t="shared" si="518"/>
        <v/>
      </c>
      <c r="C6945" s="138" t="str">
        <f t="shared" si="521"/>
        <v/>
      </c>
      <c r="D6945" s="138" t="str">
        <f t="shared" ref="D6945:D6979" si="524">IF(ISNUMBER($J6945),"Base_Base","")</f>
        <v/>
      </c>
      <c r="E6945" s="138" t="str">
        <f t="shared" si="523"/>
        <v/>
      </c>
      <c r="F6945" s="138" t="str">
        <f t="shared" si="519"/>
        <v/>
      </c>
      <c r="G6945" s="153" t="s">
        <v>51</v>
      </c>
      <c r="H6945" s="160"/>
      <c r="I6945" s="160" t="s">
        <v>47</v>
      </c>
      <c r="J6945" s="160" t="s">
        <v>52</v>
      </c>
      <c r="K6945" s="160" t="s">
        <v>27</v>
      </c>
      <c r="L6945" s="154" t="str">
        <f>IF(OpenLCAbasic!K6945="CTUh", "Fill in Manually",IF(OR(K6945="Unit", K6945=""), "", INDEX(LookUps!$E$5:$E$12, MATCH(OpenLCAbasic!K6945,LookUps!$D$5:$D$12,0))))</f>
        <v/>
      </c>
      <c r="M6945" s="154" t="str">
        <f t="shared" si="520"/>
        <v>____Process__</v>
      </c>
    </row>
    <row r="6946" spans="1:13" s="120" customFormat="1" x14ac:dyDescent="0.25">
      <c r="A6946" s="119"/>
      <c r="B6946" s="138" t="str">
        <f t="shared" si="518"/>
        <v>Windrow</v>
      </c>
      <c r="C6946" s="138" t="str">
        <f t="shared" si="521"/>
        <v>Without Amendment</v>
      </c>
      <c r="D6946" s="138" t="s">
        <v>130</v>
      </c>
      <c r="E6946" s="138" t="str">
        <f t="shared" si="523"/>
        <v>High</v>
      </c>
      <c r="F6946" s="138" t="str">
        <f t="shared" si="519"/>
        <v>Upgraded</v>
      </c>
      <c r="G6946" s="153"/>
      <c r="H6946" s="210">
        <v>0.36309999999999998</v>
      </c>
      <c r="I6946" s="160" t="s">
        <v>55</v>
      </c>
      <c r="J6946" s="160">
        <v>3.5330499999999998</v>
      </c>
      <c r="K6946" s="160" t="s">
        <v>15</v>
      </c>
      <c r="L6946" s="154" t="str">
        <f>IF(OpenLCAbasic!K6946="CTUh", "Fill in Manually",IF(OR(K6946="Unit", K6946=""), "", INDEX(LookUps!$E$5:$E$12, MATCH(OpenLCAbasic!K6946,LookUps!$D$5:$D$12,0))))</f>
        <v>Cumulative Energy Demand (CED) - MJ</v>
      </c>
      <c r="M6946" s="154" t="str">
        <f t="shared" si="520"/>
        <v>High_Base_Upgraded_Cumulative Energy Demand (CED) - MJ_Aeration Tanks; wastewater treatment unit; at updated plant - US_Without Amendment_Windrow</v>
      </c>
    </row>
    <row r="6947" spans="1:13" s="120" customFormat="1" x14ac:dyDescent="0.25">
      <c r="A6947" s="119"/>
      <c r="B6947" s="138" t="str">
        <f t="shared" si="518"/>
        <v>Windrow</v>
      </c>
      <c r="C6947" s="138" t="str">
        <f t="shared" si="521"/>
        <v>Without Amendment</v>
      </c>
      <c r="D6947" s="138" t="s">
        <v>130</v>
      </c>
      <c r="E6947" s="138" t="str">
        <f t="shared" si="523"/>
        <v>High</v>
      </c>
      <c r="F6947" s="138" t="str">
        <f t="shared" si="519"/>
        <v>Upgraded</v>
      </c>
      <c r="G6947" s="153"/>
      <c r="H6947" s="210">
        <v>0.35949999999999999</v>
      </c>
      <c r="I6947" s="160" t="s">
        <v>167</v>
      </c>
      <c r="J6947" s="160">
        <v>3.4982700000000002</v>
      </c>
      <c r="K6947" s="160" t="s">
        <v>15</v>
      </c>
      <c r="L6947" s="154" t="str">
        <f>IF(OpenLCAbasic!K6947="CTUh", "Fill in Manually",IF(OR(K6947="Unit", K6947=""), "", INDEX(LookUps!$E$5:$E$12, MATCH(OpenLCAbasic!K6947,LookUps!$D$5:$D$12,0))))</f>
        <v>Cumulative Energy Demand (CED) - MJ</v>
      </c>
      <c r="M6947" s="154" t="str">
        <f t="shared" si="520"/>
        <v>High_Base_Upgraded_Cumulative Energy Demand (CED) - MJ_Waste Receiving and Holding; wastewater treatment unit; at updated plant - US_Without Amendment_Windrow</v>
      </c>
    </row>
    <row r="6948" spans="1:13" s="120" customFormat="1" x14ac:dyDescent="0.25">
      <c r="A6948" s="119"/>
      <c r="B6948" s="138" t="str">
        <f t="shared" si="518"/>
        <v>Windrow</v>
      </c>
      <c r="C6948" s="138" t="str">
        <f t="shared" si="521"/>
        <v>Without Amendment</v>
      </c>
      <c r="D6948" s="138" t="s">
        <v>130</v>
      </c>
      <c r="E6948" s="138" t="str">
        <f t="shared" si="523"/>
        <v>High</v>
      </c>
      <c r="F6948" s="138" t="str">
        <f t="shared" si="519"/>
        <v>Upgraded</v>
      </c>
      <c r="G6948" s="153"/>
      <c r="H6948" s="210">
        <v>0.1195</v>
      </c>
      <c r="I6948" s="160" t="s">
        <v>54</v>
      </c>
      <c r="J6948" s="160">
        <v>1.16289</v>
      </c>
      <c r="K6948" s="160" t="s">
        <v>15</v>
      </c>
      <c r="L6948" s="154" t="str">
        <f>IF(OpenLCAbasic!K6948="CTUh", "Fill in Manually",IF(OR(K6948="Unit", K6948=""), "", INDEX(LookUps!$E$5:$E$12, MATCH(OpenLCAbasic!K6948,LookUps!$D$5:$D$12,0))))</f>
        <v>Cumulative Energy Demand (CED) - MJ</v>
      </c>
      <c r="M6948" s="154" t="str">
        <f t="shared" si="520"/>
        <v>High_Base_Upgraded_Cumulative Energy Demand (CED) - MJ_Clear Cove Primary Clarification; wastewater treatment unit; at updated plant - US_Without Amendment_Windrow</v>
      </c>
    </row>
    <row r="6949" spans="1:13" s="120" customFormat="1" x14ac:dyDescent="0.25">
      <c r="A6949" s="119"/>
      <c r="B6949" s="138" t="str">
        <f t="shared" si="518"/>
        <v>Windrow</v>
      </c>
      <c r="C6949" s="138" t="str">
        <f t="shared" si="521"/>
        <v>Without Amendment</v>
      </c>
      <c r="D6949" s="138" t="s">
        <v>130</v>
      </c>
      <c r="E6949" s="138" t="str">
        <f t="shared" si="523"/>
        <v>High</v>
      </c>
      <c r="F6949" s="138" t="str">
        <f t="shared" si="519"/>
        <v>Upgraded</v>
      </c>
      <c r="G6949" s="153"/>
      <c r="H6949" s="210">
        <v>9.0899999999999995E-2</v>
      </c>
      <c r="I6949" s="160" t="s">
        <v>58</v>
      </c>
      <c r="J6949" s="160">
        <v>0.88417000000000001</v>
      </c>
      <c r="K6949" s="160" t="s">
        <v>15</v>
      </c>
      <c r="L6949" s="154" t="str">
        <f>IF(OpenLCAbasic!K6949="CTUh", "Fill in Manually",IF(OR(K6949="Unit", K6949=""), "", INDEX(LookUps!$E$5:$E$12, MATCH(OpenLCAbasic!K6949,LookUps!$D$5:$D$12,0))))</f>
        <v>Cumulative Energy Demand (CED) - MJ</v>
      </c>
      <c r="M6949" s="154" t="str">
        <f t="shared" si="520"/>
        <v>High_Base_Upgraded_Cumulative Energy Demand (CED) - MJ_Pre-Anoxic &amp; Swing tank; wastewater treatment unit; at updated plant - US_Without Amendment_Windrow</v>
      </c>
    </row>
    <row r="6950" spans="1:13" s="120" customFormat="1" x14ac:dyDescent="0.25">
      <c r="A6950" s="119"/>
      <c r="B6950" s="138" t="str">
        <f t="shared" si="518"/>
        <v>Windrow</v>
      </c>
      <c r="C6950" s="138" t="str">
        <f t="shared" si="521"/>
        <v>Without Amendment</v>
      </c>
      <c r="D6950" s="138" t="s">
        <v>130</v>
      </c>
      <c r="E6950" s="138" t="str">
        <f t="shared" si="523"/>
        <v>High</v>
      </c>
      <c r="F6950" s="138" t="str">
        <f t="shared" si="519"/>
        <v>Upgraded</v>
      </c>
      <c r="G6950" s="153"/>
      <c r="H6950" s="210">
        <v>9.0700000000000003E-2</v>
      </c>
      <c r="I6950" s="160" t="s">
        <v>147</v>
      </c>
      <c r="J6950" s="160">
        <v>0.88297000000000003</v>
      </c>
      <c r="K6950" s="160" t="s">
        <v>15</v>
      </c>
      <c r="L6950" s="154" t="str">
        <f>IF(OpenLCAbasic!K6950="CTUh", "Fill in Manually",IF(OR(K6950="Unit", K6950=""), "", INDEX(LookUps!$E$5:$E$12, MATCH(OpenLCAbasic!K6950,LookUps!$D$5:$D$12,0))))</f>
        <v>Cumulative Energy Demand (CED) - MJ</v>
      </c>
      <c r="M6950" s="154" t="str">
        <f t="shared" si="520"/>
        <v>High_Base_Upgraded_Cumulative Energy Demand (CED) - MJ_Influent Pump Station; wastewater treatment unit; at updated plant - US_Without Amendment_Windrow</v>
      </c>
    </row>
    <row r="6951" spans="1:13" s="120" customFormat="1" x14ac:dyDescent="0.25">
      <c r="A6951" s="119"/>
      <c r="B6951" s="138" t="str">
        <f t="shared" si="518"/>
        <v>Windrow</v>
      </c>
      <c r="C6951" s="138" t="str">
        <f t="shared" si="521"/>
        <v>Without Amendment</v>
      </c>
      <c r="D6951" s="138" t="s">
        <v>130</v>
      </c>
      <c r="E6951" s="138" t="str">
        <f t="shared" si="523"/>
        <v>High</v>
      </c>
      <c r="F6951" s="138" t="str">
        <f t="shared" si="519"/>
        <v>Upgraded</v>
      </c>
      <c r="G6951" s="153"/>
      <c r="H6951" s="210">
        <v>7.1599999999999997E-2</v>
      </c>
      <c r="I6951" s="160" t="s">
        <v>53</v>
      </c>
      <c r="J6951" s="160">
        <v>0.69645000000000001</v>
      </c>
      <c r="K6951" s="160" t="s">
        <v>15</v>
      </c>
      <c r="L6951" s="154" t="str">
        <f>IF(OpenLCAbasic!K6951="CTUh", "Fill in Manually",IF(OR(K6951="Unit", K6951=""), "", INDEX(LookUps!$E$5:$E$12, MATCH(OpenLCAbasic!K6951,LookUps!$D$5:$D$12,0))))</f>
        <v>Cumulative Energy Demand (CED) - MJ</v>
      </c>
      <c r="M6951" s="154" t="str">
        <f t="shared" si="520"/>
        <v>High_Base_Upgraded_Cumulative Energy Demand (CED) - MJ_Wet Well and Sump Station; wastewater treatment unit; at updated plant - US_Without Amendment_Windrow</v>
      </c>
    </row>
    <row r="6952" spans="1:13" s="120" customFormat="1" x14ac:dyDescent="0.25">
      <c r="A6952" s="119"/>
      <c r="B6952" s="138" t="str">
        <f t="shared" ref="B6952:B7015" si="525">IF(F6952="Legacy","n.a.",IF(F6952="","","Windrow"))</f>
        <v>Windrow</v>
      </c>
      <c r="C6952" s="138" t="str">
        <f t="shared" si="521"/>
        <v>Without Amendment</v>
      </c>
      <c r="D6952" s="138" t="s">
        <v>130</v>
      </c>
      <c r="E6952" s="138" t="str">
        <f t="shared" si="523"/>
        <v>High</v>
      </c>
      <c r="F6952" s="138" t="str">
        <f t="shared" ref="F6952:F7015" si="526">IF(ISNUMBER(J6952),"Upgraded","")</f>
        <v>Upgraded</v>
      </c>
      <c r="G6952" s="153"/>
      <c r="H6952" s="210">
        <v>3.4299999999999997E-2</v>
      </c>
      <c r="I6952" s="160" t="s">
        <v>57</v>
      </c>
      <c r="J6952" s="160">
        <v>0.33404</v>
      </c>
      <c r="K6952" s="160" t="s">
        <v>15</v>
      </c>
      <c r="L6952" s="154" t="str">
        <f>IF(OpenLCAbasic!K6952="CTUh", "Fill in Manually",IF(OR(K6952="Unit", K6952=""), "", INDEX(LookUps!$E$5:$E$12, MATCH(OpenLCAbasic!K6952,LookUps!$D$5:$D$12,0))))</f>
        <v>Cumulative Energy Demand (CED) - MJ</v>
      </c>
      <c r="M6952" s="154" t="str">
        <f t="shared" si="520"/>
        <v>High_Base_Upgraded_Cumulative Energy Demand (CED) - MJ_Gravity Belt Thickener; wastewater treatment unit; at updated plant - US_Without Amendment_Windrow</v>
      </c>
    </row>
    <row r="6953" spans="1:13" s="120" customFormat="1" x14ac:dyDescent="0.25">
      <c r="A6953" s="119"/>
      <c r="B6953" s="138" t="str">
        <f t="shared" si="525"/>
        <v>Windrow</v>
      </c>
      <c r="C6953" s="138" t="str">
        <f t="shared" si="521"/>
        <v>Without Amendment</v>
      </c>
      <c r="D6953" s="138" t="s">
        <v>130</v>
      </c>
      <c r="E6953" s="138" t="str">
        <f t="shared" si="523"/>
        <v>High</v>
      </c>
      <c r="F6953" s="138" t="str">
        <f t="shared" si="526"/>
        <v>Upgraded</v>
      </c>
      <c r="G6953" s="153"/>
      <c r="H6953" s="210">
        <v>2.9600000000000001E-2</v>
      </c>
      <c r="I6953" s="160" t="s">
        <v>60</v>
      </c>
      <c r="J6953" s="160">
        <v>0.28833999999999999</v>
      </c>
      <c r="K6953" s="160" t="s">
        <v>15</v>
      </c>
      <c r="L6953" s="154" t="str">
        <f>IF(OpenLCAbasic!K6953="CTUh", "Fill in Manually",IF(OR(K6953="Unit", K6953=""), "", INDEX(LookUps!$E$5:$E$12, MATCH(OpenLCAbasic!K6953,LookUps!$D$5:$D$12,0))))</f>
        <v>Cumulative Energy Demand (CED) - MJ</v>
      </c>
      <c r="M6953" s="154" t="str">
        <f t="shared" si="520"/>
        <v>High_Base_Upgraded_Cumulative Energy Demand (CED) - MJ_Belt filter press; wastewater treatment unit; at updated plant - US_Without Amendment_Windrow</v>
      </c>
    </row>
    <row r="6954" spans="1:13" s="120" customFormat="1" x14ac:dyDescent="0.25">
      <c r="A6954" s="119"/>
      <c r="B6954" s="138" t="str">
        <f t="shared" si="525"/>
        <v>Windrow</v>
      </c>
      <c r="C6954" s="138" t="str">
        <f t="shared" si="521"/>
        <v>Without Amendment</v>
      </c>
      <c r="D6954" s="138" t="s">
        <v>130</v>
      </c>
      <c r="E6954" s="138" t="str">
        <f t="shared" si="523"/>
        <v>High</v>
      </c>
      <c r="F6954" s="138" t="str">
        <f t="shared" si="526"/>
        <v>Upgraded</v>
      </c>
      <c r="G6954" s="153"/>
      <c r="H6954" s="210">
        <v>2.63E-2</v>
      </c>
      <c r="I6954" s="160" t="s">
        <v>128</v>
      </c>
      <c r="J6954" s="160">
        <v>0.25606000000000001</v>
      </c>
      <c r="K6954" s="160" t="s">
        <v>15</v>
      </c>
      <c r="L6954" s="154" t="str">
        <f>IF(OpenLCAbasic!K6954="CTUh", "Fill in Manually",IF(OR(K6954="Unit", K6954=""), "", INDEX(LookUps!$E$5:$E$12, MATCH(OpenLCAbasic!K6954,LookUps!$D$5:$D$12,0))))</f>
        <v>Cumulative Energy Demand (CED) - MJ</v>
      </c>
      <c r="M6954" s="154" t="str">
        <f t="shared" si="520"/>
        <v>High_Base_Upgraded_Cumulative Energy Demand (CED) - MJ_Wastewater collection; operation and infrastructure; m3 wastewater_Without Amendment_Windrow</v>
      </c>
    </row>
    <row r="6955" spans="1:13" s="120" customFormat="1" x14ac:dyDescent="0.25">
      <c r="A6955" s="119"/>
      <c r="B6955" s="138" t="str">
        <f t="shared" si="525"/>
        <v>Windrow</v>
      </c>
      <c r="C6955" s="138" t="str">
        <f t="shared" si="521"/>
        <v>Without Amendment</v>
      </c>
      <c r="D6955" s="138" t="s">
        <v>130</v>
      </c>
      <c r="E6955" s="138" t="str">
        <f t="shared" si="523"/>
        <v>High</v>
      </c>
      <c r="F6955" s="138" t="str">
        <f t="shared" si="526"/>
        <v>Upgraded</v>
      </c>
      <c r="G6955" s="153"/>
      <c r="H6955" s="210">
        <v>1.4999999999999999E-2</v>
      </c>
      <c r="I6955" s="160" t="s">
        <v>148</v>
      </c>
      <c r="J6955" s="160">
        <v>0.14599000000000001</v>
      </c>
      <c r="K6955" s="160" t="s">
        <v>15</v>
      </c>
      <c r="L6955" s="154" t="str">
        <f>IF(OpenLCAbasic!K6955="CTUh", "Fill in Manually",IF(OR(K6955="Unit", K6955=""), "", INDEX(LookUps!$E$5:$E$12, MATCH(OpenLCAbasic!K6955,LookUps!$D$5:$D$12,0))))</f>
        <v>Cumulative Energy Demand (CED) - MJ</v>
      </c>
      <c r="M6955" s="154" t="str">
        <f t="shared" si="520"/>
        <v>High_Base_Upgraded_Cumulative Energy Demand (CED) - MJ_Control Building; at upgraded wastewater treatment plant - US_Without Amendment_Windrow</v>
      </c>
    </row>
    <row r="6956" spans="1:13" s="120" customFormat="1" x14ac:dyDescent="0.25">
      <c r="A6956" s="119"/>
      <c r="B6956" s="138" t="str">
        <f t="shared" si="525"/>
        <v>Windrow</v>
      </c>
      <c r="C6956" s="138" t="str">
        <f t="shared" si="521"/>
        <v>Without Amendment</v>
      </c>
      <c r="D6956" s="138" t="s">
        <v>130</v>
      </c>
      <c r="E6956" s="138" t="str">
        <f t="shared" si="523"/>
        <v>High</v>
      </c>
      <c r="F6956" s="138" t="str">
        <f t="shared" si="526"/>
        <v>Upgraded</v>
      </c>
      <c r="G6956" s="153"/>
      <c r="H6956" s="210">
        <v>1.37E-2</v>
      </c>
      <c r="I6956" s="160" t="s">
        <v>48</v>
      </c>
      <c r="J6956" s="160">
        <v>0.13321</v>
      </c>
      <c r="K6956" s="160" t="s">
        <v>15</v>
      </c>
      <c r="L6956" s="154" t="str">
        <f>IF(OpenLCAbasic!K6956="CTUh", "Fill in Manually",IF(OR(K6956="Unit", K6956=""), "", INDEX(LookUps!$E$5:$E$12, MATCH(OpenLCAbasic!K6956,LookUps!$D$5:$D$12,0))))</f>
        <v>Cumulative Energy Demand (CED) - MJ</v>
      </c>
      <c r="M6956" s="154" t="str">
        <f t="shared" si="520"/>
        <v>High_Base_Upgraded_Cumulative Energy Demand (CED) - MJ_Effluent release; wastewater treatment unit; at surface water; m3 wastewater - US_Without Amendment_Windrow</v>
      </c>
    </row>
    <row r="6957" spans="1:13" s="120" customFormat="1" x14ac:dyDescent="0.25">
      <c r="A6957" s="119"/>
      <c r="B6957" s="138" t="str">
        <f t="shared" si="525"/>
        <v>Windrow</v>
      </c>
      <c r="C6957" s="138" t="str">
        <f t="shared" si="521"/>
        <v>Without Amendment</v>
      </c>
      <c r="D6957" s="138" t="s">
        <v>130</v>
      </c>
      <c r="E6957" s="138" t="str">
        <f t="shared" si="523"/>
        <v>High</v>
      </c>
      <c r="F6957" s="138" t="str">
        <f t="shared" si="526"/>
        <v>Upgraded</v>
      </c>
      <c r="G6957" s="153"/>
      <c r="H6957" s="210">
        <v>1.09E-2</v>
      </c>
      <c r="I6957" s="160" t="s">
        <v>59</v>
      </c>
      <c r="J6957" s="160">
        <v>0.10638</v>
      </c>
      <c r="K6957" s="160" t="s">
        <v>15</v>
      </c>
      <c r="L6957" s="154" t="str">
        <f>IF(OpenLCAbasic!K6957="CTUh", "Fill in Manually",IF(OR(K6957="Unit", K6957=""), "", INDEX(LookUps!$E$5:$E$12, MATCH(OpenLCAbasic!K6957,LookUps!$D$5:$D$12,0))))</f>
        <v>Cumulative Energy Demand (CED) - MJ</v>
      </c>
      <c r="M6957" s="154" t="str">
        <f t="shared" si="520"/>
        <v>High_Base_Upgraded_Cumulative Energy Demand (CED) - MJ_Blend Tank; wastewater treatment unit; at updated plant - US_Without Amendment_Windrow</v>
      </c>
    </row>
    <row r="6958" spans="1:13" s="120" customFormat="1" x14ac:dyDescent="0.25">
      <c r="A6958" s="119"/>
      <c r="B6958" s="138" t="str">
        <f t="shared" si="525"/>
        <v>Windrow</v>
      </c>
      <c r="C6958" s="138" t="str">
        <f t="shared" si="521"/>
        <v>Without Amendment</v>
      </c>
      <c r="D6958" s="138" t="s">
        <v>130</v>
      </c>
      <c r="E6958" s="138" t="str">
        <f t="shared" si="523"/>
        <v>High</v>
      </c>
      <c r="F6958" s="138" t="str">
        <f t="shared" si="526"/>
        <v>Upgraded</v>
      </c>
      <c r="G6958" s="153"/>
      <c r="H6958" s="210">
        <v>5.1999999999999998E-3</v>
      </c>
      <c r="I6958" s="160" t="s">
        <v>168</v>
      </c>
      <c r="J6958" s="160">
        <v>5.0930000000000003E-2</v>
      </c>
      <c r="K6958" s="160" t="s">
        <v>15</v>
      </c>
      <c r="L6958" s="154" t="str">
        <f>IF(OpenLCAbasic!K6958="CTUh", "Fill in Manually",IF(OR(K6958="Unit", K6958=""), "", INDEX(LookUps!$E$5:$E$12, MATCH(OpenLCAbasic!K6958,LookUps!$D$5:$D$12,0))))</f>
        <v>Cumulative Energy Demand (CED) - MJ</v>
      </c>
      <c r="M6958" s="154" t="str">
        <f t="shared" si="520"/>
        <v>High_Base_Upgraded_Cumulative Energy Demand (CED) - MJ_ClearCove SCP; wastewater treatment unit; at updated plant - US_Without Amendment_Windrow</v>
      </c>
    </row>
    <row r="6959" spans="1:13" s="120" customFormat="1" x14ac:dyDescent="0.25">
      <c r="A6959" s="119"/>
      <c r="B6959" s="138" t="str">
        <f t="shared" si="525"/>
        <v>Windrow</v>
      </c>
      <c r="C6959" s="138" t="str">
        <f t="shared" si="521"/>
        <v>Without Amendment</v>
      </c>
      <c r="D6959" s="138" t="s">
        <v>130</v>
      </c>
      <c r="E6959" s="138" t="str">
        <f t="shared" si="523"/>
        <v>High</v>
      </c>
      <c r="F6959" s="138" t="str">
        <f t="shared" si="526"/>
        <v>Upgraded</v>
      </c>
      <c r="G6959" s="153"/>
      <c r="H6959" s="210">
        <v>1.9E-3</v>
      </c>
      <c r="I6959" s="160" t="s">
        <v>271</v>
      </c>
      <c r="J6959" s="160">
        <v>1.8859999999999998E-2</v>
      </c>
      <c r="K6959" s="160" t="s">
        <v>15</v>
      </c>
      <c r="L6959" s="154" t="str">
        <f>IF(OpenLCAbasic!K6959="CTUh", "Fill in Manually",IF(OR(K6959="Unit", K6959=""), "", INDEX(LookUps!$E$5:$E$12, MATCH(OpenLCAbasic!K6959,LookUps!$D$5:$D$12,0))))</f>
        <v>Cumulative Energy Demand (CED) - MJ</v>
      </c>
      <c r="M6959" s="154" t="str">
        <f t="shared" si="520"/>
        <v>High_Base_Upgraded_Cumulative Energy Demand (CED) - MJ_Biosolids composting; windrow composting; wastewater treatment unit; at updated plant - US_Without Amendment_Windrow</v>
      </c>
    </row>
    <row r="6960" spans="1:13" s="120" customFormat="1" x14ac:dyDescent="0.25">
      <c r="A6960" s="119"/>
      <c r="B6960" s="138" t="str">
        <f t="shared" si="525"/>
        <v>Windrow</v>
      </c>
      <c r="C6960" s="138" t="str">
        <f t="shared" si="521"/>
        <v>Without Amendment</v>
      </c>
      <c r="D6960" s="138" t="s">
        <v>130</v>
      </c>
      <c r="E6960" s="138" t="str">
        <f t="shared" si="523"/>
        <v>High</v>
      </c>
      <c r="F6960" s="138" t="str">
        <f t="shared" si="526"/>
        <v>Upgraded</v>
      </c>
      <c r="G6960" s="153"/>
      <c r="H6960" s="210">
        <v>-2.7099999999999999E-2</v>
      </c>
      <c r="I6960" s="160" t="s">
        <v>62</v>
      </c>
      <c r="J6960" s="160">
        <v>-0.26350000000000001</v>
      </c>
      <c r="K6960" s="160" t="s">
        <v>15</v>
      </c>
      <c r="L6960" s="154" t="str">
        <f>IF(OpenLCAbasic!K6960="CTUh", "Fill in Manually",IF(OR(K6960="Unit", K6960=""), "", INDEX(LookUps!$E$5:$E$12, MATCH(OpenLCAbasic!K6960,LookUps!$D$5:$D$12,0))))</f>
        <v>Cumulative Energy Demand (CED) - MJ</v>
      </c>
      <c r="M6960" s="154" t="str">
        <f t="shared" si="520"/>
        <v>High_Base_Upgraded_Cumulative Energy Demand (CED) - MJ_Land application of compost; wastewater treatment unit; at updated plant - US_Without Amendment_Windrow</v>
      </c>
    </row>
    <row r="6961" spans="1:13" s="120" customFormat="1" x14ac:dyDescent="0.25">
      <c r="A6961" s="119"/>
      <c r="B6961" s="138" t="str">
        <f t="shared" si="525"/>
        <v>Windrow</v>
      </c>
      <c r="C6961" s="138" t="str">
        <f t="shared" si="521"/>
        <v>Without Amendment</v>
      </c>
      <c r="D6961" s="138" t="s">
        <v>130</v>
      </c>
      <c r="E6961" s="138" t="str">
        <f t="shared" si="523"/>
        <v>High</v>
      </c>
      <c r="F6961" s="138" t="str">
        <f t="shared" si="526"/>
        <v>Upgraded</v>
      </c>
      <c r="G6961" s="153"/>
      <c r="H6961" s="210">
        <v>-0.20530000000000001</v>
      </c>
      <c r="I6961" s="160" t="s">
        <v>149</v>
      </c>
      <c r="J6961" s="160">
        <v>-1.99752</v>
      </c>
      <c r="K6961" s="160" t="s">
        <v>15</v>
      </c>
      <c r="L6961" s="154" t="str">
        <f>IF(OpenLCAbasic!K6961="CTUh", "Fill in Manually",IF(OR(K6961="Unit", K6961=""), "", INDEX(LookUps!$E$5:$E$12, MATCH(OpenLCAbasic!K6961,LookUps!$D$5:$D$12,0))))</f>
        <v>Cumulative Energy Demand (CED) - MJ</v>
      </c>
      <c r="M6961" s="154" t="str">
        <f t="shared" si="520"/>
        <v>High_Base_Upgraded_Cumulative Energy Demand (CED) - MJ_Anaerobic Digestion; wastewater treatment unit; at updated plant - US_Without Amendment_Windrow</v>
      </c>
    </row>
    <row r="6962" spans="1:13" s="120" customFormat="1" x14ac:dyDescent="0.25">
      <c r="A6962" s="119"/>
      <c r="B6962" s="138" t="str">
        <f t="shared" si="525"/>
        <v/>
      </c>
      <c r="C6962" s="138" t="str">
        <f t="shared" si="521"/>
        <v/>
      </c>
      <c r="D6962" s="138" t="str">
        <f t="shared" si="524"/>
        <v/>
      </c>
      <c r="E6962" s="138" t="str">
        <f t="shared" si="523"/>
        <v/>
      </c>
      <c r="F6962" s="138" t="str">
        <f t="shared" si="526"/>
        <v/>
      </c>
      <c r="G6962" s="153" t="s">
        <v>51</v>
      </c>
      <c r="H6962" s="160"/>
      <c r="I6962" s="160" t="s">
        <v>47</v>
      </c>
      <c r="J6962" s="160" t="s">
        <v>52</v>
      </c>
      <c r="K6962" s="160" t="s">
        <v>27</v>
      </c>
      <c r="L6962" s="154" t="str">
        <f>IF(OpenLCAbasic!K6962="CTUh", "Fill in Manually",IF(OR(K6962="Unit", K6962=""), "", INDEX(LookUps!$E$5:$E$12, MATCH(OpenLCAbasic!K6962,LookUps!$D$5:$D$12,0))))</f>
        <v/>
      </c>
      <c r="M6962" s="154" t="str">
        <f t="shared" si="520"/>
        <v>____Process__</v>
      </c>
    </row>
    <row r="6963" spans="1:13" s="120" customFormat="1" x14ac:dyDescent="0.25">
      <c r="A6963" s="119"/>
      <c r="B6963" s="138" t="str">
        <f t="shared" si="525"/>
        <v>Windrow</v>
      </c>
      <c r="C6963" s="138" t="str">
        <f t="shared" si="521"/>
        <v>Without Amendment</v>
      </c>
      <c r="D6963" s="138" t="s">
        <v>130</v>
      </c>
      <c r="E6963" s="138" t="str">
        <f t="shared" si="523"/>
        <v>High</v>
      </c>
      <c r="F6963" s="138" t="str">
        <f t="shared" si="526"/>
        <v>Upgraded</v>
      </c>
      <c r="G6963" s="153"/>
      <c r="H6963" s="210">
        <v>0.78959999999999997</v>
      </c>
      <c r="I6963" s="160" t="s">
        <v>48</v>
      </c>
      <c r="J6963" s="160">
        <v>1.1610000000000001E-2</v>
      </c>
      <c r="K6963" s="160" t="s">
        <v>13</v>
      </c>
      <c r="L6963" s="154" t="str">
        <f>IF(OpenLCAbasic!K6963="CTUh", "Fill in Manually",IF(OR(K6963="Unit", K6963=""), "", INDEX(LookUps!$E$5:$E$12, MATCH(OpenLCAbasic!K6963,LookUps!$D$5:$D$12,0))))</f>
        <v>Eutrophication Potential (EP) - kg N eq</v>
      </c>
      <c r="M6963" s="154" t="str">
        <f t="shared" si="520"/>
        <v>High_Base_Upgraded_Eutrophication Potential (EP) - kg N eq_Effluent release; wastewater treatment unit; at surface water; m3 wastewater - US_Without Amendment_Windrow</v>
      </c>
    </row>
    <row r="6964" spans="1:13" s="120" customFormat="1" x14ac:dyDescent="0.25">
      <c r="A6964" s="119"/>
      <c r="B6964" s="138" t="str">
        <f t="shared" si="525"/>
        <v>Windrow</v>
      </c>
      <c r="C6964" s="138" t="str">
        <f t="shared" si="521"/>
        <v>Without Amendment</v>
      </c>
      <c r="D6964" s="138" t="s">
        <v>130</v>
      </c>
      <c r="E6964" s="138" t="str">
        <f t="shared" si="523"/>
        <v>High</v>
      </c>
      <c r="F6964" s="138" t="str">
        <f t="shared" si="526"/>
        <v>Upgraded</v>
      </c>
      <c r="G6964" s="153"/>
      <c r="H6964" s="210">
        <v>8.43E-2</v>
      </c>
      <c r="I6964" s="160" t="s">
        <v>62</v>
      </c>
      <c r="J6964" s="160">
        <v>1.24E-3</v>
      </c>
      <c r="K6964" s="160" t="s">
        <v>13</v>
      </c>
      <c r="L6964" s="154" t="str">
        <f>IF(OpenLCAbasic!K6964="CTUh", "Fill in Manually",IF(OR(K6964="Unit", K6964=""), "", INDEX(LookUps!$E$5:$E$12, MATCH(OpenLCAbasic!K6964,LookUps!$D$5:$D$12,0))))</f>
        <v>Eutrophication Potential (EP) - kg N eq</v>
      </c>
      <c r="M6964" s="154" t="str">
        <f t="shared" si="520"/>
        <v>High_Base_Upgraded_Eutrophication Potential (EP) - kg N eq_Land application of compost; wastewater treatment unit; at updated plant - US_Without Amendment_Windrow</v>
      </c>
    </row>
    <row r="6965" spans="1:13" s="120" customFormat="1" x14ac:dyDescent="0.25">
      <c r="A6965" s="119"/>
      <c r="B6965" s="138" t="str">
        <f t="shared" si="525"/>
        <v>Windrow</v>
      </c>
      <c r="C6965" s="138" t="str">
        <f t="shared" si="521"/>
        <v>Without Amendment</v>
      </c>
      <c r="D6965" s="138" t="s">
        <v>130</v>
      </c>
      <c r="E6965" s="138" t="str">
        <f t="shared" si="523"/>
        <v>High</v>
      </c>
      <c r="F6965" s="138" t="str">
        <f t="shared" si="526"/>
        <v>Upgraded</v>
      </c>
      <c r="G6965" s="153"/>
      <c r="H6965" s="210">
        <v>3.7199999999999997E-2</v>
      </c>
      <c r="I6965" s="160" t="s">
        <v>55</v>
      </c>
      <c r="J6965" s="160">
        <v>5.5000000000000003E-4</v>
      </c>
      <c r="K6965" s="160" t="s">
        <v>13</v>
      </c>
      <c r="L6965" s="154" t="str">
        <f>IF(OpenLCAbasic!K6965="CTUh", "Fill in Manually",IF(OR(K6965="Unit", K6965=""), "", INDEX(LookUps!$E$5:$E$12, MATCH(OpenLCAbasic!K6965,LookUps!$D$5:$D$12,0))))</f>
        <v>Eutrophication Potential (EP) - kg N eq</v>
      </c>
      <c r="M6965" s="154" t="str">
        <f t="shared" si="520"/>
        <v>High_Base_Upgraded_Eutrophication Potential (EP) - kg N eq_Aeration Tanks; wastewater treatment unit; at updated plant - US_Without Amendment_Windrow</v>
      </c>
    </row>
    <row r="6966" spans="1:13" s="120" customFormat="1" x14ac:dyDescent="0.25">
      <c r="A6966" s="119"/>
      <c r="B6966" s="138" t="str">
        <f t="shared" si="525"/>
        <v>Windrow</v>
      </c>
      <c r="C6966" s="138" t="str">
        <f t="shared" si="521"/>
        <v>Without Amendment</v>
      </c>
      <c r="D6966" s="138" t="s">
        <v>130</v>
      </c>
      <c r="E6966" s="138" t="str">
        <f t="shared" si="523"/>
        <v>High</v>
      </c>
      <c r="F6966" s="138" t="str">
        <f t="shared" si="526"/>
        <v>Upgraded</v>
      </c>
      <c r="G6966" s="153"/>
      <c r="H6966" s="210">
        <v>2.9899999999999999E-2</v>
      </c>
      <c r="I6966" s="160" t="s">
        <v>271</v>
      </c>
      <c r="J6966" s="160">
        <v>4.4000000000000002E-4</v>
      </c>
      <c r="K6966" s="160" t="s">
        <v>13</v>
      </c>
      <c r="L6966" s="154" t="str">
        <f>IF(OpenLCAbasic!K6966="CTUh", "Fill in Manually",IF(OR(K6966="Unit", K6966=""), "", INDEX(LookUps!$E$5:$E$12, MATCH(OpenLCAbasic!K6966,LookUps!$D$5:$D$12,0))))</f>
        <v>Eutrophication Potential (EP) - kg N eq</v>
      </c>
      <c r="M6966" s="154" t="str">
        <f t="shared" si="520"/>
        <v>High_Base_Upgraded_Eutrophication Potential (EP) - kg N eq_Biosolids composting; windrow composting; wastewater treatment unit; at updated plant - US_Without Amendment_Windrow</v>
      </c>
    </row>
    <row r="6967" spans="1:13" s="120" customFormat="1" x14ac:dyDescent="0.25">
      <c r="A6967" s="119"/>
      <c r="B6967" s="138" t="str">
        <f t="shared" si="525"/>
        <v>Windrow</v>
      </c>
      <c r="C6967" s="138" t="str">
        <f t="shared" si="521"/>
        <v>Without Amendment</v>
      </c>
      <c r="D6967" s="138" t="s">
        <v>130</v>
      </c>
      <c r="E6967" s="138" t="str">
        <f t="shared" si="523"/>
        <v>High</v>
      </c>
      <c r="F6967" s="138" t="str">
        <f t="shared" si="526"/>
        <v>Upgraded</v>
      </c>
      <c r="G6967" s="153"/>
      <c r="H6967" s="210">
        <v>1.7000000000000001E-2</v>
      </c>
      <c r="I6967" s="160" t="s">
        <v>147</v>
      </c>
      <c r="J6967" s="160">
        <v>2.5000000000000001E-4</v>
      </c>
      <c r="K6967" s="160" t="s">
        <v>13</v>
      </c>
      <c r="L6967" s="154" t="str">
        <f>IF(OpenLCAbasic!K6967="CTUh", "Fill in Manually",IF(OR(K6967="Unit", K6967=""), "", INDEX(LookUps!$E$5:$E$12, MATCH(OpenLCAbasic!K6967,LookUps!$D$5:$D$12,0))))</f>
        <v>Eutrophication Potential (EP) - kg N eq</v>
      </c>
      <c r="M6967" s="154" t="str">
        <f t="shared" si="520"/>
        <v>High_Base_Upgraded_Eutrophication Potential (EP) - kg N eq_Influent Pump Station; wastewater treatment unit; at updated plant - US_Without Amendment_Windrow</v>
      </c>
    </row>
    <row r="6968" spans="1:13" s="120" customFormat="1" x14ac:dyDescent="0.25">
      <c r="A6968" s="119"/>
      <c r="B6968" s="138" t="str">
        <f t="shared" si="525"/>
        <v>Windrow</v>
      </c>
      <c r="C6968" s="138" t="str">
        <f t="shared" si="521"/>
        <v>Without Amendment</v>
      </c>
      <c r="D6968" s="138" t="s">
        <v>130</v>
      </c>
      <c r="E6968" s="138" t="str">
        <f t="shared" si="523"/>
        <v>High</v>
      </c>
      <c r="F6968" s="138" t="str">
        <f t="shared" si="526"/>
        <v>Upgraded</v>
      </c>
      <c r="G6968" s="153"/>
      <c r="H6968" s="210">
        <v>1.35E-2</v>
      </c>
      <c r="I6968" s="160" t="s">
        <v>54</v>
      </c>
      <c r="J6968" s="160">
        <v>2.0000000000000001E-4</v>
      </c>
      <c r="K6968" s="160" t="s">
        <v>13</v>
      </c>
      <c r="L6968" s="154" t="str">
        <f>IF(OpenLCAbasic!K6968="CTUh", "Fill in Manually",IF(OR(K6968="Unit", K6968=""), "", INDEX(LookUps!$E$5:$E$12, MATCH(OpenLCAbasic!K6968,LookUps!$D$5:$D$12,0))))</f>
        <v>Eutrophication Potential (EP) - kg N eq</v>
      </c>
      <c r="M6968" s="154" t="str">
        <f t="shared" si="520"/>
        <v>High_Base_Upgraded_Eutrophication Potential (EP) - kg N eq_Clear Cove Primary Clarification; wastewater treatment unit; at updated plant - US_Without Amendment_Windrow</v>
      </c>
    </row>
    <row r="6969" spans="1:13" s="120" customFormat="1" x14ac:dyDescent="0.25">
      <c r="A6969" s="119"/>
      <c r="B6969" s="138" t="str">
        <f t="shared" si="525"/>
        <v>Windrow</v>
      </c>
      <c r="C6969" s="138" t="str">
        <f t="shared" si="521"/>
        <v>Without Amendment</v>
      </c>
      <c r="D6969" s="138" t="s">
        <v>130</v>
      </c>
      <c r="E6969" s="138" t="str">
        <f t="shared" si="523"/>
        <v>High</v>
      </c>
      <c r="F6969" s="138" t="str">
        <f t="shared" si="526"/>
        <v>Upgraded</v>
      </c>
      <c r="G6969" s="153"/>
      <c r="H6969" s="210">
        <v>1.11E-2</v>
      </c>
      <c r="I6969" s="160" t="s">
        <v>167</v>
      </c>
      <c r="J6969" s="160">
        <v>1.6000000000000001E-4</v>
      </c>
      <c r="K6969" s="160" t="s">
        <v>13</v>
      </c>
      <c r="L6969" s="154" t="str">
        <f>IF(OpenLCAbasic!K6969="CTUh", "Fill in Manually",IF(OR(K6969="Unit", K6969=""), "", INDEX(LookUps!$E$5:$E$12, MATCH(OpenLCAbasic!K6969,LookUps!$D$5:$D$12,0))))</f>
        <v>Eutrophication Potential (EP) - kg N eq</v>
      </c>
      <c r="M6969" s="154" t="str">
        <f t="shared" si="520"/>
        <v>High_Base_Upgraded_Eutrophication Potential (EP) - kg N eq_Waste Receiving and Holding; wastewater treatment unit; at updated plant - US_Without Amendment_Windrow</v>
      </c>
    </row>
    <row r="6970" spans="1:13" s="120" customFormat="1" x14ac:dyDescent="0.25">
      <c r="A6970" s="119"/>
      <c r="B6970" s="138" t="str">
        <f t="shared" si="525"/>
        <v>Windrow</v>
      </c>
      <c r="C6970" s="138" t="str">
        <f t="shared" si="521"/>
        <v>Without Amendment</v>
      </c>
      <c r="D6970" s="138" t="s">
        <v>130</v>
      </c>
      <c r="E6970" s="138" t="str">
        <f t="shared" si="523"/>
        <v>High</v>
      </c>
      <c r="F6970" s="138" t="str">
        <f t="shared" si="526"/>
        <v>Upgraded</v>
      </c>
      <c r="G6970" s="153"/>
      <c r="H6970" s="210">
        <v>9.1999999999999998E-3</v>
      </c>
      <c r="I6970" s="160" t="s">
        <v>58</v>
      </c>
      <c r="J6970" s="160">
        <v>1.3999999999999999E-4</v>
      </c>
      <c r="K6970" s="160" t="s">
        <v>13</v>
      </c>
      <c r="L6970" s="154" t="str">
        <f>IF(OpenLCAbasic!K6970="CTUh", "Fill in Manually",IF(OR(K6970="Unit", K6970=""), "", INDEX(LookUps!$E$5:$E$12, MATCH(OpenLCAbasic!K6970,LookUps!$D$5:$D$12,0))))</f>
        <v>Eutrophication Potential (EP) - kg N eq</v>
      </c>
      <c r="M6970" s="154" t="str">
        <f t="shared" si="520"/>
        <v>High_Base_Upgraded_Eutrophication Potential (EP) - kg N eq_Pre-Anoxic &amp; Swing tank; wastewater treatment unit; at updated plant - US_Without Amendment_Windrow</v>
      </c>
    </row>
    <row r="6971" spans="1:13" s="120" customFormat="1" x14ac:dyDescent="0.25">
      <c r="A6971" s="119"/>
      <c r="B6971" s="138" t="str">
        <f t="shared" si="525"/>
        <v>Windrow</v>
      </c>
      <c r="C6971" s="138" t="str">
        <f t="shared" si="521"/>
        <v>Without Amendment</v>
      </c>
      <c r="D6971" s="138" t="s">
        <v>130</v>
      </c>
      <c r="E6971" s="138" t="str">
        <f t="shared" si="523"/>
        <v>High</v>
      </c>
      <c r="F6971" s="138" t="str">
        <f t="shared" si="526"/>
        <v>Upgraded</v>
      </c>
      <c r="G6971" s="153"/>
      <c r="H6971" s="210">
        <v>7.3000000000000001E-3</v>
      </c>
      <c r="I6971" s="160" t="s">
        <v>53</v>
      </c>
      <c r="J6971" s="160">
        <v>1.1E-4</v>
      </c>
      <c r="K6971" s="160" t="s">
        <v>13</v>
      </c>
      <c r="L6971" s="154" t="str">
        <f>IF(OpenLCAbasic!K6971="CTUh", "Fill in Manually",IF(OR(K6971="Unit", K6971=""), "", INDEX(LookUps!$E$5:$E$12, MATCH(OpenLCAbasic!K6971,LookUps!$D$5:$D$12,0))))</f>
        <v>Eutrophication Potential (EP) - kg N eq</v>
      </c>
      <c r="M6971" s="154" t="str">
        <f t="shared" ref="M6971:M7034" si="527">CONCATENATE(E6971,"_",D6971,"_",F6971,"_",L6971, "_",I6971,"_", C6971,"_", B6971)</f>
        <v>High_Base_Upgraded_Eutrophication Potential (EP) - kg N eq_Wet Well and Sump Station; wastewater treatment unit; at updated plant - US_Without Amendment_Windrow</v>
      </c>
    </row>
    <row r="6972" spans="1:13" s="120" customFormat="1" x14ac:dyDescent="0.25">
      <c r="A6972" s="119"/>
      <c r="B6972" s="138" t="str">
        <f t="shared" si="525"/>
        <v>Windrow</v>
      </c>
      <c r="C6972" s="138" t="str">
        <f t="shared" si="521"/>
        <v>Without Amendment</v>
      </c>
      <c r="D6972" s="138" t="s">
        <v>130</v>
      </c>
      <c r="E6972" s="138" t="str">
        <f t="shared" si="523"/>
        <v>High</v>
      </c>
      <c r="F6972" s="138" t="str">
        <f t="shared" si="526"/>
        <v>Upgraded</v>
      </c>
      <c r="G6972" s="153"/>
      <c r="H6972" s="210">
        <v>4.1000000000000003E-3</v>
      </c>
      <c r="I6972" s="160" t="s">
        <v>57</v>
      </c>
      <c r="J6972" s="211">
        <v>6.0590300000000002E-5</v>
      </c>
      <c r="K6972" s="160" t="s">
        <v>13</v>
      </c>
      <c r="L6972" s="154" t="str">
        <f>IF(OpenLCAbasic!K6972="CTUh", "Fill in Manually",IF(OR(K6972="Unit", K6972=""), "", INDEX(LookUps!$E$5:$E$12, MATCH(OpenLCAbasic!K6972,LookUps!$D$5:$D$12,0))))</f>
        <v>Eutrophication Potential (EP) - kg N eq</v>
      </c>
      <c r="M6972" s="154" t="str">
        <f t="shared" si="527"/>
        <v>High_Base_Upgraded_Eutrophication Potential (EP) - kg N eq_Gravity Belt Thickener; wastewater treatment unit; at updated plant - US_Without Amendment_Windrow</v>
      </c>
    </row>
    <row r="6973" spans="1:13" s="120" customFormat="1" x14ac:dyDescent="0.25">
      <c r="A6973" s="119"/>
      <c r="B6973" s="138" t="str">
        <f t="shared" si="525"/>
        <v>Windrow</v>
      </c>
      <c r="C6973" s="138" t="str">
        <f t="shared" si="521"/>
        <v>Without Amendment</v>
      </c>
      <c r="D6973" s="138" t="s">
        <v>130</v>
      </c>
      <c r="E6973" s="138" t="str">
        <f t="shared" si="523"/>
        <v>High</v>
      </c>
      <c r="F6973" s="138" t="str">
        <f t="shared" si="526"/>
        <v>Upgraded</v>
      </c>
      <c r="G6973" s="153"/>
      <c r="H6973" s="210">
        <v>3.3999999999999998E-3</v>
      </c>
      <c r="I6973" s="160" t="s">
        <v>60</v>
      </c>
      <c r="J6973" s="211">
        <v>5.06508E-5</v>
      </c>
      <c r="K6973" s="160" t="s">
        <v>13</v>
      </c>
      <c r="L6973" s="154" t="str">
        <f>IF(OpenLCAbasic!K6973="CTUh", "Fill in Manually",IF(OR(K6973="Unit", K6973=""), "", INDEX(LookUps!$E$5:$E$12, MATCH(OpenLCAbasic!K6973,LookUps!$D$5:$D$12,0))))</f>
        <v>Eutrophication Potential (EP) - kg N eq</v>
      </c>
      <c r="M6973" s="154" t="str">
        <f t="shared" si="527"/>
        <v>High_Base_Upgraded_Eutrophication Potential (EP) - kg N eq_Belt filter press; wastewater treatment unit; at updated plant - US_Without Amendment_Windrow</v>
      </c>
    </row>
    <row r="6974" spans="1:13" s="120" customFormat="1" x14ac:dyDescent="0.25">
      <c r="A6974" s="119"/>
      <c r="B6974" s="138" t="str">
        <f t="shared" si="525"/>
        <v>Windrow</v>
      </c>
      <c r="C6974" s="138" t="str">
        <f t="shared" si="521"/>
        <v>Without Amendment</v>
      </c>
      <c r="D6974" s="138" t="s">
        <v>130</v>
      </c>
      <c r="E6974" s="138" t="str">
        <f t="shared" si="523"/>
        <v>High</v>
      </c>
      <c r="F6974" s="138" t="str">
        <f t="shared" si="526"/>
        <v>Upgraded</v>
      </c>
      <c r="G6974" s="153"/>
      <c r="H6974" s="210">
        <v>2.5999999999999999E-3</v>
      </c>
      <c r="I6974" s="160" t="s">
        <v>128</v>
      </c>
      <c r="J6974" s="211">
        <v>3.7559799999999999E-5</v>
      </c>
      <c r="K6974" s="160" t="s">
        <v>13</v>
      </c>
      <c r="L6974" s="154" t="str">
        <f>IF(OpenLCAbasic!K6974="CTUh", "Fill in Manually",IF(OR(K6974="Unit", K6974=""), "", INDEX(LookUps!$E$5:$E$12, MATCH(OpenLCAbasic!K6974,LookUps!$D$5:$D$12,0))))</f>
        <v>Eutrophication Potential (EP) - kg N eq</v>
      </c>
      <c r="M6974" s="154" t="str">
        <f t="shared" si="527"/>
        <v>High_Base_Upgraded_Eutrophication Potential (EP) - kg N eq_Wastewater collection; operation and infrastructure; m3 wastewater_Without Amendment_Windrow</v>
      </c>
    </row>
    <row r="6975" spans="1:13" s="120" customFormat="1" x14ac:dyDescent="0.25">
      <c r="A6975" s="119"/>
      <c r="B6975" s="138" t="str">
        <f t="shared" si="525"/>
        <v>Windrow</v>
      </c>
      <c r="C6975" s="138" t="str">
        <f t="shared" si="521"/>
        <v>Without Amendment</v>
      </c>
      <c r="D6975" s="138" t="s">
        <v>130</v>
      </c>
      <c r="E6975" s="138" t="str">
        <f t="shared" si="523"/>
        <v>High</v>
      </c>
      <c r="F6975" s="138" t="str">
        <f t="shared" si="526"/>
        <v>Upgraded</v>
      </c>
      <c r="G6975" s="153"/>
      <c r="H6975" s="210">
        <v>2.5000000000000001E-3</v>
      </c>
      <c r="I6975" s="160" t="s">
        <v>148</v>
      </c>
      <c r="J6975" s="211">
        <v>3.6874600000000001E-5</v>
      </c>
      <c r="K6975" s="160" t="s">
        <v>13</v>
      </c>
      <c r="L6975" s="154" t="str">
        <f>IF(OpenLCAbasic!K6975="CTUh", "Fill in Manually",IF(OR(K6975="Unit", K6975=""), "", INDEX(LookUps!$E$5:$E$12, MATCH(OpenLCAbasic!K6975,LookUps!$D$5:$D$12,0))))</f>
        <v>Eutrophication Potential (EP) - kg N eq</v>
      </c>
      <c r="M6975" s="154" t="str">
        <f t="shared" si="527"/>
        <v>High_Base_Upgraded_Eutrophication Potential (EP) - kg N eq_Control Building; at upgraded wastewater treatment plant - US_Without Amendment_Windrow</v>
      </c>
    </row>
    <row r="6976" spans="1:13" s="120" customFormat="1" x14ac:dyDescent="0.25">
      <c r="A6976" s="119"/>
      <c r="B6976" s="138" t="str">
        <f t="shared" si="525"/>
        <v>Windrow</v>
      </c>
      <c r="C6976" s="138" t="str">
        <f t="shared" si="521"/>
        <v>Without Amendment</v>
      </c>
      <c r="D6976" s="138" t="s">
        <v>130</v>
      </c>
      <c r="E6976" s="138" t="str">
        <f t="shared" si="523"/>
        <v>High</v>
      </c>
      <c r="F6976" s="138" t="str">
        <f t="shared" si="526"/>
        <v>Upgraded</v>
      </c>
      <c r="G6976" s="153"/>
      <c r="H6976" s="210">
        <v>1.1000000000000001E-3</v>
      </c>
      <c r="I6976" s="160" t="s">
        <v>59</v>
      </c>
      <c r="J6976" s="211">
        <v>1.6215700000000001E-5</v>
      </c>
      <c r="K6976" s="160" t="s">
        <v>13</v>
      </c>
      <c r="L6976" s="154" t="str">
        <f>IF(OpenLCAbasic!K6976="CTUh", "Fill in Manually",IF(OR(K6976="Unit", K6976=""), "", INDEX(LookUps!$E$5:$E$12, MATCH(OpenLCAbasic!K6976,LookUps!$D$5:$D$12,0))))</f>
        <v>Eutrophication Potential (EP) - kg N eq</v>
      </c>
      <c r="M6976" s="154" t="str">
        <f t="shared" si="527"/>
        <v>High_Base_Upgraded_Eutrophication Potential (EP) - kg N eq_Blend Tank; wastewater treatment unit; at updated plant - US_Without Amendment_Windrow</v>
      </c>
    </row>
    <row r="6977" spans="1:13" s="120" customFormat="1" x14ac:dyDescent="0.25">
      <c r="A6977" s="119"/>
      <c r="B6977" s="138" t="str">
        <f t="shared" si="525"/>
        <v>Windrow</v>
      </c>
      <c r="C6977" s="138" t="str">
        <f t="shared" ref="C6977:C7040" si="528">IF(ISNUMBER($J6977),"Without Amendment","")</f>
        <v>Without Amendment</v>
      </c>
      <c r="D6977" s="138" t="s">
        <v>130</v>
      </c>
      <c r="E6977" s="138" t="str">
        <f t="shared" si="523"/>
        <v>High</v>
      </c>
      <c r="F6977" s="138" t="str">
        <f t="shared" si="526"/>
        <v>Upgraded</v>
      </c>
      <c r="G6977" s="153"/>
      <c r="H6977" s="210">
        <v>5.0000000000000001E-4</v>
      </c>
      <c r="I6977" s="160" t="s">
        <v>168</v>
      </c>
      <c r="J6977" s="211">
        <v>7.7567199999999995E-6</v>
      </c>
      <c r="K6977" s="160" t="s">
        <v>13</v>
      </c>
      <c r="L6977" s="154" t="str">
        <f>IF(OpenLCAbasic!K6977="CTUh", "Fill in Manually",IF(OR(K6977="Unit", K6977=""), "", INDEX(LookUps!$E$5:$E$12, MATCH(OpenLCAbasic!K6977,LookUps!$D$5:$D$12,0))))</f>
        <v>Eutrophication Potential (EP) - kg N eq</v>
      </c>
      <c r="M6977" s="154" t="str">
        <f t="shared" si="527"/>
        <v>High_Base_Upgraded_Eutrophication Potential (EP) - kg N eq_ClearCove SCP; wastewater treatment unit; at updated plant - US_Without Amendment_Windrow</v>
      </c>
    </row>
    <row r="6978" spans="1:13" s="120" customFormat="1" x14ac:dyDescent="0.25">
      <c r="A6978" s="119"/>
      <c r="B6978" s="138" t="str">
        <f t="shared" si="525"/>
        <v>Windrow</v>
      </c>
      <c r="C6978" s="138" t="str">
        <f t="shared" si="528"/>
        <v>Without Amendment</v>
      </c>
      <c r="D6978" s="138" t="s">
        <v>130</v>
      </c>
      <c r="E6978" s="138" t="str">
        <f t="shared" si="523"/>
        <v>High</v>
      </c>
      <c r="F6978" s="138" t="str">
        <f t="shared" si="526"/>
        <v>Upgraded</v>
      </c>
      <c r="G6978" s="153"/>
      <c r="H6978" s="210">
        <v>-1.34E-2</v>
      </c>
      <c r="I6978" s="160" t="s">
        <v>149</v>
      </c>
      <c r="J6978" s="160">
        <v>-2.0000000000000001E-4</v>
      </c>
      <c r="K6978" s="160" t="s">
        <v>13</v>
      </c>
      <c r="L6978" s="154" t="str">
        <f>IF(OpenLCAbasic!K6978="CTUh", "Fill in Manually",IF(OR(K6978="Unit", K6978=""), "", INDEX(LookUps!$E$5:$E$12, MATCH(OpenLCAbasic!K6978,LookUps!$D$5:$D$12,0))))</f>
        <v>Eutrophication Potential (EP) - kg N eq</v>
      </c>
      <c r="M6978" s="154" t="str">
        <f t="shared" si="527"/>
        <v>High_Base_Upgraded_Eutrophication Potential (EP) - kg N eq_Anaerobic Digestion; wastewater treatment unit; at updated plant - US_Without Amendment_Windrow</v>
      </c>
    </row>
    <row r="6979" spans="1:13" s="120" customFormat="1" x14ac:dyDescent="0.25">
      <c r="A6979" s="119"/>
      <c r="B6979" s="138" t="str">
        <f t="shared" si="525"/>
        <v/>
      </c>
      <c r="C6979" s="138" t="str">
        <f t="shared" si="528"/>
        <v/>
      </c>
      <c r="D6979" s="138" t="str">
        <f t="shared" si="524"/>
        <v/>
      </c>
      <c r="E6979" s="138" t="str">
        <f t="shared" si="523"/>
        <v/>
      </c>
      <c r="F6979" s="138" t="str">
        <f t="shared" si="526"/>
        <v/>
      </c>
      <c r="G6979" s="153" t="s">
        <v>51</v>
      </c>
      <c r="H6979" s="160"/>
      <c r="I6979" s="160" t="s">
        <v>47</v>
      </c>
      <c r="J6979" s="160" t="s">
        <v>52</v>
      </c>
      <c r="K6979" s="160" t="s">
        <v>27</v>
      </c>
      <c r="L6979" s="154" t="str">
        <f>IF(OpenLCAbasic!K6979="CTUh", "Fill in Manually",IF(OR(K6979="Unit", K6979=""), "", INDEX(LookUps!$E$5:$E$12, MATCH(OpenLCAbasic!K6979,LookUps!$D$5:$D$12,0))))</f>
        <v/>
      </c>
      <c r="M6979" s="154" t="str">
        <f t="shared" si="527"/>
        <v>____Process__</v>
      </c>
    </row>
    <row r="6980" spans="1:13" s="120" customFormat="1" x14ac:dyDescent="0.25">
      <c r="A6980" s="119"/>
      <c r="B6980" s="138" t="str">
        <f t="shared" si="525"/>
        <v>Windrow</v>
      </c>
      <c r="C6980" s="138" t="str">
        <f t="shared" si="528"/>
        <v>Without Amendment</v>
      </c>
      <c r="D6980" s="138" t="s">
        <v>130</v>
      </c>
      <c r="E6980" s="138" t="str">
        <f t="shared" si="523"/>
        <v>High</v>
      </c>
      <c r="F6980" s="138" t="str">
        <f t="shared" si="526"/>
        <v>Upgraded</v>
      </c>
      <c r="G6980" s="153"/>
      <c r="H6980" s="210">
        <v>0.41820000000000002</v>
      </c>
      <c r="I6980" s="160" t="s">
        <v>167</v>
      </c>
      <c r="J6980" s="160">
        <v>7.9170000000000004E-2</v>
      </c>
      <c r="K6980" s="160" t="s">
        <v>14</v>
      </c>
      <c r="L6980" s="154" t="str">
        <f>IF(OpenLCAbasic!K6980="CTUh", "Fill in Manually",IF(OR(K6980="Unit", K6980=""), "", INDEX(LookUps!$E$5:$E$12, MATCH(OpenLCAbasic!K6980,LookUps!$D$5:$D$12,0))))</f>
        <v>Fossil Depletion Potential (FDP) - kg oil eq</v>
      </c>
      <c r="M6980" s="154" t="str">
        <f t="shared" si="527"/>
        <v>High_Base_Upgraded_Fossil Depletion Potential (FDP) - kg oil eq_Waste Receiving and Holding; wastewater treatment unit; at updated plant - US_Without Amendment_Windrow</v>
      </c>
    </row>
    <row r="6981" spans="1:13" s="120" customFormat="1" x14ac:dyDescent="0.25">
      <c r="A6981" s="119"/>
      <c r="B6981" s="138" t="str">
        <f t="shared" si="525"/>
        <v>Windrow</v>
      </c>
      <c r="C6981" s="138" t="str">
        <f t="shared" si="528"/>
        <v>Without Amendment</v>
      </c>
      <c r="D6981" s="138" t="s">
        <v>130</v>
      </c>
      <c r="E6981" s="138" t="str">
        <f t="shared" si="523"/>
        <v>High</v>
      </c>
      <c r="F6981" s="138" t="str">
        <f t="shared" si="526"/>
        <v>Upgraded</v>
      </c>
      <c r="G6981" s="153"/>
      <c r="H6981" s="210">
        <v>0.33589999999999998</v>
      </c>
      <c r="I6981" s="160" t="s">
        <v>55</v>
      </c>
      <c r="J6981" s="160">
        <v>6.3589999999999994E-2</v>
      </c>
      <c r="K6981" s="160" t="s">
        <v>14</v>
      </c>
      <c r="L6981" s="154" t="str">
        <f>IF(OpenLCAbasic!K6981="CTUh", "Fill in Manually",IF(OR(K6981="Unit", K6981=""), "", INDEX(LookUps!$E$5:$E$12, MATCH(OpenLCAbasic!K6981,LookUps!$D$5:$D$12,0))))</f>
        <v>Fossil Depletion Potential (FDP) - kg oil eq</v>
      </c>
      <c r="M6981" s="154" t="str">
        <f t="shared" si="527"/>
        <v>High_Base_Upgraded_Fossil Depletion Potential (FDP) - kg oil eq_Aeration Tanks; wastewater treatment unit; at updated plant - US_Without Amendment_Windrow</v>
      </c>
    </row>
    <row r="6982" spans="1:13" s="120" customFormat="1" x14ac:dyDescent="0.25">
      <c r="A6982" s="119"/>
      <c r="B6982" s="138" t="str">
        <f t="shared" si="525"/>
        <v>Windrow</v>
      </c>
      <c r="C6982" s="138" t="str">
        <f t="shared" si="528"/>
        <v>Without Amendment</v>
      </c>
      <c r="D6982" s="138" t="s">
        <v>130</v>
      </c>
      <c r="E6982" s="138" t="str">
        <f t="shared" si="523"/>
        <v>High</v>
      </c>
      <c r="F6982" s="138" t="str">
        <f t="shared" si="526"/>
        <v>Upgraded</v>
      </c>
      <c r="G6982" s="153"/>
      <c r="H6982" s="210">
        <v>0.11119999999999999</v>
      </c>
      <c r="I6982" s="160" t="s">
        <v>54</v>
      </c>
      <c r="J6982" s="160">
        <v>2.1049999999999999E-2</v>
      </c>
      <c r="K6982" s="160" t="s">
        <v>14</v>
      </c>
      <c r="L6982" s="154" t="str">
        <f>IF(OpenLCAbasic!K6982="CTUh", "Fill in Manually",IF(OR(K6982="Unit", K6982=""), "", INDEX(LookUps!$E$5:$E$12, MATCH(OpenLCAbasic!K6982,LookUps!$D$5:$D$12,0))))</f>
        <v>Fossil Depletion Potential (FDP) - kg oil eq</v>
      </c>
      <c r="M6982" s="154" t="str">
        <f t="shared" si="527"/>
        <v>High_Base_Upgraded_Fossil Depletion Potential (FDP) - kg oil eq_Clear Cove Primary Clarification; wastewater treatment unit; at updated plant - US_Without Amendment_Windrow</v>
      </c>
    </row>
    <row r="6983" spans="1:13" s="120" customFormat="1" x14ac:dyDescent="0.25">
      <c r="A6983" s="119"/>
      <c r="B6983" s="138" t="str">
        <f t="shared" si="525"/>
        <v>Windrow</v>
      </c>
      <c r="C6983" s="138" t="str">
        <f t="shared" si="528"/>
        <v>Without Amendment</v>
      </c>
      <c r="D6983" s="138" t="s">
        <v>130</v>
      </c>
      <c r="E6983" s="138" t="str">
        <f t="shared" si="523"/>
        <v>High</v>
      </c>
      <c r="F6983" s="138" t="str">
        <f t="shared" si="526"/>
        <v>Upgraded</v>
      </c>
      <c r="G6983" s="153"/>
      <c r="H6983" s="210">
        <v>8.4099999999999994E-2</v>
      </c>
      <c r="I6983" s="160" t="s">
        <v>58</v>
      </c>
      <c r="J6983" s="160">
        <v>1.592E-2</v>
      </c>
      <c r="K6983" s="160" t="s">
        <v>14</v>
      </c>
      <c r="L6983" s="154" t="str">
        <f>IF(OpenLCAbasic!K6983="CTUh", "Fill in Manually",IF(OR(K6983="Unit", K6983=""), "", INDEX(LookUps!$E$5:$E$12, MATCH(OpenLCAbasic!K6983,LookUps!$D$5:$D$12,0))))</f>
        <v>Fossil Depletion Potential (FDP) - kg oil eq</v>
      </c>
      <c r="M6983" s="154" t="str">
        <f t="shared" si="527"/>
        <v>High_Base_Upgraded_Fossil Depletion Potential (FDP) - kg oil eq_Pre-Anoxic &amp; Swing tank; wastewater treatment unit; at updated plant - US_Without Amendment_Windrow</v>
      </c>
    </row>
    <row r="6984" spans="1:13" s="120" customFormat="1" x14ac:dyDescent="0.25">
      <c r="A6984" s="119"/>
      <c r="B6984" s="138" t="str">
        <f t="shared" si="525"/>
        <v>Windrow</v>
      </c>
      <c r="C6984" s="138" t="str">
        <f t="shared" si="528"/>
        <v>Without Amendment</v>
      </c>
      <c r="D6984" s="138" t="s">
        <v>130</v>
      </c>
      <c r="E6984" s="138" t="str">
        <f t="shared" si="523"/>
        <v>High</v>
      </c>
      <c r="F6984" s="138" t="str">
        <f t="shared" si="526"/>
        <v>Upgraded</v>
      </c>
      <c r="G6984" s="153"/>
      <c r="H6984" s="210">
        <v>7.9699999999999993E-2</v>
      </c>
      <c r="I6984" s="160" t="s">
        <v>147</v>
      </c>
      <c r="J6984" s="160">
        <v>1.5089999999999999E-2</v>
      </c>
      <c r="K6984" s="160" t="s">
        <v>14</v>
      </c>
      <c r="L6984" s="154" t="str">
        <f>IF(OpenLCAbasic!K6984="CTUh", "Fill in Manually",IF(OR(K6984="Unit", K6984=""), "", INDEX(LookUps!$E$5:$E$12, MATCH(OpenLCAbasic!K6984,LookUps!$D$5:$D$12,0))))</f>
        <v>Fossil Depletion Potential (FDP) - kg oil eq</v>
      </c>
      <c r="M6984" s="154" t="str">
        <f t="shared" si="527"/>
        <v>High_Base_Upgraded_Fossil Depletion Potential (FDP) - kg oil eq_Influent Pump Station; wastewater treatment unit; at updated plant - US_Without Amendment_Windrow</v>
      </c>
    </row>
    <row r="6985" spans="1:13" s="120" customFormat="1" x14ac:dyDescent="0.25">
      <c r="A6985" s="119"/>
      <c r="B6985" s="138" t="str">
        <f t="shared" si="525"/>
        <v>Windrow</v>
      </c>
      <c r="C6985" s="138" t="str">
        <f t="shared" si="528"/>
        <v>Without Amendment</v>
      </c>
      <c r="D6985" s="138" t="s">
        <v>130</v>
      </c>
      <c r="E6985" s="138" t="str">
        <f t="shared" ref="E6985:E7048" si="529">IF(ISNUMBER($J6985),"High","")</f>
        <v>High</v>
      </c>
      <c r="F6985" s="138" t="str">
        <f t="shared" si="526"/>
        <v>Upgraded</v>
      </c>
      <c r="G6985" s="153"/>
      <c r="H6985" s="210">
        <v>6.6000000000000003E-2</v>
      </c>
      <c r="I6985" s="160" t="s">
        <v>53</v>
      </c>
      <c r="J6985" s="160">
        <v>1.2489999999999999E-2</v>
      </c>
      <c r="K6985" s="160" t="s">
        <v>14</v>
      </c>
      <c r="L6985" s="154" t="str">
        <f>IF(OpenLCAbasic!K6985="CTUh", "Fill in Manually",IF(OR(K6985="Unit", K6985=""), "", INDEX(LookUps!$E$5:$E$12, MATCH(OpenLCAbasic!K6985,LookUps!$D$5:$D$12,0))))</f>
        <v>Fossil Depletion Potential (FDP) - kg oil eq</v>
      </c>
      <c r="M6985" s="154" t="str">
        <f t="shared" si="527"/>
        <v>High_Base_Upgraded_Fossil Depletion Potential (FDP) - kg oil eq_Wet Well and Sump Station; wastewater treatment unit; at updated plant - US_Without Amendment_Windrow</v>
      </c>
    </row>
    <row r="6986" spans="1:13" s="120" customFormat="1" x14ac:dyDescent="0.25">
      <c r="A6986" s="119"/>
      <c r="B6986" s="138" t="str">
        <f t="shared" si="525"/>
        <v>Windrow</v>
      </c>
      <c r="C6986" s="138" t="str">
        <f t="shared" si="528"/>
        <v>Without Amendment</v>
      </c>
      <c r="D6986" s="138" t="s">
        <v>130</v>
      </c>
      <c r="E6986" s="138" t="str">
        <f t="shared" si="529"/>
        <v>High</v>
      </c>
      <c r="F6986" s="138" t="str">
        <f t="shared" si="526"/>
        <v>Upgraded</v>
      </c>
      <c r="G6986" s="153"/>
      <c r="H6986" s="210">
        <v>3.6499999999999998E-2</v>
      </c>
      <c r="I6986" s="160" t="s">
        <v>57</v>
      </c>
      <c r="J6986" s="160">
        <v>6.9199999999999999E-3</v>
      </c>
      <c r="K6986" s="160" t="s">
        <v>14</v>
      </c>
      <c r="L6986" s="154" t="str">
        <f>IF(OpenLCAbasic!K6986="CTUh", "Fill in Manually",IF(OR(K6986="Unit", K6986=""), "", INDEX(LookUps!$E$5:$E$12, MATCH(OpenLCAbasic!K6986,LookUps!$D$5:$D$12,0))))</f>
        <v>Fossil Depletion Potential (FDP) - kg oil eq</v>
      </c>
      <c r="M6986" s="154" t="str">
        <f t="shared" si="527"/>
        <v>High_Base_Upgraded_Fossil Depletion Potential (FDP) - kg oil eq_Gravity Belt Thickener; wastewater treatment unit; at updated plant - US_Without Amendment_Windrow</v>
      </c>
    </row>
    <row r="6987" spans="1:13" s="120" customFormat="1" x14ac:dyDescent="0.25">
      <c r="A6987" s="119"/>
      <c r="B6987" s="138" t="str">
        <f t="shared" si="525"/>
        <v>Windrow</v>
      </c>
      <c r="C6987" s="138" t="str">
        <f t="shared" si="528"/>
        <v>Without Amendment</v>
      </c>
      <c r="D6987" s="138" t="s">
        <v>130</v>
      </c>
      <c r="E6987" s="138" t="str">
        <f t="shared" si="529"/>
        <v>High</v>
      </c>
      <c r="F6987" s="138" t="str">
        <f t="shared" si="526"/>
        <v>Upgraded</v>
      </c>
      <c r="G6987" s="153"/>
      <c r="H6987" s="210">
        <v>3.0700000000000002E-2</v>
      </c>
      <c r="I6987" s="160" t="s">
        <v>60</v>
      </c>
      <c r="J6987" s="160">
        <v>5.8100000000000001E-3</v>
      </c>
      <c r="K6987" s="160" t="s">
        <v>14</v>
      </c>
      <c r="L6987" s="154" t="str">
        <f>IF(OpenLCAbasic!K6987="CTUh", "Fill in Manually",IF(OR(K6987="Unit", K6987=""), "", INDEX(LookUps!$E$5:$E$12, MATCH(OpenLCAbasic!K6987,LookUps!$D$5:$D$12,0))))</f>
        <v>Fossil Depletion Potential (FDP) - kg oil eq</v>
      </c>
      <c r="M6987" s="154" t="str">
        <f t="shared" si="527"/>
        <v>High_Base_Upgraded_Fossil Depletion Potential (FDP) - kg oil eq_Belt filter press; wastewater treatment unit; at updated plant - US_Without Amendment_Windrow</v>
      </c>
    </row>
    <row r="6988" spans="1:13" s="120" customFormat="1" x14ac:dyDescent="0.25">
      <c r="A6988" s="119"/>
      <c r="B6988" s="138" t="str">
        <f t="shared" si="525"/>
        <v>Windrow</v>
      </c>
      <c r="C6988" s="138" t="str">
        <f t="shared" si="528"/>
        <v>Without Amendment</v>
      </c>
      <c r="D6988" s="138" t="s">
        <v>130</v>
      </c>
      <c r="E6988" s="138" t="str">
        <f t="shared" si="529"/>
        <v>High</v>
      </c>
      <c r="F6988" s="138" t="str">
        <f t="shared" si="526"/>
        <v>Upgraded</v>
      </c>
      <c r="G6988" s="153"/>
      <c r="H6988" s="210">
        <v>2.3800000000000002E-2</v>
      </c>
      <c r="I6988" s="160" t="s">
        <v>128</v>
      </c>
      <c r="J6988" s="160">
        <v>4.4999999999999997E-3</v>
      </c>
      <c r="K6988" s="160" t="s">
        <v>14</v>
      </c>
      <c r="L6988" s="154" t="str">
        <f>IF(OpenLCAbasic!K6988="CTUh", "Fill in Manually",IF(OR(K6988="Unit", K6988=""), "", INDEX(LookUps!$E$5:$E$12, MATCH(OpenLCAbasic!K6988,LookUps!$D$5:$D$12,0))))</f>
        <v>Fossil Depletion Potential (FDP) - kg oil eq</v>
      </c>
      <c r="M6988" s="154" t="str">
        <f t="shared" si="527"/>
        <v>High_Base_Upgraded_Fossil Depletion Potential (FDP) - kg oil eq_Wastewater collection; operation and infrastructure; m3 wastewater_Without Amendment_Windrow</v>
      </c>
    </row>
    <row r="6989" spans="1:13" s="120" customFormat="1" x14ac:dyDescent="0.25">
      <c r="A6989" s="119"/>
      <c r="B6989" s="138" t="str">
        <f t="shared" si="525"/>
        <v>Windrow</v>
      </c>
      <c r="C6989" s="138" t="str">
        <f t="shared" si="528"/>
        <v>Without Amendment</v>
      </c>
      <c r="D6989" s="138" t="s">
        <v>130</v>
      </c>
      <c r="E6989" s="138" t="str">
        <f t="shared" si="529"/>
        <v>High</v>
      </c>
      <c r="F6989" s="138" t="str">
        <f t="shared" si="526"/>
        <v>Upgraded</v>
      </c>
      <c r="G6989" s="153"/>
      <c r="H6989" s="210">
        <v>1.4800000000000001E-2</v>
      </c>
      <c r="I6989" s="160" t="s">
        <v>148</v>
      </c>
      <c r="J6989" s="160">
        <v>2.8E-3</v>
      </c>
      <c r="K6989" s="160" t="s">
        <v>14</v>
      </c>
      <c r="L6989" s="154" t="str">
        <f>IF(OpenLCAbasic!K6989="CTUh", "Fill in Manually",IF(OR(K6989="Unit", K6989=""), "", INDEX(LookUps!$E$5:$E$12, MATCH(OpenLCAbasic!K6989,LookUps!$D$5:$D$12,0))))</f>
        <v>Fossil Depletion Potential (FDP) - kg oil eq</v>
      </c>
      <c r="M6989" s="154" t="str">
        <f t="shared" si="527"/>
        <v>High_Base_Upgraded_Fossil Depletion Potential (FDP) - kg oil eq_Control Building; at upgraded wastewater treatment plant - US_Without Amendment_Windrow</v>
      </c>
    </row>
    <row r="6990" spans="1:13" s="120" customFormat="1" x14ac:dyDescent="0.25">
      <c r="A6990" s="119"/>
      <c r="B6990" s="138" t="str">
        <f t="shared" si="525"/>
        <v>Windrow</v>
      </c>
      <c r="C6990" s="138" t="str">
        <f t="shared" si="528"/>
        <v>Without Amendment</v>
      </c>
      <c r="D6990" s="138" t="s">
        <v>130</v>
      </c>
      <c r="E6990" s="138" t="str">
        <f t="shared" si="529"/>
        <v>High</v>
      </c>
      <c r="F6990" s="138" t="str">
        <f t="shared" si="526"/>
        <v>Upgraded</v>
      </c>
      <c r="G6990" s="153"/>
      <c r="H6990" s="210">
        <v>1.2500000000000001E-2</v>
      </c>
      <c r="I6990" s="160" t="s">
        <v>48</v>
      </c>
      <c r="J6990" s="160">
        <v>2.3600000000000001E-3</v>
      </c>
      <c r="K6990" s="160" t="s">
        <v>14</v>
      </c>
      <c r="L6990" s="154" t="str">
        <f>IF(OpenLCAbasic!K6990="CTUh", "Fill in Manually",IF(OR(K6990="Unit", K6990=""), "", INDEX(LookUps!$E$5:$E$12, MATCH(OpenLCAbasic!K6990,LookUps!$D$5:$D$12,0))))</f>
        <v>Fossil Depletion Potential (FDP) - kg oil eq</v>
      </c>
      <c r="M6990" s="154" t="str">
        <f t="shared" si="527"/>
        <v>High_Base_Upgraded_Fossil Depletion Potential (FDP) - kg oil eq_Effluent release; wastewater treatment unit; at surface water; m3 wastewater - US_Without Amendment_Windrow</v>
      </c>
    </row>
    <row r="6991" spans="1:13" s="120" customFormat="1" x14ac:dyDescent="0.25">
      <c r="A6991" s="119"/>
      <c r="B6991" s="138" t="str">
        <f t="shared" si="525"/>
        <v>Windrow</v>
      </c>
      <c r="C6991" s="138" t="str">
        <f t="shared" si="528"/>
        <v>Without Amendment</v>
      </c>
      <c r="D6991" s="138" t="s">
        <v>130</v>
      </c>
      <c r="E6991" s="138" t="str">
        <f t="shared" si="529"/>
        <v>High</v>
      </c>
      <c r="F6991" s="138" t="str">
        <f t="shared" si="526"/>
        <v>Upgraded</v>
      </c>
      <c r="G6991" s="153"/>
      <c r="H6991" s="210">
        <v>1.01E-2</v>
      </c>
      <c r="I6991" s="160" t="s">
        <v>59</v>
      </c>
      <c r="J6991" s="160">
        <v>1.92E-3</v>
      </c>
      <c r="K6991" s="160" t="s">
        <v>14</v>
      </c>
      <c r="L6991" s="154" t="str">
        <f>IF(OpenLCAbasic!K6991="CTUh", "Fill in Manually",IF(OR(K6991="Unit", K6991=""), "", INDEX(LookUps!$E$5:$E$12, MATCH(OpenLCAbasic!K6991,LookUps!$D$5:$D$12,0))))</f>
        <v>Fossil Depletion Potential (FDP) - kg oil eq</v>
      </c>
      <c r="M6991" s="154" t="str">
        <f t="shared" si="527"/>
        <v>High_Base_Upgraded_Fossil Depletion Potential (FDP) - kg oil eq_Blend Tank; wastewater treatment unit; at updated plant - US_Without Amendment_Windrow</v>
      </c>
    </row>
    <row r="6992" spans="1:13" s="120" customFormat="1" x14ac:dyDescent="0.25">
      <c r="A6992" s="119"/>
      <c r="B6992" s="138" t="str">
        <f t="shared" si="525"/>
        <v>Windrow</v>
      </c>
      <c r="C6992" s="138" t="str">
        <f t="shared" si="528"/>
        <v>Without Amendment</v>
      </c>
      <c r="D6992" s="138" t="s">
        <v>130</v>
      </c>
      <c r="E6992" s="138" t="str">
        <f t="shared" si="529"/>
        <v>High</v>
      </c>
      <c r="F6992" s="138" t="str">
        <f t="shared" si="526"/>
        <v>Upgraded</v>
      </c>
      <c r="G6992" s="153"/>
      <c r="H6992" s="210">
        <v>4.7999999999999996E-3</v>
      </c>
      <c r="I6992" s="160" t="s">
        <v>168</v>
      </c>
      <c r="J6992" s="160">
        <v>9.1E-4</v>
      </c>
      <c r="K6992" s="160" t="s">
        <v>14</v>
      </c>
      <c r="L6992" s="154" t="str">
        <f>IF(OpenLCAbasic!K6992="CTUh", "Fill in Manually",IF(OR(K6992="Unit", K6992=""), "", INDEX(LookUps!$E$5:$E$12, MATCH(OpenLCAbasic!K6992,LookUps!$D$5:$D$12,0))))</f>
        <v>Fossil Depletion Potential (FDP) - kg oil eq</v>
      </c>
      <c r="M6992" s="154" t="str">
        <f t="shared" si="527"/>
        <v>High_Base_Upgraded_Fossil Depletion Potential (FDP) - kg oil eq_ClearCove SCP; wastewater treatment unit; at updated plant - US_Without Amendment_Windrow</v>
      </c>
    </row>
    <row r="6993" spans="1:13" s="120" customFormat="1" x14ac:dyDescent="0.25">
      <c r="A6993" s="119"/>
      <c r="B6993" s="138" t="str">
        <f t="shared" si="525"/>
        <v>Windrow</v>
      </c>
      <c r="C6993" s="138" t="str">
        <f t="shared" si="528"/>
        <v>Without Amendment</v>
      </c>
      <c r="D6993" s="138" t="s">
        <v>130</v>
      </c>
      <c r="E6993" s="138" t="str">
        <f t="shared" si="529"/>
        <v>High</v>
      </c>
      <c r="F6993" s="138" t="str">
        <f t="shared" si="526"/>
        <v>Upgraded</v>
      </c>
      <c r="G6993" s="153"/>
      <c r="H6993" s="210">
        <v>2.2000000000000001E-3</v>
      </c>
      <c r="I6993" s="160" t="s">
        <v>271</v>
      </c>
      <c r="J6993" s="160">
        <v>4.0999999999999999E-4</v>
      </c>
      <c r="K6993" s="160" t="s">
        <v>14</v>
      </c>
      <c r="L6993" s="154" t="str">
        <f>IF(OpenLCAbasic!K6993="CTUh", "Fill in Manually",IF(OR(K6993="Unit", K6993=""), "", INDEX(LookUps!$E$5:$E$12, MATCH(OpenLCAbasic!K6993,LookUps!$D$5:$D$12,0))))</f>
        <v>Fossil Depletion Potential (FDP) - kg oil eq</v>
      </c>
      <c r="M6993" s="154" t="str">
        <f t="shared" si="527"/>
        <v>High_Base_Upgraded_Fossil Depletion Potential (FDP) - kg oil eq_Biosolids composting; windrow composting; wastewater treatment unit; at updated plant - US_Without Amendment_Windrow</v>
      </c>
    </row>
    <row r="6994" spans="1:13" s="120" customFormat="1" x14ac:dyDescent="0.25">
      <c r="A6994" s="119"/>
      <c r="B6994" s="138" t="str">
        <f t="shared" si="525"/>
        <v>Windrow</v>
      </c>
      <c r="C6994" s="138" t="str">
        <f t="shared" si="528"/>
        <v>Without Amendment</v>
      </c>
      <c r="D6994" s="138" t="s">
        <v>130</v>
      </c>
      <c r="E6994" s="138" t="str">
        <f t="shared" si="529"/>
        <v>High</v>
      </c>
      <c r="F6994" s="138" t="str">
        <f t="shared" si="526"/>
        <v>Upgraded</v>
      </c>
      <c r="G6994" s="153"/>
      <c r="H6994" s="210">
        <v>-1.9199999999999998E-2</v>
      </c>
      <c r="I6994" s="160" t="s">
        <v>62</v>
      </c>
      <c r="J6994" s="160">
        <v>-3.63E-3</v>
      </c>
      <c r="K6994" s="160" t="s">
        <v>14</v>
      </c>
      <c r="L6994" s="154" t="str">
        <f>IF(OpenLCAbasic!K6994="CTUh", "Fill in Manually",IF(OR(K6994="Unit", K6994=""), "", INDEX(LookUps!$E$5:$E$12, MATCH(OpenLCAbasic!K6994,LookUps!$D$5:$D$12,0))))</f>
        <v>Fossil Depletion Potential (FDP) - kg oil eq</v>
      </c>
      <c r="M6994" s="154" t="str">
        <f t="shared" si="527"/>
        <v>High_Base_Upgraded_Fossil Depletion Potential (FDP) - kg oil eq_Land application of compost; wastewater treatment unit; at updated plant - US_Without Amendment_Windrow</v>
      </c>
    </row>
    <row r="6995" spans="1:13" s="120" customFormat="1" x14ac:dyDescent="0.25">
      <c r="A6995" s="119"/>
      <c r="B6995" s="138" t="str">
        <f t="shared" si="525"/>
        <v>Windrow</v>
      </c>
      <c r="C6995" s="138" t="str">
        <f t="shared" si="528"/>
        <v>Without Amendment</v>
      </c>
      <c r="D6995" s="138" t="s">
        <v>130</v>
      </c>
      <c r="E6995" s="138" t="str">
        <f t="shared" si="529"/>
        <v>High</v>
      </c>
      <c r="F6995" s="138" t="str">
        <f t="shared" si="526"/>
        <v>Upgraded</v>
      </c>
      <c r="G6995" s="153"/>
      <c r="H6995" s="210">
        <v>-0.21149999999999999</v>
      </c>
      <c r="I6995" s="160" t="s">
        <v>149</v>
      </c>
      <c r="J6995" s="160">
        <v>-4.0030000000000003E-2</v>
      </c>
      <c r="K6995" s="160" t="s">
        <v>14</v>
      </c>
      <c r="L6995" s="154" t="str">
        <f>IF(OpenLCAbasic!K6995="CTUh", "Fill in Manually",IF(OR(K6995="Unit", K6995=""), "", INDEX(LookUps!$E$5:$E$12, MATCH(OpenLCAbasic!K6995,LookUps!$D$5:$D$12,0))))</f>
        <v>Fossil Depletion Potential (FDP) - kg oil eq</v>
      </c>
      <c r="M6995" s="154" t="str">
        <f t="shared" si="527"/>
        <v>High_Base_Upgraded_Fossil Depletion Potential (FDP) - kg oil eq_Anaerobic Digestion; wastewater treatment unit; at updated plant - US_Without Amendment_Windrow</v>
      </c>
    </row>
    <row r="6996" spans="1:13" s="120" customFormat="1" x14ac:dyDescent="0.25">
      <c r="A6996" s="119"/>
      <c r="B6996" s="138" t="str">
        <f t="shared" si="525"/>
        <v/>
      </c>
      <c r="C6996" s="138" t="str">
        <f t="shared" si="528"/>
        <v/>
      </c>
      <c r="D6996" s="138" t="str">
        <f t="shared" ref="D6996:D7047" si="530">IF(ISNUMBER($J6996),"Base_Base","")</f>
        <v/>
      </c>
      <c r="E6996" s="138" t="str">
        <f t="shared" si="529"/>
        <v/>
      </c>
      <c r="F6996" s="138" t="str">
        <f t="shared" si="526"/>
        <v/>
      </c>
      <c r="G6996" s="153" t="s">
        <v>51</v>
      </c>
      <c r="H6996" s="160"/>
      <c r="I6996" s="160" t="s">
        <v>47</v>
      </c>
      <c r="J6996" s="160" t="s">
        <v>52</v>
      </c>
      <c r="K6996" s="160" t="s">
        <v>27</v>
      </c>
      <c r="L6996" s="154" t="str">
        <f>IF(OpenLCAbasic!K6996="CTUh", "Fill in Manually",IF(OR(K6996="Unit", K6996=""), "", INDEX(LookUps!$E$5:$E$12, MATCH(OpenLCAbasic!K6996,LookUps!$D$5:$D$12,0))))</f>
        <v/>
      </c>
      <c r="M6996" s="154" t="str">
        <f t="shared" si="527"/>
        <v>____Process__</v>
      </c>
    </row>
    <row r="6997" spans="1:13" s="120" customFormat="1" x14ac:dyDescent="0.25">
      <c r="A6997" s="119"/>
      <c r="B6997" s="138" t="str">
        <f t="shared" si="525"/>
        <v>Windrow</v>
      </c>
      <c r="C6997" s="138" t="str">
        <f t="shared" si="528"/>
        <v>Without Amendment</v>
      </c>
      <c r="D6997" s="138" t="s">
        <v>130</v>
      </c>
      <c r="E6997" s="138" t="str">
        <f t="shared" si="529"/>
        <v>High</v>
      </c>
      <c r="F6997" s="138" t="str">
        <f t="shared" si="526"/>
        <v>Upgraded</v>
      </c>
      <c r="G6997" s="153"/>
      <c r="H6997" s="210">
        <v>0.57489999999999997</v>
      </c>
      <c r="I6997" s="160" t="s">
        <v>271</v>
      </c>
      <c r="J6997" s="160">
        <v>0.76846000000000003</v>
      </c>
      <c r="K6997" s="160" t="s">
        <v>23</v>
      </c>
      <c r="L6997" s="154" t="str">
        <f>IF(OpenLCAbasic!K6997="CTUh", "Fill in Manually",IF(OR(K6997="Unit", K6997=""), "", INDEX(LookUps!$E$5:$E$12, MATCH(OpenLCAbasic!K6997,LookUps!$D$5:$D$12,0))))</f>
        <v>Global Warming Potential (GWP) - kg CO2 eq</v>
      </c>
      <c r="M6997" s="154" t="str">
        <f t="shared" si="527"/>
        <v>High_Base_Upgraded_Global Warming Potential (GWP) - kg CO2 eq_Biosolids composting; windrow composting; wastewater treatment unit; at updated plant - US_Without Amendment_Windrow</v>
      </c>
    </row>
    <row r="6998" spans="1:13" s="120" customFormat="1" x14ac:dyDescent="0.25">
      <c r="A6998" s="119"/>
      <c r="B6998" s="138" t="str">
        <f t="shared" si="525"/>
        <v>Windrow</v>
      </c>
      <c r="C6998" s="138" t="str">
        <f t="shared" si="528"/>
        <v>Without Amendment</v>
      </c>
      <c r="D6998" s="138" t="s">
        <v>130</v>
      </c>
      <c r="E6998" s="138" t="str">
        <f t="shared" si="529"/>
        <v>High</v>
      </c>
      <c r="F6998" s="138" t="str">
        <f t="shared" si="526"/>
        <v>Upgraded</v>
      </c>
      <c r="G6998" s="153"/>
      <c r="H6998" s="210">
        <v>0.18160000000000001</v>
      </c>
      <c r="I6998" s="160" t="s">
        <v>58</v>
      </c>
      <c r="J6998" s="160">
        <v>0.24279999999999999</v>
      </c>
      <c r="K6998" s="160" t="s">
        <v>23</v>
      </c>
      <c r="L6998" s="154" t="str">
        <f>IF(OpenLCAbasic!K6998="CTUh", "Fill in Manually",IF(OR(K6998="Unit", K6998=""), "", INDEX(LookUps!$E$5:$E$12, MATCH(OpenLCAbasic!K6998,LookUps!$D$5:$D$12,0))))</f>
        <v>Global Warming Potential (GWP) - kg CO2 eq</v>
      </c>
      <c r="M6998" s="154" t="str">
        <f t="shared" si="527"/>
        <v>High_Base_Upgraded_Global Warming Potential (GWP) - kg CO2 eq_Pre-Anoxic &amp; Swing tank; wastewater treatment unit; at updated plant - US_Without Amendment_Windrow</v>
      </c>
    </row>
    <row r="6999" spans="1:13" s="120" customFormat="1" x14ac:dyDescent="0.25">
      <c r="A6999" s="119"/>
      <c r="B6999" s="138" t="str">
        <f t="shared" si="525"/>
        <v>Windrow</v>
      </c>
      <c r="C6999" s="138" t="str">
        <f t="shared" si="528"/>
        <v>Without Amendment</v>
      </c>
      <c r="D6999" s="138" t="s">
        <v>130</v>
      </c>
      <c r="E6999" s="138" t="str">
        <f t="shared" si="529"/>
        <v>High</v>
      </c>
      <c r="F6999" s="138" t="str">
        <f t="shared" si="526"/>
        <v>Upgraded</v>
      </c>
      <c r="G6999" s="153"/>
      <c r="H6999" s="210">
        <v>0.12590000000000001</v>
      </c>
      <c r="I6999" s="160" t="s">
        <v>55</v>
      </c>
      <c r="J6999" s="160">
        <v>0.16822000000000001</v>
      </c>
      <c r="K6999" s="160" t="s">
        <v>23</v>
      </c>
      <c r="L6999" s="154" t="str">
        <f>IF(OpenLCAbasic!K6999="CTUh", "Fill in Manually",IF(OR(K6999="Unit", K6999=""), "", INDEX(LookUps!$E$5:$E$12, MATCH(OpenLCAbasic!K6999,LookUps!$D$5:$D$12,0))))</f>
        <v>Global Warming Potential (GWP) - kg CO2 eq</v>
      </c>
      <c r="M6999" s="154" t="str">
        <f t="shared" si="527"/>
        <v>High_Base_Upgraded_Global Warming Potential (GWP) - kg CO2 eq_Aeration Tanks; wastewater treatment unit; at updated plant - US_Without Amendment_Windrow</v>
      </c>
    </row>
    <row r="7000" spans="1:13" s="120" customFormat="1" x14ac:dyDescent="0.25">
      <c r="A7000" s="119"/>
      <c r="B7000" s="138" t="str">
        <f t="shared" si="525"/>
        <v>Windrow</v>
      </c>
      <c r="C7000" s="138" t="str">
        <f t="shared" si="528"/>
        <v>Without Amendment</v>
      </c>
      <c r="D7000" s="138" t="s">
        <v>130</v>
      </c>
      <c r="E7000" s="138" t="str">
        <f t="shared" si="529"/>
        <v>High</v>
      </c>
      <c r="F7000" s="138" t="str">
        <f t="shared" si="526"/>
        <v>Upgraded</v>
      </c>
      <c r="G7000" s="153"/>
      <c r="H7000" s="210">
        <v>7.6600000000000001E-2</v>
      </c>
      <c r="I7000" s="160" t="s">
        <v>167</v>
      </c>
      <c r="J7000" s="160">
        <v>0.10241</v>
      </c>
      <c r="K7000" s="160" t="s">
        <v>23</v>
      </c>
      <c r="L7000" s="154" t="str">
        <f>IF(OpenLCAbasic!K7000="CTUh", "Fill in Manually",IF(OR(K7000="Unit", K7000=""), "", INDEX(LookUps!$E$5:$E$12, MATCH(OpenLCAbasic!K7000,LookUps!$D$5:$D$12,0))))</f>
        <v>Global Warming Potential (GWP) - kg CO2 eq</v>
      </c>
      <c r="M7000" s="154" t="str">
        <f t="shared" si="527"/>
        <v>High_Base_Upgraded_Global Warming Potential (GWP) - kg CO2 eq_Waste Receiving and Holding; wastewater treatment unit; at updated plant - US_Without Amendment_Windrow</v>
      </c>
    </row>
    <row r="7001" spans="1:13" s="120" customFormat="1" x14ac:dyDescent="0.25">
      <c r="A7001" s="119"/>
      <c r="B7001" s="138" t="str">
        <f t="shared" si="525"/>
        <v>Windrow</v>
      </c>
      <c r="C7001" s="138" t="str">
        <f t="shared" si="528"/>
        <v>Without Amendment</v>
      </c>
      <c r="D7001" s="138" t="s">
        <v>130</v>
      </c>
      <c r="E7001" s="138" t="str">
        <f t="shared" si="529"/>
        <v>High</v>
      </c>
      <c r="F7001" s="138" t="str">
        <f t="shared" si="526"/>
        <v>Upgraded</v>
      </c>
      <c r="G7001" s="153"/>
      <c r="H7001" s="210">
        <v>4.2700000000000002E-2</v>
      </c>
      <c r="I7001" s="160" t="s">
        <v>54</v>
      </c>
      <c r="J7001" s="160">
        <v>5.7079999999999999E-2</v>
      </c>
      <c r="K7001" s="160" t="s">
        <v>23</v>
      </c>
      <c r="L7001" s="154" t="str">
        <f>IF(OpenLCAbasic!K7001="CTUh", "Fill in Manually",IF(OR(K7001="Unit", K7001=""), "", INDEX(LookUps!$E$5:$E$12, MATCH(OpenLCAbasic!K7001,LookUps!$D$5:$D$12,0))))</f>
        <v>Global Warming Potential (GWP) - kg CO2 eq</v>
      </c>
      <c r="M7001" s="154" t="str">
        <f t="shared" si="527"/>
        <v>High_Base_Upgraded_Global Warming Potential (GWP) - kg CO2 eq_Clear Cove Primary Clarification; wastewater treatment unit; at updated plant - US_Without Amendment_Windrow</v>
      </c>
    </row>
    <row r="7002" spans="1:13" s="120" customFormat="1" x14ac:dyDescent="0.25">
      <c r="A7002" s="119"/>
      <c r="B7002" s="138" t="str">
        <f t="shared" si="525"/>
        <v>Windrow</v>
      </c>
      <c r="C7002" s="138" t="str">
        <f t="shared" si="528"/>
        <v>Without Amendment</v>
      </c>
      <c r="D7002" s="138" t="s">
        <v>130</v>
      </c>
      <c r="E7002" s="138" t="str">
        <f t="shared" si="529"/>
        <v>High</v>
      </c>
      <c r="F7002" s="138" t="str">
        <f t="shared" si="526"/>
        <v>Upgraded</v>
      </c>
      <c r="G7002" s="153"/>
      <c r="H7002" s="210">
        <v>3.9399999999999998E-2</v>
      </c>
      <c r="I7002" s="160" t="s">
        <v>48</v>
      </c>
      <c r="J7002" s="160">
        <v>5.2639999999999999E-2</v>
      </c>
      <c r="K7002" s="160" t="s">
        <v>23</v>
      </c>
      <c r="L7002" s="154" t="str">
        <f>IF(OpenLCAbasic!K7002="CTUh", "Fill in Manually",IF(OR(K7002="Unit", K7002=""), "", INDEX(LookUps!$E$5:$E$12, MATCH(OpenLCAbasic!K7002,LookUps!$D$5:$D$12,0))))</f>
        <v>Global Warming Potential (GWP) - kg CO2 eq</v>
      </c>
      <c r="M7002" s="154" t="str">
        <f t="shared" si="527"/>
        <v>High_Base_Upgraded_Global Warming Potential (GWP) - kg CO2 eq_Effluent release; wastewater treatment unit; at surface water; m3 wastewater - US_Without Amendment_Windrow</v>
      </c>
    </row>
    <row r="7003" spans="1:13" s="120" customFormat="1" x14ac:dyDescent="0.25">
      <c r="A7003" s="119"/>
      <c r="B7003" s="138" t="str">
        <f t="shared" si="525"/>
        <v>Windrow</v>
      </c>
      <c r="C7003" s="138" t="str">
        <f t="shared" si="528"/>
        <v>Without Amendment</v>
      </c>
      <c r="D7003" s="138" t="s">
        <v>130</v>
      </c>
      <c r="E7003" s="138" t="str">
        <f t="shared" si="529"/>
        <v>High</v>
      </c>
      <c r="F7003" s="138" t="str">
        <f t="shared" si="526"/>
        <v>Upgraded</v>
      </c>
      <c r="G7003" s="153"/>
      <c r="H7003" s="210">
        <v>3.78E-2</v>
      </c>
      <c r="I7003" s="160" t="s">
        <v>147</v>
      </c>
      <c r="J7003" s="160">
        <v>5.0500000000000003E-2</v>
      </c>
      <c r="K7003" s="160" t="s">
        <v>23</v>
      </c>
      <c r="L7003" s="154" t="str">
        <f>IF(OpenLCAbasic!K7003="CTUh", "Fill in Manually",IF(OR(K7003="Unit", K7003=""), "", INDEX(LookUps!$E$5:$E$12, MATCH(OpenLCAbasic!K7003,LookUps!$D$5:$D$12,0))))</f>
        <v>Global Warming Potential (GWP) - kg CO2 eq</v>
      </c>
      <c r="M7003" s="154" t="str">
        <f t="shared" si="527"/>
        <v>High_Base_Upgraded_Global Warming Potential (GWP) - kg CO2 eq_Influent Pump Station; wastewater treatment unit; at updated plant - US_Without Amendment_Windrow</v>
      </c>
    </row>
    <row r="7004" spans="1:13" s="120" customFormat="1" x14ac:dyDescent="0.25">
      <c r="A7004" s="119"/>
      <c r="B7004" s="138" t="str">
        <f t="shared" si="525"/>
        <v>Windrow</v>
      </c>
      <c r="C7004" s="138" t="str">
        <f t="shared" si="528"/>
        <v>Without Amendment</v>
      </c>
      <c r="D7004" s="138" t="s">
        <v>130</v>
      </c>
      <c r="E7004" s="138" t="str">
        <f t="shared" si="529"/>
        <v>High</v>
      </c>
      <c r="F7004" s="138" t="str">
        <f t="shared" si="526"/>
        <v>Upgraded</v>
      </c>
      <c r="G7004" s="153"/>
      <c r="H7004" s="210">
        <v>2.4899999999999999E-2</v>
      </c>
      <c r="I7004" s="160" t="s">
        <v>53</v>
      </c>
      <c r="J7004" s="160">
        <v>3.3259999999999998E-2</v>
      </c>
      <c r="K7004" s="160" t="s">
        <v>23</v>
      </c>
      <c r="L7004" s="154" t="str">
        <f>IF(OpenLCAbasic!K7004="CTUh", "Fill in Manually",IF(OR(K7004="Unit", K7004=""), "", INDEX(LookUps!$E$5:$E$12, MATCH(OpenLCAbasic!K7004,LookUps!$D$5:$D$12,0))))</f>
        <v>Global Warming Potential (GWP) - kg CO2 eq</v>
      </c>
      <c r="M7004" s="154" t="str">
        <f t="shared" si="527"/>
        <v>High_Base_Upgraded_Global Warming Potential (GWP) - kg CO2 eq_Wet Well and Sump Station; wastewater treatment unit; at updated plant - US_Without Amendment_Windrow</v>
      </c>
    </row>
    <row r="7005" spans="1:13" s="120" customFormat="1" x14ac:dyDescent="0.25">
      <c r="A7005" s="119"/>
      <c r="B7005" s="138" t="str">
        <f t="shared" si="525"/>
        <v>Windrow</v>
      </c>
      <c r="C7005" s="138" t="str">
        <f t="shared" si="528"/>
        <v>Without Amendment</v>
      </c>
      <c r="D7005" s="138" t="s">
        <v>130</v>
      </c>
      <c r="E7005" s="138" t="str">
        <f t="shared" si="529"/>
        <v>High</v>
      </c>
      <c r="F7005" s="138" t="str">
        <f t="shared" si="526"/>
        <v>Upgraded</v>
      </c>
      <c r="G7005" s="153"/>
      <c r="H7005" s="210">
        <v>1.09E-2</v>
      </c>
      <c r="I7005" s="160" t="s">
        <v>57</v>
      </c>
      <c r="J7005" s="160">
        <v>1.455E-2</v>
      </c>
      <c r="K7005" s="160" t="s">
        <v>23</v>
      </c>
      <c r="L7005" s="154" t="str">
        <f>IF(OpenLCAbasic!K7005="CTUh", "Fill in Manually",IF(OR(K7005="Unit", K7005=""), "", INDEX(LookUps!$E$5:$E$12, MATCH(OpenLCAbasic!K7005,LookUps!$D$5:$D$12,0))))</f>
        <v>Global Warming Potential (GWP) - kg CO2 eq</v>
      </c>
      <c r="M7005" s="154" t="str">
        <f t="shared" si="527"/>
        <v>High_Base_Upgraded_Global Warming Potential (GWP) - kg CO2 eq_Gravity Belt Thickener; wastewater treatment unit; at updated plant - US_Without Amendment_Windrow</v>
      </c>
    </row>
    <row r="7006" spans="1:13" s="120" customFormat="1" x14ac:dyDescent="0.25">
      <c r="A7006" s="119"/>
      <c r="B7006" s="138" t="str">
        <f t="shared" si="525"/>
        <v>Windrow</v>
      </c>
      <c r="C7006" s="138" t="str">
        <f t="shared" si="528"/>
        <v>Without Amendment</v>
      </c>
      <c r="D7006" s="138" t="s">
        <v>130</v>
      </c>
      <c r="E7006" s="138" t="str">
        <f t="shared" si="529"/>
        <v>High</v>
      </c>
      <c r="F7006" s="138" t="str">
        <f t="shared" si="526"/>
        <v>Upgraded</v>
      </c>
      <c r="G7006" s="153"/>
      <c r="H7006" s="210">
        <v>1.01E-2</v>
      </c>
      <c r="I7006" s="160" t="s">
        <v>128</v>
      </c>
      <c r="J7006" s="160">
        <v>1.3509999999999999E-2</v>
      </c>
      <c r="K7006" s="160" t="s">
        <v>23</v>
      </c>
      <c r="L7006" s="154" t="str">
        <f>IF(OpenLCAbasic!K7006="CTUh", "Fill in Manually",IF(OR(K7006="Unit", K7006=""), "", INDEX(LookUps!$E$5:$E$12, MATCH(OpenLCAbasic!K7006,LookUps!$D$5:$D$12,0))))</f>
        <v>Global Warming Potential (GWP) - kg CO2 eq</v>
      </c>
      <c r="M7006" s="154" t="str">
        <f t="shared" si="527"/>
        <v>High_Base_Upgraded_Global Warming Potential (GWP) - kg CO2 eq_Wastewater collection; operation and infrastructure; m3 wastewater_Without Amendment_Windrow</v>
      </c>
    </row>
    <row r="7007" spans="1:13" s="120" customFormat="1" x14ac:dyDescent="0.25">
      <c r="A7007" s="119"/>
      <c r="B7007" s="138" t="str">
        <f t="shared" si="525"/>
        <v>Windrow</v>
      </c>
      <c r="C7007" s="138" t="str">
        <f t="shared" si="528"/>
        <v>Without Amendment</v>
      </c>
      <c r="D7007" s="138" t="s">
        <v>130</v>
      </c>
      <c r="E7007" s="138" t="str">
        <f t="shared" si="529"/>
        <v>High</v>
      </c>
      <c r="F7007" s="138" t="str">
        <f t="shared" si="526"/>
        <v>Upgraded</v>
      </c>
      <c r="G7007" s="153"/>
      <c r="H7007" s="210">
        <v>9.5999999999999992E-3</v>
      </c>
      <c r="I7007" s="160" t="s">
        <v>60</v>
      </c>
      <c r="J7007" s="160">
        <v>1.278E-2</v>
      </c>
      <c r="K7007" s="160" t="s">
        <v>23</v>
      </c>
      <c r="L7007" s="154" t="str">
        <f>IF(OpenLCAbasic!K7007="CTUh", "Fill in Manually",IF(OR(K7007="Unit", K7007=""), "", INDEX(LookUps!$E$5:$E$12, MATCH(OpenLCAbasic!K7007,LookUps!$D$5:$D$12,0))))</f>
        <v>Global Warming Potential (GWP) - kg CO2 eq</v>
      </c>
      <c r="M7007" s="154" t="str">
        <f t="shared" si="527"/>
        <v>High_Base_Upgraded_Global Warming Potential (GWP) - kg CO2 eq_Belt filter press; wastewater treatment unit; at updated plant - US_Without Amendment_Windrow</v>
      </c>
    </row>
    <row r="7008" spans="1:13" s="120" customFormat="1" x14ac:dyDescent="0.25">
      <c r="A7008" s="119"/>
      <c r="B7008" s="138" t="str">
        <f t="shared" si="525"/>
        <v>Windrow</v>
      </c>
      <c r="C7008" s="138" t="str">
        <f t="shared" si="528"/>
        <v>Without Amendment</v>
      </c>
      <c r="D7008" s="138" t="s">
        <v>130</v>
      </c>
      <c r="E7008" s="138" t="str">
        <f t="shared" si="529"/>
        <v>High</v>
      </c>
      <c r="F7008" s="138" t="str">
        <f t="shared" si="526"/>
        <v>Upgraded</v>
      </c>
      <c r="G7008" s="153"/>
      <c r="H7008" s="210">
        <v>6.1999999999999998E-3</v>
      </c>
      <c r="I7008" s="160" t="s">
        <v>148</v>
      </c>
      <c r="J7008" s="160">
        <v>8.3000000000000001E-3</v>
      </c>
      <c r="K7008" s="160" t="s">
        <v>23</v>
      </c>
      <c r="L7008" s="154" t="str">
        <f>IF(OpenLCAbasic!K7008="CTUh", "Fill in Manually",IF(OR(K7008="Unit", K7008=""), "", INDEX(LookUps!$E$5:$E$12, MATCH(OpenLCAbasic!K7008,LookUps!$D$5:$D$12,0))))</f>
        <v>Global Warming Potential (GWP) - kg CO2 eq</v>
      </c>
      <c r="M7008" s="154" t="str">
        <f t="shared" si="527"/>
        <v>High_Base_Upgraded_Global Warming Potential (GWP) - kg CO2 eq_Control Building; at upgraded wastewater treatment plant - US_Without Amendment_Windrow</v>
      </c>
    </row>
    <row r="7009" spans="1:13" s="120" customFormat="1" x14ac:dyDescent="0.25">
      <c r="A7009" s="119"/>
      <c r="B7009" s="138" t="str">
        <f t="shared" si="525"/>
        <v>Windrow</v>
      </c>
      <c r="C7009" s="138" t="str">
        <f t="shared" si="528"/>
        <v>Without Amendment</v>
      </c>
      <c r="D7009" s="138" t="s">
        <v>130</v>
      </c>
      <c r="E7009" s="138" t="str">
        <f t="shared" si="529"/>
        <v>High</v>
      </c>
      <c r="F7009" s="138" t="str">
        <f t="shared" si="526"/>
        <v>Upgraded</v>
      </c>
      <c r="G7009" s="153"/>
      <c r="H7009" s="210">
        <v>3.8E-3</v>
      </c>
      <c r="I7009" s="160" t="s">
        <v>59</v>
      </c>
      <c r="J7009" s="160">
        <v>5.0400000000000002E-3</v>
      </c>
      <c r="K7009" s="160" t="s">
        <v>23</v>
      </c>
      <c r="L7009" s="154" t="str">
        <f>IF(OpenLCAbasic!K7009="CTUh", "Fill in Manually",IF(OR(K7009="Unit", K7009=""), "", INDEX(LookUps!$E$5:$E$12, MATCH(OpenLCAbasic!K7009,LookUps!$D$5:$D$12,0))))</f>
        <v>Global Warming Potential (GWP) - kg CO2 eq</v>
      </c>
      <c r="M7009" s="154" t="str">
        <f t="shared" si="527"/>
        <v>High_Base_Upgraded_Global Warming Potential (GWP) - kg CO2 eq_Blend Tank; wastewater treatment unit; at updated plant - US_Without Amendment_Windrow</v>
      </c>
    </row>
    <row r="7010" spans="1:13" s="120" customFormat="1" x14ac:dyDescent="0.25">
      <c r="A7010" s="119"/>
      <c r="B7010" s="138" t="str">
        <f t="shared" si="525"/>
        <v>Windrow</v>
      </c>
      <c r="C7010" s="138" t="str">
        <f t="shared" si="528"/>
        <v>Without Amendment</v>
      </c>
      <c r="D7010" s="138" t="s">
        <v>130</v>
      </c>
      <c r="E7010" s="138" t="str">
        <f t="shared" si="529"/>
        <v>High</v>
      </c>
      <c r="F7010" s="138" t="str">
        <f t="shared" si="526"/>
        <v>Upgraded</v>
      </c>
      <c r="G7010" s="153"/>
      <c r="H7010" s="210">
        <v>1.8E-3</v>
      </c>
      <c r="I7010" s="160" t="s">
        <v>168</v>
      </c>
      <c r="J7010" s="160">
        <v>2.4099999999999998E-3</v>
      </c>
      <c r="K7010" s="160" t="s">
        <v>23</v>
      </c>
      <c r="L7010" s="154" t="str">
        <f>IF(OpenLCAbasic!K7010="CTUh", "Fill in Manually",IF(OR(K7010="Unit", K7010=""), "", INDEX(LookUps!$E$5:$E$12, MATCH(OpenLCAbasic!K7010,LookUps!$D$5:$D$12,0))))</f>
        <v>Global Warming Potential (GWP) - kg CO2 eq</v>
      </c>
      <c r="M7010" s="154" t="str">
        <f t="shared" si="527"/>
        <v>High_Base_Upgraded_Global Warming Potential (GWP) - kg CO2 eq_ClearCove SCP; wastewater treatment unit; at updated plant - US_Without Amendment_Windrow</v>
      </c>
    </row>
    <row r="7011" spans="1:13" s="120" customFormat="1" x14ac:dyDescent="0.25">
      <c r="A7011" s="119"/>
      <c r="B7011" s="138" t="str">
        <f t="shared" si="525"/>
        <v>Windrow</v>
      </c>
      <c r="C7011" s="138" t="str">
        <f t="shared" si="528"/>
        <v>Without Amendment</v>
      </c>
      <c r="D7011" s="138" t="s">
        <v>130</v>
      </c>
      <c r="E7011" s="138" t="str">
        <f t="shared" si="529"/>
        <v>High</v>
      </c>
      <c r="F7011" s="138" t="str">
        <f t="shared" si="526"/>
        <v>Upgraded</v>
      </c>
      <c r="G7011" s="153"/>
      <c r="H7011" s="210">
        <v>-4.24E-2</v>
      </c>
      <c r="I7011" s="160" t="s">
        <v>149</v>
      </c>
      <c r="J7011" s="160">
        <v>-5.6640000000000003E-2</v>
      </c>
      <c r="K7011" s="160" t="s">
        <v>23</v>
      </c>
      <c r="L7011" s="154" t="str">
        <f>IF(OpenLCAbasic!K7011="CTUh", "Fill in Manually",IF(OR(K7011="Unit", K7011=""), "", INDEX(LookUps!$E$5:$E$12, MATCH(OpenLCAbasic!K7011,LookUps!$D$5:$D$12,0))))</f>
        <v>Global Warming Potential (GWP) - kg CO2 eq</v>
      </c>
      <c r="M7011" s="154" t="str">
        <f t="shared" si="527"/>
        <v>High_Base_Upgraded_Global Warming Potential (GWP) - kg CO2 eq_Anaerobic Digestion; wastewater treatment unit; at updated plant - US_Without Amendment_Windrow</v>
      </c>
    </row>
    <row r="7012" spans="1:13" s="120" customFormat="1" x14ac:dyDescent="0.25">
      <c r="A7012" s="119"/>
      <c r="B7012" s="138" t="str">
        <f t="shared" si="525"/>
        <v>Windrow</v>
      </c>
      <c r="C7012" s="138" t="str">
        <f t="shared" si="528"/>
        <v>Without Amendment</v>
      </c>
      <c r="D7012" s="138" t="s">
        <v>130</v>
      </c>
      <c r="E7012" s="138" t="str">
        <f t="shared" si="529"/>
        <v>High</v>
      </c>
      <c r="F7012" s="138" t="str">
        <f t="shared" si="526"/>
        <v>Upgraded</v>
      </c>
      <c r="G7012" s="153"/>
      <c r="H7012" s="210">
        <v>-0.1038</v>
      </c>
      <c r="I7012" s="160" t="s">
        <v>62</v>
      </c>
      <c r="J7012" s="160">
        <v>-0.13869000000000001</v>
      </c>
      <c r="K7012" s="160" t="s">
        <v>23</v>
      </c>
      <c r="L7012" s="154" t="str">
        <f>IF(OpenLCAbasic!K7012="CTUh", "Fill in Manually",IF(OR(K7012="Unit", K7012=""), "", INDEX(LookUps!$E$5:$E$12, MATCH(OpenLCAbasic!K7012,LookUps!$D$5:$D$12,0))))</f>
        <v>Global Warming Potential (GWP) - kg CO2 eq</v>
      </c>
      <c r="M7012" s="154" t="str">
        <f t="shared" si="527"/>
        <v>High_Base_Upgraded_Global Warming Potential (GWP) - kg CO2 eq_Land application of compost; wastewater treatment unit; at updated plant - US_Without Amendment_Windrow</v>
      </c>
    </row>
    <row r="7013" spans="1:13" s="120" customFormat="1" x14ac:dyDescent="0.25">
      <c r="A7013" s="119"/>
      <c r="B7013" s="138" t="str">
        <f t="shared" si="525"/>
        <v/>
      </c>
      <c r="C7013" s="138" t="str">
        <f t="shared" si="528"/>
        <v/>
      </c>
      <c r="D7013" s="138" t="str">
        <f t="shared" si="530"/>
        <v/>
      </c>
      <c r="E7013" s="138" t="str">
        <f t="shared" si="529"/>
        <v/>
      </c>
      <c r="F7013" s="138" t="str">
        <f t="shared" si="526"/>
        <v/>
      </c>
      <c r="G7013" s="153" t="s">
        <v>51</v>
      </c>
      <c r="H7013" s="160"/>
      <c r="I7013" s="160" t="s">
        <v>47</v>
      </c>
      <c r="J7013" s="160" t="s">
        <v>52</v>
      </c>
      <c r="K7013" s="160" t="s">
        <v>27</v>
      </c>
      <c r="L7013" s="154" t="str">
        <f>IF(OpenLCAbasic!K7013="CTUh", "Fill in Manually",IF(OR(K7013="Unit", K7013=""), "", INDEX(LookUps!$E$5:$E$12, MATCH(OpenLCAbasic!K7013,LookUps!$D$5:$D$12,0))))</f>
        <v/>
      </c>
      <c r="M7013" s="154" t="str">
        <f t="shared" si="527"/>
        <v>____Process__</v>
      </c>
    </row>
    <row r="7014" spans="1:13" s="120" customFormat="1" x14ac:dyDescent="0.25">
      <c r="A7014" s="119"/>
      <c r="B7014" s="138" t="str">
        <f t="shared" si="525"/>
        <v>Windrow</v>
      </c>
      <c r="C7014" s="138" t="str">
        <f t="shared" si="528"/>
        <v>Without Amendment</v>
      </c>
      <c r="D7014" s="138" t="s">
        <v>130</v>
      </c>
      <c r="E7014" s="138" t="str">
        <f t="shared" si="529"/>
        <v>High</v>
      </c>
      <c r="F7014" s="138" t="str">
        <f t="shared" si="526"/>
        <v>Upgraded</v>
      </c>
      <c r="G7014" s="153"/>
      <c r="H7014" s="210">
        <v>0.51129999999999998</v>
      </c>
      <c r="I7014" s="160" t="s">
        <v>55</v>
      </c>
      <c r="J7014" s="160">
        <v>2.33E-3</v>
      </c>
      <c r="K7014" s="160" t="s">
        <v>145</v>
      </c>
      <c r="L7014" s="154" t="str">
        <f>IF(OpenLCAbasic!K7014="CTUh", "Fill in Manually",IF(OR(K7014="Unit", K7014=""), "", INDEX(LookUps!$E$5:$E$12, MATCH(OpenLCAbasic!K7014,LookUps!$D$5:$D$12,0))))</f>
        <v>Particulate Matter Formation Potential (PMFP) - kg PM2.5 eq</v>
      </c>
      <c r="M7014" s="154" t="str">
        <f t="shared" si="527"/>
        <v>High_Base_Upgraded_Particulate Matter Formation Potential (PMFP) - kg PM2.5 eq_Aeration Tanks; wastewater treatment unit; at updated plant - US_Without Amendment_Windrow</v>
      </c>
    </row>
    <row r="7015" spans="1:13" s="120" customFormat="1" x14ac:dyDescent="0.25">
      <c r="A7015" s="119"/>
      <c r="B7015" s="138" t="str">
        <f t="shared" si="525"/>
        <v>Windrow</v>
      </c>
      <c r="C7015" s="138" t="str">
        <f t="shared" si="528"/>
        <v>Without Amendment</v>
      </c>
      <c r="D7015" s="138" t="s">
        <v>130</v>
      </c>
      <c r="E7015" s="138" t="str">
        <f t="shared" si="529"/>
        <v>High</v>
      </c>
      <c r="F7015" s="138" t="str">
        <f t="shared" si="526"/>
        <v>Upgraded</v>
      </c>
      <c r="G7015" s="153"/>
      <c r="H7015" s="210">
        <v>0.14879999999999999</v>
      </c>
      <c r="I7015" s="160" t="s">
        <v>54</v>
      </c>
      <c r="J7015" s="160">
        <v>6.8000000000000005E-4</v>
      </c>
      <c r="K7015" s="160" t="s">
        <v>145</v>
      </c>
      <c r="L7015" s="154" t="str">
        <f>IF(OpenLCAbasic!K7015="CTUh", "Fill in Manually",IF(OR(K7015="Unit", K7015=""), "", INDEX(LookUps!$E$5:$E$12, MATCH(OpenLCAbasic!K7015,LookUps!$D$5:$D$12,0))))</f>
        <v>Particulate Matter Formation Potential (PMFP) - kg PM2.5 eq</v>
      </c>
      <c r="M7015" s="154" t="str">
        <f t="shared" si="527"/>
        <v>High_Base_Upgraded_Particulate Matter Formation Potential (PMFP) - kg PM2.5 eq_Clear Cove Primary Clarification; wastewater treatment unit; at updated plant - US_Without Amendment_Windrow</v>
      </c>
    </row>
    <row r="7016" spans="1:13" s="120" customFormat="1" x14ac:dyDescent="0.25">
      <c r="A7016" s="119"/>
      <c r="B7016" s="138" t="str">
        <f t="shared" ref="B7016:B7079" si="531">IF(F7016="Legacy","n.a.",IF(F7016="","","Windrow"))</f>
        <v>Windrow</v>
      </c>
      <c r="C7016" s="138" t="str">
        <f t="shared" si="528"/>
        <v>Without Amendment</v>
      </c>
      <c r="D7016" s="138" t="s">
        <v>130</v>
      </c>
      <c r="E7016" s="138" t="str">
        <f t="shared" si="529"/>
        <v>High</v>
      </c>
      <c r="F7016" s="138" t="str">
        <f t="shared" ref="F7016:F7079" si="532">IF(ISNUMBER(J7016),"Upgraded","")</f>
        <v>Upgraded</v>
      </c>
      <c r="G7016" s="153"/>
      <c r="H7016" s="210">
        <v>0.1285</v>
      </c>
      <c r="I7016" s="160" t="s">
        <v>58</v>
      </c>
      <c r="J7016" s="160">
        <v>5.9000000000000003E-4</v>
      </c>
      <c r="K7016" s="160" t="s">
        <v>145</v>
      </c>
      <c r="L7016" s="154" t="str">
        <f>IF(OpenLCAbasic!K7016="CTUh", "Fill in Manually",IF(OR(K7016="Unit", K7016=""), "", INDEX(LookUps!$E$5:$E$12, MATCH(OpenLCAbasic!K7016,LookUps!$D$5:$D$12,0))))</f>
        <v>Particulate Matter Formation Potential (PMFP) - kg PM2.5 eq</v>
      </c>
      <c r="M7016" s="154" t="str">
        <f t="shared" si="527"/>
        <v>High_Base_Upgraded_Particulate Matter Formation Potential (PMFP) - kg PM2.5 eq_Pre-Anoxic &amp; Swing tank; wastewater treatment unit; at updated plant - US_Without Amendment_Windrow</v>
      </c>
    </row>
    <row r="7017" spans="1:13" s="120" customFormat="1" x14ac:dyDescent="0.25">
      <c r="A7017" s="119"/>
      <c r="B7017" s="138" t="str">
        <f t="shared" si="531"/>
        <v>Windrow</v>
      </c>
      <c r="C7017" s="138" t="str">
        <f t="shared" si="528"/>
        <v>Without Amendment</v>
      </c>
      <c r="D7017" s="138" t="s">
        <v>130</v>
      </c>
      <c r="E7017" s="138" t="str">
        <f t="shared" si="529"/>
        <v>High</v>
      </c>
      <c r="F7017" s="138" t="str">
        <f t="shared" si="532"/>
        <v>Upgraded</v>
      </c>
      <c r="G7017" s="153"/>
      <c r="H7017" s="210">
        <v>0.1022</v>
      </c>
      <c r="I7017" s="160" t="s">
        <v>53</v>
      </c>
      <c r="J7017" s="160">
        <v>4.6999999999999999E-4</v>
      </c>
      <c r="K7017" s="160" t="s">
        <v>145</v>
      </c>
      <c r="L7017" s="154" t="str">
        <f>IF(OpenLCAbasic!K7017="CTUh", "Fill in Manually",IF(OR(K7017="Unit", K7017=""), "", INDEX(LookUps!$E$5:$E$12, MATCH(OpenLCAbasic!K7017,LookUps!$D$5:$D$12,0))))</f>
        <v>Particulate Matter Formation Potential (PMFP) - kg PM2.5 eq</v>
      </c>
      <c r="M7017" s="154" t="str">
        <f t="shared" si="527"/>
        <v>High_Base_Upgraded_Particulate Matter Formation Potential (PMFP) - kg PM2.5 eq_Wet Well and Sump Station; wastewater treatment unit; at updated plant - US_Without Amendment_Windrow</v>
      </c>
    </row>
    <row r="7018" spans="1:13" s="120" customFormat="1" x14ac:dyDescent="0.25">
      <c r="A7018" s="119"/>
      <c r="B7018" s="138" t="str">
        <f t="shared" si="531"/>
        <v>Windrow</v>
      </c>
      <c r="C7018" s="138" t="str">
        <f t="shared" si="528"/>
        <v>Without Amendment</v>
      </c>
      <c r="D7018" s="138" t="s">
        <v>130</v>
      </c>
      <c r="E7018" s="138" t="str">
        <f t="shared" si="529"/>
        <v>High</v>
      </c>
      <c r="F7018" s="138" t="str">
        <f t="shared" si="532"/>
        <v>Upgraded</v>
      </c>
      <c r="G7018" s="153"/>
      <c r="H7018" s="210">
        <v>6.5500000000000003E-2</v>
      </c>
      <c r="I7018" s="160" t="s">
        <v>167</v>
      </c>
      <c r="J7018" s="160">
        <v>2.9999999999999997E-4</v>
      </c>
      <c r="K7018" s="160" t="s">
        <v>145</v>
      </c>
      <c r="L7018" s="154" t="str">
        <f>IF(OpenLCAbasic!K7018="CTUh", "Fill in Manually",IF(OR(K7018="Unit", K7018=""), "", INDEX(LookUps!$E$5:$E$12, MATCH(OpenLCAbasic!K7018,LookUps!$D$5:$D$12,0))))</f>
        <v>Particulate Matter Formation Potential (PMFP) - kg PM2.5 eq</v>
      </c>
      <c r="M7018" s="154" t="str">
        <f t="shared" si="527"/>
        <v>High_Base_Upgraded_Particulate Matter Formation Potential (PMFP) - kg PM2.5 eq_Waste Receiving and Holding; wastewater treatment unit; at updated plant - US_Without Amendment_Windrow</v>
      </c>
    </row>
    <row r="7019" spans="1:13" s="120" customFormat="1" x14ac:dyDescent="0.25">
      <c r="A7019" s="119"/>
      <c r="B7019" s="138" t="str">
        <f t="shared" si="531"/>
        <v>Windrow</v>
      </c>
      <c r="C7019" s="138" t="str">
        <f t="shared" si="528"/>
        <v>Without Amendment</v>
      </c>
      <c r="D7019" s="138" t="s">
        <v>130</v>
      </c>
      <c r="E7019" s="138" t="str">
        <f t="shared" si="529"/>
        <v>High</v>
      </c>
      <c r="F7019" s="138" t="str">
        <f t="shared" si="532"/>
        <v>Upgraded</v>
      </c>
      <c r="G7019" s="153"/>
      <c r="H7019" s="210">
        <v>5.8400000000000001E-2</v>
      </c>
      <c r="I7019" s="160" t="s">
        <v>147</v>
      </c>
      <c r="J7019" s="160">
        <v>2.7E-4</v>
      </c>
      <c r="K7019" s="160" t="s">
        <v>145</v>
      </c>
      <c r="L7019" s="154" t="str">
        <f>IF(OpenLCAbasic!K7019="CTUh", "Fill in Manually",IF(OR(K7019="Unit", K7019=""), "", INDEX(LookUps!$E$5:$E$12, MATCH(OpenLCAbasic!K7019,LookUps!$D$5:$D$12,0))))</f>
        <v>Particulate Matter Formation Potential (PMFP) - kg PM2.5 eq</v>
      </c>
      <c r="M7019" s="154" t="str">
        <f t="shared" si="527"/>
        <v>High_Base_Upgraded_Particulate Matter Formation Potential (PMFP) - kg PM2.5 eq_Influent Pump Station; wastewater treatment unit; at updated plant - US_Without Amendment_Windrow</v>
      </c>
    </row>
    <row r="7020" spans="1:13" s="120" customFormat="1" x14ac:dyDescent="0.25">
      <c r="A7020" s="119"/>
      <c r="B7020" s="138" t="str">
        <f t="shared" si="531"/>
        <v>Windrow</v>
      </c>
      <c r="C7020" s="138" t="str">
        <f t="shared" si="528"/>
        <v>Without Amendment</v>
      </c>
      <c r="D7020" s="138" t="s">
        <v>130</v>
      </c>
      <c r="E7020" s="138" t="str">
        <f t="shared" si="529"/>
        <v>High</v>
      </c>
      <c r="F7020" s="138" t="str">
        <f t="shared" si="532"/>
        <v>Upgraded</v>
      </c>
      <c r="G7020" s="153"/>
      <c r="H7020" s="210">
        <v>5.45E-2</v>
      </c>
      <c r="I7020" s="160" t="s">
        <v>271</v>
      </c>
      <c r="J7020" s="160">
        <v>2.5000000000000001E-4</v>
      </c>
      <c r="K7020" s="160" t="s">
        <v>145</v>
      </c>
      <c r="L7020" s="154" t="str">
        <f>IF(OpenLCAbasic!K7020="CTUh", "Fill in Manually",IF(OR(K7020="Unit", K7020=""), "", INDEX(LookUps!$E$5:$E$12, MATCH(OpenLCAbasic!K7020,LookUps!$D$5:$D$12,0))))</f>
        <v>Particulate Matter Formation Potential (PMFP) - kg PM2.5 eq</v>
      </c>
      <c r="M7020" s="154" t="str">
        <f t="shared" si="527"/>
        <v>High_Base_Upgraded_Particulate Matter Formation Potential (PMFP) - kg PM2.5 eq_Biosolids composting; windrow composting; wastewater treatment unit; at updated plant - US_Without Amendment_Windrow</v>
      </c>
    </row>
    <row r="7021" spans="1:13" s="120" customFormat="1" x14ac:dyDescent="0.25">
      <c r="A7021" s="119"/>
      <c r="B7021" s="138" t="str">
        <f t="shared" si="531"/>
        <v>Windrow</v>
      </c>
      <c r="C7021" s="138" t="str">
        <f t="shared" si="528"/>
        <v>Without Amendment</v>
      </c>
      <c r="D7021" s="138" t="s">
        <v>130</v>
      </c>
      <c r="E7021" s="138" t="str">
        <f t="shared" si="529"/>
        <v>High</v>
      </c>
      <c r="F7021" s="138" t="str">
        <f t="shared" si="532"/>
        <v>Upgraded</v>
      </c>
      <c r="G7021" s="153"/>
      <c r="H7021" s="210">
        <v>3.6499999999999998E-2</v>
      </c>
      <c r="I7021" s="160" t="s">
        <v>128</v>
      </c>
      <c r="J7021" s="160">
        <v>1.7000000000000001E-4</v>
      </c>
      <c r="K7021" s="160" t="s">
        <v>145</v>
      </c>
      <c r="L7021" s="154" t="str">
        <f>IF(OpenLCAbasic!K7021="CTUh", "Fill in Manually",IF(OR(K7021="Unit", K7021=""), "", INDEX(LookUps!$E$5:$E$12, MATCH(OpenLCAbasic!K7021,LookUps!$D$5:$D$12,0))))</f>
        <v>Particulate Matter Formation Potential (PMFP) - kg PM2.5 eq</v>
      </c>
      <c r="M7021" s="154" t="str">
        <f t="shared" si="527"/>
        <v>High_Base_Upgraded_Particulate Matter Formation Potential (PMFP) - kg PM2.5 eq_Wastewater collection; operation and infrastructure; m3 wastewater_Without Amendment_Windrow</v>
      </c>
    </row>
    <row r="7022" spans="1:13" s="120" customFormat="1" x14ac:dyDescent="0.25">
      <c r="A7022" s="119"/>
      <c r="B7022" s="138" t="str">
        <f t="shared" si="531"/>
        <v>Windrow</v>
      </c>
      <c r="C7022" s="138" t="str">
        <f t="shared" si="528"/>
        <v>Without Amendment</v>
      </c>
      <c r="D7022" s="138" t="s">
        <v>130</v>
      </c>
      <c r="E7022" s="138" t="str">
        <f t="shared" si="529"/>
        <v>High</v>
      </c>
      <c r="F7022" s="138" t="str">
        <f t="shared" si="532"/>
        <v>Upgraded</v>
      </c>
      <c r="G7022" s="153"/>
      <c r="H7022" s="210">
        <v>2.29E-2</v>
      </c>
      <c r="I7022" s="160" t="s">
        <v>60</v>
      </c>
      <c r="J7022" s="160">
        <v>1E-4</v>
      </c>
      <c r="K7022" s="160" t="s">
        <v>145</v>
      </c>
      <c r="L7022" s="154" t="str">
        <f>IF(OpenLCAbasic!K7022="CTUh", "Fill in Manually",IF(OR(K7022="Unit", K7022=""), "", INDEX(LookUps!$E$5:$E$12, MATCH(OpenLCAbasic!K7022,LookUps!$D$5:$D$12,0))))</f>
        <v>Particulate Matter Formation Potential (PMFP) - kg PM2.5 eq</v>
      </c>
      <c r="M7022" s="154" t="str">
        <f t="shared" si="527"/>
        <v>High_Base_Upgraded_Particulate Matter Formation Potential (PMFP) - kg PM2.5 eq_Belt filter press; wastewater treatment unit; at updated plant - US_Without Amendment_Windrow</v>
      </c>
    </row>
    <row r="7023" spans="1:13" s="120" customFormat="1" x14ac:dyDescent="0.25">
      <c r="A7023" s="119"/>
      <c r="B7023" s="138" t="str">
        <f t="shared" si="531"/>
        <v>Windrow</v>
      </c>
      <c r="C7023" s="138" t="str">
        <f t="shared" si="528"/>
        <v>Without Amendment</v>
      </c>
      <c r="D7023" s="138" t="s">
        <v>130</v>
      </c>
      <c r="E7023" s="138" t="str">
        <f t="shared" si="529"/>
        <v>High</v>
      </c>
      <c r="F7023" s="138" t="str">
        <f t="shared" si="532"/>
        <v>Upgraded</v>
      </c>
      <c r="G7023" s="153"/>
      <c r="H7023" s="210">
        <v>2.0799999999999999E-2</v>
      </c>
      <c r="I7023" s="160" t="s">
        <v>57</v>
      </c>
      <c r="J7023" s="211">
        <v>9.5153800000000004E-5</v>
      </c>
      <c r="K7023" s="160" t="s">
        <v>145</v>
      </c>
      <c r="L7023" s="154" t="str">
        <f>IF(OpenLCAbasic!K7023="CTUh", "Fill in Manually",IF(OR(K7023="Unit", K7023=""), "", INDEX(LookUps!$E$5:$E$12, MATCH(OpenLCAbasic!K7023,LookUps!$D$5:$D$12,0))))</f>
        <v>Particulate Matter Formation Potential (PMFP) - kg PM2.5 eq</v>
      </c>
      <c r="M7023" s="154" t="str">
        <f t="shared" si="527"/>
        <v>High_Base_Upgraded_Particulate Matter Formation Potential (PMFP) - kg PM2.5 eq_Gravity Belt Thickener; wastewater treatment unit; at updated plant - US_Without Amendment_Windrow</v>
      </c>
    </row>
    <row r="7024" spans="1:13" s="120" customFormat="1" x14ac:dyDescent="0.25">
      <c r="A7024" s="119"/>
      <c r="B7024" s="138" t="str">
        <f t="shared" si="531"/>
        <v>Windrow</v>
      </c>
      <c r="C7024" s="138" t="str">
        <f t="shared" si="528"/>
        <v>Without Amendment</v>
      </c>
      <c r="D7024" s="138" t="s">
        <v>130</v>
      </c>
      <c r="E7024" s="138" t="str">
        <f t="shared" si="529"/>
        <v>High</v>
      </c>
      <c r="F7024" s="138" t="str">
        <f t="shared" si="532"/>
        <v>Upgraded</v>
      </c>
      <c r="G7024" s="153"/>
      <c r="H7024" s="210">
        <v>1.5299999999999999E-2</v>
      </c>
      <c r="I7024" s="160" t="s">
        <v>59</v>
      </c>
      <c r="J7024" s="211">
        <v>6.9942200000000003E-5</v>
      </c>
      <c r="K7024" s="160" t="s">
        <v>145</v>
      </c>
      <c r="L7024" s="154" t="str">
        <f>IF(OpenLCAbasic!K7024="CTUh", "Fill in Manually",IF(OR(K7024="Unit", K7024=""), "", INDEX(LookUps!$E$5:$E$12, MATCH(OpenLCAbasic!K7024,LookUps!$D$5:$D$12,0))))</f>
        <v>Particulate Matter Formation Potential (PMFP) - kg PM2.5 eq</v>
      </c>
      <c r="M7024" s="154" t="str">
        <f t="shared" si="527"/>
        <v>High_Base_Upgraded_Particulate Matter Formation Potential (PMFP) - kg PM2.5 eq_Blend Tank; wastewater treatment unit; at updated plant - US_Without Amendment_Windrow</v>
      </c>
    </row>
    <row r="7025" spans="1:13" s="120" customFormat="1" x14ac:dyDescent="0.25">
      <c r="A7025" s="119"/>
      <c r="B7025" s="138" t="str">
        <f t="shared" si="531"/>
        <v>Windrow</v>
      </c>
      <c r="C7025" s="138" t="str">
        <f t="shared" si="528"/>
        <v>Without Amendment</v>
      </c>
      <c r="D7025" s="138" t="s">
        <v>130</v>
      </c>
      <c r="E7025" s="138" t="str">
        <f t="shared" si="529"/>
        <v>High</v>
      </c>
      <c r="F7025" s="138" t="str">
        <f t="shared" si="532"/>
        <v>Upgraded</v>
      </c>
      <c r="G7025" s="153"/>
      <c r="H7025" s="210">
        <v>1.09E-2</v>
      </c>
      <c r="I7025" s="160" t="s">
        <v>48</v>
      </c>
      <c r="J7025" s="211">
        <v>4.99741E-5</v>
      </c>
      <c r="K7025" s="160" t="s">
        <v>145</v>
      </c>
      <c r="L7025" s="154" t="str">
        <f>IF(OpenLCAbasic!K7025="CTUh", "Fill in Manually",IF(OR(K7025="Unit", K7025=""), "", INDEX(LookUps!$E$5:$E$12, MATCH(OpenLCAbasic!K7025,LookUps!$D$5:$D$12,0))))</f>
        <v>Particulate Matter Formation Potential (PMFP) - kg PM2.5 eq</v>
      </c>
      <c r="M7025" s="154" t="str">
        <f t="shared" si="527"/>
        <v>High_Base_Upgraded_Particulate Matter Formation Potential (PMFP) - kg PM2.5 eq_Effluent release; wastewater treatment unit; at surface water; m3 wastewater - US_Without Amendment_Windrow</v>
      </c>
    </row>
    <row r="7026" spans="1:13" s="120" customFormat="1" x14ac:dyDescent="0.25">
      <c r="A7026" s="119"/>
      <c r="B7026" s="138" t="str">
        <f t="shared" si="531"/>
        <v>Windrow</v>
      </c>
      <c r="C7026" s="138" t="str">
        <f t="shared" si="528"/>
        <v>Without Amendment</v>
      </c>
      <c r="D7026" s="138" t="s">
        <v>130</v>
      </c>
      <c r="E7026" s="138" t="str">
        <f t="shared" si="529"/>
        <v>High</v>
      </c>
      <c r="F7026" s="138" t="str">
        <f t="shared" si="532"/>
        <v>Upgraded</v>
      </c>
      <c r="G7026" s="153"/>
      <c r="H7026" s="210">
        <v>7.6E-3</v>
      </c>
      <c r="I7026" s="160" t="s">
        <v>168</v>
      </c>
      <c r="J7026" s="211">
        <v>3.4562199999999999E-5</v>
      </c>
      <c r="K7026" s="160" t="s">
        <v>145</v>
      </c>
      <c r="L7026" s="154" t="str">
        <f>IF(OpenLCAbasic!K7026="CTUh", "Fill in Manually",IF(OR(K7026="Unit", K7026=""), "", INDEX(LookUps!$E$5:$E$12, MATCH(OpenLCAbasic!K7026,LookUps!$D$5:$D$12,0))))</f>
        <v>Particulate Matter Formation Potential (PMFP) - kg PM2.5 eq</v>
      </c>
      <c r="M7026" s="154" t="str">
        <f t="shared" si="527"/>
        <v>High_Base_Upgraded_Particulate Matter Formation Potential (PMFP) - kg PM2.5 eq_ClearCove SCP; wastewater treatment unit; at updated plant - US_Without Amendment_Windrow</v>
      </c>
    </row>
    <row r="7027" spans="1:13" s="120" customFormat="1" x14ac:dyDescent="0.25">
      <c r="A7027" s="119"/>
      <c r="B7027" s="138" t="str">
        <f t="shared" si="531"/>
        <v>Windrow</v>
      </c>
      <c r="C7027" s="138" t="str">
        <f t="shared" si="528"/>
        <v>Without Amendment</v>
      </c>
      <c r="D7027" s="138" t="s">
        <v>130</v>
      </c>
      <c r="E7027" s="138" t="str">
        <f t="shared" si="529"/>
        <v>High</v>
      </c>
      <c r="F7027" s="138" t="str">
        <f t="shared" si="532"/>
        <v>Upgraded</v>
      </c>
      <c r="G7027" s="153"/>
      <c r="H7027" s="210">
        <v>5.1999999999999998E-3</v>
      </c>
      <c r="I7027" s="160" t="s">
        <v>62</v>
      </c>
      <c r="J7027" s="211">
        <v>2.3547999999999999E-5</v>
      </c>
      <c r="K7027" s="160" t="s">
        <v>145</v>
      </c>
      <c r="L7027" s="154" t="str">
        <f>IF(OpenLCAbasic!K7027="CTUh", "Fill in Manually",IF(OR(K7027="Unit", K7027=""), "", INDEX(LookUps!$E$5:$E$12, MATCH(OpenLCAbasic!K7027,LookUps!$D$5:$D$12,0))))</f>
        <v>Particulate Matter Formation Potential (PMFP) - kg PM2.5 eq</v>
      </c>
      <c r="M7027" s="154" t="str">
        <f t="shared" si="527"/>
        <v>High_Base_Upgraded_Particulate Matter Formation Potential (PMFP) - kg PM2.5 eq_Land application of compost; wastewater treatment unit; at updated plant - US_Without Amendment_Windrow</v>
      </c>
    </row>
    <row r="7028" spans="1:13" s="120" customFormat="1" x14ac:dyDescent="0.25">
      <c r="A7028" s="119"/>
      <c r="B7028" s="138" t="str">
        <f t="shared" si="531"/>
        <v>Windrow</v>
      </c>
      <c r="C7028" s="138" t="str">
        <f t="shared" si="528"/>
        <v>Without Amendment</v>
      </c>
      <c r="D7028" s="138" t="s">
        <v>130</v>
      </c>
      <c r="E7028" s="138" t="str">
        <f t="shared" si="529"/>
        <v>High</v>
      </c>
      <c r="F7028" s="138" t="str">
        <f t="shared" si="532"/>
        <v>Upgraded</v>
      </c>
      <c r="G7028" s="153"/>
      <c r="H7028" s="210">
        <v>1.9E-3</v>
      </c>
      <c r="I7028" s="160" t="s">
        <v>148</v>
      </c>
      <c r="J7028" s="211">
        <v>8.8212999999999997E-6</v>
      </c>
      <c r="K7028" s="160" t="s">
        <v>145</v>
      </c>
      <c r="L7028" s="154" t="str">
        <f>IF(OpenLCAbasic!K7028="CTUh", "Fill in Manually",IF(OR(K7028="Unit", K7028=""), "", INDEX(LookUps!$E$5:$E$12, MATCH(OpenLCAbasic!K7028,LookUps!$D$5:$D$12,0))))</f>
        <v>Particulate Matter Formation Potential (PMFP) - kg PM2.5 eq</v>
      </c>
      <c r="M7028" s="154" t="str">
        <f t="shared" si="527"/>
        <v>High_Base_Upgraded_Particulate Matter Formation Potential (PMFP) - kg PM2.5 eq_Control Building; at upgraded wastewater treatment plant - US_Without Amendment_Windrow</v>
      </c>
    </row>
    <row r="7029" spans="1:13" s="120" customFormat="1" x14ac:dyDescent="0.25">
      <c r="A7029" s="119"/>
      <c r="B7029" s="138" t="str">
        <f t="shared" si="531"/>
        <v>Windrow</v>
      </c>
      <c r="C7029" s="138" t="str">
        <f t="shared" si="528"/>
        <v>Without Amendment</v>
      </c>
      <c r="D7029" s="138" t="s">
        <v>130</v>
      </c>
      <c r="E7029" s="138" t="str">
        <f t="shared" si="529"/>
        <v>High</v>
      </c>
      <c r="F7029" s="138" t="str">
        <f t="shared" si="532"/>
        <v>Upgraded</v>
      </c>
      <c r="G7029" s="153"/>
      <c r="H7029" s="210">
        <v>-0.19040000000000001</v>
      </c>
      <c r="I7029" s="160" t="s">
        <v>149</v>
      </c>
      <c r="J7029" s="160">
        <v>-8.7000000000000001E-4</v>
      </c>
      <c r="K7029" s="160" t="s">
        <v>145</v>
      </c>
      <c r="L7029" s="154" t="str">
        <f>IF(OpenLCAbasic!K7029="CTUh", "Fill in Manually",IF(OR(K7029="Unit", K7029=""), "", INDEX(LookUps!$E$5:$E$12, MATCH(OpenLCAbasic!K7029,LookUps!$D$5:$D$12,0))))</f>
        <v>Particulate Matter Formation Potential (PMFP) - kg PM2.5 eq</v>
      </c>
      <c r="M7029" s="154" t="str">
        <f t="shared" si="527"/>
        <v>High_Base_Upgraded_Particulate Matter Formation Potential (PMFP) - kg PM2.5 eq_Anaerobic Digestion; wastewater treatment unit; at updated plant - US_Without Amendment_Windrow</v>
      </c>
    </row>
    <row r="7030" spans="1:13" s="120" customFormat="1" x14ac:dyDescent="0.25">
      <c r="A7030" s="119"/>
      <c r="B7030" s="138" t="str">
        <f t="shared" si="531"/>
        <v/>
      </c>
      <c r="C7030" s="138" t="str">
        <f t="shared" si="528"/>
        <v/>
      </c>
      <c r="D7030" s="138" t="str">
        <f t="shared" si="530"/>
        <v/>
      </c>
      <c r="E7030" s="138" t="str">
        <f t="shared" si="529"/>
        <v/>
      </c>
      <c r="F7030" s="138" t="str">
        <f t="shared" si="532"/>
        <v/>
      </c>
      <c r="G7030" s="153" t="s">
        <v>51</v>
      </c>
      <c r="H7030" s="160"/>
      <c r="I7030" s="160" t="s">
        <v>47</v>
      </c>
      <c r="J7030" s="160" t="s">
        <v>52</v>
      </c>
      <c r="K7030" s="160" t="s">
        <v>27</v>
      </c>
      <c r="L7030" s="154" t="str">
        <f>IF(OpenLCAbasic!K7030="CTUh", "Fill in Manually",IF(OR(K7030="Unit", K7030=""), "", INDEX(LookUps!$E$5:$E$12, MATCH(OpenLCAbasic!K7030,LookUps!$D$5:$D$12,0))))</f>
        <v/>
      </c>
      <c r="M7030" s="154" t="str">
        <f t="shared" si="527"/>
        <v>____Process__</v>
      </c>
    </row>
    <row r="7031" spans="1:13" s="120" customFormat="1" x14ac:dyDescent="0.25">
      <c r="A7031" s="119"/>
      <c r="B7031" s="138" t="str">
        <f t="shared" si="531"/>
        <v>Windrow</v>
      </c>
      <c r="C7031" s="138" t="str">
        <f t="shared" si="528"/>
        <v>Without Amendment</v>
      </c>
      <c r="D7031" s="138" t="s">
        <v>130</v>
      </c>
      <c r="E7031" s="138" t="str">
        <f t="shared" si="529"/>
        <v>High</v>
      </c>
      <c r="F7031" s="138" t="str">
        <f t="shared" si="532"/>
        <v>Upgraded</v>
      </c>
      <c r="G7031" s="153"/>
      <c r="H7031" s="210">
        <v>0.5343</v>
      </c>
      <c r="I7031" s="160" t="s">
        <v>55</v>
      </c>
      <c r="J7031" s="160">
        <v>0.16577</v>
      </c>
      <c r="K7031" s="160" t="s">
        <v>25</v>
      </c>
      <c r="L7031" s="154" t="str">
        <f>IF(OpenLCAbasic!K7031="CTUh", "Fill in Manually",IF(OR(K7031="Unit", K7031=""), "", INDEX(LookUps!$E$5:$E$12, MATCH(OpenLCAbasic!K7031,LookUps!$D$5:$D$12,0))))</f>
        <v>Smog Formation Potential (SFP) - kg O3 eq</v>
      </c>
      <c r="M7031" s="154" t="str">
        <f t="shared" si="527"/>
        <v>High_Base_Upgraded_Smog Formation Potential (SFP) - kg O3 eq_Aeration Tanks; wastewater treatment unit; at updated plant - US_Without Amendment_Windrow</v>
      </c>
    </row>
    <row r="7032" spans="1:13" s="120" customFormat="1" x14ac:dyDescent="0.25">
      <c r="A7032" s="119"/>
      <c r="B7032" s="138" t="str">
        <f t="shared" si="531"/>
        <v>Windrow</v>
      </c>
      <c r="C7032" s="138" t="str">
        <f t="shared" si="528"/>
        <v>Without Amendment</v>
      </c>
      <c r="D7032" s="138" t="s">
        <v>130</v>
      </c>
      <c r="E7032" s="138" t="str">
        <f t="shared" si="529"/>
        <v>High</v>
      </c>
      <c r="F7032" s="138" t="str">
        <f t="shared" si="532"/>
        <v>Upgraded</v>
      </c>
      <c r="G7032" s="153"/>
      <c r="H7032" s="210">
        <v>0.15490000000000001</v>
      </c>
      <c r="I7032" s="160" t="s">
        <v>54</v>
      </c>
      <c r="J7032" s="160">
        <v>4.8070000000000002E-2</v>
      </c>
      <c r="K7032" s="160" t="s">
        <v>25</v>
      </c>
      <c r="L7032" s="154" t="str">
        <f>IF(OpenLCAbasic!K7032="CTUh", "Fill in Manually",IF(OR(K7032="Unit", K7032=""), "", INDEX(LookUps!$E$5:$E$12, MATCH(OpenLCAbasic!K7032,LookUps!$D$5:$D$12,0))))</f>
        <v>Smog Formation Potential (SFP) - kg O3 eq</v>
      </c>
      <c r="M7032" s="154" t="str">
        <f t="shared" si="527"/>
        <v>High_Base_Upgraded_Smog Formation Potential (SFP) - kg O3 eq_Clear Cove Primary Clarification; wastewater treatment unit; at updated plant - US_Without Amendment_Windrow</v>
      </c>
    </row>
    <row r="7033" spans="1:13" s="120" customFormat="1" x14ac:dyDescent="0.25">
      <c r="A7033" s="119"/>
      <c r="B7033" s="138" t="str">
        <f t="shared" si="531"/>
        <v>Windrow</v>
      </c>
      <c r="C7033" s="138" t="str">
        <f t="shared" si="528"/>
        <v>Without Amendment</v>
      </c>
      <c r="D7033" s="138" t="s">
        <v>130</v>
      </c>
      <c r="E7033" s="138" t="str">
        <f t="shared" si="529"/>
        <v>High</v>
      </c>
      <c r="F7033" s="138" t="str">
        <f t="shared" si="532"/>
        <v>Upgraded</v>
      </c>
      <c r="G7033" s="153"/>
      <c r="H7033" s="210">
        <v>0.13469999999999999</v>
      </c>
      <c r="I7033" s="160" t="s">
        <v>58</v>
      </c>
      <c r="J7033" s="160">
        <v>4.1779999999999998E-2</v>
      </c>
      <c r="K7033" s="160" t="s">
        <v>25</v>
      </c>
      <c r="L7033" s="154" t="str">
        <f>IF(OpenLCAbasic!K7033="CTUh", "Fill in Manually",IF(OR(K7033="Unit", K7033=""), "", INDEX(LookUps!$E$5:$E$12, MATCH(OpenLCAbasic!K7033,LookUps!$D$5:$D$12,0))))</f>
        <v>Smog Formation Potential (SFP) - kg O3 eq</v>
      </c>
      <c r="M7033" s="154" t="str">
        <f t="shared" si="527"/>
        <v>High_Base_Upgraded_Smog Formation Potential (SFP) - kg O3 eq_Pre-Anoxic &amp; Swing tank; wastewater treatment unit; at updated plant - US_Without Amendment_Windrow</v>
      </c>
    </row>
    <row r="7034" spans="1:13" s="120" customFormat="1" x14ac:dyDescent="0.25">
      <c r="A7034" s="119"/>
      <c r="B7034" s="138" t="str">
        <f t="shared" si="531"/>
        <v>Windrow</v>
      </c>
      <c r="C7034" s="138" t="str">
        <f t="shared" si="528"/>
        <v>Without Amendment</v>
      </c>
      <c r="D7034" s="138" t="s">
        <v>130</v>
      </c>
      <c r="E7034" s="138" t="str">
        <f t="shared" si="529"/>
        <v>High</v>
      </c>
      <c r="F7034" s="138" t="str">
        <f t="shared" si="532"/>
        <v>Upgraded</v>
      </c>
      <c r="G7034" s="153"/>
      <c r="H7034" s="210">
        <v>0.10680000000000001</v>
      </c>
      <c r="I7034" s="160" t="s">
        <v>53</v>
      </c>
      <c r="J7034" s="160">
        <v>3.313E-2</v>
      </c>
      <c r="K7034" s="160" t="s">
        <v>25</v>
      </c>
      <c r="L7034" s="154" t="str">
        <f>IF(OpenLCAbasic!K7034="CTUh", "Fill in Manually",IF(OR(K7034="Unit", K7034=""), "", INDEX(LookUps!$E$5:$E$12, MATCH(OpenLCAbasic!K7034,LookUps!$D$5:$D$12,0))))</f>
        <v>Smog Formation Potential (SFP) - kg O3 eq</v>
      </c>
      <c r="M7034" s="154" t="str">
        <f t="shared" si="527"/>
        <v>High_Base_Upgraded_Smog Formation Potential (SFP) - kg O3 eq_Wet Well and Sump Station; wastewater treatment unit; at updated plant - US_Without Amendment_Windrow</v>
      </c>
    </row>
    <row r="7035" spans="1:13" s="120" customFormat="1" x14ac:dyDescent="0.25">
      <c r="A7035" s="119"/>
      <c r="B7035" s="138" t="str">
        <f t="shared" si="531"/>
        <v>Windrow</v>
      </c>
      <c r="C7035" s="138" t="str">
        <f t="shared" si="528"/>
        <v>Without Amendment</v>
      </c>
      <c r="D7035" s="138" t="s">
        <v>130</v>
      </c>
      <c r="E7035" s="138" t="str">
        <f t="shared" si="529"/>
        <v>High</v>
      </c>
      <c r="F7035" s="138" t="str">
        <f t="shared" si="532"/>
        <v>Upgraded</v>
      </c>
      <c r="G7035" s="153"/>
      <c r="H7035" s="210">
        <v>9.01E-2</v>
      </c>
      <c r="I7035" s="160" t="s">
        <v>167</v>
      </c>
      <c r="J7035" s="160">
        <v>2.7949999999999999E-2</v>
      </c>
      <c r="K7035" s="160" t="s">
        <v>25</v>
      </c>
      <c r="L7035" s="154" t="str">
        <f>IF(OpenLCAbasic!K7035="CTUh", "Fill in Manually",IF(OR(K7035="Unit", K7035=""), "", INDEX(LookUps!$E$5:$E$12, MATCH(OpenLCAbasic!K7035,LookUps!$D$5:$D$12,0))))</f>
        <v>Smog Formation Potential (SFP) - kg O3 eq</v>
      </c>
      <c r="M7035" s="154" t="str">
        <f t="shared" ref="M7035:M7098" si="533">CONCATENATE(E7035,"_",D7035,"_",F7035,"_",L7035, "_",I7035,"_", C7035,"_", B7035)</f>
        <v>High_Base_Upgraded_Smog Formation Potential (SFP) - kg O3 eq_Waste Receiving and Holding; wastewater treatment unit; at updated plant - US_Without Amendment_Windrow</v>
      </c>
    </row>
    <row r="7036" spans="1:13" s="120" customFormat="1" x14ac:dyDescent="0.25">
      <c r="A7036" s="119"/>
      <c r="B7036" s="138" t="str">
        <f t="shared" si="531"/>
        <v>Windrow</v>
      </c>
      <c r="C7036" s="138" t="str">
        <f t="shared" si="528"/>
        <v>Without Amendment</v>
      </c>
      <c r="D7036" s="138" t="s">
        <v>130</v>
      </c>
      <c r="E7036" s="138" t="str">
        <f t="shared" si="529"/>
        <v>High</v>
      </c>
      <c r="F7036" s="138" t="str">
        <f t="shared" si="532"/>
        <v>Upgraded</v>
      </c>
      <c r="G7036" s="153"/>
      <c r="H7036" s="210">
        <v>6.25E-2</v>
      </c>
      <c r="I7036" s="160" t="s">
        <v>147</v>
      </c>
      <c r="J7036" s="160">
        <v>1.9400000000000001E-2</v>
      </c>
      <c r="K7036" s="160" t="s">
        <v>25</v>
      </c>
      <c r="L7036" s="154" t="str">
        <f>IF(OpenLCAbasic!K7036="CTUh", "Fill in Manually",IF(OR(K7036="Unit", K7036=""), "", INDEX(LookUps!$E$5:$E$12, MATCH(OpenLCAbasic!K7036,LookUps!$D$5:$D$12,0))))</f>
        <v>Smog Formation Potential (SFP) - kg O3 eq</v>
      </c>
      <c r="M7036" s="154" t="str">
        <f t="shared" si="533"/>
        <v>High_Base_Upgraded_Smog Formation Potential (SFP) - kg O3 eq_Influent Pump Station; wastewater treatment unit; at updated plant - US_Without Amendment_Windrow</v>
      </c>
    </row>
    <row r="7037" spans="1:13" s="120" customFormat="1" x14ac:dyDescent="0.25">
      <c r="A7037" s="119"/>
      <c r="B7037" s="138" t="str">
        <f t="shared" si="531"/>
        <v>Windrow</v>
      </c>
      <c r="C7037" s="138" t="str">
        <f t="shared" si="528"/>
        <v>Without Amendment</v>
      </c>
      <c r="D7037" s="138" t="s">
        <v>130</v>
      </c>
      <c r="E7037" s="138" t="str">
        <f t="shared" si="529"/>
        <v>High</v>
      </c>
      <c r="F7037" s="138" t="str">
        <f t="shared" si="532"/>
        <v>Upgraded</v>
      </c>
      <c r="G7037" s="153"/>
      <c r="H7037" s="210">
        <v>3.8399999999999997E-2</v>
      </c>
      <c r="I7037" s="160" t="s">
        <v>128</v>
      </c>
      <c r="J7037" s="160">
        <v>1.192E-2</v>
      </c>
      <c r="K7037" s="160" t="s">
        <v>25</v>
      </c>
      <c r="L7037" s="154" t="str">
        <f>IF(OpenLCAbasic!K7037="CTUh", "Fill in Manually",IF(OR(K7037="Unit", K7037=""), "", INDEX(LookUps!$E$5:$E$12, MATCH(OpenLCAbasic!K7037,LookUps!$D$5:$D$12,0))))</f>
        <v>Smog Formation Potential (SFP) - kg O3 eq</v>
      </c>
      <c r="M7037" s="154" t="str">
        <f t="shared" si="533"/>
        <v>High_Base_Upgraded_Smog Formation Potential (SFP) - kg O3 eq_Wastewater collection; operation and infrastructure; m3 wastewater_Without Amendment_Windrow</v>
      </c>
    </row>
    <row r="7038" spans="1:13" s="120" customFormat="1" x14ac:dyDescent="0.25">
      <c r="A7038" s="119"/>
      <c r="B7038" s="138" t="str">
        <f t="shared" si="531"/>
        <v>Windrow</v>
      </c>
      <c r="C7038" s="138" t="str">
        <f t="shared" si="528"/>
        <v>Without Amendment</v>
      </c>
      <c r="D7038" s="138" t="s">
        <v>130</v>
      </c>
      <c r="E7038" s="138" t="str">
        <f t="shared" si="529"/>
        <v>High</v>
      </c>
      <c r="F7038" s="138" t="str">
        <f t="shared" si="532"/>
        <v>Upgraded</v>
      </c>
      <c r="G7038" s="153"/>
      <c r="H7038" s="210">
        <v>2.3699999999999999E-2</v>
      </c>
      <c r="I7038" s="160" t="s">
        <v>60</v>
      </c>
      <c r="J7038" s="160">
        <v>7.3499999999999998E-3</v>
      </c>
      <c r="K7038" s="160" t="s">
        <v>25</v>
      </c>
      <c r="L7038" s="154" t="str">
        <f>IF(OpenLCAbasic!K7038="CTUh", "Fill in Manually",IF(OR(K7038="Unit", K7038=""), "", INDEX(LookUps!$E$5:$E$12, MATCH(OpenLCAbasic!K7038,LookUps!$D$5:$D$12,0))))</f>
        <v>Smog Formation Potential (SFP) - kg O3 eq</v>
      </c>
      <c r="M7038" s="154" t="str">
        <f t="shared" si="533"/>
        <v>High_Base_Upgraded_Smog Formation Potential (SFP) - kg O3 eq_Belt filter press; wastewater treatment unit; at updated plant - US_Without Amendment_Windrow</v>
      </c>
    </row>
    <row r="7039" spans="1:13" s="120" customFormat="1" x14ac:dyDescent="0.25">
      <c r="A7039" s="119"/>
      <c r="B7039" s="138" t="str">
        <f t="shared" si="531"/>
        <v>Windrow</v>
      </c>
      <c r="C7039" s="138" t="str">
        <f t="shared" si="528"/>
        <v>Without Amendment</v>
      </c>
      <c r="D7039" s="138" t="s">
        <v>130</v>
      </c>
      <c r="E7039" s="138" t="str">
        <f t="shared" si="529"/>
        <v>High</v>
      </c>
      <c r="F7039" s="138" t="str">
        <f t="shared" si="532"/>
        <v>Upgraded</v>
      </c>
      <c r="G7039" s="153"/>
      <c r="H7039" s="210">
        <v>2.1399999999999999E-2</v>
      </c>
      <c r="I7039" s="160" t="s">
        <v>57</v>
      </c>
      <c r="J7039" s="160">
        <v>6.6499999999999997E-3</v>
      </c>
      <c r="K7039" s="160" t="s">
        <v>25</v>
      </c>
      <c r="L7039" s="154" t="str">
        <f>IF(OpenLCAbasic!K7039="CTUh", "Fill in Manually",IF(OR(K7039="Unit", K7039=""), "", INDEX(LookUps!$E$5:$E$12, MATCH(OpenLCAbasic!K7039,LookUps!$D$5:$D$12,0))))</f>
        <v>Smog Formation Potential (SFP) - kg O3 eq</v>
      </c>
      <c r="M7039" s="154" t="str">
        <f t="shared" si="533"/>
        <v>High_Base_Upgraded_Smog Formation Potential (SFP) - kg O3 eq_Gravity Belt Thickener; wastewater treatment unit; at updated plant - US_Without Amendment_Windrow</v>
      </c>
    </row>
    <row r="7040" spans="1:13" s="120" customFormat="1" x14ac:dyDescent="0.25">
      <c r="A7040" s="119"/>
      <c r="B7040" s="138" t="str">
        <f t="shared" si="531"/>
        <v>Windrow</v>
      </c>
      <c r="C7040" s="138" t="str">
        <f t="shared" si="528"/>
        <v>Without Amendment</v>
      </c>
      <c r="D7040" s="138" t="s">
        <v>130</v>
      </c>
      <c r="E7040" s="138" t="str">
        <f t="shared" si="529"/>
        <v>High</v>
      </c>
      <c r="F7040" s="138" t="str">
        <f t="shared" si="532"/>
        <v>Upgraded</v>
      </c>
      <c r="G7040" s="153"/>
      <c r="H7040" s="210">
        <v>1.6E-2</v>
      </c>
      <c r="I7040" s="160" t="s">
        <v>59</v>
      </c>
      <c r="J7040" s="160">
        <v>4.9699999999999996E-3</v>
      </c>
      <c r="K7040" s="160" t="s">
        <v>25</v>
      </c>
      <c r="L7040" s="154" t="str">
        <f>IF(OpenLCAbasic!K7040="CTUh", "Fill in Manually",IF(OR(K7040="Unit", K7040=""), "", INDEX(LookUps!$E$5:$E$12, MATCH(OpenLCAbasic!K7040,LookUps!$D$5:$D$12,0))))</f>
        <v>Smog Formation Potential (SFP) - kg O3 eq</v>
      </c>
      <c r="M7040" s="154" t="str">
        <f t="shared" si="533"/>
        <v>High_Base_Upgraded_Smog Formation Potential (SFP) - kg O3 eq_Blend Tank; wastewater treatment unit; at updated plant - US_Without Amendment_Windrow</v>
      </c>
    </row>
    <row r="7041" spans="1:13" s="120" customFormat="1" x14ac:dyDescent="0.25">
      <c r="A7041" s="119"/>
      <c r="B7041" s="138" t="str">
        <f t="shared" si="531"/>
        <v>Windrow</v>
      </c>
      <c r="C7041" s="138" t="str">
        <f t="shared" ref="C7041:C7104" si="534">IF(ISNUMBER($J7041),"Without Amendment","")</f>
        <v>Without Amendment</v>
      </c>
      <c r="D7041" s="138" t="s">
        <v>130</v>
      </c>
      <c r="E7041" s="138" t="str">
        <f t="shared" si="529"/>
        <v>High</v>
      </c>
      <c r="F7041" s="138" t="str">
        <f t="shared" si="532"/>
        <v>Upgraded</v>
      </c>
      <c r="G7041" s="153"/>
      <c r="H7041" s="210">
        <v>1.09E-2</v>
      </c>
      <c r="I7041" s="160" t="s">
        <v>48</v>
      </c>
      <c r="J7041" s="160">
        <v>3.3899999999999998E-3</v>
      </c>
      <c r="K7041" s="160" t="s">
        <v>25</v>
      </c>
      <c r="L7041" s="154" t="str">
        <f>IF(OpenLCAbasic!K7041="CTUh", "Fill in Manually",IF(OR(K7041="Unit", K7041=""), "", INDEX(LookUps!$E$5:$E$12, MATCH(OpenLCAbasic!K7041,LookUps!$D$5:$D$12,0))))</f>
        <v>Smog Formation Potential (SFP) - kg O3 eq</v>
      </c>
      <c r="M7041" s="154" t="str">
        <f t="shared" si="533"/>
        <v>High_Base_Upgraded_Smog Formation Potential (SFP) - kg O3 eq_Effluent release; wastewater treatment unit; at surface water; m3 wastewater - US_Without Amendment_Windrow</v>
      </c>
    </row>
    <row r="7042" spans="1:13" s="120" customFormat="1" x14ac:dyDescent="0.25">
      <c r="A7042" s="119"/>
      <c r="B7042" s="138" t="str">
        <f t="shared" si="531"/>
        <v>Windrow</v>
      </c>
      <c r="C7042" s="138" t="str">
        <f t="shared" si="534"/>
        <v>Without Amendment</v>
      </c>
      <c r="D7042" s="138" t="s">
        <v>130</v>
      </c>
      <c r="E7042" s="138" t="str">
        <f t="shared" si="529"/>
        <v>High</v>
      </c>
      <c r="F7042" s="138" t="str">
        <f t="shared" si="532"/>
        <v>Upgraded</v>
      </c>
      <c r="G7042" s="153"/>
      <c r="H7042" s="210">
        <v>7.9000000000000008E-3</v>
      </c>
      <c r="I7042" s="160" t="s">
        <v>168</v>
      </c>
      <c r="J7042" s="160">
        <v>2.4599999999999999E-3</v>
      </c>
      <c r="K7042" s="160" t="s">
        <v>25</v>
      </c>
      <c r="L7042" s="154" t="str">
        <f>IF(OpenLCAbasic!K7042="CTUh", "Fill in Manually",IF(OR(K7042="Unit", K7042=""), "", INDEX(LookUps!$E$5:$E$12, MATCH(OpenLCAbasic!K7042,LookUps!$D$5:$D$12,0))))</f>
        <v>Smog Formation Potential (SFP) - kg O3 eq</v>
      </c>
      <c r="M7042" s="154" t="str">
        <f t="shared" si="533"/>
        <v>High_Base_Upgraded_Smog Formation Potential (SFP) - kg O3 eq_ClearCove SCP; wastewater treatment unit; at updated plant - US_Without Amendment_Windrow</v>
      </c>
    </row>
    <row r="7043" spans="1:13" s="120" customFormat="1" x14ac:dyDescent="0.25">
      <c r="A7043" s="119"/>
      <c r="B7043" s="138" t="str">
        <f t="shared" si="531"/>
        <v>Windrow</v>
      </c>
      <c r="C7043" s="138" t="str">
        <f t="shared" si="534"/>
        <v>Without Amendment</v>
      </c>
      <c r="D7043" s="138" t="s">
        <v>130</v>
      </c>
      <c r="E7043" s="138" t="str">
        <f t="shared" si="529"/>
        <v>High</v>
      </c>
      <c r="F7043" s="138" t="str">
        <f t="shared" si="532"/>
        <v>Upgraded</v>
      </c>
      <c r="G7043" s="153"/>
      <c r="H7043" s="210">
        <v>1.6999999999999999E-3</v>
      </c>
      <c r="I7043" s="160" t="s">
        <v>148</v>
      </c>
      <c r="J7043" s="160">
        <v>5.4000000000000001E-4</v>
      </c>
      <c r="K7043" s="160" t="s">
        <v>25</v>
      </c>
      <c r="L7043" s="154" t="str">
        <f>IF(OpenLCAbasic!K7043="CTUh", "Fill in Manually",IF(OR(K7043="Unit", K7043=""), "", INDEX(LookUps!$E$5:$E$12, MATCH(OpenLCAbasic!K7043,LookUps!$D$5:$D$12,0))))</f>
        <v>Smog Formation Potential (SFP) - kg O3 eq</v>
      </c>
      <c r="M7043" s="154" t="str">
        <f t="shared" si="533"/>
        <v>High_Base_Upgraded_Smog Formation Potential (SFP) - kg O3 eq_Control Building; at upgraded wastewater treatment plant - US_Without Amendment_Windrow</v>
      </c>
    </row>
    <row r="7044" spans="1:13" s="120" customFormat="1" x14ac:dyDescent="0.25">
      <c r="A7044" s="119"/>
      <c r="B7044" s="138" t="str">
        <f t="shared" si="531"/>
        <v>Windrow</v>
      </c>
      <c r="C7044" s="138" t="str">
        <f t="shared" si="534"/>
        <v>Without Amendment</v>
      </c>
      <c r="D7044" s="138" t="s">
        <v>130</v>
      </c>
      <c r="E7044" s="138" t="str">
        <f t="shared" si="529"/>
        <v>High</v>
      </c>
      <c r="F7044" s="138" t="str">
        <f t="shared" si="532"/>
        <v>Upgraded</v>
      </c>
      <c r="G7044" s="153"/>
      <c r="H7044" s="210">
        <v>1.6999999999999999E-3</v>
      </c>
      <c r="I7044" s="160" t="s">
        <v>271</v>
      </c>
      <c r="J7044" s="160">
        <v>5.1000000000000004E-4</v>
      </c>
      <c r="K7044" s="160" t="s">
        <v>25</v>
      </c>
      <c r="L7044" s="154" t="str">
        <f>IF(OpenLCAbasic!K7044="CTUh", "Fill in Manually",IF(OR(K7044="Unit", K7044=""), "", INDEX(LookUps!$E$5:$E$12, MATCH(OpenLCAbasic!K7044,LookUps!$D$5:$D$12,0))))</f>
        <v>Smog Formation Potential (SFP) - kg O3 eq</v>
      </c>
      <c r="M7044" s="154" t="str">
        <f t="shared" si="533"/>
        <v>High_Base_Upgraded_Smog Formation Potential (SFP) - kg O3 eq_Biosolids composting; windrow composting; wastewater treatment unit; at updated plant - US_Without Amendment_Windrow</v>
      </c>
    </row>
    <row r="7045" spans="1:13" s="120" customFormat="1" x14ac:dyDescent="0.25">
      <c r="A7045" s="119"/>
      <c r="B7045" s="138" t="str">
        <f t="shared" si="531"/>
        <v>Windrow</v>
      </c>
      <c r="C7045" s="138" t="str">
        <f t="shared" si="534"/>
        <v>Without Amendment</v>
      </c>
      <c r="D7045" s="138" t="s">
        <v>130</v>
      </c>
      <c r="E7045" s="138" t="str">
        <f t="shared" si="529"/>
        <v>High</v>
      </c>
      <c r="F7045" s="138" t="str">
        <f t="shared" si="532"/>
        <v>Upgraded</v>
      </c>
      <c r="G7045" s="153"/>
      <c r="H7045" s="210">
        <v>-5.4000000000000003E-3</v>
      </c>
      <c r="I7045" s="160" t="s">
        <v>62</v>
      </c>
      <c r="J7045" s="160">
        <v>-1.6800000000000001E-3</v>
      </c>
      <c r="K7045" s="160" t="s">
        <v>25</v>
      </c>
      <c r="L7045" s="154" t="str">
        <f>IF(OpenLCAbasic!K7045="CTUh", "Fill in Manually",IF(OR(K7045="Unit", K7045=""), "", INDEX(LookUps!$E$5:$E$12, MATCH(OpenLCAbasic!K7045,LookUps!$D$5:$D$12,0))))</f>
        <v>Smog Formation Potential (SFP) - kg O3 eq</v>
      </c>
      <c r="M7045" s="154" t="str">
        <f t="shared" si="533"/>
        <v>High_Base_Upgraded_Smog Formation Potential (SFP) - kg O3 eq_Land application of compost; wastewater treatment unit; at updated plant - US_Without Amendment_Windrow</v>
      </c>
    </row>
    <row r="7046" spans="1:13" s="120" customFormat="1" x14ac:dyDescent="0.25">
      <c r="A7046" s="119"/>
      <c r="B7046" s="138" t="str">
        <f t="shared" si="531"/>
        <v>Windrow</v>
      </c>
      <c r="C7046" s="138" t="str">
        <f t="shared" si="534"/>
        <v>Without Amendment</v>
      </c>
      <c r="D7046" s="138" t="s">
        <v>130</v>
      </c>
      <c r="E7046" s="138" t="str">
        <f t="shared" si="529"/>
        <v>High</v>
      </c>
      <c r="F7046" s="138" t="str">
        <f t="shared" si="532"/>
        <v>Upgraded</v>
      </c>
      <c r="G7046" s="153"/>
      <c r="H7046" s="210">
        <v>-0.19969999999999999</v>
      </c>
      <c r="I7046" s="160" t="s">
        <v>149</v>
      </c>
      <c r="J7046" s="160">
        <v>-6.1940000000000002E-2</v>
      </c>
      <c r="K7046" s="160" t="s">
        <v>25</v>
      </c>
      <c r="L7046" s="154" t="str">
        <f>IF(OpenLCAbasic!K7046="CTUh", "Fill in Manually",IF(OR(K7046="Unit", K7046=""), "", INDEX(LookUps!$E$5:$E$12, MATCH(OpenLCAbasic!K7046,LookUps!$D$5:$D$12,0))))</f>
        <v>Smog Formation Potential (SFP) - kg O3 eq</v>
      </c>
      <c r="M7046" s="154" t="str">
        <f t="shared" si="533"/>
        <v>High_Base_Upgraded_Smog Formation Potential (SFP) - kg O3 eq_Anaerobic Digestion; wastewater treatment unit; at updated plant - US_Without Amendment_Windrow</v>
      </c>
    </row>
    <row r="7047" spans="1:13" s="120" customFormat="1" x14ac:dyDescent="0.25">
      <c r="A7047" s="119"/>
      <c r="B7047" s="138" t="str">
        <f t="shared" si="531"/>
        <v/>
      </c>
      <c r="C7047" s="138" t="str">
        <f t="shared" si="534"/>
        <v/>
      </c>
      <c r="D7047" s="138" t="str">
        <f t="shared" si="530"/>
        <v/>
      </c>
      <c r="E7047" s="138" t="str">
        <f t="shared" si="529"/>
        <v/>
      </c>
      <c r="F7047" s="138" t="str">
        <f t="shared" si="532"/>
        <v/>
      </c>
      <c r="G7047" s="153" t="s">
        <v>51</v>
      </c>
      <c r="H7047" s="160"/>
      <c r="I7047" s="160" t="s">
        <v>47</v>
      </c>
      <c r="J7047" s="160" t="s">
        <v>52</v>
      </c>
      <c r="K7047" s="160" t="s">
        <v>27</v>
      </c>
      <c r="L7047" s="154" t="str">
        <f>IF(OpenLCAbasic!K7047="CTUh", "Fill in Manually",IF(OR(K7047="Unit", K7047=""), "", INDEX(LookUps!$E$5:$E$12, MATCH(OpenLCAbasic!K7047,LookUps!$D$5:$D$12,0))))</f>
        <v/>
      </c>
      <c r="M7047" s="154" t="str">
        <f t="shared" si="533"/>
        <v>____Process__</v>
      </c>
    </row>
    <row r="7048" spans="1:13" s="120" customFormat="1" x14ac:dyDescent="0.25">
      <c r="A7048" s="119"/>
      <c r="B7048" s="138" t="str">
        <f t="shared" si="531"/>
        <v>Windrow</v>
      </c>
      <c r="C7048" s="138" t="str">
        <f t="shared" si="534"/>
        <v>Without Amendment</v>
      </c>
      <c r="D7048" s="138" t="s">
        <v>130</v>
      </c>
      <c r="E7048" s="138" t="str">
        <f t="shared" si="529"/>
        <v>High</v>
      </c>
      <c r="F7048" s="138" t="str">
        <f t="shared" si="532"/>
        <v>Upgraded</v>
      </c>
      <c r="G7048" s="153"/>
      <c r="H7048" s="210">
        <v>0.56330000000000002</v>
      </c>
      <c r="I7048" s="160" t="s">
        <v>167</v>
      </c>
      <c r="J7048" s="160">
        <v>2.3000000000000001E-4</v>
      </c>
      <c r="K7048" s="160" t="s">
        <v>26</v>
      </c>
      <c r="L7048" s="154" t="str">
        <f>IF(OpenLCAbasic!K7048="CTUh", "Fill in Manually",IF(OR(K7048="Unit", K7048=""), "", INDEX(LookUps!$E$5:$E$12, MATCH(OpenLCAbasic!K7048,LookUps!$D$5:$D$12,0))))</f>
        <v>Water Use (WU) - m3 H2O</v>
      </c>
      <c r="M7048" s="154" t="str">
        <f t="shared" si="533"/>
        <v>High_Base_Upgraded_Water Use (WU) - m3 H2O_Waste Receiving and Holding; wastewater treatment unit; at updated plant - US_Without Amendment_Windrow</v>
      </c>
    </row>
    <row r="7049" spans="1:13" s="120" customFormat="1" x14ac:dyDescent="0.25">
      <c r="A7049" s="119"/>
      <c r="B7049" s="138" t="str">
        <f t="shared" si="531"/>
        <v>Windrow</v>
      </c>
      <c r="C7049" s="138" t="str">
        <f t="shared" si="534"/>
        <v>Without Amendment</v>
      </c>
      <c r="D7049" s="138" t="s">
        <v>130</v>
      </c>
      <c r="E7049" s="138" t="str">
        <f t="shared" ref="E7049:E7112" si="535">IF(ISNUMBER($J7049),"High","")</f>
        <v>High</v>
      </c>
      <c r="F7049" s="138" t="str">
        <f t="shared" si="532"/>
        <v>Upgraded</v>
      </c>
      <c r="G7049" s="153"/>
      <c r="H7049" s="210">
        <v>0.44569999999999999</v>
      </c>
      <c r="I7049" s="160" t="s">
        <v>147</v>
      </c>
      <c r="J7049" s="160">
        <v>1.8000000000000001E-4</v>
      </c>
      <c r="K7049" s="160" t="s">
        <v>26</v>
      </c>
      <c r="L7049" s="154" t="str">
        <f>IF(OpenLCAbasic!K7049="CTUh", "Fill in Manually",IF(OR(K7049="Unit", K7049=""), "", INDEX(LookUps!$E$5:$E$12, MATCH(OpenLCAbasic!K7049,LookUps!$D$5:$D$12,0))))</f>
        <v>Water Use (WU) - m3 H2O</v>
      </c>
      <c r="M7049" s="154" t="str">
        <f t="shared" si="533"/>
        <v>High_Base_Upgraded_Water Use (WU) - m3 H2O_Influent Pump Station; wastewater treatment unit; at updated plant - US_Without Amendment_Windrow</v>
      </c>
    </row>
    <row r="7050" spans="1:13" s="120" customFormat="1" x14ac:dyDescent="0.25">
      <c r="A7050" s="119"/>
      <c r="B7050" s="138" t="str">
        <f t="shared" si="531"/>
        <v>Windrow</v>
      </c>
      <c r="C7050" s="138" t="str">
        <f t="shared" si="534"/>
        <v>Without Amendment</v>
      </c>
      <c r="D7050" s="138" t="s">
        <v>130</v>
      </c>
      <c r="E7050" s="138" t="str">
        <f t="shared" si="535"/>
        <v>High</v>
      </c>
      <c r="F7050" s="138" t="str">
        <f t="shared" si="532"/>
        <v>Upgraded</v>
      </c>
      <c r="G7050" s="153"/>
      <c r="H7050" s="210">
        <v>0.43490000000000001</v>
      </c>
      <c r="I7050" s="160" t="s">
        <v>54</v>
      </c>
      <c r="J7050" s="160">
        <v>1.8000000000000001E-4</v>
      </c>
      <c r="K7050" s="160" t="s">
        <v>26</v>
      </c>
      <c r="L7050" s="154" t="str">
        <f>IF(OpenLCAbasic!K7050="CTUh", "Fill in Manually",IF(OR(K7050="Unit", K7050=""), "", INDEX(LookUps!$E$5:$E$12, MATCH(OpenLCAbasic!K7050,LookUps!$D$5:$D$12,0))))</f>
        <v>Water Use (WU) - m3 H2O</v>
      </c>
      <c r="M7050" s="154" t="str">
        <f t="shared" si="533"/>
        <v>High_Base_Upgraded_Water Use (WU) - m3 H2O_Clear Cove Primary Clarification; wastewater treatment unit; at updated plant - US_Without Amendment_Windrow</v>
      </c>
    </row>
    <row r="7051" spans="1:13" s="120" customFormat="1" x14ac:dyDescent="0.25">
      <c r="A7051" s="119"/>
      <c r="B7051" s="138" t="str">
        <f t="shared" si="531"/>
        <v>Windrow</v>
      </c>
      <c r="C7051" s="138" t="str">
        <f t="shared" si="534"/>
        <v>Without Amendment</v>
      </c>
      <c r="D7051" s="138" t="s">
        <v>130</v>
      </c>
      <c r="E7051" s="138" t="str">
        <f t="shared" si="535"/>
        <v>High</v>
      </c>
      <c r="F7051" s="138" t="str">
        <f t="shared" si="532"/>
        <v>Upgraded</v>
      </c>
      <c r="G7051" s="153"/>
      <c r="H7051" s="210">
        <v>0.39450000000000002</v>
      </c>
      <c r="I7051" s="160" t="s">
        <v>55</v>
      </c>
      <c r="J7051" s="160">
        <v>1.6000000000000001E-4</v>
      </c>
      <c r="K7051" s="160" t="s">
        <v>26</v>
      </c>
      <c r="L7051" s="154" t="str">
        <f>IF(OpenLCAbasic!K7051="CTUh", "Fill in Manually",IF(OR(K7051="Unit", K7051=""), "", INDEX(LookUps!$E$5:$E$12, MATCH(OpenLCAbasic!K7051,LookUps!$D$5:$D$12,0))))</f>
        <v>Water Use (WU) - m3 H2O</v>
      </c>
      <c r="M7051" s="154" t="str">
        <f t="shared" si="533"/>
        <v>High_Base_Upgraded_Water Use (WU) - m3 H2O_Aeration Tanks; wastewater treatment unit; at updated plant - US_Without Amendment_Windrow</v>
      </c>
    </row>
    <row r="7052" spans="1:13" s="120" customFormat="1" x14ac:dyDescent="0.25">
      <c r="A7052" s="119"/>
      <c r="B7052" s="138" t="str">
        <f t="shared" si="531"/>
        <v>Windrow</v>
      </c>
      <c r="C7052" s="138" t="str">
        <f t="shared" si="534"/>
        <v>Without Amendment</v>
      </c>
      <c r="D7052" s="138" t="s">
        <v>130</v>
      </c>
      <c r="E7052" s="138" t="str">
        <f t="shared" si="535"/>
        <v>High</v>
      </c>
      <c r="F7052" s="138" t="str">
        <f t="shared" si="532"/>
        <v>Upgraded</v>
      </c>
      <c r="G7052" s="153"/>
      <c r="H7052" s="210">
        <v>0.3594</v>
      </c>
      <c r="I7052" s="160" t="s">
        <v>148</v>
      </c>
      <c r="J7052" s="160">
        <v>1.4999999999999999E-4</v>
      </c>
      <c r="K7052" s="160" t="s">
        <v>26</v>
      </c>
      <c r="L7052" s="154" t="str">
        <f>IF(OpenLCAbasic!K7052="CTUh", "Fill in Manually",IF(OR(K7052="Unit", K7052=""), "", INDEX(LookUps!$E$5:$E$12, MATCH(OpenLCAbasic!K7052,LookUps!$D$5:$D$12,0))))</f>
        <v>Water Use (WU) - m3 H2O</v>
      </c>
      <c r="M7052" s="154" t="str">
        <f t="shared" si="533"/>
        <v>High_Base_Upgraded_Water Use (WU) - m3 H2O_Control Building; at upgraded wastewater treatment plant - US_Without Amendment_Windrow</v>
      </c>
    </row>
    <row r="7053" spans="1:13" s="120" customFormat="1" x14ac:dyDescent="0.25">
      <c r="A7053" s="119"/>
      <c r="B7053" s="138" t="str">
        <f t="shared" si="531"/>
        <v>Windrow</v>
      </c>
      <c r="C7053" s="138" t="str">
        <f t="shared" si="534"/>
        <v>Without Amendment</v>
      </c>
      <c r="D7053" s="138" t="s">
        <v>130</v>
      </c>
      <c r="E7053" s="138" t="str">
        <f t="shared" si="535"/>
        <v>High</v>
      </c>
      <c r="F7053" s="138" t="str">
        <f t="shared" si="532"/>
        <v>Upgraded</v>
      </c>
      <c r="G7053" s="153"/>
      <c r="H7053" s="210">
        <v>0.16689999999999999</v>
      </c>
      <c r="I7053" s="160" t="s">
        <v>48</v>
      </c>
      <c r="J7053" s="211">
        <v>6.8836400000000004E-5</v>
      </c>
      <c r="K7053" s="160" t="s">
        <v>26</v>
      </c>
      <c r="L7053" s="154" t="str">
        <f>IF(OpenLCAbasic!K7053="CTUh", "Fill in Manually",IF(OR(K7053="Unit", K7053=""), "", INDEX(LookUps!$E$5:$E$12, MATCH(OpenLCAbasic!K7053,LookUps!$D$5:$D$12,0))))</f>
        <v>Water Use (WU) - m3 H2O</v>
      </c>
      <c r="M7053" s="154" t="str">
        <f t="shared" si="533"/>
        <v>High_Base_Upgraded_Water Use (WU) - m3 H2O_Effluent release; wastewater treatment unit; at surface water; m3 wastewater - US_Without Amendment_Windrow</v>
      </c>
    </row>
    <row r="7054" spans="1:13" s="120" customFormat="1" x14ac:dyDescent="0.25">
      <c r="A7054" s="119"/>
      <c r="B7054" s="138" t="str">
        <f t="shared" si="531"/>
        <v>Windrow</v>
      </c>
      <c r="C7054" s="138" t="str">
        <f t="shared" si="534"/>
        <v>Without Amendment</v>
      </c>
      <c r="D7054" s="138" t="s">
        <v>130</v>
      </c>
      <c r="E7054" s="138" t="str">
        <f t="shared" si="535"/>
        <v>High</v>
      </c>
      <c r="F7054" s="138" t="str">
        <f t="shared" si="532"/>
        <v>Upgraded</v>
      </c>
      <c r="G7054" s="153"/>
      <c r="H7054" s="210">
        <v>0.1047</v>
      </c>
      <c r="I7054" s="160" t="s">
        <v>58</v>
      </c>
      <c r="J7054" s="211">
        <v>4.3192100000000003E-5</v>
      </c>
      <c r="K7054" s="160" t="s">
        <v>26</v>
      </c>
      <c r="L7054" s="154" t="str">
        <f>IF(OpenLCAbasic!K7054="CTUh", "Fill in Manually",IF(OR(K7054="Unit", K7054=""), "", INDEX(LookUps!$E$5:$E$12, MATCH(OpenLCAbasic!K7054,LookUps!$D$5:$D$12,0))))</f>
        <v>Water Use (WU) - m3 H2O</v>
      </c>
      <c r="M7054" s="154" t="str">
        <f t="shared" si="533"/>
        <v>High_Base_Upgraded_Water Use (WU) - m3 H2O_Pre-Anoxic &amp; Swing tank; wastewater treatment unit; at updated plant - US_Without Amendment_Windrow</v>
      </c>
    </row>
    <row r="7055" spans="1:13" s="120" customFormat="1" x14ac:dyDescent="0.25">
      <c r="A7055" s="119"/>
      <c r="B7055" s="138" t="str">
        <f t="shared" si="531"/>
        <v>Windrow</v>
      </c>
      <c r="C7055" s="138" t="str">
        <f t="shared" si="534"/>
        <v>Without Amendment</v>
      </c>
      <c r="D7055" s="138" t="s">
        <v>130</v>
      </c>
      <c r="E7055" s="138" t="str">
        <f t="shared" si="535"/>
        <v>High</v>
      </c>
      <c r="F7055" s="138" t="str">
        <f t="shared" si="532"/>
        <v>Upgraded</v>
      </c>
      <c r="G7055" s="153"/>
      <c r="H7055" s="210">
        <v>7.3700000000000002E-2</v>
      </c>
      <c r="I7055" s="160" t="s">
        <v>57</v>
      </c>
      <c r="J7055" s="211">
        <v>3.0408100000000001E-5</v>
      </c>
      <c r="K7055" s="160" t="s">
        <v>26</v>
      </c>
      <c r="L7055" s="154" t="str">
        <f>IF(OpenLCAbasic!K7055="CTUh", "Fill in Manually",IF(OR(K7055="Unit", K7055=""), "", INDEX(LookUps!$E$5:$E$12, MATCH(OpenLCAbasic!K7055,LookUps!$D$5:$D$12,0))))</f>
        <v>Water Use (WU) - m3 H2O</v>
      </c>
      <c r="M7055" s="154" t="str">
        <f t="shared" si="533"/>
        <v>High_Base_Upgraded_Water Use (WU) - m3 H2O_Gravity Belt Thickener; wastewater treatment unit; at updated plant - US_Without Amendment_Windrow</v>
      </c>
    </row>
    <row r="7056" spans="1:13" s="120" customFormat="1" x14ac:dyDescent="0.25">
      <c r="A7056" s="119"/>
      <c r="B7056" s="138" t="str">
        <f t="shared" si="531"/>
        <v>Windrow</v>
      </c>
      <c r="C7056" s="138" t="str">
        <f t="shared" si="534"/>
        <v>Without Amendment</v>
      </c>
      <c r="D7056" s="138" t="s">
        <v>130</v>
      </c>
      <c r="E7056" s="138" t="str">
        <f t="shared" si="535"/>
        <v>High</v>
      </c>
      <c r="F7056" s="138" t="str">
        <f t="shared" si="532"/>
        <v>Upgraded</v>
      </c>
      <c r="G7056" s="153"/>
      <c r="H7056" s="210">
        <v>5.3199999999999997E-2</v>
      </c>
      <c r="I7056" s="160" t="s">
        <v>60</v>
      </c>
      <c r="J7056" s="211">
        <v>2.1941099999999999E-5</v>
      </c>
      <c r="K7056" s="160" t="s">
        <v>26</v>
      </c>
      <c r="L7056" s="154" t="str">
        <f>IF(OpenLCAbasic!K7056="CTUh", "Fill in Manually",IF(OR(K7056="Unit", K7056=""), "", INDEX(LookUps!$E$5:$E$12, MATCH(OpenLCAbasic!K7056,LookUps!$D$5:$D$12,0))))</f>
        <v>Water Use (WU) - m3 H2O</v>
      </c>
      <c r="M7056" s="154" t="str">
        <f t="shared" si="533"/>
        <v>High_Base_Upgraded_Water Use (WU) - m3 H2O_Belt filter press; wastewater treatment unit; at updated plant - US_Without Amendment_Windrow</v>
      </c>
    </row>
    <row r="7057" spans="1:13" s="120" customFormat="1" x14ac:dyDescent="0.25">
      <c r="A7057" s="119"/>
      <c r="B7057" s="138" t="str">
        <f t="shared" si="531"/>
        <v>Windrow</v>
      </c>
      <c r="C7057" s="138" t="str">
        <f t="shared" si="534"/>
        <v>Without Amendment</v>
      </c>
      <c r="D7057" s="138" t="s">
        <v>130</v>
      </c>
      <c r="E7057" s="138" t="str">
        <f t="shared" si="535"/>
        <v>High</v>
      </c>
      <c r="F7057" s="138" t="str">
        <f t="shared" si="532"/>
        <v>Upgraded</v>
      </c>
      <c r="G7057" s="153"/>
      <c r="H7057" s="210">
        <v>4.24E-2</v>
      </c>
      <c r="I7057" s="160" t="s">
        <v>53</v>
      </c>
      <c r="J7057" s="211">
        <v>1.75069E-5</v>
      </c>
      <c r="K7057" s="160" t="s">
        <v>26</v>
      </c>
      <c r="L7057" s="154" t="str">
        <f>IF(OpenLCAbasic!K7057="CTUh", "Fill in Manually",IF(OR(K7057="Unit", K7057=""), "", INDEX(LookUps!$E$5:$E$12, MATCH(OpenLCAbasic!K7057,LookUps!$D$5:$D$12,0))))</f>
        <v>Water Use (WU) - m3 H2O</v>
      </c>
      <c r="M7057" s="154" t="str">
        <f t="shared" si="533"/>
        <v>High_Base_Upgraded_Water Use (WU) - m3 H2O_Wet Well and Sump Station; wastewater treatment unit; at updated plant - US_Without Amendment_Windrow</v>
      </c>
    </row>
    <row r="7058" spans="1:13" s="120" customFormat="1" x14ac:dyDescent="0.25">
      <c r="A7058" s="119"/>
      <c r="B7058" s="138" t="str">
        <f t="shared" si="531"/>
        <v>Windrow</v>
      </c>
      <c r="C7058" s="138" t="str">
        <f t="shared" si="534"/>
        <v>Without Amendment</v>
      </c>
      <c r="D7058" s="138" t="s">
        <v>130</v>
      </c>
      <c r="E7058" s="138" t="str">
        <f t="shared" si="535"/>
        <v>High</v>
      </c>
      <c r="F7058" s="138" t="str">
        <f t="shared" si="532"/>
        <v>Upgraded</v>
      </c>
      <c r="G7058" s="153"/>
      <c r="H7058" s="210">
        <v>2.93E-2</v>
      </c>
      <c r="I7058" s="160" t="s">
        <v>149</v>
      </c>
      <c r="J7058" s="211">
        <v>1.21043E-5</v>
      </c>
      <c r="K7058" s="160" t="s">
        <v>26</v>
      </c>
      <c r="L7058" s="154" t="str">
        <f>IF(OpenLCAbasic!K7058="CTUh", "Fill in Manually",IF(OR(K7058="Unit", K7058=""), "", INDEX(LookUps!$E$5:$E$12, MATCH(OpenLCAbasic!K7058,LookUps!$D$5:$D$12,0))))</f>
        <v>Water Use (WU) - m3 H2O</v>
      </c>
      <c r="M7058" s="154" t="str">
        <f t="shared" si="533"/>
        <v>High_Base_Upgraded_Water Use (WU) - m3 H2O_Anaerobic Digestion; wastewater treatment unit; at updated plant - US_Without Amendment_Windrow</v>
      </c>
    </row>
    <row r="7059" spans="1:13" s="120" customFormat="1" x14ac:dyDescent="0.25">
      <c r="A7059" s="119"/>
      <c r="B7059" s="138" t="str">
        <f t="shared" si="531"/>
        <v>Windrow</v>
      </c>
      <c r="C7059" s="138" t="str">
        <f t="shared" si="534"/>
        <v>Without Amendment</v>
      </c>
      <c r="D7059" s="138" t="s">
        <v>130</v>
      </c>
      <c r="E7059" s="138" t="str">
        <f t="shared" si="535"/>
        <v>High</v>
      </c>
      <c r="F7059" s="138" t="str">
        <f t="shared" si="532"/>
        <v>Upgraded</v>
      </c>
      <c r="G7059" s="153"/>
      <c r="H7059" s="210">
        <v>1.7000000000000001E-2</v>
      </c>
      <c r="I7059" s="160" t="s">
        <v>59</v>
      </c>
      <c r="J7059" s="211">
        <v>7.0179500000000003E-6</v>
      </c>
      <c r="K7059" s="160" t="s">
        <v>26</v>
      </c>
      <c r="L7059" s="154" t="str">
        <f>IF(OpenLCAbasic!K7059="CTUh", "Fill in Manually",IF(OR(K7059="Unit", K7059=""), "", INDEX(LookUps!$E$5:$E$12, MATCH(OpenLCAbasic!K7059,LookUps!$D$5:$D$12,0))))</f>
        <v>Water Use (WU) - m3 H2O</v>
      </c>
      <c r="M7059" s="154" t="str">
        <f t="shared" si="533"/>
        <v>High_Base_Upgraded_Water Use (WU) - m3 H2O_Blend Tank; wastewater treatment unit; at updated plant - US_Without Amendment_Windrow</v>
      </c>
    </row>
    <row r="7060" spans="1:13" s="120" customFormat="1" x14ac:dyDescent="0.25">
      <c r="A7060" s="119"/>
      <c r="B7060" s="138" t="str">
        <f t="shared" si="531"/>
        <v>Windrow</v>
      </c>
      <c r="C7060" s="138" t="str">
        <f t="shared" si="534"/>
        <v>Without Amendment</v>
      </c>
      <c r="D7060" s="138" t="s">
        <v>130</v>
      </c>
      <c r="E7060" s="138" t="str">
        <f t="shared" si="535"/>
        <v>High</v>
      </c>
      <c r="F7060" s="138" t="str">
        <f t="shared" si="532"/>
        <v>Upgraded</v>
      </c>
      <c r="G7060" s="153"/>
      <c r="H7060" s="210">
        <v>1.23E-2</v>
      </c>
      <c r="I7060" s="160" t="s">
        <v>128</v>
      </c>
      <c r="J7060" s="211">
        <v>5.0608900000000003E-6</v>
      </c>
      <c r="K7060" s="160" t="s">
        <v>26</v>
      </c>
      <c r="L7060" s="154" t="str">
        <f>IF(OpenLCAbasic!K7060="CTUh", "Fill in Manually",IF(OR(K7060="Unit", K7060=""), "", INDEX(LookUps!$E$5:$E$12, MATCH(OpenLCAbasic!K7060,LookUps!$D$5:$D$12,0))))</f>
        <v>Water Use (WU) - m3 H2O</v>
      </c>
      <c r="M7060" s="154" t="str">
        <f t="shared" si="533"/>
        <v>High_Base_Upgraded_Water Use (WU) - m3 H2O_Wastewater collection; operation and infrastructure; m3 wastewater_Without Amendment_Windrow</v>
      </c>
    </row>
    <row r="7061" spans="1:13" s="120" customFormat="1" x14ac:dyDescent="0.25">
      <c r="A7061" s="119"/>
      <c r="B7061" s="138" t="str">
        <f t="shared" si="531"/>
        <v>Windrow</v>
      </c>
      <c r="C7061" s="138" t="str">
        <f t="shared" si="534"/>
        <v>Without Amendment</v>
      </c>
      <c r="D7061" s="138" t="s">
        <v>130</v>
      </c>
      <c r="E7061" s="138" t="str">
        <f t="shared" si="535"/>
        <v>High</v>
      </c>
      <c r="F7061" s="138" t="str">
        <f t="shared" si="532"/>
        <v>Upgraded</v>
      </c>
      <c r="G7061" s="153"/>
      <c r="H7061" s="210">
        <v>2.5000000000000001E-3</v>
      </c>
      <c r="I7061" s="160" t="s">
        <v>271</v>
      </c>
      <c r="J7061" s="211">
        <v>1.0478599999999999E-6</v>
      </c>
      <c r="K7061" s="160" t="s">
        <v>26</v>
      </c>
      <c r="L7061" s="154" t="str">
        <f>IF(OpenLCAbasic!K7061="CTUh", "Fill in Manually",IF(OR(K7061="Unit", K7061=""), "", INDEX(LookUps!$E$5:$E$12, MATCH(OpenLCAbasic!K7061,LookUps!$D$5:$D$12,0))))</f>
        <v>Water Use (WU) - m3 H2O</v>
      </c>
      <c r="M7061" s="154" t="str">
        <f t="shared" si="533"/>
        <v>High_Base_Upgraded_Water Use (WU) - m3 H2O_Biosolids composting; windrow composting; wastewater treatment unit; at updated plant - US_Without Amendment_Windrow</v>
      </c>
    </row>
    <row r="7062" spans="1:13" s="120" customFormat="1" x14ac:dyDescent="0.25">
      <c r="A7062" s="119"/>
      <c r="B7062" s="138" t="str">
        <f t="shared" si="531"/>
        <v>Windrow</v>
      </c>
      <c r="C7062" s="138" t="str">
        <f t="shared" si="534"/>
        <v>Without Amendment</v>
      </c>
      <c r="D7062" s="138" t="s">
        <v>130</v>
      </c>
      <c r="E7062" s="138" t="str">
        <f t="shared" si="535"/>
        <v>High</v>
      </c>
      <c r="F7062" s="138" t="str">
        <f t="shared" si="532"/>
        <v>Upgraded</v>
      </c>
      <c r="G7062" s="153"/>
      <c r="H7062" s="210">
        <v>1.9E-3</v>
      </c>
      <c r="I7062" s="160" t="s">
        <v>168</v>
      </c>
      <c r="J7062" s="211">
        <v>7.6697000000000004E-7</v>
      </c>
      <c r="K7062" s="160" t="s">
        <v>26</v>
      </c>
      <c r="L7062" s="154" t="str">
        <f>IF(OpenLCAbasic!K7062="CTUh", "Fill in Manually",IF(OR(K7062="Unit", K7062=""), "", INDEX(LookUps!$E$5:$E$12, MATCH(OpenLCAbasic!K7062,LookUps!$D$5:$D$12,0))))</f>
        <v>Water Use (WU) - m3 H2O</v>
      </c>
      <c r="M7062" s="154" t="str">
        <f t="shared" si="533"/>
        <v>High_Base_Upgraded_Water Use (WU) - m3 H2O_ClearCove SCP; wastewater treatment unit; at updated plant - US_Without Amendment_Windrow</v>
      </c>
    </row>
    <row r="7063" spans="1:13" s="120" customFormat="1" x14ac:dyDescent="0.25">
      <c r="A7063" s="119"/>
      <c r="B7063" s="138" t="str">
        <f t="shared" si="531"/>
        <v>Windrow</v>
      </c>
      <c r="C7063" s="138" t="str">
        <f t="shared" si="534"/>
        <v>Without Amendment</v>
      </c>
      <c r="D7063" s="138" t="s">
        <v>130</v>
      </c>
      <c r="E7063" s="138" t="str">
        <f t="shared" si="535"/>
        <v>High</v>
      </c>
      <c r="F7063" s="138" t="str">
        <f t="shared" si="532"/>
        <v>Upgraded</v>
      </c>
      <c r="G7063" s="153"/>
      <c r="H7063" s="210">
        <v>-1.7016</v>
      </c>
      <c r="I7063" s="160" t="s">
        <v>62</v>
      </c>
      <c r="J7063" s="160">
        <v>-6.9999999999999999E-4</v>
      </c>
      <c r="K7063" s="160" t="s">
        <v>26</v>
      </c>
      <c r="L7063" s="154" t="str">
        <f>IF(OpenLCAbasic!K7063="CTUh", "Fill in Manually",IF(OR(K7063="Unit", K7063=""), "", INDEX(LookUps!$E$5:$E$12, MATCH(OpenLCAbasic!K7063,LookUps!$D$5:$D$12,0))))</f>
        <v>Water Use (WU) - m3 H2O</v>
      </c>
      <c r="M7063" s="154" t="str">
        <f t="shared" si="533"/>
        <v>High_Base_Upgraded_Water Use (WU) - m3 H2O_Land application of compost; wastewater treatment unit; at updated plant - US_Without Amendment_Windrow</v>
      </c>
    </row>
    <row r="7064" spans="1:13" s="120" customFormat="1" x14ac:dyDescent="0.25">
      <c r="A7064" s="119"/>
      <c r="B7064" s="138" t="str">
        <f t="shared" si="531"/>
        <v/>
      </c>
      <c r="C7064" s="138" t="str">
        <f t="shared" si="534"/>
        <v/>
      </c>
      <c r="D7064" s="138" t="str">
        <f>IF(ISNUMBER($J7064),"Base_High","")</f>
        <v/>
      </c>
      <c r="E7064" s="138" t="str">
        <f t="shared" si="535"/>
        <v/>
      </c>
      <c r="F7064" s="138" t="str">
        <f t="shared" si="532"/>
        <v/>
      </c>
      <c r="G7064" s="153" t="s">
        <v>51</v>
      </c>
      <c r="H7064" s="160"/>
      <c r="I7064" s="160" t="s">
        <v>47</v>
      </c>
      <c r="J7064" s="160" t="s">
        <v>52</v>
      </c>
      <c r="K7064" s="160" t="s">
        <v>27</v>
      </c>
      <c r="L7064" s="154" t="str">
        <f>IF(OpenLCAbasic!K7064="CTUh", "Fill in Manually",IF(OR(K7064="Unit", K7064=""), "", INDEX(LookUps!$E$5:$E$12, MATCH(OpenLCAbasic!K7064,LookUps!$D$5:$D$12,0))))</f>
        <v/>
      </c>
      <c r="M7064" s="154" t="str">
        <f t="shared" si="533"/>
        <v>____Process__</v>
      </c>
    </row>
    <row r="7065" spans="1:13" s="120" customFormat="1" x14ac:dyDescent="0.25">
      <c r="A7065" s="119"/>
      <c r="B7065" s="138" t="str">
        <f t="shared" si="531"/>
        <v>Windrow</v>
      </c>
      <c r="C7065" s="138" t="str">
        <f t="shared" si="534"/>
        <v>Without Amendment</v>
      </c>
      <c r="D7065" s="138" t="str">
        <f t="shared" ref="D7065:D7128" si="536">IF(ISNUMBER($J7065),"Base_High","")</f>
        <v>Base_High</v>
      </c>
      <c r="E7065" s="138" t="str">
        <f t="shared" si="535"/>
        <v>High</v>
      </c>
      <c r="F7065" s="138" t="str">
        <f t="shared" si="532"/>
        <v>Upgraded</v>
      </c>
      <c r="G7065" s="153"/>
      <c r="H7065" s="210">
        <v>2.3142999999999998</v>
      </c>
      <c r="I7065" s="160" t="s">
        <v>55</v>
      </c>
      <c r="J7065" s="160">
        <v>1.7219999999999999E-2</v>
      </c>
      <c r="K7065" s="160" t="s">
        <v>24</v>
      </c>
      <c r="L7065" s="154" t="str">
        <f>IF(OpenLCAbasic!K7065="CTUh", "Fill in Manually",IF(OR(K7065="Unit", K7065=""), "", INDEX(LookUps!$E$5:$E$12, MATCH(OpenLCAbasic!K7065,LookUps!$D$5:$D$12,0))))</f>
        <v>Acidification Potential (AP) - kg SO2 eq</v>
      </c>
      <c r="M7065" s="154" t="str">
        <f t="shared" si="533"/>
        <v>High_Base_High_Upgraded_Acidification Potential (AP) - kg SO2 eq_Aeration Tanks; wastewater treatment unit; at updated plant - US_Without Amendment_Windrow</v>
      </c>
    </row>
    <row r="7066" spans="1:13" s="120" customFormat="1" x14ac:dyDescent="0.25">
      <c r="A7066" s="119"/>
      <c r="B7066" s="138" t="str">
        <f t="shared" si="531"/>
        <v>Windrow</v>
      </c>
      <c r="C7066" s="138" t="str">
        <f t="shared" si="534"/>
        <v>Without Amendment</v>
      </c>
      <c r="D7066" s="138" t="str">
        <f t="shared" si="536"/>
        <v>Base_High</v>
      </c>
      <c r="E7066" s="138" t="str">
        <f t="shared" si="535"/>
        <v>High</v>
      </c>
      <c r="F7066" s="138" t="str">
        <f t="shared" si="532"/>
        <v>Upgraded</v>
      </c>
      <c r="G7066" s="153"/>
      <c r="H7066" s="210">
        <v>0.88329999999999997</v>
      </c>
      <c r="I7066" s="160" t="s">
        <v>271</v>
      </c>
      <c r="J7066" s="160">
        <v>6.5700000000000003E-3</v>
      </c>
      <c r="K7066" s="160" t="s">
        <v>24</v>
      </c>
      <c r="L7066" s="154" t="str">
        <f>IF(OpenLCAbasic!K7066="CTUh", "Fill in Manually",IF(OR(K7066="Unit", K7066=""), "", INDEX(LookUps!$E$5:$E$12, MATCH(OpenLCAbasic!K7066,LookUps!$D$5:$D$12,0))))</f>
        <v>Acidification Potential (AP) - kg SO2 eq</v>
      </c>
      <c r="M7066" s="154" t="str">
        <f t="shared" si="533"/>
        <v>High_Base_High_Upgraded_Acidification Potential (AP) - kg SO2 eq_Biosolids composting; windrow composting; wastewater treatment unit; at updated plant - US_Without Amendment_Windrow</v>
      </c>
    </row>
    <row r="7067" spans="1:13" s="120" customFormat="1" x14ac:dyDescent="0.25">
      <c r="A7067" s="119"/>
      <c r="B7067" s="138" t="str">
        <f t="shared" si="531"/>
        <v>Windrow</v>
      </c>
      <c r="C7067" s="138" t="str">
        <f t="shared" si="534"/>
        <v>Without Amendment</v>
      </c>
      <c r="D7067" s="138" t="str">
        <f t="shared" si="536"/>
        <v>Base_High</v>
      </c>
      <c r="E7067" s="138" t="str">
        <f t="shared" si="535"/>
        <v>High</v>
      </c>
      <c r="F7067" s="138" t="str">
        <f t="shared" si="532"/>
        <v>Upgraded</v>
      </c>
      <c r="G7067" s="153"/>
      <c r="H7067" s="210">
        <v>0.6694</v>
      </c>
      <c r="I7067" s="160" t="s">
        <v>54</v>
      </c>
      <c r="J7067" s="160">
        <v>4.9800000000000001E-3</v>
      </c>
      <c r="K7067" s="160" t="s">
        <v>24</v>
      </c>
      <c r="L7067" s="154" t="str">
        <f>IF(OpenLCAbasic!K7067="CTUh", "Fill in Manually",IF(OR(K7067="Unit", K7067=""), "", INDEX(LookUps!$E$5:$E$12, MATCH(OpenLCAbasic!K7067,LookUps!$D$5:$D$12,0))))</f>
        <v>Acidification Potential (AP) - kg SO2 eq</v>
      </c>
      <c r="M7067" s="154" t="str">
        <f t="shared" si="533"/>
        <v>High_Base_High_Upgraded_Acidification Potential (AP) - kg SO2 eq_Clear Cove Primary Clarification; wastewater treatment unit; at updated plant - US_Without Amendment_Windrow</v>
      </c>
    </row>
    <row r="7068" spans="1:13" s="120" customFormat="1" x14ac:dyDescent="0.25">
      <c r="A7068" s="119"/>
      <c r="B7068" s="138" t="str">
        <f t="shared" si="531"/>
        <v>Windrow</v>
      </c>
      <c r="C7068" s="138" t="str">
        <f t="shared" si="534"/>
        <v>Without Amendment</v>
      </c>
      <c r="D7068" s="138" t="str">
        <f t="shared" si="536"/>
        <v>Base_High</v>
      </c>
      <c r="E7068" s="138" t="str">
        <f t="shared" si="535"/>
        <v>High</v>
      </c>
      <c r="F7068" s="138" t="str">
        <f t="shared" si="532"/>
        <v>Upgraded</v>
      </c>
      <c r="G7068" s="153"/>
      <c r="H7068" s="210">
        <v>0.58220000000000005</v>
      </c>
      <c r="I7068" s="160" t="s">
        <v>58</v>
      </c>
      <c r="J7068" s="160">
        <v>4.3299999999999996E-3</v>
      </c>
      <c r="K7068" s="160" t="s">
        <v>24</v>
      </c>
      <c r="L7068" s="154" t="str">
        <f>IF(OpenLCAbasic!K7068="CTUh", "Fill in Manually",IF(OR(K7068="Unit", K7068=""), "", INDEX(LookUps!$E$5:$E$12, MATCH(OpenLCAbasic!K7068,LookUps!$D$5:$D$12,0))))</f>
        <v>Acidification Potential (AP) - kg SO2 eq</v>
      </c>
      <c r="M7068" s="154" t="str">
        <f t="shared" si="533"/>
        <v>High_Base_High_Upgraded_Acidification Potential (AP) - kg SO2 eq_Pre-Anoxic &amp; Swing tank; wastewater treatment unit; at updated plant - US_Without Amendment_Windrow</v>
      </c>
    </row>
    <row r="7069" spans="1:13" s="120" customFormat="1" x14ac:dyDescent="0.25">
      <c r="A7069" s="119"/>
      <c r="B7069" s="138" t="str">
        <f t="shared" si="531"/>
        <v>Windrow</v>
      </c>
      <c r="C7069" s="138" t="str">
        <f t="shared" si="534"/>
        <v>Without Amendment</v>
      </c>
      <c r="D7069" s="138" t="str">
        <f t="shared" si="536"/>
        <v>Base_High</v>
      </c>
      <c r="E7069" s="138" t="str">
        <f t="shared" si="535"/>
        <v>High</v>
      </c>
      <c r="F7069" s="138" t="str">
        <f t="shared" si="532"/>
        <v>Upgraded</v>
      </c>
      <c r="G7069" s="153"/>
      <c r="H7069" s="210">
        <v>0.46379999999999999</v>
      </c>
      <c r="I7069" s="160" t="s">
        <v>53</v>
      </c>
      <c r="J7069" s="160">
        <v>3.4499999999999999E-3</v>
      </c>
      <c r="K7069" s="160" t="s">
        <v>24</v>
      </c>
      <c r="L7069" s="154" t="str">
        <f>IF(OpenLCAbasic!K7069="CTUh", "Fill in Manually",IF(OR(K7069="Unit", K7069=""), "", INDEX(LookUps!$E$5:$E$12, MATCH(OpenLCAbasic!K7069,LookUps!$D$5:$D$12,0))))</f>
        <v>Acidification Potential (AP) - kg SO2 eq</v>
      </c>
      <c r="M7069" s="154" t="str">
        <f t="shared" si="533"/>
        <v>High_Base_High_Upgraded_Acidification Potential (AP) - kg SO2 eq_Wet Well and Sump Station; wastewater treatment unit; at updated plant - US_Without Amendment_Windrow</v>
      </c>
    </row>
    <row r="7070" spans="1:13" s="120" customFormat="1" x14ac:dyDescent="0.25">
      <c r="A7070" s="119"/>
      <c r="B7070" s="138" t="str">
        <f t="shared" si="531"/>
        <v>Windrow</v>
      </c>
      <c r="C7070" s="138" t="str">
        <f t="shared" si="534"/>
        <v>Without Amendment</v>
      </c>
      <c r="D7070" s="138" t="str">
        <f t="shared" si="536"/>
        <v>Base_High</v>
      </c>
      <c r="E7070" s="138" t="str">
        <f t="shared" si="535"/>
        <v>High</v>
      </c>
      <c r="F7070" s="138" t="str">
        <f t="shared" si="532"/>
        <v>Upgraded</v>
      </c>
      <c r="G7070" s="153"/>
      <c r="H7070" s="210">
        <v>0.31919999999999998</v>
      </c>
      <c r="I7070" s="160" t="s">
        <v>167</v>
      </c>
      <c r="J7070" s="160">
        <v>2.3800000000000002E-3</v>
      </c>
      <c r="K7070" s="160" t="s">
        <v>24</v>
      </c>
      <c r="L7070" s="154" t="str">
        <f>IF(OpenLCAbasic!K7070="CTUh", "Fill in Manually",IF(OR(K7070="Unit", K7070=""), "", INDEX(LookUps!$E$5:$E$12, MATCH(OpenLCAbasic!K7070,LookUps!$D$5:$D$12,0))))</f>
        <v>Acidification Potential (AP) - kg SO2 eq</v>
      </c>
      <c r="M7070" s="154" t="str">
        <f t="shared" si="533"/>
        <v>High_Base_High_Upgraded_Acidification Potential (AP) - kg SO2 eq_Waste Receiving and Holding; wastewater treatment unit; at updated plant - US_Without Amendment_Windrow</v>
      </c>
    </row>
    <row r="7071" spans="1:13" s="120" customFormat="1" x14ac:dyDescent="0.25">
      <c r="A7071" s="119"/>
      <c r="B7071" s="138" t="str">
        <f t="shared" si="531"/>
        <v>Windrow</v>
      </c>
      <c r="C7071" s="138" t="str">
        <f t="shared" si="534"/>
        <v>Without Amendment</v>
      </c>
      <c r="D7071" s="138" t="str">
        <f t="shared" si="536"/>
        <v>Base_High</v>
      </c>
      <c r="E7071" s="138" t="str">
        <f t="shared" si="535"/>
        <v>High</v>
      </c>
      <c r="F7071" s="138" t="str">
        <f t="shared" si="532"/>
        <v>Upgraded</v>
      </c>
      <c r="G7071" s="153"/>
      <c r="H7071" s="210">
        <v>0.27800000000000002</v>
      </c>
      <c r="I7071" s="160" t="s">
        <v>147</v>
      </c>
      <c r="J7071" s="160">
        <v>2.0699999999999998E-3</v>
      </c>
      <c r="K7071" s="160" t="s">
        <v>24</v>
      </c>
      <c r="L7071" s="154" t="str">
        <f>IF(OpenLCAbasic!K7071="CTUh", "Fill in Manually",IF(OR(K7071="Unit", K7071=""), "", INDEX(LookUps!$E$5:$E$12, MATCH(OpenLCAbasic!K7071,LookUps!$D$5:$D$12,0))))</f>
        <v>Acidification Potential (AP) - kg SO2 eq</v>
      </c>
      <c r="M7071" s="154" t="str">
        <f t="shared" si="533"/>
        <v>High_Base_High_Upgraded_Acidification Potential (AP) - kg SO2 eq_Influent Pump Station; wastewater treatment unit; at updated plant - US_Without Amendment_Windrow</v>
      </c>
    </row>
    <row r="7072" spans="1:13" s="120" customFormat="1" x14ac:dyDescent="0.25">
      <c r="A7072" s="119"/>
      <c r="B7072" s="138" t="str">
        <f t="shared" si="531"/>
        <v>Windrow</v>
      </c>
      <c r="C7072" s="138" t="str">
        <f t="shared" si="534"/>
        <v>Without Amendment</v>
      </c>
      <c r="D7072" s="138" t="str">
        <f t="shared" si="536"/>
        <v>Base_High</v>
      </c>
      <c r="E7072" s="138" t="str">
        <f t="shared" si="535"/>
        <v>High</v>
      </c>
      <c r="F7072" s="138" t="str">
        <f t="shared" si="532"/>
        <v>Upgraded</v>
      </c>
      <c r="G7072" s="153"/>
      <c r="H7072" s="210">
        <v>0.19839999999999999</v>
      </c>
      <c r="I7072" s="160" t="s">
        <v>62</v>
      </c>
      <c r="J7072" s="160">
        <v>1.48E-3</v>
      </c>
      <c r="K7072" s="160" t="s">
        <v>24</v>
      </c>
      <c r="L7072" s="154" t="str">
        <f>IF(OpenLCAbasic!K7072="CTUh", "Fill in Manually",IF(OR(K7072="Unit", K7072=""), "", INDEX(LookUps!$E$5:$E$12, MATCH(OpenLCAbasic!K7072,LookUps!$D$5:$D$12,0))))</f>
        <v>Acidification Potential (AP) - kg SO2 eq</v>
      </c>
      <c r="M7072" s="154" t="str">
        <f t="shared" si="533"/>
        <v>High_Base_High_Upgraded_Acidification Potential (AP) - kg SO2 eq_Land application of compost; wastewater treatment unit; at updated plant - US_Without Amendment_Windrow</v>
      </c>
    </row>
    <row r="7073" spans="1:13" s="120" customFormat="1" x14ac:dyDescent="0.25">
      <c r="A7073" s="119"/>
      <c r="B7073" s="138" t="str">
        <f t="shared" si="531"/>
        <v>Windrow</v>
      </c>
      <c r="C7073" s="138" t="str">
        <f t="shared" si="534"/>
        <v>Without Amendment</v>
      </c>
      <c r="D7073" s="138" t="str">
        <f t="shared" si="536"/>
        <v>Base_High</v>
      </c>
      <c r="E7073" s="138" t="str">
        <f t="shared" si="535"/>
        <v>High</v>
      </c>
      <c r="F7073" s="138" t="str">
        <f t="shared" si="532"/>
        <v>Upgraded</v>
      </c>
      <c r="G7073" s="153"/>
      <c r="H7073" s="210">
        <v>0.16569999999999999</v>
      </c>
      <c r="I7073" s="160" t="s">
        <v>128</v>
      </c>
      <c r="J7073" s="160">
        <v>1.23E-3</v>
      </c>
      <c r="K7073" s="160" t="s">
        <v>24</v>
      </c>
      <c r="L7073" s="154" t="str">
        <f>IF(OpenLCAbasic!K7073="CTUh", "Fill in Manually",IF(OR(K7073="Unit", K7073=""), "", INDEX(LookUps!$E$5:$E$12, MATCH(OpenLCAbasic!K7073,LookUps!$D$5:$D$12,0))))</f>
        <v>Acidification Potential (AP) - kg SO2 eq</v>
      </c>
      <c r="M7073" s="154" t="str">
        <f t="shared" si="533"/>
        <v>High_Base_High_Upgraded_Acidification Potential (AP) - kg SO2 eq_Wastewater collection; operation and infrastructure; m3 wastewater_Without Amendment_Windrow</v>
      </c>
    </row>
    <row r="7074" spans="1:13" s="120" customFormat="1" x14ac:dyDescent="0.25">
      <c r="A7074" s="119"/>
      <c r="B7074" s="138" t="str">
        <f t="shared" si="531"/>
        <v>Windrow</v>
      </c>
      <c r="C7074" s="138" t="str">
        <f t="shared" si="534"/>
        <v>Without Amendment</v>
      </c>
      <c r="D7074" s="138" t="str">
        <f t="shared" si="536"/>
        <v>Base_High</v>
      </c>
      <c r="E7074" s="138" t="str">
        <f t="shared" si="535"/>
        <v>High</v>
      </c>
      <c r="F7074" s="138" t="str">
        <f t="shared" si="532"/>
        <v>Upgraded</v>
      </c>
      <c r="G7074" s="153"/>
      <c r="H7074" s="210">
        <v>0.1</v>
      </c>
      <c r="I7074" s="160" t="s">
        <v>60</v>
      </c>
      <c r="J7074" s="160">
        <v>7.3999999999999999E-4</v>
      </c>
      <c r="K7074" s="160" t="s">
        <v>24</v>
      </c>
      <c r="L7074" s="154" t="str">
        <f>IF(OpenLCAbasic!K7074="CTUh", "Fill in Manually",IF(OR(K7074="Unit", K7074=""), "", INDEX(LookUps!$E$5:$E$12, MATCH(OpenLCAbasic!K7074,LookUps!$D$5:$D$12,0))))</f>
        <v>Acidification Potential (AP) - kg SO2 eq</v>
      </c>
      <c r="M7074" s="154" t="str">
        <f t="shared" si="533"/>
        <v>High_Base_High_Upgraded_Acidification Potential (AP) - kg SO2 eq_Belt filter press; wastewater treatment unit; at updated plant - US_Without Amendment_Windrow</v>
      </c>
    </row>
    <row r="7075" spans="1:13" s="120" customFormat="1" x14ac:dyDescent="0.25">
      <c r="A7075" s="119"/>
      <c r="B7075" s="138" t="str">
        <f t="shared" si="531"/>
        <v>Windrow</v>
      </c>
      <c r="C7075" s="138" t="str">
        <f t="shared" si="534"/>
        <v>Without Amendment</v>
      </c>
      <c r="D7075" s="138" t="str">
        <f t="shared" si="536"/>
        <v>Base_High</v>
      </c>
      <c r="E7075" s="138" t="str">
        <f t="shared" si="535"/>
        <v>High</v>
      </c>
      <c r="F7075" s="138" t="str">
        <f t="shared" si="532"/>
        <v>Upgraded</v>
      </c>
      <c r="G7075" s="153"/>
      <c r="H7075" s="210">
        <v>9.4600000000000004E-2</v>
      </c>
      <c r="I7075" s="160" t="s">
        <v>57</v>
      </c>
      <c r="J7075" s="160">
        <v>6.9999999999999999E-4</v>
      </c>
      <c r="K7075" s="160" t="s">
        <v>24</v>
      </c>
      <c r="L7075" s="154" t="str">
        <f>IF(OpenLCAbasic!K7075="CTUh", "Fill in Manually",IF(OR(K7075="Unit", K7075=""), "", INDEX(LookUps!$E$5:$E$12, MATCH(OpenLCAbasic!K7075,LookUps!$D$5:$D$12,0))))</f>
        <v>Acidification Potential (AP) - kg SO2 eq</v>
      </c>
      <c r="M7075" s="154" t="str">
        <f t="shared" si="533"/>
        <v>High_Base_High_Upgraded_Acidification Potential (AP) - kg SO2 eq_Gravity Belt Thickener; wastewater treatment unit; at updated plant - US_Without Amendment_Windrow</v>
      </c>
    </row>
    <row r="7076" spans="1:13" s="120" customFormat="1" x14ac:dyDescent="0.25">
      <c r="A7076" s="119"/>
      <c r="B7076" s="138" t="str">
        <f t="shared" si="531"/>
        <v>Windrow</v>
      </c>
      <c r="C7076" s="138" t="str">
        <f t="shared" si="534"/>
        <v>Without Amendment</v>
      </c>
      <c r="D7076" s="138" t="str">
        <f t="shared" si="536"/>
        <v>Base_High</v>
      </c>
      <c r="E7076" s="138" t="str">
        <f t="shared" si="535"/>
        <v>High</v>
      </c>
      <c r="F7076" s="138" t="str">
        <f t="shared" si="532"/>
        <v>Upgraded</v>
      </c>
      <c r="G7076" s="153"/>
      <c r="H7076" s="210">
        <v>6.9400000000000003E-2</v>
      </c>
      <c r="I7076" s="160" t="s">
        <v>59</v>
      </c>
      <c r="J7076" s="160">
        <v>5.1999999999999995E-4</v>
      </c>
      <c r="K7076" s="160" t="s">
        <v>24</v>
      </c>
      <c r="L7076" s="154" t="str">
        <f>IF(OpenLCAbasic!K7076="CTUh", "Fill in Manually",IF(OR(K7076="Unit", K7076=""), "", INDEX(LookUps!$E$5:$E$12, MATCH(OpenLCAbasic!K7076,LookUps!$D$5:$D$12,0))))</f>
        <v>Acidification Potential (AP) - kg SO2 eq</v>
      </c>
      <c r="M7076" s="154" t="str">
        <f t="shared" si="533"/>
        <v>High_Base_High_Upgraded_Acidification Potential (AP) - kg SO2 eq_Blend Tank; wastewater treatment unit; at updated plant - US_Without Amendment_Windrow</v>
      </c>
    </row>
    <row r="7077" spans="1:13" s="120" customFormat="1" x14ac:dyDescent="0.25">
      <c r="A7077" s="119"/>
      <c r="B7077" s="138" t="str">
        <f t="shared" si="531"/>
        <v>Windrow</v>
      </c>
      <c r="C7077" s="138" t="str">
        <f t="shared" si="534"/>
        <v>Without Amendment</v>
      </c>
      <c r="D7077" s="138" t="str">
        <f t="shared" si="536"/>
        <v>Base_High</v>
      </c>
      <c r="E7077" s="138" t="str">
        <f t="shared" si="535"/>
        <v>High</v>
      </c>
      <c r="F7077" s="138" t="str">
        <f t="shared" si="532"/>
        <v>Upgraded</v>
      </c>
      <c r="G7077" s="153"/>
      <c r="H7077" s="210">
        <v>4.6600000000000003E-2</v>
      </c>
      <c r="I7077" s="160" t="s">
        <v>48</v>
      </c>
      <c r="J7077" s="160">
        <v>3.5E-4</v>
      </c>
      <c r="K7077" s="160" t="s">
        <v>24</v>
      </c>
      <c r="L7077" s="154" t="str">
        <f>IF(OpenLCAbasic!K7077="CTUh", "Fill in Manually",IF(OR(K7077="Unit", K7077=""), "", INDEX(LookUps!$E$5:$E$12, MATCH(OpenLCAbasic!K7077,LookUps!$D$5:$D$12,0))))</f>
        <v>Acidification Potential (AP) - kg SO2 eq</v>
      </c>
      <c r="M7077" s="154" t="str">
        <f t="shared" si="533"/>
        <v>High_Base_High_Upgraded_Acidification Potential (AP) - kg SO2 eq_Effluent release; wastewater treatment unit; at surface water; m3 wastewater - US_Without Amendment_Windrow</v>
      </c>
    </row>
    <row r="7078" spans="1:13" s="120" customFormat="1" x14ac:dyDescent="0.25">
      <c r="A7078" s="119"/>
      <c r="B7078" s="138" t="str">
        <f t="shared" si="531"/>
        <v>Windrow</v>
      </c>
      <c r="C7078" s="138" t="str">
        <f t="shared" si="534"/>
        <v>Without Amendment</v>
      </c>
      <c r="D7078" s="138" t="str">
        <f t="shared" si="536"/>
        <v>Base_High</v>
      </c>
      <c r="E7078" s="138" t="str">
        <f t="shared" si="535"/>
        <v>High</v>
      </c>
      <c r="F7078" s="138" t="str">
        <f t="shared" si="532"/>
        <v>Upgraded</v>
      </c>
      <c r="G7078" s="153"/>
      <c r="H7078" s="210">
        <v>3.4299999999999997E-2</v>
      </c>
      <c r="I7078" s="160" t="s">
        <v>168</v>
      </c>
      <c r="J7078" s="160">
        <v>2.5999999999999998E-4</v>
      </c>
      <c r="K7078" s="160" t="s">
        <v>24</v>
      </c>
      <c r="L7078" s="154" t="str">
        <f>IF(OpenLCAbasic!K7078="CTUh", "Fill in Manually",IF(OR(K7078="Unit", K7078=""), "", INDEX(LookUps!$E$5:$E$12, MATCH(OpenLCAbasic!K7078,LookUps!$D$5:$D$12,0))))</f>
        <v>Acidification Potential (AP) - kg SO2 eq</v>
      </c>
      <c r="M7078" s="154" t="str">
        <f t="shared" si="533"/>
        <v>High_Base_High_Upgraded_Acidification Potential (AP) - kg SO2 eq_ClearCove SCP; wastewater treatment unit; at updated plant - US_Without Amendment_Windrow</v>
      </c>
    </row>
    <row r="7079" spans="1:13" s="120" customFormat="1" x14ac:dyDescent="0.25">
      <c r="A7079" s="119"/>
      <c r="B7079" s="138" t="str">
        <f t="shared" si="531"/>
        <v>Windrow</v>
      </c>
      <c r="C7079" s="138" t="str">
        <f t="shared" si="534"/>
        <v>Without Amendment</v>
      </c>
      <c r="D7079" s="138" t="str">
        <f t="shared" si="536"/>
        <v>Base_High</v>
      </c>
      <c r="E7079" s="138" t="str">
        <f t="shared" si="535"/>
        <v>High</v>
      </c>
      <c r="F7079" s="138" t="str">
        <f t="shared" si="532"/>
        <v>Upgraded</v>
      </c>
      <c r="G7079" s="153"/>
      <c r="H7079" s="210">
        <v>5.4000000000000003E-3</v>
      </c>
      <c r="I7079" s="160" t="s">
        <v>148</v>
      </c>
      <c r="J7079" s="211">
        <v>4.0354700000000002E-5</v>
      </c>
      <c r="K7079" s="160" t="s">
        <v>24</v>
      </c>
      <c r="L7079" s="154" t="str">
        <f>IF(OpenLCAbasic!K7079="CTUh", "Fill in Manually",IF(OR(K7079="Unit", K7079=""), "", INDEX(LookUps!$E$5:$E$12, MATCH(OpenLCAbasic!K7079,LookUps!$D$5:$D$12,0))))</f>
        <v>Acidification Potential (AP) - kg SO2 eq</v>
      </c>
      <c r="M7079" s="154" t="str">
        <f t="shared" si="533"/>
        <v>High_Base_High_Upgraded_Acidification Potential (AP) - kg SO2 eq_Control Building; at upgraded wastewater treatment plant - US_Without Amendment_Windrow</v>
      </c>
    </row>
    <row r="7080" spans="1:13" s="120" customFormat="1" x14ac:dyDescent="0.25">
      <c r="A7080" s="119"/>
      <c r="B7080" s="138" t="str">
        <f t="shared" ref="B7080:B7143" si="537">IF(F7080="Legacy","n.a.",IF(F7080="","","Windrow"))</f>
        <v>Windrow</v>
      </c>
      <c r="C7080" s="138" t="str">
        <f t="shared" si="534"/>
        <v>Without Amendment</v>
      </c>
      <c r="D7080" s="138" t="str">
        <f t="shared" si="536"/>
        <v>Base_High</v>
      </c>
      <c r="E7080" s="138" t="str">
        <f t="shared" si="535"/>
        <v>High</v>
      </c>
      <c r="F7080" s="138" t="str">
        <f t="shared" ref="F7080:F7143" si="538">IF(ISNUMBER(J7080),"Upgraded","")</f>
        <v>Upgraded</v>
      </c>
      <c r="G7080" s="153"/>
      <c r="H7080" s="210">
        <v>-5.2245999999999997</v>
      </c>
      <c r="I7080" s="160" t="s">
        <v>149</v>
      </c>
      <c r="J7080" s="160">
        <v>-3.8870000000000002E-2</v>
      </c>
      <c r="K7080" s="160" t="s">
        <v>24</v>
      </c>
      <c r="L7080" s="154" t="str">
        <f>IF(OpenLCAbasic!K7080="CTUh", "Fill in Manually",IF(OR(K7080="Unit", K7080=""), "", INDEX(LookUps!$E$5:$E$12, MATCH(OpenLCAbasic!K7080,LookUps!$D$5:$D$12,0))))</f>
        <v>Acidification Potential (AP) - kg SO2 eq</v>
      </c>
      <c r="M7080" s="154" t="str">
        <f t="shared" si="533"/>
        <v>High_Base_High_Upgraded_Acidification Potential (AP) - kg SO2 eq_Anaerobic Digestion; wastewater treatment unit; at updated plant - US_Without Amendment_Windrow</v>
      </c>
    </row>
    <row r="7081" spans="1:13" s="120" customFormat="1" x14ac:dyDescent="0.25">
      <c r="A7081" s="119"/>
      <c r="B7081" s="138" t="str">
        <f t="shared" si="537"/>
        <v/>
      </c>
      <c r="C7081" s="138" t="str">
        <f t="shared" si="534"/>
        <v/>
      </c>
      <c r="D7081" s="138" t="str">
        <f t="shared" si="536"/>
        <v/>
      </c>
      <c r="E7081" s="138" t="str">
        <f t="shared" si="535"/>
        <v/>
      </c>
      <c r="F7081" s="138" t="str">
        <f t="shared" si="538"/>
        <v/>
      </c>
      <c r="G7081" s="153" t="s">
        <v>51</v>
      </c>
      <c r="H7081" s="160"/>
      <c r="I7081" s="160" t="s">
        <v>47</v>
      </c>
      <c r="J7081" s="160" t="s">
        <v>52</v>
      </c>
      <c r="K7081" s="160" t="s">
        <v>27</v>
      </c>
      <c r="L7081" s="154" t="str">
        <f>IF(OpenLCAbasic!K7081="CTUh", "Fill in Manually",IF(OR(K7081="Unit", K7081=""), "", INDEX(LookUps!$E$5:$E$12, MATCH(OpenLCAbasic!K7081,LookUps!$D$5:$D$12,0))))</f>
        <v/>
      </c>
      <c r="M7081" s="154" t="str">
        <f t="shared" si="533"/>
        <v>____Process__</v>
      </c>
    </row>
    <row r="7082" spans="1:13" s="120" customFormat="1" x14ac:dyDescent="0.25">
      <c r="A7082" s="119"/>
      <c r="B7082" s="138" t="str">
        <f t="shared" si="537"/>
        <v>Windrow</v>
      </c>
      <c r="C7082" s="138" t="str">
        <f t="shared" si="534"/>
        <v>Without Amendment</v>
      </c>
      <c r="D7082" s="138" t="str">
        <f t="shared" si="536"/>
        <v>Base_High</v>
      </c>
      <c r="E7082" s="138" t="str">
        <f t="shared" si="535"/>
        <v>High</v>
      </c>
      <c r="F7082" s="138" t="str">
        <f t="shared" si="538"/>
        <v>Upgraded</v>
      </c>
      <c r="G7082" s="153"/>
      <c r="H7082" s="210">
        <v>8.5333000000000006</v>
      </c>
      <c r="I7082" s="160" t="s">
        <v>55</v>
      </c>
      <c r="J7082" s="160">
        <v>3.5330499999999998</v>
      </c>
      <c r="K7082" s="160" t="s">
        <v>15</v>
      </c>
      <c r="L7082" s="154" t="str">
        <f>IF(OpenLCAbasic!K7082="CTUh", "Fill in Manually",IF(OR(K7082="Unit", K7082=""), "", INDEX(LookUps!$E$5:$E$12, MATCH(OpenLCAbasic!K7082,LookUps!$D$5:$D$12,0))))</f>
        <v>Cumulative Energy Demand (CED) - MJ</v>
      </c>
      <c r="M7082" s="154" t="str">
        <f t="shared" si="533"/>
        <v>High_Base_High_Upgraded_Cumulative Energy Demand (CED) - MJ_Aeration Tanks; wastewater treatment unit; at updated plant - US_Without Amendment_Windrow</v>
      </c>
    </row>
    <row r="7083" spans="1:13" s="120" customFormat="1" x14ac:dyDescent="0.25">
      <c r="A7083" s="119"/>
      <c r="B7083" s="138" t="str">
        <f t="shared" si="537"/>
        <v>Windrow</v>
      </c>
      <c r="C7083" s="138" t="str">
        <f t="shared" si="534"/>
        <v>Without Amendment</v>
      </c>
      <c r="D7083" s="138" t="str">
        <f t="shared" si="536"/>
        <v>Base_High</v>
      </c>
      <c r="E7083" s="138" t="str">
        <f t="shared" si="535"/>
        <v>High</v>
      </c>
      <c r="F7083" s="138" t="str">
        <f t="shared" si="538"/>
        <v>Upgraded</v>
      </c>
      <c r="G7083" s="153"/>
      <c r="H7083" s="210">
        <v>8.4492999999999991</v>
      </c>
      <c r="I7083" s="160" t="s">
        <v>167</v>
      </c>
      <c r="J7083" s="160">
        <v>3.4982700000000002</v>
      </c>
      <c r="K7083" s="160" t="s">
        <v>15</v>
      </c>
      <c r="L7083" s="154" t="str">
        <f>IF(OpenLCAbasic!K7083="CTUh", "Fill in Manually",IF(OR(K7083="Unit", K7083=""), "", INDEX(LookUps!$E$5:$E$12, MATCH(OpenLCAbasic!K7083,LookUps!$D$5:$D$12,0))))</f>
        <v>Cumulative Energy Demand (CED) - MJ</v>
      </c>
      <c r="M7083" s="154" t="str">
        <f t="shared" si="533"/>
        <v>High_Base_High_Upgraded_Cumulative Energy Demand (CED) - MJ_Waste Receiving and Holding; wastewater treatment unit; at updated plant - US_Without Amendment_Windrow</v>
      </c>
    </row>
    <row r="7084" spans="1:13" s="120" customFormat="1" x14ac:dyDescent="0.25">
      <c r="A7084" s="119"/>
      <c r="B7084" s="138" t="str">
        <f t="shared" si="537"/>
        <v>Windrow</v>
      </c>
      <c r="C7084" s="138" t="str">
        <f t="shared" si="534"/>
        <v>Without Amendment</v>
      </c>
      <c r="D7084" s="138" t="str">
        <f t="shared" si="536"/>
        <v>Base_High</v>
      </c>
      <c r="E7084" s="138" t="str">
        <f t="shared" si="535"/>
        <v>High</v>
      </c>
      <c r="F7084" s="138" t="str">
        <f t="shared" si="538"/>
        <v>Upgraded</v>
      </c>
      <c r="G7084" s="153"/>
      <c r="H7084" s="210">
        <v>2.8087</v>
      </c>
      <c r="I7084" s="160" t="s">
        <v>54</v>
      </c>
      <c r="J7084" s="160">
        <v>1.16289</v>
      </c>
      <c r="K7084" s="160" t="s">
        <v>15</v>
      </c>
      <c r="L7084" s="154" t="str">
        <f>IF(OpenLCAbasic!K7084="CTUh", "Fill in Manually",IF(OR(K7084="Unit", K7084=""), "", INDEX(LookUps!$E$5:$E$12, MATCH(OpenLCAbasic!K7084,LookUps!$D$5:$D$12,0))))</f>
        <v>Cumulative Energy Demand (CED) - MJ</v>
      </c>
      <c r="M7084" s="154" t="str">
        <f t="shared" si="533"/>
        <v>High_Base_High_Upgraded_Cumulative Energy Demand (CED) - MJ_Clear Cove Primary Clarification; wastewater treatment unit; at updated plant - US_Without Amendment_Windrow</v>
      </c>
    </row>
    <row r="7085" spans="1:13" s="120" customFormat="1" x14ac:dyDescent="0.25">
      <c r="A7085" s="119"/>
      <c r="B7085" s="138" t="str">
        <f t="shared" si="537"/>
        <v>Windrow</v>
      </c>
      <c r="C7085" s="138" t="str">
        <f t="shared" si="534"/>
        <v>Without Amendment</v>
      </c>
      <c r="D7085" s="138" t="str">
        <f t="shared" si="536"/>
        <v>Base_High</v>
      </c>
      <c r="E7085" s="138" t="str">
        <f t="shared" si="535"/>
        <v>High</v>
      </c>
      <c r="F7085" s="138" t="str">
        <f t="shared" si="538"/>
        <v>Upgraded</v>
      </c>
      <c r="G7085" s="153"/>
      <c r="H7085" s="210">
        <v>2.1355</v>
      </c>
      <c r="I7085" s="160" t="s">
        <v>58</v>
      </c>
      <c r="J7085" s="160">
        <v>0.88417000000000001</v>
      </c>
      <c r="K7085" s="160" t="s">
        <v>15</v>
      </c>
      <c r="L7085" s="154" t="str">
        <f>IF(OpenLCAbasic!K7085="CTUh", "Fill in Manually",IF(OR(K7085="Unit", K7085=""), "", INDEX(LookUps!$E$5:$E$12, MATCH(OpenLCAbasic!K7085,LookUps!$D$5:$D$12,0))))</f>
        <v>Cumulative Energy Demand (CED) - MJ</v>
      </c>
      <c r="M7085" s="154" t="str">
        <f t="shared" si="533"/>
        <v>High_Base_High_Upgraded_Cumulative Energy Demand (CED) - MJ_Pre-Anoxic &amp; Swing tank; wastewater treatment unit; at updated plant - US_Without Amendment_Windrow</v>
      </c>
    </row>
    <row r="7086" spans="1:13" s="120" customFormat="1" x14ac:dyDescent="0.25">
      <c r="A7086" s="119"/>
      <c r="B7086" s="138" t="str">
        <f t="shared" si="537"/>
        <v>Windrow</v>
      </c>
      <c r="C7086" s="138" t="str">
        <f t="shared" si="534"/>
        <v>Without Amendment</v>
      </c>
      <c r="D7086" s="138" t="str">
        <f t="shared" si="536"/>
        <v>Base_High</v>
      </c>
      <c r="E7086" s="138" t="str">
        <f t="shared" si="535"/>
        <v>High</v>
      </c>
      <c r="F7086" s="138" t="str">
        <f t="shared" si="538"/>
        <v>Upgraded</v>
      </c>
      <c r="G7086" s="153"/>
      <c r="H7086" s="210">
        <v>2.1326000000000001</v>
      </c>
      <c r="I7086" s="160" t="s">
        <v>147</v>
      </c>
      <c r="J7086" s="160">
        <v>0.88297000000000003</v>
      </c>
      <c r="K7086" s="160" t="s">
        <v>15</v>
      </c>
      <c r="L7086" s="154" t="str">
        <f>IF(OpenLCAbasic!K7086="CTUh", "Fill in Manually",IF(OR(K7086="Unit", K7086=""), "", INDEX(LookUps!$E$5:$E$12, MATCH(OpenLCAbasic!K7086,LookUps!$D$5:$D$12,0))))</f>
        <v>Cumulative Energy Demand (CED) - MJ</v>
      </c>
      <c r="M7086" s="154" t="str">
        <f t="shared" si="533"/>
        <v>High_Base_High_Upgraded_Cumulative Energy Demand (CED) - MJ_Influent Pump Station; wastewater treatment unit; at updated plant - US_Without Amendment_Windrow</v>
      </c>
    </row>
    <row r="7087" spans="1:13" s="120" customFormat="1" x14ac:dyDescent="0.25">
      <c r="A7087" s="119"/>
      <c r="B7087" s="138" t="str">
        <f t="shared" si="537"/>
        <v>Windrow</v>
      </c>
      <c r="C7087" s="138" t="str">
        <f t="shared" si="534"/>
        <v>Without Amendment</v>
      </c>
      <c r="D7087" s="138" t="str">
        <f t="shared" si="536"/>
        <v>Base_High</v>
      </c>
      <c r="E7087" s="138" t="str">
        <f t="shared" si="535"/>
        <v>High</v>
      </c>
      <c r="F7087" s="138" t="str">
        <f t="shared" si="538"/>
        <v>Upgraded</v>
      </c>
      <c r="G7087" s="153"/>
      <c r="H7087" s="210">
        <v>1.6820999999999999</v>
      </c>
      <c r="I7087" s="160" t="s">
        <v>53</v>
      </c>
      <c r="J7087" s="160">
        <v>0.69645000000000001</v>
      </c>
      <c r="K7087" s="160" t="s">
        <v>15</v>
      </c>
      <c r="L7087" s="154" t="str">
        <f>IF(OpenLCAbasic!K7087="CTUh", "Fill in Manually",IF(OR(K7087="Unit", K7087=""), "", INDEX(LookUps!$E$5:$E$12, MATCH(OpenLCAbasic!K7087,LookUps!$D$5:$D$12,0))))</f>
        <v>Cumulative Energy Demand (CED) - MJ</v>
      </c>
      <c r="M7087" s="154" t="str">
        <f t="shared" si="533"/>
        <v>High_Base_High_Upgraded_Cumulative Energy Demand (CED) - MJ_Wet Well and Sump Station; wastewater treatment unit; at updated plant - US_Without Amendment_Windrow</v>
      </c>
    </row>
    <row r="7088" spans="1:13" s="120" customFormat="1" x14ac:dyDescent="0.25">
      <c r="A7088" s="119"/>
      <c r="B7088" s="138" t="str">
        <f t="shared" si="537"/>
        <v>Windrow</v>
      </c>
      <c r="C7088" s="138" t="str">
        <f t="shared" si="534"/>
        <v>Without Amendment</v>
      </c>
      <c r="D7088" s="138" t="str">
        <f t="shared" si="536"/>
        <v>Base_High</v>
      </c>
      <c r="E7088" s="138" t="str">
        <f t="shared" si="535"/>
        <v>High</v>
      </c>
      <c r="F7088" s="138" t="str">
        <f t="shared" si="538"/>
        <v>Upgraded</v>
      </c>
      <c r="G7088" s="153"/>
      <c r="H7088" s="210">
        <v>0.80679999999999996</v>
      </c>
      <c r="I7088" s="160" t="s">
        <v>57</v>
      </c>
      <c r="J7088" s="160">
        <v>0.33404</v>
      </c>
      <c r="K7088" s="160" t="s">
        <v>15</v>
      </c>
      <c r="L7088" s="154" t="str">
        <f>IF(OpenLCAbasic!K7088="CTUh", "Fill in Manually",IF(OR(K7088="Unit", K7088=""), "", INDEX(LookUps!$E$5:$E$12, MATCH(OpenLCAbasic!K7088,LookUps!$D$5:$D$12,0))))</f>
        <v>Cumulative Energy Demand (CED) - MJ</v>
      </c>
      <c r="M7088" s="154" t="str">
        <f t="shared" si="533"/>
        <v>High_Base_High_Upgraded_Cumulative Energy Demand (CED) - MJ_Gravity Belt Thickener; wastewater treatment unit; at updated plant - US_Without Amendment_Windrow</v>
      </c>
    </row>
    <row r="7089" spans="1:13" s="120" customFormat="1" x14ac:dyDescent="0.25">
      <c r="A7089" s="119"/>
      <c r="B7089" s="138" t="str">
        <f t="shared" si="537"/>
        <v>Windrow</v>
      </c>
      <c r="C7089" s="138" t="str">
        <f t="shared" si="534"/>
        <v>Without Amendment</v>
      </c>
      <c r="D7089" s="138" t="str">
        <f t="shared" si="536"/>
        <v>Base_High</v>
      </c>
      <c r="E7089" s="138" t="str">
        <f t="shared" si="535"/>
        <v>High</v>
      </c>
      <c r="F7089" s="138" t="str">
        <f t="shared" si="538"/>
        <v>Upgraded</v>
      </c>
      <c r="G7089" s="153"/>
      <c r="H7089" s="210">
        <v>0.67090000000000005</v>
      </c>
      <c r="I7089" s="160" t="s">
        <v>60</v>
      </c>
      <c r="J7089" s="160">
        <v>0.27775</v>
      </c>
      <c r="K7089" s="160" t="s">
        <v>15</v>
      </c>
      <c r="L7089" s="154" t="str">
        <f>IF(OpenLCAbasic!K7089="CTUh", "Fill in Manually",IF(OR(K7089="Unit", K7089=""), "", INDEX(LookUps!$E$5:$E$12, MATCH(OpenLCAbasic!K7089,LookUps!$D$5:$D$12,0))))</f>
        <v>Cumulative Energy Demand (CED) - MJ</v>
      </c>
      <c r="M7089" s="154" t="str">
        <f t="shared" si="533"/>
        <v>High_Base_High_Upgraded_Cumulative Energy Demand (CED) - MJ_Belt filter press; wastewater treatment unit; at updated plant - US_Without Amendment_Windrow</v>
      </c>
    </row>
    <row r="7090" spans="1:13" s="120" customFormat="1" x14ac:dyDescent="0.25">
      <c r="A7090" s="119"/>
      <c r="B7090" s="138" t="str">
        <f t="shared" si="537"/>
        <v>Windrow</v>
      </c>
      <c r="C7090" s="138" t="str">
        <f t="shared" si="534"/>
        <v>Without Amendment</v>
      </c>
      <c r="D7090" s="138" t="str">
        <f t="shared" si="536"/>
        <v>Base_High</v>
      </c>
      <c r="E7090" s="138" t="str">
        <f t="shared" si="535"/>
        <v>High</v>
      </c>
      <c r="F7090" s="138" t="str">
        <f t="shared" si="538"/>
        <v>Upgraded</v>
      </c>
      <c r="G7090" s="153"/>
      <c r="H7090" s="210">
        <v>0.61839999999999995</v>
      </c>
      <c r="I7090" s="160" t="s">
        <v>128</v>
      </c>
      <c r="J7090" s="160">
        <v>0.25606000000000001</v>
      </c>
      <c r="K7090" s="160" t="s">
        <v>15</v>
      </c>
      <c r="L7090" s="154" t="str">
        <f>IF(OpenLCAbasic!K7090="CTUh", "Fill in Manually",IF(OR(K7090="Unit", K7090=""), "", INDEX(LookUps!$E$5:$E$12, MATCH(OpenLCAbasic!K7090,LookUps!$D$5:$D$12,0))))</f>
        <v>Cumulative Energy Demand (CED) - MJ</v>
      </c>
      <c r="M7090" s="154" t="str">
        <f t="shared" si="533"/>
        <v>High_Base_High_Upgraded_Cumulative Energy Demand (CED) - MJ_Wastewater collection; operation and infrastructure; m3 wastewater_Without Amendment_Windrow</v>
      </c>
    </row>
    <row r="7091" spans="1:13" s="120" customFormat="1" x14ac:dyDescent="0.25">
      <c r="A7091" s="119"/>
      <c r="B7091" s="138" t="str">
        <f t="shared" si="537"/>
        <v>Windrow</v>
      </c>
      <c r="C7091" s="138" t="str">
        <f t="shared" si="534"/>
        <v>Without Amendment</v>
      </c>
      <c r="D7091" s="138" t="str">
        <f t="shared" si="536"/>
        <v>Base_High</v>
      </c>
      <c r="E7091" s="138" t="str">
        <f t="shared" si="535"/>
        <v>High</v>
      </c>
      <c r="F7091" s="138" t="str">
        <f t="shared" si="538"/>
        <v>Upgraded</v>
      </c>
      <c r="G7091" s="153"/>
      <c r="H7091" s="210">
        <v>0.35260000000000002</v>
      </c>
      <c r="I7091" s="160" t="s">
        <v>148</v>
      </c>
      <c r="J7091" s="160">
        <v>0.14599000000000001</v>
      </c>
      <c r="K7091" s="160" t="s">
        <v>15</v>
      </c>
      <c r="L7091" s="154" t="str">
        <f>IF(OpenLCAbasic!K7091="CTUh", "Fill in Manually",IF(OR(K7091="Unit", K7091=""), "", INDEX(LookUps!$E$5:$E$12, MATCH(OpenLCAbasic!K7091,LookUps!$D$5:$D$12,0))))</f>
        <v>Cumulative Energy Demand (CED) - MJ</v>
      </c>
      <c r="M7091" s="154" t="str">
        <f t="shared" si="533"/>
        <v>High_Base_High_Upgraded_Cumulative Energy Demand (CED) - MJ_Control Building; at upgraded wastewater treatment plant - US_Without Amendment_Windrow</v>
      </c>
    </row>
    <row r="7092" spans="1:13" s="120" customFormat="1" x14ac:dyDescent="0.25">
      <c r="A7092" s="119"/>
      <c r="B7092" s="138" t="str">
        <f t="shared" si="537"/>
        <v>Windrow</v>
      </c>
      <c r="C7092" s="138" t="str">
        <f t="shared" si="534"/>
        <v>Without Amendment</v>
      </c>
      <c r="D7092" s="138" t="str">
        <f t="shared" si="536"/>
        <v>Base_High</v>
      </c>
      <c r="E7092" s="138" t="str">
        <f t="shared" si="535"/>
        <v>High</v>
      </c>
      <c r="F7092" s="138" t="str">
        <f t="shared" si="538"/>
        <v>Upgraded</v>
      </c>
      <c r="G7092" s="153"/>
      <c r="H7092" s="210">
        <v>0.32169999999999999</v>
      </c>
      <c r="I7092" s="160" t="s">
        <v>48</v>
      </c>
      <c r="J7092" s="160">
        <v>0.13321</v>
      </c>
      <c r="K7092" s="160" t="s">
        <v>15</v>
      </c>
      <c r="L7092" s="154" t="str">
        <f>IF(OpenLCAbasic!K7092="CTUh", "Fill in Manually",IF(OR(K7092="Unit", K7092=""), "", INDEX(LookUps!$E$5:$E$12, MATCH(OpenLCAbasic!K7092,LookUps!$D$5:$D$12,0))))</f>
        <v>Cumulative Energy Demand (CED) - MJ</v>
      </c>
      <c r="M7092" s="154" t="str">
        <f t="shared" si="533"/>
        <v>High_Base_High_Upgraded_Cumulative Energy Demand (CED) - MJ_Effluent release; wastewater treatment unit; at surface water; m3 wastewater - US_Without Amendment_Windrow</v>
      </c>
    </row>
    <row r="7093" spans="1:13" s="120" customFormat="1" x14ac:dyDescent="0.25">
      <c r="A7093" s="119"/>
      <c r="B7093" s="138" t="str">
        <f t="shared" si="537"/>
        <v>Windrow</v>
      </c>
      <c r="C7093" s="138" t="str">
        <f t="shared" si="534"/>
        <v>Without Amendment</v>
      </c>
      <c r="D7093" s="138" t="str">
        <f t="shared" si="536"/>
        <v>Base_High</v>
      </c>
      <c r="E7093" s="138" t="str">
        <f t="shared" si="535"/>
        <v>High</v>
      </c>
      <c r="F7093" s="138" t="str">
        <f t="shared" si="538"/>
        <v>Upgraded</v>
      </c>
      <c r="G7093" s="153"/>
      <c r="H7093" s="210">
        <v>0.25690000000000002</v>
      </c>
      <c r="I7093" s="160" t="s">
        <v>59</v>
      </c>
      <c r="J7093" s="160">
        <v>0.10638</v>
      </c>
      <c r="K7093" s="160" t="s">
        <v>15</v>
      </c>
      <c r="L7093" s="154" t="str">
        <f>IF(OpenLCAbasic!K7093="CTUh", "Fill in Manually",IF(OR(K7093="Unit", K7093=""), "", INDEX(LookUps!$E$5:$E$12, MATCH(OpenLCAbasic!K7093,LookUps!$D$5:$D$12,0))))</f>
        <v>Cumulative Energy Demand (CED) - MJ</v>
      </c>
      <c r="M7093" s="154" t="str">
        <f t="shared" si="533"/>
        <v>High_Base_High_Upgraded_Cumulative Energy Demand (CED) - MJ_Blend Tank; wastewater treatment unit; at updated plant - US_Without Amendment_Windrow</v>
      </c>
    </row>
    <row r="7094" spans="1:13" s="120" customFormat="1" x14ac:dyDescent="0.25">
      <c r="A7094" s="119"/>
      <c r="B7094" s="138" t="str">
        <f t="shared" si="537"/>
        <v>Windrow</v>
      </c>
      <c r="C7094" s="138" t="str">
        <f t="shared" si="534"/>
        <v>Without Amendment</v>
      </c>
      <c r="D7094" s="138" t="str">
        <f t="shared" si="536"/>
        <v>Base_High</v>
      </c>
      <c r="E7094" s="138" t="str">
        <f t="shared" si="535"/>
        <v>High</v>
      </c>
      <c r="F7094" s="138" t="str">
        <f t="shared" si="538"/>
        <v>Upgraded</v>
      </c>
      <c r="G7094" s="153"/>
      <c r="H7094" s="210">
        <v>0.123</v>
      </c>
      <c r="I7094" s="160" t="s">
        <v>168</v>
      </c>
      <c r="J7094" s="160">
        <v>5.0930000000000003E-2</v>
      </c>
      <c r="K7094" s="160" t="s">
        <v>15</v>
      </c>
      <c r="L7094" s="154" t="str">
        <f>IF(OpenLCAbasic!K7094="CTUh", "Fill in Manually",IF(OR(K7094="Unit", K7094=""), "", INDEX(LookUps!$E$5:$E$12, MATCH(OpenLCAbasic!K7094,LookUps!$D$5:$D$12,0))))</f>
        <v>Cumulative Energy Demand (CED) - MJ</v>
      </c>
      <c r="M7094" s="154" t="str">
        <f t="shared" si="533"/>
        <v>High_Base_High_Upgraded_Cumulative Energy Demand (CED) - MJ_ClearCove SCP; wastewater treatment unit; at updated plant - US_Without Amendment_Windrow</v>
      </c>
    </row>
    <row r="7095" spans="1:13" s="120" customFormat="1" x14ac:dyDescent="0.25">
      <c r="A7095" s="119"/>
      <c r="B7095" s="138" t="str">
        <f t="shared" si="537"/>
        <v>Windrow</v>
      </c>
      <c r="C7095" s="138" t="str">
        <f t="shared" si="534"/>
        <v>Without Amendment</v>
      </c>
      <c r="D7095" s="138" t="str">
        <f t="shared" si="536"/>
        <v>Base_High</v>
      </c>
      <c r="E7095" s="138" t="str">
        <f t="shared" si="535"/>
        <v>High</v>
      </c>
      <c r="F7095" s="138" t="str">
        <f t="shared" si="538"/>
        <v>Upgraded</v>
      </c>
      <c r="G7095" s="153"/>
      <c r="H7095" s="210">
        <v>4.41E-2</v>
      </c>
      <c r="I7095" s="160" t="s">
        <v>271</v>
      </c>
      <c r="J7095" s="160">
        <v>1.8270000000000002E-2</v>
      </c>
      <c r="K7095" s="160" t="s">
        <v>15</v>
      </c>
      <c r="L7095" s="154" t="str">
        <f>IF(OpenLCAbasic!K7095="CTUh", "Fill in Manually",IF(OR(K7095="Unit", K7095=""), "", INDEX(LookUps!$E$5:$E$12, MATCH(OpenLCAbasic!K7095,LookUps!$D$5:$D$12,0))))</f>
        <v>Cumulative Energy Demand (CED) - MJ</v>
      </c>
      <c r="M7095" s="154" t="str">
        <f t="shared" si="533"/>
        <v>High_Base_High_Upgraded_Cumulative Energy Demand (CED) - MJ_Biosolids composting; windrow composting; wastewater treatment unit; at updated plant - US_Without Amendment_Windrow</v>
      </c>
    </row>
    <row r="7096" spans="1:13" s="120" customFormat="1" x14ac:dyDescent="0.25">
      <c r="A7096" s="119"/>
      <c r="B7096" s="138" t="str">
        <f t="shared" si="537"/>
        <v>Windrow</v>
      </c>
      <c r="C7096" s="138" t="str">
        <f t="shared" si="534"/>
        <v>Without Amendment</v>
      </c>
      <c r="D7096" s="138" t="str">
        <f t="shared" si="536"/>
        <v>Base_High</v>
      </c>
      <c r="E7096" s="138" t="str">
        <f t="shared" si="535"/>
        <v>High</v>
      </c>
      <c r="F7096" s="138" t="str">
        <f t="shared" si="538"/>
        <v>Upgraded</v>
      </c>
      <c r="G7096" s="153"/>
      <c r="H7096" s="210">
        <v>-0.61309999999999998</v>
      </c>
      <c r="I7096" s="160" t="s">
        <v>62</v>
      </c>
      <c r="J7096" s="160">
        <v>-0.25383</v>
      </c>
      <c r="K7096" s="160" t="s">
        <v>15</v>
      </c>
      <c r="L7096" s="154" t="str">
        <f>IF(OpenLCAbasic!K7096="CTUh", "Fill in Manually",IF(OR(K7096="Unit", K7096=""), "", INDEX(LookUps!$E$5:$E$12, MATCH(OpenLCAbasic!K7096,LookUps!$D$5:$D$12,0))))</f>
        <v>Cumulative Energy Demand (CED) - MJ</v>
      </c>
      <c r="M7096" s="154" t="str">
        <f t="shared" si="533"/>
        <v>High_Base_High_Upgraded_Cumulative Energy Demand (CED) - MJ_Land application of compost; wastewater treatment unit; at updated plant - US_Without Amendment_Windrow</v>
      </c>
    </row>
    <row r="7097" spans="1:13" s="120" customFormat="1" x14ac:dyDescent="0.25">
      <c r="A7097" s="119"/>
      <c r="B7097" s="138" t="str">
        <f t="shared" si="537"/>
        <v>Windrow</v>
      </c>
      <c r="C7097" s="138" t="str">
        <f t="shared" si="534"/>
        <v>Without Amendment</v>
      </c>
      <c r="D7097" s="138" t="str">
        <f t="shared" si="536"/>
        <v>Base_High</v>
      </c>
      <c r="E7097" s="138" t="str">
        <f t="shared" si="535"/>
        <v>High</v>
      </c>
      <c r="F7097" s="138" t="str">
        <f t="shared" si="538"/>
        <v>Upgraded</v>
      </c>
      <c r="G7097" s="153"/>
      <c r="H7097" s="210">
        <v>-27.323</v>
      </c>
      <c r="I7097" s="160" t="s">
        <v>149</v>
      </c>
      <c r="J7097" s="160">
        <v>-11.31259</v>
      </c>
      <c r="K7097" s="160" t="s">
        <v>15</v>
      </c>
      <c r="L7097" s="154" t="str">
        <f>IF(OpenLCAbasic!K7097="CTUh", "Fill in Manually",IF(OR(K7097="Unit", K7097=""), "", INDEX(LookUps!$E$5:$E$12, MATCH(OpenLCAbasic!K7097,LookUps!$D$5:$D$12,0))))</f>
        <v>Cumulative Energy Demand (CED) - MJ</v>
      </c>
      <c r="M7097" s="154" t="str">
        <f t="shared" si="533"/>
        <v>High_Base_High_Upgraded_Cumulative Energy Demand (CED) - MJ_Anaerobic Digestion; wastewater treatment unit; at updated plant - US_Without Amendment_Windrow</v>
      </c>
    </row>
    <row r="7098" spans="1:13" s="120" customFormat="1" x14ac:dyDescent="0.25">
      <c r="A7098" s="119"/>
      <c r="B7098" s="138" t="str">
        <f t="shared" si="537"/>
        <v/>
      </c>
      <c r="C7098" s="138" t="str">
        <f t="shared" si="534"/>
        <v/>
      </c>
      <c r="D7098" s="138" t="str">
        <f t="shared" si="536"/>
        <v/>
      </c>
      <c r="E7098" s="138" t="str">
        <f t="shared" si="535"/>
        <v/>
      </c>
      <c r="F7098" s="138" t="str">
        <f t="shared" si="538"/>
        <v/>
      </c>
      <c r="G7098" s="153" t="s">
        <v>51</v>
      </c>
      <c r="H7098" s="160"/>
      <c r="I7098" s="160" t="s">
        <v>47</v>
      </c>
      <c r="J7098" s="160" t="s">
        <v>52</v>
      </c>
      <c r="K7098" s="160" t="s">
        <v>27</v>
      </c>
      <c r="L7098" s="154" t="str">
        <f>IF(OpenLCAbasic!K7098="CTUh", "Fill in Manually",IF(OR(K7098="Unit", K7098=""), "", INDEX(LookUps!$E$5:$E$12, MATCH(OpenLCAbasic!K7098,LookUps!$D$5:$D$12,0))))</f>
        <v/>
      </c>
      <c r="M7098" s="154" t="str">
        <f t="shared" si="533"/>
        <v>____Process__</v>
      </c>
    </row>
    <row r="7099" spans="1:13" s="120" customFormat="1" x14ac:dyDescent="0.25">
      <c r="A7099" s="119"/>
      <c r="B7099" s="138" t="str">
        <f t="shared" si="537"/>
        <v>Windrow</v>
      </c>
      <c r="C7099" s="138" t="str">
        <f t="shared" si="534"/>
        <v>Without Amendment</v>
      </c>
      <c r="D7099" s="138" t="str">
        <f t="shared" si="536"/>
        <v>Base_High</v>
      </c>
      <c r="E7099" s="138" t="str">
        <f t="shared" si="535"/>
        <v>High</v>
      </c>
      <c r="F7099" s="138" t="str">
        <f t="shared" si="538"/>
        <v>Upgraded</v>
      </c>
      <c r="G7099" s="153"/>
      <c r="H7099" s="210">
        <v>0.85170000000000001</v>
      </c>
      <c r="I7099" s="160" t="s">
        <v>48</v>
      </c>
      <c r="J7099" s="160">
        <v>1.1610000000000001E-2</v>
      </c>
      <c r="K7099" s="160" t="s">
        <v>13</v>
      </c>
      <c r="L7099" s="154" t="str">
        <f>IF(OpenLCAbasic!K7099="CTUh", "Fill in Manually",IF(OR(K7099="Unit", K7099=""), "", INDEX(LookUps!$E$5:$E$12, MATCH(OpenLCAbasic!K7099,LookUps!$D$5:$D$12,0))))</f>
        <v>Eutrophication Potential (EP) - kg N eq</v>
      </c>
      <c r="M7099" s="154" t="str">
        <f t="shared" ref="M7099:M7162" si="539">CONCATENATE(E7099,"_",D7099,"_",F7099,"_",L7099, "_",I7099,"_", C7099,"_", B7099)</f>
        <v>High_Base_High_Upgraded_Eutrophication Potential (EP) - kg N eq_Effluent release; wastewater treatment unit; at surface water; m3 wastewater - US_Without Amendment_Windrow</v>
      </c>
    </row>
    <row r="7100" spans="1:13" s="120" customFormat="1" x14ac:dyDescent="0.25">
      <c r="A7100" s="119"/>
      <c r="B7100" s="138" t="str">
        <f t="shared" si="537"/>
        <v>Windrow</v>
      </c>
      <c r="C7100" s="138" t="str">
        <f t="shared" si="534"/>
        <v>Without Amendment</v>
      </c>
      <c r="D7100" s="138" t="str">
        <f t="shared" si="536"/>
        <v>Base_High</v>
      </c>
      <c r="E7100" s="138" t="str">
        <f t="shared" si="535"/>
        <v>High</v>
      </c>
      <c r="F7100" s="138" t="str">
        <f t="shared" si="538"/>
        <v>Upgraded</v>
      </c>
      <c r="G7100" s="153"/>
      <c r="H7100" s="210">
        <v>8.7599999999999997E-2</v>
      </c>
      <c r="I7100" s="160" t="s">
        <v>62</v>
      </c>
      <c r="J7100" s="160">
        <v>1.1900000000000001E-3</v>
      </c>
      <c r="K7100" s="160" t="s">
        <v>13</v>
      </c>
      <c r="L7100" s="154" t="str">
        <f>IF(OpenLCAbasic!K7100="CTUh", "Fill in Manually",IF(OR(K7100="Unit", K7100=""), "", INDEX(LookUps!$E$5:$E$12, MATCH(OpenLCAbasic!K7100,LookUps!$D$5:$D$12,0))))</f>
        <v>Eutrophication Potential (EP) - kg N eq</v>
      </c>
      <c r="M7100" s="154" t="str">
        <f t="shared" si="539"/>
        <v>High_Base_High_Upgraded_Eutrophication Potential (EP) - kg N eq_Land application of compost; wastewater treatment unit; at updated plant - US_Without Amendment_Windrow</v>
      </c>
    </row>
    <row r="7101" spans="1:13" s="120" customFormat="1" x14ac:dyDescent="0.25">
      <c r="A7101" s="119"/>
      <c r="B7101" s="138" t="str">
        <f t="shared" si="537"/>
        <v>Windrow</v>
      </c>
      <c r="C7101" s="138" t="str">
        <f t="shared" si="534"/>
        <v>Without Amendment</v>
      </c>
      <c r="D7101" s="138" t="str">
        <f t="shared" si="536"/>
        <v>Base_High</v>
      </c>
      <c r="E7101" s="138" t="str">
        <f t="shared" si="535"/>
        <v>High</v>
      </c>
      <c r="F7101" s="138" t="str">
        <f t="shared" si="538"/>
        <v>Upgraded</v>
      </c>
      <c r="G7101" s="153"/>
      <c r="H7101" s="210">
        <v>4.0099999999999997E-2</v>
      </c>
      <c r="I7101" s="160" t="s">
        <v>55</v>
      </c>
      <c r="J7101" s="160">
        <v>5.5000000000000003E-4</v>
      </c>
      <c r="K7101" s="160" t="s">
        <v>13</v>
      </c>
      <c r="L7101" s="154" t="str">
        <f>IF(OpenLCAbasic!K7101="CTUh", "Fill in Manually",IF(OR(K7101="Unit", K7101=""), "", INDEX(LookUps!$E$5:$E$12, MATCH(OpenLCAbasic!K7101,LookUps!$D$5:$D$12,0))))</f>
        <v>Eutrophication Potential (EP) - kg N eq</v>
      </c>
      <c r="M7101" s="154" t="str">
        <f t="shared" si="539"/>
        <v>High_Base_High_Upgraded_Eutrophication Potential (EP) - kg N eq_Aeration Tanks; wastewater treatment unit; at updated plant - US_Without Amendment_Windrow</v>
      </c>
    </row>
    <row r="7102" spans="1:13" s="120" customFormat="1" x14ac:dyDescent="0.25">
      <c r="A7102" s="119"/>
      <c r="B7102" s="138" t="str">
        <f t="shared" si="537"/>
        <v>Windrow</v>
      </c>
      <c r="C7102" s="138" t="str">
        <f t="shared" si="534"/>
        <v>Without Amendment</v>
      </c>
      <c r="D7102" s="138" t="str">
        <f t="shared" si="536"/>
        <v>Base_High</v>
      </c>
      <c r="E7102" s="138" t="str">
        <f t="shared" si="535"/>
        <v>High</v>
      </c>
      <c r="F7102" s="138" t="str">
        <f t="shared" si="538"/>
        <v>Upgraded</v>
      </c>
      <c r="G7102" s="153"/>
      <c r="H7102" s="210">
        <v>3.04E-2</v>
      </c>
      <c r="I7102" s="160" t="s">
        <v>271</v>
      </c>
      <c r="J7102" s="160">
        <v>4.0999999999999999E-4</v>
      </c>
      <c r="K7102" s="160" t="s">
        <v>13</v>
      </c>
      <c r="L7102" s="154" t="str">
        <f>IF(OpenLCAbasic!K7102="CTUh", "Fill in Manually",IF(OR(K7102="Unit", K7102=""), "", INDEX(LookUps!$E$5:$E$12, MATCH(OpenLCAbasic!K7102,LookUps!$D$5:$D$12,0))))</f>
        <v>Eutrophication Potential (EP) - kg N eq</v>
      </c>
      <c r="M7102" s="154" t="str">
        <f t="shared" si="539"/>
        <v>High_Base_High_Upgraded_Eutrophication Potential (EP) - kg N eq_Biosolids composting; windrow composting; wastewater treatment unit; at updated plant - US_Without Amendment_Windrow</v>
      </c>
    </row>
    <row r="7103" spans="1:13" s="120" customFormat="1" x14ac:dyDescent="0.25">
      <c r="A7103" s="119"/>
      <c r="B7103" s="138" t="str">
        <f t="shared" si="537"/>
        <v>Windrow</v>
      </c>
      <c r="C7103" s="138" t="str">
        <f t="shared" si="534"/>
        <v>Without Amendment</v>
      </c>
      <c r="D7103" s="138" t="str">
        <f t="shared" si="536"/>
        <v>Base_High</v>
      </c>
      <c r="E7103" s="138" t="str">
        <f t="shared" si="535"/>
        <v>High</v>
      </c>
      <c r="F7103" s="138" t="str">
        <f t="shared" si="538"/>
        <v>Upgraded</v>
      </c>
      <c r="G7103" s="153"/>
      <c r="H7103" s="210">
        <v>1.83E-2</v>
      </c>
      <c r="I7103" s="160" t="s">
        <v>147</v>
      </c>
      <c r="J7103" s="160">
        <v>2.5000000000000001E-4</v>
      </c>
      <c r="K7103" s="160" t="s">
        <v>13</v>
      </c>
      <c r="L7103" s="154" t="str">
        <f>IF(OpenLCAbasic!K7103="CTUh", "Fill in Manually",IF(OR(K7103="Unit", K7103=""), "", INDEX(LookUps!$E$5:$E$12, MATCH(OpenLCAbasic!K7103,LookUps!$D$5:$D$12,0))))</f>
        <v>Eutrophication Potential (EP) - kg N eq</v>
      </c>
      <c r="M7103" s="154" t="str">
        <f t="shared" si="539"/>
        <v>High_Base_High_Upgraded_Eutrophication Potential (EP) - kg N eq_Influent Pump Station; wastewater treatment unit; at updated plant - US_Without Amendment_Windrow</v>
      </c>
    </row>
    <row r="7104" spans="1:13" s="120" customFormat="1" x14ac:dyDescent="0.25">
      <c r="A7104" s="119"/>
      <c r="B7104" s="138" t="str">
        <f t="shared" si="537"/>
        <v>Windrow</v>
      </c>
      <c r="C7104" s="138" t="str">
        <f t="shared" si="534"/>
        <v>Without Amendment</v>
      </c>
      <c r="D7104" s="138" t="str">
        <f t="shared" si="536"/>
        <v>Base_High</v>
      </c>
      <c r="E7104" s="138" t="str">
        <f t="shared" si="535"/>
        <v>High</v>
      </c>
      <c r="F7104" s="138" t="str">
        <f t="shared" si="538"/>
        <v>Upgraded</v>
      </c>
      <c r="G7104" s="153"/>
      <c r="H7104" s="210">
        <v>1.4500000000000001E-2</v>
      </c>
      <c r="I7104" s="160" t="s">
        <v>54</v>
      </c>
      <c r="J7104" s="160">
        <v>2.0000000000000001E-4</v>
      </c>
      <c r="K7104" s="160" t="s">
        <v>13</v>
      </c>
      <c r="L7104" s="154" t="str">
        <f>IF(OpenLCAbasic!K7104="CTUh", "Fill in Manually",IF(OR(K7104="Unit", K7104=""), "", INDEX(LookUps!$E$5:$E$12, MATCH(OpenLCAbasic!K7104,LookUps!$D$5:$D$12,0))))</f>
        <v>Eutrophication Potential (EP) - kg N eq</v>
      </c>
      <c r="M7104" s="154" t="str">
        <f t="shared" si="539"/>
        <v>High_Base_High_Upgraded_Eutrophication Potential (EP) - kg N eq_Clear Cove Primary Clarification; wastewater treatment unit; at updated plant - US_Without Amendment_Windrow</v>
      </c>
    </row>
    <row r="7105" spans="1:13" s="120" customFormat="1" x14ac:dyDescent="0.25">
      <c r="A7105" s="119"/>
      <c r="B7105" s="138" t="str">
        <f t="shared" si="537"/>
        <v>Windrow</v>
      </c>
      <c r="C7105" s="138" t="str">
        <f t="shared" ref="C7105:C7168" si="540">IF(ISNUMBER($J7105),"Without Amendment","")</f>
        <v>Without Amendment</v>
      </c>
      <c r="D7105" s="138" t="str">
        <f t="shared" si="536"/>
        <v>Base_High</v>
      </c>
      <c r="E7105" s="138" t="str">
        <f t="shared" si="535"/>
        <v>High</v>
      </c>
      <c r="F7105" s="138" t="str">
        <f t="shared" si="538"/>
        <v>Upgraded</v>
      </c>
      <c r="G7105" s="153"/>
      <c r="H7105" s="210">
        <v>1.2E-2</v>
      </c>
      <c r="I7105" s="160" t="s">
        <v>167</v>
      </c>
      <c r="J7105" s="160">
        <v>1.6000000000000001E-4</v>
      </c>
      <c r="K7105" s="160" t="s">
        <v>13</v>
      </c>
      <c r="L7105" s="154" t="str">
        <f>IF(OpenLCAbasic!K7105="CTUh", "Fill in Manually",IF(OR(K7105="Unit", K7105=""), "", INDEX(LookUps!$E$5:$E$12, MATCH(OpenLCAbasic!K7105,LookUps!$D$5:$D$12,0))))</f>
        <v>Eutrophication Potential (EP) - kg N eq</v>
      </c>
      <c r="M7105" s="154" t="str">
        <f t="shared" si="539"/>
        <v>High_Base_High_Upgraded_Eutrophication Potential (EP) - kg N eq_Waste Receiving and Holding; wastewater treatment unit; at updated plant - US_Without Amendment_Windrow</v>
      </c>
    </row>
    <row r="7106" spans="1:13" s="120" customFormat="1" x14ac:dyDescent="0.25">
      <c r="A7106" s="119"/>
      <c r="B7106" s="138" t="str">
        <f t="shared" si="537"/>
        <v>Windrow</v>
      </c>
      <c r="C7106" s="138" t="str">
        <f t="shared" si="540"/>
        <v>Without Amendment</v>
      </c>
      <c r="D7106" s="138" t="str">
        <f t="shared" si="536"/>
        <v>Base_High</v>
      </c>
      <c r="E7106" s="138" t="str">
        <f t="shared" si="535"/>
        <v>High</v>
      </c>
      <c r="F7106" s="138" t="str">
        <f t="shared" si="538"/>
        <v>Upgraded</v>
      </c>
      <c r="G7106" s="153"/>
      <c r="H7106" s="210">
        <v>9.9000000000000008E-3</v>
      </c>
      <c r="I7106" s="160" t="s">
        <v>58</v>
      </c>
      <c r="J7106" s="160">
        <v>1.3999999999999999E-4</v>
      </c>
      <c r="K7106" s="160" t="s">
        <v>13</v>
      </c>
      <c r="L7106" s="154" t="str">
        <f>IF(OpenLCAbasic!K7106="CTUh", "Fill in Manually",IF(OR(K7106="Unit", K7106=""), "", INDEX(LookUps!$E$5:$E$12, MATCH(OpenLCAbasic!K7106,LookUps!$D$5:$D$12,0))))</f>
        <v>Eutrophication Potential (EP) - kg N eq</v>
      </c>
      <c r="M7106" s="154" t="str">
        <f t="shared" si="539"/>
        <v>High_Base_High_Upgraded_Eutrophication Potential (EP) - kg N eq_Pre-Anoxic &amp; Swing tank; wastewater treatment unit; at updated plant - US_Without Amendment_Windrow</v>
      </c>
    </row>
    <row r="7107" spans="1:13" s="120" customFormat="1" x14ac:dyDescent="0.25">
      <c r="A7107" s="119"/>
      <c r="B7107" s="138" t="str">
        <f t="shared" si="537"/>
        <v>Windrow</v>
      </c>
      <c r="C7107" s="138" t="str">
        <f t="shared" si="540"/>
        <v>Without Amendment</v>
      </c>
      <c r="D7107" s="138" t="str">
        <f t="shared" si="536"/>
        <v>Base_High</v>
      </c>
      <c r="E7107" s="138" t="str">
        <f t="shared" si="535"/>
        <v>High</v>
      </c>
      <c r="F7107" s="138" t="str">
        <f t="shared" si="538"/>
        <v>Upgraded</v>
      </c>
      <c r="G7107" s="153"/>
      <c r="H7107" s="210">
        <v>7.9000000000000008E-3</v>
      </c>
      <c r="I7107" s="160" t="s">
        <v>53</v>
      </c>
      <c r="J7107" s="160">
        <v>1.1E-4</v>
      </c>
      <c r="K7107" s="160" t="s">
        <v>13</v>
      </c>
      <c r="L7107" s="154" t="str">
        <f>IF(OpenLCAbasic!K7107="CTUh", "Fill in Manually",IF(OR(K7107="Unit", K7107=""), "", INDEX(LookUps!$E$5:$E$12, MATCH(OpenLCAbasic!K7107,LookUps!$D$5:$D$12,0))))</f>
        <v>Eutrophication Potential (EP) - kg N eq</v>
      </c>
      <c r="M7107" s="154" t="str">
        <f t="shared" si="539"/>
        <v>High_Base_High_Upgraded_Eutrophication Potential (EP) - kg N eq_Wet Well and Sump Station; wastewater treatment unit; at updated plant - US_Without Amendment_Windrow</v>
      </c>
    </row>
    <row r="7108" spans="1:13" s="120" customFormat="1" x14ac:dyDescent="0.25">
      <c r="A7108" s="119"/>
      <c r="B7108" s="138" t="str">
        <f t="shared" si="537"/>
        <v>Windrow</v>
      </c>
      <c r="C7108" s="138" t="str">
        <f t="shared" si="540"/>
        <v>Without Amendment</v>
      </c>
      <c r="D7108" s="138" t="str">
        <f t="shared" si="536"/>
        <v>Base_High</v>
      </c>
      <c r="E7108" s="138" t="str">
        <f t="shared" si="535"/>
        <v>High</v>
      </c>
      <c r="F7108" s="138" t="str">
        <f t="shared" si="538"/>
        <v>Upgraded</v>
      </c>
      <c r="G7108" s="153"/>
      <c r="H7108" s="210">
        <v>4.4000000000000003E-3</v>
      </c>
      <c r="I7108" s="160" t="s">
        <v>57</v>
      </c>
      <c r="J7108" s="211">
        <v>6.0590300000000002E-5</v>
      </c>
      <c r="K7108" s="160" t="s">
        <v>13</v>
      </c>
      <c r="L7108" s="154" t="str">
        <f>IF(OpenLCAbasic!K7108="CTUh", "Fill in Manually",IF(OR(K7108="Unit", K7108=""), "", INDEX(LookUps!$E$5:$E$12, MATCH(OpenLCAbasic!K7108,LookUps!$D$5:$D$12,0))))</f>
        <v>Eutrophication Potential (EP) - kg N eq</v>
      </c>
      <c r="M7108" s="154" t="str">
        <f t="shared" si="539"/>
        <v>High_Base_High_Upgraded_Eutrophication Potential (EP) - kg N eq_Gravity Belt Thickener; wastewater treatment unit; at updated plant - US_Without Amendment_Windrow</v>
      </c>
    </row>
    <row r="7109" spans="1:13" s="120" customFormat="1" x14ac:dyDescent="0.25">
      <c r="A7109" s="119"/>
      <c r="B7109" s="138" t="str">
        <f t="shared" si="537"/>
        <v>Windrow</v>
      </c>
      <c r="C7109" s="138" t="str">
        <f t="shared" si="540"/>
        <v>Without Amendment</v>
      </c>
      <c r="D7109" s="138" t="str">
        <f t="shared" si="536"/>
        <v>Base_High</v>
      </c>
      <c r="E7109" s="138" t="str">
        <f t="shared" si="535"/>
        <v>High</v>
      </c>
      <c r="F7109" s="138" t="str">
        <f t="shared" si="538"/>
        <v>Upgraded</v>
      </c>
      <c r="G7109" s="153"/>
      <c r="H7109" s="210">
        <v>3.5999999999999999E-3</v>
      </c>
      <c r="I7109" s="160" t="s">
        <v>60</v>
      </c>
      <c r="J7109" s="211">
        <v>4.8791500000000002E-5</v>
      </c>
      <c r="K7109" s="160" t="s">
        <v>13</v>
      </c>
      <c r="L7109" s="154" t="str">
        <f>IF(OpenLCAbasic!K7109="CTUh", "Fill in Manually",IF(OR(K7109="Unit", K7109=""), "", INDEX(LookUps!$E$5:$E$12, MATCH(OpenLCAbasic!K7109,LookUps!$D$5:$D$12,0))))</f>
        <v>Eutrophication Potential (EP) - kg N eq</v>
      </c>
      <c r="M7109" s="154" t="str">
        <f t="shared" si="539"/>
        <v>High_Base_High_Upgraded_Eutrophication Potential (EP) - kg N eq_Belt filter press; wastewater treatment unit; at updated plant - US_Without Amendment_Windrow</v>
      </c>
    </row>
    <row r="7110" spans="1:13" s="120" customFormat="1" x14ac:dyDescent="0.25">
      <c r="A7110" s="119"/>
      <c r="B7110" s="138" t="str">
        <f t="shared" si="537"/>
        <v>Windrow</v>
      </c>
      <c r="C7110" s="138" t="str">
        <f t="shared" si="540"/>
        <v>Without Amendment</v>
      </c>
      <c r="D7110" s="138" t="str">
        <f t="shared" si="536"/>
        <v>Base_High</v>
      </c>
      <c r="E7110" s="138" t="str">
        <f t="shared" si="535"/>
        <v>High</v>
      </c>
      <c r="F7110" s="138" t="str">
        <f t="shared" si="538"/>
        <v>Upgraded</v>
      </c>
      <c r="G7110" s="153"/>
      <c r="H7110" s="210">
        <v>2.8E-3</v>
      </c>
      <c r="I7110" s="160" t="s">
        <v>128</v>
      </c>
      <c r="J7110" s="211">
        <v>3.7559799999999999E-5</v>
      </c>
      <c r="K7110" s="160" t="s">
        <v>13</v>
      </c>
      <c r="L7110" s="154" t="str">
        <f>IF(OpenLCAbasic!K7110="CTUh", "Fill in Manually",IF(OR(K7110="Unit", K7110=""), "", INDEX(LookUps!$E$5:$E$12, MATCH(OpenLCAbasic!K7110,LookUps!$D$5:$D$12,0))))</f>
        <v>Eutrophication Potential (EP) - kg N eq</v>
      </c>
      <c r="M7110" s="154" t="str">
        <f t="shared" si="539"/>
        <v>High_Base_High_Upgraded_Eutrophication Potential (EP) - kg N eq_Wastewater collection; operation and infrastructure; m3 wastewater_Without Amendment_Windrow</v>
      </c>
    </row>
    <row r="7111" spans="1:13" s="120" customFormat="1" x14ac:dyDescent="0.25">
      <c r="A7111" s="119"/>
      <c r="B7111" s="138" t="str">
        <f t="shared" si="537"/>
        <v>Windrow</v>
      </c>
      <c r="C7111" s="138" t="str">
        <f t="shared" si="540"/>
        <v>Without Amendment</v>
      </c>
      <c r="D7111" s="138" t="str">
        <f t="shared" si="536"/>
        <v>Base_High</v>
      </c>
      <c r="E7111" s="138" t="str">
        <f t="shared" si="535"/>
        <v>High</v>
      </c>
      <c r="F7111" s="138" t="str">
        <f t="shared" si="538"/>
        <v>Upgraded</v>
      </c>
      <c r="G7111" s="153"/>
      <c r="H7111" s="210">
        <v>2.7000000000000001E-3</v>
      </c>
      <c r="I7111" s="160" t="s">
        <v>148</v>
      </c>
      <c r="J7111" s="211">
        <v>3.6874600000000001E-5</v>
      </c>
      <c r="K7111" s="160" t="s">
        <v>13</v>
      </c>
      <c r="L7111" s="154" t="str">
        <f>IF(OpenLCAbasic!K7111="CTUh", "Fill in Manually",IF(OR(K7111="Unit", K7111=""), "", INDEX(LookUps!$E$5:$E$12, MATCH(OpenLCAbasic!K7111,LookUps!$D$5:$D$12,0))))</f>
        <v>Eutrophication Potential (EP) - kg N eq</v>
      </c>
      <c r="M7111" s="154" t="str">
        <f t="shared" si="539"/>
        <v>High_Base_High_Upgraded_Eutrophication Potential (EP) - kg N eq_Control Building; at upgraded wastewater treatment plant - US_Without Amendment_Windrow</v>
      </c>
    </row>
    <row r="7112" spans="1:13" s="120" customFormat="1" x14ac:dyDescent="0.25">
      <c r="A7112" s="119"/>
      <c r="B7112" s="138" t="str">
        <f t="shared" si="537"/>
        <v>Windrow</v>
      </c>
      <c r="C7112" s="138" t="str">
        <f t="shared" si="540"/>
        <v>Without Amendment</v>
      </c>
      <c r="D7112" s="138" t="str">
        <f t="shared" si="536"/>
        <v>Base_High</v>
      </c>
      <c r="E7112" s="138" t="str">
        <f t="shared" si="535"/>
        <v>High</v>
      </c>
      <c r="F7112" s="138" t="str">
        <f t="shared" si="538"/>
        <v>Upgraded</v>
      </c>
      <c r="G7112" s="153"/>
      <c r="H7112" s="210">
        <v>1.1999999999999999E-3</v>
      </c>
      <c r="I7112" s="160" t="s">
        <v>59</v>
      </c>
      <c r="J7112" s="211">
        <v>1.6215700000000001E-5</v>
      </c>
      <c r="K7112" s="160" t="s">
        <v>13</v>
      </c>
      <c r="L7112" s="154" t="str">
        <f>IF(OpenLCAbasic!K7112="CTUh", "Fill in Manually",IF(OR(K7112="Unit", K7112=""), "", INDEX(LookUps!$E$5:$E$12, MATCH(OpenLCAbasic!K7112,LookUps!$D$5:$D$12,0))))</f>
        <v>Eutrophication Potential (EP) - kg N eq</v>
      </c>
      <c r="M7112" s="154" t="str">
        <f t="shared" si="539"/>
        <v>High_Base_High_Upgraded_Eutrophication Potential (EP) - kg N eq_Blend Tank; wastewater treatment unit; at updated plant - US_Without Amendment_Windrow</v>
      </c>
    </row>
    <row r="7113" spans="1:13" s="120" customFormat="1" x14ac:dyDescent="0.25">
      <c r="A7113" s="119"/>
      <c r="B7113" s="138" t="str">
        <f t="shared" si="537"/>
        <v>Windrow</v>
      </c>
      <c r="C7113" s="138" t="str">
        <f t="shared" si="540"/>
        <v>Without Amendment</v>
      </c>
      <c r="D7113" s="138" t="str">
        <f t="shared" si="536"/>
        <v>Base_High</v>
      </c>
      <c r="E7113" s="138" t="str">
        <f t="shared" ref="E7113:E7176" si="541">IF(ISNUMBER($J7113),"High","")</f>
        <v>High</v>
      </c>
      <c r="F7113" s="138" t="str">
        <f t="shared" si="538"/>
        <v>Upgraded</v>
      </c>
      <c r="G7113" s="153"/>
      <c r="H7113" s="210">
        <v>5.9999999999999995E-4</v>
      </c>
      <c r="I7113" s="160" t="s">
        <v>168</v>
      </c>
      <c r="J7113" s="211">
        <v>7.7567199999999995E-6</v>
      </c>
      <c r="K7113" s="160" t="s">
        <v>13</v>
      </c>
      <c r="L7113" s="154" t="str">
        <f>IF(OpenLCAbasic!K7113="CTUh", "Fill in Manually",IF(OR(K7113="Unit", K7113=""), "", INDEX(LookUps!$E$5:$E$12, MATCH(OpenLCAbasic!K7113,LookUps!$D$5:$D$12,0))))</f>
        <v>Eutrophication Potential (EP) - kg N eq</v>
      </c>
      <c r="M7113" s="154" t="str">
        <f t="shared" si="539"/>
        <v>High_Base_High_Upgraded_Eutrophication Potential (EP) - kg N eq_ClearCove SCP; wastewater treatment unit; at updated plant - US_Without Amendment_Windrow</v>
      </c>
    </row>
    <row r="7114" spans="1:13" s="120" customFormat="1" x14ac:dyDescent="0.25">
      <c r="A7114" s="119"/>
      <c r="B7114" s="138" t="str">
        <f t="shared" si="537"/>
        <v>Windrow</v>
      </c>
      <c r="C7114" s="138" t="str">
        <f t="shared" si="540"/>
        <v>Without Amendment</v>
      </c>
      <c r="D7114" s="138" t="str">
        <f t="shared" si="536"/>
        <v>Base_High</v>
      </c>
      <c r="E7114" s="138" t="str">
        <f t="shared" si="541"/>
        <v>High</v>
      </c>
      <c r="F7114" s="138" t="str">
        <f t="shared" si="538"/>
        <v>Upgraded</v>
      </c>
      <c r="G7114" s="153"/>
      <c r="H7114" s="210">
        <v>-8.7800000000000003E-2</v>
      </c>
      <c r="I7114" s="160" t="s">
        <v>149</v>
      </c>
      <c r="J7114" s="160">
        <v>-1.1999999999999999E-3</v>
      </c>
      <c r="K7114" s="160" t="s">
        <v>13</v>
      </c>
      <c r="L7114" s="154" t="str">
        <f>IF(OpenLCAbasic!K7114="CTUh", "Fill in Manually",IF(OR(K7114="Unit", K7114=""), "", INDEX(LookUps!$E$5:$E$12, MATCH(OpenLCAbasic!K7114,LookUps!$D$5:$D$12,0))))</f>
        <v>Eutrophication Potential (EP) - kg N eq</v>
      </c>
      <c r="M7114" s="154" t="str">
        <f t="shared" si="539"/>
        <v>High_Base_High_Upgraded_Eutrophication Potential (EP) - kg N eq_Anaerobic Digestion; wastewater treatment unit; at updated plant - US_Without Amendment_Windrow</v>
      </c>
    </row>
    <row r="7115" spans="1:13" s="120" customFormat="1" x14ac:dyDescent="0.25">
      <c r="A7115" s="119"/>
      <c r="B7115" s="138" t="str">
        <f t="shared" si="537"/>
        <v/>
      </c>
      <c r="C7115" s="138" t="str">
        <f t="shared" si="540"/>
        <v/>
      </c>
      <c r="D7115" s="138" t="str">
        <f t="shared" si="536"/>
        <v/>
      </c>
      <c r="E7115" s="138" t="str">
        <f t="shared" si="541"/>
        <v/>
      </c>
      <c r="F7115" s="138" t="str">
        <f t="shared" si="538"/>
        <v/>
      </c>
      <c r="G7115" s="153" t="s">
        <v>51</v>
      </c>
      <c r="H7115" s="160"/>
      <c r="I7115" s="160" t="s">
        <v>47</v>
      </c>
      <c r="J7115" s="160" t="s">
        <v>52</v>
      </c>
      <c r="K7115" s="160" t="s">
        <v>27</v>
      </c>
      <c r="L7115" s="154" t="str">
        <f>IF(OpenLCAbasic!K7115="CTUh", "Fill in Manually",IF(OR(K7115="Unit", K7115=""), "", INDEX(LookUps!$E$5:$E$12, MATCH(OpenLCAbasic!K7115,LookUps!$D$5:$D$12,0))))</f>
        <v/>
      </c>
      <c r="M7115" s="154" t="str">
        <f t="shared" si="539"/>
        <v>____Process__</v>
      </c>
    </row>
    <row r="7116" spans="1:13" s="120" customFormat="1" x14ac:dyDescent="0.25">
      <c r="A7116" s="119"/>
      <c r="B7116" s="138" t="str">
        <f t="shared" si="537"/>
        <v>Windrow</v>
      </c>
      <c r="C7116" s="138" t="str">
        <f t="shared" si="540"/>
        <v>Without Amendment</v>
      </c>
      <c r="D7116" s="138" t="str">
        <f t="shared" si="536"/>
        <v>Base_High</v>
      </c>
      <c r="E7116" s="138" t="str">
        <f t="shared" si="541"/>
        <v>High</v>
      </c>
      <c r="F7116" s="138" t="str">
        <f t="shared" si="538"/>
        <v>Upgraded</v>
      </c>
      <c r="G7116" s="153"/>
      <c r="H7116" s="210">
        <v>14.388</v>
      </c>
      <c r="I7116" s="160" t="s">
        <v>167</v>
      </c>
      <c r="J7116" s="160">
        <v>7.9170000000000004E-2</v>
      </c>
      <c r="K7116" s="160" t="s">
        <v>14</v>
      </c>
      <c r="L7116" s="154" t="str">
        <f>IF(OpenLCAbasic!K7116="CTUh", "Fill in Manually",IF(OR(K7116="Unit", K7116=""), "", INDEX(LookUps!$E$5:$E$12, MATCH(OpenLCAbasic!K7116,LookUps!$D$5:$D$12,0))))</f>
        <v>Fossil Depletion Potential (FDP) - kg oil eq</v>
      </c>
      <c r="M7116" s="154" t="str">
        <f t="shared" si="539"/>
        <v>High_Base_High_Upgraded_Fossil Depletion Potential (FDP) - kg oil eq_Waste Receiving and Holding; wastewater treatment unit; at updated plant - US_Without Amendment_Windrow</v>
      </c>
    </row>
    <row r="7117" spans="1:13" s="120" customFormat="1" x14ac:dyDescent="0.25">
      <c r="A7117" s="119"/>
      <c r="B7117" s="138" t="str">
        <f t="shared" si="537"/>
        <v>Windrow</v>
      </c>
      <c r="C7117" s="138" t="str">
        <f t="shared" si="540"/>
        <v>Without Amendment</v>
      </c>
      <c r="D7117" s="138" t="str">
        <f t="shared" si="536"/>
        <v>Base_High</v>
      </c>
      <c r="E7117" s="138" t="str">
        <f t="shared" si="541"/>
        <v>High</v>
      </c>
      <c r="F7117" s="138" t="str">
        <f t="shared" si="538"/>
        <v>Upgraded</v>
      </c>
      <c r="G7117" s="153"/>
      <c r="H7117" s="210">
        <v>11.556800000000001</v>
      </c>
      <c r="I7117" s="160" t="s">
        <v>55</v>
      </c>
      <c r="J7117" s="160">
        <v>6.3589999999999994E-2</v>
      </c>
      <c r="K7117" s="160" t="s">
        <v>14</v>
      </c>
      <c r="L7117" s="154" t="str">
        <f>IF(OpenLCAbasic!K7117="CTUh", "Fill in Manually",IF(OR(K7117="Unit", K7117=""), "", INDEX(LookUps!$E$5:$E$12, MATCH(OpenLCAbasic!K7117,LookUps!$D$5:$D$12,0))))</f>
        <v>Fossil Depletion Potential (FDP) - kg oil eq</v>
      </c>
      <c r="M7117" s="154" t="str">
        <f t="shared" si="539"/>
        <v>High_Base_High_Upgraded_Fossil Depletion Potential (FDP) - kg oil eq_Aeration Tanks; wastewater treatment unit; at updated plant - US_Without Amendment_Windrow</v>
      </c>
    </row>
    <row r="7118" spans="1:13" s="120" customFormat="1" x14ac:dyDescent="0.25">
      <c r="A7118" s="119"/>
      <c r="B7118" s="138" t="str">
        <f t="shared" si="537"/>
        <v>Windrow</v>
      </c>
      <c r="C7118" s="138" t="str">
        <f t="shared" si="540"/>
        <v>Without Amendment</v>
      </c>
      <c r="D7118" s="138" t="str">
        <f t="shared" si="536"/>
        <v>Base_High</v>
      </c>
      <c r="E7118" s="138" t="str">
        <f t="shared" si="541"/>
        <v>High</v>
      </c>
      <c r="F7118" s="138" t="str">
        <f t="shared" si="538"/>
        <v>Upgraded</v>
      </c>
      <c r="G7118" s="153"/>
      <c r="H7118" s="210">
        <v>3.8256000000000001</v>
      </c>
      <c r="I7118" s="160" t="s">
        <v>54</v>
      </c>
      <c r="J7118" s="160">
        <v>2.1049999999999999E-2</v>
      </c>
      <c r="K7118" s="160" t="s">
        <v>14</v>
      </c>
      <c r="L7118" s="154" t="str">
        <f>IF(OpenLCAbasic!K7118="CTUh", "Fill in Manually",IF(OR(K7118="Unit", K7118=""), "", INDEX(LookUps!$E$5:$E$12, MATCH(OpenLCAbasic!K7118,LookUps!$D$5:$D$12,0))))</f>
        <v>Fossil Depletion Potential (FDP) - kg oil eq</v>
      </c>
      <c r="M7118" s="154" t="str">
        <f t="shared" si="539"/>
        <v>High_Base_High_Upgraded_Fossil Depletion Potential (FDP) - kg oil eq_Clear Cove Primary Clarification; wastewater treatment unit; at updated plant - US_Without Amendment_Windrow</v>
      </c>
    </row>
    <row r="7119" spans="1:13" s="120" customFormat="1" x14ac:dyDescent="0.25">
      <c r="A7119" s="119"/>
      <c r="B7119" s="138" t="str">
        <f t="shared" si="537"/>
        <v>Windrow</v>
      </c>
      <c r="C7119" s="138" t="str">
        <f t="shared" si="540"/>
        <v>Without Amendment</v>
      </c>
      <c r="D7119" s="138" t="str">
        <f t="shared" si="536"/>
        <v>Base_High</v>
      </c>
      <c r="E7119" s="138" t="str">
        <f t="shared" si="541"/>
        <v>High</v>
      </c>
      <c r="F7119" s="138" t="str">
        <f t="shared" si="538"/>
        <v>Upgraded</v>
      </c>
      <c r="G7119" s="153"/>
      <c r="H7119" s="210">
        <v>2.8940000000000001</v>
      </c>
      <c r="I7119" s="160" t="s">
        <v>58</v>
      </c>
      <c r="J7119" s="160">
        <v>1.592E-2</v>
      </c>
      <c r="K7119" s="160" t="s">
        <v>14</v>
      </c>
      <c r="L7119" s="154" t="str">
        <f>IF(OpenLCAbasic!K7119="CTUh", "Fill in Manually",IF(OR(K7119="Unit", K7119=""), "", INDEX(LookUps!$E$5:$E$12, MATCH(OpenLCAbasic!K7119,LookUps!$D$5:$D$12,0))))</f>
        <v>Fossil Depletion Potential (FDP) - kg oil eq</v>
      </c>
      <c r="M7119" s="154" t="str">
        <f t="shared" si="539"/>
        <v>High_Base_High_Upgraded_Fossil Depletion Potential (FDP) - kg oil eq_Pre-Anoxic &amp; Swing tank; wastewater treatment unit; at updated plant - US_Without Amendment_Windrow</v>
      </c>
    </row>
    <row r="7120" spans="1:13" s="120" customFormat="1" x14ac:dyDescent="0.25">
      <c r="A7120" s="119"/>
      <c r="B7120" s="138" t="str">
        <f t="shared" si="537"/>
        <v>Windrow</v>
      </c>
      <c r="C7120" s="138" t="str">
        <f t="shared" si="540"/>
        <v>Without Amendment</v>
      </c>
      <c r="D7120" s="138" t="str">
        <f t="shared" si="536"/>
        <v>Base_High</v>
      </c>
      <c r="E7120" s="138" t="str">
        <f t="shared" si="541"/>
        <v>High</v>
      </c>
      <c r="F7120" s="138" t="str">
        <f t="shared" si="538"/>
        <v>Upgraded</v>
      </c>
      <c r="G7120" s="153"/>
      <c r="H7120" s="210">
        <v>2.742</v>
      </c>
      <c r="I7120" s="160" t="s">
        <v>147</v>
      </c>
      <c r="J7120" s="160">
        <v>1.5089999999999999E-2</v>
      </c>
      <c r="K7120" s="160" t="s">
        <v>14</v>
      </c>
      <c r="L7120" s="154" t="str">
        <f>IF(OpenLCAbasic!K7120="CTUh", "Fill in Manually",IF(OR(K7120="Unit", K7120=""), "", INDEX(LookUps!$E$5:$E$12, MATCH(OpenLCAbasic!K7120,LookUps!$D$5:$D$12,0))))</f>
        <v>Fossil Depletion Potential (FDP) - kg oil eq</v>
      </c>
      <c r="M7120" s="154" t="str">
        <f t="shared" si="539"/>
        <v>High_Base_High_Upgraded_Fossil Depletion Potential (FDP) - kg oil eq_Influent Pump Station; wastewater treatment unit; at updated plant - US_Without Amendment_Windrow</v>
      </c>
    </row>
    <row r="7121" spans="1:13" s="120" customFormat="1" x14ac:dyDescent="0.25">
      <c r="A7121" s="119"/>
      <c r="B7121" s="138" t="str">
        <f t="shared" si="537"/>
        <v>Windrow</v>
      </c>
      <c r="C7121" s="138" t="str">
        <f t="shared" si="540"/>
        <v>Without Amendment</v>
      </c>
      <c r="D7121" s="138" t="str">
        <f t="shared" si="536"/>
        <v>Base_High</v>
      </c>
      <c r="E7121" s="138" t="str">
        <f t="shared" si="541"/>
        <v>High</v>
      </c>
      <c r="F7121" s="138" t="str">
        <f t="shared" si="538"/>
        <v>Upgraded</v>
      </c>
      <c r="G7121" s="153"/>
      <c r="H7121" s="210">
        <v>2.2696999999999998</v>
      </c>
      <c r="I7121" s="160" t="s">
        <v>53</v>
      </c>
      <c r="J7121" s="160">
        <v>1.2489999999999999E-2</v>
      </c>
      <c r="K7121" s="160" t="s">
        <v>14</v>
      </c>
      <c r="L7121" s="154" t="str">
        <f>IF(OpenLCAbasic!K7121="CTUh", "Fill in Manually",IF(OR(K7121="Unit", K7121=""), "", INDEX(LookUps!$E$5:$E$12, MATCH(OpenLCAbasic!K7121,LookUps!$D$5:$D$12,0))))</f>
        <v>Fossil Depletion Potential (FDP) - kg oil eq</v>
      </c>
      <c r="M7121" s="154" t="str">
        <f t="shared" si="539"/>
        <v>High_Base_High_Upgraded_Fossil Depletion Potential (FDP) - kg oil eq_Wet Well and Sump Station; wastewater treatment unit; at updated plant - US_Without Amendment_Windrow</v>
      </c>
    </row>
    <row r="7122" spans="1:13" s="120" customFormat="1" x14ac:dyDescent="0.25">
      <c r="A7122" s="119"/>
      <c r="B7122" s="138" t="str">
        <f t="shared" si="537"/>
        <v>Windrow</v>
      </c>
      <c r="C7122" s="138" t="str">
        <f t="shared" si="540"/>
        <v>Without Amendment</v>
      </c>
      <c r="D7122" s="138" t="str">
        <f t="shared" si="536"/>
        <v>Base_High</v>
      </c>
      <c r="E7122" s="138" t="str">
        <f t="shared" si="541"/>
        <v>High</v>
      </c>
      <c r="F7122" s="138" t="str">
        <f t="shared" si="538"/>
        <v>Upgraded</v>
      </c>
      <c r="G7122" s="153"/>
      <c r="H7122" s="210">
        <v>1.2568999999999999</v>
      </c>
      <c r="I7122" s="160" t="s">
        <v>57</v>
      </c>
      <c r="J7122" s="160">
        <v>6.9199999999999999E-3</v>
      </c>
      <c r="K7122" s="160" t="s">
        <v>14</v>
      </c>
      <c r="L7122" s="154" t="str">
        <f>IF(OpenLCAbasic!K7122="CTUh", "Fill in Manually",IF(OR(K7122="Unit", K7122=""), "", INDEX(LookUps!$E$5:$E$12, MATCH(OpenLCAbasic!K7122,LookUps!$D$5:$D$12,0))))</f>
        <v>Fossil Depletion Potential (FDP) - kg oil eq</v>
      </c>
      <c r="M7122" s="154" t="str">
        <f t="shared" si="539"/>
        <v>High_Base_High_Upgraded_Fossil Depletion Potential (FDP) - kg oil eq_Gravity Belt Thickener; wastewater treatment unit; at updated plant - US_Without Amendment_Windrow</v>
      </c>
    </row>
    <row r="7123" spans="1:13" s="120" customFormat="1" x14ac:dyDescent="0.25">
      <c r="A7123" s="119"/>
      <c r="B7123" s="138" t="str">
        <f t="shared" si="537"/>
        <v>Windrow</v>
      </c>
      <c r="C7123" s="138" t="str">
        <f t="shared" si="540"/>
        <v>Without Amendment</v>
      </c>
      <c r="D7123" s="138" t="str">
        <f t="shared" si="536"/>
        <v>Base_High</v>
      </c>
      <c r="E7123" s="138" t="str">
        <f t="shared" si="541"/>
        <v>High</v>
      </c>
      <c r="F7123" s="138" t="str">
        <f t="shared" si="538"/>
        <v>Upgraded</v>
      </c>
      <c r="G7123" s="153"/>
      <c r="H7123" s="210">
        <v>1.0178</v>
      </c>
      <c r="I7123" s="160" t="s">
        <v>60</v>
      </c>
      <c r="J7123" s="160">
        <v>5.5999999999999999E-3</v>
      </c>
      <c r="K7123" s="160" t="s">
        <v>14</v>
      </c>
      <c r="L7123" s="154" t="str">
        <f>IF(OpenLCAbasic!K7123="CTUh", "Fill in Manually",IF(OR(K7123="Unit", K7123=""), "", INDEX(LookUps!$E$5:$E$12, MATCH(OpenLCAbasic!K7123,LookUps!$D$5:$D$12,0))))</f>
        <v>Fossil Depletion Potential (FDP) - kg oil eq</v>
      </c>
      <c r="M7123" s="154" t="str">
        <f t="shared" si="539"/>
        <v>High_Base_High_Upgraded_Fossil Depletion Potential (FDP) - kg oil eq_Belt filter press; wastewater treatment unit; at updated plant - US_Without Amendment_Windrow</v>
      </c>
    </row>
    <row r="7124" spans="1:13" s="120" customFormat="1" x14ac:dyDescent="0.25">
      <c r="A7124" s="119"/>
      <c r="B7124" s="138" t="str">
        <f t="shared" si="537"/>
        <v>Windrow</v>
      </c>
      <c r="C7124" s="138" t="str">
        <f t="shared" si="540"/>
        <v>Without Amendment</v>
      </c>
      <c r="D7124" s="138" t="str">
        <f t="shared" si="536"/>
        <v>Base_High</v>
      </c>
      <c r="E7124" s="138" t="str">
        <f t="shared" si="541"/>
        <v>High</v>
      </c>
      <c r="F7124" s="138" t="str">
        <f t="shared" si="538"/>
        <v>Upgraded</v>
      </c>
      <c r="G7124" s="153"/>
      <c r="H7124" s="210">
        <v>0.81759999999999999</v>
      </c>
      <c r="I7124" s="160" t="s">
        <v>128</v>
      </c>
      <c r="J7124" s="160">
        <v>4.4999999999999997E-3</v>
      </c>
      <c r="K7124" s="160" t="s">
        <v>14</v>
      </c>
      <c r="L7124" s="154" t="str">
        <f>IF(OpenLCAbasic!K7124="CTUh", "Fill in Manually",IF(OR(K7124="Unit", K7124=""), "", INDEX(LookUps!$E$5:$E$12, MATCH(OpenLCAbasic!K7124,LookUps!$D$5:$D$12,0))))</f>
        <v>Fossil Depletion Potential (FDP) - kg oil eq</v>
      </c>
      <c r="M7124" s="154" t="str">
        <f t="shared" si="539"/>
        <v>High_Base_High_Upgraded_Fossil Depletion Potential (FDP) - kg oil eq_Wastewater collection; operation and infrastructure; m3 wastewater_Without Amendment_Windrow</v>
      </c>
    </row>
    <row r="7125" spans="1:13" s="120" customFormat="1" x14ac:dyDescent="0.25">
      <c r="A7125" s="119"/>
      <c r="B7125" s="138" t="str">
        <f t="shared" si="537"/>
        <v>Windrow</v>
      </c>
      <c r="C7125" s="138" t="str">
        <f t="shared" si="540"/>
        <v>Without Amendment</v>
      </c>
      <c r="D7125" s="138" t="str">
        <f t="shared" si="536"/>
        <v>Base_High</v>
      </c>
      <c r="E7125" s="138" t="str">
        <f t="shared" si="541"/>
        <v>High</v>
      </c>
      <c r="F7125" s="138" t="str">
        <f t="shared" si="538"/>
        <v>Upgraded</v>
      </c>
      <c r="G7125" s="153"/>
      <c r="H7125" s="210">
        <v>0.50839999999999996</v>
      </c>
      <c r="I7125" s="160" t="s">
        <v>148</v>
      </c>
      <c r="J7125" s="160">
        <v>2.8E-3</v>
      </c>
      <c r="K7125" s="160" t="s">
        <v>14</v>
      </c>
      <c r="L7125" s="154" t="str">
        <f>IF(OpenLCAbasic!K7125="CTUh", "Fill in Manually",IF(OR(K7125="Unit", K7125=""), "", INDEX(LookUps!$E$5:$E$12, MATCH(OpenLCAbasic!K7125,LookUps!$D$5:$D$12,0))))</f>
        <v>Fossil Depletion Potential (FDP) - kg oil eq</v>
      </c>
      <c r="M7125" s="154" t="str">
        <f t="shared" si="539"/>
        <v>High_Base_High_Upgraded_Fossil Depletion Potential (FDP) - kg oil eq_Control Building; at upgraded wastewater treatment plant - US_Without Amendment_Windrow</v>
      </c>
    </row>
    <row r="7126" spans="1:13" s="120" customFormat="1" x14ac:dyDescent="0.25">
      <c r="A7126" s="119"/>
      <c r="B7126" s="138" t="str">
        <f t="shared" si="537"/>
        <v>Windrow</v>
      </c>
      <c r="C7126" s="138" t="str">
        <f t="shared" si="540"/>
        <v>Without Amendment</v>
      </c>
      <c r="D7126" s="138" t="str">
        <f t="shared" si="536"/>
        <v>Base_High</v>
      </c>
      <c r="E7126" s="138" t="str">
        <f t="shared" si="541"/>
        <v>High</v>
      </c>
      <c r="F7126" s="138" t="str">
        <f t="shared" si="538"/>
        <v>Upgraded</v>
      </c>
      <c r="G7126" s="153"/>
      <c r="H7126" s="210">
        <v>0.42959999999999998</v>
      </c>
      <c r="I7126" s="160" t="s">
        <v>48</v>
      </c>
      <c r="J7126" s="160">
        <v>2.3600000000000001E-3</v>
      </c>
      <c r="K7126" s="160" t="s">
        <v>14</v>
      </c>
      <c r="L7126" s="154" t="str">
        <f>IF(OpenLCAbasic!K7126="CTUh", "Fill in Manually",IF(OR(K7126="Unit", K7126=""), "", INDEX(LookUps!$E$5:$E$12, MATCH(OpenLCAbasic!K7126,LookUps!$D$5:$D$12,0))))</f>
        <v>Fossil Depletion Potential (FDP) - kg oil eq</v>
      </c>
      <c r="M7126" s="154" t="str">
        <f t="shared" si="539"/>
        <v>High_Base_High_Upgraded_Fossil Depletion Potential (FDP) - kg oil eq_Effluent release; wastewater treatment unit; at surface water; m3 wastewater - US_Without Amendment_Windrow</v>
      </c>
    </row>
    <row r="7127" spans="1:13" s="120" customFormat="1" x14ac:dyDescent="0.25">
      <c r="A7127" s="119"/>
      <c r="B7127" s="138" t="str">
        <f t="shared" si="537"/>
        <v>Windrow</v>
      </c>
      <c r="C7127" s="138" t="str">
        <f t="shared" si="540"/>
        <v>Without Amendment</v>
      </c>
      <c r="D7127" s="138" t="str">
        <f t="shared" si="536"/>
        <v>Base_High</v>
      </c>
      <c r="E7127" s="138" t="str">
        <f t="shared" si="541"/>
        <v>High</v>
      </c>
      <c r="F7127" s="138" t="str">
        <f t="shared" si="538"/>
        <v>Upgraded</v>
      </c>
      <c r="G7127" s="153"/>
      <c r="H7127" s="210">
        <v>0.34889999999999999</v>
      </c>
      <c r="I7127" s="160" t="s">
        <v>59</v>
      </c>
      <c r="J7127" s="160">
        <v>1.92E-3</v>
      </c>
      <c r="K7127" s="160" t="s">
        <v>14</v>
      </c>
      <c r="L7127" s="154" t="str">
        <f>IF(OpenLCAbasic!K7127="CTUh", "Fill in Manually",IF(OR(K7127="Unit", K7127=""), "", INDEX(LookUps!$E$5:$E$12, MATCH(OpenLCAbasic!K7127,LookUps!$D$5:$D$12,0))))</f>
        <v>Fossil Depletion Potential (FDP) - kg oil eq</v>
      </c>
      <c r="M7127" s="154" t="str">
        <f t="shared" si="539"/>
        <v>High_Base_High_Upgraded_Fossil Depletion Potential (FDP) - kg oil eq_Blend Tank; wastewater treatment unit; at updated plant - US_Without Amendment_Windrow</v>
      </c>
    </row>
    <row r="7128" spans="1:13" s="120" customFormat="1" x14ac:dyDescent="0.25">
      <c r="A7128" s="119"/>
      <c r="B7128" s="138" t="str">
        <f t="shared" si="537"/>
        <v>Windrow</v>
      </c>
      <c r="C7128" s="138" t="str">
        <f t="shared" si="540"/>
        <v>Without Amendment</v>
      </c>
      <c r="D7128" s="138" t="str">
        <f t="shared" si="536"/>
        <v>Base_High</v>
      </c>
      <c r="E7128" s="138" t="str">
        <f t="shared" si="541"/>
        <v>High</v>
      </c>
      <c r="F7128" s="138" t="str">
        <f t="shared" si="538"/>
        <v>Upgraded</v>
      </c>
      <c r="G7128" s="153"/>
      <c r="H7128" s="210">
        <v>0.16619999999999999</v>
      </c>
      <c r="I7128" s="160" t="s">
        <v>168</v>
      </c>
      <c r="J7128" s="160">
        <v>9.1E-4</v>
      </c>
      <c r="K7128" s="160" t="s">
        <v>14</v>
      </c>
      <c r="L7128" s="154" t="str">
        <f>IF(OpenLCAbasic!K7128="CTUh", "Fill in Manually",IF(OR(K7128="Unit", K7128=""), "", INDEX(LookUps!$E$5:$E$12, MATCH(OpenLCAbasic!K7128,LookUps!$D$5:$D$12,0))))</f>
        <v>Fossil Depletion Potential (FDP) - kg oil eq</v>
      </c>
      <c r="M7128" s="154" t="str">
        <f t="shared" si="539"/>
        <v>High_Base_High_Upgraded_Fossil Depletion Potential (FDP) - kg oil eq_ClearCove SCP; wastewater treatment unit; at updated plant - US_Without Amendment_Windrow</v>
      </c>
    </row>
    <row r="7129" spans="1:13" s="120" customFormat="1" x14ac:dyDescent="0.25">
      <c r="A7129" s="119"/>
      <c r="B7129" s="138" t="str">
        <f t="shared" si="537"/>
        <v>Windrow</v>
      </c>
      <c r="C7129" s="138" t="str">
        <f t="shared" si="540"/>
        <v>Without Amendment</v>
      </c>
      <c r="D7129" s="138" t="str">
        <f t="shared" ref="D7129:D7192" si="542">IF(ISNUMBER($J7129),"Base_High","")</f>
        <v>Base_High</v>
      </c>
      <c r="E7129" s="138" t="str">
        <f t="shared" si="541"/>
        <v>High</v>
      </c>
      <c r="F7129" s="138" t="str">
        <f t="shared" si="538"/>
        <v>Upgraded</v>
      </c>
      <c r="G7129" s="153"/>
      <c r="H7129" s="210">
        <v>7.2700000000000001E-2</v>
      </c>
      <c r="I7129" s="160" t="s">
        <v>271</v>
      </c>
      <c r="J7129" s="160">
        <v>4.0000000000000002E-4</v>
      </c>
      <c r="K7129" s="160" t="s">
        <v>14</v>
      </c>
      <c r="L7129" s="154" t="str">
        <f>IF(OpenLCAbasic!K7129="CTUh", "Fill in Manually",IF(OR(K7129="Unit", K7129=""), "", INDEX(LookUps!$E$5:$E$12, MATCH(OpenLCAbasic!K7129,LookUps!$D$5:$D$12,0))))</f>
        <v>Fossil Depletion Potential (FDP) - kg oil eq</v>
      </c>
      <c r="M7129" s="154" t="str">
        <f t="shared" si="539"/>
        <v>High_Base_High_Upgraded_Fossil Depletion Potential (FDP) - kg oil eq_Biosolids composting; windrow composting; wastewater treatment unit; at updated plant - US_Without Amendment_Windrow</v>
      </c>
    </row>
    <row r="7130" spans="1:13" s="120" customFormat="1" x14ac:dyDescent="0.25">
      <c r="A7130" s="119"/>
      <c r="B7130" s="138" t="str">
        <f t="shared" si="537"/>
        <v>Windrow</v>
      </c>
      <c r="C7130" s="138" t="str">
        <f t="shared" si="540"/>
        <v>Without Amendment</v>
      </c>
      <c r="D7130" s="138" t="str">
        <f t="shared" si="542"/>
        <v>Base_High</v>
      </c>
      <c r="E7130" s="138" t="str">
        <f t="shared" si="541"/>
        <v>High</v>
      </c>
      <c r="F7130" s="138" t="str">
        <f t="shared" si="538"/>
        <v>Upgraded</v>
      </c>
      <c r="G7130" s="153"/>
      <c r="H7130" s="210">
        <v>-0.63480000000000003</v>
      </c>
      <c r="I7130" s="160" t="s">
        <v>62</v>
      </c>
      <c r="J7130" s="160">
        <v>-3.49E-3</v>
      </c>
      <c r="K7130" s="160" t="s">
        <v>14</v>
      </c>
      <c r="L7130" s="154" t="str">
        <f>IF(OpenLCAbasic!K7130="CTUh", "Fill in Manually",IF(OR(K7130="Unit", K7130=""), "", INDEX(LookUps!$E$5:$E$12, MATCH(OpenLCAbasic!K7130,LookUps!$D$5:$D$12,0))))</f>
        <v>Fossil Depletion Potential (FDP) - kg oil eq</v>
      </c>
      <c r="M7130" s="154" t="str">
        <f t="shared" si="539"/>
        <v>High_Base_High_Upgraded_Fossil Depletion Potential (FDP) - kg oil eq_Land application of compost; wastewater treatment unit; at updated plant - US_Without Amendment_Windrow</v>
      </c>
    </row>
    <row r="7131" spans="1:13" s="120" customFormat="1" x14ac:dyDescent="0.25">
      <c r="A7131" s="119"/>
      <c r="B7131" s="138" t="str">
        <f t="shared" si="537"/>
        <v>Windrow</v>
      </c>
      <c r="C7131" s="138" t="str">
        <f t="shared" si="540"/>
        <v>Without Amendment</v>
      </c>
      <c r="D7131" s="138" t="str">
        <f t="shared" si="542"/>
        <v>Base_High</v>
      </c>
      <c r="E7131" s="138" t="str">
        <f t="shared" si="541"/>
        <v>High</v>
      </c>
      <c r="F7131" s="138" t="str">
        <f t="shared" si="538"/>
        <v>Upgraded</v>
      </c>
      <c r="G7131" s="153"/>
      <c r="H7131" s="210">
        <v>-40.659500000000001</v>
      </c>
      <c r="I7131" s="160" t="s">
        <v>149</v>
      </c>
      <c r="J7131" s="160">
        <v>-0.22373000000000001</v>
      </c>
      <c r="K7131" s="160" t="s">
        <v>14</v>
      </c>
      <c r="L7131" s="154" t="str">
        <f>IF(OpenLCAbasic!K7131="CTUh", "Fill in Manually",IF(OR(K7131="Unit", K7131=""), "", INDEX(LookUps!$E$5:$E$12, MATCH(OpenLCAbasic!K7131,LookUps!$D$5:$D$12,0))))</f>
        <v>Fossil Depletion Potential (FDP) - kg oil eq</v>
      </c>
      <c r="M7131" s="154" t="str">
        <f t="shared" si="539"/>
        <v>High_Base_High_Upgraded_Fossil Depletion Potential (FDP) - kg oil eq_Anaerobic Digestion; wastewater treatment unit; at updated plant - US_Without Amendment_Windrow</v>
      </c>
    </row>
    <row r="7132" spans="1:13" s="120" customFormat="1" x14ac:dyDescent="0.25">
      <c r="A7132" s="119"/>
      <c r="B7132" s="138" t="str">
        <f t="shared" si="537"/>
        <v/>
      </c>
      <c r="C7132" s="138" t="str">
        <f t="shared" si="540"/>
        <v/>
      </c>
      <c r="D7132" s="138" t="str">
        <f t="shared" si="542"/>
        <v/>
      </c>
      <c r="E7132" s="138" t="str">
        <f t="shared" si="541"/>
        <v/>
      </c>
      <c r="F7132" s="138" t="str">
        <f t="shared" si="538"/>
        <v/>
      </c>
      <c r="G7132" s="153" t="s">
        <v>51</v>
      </c>
      <c r="H7132" s="160"/>
      <c r="I7132" s="160" t="s">
        <v>47</v>
      </c>
      <c r="J7132" s="160" t="s">
        <v>52</v>
      </c>
      <c r="K7132" s="160" t="s">
        <v>27</v>
      </c>
      <c r="L7132" s="154" t="str">
        <f>IF(OpenLCAbasic!K7132="CTUh", "Fill in Manually",IF(OR(K7132="Unit", K7132=""), "", INDEX(LookUps!$E$5:$E$12, MATCH(OpenLCAbasic!K7132,LookUps!$D$5:$D$12,0))))</f>
        <v/>
      </c>
      <c r="M7132" s="154" t="str">
        <f t="shared" si="539"/>
        <v>____Process__</v>
      </c>
    </row>
    <row r="7133" spans="1:13" s="120" customFormat="1" x14ac:dyDescent="0.25">
      <c r="A7133" s="119"/>
      <c r="B7133" s="138" t="str">
        <f t="shared" si="537"/>
        <v>Windrow</v>
      </c>
      <c r="C7133" s="138" t="str">
        <f t="shared" si="540"/>
        <v>Without Amendment</v>
      </c>
      <c r="D7133" s="138" t="str">
        <f t="shared" si="542"/>
        <v>Base_High</v>
      </c>
      <c r="E7133" s="138" t="str">
        <f t="shared" si="541"/>
        <v>High</v>
      </c>
      <c r="F7133" s="138" t="str">
        <f t="shared" si="538"/>
        <v>Upgraded</v>
      </c>
      <c r="G7133" s="153"/>
      <c r="H7133" s="210">
        <v>0.80120000000000002</v>
      </c>
      <c r="I7133" s="160" t="s">
        <v>271</v>
      </c>
      <c r="J7133" s="160">
        <v>0.72704999999999997</v>
      </c>
      <c r="K7133" s="160" t="s">
        <v>23</v>
      </c>
      <c r="L7133" s="154" t="str">
        <f>IF(OpenLCAbasic!K7133="CTUh", "Fill in Manually",IF(OR(K7133="Unit", K7133=""), "", INDEX(LookUps!$E$5:$E$12, MATCH(OpenLCAbasic!K7133,LookUps!$D$5:$D$12,0))))</f>
        <v>Global Warming Potential (GWP) - kg CO2 eq</v>
      </c>
      <c r="M7133" s="154" t="str">
        <f t="shared" si="539"/>
        <v>High_Base_High_Upgraded_Global Warming Potential (GWP) - kg CO2 eq_Biosolids composting; windrow composting; wastewater treatment unit; at updated plant - US_Without Amendment_Windrow</v>
      </c>
    </row>
    <row r="7134" spans="1:13" s="120" customFormat="1" x14ac:dyDescent="0.25">
      <c r="A7134" s="119"/>
      <c r="B7134" s="138" t="str">
        <f t="shared" si="537"/>
        <v>Windrow</v>
      </c>
      <c r="C7134" s="138" t="str">
        <f t="shared" si="540"/>
        <v>Without Amendment</v>
      </c>
      <c r="D7134" s="138" t="str">
        <f t="shared" si="542"/>
        <v>Base_High</v>
      </c>
      <c r="E7134" s="138" t="str">
        <f t="shared" si="541"/>
        <v>High</v>
      </c>
      <c r="F7134" s="138" t="str">
        <f t="shared" si="538"/>
        <v>Upgraded</v>
      </c>
      <c r="G7134" s="153"/>
      <c r="H7134" s="210">
        <v>0.2676</v>
      </c>
      <c r="I7134" s="160" t="s">
        <v>58</v>
      </c>
      <c r="J7134" s="160">
        <v>0.24279999999999999</v>
      </c>
      <c r="K7134" s="160" t="s">
        <v>23</v>
      </c>
      <c r="L7134" s="154" t="str">
        <f>IF(OpenLCAbasic!K7134="CTUh", "Fill in Manually",IF(OR(K7134="Unit", K7134=""), "", INDEX(LookUps!$E$5:$E$12, MATCH(OpenLCAbasic!K7134,LookUps!$D$5:$D$12,0))))</f>
        <v>Global Warming Potential (GWP) - kg CO2 eq</v>
      </c>
      <c r="M7134" s="154" t="str">
        <f t="shared" si="539"/>
        <v>High_Base_High_Upgraded_Global Warming Potential (GWP) - kg CO2 eq_Pre-Anoxic &amp; Swing tank; wastewater treatment unit; at updated plant - US_Without Amendment_Windrow</v>
      </c>
    </row>
    <row r="7135" spans="1:13" s="120" customFormat="1" x14ac:dyDescent="0.25">
      <c r="A7135" s="119"/>
      <c r="B7135" s="138" t="str">
        <f t="shared" si="537"/>
        <v>Windrow</v>
      </c>
      <c r="C7135" s="138" t="str">
        <f t="shared" si="540"/>
        <v>Without Amendment</v>
      </c>
      <c r="D7135" s="138" t="str">
        <f t="shared" si="542"/>
        <v>Base_High</v>
      </c>
      <c r="E7135" s="138" t="str">
        <f t="shared" si="541"/>
        <v>High</v>
      </c>
      <c r="F7135" s="138" t="str">
        <f t="shared" si="538"/>
        <v>Upgraded</v>
      </c>
      <c r="G7135" s="153"/>
      <c r="H7135" s="210">
        <v>0.18540000000000001</v>
      </c>
      <c r="I7135" s="160" t="s">
        <v>55</v>
      </c>
      <c r="J7135" s="160">
        <v>0.16822000000000001</v>
      </c>
      <c r="K7135" s="160" t="s">
        <v>23</v>
      </c>
      <c r="L7135" s="154" t="str">
        <f>IF(OpenLCAbasic!K7135="CTUh", "Fill in Manually",IF(OR(K7135="Unit", K7135=""), "", INDEX(LookUps!$E$5:$E$12, MATCH(OpenLCAbasic!K7135,LookUps!$D$5:$D$12,0))))</f>
        <v>Global Warming Potential (GWP) - kg CO2 eq</v>
      </c>
      <c r="M7135" s="154" t="str">
        <f t="shared" si="539"/>
        <v>High_Base_High_Upgraded_Global Warming Potential (GWP) - kg CO2 eq_Aeration Tanks; wastewater treatment unit; at updated plant - US_Without Amendment_Windrow</v>
      </c>
    </row>
    <row r="7136" spans="1:13" s="120" customFormat="1" x14ac:dyDescent="0.25">
      <c r="A7136" s="119"/>
      <c r="B7136" s="138" t="str">
        <f t="shared" si="537"/>
        <v>Windrow</v>
      </c>
      <c r="C7136" s="138" t="str">
        <f t="shared" si="540"/>
        <v>Without Amendment</v>
      </c>
      <c r="D7136" s="138" t="str">
        <f t="shared" si="542"/>
        <v>Base_High</v>
      </c>
      <c r="E7136" s="138" t="str">
        <f t="shared" si="541"/>
        <v>High</v>
      </c>
      <c r="F7136" s="138" t="str">
        <f t="shared" si="538"/>
        <v>Upgraded</v>
      </c>
      <c r="G7136" s="153"/>
      <c r="H7136" s="210">
        <v>0.1129</v>
      </c>
      <c r="I7136" s="160" t="s">
        <v>167</v>
      </c>
      <c r="J7136" s="160">
        <v>0.10241</v>
      </c>
      <c r="K7136" s="160" t="s">
        <v>23</v>
      </c>
      <c r="L7136" s="154" t="str">
        <f>IF(OpenLCAbasic!K7136="CTUh", "Fill in Manually",IF(OR(K7136="Unit", K7136=""), "", INDEX(LookUps!$E$5:$E$12, MATCH(OpenLCAbasic!K7136,LookUps!$D$5:$D$12,0))))</f>
        <v>Global Warming Potential (GWP) - kg CO2 eq</v>
      </c>
      <c r="M7136" s="154" t="str">
        <f t="shared" si="539"/>
        <v>High_Base_High_Upgraded_Global Warming Potential (GWP) - kg CO2 eq_Waste Receiving and Holding; wastewater treatment unit; at updated plant - US_Without Amendment_Windrow</v>
      </c>
    </row>
    <row r="7137" spans="1:13" s="120" customFormat="1" x14ac:dyDescent="0.25">
      <c r="A7137" s="119"/>
      <c r="B7137" s="138" t="str">
        <f t="shared" si="537"/>
        <v>Windrow</v>
      </c>
      <c r="C7137" s="138" t="str">
        <f t="shared" si="540"/>
        <v>Without Amendment</v>
      </c>
      <c r="D7137" s="138" t="str">
        <f t="shared" si="542"/>
        <v>Base_High</v>
      </c>
      <c r="E7137" s="138" t="str">
        <f t="shared" si="541"/>
        <v>High</v>
      </c>
      <c r="F7137" s="138" t="str">
        <f t="shared" si="538"/>
        <v>Upgraded</v>
      </c>
      <c r="G7137" s="153"/>
      <c r="H7137" s="210">
        <v>6.2899999999999998E-2</v>
      </c>
      <c r="I7137" s="160" t="s">
        <v>54</v>
      </c>
      <c r="J7137" s="160">
        <v>5.7079999999999999E-2</v>
      </c>
      <c r="K7137" s="160" t="s">
        <v>23</v>
      </c>
      <c r="L7137" s="154" t="str">
        <f>IF(OpenLCAbasic!K7137="CTUh", "Fill in Manually",IF(OR(K7137="Unit", K7137=""), "", INDEX(LookUps!$E$5:$E$12, MATCH(OpenLCAbasic!K7137,LookUps!$D$5:$D$12,0))))</f>
        <v>Global Warming Potential (GWP) - kg CO2 eq</v>
      </c>
      <c r="M7137" s="154" t="str">
        <f t="shared" si="539"/>
        <v>High_Base_High_Upgraded_Global Warming Potential (GWP) - kg CO2 eq_Clear Cove Primary Clarification; wastewater treatment unit; at updated plant - US_Without Amendment_Windrow</v>
      </c>
    </row>
    <row r="7138" spans="1:13" s="120" customFormat="1" x14ac:dyDescent="0.25">
      <c r="A7138" s="119"/>
      <c r="B7138" s="138" t="str">
        <f t="shared" si="537"/>
        <v>Windrow</v>
      </c>
      <c r="C7138" s="138" t="str">
        <f t="shared" si="540"/>
        <v>Without Amendment</v>
      </c>
      <c r="D7138" s="138" t="str">
        <f t="shared" si="542"/>
        <v>Base_High</v>
      </c>
      <c r="E7138" s="138" t="str">
        <f t="shared" si="541"/>
        <v>High</v>
      </c>
      <c r="F7138" s="138" t="str">
        <f t="shared" si="538"/>
        <v>Upgraded</v>
      </c>
      <c r="G7138" s="153"/>
      <c r="H7138" s="210">
        <v>5.8000000000000003E-2</v>
      </c>
      <c r="I7138" s="160" t="s">
        <v>48</v>
      </c>
      <c r="J7138" s="160">
        <v>5.2639999999999999E-2</v>
      </c>
      <c r="K7138" s="160" t="s">
        <v>23</v>
      </c>
      <c r="L7138" s="154" t="str">
        <f>IF(OpenLCAbasic!K7138="CTUh", "Fill in Manually",IF(OR(K7138="Unit", K7138=""), "", INDEX(LookUps!$E$5:$E$12, MATCH(OpenLCAbasic!K7138,LookUps!$D$5:$D$12,0))))</f>
        <v>Global Warming Potential (GWP) - kg CO2 eq</v>
      </c>
      <c r="M7138" s="154" t="str">
        <f t="shared" si="539"/>
        <v>High_Base_High_Upgraded_Global Warming Potential (GWP) - kg CO2 eq_Effluent release; wastewater treatment unit; at surface water; m3 wastewater - US_Without Amendment_Windrow</v>
      </c>
    </row>
    <row r="7139" spans="1:13" s="120" customFormat="1" x14ac:dyDescent="0.25">
      <c r="A7139" s="119"/>
      <c r="B7139" s="138" t="str">
        <f t="shared" si="537"/>
        <v>Windrow</v>
      </c>
      <c r="C7139" s="138" t="str">
        <f t="shared" si="540"/>
        <v>Without Amendment</v>
      </c>
      <c r="D7139" s="138" t="str">
        <f t="shared" si="542"/>
        <v>Base_High</v>
      </c>
      <c r="E7139" s="138" t="str">
        <f t="shared" si="541"/>
        <v>High</v>
      </c>
      <c r="F7139" s="138" t="str">
        <f t="shared" si="538"/>
        <v>Upgraded</v>
      </c>
      <c r="G7139" s="153"/>
      <c r="H7139" s="210">
        <v>5.5599999999999997E-2</v>
      </c>
      <c r="I7139" s="160" t="s">
        <v>147</v>
      </c>
      <c r="J7139" s="160">
        <v>5.0500000000000003E-2</v>
      </c>
      <c r="K7139" s="160" t="s">
        <v>23</v>
      </c>
      <c r="L7139" s="154" t="str">
        <f>IF(OpenLCAbasic!K7139="CTUh", "Fill in Manually",IF(OR(K7139="Unit", K7139=""), "", INDEX(LookUps!$E$5:$E$12, MATCH(OpenLCAbasic!K7139,LookUps!$D$5:$D$12,0))))</f>
        <v>Global Warming Potential (GWP) - kg CO2 eq</v>
      </c>
      <c r="M7139" s="154" t="str">
        <f t="shared" si="539"/>
        <v>High_Base_High_Upgraded_Global Warming Potential (GWP) - kg CO2 eq_Influent Pump Station; wastewater treatment unit; at updated plant - US_Without Amendment_Windrow</v>
      </c>
    </row>
    <row r="7140" spans="1:13" s="120" customFormat="1" x14ac:dyDescent="0.25">
      <c r="A7140" s="119"/>
      <c r="B7140" s="138" t="str">
        <f t="shared" si="537"/>
        <v>Windrow</v>
      </c>
      <c r="C7140" s="138" t="str">
        <f t="shared" si="540"/>
        <v>Without Amendment</v>
      </c>
      <c r="D7140" s="138" t="str">
        <f t="shared" si="542"/>
        <v>Base_High</v>
      </c>
      <c r="E7140" s="138" t="str">
        <f t="shared" si="541"/>
        <v>High</v>
      </c>
      <c r="F7140" s="138" t="str">
        <f t="shared" si="538"/>
        <v>Upgraded</v>
      </c>
      <c r="G7140" s="153"/>
      <c r="H7140" s="210">
        <v>3.6600000000000001E-2</v>
      </c>
      <c r="I7140" s="160" t="s">
        <v>53</v>
      </c>
      <c r="J7140" s="160">
        <v>3.3259999999999998E-2</v>
      </c>
      <c r="K7140" s="160" t="s">
        <v>23</v>
      </c>
      <c r="L7140" s="154" t="str">
        <f>IF(OpenLCAbasic!K7140="CTUh", "Fill in Manually",IF(OR(K7140="Unit", K7140=""), "", INDEX(LookUps!$E$5:$E$12, MATCH(OpenLCAbasic!K7140,LookUps!$D$5:$D$12,0))))</f>
        <v>Global Warming Potential (GWP) - kg CO2 eq</v>
      </c>
      <c r="M7140" s="154" t="str">
        <f t="shared" si="539"/>
        <v>High_Base_High_Upgraded_Global Warming Potential (GWP) - kg CO2 eq_Wet Well and Sump Station; wastewater treatment unit; at updated plant - US_Without Amendment_Windrow</v>
      </c>
    </row>
    <row r="7141" spans="1:13" s="120" customFormat="1" x14ac:dyDescent="0.25">
      <c r="A7141" s="119"/>
      <c r="B7141" s="138" t="str">
        <f t="shared" si="537"/>
        <v>Windrow</v>
      </c>
      <c r="C7141" s="138" t="str">
        <f t="shared" si="540"/>
        <v>Without Amendment</v>
      </c>
      <c r="D7141" s="138" t="str">
        <f t="shared" si="542"/>
        <v>Base_High</v>
      </c>
      <c r="E7141" s="138" t="str">
        <f t="shared" si="541"/>
        <v>High</v>
      </c>
      <c r="F7141" s="138" t="str">
        <f t="shared" si="538"/>
        <v>Upgraded</v>
      </c>
      <c r="G7141" s="153"/>
      <c r="H7141" s="210">
        <v>1.6E-2</v>
      </c>
      <c r="I7141" s="160" t="s">
        <v>57</v>
      </c>
      <c r="J7141" s="160">
        <v>1.455E-2</v>
      </c>
      <c r="K7141" s="160" t="s">
        <v>23</v>
      </c>
      <c r="L7141" s="154" t="str">
        <f>IF(OpenLCAbasic!K7141="CTUh", "Fill in Manually",IF(OR(K7141="Unit", K7141=""), "", INDEX(LookUps!$E$5:$E$12, MATCH(OpenLCAbasic!K7141,LookUps!$D$5:$D$12,0))))</f>
        <v>Global Warming Potential (GWP) - kg CO2 eq</v>
      </c>
      <c r="M7141" s="154" t="str">
        <f t="shared" si="539"/>
        <v>High_Base_High_Upgraded_Global Warming Potential (GWP) - kg CO2 eq_Gravity Belt Thickener; wastewater treatment unit; at updated plant - US_Without Amendment_Windrow</v>
      </c>
    </row>
    <row r="7142" spans="1:13" s="120" customFormat="1" x14ac:dyDescent="0.25">
      <c r="A7142" s="119"/>
      <c r="B7142" s="138" t="str">
        <f t="shared" si="537"/>
        <v>Windrow</v>
      </c>
      <c r="C7142" s="138" t="str">
        <f t="shared" si="540"/>
        <v>Without Amendment</v>
      </c>
      <c r="D7142" s="138" t="str">
        <f t="shared" si="542"/>
        <v>Base_High</v>
      </c>
      <c r="E7142" s="138" t="str">
        <f t="shared" si="541"/>
        <v>High</v>
      </c>
      <c r="F7142" s="138" t="str">
        <f t="shared" si="538"/>
        <v>Upgraded</v>
      </c>
      <c r="G7142" s="153"/>
      <c r="H7142" s="210">
        <v>1.49E-2</v>
      </c>
      <c r="I7142" s="160" t="s">
        <v>128</v>
      </c>
      <c r="J7142" s="160">
        <v>1.3509999999999999E-2</v>
      </c>
      <c r="K7142" s="160" t="s">
        <v>23</v>
      </c>
      <c r="L7142" s="154" t="str">
        <f>IF(OpenLCAbasic!K7142="CTUh", "Fill in Manually",IF(OR(K7142="Unit", K7142=""), "", INDEX(LookUps!$E$5:$E$12, MATCH(OpenLCAbasic!K7142,LookUps!$D$5:$D$12,0))))</f>
        <v>Global Warming Potential (GWP) - kg CO2 eq</v>
      </c>
      <c r="M7142" s="154" t="str">
        <f t="shared" si="539"/>
        <v>High_Base_High_Upgraded_Global Warming Potential (GWP) - kg CO2 eq_Wastewater collection; operation and infrastructure; m3 wastewater_Without Amendment_Windrow</v>
      </c>
    </row>
    <row r="7143" spans="1:13" s="120" customFormat="1" x14ac:dyDescent="0.25">
      <c r="A7143" s="119"/>
      <c r="B7143" s="138" t="str">
        <f t="shared" si="537"/>
        <v>Windrow</v>
      </c>
      <c r="C7143" s="138" t="str">
        <f t="shared" si="540"/>
        <v>Without Amendment</v>
      </c>
      <c r="D7143" s="138" t="str">
        <f t="shared" si="542"/>
        <v>Base_High</v>
      </c>
      <c r="E7143" s="138" t="str">
        <f t="shared" si="541"/>
        <v>High</v>
      </c>
      <c r="F7143" s="138" t="str">
        <f t="shared" si="538"/>
        <v>Upgraded</v>
      </c>
      <c r="G7143" s="153"/>
      <c r="H7143" s="210">
        <v>1.3599999999999999E-2</v>
      </c>
      <c r="I7143" s="160" t="s">
        <v>60</v>
      </c>
      <c r="J7143" s="160">
        <v>1.231E-2</v>
      </c>
      <c r="K7143" s="160" t="s">
        <v>23</v>
      </c>
      <c r="L7143" s="154" t="str">
        <f>IF(OpenLCAbasic!K7143="CTUh", "Fill in Manually",IF(OR(K7143="Unit", K7143=""), "", INDEX(LookUps!$E$5:$E$12, MATCH(OpenLCAbasic!K7143,LookUps!$D$5:$D$12,0))))</f>
        <v>Global Warming Potential (GWP) - kg CO2 eq</v>
      </c>
      <c r="M7143" s="154" t="str">
        <f t="shared" si="539"/>
        <v>High_Base_High_Upgraded_Global Warming Potential (GWP) - kg CO2 eq_Belt filter press; wastewater treatment unit; at updated plant - US_Without Amendment_Windrow</v>
      </c>
    </row>
    <row r="7144" spans="1:13" s="120" customFormat="1" x14ac:dyDescent="0.25">
      <c r="A7144" s="119"/>
      <c r="B7144" s="138" t="str">
        <f t="shared" ref="B7144:B7207" si="543">IF(F7144="Legacy","n.a.",IF(F7144="","","Windrow"))</f>
        <v>Windrow</v>
      </c>
      <c r="C7144" s="138" t="str">
        <f t="shared" si="540"/>
        <v>Without Amendment</v>
      </c>
      <c r="D7144" s="138" t="str">
        <f t="shared" si="542"/>
        <v>Base_High</v>
      </c>
      <c r="E7144" s="138" t="str">
        <f t="shared" si="541"/>
        <v>High</v>
      </c>
      <c r="F7144" s="138" t="str">
        <f t="shared" ref="F7144:F7207" si="544">IF(ISNUMBER(J7144),"Upgraded","")</f>
        <v>Upgraded</v>
      </c>
      <c r="G7144" s="153"/>
      <c r="H7144" s="210">
        <v>9.1000000000000004E-3</v>
      </c>
      <c r="I7144" s="160" t="s">
        <v>148</v>
      </c>
      <c r="J7144" s="160">
        <v>8.3000000000000001E-3</v>
      </c>
      <c r="K7144" s="160" t="s">
        <v>23</v>
      </c>
      <c r="L7144" s="154" t="str">
        <f>IF(OpenLCAbasic!K7144="CTUh", "Fill in Manually",IF(OR(K7144="Unit", K7144=""), "", INDEX(LookUps!$E$5:$E$12, MATCH(OpenLCAbasic!K7144,LookUps!$D$5:$D$12,0))))</f>
        <v>Global Warming Potential (GWP) - kg CO2 eq</v>
      </c>
      <c r="M7144" s="154" t="str">
        <f t="shared" si="539"/>
        <v>High_Base_High_Upgraded_Global Warming Potential (GWP) - kg CO2 eq_Control Building; at upgraded wastewater treatment plant - US_Without Amendment_Windrow</v>
      </c>
    </row>
    <row r="7145" spans="1:13" s="120" customFormat="1" x14ac:dyDescent="0.25">
      <c r="A7145" s="119"/>
      <c r="B7145" s="138" t="str">
        <f t="shared" si="543"/>
        <v>Windrow</v>
      </c>
      <c r="C7145" s="138" t="str">
        <f t="shared" si="540"/>
        <v>Without Amendment</v>
      </c>
      <c r="D7145" s="138" t="str">
        <f t="shared" si="542"/>
        <v>Base_High</v>
      </c>
      <c r="E7145" s="138" t="str">
        <f t="shared" si="541"/>
        <v>High</v>
      </c>
      <c r="F7145" s="138" t="str">
        <f t="shared" si="544"/>
        <v>Upgraded</v>
      </c>
      <c r="G7145" s="153"/>
      <c r="H7145" s="210">
        <v>5.5999999999999999E-3</v>
      </c>
      <c r="I7145" s="160" t="s">
        <v>59</v>
      </c>
      <c r="J7145" s="160">
        <v>5.0400000000000002E-3</v>
      </c>
      <c r="K7145" s="160" t="s">
        <v>23</v>
      </c>
      <c r="L7145" s="154" t="str">
        <f>IF(OpenLCAbasic!K7145="CTUh", "Fill in Manually",IF(OR(K7145="Unit", K7145=""), "", INDEX(LookUps!$E$5:$E$12, MATCH(OpenLCAbasic!K7145,LookUps!$D$5:$D$12,0))))</f>
        <v>Global Warming Potential (GWP) - kg CO2 eq</v>
      </c>
      <c r="M7145" s="154" t="str">
        <f t="shared" si="539"/>
        <v>High_Base_High_Upgraded_Global Warming Potential (GWP) - kg CO2 eq_Blend Tank; wastewater treatment unit; at updated plant - US_Without Amendment_Windrow</v>
      </c>
    </row>
    <row r="7146" spans="1:13" s="120" customFormat="1" x14ac:dyDescent="0.25">
      <c r="A7146" s="119"/>
      <c r="B7146" s="138" t="str">
        <f t="shared" si="543"/>
        <v>Windrow</v>
      </c>
      <c r="C7146" s="138" t="str">
        <f t="shared" si="540"/>
        <v>Without Amendment</v>
      </c>
      <c r="D7146" s="138" t="str">
        <f t="shared" si="542"/>
        <v>Base_High</v>
      </c>
      <c r="E7146" s="138" t="str">
        <f t="shared" si="541"/>
        <v>High</v>
      </c>
      <c r="F7146" s="138" t="str">
        <f t="shared" si="544"/>
        <v>Upgraded</v>
      </c>
      <c r="G7146" s="153"/>
      <c r="H7146" s="210">
        <v>2.7000000000000001E-3</v>
      </c>
      <c r="I7146" s="160" t="s">
        <v>168</v>
      </c>
      <c r="J7146" s="160">
        <v>2.4099999999999998E-3</v>
      </c>
      <c r="K7146" s="160" t="s">
        <v>23</v>
      </c>
      <c r="L7146" s="154" t="str">
        <f>IF(OpenLCAbasic!K7146="CTUh", "Fill in Manually",IF(OR(K7146="Unit", K7146=""), "", INDEX(LookUps!$E$5:$E$12, MATCH(OpenLCAbasic!K7146,LookUps!$D$5:$D$12,0))))</f>
        <v>Global Warming Potential (GWP) - kg CO2 eq</v>
      </c>
      <c r="M7146" s="154" t="str">
        <f t="shared" si="539"/>
        <v>High_Base_High_Upgraded_Global Warming Potential (GWP) - kg CO2 eq_ClearCove SCP; wastewater treatment unit; at updated plant - US_Without Amendment_Windrow</v>
      </c>
    </row>
    <row r="7147" spans="1:13" s="120" customFormat="1" x14ac:dyDescent="0.25">
      <c r="A7147" s="119"/>
      <c r="B7147" s="138" t="str">
        <f t="shared" si="543"/>
        <v>Windrow</v>
      </c>
      <c r="C7147" s="138" t="str">
        <f t="shared" si="540"/>
        <v>Without Amendment</v>
      </c>
      <c r="D7147" s="138" t="str">
        <f t="shared" si="542"/>
        <v>Base_High</v>
      </c>
      <c r="E7147" s="138" t="str">
        <f t="shared" si="541"/>
        <v>High</v>
      </c>
      <c r="F7147" s="138" t="str">
        <f t="shared" si="544"/>
        <v>Upgraded</v>
      </c>
      <c r="G7147" s="153"/>
      <c r="H7147" s="210">
        <v>-0.14710000000000001</v>
      </c>
      <c r="I7147" s="160" t="s">
        <v>62</v>
      </c>
      <c r="J7147" s="160">
        <v>-0.13352</v>
      </c>
      <c r="K7147" s="160" t="s">
        <v>23</v>
      </c>
      <c r="L7147" s="154" t="str">
        <f>IF(OpenLCAbasic!K7147="CTUh", "Fill in Manually",IF(OR(K7147="Unit", K7147=""), "", INDEX(LookUps!$E$5:$E$12, MATCH(OpenLCAbasic!K7147,LookUps!$D$5:$D$12,0))))</f>
        <v>Global Warming Potential (GWP) - kg CO2 eq</v>
      </c>
      <c r="M7147" s="154" t="str">
        <f t="shared" si="539"/>
        <v>High_Base_High_Upgraded_Global Warming Potential (GWP) - kg CO2 eq_Land application of compost; wastewater treatment unit; at updated plant - US_Without Amendment_Windrow</v>
      </c>
    </row>
    <row r="7148" spans="1:13" s="120" customFormat="1" x14ac:dyDescent="0.25">
      <c r="A7148" s="119"/>
      <c r="B7148" s="138" t="str">
        <f t="shared" si="543"/>
        <v>Windrow</v>
      </c>
      <c r="C7148" s="138" t="str">
        <f t="shared" si="540"/>
        <v>Without Amendment</v>
      </c>
      <c r="D7148" s="138" t="str">
        <f t="shared" si="542"/>
        <v>Base_High</v>
      </c>
      <c r="E7148" s="138" t="str">
        <f t="shared" si="541"/>
        <v>High</v>
      </c>
      <c r="F7148" s="138" t="str">
        <f t="shared" si="544"/>
        <v>Upgraded</v>
      </c>
      <c r="G7148" s="153"/>
      <c r="H7148" s="210">
        <v>-0.49490000000000001</v>
      </c>
      <c r="I7148" s="160" t="s">
        <v>149</v>
      </c>
      <c r="J7148" s="160">
        <v>-0.44908999999999999</v>
      </c>
      <c r="K7148" s="160" t="s">
        <v>23</v>
      </c>
      <c r="L7148" s="154" t="str">
        <f>IF(OpenLCAbasic!K7148="CTUh", "Fill in Manually",IF(OR(K7148="Unit", K7148=""), "", INDEX(LookUps!$E$5:$E$12, MATCH(OpenLCAbasic!K7148,LookUps!$D$5:$D$12,0))))</f>
        <v>Global Warming Potential (GWP) - kg CO2 eq</v>
      </c>
      <c r="M7148" s="154" t="str">
        <f t="shared" si="539"/>
        <v>High_Base_High_Upgraded_Global Warming Potential (GWP) - kg CO2 eq_Anaerobic Digestion; wastewater treatment unit; at updated plant - US_Without Amendment_Windrow</v>
      </c>
    </row>
    <row r="7149" spans="1:13" s="120" customFormat="1" x14ac:dyDescent="0.25">
      <c r="A7149" s="119"/>
      <c r="B7149" s="138" t="str">
        <f t="shared" si="543"/>
        <v/>
      </c>
      <c r="C7149" s="138" t="str">
        <f t="shared" si="540"/>
        <v/>
      </c>
      <c r="D7149" s="138" t="str">
        <f t="shared" si="542"/>
        <v/>
      </c>
      <c r="E7149" s="138" t="str">
        <f t="shared" si="541"/>
        <v/>
      </c>
      <c r="F7149" s="138" t="str">
        <f t="shared" si="544"/>
        <v/>
      </c>
      <c r="G7149" s="153" t="s">
        <v>51</v>
      </c>
      <c r="H7149" s="160"/>
      <c r="I7149" s="160" t="s">
        <v>47</v>
      </c>
      <c r="J7149" s="160" t="s">
        <v>52</v>
      </c>
      <c r="K7149" s="160" t="s">
        <v>27</v>
      </c>
      <c r="L7149" s="154" t="str">
        <f>IF(OpenLCAbasic!K7149="CTUh", "Fill in Manually",IF(OR(K7149="Unit", K7149=""), "", INDEX(LookUps!$E$5:$E$12, MATCH(OpenLCAbasic!K7149,LookUps!$D$5:$D$12,0))))</f>
        <v/>
      </c>
      <c r="M7149" s="154" t="str">
        <f t="shared" si="539"/>
        <v>____Process__</v>
      </c>
    </row>
    <row r="7150" spans="1:13" s="120" customFormat="1" x14ac:dyDescent="0.25">
      <c r="A7150" s="119"/>
      <c r="B7150" s="138" t="str">
        <f t="shared" si="543"/>
        <v>Windrow</v>
      </c>
      <c r="C7150" s="138" t="str">
        <f t="shared" si="540"/>
        <v>Without Amendment</v>
      </c>
      <c r="D7150" s="138" t="str">
        <f t="shared" si="542"/>
        <v>Base_High</v>
      </c>
      <c r="E7150" s="138" t="str">
        <f t="shared" si="541"/>
        <v>High</v>
      </c>
      <c r="F7150" s="138" t="str">
        <f t="shared" si="544"/>
        <v>Upgraded</v>
      </c>
      <c r="G7150" s="153"/>
      <c r="H7150" s="210">
        <v>13.481400000000001</v>
      </c>
      <c r="I7150" s="160" t="s">
        <v>55</v>
      </c>
      <c r="J7150" s="160">
        <v>2.33E-3</v>
      </c>
      <c r="K7150" s="160" t="s">
        <v>145</v>
      </c>
      <c r="L7150" s="154" t="str">
        <f>IF(OpenLCAbasic!K7150="CTUh", "Fill in Manually",IF(OR(K7150="Unit", K7150=""), "", INDEX(LookUps!$E$5:$E$12, MATCH(OpenLCAbasic!K7150,LookUps!$D$5:$D$12,0))))</f>
        <v>Particulate Matter Formation Potential (PMFP) - kg PM2.5 eq</v>
      </c>
      <c r="M7150" s="154" t="str">
        <f t="shared" si="539"/>
        <v>High_Base_High_Upgraded_Particulate Matter Formation Potential (PMFP) - kg PM2.5 eq_Aeration Tanks; wastewater treatment unit; at updated plant - US_Without Amendment_Windrow</v>
      </c>
    </row>
    <row r="7151" spans="1:13" s="120" customFormat="1" x14ac:dyDescent="0.25">
      <c r="A7151" s="119"/>
      <c r="B7151" s="138" t="str">
        <f t="shared" si="543"/>
        <v>Windrow</v>
      </c>
      <c r="C7151" s="138" t="str">
        <f t="shared" si="540"/>
        <v>Without Amendment</v>
      </c>
      <c r="D7151" s="138" t="str">
        <f t="shared" si="542"/>
        <v>Base_High</v>
      </c>
      <c r="E7151" s="138" t="str">
        <f t="shared" si="541"/>
        <v>High</v>
      </c>
      <c r="F7151" s="138" t="str">
        <f t="shared" si="544"/>
        <v>Upgraded</v>
      </c>
      <c r="G7151" s="153"/>
      <c r="H7151" s="210">
        <v>3.9228999999999998</v>
      </c>
      <c r="I7151" s="160" t="s">
        <v>54</v>
      </c>
      <c r="J7151" s="160">
        <v>6.8000000000000005E-4</v>
      </c>
      <c r="K7151" s="160" t="s">
        <v>145</v>
      </c>
      <c r="L7151" s="154" t="str">
        <f>IF(OpenLCAbasic!K7151="CTUh", "Fill in Manually",IF(OR(K7151="Unit", K7151=""), "", INDEX(LookUps!$E$5:$E$12, MATCH(OpenLCAbasic!K7151,LookUps!$D$5:$D$12,0))))</f>
        <v>Particulate Matter Formation Potential (PMFP) - kg PM2.5 eq</v>
      </c>
      <c r="M7151" s="154" t="str">
        <f t="shared" si="539"/>
        <v>High_Base_High_Upgraded_Particulate Matter Formation Potential (PMFP) - kg PM2.5 eq_Clear Cove Primary Clarification; wastewater treatment unit; at updated plant - US_Without Amendment_Windrow</v>
      </c>
    </row>
    <row r="7152" spans="1:13" s="120" customFormat="1" x14ac:dyDescent="0.25">
      <c r="A7152" s="119"/>
      <c r="B7152" s="138" t="str">
        <f t="shared" si="543"/>
        <v>Windrow</v>
      </c>
      <c r="C7152" s="138" t="str">
        <f t="shared" si="540"/>
        <v>Without Amendment</v>
      </c>
      <c r="D7152" s="138" t="str">
        <f t="shared" si="542"/>
        <v>Base_High</v>
      </c>
      <c r="E7152" s="138" t="str">
        <f t="shared" si="541"/>
        <v>High</v>
      </c>
      <c r="F7152" s="138" t="str">
        <f t="shared" si="544"/>
        <v>Upgraded</v>
      </c>
      <c r="G7152" s="153"/>
      <c r="H7152" s="210">
        <v>3.3894000000000002</v>
      </c>
      <c r="I7152" s="160" t="s">
        <v>58</v>
      </c>
      <c r="J7152" s="160">
        <v>5.9000000000000003E-4</v>
      </c>
      <c r="K7152" s="160" t="s">
        <v>145</v>
      </c>
      <c r="L7152" s="154" t="str">
        <f>IF(OpenLCAbasic!K7152="CTUh", "Fill in Manually",IF(OR(K7152="Unit", K7152=""), "", INDEX(LookUps!$E$5:$E$12, MATCH(OpenLCAbasic!K7152,LookUps!$D$5:$D$12,0))))</f>
        <v>Particulate Matter Formation Potential (PMFP) - kg PM2.5 eq</v>
      </c>
      <c r="M7152" s="154" t="str">
        <f t="shared" si="539"/>
        <v>High_Base_High_Upgraded_Particulate Matter Formation Potential (PMFP) - kg PM2.5 eq_Pre-Anoxic &amp; Swing tank; wastewater treatment unit; at updated plant - US_Without Amendment_Windrow</v>
      </c>
    </row>
    <row r="7153" spans="1:13" s="120" customFormat="1" x14ac:dyDescent="0.25">
      <c r="A7153" s="119"/>
      <c r="B7153" s="138" t="str">
        <f t="shared" si="543"/>
        <v>Windrow</v>
      </c>
      <c r="C7153" s="138" t="str">
        <f t="shared" si="540"/>
        <v>Without Amendment</v>
      </c>
      <c r="D7153" s="138" t="str">
        <f t="shared" si="542"/>
        <v>Base_High</v>
      </c>
      <c r="E7153" s="138" t="str">
        <f t="shared" si="541"/>
        <v>High</v>
      </c>
      <c r="F7153" s="138" t="str">
        <f t="shared" si="544"/>
        <v>Upgraded</v>
      </c>
      <c r="G7153" s="153"/>
      <c r="H7153" s="210">
        <v>2.6953999999999998</v>
      </c>
      <c r="I7153" s="160" t="s">
        <v>53</v>
      </c>
      <c r="J7153" s="160">
        <v>4.6999999999999999E-4</v>
      </c>
      <c r="K7153" s="160" t="s">
        <v>145</v>
      </c>
      <c r="L7153" s="154" t="str">
        <f>IF(OpenLCAbasic!K7153="CTUh", "Fill in Manually",IF(OR(K7153="Unit", K7153=""), "", INDEX(LookUps!$E$5:$E$12, MATCH(OpenLCAbasic!K7153,LookUps!$D$5:$D$12,0))))</f>
        <v>Particulate Matter Formation Potential (PMFP) - kg PM2.5 eq</v>
      </c>
      <c r="M7153" s="154" t="str">
        <f t="shared" si="539"/>
        <v>High_Base_High_Upgraded_Particulate Matter Formation Potential (PMFP) - kg PM2.5 eq_Wet Well and Sump Station; wastewater treatment unit; at updated plant - US_Without Amendment_Windrow</v>
      </c>
    </row>
    <row r="7154" spans="1:13" s="120" customFormat="1" x14ac:dyDescent="0.25">
      <c r="A7154" s="119"/>
      <c r="B7154" s="138" t="str">
        <f t="shared" si="543"/>
        <v>Windrow</v>
      </c>
      <c r="C7154" s="138" t="str">
        <f t="shared" si="540"/>
        <v>Without Amendment</v>
      </c>
      <c r="D7154" s="138" t="str">
        <f t="shared" si="542"/>
        <v>Base_High</v>
      </c>
      <c r="E7154" s="138" t="str">
        <f t="shared" si="541"/>
        <v>High</v>
      </c>
      <c r="F7154" s="138" t="str">
        <f t="shared" si="544"/>
        <v>Upgraded</v>
      </c>
      <c r="G7154" s="153"/>
      <c r="H7154" s="210">
        <v>1.728</v>
      </c>
      <c r="I7154" s="160" t="s">
        <v>167</v>
      </c>
      <c r="J7154" s="160">
        <v>2.9999999999999997E-4</v>
      </c>
      <c r="K7154" s="160" t="s">
        <v>145</v>
      </c>
      <c r="L7154" s="154" t="str">
        <f>IF(OpenLCAbasic!K7154="CTUh", "Fill in Manually",IF(OR(K7154="Unit", K7154=""), "", INDEX(LookUps!$E$5:$E$12, MATCH(OpenLCAbasic!K7154,LookUps!$D$5:$D$12,0))))</f>
        <v>Particulate Matter Formation Potential (PMFP) - kg PM2.5 eq</v>
      </c>
      <c r="M7154" s="154" t="str">
        <f t="shared" si="539"/>
        <v>High_Base_High_Upgraded_Particulate Matter Formation Potential (PMFP) - kg PM2.5 eq_Waste Receiving and Holding; wastewater treatment unit; at updated plant - US_Without Amendment_Windrow</v>
      </c>
    </row>
    <row r="7155" spans="1:13" s="120" customFormat="1" x14ac:dyDescent="0.25">
      <c r="A7155" s="119"/>
      <c r="B7155" s="138" t="str">
        <f t="shared" si="543"/>
        <v>Windrow</v>
      </c>
      <c r="C7155" s="138" t="str">
        <f t="shared" si="540"/>
        <v>Without Amendment</v>
      </c>
      <c r="D7155" s="138" t="str">
        <f t="shared" si="542"/>
        <v>Base_High</v>
      </c>
      <c r="E7155" s="138" t="str">
        <f t="shared" si="541"/>
        <v>High</v>
      </c>
      <c r="F7155" s="138" t="str">
        <f t="shared" si="544"/>
        <v>Upgraded</v>
      </c>
      <c r="G7155" s="153"/>
      <c r="H7155" s="210">
        <v>1.5407</v>
      </c>
      <c r="I7155" s="160" t="s">
        <v>147</v>
      </c>
      <c r="J7155" s="160">
        <v>2.7E-4</v>
      </c>
      <c r="K7155" s="160" t="s">
        <v>145</v>
      </c>
      <c r="L7155" s="154" t="str">
        <f>IF(OpenLCAbasic!K7155="CTUh", "Fill in Manually",IF(OR(K7155="Unit", K7155=""), "", INDEX(LookUps!$E$5:$E$12, MATCH(OpenLCAbasic!K7155,LookUps!$D$5:$D$12,0))))</f>
        <v>Particulate Matter Formation Potential (PMFP) - kg PM2.5 eq</v>
      </c>
      <c r="M7155" s="154" t="str">
        <f t="shared" si="539"/>
        <v>High_Base_High_Upgraded_Particulate Matter Formation Potential (PMFP) - kg PM2.5 eq_Influent Pump Station; wastewater treatment unit; at updated plant - US_Without Amendment_Windrow</v>
      </c>
    </row>
    <row r="7156" spans="1:13" s="120" customFormat="1" x14ac:dyDescent="0.25">
      <c r="A7156" s="119"/>
      <c r="B7156" s="138" t="str">
        <f t="shared" si="543"/>
        <v>Windrow</v>
      </c>
      <c r="C7156" s="138" t="str">
        <f t="shared" si="540"/>
        <v>Without Amendment</v>
      </c>
      <c r="D7156" s="138" t="str">
        <f t="shared" si="542"/>
        <v>Base_High</v>
      </c>
      <c r="E7156" s="138" t="str">
        <f t="shared" si="541"/>
        <v>High</v>
      </c>
      <c r="F7156" s="138" t="str">
        <f t="shared" si="544"/>
        <v>Upgraded</v>
      </c>
      <c r="G7156" s="153"/>
      <c r="H7156" s="210">
        <v>1.3545</v>
      </c>
      <c r="I7156" s="160" t="s">
        <v>271</v>
      </c>
      <c r="J7156" s="160">
        <v>2.3000000000000001E-4</v>
      </c>
      <c r="K7156" s="160" t="s">
        <v>145</v>
      </c>
      <c r="L7156" s="154" t="str">
        <f>IF(OpenLCAbasic!K7156="CTUh", "Fill in Manually",IF(OR(K7156="Unit", K7156=""), "", INDEX(LookUps!$E$5:$E$12, MATCH(OpenLCAbasic!K7156,LookUps!$D$5:$D$12,0))))</f>
        <v>Particulate Matter Formation Potential (PMFP) - kg PM2.5 eq</v>
      </c>
      <c r="M7156" s="154" t="str">
        <f t="shared" si="539"/>
        <v>High_Base_High_Upgraded_Particulate Matter Formation Potential (PMFP) - kg PM2.5 eq_Biosolids composting; windrow composting; wastewater treatment unit; at updated plant - US_Without Amendment_Windrow</v>
      </c>
    </row>
    <row r="7157" spans="1:13" s="120" customFormat="1" x14ac:dyDescent="0.25">
      <c r="A7157" s="119"/>
      <c r="B7157" s="138" t="str">
        <f t="shared" si="543"/>
        <v>Windrow</v>
      </c>
      <c r="C7157" s="138" t="str">
        <f t="shared" si="540"/>
        <v>Without Amendment</v>
      </c>
      <c r="D7157" s="138" t="str">
        <f t="shared" si="542"/>
        <v>Base_High</v>
      </c>
      <c r="E7157" s="138" t="str">
        <f t="shared" si="541"/>
        <v>High</v>
      </c>
      <c r="F7157" s="138" t="str">
        <f t="shared" si="544"/>
        <v>Upgraded</v>
      </c>
      <c r="G7157" s="153"/>
      <c r="H7157" s="210">
        <v>0.96150000000000002</v>
      </c>
      <c r="I7157" s="160" t="s">
        <v>128</v>
      </c>
      <c r="J7157" s="160">
        <v>1.7000000000000001E-4</v>
      </c>
      <c r="K7157" s="160" t="s">
        <v>145</v>
      </c>
      <c r="L7157" s="154" t="str">
        <f>IF(OpenLCAbasic!K7157="CTUh", "Fill in Manually",IF(OR(K7157="Unit", K7157=""), "", INDEX(LookUps!$E$5:$E$12, MATCH(OpenLCAbasic!K7157,LookUps!$D$5:$D$12,0))))</f>
        <v>Particulate Matter Formation Potential (PMFP) - kg PM2.5 eq</v>
      </c>
      <c r="M7157" s="154" t="str">
        <f t="shared" si="539"/>
        <v>High_Base_High_Upgraded_Particulate Matter Formation Potential (PMFP) - kg PM2.5 eq_Wastewater collection; operation and infrastructure; m3 wastewater_Without Amendment_Windrow</v>
      </c>
    </row>
    <row r="7158" spans="1:13" s="120" customFormat="1" x14ac:dyDescent="0.25">
      <c r="A7158" s="119"/>
      <c r="B7158" s="138" t="str">
        <f t="shared" si="543"/>
        <v>Windrow</v>
      </c>
      <c r="C7158" s="138" t="str">
        <f t="shared" si="540"/>
        <v>Without Amendment</v>
      </c>
      <c r="D7158" s="138" t="str">
        <f t="shared" si="542"/>
        <v>Base_High</v>
      </c>
      <c r="E7158" s="138" t="str">
        <f t="shared" si="541"/>
        <v>High</v>
      </c>
      <c r="F7158" s="138" t="str">
        <f t="shared" si="544"/>
        <v>Upgraded</v>
      </c>
      <c r="G7158" s="153"/>
      <c r="H7158" s="210">
        <v>0.58120000000000005</v>
      </c>
      <c r="I7158" s="160" t="s">
        <v>60</v>
      </c>
      <c r="J7158" s="160">
        <v>1E-4</v>
      </c>
      <c r="K7158" s="160" t="s">
        <v>145</v>
      </c>
      <c r="L7158" s="154" t="str">
        <f>IF(OpenLCAbasic!K7158="CTUh", "Fill in Manually",IF(OR(K7158="Unit", K7158=""), "", INDEX(LookUps!$E$5:$E$12, MATCH(OpenLCAbasic!K7158,LookUps!$D$5:$D$12,0))))</f>
        <v>Particulate Matter Formation Potential (PMFP) - kg PM2.5 eq</v>
      </c>
      <c r="M7158" s="154" t="str">
        <f t="shared" si="539"/>
        <v>High_Base_High_Upgraded_Particulate Matter Formation Potential (PMFP) - kg PM2.5 eq_Belt filter press; wastewater treatment unit; at updated plant - US_Without Amendment_Windrow</v>
      </c>
    </row>
    <row r="7159" spans="1:13" s="120" customFormat="1" x14ac:dyDescent="0.25">
      <c r="A7159" s="119"/>
      <c r="B7159" s="138" t="str">
        <f t="shared" si="543"/>
        <v>Windrow</v>
      </c>
      <c r="C7159" s="138" t="str">
        <f t="shared" si="540"/>
        <v>Without Amendment</v>
      </c>
      <c r="D7159" s="138" t="str">
        <f t="shared" si="542"/>
        <v>Base_High</v>
      </c>
      <c r="E7159" s="138" t="str">
        <f t="shared" si="541"/>
        <v>High</v>
      </c>
      <c r="F7159" s="138" t="str">
        <f t="shared" si="544"/>
        <v>Upgraded</v>
      </c>
      <c r="G7159" s="153"/>
      <c r="H7159" s="210">
        <v>0.54959999999999998</v>
      </c>
      <c r="I7159" s="160" t="s">
        <v>57</v>
      </c>
      <c r="J7159" s="211">
        <v>9.5153800000000004E-5</v>
      </c>
      <c r="K7159" s="160" t="s">
        <v>145</v>
      </c>
      <c r="L7159" s="154" t="str">
        <f>IF(OpenLCAbasic!K7159="CTUh", "Fill in Manually",IF(OR(K7159="Unit", K7159=""), "", INDEX(LookUps!$E$5:$E$12, MATCH(OpenLCAbasic!K7159,LookUps!$D$5:$D$12,0))))</f>
        <v>Particulate Matter Formation Potential (PMFP) - kg PM2.5 eq</v>
      </c>
      <c r="M7159" s="154" t="str">
        <f t="shared" si="539"/>
        <v>High_Base_High_Upgraded_Particulate Matter Formation Potential (PMFP) - kg PM2.5 eq_Gravity Belt Thickener; wastewater treatment unit; at updated plant - US_Without Amendment_Windrow</v>
      </c>
    </row>
    <row r="7160" spans="1:13" s="120" customFormat="1" x14ac:dyDescent="0.25">
      <c r="A7160" s="119"/>
      <c r="B7160" s="138" t="str">
        <f t="shared" si="543"/>
        <v>Windrow</v>
      </c>
      <c r="C7160" s="138" t="str">
        <f t="shared" si="540"/>
        <v>Without Amendment</v>
      </c>
      <c r="D7160" s="138" t="str">
        <f t="shared" si="542"/>
        <v>Base_High</v>
      </c>
      <c r="E7160" s="138" t="str">
        <f t="shared" si="541"/>
        <v>High</v>
      </c>
      <c r="F7160" s="138" t="str">
        <f t="shared" si="544"/>
        <v>Upgraded</v>
      </c>
      <c r="G7160" s="153"/>
      <c r="H7160" s="210">
        <v>0.40400000000000003</v>
      </c>
      <c r="I7160" s="160" t="s">
        <v>59</v>
      </c>
      <c r="J7160" s="211">
        <v>6.9942200000000003E-5</v>
      </c>
      <c r="K7160" s="160" t="s">
        <v>145</v>
      </c>
      <c r="L7160" s="154" t="str">
        <f>IF(OpenLCAbasic!K7160="CTUh", "Fill in Manually",IF(OR(K7160="Unit", K7160=""), "", INDEX(LookUps!$E$5:$E$12, MATCH(OpenLCAbasic!K7160,LookUps!$D$5:$D$12,0))))</f>
        <v>Particulate Matter Formation Potential (PMFP) - kg PM2.5 eq</v>
      </c>
      <c r="M7160" s="154" t="str">
        <f t="shared" si="539"/>
        <v>High_Base_High_Upgraded_Particulate Matter Formation Potential (PMFP) - kg PM2.5 eq_Blend Tank; wastewater treatment unit; at updated plant - US_Without Amendment_Windrow</v>
      </c>
    </row>
    <row r="7161" spans="1:13" s="120" customFormat="1" x14ac:dyDescent="0.25">
      <c r="A7161" s="119"/>
      <c r="B7161" s="138" t="str">
        <f t="shared" si="543"/>
        <v>Windrow</v>
      </c>
      <c r="C7161" s="138" t="str">
        <f t="shared" si="540"/>
        <v>Without Amendment</v>
      </c>
      <c r="D7161" s="138" t="str">
        <f t="shared" si="542"/>
        <v>Base_High</v>
      </c>
      <c r="E7161" s="138" t="str">
        <f t="shared" si="541"/>
        <v>High</v>
      </c>
      <c r="F7161" s="138" t="str">
        <f t="shared" si="544"/>
        <v>Upgraded</v>
      </c>
      <c r="G7161" s="153"/>
      <c r="H7161" s="210">
        <v>0.28870000000000001</v>
      </c>
      <c r="I7161" s="160" t="s">
        <v>48</v>
      </c>
      <c r="J7161" s="211">
        <v>4.99741E-5</v>
      </c>
      <c r="K7161" s="160" t="s">
        <v>145</v>
      </c>
      <c r="L7161" s="154" t="str">
        <f>IF(OpenLCAbasic!K7161="CTUh", "Fill in Manually",IF(OR(K7161="Unit", K7161=""), "", INDEX(LookUps!$E$5:$E$12, MATCH(OpenLCAbasic!K7161,LookUps!$D$5:$D$12,0))))</f>
        <v>Particulate Matter Formation Potential (PMFP) - kg PM2.5 eq</v>
      </c>
      <c r="M7161" s="154" t="str">
        <f t="shared" si="539"/>
        <v>High_Base_High_Upgraded_Particulate Matter Formation Potential (PMFP) - kg PM2.5 eq_Effluent release; wastewater treatment unit; at surface water; m3 wastewater - US_Without Amendment_Windrow</v>
      </c>
    </row>
    <row r="7162" spans="1:13" s="120" customFormat="1" x14ac:dyDescent="0.25">
      <c r="A7162" s="119"/>
      <c r="B7162" s="138" t="str">
        <f t="shared" si="543"/>
        <v>Windrow</v>
      </c>
      <c r="C7162" s="138" t="str">
        <f t="shared" si="540"/>
        <v>Without Amendment</v>
      </c>
      <c r="D7162" s="138" t="str">
        <f t="shared" si="542"/>
        <v>Base_High</v>
      </c>
      <c r="E7162" s="138" t="str">
        <f t="shared" si="541"/>
        <v>High</v>
      </c>
      <c r="F7162" s="138" t="str">
        <f t="shared" si="544"/>
        <v>Upgraded</v>
      </c>
      <c r="G7162" s="153"/>
      <c r="H7162" s="210">
        <v>0.1996</v>
      </c>
      <c r="I7162" s="160" t="s">
        <v>168</v>
      </c>
      <c r="J7162" s="211">
        <v>3.4562199999999999E-5</v>
      </c>
      <c r="K7162" s="160" t="s">
        <v>145</v>
      </c>
      <c r="L7162" s="154" t="str">
        <f>IF(OpenLCAbasic!K7162="CTUh", "Fill in Manually",IF(OR(K7162="Unit", K7162=""), "", INDEX(LookUps!$E$5:$E$12, MATCH(OpenLCAbasic!K7162,LookUps!$D$5:$D$12,0))))</f>
        <v>Particulate Matter Formation Potential (PMFP) - kg PM2.5 eq</v>
      </c>
      <c r="M7162" s="154" t="str">
        <f t="shared" si="539"/>
        <v>High_Base_High_Upgraded_Particulate Matter Formation Potential (PMFP) - kg PM2.5 eq_ClearCove SCP; wastewater treatment unit; at updated plant - US_Without Amendment_Windrow</v>
      </c>
    </row>
    <row r="7163" spans="1:13" s="120" customFormat="1" x14ac:dyDescent="0.25">
      <c r="A7163" s="119"/>
      <c r="B7163" s="138" t="str">
        <f t="shared" si="543"/>
        <v>Windrow</v>
      </c>
      <c r="C7163" s="138" t="str">
        <f t="shared" si="540"/>
        <v>Without Amendment</v>
      </c>
      <c r="D7163" s="138" t="str">
        <f t="shared" si="542"/>
        <v>Base_High</v>
      </c>
      <c r="E7163" s="138" t="str">
        <f t="shared" si="541"/>
        <v>High</v>
      </c>
      <c r="F7163" s="138" t="str">
        <f t="shared" si="544"/>
        <v>Upgraded</v>
      </c>
      <c r="G7163" s="153"/>
      <c r="H7163" s="210">
        <v>0.13120000000000001</v>
      </c>
      <c r="I7163" s="160" t="s">
        <v>62</v>
      </c>
      <c r="J7163" s="211">
        <v>2.2705799999999999E-5</v>
      </c>
      <c r="K7163" s="160" t="s">
        <v>145</v>
      </c>
      <c r="L7163" s="154" t="str">
        <f>IF(OpenLCAbasic!K7163="CTUh", "Fill in Manually",IF(OR(K7163="Unit", K7163=""), "", INDEX(LookUps!$E$5:$E$12, MATCH(OpenLCAbasic!K7163,LookUps!$D$5:$D$12,0))))</f>
        <v>Particulate Matter Formation Potential (PMFP) - kg PM2.5 eq</v>
      </c>
      <c r="M7163" s="154" t="str">
        <f t="shared" ref="M7163:M7226" si="545">CONCATENATE(E7163,"_",D7163,"_",F7163,"_",L7163, "_",I7163,"_", C7163,"_", B7163)</f>
        <v>High_Base_High_Upgraded_Particulate Matter Formation Potential (PMFP) - kg PM2.5 eq_Land application of compost; wastewater treatment unit; at updated plant - US_Without Amendment_Windrow</v>
      </c>
    </row>
    <row r="7164" spans="1:13" s="120" customFormat="1" x14ac:dyDescent="0.25">
      <c r="A7164" s="119"/>
      <c r="B7164" s="138" t="str">
        <f t="shared" si="543"/>
        <v>Windrow</v>
      </c>
      <c r="C7164" s="138" t="str">
        <f t="shared" si="540"/>
        <v>Without Amendment</v>
      </c>
      <c r="D7164" s="138" t="str">
        <f t="shared" si="542"/>
        <v>Base_High</v>
      </c>
      <c r="E7164" s="138" t="str">
        <f t="shared" si="541"/>
        <v>High</v>
      </c>
      <c r="F7164" s="138" t="str">
        <f t="shared" si="544"/>
        <v>Upgraded</v>
      </c>
      <c r="G7164" s="153"/>
      <c r="H7164" s="210">
        <v>5.0999999999999997E-2</v>
      </c>
      <c r="I7164" s="160" t="s">
        <v>148</v>
      </c>
      <c r="J7164" s="211">
        <v>8.8212999999999997E-6</v>
      </c>
      <c r="K7164" s="160" t="s">
        <v>145</v>
      </c>
      <c r="L7164" s="154" t="str">
        <f>IF(OpenLCAbasic!K7164="CTUh", "Fill in Manually",IF(OR(K7164="Unit", K7164=""), "", INDEX(LookUps!$E$5:$E$12, MATCH(OpenLCAbasic!K7164,LookUps!$D$5:$D$12,0))))</f>
        <v>Particulate Matter Formation Potential (PMFP) - kg PM2.5 eq</v>
      </c>
      <c r="M7164" s="154" t="str">
        <f t="shared" si="545"/>
        <v>High_Base_High_Upgraded_Particulate Matter Formation Potential (PMFP) - kg PM2.5 eq_Control Building; at upgraded wastewater treatment plant - US_Without Amendment_Windrow</v>
      </c>
    </row>
    <row r="7165" spans="1:13" s="120" customFormat="1" x14ac:dyDescent="0.25">
      <c r="A7165" s="119"/>
      <c r="B7165" s="138" t="str">
        <f t="shared" si="543"/>
        <v>Windrow</v>
      </c>
      <c r="C7165" s="138" t="str">
        <f t="shared" si="540"/>
        <v>Without Amendment</v>
      </c>
      <c r="D7165" s="138" t="str">
        <f t="shared" si="542"/>
        <v>Base_High</v>
      </c>
      <c r="E7165" s="138" t="str">
        <f t="shared" si="541"/>
        <v>High</v>
      </c>
      <c r="F7165" s="138" t="str">
        <f t="shared" si="544"/>
        <v>Upgraded</v>
      </c>
      <c r="G7165" s="153"/>
      <c r="H7165" s="210">
        <v>-30.2791</v>
      </c>
      <c r="I7165" s="160" t="s">
        <v>149</v>
      </c>
      <c r="J7165" s="160">
        <v>-5.2399999999999999E-3</v>
      </c>
      <c r="K7165" s="160" t="s">
        <v>145</v>
      </c>
      <c r="L7165" s="154" t="str">
        <f>IF(OpenLCAbasic!K7165="CTUh", "Fill in Manually",IF(OR(K7165="Unit", K7165=""), "", INDEX(LookUps!$E$5:$E$12, MATCH(OpenLCAbasic!K7165,LookUps!$D$5:$D$12,0))))</f>
        <v>Particulate Matter Formation Potential (PMFP) - kg PM2.5 eq</v>
      </c>
      <c r="M7165" s="154" t="str">
        <f t="shared" si="545"/>
        <v>High_Base_High_Upgraded_Particulate Matter Formation Potential (PMFP) - kg PM2.5 eq_Anaerobic Digestion; wastewater treatment unit; at updated plant - US_Without Amendment_Windrow</v>
      </c>
    </row>
    <row r="7166" spans="1:13" s="120" customFormat="1" x14ac:dyDescent="0.25">
      <c r="A7166" s="119"/>
      <c r="B7166" s="138" t="str">
        <f t="shared" si="543"/>
        <v/>
      </c>
      <c r="C7166" s="138" t="str">
        <f t="shared" si="540"/>
        <v/>
      </c>
      <c r="D7166" s="138" t="str">
        <f t="shared" si="542"/>
        <v/>
      </c>
      <c r="E7166" s="138" t="str">
        <f t="shared" si="541"/>
        <v/>
      </c>
      <c r="F7166" s="138" t="str">
        <f t="shared" si="544"/>
        <v/>
      </c>
      <c r="G7166" s="153" t="s">
        <v>51</v>
      </c>
      <c r="H7166" s="160"/>
      <c r="I7166" s="160" t="s">
        <v>47</v>
      </c>
      <c r="J7166" s="160" t="s">
        <v>52</v>
      </c>
      <c r="K7166" s="160" t="s">
        <v>27</v>
      </c>
      <c r="L7166" s="154" t="str">
        <f>IF(OpenLCAbasic!K7166="CTUh", "Fill in Manually",IF(OR(K7166="Unit", K7166=""), "", INDEX(LookUps!$E$5:$E$12, MATCH(OpenLCAbasic!K7166,LookUps!$D$5:$D$12,0))))</f>
        <v/>
      </c>
      <c r="M7166" s="154" t="str">
        <f t="shared" si="545"/>
        <v>____Process__</v>
      </c>
    </row>
    <row r="7167" spans="1:13" s="120" customFormat="1" x14ac:dyDescent="0.25">
      <c r="A7167" s="119"/>
      <c r="B7167" s="138" t="str">
        <f t="shared" si="543"/>
        <v>Windrow</v>
      </c>
      <c r="C7167" s="138" t="str">
        <f t="shared" si="540"/>
        <v>Without Amendment</v>
      </c>
      <c r="D7167" s="138" t="str">
        <f t="shared" si="542"/>
        <v>Base_High</v>
      </c>
      <c r="E7167" s="138" t="str">
        <f t="shared" si="541"/>
        <v>High</v>
      </c>
      <c r="F7167" s="138" t="str">
        <f t="shared" si="544"/>
        <v>Upgraded</v>
      </c>
      <c r="G7167" s="153"/>
      <c r="H7167" s="210">
        <v>97.495500000000007</v>
      </c>
      <c r="I7167" s="160" t="s">
        <v>55</v>
      </c>
      <c r="J7167" s="160">
        <v>0.16577</v>
      </c>
      <c r="K7167" s="160" t="s">
        <v>25</v>
      </c>
      <c r="L7167" s="154" t="str">
        <f>IF(OpenLCAbasic!K7167="CTUh", "Fill in Manually",IF(OR(K7167="Unit", K7167=""), "", INDEX(LookUps!$E$5:$E$12, MATCH(OpenLCAbasic!K7167,LookUps!$D$5:$D$12,0))))</f>
        <v>Smog Formation Potential (SFP) - kg O3 eq</v>
      </c>
      <c r="M7167" s="154" t="str">
        <f t="shared" si="545"/>
        <v>High_Base_High_Upgraded_Smog Formation Potential (SFP) - kg O3 eq_Aeration Tanks; wastewater treatment unit; at updated plant - US_Without Amendment_Windrow</v>
      </c>
    </row>
    <row r="7168" spans="1:13" s="120" customFormat="1" x14ac:dyDescent="0.25">
      <c r="A7168" s="119"/>
      <c r="B7168" s="138" t="str">
        <f t="shared" si="543"/>
        <v>Windrow</v>
      </c>
      <c r="C7168" s="138" t="str">
        <f t="shared" si="540"/>
        <v>Without Amendment</v>
      </c>
      <c r="D7168" s="138" t="str">
        <f t="shared" si="542"/>
        <v>Base_High</v>
      </c>
      <c r="E7168" s="138" t="str">
        <f t="shared" si="541"/>
        <v>High</v>
      </c>
      <c r="F7168" s="138" t="str">
        <f t="shared" si="544"/>
        <v>Upgraded</v>
      </c>
      <c r="G7168" s="153"/>
      <c r="H7168" s="210">
        <v>28.273599999999998</v>
      </c>
      <c r="I7168" s="160" t="s">
        <v>54</v>
      </c>
      <c r="J7168" s="160">
        <v>4.8070000000000002E-2</v>
      </c>
      <c r="K7168" s="160" t="s">
        <v>25</v>
      </c>
      <c r="L7168" s="154" t="str">
        <f>IF(OpenLCAbasic!K7168="CTUh", "Fill in Manually",IF(OR(K7168="Unit", K7168=""), "", INDEX(LookUps!$E$5:$E$12, MATCH(OpenLCAbasic!K7168,LookUps!$D$5:$D$12,0))))</f>
        <v>Smog Formation Potential (SFP) - kg O3 eq</v>
      </c>
      <c r="M7168" s="154" t="str">
        <f t="shared" si="545"/>
        <v>High_Base_High_Upgraded_Smog Formation Potential (SFP) - kg O3 eq_Clear Cove Primary Clarification; wastewater treatment unit; at updated plant - US_Without Amendment_Windrow</v>
      </c>
    </row>
    <row r="7169" spans="1:13" s="120" customFormat="1" x14ac:dyDescent="0.25">
      <c r="A7169" s="119"/>
      <c r="B7169" s="138" t="str">
        <f t="shared" si="543"/>
        <v>Windrow</v>
      </c>
      <c r="C7169" s="138" t="str">
        <f t="shared" ref="C7169:C7232" si="546">IF(ISNUMBER($J7169),"Without Amendment","")</f>
        <v>Without Amendment</v>
      </c>
      <c r="D7169" s="138" t="str">
        <f t="shared" si="542"/>
        <v>Base_High</v>
      </c>
      <c r="E7169" s="138" t="str">
        <f t="shared" si="541"/>
        <v>High</v>
      </c>
      <c r="F7169" s="138" t="str">
        <f t="shared" si="544"/>
        <v>Upgraded</v>
      </c>
      <c r="G7169" s="153"/>
      <c r="H7169" s="210">
        <v>24.571899999999999</v>
      </c>
      <c r="I7169" s="160" t="s">
        <v>58</v>
      </c>
      <c r="J7169" s="160">
        <v>4.1779999999999998E-2</v>
      </c>
      <c r="K7169" s="160" t="s">
        <v>25</v>
      </c>
      <c r="L7169" s="154" t="str">
        <f>IF(OpenLCAbasic!K7169="CTUh", "Fill in Manually",IF(OR(K7169="Unit", K7169=""), "", INDEX(LookUps!$E$5:$E$12, MATCH(OpenLCAbasic!K7169,LookUps!$D$5:$D$12,0))))</f>
        <v>Smog Formation Potential (SFP) - kg O3 eq</v>
      </c>
      <c r="M7169" s="154" t="str">
        <f t="shared" si="545"/>
        <v>High_Base_High_Upgraded_Smog Formation Potential (SFP) - kg O3 eq_Pre-Anoxic &amp; Swing tank; wastewater treatment unit; at updated plant - US_Without Amendment_Windrow</v>
      </c>
    </row>
    <row r="7170" spans="1:13" s="120" customFormat="1" x14ac:dyDescent="0.25">
      <c r="A7170" s="119"/>
      <c r="B7170" s="138" t="str">
        <f t="shared" si="543"/>
        <v>Windrow</v>
      </c>
      <c r="C7170" s="138" t="str">
        <f t="shared" si="546"/>
        <v>Without Amendment</v>
      </c>
      <c r="D7170" s="138" t="str">
        <f t="shared" si="542"/>
        <v>Base_High</v>
      </c>
      <c r="E7170" s="138" t="str">
        <f t="shared" si="541"/>
        <v>High</v>
      </c>
      <c r="F7170" s="138" t="str">
        <f t="shared" si="544"/>
        <v>Upgraded</v>
      </c>
      <c r="G7170" s="153"/>
      <c r="H7170" s="210">
        <v>19.482099999999999</v>
      </c>
      <c r="I7170" s="160" t="s">
        <v>53</v>
      </c>
      <c r="J7170" s="160">
        <v>3.313E-2</v>
      </c>
      <c r="K7170" s="160" t="s">
        <v>25</v>
      </c>
      <c r="L7170" s="154" t="str">
        <f>IF(OpenLCAbasic!K7170="CTUh", "Fill in Manually",IF(OR(K7170="Unit", K7170=""), "", INDEX(LookUps!$E$5:$E$12, MATCH(OpenLCAbasic!K7170,LookUps!$D$5:$D$12,0))))</f>
        <v>Smog Formation Potential (SFP) - kg O3 eq</v>
      </c>
      <c r="M7170" s="154" t="str">
        <f t="shared" si="545"/>
        <v>High_Base_High_Upgraded_Smog Formation Potential (SFP) - kg O3 eq_Wet Well and Sump Station; wastewater treatment unit; at updated plant - US_Without Amendment_Windrow</v>
      </c>
    </row>
    <row r="7171" spans="1:13" s="120" customFormat="1" x14ac:dyDescent="0.25">
      <c r="A7171" s="119"/>
      <c r="B7171" s="138" t="str">
        <f t="shared" si="543"/>
        <v>Windrow</v>
      </c>
      <c r="C7171" s="138" t="str">
        <f t="shared" si="546"/>
        <v>Without Amendment</v>
      </c>
      <c r="D7171" s="138" t="str">
        <f t="shared" si="542"/>
        <v>Base_High</v>
      </c>
      <c r="E7171" s="138" t="str">
        <f t="shared" si="541"/>
        <v>High</v>
      </c>
      <c r="F7171" s="138" t="str">
        <f t="shared" si="544"/>
        <v>Upgraded</v>
      </c>
      <c r="G7171" s="153"/>
      <c r="H7171" s="210">
        <v>16.435500000000001</v>
      </c>
      <c r="I7171" s="160" t="s">
        <v>167</v>
      </c>
      <c r="J7171" s="160">
        <v>2.7949999999999999E-2</v>
      </c>
      <c r="K7171" s="160" t="s">
        <v>25</v>
      </c>
      <c r="L7171" s="154" t="str">
        <f>IF(OpenLCAbasic!K7171="CTUh", "Fill in Manually",IF(OR(K7171="Unit", K7171=""), "", INDEX(LookUps!$E$5:$E$12, MATCH(OpenLCAbasic!K7171,LookUps!$D$5:$D$12,0))))</f>
        <v>Smog Formation Potential (SFP) - kg O3 eq</v>
      </c>
      <c r="M7171" s="154" t="str">
        <f t="shared" si="545"/>
        <v>High_Base_High_Upgraded_Smog Formation Potential (SFP) - kg O3 eq_Waste Receiving and Holding; wastewater treatment unit; at updated plant - US_Without Amendment_Windrow</v>
      </c>
    </row>
    <row r="7172" spans="1:13" s="120" customFormat="1" x14ac:dyDescent="0.25">
      <c r="A7172" s="119"/>
      <c r="B7172" s="138" t="str">
        <f t="shared" si="543"/>
        <v>Windrow</v>
      </c>
      <c r="C7172" s="138" t="str">
        <f t="shared" si="546"/>
        <v>Without Amendment</v>
      </c>
      <c r="D7172" s="138" t="str">
        <f t="shared" si="542"/>
        <v>Base_High</v>
      </c>
      <c r="E7172" s="138" t="str">
        <f t="shared" si="541"/>
        <v>High</v>
      </c>
      <c r="F7172" s="138" t="str">
        <f t="shared" si="544"/>
        <v>Upgraded</v>
      </c>
      <c r="G7172" s="153"/>
      <c r="H7172" s="210">
        <v>11.409000000000001</v>
      </c>
      <c r="I7172" s="160" t="s">
        <v>147</v>
      </c>
      <c r="J7172" s="160">
        <v>1.9400000000000001E-2</v>
      </c>
      <c r="K7172" s="160" t="s">
        <v>25</v>
      </c>
      <c r="L7172" s="154" t="str">
        <f>IF(OpenLCAbasic!K7172="CTUh", "Fill in Manually",IF(OR(K7172="Unit", K7172=""), "", INDEX(LookUps!$E$5:$E$12, MATCH(OpenLCAbasic!K7172,LookUps!$D$5:$D$12,0))))</f>
        <v>Smog Formation Potential (SFP) - kg O3 eq</v>
      </c>
      <c r="M7172" s="154" t="str">
        <f t="shared" si="545"/>
        <v>High_Base_High_Upgraded_Smog Formation Potential (SFP) - kg O3 eq_Influent Pump Station; wastewater treatment unit; at updated plant - US_Without Amendment_Windrow</v>
      </c>
    </row>
    <row r="7173" spans="1:13" s="120" customFormat="1" x14ac:dyDescent="0.25">
      <c r="A7173" s="119"/>
      <c r="B7173" s="138" t="str">
        <f t="shared" si="543"/>
        <v>Windrow</v>
      </c>
      <c r="C7173" s="138" t="str">
        <f t="shared" si="546"/>
        <v>Without Amendment</v>
      </c>
      <c r="D7173" s="138" t="str">
        <f t="shared" si="542"/>
        <v>Base_High</v>
      </c>
      <c r="E7173" s="138" t="str">
        <f t="shared" si="541"/>
        <v>High</v>
      </c>
      <c r="F7173" s="138" t="str">
        <f t="shared" si="544"/>
        <v>Upgraded</v>
      </c>
      <c r="G7173" s="153"/>
      <c r="H7173" s="210">
        <v>7.0095000000000001</v>
      </c>
      <c r="I7173" s="160" t="s">
        <v>128</v>
      </c>
      <c r="J7173" s="160">
        <v>1.192E-2</v>
      </c>
      <c r="K7173" s="160" t="s">
        <v>25</v>
      </c>
      <c r="L7173" s="154" t="str">
        <f>IF(OpenLCAbasic!K7173="CTUh", "Fill in Manually",IF(OR(K7173="Unit", K7173=""), "", INDEX(LookUps!$E$5:$E$12, MATCH(OpenLCAbasic!K7173,LookUps!$D$5:$D$12,0))))</f>
        <v>Smog Formation Potential (SFP) - kg O3 eq</v>
      </c>
      <c r="M7173" s="154" t="str">
        <f t="shared" si="545"/>
        <v>High_Base_High_Upgraded_Smog Formation Potential (SFP) - kg O3 eq_Wastewater collection; operation and infrastructure; m3 wastewater_Without Amendment_Windrow</v>
      </c>
    </row>
    <row r="7174" spans="1:13" s="120" customFormat="1" x14ac:dyDescent="0.25">
      <c r="A7174" s="119"/>
      <c r="B7174" s="138" t="str">
        <f t="shared" si="543"/>
        <v>Windrow</v>
      </c>
      <c r="C7174" s="138" t="str">
        <f t="shared" si="546"/>
        <v>Without Amendment</v>
      </c>
      <c r="D7174" s="138" t="str">
        <f t="shared" si="542"/>
        <v>Base_High</v>
      </c>
      <c r="E7174" s="138" t="str">
        <f t="shared" si="541"/>
        <v>High</v>
      </c>
      <c r="F7174" s="138" t="str">
        <f t="shared" si="544"/>
        <v>Upgraded</v>
      </c>
      <c r="G7174" s="153"/>
      <c r="H7174" s="210">
        <v>4.1619000000000002</v>
      </c>
      <c r="I7174" s="160" t="s">
        <v>60</v>
      </c>
      <c r="J7174" s="160">
        <v>7.0800000000000004E-3</v>
      </c>
      <c r="K7174" s="160" t="s">
        <v>25</v>
      </c>
      <c r="L7174" s="154" t="str">
        <f>IF(OpenLCAbasic!K7174="CTUh", "Fill in Manually",IF(OR(K7174="Unit", K7174=""), "", INDEX(LookUps!$E$5:$E$12, MATCH(OpenLCAbasic!K7174,LookUps!$D$5:$D$12,0))))</f>
        <v>Smog Formation Potential (SFP) - kg O3 eq</v>
      </c>
      <c r="M7174" s="154" t="str">
        <f t="shared" si="545"/>
        <v>High_Base_High_Upgraded_Smog Formation Potential (SFP) - kg O3 eq_Belt filter press; wastewater treatment unit; at updated plant - US_Without Amendment_Windrow</v>
      </c>
    </row>
    <row r="7175" spans="1:13" s="120" customFormat="1" x14ac:dyDescent="0.25">
      <c r="A7175" s="119"/>
      <c r="B7175" s="138" t="str">
        <f t="shared" si="543"/>
        <v>Windrow</v>
      </c>
      <c r="C7175" s="138" t="str">
        <f t="shared" si="546"/>
        <v>Without Amendment</v>
      </c>
      <c r="D7175" s="138" t="str">
        <f t="shared" si="542"/>
        <v>Base_High</v>
      </c>
      <c r="E7175" s="138" t="str">
        <f t="shared" si="541"/>
        <v>High</v>
      </c>
      <c r="F7175" s="138" t="str">
        <f t="shared" si="544"/>
        <v>Upgraded</v>
      </c>
      <c r="G7175" s="153"/>
      <c r="H7175" s="210">
        <v>3.9127999999999998</v>
      </c>
      <c r="I7175" s="160" t="s">
        <v>57</v>
      </c>
      <c r="J7175" s="160">
        <v>6.6499999999999997E-3</v>
      </c>
      <c r="K7175" s="160" t="s">
        <v>25</v>
      </c>
      <c r="L7175" s="154" t="str">
        <f>IF(OpenLCAbasic!K7175="CTUh", "Fill in Manually",IF(OR(K7175="Unit", K7175=""), "", INDEX(LookUps!$E$5:$E$12, MATCH(OpenLCAbasic!K7175,LookUps!$D$5:$D$12,0))))</f>
        <v>Smog Formation Potential (SFP) - kg O3 eq</v>
      </c>
      <c r="M7175" s="154" t="str">
        <f t="shared" si="545"/>
        <v>High_Base_High_Upgraded_Smog Formation Potential (SFP) - kg O3 eq_Gravity Belt Thickener; wastewater treatment unit; at updated plant - US_Without Amendment_Windrow</v>
      </c>
    </row>
    <row r="7176" spans="1:13" s="120" customFormat="1" x14ac:dyDescent="0.25">
      <c r="A7176" s="119"/>
      <c r="B7176" s="138" t="str">
        <f t="shared" si="543"/>
        <v>Windrow</v>
      </c>
      <c r="C7176" s="138" t="str">
        <f t="shared" si="546"/>
        <v>Without Amendment</v>
      </c>
      <c r="D7176" s="138" t="str">
        <f t="shared" si="542"/>
        <v>Base_High</v>
      </c>
      <c r="E7176" s="138" t="str">
        <f t="shared" si="541"/>
        <v>High</v>
      </c>
      <c r="F7176" s="138" t="str">
        <f t="shared" si="544"/>
        <v>Upgraded</v>
      </c>
      <c r="G7176" s="153"/>
      <c r="H7176" s="210">
        <v>2.9249000000000001</v>
      </c>
      <c r="I7176" s="160" t="s">
        <v>59</v>
      </c>
      <c r="J7176" s="160">
        <v>4.9699999999999996E-3</v>
      </c>
      <c r="K7176" s="160" t="s">
        <v>25</v>
      </c>
      <c r="L7176" s="154" t="str">
        <f>IF(OpenLCAbasic!K7176="CTUh", "Fill in Manually",IF(OR(K7176="Unit", K7176=""), "", INDEX(LookUps!$E$5:$E$12, MATCH(OpenLCAbasic!K7176,LookUps!$D$5:$D$12,0))))</f>
        <v>Smog Formation Potential (SFP) - kg O3 eq</v>
      </c>
      <c r="M7176" s="154" t="str">
        <f t="shared" si="545"/>
        <v>High_Base_High_Upgraded_Smog Formation Potential (SFP) - kg O3 eq_Blend Tank; wastewater treatment unit; at updated plant - US_Without Amendment_Windrow</v>
      </c>
    </row>
    <row r="7177" spans="1:13" s="120" customFormat="1" x14ac:dyDescent="0.25">
      <c r="A7177" s="119"/>
      <c r="B7177" s="138" t="str">
        <f t="shared" si="543"/>
        <v>Windrow</v>
      </c>
      <c r="C7177" s="138" t="str">
        <f t="shared" si="546"/>
        <v>Without Amendment</v>
      </c>
      <c r="D7177" s="138" t="str">
        <f t="shared" si="542"/>
        <v>Base_High</v>
      </c>
      <c r="E7177" s="138" t="str">
        <f t="shared" ref="E7177:E7240" si="547">IF(ISNUMBER($J7177),"High","")</f>
        <v>High</v>
      </c>
      <c r="F7177" s="138" t="str">
        <f t="shared" si="544"/>
        <v>Upgraded</v>
      </c>
      <c r="G7177" s="153"/>
      <c r="H7177" s="210">
        <v>1.9910000000000001</v>
      </c>
      <c r="I7177" s="160" t="s">
        <v>48</v>
      </c>
      <c r="J7177" s="160">
        <v>3.3899999999999998E-3</v>
      </c>
      <c r="K7177" s="160" t="s">
        <v>25</v>
      </c>
      <c r="L7177" s="154" t="str">
        <f>IF(OpenLCAbasic!K7177="CTUh", "Fill in Manually",IF(OR(K7177="Unit", K7177=""), "", INDEX(LookUps!$E$5:$E$12, MATCH(OpenLCAbasic!K7177,LookUps!$D$5:$D$12,0))))</f>
        <v>Smog Formation Potential (SFP) - kg O3 eq</v>
      </c>
      <c r="M7177" s="154" t="str">
        <f t="shared" si="545"/>
        <v>High_Base_High_Upgraded_Smog Formation Potential (SFP) - kg O3 eq_Effluent release; wastewater treatment unit; at surface water; m3 wastewater - US_Without Amendment_Windrow</v>
      </c>
    </row>
    <row r="7178" spans="1:13" s="120" customFormat="1" x14ac:dyDescent="0.25">
      <c r="A7178" s="119"/>
      <c r="B7178" s="138" t="str">
        <f t="shared" si="543"/>
        <v>Windrow</v>
      </c>
      <c r="C7178" s="138" t="str">
        <f t="shared" si="546"/>
        <v>Without Amendment</v>
      </c>
      <c r="D7178" s="138" t="str">
        <f t="shared" si="542"/>
        <v>Base_High</v>
      </c>
      <c r="E7178" s="138" t="str">
        <f t="shared" si="547"/>
        <v>High</v>
      </c>
      <c r="F7178" s="138" t="str">
        <f t="shared" si="544"/>
        <v>Upgraded</v>
      </c>
      <c r="G7178" s="153"/>
      <c r="H7178" s="210">
        <v>1.444</v>
      </c>
      <c r="I7178" s="160" t="s">
        <v>168</v>
      </c>
      <c r="J7178" s="160">
        <v>2.4599999999999999E-3</v>
      </c>
      <c r="K7178" s="160" t="s">
        <v>25</v>
      </c>
      <c r="L7178" s="154" t="str">
        <f>IF(OpenLCAbasic!K7178="CTUh", "Fill in Manually",IF(OR(K7178="Unit", K7178=""), "", INDEX(LookUps!$E$5:$E$12, MATCH(OpenLCAbasic!K7178,LookUps!$D$5:$D$12,0))))</f>
        <v>Smog Formation Potential (SFP) - kg O3 eq</v>
      </c>
      <c r="M7178" s="154" t="str">
        <f t="shared" si="545"/>
        <v>High_Base_High_Upgraded_Smog Formation Potential (SFP) - kg O3 eq_ClearCove SCP; wastewater treatment unit; at updated plant - US_Without Amendment_Windrow</v>
      </c>
    </row>
    <row r="7179" spans="1:13" s="120" customFormat="1" x14ac:dyDescent="0.25">
      <c r="A7179" s="119"/>
      <c r="B7179" s="138" t="str">
        <f t="shared" si="543"/>
        <v>Windrow</v>
      </c>
      <c r="C7179" s="138" t="str">
        <f t="shared" si="546"/>
        <v>Without Amendment</v>
      </c>
      <c r="D7179" s="138" t="str">
        <f t="shared" si="542"/>
        <v>Base_High</v>
      </c>
      <c r="E7179" s="138" t="str">
        <f t="shared" si="547"/>
        <v>High</v>
      </c>
      <c r="F7179" s="138" t="str">
        <f t="shared" si="544"/>
        <v>Upgraded</v>
      </c>
      <c r="G7179" s="153"/>
      <c r="H7179" s="210">
        <v>0.31680000000000003</v>
      </c>
      <c r="I7179" s="160" t="s">
        <v>148</v>
      </c>
      <c r="J7179" s="160">
        <v>5.4000000000000001E-4</v>
      </c>
      <c r="K7179" s="160" t="s">
        <v>25</v>
      </c>
      <c r="L7179" s="154" t="str">
        <f>IF(OpenLCAbasic!K7179="CTUh", "Fill in Manually",IF(OR(K7179="Unit", K7179=""), "", INDEX(LookUps!$E$5:$E$12, MATCH(OpenLCAbasic!K7179,LookUps!$D$5:$D$12,0))))</f>
        <v>Smog Formation Potential (SFP) - kg O3 eq</v>
      </c>
      <c r="M7179" s="154" t="str">
        <f t="shared" si="545"/>
        <v>High_Base_High_Upgraded_Smog Formation Potential (SFP) - kg O3 eq_Control Building; at upgraded wastewater treatment plant - US_Without Amendment_Windrow</v>
      </c>
    </row>
    <row r="7180" spans="1:13" s="120" customFormat="1" x14ac:dyDescent="0.25">
      <c r="A7180" s="119"/>
      <c r="B7180" s="138" t="str">
        <f t="shared" si="543"/>
        <v>Windrow</v>
      </c>
      <c r="C7180" s="138" t="str">
        <f t="shared" si="546"/>
        <v>Without Amendment</v>
      </c>
      <c r="D7180" s="138" t="str">
        <f t="shared" si="542"/>
        <v>Base_High</v>
      </c>
      <c r="E7180" s="138" t="str">
        <f t="shared" si="547"/>
        <v>High</v>
      </c>
      <c r="F7180" s="138" t="str">
        <f t="shared" si="544"/>
        <v>Upgraded</v>
      </c>
      <c r="G7180" s="153"/>
      <c r="H7180" s="210">
        <v>0.29139999999999999</v>
      </c>
      <c r="I7180" s="160" t="s">
        <v>271</v>
      </c>
      <c r="J7180" s="160">
        <v>5.0000000000000001E-4</v>
      </c>
      <c r="K7180" s="160" t="s">
        <v>25</v>
      </c>
      <c r="L7180" s="154" t="str">
        <f>IF(OpenLCAbasic!K7180="CTUh", "Fill in Manually",IF(OR(K7180="Unit", K7180=""), "", INDEX(LookUps!$E$5:$E$12, MATCH(OpenLCAbasic!K7180,LookUps!$D$5:$D$12,0))))</f>
        <v>Smog Formation Potential (SFP) - kg O3 eq</v>
      </c>
      <c r="M7180" s="154" t="str">
        <f t="shared" si="545"/>
        <v>High_Base_High_Upgraded_Smog Formation Potential (SFP) - kg O3 eq_Biosolids composting; windrow composting; wastewater treatment unit; at updated plant - US_Without Amendment_Windrow</v>
      </c>
    </row>
    <row r="7181" spans="1:13" s="120" customFormat="1" x14ac:dyDescent="0.25">
      <c r="A7181" s="119"/>
      <c r="B7181" s="138" t="str">
        <f t="shared" si="543"/>
        <v>Windrow</v>
      </c>
      <c r="C7181" s="138" t="str">
        <f t="shared" si="546"/>
        <v>Without Amendment</v>
      </c>
      <c r="D7181" s="138" t="str">
        <f t="shared" si="542"/>
        <v>Base_High</v>
      </c>
      <c r="E7181" s="138" t="str">
        <f t="shared" si="547"/>
        <v>High</v>
      </c>
      <c r="F7181" s="138" t="str">
        <f t="shared" si="544"/>
        <v>Upgraded</v>
      </c>
      <c r="G7181" s="153"/>
      <c r="H7181" s="210">
        <v>-0.94969999999999999</v>
      </c>
      <c r="I7181" s="160" t="s">
        <v>62</v>
      </c>
      <c r="J7181" s="160">
        <v>-1.6100000000000001E-3</v>
      </c>
      <c r="K7181" s="160" t="s">
        <v>25</v>
      </c>
      <c r="L7181" s="154" t="str">
        <f>IF(OpenLCAbasic!K7181="CTUh", "Fill in Manually",IF(OR(K7181="Unit", K7181=""), "", INDEX(LookUps!$E$5:$E$12, MATCH(OpenLCAbasic!K7181,LookUps!$D$5:$D$12,0))))</f>
        <v>Smog Formation Potential (SFP) - kg O3 eq</v>
      </c>
      <c r="M7181" s="154" t="str">
        <f t="shared" si="545"/>
        <v>High_Base_High_Upgraded_Smog Formation Potential (SFP) - kg O3 eq_Land application of compost; wastewater treatment unit; at updated plant - US_Without Amendment_Windrow</v>
      </c>
    </row>
    <row r="7182" spans="1:13" s="120" customFormat="1" x14ac:dyDescent="0.25">
      <c r="A7182" s="119"/>
      <c r="B7182" s="138" t="str">
        <f t="shared" si="543"/>
        <v>Windrow</v>
      </c>
      <c r="C7182" s="138" t="str">
        <f t="shared" si="546"/>
        <v>Without Amendment</v>
      </c>
      <c r="D7182" s="138" t="str">
        <f t="shared" si="542"/>
        <v>Base_High</v>
      </c>
      <c r="E7182" s="138" t="str">
        <f t="shared" si="547"/>
        <v>High</v>
      </c>
      <c r="F7182" s="138" t="str">
        <f t="shared" si="544"/>
        <v>Upgraded</v>
      </c>
      <c r="G7182" s="153"/>
      <c r="H7182" s="210">
        <v>-219.77010000000001</v>
      </c>
      <c r="I7182" s="160" t="s">
        <v>149</v>
      </c>
      <c r="J7182" s="160">
        <v>-0.37367</v>
      </c>
      <c r="K7182" s="160" t="s">
        <v>25</v>
      </c>
      <c r="L7182" s="154" t="str">
        <f>IF(OpenLCAbasic!K7182="CTUh", "Fill in Manually",IF(OR(K7182="Unit", K7182=""), "", INDEX(LookUps!$E$5:$E$12, MATCH(OpenLCAbasic!K7182,LookUps!$D$5:$D$12,0))))</f>
        <v>Smog Formation Potential (SFP) - kg O3 eq</v>
      </c>
      <c r="M7182" s="154" t="str">
        <f t="shared" si="545"/>
        <v>High_Base_High_Upgraded_Smog Formation Potential (SFP) - kg O3 eq_Anaerobic Digestion; wastewater treatment unit; at updated plant - US_Without Amendment_Windrow</v>
      </c>
    </row>
    <row r="7183" spans="1:13" s="120" customFormat="1" x14ac:dyDescent="0.25">
      <c r="A7183" s="119"/>
      <c r="B7183" s="138" t="str">
        <f t="shared" si="543"/>
        <v/>
      </c>
      <c r="C7183" s="138" t="str">
        <f t="shared" si="546"/>
        <v/>
      </c>
      <c r="D7183" s="138" t="str">
        <f t="shared" si="542"/>
        <v/>
      </c>
      <c r="E7183" s="138" t="str">
        <f t="shared" si="547"/>
        <v/>
      </c>
      <c r="F7183" s="138" t="str">
        <f t="shared" si="544"/>
        <v/>
      </c>
      <c r="G7183" s="153" t="s">
        <v>51</v>
      </c>
      <c r="H7183" s="160"/>
      <c r="I7183" s="160" t="s">
        <v>47</v>
      </c>
      <c r="J7183" s="160" t="s">
        <v>52</v>
      </c>
      <c r="K7183" s="160" t="s">
        <v>27</v>
      </c>
      <c r="L7183" s="154" t="str">
        <f>IF(OpenLCAbasic!K7183="CTUh", "Fill in Manually",IF(OR(K7183="Unit", K7183=""), "", INDEX(LookUps!$E$5:$E$12, MATCH(OpenLCAbasic!K7183,LookUps!$D$5:$D$12,0))))</f>
        <v/>
      </c>
      <c r="M7183" s="154" t="str">
        <f t="shared" si="545"/>
        <v>____Process__</v>
      </c>
    </row>
    <row r="7184" spans="1:13" s="120" customFormat="1" x14ac:dyDescent="0.25">
      <c r="A7184" s="119"/>
      <c r="B7184" s="138" t="str">
        <f t="shared" si="543"/>
        <v>Windrow</v>
      </c>
      <c r="C7184" s="138" t="str">
        <f t="shared" si="546"/>
        <v>Without Amendment</v>
      </c>
      <c r="D7184" s="138" t="str">
        <f t="shared" si="542"/>
        <v>Base_High</v>
      </c>
      <c r="E7184" s="138" t="str">
        <f t="shared" si="547"/>
        <v>High</v>
      </c>
      <c r="F7184" s="138" t="str">
        <f t="shared" si="544"/>
        <v>Upgraded</v>
      </c>
      <c r="G7184" s="153"/>
      <c r="H7184" s="210">
        <v>0.69950000000000001</v>
      </c>
      <c r="I7184" s="160" t="s">
        <v>167</v>
      </c>
      <c r="J7184" s="160">
        <v>2.3000000000000001E-4</v>
      </c>
      <c r="K7184" s="160" t="s">
        <v>26</v>
      </c>
      <c r="L7184" s="154" t="str">
        <f>IF(OpenLCAbasic!K7184="CTUh", "Fill in Manually",IF(OR(K7184="Unit", K7184=""), "", INDEX(LookUps!$E$5:$E$12, MATCH(OpenLCAbasic!K7184,LookUps!$D$5:$D$12,0))))</f>
        <v>Water Use (WU) - m3 H2O</v>
      </c>
      <c r="M7184" s="154" t="str">
        <f t="shared" si="545"/>
        <v>High_Base_High_Upgraded_Water Use (WU) - m3 H2O_Waste Receiving and Holding; wastewater treatment unit; at updated plant - US_Without Amendment_Windrow</v>
      </c>
    </row>
    <row r="7185" spans="1:13" s="120" customFormat="1" x14ac:dyDescent="0.25">
      <c r="A7185" s="119"/>
      <c r="B7185" s="138" t="str">
        <f t="shared" si="543"/>
        <v>Windrow</v>
      </c>
      <c r="C7185" s="138" t="str">
        <f t="shared" si="546"/>
        <v>Without Amendment</v>
      </c>
      <c r="D7185" s="138" t="str">
        <f t="shared" si="542"/>
        <v>Base_High</v>
      </c>
      <c r="E7185" s="138" t="str">
        <f t="shared" si="547"/>
        <v>High</v>
      </c>
      <c r="F7185" s="138" t="str">
        <f t="shared" si="544"/>
        <v>Upgraded</v>
      </c>
      <c r="G7185" s="153"/>
      <c r="H7185" s="210">
        <v>0.55349999999999999</v>
      </c>
      <c r="I7185" s="160" t="s">
        <v>147</v>
      </c>
      <c r="J7185" s="160">
        <v>1.8000000000000001E-4</v>
      </c>
      <c r="K7185" s="160" t="s">
        <v>26</v>
      </c>
      <c r="L7185" s="154" t="str">
        <f>IF(OpenLCAbasic!K7185="CTUh", "Fill in Manually",IF(OR(K7185="Unit", K7185=""), "", INDEX(LookUps!$E$5:$E$12, MATCH(OpenLCAbasic!K7185,LookUps!$D$5:$D$12,0))))</f>
        <v>Water Use (WU) - m3 H2O</v>
      </c>
      <c r="M7185" s="154" t="str">
        <f t="shared" si="545"/>
        <v>High_Base_High_Upgraded_Water Use (WU) - m3 H2O_Influent Pump Station; wastewater treatment unit; at updated plant - US_Without Amendment_Windrow</v>
      </c>
    </row>
    <row r="7186" spans="1:13" s="120" customFormat="1" x14ac:dyDescent="0.25">
      <c r="A7186" s="119"/>
      <c r="B7186" s="138" t="str">
        <f t="shared" si="543"/>
        <v>Windrow</v>
      </c>
      <c r="C7186" s="138" t="str">
        <f t="shared" si="546"/>
        <v>Without Amendment</v>
      </c>
      <c r="D7186" s="138" t="str">
        <f t="shared" si="542"/>
        <v>Base_High</v>
      </c>
      <c r="E7186" s="138" t="str">
        <f t="shared" si="547"/>
        <v>High</v>
      </c>
      <c r="F7186" s="138" t="str">
        <f t="shared" si="544"/>
        <v>Upgraded</v>
      </c>
      <c r="G7186" s="153"/>
      <c r="H7186" s="210">
        <v>0.54010000000000002</v>
      </c>
      <c r="I7186" s="160" t="s">
        <v>54</v>
      </c>
      <c r="J7186" s="160">
        <v>1.8000000000000001E-4</v>
      </c>
      <c r="K7186" s="160" t="s">
        <v>26</v>
      </c>
      <c r="L7186" s="154" t="str">
        <f>IF(OpenLCAbasic!K7186="CTUh", "Fill in Manually",IF(OR(K7186="Unit", K7186=""), "", INDEX(LookUps!$E$5:$E$12, MATCH(OpenLCAbasic!K7186,LookUps!$D$5:$D$12,0))))</f>
        <v>Water Use (WU) - m3 H2O</v>
      </c>
      <c r="M7186" s="154" t="str">
        <f t="shared" si="545"/>
        <v>High_Base_High_Upgraded_Water Use (WU) - m3 H2O_Clear Cove Primary Clarification; wastewater treatment unit; at updated plant - US_Without Amendment_Windrow</v>
      </c>
    </row>
    <row r="7187" spans="1:13" s="120" customFormat="1" x14ac:dyDescent="0.25">
      <c r="A7187" s="119"/>
      <c r="B7187" s="138" t="str">
        <f t="shared" si="543"/>
        <v>Windrow</v>
      </c>
      <c r="C7187" s="138" t="str">
        <f t="shared" si="546"/>
        <v>Without Amendment</v>
      </c>
      <c r="D7187" s="138" t="str">
        <f t="shared" si="542"/>
        <v>Base_High</v>
      </c>
      <c r="E7187" s="138" t="str">
        <f t="shared" si="547"/>
        <v>High</v>
      </c>
      <c r="F7187" s="138" t="str">
        <f t="shared" si="544"/>
        <v>Upgraded</v>
      </c>
      <c r="G7187" s="153"/>
      <c r="H7187" s="210">
        <v>0.4899</v>
      </c>
      <c r="I7187" s="160" t="s">
        <v>55</v>
      </c>
      <c r="J7187" s="160">
        <v>1.6000000000000001E-4</v>
      </c>
      <c r="K7187" s="160" t="s">
        <v>26</v>
      </c>
      <c r="L7187" s="154" t="str">
        <f>IF(OpenLCAbasic!K7187="CTUh", "Fill in Manually",IF(OR(K7187="Unit", K7187=""), "", INDEX(LookUps!$E$5:$E$12, MATCH(OpenLCAbasic!K7187,LookUps!$D$5:$D$12,0))))</f>
        <v>Water Use (WU) - m3 H2O</v>
      </c>
      <c r="M7187" s="154" t="str">
        <f t="shared" si="545"/>
        <v>High_Base_High_Upgraded_Water Use (WU) - m3 H2O_Aeration Tanks; wastewater treatment unit; at updated plant - US_Without Amendment_Windrow</v>
      </c>
    </row>
    <row r="7188" spans="1:13" s="120" customFormat="1" x14ac:dyDescent="0.25">
      <c r="A7188" s="119"/>
      <c r="B7188" s="138" t="str">
        <f t="shared" si="543"/>
        <v>Windrow</v>
      </c>
      <c r="C7188" s="138" t="str">
        <f t="shared" si="546"/>
        <v>Without Amendment</v>
      </c>
      <c r="D7188" s="138" t="str">
        <f t="shared" si="542"/>
        <v>Base_High</v>
      </c>
      <c r="E7188" s="138" t="str">
        <f t="shared" si="547"/>
        <v>High</v>
      </c>
      <c r="F7188" s="138" t="str">
        <f t="shared" si="544"/>
        <v>Upgraded</v>
      </c>
      <c r="G7188" s="153"/>
      <c r="H7188" s="210">
        <v>0.44629999999999997</v>
      </c>
      <c r="I7188" s="160" t="s">
        <v>148</v>
      </c>
      <c r="J7188" s="160">
        <v>1.4999999999999999E-4</v>
      </c>
      <c r="K7188" s="160" t="s">
        <v>26</v>
      </c>
      <c r="L7188" s="154" t="str">
        <f>IF(OpenLCAbasic!K7188="CTUh", "Fill in Manually",IF(OR(K7188="Unit", K7188=""), "", INDEX(LookUps!$E$5:$E$12, MATCH(OpenLCAbasic!K7188,LookUps!$D$5:$D$12,0))))</f>
        <v>Water Use (WU) - m3 H2O</v>
      </c>
      <c r="M7188" s="154" t="str">
        <f t="shared" si="545"/>
        <v>High_Base_High_Upgraded_Water Use (WU) - m3 H2O_Control Building; at upgraded wastewater treatment plant - US_Without Amendment_Windrow</v>
      </c>
    </row>
    <row r="7189" spans="1:13" s="120" customFormat="1" x14ac:dyDescent="0.25">
      <c r="A7189" s="119"/>
      <c r="B7189" s="138" t="str">
        <f t="shared" si="543"/>
        <v>Windrow</v>
      </c>
      <c r="C7189" s="138" t="str">
        <f t="shared" si="546"/>
        <v>Without Amendment</v>
      </c>
      <c r="D7189" s="138" t="str">
        <f t="shared" si="542"/>
        <v>Base_High</v>
      </c>
      <c r="E7189" s="138" t="str">
        <f t="shared" si="547"/>
        <v>High</v>
      </c>
      <c r="F7189" s="138" t="str">
        <f t="shared" si="544"/>
        <v>Upgraded</v>
      </c>
      <c r="G7189" s="153"/>
      <c r="H7189" s="210">
        <v>0.2072</v>
      </c>
      <c r="I7189" s="160" t="s">
        <v>48</v>
      </c>
      <c r="J7189" s="211">
        <v>6.8836400000000004E-5</v>
      </c>
      <c r="K7189" s="160" t="s">
        <v>26</v>
      </c>
      <c r="L7189" s="154" t="str">
        <f>IF(OpenLCAbasic!K7189="CTUh", "Fill in Manually",IF(OR(K7189="Unit", K7189=""), "", INDEX(LookUps!$E$5:$E$12, MATCH(OpenLCAbasic!K7189,LookUps!$D$5:$D$12,0))))</f>
        <v>Water Use (WU) - m3 H2O</v>
      </c>
      <c r="M7189" s="154" t="str">
        <f t="shared" si="545"/>
        <v>High_Base_High_Upgraded_Water Use (WU) - m3 H2O_Effluent release; wastewater treatment unit; at surface water; m3 wastewater - US_Without Amendment_Windrow</v>
      </c>
    </row>
    <row r="7190" spans="1:13" s="120" customFormat="1" x14ac:dyDescent="0.25">
      <c r="A7190" s="119"/>
      <c r="B7190" s="138" t="str">
        <f t="shared" si="543"/>
        <v>Windrow</v>
      </c>
      <c r="C7190" s="138" t="str">
        <f t="shared" si="546"/>
        <v>Without Amendment</v>
      </c>
      <c r="D7190" s="138" t="str">
        <f t="shared" si="542"/>
        <v>Base_High</v>
      </c>
      <c r="E7190" s="138" t="str">
        <f t="shared" si="547"/>
        <v>High</v>
      </c>
      <c r="F7190" s="138" t="str">
        <f t="shared" si="544"/>
        <v>Upgraded</v>
      </c>
      <c r="G7190" s="153"/>
      <c r="H7190" s="210">
        <v>0.13</v>
      </c>
      <c r="I7190" s="160" t="s">
        <v>58</v>
      </c>
      <c r="J7190" s="211">
        <v>4.3192100000000003E-5</v>
      </c>
      <c r="K7190" s="160" t="s">
        <v>26</v>
      </c>
      <c r="L7190" s="154" t="str">
        <f>IF(OpenLCAbasic!K7190="CTUh", "Fill in Manually",IF(OR(K7190="Unit", K7190=""), "", INDEX(LookUps!$E$5:$E$12, MATCH(OpenLCAbasic!K7190,LookUps!$D$5:$D$12,0))))</f>
        <v>Water Use (WU) - m3 H2O</v>
      </c>
      <c r="M7190" s="154" t="str">
        <f t="shared" si="545"/>
        <v>High_Base_High_Upgraded_Water Use (WU) - m3 H2O_Pre-Anoxic &amp; Swing tank; wastewater treatment unit; at updated plant - US_Without Amendment_Windrow</v>
      </c>
    </row>
    <row r="7191" spans="1:13" s="120" customFormat="1" x14ac:dyDescent="0.25">
      <c r="A7191" s="119"/>
      <c r="B7191" s="138" t="str">
        <f t="shared" si="543"/>
        <v>Windrow</v>
      </c>
      <c r="C7191" s="138" t="str">
        <f t="shared" si="546"/>
        <v>Without Amendment</v>
      </c>
      <c r="D7191" s="138" t="str">
        <f t="shared" si="542"/>
        <v>Base_High</v>
      </c>
      <c r="E7191" s="138" t="str">
        <f t="shared" si="547"/>
        <v>High</v>
      </c>
      <c r="F7191" s="138" t="str">
        <f t="shared" si="544"/>
        <v>Upgraded</v>
      </c>
      <c r="G7191" s="153"/>
      <c r="H7191" s="210">
        <v>9.1499999999999998E-2</v>
      </c>
      <c r="I7191" s="160" t="s">
        <v>57</v>
      </c>
      <c r="J7191" s="211">
        <v>3.0408100000000001E-5</v>
      </c>
      <c r="K7191" s="160" t="s">
        <v>26</v>
      </c>
      <c r="L7191" s="154" t="str">
        <f>IF(OpenLCAbasic!K7191="CTUh", "Fill in Manually",IF(OR(K7191="Unit", K7191=""), "", INDEX(LookUps!$E$5:$E$12, MATCH(OpenLCAbasic!K7191,LookUps!$D$5:$D$12,0))))</f>
        <v>Water Use (WU) - m3 H2O</v>
      </c>
      <c r="M7191" s="154" t="str">
        <f t="shared" si="545"/>
        <v>High_Base_High_Upgraded_Water Use (WU) - m3 H2O_Gravity Belt Thickener; wastewater treatment unit; at updated plant - US_Without Amendment_Windrow</v>
      </c>
    </row>
    <row r="7192" spans="1:13" s="120" customFormat="1" x14ac:dyDescent="0.25">
      <c r="A7192" s="119"/>
      <c r="B7192" s="138" t="str">
        <f t="shared" si="543"/>
        <v>Windrow</v>
      </c>
      <c r="C7192" s="138" t="str">
        <f t="shared" si="546"/>
        <v>Without Amendment</v>
      </c>
      <c r="D7192" s="138" t="str">
        <f t="shared" si="542"/>
        <v>Base_High</v>
      </c>
      <c r="E7192" s="138" t="str">
        <f t="shared" si="547"/>
        <v>High</v>
      </c>
      <c r="F7192" s="138" t="str">
        <f t="shared" si="544"/>
        <v>Upgraded</v>
      </c>
      <c r="G7192" s="153"/>
      <c r="H7192" s="210">
        <v>6.3600000000000004E-2</v>
      </c>
      <c r="I7192" s="160" t="s">
        <v>60</v>
      </c>
      <c r="J7192" s="211">
        <v>2.1135600000000001E-5</v>
      </c>
      <c r="K7192" s="160" t="s">
        <v>26</v>
      </c>
      <c r="L7192" s="154" t="str">
        <f>IF(OpenLCAbasic!K7192="CTUh", "Fill in Manually",IF(OR(K7192="Unit", K7192=""), "", INDEX(LookUps!$E$5:$E$12, MATCH(OpenLCAbasic!K7192,LookUps!$D$5:$D$12,0))))</f>
        <v>Water Use (WU) - m3 H2O</v>
      </c>
      <c r="M7192" s="154" t="str">
        <f t="shared" si="545"/>
        <v>High_Base_High_Upgraded_Water Use (WU) - m3 H2O_Belt filter press; wastewater treatment unit; at updated plant - US_Without Amendment_Windrow</v>
      </c>
    </row>
    <row r="7193" spans="1:13" s="120" customFormat="1" x14ac:dyDescent="0.25">
      <c r="A7193" s="119"/>
      <c r="B7193" s="138" t="str">
        <f t="shared" si="543"/>
        <v>Windrow</v>
      </c>
      <c r="C7193" s="138" t="str">
        <f t="shared" si="546"/>
        <v>Without Amendment</v>
      </c>
      <c r="D7193" s="138" t="str">
        <f t="shared" ref="D7193:D7199" si="548">IF(ISNUMBER($J7193),"Base_High","")</f>
        <v>Base_High</v>
      </c>
      <c r="E7193" s="138" t="str">
        <f t="shared" si="547"/>
        <v>High</v>
      </c>
      <c r="F7193" s="138" t="str">
        <f t="shared" si="544"/>
        <v>Upgraded</v>
      </c>
      <c r="G7193" s="153"/>
      <c r="H7193" s="210">
        <v>5.2699999999999997E-2</v>
      </c>
      <c r="I7193" s="160" t="s">
        <v>53</v>
      </c>
      <c r="J7193" s="211">
        <v>1.75069E-5</v>
      </c>
      <c r="K7193" s="160" t="s">
        <v>26</v>
      </c>
      <c r="L7193" s="154" t="str">
        <f>IF(OpenLCAbasic!K7193="CTUh", "Fill in Manually",IF(OR(K7193="Unit", K7193=""), "", INDEX(LookUps!$E$5:$E$12, MATCH(OpenLCAbasic!K7193,LookUps!$D$5:$D$12,0))))</f>
        <v>Water Use (WU) - m3 H2O</v>
      </c>
      <c r="M7193" s="154" t="str">
        <f t="shared" si="545"/>
        <v>High_Base_High_Upgraded_Water Use (WU) - m3 H2O_Wet Well and Sump Station; wastewater treatment unit; at updated plant - US_Without Amendment_Windrow</v>
      </c>
    </row>
    <row r="7194" spans="1:13" s="120" customFormat="1" x14ac:dyDescent="0.25">
      <c r="A7194" s="119"/>
      <c r="B7194" s="138" t="str">
        <f t="shared" si="543"/>
        <v>Windrow</v>
      </c>
      <c r="C7194" s="138" t="str">
        <f t="shared" si="546"/>
        <v>Without Amendment</v>
      </c>
      <c r="D7194" s="138" t="str">
        <f t="shared" si="548"/>
        <v>Base_High</v>
      </c>
      <c r="E7194" s="138" t="str">
        <f t="shared" si="547"/>
        <v>High</v>
      </c>
      <c r="F7194" s="138" t="str">
        <f t="shared" si="544"/>
        <v>Upgraded</v>
      </c>
      <c r="G7194" s="153"/>
      <c r="H7194" s="210">
        <v>2.1100000000000001E-2</v>
      </c>
      <c r="I7194" s="160" t="s">
        <v>59</v>
      </c>
      <c r="J7194" s="211">
        <v>7.0179500000000003E-6</v>
      </c>
      <c r="K7194" s="160" t="s">
        <v>26</v>
      </c>
      <c r="L7194" s="154" t="str">
        <f>IF(OpenLCAbasic!K7194="CTUh", "Fill in Manually",IF(OR(K7194="Unit", K7194=""), "", INDEX(LookUps!$E$5:$E$12, MATCH(OpenLCAbasic!K7194,LookUps!$D$5:$D$12,0))))</f>
        <v>Water Use (WU) - m3 H2O</v>
      </c>
      <c r="M7194" s="154" t="str">
        <f t="shared" si="545"/>
        <v>High_Base_High_Upgraded_Water Use (WU) - m3 H2O_Blend Tank; wastewater treatment unit; at updated plant - US_Without Amendment_Windrow</v>
      </c>
    </row>
    <row r="7195" spans="1:13" s="120" customFormat="1" x14ac:dyDescent="0.25">
      <c r="A7195" s="119"/>
      <c r="B7195" s="138" t="str">
        <f t="shared" si="543"/>
        <v>Windrow</v>
      </c>
      <c r="C7195" s="138" t="str">
        <f t="shared" si="546"/>
        <v>Without Amendment</v>
      </c>
      <c r="D7195" s="138" t="str">
        <f t="shared" si="548"/>
        <v>Base_High</v>
      </c>
      <c r="E7195" s="138" t="str">
        <f t="shared" si="547"/>
        <v>High</v>
      </c>
      <c r="F7195" s="138" t="str">
        <f t="shared" si="544"/>
        <v>Upgraded</v>
      </c>
      <c r="G7195" s="153"/>
      <c r="H7195" s="210">
        <v>1.52E-2</v>
      </c>
      <c r="I7195" s="160" t="s">
        <v>128</v>
      </c>
      <c r="J7195" s="211">
        <v>5.0608900000000003E-6</v>
      </c>
      <c r="K7195" s="160" t="s">
        <v>26</v>
      </c>
      <c r="L7195" s="154" t="str">
        <f>IF(OpenLCAbasic!K7195="CTUh", "Fill in Manually",IF(OR(K7195="Unit", K7195=""), "", INDEX(LookUps!$E$5:$E$12, MATCH(OpenLCAbasic!K7195,LookUps!$D$5:$D$12,0))))</f>
        <v>Water Use (WU) - m3 H2O</v>
      </c>
      <c r="M7195" s="154" t="str">
        <f t="shared" si="545"/>
        <v>High_Base_High_Upgraded_Water Use (WU) - m3 H2O_Wastewater collection; operation and infrastructure; m3 wastewater_Without Amendment_Windrow</v>
      </c>
    </row>
    <row r="7196" spans="1:13" s="120" customFormat="1" x14ac:dyDescent="0.25">
      <c r="A7196" s="119"/>
      <c r="B7196" s="138" t="str">
        <f t="shared" si="543"/>
        <v>Windrow</v>
      </c>
      <c r="C7196" s="138" t="str">
        <f t="shared" si="546"/>
        <v>Without Amendment</v>
      </c>
      <c r="D7196" s="138" t="str">
        <f t="shared" si="548"/>
        <v>Base_High</v>
      </c>
      <c r="E7196" s="138" t="str">
        <f t="shared" si="547"/>
        <v>High</v>
      </c>
      <c r="F7196" s="138" t="str">
        <f t="shared" si="544"/>
        <v>Upgraded</v>
      </c>
      <c r="G7196" s="153"/>
      <c r="H7196" s="210">
        <v>3.0000000000000001E-3</v>
      </c>
      <c r="I7196" s="160" t="s">
        <v>271</v>
      </c>
      <c r="J7196" s="211">
        <v>1.01147E-6</v>
      </c>
      <c r="K7196" s="160" t="s">
        <v>26</v>
      </c>
      <c r="L7196" s="154" t="str">
        <f>IF(OpenLCAbasic!K7196="CTUh", "Fill in Manually",IF(OR(K7196="Unit", K7196=""), "", INDEX(LookUps!$E$5:$E$12, MATCH(OpenLCAbasic!K7196,LookUps!$D$5:$D$12,0))))</f>
        <v>Water Use (WU) - m3 H2O</v>
      </c>
      <c r="M7196" s="154" t="str">
        <f t="shared" si="545"/>
        <v>High_Base_High_Upgraded_Water Use (WU) - m3 H2O_Biosolids composting; windrow composting; wastewater treatment unit; at updated plant - US_Without Amendment_Windrow</v>
      </c>
    </row>
    <row r="7197" spans="1:13" s="120" customFormat="1" x14ac:dyDescent="0.25">
      <c r="A7197" s="119"/>
      <c r="B7197" s="138" t="str">
        <f t="shared" si="543"/>
        <v>Windrow</v>
      </c>
      <c r="C7197" s="138" t="str">
        <f t="shared" si="546"/>
        <v>Without Amendment</v>
      </c>
      <c r="D7197" s="138" t="str">
        <f t="shared" si="548"/>
        <v>Base_High</v>
      </c>
      <c r="E7197" s="138" t="str">
        <f t="shared" si="547"/>
        <v>High</v>
      </c>
      <c r="F7197" s="138" t="str">
        <f t="shared" si="544"/>
        <v>Upgraded</v>
      </c>
      <c r="G7197" s="153"/>
      <c r="H7197" s="210">
        <v>2.3E-3</v>
      </c>
      <c r="I7197" s="160" t="s">
        <v>168</v>
      </c>
      <c r="J7197" s="211">
        <v>7.6697000000000004E-7</v>
      </c>
      <c r="K7197" s="160" t="s">
        <v>26</v>
      </c>
      <c r="L7197" s="154" t="str">
        <f>IF(OpenLCAbasic!K7197="CTUh", "Fill in Manually",IF(OR(K7197="Unit", K7197=""), "", INDEX(LookUps!$E$5:$E$12, MATCH(OpenLCAbasic!K7197,LookUps!$D$5:$D$12,0))))</f>
        <v>Water Use (WU) - m3 H2O</v>
      </c>
      <c r="M7197" s="154" t="str">
        <f t="shared" si="545"/>
        <v>High_Base_High_Upgraded_Water Use (WU) - m3 H2O_ClearCove SCP; wastewater treatment unit; at updated plant - US_Without Amendment_Windrow</v>
      </c>
    </row>
    <row r="7198" spans="1:13" s="120" customFormat="1" x14ac:dyDescent="0.25">
      <c r="A7198" s="119"/>
      <c r="B7198" s="138" t="str">
        <f t="shared" si="543"/>
        <v>Windrow</v>
      </c>
      <c r="C7198" s="138" t="str">
        <f t="shared" si="546"/>
        <v>Without Amendment</v>
      </c>
      <c r="D7198" s="138" t="str">
        <f t="shared" si="548"/>
        <v>Base_High</v>
      </c>
      <c r="E7198" s="138" t="str">
        <f t="shared" si="547"/>
        <v>High</v>
      </c>
      <c r="F7198" s="138" t="str">
        <f t="shared" si="544"/>
        <v>Upgraded</v>
      </c>
      <c r="G7198" s="153"/>
      <c r="H7198" s="210">
        <v>-0.28050000000000003</v>
      </c>
      <c r="I7198" s="160" t="s">
        <v>149</v>
      </c>
      <c r="J7198" s="211">
        <v>-9.3162899999999995E-5</v>
      </c>
      <c r="K7198" s="160" t="s">
        <v>26</v>
      </c>
      <c r="L7198" s="154" t="str">
        <f>IF(OpenLCAbasic!K7198="CTUh", "Fill in Manually",IF(OR(K7198="Unit", K7198=""), "", INDEX(LookUps!$E$5:$E$12, MATCH(OpenLCAbasic!K7198,LookUps!$D$5:$D$12,0))))</f>
        <v>Water Use (WU) - m3 H2O</v>
      </c>
      <c r="M7198" s="154" t="str">
        <f t="shared" si="545"/>
        <v>High_Base_High_Upgraded_Water Use (WU) - m3 H2O_Anaerobic Digestion; wastewater treatment unit; at updated plant - US_Without Amendment_Windrow</v>
      </c>
    </row>
    <row r="7199" spans="1:13" s="120" customFormat="1" x14ac:dyDescent="0.25">
      <c r="A7199" s="119"/>
      <c r="B7199" s="138" t="str">
        <f t="shared" si="543"/>
        <v>Windrow</v>
      </c>
      <c r="C7199" s="138" t="str">
        <f t="shared" si="546"/>
        <v>Without Amendment</v>
      </c>
      <c r="D7199" s="138" t="str">
        <f t="shared" si="548"/>
        <v>Base_High</v>
      </c>
      <c r="E7199" s="138" t="str">
        <f t="shared" si="547"/>
        <v>High</v>
      </c>
      <c r="F7199" s="138" t="str">
        <f t="shared" si="544"/>
        <v>Upgraded</v>
      </c>
      <c r="G7199" s="153"/>
      <c r="H7199" s="210">
        <v>-2.0356000000000001</v>
      </c>
      <c r="I7199" s="160" t="s">
        <v>62</v>
      </c>
      <c r="J7199" s="160">
        <v>-6.8000000000000005E-4</v>
      </c>
      <c r="K7199" s="160" t="s">
        <v>26</v>
      </c>
      <c r="L7199" s="154" t="str">
        <f>IF(OpenLCAbasic!K7199="CTUh", "Fill in Manually",IF(OR(K7199="Unit", K7199=""), "", INDEX(LookUps!$E$5:$E$12, MATCH(OpenLCAbasic!K7199,LookUps!$D$5:$D$12,0))))</f>
        <v>Water Use (WU) - m3 H2O</v>
      </c>
      <c r="M7199" s="154" t="str">
        <f t="shared" si="545"/>
        <v>High_Base_High_Upgraded_Water Use (WU) - m3 H2O_Land application of compost; wastewater treatment unit; at updated plant - US_Without Amendment_Windrow</v>
      </c>
    </row>
    <row r="7200" spans="1:13" s="120" customFormat="1" x14ac:dyDescent="0.25">
      <c r="A7200" s="119"/>
      <c r="B7200" s="138" t="str">
        <f t="shared" si="543"/>
        <v/>
      </c>
      <c r="C7200" s="138" t="str">
        <f t="shared" si="546"/>
        <v/>
      </c>
      <c r="D7200" s="138" t="str">
        <f>IF(ISNUMBER($J7200),"Medium_Low","")</f>
        <v/>
      </c>
      <c r="E7200" s="138" t="str">
        <f t="shared" si="547"/>
        <v/>
      </c>
      <c r="F7200" s="138" t="str">
        <f t="shared" si="544"/>
        <v/>
      </c>
      <c r="G7200" s="153" t="s">
        <v>51</v>
      </c>
      <c r="H7200" s="160"/>
      <c r="I7200" s="160" t="s">
        <v>47</v>
      </c>
      <c r="J7200" s="160" t="s">
        <v>52</v>
      </c>
      <c r="K7200" s="160" t="s">
        <v>27</v>
      </c>
      <c r="L7200" s="154" t="str">
        <f>IF(OpenLCAbasic!K7200="CTUh", "Fill in Manually",IF(OR(K7200="Unit", K7200=""), "", INDEX(LookUps!$E$5:$E$12, MATCH(OpenLCAbasic!K7200,LookUps!$D$5:$D$12,0))))</f>
        <v/>
      </c>
      <c r="M7200" s="154" t="str">
        <f t="shared" si="545"/>
        <v>____Process__</v>
      </c>
    </row>
    <row r="7201" spans="1:13" s="120" customFormat="1" x14ac:dyDescent="0.25">
      <c r="A7201" s="119"/>
      <c r="B7201" s="138" t="str">
        <f t="shared" si="543"/>
        <v>Windrow</v>
      </c>
      <c r="C7201" s="138" t="str">
        <f t="shared" si="546"/>
        <v>Without Amendment</v>
      </c>
      <c r="D7201" s="138" t="str">
        <f t="shared" ref="D7201:D7264" si="549">IF(ISNUMBER($J7201),"Medium_Low","")</f>
        <v>Medium_Low</v>
      </c>
      <c r="E7201" s="138" t="str">
        <f t="shared" si="547"/>
        <v>High</v>
      </c>
      <c r="F7201" s="138" t="str">
        <f t="shared" si="544"/>
        <v>Upgraded</v>
      </c>
      <c r="G7201" s="153"/>
      <c r="H7201" s="210">
        <v>0.35039999999999999</v>
      </c>
      <c r="I7201" s="160" t="s">
        <v>55</v>
      </c>
      <c r="J7201" s="160">
        <v>1.7219999999999999E-2</v>
      </c>
      <c r="K7201" s="160" t="s">
        <v>24</v>
      </c>
      <c r="L7201" s="154" t="str">
        <f>IF(OpenLCAbasic!K7201="CTUh", "Fill in Manually",IF(OR(K7201="Unit", K7201=""), "", INDEX(LookUps!$E$5:$E$12, MATCH(OpenLCAbasic!K7201,LookUps!$D$5:$D$12,0))))</f>
        <v>Acidification Potential (AP) - kg SO2 eq</v>
      </c>
      <c r="M7201" s="154" t="str">
        <f t="shared" si="545"/>
        <v>High_Medium_Low_Upgraded_Acidification Potential (AP) - kg SO2 eq_Aeration Tanks; wastewater treatment unit; at updated plant - US_Without Amendment_Windrow</v>
      </c>
    </row>
    <row r="7202" spans="1:13" s="120" customFormat="1" x14ac:dyDescent="0.25">
      <c r="A7202" s="119"/>
      <c r="B7202" s="138" t="str">
        <f t="shared" si="543"/>
        <v>Windrow</v>
      </c>
      <c r="C7202" s="138" t="str">
        <f t="shared" si="546"/>
        <v>Without Amendment</v>
      </c>
      <c r="D7202" s="138" t="str">
        <f t="shared" si="549"/>
        <v>Medium_Low</v>
      </c>
      <c r="E7202" s="138" t="str">
        <f t="shared" si="547"/>
        <v>High</v>
      </c>
      <c r="F7202" s="138" t="str">
        <f t="shared" si="544"/>
        <v>Upgraded</v>
      </c>
      <c r="G7202" s="153"/>
      <c r="H7202" s="210">
        <v>0.21640000000000001</v>
      </c>
      <c r="I7202" s="160" t="s">
        <v>271</v>
      </c>
      <c r="J7202" s="160">
        <v>1.0630000000000001E-2</v>
      </c>
      <c r="K7202" s="160" t="s">
        <v>24</v>
      </c>
      <c r="L7202" s="154" t="str">
        <f>IF(OpenLCAbasic!K7202="CTUh", "Fill in Manually",IF(OR(K7202="Unit", K7202=""), "", INDEX(LookUps!$E$5:$E$12, MATCH(OpenLCAbasic!K7202,LookUps!$D$5:$D$12,0))))</f>
        <v>Acidification Potential (AP) - kg SO2 eq</v>
      </c>
      <c r="M7202" s="154" t="str">
        <f t="shared" si="545"/>
        <v>High_Medium_Low_Upgraded_Acidification Potential (AP) - kg SO2 eq_Biosolids composting; windrow composting; wastewater treatment unit; at updated plant - US_Without Amendment_Windrow</v>
      </c>
    </row>
    <row r="7203" spans="1:13" s="120" customFormat="1" x14ac:dyDescent="0.25">
      <c r="A7203" s="119"/>
      <c r="B7203" s="138" t="str">
        <f t="shared" si="543"/>
        <v>Windrow</v>
      </c>
      <c r="C7203" s="138" t="str">
        <f t="shared" si="546"/>
        <v>Without Amendment</v>
      </c>
      <c r="D7203" s="138" t="str">
        <f t="shared" si="549"/>
        <v>Medium_Low</v>
      </c>
      <c r="E7203" s="138" t="str">
        <f t="shared" si="547"/>
        <v>High</v>
      </c>
      <c r="F7203" s="138" t="str">
        <f t="shared" si="544"/>
        <v>Upgraded</v>
      </c>
      <c r="G7203" s="153"/>
      <c r="H7203" s="210">
        <v>0.1014</v>
      </c>
      <c r="I7203" s="160" t="s">
        <v>54</v>
      </c>
      <c r="J7203" s="160">
        <v>4.9800000000000001E-3</v>
      </c>
      <c r="K7203" s="160" t="s">
        <v>24</v>
      </c>
      <c r="L7203" s="154" t="str">
        <f>IF(OpenLCAbasic!K7203="CTUh", "Fill in Manually",IF(OR(K7203="Unit", K7203=""), "", INDEX(LookUps!$E$5:$E$12, MATCH(OpenLCAbasic!K7203,LookUps!$D$5:$D$12,0))))</f>
        <v>Acidification Potential (AP) - kg SO2 eq</v>
      </c>
      <c r="M7203" s="154" t="str">
        <f t="shared" si="545"/>
        <v>High_Medium_Low_Upgraded_Acidification Potential (AP) - kg SO2 eq_Clear Cove Primary Clarification; wastewater treatment unit; at updated plant - US_Without Amendment_Windrow</v>
      </c>
    </row>
    <row r="7204" spans="1:13" s="120" customFormat="1" x14ac:dyDescent="0.25">
      <c r="A7204" s="119"/>
      <c r="B7204" s="138" t="str">
        <f t="shared" si="543"/>
        <v>Windrow</v>
      </c>
      <c r="C7204" s="138" t="str">
        <f t="shared" si="546"/>
        <v>Without Amendment</v>
      </c>
      <c r="D7204" s="138" t="str">
        <f t="shared" si="549"/>
        <v>Medium_Low</v>
      </c>
      <c r="E7204" s="138" t="str">
        <f t="shared" si="547"/>
        <v>High</v>
      </c>
      <c r="F7204" s="138" t="str">
        <f t="shared" si="544"/>
        <v>Upgraded</v>
      </c>
      <c r="G7204" s="153"/>
      <c r="H7204" s="210">
        <v>8.8400000000000006E-2</v>
      </c>
      <c r="I7204" s="160" t="s">
        <v>58</v>
      </c>
      <c r="J7204" s="160">
        <v>4.3499999999999997E-3</v>
      </c>
      <c r="K7204" s="160" t="s">
        <v>24</v>
      </c>
      <c r="L7204" s="154" t="str">
        <f>IF(OpenLCAbasic!K7204="CTUh", "Fill in Manually",IF(OR(K7204="Unit", K7204=""), "", INDEX(LookUps!$E$5:$E$12, MATCH(OpenLCAbasic!K7204,LookUps!$D$5:$D$12,0))))</f>
        <v>Acidification Potential (AP) - kg SO2 eq</v>
      </c>
      <c r="M7204" s="154" t="str">
        <f t="shared" si="545"/>
        <v>High_Medium_Low_Upgraded_Acidification Potential (AP) - kg SO2 eq_Pre-Anoxic &amp; Swing tank; wastewater treatment unit; at updated plant - US_Without Amendment_Windrow</v>
      </c>
    </row>
    <row r="7205" spans="1:13" s="120" customFormat="1" x14ac:dyDescent="0.25">
      <c r="A7205" s="119"/>
      <c r="B7205" s="138" t="str">
        <f t="shared" si="543"/>
        <v>Windrow</v>
      </c>
      <c r="C7205" s="138" t="str">
        <f t="shared" si="546"/>
        <v>Without Amendment</v>
      </c>
      <c r="D7205" s="138" t="str">
        <f t="shared" si="549"/>
        <v>Medium_Low</v>
      </c>
      <c r="E7205" s="138" t="str">
        <f t="shared" si="547"/>
        <v>High</v>
      </c>
      <c r="F7205" s="138" t="str">
        <f t="shared" si="544"/>
        <v>Upgraded</v>
      </c>
      <c r="G7205" s="153"/>
      <c r="H7205" s="210">
        <v>7.0199999999999999E-2</v>
      </c>
      <c r="I7205" s="160" t="s">
        <v>53</v>
      </c>
      <c r="J7205" s="160">
        <v>3.4499999999999999E-3</v>
      </c>
      <c r="K7205" s="160" t="s">
        <v>24</v>
      </c>
      <c r="L7205" s="154" t="str">
        <f>IF(OpenLCAbasic!K7205="CTUh", "Fill in Manually",IF(OR(K7205="Unit", K7205=""), "", INDEX(LookUps!$E$5:$E$12, MATCH(OpenLCAbasic!K7205,LookUps!$D$5:$D$12,0))))</f>
        <v>Acidification Potential (AP) - kg SO2 eq</v>
      </c>
      <c r="M7205" s="154" t="str">
        <f t="shared" si="545"/>
        <v>High_Medium_Low_Upgraded_Acidification Potential (AP) - kg SO2 eq_Wet Well and Sump Station; wastewater treatment unit; at updated plant - US_Without Amendment_Windrow</v>
      </c>
    </row>
    <row r="7206" spans="1:13" s="120" customFormat="1" x14ac:dyDescent="0.25">
      <c r="A7206" s="119"/>
      <c r="B7206" s="138" t="str">
        <f t="shared" si="543"/>
        <v>Windrow</v>
      </c>
      <c r="C7206" s="138" t="str">
        <f t="shared" si="546"/>
        <v>Without Amendment</v>
      </c>
      <c r="D7206" s="138" t="str">
        <f t="shared" si="549"/>
        <v>Medium_Low</v>
      </c>
      <c r="E7206" s="138" t="str">
        <f t="shared" si="547"/>
        <v>High</v>
      </c>
      <c r="F7206" s="138" t="str">
        <f t="shared" si="544"/>
        <v>Upgraded</v>
      </c>
      <c r="G7206" s="153"/>
      <c r="H7206" s="210">
        <v>5.1499999999999997E-2</v>
      </c>
      <c r="I7206" s="160" t="s">
        <v>167</v>
      </c>
      <c r="J7206" s="160">
        <v>2.5300000000000001E-3</v>
      </c>
      <c r="K7206" s="160" t="s">
        <v>24</v>
      </c>
      <c r="L7206" s="154" t="str">
        <f>IF(OpenLCAbasic!K7206="CTUh", "Fill in Manually",IF(OR(K7206="Unit", K7206=""), "", INDEX(LookUps!$E$5:$E$12, MATCH(OpenLCAbasic!K7206,LookUps!$D$5:$D$12,0))))</f>
        <v>Acidification Potential (AP) - kg SO2 eq</v>
      </c>
      <c r="M7206" s="154" t="str">
        <f t="shared" si="545"/>
        <v>High_Medium_Low_Upgraded_Acidification Potential (AP) - kg SO2 eq_Waste Receiving and Holding; wastewater treatment unit; at updated plant - US_Without Amendment_Windrow</v>
      </c>
    </row>
    <row r="7207" spans="1:13" s="120" customFormat="1" x14ac:dyDescent="0.25">
      <c r="A7207" s="119"/>
      <c r="B7207" s="138" t="str">
        <f t="shared" si="543"/>
        <v>Windrow</v>
      </c>
      <c r="C7207" s="138" t="str">
        <f t="shared" si="546"/>
        <v>Without Amendment</v>
      </c>
      <c r="D7207" s="138" t="str">
        <f t="shared" si="549"/>
        <v>Medium_Low</v>
      </c>
      <c r="E7207" s="138" t="str">
        <f t="shared" si="547"/>
        <v>High</v>
      </c>
      <c r="F7207" s="138" t="str">
        <f t="shared" si="544"/>
        <v>Upgraded</v>
      </c>
      <c r="G7207" s="153"/>
      <c r="H7207" s="210">
        <v>4.8599999999999997E-2</v>
      </c>
      <c r="I7207" s="160" t="s">
        <v>62</v>
      </c>
      <c r="J7207" s="160">
        <v>2.3900000000000002E-3</v>
      </c>
      <c r="K7207" s="160" t="s">
        <v>24</v>
      </c>
      <c r="L7207" s="154" t="str">
        <f>IF(OpenLCAbasic!K7207="CTUh", "Fill in Manually",IF(OR(K7207="Unit", K7207=""), "", INDEX(LookUps!$E$5:$E$12, MATCH(OpenLCAbasic!K7207,LookUps!$D$5:$D$12,0))))</f>
        <v>Acidification Potential (AP) - kg SO2 eq</v>
      </c>
      <c r="M7207" s="154" t="str">
        <f t="shared" si="545"/>
        <v>High_Medium_Low_Upgraded_Acidification Potential (AP) - kg SO2 eq_Land application of compost; wastewater treatment unit; at updated plant - US_Without Amendment_Windrow</v>
      </c>
    </row>
    <row r="7208" spans="1:13" s="120" customFormat="1" x14ac:dyDescent="0.25">
      <c r="A7208" s="119"/>
      <c r="B7208" s="138" t="str">
        <f t="shared" ref="B7208:B7271" si="550">IF(F7208="Legacy","n.a.",IF(F7208="","","Windrow"))</f>
        <v>Windrow</v>
      </c>
      <c r="C7208" s="138" t="str">
        <f t="shared" si="546"/>
        <v>Without Amendment</v>
      </c>
      <c r="D7208" s="138" t="str">
        <f t="shared" si="549"/>
        <v>Medium_Low</v>
      </c>
      <c r="E7208" s="138" t="str">
        <f t="shared" si="547"/>
        <v>High</v>
      </c>
      <c r="F7208" s="138" t="str">
        <f t="shared" ref="F7208:F7271" si="551">IF(ISNUMBER(J7208),"Upgraded","")</f>
        <v>Upgraded</v>
      </c>
      <c r="G7208" s="153"/>
      <c r="H7208" s="210">
        <v>4.2099999999999999E-2</v>
      </c>
      <c r="I7208" s="160" t="s">
        <v>147</v>
      </c>
      <c r="J7208" s="160">
        <v>2.0699999999999998E-3</v>
      </c>
      <c r="K7208" s="160" t="s">
        <v>24</v>
      </c>
      <c r="L7208" s="154" t="str">
        <f>IF(OpenLCAbasic!K7208="CTUh", "Fill in Manually",IF(OR(K7208="Unit", K7208=""), "", INDEX(LookUps!$E$5:$E$12, MATCH(OpenLCAbasic!K7208,LookUps!$D$5:$D$12,0))))</f>
        <v>Acidification Potential (AP) - kg SO2 eq</v>
      </c>
      <c r="M7208" s="154" t="str">
        <f t="shared" si="545"/>
        <v>High_Medium_Low_Upgraded_Acidification Potential (AP) - kg SO2 eq_Influent Pump Station; wastewater treatment unit; at updated plant - US_Without Amendment_Windrow</v>
      </c>
    </row>
    <row r="7209" spans="1:13" s="120" customFormat="1" x14ac:dyDescent="0.25">
      <c r="A7209" s="119"/>
      <c r="B7209" s="138" t="str">
        <f t="shared" si="550"/>
        <v>Windrow</v>
      </c>
      <c r="C7209" s="138" t="str">
        <f t="shared" si="546"/>
        <v>Without Amendment</v>
      </c>
      <c r="D7209" s="138" t="str">
        <f t="shared" si="549"/>
        <v>Medium_Low</v>
      </c>
      <c r="E7209" s="138" t="str">
        <f t="shared" si="547"/>
        <v>High</v>
      </c>
      <c r="F7209" s="138" t="str">
        <f t="shared" si="551"/>
        <v>Upgraded</v>
      </c>
      <c r="G7209" s="153"/>
      <c r="H7209" s="210">
        <v>2.5100000000000001E-2</v>
      </c>
      <c r="I7209" s="160" t="s">
        <v>128</v>
      </c>
      <c r="J7209" s="160">
        <v>1.23E-3</v>
      </c>
      <c r="K7209" s="160" t="s">
        <v>24</v>
      </c>
      <c r="L7209" s="154" t="str">
        <f>IF(OpenLCAbasic!K7209="CTUh", "Fill in Manually",IF(OR(K7209="Unit", K7209=""), "", INDEX(LookUps!$E$5:$E$12, MATCH(OpenLCAbasic!K7209,LookUps!$D$5:$D$12,0))))</f>
        <v>Acidification Potential (AP) - kg SO2 eq</v>
      </c>
      <c r="M7209" s="154" t="str">
        <f t="shared" si="545"/>
        <v>High_Medium_Low_Upgraded_Acidification Potential (AP) - kg SO2 eq_Wastewater collection; operation and infrastructure; m3 wastewater_Without Amendment_Windrow</v>
      </c>
    </row>
    <row r="7210" spans="1:13" s="120" customFormat="1" x14ac:dyDescent="0.25">
      <c r="A7210" s="119"/>
      <c r="B7210" s="138" t="str">
        <f t="shared" si="550"/>
        <v>Windrow</v>
      </c>
      <c r="C7210" s="138" t="str">
        <f t="shared" si="546"/>
        <v>Without Amendment</v>
      </c>
      <c r="D7210" s="138" t="str">
        <f t="shared" si="549"/>
        <v>Medium_Low</v>
      </c>
      <c r="E7210" s="138" t="str">
        <f t="shared" si="547"/>
        <v>High</v>
      </c>
      <c r="F7210" s="138" t="str">
        <f t="shared" si="551"/>
        <v>Upgraded</v>
      </c>
      <c r="G7210" s="153"/>
      <c r="H7210" s="210">
        <v>2.4500000000000001E-2</v>
      </c>
      <c r="I7210" s="160" t="s">
        <v>60</v>
      </c>
      <c r="J7210" s="160">
        <v>1.1999999999999999E-3</v>
      </c>
      <c r="K7210" s="160" t="s">
        <v>24</v>
      </c>
      <c r="L7210" s="154" t="str">
        <f>IF(OpenLCAbasic!K7210="CTUh", "Fill in Manually",IF(OR(K7210="Unit", K7210=""), "", INDEX(LookUps!$E$5:$E$12, MATCH(OpenLCAbasic!K7210,LookUps!$D$5:$D$12,0))))</f>
        <v>Acidification Potential (AP) - kg SO2 eq</v>
      </c>
      <c r="M7210" s="154" t="str">
        <f t="shared" si="545"/>
        <v>High_Medium_Low_Upgraded_Acidification Potential (AP) - kg SO2 eq_Belt filter press; wastewater treatment unit; at updated plant - US_Without Amendment_Windrow</v>
      </c>
    </row>
    <row r="7211" spans="1:13" s="120" customFormat="1" x14ac:dyDescent="0.25">
      <c r="A7211" s="119"/>
      <c r="B7211" s="138" t="str">
        <f t="shared" si="550"/>
        <v>Windrow</v>
      </c>
      <c r="C7211" s="138" t="str">
        <f t="shared" si="546"/>
        <v>Without Amendment</v>
      </c>
      <c r="D7211" s="138" t="str">
        <f t="shared" si="549"/>
        <v>Medium_Low</v>
      </c>
      <c r="E7211" s="138" t="str">
        <f t="shared" si="547"/>
        <v>High</v>
      </c>
      <c r="F7211" s="138" t="str">
        <f t="shared" si="551"/>
        <v>Upgraded</v>
      </c>
      <c r="G7211" s="153"/>
      <c r="H7211" s="210">
        <v>1.43E-2</v>
      </c>
      <c r="I7211" s="160" t="s">
        <v>57</v>
      </c>
      <c r="J7211" s="160">
        <v>6.9999999999999999E-4</v>
      </c>
      <c r="K7211" s="160" t="s">
        <v>24</v>
      </c>
      <c r="L7211" s="154" t="str">
        <f>IF(OpenLCAbasic!K7211="CTUh", "Fill in Manually",IF(OR(K7211="Unit", K7211=""), "", INDEX(LookUps!$E$5:$E$12, MATCH(OpenLCAbasic!K7211,LookUps!$D$5:$D$12,0))))</f>
        <v>Acidification Potential (AP) - kg SO2 eq</v>
      </c>
      <c r="M7211" s="154" t="str">
        <f t="shared" si="545"/>
        <v>High_Medium_Low_Upgraded_Acidification Potential (AP) - kg SO2 eq_Gravity Belt Thickener; wastewater treatment unit; at updated plant - US_Without Amendment_Windrow</v>
      </c>
    </row>
    <row r="7212" spans="1:13" s="120" customFormat="1" x14ac:dyDescent="0.25">
      <c r="A7212" s="119"/>
      <c r="B7212" s="138" t="str">
        <f t="shared" si="550"/>
        <v>Windrow</v>
      </c>
      <c r="C7212" s="138" t="str">
        <f t="shared" si="546"/>
        <v>Without Amendment</v>
      </c>
      <c r="D7212" s="138" t="str">
        <f t="shared" si="549"/>
        <v>Medium_Low</v>
      </c>
      <c r="E7212" s="138" t="str">
        <f t="shared" si="547"/>
        <v>High</v>
      </c>
      <c r="F7212" s="138" t="str">
        <f t="shared" si="551"/>
        <v>Upgraded</v>
      </c>
      <c r="G7212" s="153"/>
      <c r="H7212" s="210">
        <v>1.0500000000000001E-2</v>
      </c>
      <c r="I7212" s="160" t="s">
        <v>59</v>
      </c>
      <c r="J7212" s="160">
        <v>5.1999999999999995E-4</v>
      </c>
      <c r="K7212" s="160" t="s">
        <v>24</v>
      </c>
      <c r="L7212" s="154" t="str">
        <f>IF(OpenLCAbasic!K7212="CTUh", "Fill in Manually",IF(OR(K7212="Unit", K7212=""), "", INDEX(LookUps!$E$5:$E$12, MATCH(OpenLCAbasic!K7212,LookUps!$D$5:$D$12,0))))</f>
        <v>Acidification Potential (AP) - kg SO2 eq</v>
      </c>
      <c r="M7212" s="154" t="str">
        <f t="shared" si="545"/>
        <v>High_Medium_Low_Upgraded_Acidification Potential (AP) - kg SO2 eq_Blend Tank; wastewater treatment unit; at updated plant - US_Without Amendment_Windrow</v>
      </c>
    </row>
    <row r="7213" spans="1:13" s="120" customFormat="1" x14ac:dyDescent="0.25">
      <c r="A7213" s="119"/>
      <c r="B7213" s="138" t="str">
        <f t="shared" si="550"/>
        <v>Windrow</v>
      </c>
      <c r="C7213" s="138" t="str">
        <f t="shared" si="546"/>
        <v>Without Amendment</v>
      </c>
      <c r="D7213" s="138" t="str">
        <f t="shared" si="549"/>
        <v>Medium_Low</v>
      </c>
      <c r="E7213" s="138" t="str">
        <f t="shared" si="547"/>
        <v>High</v>
      </c>
      <c r="F7213" s="138" t="str">
        <f t="shared" si="551"/>
        <v>Upgraded</v>
      </c>
      <c r="G7213" s="153"/>
      <c r="H7213" s="210">
        <v>7.1000000000000004E-3</v>
      </c>
      <c r="I7213" s="160" t="s">
        <v>48</v>
      </c>
      <c r="J7213" s="160">
        <v>3.5E-4</v>
      </c>
      <c r="K7213" s="160" t="s">
        <v>24</v>
      </c>
      <c r="L7213" s="154" t="str">
        <f>IF(OpenLCAbasic!K7213="CTUh", "Fill in Manually",IF(OR(K7213="Unit", K7213=""), "", INDEX(LookUps!$E$5:$E$12, MATCH(OpenLCAbasic!K7213,LookUps!$D$5:$D$12,0))))</f>
        <v>Acidification Potential (AP) - kg SO2 eq</v>
      </c>
      <c r="M7213" s="154" t="str">
        <f t="shared" si="545"/>
        <v>High_Medium_Low_Upgraded_Acidification Potential (AP) - kg SO2 eq_Effluent release; wastewater treatment unit; at surface water; m3 wastewater - US_Without Amendment_Windrow</v>
      </c>
    </row>
    <row r="7214" spans="1:13" s="120" customFormat="1" x14ac:dyDescent="0.25">
      <c r="A7214" s="119"/>
      <c r="B7214" s="138" t="str">
        <f t="shared" si="550"/>
        <v>Windrow</v>
      </c>
      <c r="C7214" s="138" t="str">
        <f t="shared" si="546"/>
        <v>Without Amendment</v>
      </c>
      <c r="D7214" s="138" t="str">
        <f t="shared" si="549"/>
        <v>Medium_Low</v>
      </c>
      <c r="E7214" s="138" t="str">
        <f t="shared" si="547"/>
        <v>High</v>
      </c>
      <c r="F7214" s="138" t="str">
        <f t="shared" si="551"/>
        <v>Upgraded</v>
      </c>
      <c r="G7214" s="153"/>
      <c r="H7214" s="210">
        <v>5.1999999999999998E-3</v>
      </c>
      <c r="I7214" s="160" t="s">
        <v>168</v>
      </c>
      <c r="J7214" s="160">
        <v>2.5999999999999998E-4</v>
      </c>
      <c r="K7214" s="160" t="s">
        <v>24</v>
      </c>
      <c r="L7214" s="154" t="str">
        <f>IF(OpenLCAbasic!K7214="CTUh", "Fill in Manually",IF(OR(K7214="Unit", K7214=""), "", INDEX(LookUps!$E$5:$E$12, MATCH(OpenLCAbasic!K7214,LookUps!$D$5:$D$12,0))))</f>
        <v>Acidification Potential (AP) - kg SO2 eq</v>
      </c>
      <c r="M7214" s="154" t="str">
        <f t="shared" si="545"/>
        <v>High_Medium_Low_Upgraded_Acidification Potential (AP) - kg SO2 eq_ClearCove SCP; wastewater treatment unit; at updated plant - US_Without Amendment_Windrow</v>
      </c>
    </row>
    <row r="7215" spans="1:13" s="120" customFormat="1" x14ac:dyDescent="0.25">
      <c r="A7215" s="119"/>
      <c r="B7215" s="138" t="str">
        <f t="shared" si="550"/>
        <v>Windrow</v>
      </c>
      <c r="C7215" s="138" t="str">
        <f t="shared" si="546"/>
        <v>Without Amendment</v>
      </c>
      <c r="D7215" s="138" t="str">
        <f t="shared" si="549"/>
        <v>Medium_Low</v>
      </c>
      <c r="E7215" s="138" t="str">
        <f t="shared" si="547"/>
        <v>High</v>
      </c>
      <c r="F7215" s="138" t="str">
        <f t="shared" si="551"/>
        <v>Upgraded</v>
      </c>
      <c r="G7215" s="153"/>
      <c r="H7215" s="210">
        <v>8.0000000000000004E-4</v>
      </c>
      <c r="I7215" s="160" t="s">
        <v>148</v>
      </c>
      <c r="J7215" s="211">
        <v>4.0354700000000002E-5</v>
      </c>
      <c r="K7215" s="160" t="s">
        <v>24</v>
      </c>
      <c r="L7215" s="154" t="str">
        <f>IF(OpenLCAbasic!K7215="CTUh", "Fill in Manually",IF(OR(K7215="Unit", K7215=""), "", INDEX(LookUps!$E$5:$E$12, MATCH(OpenLCAbasic!K7215,LookUps!$D$5:$D$12,0))))</f>
        <v>Acidification Potential (AP) - kg SO2 eq</v>
      </c>
      <c r="M7215" s="154" t="str">
        <f t="shared" si="545"/>
        <v>High_Medium_Low_Upgraded_Acidification Potential (AP) - kg SO2 eq_Control Building; at upgraded wastewater treatment plant - US_Without Amendment_Windrow</v>
      </c>
    </row>
    <row r="7216" spans="1:13" s="120" customFormat="1" x14ac:dyDescent="0.25">
      <c r="A7216" s="119"/>
      <c r="B7216" s="138" t="str">
        <f t="shared" si="550"/>
        <v>Windrow</v>
      </c>
      <c r="C7216" s="138" t="str">
        <f t="shared" si="546"/>
        <v>Without Amendment</v>
      </c>
      <c r="D7216" s="138" t="str">
        <f t="shared" si="549"/>
        <v>Medium_Low</v>
      </c>
      <c r="E7216" s="138" t="str">
        <f t="shared" si="547"/>
        <v>High</v>
      </c>
      <c r="F7216" s="138" t="str">
        <f t="shared" si="551"/>
        <v>Upgraded</v>
      </c>
      <c r="G7216" s="153"/>
      <c r="H7216" s="210">
        <v>-5.6599999999999998E-2</v>
      </c>
      <c r="I7216" s="160" t="s">
        <v>149</v>
      </c>
      <c r="J7216" s="160">
        <v>-2.7799999999999999E-3</v>
      </c>
      <c r="K7216" s="160" t="s">
        <v>24</v>
      </c>
      <c r="L7216" s="154" t="str">
        <f>IF(OpenLCAbasic!K7216="CTUh", "Fill in Manually",IF(OR(K7216="Unit", K7216=""), "", INDEX(LookUps!$E$5:$E$12, MATCH(OpenLCAbasic!K7216,LookUps!$D$5:$D$12,0))))</f>
        <v>Acidification Potential (AP) - kg SO2 eq</v>
      </c>
      <c r="M7216" s="154" t="str">
        <f t="shared" si="545"/>
        <v>High_Medium_Low_Upgraded_Acidification Potential (AP) - kg SO2 eq_Anaerobic Digestion; wastewater treatment unit; at updated plant - US_Without Amendment_Windrow</v>
      </c>
    </row>
    <row r="7217" spans="1:13" s="120" customFormat="1" x14ac:dyDescent="0.25">
      <c r="A7217" s="119"/>
      <c r="B7217" s="138" t="str">
        <f t="shared" si="550"/>
        <v/>
      </c>
      <c r="C7217" s="138" t="str">
        <f t="shared" si="546"/>
        <v/>
      </c>
      <c r="D7217" s="138" t="str">
        <f t="shared" si="549"/>
        <v/>
      </c>
      <c r="E7217" s="138" t="str">
        <f t="shared" si="547"/>
        <v/>
      </c>
      <c r="F7217" s="138" t="str">
        <f t="shared" si="551"/>
        <v/>
      </c>
      <c r="G7217" s="153" t="s">
        <v>51</v>
      </c>
      <c r="H7217" s="160"/>
      <c r="I7217" s="160" t="s">
        <v>47</v>
      </c>
      <c r="J7217" s="160" t="s">
        <v>52</v>
      </c>
      <c r="K7217" s="160" t="s">
        <v>27</v>
      </c>
      <c r="L7217" s="154" t="str">
        <f>IF(OpenLCAbasic!K7217="CTUh", "Fill in Manually",IF(OR(K7217="Unit", K7217=""), "", INDEX(LookUps!$E$5:$E$12, MATCH(OpenLCAbasic!K7217,LookUps!$D$5:$D$12,0))))</f>
        <v/>
      </c>
      <c r="M7217" s="154" t="str">
        <f t="shared" si="545"/>
        <v>____Process__</v>
      </c>
    </row>
    <row r="7218" spans="1:13" s="120" customFormat="1" x14ac:dyDescent="0.25">
      <c r="A7218" s="119"/>
      <c r="B7218" s="138" t="str">
        <f t="shared" si="550"/>
        <v>Windrow</v>
      </c>
      <c r="C7218" s="138" t="str">
        <f t="shared" si="546"/>
        <v>Without Amendment</v>
      </c>
      <c r="D7218" s="138" t="str">
        <f t="shared" si="549"/>
        <v>Medium_Low</v>
      </c>
      <c r="E7218" s="138" t="str">
        <f t="shared" si="547"/>
        <v>High</v>
      </c>
      <c r="F7218" s="138" t="str">
        <f t="shared" si="551"/>
        <v>Upgraded</v>
      </c>
      <c r="G7218" s="153"/>
      <c r="H7218" s="210">
        <v>0.33400000000000002</v>
      </c>
      <c r="I7218" s="160" t="s">
        <v>167</v>
      </c>
      <c r="J7218" s="160">
        <v>4.2789599999999997</v>
      </c>
      <c r="K7218" s="160" t="s">
        <v>15</v>
      </c>
      <c r="L7218" s="154" t="str">
        <f>IF(OpenLCAbasic!K7218="CTUh", "Fill in Manually",IF(OR(K7218="Unit", K7218=""), "", INDEX(LookUps!$E$5:$E$12, MATCH(OpenLCAbasic!K7218,LookUps!$D$5:$D$12,0))))</f>
        <v>Cumulative Energy Demand (CED) - MJ</v>
      </c>
      <c r="M7218" s="154" t="str">
        <f t="shared" si="545"/>
        <v>High_Medium_Low_Upgraded_Cumulative Energy Demand (CED) - MJ_Waste Receiving and Holding; wastewater treatment unit; at updated plant - US_Without Amendment_Windrow</v>
      </c>
    </row>
    <row r="7219" spans="1:13" s="120" customFormat="1" x14ac:dyDescent="0.25">
      <c r="A7219" s="119"/>
      <c r="B7219" s="138" t="str">
        <f t="shared" si="550"/>
        <v>Windrow</v>
      </c>
      <c r="C7219" s="138" t="str">
        <f t="shared" si="546"/>
        <v>Without Amendment</v>
      </c>
      <c r="D7219" s="138" t="str">
        <f t="shared" si="549"/>
        <v>Medium_Low</v>
      </c>
      <c r="E7219" s="138" t="str">
        <f t="shared" si="547"/>
        <v>High</v>
      </c>
      <c r="F7219" s="138" t="str">
        <f t="shared" si="551"/>
        <v>Upgraded</v>
      </c>
      <c r="G7219" s="153"/>
      <c r="H7219" s="210">
        <v>0.27579999999999999</v>
      </c>
      <c r="I7219" s="160" t="s">
        <v>55</v>
      </c>
      <c r="J7219" s="160">
        <v>3.5330499999999998</v>
      </c>
      <c r="K7219" s="160" t="s">
        <v>15</v>
      </c>
      <c r="L7219" s="154" t="str">
        <f>IF(OpenLCAbasic!K7219="CTUh", "Fill in Manually",IF(OR(K7219="Unit", K7219=""), "", INDEX(LookUps!$E$5:$E$12, MATCH(OpenLCAbasic!K7219,LookUps!$D$5:$D$12,0))))</f>
        <v>Cumulative Energy Demand (CED) - MJ</v>
      </c>
      <c r="M7219" s="154" t="str">
        <f t="shared" si="545"/>
        <v>High_Medium_Low_Upgraded_Cumulative Energy Demand (CED) - MJ_Aeration Tanks; wastewater treatment unit; at updated plant - US_Without Amendment_Windrow</v>
      </c>
    </row>
    <row r="7220" spans="1:13" s="120" customFormat="1" x14ac:dyDescent="0.25">
      <c r="A7220" s="119"/>
      <c r="B7220" s="138" t="str">
        <f t="shared" si="550"/>
        <v>Windrow</v>
      </c>
      <c r="C7220" s="138" t="str">
        <f t="shared" si="546"/>
        <v>Without Amendment</v>
      </c>
      <c r="D7220" s="138" t="str">
        <f t="shared" si="549"/>
        <v>Medium_Low</v>
      </c>
      <c r="E7220" s="138" t="str">
        <f t="shared" si="547"/>
        <v>High</v>
      </c>
      <c r="F7220" s="138" t="str">
        <f t="shared" si="551"/>
        <v>Upgraded</v>
      </c>
      <c r="G7220" s="153"/>
      <c r="H7220" s="210">
        <v>9.0800000000000006E-2</v>
      </c>
      <c r="I7220" s="160" t="s">
        <v>54</v>
      </c>
      <c r="J7220" s="160">
        <v>1.16289</v>
      </c>
      <c r="K7220" s="160" t="s">
        <v>15</v>
      </c>
      <c r="L7220" s="154" t="str">
        <f>IF(OpenLCAbasic!K7220="CTUh", "Fill in Manually",IF(OR(K7220="Unit", K7220=""), "", INDEX(LookUps!$E$5:$E$12, MATCH(OpenLCAbasic!K7220,LookUps!$D$5:$D$12,0))))</f>
        <v>Cumulative Energy Demand (CED) - MJ</v>
      </c>
      <c r="M7220" s="154" t="str">
        <f t="shared" si="545"/>
        <v>High_Medium_Low_Upgraded_Cumulative Energy Demand (CED) - MJ_Clear Cove Primary Clarification; wastewater treatment unit; at updated plant - US_Without Amendment_Windrow</v>
      </c>
    </row>
    <row r="7221" spans="1:13" s="120" customFormat="1" x14ac:dyDescent="0.25">
      <c r="A7221" s="119"/>
      <c r="B7221" s="138" t="str">
        <f t="shared" si="550"/>
        <v>Windrow</v>
      </c>
      <c r="C7221" s="138" t="str">
        <f t="shared" si="546"/>
        <v>Without Amendment</v>
      </c>
      <c r="D7221" s="138" t="str">
        <f t="shared" si="549"/>
        <v>Medium_Low</v>
      </c>
      <c r="E7221" s="138" t="str">
        <f t="shared" si="547"/>
        <v>High</v>
      </c>
      <c r="F7221" s="138" t="str">
        <f t="shared" si="551"/>
        <v>Upgraded</v>
      </c>
      <c r="G7221" s="153"/>
      <c r="H7221" s="210">
        <v>6.9199999999999998E-2</v>
      </c>
      <c r="I7221" s="160" t="s">
        <v>58</v>
      </c>
      <c r="J7221" s="160">
        <v>0.88705000000000001</v>
      </c>
      <c r="K7221" s="160" t="s">
        <v>15</v>
      </c>
      <c r="L7221" s="154" t="str">
        <f>IF(OpenLCAbasic!K7221="CTUh", "Fill in Manually",IF(OR(K7221="Unit", K7221=""), "", INDEX(LookUps!$E$5:$E$12, MATCH(OpenLCAbasic!K7221,LookUps!$D$5:$D$12,0))))</f>
        <v>Cumulative Energy Demand (CED) - MJ</v>
      </c>
      <c r="M7221" s="154" t="str">
        <f t="shared" si="545"/>
        <v>High_Medium_Low_Upgraded_Cumulative Energy Demand (CED) - MJ_Pre-Anoxic &amp; Swing tank; wastewater treatment unit; at updated plant - US_Without Amendment_Windrow</v>
      </c>
    </row>
    <row r="7222" spans="1:13" s="120" customFormat="1" x14ac:dyDescent="0.25">
      <c r="A7222" s="119"/>
      <c r="B7222" s="138" t="str">
        <f t="shared" si="550"/>
        <v>Windrow</v>
      </c>
      <c r="C7222" s="138" t="str">
        <f t="shared" si="546"/>
        <v>Without Amendment</v>
      </c>
      <c r="D7222" s="138" t="str">
        <f t="shared" si="549"/>
        <v>Medium_Low</v>
      </c>
      <c r="E7222" s="138" t="str">
        <f t="shared" si="547"/>
        <v>High</v>
      </c>
      <c r="F7222" s="138" t="str">
        <f t="shared" si="551"/>
        <v>Upgraded</v>
      </c>
      <c r="G7222" s="153"/>
      <c r="H7222" s="210">
        <v>6.8900000000000003E-2</v>
      </c>
      <c r="I7222" s="160" t="s">
        <v>147</v>
      </c>
      <c r="J7222" s="160">
        <v>0.88297000000000003</v>
      </c>
      <c r="K7222" s="160" t="s">
        <v>15</v>
      </c>
      <c r="L7222" s="154" t="str">
        <f>IF(OpenLCAbasic!K7222="CTUh", "Fill in Manually",IF(OR(K7222="Unit", K7222=""), "", INDEX(LookUps!$E$5:$E$12, MATCH(OpenLCAbasic!K7222,LookUps!$D$5:$D$12,0))))</f>
        <v>Cumulative Energy Demand (CED) - MJ</v>
      </c>
      <c r="M7222" s="154" t="str">
        <f t="shared" si="545"/>
        <v>High_Medium_Low_Upgraded_Cumulative Energy Demand (CED) - MJ_Influent Pump Station; wastewater treatment unit; at updated plant - US_Without Amendment_Windrow</v>
      </c>
    </row>
    <row r="7223" spans="1:13" s="120" customFormat="1" x14ac:dyDescent="0.25">
      <c r="A7223" s="119"/>
      <c r="B7223" s="138" t="str">
        <f t="shared" si="550"/>
        <v>Windrow</v>
      </c>
      <c r="C7223" s="138" t="str">
        <f t="shared" si="546"/>
        <v>Without Amendment</v>
      </c>
      <c r="D7223" s="138" t="str">
        <f t="shared" si="549"/>
        <v>Medium_Low</v>
      </c>
      <c r="E7223" s="138" t="str">
        <f t="shared" si="547"/>
        <v>High</v>
      </c>
      <c r="F7223" s="138" t="str">
        <f t="shared" si="551"/>
        <v>Upgraded</v>
      </c>
      <c r="G7223" s="153"/>
      <c r="H7223" s="210">
        <v>5.4399999999999997E-2</v>
      </c>
      <c r="I7223" s="160" t="s">
        <v>53</v>
      </c>
      <c r="J7223" s="160">
        <v>0.69645000000000001</v>
      </c>
      <c r="K7223" s="160" t="s">
        <v>15</v>
      </c>
      <c r="L7223" s="154" t="str">
        <f>IF(OpenLCAbasic!K7223="CTUh", "Fill in Manually",IF(OR(K7223="Unit", K7223=""), "", INDEX(LookUps!$E$5:$E$12, MATCH(OpenLCAbasic!K7223,LookUps!$D$5:$D$12,0))))</f>
        <v>Cumulative Energy Demand (CED) - MJ</v>
      </c>
      <c r="M7223" s="154" t="str">
        <f t="shared" si="545"/>
        <v>High_Medium_Low_Upgraded_Cumulative Energy Demand (CED) - MJ_Wet Well and Sump Station; wastewater treatment unit; at updated plant - US_Without Amendment_Windrow</v>
      </c>
    </row>
    <row r="7224" spans="1:13" s="120" customFormat="1" x14ac:dyDescent="0.25">
      <c r="A7224" s="119"/>
      <c r="B7224" s="138" t="str">
        <f t="shared" si="550"/>
        <v>Windrow</v>
      </c>
      <c r="C7224" s="138" t="str">
        <f t="shared" si="546"/>
        <v>Without Amendment</v>
      </c>
      <c r="D7224" s="138" t="str">
        <f t="shared" si="549"/>
        <v>Medium_Low</v>
      </c>
      <c r="E7224" s="138" t="str">
        <f t="shared" si="547"/>
        <v>High</v>
      </c>
      <c r="F7224" s="138" t="str">
        <f t="shared" si="551"/>
        <v>Upgraded</v>
      </c>
      <c r="G7224" s="153"/>
      <c r="H7224" s="210">
        <v>3.5099999999999999E-2</v>
      </c>
      <c r="I7224" s="160" t="s">
        <v>60</v>
      </c>
      <c r="J7224" s="160">
        <v>0.44939000000000001</v>
      </c>
      <c r="K7224" s="160" t="s">
        <v>15</v>
      </c>
      <c r="L7224" s="154" t="str">
        <f>IF(OpenLCAbasic!K7224="CTUh", "Fill in Manually",IF(OR(K7224="Unit", K7224=""), "", INDEX(LookUps!$E$5:$E$12, MATCH(OpenLCAbasic!K7224,LookUps!$D$5:$D$12,0))))</f>
        <v>Cumulative Energy Demand (CED) - MJ</v>
      </c>
      <c r="M7224" s="154" t="str">
        <f t="shared" si="545"/>
        <v>High_Medium_Low_Upgraded_Cumulative Energy Demand (CED) - MJ_Belt filter press; wastewater treatment unit; at updated plant - US_Without Amendment_Windrow</v>
      </c>
    </row>
    <row r="7225" spans="1:13" s="120" customFormat="1" x14ac:dyDescent="0.25">
      <c r="A7225" s="119"/>
      <c r="B7225" s="138" t="str">
        <f t="shared" si="550"/>
        <v>Windrow</v>
      </c>
      <c r="C7225" s="138" t="str">
        <f t="shared" si="546"/>
        <v>Without Amendment</v>
      </c>
      <c r="D7225" s="138" t="str">
        <f t="shared" si="549"/>
        <v>Medium_Low</v>
      </c>
      <c r="E7225" s="138" t="str">
        <f t="shared" si="547"/>
        <v>High</v>
      </c>
      <c r="F7225" s="138" t="str">
        <f t="shared" si="551"/>
        <v>Upgraded</v>
      </c>
      <c r="G7225" s="153"/>
      <c r="H7225" s="210">
        <v>2.6100000000000002E-2</v>
      </c>
      <c r="I7225" s="160" t="s">
        <v>57</v>
      </c>
      <c r="J7225" s="160">
        <v>0.33404</v>
      </c>
      <c r="K7225" s="160" t="s">
        <v>15</v>
      </c>
      <c r="L7225" s="154" t="str">
        <f>IF(OpenLCAbasic!K7225="CTUh", "Fill in Manually",IF(OR(K7225="Unit", K7225=""), "", INDEX(LookUps!$E$5:$E$12, MATCH(OpenLCAbasic!K7225,LookUps!$D$5:$D$12,0))))</f>
        <v>Cumulative Energy Demand (CED) - MJ</v>
      </c>
      <c r="M7225" s="154" t="str">
        <f t="shared" si="545"/>
        <v>High_Medium_Low_Upgraded_Cumulative Energy Demand (CED) - MJ_Gravity Belt Thickener; wastewater treatment unit; at updated plant - US_Without Amendment_Windrow</v>
      </c>
    </row>
    <row r="7226" spans="1:13" s="120" customFormat="1" x14ac:dyDescent="0.25">
      <c r="A7226" s="119"/>
      <c r="B7226" s="138" t="str">
        <f t="shared" si="550"/>
        <v>Windrow</v>
      </c>
      <c r="C7226" s="138" t="str">
        <f t="shared" si="546"/>
        <v>Without Amendment</v>
      </c>
      <c r="D7226" s="138" t="str">
        <f t="shared" si="549"/>
        <v>Medium_Low</v>
      </c>
      <c r="E7226" s="138" t="str">
        <f t="shared" si="547"/>
        <v>High</v>
      </c>
      <c r="F7226" s="138" t="str">
        <f t="shared" si="551"/>
        <v>Upgraded</v>
      </c>
      <c r="G7226" s="153"/>
      <c r="H7226" s="210">
        <v>2.1399999999999999E-2</v>
      </c>
      <c r="I7226" s="160" t="s">
        <v>149</v>
      </c>
      <c r="J7226" s="160">
        <v>0.27453</v>
      </c>
      <c r="K7226" s="160" t="s">
        <v>15</v>
      </c>
      <c r="L7226" s="154" t="str">
        <f>IF(OpenLCAbasic!K7226="CTUh", "Fill in Manually",IF(OR(K7226="Unit", K7226=""), "", INDEX(LookUps!$E$5:$E$12, MATCH(OpenLCAbasic!K7226,LookUps!$D$5:$D$12,0))))</f>
        <v>Cumulative Energy Demand (CED) - MJ</v>
      </c>
      <c r="M7226" s="154" t="str">
        <f t="shared" si="545"/>
        <v>High_Medium_Low_Upgraded_Cumulative Energy Demand (CED) - MJ_Anaerobic Digestion; wastewater treatment unit; at updated plant - US_Without Amendment_Windrow</v>
      </c>
    </row>
    <row r="7227" spans="1:13" s="120" customFormat="1" x14ac:dyDescent="0.25">
      <c r="A7227" s="119"/>
      <c r="B7227" s="138" t="str">
        <f t="shared" si="550"/>
        <v>Windrow</v>
      </c>
      <c r="C7227" s="138" t="str">
        <f t="shared" si="546"/>
        <v>Without Amendment</v>
      </c>
      <c r="D7227" s="138" t="str">
        <f t="shared" si="549"/>
        <v>Medium_Low</v>
      </c>
      <c r="E7227" s="138" t="str">
        <f t="shared" si="547"/>
        <v>High</v>
      </c>
      <c r="F7227" s="138" t="str">
        <f t="shared" si="551"/>
        <v>Upgraded</v>
      </c>
      <c r="G7227" s="153"/>
      <c r="H7227" s="210">
        <v>0.02</v>
      </c>
      <c r="I7227" s="160" t="s">
        <v>128</v>
      </c>
      <c r="J7227" s="160">
        <v>0.25606000000000001</v>
      </c>
      <c r="K7227" s="160" t="s">
        <v>15</v>
      </c>
      <c r="L7227" s="154" t="str">
        <f>IF(OpenLCAbasic!K7227="CTUh", "Fill in Manually",IF(OR(K7227="Unit", K7227=""), "", INDEX(LookUps!$E$5:$E$12, MATCH(OpenLCAbasic!K7227,LookUps!$D$5:$D$12,0))))</f>
        <v>Cumulative Energy Demand (CED) - MJ</v>
      </c>
      <c r="M7227" s="154" t="str">
        <f t="shared" ref="M7227:M7290" si="552">CONCATENATE(E7227,"_",D7227,"_",F7227,"_",L7227, "_",I7227,"_", C7227,"_", B7227)</f>
        <v>High_Medium_Low_Upgraded_Cumulative Energy Demand (CED) - MJ_Wastewater collection; operation and infrastructure; m3 wastewater_Without Amendment_Windrow</v>
      </c>
    </row>
    <row r="7228" spans="1:13" s="120" customFormat="1" x14ac:dyDescent="0.25">
      <c r="A7228" s="119"/>
      <c r="B7228" s="138" t="str">
        <f t="shared" si="550"/>
        <v>Windrow</v>
      </c>
      <c r="C7228" s="138" t="str">
        <f t="shared" si="546"/>
        <v>Without Amendment</v>
      </c>
      <c r="D7228" s="138" t="str">
        <f t="shared" si="549"/>
        <v>Medium_Low</v>
      </c>
      <c r="E7228" s="138" t="str">
        <f t="shared" si="547"/>
        <v>High</v>
      </c>
      <c r="F7228" s="138" t="str">
        <f t="shared" si="551"/>
        <v>Upgraded</v>
      </c>
      <c r="G7228" s="153"/>
      <c r="H7228" s="210">
        <v>1.14E-2</v>
      </c>
      <c r="I7228" s="160" t="s">
        <v>148</v>
      </c>
      <c r="J7228" s="160">
        <v>0.14599000000000001</v>
      </c>
      <c r="K7228" s="160" t="s">
        <v>15</v>
      </c>
      <c r="L7228" s="154" t="str">
        <f>IF(OpenLCAbasic!K7228="CTUh", "Fill in Manually",IF(OR(K7228="Unit", K7228=""), "", INDEX(LookUps!$E$5:$E$12, MATCH(OpenLCAbasic!K7228,LookUps!$D$5:$D$12,0))))</f>
        <v>Cumulative Energy Demand (CED) - MJ</v>
      </c>
      <c r="M7228" s="154" t="str">
        <f t="shared" si="552"/>
        <v>High_Medium_Low_Upgraded_Cumulative Energy Demand (CED) - MJ_Control Building; at upgraded wastewater treatment plant - US_Without Amendment_Windrow</v>
      </c>
    </row>
    <row r="7229" spans="1:13" s="120" customFormat="1" x14ac:dyDescent="0.25">
      <c r="A7229" s="119"/>
      <c r="B7229" s="138" t="str">
        <f t="shared" si="550"/>
        <v>Windrow</v>
      </c>
      <c r="C7229" s="138" t="str">
        <f t="shared" si="546"/>
        <v>Without Amendment</v>
      </c>
      <c r="D7229" s="138" t="str">
        <f t="shared" si="549"/>
        <v>Medium_Low</v>
      </c>
      <c r="E7229" s="138" t="str">
        <f t="shared" si="547"/>
        <v>High</v>
      </c>
      <c r="F7229" s="138" t="str">
        <f t="shared" si="551"/>
        <v>Upgraded</v>
      </c>
      <c r="G7229" s="153"/>
      <c r="H7229" s="210">
        <v>1.04E-2</v>
      </c>
      <c r="I7229" s="160" t="s">
        <v>48</v>
      </c>
      <c r="J7229" s="160">
        <v>0.13321</v>
      </c>
      <c r="K7229" s="160" t="s">
        <v>15</v>
      </c>
      <c r="L7229" s="154" t="str">
        <f>IF(OpenLCAbasic!K7229="CTUh", "Fill in Manually",IF(OR(K7229="Unit", K7229=""), "", INDEX(LookUps!$E$5:$E$12, MATCH(OpenLCAbasic!K7229,LookUps!$D$5:$D$12,0))))</f>
        <v>Cumulative Energy Demand (CED) - MJ</v>
      </c>
      <c r="M7229" s="154" t="str">
        <f t="shared" si="552"/>
        <v>High_Medium_Low_Upgraded_Cumulative Energy Demand (CED) - MJ_Effluent release; wastewater treatment unit; at surface water; m3 wastewater - US_Without Amendment_Windrow</v>
      </c>
    </row>
    <row r="7230" spans="1:13" s="120" customFormat="1" x14ac:dyDescent="0.25">
      <c r="A7230" s="119"/>
      <c r="B7230" s="138" t="str">
        <f t="shared" si="550"/>
        <v>Windrow</v>
      </c>
      <c r="C7230" s="138" t="str">
        <f t="shared" si="546"/>
        <v>Without Amendment</v>
      </c>
      <c r="D7230" s="138" t="str">
        <f t="shared" si="549"/>
        <v>Medium_Low</v>
      </c>
      <c r="E7230" s="138" t="str">
        <f t="shared" si="547"/>
        <v>High</v>
      </c>
      <c r="F7230" s="138" t="str">
        <f t="shared" si="551"/>
        <v>Upgraded</v>
      </c>
      <c r="G7230" s="153"/>
      <c r="H7230" s="210">
        <v>8.3000000000000001E-3</v>
      </c>
      <c r="I7230" s="160" t="s">
        <v>59</v>
      </c>
      <c r="J7230" s="160">
        <v>0.10638</v>
      </c>
      <c r="K7230" s="160" t="s">
        <v>15</v>
      </c>
      <c r="L7230" s="154" t="str">
        <f>IF(OpenLCAbasic!K7230="CTUh", "Fill in Manually",IF(OR(K7230="Unit", K7230=""), "", INDEX(LookUps!$E$5:$E$12, MATCH(OpenLCAbasic!K7230,LookUps!$D$5:$D$12,0))))</f>
        <v>Cumulative Energy Demand (CED) - MJ</v>
      </c>
      <c r="M7230" s="154" t="str">
        <f t="shared" si="552"/>
        <v>High_Medium_Low_Upgraded_Cumulative Energy Demand (CED) - MJ_Blend Tank; wastewater treatment unit; at updated plant - US_Without Amendment_Windrow</v>
      </c>
    </row>
    <row r="7231" spans="1:13" s="120" customFormat="1" x14ac:dyDescent="0.25">
      <c r="A7231" s="119"/>
      <c r="B7231" s="138" t="str">
        <f t="shared" si="550"/>
        <v>Windrow</v>
      </c>
      <c r="C7231" s="138" t="str">
        <f t="shared" si="546"/>
        <v>Without Amendment</v>
      </c>
      <c r="D7231" s="138" t="str">
        <f t="shared" si="549"/>
        <v>Medium_Low</v>
      </c>
      <c r="E7231" s="138" t="str">
        <f t="shared" si="547"/>
        <v>High</v>
      </c>
      <c r="F7231" s="138" t="str">
        <f t="shared" si="551"/>
        <v>Upgraded</v>
      </c>
      <c r="G7231" s="153"/>
      <c r="H7231" s="210">
        <v>4.0000000000000001E-3</v>
      </c>
      <c r="I7231" s="160" t="s">
        <v>168</v>
      </c>
      <c r="J7231" s="160">
        <v>5.0930000000000003E-2</v>
      </c>
      <c r="K7231" s="160" t="s">
        <v>15</v>
      </c>
      <c r="L7231" s="154" t="str">
        <f>IF(OpenLCAbasic!K7231="CTUh", "Fill in Manually",IF(OR(K7231="Unit", K7231=""), "", INDEX(LookUps!$E$5:$E$12, MATCH(OpenLCAbasic!K7231,LookUps!$D$5:$D$12,0))))</f>
        <v>Cumulative Energy Demand (CED) - MJ</v>
      </c>
      <c r="M7231" s="154" t="str">
        <f t="shared" si="552"/>
        <v>High_Medium_Low_Upgraded_Cumulative Energy Demand (CED) - MJ_ClearCove SCP; wastewater treatment unit; at updated plant - US_Without Amendment_Windrow</v>
      </c>
    </row>
    <row r="7232" spans="1:13" s="120" customFormat="1" x14ac:dyDescent="0.25">
      <c r="A7232" s="119"/>
      <c r="B7232" s="138" t="str">
        <f t="shared" si="550"/>
        <v>Windrow</v>
      </c>
      <c r="C7232" s="138" t="str">
        <f t="shared" si="546"/>
        <v>Without Amendment</v>
      </c>
      <c r="D7232" s="138" t="str">
        <f t="shared" si="549"/>
        <v>Medium_Low</v>
      </c>
      <c r="E7232" s="138" t="str">
        <f t="shared" si="547"/>
        <v>High</v>
      </c>
      <c r="F7232" s="138" t="str">
        <f t="shared" si="551"/>
        <v>Upgraded</v>
      </c>
      <c r="G7232" s="153"/>
      <c r="H7232" s="210">
        <v>2.3E-3</v>
      </c>
      <c r="I7232" s="160" t="s">
        <v>271</v>
      </c>
      <c r="J7232" s="160">
        <v>2.9559999999999999E-2</v>
      </c>
      <c r="K7232" s="160" t="s">
        <v>15</v>
      </c>
      <c r="L7232" s="154" t="str">
        <f>IF(OpenLCAbasic!K7232="CTUh", "Fill in Manually",IF(OR(K7232="Unit", K7232=""), "", INDEX(LookUps!$E$5:$E$12, MATCH(OpenLCAbasic!K7232,LookUps!$D$5:$D$12,0))))</f>
        <v>Cumulative Energy Demand (CED) - MJ</v>
      </c>
      <c r="M7232" s="154" t="str">
        <f t="shared" si="552"/>
        <v>High_Medium_Low_Upgraded_Cumulative Energy Demand (CED) - MJ_Biosolids composting; windrow composting; wastewater treatment unit; at updated plant - US_Without Amendment_Windrow</v>
      </c>
    </row>
    <row r="7233" spans="1:13" s="120" customFormat="1" x14ac:dyDescent="0.25">
      <c r="A7233" s="119"/>
      <c r="B7233" s="138" t="str">
        <f t="shared" si="550"/>
        <v>Windrow</v>
      </c>
      <c r="C7233" s="138" t="str">
        <f t="shared" ref="C7233:C7296" si="553">IF(ISNUMBER($J7233),"Without Amendment","")</f>
        <v>Without Amendment</v>
      </c>
      <c r="D7233" s="138" t="str">
        <f t="shared" si="549"/>
        <v>Medium_Low</v>
      </c>
      <c r="E7233" s="138" t="str">
        <f t="shared" si="547"/>
        <v>High</v>
      </c>
      <c r="F7233" s="138" t="str">
        <f t="shared" si="551"/>
        <v>Upgraded</v>
      </c>
      <c r="G7233" s="153"/>
      <c r="H7233" s="210">
        <v>-3.2099999999999997E-2</v>
      </c>
      <c r="I7233" s="160" t="s">
        <v>62</v>
      </c>
      <c r="J7233" s="160">
        <v>-0.41067999999999999</v>
      </c>
      <c r="K7233" s="160" t="s">
        <v>15</v>
      </c>
      <c r="L7233" s="154" t="str">
        <f>IF(OpenLCAbasic!K7233="CTUh", "Fill in Manually",IF(OR(K7233="Unit", K7233=""), "", INDEX(LookUps!$E$5:$E$12, MATCH(OpenLCAbasic!K7233,LookUps!$D$5:$D$12,0))))</f>
        <v>Cumulative Energy Demand (CED) - MJ</v>
      </c>
      <c r="M7233" s="154" t="str">
        <f t="shared" si="552"/>
        <v>High_Medium_Low_Upgraded_Cumulative Energy Demand (CED) - MJ_Land application of compost; wastewater treatment unit; at updated plant - US_Without Amendment_Windrow</v>
      </c>
    </row>
    <row r="7234" spans="1:13" s="120" customFormat="1" x14ac:dyDescent="0.25">
      <c r="A7234" s="119"/>
      <c r="B7234" s="138" t="str">
        <f t="shared" si="550"/>
        <v/>
      </c>
      <c r="C7234" s="138" t="str">
        <f t="shared" si="553"/>
        <v/>
      </c>
      <c r="D7234" s="138" t="str">
        <f t="shared" si="549"/>
        <v/>
      </c>
      <c r="E7234" s="138" t="str">
        <f t="shared" si="547"/>
        <v/>
      </c>
      <c r="F7234" s="138" t="str">
        <f t="shared" si="551"/>
        <v/>
      </c>
      <c r="G7234" s="153" t="s">
        <v>51</v>
      </c>
      <c r="H7234" s="160"/>
      <c r="I7234" s="160" t="s">
        <v>47</v>
      </c>
      <c r="J7234" s="160" t="s">
        <v>52</v>
      </c>
      <c r="K7234" s="160" t="s">
        <v>27</v>
      </c>
      <c r="L7234" s="154" t="str">
        <f>IF(OpenLCAbasic!K7234="CTUh", "Fill in Manually",IF(OR(K7234="Unit", K7234=""), "", INDEX(LookUps!$E$5:$E$12, MATCH(OpenLCAbasic!K7234,LookUps!$D$5:$D$12,0))))</f>
        <v/>
      </c>
      <c r="M7234" s="154" t="str">
        <f t="shared" si="552"/>
        <v>____Process__</v>
      </c>
    </row>
    <row r="7235" spans="1:13" s="120" customFormat="1" x14ac:dyDescent="0.25">
      <c r="A7235" s="119"/>
      <c r="B7235" s="138" t="str">
        <f t="shared" si="550"/>
        <v>Windrow</v>
      </c>
      <c r="C7235" s="138" t="str">
        <f t="shared" si="553"/>
        <v>Without Amendment</v>
      </c>
      <c r="D7235" s="138" t="str">
        <f t="shared" si="549"/>
        <v>Medium_Low</v>
      </c>
      <c r="E7235" s="138" t="str">
        <f t="shared" si="547"/>
        <v>High</v>
      </c>
      <c r="F7235" s="138" t="str">
        <f t="shared" si="551"/>
        <v>Upgraded</v>
      </c>
      <c r="G7235" s="153"/>
      <c r="H7235" s="210">
        <v>0.73480000000000001</v>
      </c>
      <c r="I7235" s="160" t="s">
        <v>48</v>
      </c>
      <c r="J7235" s="160">
        <v>1.1610000000000001E-2</v>
      </c>
      <c r="K7235" s="160" t="s">
        <v>13</v>
      </c>
      <c r="L7235" s="154" t="str">
        <f>IF(OpenLCAbasic!K7235="CTUh", "Fill in Manually",IF(OR(K7235="Unit", K7235=""), "", INDEX(LookUps!$E$5:$E$12, MATCH(OpenLCAbasic!K7235,LookUps!$D$5:$D$12,0))))</f>
        <v>Eutrophication Potential (EP) - kg N eq</v>
      </c>
      <c r="M7235" s="154" t="str">
        <f t="shared" si="552"/>
        <v>High_Medium_Low_Upgraded_Eutrophication Potential (EP) - kg N eq_Effluent release; wastewater treatment unit; at surface water; m3 wastewater - US_Without Amendment_Windrow</v>
      </c>
    </row>
    <row r="7236" spans="1:13" s="120" customFormat="1" x14ac:dyDescent="0.25">
      <c r="A7236" s="119"/>
      <c r="B7236" s="138" t="str">
        <f t="shared" si="550"/>
        <v>Windrow</v>
      </c>
      <c r="C7236" s="138" t="str">
        <f t="shared" si="553"/>
        <v>Without Amendment</v>
      </c>
      <c r="D7236" s="138" t="str">
        <f t="shared" si="549"/>
        <v>Medium_Low</v>
      </c>
      <c r="E7236" s="138" t="str">
        <f t="shared" si="547"/>
        <v>High</v>
      </c>
      <c r="F7236" s="138" t="str">
        <f t="shared" si="551"/>
        <v>Upgraded</v>
      </c>
      <c r="G7236" s="153"/>
      <c r="H7236" s="210">
        <v>0.12230000000000001</v>
      </c>
      <c r="I7236" s="160" t="s">
        <v>62</v>
      </c>
      <c r="J7236" s="160">
        <v>1.9300000000000001E-3</v>
      </c>
      <c r="K7236" s="160" t="s">
        <v>13</v>
      </c>
      <c r="L7236" s="154" t="str">
        <f>IF(OpenLCAbasic!K7236="CTUh", "Fill in Manually",IF(OR(K7236="Unit", K7236=""), "", INDEX(LookUps!$E$5:$E$12, MATCH(OpenLCAbasic!K7236,LookUps!$D$5:$D$12,0))))</f>
        <v>Eutrophication Potential (EP) - kg N eq</v>
      </c>
      <c r="M7236" s="154" t="str">
        <f t="shared" si="552"/>
        <v>High_Medium_Low_Upgraded_Eutrophication Potential (EP) - kg N eq_Land application of compost; wastewater treatment unit; at updated plant - US_Without Amendment_Windrow</v>
      </c>
    </row>
    <row r="7237" spans="1:13" s="120" customFormat="1" x14ac:dyDescent="0.25">
      <c r="A7237" s="119"/>
      <c r="B7237" s="138" t="str">
        <f t="shared" si="550"/>
        <v>Windrow</v>
      </c>
      <c r="C7237" s="138" t="str">
        <f t="shared" si="553"/>
        <v>Without Amendment</v>
      </c>
      <c r="D7237" s="138" t="str">
        <f t="shared" si="549"/>
        <v>Medium_Low</v>
      </c>
      <c r="E7237" s="138" t="str">
        <f t="shared" si="547"/>
        <v>High</v>
      </c>
      <c r="F7237" s="138" t="str">
        <f t="shared" si="551"/>
        <v>Upgraded</v>
      </c>
      <c r="G7237" s="153"/>
      <c r="H7237" s="210">
        <v>4.24E-2</v>
      </c>
      <c r="I7237" s="160" t="s">
        <v>271</v>
      </c>
      <c r="J7237" s="160">
        <v>6.7000000000000002E-4</v>
      </c>
      <c r="K7237" s="160" t="s">
        <v>13</v>
      </c>
      <c r="L7237" s="154" t="str">
        <f>IF(OpenLCAbasic!K7237="CTUh", "Fill in Manually",IF(OR(K7237="Unit", K7237=""), "", INDEX(LookUps!$E$5:$E$12, MATCH(OpenLCAbasic!K7237,LookUps!$D$5:$D$12,0))))</f>
        <v>Eutrophication Potential (EP) - kg N eq</v>
      </c>
      <c r="M7237" s="154" t="str">
        <f t="shared" si="552"/>
        <v>High_Medium_Low_Upgraded_Eutrophication Potential (EP) - kg N eq_Biosolids composting; windrow composting; wastewater treatment unit; at updated plant - US_Without Amendment_Windrow</v>
      </c>
    </row>
    <row r="7238" spans="1:13" s="120" customFormat="1" x14ac:dyDescent="0.25">
      <c r="A7238" s="119"/>
      <c r="B7238" s="138" t="str">
        <f t="shared" si="550"/>
        <v>Windrow</v>
      </c>
      <c r="C7238" s="138" t="str">
        <f t="shared" si="553"/>
        <v>Without Amendment</v>
      </c>
      <c r="D7238" s="138" t="str">
        <f t="shared" si="549"/>
        <v>Medium_Low</v>
      </c>
      <c r="E7238" s="138" t="str">
        <f t="shared" si="547"/>
        <v>High</v>
      </c>
      <c r="F7238" s="138" t="str">
        <f t="shared" si="551"/>
        <v>Upgraded</v>
      </c>
      <c r="G7238" s="153"/>
      <c r="H7238" s="210">
        <v>3.4599999999999999E-2</v>
      </c>
      <c r="I7238" s="160" t="s">
        <v>55</v>
      </c>
      <c r="J7238" s="160">
        <v>5.5000000000000003E-4</v>
      </c>
      <c r="K7238" s="160" t="s">
        <v>13</v>
      </c>
      <c r="L7238" s="154" t="str">
        <f>IF(OpenLCAbasic!K7238="CTUh", "Fill in Manually",IF(OR(K7238="Unit", K7238=""), "", INDEX(LookUps!$E$5:$E$12, MATCH(OpenLCAbasic!K7238,LookUps!$D$5:$D$12,0))))</f>
        <v>Eutrophication Potential (EP) - kg N eq</v>
      </c>
      <c r="M7238" s="154" t="str">
        <f t="shared" si="552"/>
        <v>High_Medium_Low_Upgraded_Eutrophication Potential (EP) - kg N eq_Aeration Tanks; wastewater treatment unit; at updated plant - US_Without Amendment_Windrow</v>
      </c>
    </row>
    <row r="7239" spans="1:13" s="120" customFormat="1" x14ac:dyDescent="0.25">
      <c r="A7239" s="119"/>
      <c r="B7239" s="138" t="str">
        <f t="shared" si="550"/>
        <v>Windrow</v>
      </c>
      <c r="C7239" s="138" t="str">
        <f t="shared" si="553"/>
        <v>Without Amendment</v>
      </c>
      <c r="D7239" s="138" t="str">
        <f t="shared" si="549"/>
        <v>Medium_Low</v>
      </c>
      <c r="E7239" s="138" t="str">
        <f t="shared" si="547"/>
        <v>High</v>
      </c>
      <c r="F7239" s="138" t="str">
        <f t="shared" si="551"/>
        <v>Upgraded</v>
      </c>
      <c r="G7239" s="153"/>
      <c r="H7239" s="210">
        <v>1.5800000000000002E-2</v>
      </c>
      <c r="I7239" s="160" t="s">
        <v>147</v>
      </c>
      <c r="J7239" s="160">
        <v>2.5000000000000001E-4</v>
      </c>
      <c r="K7239" s="160" t="s">
        <v>13</v>
      </c>
      <c r="L7239" s="154" t="str">
        <f>IF(OpenLCAbasic!K7239="CTUh", "Fill in Manually",IF(OR(K7239="Unit", K7239=""), "", INDEX(LookUps!$E$5:$E$12, MATCH(OpenLCAbasic!K7239,LookUps!$D$5:$D$12,0))))</f>
        <v>Eutrophication Potential (EP) - kg N eq</v>
      </c>
      <c r="M7239" s="154" t="str">
        <f t="shared" si="552"/>
        <v>High_Medium_Low_Upgraded_Eutrophication Potential (EP) - kg N eq_Influent Pump Station; wastewater treatment unit; at updated plant - US_Without Amendment_Windrow</v>
      </c>
    </row>
    <row r="7240" spans="1:13" s="120" customFormat="1" x14ac:dyDescent="0.25">
      <c r="A7240" s="119"/>
      <c r="B7240" s="138" t="str">
        <f t="shared" si="550"/>
        <v>Windrow</v>
      </c>
      <c r="C7240" s="138" t="str">
        <f t="shared" si="553"/>
        <v>Without Amendment</v>
      </c>
      <c r="D7240" s="138" t="str">
        <f t="shared" si="549"/>
        <v>Medium_Low</v>
      </c>
      <c r="E7240" s="138" t="str">
        <f t="shared" si="547"/>
        <v>High</v>
      </c>
      <c r="F7240" s="138" t="str">
        <f t="shared" si="551"/>
        <v>Upgraded</v>
      </c>
      <c r="G7240" s="153"/>
      <c r="H7240" s="210">
        <v>1.2500000000000001E-2</v>
      </c>
      <c r="I7240" s="160" t="s">
        <v>54</v>
      </c>
      <c r="J7240" s="160">
        <v>2.0000000000000001E-4</v>
      </c>
      <c r="K7240" s="160" t="s">
        <v>13</v>
      </c>
      <c r="L7240" s="154" t="str">
        <f>IF(OpenLCAbasic!K7240="CTUh", "Fill in Manually",IF(OR(K7240="Unit", K7240=""), "", INDEX(LookUps!$E$5:$E$12, MATCH(OpenLCAbasic!K7240,LookUps!$D$5:$D$12,0))))</f>
        <v>Eutrophication Potential (EP) - kg N eq</v>
      </c>
      <c r="M7240" s="154" t="str">
        <f t="shared" si="552"/>
        <v>High_Medium_Low_Upgraded_Eutrophication Potential (EP) - kg N eq_Clear Cove Primary Clarification; wastewater treatment unit; at updated plant - US_Without Amendment_Windrow</v>
      </c>
    </row>
    <row r="7241" spans="1:13" s="120" customFormat="1" x14ac:dyDescent="0.25">
      <c r="A7241" s="119"/>
      <c r="B7241" s="138" t="str">
        <f t="shared" si="550"/>
        <v>Windrow</v>
      </c>
      <c r="C7241" s="138" t="str">
        <f t="shared" si="553"/>
        <v>Without Amendment</v>
      </c>
      <c r="D7241" s="138" t="str">
        <f t="shared" si="549"/>
        <v>Medium_Low</v>
      </c>
      <c r="E7241" s="138" t="str">
        <f t="shared" ref="E7241:E7304" si="554">IF(ISNUMBER($J7241),"High","")</f>
        <v>High</v>
      </c>
      <c r="F7241" s="138" t="str">
        <f t="shared" si="551"/>
        <v>Upgraded</v>
      </c>
      <c r="G7241" s="153"/>
      <c r="H7241" s="210">
        <v>1.21E-2</v>
      </c>
      <c r="I7241" s="160" t="s">
        <v>167</v>
      </c>
      <c r="J7241" s="160">
        <v>1.9000000000000001E-4</v>
      </c>
      <c r="K7241" s="160" t="s">
        <v>13</v>
      </c>
      <c r="L7241" s="154" t="str">
        <f>IF(OpenLCAbasic!K7241="CTUh", "Fill in Manually",IF(OR(K7241="Unit", K7241=""), "", INDEX(LookUps!$E$5:$E$12, MATCH(OpenLCAbasic!K7241,LookUps!$D$5:$D$12,0))))</f>
        <v>Eutrophication Potential (EP) - kg N eq</v>
      </c>
      <c r="M7241" s="154" t="str">
        <f t="shared" si="552"/>
        <v>High_Medium_Low_Upgraded_Eutrophication Potential (EP) - kg N eq_Waste Receiving and Holding; wastewater treatment unit; at updated plant - US_Without Amendment_Windrow</v>
      </c>
    </row>
    <row r="7242" spans="1:13" s="120" customFormat="1" x14ac:dyDescent="0.25">
      <c r="A7242" s="119"/>
      <c r="B7242" s="138" t="str">
        <f t="shared" si="550"/>
        <v>Windrow</v>
      </c>
      <c r="C7242" s="138" t="str">
        <f t="shared" si="553"/>
        <v>Without Amendment</v>
      </c>
      <c r="D7242" s="138" t="str">
        <f t="shared" si="549"/>
        <v>Medium_Low</v>
      </c>
      <c r="E7242" s="138" t="str">
        <f t="shared" si="554"/>
        <v>High</v>
      </c>
      <c r="F7242" s="138" t="str">
        <f t="shared" si="551"/>
        <v>Upgraded</v>
      </c>
      <c r="G7242" s="153"/>
      <c r="H7242" s="210">
        <v>8.6E-3</v>
      </c>
      <c r="I7242" s="160" t="s">
        <v>58</v>
      </c>
      <c r="J7242" s="160">
        <v>1.3999999999999999E-4</v>
      </c>
      <c r="K7242" s="160" t="s">
        <v>13</v>
      </c>
      <c r="L7242" s="154" t="str">
        <f>IF(OpenLCAbasic!K7242="CTUh", "Fill in Manually",IF(OR(K7242="Unit", K7242=""), "", INDEX(LookUps!$E$5:$E$12, MATCH(OpenLCAbasic!K7242,LookUps!$D$5:$D$12,0))))</f>
        <v>Eutrophication Potential (EP) - kg N eq</v>
      </c>
      <c r="M7242" s="154" t="str">
        <f t="shared" si="552"/>
        <v>High_Medium_Low_Upgraded_Eutrophication Potential (EP) - kg N eq_Pre-Anoxic &amp; Swing tank; wastewater treatment unit; at updated plant - US_Without Amendment_Windrow</v>
      </c>
    </row>
    <row r="7243" spans="1:13" s="120" customFormat="1" x14ac:dyDescent="0.25">
      <c r="A7243" s="119"/>
      <c r="B7243" s="138" t="str">
        <f t="shared" si="550"/>
        <v>Windrow</v>
      </c>
      <c r="C7243" s="138" t="str">
        <f t="shared" si="553"/>
        <v>Without Amendment</v>
      </c>
      <c r="D7243" s="138" t="str">
        <f t="shared" si="549"/>
        <v>Medium_Low</v>
      </c>
      <c r="E7243" s="138" t="str">
        <f t="shared" si="554"/>
        <v>High</v>
      </c>
      <c r="F7243" s="138" t="str">
        <f t="shared" si="551"/>
        <v>Upgraded</v>
      </c>
      <c r="G7243" s="153"/>
      <c r="H7243" s="210">
        <v>6.7999999999999996E-3</v>
      </c>
      <c r="I7243" s="160" t="s">
        <v>53</v>
      </c>
      <c r="J7243" s="160">
        <v>1.1E-4</v>
      </c>
      <c r="K7243" s="160" t="s">
        <v>13</v>
      </c>
      <c r="L7243" s="154" t="str">
        <f>IF(OpenLCAbasic!K7243="CTUh", "Fill in Manually",IF(OR(K7243="Unit", K7243=""), "", INDEX(LookUps!$E$5:$E$12, MATCH(OpenLCAbasic!K7243,LookUps!$D$5:$D$12,0))))</f>
        <v>Eutrophication Potential (EP) - kg N eq</v>
      </c>
      <c r="M7243" s="154" t="str">
        <f t="shared" si="552"/>
        <v>High_Medium_Low_Upgraded_Eutrophication Potential (EP) - kg N eq_Wet Well and Sump Station; wastewater treatment unit; at updated plant - US_Without Amendment_Windrow</v>
      </c>
    </row>
    <row r="7244" spans="1:13" s="120" customFormat="1" x14ac:dyDescent="0.25">
      <c r="A7244" s="119"/>
      <c r="B7244" s="138" t="str">
        <f t="shared" si="550"/>
        <v>Windrow</v>
      </c>
      <c r="C7244" s="138" t="str">
        <f t="shared" si="553"/>
        <v>Without Amendment</v>
      </c>
      <c r="D7244" s="138" t="str">
        <f t="shared" si="549"/>
        <v>Medium_Low</v>
      </c>
      <c r="E7244" s="138" t="str">
        <f t="shared" si="554"/>
        <v>High</v>
      </c>
      <c r="F7244" s="138" t="str">
        <f t="shared" si="551"/>
        <v>Upgraded</v>
      </c>
      <c r="G7244" s="153"/>
      <c r="H7244" s="210">
        <v>5.0000000000000001E-3</v>
      </c>
      <c r="I7244" s="160" t="s">
        <v>60</v>
      </c>
      <c r="J7244" s="211">
        <v>7.8941800000000004E-5</v>
      </c>
      <c r="K7244" s="160" t="s">
        <v>13</v>
      </c>
      <c r="L7244" s="154" t="str">
        <f>IF(OpenLCAbasic!K7244="CTUh", "Fill in Manually",IF(OR(K7244="Unit", K7244=""), "", INDEX(LookUps!$E$5:$E$12, MATCH(OpenLCAbasic!K7244,LookUps!$D$5:$D$12,0))))</f>
        <v>Eutrophication Potential (EP) - kg N eq</v>
      </c>
      <c r="M7244" s="154" t="str">
        <f t="shared" si="552"/>
        <v>High_Medium_Low_Upgraded_Eutrophication Potential (EP) - kg N eq_Belt filter press; wastewater treatment unit; at updated plant - US_Without Amendment_Windrow</v>
      </c>
    </row>
    <row r="7245" spans="1:13" s="120" customFormat="1" x14ac:dyDescent="0.25">
      <c r="A7245" s="119"/>
      <c r="B7245" s="138" t="str">
        <f t="shared" si="550"/>
        <v>Windrow</v>
      </c>
      <c r="C7245" s="138" t="str">
        <f t="shared" si="553"/>
        <v>Without Amendment</v>
      </c>
      <c r="D7245" s="138" t="str">
        <f t="shared" si="549"/>
        <v>Medium_Low</v>
      </c>
      <c r="E7245" s="138" t="str">
        <f t="shared" si="554"/>
        <v>High</v>
      </c>
      <c r="F7245" s="138" t="str">
        <f t="shared" si="551"/>
        <v>Upgraded</v>
      </c>
      <c r="G7245" s="153"/>
      <c r="H7245" s="210">
        <v>3.8E-3</v>
      </c>
      <c r="I7245" s="160" t="s">
        <v>57</v>
      </c>
      <c r="J7245" s="211">
        <v>6.0590300000000002E-5</v>
      </c>
      <c r="K7245" s="160" t="s">
        <v>13</v>
      </c>
      <c r="L7245" s="154" t="str">
        <f>IF(OpenLCAbasic!K7245="CTUh", "Fill in Manually",IF(OR(K7245="Unit", K7245=""), "", INDEX(LookUps!$E$5:$E$12, MATCH(OpenLCAbasic!K7245,LookUps!$D$5:$D$12,0))))</f>
        <v>Eutrophication Potential (EP) - kg N eq</v>
      </c>
      <c r="M7245" s="154" t="str">
        <f t="shared" si="552"/>
        <v>High_Medium_Low_Upgraded_Eutrophication Potential (EP) - kg N eq_Gravity Belt Thickener; wastewater treatment unit; at updated plant - US_Without Amendment_Windrow</v>
      </c>
    </row>
    <row r="7246" spans="1:13" s="120" customFormat="1" x14ac:dyDescent="0.25">
      <c r="A7246" s="119"/>
      <c r="B7246" s="138" t="str">
        <f t="shared" si="550"/>
        <v>Windrow</v>
      </c>
      <c r="C7246" s="138" t="str">
        <f t="shared" si="553"/>
        <v>Without Amendment</v>
      </c>
      <c r="D7246" s="138" t="str">
        <f t="shared" si="549"/>
        <v>Medium_Low</v>
      </c>
      <c r="E7246" s="138" t="str">
        <f t="shared" si="554"/>
        <v>High</v>
      </c>
      <c r="F7246" s="138" t="str">
        <f t="shared" si="551"/>
        <v>Upgraded</v>
      </c>
      <c r="G7246" s="153"/>
      <c r="H7246" s="210">
        <v>2.3999999999999998E-3</v>
      </c>
      <c r="I7246" s="160" t="s">
        <v>128</v>
      </c>
      <c r="J7246" s="211">
        <v>3.7559799999999999E-5</v>
      </c>
      <c r="K7246" s="160" t="s">
        <v>13</v>
      </c>
      <c r="L7246" s="154" t="str">
        <f>IF(OpenLCAbasic!K7246="CTUh", "Fill in Manually",IF(OR(K7246="Unit", K7246=""), "", INDEX(LookUps!$E$5:$E$12, MATCH(OpenLCAbasic!K7246,LookUps!$D$5:$D$12,0))))</f>
        <v>Eutrophication Potential (EP) - kg N eq</v>
      </c>
      <c r="M7246" s="154" t="str">
        <f t="shared" si="552"/>
        <v>High_Medium_Low_Upgraded_Eutrophication Potential (EP) - kg N eq_Wastewater collection; operation and infrastructure; m3 wastewater_Without Amendment_Windrow</v>
      </c>
    </row>
    <row r="7247" spans="1:13" s="120" customFormat="1" x14ac:dyDescent="0.25">
      <c r="A7247" s="119"/>
      <c r="B7247" s="138" t="str">
        <f t="shared" si="550"/>
        <v>Windrow</v>
      </c>
      <c r="C7247" s="138" t="str">
        <f t="shared" si="553"/>
        <v>Without Amendment</v>
      </c>
      <c r="D7247" s="138" t="str">
        <f t="shared" si="549"/>
        <v>Medium_Low</v>
      </c>
      <c r="E7247" s="138" t="str">
        <f t="shared" si="554"/>
        <v>High</v>
      </c>
      <c r="F7247" s="138" t="str">
        <f t="shared" si="551"/>
        <v>Upgraded</v>
      </c>
      <c r="G7247" s="153"/>
      <c r="H7247" s="210">
        <v>2.3E-3</v>
      </c>
      <c r="I7247" s="160" t="s">
        <v>148</v>
      </c>
      <c r="J7247" s="211">
        <v>3.6874600000000001E-5</v>
      </c>
      <c r="K7247" s="160" t="s">
        <v>13</v>
      </c>
      <c r="L7247" s="154" t="str">
        <f>IF(OpenLCAbasic!K7247="CTUh", "Fill in Manually",IF(OR(K7247="Unit", K7247=""), "", INDEX(LookUps!$E$5:$E$12, MATCH(OpenLCAbasic!K7247,LookUps!$D$5:$D$12,0))))</f>
        <v>Eutrophication Potential (EP) - kg N eq</v>
      </c>
      <c r="M7247" s="154" t="str">
        <f t="shared" si="552"/>
        <v>High_Medium_Low_Upgraded_Eutrophication Potential (EP) - kg N eq_Control Building; at upgraded wastewater treatment plant - US_Without Amendment_Windrow</v>
      </c>
    </row>
    <row r="7248" spans="1:13" s="120" customFormat="1" x14ac:dyDescent="0.25">
      <c r="A7248" s="119"/>
      <c r="B7248" s="138" t="str">
        <f t="shared" si="550"/>
        <v>Windrow</v>
      </c>
      <c r="C7248" s="138" t="str">
        <f t="shared" si="553"/>
        <v>Without Amendment</v>
      </c>
      <c r="D7248" s="138" t="str">
        <f t="shared" si="549"/>
        <v>Medium_Low</v>
      </c>
      <c r="E7248" s="138" t="str">
        <f t="shared" si="554"/>
        <v>High</v>
      </c>
      <c r="F7248" s="138" t="str">
        <f t="shared" si="551"/>
        <v>Upgraded</v>
      </c>
      <c r="G7248" s="153"/>
      <c r="H7248" s="210">
        <v>1E-3</v>
      </c>
      <c r="I7248" s="160" t="s">
        <v>59</v>
      </c>
      <c r="J7248" s="211">
        <v>1.6215700000000001E-5</v>
      </c>
      <c r="K7248" s="160" t="s">
        <v>13</v>
      </c>
      <c r="L7248" s="154" t="str">
        <f>IF(OpenLCAbasic!K7248="CTUh", "Fill in Manually",IF(OR(K7248="Unit", K7248=""), "", INDEX(LookUps!$E$5:$E$12, MATCH(OpenLCAbasic!K7248,LookUps!$D$5:$D$12,0))))</f>
        <v>Eutrophication Potential (EP) - kg N eq</v>
      </c>
      <c r="M7248" s="154" t="str">
        <f t="shared" si="552"/>
        <v>High_Medium_Low_Upgraded_Eutrophication Potential (EP) - kg N eq_Blend Tank; wastewater treatment unit; at updated plant - US_Without Amendment_Windrow</v>
      </c>
    </row>
    <row r="7249" spans="1:13" s="120" customFormat="1" x14ac:dyDescent="0.25">
      <c r="A7249" s="119"/>
      <c r="B7249" s="138" t="str">
        <f t="shared" si="550"/>
        <v>Windrow</v>
      </c>
      <c r="C7249" s="138" t="str">
        <f t="shared" si="553"/>
        <v>Without Amendment</v>
      </c>
      <c r="D7249" s="138" t="str">
        <f t="shared" si="549"/>
        <v>Medium_Low</v>
      </c>
      <c r="E7249" s="138" t="str">
        <f t="shared" si="554"/>
        <v>High</v>
      </c>
      <c r="F7249" s="138" t="str">
        <f t="shared" si="551"/>
        <v>Upgraded</v>
      </c>
      <c r="G7249" s="153"/>
      <c r="H7249" s="210">
        <v>5.0000000000000001E-4</v>
      </c>
      <c r="I7249" s="160" t="s">
        <v>168</v>
      </c>
      <c r="J7249" s="211">
        <v>7.7567199999999995E-6</v>
      </c>
      <c r="K7249" s="160" t="s">
        <v>13</v>
      </c>
      <c r="L7249" s="154" t="str">
        <f>IF(OpenLCAbasic!K7249="CTUh", "Fill in Manually",IF(OR(K7249="Unit", K7249=""), "", INDEX(LookUps!$E$5:$E$12, MATCH(OpenLCAbasic!K7249,LookUps!$D$5:$D$12,0))))</f>
        <v>Eutrophication Potential (EP) - kg N eq</v>
      </c>
      <c r="M7249" s="154" t="str">
        <f t="shared" si="552"/>
        <v>High_Medium_Low_Upgraded_Eutrophication Potential (EP) - kg N eq_ClearCove SCP; wastewater treatment unit; at updated plant - US_Without Amendment_Windrow</v>
      </c>
    </row>
    <row r="7250" spans="1:13" s="120" customFormat="1" x14ac:dyDescent="0.25">
      <c r="A7250" s="119"/>
      <c r="B7250" s="138" t="str">
        <f t="shared" si="550"/>
        <v>Windrow</v>
      </c>
      <c r="C7250" s="138" t="str">
        <f t="shared" si="553"/>
        <v>Without Amendment</v>
      </c>
      <c r="D7250" s="138" t="str">
        <f t="shared" si="549"/>
        <v>Medium_Low</v>
      </c>
      <c r="E7250" s="138" t="str">
        <f t="shared" si="554"/>
        <v>High</v>
      </c>
      <c r="F7250" s="138" t="str">
        <f t="shared" si="551"/>
        <v>Upgraded</v>
      </c>
      <c r="G7250" s="153"/>
      <c r="H7250" s="210">
        <v>-5.0000000000000001E-3</v>
      </c>
      <c r="I7250" s="160" t="s">
        <v>149</v>
      </c>
      <c r="J7250" s="211">
        <v>-7.8280099999999996E-5</v>
      </c>
      <c r="K7250" s="160" t="s">
        <v>13</v>
      </c>
      <c r="L7250" s="154" t="str">
        <f>IF(OpenLCAbasic!K7250="CTUh", "Fill in Manually",IF(OR(K7250="Unit", K7250=""), "", INDEX(LookUps!$E$5:$E$12, MATCH(OpenLCAbasic!K7250,LookUps!$D$5:$D$12,0))))</f>
        <v>Eutrophication Potential (EP) - kg N eq</v>
      </c>
      <c r="M7250" s="154" t="str">
        <f t="shared" si="552"/>
        <v>High_Medium_Low_Upgraded_Eutrophication Potential (EP) - kg N eq_Anaerobic Digestion; wastewater treatment unit; at updated plant - US_Without Amendment_Windrow</v>
      </c>
    </row>
    <row r="7251" spans="1:13" s="120" customFormat="1" x14ac:dyDescent="0.25">
      <c r="A7251" s="119"/>
      <c r="B7251" s="138" t="str">
        <f t="shared" si="550"/>
        <v/>
      </c>
      <c r="C7251" s="138" t="str">
        <f t="shared" si="553"/>
        <v/>
      </c>
      <c r="D7251" s="138" t="str">
        <f t="shared" si="549"/>
        <v/>
      </c>
      <c r="E7251" s="138" t="str">
        <f t="shared" si="554"/>
        <v/>
      </c>
      <c r="F7251" s="138" t="str">
        <f t="shared" si="551"/>
        <v/>
      </c>
      <c r="G7251" s="153" t="s">
        <v>51</v>
      </c>
      <c r="H7251" s="160"/>
      <c r="I7251" s="160" t="s">
        <v>47</v>
      </c>
      <c r="J7251" s="160" t="s">
        <v>52</v>
      </c>
      <c r="K7251" s="160" t="s">
        <v>27</v>
      </c>
      <c r="L7251" s="154" t="str">
        <f>IF(OpenLCAbasic!K7251="CTUh", "Fill in Manually",IF(OR(K7251="Unit", K7251=""), "", INDEX(LookUps!$E$5:$E$12, MATCH(OpenLCAbasic!K7251,LookUps!$D$5:$D$12,0))))</f>
        <v/>
      </c>
      <c r="M7251" s="154" t="str">
        <f t="shared" si="552"/>
        <v>____Process__</v>
      </c>
    </row>
    <row r="7252" spans="1:13" s="120" customFormat="1" x14ac:dyDescent="0.25">
      <c r="A7252" s="119"/>
      <c r="B7252" s="138" t="str">
        <f t="shared" si="550"/>
        <v>Windrow</v>
      </c>
      <c r="C7252" s="138" t="str">
        <f t="shared" si="553"/>
        <v>Without Amendment</v>
      </c>
      <c r="D7252" s="138" t="str">
        <f t="shared" si="549"/>
        <v>Medium_Low</v>
      </c>
      <c r="E7252" s="138" t="str">
        <f t="shared" si="554"/>
        <v>High</v>
      </c>
      <c r="F7252" s="138" t="str">
        <f t="shared" si="551"/>
        <v>Upgraded</v>
      </c>
      <c r="G7252" s="153"/>
      <c r="H7252" s="210">
        <v>0.37609999999999999</v>
      </c>
      <c r="I7252" s="160" t="s">
        <v>167</v>
      </c>
      <c r="J7252" s="160">
        <v>9.7259999999999999E-2</v>
      </c>
      <c r="K7252" s="160" t="s">
        <v>14</v>
      </c>
      <c r="L7252" s="154" t="str">
        <f>IF(OpenLCAbasic!K7252="CTUh", "Fill in Manually",IF(OR(K7252="Unit", K7252=""), "", INDEX(LookUps!$E$5:$E$12, MATCH(OpenLCAbasic!K7252,LookUps!$D$5:$D$12,0))))</f>
        <v>Fossil Depletion Potential (FDP) - kg oil eq</v>
      </c>
      <c r="M7252" s="154" t="str">
        <f t="shared" si="552"/>
        <v>High_Medium_Low_Upgraded_Fossil Depletion Potential (FDP) - kg oil eq_Waste Receiving and Holding; wastewater treatment unit; at updated plant - US_Without Amendment_Windrow</v>
      </c>
    </row>
    <row r="7253" spans="1:13" s="120" customFormat="1" x14ac:dyDescent="0.25">
      <c r="A7253" s="119"/>
      <c r="B7253" s="138" t="str">
        <f t="shared" si="550"/>
        <v>Windrow</v>
      </c>
      <c r="C7253" s="138" t="str">
        <f t="shared" si="553"/>
        <v>Without Amendment</v>
      </c>
      <c r="D7253" s="138" t="str">
        <f t="shared" si="549"/>
        <v>Medium_Low</v>
      </c>
      <c r="E7253" s="138" t="str">
        <f t="shared" si="554"/>
        <v>High</v>
      </c>
      <c r="F7253" s="138" t="str">
        <f t="shared" si="551"/>
        <v>Upgraded</v>
      </c>
      <c r="G7253" s="153"/>
      <c r="H7253" s="210">
        <v>0.24590000000000001</v>
      </c>
      <c r="I7253" s="160" t="s">
        <v>55</v>
      </c>
      <c r="J7253" s="160">
        <v>6.3589999999999994E-2</v>
      </c>
      <c r="K7253" s="160" t="s">
        <v>14</v>
      </c>
      <c r="L7253" s="154" t="str">
        <f>IF(OpenLCAbasic!K7253="CTUh", "Fill in Manually",IF(OR(K7253="Unit", K7253=""), "", INDEX(LookUps!$E$5:$E$12, MATCH(OpenLCAbasic!K7253,LookUps!$D$5:$D$12,0))))</f>
        <v>Fossil Depletion Potential (FDP) - kg oil eq</v>
      </c>
      <c r="M7253" s="154" t="str">
        <f t="shared" si="552"/>
        <v>High_Medium_Low_Upgraded_Fossil Depletion Potential (FDP) - kg oil eq_Aeration Tanks; wastewater treatment unit; at updated plant - US_Without Amendment_Windrow</v>
      </c>
    </row>
    <row r="7254" spans="1:13" s="120" customFormat="1" x14ac:dyDescent="0.25">
      <c r="A7254" s="119"/>
      <c r="B7254" s="138" t="str">
        <f t="shared" si="550"/>
        <v>Windrow</v>
      </c>
      <c r="C7254" s="138" t="str">
        <f t="shared" si="553"/>
        <v>Without Amendment</v>
      </c>
      <c r="D7254" s="138" t="str">
        <f t="shared" si="549"/>
        <v>Medium_Low</v>
      </c>
      <c r="E7254" s="138" t="str">
        <f t="shared" si="554"/>
        <v>High</v>
      </c>
      <c r="F7254" s="138" t="str">
        <f t="shared" si="551"/>
        <v>Upgraded</v>
      </c>
      <c r="G7254" s="153"/>
      <c r="H7254" s="210">
        <v>8.14E-2</v>
      </c>
      <c r="I7254" s="160" t="s">
        <v>54</v>
      </c>
      <c r="J7254" s="160">
        <v>2.1049999999999999E-2</v>
      </c>
      <c r="K7254" s="160" t="s">
        <v>14</v>
      </c>
      <c r="L7254" s="154" t="str">
        <f>IF(OpenLCAbasic!K7254="CTUh", "Fill in Manually",IF(OR(K7254="Unit", K7254=""), "", INDEX(LookUps!$E$5:$E$12, MATCH(OpenLCAbasic!K7254,LookUps!$D$5:$D$12,0))))</f>
        <v>Fossil Depletion Potential (FDP) - kg oil eq</v>
      </c>
      <c r="M7254" s="154" t="str">
        <f t="shared" si="552"/>
        <v>High_Medium_Low_Upgraded_Fossil Depletion Potential (FDP) - kg oil eq_Clear Cove Primary Clarification; wastewater treatment unit; at updated plant - US_Without Amendment_Windrow</v>
      </c>
    </row>
    <row r="7255" spans="1:13" s="120" customFormat="1" x14ac:dyDescent="0.25">
      <c r="A7255" s="119"/>
      <c r="B7255" s="138" t="str">
        <f t="shared" si="550"/>
        <v>Windrow</v>
      </c>
      <c r="C7255" s="138" t="str">
        <f t="shared" si="553"/>
        <v>Without Amendment</v>
      </c>
      <c r="D7255" s="138" t="str">
        <f t="shared" si="549"/>
        <v>Medium_Low</v>
      </c>
      <c r="E7255" s="138" t="str">
        <f t="shared" si="554"/>
        <v>High</v>
      </c>
      <c r="F7255" s="138" t="str">
        <f t="shared" si="551"/>
        <v>Upgraded</v>
      </c>
      <c r="G7255" s="153"/>
      <c r="H7255" s="210">
        <v>6.1800000000000001E-2</v>
      </c>
      <c r="I7255" s="160" t="s">
        <v>58</v>
      </c>
      <c r="J7255" s="160">
        <v>1.5980000000000001E-2</v>
      </c>
      <c r="K7255" s="160" t="s">
        <v>14</v>
      </c>
      <c r="L7255" s="154" t="str">
        <f>IF(OpenLCAbasic!K7255="CTUh", "Fill in Manually",IF(OR(K7255="Unit", K7255=""), "", INDEX(LookUps!$E$5:$E$12, MATCH(OpenLCAbasic!K7255,LookUps!$D$5:$D$12,0))))</f>
        <v>Fossil Depletion Potential (FDP) - kg oil eq</v>
      </c>
      <c r="M7255" s="154" t="str">
        <f t="shared" si="552"/>
        <v>High_Medium_Low_Upgraded_Fossil Depletion Potential (FDP) - kg oil eq_Pre-Anoxic &amp; Swing tank; wastewater treatment unit; at updated plant - US_Without Amendment_Windrow</v>
      </c>
    </row>
    <row r="7256" spans="1:13" s="120" customFormat="1" x14ac:dyDescent="0.25">
      <c r="A7256" s="119"/>
      <c r="B7256" s="138" t="str">
        <f t="shared" si="550"/>
        <v>Windrow</v>
      </c>
      <c r="C7256" s="138" t="str">
        <f t="shared" si="553"/>
        <v>Without Amendment</v>
      </c>
      <c r="D7256" s="138" t="str">
        <f t="shared" si="549"/>
        <v>Medium_Low</v>
      </c>
      <c r="E7256" s="138" t="str">
        <f t="shared" si="554"/>
        <v>High</v>
      </c>
      <c r="F7256" s="138" t="str">
        <f t="shared" si="551"/>
        <v>Upgraded</v>
      </c>
      <c r="G7256" s="153"/>
      <c r="H7256" s="210">
        <v>5.8400000000000001E-2</v>
      </c>
      <c r="I7256" s="160" t="s">
        <v>147</v>
      </c>
      <c r="J7256" s="160">
        <v>1.5089999999999999E-2</v>
      </c>
      <c r="K7256" s="160" t="s">
        <v>14</v>
      </c>
      <c r="L7256" s="154" t="str">
        <f>IF(OpenLCAbasic!K7256="CTUh", "Fill in Manually",IF(OR(K7256="Unit", K7256=""), "", INDEX(LookUps!$E$5:$E$12, MATCH(OpenLCAbasic!K7256,LookUps!$D$5:$D$12,0))))</f>
        <v>Fossil Depletion Potential (FDP) - kg oil eq</v>
      </c>
      <c r="M7256" s="154" t="str">
        <f t="shared" si="552"/>
        <v>High_Medium_Low_Upgraded_Fossil Depletion Potential (FDP) - kg oil eq_Influent Pump Station; wastewater treatment unit; at updated plant - US_Without Amendment_Windrow</v>
      </c>
    </row>
    <row r="7257" spans="1:13" s="120" customFormat="1" x14ac:dyDescent="0.25">
      <c r="A7257" s="119"/>
      <c r="B7257" s="138" t="str">
        <f t="shared" si="550"/>
        <v>Windrow</v>
      </c>
      <c r="C7257" s="138" t="str">
        <f t="shared" si="553"/>
        <v>Without Amendment</v>
      </c>
      <c r="D7257" s="138" t="str">
        <f t="shared" si="549"/>
        <v>Medium_Low</v>
      </c>
      <c r="E7257" s="138" t="str">
        <f t="shared" si="554"/>
        <v>High</v>
      </c>
      <c r="F7257" s="138" t="str">
        <f t="shared" si="551"/>
        <v>Upgraded</v>
      </c>
      <c r="G7257" s="153"/>
      <c r="H7257" s="210">
        <v>4.8300000000000003E-2</v>
      </c>
      <c r="I7257" s="160" t="s">
        <v>53</v>
      </c>
      <c r="J7257" s="160">
        <v>1.2489999999999999E-2</v>
      </c>
      <c r="K7257" s="160" t="s">
        <v>14</v>
      </c>
      <c r="L7257" s="154" t="str">
        <f>IF(OpenLCAbasic!K7257="CTUh", "Fill in Manually",IF(OR(K7257="Unit", K7257=""), "", INDEX(LookUps!$E$5:$E$12, MATCH(OpenLCAbasic!K7257,LookUps!$D$5:$D$12,0))))</f>
        <v>Fossil Depletion Potential (FDP) - kg oil eq</v>
      </c>
      <c r="M7257" s="154" t="str">
        <f t="shared" si="552"/>
        <v>High_Medium_Low_Upgraded_Fossil Depletion Potential (FDP) - kg oil eq_Wet Well and Sump Station; wastewater treatment unit; at updated plant - US_Without Amendment_Windrow</v>
      </c>
    </row>
    <row r="7258" spans="1:13" s="120" customFormat="1" x14ac:dyDescent="0.25">
      <c r="A7258" s="119"/>
      <c r="B7258" s="138" t="str">
        <f t="shared" si="550"/>
        <v>Windrow</v>
      </c>
      <c r="C7258" s="138" t="str">
        <f t="shared" si="553"/>
        <v>Without Amendment</v>
      </c>
      <c r="D7258" s="138" t="str">
        <f t="shared" si="549"/>
        <v>Medium_Low</v>
      </c>
      <c r="E7258" s="138" t="str">
        <f t="shared" si="554"/>
        <v>High</v>
      </c>
      <c r="F7258" s="138" t="str">
        <f t="shared" si="551"/>
        <v>Upgraded</v>
      </c>
      <c r="G7258" s="153"/>
      <c r="H7258" s="210">
        <v>3.73E-2</v>
      </c>
      <c r="I7258" s="160" t="s">
        <v>149</v>
      </c>
      <c r="J7258" s="160">
        <v>9.6600000000000002E-3</v>
      </c>
      <c r="K7258" s="160" t="s">
        <v>14</v>
      </c>
      <c r="L7258" s="154" t="str">
        <f>IF(OpenLCAbasic!K7258="CTUh", "Fill in Manually",IF(OR(K7258="Unit", K7258=""), "", INDEX(LookUps!$E$5:$E$12, MATCH(OpenLCAbasic!K7258,LookUps!$D$5:$D$12,0))))</f>
        <v>Fossil Depletion Potential (FDP) - kg oil eq</v>
      </c>
      <c r="M7258" s="154" t="str">
        <f t="shared" si="552"/>
        <v>High_Medium_Low_Upgraded_Fossil Depletion Potential (FDP) - kg oil eq_Anaerobic Digestion; wastewater treatment unit; at updated plant - US_Without Amendment_Windrow</v>
      </c>
    </row>
    <row r="7259" spans="1:13" s="120" customFormat="1" x14ac:dyDescent="0.25">
      <c r="A7259" s="119"/>
      <c r="B7259" s="138" t="str">
        <f t="shared" si="550"/>
        <v>Windrow</v>
      </c>
      <c r="C7259" s="138" t="str">
        <f t="shared" si="553"/>
        <v>Without Amendment</v>
      </c>
      <c r="D7259" s="138" t="str">
        <f t="shared" si="549"/>
        <v>Medium_Low</v>
      </c>
      <c r="E7259" s="138" t="str">
        <f t="shared" si="554"/>
        <v>High</v>
      </c>
      <c r="F7259" s="138" t="str">
        <f t="shared" si="551"/>
        <v>Upgraded</v>
      </c>
      <c r="G7259" s="153"/>
      <c r="H7259" s="210">
        <v>3.5000000000000003E-2</v>
      </c>
      <c r="I7259" s="160" t="s">
        <v>60</v>
      </c>
      <c r="J7259" s="160">
        <v>9.0600000000000003E-3</v>
      </c>
      <c r="K7259" s="160" t="s">
        <v>14</v>
      </c>
      <c r="L7259" s="154" t="str">
        <f>IF(OpenLCAbasic!K7259="CTUh", "Fill in Manually",IF(OR(K7259="Unit", K7259=""), "", INDEX(LookUps!$E$5:$E$12, MATCH(OpenLCAbasic!K7259,LookUps!$D$5:$D$12,0))))</f>
        <v>Fossil Depletion Potential (FDP) - kg oil eq</v>
      </c>
      <c r="M7259" s="154" t="str">
        <f t="shared" si="552"/>
        <v>High_Medium_Low_Upgraded_Fossil Depletion Potential (FDP) - kg oil eq_Belt filter press; wastewater treatment unit; at updated plant - US_Without Amendment_Windrow</v>
      </c>
    </row>
    <row r="7260" spans="1:13" s="120" customFormat="1" x14ac:dyDescent="0.25">
      <c r="A7260" s="119"/>
      <c r="B7260" s="138" t="str">
        <f t="shared" si="550"/>
        <v>Windrow</v>
      </c>
      <c r="C7260" s="138" t="str">
        <f t="shared" si="553"/>
        <v>Without Amendment</v>
      </c>
      <c r="D7260" s="138" t="str">
        <f t="shared" si="549"/>
        <v>Medium_Low</v>
      </c>
      <c r="E7260" s="138" t="str">
        <f t="shared" si="554"/>
        <v>High</v>
      </c>
      <c r="F7260" s="138" t="str">
        <f t="shared" si="551"/>
        <v>Upgraded</v>
      </c>
      <c r="G7260" s="153"/>
      <c r="H7260" s="210">
        <v>2.6700000000000002E-2</v>
      </c>
      <c r="I7260" s="160" t="s">
        <v>57</v>
      </c>
      <c r="J7260" s="160">
        <v>6.9199999999999999E-3</v>
      </c>
      <c r="K7260" s="160" t="s">
        <v>14</v>
      </c>
      <c r="L7260" s="154" t="str">
        <f>IF(OpenLCAbasic!K7260="CTUh", "Fill in Manually",IF(OR(K7260="Unit", K7260=""), "", INDEX(LookUps!$E$5:$E$12, MATCH(OpenLCAbasic!K7260,LookUps!$D$5:$D$12,0))))</f>
        <v>Fossil Depletion Potential (FDP) - kg oil eq</v>
      </c>
      <c r="M7260" s="154" t="str">
        <f t="shared" si="552"/>
        <v>High_Medium_Low_Upgraded_Fossil Depletion Potential (FDP) - kg oil eq_Gravity Belt Thickener; wastewater treatment unit; at updated plant - US_Without Amendment_Windrow</v>
      </c>
    </row>
    <row r="7261" spans="1:13" s="120" customFormat="1" x14ac:dyDescent="0.25">
      <c r="A7261" s="119"/>
      <c r="B7261" s="138" t="str">
        <f t="shared" si="550"/>
        <v>Windrow</v>
      </c>
      <c r="C7261" s="138" t="str">
        <f t="shared" si="553"/>
        <v>Without Amendment</v>
      </c>
      <c r="D7261" s="138" t="str">
        <f t="shared" si="549"/>
        <v>Medium_Low</v>
      </c>
      <c r="E7261" s="138" t="str">
        <f t="shared" si="554"/>
        <v>High</v>
      </c>
      <c r="F7261" s="138" t="str">
        <f t="shared" si="551"/>
        <v>Upgraded</v>
      </c>
      <c r="G7261" s="153"/>
      <c r="H7261" s="210">
        <v>1.7399999999999999E-2</v>
      </c>
      <c r="I7261" s="160" t="s">
        <v>128</v>
      </c>
      <c r="J7261" s="160">
        <v>4.4999999999999997E-3</v>
      </c>
      <c r="K7261" s="160" t="s">
        <v>14</v>
      </c>
      <c r="L7261" s="154" t="str">
        <f>IF(OpenLCAbasic!K7261="CTUh", "Fill in Manually",IF(OR(K7261="Unit", K7261=""), "", INDEX(LookUps!$E$5:$E$12, MATCH(OpenLCAbasic!K7261,LookUps!$D$5:$D$12,0))))</f>
        <v>Fossil Depletion Potential (FDP) - kg oil eq</v>
      </c>
      <c r="M7261" s="154" t="str">
        <f t="shared" si="552"/>
        <v>High_Medium_Low_Upgraded_Fossil Depletion Potential (FDP) - kg oil eq_Wastewater collection; operation and infrastructure; m3 wastewater_Without Amendment_Windrow</v>
      </c>
    </row>
    <row r="7262" spans="1:13" s="120" customFormat="1" x14ac:dyDescent="0.25">
      <c r="A7262" s="119"/>
      <c r="B7262" s="138" t="str">
        <f t="shared" si="550"/>
        <v>Windrow</v>
      </c>
      <c r="C7262" s="138" t="str">
        <f t="shared" si="553"/>
        <v>Without Amendment</v>
      </c>
      <c r="D7262" s="138" t="str">
        <f t="shared" si="549"/>
        <v>Medium_Low</v>
      </c>
      <c r="E7262" s="138" t="str">
        <f t="shared" si="554"/>
        <v>High</v>
      </c>
      <c r="F7262" s="138" t="str">
        <f t="shared" si="551"/>
        <v>Upgraded</v>
      </c>
      <c r="G7262" s="153"/>
      <c r="H7262" s="210">
        <v>1.0800000000000001E-2</v>
      </c>
      <c r="I7262" s="160" t="s">
        <v>148</v>
      </c>
      <c r="J7262" s="160">
        <v>2.8E-3</v>
      </c>
      <c r="K7262" s="160" t="s">
        <v>14</v>
      </c>
      <c r="L7262" s="154" t="str">
        <f>IF(OpenLCAbasic!K7262="CTUh", "Fill in Manually",IF(OR(K7262="Unit", K7262=""), "", INDEX(LookUps!$E$5:$E$12, MATCH(OpenLCAbasic!K7262,LookUps!$D$5:$D$12,0))))</f>
        <v>Fossil Depletion Potential (FDP) - kg oil eq</v>
      </c>
      <c r="M7262" s="154" t="str">
        <f t="shared" si="552"/>
        <v>High_Medium_Low_Upgraded_Fossil Depletion Potential (FDP) - kg oil eq_Control Building; at upgraded wastewater treatment plant - US_Without Amendment_Windrow</v>
      </c>
    </row>
    <row r="7263" spans="1:13" s="120" customFormat="1" x14ac:dyDescent="0.25">
      <c r="A7263" s="119"/>
      <c r="B7263" s="138" t="str">
        <f t="shared" si="550"/>
        <v>Windrow</v>
      </c>
      <c r="C7263" s="138" t="str">
        <f t="shared" si="553"/>
        <v>Without Amendment</v>
      </c>
      <c r="D7263" s="138" t="str">
        <f t="shared" si="549"/>
        <v>Medium_Low</v>
      </c>
      <c r="E7263" s="138" t="str">
        <f t="shared" si="554"/>
        <v>High</v>
      </c>
      <c r="F7263" s="138" t="str">
        <f t="shared" si="551"/>
        <v>Upgraded</v>
      </c>
      <c r="G7263" s="153"/>
      <c r="H7263" s="210">
        <v>9.1000000000000004E-3</v>
      </c>
      <c r="I7263" s="160" t="s">
        <v>48</v>
      </c>
      <c r="J7263" s="160">
        <v>2.3600000000000001E-3</v>
      </c>
      <c r="K7263" s="160" t="s">
        <v>14</v>
      </c>
      <c r="L7263" s="154" t="str">
        <f>IF(OpenLCAbasic!K7263="CTUh", "Fill in Manually",IF(OR(K7263="Unit", K7263=""), "", INDEX(LookUps!$E$5:$E$12, MATCH(OpenLCAbasic!K7263,LookUps!$D$5:$D$12,0))))</f>
        <v>Fossil Depletion Potential (FDP) - kg oil eq</v>
      </c>
      <c r="M7263" s="154" t="str">
        <f t="shared" si="552"/>
        <v>High_Medium_Low_Upgraded_Fossil Depletion Potential (FDP) - kg oil eq_Effluent release; wastewater treatment unit; at surface water; m3 wastewater - US_Without Amendment_Windrow</v>
      </c>
    </row>
    <row r="7264" spans="1:13" s="120" customFormat="1" x14ac:dyDescent="0.25">
      <c r="A7264" s="119"/>
      <c r="B7264" s="138" t="str">
        <f t="shared" si="550"/>
        <v>Windrow</v>
      </c>
      <c r="C7264" s="138" t="str">
        <f t="shared" si="553"/>
        <v>Without Amendment</v>
      </c>
      <c r="D7264" s="138" t="str">
        <f t="shared" si="549"/>
        <v>Medium_Low</v>
      </c>
      <c r="E7264" s="138" t="str">
        <f t="shared" si="554"/>
        <v>High</v>
      </c>
      <c r="F7264" s="138" t="str">
        <f t="shared" si="551"/>
        <v>Upgraded</v>
      </c>
      <c r="G7264" s="153"/>
      <c r="H7264" s="210">
        <v>7.4000000000000003E-3</v>
      </c>
      <c r="I7264" s="160" t="s">
        <v>59</v>
      </c>
      <c r="J7264" s="160">
        <v>1.92E-3</v>
      </c>
      <c r="K7264" s="160" t="s">
        <v>14</v>
      </c>
      <c r="L7264" s="154" t="str">
        <f>IF(OpenLCAbasic!K7264="CTUh", "Fill in Manually",IF(OR(K7264="Unit", K7264=""), "", INDEX(LookUps!$E$5:$E$12, MATCH(OpenLCAbasic!K7264,LookUps!$D$5:$D$12,0))))</f>
        <v>Fossil Depletion Potential (FDP) - kg oil eq</v>
      </c>
      <c r="M7264" s="154" t="str">
        <f t="shared" si="552"/>
        <v>High_Medium_Low_Upgraded_Fossil Depletion Potential (FDP) - kg oil eq_Blend Tank; wastewater treatment unit; at updated plant - US_Without Amendment_Windrow</v>
      </c>
    </row>
    <row r="7265" spans="1:13" s="120" customFormat="1" x14ac:dyDescent="0.25">
      <c r="A7265" s="119"/>
      <c r="B7265" s="138" t="str">
        <f t="shared" si="550"/>
        <v>Windrow</v>
      </c>
      <c r="C7265" s="138" t="str">
        <f t="shared" si="553"/>
        <v>Without Amendment</v>
      </c>
      <c r="D7265" s="138" t="str">
        <f t="shared" ref="D7265:D7328" si="555">IF(ISNUMBER($J7265),"Medium_Low","")</f>
        <v>Medium_Low</v>
      </c>
      <c r="E7265" s="138" t="str">
        <f t="shared" si="554"/>
        <v>High</v>
      </c>
      <c r="F7265" s="138" t="str">
        <f t="shared" si="551"/>
        <v>Upgraded</v>
      </c>
      <c r="G7265" s="153"/>
      <c r="H7265" s="210">
        <v>3.5000000000000001E-3</v>
      </c>
      <c r="I7265" s="160" t="s">
        <v>168</v>
      </c>
      <c r="J7265" s="160">
        <v>9.1E-4</v>
      </c>
      <c r="K7265" s="160" t="s">
        <v>14</v>
      </c>
      <c r="L7265" s="154" t="str">
        <f>IF(OpenLCAbasic!K7265="CTUh", "Fill in Manually",IF(OR(K7265="Unit", K7265=""), "", INDEX(LookUps!$E$5:$E$12, MATCH(OpenLCAbasic!K7265,LookUps!$D$5:$D$12,0))))</f>
        <v>Fossil Depletion Potential (FDP) - kg oil eq</v>
      </c>
      <c r="M7265" s="154" t="str">
        <f t="shared" si="552"/>
        <v>High_Medium_Low_Upgraded_Fossil Depletion Potential (FDP) - kg oil eq_ClearCove SCP; wastewater treatment unit; at updated plant - US_Without Amendment_Windrow</v>
      </c>
    </row>
    <row r="7266" spans="1:13" s="120" customFormat="1" x14ac:dyDescent="0.25">
      <c r="A7266" s="119"/>
      <c r="B7266" s="138" t="str">
        <f t="shared" si="550"/>
        <v>Windrow</v>
      </c>
      <c r="C7266" s="138" t="str">
        <f t="shared" si="553"/>
        <v>Without Amendment</v>
      </c>
      <c r="D7266" s="138" t="str">
        <f t="shared" si="555"/>
        <v>Medium_Low</v>
      </c>
      <c r="E7266" s="138" t="str">
        <f t="shared" si="554"/>
        <v>High</v>
      </c>
      <c r="F7266" s="138" t="str">
        <f t="shared" si="551"/>
        <v>Upgraded</v>
      </c>
      <c r="G7266" s="153"/>
      <c r="H7266" s="210">
        <v>2.5000000000000001E-3</v>
      </c>
      <c r="I7266" s="160" t="s">
        <v>271</v>
      </c>
      <c r="J7266" s="160">
        <v>6.4999999999999997E-4</v>
      </c>
      <c r="K7266" s="160" t="s">
        <v>14</v>
      </c>
      <c r="L7266" s="154" t="str">
        <f>IF(OpenLCAbasic!K7266="CTUh", "Fill in Manually",IF(OR(K7266="Unit", K7266=""), "", INDEX(LookUps!$E$5:$E$12, MATCH(OpenLCAbasic!K7266,LookUps!$D$5:$D$12,0))))</f>
        <v>Fossil Depletion Potential (FDP) - kg oil eq</v>
      </c>
      <c r="M7266" s="154" t="str">
        <f t="shared" si="552"/>
        <v>High_Medium_Low_Upgraded_Fossil Depletion Potential (FDP) - kg oil eq_Biosolids composting; windrow composting; wastewater treatment unit; at updated plant - US_Without Amendment_Windrow</v>
      </c>
    </row>
    <row r="7267" spans="1:13" s="120" customFormat="1" x14ac:dyDescent="0.25">
      <c r="A7267" s="119"/>
      <c r="B7267" s="138" t="str">
        <f t="shared" si="550"/>
        <v>Windrow</v>
      </c>
      <c r="C7267" s="138" t="str">
        <f t="shared" si="553"/>
        <v>Without Amendment</v>
      </c>
      <c r="D7267" s="138" t="str">
        <f t="shared" si="555"/>
        <v>Medium_Low</v>
      </c>
      <c r="E7267" s="138" t="str">
        <f t="shared" si="554"/>
        <v>High</v>
      </c>
      <c r="F7267" s="138" t="str">
        <f t="shared" si="551"/>
        <v>Upgraded</v>
      </c>
      <c r="G7267" s="153"/>
      <c r="H7267" s="210">
        <v>-2.1899999999999999E-2</v>
      </c>
      <c r="I7267" s="160" t="s">
        <v>62</v>
      </c>
      <c r="J7267" s="160">
        <v>-5.6499999999999996E-3</v>
      </c>
      <c r="K7267" s="160" t="s">
        <v>14</v>
      </c>
      <c r="L7267" s="154" t="str">
        <f>IF(OpenLCAbasic!K7267="CTUh", "Fill in Manually",IF(OR(K7267="Unit", K7267=""), "", INDEX(LookUps!$E$5:$E$12, MATCH(OpenLCAbasic!K7267,LookUps!$D$5:$D$12,0))))</f>
        <v>Fossil Depletion Potential (FDP) - kg oil eq</v>
      </c>
      <c r="M7267" s="154" t="str">
        <f t="shared" si="552"/>
        <v>High_Medium_Low_Upgraded_Fossil Depletion Potential (FDP) - kg oil eq_Land application of compost; wastewater treatment unit; at updated plant - US_Without Amendment_Windrow</v>
      </c>
    </row>
    <row r="7268" spans="1:13" s="120" customFormat="1" x14ac:dyDescent="0.25">
      <c r="A7268" s="119"/>
      <c r="B7268" s="138" t="str">
        <f t="shared" si="550"/>
        <v/>
      </c>
      <c r="C7268" s="138" t="str">
        <f t="shared" si="553"/>
        <v/>
      </c>
      <c r="D7268" s="138" t="str">
        <f t="shared" si="555"/>
        <v/>
      </c>
      <c r="E7268" s="138" t="str">
        <f t="shared" si="554"/>
        <v/>
      </c>
      <c r="F7268" s="138" t="str">
        <f t="shared" si="551"/>
        <v/>
      </c>
      <c r="G7268" s="153" t="s">
        <v>51</v>
      </c>
      <c r="H7268" s="160"/>
      <c r="I7268" s="160" t="s">
        <v>47</v>
      </c>
      <c r="J7268" s="160" t="s">
        <v>52</v>
      </c>
      <c r="K7268" s="160" t="s">
        <v>27</v>
      </c>
      <c r="L7268" s="154" t="str">
        <f>IF(OpenLCAbasic!K7268="CTUh", "Fill in Manually",IF(OR(K7268="Unit", K7268=""), "", INDEX(LookUps!$E$5:$E$12, MATCH(OpenLCAbasic!K7268,LookUps!$D$5:$D$12,0))))</f>
        <v/>
      </c>
      <c r="M7268" s="154" t="str">
        <f t="shared" si="552"/>
        <v>____Process__</v>
      </c>
    </row>
    <row r="7269" spans="1:13" s="120" customFormat="1" x14ac:dyDescent="0.25">
      <c r="A7269" s="119"/>
      <c r="B7269" s="138" t="str">
        <f t="shared" si="550"/>
        <v>Windrow</v>
      </c>
      <c r="C7269" s="138" t="str">
        <f t="shared" si="553"/>
        <v>Without Amendment</v>
      </c>
      <c r="D7269" s="138" t="str">
        <f t="shared" si="555"/>
        <v>Medium_Low</v>
      </c>
      <c r="E7269" s="138" t="str">
        <f t="shared" si="554"/>
        <v>High</v>
      </c>
      <c r="F7269" s="138" t="str">
        <f t="shared" si="551"/>
        <v>Upgraded</v>
      </c>
      <c r="G7269" s="153"/>
      <c r="H7269" s="210">
        <v>0.64680000000000004</v>
      </c>
      <c r="I7269" s="160" t="s">
        <v>271</v>
      </c>
      <c r="J7269" s="160">
        <v>1.1762999999999999</v>
      </c>
      <c r="K7269" s="160" t="s">
        <v>23</v>
      </c>
      <c r="L7269" s="154" t="str">
        <f>IF(OpenLCAbasic!K7269="CTUh", "Fill in Manually",IF(OR(K7269="Unit", K7269=""), "", INDEX(LookUps!$E$5:$E$12, MATCH(OpenLCAbasic!K7269,LookUps!$D$5:$D$12,0))))</f>
        <v>Global Warming Potential (GWP) - kg CO2 eq</v>
      </c>
      <c r="M7269" s="154" t="str">
        <f t="shared" si="552"/>
        <v>High_Medium_Low_Upgraded_Global Warming Potential (GWP) - kg CO2 eq_Biosolids composting; windrow composting; wastewater treatment unit; at updated plant - US_Without Amendment_Windrow</v>
      </c>
    </row>
    <row r="7270" spans="1:13" s="120" customFormat="1" x14ac:dyDescent="0.25">
      <c r="A7270" s="119"/>
      <c r="B7270" s="138" t="str">
        <f t="shared" si="550"/>
        <v>Windrow</v>
      </c>
      <c r="C7270" s="138" t="str">
        <f t="shared" si="553"/>
        <v>Without Amendment</v>
      </c>
      <c r="D7270" s="138" t="str">
        <f t="shared" si="555"/>
        <v>Medium_Low</v>
      </c>
      <c r="E7270" s="138" t="str">
        <f t="shared" si="554"/>
        <v>High</v>
      </c>
      <c r="F7270" s="138" t="str">
        <f t="shared" si="551"/>
        <v>Upgraded</v>
      </c>
      <c r="G7270" s="153"/>
      <c r="H7270" s="210">
        <v>0.1351</v>
      </c>
      <c r="I7270" s="160" t="s">
        <v>58</v>
      </c>
      <c r="J7270" s="160">
        <v>0.24568999999999999</v>
      </c>
      <c r="K7270" s="160" t="s">
        <v>23</v>
      </c>
      <c r="L7270" s="154" t="str">
        <f>IF(OpenLCAbasic!K7270="CTUh", "Fill in Manually",IF(OR(K7270="Unit", K7270=""), "", INDEX(LookUps!$E$5:$E$12, MATCH(OpenLCAbasic!K7270,LookUps!$D$5:$D$12,0))))</f>
        <v>Global Warming Potential (GWP) - kg CO2 eq</v>
      </c>
      <c r="M7270" s="154" t="str">
        <f t="shared" si="552"/>
        <v>High_Medium_Low_Upgraded_Global Warming Potential (GWP) - kg CO2 eq_Pre-Anoxic &amp; Swing tank; wastewater treatment unit; at updated plant - US_Without Amendment_Windrow</v>
      </c>
    </row>
    <row r="7271" spans="1:13" s="120" customFormat="1" x14ac:dyDescent="0.25">
      <c r="A7271" s="119"/>
      <c r="B7271" s="138" t="str">
        <f t="shared" si="550"/>
        <v>Windrow</v>
      </c>
      <c r="C7271" s="138" t="str">
        <f t="shared" si="553"/>
        <v>Without Amendment</v>
      </c>
      <c r="D7271" s="138" t="str">
        <f t="shared" si="555"/>
        <v>Medium_Low</v>
      </c>
      <c r="E7271" s="138" t="str">
        <f t="shared" si="554"/>
        <v>High</v>
      </c>
      <c r="F7271" s="138" t="str">
        <f t="shared" si="551"/>
        <v>Upgraded</v>
      </c>
      <c r="G7271" s="153"/>
      <c r="H7271" s="210">
        <v>9.2499999999999999E-2</v>
      </c>
      <c r="I7271" s="160" t="s">
        <v>55</v>
      </c>
      <c r="J7271" s="160">
        <v>0.16822000000000001</v>
      </c>
      <c r="K7271" s="160" t="s">
        <v>23</v>
      </c>
      <c r="L7271" s="154" t="str">
        <f>IF(OpenLCAbasic!K7271="CTUh", "Fill in Manually",IF(OR(K7271="Unit", K7271=""), "", INDEX(LookUps!$E$5:$E$12, MATCH(OpenLCAbasic!K7271,LookUps!$D$5:$D$12,0))))</f>
        <v>Global Warming Potential (GWP) - kg CO2 eq</v>
      </c>
      <c r="M7271" s="154" t="str">
        <f t="shared" si="552"/>
        <v>High_Medium_Low_Upgraded_Global Warming Potential (GWP) - kg CO2 eq_Aeration Tanks; wastewater treatment unit; at updated plant - US_Without Amendment_Windrow</v>
      </c>
    </row>
    <row r="7272" spans="1:13" s="120" customFormat="1" x14ac:dyDescent="0.25">
      <c r="A7272" s="119"/>
      <c r="B7272" s="138" t="str">
        <f t="shared" ref="B7272:B7335" si="556">IF(F7272="Legacy","n.a.",IF(F7272="","","Windrow"))</f>
        <v>Windrow</v>
      </c>
      <c r="C7272" s="138" t="str">
        <f t="shared" si="553"/>
        <v>Without Amendment</v>
      </c>
      <c r="D7272" s="138" t="str">
        <f t="shared" si="555"/>
        <v>Medium_Low</v>
      </c>
      <c r="E7272" s="138" t="str">
        <f t="shared" si="554"/>
        <v>High</v>
      </c>
      <c r="F7272" s="138" t="str">
        <f t="shared" ref="F7272:F7335" si="557">IF(ISNUMBER(J7272),"Upgraded","")</f>
        <v>Upgraded</v>
      </c>
      <c r="G7272" s="153"/>
      <c r="H7272" s="210">
        <v>6.7900000000000002E-2</v>
      </c>
      <c r="I7272" s="160" t="s">
        <v>167</v>
      </c>
      <c r="J7272" s="160">
        <v>0.12354999999999999</v>
      </c>
      <c r="K7272" s="160" t="s">
        <v>23</v>
      </c>
      <c r="L7272" s="154" t="str">
        <f>IF(OpenLCAbasic!K7272="CTUh", "Fill in Manually",IF(OR(K7272="Unit", K7272=""), "", INDEX(LookUps!$E$5:$E$12, MATCH(OpenLCAbasic!K7272,LookUps!$D$5:$D$12,0))))</f>
        <v>Global Warming Potential (GWP) - kg CO2 eq</v>
      </c>
      <c r="M7272" s="154" t="str">
        <f t="shared" si="552"/>
        <v>High_Medium_Low_Upgraded_Global Warming Potential (GWP) - kg CO2 eq_Waste Receiving and Holding; wastewater treatment unit; at updated plant - US_Without Amendment_Windrow</v>
      </c>
    </row>
    <row r="7273" spans="1:13" s="120" customFormat="1" x14ac:dyDescent="0.25">
      <c r="A7273" s="119"/>
      <c r="B7273" s="138" t="str">
        <f t="shared" si="556"/>
        <v>Windrow</v>
      </c>
      <c r="C7273" s="138" t="str">
        <f t="shared" si="553"/>
        <v>Without Amendment</v>
      </c>
      <c r="D7273" s="138" t="str">
        <f t="shared" si="555"/>
        <v>Medium_Low</v>
      </c>
      <c r="E7273" s="138" t="str">
        <f t="shared" si="554"/>
        <v>High</v>
      </c>
      <c r="F7273" s="138" t="str">
        <f t="shared" si="557"/>
        <v>Upgraded</v>
      </c>
      <c r="G7273" s="153"/>
      <c r="H7273" s="210">
        <v>3.5000000000000003E-2</v>
      </c>
      <c r="I7273" s="160" t="s">
        <v>149</v>
      </c>
      <c r="J7273" s="160">
        <v>6.3659999999999994E-2</v>
      </c>
      <c r="K7273" s="160" t="s">
        <v>23</v>
      </c>
      <c r="L7273" s="154" t="str">
        <f>IF(OpenLCAbasic!K7273="CTUh", "Fill in Manually",IF(OR(K7273="Unit", K7273=""), "", INDEX(LookUps!$E$5:$E$12, MATCH(OpenLCAbasic!K7273,LookUps!$D$5:$D$12,0))))</f>
        <v>Global Warming Potential (GWP) - kg CO2 eq</v>
      </c>
      <c r="M7273" s="154" t="str">
        <f t="shared" si="552"/>
        <v>High_Medium_Low_Upgraded_Global Warming Potential (GWP) - kg CO2 eq_Anaerobic Digestion; wastewater treatment unit; at updated plant - US_Without Amendment_Windrow</v>
      </c>
    </row>
    <row r="7274" spans="1:13" s="120" customFormat="1" x14ac:dyDescent="0.25">
      <c r="A7274" s="119"/>
      <c r="B7274" s="138" t="str">
        <f t="shared" si="556"/>
        <v>Windrow</v>
      </c>
      <c r="C7274" s="138" t="str">
        <f t="shared" si="553"/>
        <v>Without Amendment</v>
      </c>
      <c r="D7274" s="138" t="str">
        <f t="shared" si="555"/>
        <v>Medium_Low</v>
      </c>
      <c r="E7274" s="138" t="str">
        <f t="shared" si="554"/>
        <v>High</v>
      </c>
      <c r="F7274" s="138" t="str">
        <f t="shared" si="557"/>
        <v>Upgraded</v>
      </c>
      <c r="G7274" s="153"/>
      <c r="H7274" s="210">
        <v>3.1399999999999997E-2</v>
      </c>
      <c r="I7274" s="160" t="s">
        <v>54</v>
      </c>
      <c r="J7274" s="160">
        <v>5.7079999999999999E-2</v>
      </c>
      <c r="K7274" s="160" t="s">
        <v>23</v>
      </c>
      <c r="L7274" s="154" t="str">
        <f>IF(OpenLCAbasic!K7274="CTUh", "Fill in Manually",IF(OR(K7274="Unit", K7274=""), "", INDEX(LookUps!$E$5:$E$12, MATCH(OpenLCAbasic!K7274,LookUps!$D$5:$D$12,0))))</f>
        <v>Global Warming Potential (GWP) - kg CO2 eq</v>
      </c>
      <c r="M7274" s="154" t="str">
        <f t="shared" si="552"/>
        <v>High_Medium_Low_Upgraded_Global Warming Potential (GWP) - kg CO2 eq_Clear Cove Primary Clarification; wastewater treatment unit; at updated plant - US_Without Amendment_Windrow</v>
      </c>
    </row>
    <row r="7275" spans="1:13" s="120" customFormat="1" x14ac:dyDescent="0.25">
      <c r="A7275" s="119"/>
      <c r="B7275" s="138" t="str">
        <f t="shared" si="556"/>
        <v>Windrow</v>
      </c>
      <c r="C7275" s="138" t="str">
        <f t="shared" si="553"/>
        <v>Without Amendment</v>
      </c>
      <c r="D7275" s="138" t="str">
        <f t="shared" si="555"/>
        <v>Medium_Low</v>
      </c>
      <c r="E7275" s="138" t="str">
        <f t="shared" si="554"/>
        <v>High</v>
      </c>
      <c r="F7275" s="138" t="str">
        <f t="shared" si="557"/>
        <v>Upgraded</v>
      </c>
      <c r="G7275" s="153"/>
      <c r="H7275" s="210">
        <v>2.8899999999999999E-2</v>
      </c>
      <c r="I7275" s="160" t="s">
        <v>48</v>
      </c>
      <c r="J7275" s="160">
        <v>5.2639999999999999E-2</v>
      </c>
      <c r="K7275" s="160" t="s">
        <v>23</v>
      </c>
      <c r="L7275" s="154" t="str">
        <f>IF(OpenLCAbasic!K7275="CTUh", "Fill in Manually",IF(OR(K7275="Unit", K7275=""), "", INDEX(LookUps!$E$5:$E$12, MATCH(OpenLCAbasic!K7275,LookUps!$D$5:$D$12,0))))</f>
        <v>Global Warming Potential (GWP) - kg CO2 eq</v>
      </c>
      <c r="M7275" s="154" t="str">
        <f t="shared" si="552"/>
        <v>High_Medium_Low_Upgraded_Global Warming Potential (GWP) - kg CO2 eq_Effluent release; wastewater treatment unit; at surface water; m3 wastewater - US_Without Amendment_Windrow</v>
      </c>
    </row>
    <row r="7276" spans="1:13" s="120" customFormat="1" x14ac:dyDescent="0.25">
      <c r="A7276" s="119"/>
      <c r="B7276" s="138" t="str">
        <f t="shared" si="556"/>
        <v>Windrow</v>
      </c>
      <c r="C7276" s="138" t="str">
        <f t="shared" si="553"/>
        <v>Without Amendment</v>
      </c>
      <c r="D7276" s="138" t="str">
        <f t="shared" si="555"/>
        <v>Medium_Low</v>
      </c>
      <c r="E7276" s="138" t="str">
        <f t="shared" si="554"/>
        <v>High</v>
      </c>
      <c r="F7276" s="138" t="str">
        <f t="shared" si="557"/>
        <v>Upgraded</v>
      </c>
      <c r="G7276" s="153"/>
      <c r="H7276" s="210">
        <v>2.7799999999999998E-2</v>
      </c>
      <c r="I7276" s="160" t="s">
        <v>147</v>
      </c>
      <c r="J7276" s="160">
        <v>5.0500000000000003E-2</v>
      </c>
      <c r="K7276" s="160" t="s">
        <v>23</v>
      </c>
      <c r="L7276" s="154" t="str">
        <f>IF(OpenLCAbasic!K7276="CTUh", "Fill in Manually",IF(OR(K7276="Unit", K7276=""), "", INDEX(LookUps!$E$5:$E$12, MATCH(OpenLCAbasic!K7276,LookUps!$D$5:$D$12,0))))</f>
        <v>Global Warming Potential (GWP) - kg CO2 eq</v>
      </c>
      <c r="M7276" s="154" t="str">
        <f t="shared" si="552"/>
        <v>High_Medium_Low_Upgraded_Global Warming Potential (GWP) - kg CO2 eq_Influent Pump Station; wastewater treatment unit; at updated plant - US_Without Amendment_Windrow</v>
      </c>
    </row>
    <row r="7277" spans="1:13" s="120" customFormat="1" x14ac:dyDescent="0.25">
      <c r="A7277" s="119"/>
      <c r="B7277" s="138" t="str">
        <f t="shared" si="556"/>
        <v>Windrow</v>
      </c>
      <c r="C7277" s="138" t="str">
        <f t="shared" si="553"/>
        <v>Without Amendment</v>
      </c>
      <c r="D7277" s="138" t="str">
        <f t="shared" si="555"/>
        <v>Medium_Low</v>
      </c>
      <c r="E7277" s="138" t="str">
        <f t="shared" si="554"/>
        <v>High</v>
      </c>
      <c r="F7277" s="138" t="str">
        <f t="shared" si="557"/>
        <v>Upgraded</v>
      </c>
      <c r="G7277" s="153"/>
      <c r="H7277" s="210">
        <v>1.83E-2</v>
      </c>
      <c r="I7277" s="160" t="s">
        <v>53</v>
      </c>
      <c r="J7277" s="160">
        <v>3.3259999999999998E-2</v>
      </c>
      <c r="K7277" s="160" t="s">
        <v>23</v>
      </c>
      <c r="L7277" s="154" t="str">
        <f>IF(OpenLCAbasic!K7277="CTUh", "Fill in Manually",IF(OR(K7277="Unit", K7277=""), "", INDEX(LookUps!$E$5:$E$12, MATCH(OpenLCAbasic!K7277,LookUps!$D$5:$D$12,0))))</f>
        <v>Global Warming Potential (GWP) - kg CO2 eq</v>
      </c>
      <c r="M7277" s="154" t="str">
        <f t="shared" si="552"/>
        <v>High_Medium_Low_Upgraded_Global Warming Potential (GWP) - kg CO2 eq_Wet Well and Sump Station; wastewater treatment unit; at updated plant - US_Without Amendment_Windrow</v>
      </c>
    </row>
    <row r="7278" spans="1:13" s="120" customFormat="1" x14ac:dyDescent="0.25">
      <c r="A7278" s="119"/>
      <c r="B7278" s="138" t="str">
        <f t="shared" si="556"/>
        <v>Windrow</v>
      </c>
      <c r="C7278" s="138" t="str">
        <f t="shared" si="553"/>
        <v>Without Amendment</v>
      </c>
      <c r="D7278" s="138" t="str">
        <f t="shared" si="555"/>
        <v>Medium_Low</v>
      </c>
      <c r="E7278" s="138" t="str">
        <f t="shared" si="554"/>
        <v>High</v>
      </c>
      <c r="F7278" s="138" t="str">
        <f t="shared" si="557"/>
        <v>Upgraded</v>
      </c>
      <c r="G7278" s="153"/>
      <c r="H7278" s="210">
        <v>1.09E-2</v>
      </c>
      <c r="I7278" s="160" t="s">
        <v>60</v>
      </c>
      <c r="J7278" s="160">
        <v>1.9910000000000001E-2</v>
      </c>
      <c r="K7278" s="160" t="s">
        <v>23</v>
      </c>
      <c r="L7278" s="154" t="str">
        <f>IF(OpenLCAbasic!K7278="CTUh", "Fill in Manually",IF(OR(K7278="Unit", K7278=""), "", INDEX(LookUps!$E$5:$E$12, MATCH(OpenLCAbasic!K7278,LookUps!$D$5:$D$12,0))))</f>
        <v>Global Warming Potential (GWP) - kg CO2 eq</v>
      </c>
      <c r="M7278" s="154" t="str">
        <f t="shared" si="552"/>
        <v>High_Medium_Low_Upgraded_Global Warming Potential (GWP) - kg CO2 eq_Belt filter press; wastewater treatment unit; at updated plant - US_Without Amendment_Windrow</v>
      </c>
    </row>
    <row r="7279" spans="1:13" s="120" customFormat="1" x14ac:dyDescent="0.25">
      <c r="A7279" s="119"/>
      <c r="B7279" s="138" t="str">
        <f t="shared" si="556"/>
        <v>Windrow</v>
      </c>
      <c r="C7279" s="138" t="str">
        <f t="shared" si="553"/>
        <v>Without Amendment</v>
      </c>
      <c r="D7279" s="138" t="str">
        <f t="shared" si="555"/>
        <v>Medium_Low</v>
      </c>
      <c r="E7279" s="138" t="str">
        <f t="shared" si="554"/>
        <v>High</v>
      </c>
      <c r="F7279" s="138" t="str">
        <f t="shared" si="557"/>
        <v>Upgraded</v>
      </c>
      <c r="G7279" s="153"/>
      <c r="H7279" s="210">
        <v>8.0000000000000002E-3</v>
      </c>
      <c r="I7279" s="160" t="s">
        <v>57</v>
      </c>
      <c r="J7279" s="160">
        <v>1.455E-2</v>
      </c>
      <c r="K7279" s="160" t="s">
        <v>23</v>
      </c>
      <c r="L7279" s="154" t="str">
        <f>IF(OpenLCAbasic!K7279="CTUh", "Fill in Manually",IF(OR(K7279="Unit", K7279=""), "", INDEX(LookUps!$E$5:$E$12, MATCH(OpenLCAbasic!K7279,LookUps!$D$5:$D$12,0))))</f>
        <v>Global Warming Potential (GWP) - kg CO2 eq</v>
      </c>
      <c r="M7279" s="154" t="str">
        <f t="shared" si="552"/>
        <v>High_Medium_Low_Upgraded_Global Warming Potential (GWP) - kg CO2 eq_Gravity Belt Thickener; wastewater treatment unit; at updated plant - US_Without Amendment_Windrow</v>
      </c>
    </row>
    <row r="7280" spans="1:13" s="120" customFormat="1" x14ac:dyDescent="0.25">
      <c r="A7280" s="119"/>
      <c r="B7280" s="138" t="str">
        <f t="shared" si="556"/>
        <v>Windrow</v>
      </c>
      <c r="C7280" s="138" t="str">
        <f t="shared" si="553"/>
        <v>Without Amendment</v>
      </c>
      <c r="D7280" s="138" t="str">
        <f t="shared" si="555"/>
        <v>Medium_Low</v>
      </c>
      <c r="E7280" s="138" t="str">
        <f t="shared" si="554"/>
        <v>High</v>
      </c>
      <c r="F7280" s="138" t="str">
        <f t="shared" si="557"/>
        <v>Upgraded</v>
      </c>
      <c r="G7280" s="153"/>
      <c r="H7280" s="210">
        <v>7.4000000000000003E-3</v>
      </c>
      <c r="I7280" s="160" t="s">
        <v>128</v>
      </c>
      <c r="J7280" s="160">
        <v>1.3509999999999999E-2</v>
      </c>
      <c r="K7280" s="160" t="s">
        <v>23</v>
      </c>
      <c r="L7280" s="154" t="str">
        <f>IF(OpenLCAbasic!K7280="CTUh", "Fill in Manually",IF(OR(K7280="Unit", K7280=""), "", INDEX(LookUps!$E$5:$E$12, MATCH(OpenLCAbasic!K7280,LookUps!$D$5:$D$12,0))))</f>
        <v>Global Warming Potential (GWP) - kg CO2 eq</v>
      </c>
      <c r="M7280" s="154" t="str">
        <f t="shared" si="552"/>
        <v>High_Medium_Low_Upgraded_Global Warming Potential (GWP) - kg CO2 eq_Wastewater collection; operation and infrastructure; m3 wastewater_Without Amendment_Windrow</v>
      </c>
    </row>
    <row r="7281" spans="1:13" s="120" customFormat="1" x14ac:dyDescent="0.25">
      <c r="A7281" s="119"/>
      <c r="B7281" s="138" t="str">
        <f t="shared" si="556"/>
        <v>Windrow</v>
      </c>
      <c r="C7281" s="138" t="str">
        <f t="shared" si="553"/>
        <v>Without Amendment</v>
      </c>
      <c r="D7281" s="138" t="str">
        <f t="shared" si="555"/>
        <v>Medium_Low</v>
      </c>
      <c r="E7281" s="138" t="str">
        <f t="shared" si="554"/>
        <v>High</v>
      </c>
      <c r="F7281" s="138" t="str">
        <f t="shared" si="557"/>
        <v>Upgraded</v>
      </c>
      <c r="G7281" s="153"/>
      <c r="H7281" s="210">
        <v>4.5999999999999999E-3</v>
      </c>
      <c r="I7281" s="160" t="s">
        <v>148</v>
      </c>
      <c r="J7281" s="160">
        <v>8.3000000000000001E-3</v>
      </c>
      <c r="K7281" s="160" t="s">
        <v>23</v>
      </c>
      <c r="L7281" s="154" t="str">
        <f>IF(OpenLCAbasic!K7281="CTUh", "Fill in Manually",IF(OR(K7281="Unit", K7281=""), "", INDEX(LookUps!$E$5:$E$12, MATCH(OpenLCAbasic!K7281,LookUps!$D$5:$D$12,0))))</f>
        <v>Global Warming Potential (GWP) - kg CO2 eq</v>
      </c>
      <c r="M7281" s="154" t="str">
        <f t="shared" si="552"/>
        <v>High_Medium_Low_Upgraded_Global Warming Potential (GWP) - kg CO2 eq_Control Building; at upgraded wastewater treatment plant - US_Without Amendment_Windrow</v>
      </c>
    </row>
    <row r="7282" spans="1:13" s="120" customFormat="1" x14ac:dyDescent="0.25">
      <c r="A7282" s="119"/>
      <c r="B7282" s="138" t="str">
        <f t="shared" si="556"/>
        <v>Windrow</v>
      </c>
      <c r="C7282" s="138" t="str">
        <f t="shared" si="553"/>
        <v>Without Amendment</v>
      </c>
      <c r="D7282" s="138" t="str">
        <f t="shared" si="555"/>
        <v>Medium_Low</v>
      </c>
      <c r="E7282" s="138" t="str">
        <f t="shared" si="554"/>
        <v>High</v>
      </c>
      <c r="F7282" s="138" t="str">
        <f t="shared" si="557"/>
        <v>Upgraded</v>
      </c>
      <c r="G7282" s="153"/>
      <c r="H7282" s="210">
        <v>2.8E-3</v>
      </c>
      <c r="I7282" s="160" t="s">
        <v>59</v>
      </c>
      <c r="J7282" s="160">
        <v>5.0400000000000002E-3</v>
      </c>
      <c r="K7282" s="160" t="s">
        <v>23</v>
      </c>
      <c r="L7282" s="154" t="str">
        <f>IF(OpenLCAbasic!K7282="CTUh", "Fill in Manually",IF(OR(K7282="Unit", K7282=""), "", INDEX(LookUps!$E$5:$E$12, MATCH(OpenLCAbasic!K7282,LookUps!$D$5:$D$12,0))))</f>
        <v>Global Warming Potential (GWP) - kg CO2 eq</v>
      </c>
      <c r="M7282" s="154" t="str">
        <f t="shared" si="552"/>
        <v>High_Medium_Low_Upgraded_Global Warming Potential (GWP) - kg CO2 eq_Blend Tank; wastewater treatment unit; at updated plant - US_Without Amendment_Windrow</v>
      </c>
    </row>
    <row r="7283" spans="1:13" s="120" customFormat="1" x14ac:dyDescent="0.25">
      <c r="A7283" s="119"/>
      <c r="B7283" s="138" t="str">
        <f t="shared" si="556"/>
        <v>Windrow</v>
      </c>
      <c r="C7283" s="138" t="str">
        <f t="shared" si="553"/>
        <v>Without Amendment</v>
      </c>
      <c r="D7283" s="138" t="str">
        <f t="shared" si="555"/>
        <v>Medium_Low</v>
      </c>
      <c r="E7283" s="138" t="str">
        <f t="shared" si="554"/>
        <v>High</v>
      </c>
      <c r="F7283" s="138" t="str">
        <f t="shared" si="557"/>
        <v>Upgraded</v>
      </c>
      <c r="G7283" s="153"/>
      <c r="H7283" s="210">
        <v>1.2999999999999999E-3</v>
      </c>
      <c r="I7283" s="160" t="s">
        <v>168</v>
      </c>
      <c r="J7283" s="160">
        <v>2.4099999999999998E-3</v>
      </c>
      <c r="K7283" s="160" t="s">
        <v>23</v>
      </c>
      <c r="L7283" s="154" t="str">
        <f>IF(OpenLCAbasic!K7283="CTUh", "Fill in Manually",IF(OR(K7283="Unit", K7283=""), "", INDEX(LookUps!$E$5:$E$12, MATCH(OpenLCAbasic!K7283,LookUps!$D$5:$D$12,0))))</f>
        <v>Global Warming Potential (GWP) - kg CO2 eq</v>
      </c>
      <c r="M7283" s="154" t="str">
        <f t="shared" si="552"/>
        <v>High_Medium_Low_Upgraded_Global Warming Potential (GWP) - kg CO2 eq_ClearCove SCP; wastewater treatment unit; at updated plant - US_Without Amendment_Windrow</v>
      </c>
    </row>
    <row r="7284" spans="1:13" s="120" customFormat="1" x14ac:dyDescent="0.25">
      <c r="A7284" s="119"/>
      <c r="B7284" s="138" t="str">
        <f t="shared" si="556"/>
        <v>Windrow</v>
      </c>
      <c r="C7284" s="138" t="str">
        <f t="shared" si="553"/>
        <v>Without Amendment</v>
      </c>
      <c r="D7284" s="138" t="str">
        <f t="shared" si="555"/>
        <v>Medium_Low</v>
      </c>
      <c r="E7284" s="138" t="str">
        <f t="shared" si="554"/>
        <v>High</v>
      </c>
      <c r="F7284" s="138" t="str">
        <f t="shared" si="557"/>
        <v>Upgraded</v>
      </c>
      <c r="G7284" s="153"/>
      <c r="H7284" s="210">
        <v>-0.1187</v>
      </c>
      <c r="I7284" s="160" t="s">
        <v>62</v>
      </c>
      <c r="J7284" s="160">
        <v>-0.21592</v>
      </c>
      <c r="K7284" s="160" t="s">
        <v>23</v>
      </c>
      <c r="L7284" s="154" t="str">
        <f>IF(OpenLCAbasic!K7284="CTUh", "Fill in Manually",IF(OR(K7284="Unit", K7284=""), "", INDEX(LookUps!$E$5:$E$12, MATCH(OpenLCAbasic!K7284,LookUps!$D$5:$D$12,0))))</f>
        <v>Global Warming Potential (GWP) - kg CO2 eq</v>
      </c>
      <c r="M7284" s="154" t="str">
        <f t="shared" si="552"/>
        <v>High_Medium_Low_Upgraded_Global Warming Potential (GWP) - kg CO2 eq_Land application of compost; wastewater treatment unit; at updated plant - US_Without Amendment_Windrow</v>
      </c>
    </row>
    <row r="7285" spans="1:13" s="120" customFormat="1" x14ac:dyDescent="0.25">
      <c r="A7285" s="119"/>
      <c r="B7285" s="138" t="str">
        <f t="shared" si="556"/>
        <v/>
      </c>
      <c r="C7285" s="138" t="str">
        <f t="shared" si="553"/>
        <v/>
      </c>
      <c r="D7285" s="138" t="str">
        <f t="shared" si="555"/>
        <v/>
      </c>
      <c r="E7285" s="138" t="str">
        <f t="shared" si="554"/>
        <v/>
      </c>
      <c r="F7285" s="138" t="str">
        <f t="shared" si="557"/>
        <v/>
      </c>
      <c r="G7285" s="153" t="s">
        <v>51</v>
      </c>
      <c r="H7285" s="160"/>
      <c r="I7285" s="160" t="s">
        <v>47</v>
      </c>
      <c r="J7285" s="160" t="s">
        <v>52</v>
      </c>
      <c r="K7285" s="160" t="s">
        <v>27</v>
      </c>
      <c r="L7285" s="154" t="str">
        <f>IF(OpenLCAbasic!K7285="CTUh", "Fill in Manually",IF(OR(K7285="Unit", K7285=""), "", INDEX(LookUps!$E$5:$E$12, MATCH(OpenLCAbasic!K7285,LookUps!$D$5:$D$12,0))))</f>
        <v/>
      </c>
      <c r="M7285" s="154" t="str">
        <f t="shared" si="552"/>
        <v>____Process__</v>
      </c>
    </row>
    <row r="7286" spans="1:13" s="120" customFormat="1" x14ac:dyDescent="0.25">
      <c r="A7286" s="119"/>
      <c r="B7286" s="138" t="str">
        <f t="shared" si="556"/>
        <v>Windrow</v>
      </c>
      <c r="C7286" s="138" t="str">
        <f t="shared" si="553"/>
        <v>Without Amendment</v>
      </c>
      <c r="D7286" s="138" t="str">
        <f t="shared" si="555"/>
        <v>Medium_Low</v>
      </c>
      <c r="E7286" s="138" t="str">
        <f t="shared" si="554"/>
        <v>High</v>
      </c>
      <c r="F7286" s="138" t="str">
        <f t="shared" si="557"/>
        <v>Upgraded</v>
      </c>
      <c r="G7286" s="153"/>
      <c r="H7286" s="210">
        <v>0.44269999999999998</v>
      </c>
      <c r="I7286" s="160" t="s">
        <v>55</v>
      </c>
      <c r="J7286" s="160">
        <v>2.33E-3</v>
      </c>
      <c r="K7286" s="160" t="s">
        <v>145</v>
      </c>
      <c r="L7286" s="154" t="str">
        <f>IF(OpenLCAbasic!K7286="CTUh", "Fill in Manually",IF(OR(K7286="Unit", K7286=""), "", INDEX(LookUps!$E$5:$E$12, MATCH(OpenLCAbasic!K7286,LookUps!$D$5:$D$12,0))))</f>
        <v>Particulate Matter Formation Potential (PMFP) - kg PM2.5 eq</v>
      </c>
      <c r="M7286" s="154" t="str">
        <f t="shared" si="552"/>
        <v>High_Medium_Low_Upgraded_Particulate Matter Formation Potential (PMFP) - kg PM2.5 eq_Aeration Tanks; wastewater treatment unit; at updated plant - US_Without Amendment_Windrow</v>
      </c>
    </row>
    <row r="7287" spans="1:13" s="120" customFormat="1" x14ac:dyDescent="0.25">
      <c r="A7287" s="119"/>
      <c r="B7287" s="138" t="str">
        <f t="shared" si="556"/>
        <v>Windrow</v>
      </c>
      <c r="C7287" s="138" t="str">
        <f t="shared" si="553"/>
        <v>Without Amendment</v>
      </c>
      <c r="D7287" s="138" t="str">
        <f t="shared" si="555"/>
        <v>Medium_Low</v>
      </c>
      <c r="E7287" s="138" t="str">
        <f t="shared" si="554"/>
        <v>High</v>
      </c>
      <c r="F7287" s="138" t="str">
        <f t="shared" si="557"/>
        <v>Upgraded</v>
      </c>
      <c r="G7287" s="153"/>
      <c r="H7287" s="210">
        <v>0.1288</v>
      </c>
      <c r="I7287" s="160" t="s">
        <v>54</v>
      </c>
      <c r="J7287" s="160">
        <v>6.8000000000000005E-4</v>
      </c>
      <c r="K7287" s="160" t="s">
        <v>145</v>
      </c>
      <c r="L7287" s="154" t="str">
        <f>IF(OpenLCAbasic!K7287="CTUh", "Fill in Manually",IF(OR(K7287="Unit", K7287=""), "", INDEX(LookUps!$E$5:$E$12, MATCH(OpenLCAbasic!K7287,LookUps!$D$5:$D$12,0))))</f>
        <v>Particulate Matter Formation Potential (PMFP) - kg PM2.5 eq</v>
      </c>
      <c r="M7287" s="154" t="str">
        <f t="shared" si="552"/>
        <v>High_Medium_Low_Upgraded_Particulate Matter Formation Potential (PMFP) - kg PM2.5 eq_Clear Cove Primary Clarification; wastewater treatment unit; at updated plant - US_Without Amendment_Windrow</v>
      </c>
    </row>
    <row r="7288" spans="1:13" s="120" customFormat="1" x14ac:dyDescent="0.25">
      <c r="A7288" s="119"/>
      <c r="B7288" s="138" t="str">
        <f t="shared" si="556"/>
        <v>Windrow</v>
      </c>
      <c r="C7288" s="138" t="str">
        <f t="shared" si="553"/>
        <v>Without Amendment</v>
      </c>
      <c r="D7288" s="138" t="str">
        <f t="shared" si="555"/>
        <v>Medium_Low</v>
      </c>
      <c r="E7288" s="138" t="str">
        <f t="shared" si="554"/>
        <v>High</v>
      </c>
      <c r="F7288" s="138" t="str">
        <f t="shared" si="557"/>
        <v>Upgraded</v>
      </c>
      <c r="G7288" s="153"/>
      <c r="H7288" s="210">
        <v>0.11169999999999999</v>
      </c>
      <c r="I7288" s="160" t="s">
        <v>58</v>
      </c>
      <c r="J7288" s="160">
        <v>5.9000000000000003E-4</v>
      </c>
      <c r="K7288" s="160" t="s">
        <v>145</v>
      </c>
      <c r="L7288" s="154" t="str">
        <f>IF(OpenLCAbasic!K7288="CTUh", "Fill in Manually",IF(OR(K7288="Unit", K7288=""), "", INDEX(LookUps!$E$5:$E$12, MATCH(OpenLCAbasic!K7288,LookUps!$D$5:$D$12,0))))</f>
        <v>Particulate Matter Formation Potential (PMFP) - kg PM2.5 eq</v>
      </c>
      <c r="M7288" s="154" t="str">
        <f t="shared" si="552"/>
        <v>High_Medium_Low_Upgraded_Particulate Matter Formation Potential (PMFP) - kg PM2.5 eq_Pre-Anoxic &amp; Swing tank; wastewater treatment unit; at updated plant - US_Without Amendment_Windrow</v>
      </c>
    </row>
    <row r="7289" spans="1:13" s="120" customFormat="1" x14ac:dyDescent="0.25">
      <c r="A7289" s="119"/>
      <c r="B7289" s="138" t="str">
        <f t="shared" si="556"/>
        <v>Windrow</v>
      </c>
      <c r="C7289" s="138" t="str">
        <f t="shared" si="553"/>
        <v>Without Amendment</v>
      </c>
      <c r="D7289" s="138" t="str">
        <f t="shared" si="555"/>
        <v>Medium_Low</v>
      </c>
      <c r="E7289" s="138" t="str">
        <f t="shared" si="554"/>
        <v>High</v>
      </c>
      <c r="F7289" s="138" t="str">
        <f t="shared" si="557"/>
        <v>Upgraded</v>
      </c>
      <c r="G7289" s="153"/>
      <c r="H7289" s="210">
        <v>8.8499999999999995E-2</v>
      </c>
      <c r="I7289" s="160" t="s">
        <v>53</v>
      </c>
      <c r="J7289" s="160">
        <v>4.6999999999999999E-4</v>
      </c>
      <c r="K7289" s="160" t="s">
        <v>145</v>
      </c>
      <c r="L7289" s="154" t="str">
        <f>IF(OpenLCAbasic!K7289="CTUh", "Fill in Manually",IF(OR(K7289="Unit", K7289=""), "", INDEX(LookUps!$E$5:$E$12, MATCH(OpenLCAbasic!K7289,LookUps!$D$5:$D$12,0))))</f>
        <v>Particulate Matter Formation Potential (PMFP) - kg PM2.5 eq</v>
      </c>
      <c r="M7289" s="154" t="str">
        <f t="shared" si="552"/>
        <v>High_Medium_Low_Upgraded_Particulate Matter Formation Potential (PMFP) - kg PM2.5 eq_Wet Well and Sump Station; wastewater treatment unit; at updated plant - US_Without Amendment_Windrow</v>
      </c>
    </row>
    <row r="7290" spans="1:13" s="120" customFormat="1" x14ac:dyDescent="0.25">
      <c r="A7290" s="119"/>
      <c r="B7290" s="138" t="str">
        <f t="shared" si="556"/>
        <v>Windrow</v>
      </c>
      <c r="C7290" s="138" t="str">
        <f t="shared" si="553"/>
        <v>Without Amendment</v>
      </c>
      <c r="D7290" s="138" t="str">
        <f t="shared" si="555"/>
        <v>Medium_Low</v>
      </c>
      <c r="E7290" s="138" t="str">
        <f t="shared" si="554"/>
        <v>High</v>
      </c>
      <c r="F7290" s="138" t="str">
        <f t="shared" si="557"/>
        <v>Upgraded</v>
      </c>
      <c r="G7290" s="153"/>
      <c r="H7290" s="210">
        <v>7.1999999999999995E-2</v>
      </c>
      <c r="I7290" s="160" t="s">
        <v>271</v>
      </c>
      <c r="J7290" s="160">
        <v>3.8000000000000002E-4</v>
      </c>
      <c r="K7290" s="160" t="s">
        <v>145</v>
      </c>
      <c r="L7290" s="154" t="str">
        <f>IF(OpenLCAbasic!K7290="CTUh", "Fill in Manually",IF(OR(K7290="Unit", K7290=""), "", INDEX(LookUps!$E$5:$E$12, MATCH(OpenLCAbasic!K7290,LookUps!$D$5:$D$12,0))))</f>
        <v>Particulate Matter Formation Potential (PMFP) - kg PM2.5 eq</v>
      </c>
      <c r="M7290" s="154" t="str">
        <f t="shared" si="552"/>
        <v>High_Medium_Low_Upgraded_Particulate Matter Formation Potential (PMFP) - kg PM2.5 eq_Biosolids composting; windrow composting; wastewater treatment unit; at updated plant - US_Without Amendment_Windrow</v>
      </c>
    </row>
    <row r="7291" spans="1:13" s="120" customFormat="1" x14ac:dyDescent="0.25">
      <c r="A7291" s="119"/>
      <c r="B7291" s="138" t="str">
        <f t="shared" si="556"/>
        <v>Windrow</v>
      </c>
      <c r="C7291" s="138" t="str">
        <f t="shared" si="553"/>
        <v>Without Amendment</v>
      </c>
      <c r="D7291" s="138" t="str">
        <f t="shared" si="555"/>
        <v>Medium_Low</v>
      </c>
      <c r="E7291" s="138" t="str">
        <f t="shared" si="554"/>
        <v>High</v>
      </c>
      <c r="F7291" s="138" t="str">
        <f t="shared" si="557"/>
        <v>Upgraded</v>
      </c>
      <c r="G7291" s="153"/>
      <c r="H7291" s="210">
        <v>5.9700000000000003E-2</v>
      </c>
      <c r="I7291" s="160" t="s">
        <v>167</v>
      </c>
      <c r="J7291" s="160">
        <v>3.1E-4</v>
      </c>
      <c r="K7291" s="160" t="s">
        <v>145</v>
      </c>
      <c r="L7291" s="154" t="str">
        <f>IF(OpenLCAbasic!K7291="CTUh", "Fill in Manually",IF(OR(K7291="Unit", K7291=""), "", INDEX(LookUps!$E$5:$E$12, MATCH(OpenLCAbasic!K7291,LookUps!$D$5:$D$12,0))))</f>
        <v>Particulate Matter Formation Potential (PMFP) - kg PM2.5 eq</v>
      </c>
      <c r="M7291" s="154" t="str">
        <f t="shared" ref="M7291:M7354" si="558">CONCATENATE(E7291,"_",D7291,"_",F7291,"_",L7291, "_",I7291,"_", C7291,"_", B7291)</f>
        <v>High_Medium_Low_Upgraded_Particulate Matter Formation Potential (PMFP) - kg PM2.5 eq_Waste Receiving and Holding; wastewater treatment unit; at updated plant - US_Without Amendment_Windrow</v>
      </c>
    </row>
    <row r="7292" spans="1:13" s="120" customFormat="1" x14ac:dyDescent="0.25">
      <c r="A7292" s="119"/>
      <c r="B7292" s="138" t="str">
        <f t="shared" si="556"/>
        <v>Windrow</v>
      </c>
      <c r="C7292" s="138" t="str">
        <f t="shared" si="553"/>
        <v>Without Amendment</v>
      </c>
      <c r="D7292" s="138" t="str">
        <f t="shared" si="555"/>
        <v>Medium_Low</v>
      </c>
      <c r="E7292" s="138" t="str">
        <f t="shared" si="554"/>
        <v>High</v>
      </c>
      <c r="F7292" s="138" t="str">
        <f t="shared" si="557"/>
        <v>Upgraded</v>
      </c>
      <c r="G7292" s="153"/>
      <c r="H7292" s="210">
        <v>5.0599999999999999E-2</v>
      </c>
      <c r="I7292" s="160" t="s">
        <v>147</v>
      </c>
      <c r="J7292" s="160">
        <v>2.7E-4</v>
      </c>
      <c r="K7292" s="160" t="s">
        <v>145</v>
      </c>
      <c r="L7292" s="154" t="str">
        <f>IF(OpenLCAbasic!K7292="CTUh", "Fill in Manually",IF(OR(K7292="Unit", K7292=""), "", INDEX(LookUps!$E$5:$E$12, MATCH(OpenLCAbasic!K7292,LookUps!$D$5:$D$12,0))))</f>
        <v>Particulate Matter Formation Potential (PMFP) - kg PM2.5 eq</v>
      </c>
      <c r="M7292" s="154" t="str">
        <f t="shared" si="558"/>
        <v>High_Medium_Low_Upgraded_Particulate Matter Formation Potential (PMFP) - kg PM2.5 eq_Influent Pump Station; wastewater treatment unit; at updated plant - US_Without Amendment_Windrow</v>
      </c>
    </row>
    <row r="7293" spans="1:13" s="120" customFormat="1" x14ac:dyDescent="0.25">
      <c r="A7293" s="119"/>
      <c r="B7293" s="138" t="str">
        <f t="shared" si="556"/>
        <v>Windrow</v>
      </c>
      <c r="C7293" s="138" t="str">
        <f t="shared" si="553"/>
        <v>Without Amendment</v>
      </c>
      <c r="D7293" s="138" t="str">
        <f t="shared" si="555"/>
        <v>Medium_Low</v>
      </c>
      <c r="E7293" s="138" t="str">
        <f t="shared" si="554"/>
        <v>High</v>
      </c>
      <c r="F7293" s="138" t="str">
        <f t="shared" si="557"/>
        <v>Upgraded</v>
      </c>
      <c r="G7293" s="153"/>
      <c r="H7293" s="210">
        <v>3.1600000000000003E-2</v>
      </c>
      <c r="I7293" s="160" t="s">
        <v>128</v>
      </c>
      <c r="J7293" s="160">
        <v>1.7000000000000001E-4</v>
      </c>
      <c r="K7293" s="160" t="s">
        <v>145</v>
      </c>
      <c r="L7293" s="154" t="str">
        <f>IF(OpenLCAbasic!K7293="CTUh", "Fill in Manually",IF(OR(K7293="Unit", K7293=""), "", INDEX(LookUps!$E$5:$E$12, MATCH(OpenLCAbasic!K7293,LookUps!$D$5:$D$12,0))))</f>
        <v>Particulate Matter Formation Potential (PMFP) - kg PM2.5 eq</v>
      </c>
      <c r="M7293" s="154" t="str">
        <f t="shared" si="558"/>
        <v>High_Medium_Low_Upgraded_Particulate Matter Formation Potential (PMFP) - kg PM2.5 eq_Wastewater collection; operation and infrastructure; m3 wastewater_Without Amendment_Windrow</v>
      </c>
    </row>
    <row r="7294" spans="1:13" s="120" customFormat="1" x14ac:dyDescent="0.25">
      <c r="A7294" s="119"/>
      <c r="B7294" s="138" t="str">
        <f t="shared" si="556"/>
        <v>Windrow</v>
      </c>
      <c r="C7294" s="138" t="str">
        <f t="shared" si="553"/>
        <v>Without Amendment</v>
      </c>
      <c r="D7294" s="138" t="str">
        <f t="shared" si="555"/>
        <v>Medium_Low</v>
      </c>
      <c r="E7294" s="138" t="str">
        <f t="shared" si="554"/>
        <v>High</v>
      </c>
      <c r="F7294" s="138" t="str">
        <f t="shared" si="557"/>
        <v>Upgraded</v>
      </c>
      <c r="G7294" s="153"/>
      <c r="H7294" s="210">
        <v>3.09E-2</v>
      </c>
      <c r="I7294" s="160" t="s">
        <v>60</v>
      </c>
      <c r="J7294" s="160">
        <v>1.6000000000000001E-4</v>
      </c>
      <c r="K7294" s="160" t="s">
        <v>145</v>
      </c>
      <c r="L7294" s="154" t="str">
        <f>IF(OpenLCAbasic!K7294="CTUh", "Fill in Manually",IF(OR(K7294="Unit", K7294=""), "", INDEX(LookUps!$E$5:$E$12, MATCH(OpenLCAbasic!K7294,LookUps!$D$5:$D$12,0))))</f>
        <v>Particulate Matter Formation Potential (PMFP) - kg PM2.5 eq</v>
      </c>
      <c r="M7294" s="154" t="str">
        <f t="shared" si="558"/>
        <v>High_Medium_Low_Upgraded_Particulate Matter Formation Potential (PMFP) - kg PM2.5 eq_Belt filter press; wastewater treatment unit; at updated plant - US_Without Amendment_Windrow</v>
      </c>
    </row>
    <row r="7295" spans="1:13" s="120" customFormat="1" x14ac:dyDescent="0.25">
      <c r="A7295" s="119"/>
      <c r="B7295" s="138" t="str">
        <f t="shared" si="556"/>
        <v>Windrow</v>
      </c>
      <c r="C7295" s="138" t="str">
        <f t="shared" si="553"/>
        <v>Without Amendment</v>
      </c>
      <c r="D7295" s="138" t="str">
        <f t="shared" si="555"/>
        <v>Medium_Low</v>
      </c>
      <c r="E7295" s="138" t="str">
        <f t="shared" si="554"/>
        <v>High</v>
      </c>
      <c r="F7295" s="138" t="str">
        <f t="shared" si="557"/>
        <v>Upgraded</v>
      </c>
      <c r="G7295" s="153"/>
      <c r="H7295" s="210">
        <v>1.7999999999999999E-2</v>
      </c>
      <c r="I7295" s="160" t="s">
        <v>57</v>
      </c>
      <c r="J7295" s="211">
        <v>9.5153800000000004E-5</v>
      </c>
      <c r="K7295" s="160" t="s">
        <v>145</v>
      </c>
      <c r="L7295" s="154" t="str">
        <f>IF(OpenLCAbasic!K7295="CTUh", "Fill in Manually",IF(OR(K7295="Unit", K7295=""), "", INDEX(LookUps!$E$5:$E$12, MATCH(OpenLCAbasic!K7295,LookUps!$D$5:$D$12,0))))</f>
        <v>Particulate Matter Formation Potential (PMFP) - kg PM2.5 eq</v>
      </c>
      <c r="M7295" s="154" t="str">
        <f t="shared" si="558"/>
        <v>High_Medium_Low_Upgraded_Particulate Matter Formation Potential (PMFP) - kg PM2.5 eq_Gravity Belt Thickener; wastewater treatment unit; at updated plant - US_Without Amendment_Windrow</v>
      </c>
    </row>
    <row r="7296" spans="1:13" s="120" customFormat="1" x14ac:dyDescent="0.25">
      <c r="A7296" s="119"/>
      <c r="B7296" s="138" t="str">
        <f t="shared" si="556"/>
        <v>Windrow</v>
      </c>
      <c r="C7296" s="138" t="str">
        <f t="shared" si="553"/>
        <v>Without Amendment</v>
      </c>
      <c r="D7296" s="138" t="str">
        <f t="shared" si="555"/>
        <v>Medium_Low</v>
      </c>
      <c r="E7296" s="138" t="str">
        <f t="shared" si="554"/>
        <v>High</v>
      </c>
      <c r="F7296" s="138" t="str">
        <f t="shared" si="557"/>
        <v>Upgraded</v>
      </c>
      <c r="G7296" s="153"/>
      <c r="H7296" s="210">
        <v>1.3299999999999999E-2</v>
      </c>
      <c r="I7296" s="160" t="s">
        <v>59</v>
      </c>
      <c r="J7296" s="211">
        <v>6.9942200000000003E-5</v>
      </c>
      <c r="K7296" s="160" t="s">
        <v>145</v>
      </c>
      <c r="L7296" s="154" t="str">
        <f>IF(OpenLCAbasic!K7296="CTUh", "Fill in Manually",IF(OR(K7296="Unit", K7296=""), "", INDEX(LookUps!$E$5:$E$12, MATCH(OpenLCAbasic!K7296,LookUps!$D$5:$D$12,0))))</f>
        <v>Particulate Matter Formation Potential (PMFP) - kg PM2.5 eq</v>
      </c>
      <c r="M7296" s="154" t="str">
        <f t="shared" si="558"/>
        <v>High_Medium_Low_Upgraded_Particulate Matter Formation Potential (PMFP) - kg PM2.5 eq_Blend Tank; wastewater treatment unit; at updated plant - US_Without Amendment_Windrow</v>
      </c>
    </row>
    <row r="7297" spans="1:13" s="120" customFormat="1" x14ac:dyDescent="0.25">
      <c r="A7297" s="119"/>
      <c r="B7297" s="138" t="str">
        <f t="shared" si="556"/>
        <v>Windrow</v>
      </c>
      <c r="C7297" s="138" t="str">
        <f t="shared" ref="C7297:C7360" si="559">IF(ISNUMBER($J7297),"Without Amendment","")</f>
        <v>Without Amendment</v>
      </c>
      <c r="D7297" s="138" t="str">
        <f t="shared" si="555"/>
        <v>Medium_Low</v>
      </c>
      <c r="E7297" s="138" t="str">
        <f t="shared" si="554"/>
        <v>High</v>
      </c>
      <c r="F7297" s="138" t="str">
        <f t="shared" si="557"/>
        <v>Upgraded</v>
      </c>
      <c r="G7297" s="153"/>
      <c r="H7297" s="210">
        <v>9.4999999999999998E-3</v>
      </c>
      <c r="I7297" s="160" t="s">
        <v>48</v>
      </c>
      <c r="J7297" s="211">
        <v>4.99741E-5</v>
      </c>
      <c r="K7297" s="160" t="s">
        <v>145</v>
      </c>
      <c r="L7297" s="154" t="str">
        <f>IF(OpenLCAbasic!K7297="CTUh", "Fill in Manually",IF(OR(K7297="Unit", K7297=""), "", INDEX(LookUps!$E$5:$E$12, MATCH(OpenLCAbasic!K7297,LookUps!$D$5:$D$12,0))))</f>
        <v>Particulate Matter Formation Potential (PMFP) - kg PM2.5 eq</v>
      </c>
      <c r="M7297" s="154" t="str">
        <f t="shared" si="558"/>
        <v>High_Medium_Low_Upgraded_Particulate Matter Formation Potential (PMFP) - kg PM2.5 eq_Effluent release; wastewater treatment unit; at surface water; m3 wastewater - US_Without Amendment_Windrow</v>
      </c>
    </row>
    <row r="7298" spans="1:13" s="120" customFormat="1" x14ac:dyDescent="0.25">
      <c r="A7298" s="119"/>
      <c r="B7298" s="138" t="str">
        <f t="shared" si="556"/>
        <v>Windrow</v>
      </c>
      <c r="C7298" s="138" t="str">
        <f t="shared" si="559"/>
        <v>Without Amendment</v>
      </c>
      <c r="D7298" s="138" t="str">
        <f t="shared" si="555"/>
        <v>Medium_Low</v>
      </c>
      <c r="E7298" s="138" t="str">
        <f t="shared" si="554"/>
        <v>High</v>
      </c>
      <c r="F7298" s="138" t="str">
        <f t="shared" si="557"/>
        <v>Upgraded</v>
      </c>
      <c r="G7298" s="153"/>
      <c r="H7298" s="210">
        <v>7.0000000000000001E-3</v>
      </c>
      <c r="I7298" s="160" t="s">
        <v>62</v>
      </c>
      <c r="J7298" s="211">
        <v>3.6718599999999998E-5</v>
      </c>
      <c r="K7298" s="160" t="s">
        <v>145</v>
      </c>
      <c r="L7298" s="154" t="str">
        <f>IF(OpenLCAbasic!K7298="CTUh", "Fill in Manually",IF(OR(K7298="Unit", K7298=""), "", INDEX(LookUps!$E$5:$E$12, MATCH(OpenLCAbasic!K7298,LookUps!$D$5:$D$12,0))))</f>
        <v>Particulate Matter Formation Potential (PMFP) - kg PM2.5 eq</v>
      </c>
      <c r="M7298" s="154" t="str">
        <f t="shared" si="558"/>
        <v>High_Medium_Low_Upgraded_Particulate Matter Formation Potential (PMFP) - kg PM2.5 eq_Land application of compost; wastewater treatment unit; at updated plant - US_Without Amendment_Windrow</v>
      </c>
    </row>
    <row r="7299" spans="1:13" s="120" customFormat="1" x14ac:dyDescent="0.25">
      <c r="A7299" s="119"/>
      <c r="B7299" s="138" t="str">
        <f t="shared" si="556"/>
        <v>Windrow</v>
      </c>
      <c r="C7299" s="138" t="str">
        <f t="shared" si="559"/>
        <v>Without Amendment</v>
      </c>
      <c r="D7299" s="138" t="str">
        <f t="shared" si="555"/>
        <v>Medium_Low</v>
      </c>
      <c r="E7299" s="138" t="str">
        <f t="shared" si="554"/>
        <v>High</v>
      </c>
      <c r="F7299" s="138" t="str">
        <f t="shared" si="557"/>
        <v>Upgraded</v>
      </c>
      <c r="G7299" s="153"/>
      <c r="H7299" s="210">
        <v>6.6E-3</v>
      </c>
      <c r="I7299" s="160" t="s">
        <v>168</v>
      </c>
      <c r="J7299" s="211">
        <v>3.4562199999999999E-5</v>
      </c>
      <c r="K7299" s="160" t="s">
        <v>145</v>
      </c>
      <c r="L7299" s="154" t="str">
        <f>IF(OpenLCAbasic!K7299="CTUh", "Fill in Manually",IF(OR(K7299="Unit", K7299=""), "", INDEX(LookUps!$E$5:$E$12, MATCH(OpenLCAbasic!K7299,LookUps!$D$5:$D$12,0))))</f>
        <v>Particulate Matter Formation Potential (PMFP) - kg PM2.5 eq</v>
      </c>
      <c r="M7299" s="154" t="str">
        <f t="shared" si="558"/>
        <v>High_Medium_Low_Upgraded_Particulate Matter Formation Potential (PMFP) - kg PM2.5 eq_ClearCove SCP; wastewater treatment unit; at updated plant - US_Without Amendment_Windrow</v>
      </c>
    </row>
    <row r="7300" spans="1:13" s="120" customFormat="1" x14ac:dyDescent="0.25">
      <c r="A7300" s="119"/>
      <c r="B7300" s="138" t="str">
        <f t="shared" si="556"/>
        <v>Windrow</v>
      </c>
      <c r="C7300" s="138" t="str">
        <f t="shared" si="559"/>
        <v>Without Amendment</v>
      </c>
      <c r="D7300" s="138" t="str">
        <f t="shared" si="555"/>
        <v>Medium_Low</v>
      </c>
      <c r="E7300" s="138" t="str">
        <f t="shared" si="554"/>
        <v>High</v>
      </c>
      <c r="F7300" s="138" t="str">
        <f t="shared" si="557"/>
        <v>Upgraded</v>
      </c>
      <c r="G7300" s="153"/>
      <c r="H7300" s="210">
        <v>1.6999999999999999E-3</v>
      </c>
      <c r="I7300" s="160" t="s">
        <v>148</v>
      </c>
      <c r="J7300" s="211">
        <v>8.8212999999999997E-6</v>
      </c>
      <c r="K7300" s="160" t="s">
        <v>145</v>
      </c>
      <c r="L7300" s="154" t="str">
        <f>IF(OpenLCAbasic!K7300="CTUh", "Fill in Manually",IF(OR(K7300="Unit", K7300=""), "", INDEX(LookUps!$E$5:$E$12, MATCH(OpenLCAbasic!K7300,LookUps!$D$5:$D$12,0))))</f>
        <v>Particulate Matter Formation Potential (PMFP) - kg PM2.5 eq</v>
      </c>
      <c r="M7300" s="154" t="str">
        <f t="shared" si="558"/>
        <v>High_Medium_Low_Upgraded_Particulate Matter Formation Potential (PMFP) - kg PM2.5 eq_Control Building; at upgraded wastewater treatment plant - US_Without Amendment_Windrow</v>
      </c>
    </row>
    <row r="7301" spans="1:13" s="120" customFormat="1" x14ac:dyDescent="0.25">
      <c r="A7301" s="119"/>
      <c r="B7301" s="138" t="str">
        <f t="shared" si="556"/>
        <v>Windrow</v>
      </c>
      <c r="C7301" s="138" t="str">
        <f t="shared" si="559"/>
        <v>Without Amendment</v>
      </c>
      <c r="D7301" s="138" t="str">
        <f t="shared" si="555"/>
        <v>Medium_Low</v>
      </c>
      <c r="E7301" s="138" t="str">
        <f t="shared" si="554"/>
        <v>High</v>
      </c>
      <c r="F7301" s="138" t="str">
        <f t="shared" si="557"/>
        <v>Upgraded</v>
      </c>
      <c r="G7301" s="153"/>
      <c r="H7301" s="210">
        <v>-7.2400000000000006E-2</v>
      </c>
      <c r="I7301" s="160" t="s">
        <v>149</v>
      </c>
      <c r="J7301" s="160">
        <v>-3.8000000000000002E-4</v>
      </c>
      <c r="K7301" s="160" t="s">
        <v>145</v>
      </c>
      <c r="L7301" s="154" t="str">
        <f>IF(OpenLCAbasic!K7301="CTUh", "Fill in Manually",IF(OR(K7301="Unit", K7301=""), "", INDEX(LookUps!$E$5:$E$12, MATCH(OpenLCAbasic!K7301,LookUps!$D$5:$D$12,0))))</f>
        <v>Particulate Matter Formation Potential (PMFP) - kg PM2.5 eq</v>
      </c>
      <c r="M7301" s="154" t="str">
        <f t="shared" si="558"/>
        <v>High_Medium_Low_Upgraded_Particulate Matter Formation Potential (PMFP) - kg PM2.5 eq_Anaerobic Digestion; wastewater treatment unit; at updated plant - US_Without Amendment_Windrow</v>
      </c>
    </row>
    <row r="7302" spans="1:13" s="120" customFormat="1" x14ac:dyDescent="0.25">
      <c r="A7302" s="119"/>
      <c r="B7302" s="138" t="str">
        <f t="shared" si="556"/>
        <v/>
      </c>
      <c r="C7302" s="138" t="str">
        <f t="shared" si="559"/>
        <v/>
      </c>
      <c r="D7302" s="138" t="str">
        <f t="shared" si="555"/>
        <v/>
      </c>
      <c r="E7302" s="138" t="str">
        <f t="shared" si="554"/>
        <v/>
      </c>
      <c r="F7302" s="138" t="str">
        <f t="shared" si="557"/>
        <v/>
      </c>
      <c r="G7302" s="153" t="s">
        <v>51</v>
      </c>
      <c r="H7302" s="160"/>
      <c r="I7302" s="160" t="s">
        <v>47</v>
      </c>
      <c r="J7302" s="160" t="s">
        <v>52</v>
      </c>
      <c r="K7302" s="160" t="s">
        <v>27</v>
      </c>
      <c r="L7302" s="154" t="str">
        <f>IF(OpenLCAbasic!K7302="CTUh", "Fill in Manually",IF(OR(K7302="Unit", K7302=""), "", INDEX(LookUps!$E$5:$E$12, MATCH(OpenLCAbasic!K7302,LookUps!$D$5:$D$12,0))))</f>
        <v/>
      </c>
      <c r="M7302" s="154" t="str">
        <f t="shared" si="558"/>
        <v>____Process__</v>
      </c>
    </row>
    <row r="7303" spans="1:13" s="120" customFormat="1" x14ac:dyDescent="0.25">
      <c r="A7303" s="119"/>
      <c r="B7303" s="138" t="str">
        <f t="shared" si="556"/>
        <v>Windrow</v>
      </c>
      <c r="C7303" s="138" t="str">
        <f t="shared" si="559"/>
        <v>Without Amendment</v>
      </c>
      <c r="D7303" s="138" t="str">
        <f t="shared" si="555"/>
        <v>Medium_Low</v>
      </c>
      <c r="E7303" s="138" t="str">
        <f t="shared" si="554"/>
        <v>High</v>
      </c>
      <c r="F7303" s="138" t="str">
        <f t="shared" si="557"/>
        <v>Upgraded</v>
      </c>
      <c r="G7303" s="153"/>
      <c r="H7303" s="210">
        <v>0.47120000000000001</v>
      </c>
      <c r="I7303" s="160" t="s">
        <v>55</v>
      </c>
      <c r="J7303" s="160">
        <v>0.16577</v>
      </c>
      <c r="K7303" s="160" t="s">
        <v>25</v>
      </c>
      <c r="L7303" s="154" t="str">
        <f>IF(OpenLCAbasic!K7303="CTUh", "Fill in Manually",IF(OR(K7303="Unit", K7303=""), "", INDEX(LookUps!$E$5:$E$12, MATCH(OpenLCAbasic!K7303,LookUps!$D$5:$D$12,0))))</f>
        <v>Smog Formation Potential (SFP) - kg O3 eq</v>
      </c>
      <c r="M7303" s="154" t="str">
        <f t="shared" si="558"/>
        <v>High_Medium_Low_Upgraded_Smog Formation Potential (SFP) - kg O3 eq_Aeration Tanks; wastewater treatment unit; at updated plant - US_Without Amendment_Windrow</v>
      </c>
    </row>
    <row r="7304" spans="1:13" s="120" customFormat="1" x14ac:dyDescent="0.25">
      <c r="A7304" s="119"/>
      <c r="B7304" s="138" t="str">
        <f t="shared" si="556"/>
        <v>Windrow</v>
      </c>
      <c r="C7304" s="138" t="str">
        <f t="shared" si="559"/>
        <v>Without Amendment</v>
      </c>
      <c r="D7304" s="138" t="str">
        <f t="shared" si="555"/>
        <v>Medium_Low</v>
      </c>
      <c r="E7304" s="138" t="str">
        <f t="shared" si="554"/>
        <v>High</v>
      </c>
      <c r="F7304" s="138" t="str">
        <f t="shared" si="557"/>
        <v>Upgraded</v>
      </c>
      <c r="G7304" s="153"/>
      <c r="H7304" s="210">
        <v>0.1366</v>
      </c>
      <c r="I7304" s="160" t="s">
        <v>54</v>
      </c>
      <c r="J7304" s="160">
        <v>4.8070000000000002E-2</v>
      </c>
      <c r="K7304" s="160" t="s">
        <v>25</v>
      </c>
      <c r="L7304" s="154" t="str">
        <f>IF(OpenLCAbasic!K7304="CTUh", "Fill in Manually",IF(OR(K7304="Unit", K7304=""), "", INDEX(LookUps!$E$5:$E$12, MATCH(OpenLCAbasic!K7304,LookUps!$D$5:$D$12,0))))</f>
        <v>Smog Formation Potential (SFP) - kg O3 eq</v>
      </c>
      <c r="M7304" s="154" t="str">
        <f t="shared" si="558"/>
        <v>High_Medium_Low_Upgraded_Smog Formation Potential (SFP) - kg O3 eq_Clear Cove Primary Clarification; wastewater treatment unit; at updated plant - US_Without Amendment_Windrow</v>
      </c>
    </row>
    <row r="7305" spans="1:13" s="120" customFormat="1" x14ac:dyDescent="0.25">
      <c r="A7305" s="119"/>
      <c r="B7305" s="138" t="str">
        <f t="shared" si="556"/>
        <v>Windrow</v>
      </c>
      <c r="C7305" s="138" t="str">
        <f t="shared" si="559"/>
        <v>Without Amendment</v>
      </c>
      <c r="D7305" s="138" t="str">
        <f t="shared" si="555"/>
        <v>Medium_Low</v>
      </c>
      <c r="E7305" s="138" t="str">
        <f t="shared" ref="E7305:E7368" si="560">IF(ISNUMBER($J7305),"High","")</f>
        <v>High</v>
      </c>
      <c r="F7305" s="138" t="str">
        <f t="shared" si="557"/>
        <v>Upgraded</v>
      </c>
      <c r="G7305" s="153"/>
      <c r="H7305" s="210">
        <v>0.1191</v>
      </c>
      <c r="I7305" s="160" t="s">
        <v>58</v>
      </c>
      <c r="J7305" s="160">
        <v>4.1919999999999999E-2</v>
      </c>
      <c r="K7305" s="160" t="s">
        <v>25</v>
      </c>
      <c r="L7305" s="154" t="str">
        <f>IF(OpenLCAbasic!K7305="CTUh", "Fill in Manually",IF(OR(K7305="Unit", K7305=""), "", INDEX(LookUps!$E$5:$E$12, MATCH(OpenLCAbasic!K7305,LookUps!$D$5:$D$12,0))))</f>
        <v>Smog Formation Potential (SFP) - kg O3 eq</v>
      </c>
      <c r="M7305" s="154" t="str">
        <f t="shared" si="558"/>
        <v>High_Medium_Low_Upgraded_Smog Formation Potential (SFP) - kg O3 eq_Pre-Anoxic &amp; Swing tank; wastewater treatment unit; at updated plant - US_Without Amendment_Windrow</v>
      </c>
    </row>
    <row r="7306" spans="1:13" s="120" customFormat="1" x14ac:dyDescent="0.25">
      <c r="A7306" s="119"/>
      <c r="B7306" s="138" t="str">
        <f t="shared" si="556"/>
        <v>Windrow</v>
      </c>
      <c r="C7306" s="138" t="str">
        <f t="shared" si="559"/>
        <v>Without Amendment</v>
      </c>
      <c r="D7306" s="138" t="str">
        <f t="shared" si="555"/>
        <v>Medium_Low</v>
      </c>
      <c r="E7306" s="138" t="str">
        <f t="shared" si="560"/>
        <v>High</v>
      </c>
      <c r="F7306" s="138" t="str">
        <f t="shared" si="557"/>
        <v>Upgraded</v>
      </c>
      <c r="G7306" s="153"/>
      <c r="H7306" s="210">
        <v>9.4200000000000006E-2</v>
      </c>
      <c r="I7306" s="160" t="s">
        <v>53</v>
      </c>
      <c r="J7306" s="160">
        <v>3.313E-2</v>
      </c>
      <c r="K7306" s="160" t="s">
        <v>25</v>
      </c>
      <c r="L7306" s="154" t="str">
        <f>IF(OpenLCAbasic!K7306="CTUh", "Fill in Manually",IF(OR(K7306="Unit", K7306=""), "", INDEX(LookUps!$E$5:$E$12, MATCH(OpenLCAbasic!K7306,LookUps!$D$5:$D$12,0))))</f>
        <v>Smog Formation Potential (SFP) - kg O3 eq</v>
      </c>
      <c r="M7306" s="154" t="str">
        <f t="shared" si="558"/>
        <v>High_Medium_Low_Upgraded_Smog Formation Potential (SFP) - kg O3 eq_Wet Well and Sump Station; wastewater treatment unit; at updated plant - US_Without Amendment_Windrow</v>
      </c>
    </row>
    <row r="7307" spans="1:13" s="120" customFormat="1" x14ac:dyDescent="0.25">
      <c r="A7307" s="119"/>
      <c r="B7307" s="138" t="str">
        <f t="shared" si="556"/>
        <v>Windrow</v>
      </c>
      <c r="C7307" s="138" t="str">
        <f t="shared" si="559"/>
        <v>Without Amendment</v>
      </c>
      <c r="D7307" s="138" t="str">
        <f t="shared" si="555"/>
        <v>Medium_Low</v>
      </c>
      <c r="E7307" s="138" t="str">
        <f t="shared" si="560"/>
        <v>High</v>
      </c>
      <c r="F7307" s="138" t="str">
        <f t="shared" si="557"/>
        <v>Upgraded</v>
      </c>
      <c r="G7307" s="153"/>
      <c r="H7307" s="210">
        <v>8.7300000000000003E-2</v>
      </c>
      <c r="I7307" s="160" t="s">
        <v>167</v>
      </c>
      <c r="J7307" s="160">
        <v>3.0710000000000001E-2</v>
      </c>
      <c r="K7307" s="160" t="s">
        <v>25</v>
      </c>
      <c r="L7307" s="154" t="str">
        <f>IF(OpenLCAbasic!K7307="CTUh", "Fill in Manually",IF(OR(K7307="Unit", K7307=""), "", INDEX(LookUps!$E$5:$E$12, MATCH(OpenLCAbasic!K7307,LookUps!$D$5:$D$12,0))))</f>
        <v>Smog Formation Potential (SFP) - kg O3 eq</v>
      </c>
      <c r="M7307" s="154" t="str">
        <f t="shared" si="558"/>
        <v>High_Medium_Low_Upgraded_Smog Formation Potential (SFP) - kg O3 eq_Waste Receiving and Holding; wastewater treatment unit; at updated plant - US_Without Amendment_Windrow</v>
      </c>
    </row>
    <row r="7308" spans="1:13" s="120" customFormat="1" x14ac:dyDescent="0.25">
      <c r="A7308" s="119"/>
      <c r="B7308" s="138" t="str">
        <f t="shared" si="556"/>
        <v>Windrow</v>
      </c>
      <c r="C7308" s="138" t="str">
        <f t="shared" si="559"/>
        <v>Without Amendment</v>
      </c>
      <c r="D7308" s="138" t="str">
        <f t="shared" si="555"/>
        <v>Medium_Low</v>
      </c>
      <c r="E7308" s="138" t="str">
        <f t="shared" si="560"/>
        <v>High</v>
      </c>
      <c r="F7308" s="138" t="str">
        <f t="shared" si="557"/>
        <v>Upgraded</v>
      </c>
      <c r="G7308" s="153"/>
      <c r="H7308" s="210">
        <v>5.5100000000000003E-2</v>
      </c>
      <c r="I7308" s="160" t="s">
        <v>147</v>
      </c>
      <c r="J7308" s="160">
        <v>1.9400000000000001E-2</v>
      </c>
      <c r="K7308" s="160" t="s">
        <v>25</v>
      </c>
      <c r="L7308" s="154" t="str">
        <f>IF(OpenLCAbasic!K7308="CTUh", "Fill in Manually",IF(OR(K7308="Unit", K7308=""), "", INDEX(LookUps!$E$5:$E$12, MATCH(OpenLCAbasic!K7308,LookUps!$D$5:$D$12,0))))</f>
        <v>Smog Formation Potential (SFP) - kg O3 eq</v>
      </c>
      <c r="M7308" s="154" t="str">
        <f t="shared" si="558"/>
        <v>High_Medium_Low_Upgraded_Smog Formation Potential (SFP) - kg O3 eq_Influent Pump Station; wastewater treatment unit; at updated plant - US_Without Amendment_Windrow</v>
      </c>
    </row>
    <row r="7309" spans="1:13" s="120" customFormat="1" x14ac:dyDescent="0.25">
      <c r="A7309" s="119"/>
      <c r="B7309" s="138" t="str">
        <f t="shared" si="556"/>
        <v>Windrow</v>
      </c>
      <c r="C7309" s="138" t="str">
        <f t="shared" si="559"/>
        <v>Without Amendment</v>
      </c>
      <c r="D7309" s="138" t="str">
        <f t="shared" si="555"/>
        <v>Medium_Low</v>
      </c>
      <c r="E7309" s="138" t="str">
        <f t="shared" si="560"/>
        <v>High</v>
      </c>
      <c r="F7309" s="138" t="str">
        <f t="shared" si="557"/>
        <v>Upgraded</v>
      </c>
      <c r="G7309" s="153"/>
      <c r="H7309" s="210">
        <v>3.39E-2</v>
      </c>
      <c r="I7309" s="160" t="s">
        <v>128</v>
      </c>
      <c r="J7309" s="160">
        <v>1.192E-2</v>
      </c>
      <c r="K7309" s="160" t="s">
        <v>25</v>
      </c>
      <c r="L7309" s="154" t="str">
        <f>IF(OpenLCAbasic!K7309="CTUh", "Fill in Manually",IF(OR(K7309="Unit", K7309=""), "", INDEX(LookUps!$E$5:$E$12, MATCH(OpenLCAbasic!K7309,LookUps!$D$5:$D$12,0))))</f>
        <v>Smog Formation Potential (SFP) - kg O3 eq</v>
      </c>
      <c r="M7309" s="154" t="str">
        <f t="shared" si="558"/>
        <v>High_Medium_Low_Upgraded_Smog Formation Potential (SFP) - kg O3 eq_Wastewater collection; operation and infrastructure; m3 wastewater_Without Amendment_Windrow</v>
      </c>
    </row>
    <row r="7310" spans="1:13" s="120" customFormat="1" x14ac:dyDescent="0.25">
      <c r="A7310" s="119"/>
      <c r="B7310" s="138" t="str">
        <f t="shared" si="556"/>
        <v>Windrow</v>
      </c>
      <c r="C7310" s="138" t="str">
        <f t="shared" si="559"/>
        <v>Without Amendment</v>
      </c>
      <c r="D7310" s="138" t="str">
        <f t="shared" si="555"/>
        <v>Medium_Low</v>
      </c>
      <c r="E7310" s="138" t="str">
        <f t="shared" si="560"/>
        <v>High</v>
      </c>
      <c r="F7310" s="138" t="str">
        <f t="shared" si="557"/>
        <v>Upgraded</v>
      </c>
      <c r="G7310" s="153"/>
      <c r="H7310" s="210">
        <v>3.2500000000000001E-2</v>
      </c>
      <c r="I7310" s="160" t="s">
        <v>60</v>
      </c>
      <c r="J7310" s="160">
        <v>1.145E-2</v>
      </c>
      <c r="K7310" s="160" t="s">
        <v>25</v>
      </c>
      <c r="L7310" s="154" t="str">
        <f>IF(OpenLCAbasic!K7310="CTUh", "Fill in Manually",IF(OR(K7310="Unit", K7310=""), "", INDEX(LookUps!$E$5:$E$12, MATCH(OpenLCAbasic!K7310,LookUps!$D$5:$D$12,0))))</f>
        <v>Smog Formation Potential (SFP) - kg O3 eq</v>
      </c>
      <c r="M7310" s="154" t="str">
        <f t="shared" si="558"/>
        <v>High_Medium_Low_Upgraded_Smog Formation Potential (SFP) - kg O3 eq_Belt filter press; wastewater treatment unit; at updated plant - US_Without Amendment_Windrow</v>
      </c>
    </row>
    <row r="7311" spans="1:13" s="120" customFormat="1" x14ac:dyDescent="0.25">
      <c r="A7311" s="119"/>
      <c r="B7311" s="138" t="str">
        <f t="shared" si="556"/>
        <v>Windrow</v>
      </c>
      <c r="C7311" s="138" t="str">
        <f t="shared" si="559"/>
        <v>Without Amendment</v>
      </c>
      <c r="D7311" s="138" t="str">
        <f t="shared" si="555"/>
        <v>Medium_Low</v>
      </c>
      <c r="E7311" s="138" t="str">
        <f t="shared" si="560"/>
        <v>High</v>
      </c>
      <c r="F7311" s="138" t="str">
        <f t="shared" si="557"/>
        <v>Upgraded</v>
      </c>
      <c r="G7311" s="153"/>
      <c r="H7311" s="210">
        <v>1.89E-2</v>
      </c>
      <c r="I7311" s="160" t="s">
        <v>57</v>
      </c>
      <c r="J7311" s="160">
        <v>6.6499999999999997E-3</v>
      </c>
      <c r="K7311" s="160" t="s">
        <v>25</v>
      </c>
      <c r="L7311" s="154" t="str">
        <f>IF(OpenLCAbasic!K7311="CTUh", "Fill in Manually",IF(OR(K7311="Unit", K7311=""), "", INDEX(LookUps!$E$5:$E$12, MATCH(OpenLCAbasic!K7311,LookUps!$D$5:$D$12,0))))</f>
        <v>Smog Formation Potential (SFP) - kg O3 eq</v>
      </c>
      <c r="M7311" s="154" t="str">
        <f t="shared" si="558"/>
        <v>High_Medium_Low_Upgraded_Smog Formation Potential (SFP) - kg O3 eq_Gravity Belt Thickener; wastewater treatment unit; at updated plant - US_Without Amendment_Windrow</v>
      </c>
    </row>
    <row r="7312" spans="1:13" s="120" customFormat="1" x14ac:dyDescent="0.25">
      <c r="A7312" s="119"/>
      <c r="B7312" s="138" t="str">
        <f t="shared" si="556"/>
        <v>Windrow</v>
      </c>
      <c r="C7312" s="138" t="str">
        <f t="shared" si="559"/>
        <v>Without Amendment</v>
      </c>
      <c r="D7312" s="138" t="str">
        <f t="shared" si="555"/>
        <v>Medium_Low</v>
      </c>
      <c r="E7312" s="138" t="str">
        <f t="shared" si="560"/>
        <v>High</v>
      </c>
      <c r="F7312" s="138" t="str">
        <f t="shared" si="557"/>
        <v>Upgraded</v>
      </c>
      <c r="G7312" s="153"/>
      <c r="H7312" s="210">
        <v>1.41E-2</v>
      </c>
      <c r="I7312" s="160" t="s">
        <v>59</v>
      </c>
      <c r="J7312" s="160">
        <v>4.9699999999999996E-3</v>
      </c>
      <c r="K7312" s="160" t="s">
        <v>25</v>
      </c>
      <c r="L7312" s="154" t="str">
        <f>IF(OpenLCAbasic!K7312="CTUh", "Fill in Manually",IF(OR(K7312="Unit", K7312=""), "", INDEX(LookUps!$E$5:$E$12, MATCH(OpenLCAbasic!K7312,LookUps!$D$5:$D$12,0))))</f>
        <v>Smog Formation Potential (SFP) - kg O3 eq</v>
      </c>
      <c r="M7312" s="154" t="str">
        <f t="shared" si="558"/>
        <v>High_Medium_Low_Upgraded_Smog Formation Potential (SFP) - kg O3 eq_Blend Tank; wastewater treatment unit; at updated plant - US_Without Amendment_Windrow</v>
      </c>
    </row>
    <row r="7313" spans="1:13" s="120" customFormat="1" x14ac:dyDescent="0.25">
      <c r="A7313" s="119"/>
      <c r="B7313" s="138" t="str">
        <f t="shared" si="556"/>
        <v>Windrow</v>
      </c>
      <c r="C7313" s="138" t="str">
        <f t="shared" si="559"/>
        <v>Without Amendment</v>
      </c>
      <c r="D7313" s="138" t="str">
        <f t="shared" si="555"/>
        <v>Medium_Low</v>
      </c>
      <c r="E7313" s="138" t="str">
        <f t="shared" si="560"/>
        <v>High</v>
      </c>
      <c r="F7313" s="138" t="str">
        <f t="shared" si="557"/>
        <v>Upgraded</v>
      </c>
      <c r="G7313" s="153"/>
      <c r="H7313" s="210">
        <v>9.5999999999999992E-3</v>
      </c>
      <c r="I7313" s="160" t="s">
        <v>48</v>
      </c>
      <c r="J7313" s="160">
        <v>3.3899999999999998E-3</v>
      </c>
      <c r="K7313" s="160" t="s">
        <v>25</v>
      </c>
      <c r="L7313" s="154" t="str">
        <f>IF(OpenLCAbasic!K7313="CTUh", "Fill in Manually",IF(OR(K7313="Unit", K7313=""), "", INDEX(LookUps!$E$5:$E$12, MATCH(OpenLCAbasic!K7313,LookUps!$D$5:$D$12,0))))</f>
        <v>Smog Formation Potential (SFP) - kg O3 eq</v>
      </c>
      <c r="M7313" s="154" t="str">
        <f t="shared" si="558"/>
        <v>High_Medium_Low_Upgraded_Smog Formation Potential (SFP) - kg O3 eq_Effluent release; wastewater treatment unit; at surface water; m3 wastewater - US_Without Amendment_Windrow</v>
      </c>
    </row>
    <row r="7314" spans="1:13" s="120" customFormat="1" x14ac:dyDescent="0.25">
      <c r="A7314" s="119"/>
      <c r="B7314" s="138" t="str">
        <f t="shared" si="556"/>
        <v>Windrow</v>
      </c>
      <c r="C7314" s="138" t="str">
        <f t="shared" si="559"/>
        <v>Without Amendment</v>
      </c>
      <c r="D7314" s="138" t="str">
        <f t="shared" si="555"/>
        <v>Medium_Low</v>
      </c>
      <c r="E7314" s="138" t="str">
        <f t="shared" si="560"/>
        <v>High</v>
      </c>
      <c r="F7314" s="138" t="str">
        <f t="shared" si="557"/>
        <v>Upgraded</v>
      </c>
      <c r="G7314" s="153"/>
      <c r="H7314" s="210">
        <v>7.0000000000000001E-3</v>
      </c>
      <c r="I7314" s="160" t="s">
        <v>168</v>
      </c>
      <c r="J7314" s="160">
        <v>2.4599999999999999E-3</v>
      </c>
      <c r="K7314" s="160" t="s">
        <v>25</v>
      </c>
      <c r="L7314" s="154" t="str">
        <f>IF(OpenLCAbasic!K7314="CTUh", "Fill in Manually",IF(OR(K7314="Unit", K7314=""), "", INDEX(LookUps!$E$5:$E$12, MATCH(OpenLCAbasic!K7314,LookUps!$D$5:$D$12,0))))</f>
        <v>Smog Formation Potential (SFP) - kg O3 eq</v>
      </c>
      <c r="M7314" s="154" t="str">
        <f t="shared" si="558"/>
        <v>High_Medium_Low_Upgraded_Smog Formation Potential (SFP) - kg O3 eq_ClearCove SCP; wastewater treatment unit; at updated plant - US_Without Amendment_Windrow</v>
      </c>
    </row>
    <row r="7315" spans="1:13" s="120" customFormat="1" x14ac:dyDescent="0.25">
      <c r="A7315" s="119"/>
      <c r="B7315" s="138" t="str">
        <f t="shared" si="556"/>
        <v>Windrow</v>
      </c>
      <c r="C7315" s="138" t="str">
        <f t="shared" si="559"/>
        <v>Without Amendment</v>
      </c>
      <c r="D7315" s="138" t="str">
        <f t="shared" si="555"/>
        <v>Medium_Low</v>
      </c>
      <c r="E7315" s="138" t="str">
        <f t="shared" si="560"/>
        <v>High</v>
      </c>
      <c r="F7315" s="138" t="str">
        <f t="shared" si="557"/>
        <v>Upgraded</v>
      </c>
      <c r="G7315" s="153"/>
      <c r="H7315" s="210">
        <v>2.3E-3</v>
      </c>
      <c r="I7315" s="160" t="s">
        <v>271</v>
      </c>
      <c r="J7315" s="160">
        <v>8.0000000000000004E-4</v>
      </c>
      <c r="K7315" s="160" t="s">
        <v>25</v>
      </c>
      <c r="L7315" s="154" t="str">
        <f>IF(OpenLCAbasic!K7315="CTUh", "Fill in Manually",IF(OR(K7315="Unit", K7315=""), "", INDEX(LookUps!$E$5:$E$12, MATCH(OpenLCAbasic!K7315,LookUps!$D$5:$D$12,0))))</f>
        <v>Smog Formation Potential (SFP) - kg O3 eq</v>
      </c>
      <c r="M7315" s="154" t="str">
        <f t="shared" si="558"/>
        <v>High_Medium_Low_Upgraded_Smog Formation Potential (SFP) - kg O3 eq_Biosolids composting; windrow composting; wastewater treatment unit; at updated plant - US_Without Amendment_Windrow</v>
      </c>
    </row>
    <row r="7316" spans="1:13" s="120" customFormat="1" x14ac:dyDescent="0.25">
      <c r="A7316" s="119"/>
      <c r="B7316" s="138" t="str">
        <f t="shared" si="556"/>
        <v>Windrow</v>
      </c>
      <c r="C7316" s="138" t="str">
        <f t="shared" si="559"/>
        <v>Without Amendment</v>
      </c>
      <c r="D7316" s="138" t="str">
        <f t="shared" si="555"/>
        <v>Medium_Low</v>
      </c>
      <c r="E7316" s="138" t="str">
        <f t="shared" si="560"/>
        <v>High</v>
      </c>
      <c r="F7316" s="138" t="str">
        <f t="shared" si="557"/>
        <v>Upgraded</v>
      </c>
      <c r="G7316" s="153"/>
      <c r="H7316" s="210">
        <v>1.5E-3</v>
      </c>
      <c r="I7316" s="160" t="s">
        <v>148</v>
      </c>
      <c r="J7316" s="160">
        <v>5.4000000000000001E-4</v>
      </c>
      <c r="K7316" s="160" t="s">
        <v>25</v>
      </c>
      <c r="L7316" s="154" t="str">
        <f>IF(OpenLCAbasic!K7316="CTUh", "Fill in Manually",IF(OR(K7316="Unit", K7316=""), "", INDEX(LookUps!$E$5:$E$12, MATCH(OpenLCAbasic!K7316,LookUps!$D$5:$D$12,0))))</f>
        <v>Smog Formation Potential (SFP) - kg O3 eq</v>
      </c>
      <c r="M7316" s="154" t="str">
        <f t="shared" si="558"/>
        <v>High_Medium_Low_Upgraded_Smog Formation Potential (SFP) - kg O3 eq_Control Building; at upgraded wastewater treatment plant - US_Without Amendment_Windrow</v>
      </c>
    </row>
    <row r="7317" spans="1:13" s="120" customFormat="1" x14ac:dyDescent="0.25">
      <c r="A7317" s="119"/>
      <c r="B7317" s="138" t="str">
        <f t="shared" si="556"/>
        <v>Windrow</v>
      </c>
      <c r="C7317" s="138" t="str">
        <f t="shared" si="559"/>
        <v>Without Amendment</v>
      </c>
      <c r="D7317" s="138" t="str">
        <f t="shared" si="555"/>
        <v>Medium_Low</v>
      </c>
      <c r="E7317" s="138" t="str">
        <f t="shared" si="560"/>
        <v>High</v>
      </c>
      <c r="F7317" s="138" t="str">
        <f t="shared" si="557"/>
        <v>Upgraded</v>
      </c>
      <c r="G7317" s="153"/>
      <c r="H7317" s="210">
        <v>-7.4000000000000003E-3</v>
      </c>
      <c r="I7317" s="160" t="s">
        <v>62</v>
      </c>
      <c r="J7317" s="160">
        <v>-2.6099999999999999E-3</v>
      </c>
      <c r="K7317" s="160" t="s">
        <v>25</v>
      </c>
      <c r="L7317" s="154" t="str">
        <f>IF(OpenLCAbasic!K7317="CTUh", "Fill in Manually",IF(OR(K7317="Unit", K7317=""), "", INDEX(LookUps!$E$5:$E$12, MATCH(OpenLCAbasic!K7317,LookUps!$D$5:$D$12,0))))</f>
        <v>Smog Formation Potential (SFP) - kg O3 eq</v>
      </c>
      <c r="M7317" s="154" t="str">
        <f t="shared" si="558"/>
        <v>High_Medium_Low_Upgraded_Smog Formation Potential (SFP) - kg O3 eq_Land application of compost; wastewater treatment unit; at updated plant - US_Without Amendment_Windrow</v>
      </c>
    </row>
    <row r="7318" spans="1:13" s="120" customFormat="1" x14ac:dyDescent="0.25">
      <c r="A7318" s="119"/>
      <c r="B7318" s="138" t="str">
        <f t="shared" si="556"/>
        <v>Windrow</v>
      </c>
      <c r="C7318" s="138" t="str">
        <f t="shared" si="559"/>
        <v>Without Amendment</v>
      </c>
      <c r="D7318" s="138" t="str">
        <f t="shared" si="555"/>
        <v>Medium_Low</v>
      </c>
      <c r="E7318" s="138" t="str">
        <f t="shared" si="560"/>
        <v>High</v>
      </c>
      <c r="F7318" s="138" t="str">
        <f t="shared" si="557"/>
        <v>Upgraded</v>
      </c>
      <c r="G7318" s="153"/>
      <c r="H7318" s="210">
        <v>-7.5999999999999998E-2</v>
      </c>
      <c r="I7318" s="160" t="s">
        <v>149</v>
      </c>
      <c r="J7318" s="160">
        <v>-2.673E-2</v>
      </c>
      <c r="K7318" s="160" t="s">
        <v>25</v>
      </c>
      <c r="L7318" s="154" t="str">
        <f>IF(OpenLCAbasic!K7318="CTUh", "Fill in Manually",IF(OR(K7318="Unit", K7318=""), "", INDEX(LookUps!$E$5:$E$12, MATCH(OpenLCAbasic!K7318,LookUps!$D$5:$D$12,0))))</f>
        <v>Smog Formation Potential (SFP) - kg O3 eq</v>
      </c>
      <c r="M7318" s="154" t="str">
        <f t="shared" si="558"/>
        <v>High_Medium_Low_Upgraded_Smog Formation Potential (SFP) - kg O3 eq_Anaerobic Digestion; wastewater treatment unit; at updated plant - US_Without Amendment_Windrow</v>
      </c>
    </row>
    <row r="7319" spans="1:13" s="120" customFormat="1" x14ac:dyDescent="0.25">
      <c r="A7319" s="119"/>
      <c r="B7319" s="138" t="str">
        <f t="shared" si="556"/>
        <v/>
      </c>
      <c r="C7319" s="138" t="str">
        <f t="shared" si="559"/>
        <v/>
      </c>
      <c r="D7319" s="138" t="str">
        <f t="shared" si="555"/>
        <v/>
      </c>
      <c r="E7319" s="138" t="str">
        <f t="shared" si="560"/>
        <v/>
      </c>
      <c r="F7319" s="138" t="str">
        <f t="shared" si="557"/>
        <v/>
      </c>
      <c r="G7319" s="153" t="s">
        <v>51</v>
      </c>
      <c r="H7319" s="160"/>
      <c r="I7319" s="160" t="s">
        <v>47</v>
      </c>
      <c r="J7319" s="160" t="s">
        <v>52</v>
      </c>
      <c r="K7319" s="160" t="s">
        <v>27</v>
      </c>
      <c r="L7319" s="154" t="str">
        <f>IF(OpenLCAbasic!K7319="CTUh", "Fill in Manually",IF(OR(K7319="Unit", K7319=""), "", INDEX(LookUps!$E$5:$E$12, MATCH(OpenLCAbasic!K7319,LookUps!$D$5:$D$12,0))))</f>
        <v/>
      </c>
      <c r="M7319" s="154" t="str">
        <f t="shared" si="558"/>
        <v>____Process__</v>
      </c>
    </row>
    <row r="7320" spans="1:13" s="120" customFormat="1" x14ac:dyDescent="0.25">
      <c r="A7320" s="119"/>
      <c r="B7320" s="138" t="str">
        <f t="shared" si="556"/>
        <v>Windrow</v>
      </c>
      <c r="C7320" s="138" t="str">
        <f t="shared" si="559"/>
        <v>Without Amendment</v>
      </c>
      <c r="D7320" s="138" t="str">
        <f t="shared" si="555"/>
        <v>Medium_Low</v>
      </c>
      <c r="E7320" s="138" t="str">
        <f t="shared" si="560"/>
        <v>High</v>
      </c>
      <c r="F7320" s="138" t="str">
        <f t="shared" si="557"/>
        <v>Upgraded</v>
      </c>
      <c r="G7320" s="153"/>
      <c r="H7320" s="210">
        <v>2.8769999999999998</v>
      </c>
      <c r="I7320" s="160" t="s">
        <v>167</v>
      </c>
      <c r="J7320" s="160">
        <v>2.7999999999999998E-4</v>
      </c>
      <c r="K7320" s="160" t="s">
        <v>26</v>
      </c>
      <c r="L7320" s="154" t="str">
        <f>IF(OpenLCAbasic!K7320="CTUh", "Fill in Manually",IF(OR(K7320="Unit", K7320=""), "", INDEX(LookUps!$E$5:$E$12, MATCH(OpenLCAbasic!K7320,LookUps!$D$5:$D$12,0))))</f>
        <v>Water Use (WU) - m3 H2O</v>
      </c>
      <c r="M7320" s="154" t="str">
        <f t="shared" si="558"/>
        <v>High_Medium_Low_Upgraded_Water Use (WU) - m3 H2O_Waste Receiving and Holding; wastewater treatment unit; at updated plant - US_Without Amendment_Windrow</v>
      </c>
    </row>
    <row r="7321" spans="1:13" s="120" customFormat="1" x14ac:dyDescent="0.25">
      <c r="A7321" s="119"/>
      <c r="B7321" s="138" t="str">
        <f t="shared" si="556"/>
        <v>Windrow</v>
      </c>
      <c r="C7321" s="138" t="str">
        <f t="shared" si="559"/>
        <v>Without Amendment</v>
      </c>
      <c r="D7321" s="138" t="str">
        <f t="shared" si="555"/>
        <v>Medium_Low</v>
      </c>
      <c r="E7321" s="138" t="str">
        <f t="shared" si="560"/>
        <v>High</v>
      </c>
      <c r="F7321" s="138" t="str">
        <f t="shared" si="557"/>
        <v>Upgraded</v>
      </c>
      <c r="G7321" s="153"/>
      <c r="H7321" s="210">
        <v>1.8779999999999999</v>
      </c>
      <c r="I7321" s="160" t="s">
        <v>147</v>
      </c>
      <c r="J7321" s="160">
        <v>1.8000000000000001E-4</v>
      </c>
      <c r="K7321" s="160" t="s">
        <v>26</v>
      </c>
      <c r="L7321" s="154" t="str">
        <f>IF(OpenLCAbasic!K7321="CTUh", "Fill in Manually",IF(OR(K7321="Unit", K7321=""), "", INDEX(LookUps!$E$5:$E$12, MATCH(OpenLCAbasic!K7321,LookUps!$D$5:$D$12,0))))</f>
        <v>Water Use (WU) - m3 H2O</v>
      </c>
      <c r="M7321" s="154" t="str">
        <f t="shared" si="558"/>
        <v>High_Medium_Low_Upgraded_Water Use (WU) - m3 H2O_Influent Pump Station; wastewater treatment unit; at updated plant - US_Without Amendment_Windrow</v>
      </c>
    </row>
    <row r="7322" spans="1:13" s="120" customFormat="1" x14ac:dyDescent="0.25">
      <c r="A7322" s="119"/>
      <c r="B7322" s="138" t="str">
        <f t="shared" si="556"/>
        <v>Windrow</v>
      </c>
      <c r="C7322" s="138" t="str">
        <f t="shared" si="559"/>
        <v>Without Amendment</v>
      </c>
      <c r="D7322" s="138" t="str">
        <f t="shared" si="555"/>
        <v>Medium_Low</v>
      </c>
      <c r="E7322" s="138" t="str">
        <f t="shared" si="560"/>
        <v>High</v>
      </c>
      <c r="F7322" s="138" t="str">
        <f t="shared" si="557"/>
        <v>Upgraded</v>
      </c>
      <c r="G7322" s="153"/>
      <c r="H7322" s="210">
        <v>1.8324</v>
      </c>
      <c r="I7322" s="160" t="s">
        <v>54</v>
      </c>
      <c r="J7322" s="160">
        <v>1.8000000000000001E-4</v>
      </c>
      <c r="K7322" s="160" t="s">
        <v>26</v>
      </c>
      <c r="L7322" s="154" t="str">
        <f>IF(OpenLCAbasic!K7322="CTUh", "Fill in Manually",IF(OR(K7322="Unit", K7322=""), "", INDEX(LookUps!$E$5:$E$12, MATCH(OpenLCAbasic!K7322,LookUps!$D$5:$D$12,0))))</f>
        <v>Water Use (WU) - m3 H2O</v>
      </c>
      <c r="M7322" s="154" t="str">
        <f t="shared" si="558"/>
        <v>High_Medium_Low_Upgraded_Water Use (WU) - m3 H2O_Clear Cove Primary Clarification; wastewater treatment unit; at updated plant - US_Without Amendment_Windrow</v>
      </c>
    </row>
    <row r="7323" spans="1:13" s="120" customFormat="1" x14ac:dyDescent="0.25">
      <c r="A7323" s="119"/>
      <c r="B7323" s="138" t="str">
        <f t="shared" si="556"/>
        <v>Windrow</v>
      </c>
      <c r="C7323" s="138" t="str">
        <f t="shared" si="559"/>
        <v>Without Amendment</v>
      </c>
      <c r="D7323" s="138" t="str">
        <f t="shared" si="555"/>
        <v>Medium_Low</v>
      </c>
      <c r="E7323" s="138" t="str">
        <f t="shared" si="560"/>
        <v>High</v>
      </c>
      <c r="F7323" s="138" t="str">
        <f t="shared" si="557"/>
        <v>Upgraded</v>
      </c>
      <c r="G7323" s="153"/>
      <c r="H7323" s="210">
        <v>1.6623000000000001</v>
      </c>
      <c r="I7323" s="160" t="s">
        <v>55</v>
      </c>
      <c r="J7323" s="160">
        <v>1.6000000000000001E-4</v>
      </c>
      <c r="K7323" s="160" t="s">
        <v>26</v>
      </c>
      <c r="L7323" s="154" t="str">
        <f>IF(OpenLCAbasic!K7323="CTUh", "Fill in Manually",IF(OR(K7323="Unit", K7323=""), "", INDEX(LookUps!$E$5:$E$12, MATCH(OpenLCAbasic!K7323,LookUps!$D$5:$D$12,0))))</f>
        <v>Water Use (WU) - m3 H2O</v>
      </c>
      <c r="M7323" s="154" t="str">
        <f t="shared" si="558"/>
        <v>High_Medium_Low_Upgraded_Water Use (WU) - m3 H2O_Aeration Tanks; wastewater treatment unit; at updated plant - US_Without Amendment_Windrow</v>
      </c>
    </row>
    <row r="7324" spans="1:13" s="120" customFormat="1" x14ac:dyDescent="0.25">
      <c r="A7324" s="119"/>
      <c r="B7324" s="138" t="str">
        <f t="shared" si="556"/>
        <v>Windrow</v>
      </c>
      <c r="C7324" s="138" t="str">
        <f t="shared" si="559"/>
        <v>Without Amendment</v>
      </c>
      <c r="D7324" s="138" t="str">
        <f t="shared" si="555"/>
        <v>Medium_Low</v>
      </c>
      <c r="E7324" s="138" t="str">
        <f t="shared" si="560"/>
        <v>High</v>
      </c>
      <c r="F7324" s="138" t="str">
        <f t="shared" si="557"/>
        <v>Upgraded</v>
      </c>
      <c r="G7324" s="153"/>
      <c r="H7324" s="210">
        <v>1.5142</v>
      </c>
      <c r="I7324" s="160" t="s">
        <v>148</v>
      </c>
      <c r="J7324" s="160">
        <v>1.4999999999999999E-4</v>
      </c>
      <c r="K7324" s="160" t="s">
        <v>26</v>
      </c>
      <c r="L7324" s="154" t="str">
        <f>IF(OpenLCAbasic!K7324="CTUh", "Fill in Manually",IF(OR(K7324="Unit", K7324=""), "", INDEX(LookUps!$E$5:$E$12, MATCH(OpenLCAbasic!K7324,LookUps!$D$5:$D$12,0))))</f>
        <v>Water Use (WU) - m3 H2O</v>
      </c>
      <c r="M7324" s="154" t="str">
        <f t="shared" si="558"/>
        <v>High_Medium_Low_Upgraded_Water Use (WU) - m3 H2O_Control Building; at upgraded wastewater treatment plant - US_Without Amendment_Windrow</v>
      </c>
    </row>
    <row r="7325" spans="1:13" s="120" customFormat="1" x14ac:dyDescent="0.25">
      <c r="A7325" s="119"/>
      <c r="B7325" s="138" t="str">
        <f t="shared" si="556"/>
        <v>Windrow</v>
      </c>
      <c r="C7325" s="138" t="str">
        <f t="shared" si="559"/>
        <v>Without Amendment</v>
      </c>
      <c r="D7325" s="138" t="str">
        <f t="shared" si="555"/>
        <v>Medium_Low</v>
      </c>
      <c r="E7325" s="138" t="str">
        <f t="shared" si="560"/>
        <v>High</v>
      </c>
      <c r="F7325" s="138" t="str">
        <f t="shared" si="557"/>
        <v>Upgraded</v>
      </c>
      <c r="G7325" s="153"/>
      <c r="H7325" s="210">
        <v>0.70320000000000005</v>
      </c>
      <c r="I7325" s="160" t="s">
        <v>48</v>
      </c>
      <c r="J7325" s="211">
        <v>6.8836400000000004E-5</v>
      </c>
      <c r="K7325" s="160" t="s">
        <v>26</v>
      </c>
      <c r="L7325" s="154" t="str">
        <f>IF(OpenLCAbasic!K7325="CTUh", "Fill in Manually",IF(OR(K7325="Unit", K7325=""), "", INDEX(LookUps!$E$5:$E$12, MATCH(OpenLCAbasic!K7325,LookUps!$D$5:$D$12,0))))</f>
        <v>Water Use (WU) - m3 H2O</v>
      </c>
      <c r="M7325" s="154" t="str">
        <f t="shared" si="558"/>
        <v>High_Medium_Low_Upgraded_Water Use (WU) - m3 H2O_Effluent release; wastewater treatment unit; at surface water; m3 wastewater - US_Without Amendment_Windrow</v>
      </c>
    </row>
    <row r="7326" spans="1:13" s="120" customFormat="1" x14ac:dyDescent="0.25">
      <c r="A7326" s="119"/>
      <c r="B7326" s="138" t="str">
        <f t="shared" si="556"/>
        <v>Windrow</v>
      </c>
      <c r="C7326" s="138" t="str">
        <f t="shared" si="559"/>
        <v>Without Amendment</v>
      </c>
      <c r="D7326" s="138" t="str">
        <f t="shared" si="555"/>
        <v>Medium_Low</v>
      </c>
      <c r="E7326" s="138" t="str">
        <f t="shared" si="560"/>
        <v>High</v>
      </c>
      <c r="F7326" s="138" t="str">
        <f t="shared" si="557"/>
        <v>Upgraded</v>
      </c>
      <c r="G7326" s="153"/>
      <c r="H7326" s="210">
        <v>0.44159999999999999</v>
      </c>
      <c r="I7326" s="160" t="s">
        <v>58</v>
      </c>
      <c r="J7326" s="211">
        <v>4.3235300000000003E-5</v>
      </c>
      <c r="K7326" s="160" t="s">
        <v>26</v>
      </c>
      <c r="L7326" s="154" t="str">
        <f>IF(OpenLCAbasic!K7326="CTUh", "Fill in Manually",IF(OR(K7326="Unit", K7326=""), "", INDEX(LookUps!$E$5:$E$12, MATCH(OpenLCAbasic!K7326,LookUps!$D$5:$D$12,0))))</f>
        <v>Water Use (WU) - m3 H2O</v>
      </c>
      <c r="M7326" s="154" t="str">
        <f t="shared" si="558"/>
        <v>High_Medium_Low_Upgraded_Water Use (WU) - m3 H2O_Pre-Anoxic &amp; Swing tank; wastewater treatment unit; at updated plant - US_Without Amendment_Windrow</v>
      </c>
    </row>
    <row r="7327" spans="1:13" s="120" customFormat="1" x14ac:dyDescent="0.25">
      <c r="A7327" s="119"/>
      <c r="B7327" s="138" t="str">
        <f t="shared" si="556"/>
        <v>Windrow</v>
      </c>
      <c r="C7327" s="138" t="str">
        <f t="shared" si="559"/>
        <v>Without Amendment</v>
      </c>
      <c r="D7327" s="138" t="str">
        <f t="shared" si="555"/>
        <v>Medium_Low</v>
      </c>
      <c r="E7327" s="138" t="str">
        <f t="shared" si="560"/>
        <v>High</v>
      </c>
      <c r="F7327" s="138" t="str">
        <f t="shared" si="557"/>
        <v>Upgraded</v>
      </c>
      <c r="G7327" s="153"/>
      <c r="H7327" s="210">
        <v>0.3493</v>
      </c>
      <c r="I7327" s="160" t="s">
        <v>60</v>
      </c>
      <c r="J7327" s="211">
        <v>3.4196200000000003E-5</v>
      </c>
      <c r="K7327" s="160" t="s">
        <v>26</v>
      </c>
      <c r="L7327" s="154" t="str">
        <f>IF(OpenLCAbasic!K7327="CTUh", "Fill in Manually",IF(OR(K7327="Unit", K7327=""), "", INDEX(LookUps!$E$5:$E$12, MATCH(OpenLCAbasic!K7327,LookUps!$D$5:$D$12,0))))</f>
        <v>Water Use (WU) - m3 H2O</v>
      </c>
      <c r="M7327" s="154" t="str">
        <f t="shared" si="558"/>
        <v>High_Medium_Low_Upgraded_Water Use (WU) - m3 H2O_Belt filter press; wastewater treatment unit; at updated plant - US_Without Amendment_Windrow</v>
      </c>
    </row>
    <row r="7328" spans="1:13" s="120" customFormat="1" x14ac:dyDescent="0.25">
      <c r="A7328" s="119"/>
      <c r="B7328" s="138" t="str">
        <f t="shared" si="556"/>
        <v>Windrow</v>
      </c>
      <c r="C7328" s="138" t="str">
        <f t="shared" si="559"/>
        <v>Without Amendment</v>
      </c>
      <c r="D7328" s="138" t="str">
        <f t="shared" si="555"/>
        <v>Medium_Low</v>
      </c>
      <c r="E7328" s="138" t="str">
        <f t="shared" si="560"/>
        <v>High</v>
      </c>
      <c r="F7328" s="138" t="str">
        <f t="shared" si="557"/>
        <v>Upgraded</v>
      </c>
      <c r="G7328" s="153"/>
      <c r="H7328" s="210">
        <v>0.31059999999999999</v>
      </c>
      <c r="I7328" s="160" t="s">
        <v>57</v>
      </c>
      <c r="J7328" s="211">
        <v>3.0408100000000001E-5</v>
      </c>
      <c r="K7328" s="160" t="s">
        <v>26</v>
      </c>
      <c r="L7328" s="154" t="str">
        <f>IF(OpenLCAbasic!K7328="CTUh", "Fill in Manually",IF(OR(K7328="Unit", K7328=""), "", INDEX(LookUps!$E$5:$E$12, MATCH(OpenLCAbasic!K7328,LookUps!$D$5:$D$12,0))))</f>
        <v>Water Use (WU) - m3 H2O</v>
      </c>
      <c r="M7328" s="154" t="str">
        <f t="shared" si="558"/>
        <v>High_Medium_Low_Upgraded_Water Use (WU) - m3 H2O_Gravity Belt Thickener; wastewater treatment unit; at updated plant - US_Without Amendment_Windrow</v>
      </c>
    </row>
    <row r="7329" spans="1:13" s="120" customFormat="1" x14ac:dyDescent="0.25">
      <c r="A7329" s="119"/>
      <c r="B7329" s="138" t="str">
        <f t="shared" si="556"/>
        <v>Windrow</v>
      </c>
      <c r="C7329" s="138" t="str">
        <f t="shared" si="559"/>
        <v>Without Amendment</v>
      </c>
      <c r="D7329" s="138" t="str">
        <f t="shared" ref="D7329:D7335" si="561">IF(ISNUMBER($J7329),"Medium_Low","")</f>
        <v>Medium_Low</v>
      </c>
      <c r="E7329" s="138" t="str">
        <f t="shared" si="560"/>
        <v>High</v>
      </c>
      <c r="F7329" s="138" t="str">
        <f t="shared" si="557"/>
        <v>Upgraded</v>
      </c>
      <c r="G7329" s="153"/>
      <c r="H7329" s="210">
        <v>0.27960000000000002</v>
      </c>
      <c r="I7329" s="160" t="s">
        <v>149</v>
      </c>
      <c r="J7329" s="211">
        <v>2.7368600000000001E-5</v>
      </c>
      <c r="K7329" s="160" t="s">
        <v>26</v>
      </c>
      <c r="L7329" s="154" t="str">
        <f>IF(OpenLCAbasic!K7329="CTUh", "Fill in Manually",IF(OR(K7329="Unit", K7329=""), "", INDEX(LookUps!$E$5:$E$12, MATCH(OpenLCAbasic!K7329,LookUps!$D$5:$D$12,0))))</f>
        <v>Water Use (WU) - m3 H2O</v>
      </c>
      <c r="M7329" s="154" t="str">
        <f t="shared" si="558"/>
        <v>High_Medium_Low_Upgraded_Water Use (WU) - m3 H2O_Anaerobic Digestion; wastewater treatment unit; at updated plant - US_Without Amendment_Windrow</v>
      </c>
    </row>
    <row r="7330" spans="1:13" s="120" customFormat="1" x14ac:dyDescent="0.25">
      <c r="A7330" s="119"/>
      <c r="B7330" s="138" t="str">
        <f t="shared" si="556"/>
        <v>Windrow</v>
      </c>
      <c r="C7330" s="138" t="str">
        <f t="shared" si="559"/>
        <v>Without Amendment</v>
      </c>
      <c r="D7330" s="138" t="str">
        <f t="shared" si="561"/>
        <v>Medium_Low</v>
      </c>
      <c r="E7330" s="138" t="str">
        <f t="shared" si="560"/>
        <v>High</v>
      </c>
      <c r="F7330" s="138" t="str">
        <f t="shared" si="557"/>
        <v>Upgraded</v>
      </c>
      <c r="G7330" s="153"/>
      <c r="H7330" s="210">
        <v>0.17879999999999999</v>
      </c>
      <c r="I7330" s="160" t="s">
        <v>53</v>
      </c>
      <c r="J7330" s="211">
        <v>1.75069E-5</v>
      </c>
      <c r="K7330" s="160" t="s">
        <v>26</v>
      </c>
      <c r="L7330" s="154" t="str">
        <f>IF(OpenLCAbasic!K7330="CTUh", "Fill in Manually",IF(OR(K7330="Unit", K7330=""), "", INDEX(LookUps!$E$5:$E$12, MATCH(OpenLCAbasic!K7330,LookUps!$D$5:$D$12,0))))</f>
        <v>Water Use (WU) - m3 H2O</v>
      </c>
      <c r="M7330" s="154" t="str">
        <f t="shared" si="558"/>
        <v>High_Medium_Low_Upgraded_Water Use (WU) - m3 H2O_Wet Well and Sump Station; wastewater treatment unit; at updated plant - US_Without Amendment_Windrow</v>
      </c>
    </row>
    <row r="7331" spans="1:13" s="120" customFormat="1" x14ac:dyDescent="0.25">
      <c r="A7331" s="119"/>
      <c r="B7331" s="138" t="str">
        <f t="shared" si="556"/>
        <v>Windrow</v>
      </c>
      <c r="C7331" s="138" t="str">
        <f t="shared" si="559"/>
        <v>Without Amendment</v>
      </c>
      <c r="D7331" s="138" t="str">
        <f t="shared" si="561"/>
        <v>Medium_Low</v>
      </c>
      <c r="E7331" s="138" t="str">
        <f t="shared" si="560"/>
        <v>High</v>
      </c>
      <c r="F7331" s="138" t="str">
        <f t="shared" si="557"/>
        <v>Upgraded</v>
      </c>
      <c r="G7331" s="153"/>
      <c r="H7331" s="210">
        <v>7.17E-2</v>
      </c>
      <c r="I7331" s="160" t="s">
        <v>59</v>
      </c>
      <c r="J7331" s="211">
        <v>7.0179500000000003E-6</v>
      </c>
      <c r="K7331" s="160" t="s">
        <v>26</v>
      </c>
      <c r="L7331" s="154" t="str">
        <f>IF(OpenLCAbasic!K7331="CTUh", "Fill in Manually",IF(OR(K7331="Unit", K7331=""), "", INDEX(LookUps!$E$5:$E$12, MATCH(OpenLCAbasic!K7331,LookUps!$D$5:$D$12,0))))</f>
        <v>Water Use (WU) - m3 H2O</v>
      </c>
      <c r="M7331" s="154" t="str">
        <f t="shared" si="558"/>
        <v>High_Medium_Low_Upgraded_Water Use (WU) - m3 H2O_Blend Tank; wastewater treatment unit; at updated plant - US_Without Amendment_Windrow</v>
      </c>
    </row>
    <row r="7332" spans="1:13" s="120" customFormat="1" x14ac:dyDescent="0.25">
      <c r="A7332" s="119"/>
      <c r="B7332" s="138" t="str">
        <f t="shared" si="556"/>
        <v>Windrow</v>
      </c>
      <c r="C7332" s="138" t="str">
        <f t="shared" si="559"/>
        <v>Without Amendment</v>
      </c>
      <c r="D7332" s="138" t="str">
        <f t="shared" si="561"/>
        <v>Medium_Low</v>
      </c>
      <c r="E7332" s="138" t="str">
        <f t="shared" si="560"/>
        <v>High</v>
      </c>
      <c r="F7332" s="138" t="str">
        <f t="shared" si="557"/>
        <v>Upgraded</v>
      </c>
      <c r="G7332" s="153"/>
      <c r="H7332" s="210">
        <v>5.1700000000000003E-2</v>
      </c>
      <c r="I7332" s="160" t="s">
        <v>128</v>
      </c>
      <c r="J7332" s="211">
        <v>5.0608900000000003E-6</v>
      </c>
      <c r="K7332" s="160" t="s">
        <v>26</v>
      </c>
      <c r="L7332" s="154" t="str">
        <f>IF(OpenLCAbasic!K7332="CTUh", "Fill in Manually",IF(OR(K7332="Unit", K7332=""), "", INDEX(LookUps!$E$5:$E$12, MATCH(OpenLCAbasic!K7332,LookUps!$D$5:$D$12,0))))</f>
        <v>Water Use (WU) - m3 H2O</v>
      </c>
      <c r="M7332" s="154" t="str">
        <f t="shared" si="558"/>
        <v>High_Medium_Low_Upgraded_Water Use (WU) - m3 H2O_Wastewater collection; operation and infrastructure; m3 wastewater_Without Amendment_Windrow</v>
      </c>
    </row>
    <row r="7333" spans="1:13" s="120" customFormat="1" x14ac:dyDescent="0.25">
      <c r="A7333" s="119"/>
      <c r="B7333" s="138" t="str">
        <f t="shared" si="556"/>
        <v>Windrow</v>
      </c>
      <c r="C7333" s="138" t="str">
        <f t="shared" si="559"/>
        <v>Without Amendment</v>
      </c>
      <c r="D7333" s="138" t="str">
        <f t="shared" si="561"/>
        <v>Medium_Low</v>
      </c>
      <c r="E7333" s="138" t="str">
        <f t="shared" si="560"/>
        <v>High</v>
      </c>
      <c r="F7333" s="138" t="str">
        <f t="shared" si="557"/>
        <v>Upgraded</v>
      </c>
      <c r="G7333" s="153"/>
      <c r="H7333" s="210">
        <v>1.67E-2</v>
      </c>
      <c r="I7333" s="160" t="s">
        <v>271</v>
      </c>
      <c r="J7333" s="211">
        <v>1.6364900000000001E-6</v>
      </c>
      <c r="K7333" s="160" t="s">
        <v>26</v>
      </c>
      <c r="L7333" s="154" t="str">
        <f>IF(OpenLCAbasic!K7333="CTUh", "Fill in Manually",IF(OR(K7333="Unit", K7333=""), "", INDEX(LookUps!$E$5:$E$12, MATCH(OpenLCAbasic!K7333,LookUps!$D$5:$D$12,0))))</f>
        <v>Water Use (WU) - m3 H2O</v>
      </c>
      <c r="M7333" s="154" t="str">
        <f t="shared" si="558"/>
        <v>High_Medium_Low_Upgraded_Water Use (WU) - m3 H2O_Biosolids composting; windrow composting; wastewater treatment unit; at updated plant - US_Without Amendment_Windrow</v>
      </c>
    </row>
    <row r="7334" spans="1:13" s="120" customFormat="1" x14ac:dyDescent="0.25">
      <c r="A7334" s="119"/>
      <c r="B7334" s="138" t="str">
        <f t="shared" si="556"/>
        <v>Windrow</v>
      </c>
      <c r="C7334" s="138" t="str">
        <f t="shared" si="559"/>
        <v>Without Amendment</v>
      </c>
      <c r="D7334" s="138" t="str">
        <f t="shared" si="561"/>
        <v>Medium_Low</v>
      </c>
      <c r="E7334" s="138" t="str">
        <f t="shared" si="560"/>
        <v>High</v>
      </c>
      <c r="F7334" s="138" t="str">
        <f t="shared" si="557"/>
        <v>Upgraded</v>
      </c>
      <c r="G7334" s="153"/>
      <c r="H7334" s="210">
        <v>7.7999999999999996E-3</v>
      </c>
      <c r="I7334" s="160" t="s">
        <v>168</v>
      </c>
      <c r="J7334" s="211">
        <v>7.6697000000000004E-7</v>
      </c>
      <c r="K7334" s="160" t="s">
        <v>26</v>
      </c>
      <c r="L7334" s="154" t="str">
        <f>IF(OpenLCAbasic!K7334="CTUh", "Fill in Manually",IF(OR(K7334="Unit", K7334=""), "", INDEX(LookUps!$E$5:$E$12, MATCH(OpenLCAbasic!K7334,LookUps!$D$5:$D$12,0))))</f>
        <v>Water Use (WU) - m3 H2O</v>
      </c>
      <c r="M7334" s="154" t="str">
        <f t="shared" si="558"/>
        <v>High_Medium_Low_Upgraded_Water Use (WU) - m3 H2O_ClearCove SCP; wastewater treatment unit; at updated plant - US_Without Amendment_Windrow</v>
      </c>
    </row>
    <row r="7335" spans="1:13" s="120" customFormat="1" x14ac:dyDescent="0.25">
      <c r="A7335" s="119"/>
      <c r="B7335" s="138" t="str">
        <f t="shared" si="556"/>
        <v>Windrow</v>
      </c>
      <c r="C7335" s="138" t="str">
        <f t="shared" si="559"/>
        <v>Without Amendment</v>
      </c>
      <c r="D7335" s="138" t="str">
        <f t="shared" si="561"/>
        <v>Medium_Low</v>
      </c>
      <c r="E7335" s="138" t="str">
        <f t="shared" si="560"/>
        <v>High</v>
      </c>
      <c r="F7335" s="138" t="str">
        <f t="shared" si="557"/>
        <v>Upgraded</v>
      </c>
      <c r="G7335" s="153"/>
      <c r="H7335" s="210">
        <v>-11.174799999999999</v>
      </c>
      <c r="I7335" s="160" t="s">
        <v>62</v>
      </c>
      <c r="J7335" s="160">
        <v>-1.09E-3</v>
      </c>
      <c r="K7335" s="160" t="s">
        <v>26</v>
      </c>
      <c r="L7335" s="154" t="str">
        <f>IF(OpenLCAbasic!K7335="CTUh", "Fill in Manually",IF(OR(K7335="Unit", K7335=""), "", INDEX(LookUps!$E$5:$E$12, MATCH(OpenLCAbasic!K7335,LookUps!$D$5:$D$12,0))))</f>
        <v>Water Use (WU) - m3 H2O</v>
      </c>
      <c r="M7335" s="154" t="str">
        <f t="shared" si="558"/>
        <v>High_Medium_Low_Upgraded_Water Use (WU) - m3 H2O_Land application of compost; wastewater treatment unit; at updated plant - US_Without Amendment_Windrow</v>
      </c>
    </row>
    <row r="7336" spans="1:13" s="120" customFormat="1" x14ac:dyDescent="0.25">
      <c r="A7336" s="119"/>
      <c r="B7336" s="138" t="str">
        <f t="shared" ref="B7336:B7399" si="562">IF(F7336="Legacy","n.a.",IF(F7336="","","Windrow"))</f>
        <v/>
      </c>
      <c r="C7336" s="138" t="str">
        <f t="shared" si="559"/>
        <v/>
      </c>
      <c r="D7336" s="138" t="str">
        <f>IF(ISNUMBER($J7336),"Medium_Base","")</f>
        <v/>
      </c>
      <c r="E7336" s="138" t="str">
        <f t="shared" si="560"/>
        <v/>
      </c>
      <c r="F7336" s="138" t="str">
        <f t="shared" ref="F7336:F7399" si="563">IF(ISNUMBER(J7336),"Upgraded","")</f>
        <v/>
      </c>
      <c r="G7336" s="153" t="s">
        <v>51</v>
      </c>
      <c r="H7336" s="160"/>
      <c r="I7336" s="160" t="s">
        <v>47</v>
      </c>
      <c r="J7336" s="160" t="s">
        <v>52</v>
      </c>
      <c r="K7336" s="160" t="s">
        <v>27</v>
      </c>
      <c r="L7336" s="154" t="str">
        <f>IF(OpenLCAbasic!K7336="CTUh", "Fill in Manually",IF(OR(K7336="Unit", K7336=""), "", INDEX(LookUps!$E$5:$E$12, MATCH(OpenLCAbasic!K7336,LookUps!$D$5:$D$12,0))))</f>
        <v/>
      </c>
      <c r="M7336" s="154" t="str">
        <f t="shared" si="558"/>
        <v>____Process__</v>
      </c>
    </row>
    <row r="7337" spans="1:13" s="120" customFormat="1" x14ac:dyDescent="0.25">
      <c r="A7337" s="119"/>
      <c r="B7337" s="138" t="str">
        <f t="shared" si="562"/>
        <v>Windrow</v>
      </c>
      <c r="C7337" s="138" t="str">
        <f t="shared" si="559"/>
        <v>Without Amendment</v>
      </c>
      <c r="D7337" s="138" t="str">
        <f t="shared" ref="D7337:D7400" si="564">IF(ISNUMBER($J7337),"Medium_Base","")</f>
        <v>Medium_Base</v>
      </c>
      <c r="E7337" s="138" t="str">
        <f t="shared" si="560"/>
        <v>High</v>
      </c>
      <c r="F7337" s="138" t="str">
        <f t="shared" si="563"/>
        <v>Upgraded</v>
      </c>
      <c r="G7337" s="153"/>
      <c r="H7337" s="210">
        <v>0.55810000000000004</v>
      </c>
      <c r="I7337" s="160" t="s">
        <v>55</v>
      </c>
      <c r="J7337" s="160">
        <v>1.7219999999999999E-2</v>
      </c>
      <c r="K7337" s="160" t="s">
        <v>24</v>
      </c>
      <c r="L7337" s="154" t="str">
        <f>IF(OpenLCAbasic!K7337="CTUh", "Fill in Manually",IF(OR(K7337="Unit", K7337=""), "", INDEX(LookUps!$E$5:$E$12, MATCH(OpenLCAbasic!K7337,LookUps!$D$5:$D$12,0))))</f>
        <v>Acidification Potential (AP) - kg SO2 eq</v>
      </c>
      <c r="M7337" s="154" t="str">
        <f t="shared" si="558"/>
        <v>High_Medium_Base_Upgraded_Acidification Potential (AP) - kg SO2 eq_Aeration Tanks; wastewater treatment unit; at updated plant - US_Without Amendment_Windrow</v>
      </c>
    </row>
    <row r="7338" spans="1:13" s="120" customFormat="1" x14ac:dyDescent="0.25">
      <c r="A7338" s="119"/>
      <c r="B7338" s="138" t="str">
        <f t="shared" si="562"/>
        <v>Windrow</v>
      </c>
      <c r="C7338" s="138" t="str">
        <f t="shared" si="559"/>
        <v>Without Amendment</v>
      </c>
      <c r="D7338" s="138" t="str">
        <f t="shared" si="564"/>
        <v>Medium_Base</v>
      </c>
      <c r="E7338" s="138" t="str">
        <f t="shared" si="560"/>
        <v>High</v>
      </c>
      <c r="F7338" s="138" t="str">
        <f t="shared" si="563"/>
        <v>Upgraded</v>
      </c>
      <c r="G7338" s="153"/>
      <c r="H7338" s="210">
        <v>0.31440000000000001</v>
      </c>
      <c r="I7338" s="160" t="s">
        <v>271</v>
      </c>
      <c r="J7338" s="160">
        <v>9.7000000000000003E-3</v>
      </c>
      <c r="K7338" s="160" t="s">
        <v>24</v>
      </c>
      <c r="L7338" s="154" t="str">
        <f>IF(OpenLCAbasic!K7338="CTUh", "Fill in Manually",IF(OR(K7338="Unit", K7338=""), "", INDEX(LookUps!$E$5:$E$12, MATCH(OpenLCAbasic!K7338,LookUps!$D$5:$D$12,0))))</f>
        <v>Acidification Potential (AP) - kg SO2 eq</v>
      </c>
      <c r="M7338" s="154" t="str">
        <f t="shared" si="558"/>
        <v>High_Medium_Base_Upgraded_Acidification Potential (AP) - kg SO2 eq_Biosolids composting; windrow composting; wastewater treatment unit; at updated plant - US_Without Amendment_Windrow</v>
      </c>
    </row>
    <row r="7339" spans="1:13" s="120" customFormat="1" x14ac:dyDescent="0.25">
      <c r="A7339" s="119"/>
      <c r="B7339" s="138" t="str">
        <f t="shared" si="562"/>
        <v>Windrow</v>
      </c>
      <c r="C7339" s="138" t="str">
        <f t="shared" si="559"/>
        <v>Without Amendment</v>
      </c>
      <c r="D7339" s="138" t="str">
        <f t="shared" si="564"/>
        <v>Medium_Base</v>
      </c>
      <c r="E7339" s="138" t="str">
        <f t="shared" si="560"/>
        <v>High</v>
      </c>
      <c r="F7339" s="138" t="str">
        <f t="shared" si="563"/>
        <v>Upgraded</v>
      </c>
      <c r="G7339" s="153"/>
      <c r="H7339" s="210">
        <v>0.16139999999999999</v>
      </c>
      <c r="I7339" s="160" t="s">
        <v>54</v>
      </c>
      <c r="J7339" s="160">
        <v>4.9800000000000001E-3</v>
      </c>
      <c r="K7339" s="160" t="s">
        <v>24</v>
      </c>
      <c r="L7339" s="154" t="str">
        <f>IF(OpenLCAbasic!K7339="CTUh", "Fill in Manually",IF(OR(K7339="Unit", K7339=""), "", INDEX(LookUps!$E$5:$E$12, MATCH(OpenLCAbasic!K7339,LookUps!$D$5:$D$12,0))))</f>
        <v>Acidification Potential (AP) - kg SO2 eq</v>
      </c>
      <c r="M7339" s="154" t="str">
        <f t="shared" si="558"/>
        <v>High_Medium_Base_Upgraded_Acidification Potential (AP) - kg SO2 eq_Clear Cove Primary Clarification; wastewater treatment unit; at updated plant - US_Without Amendment_Windrow</v>
      </c>
    </row>
    <row r="7340" spans="1:13" s="120" customFormat="1" x14ac:dyDescent="0.25">
      <c r="A7340" s="119"/>
      <c r="B7340" s="138" t="str">
        <f t="shared" si="562"/>
        <v>Windrow</v>
      </c>
      <c r="C7340" s="138" t="str">
        <f t="shared" si="559"/>
        <v>Without Amendment</v>
      </c>
      <c r="D7340" s="138" t="str">
        <f t="shared" si="564"/>
        <v>Medium_Base</v>
      </c>
      <c r="E7340" s="138" t="str">
        <f t="shared" si="560"/>
        <v>High</v>
      </c>
      <c r="F7340" s="138" t="str">
        <f t="shared" si="563"/>
        <v>Upgraded</v>
      </c>
      <c r="G7340" s="153"/>
      <c r="H7340" s="210">
        <v>0.1409</v>
      </c>
      <c r="I7340" s="160" t="s">
        <v>58</v>
      </c>
      <c r="J7340" s="160">
        <v>4.3499999999999997E-3</v>
      </c>
      <c r="K7340" s="160" t="s">
        <v>24</v>
      </c>
      <c r="L7340" s="154" t="str">
        <f>IF(OpenLCAbasic!K7340="CTUh", "Fill in Manually",IF(OR(K7340="Unit", K7340=""), "", INDEX(LookUps!$E$5:$E$12, MATCH(OpenLCAbasic!K7340,LookUps!$D$5:$D$12,0))))</f>
        <v>Acidification Potential (AP) - kg SO2 eq</v>
      </c>
      <c r="M7340" s="154" t="str">
        <f t="shared" si="558"/>
        <v>High_Medium_Base_Upgraded_Acidification Potential (AP) - kg SO2 eq_Pre-Anoxic &amp; Swing tank; wastewater treatment unit; at updated plant - US_Without Amendment_Windrow</v>
      </c>
    </row>
    <row r="7341" spans="1:13" s="120" customFormat="1" x14ac:dyDescent="0.25">
      <c r="A7341" s="119"/>
      <c r="B7341" s="138" t="str">
        <f t="shared" si="562"/>
        <v>Windrow</v>
      </c>
      <c r="C7341" s="138" t="str">
        <f t="shared" si="559"/>
        <v>Without Amendment</v>
      </c>
      <c r="D7341" s="138" t="str">
        <f t="shared" si="564"/>
        <v>Medium_Base</v>
      </c>
      <c r="E7341" s="138" t="str">
        <f t="shared" si="560"/>
        <v>High</v>
      </c>
      <c r="F7341" s="138" t="str">
        <f t="shared" si="563"/>
        <v>Upgraded</v>
      </c>
      <c r="G7341" s="153"/>
      <c r="H7341" s="210">
        <v>0.1118</v>
      </c>
      <c r="I7341" s="160" t="s">
        <v>53</v>
      </c>
      <c r="J7341" s="160">
        <v>3.4499999999999999E-3</v>
      </c>
      <c r="K7341" s="160" t="s">
        <v>24</v>
      </c>
      <c r="L7341" s="154" t="str">
        <f>IF(OpenLCAbasic!K7341="CTUh", "Fill in Manually",IF(OR(K7341="Unit", K7341=""), "", INDEX(LookUps!$E$5:$E$12, MATCH(OpenLCAbasic!K7341,LookUps!$D$5:$D$12,0))))</f>
        <v>Acidification Potential (AP) - kg SO2 eq</v>
      </c>
      <c r="M7341" s="154" t="str">
        <f t="shared" si="558"/>
        <v>High_Medium_Base_Upgraded_Acidification Potential (AP) - kg SO2 eq_Wet Well and Sump Station; wastewater treatment unit; at updated plant - US_Without Amendment_Windrow</v>
      </c>
    </row>
    <row r="7342" spans="1:13" s="120" customFormat="1" x14ac:dyDescent="0.25">
      <c r="A7342" s="119"/>
      <c r="B7342" s="138" t="str">
        <f t="shared" si="562"/>
        <v>Windrow</v>
      </c>
      <c r="C7342" s="138" t="str">
        <f t="shared" si="559"/>
        <v>Without Amendment</v>
      </c>
      <c r="D7342" s="138" t="str">
        <f t="shared" si="564"/>
        <v>Medium_Base</v>
      </c>
      <c r="E7342" s="138" t="str">
        <f t="shared" si="560"/>
        <v>High</v>
      </c>
      <c r="F7342" s="138" t="str">
        <f t="shared" si="563"/>
        <v>Upgraded</v>
      </c>
      <c r="G7342" s="153"/>
      <c r="H7342" s="210">
        <v>8.2000000000000003E-2</v>
      </c>
      <c r="I7342" s="160" t="s">
        <v>167</v>
      </c>
      <c r="J7342" s="160">
        <v>2.5300000000000001E-3</v>
      </c>
      <c r="K7342" s="160" t="s">
        <v>24</v>
      </c>
      <c r="L7342" s="154" t="str">
        <f>IF(OpenLCAbasic!K7342="CTUh", "Fill in Manually",IF(OR(K7342="Unit", K7342=""), "", INDEX(LookUps!$E$5:$E$12, MATCH(OpenLCAbasic!K7342,LookUps!$D$5:$D$12,0))))</f>
        <v>Acidification Potential (AP) - kg SO2 eq</v>
      </c>
      <c r="M7342" s="154" t="str">
        <f t="shared" si="558"/>
        <v>High_Medium_Base_Upgraded_Acidification Potential (AP) - kg SO2 eq_Waste Receiving and Holding; wastewater treatment unit; at updated plant - US_Without Amendment_Windrow</v>
      </c>
    </row>
    <row r="7343" spans="1:13" s="120" customFormat="1" x14ac:dyDescent="0.25">
      <c r="A7343" s="119"/>
      <c r="B7343" s="138" t="str">
        <f t="shared" si="562"/>
        <v>Windrow</v>
      </c>
      <c r="C7343" s="138" t="str">
        <f t="shared" si="559"/>
        <v>Without Amendment</v>
      </c>
      <c r="D7343" s="138" t="str">
        <f t="shared" si="564"/>
        <v>Medium_Base</v>
      </c>
      <c r="E7343" s="138" t="str">
        <f t="shared" si="560"/>
        <v>High</v>
      </c>
      <c r="F7343" s="138" t="str">
        <f t="shared" si="563"/>
        <v>Upgraded</v>
      </c>
      <c r="G7343" s="153"/>
      <c r="H7343" s="210">
        <v>6.8500000000000005E-2</v>
      </c>
      <c r="I7343" s="160" t="s">
        <v>62</v>
      </c>
      <c r="J7343" s="160">
        <v>2.1099999999999999E-3</v>
      </c>
      <c r="K7343" s="160" t="s">
        <v>24</v>
      </c>
      <c r="L7343" s="154" t="str">
        <f>IF(OpenLCAbasic!K7343="CTUh", "Fill in Manually",IF(OR(K7343="Unit", K7343=""), "", INDEX(LookUps!$E$5:$E$12, MATCH(OpenLCAbasic!K7343,LookUps!$D$5:$D$12,0))))</f>
        <v>Acidification Potential (AP) - kg SO2 eq</v>
      </c>
      <c r="M7343" s="154" t="str">
        <f t="shared" si="558"/>
        <v>High_Medium_Base_Upgraded_Acidification Potential (AP) - kg SO2 eq_Land application of compost; wastewater treatment unit; at updated plant - US_Without Amendment_Windrow</v>
      </c>
    </row>
    <row r="7344" spans="1:13" s="120" customFormat="1" x14ac:dyDescent="0.25">
      <c r="A7344" s="119"/>
      <c r="B7344" s="138" t="str">
        <f t="shared" si="562"/>
        <v>Windrow</v>
      </c>
      <c r="C7344" s="138" t="str">
        <f t="shared" si="559"/>
        <v>Without Amendment</v>
      </c>
      <c r="D7344" s="138" t="str">
        <f t="shared" si="564"/>
        <v>Medium_Base</v>
      </c>
      <c r="E7344" s="138" t="str">
        <f t="shared" si="560"/>
        <v>High</v>
      </c>
      <c r="F7344" s="138" t="str">
        <f t="shared" si="563"/>
        <v>Upgraded</v>
      </c>
      <c r="G7344" s="153"/>
      <c r="H7344" s="210">
        <v>6.7000000000000004E-2</v>
      </c>
      <c r="I7344" s="160" t="s">
        <v>147</v>
      </c>
      <c r="J7344" s="160">
        <v>2.0699999999999998E-3</v>
      </c>
      <c r="K7344" s="160" t="s">
        <v>24</v>
      </c>
      <c r="L7344" s="154" t="str">
        <f>IF(OpenLCAbasic!K7344="CTUh", "Fill in Manually",IF(OR(K7344="Unit", K7344=""), "", INDEX(LookUps!$E$5:$E$12, MATCH(OpenLCAbasic!K7344,LookUps!$D$5:$D$12,0))))</f>
        <v>Acidification Potential (AP) - kg SO2 eq</v>
      </c>
      <c r="M7344" s="154" t="str">
        <f t="shared" si="558"/>
        <v>High_Medium_Base_Upgraded_Acidification Potential (AP) - kg SO2 eq_Influent Pump Station; wastewater treatment unit; at updated plant - US_Without Amendment_Windrow</v>
      </c>
    </row>
    <row r="7345" spans="1:13" s="120" customFormat="1" x14ac:dyDescent="0.25">
      <c r="A7345" s="119"/>
      <c r="B7345" s="138" t="str">
        <f t="shared" si="562"/>
        <v>Windrow</v>
      </c>
      <c r="C7345" s="138" t="str">
        <f t="shared" si="559"/>
        <v>Without Amendment</v>
      </c>
      <c r="D7345" s="138" t="str">
        <f t="shared" si="564"/>
        <v>Medium_Base</v>
      </c>
      <c r="E7345" s="138" t="str">
        <f t="shared" si="560"/>
        <v>High</v>
      </c>
      <c r="F7345" s="138" t="str">
        <f t="shared" si="563"/>
        <v>Upgraded</v>
      </c>
      <c r="G7345" s="153"/>
      <c r="H7345" s="210">
        <v>0.04</v>
      </c>
      <c r="I7345" s="160" t="s">
        <v>128</v>
      </c>
      <c r="J7345" s="160">
        <v>1.23E-3</v>
      </c>
      <c r="K7345" s="160" t="s">
        <v>24</v>
      </c>
      <c r="L7345" s="154" t="str">
        <f>IF(OpenLCAbasic!K7345="CTUh", "Fill in Manually",IF(OR(K7345="Unit", K7345=""), "", INDEX(LookUps!$E$5:$E$12, MATCH(OpenLCAbasic!K7345,LookUps!$D$5:$D$12,0))))</f>
        <v>Acidification Potential (AP) - kg SO2 eq</v>
      </c>
      <c r="M7345" s="154" t="str">
        <f t="shared" si="558"/>
        <v>High_Medium_Base_Upgraded_Acidification Potential (AP) - kg SO2 eq_Wastewater collection; operation and infrastructure; m3 wastewater_Without Amendment_Windrow</v>
      </c>
    </row>
    <row r="7346" spans="1:13" s="120" customFormat="1" x14ac:dyDescent="0.25">
      <c r="A7346" s="119"/>
      <c r="B7346" s="138" t="str">
        <f t="shared" si="562"/>
        <v>Windrow</v>
      </c>
      <c r="C7346" s="138" t="str">
        <f t="shared" si="559"/>
        <v>Without Amendment</v>
      </c>
      <c r="D7346" s="138" t="str">
        <f t="shared" si="564"/>
        <v>Medium_Base</v>
      </c>
      <c r="E7346" s="138" t="str">
        <f t="shared" si="560"/>
        <v>High</v>
      </c>
      <c r="F7346" s="138" t="str">
        <f t="shared" si="563"/>
        <v>Upgraded</v>
      </c>
      <c r="G7346" s="153"/>
      <c r="H7346" s="210">
        <v>3.4500000000000003E-2</v>
      </c>
      <c r="I7346" s="160" t="s">
        <v>60</v>
      </c>
      <c r="J7346" s="160">
        <v>1.07E-3</v>
      </c>
      <c r="K7346" s="160" t="s">
        <v>24</v>
      </c>
      <c r="L7346" s="154" t="str">
        <f>IF(OpenLCAbasic!K7346="CTUh", "Fill in Manually",IF(OR(K7346="Unit", K7346=""), "", INDEX(LookUps!$E$5:$E$12, MATCH(OpenLCAbasic!K7346,LookUps!$D$5:$D$12,0))))</f>
        <v>Acidification Potential (AP) - kg SO2 eq</v>
      </c>
      <c r="M7346" s="154" t="str">
        <f t="shared" si="558"/>
        <v>High_Medium_Base_Upgraded_Acidification Potential (AP) - kg SO2 eq_Belt filter press; wastewater treatment unit; at updated plant - US_Without Amendment_Windrow</v>
      </c>
    </row>
    <row r="7347" spans="1:13" s="120" customFormat="1" x14ac:dyDescent="0.25">
      <c r="A7347" s="119"/>
      <c r="B7347" s="138" t="str">
        <f t="shared" si="562"/>
        <v>Windrow</v>
      </c>
      <c r="C7347" s="138" t="str">
        <f t="shared" si="559"/>
        <v>Without Amendment</v>
      </c>
      <c r="D7347" s="138" t="str">
        <f t="shared" si="564"/>
        <v>Medium_Base</v>
      </c>
      <c r="E7347" s="138" t="str">
        <f t="shared" si="560"/>
        <v>High</v>
      </c>
      <c r="F7347" s="138" t="str">
        <f t="shared" si="563"/>
        <v>Upgraded</v>
      </c>
      <c r="G7347" s="153"/>
      <c r="H7347" s="210">
        <v>2.2800000000000001E-2</v>
      </c>
      <c r="I7347" s="160" t="s">
        <v>57</v>
      </c>
      <c r="J7347" s="160">
        <v>6.9999999999999999E-4</v>
      </c>
      <c r="K7347" s="160" t="s">
        <v>24</v>
      </c>
      <c r="L7347" s="154" t="str">
        <f>IF(OpenLCAbasic!K7347="CTUh", "Fill in Manually",IF(OR(K7347="Unit", K7347=""), "", INDEX(LookUps!$E$5:$E$12, MATCH(OpenLCAbasic!K7347,LookUps!$D$5:$D$12,0))))</f>
        <v>Acidification Potential (AP) - kg SO2 eq</v>
      </c>
      <c r="M7347" s="154" t="str">
        <f t="shared" si="558"/>
        <v>High_Medium_Base_Upgraded_Acidification Potential (AP) - kg SO2 eq_Gravity Belt Thickener; wastewater treatment unit; at updated plant - US_Without Amendment_Windrow</v>
      </c>
    </row>
    <row r="7348" spans="1:13" s="120" customFormat="1" x14ac:dyDescent="0.25">
      <c r="A7348" s="119"/>
      <c r="B7348" s="138" t="str">
        <f t="shared" si="562"/>
        <v>Windrow</v>
      </c>
      <c r="C7348" s="138" t="str">
        <f t="shared" si="559"/>
        <v>Without Amendment</v>
      </c>
      <c r="D7348" s="138" t="str">
        <f t="shared" si="564"/>
        <v>Medium_Base</v>
      </c>
      <c r="E7348" s="138" t="str">
        <f t="shared" si="560"/>
        <v>High</v>
      </c>
      <c r="F7348" s="138" t="str">
        <f t="shared" si="563"/>
        <v>Upgraded</v>
      </c>
      <c r="G7348" s="153"/>
      <c r="H7348" s="210">
        <v>1.67E-2</v>
      </c>
      <c r="I7348" s="160" t="s">
        <v>59</v>
      </c>
      <c r="J7348" s="160">
        <v>5.1999999999999995E-4</v>
      </c>
      <c r="K7348" s="160" t="s">
        <v>24</v>
      </c>
      <c r="L7348" s="154" t="str">
        <f>IF(OpenLCAbasic!K7348="CTUh", "Fill in Manually",IF(OR(K7348="Unit", K7348=""), "", INDEX(LookUps!$E$5:$E$12, MATCH(OpenLCAbasic!K7348,LookUps!$D$5:$D$12,0))))</f>
        <v>Acidification Potential (AP) - kg SO2 eq</v>
      </c>
      <c r="M7348" s="154" t="str">
        <f t="shared" si="558"/>
        <v>High_Medium_Base_Upgraded_Acidification Potential (AP) - kg SO2 eq_Blend Tank; wastewater treatment unit; at updated plant - US_Without Amendment_Windrow</v>
      </c>
    </row>
    <row r="7349" spans="1:13" s="120" customFormat="1" x14ac:dyDescent="0.25">
      <c r="A7349" s="119"/>
      <c r="B7349" s="138" t="str">
        <f t="shared" si="562"/>
        <v>Windrow</v>
      </c>
      <c r="C7349" s="138" t="str">
        <f t="shared" si="559"/>
        <v>Without Amendment</v>
      </c>
      <c r="D7349" s="138" t="str">
        <f t="shared" si="564"/>
        <v>Medium_Base</v>
      </c>
      <c r="E7349" s="138" t="str">
        <f t="shared" si="560"/>
        <v>High</v>
      </c>
      <c r="F7349" s="138" t="str">
        <f t="shared" si="563"/>
        <v>Upgraded</v>
      </c>
      <c r="G7349" s="153"/>
      <c r="H7349" s="210">
        <v>1.12E-2</v>
      </c>
      <c r="I7349" s="160" t="s">
        <v>48</v>
      </c>
      <c r="J7349" s="160">
        <v>3.5E-4</v>
      </c>
      <c r="K7349" s="160" t="s">
        <v>24</v>
      </c>
      <c r="L7349" s="154" t="str">
        <f>IF(OpenLCAbasic!K7349="CTUh", "Fill in Manually",IF(OR(K7349="Unit", K7349=""), "", INDEX(LookUps!$E$5:$E$12, MATCH(OpenLCAbasic!K7349,LookUps!$D$5:$D$12,0))))</f>
        <v>Acidification Potential (AP) - kg SO2 eq</v>
      </c>
      <c r="M7349" s="154" t="str">
        <f t="shared" si="558"/>
        <v>High_Medium_Base_Upgraded_Acidification Potential (AP) - kg SO2 eq_Effluent release; wastewater treatment unit; at surface water; m3 wastewater - US_Without Amendment_Windrow</v>
      </c>
    </row>
    <row r="7350" spans="1:13" s="120" customFormat="1" x14ac:dyDescent="0.25">
      <c r="A7350" s="119"/>
      <c r="B7350" s="138" t="str">
        <f t="shared" si="562"/>
        <v>Windrow</v>
      </c>
      <c r="C7350" s="138" t="str">
        <f t="shared" si="559"/>
        <v>Without Amendment</v>
      </c>
      <c r="D7350" s="138" t="str">
        <f t="shared" si="564"/>
        <v>Medium_Base</v>
      </c>
      <c r="E7350" s="138" t="str">
        <f t="shared" si="560"/>
        <v>High</v>
      </c>
      <c r="F7350" s="138" t="str">
        <f t="shared" si="563"/>
        <v>Upgraded</v>
      </c>
      <c r="G7350" s="153"/>
      <c r="H7350" s="210">
        <v>8.3000000000000001E-3</v>
      </c>
      <c r="I7350" s="160" t="s">
        <v>168</v>
      </c>
      <c r="J7350" s="160">
        <v>2.5999999999999998E-4</v>
      </c>
      <c r="K7350" s="160" t="s">
        <v>24</v>
      </c>
      <c r="L7350" s="154" t="str">
        <f>IF(OpenLCAbasic!K7350="CTUh", "Fill in Manually",IF(OR(K7350="Unit", K7350=""), "", INDEX(LookUps!$E$5:$E$12, MATCH(OpenLCAbasic!K7350,LookUps!$D$5:$D$12,0))))</f>
        <v>Acidification Potential (AP) - kg SO2 eq</v>
      </c>
      <c r="M7350" s="154" t="str">
        <f t="shared" si="558"/>
        <v>High_Medium_Base_Upgraded_Acidification Potential (AP) - kg SO2 eq_ClearCove SCP; wastewater treatment unit; at updated plant - US_Without Amendment_Windrow</v>
      </c>
    </row>
    <row r="7351" spans="1:13" s="120" customFormat="1" x14ac:dyDescent="0.25">
      <c r="A7351" s="119"/>
      <c r="B7351" s="138" t="str">
        <f t="shared" si="562"/>
        <v>Windrow</v>
      </c>
      <c r="C7351" s="138" t="str">
        <f t="shared" si="559"/>
        <v>Without Amendment</v>
      </c>
      <c r="D7351" s="138" t="str">
        <f t="shared" si="564"/>
        <v>Medium_Base</v>
      </c>
      <c r="E7351" s="138" t="str">
        <f t="shared" si="560"/>
        <v>High</v>
      </c>
      <c r="F7351" s="138" t="str">
        <f t="shared" si="563"/>
        <v>Upgraded</v>
      </c>
      <c r="G7351" s="153"/>
      <c r="H7351" s="210">
        <v>1.2999999999999999E-3</v>
      </c>
      <c r="I7351" s="160" t="s">
        <v>148</v>
      </c>
      <c r="J7351" s="211">
        <v>4.0354700000000002E-5</v>
      </c>
      <c r="K7351" s="160" t="s">
        <v>24</v>
      </c>
      <c r="L7351" s="154" t="str">
        <f>IF(OpenLCAbasic!K7351="CTUh", "Fill in Manually",IF(OR(K7351="Unit", K7351=""), "", INDEX(LookUps!$E$5:$E$12, MATCH(OpenLCAbasic!K7351,LookUps!$D$5:$D$12,0))))</f>
        <v>Acidification Potential (AP) - kg SO2 eq</v>
      </c>
      <c r="M7351" s="154" t="str">
        <f t="shared" si="558"/>
        <v>High_Medium_Base_Upgraded_Acidification Potential (AP) - kg SO2 eq_Control Building; at upgraded wastewater treatment plant - US_Without Amendment_Windrow</v>
      </c>
    </row>
    <row r="7352" spans="1:13" s="120" customFormat="1" x14ac:dyDescent="0.25">
      <c r="A7352" s="119"/>
      <c r="B7352" s="138" t="str">
        <f t="shared" si="562"/>
        <v>Windrow</v>
      </c>
      <c r="C7352" s="138" t="str">
        <f t="shared" si="559"/>
        <v>Without Amendment</v>
      </c>
      <c r="D7352" s="138" t="str">
        <f t="shared" si="564"/>
        <v>Medium_Base</v>
      </c>
      <c r="E7352" s="138" t="str">
        <f t="shared" si="560"/>
        <v>High</v>
      </c>
      <c r="F7352" s="138" t="str">
        <f t="shared" si="563"/>
        <v>Upgraded</v>
      </c>
      <c r="G7352" s="153"/>
      <c r="H7352" s="210">
        <v>-0.6391</v>
      </c>
      <c r="I7352" s="160" t="s">
        <v>149</v>
      </c>
      <c r="J7352" s="160">
        <v>-1.9720000000000001E-2</v>
      </c>
      <c r="K7352" s="160" t="s">
        <v>24</v>
      </c>
      <c r="L7352" s="154" t="str">
        <f>IF(OpenLCAbasic!K7352="CTUh", "Fill in Manually",IF(OR(K7352="Unit", K7352=""), "", INDEX(LookUps!$E$5:$E$12, MATCH(OpenLCAbasic!K7352,LookUps!$D$5:$D$12,0))))</f>
        <v>Acidification Potential (AP) - kg SO2 eq</v>
      </c>
      <c r="M7352" s="154" t="str">
        <f t="shared" si="558"/>
        <v>High_Medium_Base_Upgraded_Acidification Potential (AP) - kg SO2 eq_Anaerobic Digestion; wastewater treatment unit; at updated plant - US_Without Amendment_Windrow</v>
      </c>
    </row>
    <row r="7353" spans="1:13" s="120" customFormat="1" x14ac:dyDescent="0.25">
      <c r="A7353" s="119"/>
      <c r="B7353" s="138" t="str">
        <f t="shared" si="562"/>
        <v/>
      </c>
      <c r="C7353" s="138" t="str">
        <f t="shared" si="559"/>
        <v/>
      </c>
      <c r="D7353" s="138" t="str">
        <f t="shared" si="564"/>
        <v/>
      </c>
      <c r="E7353" s="138" t="str">
        <f t="shared" si="560"/>
        <v/>
      </c>
      <c r="F7353" s="138" t="str">
        <f t="shared" si="563"/>
        <v/>
      </c>
      <c r="G7353" s="153" t="s">
        <v>51</v>
      </c>
      <c r="H7353" s="160"/>
      <c r="I7353" s="160" t="s">
        <v>47</v>
      </c>
      <c r="J7353" s="160" t="s">
        <v>52</v>
      </c>
      <c r="K7353" s="160" t="s">
        <v>27</v>
      </c>
      <c r="L7353" s="154" t="str">
        <f>IF(OpenLCAbasic!K7353="CTUh", "Fill in Manually",IF(OR(K7353="Unit", K7353=""), "", INDEX(LookUps!$E$5:$E$12, MATCH(OpenLCAbasic!K7353,LookUps!$D$5:$D$12,0))))</f>
        <v/>
      </c>
      <c r="M7353" s="154" t="str">
        <f t="shared" si="558"/>
        <v>____Process__</v>
      </c>
    </row>
    <row r="7354" spans="1:13" s="120" customFormat="1" x14ac:dyDescent="0.25">
      <c r="A7354" s="119"/>
      <c r="B7354" s="138" t="str">
        <f t="shared" si="562"/>
        <v>Windrow</v>
      </c>
      <c r="C7354" s="138" t="str">
        <f t="shared" si="559"/>
        <v>Without Amendment</v>
      </c>
      <c r="D7354" s="138" t="str">
        <f t="shared" si="564"/>
        <v>Medium_Base</v>
      </c>
      <c r="E7354" s="138" t="str">
        <f t="shared" si="560"/>
        <v>High</v>
      </c>
      <c r="F7354" s="138" t="str">
        <f t="shared" si="563"/>
        <v>Upgraded</v>
      </c>
      <c r="G7354" s="153"/>
      <c r="H7354" s="210">
        <v>1.0833999999999999</v>
      </c>
      <c r="I7354" s="160" t="s">
        <v>167</v>
      </c>
      <c r="J7354" s="160">
        <v>4.2789599999999997</v>
      </c>
      <c r="K7354" s="160" t="s">
        <v>15</v>
      </c>
      <c r="L7354" s="154" t="str">
        <f>IF(OpenLCAbasic!K7354="CTUh", "Fill in Manually",IF(OR(K7354="Unit", K7354=""), "", INDEX(LookUps!$E$5:$E$12, MATCH(OpenLCAbasic!K7354,LookUps!$D$5:$D$12,0))))</f>
        <v>Cumulative Energy Demand (CED) - MJ</v>
      </c>
      <c r="M7354" s="154" t="str">
        <f t="shared" si="558"/>
        <v>High_Medium_Base_Upgraded_Cumulative Energy Demand (CED) - MJ_Waste Receiving and Holding; wastewater treatment unit; at updated plant - US_Without Amendment_Windrow</v>
      </c>
    </row>
    <row r="7355" spans="1:13" s="120" customFormat="1" x14ac:dyDescent="0.25">
      <c r="A7355" s="119"/>
      <c r="B7355" s="138" t="str">
        <f t="shared" si="562"/>
        <v>Windrow</v>
      </c>
      <c r="C7355" s="138" t="str">
        <f t="shared" si="559"/>
        <v>Without Amendment</v>
      </c>
      <c r="D7355" s="138" t="str">
        <f t="shared" si="564"/>
        <v>Medium_Base</v>
      </c>
      <c r="E7355" s="138" t="str">
        <f t="shared" si="560"/>
        <v>High</v>
      </c>
      <c r="F7355" s="138" t="str">
        <f t="shared" si="563"/>
        <v>Upgraded</v>
      </c>
      <c r="G7355" s="153"/>
      <c r="H7355" s="210">
        <v>0.89459999999999995</v>
      </c>
      <c r="I7355" s="160" t="s">
        <v>55</v>
      </c>
      <c r="J7355" s="160">
        <v>3.5330499999999998</v>
      </c>
      <c r="K7355" s="160" t="s">
        <v>15</v>
      </c>
      <c r="L7355" s="154" t="str">
        <f>IF(OpenLCAbasic!K7355="CTUh", "Fill in Manually",IF(OR(K7355="Unit", K7355=""), "", INDEX(LookUps!$E$5:$E$12, MATCH(OpenLCAbasic!K7355,LookUps!$D$5:$D$12,0))))</f>
        <v>Cumulative Energy Demand (CED) - MJ</v>
      </c>
      <c r="M7355" s="154" t="str">
        <f t="shared" ref="M7355:M7418" si="565">CONCATENATE(E7355,"_",D7355,"_",F7355,"_",L7355, "_",I7355,"_", C7355,"_", B7355)</f>
        <v>High_Medium_Base_Upgraded_Cumulative Energy Demand (CED) - MJ_Aeration Tanks; wastewater treatment unit; at updated plant - US_Without Amendment_Windrow</v>
      </c>
    </row>
    <row r="7356" spans="1:13" s="120" customFormat="1" x14ac:dyDescent="0.25">
      <c r="A7356" s="119"/>
      <c r="B7356" s="138" t="str">
        <f t="shared" si="562"/>
        <v>Windrow</v>
      </c>
      <c r="C7356" s="138" t="str">
        <f t="shared" si="559"/>
        <v>Without Amendment</v>
      </c>
      <c r="D7356" s="138" t="str">
        <f t="shared" si="564"/>
        <v>Medium_Base</v>
      </c>
      <c r="E7356" s="138" t="str">
        <f t="shared" si="560"/>
        <v>High</v>
      </c>
      <c r="F7356" s="138" t="str">
        <f t="shared" si="563"/>
        <v>Upgraded</v>
      </c>
      <c r="G7356" s="153"/>
      <c r="H7356" s="210">
        <v>0.2944</v>
      </c>
      <c r="I7356" s="160" t="s">
        <v>54</v>
      </c>
      <c r="J7356" s="160">
        <v>1.16289</v>
      </c>
      <c r="K7356" s="160" t="s">
        <v>15</v>
      </c>
      <c r="L7356" s="154" t="str">
        <f>IF(OpenLCAbasic!K7356="CTUh", "Fill in Manually",IF(OR(K7356="Unit", K7356=""), "", INDEX(LookUps!$E$5:$E$12, MATCH(OpenLCAbasic!K7356,LookUps!$D$5:$D$12,0))))</f>
        <v>Cumulative Energy Demand (CED) - MJ</v>
      </c>
      <c r="M7356" s="154" t="str">
        <f t="shared" si="565"/>
        <v>High_Medium_Base_Upgraded_Cumulative Energy Demand (CED) - MJ_Clear Cove Primary Clarification; wastewater treatment unit; at updated plant - US_Without Amendment_Windrow</v>
      </c>
    </row>
    <row r="7357" spans="1:13" s="120" customFormat="1" x14ac:dyDescent="0.25">
      <c r="A7357" s="119"/>
      <c r="B7357" s="138" t="str">
        <f t="shared" si="562"/>
        <v>Windrow</v>
      </c>
      <c r="C7357" s="138" t="str">
        <f t="shared" si="559"/>
        <v>Without Amendment</v>
      </c>
      <c r="D7357" s="138" t="str">
        <f t="shared" si="564"/>
        <v>Medium_Base</v>
      </c>
      <c r="E7357" s="138" t="str">
        <f t="shared" si="560"/>
        <v>High</v>
      </c>
      <c r="F7357" s="138" t="str">
        <f t="shared" si="563"/>
        <v>Upgraded</v>
      </c>
      <c r="G7357" s="153"/>
      <c r="H7357" s="210">
        <v>0.22459999999999999</v>
      </c>
      <c r="I7357" s="160" t="s">
        <v>58</v>
      </c>
      <c r="J7357" s="160">
        <v>0.88705000000000001</v>
      </c>
      <c r="K7357" s="160" t="s">
        <v>15</v>
      </c>
      <c r="L7357" s="154" t="str">
        <f>IF(OpenLCAbasic!K7357="CTUh", "Fill in Manually",IF(OR(K7357="Unit", K7357=""), "", INDEX(LookUps!$E$5:$E$12, MATCH(OpenLCAbasic!K7357,LookUps!$D$5:$D$12,0))))</f>
        <v>Cumulative Energy Demand (CED) - MJ</v>
      </c>
      <c r="M7357" s="154" t="str">
        <f t="shared" si="565"/>
        <v>High_Medium_Base_Upgraded_Cumulative Energy Demand (CED) - MJ_Pre-Anoxic &amp; Swing tank; wastewater treatment unit; at updated plant - US_Without Amendment_Windrow</v>
      </c>
    </row>
    <row r="7358" spans="1:13" s="120" customFormat="1" x14ac:dyDescent="0.25">
      <c r="A7358" s="119"/>
      <c r="B7358" s="138" t="str">
        <f t="shared" si="562"/>
        <v>Windrow</v>
      </c>
      <c r="C7358" s="138" t="str">
        <f t="shared" si="559"/>
        <v>Without Amendment</v>
      </c>
      <c r="D7358" s="138" t="str">
        <f t="shared" si="564"/>
        <v>Medium_Base</v>
      </c>
      <c r="E7358" s="138" t="str">
        <f t="shared" si="560"/>
        <v>High</v>
      </c>
      <c r="F7358" s="138" t="str">
        <f t="shared" si="563"/>
        <v>Upgraded</v>
      </c>
      <c r="G7358" s="153"/>
      <c r="H7358" s="210">
        <v>0.22359999999999999</v>
      </c>
      <c r="I7358" s="160" t="s">
        <v>147</v>
      </c>
      <c r="J7358" s="160">
        <v>0.88297000000000003</v>
      </c>
      <c r="K7358" s="160" t="s">
        <v>15</v>
      </c>
      <c r="L7358" s="154" t="str">
        <f>IF(OpenLCAbasic!K7358="CTUh", "Fill in Manually",IF(OR(K7358="Unit", K7358=""), "", INDEX(LookUps!$E$5:$E$12, MATCH(OpenLCAbasic!K7358,LookUps!$D$5:$D$12,0))))</f>
        <v>Cumulative Energy Demand (CED) - MJ</v>
      </c>
      <c r="M7358" s="154" t="str">
        <f t="shared" si="565"/>
        <v>High_Medium_Base_Upgraded_Cumulative Energy Demand (CED) - MJ_Influent Pump Station; wastewater treatment unit; at updated plant - US_Without Amendment_Windrow</v>
      </c>
    </row>
    <row r="7359" spans="1:13" s="120" customFormat="1" x14ac:dyDescent="0.25">
      <c r="A7359" s="119"/>
      <c r="B7359" s="138" t="str">
        <f t="shared" si="562"/>
        <v>Windrow</v>
      </c>
      <c r="C7359" s="138" t="str">
        <f t="shared" si="559"/>
        <v>Without Amendment</v>
      </c>
      <c r="D7359" s="138" t="str">
        <f t="shared" si="564"/>
        <v>Medium_Base</v>
      </c>
      <c r="E7359" s="138" t="str">
        <f t="shared" si="560"/>
        <v>High</v>
      </c>
      <c r="F7359" s="138" t="str">
        <f t="shared" si="563"/>
        <v>Upgraded</v>
      </c>
      <c r="G7359" s="153"/>
      <c r="H7359" s="210">
        <v>0.17630000000000001</v>
      </c>
      <c r="I7359" s="160" t="s">
        <v>53</v>
      </c>
      <c r="J7359" s="160">
        <v>0.69645000000000001</v>
      </c>
      <c r="K7359" s="160" t="s">
        <v>15</v>
      </c>
      <c r="L7359" s="154" t="str">
        <f>IF(OpenLCAbasic!K7359="CTUh", "Fill in Manually",IF(OR(K7359="Unit", K7359=""), "", INDEX(LookUps!$E$5:$E$12, MATCH(OpenLCAbasic!K7359,LookUps!$D$5:$D$12,0))))</f>
        <v>Cumulative Energy Demand (CED) - MJ</v>
      </c>
      <c r="M7359" s="154" t="str">
        <f t="shared" si="565"/>
        <v>High_Medium_Base_Upgraded_Cumulative Energy Demand (CED) - MJ_Wet Well and Sump Station; wastewater treatment unit; at updated plant - US_Without Amendment_Windrow</v>
      </c>
    </row>
    <row r="7360" spans="1:13" s="120" customFormat="1" x14ac:dyDescent="0.25">
      <c r="A7360" s="119"/>
      <c r="B7360" s="138" t="str">
        <f t="shared" si="562"/>
        <v>Windrow</v>
      </c>
      <c r="C7360" s="138" t="str">
        <f t="shared" si="559"/>
        <v>Without Amendment</v>
      </c>
      <c r="D7360" s="138" t="str">
        <f t="shared" si="564"/>
        <v>Medium_Base</v>
      </c>
      <c r="E7360" s="138" t="str">
        <f t="shared" si="560"/>
        <v>High</v>
      </c>
      <c r="F7360" s="138" t="str">
        <f t="shared" si="563"/>
        <v>Upgraded</v>
      </c>
      <c r="G7360" s="153"/>
      <c r="H7360" s="210">
        <v>0.1008</v>
      </c>
      <c r="I7360" s="160" t="s">
        <v>60</v>
      </c>
      <c r="J7360" s="160">
        <v>0.39804</v>
      </c>
      <c r="K7360" s="160" t="s">
        <v>15</v>
      </c>
      <c r="L7360" s="154" t="str">
        <f>IF(OpenLCAbasic!K7360="CTUh", "Fill in Manually",IF(OR(K7360="Unit", K7360=""), "", INDEX(LookUps!$E$5:$E$12, MATCH(OpenLCAbasic!K7360,LookUps!$D$5:$D$12,0))))</f>
        <v>Cumulative Energy Demand (CED) - MJ</v>
      </c>
      <c r="M7360" s="154" t="str">
        <f t="shared" si="565"/>
        <v>High_Medium_Base_Upgraded_Cumulative Energy Demand (CED) - MJ_Belt filter press; wastewater treatment unit; at updated plant - US_Without Amendment_Windrow</v>
      </c>
    </row>
    <row r="7361" spans="1:13" s="120" customFormat="1" x14ac:dyDescent="0.25">
      <c r="A7361" s="119"/>
      <c r="B7361" s="138" t="str">
        <f t="shared" si="562"/>
        <v>Windrow</v>
      </c>
      <c r="C7361" s="138" t="str">
        <f t="shared" ref="C7361:C7424" si="566">IF(ISNUMBER($J7361),"Without Amendment","")</f>
        <v>Without Amendment</v>
      </c>
      <c r="D7361" s="138" t="str">
        <f t="shared" si="564"/>
        <v>Medium_Base</v>
      </c>
      <c r="E7361" s="138" t="str">
        <f t="shared" si="560"/>
        <v>High</v>
      </c>
      <c r="F7361" s="138" t="str">
        <f t="shared" si="563"/>
        <v>Upgraded</v>
      </c>
      <c r="G7361" s="153"/>
      <c r="H7361" s="210">
        <v>8.4599999999999995E-2</v>
      </c>
      <c r="I7361" s="160" t="s">
        <v>57</v>
      </c>
      <c r="J7361" s="160">
        <v>0.33404</v>
      </c>
      <c r="K7361" s="160" t="s">
        <v>15</v>
      </c>
      <c r="L7361" s="154" t="str">
        <f>IF(OpenLCAbasic!K7361="CTUh", "Fill in Manually",IF(OR(K7361="Unit", K7361=""), "", INDEX(LookUps!$E$5:$E$12, MATCH(OpenLCAbasic!K7361,LookUps!$D$5:$D$12,0))))</f>
        <v>Cumulative Energy Demand (CED) - MJ</v>
      </c>
      <c r="M7361" s="154" t="str">
        <f t="shared" si="565"/>
        <v>High_Medium_Base_Upgraded_Cumulative Energy Demand (CED) - MJ_Gravity Belt Thickener; wastewater treatment unit; at updated plant - US_Without Amendment_Windrow</v>
      </c>
    </row>
    <row r="7362" spans="1:13" s="120" customFormat="1" x14ac:dyDescent="0.25">
      <c r="A7362" s="119"/>
      <c r="B7362" s="138" t="str">
        <f t="shared" si="562"/>
        <v>Windrow</v>
      </c>
      <c r="C7362" s="138" t="str">
        <f t="shared" si="566"/>
        <v>Without Amendment</v>
      </c>
      <c r="D7362" s="138" t="str">
        <f t="shared" si="564"/>
        <v>Medium_Base</v>
      </c>
      <c r="E7362" s="138" t="str">
        <f t="shared" si="560"/>
        <v>High</v>
      </c>
      <c r="F7362" s="138" t="str">
        <f t="shared" si="563"/>
        <v>Upgraded</v>
      </c>
      <c r="G7362" s="153"/>
      <c r="H7362" s="210">
        <v>6.4799999999999996E-2</v>
      </c>
      <c r="I7362" s="160" t="s">
        <v>128</v>
      </c>
      <c r="J7362" s="160">
        <v>0.25606000000000001</v>
      </c>
      <c r="K7362" s="160" t="s">
        <v>15</v>
      </c>
      <c r="L7362" s="154" t="str">
        <f>IF(OpenLCAbasic!K7362="CTUh", "Fill in Manually",IF(OR(K7362="Unit", K7362=""), "", INDEX(LookUps!$E$5:$E$12, MATCH(OpenLCAbasic!K7362,LookUps!$D$5:$D$12,0))))</f>
        <v>Cumulative Energy Demand (CED) - MJ</v>
      </c>
      <c r="M7362" s="154" t="str">
        <f t="shared" si="565"/>
        <v>High_Medium_Base_Upgraded_Cumulative Energy Demand (CED) - MJ_Wastewater collection; operation and infrastructure; m3 wastewater_Without Amendment_Windrow</v>
      </c>
    </row>
    <row r="7363" spans="1:13" s="120" customFormat="1" x14ac:dyDescent="0.25">
      <c r="A7363" s="119"/>
      <c r="B7363" s="138" t="str">
        <f t="shared" si="562"/>
        <v>Windrow</v>
      </c>
      <c r="C7363" s="138" t="str">
        <f t="shared" si="566"/>
        <v>Without Amendment</v>
      </c>
      <c r="D7363" s="138" t="str">
        <f t="shared" si="564"/>
        <v>Medium_Base</v>
      </c>
      <c r="E7363" s="138" t="str">
        <f t="shared" si="560"/>
        <v>High</v>
      </c>
      <c r="F7363" s="138" t="str">
        <f t="shared" si="563"/>
        <v>Upgraded</v>
      </c>
      <c r="G7363" s="153"/>
      <c r="H7363" s="210">
        <v>3.6999999999999998E-2</v>
      </c>
      <c r="I7363" s="160" t="s">
        <v>148</v>
      </c>
      <c r="J7363" s="160">
        <v>0.14599000000000001</v>
      </c>
      <c r="K7363" s="160" t="s">
        <v>15</v>
      </c>
      <c r="L7363" s="154" t="str">
        <f>IF(OpenLCAbasic!K7363="CTUh", "Fill in Manually",IF(OR(K7363="Unit", K7363=""), "", INDEX(LookUps!$E$5:$E$12, MATCH(OpenLCAbasic!K7363,LookUps!$D$5:$D$12,0))))</f>
        <v>Cumulative Energy Demand (CED) - MJ</v>
      </c>
      <c r="M7363" s="154" t="str">
        <f t="shared" si="565"/>
        <v>High_Medium_Base_Upgraded_Cumulative Energy Demand (CED) - MJ_Control Building; at upgraded wastewater treatment plant - US_Without Amendment_Windrow</v>
      </c>
    </row>
    <row r="7364" spans="1:13" s="120" customFormat="1" x14ac:dyDescent="0.25">
      <c r="A7364" s="119"/>
      <c r="B7364" s="138" t="str">
        <f t="shared" si="562"/>
        <v>Windrow</v>
      </c>
      <c r="C7364" s="138" t="str">
        <f t="shared" si="566"/>
        <v>Without Amendment</v>
      </c>
      <c r="D7364" s="138" t="str">
        <f t="shared" si="564"/>
        <v>Medium_Base</v>
      </c>
      <c r="E7364" s="138" t="str">
        <f t="shared" si="560"/>
        <v>High</v>
      </c>
      <c r="F7364" s="138" t="str">
        <f t="shared" si="563"/>
        <v>Upgraded</v>
      </c>
      <c r="G7364" s="153"/>
      <c r="H7364" s="210">
        <v>3.3700000000000001E-2</v>
      </c>
      <c r="I7364" s="160" t="s">
        <v>48</v>
      </c>
      <c r="J7364" s="160">
        <v>0.13321</v>
      </c>
      <c r="K7364" s="160" t="s">
        <v>15</v>
      </c>
      <c r="L7364" s="154" t="str">
        <f>IF(OpenLCAbasic!K7364="CTUh", "Fill in Manually",IF(OR(K7364="Unit", K7364=""), "", INDEX(LookUps!$E$5:$E$12, MATCH(OpenLCAbasic!K7364,LookUps!$D$5:$D$12,0))))</f>
        <v>Cumulative Energy Demand (CED) - MJ</v>
      </c>
      <c r="M7364" s="154" t="str">
        <f t="shared" si="565"/>
        <v>High_Medium_Base_Upgraded_Cumulative Energy Demand (CED) - MJ_Effluent release; wastewater treatment unit; at surface water; m3 wastewater - US_Without Amendment_Windrow</v>
      </c>
    </row>
    <row r="7365" spans="1:13" s="120" customFormat="1" x14ac:dyDescent="0.25">
      <c r="A7365" s="119"/>
      <c r="B7365" s="138" t="str">
        <f t="shared" si="562"/>
        <v>Windrow</v>
      </c>
      <c r="C7365" s="138" t="str">
        <f t="shared" si="566"/>
        <v>Without Amendment</v>
      </c>
      <c r="D7365" s="138" t="str">
        <f t="shared" si="564"/>
        <v>Medium_Base</v>
      </c>
      <c r="E7365" s="138" t="str">
        <f t="shared" si="560"/>
        <v>High</v>
      </c>
      <c r="F7365" s="138" t="str">
        <f t="shared" si="563"/>
        <v>Upgraded</v>
      </c>
      <c r="G7365" s="153"/>
      <c r="H7365" s="210">
        <v>2.69E-2</v>
      </c>
      <c r="I7365" s="160" t="s">
        <v>59</v>
      </c>
      <c r="J7365" s="160">
        <v>0.10638</v>
      </c>
      <c r="K7365" s="160" t="s">
        <v>15</v>
      </c>
      <c r="L7365" s="154" t="str">
        <f>IF(OpenLCAbasic!K7365="CTUh", "Fill in Manually",IF(OR(K7365="Unit", K7365=""), "", INDEX(LookUps!$E$5:$E$12, MATCH(OpenLCAbasic!K7365,LookUps!$D$5:$D$12,0))))</f>
        <v>Cumulative Energy Demand (CED) - MJ</v>
      </c>
      <c r="M7365" s="154" t="str">
        <f t="shared" si="565"/>
        <v>High_Medium_Base_Upgraded_Cumulative Energy Demand (CED) - MJ_Blend Tank; wastewater treatment unit; at updated plant - US_Without Amendment_Windrow</v>
      </c>
    </row>
    <row r="7366" spans="1:13" s="120" customFormat="1" x14ac:dyDescent="0.25">
      <c r="A7366" s="119"/>
      <c r="B7366" s="138" t="str">
        <f t="shared" si="562"/>
        <v>Windrow</v>
      </c>
      <c r="C7366" s="138" t="str">
        <f t="shared" si="566"/>
        <v>Without Amendment</v>
      </c>
      <c r="D7366" s="138" t="str">
        <f t="shared" si="564"/>
        <v>Medium_Base</v>
      </c>
      <c r="E7366" s="138" t="str">
        <f t="shared" si="560"/>
        <v>High</v>
      </c>
      <c r="F7366" s="138" t="str">
        <f t="shared" si="563"/>
        <v>Upgraded</v>
      </c>
      <c r="G7366" s="153"/>
      <c r="H7366" s="210">
        <v>1.29E-2</v>
      </c>
      <c r="I7366" s="160" t="s">
        <v>168</v>
      </c>
      <c r="J7366" s="160">
        <v>5.0930000000000003E-2</v>
      </c>
      <c r="K7366" s="160" t="s">
        <v>15</v>
      </c>
      <c r="L7366" s="154" t="str">
        <f>IF(OpenLCAbasic!K7366="CTUh", "Fill in Manually",IF(OR(K7366="Unit", K7366=""), "", INDEX(LookUps!$E$5:$E$12, MATCH(OpenLCAbasic!K7366,LookUps!$D$5:$D$12,0))))</f>
        <v>Cumulative Energy Demand (CED) - MJ</v>
      </c>
      <c r="M7366" s="154" t="str">
        <f t="shared" si="565"/>
        <v>High_Medium_Base_Upgraded_Cumulative Energy Demand (CED) - MJ_ClearCove SCP; wastewater treatment unit; at updated plant - US_Without Amendment_Windrow</v>
      </c>
    </row>
    <row r="7367" spans="1:13" s="120" customFormat="1" x14ac:dyDescent="0.25">
      <c r="A7367" s="119"/>
      <c r="B7367" s="138" t="str">
        <f t="shared" si="562"/>
        <v>Windrow</v>
      </c>
      <c r="C7367" s="138" t="str">
        <f t="shared" si="566"/>
        <v>Without Amendment</v>
      </c>
      <c r="D7367" s="138" t="str">
        <f t="shared" si="564"/>
        <v>Medium_Base</v>
      </c>
      <c r="E7367" s="138" t="str">
        <f t="shared" si="560"/>
        <v>High</v>
      </c>
      <c r="F7367" s="138" t="str">
        <f t="shared" si="563"/>
        <v>Upgraded</v>
      </c>
      <c r="G7367" s="153"/>
      <c r="H7367" s="210">
        <v>6.6E-3</v>
      </c>
      <c r="I7367" s="160" t="s">
        <v>271</v>
      </c>
      <c r="J7367" s="160">
        <v>2.6040000000000001E-2</v>
      </c>
      <c r="K7367" s="160" t="s">
        <v>15</v>
      </c>
      <c r="L7367" s="154" t="str">
        <f>IF(OpenLCAbasic!K7367="CTUh", "Fill in Manually",IF(OR(K7367="Unit", K7367=""), "", INDEX(LookUps!$E$5:$E$12, MATCH(OpenLCAbasic!K7367,LookUps!$D$5:$D$12,0))))</f>
        <v>Cumulative Energy Demand (CED) - MJ</v>
      </c>
      <c r="M7367" s="154" t="str">
        <f t="shared" si="565"/>
        <v>High_Medium_Base_Upgraded_Cumulative Energy Demand (CED) - MJ_Biosolids composting; windrow composting; wastewater treatment unit; at updated plant - US_Without Amendment_Windrow</v>
      </c>
    </row>
    <row r="7368" spans="1:13" s="120" customFormat="1" x14ac:dyDescent="0.25">
      <c r="A7368" s="119"/>
      <c r="B7368" s="138" t="str">
        <f t="shared" si="562"/>
        <v>Windrow</v>
      </c>
      <c r="C7368" s="138" t="str">
        <f t="shared" si="566"/>
        <v>Without Amendment</v>
      </c>
      <c r="D7368" s="138" t="str">
        <f t="shared" si="564"/>
        <v>Medium_Base</v>
      </c>
      <c r="E7368" s="138" t="str">
        <f t="shared" si="560"/>
        <v>High</v>
      </c>
      <c r="F7368" s="138" t="str">
        <f t="shared" si="563"/>
        <v>Upgraded</v>
      </c>
      <c r="G7368" s="153"/>
      <c r="H7368" s="210">
        <v>-9.2100000000000001E-2</v>
      </c>
      <c r="I7368" s="160" t="s">
        <v>62</v>
      </c>
      <c r="J7368" s="160">
        <v>-0.36375000000000002</v>
      </c>
      <c r="K7368" s="160" t="s">
        <v>15</v>
      </c>
      <c r="L7368" s="154" t="str">
        <f>IF(OpenLCAbasic!K7368="CTUh", "Fill in Manually",IF(OR(K7368="Unit", K7368=""), "", INDEX(LookUps!$E$5:$E$12, MATCH(OpenLCAbasic!K7368,LookUps!$D$5:$D$12,0))))</f>
        <v>Cumulative Energy Demand (CED) - MJ</v>
      </c>
      <c r="M7368" s="154" t="str">
        <f t="shared" si="565"/>
        <v>High_Medium_Base_Upgraded_Cumulative Energy Demand (CED) - MJ_Land application of compost; wastewater treatment unit; at updated plant - US_Without Amendment_Windrow</v>
      </c>
    </row>
    <row r="7369" spans="1:13" s="120" customFormat="1" x14ac:dyDescent="0.25">
      <c r="A7369" s="119"/>
      <c r="B7369" s="138" t="str">
        <f t="shared" si="562"/>
        <v>Windrow</v>
      </c>
      <c r="C7369" s="138" t="str">
        <f t="shared" si="566"/>
        <v>Without Amendment</v>
      </c>
      <c r="D7369" s="138" t="str">
        <f t="shared" si="564"/>
        <v>Medium_Base</v>
      </c>
      <c r="E7369" s="138" t="str">
        <f t="shared" ref="E7369:E7432" si="567">IF(ISNUMBER($J7369),"High","")</f>
        <v>High</v>
      </c>
      <c r="F7369" s="138" t="str">
        <f t="shared" si="563"/>
        <v>Upgraded</v>
      </c>
      <c r="G7369" s="153"/>
      <c r="H7369" s="210">
        <v>-2.1722000000000001</v>
      </c>
      <c r="I7369" s="160" t="s">
        <v>149</v>
      </c>
      <c r="J7369" s="160">
        <v>-8.5788899999999995</v>
      </c>
      <c r="K7369" s="160" t="s">
        <v>15</v>
      </c>
      <c r="L7369" s="154" t="str">
        <f>IF(OpenLCAbasic!K7369="CTUh", "Fill in Manually",IF(OR(K7369="Unit", K7369=""), "", INDEX(LookUps!$E$5:$E$12, MATCH(OpenLCAbasic!K7369,LookUps!$D$5:$D$12,0))))</f>
        <v>Cumulative Energy Demand (CED) - MJ</v>
      </c>
      <c r="M7369" s="154" t="str">
        <f t="shared" si="565"/>
        <v>High_Medium_Base_Upgraded_Cumulative Energy Demand (CED) - MJ_Anaerobic Digestion; wastewater treatment unit; at updated plant - US_Without Amendment_Windrow</v>
      </c>
    </row>
    <row r="7370" spans="1:13" s="120" customFormat="1" x14ac:dyDescent="0.25">
      <c r="A7370" s="119"/>
      <c r="B7370" s="138" t="str">
        <f t="shared" si="562"/>
        <v/>
      </c>
      <c r="C7370" s="138" t="str">
        <f t="shared" si="566"/>
        <v/>
      </c>
      <c r="D7370" s="138" t="str">
        <f t="shared" si="564"/>
        <v/>
      </c>
      <c r="E7370" s="138" t="str">
        <f t="shared" si="567"/>
        <v/>
      </c>
      <c r="F7370" s="138" t="str">
        <f t="shared" si="563"/>
        <v/>
      </c>
      <c r="G7370" s="153" t="s">
        <v>51</v>
      </c>
      <c r="H7370" s="160"/>
      <c r="I7370" s="160" t="s">
        <v>47</v>
      </c>
      <c r="J7370" s="160" t="s">
        <v>52</v>
      </c>
      <c r="K7370" s="160" t="s">
        <v>27</v>
      </c>
      <c r="L7370" s="154" t="str">
        <f>IF(OpenLCAbasic!K7370="CTUh", "Fill in Manually",IF(OR(K7370="Unit", K7370=""), "", INDEX(LookUps!$E$5:$E$12, MATCH(OpenLCAbasic!K7370,LookUps!$D$5:$D$12,0))))</f>
        <v/>
      </c>
      <c r="M7370" s="154" t="str">
        <f t="shared" si="565"/>
        <v>____Process__</v>
      </c>
    </row>
    <row r="7371" spans="1:13" s="120" customFormat="1" x14ac:dyDescent="0.25">
      <c r="A7371" s="119"/>
      <c r="B7371" s="138" t="str">
        <f t="shared" si="562"/>
        <v>Windrow</v>
      </c>
      <c r="C7371" s="138" t="str">
        <f t="shared" si="566"/>
        <v>Without Amendment</v>
      </c>
      <c r="D7371" s="138" t="str">
        <f t="shared" si="564"/>
        <v>Medium_Base</v>
      </c>
      <c r="E7371" s="138" t="str">
        <f t="shared" si="567"/>
        <v>High</v>
      </c>
      <c r="F7371" s="138" t="str">
        <f t="shared" si="563"/>
        <v>Upgraded</v>
      </c>
      <c r="G7371" s="153"/>
      <c r="H7371" s="210">
        <v>0.77549999999999997</v>
      </c>
      <c r="I7371" s="160" t="s">
        <v>48</v>
      </c>
      <c r="J7371" s="160">
        <v>1.1610000000000001E-2</v>
      </c>
      <c r="K7371" s="160" t="s">
        <v>13</v>
      </c>
      <c r="L7371" s="154" t="str">
        <f>IF(OpenLCAbasic!K7371="CTUh", "Fill in Manually",IF(OR(K7371="Unit", K7371=""), "", INDEX(LookUps!$E$5:$E$12, MATCH(OpenLCAbasic!K7371,LookUps!$D$5:$D$12,0))))</f>
        <v>Eutrophication Potential (EP) - kg N eq</v>
      </c>
      <c r="M7371" s="154" t="str">
        <f t="shared" si="565"/>
        <v>High_Medium_Base_Upgraded_Eutrophication Potential (EP) - kg N eq_Effluent release; wastewater treatment unit; at surface water; m3 wastewater - US_Without Amendment_Windrow</v>
      </c>
    </row>
    <row r="7372" spans="1:13" s="120" customFormat="1" x14ac:dyDescent="0.25">
      <c r="A7372" s="119"/>
      <c r="B7372" s="138" t="str">
        <f t="shared" si="562"/>
        <v>Windrow</v>
      </c>
      <c r="C7372" s="138" t="str">
        <f t="shared" si="566"/>
        <v>Without Amendment</v>
      </c>
      <c r="D7372" s="138" t="str">
        <f t="shared" si="564"/>
        <v>Medium_Base</v>
      </c>
      <c r="E7372" s="138" t="str">
        <f t="shared" si="567"/>
        <v>High</v>
      </c>
      <c r="F7372" s="138" t="str">
        <f t="shared" si="563"/>
        <v>Upgraded</v>
      </c>
      <c r="G7372" s="153"/>
      <c r="H7372" s="210">
        <v>0.1144</v>
      </c>
      <c r="I7372" s="160" t="s">
        <v>62</v>
      </c>
      <c r="J7372" s="160">
        <v>1.7099999999999999E-3</v>
      </c>
      <c r="K7372" s="160" t="s">
        <v>13</v>
      </c>
      <c r="L7372" s="154" t="str">
        <f>IF(OpenLCAbasic!K7372="CTUh", "Fill in Manually",IF(OR(K7372="Unit", K7372=""), "", INDEX(LookUps!$E$5:$E$12, MATCH(OpenLCAbasic!K7372,LookUps!$D$5:$D$12,0))))</f>
        <v>Eutrophication Potential (EP) - kg N eq</v>
      </c>
      <c r="M7372" s="154" t="str">
        <f t="shared" si="565"/>
        <v>High_Medium_Base_Upgraded_Eutrophication Potential (EP) - kg N eq_Land application of compost; wastewater treatment unit; at updated plant - US_Without Amendment_Windrow</v>
      </c>
    </row>
    <row r="7373" spans="1:13" s="120" customFormat="1" x14ac:dyDescent="0.25">
      <c r="A7373" s="119"/>
      <c r="B7373" s="138" t="str">
        <f t="shared" si="562"/>
        <v>Windrow</v>
      </c>
      <c r="C7373" s="138" t="str">
        <f t="shared" si="566"/>
        <v>Without Amendment</v>
      </c>
      <c r="D7373" s="138" t="str">
        <f t="shared" si="564"/>
        <v>Medium_Base</v>
      </c>
      <c r="E7373" s="138" t="str">
        <f t="shared" si="567"/>
        <v>High</v>
      </c>
      <c r="F7373" s="138" t="str">
        <f t="shared" si="563"/>
        <v>Upgraded</v>
      </c>
      <c r="G7373" s="153"/>
      <c r="H7373" s="210">
        <v>4.0899999999999999E-2</v>
      </c>
      <c r="I7373" s="160" t="s">
        <v>271</v>
      </c>
      <c r="J7373" s="160">
        <v>6.0999999999999997E-4</v>
      </c>
      <c r="K7373" s="160" t="s">
        <v>13</v>
      </c>
      <c r="L7373" s="154" t="str">
        <f>IF(OpenLCAbasic!K7373="CTUh", "Fill in Manually",IF(OR(K7373="Unit", K7373=""), "", INDEX(LookUps!$E$5:$E$12, MATCH(OpenLCAbasic!K7373,LookUps!$D$5:$D$12,0))))</f>
        <v>Eutrophication Potential (EP) - kg N eq</v>
      </c>
      <c r="M7373" s="154" t="str">
        <f t="shared" si="565"/>
        <v>High_Medium_Base_Upgraded_Eutrophication Potential (EP) - kg N eq_Biosolids composting; windrow composting; wastewater treatment unit; at updated plant - US_Without Amendment_Windrow</v>
      </c>
    </row>
    <row r="7374" spans="1:13" s="120" customFormat="1" x14ac:dyDescent="0.25">
      <c r="A7374" s="119"/>
      <c r="B7374" s="138" t="str">
        <f t="shared" si="562"/>
        <v>Windrow</v>
      </c>
      <c r="C7374" s="138" t="str">
        <f t="shared" si="566"/>
        <v>Without Amendment</v>
      </c>
      <c r="D7374" s="138" t="str">
        <f t="shared" si="564"/>
        <v>Medium_Base</v>
      </c>
      <c r="E7374" s="138" t="str">
        <f t="shared" si="567"/>
        <v>High</v>
      </c>
      <c r="F7374" s="138" t="str">
        <f t="shared" si="563"/>
        <v>Upgraded</v>
      </c>
      <c r="G7374" s="153"/>
      <c r="H7374" s="210">
        <v>3.6499999999999998E-2</v>
      </c>
      <c r="I7374" s="160" t="s">
        <v>55</v>
      </c>
      <c r="J7374" s="160">
        <v>5.5000000000000003E-4</v>
      </c>
      <c r="K7374" s="160" t="s">
        <v>13</v>
      </c>
      <c r="L7374" s="154" t="str">
        <f>IF(OpenLCAbasic!K7374="CTUh", "Fill in Manually",IF(OR(K7374="Unit", K7374=""), "", INDEX(LookUps!$E$5:$E$12, MATCH(OpenLCAbasic!K7374,LookUps!$D$5:$D$12,0))))</f>
        <v>Eutrophication Potential (EP) - kg N eq</v>
      </c>
      <c r="M7374" s="154" t="str">
        <f t="shared" si="565"/>
        <v>High_Medium_Base_Upgraded_Eutrophication Potential (EP) - kg N eq_Aeration Tanks; wastewater treatment unit; at updated plant - US_Without Amendment_Windrow</v>
      </c>
    </row>
    <row r="7375" spans="1:13" s="120" customFormat="1" x14ac:dyDescent="0.25">
      <c r="A7375" s="119"/>
      <c r="B7375" s="138" t="str">
        <f t="shared" si="562"/>
        <v>Windrow</v>
      </c>
      <c r="C7375" s="138" t="str">
        <f t="shared" si="566"/>
        <v>Without Amendment</v>
      </c>
      <c r="D7375" s="138" t="str">
        <f t="shared" si="564"/>
        <v>Medium_Base</v>
      </c>
      <c r="E7375" s="138" t="str">
        <f t="shared" si="567"/>
        <v>High</v>
      </c>
      <c r="F7375" s="138" t="str">
        <f t="shared" si="563"/>
        <v>Upgraded</v>
      </c>
      <c r="G7375" s="153"/>
      <c r="H7375" s="210">
        <v>1.67E-2</v>
      </c>
      <c r="I7375" s="160" t="s">
        <v>147</v>
      </c>
      <c r="J7375" s="160">
        <v>2.5000000000000001E-4</v>
      </c>
      <c r="K7375" s="160" t="s">
        <v>13</v>
      </c>
      <c r="L7375" s="154" t="str">
        <f>IF(OpenLCAbasic!K7375="CTUh", "Fill in Manually",IF(OR(K7375="Unit", K7375=""), "", INDEX(LookUps!$E$5:$E$12, MATCH(OpenLCAbasic!K7375,LookUps!$D$5:$D$12,0))))</f>
        <v>Eutrophication Potential (EP) - kg N eq</v>
      </c>
      <c r="M7375" s="154" t="str">
        <f t="shared" si="565"/>
        <v>High_Medium_Base_Upgraded_Eutrophication Potential (EP) - kg N eq_Influent Pump Station; wastewater treatment unit; at updated plant - US_Without Amendment_Windrow</v>
      </c>
    </row>
    <row r="7376" spans="1:13" s="120" customFormat="1" x14ac:dyDescent="0.25">
      <c r="A7376" s="119"/>
      <c r="B7376" s="138" t="str">
        <f t="shared" si="562"/>
        <v>Windrow</v>
      </c>
      <c r="C7376" s="138" t="str">
        <f t="shared" si="566"/>
        <v>Without Amendment</v>
      </c>
      <c r="D7376" s="138" t="str">
        <f t="shared" si="564"/>
        <v>Medium_Base</v>
      </c>
      <c r="E7376" s="138" t="str">
        <f t="shared" si="567"/>
        <v>High</v>
      </c>
      <c r="F7376" s="138" t="str">
        <f t="shared" si="563"/>
        <v>Upgraded</v>
      </c>
      <c r="G7376" s="153"/>
      <c r="H7376" s="210">
        <v>1.32E-2</v>
      </c>
      <c r="I7376" s="160" t="s">
        <v>54</v>
      </c>
      <c r="J7376" s="160">
        <v>2.0000000000000001E-4</v>
      </c>
      <c r="K7376" s="160" t="s">
        <v>13</v>
      </c>
      <c r="L7376" s="154" t="str">
        <f>IF(OpenLCAbasic!K7376="CTUh", "Fill in Manually",IF(OR(K7376="Unit", K7376=""), "", INDEX(LookUps!$E$5:$E$12, MATCH(OpenLCAbasic!K7376,LookUps!$D$5:$D$12,0))))</f>
        <v>Eutrophication Potential (EP) - kg N eq</v>
      </c>
      <c r="M7376" s="154" t="str">
        <f t="shared" si="565"/>
        <v>High_Medium_Base_Upgraded_Eutrophication Potential (EP) - kg N eq_Clear Cove Primary Clarification; wastewater treatment unit; at updated plant - US_Without Amendment_Windrow</v>
      </c>
    </row>
    <row r="7377" spans="1:13" s="120" customFormat="1" x14ac:dyDescent="0.25">
      <c r="A7377" s="119"/>
      <c r="B7377" s="138" t="str">
        <f t="shared" si="562"/>
        <v>Windrow</v>
      </c>
      <c r="C7377" s="138" t="str">
        <f t="shared" si="566"/>
        <v>Without Amendment</v>
      </c>
      <c r="D7377" s="138" t="str">
        <f t="shared" si="564"/>
        <v>Medium_Base</v>
      </c>
      <c r="E7377" s="138" t="str">
        <f t="shared" si="567"/>
        <v>High</v>
      </c>
      <c r="F7377" s="138" t="str">
        <f t="shared" si="563"/>
        <v>Upgraded</v>
      </c>
      <c r="G7377" s="153"/>
      <c r="H7377" s="210">
        <v>1.2699999999999999E-2</v>
      </c>
      <c r="I7377" s="160" t="s">
        <v>167</v>
      </c>
      <c r="J7377" s="160">
        <v>1.9000000000000001E-4</v>
      </c>
      <c r="K7377" s="160" t="s">
        <v>13</v>
      </c>
      <c r="L7377" s="154" t="str">
        <f>IF(OpenLCAbasic!K7377="CTUh", "Fill in Manually",IF(OR(K7377="Unit", K7377=""), "", INDEX(LookUps!$E$5:$E$12, MATCH(OpenLCAbasic!K7377,LookUps!$D$5:$D$12,0))))</f>
        <v>Eutrophication Potential (EP) - kg N eq</v>
      </c>
      <c r="M7377" s="154" t="str">
        <f t="shared" si="565"/>
        <v>High_Medium_Base_Upgraded_Eutrophication Potential (EP) - kg N eq_Waste Receiving and Holding; wastewater treatment unit; at updated plant - US_Without Amendment_Windrow</v>
      </c>
    </row>
    <row r="7378" spans="1:13" s="120" customFormat="1" x14ac:dyDescent="0.25">
      <c r="A7378" s="119"/>
      <c r="B7378" s="138" t="str">
        <f t="shared" si="562"/>
        <v>Windrow</v>
      </c>
      <c r="C7378" s="138" t="str">
        <f t="shared" si="566"/>
        <v>Without Amendment</v>
      </c>
      <c r="D7378" s="138" t="str">
        <f t="shared" si="564"/>
        <v>Medium_Base</v>
      </c>
      <c r="E7378" s="138" t="str">
        <f t="shared" si="567"/>
        <v>High</v>
      </c>
      <c r="F7378" s="138" t="str">
        <f t="shared" si="563"/>
        <v>Upgraded</v>
      </c>
      <c r="G7378" s="153"/>
      <c r="H7378" s="210">
        <v>9.1000000000000004E-3</v>
      </c>
      <c r="I7378" s="160" t="s">
        <v>58</v>
      </c>
      <c r="J7378" s="160">
        <v>1.3999999999999999E-4</v>
      </c>
      <c r="K7378" s="160" t="s">
        <v>13</v>
      </c>
      <c r="L7378" s="154" t="str">
        <f>IF(OpenLCAbasic!K7378="CTUh", "Fill in Manually",IF(OR(K7378="Unit", K7378=""), "", INDEX(LookUps!$E$5:$E$12, MATCH(OpenLCAbasic!K7378,LookUps!$D$5:$D$12,0))))</f>
        <v>Eutrophication Potential (EP) - kg N eq</v>
      </c>
      <c r="M7378" s="154" t="str">
        <f t="shared" si="565"/>
        <v>High_Medium_Base_Upgraded_Eutrophication Potential (EP) - kg N eq_Pre-Anoxic &amp; Swing tank; wastewater treatment unit; at updated plant - US_Without Amendment_Windrow</v>
      </c>
    </row>
    <row r="7379" spans="1:13" s="120" customFormat="1" x14ac:dyDescent="0.25">
      <c r="A7379" s="119"/>
      <c r="B7379" s="138" t="str">
        <f t="shared" si="562"/>
        <v>Windrow</v>
      </c>
      <c r="C7379" s="138" t="str">
        <f t="shared" si="566"/>
        <v>Without Amendment</v>
      </c>
      <c r="D7379" s="138" t="str">
        <f t="shared" si="564"/>
        <v>Medium_Base</v>
      </c>
      <c r="E7379" s="138" t="str">
        <f t="shared" si="567"/>
        <v>High</v>
      </c>
      <c r="F7379" s="138" t="str">
        <f t="shared" si="563"/>
        <v>Upgraded</v>
      </c>
      <c r="G7379" s="153"/>
      <c r="H7379" s="210">
        <v>7.1999999999999998E-3</v>
      </c>
      <c r="I7379" s="160" t="s">
        <v>53</v>
      </c>
      <c r="J7379" s="160">
        <v>1.1E-4</v>
      </c>
      <c r="K7379" s="160" t="s">
        <v>13</v>
      </c>
      <c r="L7379" s="154" t="str">
        <f>IF(OpenLCAbasic!K7379="CTUh", "Fill in Manually",IF(OR(K7379="Unit", K7379=""), "", INDEX(LookUps!$E$5:$E$12, MATCH(OpenLCAbasic!K7379,LookUps!$D$5:$D$12,0))))</f>
        <v>Eutrophication Potential (EP) - kg N eq</v>
      </c>
      <c r="M7379" s="154" t="str">
        <f t="shared" si="565"/>
        <v>High_Medium_Base_Upgraded_Eutrophication Potential (EP) - kg N eq_Wet Well and Sump Station; wastewater treatment unit; at updated plant - US_Without Amendment_Windrow</v>
      </c>
    </row>
    <row r="7380" spans="1:13" s="120" customFormat="1" x14ac:dyDescent="0.25">
      <c r="A7380" s="119"/>
      <c r="B7380" s="138" t="str">
        <f t="shared" si="562"/>
        <v>Windrow</v>
      </c>
      <c r="C7380" s="138" t="str">
        <f t="shared" si="566"/>
        <v>Without Amendment</v>
      </c>
      <c r="D7380" s="138" t="str">
        <f t="shared" si="564"/>
        <v>Medium_Base</v>
      </c>
      <c r="E7380" s="138" t="str">
        <f t="shared" si="567"/>
        <v>High</v>
      </c>
      <c r="F7380" s="138" t="str">
        <f t="shared" si="563"/>
        <v>Upgraded</v>
      </c>
      <c r="G7380" s="153"/>
      <c r="H7380" s="210">
        <v>4.7000000000000002E-3</v>
      </c>
      <c r="I7380" s="160" t="s">
        <v>60</v>
      </c>
      <c r="J7380" s="211">
        <v>6.9922100000000006E-5</v>
      </c>
      <c r="K7380" s="160" t="s">
        <v>13</v>
      </c>
      <c r="L7380" s="154" t="str">
        <f>IF(OpenLCAbasic!K7380="CTUh", "Fill in Manually",IF(OR(K7380="Unit", K7380=""), "", INDEX(LookUps!$E$5:$E$12, MATCH(OpenLCAbasic!K7380,LookUps!$D$5:$D$12,0))))</f>
        <v>Eutrophication Potential (EP) - kg N eq</v>
      </c>
      <c r="M7380" s="154" t="str">
        <f t="shared" si="565"/>
        <v>High_Medium_Base_Upgraded_Eutrophication Potential (EP) - kg N eq_Belt filter press; wastewater treatment unit; at updated plant - US_Without Amendment_Windrow</v>
      </c>
    </row>
    <row r="7381" spans="1:13" s="120" customFormat="1" x14ac:dyDescent="0.25">
      <c r="A7381" s="119"/>
      <c r="B7381" s="138" t="str">
        <f t="shared" si="562"/>
        <v>Windrow</v>
      </c>
      <c r="C7381" s="138" t="str">
        <f t="shared" si="566"/>
        <v>Without Amendment</v>
      </c>
      <c r="D7381" s="138" t="str">
        <f t="shared" si="564"/>
        <v>Medium_Base</v>
      </c>
      <c r="E7381" s="138" t="str">
        <f t="shared" si="567"/>
        <v>High</v>
      </c>
      <c r="F7381" s="138" t="str">
        <f t="shared" si="563"/>
        <v>Upgraded</v>
      </c>
      <c r="G7381" s="153"/>
      <c r="H7381" s="210">
        <v>4.0000000000000001E-3</v>
      </c>
      <c r="I7381" s="160" t="s">
        <v>57</v>
      </c>
      <c r="J7381" s="211">
        <v>6.0590300000000002E-5</v>
      </c>
      <c r="K7381" s="160" t="s">
        <v>13</v>
      </c>
      <c r="L7381" s="154" t="str">
        <f>IF(OpenLCAbasic!K7381="CTUh", "Fill in Manually",IF(OR(K7381="Unit", K7381=""), "", INDEX(LookUps!$E$5:$E$12, MATCH(OpenLCAbasic!K7381,LookUps!$D$5:$D$12,0))))</f>
        <v>Eutrophication Potential (EP) - kg N eq</v>
      </c>
      <c r="M7381" s="154" t="str">
        <f t="shared" si="565"/>
        <v>High_Medium_Base_Upgraded_Eutrophication Potential (EP) - kg N eq_Gravity Belt Thickener; wastewater treatment unit; at updated plant - US_Without Amendment_Windrow</v>
      </c>
    </row>
    <row r="7382" spans="1:13" s="120" customFormat="1" x14ac:dyDescent="0.25">
      <c r="A7382" s="119"/>
      <c r="B7382" s="138" t="str">
        <f t="shared" si="562"/>
        <v>Windrow</v>
      </c>
      <c r="C7382" s="138" t="str">
        <f t="shared" si="566"/>
        <v>Without Amendment</v>
      </c>
      <c r="D7382" s="138" t="str">
        <f t="shared" si="564"/>
        <v>Medium_Base</v>
      </c>
      <c r="E7382" s="138" t="str">
        <f t="shared" si="567"/>
        <v>High</v>
      </c>
      <c r="F7382" s="138" t="str">
        <f t="shared" si="563"/>
        <v>Upgraded</v>
      </c>
      <c r="G7382" s="153"/>
      <c r="H7382" s="210">
        <v>2.5000000000000001E-3</v>
      </c>
      <c r="I7382" s="160" t="s">
        <v>128</v>
      </c>
      <c r="J7382" s="211">
        <v>3.7559799999999999E-5</v>
      </c>
      <c r="K7382" s="160" t="s">
        <v>13</v>
      </c>
      <c r="L7382" s="154" t="str">
        <f>IF(OpenLCAbasic!K7382="CTUh", "Fill in Manually",IF(OR(K7382="Unit", K7382=""), "", INDEX(LookUps!$E$5:$E$12, MATCH(OpenLCAbasic!K7382,LookUps!$D$5:$D$12,0))))</f>
        <v>Eutrophication Potential (EP) - kg N eq</v>
      </c>
      <c r="M7382" s="154" t="str">
        <f t="shared" si="565"/>
        <v>High_Medium_Base_Upgraded_Eutrophication Potential (EP) - kg N eq_Wastewater collection; operation and infrastructure; m3 wastewater_Without Amendment_Windrow</v>
      </c>
    </row>
    <row r="7383" spans="1:13" s="120" customFormat="1" x14ac:dyDescent="0.25">
      <c r="A7383" s="119"/>
      <c r="B7383" s="138" t="str">
        <f t="shared" si="562"/>
        <v>Windrow</v>
      </c>
      <c r="C7383" s="138" t="str">
        <f t="shared" si="566"/>
        <v>Without Amendment</v>
      </c>
      <c r="D7383" s="138" t="str">
        <f t="shared" si="564"/>
        <v>Medium_Base</v>
      </c>
      <c r="E7383" s="138" t="str">
        <f t="shared" si="567"/>
        <v>High</v>
      </c>
      <c r="F7383" s="138" t="str">
        <f t="shared" si="563"/>
        <v>Upgraded</v>
      </c>
      <c r="G7383" s="153"/>
      <c r="H7383" s="210">
        <v>2.5000000000000001E-3</v>
      </c>
      <c r="I7383" s="160" t="s">
        <v>148</v>
      </c>
      <c r="J7383" s="211">
        <v>3.6874600000000001E-5</v>
      </c>
      <c r="K7383" s="160" t="s">
        <v>13</v>
      </c>
      <c r="L7383" s="154" t="str">
        <f>IF(OpenLCAbasic!K7383="CTUh", "Fill in Manually",IF(OR(K7383="Unit", K7383=""), "", INDEX(LookUps!$E$5:$E$12, MATCH(OpenLCAbasic!K7383,LookUps!$D$5:$D$12,0))))</f>
        <v>Eutrophication Potential (EP) - kg N eq</v>
      </c>
      <c r="M7383" s="154" t="str">
        <f t="shared" si="565"/>
        <v>High_Medium_Base_Upgraded_Eutrophication Potential (EP) - kg N eq_Control Building; at upgraded wastewater treatment plant - US_Without Amendment_Windrow</v>
      </c>
    </row>
    <row r="7384" spans="1:13" s="120" customFormat="1" x14ac:dyDescent="0.25">
      <c r="A7384" s="119"/>
      <c r="B7384" s="138" t="str">
        <f t="shared" si="562"/>
        <v>Windrow</v>
      </c>
      <c r="C7384" s="138" t="str">
        <f t="shared" si="566"/>
        <v>Without Amendment</v>
      </c>
      <c r="D7384" s="138" t="str">
        <f t="shared" si="564"/>
        <v>Medium_Base</v>
      </c>
      <c r="E7384" s="138" t="str">
        <f t="shared" si="567"/>
        <v>High</v>
      </c>
      <c r="F7384" s="138" t="str">
        <f t="shared" si="563"/>
        <v>Upgraded</v>
      </c>
      <c r="G7384" s="153"/>
      <c r="H7384" s="210">
        <v>1.1000000000000001E-3</v>
      </c>
      <c r="I7384" s="160" t="s">
        <v>59</v>
      </c>
      <c r="J7384" s="211">
        <v>1.6215700000000001E-5</v>
      </c>
      <c r="K7384" s="160" t="s">
        <v>13</v>
      </c>
      <c r="L7384" s="154" t="str">
        <f>IF(OpenLCAbasic!K7384="CTUh", "Fill in Manually",IF(OR(K7384="Unit", K7384=""), "", INDEX(LookUps!$E$5:$E$12, MATCH(OpenLCAbasic!K7384,LookUps!$D$5:$D$12,0))))</f>
        <v>Eutrophication Potential (EP) - kg N eq</v>
      </c>
      <c r="M7384" s="154" t="str">
        <f t="shared" si="565"/>
        <v>High_Medium_Base_Upgraded_Eutrophication Potential (EP) - kg N eq_Blend Tank; wastewater treatment unit; at updated plant - US_Without Amendment_Windrow</v>
      </c>
    </row>
    <row r="7385" spans="1:13" s="120" customFormat="1" x14ac:dyDescent="0.25">
      <c r="A7385" s="119"/>
      <c r="B7385" s="138" t="str">
        <f t="shared" si="562"/>
        <v>Windrow</v>
      </c>
      <c r="C7385" s="138" t="str">
        <f t="shared" si="566"/>
        <v>Without Amendment</v>
      </c>
      <c r="D7385" s="138" t="str">
        <f t="shared" si="564"/>
        <v>Medium_Base</v>
      </c>
      <c r="E7385" s="138" t="str">
        <f t="shared" si="567"/>
        <v>High</v>
      </c>
      <c r="F7385" s="138" t="str">
        <f t="shared" si="563"/>
        <v>Upgraded</v>
      </c>
      <c r="G7385" s="153"/>
      <c r="H7385" s="210">
        <v>5.0000000000000001E-4</v>
      </c>
      <c r="I7385" s="160" t="s">
        <v>168</v>
      </c>
      <c r="J7385" s="211">
        <v>7.7567199999999995E-6</v>
      </c>
      <c r="K7385" s="160" t="s">
        <v>13</v>
      </c>
      <c r="L7385" s="154" t="str">
        <f>IF(OpenLCAbasic!K7385="CTUh", "Fill in Manually",IF(OR(K7385="Unit", K7385=""), "", INDEX(LookUps!$E$5:$E$12, MATCH(OpenLCAbasic!K7385,LookUps!$D$5:$D$12,0))))</f>
        <v>Eutrophication Potential (EP) - kg N eq</v>
      </c>
      <c r="M7385" s="154" t="str">
        <f t="shared" si="565"/>
        <v>High_Medium_Base_Upgraded_Eutrophication Potential (EP) - kg N eq_ClearCove SCP; wastewater treatment unit; at updated plant - US_Without Amendment_Windrow</v>
      </c>
    </row>
    <row r="7386" spans="1:13" s="120" customFormat="1" x14ac:dyDescent="0.25">
      <c r="A7386" s="119"/>
      <c r="B7386" s="138" t="str">
        <f t="shared" si="562"/>
        <v>Windrow</v>
      </c>
      <c r="C7386" s="138" t="str">
        <f t="shared" si="566"/>
        <v>Without Amendment</v>
      </c>
      <c r="D7386" s="138" t="str">
        <f t="shared" si="564"/>
        <v>Medium_Base</v>
      </c>
      <c r="E7386" s="138" t="str">
        <f t="shared" si="567"/>
        <v>High</v>
      </c>
      <c r="F7386" s="138" t="str">
        <f t="shared" si="563"/>
        <v>Upgraded</v>
      </c>
      <c r="G7386" s="153"/>
      <c r="H7386" s="210">
        <v>-4.1399999999999999E-2</v>
      </c>
      <c r="I7386" s="160" t="s">
        <v>149</v>
      </c>
      <c r="J7386" s="160">
        <v>-6.2E-4</v>
      </c>
      <c r="K7386" s="160" t="s">
        <v>13</v>
      </c>
      <c r="L7386" s="154" t="str">
        <f>IF(OpenLCAbasic!K7386="CTUh", "Fill in Manually",IF(OR(K7386="Unit", K7386=""), "", INDEX(LookUps!$E$5:$E$12, MATCH(OpenLCAbasic!K7386,LookUps!$D$5:$D$12,0))))</f>
        <v>Eutrophication Potential (EP) - kg N eq</v>
      </c>
      <c r="M7386" s="154" t="str">
        <f t="shared" si="565"/>
        <v>High_Medium_Base_Upgraded_Eutrophication Potential (EP) - kg N eq_Anaerobic Digestion; wastewater treatment unit; at updated plant - US_Without Amendment_Windrow</v>
      </c>
    </row>
    <row r="7387" spans="1:13" s="120" customFormat="1" x14ac:dyDescent="0.25">
      <c r="A7387" s="119"/>
      <c r="B7387" s="138" t="str">
        <f t="shared" si="562"/>
        <v/>
      </c>
      <c r="C7387" s="138" t="str">
        <f t="shared" si="566"/>
        <v/>
      </c>
      <c r="D7387" s="138" t="str">
        <f t="shared" si="564"/>
        <v/>
      </c>
      <c r="E7387" s="138" t="str">
        <f t="shared" si="567"/>
        <v/>
      </c>
      <c r="F7387" s="138" t="str">
        <f t="shared" si="563"/>
        <v/>
      </c>
      <c r="G7387" s="153" t="s">
        <v>51</v>
      </c>
      <c r="H7387" s="160"/>
      <c r="I7387" s="160" t="s">
        <v>47</v>
      </c>
      <c r="J7387" s="160" t="s">
        <v>52</v>
      </c>
      <c r="K7387" s="160" t="s">
        <v>27</v>
      </c>
      <c r="L7387" s="154" t="str">
        <f>IF(OpenLCAbasic!K7387="CTUh", "Fill in Manually",IF(OR(K7387="Unit", K7387=""), "", INDEX(LookUps!$E$5:$E$12, MATCH(OpenLCAbasic!K7387,LookUps!$D$5:$D$12,0))))</f>
        <v/>
      </c>
      <c r="M7387" s="154" t="str">
        <f t="shared" si="565"/>
        <v>____Process__</v>
      </c>
    </row>
    <row r="7388" spans="1:13" s="120" customFormat="1" x14ac:dyDescent="0.25">
      <c r="A7388" s="119"/>
      <c r="B7388" s="138" t="str">
        <f t="shared" si="562"/>
        <v>Windrow</v>
      </c>
      <c r="C7388" s="138" t="str">
        <f t="shared" si="566"/>
        <v>Without Amendment</v>
      </c>
      <c r="D7388" s="138" t="str">
        <f t="shared" si="564"/>
        <v>Medium_Base</v>
      </c>
      <c r="E7388" s="138" t="str">
        <f t="shared" si="567"/>
        <v>High</v>
      </c>
      <c r="F7388" s="138" t="str">
        <f t="shared" si="563"/>
        <v>Upgraded</v>
      </c>
      <c r="G7388" s="153"/>
      <c r="H7388" s="210">
        <v>1.4400999999999999</v>
      </c>
      <c r="I7388" s="160" t="s">
        <v>167</v>
      </c>
      <c r="J7388" s="160">
        <v>9.7259999999999999E-2</v>
      </c>
      <c r="K7388" s="160" t="s">
        <v>14</v>
      </c>
      <c r="L7388" s="154" t="str">
        <f>IF(OpenLCAbasic!K7388="CTUh", "Fill in Manually",IF(OR(K7388="Unit", K7388=""), "", INDEX(LookUps!$E$5:$E$12, MATCH(OpenLCAbasic!K7388,LookUps!$D$5:$D$12,0))))</f>
        <v>Fossil Depletion Potential (FDP) - kg oil eq</v>
      </c>
      <c r="M7388" s="154" t="str">
        <f t="shared" si="565"/>
        <v>High_Medium_Base_Upgraded_Fossil Depletion Potential (FDP) - kg oil eq_Waste Receiving and Holding; wastewater treatment unit; at updated plant - US_Without Amendment_Windrow</v>
      </c>
    </row>
    <row r="7389" spans="1:13" s="120" customFormat="1" x14ac:dyDescent="0.25">
      <c r="A7389" s="119"/>
      <c r="B7389" s="138" t="str">
        <f t="shared" si="562"/>
        <v>Windrow</v>
      </c>
      <c r="C7389" s="138" t="str">
        <f t="shared" si="566"/>
        <v>Without Amendment</v>
      </c>
      <c r="D7389" s="138" t="str">
        <f t="shared" si="564"/>
        <v>Medium_Base</v>
      </c>
      <c r="E7389" s="138" t="str">
        <f t="shared" si="567"/>
        <v>High</v>
      </c>
      <c r="F7389" s="138" t="str">
        <f t="shared" si="563"/>
        <v>Upgraded</v>
      </c>
      <c r="G7389" s="153"/>
      <c r="H7389" s="210">
        <v>0.94159999999999999</v>
      </c>
      <c r="I7389" s="160" t="s">
        <v>55</v>
      </c>
      <c r="J7389" s="160">
        <v>6.3589999999999994E-2</v>
      </c>
      <c r="K7389" s="160" t="s">
        <v>14</v>
      </c>
      <c r="L7389" s="154" t="str">
        <f>IF(OpenLCAbasic!K7389="CTUh", "Fill in Manually",IF(OR(K7389="Unit", K7389=""), "", INDEX(LookUps!$E$5:$E$12, MATCH(OpenLCAbasic!K7389,LookUps!$D$5:$D$12,0))))</f>
        <v>Fossil Depletion Potential (FDP) - kg oil eq</v>
      </c>
      <c r="M7389" s="154" t="str">
        <f t="shared" si="565"/>
        <v>High_Medium_Base_Upgraded_Fossil Depletion Potential (FDP) - kg oil eq_Aeration Tanks; wastewater treatment unit; at updated plant - US_Without Amendment_Windrow</v>
      </c>
    </row>
    <row r="7390" spans="1:13" s="120" customFormat="1" x14ac:dyDescent="0.25">
      <c r="A7390" s="119"/>
      <c r="B7390" s="138" t="str">
        <f t="shared" si="562"/>
        <v>Windrow</v>
      </c>
      <c r="C7390" s="138" t="str">
        <f t="shared" si="566"/>
        <v>Without Amendment</v>
      </c>
      <c r="D7390" s="138" t="str">
        <f t="shared" si="564"/>
        <v>Medium_Base</v>
      </c>
      <c r="E7390" s="138" t="str">
        <f t="shared" si="567"/>
        <v>High</v>
      </c>
      <c r="F7390" s="138" t="str">
        <f t="shared" si="563"/>
        <v>Upgraded</v>
      </c>
      <c r="G7390" s="153"/>
      <c r="H7390" s="210">
        <v>0.31169999999999998</v>
      </c>
      <c r="I7390" s="160" t="s">
        <v>54</v>
      </c>
      <c r="J7390" s="160">
        <v>2.1049999999999999E-2</v>
      </c>
      <c r="K7390" s="160" t="s">
        <v>14</v>
      </c>
      <c r="L7390" s="154" t="str">
        <f>IF(OpenLCAbasic!K7390="CTUh", "Fill in Manually",IF(OR(K7390="Unit", K7390=""), "", INDEX(LookUps!$E$5:$E$12, MATCH(OpenLCAbasic!K7390,LookUps!$D$5:$D$12,0))))</f>
        <v>Fossil Depletion Potential (FDP) - kg oil eq</v>
      </c>
      <c r="M7390" s="154" t="str">
        <f t="shared" si="565"/>
        <v>High_Medium_Base_Upgraded_Fossil Depletion Potential (FDP) - kg oil eq_Clear Cove Primary Clarification; wastewater treatment unit; at updated plant - US_Without Amendment_Windrow</v>
      </c>
    </row>
    <row r="7391" spans="1:13" s="120" customFormat="1" x14ac:dyDescent="0.25">
      <c r="A7391" s="119"/>
      <c r="B7391" s="138" t="str">
        <f t="shared" si="562"/>
        <v>Windrow</v>
      </c>
      <c r="C7391" s="138" t="str">
        <f t="shared" si="566"/>
        <v>Without Amendment</v>
      </c>
      <c r="D7391" s="138" t="str">
        <f t="shared" si="564"/>
        <v>Medium_Base</v>
      </c>
      <c r="E7391" s="138" t="str">
        <f t="shared" si="567"/>
        <v>High</v>
      </c>
      <c r="F7391" s="138" t="str">
        <f t="shared" si="563"/>
        <v>Upgraded</v>
      </c>
      <c r="G7391" s="153"/>
      <c r="H7391" s="210">
        <v>0.2366</v>
      </c>
      <c r="I7391" s="160" t="s">
        <v>58</v>
      </c>
      <c r="J7391" s="160">
        <v>1.5980000000000001E-2</v>
      </c>
      <c r="K7391" s="160" t="s">
        <v>14</v>
      </c>
      <c r="L7391" s="154" t="str">
        <f>IF(OpenLCAbasic!K7391="CTUh", "Fill in Manually",IF(OR(K7391="Unit", K7391=""), "", INDEX(LookUps!$E$5:$E$12, MATCH(OpenLCAbasic!K7391,LookUps!$D$5:$D$12,0))))</f>
        <v>Fossil Depletion Potential (FDP) - kg oil eq</v>
      </c>
      <c r="M7391" s="154" t="str">
        <f t="shared" si="565"/>
        <v>High_Medium_Base_Upgraded_Fossil Depletion Potential (FDP) - kg oil eq_Pre-Anoxic &amp; Swing tank; wastewater treatment unit; at updated plant - US_Without Amendment_Windrow</v>
      </c>
    </row>
    <row r="7392" spans="1:13" s="120" customFormat="1" x14ac:dyDescent="0.25">
      <c r="A7392" s="119"/>
      <c r="B7392" s="138" t="str">
        <f t="shared" si="562"/>
        <v>Windrow</v>
      </c>
      <c r="C7392" s="138" t="str">
        <f t="shared" si="566"/>
        <v>Without Amendment</v>
      </c>
      <c r="D7392" s="138" t="str">
        <f t="shared" si="564"/>
        <v>Medium_Base</v>
      </c>
      <c r="E7392" s="138" t="str">
        <f t="shared" si="567"/>
        <v>High</v>
      </c>
      <c r="F7392" s="138" t="str">
        <f t="shared" si="563"/>
        <v>Upgraded</v>
      </c>
      <c r="G7392" s="153"/>
      <c r="H7392" s="210">
        <v>0.22339999999999999</v>
      </c>
      <c r="I7392" s="160" t="s">
        <v>147</v>
      </c>
      <c r="J7392" s="160">
        <v>1.5089999999999999E-2</v>
      </c>
      <c r="K7392" s="160" t="s">
        <v>14</v>
      </c>
      <c r="L7392" s="154" t="str">
        <f>IF(OpenLCAbasic!K7392="CTUh", "Fill in Manually",IF(OR(K7392="Unit", K7392=""), "", INDEX(LookUps!$E$5:$E$12, MATCH(OpenLCAbasic!K7392,LookUps!$D$5:$D$12,0))))</f>
        <v>Fossil Depletion Potential (FDP) - kg oil eq</v>
      </c>
      <c r="M7392" s="154" t="str">
        <f t="shared" si="565"/>
        <v>High_Medium_Base_Upgraded_Fossil Depletion Potential (FDP) - kg oil eq_Influent Pump Station; wastewater treatment unit; at updated plant - US_Without Amendment_Windrow</v>
      </c>
    </row>
    <row r="7393" spans="1:13" s="120" customFormat="1" x14ac:dyDescent="0.25">
      <c r="A7393" s="119"/>
      <c r="B7393" s="138" t="str">
        <f t="shared" si="562"/>
        <v>Windrow</v>
      </c>
      <c r="C7393" s="138" t="str">
        <f t="shared" si="566"/>
        <v>Without Amendment</v>
      </c>
      <c r="D7393" s="138" t="str">
        <f t="shared" si="564"/>
        <v>Medium_Base</v>
      </c>
      <c r="E7393" s="138" t="str">
        <f t="shared" si="567"/>
        <v>High</v>
      </c>
      <c r="F7393" s="138" t="str">
        <f t="shared" si="563"/>
        <v>Upgraded</v>
      </c>
      <c r="G7393" s="153"/>
      <c r="H7393" s="210">
        <v>0.18490000000000001</v>
      </c>
      <c r="I7393" s="160" t="s">
        <v>53</v>
      </c>
      <c r="J7393" s="160">
        <v>1.2489999999999999E-2</v>
      </c>
      <c r="K7393" s="160" t="s">
        <v>14</v>
      </c>
      <c r="L7393" s="154" t="str">
        <f>IF(OpenLCAbasic!K7393="CTUh", "Fill in Manually",IF(OR(K7393="Unit", K7393=""), "", INDEX(LookUps!$E$5:$E$12, MATCH(OpenLCAbasic!K7393,LookUps!$D$5:$D$12,0))))</f>
        <v>Fossil Depletion Potential (FDP) - kg oil eq</v>
      </c>
      <c r="M7393" s="154" t="str">
        <f t="shared" si="565"/>
        <v>High_Medium_Base_Upgraded_Fossil Depletion Potential (FDP) - kg oil eq_Wet Well and Sump Station; wastewater treatment unit; at updated plant - US_Without Amendment_Windrow</v>
      </c>
    </row>
    <row r="7394" spans="1:13" s="120" customFormat="1" x14ac:dyDescent="0.25">
      <c r="A7394" s="119"/>
      <c r="B7394" s="138" t="str">
        <f t="shared" si="562"/>
        <v>Windrow</v>
      </c>
      <c r="C7394" s="138" t="str">
        <f t="shared" si="566"/>
        <v>Without Amendment</v>
      </c>
      <c r="D7394" s="138" t="str">
        <f t="shared" si="564"/>
        <v>Medium_Base</v>
      </c>
      <c r="E7394" s="138" t="str">
        <f t="shared" si="567"/>
        <v>High</v>
      </c>
      <c r="F7394" s="138" t="str">
        <f t="shared" si="563"/>
        <v>Upgraded</v>
      </c>
      <c r="G7394" s="153"/>
      <c r="H7394" s="210">
        <v>0.1188</v>
      </c>
      <c r="I7394" s="160" t="s">
        <v>60</v>
      </c>
      <c r="J7394" s="160">
        <v>8.0300000000000007E-3</v>
      </c>
      <c r="K7394" s="160" t="s">
        <v>14</v>
      </c>
      <c r="L7394" s="154" t="str">
        <f>IF(OpenLCAbasic!K7394="CTUh", "Fill in Manually",IF(OR(K7394="Unit", K7394=""), "", INDEX(LookUps!$E$5:$E$12, MATCH(OpenLCAbasic!K7394,LookUps!$D$5:$D$12,0))))</f>
        <v>Fossil Depletion Potential (FDP) - kg oil eq</v>
      </c>
      <c r="M7394" s="154" t="str">
        <f t="shared" si="565"/>
        <v>High_Medium_Base_Upgraded_Fossil Depletion Potential (FDP) - kg oil eq_Belt filter press; wastewater treatment unit; at updated plant - US_Without Amendment_Windrow</v>
      </c>
    </row>
    <row r="7395" spans="1:13" s="120" customFormat="1" x14ac:dyDescent="0.25">
      <c r="A7395" s="119"/>
      <c r="B7395" s="138" t="str">
        <f t="shared" si="562"/>
        <v>Windrow</v>
      </c>
      <c r="C7395" s="138" t="str">
        <f t="shared" si="566"/>
        <v>Without Amendment</v>
      </c>
      <c r="D7395" s="138" t="str">
        <f t="shared" si="564"/>
        <v>Medium_Base</v>
      </c>
      <c r="E7395" s="138" t="str">
        <f t="shared" si="567"/>
        <v>High</v>
      </c>
      <c r="F7395" s="138" t="str">
        <f t="shared" si="563"/>
        <v>Upgraded</v>
      </c>
      <c r="G7395" s="153"/>
      <c r="H7395" s="210">
        <v>0.1024</v>
      </c>
      <c r="I7395" s="160" t="s">
        <v>57</v>
      </c>
      <c r="J7395" s="160">
        <v>6.9199999999999999E-3</v>
      </c>
      <c r="K7395" s="160" t="s">
        <v>14</v>
      </c>
      <c r="L7395" s="154" t="str">
        <f>IF(OpenLCAbasic!K7395="CTUh", "Fill in Manually",IF(OR(K7395="Unit", K7395=""), "", INDEX(LookUps!$E$5:$E$12, MATCH(OpenLCAbasic!K7395,LookUps!$D$5:$D$12,0))))</f>
        <v>Fossil Depletion Potential (FDP) - kg oil eq</v>
      </c>
      <c r="M7395" s="154" t="str">
        <f t="shared" si="565"/>
        <v>High_Medium_Base_Upgraded_Fossil Depletion Potential (FDP) - kg oil eq_Gravity Belt Thickener; wastewater treatment unit; at updated plant - US_Without Amendment_Windrow</v>
      </c>
    </row>
    <row r="7396" spans="1:13" s="120" customFormat="1" x14ac:dyDescent="0.25">
      <c r="A7396" s="119"/>
      <c r="B7396" s="138" t="str">
        <f t="shared" si="562"/>
        <v>Windrow</v>
      </c>
      <c r="C7396" s="138" t="str">
        <f t="shared" si="566"/>
        <v>Without Amendment</v>
      </c>
      <c r="D7396" s="138" t="str">
        <f t="shared" si="564"/>
        <v>Medium_Base</v>
      </c>
      <c r="E7396" s="138" t="str">
        <f t="shared" si="567"/>
        <v>High</v>
      </c>
      <c r="F7396" s="138" t="str">
        <f t="shared" si="563"/>
        <v>Upgraded</v>
      </c>
      <c r="G7396" s="153"/>
      <c r="H7396" s="210">
        <v>6.6600000000000006E-2</v>
      </c>
      <c r="I7396" s="160" t="s">
        <v>128</v>
      </c>
      <c r="J7396" s="160">
        <v>4.4999999999999997E-3</v>
      </c>
      <c r="K7396" s="160" t="s">
        <v>14</v>
      </c>
      <c r="L7396" s="154" t="str">
        <f>IF(OpenLCAbasic!K7396="CTUh", "Fill in Manually",IF(OR(K7396="Unit", K7396=""), "", INDEX(LookUps!$E$5:$E$12, MATCH(OpenLCAbasic!K7396,LookUps!$D$5:$D$12,0))))</f>
        <v>Fossil Depletion Potential (FDP) - kg oil eq</v>
      </c>
      <c r="M7396" s="154" t="str">
        <f t="shared" si="565"/>
        <v>High_Medium_Base_Upgraded_Fossil Depletion Potential (FDP) - kg oil eq_Wastewater collection; operation and infrastructure; m3 wastewater_Without Amendment_Windrow</v>
      </c>
    </row>
    <row r="7397" spans="1:13" s="120" customFormat="1" x14ac:dyDescent="0.25">
      <c r="A7397" s="119"/>
      <c r="B7397" s="138" t="str">
        <f t="shared" si="562"/>
        <v>Windrow</v>
      </c>
      <c r="C7397" s="138" t="str">
        <f t="shared" si="566"/>
        <v>Without Amendment</v>
      </c>
      <c r="D7397" s="138" t="str">
        <f t="shared" si="564"/>
        <v>Medium_Base</v>
      </c>
      <c r="E7397" s="138" t="str">
        <f t="shared" si="567"/>
        <v>High</v>
      </c>
      <c r="F7397" s="138" t="str">
        <f t="shared" si="563"/>
        <v>Upgraded</v>
      </c>
      <c r="G7397" s="153"/>
      <c r="H7397" s="210">
        <v>4.1399999999999999E-2</v>
      </c>
      <c r="I7397" s="160" t="s">
        <v>148</v>
      </c>
      <c r="J7397" s="160">
        <v>2.8E-3</v>
      </c>
      <c r="K7397" s="160" t="s">
        <v>14</v>
      </c>
      <c r="L7397" s="154" t="str">
        <f>IF(OpenLCAbasic!K7397="CTUh", "Fill in Manually",IF(OR(K7397="Unit", K7397=""), "", INDEX(LookUps!$E$5:$E$12, MATCH(OpenLCAbasic!K7397,LookUps!$D$5:$D$12,0))))</f>
        <v>Fossil Depletion Potential (FDP) - kg oil eq</v>
      </c>
      <c r="M7397" s="154" t="str">
        <f t="shared" si="565"/>
        <v>High_Medium_Base_Upgraded_Fossil Depletion Potential (FDP) - kg oil eq_Control Building; at upgraded wastewater treatment plant - US_Without Amendment_Windrow</v>
      </c>
    </row>
    <row r="7398" spans="1:13" s="120" customFormat="1" x14ac:dyDescent="0.25">
      <c r="A7398" s="119"/>
      <c r="B7398" s="138" t="str">
        <f t="shared" si="562"/>
        <v>Windrow</v>
      </c>
      <c r="C7398" s="138" t="str">
        <f t="shared" si="566"/>
        <v>Without Amendment</v>
      </c>
      <c r="D7398" s="138" t="str">
        <f t="shared" si="564"/>
        <v>Medium_Base</v>
      </c>
      <c r="E7398" s="138" t="str">
        <f t="shared" si="567"/>
        <v>High</v>
      </c>
      <c r="F7398" s="138" t="str">
        <f t="shared" si="563"/>
        <v>Upgraded</v>
      </c>
      <c r="G7398" s="153"/>
      <c r="H7398" s="210">
        <v>3.5000000000000003E-2</v>
      </c>
      <c r="I7398" s="160" t="s">
        <v>48</v>
      </c>
      <c r="J7398" s="160">
        <v>2.3600000000000001E-3</v>
      </c>
      <c r="K7398" s="160" t="s">
        <v>14</v>
      </c>
      <c r="L7398" s="154" t="str">
        <f>IF(OpenLCAbasic!K7398="CTUh", "Fill in Manually",IF(OR(K7398="Unit", K7398=""), "", INDEX(LookUps!$E$5:$E$12, MATCH(OpenLCAbasic!K7398,LookUps!$D$5:$D$12,0))))</f>
        <v>Fossil Depletion Potential (FDP) - kg oil eq</v>
      </c>
      <c r="M7398" s="154" t="str">
        <f t="shared" si="565"/>
        <v>High_Medium_Base_Upgraded_Fossil Depletion Potential (FDP) - kg oil eq_Effluent release; wastewater treatment unit; at surface water; m3 wastewater - US_Without Amendment_Windrow</v>
      </c>
    </row>
    <row r="7399" spans="1:13" s="120" customFormat="1" x14ac:dyDescent="0.25">
      <c r="A7399" s="119"/>
      <c r="B7399" s="138" t="str">
        <f t="shared" si="562"/>
        <v>Windrow</v>
      </c>
      <c r="C7399" s="138" t="str">
        <f t="shared" si="566"/>
        <v>Without Amendment</v>
      </c>
      <c r="D7399" s="138" t="str">
        <f t="shared" si="564"/>
        <v>Medium_Base</v>
      </c>
      <c r="E7399" s="138" t="str">
        <f t="shared" si="567"/>
        <v>High</v>
      </c>
      <c r="F7399" s="138" t="str">
        <f t="shared" si="563"/>
        <v>Upgraded</v>
      </c>
      <c r="G7399" s="153"/>
      <c r="H7399" s="210">
        <v>2.8400000000000002E-2</v>
      </c>
      <c r="I7399" s="160" t="s">
        <v>59</v>
      </c>
      <c r="J7399" s="160">
        <v>1.92E-3</v>
      </c>
      <c r="K7399" s="160" t="s">
        <v>14</v>
      </c>
      <c r="L7399" s="154" t="str">
        <f>IF(OpenLCAbasic!K7399="CTUh", "Fill in Manually",IF(OR(K7399="Unit", K7399=""), "", INDEX(LookUps!$E$5:$E$12, MATCH(OpenLCAbasic!K7399,LookUps!$D$5:$D$12,0))))</f>
        <v>Fossil Depletion Potential (FDP) - kg oil eq</v>
      </c>
      <c r="M7399" s="154" t="str">
        <f t="shared" si="565"/>
        <v>High_Medium_Base_Upgraded_Fossil Depletion Potential (FDP) - kg oil eq_Blend Tank; wastewater treatment unit; at updated plant - US_Without Amendment_Windrow</v>
      </c>
    </row>
    <row r="7400" spans="1:13" s="120" customFormat="1" x14ac:dyDescent="0.25">
      <c r="A7400" s="119"/>
      <c r="B7400" s="138" t="str">
        <f t="shared" ref="B7400:B7463" si="568">IF(F7400="Legacy","n.a.",IF(F7400="","","Windrow"))</f>
        <v>Windrow</v>
      </c>
      <c r="C7400" s="138" t="str">
        <f t="shared" si="566"/>
        <v>Without Amendment</v>
      </c>
      <c r="D7400" s="138" t="str">
        <f t="shared" si="564"/>
        <v>Medium_Base</v>
      </c>
      <c r="E7400" s="138" t="str">
        <f t="shared" si="567"/>
        <v>High</v>
      </c>
      <c r="F7400" s="138" t="str">
        <f t="shared" ref="F7400:F7463" si="569">IF(ISNUMBER(J7400),"Upgraded","")</f>
        <v>Upgraded</v>
      </c>
      <c r="G7400" s="153"/>
      <c r="H7400" s="210">
        <v>1.35E-2</v>
      </c>
      <c r="I7400" s="160" t="s">
        <v>168</v>
      </c>
      <c r="J7400" s="160">
        <v>9.1E-4</v>
      </c>
      <c r="K7400" s="160" t="s">
        <v>14</v>
      </c>
      <c r="L7400" s="154" t="str">
        <f>IF(OpenLCAbasic!K7400="CTUh", "Fill in Manually",IF(OR(K7400="Unit", K7400=""), "", INDEX(LookUps!$E$5:$E$12, MATCH(OpenLCAbasic!K7400,LookUps!$D$5:$D$12,0))))</f>
        <v>Fossil Depletion Potential (FDP) - kg oil eq</v>
      </c>
      <c r="M7400" s="154" t="str">
        <f t="shared" si="565"/>
        <v>High_Medium_Base_Upgraded_Fossil Depletion Potential (FDP) - kg oil eq_ClearCove SCP; wastewater treatment unit; at updated plant - US_Without Amendment_Windrow</v>
      </c>
    </row>
    <row r="7401" spans="1:13" s="120" customFormat="1" x14ac:dyDescent="0.25">
      <c r="A7401" s="119"/>
      <c r="B7401" s="138" t="str">
        <f t="shared" si="568"/>
        <v>Windrow</v>
      </c>
      <c r="C7401" s="138" t="str">
        <f t="shared" si="566"/>
        <v>Without Amendment</v>
      </c>
      <c r="D7401" s="138" t="str">
        <f t="shared" ref="D7401:D7464" si="570">IF(ISNUMBER($J7401),"Medium_Base","")</f>
        <v>Medium_Base</v>
      </c>
      <c r="E7401" s="138" t="str">
        <f t="shared" si="567"/>
        <v>High</v>
      </c>
      <c r="F7401" s="138" t="str">
        <f t="shared" si="569"/>
        <v>Upgraded</v>
      </c>
      <c r="G7401" s="153"/>
      <c r="H7401" s="210">
        <v>8.5000000000000006E-3</v>
      </c>
      <c r="I7401" s="160" t="s">
        <v>271</v>
      </c>
      <c r="J7401" s="160">
        <v>5.6999999999999998E-4</v>
      </c>
      <c r="K7401" s="160" t="s">
        <v>14</v>
      </c>
      <c r="L7401" s="154" t="str">
        <f>IF(OpenLCAbasic!K7401="CTUh", "Fill in Manually",IF(OR(K7401="Unit", K7401=""), "", INDEX(LookUps!$E$5:$E$12, MATCH(OpenLCAbasic!K7401,LookUps!$D$5:$D$12,0))))</f>
        <v>Fossil Depletion Potential (FDP) - kg oil eq</v>
      </c>
      <c r="M7401" s="154" t="str">
        <f t="shared" si="565"/>
        <v>High_Medium_Base_Upgraded_Fossil Depletion Potential (FDP) - kg oil eq_Biosolids composting; windrow composting; wastewater treatment unit; at updated plant - US_Without Amendment_Windrow</v>
      </c>
    </row>
    <row r="7402" spans="1:13" s="120" customFormat="1" x14ac:dyDescent="0.25">
      <c r="A7402" s="119"/>
      <c r="B7402" s="138" t="str">
        <f t="shared" si="568"/>
        <v>Windrow</v>
      </c>
      <c r="C7402" s="138" t="str">
        <f t="shared" si="566"/>
        <v>Without Amendment</v>
      </c>
      <c r="D7402" s="138" t="str">
        <f t="shared" si="570"/>
        <v>Medium_Base</v>
      </c>
      <c r="E7402" s="138" t="str">
        <f t="shared" si="567"/>
        <v>High</v>
      </c>
      <c r="F7402" s="138" t="str">
        <f t="shared" si="569"/>
        <v>Upgraded</v>
      </c>
      <c r="G7402" s="153"/>
      <c r="H7402" s="210">
        <v>-7.4099999999999999E-2</v>
      </c>
      <c r="I7402" s="160" t="s">
        <v>62</v>
      </c>
      <c r="J7402" s="160">
        <v>-5.0099999999999997E-3</v>
      </c>
      <c r="K7402" s="160" t="s">
        <v>14</v>
      </c>
      <c r="L7402" s="154" t="str">
        <f>IF(OpenLCAbasic!K7402="CTUh", "Fill in Manually",IF(OR(K7402="Unit", K7402=""), "", INDEX(LookUps!$E$5:$E$12, MATCH(OpenLCAbasic!K7402,LookUps!$D$5:$D$12,0))))</f>
        <v>Fossil Depletion Potential (FDP) - kg oil eq</v>
      </c>
      <c r="M7402" s="154" t="str">
        <f t="shared" si="565"/>
        <v>High_Medium_Base_Upgraded_Fossil Depletion Potential (FDP) - kg oil eq_Land application of compost; wastewater treatment unit; at updated plant - US_Without Amendment_Windrow</v>
      </c>
    </row>
    <row r="7403" spans="1:13" s="120" customFormat="1" x14ac:dyDescent="0.25">
      <c r="A7403" s="119"/>
      <c r="B7403" s="138" t="str">
        <f t="shared" si="568"/>
        <v>Windrow</v>
      </c>
      <c r="C7403" s="138" t="str">
        <f t="shared" si="566"/>
        <v>Without Amendment</v>
      </c>
      <c r="D7403" s="138" t="str">
        <f t="shared" si="570"/>
        <v>Medium_Base</v>
      </c>
      <c r="E7403" s="138" t="str">
        <f t="shared" si="567"/>
        <v>High</v>
      </c>
      <c r="F7403" s="138" t="str">
        <f t="shared" si="569"/>
        <v>Upgraded</v>
      </c>
      <c r="G7403" s="153"/>
      <c r="H7403" s="210">
        <v>-2.6789999999999998</v>
      </c>
      <c r="I7403" s="160" t="s">
        <v>149</v>
      </c>
      <c r="J7403" s="160">
        <v>-0.18092</v>
      </c>
      <c r="K7403" s="160" t="s">
        <v>14</v>
      </c>
      <c r="L7403" s="154" t="str">
        <f>IF(OpenLCAbasic!K7403="CTUh", "Fill in Manually",IF(OR(K7403="Unit", K7403=""), "", INDEX(LookUps!$E$5:$E$12, MATCH(OpenLCAbasic!K7403,LookUps!$D$5:$D$12,0))))</f>
        <v>Fossil Depletion Potential (FDP) - kg oil eq</v>
      </c>
      <c r="M7403" s="154" t="str">
        <f t="shared" si="565"/>
        <v>High_Medium_Base_Upgraded_Fossil Depletion Potential (FDP) - kg oil eq_Anaerobic Digestion; wastewater treatment unit; at updated plant - US_Without Amendment_Windrow</v>
      </c>
    </row>
    <row r="7404" spans="1:13" s="120" customFormat="1" x14ac:dyDescent="0.25">
      <c r="A7404" s="119"/>
      <c r="B7404" s="138" t="str">
        <f t="shared" si="568"/>
        <v/>
      </c>
      <c r="C7404" s="138" t="str">
        <f t="shared" si="566"/>
        <v/>
      </c>
      <c r="D7404" s="138" t="str">
        <f t="shared" si="570"/>
        <v/>
      </c>
      <c r="E7404" s="138" t="str">
        <f t="shared" si="567"/>
        <v/>
      </c>
      <c r="F7404" s="138" t="str">
        <f t="shared" si="569"/>
        <v/>
      </c>
      <c r="G7404" s="153" t="s">
        <v>51</v>
      </c>
      <c r="H7404" s="160"/>
      <c r="I7404" s="160" t="s">
        <v>47</v>
      </c>
      <c r="J7404" s="160" t="s">
        <v>52</v>
      </c>
      <c r="K7404" s="160" t="s">
        <v>27</v>
      </c>
      <c r="L7404" s="154" t="str">
        <f>IF(OpenLCAbasic!K7404="CTUh", "Fill in Manually",IF(OR(K7404="Unit", K7404=""), "", INDEX(LookUps!$E$5:$E$12, MATCH(OpenLCAbasic!K7404,LookUps!$D$5:$D$12,0))))</f>
        <v/>
      </c>
      <c r="M7404" s="154" t="str">
        <f t="shared" si="565"/>
        <v>____Process__</v>
      </c>
    </row>
    <row r="7405" spans="1:13" s="120" customFormat="1" x14ac:dyDescent="0.25">
      <c r="A7405" s="119"/>
      <c r="B7405" s="138" t="str">
        <f t="shared" si="568"/>
        <v>Windrow</v>
      </c>
      <c r="C7405" s="138" t="str">
        <f t="shared" si="566"/>
        <v>Without Amendment</v>
      </c>
      <c r="D7405" s="138" t="str">
        <f t="shared" si="570"/>
        <v>Medium_Base</v>
      </c>
      <c r="E7405" s="138" t="str">
        <f t="shared" si="567"/>
        <v>High</v>
      </c>
      <c r="F7405" s="138" t="str">
        <f t="shared" si="569"/>
        <v>Upgraded</v>
      </c>
      <c r="G7405" s="153"/>
      <c r="H7405" s="210">
        <v>0.82210000000000005</v>
      </c>
      <c r="I7405" s="160" t="s">
        <v>271</v>
      </c>
      <c r="J7405" s="160">
        <v>1.0677099999999999</v>
      </c>
      <c r="K7405" s="160" t="s">
        <v>23</v>
      </c>
      <c r="L7405" s="154" t="str">
        <f>IF(OpenLCAbasic!K7405="CTUh", "Fill in Manually",IF(OR(K7405="Unit", K7405=""), "", INDEX(LookUps!$E$5:$E$12, MATCH(OpenLCAbasic!K7405,LookUps!$D$5:$D$12,0))))</f>
        <v>Global Warming Potential (GWP) - kg CO2 eq</v>
      </c>
      <c r="M7405" s="154" t="str">
        <f t="shared" si="565"/>
        <v>High_Medium_Base_Upgraded_Global Warming Potential (GWP) - kg CO2 eq_Biosolids composting; windrow composting; wastewater treatment unit; at updated plant - US_Without Amendment_Windrow</v>
      </c>
    </row>
    <row r="7406" spans="1:13" s="120" customFormat="1" x14ac:dyDescent="0.25">
      <c r="A7406" s="119"/>
      <c r="B7406" s="138" t="str">
        <f t="shared" si="568"/>
        <v>Windrow</v>
      </c>
      <c r="C7406" s="138" t="str">
        <f t="shared" si="566"/>
        <v>Without Amendment</v>
      </c>
      <c r="D7406" s="138" t="str">
        <f t="shared" si="570"/>
        <v>Medium_Base</v>
      </c>
      <c r="E7406" s="138" t="str">
        <f t="shared" si="567"/>
        <v>High</v>
      </c>
      <c r="F7406" s="138" t="str">
        <f t="shared" si="569"/>
        <v>Upgraded</v>
      </c>
      <c r="G7406" s="153"/>
      <c r="H7406" s="210">
        <v>0.18920000000000001</v>
      </c>
      <c r="I7406" s="160" t="s">
        <v>58</v>
      </c>
      <c r="J7406" s="160">
        <v>0.24568999999999999</v>
      </c>
      <c r="K7406" s="160" t="s">
        <v>23</v>
      </c>
      <c r="L7406" s="154" t="str">
        <f>IF(OpenLCAbasic!K7406="CTUh", "Fill in Manually",IF(OR(K7406="Unit", K7406=""), "", INDEX(LookUps!$E$5:$E$12, MATCH(OpenLCAbasic!K7406,LookUps!$D$5:$D$12,0))))</f>
        <v>Global Warming Potential (GWP) - kg CO2 eq</v>
      </c>
      <c r="M7406" s="154" t="str">
        <f t="shared" si="565"/>
        <v>High_Medium_Base_Upgraded_Global Warming Potential (GWP) - kg CO2 eq_Pre-Anoxic &amp; Swing tank; wastewater treatment unit; at updated plant - US_Without Amendment_Windrow</v>
      </c>
    </row>
    <row r="7407" spans="1:13" s="120" customFormat="1" x14ac:dyDescent="0.25">
      <c r="A7407" s="119"/>
      <c r="B7407" s="138" t="str">
        <f t="shared" si="568"/>
        <v>Windrow</v>
      </c>
      <c r="C7407" s="138" t="str">
        <f t="shared" si="566"/>
        <v>Without Amendment</v>
      </c>
      <c r="D7407" s="138" t="str">
        <f t="shared" si="570"/>
        <v>Medium_Base</v>
      </c>
      <c r="E7407" s="138" t="str">
        <f t="shared" si="567"/>
        <v>High</v>
      </c>
      <c r="F7407" s="138" t="str">
        <f t="shared" si="569"/>
        <v>Upgraded</v>
      </c>
      <c r="G7407" s="153"/>
      <c r="H7407" s="210">
        <v>0.1295</v>
      </c>
      <c r="I7407" s="160" t="s">
        <v>55</v>
      </c>
      <c r="J7407" s="160">
        <v>0.16822000000000001</v>
      </c>
      <c r="K7407" s="160" t="s">
        <v>23</v>
      </c>
      <c r="L7407" s="154" t="str">
        <f>IF(OpenLCAbasic!K7407="CTUh", "Fill in Manually",IF(OR(K7407="Unit", K7407=""), "", INDEX(LookUps!$E$5:$E$12, MATCH(OpenLCAbasic!K7407,LookUps!$D$5:$D$12,0))))</f>
        <v>Global Warming Potential (GWP) - kg CO2 eq</v>
      </c>
      <c r="M7407" s="154" t="str">
        <f t="shared" si="565"/>
        <v>High_Medium_Base_Upgraded_Global Warming Potential (GWP) - kg CO2 eq_Aeration Tanks; wastewater treatment unit; at updated plant - US_Without Amendment_Windrow</v>
      </c>
    </row>
    <row r="7408" spans="1:13" s="120" customFormat="1" x14ac:dyDescent="0.25">
      <c r="A7408" s="119"/>
      <c r="B7408" s="138" t="str">
        <f t="shared" si="568"/>
        <v>Windrow</v>
      </c>
      <c r="C7408" s="138" t="str">
        <f t="shared" si="566"/>
        <v>Without Amendment</v>
      </c>
      <c r="D7408" s="138" t="str">
        <f t="shared" si="570"/>
        <v>Medium_Base</v>
      </c>
      <c r="E7408" s="138" t="str">
        <f t="shared" si="567"/>
        <v>High</v>
      </c>
      <c r="F7408" s="138" t="str">
        <f t="shared" si="569"/>
        <v>Upgraded</v>
      </c>
      <c r="G7408" s="153"/>
      <c r="H7408" s="210">
        <v>9.5100000000000004E-2</v>
      </c>
      <c r="I7408" s="160" t="s">
        <v>167</v>
      </c>
      <c r="J7408" s="160">
        <v>0.12354999999999999</v>
      </c>
      <c r="K7408" s="160" t="s">
        <v>23</v>
      </c>
      <c r="L7408" s="154" t="str">
        <f>IF(OpenLCAbasic!K7408="CTUh", "Fill in Manually",IF(OR(K7408="Unit", K7408=""), "", INDEX(LookUps!$E$5:$E$12, MATCH(OpenLCAbasic!K7408,LookUps!$D$5:$D$12,0))))</f>
        <v>Global Warming Potential (GWP) - kg CO2 eq</v>
      </c>
      <c r="M7408" s="154" t="str">
        <f t="shared" si="565"/>
        <v>High_Medium_Base_Upgraded_Global Warming Potential (GWP) - kg CO2 eq_Waste Receiving and Holding; wastewater treatment unit; at updated plant - US_Without Amendment_Windrow</v>
      </c>
    </row>
    <row r="7409" spans="1:13" s="120" customFormat="1" x14ac:dyDescent="0.25">
      <c r="A7409" s="119"/>
      <c r="B7409" s="138" t="str">
        <f t="shared" si="568"/>
        <v>Windrow</v>
      </c>
      <c r="C7409" s="138" t="str">
        <f t="shared" si="566"/>
        <v>Without Amendment</v>
      </c>
      <c r="D7409" s="138" t="str">
        <f t="shared" si="570"/>
        <v>Medium_Base</v>
      </c>
      <c r="E7409" s="138" t="str">
        <f t="shared" si="567"/>
        <v>High</v>
      </c>
      <c r="F7409" s="138" t="str">
        <f t="shared" si="569"/>
        <v>Upgraded</v>
      </c>
      <c r="G7409" s="153"/>
      <c r="H7409" s="210">
        <v>4.3999999999999997E-2</v>
      </c>
      <c r="I7409" s="160" t="s">
        <v>54</v>
      </c>
      <c r="J7409" s="160">
        <v>5.7079999999999999E-2</v>
      </c>
      <c r="K7409" s="160" t="s">
        <v>23</v>
      </c>
      <c r="L7409" s="154" t="str">
        <f>IF(OpenLCAbasic!K7409="CTUh", "Fill in Manually",IF(OR(K7409="Unit", K7409=""), "", INDEX(LookUps!$E$5:$E$12, MATCH(OpenLCAbasic!K7409,LookUps!$D$5:$D$12,0))))</f>
        <v>Global Warming Potential (GWP) - kg CO2 eq</v>
      </c>
      <c r="M7409" s="154" t="str">
        <f t="shared" si="565"/>
        <v>High_Medium_Base_Upgraded_Global Warming Potential (GWP) - kg CO2 eq_Clear Cove Primary Clarification; wastewater treatment unit; at updated plant - US_Without Amendment_Windrow</v>
      </c>
    </row>
    <row r="7410" spans="1:13" s="120" customFormat="1" x14ac:dyDescent="0.25">
      <c r="A7410" s="119"/>
      <c r="B7410" s="138" t="str">
        <f t="shared" si="568"/>
        <v>Windrow</v>
      </c>
      <c r="C7410" s="138" t="str">
        <f t="shared" si="566"/>
        <v>Without Amendment</v>
      </c>
      <c r="D7410" s="138" t="str">
        <f t="shared" si="570"/>
        <v>Medium_Base</v>
      </c>
      <c r="E7410" s="138" t="str">
        <f t="shared" si="567"/>
        <v>High</v>
      </c>
      <c r="F7410" s="138" t="str">
        <f t="shared" si="569"/>
        <v>Upgraded</v>
      </c>
      <c r="G7410" s="153"/>
      <c r="H7410" s="210">
        <v>4.0500000000000001E-2</v>
      </c>
      <c r="I7410" s="160" t="s">
        <v>48</v>
      </c>
      <c r="J7410" s="160">
        <v>5.2639999999999999E-2</v>
      </c>
      <c r="K7410" s="160" t="s">
        <v>23</v>
      </c>
      <c r="L7410" s="154" t="str">
        <f>IF(OpenLCAbasic!K7410="CTUh", "Fill in Manually",IF(OR(K7410="Unit", K7410=""), "", INDEX(LookUps!$E$5:$E$12, MATCH(OpenLCAbasic!K7410,LookUps!$D$5:$D$12,0))))</f>
        <v>Global Warming Potential (GWP) - kg CO2 eq</v>
      </c>
      <c r="M7410" s="154" t="str">
        <f t="shared" si="565"/>
        <v>High_Medium_Base_Upgraded_Global Warming Potential (GWP) - kg CO2 eq_Effluent release; wastewater treatment unit; at surface water; m3 wastewater - US_Without Amendment_Windrow</v>
      </c>
    </row>
    <row r="7411" spans="1:13" s="120" customFormat="1" x14ac:dyDescent="0.25">
      <c r="A7411" s="119"/>
      <c r="B7411" s="138" t="str">
        <f t="shared" si="568"/>
        <v>Windrow</v>
      </c>
      <c r="C7411" s="138" t="str">
        <f t="shared" si="566"/>
        <v>Without Amendment</v>
      </c>
      <c r="D7411" s="138" t="str">
        <f t="shared" si="570"/>
        <v>Medium_Base</v>
      </c>
      <c r="E7411" s="138" t="str">
        <f t="shared" si="567"/>
        <v>High</v>
      </c>
      <c r="F7411" s="138" t="str">
        <f t="shared" si="569"/>
        <v>Upgraded</v>
      </c>
      <c r="G7411" s="153"/>
      <c r="H7411" s="210">
        <v>3.8899999999999997E-2</v>
      </c>
      <c r="I7411" s="160" t="s">
        <v>147</v>
      </c>
      <c r="J7411" s="160">
        <v>5.0500000000000003E-2</v>
      </c>
      <c r="K7411" s="160" t="s">
        <v>23</v>
      </c>
      <c r="L7411" s="154" t="str">
        <f>IF(OpenLCAbasic!K7411="CTUh", "Fill in Manually",IF(OR(K7411="Unit", K7411=""), "", INDEX(LookUps!$E$5:$E$12, MATCH(OpenLCAbasic!K7411,LookUps!$D$5:$D$12,0))))</f>
        <v>Global Warming Potential (GWP) - kg CO2 eq</v>
      </c>
      <c r="M7411" s="154" t="str">
        <f t="shared" si="565"/>
        <v>High_Medium_Base_Upgraded_Global Warming Potential (GWP) - kg CO2 eq_Influent Pump Station; wastewater treatment unit; at updated plant - US_Without Amendment_Windrow</v>
      </c>
    </row>
    <row r="7412" spans="1:13" s="120" customFormat="1" x14ac:dyDescent="0.25">
      <c r="A7412" s="119"/>
      <c r="B7412" s="138" t="str">
        <f t="shared" si="568"/>
        <v>Windrow</v>
      </c>
      <c r="C7412" s="138" t="str">
        <f t="shared" si="566"/>
        <v>Without Amendment</v>
      </c>
      <c r="D7412" s="138" t="str">
        <f t="shared" si="570"/>
        <v>Medium_Base</v>
      </c>
      <c r="E7412" s="138" t="str">
        <f t="shared" si="567"/>
        <v>High</v>
      </c>
      <c r="F7412" s="138" t="str">
        <f t="shared" si="569"/>
        <v>Upgraded</v>
      </c>
      <c r="G7412" s="153"/>
      <c r="H7412" s="210">
        <v>2.5600000000000001E-2</v>
      </c>
      <c r="I7412" s="160" t="s">
        <v>53</v>
      </c>
      <c r="J7412" s="160">
        <v>3.3259999999999998E-2</v>
      </c>
      <c r="K7412" s="160" t="s">
        <v>23</v>
      </c>
      <c r="L7412" s="154" t="str">
        <f>IF(OpenLCAbasic!K7412="CTUh", "Fill in Manually",IF(OR(K7412="Unit", K7412=""), "", INDEX(LookUps!$E$5:$E$12, MATCH(OpenLCAbasic!K7412,LookUps!$D$5:$D$12,0))))</f>
        <v>Global Warming Potential (GWP) - kg CO2 eq</v>
      </c>
      <c r="M7412" s="154" t="str">
        <f t="shared" si="565"/>
        <v>High_Medium_Base_Upgraded_Global Warming Potential (GWP) - kg CO2 eq_Wet Well and Sump Station; wastewater treatment unit; at updated plant - US_Without Amendment_Windrow</v>
      </c>
    </row>
    <row r="7413" spans="1:13" s="120" customFormat="1" x14ac:dyDescent="0.25">
      <c r="A7413" s="119"/>
      <c r="B7413" s="138" t="str">
        <f t="shared" si="568"/>
        <v>Windrow</v>
      </c>
      <c r="C7413" s="138" t="str">
        <f t="shared" si="566"/>
        <v>Without Amendment</v>
      </c>
      <c r="D7413" s="138" t="str">
        <f t="shared" si="570"/>
        <v>Medium_Base</v>
      </c>
      <c r="E7413" s="138" t="str">
        <f t="shared" si="567"/>
        <v>High</v>
      </c>
      <c r="F7413" s="138" t="str">
        <f t="shared" si="569"/>
        <v>Upgraded</v>
      </c>
      <c r="G7413" s="153"/>
      <c r="H7413" s="210">
        <v>1.3599999999999999E-2</v>
      </c>
      <c r="I7413" s="160" t="s">
        <v>60</v>
      </c>
      <c r="J7413" s="160">
        <v>1.7639999999999999E-2</v>
      </c>
      <c r="K7413" s="160" t="s">
        <v>23</v>
      </c>
      <c r="L7413" s="154" t="str">
        <f>IF(OpenLCAbasic!K7413="CTUh", "Fill in Manually",IF(OR(K7413="Unit", K7413=""), "", INDEX(LookUps!$E$5:$E$12, MATCH(OpenLCAbasic!K7413,LookUps!$D$5:$D$12,0))))</f>
        <v>Global Warming Potential (GWP) - kg CO2 eq</v>
      </c>
      <c r="M7413" s="154" t="str">
        <f t="shared" si="565"/>
        <v>High_Medium_Base_Upgraded_Global Warming Potential (GWP) - kg CO2 eq_Belt filter press; wastewater treatment unit; at updated plant - US_Without Amendment_Windrow</v>
      </c>
    </row>
    <row r="7414" spans="1:13" s="120" customFormat="1" x14ac:dyDescent="0.25">
      <c r="A7414" s="119"/>
      <c r="B7414" s="138" t="str">
        <f t="shared" si="568"/>
        <v>Windrow</v>
      </c>
      <c r="C7414" s="138" t="str">
        <f t="shared" si="566"/>
        <v>Without Amendment</v>
      </c>
      <c r="D7414" s="138" t="str">
        <f t="shared" si="570"/>
        <v>Medium_Base</v>
      </c>
      <c r="E7414" s="138" t="str">
        <f t="shared" si="567"/>
        <v>High</v>
      </c>
      <c r="F7414" s="138" t="str">
        <f t="shared" si="569"/>
        <v>Upgraded</v>
      </c>
      <c r="G7414" s="153"/>
      <c r="H7414" s="210">
        <v>1.12E-2</v>
      </c>
      <c r="I7414" s="160" t="s">
        <v>57</v>
      </c>
      <c r="J7414" s="160">
        <v>1.455E-2</v>
      </c>
      <c r="K7414" s="160" t="s">
        <v>23</v>
      </c>
      <c r="L7414" s="154" t="str">
        <f>IF(OpenLCAbasic!K7414="CTUh", "Fill in Manually",IF(OR(K7414="Unit", K7414=""), "", INDEX(LookUps!$E$5:$E$12, MATCH(OpenLCAbasic!K7414,LookUps!$D$5:$D$12,0))))</f>
        <v>Global Warming Potential (GWP) - kg CO2 eq</v>
      </c>
      <c r="M7414" s="154" t="str">
        <f t="shared" si="565"/>
        <v>High_Medium_Base_Upgraded_Global Warming Potential (GWP) - kg CO2 eq_Gravity Belt Thickener; wastewater treatment unit; at updated plant - US_Without Amendment_Windrow</v>
      </c>
    </row>
    <row r="7415" spans="1:13" s="120" customFormat="1" x14ac:dyDescent="0.25">
      <c r="A7415" s="119"/>
      <c r="B7415" s="138" t="str">
        <f t="shared" si="568"/>
        <v>Windrow</v>
      </c>
      <c r="C7415" s="138" t="str">
        <f t="shared" si="566"/>
        <v>Without Amendment</v>
      </c>
      <c r="D7415" s="138" t="str">
        <f t="shared" si="570"/>
        <v>Medium_Base</v>
      </c>
      <c r="E7415" s="138" t="str">
        <f t="shared" si="567"/>
        <v>High</v>
      </c>
      <c r="F7415" s="138" t="str">
        <f t="shared" si="569"/>
        <v>Upgraded</v>
      </c>
      <c r="G7415" s="153"/>
      <c r="H7415" s="210">
        <v>1.04E-2</v>
      </c>
      <c r="I7415" s="160" t="s">
        <v>128</v>
      </c>
      <c r="J7415" s="160">
        <v>1.3509999999999999E-2</v>
      </c>
      <c r="K7415" s="160" t="s">
        <v>23</v>
      </c>
      <c r="L7415" s="154" t="str">
        <f>IF(OpenLCAbasic!K7415="CTUh", "Fill in Manually",IF(OR(K7415="Unit", K7415=""), "", INDEX(LookUps!$E$5:$E$12, MATCH(OpenLCAbasic!K7415,LookUps!$D$5:$D$12,0))))</f>
        <v>Global Warming Potential (GWP) - kg CO2 eq</v>
      </c>
      <c r="M7415" s="154" t="str">
        <f t="shared" si="565"/>
        <v>High_Medium_Base_Upgraded_Global Warming Potential (GWP) - kg CO2 eq_Wastewater collection; operation and infrastructure; m3 wastewater_Without Amendment_Windrow</v>
      </c>
    </row>
    <row r="7416" spans="1:13" s="120" customFormat="1" x14ac:dyDescent="0.25">
      <c r="A7416" s="119"/>
      <c r="B7416" s="138" t="str">
        <f t="shared" si="568"/>
        <v>Windrow</v>
      </c>
      <c r="C7416" s="138" t="str">
        <f t="shared" si="566"/>
        <v>Without Amendment</v>
      </c>
      <c r="D7416" s="138" t="str">
        <f t="shared" si="570"/>
        <v>Medium_Base</v>
      </c>
      <c r="E7416" s="138" t="str">
        <f t="shared" si="567"/>
        <v>High</v>
      </c>
      <c r="F7416" s="138" t="str">
        <f t="shared" si="569"/>
        <v>Upgraded</v>
      </c>
      <c r="G7416" s="153"/>
      <c r="H7416" s="210">
        <v>6.4000000000000003E-3</v>
      </c>
      <c r="I7416" s="160" t="s">
        <v>148</v>
      </c>
      <c r="J7416" s="160">
        <v>8.3000000000000001E-3</v>
      </c>
      <c r="K7416" s="160" t="s">
        <v>23</v>
      </c>
      <c r="L7416" s="154" t="str">
        <f>IF(OpenLCAbasic!K7416="CTUh", "Fill in Manually",IF(OR(K7416="Unit", K7416=""), "", INDEX(LookUps!$E$5:$E$12, MATCH(OpenLCAbasic!K7416,LookUps!$D$5:$D$12,0))))</f>
        <v>Global Warming Potential (GWP) - kg CO2 eq</v>
      </c>
      <c r="M7416" s="154" t="str">
        <f t="shared" si="565"/>
        <v>High_Medium_Base_Upgraded_Global Warming Potential (GWP) - kg CO2 eq_Control Building; at upgraded wastewater treatment plant - US_Without Amendment_Windrow</v>
      </c>
    </row>
    <row r="7417" spans="1:13" s="120" customFormat="1" x14ac:dyDescent="0.25">
      <c r="A7417" s="119"/>
      <c r="B7417" s="138" t="str">
        <f t="shared" si="568"/>
        <v>Windrow</v>
      </c>
      <c r="C7417" s="138" t="str">
        <f t="shared" si="566"/>
        <v>Without Amendment</v>
      </c>
      <c r="D7417" s="138" t="str">
        <f t="shared" si="570"/>
        <v>Medium_Base</v>
      </c>
      <c r="E7417" s="138" t="str">
        <f t="shared" si="567"/>
        <v>High</v>
      </c>
      <c r="F7417" s="138" t="str">
        <f t="shared" si="569"/>
        <v>Upgraded</v>
      </c>
      <c r="G7417" s="153"/>
      <c r="H7417" s="210">
        <v>3.8999999999999998E-3</v>
      </c>
      <c r="I7417" s="160" t="s">
        <v>59</v>
      </c>
      <c r="J7417" s="160">
        <v>5.0400000000000002E-3</v>
      </c>
      <c r="K7417" s="160" t="s">
        <v>23</v>
      </c>
      <c r="L7417" s="154" t="str">
        <f>IF(OpenLCAbasic!K7417="CTUh", "Fill in Manually",IF(OR(K7417="Unit", K7417=""), "", INDEX(LookUps!$E$5:$E$12, MATCH(OpenLCAbasic!K7417,LookUps!$D$5:$D$12,0))))</f>
        <v>Global Warming Potential (GWP) - kg CO2 eq</v>
      </c>
      <c r="M7417" s="154" t="str">
        <f t="shared" si="565"/>
        <v>High_Medium_Base_Upgraded_Global Warming Potential (GWP) - kg CO2 eq_Blend Tank; wastewater treatment unit; at updated plant - US_Without Amendment_Windrow</v>
      </c>
    </row>
    <row r="7418" spans="1:13" s="120" customFormat="1" x14ac:dyDescent="0.25">
      <c r="A7418" s="119"/>
      <c r="B7418" s="138" t="str">
        <f t="shared" si="568"/>
        <v>Windrow</v>
      </c>
      <c r="C7418" s="138" t="str">
        <f t="shared" si="566"/>
        <v>Without Amendment</v>
      </c>
      <c r="D7418" s="138" t="str">
        <f t="shared" si="570"/>
        <v>Medium_Base</v>
      </c>
      <c r="E7418" s="138" t="str">
        <f t="shared" si="567"/>
        <v>High</v>
      </c>
      <c r="F7418" s="138" t="str">
        <f t="shared" si="569"/>
        <v>Upgraded</v>
      </c>
      <c r="G7418" s="153"/>
      <c r="H7418" s="210">
        <v>1.9E-3</v>
      </c>
      <c r="I7418" s="160" t="s">
        <v>168</v>
      </c>
      <c r="J7418" s="160">
        <v>2.4099999999999998E-3</v>
      </c>
      <c r="K7418" s="160" t="s">
        <v>23</v>
      </c>
      <c r="L7418" s="154" t="str">
        <f>IF(OpenLCAbasic!K7418="CTUh", "Fill in Manually",IF(OR(K7418="Unit", K7418=""), "", INDEX(LookUps!$E$5:$E$12, MATCH(OpenLCAbasic!K7418,LookUps!$D$5:$D$12,0))))</f>
        <v>Global Warming Potential (GWP) - kg CO2 eq</v>
      </c>
      <c r="M7418" s="154" t="str">
        <f t="shared" si="565"/>
        <v>High_Medium_Base_Upgraded_Global Warming Potential (GWP) - kg CO2 eq_ClearCove SCP; wastewater treatment unit; at updated plant - US_Without Amendment_Windrow</v>
      </c>
    </row>
    <row r="7419" spans="1:13" s="120" customFormat="1" x14ac:dyDescent="0.25">
      <c r="A7419" s="119"/>
      <c r="B7419" s="138" t="str">
        <f t="shared" si="568"/>
        <v>Windrow</v>
      </c>
      <c r="C7419" s="138" t="str">
        <f t="shared" si="566"/>
        <v>Without Amendment</v>
      </c>
      <c r="D7419" s="138" t="str">
        <f t="shared" si="570"/>
        <v>Medium_Base</v>
      </c>
      <c r="E7419" s="138" t="str">
        <f t="shared" si="567"/>
        <v>High</v>
      </c>
      <c r="F7419" s="138" t="str">
        <f t="shared" si="569"/>
        <v>Upgraded</v>
      </c>
      <c r="G7419" s="153"/>
      <c r="H7419" s="210">
        <v>-0.1474</v>
      </c>
      <c r="I7419" s="160" t="s">
        <v>62</v>
      </c>
      <c r="J7419" s="160">
        <v>-0.19139999999999999</v>
      </c>
      <c r="K7419" s="160" t="s">
        <v>23</v>
      </c>
      <c r="L7419" s="154" t="str">
        <f>IF(OpenLCAbasic!K7419="CTUh", "Fill in Manually",IF(OR(K7419="Unit", K7419=""), "", INDEX(LookUps!$E$5:$E$12, MATCH(OpenLCAbasic!K7419,LookUps!$D$5:$D$12,0))))</f>
        <v>Global Warming Potential (GWP) - kg CO2 eq</v>
      </c>
      <c r="M7419" s="154" t="str">
        <f t="shared" ref="M7419:M7482" si="571">CONCATENATE(E7419,"_",D7419,"_",F7419,"_",L7419, "_",I7419,"_", C7419,"_", B7419)</f>
        <v>High_Medium_Base_Upgraded_Global Warming Potential (GWP) - kg CO2 eq_Land application of compost; wastewater treatment unit; at updated plant - US_Without Amendment_Windrow</v>
      </c>
    </row>
    <row r="7420" spans="1:13" s="120" customFormat="1" x14ac:dyDescent="0.25">
      <c r="A7420" s="119"/>
      <c r="B7420" s="138" t="str">
        <f t="shared" si="568"/>
        <v>Windrow</v>
      </c>
      <c r="C7420" s="138" t="str">
        <f t="shared" si="566"/>
        <v>Without Amendment</v>
      </c>
      <c r="D7420" s="138" t="str">
        <f t="shared" si="570"/>
        <v>Medium_Base</v>
      </c>
      <c r="E7420" s="138" t="str">
        <f t="shared" si="567"/>
        <v>High</v>
      </c>
      <c r="F7420" s="138" t="str">
        <f t="shared" si="569"/>
        <v>Upgraded</v>
      </c>
      <c r="G7420" s="153"/>
      <c r="H7420" s="210">
        <v>-0.28489999999999999</v>
      </c>
      <c r="I7420" s="160" t="s">
        <v>149</v>
      </c>
      <c r="J7420" s="160">
        <v>-0.36997999999999998</v>
      </c>
      <c r="K7420" s="160" t="s">
        <v>23</v>
      </c>
      <c r="L7420" s="154" t="str">
        <f>IF(OpenLCAbasic!K7420="CTUh", "Fill in Manually",IF(OR(K7420="Unit", K7420=""), "", INDEX(LookUps!$E$5:$E$12, MATCH(OpenLCAbasic!K7420,LookUps!$D$5:$D$12,0))))</f>
        <v>Global Warming Potential (GWP) - kg CO2 eq</v>
      </c>
      <c r="M7420" s="154" t="str">
        <f t="shared" si="571"/>
        <v>High_Medium_Base_Upgraded_Global Warming Potential (GWP) - kg CO2 eq_Anaerobic Digestion; wastewater treatment unit; at updated plant - US_Without Amendment_Windrow</v>
      </c>
    </row>
    <row r="7421" spans="1:13" s="120" customFormat="1" x14ac:dyDescent="0.25">
      <c r="A7421" s="119"/>
      <c r="B7421" s="138" t="str">
        <f t="shared" si="568"/>
        <v/>
      </c>
      <c r="C7421" s="138" t="str">
        <f t="shared" si="566"/>
        <v/>
      </c>
      <c r="D7421" s="138" t="str">
        <f t="shared" si="570"/>
        <v/>
      </c>
      <c r="E7421" s="138" t="str">
        <f t="shared" si="567"/>
        <v/>
      </c>
      <c r="F7421" s="138" t="str">
        <f t="shared" si="569"/>
        <v/>
      </c>
      <c r="G7421" s="153" t="s">
        <v>51</v>
      </c>
      <c r="H7421" s="160"/>
      <c r="I7421" s="160" t="s">
        <v>47</v>
      </c>
      <c r="J7421" s="160" t="s">
        <v>52</v>
      </c>
      <c r="K7421" s="160" t="s">
        <v>27</v>
      </c>
      <c r="L7421" s="154" t="str">
        <f>IF(OpenLCAbasic!K7421="CTUh", "Fill in Manually",IF(OR(K7421="Unit", K7421=""), "", INDEX(LookUps!$E$5:$E$12, MATCH(OpenLCAbasic!K7421,LookUps!$D$5:$D$12,0))))</f>
        <v/>
      </c>
      <c r="M7421" s="154" t="str">
        <f t="shared" si="571"/>
        <v>____Process__</v>
      </c>
    </row>
    <row r="7422" spans="1:13" s="120" customFormat="1" x14ac:dyDescent="0.25">
      <c r="A7422" s="119"/>
      <c r="B7422" s="138" t="str">
        <f t="shared" si="568"/>
        <v>Windrow</v>
      </c>
      <c r="C7422" s="138" t="str">
        <f t="shared" si="566"/>
        <v>Without Amendment</v>
      </c>
      <c r="D7422" s="138" t="str">
        <f t="shared" si="570"/>
        <v>Medium_Base</v>
      </c>
      <c r="E7422" s="138" t="str">
        <f t="shared" si="567"/>
        <v>High</v>
      </c>
      <c r="F7422" s="138" t="str">
        <f t="shared" si="569"/>
        <v>Upgraded</v>
      </c>
      <c r="G7422" s="153"/>
      <c r="H7422" s="210">
        <v>0.78949999999999998</v>
      </c>
      <c r="I7422" s="160" t="s">
        <v>55</v>
      </c>
      <c r="J7422" s="160">
        <v>2.33E-3</v>
      </c>
      <c r="K7422" s="160" t="s">
        <v>145</v>
      </c>
      <c r="L7422" s="154" t="str">
        <f>IF(OpenLCAbasic!K7422="CTUh", "Fill in Manually",IF(OR(K7422="Unit", K7422=""), "", INDEX(LookUps!$E$5:$E$12, MATCH(OpenLCAbasic!K7422,LookUps!$D$5:$D$12,0))))</f>
        <v>Particulate Matter Formation Potential (PMFP) - kg PM2.5 eq</v>
      </c>
      <c r="M7422" s="154" t="str">
        <f t="shared" si="571"/>
        <v>High_Medium_Base_Upgraded_Particulate Matter Formation Potential (PMFP) - kg PM2.5 eq_Aeration Tanks; wastewater treatment unit; at updated plant - US_Without Amendment_Windrow</v>
      </c>
    </row>
    <row r="7423" spans="1:13" s="120" customFormat="1" x14ac:dyDescent="0.25">
      <c r="A7423" s="119"/>
      <c r="B7423" s="138" t="str">
        <f t="shared" si="568"/>
        <v>Windrow</v>
      </c>
      <c r="C7423" s="138" t="str">
        <f t="shared" si="566"/>
        <v>Without Amendment</v>
      </c>
      <c r="D7423" s="138" t="str">
        <f t="shared" si="570"/>
        <v>Medium_Base</v>
      </c>
      <c r="E7423" s="138" t="str">
        <f t="shared" si="567"/>
        <v>High</v>
      </c>
      <c r="F7423" s="138" t="str">
        <f t="shared" si="569"/>
        <v>Upgraded</v>
      </c>
      <c r="G7423" s="153"/>
      <c r="H7423" s="210">
        <v>0.22969999999999999</v>
      </c>
      <c r="I7423" s="160" t="s">
        <v>54</v>
      </c>
      <c r="J7423" s="160">
        <v>6.8000000000000005E-4</v>
      </c>
      <c r="K7423" s="160" t="s">
        <v>145</v>
      </c>
      <c r="L7423" s="154" t="str">
        <f>IF(OpenLCAbasic!K7423="CTUh", "Fill in Manually",IF(OR(K7423="Unit", K7423=""), "", INDEX(LookUps!$E$5:$E$12, MATCH(OpenLCAbasic!K7423,LookUps!$D$5:$D$12,0))))</f>
        <v>Particulate Matter Formation Potential (PMFP) - kg PM2.5 eq</v>
      </c>
      <c r="M7423" s="154" t="str">
        <f t="shared" si="571"/>
        <v>High_Medium_Base_Upgraded_Particulate Matter Formation Potential (PMFP) - kg PM2.5 eq_Clear Cove Primary Clarification; wastewater treatment unit; at updated plant - US_Without Amendment_Windrow</v>
      </c>
    </row>
    <row r="7424" spans="1:13" s="120" customFormat="1" x14ac:dyDescent="0.25">
      <c r="A7424" s="119"/>
      <c r="B7424" s="138" t="str">
        <f t="shared" si="568"/>
        <v>Windrow</v>
      </c>
      <c r="C7424" s="138" t="str">
        <f t="shared" si="566"/>
        <v>Without Amendment</v>
      </c>
      <c r="D7424" s="138" t="str">
        <f t="shared" si="570"/>
        <v>Medium_Base</v>
      </c>
      <c r="E7424" s="138" t="str">
        <f t="shared" si="567"/>
        <v>High</v>
      </c>
      <c r="F7424" s="138" t="str">
        <f t="shared" si="569"/>
        <v>Upgraded</v>
      </c>
      <c r="G7424" s="153"/>
      <c r="H7424" s="210">
        <v>0.1991</v>
      </c>
      <c r="I7424" s="160" t="s">
        <v>58</v>
      </c>
      <c r="J7424" s="160">
        <v>5.9000000000000003E-4</v>
      </c>
      <c r="K7424" s="160" t="s">
        <v>145</v>
      </c>
      <c r="L7424" s="154" t="str">
        <f>IF(OpenLCAbasic!K7424="CTUh", "Fill in Manually",IF(OR(K7424="Unit", K7424=""), "", INDEX(LookUps!$E$5:$E$12, MATCH(OpenLCAbasic!K7424,LookUps!$D$5:$D$12,0))))</f>
        <v>Particulate Matter Formation Potential (PMFP) - kg PM2.5 eq</v>
      </c>
      <c r="M7424" s="154" t="str">
        <f t="shared" si="571"/>
        <v>High_Medium_Base_Upgraded_Particulate Matter Formation Potential (PMFP) - kg PM2.5 eq_Pre-Anoxic &amp; Swing tank; wastewater treatment unit; at updated plant - US_Without Amendment_Windrow</v>
      </c>
    </row>
    <row r="7425" spans="1:13" s="120" customFormat="1" x14ac:dyDescent="0.25">
      <c r="A7425" s="119"/>
      <c r="B7425" s="138" t="str">
        <f t="shared" si="568"/>
        <v>Windrow</v>
      </c>
      <c r="C7425" s="138" t="str">
        <f t="shared" ref="C7425:C7488" si="572">IF(ISNUMBER($J7425),"Without Amendment","")</f>
        <v>Without Amendment</v>
      </c>
      <c r="D7425" s="138" t="str">
        <f t="shared" si="570"/>
        <v>Medium_Base</v>
      </c>
      <c r="E7425" s="138" t="str">
        <f t="shared" si="567"/>
        <v>High</v>
      </c>
      <c r="F7425" s="138" t="str">
        <f t="shared" si="569"/>
        <v>Upgraded</v>
      </c>
      <c r="G7425" s="153"/>
      <c r="H7425" s="210">
        <v>0.1578</v>
      </c>
      <c r="I7425" s="160" t="s">
        <v>53</v>
      </c>
      <c r="J7425" s="160">
        <v>4.6999999999999999E-4</v>
      </c>
      <c r="K7425" s="160" t="s">
        <v>145</v>
      </c>
      <c r="L7425" s="154" t="str">
        <f>IF(OpenLCAbasic!K7425="CTUh", "Fill in Manually",IF(OR(K7425="Unit", K7425=""), "", INDEX(LookUps!$E$5:$E$12, MATCH(OpenLCAbasic!K7425,LookUps!$D$5:$D$12,0))))</f>
        <v>Particulate Matter Formation Potential (PMFP) - kg PM2.5 eq</v>
      </c>
      <c r="M7425" s="154" t="str">
        <f t="shared" si="571"/>
        <v>High_Medium_Base_Upgraded_Particulate Matter Formation Potential (PMFP) - kg PM2.5 eq_Wet Well and Sump Station; wastewater treatment unit; at updated plant - US_Without Amendment_Windrow</v>
      </c>
    </row>
    <row r="7426" spans="1:13" s="120" customFormat="1" x14ac:dyDescent="0.25">
      <c r="A7426" s="119"/>
      <c r="B7426" s="138" t="str">
        <f t="shared" si="568"/>
        <v>Windrow</v>
      </c>
      <c r="C7426" s="138" t="str">
        <f t="shared" si="572"/>
        <v>Without Amendment</v>
      </c>
      <c r="D7426" s="138" t="str">
        <f t="shared" si="570"/>
        <v>Medium_Base</v>
      </c>
      <c r="E7426" s="138" t="str">
        <f t="shared" si="567"/>
        <v>High</v>
      </c>
      <c r="F7426" s="138" t="str">
        <f t="shared" si="569"/>
        <v>Upgraded</v>
      </c>
      <c r="G7426" s="153"/>
      <c r="H7426" s="210">
        <v>0.11700000000000001</v>
      </c>
      <c r="I7426" s="160" t="s">
        <v>271</v>
      </c>
      <c r="J7426" s="160">
        <v>3.5E-4</v>
      </c>
      <c r="K7426" s="160" t="s">
        <v>145</v>
      </c>
      <c r="L7426" s="154" t="str">
        <f>IF(OpenLCAbasic!K7426="CTUh", "Fill in Manually",IF(OR(K7426="Unit", K7426=""), "", INDEX(LookUps!$E$5:$E$12, MATCH(OpenLCAbasic!K7426,LookUps!$D$5:$D$12,0))))</f>
        <v>Particulate Matter Formation Potential (PMFP) - kg PM2.5 eq</v>
      </c>
      <c r="M7426" s="154" t="str">
        <f t="shared" si="571"/>
        <v>High_Medium_Base_Upgraded_Particulate Matter Formation Potential (PMFP) - kg PM2.5 eq_Biosolids composting; windrow composting; wastewater treatment unit; at updated plant - US_Without Amendment_Windrow</v>
      </c>
    </row>
    <row r="7427" spans="1:13" s="120" customFormat="1" x14ac:dyDescent="0.25">
      <c r="A7427" s="119"/>
      <c r="B7427" s="138" t="str">
        <f t="shared" si="568"/>
        <v>Windrow</v>
      </c>
      <c r="C7427" s="138" t="str">
        <f t="shared" si="572"/>
        <v>Without Amendment</v>
      </c>
      <c r="D7427" s="138" t="str">
        <f t="shared" si="570"/>
        <v>Medium_Base</v>
      </c>
      <c r="E7427" s="138" t="str">
        <f t="shared" si="567"/>
        <v>High</v>
      </c>
      <c r="F7427" s="138" t="str">
        <f t="shared" si="569"/>
        <v>Upgraded</v>
      </c>
      <c r="G7427" s="153"/>
      <c r="H7427" s="210">
        <v>0.10639999999999999</v>
      </c>
      <c r="I7427" s="160" t="s">
        <v>167</v>
      </c>
      <c r="J7427" s="160">
        <v>3.1E-4</v>
      </c>
      <c r="K7427" s="160" t="s">
        <v>145</v>
      </c>
      <c r="L7427" s="154" t="str">
        <f>IF(OpenLCAbasic!K7427="CTUh", "Fill in Manually",IF(OR(K7427="Unit", K7427=""), "", INDEX(LookUps!$E$5:$E$12, MATCH(OpenLCAbasic!K7427,LookUps!$D$5:$D$12,0))))</f>
        <v>Particulate Matter Formation Potential (PMFP) - kg PM2.5 eq</v>
      </c>
      <c r="M7427" s="154" t="str">
        <f t="shared" si="571"/>
        <v>High_Medium_Base_Upgraded_Particulate Matter Formation Potential (PMFP) - kg PM2.5 eq_Waste Receiving and Holding; wastewater treatment unit; at updated plant - US_Without Amendment_Windrow</v>
      </c>
    </row>
    <row r="7428" spans="1:13" s="120" customFormat="1" x14ac:dyDescent="0.25">
      <c r="A7428" s="119"/>
      <c r="B7428" s="138" t="str">
        <f t="shared" si="568"/>
        <v>Windrow</v>
      </c>
      <c r="C7428" s="138" t="str">
        <f t="shared" si="572"/>
        <v>Without Amendment</v>
      </c>
      <c r="D7428" s="138" t="str">
        <f t="shared" si="570"/>
        <v>Medium_Base</v>
      </c>
      <c r="E7428" s="138" t="str">
        <f t="shared" si="567"/>
        <v>High</v>
      </c>
      <c r="F7428" s="138" t="str">
        <f t="shared" si="569"/>
        <v>Upgraded</v>
      </c>
      <c r="G7428" s="153"/>
      <c r="H7428" s="210">
        <v>9.0200000000000002E-2</v>
      </c>
      <c r="I7428" s="160" t="s">
        <v>147</v>
      </c>
      <c r="J7428" s="160">
        <v>2.7E-4</v>
      </c>
      <c r="K7428" s="160" t="s">
        <v>145</v>
      </c>
      <c r="L7428" s="154" t="str">
        <f>IF(OpenLCAbasic!K7428="CTUh", "Fill in Manually",IF(OR(K7428="Unit", K7428=""), "", INDEX(LookUps!$E$5:$E$12, MATCH(OpenLCAbasic!K7428,LookUps!$D$5:$D$12,0))))</f>
        <v>Particulate Matter Formation Potential (PMFP) - kg PM2.5 eq</v>
      </c>
      <c r="M7428" s="154" t="str">
        <f t="shared" si="571"/>
        <v>High_Medium_Base_Upgraded_Particulate Matter Formation Potential (PMFP) - kg PM2.5 eq_Influent Pump Station; wastewater treatment unit; at updated plant - US_Without Amendment_Windrow</v>
      </c>
    </row>
    <row r="7429" spans="1:13" s="120" customFormat="1" x14ac:dyDescent="0.25">
      <c r="A7429" s="119"/>
      <c r="B7429" s="138" t="str">
        <f t="shared" si="568"/>
        <v>Windrow</v>
      </c>
      <c r="C7429" s="138" t="str">
        <f t="shared" si="572"/>
        <v>Without Amendment</v>
      </c>
      <c r="D7429" s="138" t="str">
        <f t="shared" si="570"/>
        <v>Medium_Base</v>
      </c>
      <c r="E7429" s="138" t="str">
        <f t="shared" si="567"/>
        <v>High</v>
      </c>
      <c r="F7429" s="138" t="str">
        <f t="shared" si="569"/>
        <v>Upgraded</v>
      </c>
      <c r="G7429" s="153"/>
      <c r="H7429" s="210">
        <v>5.6300000000000003E-2</v>
      </c>
      <c r="I7429" s="160" t="s">
        <v>128</v>
      </c>
      <c r="J7429" s="160">
        <v>1.7000000000000001E-4</v>
      </c>
      <c r="K7429" s="160" t="s">
        <v>145</v>
      </c>
      <c r="L7429" s="154" t="str">
        <f>IF(OpenLCAbasic!K7429="CTUh", "Fill in Manually",IF(OR(K7429="Unit", K7429=""), "", INDEX(LookUps!$E$5:$E$12, MATCH(OpenLCAbasic!K7429,LookUps!$D$5:$D$12,0))))</f>
        <v>Particulate Matter Formation Potential (PMFP) - kg PM2.5 eq</v>
      </c>
      <c r="M7429" s="154" t="str">
        <f t="shared" si="571"/>
        <v>High_Medium_Base_Upgraded_Particulate Matter Formation Potential (PMFP) - kg PM2.5 eq_Wastewater collection; operation and infrastructure; m3 wastewater_Without Amendment_Windrow</v>
      </c>
    </row>
    <row r="7430" spans="1:13" s="120" customFormat="1" x14ac:dyDescent="0.25">
      <c r="A7430" s="119"/>
      <c r="B7430" s="138" t="str">
        <f t="shared" si="568"/>
        <v>Windrow</v>
      </c>
      <c r="C7430" s="138" t="str">
        <f t="shared" si="572"/>
        <v>Without Amendment</v>
      </c>
      <c r="D7430" s="138" t="str">
        <f t="shared" si="570"/>
        <v>Medium_Base</v>
      </c>
      <c r="E7430" s="138" t="str">
        <f t="shared" si="567"/>
        <v>High</v>
      </c>
      <c r="F7430" s="138" t="str">
        <f t="shared" si="569"/>
        <v>Upgraded</v>
      </c>
      <c r="G7430" s="153"/>
      <c r="H7430" s="210">
        <v>4.8800000000000003E-2</v>
      </c>
      <c r="I7430" s="160" t="s">
        <v>60</v>
      </c>
      <c r="J7430" s="160">
        <v>1.3999999999999999E-4</v>
      </c>
      <c r="K7430" s="160" t="s">
        <v>145</v>
      </c>
      <c r="L7430" s="154" t="str">
        <f>IF(OpenLCAbasic!K7430="CTUh", "Fill in Manually",IF(OR(K7430="Unit", K7430=""), "", INDEX(LookUps!$E$5:$E$12, MATCH(OpenLCAbasic!K7430,LookUps!$D$5:$D$12,0))))</f>
        <v>Particulate Matter Formation Potential (PMFP) - kg PM2.5 eq</v>
      </c>
      <c r="M7430" s="154" t="str">
        <f t="shared" si="571"/>
        <v>High_Medium_Base_Upgraded_Particulate Matter Formation Potential (PMFP) - kg PM2.5 eq_Belt filter press; wastewater treatment unit; at updated plant - US_Without Amendment_Windrow</v>
      </c>
    </row>
    <row r="7431" spans="1:13" s="120" customFormat="1" x14ac:dyDescent="0.25">
      <c r="A7431" s="119"/>
      <c r="B7431" s="138" t="str">
        <f t="shared" si="568"/>
        <v>Windrow</v>
      </c>
      <c r="C7431" s="138" t="str">
        <f t="shared" si="572"/>
        <v>Without Amendment</v>
      </c>
      <c r="D7431" s="138" t="str">
        <f t="shared" si="570"/>
        <v>Medium_Base</v>
      </c>
      <c r="E7431" s="138" t="str">
        <f t="shared" si="567"/>
        <v>High</v>
      </c>
      <c r="F7431" s="138" t="str">
        <f t="shared" si="569"/>
        <v>Upgraded</v>
      </c>
      <c r="G7431" s="153"/>
      <c r="H7431" s="210">
        <v>3.2199999999999999E-2</v>
      </c>
      <c r="I7431" s="160" t="s">
        <v>57</v>
      </c>
      <c r="J7431" s="211">
        <v>9.5153800000000004E-5</v>
      </c>
      <c r="K7431" s="160" t="s">
        <v>145</v>
      </c>
      <c r="L7431" s="154" t="str">
        <f>IF(OpenLCAbasic!K7431="CTUh", "Fill in Manually",IF(OR(K7431="Unit", K7431=""), "", INDEX(LookUps!$E$5:$E$12, MATCH(OpenLCAbasic!K7431,LookUps!$D$5:$D$12,0))))</f>
        <v>Particulate Matter Formation Potential (PMFP) - kg PM2.5 eq</v>
      </c>
      <c r="M7431" s="154" t="str">
        <f t="shared" si="571"/>
        <v>High_Medium_Base_Upgraded_Particulate Matter Formation Potential (PMFP) - kg PM2.5 eq_Gravity Belt Thickener; wastewater treatment unit; at updated plant - US_Without Amendment_Windrow</v>
      </c>
    </row>
    <row r="7432" spans="1:13" s="120" customFormat="1" x14ac:dyDescent="0.25">
      <c r="A7432" s="119"/>
      <c r="B7432" s="138" t="str">
        <f t="shared" si="568"/>
        <v>Windrow</v>
      </c>
      <c r="C7432" s="138" t="str">
        <f t="shared" si="572"/>
        <v>Without Amendment</v>
      </c>
      <c r="D7432" s="138" t="str">
        <f t="shared" si="570"/>
        <v>Medium_Base</v>
      </c>
      <c r="E7432" s="138" t="str">
        <f t="shared" si="567"/>
        <v>High</v>
      </c>
      <c r="F7432" s="138" t="str">
        <f t="shared" si="569"/>
        <v>Upgraded</v>
      </c>
      <c r="G7432" s="153"/>
      <c r="H7432" s="210">
        <v>2.3699999999999999E-2</v>
      </c>
      <c r="I7432" s="160" t="s">
        <v>59</v>
      </c>
      <c r="J7432" s="211">
        <v>6.9942200000000003E-5</v>
      </c>
      <c r="K7432" s="160" t="s">
        <v>145</v>
      </c>
      <c r="L7432" s="154" t="str">
        <f>IF(OpenLCAbasic!K7432="CTUh", "Fill in Manually",IF(OR(K7432="Unit", K7432=""), "", INDEX(LookUps!$E$5:$E$12, MATCH(OpenLCAbasic!K7432,LookUps!$D$5:$D$12,0))))</f>
        <v>Particulate Matter Formation Potential (PMFP) - kg PM2.5 eq</v>
      </c>
      <c r="M7432" s="154" t="str">
        <f t="shared" si="571"/>
        <v>High_Medium_Base_Upgraded_Particulate Matter Formation Potential (PMFP) - kg PM2.5 eq_Blend Tank; wastewater treatment unit; at updated plant - US_Without Amendment_Windrow</v>
      </c>
    </row>
    <row r="7433" spans="1:13" s="120" customFormat="1" x14ac:dyDescent="0.25">
      <c r="A7433" s="119"/>
      <c r="B7433" s="138" t="str">
        <f t="shared" si="568"/>
        <v>Windrow</v>
      </c>
      <c r="C7433" s="138" t="str">
        <f t="shared" si="572"/>
        <v>Without Amendment</v>
      </c>
      <c r="D7433" s="138" t="str">
        <f t="shared" si="570"/>
        <v>Medium_Base</v>
      </c>
      <c r="E7433" s="138" t="str">
        <f t="shared" ref="E7433:E7496" si="573">IF(ISNUMBER($J7433),"High","")</f>
        <v>High</v>
      </c>
      <c r="F7433" s="138" t="str">
        <f t="shared" si="569"/>
        <v>Upgraded</v>
      </c>
      <c r="G7433" s="153"/>
      <c r="H7433" s="210">
        <v>1.6899999999999998E-2</v>
      </c>
      <c r="I7433" s="160" t="s">
        <v>48</v>
      </c>
      <c r="J7433" s="211">
        <v>4.99741E-5</v>
      </c>
      <c r="K7433" s="160" t="s">
        <v>145</v>
      </c>
      <c r="L7433" s="154" t="str">
        <f>IF(OpenLCAbasic!K7433="CTUh", "Fill in Manually",IF(OR(K7433="Unit", K7433=""), "", INDEX(LookUps!$E$5:$E$12, MATCH(OpenLCAbasic!K7433,LookUps!$D$5:$D$12,0))))</f>
        <v>Particulate Matter Formation Potential (PMFP) - kg PM2.5 eq</v>
      </c>
      <c r="M7433" s="154" t="str">
        <f t="shared" si="571"/>
        <v>High_Medium_Base_Upgraded_Particulate Matter Formation Potential (PMFP) - kg PM2.5 eq_Effluent release; wastewater treatment unit; at surface water; m3 wastewater - US_Without Amendment_Windrow</v>
      </c>
    </row>
    <row r="7434" spans="1:13" s="120" customFormat="1" x14ac:dyDescent="0.25">
      <c r="A7434" s="119"/>
      <c r="B7434" s="138" t="str">
        <f t="shared" si="568"/>
        <v>Windrow</v>
      </c>
      <c r="C7434" s="138" t="str">
        <f t="shared" si="572"/>
        <v>Without Amendment</v>
      </c>
      <c r="D7434" s="138" t="str">
        <f t="shared" si="570"/>
        <v>Medium_Base</v>
      </c>
      <c r="E7434" s="138" t="str">
        <f t="shared" si="573"/>
        <v>High</v>
      </c>
      <c r="F7434" s="138" t="str">
        <f t="shared" si="569"/>
        <v>Upgraded</v>
      </c>
      <c r="G7434" s="153"/>
      <c r="H7434" s="210">
        <v>1.17E-2</v>
      </c>
      <c r="I7434" s="160" t="s">
        <v>168</v>
      </c>
      <c r="J7434" s="211">
        <v>3.4562199999999999E-5</v>
      </c>
      <c r="K7434" s="160" t="s">
        <v>145</v>
      </c>
      <c r="L7434" s="154" t="str">
        <f>IF(OpenLCAbasic!K7434="CTUh", "Fill in Manually",IF(OR(K7434="Unit", K7434=""), "", INDEX(LookUps!$E$5:$E$12, MATCH(OpenLCAbasic!K7434,LookUps!$D$5:$D$12,0))))</f>
        <v>Particulate Matter Formation Potential (PMFP) - kg PM2.5 eq</v>
      </c>
      <c r="M7434" s="154" t="str">
        <f t="shared" si="571"/>
        <v>High_Medium_Base_Upgraded_Particulate Matter Formation Potential (PMFP) - kg PM2.5 eq_ClearCove SCP; wastewater treatment unit; at updated plant - US_Without Amendment_Windrow</v>
      </c>
    </row>
    <row r="7435" spans="1:13" s="120" customFormat="1" x14ac:dyDescent="0.25">
      <c r="A7435" s="119"/>
      <c r="B7435" s="138" t="str">
        <f t="shared" si="568"/>
        <v>Windrow</v>
      </c>
      <c r="C7435" s="138" t="str">
        <f t="shared" si="572"/>
        <v>Without Amendment</v>
      </c>
      <c r="D7435" s="138" t="str">
        <f t="shared" si="570"/>
        <v>Medium_Base</v>
      </c>
      <c r="E7435" s="138" t="str">
        <f t="shared" si="573"/>
        <v>High</v>
      </c>
      <c r="F7435" s="138" t="str">
        <f t="shared" si="569"/>
        <v>Upgraded</v>
      </c>
      <c r="G7435" s="153"/>
      <c r="H7435" s="210">
        <v>1.0999999999999999E-2</v>
      </c>
      <c r="I7435" s="160" t="s">
        <v>62</v>
      </c>
      <c r="J7435" s="211">
        <v>3.2500099999999997E-5</v>
      </c>
      <c r="K7435" s="160" t="s">
        <v>145</v>
      </c>
      <c r="L7435" s="154" t="str">
        <f>IF(OpenLCAbasic!K7435="CTUh", "Fill in Manually",IF(OR(K7435="Unit", K7435=""), "", INDEX(LookUps!$E$5:$E$12, MATCH(OpenLCAbasic!K7435,LookUps!$D$5:$D$12,0))))</f>
        <v>Particulate Matter Formation Potential (PMFP) - kg PM2.5 eq</v>
      </c>
      <c r="M7435" s="154" t="str">
        <f t="shared" si="571"/>
        <v>High_Medium_Base_Upgraded_Particulate Matter Formation Potential (PMFP) - kg PM2.5 eq_Land application of compost; wastewater treatment unit; at updated plant - US_Without Amendment_Windrow</v>
      </c>
    </row>
    <row r="7436" spans="1:13" s="120" customFormat="1" x14ac:dyDescent="0.25">
      <c r="A7436" s="119"/>
      <c r="B7436" s="138" t="str">
        <f t="shared" si="568"/>
        <v>Windrow</v>
      </c>
      <c r="C7436" s="138" t="str">
        <f t="shared" si="572"/>
        <v>Without Amendment</v>
      </c>
      <c r="D7436" s="138" t="str">
        <f t="shared" si="570"/>
        <v>Medium_Base</v>
      </c>
      <c r="E7436" s="138" t="str">
        <f t="shared" si="573"/>
        <v>High</v>
      </c>
      <c r="F7436" s="138" t="str">
        <f t="shared" si="569"/>
        <v>Upgraded</v>
      </c>
      <c r="G7436" s="153"/>
      <c r="H7436" s="210">
        <v>3.0000000000000001E-3</v>
      </c>
      <c r="I7436" s="160" t="s">
        <v>148</v>
      </c>
      <c r="J7436" s="211">
        <v>8.8212999999999997E-6</v>
      </c>
      <c r="K7436" s="160" t="s">
        <v>145</v>
      </c>
      <c r="L7436" s="154" t="str">
        <f>IF(OpenLCAbasic!K7436="CTUh", "Fill in Manually",IF(OR(K7436="Unit", K7436=""), "", INDEX(LookUps!$E$5:$E$12, MATCH(OpenLCAbasic!K7436,LookUps!$D$5:$D$12,0))))</f>
        <v>Particulate Matter Formation Potential (PMFP) - kg PM2.5 eq</v>
      </c>
      <c r="M7436" s="154" t="str">
        <f t="shared" si="571"/>
        <v>High_Medium_Base_Upgraded_Particulate Matter Formation Potential (PMFP) - kg PM2.5 eq_Control Building; at upgraded wastewater treatment plant - US_Without Amendment_Windrow</v>
      </c>
    </row>
    <row r="7437" spans="1:13" s="120" customFormat="1" x14ac:dyDescent="0.25">
      <c r="A7437" s="119"/>
      <c r="B7437" s="138" t="str">
        <f t="shared" si="568"/>
        <v>Windrow</v>
      </c>
      <c r="C7437" s="138" t="str">
        <f t="shared" si="572"/>
        <v>Without Amendment</v>
      </c>
      <c r="D7437" s="138" t="str">
        <f t="shared" si="570"/>
        <v>Medium_Base</v>
      </c>
      <c r="E7437" s="138" t="str">
        <f t="shared" si="573"/>
        <v>High</v>
      </c>
      <c r="F7437" s="138" t="str">
        <f t="shared" si="569"/>
        <v>Upgraded</v>
      </c>
      <c r="G7437" s="153"/>
      <c r="H7437" s="210">
        <v>-0.89329999999999998</v>
      </c>
      <c r="I7437" s="160" t="s">
        <v>149</v>
      </c>
      <c r="J7437" s="160">
        <v>-2.64E-3</v>
      </c>
      <c r="K7437" s="160" t="s">
        <v>145</v>
      </c>
      <c r="L7437" s="154" t="str">
        <f>IF(OpenLCAbasic!K7437="CTUh", "Fill in Manually",IF(OR(K7437="Unit", K7437=""), "", INDEX(LookUps!$E$5:$E$12, MATCH(OpenLCAbasic!K7437,LookUps!$D$5:$D$12,0))))</f>
        <v>Particulate Matter Formation Potential (PMFP) - kg PM2.5 eq</v>
      </c>
      <c r="M7437" s="154" t="str">
        <f t="shared" si="571"/>
        <v>High_Medium_Base_Upgraded_Particulate Matter Formation Potential (PMFP) - kg PM2.5 eq_Anaerobic Digestion; wastewater treatment unit; at updated plant - US_Without Amendment_Windrow</v>
      </c>
    </row>
    <row r="7438" spans="1:13" s="120" customFormat="1" x14ac:dyDescent="0.25">
      <c r="A7438" s="119"/>
      <c r="B7438" s="138" t="str">
        <f t="shared" si="568"/>
        <v/>
      </c>
      <c r="C7438" s="138" t="str">
        <f t="shared" si="572"/>
        <v/>
      </c>
      <c r="D7438" s="138" t="str">
        <f t="shared" si="570"/>
        <v/>
      </c>
      <c r="E7438" s="138" t="str">
        <f t="shared" si="573"/>
        <v/>
      </c>
      <c r="F7438" s="138" t="str">
        <f t="shared" si="569"/>
        <v/>
      </c>
      <c r="G7438" s="153" t="s">
        <v>51</v>
      </c>
      <c r="H7438" s="160"/>
      <c r="I7438" s="160" t="s">
        <v>47</v>
      </c>
      <c r="J7438" s="160" t="s">
        <v>52</v>
      </c>
      <c r="K7438" s="160" t="s">
        <v>27</v>
      </c>
      <c r="L7438" s="154" t="str">
        <f>IF(OpenLCAbasic!K7438="CTUh", "Fill in Manually",IF(OR(K7438="Unit", K7438=""), "", INDEX(LookUps!$E$5:$E$12, MATCH(OpenLCAbasic!K7438,LookUps!$D$5:$D$12,0))))</f>
        <v/>
      </c>
      <c r="M7438" s="154" t="str">
        <f t="shared" si="571"/>
        <v>____Process__</v>
      </c>
    </row>
    <row r="7439" spans="1:13" s="120" customFormat="1" x14ac:dyDescent="0.25">
      <c r="A7439" s="119"/>
      <c r="B7439" s="138" t="str">
        <f t="shared" si="568"/>
        <v>Windrow</v>
      </c>
      <c r="C7439" s="138" t="str">
        <f t="shared" si="572"/>
        <v>Without Amendment</v>
      </c>
      <c r="D7439" s="138" t="str">
        <f t="shared" si="570"/>
        <v>Medium_Base</v>
      </c>
      <c r="E7439" s="138" t="str">
        <f t="shared" si="573"/>
        <v>High</v>
      </c>
      <c r="F7439" s="138" t="str">
        <f t="shared" si="569"/>
        <v>Upgraded</v>
      </c>
      <c r="G7439" s="153"/>
      <c r="H7439" s="210">
        <v>0.88129999999999997</v>
      </c>
      <c r="I7439" s="160" t="s">
        <v>55</v>
      </c>
      <c r="J7439" s="160">
        <v>0.16577</v>
      </c>
      <c r="K7439" s="160" t="s">
        <v>25</v>
      </c>
      <c r="L7439" s="154" t="str">
        <f>IF(OpenLCAbasic!K7439="CTUh", "Fill in Manually",IF(OR(K7439="Unit", K7439=""), "", INDEX(LookUps!$E$5:$E$12, MATCH(OpenLCAbasic!K7439,LookUps!$D$5:$D$12,0))))</f>
        <v>Smog Formation Potential (SFP) - kg O3 eq</v>
      </c>
      <c r="M7439" s="154" t="str">
        <f t="shared" si="571"/>
        <v>High_Medium_Base_Upgraded_Smog Formation Potential (SFP) - kg O3 eq_Aeration Tanks; wastewater treatment unit; at updated plant - US_Without Amendment_Windrow</v>
      </c>
    </row>
    <row r="7440" spans="1:13" s="120" customFormat="1" x14ac:dyDescent="0.25">
      <c r="A7440" s="119"/>
      <c r="B7440" s="138" t="str">
        <f t="shared" si="568"/>
        <v>Windrow</v>
      </c>
      <c r="C7440" s="138" t="str">
        <f t="shared" si="572"/>
        <v>Without Amendment</v>
      </c>
      <c r="D7440" s="138" t="str">
        <f t="shared" si="570"/>
        <v>Medium_Base</v>
      </c>
      <c r="E7440" s="138" t="str">
        <f t="shared" si="573"/>
        <v>High</v>
      </c>
      <c r="F7440" s="138" t="str">
        <f t="shared" si="569"/>
        <v>Upgraded</v>
      </c>
      <c r="G7440" s="153"/>
      <c r="H7440" s="210">
        <v>0.25559999999999999</v>
      </c>
      <c r="I7440" s="160" t="s">
        <v>54</v>
      </c>
      <c r="J7440" s="160">
        <v>4.8070000000000002E-2</v>
      </c>
      <c r="K7440" s="160" t="s">
        <v>25</v>
      </c>
      <c r="L7440" s="154" t="str">
        <f>IF(OpenLCAbasic!K7440="CTUh", "Fill in Manually",IF(OR(K7440="Unit", K7440=""), "", INDEX(LookUps!$E$5:$E$12, MATCH(OpenLCAbasic!K7440,LookUps!$D$5:$D$12,0))))</f>
        <v>Smog Formation Potential (SFP) - kg O3 eq</v>
      </c>
      <c r="M7440" s="154" t="str">
        <f t="shared" si="571"/>
        <v>High_Medium_Base_Upgraded_Smog Formation Potential (SFP) - kg O3 eq_Clear Cove Primary Clarification; wastewater treatment unit; at updated plant - US_Without Amendment_Windrow</v>
      </c>
    </row>
    <row r="7441" spans="1:13" s="120" customFormat="1" x14ac:dyDescent="0.25">
      <c r="A7441" s="119"/>
      <c r="B7441" s="138" t="str">
        <f t="shared" si="568"/>
        <v>Windrow</v>
      </c>
      <c r="C7441" s="138" t="str">
        <f t="shared" si="572"/>
        <v>Without Amendment</v>
      </c>
      <c r="D7441" s="138" t="str">
        <f t="shared" si="570"/>
        <v>Medium_Base</v>
      </c>
      <c r="E7441" s="138" t="str">
        <f t="shared" si="573"/>
        <v>High</v>
      </c>
      <c r="F7441" s="138" t="str">
        <f t="shared" si="569"/>
        <v>Upgraded</v>
      </c>
      <c r="G7441" s="153"/>
      <c r="H7441" s="210">
        <v>0.2228</v>
      </c>
      <c r="I7441" s="160" t="s">
        <v>58</v>
      </c>
      <c r="J7441" s="160">
        <v>4.1919999999999999E-2</v>
      </c>
      <c r="K7441" s="160" t="s">
        <v>25</v>
      </c>
      <c r="L7441" s="154" t="str">
        <f>IF(OpenLCAbasic!K7441="CTUh", "Fill in Manually",IF(OR(K7441="Unit", K7441=""), "", INDEX(LookUps!$E$5:$E$12, MATCH(OpenLCAbasic!K7441,LookUps!$D$5:$D$12,0))))</f>
        <v>Smog Formation Potential (SFP) - kg O3 eq</v>
      </c>
      <c r="M7441" s="154" t="str">
        <f t="shared" si="571"/>
        <v>High_Medium_Base_Upgraded_Smog Formation Potential (SFP) - kg O3 eq_Pre-Anoxic &amp; Swing tank; wastewater treatment unit; at updated plant - US_Without Amendment_Windrow</v>
      </c>
    </row>
    <row r="7442" spans="1:13" s="120" customFormat="1" x14ac:dyDescent="0.25">
      <c r="A7442" s="119"/>
      <c r="B7442" s="138" t="str">
        <f t="shared" si="568"/>
        <v>Windrow</v>
      </c>
      <c r="C7442" s="138" t="str">
        <f t="shared" si="572"/>
        <v>Without Amendment</v>
      </c>
      <c r="D7442" s="138" t="str">
        <f t="shared" si="570"/>
        <v>Medium_Base</v>
      </c>
      <c r="E7442" s="138" t="str">
        <f t="shared" si="573"/>
        <v>High</v>
      </c>
      <c r="F7442" s="138" t="str">
        <f t="shared" si="569"/>
        <v>Upgraded</v>
      </c>
      <c r="G7442" s="153"/>
      <c r="H7442" s="210">
        <v>0.17610000000000001</v>
      </c>
      <c r="I7442" s="160" t="s">
        <v>53</v>
      </c>
      <c r="J7442" s="160">
        <v>3.313E-2</v>
      </c>
      <c r="K7442" s="160" t="s">
        <v>25</v>
      </c>
      <c r="L7442" s="154" t="str">
        <f>IF(OpenLCAbasic!K7442="CTUh", "Fill in Manually",IF(OR(K7442="Unit", K7442=""), "", INDEX(LookUps!$E$5:$E$12, MATCH(OpenLCAbasic!K7442,LookUps!$D$5:$D$12,0))))</f>
        <v>Smog Formation Potential (SFP) - kg O3 eq</v>
      </c>
      <c r="M7442" s="154" t="str">
        <f t="shared" si="571"/>
        <v>High_Medium_Base_Upgraded_Smog Formation Potential (SFP) - kg O3 eq_Wet Well and Sump Station; wastewater treatment unit; at updated plant - US_Without Amendment_Windrow</v>
      </c>
    </row>
    <row r="7443" spans="1:13" s="120" customFormat="1" x14ac:dyDescent="0.25">
      <c r="A7443" s="119"/>
      <c r="B7443" s="138" t="str">
        <f t="shared" si="568"/>
        <v>Windrow</v>
      </c>
      <c r="C7443" s="138" t="str">
        <f t="shared" si="572"/>
        <v>Without Amendment</v>
      </c>
      <c r="D7443" s="138" t="str">
        <f t="shared" si="570"/>
        <v>Medium_Base</v>
      </c>
      <c r="E7443" s="138" t="str">
        <f t="shared" si="573"/>
        <v>High</v>
      </c>
      <c r="F7443" s="138" t="str">
        <f t="shared" si="569"/>
        <v>Upgraded</v>
      </c>
      <c r="G7443" s="153"/>
      <c r="H7443" s="210">
        <v>0.1633</v>
      </c>
      <c r="I7443" s="160" t="s">
        <v>167</v>
      </c>
      <c r="J7443" s="160">
        <v>3.0710000000000001E-2</v>
      </c>
      <c r="K7443" s="160" t="s">
        <v>25</v>
      </c>
      <c r="L7443" s="154" t="str">
        <f>IF(OpenLCAbasic!K7443="CTUh", "Fill in Manually",IF(OR(K7443="Unit", K7443=""), "", INDEX(LookUps!$E$5:$E$12, MATCH(OpenLCAbasic!K7443,LookUps!$D$5:$D$12,0))))</f>
        <v>Smog Formation Potential (SFP) - kg O3 eq</v>
      </c>
      <c r="M7443" s="154" t="str">
        <f t="shared" si="571"/>
        <v>High_Medium_Base_Upgraded_Smog Formation Potential (SFP) - kg O3 eq_Waste Receiving and Holding; wastewater treatment unit; at updated plant - US_Without Amendment_Windrow</v>
      </c>
    </row>
    <row r="7444" spans="1:13" s="120" customFormat="1" x14ac:dyDescent="0.25">
      <c r="A7444" s="119"/>
      <c r="B7444" s="138" t="str">
        <f t="shared" si="568"/>
        <v>Windrow</v>
      </c>
      <c r="C7444" s="138" t="str">
        <f t="shared" si="572"/>
        <v>Without Amendment</v>
      </c>
      <c r="D7444" s="138" t="str">
        <f t="shared" si="570"/>
        <v>Medium_Base</v>
      </c>
      <c r="E7444" s="138" t="str">
        <f t="shared" si="573"/>
        <v>High</v>
      </c>
      <c r="F7444" s="138" t="str">
        <f t="shared" si="569"/>
        <v>Upgraded</v>
      </c>
      <c r="G7444" s="153"/>
      <c r="H7444" s="210">
        <v>0.1031</v>
      </c>
      <c r="I7444" s="160" t="s">
        <v>147</v>
      </c>
      <c r="J7444" s="160">
        <v>1.9400000000000001E-2</v>
      </c>
      <c r="K7444" s="160" t="s">
        <v>25</v>
      </c>
      <c r="L7444" s="154" t="str">
        <f>IF(OpenLCAbasic!K7444="CTUh", "Fill in Manually",IF(OR(K7444="Unit", K7444=""), "", INDEX(LookUps!$E$5:$E$12, MATCH(OpenLCAbasic!K7444,LookUps!$D$5:$D$12,0))))</f>
        <v>Smog Formation Potential (SFP) - kg O3 eq</v>
      </c>
      <c r="M7444" s="154" t="str">
        <f t="shared" si="571"/>
        <v>High_Medium_Base_Upgraded_Smog Formation Potential (SFP) - kg O3 eq_Influent Pump Station; wastewater treatment unit; at updated plant - US_Without Amendment_Windrow</v>
      </c>
    </row>
    <row r="7445" spans="1:13" s="120" customFormat="1" x14ac:dyDescent="0.25">
      <c r="A7445" s="119"/>
      <c r="B7445" s="138" t="str">
        <f t="shared" si="568"/>
        <v>Windrow</v>
      </c>
      <c r="C7445" s="138" t="str">
        <f t="shared" si="572"/>
        <v>Without Amendment</v>
      </c>
      <c r="D7445" s="138" t="str">
        <f t="shared" si="570"/>
        <v>Medium_Base</v>
      </c>
      <c r="E7445" s="138" t="str">
        <f t="shared" si="573"/>
        <v>High</v>
      </c>
      <c r="F7445" s="138" t="str">
        <f t="shared" si="569"/>
        <v>Upgraded</v>
      </c>
      <c r="G7445" s="153"/>
      <c r="H7445" s="210">
        <v>6.3399999999999998E-2</v>
      </c>
      <c r="I7445" s="160" t="s">
        <v>128</v>
      </c>
      <c r="J7445" s="160">
        <v>1.192E-2</v>
      </c>
      <c r="K7445" s="160" t="s">
        <v>25</v>
      </c>
      <c r="L7445" s="154" t="str">
        <f>IF(OpenLCAbasic!K7445="CTUh", "Fill in Manually",IF(OR(K7445="Unit", K7445=""), "", INDEX(LookUps!$E$5:$E$12, MATCH(OpenLCAbasic!K7445,LookUps!$D$5:$D$12,0))))</f>
        <v>Smog Formation Potential (SFP) - kg O3 eq</v>
      </c>
      <c r="M7445" s="154" t="str">
        <f t="shared" si="571"/>
        <v>High_Medium_Base_Upgraded_Smog Formation Potential (SFP) - kg O3 eq_Wastewater collection; operation and infrastructure; m3 wastewater_Without Amendment_Windrow</v>
      </c>
    </row>
    <row r="7446" spans="1:13" s="120" customFormat="1" x14ac:dyDescent="0.25">
      <c r="A7446" s="119"/>
      <c r="B7446" s="138" t="str">
        <f t="shared" si="568"/>
        <v>Windrow</v>
      </c>
      <c r="C7446" s="138" t="str">
        <f t="shared" si="572"/>
        <v>Without Amendment</v>
      </c>
      <c r="D7446" s="138" t="str">
        <f t="shared" si="570"/>
        <v>Medium_Base</v>
      </c>
      <c r="E7446" s="138" t="str">
        <f t="shared" si="573"/>
        <v>High</v>
      </c>
      <c r="F7446" s="138" t="str">
        <f t="shared" si="569"/>
        <v>Upgraded</v>
      </c>
      <c r="G7446" s="153"/>
      <c r="H7446" s="210">
        <v>5.3900000000000003E-2</v>
      </c>
      <c r="I7446" s="160" t="s">
        <v>60</v>
      </c>
      <c r="J7446" s="160">
        <v>1.014E-2</v>
      </c>
      <c r="K7446" s="160" t="s">
        <v>25</v>
      </c>
      <c r="L7446" s="154" t="str">
        <f>IF(OpenLCAbasic!K7446="CTUh", "Fill in Manually",IF(OR(K7446="Unit", K7446=""), "", INDEX(LookUps!$E$5:$E$12, MATCH(OpenLCAbasic!K7446,LookUps!$D$5:$D$12,0))))</f>
        <v>Smog Formation Potential (SFP) - kg O3 eq</v>
      </c>
      <c r="M7446" s="154" t="str">
        <f t="shared" si="571"/>
        <v>High_Medium_Base_Upgraded_Smog Formation Potential (SFP) - kg O3 eq_Belt filter press; wastewater treatment unit; at updated plant - US_Without Amendment_Windrow</v>
      </c>
    </row>
    <row r="7447" spans="1:13" s="120" customFormat="1" x14ac:dyDescent="0.25">
      <c r="A7447" s="119"/>
      <c r="B7447" s="138" t="str">
        <f t="shared" si="568"/>
        <v>Windrow</v>
      </c>
      <c r="C7447" s="138" t="str">
        <f t="shared" si="572"/>
        <v>Without Amendment</v>
      </c>
      <c r="D7447" s="138" t="str">
        <f t="shared" si="570"/>
        <v>Medium_Base</v>
      </c>
      <c r="E7447" s="138" t="str">
        <f t="shared" si="573"/>
        <v>High</v>
      </c>
      <c r="F7447" s="138" t="str">
        <f t="shared" si="569"/>
        <v>Upgraded</v>
      </c>
      <c r="G7447" s="153"/>
      <c r="H7447" s="210">
        <v>3.5400000000000001E-2</v>
      </c>
      <c r="I7447" s="160" t="s">
        <v>57</v>
      </c>
      <c r="J7447" s="160">
        <v>6.6499999999999997E-3</v>
      </c>
      <c r="K7447" s="160" t="s">
        <v>25</v>
      </c>
      <c r="L7447" s="154" t="str">
        <f>IF(OpenLCAbasic!K7447="CTUh", "Fill in Manually",IF(OR(K7447="Unit", K7447=""), "", INDEX(LookUps!$E$5:$E$12, MATCH(OpenLCAbasic!K7447,LookUps!$D$5:$D$12,0))))</f>
        <v>Smog Formation Potential (SFP) - kg O3 eq</v>
      </c>
      <c r="M7447" s="154" t="str">
        <f t="shared" si="571"/>
        <v>High_Medium_Base_Upgraded_Smog Formation Potential (SFP) - kg O3 eq_Gravity Belt Thickener; wastewater treatment unit; at updated plant - US_Without Amendment_Windrow</v>
      </c>
    </row>
    <row r="7448" spans="1:13" s="120" customFormat="1" x14ac:dyDescent="0.25">
      <c r="A7448" s="119"/>
      <c r="B7448" s="138" t="str">
        <f t="shared" si="568"/>
        <v>Windrow</v>
      </c>
      <c r="C7448" s="138" t="str">
        <f t="shared" si="572"/>
        <v>Without Amendment</v>
      </c>
      <c r="D7448" s="138" t="str">
        <f t="shared" si="570"/>
        <v>Medium_Base</v>
      </c>
      <c r="E7448" s="138" t="str">
        <f t="shared" si="573"/>
        <v>High</v>
      </c>
      <c r="F7448" s="138" t="str">
        <f t="shared" si="569"/>
        <v>Upgraded</v>
      </c>
      <c r="G7448" s="153"/>
      <c r="H7448" s="210">
        <v>2.64E-2</v>
      </c>
      <c r="I7448" s="160" t="s">
        <v>59</v>
      </c>
      <c r="J7448" s="160">
        <v>4.9699999999999996E-3</v>
      </c>
      <c r="K7448" s="160" t="s">
        <v>25</v>
      </c>
      <c r="L7448" s="154" t="str">
        <f>IF(OpenLCAbasic!K7448="CTUh", "Fill in Manually",IF(OR(K7448="Unit", K7448=""), "", INDEX(LookUps!$E$5:$E$12, MATCH(OpenLCAbasic!K7448,LookUps!$D$5:$D$12,0))))</f>
        <v>Smog Formation Potential (SFP) - kg O3 eq</v>
      </c>
      <c r="M7448" s="154" t="str">
        <f t="shared" si="571"/>
        <v>High_Medium_Base_Upgraded_Smog Formation Potential (SFP) - kg O3 eq_Blend Tank; wastewater treatment unit; at updated plant - US_Without Amendment_Windrow</v>
      </c>
    </row>
    <row r="7449" spans="1:13" s="120" customFormat="1" x14ac:dyDescent="0.25">
      <c r="A7449" s="119"/>
      <c r="B7449" s="138" t="str">
        <f t="shared" si="568"/>
        <v>Windrow</v>
      </c>
      <c r="C7449" s="138" t="str">
        <f t="shared" si="572"/>
        <v>Without Amendment</v>
      </c>
      <c r="D7449" s="138" t="str">
        <f t="shared" si="570"/>
        <v>Medium_Base</v>
      </c>
      <c r="E7449" s="138" t="str">
        <f t="shared" si="573"/>
        <v>High</v>
      </c>
      <c r="F7449" s="138" t="str">
        <f t="shared" si="569"/>
        <v>Upgraded</v>
      </c>
      <c r="G7449" s="153"/>
      <c r="H7449" s="210">
        <v>1.7999999999999999E-2</v>
      </c>
      <c r="I7449" s="160" t="s">
        <v>48</v>
      </c>
      <c r="J7449" s="160">
        <v>3.3899999999999998E-3</v>
      </c>
      <c r="K7449" s="160" t="s">
        <v>25</v>
      </c>
      <c r="L7449" s="154" t="str">
        <f>IF(OpenLCAbasic!K7449="CTUh", "Fill in Manually",IF(OR(K7449="Unit", K7449=""), "", INDEX(LookUps!$E$5:$E$12, MATCH(OpenLCAbasic!K7449,LookUps!$D$5:$D$12,0))))</f>
        <v>Smog Formation Potential (SFP) - kg O3 eq</v>
      </c>
      <c r="M7449" s="154" t="str">
        <f t="shared" si="571"/>
        <v>High_Medium_Base_Upgraded_Smog Formation Potential (SFP) - kg O3 eq_Effluent release; wastewater treatment unit; at surface water; m3 wastewater - US_Without Amendment_Windrow</v>
      </c>
    </row>
    <row r="7450" spans="1:13" s="120" customFormat="1" x14ac:dyDescent="0.25">
      <c r="A7450" s="119"/>
      <c r="B7450" s="138" t="str">
        <f t="shared" si="568"/>
        <v>Windrow</v>
      </c>
      <c r="C7450" s="138" t="str">
        <f t="shared" si="572"/>
        <v>Without Amendment</v>
      </c>
      <c r="D7450" s="138" t="str">
        <f t="shared" si="570"/>
        <v>Medium_Base</v>
      </c>
      <c r="E7450" s="138" t="str">
        <f t="shared" si="573"/>
        <v>High</v>
      </c>
      <c r="F7450" s="138" t="str">
        <f t="shared" si="569"/>
        <v>Upgraded</v>
      </c>
      <c r="G7450" s="153"/>
      <c r="H7450" s="210">
        <v>1.3100000000000001E-2</v>
      </c>
      <c r="I7450" s="160" t="s">
        <v>168</v>
      </c>
      <c r="J7450" s="160">
        <v>2.4599999999999999E-3</v>
      </c>
      <c r="K7450" s="160" t="s">
        <v>25</v>
      </c>
      <c r="L7450" s="154" t="str">
        <f>IF(OpenLCAbasic!K7450="CTUh", "Fill in Manually",IF(OR(K7450="Unit", K7450=""), "", INDEX(LookUps!$E$5:$E$12, MATCH(OpenLCAbasic!K7450,LookUps!$D$5:$D$12,0))))</f>
        <v>Smog Formation Potential (SFP) - kg O3 eq</v>
      </c>
      <c r="M7450" s="154" t="str">
        <f t="shared" si="571"/>
        <v>High_Medium_Base_Upgraded_Smog Formation Potential (SFP) - kg O3 eq_ClearCove SCP; wastewater treatment unit; at updated plant - US_Without Amendment_Windrow</v>
      </c>
    </row>
    <row r="7451" spans="1:13" s="120" customFormat="1" x14ac:dyDescent="0.25">
      <c r="A7451" s="119"/>
      <c r="B7451" s="138" t="str">
        <f t="shared" si="568"/>
        <v>Windrow</v>
      </c>
      <c r="C7451" s="138" t="str">
        <f t="shared" si="572"/>
        <v>Without Amendment</v>
      </c>
      <c r="D7451" s="138" t="str">
        <f t="shared" si="570"/>
        <v>Medium_Base</v>
      </c>
      <c r="E7451" s="138" t="str">
        <f t="shared" si="573"/>
        <v>High</v>
      </c>
      <c r="F7451" s="138" t="str">
        <f t="shared" si="569"/>
        <v>Upgraded</v>
      </c>
      <c r="G7451" s="153"/>
      <c r="H7451" s="210">
        <v>3.8E-3</v>
      </c>
      <c r="I7451" s="160" t="s">
        <v>271</v>
      </c>
      <c r="J7451" s="160">
        <v>7.1000000000000002E-4</v>
      </c>
      <c r="K7451" s="160" t="s">
        <v>25</v>
      </c>
      <c r="L7451" s="154" t="str">
        <f>IF(OpenLCAbasic!K7451="CTUh", "Fill in Manually",IF(OR(K7451="Unit", K7451=""), "", INDEX(LookUps!$E$5:$E$12, MATCH(OpenLCAbasic!K7451,LookUps!$D$5:$D$12,0))))</f>
        <v>Smog Formation Potential (SFP) - kg O3 eq</v>
      </c>
      <c r="M7451" s="154" t="str">
        <f t="shared" si="571"/>
        <v>High_Medium_Base_Upgraded_Smog Formation Potential (SFP) - kg O3 eq_Biosolids composting; windrow composting; wastewater treatment unit; at updated plant - US_Without Amendment_Windrow</v>
      </c>
    </row>
    <row r="7452" spans="1:13" s="120" customFormat="1" x14ac:dyDescent="0.25">
      <c r="A7452" s="119"/>
      <c r="B7452" s="138" t="str">
        <f t="shared" si="568"/>
        <v>Windrow</v>
      </c>
      <c r="C7452" s="138" t="str">
        <f t="shared" si="572"/>
        <v>Without Amendment</v>
      </c>
      <c r="D7452" s="138" t="str">
        <f t="shared" si="570"/>
        <v>Medium_Base</v>
      </c>
      <c r="E7452" s="138" t="str">
        <f t="shared" si="573"/>
        <v>High</v>
      </c>
      <c r="F7452" s="138" t="str">
        <f t="shared" si="569"/>
        <v>Upgraded</v>
      </c>
      <c r="G7452" s="153"/>
      <c r="H7452" s="210">
        <v>2.8999999999999998E-3</v>
      </c>
      <c r="I7452" s="160" t="s">
        <v>148</v>
      </c>
      <c r="J7452" s="160">
        <v>5.4000000000000001E-4</v>
      </c>
      <c r="K7452" s="160" t="s">
        <v>25</v>
      </c>
      <c r="L7452" s="154" t="str">
        <f>IF(OpenLCAbasic!K7452="CTUh", "Fill in Manually",IF(OR(K7452="Unit", K7452=""), "", INDEX(LookUps!$E$5:$E$12, MATCH(OpenLCAbasic!K7452,LookUps!$D$5:$D$12,0))))</f>
        <v>Smog Formation Potential (SFP) - kg O3 eq</v>
      </c>
      <c r="M7452" s="154" t="str">
        <f t="shared" si="571"/>
        <v>High_Medium_Base_Upgraded_Smog Formation Potential (SFP) - kg O3 eq_Control Building; at upgraded wastewater treatment plant - US_Without Amendment_Windrow</v>
      </c>
    </row>
    <row r="7453" spans="1:13" s="120" customFormat="1" x14ac:dyDescent="0.25">
      <c r="A7453" s="119"/>
      <c r="B7453" s="138" t="str">
        <f t="shared" si="568"/>
        <v>Windrow</v>
      </c>
      <c r="C7453" s="138" t="str">
        <f t="shared" si="572"/>
        <v>Without Amendment</v>
      </c>
      <c r="D7453" s="138" t="str">
        <f t="shared" si="570"/>
        <v>Medium_Base</v>
      </c>
      <c r="E7453" s="138" t="str">
        <f t="shared" si="573"/>
        <v>High</v>
      </c>
      <c r="F7453" s="138" t="str">
        <f t="shared" si="569"/>
        <v>Upgraded</v>
      </c>
      <c r="G7453" s="153"/>
      <c r="H7453" s="210">
        <v>-1.23E-2</v>
      </c>
      <c r="I7453" s="160" t="s">
        <v>62</v>
      </c>
      <c r="J7453" s="160">
        <v>-2.31E-3</v>
      </c>
      <c r="K7453" s="160" t="s">
        <v>25</v>
      </c>
      <c r="L7453" s="154" t="str">
        <f>IF(OpenLCAbasic!K7453="CTUh", "Fill in Manually",IF(OR(K7453="Unit", K7453=""), "", INDEX(LookUps!$E$5:$E$12, MATCH(OpenLCAbasic!K7453,LookUps!$D$5:$D$12,0))))</f>
        <v>Smog Formation Potential (SFP) - kg O3 eq</v>
      </c>
      <c r="M7453" s="154" t="str">
        <f t="shared" si="571"/>
        <v>High_Medium_Base_Upgraded_Smog Formation Potential (SFP) - kg O3 eq_Land application of compost; wastewater treatment unit; at updated plant - US_Without Amendment_Windrow</v>
      </c>
    </row>
    <row r="7454" spans="1:13" s="120" customFormat="1" x14ac:dyDescent="0.25">
      <c r="A7454" s="119"/>
      <c r="B7454" s="138" t="str">
        <f t="shared" si="568"/>
        <v>Windrow</v>
      </c>
      <c r="C7454" s="138" t="str">
        <f t="shared" si="572"/>
        <v>Without Amendment</v>
      </c>
      <c r="D7454" s="138" t="str">
        <f t="shared" si="570"/>
        <v>Medium_Base</v>
      </c>
      <c r="E7454" s="138" t="str">
        <f t="shared" si="573"/>
        <v>High</v>
      </c>
      <c r="F7454" s="138" t="str">
        <f t="shared" si="569"/>
        <v>Upgraded</v>
      </c>
      <c r="G7454" s="153"/>
      <c r="H7454" s="210">
        <v>-1.0066999999999999</v>
      </c>
      <c r="I7454" s="160" t="s">
        <v>149</v>
      </c>
      <c r="J7454" s="160">
        <v>-0.18936</v>
      </c>
      <c r="K7454" s="160" t="s">
        <v>25</v>
      </c>
      <c r="L7454" s="154" t="str">
        <f>IF(OpenLCAbasic!K7454="CTUh", "Fill in Manually",IF(OR(K7454="Unit", K7454=""), "", INDEX(LookUps!$E$5:$E$12, MATCH(OpenLCAbasic!K7454,LookUps!$D$5:$D$12,0))))</f>
        <v>Smog Formation Potential (SFP) - kg O3 eq</v>
      </c>
      <c r="M7454" s="154" t="str">
        <f t="shared" si="571"/>
        <v>High_Medium_Base_Upgraded_Smog Formation Potential (SFP) - kg O3 eq_Anaerobic Digestion; wastewater treatment unit; at updated plant - US_Without Amendment_Windrow</v>
      </c>
    </row>
    <row r="7455" spans="1:13" s="120" customFormat="1" x14ac:dyDescent="0.25">
      <c r="A7455" s="119"/>
      <c r="B7455" s="138" t="str">
        <f t="shared" si="568"/>
        <v/>
      </c>
      <c r="C7455" s="138" t="str">
        <f t="shared" si="572"/>
        <v/>
      </c>
      <c r="D7455" s="138" t="str">
        <f t="shared" si="570"/>
        <v/>
      </c>
      <c r="E7455" s="138" t="str">
        <f t="shared" si="573"/>
        <v/>
      </c>
      <c r="F7455" s="138" t="str">
        <f t="shared" si="569"/>
        <v/>
      </c>
      <c r="G7455" s="153" t="s">
        <v>51</v>
      </c>
      <c r="H7455" s="160"/>
      <c r="I7455" s="160" t="s">
        <v>47</v>
      </c>
      <c r="J7455" s="160" t="s">
        <v>52</v>
      </c>
      <c r="K7455" s="160" t="s">
        <v>27</v>
      </c>
      <c r="L7455" s="154" t="str">
        <f>IF(OpenLCAbasic!K7455="CTUh", "Fill in Manually",IF(OR(K7455="Unit", K7455=""), "", INDEX(LookUps!$E$5:$E$12, MATCH(OpenLCAbasic!K7455,LookUps!$D$5:$D$12,0))))</f>
        <v/>
      </c>
      <c r="M7455" s="154" t="str">
        <f t="shared" si="571"/>
        <v>____Process__</v>
      </c>
    </row>
    <row r="7456" spans="1:13" s="120" customFormat="1" x14ac:dyDescent="0.25">
      <c r="A7456" s="119"/>
      <c r="B7456" s="138" t="str">
        <f t="shared" si="568"/>
        <v>Windrow</v>
      </c>
      <c r="C7456" s="138" t="str">
        <f t="shared" si="572"/>
        <v>Without Amendment</v>
      </c>
      <c r="D7456" s="138" t="str">
        <f t="shared" si="570"/>
        <v>Medium_Base</v>
      </c>
      <c r="E7456" s="138" t="str">
        <f t="shared" si="573"/>
        <v>High</v>
      </c>
      <c r="F7456" s="138" t="str">
        <f t="shared" si="569"/>
        <v>Upgraded</v>
      </c>
      <c r="G7456" s="153"/>
      <c r="H7456" s="210">
        <v>1.8428</v>
      </c>
      <c r="I7456" s="160" t="s">
        <v>167</v>
      </c>
      <c r="J7456" s="160">
        <v>2.7999999999999998E-4</v>
      </c>
      <c r="K7456" s="160" t="s">
        <v>26</v>
      </c>
      <c r="L7456" s="154" t="str">
        <f>IF(OpenLCAbasic!K7456="CTUh", "Fill in Manually",IF(OR(K7456="Unit", K7456=""), "", INDEX(LookUps!$E$5:$E$12, MATCH(OpenLCAbasic!K7456,LookUps!$D$5:$D$12,0))))</f>
        <v>Water Use (WU) - m3 H2O</v>
      </c>
      <c r="M7456" s="154" t="str">
        <f t="shared" si="571"/>
        <v>High_Medium_Base_Upgraded_Water Use (WU) - m3 H2O_Waste Receiving and Holding; wastewater treatment unit; at updated plant - US_Without Amendment_Windrow</v>
      </c>
    </row>
    <row r="7457" spans="1:13" s="120" customFormat="1" x14ac:dyDescent="0.25">
      <c r="A7457" s="119"/>
      <c r="B7457" s="138" t="str">
        <f t="shared" si="568"/>
        <v>Windrow</v>
      </c>
      <c r="C7457" s="138" t="str">
        <f t="shared" si="572"/>
        <v>Without Amendment</v>
      </c>
      <c r="D7457" s="138" t="str">
        <f t="shared" si="570"/>
        <v>Medium_Base</v>
      </c>
      <c r="E7457" s="138" t="str">
        <f t="shared" si="573"/>
        <v>High</v>
      </c>
      <c r="F7457" s="138" t="str">
        <f t="shared" si="569"/>
        <v>Upgraded</v>
      </c>
      <c r="G7457" s="153"/>
      <c r="H7457" s="210">
        <v>1.2029000000000001</v>
      </c>
      <c r="I7457" s="160" t="s">
        <v>147</v>
      </c>
      <c r="J7457" s="160">
        <v>1.8000000000000001E-4</v>
      </c>
      <c r="K7457" s="160" t="s">
        <v>26</v>
      </c>
      <c r="L7457" s="154" t="str">
        <f>IF(OpenLCAbasic!K7457="CTUh", "Fill in Manually",IF(OR(K7457="Unit", K7457=""), "", INDEX(LookUps!$E$5:$E$12, MATCH(OpenLCAbasic!K7457,LookUps!$D$5:$D$12,0))))</f>
        <v>Water Use (WU) - m3 H2O</v>
      </c>
      <c r="M7457" s="154" t="str">
        <f t="shared" si="571"/>
        <v>High_Medium_Base_Upgraded_Water Use (WU) - m3 H2O_Influent Pump Station; wastewater treatment unit; at updated plant - US_Without Amendment_Windrow</v>
      </c>
    </row>
    <row r="7458" spans="1:13" s="120" customFormat="1" x14ac:dyDescent="0.25">
      <c r="A7458" s="119"/>
      <c r="B7458" s="138" t="str">
        <f t="shared" si="568"/>
        <v>Windrow</v>
      </c>
      <c r="C7458" s="138" t="str">
        <f t="shared" si="572"/>
        <v>Without Amendment</v>
      </c>
      <c r="D7458" s="138" t="str">
        <f t="shared" si="570"/>
        <v>Medium_Base</v>
      </c>
      <c r="E7458" s="138" t="str">
        <f t="shared" si="573"/>
        <v>High</v>
      </c>
      <c r="F7458" s="138" t="str">
        <f t="shared" si="569"/>
        <v>Upgraded</v>
      </c>
      <c r="G7458" s="153"/>
      <c r="H7458" s="210">
        <v>1.1737</v>
      </c>
      <c r="I7458" s="160" t="s">
        <v>54</v>
      </c>
      <c r="J7458" s="160">
        <v>1.8000000000000001E-4</v>
      </c>
      <c r="K7458" s="160" t="s">
        <v>26</v>
      </c>
      <c r="L7458" s="154" t="str">
        <f>IF(OpenLCAbasic!K7458="CTUh", "Fill in Manually",IF(OR(K7458="Unit", K7458=""), "", INDEX(LookUps!$E$5:$E$12, MATCH(OpenLCAbasic!K7458,LookUps!$D$5:$D$12,0))))</f>
        <v>Water Use (WU) - m3 H2O</v>
      </c>
      <c r="M7458" s="154" t="str">
        <f t="shared" si="571"/>
        <v>High_Medium_Base_Upgraded_Water Use (WU) - m3 H2O_Clear Cove Primary Clarification; wastewater treatment unit; at updated plant - US_Without Amendment_Windrow</v>
      </c>
    </row>
    <row r="7459" spans="1:13" s="120" customFormat="1" x14ac:dyDescent="0.25">
      <c r="A7459" s="119"/>
      <c r="B7459" s="138" t="str">
        <f t="shared" si="568"/>
        <v>Windrow</v>
      </c>
      <c r="C7459" s="138" t="str">
        <f t="shared" si="572"/>
        <v>Without Amendment</v>
      </c>
      <c r="D7459" s="138" t="str">
        <f t="shared" si="570"/>
        <v>Medium_Base</v>
      </c>
      <c r="E7459" s="138" t="str">
        <f t="shared" si="573"/>
        <v>High</v>
      </c>
      <c r="F7459" s="138" t="str">
        <f t="shared" si="569"/>
        <v>Upgraded</v>
      </c>
      <c r="G7459" s="153"/>
      <c r="H7459" s="210">
        <v>1.0647</v>
      </c>
      <c r="I7459" s="160" t="s">
        <v>55</v>
      </c>
      <c r="J7459" s="160">
        <v>1.6000000000000001E-4</v>
      </c>
      <c r="K7459" s="160" t="s">
        <v>26</v>
      </c>
      <c r="L7459" s="154" t="str">
        <f>IF(OpenLCAbasic!K7459="CTUh", "Fill in Manually",IF(OR(K7459="Unit", K7459=""), "", INDEX(LookUps!$E$5:$E$12, MATCH(OpenLCAbasic!K7459,LookUps!$D$5:$D$12,0))))</f>
        <v>Water Use (WU) - m3 H2O</v>
      </c>
      <c r="M7459" s="154" t="str">
        <f t="shared" si="571"/>
        <v>High_Medium_Base_Upgraded_Water Use (WU) - m3 H2O_Aeration Tanks; wastewater treatment unit; at updated plant - US_Without Amendment_Windrow</v>
      </c>
    </row>
    <row r="7460" spans="1:13" s="120" customFormat="1" x14ac:dyDescent="0.25">
      <c r="A7460" s="119"/>
      <c r="B7460" s="138" t="str">
        <f t="shared" si="568"/>
        <v>Windrow</v>
      </c>
      <c r="C7460" s="138" t="str">
        <f t="shared" si="572"/>
        <v>Without Amendment</v>
      </c>
      <c r="D7460" s="138" t="str">
        <f t="shared" si="570"/>
        <v>Medium_Base</v>
      </c>
      <c r="E7460" s="138" t="str">
        <f t="shared" si="573"/>
        <v>High</v>
      </c>
      <c r="F7460" s="138" t="str">
        <f t="shared" si="569"/>
        <v>Upgraded</v>
      </c>
      <c r="G7460" s="153"/>
      <c r="H7460" s="210">
        <v>0.96989999999999998</v>
      </c>
      <c r="I7460" s="160" t="s">
        <v>148</v>
      </c>
      <c r="J7460" s="160">
        <v>1.4999999999999999E-4</v>
      </c>
      <c r="K7460" s="160" t="s">
        <v>26</v>
      </c>
      <c r="L7460" s="154" t="str">
        <f>IF(OpenLCAbasic!K7460="CTUh", "Fill in Manually",IF(OR(K7460="Unit", K7460=""), "", INDEX(LookUps!$E$5:$E$12, MATCH(OpenLCAbasic!K7460,LookUps!$D$5:$D$12,0))))</f>
        <v>Water Use (WU) - m3 H2O</v>
      </c>
      <c r="M7460" s="154" t="str">
        <f t="shared" si="571"/>
        <v>High_Medium_Base_Upgraded_Water Use (WU) - m3 H2O_Control Building; at upgraded wastewater treatment plant - US_Without Amendment_Windrow</v>
      </c>
    </row>
    <row r="7461" spans="1:13" s="120" customFormat="1" x14ac:dyDescent="0.25">
      <c r="A7461" s="119"/>
      <c r="B7461" s="138" t="str">
        <f t="shared" si="568"/>
        <v>Windrow</v>
      </c>
      <c r="C7461" s="138" t="str">
        <f t="shared" si="572"/>
        <v>Without Amendment</v>
      </c>
      <c r="D7461" s="138" t="str">
        <f t="shared" si="570"/>
        <v>Medium_Base</v>
      </c>
      <c r="E7461" s="138" t="str">
        <f t="shared" si="573"/>
        <v>High</v>
      </c>
      <c r="F7461" s="138" t="str">
        <f t="shared" si="569"/>
        <v>Upgraded</v>
      </c>
      <c r="G7461" s="153"/>
      <c r="H7461" s="210">
        <v>0.45040000000000002</v>
      </c>
      <c r="I7461" s="160" t="s">
        <v>48</v>
      </c>
      <c r="J7461" s="211">
        <v>6.8836400000000004E-5</v>
      </c>
      <c r="K7461" s="160" t="s">
        <v>26</v>
      </c>
      <c r="L7461" s="154" t="str">
        <f>IF(OpenLCAbasic!K7461="CTUh", "Fill in Manually",IF(OR(K7461="Unit", K7461=""), "", INDEX(LookUps!$E$5:$E$12, MATCH(OpenLCAbasic!K7461,LookUps!$D$5:$D$12,0))))</f>
        <v>Water Use (WU) - m3 H2O</v>
      </c>
      <c r="M7461" s="154" t="str">
        <f t="shared" si="571"/>
        <v>High_Medium_Base_Upgraded_Water Use (WU) - m3 H2O_Effluent release; wastewater treatment unit; at surface water; m3 wastewater - US_Without Amendment_Windrow</v>
      </c>
    </row>
    <row r="7462" spans="1:13" s="120" customFormat="1" x14ac:dyDescent="0.25">
      <c r="A7462" s="119"/>
      <c r="B7462" s="138" t="str">
        <f t="shared" si="568"/>
        <v>Windrow</v>
      </c>
      <c r="C7462" s="138" t="str">
        <f t="shared" si="572"/>
        <v>Without Amendment</v>
      </c>
      <c r="D7462" s="138" t="str">
        <f t="shared" si="570"/>
        <v>Medium_Base</v>
      </c>
      <c r="E7462" s="138" t="str">
        <f t="shared" si="573"/>
        <v>High</v>
      </c>
      <c r="F7462" s="138" t="str">
        <f t="shared" si="569"/>
        <v>Upgraded</v>
      </c>
      <c r="G7462" s="153"/>
      <c r="H7462" s="210">
        <v>0.28289999999999998</v>
      </c>
      <c r="I7462" s="160" t="s">
        <v>58</v>
      </c>
      <c r="J7462" s="211">
        <v>4.3235300000000003E-5</v>
      </c>
      <c r="K7462" s="160" t="s">
        <v>26</v>
      </c>
      <c r="L7462" s="154" t="str">
        <f>IF(OpenLCAbasic!K7462="CTUh", "Fill in Manually",IF(OR(K7462="Unit", K7462=""), "", INDEX(LookUps!$E$5:$E$12, MATCH(OpenLCAbasic!K7462,LookUps!$D$5:$D$12,0))))</f>
        <v>Water Use (WU) - m3 H2O</v>
      </c>
      <c r="M7462" s="154" t="str">
        <f t="shared" si="571"/>
        <v>High_Medium_Base_Upgraded_Water Use (WU) - m3 H2O_Pre-Anoxic &amp; Swing tank; wastewater treatment unit; at updated plant - US_Without Amendment_Windrow</v>
      </c>
    </row>
    <row r="7463" spans="1:13" s="120" customFormat="1" x14ac:dyDescent="0.25">
      <c r="A7463" s="119"/>
      <c r="B7463" s="138" t="str">
        <f t="shared" si="568"/>
        <v>Windrow</v>
      </c>
      <c r="C7463" s="138" t="str">
        <f t="shared" si="572"/>
        <v>Without Amendment</v>
      </c>
      <c r="D7463" s="138" t="str">
        <f t="shared" si="570"/>
        <v>Medium_Base</v>
      </c>
      <c r="E7463" s="138" t="str">
        <f t="shared" si="573"/>
        <v>High</v>
      </c>
      <c r="F7463" s="138" t="str">
        <f t="shared" si="569"/>
        <v>Upgraded</v>
      </c>
      <c r="G7463" s="153"/>
      <c r="H7463" s="210">
        <v>0.19900000000000001</v>
      </c>
      <c r="I7463" s="160" t="s">
        <v>57</v>
      </c>
      <c r="J7463" s="211">
        <v>3.0408100000000001E-5</v>
      </c>
      <c r="K7463" s="160" t="s">
        <v>26</v>
      </c>
      <c r="L7463" s="154" t="str">
        <f>IF(OpenLCAbasic!K7463="CTUh", "Fill in Manually",IF(OR(K7463="Unit", K7463=""), "", INDEX(LookUps!$E$5:$E$12, MATCH(OpenLCAbasic!K7463,LookUps!$D$5:$D$12,0))))</f>
        <v>Water Use (WU) - m3 H2O</v>
      </c>
      <c r="M7463" s="154" t="str">
        <f t="shared" si="571"/>
        <v>High_Medium_Base_Upgraded_Water Use (WU) - m3 H2O_Gravity Belt Thickener; wastewater treatment unit; at updated plant - US_Without Amendment_Windrow</v>
      </c>
    </row>
    <row r="7464" spans="1:13" s="120" customFormat="1" x14ac:dyDescent="0.25">
      <c r="A7464" s="119"/>
      <c r="B7464" s="138" t="str">
        <f t="shared" ref="B7464:B7527" si="574">IF(F7464="Legacy","n.a.",IF(F7464="","","Windrow"))</f>
        <v>Windrow</v>
      </c>
      <c r="C7464" s="138" t="str">
        <f t="shared" si="572"/>
        <v>Without Amendment</v>
      </c>
      <c r="D7464" s="138" t="str">
        <f t="shared" si="570"/>
        <v>Medium_Base</v>
      </c>
      <c r="E7464" s="138" t="str">
        <f t="shared" si="573"/>
        <v>High</v>
      </c>
      <c r="F7464" s="138" t="str">
        <f t="shared" ref="F7464:F7527" si="575">IF(ISNUMBER(J7464),"Upgraded","")</f>
        <v>Upgraded</v>
      </c>
      <c r="G7464" s="153"/>
      <c r="H7464" s="210">
        <v>0.19819999999999999</v>
      </c>
      <c r="I7464" s="160" t="s">
        <v>60</v>
      </c>
      <c r="J7464" s="211">
        <v>3.0289000000000001E-5</v>
      </c>
      <c r="K7464" s="160" t="s">
        <v>26</v>
      </c>
      <c r="L7464" s="154" t="str">
        <f>IF(OpenLCAbasic!K7464="CTUh", "Fill in Manually",IF(OR(K7464="Unit", K7464=""), "", INDEX(LookUps!$E$5:$E$12, MATCH(OpenLCAbasic!K7464,LookUps!$D$5:$D$12,0))))</f>
        <v>Water Use (WU) - m3 H2O</v>
      </c>
      <c r="M7464" s="154" t="str">
        <f t="shared" si="571"/>
        <v>High_Medium_Base_Upgraded_Water Use (WU) - m3 H2O_Belt filter press; wastewater treatment unit; at updated plant - US_Without Amendment_Windrow</v>
      </c>
    </row>
    <row r="7465" spans="1:13" s="120" customFormat="1" x14ac:dyDescent="0.25">
      <c r="A7465" s="119"/>
      <c r="B7465" s="138" t="str">
        <f t="shared" si="574"/>
        <v>Windrow</v>
      </c>
      <c r="C7465" s="138" t="str">
        <f t="shared" si="572"/>
        <v>Without Amendment</v>
      </c>
      <c r="D7465" s="138" t="str">
        <f t="shared" ref="D7465:D7471" si="576">IF(ISNUMBER($J7465),"Medium_Base","")</f>
        <v>Medium_Base</v>
      </c>
      <c r="E7465" s="138" t="str">
        <f t="shared" si="573"/>
        <v>High</v>
      </c>
      <c r="F7465" s="138" t="str">
        <f t="shared" si="575"/>
        <v>Upgraded</v>
      </c>
      <c r="G7465" s="153"/>
      <c r="H7465" s="210">
        <v>0.1145</v>
      </c>
      <c r="I7465" s="160" t="s">
        <v>53</v>
      </c>
      <c r="J7465" s="211">
        <v>1.75069E-5</v>
      </c>
      <c r="K7465" s="160" t="s">
        <v>26</v>
      </c>
      <c r="L7465" s="154" t="str">
        <f>IF(OpenLCAbasic!K7465="CTUh", "Fill in Manually",IF(OR(K7465="Unit", K7465=""), "", INDEX(LookUps!$E$5:$E$12, MATCH(OpenLCAbasic!K7465,LookUps!$D$5:$D$12,0))))</f>
        <v>Water Use (WU) - m3 H2O</v>
      </c>
      <c r="M7465" s="154" t="str">
        <f t="shared" si="571"/>
        <v>High_Medium_Base_Upgraded_Water Use (WU) - m3 H2O_Wet Well and Sump Station; wastewater treatment unit; at updated plant - US_Without Amendment_Windrow</v>
      </c>
    </row>
    <row r="7466" spans="1:13" s="120" customFormat="1" x14ac:dyDescent="0.25">
      <c r="A7466" s="119"/>
      <c r="B7466" s="138" t="str">
        <f t="shared" si="574"/>
        <v>Windrow</v>
      </c>
      <c r="C7466" s="138" t="str">
        <f t="shared" si="572"/>
        <v>Without Amendment</v>
      </c>
      <c r="D7466" s="138" t="str">
        <f t="shared" si="576"/>
        <v>Medium_Base</v>
      </c>
      <c r="E7466" s="138" t="str">
        <f t="shared" si="573"/>
        <v>High</v>
      </c>
      <c r="F7466" s="138" t="str">
        <f t="shared" si="575"/>
        <v>Upgraded</v>
      </c>
      <c r="G7466" s="153"/>
      <c r="H7466" s="210">
        <v>4.5900000000000003E-2</v>
      </c>
      <c r="I7466" s="160" t="s">
        <v>59</v>
      </c>
      <c r="J7466" s="211">
        <v>7.0179500000000003E-6</v>
      </c>
      <c r="K7466" s="160" t="s">
        <v>26</v>
      </c>
      <c r="L7466" s="154" t="str">
        <f>IF(OpenLCAbasic!K7466="CTUh", "Fill in Manually",IF(OR(K7466="Unit", K7466=""), "", INDEX(LookUps!$E$5:$E$12, MATCH(OpenLCAbasic!K7466,LookUps!$D$5:$D$12,0))))</f>
        <v>Water Use (WU) - m3 H2O</v>
      </c>
      <c r="M7466" s="154" t="str">
        <f t="shared" si="571"/>
        <v>High_Medium_Base_Upgraded_Water Use (WU) - m3 H2O_Blend Tank; wastewater treatment unit; at updated plant - US_Without Amendment_Windrow</v>
      </c>
    </row>
    <row r="7467" spans="1:13" s="120" customFormat="1" x14ac:dyDescent="0.25">
      <c r="A7467" s="119"/>
      <c r="B7467" s="138" t="str">
        <f t="shared" si="574"/>
        <v>Windrow</v>
      </c>
      <c r="C7467" s="138" t="str">
        <f t="shared" si="572"/>
        <v>Without Amendment</v>
      </c>
      <c r="D7467" s="138" t="str">
        <f t="shared" si="576"/>
        <v>Medium_Base</v>
      </c>
      <c r="E7467" s="138" t="str">
        <f t="shared" si="573"/>
        <v>High</v>
      </c>
      <c r="F7467" s="138" t="str">
        <f t="shared" si="575"/>
        <v>Upgraded</v>
      </c>
      <c r="G7467" s="153"/>
      <c r="H7467" s="210">
        <v>3.3099999999999997E-2</v>
      </c>
      <c r="I7467" s="160" t="s">
        <v>128</v>
      </c>
      <c r="J7467" s="211">
        <v>5.0608900000000003E-6</v>
      </c>
      <c r="K7467" s="160" t="s">
        <v>26</v>
      </c>
      <c r="L7467" s="154" t="str">
        <f>IF(OpenLCAbasic!K7467="CTUh", "Fill in Manually",IF(OR(K7467="Unit", K7467=""), "", INDEX(LookUps!$E$5:$E$12, MATCH(OpenLCAbasic!K7467,LookUps!$D$5:$D$12,0))))</f>
        <v>Water Use (WU) - m3 H2O</v>
      </c>
      <c r="M7467" s="154" t="str">
        <f t="shared" si="571"/>
        <v>High_Medium_Base_Upgraded_Water Use (WU) - m3 H2O_Wastewater collection; operation and infrastructure; m3 wastewater_Without Amendment_Windrow</v>
      </c>
    </row>
    <row r="7468" spans="1:13" s="120" customFormat="1" x14ac:dyDescent="0.25">
      <c r="A7468" s="119"/>
      <c r="B7468" s="138" t="str">
        <f t="shared" si="574"/>
        <v>Windrow</v>
      </c>
      <c r="C7468" s="138" t="str">
        <f t="shared" si="572"/>
        <v>Without Amendment</v>
      </c>
      <c r="D7468" s="138" t="str">
        <f t="shared" si="576"/>
        <v>Medium_Base</v>
      </c>
      <c r="E7468" s="138" t="str">
        <f t="shared" si="573"/>
        <v>High</v>
      </c>
      <c r="F7468" s="138" t="str">
        <f t="shared" si="575"/>
        <v>Upgraded</v>
      </c>
      <c r="G7468" s="153"/>
      <c r="H7468" s="210">
        <v>9.4999999999999998E-3</v>
      </c>
      <c r="I7468" s="160" t="s">
        <v>271</v>
      </c>
      <c r="J7468" s="211">
        <v>1.4465700000000001E-6</v>
      </c>
      <c r="K7468" s="160" t="s">
        <v>26</v>
      </c>
      <c r="L7468" s="154" t="str">
        <f>IF(OpenLCAbasic!K7468="CTUh", "Fill in Manually",IF(OR(K7468="Unit", K7468=""), "", INDEX(LookUps!$E$5:$E$12, MATCH(OpenLCAbasic!K7468,LookUps!$D$5:$D$12,0))))</f>
        <v>Water Use (WU) - m3 H2O</v>
      </c>
      <c r="M7468" s="154" t="str">
        <f t="shared" si="571"/>
        <v>High_Medium_Base_Upgraded_Water Use (WU) - m3 H2O_Biosolids composting; windrow composting; wastewater treatment unit; at updated plant - US_Without Amendment_Windrow</v>
      </c>
    </row>
    <row r="7469" spans="1:13" s="120" customFormat="1" x14ac:dyDescent="0.25">
      <c r="A7469" s="119"/>
      <c r="B7469" s="138" t="str">
        <f t="shared" si="574"/>
        <v>Windrow</v>
      </c>
      <c r="C7469" s="138" t="str">
        <f t="shared" si="572"/>
        <v>Without Amendment</v>
      </c>
      <c r="D7469" s="138" t="str">
        <f t="shared" si="576"/>
        <v>Medium_Base</v>
      </c>
      <c r="E7469" s="138" t="str">
        <f t="shared" si="573"/>
        <v>High</v>
      </c>
      <c r="F7469" s="138" t="str">
        <f t="shared" si="575"/>
        <v>Upgraded</v>
      </c>
      <c r="G7469" s="153"/>
      <c r="H7469" s="210">
        <v>5.0000000000000001E-3</v>
      </c>
      <c r="I7469" s="160" t="s">
        <v>168</v>
      </c>
      <c r="J7469" s="211">
        <v>7.6697000000000004E-7</v>
      </c>
      <c r="K7469" s="160" t="s">
        <v>26</v>
      </c>
      <c r="L7469" s="154" t="str">
        <f>IF(OpenLCAbasic!K7469="CTUh", "Fill in Manually",IF(OR(K7469="Unit", K7469=""), "", INDEX(LookUps!$E$5:$E$12, MATCH(OpenLCAbasic!K7469,LookUps!$D$5:$D$12,0))))</f>
        <v>Water Use (WU) - m3 H2O</v>
      </c>
      <c r="M7469" s="154" t="str">
        <f t="shared" si="571"/>
        <v>High_Medium_Base_Upgraded_Water Use (WU) - m3 H2O_ClearCove SCP; wastewater treatment unit; at updated plant - US_Without Amendment_Windrow</v>
      </c>
    </row>
    <row r="7470" spans="1:13" s="120" customFormat="1" x14ac:dyDescent="0.25">
      <c r="A7470" s="119"/>
      <c r="B7470" s="138" t="str">
        <f t="shared" si="574"/>
        <v>Windrow</v>
      </c>
      <c r="C7470" s="138" t="str">
        <f t="shared" si="572"/>
        <v>Without Amendment</v>
      </c>
      <c r="D7470" s="138" t="str">
        <f t="shared" si="576"/>
        <v>Medium_Base</v>
      </c>
      <c r="E7470" s="138" t="str">
        <f t="shared" si="573"/>
        <v>High</v>
      </c>
      <c r="F7470" s="138" t="str">
        <f t="shared" si="575"/>
        <v>Upgraded</v>
      </c>
      <c r="G7470" s="153"/>
      <c r="H7470" s="210">
        <v>-0.2525</v>
      </c>
      <c r="I7470" s="160" t="s">
        <v>149</v>
      </c>
      <c r="J7470" s="211">
        <v>-3.8591399999999998E-5</v>
      </c>
      <c r="K7470" s="160" t="s">
        <v>26</v>
      </c>
      <c r="L7470" s="154" t="str">
        <f>IF(OpenLCAbasic!K7470="CTUh", "Fill in Manually",IF(OR(K7470="Unit", K7470=""), "", INDEX(LookUps!$E$5:$E$12, MATCH(OpenLCAbasic!K7470,LookUps!$D$5:$D$12,0))))</f>
        <v>Water Use (WU) - m3 H2O</v>
      </c>
      <c r="M7470" s="154" t="str">
        <f t="shared" si="571"/>
        <v>High_Medium_Base_Upgraded_Water Use (WU) - m3 H2O_Anaerobic Digestion; wastewater treatment unit; at updated plant - US_Without Amendment_Windrow</v>
      </c>
    </row>
    <row r="7471" spans="1:13" s="120" customFormat="1" x14ac:dyDescent="0.25">
      <c r="A7471" s="119"/>
      <c r="B7471" s="138" t="str">
        <f t="shared" si="574"/>
        <v>Windrow</v>
      </c>
      <c r="C7471" s="138" t="str">
        <f t="shared" si="572"/>
        <v>Without Amendment</v>
      </c>
      <c r="D7471" s="138" t="str">
        <f t="shared" si="576"/>
        <v>Medium_Base</v>
      </c>
      <c r="E7471" s="138" t="str">
        <f t="shared" si="573"/>
        <v>High</v>
      </c>
      <c r="F7471" s="138" t="str">
        <f t="shared" si="575"/>
        <v>Upgraded</v>
      </c>
      <c r="G7471" s="153"/>
      <c r="H7471" s="210">
        <v>-6.34</v>
      </c>
      <c r="I7471" s="160" t="s">
        <v>62</v>
      </c>
      <c r="J7471" s="160">
        <v>-9.7000000000000005E-4</v>
      </c>
      <c r="K7471" s="160" t="s">
        <v>26</v>
      </c>
      <c r="L7471" s="154" t="str">
        <f>IF(OpenLCAbasic!K7471="CTUh", "Fill in Manually",IF(OR(K7471="Unit", K7471=""), "", INDEX(LookUps!$E$5:$E$12, MATCH(OpenLCAbasic!K7471,LookUps!$D$5:$D$12,0))))</f>
        <v>Water Use (WU) - m3 H2O</v>
      </c>
      <c r="M7471" s="154" t="str">
        <f t="shared" si="571"/>
        <v>High_Medium_Base_Upgraded_Water Use (WU) - m3 H2O_Land application of compost; wastewater treatment unit; at updated plant - US_Without Amendment_Windrow</v>
      </c>
    </row>
    <row r="7472" spans="1:13" s="120" customFormat="1" x14ac:dyDescent="0.25">
      <c r="A7472" s="119"/>
      <c r="B7472" s="138" t="str">
        <f t="shared" si="574"/>
        <v/>
      </c>
      <c r="C7472" s="138" t="str">
        <f t="shared" si="572"/>
        <v/>
      </c>
      <c r="D7472" s="138" t="str">
        <f>IF(ISNUMBER($J7472),"Medium_High","")</f>
        <v/>
      </c>
      <c r="E7472" s="138" t="str">
        <f t="shared" si="573"/>
        <v/>
      </c>
      <c r="F7472" s="138" t="str">
        <f t="shared" si="575"/>
        <v/>
      </c>
      <c r="G7472" s="153" t="s">
        <v>51</v>
      </c>
      <c r="H7472" s="160"/>
      <c r="I7472" s="160" t="s">
        <v>47</v>
      </c>
      <c r="J7472" s="160" t="s">
        <v>52</v>
      </c>
      <c r="K7472" s="160" t="s">
        <v>27</v>
      </c>
      <c r="L7472" s="154" t="str">
        <f>IF(OpenLCAbasic!K7472="CTUh", "Fill in Manually",IF(OR(K7472="Unit", K7472=""), "", INDEX(LookUps!$E$5:$E$12, MATCH(OpenLCAbasic!K7472,LookUps!$D$5:$D$12,0))))</f>
        <v/>
      </c>
      <c r="M7472" s="154" t="str">
        <f t="shared" si="571"/>
        <v>____Process__</v>
      </c>
    </row>
    <row r="7473" spans="1:13" s="120" customFormat="1" x14ac:dyDescent="0.25">
      <c r="A7473" s="119"/>
      <c r="B7473" s="138" t="str">
        <f t="shared" si="574"/>
        <v>Windrow</v>
      </c>
      <c r="C7473" s="138" t="str">
        <f t="shared" si="572"/>
        <v>Without Amendment</v>
      </c>
      <c r="D7473" s="138" t="str">
        <f t="shared" ref="D7473:D7536" si="577">IF(ISNUMBER($J7473),"Medium_High","")</f>
        <v>Medium_High</v>
      </c>
      <c r="E7473" s="138" t="str">
        <f t="shared" si="573"/>
        <v>High</v>
      </c>
      <c r="F7473" s="138" t="str">
        <f t="shared" si="575"/>
        <v>Upgraded</v>
      </c>
      <c r="G7473" s="153"/>
      <c r="H7473" s="210">
        <v>2.0937999999999999</v>
      </c>
      <c r="I7473" s="160" t="s">
        <v>55</v>
      </c>
      <c r="J7473" s="160">
        <v>1.7219999999999999E-2</v>
      </c>
      <c r="K7473" s="160" t="s">
        <v>24</v>
      </c>
      <c r="L7473" s="154" t="str">
        <f>IF(OpenLCAbasic!K7473="CTUh", "Fill in Manually",IF(OR(K7473="Unit", K7473=""), "", INDEX(LookUps!$E$5:$E$12, MATCH(OpenLCAbasic!K7473,LookUps!$D$5:$D$12,0))))</f>
        <v>Acidification Potential (AP) - kg SO2 eq</v>
      </c>
      <c r="M7473" s="154" t="str">
        <f t="shared" si="571"/>
        <v>High_Medium_High_Upgraded_Acidification Potential (AP) - kg SO2 eq_Aeration Tanks; wastewater treatment unit; at updated plant - US_Without Amendment_Windrow</v>
      </c>
    </row>
    <row r="7474" spans="1:13" s="120" customFormat="1" x14ac:dyDescent="0.25">
      <c r="A7474" s="119"/>
      <c r="B7474" s="138" t="str">
        <f t="shared" si="574"/>
        <v>Windrow</v>
      </c>
      <c r="C7474" s="138" t="str">
        <f t="shared" si="572"/>
        <v>Without Amendment</v>
      </c>
      <c r="D7474" s="138" t="str">
        <f t="shared" si="577"/>
        <v>Medium_High</v>
      </c>
      <c r="E7474" s="138" t="str">
        <f t="shared" si="573"/>
        <v>High</v>
      </c>
      <c r="F7474" s="138" t="str">
        <f t="shared" si="575"/>
        <v>Upgraded</v>
      </c>
      <c r="G7474" s="153"/>
      <c r="H7474" s="210">
        <v>1.1003000000000001</v>
      </c>
      <c r="I7474" s="160" t="s">
        <v>271</v>
      </c>
      <c r="J7474" s="160">
        <v>9.0500000000000008E-3</v>
      </c>
      <c r="K7474" s="160" t="s">
        <v>24</v>
      </c>
      <c r="L7474" s="154" t="str">
        <f>IF(OpenLCAbasic!K7474="CTUh", "Fill in Manually",IF(OR(K7474="Unit", K7474=""), "", INDEX(LookUps!$E$5:$E$12, MATCH(OpenLCAbasic!K7474,LookUps!$D$5:$D$12,0))))</f>
        <v>Acidification Potential (AP) - kg SO2 eq</v>
      </c>
      <c r="M7474" s="154" t="str">
        <f t="shared" si="571"/>
        <v>High_Medium_High_Upgraded_Acidification Potential (AP) - kg SO2 eq_Biosolids composting; windrow composting; wastewater treatment unit; at updated plant - US_Without Amendment_Windrow</v>
      </c>
    </row>
    <row r="7475" spans="1:13" s="120" customFormat="1" x14ac:dyDescent="0.25">
      <c r="A7475" s="119"/>
      <c r="B7475" s="138" t="str">
        <f t="shared" si="574"/>
        <v>Windrow</v>
      </c>
      <c r="C7475" s="138" t="str">
        <f t="shared" si="572"/>
        <v>Without Amendment</v>
      </c>
      <c r="D7475" s="138" t="str">
        <f t="shared" si="577"/>
        <v>Medium_High</v>
      </c>
      <c r="E7475" s="138" t="str">
        <f t="shared" si="573"/>
        <v>High</v>
      </c>
      <c r="F7475" s="138" t="str">
        <f t="shared" si="575"/>
        <v>Upgraded</v>
      </c>
      <c r="G7475" s="153"/>
      <c r="H7475" s="210">
        <v>0.60560000000000003</v>
      </c>
      <c r="I7475" s="160" t="s">
        <v>54</v>
      </c>
      <c r="J7475" s="160">
        <v>4.9800000000000001E-3</v>
      </c>
      <c r="K7475" s="160" t="s">
        <v>24</v>
      </c>
      <c r="L7475" s="154" t="str">
        <f>IF(OpenLCAbasic!K7475="CTUh", "Fill in Manually",IF(OR(K7475="Unit", K7475=""), "", INDEX(LookUps!$E$5:$E$12, MATCH(OpenLCAbasic!K7475,LookUps!$D$5:$D$12,0))))</f>
        <v>Acidification Potential (AP) - kg SO2 eq</v>
      </c>
      <c r="M7475" s="154" t="str">
        <f t="shared" si="571"/>
        <v>High_Medium_High_Upgraded_Acidification Potential (AP) - kg SO2 eq_Clear Cove Primary Clarification; wastewater treatment unit; at updated plant - US_Without Amendment_Windrow</v>
      </c>
    </row>
    <row r="7476" spans="1:13" s="120" customFormat="1" x14ac:dyDescent="0.25">
      <c r="A7476" s="119"/>
      <c r="B7476" s="138" t="str">
        <f t="shared" si="574"/>
        <v>Windrow</v>
      </c>
      <c r="C7476" s="138" t="str">
        <f t="shared" si="572"/>
        <v>Without Amendment</v>
      </c>
      <c r="D7476" s="138" t="str">
        <f t="shared" si="577"/>
        <v>Medium_High</v>
      </c>
      <c r="E7476" s="138" t="str">
        <f t="shared" si="573"/>
        <v>High</v>
      </c>
      <c r="F7476" s="138" t="str">
        <f t="shared" si="575"/>
        <v>Upgraded</v>
      </c>
      <c r="G7476" s="153"/>
      <c r="H7476" s="210">
        <v>0.52849999999999997</v>
      </c>
      <c r="I7476" s="160" t="s">
        <v>58</v>
      </c>
      <c r="J7476" s="160">
        <v>4.3499999999999997E-3</v>
      </c>
      <c r="K7476" s="160" t="s">
        <v>24</v>
      </c>
      <c r="L7476" s="154" t="str">
        <f>IF(OpenLCAbasic!K7476="CTUh", "Fill in Manually",IF(OR(K7476="Unit", K7476=""), "", INDEX(LookUps!$E$5:$E$12, MATCH(OpenLCAbasic!K7476,LookUps!$D$5:$D$12,0))))</f>
        <v>Acidification Potential (AP) - kg SO2 eq</v>
      </c>
      <c r="M7476" s="154" t="str">
        <f t="shared" si="571"/>
        <v>High_Medium_High_Upgraded_Acidification Potential (AP) - kg SO2 eq_Pre-Anoxic &amp; Swing tank; wastewater treatment unit; at updated plant - US_Without Amendment_Windrow</v>
      </c>
    </row>
    <row r="7477" spans="1:13" s="120" customFormat="1" x14ac:dyDescent="0.25">
      <c r="A7477" s="119"/>
      <c r="B7477" s="138" t="str">
        <f t="shared" si="574"/>
        <v>Windrow</v>
      </c>
      <c r="C7477" s="138" t="str">
        <f t="shared" si="572"/>
        <v>Without Amendment</v>
      </c>
      <c r="D7477" s="138" t="str">
        <f t="shared" si="577"/>
        <v>Medium_High</v>
      </c>
      <c r="E7477" s="138" t="str">
        <f t="shared" si="573"/>
        <v>High</v>
      </c>
      <c r="F7477" s="138" t="str">
        <f t="shared" si="575"/>
        <v>Upgraded</v>
      </c>
      <c r="G7477" s="153"/>
      <c r="H7477" s="210">
        <v>0.41959999999999997</v>
      </c>
      <c r="I7477" s="160" t="s">
        <v>53</v>
      </c>
      <c r="J7477" s="160">
        <v>3.4499999999999999E-3</v>
      </c>
      <c r="K7477" s="160" t="s">
        <v>24</v>
      </c>
      <c r="L7477" s="154" t="str">
        <f>IF(OpenLCAbasic!K7477="CTUh", "Fill in Manually",IF(OR(K7477="Unit", K7477=""), "", INDEX(LookUps!$E$5:$E$12, MATCH(OpenLCAbasic!K7477,LookUps!$D$5:$D$12,0))))</f>
        <v>Acidification Potential (AP) - kg SO2 eq</v>
      </c>
      <c r="M7477" s="154" t="str">
        <f t="shared" si="571"/>
        <v>High_Medium_High_Upgraded_Acidification Potential (AP) - kg SO2 eq_Wet Well and Sump Station; wastewater treatment unit; at updated plant - US_Without Amendment_Windrow</v>
      </c>
    </row>
    <row r="7478" spans="1:13" s="120" customFormat="1" x14ac:dyDescent="0.25">
      <c r="A7478" s="119"/>
      <c r="B7478" s="138" t="str">
        <f t="shared" si="574"/>
        <v>Windrow</v>
      </c>
      <c r="C7478" s="138" t="str">
        <f t="shared" si="572"/>
        <v>Without Amendment</v>
      </c>
      <c r="D7478" s="138" t="str">
        <f t="shared" si="577"/>
        <v>Medium_High</v>
      </c>
      <c r="E7478" s="138" t="str">
        <f t="shared" si="573"/>
        <v>High</v>
      </c>
      <c r="F7478" s="138" t="str">
        <f t="shared" si="575"/>
        <v>Upgraded</v>
      </c>
      <c r="G7478" s="153"/>
      <c r="H7478" s="210">
        <v>0.30780000000000002</v>
      </c>
      <c r="I7478" s="160" t="s">
        <v>167</v>
      </c>
      <c r="J7478" s="160">
        <v>2.5300000000000001E-3</v>
      </c>
      <c r="K7478" s="160" t="s">
        <v>24</v>
      </c>
      <c r="L7478" s="154" t="str">
        <f>IF(OpenLCAbasic!K7478="CTUh", "Fill in Manually",IF(OR(K7478="Unit", K7478=""), "", INDEX(LookUps!$E$5:$E$12, MATCH(OpenLCAbasic!K7478,LookUps!$D$5:$D$12,0))))</f>
        <v>Acidification Potential (AP) - kg SO2 eq</v>
      </c>
      <c r="M7478" s="154" t="str">
        <f t="shared" si="571"/>
        <v>High_Medium_High_Upgraded_Acidification Potential (AP) - kg SO2 eq_Waste Receiving and Holding; wastewater treatment unit; at updated plant - US_Without Amendment_Windrow</v>
      </c>
    </row>
    <row r="7479" spans="1:13" s="120" customFormat="1" x14ac:dyDescent="0.25">
      <c r="A7479" s="119"/>
      <c r="B7479" s="138" t="str">
        <f t="shared" si="574"/>
        <v>Windrow</v>
      </c>
      <c r="C7479" s="138" t="str">
        <f t="shared" si="572"/>
        <v>Without Amendment</v>
      </c>
      <c r="D7479" s="138" t="str">
        <f t="shared" si="577"/>
        <v>Medium_High</v>
      </c>
      <c r="E7479" s="138" t="str">
        <f t="shared" si="573"/>
        <v>High</v>
      </c>
      <c r="F7479" s="138" t="str">
        <f t="shared" si="575"/>
        <v>Upgraded</v>
      </c>
      <c r="G7479" s="153"/>
      <c r="H7479" s="210">
        <v>0.2515</v>
      </c>
      <c r="I7479" s="160" t="s">
        <v>147</v>
      </c>
      <c r="J7479" s="160">
        <v>2.0699999999999998E-3</v>
      </c>
      <c r="K7479" s="160" t="s">
        <v>24</v>
      </c>
      <c r="L7479" s="154" t="str">
        <f>IF(OpenLCAbasic!K7479="CTUh", "Fill in Manually",IF(OR(K7479="Unit", K7479=""), "", INDEX(LookUps!$E$5:$E$12, MATCH(OpenLCAbasic!K7479,LookUps!$D$5:$D$12,0))))</f>
        <v>Acidification Potential (AP) - kg SO2 eq</v>
      </c>
      <c r="M7479" s="154" t="str">
        <f t="shared" si="571"/>
        <v>High_Medium_High_Upgraded_Acidification Potential (AP) - kg SO2 eq_Influent Pump Station; wastewater treatment unit; at updated plant - US_Without Amendment_Windrow</v>
      </c>
    </row>
    <row r="7480" spans="1:13" s="120" customFormat="1" x14ac:dyDescent="0.25">
      <c r="A7480" s="119"/>
      <c r="B7480" s="138" t="str">
        <f t="shared" si="574"/>
        <v>Windrow</v>
      </c>
      <c r="C7480" s="138" t="str">
        <f t="shared" si="572"/>
        <v>Without Amendment</v>
      </c>
      <c r="D7480" s="138" t="str">
        <f t="shared" si="577"/>
        <v>Medium_High</v>
      </c>
      <c r="E7480" s="138" t="str">
        <f t="shared" si="573"/>
        <v>High</v>
      </c>
      <c r="F7480" s="138" t="str">
        <f t="shared" si="575"/>
        <v>Upgraded</v>
      </c>
      <c r="G7480" s="153"/>
      <c r="H7480" s="210">
        <v>0.24610000000000001</v>
      </c>
      <c r="I7480" s="160" t="s">
        <v>62</v>
      </c>
      <c r="J7480" s="160">
        <v>2.0200000000000001E-3</v>
      </c>
      <c r="K7480" s="160" t="s">
        <v>24</v>
      </c>
      <c r="L7480" s="154" t="str">
        <f>IF(OpenLCAbasic!K7480="CTUh", "Fill in Manually",IF(OR(K7480="Unit", K7480=""), "", INDEX(LookUps!$E$5:$E$12, MATCH(OpenLCAbasic!K7480,LookUps!$D$5:$D$12,0))))</f>
        <v>Acidification Potential (AP) - kg SO2 eq</v>
      </c>
      <c r="M7480" s="154" t="str">
        <f t="shared" si="571"/>
        <v>High_Medium_High_Upgraded_Acidification Potential (AP) - kg SO2 eq_Land application of compost; wastewater treatment unit; at updated plant - US_Without Amendment_Windrow</v>
      </c>
    </row>
    <row r="7481" spans="1:13" s="120" customFormat="1" x14ac:dyDescent="0.25">
      <c r="A7481" s="119"/>
      <c r="B7481" s="138" t="str">
        <f t="shared" si="574"/>
        <v>Windrow</v>
      </c>
      <c r="C7481" s="138" t="str">
        <f t="shared" si="572"/>
        <v>Without Amendment</v>
      </c>
      <c r="D7481" s="138" t="str">
        <f t="shared" si="577"/>
        <v>Medium_High</v>
      </c>
      <c r="E7481" s="138" t="str">
        <f t="shared" si="573"/>
        <v>High</v>
      </c>
      <c r="F7481" s="138" t="str">
        <f t="shared" si="575"/>
        <v>Upgraded</v>
      </c>
      <c r="G7481" s="153"/>
      <c r="H7481" s="210">
        <v>0.14990000000000001</v>
      </c>
      <c r="I7481" s="160" t="s">
        <v>128</v>
      </c>
      <c r="J7481" s="160">
        <v>1.23E-3</v>
      </c>
      <c r="K7481" s="160" t="s">
        <v>24</v>
      </c>
      <c r="L7481" s="154" t="str">
        <f>IF(OpenLCAbasic!K7481="CTUh", "Fill in Manually",IF(OR(K7481="Unit", K7481=""), "", INDEX(LookUps!$E$5:$E$12, MATCH(OpenLCAbasic!K7481,LookUps!$D$5:$D$12,0))))</f>
        <v>Acidification Potential (AP) - kg SO2 eq</v>
      </c>
      <c r="M7481" s="154" t="str">
        <f t="shared" si="571"/>
        <v>High_Medium_High_Upgraded_Acidification Potential (AP) - kg SO2 eq_Wastewater collection; operation and infrastructure; m3 wastewater_Without Amendment_Windrow</v>
      </c>
    </row>
    <row r="7482" spans="1:13" s="120" customFormat="1" x14ac:dyDescent="0.25">
      <c r="A7482" s="119"/>
      <c r="B7482" s="138" t="str">
        <f t="shared" si="574"/>
        <v>Windrow</v>
      </c>
      <c r="C7482" s="138" t="str">
        <f t="shared" si="572"/>
        <v>Without Amendment</v>
      </c>
      <c r="D7482" s="138" t="str">
        <f t="shared" si="577"/>
        <v>Medium_High</v>
      </c>
      <c r="E7482" s="138" t="str">
        <f t="shared" si="573"/>
        <v>High</v>
      </c>
      <c r="F7482" s="138" t="str">
        <f t="shared" si="575"/>
        <v>Upgraded</v>
      </c>
      <c r="G7482" s="153"/>
      <c r="H7482" s="210">
        <v>0.124</v>
      </c>
      <c r="I7482" s="160" t="s">
        <v>60</v>
      </c>
      <c r="J7482" s="160">
        <v>1.0200000000000001E-3</v>
      </c>
      <c r="K7482" s="160" t="s">
        <v>24</v>
      </c>
      <c r="L7482" s="154" t="str">
        <f>IF(OpenLCAbasic!K7482="CTUh", "Fill in Manually",IF(OR(K7482="Unit", K7482=""), "", INDEX(LookUps!$E$5:$E$12, MATCH(OpenLCAbasic!K7482,LookUps!$D$5:$D$12,0))))</f>
        <v>Acidification Potential (AP) - kg SO2 eq</v>
      </c>
      <c r="M7482" s="154" t="str">
        <f t="shared" si="571"/>
        <v>High_Medium_High_Upgraded_Acidification Potential (AP) - kg SO2 eq_Belt filter press; wastewater treatment unit; at updated plant - US_Without Amendment_Windrow</v>
      </c>
    </row>
    <row r="7483" spans="1:13" s="120" customFormat="1" x14ac:dyDescent="0.25">
      <c r="A7483" s="119"/>
      <c r="B7483" s="138" t="str">
        <f t="shared" si="574"/>
        <v>Windrow</v>
      </c>
      <c r="C7483" s="138" t="str">
        <f t="shared" si="572"/>
        <v>Without Amendment</v>
      </c>
      <c r="D7483" s="138" t="str">
        <f t="shared" si="577"/>
        <v>Medium_High</v>
      </c>
      <c r="E7483" s="138" t="str">
        <f t="shared" si="573"/>
        <v>High</v>
      </c>
      <c r="F7483" s="138" t="str">
        <f t="shared" si="575"/>
        <v>Upgraded</v>
      </c>
      <c r="G7483" s="153"/>
      <c r="H7483" s="210">
        <v>8.5599999999999996E-2</v>
      </c>
      <c r="I7483" s="160" t="s">
        <v>57</v>
      </c>
      <c r="J7483" s="160">
        <v>6.9999999999999999E-4</v>
      </c>
      <c r="K7483" s="160" t="s">
        <v>24</v>
      </c>
      <c r="L7483" s="154" t="str">
        <f>IF(OpenLCAbasic!K7483="CTUh", "Fill in Manually",IF(OR(K7483="Unit", K7483=""), "", INDEX(LookUps!$E$5:$E$12, MATCH(OpenLCAbasic!K7483,LookUps!$D$5:$D$12,0))))</f>
        <v>Acidification Potential (AP) - kg SO2 eq</v>
      </c>
      <c r="M7483" s="154" t="str">
        <f t="shared" ref="M7483:M7546" si="578">CONCATENATE(E7483,"_",D7483,"_",F7483,"_",L7483, "_",I7483,"_", C7483,"_", B7483)</f>
        <v>High_Medium_High_Upgraded_Acidification Potential (AP) - kg SO2 eq_Gravity Belt Thickener; wastewater treatment unit; at updated plant - US_Without Amendment_Windrow</v>
      </c>
    </row>
    <row r="7484" spans="1:13" s="120" customFormat="1" x14ac:dyDescent="0.25">
      <c r="A7484" s="119"/>
      <c r="B7484" s="138" t="str">
        <f t="shared" si="574"/>
        <v>Windrow</v>
      </c>
      <c r="C7484" s="138" t="str">
        <f t="shared" si="572"/>
        <v>Without Amendment</v>
      </c>
      <c r="D7484" s="138" t="str">
        <f t="shared" si="577"/>
        <v>Medium_High</v>
      </c>
      <c r="E7484" s="138" t="str">
        <f t="shared" si="573"/>
        <v>High</v>
      </c>
      <c r="F7484" s="138" t="str">
        <f t="shared" si="575"/>
        <v>Upgraded</v>
      </c>
      <c r="G7484" s="153"/>
      <c r="H7484" s="210">
        <v>6.2799999999999995E-2</v>
      </c>
      <c r="I7484" s="160" t="s">
        <v>59</v>
      </c>
      <c r="J7484" s="160">
        <v>5.1999999999999995E-4</v>
      </c>
      <c r="K7484" s="160" t="s">
        <v>24</v>
      </c>
      <c r="L7484" s="154" t="str">
        <f>IF(OpenLCAbasic!K7484="CTUh", "Fill in Manually",IF(OR(K7484="Unit", K7484=""), "", INDEX(LookUps!$E$5:$E$12, MATCH(OpenLCAbasic!K7484,LookUps!$D$5:$D$12,0))))</f>
        <v>Acidification Potential (AP) - kg SO2 eq</v>
      </c>
      <c r="M7484" s="154" t="str">
        <f t="shared" si="578"/>
        <v>High_Medium_High_Upgraded_Acidification Potential (AP) - kg SO2 eq_Blend Tank; wastewater treatment unit; at updated plant - US_Without Amendment_Windrow</v>
      </c>
    </row>
    <row r="7485" spans="1:13" s="120" customFormat="1" x14ac:dyDescent="0.25">
      <c r="A7485" s="119"/>
      <c r="B7485" s="138" t="str">
        <f t="shared" si="574"/>
        <v>Windrow</v>
      </c>
      <c r="C7485" s="138" t="str">
        <f t="shared" si="572"/>
        <v>Without Amendment</v>
      </c>
      <c r="D7485" s="138" t="str">
        <f t="shared" si="577"/>
        <v>Medium_High</v>
      </c>
      <c r="E7485" s="138" t="str">
        <f t="shared" si="573"/>
        <v>High</v>
      </c>
      <c r="F7485" s="138" t="str">
        <f t="shared" si="575"/>
        <v>Upgraded</v>
      </c>
      <c r="G7485" s="153"/>
      <c r="H7485" s="210">
        <v>4.2099999999999999E-2</v>
      </c>
      <c r="I7485" s="160" t="s">
        <v>48</v>
      </c>
      <c r="J7485" s="160">
        <v>3.5E-4</v>
      </c>
      <c r="K7485" s="160" t="s">
        <v>24</v>
      </c>
      <c r="L7485" s="154" t="str">
        <f>IF(OpenLCAbasic!K7485="CTUh", "Fill in Manually",IF(OR(K7485="Unit", K7485=""), "", INDEX(LookUps!$E$5:$E$12, MATCH(OpenLCAbasic!K7485,LookUps!$D$5:$D$12,0))))</f>
        <v>Acidification Potential (AP) - kg SO2 eq</v>
      </c>
      <c r="M7485" s="154" t="str">
        <f t="shared" si="578"/>
        <v>High_Medium_High_Upgraded_Acidification Potential (AP) - kg SO2 eq_Effluent release; wastewater treatment unit; at surface water; m3 wastewater - US_Without Amendment_Windrow</v>
      </c>
    </row>
    <row r="7486" spans="1:13" s="120" customFormat="1" x14ac:dyDescent="0.25">
      <c r="A7486" s="119"/>
      <c r="B7486" s="138" t="str">
        <f t="shared" si="574"/>
        <v>Windrow</v>
      </c>
      <c r="C7486" s="138" t="str">
        <f t="shared" si="572"/>
        <v>Without Amendment</v>
      </c>
      <c r="D7486" s="138" t="str">
        <f t="shared" si="577"/>
        <v>Medium_High</v>
      </c>
      <c r="E7486" s="138" t="str">
        <f t="shared" si="573"/>
        <v>High</v>
      </c>
      <c r="F7486" s="138" t="str">
        <f t="shared" si="575"/>
        <v>Upgraded</v>
      </c>
      <c r="G7486" s="153"/>
      <c r="H7486" s="210">
        <v>3.1E-2</v>
      </c>
      <c r="I7486" s="160" t="s">
        <v>168</v>
      </c>
      <c r="J7486" s="160">
        <v>2.5999999999999998E-4</v>
      </c>
      <c r="K7486" s="160" t="s">
        <v>24</v>
      </c>
      <c r="L7486" s="154" t="str">
        <f>IF(OpenLCAbasic!K7486="CTUh", "Fill in Manually",IF(OR(K7486="Unit", K7486=""), "", INDEX(LookUps!$E$5:$E$12, MATCH(OpenLCAbasic!K7486,LookUps!$D$5:$D$12,0))))</f>
        <v>Acidification Potential (AP) - kg SO2 eq</v>
      </c>
      <c r="M7486" s="154" t="str">
        <f t="shared" si="578"/>
        <v>High_Medium_High_Upgraded_Acidification Potential (AP) - kg SO2 eq_ClearCove SCP; wastewater treatment unit; at updated plant - US_Without Amendment_Windrow</v>
      </c>
    </row>
    <row r="7487" spans="1:13" s="120" customFormat="1" x14ac:dyDescent="0.25">
      <c r="A7487" s="119"/>
      <c r="B7487" s="138" t="str">
        <f t="shared" si="574"/>
        <v>Windrow</v>
      </c>
      <c r="C7487" s="138" t="str">
        <f t="shared" si="572"/>
        <v>Without Amendment</v>
      </c>
      <c r="D7487" s="138" t="str">
        <f t="shared" si="577"/>
        <v>Medium_High</v>
      </c>
      <c r="E7487" s="138" t="str">
        <f t="shared" si="573"/>
        <v>High</v>
      </c>
      <c r="F7487" s="138" t="str">
        <f t="shared" si="575"/>
        <v>Upgraded</v>
      </c>
      <c r="G7487" s="153"/>
      <c r="H7487" s="210">
        <v>4.8999999999999998E-3</v>
      </c>
      <c r="I7487" s="160" t="s">
        <v>148</v>
      </c>
      <c r="J7487" s="211">
        <v>4.0354700000000002E-5</v>
      </c>
      <c r="K7487" s="160" t="s">
        <v>24</v>
      </c>
      <c r="L7487" s="154" t="str">
        <f>IF(OpenLCAbasic!K7487="CTUh", "Fill in Manually",IF(OR(K7487="Unit", K7487=""), "", INDEX(LookUps!$E$5:$E$12, MATCH(OpenLCAbasic!K7487,LookUps!$D$5:$D$12,0))))</f>
        <v>Acidification Potential (AP) - kg SO2 eq</v>
      </c>
      <c r="M7487" s="154" t="str">
        <f t="shared" si="578"/>
        <v>High_Medium_High_Upgraded_Acidification Potential (AP) - kg SO2 eq_Control Building; at upgraded wastewater treatment plant - US_Without Amendment_Windrow</v>
      </c>
    </row>
    <row r="7488" spans="1:13" s="120" customFormat="1" x14ac:dyDescent="0.25">
      <c r="A7488" s="119"/>
      <c r="B7488" s="138" t="str">
        <f t="shared" si="574"/>
        <v>Windrow</v>
      </c>
      <c r="C7488" s="138" t="str">
        <f t="shared" si="572"/>
        <v>Without Amendment</v>
      </c>
      <c r="D7488" s="138" t="str">
        <f t="shared" si="577"/>
        <v>Medium_High</v>
      </c>
      <c r="E7488" s="138" t="str">
        <f t="shared" si="573"/>
        <v>High</v>
      </c>
      <c r="F7488" s="138" t="str">
        <f t="shared" si="575"/>
        <v>Upgraded</v>
      </c>
      <c r="G7488" s="153"/>
      <c r="H7488" s="210">
        <v>-7.0536000000000003</v>
      </c>
      <c r="I7488" s="160" t="s">
        <v>149</v>
      </c>
      <c r="J7488" s="160">
        <v>-5.8009999999999999E-2</v>
      </c>
      <c r="K7488" s="160" t="s">
        <v>24</v>
      </c>
      <c r="L7488" s="154" t="str">
        <f>IF(OpenLCAbasic!K7488="CTUh", "Fill in Manually",IF(OR(K7488="Unit", K7488=""), "", INDEX(LookUps!$E$5:$E$12, MATCH(OpenLCAbasic!K7488,LookUps!$D$5:$D$12,0))))</f>
        <v>Acidification Potential (AP) - kg SO2 eq</v>
      </c>
      <c r="M7488" s="154" t="str">
        <f t="shared" si="578"/>
        <v>High_Medium_High_Upgraded_Acidification Potential (AP) - kg SO2 eq_Anaerobic Digestion; wastewater treatment unit; at updated plant - US_Without Amendment_Windrow</v>
      </c>
    </row>
    <row r="7489" spans="1:13" s="120" customFormat="1" x14ac:dyDescent="0.25">
      <c r="A7489" s="119"/>
      <c r="B7489" s="138" t="str">
        <f t="shared" si="574"/>
        <v/>
      </c>
      <c r="C7489" s="138" t="str">
        <f t="shared" ref="C7489:C7552" si="579">IF(ISNUMBER($J7489),"Without Amendment","")</f>
        <v/>
      </c>
      <c r="D7489" s="138" t="str">
        <f t="shared" si="577"/>
        <v/>
      </c>
      <c r="E7489" s="138" t="str">
        <f t="shared" si="573"/>
        <v/>
      </c>
      <c r="F7489" s="138" t="str">
        <f t="shared" si="575"/>
        <v/>
      </c>
      <c r="G7489" s="153" t="s">
        <v>51</v>
      </c>
      <c r="H7489" s="160"/>
      <c r="I7489" s="160" t="s">
        <v>47</v>
      </c>
      <c r="J7489" s="160" t="s">
        <v>52</v>
      </c>
      <c r="K7489" s="160" t="s">
        <v>27</v>
      </c>
      <c r="L7489" s="154" t="str">
        <f>IF(OpenLCAbasic!K7489="CTUh", "Fill in Manually",IF(OR(K7489="Unit", K7489=""), "", INDEX(LookUps!$E$5:$E$12, MATCH(OpenLCAbasic!K7489,LookUps!$D$5:$D$12,0))))</f>
        <v/>
      </c>
      <c r="M7489" s="154" t="str">
        <f t="shared" si="578"/>
        <v>____Process__</v>
      </c>
    </row>
    <row r="7490" spans="1:13" s="120" customFormat="1" x14ac:dyDescent="0.25">
      <c r="A7490" s="119"/>
      <c r="B7490" s="138" t="str">
        <f t="shared" si="574"/>
        <v>Windrow</v>
      </c>
      <c r="C7490" s="138" t="str">
        <f t="shared" si="579"/>
        <v>Without Amendment</v>
      </c>
      <c r="D7490" s="138" t="str">
        <f t="shared" si="577"/>
        <v>Medium_High</v>
      </c>
      <c r="E7490" s="138" t="str">
        <f t="shared" si="573"/>
        <v>High</v>
      </c>
      <c r="F7490" s="138" t="str">
        <f t="shared" si="575"/>
        <v>Upgraded</v>
      </c>
      <c r="G7490" s="153"/>
      <c r="H7490" s="210">
        <v>1.4523999999999999</v>
      </c>
      <c r="I7490" s="160" t="s">
        <v>167</v>
      </c>
      <c r="J7490" s="160">
        <v>4.2789599999999997</v>
      </c>
      <c r="K7490" s="160" t="s">
        <v>15</v>
      </c>
      <c r="L7490" s="154" t="str">
        <f>IF(OpenLCAbasic!K7490="CTUh", "Fill in Manually",IF(OR(K7490="Unit", K7490=""), "", INDEX(LookUps!$E$5:$E$12, MATCH(OpenLCAbasic!K7490,LookUps!$D$5:$D$12,0))))</f>
        <v>Cumulative Energy Demand (CED) - MJ</v>
      </c>
      <c r="M7490" s="154" t="str">
        <f t="shared" si="578"/>
        <v>High_Medium_High_Upgraded_Cumulative Energy Demand (CED) - MJ_Waste Receiving and Holding; wastewater treatment unit; at updated plant - US_Without Amendment_Windrow</v>
      </c>
    </row>
    <row r="7491" spans="1:13" s="120" customFormat="1" x14ac:dyDescent="0.25">
      <c r="A7491" s="119"/>
      <c r="B7491" s="138" t="str">
        <f t="shared" si="574"/>
        <v>Windrow</v>
      </c>
      <c r="C7491" s="138" t="str">
        <f t="shared" si="579"/>
        <v>Without Amendment</v>
      </c>
      <c r="D7491" s="138" t="str">
        <f t="shared" si="577"/>
        <v>Medium_High</v>
      </c>
      <c r="E7491" s="138" t="str">
        <f t="shared" si="573"/>
        <v>High</v>
      </c>
      <c r="F7491" s="138" t="str">
        <f t="shared" si="575"/>
        <v>Upgraded</v>
      </c>
      <c r="G7491" s="153"/>
      <c r="H7491" s="210">
        <v>1.1992</v>
      </c>
      <c r="I7491" s="160" t="s">
        <v>55</v>
      </c>
      <c r="J7491" s="160">
        <v>3.5330499999999998</v>
      </c>
      <c r="K7491" s="160" t="s">
        <v>15</v>
      </c>
      <c r="L7491" s="154" t="str">
        <f>IF(OpenLCAbasic!K7491="CTUh", "Fill in Manually",IF(OR(K7491="Unit", K7491=""), "", INDEX(LookUps!$E$5:$E$12, MATCH(OpenLCAbasic!K7491,LookUps!$D$5:$D$12,0))))</f>
        <v>Cumulative Energy Demand (CED) - MJ</v>
      </c>
      <c r="M7491" s="154" t="str">
        <f t="shared" si="578"/>
        <v>High_Medium_High_Upgraded_Cumulative Energy Demand (CED) - MJ_Aeration Tanks; wastewater treatment unit; at updated plant - US_Without Amendment_Windrow</v>
      </c>
    </row>
    <row r="7492" spans="1:13" s="120" customFormat="1" x14ac:dyDescent="0.25">
      <c r="A7492" s="119"/>
      <c r="B7492" s="138" t="str">
        <f t="shared" si="574"/>
        <v>Windrow</v>
      </c>
      <c r="C7492" s="138" t="str">
        <f t="shared" si="579"/>
        <v>Without Amendment</v>
      </c>
      <c r="D7492" s="138" t="str">
        <f t="shared" si="577"/>
        <v>Medium_High</v>
      </c>
      <c r="E7492" s="138" t="str">
        <f t="shared" si="573"/>
        <v>High</v>
      </c>
      <c r="F7492" s="138" t="str">
        <f t="shared" si="575"/>
        <v>Upgraded</v>
      </c>
      <c r="G7492" s="153"/>
      <c r="H7492" s="210">
        <v>0.3947</v>
      </c>
      <c r="I7492" s="160" t="s">
        <v>54</v>
      </c>
      <c r="J7492" s="160">
        <v>1.16289</v>
      </c>
      <c r="K7492" s="160" t="s">
        <v>15</v>
      </c>
      <c r="L7492" s="154" t="str">
        <f>IF(OpenLCAbasic!K7492="CTUh", "Fill in Manually",IF(OR(K7492="Unit", K7492=""), "", INDEX(LookUps!$E$5:$E$12, MATCH(OpenLCAbasic!K7492,LookUps!$D$5:$D$12,0))))</f>
        <v>Cumulative Energy Demand (CED) - MJ</v>
      </c>
      <c r="M7492" s="154" t="str">
        <f t="shared" si="578"/>
        <v>High_Medium_High_Upgraded_Cumulative Energy Demand (CED) - MJ_Clear Cove Primary Clarification; wastewater treatment unit; at updated plant - US_Without Amendment_Windrow</v>
      </c>
    </row>
    <row r="7493" spans="1:13" s="120" customFormat="1" x14ac:dyDescent="0.25">
      <c r="A7493" s="119"/>
      <c r="B7493" s="138" t="str">
        <f t="shared" si="574"/>
        <v>Windrow</v>
      </c>
      <c r="C7493" s="138" t="str">
        <f t="shared" si="579"/>
        <v>Without Amendment</v>
      </c>
      <c r="D7493" s="138" t="str">
        <f t="shared" si="577"/>
        <v>Medium_High</v>
      </c>
      <c r="E7493" s="138" t="str">
        <f t="shared" si="573"/>
        <v>High</v>
      </c>
      <c r="F7493" s="138" t="str">
        <f t="shared" si="575"/>
        <v>Upgraded</v>
      </c>
      <c r="G7493" s="153"/>
      <c r="H7493" s="210">
        <v>0.30109999999999998</v>
      </c>
      <c r="I7493" s="160" t="s">
        <v>58</v>
      </c>
      <c r="J7493" s="160">
        <v>0.88705000000000001</v>
      </c>
      <c r="K7493" s="160" t="s">
        <v>15</v>
      </c>
      <c r="L7493" s="154" t="str">
        <f>IF(OpenLCAbasic!K7493="CTUh", "Fill in Manually",IF(OR(K7493="Unit", K7493=""), "", INDEX(LookUps!$E$5:$E$12, MATCH(OpenLCAbasic!K7493,LookUps!$D$5:$D$12,0))))</f>
        <v>Cumulative Energy Demand (CED) - MJ</v>
      </c>
      <c r="M7493" s="154" t="str">
        <f t="shared" si="578"/>
        <v>High_Medium_High_Upgraded_Cumulative Energy Demand (CED) - MJ_Pre-Anoxic &amp; Swing tank; wastewater treatment unit; at updated plant - US_Without Amendment_Windrow</v>
      </c>
    </row>
    <row r="7494" spans="1:13" s="120" customFormat="1" x14ac:dyDescent="0.25">
      <c r="A7494" s="119"/>
      <c r="B7494" s="138" t="str">
        <f t="shared" si="574"/>
        <v>Windrow</v>
      </c>
      <c r="C7494" s="138" t="str">
        <f t="shared" si="579"/>
        <v>Without Amendment</v>
      </c>
      <c r="D7494" s="138" t="str">
        <f t="shared" si="577"/>
        <v>Medium_High</v>
      </c>
      <c r="E7494" s="138" t="str">
        <f t="shared" si="573"/>
        <v>High</v>
      </c>
      <c r="F7494" s="138" t="str">
        <f t="shared" si="575"/>
        <v>Upgraded</v>
      </c>
      <c r="G7494" s="153"/>
      <c r="H7494" s="210">
        <v>0.29970000000000002</v>
      </c>
      <c r="I7494" s="160" t="s">
        <v>147</v>
      </c>
      <c r="J7494" s="160">
        <v>0.88297000000000003</v>
      </c>
      <c r="K7494" s="160" t="s">
        <v>15</v>
      </c>
      <c r="L7494" s="154" t="str">
        <f>IF(OpenLCAbasic!K7494="CTUh", "Fill in Manually",IF(OR(K7494="Unit", K7494=""), "", INDEX(LookUps!$E$5:$E$12, MATCH(OpenLCAbasic!K7494,LookUps!$D$5:$D$12,0))))</f>
        <v>Cumulative Energy Demand (CED) - MJ</v>
      </c>
      <c r="M7494" s="154" t="str">
        <f t="shared" si="578"/>
        <v>High_Medium_High_Upgraded_Cumulative Energy Demand (CED) - MJ_Influent Pump Station; wastewater treatment unit; at updated plant - US_Without Amendment_Windrow</v>
      </c>
    </row>
    <row r="7495" spans="1:13" s="120" customFormat="1" x14ac:dyDescent="0.25">
      <c r="A7495" s="119"/>
      <c r="B7495" s="138" t="str">
        <f t="shared" si="574"/>
        <v>Windrow</v>
      </c>
      <c r="C7495" s="138" t="str">
        <f t="shared" si="579"/>
        <v>Without Amendment</v>
      </c>
      <c r="D7495" s="138" t="str">
        <f t="shared" si="577"/>
        <v>Medium_High</v>
      </c>
      <c r="E7495" s="138" t="str">
        <f t="shared" si="573"/>
        <v>High</v>
      </c>
      <c r="F7495" s="138" t="str">
        <f t="shared" si="575"/>
        <v>Upgraded</v>
      </c>
      <c r="G7495" s="153"/>
      <c r="H7495" s="210">
        <v>0.2364</v>
      </c>
      <c r="I7495" s="160" t="s">
        <v>53</v>
      </c>
      <c r="J7495" s="160">
        <v>0.69645000000000001</v>
      </c>
      <c r="K7495" s="160" t="s">
        <v>15</v>
      </c>
      <c r="L7495" s="154" t="str">
        <f>IF(OpenLCAbasic!K7495="CTUh", "Fill in Manually",IF(OR(K7495="Unit", K7495=""), "", INDEX(LookUps!$E$5:$E$12, MATCH(OpenLCAbasic!K7495,LookUps!$D$5:$D$12,0))))</f>
        <v>Cumulative Energy Demand (CED) - MJ</v>
      </c>
      <c r="M7495" s="154" t="str">
        <f t="shared" si="578"/>
        <v>High_Medium_High_Upgraded_Cumulative Energy Demand (CED) - MJ_Wet Well and Sump Station; wastewater treatment unit; at updated plant - US_Without Amendment_Windrow</v>
      </c>
    </row>
    <row r="7496" spans="1:13" s="120" customFormat="1" x14ac:dyDescent="0.25">
      <c r="A7496" s="119"/>
      <c r="B7496" s="138" t="str">
        <f t="shared" si="574"/>
        <v>Windrow</v>
      </c>
      <c r="C7496" s="138" t="str">
        <f t="shared" si="579"/>
        <v>Without Amendment</v>
      </c>
      <c r="D7496" s="138" t="str">
        <f t="shared" si="577"/>
        <v>Medium_High</v>
      </c>
      <c r="E7496" s="138" t="str">
        <f t="shared" si="573"/>
        <v>High</v>
      </c>
      <c r="F7496" s="138" t="str">
        <f t="shared" si="575"/>
        <v>Upgraded</v>
      </c>
      <c r="G7496" s="153"/>
      <c r="H7496" s="210">
        <v>0.1293</v>
      </c>
      <c r="I7496" s="160" t="s">
        <v>60</v>
      </c>
      <c r="J7496" s="160">
        <v>0.38092999999999999</v>
      </c>
      <c r="K7496" s="160" t="s">
        <v>15</v>
      </c>
      <c r="L7496" s="154" t="str">
        <f>IF(OpenLCAbasic!K7496="CTUh", "Fill in Manually",IF(OR(K7496="Unit", K7496=""), "", INDEX(LookUps!$E$5:$E$12, MATCH(OpenLCAbasic!K7496,LookUps!$D$5:$D$12,0))))</f>
        <v>Cumulative Energy Demand (CED) - MJ</v>
      </c>
      <c r="M7496" s="154" t="str">
        <f t="shared" si="578"/>
        <v>High_Medium_High_Upgraded_Cumulative Energy Demand (CED) - MJ_Belt filter press; wastewater treatment unit; at updated plant - US_Without Amendment_Windrow</v>
      </c>
    </row>
    <row r="7497" spans="1:13" s="120" customFormat="1" x14ac:dyDescent="0.25">
      <c r="A7497" s="119"/>
      <c r="B7497" s="138" t="str">
        <f t="shared" si="574"/>
        <v>Windrow</v>
      </c>
      <c r="C7497" s="138" t="str">
        <f t="shared" si="579"/>
        <v>Without Amendment</v>
      </c>
      <c r="D7497" s="138" t="str">
        <f t="shared" si="577"/>
        <v>Medium_High</v>
      </c>
      <c r="E7497" s="138" t="str">
        <f t="shared" ref="E7497:E7560" si="580">IF(ISNUMBER($J7497),"High","")</f>
        <v>High</v>
      </c>
      <c r="F7497" s="138" t="str">
        <f t="shared" si="575"/>
        <v>Upgraded</v>
      </c>
      <c r="G7497" s="153"/>
      <c r="H7497" s="210">
        <v>0.1134</v>
      </c>
      <c r="I7497" s="160" t="s">
        <v>57</v>
      </c>
      <c r="J7497" s="160">
        <v>0.33404</v>
      </c>
      <c r="K7497" s="160" t="s">
        <v>15</v>
      </c>
      <c r="L7497" s="154" t="str">
        <f>IF(OpenLCAbasic!K7497="CTUh", "Fill in Manually",IF(OR(K7497="Unit", K7497=""), "", INDEX(LookUps!$E$5:$E$12, MATCH(OpenLCAbasic!K7497,LookUps!$D$5:$D$12,0))))</f>
        <v>Cumulative Energy Demand (CED) - MJ</v>
      </c>
      <c r="M7497" s="154" t="str">
        <f t="shared" si="578"/>
        <v>High_Medium_High_Upgraded_Cumulative Energy Demand (CED) - MJ_Gravity Belt Thickener; wastewater treatment unit; at updated plant - US_Without Amendment_Windrow</v>
      </c>
    </row>
    <row r="7498" spans="1:13" s="120" customFormat="1" x14ac:dyDescent="0.25">
      <c r="A7498" s="119"/>
      <c r="B7498" s="138" t="str">
        <f t="shared" si="574"/>
        <v>Windrow</v>
      </c>
      <c r="C7498" s="138" t="str">
        <f t="shared" si="579"/>
        <v>Without Amendment</v>
      </c>
      <c r="D7498" s="138" t="str">
        <f t="shared" si="577"/>
        <v>Medium_High</v>
      </c>
      <c r="E7498" s="138" t="str">
        <f t="shared" si="580"/>
        <v>High</v>
      </c>
      <c r="F7498" s="138" t="str">
        <f t="shared" si="575"/>
        <v>Upgraded</v>
      </c>
      <c r="G7498" s="153"/>
      <c r="H7498" s="210">
        <v>8.6900000000000005E-2</v>
      </c>
      <c r="I7498" s="160" t="s">
        <v>128</v>
      </c>
      <c r="J7498" s="160">
        <v>0.25606000000000001</v>
      </c>
      <c r="K7498" s="160" t="s">
        <v>15</v>
      </c>
      <c r="L7498" s="154" t="str">
        <f>IF(OpenLCAbasic!K7498="CTUh", "Fill in Manually",IF(OR(K7498="Unit", K7498=""), "", INDEX(LookUps!$E$5:$E$12, MATCH(OpenLCAbasic!K7498,LookUps!$D$5:$D$12,0))))</f>
        <v>Cumulative Energy Demand (CED) - MJ</v>
      </c>
      <c r="M7498" s="154" t="str">
        <f t="shared" si="578"/>
        <v>High_Medium_High_Upgraded_Cumulative Energy Demand (CED) - MJ_Wastewater collection; operation and infrastructure; m3 wastewater_Without Amendment_Windrow</v>
      </c>
    </row>
    <row r="7499" spans="1:13" s="120" customFormat="1" x14ac:dyDescent="0.25">
      <c r="A7499" s="119"/>
      <c r="B7499" s="138" t="str">
        <f t="shared" si="574"/>
        <v>Windrow</v>
      </c>
      <c r="C7499" s="138" t="str">
        <f t="shared" si="579"/>
        <v>Without Amendment</v>
      </c>
      <c r="D7499" s="138" t="str">
        <f t="shared" si="577"/>
        <v>Medium_High</v>
      </c>
      <c r="E7499" s="138" t="str">
        <f t="shared" si="580"/>
        <v>High</v>
      </c>
      <c r="F7499" s="138" t="str">
        <f t="shared" si="575"/>
        <v>Upgraded</v>
      </c>
      <c r="G7499" s="153"/>
      <c r="H7499" s="210">
        <v>4.9599999999999998E-2</v>
      </c>
      <c r="I7499" s="160" t="s">
        <v>148</v>
      </c>
      <c r="J7499" s="160">
        <v>0.14599000000000001</v>
      </c>
      <c r="K7499" s="160" t="s">
        <v>15</v>
      </c>
      <c r="L7499" s="154" t="str">
        <f>IF(OpenLCAbasic!K7499="CTUh", "Fill in Manually",IF(OR(K7499="Unit", K7499=""), "", INDEX(LookUps!$E$5:$E$12, MATCH(OpenLCAbasic!K7499,LookUps!$D$5:$D$12,0))))</f>
        <v>Cumulative Energy Demand (CED) - MJ</v>
      </c>
      <c r="M7499" s="154" t="str">
        <f t="shared" si="578"/>
        <v>High_Medium_High_Upgraded_Cumulative Energy Demand (CED) - MJ_Control Building; at upgraded wastewater treatment plant - US_Without Amendment_Windrow</v>
      </c>
    </row>
    <row r="7500" spans="1:13" s="120" customFormat="1" x14ac:dyDescent="0.25">
      <c r="A7500" s="119"/>
      <c r="B7500" s="138" t="str">
        <f t="shared" si="574"/>
        <v>Windrow</v>
      </c>
      <c r="C7500" s="138" t="str">
        <f t="shared" si="579"/>
        <v>Without Amendment</v>
      </c>
      <c r="D7500" s="138" t="str">
        <f t="shared" si="577"/>
        <v>Medium_High</v>
      </c>
      <c r="E7500" s="138" t="str">
        <f t="shared" si="580"/>
        <v>High</v>
      </c>
      <c r="F7500" s="138" t="str">
        <f t="shared" si="575"/>
        <v>Upgraded</v>
      </c>
      <c r="G7500" s="153"/>
      <c r="H7500" s="210">
        <v>4.5199999999999997E-2</v>
      </c>
      <c r="I7500" s="160" t="s">
        <v>48</v>
      </c>
      <c r="J7500" s="160">
        <v>0.13321</v>
      </c>
      <c r="K7500" s="160" t="s">
        <v>15</v>
      </c>
      <c r="L7500" s="154" t="str">
        <f>IF(OpenLCAbasic!K7500="CTUh", "Fill in Manually",IF(OR(K7500="Unit", K7500=""), "", INDEX(LookUps!$E$5:$E$12, MATCH(OpenLCAbasic!K7500,LookUps!$D$5:$D$12,0))))</f>
        <v>Cumulative Energy Demand (CED) - MJ</v>
      </c>
      <c r="M7500" s="154" t="str">
        <f t="shared" si="578"/>
        <v>High_Medium_High_Upgraded_Cumulative Energy Demand (CED) - MJ_Effluent release; wastewater treatment unit; at surface water; m3 wastewater - US_Without Amendment_Windrow</v>
      </c>
    </row>
    <row r="7501" spans="1:13" s="120" customFormat="1" x14ac:dyDescent="0.25">
      <c r="A7501" s="119"/>
      <c r="B7501" s="138" t="str">
        <f t="shared" si="574"/>
        <v>Windrow</v>
      </c>
      <c r="C7501" s="138" t="str">
        <f t="shared" si="579"/>
        <v>Without Amendment</v>
      </c>
      <c r="D7501" s="138" t="str">
        <f t="shared" si="577"/>
        <v>Medium_High</v>
      </c>
      <c r="E7501" s="138" t="str">
        <f t="shared" si="580"/>
        <v>High</v>
      </c>
      <c r="F7501" s="138" t="str">
        <f t="shared" si="575"/>
        <v>Upgraded</v>
      </c>
      <c r="G7501" s="153"/>
      <c r="H7501" s="210">
        <v>3.61E-2</v>
      </c>
      <c r="I7501" s="160" t="s">
        <v>59</v>
      </c>
      <c r="J7501" s="160">
        <v>0.10638</v>
      </c>
      <c r="K7501" s="160" t="s">
        <v>15</v>
      </c>
      <c r="L7501" s="154" t="str">
        <f>IF(OpenLCAbasic!K7501="CTUh", "Fill in Manually",IF(OR(K7501="Unit", K7501=""), "", INDEX(LookUps!$E$5:$E$12, MATCH(OpenLCAbasic!K7501,LookUps!$D$5:$D$12,0))))</f>
        <v>Cumulative Energy Demand (CED) - MJ</v>
      </c>
      <c r="M7501" s="154" t="str">
        <f t="shared" si="578"/>
        <v>High_Medium_High_Upgraded_Cumulative Energy Demand (CED) - MJ_Blend Tank; wastewater treatment unit; at updated plant - US_Without Amendment_Windrow</v>
      </c>
    </row>
    <row r="7502" spans="1:13" s="120" customFormat="1" x14ac:dyDescent="0.25">
      <c r="A7502" s="119"/>
      <c r="B7502" s="138" t="str">
        <f t="shared" si="574"/>
        <v>Windrow</v>
      </c>
      <c r="C7502" s="138" t="str">
        <f t="shared" si="579"/>
        <v>Without Amendment</v>
      </c>
      <c r="D7502" s="138" t="str">
        <f t="shared" si="577"/>
        <v>Medium_High</v>
      </c>
      <c r="E7502" s="138" t="str">
        <f t="shared" si="580"/>
        <v>High</v>
      </c>
      <c r="F7502" s="138" t="str">
        <f t="shared" si="575"/>
        <v>Upgraded</v>
      </c>
      <c r="G7502" s="153"/>
      <c r="H7502" s="210">
        <v>1.7299999999999999E-2</v>
      </c>
      <c r="I7502" s="160" t="s">
        <v>168</v>
      </c>
      <c r="J7502" s="160">
        <v>5.0930000000000003E-2</v>
      </c>
      <c r="K7502" s="160" t="s">
        <v>15</v>
      </c>
      <c r="L7502" s="154" t="str">
        <f>IF(OpenLCAbasic!K7502="CTUh", "Fill in Manually",IF(OR(K7502="Unit", K7502=""), "", INDEX(LookUps!$E$5:$E$12, MATCH(OpenLCAbasic!K7502,LookUps!$D$5:$D$12,0))))</f>
        <v>Cumulative Energy Demand (CED) - MJ</v>
      </c>
      <c r="M7502" s="154" t="str">
        <f t="shared" si="578"/>
        <v>High_Medium_High_Upgraded_Cumulative Energy Demand (CED) - MJ_ClearCove SCP; wastewater treatment unit; at updated plant - US_Without Amendment_Windrow</v>
      </c>
    </row>
    <row r="7503" spans="1:13" s="120" customFormat="1" x14ac:dyDescent="0.25">
      <c r="A7503" s="119"/>
      <c r="B7503" s="138" t="str">
        <f t="shared" si="574"/>
        <v>Windrow</v>
      </c>
      <c r="C7503" s="138" t="str">
        <f t="shared" si="579"/>
        <v>Without Amendment</v>
      </c>
      <c r="D7503" s="138" t="str">
        <f t="shared" si="577"/>
        <v>Medium_High</v>
      </c>
      <c r="E7503" s="138" t="str">
        <f t="shared" si="580"/>
        <v>High</v>
      </c>
      <c r="F7503" s="138" t="str">
        <f t="shared" si="575"/>
        <v>Upgraded</v>
      </c>
      <c r="G7503" s="153"/>
      <c r="H7503" s="210">
        <v>8.3999999999999995E-3</v>
      </c>
      <c r="I7503" s="160" t="s">
        <v>271</v>
      </c>
      <c r="J7503" s="160">
        <v>2.486E-2</v>
      </c>
      <c r="K7503" s="160" t="s">
        <v>15</v>
      </c>
      <c r="L7503" s="154" t="str">
        <f>IF(OpenLCAbasic!K7503="CTUh", "Fill in Manually",IF(OR(K7503="Unit", K7503=""), "", INDEX(LookUps!$E$5:$E$12, MATCH(OpenLCAbasic!K7503,LookUps!$D$5:$D$12,0))))</f>
        <v>Cumulative Energy Demand (CED) - MJ</v>
      </c>
      <c r="M7503" s="154" t="str">
        <f t="shared" si="578"/>
        <v>High_Medium_High_Upgraded_Cumulative Energy Demand (CED) - MJ_Biosolids composting; windrow composting; wastewater treatment unit; at updated plant - US_Without Amendment_Windrow</v>
      </c>
    </row>
    <row r="7504" spans="1:13" s="120" customFormat="1" x14ac:dyDescent="0.25">
      <c r="A7504" s="119"/>
      <c r="B7504" s="138" t="str">
        <f t="shared" si="574"/>
        <v>Windrow</v>
      </c>
      <c r="C7504" s="138" t="str">
        <f t="shared" si="579"/>
        <v>Without Amendment</v>
      </c>
      <c r="D7504" s="138" t="str">
        <f t="shared" si="577"/>
        <v>Medium_High</v>
      </c>
      <c r="E7504" s="138" t="str">
        <f t="shared" si="580"/>
        <v>High</v>
      </c>
      <c r="F7504" s="138" t="str">
        <f t="shared" si="575"/>
        <v>Upgraded</v>
      </c>
      <c r="G7504" s="153"/>
      <c r="H7504" s="210">
        <v>-0.1182</v>
      </c>
      <c r="I7504" s="160" t="s">
        <v>62</v>
      </c>
      <c r="J7504" s="160">
        <v>-0.34810999999999998</v>
      </c>
      <c r="K7504" s="160" t="s">
        <v>15</v>
      </c>
      <c r="L7504" s="154" t="str">
        <f>IF(OpenLCAbasic!K7504="CTUh", "Fill in Manually",IF(OR(K7504="Unit", K7504=""), "", INDEX(LookUps!$E$5:$E$12, MATCH(OpenLCAbasic!K7504,LookUps!$D$5:$D$12,0))))</f>
        <v>Cumulative Energy Demand (CED) - MJ</v>
      </c>
      <c r="M7504" s="154" t="str">
        <f t="shared" si="578"/>
        <v>High_Medium_High_Upgraded_Cumulative Energy Demand (CED) - MJ_Land application of compost; wastewater treatment unit; at updated plant - US_Without Amendment_Windrow</v>
      </c>
    </row>
    <row r="7505" spans="1:13" s="120" customFormat="1" x14ac:dyDescent="0.25">
      <c r="A7505" s="119"/>
      <c r="B7505" s="138" t="str">
        <f t="shared" si="574"/>
        <v>Windrow</v>
      </c>
      <c r="C7505" s="138" t="str">
        <f t="shared" si="579"/>
        <v>Without Amendment</v>
      </c>
      <c r="D7505" s="138" t="str">
        <f t="shared" si="577"/>
        <v>Medium_High</v>
      </c>
      <c r="E7505" s="138" t="str">
        <f t="shared" si="580"/>
        <v>High</v>
      </c>
      <c r="F7505" s="138" t="str">
        <f t="shared" si="575"/>
        <v>Upgraded</v>
      </c>
      <c r="G7505" s="153"/>
      <c r="H7505" s="210">
        <v>-5.2515999999999998</v>
      </c>
      <c r="I7505" s="160" t="s">
        <v>149</v>
      </c>
      <c r="J7505" s="160">
        <v>-15.471780000000001</v>
      </c>
      <c r="K7505" s="160" t="s">
        <v>15</v>
      </c>
      <c r="L7505" s="154" t="str">
        <f>IF(OpenLCAbasic!K7505="CTUh", "Fill in Manually",IF(OR(K7505="Unit", K7505=""), "", INDEX(LookUps!$E$5:$E$12, MATCH(OpenLCAbasic!K7505,LookUps!$D$5:$D$12,0))))</f>
        <v>Cumulative Energy Demand (CED) - MJ</v>
      </c>
      <c r="M7505" s="154" t="str">
        <f t="shared" si="578"/>
        <v>High_Medium_High_Upgraded_Cumulative Energy Demand (CED) - MJ_Anaerobic Digestion; wastewater treatment unit; at updated plant - US_Without Amendment_Windrow</v>
      </c>
    </row>
    <row r="7506" spans="1:13" s="120" customFormat="1" x14ac:dyDescent="0.25">
      <c r="A7506" s="119"/>
      <c r="B7506" s="138" t="str">
        <f t="shared" si="574"/>
        <v/>
      </c>
      <c r="C7506" s="138" t="str">
        <f t="shared" si="579"/>
        <v/>
      </c>
      <c r="D7506" s="138" t="str">
        <f t="shared" si="577"/>
        <v/>
      </c>
      <c r="E7506" s="138" t="str">
        <f t="shared" si="580"/>
        <v/>
      </c>
      <c r="F7506" s="138" t="str">
        <f t="shared" si="575"/>
        <v/>
      </c>
      <c r="G7506" s="153" t="s">
        <v>51</v>
      </c>
      <c r="H7506" s="160"/>
      <c r="I7506" s="160" t="s">
        <v>47</v>
      </c>
      <c r="J7506" s="160" t="s">
        <v>52</v>
      </c>
      <c r="K7506" s="160" t="s">
        <v>27</v>
      </c>
      <c r="L7506" s="154" t="str">
        <f>IF(OpenLCAbasic!K7506="CTUh", "Fill in Manually",IF(OR(K7506="Unit", K7506=""), "", INDEX(LookUps!$E$5:$E$12, MATCH(OpenLCAbasic!K7506,LookUps!$D$5:$D$12,0))))</f>
        <v/>
      </c>
      <c r="M7506" s="154" t="str">
        <f t="shared" si="578"/>
        <v>____Process__</v>
      </c>
    </row>
    <row r="7507" spans="1:13" s="120" customFormat="1" x14ac:dyDescent="0.25">
      <c r="A7507" s="119"/>
      <c r="B7507" s="138" t="str">
        <f t="shared" si="574"/>
        <v>Windrow</v>
      </c>
      <c r="C7507" s="138" t="str">
        <f t="shared" si="579"/>
        <v>Without Amendment</v>
      </c>
      <c r="D7507" s="138" t="str">
        <f t="shared" si="577"/>
        <v>Medium_High</v>
      </c>
      <c r="E7507" s="138" t="str">
        <f t="shared" si="580"/>
        <v>High</v>
      </c>
      <c r="F7507" s="138" t="str">
        <f t="shared" si="575"/>
        <v>Upgraded</v>
      </c>
      <c r="G7507" s="153"/>
      <c r="H7507" s="210">
        <v>0.84789999999999999</v>
      </c>
      <c r="I7507" s="160" t="s">
        <v>48</v>
      </c>
      <c r="J7507" s="160">
        <v>1.1610000000000001E-2</v>
      </c>
      <c r="K7507" s="160" t="s">
        <v>13</v>
      </c>
      <c r="L7507" s="154" t="str">
        <f>IF(OpenLCAbasic!K7507="CTUh", "Fill in Manually",IF(OR(K7507="Unit", K7507=""), "", INDEX(LookUps!$E$5:$E$12, MATCH(OpenLCAbasic!K7507,LookUps!$D$5:$D$12,0))))</f>
        <v>Eutrophication Potential (EP) - kg N eq</v>
      </c>
      <c r="M7507" s="154" t="str">
        <f t="shared" si="578"/>
        <v>High_Medium_High_Upgraded_Eutrophication Potential (EP) - kg N eq_Effluent release; wastewater treatment unit; at surface water; m3 wastewater - US_Without Amendment_Windrow</v>
      </c>
    </row>
    <row r="7508" spans="1:13" s="120" customFormat="1" x14ac:dyDescent="0.25">
      <c r="A7508" s="119"/>
      <c r="B7508" s="138" t="str">
        <f t="shared" si="574"/>
        <v>Windrow</v>
      </c>
      <c r="C7508" s="138" t="str">
        <f t="shared" si="579"/>
        <v>Without Amendment</v>
      </c>
      <c r="D7508" s="138" t="str">
        <f t="shared" si="577"/>
        <v>Medium_High</v>
      </c>
      <c r="E7508" s="138" t="str">
        <f t="shared" si="580"/>
        <v>High</v>
      </c>
      <c r="F7508" s="138" t="str">
        <f t="shared" si="575"/>
        <v>Upgraded</v>
      </c>
      <c r="G7508" s="153"/>
      <c r="H7508" s="210">
        <v>0.1197</v>
      </c>
      <c r="I7508" s="160" t="s">
        <v>62</v>
      </c>
      <c r="J7508" s="160">
        <v>1.64E-3</v>
      </c>
      <c r="K7508" s="160" t="s">
        <v>13</v>
      </c>
      <c r="L7508" s="154" t="str">
        <f>IF(OpenLCAbasic!K7508="CTUh", "Fill in Manually",IF(OR(K7508="Unit", K7508=""), "", INDEX(LookUps!$E$5:$E$12, MATCH(OpenLCAbasic!K7508,LookUps!$D$5:$D$12,0))))</f>
        <v>Eutrophication Potential (EP) - kg N eq</v>
      </c>
      <c r="M7508" s="154" t="str">
        <f t="shared" si="578"/>
        <v>High_Medium_High_Upgraded_Eutrophication Potential (EP) - kg N eq_Land application of compost; wastewater treatment unit; at updated plant - US_Without Amendment_Windrow</v>
      </c>
    </row>
    <row r="7509" spans="1:13" s="120" customFormat="1" x14ac:dyDescent="0.25">
      <c r="A7509" s="119"/>
      <c r="B7509" s="138" t="str">
        <f t="shared" si="574"/>
        <v>Windrow</v>
      </c>
      <c r="C7509" s="138" t="str">
        <f t="shared" si="579"/>
        <v>Without Amendment</v>
      </c>
      <c r="D7509" s="138" t="str">
        <f t="shared" si="577"/>
        <v>Medium_High</v>
      </c>
      <c r="E7509" s="138" t="str">
        <f t="shared" si="580"/>
        <v>High</v>
      </c>
      <c r="F7509" s="138" t="str">
        <f t="shared" si="575"/>
        <v>Upgraded</v>
      </c>
      <c r="G7509" s="153"/>
      <c r="H7509" s="210">
        <v>4.1700000000000001E-2</v>
      </c>
      <c r="I7509" s="160" t="s">
        <v>271</v>
      </c>
      <c r="J7509" s="160">
        <v>5.6999999999999998E-4</v>
      </c>
      <c r="K7509" s="160" t="s">
        <v>13</v>
      </c>
      <c r="L7509" s="154" t="str">
        <f>IF(OpenLCAbasic!K7509="CTUh", "Fill in Manually",IF(OR(K7509="Unit", K7509=""), "", INDEX(LookUps!$E$5:$E$12, MATCH(OpenLCAbasic!K7509,LookUps!$D$5:$D$12,0))))</f>
        <v>Eutrophication Potential (EP) - kg N eq</v>
      </c>
      <c r="M7509" s="154" t="str">
        <f t="shared" si="578"/>
        <v>High_Medium_High_Upgraded_Eutrophication Potential (EP) - kg N eq_Biosolids composting; windrow composting; wastewater treatment unit; at updated plant - US_Without Amendment_Windrow</v>
      </c>
    </row>
    <row r="7510" spans="1:13" s="120" customFormat="1" x14ac:dyDescent="0.25">
      <c r="A7510" s="119"/>
      <c r="B7510" s="138" t="str">
        <f t="shared" si="574"/>
        <v>Windrow</v>
      </c>
      <c r="C7510" s="138" t="str">
        <f t="shared" si="579"/>
        <v>Without Amendment</v>
      </c>
      <c r="D7510" s="138" t="str">
        <f t="shared" si="577"/>
        <v>Medium_High</v>
      </c>
      <c r="E7510" s="138" t="str">
        <f t="shared" si="580"/>
        <v>High</v>
      </c>
      <c r="F7510" s="138" t="str">
        <f t="shared" si="575"/>
        <v>Upgraded</v>
      </c>
      <c r="G7510" s="153"/>
      <c r="H7510" s="210">
        <v>3.9899999999999998E-2</v>
      </c>
      <c r="I7510" s="160" t="s">
        <v>55</v>
      </c>
      <c r="J7510" s="160">
        <v>5.5000000000000003E-4</v>
      </c>
      <c r="K7510" s="160" t="s">
        <v>13</v>
      </c>
      <c r="L7510" s="154" t="str">
        <f>IF(OpenLCAbasic!K7510="CTUh", "Fill in Manually",IF(OR(K7510="Unit", K7510=""), "", INDEX(LookUps!$E$5:$E$12, MATCH(OpenLCAbasic!K7510,LookUps!$D$5:$D$12,0))))</f>
        <v>Eutrophication Potential (EP) - kg N eq</v>
      </c>
      <c r="M7510" s="154" t="str">
        <f t="shared" si="578"/>
        <v>High_Medium_High_Upgraded_Eutrophication Potential (EP) - kg N eq_Aeration Tanks; wastewater treatment unit; at updated plant - US_Without Amendment_Windrow</v>
      </c>
    </row>
    <row r="7511" spans="1:13" s="120" customFormat="1" x14ac:dyDescent="0.25">
      <c r="A7511" s="119"/>
      <c r="B7511" s="138" t="str">
        <f t="shared" si="574"/>
        <v>Windrow</v>
      </c>
      <c r="C7511" s="138" t="str">
        <f t="shared" si="579"/>
        <v>Without Amendment</v>
      </c>
      <c r="D7511" s="138" t="str">
        <f t="shared" si="577"/>
        <v>Medium_High</v>
      </c>
      <c r="E7511" s="138" t="str">
        <f t="shared" si="580"/>
        <v>High</v>
      </c>
      <c r="F7511" s="138" t="str">
        <f t="shared" si="575"/>
        <v>Upgraded</v>
      </c>
      <c r="G7511" s="153"/>
      <c r="H7511" s="210">
        <v>1.8200000000000001E-2</v>
      </c>
      <c r="I7511" s="160" t="s">
        <v>147</v>
      </c>
      <c r="J7511" s="160">
        <v>2.5000000000000001E-4</v>
      </c>
      <c r="K7511" s="160" t="s">
        <v>13</v>
      </c>
      <c r="L7511" s="154" t="str">
        <f>IF(OpenLCAbasic!K7511="CTUh", "Fill in Manually",IF(OR(K7511="Unit", K7511=""), "", INDEX(LookUps!$E$5:$E$12, MATCH(OpenLCAbasic!K7511,LookUps!$D$5:$D$12,0))))</f>
        <v>Eutrophication Potential (EP) - kg N eq</v>
      </c>
      <c r="M7511" s="154" t="str">
        <f t="shared" si="578"/>
        <v>High_Medium_High_Upgraded_Eutrophication Potential (EP) - kg N eq_Influent Pump Station; wastewater treatment unit; at updated plant - US_Without Amendment_Windrow</v>
      </c>
    </row>
    <row r="7512" spans="1:13" s="120" customFormat="1" x14ac:dyDescent="0.25">
      <c r="A7512" s="119"/>
      <c r="B7512" s="138" t="str">
        <f t="shared" si="574"/>
        <v>Windrow</v>
      </c>
      <c r="C7512" s="138" t="str">
        <f t="shared" si="579"/>
        <v>Without Amendment</v>
      </c>
      <c r="D7512" s="138" t="str">
        <f t="shared" si="577"/>
        <v>Medium_High</v>
      </c>
      <c r="E7512" s="138" t="str">
        <f t="shared" si="580"/>
        <v>High</v>
      </c>
      <c r="F7512" s="138" t="str">
        <f t="shared" si="575"/>
        <v>Upgraded</v>
      </c>
      <c r="G7512" s="153"/>
      <c r="H7512" s="210">
        <v>1.4500000000000001E-2</v>
      </c>
      <c r="I7512" s="160" t="s">
        <v>54</v>
      </c>
      <c r="J7512" s="160">
        <v>2.0000000000000001E-4</v>
      </c>
      <c r="K7512" s="160" t="s">
        <v>13</v>
      </c>
      <c r="L7512" s="154" t="str">
        <f>IF(OpenLCAbasic!K7512="CTUh", "Fill in Manually",IF(OR(K7512="Unit", K7512=""), "", INDEX(LookUps!$E$5:$E$12, MATCH(OpenLCAbasic!K7512,LookUps!$D$5:$D$12,0))))</f>
        <v>Eutrophication Potential (EP) - kg N eq</v>
      </c>
      <c r="M7512" s="154" t="str">
        <f t="shared" si="578"/>
        <v>High_Medium_High_Upgraded_Eutrophication Potential (EP) - kg N eq_Clear Cove Primary Clarification; wastewater treatment unit; at updated plant - US_Without Amendment_Windrow</v>
      </c>
    </row>
    <row r="7513" spans="1:13" s="120" customFormat="1" x14ac:dyDescent="0.25">
      <c r="A7513" s="119"/>
      <c r="B7513" s="138" t="str">
        <f t="shared" si="574"/>
        <v>Windrow</v>
      </c>
      <c r="C7513" s="138" t="str">
        <f t="shared" si="579"/>
        <v>Without Amendment</v>
      </c>
      <c r="D7513" s="138" t="str">
        <f t="shared" si="577"/>
        <v>Medium_High</v>
      </c>
      <c r="E7513" s="138" t="str">
        <f t="shared" si="580"/>
        <v>High</v>
      </c>
      <c r="F7513" s="138" t="str">
        <f t="shared" si="575"/>
        <v>Upgraded</v>
      </c>
      <c r="G7513" s="153"/>
      <c r="H7513" s="210">
        <v>1.3899999999999999E-2</v>
      </c>
      <c r="I7513" s="160" t="s">
        <v>167</v>
      </c>
      <c r="J7513" s="160">
        <v>1.9000000000000001E-4</v>
      </c>
      <c r="K7513" s="160" t="s">
        <v>13</v>
      </c>
      <c r="L7513" s="154" t="str">
        <f>IF(OpenLCAbasic!K7513="CTUh", "Fill in Manually",IF(OR(K7513="Unit", K7513=""), "", INDEX(LookUps!$E$5:$E$12, MATCH(OpenLCAbasic!K7513,LookUps!$D$5:$D$12,0))))</f>
        <v>Eutrophication Potential (EP) - kg N eq</v>
      </c>
      <c r="M7513" s="154" t="str">
        <f t="shared" si="578"/>
        <v>High_Medium_High_Upgraded_Eutrophication Potential (EP) - kg N eq_Waste Receiving and Holding; wastewater treatment unit; at updated plant - US_Without Amendment_Windrow</v>
      </c>
    </row>
    <row r="7514" spans="1:13" s="120" customFormat="1" x14ac:dyDescent="0.25">
      <c r="A7514" s="119"/>
      <c r="B7514" s="138" t="str">
        <f t="shared" si="574"/>
        <v>Windrow</v>
      </c>
      <c r="C7514" s="138" t="str">
        <f t="shared" si="579"/>
        <v>Without Amendment</v>
      </c>
      <c r="D7514" s="138" t="str">
        <f t="shared" si="577"/>
        <v>Medium_High</v>
      </c>
      <c r="E7514" s="138" t="str">
        <f t="shared" si="580"/>
        <v>High</v>
      </c>
      <c r="F7514" s="138" t="str">
        <f t="shared" si="575"/>
        <v>Upgraded</v>
      </c>
      <c r="G7514" s="153"/>
      <c r="H7514" s="210">
        <v>9.9000000000000008E-3</v>
      </c>
      <c r="I7514" s="160" t="s">
        <v>58</v>
      </c>
      <c r="J7514" s="160">
        <v>1.3999999999999999E-4</v>
      </c>
      <c r="K7514" s="160" t="s">
        <v>13</v>
      </c>
      <c r="L7514" s="154" t="str">
        <f>IF(OpenLCAbasic!K7514="CTUh", "Fill in Manually",IF(OR(K7514="Unit", K7514=""), "", INDEX(LookUps!$E$5:$E$12, MATCH(OpenLCAbasic!K7514,LookUps!$D$5:$D$12,0))))</f>
        <v>Eutrophication Potential (EP) - kg N eq</v>
      </c>
      <c r="M7514" s="154" t="str">
        <f t="shared" si="578"/>
        <v>High_Medium_High_Upgraded_Eutrophication Potential (EP) - kg N eq_Pre-Anoxic &amp; Swing tank; wastewater treatment unit; at updated plant - US_Without Amendment_Windrow</v>
      </c>
    </row>
    <row r="7515" spans="1:13" s="120" customFormat="1" x14ac:dyDescent="0.25">
      <c r="A7515" s="119"/>
      <c r="B7515" s="138" t="str">
        <f t="shared" si="574"/>
        <v>Windrow</v>
      </c>
      <c r="C7515" s="138" t="str">
        <f t="shared" si="579"/>
        <v>Without Amendment</v>
      </c>
      <c r="D7515" s="138" t="str">
        <f t="shared" si="577"/>
        <v>Medium_High</v>
      </c>
      <c r="E7515" s="138" t="str">
        <f t="shared" si="580"/>
        <v>High</v>
      </c>
      <c r="F7515" s="138" t="str">
        <f t="shared" si="575"/>
        <v>Upgraded</v>
      </c>
      <c r="G7515" s="153"/>
      <c r="H7515" s="210">
        <v>7.7999999999999996E-3</v>
      </c>
      <c r="I7515" s="160" t="s">
        <v>53</v>
      </c>
      <c r="J7515" s="160">
        <v>1.1E-4</v>
      </c>
      <c r="K7515" s="160" t="s">
        <v>13</v>
      </c>
      <c r="L7515" s="154" t="str">
        <f>IF(OpenLCAbasic!K7515="CTUh", "Fill in Manually",IF(OR(K7515="Unit", K7515=""), "", INDEX(LookUps!$E$5:$E$12, MATCH(OpenLCAbasic!K7515,LookUps!$D$5:$D$12,0))))</f>
        <v>Eutrophication Potential (EP) - kg N eq</v>
      </c>
      <c r="M7515" s="154" t="str">
        <f t="shared" si="578"/>
        <v>High_Medium_High_Upgraded_Eutrophication Potential (EP) - kg N eq_Wet Well and Sump Station; wastewater treatment unit; at updated plant - US_Without Amendment_Windrow</v>
      </c>
    </row>
    <row r="7516" spans="1:13" s="120" customFormat="1" x14ac:dyDescent="0.25">
      <c r="A7516" s="119"/>
      <c r="B7516" s="138" t="str">
        <f t="shared" si="574"/>
        <v>Windrow</v>
      </c>
      <c r="C7516" s="138" t="str">
        <f t="shared" si="579"/>
        <v>Without Amendment</v>
      </c>
      <c r="D7516" s="138" t="str">
        <f t="shared" si="577"/>
        <v>Medium_High</v>
      </c>
      <c r="E7516" s="138" t="str">
        <f t="shared" si="580"/>
        <v>High</v>
      </c>
      <c r="F7516" s="138" t="str">
        <f t="shared" si="575"/>
        <v>Upgraded</v>
      </c>
      <c r="G7516" s="153"/>
      <c r="H7516" s="210">
        <v>4.8999999999999998E-3</v>
      </c>
      <c r="I7516" s="160" t="s">
        <v>60</v>
      </c>
      <c r="J7516" s="211">
        <v>6.69155E-5</v>
      </c>
      <c r="K7516" s="160" t="s">
        <v>13</v>
      </c>
      <c r="L7516" s="154" t="str">
        <f>IF(OpenLCAbasic!K7516="CTUh", "Fill in Manually",IF(OR(K7516="Unit", K7516=""), "", INDEX(LookUps!$E$5:$E$12, MATCH(OpenLCAbasic!K7516,LookUps!$D$5:$D$12,0))))</f>
        <v>Eutrophication Potential (EP) - kg N eq</v>
      </c>
      <c r="M7516" s="154" t="str">
        <f t="shared" si="578"/>
        <v>High_Medium_High_Upgraded_Eutrophication Potential (EP) - kg N eq_Belt filter press; wastewater treatment unit; at updated plant - US_Without Amendment_Windrow</v>
      </c>
    </row>
    <row r="7517" spans="1:13" s="120" customFormat="1" x14ac:dyDescent="0.25">
      <c r="A7517" s="119"/>
      <c r="B7517" s="138" t="str">
        <f t="shared" si="574"/>
        <v>Windrow</v>
      </c>
      <c r="C7517" s="138" t="str">
        <f t="shared" si="579"/>
        <v>Without Amendment</v>
      </c>
      <c r="D7517" s="138" t="str">
        <f t="shared" si="577"/>
        <v>Medium_High</v>
      </c>
      <c r="E7517" s="138" t="str">
        <f t="shared" si="580"/>
        <v>High</v>
      </c>
      <c r="F7517" s="138" t="str">
        <f t="shared" si="575"/>
        <v>Upgraded</v>
      </c>
      <c r="G7517" s="153"/>
      <c r="H7517" s="210">
        <v>4.4000000000000003E-3</v>
      </c>
      <c r="I7517" s="160" t="s">
        <v>57</v>
      </c>
      <c r="J7517" s="211">
        <v>6.0590300000000002E-5</v>
      </c>
      <c r="K7517" s="160" t="s">
        <v>13</v>
      </c>
      <c r="L7517" s="154" t="str">
        <f>IF(OpenLCAbasic!K7517="CTUh", "Fill in Manually",IF(OR(K7517="Unit", K7517=""), "", INDEX(LookUps!$E$5:$E$12, MATCH(OpenLCAbasic!K7517,LookUps!$D$5:$D$12,0))))</f>
        <v>Eutrophication Potential (EP) - kg N eq</v>
      </c>
      <c r="M7517" s="154" t="str">
        <f t="shared" si="578"/>
        <v>High_Medium_High_Upgraded_Eutrophication Potential (EP) - kg N eq_Gravity Belt Thickener; wastewater treatment unit; at updated plant - US_Without Amendment_Windrow</v>
      </c>
    </row>
    <row r="7518" spans="1:13" s="120" customFormat="1" x14ac:dyDescent="0.25">
      <c r="A7518" s="119"/>
      <c r="B7518" s="138" t="str">
        <f t="shared" si="574"/>
        <v>Windrow</v>
      </c>
      <c r="C7518" s="138" t="str">
        <f t="shared" si="579"/>
        <v>Without Amendment</v>
      </c>
      <c r="D7518" s="138" t="str">
        <f t="shared" si="577"/>
        <v>Medium_High</v>
      </c>
      <c r="E7518" s="138" t="str">
        <f t="shared" si="580"/>
        <v>High</v>
      </c>
      <c r="F7518" s="138" t="str">
        <f t="shared" si="575"/>
        <v>Upgraded</v>
      </c>
      <c r="G7518" s="153"/>
      <c r="H7518" s="210">
        <v>2.7000000000000001E-3</v>
      </c>
      <c r="I7518" s="160" t="s">
        <v>128</v>
      </c>
      <c r="J7518" s="211">
        <v>3.7559799999999999E-5</v>
      </c>
      <c r="K7518" s="160" t="s">
        <v>13</v>
      </c>
      <c r="L7518" s="154" t="str">
        <f>IF(OpenLCAbasic!K7518="CTUh", "Fill in Manually",IF(OR(K7518="Unit", K7518=""), "", INDEX(LookUps!$E$5:$E$12, MATCH(OpenLCAbasic!K7518,LookUps!$D$5:$D$12,0))))</f>
        <v>Eutrophication Potential (EP) - kg N eq</v>
      </c>
      <c r="M7518" s="154" t="str">
        <f t="shared" si="578"/>
        <v>High_Medium_High_Upgraded_Eutrophication Potential (EP) - kg N eq_Wastewater collection; operation and infrastructure; m3 wastewater_Without Amendment_Windrow</v>
      </c>
    </row>
    <row r="7519" spans="1:13" s="120" customFormat="1" x14ac:dyDescent="0.25">
      <c r="A7519" s="119"/>
      <c r="B7519" s="138" t="str">
        <f t="shared" si="574"/>
        <v>Windrow</v>
      </c>
      <c r="C7519" s="138" t="str">
        <f t="shared" si="579"/>
        <v>Without Amendment</v>
      </c>
      <c r="D7519" s="138" t="str">
        <f t="shared" si="577"/>
        <v>Medium_High</v>
      </c>
      <c r="E7519" s="138" t="str">
        <f t="shared" si="580"/>
        <v>High</v>
      </c>
      <c r="F7519" s="138" t="str">
        <f t="shared" si="575"/>
        <v>Upgraded</v>
      </c>
      <c r="G7519" s="153"/>
      <c r="H7519" s="210">
        <v>2.7000000000000001E-3</v>
      </c>
      <c r="I7519" s="160" t="s">
        <v>148</v>
      </c>
      <c r="J7519" s="211">
        <v>3.6874600000000001E-5</v>
      </c>
      <c r="K7519" s="160" t="s">
        <v>13</v>
      </c>
      <c r="L7519" s="154" t="str">
        <f>IF(OpenLCAbasic!K7519="CTUh", "Fill in Manually",IF(OR(K7519="Unit", K7519=""), "", INDEX(LookUps!$E$5:$E$12, MATCH(OpenLCAbasic!K7519,LookUps!$D$5:$D$12,0))))</f>
        <v>Eutrophication Potential (EP) - kg N eq</v>
      </c>
      <c r="M7519" s="154" t="str">
        <f t="shared" si="578"/>
        <v>High_Medium_High_Upgraded_Eutrophication Potential (EP) - kg N eq_Control Building; at upgraded wastewater treatment plant - US_Without Amendment_Windrow</v>
      </c>
    </row>
    <row r="7520" spans="1:13" s="120" customFormat="1" x14ac:dyDescent="0.25">
      <c r="A7520" s="119"/>
      <c r="B7520" s="138" t="str">
        <f t="shared" si="574"/>
        <v>Windrow</v>
      </c>
      <c r="C7520" s="138" t="str">
        <f t="shared" si="579"/>
        <v>Without Amendment</v>
      </c>
      <c r="D7520" s="138" t="str">
        <f t="shared" si="577"/>
        <v>Medium_High</v>
      </c>
      <c r="E7520" s="138" t="str">
        <f t="shared" si="580"/>
        <v>High</v>
      </c>
      <c r="F7520" s="138" t="str">
        <f t="shared" si="575"/>
        <v>Upgraded</v>
      </c>
      <c r="G7520" s="153"/>
      <c r="H7520" s="210">
        <v>1.1999999999999999E-3</v>
      </c>
      <c r="I7520" s="160" t="s">
        <v>59</v>
      </c>
      <c r="J7520" s="211">
        <v>1.6215700000000001E-5</v>
      </c>
      <c r="K7520" s="160" t="s">
        <v>13</v>
      </c>
      <c r="L7520" s="154" t="str">
        <f>IF(OpenLCAbasic!K7520="CTUh", "Fill in Manually",IF(OR(K7520="Unit", K7520=""), "", INDEX(LookUps!$E$5:$E$12, MATCH(OpenLCAbasic!K7520,LookUps!$D$5:$D$12,0))))</f>
        <v>Eutrophication Potential (EP) - kg N eq</v>
      </c>
      <c r="M7520" s="154" t="str">
        <f t="shared" si="578"/>
        <v>High_Medium_High_Upgraded_Eutrophication Potential (EP) - kg N eq_Blend Tank; wastewater treatment unit; at updated plant - US_Without Amendment_Windrow</v>
      </c>
    </row>
    <row r="7521" spans="1:13" s="120" customFormat="1" x14ac:dyDescent="0.25">
      <c r="A7521" s="119"/>
      <c r="B7521" s="138" t="str">
        <f t="shared" si="574"/>
        <v>Windrow</v>
      </c>
      <c r="C7521" s="138" t="str">
        <f t="shared" si="579"/>
        <v>Without Amendment</v>
      </c>
      <c r="D7521" s="138" t="str">
        <f t="shared" si="577"/>
        <v>Medium_High</v>
      </c>
      <c r="E7521" s="138" t="str">
        <f t="shared" si="580"/>
        <v>High</v>
      </c>
      <c r="F7521" s="138" t="str">
        <f t="shared" si="575"/>
        <v>Upgraded</v>
      </c>
      <c r="G7521" s="153"/>
      <c r="H7521" s="210">
        <v>5.9999999999999995E-4</v>
      </c>
      <c r="I7521" s="160" t="s">
        <v>168</v>
      </c>
      <c r="J7521" s="211">
        <v>7.7567199999999995E-6</v>
      </c>
      <c r="K7521" s="160" t="s">
        <v>13</v>
      </c>
      <c r="L7521" s="154" t="str">
        <f>IF(OpenLCAbasic!K7521="CTUh", "Fill in Manually",IF(OR(K7521="Unit", K7521=""), "", INDEX(LookUps!$E$5:$E$12, MATCH(OpenLCAbasic!K7521,LookUps!$D$5:$D$12,0))))</f>
        <v>Eutrophication Potential (EP) - kg N eq</v>
      </c>
      <c r="M7521" s="154" t="str">
        <f t="shared" si="578"/>
        <v>High_Medium_High_Upgraded_Eutrophication Potential (EP) - kg N eq_ClearCove SCP; wastewater treatment unit; at updated plant - US_Without Amendment_Windrow</v>
      </c>
    </row>
    <row r="7522" spans="1:13" s="120" customFormat="1" x14ac:dyDescent="0.25">
      <c r="A7522" s="119"/>
      <c r="B7522" s="138" t="str">
        <f t="shared" si="574"/>
        <v>Windrow</v>
      </c>
      <c r="C7522" s="138" t="str">
        <f t="shared" si="579"/>
        <v>Without Amendment</v>
      </c>
      <c r="D7522" s="138" t="str">
        <f t="shared" si="577"/>
        <v>Medium_High</v>
      </c>
      <c r="E7522" s="138" t="str">
        <f t="shared" si="580"/>
        <v>High</v>
      </c>
      <c r="F7522" s="138" t="str">
        <f t="shared" si="575"/>
        <v>Upgraded</v>
      </c>
      <c r="G7522" s="153"/>
      <c r="H7522" s="210">
        <v>-0.13</v>
      </c>
      <c r="I7522" s="160" t="s">
        <v>149</v>
      </c>
      <c r="J7522" s="160">
        <v>-1.7799999999999999E-3</v>
      </c>
      <c r="K7522" s="160" t="s">
        <v>13</v>
      </c>
      <c r="L7522" s="154" t="str">
        <f>IF(OpenLCAbasic!K7522="CTUh", "Fill in Manually",IF(OR(K7522="Unit", K7522=""), "", INDEX(LookUps!$E$5:$E$12, MATCH(OpenLCAbasic!K7522,LookUps!$D$5:$D$12,0))))</f>
        <v>Eutrophication Potential (EP) - kg N eq</v>
      </c>
      <c r="M7522" s="154" t="str">
        <f t="shared" si="578"/>
        <v>High_Medium_High_Upgraded_Eutrophication Potential (EP) - kg N eq_Anaerobic Digestion; wastewater treatment unit; at updated plant - US_Without Amendment_Windrow</v>
      </c>
    </row>
    <row r="7523" spans="1:13" s="120" customFormat="1" x14ac:dyDescent="0.25">
      <c r="A7523" s="119"/>
      <c r="B7523" s="138" t="str">
        <f t="shared" si="574"/>
        <v/>
      </c>
      <c r="C7523" s="138" t="str">
        <f t="shared" si="579"/>
        <v/>
      </c>
      <c r="D7523" s="138" t="str">
        <f t="shared" si="577"/>
        <v/>
      </c>
      <c r="E7523" s="138" t="str">
        <f t="shared" si="580"/>
        <v/>
      </c>
      <c r="F7523" s="138" t="str">
        <f t="shared" si="575"/>
        <v/>
      </c>
      <c r="G7523" s="153" t="s">
        <v>51</v>
      </c>
      <c r="H7523" s="160"/>
      <c r="I7523" s="160" t="s">
        <v>47</v>
      </c>
      <c r="J7523" s="160" t="s">
        <v>52</v>
      </c>
      <c r="K7523" s="160" t="s">
        <v>27</v>
      </c>
      <c r="L7523" s="154" t="str">
        <f>IF(OpenLCAbasic!K7523="CTUh", "Fill in Manually",IF(OR(K7523="Unit", K7523=""), "", INDEX(LookUps!$E$5:$E$12, MATCH(OpenLCAbasic!K7523,LookUps!$D$5:$D$12,0))))</f>
        <v/>
      </c>
      <c r="M7523" s="154" t="str">
        <f t="shared" si="578"/>
        <v>____Process__</v>
      </c>
    </row>
    <row r="7524" spans="1:13" s="120" customFormat="1" x14ac:dyDescent="0.25">
      <c r="A7524" s="119"/>
      <c r="B7524" s="138" t="str">
        <f t="shared" si="574"/>
        <v>Windrow</v>
      </c>
      <c r="C7524" s="138" t="str">
        <f t="shared" si="579"/>
        <v>Without Amendment</v>
      </c>
      <c r="D7524" s="138" t="str">
        <f t="shared" si="577"/>
        <v>Medium_High</v>
      </c>
      <c r="E7524" s="138" t="str">
        <f t="shared" si="580"/>
        <v>High</v>
      </c>
      <c r="F7524" s="138" t="str">
        <f t="shared" si="575"/>
        <v>Upgraded</v>
      </c>
      <c r="G7524" s="153"/>
      <c r="H7524" s="210">
        <v>1.8671</v>
      </c>
      <c r="I7524" s="160" t="s">
        <v>167</v>
      </c>
      <c r="J7524" s="160">
        <v>9.7259999999999999E-2</v>
      </c>
      <c r="K7524" s="160" t="s">
        <v>14</v>
      </c>
      <c r="L7524" s="154" t="str">
        <f>IF(OpenLCAbasic!K7524="CTUh", "Fill in Manually",IF(OR(K7524="Unit", K7524=""), "", INDEX(LookUps!$E$5:$E$12, MATCH(OpenLCAbasic!K7524,LookUps!$D$5:$D$12,0))))</f>
        <v>Fossil Depletion Potential (FDP) - kg oil eq</v>
      </c>
      <c r="M7524" s="154" t="str">
        <f t="shared" si="578"/>
        <v>High_Medium_High_Upgraded_Fossil Depletion Potential (FDP) - kg oil eq_Waste Receiving and Holding; wastewater treatment unit; at updated plant - US_Without Amendment_Windrow</v>
      </c>
    </row>
    <row r="7525" spans="1:13" s="120" customFormat="1" x14ac:dyDescent="0.25">
      <c r="A7525" s="119"/>
      <c r="B7525" s="138" t="str">
        <f t="shared" si="574"/>
        <v>Windrow</v>
      </c>
      <c r="C7525" s="138" t="str">
        <f t="shared" si="579"/>
        <v>Without Amendment</v>
      </c>
      <c r="D7525" s="138" t="str">
        <f t="shared" si="577"/>
        <v>Medium_High</v>
      </c>
      <c r="E7525" s="138" t="str">
        <f t="shared" si="580"/>
        <v>High</v>
      </c>
      <c r="F7525" s="138" t="str">
        <f t="shared" si="575"/>
        <v>Upgraded</v>
      </c>
      <c r="G7525" s="153"/>
      <c r="H7525" s="210">
        <v>1.2208000000000001</v>
      </c>
      <c r="I7525" s="160" t="s">
        <v>55</v>
      </c>
      <c r="J7525" s="160">
        <v>6.3589999999999994E-2</v>
      </c>
      <c r="K7525" s="160" t="s">
        <v>14</v>
      </c>
      <c r="L7525" s="154" t="str">
        <f>IF(OpenLCAbasic!K7525="CTUh", "Fill in Manually",IF(OR(K7525="Unit", K7525=""), "", INDEX(LookUps!$E$5:$E$12, MATCH(OpenLCAbasic!K7525,LookUps!$D$5:$D$12,0))))</f>
        <v>Fossil Depletion Potential (FDP) - kg oil eq</v>
      </c>
      <c r="M7525" s="154" t="str">
        <f t="shared" si="578"/>
        <v>High_Medium_High_Upgraded_Fossil Depletion Potential (FDP) - kg oil eq_Aeration Tanks; wastewater treatment unit; at updated plant - US_Without Amendment_Windrow</v>
      </c>
    </row>
    <row r="7526" spans="1:13" s="120" customFormat="1" x14ac:dyDescent="0.25">
      <c r="A7526" s="119"/>
      <c r="B7526" s="138" t="str">
        <f t="shared" si="574"/>
        <v>Windrow</v>
      </c>
      <c r="C7526" s="138" t="str">
        <f t="shared" si="579"/>
        <v>Without Amendment</v>
      </c>
      <c r="D7526" s="138" t="str">
        <f t="shared" si="577"/>
        <v>Medium_High</v>
      </c>
      <c r="E7526" s="138" t="str">
        <f t="shared" si="580"/>
        <v>High</v>
      </c>
      <c r="F7526" s="138" t="str">
        <f t="shared" si="575"/>
        <v>Upgraded</v>
      </c>
      <c r="G7526" s="153"/>
      <c r="H7526" s="210">
        <v>0.40410000000000001</v>
      </c>
      <c r="I7526" s="160" t="s">
        <v>54</v>
      </c>
      <c r="J7526" s="160">
        <v>2.1049999999999999E-2</v>
      </c>
      <c r="K7526" s="160" t="s">
        <v>14</v>
      </c>
      <c r="L7526" s="154" t="str">
        <f>IF(OpenLCAbasic!K7526="CTUh", "Fill in Manually",IF(OR(K7526="Unit", K7526=""), "", INDEX(LookUps!$E$5:$E$12, MATCH(OpenLCAbasic!K7526,LookUps!$D$5:$D$12,0))))</f>
        <v>Fossil Depletion Potential (FDP) - kg oil eq</v>
      </c>
      <c r="M7526" s="154" t="str">
        <f t="shared" si="578"/>
        <v>High_Medium_High_Upgraded_Fossil Depletion Potential (FDP) - kg oil eq_Clear Cove Primary Clarification; wastewater treatment unit; at updated plant - US_Without Amendment_Windrow</v>
      </c>
    </row>
    <row r="7527" spans="1:13" s="120" customFormat="1" x14ac:dyDescent="0.25">
      <c r="A7527" s="119"/>
      <c r="B7527" s="138" t="str">
        <f t="shared" si="574"/>
        <v>Windrow</v>
      </c>
      <c r="C7527" s="138" t="str">
        <f t="shared" si="579"/>
        <v>Without Amendment</v>
      </c>
      <c r="D7527" s="138" t="str">
        <f t="shared" si="577"/>
        <v>Medium_High</v>
      </c>
      <c r="E7527" s="138" t="str">
        <f t="shared" si="580"/>
        <v>High</v>
      </c>
      <c r="F7527" s="138" t="str">
        <f t="shared" si="575"/>
        <v>Upgraded</v>
      </c>
      <c r="G7527" s="153"/>
      <c r="H7527" s="210">
        <v>0.30669999999999997</v>
      </c>
      <c r="I7527" s="160" t="s">
        <v>58</v>
      </c>
      <c r="J7527" s="160">
        <v>1.5980000000000001E-2</v>
      </c>
      <c r="K7527" s="160" t="s">
        <v>14</v>
      </c>
      <c r="L7527" s="154" t="str">
        <f>IF(OpenLCAbasic!K7527="CTUh", "Fill in Manually",IF(OR(K7527="Unit", K7527=""), "", INDEX(LookUps!$E$5:$E$12, MATCH(OpenLCAbasic!K7527,LookUps!$D$5:$D$12,0))))</f>
        <v>Fossil Depletion Potential (FDP) - kg oil eq</v>
      </c>
      <c r="M7527" s="154" t="str">
        <f t="shared" si="578"/>
        <v>High_Medium_High_Upgraded_Fossil Depletion Potential (FDP) - kg oil eq_Pre-Anoxic &amp; Swing tank; wastewater treatment unit; at updated plant - US_Without Amendment_Windrow</v>
      </c>
    </row>
    <row r="7528" spans="1:13" s="120" customFormat="1" x14ac:dyDescent="0.25">
      <c r="A7528" s="119"/>
      <c r="B7528" s="138" t="str">
        <f t="shared" ref="B7528:B7591" si="581">IF(F7528="Legacy","n.a.",IF(F7528="","","Windrow"))</f>
        <v>Windrow</v>
      </c>
      <c r="C7528" s="138" t="str">
        <f t="shared" si="579"/>
        <v>Without Amendment</v>
      </c>
      <c r="D7528" s="138" t="str">
        <f t="shared" si="577"/>
        <v>Medium_High</v>
      </c>
      <c r="E7528" s="138" t="str">
        <f t="shared" si="580"/>
        <v>High</v>
      </c>
      <c r="F7528" s="138" t="str">
        <f t="shared" ref="F7528:F7591" si="582">IF(ISNUMBER(J7528),"Upgraded","")</f>
        <v>Upgraded</v>
      </c>
      <c r="G7528" s="153"/>
      <c r="H7528" s="210">
        <v>0.28970000000000001</v>
      </c>
      <c r="I7528" s="160" t="s">
        <v>147</v>
      </c>
      <c r="J7528" s="160">
        <v>1.5089999999999999E-2</v>
      </c>
      <c r="K7528" s="160" t="s">
        <v>14</v>
      </c>
      <c r="L7528" s="154" t="str">
        <f>IF(OpenLCAbasic!K7528="CTUh", "Fill in Manually",IF(OR(K7528="Unit", K7528=""), "", INDEX(LookUps!$E$5:$E$12, MATCH(OpenLCAbasic!K7528,LookUps!$D$5:$D$12,0))))</f>
        <v>Fossil Depletion Potential (FDP) - kg oil eq</v>
      </c>
      <c r="M7528" s="154" t="str">
        <f t="shared" si="578"/>
        <v>High_Medium_High_Upgraded_Fossil Depletion Potential (FDP) - kg oil eq_Influent Pump Station; wastewater treatment unit; at updated plant - US_Without Amendment_Windrow</v>
      </c>
    </row>
    <row r="7529" spans="1:13" s="120" customFormat="1" x14ac:dyDescent="0.25">
      <c r="A7529" s="119"/>
      <c r="B7529" s="138" t="str">
        <f t="shared" si="581"/>
        <v>Windrow</v>
      </c>
      <c r="C7529" s="138" t="str">
        <f t="shared" si="579"/>
        <v>Without Amendment</v>
      </c>
      <c r="D7529" s="138" t="str">
        <f t="shared" si="577"/>
        <v>Medium_High</v>
      </c>
      <c r="E7529" s="138" t="str">
        <f t="shared" si="580"/>
        <v>High</v>
      </c>
      <c r="F7529" s="138" t="str">
        <f t="shared" si="582"/>
        <v>Upgraded</v>
      </c>
      <c r="G7529" s="153"/>
      <c r="H7529" s="210">
        <v>0.23980000000000001</v>
      </c>
      <c r="I7529" s="160" t="s">
        <v>53</v>
      </c>
      <c r="J7529" s="160">
        <v>1.2489999999999999E-2</v>
      </c>
      <c r="K7529" s="160" t="s">
        <v>14</v>
      </c>
      <c r="L7529" s="154" t="str">
        <f>IF(OpenLCAbasic!K7529="CTUh", "Fill in Manually",IF(OR(K7529="Unit", K7529=""), "", INDEX(LookUps!$E$5:$E$12, MATCH(OpenLCAbasic!K7529,LookUps!$D$5:$D$12,0))))</f>
        <v>Fossil Depletion Potential (FDP) - kg oil eq</v>
      </c>
      <c r="M7529" s="154" t="str">
        <f t="shared" si="578"/>
        <v>High_Medium_High_Upgraded_Fossil Depletion Potential (FDP) - kg oil eq_Wet Well and Sump Station; wastewater treatment unit; at updated plant - US_Without Amendment_Windrow</v>
      </c>
    </row>
    <row r="7530" spans="1:13" s="120" customFormat="1" x14ac:dyDescent="0.25">
      <c r="A7530" s="119"/>
      <c r="B7530" s="138" t="str">
        <f t="shared" si="581"/>
        <v>Windrow</v>
      </c>
      <c r="C7530" s="138" t="str">
        <f t="shared" si="579"/>
        <v>Without Amendment</v>
      </c>
      <c r="D7530" s="138" t="str">
        <f t="shared" si="577"/>
        <v>Medium_High</v>
      </c>
      <c r="E7530" s="138" t="str">
        <f t="shared" si="580"/>
        <v>High</v>
      </c>
      <c r="F7530" s="138" t="str">
        <f t="shared" si="582"/>
        <v>Upgraded</v>
      </c>
      <c r="G7530" s="153"/>
      <c r="H7530" s="210">
        <v>0.14749999999999999</v>
      </c>
      <c r="I7530" s="160" t="s">
        <v>60</v>
      </c>
      <c r="J7530" s="160">
        <v>7.6800000000000002E-3</v>
      </c>
      <c r="K7530" s="160" t="s">
        <v>14</v>
      </c>
      <c r="L7530" s="154" t="str">
        <f>IF(OpenLCAbasic!K7530="CTUh", "Fill in Manually",IF(OR(K7530="Unit", K7530=""), "", INDEX(LookUps!$E$5:$E$12, MATCH(OpenLCAbasic!K7530,LookUps!$D$5:$D$12,0))))</f>
        <v>Fossil Depletion Potential (FDP) - kg oil eq</v>
      </c>
      <c r="M7530" s="154" t="str">
        <f t="shared" si="578"/>
        <v>High_Medium_High_Upgraded_Fossil Depletion Potential (FDP) - kg oil eq_Belt filter press; wastewater treatment unit; at updated plant - US_Without Amendment_Windrow</v>
      </c>
    </row>
    <row r="7531" spans="1:13" s="120" customFormat="1" x14ac:dyDescent="0.25">
      <c r="A7531" s="119"/>
      <c r="B7531" s="138" t="str">
        <f t="shared" si="581"/>
        <v>Windrow</v>
      </c>
      <c r="C7531" s="138" t="str">
        <f t="shared" si="579"/>
        <v>Without Amendment</v>
      </c>
      <c r="D7531" s="138" t="str">
        <f t="shared" si="577"/>
        <v>Medium_High</v>
      </c>
      <c r="E7531" s="138" t="str">
        <f t="shared" si="580"/>
        <v>High</v>
      </c>
      <c r="F7531" s="138" t="str">
        <f t="shared" si="582"/>
        <v>Upgraded</v>
      </c>
      <c r="G7531" s="153"/>
      <c r="H7531" s="210">
        <v>0.1328</v>
      </c>
      <c r="I7531" s="160" t="s">
        <v>57</v>
      </c>
      <c r="J7531" s="160">
        <v>6.9199999999999999E-3</v>
      </c>
      <c r="K7531" s="160" t="s">
        <v>14</v>
      </c>
      <c r="L7531" s="154" t="str">
        <f>IF(OpenLCAbasic!K7531="CTUh", "Fill in Manually",IF(OR(K7531="Unit", K7531=""), "", INDEX(LookUps!$E$5:$E$12, MATCH(OpenLCAbasic!K7531,LookUps!$D$5:$D$12,0))))</f>
        <v>Fossil Depletion Potential (FDP) - kg oil eq</v>
      </c>
      <c r="M7531" s="154" t="str">
        <f t="shared" si="578"/>
        <v>High_Medium_High_Upgraded_Fossil Depletion Potential (FDP) - kg oil eq_Gravity Belt Thickener; wastewater treatment unit; at updated plant - US_Without Amendment_Windrow</v>
      </c>
    </row>
    <row r="7532" spans="1:13" s="120" customFormat="1" x14ac:dyDescent="0.25">
      <c r="A7532" s="119"/>
      <c r="B7532" s="138" t="str">
        <f t="shared" si="581"/>
        <v>Windrow</v>
      </c>
      <c r="C7532" s="138" t="str">
        <f t="shared" si="579"/>
        <v>Without Amendment</v>
      </c>
      <c r="D7532" s="138" t="str">
        <f t="shared" si="577"/>
        <v>Medium_High</v>
      </c>
      <c r="E7532" s="138" t="str">
        <f t="shared" si="580"/>
        <v>High</v>
      </c>
      <c r="F7532" s="138" t="str">
        <f t="shared" si="582"/>
        <v>Upgraded</v>
      </c>
      <c r="G7532" s="153"/>
      <c r="H7532" s="210">
        <v>8.6400000000000005E-2</v>
      </c>
      <c r="I7532" s="160" t="s">
        <v>128</v>
      </c>
      <c r="J7532" s="160">
        <v>4.4999999999999997E-3</v>
      </c>
      <c r="K7532" s="160" t="s">
        <v>14</v>
      </c>
      <c r="L7532" s="154" t="str">
        <f>IF(OpenLCAbasic!K7532="CTUh", "Fill in Manually",IF(OR(K7532="Unit", K7532=""), "", INDEX(LookUps!$E$5:$E$12, MATCH(OpenLCAbasic!K7532,LookUps!$D$5:$D$12,0))))</f>
        <v>Fossil Depletion Potential (FDP) - kg oil eq</v>
      </c>
      <c r="M7532" s="154" t="str">
        <f t="shared" si="578"/>
        <v>High_Medium_High_Upgraded_Fossil Depletion Potential (FDP) - kg oil eq_Wastewater collection; operation and infrastructure; m3 wastewater_Without Amendment_Windrow</v>
      </c>
    </row>
    <row r="7533" spans="1:13" s="120" customFormat="1" x14ac:dyDescent="0.25">
      <c r="A7533" s="119"/>
      <c r="B7533" s="138" t="str">
        <f t="shared" si="581"/>
        <v>Windrow</v>
      </c>
      <c r="C7533" s="138" t="str">
        <f t="shared" si="579"/>
        <v>Without Amendment</v>
      </c>
      <c r="D7533" s="138" t="str">
        <f t="shared" si="577"/>
        <v>Medium_High</v>
      </c>
      <c r="E7533" s="138" t="str">
        <f t="shared" si="580"/>
        <v>High</v>
      </c>
      <c r="F7533" s="138" t="str">
        <f t="shared" si="582"/>
        <v>Upgraded</v>
      </c>
      <c r="G7533" s="153"/>
      <c r="H7533" s="210">
        <v>5.3699999999999998E-2</v>
      </c>
      <c r="I7533" s="160" t="s">
        <v>148</v>
      </c>
      <c r="J7533" s="160">
        <v>2.8E-3</v>
      </c>
      <c r="K7533" s="160" t="s">
        <v>14</v>
      </c>
      <c r="L7533" s="154" t="str">
        <f>IF(OpenLCAbasic!K7533="CTUh", "Fill in Manually",IF(OR(K7533="Unit", K7533=""), "", INDEX(LookUps!$E$5:$E$12, MATCH(OpenLCAbasic!K7533,LookUps!$D$5:$D$12,0))))</f>
        <v>Fossil Depletion Potential (FDP) - kg oil eq</v>
      </c>
      <c r="M7533" s="154" t="str">
        <f t="shared" si="578"/>
        <v>High_Medium_High_Upgraded_Fossil Depletion Potential (FDP) - kg oil eq_Control Building; at upgraded wastewater treatment plant - US_Without Amendment_Windrow</v>
      </c>
    </row>
    <row r="7534" spans="1:13" s="120" customFormat="1" x14ac:dyDescent="0.25">
      <c r="A7534" s="119"/>
      <c r="B7534" s="138" t="str">
        <f t="shared" si="581"/>
        <v>Windrow</v>
      </c>
      <c r="C7534" s="138" t="str">
        <f t="shared" si="579"/>
        <v>Without Amendment</v>
      </c>
      <c r="D7534" s="138" t="str">
        <f t="shared" si="577"/>
        <v>Medium_High</v>
      </c>
      <c r="E7534" s="138" t="str">
        <f t="shared" si="580"/>
        <v>High</v>
      </c>
      <c r="F7534" s="138" t="str">
        <f t="shared" si="582"/>
        <v>Upgraded</v>
      </c>
      <c r="G7534" s="153"/>
      <c r="H7534" s="210">
        <v>4.5400000000000003E-2</v>
      </c>
      <c r="I7534" s="160" t="s">
        <v>48</v>
      </c>
      <c r="J7534" s="160">
        <v>2.3600000000000001E-3</v>
      </c>
      <c r="K7534" s="160" t="s">
        <v>14</v>
      </c>
      <c r="L7534" s="154" t="str">
        <f>IF(OpenLCAbasic!K7534="CTUh", "Fill in Manually",IF(OR(K7534="Unit", K7534=""), "", INDEX(LookUps!$E$5:$E$12, MATCH(OpenLCAbasic!K7534,LookUps!$D$5:$D$12,0))))</f>
        <v>Fossil Depletion Potential (FDP) - kg oil eq</v>
      </c>
      <c r="M7534" s="154" t="str">
        <f t="shared" si="578"/>
        <v>High_Medium_High_Upgraded_Fossil Depletion Potential (FDP) - kg oil eq_Effluent release; wastewater treatment unit; at surface water; m3 wastewater - US_Without Amendment_Windrow</v>
      </c>
    </row>
    <row r="7535" spans="1:13" s="120" customFormat="1" x14ac:dyDescent="0.25">
      <c r="A7535" s="119"/>
      <c r="B7535" s="138" t="str">
        <f t="shared" si="581"/>
        <v>Windrow</v>
      </c>
      <c r="C7535" s="138" t="str">
        <f t="shared" si="579"/>
        <v>Without Amendment</v>
      </c>
      <c r="D7535" s="138" t="str">
        <f t="shared" si="577"/>
        <v>Medium_High</v>
      </c>
      <c r="E7535" s="138" t="str">
        <f t="shared" si="580"/>
        <v>High</v>
      </c>
      <c r="F7535" s="138" t="str">
        <f t="shared" si="582"/>
        <v>Upgraded</v>
      </c>
      <c r="G7535" s="153"/>
      <c r="H7535" s="210">
        <v>3.6900000000000002E-2</v>
      </c>
      <c r="I7535" s="160" t="s">
        <v>59</v>
      </c>
      <c r="J7535" s="160">
        <v>1.92E-3</v>
      </c>
      <c r="K7535" s="160" t="s">
        <v>14</v>
      </c>
      <c r="L7535" s="154" t="str">
        <f>IF(OpenLCAbasic!K7535="CTUh", "Fill in Manually",IF(OR(K7535="Unit", K7535=""), "", INDEX(LookUps!$E$5:$E$12, MATCH(OpenLCAbasic!K7535,LookUps!$D$5:$D$12,0))))</f>
        <v>Fossil Depletion Potential (FDP) - kg oil eq</v>
      </c>
      <c r="M7535" s="154" t="str">
        <f t="shared" si="578"/>
        <v>High_Medium_High_Upgraded_Fossil Depletion Potential (FDP) - kg oil eq_Blend Tank; wastewater treatment unit; at updated plant - US_Without Amendment_Windrow</v>
      </c>
    </row>
    <row r="7536" spans="1:13" s="120" customFormat="1" x14ac:dyDescent="0.25">
      <c r="A7536" s="119"/>
      <c r="B7536" s="138" t="str">
        <f t="shared" si="581"/>
        <v>Windrow</v>
      </c>
      <c r="C7536" s="138" t="str">
        <f t="shared" si="579"/>
        <v>Without Amendment</v>
      </c>
      <c r="D7536" s="138" t="str">
        <f t="shared" si="577"/>
        <v>Medium_High</v>
      </c>
      <c r="E7536" s="138" t="str">
        <f t="shared" si="580"/>
        <v>High</v>
      </c>
      <c r="F7536" s="138" t="str">
        <f t="shared" si="582"/>
        <v>Upgraded</v>
      </c>
      <c r="G7536" s="153"/>
      <c r="H7536" s="210">
        <v>1.7600000000000001E-2</v>
      </c>
      <c r="I7536" s="160" t="s">
        <v>168</v>
      </c>
      <c r="J7536" s="160">
        <v>9.1E-4</v>
      </c>
      <c r="K7536" s="160" t="s">
        <v>14</v>
      </c>
      <c r="L7536" s="154" t="str">
        <f>IF(OpenLCAbasic!K7536="CTUh", "Fill in Manually",IF(OR(K7536="Unit", K7536=""), "", INDEX(LookUps!$E$5:$E$12, MATCH(OpenLCAbasic!K7536,LookUps!$D$5:$D$12,0))))</f>
        <v>Fossil Depletion Potential (FDP) - kg oil eq</v>
      </c>
      <c r="M7536" s="154" t="str">
        <f t="shared" si="578"/>
        <v>High_Medium_High_Upgraded_Fossil Depletion Potential (FDP) - kg oil eq_ClearCove SCP; wastewater treatment unit; at updated plant - US_Without Amendment_Windrow</v>
      </c>
    </row>
    <row r="7537" spans="1:13" s="120" customFormat="1" x14ac:dyDescent="0.25">
      <c r="A7537" s="119"/>
      <c r="B7537" s="138" t="str">
        <f t="shared" si="581"/>
        <v>Windrow</v>
      </c>
      <c r="C7537" s="138" t="str">
        <f t="shared" si="579"/>
        <v>Without Amendment</v>
      </c>
      <c r="D7537" s="138" t="str">
        <f t="shared" ref="D7537:D7600" si="583">IF(ISNUMBER($J7537),"Medium_High","")</f>
        <v>Medium_High</v>
      </c>
      <c r="E7537" s="138" t="str">
        <f t="shared" si="580"/>
        <v>High</v>
      </c>
      <c r="F7537" s="138" t="str">
        <f t="shared" si="582"/>
        <v>Upgraded</v>
      </c>
      <c r="G7537" s="153"/>
      <c r="H7537" s="210">
        <v>1.0500000000000001E-2</v>
      </c>
      <c r="I7537" s="160" t="s">
        <v>271</v>
      </c>
      <c r="J7537" s="160">
        <v>5.5000000000000003E-4</v>
      </c>
      <c r="K7537" s="160" t="s">
        <v>14</v>
      </c>
      <c r="L7537" s="154" t="str">
        <f>IF(OpenLCAbasic!K7537="CTUh", "Fill in Manually",IF(OR(K7537="Unit", K7537=""), "", INDEX(LookUps!$E$5:$E$12, MATCH(OpenLCAbasic!K7537,LookUps!$D$5:$D$12,0))))</f>
        <v>Fossil Depletion Potential (FDP) - kg oil eq</v>
      </c>
      <c r="M7537" s="154" t="str">
        <f t="shared" si="578"/>
        <v>High_Medium_High_Upgraded_Fossil Depletion Potential (FDP) - kg oil eq_Biosolids composting; windrow composting; wastewater treatment unit; at updated plant - US_Without Amendment_Windrow</v>
      </c>
    </row>
    <row r="7538" spans="1:13" s="120" customFormat="1" x14ac:dyDescent="0.25">
      <c r="A7538" s="119"/>
      <c r="B7538" s="138" t="str">
        <f t="shared" si="581"/>
        <v>Windrow</v>
      </c>
      <c r="C7538" s="138" t="str">
        <f t="shared" si="579"/>
        <v>Without Amendment</v>
      </c>
      <c r="D7538" s="138" t="str">
        <f t="shared" si="583"/>
        <v>Medium_High</v>
      </c>
      <c r="E7538" s="138" t="str">
        <f t="shared" si="580"/>
        <v>High</v>
      </c>
      <c r="F7538" s="138" t="str">
        <f t="shared" si="582"/>
        <v>Upgraded</v>
      </c>
      <c r="G7538" s="153"/>
      <c r="H7538" s="210">
        <v>-9.1999999999999998E-2</v>
      </c>
      <c r="I7538" s="160" t="s">
        <v>62</v>
      </c>
      <c r="J7538" s="160">
        <v>-4.79E-3</v>
      </c>
      <c r="K7538" s="160" t="s">
        <v>14</v>
      </c>
      <c r="L7538" s="154" t="str">
        <f>IF(OpenLCAbasic!K7538="CTUh", "Fill in Manually",IF(OR(K7538="Unit", K7538=""), "", INDEX(LookUps!$E$5:$E$12, MATCH(OpenLCAbasic!K7538,LookUps!$D$5:$D$12,0))))</f>
        <v>Fossil Depletion Potential (FDP) - kg oil eq</v>
      </c>
      <c r="M7538" s="154" t="str">
        <f t="shared" si="578"/>
        <v>High_Medium_High_Upgraded_Fossil Depletion Potential (FDP) - kg oil eq_Land application of compost; wastewater treatment unit; at updated plant - US_Without Amendment_Windrow</v>
      </c>
    </row>
    <row r="7539" spans="1:13" s="120" customFormat="1" x14ac:dyDescent="0.25">
      <c r="A7539" s="119"/>
      <c r="B7539" s="138" t="str">
        <f t="shared" si="581"/>
        <v>Windrow</v>
      </c>
      <c r="C7539" s="138" t="str">
        <f t="shared" si="579"/>
        <v>Without Amendment</v>
      </c>
      <c r="D7539" s="138" t="str">
        <f t="shared" si="583"/>
        <v>Medium_High</v>
      </c>
      <c r="E7539" s="138" t="str">
        <f t="shared" si="580"/>
        <v>High</v>
      </c>
      <c r="F7539" s="138" t="str">
        <f t="shared" si="582"/>
        <v>Upgraded</v>
      </c>
      <c r="G7539" s="153"/>
      <c r="H7539" s="210">
        <v>-5.7667999999999999</v>
      </c>
      <c r="I7539" s="160" t="s">
        <v>149</v>
      </c>
      <c r="J7539" s="160">
        <v>-0.30038999999999999</v>
      </c>
      <c r="K7539" s="160" t="s">
        <v>14</v>
      </c>
      <c r="L7539" s="154" t="str">
        <f>IF(OpenLCAbasic!K7539="CTUh", "Fill in Manually",IF(OR(K7539="Unit", K7539=""), "", INDEX(LookUps!$E$5:$E$12, MATCH(OpenLCAbasic!K7539,LookUps!$D$5:$D$12,0))))</f>
        <v>Fossil Depletion Potential (FDP) - kg oil eq</v>
      </c>
      <c r="M7539" s="154" t="str">
        <f t="shared" si="578"/>
        <v>High_Medium_High_Upgraded_Fossil Depletion Potential (FDP) - kg oil eq_Anaerobic Digestion; wastewater treatment unit; at updated plant - US_Without Amendment_Windrow</v>
      </c>
    </row>
    <row r="7540" spans="1:13" s="120" customFormat="1" x14ac:dyDescent="0.25">
      <c r="A7540" s="119"/>
      <c r="B7540" s="138" t="str">
        <f t="shared" si="581"/>
        <v/>
      </c>
      <c r="C7540" s="138" t="str">
        <f t="shared" si="579"/>
        <v/>
      </c>
      <c r="D7540" s="138" t="str">
        <f t="shared" si="583"/>
        <v/>
      </c>
      <c r="E7540" s="138" t="str">
        <f t="shared" si="580"/>
        <v/>
      </c>
      <c r="F7540" s="138" t="str">
        <f t="shared" si="582"/>
        <v/>
      </c>
      <c r="G7540" s="153" t="s">
        <v>51</v>
      </c>
      <c r="H7540" s="160"/>
      <c r="I7540" s="160" t="s">
        <v>47</v>
      </c>
      <c r="J7540" s="160" t="s">
        <v>52</v>
      </c>
      <c r="K7540" s="160" t="s">
        <v>27</v>
      </c>
      <c r="L7540" s="154" t="str">
        <f>IF(OpenLCAbasic!K7540="CTUh", "Fill in Manually",IF(OR(K7540="Unit", K7540=""), "", INDEX(LookUps!$E$5:$E$12, MATCH(OpenLCAbasic!K7540,LookUps!$D$5:$D$12,0))))</f>
        <v/>
      </c>
      <c r="M7540" s="154" t="str">
        <f t="shared" si="578"/>
        <v>____Process__</v>
      </c>
    </row>
    <row r="7541" spans="1:13" s="120" customFormat="1" x14ac:dyDescent="0.25">
      <c r="A7541" s="119"/>
      <c r="B7541" s="138" t="str">
        <f t="shared" si="581"/>
        <v>Windrow</v>
      </c>
      <c r="C7541" s="138" t="str">
        <f t="shared" si="579"/>
        <v>Without Amendment</v>
      </c>
      <c r="D7541" s="138" t="str">
        <f t="shared" si="583"/>
        <v>Medium_High</v>
      </c>
      <c r="E7541" s="138" t="str">
        <f t="shared" si="580"/>
        <v>High</v>
      </c>
      <c r="F7541" s="138" t="str">
        <f t="shared" si="582"/>
        <v>Upgraded</v>
      </c>
      <c r="G7541" s="153"/>
      <c r="H7541" s="210">
        <v>0.99280000000000002</v>
      </c>
      <c r="I7541" s="160" t="s">
        <v>271</v>
      </c>
      <c r="J7541" s="160">
        <v>1.0003</v>
      </c>
      <c r="K7541" s="160" t="s">
        <v>23</v>
      </c>
      <c r="L7541" s="154" t="str">
        <f>IF(OpenLCAbasic!K7541="CTUh", "Fill in Manually",IF(OR(K7541="Unit", K7541=""), "", INDEX(LookUps!$E$5:$E$12, MATCH(OpenLCAbasic!K7541,LookUps!$D$5:$D$12,0))))</f>
        <v>Global Warming Potential (GWP) - kg CO2 eq</v>
      </c>
      <c r="M7541" s="154" t="str">
        <f t="shared" si="578"/>
        <v>High_Medium_High_Upgraded_Global Warming Potential (GWP) - kg CO2 eq_Biosolids composting; windrow composting; wastewater treatment unit; at updated plant - US_Without Amendment_Windrow</v>
      </c>
    </row>
    <row r="7542" spans="1:13" s="120" customFormat="1" x14ac:dyDescent="0.25">
      <c r="A7542" s="119"/>
      <c r="B7542" s="138" t="str">
        <f t="shared" si="581"/>
        <v>Windrow</v>
      </c>
      <c r="C7542" s="138" t="str">
        <f t="shared" si="579"/>
        <v>Without Amendment</v>
      </c>
      <c r="D7542" s="138" t="str">
        <f t="shared" si="583"/>
        <v>Medium_High</v>
      </c>
      <c r="E7542" s="138" t="str">
        <f t="shared" si="580"/>
        <v>High</v>
      </c>
      <c r="F7542" s="138" t="str">
        <f t="shared" si="582"/>
        <v>Upgraded</v>
      </c>
      <c r="G7542" s="153"/>
      <c r="H7542" s="210">
        <v>0.24379999999999999</v>
      </c>
      <c r="I7542" s="160" t="s">
        <v>58</v>
      </c>
      <c r="J7542" s="160">
        <v>0.24568999999999999</v>
      </c>
      <c r="K7542" s="160" t="s">
        <v>23</v>
      </c>
      <c r="L7542" s="154" t="str">
        <f>IF(OpenLCAbasic!K7542="CTUh", "Fill in Manually",IF(OR(K7542="Unit", K7542=""), "", INDEX(LookUps!$E$5:$E$12, MATCH(OpenLCAbasic!K7542,LookUps!$D$5:$D$12,0))))</f>
        <v>Global Warming Potential (GWP) - kg CO2 eq</v>
      </c>
      <c r="M7542" s="154" t="str">
        <f t="shared" si="578"/>
        <v>High_Medium_High_Upgraded_Global Warming Potential (GWP) - kg CO2 eq_Pre-Anoxic &amp; Swing tank; wastewater treatment unit; at updated plant - US_Without Amendment_Windrow</v>
      </c>
    </row>
    <row r="7543" spans="1:13" s="120" customFormat="1" x14ac:dyDescent="0.25">
      <c r="A7543" s="119"/>
      <c r="B7543" s="138" t="str">
        <f t="shared" si="581"/>
        <v>Windrow</v>
      </c>
      <c r="C7543" s="138" t="str">
        <f t="shared" si="579"/>
        <v>Without Amendment</v>
      </c>
      <c r="D7543" s="138" t="str">
        <f t="shared" si="583"/>
        <v>Medium_High</v>
      </c>
      <c r="E7543" s="138" t="str">
        <f t="shared" si="580"/>
        <v>High</v>
      </c>
      <c r="F7543" s="138" t="str">
        <f t="shared" si="582"/>
        <v>Upgraded</v>
      </c>
      <c r="G7543" s="153"/>
      <c r="H7543" s="210">
        <v>0.16700000000000001</v>
      </c>
      <c r="I7543" s="160" t="s">
        <v>55</v>
      </c>
      <c r="J7543" s="160">
        <v>0.16822000000000001</v>
      </c>
      <c r="K7543" s="160" t="s">
        <v>23</v>
      </c>
      <c r="L7543" s="154" t="str">
        <f>IF(OpenLCAbasic!K7543="CTUh", "Fill in Manually",IF(OR(K7543="Unit", K7543=""), "", INDEX(LookUps!$E$5:$E$12, MATCH(OpenLCAbasic!K7543,LookUps!$D$5:$D$12,0))))</f>
        <v>Global Warming Potential (GWP) - kg CO2 eq</v>
      </c>
      <c r="M7543" s="154" t="str">
        <f t="shared" si="578"/>
        <v>High_Medium_High_Upgraded_Global Warming Potential (GWP) - kg CO2 eq_Aeration Tanks; wastewater treatment unit; at updated plant - US_Without Amendment_Windrow</v>
      </c>
    </row>
    <row r="7544" spans="1:13" s="120" customFormat="1" x14ac:dyDescent="0.25">
      <c r="A7544" s="119"/>
      <c r="B7544" s="138" t="str">
        <f t="shared" si="581"/>
        <v>Windrow</v>
      </c>
      <c r="C7544" s="138" t="str">
        <f t="shared" si="579"/>
        <v>Without Amendment</v>
      </c>
      <c r="D7544" s="138" t="str">
        <f t="shared" si="583"/>
        <v>Medium_High</v>
      </c>
      <c r="E7544" s="138" t="str">
        <f t="shared" si="580"/>
        <v>High</v>
      </c>
      <c r="F7544" s="138" t="str">
        <f t="shared" si="582"/>
        <v>Upgraded</v>
      </c>
      <c r="G7544" s="153"/>
      <c r="H7544" s="210">
        <v>0.1226</v>
      </c>
      <c r="I7544" s="160" t="s">
        <v>167</v>
      </c>
      <c r="J7544" s="160">
        <v>0.12354999999999999</v>
      </c>
      <c r="K7544" s="160" t="s">
        <v>23</v>
      </c>
      <c r="L7544" s="154" t="str">
        <f>IF(OpenLCAbasic!K7544="CTUh", "Fill in Manually",IF(OR(K7544="Unit", K7544=""), "", INDEX(LookUps!$E$5:$E$12, MATCH(OpenLCAbasic!K7544,LookUps!$D$5:$D$12,0))))</f>
        <v>Global Warming Potential (GWP) - kg CO2 eq</v>
      </c>
      <c r="M7544" s="154" t="str">
        <f t="shared" si="578"/>
        <v>High_Medium_High_Upgraded_Global Warming Potential (GWP) - kg CO2 eq_Waste Receiving and Holding; wastewater treatment unit; at updated plant - US_Without Amendment_Windrow</v>
      </c>
    </row>
    <row r="7545" spans="1:13" s="120" customFormat="1" x14ac:dyDescent="0.25">
      <c r="A7545" s="119"/>
      <c r="B7545" s="138" t="str">
        <f t="shared" si="581"/>
        <v>Windrow</v>
      </c>
      <c r="C7545" s="138" t="str">
        <f t="shared" si="579"/>
        <v>Without Amendment</v>
      </c>
      <c r="D7545" s="138" t="str">
        <f t="shared" si="583"/>
        <v>Medium_High</v>
      </c>
      <c r="E7545" s="138" t="str">
        <f t="shared" si="580"/>
        <v>High</v>
      </c>
      <c r="F7545" s="138" t="str">
        <f t="shared" si="582"/>
        <v>Upgraded</v>
      </c>
      <c r="G7545" s="153"/>
      <c r="H7545" s="210">
        <v>5.67E-2</v>
      </c>
      <c r="I7545" s="160" t="s">
        <v>54</v>
      </c>
      <c r="J7545" s="160">
        <v>5.7079999999999999E-2</v>
      </c>
      <c r="K7545" s="160" t="s">
        <v>23</v>
      </c>
      <c r="L7545" s="154" t="str">
        <f>IF(OpenLCAbasic!K7545="CTUh", "Fill in Manually",IF(OR(K7545="Unit", K7545=""), "", INDEX(LookUps!$E$5:$E$12, MATCH(OpenLCAbasic!K7545,LookUps!$D$5:$D$12,0))))</f>
        <v>Global Warming Potential (GWP) - kg CO2 eq</v>
      </c>
      <c r="M7545" s="154" t="str">
        <f t="shared" si="578"/>
        <v>High_Medium_High_Upgraded_Global Warming Potential (GWP) - kg CO2 eq_Clear Cove Primary Clarification; wastewater treatment unit; at updated plant - US_Without Amendment_Windrow</v>
      </c>
    </row>
    <row r="7546" spans="1:13" s="120" customFormat="1" x14ac:dyDescent="0.25">
      <c r="A7546" s="119"/>
      <c r="B7546" s="138" t="str">
        <f t="shared" si="581"/>
        <v>Windrow</v>
      </c>
      <c r="C7546" s="138" t="str">
        <f t="shared" si="579"/>
        <v>Without Amendment</v>
      </c>
      <c r="D7546" s="138" t="str">
        <f t="shared" si="583"/>
        <v>Medium_High</v>
      </c>
      <c r="E7546" s="138" t="str">
        <f t="shared" si="580"/>
        <v>High</v>
      </c>
      <c r="F7546" s="138" t="str">
        <f t="shared" si="582"/>
        <v>Upgraded</v>
      </c>
      <c r="G7546" s="153"/>
      <c r="H7546" s="210">
        <v>5.2200000000000003E-2</v>
      </c>
      <c r="I7546" s="160" t="s">
        <v>48</v>
      </c>
      <c r="J7546" s="160">
        <v>5.2639999999999999E-2</v>
      </c>
      <c r="K7546" s="160" t="s">
        <v>23</v>
      </c>
      <c r="L7546" s="154" t="str">
        <f>IF(OpenLCAbasic!K7546="CTUh", "Fill in Manually",IF(OR(K7546="Unit", K7546=""), "", INDEX(LookUps!$E$5:$E$12, MATCH(OpenLCAbasic!K7546,LookUps!$D$5:$D$12,0))))</f>
        <v>Global Warming Potential (GWP) - kg CO2 eq</v>
      </c>
      <c r="M7546" s="154" t="str">
        <f t="shared" si="578"/>
        <v>High_Medium_High_Upgraded_Global Warming Potential (GWP) - kg CO2 eq_Effluent release; wastewater treatment unit; at surface water; m3 wastewater - US_Without Amendment_Windrow</v>
      </c>
    </row>
    <row r="7547" spans="1:13" s="120" customFormat="1" x14ac:dyDescent="0.25">
      <c r="A7547" s="119"/>
      <c r="B7547" s="138" t="str">
        <f t="shared" si="581"/>
        <v>Windrow</v>
      </c>
      <c r="C7547" s="138" t="str">
        <f t="shared" si="579"/>
        <v>Without Amendment</v>
      </c>
      <c r="D7547" s="138" t="str">
        <f t="shared" si="583"/>
        <v>Medium_High</v>
      </c>
      <c r="E7547" s="138" t="str">
        <f t="shared" si="580"/>
        <v>High</v>
      </c>
      <c r="F7547" s="138" t="str">
        <f t="shared" si="582"/>
        <v>Upgraded</v>
      </c>
      <c r="G7547" s="153"/>
      <c r="H7547" s="210">
        <v>5.0099999999999999E-2</v>
      </c>
      <c r="I7547" s="160" t="s">
        <v>147</v>
      </c>
      <c r="J7547" s="160">
        <v>5.0500000000000003E-2</v>
      </c>
      <c r="K7547" s="160" t="s">
        <v>23</v>
      </c>
      <c r="L7547" s="154" t="str">
        <f>IF(OpenLCAbasic!K7547="CTUh", "Fill in Manually",IF(OR(K7547="Unit", K7547=""), "", INDEX(LookUps!$E$5:$E$12, MATCH(OpenLCAbasic!K7547,LookUps!$D$5:$D$12,0))))</f>
        <v>Global Warming Potential (GWP) - kg CO2 eq</v>
      </c>
      <c r="M7547" s="154" t="str">
        <f t="shared" ref="M7547:M7610" si="584">CONCATENATE(E7547,"_",D7547,"_",F7547,"_",L7547, "_",I7547,"_", C7547,"_", B7547)</f>
        <v>High_Medium_High_Upgraded_Global Warming Potential (GWP) - kg CO2 eq_Influent Pump Station; wastewater treatment unit; at updated plant - US_Without Amendment_Windrow</v>
      </c>
    </row>
    <row r="7548" spans="1:13" s="120" customFormat="1" x14ac:dyDescent="0.25">
      <c r="A7548" s="119"/>
      <c r="B7548" s="138" t="str">
        <f t="shared" si="581"/>
        <v>Windrow</v>
      </c>
      <c r="C7548" s="138" t="str">
        <f t="shared" si="579"/>
        <v>Without Amendment</v>
      </c>
      <c r="D7548" s="138" t="str">
        <f t="shared" si="583"/>
        <v>Medium_High</v>
      </c>
      <c r="E7548" s="138" t="str">
        <f t="shared" si="580"/>
        <v>High</v>
      </c>
      <c r="F7548" s="138" t="str">
        <f t="shared" si="582"/>
        <v>Upgraded</v>
      </c>
      <c r="G7548" s="153"/>
      <c r="H7548" s="210">
        <v>3.3000000000000002E-2</v>
      </c>
      <c r="I7548" s="160" t="s">
        <v>53</v>
      </c>
      <c r="J7548" s="160">
        <v>3.3259999999999998E-2</v>
      </c>
      <c r="K7548" s="160" t="s">
        <v>23</v>
      </c>
      <c r="L7548" s="154" t="str">
        <f>IF(OpenLCAbasic!K7548="CTUh", "Fill in Manually",IF(OR(K7548="Unit", K7548=""), "", INDEX(LookUps!$E$5:$E$12, MATCH(OpenLCAbasic!K7548,LookUps!$D$5:$D$12,0))))</f>
        <v>Global Warming Potential (GWP) - kg CO2 eq</v>
      </c>
      <c r="M7548" s="154" t="str">
        <f t="shared" si="584"/>
        <v>High_Medium_High_Upgraded_Global Warming Potential (GWP) - kg CO2 eq_Wet Well and Sump Station; wastewater treatment unit; at updated plant - US_Without Amendment_Windrow</v>
      </c>
    </row>
    <row r="7549" spans="1:13" s="120" customFormat="1" x14ac:dyDescent="0.25">
      <c r="A7549" s="119"/>
      <c r="B7549" s="138" t="str">
        <f t="shared" si="581"/>
        <v>Windrow</v>
      </c>
      <c r="C7549" s="138" t="str">
        <f t="shared" si="579"/>
        <v>Without Amendment</v>
      </c>
      <c r="D7549" s="138" t="str">
        <f t="shared" si="583"/>
        <v>Medium_High</v>
      </c>
      <c r="E7549" s="138" t="str">
        <f t="shared" si="580"/>
        <v>High</v>
      </c>
      <c r="F7549" s="138" t="str">
        <f t="shared" si="582"/>
        <v>Upgraded</v>
      </c>
      <c r="G7549" s="153"/>
      <c r="H7549" s="210">
        <v>1.6799999999999999E-2</v>
      </c>
      <c r="I7549" s="160" t="s">
        <v>60</v>
      </c>
      <c r="J7549" s="160">
        <v>1.6879999999999999E-2</v>
      </c>
      <c r="K7549" s="160" t="s">
        <v>23</v>
      </c>
      <c r="L7549" s="154" t="str">
        <f>IF(OpenLCAbasic!K7549="CTUh", "Fill in Manually",IF(OR(K7549="Unit", K7549=""), "", INDEX(LookUps!$E$5:$E$12, MATCH(OpenLCAbasic!K7549,LookUps!$D$5:$D$12,0))))</f>
        <v>Global Warming Potential (GWP) - kg CO2 eq</v>
      </c>
      <c r="M7549" s="154" t="str">
        <f t="shared" si="584"/>
        <v>High_Medium_High_Upgraded_Global Warming Potential (GWP) - kg CO2 eq_Belt filter press; wastewater treatment unit; at updated plant - US_Without Amendment_Windrow</v>
      </c>
    </row>
    <row r="7550" spans="1:13" s="120" customFormat="1" x14ac:dyDescent="0.25">
      <c r="A7550" s="119"/>
      <c r="B7550" s="138" t="str">
        <f t="shared" si="581"/>
        <v>Windrow</v>
      </c>
      <c r="C7550" s="138" t="str">
        <f t="shared" si="579"/>
        <v>Without Amendment</v>
      </c>
      <c r="D7550" s="138" t="str">
        <f t="shared" si="583"/>
        <v>Medium_High</v>
      </c>
      <c r="E7550" s="138" t="str">
        <f t="shared" si="580"/>
        <v>High</v>
      </c>
      <c r="F7550" s="138" t="str">
        <f t="shared" si="582"/>
        <v>Upgraded</v>
      </c>
      <c r="G7550" s="153"/>
      <c r="H7550" s="210">
        <v>1.44E-2</v>
      </c>
      <c r="I7550" s="160" t="s">
        <v>57</v>
      </c>
      <c r="J7550" s="160">
        <v>1.455E-2</v>
      </c>
      <c r="K7550" s="160" t="s">
        <v>23</v>
      </c>
      <c r="L7550" s="154" t="str">
        <f>IF(OpenLCAbasic!K7550="CTUh", "Fill in Manually",IF(OR(K7550="Unit", K7550=""), "", INDEX(LookUps!$E$5:$E$12, MATCH(OpenLCAbasic!K7550,LookUps!$D$5:$D$12,0))))</f>
        <v>Global Warming Potential (GWP) - kg CO2 eq</v>
      </c>
      <c r="M7550" s="154" t="str">
        <f t="shared" si="584"/>
        <v>High_Medium_High_Upgraded_Global Warming Potential (GWP) - kg CO2 eq_Gravity Belt Thickener; wastewater treatment unit; at updated plant - US_Without Amendment_Windrow</v>
      </c>
    </row>
    <row r="7551" spans="1:13" s="120" customFormat="1" x14ac:dyDescent="0.25">
      <c r="A7551" s="119"/>
      <c r="B7551" s="138" t="str">
        <f t="shared" si="581"/>
        <v>Windrow</v>
      </c>
      <c r="C7551" s="138" t="str">
        <f t="shared" si="579"/>
        <v>Without Amendment</v>
      </c>
      <c r="D7551" s="138" t="str">
        <f t="shared" si="583"/>
        <v>Medium_High</v>
      </c>
      <c r="E7551" s="138" t="str">
        <f t="shared" si="580"/>
        <v>High</v>
      </c>
      <c r="F7551" s="138" t="str">
        <f t="shared" si="582"/>
        <v>Upgraded</v>
      </c>
      <c r="G7551" s="153"/>
      <c r="H7551" s="210">
        <v>1.34E-2</v>
      </c>
      <c r="I7551" s="160" t="s">
        <v>128</v>
      </c>
      <c r="J7551" s="160">
        <v>1.3509999999999999E-2</v>
      </c>
      <c r="K7551" s="160" t="s">
        <v>23</v>
      </c>
      <c r="L7551" s="154" t="str">
        <f>IF(OpenLCAbasic!K7551="CTUh", "Fill in Manually",IF(OR(K7551="Unit", K7551=""), "", INDEX(LookUps!$E$5:$E$12, MATCH(OpenLCAbasic!K7551,LookUps!$D$5:$D$12,0))))</f>
        <v>Global Warming Potential (GWP) - kg CO2 eq</v>
      </c>
      <c r="M7551" s="154" t="str">
        <f t="shared" si="584"/>
        <v>High_Medium_High_Upgraded_Global Warming Potential (GWP) - kg CO2 eq_Wastewater collection; operation and infrastructure; m3 wastewater_Without Amendment_Windrow</v>
      </c>
    </row>
    <row r="7552" spans="1:13" s="120" customFormat="1" x14ac:dyDescent="0.25">
      <c r="A7552" s="119"/>
      <c r="B7552" s="138" t="str">
        <f t="shared" si="581"/>
        <v>Windrow</v>
      </c>
      <c r="C7552" s="138" t="str">
        <f t="shared" si="579"/>
        <v>Without Amendment</v>
      </c>
      <c r="D7552" s="138" t="str">
        <f t="shared" si="583"/>
        <v>Medium_High</v>
      </c>
      <c r="E7552" s="138" t="str">
        <f t="shared" si="580"/>
        <v>High</v>
      </c>
      <c r="F7552" s="138" t="str">
        <f t="shared" si="582"/>
        <v>Upgraded</v>
      </c>
      <c r="G7552" s="153"/>
      <c r="H7552" s="210">
        <v>8.2000000000000007E-3</v>
      </c>
      <c r="I7552" s="160" t="s">
        <v>148</v>
      </c>
      <c r="J7552" s="160">
        <v>8.3000000000000001E-3</v>
      </c>
      <c r="K7552" s="160" t="s">
        <v>23</v>
      </c>
      <c r="L7552" s="154" t="str">
        <f>IF(OpenLCAbasic!K7552="CTUh", "Fill in Manually",IF(OR(K7552="Unit", K7552=""), "", INDEX(LookUps!$E$5:$E$12, MATCH(OpenLCAbasic!K7552,LookUps!$D$5:$D$12,0))))</f>
        <v>Global Warming Potential (GWP) - kg CO2 eq</v>
      </c>
      <c r="M7552" s="154" t="str">
        <f t="shared" si="584"/>
        <v>High_Medium_High_Upgraded_Global Warming Potential (GWP) - kg CO2 eq_Control Building; at upgraded wastewater treatment plant - US_Without Amendment_Windrow</v>
      </c>
    </row>
    <row r="7553" spans="1:13" s="120" customFormat="1" x14ac:dyDescent="0.25">
      <c r="A7553" s="119"/>
      <c r="B7553" s="138" t="str">
        <f t="shared" si="581"/>
        <v>Windrow</v>
      </c>
      <c r="C7553" s="138" t="str">
        <f t="shared" ref="C7553:C7616" si="585">IF(ISNUMBER($J7553),"Without Amendment","")</f>
        <v>Without Amendment</v>
      </c>
      <c r="D7553" s="138" t="str">
        <f t="shared" si="583"/>
        <v>Medium_High</v>
      </c>
      <c r="E7553" s="138" t="str">
        <f t="shared" si="580"/>
        <v>High</v>
      </c>
      <c r="F7553" s="138" t="str">
        <f t="shared" si="582"/>
        <v>Upgraded</v>
      </c>
      <c r="G7553" s="153"/>
      <c r="H7553" s="210">
        <v>5.0000000000000001E-3</v>
      </c>
      <c r="I7553" s="160" t="s">
        <v>59</v>
      </c>
      <c r="J7553" s="160">
        <v>5.0400000000000002E-3</v>
      </c>
      <c r="K7553" s="160" t="s">
        <v>23</v>
      </c>
      <c r="L7553" s="154" t="str">
        <f>IF(OpenLCAbasic!K7553="CTUh", "Fill in Manually",IF(OR(K7553="Unit", K7553=""), "", INDEX(LookUps!$E$5:$E$12, MATCH(OpenLCAbasic!K7553,LookUps!$D$5:$D$12,0))))</f>
        <v>Global Warming Potential (GWP) - kg CO2 eq</v>
      </c>
      <c r="M7553" s="154" t="str">
        <f t="shared" si="584"/>
        <v>High_Medium_High_Upgraded_Global Warming Potential (GWP) - kg CO2 eq_Blend Tank; wastewater treatment unit; at updated plant - US_Without Amendment_Windrow</v>
      </c>
    </row>
    <row r="7554" spans="1:13" s="120" customFormat="1" x14ac:dyDescent="0.25">
      <c r="A7554" s="119"/>
      <c r="B7554" s="138" t="str">
        <f t="shared" si="581"/>
        <v>Windrow</v>
      </c>
      <c r="C7554" s="138" t="str">
        <f t="shared" si="585"/>
        <v>Without Amendment</v>
      </c>
      <c r="D7554" s="138" t="str">
        <f t="shared" si="583"/>
        <v>Medium_High</v>
      </c>
      <c r="E7554" s="138" t="str">
        <f t="shared" si="580"/>
        <v>High</v>
      </c>
      <c r="F7554" s="138" t="str">
        <f t="shared" si="582"/>
        <v>Upgraded</v>
      </c>
      <c r="G7554" s="153"/>
      <c r="H7554" s="210">
        <v>2.3999999999999998E-3</v>
      </c>
      <c r="I7554" s="160" t="s">
        <v>168</v>
      </c>
      <c r="J7554" s="160">
        <v>2.4099999999999998E-3</v>
      </c>
      <c r="K7554" s="160" t="s">
        <v>23</v>
      </c>
      <c r="L7554" s="154" t="str">
        <f>IF(OpenLCAbasic!K7554="CTUh", "Fill in Manually",IF(OR(K7554="Unit", K7554=""), "", INDEX(LookUps!$E$5:$E$12, MATCH(OpenLCAbasic!K7554,LookUps!$D$5:$D$12,0))))</f>
        <v>Global Warming Potential (GWP) - kg CO2 eq</v>
      </c>
      <c r="M7554" s="154" t="str">
        <f t="shared" si="584"/>
        <v>High_Medium_High_Upgraded_Global Warming Potential (GWP) - kg CO2 eq_ClearCove SCP; wastewater treatment unit; at updated plant - US_Without Amendment_Windrow</v>
      </c>
    </row>
    <row r="7555" spans="1:13" s="120" customFormat="1" x14ac:dyDescent="0.25">
      <c r="A7555" s="119"/>
      <c r="B7555" s="138" t="str">
        <f t="shared" si="581"/>
        <v>Windrow</v>
      </c>
      <c r="C7555" s="138" t="str">
        <f t="shared" si="585"/>
        <v>Without Amendment</v>
      </c>
      <c r="D7555" s="138" t="str">
        <f t="shared" si="583"/>
        <v>Medium_High</v>
      </c>
      <c r="E7555" s="138" t="str">
        <f t="shared" si="580"/>
        <v>High</v>
      </c>
      <c r="F7555" s="138" t="str">
        <f t="shared" si="582"/>
        <v>Upgraded</v>
      </c>
      <c r="G7555" s="153"/>
      <c r="H7555" s="210">
        <v>-0.18190000000000001</v>
      </c>
      <c r="I7555" s="160" t="s">
        <v>62</v>
      </c>
      <c r="J7555" s="160">
        <v>-0.18328</v>
      </c>
      <c r="K7555" s="160" t="s">
        <v>23</v>
      </c>
      <c r="L7555" s="154" t="str">
        <f>IF(OpenLCAbasic!K7555="CTUh", "Fill in Manually",IF(OR(K7555="Unit", K7555=""), "", INDEX(LookUps!$E$5:$E$12, MATCH(OpenLCAbasic!K7555,LookUps!$D$5:$D$12,0))))</f>
        <v>Global Warming Potential (GWP) - kg CO2 eq</v>
      </c>
      <c r="M7555" s="154" t="str">
        <f t="shared" si="584"/>
        <v>High_Medium_High_Upgraded_Global Warming Potential (GWP) - kg CO2 eq_Land application of compost; wastewater treatment unit; at updated plant - US_Without Amendment_Windrow</v>
      </c>
    </row>
    <row r="7556" spans="1:13" s="120" customFormat="1" x14ac:dyDescent="0.25">
      <c r="A7556" s="119"/>
      <c r="B7556" s="138" t="str">
        <f t="shared" si="581"/>
        <v>Windrow</v>
      </c>
      <c r="C7556" s="138" t="str">
        <f t="shared" si="585"/>
        <v>Without Amendment</v>
      </c>
      <c r="D7556" s="138" t="str">
        <f t="shared" si="583"/>
        <v>Medium_High</v>
      </c>
      <c r="E7556" s="138" t="str">
        <f t="shared" si="580"/>
        <v>High</v>
      </c>
      <c r="F7556" s="138" t="str">
        <f t="shared" si="582"/>
        <v>Upgraded</v>
      </c>
      <c r="G7556" s="153"/>
      <c r="H7556" s="210">
        <v>-0.59660000000000002</v>
      </c>
      <c r="I7556" s="160" t="s">
        <v>149</v>
      </c>
      <c r="J7556" s="160">
        <v>-0.60107999999999995</v>
      </c>
      <c r="K7556" s="160" t="s">
        <v>23</v>
      </c>
      <c r="L7556" s="154" t="str">
        <f>IF(OpenLCAbasic!K7556="CTUh", "Fill in Manually",IF(OR(K7556="Unit", K7556=""), "", INDEX(LookUps!$E$5:$E$12, MATCH(OpenLCAbasic!K7556,LookUps!$D$5:$D$12,0))))</f>
        <v>Global Warming Potential (GWP) - kg CO2 eq</v>
      </c>
      <c r="M7556" s="154" t="str">
        <f t="shared" si="584"/>
        <v>High_Medium_High_Upgraded_Global Warming Potential (GWP) - kg CO2 eq_Anaerobic Digestion; wastewater treatment unit; at updated plant - US_Without Amendment_Windrow</v>
      </c>
    </row>
    <row r="7557" spans="1:13" s="120" customFormat="1" x14ac:dyDescent="0.25">
      <c r="A7557" s="119"/>
      <c r="B7557" s="138" t="str">
        <f t="shared" si="581"/>
        <v/>
      </c>
      <c r="C7557" s="138" t="str">
        <f t="shared" si="585"/>
        <v/>
      </c>
      <c r="D7557" s="138" t="str">
        <f t="shared" si="583"/>
        <v/>
      </c>
      <c r="E7557" s="138" t="str">
        <f t="shared" si="580"/>
        <v/>
      </c>
      <c r="F7557" s="138" t="str">
        <f t="shared" si="582"/>
        <v/>
      </c>
      <c r="G7557" s="153" t="s">
        <v>51</v>
      </c>
      <c r="H7557" s="160"/>
      <c r="I7557" s="160" t="s">
        <v>47</v>
      </c>
      <c r="J7557" s="160" t="s">
        <v>52</v>
      </c>
      <c r="K7557" s="160" t="s">
        <v>27</v>
      </c>
      <c r="L7557" s="154" t="str">
        <f>IF(OpenLCAbasic!K7557="CTUh", "Fill in Manually",IF(OR(K7557="Unit", K7557=""), "", INDEX(LookUps!$E$5:$E$12, MATCH(OpenLCAbasic!K7557,LookUps!$D$5:$D$12,0))))</f>
        <v/>
      </c>
      <c r="M7557" s="154" t="str">
        <f t="shared" si="584"/>
        <v>____Process__</v>
      </c>
    </row>
    <row r="7558" spans="1:13" s="120" customFormat="1" x14ac:dyDescent="0.25">
      <c r="A7558" s="119"/>
      <c r="B7558" s="138" t="str">
        <f t="shared" si="581"/>
        <v>Windrow</v>
      </c>
      <c r="C7558" s="138" t="str">
        <f t="shared" si="585"/>
        <v>Without Amendment</v>
      </c>
      <c r="D7558" s="138" t="str">
        <f t="shared" si="583"/>
        <v>Medium_High</v>
      </c>
      <c r="E7558" s="138" t="str">
        <f t="shared" si="580"/>
        <v>High</v>
      </c>
      <c r="F7558" s="138" t="str">
        <f t="shared" si="582"/>
        <v>Upgraded</v>
      </c>
      <c r="G7558" s="153"/>
      <c r="H7558" s="210">
        <v>1.0306</v>
      </c>
      <c r="I7558" s="160" t="s">
        <v>55</v>
      </c>
      <c r="J7558" s="160">
        <v>2.33E-3</v>
      </c>
      <c r="K7558" s="160" t="s">
        <v>145</v>
      </c>
      <c r="L7558" s="154" t="str">
        <f>IF(OpenLCAbasic!K7558="CTUh", "Fill in Manually",IF(OR(K7558="Unit", K7558=""), "", INDEX(LookUps!$E$5:$E$12, MATCH(OpenLCAbasic!K7558,LookUps!$D$5:$D$12,0))))</f>
        <v>Particulate Matter Formation Potential (PMFP) - kg PM2.5 eq</v>
      </c>
      <c r="M7558" s="154" t="str">
        <f t="shared" si="584"/>
        <v>High_Medium_High_Upgraded_Particulate Matter Formation Potential (PMFP) - kg PM2.5 eq_Aeration Tanks; wastewater treatment unit; at updated plant - US_Without Amendment_Windrow</v>
      </c>
    </row>
    <row r="7559" spans="1:13" s="120" customFormat="1" x14ac:dyDescent="0.25">
      <c r="A7559" s="119"/>
      <c r="B7559" s="138" t="str">
        <f t="shared" si="581"/>
        <v>Windrow</v>
      </c>
      <c r="C7559" s="138" t="str">
        <f t="shared" si="585"/>
        <v>Without Amendment</v>
      </c>
      <c r="D7559" s="138" t="str">
        <f t="shared" si="583"/>
        <v>Medium_High</v>
      </c>
      <c r="E7559" s="138" t="str">
        <f t="shared" si="580"/>
        <v>High</v>
      </c>
      <c r="F7559" s="138" t="str">
        <f t="shared" si="582"/>
        <v>Upgraded</v>
      </c>
      <c r="G7559" s="153"/>
      <c r="H7559" s="210">
        <v>0.2999</v>
      </c>
      <c r="I7559" s="160" t="s">
        <v>54</v>
      </c>
      <c r="J7559" s="160">
        <v>6.8000000000000005E-4</v>
      </c>
      <c r="K7559" s="160" t="s">
        <v>145</v>
      </c>
      <c r="L7559" s="154" t="str">
        <f>IF(OpenLCAbasic!K7559="CTUh", "Fill in Manually",IF(OR(K7559="Unit", K7559=""), "", INDEX(LookUps!$E$5:$E$12, MATCH(OpenLCAbasic!K7559,LookUps!$D$5:$D$12,0))))</f>
        <v>Particulate Matter Formation Potential (PMFP) - kg PM2.5 eq</v>
      </c>
      <c r="M7559" s="154" t="str">
        <f t="shared" si="584"/>
        <v>High_Medium_High_Upgraded_Particulate Matter Formation Potential (PMFP) - kg PM2.5 eq_Clear Cove Primary Clarification; wastewater treatment unit; at updated plant - US_Without Amendment_Windrow</v>
      </c>
    </row>
    <row r="7560" spans="1:13" s="120" customFormat="1" x14ac:dyDescent="0.25">
      <c r="A7560" s="119"/>
      <c r="B7560" s="138" t="str">
        <f t="shared" si="581"/>
        <v>Windrow</v>
      </c>
      <c r="C7560" s="138" t="str">
        <f t="shared" si="585"/>
        <v>Without Amendment</v>
      </c>
      <c r="D7560" s="138" t="str">
        <f t="shared" si="583"/>
        <v>Medium_High</v>
      </c>
      <c r="E7560" s="138" t="str">
        <f t="shared" si="580"/>
        <v>High</v>
      </c>
      <c r="F7560" s="138" t="str">
        <f t="shared" si="582"/>
        <v>Upgraded</v>
      </c>
      <c r="G7560" s="153"/>
      <c r="H7560" s="210">
        <v>0.26</v>
      </c>
      <c r="I7560" s="160" t="s">
        <v>58</v>
      </c>
      <c r="J7560" s="160">
        <v>5.9000000000000003E-4</v>
      </c>
      <c r="K7560" s="160" t="s">
        <v>145</v>
      </c>
      <c r="L7560" s="154" t="str">
        <f>IF(OpenLCAbasic!K7560="CTUh", "Fill in Manually",IF(OR(K7560="Unit", K7560=""), "", INDEX(LookUps!$E$5:$E$12, MATCH(OpenLCAbasic!K7560,LookUps!$D$5:$D$12,0))))</f>
        <v>Particulate Matter Formation Potential (PMFP) - kg PM2.5 eq</v>
      </c>
      <c r="M7560" s="154" t="str">
        <f t="shared" si="584"/>
        <v>High_Medium_High_Upgraded_Particulate Matter Formation Potential (PMFP) - kg PM2.5 eq_Pre-Anoxic &amp; Swing tank; wastewater treatment unit; at updated plant - US_Without Amendment_Windrow</v>
      </c>
    </row>
    <row r="7561" spans="1:13" s="120" customFormat="1" x14ac:dyDescent="0.25">
      <c r="A7561" s="119"/>
      <c r="B7561" s="138" t="str">
        <f t="shared" si="581"/>
        <v>Windrow</v>
      </c>
      <c r="C7561" s="138" t="str">
        <f t="shared" si="585"/>
        <v>Without Amendment</v>
      </c>
      <c r="D7561" s="138" t="str">
        <f t="shared" si="583"/>
        <v>Medium_High</v>
      </c>
      <c r="E7561" s="138" t="str">
        <f t="shared" ref="E7561:E7624" si="586">IF(ISNUMBER($J7561),"High","")</f>
        <v>High</v>
      </c>
      <c r="F7561" s="138" t="str">
        <f t="shared" si="582"/>
        <v>Upgraded</v>
      </c>
      <c r="G7561" s="153"/>
      <c r="H7561" s="210">
        <v>0.20610000000000001</v>
      </c>
      <c r="I7561" s="160" t="s">
        <v>53</v>
      </c>
      <c r="J7561" s="160">
        <v>4.6999999999999999E-4</v>
      </c>
      <c r="K7561" s="160" t="s">
        <v>145</v>
      </c>
      <c r="L7561" s="154" t="str">
        <f>IF(OpenLCAbasic!K7561="CTUh", "Fill in Manually",IF(OR(K7561="Unit", K7561=""), "", INDEX(LookUps!$E$5:$E$12, MATCH(OpenLCAbasic!K7561,LookUps!$D$5:$D$12,0))))</f>
        <v>Particulate Matter Formation Potential (PMFP) - kg PM2.5 eq</v>
      </c>
      <c r="M7561" s="154" t="str">
        <f t="shared" si="584"/>
        <v>High_Medium_High_Upgraded_Particulate Matter Formation Potential (PMFP) - kg PM2.5 eq_Wet Well and Sump Station; wastewater treatment unit; at updated plant - US_Without Amendment_Windrow</v>
      </c>
    </row>
    <row r="7562" spans="1:13" s="120" customFormat="1" x14ac:dyDescent="0.25">
      <c r="A7562" s="119"/>
      <c r="B7562" s="138" t="str">
        <f t="shared" si="581"/>
        <v>Windrow</v>
      </c>
      <c r="C7562" s="138" t="str">
        <f t="shared" si="585"/>
        <v>Without Amendment</v>
      </c>
      <c r="D7562" s="138" t="str">
        <f t="shared" si="583"/>
        <v>Medium_High</v>
      </c>
      <c r="E7562" s="138" t="str">
        <f t="shared" si="586"/>
        <v>High</v>
      </c>
      <c r="F7562" s="138" t="str">
        <f t="shared" si="582"/>
        <v>Upgraded</v>
      </c>
      <c r="G7562" s="153"/>
      <c r="H7562" s="210">
        <v>0.14249999999999999</v>
      </c>
      <c r="I7562" s="160" t="s">
        <v>271</v>
      </c>
      <c r="J7562" s="160">
        <v>3.2000000000000003E-4</v>
      </c>
      <c r="K7562" s="160" t="s">
        <v>145</v>
      </c>
      <c r="L7562" s="154" t="str">
        <f>IF(OpenLCAbasic!K7562="CTUh", "Fill in Manually",IF(OR(K7562="Unit", K7562=""), "", INDEX(LookUps!$E$5:$E$12, MATCH(OpenLCAbasic!K7562,LookUps!$D$5:$D$12,0))))</f>
        <v>Particulate Matter Formation Potential (PMFP) - kg PM2.5 eq</v>
      </c>
      <c r="M7562" s="154" t="str">
        <f t="shared" si="584"/>
        <v>High_Medium_High_Upgraded_Particulate Matter Formation Potential (PMFP) - kg PM2.5 eq_Biosolids composting; windrow composting; wastewater treatment unit; at updated plant - US_Without Amendment_Windrow</v>
      </c>
    </row>
    <row r="7563" spans="1:13" s="120" customFormat="1" x14ac:dyDescent="0.25">
      <c r="A7563" s="119"/>
      <c r="B7563" s="138" t="str">
        <f t="shared" si="581"/>
        <v>Windrow</v>
      </c>
      <c r="C7563" s="138" t="str">
        <f t="shared" si="585"/>
        <v>Without Amendment</v>
      </c>
      <c r="D7563" s="138" t="str">
        <f t="shared" si="583"/>
        <v>Medium_High</v>
      </c>
      <c r="E7563" s="138" t="str">
        <f t="shared" si="586"/>
        <v>High</v>
      </c>
      <c r="F7563" s="138" t="str">
        <f t="shared" si="582"/>
        <v>Upgraded</v>
      </c>
      <c r="G7563" s="153"/>
      <c r="H7563" s="210">
        <v>0.1389</v>
      </c>
      <c r="I7563" s="160" t="s">
        <v>167</v>
      </c>
      <c r="J7563" s="160">
        <v>3.1E-4</v>
      </c>
      <c r="K7563" s="160" t="s">
        <v>145</v>
      </c>
      <c r="L7563" s="154" t="str">
        <f>IF(OpenLCAbasic!K7563="CTUh", "Fill in Manually",IF(OR(K7563="Unit", K7563=""), "", INDEX(LookUps!$E$5:$E$12, MATCH(OpenLCAbasic!K7563,LookUps!$D$5:$D$12,0))))</f>
        <v>Particulate Matter Formation Potential (PMFP) - kg PM2.5 eq</v>
      </c>
      <c r="M7563" s="154" t="str">
        <f t="shared" si="584"/>
        <v>High_Medium_High_Upgraded_Particulate Matter Formation Potential (PMFP) - kg PM2.5 eq_Waste Receiving and Holding; wastewater treatment unit; at updated plant - US_Without Amendment_Windrow</v>
      </c>
    </row>
    <row r="7564" spans="1:13" s="120" customFormat="1" x14ac:dyDescent="0.25">
      <c r="A7564" s="119"/>
      <c r="B7564" s="138" t="str">
        <f t="shared" si="581"/>
        <v>Windrow</v>
      </c>
      <c r="C7564" s="138" t="str">
        <f t="shared" si="585"/>
        <v>Without Amendment</v>
      </c>
      <c r="D7564" s="138" t="str">
        <f t="shared" si="583"/>
        <v>Medium_High</v>
      </c>
      <c r="E7564" s="138" t="str">
        <f t="shared" si="586"/>
        <v>High</v>
      </c>
      <c r="F7564" s="138" t="str">
        <f t="shared" si="582"/>
        <v>Upgraded</v>
      </c>
      <c r="G7564" s="153"/>
      <c r="H7564" s="210">
        <v>0.1178</v>
      </c>
      <c r="I7564" s="160" t="s">
        <v>147</v>
      </c>
      <c r="J7564" s="160">
        <v>2.7E-4</v>
      </c>
      <c r="K7564" s="160" t="s">
        <v>145</v>
      </c>
      <c r="L7564" s="154" t="str">
        <f>IF(OpenLCAbasic!K7564="CTUh", "Fill in Manually",IF(OR(K7564="Unit", K7564=""), "", INDEX(LookUps!$E$5:$E$12, MATCH(OpenLCAbasic!K7564,LookUps!$D$5:$D$12,0))))</f>
        <v>Particulate Matter Formation Potential (PMFP) - kg PM2.5 eq</v>
      </c>
      <c r="M7564" s="154" t="str">
        <f t="shared" si="584"/>
        <v>High_Medium_High_Upgraded_Particulate Matter Formation Potential (PMFP) - kg PM2.5 eq_Influent Pump Station; wastewater treatment unit; at updated plant - US_Without Amendment_Windrow</v>
      </c>
    </row>
    <row r="7565" spans="1:13" s="120" customFormat="1" x14ac:dyDescent="0.25">
      <c r="A7565" s="119"/>
      <c r="B7565" s="138" t="str">
        <f t="shared" si="581"/>
        <v>Windrow</v>
      </c>
      <c r="C7565" s="138" t="str">
        <f t="shared" si="585"/>
        <v>Without Amendment</v>
      </c>
      <c r="D7565" s="138" t="str">
        <f t="shared" si="583"/>
        <v>Medium_High</v>
      </c>
      <c r="E7565" s="138" t="str">
        <f t="shared" si="586"/>
        <v>High</v>
      </c>
      <c r="F7565" s="138" t="str">
        <f t="shared" si="582"/>
        <v>Upgraded</v>
      </c>
      <c r="G7565" s="153"/>
      <c r="H7565" s="210">
        <v>7.3499999999999996E-2</v>
      </c>
      <c r="I7565" s="160" t="s">
        <v>128</v>
      </c>
      <c r="J7565" s="160">
        <v>1.7000000000000001E-4</v>
      </c>
      <c r="K7565" s="160" t="s">
        <v>145</v>
      </c>
      <c r="L7565" s="154" t="str">
        <f>IF(OpenLCAbasic!K7565="CTUh", "Fill in Manually",IF(OR(K7565="Unit", K7565=""), "", INDEX(LookUps!$E$5:$E$12, MATCH(OpenLCAbasic!K7565,LookUps!$D$5:$D$12,0))))</f>
        <v>Particulate Matter Formation Potential (PMFP) - kg PM2.5 eq</v>
      </c>
      <c r="M7565" s="154" t="str">
        <f t="shared" si="584"/>
        <v>High_Medium_High_Upgraded_Particulate Matter Formation Potential (PMFP) - kg PM2.5 eq_Wastewater collection; operation and infrastructure; m3 wastewater_Without Amendment_Windrow</v>
      </c>
    </row>
    <row r="7566" spans="1:13" s="120" customFormat="1" x14ac:dyDescent="0.25">
      <c r="A7566" s="119"/>
      <c r="B7566" s="138" t="str">
        <f t="shared" si="581"/>
        <v>Windrow</v>
      </c>
      <c r="C7566" s="138" t="str">
        <f t="shared" si="585"/>
        <v>Without Amendment</v>
      </c>
      <c r="D7566" s="138" t="str">
        <f t="shared" si="583"/>
        <v>Medium_High</v>
      </c>
      <c r="E7566" s="138" t="str">
        <f t="shared" si="586"/>
        <v>High</v>
      </c>
      <c r="F7566" s="138" t="str">
        <f t="shared" si="582"/>
        <v>Upgraded</v>
      </c>
      <c r="G7566" s="153"/>
      <c r="H7566" s="210">
        <v>6.0900000000000003E-2</v>
      </c>
      <c r="I7566" s="160" t="s">
        <v>60</v>
      </c>
      <c r="J7566" s="160">
        <v>1.3999999999999999E-4</v>
      </c>
      <c r="K7566" s="160" t="s">
        <v>145</v>
      </c>
      <c r="L7566" s="154" t="str">
        <f>IF(OpenLCAbasic!K7566="CTUh", "Fill in Manually",IF(OR(K7566="Unit", K7566=""), "", INDEX(LookUps!$E$5:$E$12, MATCH(OpenLCAbasic!K7566,LookUps!$D$5:$D$12,0))))</f>
        <v>Particulate Matter Formation Potential (PMFP) - kg PM2.5 eq</v>
      </c>
      <c r="M7566" s="154" t="str">
        <f t="shared" si="584"/>
        <v>High_Medium_High_Upgraded_Particulate Matter Formation Potential (PMFP) - kg PM2.5 eq_Belt filter press; wastewater treatment unit; at updated plant - US_Without Amendment_Windrow</v>
      </c>
    </row>
    <row r="7567" spans="1:13" s="120" customFormat="1" x14ac:dyDescent="0.25">
      <c r="A7567" s="119"/>
      <c r="B7567" s="138" t="str">
        <f t="shared" si="581"/>
        <v>Windrow</v>
      </c>
      <c r="C7567" s="138" t="str">
        <f t="shared" si="585"/>
        <v>Without Amendment</v>
      </c>
      <c r="D7567" s="138" t="str">
        <f t="shared" si="583"/>
        <v>Medium_High</v>
      </c>
      <c r="E7567" s="138" t="str">
        <f t="shared" si="586"/>
        <v>High</v>
      </c>
      <c r="F7567" s="138" t="str">
        <f t="shared" si="582"/>
        <v>Upgraded</v>
      </c>
      <c r="G7567" s="153"/>
      <c r="H7567" s="210">
        <v>4.2000000000000003E-2</v>
      </c>
      <c r="I7567" s="160" t="s">
        <v>57</v>
      </c>
      <c r="J7567" s="211">
        <v>9.5153800000000004E-5</v>
      </c>
      <c r="K7567" s="160" t="s">
        <v>145</v>
      </c>
      <c r="L7567" s="154" t="str">
        <f>IF(OpenLCAbasic!K7567="CTUh", "Fill in Manually",IF(OR(K7567="Unit", K7567=""), "", INDEX(LookUps!$E$5:$E$12, MATCH(OpenLCAbasic!K7567,LookUps!$D$5:$D$12,0))))</f>
        <v>Particulate Matter Formation Potential (PMFP) - kg PM2.5 eq</v>
      </c>
      <c r="M7567" s="154" t="str">
        <f t="shared" si="584"/>
        <v>High_Medium_High_Upgraded_Particulate Matter Formation Potential (PMFP) - kg PM2.5 eq_Gravity Belt Thickener; wastewater treatment unit; at updated plant - US_Without Amendment_Windrow</v>
      </c>
    </row>
    <row r="7568" spans="1:13" s="120" customFormat="1" x14ac:dyDescent="0.25">
      <c r="A7568" s="119"/>
      <c r="B7568" s="138" t="str">
        <f t="shared" si="581"/>
        <v>Windrow</v>
      </c>
      <c r="C7568" s="138" t="str">
        <f t="shared" si="585"/>
        <v>Without Amendment</v>
      </c>
      <c r="D7568" s="138" t="str">
        <f t="shared" si="583"/>
        <v>Medium_High</v>
      </c>
      <c r="E7568" s="138" t="str">
        <f t="shared" si="586"/>
        <v>High</v>
      </c>
      <c r="F7568" s="138" t="str">
        <f t="shared" si="582"/>
        <v>Upgraded</v>
      </c>
      <c r="G7568" s="153"/>
      <c r="H7568" s="210">
        <v>3.09E-2</v>
      </c>
      <c r="I7568" s="160" t="s">
        <v>59</v>
      </c>
      <c r="J7568" s="211">
        <v>6.9942200000000003E-5</v>
      </c>
      <c r="K7568" s="160" t="s">
        <v>145</v>
      </c>
      <c r="L7568" s="154" t="str">
        <f>IF(OpenLCAbasic!K7568="CTUh", "Fill in Manually",IF(OR(K7568="Unit", K7568=""), "", INDEX(LookUps!$E$5:$E$12, MATCH(OpenLCAbasic!K7568,LookUps!$D$5:$D$12,0))))</f>
        <v>Particulate Matter Formation Potential (PMFP) - kg PM2.5 eq</v>
      </c>
      <c r="M7568" s="154" t="str">
        <f t="shared" si="584"/>
        <v>High_Medium_High_Upgraded_Particulate Matter Formation Potential (PMFP) - kg PM2.5 eq_Blend Tank; wastewater treatment unit; at updated plant - US_Without Amendment_Windrow</v>
      </c>
    </row>
    <row r="7569" spans="1:13" s="120" customFormat="1" x14ac:dyDescent="0.25">
      <c r="A7569" s="119"/>
      <c r="B7569" s="138" t="str">
        <f t="shared" si="581"/>
        <v>Windrow</v>
      </c>
      <c r="C7569" s="138" t="str">
        <f t="shared" si="585"/>
        <v>Without Amendment</v>
      </c>
      <c r="D7569" s="138" t="str">
        <f t="shared" si="583"/>
        <v>Medium_High</v>
      </c>
      <c r="E7569" s="138" t="str">
        <f t="shared" si="586"/>
        <v>High</v>
      </c>
      <c r="F7569" s="138" t="str">
        <f t="shared" si="582"/>
        <v>Upgraded</v>
      </c>
      <c r="G7569" s="153"/>
      <c r="H7569" s="210">
        <v>2.2100000000000002E-2</v>
      </c>
      <c r="I7569" s="160" t="s">
        <v>48</v>
      </c>
      <c r="J7569" s="211">
        <v>4.99741E-5</v>
      </c>
      <c r="K7569" s="160" t="s">
        <v>145</v>
      </c>
      <c r="L7569" s="154" t="str">
        <f>IF(OpenLCAbasic!K7569="CTUh", "Fill in Manually",IF(OR(K7569="Unit", K7569=""), "", INDEX(LookUps!$E$5:$E$12, MATCH(OpenLCAbasic!K7569,LookUps!$D$5:$D$12,0))))</f>
        <v>Particulate Matter Formation Potential (PMFP) - kg PM2.5 eq</v>
      </c>
      <c r="M7569" s="154" t="str">
        <f t="shared" si="584"/>
        <v>High_Medium_High_Upgraded_Particulate Matter Formation Potential (PMFP) - kg PM2.5 eq_Effluent release; wastewater treatment unit; at surface water; m3 wastewater - US_Without Amendment_Windrow</v>
      </c>
    </row>
    <row r="7570" spans="1:13" s="120" customFormat="1" x14ac:dyDescent="0.25">
      <c r="A7570" s="119"/>
      <c r="B7570" s="138" t="str">
        <f t="shared" si="581"/>
        <v>Windrow</v>
      </c>
      <c r="C7570" s="138" t="str">
        <f t="shared" si="585"/>
        <v>Without Amendment</v>
      </c>
      <c r="D7570" s="138" t="str">
        <f t="shared" si="583"/>
        <v>Medium_High</v>
      </c>
      <c r="E7570" s="138" t="str">
        <f t="shared" si="586"/>
        <v>High</v>
      </c>
      <c r="F7570" s="138" t="str">
        <f t="shared" si="582"/>
        <v>Upgraded</v>
      </c>
      <c r="G7570" s="153"/>
      <c r="H7570" s="210">
        <v>1.5299999999999999E-2</v>
      </c>
      <c r="I7570" s="160" t="s">
        <v>168</v>
      </c>
      <c r="J7570" s="211">
        <v>3.4562199999999999E-5</v>
      </c>
      <c r="K7570" s="160" t="s">
        <v>145</v>
      </c>
      <c r="L7570" s="154" t="str">
        <f>IF(OpenLCAbasic!K7570="CTUh", "Fill in Manually",IF(OR(K7570="Unit", K7570=""), "", INDEX(LookUps!$E$5:$E$12, MATCH(OpenLCAbasic!K7570,LookUps!$D$5:$D$12,0))))</f>
        <v>Particulate Matter Formation Potential (PMFP) - kg PM2.5 eq</v>
      </c>
      <c r="M7570" s="154" t="str">
        <f t="shared" si="584"/>
        <v>High_Medium_High_Upgraded_Particulate Matter Formation Potential (PMFP) - kg PM2.5 eq_ClearCove SCP; wastewater treatment unit; at updated plant - US_Without Amendment_Windrow</v>
      </c>
    </row>
    <row r="7571" spans="1:13" s="120" customFormat="1" x14ac:dyDescent="0.25">
      <c r="A7571" s="119"/>
      <c r="B7571" s="138" t="str">
        <f t="shared" si="581"/>
        <v>Windrow</v>
      </c>
      <c r="C7571" s="138" t="str">
        <f t="shared" si="585"/>
        <v>Without Amendment</v>
      </c>
      <c r="D7571" s="138" t="str">
        <f t="shared" si="583"/>
        <v>Medium_High</v>
      </c>
      <c r="E7571" s="138" t="str">
        <f t="shared" si="586"/>
        <v>High</v>
      </c>
      <c r="F7571" s="138" t="str">
        <f t="shared" si="582"/>
        <v>Upgraded</v>
      </c>
      <c r="G7571" s="153"/>
      <c r="H7571" s="210">
        <v>1.37E-2</v>
      </c>
      <c r="I7571" s="160" t="s">
        <v>62</v>
      </c>
      <c r="J7571" s="211">
        <v>3.1103799999999999E-5</v>
      </c>
      <c r="K7571" s="160" t="s">
        <v>145</v>
      </c>
      <c r="L7571" s="154" t="str">
        <f>IF(OpenLCAbasic!K7571="CTUh", "Fill in Manually",IF(OR(K7571="Unit", K7571=""), "", INDEX(LookUps!$E$5:$E$12, MATCH(OpenLCAbasic!K7571,LookUps!$D$5:$D$12,0))))</f>
        <v>Particulate Matter Formation Potential (PMFP) - kg PM2.5 eq</v>
      </c>
      <c r="M7571" s="154" t="str">
        <f t="shared" si="584"/>
        <v>High_Medium_High_Upgraded_Particulate Matter Formation Potential (PMFP) - kg PM2.5 eq_Land application of compost; wastewater treatment unit; at updated plant - US_Without Amendment_Windrow</v>
      </c>
    </row>
    <row r="7572" spans="1:13" s="120" customFormat="1" x14ac:dyDescent="0.25">
      <c r="A7572" s="119"/>
      <c r="B7572" s="138" t="str">
        <f t="shared" si="581"/>
        <v>Windrow</v>
      </c>
      <c r="C7572" s="138" t="str">
        <f t="shared" si="585"/>
        <v>Without Amendment</v>
      </c>
      <c r="D7572" s="138" t="str">
        <f t="shared" si="583"/>
        <v>Medium_High</v>
      </c>
      <c r="E7572" s="138" t="str">
        <f t="shared" si="586"/>
        <v>High</v>
      </c>
      <c r="F7572" s="138" t="str">
        <f t="shared" si="582"/>
        <v>Upgraded</v>
      </c>
      <c r="G7572" s="153"/>
      <c r="H7572" s="210">
        <v>3.8999999999999998E-3</v>
      </c>
      <c r="I7572" s="160" t="s">
        <v>148</v>
      </c>
      <c r="J7572" s="211">
        <v>8.8212999999999997E-6</v>
      </c>
      <c r="K7572" s="160" t="s">
        <v>145</v>
      </c>
      <c r="L7572" s="154" t="str">
        <f>IF(OpenLCAbasic!K7572="CTUh", "Fill in Manually",IF(OR(K7572="Unit", K7572=""), "", INDEX(LookUps!$E$5:$E$12, MATCH(OpenLCAbasic!K7572,LookUps!$D$5:$D$12,0))))</f>
        <v>Particulate Matter Formation Potential (PMFP) - kg PM2.5 eq</v>
      </c>
      <c r="M7572" s="154" t="str">
        <f t="shared" si="584"/>
        <v>High_Medium_High_Upgraded_Particulate Matter Formation Potential (PMFP) - kg PM2.5 eq_Control Building; at upgraded wastewater treatment plant - US_Without Amendment_Windrow</v>
      </c>
    </row>
    <row r="7573" spans="1:13" s="120" customFormat="1" x14ac:dyDescent="0.25">
      <c r="A7573" s="119"/>
      <c r="B7573" s="138" t="str">
        <f t="shared" si="581"/>
        <v>Windrow</v>
      </c>
      <c r="C7573" s="138" t="str">
        <f t="shared" si="585"/>
        <v>Without Amendment</v>
      </c>
      <c r="D7573" s="138" t="str">
        <f t="shared" si="583"/>
        <v>Medium_High</v>
      </c>
      <c r="E7573" s="138" t="str">
        <f t="shared" si="586"/>
        <v>High</v>
      </c>
      <c r="F7573" s="138" t="str">
        <f t="shared" si="582"/>
        <v>Upgraded</v>
      </c>
      <c r="G7573" s="153"/>
      <c r="H7573" s="210">
        <v>-3.4582000000000002</v>
      </c>
      <c r="I7573" s="160" t="s">
        <v>149</v>
      </c>
      <c r="J7573" s="160">
        <v>-7.8300000000000002E-3</v>
      </c>
      <c r="K7573" s="160" t="s">
        <v>145</v>
      </c>
      <c r="L7573" s="154" t="str">
        <f>IF(OpenLCAbasic!K7573="CTUh", "Fill in Manually",IF(OR(K7573="Unit", K7573=""), "", INDEX(LookUps!$E$5:$E$12, MATCH(OpenLCAbasic!K7573,LookUps!$D$5:$D$12,0))))</f>
        <v>Particulate Matter Formation Potential (PMFP) - kg PM2.5 eq</v>
      </c>
      <c r="M7573" s="154" t="str">
        <f t="shared" si="584"/>
        <v>High_Medium_High_Upgraded_Particulate Matter Formation Potential (PMFP) - kg PM2.5 eq_Anaerobic Digestion; wastewater treatment unit; at updated plant - US_Without Amendment_Windrow</v>
      </c>
    </row>
    <row r="7574" spans="1:13" s="120" customFormat="1" x14ac:dyDescent="0.25">
      <c r="A7574" s="119"/>
      <c r="B7574" s="138" t="str">
        <f t="shared" si="581"/>
        <v/>
      </c>
      <c r="C7574" s="138" t="str">
        <f t="shared" si="585"/>
        <v/>
      </c>
      <c r="D7574" s="138" t="str">
        <f t="shared" si="583"/>
        <v/>
      </c>
      <c r="E7574" s="138" t="str">
        <f t="shared" si="586"/>
        <v/>
      </c>
      <c r="F7574" s="138" t="str">
        <f t="shared" si="582"/>
        <v/>
      </c>
      <c r="G7574" s="153" t="s">
        <v>51</v>
      </c>
      <c r="H7574" s="160"/>
      <c r="I7574" s="160" t="s">
        <v>47</v>
      </c>
      <c r="J7574" s="160" t="s">
        <v>52</v>
      </c>
      <c r="K7574" s="160" t="s">
        <v>27</v>
      </c>
      <c r="L7574" s="154" t="str">
        <f>IF(OpenLCAbasic!K7574="CTUh", "Fill in Manually",IF(OR(K7574="Unit", K7574=""), "", INDEX(LookUps!$E$5:$E$12, MATCH(OpenLCAbasic!K7574,LookUps!$D$5:$D$12,0))))</f>
        <v/>
      </c>
      <c r="M7574" s="154" t="str">
        <f t="shared" si="584"/>
        <v>____Process__</v>
      </c>
    </row>
    <row r="7575" spans="1:13" s="120" customFormat="1" x14ac:dyDescent="0.25">
      <c r="A7575" s="119"/>
      <c r="B7575" s="138" t="str">
        <f t="shared" si="581"/>
        <v>Windrow</v>
      </c>
      <c r="C7575" s="138" t="str">
        <f t="shared" si="585"/>
        <v>Without Amendment</v>
      </c>
      <c r="D7575" s="138" t="str">
        <f t="shared" si="583"/>
        <v>Medium_High</v>
      </c>
      <c r="E7575" s="138" t="str">
        <f t="shared" si="586"/>
        <v>High</v>
      </c>
      <c r="F7575" s="138" t="str">
        <f t="shared" si="582"/>
        <v>Upgraded</v>
      </c>
      <c r="G7575" s="153"/>
      <c r="H7575" s="210">
        <v>0.91769999999999996</v>
      </c>
      <c r="I7575" s="160" t="s">
        <v>55</v>
      </c>
      <c r="J7575" s="160">
        <v>0.16577</v>
      </c>
      <c r="K7575" s="160" t="s">
        <v>25</v>
      </c>
      <c r="L7575" s="154" t="str">
        <f>IF(OpenLCAbasic!K7575="CTUh", "Fill in Manually",IF(OR(K7575="Unit", K7575=""), "", INDEX(LookUps!$E$5:$E$12, MATCH(OpenLCAbasic!K7575,LookUps!$D$5:$D$12,0))))</f>
        <v>Smog Formation Potential (SFP) - kg O3 eq</v>
      </c>
      <c r="M7575" s="154" t="str">
        <f t="shared" si="584"/>
        <v>High_Medium_High_Upgraded_Smog Formation Potential (SFP) - kg O3 eq_Aeration Tanks; wastewater treatment unit; at updated plant - US_Without Amendment_Windrow</v>
      </c>
    </row>
    <row r="7576" spans="1:13" s="120" customFormat="1" x14ac:dyDescent="0.25">
      <c r="A7576" s="119"/>
      <c r="B7576" s="138" t="str">
        <f t="shared" si="581"/>
        <v>Windrow</v>
      </c>
      <c r="C7576" s="138" t="str">
        <f t="shared" si="585"/>
        <v>Without Amendment</v>
      </c>
      <c r="D7576" s="138" t="str">
        <f t="shared" si="583"/>
        <v>Medium_High</v>
      </c>
      <c r="E7576" s="138" t="str">
        <f t="shared" si="586"/>
        <v>High</v>
      </c>
      <c r="F7576" s="138" t="str">
        <f t="shared" si="582"/>
        <v>Upgraded</v>
      </c>
      <c r="G7576" s="153"/>
      <c r="H7576" s="210">
        <v>0.2661</v>
      </c>
      <c r="I7576" s="160" t="s">
        <v>54</v>
      </c>
      <c r="J7576" s="160">
        <v>4.8070000000000002E-2</v>
      </c>
      <c r="K7576" s="160" t="s">
        <v>25</v>
      </c>
      <c r="L7576" s="154" t="str">
        <f>IF(OpenLCAbasic!K7576="CTUh", "Fill in Manually",IF(OR(K7576="Unit", K7576=""), "", INDEX(LookUps!$E$5:$E$12, MATCH(OpenLCAbasic!K7576,LookUps!$D$5:$D$12,0))))</f>
        <v>Smog Formation Potential (SFP) - kg O3 eq</v>
      </c>
      <c r="M7576" s="154" t="str">
        <f t="shared" si="584"/>
        <v>High_Medium_High_Upgraded_Smog Formation Potential (SFP) - kg O3 eq_Clear Cove Primary Clarification; wastewater treatment unit; at updated plant - US_Without Amendment_Windrow</v>
      </c>
    </row>
    <row r="7577" spans="1:13" s="120" customFormat="1" x14ac:dyDescent="0.25">
      <c r="A7577" s="119"/>
      <c r="B7577" s="138" t="str">
        <f t="shared" si="581"/>
        <v>Windrow</v>
      </c>
      <c r="C7577" s="138" t="str">
        <f t="shared" si="585"/>
        <v>Without Amendment</v>
      </c>
      <c r="D7577" s="138" t="str">
        <f t="shared" si="583"/>
        <v>Medium_High</v>
      </c>
      <c r="E7577" s="138" t="str">
        <f t="shared" si="586"/>
        <v>High</v>
      </c>
      <c r="F7577" s="138" t="str">
        <f t="shared" si="582"/>
        <v>Upgraded</v>
      </c>
      <c r="G7577" s="153"/>
      <c r="H7577" s="210">
        <v>0.2321</v>
      </c>
      <c r="I7577" s="160" t="s">
        <v>58</v>
      </c>
      <c r="J7577" s="160">
        <v>4.1919999999999999E-2</v>
      </c>
      <c r="K7577" s="160" t="s">
        <v>25</v>
      </c>
      <c r="L7577" s="154" t="str">
        <f>IF(OpenLCAbasic!K7577="CTUh", "Fill in Manually",IF(OR(K7577="Unit", K7577=""), "", INDEX(LookUps!$E$5:$E$12, MATCH(OpenLCAbasic!K7577,LookUps!$D$5:$D$12,0))))</f>
        <v>Smog Formation Potential (SFP) - kg O3 eq</v>
      </c>
      <c r="M7577" s="154" t="str">
        <f t="shared" si="584"/>
        <v>High_Medium_High_Upgraded_Smog Formation Potential (SFP) - kg O3 eq_Pre-Anoxic &amp; Swing tank; wastewater treatment unit; at updated plant - US_Without Amendment_Windrow</v>
      </c>
    </row>
    <row r="7578" spans="1:13" s="120" customFormat="1" x14ac:dyDescent="0.25">
      <c r="A7578" s="119"/>
      <c r="B7578" s="138" t="str">
        <f t="shared" si="581"/>
        <v>Windrow</v>
      </c>
      <c r="C7578" s="138" t="str">
        <f t="shared" si="585"/>
        <v>Without Amendment</v>
      </c>
      <c r="D7578" s="138" t="str">
        <f t="shared" si="583"/>
        <v>Medium_High</v>
      </c>
      <c r="E7578" s="138" t="str">
        <f t="shared" si="586"/>
        <v>High</v>
      </c>
      <c r="F7578" s="138" t="str">
        <f t="shared" si="582"/>
        <v>Upgraded</v>
      </c>
      <c r="G7578" s="153"/>
      <c r="H7578" s="210">
        <v>0.18340000000000001</v>
      </c>
      <c r="I7578" s="160" t="s">
        <v>53</v>
      </c>
      <c r="J7578" s="160">
        <v>3.313E-2</v>
      </c>
      <c r="K7578" s="160" t="s">
        <v>25</v>
      </c>
      <c r="L7578" s="154" t="str">
        <f>IF(OpenLCAbasic!K7578="CTUh", "Fill in Manually",IF(OR(K7578="Unit", K7578=""), "", INDEX(LookUps!$E$5:$E$12, MATCH(OpenLCAbasic!K7578,LookUps!$D$5:$D$12,0))))</f>
        <v>Smog Formation Potential (SFP) - kg O3 eq</v>
      </c>
      <c r="M7578" s="154" t="str">
        <f t="shared" si="584"/>
        <v>High_Medium_High_Upgraded_Smog Formation Potential (SFP) - kg O3 eq_Wet Well and Sump Station; wastewater treatment unit; at updated plant - US_Without Amendment_Windrow</v>
      </c>
    </row>
    <row r="7579" spans="1:13" s="120" customFormat="1" x14ac:dyDescent="0.25">
      <c r="A7579" s="119"/>
      <c r="B7579" s="138" t="str">
        <f t="shared" si="581"/>
        <v>Windrow</v>
      </c>
      <c r="C7579" s="138" t="str">
        <f t="shared" si="585"/>
        <v>Without Amendment</v>
      </c>
      <c r="D7579" s="138" t="str">
        <f t="shared" si="583"/>
        <v>Medium_High</v>
      </c>
      <c r="E7579" s="138" t="str">
        <f t="shared" si="586"/>
        <v>High</v>
      </c>
      <c r="F7579" s="138" t="str">
        <f t="shared" si="582"/>
        <v>Upgraded</v>
      </c>
      <c r="G7579" s="153"/>
      <c r="H7579" s="210">
        <v>0.17</v>
      </c>
      <c r="I7579" s="160" t="s">
        <v>167</v>
      </c>
      <c r="J7579" s="160">
        <v>3.0710000000000001E-2</v>
      </c>
      <c r="K7579" s="160" t="s">
        <v>25</v>
      </c>
      <c r="L7579" s="154" t="str">
        <f>IF(OpenLCAbasic!K7579="CTUh", "Fill in Manually",IF(OR(K7579="Unit", K7579=""), "", INDEX(LookUps!$E$5:$E$12, MATCH(OpenLCAbasic!K7579,LookUps!$D$5:$D$12,0))))</f>
        <v>Smog Formation Potential (SFP) - kg O3 eq</v>
      </c>
      <c r="M7579" s="154" t="str">
        <f t="shared" si="584"/>
        <v>High_Medium_High_Upgraded_Smog Formation Potential (SFP) - kg O3 eq_Waste Receiving and Holding; wastewater treatment unit; at updated plant - US_Without Amendment_Windrow</v>
      </c>
    </row>
    <row r="7580" spans="1:13" s="120" customFormat="1" x14ac:dyDescent="0.25">
      <c r="A7580" s="119"/>
      <c r="B7580" s="138" t="str">
        <f t="shared" si="581"/>
        <v>Windrow</v>
      </c>
      <c r="C7580" s="138" t="str">
        <f t="shared" si="585"/>
        <v>Without Amendment</v>
      </c>
      <c r="D7580" s="138" t="str">
        <f t="shared" si="583"/>
        <v>Medium_High</v>
      </c>
      <c r="E7580" s="138" t="str">
        <f t="shared" si="586"/>
        <v>High</v>
      </c>
      <c r="F7580" s="138" t="str">
        <f t="shared" si="582"/>
        <v>Upgraded</v>
      </c>
      <c r="G7580" s="153"/>
      <c r="H7580" s="210">
        <v>0.1074</v>
      </c>
      <c r="I7580" s="160" t="s">
        <v>147</v>
      </c>
      <c r="J7580" s="160">
        <v>1.9400000000000001E-2</v>
      </c>
      <c r="K7580" s="160" t="s">
        <v>25</v>
      </c>
      <c r="L7580" s="154" t="str">
        <f>IF(OpenLCAbasic!K7580="CTUh", "Fill in Manually",IF(OR(K7580="Unit", K7580=""), "", INDEX(LookUps!$E$5:$E$12, MATCH(OpenLCAbasic!K7580,LookUps!$D$5:$D$12,0))))</f>
        <v>Smog Formation Potential (SFP) - kg O3 eq</v>
      </c>
      <c r="M7580" s="154" t="str">
        <f t="shared" si="584"/>
        <v>High_Medium_High_Upgraded_Smog Formation Potential (SFP) - kg O3 eq_Influent Pump Station; wastewater treatment unit; at updated plant - US_Without Amendment_Windrow</v>
      </c>
    </row>
    <row r="7581" spans="1:13" s="120" customFormat="1" x14ac:dyDescent="0.25">
      <c r="A7581" s="119"/>
      <c r="B7581" s="138" t="str">
        <f t="shared" si="581"/>
        <v>Windrow</v>
      </c>
      <c r="C7581" s="138" t="str">
        <f t="shared" si="585"/>
        <v>Without Amendment</v>
      </c>
      <c r="D7581" s="138" t="str">
        <f t="shared" si="583"/>
        <v>Medium_High</v>
      </c>
      <c r="E7581" s="138" t="str">
        <f t="shared" si="586"/>
        <v>High</v>
      </c>
      <c r="F7581" s="138" t="str">
        <f t="shared" si="582"/>
        <v>Upgraded</v>
      </c>
      <c r="G7581" s="153"/>
      <c r="H7581" s="210">
        <v>6.6000000000000003E-2</v>
      </c>
      <c r="I7581" s="160" t="s">
        <v>128</v>
      </c>
      <c r="J7581" s="160">
        <v>1.192E-2</v>
      </c>
      <c r="K7581" s="160" t="s">
        <v>25</v>
      </c>
      <c r="L7581" s="154" t="str">
        <f>IF(OpenLCAbasic!K7581="CTUh", "Fill in Manually",IF(OR(K7581="Unit", K7581=""), "", INDEX(LookUps!$E$5:$E$12, MATCH(OpenLCAbasic!K7581,LookUps!$D$5:$D$12,0))))</f>
        <v>Smog Formation Potential (SFP) - kg O3 eq</v>
      </c>
      <c r="M7581" s="154" t="str">
        <f t="shared" si="584"/>
        <v>High_Medium_High_Upgraded_Smog Formation Potential (SFP) - kg O3 eq_Wastewater collection; operation and infrastructure; m3 wastewater_Without Amendment_Windrow</v>
      </c>
    </row>
    <row r="7582" spans="1:13" s="120" customFormat="1" x14ac:dyDescent="0.25">
      <c r="A7582" s="119"/>
      <c r="B7582" s="138" t="str">
        <f t="shared" si="581"/>
        <v>Windrow</v>
      </c>
      <c r="C7582" s="138" t="str">
        <f t="shared" si="585"/>
        <v>Without Amendment</v>
      </c>
      <c r="D7582" s="138" t="str">
        <f t="shared" si="583"/>
        <v>Medium_High</v>
      </c>
      <c r="E7582" s="138" t="str">
        <f t="shared" si="586"/>
        <v>High</v>
      </c>
      <c r="F7582" s="138" t="str">
        <f t="shared" si="582"/>
        <v>Upgraded</v>
      </c>
      <c r="G7582" s="153"/>
      <c r="H7582" s="210">
        <v>5.3699999999999998E-2</v>
      </c>
      <c r="I7582" s="160" t="s">
        <v>60</v>
      </c>
      <c r="J7582" s="160">
        <v>9.7099999999999999E-3</v>
      </c>
      <c r="K7582" s="160" t="s">
        <v>25</v>
      </c>
      <c r="L7582" s="154" t="str">
        <f>IF(OpenLCAbasic!K7582="CTUh", "Fill in Manually",IF(OR(K7582="Unit", K7582=""), "", INDEX(LookUps!$E$5:$E$12, MATCH(OpenLCAbasic!K7582,LookUps!$D$5:$D$12,0))))</f>
        <v>Smog Formation Potential (SFP) - kg O3 eq</v>
      </c>
      <c r="M7582" s="154" t="str">
        <f t="shared" si="584"/>
        <v>High_Medium_High_Upgraded_Smog Formation Potential (SFP) - kg O3 eq_Belt filter press; wastewater treatment unit; at updated plant - US_Without Amendment_Windrow</v>
      </c>
    </row>
    <row r="7583" spans="1:13" s="120" customFormat="1" x14ac:dyDescent="0.25">
      <c r="A7583" s="119"/>
      <c r="B7583" s="138" t="str">
        <f t="shared" si="581"/>
        <v>Windrow</v>
      </c>
      <c r="C7583" s="138" t="str">
        <f t="shared" si="585"/>
        <v>Without Amendment</v>
      </c>
      <c r="D7583" s="138" t="str">
        <f t="shared" si="583"/>
        <v>Medium_High</v>
      </c>
      <c r="E7583" s="138" t="str">
        <f t="shared" si="586"/>
        <v>High</v>
      </c>
      <c r="F7583" s="138" t="str">
        <f t="shared" si="582"/>
        <v>Upgraded</v>
      </c>
      <c r="G7583" s="153"/>
      <c r="H7583" s="210">
        <v>3.6799999999999999E-2</v>
      </c>
      <c r="I7583" s="160" t="s">
        <v>57</v>
      </c>
      <c r="J7583" s="160">
        <v>6.6499999999999997E-3</v>
      </c>
      <c r="K7583" s="160" t="s">
        <v>25</v>
      </c>
      <c r="L7583" s="154" t="str">
        <f>IF(OpenLCAbasic!K7583="CTUh", "Fill in Manually",IF(OR(K7583="Unit", K7583=""), "", INDEX(LookUps!$E$5:$E$12, MATCH(OpenLCAbasic!K7583,LookUps!$D$5:$D$12,0))))</f>
        <v>Smog Formation Potential (SFP) - kg O3 eq</v>
      </c>
      <c r="M7583" s="154" t="str">
        <f t="shared" si="584"/>
        <v>High_Medium_High_Upgraded_Smog Formation Potential (SFP) - kg O3 eq_Gravity Belt Thickener; wastewater treatment unit; at updated plant - US_Without Amendment_Windrow</v>
      </c>
    </row>
    <row r="7584" spans="1:13" s="120" customFormat="1" x14ac:dyDescent="0.25">
      <c r="A7584" s="119"/>
      <c r="B7584" s="138" t="str">
        <f t="shared" si="581"/>
        <v>Windrow</v>
      </c>
      <c r="C7584" s="138" t="str">
        <f t="shared" si="585"/>
        <v>Without Amendment</v>
      </c>
      <c r="D7584" s="138" t="str">
        <f t="shared" si="583"/>
        <v>Medium_High</v>
      </c>
      <c r="E7584" s="138" t="str">
        <f t="shared" si="586"/>
        <v>High</v>
      </c>
      <c r="F7584" s="138" t="str">
        <f t="shared" si="582"/>
        <v>Upgraded</v>
      </c>
      <c r="G7584" s="153"/>
      <c r="H7584" s="210">
        <v>2.75E-2</v>
      </c>
      <c r="I7584" s="160" t="s">
        <v>59</v>
      </c>
      <c r="J7584" s="160">
        <v>4.9699999999999996E-3</v>
      </c>
      <c r="K7584" s="160" t="s">
        <v>25</v>
      </c>
      <c r="L7584" s="154" t="str">
        <f>IF(OpenLCAbasic!K7584="CTUh", "Fill in Manually",IF(OR(K7584="Unit", K7584=""), "", INDEX(LookUps!$E$5:$E$12, MATCH(OpenLCAbasic!K7584,LookUps!$D$5:$D$12,0))))</f>
        <v>Smog Formation Potential (SFP) - kg O3 eq</v>
      </c>
      <c r="M7584" s="154" t="str">
        <f t="shared" si="584"/>
        <v>High_Medium_High_Upgraded_Smog Formation Potential (SFP) - kg O3 eq_Blend Tank; wastewater treatment unit; at updated plant - US_Without Amendment_Windrow</v>
      </c>
    </row>
    <row r="7585" spans="1:13" s="120" customFormat="1" x14ac:dyDescent="0.25">
      <c r="A7585" s="119"/>
      <c r="B7585" s="138" t="str">
        <f t="shared" si="581"/>
        <v>Windrow</v>
      </c>
      <c r="C7585" s="138" t="str">
        <f t="shared" si="585"/>
        <v>Without Amendment</v>
      </c>
      <c r="D7585" s="138" t="str">
        <f t="shared" si="583"/>
        <v>Medium_High</v>
      </c>
      <c r="E7585" s="138" t="str">
        <f t="shared" si="586"/>
        <v>High</v>
      </c>
      <c r="F7585" s="138" t="str">
        <f t="shared" si="582"/>
        <v>Upgraded</v>
      </c>
      <c r="G7585" s="153"/>
      <c r="H7585" s="210">
        <v>1.8700000000000001E-2</v>
      </c>
      <c r="I7585" s="160" t="s">
        <v>48</v>
      </c>
      <c r="J7585" s="160">
        <v>3.3899999999999998E-3</v>
      </c>
      <c r="K7585" s="160" t="s">
        <v>25</v>
      </c>
      <c r="L7585" s="154" t="str">
        <f>IF(OpenLCAbasic!K7585="CTUh", "Fill in Manually",IF(OR(K7585="Unit", K7585=""), "", INDEX(LookUps!$E$5:$E$12, MATCH(OpenLCAbasic!K7585,LookUps!$D$5:$D$12,0))))</f>
        <v>Smog Formation Potential (SFP) - kg O3 eq</v>
      </c>
      <c r="M7585" s="154" t="str">
        <f t="shared" si="584"/>
        <v>High_Medium_High_Upgraded_Smog Formation Potential (SFP) - kg O3 eq_Effluent release; wastewater treatment unit; at surface water; m3 wastewater - US_Without Amendment_Windrow</v>
      </c>
    </row>
    <row r="7586" spans="1:13" s="120" customFormat="1" x14ac:dyDescent="0.25">
      <c r="A7586" s="119"/>
      <c r="B7586" s="138" t="str">
        <f t="shared" si="581"/>
        <v>Windrow</v>
      </c>
      <c r="C7586" s="138" t="str">
        <f t="shared" si="585"/>
        <v>Without Amendment</v>
      </c>
      <c r="D7586" s="138" t="str">
        <f t="shared" si="583"/>
        <v>Medium_High</v>
      </c>
      <c r="E7586" s="138" t="str">
        <f t="shared" si="586"/>
        <v>High</v>
      </c>
      <c r="F7586" s="138" t="str">
        <f t="shared" si="582"/>
        <v>Upgraded</v>
      </c>
      <c r="G7586" s="153"/>
      <c r="H7586" s="210">
        <v>1.3599999999999999E-2</v>
      </c>
      <c r="I7586" s="160" t="s">
        <v>168</v>
      </c>
      <c r="J7586" s="160">
        <v>2.4599999999999999E-3</v>
      </c>
      <c r="K7586" s="160" t="s">
        <v>25</v>
      </c>
      <c r="L7586" s="154" t="str">
        <f>IF(OpenLCAbasic!K7586="CTUh", "Fill in Manually",IF(OR(K7586="Unit", K7586=""), "", INDEX(LookUps!$E$5:$E$12, MATCH(OpenLCAbasic!K7586,LookUps!$D$5:$D$12,0))))</f>
        <v>Smog Formation Potential (SFP) - kg O3 eq</v>
      </c>
      <c r="M7586" s="154" t="str">
        <f t="shared" si="584"/>
        <v>High_Medium_High_Upgraded_Smog Formation Potential (SFP) - kg O3 eq_ClearCove SCP; wastewater treatment unit; at updated plant - US_Without Amendment_Windrow</v>
      </c>
    </row>
    <row r="7587" spans="1:13" s="120" customFormat="1" x14ac:dyDescent="0.25">
      <c r="A7587" s="119"/>
      <c r="B7587" s="138" t="str">
        <f t="shared" si="581"/>
        <v>Windrow</v>
      </c>
      <c r="C7587" s="138" t="str">
        <f t="shared" si="585"/>
        <v>Without Amendment</v>
      </c>
      <c r="D7587" s="138" t="str">
        <f t="shared" si="583"/>
        <v>Medium_High</v>
      </c>
      <c r="E7587" s="138" t="str">
        <f t="shared" si="586"/>
        <v>High</v>
      </c>
      <c r="F7587" s="138" t="str">
        <f t="shared" si="582"/>
        <v>Upgraded</v>
      </c>
      <c r="G7587" s="153"/>
      <c r="H7587" s="210">
        <v>3.7000000000000002E-3</v>
      </c>
      <c r="I7587" s="160" t="s">
        <v>271</v>
      </c>
      <c r="J7587" s="160">
        <v>6.7000000000000002E-4</v>
      </c>
      <c r="K7587" s="160" t="s">
        <v>25</v>
      </c>
      <c r="L7587" s="154" t="str">
        <f>IF(OpenLCAbasic!K7587="CTUh", "Fill in Manually",IF(OR(K7587="Unit", K7587=""), "", INDEX(LookUps!$E$5:$E$12, MATCH(OpenLCAbasic!K7587,LookUps!$D$5:$D$12,0))))</f>
        <v>Smog Formation Potential (SFP) - kg O3 eq</v>
      </c>
      <c r="M7587" s="154" t="str">
        <f t="shared" si="584"/>
        <v>High_Medium_High_Upgraded_Smog Formation Potential (SFP) - kg O3 eq_Biosolids composting; windrow composting; wastewater treatment unit; at updated plant - US_Without Amendment_Windrow</v>
      </c>
    </row>
    <row r="7588" spans="1:13" s="120" customFormat="1" x14ac:dyDescent="0.25">
      <c r="A7588" s="119"/>
      <c r="B7588" s="138" t="str">
        <f t="shared" si="581"/>
        <v>Windrow</v>
      </c>
      <c r="C7588" s="138" t="str">
        <f t="shared" si="585"/>
        <v>Without Amendment</v>
      </c>
      <c r="D7588" s="138" t="str">
        <f t="shared" si="583"/>
        <v>Medium_High</v>
      </c>
      <c r="E7588" s="138" t="str">
        <f t="shared" si="586"/>
        <v>High</v>
      </c>
      <c r="F7588" s="138" t="str">
        <f t="shared" si="582"/>
        <v>Upgraded</v>
      </c>
      <c r="G7588" s="153"/>
      <c r="H7588" s="210">
        <v>3.0000000000000001E-3</v>
      </c>
      <c r="I7588" s="160" t="s">
        <v>148</v>
      </c>
      <c r="J7588" s="160">
        <v>5.4000000000000001E-4</v>
      </c>
      <c r="K7588" s="160" t="s">
        <v>25</v>
      </c>
      <c r="L7588" s="154" t="str">
        <f>IF(OpenLCAbasic!K7588="CTUh", "Fill in Manually",IF(OR(K7588="Unit", K7588=""), "", INDEX(LookUps!$E$5:$E$12, MATCH(OpenLCAbasic!K7588,LookUps!$D$5:$D$12,0))))</f>
        <v>Smog Formation Potential (SFP) - kg O3 eq</v>
      </c>
      <c r="M7588" s="154" t="str">
        <f t="shared" si="584"/>
        <v>High_Medium_High_Upgraded_Smog Formation Potential (SFP) - kg O3 eq_Control Building; at upgraded wastewater treatment plant - US_Without Amendment_Windrow</v>
      </c>
    </row>
    <row r="7589" spans="1:13" s="120" customFormat="1" x14ac:dyDescent="0.25">
      <c r="A7589" s="119"/>
      <c r="B7589" s="138" t="str">
        <f t="shared" si="581"/>
        <v>Windrow</v>
      </c>
      <c r="C7589" s="138" t="str">
        <f t="shared" si="585"/>
        <v>Without Amendment</v>
      </c>
      <c r="D7589" s="138" t="str">
        <f t="shared" si="583"/>
        <v>Medium_High</v>
      </c>
      <c r="E7589" s="138" t="str">
        <f t="shared" si="586"/>
        <v>High</v>
      </c>
      <c r="F7589" s="138" t="str">
        <f t="shared" si="582"/>
        <v>Upgraded</v>
      </c>
      <c r="G7589" s="153"/>
      <c r="H7589" s="210">
        <v>-1.23E-2</v>
      </c>
      <c r="I7589" s="160" t="s">
        <v>62</v>
      </c>
      <c r="J7589" s="160">
        <v>-2.2100000000000002E-3</v>
      </c>
      <c r="K7589" s="160" t="s">
        <v>25</v>
      </c>
      <c r="L7589" s="154" t="str">
        <f>IF(OpenLCAbasic!K7589="CTUh", "Fill in Manually",IF(OR(K7589="Unit", K7589=""), "", INDEX(LookUps!$E$5:$E$12, MATCH(OpenLCAbasic!K7589,LookUps!$D$5:$D$12,0))))</f>
        <v>Smog Formation Potential (SFP) - kg O3 eq</v>
      </c>
      <c r="M7589" s="154" t="str">
        <f t="shared" si="584"/>
        <v>High_Medium_High_Upgraded_Smog Formation Potential (SFP) - kg O3 eq_Land application of compost; wastewater treatment unit; at updated plant - US_Without Amendment_Windrow</v>
      </c>
    </row>
    <row r="7590" spans="1:13" s="120" customFormat="1" x14ac:dyDescent="0.25">
      <c r="A7590" s="119"/>
      <c r="B7590" s="138" t="str">
        <f t="shared" si="581"/>
        <v>Windrow</v>
      </c>
      <c r="C7590" s="138" t="str">
        <f t="shared" si="585"/>
        <v>Without Amendment</v>
      </c>
      <c r="D7590" s="138" t="str">
        <f t="shared" si="583"/>
        <v>Medium_High</v>
      </c>
      <c r="E7590" s="138" t="str">
        <f t="shared" si="586"/>
        <v>High</v>
      </c>
      <c r="F7590" s="138" t="str">
        <f t="shared" si="582"/>
        <v>Upgraded</v>
      </c>
      <c r="G7590" s="153"/>
      <c r="H7590" s="210">
        <v>-3.0876000000000001</v>
      </c>
      <c r="I7590" s="160" t="s">
        <v>149</v>
      </c>
      <c r="J7590" s="160">
        <v>-0.55771000000000004</v>
      </c>
      <c r="K7590" s="160" t="s">
        <v>25</v>
      </c>
      <c r="L7590" s="154" t="str">
        <f>IF(OpenLCAbasic!K7590="CTUh", "Fill in Manually",IF(OR(K7590="Unit", K7590=""), "", INDEX(LookUps!$E$5:$E$12, MATCH(OpenLCAbasic!K7590,LookUps!$D$5:$D$12,0))))</f>
        <v>Smog Formation Potential (SFP) - kg O3 eq</v>
      </c>
      <c r="M7590" s="154" t="str">
        <f t="shared" si="584"/>
        <v>High_Medium_High_Upgraded_Smog Formation Potential (SFP) - kg O3 eq_Anaerobic Digestion; wastewater treatment unit; at updated plant - US_Without Amendment_Windrow</v>
      </c>
    </row>
    <row r="7591" spans="1:13" s="120" customFormat="1" x14ac:dyDescent="0.25">
      <c r="A7591" s="119"/>
      <c r="B7591" s="138" t="str">
        <f t="shared" si="581"/>
        <v/>
      </c>
      <c r="C7591" s="138" t="str">
        <f t="shared" si="585"/>
        <v/>
      </c>
      <c r="D7591" s="138" t="str">
        <f t="shared" si="583"/>
        <v/>
      </c>
      <c r="E7591" s="138" t="str">
        <f t="shared" si="586"/>
        <v/>
      </c>
      <c r="F7591" s="138" t="str">
        <f t="shared" si="582"/>
        <v/>
      </c>
      <c r="G7591" s="153" t="s">
        <v>51</v>
      </c>
      <c r="H7591" s="160"/>
      <c r="I7591" s="160" t="s">
        <v>47</v>
      </c>
      <c r="J7591" s="160" t="s">
        <v>52</v>
      </c>
      <c r="K7591" s="160" t="s">
        <v>27</v>
      </c>
      <c r="L7591" s="154" t="str">
        <f>IF(OpenLCAbasic!K7591="CTUh", "Fill in Manually",IF(OR(K7591="Unit", K7591=""), "", INDEX(LookUps!$E$5:$E$12, MATCH(OpenLCAbasic!K7591,LookUps!$D$5:$D$12,0))))</f>
        <v/>
      </c>
      <c r="M7591" s="154" t="str">
        <f t="shared" si="584"/>
        <v>____Process__</v>
      </c>
    </row>
    <row r="7592" spans="1:13" s="120" customFormat="1" x14ac:dyDescent="0.25">
      <c r="A7592" s="119"/>
      <c r="B7592" s="138" t="str">
        <f t="shared" ref="B7592:B7655" si="587">IF(F7592="Legacy","n.a.",IF(F7592="","","Windrow"))</f>
        <v>Windrow</v>
      </c>
      <c r="C7592" s="138" t="str">
        <f t="shared" si="585"/>
        <v>Without Amendment</v>
      </c>
      <c r="D7592" s="138" t="str">
        <f t="shared" si="583"/>
        <v>Medium_High</v>
      </c>
      <c r="E7592" s="138" t="str">
        <f t="shared" si="586"/>
        <v>High</v>
      </c>
      <c r="F7592" s="138" t="str">
        <f t="shared" ref="F7592:F7655" si="588">IF(ISNUMBER(J7592),"Upgraded","")</f>
        <v>Upgraded</v>
      </c>
      <c r="G7592" s="153"/>
      <c r="H7592" s="210">
        <v>3.5152000000000001</v>
      </c>
      <c r="I7592" s="160" t="s">
        <v>167</v>
      </c>
      <c r="J7592" s="160">
        <v>2.7999999999999998E-4</v>
      </c>
      <c r="K7592" s="160" t="s">
        <v>26</v>
      </c>
      <c r="L7592" s="154" t="str">
        <f>IF(OpenLCAbasic!K7592="CTUh", "Fill in Manually",IF(OR(K7592="Unit", K7592=""), "", INDEX(LookUps!$E$5:$E$12, MATCH(OpenLCAbasic!K7592,LookUps!$D$5:$D$12,0))))</f>
        <v>Water Use (WU) - m3 H2O</v>
      </c>
      <c r="M7592" s="154" t="str">
        <f t="shared" si="584"/>
        <v>High_Medium_High_Upgraded_Water Use (WU) - m3 H2O_Waste Receiving and Holding; wastewater treatment unit; at updated plant - US_Without Amendment_Windrow</v>
      </c>
    </row>
    <row r="7593" spans="1:13" s="120" customFormat="1" x14ac:dyDescent="0.25">
      <c r="A7593" s="119"/>
      <c r="B7593" s="138" t="str">
        <f t="shared" si="587"/>
        <v>Windrow</v>
      </c>
      <c r="C7593" s="138" t="str">
        <f t="shared" si="585"/>
        <v>Without Amendment</v>
      </c>
      <c r="D7593" s="138" t="str">
        <f t="shared" si="583"/>
        <v>Medium_High</v>
      </c>
      <c r="E7593" s="138" t="str">
        <f t="shared" si="586"/>
        <v>High</v>
      </c>
      <c r="F7593" s="138" t="str">
        <f t="shared" si="588"/>
        <v>Upgraded</v>
      </c>
      <c r="G7593" s="153"/>
      <c r="H7593" s="210">
        <v>2.2946</v>
      </c>
      <c r="I7593" s="160" t="s">
        <v>147</v>
      </c>
      <c r="J7593" s="160">
        <v>1.8000000000000001E-4</v>
      </c>
      <c r="K7593" s="160" t="s">
        <v>26</v>
      </c>
      <c r="L7593" s="154" t="str">
        <f>IF(OpenLCAbasic!K7593="CTUh", "Fill in Manually",IF(OR(K7593="Unit", K7593=""), "", INDEX(LookUps!$E$5:$E$12, MATCH(OpenLCAbasic!K7593,LookUps!$D$5:$D$12,0))))</f>
        <v>Water Use (WU) - m3 H2O</v>
      </c>
      <c r="M7593" s="154" t="str">
        <f t="shared" si="584"/>
        <v>High_Medium_High_Upgraded_Water Use (WU) - m3 H2O_Influent Pump Station; wastewater treatment unit; at updated plant - US_Without Amendment_Windrow</v>
      </c>
    </row>
    <row r="7594" spans="1:13" s="120" customFormat="1" x14ac:dyDescent="0.25">
      <c r="A7594" s="119"/>
      <c r="B7594" s="138" t="str">
        <f t="shared" si="587"/>
        <v>Windrow</v>
      </c>
      <c r="C7594" s="138" t="str">
        <f t="shared" si="585"/>
        <v>Without Amendment</v>
      </c>
      <c r="D7594" s="138" t="str">
        <f t="shared" si="583"/>
        <v>Medium_High</v>
      </c>
      <c r="E7594" s="138" t="str">
        <f t="shared" si="586"/>
        <v>High</v>
      </c>
      <c r="F7594" s="138" t="str">
        <f t="shared" si="588"/>
        <v>Upgraded</v>
      </c>
      <c r="G7594" s="153"/>
      <c r="H7594" s="210">
        <v>2.2387999999999999</v>
      </c>
      <c r="I7594" s="160" t="s">
        <v>54</v>
      </c>
      <c r="J7594" s="160">
        <v>1.8000000000000001E-4</v>
      </c>
      <c r="K7594" s="160" t="s">
        <v>26</v>
      </c>
      <c r="L7594" s="154" t="str">
        <f>IF(OpenLCAbasic!K7594="CTUh", "Fill in Manually",IF(OR(K7594="Unit", K7594=""), "", INDEX(LookUps!$E$5:$E$12, MATCH(OpenLCAbasic!K7594,LookUps!$D$5:$D$12,0))))</f>
        <v>Water Use (WU) - m3 H2O</v>
      </c>
      <c r="M7594" s="154" t="str">
        <f t="shared" si="584"/>
        <v>High_Medium_High_Upgraded_Water Use (WU) - m3 H2O_Clear Cove Primary Clarification; wastewater treatment unit; at updated plant - US_Without Amendment_Windrow</v>
      </c>
    </row>
    <row r="7595" spans="1:13" s="120" customFormat="1" x14ac:dyDescent="0.25">
      <c r="A7595" s="119"/>
      <c r="B7595" s="138" t="str">
        <f t="shared" si="587"/>
        <v>Windrow</v>
      </c>
      <c r="C7595" s="138" t="str">
        <f t="shared" si="585"/>
        <v>Without Amendment</v>
      </c>
      <c r="D7595" s="138" t="str">
        <f t="shared" si="583"/>
        <v>Medium_High</v>
      </c>
      <c r="E7595" s="138" t="str">
        <f t="shared" si="586"/>
        <v>High</v>
      </c>
      <c r="F7595" s="138" t="str">
        <f t="shared" si="588"/>
        <v>Upgraded</v>
      </c>
      <c r="G7595" s="153"/>
      <c r="H7595" s="210">
        <v>2.0310000000000001</v>
      </c>
      <c r="I7595" s="160" t="s">
        <v>55</v>
      </c>
      <c r="J7595" s="160">
        <v>1.6000000000000001E-4</v>
      </c>
      <c r="K7595" s="160" t="s">
        <v>26</v>
      </c>
      <c r="L7595" s="154" t="str">
        <f>IF(OpenLCAbasic!K7595="CTUh", "Fill in Manually",IF(OR(K7595="Unit", K7595=""), "", INDEX(LookUps!$E$5:$E$12, MATCH(OpenLCAbasic!K7595,LookUps!$D$5:$D$12,0))))</f>
        <v>Water Use (WU) - m3 H2O</v>
      </c>
      <c r="M7595" s="154" t="str">
        <f t="shared" si="584"/>
        <v>High_Medium_High_Upgraded_Water Use (WU) - m3 H2O_Aeration Tanks; wastewater treatment unit; at updated plant - US_Without Amendment_Windrow</v>
      </c>
    </row>
    <row r="7596" spans="1:13" s="120" customFormat="1" x14ac:dyDescent="0.25">
      <c r="A7596" s="119"/>
      <c r="B7596" s="138" t="str">
        <f t="shared" si="587"/>
        <v>Windrow</v>
      </c>
      <c r="C7596" s="138" t="str">
        <f t="shared" si="585"/>
        <v>Without Amendment</v>
      </c>
      <c r="D7596" s="138" t="str">
        <f t="shared" si="583"/>
        <v>Medium_High</v>
      </c>
      <c r="E7596" s="138" t="str">
        <f t="shared" si="586"/>
        <v>High</v>
      </c>
      <c r="F7596" s="138" t="str">
        <f t="shared" si="588"/>
        <v>Upgraded</v>
      </c>
      <c r="G7596" s="153"/>
      <c r="H7596" s="210">
        <v>1.8501000000000001</v>
      </c>
      <c r="I7596" s="160" t="s">
        <v>148</v>
      </c>
      <c r="J7596" s="160">
        <v>1.4999999999999999E-4</v>
      </c>
      <c r="K7596" s="160" t="s">
        <v>26</v>
      </c>
      <c r="L7596" s="154" t="str">
        <f>IF(OpenLCAbasic!K7596="CTUh", "Fill in Manually",IF(OR(K7596="Unit", K7596=""), "", INDEX(LookUps!$E$5:$E$12, MATCH(OpenLCAbasic!K7596,LookUps!$D$5:$D$12,0))))</f>
        <v>Water Use (WU) - m3 H2O</v>
      </c>
      <c r="M7596" s="154" t="str">
        <f t="shared" si="584"/>
        <v>High_Medium_High_Upgraded_Water Use (WU) - m3 H2O_Control Building; at upgraded wastewater treatment plant - US_Without Amendment_Windrow</v>
      </c>
    </row>
    <row r="7597" spans="1:13" s="120" customFormat="1" x14ac:dyDescent="0.25">
      <c r="A7597" s="119"/>
      <c r="B7597" s="138" t="str">
        <f t="shared" si="587"/>
        <v>Windrow</v>
      </c>
      <c r="C7597" s="138" t="str">
        <f t="shared" si="585"/>
        <v>Without Amendment</v>
      </c>
      <c r="D7597" s="138" t="str">
        <f t="shared" si="583"/>
        <v>Medium_High</v>
      </c>
      <c r="E7597" s="138" t="str">
        <f t="shared" si="586"/>
        <v>High</v>
      </c>
      <c r="F7597" s="138" t="str">
        <f t="shared" si="588"/>
        <v>Upgraded</v>
      </c>
      <c r="G7597" s="153"/>
      <c r="H7597" s="210">
        <v>0.85909999999999997</v>
      </c>
      <c r="I7597" s="160" t="s">
        <v>48</v>
      </c>
      <c r="J7597" s="211">
        <v>6.8836400000000004E-5</v>
      </c>
      <c r="K7597" s="160" t="s">
        <v>26</v>
      </c>
      <c r="L7597" s="154" t="str">
        <f>IF(OpenLCAbasic!K7597="CTUh", "Fill in Manually",IF(OR(K7597="Unit", K7597=""), "", INDEX(LookUps!$E$5:$E$12, MATCH(OpenLCAbasic!K7597,LookUps!$D$5:$D$12,0))))</f>
        <v>Water Use (WU) - m3 H2O</v>
      </c>
      <c r="M7597" s="154" t="str">
        <f t="shared" si="584"/>
        <v>High_Medium_High_Upgraded_Water Use (WU) - m3 H2O_Effluent release; wastewater treatment unit; at surface water; m3 wastewater - US_Without Amendment_Windrow</v>
      </c>
    </row>
    <row r="7598" spans="1:13" s="120" customFormat="1" x14ac:dyDescent="0.25">
      <c r="A7598" s="119"/>
      <c r="B7598" s="138" t="str">
        <f t="shared" si="587"/>
        <v>Windrow</v>
      </c>
      <c r="C7598" s="138" t="str">
        <f t="shared" si="585"/>
        <v>Without Amendment</v>
      </c>
      <c r="D7598" s="138" t="str">
        <f t="shared" si="583"/>
        <v>Medium_High</v>
      </c>
      <c r="E7598" s="138" t="str">
        <f t="shared" si="586"/>
        <v>High</v>
      </c>
      <c r="F7598" s="138" t="str">
        <f t="shared" si="588"/>
        <v>Upgraded</v>
      </c>
      <c r="G7598" s="153"/>
      <c r="H7598" s="210">
        <v>0.53959999999999997</v>
      </c>
      <c r="I7598" s="160" t="s">
        <v>58</v>
      </c>
      <c r="J7598" s="211">
        <v>4.3235300000000003E-5</v>
      </c>
      <c r="K7598" s="160" t="s">
        <v>26</v>
      </c>
      <c r="L7598" s="154" t="str">
        <f>IF(OpenLCAbasic!K7598="CTUh", "Fill in Manually",IF(OR(K7598="Unit", K7598=""), "", INDEX(LookUps!$E$5:$E$12, MATCH(OpenLCAbasic!K7598,LookUps!$D$5:$D$12,0))))</f>
        <v>Water Use (WU) - m3 H2O</v>
      </c>
      <c r="M7598" s="154" t="str">
        <f t="shared" si="584"/>
        <v>High_Medium_High_Upgraded_Water Use (WU) - m3 H2O_Pre-Anoxic &amp; Swing tank; wastewater treatment unit; at updated plant - US_Without Amendment_Windrow</v>
      </c>
    </row>
    <row r="7599" spans="1:13" s="120" customFormat="1" x14ac:dyDescent="0.25">
      <c r="A7599" s="119"/>
      <c r="B7599" s="138" t="str">
        <f t="shared" si="587"/>
        <v>Windrow</v>
      </c>
      <c r="C7599" s="138" t="str">
        <f t="shared" si="585"/>
        <v>Without Amendment</v>
      </c>
      <c r="D7599" s="138" t="str">
        <f t="shared" si="583"/>
        <v>Medium_High</v>
      </c>
      <c r="E7599" s="138" t="str">
        <f t="shared" si="586"/>
        <v>High</v>
      </c>
      <c r="F7599" s="138" t="str">
        <f t="shared" si="588"/>
        <v>Upgraded</v>
      </c>
      <c r="G7599" s="153"/>
      <c r="H7599" s="210">
        <v>0.3795</v>
      </c>
      <c r="I7599" s="160" t="s">
        <v>57</v>
      </c>
      <c r="J7599" s="211">
        <v>3.0408100000000001E-5</v>
      </c>
      <c r="K7599" s="160" t="s">
        <v>26</v>
      </c>
      <c r="L7599" s="154" t="str">
        <f>IF(OpenLCAbasic!K7599="CTUh", "Fill in Manually",IF(OR(K7599="Unit", K7599=""), "", INDEX(LookUps!$E$5:$E$12, MATCH(OpenLCAbasic!K7599,LookUps!$D$5:$D$12,0))))</f>
        <v>Water Use (WU) - m3 H2O</v>
      </c>
      <c r="M7599" s="154" t="str">
        <f t="shared" si="584"/>
        <v>High_Medium_High_Upgraded_Water Use (WU) - m3 H2O_Gravity Belt Thickener; wastewater treatment unit; at updated plant - US_Without Amendment_Windrow</v>
      </c>
    </row>
    <row r="7600" spans="1:13" s="120" customFormat="1" x14ac:dyDescent="0.25">
      <c r="A7600" s="119"/>
      <c r="B7600" s="138" t="str">
        <f t="shared" si="587"/>
        <v>Windrow</v>
      </c>
      <c r="C7600" s="138" t="str">
        <f t="shared" si="585"/>
        <v>Without Amendment</v>
      </c>
      <c r="D7600" s="138" t="str">
        <f t="shared" si="583"/>
        <v>Medium_High</v>
      </c>
      <c r="E7600" s="138" t="str">
        <f t="shared" si="586"/>
        <v>High</v>
      </c>
      <c r="F7600" s="138" t="str">
        <f t="shared" si="588"/>
        <v>Upgraded</v>
      </c>
      <c r="G7600" s="153"/>
      <c r="H7600" s="210">
        <v>0.36180000000000001</v>
      </c>
      <c r="I7600" s="160" t="s">
        <v>60</v>
      </c>
      <c r="J7600" s="211">
        <v>2.8986600000000001E-5</v>
      </c>
      <c r="K7600" s="160" t="s">
        <v>26</v>
      </c>
      <c r="L7600" s="154" t="str">
        <f>IF(OpenLCAbasic!K7600="CTUh", "Fill in Manually",IF(OR(K7600="Unit", K7600=""), "", INDEX(LookUps!$E$5:$E$12, MATCH(OpenLCAbasic!K7600,LookUps!$D$5:$D$12,0))))</f>
        <v>Water Use (WU) - m3 H2O</v>
      </c>
      <c r="M7600" s="154" t="str">
        <f t="shared" si="584"/>
        <v>High_Medium_High_Upgraded_Water Use (WU) - m3 H2O_Belt filter press; wastewater treatment unit; at updated plant - US_Without Amendment_Windrow</v>
      </c>
    </row>
    <row r="7601" spans="1:13" s="120" customFormat="1" x14ac:dyDescent="0.25">
      <c r="A7601" s="119"/>
      <c r="B7601" s="138" t="str">
        <f t="shared" si="587"/>
        <v>Windrow</v>
      </c>
      <c r="C7601" s="138" t="str">
        <f t="shared" si="585"/>
        <v>Without Amendment</v>
      </c>
      <c r="D7601" s="138" t="str">
        <f t="shared" ref="D7601:D7607" si="589">IF(ISNUMBER($J7601),"Medium_High","")</f>
        <v>Medium_High</v>
      </c>
      <c r="E7601" s="138" t="str">
        <f t="shared" si="586"/>
        <v>High</v>
      </c>
      <c r="F7601" s="138" t="str">
        <f t="shared" si="588"/>
        <v>Upgraded</v>
      </c>
      <c r="G7601" s="153"/>
      <c r="H7601" s="210">
        <v>0.2185</v>
      </c>
      <c r="I7601" s="160" t="s">
        <v>53</v>
      </c>
      <c r="J7601" s="211">
        <v>1.75069E-5</v>
      </c>
      <c r="K7601" s="160" t="s">
        <v>26</v>
      </c>
      <c r="L7601" s="154" t="str">
        <f>IF(OpenLCAbasic!K7601="CTUh", "Fill in Manually",IF(OR(K7601="Unit", K7601=""), "", INDEX(LookUps!$E$5:$E$12, MATCH(OpenLCAbasic!K7601,LookUps!$D$5:$D$12,0))))</f>
        <v>Water Use (WU) - m3 H2O</v>
      </c>
      <c r="M7601" s="154" t="str">
        <f t="shared" si="584"/>
        <v>High_Medium_High_Upgraded_Water Use (WU) - m3 H2O_Wet Well and Sump Station; wastewater treatment unit; at updated plant - US_Without Amendment_Windrow</v>
      </c>
    </row>
    <row r="7602" spans="1:13" s="120" customFormat="1" x14ac:dyDescent="0.25">
      <c r="A7602" s="119"/>
      <c r="B7602" s="138" t="str">
        <f t="shared" si="587"/>
        <v>Windrow</v>
      </c>
      <c r="C7602" s="138" t="str">
        <f t="shared" si="585"/>
        <v>Without Amendment</v>
      </c>
      <c r="D7602" s="138" t="str">
        <f t="shared" si="589"/>
        <v>Medium_High</v>
      </c>
      <c r="E7602" s="138" t="str">
        <f t="shared" si="586"/>
        <v>High</v>
      </c>
      <c r="F7602" s="138" t="str">
        <f t="shared" si="588"/>
        <v>Upgraded</v>
      </c>
      <c r="G7602" s="153"/>
      <c r="H7602" s="210">
        <v>8.7599999999999997E-2</v>
      </c>
      <c r="I7602" s="160" t="s">
        <v>59</v>
      </c>
      <c r="J7602" s="211">
        <v>7.0179500000000003E-6</v>
      </c>
      <c r="K7602" s="160" t="s">
        <v>26</v>
      </c>
      <c r="L7602" s="154" t="str">
        <f>IF(OpenLCAbasic!K7602="CTUh", "Fill in Manually",IF(OR(K7602="Unit", K7602=""), "", INDEX(LookUps!$E$5:$E$12, MATCH(OpenLCAbasic!K7602,LookUps!$D$5:$D$12,0))))</f>
        <v>Water Use (WU) - m3 H2O</v>
      </c>
      <c r="M7602" s="154" t="str">
        <f t="shared" si="584"/>
        <v>High_Medium_High_Upgraded_Water Use (WU) - m3 H2O_Blend Tank; wastewater treatment unit; at updated plant - US_Without Amendment_Windrow</v>
      </c>
    </row>
    <row r="7603" spans="1:13" s="120" customFormat="1" x14ac:dyDescent="0.25">
      <c r="A7603" s="119"/>
      <c r="B7603" s="138" t="str">
        <f t="shared" si="587"/>
        <v>Windrow</v>
      </c>
      <c r="C7603" s="138" t="str">
        <f t="shared" si="585"/>
        <v>Without Amendment</v>
      </c>
      <c r="D7603" s="138" t="str">
        <f t="shared" si="589"/>
        <v>Medium_High</v>
      </c>
      <c r="E7603" s="138" t="str">
        <f t="shared" si="586"/>
        <v>High</v>
      </c>
      <c r="F7603" s="138" t="str">
        <f t="shared" si="588"/>
        <v>Upgraded</v>
      </c>
      <c r="G7603" s="153"/>
      <c r="H7603" s="210">
        <v>6.3200000000000006E-2</v>
      </c>
      <c r="I7603" s="160" t="s">
        <v>128</v>
      </c>
      <c r="J7603" s="211">
        <v>5.0608900000000003E-6</v>
      </c>
      <c r="K7603" s="160" t="s">
        <v>26</v>
      </c>
      <c r="L7603" s="154" t="str">
        <f>IF(OpenLCAbasic!K7603="CTUh", "Fill in Manually",IF(OR(K7603="Unit", K7603=""), "", INDEX(LookUps!$E$5:$E$12, MATCH(OpenLCAbasic!K7603,LookUps!$D$5:$D$12,0))))</f>
        <v>Water Use (WU) - m3 H2O</v>
      </c>
      <c r="M7603" s="154" t="str">
        <f t="shared" si="584"/>
        <v>High_Medium_High_Upgraded_Water Use (WU) - m3 H2O_Wastewater collection; operation and infrastructure; m3 wastewater_Without Amendment_Windrow</v>
      </c>
    </row>
    <row r="7604" spans="1:13" s="120" customFormat="1" x14ac:dyDescent="0.25">
      <c r="A7604" s="119"/>
      <c r="B7604" s="138" t="str">
        <f t="shared" si="587"/>
        <v>Windrow</v>
      </c>
      <c r="C7604" s="138" t="str">
        <f t="shared" si="585"/>
        <v>Without Amendment</v>
      </c>
      <c r="D7604" s="138" t="str">
        <f t="shared" si="589"/>
        <v>Medium_High</v>
      </c>
      <c r="E7604" s="138" t="str">
        <f t="shared" si="586"/>
        <v>High</v>
      </c>
      <c r="F7604" s="138" t="str">
        <f t="shared" si="588"/>
        <v>Upgraded</v>
      </c>
      <c r="G7604" s="153"/>
      <c r="H7604" s="210">
        <v>1.7299999999999999E-2</v>
      </c>
      <c r="I7604" s="160" t="s">
        <v>271</v>
      </c>
      <c r="J7604" s="211">
        <v>1.3832200000000001E-6</v>
      </c>
      <c r="K7604" s="160" t="s">
        <v>26</v>
      </c>
      <c r="L7604" s="154" t="str">
        <f>IF(OpenLCAbasic!K7604="CTUh", "Fill in Manually",IF(OR(K7604="Unit", K7604=""), "", INDEX(LookUps!$E$5:$E$12, MATCH(OpenLCAbasic!K7604,LookUps!$D$5:$D$12,0))))</f>
        <v>Water Use (WU) - m3 H2O</v>
      </c>
      <c r="M7604" s="154" t="str">
        <f t="shared" si="584"/>
        <v>High_Medium_High_Upgraded_Water Use (WU) - m3 H2O_Biosolids composting; windrow composting; wastewater treatment unit; at updated plant - US_Without Amendment_Windrow</v>
      </c>
    </row>
    <row r="7605" spans="1:13" s="120" customFormat="1" x14ac:dyDescent="0.25">
      <c r="A7605" s="119"/>
      <c r="B7605" s="138" t="str">
        <f t="shared" si="587"/>
        <v>Windrow</v>
      </c>
      <c r="C7605" s="138" t="str">
        <f t="shared" si="585"/>
        <v>Without Amendment</v>
      </c>
      <c r="D7605" s="138" t="str">
        <f t="shared" si="589"/>
        <v>Medium_High</v>
      </c>
      <c r="E7605" s="138" t="str">
        <f t="shared" si="586"/>
        <v>High</v>
      </c>
      <c r="F7605" s="138" t="str">
        <f t="shared" si="588"/>
        <v>Upgraded</v>
      </c>
      <c r="G7605" s="153"/>
      <c r="H7605" s="210">
        <v>9.5999999999999992E-3</v>
      </c>
      <c r="I7605" s="160" t="s">
        <v>168</v>
      </c>
      <c r="J7605" s="211">
        <v>7.6697000000000004E-7</v>
      </c>
      <c r="K7605" s="160" t="s">
        <v>26</v>
      </c>
      <c r="L7605" s="154" t="str">
        <f>IF(OpenLCAbasic!K7605="CTUh", "Fill in Manually",IF(OR(K7605="Unit", K7605=""), "", INDEX(LookUps!$E$5:$E$12, MATCH(OpenLCAbasic!K7605,LookUps!$D$5:$D$12,0))))</f>
        <v>Water Use (WU) - m3 H2O</v>
      </c>
      <c r="M7605" s="154" t="str">
        <f t="shared" si="584"/>
        <v>High_Medium_High_Upgraded_Water Use (WU) - m3 H2O_ClearCove SCP; wastewater treatment unit; at updated plant - US_Without Amendment_Windrow</v>
      </c>
    </row>
    <row r="7606" spans="1:13" s="120" customFormat="1" x14ac:dyDescent="0.25">
      <c r="A7606" s="119"/>
      <c r="B7606" s="138" t="str">
        <f t="shared" si="587"/>
        <v>Windrow</v>
      </c>
      <c r="C7606" s="138" t="str">
        <f t="shared" si="585"/>
        <v>Without Amendment</v>
      </c>
      <c r="D7606" s="138" t="str">
        <f t="shared" si="589"/>
        <v>Medium_High</v>
      </c>
      <c r="E7606" s="138" t="str">
        <f t="shared" si="586"/>
        <v>High</v>
      </c>
      <c r="F7606" s="138" t="str">
        <f t="shared" si="588"/>
        <v>Upgraded</v>
      </c>
      <c r="G7606" s="153"/>
      <c r="H7606" s="210">
        <v>-1.8920999999999999</v>
      </c>
      <c r="I7606" s="160" t="s">
        <v>149</v>
      </c>
      <c r="J7606" s="160">
        <v>-1.4999999999999999E-4</v>
      </c>
      <c r="K7606" s="160" t="s">
        <v>26</v>
      </c>
      <c r="L7606" s="154" t="str">
        <f>IF(OpenLCAbasic!K7606="CTUh", "Fill in Manually",IF(OR(K7606="Unit", K7606=""), "", INDEX(LookUps!$E$5:$E$12, MATCH(OpenLCAbasic!K7606,LookUps!$D$5:$D$12,0))))</f>
        <v>Water Use (WU) - m3 H2O</v>
      </c>
      <c r="M7606" s="154" t="str">
        <f t="shared" si="584"/>
        <v>High_Medium_High_Upgraded_Water Use (WU) - m3 H2O_Anaerobic Digestion; wastewater treatment unit; at updated plant - US_Without Amendment_Windrow</v>
      </c>
    </row>
    <row r="7607" spans="1:13" s="120" customFormat="1" x14ac:dyDescent="0.25">
      <c r="A7607" s="119"/>
      <c r="B7607" s="138" t="str">
        <f t="shared" si="587"/>
        <v>Windrow</v>
      </c>
      <c r="C7607" s="138" t="str">
        <f t="shared" si="585"/>
        <v>Without Amendment</v>
      </c>
      <c r="D7607" s="138" t="str">
        <f t="shared" si="589"/>
        <v>Medium_High</v>
      </c>
      <c r="E7607" s="138" t="str">
        <f t="shared" si="586"/>
        <v>High</v>
      </c>
      <c r="F7607" s="138" t="str">
        <f t="shared" si="588"/>
        <v>Upgraded</v>
      </c>
      <c r="G7607" s="153"/>
      <c r="H7607" s="210">
        <v>-11.573700000000001</v>
      </c>
      <c r="I7607" s="160" t="s">
        <v>62</v>
      </c>
      <c r="J7607" s="160">
        <v>-9.3000000000000005E-4</v>
      </c>
      <c r="K7607" s="160" t="s">
        <v>26</v>
      </c>
      <c r="L7607" s="154" t="str">
        <f>IF(OpenLCAbasic!K7607="CTUh", "Fill in Manually",IF(OR(K7607="Unit", K7607=""), "", INDEX(LookUps!$E$5:$E$12, MATCH(OpenLCAbasic!K7607,LookUps!$D$5:$D$12,0))))</f>
        <v>Water Use (WU) - m3 H2O</v>
      </c>
      <c r="M7607" s="154" t="str">
        <f t="shared" si="584"/>
        <v>High_Medium_High_Upgraded_Water Use (WU) - m3 H2O_Land application of compost; wastewater treatment unit; at updated plant - US_Without Amendment_Windrow</v>
      </c>
    </row>
    <row r="7608" spans="1:13" s="120" customFormat="1" x14ac:dyDescent="0.25">
      <c r="A7608" s="119"/>
      <c r="B7608" s="138" t="str">
        <f t="shared" si="587"/>
        <v/>
      </c>
      <c r="C7608" s="138" t="str">
        <f t="shared" si="585"/>
        <v/>
      </c>
      <c r="D7608" s="138" t="str">
        <f>IF(ISNUMBER($J7608),"High_Low","")</f>
        <v/>
      </c>
      <c r="E7608" s="138" t="str">
        <f t="shared" si="586"/>
        <v/>
      </c>
      <c r="F7608" s="138" t="str">
        <f t="shared" si="588"/>
        <v/>
      </c>
      <c r="G7608" s="153" t="s">
        <v>51</v>
      </c>
      <c r="H7608" s="160"/>
      <c r="I7608" s="160" t="s">
        <v>47</v>
      </c>
      <c r="J7608" s="160" t="s">
        <v>52</v>
      </c>
      <c r="K7608" s="160" t="s">
        <v>27</v>
      </c>
      <c r="L7608" s="154" t="str">
        <f>IF(OpenLCAbasic!K7608="CTUh", "Fill in Manually",IF(OR(K7608="Unit", K7608=""), "", INDEX(LookUps!$E$5:$E$12, MATCH(OpenLCAbasic!K7608,LookUps!$D$5:$D$12,0))))</f>
        <v/>
      </c>
      <c r="M7608" s="154" t="str">
        <f t="shared" si="584"/>
        <v>____Process__</v>
      </c>
    </row>
    <row r="7609" spans="1:13" s="120" customFormat="1" x14ac:dyDescent="0.25">
      <c r="A7609" s="119"/>
      <c r="B7609" s="138" t="str">
        <f t="shared" si="587"/>
        <v>Windrow</v>
      </c>
      <c r="C7609" s="138" t="str">
        <f t="shared" si="585"/>
        <v>Without Amendment</v>
      </c>
      <c r="D7609" s="138" t="str">
        <f t="shared" ref="D7609:D7672" si="590">IF(ISNUMBER($J7609),"High_Low","")</f>
        <v>High_Low</v>
      </c>
      <c r="E7609" s="138" t="str">
        <f t="shared" si="586"/>
        <v>High</v>
      </c>
      <c r="F7609" s="138" t="str">
        <f t="shared" si="588"/>
        <v>Upgraded</v>
      </c>
      <c r="G7609" s="153"/>
      <c r="H7609" s="210">
        <v>0.38640000000000002</v>
      </c>
      <c r="I7609" s="160" t="s">
        <v>55</v>
      </c>
      <c r="J7609" s="160">
        <v>1.7219999999999999E-2</v>
      </c>
      <c r="K7609" s="160" t="s">
        <v>24</v>
      </c>
      <c r="L7609" s="154" t="str">
        <f>IF(OpenLCAbasic!K7609="CTUh", "Fill in Manually",IF(OR(K7609="Unit", K7609=""), "", INDEX(LookUps!$E$5:$E$12, MATCH(OpenLCAbasic!K7609,LookUps!$D$5:$D$12,0))))</f>
        <v>Acidification Potential (AP) - kg SO2 eq</v>
      </c>
      <c r="M7609" s="154" t="str">
        <f t="shared" si="584"/>
        <v>High_High_Low_Upgraded_Acidification Potential (AP) - kg SO2 eq_Aeration Tanks; wastewater treatment unit; at updated plant - US_Without Amendment_Windrow</v>
      </c>
    </row>
    <row r="7610" spans="1:13" s="120" customFormat="1" x14ac:dyDescent="0.25">
      <c r="A7610" s="119"/>
      <c r="B7610" s="138" t="str">
        <f t="shared" si="587"/>
        <v>Windrow</v>
      </c>
      <c r="C7610" s="138" t="str">
        <f t="shared" si="585"/>
        <v>Without Amendment</v>
      </c>
      <c r="D7610" s="138" t="str">
        <f t="shared" si="590"/>
        <v>High_Low</v>
      </c>
      <c r="E7610" s="138" t="str">
        <f t="shared" si="586"/>
        <v>High</v>
      </c>
      <c r="F7610" s="138" t="str">
        <f t="shared" si="588"/>
        <v>Upgraded</v>
      </c>
      <c r="G7610" s="153"/>
      <c r="H7610" s="210">
        <v>0.3347</v>
      </c>
      <c r="I7610" s="160" t="s">
        <v>271</v>
      </c>
      <c r="J7610" s="160">
        <v>1.4919999999999999E-2</v>
      </c>
      <c r="K7610" s="160" t="s">
        <v>24</v>
      </c>
      <c r="L7610" s="154" t="str">
        <f>IF(OpenLCAbasic!K7610="CTUh", "Fill in Manually",IF(OR(K7610="Unit", K7610=""), "", INDEX(LookUps!$E$5:$E$12, MATCH(OpenLCAbasic!K7610,LookUps!$D$5:$D$12,0))))</f>
        <v>Acidification Potential (AP) - kg SO2 eq</v>
      </c>
      <c r="M7610" s="154" t="str">
        <f t="shared" si="584"/>
        <v>High_High_Low_Upgraded_Acidification Potential (AP) - kg SO2 eq_Biosolids composting; windrow composting; wastewater treatment unit; at updated plant - US_Without Amendment_Windrow</v>
      </c>
    </row>
    <row r="7611" spans="1:13" s="120" customFormat="1" x14ac:dyDescent="0.25">
      <c r="A7611" s="119"/>
      <c r="B7611" s="138" t="str">
        <f t="shared" si="587"/>
        <v>Windrow</v>
      </c>
      <c r="C7611" s="138" t="str">
        <f t="shared" si="585"/>
        <v>Without Amendment</v>
      </c>
      <c r="D7611" s="138" t="str">
        <f t="shared" si="590"/>
        <v>High_Low</v>
      </c>
      <c r="E7611" s="138" t="str">
        <f t="shared" si="586"/>
        <v>High</v>
      </c>
      <c r="F7611" s="138" t="str">
        <f t="shared" si="588"/>
        <v>Upgraded</v>
      </c>
      <c r="G7611" s="153"/>
      <c r="H7611" s="210">
        <v>0.1118</v>
      </c>
      <c r="I7611" s="160" t="s">
        <v>54</v>
      </c>
      <c r="J7611" s="160">
        <v>4.9800000000000001E-3</v>
      </c>
      <c r="K7611" s="160" t="s">
        <v>24</v>
      </c>
      <c r="L7611" s="154" t="str">
        <f>IF(OpenLCAbasic!K7611="CTUh", "Fill in Manually",IF(OR(K7611="Unit", K7611=""), "", INDEX(LookUps!$E$5:$E$12, MATCH(OpenLCAbasic!K7611,LookUps!$D$5:$D$12,0))))</f>
        <v>Acidification Potential (AP) - kg SO2 eq</v>
      </c>
      <c r="M7611" s="154" t="str">
        <f t="shared" ref="M7611:M7674" si="591">CONCATENATE(E7611,"_",D7611,"_",F7611,"_",L7611, "_",I7611,"_", C7611,"_", B7611)</f>
        <v>High_High_Low_Upgraded_Acidification Potential (AP) - kg SO2 eq_Clear Cove Primary Clarification; wastewater treatment unit; at updated plant - US_Without Amendment_Windrow</v>
      </c>
    </row>
    <row r="7612" spans="1:13" s="120" customFormat="1" x14ac:dyDescent="0.25">
      <c r="A7612" s="119"/>
      <c r="B7612" s="138" t="str">
        <f t="shared" si="587"/>
        <v>Windrow</v>
      </c>
      <c r="C7612" s="138" t="str">
        <f t="shared" si="585"/>
        <v>Without Amendment</v>
      </c>
      <c r="D7612" s="138" t="str">
        <f t="shared" si="590"/>
        <v>High_Low</v>
      </c>
      <c r="E7612" s="138" t="str">
        <f t="shared" si="586"/>
        <v>High</v>
      </c>
      <c r="F7612" s="138" t="str">
        <f t="shared" si="588"/>
        <v>Upgraded</v>
      </c>
      <c r="G7612" s="153"/>
      <c r="H7612" s="210">
        <v>9.7900000000000001E-2</v>
      </c>
      <c r="I7612" s="160" t="s">
        <v>58</v>
      </c>
      <c r="J7612" s="160">
        <v>4.3600000000000002E-3</v>
      </c>
      <c r="K7612" s="160" t="s">
        <v>24</v>
      </c>
      <c r="L7612" s="154" t="str">
        <f>IF(OpenLCAbasic!K7612="CTUh", "Fill in Manually",IF(OR(K7612="Unit", K7612=""), "", INDEX(LookUps!$E$5:$E$12, MATCH(OpenLCAbasic!K7612,LookUps!$D$5:$D$12,0))))</f>
        <v>Acidification Potential (AP) - kg SO2 eq</v>
      </c>
      <c r="M7612" s="154" t="str">
        <f t="shared" si="591"/>
        <v>High_High_Low_Upgraded_Acidification Potential (AP) - kg SO2 eq_Pre-Anoxic &amp; Swing tank; wastewater treatment unit; at updated plant - US_Without Amendment_Windrow</v>
      </c>
    </row>
    <row r="7613" spans="1:13" s="120" customFormat="1" x14ac:dyDescent="0.25">
      <c r="A7613" s="119"/>
      <c r="B7613" s="138" t="str">
        <f t="shared" si="587"/>
        <v>Windrow</v>
      </c>
      <c r="C7613" s="138" t="str">
        <f t="shared" si="585"/>
        <v>Without Amendment</v>
      </c>
      <c r="D7613" s="138" t="str">
        <f t="shared" si="590"/>
        <v>High_Low</v>
      </c>
      <c r="E7613" s="138" t="str">
        <f t="shared" si="586"/>
        <v>High</v>
      </c>
      <c r="F7613" s="138" t="str">
        <f t="shared" si="588"/>
        <v>Upgraded</v>
      </c>
      <c r="G7613" s="153"/>
      <c r="H7613" s="210">
        <v>7.7399999999999997E-2</v>
      </c>
      <c r="I7613" s="160" t="s">
        <v>53</v>
      </c>
      <c r="J7613" s="160">
        <v>3.4499999999999999E-3</v>
      </c>
      <c r="K7613" s="160" t="s">
        <v>24</v>
      </c>
      <c r="L7613" s="154" t="str">
        <f>IF(OpenLCAbasic!K7613="CTUh", "Fill in Manually",IF(OR(K7613="Unit", K7613=""), "", INDEX(LookUps!$E$5:$E$12, MATCH(OpenLCAbasic!K7613,LookUps!$D$5:$D$12,0))))</f>
        <v>Acidification Potential (AP) - kg SO2 eq</v>
      </c>
      <c r="M7613" s="154" t="str">
        <f t="shared" si="591"/>
        <v>High_High_Low_Upgraded_Acidification Potential (AP) - kg SO2 eq_Wet Well and Sump Station; wastewater treatment unit; at updated plant - US_Without Amendment_Windrow</v>
      </c>
    </row>
    <row r="7614" spans="1:13" s="120" customFormat="1" x14ac:dyDescent="0.25">
      <c r="A7614" s="119"/>
      <c r="B7614" s="138" t="str">
        <f t="shared" si="587"/>
        <v>Windrow</v>
      </c>
      <c r="C7614" s="138" t="str">
        <f t="shared" si="585"/>
        <v>Without Amendment</v>
      </c>
      <c r="D7614" s="138" t="str">
        <f t="shared" si="590"/>
        <v>High_Low</v>
      </c>
      <c r="E7614" s="138" t="str">
        <f t="shared" si="586"/>
        <v>High</v>
      </c>
      <c r="F7614" s="138" t="str">
        <f t="shared" si="588"/>
        <v>Upgraded</v>
      </c>
      <c r="G7614" s="153"/>
      <c r="H7614" s="210">
        <v>7.4899999999999994E-2</v>
      </c>
      <c r="I7614" s="160" t="s">
        <v>62</v>
      </c>
      <c r="J7614" s="160">
        <v>3.3400000000000001E-3</v>
      </c>
      <c r="K7614" s="160" t="s">
        <v>24</v>
      </c>
      <c r="L7614" s="154" t="str">
        <f>IF(OpenLCAbasic!K7614="CTUh", "Fill in Manually",IF(OR(K7614="Unit", K7614=""), "", INDEX(LookUps!$E$5:$E$12, MATCH(OpenLCAbasic!K7614,LookUps!$D$5:$D$12,0))))</f>
        <v>Acidification Potential (AP) - kg SO2 eq</v>
      </c>
      <c r="M7614" s="154" t="str">
        <f t="shared" si="591"/>
        <v>High_High_Low_Upgraded_Acidification Potential (AP) - kg SO2 eq_Land application of compost; wastewater treatment unit; at updated plant - US_Without Amendment_Windrow</v>
      </c>
    </row>
    <row r="7615" spans="1:13" s="120" customFormat="1" x14ac:dyDescent="0.25">
      <c r="A7615" s="119"/>
      <c r="B7615" s="138" t="str">
        <f t="shared" si="587"/>
        <v>Windrow</v>
      </c>
      <c r="C7615" s="138" t="str">
        <f t="shared" si="585"/>
        <v>Without Amendment</v>
      </c>
      <c r="D7615" s="138" t="str">
        <f t="shared" si="590"/>
        <v>High_Low</v>
      </c>
      <c r="E7615" s="138" t="str">
        <f t="shared" si="586"/>
        <v>High</v>
      </c>
      <c r="F7615" s="138" t="str">
        <f t="shared" si="588"/>
        <v>Upgraded</v>
      </c>
      <c r="G7615" s="153"/>
      <c r="H7615" s="210">
        <v>6.0699999999999997E-2</v>
      </c>
      <c r="I7615" s="160" t="s">
        <v>167</v>
      </c>
      <c r="J7615" s="160">
        <v>2.7000000000000001E-3</v>
      </c>
      <c r="K7615" s="160" t="s">
        <v>24</v>
      </c>
      <c r="L7615" s="154" t="str">
        <f>IF(OpenLCAbasic!K7615="CTUh", "Fill in Manually",IF(OR(K7615="Unit", K7615=""), "", INDEX(LookUps!$E$5:$E$12, MATCH(OpenLCAbasic!K7615,LookUps!$D$5:$D$12,0))))</f>
        <v>Acidification Potential (AP) - kg SO2 eq</v>
      </c>
      <c r="M7615" s="154" t="str">
        <f t="shared" si="591"/>
        <v>High_High_Low_Upgraded_Acidification Potential (AP) - kg SO2 eq_Waste Receiving and Holding; wastewater treatment unit; at updated plant - US_Without Amendment_Windrow</v>
      </c>
    </row>
    <row r="7616" spans="1:13" s="120" customFormat="1" x14ac:dyDescent="0.25">
      <c r="A7616" s="119"/>
      <c r="B7616" s="138" t="str">
        <f t="shared" si="587"/>
        <v>Windrow</v>
      </c>
      <c r="C7616" s="138" t="str">
        <f t="shared" si="585"/>
        <v>Without Amendment</v>
      </c>
      <c r="D7616" s="138" t="str">
        <f t="shared" si="590"/>
        <v>High_Low</v>
      </c>
      <c r="E7616" s="138" t="str">
        <f t="shared" si="586"/>
        <v>High</v>
      </c>
      <c r="F7616" s="138" t="str">
        <f t="shared" si="588"/>
        <v>Upgraded</v>
      </c>
      <c r="G7616" s="153"/>
      <c r="H7616" s="210">
        <v>4.6399999999999997E-2</v>
      </c>
      <c r="I7616" s="160" t="s">
        <v>147</v>
      </c>
      <c r="J7616" s="160">
        <v>2.0699999999999998E-3</v>
      </c>
      <c r="K7616" s="160" t="s">
        <v>24</v>
      </c>
      <c r="L7616" s="154" t="str">
        <f>IF(OpenLCAbasic!K7616="CTUh", "Fill in Manually",IF(OR(K7616="Unit", K7616=""), "", INDEX(LookUps!$E$5:$E$12, MATCH(OpenLCAbasic!K7616,LookUps!$D$5:$D$12,0))))</f>
        <v>Acidification Potential (AP) - kg SO2 eq</v>
      </c>
      <c r="M7616" s="154" t="str">
        <f t="shared" si="591"/>
        <v>High_High_Low_Upgraded_Acidification Potential (AP) - kg SO2 eq_Influent Pump Station; wastewater treatment unit; at updated plant - US_Without Amendment_Windrow</v>
      </c>
    </row>
    <row r="7617" spans="1:13" s="120" customFormat="1" x14ac:dyDescent="0.25">
      <c r="A7617" s="119"/>
      <c r="B7617" s="138" t="str">
        <f t="shared" si="587"/>
        <v>Windrow</v>
      </c>
      <c r="C7617" s="138" t="str">
        <f t="shared" ref="C7617:C7680" si="592">IF(ISNUMBER($J7617),"Without Amendment","")</f>
        <v>Without Amendment</v>
      </c>
      <c r="D7617" s="138" t="str">
        <f t="shared" si="590"/>
        <v>High_Low</v>
      </c>
      <c r="E7617" s="138" t="str">
        <f t="shared" si="586"/>
        <v>High</v>
      </c>
      <c r="F7617" s="138" t="str">
        <f t="shared" si="588"/>
        <v>Upgraded</v>
      </c>
      <c r="G7617" s="153"/>
      <c r="H7617" s="210">
        <v>3.7699999999999997E-2</v>
      </c>
      <c r="I7617" s="160" t="s">
        <v>60</v>
      </c>
      <c r="J7617" s="160">
        <v>1.6800000000000001E-3</v>
      </c>
      <c r="K7617" s="160" t="s">
        <v>24</v>
      </c>
      <c r="L7617" s="154" t="str">
        <f>IF(OpenLCAbasic!K7617="CTUh", "Fill in Manually",IF(OR(K7617="Unit", K7617=""), "", INDEX(LookUps!$E$5:$E$12, MATCH(OpenLCAbasic!K7617,LookUps!$D$5:$D$12,0))))</f>
        <v>Acidification Potential (AP) - kg SO2 eq</v>
      </c>
      <c r="M7617" s="154" t="str">
        <f t="shared" si="591"/>
        <v>High_High_Low_Upgraded_Acidification Potential (AP) - kg SO2 eq_Belt filter press; wastewater treatment unit; at updated plant - US_Without Amendment_Windrow</v>
      </c>
    </row>
    <row r="7618" spans="1:13" s="120" customFormat="1" x14ac:dyDescent="0.25">
      <c r="A7618" s="119"/>
      <c r="B7618" s="138" t="str">
        <f t="shared" si="587"/>
        <v>Windrow</v>
      </c>
      <c r="C7618" s="138" t="str">
        <f t="shared" si="592"/>
        <v>Without Amendment</v>
      </c>
      <c r="D7618" s="138" t="str">
        <f t="shared" si="590"/>
        <v>High_Low</v>
      </c>
      <c r="E7618" s="138" t="str">
        <f t="shared" si="586"/>
        <v>High</v>
      </c>
      <c r="F7618" s="138" t="str">
        <f t="shared" si="588"/>
        <v>Upgraded</v>
      </c>
      <c r="G7618" s="153"/>
      <c r="H7618" s="210">
        <v>2.7699999999999999E-2</v>
      </c>
      <c r="I7618" s="160" t="s">
        <v>128</v>
      </c>
      <c r="J7618" s="160">
        <v>1.23E-3</v>
      </c>
      <c r="K7618" s="160" t="s">
        <v>24</v>
      </c>
      <c r="L7618" s="154" t="str">
        <f>IF(OpenLCAbasic!K7618="CTUh", "Fill in Manually",IF(OR(K7618="Unit", K7618=""), "", INDEX(LookUps!$E$5:$E$12, MATCH(OpenLCAbasic!K7618,LookUps!$D$5:$D$12,0))))</f>
        <v>Acidification Potential (AP) - kg SO2 eq</v>
      </c>
      <c r="M7618" s="154" t="str">
        <f t="shared" si="591"/>
        <v>High_High_Low_Upgraded_Acidification Potential (AP) - kg SO2 eq_Wastewater collection; operation and infrastructure; m3 wastewater_Without Amendment_Windrow</v>
      </c>
    </row>
    <row r="7619" spans="1:13" s="120" customFormat="1" x14ac:dyDescent="0.25">
      <c r="A7619" s="119"/>
      <c r="B7619" s="138" t="str">
        <f t="shared" si="587"/>
        <v>Windrow</v>
      </c>
      <c r="C7619" s="138" t="str">
        <f t="shared" si="592"/>
        <v>Without Amendment</v>
      </c>
      <c r="D7619" s="138" t="str">
        <f t="shared" si="590"/>
        <v>High_Low</v>
      </c>
      <c r="E7619" s="138" t="str">
        <f t="shared" si="586"/>
        <v>High</v>
      </c>
      <c r="F7619" s="138" t="str">
        <f t="shared" si="588"/>
        <v>Upgraded</v>
      </c>
      <c r="G7619" s="153"/>
      <c r="H7619" s="210">
        <v>1.5800000000000002E-2</v>
      </c>
      <c r="I7619" s="160" t="s">
        <v>57</v>
      </c>
      <c r="J7619" s="160">
        <v>6.9999999999999999E-4</v>
      </c>
      <c r="K7619" s="160" t="s">
        <v>24</v>
      </c>
      <c r="L7619" s="154" t="str">
        <f>IF(OpenLCAbasic!K7619="CTUh", "Fill in Manually",IF(OR(K7619="Unit", K7619=""), "", INDEX(LookUps!$E$5:$E$12, MATCH(OpenLCAbasic!K7619,LookUps!$D$5:$D$12,0))))</f>
        <v>Acidification Potential (AP) - kg SO2 eq</v>
      </c>
      <c r="M7619" s="154" t="str">
        <f t="shared" si="591"/>
        <v>High_High_Low_Upgraded_Acidification Potential (AP) - kg SO2 eq_Gravity Belt Thickener; wastewater treatment unit; at updated plant - US_Without Amendment_Windrow</v>
      </c>
    </row>
    <row r="7620" spans="1:13" s="120" customFormat="1" x14ac:dyDescent="0.25">
      <c r="A7620" s="119"/>
      <c r="B7620" s="138" t="str">
        <f t="shared" si="587"/>
        <v>Windrow</v>
      </c>
      <c r="C7620" s="138" t="str">
        <f t="shared" si="592"/>
        <v>Without Amendment</v>
      </c>
      <c r="D7620" s="138" t="str">
        <f t="shared" si="590"/>
        <v>High_Low</v>
      </c>
      <c r="E7620" s="138" t="str">
        <f t="shared" si="586"/>
        <v>High</v>
      </c>
      <c r="F7620" s="138" t="str">
        <f t="shared" si="588"/>
        <v>Upgraded</v>
      </c>
      <c r="G7620" s="153"/>
      <c r="H7620" s="210">
        <v>1.1599999999999999E-2</v>
      </c>
      <c r="I7620" s="160" t="s">
        <v>59</v>
      </c>
      <c r="J7620" s="160">
        <v>5.1999999999999995E-4</v>
      </c>
      <c r="K7620" s="160" t="s">
        <v>24</v>
      </c>
      <c r="L7620" s="154" t="str">
        <f>IF(OpenLCAbasic!K7620="CTUh", "Fill in Manually",IF(OR(K7620="Unit", K7620=""), "", INDEX(LookUps!$E$5:$E$12, MATCH(OpenLCAbasic!K7620,LookUps!$D$5:$D$12,0))))</f>
        <v>Acidification Potential (AP) - kg SO2 eq</v>
      </c>
      <c r="M7620" s="154" t="str">
        <f t="shared" si="591"/>
        <v>High_High_Low_Upgraded_Acidification Potential (AP) - kg SO2 eq_Blend Tank; wastewater treatment unit; at updated plant - US_Without Amendment_Windrow</v>
      </c>
    </row>
    <row r="7621" spans="1:13" s="120" customFormat="1" x14ac:dyDescent="0.25">
      <c r="A7621" s="119"/>
      <c r="B7621" s="138" t="str">
        <f t="shared" si="587"/>
        <v>Windrow</v>
      </c>
      <c r="C7621" s="138" t="str">
        <f t="shared" si="592"/>
        <v>Without Amendment</v>
      </c>
      <c r="D7621" s="138" t="str">
        <f t="shared" si="590"/>
        <v>High_Low</v>
      </c>
      <c r="E7621" s="138" t="str">
        <f t="shared" si="586"/>
        <v>High</v>
      </c>
      <c r="F7621" s="138" t="str">
        <f t="shared" si="588"/>
        <v>Upgraded</v>
      </c>
      <c r="G7621" s="153"/>
      <c r="H7621" s="210">
        <v>7.7999999999999996E-3</v>
      </c>
      <c r="I7621" s="160" t="s">
        <v>48</v>
      </c>
      <c r="J7621" s="160">
        <v>3.5E-4</v>
      </c>
      <c r="K7621" s="160" t="s">
        <v>24</v>
      </c>
      <c r="L7621" s="154" t="str">
        <f>IF(OpenLCAbasic!K7621="CTUh", "Fill in Manually",IF(OR(K7621="Unit", K7621=""), "", INDEX(LookUps!$E$5:$E$12, MATCH(OpenLCAbasic!K7621,LookUps!$D$5:$D$12,0))))</f>
        <v>Acidification Potential (AP) - kg SO2 eq</v>
      </c>
      <c r="M7621" s="154" t="str">
        <f t="shared" si="591"/>
        <v>High_High_Low_Upgraded_Acidification Potential (AP) - kg SO2 eq_Effluent release; wastewater treatment unit; at surface water; m3 wastewater - US_Without Amendment_Windrow</v>
      </c>
    </row>
    <row r="7622" spans="1:13" s="120" customFormat="1" x14ac:dyDescent="0.25">
      <c r="A7622" s="119"/>
      <c r="B7622" s="138" t="str">
        <f t="shared" si="587"/>
        <v>Windrow</v>
      </c>
      <c r="C7622" s="138" t="str">
        <f t="shared" si="592"/>
        <v>Without Amendment</v>
      </c>
      <c r="D7622" s="138" t="str">
        <f t="shared" si="590"/>
        <v>High_Low</v>
      </c>
      <c r="E7622" s="138" t="str">
        <f t="shared" si="586"/>
        <v>High</v>
      </c>
      <c r="F7622" s="138" t="str">
        <f t="shared" si="588"/>
        <v>Upgraded</v>
      </c>
      <c r="G7622" s="153"/>
      <c r="H7622" s="210">
        <v>5.7000000000000002E-3</v>
      </c>
      <c r="I7622" s="160" t="s">
        <v>168</v>
      </c>
      <c r="J7622" s="160">
        <v>2.5999999999999998E-4</v>
      </c>
      <c r="K7622" s="160" t="s">
        <v>24</v>
      </c>
      <c r="L7622" s="154" t="str">
        <f>IF(OpenLCAbasic!K7622="CTUh", "Fill in Manually",IF(OR(K7622="Unit", K7622=""), "", INDEX(LookUps!$E$5:$E$12, MATCH(OpenLCAbasic!K7622,LookUps!$D$5:$D$12,0))))</f>
        <v>Acidification Potential (AP) - kg SO2 eq</v>
      </c>
      <c r="M7622" s="154" t="str">
        <f t="shared" si="591"/>
        <v>High_High_Low_Upgraded_Acidification Potential (AP) - kg SO2 eq_ClearCove SCP; wastewater treatment unit; at updated plant - US_Without Amendment_Windrow</v>
      </c>
    </row>
    <row r="7623" spans="1:13" s="120" customFormat="1" x14ac:dyDescent="0.25">
      <c r="A7623" s="119"/>
      <c r="B7623" s="138" t="str">
        <f t="shared" si="587"/>
        <v>Windrow</v>
      </c>
      <c r="C7623" s="138" t="str">
        <f t="shared" si="592"/>
        <v>Without Amendment</v>
      </c>
      <c r="D7623" s="138" t="str">
        <f t="shared" si="590"/>
        <v>High_Low</v>
      </c>
      <c r="E7623" s="138" t="str">
        <f t="shared" si="586"/>
        <v>High</v>
      </c>
      <c r="F7623" s="138" t="str">
        <f t="shared" si="588"/>
        <v>Upgraded</v>
      </c>
      <c r="G7623" s="153"/>
      <c r="H7623" s="210">
        <v>8.9999999999999998E-4</v>
      </c>
      <c r="I7623" s="160" t="s">
        <v>148</v>
      </c>
      <c r="J7623" s="211">
        <v>4.0354700000000002E-5</v>
      </c>
      <c r="K7623" s="160" t="s">
        <v>24</v>
      </c>
      <c r="L7623" s="154" t="str">
        <f>IF(OpenLCAbasic!K7623="CTUh", "Fill in Manually",IF(OR(K7623="Unit", K7623=""), "", INDEX(LookUps!$E$5:$E$12, MATCH(OpenLCAbasic!K7623,LookUps!$D$5:$D$12,0))))</f>
        <v>Acidification Potential (AP) - kg SO2 eq</v>
      </c>
      <c r="M7623" s="154" t="str">
        <f t="shared" si="591"/>
        <v>High_High_Low_Upgraded_Acidification Potential (AP) - kg SO2 eq_Control Building; at upgraded wastewater treatment plant - US_Without Amendment_Windrow</v>
      </c>
    </row>
    <row r="7624" spans="1:13" s="120" customFormat="1" x14ac:dyDescent="0.25">
      <c r="A7624" s="119"/>
      <c r="B7624" s="138" t="str">
        <f t="shared" si="587"/>
        <v>Windrow</v>
      </c>
      <c r="C7624" s="138" t="str">
        <f t="shared" si="592"/>
        <v>Without Amendment</v>
      </c>
      <c r="D7624" s="138" t="str">
        <f t="shared" si="590"/>
        <v>High_Low</v>
      </c>
      <c r="E7624" s="138" t="str">
        <f t="shared" si="586"/>
        <v>High</v>
      </c>
      <c r="F7624" s="138" t="str">
        <f t="shared" si="588"/>
        <v>Upgraded</v>
      </c>
      <c r="G7624" s="153"/>
      <c r="H7624" s="210">
        <v>-0.29730000000000001</v>
      </c>
      <c r="I7624" s="160" t="s">
        <v>149</v>
      </c>
      <c r="J7624" s="160">
        <v>-1.325E-2</v>
      </c>
      <c r="K7624" s="160" t="s">
        <v>24</v>
      </c>
      <c r="L7624" s="154" t="str">
        <f>IF(OpenLCAbasic!K7624="CTUh", "Fill in Manually",IF(OR(K7624="Unit", K7624=""), "", INDEX(LookUps!$E$5:$E$12, MATCH(OpenLCAbasic!K7624,LookUps!$D$5:$D$12,0))))</f>
        <v>Acidification Potential (AP) - kg SO2 eq</v>
      </c>
      <c r="M7624" s="154" t="str">
        <f t="shared" si="591"/>
        <v>High_High_Low_Upgraded_Acidification Potential (AP) - kg SO2 eq_Anaerobic Digestion; wastewater treatment unit; at updated plant - US_Without Amendment_Windrow</v>
      </c>
    </row>
    <row r="7625" spans="1:13" s="120" customFormat="1" x14ac:dyDescent="0.25">
      <c r="A7625" s="119"/>
      <c r="B7625" s="138" t="str">
        <f t="shared" si="587"/>
        <v/>
      </c>
      <c r="C7625" s="138" t="str">
        <f t="shared" si="592"/>
        <v/>
      </c>
      <c r="D7625" s="138" t="str">
        <f t="shared" si="590"/>
        <v/>
      </c>
      <c r="E7625" s="138" t="str">
        <f t="shared" ref="E7625:E7688" si="593">IF(ISNUMBER($J7625),"High","")</f>
        <v/>
      </c>
      <c r="F7625" s="138" t="str">
        <f t="shared" si="588"/>
        <v/>
      </c>
      <c r="G7625" s="153" t="s">
        <v>51</v>
      </c>
      <c r="H7625" s="160"/>
      <c r="I7625" s="160" t="s">
        <v>47</v>
      </c>
      <c r="J7625" s="160" t="s">
        <v>52</v>
      </c>
      <c r="K7625" s="160" t="s">
        <v>27</v>
      </c>
      <c r="L7625" s="154" t="str">
        <f>IF(OpenLCAbasic!K7625="CTUh", "Fill in Manually",IF(OR(K7625="Unit", K7625=""), "", INDEX(LookUps!$E$5:$E$12, MATCH(OpenLCAbasic!K7625,LookUps!$D$5:$D$12,0))))</f>
        <v/>
      </c>
      <c r="M7625" s="154" t="str">
        <f t="shared" si="591"/>
        <v>____Process__</v>
      </c>
    </row>
    <row r="7626" spans="1:13" s="120" customFormat="1" x14ac:dyDescent="0.25">
      <c r="A7626" s="119"/>
      <c r="B7626" s="138" t="str">
        <f t="shared" si="587"/>
        <v>Windrow</v>
      </c>
      <c r="C7626" s="138" t="str">
        <f t="shared" si="592"/>
        <v>Without Amendment</v>
      </c>
      <c r="D7626" s="138" t="str">
        <f t="shared" si="590"/>
        <v>High_Low</v>
      </c>
      <c r="E7626" s="138" t="str">
        <f t="shared" si="593"/>
        <v>High</v>
      </c>
      <c r="F7626" s="138" t="str">
        <f t="shared" si="588"/>
        <v>Upgraded</v>
      </c>
      <c r="G7626" s="153"/>
      <c r="H7626" s="210">
        <v>0.59550000000000003</v>
      </c>
      <c r="I7626" s="160" t="s">
        <v>167</v>
      </c>
      <c r="J7626" s="160">
        <v>5.1393399999999998</v>
      </c>
      <c r="K7626" s="160" t="s">
        <v>15</v>
      </c>
      <c r="L7626" s="154" t="str">
        <f>IF(OpenLCAbasic!K7626="CTUh", "Fill in Manually",IF(OR(K7626="Unit", K7626=""), "", INDEX(LookUps!$E$5:$E$12, MATCH(OpenLCAbasic!K7626,LookUps!$D$5:$D$12,0))))</f>
        <v>Cumulative Energy Demand (CED) - MJ</v>
      </c>
      <c r="M7626" s="154" t="str">
        <f t="shared" si="591"/>
        <v>High_High_Low_Upgraded_Cumulative Energy Demand (CED) - MJ_Waste Receiving and Holding; wastewater treatment unit; at updated plant - US_Without Amendment_Windrow</v>
      </c>
    </row>
    <row r="7627" spans="1:13" s="120" customFormat="1" x14ac:dyDescent="0.25">
      <c r="A7627" s="119"/>
      <c r="B7627" s="138" t="str">
        <f t="shared" si="587"/>
        <v>Windrow</v>
      </c>
      <c r="C7627" s="138" t="str">
        <f t="shared" si="592"/>
        <v>Without Amendment</v>
      </c>
      <c r="D7627" s="138" t="str">
        <f t="shared" si="590"/>
        <v>High_Low</v>
      </c>
      <c r="E7627" s="138" t="str">
        <f t="shared" si="593"/>
        <v>High</v>
      </c>
      <c r="F7627" s="138" t="str">
        <f t="shared" si="588"/>
        <v>Upgraded</v>
      </c>
      <c r="G7627" s="153"/>
      <c r="H7627" s="210">
        <v>0.40939999999999999</v>
      </c>
      <c r="I7627" s="160" t="s">
        <v>55</v>
      </c>
      <c r="J7627" s="160">
        <v>3.5330499999999998</v>
      </c>
      <c r="K7627" s="160" t="s">
        <v>15</v>
      </c>
      <c r="L7627" s="154" t="str">
        <f>IF(OpenLCAbasic!K7627="CTUh", "Fill in Manually",IF(OR(K7627="Unit", K7627=""), "", INDEX(LookUps!$E$5:$E$12, MATCH(OpenLCAbasic!K7627,LookUps!$D$5:$D$12,0))))</f>
        <v>Cumulative Energy Demand (CED) - MJ</v>
      </c>
      <c r="M7627" s="154" t="str">
        <f t="shared" si="591"/>
        <v>High_High_Low_Upgraded_Cumulative Energy Demand (CED) - MJ_Aeration Tanks; wastewater treatment unit; at updated plant - US_Without Amendment_Windrow</v>
      </c>
    </row>
    <row r="7628" spans="1:13" s="120" customFormat="1" x14ac:dyDescent="0.25">
      <c r="A7628" s="119"/>
      <c r="B7628" s="138" t="str">
        <f t="shared" si="587"/>
        <v>Windrow</v>
      </c>
      <c r="C7628" s="138" t="str">
        <f t="shared" si="592"/>
        <v>Without Amendment</v>
      </c>
      <c r="D7628" s="138" t="str">
        <f t="shared" si="590"/>
        <v>High_Low</v>
      </c>
      <c r="E7628" s="138" t="str">
        <f t="shared" si="593"/>
        <v>High</v>
      </c>
      <c r="F7628" s="138" t="str">
        <f t="shared" si="588"/>
        <v>Upgraded</v>
      </c>
      <c r="G7628" s="153"/>
      <c r="H7628" s="210">
        <v>0.1348</v>
      </c>
      <c r="I7628" s="160" t="s">
        <v>54</v>
      </c>
      <c r="J7628" s="160">
        <v>1.16289</v>
      </c>
      <c r="K7628" s="160" t="s">
        <v>15</v>
      </c>
      <c r="L7628" s="154" t="str">
        <f>IF(OpenLCAbasic!K7628="CTUh", "Fill in Manually",IF(OR(K7628="Unit", K7628=""), "", INDEX(LookUps!$E$5:$E$12, MATCH(OpenLCAbasic!K7628,LookUps!$D$5:$D$12,0))))</f>
        <v>Cumulative Energy Demand (CED) - MJ</v>
      </c>
      <c r="M7628" s="154" t="str">
        <f t="shared" si="591"/>
        <v>High_High_Low_Upgraded_Cumulative Energy Demand (CED) - MJ_Clear Cove Primary Clarification; wastewater treatment unit; at updated plant - US_Without Amendment_Windrow</v>
      </c>
    </row>
    <row r="7629" spans="1:13" s="120" customFormat="1" x14ac:dyDescent="0.25">
      <c r="A7629" s="119"/>
      <c r="B7629" s="138" t="str">
        <f t="shared" si="587"/>
        <v>Windrow</v>
      </c>
      <c r="C7629" s="138" t="str">
        <f t="shared" si="592"/>
        <v>Without Amendment</v>
      </c>
      <c r="D7629" s="138" t="str">
        <f t="shared" si="590"/>
        <v>High_Low</v>
      </c>
      <c r="E7629" s="138" t="str">
        <f t="shared" si="593"/>
        <v>High</v>
      </c>
      <c r="F7629" s="138" t="str">
        <f t="shared" si="588"/>
        <v>Upgraded</v>
      </c>
      <c r="G7629" s="153"/>
      <c r="H7629" s="210">
        <v>0.1032</v>
      </c>
      <c r="I7629" s="160" t="s">
        <v>58</v>
      </c>
      <c r="J7629" s="160">
        <v>0.89063999999999999</v>
      </c>
      <c r="K7629" s="160" t="s">
        <v>15</v>
      </c>
      <c r="L7629" s="154" t="str">
        <f>IF(OpenLCAbasic!K7629="CTUh", "Fill in Manually",IF(OR(K7629="Unit", K7629=""), "", INDEX(LookUps!$E$5:$E$12, MATCH(OpenLCAbasic!K7629,LookUps!$D$5:$D$12,0))))</f>
        <v>Cumulative Energy Demand (CED) - MJ</v>
      </c>
      <c r="M7629" s="154" t="str">
        <f t="shared" si="591"/>
        <v>High_High_Low_Upgraded_Cumulative Energy Demand (CED) - MJ_Pre-Anoxic &amp; Swing tank; wastewater treatment unit; at updated plant - US_Without Amendment_Windrow</v>
      </c>
    </row>
    <row r="7630" spans="1:13" s="120" customFormat="1" x14ac:dyDescent="0.25">
      <c r="A7630" s="119"/>
      <c r="B7630" s="138" t="str">
        <f t="shared" si="587"/>
        <v>Windrow</v>
      </c>
      <c r="C7630" s="138" t="str">
        <f t="shared" si="592"/>
        <v>Without Amendment</v>
      </c>
      <c r="D7630" s="138" t="str">
        <f t="shared" si="590"/>
        <v>High_Low</v>
      </c>
      <c r="E7630" s="138" t="str">
        <f t="shared" si="593"/>
        <v>High</v>
      </c>
      <c r="F7630" s="138" t="str">
        <f t="shared" si="588"/>
        <v>Upgraded</v>
      </c>
      <c r="G7630" s="153"/>
      <c r="H7630" s="210">
        <v>0.1023</v>
      </c>
      <c r="I7630" s="160" t="s">
        <v>147</v>
      </c>
      <c r="J7630" s="160">
        <v>0.88297000000000003</v>
      </c>
      <c r="K7630" s="160" t="s">
        <v>15</v>
      </c>
      <c r="L7630" s="154" t="str">
        <f>IF(OpenLCAbasic!K7630="CTUh", "Fill in Manually",IF(OR(K7630="Unit", K7630=""), "", INDEX(LookUps!$E$5:$E$12, MATCH(OpenLCAbasic!K7630,LookUps!$D$5:$D$12,0))))</f>
        <v>Cumulative Energy Demand (CED) - MJ</v>
      </c>
      <c r="M7630" s="154" t="str">
        <f t="shared" si="591"/>
        <v>High_High_Low_Upgraded_Cumulative Energy Demand (CED) - MJ_Influent Pump Station; wastewater treatment unit; at updated plant - US_Without Amendment_Windrow</v>
      </c>
    </row>
    <row r="7631" spans="1:13" s="120" customFormat="1" x14ac:dyDescent="0.25">
      <c r="A7631" s="119"/>
      <c r="B7631" s="138" t="str">
        <f t="shared" si="587"/>
        <v>Windrow</v>
      </c>
      <c r="C7631" s="138" t="str">
        <f t="shared" si="592"/>
        <v>Without Amendment</v>
      </c>
      <c r="D7631" s="138" t="str">
        <f t="shared" si="590"/>
        <v>High_Low</v>
      </c>
      <c r="E7631" s="138" t="str">
        <f t="shared" si="593"/>
        <v>High</v>
      </c>
      <c r="F7631" s="138" t="str">
        <f t="shared" si="588"/>
        <v>Upgraded</v>
      </c>
      <c r="G7631" s="153"/>
      <c r="H7631" s="210">
        <v>8.0699999999999994E-2</v>
      </c>
      <c r="I7631" s="160" t="s">
        <v>53</v>
      </c>
      <c r="J7631" s="160">
        <v>0.69645000000000001</v>
      </c>
      <c r="K7631" s="160" t="s">
        <v>15</v>
      </c>
      <c r="L7631" s="154" t="str">
        <f>IF(OpenLCAbasic!K7631="CTUh", "Fill in Manually",IF(OR(K7631="Unit", K7631=""), "", INDEX(LookUps!$E$5:$E$12, MATCH(OpenLCAbasic!K7631,LookUps!$D$5:$D$12,0))))</f>
        <v>Cumulative Energy Demand (CED) - MJ</v>
      </c>
      <c r="M7631" s="154" t="str">
        <f t="shared" si="591"/>
        <v>High_High_Low_Upgraded_Cumulative Energy Demand (CED) - MJ_Wet Well and Sump Station; wastewater treatment unit; at updated plant - US_Without Amendment_Windrow</v>
      </c>
    </row>
    <row r="7632" spans="1:13" s="120" customFormat="1" x14ac:dyDescent="0.25">
      <c r="A7632" s="119"/>
      <c r="B7632" s="138" t="str">
        <f t="shared" si="587"/>
        <v>Windrow</v>
      </c>
      <c r="C7632" s="138" t="str">
        <f t="shared" si="592"/>
        <v>Without Amendment</v>
      </c>
      <c r="D7632" s="138" t="str">
        <f t="shared" si="590"/>
        <v>High_Low</v>
      </c>
      <c r="E7632" s="138" t="str">
        <f t="shared" si="593"/>
        <v>High</v>
      </c>
      <c r="F7632" s="138" t="str">
        <f t="shared" si="588"/>
        <v>Upgraded</v>
      </c>
      <c r="G7632" s="153"/>
      <c r="H7632" s="210">
        <v>7.2700000000000001E-2</v>
      </c>
      <c r="I7632" s="160" t="s">
        <v>60</v>
      </c>
      <c r="J7632" s="160">
        <v>0.62775999999999998</v>
      </c>
      <c r="K7632" s="160" t="s">
        <v>15</v>
      </c>
      <c r="L7632" s="154" t="str">
        <f>IF(OpenLCAbasic!K7632="CTUh", "Fill in Manually",IF(OR(K7632="Unit", K7632=""), "", INDEX(LookUps!$E$5:$E$12, MATCH(OpenLCAbasic!K7632,LookUps!$D$5:$D$12,0))))</f>
        <v>Cumulative Energy Demand (CED) - MJ</v>
      </c>
      <c r="M7632" s="154" t="str">
        <f t="shared" si="591"/>
        <v>High_High_Low_Upgraded_Cumulative Energy Demand (CED) - MJ_Belt filter press; wastewater treatment unit; at updated plant - US_Without Amendment_Windrow</v>
      </c>
    </row>
    <row r="7633" spans="1:13" s="120" customFormat="1" x14ac:dyDescent="0.25">
      <c r="A7633" s="119"/>
      <c r="B7633" s="138" t="str">
        <f t="shared" si="587"/>
        <v>Windrow</v>
      </c>
      <c r="C7633" s="138" t="str">
        <f t="shared" si="592"/>
        <v>Without Amendment</v>
      </c>
      <c r="D7633" s="138" t="str">
        <f t="shared" si="590"/>
        <v>High_Low</v>
      </c>
      <c r="E7633" s="138" t="str">
        <f t="shared" si="593"/>
        <v>High</v>
      </c>
      <c r="F7633" s="138" t="str">
        <f t="shared" si="588"/>
        <v>Upgraded</v>
      </c>
      <c r="G7633" s="153"/>
      <c r="H7633" s="210">
        <v>3.8699999999999998E-2</v>
      </c>
      <c r="I7633" s="160" t="s">
        <v>57</v>
      </c>
      <c r="J7633" s="160">
        <v>0.33404</v>
      </c>
      <c r="K7633" s="160" t="s">
        <v>15</v>
      </c>
      <c r="L7633" s="154" t="str">
        <f>IF(OpenLCAbasic!K7633="CTUh", "Fill in Manually",IF(OR(K7633="Unit", K7633=""), "", INDEX(LookUps!$E$5:$E$12, MATCH(OpenLCAbasic!K7633,LookUps!$D$5:$D$12,0))))</f>
        <v>Cumulative Energy Demand (CED) - MJ</v>
      </c>
      <c r="M7633" s="154" t="str">
        <f t="shared" si="591"/>
        <v>High_High_Low_Upgraded_Cumulative Energy Demand (CED) - MJ_Gravity Belt Thickener; wastewater treatment unit; at updated plant - US_Without Amendment_Windrow</v>
      </c>
    </row>
    <row r="7634" spans="1:13" s="120" customFormat="1" x14ac:dyDescent="0.25">
      <c r="A7634" s="119"/>
      <c r="B7634" s="138" t="str">
        <f t="shared" si="587"/>
        <v>Windrow</v>
      </c>
      <c r="C7634" s="138" t="str">
        <f t="shared" si="592"/>
        <v>Without Amendment</v>
      </c>
      <c r="D7634" s="138" t="str">
        <f t="shared" si="590"/>
        <v>High_Low</v>
      </c>
      <c r="E7634" s="138" t="str">
        <f t="shared" si="593"/>
        <v>High</v>
      </c>
      <c r="F7634" s="138" t="str">
        <f t="shared" si="588"/>
        <v>Upgraded</v>
      </c>
      <c r="G7634" s="153"/>
      <c r="H7634" s="210">
        <v>2.9700000000000001E-2</v>
      </c>
      <c r="I7634" s="160" t="s">
        <v>128</v>
      </c>
      <c r="J7634" s="160">
        <v>0.25606000000000001</v>
      </c>
      <c r="K7634" s="160" t="s">
        <v>15</v>
      </c>
      <c r="L7634" s="154" t="str">
        <f>IF(OpenLCAbasic!K7634="CTUh", "Fill in Manually",IF(OR(K7634="Unit", K7634=""), "", INDEX(LookUps!$E$5:$E$12, MATCH(OpenLCAbasic!K7634,LookUps!$D$5:$D$12,0))))</f>
        <v>Cumulative Energy Demand (CED) - MJ</v>
      </c>
      <c r="M7634" s="154" t="str">
        <f t="shared" si="591"/>
        <v>High_High_Low_Upgraded_Cumulative Energy Demand (CED) - MJ_Wastewater collection; operation and infrastructure; m3 wastewater_Without Amendment_Windrow</v>
      </c>
    </row>
    <row r="7635" spans="1:13" s="120" customFormat="1" x14ac:dyDescent="0.25">
      <c r="A7635" s="119"/>
      <c r="B7635" s="138" t="str">
        <f t="shared" si="587"/>
        <v>Windrow</v>
      </c>
      <c r="C7635" s="138" t="str">
        <f t="shared" si="592"/>
        <v>Without Amendment</v>
      </c>
      <c r="D7635" s="138" t="str">
        <f t="shared" si="590"/>
        <v>High_Low</v>
      </c>
      <c r="E7635" s="138" t="str">
        <f t="shared" si="593"/>
        <v>High</v>
      </c>
      <c r="F7635" s="138" t="str">
        <f t="shared" si="588"/>
        <v>Upgraded</v>
      </c>
      <c r="G7635" s="153"/>
      <c r="H7635" s="210">
        <v>1.6899999999999998E-2</v>
      </c>
      <c r="I7635" s="160" t="s">
        <v>148</v>
      </c>
      <c r="J7635" s="160">
        <v>0.14599000000000001</v>
      </c>
      <c r="K7635" s="160" t="s">
        <v>15</v>
      </c>
      <c r="L7635" s="154" t="str">
        <f>IF(OpenLCAbasic!K7635="CTUh", "Fill in Manually",IF(OR(K7635="Unit", K7635=""), "", INDEX(LookUps!$E$5:$E$12, MATCH(OpenLCAbasic!K7635,LookUps!$D$5:$D$12,0))))</f>
        <v>Cumulative Energy Demand (CED) - MJ</v>
      </c>
      <c r="M7635" s="154" t="str">
        <f t="shared" si="591"/>
        <v>High_High_Low_Upgraded_Cumulative Energy Demand (CED) - MJ_Control Building; at upgraded wastewater treatment plant - US_Without Amendment_Windrow</v>
      </c>
    </row>
    <row r="7636" spans="1:13" s="120" customFormat="1" x14ac:dyDescent="0.25">
      <c r="A7636" s="119"/>
      <c r="B7636" s="138" t="str">
        <f t="shared" si="587"/>
        <v>Windrow</v>
      </c>
      <c r="C7636" s="138" t="str">
        <f t="shared" si="592"/>
        <v>Without Amendment</v>
      </c>
      <c r="D7636" s="138" t="str">
        <f t="shared" si="590"/>
        <v>High_Low</v>
      </c>
      <c r="E7636" s="138" t="str">
        <f t="shared" si="593"/>
        <v>High</v>
      </c>
      <c r="F7636" s="138" t="str">
        <f t="shared" si="588"/>
        <v>Upgraded</v>
      </c>
      <c r="G7636" s="153"/>
      <c r="H7636" s="210">
        <v>1.54E-2</v>
      </c>
      <c r="I7636" s="160" t="s">
        <v>48</v>
      </c>
      <c r="J7636" s="160">
        <v>0.13321</v>
      </c>
      <c r="K7636" s="160" t="s">
        <v>15</v>
      </c>
      <c r="L7636" s="154" t="str">
        <f>IF(OpenLCAbasic!K7636="CTUh", "Fill in Manually",IF(OR(K7636="Unit", K7636=""), "", INDEX(LookUps!$E$5:$E$12, MATCH(OpenLCAbasic!K7636,LookUps!$D$5:$D$12,0))))</f>
        <v>Cumulative Energy Demand (CED) - MJ</v>
      </c>
      <c r="M7636" s="154" t="str">
        <f t="shared" si="591"/>
        <v>High_High_Low_Upgraded_Cumulative Energy Demand (CED) - MJ_Effluent release; wastewater treatment unit; at surface water; m3 wastewater - US_Without Amendment_Windrow</v>
      </c>
    </row>
    <row r="7637" spans="1:13" s="120" customFormat="1" x14ac:dyDescent="0.25">
      <c r="A7637" s="119"/>
      <c r="B7637" s="138" t="str">
        <f t="shared" si="587"/>
        <v>Windrow</v>
      </c>
      <c r="C7637" s="138" t="str">
        <f t="shared" si="592"/>
        <v>Without Amendment</v>
      </c>
      <c r="D7637" s="138" t="str">
        <f t="shared" si="590"/>
        <v>High_Low</v>
      </c>
      <c r="E7637" s="138" t="str">
        <f t="shared" si="593"/>
        <v>High</v>
      </c>
      <c r="F7637" s="138" t="str">
        <f t="shared" si="588"/>
        <v>Upgraded</v>
      </c>
      <c r="G7637" s="153"/>
      <c r="H7637" s="210">
        <v>1.23E-2</v>
      </c>
      <c r="I7637" s="160" t="s">
        <v>59</v>
      </c>
      <c r="J7637" s="160">
        <v>0.10638</v>
      </c>
      <c r="K7637" s="160" t="s">
        <v>15</v>
      </c>
      <c r="L7637" s="154" t="str">
        <f>IF(OpenLCAbasic!K7637="CTUh", "Fill in Manually",IF(OR(K7637="Unit", K7637=""), "", INDEX(LookUps!$E$5:$E$12, MATCH(OpenLCAbasic!K7637,LookUps!$D$5:$D$12,0))))</f>
        <v>Cumulative Energy Demand (CED) - MJ</v>
      </c>
      <c r="M7637" s="154" t="str">
        <f t="shared" si="591"/>
        <v>High_High_Low_Upgraded_Cumulative Energy Demand (CED) - MJ_Blend Tank; wastewater treatment unit; at updated plant - US_Without Amendment_Windrow</v>
      </c>
    </row>
    <row r="7638" spans="1:13" s="120" customFormat="1" x14ac:dyDescent="0.25">
      <c r="A7638" s="119"/>
      <c r="B7638" s="138" t="str">
        <f t="shared" si="587"/>
        <v>Windrow</v>
      </c>
      <c r="C7638" s="138" t="str">
        <f t="shared" si="592"/>
        <v>Without Amendment</v>
      </c>
      <c r="D7638" s="138" t="str">
        <f t="shared" si="590"/>
        <v>High_Low</v>
      </c>
      <c r="E7638" s="138" t="str">
        <f t="shared" si="593"/>
        <v>High</v>
      </c>
      <c r="F7638" s="138" t="str">
        <f t="shared" si="588"/>
        <v>Upgraded</v>
      </c>
      <c r="G7638" s="153"/>
      <c r="H7638" s="210">
        <v>5.8999999999999999E-3</v>
      </c>
      <c r="I7638" s="160" t="s">
        <v>168</v>
      </c>
      <c r="J7638" s="160">
        <v>5.0930000000000003E-2</v>
      </c>
      <c r="K7638" s="160" t="s">
        <v>15</v>
      </c>
      <c r="L7638" s="154" t="str">
        <f>IF(OpenLCAbasic!K7638="CTUh", "Fill in Manually",IF(OR(K7638="Unit", K7638=""), "", INDEX(LookUps!$E$5:$E$12, MATCH(OpenLCAbasic!K7638,LookUps!$D$5:$D$12,0))))</f>
        <v>Cumulative Energy Demand (CED) - MJ</v>
      </c>
      <c r="M7638" s="154" t="str">
        <f t="shared" si="591"/>
        <v>High_High_Low_Upgraded_Cumulative Energy Demand (CED) - MJ_ClearCove SCP; wastewater treatment unit; at updated plant - US_Without Amendment_Windrow</v>
      </c>
    </row>
    <row r="7639" spans="1:13" s="120" customFormat="1" x14ac:dyDescent="0.25">
      <c r="A7639" s="119"/>
      <c r="B7639" s="138" t="str">
        <f t="shared" si="587"/>
        <v>Windrow</v>
      </c>
      <c r="C7639" s="138" t="str">
        <f t="shared" si="592"/>
        <v>Without Amendment</v>
      </c>
      <c r="D7639" s="138" t="str">
        <f t="shared" si="590"/>
        <v>High_Low</v>
      </c>
      <c r="E7639" s="138" t="str">
        <f t="shared" si="593"/>
        <v>High</v>
      </c>
      <c r="F7639" s="138" t="str">
        <f t="shared" si="588"/>
        <v>Upgraded</v>
      </c>
      <c r="G7639" s="153"/>
      <c r="H7639" s="210">
        <v>4.7999999999999996E-3</v>
      </c>
      <c r="I7639" s="160" t="s">
        <v>271</v>
      </c>
      <c r="J7639" s="160">
        <v>4.1300000000000003E-2</v>
      </c>
      <c r="K7639" s="160" t="s">
        <v>15</v>
      </c>
      <c r="L7639" s="154" t="str">
        <f>IF(OpenLCAbasic!K7639="CTUh", "Fill in Manually",IF(OR(K7639="Unit", K7639=""), "", INDEX(LookUps!$E$5:$E$12, MATCH(OpenLCAbasic!K7639,LookUps!$D$5:$D$12,0))))</f>
        <v>Cumulative Energy Demand (CED) - MJ</v>
      </c>
      <c r="M7639" s="154" t="str">
        <f t="shared" si="591"/>
        <v>High_High_Low_Upgraded_Cumulative Energy Demand (CED) - MJ_Biosolids composting; windrow composting; wastewater treatment unit; at updated plant - US_Without Amendment_Windrow</v>
      </c>
    </row>
    <row r="7640" spans="1:13" s="120" customFormat="1" x14ac:dyDescent="0.25">
      <c r="A7640" s="119"/>
      <c r="B7640" s="138" t="str">
        <f t="shared" si="587"/>
        <v>Windrow</v>
      </c>
      <c r="C7640" s="138" t="str">
        <f t="shared" si="592"/>
        <v>Without Amendment</v>
      </c>
      <c r="D7640" s="138" t="str">
        <f t="shared" si="590"/>
        <v>High_Low</v>
      </c>
      <c r="E7640" s="138" t="str">
        <f t="shared" si="593"/>
        <v>High</v>
      </c>
      <c r="F7640" s="138" t="str">
        <f t="shared" si="588"/>
        <v>Upgraded</v>
      </c>
      <c r="G7640" s="153"/>
      <c r="H7640" s="210">
        <v>-6.6500000000000004E-2</v>
      </c>
      <c r="I7640" s="160" t="s">
        <v>62</v>
      </c>
      <c r="J7640" s="160">
        <v>-0.57367999999999997</v>
      </c>
      <c r="K7640" s="160" t="s">
        <v>15</v>
      </c>
      <c r="L7640" s="154" t="str">
        <f>IF(OpenLCAbasic!K7640="CTUh", "Fill in Manually",IF(OR(K7640="Unit", K7640=""), "", INDEX(LookUps!$E$5:$E$12, MATCH(OpenLCAbasic!K7640,LookUps!$D$5:$D$12,0))))</f>
        <v>Cumulative Energy Demand (CED) - MJ</v>
      </c>
      <c r="M7640" s="154" t="str">
        <f t="shared" si="591"/>
        <v>High_High_Low_Upgraded_Cumulative Energy Demand (CED) - MJ_Land application of compost; wastewater treatment unit; at updated plant - US_Without Amendment_Windrow</v>
      </c>
    </row>
    <row r="7641" spans="1:13" s="120" customFormat="1" x14ac:dyDescent="0.25">
      <c r="A7641" s="119"/>
      <c r="B7641" s="138" t="str">
        <f t="shared" si="587"/>
        <v>Windrow</v>
      </c>
      <c r="C7641" s="138" t="str">
        <f t="shared" si="592"/>
        <v>Without Amendment</v>
      </c>
      <c r="D7641" s="138" t="str">
        <f t="shared" si="590"/>
        <v>High_Low</v>
      </c>
      <c r="E7641" s="138" t="str">
        <f t="shared" si="593"/>
        <v>High</v>
      </c>
      <c r="F7641" s="138" t="str">
        <f t="shared" si="588"/>
        <v>Upgraded</v>
      </c>
      <c r="G7641" s="153"/>
      <c r="H7641" s="210">
        <v>-0.55589999999999995</v>
      </c>
      <c r="I7641" s="160" t="s">
        <v>149</v>
      </c>
      <c r="J7641" s="160">
        <v>-4.7974600000000001</v>
      </c>
      <c r="K7641" s="160" t="s">
        <v>15</v>
      </c>
      <c r="L7641" s="154" t="str">
        <f>IF(OpenLCAbasic!K7641="CTUh", "Fill in Manually",IF(OR(K7641="Unit", K7641=""), "", INDEX(LookUps!$E$5:$E$12, MATCH(OpenLCAbasic!K7641,LookUps!$D$5:$D$12,0))))</f>
        <v>Cumulative Energy Demand (CED) - MJ</v>
      </c>
      <c r="M7641" s="154" t="str">
        <f t="shared" si="591"/>
        <v>High_High_Low_Upgraded_Cumulative Energy Demand (CED) - MJ_Anaerobic Digestion; wastewater treatment unit; at updated plant - US_Without Amendment_Windrow</v>
      </c>
    </row>
    <row r="7642" spans="1:13" s="120" customFormat="1" x14ac:dyDescent="0.25">
      <c r="A7642" s="119"/>
      <c r="B7642" s="138" t="str">
        <f t="shared" si="587"/>
        <v/>
      </c>
      <c r="C7642" s="138" t="str">
        <f t="shared" si="592"/>
        <v/>
      </c>
      <c r="D7642" s="138" t="str">
        <f t="shared" si="590"/>
        <v/>
      </c>
      <c r="E7642" s="138" t="str">
        <f t="shared" si="593"/>
        <v/>
      </c>
      <c r="F7642" s="138" t="str">
        <f t="shared" si="588"/>
        <v/>
      </c>
      <c r="G7642" s="153" t="s">
        <v>51</v>
      </c>
      <c r="H7642" s="160"/>
      <c r="I7642" s="160" t="s">
        <v>47</v>
      </c>
      <c r="J7642" s="160" t="s">
        <v>52</v>
      </c>
      <c r="K7642" s="160" t="s">
        <v>27</v>
      </c>
      <c r="L7642" s="154" t="str">
        <f>IF(OpenLCAbasic!K7642="CTUh", "Fill in Manually",IF(OR(K7642="Unit", K7642=""), "", INDEX(LookUps!$E$5:$E$12, MATCH(OpenLCAbasic!K7642,LookUps!$D$5:$D$12,0))))</f>
        <v/>
      </c>
      <c r="M7642" s="154" t="str">
        <f t="shared" si="591"/>
        <v>____Process__</v>
      </c>
    </row>
    <row r="7643" spans="1:13" s="120" customFormat="1" x14ac:dyDescent="0.25">
      <c r="A7643" s="119"/>
      <c r="B7643" s="138" t="str">
        <f t="shared" si="587"/>
        <v>Windrow</v>
      </c>
      <c r="C7643" s="138" t="str">
        <f t="shared" si="592"/>
        <v>Without Amendment</v>
      </c>
      <c r="D7643" s="138" t="str">
        <f t="shared" si="590"/>
        <v>High_Low</v>
      </c>
      <c r="E7643" s="138" t="str">
        <f t="shared" si="593"/>
        <v>High</v>
      </c>
      <c r="F7643" s="138" t="str">
        <f t="shared" si="588"/>
        <v>Upgraded</v>
      </c>
      <c r="G7643" s="153"/>
      <c r="H7643" s="210">
        <v>0.70079999999999998</v>
      </c>
      <c r="I7643" s="160" t="s">
        <v>48</v>
      </c>
      <c r="J7643" s="160">
        <v>1.1610000000000001E-2</v>
      </c>
      <c r="K7643" s="160" t="s">
        <v>13</v>
      </c>
      <c r="L7643" s="154" t="str">
        <f>IF(OpenLCAbasic!K7643="CTUh", "Fill in Manually",IF(OR(K7643="Unit", K7643=""), "", INDEX(LookUps!$E$5:$E$12, MATCH(OpenLCAbasic!K7643,LookUps!$D$5:$D$12,0))))</f>
        <v>Eutrophication Potential (EP) - kg N eq</v>
      </c>
      <c r="M7643" s="154" t="str">
        <f t="shared" si="591"/>
        <v>High_High_Low_Upgraded_Eutrophication Potential (EP) - kg N eq_Effluent release; wastewater treatment unit; at surface water; m3 wastewater - US_Without Amendment_Windrow</v>
      </c>
    </row>
    <row r="7644" spans="1:13" s="120" customFormat="1" x14ac:dyDescent="0.25">
      <c r="A7644" s="119"/>
      <c r="B7644" s="138" t="str">
        <f t="shared" si="587"/>
        <v>Windrow</v>
      </c>
      <c r="C7644" s="138" t="str">
        <f t="shared" si="592"/>
        <v>Without Amendment</v>
      </c>
      <c r="D7644" s="138" t="str">
        <f t="shared" si="590"/>
        <v>High_Low</v>
      </c>
      <c r="E7644" s="138" t="str">
        <f t="shared" si="593"/>
        <v>High</v>
      </c>
      <c r="F7644" s="138" t="str">
        <f t="shared" si="588"/>
        <v>Upgraded</v>
      </c>
      <c r="G7644" s="153"/>
      <c r="H7644" s="210">
        <v>0.16300000000000001</v>
      </c>
      <c r="I7644" s="160" t="s">
        <v>62</v>
      </c>
      <c r="J7644" s="160">
        <v>2.7000000000000001E-3</v>
      </c>
      <c r="K7644" s="160" t="s">
        <v>13</v>
      </c>
      <c r="L7644" s="154" t="str">
        <f>IF(OpenLCAbasic!K7644="CTUh", "Fill in Manually",IF(OR(K7644="Unit", K7644=""), "", INDEX(LookUps!$E$5:$E$12, MATCH(OpenLCAbasic!K7644,LookUps!$D$5:$D$12,0))))</f>
        <v>Eutrophication Potential (EP) - kg N eq</v>
      </c>
      <c r="M7644" s="154" t="str">
        <f t="shared" si="591"/>
        <v>High_High_Low_Upgraded_Eutrophication Potential (EP) - kg N eq_Land application of compost; wastewater treatment unit; at updated plant - US_Without Amendment_Windrow</v>
      </c>
    </row>
    <row r="7645" spans="1:13" s="120" customFormat="1" x14ac:dyDescent="0.25">
      <c r="A7645" s="119"/>
      <c r="B7645" s="138" t="str">
        <f t="shared" si="587"/>
        <v>Windrow</v>
      </c>
      <c r="C7645" s="138" t="str">
        <f t="shared" si="592"/>
        <v>Without Amendment</v>
      </c>
      <c r="D7645" s="138" t="str">
        <f t="shared" si="590"/>
        <v>High_Low</v>
      </c>
      <c r="E7645" s="138" t="str">
        <f t="shared" si="593"/>
        <v>High</v>
      </c>
      <c r="F7645" s="138" t="str">
        <f t="shared" si="588"/>
        <v>Upgraded</v>
      </c>
      <c r="G7645" s="153"/>
      <c r="H7645" s="210">
        <v>5.6800000000000003E-2</v>
      </c>
      <c r="I7645" s="160" t="s">
        <v>271</v>
      </c>
      <c r="J7645" s="160">
        <v>9.3999999999999997E-4</v>
      </c>
      <c r="K7645" s="160" t="s">
        <v>13</v>
      </c>
      <c r="L7645" s="154" t="str">
        <f>IF(OpenLCAbasic!K7645="CTUh", "Fill in Manually",IF(OR(K7645="Unit", K7645=""), "", INDEX(LookUps!$E$5:$E$12, MATCH(OpenLCAbasic!K7645,LookUps!$D$5:$D$12,0))))</f>
        <v>Eutrophication Potential (EP) - kg N eq</v>
      </c>
      <c r="M7645" s="154" t="str">
        <f t="shared" si="591"/>
        <v>High_High_Low_Upgraded_Eutrophication Potential (EP) - kg N eq_Biosolids composting; windrow composting; wastewater treatment unit; at updated plant - US_Without Amendment_Windrow</v>
      </c>
    </row>
    <row r="7646" spans="1:13" s="120" customFormat="1" x14ac:dyDescent="0.25">
      <c r="A7646" s="119"/>
      <c r="B7646" s="138" t="str">
        <f t="shared" si="587"/>
        <v>Windrow</v>
      </c>
      <c r="C7646" s="138" t="str">
        <f t="shared" si="592"/>
        <v>Without Amendment</v>
      </c>
      <c r="D7646" s="138" t="str">
        <f t="shared" si="590"/>
        <v>High_Low</v>
      </c>
      <c r="E7646" s="138" t="str">
        <f t="shared" si="593"/>
        <v>High</v>
      </c>
      <c r="F7646" s="138" t="str">
        <f t="shared" si="588"/>
        <v>Upgraded</v>
      </c>
      <c r="G7646" s="153"/>
      <c r="H7646" s="210">
        <v>3.3000000000000002E-2</v>
      </c>
      <c r="I7646" s="160" t="s">
        <v>55</v>
      </c>
      <c r="J7646" s="160">
        <v>5.5000000000000003E-4</v>
      </c>
      <c r="K7646" s="160" t="s">
        <v>13</v>
      </c>
      <c r="L7646" s="154" t="str">
        <f>IF(OpenLCAbasic!K7646="CTUh", "Fill in Manually",IF(OR(K7646="Unit", K7646=""), "", INDEX(LookUps!$E$5:$E$12, MATCH(OpenLCAbasic!K7646,LookUps!$D$5:$D$12,0))))</f>
        <v>Eutrophication Potential (EP) - kg N eq</v>
      </c>
      <c r="M7646" s="154" t="str">
        <f t="shared" si="591"/>
        <v>High_High_Low_Upgraded_Eutrophication Potential (EP) - kg N eq_Aeration Tanks; wastewater treatment unit; at updated plant - US_Without Amendment_Windrow</v>
      </c>
    </row>
    <row r="7647" spans="1:13" s="120" customFormat="1" x14ac:dyDescent="0.25">
      <c r="A7647" s="119"/>
      <c r="B7647" s="138" t="str">
        <f t="shared" si="587"/>
        <v>Windrow</v>
      </c>
      <c r="C7647" s="138" t="str">
        <f t="shared" si="592"/>
        <v>Without Amendment</v>
      </c>
      <c r="D7647" s="138" t="str">
        <f t="shared" si="590"/>
        <v>High_Low</v>
      </c>
      <c r="E7647" s="138" t="str">
        <f t="shared" si="593"/>
        <v>High</v>
      </c>
      <c r="F7647" s="138" t="str">
        <f t="shared" si="588"/>
        <v>Upgraded</v>
      </c>
      <c r="G7647" s="153"/>
      <c r="H7647" s="210">
        <v>1.5100000000000001E-2</v>
      </c>
      <c r="I7647" s="160" t="s">
        <v>147</v>
      </c>
      <c r="J7647" s="160">
        <v>2.5000000000000001E-4</v>
      </c>
      <c r="K7647" s="160" t="s">
        <v>13</v>
      </c>
      <c r="L7647" s="154" t="str">
        <f>IF(OpenLCAbasic!K7647="CTUh", "Fill in Manually",IF(OR(K7647="Unit", K7647=""), "", INDEX(LookUps!$E$5:$E$12, MATCH(OpenLCAbasic!K7647,LookUps!$D$5:$D$12,0))))</f>
        <v>Eutrophication Potential (EP) - kg N eq</v>
      </c>
      <c r="M7647" s="154" t="str">
        <f t="shared" si="591"/>
        <v>High_High_Low_Upgraded_Eutrophication Potential (EP) - kg N eq_Influent Pump Station; wastewater treatment unit; at updated plant - US_Without Amendment_Windrow</v>
      </c>
    </row>
    <row r="7648" spans="1:13" s="120" customFormat="1" x14ac:dyDescent="0.25">
      <c r="A7648" s="119"/>
      <c r="B7648" s="138" t="str">
        <f t="shared" si="587"/>
        <v>Windrow</v>
      </c>
      <c r="C7648" s="138" t="str">
        <f t="shared" si="592"/>
        <v>Without Amendment</v>
      </c>
      <c r="D7648" s="138" t="str">
        <f t="shared" si="590"/>
        <v>High_Low</v>
      </c>
      <c r="E7648" s="138" t="str">
        <f t="shared" si="593"/>
        <v>High</v>
      </c>
      <c r="F7648" s="138" t="str">
        <f t="shared" si="588"/>
        <v>Upgraded</v>
      </c>
      <c r="G7648" s="153"/>
      <c r="H7648" s="210">
        <v>1.3299999999999999E-2</v>
      </c>
      <c r="I7648" s="160" t="s">
        <v>167</v>
      </c>
      <c r="J7648" s="160">
        <v>2.2000000000000001E-4</v>
      </c>
      <c r="K7648" s="160" t="s">
        <v>13</v>
      </c>
      <c r="L7648" s="154" t="str">
        <f>IF(OpenLCAbasic!K7648="CTUh", "Fill in Manually",IF(OR(K7648="Unit", K7648=""), "", INDEX(LookUps!$E$5:$E$12, MATCH(OpenLCAbasic!K7648,LookUps!$D$5:$D$12,0))))</f>
        <v>Eutrophication Potential (EP) - kg N eq</v>
      </c>
      <c r="M7648" s="154" t="str">
        <f t="shared" si="591"/>
        <v>High_High_Low_Upgraded_Eutrophication Potential (EP) - kg N eq_Waste Receiving and Holding; wastewater treatment unit; at updated plant - US_Without Amendment_Windrow</v>
      </c>
    </row>
    <row r="7649" spans="1:13" s="120" customFormat="1" x14ac:dyDescent="0.25">
      <c r="A7649" s="119"/>
      <c r="B7649" s="138" t="str">
        <f t="shared" si="587"/>
        <v>Windrow</v>
      </c>
      <c r="C7649" s="138" t="str">
        <f t="shared" si="592"/>
        <v>Without Amendment</v>
      </c>
      <c r="D7649" s="138" t="str">
        <f t="shared" si="590"/>
        <v>High_Low</v>
      </c>
      <c r="E7649" s="138" t="str">
        <f t="shared" si="593"/>
        <v>High</v>
      </c>
      <c r="F7649" s="138" t="str">
        <f t="shared" si="588"/>
        <v>Upgraded</v>
      </c>
      <c r="G7649" s="153"/>
      <c r="H7649" s="210">
        <v>1.2E-2</v>
      </c>
      <c r="I7649" s="160" t="s">
        <v>54</v>
      </c>
      <c r="J7649" s="160">
        <v>2.0000000000000001E-4</v>
      </c>
      <c r="K7649" s="160" t="s">
        <v>13</v>
      </c>
      <c r="L7649" s="154" t="str">
        <f>IF(OpenLCAbasic!K7649="CTUh", "Fill in Manually",IF(OR(K7649="Unit", K7649=""), "", INDEX(LookUps!$E$5:$E$12, MATCH(OpenLCAbasic!K7649,LookUps!$D$5:$D$12,0))))</f>
        <v>Eutrophication Potential (EP) - kg N eq</v>
      </c>
      <c r="M7649" s="154" t="str">
        <f t="shared" si="591"/>
        <v>High_High_Low_Upgraded_Eutrophication Potential (EP) - kg N eq_Clear Cove Primary Clarification; wastewater treatment unit; at updated plant - US_Without Amendment_Windrow</v>
      </c>
    </row>
    <row r="7650" spans="1:13" s="120" customFormat="1" x14ac:dyDescent="0.25">
      <c r="A7650" s="119"/>
      <c r="B7650" s="138" t="str">
        <f t="shared" si="587"/>
        <v>Windrow</v>
      </c>
      <c r="C7650" s="138" t="str">
        <f t="shared" si="592"/>
        <v>Without Amendment</v>
      </c>
      <c r="D7650" s="138" t="str">
        <f t="shared" si="590"/>
        <v>High_Low</v>
      </c>
      <c r="E7650" s="138" t="str">
        <f t="shared" si="593"/>
        <v>High</v>
      </c>
      <c r="F7650" s="138" t="str">
        <f t="shared" si="588"/>
        <v>Upgraded</v>
      </c>
      <c r="G7650" s="153"/>
      <c r="H7650" s="210">
        <v>8.2000000000000007E-3</v>
      </c>
      <c r="I7650" s="160" t="s">
        <v>58</v>
      </c>
      <c r="J7650" s="160">
        <v>1.3999999999999999E-4</v>
      </c>
      <c r="K7650" s="160" t="s">
        <v>13</v>
      </c>
      <c r="L7650" s="154" t="str">
        <f>IF(OpenLCAbasic!K7650="CTUh", "Fill in Manually",IF(OR(K7650="Unit", K7650=""), "", INDEX(LookUps!$E$5:$E$12, MATCH(OpenLCAbasic!K7650,LookUps!$D$5:$D$12,0))))</f>
        <v>Eutrophication Potential (EP) - kg N eq</v>
      </c>
      <c r="M7650" s="154" t="str">
        <f t="shared" si="591"/>
        <v>High_High_Low_Upgraded_Eutrophication Potential (EP) - kg N eq_Pre-Anoxic &amp; Swing tank; wastewater treatment unit; at updated plant - US_Without Amendment_Windrow</v>
      </c>
    </row>
    <row r="7651" spans="1:13" s="120" customFormat="1" x14ac:dyDescent="0.25">
      <c r="A7651" s="119"/>
      <c r="B7651" s="138" t="str">
        <f t="shared" si="587"/>
        <v>Windrow</v>
      </c>
      <c r="C7651" s="138" t="str">
        <f t="shared" si="592"/>
        <v>Without Amendment</v>
      </c>
      <c r="D7651" s="138" t="str">
        <f t="shared" si="590"/>
        <v>High_Low</v>
      </c>
      <c r="E7651" s="138" t="str">
        <f t="shared" si="593"/>
        <v>High</v>
      </c>
      <c r="F7651" s="138" t="str">
        <f t="shared" si="588"/>
        <v>Upgraded</v>
      </c>
      <c r="G7651" s="153"/>
      <c r="H7651" s="210">
        <v>6.7000000000000002E-3</v>
      </c>
      <c r="I7651" s="160" t="s">
        <v>60</v>
      </c>
      <c r="J7651" s="160">
        <v>1.1E-4</v>
      </c>
      <c r="K7651" s="160" t="s">
        <v>13</v>
      </c>
      <c r="L7651" s="154" t="str">
        <f>IF(OpenLCAbasic!K7651="CTUh", "Fill in Manually",IF(OR(K7651="Unit", K7651=""), "", INDEX(LookUps!$E$5:$E$12, MATCH(OpenLCAbasic!K7651,LookUps!$D$5:$D$12,0))))</f>
        <v>Eutrophication Potential (EP) - kg N eq</v>
      </c>
      <c r="M7651" s="154" t="str">
        <f t="shared" si="591"/>
        <v>High_High_Low_Upgraded_Eutrophication Potential (EP) - kg N eq_Belt filter press; wastewater treatment unit; at updated plant - US_Without Amendment_Windrow</v>
      </c>
    </row>
    <row r="7652" spans="1:13" s="120" customFormat="1" x14ac:dyDescent="0.25">
      <c r="A7652" s="119"/>
      <c r="B7652" s="138" t="str">
        <f t="shared" si="587"/>
        <v>Windrow</v>
      </c>
      <c r="C7652" s="138" t="str">
        <f t="shared" si="592"/>
        <v>Without Amendment</v>
      </c>
      <c r="D7652" s="138" t="str">
        <f t="shared" si="590"/>
        <v>High_Low</v>
      </c>
      <c r="E7652" s="138" t="str">
        <f t="shared" si="593"/>
        <v>High</v>
      </c>
      <c r="F7652" s="138" t="str">
        <f t="shared" si="588"/>
        <v>Upgraded</v>
      </c>
      <c r="G7652" s="153"/>
      <c r="H7652" s="210">
        <v>6.4999999999999997E-3</v>
      </c>
      <c r="I7652" s="160" t="s">
        <v>53</v>
      </c>
      <c r="J7652" s="211">
        <v>1.1E-4</v>
      </c>
      <c r="K7652" s="160" t="s">
        <v>13</v>
      </c>
      <c r="L7652" s="154" t="str">
        <f>IF(OpenLCAbasic!K7652="CTUh", "Fill in Manually",IF(OR(K7652="Unit", K7652=""), "", INDEX(LookUps!$E$5:$E$12, MATCH(OpenLCAbasic!K7652,LookUps!$D$5:$D$12,0))))</f>
        <v>Eutrophication Potential (EP) - kg N eq</v>
      </c>
      <c r="M7652" s="154" t="str">
        <f t="shared" si="591"/>
        <v>High_High_Low_Upgraded_Eutrophication Potential (EP) - kg N eq_Wet Well and Sump Station; wastewater treatment unit; at updated plant - US_Without Amendment_Windrow</v>
      </c>
    </row>
    <row r="7653" spans="1:13" s="120" customFormat="1" x14ac:dyDescent="0.25">
      <c r="A7653" s="119"/>
      <c r="B7653" s="138" t="str">
        <f t="shared" si="587"/>
        <v>Windrow</v>
      </c>
      <c r="C7653" s="138" t="str">
        <f t="shared" si="592"/>
        <v>Without Amendment</v>
      </c>
      <c r="D7653" s="138" t="str">
        <f t="shared" si="590"/>
        <v>High_Low</v>
      </c>
      <c r="E7653" s="138" t="str">
        <f t="shared" si="593"/>
        <v>High</v>
      </c>
      <c r="F7653" s="138" t="str">
        <f t="shared" si="588"/>
        <v>Upgraded</v>
      </c>
      <c r="G7653" s="153"/>
      <c r="H7653" s="210">
        <v>3.7000000000000002E-3</v>
      </c>
      <c r="I7653" s="160" t="s">
        <v>57</v>
      </c>
      <c r="J7653" s="211">
        <v>6.0590300000000002E-5</v>
      </c>
      <c r="K7653" s="160" t="s">
        <v>13</v>
      </c>
      <c r="L7653" s="154" t="str">
        <f>IF(OpenLCAbasic!K7653="CTUh", "Fill in Manually",IF(OR(K7653="Unit", K7653=""), "", INDEX(LookUps!$E$5:$E$12, MATCH(OpenLCAbasic!K7653,LookUps!$D$5:$D$12,0))))</f>
        <v>Eutrophication Potential (EP) - kg N eq</v>
      </c>
      <c r="M7653" s="154" t="str">
        <f t="shared" si="591"/>
        <v>High_High_Low_Upgraded_Eutrophication Potential (EP) - kg N eq_Gravity Belt Thickener; wastewater treatment unit; at updated plant - US_Without Amendment_Windrow</v>
      </c>
    </row>
    <row r="7654" spans="1:13" s="120" customFormat="1" x14ac:dyDescent="0.25">
      <c r="A7654" s="119"/>
      <c r="B7654" s="138" t="str">
        <f t="shared" si="587"/>
        <v>Windrow</v>
      </c>
      <c r="C7654" s="138" t="str">
        <f t="shared" si="592"/>
        <v>Without Amendment</v>
      </c>
      <c r="D7654" s="138" t="str">
        <f t="shared" si="590"/>
        <v>High_Low</v>
      </c>
      <c r="E7654" s="138" t="str">
        <f t="shared" si="593"/>
        <v>High</v>
      </c>
      <c r="F7654" s="138" t="str">
        <f t="shared" si="588"/>
        <v>Upgraded</v>
      </c>
      <c r="G7654" s="153"/>
      <c r="H7654" s="210">
        <v>2.3E-3</v>
      </c>
      <c r="I7654" s="160" t="s">
        <v>128</v>
      </c>
      <c r="J7654" s="211">
        <v>3.7559799999999999E-5</v>
      </c>
      <c r="K7654" s="160" t="s">
        <v>13</v>
      </c>
      <c r="L7654" s="154" t="str">
        <f>IF(OpenLCAbasic!K7654="CTUh", "Fill in Manually",IF(OR(K7654="Unit", K7654=""), "", INDEX(LookUps!$E$5:$E$12, MATCH(OpenLCAbasic!K7654,LookUps!$D$5:$D$12,0))))</f>
        <v>Eutrophication Potential (EP) - kg N eq</v>
      </c>
      <c r="M7654" s="154" t="str">
        <f t="shared" si="591"/>
        <v>High_High_Low_Upgraded_Eutrophication Potential (EP) - kg N eq_Wastewater collection; operation and infrastructure; m3 wastewater_Without Amendment_Windrow</v>
      </c>
    </row>
    <row r="7655" spans="1:13" s="120" customFormat="1" x14ac:dyDescent="0.25">
      <c r="A7655" s="119"/>
      <c r="B7655" s="138" t="str">
        <f t="shared" si="587"/>
        <v>Windrow</v>
      </c>
      <c r="C7655" s="138" t="str">
        <f t="shared" si="592"/>
        <v>Without Amendment</v>
      </c>
      <c r="D7655" s="138" t="str">
        <f t="shared" si="590"/>
        <v>High_Low</v>
      </c>
      <c r="E7655" s="138" t="str">
        <f t="shared" si="593"/>
        <v>High</v>
      </c>
      <c r="F7655" s="138" t="str">
        <f t="shared" si="588"/>
        <v>Upgraded</v>
      </c>
      <c r="G7655" s="153"/>
      <c r="H7655" s="210">
        <v>2.2000000000000001E-3</v>
      </c>
      <c r="I7655" s="160" t="s">
        <v>148</v>
      </c>
      <c r="J7655" s="211">
        <v>3.6874600000000001E-5</v>
      </c>
      <c r="K7655" s="160" t="s">
        <v>13</v>
      </c>
      <c r="L7655" s="154" t="str">
        <f>IF(OpenLCAbasic!K7655="CTUh", "Fill in Manually",IF(OR(K7655="Unit", K7655=""), "", INDEX(LookUps!$E$5:$E$12, MATCH(OpenLCAbasic!K7655,LookUps!$D$5:$D$12,0))))</f>
        <v>Eutrophication Potential (EP) - kg N eq</v>
      </c>
      <c r="M7655" s="154" t="str">
        <f t="shared" si="591"/>
        <v>High_High_Low_Upgraded_Eutrophication Potential (EP) - kg N eq_Control Building; at upgraded wastewater treatment plant - US_Without Amendment_Windrow</v>
      </c>
    </row>
    <row r="7656" spans="1:13" s="120" customFormat="1" x14ac:dyDescent="0.25">
      <c r="A7656" s="119"/>
      <c r="B7656" s="138" t="str">
        <f t="shared" ref="B7656:B7719" si="594">IF(F7656="Legacy","n.a.",IF(F7656="","","Windrow"))</f>
        <v>Windrow</v>
      </c>
      <c r="C7656" s="138" t="str">
        <f t="shared" si="592"/>
        <v>Without Amendment</v>
      </c>
      <c r="D7656" s="138" t="str">
        <f t="shared" si="590"/>
        <v>High_Low</v>
      </c>
      <c r="E7656" s="138" t="str">
        <f t="shared" si="593"/>
        <v>High</v>
      </c>
      <c r="F7656" s="138" t="str">
        <f t="shared" ref="F7656:F7719" si="595">IF(ISNUMBER(J7656),"Upgraded","")</f>
        <v>Upgraded</v>
      </c>
      <c r="G7656" s="153"/>
      <c r="H7656" s="210">
        <v>1E-3</v>
      </c>
      <c r="I7656" s="160" t="s">
        <v>59</v>
      </c>
      <c r="J7656" s="211">
        <v>1.6215700000000001E-5</v>
      </c>
      <c r="K7656" s="160" t="s">
        <v>13</v>
      </c>
      <c r="L7656" s="154" t="str">
        <f>IF(OpenLCAbasic!K7656="CTUh", "Fill in Manually",IF(OR(K7656="Unit", K7656=""), "", INDEX(LookUps!$E$5:$E$12, MATCH(OpenLCAbasic!K7656,LookUps!$D$5:$D$12,0))))</f>
        <v>Eutrophication Potential (EP) - kg N eq</v>
      </c>
      <c r="M7656" s="154" t="str">
        <f t="shared" si="591"/>
        <v>High_High_Low_Upgraded_Eutrophication Potential (EP) - kg N eq_Blend Tank; wastewater treatment unit; at updated plant - US_Without Amendment_Windrow</v>
      </c>
    </row>
    <row r="7657" spans="1:13" s="120" customFormat="1" x14ac:dyDescent="0.25">
      <c r="A7657" s="119"/>
      <c r="B7657" s="138" t="str">
        <f t="shared" si="594"/>
        <v>Windrow</v>
      </c>
      <c r="C7657" s="138" t="str">
        <f t="shared" si="592"/>
        <v>Without Amendment</v>
      </c>
      <c r="D7657" s="138" t="str">
        <f t="shared" si="590"/>
        <v>High_Low</v>
      </c>
      <c r="E7657" s="138" t="str">
        <f t="shared" si="593"/>
        <v>High</v>
      </c>
      <c r="F7657" s="138" t="str">
        <f t="shared" si="595"/>
        <v>Upgraded</v>
      </c>
      <c r="G7657" s="153"/>
      <c r="H7657" s="210">
        <v>5.0000000000000001E-4</v>
      </c>
      <c r="I7657" s="160" t="s">
        <v>168</v>
      </c>
      <c r="J7657" s="211">
        <v>7.7567199999999995E-6</v>
      </c>
      <c r="K7657" s="160" t="s">
        <v>13</v>
      </c>
      <c r="L7657" s="154" t="str">
        <f>IF(OpenLCAbasic!K7657="CTUh", "Fill in Manually",IF(OR(K7657="Unit", K7657=""), "", INDEX(LookUps!$E$5:$E$12, MATCH(OpenLCAbasic!K7657,LookUps!$D$5:$D$12,0))))</f>
        <v>Eutrophication Potential (EP) - kg N eq</v>
      </c>
      <c r="M7657" s="154" t="str">
        <f t="shared" si="591"/>
        <v>High_High_Low_Upgraded_Eutrophication Potential (EP) - kg N eq_ClearCove SCP; wastewater treatment unit; at updated plant - US_Without Amendment_Windrow</v>
      </c>
    </row>
    <row r="7658" spans="1:13" s="120" customFormat="1" x14ac:dyDescent="0.25">
      <c r="A7658" s="119"/>
      <c r="B7658" s="138" t="str">
        <f t="shared" si="594"/>
        <v>Windrow</v>
      </c>
      <c r="C7658" s="138" t="str">
        <f t="shared" si="592"/>
        <v>Without Amendment</v>
      </c>
      <c r="D7658" s="138" t="str">
        <f t="shared" si="590"/>
        <v>High_Low</v>
      </c>
      <c r="E7658" s="138" t="str">
        <f t="shared" si="593"/>
        <v>High</v>
      </c>
      <c r="F7658" s="138" t="str">
        <f t="shared" si="595"/>
        <v>Upgraded</v>
      </c>
      <c r="G7658" s="153"/>
      <c r="H7658" s="210">
        <v>-2.4799999999999999E-2</v>
      </c>
      <c r="I7658" s="160" t="s">
        <v>149</v>
      </c>
      <c r="J7658" s="160">
        <v>-4.0999999999999999E-4</v>
      </c>
      <c r="K7658" s="160" t="s">
        <v>13</v>
      </c>
      <c r="L7658" s="154" t="str">
        <f>IF(OpenLCAbasic!K7658="CTUh", "Fill in Manually",IF(OR(K7658="Unit", K7658=""), "", INDEX(LookUps!$E$5:$E$12, MATCH(OpenLCAbasic!K7658,LookUps!$D$5:$D$12,0))))</f>
        <v>Eutrophication Potential (EP) - kg N eq</v>
      </c>
      <c r="M7658" s="154" t="str">
        <f t="shared" si="591"/>
        <v>High_High_Low_Upgraded_Eutrophication Potential (EP) - kg N eq_Anaerobic Digestion; wastewater treatment unit; at updated plant - US_Without Amendment_Windrow</v>
      </c>
    </row>
    <row r="7659" spans="1:13" s="120" customFormat="1" x14ac:dyDescent="0.25">
      <c r="A7659" s="119"/>
      <c r="B7659" s="138" t="str">
        <f t="shared" si="594"/>
        <v/>
      </c>
      <c r="C7659" s="138" t="str">
        <f t="shared" si="592"/>
        <v/>
      </c>
      <c r="D7659" s="138" t="str">
        <f t="shared" si="590"/>
        <v/>
      </c>
      <c r="E7659" s="138" t="str">
        <f t="shared" si="593"/>
        <v/>
      </c>
      <c r="F7659" s="138" t="str">
        <f t="shared" si="595"/>
        <v/>
      </c>
      <c r="G7659" s="153" t="s">
        <v>51</v>
      </c>
      <c r="H7659" s="160"/>
      <c r="I7659" s="160" t="s">
        <v>47</v>
      </c>
      <c r="J7659" s="160" t="s">
        <v>52</v>
      </c>
      <c r="K7659" s="160" t="s">
        <v>27</v>
      </c>
      <c r="L7659" s="154" t="str">
        <f>IF(OpenLCAbasic!K7659="CTUh", "Fill in Manually",IF(OR(K7659="Unit", K7659=""), "", INDEX(LookUps!$E$5:$E$12, MATCH(OpenLCAbasic!K7659,LookUps!$D$5:$D$12,0))))</f>
        <v/>
      </c>
      <c r="M7659" s="154" t="str">
        <f t="shared" si="591"/>
        <v>____Process__</v>
      </c>
    </row>
    <row r="7660" spans="1:13" s="120" customFormat="1" x14ac:dyDescent="0.25">
      <c r="A7660" s="119"/>
      <c r="B7660" s="138" t="str">
        <f t="shared" si="594"/>
        <v>Windrow</v>
      </c>
      <c r="C7660" s="138" t="str">
        <f t="shared" si="592"/>
        <v>Without Amendment</v>
      </c>
      <c r="D7660" s="138" t="str">
        <f t="shared" si="590"/>
        <v>High_Low</v>
      </c>
      <c r="E7660" s="138" t="str">
        <f t="shared" si="593"/>
        <v>High</v>
      </c>
      <c r="F7660" s="138" t="str">
        <f t="shared" si="595"/>
        <v>Upgraded</v>
      </c>
      <c r="G7660" s="153"/>
      <c r="H7660" s="210">
        <v>0.68179999999999996</v>
      </c>
      <c r="I7660" s="160" t="s">
        <v>167</v>
      </c>
      <c r="J7660" s="160">
        <v>0.11719</v>
      </c>
      <c r="K7660" s="160" t="s">
        <v>14</v>
      </c>
      <c r="L7660" s="154" t="str">
        <f>IF(OpenLCAbasic!K7660="CTUh", "Fill in Manually",IF(OR(K7660="Unit", K7660=""), "", INDEX(LookUps!$E$5:$E$12, MATCH(OpenLCAbasic!K7660,LookUps!$D$5:$D$12,0))))</f>
        <v>Fossil Depletion Potential (FDP) - kg oil eq</v>
      </c>
      <c r="M7660" s="154" t="str">
        <f t="shared" si="591"/>
        <v>High_High_Low_Upgraded_Fossil Depletion Potential (FDP) - kg oil eq_Waste Receiving and Holding; wastewater treatment unit; at updated plant - US_Without Amendment_Windrow</v>
      </c>
    </row>
    <row r="7661" spans="1:13" s="120" customFormat="1" x14ac:dyDescent="0.25">
      <c r="A7661" s="119"/>
      <c r="B7661" s="138" t="str">
        <f t="shared" si="594"/>
        <v>Windrow</v>
      </c>
      <c r="C7661" s="138" t="str">
        <f t="shared" si="592"/>
        <v>Without Amendment</v>
      </c>
      <c r="D7661" s="138" t="str">
        <f t="shared" si="590"/>
        <v>High_Low</v>
      </c>
      <c r="E7661" s="138" t="str">
        <f t="shared" si="593"/>
        <v>High</v>
      </c>
      <c r="F7661" s="138" t="str">
        <f t="shared" si="595"/>
        <v>Upgraded</v>
      </c>
      <c r="G7661" s="153"/>
      <c r="H7661" s="210">
        <v>0.37</v>
      </c>
      <c r="I7661" s="160" t="s">
        <v>55</v>
      </c>
      <c r="J7661" s="160">
        <v>6.3589999999999994E-2</v>
      </c>
      <c r="K7661" s="160" t="s">
        <v>14</v>
      </c>
      <c r="L7661" s="154" t="str">
        <f>IF(OpenLCAbasic!K7661="CTUh", "Fill in Manually",IF(OR(K7661="Unit", K7661=""), "", INDEX(LookUps!$E$5:$E$12, MATCH(OpenLCAbasic!K7661,LookUps!$D$5:$D$12,0))))</f>
        <v>Fossil Depletion Potential (FDP) - kg oil eq</v>
      </c>
      <c r="M7661" s="154" t="str">
        <f t="shared" si="591"/>
        <v>High_High_Low_Upgraded_Fossil Depletion Potential (FDP) - kg oil eq_Aeration Tanks; wastewater treatment unit; at updated plant - US_Without Amendment_Windrow</v>
      </c>
    </row>
    <row r="7662" spans="1:13" s="120" customFormat="1" x14ac:dyDescent="0.25">
      <c r="A7662" s="119"/>
      <c r="B7662" s="138" t="str">
        <f t="shared" si="594"/>
        <v>Windrow</v>
      </c>
      <c r="C7662" s="138" t="str">
        <f t="shared" si="592"/>
        <v>Without Amendment</v>
      </c>
      <c r="D7662" s="138" t="str">
        <f t="shared" si="590"/>
        <v>High_Low</v>
      </c>
      <c r="E7662" s="138" t="str">
        <f t="shared" si="593"/>
        <v>High</v>
      </c>
      <c r="F7662" s="138" t="str">
        <f t="shared" si="595"/>
        <v>Upgraded</v>
      </c>
      <c r="G7662" s="153"/>
      <c r="H7662" s="210">
        <v>0.1225</v>
      </c>
      <c r="I7662" s="160" t="s">
        <v>54</v>
      </c>
      <c r="J7662" s="160">
        <v>2.1049999999999999E-2</v>
      </c>
      <c r="K7662" s="160" t="s">
        <v>14</v>
      </c>
      <c r="L7662" s="154" t="str">
        <f>IF(OpenLCAbasic!K7662="CTUh", "Fill in Manually",IF(OR(K7662="Unit", K7662=""), "", INDEX(LookUps!$E$5:$E$12, MATCH(OpenLCAbasic!K7662,LookUps!$D$5:$D$12,0))))</f>
        <v>Fossil Depletion Potential (FDP) - kg oil eq</v>
      </c>
      <c r="M7662" s="154" t="str">
        <f t="shared" si="591"/>
        <v>High_High_Low_Upgraded_Fossil Depletion Potential (FDP) - kg oil eq_Clear Cove Primary Clarification; wastewater treatment unit; at updated plant - US_Without Amendment_Windrow</v>
      </c>
    </row>
    <row r="7663" spans="1:13" s="120" customFormat="1" x14ac:dyDescent="0.25">
      <c r="A7663" s="119"/>
      <c r="B7663" s="138" t="str">
        <f t="shared" si="594"/>
        <v>Windrow</v>
      </c>
      <c r="C7663" s="138" t="str">
        <f t="shared" si="592"/>
        <v>Without Amendment</v>
      </c>
      <c r="D7663" s="138" t="str">
        <f t="shared" si="590"/>
        <v>High_Low</v>
      </c>
      <c r="E7663" s="138" t="str">
        <f t="shared" si="593"/>
        <v>High</v>
      </c>
      <c r="F7663" s="138" t="str">
        <f t="shared" si="595"/>
        <v>Upgraded</v>
      </c>
      <c r="G7663" s="153"/>
      <c r="H7663" s="210">
        <v>9.3299999999999994E-2</v>
      </c>
      <c r="I7663" s="160" t="s">
        <v>58</v>
      </c>
      <c r="J7663" s="160">
        <v>1.6039999999999999E-2</v>
      </c>
      <c r="K7663" s="160" t="s">
        <v>14</v>
      </c>
      <c r="L7663" s="154" t="str">
        <f>IF(OpenLCAbasic!K7663="CTUh", "Fill in Manually",IF(OR(K7663="Unit", K7663=""), "", INDEX(LookUps!$E$5:$E$12, MATCH(OpenLCAbasic!K7663,LookUps!$D$5:$D$12,0))))</f>
        <v>Fossil Depletion Potential (FDP) - kg oil eq</v>
      </c>
      <c r="M7663" s="154" t="str">
        <f t="shared" si="591"/>
        <v>High_High_Low_Upgraded_Fossil Depletion Potential (FDP) - kg oil eq_Pre-Anoxic &amp; Swing tank; wastewater treatment unit; at updated plant - US_Without Amendment_Windrow</v>
      </c>
    </row>
    <row r="7664" spans="1:13" s="120" customFormat="1" x14ac:dyDescent="0.25">
      <c r="A7664" s="119"/>
      <c r="B7664" s="138" t="str">
        <f t="shared" si="594"/>
        <v>Windrow</v>
      </c>
      <c r="C7664" s="138" t="str">
        <f t="shared" si="592"/>
        <v>Without Amendment</v>
      </c>
      <c r="D7664" s="138" t="str">
        <f t="shared" si="590"/>
        <v>High_Low</v>
      </c>
      <c r="E7664" s="138" t="str">
        <f t="shared" si="593"/>
        <v>High</v>
      </c>
      <c r="F7664" s="138" t="str">
        <f t="shared" si="595"/>
        <v>Upgraded</v>
      </c>
      <c r="G7664" s="153"/>
      <c r="H7664" s="210">
        <v>8.7800000000000003E-2</v>
      </c>
      <c r="I7664" s="160" t="s">
        <v>147</v>
      </c>
      <c r="J7664" s="160">
        <v>1.5089999999999999E-2</v>
      </c>
      <c r="K7664" s="160" t="s">
        <v>14</v>
      </c>
      <c r="L7664" s="154" t="str">
        <f>IF(OpenLCAbasic!K7664="CTUh", "Fill in Manually",IF(OR(K7664="Unit", K7664=""), "", INDEX(LookUps!$E$5:$E$12, MATCH(OpenLCAbasic!K7664,LookUps!$D$5:$D$12,0))))</f>
        <v>Fossil Depletion Potential (FDP) - kg oil eq</v>
      </c>
      <c r="M7664" s="154" t="str">
        <f t="shared" si="591"/>
        <v>High_High_Low_Upgraded_Fossil Depletion Potential (FDP) - kg oil eq_Influent Pump Station; wastewater treatment unit; at updated plant - US_Without Amendment_Windrow</v>
      </c>
    </row>
    <row r="7665" spans="1:13" s="120" customFormat="1" x14ac:dyDescent="0.25">
      <c r="A7665" s="119"/>
      <c r="B7665" s="138" t="str">
        <f t="shared" si="594"/>
        <v>Windrow</v>
      </c>
      <c r="C7665" s="138" t="str">
        <f t="shared" si="592"/>
        <v>Without Amendment</v>
      </c>
      <c r="D7665" s="138" t="str">
        <f t="shared" si="590"/>
        <v>High_Low</v>
      </c>
      <c r="E7665" s="138" t="str">
        <f t="shared" si="593"/>
        <v>High</v>
      </c>
      <c r="F7665" s="138" t="str">
        <f t="shared" si="595"/>
        <v>Upgraded</v>
      </c>
      <c r="G7665" s="153"/>
      <c r="H7665" s="210">
        <v>7.3599999999999999E-2</v>
      </c>
      <c r="I7665" s="160" t="s">
        <v>60</v>
      </c>
      <c r="J7665" s="160">
        <v>1.2659999999999999E-2</v>
      </c>
      <c r="K7665" s="160" t="s">
        <v>14</v>
      </c>
      <c r="L7665" s="154" t="str">
        <f>IF(OpenLCAbasic!K7665="CTUh", "Fill in Manually",IF(OR(K7665="Unit", K7665=""), "", INDEX(LookUps!$E$5:$E$12, MATCH(OpenLCAbasic!K7665,LookUps!$D$5:$D$12,0))))</f>
        <v>Fossil Depletion Potential (FDP) - kg oil eq</v>
      </c>
      <c r="M7665" s="154" t="str">
        <f t="shared" si="591"/>
        <v>High_High_Low_Upgraded_Fossil Depletion Potential (FDP) - kg oil eq_Belt filter press; wastewater treatment unit; at updated plant - US_Without Amendment_Windrow</v>
      </c>
    </row>
    <row r="7666" spans="1:13" s="120" customFormat="1" x14ac:dyDescent="0.25">
      <c r="A7666" s="119"/>
      <c r="B7666" s="138" t="str">
        <f t="shared" si="594"/>
        <v>Windrow</v>
      </c>
      <c r="C7666" s="138" t="str">
        <f t="shared" si="592"/>
        <v>Without Amendment</v>
      </c>
      <c r="D7666" s="138" t="str">
        <f t="shared" si="590"/>
        <v>High_Low</v>
      </c>
      <c r="E7666" s="138" t="str">
        <f t="shared" si="593"/>
        <v>High</v>
      </c>
      <c r="F7666" s="138" t="str">
        <f t="shared" si="595"/>
        <v>Upgraded</v>
      </c>
      <c r="G7666" s="153"/>
      <c r="H7666" s="210">
        <v>7.2700000000000001E-2</v>
      </c>
      <c r="I7666" s="160" t="s">
        <v>53</v>
      </c>
      <c r="J7666" s="160">
        <v>1.2489999999999999E-2</v>
      </c>
      <c r="K7666" s="160" t="s">
        <v>14</v>
      </c>
      <c r="L7666" s="154" t="str">
        <f>IF(OpenLCAbasic!K7666="CTUh", "Fill in Manually",IF(OR(K7666="Unit", K7666=""), "", INDEX(LookUps!$E$5:$E$12, MATCH(OpenLCAbasic!K7666,LookUps!$D$5:$D$12,0))))</f>
        <v>Fossil Depletion Potential (FDP) - kg oil eq</v>
      </c>
      <c r="M7666" s="154" t="str">
        <f t="shared" si="591"/>
        <v>High_High_Low_Upgraded_Fossil Depletion Potential (FDP) - kg oil eq_Wet Well and Sump Station; wastewater treatment unit; at updated plant - US_Without Amendment_Windrow</v>
      </c>
    </row>
    <row r="7667" spans="1:13" s="120" customFormat="1" x14ac:dyDescent="0.25">
      <c r="A7667" s="119"/>
      <c r="B7667" s="138" t="str">
        <f t="shared" si="594"/>
        <v>Windrow</v>
      </c>
      <c r="C7667" s="138" t="str">
        <f t="shared" si="592"/>
        <v>Without Amendment</v>
      </c>
      <c r="D7667" s="138" t="str">
        <f t="shared" si="590"/>
        <v>High_Low</v>
      </c>
      <c r="E7667" s="138" t="str">
        <f t="shared" si="593"/>
        <v>High</v>
      </c>
      <c r="F7667" s="138" t="str">
        <f t="shared" si="595"/>
        <v>Upgraded</v>
      </c>
      <c r="G7667" s="153"/>
      <c r="H7667" s="210">
        <v>4.02E-2</v>
      </c>
      <c r="I7667" s="160" t="s">
        <v>57</v>
      </c>
      <c r="J7667" s="160">
        <v>6.9199999999999999E-3</v>
      </c>
      <c r="K7667" s="160" t="s">
        <v>14</v>
      </c>
      <c r="L7667" s="154" t="str">
        <f>IF(OpenLCAbasic!K7667="CTUh", "Fill in Manually",IF(OR(K7667="Unit", K7667=""), "", INDEX(LookUps!$E$5:$E$12, MATCH(OpenLCAbasic!K7667,LookUps!$D$5:$D$12,0))))</f>
        <v>Fossil Depletion Potential (FDP) - kg oil eq</v>
      </c>
      <c r="M7667" s="154" t="str">
        <f t="shared" si="591"/>
        <v>High_High_Low_Upgraded_Fossil Depletion Potential (FDP) - kg oil eq_Gravity Belt Thickener; wastewater treatment unit; at updated plant - US_Without Amendment_Windrow</v>
      </c>
    </row>
    <row r="7668" spans="1:13" s="120" customFormat="1" x14ac:dyDescent="0.25">
      <c r="A7668" s="119"/>
      <c r="B7668" s="138" t="str">
        <f t="shared" si="594"/>
        <v>Windrow</v>
      </c>
      <c r="C7668" s="138" t="str">
        <f t="shared" si="592"/>
        <v>Without Amendment</v>
      </c>
      <c r="D7668" s="138" t="str">
        <f t="shared" si="590"/>
        <v>High_Low</v>
      </c>
      <c r="E7668" s="138" t="str">
        <f t="shared" si="593"/>
        <v>High</v>
      </c>
      <c r="F7668" s="138" t="str">
        <f t="shared" si="595"/>
        <v>Upgraded</v>
      </c>
      <c r="G7668" s="153"/>
      <c r="H7668" s="210">
        <v>2.6200000000000001E-2</v>
      </c>
      <c r="I7668" s="160" t="s">
        <v>128</v>
      </c>
      <c r="J7668" s="160">
        <v>4.4999999999999997E-3</v>
      </c>
      <c r="K7668" s="160" t="s">
        <v>14</v>
      </c>
      <c r="L7668" s="154" t="str">
        <f>IF(OpenLCAbasic!K7668="CTUh", "Fill in Manually",IF(OR(K7668="Unit", K7668=""), "", INDEX(LookUps!$E$5:$E$12, MATCH(OpenLCAbasic!K7668,LookUps!$D$5:$D$12,0))))</f>
        <v>Fossil Depletion Potential (FDP) - kg oil eq</v>
      </c>
      <c r="M7668" s="154" t="str">
        <f t="shared" si="591"/>
        <v>High_High_Low_Upgraded_Fossil Depletion Potential (FDP) - kg oil eq_Wastewater collection; operation and infrastructure; m3 wastewater_Without Amendment_Windrow</v>
      </c>
    </row>
    <row r="7669" spans="1:13" s="120" customFormat="1" x14ac:dyDescent="0.25">
      <c r="A7669" s="119"/>
      <c r="B7669" s="138" t="str">
        <f t="shared" si="594"/>
        <v>Windrow</v>
      </c>
      <c r="C7669" s="138" t="str">
        <f t="shared" si="592"/>
        <v>Without Amendment</v>
      </c>
      <c r="D7669" s="138" t="str">
        <f t="shared" si="590"/>
        <v>High_Low</v>
      </c>
      <c r="E7669" s="138" t="str">
        <f t="shared" si="593"/>
        <v>High</v>
      </c>
      <c r="F7669" s="138" t="str">
        <f t="shared" si="595"/>
        <v>Upgraded</v>
      </c>
      <c r="G7669" s="153"/>
      <c r="H7669" s="210">
        <v>1.6299999999999999E-2</v>
      </c>
      <c r="I7669" s="160" t="s">
        <v>148</v>
      </c>
      <c r="J7669" s="160">
        <v>2.8E-3</v>
      </c>
      <c r="K7669" s="160" t="s">
        <v>14</v>
      </c>
      <c r="L7669" s="154" t="str">
        <f>IF(OpenLCAbasic!K7669="CTUh", "Fill in Manually",IF(OR(K7669="Unit", K7669=""), "", INDEX(LookUps!$E$5:$E$12, MATCH(OpenLCAbasic!K7669,LookUps!$D$5:$D$12,0))))</f>
        <v>Fossil Depletion Potential (FDP) - kg oil eq</v>
      </c>
      <c r="M7669" s="154" t="str">
        <f t="shared" si="591"/>
        <v>High_High_Low_Upgraded_Fossil Depletion Potential (FDP) - kg oil eq_Control Building; at upgraded wastewater treatment plant - US_Without Amendment_Windrow</v>
      </c>
    </row>
    <row r="7670" spans="1:13" s="120" customFormat="1" x14ac:dyDescent="0.25">
      <c r="A7670" s="119"/>
      <c r="B7670" s="138" t="str">
        <f t="shared" si="594"/>
        <v>Windrow</v>
      </c>
      <c r="C7670" s="138" t="str">
        <f t="shared" si="592"/>
        <v>Without Amendment</v>
      </c>
      <c r="D7670" s="138" t="str">
        <f t="shared" si="590"/>
        <v>High_Low</v>
      </c>
      <c r="E7670" s="138" t="str">
        <f t="shared" si="593"/>
        <v>High</v>
      </c>
      <c r="F7670" s="138" t="str">
        <f t="shared" si="595"/>
        <v>Upgraded</v>
      </c>
      <c r="G7670" s="153"/>
      <c r="H7670" s="210">
        <v>1.38E-2</v>
      </c>
      <c r="I7670" s="160" t="s">
        <v>48</v>
      </c>
      <c r="J7670" s="160">
        <v>2.3600000000000001E-3</v>
      </c>
      <c r="K7670" s="160" t="s">
        <v>14</v>
      </c>
      <c r="L7670" s="154" t="str">
        <f>IF(OpenLCAbasic!K7670="CTUh", "Fill in Manually",IF(OR(K7670="Unit", K7670=""), "", INDEX(LookUps!$E$5:$E$12, MATCH(OpenLCAbasic!K7670,LookUps!$D$5:$D$12,0))))</f>
        <v>Fossil Depletion Potential (FDP) - kg oil eq</v>
      </c>
      <c r="M7670" s="154" t="str">
        <f t="shared" si="591"/>
        <v>High_High_Low_Upgraded_Fossil Depletion Potential (FDP) - kg oil eq_Effluent release; wastewater treatment unit; at surface water; m3 wastewater - US_Without Amendment_Windrow</v>
      </c>
    </row>
    <row r="7671" spans="1:13" s="120" customFormat="1" x14ac:dyDescent="0.25">
      <c r="A7671" s="119"/>
      <c r="B7671" s="138" t="str">
        <f t="shared" si="594"/>
        <v>Windrow</v>
      </c>
      <c r="C7671" s="138" t="str">
        <f t="shared" si="592"/>
        <v>Without Amendment</v>
      </c>
      <c r="D7671" s="138" t="str">
        <f t="shared" si="590"/>
        <v>High_Low</v>
      </c>
      <c r="E7671" s="138" t="str">
        <f t="shared" si="593"/>
        <v>High</v>
      </c>
      <c r="F7671" s="138" t="str">
        <f t="shared" si="595"/>
        <v>Upgraded</v>
      </c>
      <c r="G7671" s="153"/>
      <c r="H7671" s="210">
        <v>1.12E-2</v>
      </c>
      <c r="I7671" s="160" t="s">
        <v>59</v>
      </c>
      <c r="J7671" s="160">
        <v>1.92E-3</v>
      </c>
      <c r="K7671" s="160" t="s">
        <v>14</v>
      </c>
      <c r="L7671" s="154" t="str">
        <f>IF(OpenLCAbasic!K7671="CTUh", "Fill in Manually",IF(OR(K7671="Unit", K7671=""), "", INDEX(LookUps!$E$5:$E$12, MATCH(OpenLCAbasic!K7671,LookUps!$D$5:$D$12,0))))</f>
        <v>Fossil Depletion Potential (FDP) - kg oil eq</v>
      </c>
      <c r="M7671" s="154" t="str">
        <f t="shared" si="591"/>
        <v>High_High_Low_Upgraded_Fossil Depletion Potential (FDP) - kg oil eq_Blend Tank; wastewater treatment unit; at updated plant - US_Without Amendment_Windrow</v>
      </c>
    </row>
    <row r="7672" spans="1:13" s="120" customFormat="1" x14ac:dyDescent="0.25">
      <c r="A7672" s="119"/>
      <c r="B7672" s="138" t="str">
        <f t="shared" si="594"/>
        <v>Windrow</v>
      </c>
      <c r="C7672" s="138" t="str">
        <f t="shared" si="592"/>
        <v>Without Amendment</v>
      </c>
      <c r="D7672" s="138" t="str">
        <f t="shared" si="590"/>
        <v>High_Low</v>
      </c>
      <c r="E7672" s="138" t="str">
        <f t="shared" si="593"/>
        <v>High</v>
      </c>
      <c r="F7672" s="138" t="str">
        <f t="shared" si="595"/>
        <v>Upgraded</v>
      </c>
      <c r="G7672" s="153"/>
      <c r="H7672" s="210">
        <v>5.3E-3</v>
      </c>
      <c r="I7672" s="160" t="s">
        <v>168</v>
      </c>
      <c r="J7672" s="160">
        <v>9.1E-4</v>
      </c>
      <c r="K7672" s="160" t="s">
        <v>14</v>
      </c>
      <c r="L7672" s="154" t="str">
        <f>IF(OpenLCAbasic!K7672="CTUh", "Fill in Manually",IF(OR(K7672="Unit", K7672=""), "", INDEX(LookUps!$E$5:$E$12, MATCH(OpenLCAbasic!K7672,LookUps!$D$5:$D$12,0))))</f>
        <v>Fossil Depletion Potential (FDP) - kg oil eq</v>
      </c>
      <c r="M7672" s="154" t="str">
        <f t="shared" si="591"/>
        <v>High_High_Low_Upgraded_Fossil Depletion Potential (FDP) - kg oil eq_ClearCove SCP; wastewater treatment unit; at updated plant - US_Without Amendment_Windrow</v>
      </c>
    </row>
    <row r="7673" spans="1:13" s="120" customFormat="1" x14ac:dyDescent="0.25">
      <c r="A7673" s="119"/>
      <c r="B7673" s="138" t="str">
        <f t="shared" si="594"/>
        <v>Windrow</v>
      </c>
      <c r="C7673" s="138" t="str">
        <f t="shared" si="592"/>
        <v>Without Amendment</v>
      </c>
      <c r="D7673" s="138" t="str">
        <f t="shared" ref="D7673:D7736" si="596">IF(ISNUMBER($J7673),"High_Low","")</f>
        <v>High_Low</v>
      </c>
      <c r="E7673" s="138" t="str">
        <f t="shared" si="593"/>
        <v>High</v>
      </c>
      <c r="F7673" s="138" t="str">
        <f t="shared" si="595"/>
        <v>Upgraded</v>
      </c>
      <c r="G7673" s="153"/>
      <c r="H7673" s="210">
        <v>5.3E-3</v>
      </c>
      <c r="I7673" s="160" t="s">
        <v>271</v>
      </c>
      <c r="J7673" s="160">
        <v>8.9999999999999998E-4</v>
      </c>
      <c r="K7673" s="160" t="s">
        <v>14</v>
      </c>
      <c r="L7673" s="154" t="str">
        <f>IF(OpenLCAbasic!K7673="CTUh", "Fill in Manually",IF(OR(K7673="Unit", K7673=""), "", INDEX(LookUps!$E$5:$E$12, MATCH(OpenLCAbasic!K7673,LookUps!$D$5:$D$12,0))))</f>
        <v>Fossil Depletion Potential (FDP) - kg oil eq</v>
      </c>
      <c r="M7673" s="154" t="str">
        <f t="shared" si="591"/>
        <v>High_High_Low_Upgraded_Fossil Depletion Potential (FDP) - kg oil eq_Biosolids composting; windrow composting; wastewater treatment unit; at updated plant - US_Without Amendment_Windrow</v>
      </c>
    </row>
    <row r="7674" spans="1:13" s="120" customFormat="1" x14ac:dyDescent="0.25">
      <c r="A7674" s="119"/>
      <c r="B7674" s="138" t="str">
        <f t="shared" si="594"/>
        <v>Windrow</v>
      </c>
      <c r="C7674" s="138" t="str">
        <f t="shared" si="592"/>
        <v>Without Amendment</v>
      </c>
      <c r="D7674" s="138" t="str">
        <f t="shared" si="596"/>
        <v>High_Low</v>
      </c>
      <c r="E7674" s="138" t="str">
        <f t="shared" si="593"/>
        <v>High</v>
      </c>
      <c r="F7674" s="138" t="str">
        <f t="shared" si="595"/>
        <v>Upgraded</v>
      </c>
      <c r="G7674" s="153"/>
      <c r="H7674" s="210">
        <v>-4.5900000000000003E-2</v>
      </c>
      <c r="I7674" s="160" t="s">
        <v>62</v>
      </c>
      <c r="J7674" s="160">
        <v>-7.8899999999999994E-3</v>
      </c>
      <c r="K7674" s="160" t="s">
        <v>14</v>
      </c>
      <c r="L7674" s="154" t="str">
        <f>IF(OpenLCAbasic!K7674="CTUh", "Fill in Manually",IF(OR(K7674="Unit", K7674=""), "", INDEX(LookUps!$E$5:$E$12, MATCH(OpenLCAbasic!K7674,LookUps!$D$5:$D$12,0))))</f>
        <v>Fossil Depletion Potential (FDP) - kg oil eq</v>
      </c>
      <c r="M7674" s="154" t="str">
        <f t="shared" si="591"/>
        <v>High_High_Low_Upgraded_Fossil Depletion Potential (FDP) - kg oil eq_Land application of compost; wastewater treatment unit; at updated plant - US_Without Amendment_Windrow</v>
      </c>
    </row>
    <row r="7675" spans="1:13" s="120" customFormat="1" x14ac:dyDescent="0.25">
      <c r="A7675" s="119"/>
      <c r="B7675" s="138" t="str">
        <f t="shared" si="594"/>
        <v>Windrow</v>
      </c>
      <c r="C7675" s="138" t="str">
        <f t="shared" si="592"/>
        <v>Without Amendment</v>
      </c>
      <c r="D7675" s="138" t="str">
        <f t="shared" si="596"/>
        <v>High_Low</v>
      </c>
      <c r="E7675" s="138" t="str">
        <f t="shared" si="593"/>
        <v>High</v>
      </c>
      <c r="F7675" s="138" t="str">
        <f t="shared" si="595"/>
        <v>Upgraded</v>
      </c>
      <c r="G7675" s="153"/>
      <c r="H7675" s="210">
        <v>-0.57389999999999997</v>
      </c>
      <c r="I7675" s="160" t="s">
        <v>149</v>
      </c>
      <c r="J7675" s="160">
        <v>-9.8640000000000005E-2</v>
      </c>
      <c r="K7675" s="160" t="s">
        <v>14</v>
      </c>
      <c r="L7675" s="154" t="str">
        <f>IF(OpenLCAbasic!K7675="CTUh", "Fill in Manually",IF(OR(K7675="Unit", K7675=""), "", INDEX(LookUps!$E$5:$E$12, MATCH(OpenLCAbasic!K7675,LookUps!$D$5:$D$12,0))))</f>
        <v>Fossil Depletion Potential (FDP) - kg oil eq</v>
      </c>
      <c r="M7675" s="154" t="str">
        <f t="shared" ref="M7675:M7738" si="597">CONCATENATE(E7675,"_",D7675,"_",F7675,"_",L7675, "_",I7675,"_", C7675,"_", B7675)</f>
        <v>High_High_Low_Upgraded_Fossil Depletion Potential (FDP) - kg oil eq_Anaerobic Digestion; wastewater treatment unit; at updated plant - US_Without Amendment_Windrow</v>
      </c>
    </row>
    <row r="7676" spans="1:13" s="120" customFormat="1" x14ac:dyDescent="0.25">
      <c r="A7676" s="119"/>
      <c r="B7676" s="138" t="str">
        <f t="shared" si="594"/>
        <v/>
      </c>
      <c r="C7676" s="138" t="str">
        <f t="shared" si="592"/>
        <v/>
      </c>
      <c r="D7676" s="138" t="str">
        <f t="shared" si="596"/>
        <v/>
      </c>
      <c r="E7676" s="138" t="str">
        <f t="shared" si="593"/>
        <v/>
      </c>
      <c r="F7676" s="138" t="str">
        <f t="shared" si="595"/>
        <v/>
      </c>
      <c r="G7676" s="153" t="s">
        <v>51</v>
      </c>
      <c r="H7676" s="160"/>
      <c r="I7676" s="160" t="s">
        <v>47</v>
      </c>
      <c r="J7676" s="160" t="s">
        <v>52</v>
      </c>
      <c r="K7676" s="160" t="s">
        <v>27</v>
      </c>
      <c r="L7676" s="154" t="str">
        <f>IF(OpenLCAbasic!K7676="CTUh", "Fill in Manually",IF(OR(K7676="Unit", K7676=""), "", INDEX(LookUps!$E$5:$E$12, MATCH(OpenLCAbasic!K7676,LookUps!$D$5:$D$12,0))))</f>
        <v/>
      </c>
      <c r="M7676" s="154" t="str">
        <f t="shared" si="597"/>
        <v>____Process__</v>
      </c>
    </row>
    <row r="7677" spans="1:13" s="120" customFormat="1" x14ac:dyDescent="0.25">
      <c r="A7677" s="119"/>
      <c r="B7677" s="138" t="str">
        <f t="shared" si="594"/>
        <v>Windrow</v>
      </c>
      <c r="C7677" s="138" t="str">
        <f t="shared" si="592"/>
        <v>Without Amendment</v>
      </c>
      <c r="D7677" s="138" t="str">
        <f t="shared" si="596"/>
        <v>High_Low</v>
      </c>
      <c r="E7677" s="138" t="str">
        <f t="shared" si="593"/>
        <v>High</v>
      </c>
      <c r="F7677" s="138" t="str">
        <f t="shared" si="595"/>
        <v>Upgraded</v>
      </c>
      <c r="G7677" s="153"/>
      <c r="H7677" s="210">
        <v>0.8216</v>
      </c>
      <c r="I7677" s="160" t="s">
        <v>271</v>
      </c>
      <c r="J7677" s="160">
        <v>1.64879</v>
      </c>
      <c r="K7677" s="160" t="s">
        <v>23</v>
      </c>
      <c r="L7677" s="154" t="str">
        <f>IF(OpenLCAbasic!K7677="CTUh", "Fill in Manually",IF(OR(K7677="Unit", K7677=""), "", INDEX(LookUps!$E$5:$E$12, MATCH(OpenLCAbasic!K7677,LookUps!$D$5:$D$12,0))))</f>
        <v>Global Warming Potential (GWP) - kg CO2 eq</v>
      </c>
      <c r="M7677" s="154" t="str">
        <f t="shared" si="597"/>
        <v>High_High_Low_Upgraded_Global Warming Potential (GWP) - kg CO2 eq_Biosolids composting; windrow composting; wastewater treatment unit; at updated plant - US_Without Amendment_Windrow</v>
      </c>
    </row>
    <row r="7678" spans="1:13" s="120" customFormat="1" x14ac:dyDescent="0.25">
      <c r="A7678" s="119"/>
      <c r="B7678" s="138" t="str">
        <f t="shared" si="594"/>
        <v>Windrow</v>
      </c>
      <c r="C7678" s="138" t="str">
        <f t="shared" si="592"/>
        <v>Without Amendment</v>
      </c>
      <c r="D7678" s="138" t="str">
        <f t="shared" si="596"/>
        <v>High_Low</v>
      </c>
      <c r="E7678" s="138" t="str">
        <f t="shared" si="593"/>
        <v>High</v>
      </c>
      <c r="F7678" s="138" t="str">
        <f t="shared" si="595"/>
        <v>Upgraded</v>
      </c>
      <c r="G7678" s="153"/>
      <c r="H7678" s="210">
        <v>0.1245</v>
      </c>
      <c r="I7678" s="160" t="s">
        <v>58</v>
      </c>
      <c r="J7678" s="160">
        <v>0.24992</v>
      </c>
      <c r="K7678" s="160" t="s">
        <v>23</v>
      </c>
      <c r="L7678" s="154" t="str">
        <f>IF(OpenLCAbasic!K7678="CTUh", "Fill in Manually",IF(OR(K7678="Unit", K7678=""), "", INDEX(LookUps!$E$5:$E$12, MATCH(OpenLCAbasic!K7678,LookUps!$D$5:$D$12,0))))</f>
        <v>Global Warming Potential (GWP) - kg CO2 eq</v>
      </c>
      <c r="M7678" s="154" t="str">
        <f t="shared" si="597"/>
        <v>High_High_Low_Upgraded_Global Warming Potential (GWP) - kg CO2 eq_Pre-Anoxic &amp; Swing tank; wastewater treatment unit; at updated plant - US_Without Amendment_Windrow</v>
      </c>
    </row>
    <row r="7679" spans="1:13" s="120" customFormat="1" x14ac:dyDescent="0.25">
      <c r="A7679" s="119"/>
      <c r="B7679" s="138" t="str">
        <f t="shared" si="594"/>
        <v>Windrow</v>
      </c>
      <c r="C7679" s="138" t="str">
        <f t="shared" si="592"/>
        <v>Without Amendment</v>
      </c>
      <c r="D7679" s="138" t="str">
        <f t="shared" si="596"/>
        <v>High_Low</v>
      </c>
      <c r="E7679" s="138" t="str">
        <f t="shared" si="593"/>
        <v>High</v>
      </c>
      <c r="F7679" s="138" t="str">
        <f t="shared" si="595"/>
        <v>Upgraded</v>
      </c>
      <c r="G7679" s="153"/>
      <c r="H7679" s="210">
        <v>8.3799999999999999E-2</v>
      </c>
      <c r="I7679" s="160" t="s">
        <v>55</v>
      </c>
      <c r="J7679" s="160">
        <v>0.16822000000000001</v>
      </c>
      <c r="K7679" s="160" t="s">
        <v>23</v>
      </c>
      <c r="L7679" s="154" t="str">
        <f>IF(OpenLCAbasic!K7679="CTUh", "Fill in Manually",IF(OR(K7679="Unit", K7679=""), "", INDEX(LookUps!$E$5:$E$12, MATCH(OpenLCAbasic!K7679,LookUps!$D$5:$D$12,0))))</f>
        <v>Global Warming Potential (GWP) - kg CO2 eq</v>
      </c>
      <c r="M7679" s="154" t="str">
        <f t="shared" si="597"/>
        <v>High_High_Low_Upgraded_Global Warming Potential (GWP) - kg CO2 eq_Aeration Tanks; wastewater treatment unit; at updated plant - US_Without Amendment_Windrow</v>
      </c>
    </row>
    <row r="7680" spans="1:13" s="120" customFormat="1" x14ac:dyDescent="0.25">
      <c r="A7680" s="119"/>
      <c r="B7680" s="138" t="str">
        <f t="shared" si="594"/>
        <v>Windrow</v>
      </c>
      <c r="C7680" s="138" t="str">
        <f t="shared" si="592"/>
        <v>Without Amendment</v>
      </c>
      <c r="D7680" s="138" t="str">
        <f t="shared" si="596"/>
        <v>High_Low</v>
      </c>
      <c r="E7680" s="138" t="str">
        <f t="shared" si="593"/>
        <v>High</v>
      </c>
      <c r="F7680" s="138" t="str">
        <f t="shared" si="595"/>
        <v>Upgraded</v>
      </c>
      <c r="G7680" s="153"/>
      <c r="H7680" s="210">
        <v>7.3200000000000001E-2</v>
      </c>
      <c r="I7680" s="160" t="s">
        <v>167</v>
      </c>
      <c r="J7680" s="160">
        <v>0.14685000000000001</v>
      </c>
      <c r="K7680" s="160" t="s">
        <v>23</v>
      </c>
      <c r="L7680" s="154" t="str">
        <f>IF(OpenLCAbasic!K7680="CTUh", "Fill in Manually",IF(OR(K7680="Unit", K7680=""), "", INDEX(LookUps!$E$5:$E$12, MATCH(OpenLCAbasic!K7680,LookUps!$D$5:$D$12,0))))</f>
        <v>Global Warming Potential (GWP) - kg CO2 eq</v>
      </c>
      <c r="M7680" s="154" t="str">
        <f t="shared" si="597"/>
        <v>High_High_Low_Upgraded_Global Warming Potential (GWP) - kg CO2 eq_Waste Receiving and Holding; wastewater treatment unit; at updated plant - US_Without Amendment_Windrow</v>
      </c>
    </row>
    <row r="7681" spans="1:13" s="120" customFormat="1" x14ac:dyDescent="0.25">
      <c r="A7681" s="119"/>
      <c r="B7681" s="138" t="str">
        <f t="shared" si="594"/>
        <v>Windrow</v>
      </c>
      <c r="C7681" s="138" t="str">
        <f t="shared" ref="C7681:C7744" si="598">IF(ISNUMBER($J7681),"Without Amendment","")</f>
        <v>Without Amendment</v>
      </c>
      <c r="D7681" s="138" t="str">
        <f t="shared" si="596"/>
        <v>High_Low</v>
      </c>
      <c r="E7681" s="138" t="str">
        <f t="shared" si="593"/>
        <v>High</v>
      </c>
      <c r="F7681" s="138" t="str">
        <f t="shared" si="595"/>
        <v>Upgraded</v>
      </c>
      <c r="G7681" s="153"/>
      <c r="H7681" s="210">
        <v>2.8400000000000002E-2</v>
      </c>
      <c r="I7681" s="160" t="s">
        <v>54</v>
      </c>
      <c r="J7681" s="160">
        <v>5.7079999999999999E-2</v>
      </c>
      <c r="K7681" s="160" t="s">
        <v>23</v>
      </c>
      <c r="L7681" s="154" t="str">
        <f>IF(OpenLCAbasic!K7681="CTUh", "Fill in Manually",IF(OR(K7681="Unit", K7681=""), "", INDEX(LookUps!$E$5:$E$12, MATCH(OpenLCAbasic!K7681,LookUps!$D$5:$D$12,0))))</f>
        <v>Global Warming Potential (GWP) - kg CO2 eq</v>
      </c>
      <c r="M7681" s="154" t="str">
        <f t="shared" si="597"/>
        <v>High_High_Low_Upgraded_Global Warming Potential (GWP) - kg CO2 eq_Clear Cove Primary Clarification; wastewater treatment unit; at updated plant - US_Without Amendment_Windrow</v>
      </c>
    </row>
    <row r="7682" spans="1:13" s="120" customFormat="1" x14ac:dyDescent="0.25">
      <c r="A7682" s="119"/>
      <c r="B7682" s="138" t="str">
        <f t="shared" si="594"/>
        <v>Windrow</v>
      </c>
      <c r="C7682" s="138" t="str">
        <f t="shared" si="598"/>
        <v>Without Amendment</v>
      </c>
      <c r="D7682" s="138" t="str">
        <f t="shared" si="596"/>
        <v>High_Low</v>
      </c>
      <c r="E7682" s="138" t="str">
        <f t="shared" si="593"/>
        <v>High</v>
      </c>
      <c r="F7682" s="138" t="str">
        <f t="shared" si="595"/>
        <v>Upgraded</v>
      </c>
      <c r="G7682" s="153"/>
      <c r="H7682" s="210">
        <v>2.6200000000000001E-2</v>
      </c>
      <c r="I7682" s="160" t="s">
        <v>48</v>
      </c>
      <c r="J7682" s="160">
        <v>5.2639999999999999E-2</v>
      </c>
      <c r="K7682" s="160" t="s">
        <v>23</v>
      </c>
      <c r="L7682" s="154" t="str">
        <f>IF(OpenLCAbasic!K7682="CTUh", "Fill in Manually",IF(OR(K7682="Unit", K7682=""), "", INDEX(LookUps!$E$5:$E$12, MATCH(OpenLCAbasic!K7682,LookUps!$D$5:$D$12,0))))</f>
        <v>Global Warming Potential (GWP) - kg CO2 eq</v>
      </c>
      <c r="M7682" s="154" t="str">
        <f t="shared" si="597"/>
        <v>High_High_Low_Upgraded_Global Warming Potential (GWP) - kg CO2 eq_Effluent release; wastewater treatment unit; at surface water; m3 wastewater - US_Without Amendment_Windrow</v>
      </c>
    </row>
    <row r="7683" spans="1:13" s="120" customFormat="1" x14ac:dyDescent="0.25">
      <c r="A7683" s="119"/>
      <c r="B7683" s="138" t="str">
        <f t="shared" si="594"/>
        <v>Windrow</v>
      </c>
      <c r="C7683" s="138" t="str">
        <f t="shared" si="598"/>
        <v>Without Amendment</v>
      </c>
      <c r="D7683" s="138" t="str">
        <f t="shared" si="596"/>
        <v>High_Low</v>
      </c>
      <c r="E7683" s="138" t="str">
        <f t="shared" si="593"/>
        <v>High</v>
      </c>
      <c r="F7683" s="138" t="str">
        <f t="shared" si="595"/>
        <v>Upgraded</v>
      </c>
      <c r="G7683" s="153"/>
      <c r="H7683" s="210">
        <v>2.52E-2</v>
      </c>
      <c r="I7683" s="160" t="s">
        <v>147</v>
      </c>
      <c r="J7683" s="160">
        <v>5.0500000000000003E-2</v>
      </c>
      <c r="K7683" s="160" t="s">
        <v>23</v>
      </c>
      <c r="L7683" s="154" t="str">
        <f>IF(OpenLCAbasic!K7683="CTUh", "Fill in Manually",IF(OR(K7683="Unit", K7683=""), "", INDEX(LookUps!$E$5:$E$12, MATCH(OpenLCAbasic!K7683,LookUps!$D$5:$D$12,0))))</f>
        <v>Global Warming Potential (GWP) - kg CO2 eq</v>
      </c>
      <c r="M7683" s="154" t="str">
        <f t="shared" si="597"/>
        <v>High_High_Low_Upgraded_Global Warming Potential (GWP) - kg CO2 eq_Influent Pump Station; wastewater treatment unit; at updated plant - US_Without Amendment_Windrow</v>
      </c>
    </row>
    <row r="7684" spans="1:13" s="120" customFormat="1" x14ac:dyDescent="0.25">
      <c r="A7684" s="119"/>
      <c r="B7684" s="138" t="str">
        <f t="shared" si="594"/>
        <v>Windrow</v>
      </c>
      <c r="C7684" s="138" t="str">
        <f t="shared" si="598"/>
        <v>Without Amendment</v>
      </c>
      <c r="D7684" s="138" t="str">
        <f t="shared" si="596"/>
        <v>High_Low</v>
      </c>
      <c r="E7684" s="138" t="str">
        <f t="shared" si="593"/>
        <v>High</v>
      </c>
      <c r="F7684" s="138" t="str">
        <f t="shared" si="595"/>
        <v>Upgraded</v>
      </c>
      <c r="G7684" s="153"/>
      <c r="H7684" s="210">
        <v>1.66E-2</v>
      </c>
      <c r="I7684" s="160" t="s">
        <v>53</v>
      </c>
      <c r="J7684" s="160">
        <v>3.3259999999999998E-2</v>
      </c>
      <c r="K7684" s="160" t="s">
        <v>23</v>
      </c>
      <c r="L7684" s="154" t="str">
        <f>IF(OpenLCAbasic!K7684="CTUh", "Fill in Manually",IF(OR(K7684="Unit", K7684=""), "", INDEX(LookUps!$E$5:$E$12, MATCH(OpenLCAbasic!K7684,LookUps!$D$5:$D$12,0))))</f>
        <v>Global Warming Potential (GWP) - kg CO2 eq</v>
      </c>
      <c r="M7684" s="154" t="str">
        <f t="shared" si="597"/>
        <v>High_High_Low_Upgraded_Global Warming Potential (GWP) - kg CO2 eq_Wet Well and Sump Station; wastewater treatment unit; at updated plant - US_Without Amendment_Windrow</v>
      </c>
    </row>
    <row r="7685" spans="1:13" s="120" customFormat="1" x14ac:dyDescent="0.25">
      <c r="A7685" s="119"/>
      <c r="B7685" s="138" t="str">
        <f t="shared" si="594"/>
        <v>Windrow</v>
      </c>
      <c r="C7685" s="138" t="str">
        <f t="shared" si="598"/>
        <v>Without Amendment</v>
      </c>
      <c r="D7685" s="138" t="str">
        <f t="shared" si="596"/>
        <v>High_Low</v>
      </c>
      <c r="E7685" s="138" t="str">
        <f t="shared" si="593"/>
        <v>High</v>
      </c>
      <c r="F7685" s="138" t="str">
        <f t="shared" si="595"/>
        <v>Upgraded</v>
      </c>
      <c r="G7685" s="153"/>
      <c r="H7685" s="210">
        <v>1.3899999999999999E-2</v>
      </c>
      <c r="I7685" s="160" t="s">
        <v>60</v>
      </c>
      <c r="J7685" s="160">
        <v>2.7820000000000001E-2</v>
      </c>
      <c r="K7685" s="160" t="s">
        <v>23</v>
      </c>
      <c r="L7685" s="154" t="str">
        <f>IF(OpenLCAbasic!K7685="CTUh", "Fill in Manually",IF(OR(K7685="Unit", K7685=""), "", INDEX(LookUps!$E$5:$E$12, MATCH(OpenLCAbasic!K7685,LookUps!$D$5:$D$12,0))))</f>
        <v>Global Warming Potential (GWP) - kg CO2 eq</v>
      </c>
      <c r="M7685" s="154" t="str">
        <f t="shared" si="597"/>
        <v>High_High_Low_Upgraded_Global Warming Potential (GWP) - kg CO2 eq_Belt filter press; wastewater treatment unit; at updated plant - US_Without Amendment_Windrow</v>
      </c>
    </row>
    <row r="7686" spans="1:13" s="120" customFormat="1" x14ac:dyDescent="0.25">
      <c r="A7686" s="119"/>
      <c r="B7686" s="138" t="str">
        <f t="shared" si="594"/>
        <v>Windrow</v>
      </c>
      <c r="C7686" s="138" t="str">
        <f t="shared" si="598"/>
        <v>Without Amendment</v>
      </c>
      <c r="D7686" s="138" t="str">
        <f t="shared" si="596"/>
        <v>High_Low</v>
      </c>
      <c r="E7686" s="138" t="str">
        <f t="shared" si="593"/>
        <v>High</v>
      </c>
      <c r="F7686" s="138" t="str">
        <f t="shared" si="595"/>
        <v>Upgraded</v>
      </c>
      <c r="G7686" s="153"/>
      <c r="H7686" s="210">
        <v>7.3000000000000001E-3</v>
      </c>
      <c r="I7686" s="160" t="s">
        <v>57</v>
      </c>
      <c r="J7686" s="160">
        <v>1.455E-2</v>
      </c>
      <c r="K7686" s="160" t="s">
        <v>23</v>
      </c>
      <c r="L7686" s="154" t="str">
        <f>IF(OpenLCAbasic!K7686="CTUh", "Fill in Manually",IF(OR(K7686="Unit", K7686=""), "", INDEX(LookUps!$E$5:$E$12, MATCH(OpenLCAbasic!K7686,LookUps!$D$5:$D$12,0))))</f>
        <v>Global Warming Potential (GWP) - kg CO2 eq</v>
      </c>
      <c r="M7686" s="154" t="str">
        <f t="shared" si="597"/>
        <v>High_High_Low_Upgraded_Global Warming Potential (GWP) - kg CO2 eq_Gravity Belt Thickener; wastewater treatment unit; at updated plant - US_Without Amendment_Windrow</v>
      </c>
    </row>
    <row r="7687" spans="1:13" s="120" customFormat="1" x14ac:dyDescent="0.25">
      <c r="A7687" s="119"/>
      <c r="B7687" s="138" t="str">
        <f t="shared" si="594"/>
        <v>Windrow</v>
      </c>
      <c r="C7687" s="138" t="str">
        <f t="shared" si="598"/>
        <v>Without Amendment</v>
      </c>
      <c r="D7687" s="138" t="str">
        <f t="shared" si="596"/>
        <v>High_Low</v>
      </c>
      <c r="E7687" s="138" t="str">
        <f t="shared" si="593"/>
        <v>High</v>
      </c>
      <c r="F7687" s="138" t="str">
        <f t="shared" si="595"/>
        <v>Upgraded</v>
      </c>
      <c r="G7687" s="153"/>
      <c r="H7687" s="210">
        <v>6.7000000000000002E-3</v>
      </c>
      <c r="I7687" s="160" t="s">
        <v>128</v>
      </c>
      <c r="J7687" s="160">
        <v>1.3509999999999999E-2</v>
      </c>
      <c r="K7687" s="160" t="s">
        <v>23</v>
      </c>
      <c r="L7687" s="154" t="str">
        <f>IF(OpenLCAbasic!K7687="CTUh", "Fill in Manually",IF(OR(K7687="Unit", K7687=""), "", INDEX(LookUps!$E$5:$E$12, MATCH(OpenLCAbasic!K7687,LookUps!$D$5:$D$12,0))))</f>
        <v>Global Warming Potential (GWP) - kg CO2 eq</v>
      </c>
      <c r="M7687" s="154" t="str">
        <f t="shared" si="597"/>
        <v>High_High_Low_Upgraded_Global Warming Potential (GWP) - kg CO2 eq_Wastewater collection; operation and infrastructure; m3 wastewater_Without Amendment_Windrow</v>
      </c>
    </row>
    <row r="7688" spans="1:13" s="120" customFormat="1" x14ac:dyDescent="0.25">
      <c r="A7688" s="119"/>
      <c r="B7688" s="138" t="str">
        <f t="shared" si="594"/>
        <v>Windrow</v>
      </c>
      <c r="C7688" s="138" t="str">
        <f t="shared" si="598"/>
        <v>Without Amendment</v>
      </c>
      <c r="D7688" s="138" t="str">
        <f t="shared" si="596"/>
        <v>High_Low</v>
      </c>
      <c r="E7688" s="138" t="str">
        <f t="shared" si="593"/>
        <v>High</v>
      </c>
      <c r="F7688" s="138" t="str">
        <f t="shared" si="595"/>
        <v>Upgraded</v>
      </c>
      <c r="G7688" s="153"/>
      <c r="H7688" s="210">
        <v>4.1000000000000003E-3</v>
      </c>
      <c r="I7688" s="160" t="s">
        <v>148</v>
      </c>
      <c r="J7688" s="160">
        <v>8.3000000000000001E-3</v>
      </c>
      <c r="K7688" s="160" t="s">
        <v>23</v>
      </c>
      <c r="L7688" s="154" t="str">
        <f>IF(OpenLCAbasic!K7688="CTUh", "Fill in Manually",IF(OR(K7688="Unit", K7688=""), "", INDEX(LookUps!$E$5:$E$12, MATCH(OpenLCAbasic!K7688,LookUps!$D$5:$D$12,0))))</f>
        <v>Global Warming Potential (GWP) - kg CO2 eq</v>
      </c>
      <c r="M7688" s="154" t="str">
        <f t="shared" si="597"/>
        <v>High_High_Low_Upgraded_Global Warming Potential (GWP) - kg CO2 eq_Control Building; at upgraded wastewater treatment plant - US_Without Amendment_Windrow</v>
      </c>
    </row>
    <row r="7689" spans="1:13" s="120" customFormat="1" x14ac:dyDescent="0.25">
      <c r="A7689" s="119"/>
      <c r="B7689" s="138" t="str">
        <f t="shared" si="594"/>
        <v>Windrow</v>
      </c>
      <c r="C7689" s="138" t="str">
        <f t="shared" si="598"/>
        <v>Without Amendment</v>
      </c>
      <c r="D7689" s="138" t="str">
        <f t="shared" si="596"/>
        <v>High_Low</v>
      </c>
      <c r="E7689" s="138" t="str">
        <f t="shared" ref="E7689:E7752" si="599">IF(ISNUMBER($J7689),"High","")</f>
        <v>High</v>
      </c>
      <c r="F7689" s="138" t="str">
        <f t="shared" si="595"/>
        <v>Upgraded</v>
      </c>
      <c r="G7689" s="153"/>
      <c r="H7689" s="210">
        <v>2.5000000000000001E-3</v>
      </c>
      <c r="I7689" s="160" t="s">
        <v>59</v>
      </c>
      <c r="J7689" s="160">
        <v>5.0400000000000002E-3</v>
      </c>
      <c r="K7689" s="160" t="s">
        <v>23</v>
      </c>
      <c r="L7689" s="154" t="str">
        <f>IF(OpenLCAbasic!K7689="CTUh", "Fill in Manually",IF(OR(K7689="Unit", K7689=""), "", INDEX(LookUps!$E$5:$E$12, MATCH(OpenLCAbasic!K7689,LookUps!$D$5:$D$12,0))))</f>
        <v>Global Warming Potential (GWP) - kg CO2 eq</v>
      </c>
      <c r="M7689" s="154" t="str">
        <f t="shared" si="597"/>
        <v>High_High_Low_Upgraded_Global Warming Potential (GWP) - kg CO2 eq_Blend Tank; wastewater treatment unit; at updated plant - US_Without Amendment_Windrow</v>
      </c>
    </row>
    <row r="7690" spans="1:13" s="120" customFormat="1" x14ac:dyDescent="0.25">
      <c r="A7690" s="119"/>
      <c r="B7690" s="138" t="str">
        <f t="shared" si="594"/>
        <v>Windrow</v>
      </c>
      <c r="C7690" s="138" t="str">
        <f t="shared" si="598"/>
        <v>Without Amendment</v>
      </c>
      <c r="D7690" s="138" t="str">
        <f t="shared" si="596"/>
        <v>High_Low</v>
      </c>
      <c r="E7690" s="138" t="str">
        <f t="shared" si="599"/>
        <v>High</v>
      </c>
      <c r="F7690" s="138" t="str">
        <f t="shared" si="595"/>
        <v>Upgraded</v>
      </c>
      <c r="G7690" s="153"/>
      <c r="H7690" s="210">
        <v>1.1999999999999999E-3</v>
      </c>
      <c r="I7690" s="160" t="s">
        <v>168</v>
      </c>
      <c r="J7690" s="160">
        <v>2.4099999999999998E-3</v>
      </c>
      <c r="K7690" s="160" t="s">
        <v>23</v>
      </c>
      <c r="L7690" s="154" t="str">
        <f>IF(OpenLCAbasic!K7690="CTUh", "Fill in Manually",IF(OR(K7690="Unit", K7690=""), "", INDEX(LookUps!$E$5:$E$12, MATCH(OpenLCAbasic!K7690,LookUps!$D$5:$D$12,0))))</f>
        <v>Global Warming Potential (GWP) - kg CO2 eq</v>
      </c>
      <c r="M7690" s="154" t="str">
        <f t="shared" si="597"/>
        <v>High_High_Low_Upgraded_Global Warming Potential (GWP) - kg CO2 eq_ClearCove SCP; wastewater treatment unit; at updated plant - US_Without Amendment_Windrow</v>
      </c>
    </row>
    <row r="7691" spans="1:13" s="120" customFormat="1" x14ac:dyDescent="0.25">
      <c r="A7691" s="119"/>
      <c r="B7691" s="138" t="str">
        <f t="shared" si="594"/>
        <v>Windrow</v>
      </c>
      <c r="C7691" s="138" t="str">
        <f t="shared" si="598"/>
        <v>Without Amendment</v>
      </c>
      <c r="D7691" s="138" t="str">
        <f t="shared" si="596"/>
        <v>High_Low</v>
      </c>
      <c r="E7691" s="138" t="str">
        <f t="shared" si="599"/>
        <v>High</v>
      </c>
      <c r="F7691" s="138" t="str">
        <f t="shared" si="595"/>
        <v>Upgraded</v>
      </c>
      <c r="G7691" s="153"/>
      <c r="H7691" s="210">
        <v>-8.5000000000000006E-2</v>
      </c>
      <c r="I7691" s="160" t="s">
        <v>149</v>
      </c>
      <c r="J7691" s="160">
        <v>-0.17055999999999999</v>
      </c>
      <c r="K7691" s="160" t="s">
        <v>23</v>
      </c>
      <c r="L7691" s="154" t="str">
        <f>IF(OpenLCAbasic!K7691="CTUh", "Fill in Manually",IF(OR(K7691="Unit", K7691=""), "", INDEX(LookUps!$E$5:$E$12, MATCH(OpenLCAbasic!K7691,LookUps!$D$5:$D$12,0))))</f>
        <v>Global Warming Potential (GWP) - kg CO2 eq</v>
      </c>
      <c r="M7691" s="154" t="str">
        <f t="shared" si="597"/>
        <v>High_High_Low_Upgraded_Global Warming Potential (GWP) - kg CO2 eq_Anaerobic Digestion; wastewater treatment unit; at updated plant - US_Without Amendment_Windrow</v>
      </c>
    </row>
    <row r="7692" spans="1:13" s="120" customFormat="1" x14ac:dyDescent="0.25">
      <c r="A7692" s="119"/>
      <c r="B7692" s="138" t="str">
        <f t="shared" si="594"/>
        <v>Windrow</v>
      </c>
      <c r="C7692" s="138" t="str">
        <f t="shared" si="598"/>
        <v>Without Amendment</v>
      </c>
      <c r="D7692" s="138" t="str">
        <f t="shared" si="596"/>
        <v>High_Low</v>
      </c>
      <c r="E7692" s="138" t="str">
        <f t="shared" si="599"/>
        <v>High</v>
      </c>
      <c r="F7692" s="138" t="str">
        <f t="shared" si="595"/>
        <v>Upgraded</v>
      </c>
      <c r="G7692" s="153"/>
      <c r="H7692" s="210">
        <v>-0.1502</v>
      </c>
      <c r="I7692" s="160" t="s">
        <v>62</v>
      </c>
      <c r="J7692" s="160">
        <v>-0.30152000000000001</v>
      </c>
      <c r="K7692" s="160" t="s">
        <v>23</v>
      </c>
      <c r="L7692" s="154" t="str">
        <f>IF(OpenLCAbasic!K7692="CTUh", "Fill in Manually",IF(OR(K7692="Unit", K7692=""), "", INDEX(LookUps!$E$5:$E$12, MATCH(OpenLCAbasic!K7692,LookUps!$D$5:$D$12,0))))</f>
        <v>Global Warming Potential (GWP) - kg CO2 eq</v>
      </c>
      <c r="M7692" s="154" t="str">
        <f t="shared" si="597"/>
        <v>High_High_Low_Upgraded_Global Warming Potential (GWP) - kg CO2 eq_Land application of compost; wastewater treatment unit; at updated plant - US_Without Amendment_Windrow</v>
      </c>
    </row>
    <row r="7693" spans="1:13" s="120" customFormat="1" x14ac:dyDescent="0.25">
      <c r="A7693" s="119"/>
      <c r="B7693" s="138" t="str">
        <f t="shared" si="594"/>
        <v/>
      </c>
      <c r="C7693" s="138" t="str">
        <f t="shared" si="598"/>
        <v/>
      </c>
      <c r="D7693" s="138" t="str">
        <f t="shared" si="596"/>
        <v/>
      </c>
      <c r="E7693" s="138" t="str">
        <f t="shared" si="599"/>
        <v/>
      </c>
      <c r="F7693" s="138" t="str">
        <f t="shared" si="595"/>
        <v/>
      </c>
      <c r="G7693" s="153" t="s">
        <v>51</v>
      </c>
      <c r="H7693" s="160"/>
      <c r="I7693" s="160" t="s">
        <v>47</v>
      </c>
      <c r="J7693" s="160" t="s">
        <v>52</v>
      </c>
      <c r="K7693" s="160" t="s">
        <v>27</v>
      </c>
      <c r="L7693" s="154" t="str">
        <f>IF(OpenLCAbasic!K7693="CTUh", "Fill in Manually",IF(OR(K7693="Unit", K7693=""), "", INDEX(LookUps!$E$5:$E$12, MATCH(OpenLCAbasic!K7693,LookUps!$D$5:$D$12,0))))</f>
        <v/>
      </c>
      <c r="M7693" s="154" t="str">
        <f t="shared" si="597"/>
        <v>____Process__</v>
      </c>
    </row>
    <row r="7694" spans="1:13" s="120" customFormat="1" x14ac:dyDescent="0.25">
      <c r="A7694" s="119"/>
      <c r="B7694" s="138" t="str">
        <f t="shared" si="594"/>
        <v>Windrow</v>
      </c>
      <c r="C7694" s="138" t="str">
        <f t="shared" si="598"/>
        <v>Without Amendment</v>
      </c>
      <c r="D7694" s="138" t="str">
        <f t="shared" si="596"/>
        <v>High_Low</v>
      </c>
      <c r="E7694" s="138" t="str">
        <f t="shared" si="599"/>
        <v>High</v>
      </c>
      <c r="F7694" s="138" t="str">
        <f t="shared" si="595"/>
        <v>Upgraded</v>
      </c>
      <c r="G7694" s="153"/>
      <c r="H7694" s="210">
        <v>0.56589999999999996</v>
      </c>
      <c r="I7694" s="160" t="s">
        <v>55</v>
      </c>
      <c r="J7694" s="160">
        <v>2.33E-3</v>
      </c>
      <c r="K7694" s="160" t="s">
        <v>145</v>
      </c>
      <c r="L7694" s="154" t="str">
        <f>IF(OpenLCAbasic!K7694="CTUh", "Fill in Manually",IF(OR(K7694="Unit", K7694=""), "", INDEX(LookUps!$E$5:$E$12, MATCH(OpenLCAbasic!K7694,LookUps!$D$5:$D$12,0))))</f>
        <v>Particulate Matter Formation Potential (PMFP) - kg PM2.5 eq</v>
      </c>
      <c r="M7694" s="154" t="str">
        <f t="shared" si="597"/>
        <v>High_High_Low_Upgraded_Particulate Matter Formation Potential (PMFP) - kg PM2.5 eq_Aeration Tanks; wastewater treatment unit; at updated plant - US_Without Amendment_Windrow</v>
      </c>
    </row>
    <row r="7695" spans="1:13" s="120" customFormat="1" x14ac:dyDescent="0.25">
      <c r="A7695" s="119"/>
      <c r="B7695" s="138" t="str">
        <f t="shared" si="594"/>
        <v>Windrow</v>
      </c>
      <c r="C7695" s="138" t="str">
        <f t="shared" si="598"/>
        <v>Without Amendment</v>
      </c>
      <c r="D7695" s="138" t="str">
        <f t="shared" si="596"/>
        <v>High_Low</v>
      </c>
      <c r="E7695" s="138" t="str">
        <f t="shared" si="599"/>
        <v>High</v>
      </c>
      <c r="F7695" s="138" t="str">
        <f t="shared" si="595"/>
        <v>Upgraded</v>
      </c>
      <c r="G7695" s="153"/>
      <c r="H7695" s="210">
        <v>0.16470000000000001</v>
      </c>
      <c r="I7695" s="160" t="s">
        <v>54</v>
      </c>
      <c r="J7695" s="160">
        <v>6.8000000000000005E-4</v>
      </c>
      <c r="K7695" s="160" t="s">
        <v>145</v>
      </c>
      <c r="L7695" s="154" t="str">
        <f>IF(OpenLCAbasic!K7695="CTUh", "Fill in Manually",IF(OR(K7695="Unit", K7695=""), "", INDEX(LookUps!$E$5:$E$12, MATCH(OpenLCAbasic!K7695,LookUps!$D$5:$D$12,0))))</f>
        <v>Particulate Matter Formation Potential (PMFP) - kg PM2.5 eq</v>
      </c>
      <c r="M7695" s="154" t="str">
        <f t="shared" si="597"/>
        <v>High_High_Low_Upgraded_Particulate Matter Formation Potential (PMFP) - kg PM2.5 eq_Clear Cove Primary Clarification; wastewater treatment unit; at updated plant - US_Without Amendment_Windrow</v>
      </c>
    </row>
    <row r="7696" spans="1:13" s="120" customFormat="1" x14ac:dyDescent="0.25">
      <c r="A7696" s="119"/>
      <c r="B7696" s="138" t="str">
        <f t="shared" si="594"/>
        <v>Windrow</v>
      </c>
      <c r="C7696" s="138" t="str">
        <f t="shared" si="598"/>
        <v>Without Amendment</v>
      </c>
      <c r="D7696" s="138" t="str">
        <f t="shared" si="596"/>
        <v>High_Low</v>
      </c>
      <c r="E7696" s="138" t="str">
        <f t="shared" si="599"/>
        <v>High</v>
      </c>
      <c r="F7696" s="138" t="str">
        <f t="shared" si="595"/>
        <v>Upgraded</v>
      </c>
      <c r="G7696" s="153"/>
      <c r="H7696" s="210">
        <v>0.14330000000000001</v>
      </c>
      <c r="I7696" s="160" t="s">
        <v>58</v>
      </c>
      <c r="J7696" s="160">
        <v>5.9000000000000003E-4</v>
      </c>
      <c r="K7696" s="160" t="s">
        <v>145</v>
      </c>
      <c r="L7696" s="154" t="str">
        <f>IF(OpenLCAbasic!K7696="CTUh", "Fill in Manually",IF(OR(K7696="Unit", K7696=""), "", INDEX(LookUps!$E$5:$E$12, MATCH(OpenLCAbasic!K7696,LookUps!$D$5:$D$12,0))))</f>
        <v>Particulate Matter Formation Potential (PMFP) - kg PM2.5 eq</v>
      </c>
      <c r="M7696" s="154" t="str">
        <f t="shared" si="597"/>
        <v>High_High_Low_Upgraded_Particulate Matter Formation Potential (PMFP) - kg PM2.5 eq_Pre-Anoxic &amp; Swing tank; wastewater treatment unit; at updated plant - US_Without Amendment_Windrow</v>
      </c>
    </row>
    <row r="7697" spans="1:13" s="120" customFormat="1" x14ac:dyDescent="0.25">
      <c r="A7697" s="119"/>
      <c r="B7697" s="138" t="str">
        <f t="shared" si="594"/>
        <v>Windrow</v>
      </c>
      <c r="C7697" s="138" t="str">
        <f t="shared" si="598"/>
        <v>Without Amendment</v>
      </c>
      <c r="D7697" s="138" t="str">
        <f t="shared" si="596"/>
        <v>High_Low</v>
      </c>
      <c r="E7697" s="138" t="str">
        <f t="shared" si="599"/>
        <v>High</v>
      </c>
      <c r="F7697" s="138" t="str">
        <f t="shared" si="595"/>
        <v>Upgraded</v>
      </c>
      <c r="G7697" s="153"/>
      <c r="H7697" s="210">
        <v>0.129</v>
      </c>
      <c r="I7697" s="160" t="s">
        <v>271</v>
      </c>
      <c r="J7697" s="160">
        <v>5.2999999999999998E-4</v>
      </c>
      <c r="K7697" s="160" t="s">
        <v>145</v>
      </c>
      <c r="L7697" s="154" t="str">
        <f>IF(OpenLCAbasic!K7697="CTUh", "Fill in Manually",IF(OR(K7697="Unit", K7697=""), "", INDEX(LookUps!$E$5:$E$12, MATCH(OpenLCAbasic!K7697,LookUps!$D$5:$D$12,0))))</f>
        <v>Particulate Matter Formation Potential (PMFP) - kg PM2.5 eq</v>
      </c>
      <c r="M7697" s="154" t="str">
        <f t="shared" si="597"/>
        <v>High_High_Low_Upgraded_Particulate Matter Formation Potential (PMFP) - kg PM2.5 eq_Biosolids composting; windrow composting; wastewater treatment unit; at updated plant - US_Without Amendment_Windrow</v>
      </c>
    </row>
    <row r="7698" spans="1:13" s="120" customFormat="1" x14ac:dyDescent="0.25">
      <c r="A7698" s="119"/>
      <c r="B7698" s="138" t="str">
        <f t="shared" si="594"/>
        <v>Windrow</v>
      </c>
      <c r="C7698" s="138" t="str">
        <f t="shared" si="598"/>
        <v>Without Amendment</v>
      </c>
      <c r="D7698" s="138" t="str">
        <f t="shared" si="596"/>
        <v>High_Low</v>
      </c>
      <c r="E7698" s="138" t="str">
        <f t="shared" si="599"/>
        <v>High</v>
      </c>
      <c r="F7698" s="138" t="str">
        <f t="shared" si="595"/>
        <v>Upgraded</v>
      </c>
      <c r="G7698" s="153"/>
      <c r="H7698" s="210">
        <v>0.11310000000000001</v>
      </c>
      <c r="I7698" s="160" t="s">
        <v>53</v>
      </c>
      <c r="J7698" s="160">
        <v>4.6999999999999999E-4</v>
      </c>
      <c r="K7698" s="160" t="s">
        <v>145</v>
      </c>
      <c r="L7698" s="154" t="str">
        <f>IF(OpenLCAbasic!K7698="CTUh", "Fill in Manually",IF(OR(K7698="Unit", K7698=""), "", INDEX(LookUps!$E$5:$E$12, MATCH(OpenLCAbasic!K7698,LookUps!$D$5:$D$12,0))))</f>
        <v>Particulate Matter Formation Potential (PMFP) - kg PM2.5 eq</v>
      </c>
      <c r="M7698" s="154" t="str">
        <f t="shared" si="597"/>
        <v>High_High_Low_Upgraded_Particulate Matter Formation Potential (PMFP) - kg PM2.5 eq_Wet Well and Sump Station; wastewater treatment unit; at updated plant - US_Without Amendment_Windrow</v>
      </c>
    </row>
    <row r="7699" spans="1:13" s="120" customFormat="1" x14ac:dyDescent="0.25">
      <c r="A7699" s="119"/>
      <c r="B7699" s="138" t="str">
        <f t="shared" si="594"/>
        <v>Windrow</v>
      </c>
      <c r="C7699" s="138" t="str">
        <f t="shared" si="598"/>
        <v>Without Amendment</v>
      </c>
      <c r="D7699" s="138" t="str">
        <f t="shared" si="596"/>
        <v>High_Low</v>
      </c>
      <c r="E7699" s="138" t="str">
        <f t="shared" si="599"/>
        <v>High</v>
      </c>
      <c r="F7699" s="138" t="str">
        <f t="shared" si="595"/>
        <v>Upgraded</v>
      </c>
      <c r="G7699" s="153"/>
      <c r="H7699" s="210">
        <v>8.0399999999999999E-2</v>
      </c>
      <c r="I7699" s="160" t="s">
        <v>167</v>
      </c>
      <c r="J7699" s="160">
        <v>3.3E-4</v>
      </c>
      <c r="K7699" s="160" t="s">
        <v>145</v>
      </c>
      <c r="L7699" s="154" t="str">
        <f>IF(OpenLCAbasic!K7699="CTUh", "Fill in Manually",IF(OR(K7699="Unit", K7699=""), "", INDEX(LookUps!$E$5:$E$12, MATCH(OpenLCAbasic!K7699,LookUps!$D$5:$D$12,0))))</f>
        <v>Particulate Matter Formation Potential (PMFP) - kg PM2.5 eq</v>
      </c>
      <c r="M7699" s="154" t="str">
        <f t="shared" si="597"/>
        <v>High_High_Low_Upgraded_Particulate Matter Formation Potential (PMFP) - kg PM2.5 eq_Waste Receiving and Holding; wastewater treatment unit; at updated plant - US_Without Amendment_Windrow</v>
      </c>
    </row>
    <row r="7700" spans="1:13" s="120" customFormat="1" x14ac:dyDescent="0.25">
      <c r="A7700" s="119"/>
      <c r="B7700" s="138" t="str">
        <f t="shared" si="594"/>
        <v>Windrow</v>
      </c>
      <c r="C7700" s="138" t="str">
        <f t="shared" si="598"/>
        <v>Without Amendment</v>
      </c>
      <c r="D7700" s="138" t="str">
        <f t="shared" si="596"/>
        <v>High_Low</v>
      </c>
      <c r="E7700" s="138" t="str">
        <f t="shared" si="599"/>
        <v>High</v>
      </c>
      <c r="F7700" s="138" t="str">
        <f t="shared" si="595"/>
        <v>Upgraded</v>
      </c>
      <c r="G7700" s="153"/>
      <c r="H7700" s="210">
        <v>6.4699999999999994E-2</v>
      </c>
      <c r="I7700" s="160" t="s">
        <v>147</v>
      </c>
      <c r="J7700" s="160">
        <v>2.7E-4</v>
      </c>
      <c r="K7700" s="160" t="s">
        <v>145</v>
      </c>
      <c r="L7700" s="154" t="str">
        <f>IF(OpenLCAbasic!K7700="CTUh", "Fill in Manually",IF(OR(K7700="Unit", K7700=""), "", INDEX(LookUps!$E$5:$E$12, MATCH(OpenLCAbasic!K7700,LookUps!$D$5:$D$12,0))))</f>
        <v>Particulate Matter Formation Potential (PMFP) - kg PM2.5 eq</v>
      </c>
      <c r="M7700" s="154" t="str">
        <f t="shared" si="597"/>
        <v>High_High_Low_Upgraded_Particulate Matter Formation Potential (PMFP) - kg PM2.5 eq_Influent Pump Station; wastewater treatment unit; at updated plant - US_Without Amendment_Windrow</v>
      </c>
    </row>
    <row r="7701" spans="1:13" s="120" customFormat="1" x14ac:dyDescent="0.25">
      <c r="A7701" s="119"/>
      <c r="B7701" s="138" t="str">
        <f t="shared" si="594"/>
        <v>Windrow</v>
      </c>
      <c r="C7701" s="138" t="str">
        <f t="shared" si="598"/>
        <v>Without Amendment</v>
      </c>
      <c r="D7701" s="138" t="str">
        <f t="shared" si="596"/>
        <v>High_Low</v>
      </c>
      <c r="E7701" s="138" t="str">
        <f t="shared" si="599"/>
        <v>High</v>
      </c>
      <c r="F7701" s="138" t="str">
        <f t="shared" si="595"/>
        <v>Upgraded</v>
      </c>
      <c r="G7701" s="153"/>
      <c r="H7701" s="210">
        <v>5.5100000000000003E-2</v>
      </c>
      <c r="I7701" s="160" t="s">
        <v>60</v>
      </c>
      <c r="J7701" s="160">
        <v>2.3000000000000001E-4</v>
      </c>
      <c r="K7701" s="160" t="s">
        <v>145</v>
      </c>
      <c r="L7701" s="154" t="str">
        <f>IF(OpenLCAbasic!K7701="CTUh", "Fill in Manually",IF(OR(K7701="Unit", K7701=""), "", INDEX(LookUps!$E$5:$E$12, MATCH(OpenLCAbasic!K7701,LookUps!$D$5:$D$12,0))))</f>
        <v>Particulate Matter Formation Potential (PMFP) - kg PM2.5 eq</v>
      </c>
      <c r="M7701" s="154" t="str">
        <f t="shared" si="597"/>
        <v>High_High_Low_Upgraded_Particulate Matter Formation Potential (PMFP) - kg PM2.5 eq_Belt filter press; wastewater treatment unit; at updated plant - US_Without Amendment_Windrow</v>
      </c>
    </row>
    <row r="7702" spans="1:13" s="120" customFormat="1" x14ac:dyDescent="0.25">
      <c r="A7702" s="119"/>
      <c r="B7702" s="138" t="str">
        <f t="shared" si="594"/>
        <v>Windrow</v>
      </c>
      <c r="C7702" s="138" t="str">
        <f t="shared" si="598"/>
        <v>Without Amendment</v>
      </c>
      <c r="D7702" s="138" t="str">
        <f t="shared" si="596"/>
        <v>High_Low</v>
      </c>
      <c r="E7702" s="138" t="str">
        <f t="shared" si="599"/>
        <v>High</v>
      </c>
      <c r="F7702" s="138" t="str">
        <f t="shared" si="595"/>
        <v>Upgraded</v>
      </c>
      <c r="G7702" s="153"/>
      <c r="H7702" s="210">
        <v>4.0399999999999998E-2</v>
      </c>
      <c r="I7702" s="160" t="s">
        <v>128</v>
      </c>
      <c r="J7702" s="160">
        <v>1.7000000000000001E-4</v>
      </c>
      <c r="K7702" s="160" t="s">
        <v>145</v>
      </c>
      <c r="L7702" s="154" t="str">
        <f>IF(OpenLCAbasic!K7702="CTUh", "Fill in Manually",IF(OR(K7702="Unit", K7702=""), "", INDEX(LookUps!$E$5:$E$12, MATCH(OpenLCAbasic!K7702,LookUps!$D$5:$D$12,0))))</f>
        <v>Particulate Matter Formation Potential (PMFP) - kg PM2.5 eq</v>
      </c>
      <c r="M7702" s="154" t="str">
        <f t="shared" si="597"/>
        <v>High_High_Low_Upgraded_Particulate Matter Formation Potential (PMFP) - kg PM2.5 eq_Wastewater collection; operation and infrastructure; m3 wastewater_Without Amendment_Windrow</v>
      </c>
    </row>
    <row r="7703" spans="1:13" s="120" customFormat="1" x14ac:dyDescent="0.25">
      <c r="A7703" s="119"/>
      <c r="B7703" s="138" t="str">
        <f t="shared" si="594"/>
        <v>Windrow</v>
      </c>
      <c r="C7703" s="138" t="str">
        <f t="shared" si="598"/>
        <v>Without Amendment</v>
      </c>
      <c r="D7703" s="138" t="str">
        <f t="shared" si="596"/>
        <v>High_Low</v>
      </c>
      <c r="E7703" s="138" t="str">
        <f t="shared" si="599"/>
        <v>High</v>
      </c>
      <c r="F7703" s="138" t="str">
        <f t="shared" si="595"/>
        <v>Upgraded</v>
      </c>
      <c r="G7703" s="153"/>
      <c r="H7703" s="210">
        <v>2.3099999999999999E-2</v>
      </c>
      <c r="I7703" s="160" t="s">
        <v>57</v>
      </c>
      <c r="J7703" s="211">
        <v>9.5153800000000004E-5</v>
      </c>
      <c r="K7703" s="160" t="s">
        <v>145</v>
      </c>
      <c r="L7703" s="154" t="str">
        <f>IF(OpenLCAbasic!K7703="CTUh", "Fill in Manually",IF(OR(K7703="Unit", K7703=""), "", INDEX(LookUps!$E$5:$E$12, MATCH(OpenLCAbasic!K7703,LookUps!$D$5:$D$12,0))))</f>
        <v>Particulate Matter Formation Potential (PMFP) - kg PM2.5 eq</v>
      </c>
      <c r="M7703" s="154" t="str">
        <f t="shared" si="597"/>
        <v>High_High_Low_Upgraded_Particulate Matter Formation Potential (PMFP) - kg PM2.5 eq_Gravity Belt Thickener; wastewater treatment unit; at updated plant - US_Without Amendment_Windrow</v>
      </c>
    </row>
    <row r="7704" spans="1:13" s="120" customFormat="1" x14ac:dyDescent="0.25">
      <c r="A7704" s="119"/>
      <c r="B7704" s="138" t="str">
        <f t="shared" si="594"/>
        <v>Windrow</v>
      </c>
      <c r="C7704" s="138" t="str">
        <f t="shared" si="598"/>
        <v>Without Amendment</v>
      </c>
      <c r="D7704" s="138" t="str">
        <f t="shared" si="596"/>
        <v>High_Low</v>
      </c>
      <c r="E7704" s="138" t="str">
        <f t="shared" si="599"/>
        <v>High</v>
      </c>
      <c r="F7704" s="138" t="str">
        <f t="shared" si="595"/>
        <v>Upgraded</v>
      </c>
      <c r="G7704" s="153"/>
      <c r="H7704" s="210">
        <v>1.7000000000000001E-2</v>
      </c>
      <c r="I7704" s="160" t="s">
        <v>59</v>
      </c>
      <c r="J7704" s="211">
        <v>6.9942200000000003E-5</v>
      </c>
      <c r="K7704" s="160" t="s">
        <v>145</v>
      </c>
      <c r="L7704" s="154" t="str">
        <f>IF(OpenLCAbasic!K7704="CTUh", "Fill in Manually",IF(OR(K7704="Unit", K7704=""), "", INDEX(LookUps!$E$5:$E$12, MATCH(OpenLCAbasic!K7704,LookUps!$D$5:$D$12,0))))</f>
        <v>Particulate Matter Formation Potential (PMFP) - kg PM2.5 eq</v>
      </c>
      <c r="M7704" s="154" t="str">
        <f t="shared" si="597"/>
        <v>High_High_Low_Upgraded_Particulate Matter Formation Potential (PMFP) - kg PM2.5 eq_Blend Tank; wastewater treatment unit; at updated plant - US_Without Amendment_Windrow</v>
      </c>
    </row>
    <row r="7705" spans="1:13" s="120" customFormat="1" x14ac:dyDescent="0.25">
      <c r="A7705" s="119"/>
      <c r="B7705" s="138" t="str">
        <f t="shared" si="594"/>
        <v>Windrow</v>
      </c>
      <c r="C7705" s="138" t="str">
        <f t="shared" si="598"/>
        <v>Without Amendment</v>
      </c>
      <c r="D7705" s="138" t="str">
        <f t="shared" si="596"/>
        <v>High_Low</v>
      </c>
      <c r="E7705" s="138" t="str">
        <f t="shared" si="599"/>
        <v>High</v>
      </c>
      <c r="F7705" s="138" t="str">
        <f t="shared" si="595"/>
        <v>Upgraded</v>
      </c>
      <c r="G7705" s="153"/>
      <c r="H7705" s="210">
        <v>1.24E-2</v>
      </c>
      <c r="I7705" s="160" t="s">
        <v>62</v>
      </c>
      <c r="J7705" s="211">
        <v>5.1302599999999999E-5</v>
      </c>
      <c r="K7705" s="160" t="s">
        <v>145</v>
      </c>
      <c r="L7705" s="154" t="str">
        <f>IF(OpenLCAbasic!K7705="CTUh", "Fill in Manually",IF(OR(K7705="Unit", K7705=""), "", INDEX(LookUps!$E$5:$E$12, MATCH(OpenLCAbasic!K7705,LookUps!$D$5:$D$12,0))))</f>
        <v>Particulate Matter Formation Potential (PMFP) - kg PM2.5 eq</v>
      </c>
      <c r="M7705" s="154" t="str">
        <f t="shared" si="597"/>
        <v>High_High_Low_Upgraded_Particulate Matter Formation Potential (PMFP) - kg PM2.5 eq_Land application of compost; wastewater treatment unit; at updated plant - US_Without Amendment_Windrow</v>
      </c>
    </row>
    <row r="7706" spans="1:13" s="120" customFormat="1" x14ac:dyDescent="0.25">
      <c r="A7706" s="119"/>
      <c r="B7706" s="138" t="str">
        <f t="shared" si="594"/>
        <v>Windrow</v>
      </c>
      <c r="C7706" s="138" t="str">
        <f t="shared" si="598"/>
        <v>Without Amendment</v>
      </c>
      <c r="D7706" s="138" t="str">
        <f t="shared" si="596"/>
        <v>High_Low</v>
      </c>
      <c r="E7706" s="138" t="str">
        <f t="shared" si="599"/>
        <v>High</v>
      </c>
      <c r="F7706" s="138" t="str">
        <f t="shared" si="595"/>
        <v>Upgraded</v>
      </c>
      <c r="G7706" s="153"/>
      <c r="H7706" s="210">
        <v>1.21E-2</v>
      </c>
      <c r="I7706" s="160" t="s">
        <v>48</v>
      </c>
      <c r="J7706" s="211">
        <v>4.99741E-5</v>
      </c>
      <c r="K7706" s="160" t="s">
        <v>145</v>
      </c>
      <c r="L7706" s="154" t="str">
        <f>IF(OpenLCAbasic!K7706="CTUh", "Fill in Manually",IF(OR(K7706="Unit", K7706=""), "", INDEX(LookUps!$E$5:$E$12, MATCH(OpenLCAbasic!K7706,LookUps!$D$5:$D$12,0))))</f>
        <v>Particulate Matter Formation Potential (PMFP) - kg PM2.5 eq</v>
      </c>
      <c r="M7706" s="154" t="str">
        <f t="shared" si="597"/>
        <v>High_High_Low_Upgraded_Particulate Matter Formation Potential (PMFP) - kg PM2.5 eq_Effluent release; wastewater treatment unit; at surface water; m3 wastewater - US_Without Amendment_Windrow</v>
      </c>
    </row>
    <row r="7707" spans="1:13" s="120" customFormat="1" x14ac:dyDescent="0.25">
      <c r="A7707" s="119"/>
      <c r="B7707" s="138" t="str">
        <f t="shared" si="594"/>
        <v>Windrow</v>
      </c>
      <c r="C7707" s="138" t="str">
        <f t="shared" si="598"/>
        <v>Without Amendment</v>
      </c>
      <c r="D7707" s="138" t="str">
        <f t="shared" si="596"/>
        <v>High_Low</v>
      </c>
      <c r="E7707" s="138" t="str">
        <f t="shared" si="599"/>
        <v>High</v>
      </c>
      <c r="F7707" s="138" t="str">
        <f t="shared" si="595"/>
        <v>Upgraded</v>
      </c>
      <c r="G7707" s="153"/>
      <c r="H7707" s="210">
        <v>8.3999999999999995E-3</v>
      </c>
      <c r="I7707" s="160" t="s">
        <v>168</v>
      </c>
      <c r="J7707" s="211">
        <v>3.4562199999999999E-5</v>
      </c>
      <c r="K7707" s="160" t="s">
        <v>145</v>
      </c>
      <c r="L7707" s="154" t="str">
        <f>IF(OpenLCAbasic!K7707="CTUh", "Fill in Manually",IF(OR(K7707="Unit", K7707=""), "", INDEX(LookUps!$E$5:$E$12, MATCH(OpenLCAbasic!K7707,LookUps!$D$5:$D$12,0))))</f>
        <v>Particulate Matter Formation Potential (PMFP) - kg PM2.5 eq</v>
      </c>
      <c r="M7707" s="154" t="str">
        <f t="shared" si="597"/>
        <v>High_High_Low_Upgraded_Particulate Matter Formation Potential (PMFP) - kg PM2.5 eq_ClearCove SCP; wastewater treatment unit; at updated plant - US_Without Amendment_Windrow</v>
      </c>
    </row>
    <row r="7708" spans="1:13" s="120" customFormat="1" x14ac:dyDescent="0.25">
      <c r="A7708" s="119"/>
      <c r="B7708" s="138" t="str">
        <f t="shared" si="594"/>
        <v>Windrow</v>
      </c>
      <c r="C7708" s="138" t="str">
        <f t="shared" si="598"/>
        <v>Without Amendment</v>
      </c>
      <c r="D7708" s="138" t="str">
        <f t="shared" si="596"/>
        <v>High_Low</v>
      </c>
      <c r="E7708" s="138" t="str">
        <f t="shared" si="599"/>
        <v>High</v>
      </c>
      <c r="F7708" s="138" t="str">
        <f t="shared" si="595"/>
        <v>Upgraded</v>
      </c>
      <c r="G7708" s="153"/>
      <c r="H7708" s="210">
        <v>2.0999999999999999E-3</v>
      </c>
      <c r="I7708" s="160" t="s">
        <v>148</v>
      </c>
      <c r="J7708" s="211">
        <v>8.8212999999999997E-6</v>
      </c>
      <c r="K7708" s="160" t="s">
        <v>145</v>
      </c>
      <c r="L7708" s="154" t="str">
        <f>IF(OpenLCAbasic!K7708="CTUh", "Fill in Manually",IF(OR(K7708="Unit", K7708=""), "", INDEX(LookUps!$E$5:$E$12, MATCH(OpenLCAbasic!K7708,LookUps!$D$5:$D$12,0))))</f>
        <v>Particulate Matter Formation Potential (PMFP) - kg PM2.5 eq</v>
      </c>
      <c r="M7708" s="154" t="str">
        <f t="shared" si="597"/>
        <v>High_High_Low_Upgraded_Particulate Matter Formation Potential (PMFP) - kg PM2.5 eq_Control Building; at upgraded wastewater treatment plant - US_Without Amendment_Windrow</v>
      </c>
    </row>
    <row r="7709" spans="1:13" s="120" customFormat="1" x14ac:dyDescent="0.25">
      <c r="A7709" s="119"/>
      <c r="B7709" s="138" t="str">
        <f t="shared" si="594"/>
        <v>Windrow</v>
      </c>
      <c r="C7709" s="138" t="str">
        <f t="shared" si="598"/>
        <v>Without Amendment</v>
      </c>
      <c r="D7709" s="138" t="str">
        <f t="shared" si="596"/>
        <v>High_Low</v>
      </c>
      <c r="E7709" s="138" t="str">
        <f t="shared" si="599"/>
        <v>High</v>
      </c>
      <c r="F7709" s="138" t="str">
        <f t="shared" si="595"/>
        <v>Upgraded</v>
      </c>
      <c r="G7709" s="153"/>
      <c r="H7709" s="210">
        <v>-0.43169999999999997</v>
      </c>
      <c r="I7709" s="160" t="s">
        <v>149</v>
      </c>
      <c r="J7709" s="160">
        <v>-1.7799999999999999E-3</v>
      </c>
      <c r="K7709" s="160" t="s">
        <v>145</v>
      </c>
      <c r="L7709" s="154" t="str">
        <f>IF(OpenLCAbasic!K7709="CTUh", "Fill in Manually",IF(OR(K7709="Unit", K7709=""), "", INDEX(LookUps!$E$5:$E$12, MATCH(OpenLCAbasic!K7709,LookUps!$D$5:$D$12,0))))</f>
        <v>Particulate Matter Formation Potential (PMFP) - kg PM2.5 eq</v>
      </c>
      <c r="M7709" s="154" t="str">
        <f t="shared" si="597"/>
        <v>High_High_Low_Upgraded_Particulate Matter Formation Potential (PMFP) - kg PM2.5 eq_Anaerobic Digestion; wastewater treatment unit; at updated plant - US_Without Amendment_Windrow</v>
      </c>
    </row>
    <row r="7710" spans="1:13" s="120" customFormat="1" x14ac:dyDescent="0.25">
      <c r="A7710" s="119"/>
      <c r="B7710" s="138" t="str">
        <f t="shared" si="594"/>
        <v/>
      </c>
      <c r="C7710" s="138" t="str">
        <f t="shared" si="598"/>
        <v/>
      </c>
      <c r="D7710" s="138" t="str">
        <f t="shared" si="596"/>
        <v/>
      </c>
      <c r="E7710" s="138" t="str">
        <f t="shared" si="599"/>
        <v/>
      </c>
      <c r="F7710" s="138" t="str">
        <f t="shared" si="595"/>
        <v/>
      </c>
      <c r="G7710" s="153" t="s">
        <v>51</v>
      </c>
      <c r="H7710" s="160"/>
      <c r="I7710" s="160" t="s">
        <v>47</v>
      </c>
      <c r="J7710" s="160" t="s">
        <v>52</v>
      </c>
      <c r="K7710" s="160" t="s">
        <v>27</v>
      </c>
      <c r="L7710" s="154" t="str">
        <f>IF(OpenLCAbasic!K7710="CTUh", "Fill in Manually",IF(OR(K7710="Unit", K7710=""), "", INDEX(LookUps!$E$5:$E$12, MATCH(OpenLCAbasic!K7710,LookUps!$D$5:$D$12,0))))</f>
        <v/>
      </c>
      <c r="M7710" s="154" t="str">
        <f t="shared" si="597"/>
        <v>____Process__</v>
      </c>
    </row>
    <row r="7711" spans="1:13" s="120" customFormat="1" x14ac:dyDescent="0.25">
      <c r="A7711" s="119"/>
      <c r="B7711" s="138" t="str">
        <f t="shared" si="594"/>
        <v>Windrow</v>
      </c>
      <c r="C7711" s="138" t="str">
        <f t="shared" si="598"/>
        <v>Without Amendment</v>
      </c>
      <c r="D7711" s="138" t="str">
        <f t="shared" si="596"/>
        <v>High_Low</v>
      </c>
      <c r="E7711" s="138" t="str">
        <f t="shared" si="599"/>
        <v>High</v>
      </c>
      <c r="F7711" s="138" t="str">
        <f t="shared" si="595"/>
        <v>Upgraded</v>
      </c>
      <c r="G7711" s="153"/>
      <c r="H7711" s="210">
        <v>0.64159999999999995</v>
      </c>
      <c r="I7711" s="160" t="s">
        <v>55</v>
      </c>
      <c r="J7711" s="160">
        <v>0.16577</v>
      </c>
      <c r="K7711" s="160" t="s">
        <v>25</v>
      </c>
      <c r="L7711" s="154" t="str">
        <f>IF(OpenLCAbasic!K7711="CTUh", "Fill in Manually",IF(OR(K7711="Unit", K7711=""), "", INDEX(LookUps!$E$5:$E$12, MATCH(OpenLCAbasic!K7711,LookUps!$D$5:$D$12,0))))</f>
        <v>Smog Formation Potential (SFP) - kg O3 eq</v>
      </c>
      <c r="M7711" s="154" t="str">
        <f t="shared" si="597"/>
        <v>High_High_Low_Upgraded_Smog Formation Potential (SFP) - kg O3 eq_Aeration Tanks; wastewater treatment unit; at updated plant - US_Without Amendment_Windrow</v>
      </c>
    </row>
    <row r="7712" spans="1:13" s="120" customFormat="1" x14ac:dyDescent="0.25">
      <c r="A7712" s="119"/>
      <c r="B7712" s="138" t="str">
        <f t="shared" si="594"/>
        <v>Windrow</v>
      </c>
      <c r="C7712" s="138" t="str">
        <f t="shared" si="598"/>
        <v>Without Amendment</v>
      </c>
      <c r="D7712" s="138" t="str">
        <f t="shared" si="596"/>
        <v>High_Low</v>
      </c>
      <c r="E7712" s="138" t="str">
        <f t="shared" si="599"/>
        <v>High</v>
      </c>
      <c r="F7712" s="138" t="str">
        <f t="shared" si="595"/>
        <v>Upgraded</v>
      </c>
      <c r="G7712" s="153"/>
      <c r="H7712" s="210">
        <v>0.18609999999999999</v>
      </c>
      <c r="I7712" s="160" t="s">
        <v>54</v>
      </c>
      <c r="J7712" s="160">
        <v>4.8070000000000002E-2</v>
      </c>
      <c r="K7712" s="160" t="s">
        <v>25</v>
      </c>
      <c r="L7712" s="154" t="str">
        <f>IF(OpenLCAbasic!K7712="CTUh", "Fill in Manually",IF(OR(K7712="Unit", K7712=""), "", INDEX(LookUps!$E$5:$E$12, MATCH(OpenLCAbasic!K7712,LookUps!$D$5:$D$12,0))))</f>
        <v>Smog Formation Potential (SFP) - kg O3 eq</v>
      </c>
      <c r="M7712" s="154" t="str">
        <f t="shared" si="597"/>
        <v>High_High_Low_Upgraded_Smog Formation Potential (SFP) - kg O3 eq_Clear Cove Primary Clarification; wastewater treatment unit; at updated plant - US_Without Amendment_Windrow</v>
      </c>
    </row>
    <row r="7713" spans="1:13" s="120" customFormat="1" x14ac:dyDescent="0.25">
      <c r="A7713" s="119"/>
      <c r="B7713" s="138" t="str">
        <f t="shared" si="594"/>
        <v>Windrow</v>
      </c>
      <c r="C7713" s="138" t="str">
        <f t="shared" si="598"/>
        <v>Without Amendment</v>
      </c>
      <c r="D7713" s="138" t="str">
        <f t="shared" si="596"/>
        <v>High_Low</v>
      </c>
      <c r="E7713" s="138" t="str">
        <f t="shared" si="599"/>
        <v>High</v>
      </c>
      <c r="F7713" s="138" t="str">
        <f t="shared" si="595"/>
        <v>Upgraded</v>
      </c>
      <c r="G7713" s="153"/>
      <c r="H7713" s="210">
        <v>0.16289999999999999</v>
      </c>
      <c r="I7713" s="160" t="s">
        <v>58</v>
      </c>
      <c r="J7713" s="160">
        <v>4.2090000000000002E-2</v>
      </c>
      <c r="K7713" s="160" t="s">
        <v>25</v>
      </c>
      <c r="L7713" s="154" t="str">
        <f>IF(OpenLCAbasic!K7713="CTUh", "Fill in Manually",IF(OR(K7713="Unit", K7713=""), "", INDEX(LookUps!$E$5:$E$12, MATCH(OpenLCAbasic!K7713,LookUps!$D$5:$D$12,0))))</f>
        <v>Smog Formation Potential (SFP) - kg O3 eq</v>
      </c>
      <c r="M7713" s="154" t="str">
        <f t="shared" si="597"/>
        <v>High_High_Low_Upgraded_Smog Formation Potential (SFP) - kg O3 eq_Pre-Anoxic &amp; Swing tank; wastewater treatment unit; at updated plant - US_Without Amendment_Windrow</v>
      </c>
    </row>
    <row r="7714" spans="1:13" s="120" customFormat="1" x14ac:dyDescent="0.25">
      <c r="A7714" s="119"/>
      <c r="B7714" s="138" t="str">
        <f t="shared" si="594"/>
        <v>Windrow</v>
      </c>
      <c r="C7714" s="138" t="str">
        <f t="shared" si="598"/>
        <v>Without Amendment</v>
      </c>
      <c r="D7714" s="138" t="str">
        <f t="shared" si="596"/>
        <v>High_Low</v>
      </c>
      <c r="E7714" s="138" t="str">
        <f t="shared" si="599"/>
        <v>High</v>
      </c>
      <c r="F7714" s="138" t="str">
        <f t="shared" si="595"/>
        <v>Upgraded</v>
      </c>
      <c r="G7714" s="153"/>
      <c r="H7714" s="210">
        <v>0.13070000000000001</v>
      </c>
      <c r="I7714" s="160" t="s">
        <v>167</v>
      </c>
      <c r="J7714" s="160">
        <v>3.3759999999999998E-2</v>
      </c>
      <c r="K7714" s="160" t="s">
        <v>25</v>
      </c>
      <c r="L7714" s="154" t="str">
        <f>IF(OpenLCAbasic!K7714="CTUh", "Fill in Manually",IF(OR(K7714="Unit", K7714=""), "", INDEX(LookUps!$E$5:$E$12, MATCH(OpenLCAbasic!K7714,LookUps!$D$5:$D$12,0))))</f>
        <v>Smog Formation Potential (SFP) - kg O3 eq</v>
      </c>
      <c r="M7714" s="154" t="str">
        <f t="shared" si="597"/>
        <v>High_High_Low_Upgraded_Smog Formation Potential (SFP) - kg O3 eq_Waste Receiving and Holding; wastewater treatment unit; at updated plant - US_Without Amendment_Windrow</v>
      </c>
    </row>
    <row r="7715" spans="1:13" s="120" customFormat="1" x14ac:dyDescent="0.25">
      <c r="A7715" s="119"/>
      <c r="B7715" s="138" t="str">
        <f t="shared" si="594"/>
        <v>Windrow</v>
      </c>
      <c r="C7715" s="138" t="str">
        <f t="shared" si="598"/>
        <v>Without Amendment</v>
      </c>
      <c r="D7715" s="138" t="str">
        <f t="shared" si="596"/>
        <v>High_Low</v>
      </c>
      <c r="E7715" s="138" t="str">
        <f t="shared" si="599"/>
        <v>High</v>
      </c>
      <c r="F7715" s="138" t="str">
        <f t="shared" si="595"/>
        <v>Upgraded</v>
      </c>
      <c r="G7715" s="153"/>
      <c r="H7715" s="210">
        <v>0.12820000000000001</v>
      </c>
      <c r="I7715" s="160" t="s">
        <v>53</v>
      </c>
      <c r="J7715" s="160">
        <v>3.313E-2</v>
      </c>
      <c r="K7715" s="160" t="s">
        <v>25</v>
      </c>
      <c r="L7715" s="154" t="str">
        <f>IF(OpenLCAbasic!K7715="CTUh", "Fill in Manually",IF(OR(K7715="Unit", K7715=""), "", INDEX(LookUps!$E$5:$E$12, MATCH(OpenLCAbasic!K7715,LookUps!$D$5:$D$12,0))))</f>
        <v>Smog Formation Potential (SFP) - kg O3 eq</v>
      </c>
      <c r="M7715" s="154" t="str">
        <f t="shared" si="597"/>
        <v>High_High_Low_Upgraded_Smog Formation Potential (SFP) - kg O3 eq_Wet Well and Sump Station; wastewater treatment unit; at updated plant - US_Without Amendment_Windrow</v>
      </c>
    </row>
    <row r="7716" spans="1:13" s="120" customFormat="1" x14ac:dyDescent="0.25">
      <c r="A7716" s="119"/>
      <c r="B7716" s="138" t="str">
        <f t="shared" si="594"/>
        <v>Windrow</v>
      </c>
      <c r="C7716" s="138" t="str">
        <f t="shared" si="598"/>
        <v>Without Amendment</v>
      </c>
      <c r="D7716" s="138" t="str">
        <f t="shared" si="596"/>
        <v>High_Low</v>
      </c>
      <c r="E7716" s="138" t="str">
        <f t="shared" si="599"/>
        <v>High</v>
      </c>
      <c r="F7716" s="138" t="str">
        <f t="shared" si="595"/>
        <v>Upgraded</v>
      </c>
      <c r="G7716" s="153"/>
      <c r="H7716" s="210">
        <v>7.51E-2</v>
      </c>
      <c r="I7716" s="160" t="s">
        <v>147</v>
      </c>
      <c r="J7716" s="160">
        <v>1.9400000000000001E-2</v>
      </c>
      <c r="K7716" s="160" t="s">
        <v>25</v>
      </c>
      <c r="L7716" s="154" t="str">
        <f>IF(OpenLCAbasic!K7716="CTUh", "Fill in Manually",IF(OR(K7716="Unit", K7716=""), "", INDEX(LookUps!$E$5:$E$12, MATCH(OpenLCAbasic!K7716,LookUps!$D$5:$D$12,0))))</f>
        <v>Smog Formation Potential (SFP) - kg O3 eq</v>
      </c>
      <c r="M7716" s="154" t="str">
        <f t="shared" si="597"/>
        <v>High_High_Low_Upgraded_Smog Formation Potential (SFP) - kg O3 eq_Influent Pump Station; wastewater treatment unit; at updated plant - US_Without Amendment_Windrow</v>
      </c>
    </row>
    <row r="7717" spans="1:13" s="120" customFormat="1" x14ac:dyDescent="0.25">
      <c r="A7717" s="119"/>
      <c r="B7717" s="138" t="str">
        <f t="shared" si="594"/>
        <v>Windrow</v>
      </c>
      <c r="C7717" s="138" t="str">
        <f t="shared" si="598"/>
        <v>Without Amendment</v>
      </c>
      <c r="D7717" s="138" t="str">
        <f t="shared" si="596"/>
        <v>High_Low</v>
      </c>
      <c r="E7717" s="138" t="str">
        <f t="shared" si="599"/>
        <v>High</v>
      </c>
      <c r="F7717" s="138" t="str">
        <f t="shared" si="595"/>
        <v>Upgraded</v>
      </c>
      <c r="G7717" s="153"/>
      <c r="H7717" s="210">
        <v>6.1899999999999997E-2</v>
      </c>
      <c r="I7717" s="160" t="s">
        <v>60</v>
      </c>
      <c r="J7717" s="160">
        <v>1.5990000000000001E-2</v>
      </c>
      <c r="K7717" s="160" t="s">
        <v>25</v>
      </c>
      <c r="L7717" s="154" t="str">
        <f>IF(OpenLCAbasic!K7717="CTUh", "Fill in Manually",IF(OR(K7717="Unit", K7717=""), "", INDEX(LookUps!$E$5:$E$12, MATCH(OpenLCAbasic!K7717,LookUps!$D$5:$D$12,0))))</f>
        <v>Smog Formation Potential (SFP) - kg O3 eq</v>
      </c>
      <c r="M7717" s="154" t="str">
        <f t="shared" si="597"/>
        <v>High_High_Low_Upgraded_Smog Formation Potential (SFP) - kg O3 eq_Belt filter press; wastewater treatment unit; at updated plant - US_Without Amendment_Windrow</v>
      </c>
    </row>
    <row r="7718" spans="1:13" s="120" customFormat="1" x14ac:dyDescent="0.25">
      <c r="A7718" s="119"/>
      <c r="B7718" s="138" t="str">
        <f t="shared" si="594"/>
        <v>Windrow</v>
      </c>
      <c r="C7718" s="138" t="str">
        <f t="shared" si="598"/>
        <v>Without Amendment</v>
      </c>
      <c r="D7718" s="138" t="str">
        <f t="shared" si="596"/>
        <v>High_Low</v>
      </c>
      <c r="E7718" s="138" t="str">
        <f t="shared" si="599"/>
        <v>High</v>
      </c>
      <c r="F7718" s="138" t="str">
        <f t="shared" si="595"/>
        <v>Upgraded</v>
      </c>
      <c r="G7718" s="153"/>
      <c r="H7718" s="210">
        <v>4.6100000000000002E-2</v>
      </c>
      <c r="I7718" s="160" t="s">
        <v>128</v>
      </c>
      <c r="J7718" s="160">
        <v>1.192E-2</v>
      </c>
      <c r="K7718" s="160" t="s">
        <v>25</v>
      </c>
      <c r="L7718" s="154" t="str">
        <f>IF(OpenLCAbasic!K7718="CTUh", "Fill in Manually",IF(OR(K7718="Unit", K7718=""), "", INDEX(LookUps!$E$5:$E$12, MATCH(OpenLCAbasic!K7718,LookUps!$D$5:$D$12,0))))</f>
        <v>Smog Formation Potential (SFP) - kg O3 eq</v>
      </c>
      <c r="M7718" s="154" t="str">
        <f t="shared" si="597"/>
        <v>High_High_Low_Upgraded_Smog Formation Potential (SFP) - kg O3 eq_Wastewater collection; operation and infrastructure; m3 wastewater_Without Amendment_Windrow</v>
      </c>
    </row>
    <row r="7719" spans="1:13" s="120" customFormat="1" x14ac:dyDescent="0.25">
      <c r="A7719" s="119"/>
      <c r="B7719" s="138" t="str">
        <f t="shared" si="594"/>
        <v>Windrow</v>
      </c>
      <c r="C7719" s="138" t="str">
        <f t="shared" si="598"/>
        <v>Without Amendment</v>
      </c>
      <c r="D7719" s="138" t="str">
        <f t="shared" si="596"/>
        <v>High_Low</v>
      </c>
      <c r="E7719" s="138" t="str">
        <f t="shared" si="599"/>
        <v>High</v>
      </c>
      <c r="F7719" s="138" t="str">
        <f t="shared" si="595"/>
        <v>Upgraded</v>
      </c>
      <c r="G7719" s="153"/>
      <c r="H7719" s="210">
        <v>2.58E-2</v>
      </c>
      <c r="I7719" s="160" t="s">
        <v>57</v>
      </c>
      <c r="J7719" s="160">
        <v>6.6499999999999997E-3</v>
      </c>
      <c r="K7719" s="160" t="s">
        <v>25</v>
      </c>
      <c r="L7719" s="154" t="str">
        <f>IF(OpenLCAbasic!K7719="CTUh", "Fill in Manually",IF(OR(K7719="Unit", K7719=""), "", INDEX(LookUps!$E$5:$E$12, MATCH(OpenLCAbasic!K7719,LookUps!$D$5:$D$12,0))))</f>
        <v>Smog Formation Potential (SFP) - kg O3 eq</v>
      </c>
      <c r="M7719" s="154" t="str">
        <f t="shared" si="597"/>
        <v>High_High_Low_Upgraded_Smog Formation Potential (SFP) - kg O3 eq_Gravity Belt Thickener; wastewater treatment unit; at updated plant - US_Without Amendment_Windrow</v>
      </c>
    </row>
    <row r="7720" spans="1:13" s="120" customFormat="1" x14ac:dyDescent="0.25">
      <c r="A7720" s="119"/>
      <c r="B7720" s="138" t="str">
        <f t="shared" ref="B7720:B7783" si="600">IF(F7720="Legacy","n.a.",IF(F7720="","","Windrow"))</f>
        <v>Windrow</v>
      </c>
      <c r="C7720" s="138" t="str">
        <f t="shared" si="598"/>
        <v>Without Amendment</v>
      </c>
      <c r="D7720" s="138" t="str">
        <f t="shared" si="596"/>
        <v>High_Low</v>
      </c>
      <c r="E7720" s="138" t="str">
        <f t="shared" si="599"/>
        <v>High</v>
      </c>
      <c r="F7720" s="138" t="str">
        <f t="shared" ref="F7720:F7783" si="601">IF(ISNUMBER(J7720),"Upgraded","")</f>
        <v>Upgraded</v>
      </c>
      <c r="G7720" s="153"/>
      <c r="H7720" s="210">
        <v>1.9199999999999998E-2</v>
      </c>
      <c r="I7720" s="160" t="s">
        <v>59</v>
      </c>
      <c r="J7720" s="160">
        <v>4.9699999999999996E-3</v>
      </c>
      <c r="K7720" s="160" t="s">
        <v>25</v>
      </c>
      <c r="L7720" s="154" t="str">
        <f>IF(OpenLCAbasic!K7720="CTUh", "Fill in Manually",IF(OR(K7720="Unit", K7720=""), "", INDEX(LookUps!$E$5:$E$12, MATCH(OpenLCAbasic!K7720,LookUps!$D$5:$D$12,0))))</f>
        <v>Smog Formation Potential (SFP) - kg O3 eq</v>
      </c>
      <c r="M7720" s="154" t="str">
        <f t="shared" si="597"/>
        <v>High_High_Low_Upgraded_Smog Formation Potential (SFP) - kg O3 eq_Blend Tank; wastewater treatment unit; at updated plant - US_Without Amendment_Windrow</v>
      </c>
    </row>
    <row r="7721" spans="1:13" s="120" customFormat="1" x14ac:dyDescent="0.25">
      <c r="A7721" s="119"/>
      <c r="B7721" s="138" t="str">
        <f t="shared" si="600"/>
        <v>Windrow</v>
      </c>
      <c r="C7721" s="138" t="str">
        <f t="shared" si="598"/>
        <v>Without Amendment</v>
      </c>
      <c r="D7721" s="138" t="str">
        <f t="shared" si="596"/>
        <v>High_Low</v>
      </c>
      <c r="E7721" s="138" t="str">
        <f t="shared" si="599"/>
        <v>High</v>
      </c>
      <c r="F7721" s="138" t="str">
        <f t="shared" si="601"/>
        <v>Upgraded</v>
      </c>
      <c r="G7721" s="153"/>
      <c r="H7721" s="210">
        <v>1.3100000000000001E-2</v>
      </c>
      <c r="I7721" s="160" t="s">
        <v>48</v>
      </c>
      <c r="J7721" s="160">
        <v>3.3899999999999998E-3</v>
      </c>
      <c r="K7721" s="160" t="s">
        <v>25</v>
      </c>
      <c r="L7721" s="154" t="str">
        <f>IF(OpenLCAbasic!K7721="CTUh", "Fill in Manually",IF(OR(K7721="Unit", K7721=""), "", INDEX(LookUps!$E$5:$E$12, MATCH(OpenLCAbasic!K7721,LookUps!$D$5:$D$12,0))))</f>
        <v>Smog Formation Potential (SFP) - kg O3 eq</v>
      </c>
      <c r="M7721" s="154" t="str">
        <f t="shared" si="597"/>
        <v>High_High_Low_Upgraded_Smog Formation Potential (SFP) - kg O3 eq_Effluent release; wastewater treatment unit; at surface water; m3 wastewater - US_Without Amendment_Windrow</v>
      </c>
    </row>
    <row r="7722" spans="1:13" s="120" customFormat="1" x14ac:dyDescent="0.25">
      <c r="A7722" s="119"/>
      <c r="B7722" s="138" t="str">
        <f t="shared" si="600"/>
        <v>Windrow</v>
      </c>
      <c r="C7722" s="138" t="str">
        <f t="shared" si="598"/>
        <v>Without Amendment</v>
      </c>
      <c r="D7722" s="138" t="str">
        <f t="shared" si="596"/>
        <v>High_Low</v>
      </c>
      <c r="E7722" s="138" t="str">
        <f t="shared" si="599"/>
        <v>High</v>
      </c>
      <c r="F7722" s="138" t="str">
        <f t="shared" si="601"/>
        <v>Upgraded</v>
      </c>
      <c r="G7722" s="153"/>
      <c r="H7722" s="210">
        <v>9.4999999999999998E-3</v>
      </c>
      <c r="I7722" s="160" t="s">
        <v>168</v>
      </c>
      <c r="J7722" s="160">
        <v>2.4599999999999999E-3</v>
      </c>
      <c r="K7722" s="160" t="s">
        <v>25</v>
      </c>
      <c r="L7722" s="154" t="str">
        <f>IF(OpenLCAbasic!K7722="CTUh", "Fill in Manually",IF(OR(K7722="Unit", K7722=""), "", INDEX(LookUps!$E$5:$E$12, MATCH(OpenLCAbasic!K7722,LookUps!$D$5:$D$12,0))))</f>
        <v>Smog Formation Potential (SFP) - kg O3 eq</v>
      </c>
      <c r="M7722" s="154" t="str">
        <f t="shared" si="597"/>
        <v>High_High_Low_Upgraded_Smog Formation Potential (SFP) - kg O3 eq_ClearCove SCP; wastewater treatment unit; at updated plant - US_Without Amendment_Windrow</v>
      </c>
    </row>
    <row r="7723" spans="1:13" s="120" customFormat="1" x14ac:dyDescent="0.25">
      <c r="A7723" s="119"/>
      <c r="B7723" s="138" t="str">
        <f t="shared" si="600"/>
        <v>Windrow</v>
      </c>
      <c r="C7723" s="138" t="str">
        <f t="shared" si="598"/>
        <v>Without Amendment</v>
      </c>
      <c r="D7723" s="138" t="str">
        <f t="shared" si="596"/>
        <v>High_Low</v>
      </c>
      <c r="E7723" s="138" t="str">
        <f t="shared" si="599"/>
        <v>High</v>
      </c>
      <c r="F7723" s="138" t="str">
        <f t="shared" si="601"/>
        <v>Upgraded</v>
      </c>
      <c r="G7723" s="153"/>
      <c r="H7723" s="210">
        <v>4.3E-3</v>
      </c>
      <c r="I7723" s="160" t="s">
        <v>271</v>
      </c>
      <c r="J7723" s="160">
        <v>1.1199999999999999E-3</v>
      </c>
      <c r="K7723" s="160" t="s">
        <v>25</v>
      </c>
      <c r="L7723" s="154" t="str">
        <f>IF(OpenLCAbasic!K7723="CTUh", "Fill in Manually",IF(OR(K7723="Unit", K7723=""), "", INDEX(LookUps!$E$5:$E$12, MATCH(OpenLCAbasic!K7723,LookUps!$D$5:$D$12,0))))</f>
        <v>Smog Formation Potential (SFP) - kg O3 eq</v>
      </c>
      <c r="M7723" s="154" t="str">
        <f t="shared" si="597"/>
        <v>High_High_Low_Upgraded_Smog Formation Potential (SFP) - kg O3 eq_Biosolids composting; windrow composting; wastewater treatment unit; at updated plant - US_Without Amendment_Windrow</v>
      </c>
    </row>
    <row r="7724" spans="1:13" s="120" customFormat="1" x14ac:dyDescent="0.25">
      <c r="A7724" s="119"/>
      <c r="B7724" s="138" t="str">
        <f t="shared" si="600"/>
        <v>Windrow</v>
      </c>
      <c r="C7724" s="138" t="str">
        <f t="shared" si="598"/>
        <v>Without Amendment</v>
      </c>
      <c r="D7724" s="138" t="str">
        <f t="shared" si="596"/>
        <v>High_Low</v>
      </c>
      <c r="E7724" s="138" t="str">
        <f t="shared" si="599"/>
        <v>High</v>
      </c>
      <c r="F7724" s="138" t="str">
        <f t="shared" si="601"/>
        <v>Upgraded</v>
      </c>
      <c r="G7724" s="153"/>
      <c r="H7724" s="210">
        <v>2.0999999999999999E-3</v>
      </c>
      <c r="I7724" s="160" t="s">
        <v>148</v>
      </c>
      <c r="J7724" s="160">
        <v>5.4000000000000001E-4</v>
      </c>
      <c r="K7724" s="160" t="s">
        <v>25</v>
      </c>
      <c r="L7724" s="154" t="str">
        <f>IF(OpenLCAbasic!K7724="CTUh", "Fill in Manually",IF(OR(K7724="Unit", K7724=""), "", INDEX(LookUps!$E$5:$E$12, MATCH(OpenLCAbasic!K7724,LookUps!$D$5:$D$12,0))))</f>
        <v>Smog Formation Potential (SFP) - kg O3 eq</v>
      </c>
      <c r="M7724" s="154" t="str">
        <f t="shared" si="597"/>
        <v>High_High_Low_Upgraded_Smog Formation Potential (SFP) - kg O3 eq_Control Building; at upgraded wastewater treatment plant - US_Without Amendment_Windrow</v>
      </c>
    </row>
    <row r="7725" spans="1:13" s="120" customFormat="1" x14ac:dyDescent="0.25">
      <c r="A7725" s="119"/>
      <c r="B7725" s="138" t="str">
        <f t="shared" si="600"/>
        <v>Windrow</v>
      </c>
      <c r="C7725" s="138" t="str">
        <f t="shared" si="598"/>
        <v>Without Amendment</v>
      </c>
      <c r="D7725" s="138" t="str">
        <f t="shared" si="596"/>
        <v>High_Low</v>
      </c>
      <c r="E7725" s="138" t="str">
        <f t="shared" si="599"/>
        <v>High</v>
      </c>
      <c r="F7725" s="138" t="str">
        <f t="shared" si="601"/>
        <v>Upgraded</v>
      </c>
      <c r="G7725" s="153"/>
      <c r="H7725" s="210">
        <v>-1.41E-2</v>
      </c>
      <c r="I7725" s="160" t="s">
        <v>62</v>
      </c>
      <c r="J7725" s="160">
        <v>-3.65E-3</v>
      </c>
      <c r="K7725" s="160" t="s">
        <v>25</v>
      </c>
      <c r="L7725" s="154" t="str">
        <f>IF(OpenLCAbasic!K7725="CTUh", "Fill in Manually",IF(OR(K7725="Unit", K7725=""), "", INDEX(LookUps!$E$5:$E$12, MATCH(OpenLCAbasic!K7725,LookUps!$D$5:$D$12,0))))</f>
        <v>Smog Formation Potential (SFP) - kg O3 eq</v>
      </c>
      <c r="M7725" s="154" t="str">
        <f t="shared" si="597"/>
        <v>High_High_Low_Upgraded_Smog Formation Potential (SFP) - kg O3 eq_Land application of compost; wastewater treatment unit; at updated plant - US_Without Amendment_Windrow</v>
      </c>
    </row>
    <row r="7726" spans="1:13" s="120" customFormat="1" x14ac:dyDescent="0.25">
      <c r="A7726" s="119"/>
      <c r="B7726" s="138" t="str">
        <f t="shared" si="600"/>
        <v>Windrow</v>
      </c>
      <c r="C7726" s="138" t="str">
        <f t="shared" si="598"/>
        <v>Without Amendment</v>
      </c>
      <c r="D7726" s="138" t="str">
        <f t="shared" si="596"/>
        <v>High_Low</v>
      </c>
      <c r="E7726" s="138" t="str">
        <f t="shared" si="599"/>
        <v>High</v>
      </c>
      <c r="F7726" s="138" t="str">
        <f t="shared" si="601"/>
        <v>Upgraded</v>
      </c>
      <c r="G7726" s="153"/>
      <c r="H7726" s="210">
        <v>-0.49259999999999998</v>
      </c>
      <c r="I7726" s="160" t="s">
        <v>149</v>
      </c>
      <c r="J7726" s="160">
        <v>-0.12725</v>
      </c>
      <c r="K7726" s="160" t="s">
        <v>25</v>
      </c>
      <c r="L7726" s="154" t="str">
        <f>IF(OpenLCAbasic!K7726="CTUh", "Fill in Manually",IF(OR(K7726="Unit", K7726=""), "", INDEX(LookUps!$E$5:$E$12, MATCH(OpenLCAbasic!K7726,LookUps!$D$5:$D$12,0))))</f>
        <v>Smog Formation Potential (SFP) - kg O3 eq</v>
      </c>
      <c r="M7726" s="154" t="str">
        <f t="shared" si="597"/>
        <v>High_High_Low_Upgraded_Smog Formation Potential (SFP) - kg O3 eq_Anaerobic Digestion; wastewater treatment unit; at updated plant - US_Without Amendment_Windrow</v>
      </c>
    </row>
    <row r="7727" spans="1:13" s="120" customFormat="1" x14ac:dyDescent="0.25">
      <c r="A7727" s="119"/>
      <c r="B7727" s="138" t="str">
        <f t="shared" si="600"/>
        <v/>
      </c>
      <c r="C7727" s="138" t="str">
        <f t="shared" si="598"/>
        <v/>
      </c>
      <c r="D7727" s="138" t="str">
        <f t="shared" si="596"/>
        <v/>
      </c>
      <c r="E7727" s="138" t="str">
        <f t="shared" si="599"/>
        <v/>
      </c>
      <c r="F7727" s="138" t="str">
        <f t="shared" si="601"/>
        <v/>
      </c>
      <c r="G7727" s="153" t="s">
        <v>51</v>
      </c>
      <c r="H7727" s="160"/>
      <c r="I7727" s="160" t="s">
        <v>47</v>
      </c>
      <c r="J7727" s="160" t="s">
        <v>52</v>
      </c>
      <c r="K7727" s="160" t="s">
        <v>27</v>
      </c>
      <c r="L7727" s="154" t="str">
        <f>IF(OpenLCAbasic!K7727="CTUh", "Fill in Manually",IF(OR(K7727="Unit", K7727=""), "", INDEX(LookUps!$E$5:$E$12, MATCH(OpenLCAbasic!K7727,LookUps!$D$5:$D$12,0))))</f>
        <v/>
      </c>
      <c r="M7727" s="154" t="str">
        <f t="shared" si="597"/>
        <v>____Process__</v>
      </c>
    </row>
    <row r="7728" spans="1:13" s="120" customFormat="1" x14ac:dyDescent="0.25">
      <c r="A7728" s="119"/>
      <c r="B7728" s="138" t="str">
        <f t="shared" si="600"/>
        <v>Windrow</v>
      </c>
      <c r="C7728" s="138" t="str">
        <f t="shared" si="598"/>
        <v>Without Amendment</v>
      </c>
      <c r="D7728" s="138" t="str">
        <f t="shared" si="596"/>
        <v>High_Low</v>
      </c>
      <c r="E7728" s="138" t="str">
        <f t="shared" si="599"/>
        <v>High</v>
      </c>
      <c r="F7728" s="138" t="str">
        <f t="shared" si="601"/>
        <v>Upgraded</v>
      </c>
      <c r="G7728" s="153"/>
      <c r="H7728" s="210">
        <v>1.0931</v>
      </c>
      <c r="I7728" s="160" t="s">
        <v>167</v>
      </c>
      <c r="J7728" s="160">
        <v>3.4000000000000002E-4</v>
      </c>
      <c r="K7728" s="160" t="s">
        <v>26</v>
      </c>
      <c r="L7728" s="154" t="str">
        <f>IF(OpenLCAbasic!K7728="CTUh", "Fill in Manually",IF(OR(K7728="Unit", K7728=""), "", INDEX(LookUps!$E$5:$E$12, MATCH(OpenLCAbasic!K7728,LookUps!$D$5:$D$12,0))))</f>
        <v>Water Use (WU) - m3 H2O</v>
      </c>
      <c r="M7728" s="154" t="str">
        <f t="shared" si="597"/>
        <v>High_High_Low_Upgraded_Water Use (WU) - m3 H2O_Waste Receiving and Holding; wastewater treatment unit; at updated plant - US_Without Amendment_Windrow</v>
      </c>
    </row>
    <row r="7729" spans="1:13" s="120" customFormat="1" x14ac:dyDescent="0.25">
      <c r="A7729" s="119"/>
      <c r="B7729" s="138" t="str">
        <f t="shared" si="600"/>
        <v>Windrow</v>
      </c>
      <c r="C7729" s="138" t="str">
        <f t="shared" si="598"/>
        <v>Without Amendment</v>
      </c>
      <c r="D7729" s="138" t="str">
        <f t="shared" si="596"/>
        <v>High_Low</v>
      </c>
      <c r="E7729" s="138" t="str">
        <f t="shared" si="599"/>
        <v>High</v>
      </c>
      <c r="F7729" s="138" t="str">
        <f t="shared" si="601"/>
        <v>Upgraded</v>
      </c>
      <c r="G7729" s="153"/>
      <c r="H7729" s="210">
        <v>0.59809999999999997</v>
      </c>
      <c r="I7729" s="160" t="s">
        <v>147</v>
      </c>
      <c r="J7729" s="160">
        <v>1.8000000000000001E-4</v>
      </c>
      <c r="K7729" s="160" t="s">
        <v>26</v>
      </c>
      <c r="L7729" s="154" t="str">
        <f>IF(OpenLCAbasic!K7729="CTUh", "Fill in Manually",IF(OR(K7729="Unit", K7729=""), "", INDEX(LookUps!$E$5:$E$12, MATCH(OpenLCAbasic!K7729,LookUps!$D$5:$D$12,0))))</f>
        <v>Water Use (WU) - m3 H2O</v>
      </c>
      <c r="M7729" s="154" t="str">
        <f t="shared" si="597"/>
        <v>High_High_Low_Upgraded_Water Use (WU) - m3 H2O_Influent Pump Station; wastewater treatment unit; at updated plant - US_Without Amendment_Windrow</v>
      </c>
    </row>
    <row r="7730" spans="1:13" s="120" customFormat="1" x14ac:dyDescent="0.25">
      <c r="A7730" s="119"/>
      <c r="B7730" s="138" t="str">
        <f t="shared" si="600"/>
        <v>Windrow</v>
      </c>
      <c r="C7730" s="138" t="str">
        <f t="shared" si="598"/>
        <v>Without Amendment</v>
      </c>
      <c r="D7730" s="138" t="str">
        <f t="shared" si="596"/>
        <v>High_Low</v>
      </c>
      <c r="E7730" s="138" t="str">
        <f t="shared" si="599"/>
        <v>High</v>
      </c>
      <c r="F7730" s="138" t="str">
        <f t="shared" si="601"/>
        <v>Upgraded</v>
      </c>
      <c r="G7730" s="153"/>
      <c r="H7730" s="210">
        <v>0.58360000000000001</v>
      </c>
      <c r="I7730" s="160" t="s">
        <v>54</v>
      </c>
      <c r="J7730" s="160">
        <v>1.8000000000000001E-4</v>
      </c>
      <c r="K7730" s="160" t="s">
        <v>26</v>
      </c>
      <c r="L7730" s="154" t="str">
        <f>IF(OpenLCAbasic!K7730="CTUh", "Fill in Manually",IF(OR(K7730="Unit", K7730=""), "", INDEX(LookUps!$E$5:$E$12, MATCH(OpenLCAbasic!K7730,LookUps!$D$5:$D$12,0))))</f>
        <v>Water Use (WU) - m3 H2O</v>
      </c>
      <c r="M7730" s="154" t="str">
        <f t="shared" si="597"/>
        <v>High_High_Low_Upgraded_Water Use (WU) - m3 H2O_Clear Cove Primary Clarification; wastewater treatment unit; at updated plant - US_Without Amendment_Windrow</v>
      </c>
    </row>
    <row r="7731" spans="1:13" s="120" customFormat="1" x14ac:dyDescent="0.25">
      <c r="A7731" s="119"/>
      <c r="B7731" s="138" t="str">
        <f t="shared" si="600"/>
        <v>Windrow</v>
      </c>
      <c r="C7731" s="138" t="str">
        <f t="shared" si="598"/>
        <v>Without Amendment</v>
      </c>
      <c r="D7731" s="138" t="str">
        <f t="shared" si="596"/>
        <v>High_Low</v>
      </c>
      <c r="E7731" s="138" t="str">
        <f t="shared" si="599"/>
        <v>High</v>
      </c>
      <c r="F7731" s="138" t="str">
        <f t="shared" si="601"/>
        <v>Upgraded</v>
      </c>
      <c r="G7731" s="153"/>
      <c r="H7731" s="210">
        <v>0.52939999999999998</v>
      </c>
      <c r="I7731" s="160" t="s">
        <v>55</v>
      </c>
      <c r="J7731" s="160">
        <v>1.6000000000000001E-4</v>
      </c>
      <c r="K7731" s="160" t="s">
        <v>26</v>
      </c>
      <c r="L7731" s="154" t="str">
        <f>IF(OpenLCAbasic!K7731="CTUh", "Fill in Manually",IF(OR(K7731="Unit", K7731=""), "", INDEX(LookUps!$E$5:$E$12, MATCH(OpenLCAbasic!K7731,LookUps!$D$5:$D$12,0))))</f>
        <v>Water Use (WU) - m3 H2O</v>
      </c>
      <c r="M7731" s="154" t="str">
        <f t="shared" si="597"/>
        <v>High_High_Low_Upgraded_Water Use (WU) - m3 H2O_Aeration Tanks; wastewater treatment unit; at updated plant - US_Without Amendment_Windrow</v>
      </c>
    </row>
    <row r="7732" spans="1:13" s="120" customFormat="1" x14ac:dyDescent="0.25">
      <c r="A7732" s="119"/>
      <c r="B7732" s="138" t="str">
        <f t="shared" si="600"/>
        <v>Windrow</v>
      </c>
      <c r="C7732" s="138" t="str">
        <f t="shared" si="598"/>
        <v>Without Amendment</v>
      </c>
      <c r="D7732" s="138" t="str">
        <f t="shared" si="596"/>
        <v>High_Low</v>
      </c>
      <c r="E7732" s="138" t="str">
        <f t="shared" si="599"/>
        <v>High</v>
      </c>
      <c r="F7732" s="138" t="str">
        <f t="shared" si="601"/>
        <v>Upgraded</v>
      </c>
      <c r="G7732" s="153"/>
      <c r="H7732" s="210">
        <v>0.48230000000000001</v>
      </c>
      <c r="I7732" s="160" t="s">
        <v>148</v>
      </c>
      <c r="J7732" s="160">
        <v>1.4999999999999999E-4</v>
      </c>
      <c r="K7732" s="160" t="s">
        <v>26</v>
      </c>
      <c r="L7732" s="154" t="str">
        <f>IF(OpenLCAbasic!K7732="CTUh", "Fill in Manually",IF(OR(K7732="Unit", K7732=""), "", INDEX(LookUps!$E$5:$E$12, MATCH(OpenLCAbasic!K7732,LookUps!$D$5:$D$12,0))))</f>
        <v>Water Use (WU) - m3 H2O</v>
      </c>
      <c r="M7732" s="154" t="str">
        <f t="shared" si="597"/>
        <v>High_High_Low_Upgraded_Water Use (WU) - m3 H2O_Control Building; at upgraded wastewater treatment plant - US_Without Amendment_Windrow</v>
      </c>
    </row>
    <row r="7733" spans="1:13" s="120" customFormat="1" x14ac:dyDescent="0.25">
      <c r="A7733" s="119"/>
      <c r="B7733" s="138" t="str">
        <f t="shared" si="600"/>
        <v>Windrow</v>
      </c>
      <c r="C7733" s="138" t="str">
        <f t="shared" si="598"/>
        <v>Without Amendment</v>
      </c>
      <c r="D7733" s="138" t="str">
        <f t="shared" si="596"/>
        <v>High_Low</v>
      </c>
      <c r="E7733" s="138" t="str">
        <f t="shared" si="599"/>
        <v>High</v>
      </c>
      <c r="F7733" s="138" t="str">
        <f t="shared" si="601"/>
        <v>Upgraded</v>
      </c>
      <c r="G7733" s="153"/>
      <c r="H7733" s="210">
        <v>0.224</v>
      </c>
      <c r="I7733" s="160" t="s">
        <v>48</v>
      </c>
      <c r="J7733" s="211">
        <v>6.8836400000000004E-5</v>
      </c>
      <c r="K7733" s="160" t="s">
        <v>26</v>
      </c>
      <c r="L7733" s="154" t="str">
        <f>IF(OpenLCAbasic!K7733="CTUh", "Fill in Manually",IF(OR(K7733="Unit", K7733=""), "", INDEX(LookUps!$E$5:$E$12, MATCH(OpenLCAbasic!K7733,LookUps!$D$5:$D$12,0))))</f>
        <v>Water Use (WU) - m3 H2O</v>
      </c>
      <c r="M7733" s="154" t="str">
        <f t="shared" si="597"/>
        <v>High_High_Low_Upgraded_Water Use (WU) - m3 H2O_Effluent release; wastewater treatment unit; at surface water; m3 wastewater - US_Without Amendment_Windrow</v>
      </c>
    </row>
    <row r="7734" spans="1:13" s="120" customFormat="1" x14ac:dyDescent="0.25">
      <c r="A7734" s="119"/>
      <c r="B7734" s="138" t="str">
        <f t="shared" si="600"/>
        <v>Windrow</v>
      </c>
      <c r="C7734" s="138" t="str">
        <f t="shared" si="598"/>
        <v>Without Amendment</v>
      </c>
      <c r="D7734" s="138" t="str">
        <f t="shared" si="596"/>
        <v>High_Low</v>
      </c>
      <c r="E7734" s="138" t="str">
        <f t="shared" si="599"/>
        <v>High</v>
      </c>
      <c r="F7734" s="138" t="str">
        <f t="shared" si="601"/>
        <v>Upgraded</v>
      </c>
      <c r="G7734" s="153"/>
      <c r="H7734" s="210">
        <v>0.15540000000000001</v>
      </c>
      <c r="I7734" s="160" t="s">
        <v>60</v>
      </c>
      <c r="J7734" s="211">
        <v>4.7769200000000003E-5</v>
      </c>
      <c r="K7734" s="160" t="s">
        <v>26</v>
      </c>
      <c r="L7734" s="154" t="str">
        <f>IF(OpenLCAbasic!K7734="CTUh", "Fill in Manually",IF(OR(K7734="Unit", K7734=""), "", INDEX(LookUps!$E$5:$E$12, MATCH(OpenLCAbasic!K7734,LookUps!$D$5:$D$12,0))))</f>
        <v>Water Use (WU) - m3 H2O</v>
      </c>
      <c r="M7734" s="154" t="str">
        <f t="shared" si="597"/>
        <v>High_High_Low_Upgraded_Water Use (WU) - m3 H2O_Belt filter press; wastewater treatment unit; at updated plant - US_Without Amendment_Windrow</v>
      </c>
    </row>
    <row r="7735" spans="1:13" s="120" customFormat="1" x14ac:dyDescent="0.25">
      <c r="A7735" s="119"/>
      <c r="B7735" s="138" t="str">
        <f t="shared" si="600"/>
        <v>Windrow</v>
      </c>
      <c r="C7735" s="138" t="str">
        <f t="shared" si="598"/>
        <v>Without Amendment</v>
      </c>
      <c r="D7735" s="138" t="str">
        <f t="shared" si="596"/>
        <v>High_Low</v>
      </c>
      <c r="E7735" s="138" t="str">
        <f t="shared" si="599"/>
        <v>High</v>
      </c>
      <c r="F7735" s="138" t="str">
        <f t="shared" si="601"/>
        <v>Upgraded</v>
      </c>
      <c r="G7735" s="153"/>
      <c r="H7735" s="210">
        <v>0.14080000000000001</v>
      </c>
      <c r="I7735" s="160" t="s">
        <v>58</v>
      </c>
      <c r="J7735" s="211">
        <v>4.3289399999999999E-5</v>
      </c>
      <c r="K7735" s="160" t="s">
        <v>26</v>
      </c>
      <c r="L7735" s="154" t="str">
        <f>IF(OpenLCAbasic!K7735="CTUh", "Fill in Manually",IF(OR(K7735="Unit", K7735=""), "", INDEX(LookUps!$E$5:$E$12, MATCH(OpenLCAbasic!K7735,LookUps!$D$5:$D$12,0))))</f>
        <v>Water Use (WU) - m3 H2O</v>
      </c>
      <c r="M7735" s="154" t="str">
        <f t="shared" si="597"/>
        <v>High_High_Low_Upgraded_Water Use (WU) - m3 H2O_Pre-Anoxic &amp; Swing tank; wastewater treatment unit; at updated plant - US_Without Amendment_Windrow</v>
      </c>
    </row>
    <row r="7736" spans="1:13" s="120" customFormat="1" x14ac:dyDescent="0.25">
      <c r="A7736" s="119"/>
      <c r="B7736" s="138" t="str">
        <f t="shared" si="600"/>
        <v>Windrow</v>
      </c>
      <c r="C7736" s="138" t="str">
        <f t="shared" si="598"/>
        <v>Without Amendment</v>
      </c>
      <c r="D7736" s="138" t="str">
        <f t="shared" si="596"/>
        <v>High_Low</v>
      </c>
      <c r="E7736" s="138" t="str">
        <f t="shared" si="599"/>
        <v>High</v>
      </c>
      <c r="F7736" s="138" t="str">
        <f t="shared" si="601"/>
        <v>Upgraded</v>
      </c>
      <c r="G7736" s="153"/>
      <c r="H7736" s="210">
        <v>9.8900000000000002E-2</v>
      </c>
      <c r="I7736" s="160" t="s">
        <v>57</v>
      </c>
      <c r="J7736" s="211">
        <v>3.0408100000000001E-5</v>
      </c>
      <c r="K7736" s="160" t="s">
        <v>26</v>
      </c>
      <c r="L7736" s="154" t="str">
        <f>IF(OpenLCAbasic!K7736="CTUh", "Fill in Manually",IF(OR(K7736="Unit", K7736=""), "", INDEX(LookUps!$E$5:$E$12, MATCH(OpenLCAbasic!K7736,LookUps!$D$5:$D$12,0))))</f>
        <v>Water Use (WU) - m3 H2O</v>
      </c>
      <c r="M7736" s="154" t="str">
        <f t="shared" si="597"/>
        <v>High_High_Low_Upgraded_Water Use (WU) - m3 H2O_Gravity Belt Thickener; wastewater treatment unit; at updated plant - US_Without Amendment_Windrow</v>
      </c>
    </row>
    <row r="7737" spans="1:13" s="120" customFormat="1" x14ac:dyDescent="0.25">
      <c r="A7737" s="119"/>
      <c r="B7737" s="138" t="str">
        <f t="shared" si="600"/>
        <v>Windrow</v>
      </c>
      <c r="C7737" s="138" t="str">
        <f t="shared" si="598"/>
        <v>Without Amendment</v>
      </c>
      <c r="D7737" s="138" t="str">
        <f t="shared" ref="D7737:D7743" si="602">IF(ISNUMBER($J7737),"High_Low","")</f>
        <v>High_Low</v>
      </c>
      <c r="E7737" s="138" t="str">
        <f t="shared" si="599"/>
        <v>High</v>
      </c>
      <c r="F7737" s="138" t="str">
        <f t="shared" si="601"/>
        <v>Upgraded</v>
      </c>
      <c r="G7737" s="153"/>
      <c r="H7737" s="210">
        <v>5.7000000000000002E-2</v>
      </c>
      <c r="I7737" s="160" t="s">
        <v>53</v>
      </c>
      <c r="J7737" s="211">
        <v>1.75069E-5</v>
      </c>
      <c r="K7737" s="160" t="s">
        <v>26</v>
      </c>
      <c r="L7737" s="154" t="str">
        <f>IF(OpenLCAbasic!K7737="CTUh", "Fill in Manually",IF(OR(K7737="Unit", K7737=""), "", INDEX(LookUps!$E$5:$E$12, MATCH(OpenLCAbasic!K7737,LookUps!$D$5:$D$12,0))))</f>
        <v>Water Use (WU) - m3 H2O</v>
      </c>
      <c r="M7737" s="154" t="str">
        <f t="shared" si="597"/>
        <v>High_High_Low_Upgraded_Water Use (WU) - m3 H2O_Wet Well and Sump Station; wastewater treatment unit; at updated plant - US_Without Amendment_Windrow</v>
      </c>
    </row>
    <row r="7738" spans="1:13" s="120" customFormat="1" x14ac:dyDescent="0.25">
      <c r="A7738" s="119"/>
      <c r="B7738" s="138" t="str">
        <f t="shared" si="600"/>
        <v>Windrow</v>
      </c>
      <c r="C7738" s="138" t="str">
        <f t="shared" si="598"/>
        <v>Without Amendment</v>
      </c>
      <c r="D7738" s="138" t="str">
        <f t="shared" si="602"/>
        <v>High_Low</v>
      </c>
      <c r="E7738" s="138" t="str">
        <f t="shared" si="599"/>
        <v>High</v>
      </c>
      <c r="F7738" s="138" t="str">
        <f t="shared" si="601"/>
        <v>Upgraded</v>
      </c>
      <c r="G7738" s="153"/>
      <c r="H7738" s="210">
        <v>2.2800000000000001E-2</v>
      </c>
      <c r="I7738" s="160" t="s">
        <v>59</v>
      </c>
      <c r="J7738" s="211">
        <v>7.0179500000000003E-6</v>
      </c>
      <c r="K7738" s="160" t="s">
        <v>26</v>
      </c>
      <c r="L7738" s="154" t="str">
        <f>IF(OpenLCAbasic!K7738="CTUh", "Fill in Manually",IF(OR(K7738="Unit", K7738=""), "", INDEX(LookUps!$E$5:$E$12, MATCH(OpenLCAbasic!K7738,LookUps!$D$5:$D$12,0))))</f>
        <v>Water Use (WU) - m3 H2O</v>
      </c>
      <c r="M7738" s="154" t="str">
        <f t="shared" si="597"/>
        <v>High_High_Low_Upgraded_Water Use (WU) - m3 H2O_Blend Tank; wastewater treatment unit; at updated plant - US_Without Amendment_Windrow</v>
      </c>
    </row>
    <row r="7739" spans="1:13" s="120" customFormat="1" x14ac:dyDescent="0.25">
      <c r="A7739" s="119"/>
      <c r="B7739" s="138" t="str">
        <f t="shared" si="600"/>
        <v>Windrow</v>
      </c>
      <c r="C7739" s="138" t="str">
        <f t="shared" si="598"/>
        <v>Without Amendment</v>
      </c>
      <c r="D7739" s="138" t="str">
        <f t="shared" si="602"/>
        <v>High_Low</v>
      </c>
      <c r="E7739" s="138" t="str">
        <f t="shared" si="599"/>
        <v>High</v>
      </c>
      <c r="F7739" s="138" t="str">
        <f t="shared" si="601"/>
        <v>Upgraded</v>
      </c>
      <c r="G7739" s="153"/>
      <c r="H7739" s="210">
        <v>1.6500000000000001E-2</v>
      </c>
      <c r="I7739" s="160" t="s">
        <v>128</v>
      </c>
      <c r="J7739" s="211">
        <v>5.0608900000000003E-6</v>
      </c>
      <c r="K7739" s="160" t="s">
        <v>26</v>
      </c>
      <c r="L7739" s="154" t="str">
        <f>IF(OpenLCAbasic!K7739="CTUh", "Fill in Manually",IF(OR(K7739="Unit", K7739=""), "", INDEX(LookUps!$E$5:$E$12, MATCH(OpenLCAbasic!K7739,LookUps!$D$5:$D$12,0))))</f>
        <v>Water Use (WU) - m3 H2O</v>
      </c>
      <c r="M7739" s="154" t="str">
        <f t="shared" ref="M7739:M7802" si="603">CONCATENATE(E7739,"_",D7739,"_",F7739,"_",L7739, "_",I7739,"_", C7739,"_", B7739)</f>
        <v>High_High_Low_Upgraded_Water Use (WU) - m3 H2O_Wastewater collection; operation and infrastructure; m3 wastewater_Without Amendment_Windrow</v>
      </c>
    </row>
    <row r="7740" spans="1:13" s="120" customFormat="1" x14ac:dyDescent="0.25">
      <c r="A7740" s="119"/>
      <c r="B7740" s="138" t="str">
        <f t="shared" si="600"/>
        <v>Windrow</v>
      </c>
      <c r="C7740" s="138" t="str">
        <f t="shared" si="598"/>
        <v>Without Amendment</v>
      </c>
      <c r="D7740" s="138" t="str">
        <f t="shared" si="602"/>
        <v>High_Low</v>
      </c>
      <c r="E7740" s="138" t="str">
        <f t="shared" si="599"/>
        <v>High</v>
      </c>
      <c r="F7740" s="138" t="str">
        <f t="shared" si="601"/>
        <v>Upgraded</v>
      </c>
      <c r="G7740" s="153"/>
      <c r="H7740" s="210">
        <v>7.4000000000000003E-3</v>
      </c>
      <c r="I7740" s="160" t="s">
        <v>271</v>
      </c>
      <c r="J7740" s="211">
        <v>2.2860400000000001E-6</v>
      </c>
      <c r="K7740" s="160" t="s">
        <v>26</v>
      </c>
      <c r="L7740" s="154" t="str">
        <f>IF(OpenLCAbasic!K7740="CTUh", "Fill in Manually",IF(OR(K7740="Unit", K7740=""), "", INDEX(LookUps!$E$5:$E$12, MATCH(OpenLCAbasic!K7740,LookUps!$D$5:$D$12,0))))</f>
        <v>Water Use (WU) - m3 H2O</v>
      </c>
      <c r="M7740" s="154" t="str">
        <f t="shared" si="603"/>
        <v>High_High_Low_Upgraded_Water Use (WU) - m3 H2O_Biosolids composting; windrow composting; wastewater treatment unit; at updated plant - US_Without Amendment_Windrow</v>
      </c>
    </row>
    <row r="7741" spans="1:13" s="120" customFormat="1" x14ac:dyDescent="0.25">
      <c r="A7741" s="119"/>
      <c r="B7741" s="138" t="str">
        <f t="shared" si="600"/>
        <v>Windrow</v>
      </c>
      <c r="C7741" s="138" t="str">
        <f t="shared" si="598"/>
        <v>Without Amendment</v>
      </c>
      <c r="D7741" s="138" t="str">
        <f t="shared" si="602"/>
        <v>High_Low</v>
      </c>
      <c r="E7741" s="138" t="str">
        <f t="shared" si="599"/>
        <v>High</v>
      </c>
      <c r="F7741" s="138" t="str">
        <f t="shared" si="601"/>
        <v>Upgraded</v>
      </c>
      <c r="G7741" s="153"/>
      <c r="H7741" s="210">
        <v>2.5000000000000001E-3</v>
      </c>
      <c r="I7741" s="160" t="s">
        <v>168</v>
      </c>
      <c r="J7741" s="211">
        <v>7.6697000000000004E-7</v>
      </c>
      <c r="K7741" s="160" t="s">
        <v>26</v>
      </c>
      <c r="L7741" s="154" t="str">
        <f>IF(OpenLCAbasic!K7741="CTUh", "Fill in Manually",IF(OR(K7741="Unit", K7741=""), "", INDEX(LookUps!$E$5:$E$12, MATCH(OpenLCAbasic!K7741,LookUps!$D$5:$D$12,0))))</f>
        <v>Water Use (WU) - m3 H2O</v>
      </c>
      <c r="M7741" s="154" t="str">
        <f t="shared" si="603"/>
        <v>High_High_Low_Upgraded_Water Use (WU) - m3 H2O_ClearCove SCP; wastewater treatment unit; at updated plant - US_Without Amendment_Windrow</v>
      </c>
    </row>
    <row r="7742" spans="1:13" s="120" customFormat="1" x14ac:dyDescent="0.25">
      <c r="A7742" s="119"/>
      <c r="B7742" s="138" t="str">
        <f t="shared" si="600"/>
        <v>Windrow</v>
      </c>
      <c r="C7742" s="138" t="str">
        <f t="shared" si="598"/>
        <v>Without Amendment</v>
      </c>
      <c r="D7742" s="138" t="str">
        <f t="shared" si="602"/>
        <v>High_Low</v>
      </c>
      <c r="E7742" s="138" t="str">
        <f t="shared" si="599"/>
        <v>High</v>
      </c>
      <c r="F7742" s="138" t="str">
        <f t="shared" si="601"/>
        <v>Upgraded</v>
      </c>
      <c r="G7742" s="153"/>
      <c r="H7742" s="210">
        <v>-0.04</v>
      </c>
      <c r="I7742" s="160" t="s">
        <v>149</v>
      </c>
      <c r="J7742" s="211">
        <v>-1.22975E-5</v>
      </c>
      <c r="K7742" s="160" t="s">
        <v>26</v>
      </c>
      <c r="L7742" s="154" t="str">
        <f>IF(OpenLCAbasic!K7742="CTUh", "Fill in Manually",IF(OR(K7742="Unit", K7742=""), "", INDEX(LookUps!$E$5:$E$12, MATCH(OpenLCAbasic!K7742,LookUps!$D$5:$D$12,0))))</f>
        <v>Water Use (WU) - m3 H2O</v>
      </c>
      <c r="M7742" s="154" t="str">
        <f t="shared" si="603"/>
        <v>High_High_Low_Upgraded_Water Use (WU) - m3 H2O_Anaerobic Digestion; wastewater treatment unit; at updated plant - US_Without Amendment_Windrow</v>
      </c>
    </row>
    <row r="7743" spans="1:13" s="120" customFormat="1" x14ac:dyDescent="0.25">
      <c r="A7743" s="119"/>
      <c r="B7743" s="138" t="str">
        <f t="shared" si="600"/>
        <v>Windrow</v>
      </c>
      <c r="C7743" s="138" t="str">
        <f t="shared" si="598"/>
        <v>Without Amendment</v>
      </c>
      <c r="D7743" s="138" t="str">
        <f t="shared" si="602"/>
        <v>High_Low</v>
      </c>
      <c r="E7743" s="138" t="str">
        <f t="shared" si="599"/>
        <v>High</v>
      </c>
      <c r="F7743" s="138" t="str">
        <f t="shared" si="601"/>
        <v>Upgraded</v>
      </c>
      <c r="G7743" s="153"/>
      <c r="H7743" s="210">
        <v>-4.9718</v>
      </c>
      <c r="I7743" s="160" t="s">
        <v>62</v>
      </c>
      <c r="J7743" s="160">
        <v>-1.5299999999999999E-3</v>
      </c>
      <c r="K7743" s="160" t="s">
        <v>26</v>
      </c>
      <c r="L7743" s="154" t="str">
        <f>IF(OpenLCAbasic!K7743="CTUh", "Fill in Manually",IF(OR(K7743="Unit", K7743=""), "", INDEX(LookUps!$E$5:$E$12, MATCH(OpenLCAbasic!K7743,LookUps!$D$5:$D$12,0))))</f>
        <v>Water Use (WU) - m3 H2O</v>
      </c>
      <c r="M7743" s="154" t="str">
        <f t="shared" si="603"/>
        <v>High_High_Low_Upgraded_Water Use (WU) - m3 H2O_Land application of compost; wastewater treatment unit; at updated plant - US_Without Amendment_Windrow</v>
      </c>
    </row>
    <row r="7744" spans="1:13" s="120" customFormat="1" x14ac:dyDescent="0.25">
      <c r="A7744" s="119"/>
      <c r="B7744" s="138" t="str">
        <f t="shared" si="600"/>
        <v/>
      </c>
      <c r="C7744" s="138" t="str">
        <f t="shared" si="598"/>
        <v/>
      </c>
      <c r="D7744" s="138" t="str">
        <f>IF(ISNUMBER($J7744),"High_Base","")</f>
        <v/>
      </c>
      <c r="E7744" s="138" t="str">
        <f t="shared" si="599"/>
        <v/>
      </c>
      <c r="F7744" s="138" t="str">
        <f t="shared" si="601"/>
        <v/>
      </c>
      <c r="G7744" s="153" t="s">
        <v>51</v>
      </c>
      <c r="H7744" s="160"/>
      <c r="I7744" s="160" t="s">
        <v>47</v>
      </c>
      <c r="J7744" s="160" t="s">
        <v>52</v>
      </c>
      <c r="K7744" s="160" t="s">
        <v>27</v>
      </c>
      <c r="L7744" s="154" t="str">
        <f>IF(OpenLCAbasic!K7744="CTUh", "Fill in Manually",IF(OR(K7744="Unit", K7744=""), "", INDEX(LookUps!$E$5:$E$12, MATCH(OpenLCAbasic!K7744,LookUps!$D$5:$D$12,0))))</f>
        <v/>
      </c>
      <c r="M7744" s="154" t="str">
        <f t="shared" si="603"/>
        <v>____Process__</v>
      </c>
    </row>
    <row r="7745" spans="1:13" s="120" customFormat="1" x14ac:dyDescent="0.25">
      <c r="A7745" s="119"/>
      <c r="B7745" s="138" t="str">
        <f t="shared" si="600"/>
        <v>Windrow</v>
      </c>
      <c r="C7745" s="138" t="str">
        <f t="shared" ref="C7745:C7808" si="604">IF(ISNUMBER($J7745),"Without Amendment","")</f>
        <v>Without Amendment</v>
      </c>
      <c r="D7745" s="138" t="str">
        <f t="shared" ref="D7745:D7808" si="605">IF(ISNUMBER($J7745),"High_Base","")</f>
        <v>High_Base</v>
      </c>
      <c r="E7745" s="138" t="str">
        <f t="shared" si="599"/>
        <v>High</v>
      </c>
      <c r="F7745" s="138" t="str">
        <f t="shared" si="601"/>
        <v>Upgraded</v>
      </c>
      <c r="G7745" s="153"/>
      <c r="H7745" s="210">
        <v>1.5774999999999999</v>
      </c>
      <c r="I7745" s="160" t="s">
        <v>55</v>
      </c>
      <c r="J7745" s="160">
        <v>1.7219999999999999E-2</v>
      </c>
      <c r="K7745" s="160" t="s">
        <v>24</v>
      </c>
      <c r="L7745" s="154" t="str">
        <f>IF(OpenLCAbasic!K7745="CTUh", "Fill in Manually",IF(OR(K7745="Unit", K7745=""), "", INDEX(LookUps!$E$5:$E$12, MATCH(OpenLCAbasic!K7745,LookUps!$D$5:$D$12,0))))</f>
        <v>Acidification Potential (AP) - kg SO2 eq</v>
      </c>
      <c r="M7745" s="154" t="str">
        <f t="shared" si="603"/>
        <v>High_High_Base_Upgraded_Acidification Potential (AP) - kg SO2 eq_Aeration Tanks; wastewater treatment unit; at updated plant - US_Without Amendment_Windrow</v>
      </c>
    </row>
    <row r="7746" spans="1:13" s="120" customFormat="1" x14ac:dyDescent="0.25">
      <c r="A7746" s="119"/>
      <c r="B7746" s="138" t="str">
        <f t="shared" si="600"/>
        <v>Windrow</v>
      </c>
      <c r="C7746" s="138" t="str">
        <f t="shared" si="604"/>
        <v>Without Amendment</v>
      </c>
      <c r="D7746" s="138" t="str">
        <f t="shared" si="605"/>
        <v>High_Base</v>
      </c>
      <c r="E7746" s="138" t="str">
        <f t="shared" si="599"/>
        <v>High</v>
      </c>
      <c r="F7746" s="138" t="str">
        <f t="shared" si="601"/>
        <v>Upgraded</v>
      </c>
      <c r="G7746" s="153"/>
      <c r="H7746" s="210">
        <v>1.2266999999999999</v>
      </c>
      <c r="I7746" s="160" t="s">
        <v>271</v>
      </c>
      <c r="J7746" s="160">
        <v>1.3390000000000001E-2</v>
      </c>
      <c r="K7746" s="160" t="s">
        <v>24</v>
      </c>
      <c r="L7746" s="154" t="str">
        <f>IF(OpenLCAbasic!K7746="CTUh", "Fill in Manually",IF(OR(K7746="Unit", K7746=""), "", INDEX(LookUps!$E$5:$E$12, MATCH(OpenLCAbasic!K7746,LookUps!$D$5:$D$12,0))))</f>
        <v>Acidification Potential (AP) - kg SO2 eq</v>
      </c>
      <c r="M7746" s="154" t="str">
        <f t="shared" si="603"/>
        <v>High_High_Base_Upgraded_Acidification Potential (AP) - kg SO2 eq_Biosolids composting; windrow composting; wastewater treatment unit; at updated plant - US_Without Amendment_Windrow</v>
      </c>
    </row>
    <row r="7747" spans="1:13" s="120" customFormat="1" x14ac:dyDescent="0.25">
      <c r="A7747" s="119"/>
      <c r="B7747" s="138" t="str">
        <f t="shared" si="600"/>
        <v>Windrow</v>
      </c>
      <c r="C7747" s="138" t="str">
        <f t="shared" si="604"/>
        <v>Without Amendment</v>
      </c>
      <c r="D7747" s="138" t="str">
        <f t="shared" si="605"/>
        <v>High_Base</v>
      </c>
      <c r="E7747" s="138" t="str">
        <f t="shared" si="599"/>
        <v>High</v>
      </c>
      <c r="F7747" s="138" t="str">
        <f t="shared" si="601"/>
        <v>Upgraded</v>
      </c>
      <c r="G7747" s="153"/>
      <c r="H7747" s="210">
        <v>0.45629999999999998</v>
      </c>
      <c r="I7747" s="160" t="s">
        <v>54</v>
      </c>
      <c r="J7747" s="160">
        <v>4.9800000000000001E-3</v>
      </c>
      <c r="K7747" s="160" t="s">
        <v>24</v>
      </c>
      <c r="L7747" s="154" t="str">
        <f>IF(OpenLCAbasic!K7747="CTUh", "Fill in Manually",IF(OR(K7747="Unit", K7747=""), "", INDEX(LookUps!$E$5:$E$12, MATCH(OpenLCAbasic!K7747,LookUps!$D$5:$D$12,0))))</f>
        <v>Acidification Potential (AP) - kg SO2 eq</v>
      </c>
      <c r="M7747" s="154" t="str">
        <f t="shared" si="603"/>
        <v>High_High_Base_Upgraded_Acidification Potential (AP) - kg SO2 eq_Clear Cove Primary Clarification; wastewater treatment unit; at updated plant - US_Without Amendment_Windrow</v>
      </c>
    </row>
    <row r="7748" spans="1:13" s="120" customFormat="1" x14ac:dyDescent="0.25">
      <c r="A7748" s="119"/>
      <c r="B7748" s="138" t="str">
        <f t="shared" si="600"/>
        <v>Windrow</v>
      </c>
      <c r="C7748" s="138" t="str">
        <f t="shared" si="604"/>
        <v>Without Amendment</v>
      </c>
      <c r="D7748" s="138" t="str">
        <f t="shared" si="605"/>
        <v>High_Base</v>
      </c>
      <c r="E7748" s="138" t="str">
        <f t="shared" si="599"/>
        <v>High</v>
      </c>
      <c r="F7748" s="138" t="str">
        <f t="shared" si="601"/>
        <v>Upgraded</v>
      </c>
      <c r="G7748" s="153"/>
      <c r="H7748" s="210">
        <v>0.39979999999999999</v>
      </c>
      <c r="I7748" s="160" t="s">
        <v>58</v>
      </c>
      <c r="J7748" s="160">
        <v>4.3600000000000002E-3</v>
      </c>
      <c r="K7748" s="160" t="s">
        <v>24</v>
      </c>
      <c r="L7748" s="154" t="str">
        <f>IF(OpenLCAbasic!K7748="CTUh", "Fill in Manually",IF(OR(K7748="Unit", K7748=""), "", INDEX(LookUps!$E$5:$E$12, MATCH(OpenLCAbasic!K7748,LookUps!$D$5:$D$12,0))))</f>
        <v>Acidification Potential (AP) - kg SO2 eq</v>
      </c>
      <c r="M7748" s="154" t="str">
        <f t="shared" si="603"/>
        <v>High_High_Base_Upgraded_Acidification Potential (AP) - kg SO2 eq_Pre-Anoxic &amp; Swing tank; wastewater treatment unit; at updated plant - US_Without Amendment_Windrow</v>
      </c>
    </row>
    <row r="7749" spans="1:13" s="120" customFormat="1" x14ac:dyDescent="0.25">
      <c r="A7749" s="119"/>
      <c r="B7749" s="138" t="str">
        <f t="shared" si="600"/>
        <v>Windrow</v>
      </c>
      <c r="C7749" s="138" t="str">
        <f t="shared" si="604"/>
        <v>Without Amendment</v>
      </c>
      <c r="D7749" s="138" t="str">
        <f t="shared" si="605"/>
        <v>High_Base</v>
      </c>
      <c r="E7749" s="138" t="str">
        <f t="shared" si="599"/>
        <v>High</v>
      </c>
      <c r="F7749" s="138" t="str">
        <f t="shared" si="601"/>
        <v>Upgraded</v>
      </c>
      <c r="G7749" s="153"/>
      <c r="H7749" s="210">
        <v>0.31609999999999999</v>
      </c>
      <c r="I7749" s="160" t="s">
        <v>53</v>
      </c>
      <c r="J7749" s="160">
        <v>3.4499999999999999E-3</v>
      </c>
      <c r="K7749" s="160" t="s">
        <v>24</v>
      </c>
      <c r="L7749" s="154" t="str">
        <f>IF(OpenLCAbasic!K7749="CTUh", "Fill in Manually",IF(OR(K7749="Unit", K7749=""), "", INDEX(LookUps!$E$5:$E$12, MATCH(OpenLCAbasic!K7749,LookUps!$D$5:$D$12,0))))</f>
        <v>Acidification Potential (AP) - kg SO2 eq</v>
      </c>
      <c r="M7749" s="154" t="str">
        <f t="shared" si="603"/>
        <v>High_High_Base_Upgraded_Acidification Potential (AP) - kg SO2 eq_Wet Well and Sump Station; wastewater treatment unit; at updated plant - US_Without Amendment_Windrow</v>
      </c>
    </row>
    <row r="7750" spans="1:13" s="120" customFormat="1" x14ac:dyDescent="0.25">
      <c r="A7750" s="119"/>
      <c r="B7750" s="138" t="str">
        <f t="shared" si="600"/>
        <v>Windrow</v>
      </c>
      <c r="C7750" s="138" t="str">
        <f t="shared" si="604"/>
        <v>Without Amendment</v>
      </c>
      <c r="D7750" s="138" t="str">
        <f t="shared" si="605"/>
        <v>High_Base</v>
      </c>
      <c r="E7750" s="138" t="str">
        <f t="shared" si="599"/>
        <v>High</v>
      </c>
      <c r="F7750" s="138" t="str">
        <f t="shared" si="601"/>
        <v>Upgraded</v>
      </c>
      <c r="G7750" s="153"/>
      <c r="H7750" s="210">
        <v>0.26490000000000002</v>
      </c>
      <c r="I7750" s="160" t="s">
        <v>62</v>
      </c>
      <c r="J7750" s="160">
        <v>2.8900000000000002E-3</v>
      </c>
      <c r="K7750" s="160" t="s">
        <v>24</v>
      </c>
      <c r="L7750" s="154" t="str">
        <f>IF(OpenLCAbasic!K7750="CTUh", "Fill in Manually",IF(OR(K7750="Unit", K7750=""), "", INDEX(LookUps!$E$5:$E$12, MATCH(OpenLCAbasic!K7750,LookUps!$D$5:$D$12,0))))</f>
        <v>Acidification Potential (AP) - kg SO2 eq</v>
      </c>
      <c r="M7750" s="154" t="str">
        <f t="shared" si="603"/>
        <v>High_High_Base_Upgraded_Acidification Potential (AP) - kg SO2 eq_Land application of compost; wastewater treatment unit; at updated plant - US_Without Amendment_Windrow</v>
      </c>
    </row>
    <row r="7751" spans="1:13" s="120" customFormat="1" x14ac:dyDescent="0.25">
      <c r="A7751" s="119"/>
      <c r="B7751" s="138" t="str">
        <f t="shared" si="600"/>
        <v>Windrow</v>
      </c>
      <c r="C7751" s="138" t="str">
        <f t="shared" si="604"/>
        <v>Without Amendment</v>
      </c>
      <c r="D7751" s="138" t="str">
        <f t="shared" si="605"/>
        <v>High_Base</v>
      </c>
      <c r="E7751" s="138" t="str">
        <f t="shared" si="599"/>
        <v>High</v>
      </c>
      <c r="F7751" s="138" t="str">
        <f t="shared" si="601"/>
        <v>Upgraded</v>
      </c>
      <c r="G7751" s="153"/>
      <c r="H7751" s="210">
        <v>0.24759999999999999</v>
      </c>
      <c r="I7751" s="160" t="s">
        <v>167</v>
      </c>
      <c r="J7751" s="160">
        <v>2.7000000000000001E-3</v>
      </c>
      <c r="K7751" s="160" t="s">
        <v>24</v>
      </c>
      <c r="L7751" s="154" t="str">
        <f>IF(OpenLCAbasic!K7751="CTUh", "Fill in Manually",IF(OR(K7751="Unit", K7751=""), "", INDEX(LookUps!$E$5:$E$12, MATCH(OpenLCAbasic!K7751,LookUps!$D$5:$D$12,0))))</f>
        <v>Acidification Potential (AP) - kg SO2 eq</v>
      </c>
      <c r="M7751" s="154" t="str">
        <f t="shared" si="603"/>
        <v>High_High_Base_Upgraded_Acidification Potential (AP) - kg SO2 eq_Waste Receiving and Holding; wastewater treatment unit; at updated plant - US_Without Amendment_Windrow</v>
      </c>
    </row>
    <row r="7752" spans="1:13" s="120" customFormat="1" x14ac:dyDescent="0.25">
      <c r="A7752" s="119"/>
      <c r="B7752" s="138" t="str">
        <f t="shared" si="600"/>
        <v>Windrow</v>
      </c>
      <c r="C7752" s="138" t="str">
        <f t="shared" si="604"/>
        <v>Without Amendment</v>
      </c>
      <c r="D7752" s="138" t="str">
        <f t="shared" si="605"/>
        <v>High_Base</v>
      </c>
      <c r="E7752" s="138" t="str">
        <f t="shared" si="599"/>
        <v>High</v>
      </c>
      <c r="F7752" s="138" t="str">
        <f t="shared" si="601"/>
        <v>Upgraded</v>
      </c>
      <c r="G7752" s="153"/>
      <c r="H7752" s="210">
        <v>0.1895</v>
      </c>
      <c r="I7752" s="160" t="s">
        <v>147</v>
      </c>
      <c r="J7752" s="160">
        <v>2.0699999999999998E-3</v>
      </c>
      <c r="K7752" s="160" t="s">
        <v>24</v>
      </c>
      <c r="L7752" s="154" t="str">
        <f>IF(OpenLCAbasic!K7752="CTUh", "Fill in Manually",IF(OR(K7752="Unit", K7752=""), "", INDEX(LookUps!$E$5:$E$12, MATCH(OpenLCAbasic!K7752,LookUps!$D$5:$D$12,0))))</f>
        <v>Acidification Potential (AP) - kg SO2 eq</v>
      </c>
      <c r="M7752" s="154" t="str">
        <f t="shared" si="603"/>
        <v>High_High_Base_Upgraded_Acidification Potential (AP) - kg SO2 eq_Influent Pump Station; wastewater treatment unit; at updated plant - US_Without Amendment_Windrow</v>
      </c>
    </row>
    <row r="7753" spans="1:13" s="120" customFormat="1" x14ac:dyDescent="0.25">
      <c r="A7753" s="119"/>
      <c r="B7753" s="138" t="str">
        <f t="shared" si="600"/>
        <v>Windrow</v>
      </c>
      <c r="C7753" s="138" t="str">
        <f t="shared" si="604"/>
        <v>Without Amendment</v>
      </c>
      <c r="D7753" s="138" t="str">
        <f t="shared" si="605"/>
        <v>High_Base</v>
      </c>
      <c r="E7753" s="138" t="str">
        <f t="shared" ref="E7753:E7816" si="606">IF(ISNUMBER($J7753),"High","")</f>
        <v>High</v>
      </c>
      <c r="F7753" s="138" t="str">
        <f t="shared" si="601"/>
        <v>Upgraded</v>
      </c>
      <c r="G7753" s="153"/>
      <c r="H7753" s="210">
        <v>0.13350000000000001</v>
      </c>
      <c r="I7753" s="160" t="s">
        <v>60</v>
      </c>
      <c r="J7753" s="160">
        <v>1.4599999999999999E-3</v>
      </c>
      <c r="K7753" s="160" t="s">
        <v>24</v>
      </c>
      <c r="L7753" s="154" t="str">
        <f>IF(OpenLCAbasic!K7753="CTUh", "Fill in Manually",IF(OR(K7753="Unit", K7753=""), "", INDEX(LookUps!$E$5:$E$12, MATCH(OpenLCAbasic!K7753,LookUps!$D$5:$D$12,0))))</f>
        <v>Acidification Potential (AP) - kg SO2 eq</v>
      </c>
      <c r="M7753" s="154" t="str">
        <f t="shared" si="603"/>
        <v>High_High_Base_Upgraded_Acidification Potential (AP) - kg SO2 eq_Belt filter press; wastewater treatment unit; at updated plant - US_Without Amendment_Windrow</v>
      </c>
    </row>
    <row r="7754" spans="1:13" s="120" customFormat="1" x14ac:dyDescent="0.25">
      <c r="A7754" s="119"/>
      <c r="B7754" s="138" t="str">
        <f t="shared" si="600"/>
        <v>Windrow</v>
      </c>
      <c r="C7754" s="138" t="str">
        <f t="shared" si="604"/>
        <v>Without Amendment</v>
      </c>
      <c r="D7754" s="138" t="str">
        <f t="shared" si="605"/>
        <v>High_Base</v>
      </c>
      <c r="E7754" s="138" t="str">
        <f t="shared" si="606"/>
        <v>High</v>
      </c>
      <c r="F7754" s="138" t="str">
        <f t="shared" si="601"/>
        <v>Upgraded</v>
      </c>
      <c r="G7754" s="153"/>
      <c r="H7754" s="210">
        <v>0.113</v>
      </c>
      <c r="I7754" s="160" t="s">
        <v>128</v>
      </c>
      <c r="J7754" s="160">
        <v>1.23E-3</v>
      </c>
      <c r="K7754" s="160" t="s">
        <v>24</v>
      </c>
      <c r="L7754" s="154" t="str">
        <f>IF(OpenLCAbasic!K7754="CTUh", "Fill in Manually",IF(OR(K7754="Unit", K7754=""), "", INDEX(LookUps!$E$5:$E$12, MATCH(OpenLCAbasic!K7754,LookUps!$D$5:$D$12,0))))</f>
        <v>Acidification Potential (AP) - kg SO2 eq</v>
      </c>
      <c r="M7754" s="154" t="str">
        <f t="shared" si="603"/>
        <v>High_High_Base_Upgraded_Acidification Potential (AP) - kg SO2 eq_Wastewater collection; operation and infrastructure; m3 wastewater_Without Amendment_Windrow</v>
      </c>
    </row>
    <row r="7755" spans="1:13" s="120" customFormat="1" x14ac:dyDescent="0.25">
      <c r="A7755" s="119"/>
      <c r="B7755" s="138" t="str">
        <f t="shared" si="600"/>
        <v>Windrow</v>
      </c>
      <c r="C7755" s="138" t="str">
        <f t="shared" si="604"/>
        <v>Without Amendment</v>
      </c>
      <c r="D7755" s="138" t="str">
        <f t="shared" si="605"/>
        <v>High_Base</v>
      </c>
      <c r="E7755" s="138" t="str">
        <f t="shared" si="606"/>
        <v>High</v>
      </c>
      <c r="F7755" s="138" t="str">
        <f t="shared" si="601"/>
        <v>Upgraded</v>
      </c>
      <c r="G7755" s="153"/>
      <c r="H7755" s="210">
        <v>6.4500000000000002E-2</v>
      </c>
      <c r="I7755" s="160" t="s">
        <v>57</v>
      </c>
      <c r="J7755" s="160">
        <v>6.9999999999999999E-4</v>
      </c>
      <c r="K7755" s="160" t="s">
        <v>24</v>
      </c>
      <c r="L7755" s="154" t="str">
        <f>IF(OpenLCAbasic!K7755="CTUh", "Fill in Manually",IF(OR(K7755="Unit", K7755=""), "", INDEX(LookUps!$E$5:$E$12, MATCH(OpenLCAbasic!K7755,LookUps!$D$5:$D$12,0))))</f>
        <v>Acidification Potential (AP) - kg SO2 eq</v>
      </c>
      <c r="M7755" s="154" t="str">
        <f t="shared" si="603"/>
        <v>High_High_Base_Upgraded_Acidification Potential (AP) - kg SO2 eq_Gravity Belt Thickener; wastewater treatment unit; at updated plant - US_Without Amendment_Windrow</v>
      </c>
    </row>
    <row r="7756" spans="1:13" s="120" customFormat="1" x14ac:dyDescent="0.25">
      <c r="A7756" s="119"/>
      <c r="B7756" s="138" t="str">
        <f t="shared" si="600"/>
        <v>Windrow</v>
      </c>
      <c r="C7756" s="138" t="str">
        <f t="shared" si="604"/>
        <v>Without Amendment</v>
      </c>
      <c r="D7756" s="138" t="str">
        <f t="shared" si="605"/>
        <v>High_Base</v>
      </c>
      <c r="E7756" s="138" t="str">
        <f t="shared" si="606"/>
        <v>High</v>
      </c>
      <c r="F7756" s="138" t="str">
        <f t="shared" si="601"/>
        <v>Upgraded</v>
      </c>
      <c r="G7756" s="153"/>
      <c r="H7756" s="210">
        <v>4.7300000000000002E-2</v>
      </c>
      <c r="I7756" s="160" t="s">
        <v>59</v>
      </c>
      <c r="J7756" s="160">
        <v>5.1999999999999995E-4</v>
      </c>
      <c r="K7756" s="160" t="s">
        <v>24</v>
      </c>
      <c r="L7756" s="154" t="str">
        <f>IF(OpenLCAbasic!K7756="CTUh", "Fill in Manually",IF(OR(K7756="Unit", K7756=""), "", INDEX(LookUps!$E$5:$E$12, MATCH(OpenLCAbasic!K7756,LookUps!$D$5:$D$12,0))))</f>
        <v>Acidification Potential (AP) - kg SO2 eq</v>
      </c>
      <c r="M7756" s="154" t="str">
        <f t="shared" si="603"/>
        <v>High_High_Base_Upgraded_Acidification Potential (AP) - kg SO2 eq_Blend Tank; wastewater treatment unit; at updated plant - US_Without Amendment_Windrow</v>
      </c>
    </row>
    <row r="7757" spans="1:13" s="120" customFormat="1" x14ac:dyDescent="0.25">
      <c r="A7757" s="119"/>
      <c r="B7757" s="138" t="str">
        <f t="shared" si="600"/>
        <v>Windrow</v>
      </c>
      <c r="C7757" s="138" t="str">
        <f t="shared" si="604"/>
        <v>Without Amendment</v>
      </c>
      <c r="D7757" s="138" t="str">
        <f t="shared" si="605"/>
        <v>High_Base</v>
      </c>
      <c r="E7757" s="138" t="str">
        <f t="shared" si="606"/>
        <v>High</v>
      </c>
      <c r="F7757" s="138" t="str">
        <f t="shared" si="601"/>
        <v>Upgraded</v>
      </c>
      <c r="G7757" s="153"/>
      <c r="H7757" s="210">
        <v>3.1699999999999999E-2</v>
      </c>
      <c r="I7757" s="160" t="s">
        <v>48</v>
      </c>
      <c r="J7757" s="160">
        <v>3.5E-4</v>
      </c>
      <c r="K7757" s="160" t="s">
        <v>24</v>
      </c>
      <c r="L7757" s="154" t="str">
        <f>IF(OpenLCAbasic!K7757="CTUh", "Fill in Manually",IF(OR(K7757="Unit", K7757=""), "", INDEX(LookUps!$E$5:$E$12, MATCH(OpenLCAbasic!K7757,LookUps!$D$5:$D$12,0))))</f>
        <v>Acidification Potential (AP) - kg SO2 eq</v>
      </c>
      <c r="M7757" s="154" t="str">
        <f t="shared" si="603"/>
        <v>High_High_Base_Upgraded_Acidification Potential (AP) - kg SO2 eq_Effluent release; wastewater treatment unit; at surface water; m3 wastewater - US_Without Amendment_Windrow</v>
      </c>
    </row>
    <row r="7758" spans="1:13" s="120" customFormat="1" x14ac:dyDescent="0.25">
      <c r="A7758" s="119"/>
      <c r="B7758" s="138" t="str">
        <f t="shared" si="600"/>
        <v>Windrow</v>
      </c>
      <c r="C7758" s="138" t="str">
        <f t="shared" si="604"/>
        <v>Without Amendment</v>
      </c>
      <c r="D7758" s="138" t="str">
        <f t="shared" si="605"/>
        <v>High_Base</v>
      </c>
      <c r="E7758" s="138" t="str">
        <f t="shared" si="606"/>
        <v>High</v>
      </c>
      <c r="F7758" s="138" t="str">
        <f t="shared" si="601"/>
        <v>Upgraded</v>
      </c>
      <c r="G7758" s="153"/>
      <c r="H7758" s="210">
        <v>2.3400000000000001E-2</v>
      </c>
      <c r="I7758" s="160" t="s">
        <v>168</v>
      </c>
      <c r="J7758" s="160">
        <v>2.5999999999999998E-4</v>
      </c>
      <c r="K7758" s="160" t="s">
        <v>24</v>
      </c>
      <c r="L7758" s="154" t="str">
        <f>IF(OpenLCAbasic!K7758="CTUh", "Fill in Manually",IF(OR(K7758="Unit", K7758=""), "", INDEX(LookUps!$E$5:$E$12, MATCH(OpenLCAbasic!K7758,LookUps!$D$5:$D$12,0))))</f>
        <v>Acidification Potential (AP) - kg SO2 eq</v>
      </c>
      <c r="M7758" s="154" t="str">
        <f t="shared" si="603"/>
        <v>High_High_Base_Upgraded_Acidification Potential (AP) - kg SO2 eq_ClearCove SCP; wastewater treatment unit; at updated plant - US_Without Amendment_Windrow</v>
      </c>
    </row>
    <row r="7759" spans="1:13" s="120" customFormat="1" x14ac:dyDescent="0.25">
      <c r="A7759" s="119"/>
      <c r="B7759" s="138" t="str">
        <f t="shared" si="600"/>
        <v>Windrow</v>
      </c>
      <c r="C7759" s="138" t="str">
        <f t="shared" si="604"/>
        <v>Without Amendment</v>
      </c>
      <c r="D7759" s="138" t="str">
        <f t="shared" si="605"/>
        <v>High_Base</v>
      </c>
      <c r="E7759" s="138" t="str">
        <f t="shared" si="606"/>
        <v>High</v>
      </c>
      <c r="F7759" s="138" t="str">
        <f t="shared" si="601"/>
        <v>Upgraded</v>
      </c>
      <c r="G7759" s="153"/>
      <c r="H7759" s="210">
        <v>3.7000000000000002E-3</v>
      </c>
      <c r="I7759" s="160" t="s">
        <v>148</v>
      </c>
      <c r="J7759" s="211">
        <v>4.0354700000000002E-5</v>
      </c>
      <c r="K7759" s="160" t="s">
        <v>24</v>
      </c>
      <c r="L7759" s="154" t="str">
        <f>IF(OpenLCAbasic!K7759="CTUh", "Fill in Manually",IF(OR(K7759="Unit", K7759=""), "", INDEX(LookUps!$E$5:$E$12, MATCH(OpenLCAbasic!K7759,LookUps!$D$5:$D$12,0))))</f>
        <v>Acidification Potential (AP) - kg SO2 eq</v>
      </c>
      <c r="M7759" s="154" t="str">
        <f t="shared" si="603"/>
        <v>High_High_Base_Upgraded_Acidification Potential (AP) - kg SO2 eq_Control Building; at upgraded wastewater treatment plant - US_Without Amendment_Windrow</v>
      </c>
    </row>
    <row r="7760" spans="1:13" s="120" customFormat="1" x14ac:dyDescent="0.25">
      <c r="A7760" s="119"/>
      <c r="B7760" s="138" t="str">
        <f t="shared" si="600"/>
        <v>Windrow</v>
      </c>
      <c r="C7760" s="138" t="str">
        <f t="shared" si="604"/>
        <v>Without Amendment</v>
      </c>
      <c r="D7760" s="138" t="str">
        <f t="shared" si="605"/>
        <v>High_Base</v>
      </c>
      <c r="E7760" s="138" t="str">
        <f t="shared" si="606"/>
        <v>High</v>
      </c>
      <c r="F7760" s="138" t="str">
        <f t="shared" si="601"/>
        <v>Upgraded</v>
      </c>
      <c r="G7760" s="153"/>
      <c r="H7760" s="210">
        <v>-4.0955000000000004</v>
      </c>
      <c r="I7760" s="160" t="s">
        <v>149</v>
      </c>
      <c r="J7760" s="160">
        <v>-4.4699999999999997E-2</v>
      </c>
      <c r="K7760" s="160" t="s">
        <v>24</v>
      </c>
      <c r="L7760" s="154" t="str">
        <f>IF(OpenLCAbasic!K7760="CTUh", "Fill in Manually",IF(OR(K7760="Unit", K7760=""), "", INDEX(LookUps!$E$5:$E$12, MATCH(OpenLCAbasic!K7760,LookUps!$D$5:$D$12,0))))</f>
        <v>Acidification Potential (AP) - kg SO2 eq</v>
      </c>
      <c r="M7760" s="154" t="str">
        <f t="shared" si="603"/>
        <v>High_High_Base_Upgraded_Acidification Potential (AP) - kg SO2 eq_Anaerobic Digestion; wastewater treatment unit; at updated plant - US_Without Amendment_Windrow</v>
      </c>
    </row>
    <row r="7761" spans="1:13" s="120" customFormat="1" x14ac:dyDescent="0.25">
      <c r="A7761" s="119"/>
      <c r="B7761" s="138" t="str">
        <f t="shared" si="600"/>
        <v/>
      </c>
      <c r="C7761" s="138" t="str">
        <f t="shared" si="604"/>
        <v/>
      </c>
      <c r="D7761" s="138" t="str">
        <f t="shared" si="605"/>
        <v/>
      </c>
      <c r="E7761" s="138" t="str">
        <f t="shared" si="606"/>
        <v/>
      </c>
      <c r="F7761" s="138" t="str">
        <f t="shared" si="601"/>
        <v/>
      </c>
      <c r="G7761" s="153" t="s">
        <v>51</v>
      </c>
      <c r="H7761" s="160"/>
      <c r="I7761" s="160" t="s">
        <v>47</v>
      </c>
      <c r="J7761" s="160" t="s">
        <v>52</v>
      </c>
      <c r="K7761" s="160" t="s">
        <v>27</v>
      </c>
      <c r="L7761" s="154" t="str">
        <f>IF(OpenLCAbasic!K7761="CTUh", "Fill in Manually",IF(OR(K7761="Unit", K7761=""), "", INDEX(LookUps!$E$5:$E$12, MATCH(OpenLCAbasic!K7761,LookUps!$D$5:$D$12,0))))</f>
        <v/>
      </c>
      <c r="M7761" s="154" t="str">
        <f t="shared" si="603"/>
        <v>____Process__</v>
      </c>
    </row>
    <row r="7762" spans="1:13" s="120" customFormat="1" x14ac:dyDescent="0.25">
      <c r="A7762" s="119"/>
      <c r="B7762" s="138" t="str">
        <f t="shared" si="600"/>
        <v>Windrow</v>
      </c>
      <c r="C7762" s="138" t="str">
        <f t="shared" si="604"/>
        <v>Without Amendment</v>
      </c>
      <c r="D7762" s="138" t="str">
        <f t="shared" si="605"/>
        <v>High_Base</v>
      </c>
      <c r="E7762" s="138" t="str">
        <f t="shared" si="606"/>
        <v>High</v>
      </c>
      <c r="F7762" s="138" t="str">
        <f t="shared" si="601"/>
        <v>Upgraded</v>
      </c>
      <c r="G7762" s="153"/>
      <c r="H7762" s="210">
        <v>6.7138999999999998</v>
      </c>
      <c r="I7762" s="160" t="s">
        <v>167</v>
      </c>
      <c r="J7762" s="160">
        <v>5.1393399999999998</v>
      </c>
      <c r="K7762" s="160" t="s">
        <v>15</v>
      </c>
      <c r="L7762" s="154" t="str">
        <f>IF(OpenLCAbasic!K7762="CTUh", "Fill in Manually",IF(OR(K7762="Unit", K7762=""), "", INDEX(LookUps!$E$5:$E$12, MATCH(OpenLCAbasic!K7762,LookUps!$D$5:$D$12,0))))</f>
        <v>Cumulative Energy Demand (CED) - MJ</v>
      </c>
      <c r="M7762" s="154" t="str">
        <f t="shared" si="603"/>
        <v>High_High_Base_Upgraded_Cumulative Energy Demand (CED) - MJ_Waste Receiving and Holding; wastewater treatment unit; at updated plant - US_Without Amendment_Windrow</v>
      </c>
    </row>
    <row r="7763" spans="1:13" s="120" customFormat="1" x14ac:dyDescent="0.25">
      <c r="A7763" s="119"/>
      <c r="B7763" s="138" t="str">
        <f t="shared" si="600"/>
        <v>Windrow</v>
      </c>
      <c r="C7763" s="138" t="str">
        <f t="shared" si="604"/>
        <v>Without Amendment</v>
      </c>
      <c r="D7763" s="138" t="str">
        <f t="shared" si="605"/>
        <v>High_Base</v>
      </c>
      <c r="E7763" s="138" t="str">
        <f t="shared" si="606"/>
        <v>High</v>
      </c>
      <c r="F7763" s="138" t="str">
        <f t="shared" si="601"/>
        <v>Upgraded</v>
      </c>
      <c r="G7763" s="153"/>
      <c r="H7763" s="210">
        <v>4.6154999999999999</v>
      </c>
      <c r="I7763" s="160" t="s">
        <v>55</v>
      </c>
      <c r="J7763" s="160">
        <v>3.5330499999999998</v>
      </c>
      <c r="K7763" s="160" t="s">
        <v>15</v>
      </c>
      <c r="L7763" s="154" t="str">
        <f>IF(OpenLCAbasic!K7763="CTUh", "Fill in Manually",IF(OR(K7763="Unit", K7763=""), "", INDEX(LookUps!$E$5:$E$12, MATCH(OpenLCAbasic!K7763,LookUps!$D$5:$D$12,0))))</f>
        <v>Cumulative Energy Demand (CED) - MJ</v>
      </c>
      <c r="M7763" s="154" t="str">
        <f t="shared" si="603"/>
        <v>High_High_Base_Upgraded_Cumulative Energy Demand (CED) - MJ_Aeration Tanks; wastewater treatment unit; at updated plant - US_Without Amendment_Windrow</v>
      </c>
    </row>
    <row r="7764" spans="1:13" s="120" customFormat="1" x14ac:dyDescent="0.25">
      <c r="A7764" s="119"/>
      <c r="B7764" s="138" t="str">
        <f t="shared" si="600"/>
        <v>Windrow</v>
      </c>
      <c r="C7764" s="138" t="str">
        <f t="shared" si="604"/>
        <v>Without Amendment</v>
      </c>
      <c r="D7764" s="138" t="str">
        <f t="shared" si="605"/>
        <v>High_Base</v>
      </c>
      <c r="E7764" s="138" t="str">
        <f t="shared" si="606"/>
        <v>High</v>
      </c>
      <c r="F7764" s="138" t="str">
        <f t="shared" si="601"/>
        <v>Upgraded</v>
      </c>
      <c r="G7764" s="153"/>
      <c r="H7764" s="210">
        <v>1.5192000000000001</v>
      </c>
      <c r="I7764" s="160" t="s">
        <v>54</v>
      </c>
      <c r="J7764" s="160">
        <v>1.16289</v>
      </c>
      <c r="K7764" s="160" t="s">
        <v>15</v>
      </c>
      <c r="L7764" s="154" t="str">
        <f>IF(OpenLCAbasic!K7764="CTUh", "Fill in Manually",IF(OR(K7764="Unit", K7764=""), "", INDEX(LookUps!$E$5:$E$12, MATCH(OpenLCAbasic!K7764,LookUps!$D$5:$D$12,0))))</f>
        <v>Cumulative Energy Demand (CED) - MJ</v>
      </c>
      <c r="M7764" s="154" t="str">
        <f t="shared" si="603"/>
        <v>High_High_Base_Upgraded_Cumulative Energy Demand (CED) - MJ_Clear Cove Primary Clarification; wastewater treatment unit; at updated plant - US_Without Amendment_Windrow</v>
      </c>
    </row>
    <row r="7765" spans="1:13" s="120" customFormat="1" x14ac:dyDescent="0.25">
      <c r="A7765" s="119"/>
      <c r="B7765" s="138" t="str">
        <f t="shared" si="600"/>
        <v>Windrow</v>
      </c>
      <c r="C7765" s="138" t="str">
        <f t="shared" si="604"/>
        <v>Without Amendment</v>
      </c>
      <c r="D7765" s="138" t="str">
        <f t="shared" si="605"/>
        <v>High_Base</v>
      </c>
      <c r="E7765" s="138" t="str">
        <f t="shared" si="606"/>
        <v>High</v>
      </c>
      <c r="F7765" s="138" t="str">
        <f t="shared" si="601"/>
        <v>Upgraded</v>
      </c>
      <c r="G7765" s="153"/>
      <c r="H7765" s="210">
        <v>1.1635</v>
      </c>
      <c r="I7765" s="160" t="s">
        <v>58</v>
      </c>
      <c r="J7765" s="160">
        <v>0.89063999999999999</v>
      </c>
      <c r="K7765" s="160" t="s">
        <v>15</v>
      </c>
      <c r="L7765" s="154" t="str">
        <f>IF(OpenLCAbasic!K7765="CTUh", "Fill in Manually",IF(OR(K7765="Unit", K7765=""), "", INDEX(LookUps!$E$5:$E$12, MATCH(OpenLCAbasic!K7765,LookUps!$D$5:$D$12,0))))</f>
        <v>Cumulative Energy Demand (CED) - MJ</v>
      </c>
      <c r="M7765" s="154" t="str">
        <f t="shared" si="603"/>
        <v>High_High_Base_Upgraded_Cumulative Energy Demand (CED) - MJ_Pre-Anoxic &amp; Swing tank; wastewater treatment unit; at updated plant - US_Without Amendment_Windrow</v>
      </c>
    </row>
    <row r="7766" spans="1:13" s="120" customFormat="1" x14ac:dyDescent="0.25">
      <c r="A7766" s="119"/>
      <c r="B7766" s="138" t="str">
        <f t="shared" si="600"/>
        <v>Windrow</v>
      </c>
      <c r="C7766" s="138" t="str">
        <f t="shared" si="604"/>
        <v>Without Amendment</v>
      </c>
      <c r="D7766" s="138" t="str">
        <f t="shared" si="605"/>
        <v>High_Base</v>
      </c>
      <c r="E7766" s="138" t="str">
        <f t="shared" si="606"/>
        <v>High</v>
      </c>
      <c r="F7766" s="138" t="str">
        <f t="shared" si="601"/>
        <v>Upgraded</v>
      </c>
      <c r="G7766" s="153"/>
      <c r="H7766" s="210">
        <v>1.1535</v>
      </c>
      <c r="I7766" s="160" t="s">
        <v>147</v>
      </c>
      <c r="J7766" s="160">
        <v>0.88297000000000003</v>
      </c>
      <c r="K7766" s="160" t="s">
        <v>15</v>
      </c>
      <c r="L7766" s="154" t="str">
        <f>IF(OpenLCAbasic!K7766="CTUh", "Fill in Manually",IF(OR(K7766="Unit", K7766=""), "", INDEX(LookUps!$E$5:$E$12, MATCH(OpenLCAbasic!K7766,LookUps!$D$5:$D$12,0))))</f>
        <v>Cumulative Energy Demand (CED) - MJ</v>
      </c>
      <c r="M7766" s="154" t="str">
        <f t="shared" si="603"/>
        <v>High_High_Base_Upgraded_Cumulative Energy Demand (CED) - MJ_Influent Pump Station; wastewater treatment unit; at updated plant - US_Without Amendment_Windrow</v>
      </c>
    </row>
    <row r="7767" spans="1:13" s="120" customFormat="1" x14ac:dyDescent="0.25">
      <c r="A7767" s="119"/>
      <c r="B7767" s="138" t="str">
        <f t="shared" si="600"/>
        <v>Windrow</v>
      </c>
      <c r="C7767" s="138" t="str">
        <f t="shared" si="604"/>
        <v>Without Amendment</v>
      </c>
      <c r="D7767" s="138" t="str">
        <f t="shared" si="605"/>
        <v>High_Base</v>
      </c>
      <c r="E7767" s="138" t="str">
        <f t="shared" si="606"/>
        <v>High</v>
      </c>
      <c r="F7767" s="138" t="str">
        <f t="shared" si="601"/>
        <v>Upgraded</v>
      </c>
      <c r="G7767" s="153"/>
      <c r="H7767" s="210">
        <v>0.90980000000000005</v>
      </c>
      <c r="I7767" s="160" t="s">
        <v>53</v>
      </c>
      <c r="J7767" s="160">
        <v>0.69645000000000001</v>
      </c>
      <c r="K7767" s="160" t="s">
        <v>15</v>
      </c>
      <c r="L7767" s="154" t="str">
        <f>IF(OpenLCAbasic!K7767="CTUh", "Fill in Manually",IF(OR(K7767="Unit", K7767=""), "", INDEX(LookUps!$E$5:$E$12, MATCH(OpenLCAbasic!K7767,LookUps!$D$5:$D$12,0))))</f>
        <v>Cumulative Energy Demand (CED) - MJ</v>
      </c>
      <c r="M7767" s="154" t="str">
        <f t="shared" si="603"/>
        <v>High_High_Base_Upgraded_Cumulative Energy Demand (CED) - MJ_Wet Well and Sump Station; wastewater treatment unit; at updated plant - US_Without Amendment_Windrow</v>
      </c>
    </row>
    <row r="7768" spans="1:13" s="120" customFormat="1" x14ac:dyDescent="0.25">
      <c r="A7768" s="119"/>
      <c r="B7768" s="138" t="str">
        <f t="shared" si="600"/>
        <v>Windrow</v>
      </c>
      <c r="C7768" s="138" t="str">
        <f t="shared" si="604"/>
        <v>Without Amendment</v>
      </c>
      <c r="D7768" s="138" t="str">
        <f t="shared" si="605"/>
        <v>High_Base</v>
      </c>
      <c r="E7768" s="138" t="str">
        <f t="shared" si="606"/>
        <v>High</v>
      </c>
      <c r="F7768" s="138" t="str">
        <f t="shared" si="601"/>
        <v>Upgraded</v>
      </c>
      <c r="G7768" s="153"/>
      <c r="H7768" s="210">
        <v>0.71099999999999997</v>
      </c>
      <c r="I7768" s="160" t="s">
        <v>60</v>
      </c>
      <c r="J7768" s="160">
        <v>0.54422999999999999</v>
      </c>
      <c r="K7768" s="160" t="s">
        <v>15</v>
      </c>
      <c r="L7768" s="154" t="str">
        <f>IF(OpenLCAbasic!K7768="CTUh", "Fill in Manually",IF(OR(K7768="Unit", K7768=""), "", INDEX(LookUps!$E$5:$E$12, MATCH(OpenLCAbasic!K7768,LookUps!$D$5:$D$12,0))))</f>
        <v>Cumulative Energy Demand (CED) - MJ</v>
      </c>
      <c r="M7768" s="154" t="str">
        <f t="shared" si="603"/>
        <v>High_High_Base_Upgraded_Cumulative Energy Demand (CED) - MJ_Belt filter press; wastewater treatment unit; at updated plant - US_Without Amendment_Windrow</v>
      </c>
    </row>
    <row r="7769" spans="1:13" s="120" customFormat="1" x14ac:dyDescent="0.25">
      <c r="A7769" s="119"/>
      <c r="B7769" s="138" t="str">
        <f t="shared" si="600"/>
        <v>Windrow</v>
      </c>
      <c r="C7769" s="138" t="str">
        <f t="shared" si="604"/>
        <v>Without Amendment</v>
      </c>
      <c r="D7769" s="138" t="str">
        <f t="shared" si="605"/>
        <v>High_Base</v>
      </c>
      <c r="E7769" s="138" t="str">
        <f t="shared" si="606"/>
        <v>High</v>
      </c>
      <c r="F7769" s="138" t="str">
        <f t="shared" si="601"/>
        <v>Upgraded</v>
      </c>
      <c r="G7769" s="153"/>
      <c r="H7769" s="210">
        <v>0.43640000000000001</v>
      </c>
      <c r="I7769" s="160" t="s">
        <v>57</v>
      </c>
      <c r="J7769" s="160">
        <v>0.33404</v>
      </c>
      <c r="K7769" s="160" t="s">
        <v>15</v>
      </c>
      <c r="L7769" s="154" t="str">
        <f>IF(OpenLCAbasic!K7769="CTUh", "Fill in Manually",IF(OR(K7769="Unit", K7769=""), "", INDEX(LookUps!$E$5:$E$12, MATCH(OpenLCAbasic!K7769,LookUps!$D$5:$D$12,0))))</f>
        <v>Cumulative Energy Demand (CED) - MJ</v>
      </c>
      <c r="M7769" s="154" t="str">
        <f t="shared" si="603"/>
        <v>High_High_Base_Upgraded_Cumulative Energy Demand (CED) - MJ_Gravity Belt Thickener; wastewater treatment unit; at updated plant - US_Without Amendment_Windrow</v>
      </c>
    </row>
    <row r="7770" spans="1:13" s="120" customFormat="1" x14ac:dyDescent="0.25">
      <c r="A7770" s="119"/>
      <c r="B7770" s="138" t="str">
        <f t="shared" si="600"/>
        <v>Windrow</v>
      </c>
      <c r="C7770" s="138" t="str">
        <f t="shared" si="604"/>
        <v>Without Amendment</v>
      </c>
      <c r="D7770" s="138" t="str">
        <f t="shared" si="605"/>
        <v>High_Base</v>
      </c>
      <c r="E7770" s="138" t="str">
        <f t="shared" si="606"/>
        <v>High</v>
      </c>
      <c r="F7770" s="138" t="str">
        <f t="shared" si="601"/>
        <v>Upgraded</v>
      </c>
      <c r="G7770" s="153"/>
      <c r="H7770" s="210">
        <v>0.33450000000000002</v>
      </c>
      <c r="I7770" s="160" t="s">
        <v>128</v>
      </c>
      <c r="J7770" s="160">
        <v>0.25606000000000001</v>
      </c>
      <c r="K7770" s="160" t="s">
        <v>15</v>
      </c>
      <c r="L7770" s="154" t="str">
        <f>IF(OpenLCAbasic!K7770="CTUh", "Fill in Manually",IF(OR(K7770="Unit", K7770=""), "", INDEX(LookUps!$E$5:$E$12, MATCH(OpenLCAbasic!K7770,LookUps!$D$5:$D$12,0))))</f>
        <v>Cumulative Energy Demand (CED) - MJ</v>
      </c>
      <c r="M7770" s="154" t="str">
        <f t="shared" si="603"/>
        <v>High_High_Base_Upgraded_Cumulative Energy Demand (CED) - MJ_Wastewater collection; operation and infrastructure; m3 wastewater_Without Amendment_Windrow</v>
      </c>
    </row>
    <row r="7771" spans="1:13" s="120" customFormat="1" x14ac:dyDescent="0.25">
      <c r="A7771" s="119"/>
      <c r="B7771" s="138" t="str">
        <f t="shared" si="600"/>
        <v>Windrow</v>
      </c>
      <c r="C7771" s="138" t="str">
        <f t="shared" si="604"/>
        <v>Without Amendment</v>
      </c>
      <c r="D7771" s="138" t="str">
        <f t="shared" si="605"/>
        <v>High_Base</v>
      </c>
      <c r="E7771" s="138" t="str">
        <f t="shared" si="606"/>
        <v>High</v>
      </c>
      <c r="F7771" s="138" t="str">
        <f t="shared" si="601"/>
        <v>Upgraded</v>
      </c>
      <c r="G7771" s="153"/>
      <c r="H7771" s="210">
        <v>0.19070000000000001</v>
      </c>
      <c r="I7771" s="160" t="s">
        <v>148</v>
      </c>
      <c r="J7771" s="160">
        <v>0.14599000000000001</v>
      </c>
      <c r="K7771" s="160" t="s">
        <v>15</v>
      </c>
      <c r="L7771" s="154" t="str">
        <f>IF(OpenLCAbasic!K7771="CTUh", "Fill in Manually",IF(OR(K7771="Unit", K7771=""), "", INDEX(LookUps!$E$5:$E$12, MATCH(OpenLCAbasic!K7771,LookUps!$D$5:$D$12,0))))</f>
        <v>Cumulative Energy Demand (CED) - MJ</v>
      </c>
      <c r="M7771" s="154" t="str">
        <f t="shared" si="603"/>
        <v>High_High_Base_Upgraded_Cumulative Energy Demand (CED) - MJ_Control Building; at upgraded wastewater treatment plant - US_Without Amendment_Windrow</v>
      </c>
    </row>
    <row r="7772" spans="1:13" s="120" customFormat="1" x14ac:dyDescent="0.25">
      <c r="A7772" s="119"/>
      <c r="B7772" s="138" t="str">
        <f t="shared" si="600"/>
        <v>Windrow</v>
      </c>
      <c r="C7772" s="138" t="str">
        <f t="shared" si="604"/>
        <v>Without Amendment</v>
      </c>
      <c r="D7772" s="138" t="str">
        <f t="shared" si="605"/>
        <v>High_Base</v>
      </c>
      <c r="E7772" s="138" t="str">
        <f t="shared" si="606"/>
        <v>High</v>
      </c>
      <c r="F7772" s="138" t="str">
        <f t="shared" si="601"/>
        <v>Upgraded</v>
      </c>
      <c r="G7772" s="153"/>
      <c r="H7772" s="210">
        <v>0.17399999999999999</v>
      </c>
      <c r="I7772" s="160" t="s">
        <v>48</v>
      </c>
      <c r="J7772" s="160">
        <v>0.13321</v>
      </c>
      <c r="K7772" s="160" t="s">
        <v>15</v>
      </c>
      <c r="L7772" s="154" t="str">
        <f>IF(OpenLCAbasic!K7772="CTUh", "Fill in Manually",IF(OR(K7772="Unit", K7772=""), "", INDEX(LookUps!$E$5:$E$12, MATCH(OpenLCAbasic!K7772,LookUps!$D$5:$D$12,0))))</f>
        <v>Cumulative Energy Demand (CED) - MJ</v>
      </c>
      <c r="M7772" s="154" t="str">
        <f t="shared" si="603"/>
        <v>High_High_Base_Upgraded_Cumulative Energy Demand (CED) - MJ_Effluent release; wastewater treatment unit; at surface water; m3 wastewater - US_Without Amendment_Windrow</v>
      </c>
    </row>
    <row r="7773" spans="1:13" s="120" customFormat="1" x14ac:dyDescent="0.25">
      <c r="A7773" s="119"/>
      <c r="B7773" s="138" t="str">
        <f t="shared" si="600"/>
        <v>Windrow</v>
      </c>
      <c r="C7773" s="138" t="str">
        <f t="shared" si="604"/>
        <v>Without Amendment</v>
      </c>
      <c r="D7773" s="138" t="str">
        <f t="shared" si="605"/>
        <v>High_Base</v>
      </c>
      <c r="E7773" s="138" t="str">
        <f t="shared" si="606"/>
        <v>High</v>
      </c>
      <c r="F7773" s="138" t="str">
        <f t="shared" si="601"/>
        <v>Upgraded</v>
      </c>
      <c r="G7773" s="153"/>
      <c r="H7773" s="210">
        <v>0.13900000000000001</v>
      </c>
      <c r="I7773" s="160" t="s">
        <v>59</v>
      </c>
      <c r="J7773" s="160">
        <v>0.10638</v>
      </c>
      <c r="K7773" s="160" t="s">
        <v>15</v>
      </c>
      <c r="L7773" s="154" t="str">
        <f>IF(OpenLCAbasic!K7773="CTUh", "Fill in Manually",IF(OR(K7773="Unit", K7773=""), "", INDEX(LookUps!$E$5:$E$12, MATCH(OpenLCAbasic!K7773,LookUps!$D$5:$D$12,0))))</f>
        <v>Cumulative Energy Demand (CED) - MJ</v>
      </c>
      <c r="M7773" s="154" t="str">
        <f t="shared" si="603"/>
        <v>High_High_Base_Upgraded_Cumulative Energy Demand (CED) - MJ_Blend Tank; wastewater treatment unit; at updated plant - US_Without Amendment_Windrow</v>
      </c>
    </row>
    <row r="7774" spans="1:13" s="120" customFormat="1" x14ac:dyDescent="0.25">
      <c r="A7774" s="119"/>
      <c r="B7774" s="138" t="str">
        <f t="shared" si="600"/>
        <v>Windrow</v>
      </c>
      <c r="C7774" s="138" t="str">
        <f t="shared" si="604"/>
        <v>Without Amendment</v>
      </c>
      <c r="D7774" s="138" t="str">
        <f t="shared" si="605"/>
        <v>High_Base</v>
      </c>
      <c r="E7774" s="138" t="str">
        <f t="shared" si="606"/>
        <v>High</v>
      </c>
      <c r="F7774" s="138" t="str">
        <f t="shared" si="601"/>
        <v>Upgraded</v>
      </c>
      <c r="G7774" s="153"/>
      <c r="H7774" s="210">
        <v>6.6500000000000004E-2</v>
      </c>
      <c r="I7774" s="160" t="s">
        <v>168</v>
      </c>
      <c r="J7774" s="160">
        <v>5.0930000000000003E-2</v>
      </c>
      <c r="K7774" s="160" t="s">
        <v>15</v>
      </c>
      <c r="L7774" s="154" t="str">
        <f>IF(OpenLCAbasic!K7774="CTUh", "Fill in Manually",IF(OR(K7774="Unit", K7774=""), "", INDEX(LookUps!$E$5:$E$12, MATCH(OpenLCAbasic!K7774,LookUps!$D$5:$D$12,0))))</f>
        <v>Cumulative Energy Demand (CED) - MJ</v>
      </c>
      <c r="M7774" s="154" t="str">
        <f t="shared" si="603"/>
        <v>High_High_Base_Upgraded_Cumulative Energy Demand (CED) - MJ_ClearCove SCP; wastewater treatment unit; at updated plant - US_Without Amendment_Windrow</v>
      </c>
    </row>
    <row r="7775" spans="1:13" s="120" customFormat="1" x14ac:dyDescent="0.25">
      <c r="A7775" s="119"/>
      <c r="B7775" s="138" t="str">
        <f t="shared" si="600"/>
        <v>Windrow</v>
      </c>
      <c r="C7775" s="138" t="str">
        <f t="shared" si="604"/>
        <v>Without Amendment</v>
      </c>
      <c r="D7775" s="138" t="str">
        <f t="shared" si="605"/>
        <v>High_Base</v>
      </c>
      <c r="E7775" s="138" t="str">
        <f t="shared" si="606"/>
        <v>High</v>
      </c>
      <c r="F7775" s="138" t="str">
        <f t="shared" si="601"/>
        <v>Upgraded</v>
      </c>
      <c r="G7775" s="153"/>
      <c r="H7775" s="210">
        <v>4.6300000000000001E-2</v>
      </c>
      <c r="I7775" s="160" t="s">
        <v>271</v>
      </c>
      <c r="J7775" s="160">
        <v>3.5470000000000002E-2</v>
      </c>
      <c r="K7775" s="160" t="s">
        <v>15</v>
      </c>
      <c r="L7775" s="154" t="str">
        <f>IF(OpenLCAbasic!K7775="CTUh", "Fill in Manually",IF(OR(K7775="Unit", K7775=""), "", INDEX(LookUps!$E$5:$E$12, MATCH(OpenLCAbasic!K7775,LookUps!$D$5:$D$12,0))))</f>
        <v>Cumulative Energy Demand (CED) - MJ</v>
      </c>
      <c r="M7775" s="154" t="str">
        <f t="shared" si="603"/>
        <v>High_High_Base_Upgraded_Cumulative Energy Demand (CED) - MJ_Biosolids composting; windrow composting; wastewater treatment unit; at updated plant - US_Without Amendment_Windrow</v>
      </c>
    </row>
    <row r="7776" spans="1:13" s="120" customFormat="1" x14ac:dyDescent="0.25">
      <c r="A7776" s="119"/>
      <c r="B7776" s="138" t="str">
        <f t="shared" si="600"/>
        <v>Windrow</v>
      </c>
      <c r="C7776" s="138" t="str">
        <f t="shared" si="604"/>
        <v>Without Amendment</v>
      </c>
      <c r="D7776" s="138" t="str">
        <f t="shared" si="605"/>
        <v>High_Base</v>
      </c>
      <c r="E7776" s="138" t="str">
        <f t="shared" si="606"/>
        <v>High</v>
      </c>
      <c r="F7776" s="138" t="str">
        <f t="shared" si="601"/>
        <v>Upgraded</v>
      </c>
      <c r="G7776" s="153"/>
      <c r="H7776" s="210">
        <v>-0.64970000000000006</v>
      </c>
      <c r="I7776" s="160" t="s">
        <v>62</v>
      </c>
      <c r="J7776" s="160">
        <v>-0.49734</v>
      </c>
      <c r="K7776" s="160" t="s">
        <v>15</v>
      </c>
      <c r="L7776" s="154" t="str">
        <f>IF(OpenLCAbasic!K7776="CTUh", "Fill in Manually",IF(OR(K7776="Unit", K7776=""), "", INDEX(LookUps!$E$5:$E$12, MATCH(OpenLCAbasic!K7776,LookUps!$D$5:$D$12,0))))</f>
        <v>Cumulative Energy Demand (CED) - MJ</v>
      </c>
      <c r="M7776" s="154" t="str">
        <f t="shared" si="603"/>
        <v>High_High_Base_Upgraded_Cumulative Energy Demand (CED) - MJ_Land application of compost; wastewater treatment unit; at updated plant - US_Without Amendment_Windrow</v>
      </c>
    </row>
    <row r="7777" spans="1:13" s="120" customFormat="1" x14ac:dyDescent="0.25">
      <c r="A7777" s="119"/>
      <c r="B7777" s="138" t="str">
        <f t="shared" si="600"/>
        <v>Windrow</v>
      </c>
      <c r="C7777" s="138" t="str">
        <f t="shared" si="604"/>
        <v>Without Amendment</v>
      </c>
      <c r="D7777" s="138" t="str">
        <f t="shared" si="605"/>
        <v>High_Base</v>
      </c>
      <c r="E7777" s="138" t="str">
        <f t="shared" si="606"/>
        <v>High</v>
      </c>
      <c r="F7777" s="138" t="str">
        <f t="shared" si="601"/>
        <v>Upgraded</v>
      </c>
      <c r="G7777" s="153"/>
      <c r="H7777" s="210">
        <v>-18.524000000000001</v>
      </c>
      <c r="I7777" s="160" t="s">
        <v>149</v>
      </c>
      <c r="J7777" s="160">
        <v>-14.179790000000001</v>
      </c>
      <c r="K7777" s="160" t="s">
        <v>15</v>
      </c>
      <c r="L7777" s="154" t="str">
        <f>IF(OpenLCAbasic!K7777="CTUh", "Fill in Manually",IF(OR(K7777="Unit", K7777=""), "", INDEX(LookUps!$E$5:$E$12, MATCH(OpenLCAbasic!K7777,LookUps!$D$5:$D$12,0))))</f>
        <v>Cumulative Energy Demand (CED) - MJ</v>
      </c>
      <c r="M7777" s="154" t="str">
        <f t="shared" si="603"/>
        <v>High_High_Base_Upgraded_Cumulative Energy Demand (CED) - MJ_Anaerobic Digestion; wastewater treatment unit; at updated plant - US_Without Amendment_Windrow</v>
      </c>
    </row>
    <row r="7778" spans="1:13" s="120" customFormat="1" x14ac:dyDescent="0.25">
      <c r="A7778" s="119"/>
      <c r="B7778" s="138" t="str">
        <f t="shared" si="600"/>
        <v/>
      </c>
      <c r="C7778" s="138" t="str">
        <f t="shared" si="604"/>
        <v/>
      </c>
      <c r="D7778" s="138" t="str">
        <f t="shared" si="605"/>
        <v/>
      </c>
      <c r="E7778" s="138" t="str">
        <f t="shared" si="606"/>
        <v/>
      </c>
      <c r="F7778" s="138" t="str">
        <f t="shared" si="601"/>
        <v/>
      </c>
      <c r="G7778" s="153" t="s">
        <v>51</v>
      </c>
      <c r="H7778" s="160"/>
      <c r="I7778" s="160" t="s">
        <v>47</v>
      </c>
      <c r="J7778" s="160" t="s">
        <v>52</v>
      </c>
      <c r="K7778" s="160" t="s">
        <v>27</v>
      </c>
      <c r="L7778" s="154" t="str">
        <f>IF(OpenLCAbasic!K7778="CTUh", "Fill in Manually",IF(OR(K7778="Unit", K7778=""), "", INDEX(LookUps!$E$5:$E$12, MATCH(OpenLCAbasic!K7778,LookUps!$D$5:$D$12,0))))</f>
        <v/>
      </c>
      <c r="M7778" s="154" t="str">
        <f t="shared" si="603"/>
        <v>____Process__</v>
      </c>
    </row>
    <row r="7779" spans="1:13" s="120" customFormat="1" x14ac:dyDescent="0.25">
      <c r="A7779" s="119"/>
      <c r="B7779" s="138" t="str">
        <f t="shared" si="600"/>
        <v>Windrow</v>
      </c>
      <c r="C7779" s="138" t="str">
        <f t="shared" si="604"/>
        <v>Without Amendment</v>
      </c>
      <c r="D7779" s="138" t="str">
        <f t="shared" si="605"/>
        <v>High_Base</v>
      </c>
      <c r="E7779" s="138" t="str">
        <f t="shared" si="606"/>
        <v>High</v>
      </c>
      <c r="F7779" s="138" t="str">
        <f t="shared" si="601"/>
        <v>Upgraded</v>
      </c>
      <c r="G7779" s="153"/>
      <c r="H7779" s="210">
        <v>0.76749999999999996</v>
      </c>
      <c r="I7779" s="160" t="s">
        <v>48</v>
      </c>
      <c r="J7779" s="160">
        <v>1.1610000000000001E-2</v>
      </c>
      <c r="K7779" s="160" t="s">
        <v>13</v>
      </c>
      <c r="L7779" s="154" t="str">
        <f>IF(OpenLCAbasic!K7779="CTUh", "Fill in Manually",IF(OR(K7779="Unit", K7779=""), "", INDEX(LookUps!$E$5:$E$12, MATCH(OpenLCAbasic!K7779,LookUps!$D$5:$D$12,0))))</f>
        <v>Eutrophication Potential (EP) - kg N eq</v>
      </c>
      <c r="M7779" s="154" t="str">
        <f t="shared" si="603"/>
        <v>High_High_Base_Upgraded_Eutrophication Potential (EP) - kg N eq_Effluent release; wastewater treatment unit; at surface water; m3 wastewater - US_Without Amendment_Windrow</v>
      </c>
    </row>
    <row r="7780" spans="1:13" s="120" customFormat="1" x14ac:dyDescent="0.25">
      <c r="A7780" s="119"/>
      <c r="B7780" s="138" t="str">
        <f t="shared" si="600"/>
        <v>Windrow</v>
      </c>
      <c r="C7780" s="138" t="str">
        <f t="shared" si="604"/>
        <v>Without Amendment</v>
      </c>
      <c r="D7780" s="138" t="str">
        <f t="shared" si="605"/>
        <v>High_Base</v>
      </c>
      <c r="E7780" s="138" t="str">
        <f t="shared" si="606"/>
        <v>High</v>
      </c>
      <c r="F7780" s="138" t="str">
        <f t="shared" si="601"/>
        <v>Upgraded</v>
      </c>
      <c r="G7780" s="153"/>
      <c r="H7780" s="210">
        <v>0.15479999999999999</v>
      </c>
      <c r="I7780" s="160" t="s">
        <v>62</v>
      </c>
      <c r="J7780" s="160">
        <v>2.3400000000000001E-3</v>
      </c>
      <c r="K7780" s="160" t="s">
        <v>13</v>
      </c>
      <c r="L7780" s="154" t="str">
        <f>IF(OpenLCAbasic!K7780="CTUh", "Fill in Manually",IF(OR(K7780="Unit", K7780=""), "", INDEX(LookUps!$E$5:$E$12, MATCH(OpenLCAbasic!K7780,LookUps!$D$5:$D$12,0))))</f>
        <v>Eutrophication Potential (EP) - kg N eq</v>
      </c>
      <c r="M7780" s="154" t="str">
        <f t="shared" si="603"/>
        <v>High_High_Base_Upgraded_Eutrophication Potential (EP) - kg N eq_Land application of compost; wastewater treatment unit; at updated plant - US_Without Amendment_Windrow</v>
      </c>
    </row>
    <row r="7781" spans="1:13" s="120" customFormat="1" x14ac:dyDescent="0.25">
      <c r="A7781" s="119"/>
      <c r="B7781" s="138" t="str">
        <f t="shared" si="600"/>
        <v>Windrow</v>
      </c>
      <c r="C7781" s="138" t="str">
        <f t="shared" si="604"/>
        <v>Without Amendment</v>
      </c>
      <c r="D7781" s="138" t="str">
        <f t="shared" si="605"/>
        <v>High_Base</v>
      </c>
      <c r="E7781" s="138" t="str">
        <f t="shared" si="606"/>
        <v>High</v>
      </c>
      <c r="F7781" s="138" t="str">
        <f t="shared" si="601"/>
        <v>Upgraded</v>
      </c>
      <c r="G7781" s="153"/>
      <c r="H7781" s="210">
        <v>5.5800000000000002E-2</v>
      </c>
      <c r="I7781" s="160" t="s">
        <v>271</v>
      </c>
      <c r="J7781" s="160">
        <v>8.4000000000000003E-4</v>
      </c>
      <c r="K7781" s="160" t="s">
        <v>13</v>
      </c>
      <c r="L7781" s="154" t="str">
        <f>IF(OpenLCAbasic!K7781="CTUh", "Fill in Manually",IF(OR(K7781="Unit", K7781=""), "", INDEX(LookUps!$E$5:$E$12, MATCH(OpenLCAbasic!K7781,LookUps!$D$5:$D$12,0))))</f>
        <v>Eutrophication Potential (EP) - kg N eq</v>
      </c>
      <c r="M7781" s="154" t="str">
        <f t="shared" si="603"/>
        <v>High_High_Base_Upgraded_Eutrophication Potential (EP) - kg N eq_Biosolids composting; windrow composting; wastewater treatment unit; at updated plant - US_Without Amendment_Windrow</v>
      </c>
    </row>
    <row r="7782" spans="1:13" s="120" customFormat="1" x14ac:dyDescent="0.25">
      <c r="A7782" s="119"/>
      <c r="B7782" s="138" t="str">
        <f t="shared" si="600"/>
        <v>Windrow</v>
      </c>
      <c r="C7782" s="138" t="str">
        <f t="shared" si="604"/>
        <v>Without Amendment</v>
      </c>
      <c r="D7782" s="138" t="str">
        <f t="shared" si="605"/>
        <v>High_Base</v>
      </c>
      <c r="E7782" s="138" t="str">
        <f t="shared" si="606"/>
        <v>High</v>
      </c>
      <c r="F7782" s="138" t="str">
        <f t="shared" si="601"/>
        <v>Upgraded</v>
      </c>
      <c r="G7782" s="153"/>
      <c r="H7782" s="210">
        <v>3.61E-2</v>
      </c>
      <c r="I7782" s="160" t="s">
        <v>55</v>
      </c>
      <c r="J7782" s="160">
        <v>5.5000000000000003E-4</v>
      </c>
      <c r="K7782" s="160" t="s">
        <v>13</v>
      </c>
      <c r="L7782" s="154" t="str">
        <f>IF(OpenLCAbasic!K7782="CTUh", "Fill in Manually",IF(OR(K7782="Unit", K7782=""), "", INDEX(LookUps!$E$5:$E$12, MATCH(OpenLCAbasic!K7782,LookUps!$D$5:$D$12,0))))</f>
        <v>Eutrophication Potential (EP) - kg N eq</v>
      </c>
      <c r="M7782" s="154" t="str">
        <f t="shared" si="603"/>
        <v>High_High_Base_Upgraded_Eutrophication Potential (EP) - kg N eq_Aeration Tanks; wastewater treatment unit; at updated plant - US_Without Amendment_Windrow</v>
      </c>
    </row>
    <row r="7783" spans="1:13" s="120" customFormat="1" x14ac:dyDescent="0.25">
      <c r="A7783" s="119"/>
      <c r="B7783" s="138" t="str">
        <f t="shared" si="600"/>
        <v>Windrow</v>
      </c>
      <c r="C7783" s="138" t="str">
        <f t="shared" si="604"/>
        <v>Without Amendment</v>
      </c>
      <c r="D7783" s="138" t="str">
        <f t="shared" si="605"/>
        <v>High_Base</v>
      </c>
      <c r="E7783" s="138" t="str">
        <f t="shared" si="606"/>
        <v>High</v>
      </c>
      <c r="F7783" s="138" t="str">
        <f t="shared" si="601"/>
        <v>Upgraded</v>
      </c>
      <c r="G7783" s="153"/>
      <c r="H7783" s="210">
        <v>1.6500000000000001E-2</v>
      </c>
      <c r="I7783" s="160" t="s">
        <v>147</v>
      </c>
      <c r="J7783" s="160">
        <v>2.5000000000000001E-4</v>
      </c>
      <c r="K7783" s="160" t="s">
        <v>13</v>
      </c>
      <c r="L7783" s="154" t="str">
        <f>IF(OpenLCAbasic!K7783="CTUh", "Fill in Manually",IF(OR(K7783="Unit", K7783=""), "", INDEX(LookUps!$E$5:$E$12, MATCH(OpenLCAbasic!K7783,LookUps!$D$5:$D$12,0))))</f>
        <v>Eutrophication Potential (EP) - kg N eq</v>
      </c>
      <c r="M7783" s="154" t="str">
        <f t="shared" si="603"/>
        <v>High_High_Base_Upgraded_Eutrophication Potential (EP) - kg N eq_Influent Pump Station; wastewater treatment unit; at updated plant - US_Without Amendment_Windrow</v>
      </c>
    </row>
    <row r="7784" spans="1:13" s="120" customFormat="1" x14ac:dyDescent="0.25">
      <c r="A7784" s="119"/>
      <c r="B7784" s="138" t="str">
        <f t="shared" ref="B7784:B7847" si="607">IF(F7784="Legacy","n.a.",IF(F7784="","","Windrow"))</f>
        <v>Windrow</v>
      </c>
      <c r="C7784" s="138" t="str">
        <f t="shared" si="604"/>
        <v>Without Amendment</v>
      </c>
      <c r="D7784" s="138" t="str">
        <f t="shared" si="605"/>
        <v>High_Base</v>
      </c>
      <c r="E7784" s="138" t="str">
        <f t="shared" si="606"/>
        <v>High</v>
      </c>
      <c r="F7784" s="138" t="str">
        <f t="shared" ref="F7784:F7847" si="608">IF(ISNUMBER(J7784),"Upgraded","")</f>
        <v>Upgraded</v>
      </c>
      <c r="G7784" s="153"/>
      <c r="H7784" s="210">
        <v>1.46E-2</v>
      </c>
      <c r="I7784" s="160" t="s">
        <v>167</v>
      </c>
      <c r="J7784" s="160">
        <v>2.2000000000000001E-4</v>
      </c>
      <c r="K7784" s="160" t="s">
        <v>13</v>
      </c>
      <c r="L7784" s="154" t="str">
        <f>IF(OpenLCAbasic!K7784="CTUh", "Fill in Manually",IF(OR(K7784="Unit", K7784=""), "", INDEX(LookUps!$E$5:$E$12, MATCH(OpenLCAbasic!K7784,LookUps!$D$5:$D$12,0))))</f>
        <v>Eutrophication Potential (EP) - kg N eq</v>
      </c>
      <c r="M7784" s="154" t="str">
        <f t="shared" si="603"/>
        <v>High_High_Base_Upgraded_Eutrophication Potential (EP) - kg N eq_Waste Receiving and Holding; wastewater treatment unit; at updated plant - US_Without Amendment_Windrow</v>
      </c>
    </row>
    <row r="7785" spans="1:13" s="120" customFormat="1" x14ac:dyDescent="0.25">
      <c r="A7785" s="119"/>
      <c r="B7785" s="138" t="str">
        <f t="shared" si="607"/>
        <v>Windrow</v>
      </c>
      <c r="C7785" s="138" t="str">
        <f t="shared" si="604"/>
        <v>Without Amendment</v>
      </c>
      <c r="D7785" s="138" t="str">
        <f t="shared" si="605"/>
        <v>High_Base</v>
      </c>
      <c r="E7785" s="138" t="str">
        <f t="shared" si="606"/>
        <v>High</v>
      </c>
      <c r="F7785" s="138" t="str">
        <f t="shared" si="608"/>
        <v>Upgraded</v>
      </c>
      <c r="G7785" s="153"/>
      <c r="H7785" s="210">
        <v>1.3100000000000001E-2</v>
      </c>
      <c r="I7785" s="160" t="s">
        <v>54</v>
      </c>
      <c r="J7785" s="160">
        <v>2.0000000000000001E-4</v>
      </c>
      <c r="K7785" s="160" t="s">
        <v>13</v>
      </c>
      <c r="L7785" s="154" t="str">
        <f>IF(OpenLCAbasic!K7785="CTUh", "Fill in Manually",IF(OR(K7785="Unit", K7785=""), "", INDEX(LookUps!$E$5:$E$12, MATCH(OpenLCAbasic!K7785,LookUps!$D$5:$D$12,0))))</f>
        <v>Eutrophication Potential (EP) - kg N eq</v>
      </c>
      <c r="M7785" s="154" t="str">
        <f t="shared" si="603"/>
        <v>High_High_Base_Upgraded_Eutrophication Potential (EP) - kg N eq_Clear Cove Primary Clarification; wastewater treatment unit; at updated plant - US_Without Amendment_Windrow</v>
      </c>
    </row>
    <row r="7786" spans="1:13" s="120" customFormat="1" x14ac:dyDescent="0.25">
      <c r="A7786" s="119"/>
      <c r="B7786" s="138" t="str">
        <f t="shared" si="607"/>
        <v>Windrow</v>
      </c>
      <c r="C7786" s="138" t="str">
        <f t="shared" si="604"/>
        <v>Without Amendment</v>
      </c>
      <c r="D7786" s="138" t="str">
        <f t="shared" si="605"/>
        <v>High_Base</v>
      </c>
      <c r="E7786" s="138" t="str">
        <f t="shared" si="606"/>
        <v>High</v>
      </c>
      <c r="F7786" s="138" t="str">
        <f t="shared" si="608"/>
        <v>Upgraded</v>
      </c>
      <c r="G7786" s="153"/>
      <c r="H7786" s="210">
        <v>8.9999999999999993E-3</v>
      </c>
      <c r="I7786" s="160" t="s">
        <v>58</v>
      </c>
      <c r="J7786" s="160">
        <v>1.3999999999999999E-4</v>
      </c>
      <c r="K7786" s="160" t="s">
        <v>13</v>
      </c>
      <c r="L7786" s="154" t="str">
        <f>IF(OpenLCAbasic!K7786="CTUh", "Fill in Manually",IF(OR(K7786="Unit", K7786=""), "", INDEX(LookUps!$E$5:$E$12, MATCH(OpenLCAbasic!K7786,LookUps!$D$5:$D$12,0))))</f>
        <v>Eutrophication Potential (EP) - kg N eq</v>
      </c>
      <c r="M7786" s="154" t="str">
        <f t="shared" si="603"/>
        <v>High_High_Base_Upgraded_Eutrophication Potential (EP) - kg N eq_Pre-Anoxic &amp; Swing tank; wastewater treatment unit; at updated plant - US_Without Amendment_Windrow</v>
      </c>
    </row>
    <row r="7787" spans="1:13" s="120" customFormat="1" x14ac:dyDescent="0.25">
      <c r="A7787" s="119"/>
      <c r="B7787" s="138" t="str">
        <f t="shared" si="607"/>
        <v>Windrow</v>
      </c>
      <c r="C7787" s="138" t="str">
        <f t="shared" si="604"/>
        <v>Without Amendment</v>
      </c>
      <c r="D7787" s="138" t="str">
        <f t="shared" si="605"/>
        <v>High_Base</v>
      </c>
      <c r="E7787" s="138" t="str">
        <f t="shared" si="606"/>
        <v>High</v>
      </c>
      <c r="F7787" s="138" t="str">
        <f t="shared" si="608"/>
        <v>Upgraded</v>
      </c>
      <c r="G7787" s="153"/>
      <c r="H7787" s="210">
        <v>7.1000000000000004E-3</v>
      </c>
      <c r="I7787" s="160" t="s">
        <v>53</v>
      </c>
      <c r="J7787" s="160">
        <v>1.1E-4</v>
      </c>
      <c r="K7787" s="160" t="s">
        <v>13</v>
      </c>
      <c r="L7787" s="154" t="str">
        <f>IF(OpenLCAbasic!K7787="CTUh", "Fill in Manually",IF(OR(K7787="Unit", K7787=""), "", INDEX(LookUps!$E$5:$E$12, MATCH(OpenLCAbasic!K7787,LookUps!$D$5:$D$12,0))))</f>
        <v>Eutrophication Potential (EP) - kg N eq</v>
      </c>
      <c r="M7787" s="154" t="str">
        <f t="shared" si="603"/>
        <v>High_High_Base_Upgraded_Eutrophication Potential (EP) - kg N eq_Wet Well and Sump Station; wastewater treatment unit; at updated plant - US_Without Amendment_Windrow</v>
      </c>
    </row>
    <row r="7788" spans="1:13" s="120" customFormat="1" x14ac:dyDescent="0.25">
      <c r="A7788" s="119"/>
      <c r="B7788" s="138" t="str">
        <f t="shared" si="607"/>
        <v>Windrow</v>
      </c>
      <c r="C7788" s="138" t="str">
        <f t="shared" si="604"/>
        <v>Without Amendment</v>
      </c>
      <c r="D7788" s="138" t="str">
        <f t="shared" si="605"/>
        <v>High_Base</v>
      </c>
      <c r="E7788" s="138" t="str">
        <f t="shared" si="606"/>
        <v>High</v>
      </c>
      <c r="F7788" s="138" t="str">
        <f t="shared" si="608"/>
        <v>Upgraded</v>
      </c>
      <c r="G7788" s="153"/>
      <c r="H7788" s="210">
        <v>6.3E-3</v>
      </c>
      <c r="I7788" s="160" t="s">
        <v>60</v>
      </c>
      <c r="J7788" s="211">
        <v>9.5601799999999997E-5</v>
      </c>
      <c r="K7788" s="160" t="s">
        <v>13</v>
      </c>
      <c r="L7788" s="154" t="str">
        <f>IF(OpenLCAbasic!K7788="CTUh", "Fill in Manually",IF(OR(K7788="Unit", K7788=""), "", INDEX(LookUps!$E$5:$E$12, MATCH(OpenLCAbasic!K7788,LookUps!$D$5:$D$12,0))))</f>
        <v>Eutrophication Potential (EP) - kg N eq</v>
      </c>
      <c r="M7788" s="154" t="str">
        <f t="shared" si="603"/>
        <v>High_High_Base_Upgraded_Eutrophication Potential (EP) - kg N eq_Belt filter press; wastewater treatment unit; at updated plant - US_Without Amendment_Windrow</v>
      </c>
    </row>
    <row r="7789" spans="1:13" s="120" customFormat="1" x14ac:dyDescent="0.25">
      <c r="A7789" s="119"/>
      <c r="B7789" s="138" t="str">
        <f t="shared" si="607"/>
        <v>Windrow</v>
      </c>
      <c r="C7789" s="138" t="str">
        <f t="shared" si="604"/>
        <v>Without Amendment</v>
      </c>
      <c r="D7789" s="138" t="str">
        <f t="shared" si="605"/>
        <v>High_Base</v>
      </c>
      <c r="E7789" s="138" t="str">
        <f t="shared" si="606"/>
        <v>High</v>
      </c>
      <c r="F7789" s="138" t="str">
        <f t="shared" si="608"/>
        <v>Upgraded</v>
      </c>
      <c r="G7789" s="153"/>
      <c r="H7789" s="210">
        <v>4.0000000000000001E-3</v>
      </c>
      <c r="I7789" s="160" t="s">
        <v>57</v>
      </c>
      <c r="J7789" s="211">
        <v>6.0590300000000002E-5</v>
      </c>
      <c r="K7789" s="160" t="s">
        <v>13</v>
      </c>
      <c r="L7789" s="154" t="str">
        <f>IF(OpenLCAbasic!K7789="CTUh", "Fill in Manually",IF(OR(K7789="Unit", K7789=""), "", INDEX(LookUps!$E$5:$E$12, MATCH(OpenLCAbasic!K7789,LookUps!$D$5:$D$12,0))))</f>
        <v>Eutrophication Potential (EP) - kg N eq</v>
      </c>
      <c r="M7789" s="154" t="str">
        <f t="shared" si="603"/>
        <v>High_High_Base_Upgraded_Eutrophication Potential (EP) - kg N eq_Gravity Belt Thickener; wastewater treatment unit; at updated plant - US_Without Amendment_Windrow</v>
      </c>
    </row>
    <row r="7790" spans="1:13" s="120" customFormat="1" x14ac:dyDescent="0.25">
      <c r="A7790" s="119"/>
      <c r="B7790" s="138" t="str">
        <f t="shared" si="607"/>
        <v>Windrow</v>
      </c>
      <c r="C7790" s="138" t="str">
        <f t="shared" si="604"/>
        <v>Without Amendment</v>
      </c>
      <c r="D7790" s="138" t="str">
        <f t="shared" si="605"/>
        <v>High_Base</v>
      </c>
      <c r="E7790" s="138" t="str">
        <f t="shared" si="606"/>
        <v>High</v>
      </c>
      <c r="F7790" s="138" t="str">
        <f t="shared" si="608"/>
        <v>Upgraded</v>
      </c>
      <c r="G7790" s="153"/>
      <c r="H7790" s="210">
        <v>2.5000000000000001E-3</v>
      </c>
      <c r="I7790" s="160" t="s">
        <v>128</v>
      </c>
      <c r="J7790" s="211">
        <v>3.7559799999999999E-5</v>
      </c>
      <c r="K7790" s="160" t="s">
        <v>13</v>
      </c>
      <c r="L7790" s="154" t="str">
        <f>IF(OpenLCAbasic!K7790="CTUh", "Fill in Manually",IF(OR(K7790="Unit", K7790=""), "", INDEX(LookUps!$E$5:$E$12, MATCH(OpenLCAbasic!K7790,LookUps!$D$5:$D$12,0))))</f>
        <v>Eutrophication Potential (EP) - kg N eq</v>
      </c>
      <c r="M7790" s="154" t="str">
        <f t="shared" si="603"/>
        <v>High_High_Base_Upgraded_Eutrophication Potential (EP) - kg N eq_Wastewater collection; operation and infrastructure; m3 wastewater_Without Amendment_Windrow</v>
      </c>
    </row>
    <row r="7791" spans="1:13" s="120" customFormat="1" x14ac:dyDescent="0.25">
      <c r="A7791" s="119"/>
      <c r="B7791" s="138" t="str">
        <f t="shared" si="607"/>
        <v>Windrow</v>
      </c>
      <c r="C7791" s="138" t="str">
        <f t="shared" si="604"/>
        <v>Without Amendment</v>
      </c>
      <c r="D7791" s="138" t="str">
        <f t="shared" si="605"/>
        <v>High_Base</v>
      </c>
      <c r="E7791" s="138" t="str">
        <f t="shared" si="606"/>
        <v>High</v>
      </c>
      <c r="F7791" s="138" t="str">
        <f t="shared" si="608"/>
        <v>Upgraded</v>
      </c>
      <c r="G7791" s="153"/>
      <c r="H7791" s="210">
        <v>2.3999999999999998E-3</v>
      </c>
      <c r="I7791" s="160" t="s">
        <v>148</v>
      </c>
      <c r="J7791" s="211">
        <v>3.6874600000000001E-5</v>
      </c>
      <c r="K7791" s="160" t="s">
        <v>13</v>
      </c>
      <c r="L7791" s="154" t="str">
        <f>IF(OpenLCAbasic!K7791="CTUh", "Fill in Manually",IF(OR(K7791="Unit", K7791=""), "", INDEX(LookUps!$E$5:$E$12, MATCH(OpenLCAbasic!K7791,LookUps!$D$5:$D$12,0))))</f>
        <v>Eutrophication Potential (EP) - kg N eq</v>
      </c>
      <c r="M7791" s="154" t="str">
        <f t="shared" si="603"/>
        <v>High_High_Base_Upgraded_Eutrophication Potential (EP) - kg N eq_Control Building; at upgraded wastewater treatment plant - US_Without Amendment_Windrow</v>
      </c>
    </row>
    <row r="7792" spans="1:13" s="120" customFormat="1" x14ac:dyDescent="0.25">
      <c r="A7792" s="119"/>
      <c r="B7792" s="138" t="str">
        <f t="shared" si="607"/>
        <v>Windrow</v>
      </c>
      <c r="C7792" s="138" t="str">
        <f t="shared" si="604"/>
        <v>Without Amendment</v>
      </c>
      <c r="D7792" s="138" t="str">
        <f t="shared" si="605"/>
        <v>High_Base</v>
      </c>
      <c r="E7792" s="138" t="str">
        <f t="shared" si="606"/>
        <v>High</v>
      </c>
      <c r="F7792" s="138" t="str">
        <f t="shared" si="608"/>
        <v>Upgraded</v>
      </c>
      <c r="G7792" s="153"/>
      <c r="H7792" s="210">
        <v>1.1000000000000001E-3</v>
      </c>
      <c r="I7792" s="160" t="s">
        <v>59</v>
      </c>
      <c r="J7792" s="211">
        <v>1.6215700000000001E-5</v>
      </c>
      <c r="K7792" s="160" t="s">
        <v>13</v>
      </c>
      <c r="L7792" s="154" t="str">
        <f>IF(OpenLCAbasic!K7792="CTUh", "Fill in Manually",IF(OR(K7792="Unit", K7792=""), "", INDEX(LookUps!$E$5:$E$12, MATCH(OpenLCAbasic!K7792,LookUps!$D$5:$D$12,0))))</f>
        <v>Eutrophication Potential (EP) - kg N eq</v>
      </c>
      <c r="M7792" s="154" t="str">
        <f t="shared" si="603"/>
        <v>High_High_Base_Upgraded_Eutrophication Potential (EP) - kg N eq_Blend Tank; wastewater treatment unit; at updated plant - US_Without Amendment_Windrow</v>
      </c>
    </row>
    <row r="7793" spans="1:13" s="120" customFormat="1" x14ac:dyDescent="0.25">
      <c r="A7793" s="119"/>
      <c r="B7793" s="138" t="str">
        <f t="shared" si="607"/>
        <v>Windrow</v>
      </c>
      <c r="C7793" s="138" t="str">
        <f t="shared" si="604"/>
        <v>Without Amendment</v>
      </c>
      <c r="D7793" s="138" t="str">
        <f t="shared" si="605"/>
        <v>High_Base</v>
      </c>
      <c r="E7793" s="138" t="str">
        <f t="shared" si="606"/>
        <v>High</v>
      </c>
      <c r="F7793" s="138" t="str">
        <f t="shared" si="608"/>
        <v>Upgraded</v>
      </c>
      <c r="G7793" s="153"/>
      <c r="H7793" s="210">
        <v>5.0000000000000001E-4</v>
      </c>
      <c r="I7793" s="160" t="s">
        <v>168</v>
      </c>
      <c r="J7793" s="211">
        <v>7.7567199999999995E-6</v>
      </c>
      <c r="K7793" s="160" t="s">
        <v>13</v>
      </c>
      <c r="L7793" s="154" t="str">
        <f>IF(OpenLCAbasic!K7793="CTUh", "Fill in Manually",IF(OR(K7793="Unit", K7793=""), "", INDEX(LookUps!$E$5:$E$12, MATCH(OpenLCAbasic!K7793,LookUps!$D$5:$D$12,0))))</f>
        <v>Eutrophication Potential (EP) - kg N eq</v>
      </c>
      <c r="M7793" s="154" t="str">
        <f t="shared" si="603"/>
        <v>High_High_Base_Upgraded_Eutrophication Potential (EP) - kg N eq_ClearCove SCP; wastewater treatment unit; at updated plant - US_Without Amendment_Windrow</v>
      </c>
    </row>
    <row r="7794" spans="1:13" s="120" customFormat="1" x14ac:dyDescent="0.25">
      <c r="A7794" s="119"/>
      <c r="B7794" s="138" t="str">
        <f t="shared" si="607"/>
        <v>Windrow</v>
      </c>
      <c r="C7794" s="138" t="str">
        <f t="shared" si="604"/>
        <v>Without Amendment</v>
      </c>
      <c r="D7794" s="138" t="str">
        <f t="shared" si="605"/>
        <v>High_Base</v>
      </c>
      <c r="E7794" s="138" t="str">
        <f t="shared" si="606"/>
        <v>High</v>
      </c>
      <c r="F7794" s="138" t="str">
        <f t="shared" si="608"/>
        <v>Upgraded</v>
      </c>
      <c r="G7794" s="153"/>
      <c r="H7794" s="210">
        <v>-9.1399999999999995E-2</v>
      </c>
      <c r="I7794" s="160" t="s">
        <v>149</v>
      </c>
      <c r="J7794" s="160">
        <v>-1.3799999999999999E-3</v>
      </c>
      <c r="K7794" s="160" t="s">
        <v>13</v>
      </c>
      <c r="L7794" s="154" t="str">
        <f>IF(OpenLCAbasic!K7794="CTUh", "Fill in Manually",IF(OR(K7794="Unit", K7794=""), "", INDEX(LookUps!$E$5:$E$12, MATCH(OpenLCAbasic!K7794,LookUps!$D$5:$D$12,0))))</f>
        <v>Eutrophication Potential (EP) - kg N eq</v>
      </c>
      <c r="M7794" s="154" t="str">
        <f t="shared" si="603"/>
        <v>High_High_Base_Upgraded_Eutrophication Potential (EP) - kg N eq_Anaerobic Digestion; wastewater treatment unit; at updated plant - US_Without Amendment_Windrow</v>
      </c>
    </row>
    <row r="7795" spans="1:13" s="120" customFormat="1" x14ac:dyDescent="0.25">
      <c r="A7795" s="119"/>
      <c r="B7795" s="138" t="str">
        <f t="shared" si="607"/>
        <v/>
      </c>
      <c r="C7795" s="138" t="str">
        <f t="shared" si="604"/>
        <v/>
      </c>
      <c r="D7795" s="138" t="str">
        <f t="shared" si="605"/>
        <v/>
      </c>
      <c r="E7795" s="138" t="str">
        <f t="shared" si="606"/>
        <v/>
      </c>
      <c r="F7795" s="138" t="str">
        <f t="shared" si="608"/>
        <v/>
      </c>
      <c r="G7795" s="153" t="s">
        <v>51</v>
      </c>
      <c r="H7795" s="160"/>
      <c r="I7795" s="160" t="s">
        <v>47</v>
      </c>
      <c r="J7795" s="160" t="s">
        <v>52</v>
      </c>
      <c r="K7795" s="160" t="s">
        <v>27</v>
      </c>
      <c r="L7795" s="154" t="str">
        <f>IF(OpenLCAbasic!K7795="CTUh", "Fill in Manually",IF(OR(K7795="Unit", K7795=""), "", INDEX(LookUps!$E$5:$E$12, MATCH(OpenLCAbasic!K7795,LookUps!$D$5:$D$12,0))))</f>
        <v/>
      </c>
      <c r="M7795" s="154" t="str">
        <f t="shared" si="603"/>
        <v>____Process__</v>
      </c>
    </row>
    <row r="7796" spans="1:13" s="120" customFormat="1" x14ac:dyDescent="0.25">
      <c r="A7796" s="119"/>
      <c r="B7796" s="138" t="str">
        <f t="shared" si="607"/>
        <v>Windrow</v>
      </c>
      <c r="C7796" s="138" t="str">
        <f t="shared" si="604"/>
        <v>Without Amendment</v>
      </c>
      <c r="D7796" s="138" t="str">
        <f t="shared" si="605"/>
        <v>High_Base</v>
      </c>
      <c r="E7796" s="138" t="str">
        <f t="shared" si="606"/>
        <v>High</v>
      </c>
      <c r="F7796" s="138" t="str">
        <f t="shared" si="608"/>
        <v>Upgraded</v>
      </c>
      <c r="G7796" s="153"/>
      <c r="H7796" s="210">
        <v>1.0044</v>
      </c>
      <c r="I7796" s="160" t="s">
        <v>271</v>
      </c>
      <c r="J7796" s="160">
        <v>1.4715100000000001</v>
      </c>
      <c r="K7796" s="160" t="s">
        <v>23</v>
      </c>
      <c r="L7796" s="154" t="str">
        <f>IF(OpenLCAbasic!K7796="CTUh", "Fill in Manually",IF(OR(K7796="Unit", K7796=""), "", INDEX(LookUps!$E$5:$E$12, MATCH(OpenLCAbasic!K7796,LookUps!$D$5:$D$12,0))))</f>
        <v>Global Warming Potential (GWP) - kg CO2 eq</v>
      </c>
      <c r="M7796" s="154" t="str">
        <f t="shared" si="603"/>
        <v>High_High_Base_Upgraded_Global Warming Potential (GWP) - kg CO2 eq_Biosolids composting; windrow composting; wastewater treatment unit; at updated plant - US_Without Amendment_Windrow</v>
      </c>
    </row>
    <row r="7797" spans="1:13" s="120" customFormat="1" x14ac:dyDescent="0.25">
      <c r="A7797" s="119"/>
      <c r="B7797" s="138" t="str">
        <f t="shared" si="607"/>
        <v>Windrow</v>
      </c>
      <c r="C7797" s="138" t="str">
        <f t="shared" si="604"/>
        <v>Without Amendment</v>
      </c>
      <c r="D7797" s="138" t="str">
        <f t="shared" si="605"/>
        <v>High_Base</v>
      </c>
      <c r="E7797" s="138" t="str">
        <f t="shared" si="606"/>
        <v>High</v>
      </c>
      <c r="F7797" s="138" t="str">
        <f t="shared" si="608"/>
        <v>Upgraded</v>
      </c>
      <c r="G7797" s="153"/>
      <c r="H7797" s="210">
        <v>0.1706</v>
      </c>
      <c r="I7797" s="160" t="s">
        <v>58</v>
      </c>
      <c r="J7797" s="160">
        <v>0.24992</v>
      </c>
      <c r="K7797" s="160" t="s">
        <v>23</v>
      </c>
      <c r="L7797" s="154" t="str">
        <f>IF(OpenLCAbasic!K7797="CTUh", "Fill in Manually",IF(OR(K7797="Unit", K7797=""), "", INDEX(LookUps!$E$5:$E$12, MATCH(OpenLCAbasic!K7797,LookUps!$D$5:$D$12,0))))</f>
        <v>Global Warming Potential (GWP) - kg CO2 eq</v>
      </c>
      <c r="M7797" s="154" t="str">
        <f t="shared" si="603"/>
        <v>High_High_Base_Upgraded_Global Warming Potential (GWP) - kg CO2 eq_Pre-Anoxic &amp; Swing tank; wastewater treatment unit; at updated plant - US_Without Amendment_Windrow</v>
      </c>
    </row>
    <row r="7798" spans="1:13" s="120" customFormat="1" x14ac:dyDescent="0.25">
      <c r="A7798" s="119"/>
      <c r="B7798" s="138" t="str">
        <f t="shared" si="607"/>
        <v>Windrow</v>
      </c>
      <c r="C7798" s="138" t="str">
        <f t="shared" si="604"/>
        <v>Without Amendment</v>
      </c>
      <c r="D7798" s="138" t="str">
        <f t="shared" si="605"/>
        <v>High_Base</v>
      </c>
      <c r="E7798" s="138" t="str">
        <f t="shared" si="606"/>
        <v>High</v>
      </c>
      <c r="F7798" s="138" t="str">
        <f t="shared" si="608"/>
        <v>Upgraded</v>
      </c>
      <c r="G7798" s="153"/>
      <c r="H7798" s="210">
        <v>0.1148</v>
      </c>
      <c r="I7798" s="160" t="s">
        <v>55</v>
      </c>
      <c r="J7798" s="160">
        <v>0.16822000000000001</v>
      </c>
      <c r="K7798" s="160" t="s">
        <v>23</v>
      </c>
      <c r="L7798" s="154" t="str">
        <f>IF(OpenLCAbasic!K7798="CTUh", "Fill in Manually",IF(OR(K7798="Unit", K7798=""), "", INDEX(LookUps!$E$5:$E$12, MATCH(OpenLCAbasic!K7798,LookUps!$D$5:$D$12,0))))</f>
        <v>Global Warming Potential (GWP) - kg CO2 eq</v>
      </c>
      <c r="M7798" s="154" t="str">
        <f t="shared" si="603"/>
        <v>High_High_Base_Upgraded_Global Warming Potential (GWP) - kg CO2 eq_Aeration Tanks; wastewater treatment unit; at updated plant - US_Without Amendment_Windrow</v>
      </c>
    </row>
    <row r="7799" spans="1:13" s="120" customFormat="1" x14ac:dyDescent="0.25">
      <c r="A7799" s="119"/>
      <c r="B7799" s="138" t="str">
        <f t="shared" si="607"/>
        <v>Windrow</v>
      </c>
      <c r="C7799" s="138" t="str">
        <f t="shared" si="604"/>
        <v>Without Amendment</v>
      </c>
      <c r="D7799" s="138" t="str">
        <f t="shared" si="605"/>
        <v>High_Base</v>
      </c>
      <c r="E7799" s="138" t="str">
        <f t="shared" si="606"/>
        <v>High</v>
      </c>
      <c r="F7799" s="138" t="str">
        <f t="shared" si="608"/>
        <v>Upgraded</v>
      </c>
      <c r="G7799" s="153"/>
      <c r="H7799" s="210">
        <v>0.1002</v>
      </c>
      <c r="I7799" s="160" t="s">
        <v>167</v>
      </c>
      <c r="J7799" s="160">
        <v>0.14685000000000001</v>
      </c>
      <c r="K7799" s="160" t="s">
        <v>23</v>
      </c>
      <c r="L7799" s="154" t="str">
        <f>IF(OpenLCAbasic!K7799="CTUh", "Fill in Manually",IF(OR(K7799="Unit", K7799=""), "", INDEX(LookUps!$E$5:$E$12, MATCH(OpenLCAbasic!K7799,LookUps!$D$5:$D$12,0))))</f>
        <v>Global Warming Potential (GWP) - kg CO2 eq</v>
      </c>
      <c r="M7799" s="154" t="str">
        <f t="shared" si="603"/>
        <v>High_High_Base_Upgraded_Global Warming Potential (GWP) - kg CO2 eq_Waste Receiving and Holding; wastewater treatment unit; at updated plant - US_Without Amendment_Windrow</v>
      </c>
    </row>
    <row r="7800" spans="1:13" s="120" customFormat="1" x14ac:dyDescent="0.25">
      <c r="A7800" s="119"/>
      <c r="B7800" s="138" t="str">
        <f t="shared" si="607"/>
        <v>Windrow</v>
      </c>
      <c r="C7800" s="138" t="str">
        <f t="shared" si="604"/>
        <v>Without Amendment</v>
      </c>
      <c r="D7800" s="138" t="str">
        <f t="shared" si="605"/>
        <v>High_Base</v>
      </c>
      <c r="E7800" s="138" t="str">
        <f t="shared" si="606"/>
        <v>High</v>
      </c>
      <c r="F7800" s="138" t="str">
        <f t="shared" si="608"/>
        <v>Upgraded</v>
      </c>
      <c r="G7800" s="153"/>
      <c r="H7800" s="210">
        <v>3.9E-2</v>
      </c>
      <c r="I7800" s="160" t="s">
        <v>54</v>
      </c>
      <c r="J7800" s="160">
        <v>5.7079999999999999E-2</v>
      </c>
      <c r="K7800" s="160" t="s">
        <v>23</v>
      </c>
      <c r="L7800" s="154" t="str">
        <f>IF(OpenLCAbasic!K7800="CTUh", "Fill in Manually",IF(OR(K7800="Unit", K7800=""), "", INDEX(LookUps!$E$5:$E$12, MATCH(OpenLCAbasic!K7800,LookUps!$D$5:$D$12,0))))</f>
        <v>Global Warming Potential (GWP) - kg CO2 eq</v>
      </c>
      <c r="M7800" s="154" t="str">
        <f t="shared" si="603"/>
        <v>High_High_Base_Upgraded_Global Warming Potential (GWP) - kg CO2 eq_Clear Cove Primary Clarification; wastewater treatment unit; at updated plant - US_Without Amendment_Windrow</v>
      </c>
    </row>
    <row r="7801" spans="1:13" s="120" customFormat="1" x14ac:dyDescent="0.25">
      <c r="A7801" s="119"/>
      <c r="B7801" s="138" t="str">
        <f t="shared" si="607"/>
        <v>Windrow</v>
      </c>
      <c r="C7801" s="138" t="str">
        <f t="shared" si="604"/>
        <v>Without Amendment</v>
      </c>
      <c r="D7801" s="138" t="str">
        <f t="shared" si="605"/>
        <v>High_Base</v>
      </c>
      <c r="E7801" s="138" t="str">
        <f t="shared" si="606"/>
        <v>High</v>
      </c>
      <c r="F7801" s="138" t="str">
        <f t="shared" si="608"/>
        <v>Upgraded</v>
      </c>
      <c r="G7801" s="153"/>
      <c r="H7801" s="210">
        <v>3.5900000000000001E-2</v>
      </c>
      <c r="I7801" s="160" t="s">
        <v>48</v>
      </c>
      <c r="J7801" s="160">
        <v>5.2639999999999999E-2</v>
      </c>
      <c r="K7801" s="160" t="s">
        <v>23</v>
      </c>
      <c r="L7801" s="154" t="str">
        <f>IF(OpenLCAbasic!K7801="CTUh", "Fill in Manually",IF(OR(K7801="Unit", K7801=""), "", INDEX(LookUps!$E$5:$E$12, MATCH(OpenLCAbasic!K7801,LookUps!$D$5:$D$12,0))))</f>
        <v>Global Warming Potential (GWP) - kg CO2 eq</v>
      </c>
      <c r="M7801" s="154" t="str">
        <f t="shared" si="603"/>
        <v>High_High_Base_Upgraded_Global Warming Potential (GWP) - kg CO2 eq_Effluent release; wastewater treatment unit; at surface water; m3 wastewater - US_Without Amendment_Windrow</v>
      </c>
    </row>
    <row r="7802" spans="1:13" s="120" customFormat="1" x14ac:dyDescent="0.25">
      <c r="A7802" s="119"/>
      <c r="B7802" s="138" t="str">
        <f t="shared" si="607"/>
        <v>Windrow</v>
      </c>
      <c r="C7802" s="138" t="str">
        <f t="shared" si="604"/>
        <v>Without Amendment</v>
      </c>
      <c r="D7802" s="138" t="str">
        <f t="shared" si="605"/>
        <v>High_Base</v>
      </c>
      <c r="E7802" s="138" t="str">
        <f t="shared" si="606"/>
        <v>High</v>
      </c>
      <c r="F7802" s="138" t="str">
        <f t="shared" si="608"/>
        <v>Upgraded</v>
      </c>
      <c r="G7802" s="153"/>
      <c r="H7802" s="210">
        <v>3.4500000000000003E-2</v>
      </c>
      <c r="I7802" s="160" t="s">
        <v>147</v>
      </c>
      <c r="J7802" s="160">
        <v>5.0500000000000003E-2</v>
      </c>
      <c r="K7802" s="160" t="s">
        <v>23</v>
      </c>
      <c r="L7802" s="154" t="str">
        <f>IF(OpenLCAbasic!K7802="CTUh", "Fill in Manually",IF(OR(K7802="Unit", K7802=""), "", INDEX(LookUps!$E$5:$E$12, MATCH(OpenLCAbasic!K7802,LookUps!$D$5:$D$12,0))))</f>
        <v>Global Warming Potential (GWP) - kg CO2 eq</v>
      </c>
      <c r="M7802" s="154" t="str">
        <f t="shared" si="603"/>
        <v>High_High_Base_Upgraded_Global Warming Potential (GWP) - kg CO2 eq_Influent Pump Station; wastewater treatment unit; at updated plant - US_Without Amendment_Windrow</v>
      </c>
    </row>
    <row r="7803" spans="1:13" s="120" customFormat="1" x14ac:dyDescent="0.25">
      <c r="A7803" s="119"/>
      <c r="B7803" s="138" t="str">
        <f t="shared" si="607"/>
        <v>Windrow</v>
      </c>
      <c r="C7803" s="138" t="str">
        <f t="shared" si="604"/>
        <v>Without Amendment</v>
      </c>
      <c r="D7803" s="138" t="str">
        <f t="shared" si="605"/>
        <v>High_Base</v>
      </c>
      <c r="E7803" s="138" t="str">
        <f t="shared" si="606"/>
        <v>High</v>
      </c>
      <c r="F7803" s="138" t="str">
        <f t="shared" si="608"/>
        <v>Upgraded</v>
      </c>
      <c r="G7803" s="153"/>
      <c r="H7803" s="210">
        <v>2.2700000000000001E-2</v>
      </c>
      <c r="I7803" s="160" t="s">
        <v>53</v>
      </c>
      <c r="J7803" s="160">
        <v>3.3259999999999998E-2</v>
      </c>
      <c r="K7803" s="160" t="s">
        <v>23</v>
      </c>
      <c r="L7803" s="154" t="str">
        <f>IF(OpenLCAbasic!K7803="CTUh", "Fill in Manually",IF(OR(K7803="Unit", K7803=""), "", INDEX(LookUps!$E$5:$E$12, MATCH(OpenLCAbasic!K7803,LookUps!$D$5:$D$12,0))))</f>
        <v>Global Warming Potential (GWP) - kg CO2 eq</v>
      </c>
      <c r="M7803" s="154" t="str">
        <f t="shared" ref="M7803:M7866" si="609">CONCATENATE(E7803,"_",D7803,"_",F7803,"_",L7803, "_",I7803,"_", C7803,"_", B7803)</f>
        <v>High_High_Base_Upgraded_Global Warming Potential (GWP) - kg CO2 eq_Wet Well and Sump Station; wastewater treatment unit; at updated plant - US_Without Amendment_Windrow</v>
      </c>
    </row>
    <row r="7804" spans="1:13" s="120" customFormat="1" x14ac:dyDescent="0.25">
      <c r="A7804" s="119"/>
      <c r="B7804" s="138" t="str">
        <f t="shared" si="607"/>
        <v>Windrow</v>
      </c>
      <c r="C7804" s="138" t="str">
        <f t="shared" si="604"/>
        <v>Without Amendment</v>
      </c>
      <c r="D7804" s="138" t="str">
        <f t="shared" si="605"/>
        <v>High_Base</v>
      </c>
      <c r="E7804" s="138" t="str">
        <f t="shared" si="606"/>
        <v>High</v>
      </c>
      <c r="F7804" s="138" t="str">
        <f t="shared" si="608"/>
        <v>Upgraded</v>
      </c>
      <c r="G7804" s="153"/>
      <c r="H7804" s="210">
        <v>1.6500000000000001E-2</v>
      </c>
      <c r="I7804" s="160" t="s">
        <v>60</v>
      </c>
      <c r="J7804" s="160">
        <v>2.4119999999999999E-2</v>
      </c>
      <c r="K7804" s="160" t="s">
        <v>23</v>
      </c>
      <c r="L7804" s="154" t="str">
        <f>IF(OpenLCAbasic!K7804="CTUh", "Fill in Manually",IF(OR(K7804="Unit", K7804=""), "", INDEX(LookUps!$E$5:$E$12, MATCH(OpenLCAbasic!K7804,LookUps!$D$5:$D$12,0))))</f>
        <v>Global Warming Potential (GWP) - kg CO2 eq</v>
      </c>
      <c r="M7804" s="154" t="str">
        <f t="shared" si="609"/>
        <v>High_High_Base_Upgraded_Global Warming Potential (GWP) - kg CO2 eq_Belt filter press; wastewater treatment unit; at updated plant - US_Without Amendment_Windrow</v>
      </c>
    </row>
    <row r="7805" spans="1:13" s="120" customFormat="1" x14ac:dyDescent="0.25">
      <c r="A7805" s="119"/>
      <c r="B7805" s="138" t="str">
        <f t="shared" si="607"/>
        <v>Windrow</v>
      </c>
      <c r="C7805" s="138" t="str">
        <f t="shared" si="604"/>
        <v>Without Amendment</v>
      </c>
      <c r="D7805" s="138" t="str">
        <f t="shared" si="605"/>
        <v>High_Base</v>
      </c>
      <c r="E7805" s="138" t="str">
        <f t="shared" si="606"/>
        <v>High</v>
      </c>
      <c r="F7805" s="138" t="str">
        <f t="shared" si="608"/>
        <v>Upgraded</v>
      </c>
      <c r="G7805" s="153"/>
      <c r="H7805" s="210">
        <v>9.9000000000000008E-3</v>
      </c>
      <c r="I7805" s="160" t="s">
        <v>57</v>
      </c>
      <c r="J7805" s="160">
        <v>1.455E-2</v>
      </c>
      <c r="K7805" s="160" t="s">
        <v>23</v>
      </c>
      <c r="L7805" s="154" t="str">
        <f>IF(OpenLCAbasic!K7805="CTUh", "Fill in Manually",IF(OR(K7805="Unit", K7805=""), "", INDEX(LookUps!$E$5:$E$12, MATCH(OpenLCAbasic!K7805,LookUps!$D$5:$D$12,0))))</f>
        <v>Global Warming Potential (GWP) - kg CO2 eq</v>
      </c>
      <c r="M7805" s="154" t="str">
        <f t="shared" si="609"/>
        <v>High_High_Base_Upgraded_Global Warming Potential (GWP) - kg CO2 eq_Gravity Belt Thickener; wastewater treatment unit; at updated plant - US_Without Amendment_Windrow</v>
      </c>
    </row>
    <row r="7806" spans="1:13" s="120" customFormat="1" x14ac:dyDescent="0.25">
      <c r="A7806" s="119"/>
      <c r="B7806" s="138" t="str">
        <f t="shared" si="607"/>
        <v>Windrow</v>
      </c>
      <c r="C7806" s="138" t="str">
        <f t="shared" si="604"/>
        <v>Without Amendment</v>
      </c>
      <c r="D7806" s="138" t="str">
        <f t="shared" si="605"/>
        <v>High_Base</v>
      </c>
      <c r="E7806" s="138" t="str">
        <f t="shared" si="606"/>
        <v>High</v>
      </c>
      <c r="F7806" s="138" t="str">
        <f t="shared" si="608"/>
        <v>Upgraded</v>
      </c>
      <c r="G7806" s="153"/>
      <c r="H7806" s="210">
        <v>9.1999999999999998E-3</v>
      </c>
      <c r="I7806" s="160" t="s">
        <v>128</v>
      </c>
      <c r="J7806" s="160">
        <v>1.3509999999999999E-2</v>
      </c>
      <c r="K7806" s="160" t="s">
        <v>23</v>
      </c>
      <c r="L7806" s="154" t="str">
        <f>IF(OpenLCAbasic!K7806="CTUh", "Fill in Manually",IF(OR(K7806="Unit", K7806=""), "", INDEX(LookUps!$E$5:$E$12, MATCH(OpenLCAbasic!K7806,LookUps!$D$5:$D$12,0))))</f>
        <v>Global Warming Potential (GWP) - kg CO2 eq</v>
      </c>
      <c r="M7806" s="154" t="str">
        <f t="shared" si="609"/>
        <v>High_High_Base_Upgraded_Global Warming Potential (GWP) - kg CO2 eq_Wastewater collection; operation and infrastructure; m3 wastewater_Without Amendment_Windrow</v>
      </c>
    </row>
    <row r="7807" spans="1:13" s="120" customFormat="1" x14ac:dyDescent="0.25">
      <c r="A7807" s="119"/>
      <c r="B7807" s="138" t="str">
        <f t="shared" si="607"/>
        <v>Windrow</v>
      </c>
      <c r="C7807" s="138" t="str">
        <f t="shared" si="604"/>
        <v>Without Amendment</v>
      </c>
      <c r="D7807" s="138" t="str">
        <f t="shared" si="605"/>
        <v>High_Base</v>
      </c>
      <c r="E7807" s="138" t="str">
        <f t="shared" si="606"/>
        <v>High</v>
      </c>
      <c r="F7807" s="138" t="str">
        <f t="shared" si="608"/>
        <v>Upgraded</v>
      </c>
      <c r="G7807" s="153"/>
      <c r="H7807" s="210">
        <v>5.7000000000000002E-3</v>
      </c>
      <c r="I7807" s="160" t="s">
        <v>148</v>
      </c>
      <c r="J7807" s="160">
        <v>8.3000000000000001E-3</v>
      </c>
      <c r="K7807" s="160" t="s">
        <v>23</v>
      </c>
      <c r="L7807" s="154" t="str">
        <f>IF(OpenLCAbasic!K7807="CTUh", "Fill in Manually",IF(OR(K7807="Unit", K7807=""), "", INDEX(LookUps!$E$5:$E$12, MATCH(OpenLCAbasic!K7807,LookUps!$D$5:$D$12,0))))</f>
        <v>Global Warming Potential (GWP) - kg CO2 eq</v>
      </c>
      <c r="M7807" s="154" t="str">
        <f t="shared" si="609"/>
        <v>High_High_Base_Upgraded_Global Warming Potential (GWP) - kg CO2 eq_Control Building; at upgraded wastewater treatment plant - US_Without Amendment_Windrow</v>
      </c>
    </row>
    <row r="7808" spans="1:13" s="120" customFormat="1" x14ac:dyDescent="0.25">
      <c r="A7808" s="119"/>
      <c r="B7808" s="138" t="str">
        <f t="shared" si="607"/>
        <v>Windrow</v>
      </c>
      <c r="C7808" s="138" t="str">
        <f t="shared" si="604"/>
        <v>Without Amendment</v>
      </c>
      <c r="D7808" s="138" t="str">
        <f t="shared" si="605"/>
        <v>High_Base</v>
      </c>
      <c r="E7808" s="138" t="str">
        <f t="shared" si="606"/>
        <v>High</v>
      </c>
      <c r="F7808" s="138" t="str">
        <f t="shared" si="608"/>
        <v>Upgraded</v>
      </c>
      <c r="G7808" s="153"/>
      <c r="H7808" s="210">
        <v>3.3999999999999998E-3</v>
      </c>
      <c r="I7808" s="160" t="s">
        <v>59</v>
      </c>
      <c r="J7808" s="160">
        <v>5.0400000000000002E-3</v>
      </c>
      <c r="K7808" s="160" t="s">
        <v>23</v>
      </c>
      <c r="L7808" s="154" t="str">
        <f>IF(OpenLCAbasic!K7808="CTUh", "Fill in Manually",IF(OR(K7808="Unit", K7808=""), "", INDEX(LookUps!$E$5:$E$12, MATCH(OpenLCAbasic!K7808,LookUps!$D$5:$D$12,0))))</f>
        <v>Global Warming Potential (GWP) - kg CO2 eq</v>
      </c>
      <c r="M7808" s="154" t="str">
        <f t="shared" si="609"/>
        <v>High_High_Base_Upgraded_Global Warming Potential (GWP) - kg CO2 eq_Blend Tank; wastewater treatment unit; at updated plant - US_Without Amendment_Windrow</v>
      </c>
    </row>
    <row r="7809" spans="1:13" s="120" customFormat="1" x14ac:dyDescent="0.25">
      <c r="A7809" s="119"/>
      <c r="B7809" s="138" t="str">
        <f t="shared" si="607"/>
        <v>Windrow</v>
      </c>
      <c r="C7809" s="138" t="str">
        <f t="shared" ref="C7809:C7872" si="610">IF(ISNUMBER($J7809),"Without Amendment","")</f>
        <v>Without Amendment</v>
      </c>
      <c r="D7809" s="138" t="str">
        <f t="shared" ref="D7809:D7872" si="611">IF(ISNUMBER($J7809),"High_Base","")</f>
        <v>High_Base</v>
      </c>
      <c r="E7809" s="138" t="str">
        <f t="shared" si="606"/>
        <v>High</v>
      </c>
      <c r="F7809" s="138" t="str">
        <f t="shared" si="608"/>
        <v>Upgraded</v>
      </c>
      <c r="G7809" s="153"/>
      <c r="H7809" s="210">
        <v>1.6000000000000001E-3</v>
      </c>
      <c r="I7809" s="160" t="s">
        <v>168</v>
      </c>
      <c r="J7809" s="160">
        <v>2.4099999999999998E-3</v>
      </c>
      <c r="K7809" s="160" t="s">
        <v>23</v>
      </c>
      <c r="L7809" s="154" t="str">
        <f>IF(OpenLCAbasic!K7809="CTUh", "Fill in Manually",IF(OR(K7809="Unit", K7809=""), "", INDEX(LookUps!$E$5:$E$12, MATCH(OpenLCAbasic!K7809,LookUps!$D$5:$D$12,0))))</f>
        <v>Global Warming Potential (GWP) - kg CO2 eq</v>
      </c>
      <c r="M7809" s="154" t="str">
        <f t="shared" si="609"/>
        <v>High_High_Base_Upgraded_Global Warming Potential (GWP) - kg CO2 eq_ClearCove SCP; wastewater treatment unit; at updated plant - US_Without Amendment_Windrow</v>
      </c>
    </row>
    <row r="7810" spans="1:13" s="120" customFormat="1" x14ac:dyDescent="0.25">
      <c r="A7810" s="119"/>
      <c r="B7810" s="138" t="str">
        <f t="shared" si="607"/>
        <v>Windrow</v>
      </c>
      <c r="C7810" s="138" t="str">
        <f t="shared" si="610"/>
        <v>Without Amendment</v>
      </c>
      <c r="D7810" s="138" t="str">
        <f t="shared" si="611"/>
        <v>High_Base</v>
      </c>
      <c r="E7810" s="138" t="str">
        <f t="shared" si="606"/>
        <v>High</v>
      </c>
      <c r="F7810" s="138" t="str">
        <f t="shared" si="608"/>
        <v>Upgraded</v>
      </c>
      <c r="G7810" s="153"/>
      <c r="H7810" s="210">
        <v>-0.1787</v>
      </c>
      <c r="I7810" s="160" t="s">
        <v>62</v>
      </c>
      <c r="J7810" s="160">
        <v>-0.26180999999999999</v>
      </c>
      <c r="K7810" s="160" t="s">
        <v>23</v>
      </c>
      <c r="L7810" s="154" t="str">
        <f>IF(OpenLCAbasic!K7810="CTUh", "Fill in Manually",IF(OR(K7810="Unit", K7810=""), "", INDEX(LookUps!$E$5:$E$12, MATCH(OpenLCAbasic!K7810,LookUps!$D$5:$D$12,0))))</f>
        <v>Global Warming Potential (GWP) - kg CO2 eq</v>
      </c>
      <c r="M7810" s="154" t="str">
        <f t="shared" si="609"/>
        <v>High_High_Base_Upgraded_Global Warming Potential (GWP) - kg CO2 eq_Land application of compost; wastewater treatment unit; at updated plant - US_Without Amendment_Windrow</v>
      </c>
    </row>
    <row r="7811" spans="1:13" s="120" customFormat="1" x14ac:dyDescent="0.25">
      <c r="A7811" s="119"/>
      <c r="B7811" s="138" t="str">
        <f t="shared" si="607"/>
        <v>Windrow</v>
      </c>
      <c r="C7811" s="138" t="str">
        <f t="shared" si="610"/>
        <v>Without Amendment</v>
      </c>
      <c r="D7811" s="138" t="str">
        <f t="shared" si="611"/>
        <v>High_Base</v>
      </c>
      <c r="E7811" s="138" t="str">
        <f t="shared" si="606"/>
        <v>High</v>
      </c>
      <c r="F7811" s="138" t="str">
        <f t="shared" si="608"/>
        <v>Upgraded</v>
      </c>
      <c r="G7811" s="153"/>
      <c r="H7811" s="210">
        <v>-0.38969999999999999</v>
      </c>
      <c r="I7811" s="160" t="s">
        <v>149</v>
      </c>
      <c r="J7811" s="160">
        <v>-0.57099</v>
      </c>
      <c r="K7811" s="160" t="s">
        <v>23</v>
      </c>
      <c r="L7811" s="154" t="str">
        <f>IF(OpenLCAbasic!K7811="CTUh", "Fill in Manually",IF(OR(K7811="Unit", K7811=""), "", INDEX(LookUps!$E$5:$E$12, MATCH(OpenLCAbasic!K7811,LookUps!$D$5:$D$12,0))))</f>
        <v>Global Warming Potential (GWP) - kg CO2 eq</v>
      </c>
      <c r="M7811" s="154" t="str">
        <f t="shared" si="609"/>
        <v>High_High_Base_Upgraded_Global Warming Potential (GWP) - kg CO2 eq_Anaerobic Digestion; wastewater treatment unit; at updated plant - US_Without Amendment_Windrow</v>
      </c>
    </row>
    <row r="7812" spans="1:13" s="120" customFormat="1" x14ac:dyDescent="0.25">
      <c r="A7812" s="119"/>
      <c r="B7812" s="138" t="str">
        <f t="shared" si="607"/>
        <v/>
      </c>
      <c r="C7812" s="138" t="str">
        <f t="shared" si="610"/>
        <v/>
      </c>
      <c r="D7812" s="138" t="str">
        <f t="shared" si="611"/>
        <v/>
      </c>
      <c r="E7812" s="138" t="str">
        <f t="shared" si="606"/>
        <v/>
      </c>
      <c r="F7812" s="138" t="str">
        <f t="shared" si="608"/>
        <v/>
      </c>
      <c r="G7812" s="153" t="s">
        <v>51</v>
      </c>
      <c r="H7812" s="160"/>
      <c r="I7812" s="160" t="s">
        <v>47</v>
      </c>
      <c r="J7812" s="160" t="s">
        <v>52</v>
      </c>
      <c r="K7812" s="160" t="s">
        <v>27</v>
      </c>
      <c r="L7812" s="154" t="str">
        <f>IF(OpenLCAbasic!K7812="CTUh", "Fill in Manually",IF(OR(K7812="Unit", K7812=""), "", INDEX(LookUps!$E$5:$E$12, MATCH(OpenLCAbasic!K7812,LookUps!$D$5:$D$12,0))))</f>
        <v/>
      </c>
      <c r="M7812" s="154" t="str">
        <f t="shared" si="609"/>
        <v>____Process__</v>
      </c>
    </row>
    <row r="7813" spans="1:13" s="120" customFormat="1" x14ac:dyDescent="0.25">
      <c r="A7813" s="119"/>
      <c r="B7813" s="138" t="str">
        <f t="shared" si="607"/>
        <v>Windrow</v>
      </c>
      <c r="C7813" s="138" t="str">
        <f t="shared" si="610"/>
        <v>Without Amendment</v>
      </c>
      <c r="D7813" s="138" t="str">
        <f t="shared" si="611"/>
        <v>High_Base</v>
      </c>
      <c r="E7813" s="138" t="str">
        <f t="shared" si="606"/>
        <v>High</v>
      </c>
      <c r="F7813" s="138" t="str">
        <f t="shared" si="608"/>
        <v>Upgraded</v>
      </c>
      <c r="G7813" s="153"/>
      <c r="H7813" s="210">
        <v>11.2409</v>
      </c>
      <c r="I7813" s="160" t="s">
        <v>55</v>
      </c>
      <c r="J7813" s="160">
        <v>2.33E-3</v>
      </c>
      <c r="K7813" s="160" t="s">
        <v>145</v>
      </c>
      <c r="L7813" s="154" t="str">
        <f>IF(OpenLCAbasic!K7813="CTUh", "Fill in Manually",IF(OR(K7813="Unit", K7813=""), "", INDEX(LookUps!$E$5:$E$12, MATCH(OpenLCAbasic!K7813,LookUps!$D$5:$D$12,0))))</f>
        <v>Particulate Matter Formation Potential (PMFP) - kg PM2.5 eq</v>
      </c>
      <c r="M7813" s="154" t="str">
        <f t="shared" si="609"/>
        <v>High_High_Base_Upgraded_Particulate Matter Formation Potential (PMFP) - kg PM2.5 eq_Aeration Tanks; wastewater treatment unit; at updated plant - US_Without Amendment_Windrow</v>
      </c>
    </row>
    <row r="7814" spans="1:13" s="120" customFormat="1" x14ac:dyDescent="0.25">
      <c r="A7814" s="119"/>
      <c r="B7814" s="138" t="str">
        <f t="shared" si="607"/>
        <v>Windrow</v>
      </c>
      <c r="C7814" s="138" t="str">
        <f t="shared" si="610"/>
        <v>Without Amendment</v>
      </c>
      <c r="D7814" s="138" t="str">
        <f t="shared" si="611"/>
        <v>High_Base</v>
      </c>
      <c r="E7814" s="138" t="str">
        <f t="shared" si="606"/>
        <v>High</v>
      </c>
      <c r="F7814" s="138" t="str">
        <f t="shared" si="608"/>
        <v>Upgraded</v>
      </c>
      <c r="G7814" s="153"/>
      <c r="H7814" s="210">
        <v>3.2709999999999999</v>
      </c>
      <c r="I7814" s="160" t="s">
        <v>54</v>
      </c>
      <c r="J7814" s="160">
        <v>6.8000000000000005E-4</v>
      </c>
      <c r="K7814" s="160" t="s">
        <v>145</v>
      </c>
      <c r="L7814" s="154" t="str">
        <f>IF(OpenLCAbasic!K7814="CTUh", "Fill in Manually",IF(OR(K7814="Unit", K7814=""), "", INDEX(LookUps!$E$5:$E$12, MATCH(OpenLCAbasic!K7814,LookUps!$D$5:$D$12,0))))</f>
        <v>Particulate Matter Formation Potential (PMFP) - kg PM2.5 eq</v>
      </c>
      <c r="M7814" s="154" t="str">
        <f t="shared" si="609"/>
        <v>High_High_Base_Upgraded_Particulate Matter Formation Potential (PMFP) - kg PM2.5 eq_Clear Cove Primary Clarification; wastewater treatment unit; at updated plant - US_Without Amendment_Windrow</v>
      </c>
    </row>
    <row r="7815" spans="1:13" s="120" customFormat="1" x14ac:dyDescent="0.25">
      <c r="A7815" s="119"/>
      <c r="B7815" s="138" t="str">
        <f t="shared" si="607"/>
        <v>Windrow</v>
      </c>
      <c r="C7815" s="138" t="str">
        <f t="shared" si="610"/>
        <v>Without Amendment</v>
      </c>
      <c r="D7815" s="138" t="str">
        <f t="shared" si="611"/>
        <v>High_Base</v>
      </c>
      <c r="E7815" s="138" t="str">
        <f t="shared" si="606"/>
        <v>High</v>
      </c>
      <c r="F7815" s="138" t="str">
        <f t="shared" si="608"/>
        <v>Upgraded</v>
      </c>
      <c r="G7815" s="153"/>
      <c r="H7815" s="210">
        <v>2.8472</v>
      </c>
      <c r="I7815" s="160" t="s">
        <v>58</v>
      </c>
      <c r="J7815" s="160">
        <v>5.9000000000000003E-4</v>
      </c>
      <c r="K7815" s="160" t="s">
        <v>145</v>
      </c>
      <c r="L7815" s="154" t="str">
        <f>IF(OpenLCAbasic!K7815="CTUh", "Fill in Manually",IF(OR(K7815="Unit", K7815=""), "", INDEX(LookUps!$E$5:$E$12, MATCH(OpenLCAbasic!K7815,LookUps!$D$5:$D$12,0))))</f>
        <v>Particulate Matter Formation Potential (PMFP) - kg PM2.5 eq</v>
      </c>
      <c r="M7815" s="154" t="str">
        <f t="shared" si="609"/>
        <v>High_High_Base_Upgraded_Particulate Matter Formation Potential (PMFP) - kg PM2.5 eq_Pre-Anoxic &amp; Swing tank; wastewater treatment unit; at updated plant - US_Without Amendment_Windrow</v>
      </c>
    </row>
    <row r="7816" spans="1:13" s="120" customFormat="1" x14ac:dyDescent="0.25">
      <c r="A7816" s="119"/>
      <c r="B7816" s="138" t="str">
        <f t="shared" si="607"/>
        <v>Windrow</v>
      </c>
      <c r="C7816" s="138" t="str">
        <f t="shared" si="610"/>
        <v>Without Amendment</v>
      </c>
      <c r="D7816" s="138" t="str">
        <f t="shared" si="611"/>
        <v>High_Base</v>
      </c>
      <c r="E7816" s="138" t="str">
        <f t="shared" si="606"/>
        <v>High</v>
      </c>
      <c r="F7816" s="138" t="str">
        <f t="shared" si="608"/>
        <v>Upgraded</v>
      </c>
      <c r="G7816" s="153"/>
      <c r="H7816" s="210">
        <v>2.2997000000000001</v>
      </c>
      <c r="I7816" s="160" t="s">
        <v>271</v>
      </c>
      <c r="J7816" s="160">
        <v>4.8000000000000001E-4</v>
      </c>
      <c r="K7816" s="160" t="s">
        <v>145</v>
      </c>
      <c r="L7816" s="154" t="str">
        <f>IF(OpenLCAbasic!K7816="CTUh", "Fill in Manually",IF(OR(K7816="Unit", K7816=""), "", INDEX(LookUps!$E$5:$E$12, MATCH(OpenLCAbasic!K7816,LookUps!$D$5:$D$12,0))))</f>
        <v>Particulate Matter Formation Potential (PMFP) - kg PM2.5 eq</v>
      </c>
      <c r="M7816" s="154" t="str">
        <f t="shared" si="609"/>
        <v>High_High_Base_Upgraded_Particulate Matter Formation Potential (PMFP) - kg PM2.5 eq_Biosolids composting; windrow composting; wastewater treatment unit; at updated plant - US_Without Amendment_Windrow</v>
      </c>
    </row>
    <row r="7817" spans="1:13" s="120" customFormat="1" x14ac:dyDescent="0.25">
      <c r="A7817" s="119"/>
      <c r="B7817" s="138" t="str">
        <f t="shared" si="607"/>
        <v>Windrow</v>
      </c>
      <c r="C7817" s="138" t="str">
        <f t="shared" si="610"/>
        <v>Without Amendment</v>
      </c>
      <c r="D7817" s="138" t="str">
        <f t="shared" si="611"/>
        <v>High_Base</v>
      </c>
      <c r="E7817" s="138" t="str">
        <f t="shared" ref="E7817:E7879" si="612">IF(ISNUMBER($J7817),"High","")</f>
        <v>High</v>
      </c>
      <c r="F7817" s="138" t="str">
        <f t="shared" si="608"/>
        <v>Upgraded</v>
      </c>
      <c r="G7817" s="153"/>
      <c r="H7817" s="210">
        <v>2.2475000000000001</v>
      </c>
      <c r="I7817" s="160" t="s">
        <v>53</v>
      </c>
      <c r="J7817" s="160">
        <v>4.6999999999999999E-4</v>
      </c>
      <c r="K7817" s="160" t="s">
        <v>145</v>
      </c>
      <c r="L7817" s="154" t="str">
        <f>IF(OpenLCAbasic!K7817="CTUh", "Fill in Manually",IF(OR(K7817="Unit", K7817=""), "", INDEX(LookUps!$E$5:$E$12, MATCH(OpenLCAbasic!K7817,LookUps!$D$5:$D$12,0))))</f>
        <v>Particulate Matter Formation Potential (PMFP) - kg PM2.5 eq</v>
      </c>
      <c r="M7817" s="154" t="str">
        <f t="shared" si="609"/>
        <v>High_High_Base_Upgraded_Particulate Matter Formation Potential (PMFP) - kg PM2.5 eq_Wet Well and Sump Station; wastewater treatment unit; at updated plant - US_Without Amendment_Windrow</v>
      </c>
    </row>
    <row r="7818" spans="1:13" s="120" customFormat="1" x14ac:dyDescent="0.25">
      <c r="A7818" s="119"/>
      <c r="B7818" s="138" t="str">
        <f t="shared" si="607"/>
        <v>Windrow</v>
      </c>
      <c r="C7818" s="138" t="str">
        <f t="shared" si="610"/>
        <v>Without Amendment</v>
      </c>
      <c r="D7818" s="138" t="str">
        <f t="shared" si="611"/>
        <v>High_Base</v>
      </c>
      <c r="E7818" s="138" t="str">
        <f t="shared" si="612"/>
        <v>High</v>
      </c>
      <c r="F7818" s="138" t="str">
        <f t="shared" si="608"/>
        <v>Upgraded</v>
      </c>
      <c r="G7818" s="153"/>
      <c r="H7818" s="210">
        <v>1.5975999999999999</v>
      </c>
      <c r="I7818" s="160" t="s">
        <v>167</v>
      </c>
      <c r="J7818" s="160">
        <v>3.3E-4</v>
      </c>
      <c r="K7818" s="160" t="s">
        <v>145</v>
      </c>
      <c r="L7818" s="154" t="str">
        <f>IF(OpenLCAbasic!K7818="CTUh", "Fill in Manually",IF(OR(K7818="Unit", K7818=""), "", INDEX(LookUps!$E$5:$E$12, MATCH(OpenLCAbasic!K7818,LookUps!$D$5:$D$12,0))))</f>
        <v>Particulate Matter Formation Potential (PMFP) - kg PM2.5 eq</v>
      </c>
      <c r="M7818" s="154" t="str">
        <f t="shared" si="609"/>
        <v>High_High_Base_Upgraded_Particulate Matter Formation Potential (PMFP) - kg PM2.5 eq_Waste Receiving and Holding; wastewater treatment unit; at updated plant - US_Without Amendment_Windrow</v>
      </c>
    </row>
    <row r="7819" spans="1:13" s="120" customFormat="1" x14ac:dyDescent="0.25">
      <c r="A7819" s="119"/>
      <c r="B7819" s="138" t="str">
        <f t="shared" si="607"/>
        <v>Windrow</v>
      </c>
      <c r="C7819" s="138" t="str">
        <f t="shared" si="610"/>
        <v>Without Amendment</v>
      </c>
      <c r="D7819" s="138" t="str">
        <f t="shared" si="611"/>
        <v>High_Base</v>
      </c>
      <c r="E7819" s="138" t="str">
        <f t="shared" si="612"/>
        <v>High</v>
      </c>
      <c r="F7819" s="138" t="str">
        <f t="shared" si="608"/>
        <v>Upgraded</v>
      </c>
      <c r="G7819" s="153"/>
      <c r="H7819" s="210">
        <v>1.2846</v>
      </c>
      <c r="I7819" s="160" t="s">
        <v>147</v>
      </c>
      <c r="J7819" s="160">
        <v>2.7E-4</v>
      </c>
      <c r="K7819" s="160" t="s">
        <v>145</v>
      </c>
      <c r="L7819" s="154" t="str">
        <f>IF(OpenLCAbasic!K7819="CTUh", "Fill in Manually",IF(OR(K7819="Unit", K7819=""), "", INDEX(LookUps!$E$5:$E$12, MATCH(OpenLCAbasic!K7819,LookUps!$D$5:$D$12,0))))</f>
        <v>Particulate Matter Formation Potential (PMFP) - kg PM2.5 eq</v>
      </c>
      <c r="M7819" s="154" t="str">
        <f t="shared" si="609"/>
        <v>High_High_Base_Upgraded_Particulate Matter Formation Potential (PMFP) - kg PM2.5 eq_Influent Pump Station; wastewater treatment unit; at updated plant - US_Without Amendment_Windrow</v>
      </c>
    </row>
    <row r="7820" spans="1:13" s="120" customFormat="1" x14ac:dyDescent="0.25">
      <c r="A7820" s="119"/>
      <c r="B7820" s="138" t="str">
        <f t="shared" si="607"/>
        <v>Windrow</v>
      </c>
      <c r="C7820" s="138" t="str">
        <f t="shared" si="610"/>
        <v>Without Amendment</v>
      </c>
      <c r="D7820" s="138" t="str">
        <f t="shared" si="611"/>
        <v>High_Base</v>
      </c>
      <c r="E7820" s="138" t="str">
        <f t="shared" si="612"/>
        <v>High</v>
      </c>
      <c r="F7820" s="138" t="str">
        <f t="shared" si="608"/>
        <v>Upgraded</v>
      </c>
      <c r="G7820" s="153"/>
      <c r="H7820" s="210">
        <v>0.94950000000000001</v>
      </c>
      <c r="I7820" s="160" t="s">
        <v>60</v>
      </c>
      <c r="J7820" s="160">
        <v>2.0000000000000001E-4</v>
      </c>
      <c r="K7820" s="160" t="s">
        <v>145</v>
      </c>
      <c r="L7820" s="154" t="str">
        <f>IF(OpenLCAbasic!K7820="CTUh", "Fill in Manually",IF(OR(K7820="Unit", K7820=""), "", INDEX(LookUps!$E$5:$E$12, MATCH(OpenLCAbasic!K7820,LookUps!$D$5:$D$12,0))))</f>
        <v>Particulate Matter Formation Potential (PMFP) - kg PM2.5 eq</v>
      </c>
      <c r="M7820" s="154" t="str">
        <f t="shared" si="609"/>
        <v>High_High_Base_Upgraded_Particulate Matter Formation Potential (PMFP) - kg PM2.5 eq_Belt filter press; wastewater treatment unit; at updated plant - US_Without Amendment_Windrow</v>
      </c>
    </row>
    <row r="7821" spans="1:13" s="120" customFormat="1" x14ac:dyDescent="0.25">
      <c r="A7821" s="119"/>
      <c r="B7821" s="138" t="str">
        <f t="shared" si="607"/>
        <v>Windrow</v>
      </c>
      <c r="C7821" s="138" t="str">
        <f t="shared" si="610"/>
        <v>Without Amendment</v>
      </c>
      <c r="D7821" s="138" t="str">
        <f t="shared" si="611"/>
        <v>High_Base</v>
      </c>
      <c r="E7821" s="138" t="str">
        <f t="shared" si="612"/>
        <v>High</v>
      </c>
      <c r="F7821" s="138" t="str">
        <f t="shared" si="608"/>
        <v>Upgraded</v>
      </c>
      <c r="G7821" s="153"/>
      <c r="H7821" s="210">
        <v>0.80169999999999997</v>
      </c>
      <c r="I7821" s="160" t="s">
        <v>128</v>
      </c>
      <c r="J7821" s="160">
        <v>1.7000000000000001E-4</v>
      </c>
      <c r="K7821" s="160" t="s">
        <v>145</v>
      </c>
      <c r="L7821" s="154" t="str">
        <f>IF(OpenLCAbasic!K7821="CTUh", "Fill in Manually",IF(OR(K7821="Unit", K7821=""), "", INDEX(LookUps!$E$5:$E$12, MATCH(OpenLCAbasic!K7821,LookUps!$D$5:$D$12,0))))</f>
        <v>Particulate Matter Formation Potential (PMFP) - kg PM2.5 eq</v>
      </c>
      <c r="M7821" s="154" t="str">
        <f t="shared" si="609"/>
        <v>High_High_Base_Upgraded_Particulate Matter Formation Potential (PMFP) - kg PM2.5 eq_Wastewater collection; operation and infrastructure; m3 wastewater_Without Amendment_Windrow</v>
      </c>
    </row>
    <row r="7822" spans="1:13" s="120" customFormat="1" x14ac:dyDescent="0.25">
      <c r="A7822" s="119"/>
      <c r="B7822" s="138" t="str">
        <f t="shared" si="607"/>
        <v>Windrow</v>
      </c>
      <c r="C7822" s="138" t="str">
        <f t="shared" si="610"/>
        <v>Without Amendment</v>
      </c>
      <c r="D7822" s="138" t="str">
        <f t="shared" si="611"/>
        <v>High_Base</v>
      </c>
      <c r="E7822" s="138" t="str">
        <f t="shared" si="612"/>
        <v>High</v>
      </c>
      <c r="F7822" s="138" t="str">
        <f t="shared" si="608"/>
        <v>Upgraded</v>
      </c>
      <c r="G7822" s="153"/>
      <c r="H7822" s="210">
        <v>0.45829999999999999</v>
      </c>
      <c r="I7822" s="160" t="s">
        <v>57</v>
      </c>
      <c r="J7822" s="211">
        <v>9.5153800000000004E-5</v>
      </c>
      <c r="K7822" s="160" t="s">
        <v>145</v>
      </c>
      <c r="L7822" s="154" t="str">
        <f>IF(OpenLCAbasic!K7822="CTUh", "Fill in Manually",IF(OR(K7822="Unit", K7822=""), "", INDEX(LookUps!$E$5:$E$12, MATCH(OpenLCAbasic!K7822,LookUps!$D$5:$D$12,0))))</f>
        <v>Particulate Matter Formation Potential (PMFP) - kg PM2.5 eq</v>
      </c>
      <c r="M7822" s="154" t="str">
        <f t="shared" si="609"/>
        <v>High_High_Base_Upgraded_Particulate Matter Formation Potential (PMFP) - kg PM2.5 eq_Gravity Belt Thickener; wastewater treatment unit; at updated plant - US_Without Amendment_Windrow</v>
      </c>
    </row>
    <row r="7823" spans="1:13" s="120" customFormat="1" x14ac:dyDescent="0.25">
      <c r="A7823" s="119"/>
      <c r="B7823" s="138" t="str">
        <f t="shared" si="607"/>
        <v>Windrow</v>
      </c>
      <c r="C7823" s="138" t="str">
        <f t="shared" si="610"/>
        <v>Without Amendment</v>
      </c>
      <c r="D7823" s="138" t="str">
        <f t="shared" si="611"/>
        <v>High_Base</v>
      </c>
      <c r="E7823" s="138" t="str">
        <f t="shared" si="612"/>
        <v>High</v>
      </c>
      <c r="F7823" s="138" t="str">
        <f t="shared" si="608"/>
        <v>Upgraded</v>
      </c>
      <c r="G7823" s="153"/>
      <c r="H7823" s="210">
        <v>0.33689999999999998</v>
      </c>
      <c r="I7823" s="160" t="s">
        <v>59</v>
      </c>
      <c r="J7823" s="211">
        <v>6.9942200000000003E-5</v>
      </c>
      <c r="K7823" s="160" t="s">
        <v>145</v>
      </c>
      <c r="L7823" s="154" t="str">
        <f>IF(OpenLCAbasic!K7823="CTUh", "Fill in Manually",IF(OR(K7823="Unit", K7823=""), "", INDEX(LookUps!$E$5:$E$12, MATCH(OpenLCAbasic!K7823,LookUps!$D$5:$D$12,0))))</f>
        <v>Particulate Matter Formation Potential (PMFP) - kg PM2.5 eq</v>
      </c>
      <c r="M7823" s="154" t="str">
        <f t="shared" si="609"/>
        <v>High_High_Base_Upgraded_Particulate Matter Formation Potential (PMFP) - kg PM2.5 eq_Blend Tank; wastewater treatment unit; at updated plant - US_Without Amendment_Windrow</v>
      </c>
    </row>
    <row r="7824" spans="1:13" s="120" customFormat="1" x14ac:dyDescent="0.25">
      <c r="A7824" s="119"/>
      <c r="B7824" s="138" t="str">
        <f t="shared" si="607"/>
        <v>Windrow</v>
      </c>
      <c r="C7824" s="138" t="str">
        <f t="shared" si="610"/>
        <v>Without Amendment</v>
      </c>
      <c r="D7824" s="138" t="str">
        <f t="shared" si="611"/>
        <v>High_Base</v>
      </c>
      <c r="E7824" s="138" t="str">
        <f t="shared" si="612"/>
        <v>High</v>
      </c>
      <c r="F7824" s="138" t="str">
        <f t="shared" si="608"/>
        <v>Upgraded</v>
      </c>
      <c r="G7824" s="153"/>
      <c r="H7824" s="210">
        <v>0.2407</v>
      </c>
      <c r="I7824" s="160" t="s">
        <v>48</v>
      </c>
      <c r="J7824" s="211">
        <v>4.99741E-5</v>
      </c>
      <c r="K7824" s="160" t="s">
        <v>145</v>
      </c>
      <c r="L7824" s="154" t="str">
        <f>IF(OpenLCAbasic!K7824="CTUh", "Fill in Manually",IF(OR(K7824="Unit", K7824=""), "", INDEX(LookUps!$E$5:$E$12, MATCH(OpenLCAbasic!K7824,LookUps!$D$5:$D$12,0))))</f>
        <v>Particulate Matter Formation Potential (PMFP) - kg PM2.5 eq</v>
      </c>
      <c r="M7824" s="154" t="str">
        <f t="shared" si="609"/>
        <v>High_High_Base_Upgraded_Particulate Matter Formation Potential (PMFP) - kg PM2.5 eq_Effluent release; wastewater treatment unit; at surface water; m3 wastewater - US_Without Amendment_Windrow</v>
      </c>
    </row>
    <row r="7825" spans="1:13" s="120" customFormat="1" x14ac:dyDescent="0.25">
      <c r="A7825" s="119"/>
      <c r="B7825" s="138" t="str">
        <f t="shared" si="607"/>
        <v>Windrow</v>
      </c>
      <c r="C7825" s="138" t="str">
        <f t="shared" si="610"/>
        <v>Without Amendment</v>
      </c>
      <c r="D7825" s="138" t="str">
        <f t="shared" si="611"/>
        <v>High_Base</v>
      </c>
      <c r="E7825" s="138" t="str">
        <f t="shared" si="612"/>
        <v>High</v>
      </c>
      <c r="F7825" s="138" t="str">
        <f t="shared" si="608"/>
        <v>Upgraded</v>
      </c>
      <c r="G7825" s="153"/>
      <c r="H7825" s="210">
        <v>0.21390000000000001</v>
      </c>
      <c r="I7825" s="160" t="s">
        <v>62</v>
      </c>
      <c r="J7825" s="211">
        <v>4.4422599999999997E-5</v>
      </c>
      <c r="K7825" s="160" t="s">
        <v>145</v>
      </c>
      <c r="L7825" s="154" t="str">
        <f>IF(OpenLCAbasic!K7825="CTUh", "Fill in Manually",IF(OR(K7825="Unit", K7825=""), "", INDEX(LookUps!$E$5:$E$12, MATCH(OpenLCAbasic!K7825,LookUps!$D$5:$D$12,0))))</f>
        <v>Particulate Matter Formation Potential (PMFP) - kg PM2.5 eq</v>
      </c>
      <c r="M7825" s="154" t="str">
        <f t="shared" si="609"/>
        <v>High_High_Base_Upgraded_Particulate Matter Formation Potential (PMFP) - kg PM2.5 eq_Land application of compost; wastewater treatment unit; at updated plant - US_Without Amendment_Windrow</v>
      </c>
    </row>
    <row r="7826" spans="1:13" s="120" customFormat="1" x14ac:dyDescent="0.25">
      <c r="A7826" s="119"/>
      <c r="B7826" s="138" t="str">
        <f t="shared" si="607"/>
        <v>Windrow</v>
      </c>
      <c r="C7826" s="138" t="str">
        <f t="shared" si="610"/>
        <v>Without Amendment</v>
      </c>
      <c r="D7826" s="138" t="str">
        <f t="shared" si="611"/>
        <v>High_Base</v>
      </c>
      <c r="E7826" s="138" t="str">
        <f t="shared" si="612"/>
        <v>High</v>
      </c>
      <c r="F7826" s="138" t="str">
        <f t="shared" si="608"/>
        <v>Upgraded</v>
      </c>
      <c r="G7826" s="153"/>
      <c r="H7826" s="210">
        <v>0.16650000000000001</v>
      </c>
      <c r="I7826" s="160" t="s">
        <v>168</v>
      </c>
      <c r="J7826" s="211">
        <v>3.4562199999999999E-5</v>
      </c>
      <c r="K7826" s="160" t="s">
        <v>145</v>
      </c>
      <c r="L7826" s="154" t="str">
        <f>IF(OpenLCAbasic!K7826="CTUh", "Fill in Manually",IF(OR(K7826="Unit", K7826=""), "", INDEX(LookUps!$E$5:$E$12, MATCH(OpenLCAbasic!K7826,LookUps!$D$5:$D$12,0))))</f>
        <v>Particulate Matter Formation Potential (PMFP) - kg PM2.5 eq</v>
      </c>
      <c r="M7826" s="154" t="str">
        <f t="shared" si="609"/>
        <v>High_High_Base_Upgraded_Particulate Matter Formation Potential (PMFP) - kg PM2.5 eq_ClearCove SCP; wastewater treatment unit; at updated plant - US_Without Amendment_Windrow</v>
      </c>
    </row>
    <row r="7827" spans="1:13" s="120" customFormat="1" x14ac:dyDescent="0.25">
      <c r="A7827" s="119"/>
      <c r="B7827" s="138" t="str">
        <f t="shared" si="607"/>
        <v>Windrow</v>
      </c>
      <c r="C7827" s="138" t="str">
        <f t="shared" si="610"/>
        <v>Without Amendment</v>
      </c>
      <c r="D7827" s="138" t="str">
        <f t="shared" si="611"/>
        <v>High_Base</v>
      </c>
      <c r="E7827" s="138" t="str">
        <f t="shared" si="612"/>
        <v>High</v>
      </c>
      <c r="F7827" s="138" t="str">
        <f t="shared" si="608"/>
        <v>Upgraded</v>
      </c>
      <c r="G7827" s="153"/>
      <c r="H7827" s="210">
        <v>4.2500000000000003E-2</v>
      </c>
      <c r="I7827" s="160" t="s">
        <v>148</v>
      </c>
      <c r="J7827" s="211">
        <v>8.8212999999999997E-6</v>
      </c>
      <c r="K7827" s="160" t="s">
        <v>145</v>
      </c>
      <c r="L7827" s="154" t="str">
        <f>IF(OpenLCAbasic!K7827="CTUh", "Fill in Manually",IF(OR(K7827="Unit", K7827=""), "", INDEX(LookUps!$E$5:$E$12, MATCH(OpenLCAbasic!K7827,LookUps!$D$5:$D$12,0))))</f>
        <v>Particulate Matter Formation Potential (PMFP) - kg PM2.5 eq</v>
      </c>
      <c r="M7827" s="154" t="str">
        <f t="shared" si="609"/>
        <v>High_High_Base_Upgraded_Particulate Matter Formation Potential (PMFP) - kg PM2.5 eq_Control Building; at upgraded wastewater treatment plant - US_Without Amendment_Windrow</v>
      </c>
    </row>
    <row r="7828" spans="1:13" s="120" customFormat="1" x14ac:dyDescent="0.25">
      <c r="A7828" s="119"/>
      <c r="B7828" s="138" t="str">
        <f t="shared" si="607"/>
        <v>Windrow</v>
      </c>
      <c r="C7828" s="138" t="str">
        <f t="shared" si="610"/>
        <v>Without Amendment</v>
      </c>
      <c r="D7828" s="138" t="str">
        <f t="shared" si="611"/>
        <v>High_Base</v>
      </c>
      <c r="E7828" s="138" t="str">
        <f t="shared" si="612"/>
        <v>High</v>
      </c>
      <c r="F7828" s="138" t="str">
        <f t="shared" si="608"/>
        <v>Upgraded</v>
      </c>
      <c r="G7828" s="153"/>
      <c r="H7828" s="210">
        <v>-28.9986</v>
      </c>
      <c r="I7828" s="160" t="s">
        <v>149</v>
      </c>
      <c r="J7828" s="160">
        <v>-6.0200000000000002E-3</v>
      </c>
      <c r="K7828" s="160" t="s">
        <v>145</v>
      </c>
      <c r="L7828" s="154" t="str">
        <f>IF(OpenLCAbasic!K7828="CTUh", "Fill in Manually",IF(OR(K7828="Unit", K7828=""), "", INDEX(LookUps!$E$5:$E$12, MATCH(OpenLCAbasic!K7828,LookUps!$D$5:$D$12,0))))</f>
        <v>Particulate Matter Formation Potential (PMFP) - kg PM2.5 eq</v>
      </c>
      <c r="M7828" s="154" t="str">
        <f t="shared" si="609"/>
        <v>High_High_Base_Upgraded_Particulate Matter Formation Potential (PMFP) - kg PM2.5 eq_Anaerobic Digestion; wastewater treatment unit; at updated plant - US_Without Amendment_Windrow</v>
      </c>
    </row>
    <row r="7829" spans="1:13" s="120" customFormat="1" x14ac:dyDescent="0.25">
      <c r="A7829" s="119"/>
      <c r="B7829" s="138" t="str">
        <f t="shared" si="607"/>
        <v/>
      </c>
      <c r="C7829" s="138" t="str">
        <f t="shared" si="610"/>
        <v/>
      </c>
      <c r="D7829" s="138" t="str">
        <f t="shared" si="611"/>
        <v/>
      </c>
      <c r="E7829" s="138" t="str">
        <f t="shared" si="612"/>
        <v/>
      </c>
      <c r="F7829" s="138" t="str">
        <f t="shared" si="608"/>
        <v/>
      </c>
      <c r="G7829" s="153" t="s">
        <v>51</v>
      </c>
      <c r="H7829" s="160"/>
      <c r="I7829" s="160" t="s">
        <v>47</v>
      </c>
      <c r="J7829" s="160" t="s">
        <v>52</v>
      </c>
      <c r="K7829" s="160" t="s">
        <v>27</v>
      </c>
      <c r="L7829" s="154" t="str">
        <f>IF(OpenLCAbasic!K7829="CTUh", "Fill in Manually",IF(OR(K7829="Unit", K7829=""), "", INDEX(LookUps!$E$5:$E$12, MATCH(OpenLCAbasic!K7829,LookUps!$D$5:$D$12,0))))</f>
        <v/>
      </c>
      <c r="M7829" s="154" t="str">
        <f t="shared" si="609"/>
        <v>____Process__</v>
      </c>
    </row>
    <row r="7830" spans="1:13" s="120" customFormat="1" x14ac:dyDescent="0.25">
      <c r="A7830" s="119"/>
      <c r="B7830" s="138" t="str">
        <f t="shared" si="607"/>
        <v>Windrow</v>
      </c>
      <c r="C7830" s="138" t="str">
        <f t="shared" si="610"/>
        <v>Without Amendment</v>
      </c>
      <c r="D7830" s="138" t="str">
        <f t="shared" si="611"/>
        <v>High_Base</v>
      </c>
      <c r="E7830" s="138" t="str">
        <f t="shared" si="612"/>
        <v>High</v>
      </c>
      <c r="F7830" s="138" t="str">
        <f t="shared" si="608"/>
        <v>Upgraded</v>
      </c>
      <c r="G7830" s="153"/>
      <c r="H7830" s="210">
        <v>3.6154999999999999</v>
      </c>
      <c r="I7830" s="160" t="s">
        <v>55</v>
      </c>
      <c r="J7830" s="160">
        <v>0.16577</v>
      </c>
      <c r="K7830" s="160" t="s">
        <v>25</v>
      </c>
      <c r="L7830" s="154" t="str">
        <f>IF(OpenLCAbasic!K7830="CTUh", "Fill in Manually",IF(OR(K7830="Unit", K7830=""), "", INDEX(LookUps!$E$5:$E$12, MATCH(OpenLCAbasic!K7830,LookUps!$D$5:$D$12,0))))</f>
        <v>Smog Formation Potential (SFP) - kg O3 eq</v>
      </c>
      <c r="M7830" s="154" t="str">
        <f t="shared" si="609"/>
        <v>High_High_Base_Upgraded_Smog Formation Potential (SFP) - kg O3 eq_Aeration Tanks; wastewater treatment unit; at updated plant - US_Without Amendment_Windrow</v>
      </c>
    </row>
    <row r="7831" spans="1:13" s="120" customFormat="1" x14ac:dyDescent="0.25">
      <c r="A7831" s="119"/>
      <c r="B7831" s="138" t="str">
        <f t="shared" si="607"/>
        <v>Windrow</v>
      </c>
      <c r="C7831" s="138" t="str">
        <f t="shared" si="610"/>
        <v>Without Amendment</v>
      </c>
      <c r="D7831" s="138" t="str">
        <f t="shared" si="611"/>
        <v>High_Base</v>
      </c>
      <c r="E7831" s="138" t="str">
        <f t="shared" si="612"/>
        <v>High</v>
      </c>
      <c r="F7831" s="138" t="str">
        <f t="shared" si="608"/>
        <v>Upgraded</v>
      </c>
      <c r="G7831" s="153"/>
      <c r="H7831" s="210">
        <v>1.0485</v>
      </c>
      <c r="I7831" s="160" t="s">
        <v>54</v>
      </c>
      <c r="J7831" s="160">
        <v>4.8070000000000002E-2</v>
      </c>
      <c r="K7831" s="160" t="s">
        <v>25</v>
      </c>
      <c r="L7831" s="154" t="str">
        <f>IF(OpenLCAbasic!K7831="CTUh", "Fill in Manually",IF(OR(K7831="Unit", K7831=""), "", INDEX(LookUps!$E$5:$E$12, MATCH(OpenLCAbasic!K7831,LookUps!$D$5:$D$12,0))))</f>
        <v>Smog Formation Potential (SFP) - kg O3 eq</v>
      </c>
      <c r="M7831" s="154" t="str">
        <f t="shared" si="609"/>
        <v>High_High_Base_Upgraded_Smog Formation Potential (SFP) - kg O3 eq_Clear Cove Primary Clarification; wastewater treatment unit; at updated plant - US_Without Amendment_Windrow</v>
      </c>
    </row>
    <row r="7832" spans="1:13" s="120" customFormat="1" x14ac:dyDescent="0.25">
      <c r="A7832" s="119"/>
      <c r="B7832" s="138" t="str">
        <f t="shared" si="607"/>
        <v>Windrow</v>
      </c>
      <c r="C7832" s="138" t="str">
        <f t="shared" si="610"/>
        <v>Without Amendment</v>
      </c>
      <c r="D7832" s="138" t="str">
        <f t="shared" si="611"/>
        <v>High_Base</v>
      </c>
      <c r="E7832" s="138" t="str">
        <f t="shared" si="612"/>
        <v>High</v>
      </c>
      <c r="F7832" s="138" t="str">
        <f t="shared" si="608"/>
        <v>Upgraded</v>
      </c>
      <c r="G7832" s="153"/>
      <c r="H7832" s="210">
        <v>0.91800000000000004</v>
      </c>
      <c r="I7832" s="160" t="s">
        <v>58</v>
      </c>
      <c r="J7832" s="160">
        <v>4.2090000000000002E-2</v>
      </c>
      <c r="K7832" s="160" t="s">
        <v>25</v>
      </c>
      <c r="L7832" s="154" t="str">
        <f>IF(OpenLCAbasic!K7832="CTUh", "Fill in Manually",IF(OR(K7832="Unit", K7832=""), "", INDEX(LookUps!$E$5:$E$12, MATCH(OpenLCAbasic!K7832,LookUps!$D$5:$D$12,0))))</f>
        <v>Smog Formation Potential (SFP) - kg O3 eq</v>
      </c>
      <c r="M7832" s="154" t="str">
        <f t="shared" si="609"/>
        <v>High_High_Base_Upgraded_Smog Formation Potential (SFP) - kg O3 eq_Pre-Anoxic &amp; Swing tank; wastewater treatment unit; at updated plant - US_Without Amendment_Windrow</v>
      </c>
    </row>
    <row r="7833" spans="1:13" s="120" customFormat="1" x14ac:dyDescent="0.25">
      <c r="A7833" s="119"/>
      <c r="B7833" s="138" t="str">
        <f t="shared" si="607"/>
        <v>Windrow</v>
      </c>
      <c r="C7833" s="138" t="str">
        <f t="shared" si="610"/>
        <v>Without Amendment</v>
      </c>
      <c r="D7833" s="138" t="str">
        <f t="shared" si="611"/>
        <v>High_Base</v>
      </c>
      <c r="E7833" s="138" t="str">
        <f t="shared" si="612"/>
        <v>High</v>
      </c>
      <c r="F7833" s="138" t="str">
        <f t="shared" si="608"/>
        <v>Upgraded</v>
      </c>
      <c r="G7833" s="153"/>
      <c r="H7833" s="210">
        <v>0.73619999999999997</v>
      </c>
      <c r="I7833" s="160" t="s">
        <v>167</v>
      </c>
      <c r="J7833" s="160">
        <v>3.3759999999999998E-2</v>
      </c>
      <c r="K7833" s="160" t="s">
        <v>25</v>
      </c>
      <c r="L7833" s="154" t="str">
        <f>IF(OpenLCAbasic!K7833="CTUh", "Fill in Manually",IF(OR(K7833="Unit", K7833=""), "", INDEX(LookUps!$E$5:$E$12, MATCH(OpenLCAbasic!K7833,LookUps!$D$5:$D$12,0))))</f>
        <v>Smog Formation Potential (SFP) - kg O3 eq</v>
      </c>
      <c r="M7833" s="154" t="str">
        <f t="shared" si="609"/>
        <v>High_High_Base_Upgraded_Smog Formation Potential (SFP) - kg O3 eq_Waste Receiving and Holding; wastewater treatment unit; at updated plant - US_Without Amendment_Windrow</v>
      </c>
    </row>
    <row r="7834" spans="1:13" s="120" customFormat="1" x14ac:dyDescent="0.25">
      <c r="A7834" s="119"/>
      <c r="B7834" s="138" t="str">
        <f t="shared" si="607"/>
        <v>Windrow</v>
      </c>
      <c r="C7834" s="138" t="str">
        <f t="shared" si="610"/>
        <v>Without Amendment</v>
      </c>
      <c r="D7834" s="138" t="str">
        <f t="shared" si="611"/>
        <v>High_Base</v>
      </c>
      <c r="E7834" s="138" t="str">
        <f t="shared" si="612"/>
        <v>High</v>
      </c>
      <c r="F7834" s="138" t="str">
        <f t="shared" si="608"/>
        <v>Upgraded</v>
      </c>
      <c r="G7834" s="153"/>
      <c r="H7834" s="210">
        <v>0.72250000000000003</v>
      </c>
      <c r="I7834" s="160" t="s">
        <v>53</v>
      </c>
      <c r="J7834" s="160">
        <v>3.313E-2</v>
      </c>
      <c r="K7834" s="160" t="s">
        <v>25</v>
      </c>
      <c r="L7834" s="154" t="str">
        <f>IF(OpenLCAbasic!K7834="CTUh", "Fill in Manually",IF(OR(K7834="Unit", K7834=""), "", INDEX(LookUps!$E$5:$E$12, MATCH(OpenLCAbasic!K7834,LookUps!$D$5:$D$12,0))))</f>
        <v>Smog Formation Potential (SFP) - kg O3 eq</v>
      </c>
      <c r="M7834" s="154" t="str">
        <f t="shared" si="609"/>
        <v>High_High_Base_Upgraded_Smog Formation Potential (SFP) - kg O3 eq_Wet Well and Sump Station; wastewater treatment unit; at updated plant - US_Without Amendment_Windrow</v>
      </c>
    </row>
    <row r="7835" spans="1:13" s="120" customFormat="1" x14ac:dyDescent="0.25">
      <c r="A7835" s="119"/>
      <c r="B7835" s="138" t="str">
        <f t="shared" si="607"/>
        <v>Windrow</v>
      </c>
      <c r="C7835" s="138" t="str">
        <f t="shared" si="610"/>
        <v>Without Amendment</v>
      </c>
      <c r="D7835" s="138" t="str">
        <f t="shared" si="611"/>
        <v>High_Base</v>
      </c>
      <c r="E7835" s="138" t="str">
        <f t="shared" si="612"/>
        <v>High</v>
      </c>
      <c r="F7835" s="138" t="str">
        <f t="shared" si="608"/>
        <v>Upgraded</v>
      </c>
      <c r="G7835" s="153"/>
      <c r="H7835" s="210">
        <v>0.42309999999999998</v>
      </c>
      <c r="I7835" s="160" t="s">
        <v>147</v>
      </c>
      <c r="J7835" s="160">
        <v>1.9400000000000001E-2</v>
      </c>
      <c r="K7835" s="160" t="s">
        <v>25</v>
      </c>
      <c r="L7835" s="154" t="str">
        <f>IF(OpenLCAbasic!K7835="CTUh", "Fill in Manually",IF(OR(K7835="Unit", K7835=""), "", INDEX(LookUps!$E$5:$E$12, MATCH(OpenLCAbasic!K7835,LookUps!$D$5:$D$12,0))))</f>
        <v>Smog Formation Potential (SFP) - kg O3 eq</v>
      </c>
      <c r="M7835" s="154" t="str">
        <f t="shared" si="609"/>
        <v>High_High_Base_Upgraded_Smog Formation Potential (SFP) - kg O3 eq_Influent Pump Station; wastewater treatment unit; at updated plant - US_Without Amendment_Windrow</v>
      </c>
    </row>
    <row r="7836" spans="1:13" s="120" customFormat="1" x14ac:dyDescent="0.25">
      <c r="A7836" s="119"/>
      <c r="B7836" s="138" t="str">
        <f t="shared" si="607"/>
        <v>Windrow</v>
      </c>
      <c r="C7836" s="138" t="str">
        <f t="shared" si="610"/>
        <v>Without Amendment</v>
      </c>
      <c r="D7836" s="138" t="str">
        <f t="shared" si="611"/>
        <v>High_Base</v>
      </c>
      <c r="E7836" s="138" t="str">
        <f t="shared" si="612"/>
        <v>High</v>
      </c>
      <c r="F7836" s="138" t="str">
        <f t="shared" si="608"/>
        <v>Upgraded</v>
      </c>
      <c r="G7836" s="153"/>
      <c r="H7836" s="210">
        <v>0.3024</v>
      </c>
      <c r="I7836" s="160" t="s">
        <v>60</v>
      </c>
      <c r="J7836" s="160">
        <v>1.387E-2</v>
      </c>
      <c r="K7836" s="160" t="s">
        <v>25</v>
      </c>
      <c r="L7836" s="154" t="str">
        <f>IF(OpenLCAbasic!K7836="CTUh", "Fill in Manually",IF(OR(K7836="Unit", K7836=""), "", INDEX(LookUps!$E$5:$E$12, MATCH(OpenLCAbasic!K7836,LookUps!$D$5:$D$12,0))))</f>
        <v>Smog Formation Potential (SFP) - kg O3 eq</v>
      </c>
      <c r="M7836" s="154" t="str">
        <f t="shared" si="609"/>
        <v>High_High_Base_Upgraded_Smog Formation Potential (SFP) - kg O3 eq_Belt filter press; wastewater treatment unit; at updated plant - US_Without Amendment_Windrow</v>
      </c>
    </row>
    <row r="7837" spans="1:13" s="120" customFormat="1" x14ac:dyDescent="0.25">
      <c r="A7837" s="119"/>
      <c r="B7837" s="138" t="str">
        <f t="shared" si="607"/>
        <v>Windrow</v>
      </c>
      <c r="C7837" s="138" t="str">
        <f t="shared" si="610"/>
        <v>Without Amendment</v>
      </c>
      <c r="D7837" s="138" t="str">
        <f t="shared" si="611"/>
        <v>High_Base</v>
      </c>
      <c r="E7837" s="138" t="str">
        <f t="shared" si="612"/>
        <v>High</v>
      </c>
      <c r="F7837" s="138" t="str">
        <f t="shared" si="608"/>
        <v>Upgraded</v>
      </c>
      <c r="G7837" s="153"/>
      <c r="H7837" s="210">
        <v>0.25990000000000002</v>
      </c>
      <c r="I7837" s="160" t="s">
        <v>128</v>
      </c>
      <c r="J7837" s="160">
        <v>1.192E-2</v>
      </c>
      <c r="K7837" s="160" t="s">
        <v>25</v>
      </c>
      <c r="L7837" s="154" t="str">
        <f>IF(OpenLCAbasic!K7837="CTUh", "Fill in Manually",IF(OR(K7837="Unit", K7837=""), "", INDEX(LookUps!$E$5:$E$12, MATCH(OpenLCAbasic!K7837,LookUps!$D$5:$D$12,0))))</f>
        <v>Smog Formation Potential (SFP) - kg O3 eq</v>
      </c>
      <c r="M7837" s="154" t="str">
        <f t="shared" si="609"/>
        <v>High_High_Base_Upgraded_Smog Formation Potential (SFP) - kg O3 eq_Wastewater collection; operation and infrastructure; m3 wastewater_Without Amendment_Windrow</v>
      </c>
    </row>
    <row r="7838" spans="1:13" s="120" customFormat="1" x14ac:dyDescent="0.25">
      <c r="A7838" s="119"/>
      <c r="B7838" s="138" t="str">
        <f t="shared" si="607"/>
        <v>Windrow</v>
      </c>
      <c r="C7838" s="138" t="str">
        <f t="shared" si="610"/>
        <v>Without Amendment</v>
      </c>
      <c r="D7838" s="138" t="str">
        <f t="shared" si="611"/>
        <v>High_Base</v>
      </c>
      <c r="E7838" s="138" t="str">
        <f t="shared" si="612"/>
        <v>High</v>
      </c>
      <c r="F7838" s="138" t="str">
        <f t="shared" si="608"/>
        <v>Upgraded</v>
      </c>
      <c r="G7838" s="153"/>
      <c r="H7838" s="210">
        <v>0.14510000000000001</v>
      </c>
      <c r="I7838" s="160" t="s">
        <v>57</v>
      </c>
      <c r="J7838" s="160">
        <v>6.6499999999999997E-3</v>
      </c>
      <c r="K7838" s="160" t="s">
        <v>25</v>
      </c>
      <c r="L7838" s="154" t="str">
        <f>IF(OpenLCAbasic!K7838="CTUh", "Fill in Manually",IF(OR(K7838="Unit", K7838=""), "", INDEX(LookUps!$E$5:$E$12, MATCH(OpenLCAbasic!K7838,LookUps!$D$5:$D$12,0))))</f>
        <v>Smog Formation Potential (SFP) - kg O3 eq</v>
      </c>
      <c r="M7838" s="154" t="str">
        <f t="shared" si="609"/>
        <v>High_High_Base_Upgraded_Smog Formation Potential (SFP) - kg O3 eq_Gravity Belt Thickener; wastewater treatment unit; at updated plant - US_Without Amendment_Windrow</v>
      </c>
    </row>
    <row r="7839" spans="1:13" s="120" customFormat="1" x14ac:dyDescent="0.25">
      <c r="A7839" s="119"/>
      <c r="B7839" s="138" t="str">
        <f t="shared" si="607"/>
        <v>Windrow</v>
      </c>
      <c r="C7839" s="138" t="str">
        <f t="shared" si="610"/>
        <v>Without Amendment</v>
      </c>
      <c r="D7839" s="138" t="str">
        <f t="shared" si="611"/>
        <v>High_Base</v>
      </c>
      <c r="E7839" s="138" t="str">
        <f t="shared" si="612"/>
        <v>High</v>
      </c>
      <c r="F7839" s="138" t="str">
        <f t="shared" si="608"/>
        <v>Upgraded</v>
      </c>
      <c r="G7839" s="153"/>
      <c r="H7839" s="210">
        <v>0.1085</v>
      </c>
      <c r="I7839" s="160" t="s">
        <v>59</v>
      </c>
      <c r="J7839" s="160">
        <v>4.9699999999999996E-3</v>
      </c>
      <c r="K7839" s="160" t="s">
        <v>25</v>
      </c>
      <c r="L7839" s="154" t="str">
        <f>IF(OpenLCAbasic!K7839="CTUh", "Fill in Manually",IF(OR(K7839="Unit", K7839=""), "", INDEX(LookUps!$E$5:$E$12, MATCH(OpenLCAbasic!K7839,LookUps!$D$5:$D$12,0))))</f>
        <v>Smog Formation Potential (SFP) - kg O3 eq</v>
      </c>
      <c r="M7839" s="154" t="str">
        <f t="shared" si="609"/>
        <v>High_High_Base_Upgraded_Smog Formation Potential (SFP) - kg O3 eq_Blend Tank; wastewater treatment unit; at updated plant - US_Without Amendment_Windrow</v>
      </c>
    </row>
    <row r="7840" spans="1:13" s="120" customFormat="1" x14ac:dyDescent="0.25">
      <c r="A7840" s="119"/>
      <c r="B7840" s="138" t="str">
        <f t="shared" si="607"/>
        <v>Windrow</v>
      </c>
      <c r="C7840" s="138" t="str">
        <f t="shared" si="610"/>
        <v>Without Amendment</v>
      </c>
      <c r="D7840" s="138" t="str">
        <f t="shared" si="611"/>
        <v>High_Base</v>
      </c>
      <c r="E7840" s="138" t="str">
        <f t="shared" si="612"/>
        <v>High</v>
      </c>
      <c r="F7840" s="138" t="str">
        <f t="shared" si="608"/>
        <v>Upgraded</v>
      </c>
      <c r="G7840" s="153"/>
      <c r="H7840" s="210">
        <v>7.3800000000000004E-2</v>
      </c>
      <c r="I7840" s="160" t="s">
        <v>48</v>
      </c>
      <c r="J7840" s="160">
        <v>3.3899999999999998E-3</v>
      </c>
      <c r="K7840" s="160" t="s">
        <v>25</v>
      </c>
      <c r="L7840" s="154" t="str">
        <f>IF(OpenLCAbasic!K7840="CTUh", "Fill in Manually",IF(OR(K7840="Unit", K7840=""), "", INDEX(LookUps!$E$5:$E$12, MATCH(OpenLCAbasic!K7840,LookUps!$D$5:$D$12,0))))</f>
        <v>Smog Formation Potential (SFP) - kg O3 eq</v>
      </c>
      <c r="M7840" s="154" t="str">
        <f t="shared" si="609"/>
        <v>High_High_Base_Upgraded_Smog Formation Potential (SFP) - kg O3 eq_Effluent release; wastewater treatment unit; at surface water; m3 wastewater - US_Without Amendment_Windrow</v>
      </c>
    </row>
    <row r="7841" spans="1:13" s="120" customFormat="1" x14ac:dyDescent="0.25">
      <c r="A7841" s="119"/>
      <c r="B7841" s="138" t="str">
        <f t="shared" si="607"/>
        <v>Windrow</v>
      </c>
      <c r="C7841" s="138" t="str">
        <f t="shared" si="610"/>
        <v>Without Amendment</v>
      </c>
      <c r="D7841" s="138" t="str">
        <f t="shared" si="611"/>
        <v>High_Base</v>
      </c>
      <c r="E7841" s="138" t="str">
        <f t="shared" si="612"/>
        <v>High</v>
      </c>
      <c r="F7841" s="138" t="str">
        <f t="shared" si="608"/>
        <v>Upgraded</v>
      </c>
      <c r="G7841" s="153"/>
      <c r="H7841" s="210">
        <v>5.3499999999999999E-2</v>
      </c>
      <c r="I7841" s="160" t="s">
        <v>168</v>
      </c>
      <c r="J7841" s="160">
        <v>2.4599999999999999E-3</v>
      </c>
      <c r="K7841" s="160" t="s">
        <v>25</v>
      </c>
      <c r="L7841" s="154" t="str">
        <f>IF(OpenLCAbasic!K7841="CTUh", "Fill in Manually",IF(OR(K7841="Unit", K7841=""), "", INDEX(LookUps!$E$5:$E$12, MATCH(OpenLCAbasic!K7841,LookUps!$D$5:$D$12,0))))</f>
        <v>Smog Formation Potential (SFP) - kg O3 eq</v>
      </c>
      <c r="M7841" s="154" t="str">
        <f t="shared" si="609"/>
        <v>High_High_Base_Upgraded_Smog Formation Potential (SFP) - kg O3 eq_ClearCove SCP; wastewater treatment unit; at updated plant - US_Without Amendment_Windrow</v>
      </c>
    </row>
    <row r="7842" spans="1:13" s="120" customFormat="1" x14ac:dyDescent="0.25">
      <c r="A7842" s="119"/>
      <c r="B7842" s="138" t="str">
        <f t="shared" si="607"/>
        <v>Windrow</v>
      </c>
      <c r="C7842" s="138" t="str">
        <f t="shared" si="610"/>
        <v>Without Amendment</v>
      </c>
      <c r="D7842" s="138" t="str">
        <f t="shared" si="611"/>
        <v>High_Base</v>
      </c>
      <c r="E7842" s="138" t="str">
        <f t="shared" si="612"/>
        <v>High</v>
      </c>
      <c r="F7842" s="138" t="str">
        <f t="shared" si="608"/>
        <v>Upgraded</v>
      </c>
      <c r="G7842" s="153"/>
      <c r="H7842" s="210">
        <v>2.1100000000000001E-2</v>
      </c>
      <c r="I7842" s="160" t="s">
        <v>271</v>
      </c>
      <c r="J7842" s="160">
        <v>9.7000000000000005E-4</v>
      </c>
      <c r="K7842" s="160" t="s">
        <v>25</v>
      </c>
      <c r="L7842" s="154" t="str">
        <f>IF(OpenLCAbasic!K7842="CTUh", "Fill in Manually",IF(OR(K7842="Unit", K7842=""), "", INDEX(LookUps!$E$5:$E$12, MATCH(OpenLCAbasic!K7842,LookUps!$D$5:$D$12,0))))</f>
        <v>Smog Formation Potential (SFP) - kg O3 eq</v>
      </c>
      <c r="M7842" s="154" t="str">
        <f t="shared" si="609"/>
        <v>High_High_Base_Upgraded_Smog Formation Potential (SFP) - kg O3 eq_Biosolids composting; windrow composting; wastewater treatment unit; at updated plant - US_Without Amendment_Windrow</v>
      </c>
    </row>
    <row r="7843" spans="1:13" s="120" customFormat="1" x14ac:dyDescent="0.25">
      <c r="A7843" s="119"/>
      <c r="B7843" s="138" t="str">
        <f t="shared" si="607"/>
        <v>Windrow</v>
      </c>
      <c r="C7843" s="138" t="str">
        <f t="shared" si="610"/>
        <v>Without Amendment</v>
      </c>
      <c r="D7843" s="138" t="str">
        <f t="shared" si="611"/>
        <v>High_Base</v>
      </c>
      <c r="E7843" s="138" t="str">
        <f t="shared" si="612"/>
        <v>High</v>
      </c>
      <c r="F7843" s="138" t="str">
        <f t="shared" si="608"/>
        <v>Upgraded</v>
      </c>
      <c r="G7843" s="153"/>
      <c r="H7843" s="210">
        <v>1.17E-2</v>
      </c>
      <c r="I7843" s="160" t="s">
        <v>148</v>
      </c>
      <c r="J7843" s="160">
        <v>5.4000000000000001E-4</v>
      </c>
      <c r="K7843" s="160" t="s">
        <v>25</v>
      </c>
      <c r="L7843" s="154" t="str">
        <f>IF(OpenLCAbasic!K7843="CTUh", "Fill in Manually",IF(OR(K7843="Unit", K7843=""), "", INDEX(LookUps!$E$5:$E$12, MATCH(OpenLCAbasic!K7843,LookUps!$D$5:$D$12,0))))</f>
        <v>Smog Formation Potential (SFP) - kg O3 eq</v>
      </c>
      <c r="M7843" s="154" t="str">
        <f t="shared" si="609"/>
        <v>High_High_Base_Upgraded_Smog Formation Potential (SFP) - kg O3 eq_Control Building; at upgraded wastewater treatment plant - US_Without Amendment_Windrow</v>
      </c>
    </row>
    <row r="7844" spans="1:13" s="120" customFormat="1" x14ac:dyDescent="0.25">
      <c r="A7844" s="119"/>
      <c r="B7844" s="138" t="str">
        <f t="shared" si="607"/>
        <v>Windrow</v>
      </c>
      <c r="C7844" s="138" t="str">
        <f t="shared" si="610"/>
        <v>Without Amendment</v>
      </c>
      <c r="D7844" s="138" t="str">
        <f t="shared" si="611"/>
        <v>High_Base</v>
      </c>
      <c r="E7844" s="138" t="str">
        <f t="shared" si="612"/>
        <v>High</v>
      </c>
      <c r="F7844" s="138" t="str">
        <f t="shared" si="608"/>
        <v>Upgraded</v>
      </c>
      <c r="G7844" s="153"/>
      <c r="H7844" s="210">
        <v>-6.9000000000000006E-2</v>
      </c>
      <c r="I7844" s="160" t="s">
        <v>62</v>
      </c>
      <c r="J7844" s="160">
        <v>-3.16E-3</v>
      </c>
      <c r="K7844" s="160" t="s">
        <v>25</v>
      </c>
      <c r="L7844" s="154" t="str">
        <f>IF(OpenLCAbasic!K7844="CTUh", "Fill in Manually",IF(OR(K7844="Unit", K7844=""), "", INDEX(LookUps!$E$5:$E$12, MATCH(OpenLCAbasic!K7844,LookUps!$D$5:$D$12,0))))</f>
        <v>Smog Formation Potential (SFP) - kg O3 eq</v>
      </c>
      <c r="M7844" s="154" t="str">
        <f t="shared" si="609"/>
        <v>High_High_Base_Upgraded_Smog Formation Potential (SFP) - kg O3 eq_Land application of compost; wastewater treatment unit; at updated plant - US_Without Amendment_Windrow</v>
      </c>
    </row>
    <row r="7845" spans="1:13" s="120" customFormat="1" x14ac:dyDescent="0.25">
      <c r="A7845" s="119"/>
      <c r="B7845" s="138" t="str">
        <f t="shared" si="607"/>
        <v>Windrow</v>
      </c>
      <c r="C7845" s="138" t="str">
        <f t="shared" si="610"/>
        <v>Without Amendment</v>
      </c>
      <c r="D7845" s="138" t="str">
        <f t="shared" si="611"/>
        <v>High_Base</v>
      </c>
      <c r="E7845" s="138" t="str">
        <f t="shared" si="612"/>
        <v>High</v>
      </c>
      <c r="F7845" s="138" t="str">
        <f t="shared" si="608"/>
        <v>Upgraded</v>
      </c>
      <c r="G7845" s="153"/>
      <c r="H7845" s="210">
        <v>-9.3709000000000007</v>
      </c>
      <c r="I7845" s="160" t="s">
        <v>149</v>
      </c>
      <c r="J7845" s="160">
        <v>-0.42965999999999999</v>
      </c>
      <c r="K7845" s="160" t="s">
        <v>25</v>
      </c>
      <c r="L7845" s="154" t="str">
        <f>IF(OpenLCAbasic!K7845="CTUh", "Fill in Manually",IF(OR(K7845="Unit", K7845=""), "", INDEX(LookUps!$E$5:$E$12, MATCH(OpenLCAbasic!K7845,LookUps!$D$5:$D$12,0))))</f>
        <v>Smog Formation Potential (SFP) - kg O3 eq</v>
      </c>
      <c r="M7845" s="154" t="str">
        <f t="shared" si="609"/>
        <v>High_High_Base_Upgraded_Smog Formation Potential (SFP) - kg O3 eq_Anaerobic Digestion; wastewater treatment unit; at updated plant - US_Without Amendment_Windrow</v>
      </c>
    </row>
    <row r="7846" spans="1:13" s="120" customFormat="1" x14ac:dyDescent="0.25">
      <c r="A7846" s="119"/>
      <c r="B7846" s="138" t="str">
        <f t="shared" si="607"/>
        <v/>
      </c>
      <c r="C7846" s="138" t="str">
        <f t="shared" si="610"/>
        <v/>
      </c>
      <c r="D7846" s="138" t="str">
        <f t="shared" si="611"/>
        <v/>
      </c>
      <c r="E7846" s="138" t="str">
        <f t="shared" si="612"/>
        <v/>
      </c>
      <c r="F7846" s="138" t="str">
        <f t="shared" si="608"/>
        <v/>
      </c>
      <c r="G7846" s="153" t="s">
        <v>51</v>
      </c>
      <c r="H7846" s="160"/>
      <c r="I7846" s="160" t="s">
        <v>47</v>
      </c>
      <c r="J7846" s="160" t="s">
        <v>52</v>
      </c>
      <c r="K7846" s="160" t="s">
        <v>27</v>
      </c>
      <c r="L7846" s="154" t="str">
        <f>IF(OpenLCAbasic!K7846="CTUh", "Fill in Manually",IF(OR(K7846="Unit", K7846=""), "", INDEX(LookUps!$E$5:$E$12, MATCH(OpenLCAbasic!K7846,LookUps!$D$5:$D$12,0))))</f>
        <v/>
      </c>
      <c r="M7846" s="154" t="str">
        <f t="shared" si="609"/>
        <v>____Process__</v>
      </c>
    </row>
    <row r="7847" spans="1:13" s="120" customFormat="1" x14ac:dyDescent="0.25">
      <c r="A7847" s="119"/>
      <c r="B7847" s="138" t="str">
        <f t="shared" si="607"/>
        <v>Windrow</v>
      </c>
      <c r="C7847" s="138" t="str">
        <f t="shared" si="610"/>
        <v>Without Amendment</v>
      </c>
      <c r="D7847" s="138" t="str">
        <f t="shared" si="611"/>
        <v>High_Base</v>
      </c>
      <c r="E7847" s="138" t="str">
        <f t="shared" si="612"/>
        <v>High</v>
      </c>
      <c r="F7847" s="138" t="str">
        <f t="shared" si="608"/>
        <v>Upgraded</v>
      </c>
      <c r="G7847" s="153"/>
      <c r="H7847" s="210">
        <v>1.5717000000000001</v>
      </c>
      <c r="I7847" s="160" t="s">
        <v>167</v>
      </c>
      <c r="J7847" s="160">
        <v>3.4000000000000002E-4</v>
      </c>
      <c r="K7847" s="160" t="s">
        <v>26</v>
      </c>
      <c r="L7847" s="154" t="str">
        <f>IF(OpenLCAbasic!K7847="CTUh", "Fill in Manually",IF(OR(K7847="Unit", K7847=""), "", INDEX(LookUps!$E$5:$E$12, MATCH(OpenLCAbasic!K7847,LookUps!$D$5:$D$12,0))))</f>
        <v>Water Use (WU) - m3 H2O</v>
      </c>
      <c r="M7847" s="154" t="str">
        <f t="shared" si="609"/>
        <v>High_High_Base_Upgraded_Water Use (WU) - m3 H2O_Waste Receiving and Holding; wastewater treatment unit; at updated plant - US_Without Amendment_Windrow</v>
      </c>
    </row>
    <row r="7848" spans="1:13" s="120" customFormat="1" x14ac:dyDescent="0.25">
      <c r="A7848" s="119"/>
      <c r="B7848" s="138" t="str">
        <f t="shared" ref="B7848:B7879" si="613">IF(F7848="Legacy","n.a.",IF(F7848="","","Windrow"))</f>
        <v>Windrow</v>
      </c>
      <c r="C7848" s="138" t="str">
        <f t="shared" si="610"/>
        <v>Without Amendment</v>
      </c>
      <c r="D7848" s="138" t="str">
        <f t="shared" si="611"/>
        <v>High_Base</v>
      </c>
      <c r="E7848" s="138" t="str">
        <f t="shared" si="612"/>
        <v>High</v>
      </c>
      <c r="F7848" s="138" t="str">
        <f t="shared" ref="F7848:F7880" si="614">IF(ISNUMBER(J7848),"Upgraded","")</f>
        <v>Upgraded</v>
      </c>
      <c r="G7848" s="153"/>
      <c r="H7848" s="210">
        <v>0.86</v>
      </c>
      <c r="I7848" s="160" t="s">
        <v>147</v>
      </c>
      <c r="J7848" s="160">
        <v>1.8000000000000001E-4</v>
      </c>
      <c r="K7848" s="160" t="s">
        <v>26</v>
      </c>
      <c r="L7848" s="154" t="str">
        <f>IF(OpenLCAbasic!K7848="CTUh", "Fill in Manually",IF(OR(K7848="Unit", K7848=""), "", INDEX(LookUps!$E$5:$E$12, MATCH(OpenLCAbasic!K7848,LookUps!$D$5:$D$12,0))))</f>
        <v>Water Use (WU) - m3 H2O</v>
      </c>
      <c r="M7848" s="154" t="str">
        <f t="shared" si="609"/>
        <v>High_High_Base_Upgraded_Water Use (WU) - m3 H2O_Influent Pump Station; wastewater treatment unit; at updated plant - US_Without Amendment_Windrow</v>
      </c>
    </row>
    <row r="7849" spans="1:13" s="120" customFormat="1" x14ac:dyDescent="0.25">
      <c r="A7849" s="119"/>
      <c r="B7849" s="138" t="str">
        <f t="shared" si="613"/>
        <v>Windrow</v>
      </c>
      <c r="C7849" s="138" t="str">
        <f t="shared" si="610"/>
        <v>Without Amendment</v>
      </c>
      <c r="D7849" s="138" t="str">
        <f t="shared" si="611"/>
        <v>High_Base</v>
      </c>
      <c r="E7849" s="138" t="str">
        <f t="shared" si="612"/>
        <v>High</v>
      </c>
      <c r="F7849" s="138" t="str">
        <f t="shared" si="614"/>
        <v>Upgraded</v>
      </c>
      <c r="G7849" s="153"/>
      <c r="H7849" s="210">
        <v>0.83909999999999996</v>
      </c>
      <c r="I7849" s="160" t="s">
        <v>54</v>
      </c>
      <c r="J7849" s="160">
        <v>1.8000000000000001E-4</v>
      </c>
      <c r="K7849" s="160" t="s">
        <v>26</v>
      </c>
      <c r="L7849" s="154" t="str">
        <f>IF(OpenLCAbasic!K7849="CTUh", "Fill in Manually",IF(OR(K7849="Unit", K7849=""), "", INDEX(LookUps!$E$5:$E$12, MATCH(OpenLCAbasic!K7849,LookUps!$D$5:$D$12,0))))</f>
        <v>Water Use (WU) - m3 H2O</v>
      </c>
      <c r="M7849" s="154" t="str">
        <f t="shared" si="609"/>
        <v>High_High_Base_Upgraded_Water Use (WU) - m3 H2O_Clear Cove Primary Clarification; wastewater treatment unit; at updated plant - US_Without Amendment_Windrow</v>
      </c>
    </row>
    <row r="7850" spans="1:13" s="120" customFormat="1" x14ac:dyDescent="0.25">
      <c r="A7850" s="119"/>
      <c r="B7850" s="138" t="str">
        <f t="shared" si="613"/>
        <v>Windrow</v>
      </c>
      <c r="C7850" s="138" t="str">
        <f t="shared" si="610"/>
        <v>Without Amendment</v>
      </c>
      <c r="D7850" s="138" t="str">
        <f t="shared" si="611"/>
        <v>High_Base</v>
      </c>
      <c r="E7850" s="138" t="str">
        <f t="shared" si="612"/>
        <v>High</v>
      </c>
      <c r="F7850" s="138" t="str">
        <f t="shared" si="614"/>
        <v>Upgraded</v>
      </c>
      <c r="G7850" s="153"/>
      <c r="H7850" s="210">
        <v>0.76119999999999999</v>
      </c>
      <c r="I7850" s="160" t="s">
        <v>55</v>
      </c>
      <c r="J7850" s="160">
        <v>1.6000000000000001E-4</v>
      </c>
      <c r="K7850" s="160" t="s">
        <v>26</v>
      </c>
      <c r="L7850" s="154" t="str">
        <f>IF(OpenLCAbasic!K7850="CTUh", "Fill in Manually",IF(OR(K7850="Unit", K7850=""), "", INDEX(LookUps!$E$5:$E$12, MATCH(OpenLCAbasic!K7850,LookUps!$D$5:$D$12,0))))</f>
        <v>Water Use (WU) - m3 H2O</v>
      </c>
      <c r="M7850" s="154" t="str">
        <f t="shared" si="609"/>
        <v>High_High_Base_Upgraded_Water Use (WU) - m3 H2O_Aeration Tanks; wastewater treatment unit; at updated plant - US_Without Amendment_Windrow</v>
      </c>
    </row>
    <row r="7851" spans="1:13" s="120" customFormat="1" x14ac:dyDescent="0.25">
      <c r="A7851" s="119"/>
      <c r="B7851" s="138" t="str">
        <f t="shared" si="613"/>
        <v>Windrow</v>
      </c>
      <c r="C7851" s="138" t="str">
        <f t="shared" si="610"/>
        <v>Without Amendment</v>
      </c>
      <c r="D7851" s="138" t="str">
        <f t="shared" si="611"/>
        <v>High_Base</v>
      </c>
      <c r="E7851" s="138" t="str">
        <f t="shared" si="612"/>
        <v>High</v>
      </c>
      <c r="F7851" s="138" t="str">
        <f t="shared" si="614"/>
        <v>Upgraded</v>
      </c>
      <c r="G7851" s="153"/>
      <c r="H7851" s="210">
        <v>0.69340000000000002</v>
      </c>
      <c r="I7851" s="160" t="s">
        <v>148</v>
      </c>
      <c r="J7851" s="160">
        <v>1.4999999999999999E-4</v>
      </c>
      <c r="K7851" s="160" t="s">
        <v>26</v>
      </c>
      <c r="L7851" s="154" t="str">
        <f>IF(OpenLCAbasic!K7851="CTUh", "Fill in Manually",IF(OR(K7851="Unit", K7851=""), "", INDEX(LookUps!$E$5:$E$12, MATCH(OpenLCAbasic!K7851,LookUps!$D$5:$D$12,0))))</f>
        <v>Water Use (WU) - m3 H2O</v>
      </c>
      <c r="M7851" s="154" t="str">
        <f t="shared" si="609"/>
        <v>High_High_Base_Upgraded_Water Use (WU) - m3 H2O_Control Building; at upgraded wastewater treatment plant - US_Without Amendment_Windrow</v>
      </c>
    </row>
    <row r="7852" spans="1:13" s="120" customFormat="1" x14ac:dyDescent="0.25">
      <c r="A7852" s="119"/>
      <c r="B7852" s="138" t="str">
        <f t="shared" si="613"/>
        <v>Windrow</v>
      </c>
      <c r="C7852" s="138" t="str">
        <f t="shared" si="610"/>
        <v>Without Amendment</v>
      </c>
      <c r="D7852" s="138" t="str">
        <f t="shared" si="611"/>
        <v>High_Base</v>
      </c>
      <c r="E7852" s="138" t="str">
        <f t="shared" si="612"/>
        <v>High</v>
      </c>
      <c r="F7852" s="138" t="str">
        <f t="shared" si="614"/>
        <v>Upgraded</v>
      </c>
      <c r="G7852" s="153"/>
      <c r="H7852" s="210">
        <v>0.32200000000000001</v>
      </c>
      <c r="I7852" s="160" t="s">
        <v>48</v>
      </c>
      <c r="J7852" s="211">
        <v>6.8836400000000004E-5</v>
      </c>
      <c r="K7852" s="160" t="s">
        <v>26</v>
      </c>
      <c r="L7852" s="154" t="str">
        <f>IF(OpenLCAbasic!K7852="CTUh", "Fill in Manually",IF(OR(K7852="Unit", K7852=""), "", INDEX(LookUps!$E$5:$E$12, MATCH(OpenLCAbasic!K7852,LookUps!$D$5:$D$12,0))))</f>
        <v>Water Use (WU) - m3 H2O</v>
      </c>
      <c r="M7852" s="154" t="str">
        <f t="shared" si="609"/>
        <v>High_High_Base_Upgraded_Water Use (WU) - m3 H2O_Effluent release; wastewater treatment unit; at surface water; m3 wastewater - US_Without Amendment_Windrow</v>
      </c>
    </row>
    <row r="7853" spans="1:13" s="120" customFormat="1" x14ac:dyDescent="0.25">
      <c r="A7853" s="119"/>
      <c r="B7853" s="138" t="str">
        <f t="shared" si="613"/>
        <v>Windrow</v>
      </c>
      <c r="C7853" s="138" t="str">
        <f t="shared" si="610"/>
        <v>Without Amendment</v>
      </c>
      <c r="D7853" s="138" t="str">
        <f t="shared" si="611"/>
        <v>High_Base</v>
      </c>
      <c r="E7853" s="138" t="str">
        <f t="shared" si="612"/>
        <v>High</v>
      </c>
      <c r="F7853" s="138" t="str">
        <f t="shared" si="614"/>
        <v>Upgraded</v>
      </c>
      <c r="G7853" s="153"/>
      <c r="H7853" s="210">
        <v>0.20250000000000001</v>
      </c>
      <c r="I7853" s="160" t="s">
        <v>58</v>
      </c>
      <c r="J7853" s="211">
        <v>4.3289399999999999E-5</v>
      </c>
      <c r="K7853" s="160" t="s">
        <v>26</v>
      </c>
      <c r="L7853" s="154" t="str">
        <f>IF(OpenLCAbasic!K7853="CTUh", "Fill in Manually",IF(OR(K7853="Unit", K7853=""), "", INDEX(LookUps!$E$5:$E$12, MATCH(OpenLCAbasic!K7853,LookUps!$D$5:$D$12,0))))</f>
        <v>Water Use (WU) - m3 H2O</v>
      </c>
      <c r="M7853" s="154" t="str">
        <f t="shared" si="609"/>
        <v>High_High_Base_Upgraded_Water Use (WU) - m3 H2O_Pre-Anoxic &amp; Swing tank; wastewater treatment unit; at updated plant - US_Without Amendment_Windrow</v>
      </c>
    </row>
    <row r="7854" spans="1:13" s="120" customFormat="1" x14ac:dyDescent="0.25">
      <c r="A7854" s="119"/>
      <c r="B7854" s="138" t="str">
        <f t="shared" si="613"/>
        <v>Windrow</v>
      </c>
      <c r="C7854" s="138" t="str">
        <f t="shared" si="610"/>
        <v>Without Amendment</v>
      </c>
      <c r="D7854" s="138" t="str">
        <f t="shared" si="611"/>
        <v>High_Base</v>
      </c>
      <c r="E7854" s="138" t="str">
        <f t="shared" si="612"/>
        <v>High</v>
      </c>
      <c r="F7854" s="138" t="str">
        <f t="shared" si="614"/>
        <v>Upgraded</v>
      </c>
      <c r="G7854" s="153"/>
      <c r="H7854" s="210">
        <v>0.19370000000000001</v>
      </c>
      <c r="I7854" s="160" t="s">
        <v>60</v>
      </c>
      <c r="J7854" s="211">
        <v>4.1413099999999998E-5</v>
      </c>
      <c r="K7854" s="160" t="s">
        <v>26</v>
      </c>
      <c r="L7854" s="154" t="str">
        <f>IF(OpenLCAbasic!K7854="CTUh", "Fill in Manually",IF(OR(K7854="Unit", K7854=""), "", INDEX(LookUps!$E$5:$E$12, MATCH(OpenLCAbasic!K7854,LookUps!$D$5:$D$12,0))))</f>
        <v>Water Use (WU) - m3 H2O</v>
      </c>
      <c r="M7854" s="154" t="str">
        <f t="shared" si="609"/>
        <v>High_High_Base_Upgraded_Water Use (WU) - m3 H2O_Belt filter press; wastewater treatment unit; at updated plant - US_Without Amendment_Windrow</v>
      </c>
    </row>
    <row r="7855" spans="1:13" s="120" customFormat="1" x14ac:dyDescent="0.25">
      <c r="A7855" s="119"/>
      <c r="B7855" s="138" t="str">
        <f t="shared" si="613"/>
        <v>Windrow</v>
      </c>
      <c r="C7855" s="138" t="str">
        <f t="shared" si="610"/>
        <v>Without Amendment</v>
      </c>
      <c r="D7855" s="138" t="str">
        <f t="shared" si="611"/>
        <v>High_Base</v>
      </c>
      <c r="E7855" s="138" t="str">
        <f t="shared" si="612"/>
        <v>High</v>
      </c>
      <c r="F7855" s="138" t="str">
        <f t="shared" si="614"/>
        <v>Upgraded</v>
      </c>
      <c r="G7855" s="153"/>
      <c r="H7855" s="210">
        <v>0.14219999999999999</v>
      </c>
      <c r="I7855" s="160" t="s">
        <v>57</v>
      </c>
      <c r="J7855" s="211">
        <v>3.0408100000000001E-5</v>
      </c>
      <c r="K7855" s="160" t="s">
        <v>26</v>
      </c>
      <c r="L7855" s="154" t="str">
        <f>IF(OpenLCAbasic!K7855="CTUh", "Fill in Manually",IF(OR(K7855="Unit", K7855=""), "", INDEX(LookUps!$E$5:$E$12, MATCH(OpenLCAbasic!K7855,LookUps!$D$5:$D$12,0))))</f>
        <v>Water Use (WU) - m3 H2O</v>
      </c>
      <c r="M7855" s="154" t="str">
        <f t="shared" si="609"/>
        <v>High_High_Base_Upgraded_Water Use (WU) - m3 H2O_Gravity Belt Thickener; wastewater treatment unit; at updated plant - US_Without Amendment_Windrow</v>
      </c>
    </row>
    <row r="7856" spans="1:13" s="120" customFormat="1" x14ac:dyDescent="0.25">
      <c r="A7856" s="119"/>
      <c r="B7856" s="138" t="str">
        <f t="shared" si="613"/>
        <v>Windrow</v>
      </c>
      <c r="C7856" s="138" t="str">
        <f t="shared" si="610"/>
        <v>Without Amendment</v>
      </c>
      <c r="D7856" s="138" t="str">
        <f t="shared" si="611"/>
        <v>High_Base</v>
      </c>
      <c r="E7856" s="138" t="str">
        <f t="shared" si="612"/>
        <v>High</v>
      </c>
      <c r="F7856" s="138" t="str">
        <f t="shared" si="614"/>
        <v>Upgraded</v>
      </c>
      <c r="G7856" s="153"/>
      <c r="H7856" s="210">
        <v>8.1900000000000001E-2</v>
      </c>
      <c r="I7856" s="160" t="s">
        <v>53</v>
      </c>
      <c r="J7856" s="211">
        <v>1.75069E-5</v>
      </c>
      <c r="K7856" s="160" t="s">
        <v>26</v>
      </c>
      <c r="L7856" s="154" t="str">
        <f>IF(OpenLCAbasic!K7856="CTUh", "Fill in Manually",IF(OR(K7856="Unit", K7856=""), "", INDEX(LookUps!$E$5:$E$12, MATCH(OpenLCAbasic!K7856,LookUps!$D$5:$D$12,0))))</f>
        <v>Water Use (WU) - m3 H2O</v>
      </c>
      <c r="M7856" s="154" t="str">
        <f t="shared" si="609"/>
        <v>High_High_Base_Upgraded_Water Use (WU) - m3 H2O_Wet Well and Sump Station; wastewater treatment unit; at updated plant - US_Without Amendment_Windrow</v>
      </c>
    </row>
    <row r="7857" spans="1:13" s="120" customFormat="1" x14ac:dyDescent="0.25">
      <c r="A7857" s="119"/>
      <c r="B7857" s="138" t="str">
        <f t="shared" si="613"/>
        <v>Windrow</v>
      </c>
      <c r="C7857" s="138" t="str">
        <f t="shared" si="610"/>
        <v>Without Amendment</v>
      </c>
      <c r="D7857" s="138" t="str">
        <f t="shared" si="611"/>
        <v>High_Base</v>
      </c>
      <c r="E7857" s="138" t="str">
        <f t="shared" si="612"/>
        <v>High</v>
      </c>
      <c r="F7857" s="138" t="str">
        <f t="shared" si="614"/>
        <v>Upgraded</v>
      </c>
      <c r="G7857" s="153"/>
      <c r="H7857" s="210">
        <v>3.2800000000000003E-2</v>
      </c>
      <c r="I7857" s="160" t="s">
        <v>59</v>
      </c>
      <c r="J7857" s="211">
        <v>7.0179500000000003E-6</v>
      </c>
      <c r="K7857" s="160" t="s">
        <v>26</v>
      </c>
      <c r="L7857" s="154" t="str">
        <f>IF(OpenLCAbasic!K7857="CTUh", "Fill in Manually",IF(OR(K7857="Unit", K7857=""), "", INDEX(LookUps!$E$5:$E$12, MATCH(OpenLCAbasic!K7857,LookUps!$D$5:$D$12,0))))</f>
        <v>Water Use (WU) - m3 H2O</v>
      </c>
      <c r="M7857" s="154" t="str">
        <f t="shared" si="609"/>
        <v>High_High_Base_Upgraded_Water Use (WU) - m3 H2O_Blend Tank; wastewater treatment unit; at updated plant - US_Without Amendment_Windrow</v>
      </c>
    </row>
    <row r="7858" spans="1:13" s="120" customFormat="1" x14ac:dyDescent="0.25">
      <c r="A7858" s="119"/>
      <c r="B7858" s="138" t="str">
        <f t="shared" si="613"/>
        <v>Windrow</v>
      </c>
      <c r="C7858" s="138" t="str">
        <f t="shared" si="610"/>
        <v>Without Amendment</v>
      </c>
      <c r="D7858" s="138" t="str">
        <f t="shared" si="611"/>
        <v>High_Base</v>
      </c>
      <c r="E7858" s="138" t="str">
        <f t="shared" si="612"/>
        <v>High</v>
      </c>
      <c r="F7858" s="138" t="str">
        <f t="shared" si="614"/>
        <v>Upgraded</v>
      </c>
      <c r="G7858" s="153"/>
      <c r="H7858" s="210">
        <v>2.3699999999999999E-2</v>
      </c>
      <c r="I7858" s="160" t="s">
        <v>128</v>
      </c>
      <c r="J7858" s="211">
        <v>5.0608900000000003E-6</v>
      </c>
      <c r="K7858" s="160" t="s">
        <v>26</v>
      </c>
      <c r="L7858" s="154" t="str">
        <f>IF(OpenLCAbasic!K7858="CTUh", "Fill in Manually",IF(OR(K7858="Unit", K7858=""), "", INDEX(LookUps!$E$5:$E$12, MATCH(OpenLCAbasic!K7858,LookUps!$D$5:$D$12,0))))</f>
        <v>Water Use (WU) - m3 H2O</v>
      </c>
      <c r="M7858" s="154" t="str">
        <f t="shared" si="609"/>
        <v>High_High_Base_Upgraded_Water Use (WU) - m3 H2O_Wastewater collection; operation and infrastructure; m3 wastewater_Without Amendment_Windrow</v>
      </c>
    </row>
    <row r="7859" spans="1:13" s="120" customFormat="1" x14ac:dyDescent="0.25">
      <c r="A7859" s="119"/>
      <c r="B7859" s="138" t="str">
        <f t="shared" si="613"/>
        <v>Windrow</v>
      </c>
      <c r="C7859" s="138" t="str">
        <f t="shared" si="610"/>
        <v>Without Amendment</v>
      </c>
      <c r="D7859" s="138" t="str">
        <f t="shared" si="611"/>
        <v>High_Base</v>
      </c>
      <c r="E7859" s="138" t="str">
        <f t="shared" si="612"/>
        <v>High</v>
      </c>
      <c r="F7859" s="138" t="str">
        <f t="shared" si="614"/>
        <v>Upgraded</v>
      </c>
      <c r="G7859" s="153"/>
      <c r="H7859" s="210">
        <v>9.1999999999999998E-3</v>
      </c>
      <c r="I7859" s="160" t="s">
        <v>271</v>
      </c>
      <c r="J7859" s="211">
        <v>1.9753299999999999E-6</v>
      </c>
      <c r="K7859" s="160" t="s">
        <v>26</v>
      </c>
      <c r="L7859" s="154" t="str">
        <f>IF(OpenLCAbasic!K7859="CTUh", "Fill in Manually",IF(OR(K7859="Unit", K7859=""), "", INDEX(LookUps!$E$5:$E$12, MATCH(OpenLCAbasic!K7859,LookUps!$D$5:$D$12,0))))</f>
        <v>Water Use (WU) - m3 H2O</v>
      </c>
      <c r="M7859" s="154" t="str">
        <f t="shared" si="609"/>
        <v>High_High_Base_Upgraded_Water Use (WU) - m3 H2O_Biosolids composting; windrow composting; wastewater treatment unit; at updated plant - US_Without Amendment_Windrow</v>
      </c>
    </row>
    <row r="7860" spans="1:13" s="120" customFormat="1" x14ac:dyDescent="0.25">
      <c r="A7860" s="119"/>
      <c r="B7860" s="138" t="str">
        <f t="shared" si="613"/>
        <v>Windrow</v>
      </c>
      <c r="C7860" s="138" t="str">
        <f t="shared" si="610"/>
        <v>Without Amendment</v>
      </c>
      <c r="D7860" s="138" t="str">
        <f t="shared" si="611"/>
        <v>High_Base</v>
      </c>
      <c r="E7860" s="138" t="str">
        <f t="shared" si="612"/>
        <v>High</v>
      </c>
      <c r="F7860" s="138" t="str">
        <f t="shared" si="614"/>
        <v>Upgraded</v>
      </c>
      <c r="G7860" s="153"/>
      <c r="H7860" s="210">
        <v>3.5999999999999999E-3</v>
      </c>
      <c r="I7860" s="160" t="s">
        <v>168</v>
      </c>
      <c r="J7860" s="211">
        <v>7.6697000000000004E-7</v>
      </c>
      <c r="K7860" s="160" t="s">
        <v>26</v>
      </c>
      <c r="L7860" s="154" t="str">
        <f>IF(OpenLCAbasic!K7860="CTUh", "Fill in Manually",IF(OR(K7860="Unit", K7860=""), "", INDEX(LookUps!$E$5:$E$12, MATCH(OpenLCAbasic!K7860,LookUps!$D$5:$D$12,0))))</f>
        <v>Water Use (WU) - m3 H2O</v>
      </c>
      <c r="M7860" s="154" t="str">
        <f t="shared" si="609"/>
        <v>High_High_Base_Upgraded_Water Use (WU) - m3 H2O_ClearCove SCP; wastewater treatment unit; at updated plant - US_Without Amendment_Windrow</v>
      </c>
    </row>
    <row r="7861" spans="1:13" s="120" customFormat="1" x14ac:dyDescent="0.25">
      <c r="A7861" s="119"/>
      <c r="B7861" s="138" t="str">
        <f t="shared" si="613"/>
        <v>Windrow</v>
      </c>
      <c r="C7861" s="138" t="str">
        <f t="shared" si="610"/>
        <v>Without Amendment</v>
      </c>
      <c r="D7861" s="138" t="str">
        <f t="shared" si="611"/>
        <v>High_Base</v>
      </c>
      <c r="E7861" s="138" t="str">
        <f t="shared" si="612"/>
        <v>High</v>
      </c>
      <c r="F7861" s="138" t="str">
        <f t="shared" si="614"/>
        <v>Upgraded</v>
      </c>
      <c r="G7861" s="153"/>
      <c r="H7861" s="210">
        <v>-0.53969999999999996</v>
      </c>
      <c r="I7861" s="160" t="s">
        <v>149</v>
      </c>
      <c r="J7861" s="160">
        <v>-1.2E-4</v>
      </c>
      <c r="K7861" s="160" t="s">
        <v>26</v>
      </c>
      <c r="L7861" s="154" t="str">
        <f>IF(OpenLCAbasic!K7861="CTUh", "Fill in Manually",IF(OR(K7861="Unit", K7861=""), "", INDEX(LookUps!$E$5:$E$12, MATCH(OpenLCAbasic!K7861,LookUps!$D$5:$D$12,0))))</f>
        <v>Water Use (WU) - m3 H2O</v>
      </c>
      <c r="M7861" s="154" t="str">
        <f t="shared" si="609"/>
        <v>High_High_Base_Upgraded_Water Use (WU) - m3 H2O_Anaerobic Digestion; wastewater treatment unit; at updated plant - US_Without Amendment_Windrow</v>
      </c>
    </row>
    <row r="7862" spans="1:13" s="120" customFormat="1" x14ac:dyDescent="0.25">
      <c r="A7862" s="119"/>
      <c r="B7862" s="138" t="str">
        <f t="shared" si="613"/>
        <v>Windrow</v>
      </c>
      <c r="C7862" s="138" t="str">
        <f t="shared" si="610"/>
        <v>Without Amendment</v>
      </c>
      <c r="D7862" s="138" t="str">
        <f t="shared" si="611"/>
        <v>High_Base</v>
      </c>
      <c r="E7862" s="138" t="str">
        <f t="shared" si="612"/>
        <v>High</v>
      </c>
      <c r="F7862" s="138" t="str">
        <f t="shared" si="614"/>
        <v>Upgraded</v>
      </c>
      <c r="G7862" s="153"/>
      <c r="H7862" s="210">
        <v>-6.1974</v>
      </c>
      <c r="I7862" s="160" t="s">
        <v>62</v>
      </c>
      <c r="J7862" s="160">
        <v>-1.32E-3</v>
      </c>
      <c r="K7862" s="160" t="s">
        <v>26</v>
      </c>
      <c r="L7862" s="154" t="str">
        <f>IF(OpenLCAbasic!K7862="CTUh", "Fill in Manually",IF(OR(K7862="Unit", K7862=""), "", INDEX(LookUps!$E$5:$E$12, MATCH(OpenLCAbasic!K7862,LookUps!$D$5:$D$12,0))))</f>
        <v>Water Use (WU) - m3 H2O</v>
      </c>
      <c r="M7862" s="154" t="str">
        <f t="shared" si="609"/>
        <v>High_High_Base_Upgraded_Water Use (WU) - m3 H2O_Land application of compost; wastewater treatment unit; at updated plant - US_Without Amendment_Windrow</v>
      </c>
    </row>
    <row r="7863" spans="1:13" s="120" customFormat="1" x14ac:dyDescent="0.25">
      <c r="A7863" s="119"/>
      <c r="B7863" s="138" t="str">
        <f t="shared" si="613"/>
        <v/>
      </c>
      <c r="C7863" s="138" t="str">
        <f t="shared" si="610"/>
        <v/>
      </c>
      <c r="D7863" s="138" t="str">
        <f t="shared" si="611"/>
        <v/>
      </c>
      <c r="E7863" s="138" t="str">
        <f t="shared" si="612"/>
        <v/>
      </c>
      <c r="F7863" s="138" t="str">
        <f t="shared" si="614"/>
        <v/>
      </c>
      <c r="G7863" s="153" t="s">
        <v>51</v>
      </c>
      <c r="H7863" s="160"/>
      <c r="I7863" s="160" t="s">
        <v>47</v>
      </c>
      <c r="J7863" s="160" t="s">
        <v>52</v>
      </c>
      <c r="K7863" s="160" t="s">
        <v>27</v>
      </c>
      <c r="L7863" s="154" t="str">
        <f>IF(OpenLCAbasic!K7863="CTUh", "Fill in Manually",IF(OR(K7863="Unit", K7863=""), "", INDEX(LookUps!$E$5:$E$12, MATCH(OpenLCAbasic!K7863,LookUps!$D$5:$D$12,0))))</f>
        <v/>
      </c>
      <c r="M7863" s="154" t="str">
        <f t="shared" si="609"/>
        <v>____Process__</v>
      </c>
    </row>
    <row r="7864" spans="1:13" s="120" customFormat="1" x14ac:dyDescent="0.25">
      <c r="A7864" s="119"/>
      <c r="B7864" s="138" t="str">
        <f t="shared" si="613"/>
        <v>Windrow</v>
      </c>
      <c r="C7864" s="138" t="str">
        <f t="shared" si="610"/>
        <v>Without Amendment</v>
      </c>
      <c r="D7864" s="138" t="str">
        <f t="shared" si="611"/>
        <v>High_Base</v>
      </c>
      <c r="E7864" s="138" t="str">
        <f t="shared" si="612"/>
        <v>High</v>
      </c>
      <c r="F7864" s="138" t="str">
        <f t="shared" si="614"/>
        <v>Upgraded</v>
      </c>
      <c r="G7864" s="153"/>
      <c r="H7864" s="210">
        <v>7.6688999999999998</v>
      </c>
      <c r="I7864" s="160" t="s">
        <v>167</v>
      </c>
      <c r="J7864" s="160">
        <v>0.11719</v>
      </c>
      <c r="K7864" s="160" t="s">
        <v>14</v>
      </c>
      <c r="L7864" s="154" t="str">
        <f>IF(OpenLCAbasic!K7864="CTUh", "Fill in Manually",IF(OR(K7864="Unit", K7864=""), "", INDEX(LookUps!$E$5:$E$12, MATCH(OpenLCAbasic!K7864,LookUps!$D$5:$D$12,0))))</f>
        <v>Fossil Depletion Potential (FDP) - kg oil eq</v>
      </c>
      <c r="M7864" s="154" t="str">
        <f t="shared" si="609"/>
        <v>High_High_Base_Upgraded_Fossil Depletion Potential (FDP) - kg oil eq_Waste Receiving and Holding; wastewater treatment unit; at updated plant - US_Without Amendment_Windrow</v>
      </c>
    </row>
    <row r="7865" spans="1:13" s="120" customFormat="1" x14ac:dyDescent="0.25">
      <c r="A7865" s="119"/>
      <c r="B7865" s="138" t="str">
        <f t="shared" si="613"/>
        <v>Windrow</v>
      </c>
      <c r="C7865" s="138" t="str">
        <f t="shared" si="610"/>
        <v>Without Amendment</v>
      </c>
      <c r="D7865" s="138" t="str">
        <f t="shared" si="611"/>
        <v>High_Base</v>
      </c>
      <c r="E7865" s="138" t="str">
        <f t="shared" si="612"/>
        <v>High</v>
      </c>
      <c r="F7865" s="138" t="str">
        <f t="shared" si="614"/>
        <v>Upgraded</v>
      </c>
      <c r="G7865" s="153"/>
      <c r="H7865" s="210">
        <v>4.1612999999999998</v>
      </c>
      <c r="I7865" s="160" t="s">
        <v>55</v>
      </c>
      <c r="J7865" s="160">
        <v>6.3589999999999994E-2</v>
      </c>
      <c r="K7865" s="160" t="s">
        <v>14</v>
      </c>
      <c r="L7865" s="154" t="str">
        <f>IF(OpenLCAbasic!K7865="CTUh", "Fill in Manually",IF(OR(K7865="Unit", K7865=""), "", INDEX(LookUps!$E$5:$E$12, MATCH(OpenLCAbasic!K7865,LookUps!$D$5:$D$12,0))))</f>
        <v>Fossil Depletion Potential (FDP) - kg oil eq</v>
      </c>
      <c r="M7865" s="154" t="str">
        <f t="shared" si="609"/>
        <v>High_High_Base_Upgraded_Fossil Depletion Potential (FDP) - kg oil eq_Aeration Tanks; wastewater treatment unit; at updated plant - US_Without Amendment_Windrow</v>
      </c>
    </row>
    <row r="7866" spans="1:13" s="120" customFormat="1" x14ac:dyDescent="0.25">
      <c r="A7866" s="119"/>
      <c r="B7866" s="138" t="str">
        <f t="shared" si="613"/>
        <v>Windrow</v>
      </c>
      <c r="C7866" s="138" t="str">
        <f t="shared" si="610"/>
        <v>Without Amendment</v>
      </c>
      <c r="D7866" s="138" t="str">
        <f t="shared" si="611"/>
        <v>High_Base</v>
      </c>
      <c r="E7866" s="138" t="str">
        <f t="shared" si="612"/>
        <v>High</v>
      </c>
      <c r="F7866" s="138" t="str">
        <f t="shared" si="614"/>
        <v>Upgraded</v>
      </c>
      <c r="G7866" s="153"/>
      <c r="H7866" s="210">
        <v>1.3774999999999999</v>
      </c>
      <c r="I7866" s="160" t="s">
        <v>54</v>
      </c>
      <c r="J7866" s="160">
        <v>2.1049999999999999E-2</v>
      </c>
      <c r="K7866" s="160" t="s">
        <v>14</v>
      </c>
      <c r="L7866" s="154" t="str">
        <f>IF(OpenLCAbasic!K7866="CTUh", "Fill in Manually",IF(OR(K7866="Unit", K7866=""), "", INDEX(LookUps!$E$5:$E$12, MATCH(OpenLCAbasic!K7866,LookUps!$D$5:$D$12,0))))</f>
        <v>Fossil Depletion Potential (FDP) - kg oil eq</v>
      </c>
      <c r="M7866" s="154" t="str">
        <f t="shared" si="609"/>
        <v>High_High_Base_Upgraded_Fossil Depletion Potential (FDP) - kg oil eq_Clear Cove Primary Clarification; wastewater treatment unit; at updated plant - US_Without Amendment_Windrow</v>
      </c>
    </row>
    <row r="7867" spans="1:13" s="120" customFormat="1" x14ac:dyDescent="0.25">
      <c r="A7867" s="119"/>
      <c r="B7867" s="138" t="str">
        <f t="shared" si="613"/>
        <v>Windrow</v>
      </c>
      <c r="C7867" s="138" t="str">
        <f t="shared" si="610"/>
        <v>Without Amendment</v>
      </c>
      <c r="D7867" s="138" t="str">
        <f t="shared" si="611"/>
        <v>High_Base</v>
      </c>
      <c r="E7867" s="138" t="str">
        <f t="shared" si="612"/>
        <v>High</v>
      </c>
      <c r="F7867" s="138" t="str">
        <f t="shared" si="614"/>
        <v>Upgraded</v>
      </c>
      <c r="G7867" s="153"/>
      <c r="H7867" s="210">
        <v>1.0497000000000001</v>
      </c>
      <c r="I7867" s="160" t="s">
        <v>58</v>
      </c>
      <c r="J7867" s="160">
        <v>1.6039999999999999E-2</v>
      </c>
      <c r="K7867" s="160" t="s">
        <v>14</v>
      </c>
      <c r="L7867" s="154" t="str">
        <f>IF(OpenLCAbasic!K7867="CTUh", "Fill in Manually",IF(OR(K7867="Unit", K7867=""), "", INDEX(LookUps!$E$5:$E$12, MATCH(OpenLCAbasic!K7867,LookUps!$D$5:$D$12,0))))</f>
        <v>Fossil Depletion Potential (FDP) - kg oil eq</v>
      </c>
      <c r="M7867" s="154" t="str">
        <f t="shared" ref="M7867:M7930" si="615">CONCATENATE(E7867,"_",D7867,"_",F7867,"_",L7867, "_",I7867,"_", C7867,"_", B7867)</f>
        <v>High_High_Base_Upgraded_Fossil Depletion Potential (FDP) - kg oil eq_Pre-Anoxic &amp; Swing tank; wastewater treatment unit; at updated plant - US_Without Amendment_Windrow</v>
      </c>
    </row>
    <row r="7868" spans="1:13" s="120" customFormat="1" x14ac:dyDescent="0.25">
      <c r="A7868" s="119"/>
      <c r="B7868" s="138" t="str">
        <f t="shared" si="613"/>
        <v>Windrow</v>
      </c>
      <c r="C7868" s="138" t="str">
        <f t="shared" si="610"/>
        <v>Without Amendment</v>
      </c>
      <c r="D7868" s="138" t="str">
        <f t="shared" si="611"/>
        <v>High_Base</v>
      </c>
      <c r="E7868" s="138" t="str">
        <f t="shared" si="612"/>
        <v>High</v>
      </c>
      <c r="F7868" s="138" t="str">
        <f t="shared" si="614"/>
        <v>Upgraded</v>
      </c>
      <c r="G7868" s="153"/>
      <c r="H7868" s="210">
        <v>0.98729999999999996</v>
      </c>
      <c r="I7868" s="160" t="s">
        <v>147</v>
      </c>
      <c r="J7868" s="160">
        <v>1.5089999999999999E-2</v>
      </c>
      <c r="K7868" s="160" t="s">
        <v>14</v>
      </c>
      <c r="L7868" s="154" t="str">
        <f>IF(OpenLCAbasic!K7868="CTUh", "Fill in Manually",IF(OR(K7868="Unit", K7868=""), "", INDEX(LookUps!$E$5:$E$12, MATCH(OpenLCAbasic!K7868,LookUps!$D$5:$D$12,0))))</f>
        <v>Fossil Depletion Potential (FDP) - kg oil eq</v>
      </c>
      <c r="M7868" s="154" t="str">
        <f t="shared" si="615"/>
        <v>High_High_Base_Upgraded_Fossil Depletion Potential (FDP) - kg oil eq_Influent Pump Station; wastewater treatment unit; at updated plant - US_Without Amendment_Windrow</v>
      </c>
    </row>
    <row r="7869" spans="1:13" s="120" customFormat="1" x14ac:dyDescent="0.25">
      <c r="A7869" s="119"/>
      <c r="B7869" s="138" t="str">
        <f t="shared" si="613"/>
        <v>Windrow</v>
      </c>
      <c r="C7869" s="138" t="str">
        <f t="shared" si="610"/>
        <v>Without Amendment</v>
      </c>
      <c r="D7869" s="138" t="str">
        <f t="shared" si="611"/>
        <v>High_Base</v>
      </c>
      <c r="E7869" s="138" t="str">
        <f t="shared" si="612"/>
        <v>High</v>
      </c>
      <c r="F7869" s="138" t="str">
        <f t="shared" si="614"/>
        <v>Upgraded</v>
      </c>
      <c r="G7869" s="153"/>
      <c r="H7869" s="210">
        <v>0.81730000000000003</v>
      </c>
      <c r="I7869" s="160" t="s">
        <v>53</v>
      </c>
      <c r="J7869" s="160">
        <v>1.2489999999999999E-2</v>
      </c>
      <c r="K7869" s="160" t="s">
        <v>14</v>
      </c>
      <c r="L7869" s="154" t="str">
        <f>IF(OpenLCAbasic!K7869="CTUh", "Fill in Manually",IF(OR(K7869="Unit", K7869=""), "", INDEX(LookUps!$E$5:$E$12, MATCH(OpenLCAbasic!K7869,LookUps!$D$5:$D$12,0))))</f>
        <v>Fossil Depletion Potential (FDP) - kg oil eq</v>
      </c>
      <c r="M7869" s="154" t="str">
        <f t="shared" si="615"/>
        <v>High_High_Base_Upgraded_Fossil Depletion Potential (FDP) - kg oil eq_Wet Well and Sump Station; wastewater treatment unit; at updated plant - US_Without Amendment_Windrow</v>
      </c>
    </row>
    <row r="7870" spans="1:13" s="120" customFormat="1" x14ac:dyDescent="0.25">
      <c r="A7870" s="119"/>
      <c r="B7870" s="138" t="str">
        <f t="shared" si="613"/>
        <v>Windrow</v>
      </c>
      <c r="C7870" s="138" t="str">
        <f t="shared" si="610"/>
        <v>Without Amendment</v>
      </c>
      <c r="D7870" s="138" t="str">
        <f t="shared" si="611"/>
        <v>High_Base</v>
      </c>
      <c r="E7870" s="138" t="str">
        <f t="shared" si="612"/>
        <v>High</v>
      </c>
      <c r="F7870" s="138" t="str">
        <f t="shared" si="614"/>
        <v>Upgraded</v>
      </c>
      <c r="G7870" s="153"/>
      <c r="H7870" s="210">
        <v>0.71809999999999996</v>
      </c>
      <c r="I7870" s="160" t="s">
        <v>60</v>
      </c>
      <c r="J7870" s="160">
        <v>1.0970000000000001E-2</v>
      </c>
      <c r="K7870" s="160" t="s">
        <v>14</v>
      </c>
      <c r="L7870" s="154" t="str">
        <f>IF(OpenLCAbasic!K7870="CTUh", "Fill in Manually",IF(OR(K7870="Unit", K7870=""), "", INDEX(LookUps!$E$5:$E$12, MATCH(OpenLCAbasic!K7870,LookUps!$D$5:$D$12,0))))</f>
        <v>Fossil Depletion Potential (FDP) - kg oil eq</v>
      </c>
      <c r="M7870" s="154" t="str">
        <f t="shared" si="615"/>
        <v>High_High_Base_Upgraded_Fossil Depletion Potential (FDP) - kg oil eq_Belt filter press; wastewater treatment unit; at updated plant - US_Without Amendment_Windrow</v>
      </c>
    </row>
    <row r="7871" spans="1:13" s="120" customFormat="1" x14ac:dyDescent="0.25">
      <c r="A7871" s="119"/>
      <c r="B7871" s="138" t="str">
        <f t="shared" si="613"/>
        <v>Windrow</v>
      </c>
      <c r="C7871" s="138" t="str">
        <f t="shared" si="610"/>
        <v>Without Amendment</v>
      </c>
      <c r="D7871" s="138" t="str">
        <f t="shared" si="611"/>
        <v>High_Base</v>
      </c>
      <c r="E7871" s="138" t="str">
        <f t="shared" si="612"/>
        <v>High</v>
      </c>
      <c r="F7871" s="138" t="str">
        <f t="shared" si="614"/>
        <v>Upgraded</v>
      </c>
      <c r="G7871" s="153"/>
      <c r="H7871" s="210">
        <v>0.4526</v>
      </c>
      <c r="I7871" s="160" t="s">
        <v>57</v>
      </c>
      <c r="J7871" s="160">
        <v>6.9199999999999999E-3</v>
      </c>
      <c r="K7871" s="160" t="s">
        <v>14</v>
      </c>
      <c r="L7871" s="154" t="str">
        <f>IF(OpenLCAbasic!K7871="CTUh", "Fill in Manually",IF(OR(K7871="Unit", K7871=""), "", INDEX(LookUps!$E$5:$E$12, MATCH(OpenLCAbasic!K7871,LookUps!$D$5:$D$12,0))))</f>
        <v>Fossil Depletion Potential (FDP) - kg oil eq</v>
      </c>
      <c r="M7871" s="154" t="str">
        <f t="shared" si="615"/>
        <v>High_High_Base_Upgraded_Fossil Depletion Potential (FDP) - kg oil eq_Gravity Belt Thickener; wastewater treatment unit; at updated plant - US_Without Amendment_Windrow</v>
      </c>
    </row>
    <row r="7872" spans="1:13" s="120" customFormat="1" x14ac:dyDescent="0.25">
      <c r="A7872" s="119"/>
      <c r="B7872" s="138" t="str">
        <f t="shared" si="613"/>
        <v>Windrow</v>
      </c>
      <c r="C7872" s="138" t="str">
        <f t="shared" si="610"/>
        <v>Without Amendment</v>
      </c>
      <c r="D7872" s="138" t="str">
        <f t="shared" si="611"/>
        <v>High_Base</v>
      </c>
      <c r="E7872" s="138" t="str">
        <f t="shared" si="612"/>
        <v>High</v>
      </c>
      <c r="F7872" s="138" t="str">
        <f t="shared" si="614"/>
        <v>Upgraded</v>
      </c>
      <c r="G7872" s="153"/>
      <c r="H7872" s="210">
        <v>0.2944</v>
      </c>
      <c r="I7872" s="160" t="s">
        <v>128</v>
      </c>
      <c r="J7872" s="160">
        <v>4.4999999999999997E-3</v>
      </c>
      <c r="K7872" s="160" t="s">
        <v>14</v>
      </c>
      <c r="L7872" s="154" t="str">
        <f>IF(OpenLCAbasic!K7872="CTUh", "Fill in Manually",IF(OR(K7872="Unit", K7872=""), "", INDEX(LookUps!$E$5:$E$12, MATCH(OpenLCAbasic!K7872,LookUps!$D$5:$D$12,0))))</f>
        <v>Fossil Depletion Potential (FDP) - kg oil eq</v>
      </c>
      <c r="M7872" s="154" t="str">
        <f t="shared" si="615"/>
        <v>High_High_Base_Upgraded_Fossil Depletion Potential (FDP) - kg oil eq_Wastewater collection; operation and infrastructure; m3 wastewater_Without Amendment_Windrow</v>
      </c>
    </row>
    <row r="7873" spans="1:13" s="120" customFormat="1" x14ac:dyDescent="0.25">
      <c r="A7873" s="119"/>
      <c r="B7873" s="138" t="str">
        <f t="shared" si="613"/>
        <v>Windrow</v>
      </c>
      <c r="C7873" s="138" t="str">
        <f t="shared" ref="C7873:C7879" si="616">IF(ISNUMBER($J7873),"Without Amendment","")</f>
        <v>Without Amendment</v>
      </c>
      <c r="D7873" s="138" t="str">
        <f t="shared" ref="D7873:D7879" si="617">IF(ISNUMBER($J7873),"High_Base","")</f>
        <v>High_Base</v>
      </c>
      <c r="E7873" s="138" t="str">
        <f t="shared" si="612"/>
        <v>High</v>
      </c>
      <c r="F7873" s="138" t="str">
        <f t="shared" si="614"/>
        <v>Upgraded</v>
      </c>
      <c r="G7873" s="153"/>
      <c r="H7873" s="210">
        <v>0.18310000000000001</v>
      </c>
      <c r="I7873" s="160" t="s">
        <v>148</v>
      </c>
      <c r="J7873" s="160">
        <v>2.8E-3</v>
      </c>
      <c r="K7873" s="160" t="s">
        <v>14</v>
      </c>
      <c r="L7873" s="154" t="str">
        <f>IF(OpenLCAbasic!K7873="CTUh", "Fill in Manually",IF(OR(K7873="Unit", K7873=""), "", INDEX(LookUps!$E$5:$E$12, MATCH(OpenLCAbasic!K7873,LookUps!$D$5:$D$12,0))))</f>
        <v>Fossil Depletion Potential (FDP) - kg oil eq</v>
      </c>
      <c r="M7873" s="154" t="str">
        <f t="shared" si="615"/>
        <v>High_High_Base_Upgraded_Fossil Depletion Potential (FDP) - kg oil eq_Control Building; at upgraded wastewater treatment plant - US_Without Amendment_Windrow</v>
      </c>
    </row>
    <row r="7874" spans="1:13" s="120" customFormat="1" x14ac:dyDescent="0.25">
      <c r="A7874" s="119"/>
      <c r="B7874" s="138" t="str">
        <f t="shared" si="613"/>
        <v>Windrow</v>
      </c>
      <c r="C7874" s="138" t="str">
        <f t="shared" si="616"/>
        <v>Without Amendment</v>
      </c>
      <c r="D7874" s="138" t="str">
        <f t="shared" si="617"/>
        <v>High_Base</v>
      </c>
      <c r="E7874" s="138" t="str">
        <f t="shared" si="612"/>
        <v>High</v>
      </c>
      <c r="F7874" s="138" t="str">
        <f t="shared" si="614"/>
        <v>Upgraded</v>
      </c>
      <c r="G7874" s="153"/>
      <c r="H7874" s="210">
        <v>0.1547</v>
      </c>
      <c r="I7874" s="160" t="s">
        <v>48</v>
      </c>
      <c r="J7874" s="160">
        <v>2.3600000000000001E-3</v>
      </c>
      <c r="K7874" s="160" t="s">
        <v>14</v>
      </c>
      <c r="L7874" s="154" t="str">
        <f>IF(OpenLCAbasic!K7874="CTUh", "Fill in Manually",IF(OR(K7874="Unit", K7874=""), "", INDEX(LookUps!$E$5:$E$12, MATCH(OpenLCAbasic!K7874,LookUps!$D$5:$D$12,0))))</f>
        <v>Fossil Depletion Potential (FDP) - kg oil eq</v>
      </c>
      <c r="M7874" s="154" t="str">
        <f t="shared" si="615"/>
        <v>High_High_Base_Upgraded_Fossil Depletion Potential (FDP) - kg oil eq_Effluent release; wastewater treatment unit; at surface water; m3 wastewater - US_Without Amendment_Windrow</v>
      </c>
    </row>
    <row r="7875" spans="1:13" s="120" customFormat="1" x14ac:dyDescent="0.25">
      <c r="A7875" s="119"/>
      <c r="B7875" s="138" t="str">
        <f t="shared" si="613"/>
        <v>Windrow</v>
      </c>
      <c r="C7875" s="138" t="str">
        <f t="shared" si="616"/>
        <v>Without Amendment</v>
      </c>
      <c r="D7875" s="138" t="str">
        <f t="shared" si="617"/>
        <v>High_Base</v>
      </c>
      <c r="E7875" s="138" t="str">
        <f t="shared" si="612"/>
        <v>High</v>
      </c>
      <c r="F7875" s="138" t="str">
        <f t="shared" si="614"/>
        <v>Upgraded</v>
      </c>
      <c r="G7875" s="153"/>
      <c r="H7875" s="210">
        <v>0.12559999999999999</v>
      </c>
      <c r="I7875" s="160" t="s">
        <v>59</v>
      </c>
      <c r="J7875" s="160">
        <v>1.92E-3</v>
      </c>
      <c r="K7875" s="160" t="s">
        <v>14</v>
      </c>
      <c r="L7875" s="154" t="str">
        <f>IF(OpenLCAbasic!K7875="CTUh", "Fill in Manually",IF(OR(K7875="Unit", K7875=""), "", INDEX(LookUps!$E$5:$E$12, MATCH(OpenLCAbasic!K7875,LookUps!$D$5:$D$12,0))))</f>
        <v>Fossil Depletion Potential (FDP) - kg oil eq</v>
      </c>
      <c r="M7875" s="154" t="str">
        <f t="shared" si="615"/>
        <v>High_High_Base_Upgraded_Fossil Depletion Potential (FDP) - kg oil eq_Blend Tank; wastewater treatment unit; at updated plant - US_Without Amendment_Windrow</v>
      </c>
    </row>
    <row r="7876" spans="1:13" s="120" customFormat="1" x14ac:dyDescent="0.25">
      <c r="A7876" s="119"/>
      <c r="B7876" s="138" t="str">
        <f t="shared" si="613"/>
        <v>Windrow</v>
      </c>
      <c r="C7876" s="138" t="str">
        <f t="shared" si="616"/>
        <v>Without Amendment</v>
      </c>
      <c r="D7876" s="138" t="str">
        <f t="shared" si="617"/>
        <v>High_Base</v>
      </c>
      <c r="E7876" s="138" t="str">
        <f t="shared" si="612"/>
        <v>High</v>
      </c>
      <c r="F7876" s="138" t="str">
        <f t="shared" si="614"/>
        <v>Upgraded</v>
      </c>
      <c r="G7876" s="153"/>
      <c r="H7876" s="210">
        <v>5.9900000000000002E-2</v>
      </c>
      <c r="I7876" s="160" t="s">
        <v>168</v>
      </c>
      <c r="J7876" s="160">
        <v>9.1E-4</v>
      </c>
      <c r="K7876" s="160" t="s">
        <v>14</v>
      </c>
      <c r="L7876" s="154" t="str">
        <f>IF(OpenLCAbasic!K7876="CTUh", "Fill in Manually",IF(OR(K7876="Unit", K7876=""), "", INDEX(LookUps!$E$5:$E$12, MATCH(OpenLCAbasic!K7876,LookUps!$D$5:$D$12,0))))</f>
        <v>Fossil Depletion Potential (FDP) - kg oil eq</v>
      </c>
      <c r="M7876" s="154" t="str">
        <f t="shared" si="615"/>
        <v>High_High_Base_Upgraded_Fossil Depletion Potential (FDP) - kg oil eq_ClearCove SCP; wastewater treatment unit; at updated plant - US_Without Amendment_Windrow</v>
      </c>
    </row>
    <row r="7877" spans="1:13" s="120" customFormat="1" x14ac:dyDescent="0.25">
      <c r="A7877" s="119"/>
      <c r="B7877" s="138" t="str">
        <f t="shared" si="613"/>
        <v>Windrow</v>
      </c>
      <c r="C7877" s="138" t="str">
        <f t="shared" si="616"/>
        <v>Without Amendment</v>
      </c>
      <c r="D7877" s="138" t="str">
        <f t="shared" si="617"/>
        <v>High_Base</v>
      </c>
      <c r="E7877" s="138" t="str">
        <f t="shared" si="612"/>
        <v>High</v>
      </c>
      <c r="F7877" s="138" t="str">
        <f t="shared" si="614"/>
        <v>Upgraded</v>
      </c>
      <c r="G7877" s="153"/>
      <c r="H7877" s="210">
        <v>5.0900000000000001E-2</v>
      </c>
      <c r="I7877" s="160" t="s">
        <v>271</v>
      </c>
      <c r="J7877" s="160">
        <v>7.7999999999999999E-4</v>
      </c>
      <c r="K7877" s="160" t="s">
        <v>14</v>
      </c>
      <c r="L7877" s="154" t="str">
        <f>IF(OpenLCAbasic!K7877="CTUh", "Fill in Manually",IF(OR(K7877="Unit", K7877=""), "", INDEX(LookUps!$E$5:$E$12, MATCH(OpenLCAbasic!K7877,LookUps!$D$5:$D$12,0))))</f>
        <v>Fossil Depletion Potential (FDP) - kg oil eq</v>
      </c>
      <c r="M7877" s="154" t="str">
        <f t="shared" si="615"/>
        <v>High_High_Base_Upgraded_Fossil Depletion Potential (FDP) - kg oil eq_Biosolids composting; windrow composting; wastewater treatment unit; at updated plant - US_Without Amendment_Windrow</v>
      </c>
    </row>
    <row r="7878" spans="1:13" s="120" customFormat="1" x14ac:dyDescent="0.25">
      <c r="A7878" s="119"/>
      <c r="B7878" s="138" t="str">
        <f t="shared" si="613"/>
        <v>Windrow</v>
      </c>
      <c r="C7878" s="138" t="str">
        <f t="shared" si="616"/>
        <v>Without Amendment</v>
      </c>
      <c r="D7878" s="138" t="str">
        <f t="shared" si="617"/>
        <v>High_Base</v>
      </c>
      <c r="E7878" s="138" t="str">
        <f t="shared" si="612"/>
        <v>High</v>
      </c>
      <c r="F7878" s="138" t="str">
        <f t="shared" si="614"/>
        <v>Upgraded</v>
      </c>
      <c r="G7878" s="153"/>
      <c r="H7878" s="210">
        <v>-0.44779999999999998</v>
      </c>
      <c r="I7878" s="160" t="s">
        <v>62</v>
      </c>
      <c r="J7878" s="160">
        <v>-6.8399999999999997E-3</v>
      </c>
      <c r="K7878" s="160" t="s">
        <v>14</v>
      </c>
      <c r="L7878" s="154" t="str">
        <f>IF(OpenLCAbasic!K7878="CTUh", "Fill in Manually",IF(OR(K7878="Unit", K7878=""), "", INDEX(LookUps!$E$5:$E$12, MATCH(OpenLCAbasic!K7878,LookUps!$D$5:$D$12,0))))</f>
        <v>Fossil Depletion Potential (FDP) - kg oil eq</v>
      </c>
      <c r="M7878" s="154" t="str">
        <f t="shared" si="615"/>
        <v>High_High_Base_Upgraded_Fossil Depletion Potential (FDP) - kg oil eq_Land application of compost; wastewater treatment unit; at updated plant - US_Without Amendment_Windrow</v>
      </c>
    </row>
    <row r="7879" spans="1:13" s="120" customFormat="1" x14ac:dyDescent="0.25">
      <c r="A7879" s="119"/>
      <c r="B7879" s="138" t="str">
        <f t="shared" si="613"/>
        <v>Windrow</v>
      </c>
      <c r="C7879" s="138" t="str">
        <f t="shared" si="616"/>
        <v>Without Amendment</v>
      </c>
      <c r="D7879" s="138" t="str">
        <f t="shared" si="617"/>
        <v>High_Base</v>
      </c>
      <c r="E7879" s="138" t="str">
        <f t="shared" si="612"/>
        <v>High</v>
      </c>
      <c r="F7879" s="138" t="str">
        <f t="shared" si="614"/>
        <v>Upgraded</v>
      </c>
      <c r="G7879" s="153"/>
      <c r="H7879" s="210">
        <v>-18.653400000000001</v>
      </c>
      <c r="I7879" s="160" t="s">
        <v>149</v>
      </c>
      <c r="J7879" s="160">
        <v>-0.28505000000000003</v>
      </c>
      <c r="K7879" s="160" t="s">
        <v>14</v>
      </c>
      <c r="L7879" s="154" t="str">
        <f>IF(OpenLCAbasic!K7879="CTUh", "Fill in Manually",IF(OR(K7879="Unit", K7879=""), "", INDEX(LookUps!$E$5:$E$12, MATCH(OpenLCAbasic!K7879,LookUps!$D$5:$D$12,0))))</f>
        <v>Fossil Depletion Potential (FDP) - kg oil eq</v>
      </c>
      <c r="M7879" s="154" t="str">
        <f t="shared" si="615"/>
        <v>High_High_Base_Upgraded_Fossil Depletion Potential (FDP) - kg oil eq_Anaerobic Digestion; wastewater treatment unit; at updated plant - US_Without Amendment_Windrow</v>
      </c>
    </row>
    <row r="7880" spans="1:13" s="120" customFormat="1" x14ac:dyDescent="0.25">
      <c r="A7880" s="119"/>
      <c r="B7880" s="138" t="str">
        <f>IF(F7880="Legacy","n.a.",IF(F7880="","","Aerated Static Pile"))</f>
        <v/>
      </c>
      <c r="C7880" s="138" t="str">
        <f>IF(ISNUMBER($J7880),"Base_With Amendment","")</f>
        <v/>
      </c>
      <c r="D7880" s="138" t="str">
        <f>IF(ISNUMBER($J7880),"Base_Low","")</f>
        <v/>
      </c>
      <c r="E7880" s="138" t="str">
        <f>IF(ISNUMBER($J7880),"Base","")</f>
        <v/>
      </c>
      <c r="F7880" s="138" t="str">
        <f t="shared" si="614"/>
        <v/>
      </c>
      <c r="G7880" s="153" t="s">
        <v>51</v>
      </c>
      <c r="H7880" s="160"/>
      <c r="I7880" s="160" t="s">
        <v>47</v>
      </c>
      <c r="J7880" s="160" t="s">
        <v>52</v>
      </c>
      <c r="K7880" s="160" t="s">
        <v>27</v>
      </c>
      <c r="L7880" s="154" t="str">
        <f>IF(OpenLCAbasic!K7880="CTUh", "Fill in Manually",IF(OR(K7880="Unit", K7880=""), "", INDEX(LookUps!$E$5:$E$12, MATCH(OpenLCAbasic!K7880,LookUps!$D$5:$D$12,0))))</f>
        <v/>
      </c>
      <c r="M7880" s="154" t="str">
        <f t="shared" si="615"/>
        <v>____Process__</v>
      </c>
    </row>
    <row r="7881" spans="1:13" s="120" customFormat="1" x14ac:dyDescent="0.25">
      <c r="A7881" s="119"/>
      <c r="B7881" s="138" t="str">
        <f t="shared" ref="B7881:B7944" si="618">IF(F7881="Legacy","n.a.",IF(F7881="","","Aerated Static Pile"))</f>
        <v>Aerated Static Pile</v>
      </c>
      <c r="C7881" s="138" t="str">
        <f t="shared" ref="C7881:C7944" si="619">IF(ISNUMBER($J7881),"Base_With Amendment","")</f>
        <v>Base_With Amendment</v>
      </c>
      <c r="D7881" s="138" t="str">
        <f t="shared" ref="D7881:D7944" si="620">IF(ISNUMBER($J7881),"Base_Low","")</f>
        <v>Base_Low</v>
      </c>
      <c r="E7881" s="138" t="str">
        <f t="shared" ref="E7881:E7944" si="621">IF(ISNUMBER($J7881),"Base","")</f>
        <v>Base</v>
      </c>
      <c r="F7881" s="138" t="str">
        <f t="shared" ref="F7881:F7944" si="622">IF(ISNUMBER(J7881),"Upgraded","")</f>
        <v>Upgraded</v>
      </c>
      <c r="G7881" s="153"/>
      <c r="H7881" s="210">
        <v>0.33700000000000002</v>
      </c>
      <c r="I7881" s="160" t="s">
        <v>55</v>
      </c>
      <c r="J7881" s="160">
        <v>1.7219999999999999E-2</v>
      </c>
      <c r="K7881" s="160" t="s">
        <v>24</v>
      </c>
      <c r="L7881" s="154" t="str">
        <f>IF(OpenLCAbasic!K7881="CTUh", "Fill in Manually",IF(OR(K7881="Unit", K7881=""), "", INDEX(LookUps!$E$5:$E$12, MATCH(OpenLCAbasic!K7881,LookUps!$D$5:$D$12,0))))</f>
        <v>Acidification Potential (AP) - kg SO2 eq</v>
      </c>
      <c r="M7881" s="154" t="str">
        <f t="shared" si="615"/>
        <v>Base_Base_Low_Upgraded_Acidification Potential (AP) - kg SO2 eq_Aeration Tanks; wastewater treatment unit; at updated plant - US_Base_With Amendment_Aerated Static Pile</v>
      </c>
    </row>
    <row r="7882" spans="1:13" s="120" customFormat="1" x14ac:dyDescent="0.25">
      <c r="A7882" s="119"/>
      <c r="B7882" s="138" t="str">
        <f t="shared" si="618"/>
        <v>Aerated Static Pile</v>
      </c>
      <c r="C7882" s="138" t="str">
        <f t="shared" si="619"/>
        <v>Base_With Amendment</v>
      </c>
      <c r="D7882" s="138" t="str">
        <f t="shared" si="620"/>
        <v>Base_Low</v>
      </c>
      <c r="E7882" s="138" t="str">
        <f t="shared" si="621"/>
        <v>Base</v>
      </c>
      <c r="F7882" s="138" t="str">
        <f t="shared" si="622"/>
        <v>Upgraded</v>
      </c>
      <c r="G7882" s="153"/>
      <c r="H7882" s="210">
        <v>0.14030000000000001</v>
      </c>
      <c r="I7882" s="160" t="s">
        <v>435</v>
      </c>
      <c r="J7882" s="160">
        <v>7.1700000000000002E-3</v>
      </c>
      <c r="K7882" s="160" t="s">
        <v>24</v>
      </c>
      <c r="L7882" s="154" t="str">
        <f>IF(OpenLCAbasic!K7882="CTUh", "Fill in Manually",IF(OR(K7882="Unit", K7882=""), "", INDEX(LookUps!$E$5:$E$12, MATCH(OpenLCAbasic!K7882,LookUps!$D$5:$D$12,0))))</f>
        <v>Acidification Potential (AP) - kg SO2 eq</v>
      </c>
      <c r="M7882" s="154" t="str">
        <f t="shared" si="615"/>
        <v>Base_Base_Low_Upgraded_Acidification Potential (AP) - kg SO2 eq_Biosolids composting; aerated static pile; wastewater treatment unit; at updated plant - US_Base_With Amendment_Aerated Static Pile</v>
      </c>
    </row>
    <row r="7883" spans="1:13" s="120" customFormat="1" x14ac:dyDescent="0.25">
      <c r="A7883" s="119"/>
      <c r="B7883" s="138" t="str">
        <f t="shared" si="618"/>
        <v>Aerated Static Pile</v>
      </c>
      <c r="C7883" s="138" t="str">
        <f t="shared" si="619"/>
        <v>Base_With Amendment</v>
      </c>
      <c r="D7883" s="138" t="str">
        <f t="shared" si="620"/>
        <v>Base_Low</v>
      </c>
      <c r="E7883" s="138" t="str">
        <f t="shared" si="621"/>
        <v>Base</v>
      </c>
      <c r="F7883" s="138" t="str">
        <f t="shared" si="622"/>
        <v>Upgraded</v>
      </c>
      <c r="G7883" s="153"/>
      <c r="H7883" s="210">
        <v>9.7500000000000003E-2</v>
      </c>
      <c r="I7883" s="160" t="s">
        <v>54</v>
      </c>
      <c r="J7883" s="160">
        <v>4.9800000000000001E-3</v>
      </c>
      <c r="K7883" s="160" t="s">
        <v>24</v>
      </c>
      <c r="L7883" s="154" t="str">
        <f>IF(OpenLCAbasic!K7883="CTUh", "Fill in Manually",IF(OR(K7883="Unit", K7883=""), "", INDEX(LookUps!$E$5:$E$12, MATCH(OpenLCAbasic!K7883,LookUps!$D$5:$D$12,0))))</f>
        <v>Acidification Potential (AP) - kg SO2 eq</v>
      </c>
      <c r="M7883" s="154" t="str">
        <f t="shared" si="615"/>
        <v>Base_Base_Low_Upgraded_Acidification Potential (AP) - kg SO2 eq_Clear Cove Primary Clarification; wastewater treatment unit; at updated plant - US_Base_With Amendment_Aerated Static Pile</v>
      </c>
    </row>
    <row r="7884" spans="1:13" s="120" customFormat="1" x14ac:dyDescent="0.25">
      <c r="A7884" s="119"/>
      <c r="B7884" s="138" t="str">
        <f t="shared" si="618"/>
        <v>Aerated Static Pile</v>
      </c>
      <c r="C7884" s="138" t="str">
        <f t="shared" si="619"/>
        <v>Base_With Amendment</v>
      </c>
      <c r="D7884" s="138" t="str">
        <f t="shared" si="620"/>
        <v>Base_Low</v>
      </c>
      <c r="E7884" s="138" t="str">
        <f t="shared" si="621"/>
        <v>Base</v>
      </c>
      <c r="F7884" s="138" t="str">
        <f t="shared" si="622"/>
        <v>Upgraded</v>
      </c>
      <c r="G7884" s="153"/>
      <c r="H7884" s="210">
        <v>8.48E-2</v>
      </c>
      <c r="I7884" s="160" t="s">
        <v>58</v>
      </c>
      <c r="J7884" s="160">
        <v>4.3299999999999996E-3</v>
      </c>
      <c r="K7884" s="160" t="s">
        <v>24</v>
      </c>
      <c r="L7884" s="154" t="str">
        <f>IF(OpenLCAbasic!K7884="CTUh", "Fill in Manually",IF(OR(K7884="Unit", K7884=""), "", INDEX(LookUps!$E$5:$E$12, MATCH(OpenLCAbasic!K7884,LookUps!$D$5:$D$12,0))))</f>
        <v>Acidification Potential (AP) - kg SO2 eq</v>
      </c>
      <c r="M7884" s="154" t="str">
        <f t="shared" si="615"/>
        <v>Base_Base_Low_Upgraded_Acidification Potential (AP) - kg SO2 eq_Pre-Anoxic &amp; Swing tank; wastewater treatment unit; at updated plant - US_Base_With Amendment_Aerated Static Pile</v>
      </c>
    </row>
    <row r="7885" spans="1:13" s="120" customFormat="1" x14ac:dyDescent="0.25">
      <c r="A7885" s="119"/>
      <c r="B7885" s="138" t="str">
        <f t="shared" si="618"/>
        <v>Aerated Static Pile</v>
      </c>
      <c r="C7885" s="138" t="str">
        <f t="shared" si="619"/>
        <v>Base_With Amendment</v>
      </c>
      <c r="D7885" s="138" t="str">
        <f t="shared" si="620"/>
        <v>Base_Low</v>
      </c>
      <c r="E7885" s="138" t="str">
        <f t="shared" si="621"/>
        <v>Base</v>
      </c>
      <c r="F7885" s="138" t="str">
        <f t="shared" si="622"/>
        <v>Upgraded</v>
      </c>
      <c r="G7885" s="153"/>
      <c r="H7885" s="210">
        <v>6.7500000000000004E-2</v>
      </c>
      <c r="I7885" s="160" t="s">
        <v>53</v>
      </c>
      <c r="J7885" s="160">
        <v>3.4499999999999999E-3</v>
      </c>
      <c r="K7885" s="160" t="s">
        <v>24</v>
      </c>
      <c r="L7885" s="154" t="str">
        <f>IF(OpenLCAbasic!K7885="CTUh", "Fill in Manually",IF(OR(K7885="Unit", K7885=""), "", INDEX(LookUps!$E$5:$E$12, MATCH(OpenLCAbasic!K7885,LookUps!$D$5:$D$12,0))))</f>
        <v>Acidification Potential (AP) - kg SO2 eq</v>
      </c>
      <c r="M7885" s="154" t="str">
        <f t="shared" si="615"/>
        <v>Base_Base_Low_Upgraded_Acidification Potential (AP) - kg SO2 eq_Wet Well and Sump Station; wastewater treatment unit; at updated plant - US_Base_With Amendment_Aerated Static Pile</v>
      </c>
    </row>
    <row r="7886" spans="1:13" s="120" customFormat="1" x14ac:dyDescent="0.25">
      <c r="A7886" s="119"/>
      <c r="B7886" s="138" t="str">
        <f t="shared" si="618"/>
        <v>Aerated Static Pile</v>
      </c>
      <c r="C7886" s="138" t="str">
        <f t="shared" si="619"/>
        <v>Base_With Amendment</v>
      </c>
      <c r="D7886" s="138" t="str">
        <f t="shared" si="620"/>
        <v>Base_Low</v>
      </c>
      <c r="E7886" s="138" t="str">
        <f t="shared" si="621"/>
        <v>Base</v>
      </c>
      <c r="F7886" s="138" t="str">
        <f t="shared" si="622"/>
        <v>Upgraded</v>
      </c>
      <c r="G7886" s="153"/>
      <c r="H7886" s="210">
        <v>5.79E-2</v>
      </c>
      <c r="I7886" s="160" t="s">
        <v>62</v>
      </c>
      <c r="J7886" s="160">
        <v>2.96E-3</v>
      </c>
      <c r="K7886" s="160" t="s">
        <v>24</v>
      </c>
      <c r="L7886" s="154" t="str">
        <f>IF(OpenLCAbasic!K7886="CTUh", "Fill in Manually",IF(OR(K7886="Unit", K7886=""), "", INDEX(LookUps!$E$5:$E$12, MATCH(OpenLCAbasic!K7886,LookUps!$D$5:$D$12,0))))</f>
        <v>Acidification Potential (AP) - kg SO2 eq</v>
      </c>
      <c r="M7886" s="154" t="str">
        <f t="shared" si="615"/>
        <v>Base_Base_Low_Upgraded_Acidification Potential (AP) - kg SO2 eq_Land application of compost; wastewater treatment unit; at updated plant - US_Base_With Amendment_Aerated Static Pile</v>
      </c>
    </row>
    <row r="7887" spans="1:13" s="120" customFormat="1" x14ac:dyDescent="0.25">
      <c r="A7887" s="119"/>
      <c r="B7887" s="138" t="str">
        <f t="shared" si="618"/>
        <v>Aerated Static Pile</v>
      </c>
      <c r="C7887" s="138" t="str">
        <f t="shared" si="619"/>
        <v>Base_With Amendment</v>
      </c>
      <c r="D7887" s="138" t="str">
        <f t="shared" si="620"/>
        <v>Base_Low</v>
      </c>
      <c r="E7887" s="138" t="str">
        <f t="shared" si="621"/>
        <v>Base</v>
      </c>
      <c r="F7887" s="138" t="str">
        <f t="shared" si="622"/>
        <v>Upgraded</v>
      </c>
      <c r="G7887" s="153"/>
      <c r="H7887" s="210">
        <v>5.0799999999999998E-2</v>
      </c>
      <c r="I7887" s="160" t="s">
        <v>149</v>
      </c>
      <c r="J7887" s="160">
        <v>2.5999999999999999E-3</v>
      </c>
      <c r="K7887" s="160" t="s">
        <v>24</v>
      </c>
      <c r="L7887" s="154" t="str">
        <f>IF(OpenLCAbasic!K7887="CTUh", "Fill in Manually",IF(OR(K7887="Unit", K7887=""), "", INDEX(LookUps!$E$5:$E$12, MATCH(OpenLCAbasic!K7887,LookUps!$D$5:$D$12,0))))</f>
        <v>Acidification Potential (AP) - kg SO2 eq</v>
      </c>
      <c r="M7887" s="154" t="str">
        <f t="shared" si="615"/>
        <v>Base_Base_Low_Upgraded_Acidification Potential (AP) - kg SO2 eq_Anaerobic Digestion; wastewater treatment unit; at updated plant - US_Base_With Amendment_Aerated Static Pile</v>
      </c>
    </row>
    <row r="7888" spans="1:13" s="120" customFormat="1" x14ac:dyDescent="0.25">
      <c r="A7888" s="119"/>
      <c r="B7888" s="138" t="str">
        <f t="shared" si="618"/>
        <v>Aerated Static Pile</v>
      </c>
      <c r="C7888" s="138" t="str">
        <f t="shared" si="619"/>
        <v>Base_With Amendment</v>
      </c>
      <c r="D7888" s="138" t="str">
        <f t="shared" si="620"/>
        <v>Base_Low</v>
      </c>
      <c r="E7888" s="138" t="str">
        <f t="shared" si="621"/>
        <v>Base</v>
      </c>
      <c r="F7888" s="138" t="str">
        <f t="shared" si="622"/>
        <v>Upgraded</v>
      </c>
      <c r="G7888" s="153"/>
      <c r="H7888" s="210">
        <v>4.65E-2</v>
      </c>
      <c r="I7888" s="160" t="s">
        <v>167</v>
      </c>
      <c r="J7888" s="160">
        <v>2.3800000000000002E-3</v>
      </c>
      <c r="K7888" s="160" t="s">
        <v>24</v>
      </c>
      <c r="L7888" s="154" t="str">
        <f>IF(OpenLCAbasic!K7888="CTUh", "Fill in Manually",IF(OR(K7888="Unit", K7888=""), "", INDEX(LookUps!$E$5:$E$12, MATCH(OpenLCAbasic!K7888,LookUps!$D$5:$D$12,0))))</f>
        <v>Acidification Potential (AP) - kg SO2 eq</v>
      </c>
      <c r="M7888" s="154" t="str">
        <f t="shared" si="615"/>
        <v>Base_Base_Low_Upgraded_Acidification Potential (AP) - kg SO2 eq_Waste Receiving and Holding; wastewater treatment unit; at updated plant - US_Base_With Amendment_Aerated Static Pile</v>
      </c>
    </row>
    <row r="7889" spans="1:13" s="120" customFormat="1" x14ac:dyDescent="0.25">
      <c r="A7889" s="119"/>
      <c r="B7889" s="138" t="str">
        <f t="shared" si="618"/>
        <v>Aerated Static Pile</v>
      </c>
      <c r="C7889" s="138" t="str">
        <f t="shared" si="619"/>
        <v>Base_With Amendment</v>
      </c>
      <c r="D7889" s="138" t="str">
        <f t="shared" si="620"/>
        <v>Base_Low</v>
      </c>
      <c r="E7889" s="138" t="str">
        <f t="shared" si="621"/>
        <v>Base</v>
      </c>
      <c r="F7889" s="138" t="str">
        <f t="shared" si="622"/>
        <v>Upgraded</v>
      </c>
      <c r="G7889" s="153"/>
      <c r="H7889" s="210">
        <v>4.0500000000000001E-2</v>
      </c>
      <c r="I7889" s="160" t="s">
        <v>147</v>
      </c>
      <c r="J7889" s="160">
        <v>2.0699999999999998E-3</v>
      </c>
      <c r="K7889" s="160" t="s">
        <v>24</v>
      </c>
      <c r="L7889" s="154" t="str">
        <f>IF(OpenLCAbasic!K7889="CTUh", "Fill in Manually",IF(OR(K7889="Unit", K7889=""), "", INDEX(LookUps!$E$5:$E$12, MATCH(OpenLCAbasic!K7889,LookUps!$D$5:$D$12,0))))</f>
        <v>Acidification Potential (AP) - kg SO2 eq</v>
      </c>
      <c r="M7889" s="154" t="str">
        <f t="shared" si="615"/>
        <v>Base_Base_Low_Upgraded_Acidification Potential (AP) - kg SO2 eq_Influent Pump Station; wastewater treatment unit; at updated plant - US_Base_With Amendment_Aerated Static Pile</v>
      </c>
    </row>
    <row r="7890" spans="1:13" s="120" customFormat="1" x14ac:dyDescent="0.25">
      <c r="A7890" s="119"/>
      <c r="B7890" s="138" t="str">
        <f t="shared" si="618"/>
        <v>Aerated Static Pile</v>
      </c>
      <c r="C7890" s="138" t="str">
        <f t="shared" si="619"/>
        <v>Base_With Amendment</v>
      </c>
      <c r="D7890" s="138" t="str">
        <f t="shared" si="620"/>
        <v>Base_Low</v>
      </c>
      <c r="E7890" s="138" t="str">
        <f t="shared" si="621"/>
        <v>Base</v>
      </c>
      <c r="F7890" s="138" t="str">
        <f t="shared" si="622"/>
        <v>Upgraded</v>
      </c>
      <c r="G7890" s="153"/>
      <c r="H7890" s="210">
        <v>2.41E-2</v>
      </c>
      <c r="I7890" s="160" t="s">
        <v>128</v>
      </c>
      <c r="J7890" s="160">
        <v>1.23E-3</v>
      </c>
      <c r="K7890" s="160" t="s">
        <v>24</v>
      </c>
      <c r="L7890" s="154" t="str">
        <f>IF(OpenLCAbasic!K7890="CTUh", "Fill in Manually",IF(OR(K7890="Unit", K7890=""), "", INDEX(LookUps!$E$5:$E$12, MATCH(OpenLCAbasic!K7890,LookUps!$D$5:$D$12,0))))</f>
        <v>Acidification Potential (AP) - kg SO2 eq</v>
      </c>
      <c r="M7890" s="154" t="str">
        <f t="shared" si="615"/>
        <v>Base_Base_Low_Upgraded_Acidification Potential (AP) - kg SO2 eq_Wastewater collection; operation and infrastructure; m3 wastewater_Base_With Amendment_Aerated Static Pile</v>
      </c>
    </row>
    <row r="7891" spans="1:13" s="120" customFormat="1" x14ac:dyDescent="0.25">
      <c r="A7891" s="119"/>
      <c r="B7891" s="138" t="str">
        <f t="shared" si="618"/>
        <v>Aerated Static Pile</v>
      </c>
      <c r="C7891" s="138" t="str">
        <f t="shared" si="619"/>
        <v>Base_With Amendment</v>
      </c>
      <c r="D7891" s="138" t="str">
        <f t="shared" si="620"/>
        <v>Base_Low</v>
      </c>
      <c r="E7891" s="138" t="str">
        <f t="shared" si="621"/>
        <v>Base</v>
      </c>
      <c r="F7891" s="138" t="str">
        <f t="shared" si="622"/>
        <v>Upgraded</v>
      </c>
      <c r="G7891" s="153"/>
      <c r="H7891" s="210">
        <v>1.6799999999999999E-2</v>
      </c>
      <c r="I7891" s="160" t="s">
        <v>60</v>
      </c>
      <c r="J7891" s="160">
        <v>8.5999999999999998E-4</v>
      </c>
      <c r="K7891" s="160" t="s">
        <v>24</v>
      </c>
      <c r="L7891" s="154" t="str">
        <f>IF(OpenLCAbasic!K7891="CTUh", "Fill in Manually",IF(OR(K7891="Unit", K7891=""), "", INDEX(LookUps!$E$5:$E$12, MATCH(OpenLCAbasic!K7891,LookUps!$D$5:$D$12,0))))</f>
        <v>Acidification Potential (AP) - kg SO2 eq</v>
      </c>
      <c r="M7891" s="154" t="str">
        <f t="shared" si="615"/>
        <v>Base_Base_Low_Upgraded_Acidification Potential (AP) - kg SO2 eq_Belt filter press; wastewater treatment unit; at updated plant - US_Base_With Amendment_Aerated Static Pile</v>
      </c>
    </row>
    <row r="7892" spans="1:13" s="120" customFormat="1" x14ac:dyDescent="0.25">
      <c r="A7892" s="119"/>
      <c r="B7892" s="138" t="str">
        <f t="shared" si="618"/>
        <v>Aerated Static Pile</v>
      </c>
      <c r="C7892" s="138" t="str">
        <f t="shared" si="619"/>
        <v>Base_With Amendment</v>
      </c>
      <c r="D7892" s="138" t="str">
        <f t="shared" si="620"/>
        <v>Base_Low</v>
      </c>
      <c r="E7892" s="138" t="str">
        <f t="shared" si="621"/>
        <v>Base</v>
      </c>
      <c r="F7892" s="138" t="str">
        <f t="shared" si="622"/>
        <v>Upgraded</v>
      </c>
      <c r="G7892" s="153"/>
      <c r="H7892" s="210">
        <v>1.38E-2</v>
      </c>
      <c r="I7892" s="160" t="s">
        <v>57</v>
      </c>
      <c r="J7892" s="160">
        <v>6.9999999999999999E-4</v>
      </c>
      <c r="K7892" s="160" t="s">
        <v>24</v>
      </c>
      <c r="L7892" s="154" t="str">
        <f>IF(OpenLCAbasic!K7892="CTUh", "Fill in Manually",IF(OR(K7892="Unit", K7892=""), "", INDEX(LookUps!$E$5:$E$12, MATCH(OpenLCAbasic!K7892,LookUps!$D$5:$D$12,0))))</f>
        <v>Acidification Potential (AP) - kg SO2 eq</v>
      </c>
      <c r="M7892" s="154" t="str">
        <f t="shared" si="615"/>
        <v>Base_Base_Low_Upgraded_Acidification Potential (AP) - kg SO2 eq_Gravity Belt Thickener; wastewater treatment unit; at updated plant - US_Base_With Amendment_Aerated Static Pile</v>
      </c>
    </row>
    <row r="7893" spans="1:13" s="120" customFormat="1" x14ac:dyDescent="0.25">
      <c r="A7893" s="119"/>
      <c r="B7893" s="138" t="str">
        <f t="shared" si="618"/>
        <v>Aerated Static Pile</v>
      </c>
      <c r="C7893" s="138" t="str">
        <f t="shared" si="619"/>
        <v>Base_With Amendment</v>
      </c>
      <c r="D7893" s="138" t="str">
        <f t="shared" si="620"/>
        <v>Base_Low</v>
      </c>
      <c r="E7893" s="138" t="str">
        <f t="shared" si="621"/>
        <v>Base</v>
      </c>
      <c r="F7893" s="138" t="str">
        <f t="shared" si="622"/>
        <v>Upgraded</v>
      </c>
      <c r="G7893" s="153"/>
      <c r="H7893" s="210">
        <v>1.01E-2</v>
      </c>
      <c r="I7893" s="160" t="s">
        <v>59</v>
      </c>
      <c r="J7893" s="160">
        <v>5.1999999999999995E-4</v>
      </c>
      <c r="K7893" s="160" t="s">
        <v>24</v>
      </c>
      <c r="L7893" s="154" t="str">
        <f>IF(OpenLCAbasic!K7893="CTUh", "Fill in Manually",IF(OR(K7893="Unit", K7893=""), "", INDEX(LookUps!$E$5:$E$12, MATCH(OpenLCAbasic!K7893,LookUps!$D$5:$D$12,0))))</f>
        <v>Acidification Potential (AP) - kg SO2 eq</v>
      </c>
      <c r="M7893" s="154" t="str">
        <f t="shared" si="615"/>
        <v>Base_Base_Low_Upgraded_Acidification Potential (AP) - kg SO2 eq_Blend Tank; wastewater treatment unit; at updated plant - US_Base_With Amendment_Aerated Static Pile</v>
      </c>
    </row>
    <row r="7894" spans="1:13" s="120" customFormat="1" x14ac:dyDescent="0.25">
      <c r="A7894" s="119"/>
      <c r="B7894" s="138" t="str">
        <f t="shared" si="618"/>
        <v>Aerated Static Pile</v>
      </c>
      <c r="C7894" s="138" t="str">
        <f t="shared" si="619"/>
        <v>Base_With Amendment</v>
      </c>
      <c r="D7894" s="138" t="str">
        <f t="shared" si="620"/>
        <v>Base_Low</v>
      </c>
      <c r="E7894" s="138" t="str">
        <f t="shared" si="621"/>
        <v>Base</v>
      </c>
      <c r="F7894" s="138" t="str">
        <f t="shared" si="622"/>
        <v>Upgraded</v>
      </c>
      <c r="G7894" s="153"/>
      <c r="H7894" s="210">
        <v>6.7999999999999996E-3</v>
      </c>
      <c r="I7894" s="160" t="s">
        <v>48</v>
      </c>
      <c r="J7894" s="160">
        <v>3.5E-4</v>
      </c>
      <c r="K7894" s="160" t="s">
        <v>24</v>
      </c>
      <c r="L7894" s="154" t="str">
        <f>IF(OpenLCAbasic!K7894="CTUh", "Fill in Manually",IF(OR(K7894="Unit", K7894=""), "", INDEX(LookUps!$E$5:$E$12, MATCH(OpenLCAbasic!K7894,LookUps!$D$5:$D$12,0))))</f>
        <v>Acidification Potential (AP) - kg SO2 eq</v>
      </c>
      <c r="M7894" s="154" t="str">
        <f t="shared" si="615"/>
        <v>Base_Base_Low_Upgraded_Acidification Potential (AP) - kg SO2 eq_Effluent release; wastewater treatment unit; at surface water; m3 wastewater - US_Base_With Amendment_Aerated Static Pile</v>
      </c>
    </row>
    <row r="7895" spans="1:13" s="120" customFormat="1" x14ac:dyDescent="0.25">
      <c r="A7895" s="119"/>
      <c r="B7895" s="138" t="str">
        <f t="shared" si="618"/>
        <v>Aerated Static Pile</v>
      </c>
      <c r="C7895" s="138" t="str">
        <f t="shared" si="619"/>
        <v>Base_With Amendment</v>
      </c>
      <c r="D7895" s="138" t="str">
        <f t="shared" si="620"/>
        <v>Base_Low</v>
      </c>
      <c r="E7895" s="138" t="str">
        <f t="shared" si="621"/>
        <v>Base</v>
      </c>
      <c r="F7895" s="138" t="str">
        <f t="shared" si="622"/>
        <v>Upgraded</v>
      </c>
      <c r="G7895" s="153"/>
      <c r="H7895" s="210">
        <v>5.0000000000000001E-3</v>
      </c>
      <c r="I7895" s="160" t="s">
        <v>168</v>
      </c>
      <c r="J7895" s="160">
        <v>2.5999999999999998E-4</v>
      </c>
      <c r="K7895" s="160" t="s">
        <v>24</v>
      </c>
      <c r="L7895" s="154" t="str">
        <f>IF(OpenLCAbasic!K7895="CTUh", "Fill in Manually",IF(OR(K7895="Unit", K7895=""), "", INDEX(LookUps!$E$5:$E$12, MATCH(OpenLCAbasic!K7895,LookUps!$D$5:$D$12,0))))</f>
        <v>Acidification Potential (AP) - kg SO2 eq</v>
      </c>
      <c r="M7895" s="154" t="str">
        <f t="shared" si="615"/>
        <v>Base_Base_Low_Upgraded_Acidification Potential (AP) - kg SO2 eq_ClearCove SCP; wastewater treatment unit; at updated plant - US_Base_With Amendment_Aerated Static Pile</v>
      </c>
    </row>
    <row r="7896" spans="1:13" s="120" customFormat="1" x14ac:dyDescent="0.25">
      <c r="A7896" s="119"/>
      <c r="B7896" s="138" t="str">
        <f t="shared" si="618"/>
        <v>Aerated Static Pile</v>
      </c>
      <c r="C7896" s="138" t="str">
        <f t="shared" si="619"/>
        <v>Base_With Amendment</v>
      </c>
      <c r="D7896" s="138" t="str">
        <f t="shared" si="620"/>
        <v>Base_Low</v>
      </c>
      <c r="E7896" s="138" t="str">
        <f t="shared" si="621"/>
        <v>Base</v>
      </c>
      <c r="F7896" s="138" t="str">
        <f t="shared" si="622"/>
        <v>Upgraded</v>
      </c>
      <c r="G7896" s="153"/>
      <c r="H7896" s="210">
        <v>8.0000000000000004E-4</v>
      </c>
      <c r="I7896" s="160" t="s">
        <v>148</v>
      </c>
      <c r="J7896" s="211">
        <v>4.0354700000000002E-5</v>
      </c>
      <c r="K7896" s="160" t="s">
        <v>24</v>
      </c>
      <c r="L7896" s="154" t="str">
        <f>IF(OpenLCAbasic!K7896="CTUh", "Fill in Manually",IF(OR(K7896="Unit", K7896=""), "", INDEX(LookUps!$E$5:$E$12, MATCH(OpenLCAbasic!K7896,LookUps!$D$5:$D$12,0))))</f>
        <v>Acidification Potential (AP) - kg SO2 eq</v>
      </c>
      <c r="M7896" s="154" t="str">
        <f t="shared" si="615"/>
        <v>Base_Base_Low_Upgraded_Acidification Potential (AP) - kg SO2 eq_Control Building; at upgraded wastewater treatment plant - US_Base_With Amendment_Aerated Static Pile</v>
      </c>
    </row>
    <row r="7897" spans="1:13" s="120" customFormat="1" x14ac:dyDescent="0.25">
      <c r="A7897" s="119"/>
      <c r="B7897" s="138" t="str">
        <f t="shared" si="618"/>
        <v/>
      </c>
      <c r="C7897" s="138" t="str">
        <f t="shared" si="619"/>
        <v/>
      </c>
      <c r="D7897" s="138" t="str">
        <f t="shared" si="620"/>
        <v/>
      </c>
      <c r="E7897" s="138" t="str">
        <f t="shared" si="621"/>
        <v/>
      </c>
      <c r="F7897" s="138" t="str">
        <f t="shared" si="622"/>
        <v/>
      </c>
      <c r="G7897" s="153" t="s">
        <v>51</v>
      </c>
      <c r="H7897" s="160"/>
      <c r="I7897" s="160" t="s">
        <v>47</v>
      </c>
      <c r="J7897" s="160" t="s">
        <v>52</v>
      </c>
      <c r="K7897" s="160" t="s">
        <v>27</v>
      </c>
      <c r="L7897" s="154" t="str">
        <f>IF(OpenLCAbasic!K7897="CTUh", "Fill in Manually",IF(OR(K7897="Unit", K7897=""), "", INDEX(LookUps!$E$5:$E$12, MATCH(OpenLCAbasic!K7897,LookUps!$D$5:$D$12,0))))</f>
        <v/>
      </c>
      <c r="M7897" s="154" t="str">
        <f t="shared" si="615"/>
        <v>____Process__</v>
      </c>
    </row>
    <row r="7898" spans="1:13" s="120" customFormat="1" x14ac:dyDescent="0.25">
      <c r="A7898" s="119"/>
      <c r="B7898" s="138" t="str">
        <f t="shared" si="618"/>
        <v>Aerated Static Pile</v>
      </c>
      <c r="C7898" s="138" t="str">
        <f t="shared" si="619"/>
        <v>Base_With Amendment</v>
      </c>
      <c r="D7898" s="138" t="str">
        <f t="shared" si="620"/>
        <v>Base_Low</v>
      </c>
      <c r="E7898" s="138" t="str">
        <f t="shared" si="621"/>
        <v>Base</v>
      </c>
      <c r="F7898" s="138" t="str">
        <f t="shared" si="622"/>
        <v>Upgraded</v>
      </c>
      <c r="G7898" s="153"/>
      <c r="H7898" s="210">
        <v>0.22600000000000001</v>
      </c>
      <c r="I7898" s="160" t="s">
        <v>55</v>
      </c>
      <c r="J7898" s="160">
        <v>3.5330499999999998</v>
      </c>
      <c r="K7898" s="160" t="s">
        <v>15</v>
      </c>
      <c r="L7898" s="154" t="str">
        <f>IF(OpenLCAbasic!K7898="CTUh", "Fill in Manually",IF(OR(K7898="Unit", K7898=""), "", INDEX(LookUps!$E$5:$E$12, MATCH(OpenLCAbasic!K7898,LookUps!$D$5:$D$12,0))))</f>
        <v>Cumulative Energy Demand (CED) - MJ</v>
      </c>
      <c r="M7898" s="154" t="str">
        <f t="shared" si="615"/>
        <v>Base_Base_Low_Upgraded_Cumulative Energy Demand (CED) - MJ_Aeration Tanks; wastewater treatment unit; at updated plant - US_Base_With Amendment_Aerated Static Pile</v>
      </c>
    </row>
    <row r="7899" spans="1:13" s="120" customFormat="1" x14ac:dyDescent="0.25">
      <c r="A7899" s="119"/>
      <c r="B7899" s="138" t="str">
        <f t="shared" si="618"/>
        <v>Aerated Static Pile</v>
      </c>
      <c r="C7899" s="138" t="str">
        <f t="shared" si="619"/>
        <v>Base_With Amendment</v>
      </c>
      <c r="D7899" s="138" t="str">
        <f t="shared" si="620"/>
        <v>Base_Low</v>
      </c>
      <c r="E7899" s="138" t="str">
        <f t="shared" si="621"/>
        <v>Base</v>
      </c>
      <c r="F7899" s="138" t="str">
        <f t="shared" si="622"/>
        <v>Upgraded</v>
      </c>
      <c r="G7899" s="153"/>
      <c r="H7899" s="210">
        <v>0.2238</v>
      </c>
      <c r="I7899" s="160" t="s">
        <v>167</v>
      </c>
      <c r="J7899" s="160">
        <v>3.4982700000000002</v>
      </c>
      <c r="K7899" s="160" t="s">
        <v>15</v>
      </c>
      <c r="L7899" s="154" t="str">
        <f>IF(OpenLCAbasic!K7899="CTUh", "Fill in Manually",IF(OR(K7899="Unit", K7899=""), "", INDEX(LookUps!$E$5:$E$12, MATCH(OpenLCAbasic!K7899,LookUps!$D$5:$D$12,0))))</f>
        <v>Cumulative Energy Demand (CED) - MJ</v>
      </c>
      <c r="M7899" s="154" t="str">
        <f t="shared" si="615"/>
        <v>Base_Base_Low_Upgraded_Cumulative Energy Demand (CED) - MJ_Waste Receiving and Holding; wastewater treatment unit; at updated plant - US_Base_With Amendment_Aerated Static Pile</v>
      </c>
    </row>
    <row r="7900" spans="1:13" s="120" customFormat="1" x14ac:dyDescent="0.25">
      <c r="A7900" s="119"/>
      <c r="B7900" s="138" t="str">
        <f t="shared" si="618"/>
        <v>Aerated Static Pile</v>
      </c>
      <c r="C7900" s="138" t="str">
        <f t="shared" si="619"/>
        <v>Base_With Amendment</v>
      </c>
      <c r="D7900" s="138" t="str">
        <f t="shared" si="620"/>
        <v>Base_Low</v>
      </c>
      <c r="E7900" s="138" t="str">
        <f t="shared" si="621"/>
        <v>Base</v>
      </c>
      <c r="F7900" s="138" t="str">
        <f t="shared" si="622"/>
        <v>Upgraded</v>
      </c>
      <c r="G7900" s="153"/>
      <c r="H7900" s="210">
        <v>0.17480000000000001</v>
      </c>
      <c r="I7900" s="160" t="s">
        <v>149</v>
      </c>
      <c r="J7900" s="160">
        <v>2.7332200000000002</v>
      </c>
      <c r="K7900" s="160" t="s">
        <v>15</v>
      </c>
      <c r="L7900" s="154" t="str">
        <f>IF(OpenLCAbasic!K7900="CTUh", "Fill in Manually",IF(OR(K7900="Unit", K7900=""), "", INDEX(LookUps!$E$5:$E$12, MATCH(OpenLCAbasic!K7900,LookUps!$D$5:$D$12,0))))</f>
        <v>Cumulative Energy Demand (CED) - MJ</v>
      </c>
      <c r="M7900" s="154" t="str">
        <f t="shared" si="615"/>
        <v>Base_Base_Low_Upgraded_Cumulative Energy Demand (CED) - MJ_Anaerobic Digestion; wastewater treatment unit; at updated plant - US_Base_With Amendment_Aerated Static Pile</v>
      </c>
    </row>
    <row r="7901" spans="1:13" s="120" customFormat="1" x14ac:dyDescent="0.25">
      <c r="A7901" s="119"/>
      <c r="B7901" s="138" t="str">
        <f t="shared" si="618"/>
        <v>Aerated Static Pile</v>
      </c>
      <c r="C7901" s="138" t="str">
        <f t="shared" si="619"/>
        <v>Base_With Amendment</v>
      </c>
      <c r="D7901" s="138" t="str">
        <f t="shared" si="620"/>
        <v>Base_Low</v>
      </c>
      <c r="E7901" s="138" t="str">
        <f t="shared" si="621"/>
        <v>Base</v>
      </c>
      <c r="F7901" s="138" t="str">
        <f t="shared" si="622"/>
        <v>Upgraded</v>
      </c>
      <c r="G7901" s="153"/>
      <c r="H7901" s="210">
        <v>8.8700000000000001E-2</v>
      </c>
      <c r="I7901" s="160" t="s">
        <v>435</v>
      </c>
      <c r="J7901" s="160">
        <v>1.3867400000000001</v>
      </c>
      <c r="K7901" s="160" t="s">
        <v>15</v>
      </c>
      <c r="L7901" s="154" t="str">
        <f>IF(OpenLCAbasic!K7901="CTUh", "Fill in Manually",IF(OR(K7901="Unit", K7901=""), "", INDEX(LookUps!$E$5:$E$12, MATCH(OpenLCAbasic!K7901,LookUps!$D$5:$D$12,0))))</f>
        <v>Cumulative Energy Demand (CED) - MJ</v>
      </c>
      <c r="M7901" s="154" t="str">
        <f t="shared" si="615"/>
        <v>Base_Base_Low_Upgraded_Cumulative Energy Demand (CED) - MJ_Biosolids composting; aerated static pile; wastewater treatment unit; at updated plant - US_Base_With Amendment_Aerated Static Pile</v>
      </c>
    </row>
    <row r="7902" spans="1:13" s="120" customFormat="1" x14ac:dyDescent="0.25">
      <c r="A7902" s="119"/>
      <c r="B7902" s="138" t="str">
        <f t="shared" si="618"/>
        <v>Aerated Static Pile</v>
      </c>
      <c r="C7902" s="138" t="str">
        <f t="shared" si="619"/>
        <v>Base_With Amendment</v>
      </c>
      <c r="D7902" s="138" t="str">
        <f t="shared" si="620"/>
        <v>Base_Low</v>
      </c>
      <c r="E7902" s="138" t="str">
        <f t="shared" si="621"/>
        <v>Base</v>
      </c>
      <c r="F7902" s="138" t="str">
        <f t="shared" si="622"/>
        <v>Upgraded</v>
      </c>
      <c r="G7902" s="153"/>
      <c r="H7902" s="210">
        <v>7.4399999999999994E-2</v>
      </c>
      <c r="I7902" s="160" t="s">
        <v>54</v>
      </c>
      <c r="J7902" s="160">
        <v>1.16289</v>
      </c>
      <c r="K7902" s="160" t="s">
        <v>15</v>
      </c>
      <c r="L7902" s="154" t="str">
        <f>IF(OpenLCAbasic!K7902="CTUh", "Fill in Manually",IF(OR(K7902="Unit", K7902=""), "", INDEX(LookUps!$E$5:$E$12, MATCH(OpenLCAbasic!K7902,LookUps!$D$5:$D$12,0))))</f>
        <v>Cumulative Energy Demand (CED) - MJ</v>
      </c>
      <c r="M7902" s="154" t="str">
        <f t="shared" si="615"/>
        <v>Base_Base_Low_Upgraded_Cumulative Energy Demand (CED) - MJ_Clear Cove Primary Clarification; wastewater treatment unit; at updated plant - US_Base_With Amendment_Aerated Static Pile</v>
      </c>
    </row>
    <row r="7903" spans="1:13" s="120" customFormat="1" x14ac:dyDescent="0.25">
      <c r="A7903" s="119"/>
      <c r="B7903" s="138" t="str">
        <f t="shared" si="618"/>
        <v>Aerated Static Pile</v>
      </c>
      <c r="C7903" s="138" t="str">
        <f t="shared" si="619"/>
        <v>Base_With Amendment</v>
      </c>
      <c r="D7903" s="138" t="str">
        <f t="shared" si="620"/>
        <v>Base_Low</v>
      </c>
      <c r="E7903" s="138" t="str">
        <f t="shared" si="621"/>
        <v>Base</v>
      </c>
      <c r="F7903" s="138" t="str">
        <f t="shared" si="622"/>
        <v>Upgraded</v>
      </c>
      <c r="G7903" s="153"/>
      <c r="H7903" s="210">
        <v>5.6599999999999998E-2</v>
      </c>
      <c r="I7903" s="160" t="s">
        <v>58</v>
      </c>
      <c r="J7903" s="160">
        <v>0.88417000000000001</v>
      </c>
      <c r="K7903" s="160" t="s">
        <v>15</v>
      </c>
      <c r="L7903" s="154" t="str">
        <f>IF(OpenLCAbasic!K7903="CTUh", "Fill in Manually",IF(OR(K7903="Unit", K7903=""), "", INDEX(LookUps!$E$5:$E$12, MATCH(OpenLCAbasic!K7903,LookUps!$D$5:$D$12,0))))</f>
        <v>Cumulative Energy Demand (CED) - MJ</v>
      </c>
      <c r="M7903" s="154" t="str">
        <f t="shared" si="615"/>
        <v>Base_Base_Low_Upgraded_Cumulative Energy Demand (CED) - MJ_Pre-Anoxic &amp; Swing tank; wastewater treatment unit; at updated plant - US_Base_With Amendment_Aerated Static Pile</v>
      </c>
    </row>
    <row r="7904" spans="1:13" s="120" customFormat="1" x14ac:dyDescent="0.25">
      <c r="A7904" s="119"/>
      <c r="B7904" s="138" t="str">
        <f t="shared" si="618"/>
        <v>Aerated Static Pile</v>
      </c>
      <c r="C7904" s="138" t="str">
        <f t="shared" si="619"/>
        <v>Base_With Amendment</v>
      </c>
      <c r="D7904" s="138" t="str">
        <f t="shared" si="620"/>
        <v>Base_Low</v>
      </c>
      <c r="E7904" s="138" t="str">
        <f t="shared" si="621"/>
        <v>Base</v>
      </c>
      <c r="F7904" s="138" t="str">
        <f t="shared" si="622"/>
        <v>Upgraded</v>
      </c>
      <c r="G7904" s="153"/>
      <c r="H7904" s="210">
        <v>5.6500000000000002E-2</v>
      </c>
      <c r="I7904" s="160" t="s">
        <v>147</v>
      </c>
      <c r="J7904" s="160">
        <v>0.88297000000000003</v>
      </c>
      <c r="K7904" s="160" t="s">
        <v>15</v>
      </c>
      <c r="L7904" s="154" t="str">
        <f>IF(OpenLCAbasic!K7904="CTUh", "Fill in Manually",IF(OR(K7904="Unit", K7904=""), "", INDEX(LookUps!$E$5:$E$12, MATCH(OpenLCAbasic!K7904,LookUps!$D$5:$D$12,0))))</f>
        <v>Cumulative Energy Demand (CED) - MJ</v>
      </c>
      <c r="M7904" s="154" t="str">
        <f t="shared" si="615"/>
        <v>Base_Base_Low_Upgraded_Cumulative Energy Demand (CED) - MJ_Influent Pump Station; wastewater treatment unit; at updated plant - US_Base_With Amendment_Aerated Static Pile</v>
      </c>
    </row>
    <row r="7905" spans="1:13" s="120" customFormat="1" x14ac:dyDescent="0.25">
      <c r="A7905" s="119"/>
      <c r="B7905" s="138" t="str">
        <f t="shared" si="618"/>
        <v>Aerated Static Pile</v>
      </c>
      <c r="C7905" s="138" t="str">
        <f t="shared" si="619"/>
        <v>Base_With Amendment</v>
      </c>
      <c r="D7905" s="138" t="str">
        <f t="shared" si="620"/>
        <v>Base_Low</v>
      </c>
      <c r="E7905" s="138" t="str">
        <f t="shared" si="621"/>
        <v>Base</v>
      </c>
      <c r="F7905" s="138" t="str">
        <f t="shared" si="622"/>
        <v>Upgraded</v>
      </c>
      <c r="G7905" s="153"/>
      <c r="H7905" s="210">
        <v>4.4600000000000001E-2</v>
      </c>
      <c r="I7905" s="160" t="s">
        <v>53</v>
      </c>
      <c r="J7905" s="160">
        <v>0.69645000000000001</v>
      </c>
      <c r="K7905" s="160" t="s">
        <v>15</v>
      </c>
      <c r="L7905" s="154" t="str">
        <f>IF(OpenLCAbasic!K7905="CTUh", "Fill in Manually",IF(OR(K7905="Unit", K7905=""), "", INDEX(LookUps!$E$5:$E$12, MATCH(OpenLCAbasic!K7905,LookUps!$D$5:$D$12,0))))</f>
        <v>Cumulative Energy Demand (CED) - MJ</v>
      </c>
      <c r="M7905" s="154" t="str">
        <f t="shared" si="615"/>
        <v>Base_Base_Low_Upgraded_Cumulative Energy Demand (CED) - MJ_Wet Well and Sump Station; wastewater treatment unit; at updated plant - US_Base_With Amendment_Aerated Static Pile</v>
      </c>
    </row>
    <row r="7906" spans="1:13" s="120" customFormat="1" x14ac:dyDescent="0.25">
      <c r="A7906" s="119"/>
      <c r="B7906" s="138" t="str">
        <f t="shared" si="618"/>
        <v>Aerated Static Pile</v>
      </c>
      <c r="C7906" s="138" t="str">
        <f t="shared" si="619"/>
        <v>Base_With Amendment</v>
      </c>
      <c r="D7906" s="138" t="str">
        <f t="shared" si="620"/>
        <v>Base_Low</v>
      </c>
      <c r="E7906" s="138" t="str">
        <f t="shared" si="621"/>
        <v>Base</v>
      </c>
      <c r="F7906" s="138" t="str">
        <f t="shared" si="622"/>
        <v>Upgraded</v>
      </c>
      <c r="G7906" s="153"/>
      <c r="H7906" s="210">
        <v>2.1399999999999999E-2</v>
      </c>
      <c r="I7906" s="160" t="s">
        <v>57</v>
      </c>
      <c r="J7906" s="160">
        <v>0.33404</v>
      </c>
      <c r="K7906" s="160" t="s">
        <v>15</v>
      </c>
      <c r="L7906" s="154" t="str">
        <f>IF(OpenLCAbasic!K7906="CTUh", "Fill in Manually",IF(OR(K7906="Unit", K7906=""), "", INDEX(LookUps!$E$5:$E$12, MATCH(OpenLCAbasic!K7906,LookUps!$D$5:$D$12,0))))</f>
        <v>Cumulative Energy Demand (CED) - MJ</v>
      </c>
      <c r="M7906" s="154" t="str">
        <f t="shared" si="615"/>
        <v>Base_Base_Low_Upgraded_Cumulative Energy Demand (CED) - MJ_Gravity Belt Thickener; wastewater treatment unit; at updated plant - US_Base_With Amendment_Aerated Static Pile</v>
      </c>
    </row>
    <row r="7907" spans="1:13" s="120" customFormat="1" x14ac:dyDescent="0.25">
      <c r="A7907" s="119"/>
      <c r="B7907" s="138" t="str">
        <f t="shared" si="618"/>
        <v>Aerated Static Pile</v>
      </c>
      <c r="C7907" s="138" t="str">
        <f t="shared" si="619"/>
        <v>Base_With Amendment</v>
      </c>
      <c r="D7907" s="138" t="str">
        <f t="shared" si="620"/>
        <v>Base_Low</v>
      </c>
      <c r="E7907" s="138" t="str">
        <f t="shared" si="621"/>
        <v>Base</v>
      </c>
      <c r="F7907" s="138" t="str">
        <f t="shared" si="622"/>
        <v>Upgraded</v>
      </c>
      <c r="G7907" s="153"/>
      <c r="H7907" s="210">
        <v>2.0500000000000001E-2</v>
      </c>
      <c r="I7907" s="160" t="s">
        <v>60</v>
      </c>
      <c r="J7907" s="160">
        <v>0.32008999999999999</v>
      </c>
      <c r="K7907" s="160" t="s">
        <v>15</v>
      </c>
      <c r="L7907" s="154" t="str">
        <f>IF(OpenLCAbasic!K7907="CTUh", "Fill in Manually",IF(OR(K7907="Unit", K7907=""), "", INDEX(LookUps!$E$5:$E$12, MATCH(OpenLCAbasic!K7907,LookUps!$D$5:$D$12,0))))</f>
        <v>Cumulative Energy Demand (CED) - MJ</v>
      </c>
      <c r="M7907" s="154" t="str">
        <f t="shared" si="615"/>
        <v>Base_Base_Low_Upgraded_Cumulative Energy Demand (CED) - MJ_Belt filter press; wastewater treatment unit; at updated plant - US_Base_With Amendment_Aerated Static Pile</v>
      </c>
    </row>
    <row r="7908" spans="1:13" s="120" customFormat="1" x14ac:dyDescent="0.25">
      <c r="A7908" s="119"/>
      <c r="B7908" s="138" t="str">
        <f t="shared" si="618"/>
        <v>Aerated Static Pile</v>
      </c>
      <c r="C7908" s="138" t="str">
        <f t="shared" si="619"/>
        <v>Base_With Amendment</v>
      </c>
      <c r="D7908" s="138" t="str">
        <f t="shared" si="620"/>
        <v>Base_Low</v>
      </c>
      <c r="E7908" s="138" t="str">
        <f t="shared" si="621"/>
        <v>Base</v>
      </c>
      <c r="F7908" s="138" t="str">
        <f t="shared" si="622"/>
        <v>Upgraded</v>
      </c>
      <c r="G7908" s="153"/>
      <c r="H7908" s="210">
        <v>1.6400000000000001E-2</v>
      </c>
      <c r="I7908" s="160" t="s">
        <v>128</v>
      </c>
      <c r="J7908" s="160">
        <v>0.25606000000000001</v>
      </c>
      <c r="K7908" s="160" t="s">
        <v>15</v>
      </c>
      <c r="L7908" s="154" t="str">
        <f>IF(OpenLCAbasic!K7908="CTUh", "Fill in Manually",IF(OR(K7908="Unit", K7908=""), "", INDEX(LookUps!$E$5:$E$12, MATCH(OpenLCAbasic!K7908,LookUps!$D$5:$D$12,0))))</f>
        <v>Cumulative Energy Demand (CED) - MJ</v>
      </c>
      <c r="M7908" s="154" t="str">
        <f t="shared" si="615"/>
        <v>Base_Base_Low_Upgraded_Cumulative Energy Demand (CED) - MJ_Wastewater collection; operation and infrastructure; m3 wastewater_Base_With Amendment_Aerated Static Pile</v>
      </c>
    </row>
    <row r="7909" spans="1:13" s="120" customFormat="1" x14ac:dyDescent="0.25">
      <c r="A7909" s="119"/>
      <c r="B7909" s="138" t="str">
        <f t="shared" si="618"/>
        <v>Aerated Static Pile</v>
      </c>
      <c r="C7909" s="138" t="str">
        <f t="shared" si="619"/>
        <v>Base_With Amendment</v>
      </c>
      <c r="D7909" s="138" t="str">
        <f t="shared" si="620"/>
        <v>Base_Low</v>
      </c>
      <c r="E7909" s="138" t="str">
        <f t="shared" si="621"/>
        <v>Base</v>
      </c>
      <c r="F7909" s="138" t="str">
        <f t="shared" si="622"/>
        <v>Upgraded</v>
      </c>
      <c r="G7909" s="153"/>
      <c r="H7909" s="210">
        <v>9.2999999999999992E-3</v>
      </c>
      <c r="I7909" s="160" t="s">
        <v>148</v>
      </c>
      <c r="J7909" s="160">
        <v>0.14599000000000001</v>
      </c>
      <c r="K7909" s="160" t="s">
        <v>15</v>
      </c>
      <c r="L7909" s="154" t="str">
        <f>IF(OpenLCAbasic!K7909="CTUh", "Fill in Manually",IF(OR(K7909="Unit", K7909=""), "", INDEX(LookUps!$E$5:$E$12, MATCH(OpenLCAbasic!K7909,LookUps!$D$5:$D$12,0))))</f>
        <v>Cumulative Energy Demand (CED) - MJ</v>
      </c>
      <c r="M7909" s="154" t="str">
        <f t="shared" si="615"/>
        <v>Base_Base_Low_Upgraded_Cumulative Energy Demand (CED) - MJ_Control Building; at upgraded wastewater treatment plant - US_Base_With Amendment_Aerated Static Pile</v>
      </c>
    </row>
    <row r="7910" spans="1:13" s="120" customFormat="1" x14ac:dyDescent="0.25">
      <c r="A7910" s="119"/>
      <c r="B7910" s="138" t="str">
        <f t="shared" si="618"/>
        <v>Aerated Static Pile</v>
      </c>
      <c r="C7910" s="138" t="str">
        <f t="shared" si="619"/>
        <v>Base_With Amendment</v>
      </c>
      <c r="D7910" s="138" t="str">
        <f t="shared" si="620"/>
        <v>Base_Low</v>
      </c>
      <c r="E7910" s="138" t="str">
        <f t="shared" si="621"/>
        <v>Base</v>
      </c>
      <c r="F7910" s="138" t="str">
        <f t="shared" si="622"/>
        <v>Upgraded</v>
      </c>
      <c r="G7910" s="153"/>
      <c r="H7910" s="210">
        <v>8.5000000000000006E-3</v>
      </c>
      <c r="I7910" s="160" t="s">
        <v>48</v>
      </c>
      <c r="J7910" s="160">
        <v>0.13321</v>
      </c>
      <c r="K7910" s="160" t="s">
        <v>15</v>
      </c>
      <c r="L7910" s="154" t="str">
        <f>IF(OpenLCAbasic!K7910="CTUh", "Fill in Manually",IF(OR(K7910="Unit", K7910=""), "", INDEX(LookUps!$E$5:$E$12, MATCH(OpenLCAbasic!K7910,LookUps!$D$5:$D$12,0))))</f>
        <v>Cumulative Energy Demand (CED) - MJ</v>
      </c>
      <c r="M7910" s="154" t="str">
        <f t="shared" si="615"/>
        <v>Base_Base_Low_Upgraded_Cumulative Energy Demand (CED) - MJ_Effluent release; wastewater treatment unit; at surface water; m3 wastewater - US_Base_With Amendment_Aerated Static Pile</v>
      </c>
    </row>
    <row r="7911" spans="1:13" s="120" customFormat="1" x14ac:dyDescent="0.25">
      <c r="A7911" s="119"/>
      <c r="B7911" s="138" t="str">
        <f t="shared" si="618"/>
        <v>Aerated Static Pile</v>
      </c>
      <c r="C7911" s="138" t="str">
        <f t="shared" si="619"/>
        <v>Base_With Amendment</v>
      </c>
      <c r="D7911" s="138" t="str">
        <f t="shared" si="620"/>
        <v>Base_Low</v>
      </c>
      <c r="E7911" s="138" t="str">
        <f t="shared" si="621"/>
        <v>Base</v>
      </c>
      <c r="F7911" s="138" t="str">
        <f t="shared" si="622"/>
        <v>Upgraded</v>
      </c>
      <c r="G7911" s="153"/>
      <c r="H7911" s="210">
        <v>6.7999999999999996E-3</v>
      </c>
      <c r="I7911" s="160" t="s">
        <v>59</v>
      </c>
      <c r="J7911" s="160">
        <v>0.10638</v>
      </c>
      <c r="K7911" s="160" t="s">
        <v>15</v>
      </c>
      <c r="L7911" s="154" t="str">
        <f>IF(OpenLCAbasic!K7911="CTUh", "Fill in Manually",IF(OR(K7911="Unit", K7911=""), "", INDEX(LookUps!$E$5:$E$12, MATCH(OpenLCAbasic!K7911,LookUps!$D$5:$D$12,0))))</f>
        <v>Cumulative Energy Demand (CED) - MJ</v>
      </c>
      <c r="M7911" s="154" t="str">
        <f t="shared" si="615"/>
        <v>Base_Base_Low_Upgraded_Cumulative Energy Demand (CED) - MJ_Blend Tank; wastewater treatment unit; at updated plant - US_Base_With Amendment_Aerated Static Pile</v>
      </c>
    </row>
    <row r="7912" spans="1:13" s="120" customFormat="1" x14ac:dyDescent="0.25">
      <c r="A7912" s="119"/>
      <c r="B7912" s="138" t="str">
        <f t="shared" si="618"/>
        <v>Aerated Static Pile</v>
      </c>
      <c r="C7912" s="138" t="str">
        <f t="shared" si="619"/>
        <v>Base_With Amendment</v>
      </c>
      <c r="D7912" s="138" t="str">
        <f t="shared" si="620"/>
        <v>Base_Low</v>
      </c>
      <c r="E7912" s="138" t="str">
        <f t="shared" si="621"/>
        <v>Base</v>
      </c>
      <c r="F7912" s="138" t="str">
        <f t="shared" si="622"/>
        <v>Upgraded</v>
      </c>
      <c r="G7912" s="153"/>
      <c r="H7912" s="210">
        <v>3.3E-3</v>
      </c>
      <c r="I7912" s="160" t="s">
        <v>168</v>
      </c>
      <c r="J7912" s="160">
        <v>5.0930000000000003E-2</v>
      </c>
      <c r="K7912" s="160" t="s">
        <v>15</v>
      </c>
      <c r="L7912" s="154" t="str">
        <f>IF(OpenLCAbasic!K7912="CTUh", "Fill in Manually",IF(OR(K7912="Unit", K7912=""), "", INDEX(LookUps!$E$5:$E$12, MATCH(OpenLCAbasic!K7912,LookUps!$D$5:$D$12,0))))</f>
        <v>Cumulative Energy Demand (CED) - MJ</v>
      </c>
      <c r="M7912" s="154" t="str">
        <f t="shared" si="615"/>
        <v>Base_Base_Low_Upgraded_Cumulative Energy Demand (CED) - MJ_ClearCove SCP; wastewater treatment unit; at updated plant - US_Base_With Amendment_Aerated Static Pile</v>
      </c>
    </row>
    <row r="7913" spans="1:13" s="120" customFormat="1" x14ac:dyDescent="0.25">
      <c r="A7913" s="119"/>
      <c r="B7913" s="138" t="str">
        <f t="shared" si="618"/>
        <v>Aerated Static Pile</v>
      </c>
      <c r="C7913" s="138" t="str">
        <f t="shared" si="619"/>
        <v>Base_With Amendment</v>
      </c>
      <c r="D7913" s="138" t="str">
        <f t="shared" si="620"/>
        <v>Base_Low</v>
      </c>
      <c r="E7913" s="138" t="str">
        <f t="shared" si="621"/>
        <v>Base</v>
      </c>
      <c r="F7913" s="138" t="str">
        <f t="shared" si="622"/>
        <v>Upgraded</v>
      </c>
      <c r="G7913" s="153"/>
      <c r="H7913" s="210">
        <v>-3.15E-2</v>
      </c>
      <c r="I7913" s="160" t="s">
        <v>62</v>
      </c>
      <c r="J7913" s="160">
        <v>-0.49231000000000003</v>
      </c>
      <c r="K7913" s="160" t="s">
        <v>15</v>
      </c>
      <c r="L7913" s="154" t="str">
        <f>IF(OpenLCAbasic!K7913="CTUh", "Fill in Manually",IF(OR(K7913="Unit", K7913=""), "", INDEX(LookUps!$E$5:$E$12, MATCH(OpenLCAbasic!K7913,LookUps!$D$5:$D$12,0))))</f>
        <v>Cumulative Energy Demand (CED) - MJ</v>
      </c>
      <c r="M7913" s="154" t="str">
        <f t="shared" si="615"/>
        <v>Base_Base_Low_Upgraded_Cumulative Energy Demand (CED) - MJ_Land application of compost; wastewater treatment unit; at updated plant - US_Base_With Amendment_Aerated Static Pile</v>
      </c>
    </row>
    <row r="7914" spans="1:13" s="120" customFormat="1" x14ac:dyDescent="0.25">
      <c r="A7914" s="119"/>
      <c r="B7914" s="138" t="str">
        <f t="shared" si="618"/>
        <v/>
      </c>
      <c r="C7914" s="138" t="str">
        <f t="shared" si="619"/>
        <v/>
      </c>
      <c r="D7914" s="138" t="str">
        <f t="shared" si="620"/>
        <v/>
      </c>
      <c r="E7914" s="138" t="str">
        <f t="shared" si="621"/>
        <v/>
      </c>
      <c r="F7914" s="138" t="str">
        <f t="shared" si="622"/>
        <v/>
      </c>
      <c r="G7914" s="153" t="s">
        <v>51</v>
      </c>
      <c r="H7914" s="160"/>
      <c r="I7914" s="160" t="s">
        <v>47</v>
      </c>
      <c r="J7914" s="160" t="s">
        <v>52</v>
      </c>
      <c r="K7914" s="160" t="s">
        <v>27</v>
      </c>
      <c r="L7914" s="154" t="str">
        <f>IF(OpenLCAbasic!K7914="CTUh", "Fill in Manually",IF(OR(K7914="Unit", K7914=""), "", INDEX(LookUps!$E$5:$E$12, MATCH(OpenLCAbasic!K7914,LookUps!$D$5:$D$12,0))))</f>
        <v/>
      </c>
      <c r="M7914" s="154" t="str">
        <f t="shared" si="615"/>
        <v>____Process__</v>
      </c>
    </row>
    <row r="7915" spans="1:13" s="120" customFormat="1" x14ac:dyDescent="0.25">
      <c r="A7915" s="119"/>
      <c r="B7915" s="138" t="str">
        <f t="shared" si="618"/>
        <v>Aerated Static Pile</v>
      </c>
      <c r="C7915" s="138" t="str">
        <f t="shared" si="619"/>
        <v>Base_With Amendment</v>
      </c>
      <c r="D7915" s="138" t="str">
        <f t="shared" si="620"/>
        <v>Base_Low</v>
      </c>
      <c r="E7915" s="138" t="str">
        <f t="shared" si="621"/>
        <v>Base</v>
      </c>
      <c r="F7915" s="138" t="str">
        <f t="shared" si="622"/>
        <v>Upgraded</v>
      </c>
      <c r="G7915" s="153"/>
      <c r="H7915" s="210">
        <v>0.73370000000000002</v>
      </c>
      <c r="I7915" s="160" t="s">
        <v>48</v>
      </c>
      <c r="J7915" s="160">
        <v>1.1610000000000001E-2</v>
      </c>
      <c r="K7915" s="160" t="s">
        <v>13</v>
      </c>
      <c r="L7915" s="154" t="str">
        <f>IF(OpenLCAbasic!K7915="CTUh", "Fill in Manually",IF(OR(K7915="Unit", K7915=""), "", INDEX(LookUps!$E$5:$E$12, MATCH(OpenLCAbasic!K7915,LookUps!$D$5:$D$12,0))))</f>
        <v>Eutrophication Potential (EP) - kg N eq</v>
      </c>
      <c r="M7915" s="154" t="str">
        <f t="shared" si="615"/>
        <v>Base_Base_Low_Upgraded_Eutrophication Potential (EP) - kg N eq_Effluent release; wastewater treatment unit; at surface water; m3 wastewater - US_Base_With Amendment_Aerated Static Pile</v>
      </c>
    </row>
    <row r="7916" spans="1:13" s="120" customFormat="1" x14ac:dyDescent="0.25">
      <c r="A7916" s="119"/>
      <c r="B7916" s="138" t="str">
        <f t="shared" si="618"/>
        <v>Aerated Static Pile</v>
      </c>
      <c r="C7916" s="138" t="str">
        <f t="shared" si="619"/>
        <v>Base_With Amendment</v>
      </c>
      <c r="D7916" s="138" t="str">
        <f t="shared" si="620"/>
        <v>Base_Low</v>
      </c>
      <c r="E7916" s="138" t="str">
        <f t="shared" si="621"/>
        <v>Base</v>
      </c>
      <c r="F7916" s="138" t="str">
        <f t="shared" si="622"/>
        <v>Upgraded</v>
      </c>
      <c r="G7916" s="153"/>
      <c r="H7916" s="210">
        <v>0.1439</v>
      </c>
      <c r="I7916" s="160" t="s">
        <v>62</v>
      </c>
      <c r="J7916" s="160">
        <v>2.2799999999999999E-3</v>
      </c>
      <c r="K7916" s="160" t="s">
        <v>13</v>
      </c>
      <c r="L7916" s="154" t="str">
        <f>IF(OpenLCAbasic!K7916="CTUh", "Fill in Manually",IF(OR(K7916="Unit", K7916=""), "", INDEX(LookUps!$E$5:$E$12, MATCH(OpenLCAbasic!K7916,LookUps!$D$5:$D$12,0))))</f>
        <v>Eutrophication Potential (EP) - kg N eq</v>
      </c>
      <c r="M7916" s="154" t="str">
        <f t="shared" si="615"/>
        <v>Base_Base_Low_Upgraded_Eutrophication Potential (EP) - kg N eq_Land application of compost; wastewater treatment unit; at updated plant - US_Base_With Amendment_Aerated Static Pile</v>
      </c>
    </row>
    <row r="7917" spans="1:13" s="120" customFormat="1" x14ac:dyDescent="0.25">
      <c r="A7917" s="119"/>
      <c r="B7917" s="138" t="str">
        <f t="shared" si="618"/>
        <v>Aerated Static Pile</v>
      </c>
      <c r="C7917" s="138" t="str">
        <f t="shared" si="619"/>
        <v>Base_With Amendment</v>
      </c>
      <c r="D7917" s="138" t="str">
        <f t="shared" si="620"/>
        <v>Base_Low</v>
      </c>
      <c r="E7917" s="138" t="str">
        <f t="shared" si="621"/>
        <v>Base</v>
      </c>
      <c r="F7917" s="138" t="str">
        <f t="shared" si="622"/>
        <v>Upgraded</v>
      </c>
      <c r="G7917" s="153"/>
      <c r="H7917" s="210">
        <v>3.4500000000000003E-2</v>
      </c>
      <c r="I7917" s="160" t="s">
        <v>55</v>
      </c>
      <c r="J7917" s="160">
        <v>5.5000000000000003E-4</v>
      </c>
      <c r="K7917" s="160" t="s">
        <v>13</v>
      </c>
      <c r="L7917" s="154" t="str">
        <f>IF(OpenLCAbasic!K7917="CTUh", "Fill in Manually",IF(OR(K7917="Unit", K7917=""), "", INDEX(LookUps!$E$5:$E$12, MATCH(OpenLCAbasic!K7917,LookUps!$D$5:$D$12,0))))</f>
        <v>Eutrophication Potential (EP) - kg N eq</v>
      </c>
      <c r="M7917" s="154" t="str">
        <f t="shared" si="615"/>
        <v>Base_Base_Low_Upgraded_Eutrophication Potential (EP) - kg N eq_Aeration Tanks; wastewater treatment unit; at updated plant - US_Base_With Amendment_Aerated Static Pile</v>
      </c>
    </row>
    <row r="7918" spans="1:13" s="120" customFormat="1" x14ac:dyDescent="0.25">
      <c r="A7918" s="119"/>
      <c r="B7918" s="138" t="str">
        <f t="shared" si="618"/>
        <v>Aerated Static Pile</v>
      </c>
      <c r="C7918" s="138" t="str">
        <f t="shared" si="619"/>
        <v>Base_With Amendment</v>
      </c>
      <c r="D7918" s="138" t="str">
        <f t="shared" si="620"/>
        <v>Base_Low</v>
      </c>
      <c r="E7918" s="138" t="str">
        <f t="shared" si="621"/>
        <v>Base</v>
      </c>
      <c r="F7918" s="138" t="str">
        <f t="shared" si="622"/>
        <v>Upgraded</v>
      </c>
      <c r="G7918" s="153"/>
      <c r="H7918" s="210">
        <v>1.5800000000000002E-2</v>
      </c>
      <c r="I7918" s="160" t="s">
        <v>147</v>
      </c>
      <c r="J7918" s="160">
        <v>2.5000000000000001E-4</v>
      </c>
      <c r="K7918" s="160" t="s">
        <v>13</v>
      </c>
      <c r="L7918" s="154" t="str">
        <f>IF(OpenLCAbasic!K7918="CTUh", "Fill in Manually",IF(OR(K7918="Unit", K7918=""), "", INDEX(LookUps!$E$5:$E$12, MATCH(OpenLCAbasic!K7918,LookUps!$D$5:$D$12,0))))</f>
        <v>Eutrophication Potential (EP) - kg N eq</v>
      </c>
      <c r="M7918" s="154" t="str">
        <f t="shared" si="615"/>
        <v>Base_Base_Low_Upgraded_Eutrophication Potential (EP) - kg N eq_Influent Pump Station; wastewater treatment unit; at updated plant - US_Base_With Amendment_Aerated Static Pile</v>
      </c>
    </row>
    <row r="7919" spans="1:13" s="120" customFormat="1" x14ac:dyDescent="0.25">
      <c r="A7919" s="119"/>
      <c r="B7919" s="138" t="str">
        <f t="shared" si="618"/>
        <v>Aerated Static Pile</v>
      </c>
      <c r="C7919" s="138" t="str">
        <f t="shared" si="619"/>
        <v>Base_With Amendment</v>
      </c>
      <c r="D7919" s="138" t="str">
        <f t="shared" si="620"/>
        <v>Base_Low</v>
      </c>
      <c r="E7919" s="138" t="str">
        <f t="shared" si="621"/>
        <v>Base</v>
      </c>
      <c r="F7919" s="138" t="str">
        <f t="shared" si="622"/>
        <v>Upgraded</v>
      </c>
      <c r="G7919" s="153"/>
      <c r="H7919" s="210">
        <v>1.44E-2</v>
      </c>
      <c r="I7919" s="160" t="s">
        <v>435</v>
      </c>
      <c r="J7919" s="160">
        <v>2.3000000000000001E-4</v>
      </c>
      <c r="K7919" s="160" t="s">
        <v>13</v>
      </c>
      <c r="L7919" s="154" t="str">
        <f>IF(OpenLCAbasic!K7919="CTUh", "Fill in Manually",IF(OR(K7919="Unit", K7919=""), "", INDEX(LookUps!$E$5:$E$12, MATCH(OpenLCAbasic!K7919,LookUps!$D$5:$D$12,0))))</f>
        <v>Eutrophication Potential (EP) - kg N eq</v>
      </c>
      <c r="M7919" s="154" t="str">
        <f t="shared" si="615"/>
        <v>Base_Base_Low_Upgraded_Eutrophication Potential (EP) - kg N eq_Biosolids composting; aerated static pile; wastewater treatment unit; at updated plant - US_Base_With Amendment_Aerated Static Pile</v>
      </c>
    </row>
    <row r="7920" spans="1:13" s="120" customFormat="1" x14ac:dyDescent="0.25">
      <c r="A7920" s="119"/>
      <c r="B7920" s="138" t="str">
        <f t="shared" si="618"/>
        <v>Aerated Static Pile</v>
      </c>
      <c r="C7920" s="138" t="str">
        <f t="shared" si="619"/>
        <v>Base_With Amendment</v>
      </c>
      <c r="D7920" s="138" t="str">
        <f t="shared" si="620"/>
        <v>Base_Low</v>
      </c>
      <c r="E7920" s="138" t="str">
        <f t="shared" si="621"/>
        <v>Base</v>
      </c>
      <c r="F7920" s="138" t="str">
        <f t="shared" si="622"/>
        <v>Upgraded</v>
      </c>
      <c r="G7920" s="153"/>
      <c r="H7920" s="210">
        <v>1.2500000000000001E-2</v>
      </c>
      <c r="I7920" s="160" t="s">
        <v>54</v>
      </c>
      <c r="J7920" s="160">
        <v>2.0000000000000001E-4</v>
      </c>
      <c r="K7920" s="160" t="s">
        <v>13</v>
      </c>
      <c r="L7920" s="154" t="str">
        <f>IF(OpenLCAbasic!K7920="CTUh", "Fill in Manually",IF(OR(K7920="Unit", K7920=""), "", INDEX(LookUps!$E$5:$E$12, MATCH(OpenLCAbasic!K7920,LookUps!$D$5:$D$12,0))))</f>
        <v>Eutrophication Potential (EP) - kg N eq</v>
      </c>
      <c r="M7920" s="154" t="str">
        <f t="shared" si="615"/>
        <v>Base_Base_Low_Upgraded_Eutrophication Potential (EP) - kg N eq_Clear Cove Primary Clarification; wastewater treatment unit; at updated plant - US_Base_With Amendment_Aerated Static Pile</v>
      </c>
    </row>
    <row r="7921" spans="1:13" s="120" customFormat="1" x14ac:dyDescent="0.25">
      <c r="A7921" s="119"/>
      <c r="B7921" s="138" t="str">
        <f t="shared" si="618"/>
        <v>Aerated Static Pile</v>
      </c>
      <c r="C7921" s="138" t="str">
        <f t="shared" si="619"/>
        <v>Base_With Amendment</v>
      </c>
      <c r="D7921" s="138" t="str">
        <f t="shared" si="620"/>
        <v>Base_Low</v>
      </c>
      <c r="E7921" s="138" t="str">
        <f t="shared" si="621"/>
        <v>Base</v>
      </c>
      <c r="F7921" s="138" t="str">
        <f t="shared" si="622"/>
        <v>Upgraded</v>
      </c>
      <c r="G7921" s="153"/>
      <c r="H7921" s="210">
        <v>1.04E-2</v>
      </c>
      <c r="I7921" s="160" t="s">
        <v>167</v>
      </c>
      <c r="J7921" s="160">
        <v>1.6000000000000001E-4</v>
      </c>
      <c r="K7921" s="160" t="s">
        <v>13</v>
      </c>
      <c r="L7921" s="154" t="str">
        <f>IF(OpenLCAbasic!K7921="CTUh", "Fill in Manually",IF(OR(K7921="Unit", K7921=""), "", INDEX(LookUps!$E$5:$E$12, MATCH(OpenLCAbasic!K7921,LookUps!$D$5:$D$12,0))))</f>
        <v>Eutrophication Potential (EP) - kg N eq</v>
      </c>
      <c r="M7921" s="154" t="str">
        <f t="shared" si="615"/>
        <v>Base_Base_Low_Upgraded_Eutrophication Potential (EP) - kg N eq_Waste Receiving and Holding; wastewater treatment unit; at updated plant - US_Base_With Amendment_Aerated Static Pile</v>
      </c>
    </row>
    <row r="7922" spans="1:13" s="120" customFormat="1" x14ac:dyDescent="0.25">
      <c r="A7922" s="119"/>
      <c r="B7922" s="138" t="str">
        <f t="shared" si="618"/>
        <v>Aerated Static Pile</v>
      </c>
      <c r="C7922" s="138" t="str">
        <f t="shared" si="619"/>
        <v>Base_With Amendment</v>
      </c>
      <c r="D7922" s="138" t="str">
        <f t="shared" si="620"/>
        <v>Base_Low</v>
      </c>
      <c r="E7922" s="138" t="str">
        <f t="shared" si="621"/>
        <v>Base</v>
      </c>
      <c r="F7922" s="138" t="str">
        <f t="shared" si="622"/>
        <v>Upgraded</v>
      </c>
      <c r="G7922" s="153"/>
      <c r="H7922" s="210">
        <v>8.5000000000000006E-3</v>
      </c>
      <c r="I7922" s="160" t="s">
        <v>58</v>
      </c>
      <c r="J7922" s="160">
        <v>1.3999999999999999E-4</v>
      </c>
      <c r="K7922" s="160" t="s">
        <v>13</v>
      </c>
      <c r="L7922" s="154" t="str">
        <f>IF(OpenLCAbasic!K7922="CTUh", "Fill in Manually",IF(OR(K7922="Unit", K7922=""), "", INDEX(LookUps!$E$5:$E$12, MATCH(OpenLCAbasic!K7922,LookUps!$D$5:$D$12,0))))</f>
        <v>Eutrophication Potential (EP) - kg N eq</v>
      </c>
      <c r="M7922" s="154" t="str">
        <f t="shared" si="615"/>
        <v>Base_Base_Low_Upgraded_Eutrophication Potential (EP) - kg N eq_Pre-Anoxic &amp; Swing tank; wastewater treatment unit; at updated plant - US_Base_With Amendment_Aerated Static Pile</v>
      </c>
    </row>
    <row r="7923" spans="1:13" s="120" customFormat="1" x14ac:dyDescent="0.25">
      <c r="A7923" s="119"/>
      <c r="B7923" s="138" t="str">
        <f t="shared" si="618"/>
        <v>Aerated Static Pile</v>
      </c>
      <c r="C7923" s="138" t="str">
        <f t="shared" si="619"/>
        <v>Base_With Amendment</v>
      </c>
      <c r="D7923" s="138" t="str">
        <f t="shared" si="620"/>
        <v>Base_Low</v>
      </c>
      <c r="E7923" s="138" t="str">
        <f t="shared" si="621"/>
        <v>Base</v>
      </c>
      <c r="F7923" s="138" t="str">
        <f t="shared" si="622"/>
        <v>Upgraded</v>
      </c>
      <c r="G7923" s="153"/>
      <c r="H7923" s="210">
        <v>6.7999999999999996E-3</v>
      </c>
      <c r="I7923" s="160" t="s">
        <v>53</v>
      </c>
      <c r="J7923" s="160">
        <v>1.1E-4</v>
      </c>
      <c r="K7923" s="160" t="s">
        <v>13</v>
      </c>
      <c r="L7923" s="154" t="str">
        <f>IF(OpenLCAbasic!K7923="CTUh", "Fill in Manually",IF(OR(K7923="Unit", K7923=""), "", INDEX(LookUps!$E$5:$E$12, MATCH(OpenLCAbasic!K7923,LookUps!$D$5:$D$12,0))))</f>
        <v>Eutrophication Potential (EP) - kg N eq</v>
      </c>
      <c r="M7923" s="154" t="str">
        <f t="shared" si="615"/>
        <v>Base_Base_Low_Upgraded_Eutrophication Potential (EP) - kg N eq_Wet Well and Sump Station; wastewater treatment unit; at updated plant - US_Base_With Amendment_Aerated Static Pile</v>
      </c>
    </row>
    <row r="7924" spans="1:13" s="120" customFormat="1" x14ac:dyDescent="0.25">
      <c r="A7924" s="119"/>
      <c r="B7924" s="138" t="str">
        <f t="shared" si="618"/>
        <v>Aerated Static Pile</v>
      </c>
      <c r="C7924" s="138" t="str">
        <f t="shared" si="619"/>
        <v>Base_With Amendment</v>
      </c>
      <c r="D7924" s="138" t="str">
        <f t="shared" si="620"/>
        <v>Base_Low</v>
      </c>
      <c r="E7924" s="138" t="str">
        <f t="shared" si="621"/>
        <v>Base</v>
      </c>
      <c r="F7924" s="138" t="str">
        <f t="shared" si="622"/>
        <v>Upgraded</v>
      </c>
      <c r="G7924" s="153"/>
      <c r="H7924" s="210">
        <v>5.7999999999999996E-3</v>
      </c>
      <c r="I7924" s="160" t="s">
        <v>149</v>
      </c>
      <c r="J7924" s="211">
        <v>9.1798299999999998E-5</v>
      </c>
      <c r="K7924" s="160" t="s">
        <v>13</v>
      </c>
      <c r="L7924" s="154" t="str">
        <f>IF(OpenLCAbasic!K7924="CTUh", "Fill in Manually",IF(OR(K7924="Unit", K7924=""), "", INDEX(LookUps!$E$5:$E$12, MATCH(OpenLCAbasic!K7924,LookUps!$D$5:$D$12,0))))</f>
        <v>Eutrophication Potential (EP) - kg N eq</v>
      </c>
      <c r="M7924" s="154" t="str">
        <f t="shared" si="615"/>
        <v>Base_Base_Low_Upgraded_Eutrophication Potential (EP) - kg N eq_Anaerobic Digestion; wastewater treatment unit; at updated plant - US_Base_With Amendment_Aerated Static Pile</v>
      </c>
    </row>
    <row r="7925" spans="1:13" s="120" customFormat="1" x14ac:dyDescent="0.25">
      <c r="A7925" s="119"/>
      <c r="B7925" s="138" t="str">
        <f t="shared" si="618"/>
        <v>Aerated Static Pile</v>
      </c>
      <c r="C7925" s="138" t="str">
        <f t="shared" si="619"/>
        <v>Base_With Amendment</v>
      </c>
      <c r="D7925" s="138" t="str">
        <f t="shared" si="620"/>
        <v>Base_Low</v>
      </c>
      <c r="E7925" s="138" t="str">
        <f t="shared" si="621"/>
        <v>Base</v>
      </c>
      <c r="F7925" s="138" t="str">
        <f t="shared" si="622"/>
        <v>Upgraded</v>
      </c>
      <c r="G7925" s="153"/>
      <c r="H7925" s="210">
        <v>3.8E-3</v>
      </c>
      <c r="I7925" s="160" t="s">
        <v>57</v>
      </c>
      <c r="J7925" s="211">
        <v>6.0590300000000002E-5</v>
      </c>
      <c r="K7925" s="160" t="s">
        <v>13</v>
      </c>
      <c r="L7925" s="154" t="str">
        <f>IF(OpenLCAbasic!K7925="CTUh", "Fill in Manually",IF(OR(K7925="Unit", K7925=""), "", INDEX(LookUps!$E$5:$E$12, MATCH(OpenLCAbasic!K7925,LookUps!$D$5:$D$12,0))))</f>
        <v>Eutrophication Potential (EP) - kg N eq</v>
      </c>
      <c r="M7925" s="154" t="str">
        <f t="shared" si="615"/>
        <v>Base_Base_Low_Upgraded_Eutrophication Potential (EP) - kg N eq_Gravity Belt Thickener; wastewater treatment unit; at updated plant - US_Base_With Amendment_Aerated Static Pile</v>
      </c>
    </row>
    <row r="7926" spans="1:13" s="120" customFormat="1" x14ac:dyDescent="0.25">
      <c r="A7926" s="119"/>
      <c r="B7926" s="138" t="str">
        <f t="shared" si="618"/>
        <v>Aerated Static Pile</v>
      </c>
      <c r="C7926" s="138" t="str">
        <f t="shared" si="619"/>
        <v>Base_With Amendment</v>
      </c>
      <c r="D7926" s="138" t="str">
        <f t="shared" si="620"/>
        <v>Base_Low</v>
      </c>
      <c r="E7926" s="138" t="str">
        <f t="shared" si="621"/>
        <v>Base</v>
      </c>
      <c r="F7926" s="138" t="str">
        <f t="shared" si="622"/>
        <v>Upgraded</v>
      </c>
      <c r="G7926" s="153"/>
      <c r="H7926" s="210">
        <v>3.5999999999999999E-3</v>
      </c>
      <c r="I7926" s="160" t="s">
        <v>60</v>
      </c>
      <c r="J7926" s="211">
        <v>5.62289E-5</v>
      </c>
      <c r="K7926" s="160" t="s">
        <v>13</v>
      </c>
      <c r="L7926" s="154" t="str">
        <f>IF(OpenLCAbasic!K7926="CTUh", "Fill in Manually",IF(OR(K7926="Unit", K7926=""), "", INDEX(LookUps!$E$5:$E$12, MATCH(OpenLCAbasic!K7926,LookUps!$D$5:$D$12,0))))</f>
        <v>Eutrophication Potential (EP) - kg N eq</v>
      </c>
      <c r="M7926" s="154" t="str">
        <f t="shared" si="615"/>
        <v>Base_Base_Low_Upgraded_Eutrophication Potential (EP) - kg N eq_Belt filter press; wastewater treatment unit; at updated plant - US_Base_With Amendment_Aerated Static Pile</v>
      </c>
    </row>
    <row r="7927" spans="1:13" s="120" customFormat="1" x14ac:dyDescent="0.25">
      <c r="A7927" s="119"/>
      <c r="B7927" s="138" t="str">
        <f t="shared" si="618"/>
        <v>Aerated Static Pile</v>
      </c>
      <c r="C7927" s="138" t="str">
        <f t="shared" si="619"/>
        <v>Base_With Amendment</v>
      </c>
      <c r="D7927" s="138" t="str">
        <f t="shared" si="620"/>
        <v>Base_Low</v>
      </c>
      <c r="E7927" s="138" t="str">
        <f t="shared" si="621"/>
        <v>Base</v>
      </c>
      <c r="F7927" s="138" t="str">
        <f t="shared" si="622"/>
        <v>Upgraded</v>
      </c>
      <c r="G7927" s="153"/>
      <c r="H7927" s="210">
        <v>2.3999999999999998E-3</v>
      </c>
      <c r="I7927" s="160" t="s">
        <v>128</v>
      </c>
      <c r="J7927" s="211">
        <v>3.7559799999999999E-5</v>
      </c>
      <c r="K7927" s="160" t="s">
        <v>13</v>
      </c>
      <c r="L7927" s="154" t="str">
        <f>IF(OpenLCAbasic!K7927="CTUh", "Fill in Manually",IF(OR(K7927="Unit", K7927=""), "", INDEX(LookUps!$E$5:$E$12, MATCH(OpenLCAbasic!K7927,LookUps!$D$5:$D$12,0))))</f>
        <v>Eutrophication Potential (EP) - kg N eq</v>
      </c>
      <c r="M7927" s="154" t="str">
        <f t="shared" si="615"/>
        <v>Base_Base_Low_Upgraded_Eutrophication Potential (EP) - kg N eq_Wastewater collection; operation and infrastructure; m3 wastewater_Base_With Amendment_Aerated Static Pile</v>
      </c>
    </row>
    <row r="7928" spans="1:13" s="120" customFormat="1" x14ac:dyDescent="0.25">
      <c r="A7928" s="119"/>
      <c r="B7928" s="138" t="str">
        <f t="shared" si="618"/>
        <v>Aerated Static Pile</v>
      </c>
      <c r="C7928" s="138" t="str">
        <f t="shared" si="619"/>
        <v>Base_With Amendment</v>
      </c>
      <c r="D7928" s="138" t="str">
        <f t="shared" si="620"/>
        <v>Base_Low</v>
      </c>
      <c r="E7928" s="138" t="str">
        <f t="shared" si="621"/>
        <v>Base</v>
      </c>
      <c r="F7928" s="138" t="str">
        <f t="shared" si="622"/>
        <v>Upgraded</v>
      </c>
      <c r="G7928" s="153"/>
      <c r="H7928" s="210">
        <v>2.3E-3</v>
      </c>
      <c r="I7928" s="160" t="s">
        <v>148</v>
      </c>
      <c r="J7928" s="211">
        <v>3.6874600000000001E-5</v>
      </c>
      <c r="K7928" s="160" t="s">
        <v>13</v>
      </c>
      <c r="L7928" s="154" t="str">
        <f>IF(OpenLCAbasic!K7928="CTUh", "Fill in Manually",IF(OR(K7928="Unit", K7928=""), "", INDEX(LookUps!$E$5:$E$12, MATCH(OpenLCAbasic!K7928,LookUps!$D$5:$D$12,0))))</f>
        <v>Eutrophication Potential (EP) - kg N eq</v>
      </c>
      <c r="M7928" s="154" t="str">
        <f t="shared" si="615"/>
        <v>Base_Base_Low_Upgraded_Eutrophication Potential (EP) - kg N eq_Control Building; at upgraded wastewater treatment plant - US_Base_With Amendment_Aerated Static Pile</v>
      </c>
    </row>
    <row r="7929" spans="1:13" s="120" customFormat="1" x14ac:dyDescent="0.25">
      <c r="A7929" s="119"/>
      <c r="B7929" s="138" t="str">
        <f t="shared" si="618"/>
        <v>Aerated Static Pile</v>
      </c>
      <c r="C7929" s="138" t="str">
        <f t="shared" si="619"/>
        <v>Base_With Amendment</v>
      </c>
      <c r="D7929" s="138" t="str">
        <f t="shared" si="620"/>
        <v>Base_Low</v>
      </c>
      <c r="E7929" s="138" t="str">
        <f t="shared" si="621"/>
        <v>Base</v>
      </c>
      <c r="F7929" s="138" t="str">
        <f t="shared" si="622"/>
        <v>Upgraded</v>
      </c>
      <c r="G7929" s="153"/>
      <c r="H7929" s="210">
        <v>1E-3</v>
      </c>
      <c r="I7929" s="160" t="s">
        <v>59</v>
      </c>
      <c r="J7929" s="211">
        <v>1.6215700000000001E-5</v>
      </c>
      <c r="K7929" s="160" t="s">
        <v>13</v>
      </c>
      <c r="L7929" s="154" t="str">
        <f>IF(OpenLCAbasic!K7929="CTUh", "Fill in Manually",IF(OR(K7929="Unit", K7929=""), "", INDEX(LookUps!$E$5:$E$12, MATCH(OpenLCAbasic!K7929,LookUps!$D$5:$D$12,0))))</f>
        <v>Eutrophication Potential (EP) - kg N eq</v>
      </c>
      <c r="M7929" s="154" t="str">
        <f t="shared" si="615"/>
        <v>Base_Base_Low_Upgraded_Eutrophication Potential (EP) - kg N eq_Blend Tank; wastewater treatment unit; at updated plant - US_Base_With Amendment_Aerated Static Pile</v>
      </c>
    </row>
    <row r="7930" spans="1:13" s="120" customFormat="1" x14ac:dyDescent="0.25">
      <c r="A7930" s="119"/>
      <c r="B7930" s="138" t="str">
        <f t="shared" si="618"/>
        <v>Aerated Static Pile</v>
      </c>
      <c r="C7930" s="138" t="str">
        <f t="shared" si="619"/>
        <v>Base_With Amendment</v>
      </c>
      <c r="D7930" s="138" t="str">
        <f t="shared" si="620"/>
        <v>Base_Low</v>
      </c>
      <c r="E7930" s="138" t="str">
        <f t="shared" si="621"/>
        <v>Base</v>
      </c>
      <c r="F7930" s="138" t="str">
        <f t="shared" si="622"/>
        <v>Upgraded</v>
      </c>
      <c r="G7930" s="153"/>
      <c r="H7930" s="210">
        <v>5.0000000000000001E-4</v>
      </c>
      <c r="I7930" s="160" t="s">
        <v>168</v>
      </c>
      <c r="J7930" s="211">
        <v>7.7567199999999995E-6</v>
      </c>
      <c r="K7930" s="160" t="s">
        <v>13</v>
      </c>
      <c r="L7930" s="154" t="str">
        <f>IF(OpenLCAbasic!K7930="CTUh", "Fill in Manually",IF(OR(K7930="Unit", K7930=""), "", INDEX(LookUps!$E$5:$E$12, MATCH(OpenLCAbasic!K7930,LookUps!$D$5:$D$12,0))))</f>
        <v>Eutrophication Potential (EP) - kg N eq</v>
      </c>
      <c r="M7930" s="154" t="str">
        <f t="shared" si="615"/>
        <v>Base_Base_Low_Upgraded_Eutrophication Potential (EP) - kg N eq_ClearCove SCP; wastewater treatment unit; at updated plant - US_Base_With Amendment_Aerated Static Pile</v>
      </c>
    </row>
    <row r="7931" spans="1:13" s="120" customFormat="1" x14ac:dyDescent="0.25">
      <c r="A7931" s="119"/>
      <c r="B7931" s="138" t="str">
        <f t="shared" si="618"/>
        <v/>
      </c>
      <c r="C7931" s="138" t="str">
        <f t="shared" si="619"/>
        <v/>
      </c>
      <c r="D7931" s="138" t="str">
        <f t="shared" si="620"/>
        <v/>
      </c>
      <c r="E7931" s="138" t="str">
        <f t="shared" si="621"/>
        <v/>
      </c>
      <c r="F7931" s="138" t="str">
        <f t="shared" si="622"/>
        <v/>
      </c>
      <c r="G7931" s="153" t="s">
        <v>51</v>
      </c>
      <c r="H7931" s="160"/>
      <c r="I7931" s="160" t="s">
        <v>47</v>
      </c>
      <c r="J7931" s="160" t="s">
        <v>52</v>
      </c>
      <c r="K7931" s="160" t="s">
        <v>27</v>
      </c>
      <c r="L7931" s="154" t="str">
        <f>IF(OpenLCAbasic!K7931="CTUh", "Fill in Manually",IF(OR(K7931="Unit", K7931=""), "", INDEX(LookUps!$E$5:$E$12, MATCH(OpenLCAbasic!K7931,LookUps!$D$5:$D$12,0))))</f>
        <v/>
      </c>
      <c r="M7931" s="154" t="str">
        <f t="shared" ref="M7931:M7994" si="623">CONCATENATE(E7931,"_",D7931,"_",F7931,"_",L7931, "_",I7931,"_", C7931,"_", B7931)</f>
        <v>____Process__</v>
      </c>
    </row>
    <row r="7932" spans="1:13" s="120" customFormat="1" x14ac:dyDescent="0.25">
      <c r="A7932" s="119"/>
      <c r="B7932" s="138" t="str">
        <f t="shared" si="618"/>
        <v>Aerated Static Pile</v>
      </c>
      <c r="C7932" s="138" t="str">
        <f t="shared" si="619"/>
        <v>Base_With Amendment</v>
      </c>
      <c r="D7932" s="138" t="str">
        <f t="shared" si="620"/>
        <v>Base_Low</v>
      </c>
      <c r="E7932" s="138" t="str">
        <f t="shared" si="621"/>
        <v>Base</v>
      </c>
      <c r="F7932" s="138" t="str">
        <f t="shared" si="622"/>
        <v>Upgraded</v>
      </c>
      <c r="G7932" s="153"/>
      <c r="H7932" s="210">
        <v>0.25280000000000002</v>
      </c>
      <c r="I7932" s="160" t="s">
        <v>167</v>
      </c>
      <c r="J7932" s="160">
        <v>7.9170000000000004E-2</v>
      </c>
      <c r="K7932" s="160" t="s">
        <v>14</v>
      </c>
      <c r="L7932" s="154" t="str">
        <f>IF(OpenLCAbasic!K7932="CTUh", "Fill in Manually",IF(OR(K7932="Unit", K7932=""), "", INDEX(LookUps!$E$5:$E$12, MATCH(OpenLCAbasic!K7932,LookUps!$D$5:$D$12,0))))</f>
        <v>Fossil Depletion Potential (FDP) - kg oil eq</v>
      </c>
      <c r="M7932" s="154" t="str">
        <f t="shared" si="623"/>
        <v>Base_Base_Low_Upgraded_Fossil Depletion Potential (FDP) - kg oil eq_Waste Receiving and Holding; wastewater treatment unit; at updated plant - US_Base_With Amendment_Aerated Static Pile</v>
      </c>
    </row>
    <row r="7933" spans="1:13" s="120" customFormat="1" x14ac:dyDescent="0.25">
      <c r="A7933" s="119"/>
      <c r="B7933" s="138" t="str">
        <f t="shared" si="618"/>
        <v>Aerated Static Pile</v>
      </c>
      <c r="C7933" s="138" t="str">
        <f t="shared" si="619"/>
        <v>Base_With Amendment</v>
      </c>
      <c r="D7933" s="138" t="str">
        <f t="shared" si="620"/>
        <v>Base_Low</v>
      </c>
      <c r="E7933" s="138" t="str">
        <f t="shared" si="621"/>
        <v>Base</v>
      </c>
      <c r="F7933" s="138" t="str">
        <f t="shared" si="622"/>
        <v>Upgraded</v>
      </c>
      <c r="G7933" s="153"/>
      <c r="H7933" s="210">
        <v>0.2031</v>
      </c>
      <c r="I7933" s="160" t="s">
        <v>55</v>
      </c>
      <c r="J7933" s="160">
        <v>6.3589999999999994E-2</v>
      </c>
      <c r="K7933" s="160" t="s">
        <v>14</v>
      </c>
      <c r="L7933" s="154" t="str">
        <f>IF(OpenLCAbasic!K7933="CTUh", "Fill in Manually",IF(OR(K7933="Unit", K7933=""), "", INDEX(LookUps!$E$5:$E$12, MATCH(OpenLCAbasic!K7933,LookUps!$D$5:$D$12,0))))</f>
        <v>Fossil Depletion Potential (FDP) - kg oil eq</v>
      </c>
      <c r="M7933" s="154" t="str">
        <f t="shared" si="623"/>
        <v>Base_Base_Low_Upgraded_Fossil Depletion Potential (FDP) - kg oil eq_Aeration Tanks; wastewater treatment unit; at updated plant - US_Base_With Amendment_Aerated Static Pile</v>
      </c>
    </row>
    <row r="7934" spans="1:13" s="120" customFormat="1" x14ac:dyDescent="0.25">
      <c r="A7934" s="119"/>
      <c r="B7934" s="138" t="str">
        <f t="shared" si="618"/>
        <v>Aerated Static Pile</v>
      </c>
      <c r="C7934" s="138" t="str">
        <f t="shared" si="619"/>
        <v>Base_With Amendment</v>
      </c>
      <c r="D7934" s="138" t="str">
        <f t="shared" si="620"/>
        <v>Base_Low</v>
      </c>
      <c r="E7934" s="138" t="str">
        <f t="shared" si="621"/>
        <v>Base</v>
      </c>
      <c r="F7934" s="138" t="str">
        <f t="shared" si="622"/>
        <v>Upgraded</v>
      </c>
      <c r="G7934" s="153"/>
      <c r="H7934" s="210">
        <v>0.19739999999999999</v>
      </c>
      <c r="I7934" s="160" t="s">
        <v>149</v>
      </c>
      <c r="J7934" s="160">
        <v>6.1809999999999997E-2</v>
      </c>
      <c r="K7934" s="160" t="s">
        <v>14</v>
      </c>
      <c r="L7934" s="154" t="str">
        <f>IF(OpenLCAbasic!K7934="CTUh", "Fill in Manually",IF(OR(K7934="Unit", K7934=""), "", INDEX(LookUps!$E$5:$E$12, MATCH(OpenLCAbasic!K7934,LookUps!$D$5:$D$12,0))))</f>
        <v>Fossil Depletion Potential (FDP) - kg oil eq</v>
      </c>
      <c r="M7934" s="154" t="str">
        <f t="shared" si="623"/>
        <v>Base_Base_Low_Upgraded_Fossil Depletion Potential (FDP) - kg oil eq_Anaerobic Digestion; wastewater treatment unit; at updated plant - US_Base_With Amendment_Aerated Static Pile</v>
      </c>
    </row>
    <row r="7935" spans="1:13" s="120" customFormat="1" x14ac:dyDescent="0.25">
      <c r="A7935" s="119"/>
      <c r="B7935" s="138" t="str">
        <f t="shared" si="618"/>
        <v>Aerated Static Pile</v>
      </c>
      <c r="C7935" s="138" t="str">
        <f t="shared" si="619"/>
        <v>Base_With Amendment</v>
      </c>
      <c r="D7935" s="138" t="str">
        <f t="shared" si="620"/>
        <v>Base_Low</v>
      </c>
      <c r="E7935" s="138" t="str">
        <f t="shared" si="621"/>
        <v>Base</v>
      </c>
      <c r="F7935" s="138" t="str">
        <f t="shared" si="622"/>
        <v>Upgraded</v>
      </c>
      <c r="G7935" s="153"/>
      <c r="H7935" s="210">
        <v>7.9799999999999996E-2</v>
      </c>
      <c r="I7935" s="160" t="s">
        <v>435</v>
      </c>
      <c r="J7935" s="160">
        <v>2.4989999999999998E-2</v>
      </c>
      <c r="K7935" s="160" t="s">
        <v>14</v>
      </c>
      <c r="L7935" s="154" t="str">
        <f>IF(OpenLCAbasic!K7935="CTUh", "Fill in Manually",IF(OR(K7935="Unit", K7935=""), "", INDEX(LookUps!$E$5:$E$12, MATCH(OpenLCAbasic!K7935,LookUps!$D$5:$D$12,0))))</f>
        <v>Fossil Depletion Potential (FDP) - kg oil eq</v>
      </c>
      <c r="M7935" s="154" t="str">
        <f t="shared" si="623"/>
        <v>Base_Base_Low_Upgraded_Fossil Depletion Potential (FDP) - kg oil eq_Biosolids composting; aerated static pile; wastewater treatment unit; at updated plant - US_Base_With Amendment_Aerated Static Pile</v>
      </c>
    </row>
    <row r="7936" spans="1:13" s="120" customFormat="1" x14ac:dyDescent="0.25">
      <c r="A7936" s="119"/>
      <c r="B7936" s="138" t="str">
        <f t="shared" si="618"/>
        <v>Aerated Static Pile</v>
      </c>
      <c r="C7936" s="138" t="str">
        <f t="shared" si="619"/>
        <v>Base_With Amendment</v>
      </c>
      <c r="D7936" s="138" t="str">
        <f t="shared" si="620"/>
        <v>Base_Low</v>
      </c>
      <c r="E7936" s="138" t="str">
        <f t="shared" si="621"/>
        <v>Base</v>
      </c>
      <c r="F7936" s="138" t="str">
        <f t="shared" si="622"/>
        <v>Upgraded</v>
      </c>
      <c r="G7936" s="153"/>
      <c r="H7936" s="210">
        <v>6.7199999999999996E-2</v>
      </c>
      <c r="I7936" s="160" t="s">
        <v>54</v>
      </c>
      <c r="J7936" s="160">
        <v>2.1049999999999999E-2</v>
      </c>
      <c r="K7936" s="160" t="s">
        <v>14</v>
      </c>
      <c r="L7936" s="154" t="str">
        <f>IF(OpenLCAbasic!K7936="CTUh", "Fill in Manually",IF(OR(K7936="Unit", K7936=""), "", INDEX(LookUps!$E$5:$E$12, MATCH(OpenLCAbasic!K7936,LookUps!$D$5:$D$12,0))))</f>
        <v>Fossil Depletion Potential (FDP) - kg oil eq</v>
      </c>
      <c r="M7936" s="154" t="str">
        <f t="shared" si="623"/>
        <v>Base_Base_Low_Upgraded_Fossil Depletion Potential (FDP) - kg oil eq_Clear Cove Primary Clarification; wastewater treatment unit; at updated plant - US_Base_With Amendment_Aerated Static Pile</v>
      </c>
    </row>
    <row r="7937" spans="1:13" s="120" customFormat="1" x14ac:dyDescent="0.25">
      <c r="A7937" s="119"/>
      <c r="B7937" s="138" t="str">
        <f t="shared" si="618"/>
        <v>Aerated Static Pile</v>
      </c>
      <c r="C7937" s="138" t="str">
        <f t="shared" si="619"/>
        <v>Base_With Amendment</v>
      </c>
      <c r="D7937" s="138" t="str">
        <f t="shared" si="620"/>
        <v>Base_Low</v>
      </c>
      <c r="E7937" s="138" t="str">
        <f t="shared" si="621"/>
        <v>Base</v>
      </c>
      <c r="F7937" s="138" t="str">
        <f t="shared" si="622"/>
        <v>Upgraded</v>
      </c>
      <c r="G7937" s="153"/>
      <c r="H7937" s="210">
        <v>5.0900000000000001E-2</v>
      </c>
      <c r="I7937" s="160" t="s">
        <v>58</v>
      </c>
      <c r="J7937" s="160">
        <v>1.592E-2</v>
      </c>
      <c r="K7937" s="160" t="s">
        <v>14</v>
      </c>
      <c r="L7937" s="154" t="str">
        <f>IF(OpenLCAbasic!K7937="CTUh", "Fill in Manually",IF(OR(K7937="Unit", K7937=""), "", INDEX(LookUps!$E$5:$E$12, MATCH(OpenLCAbasic!K7937,LookUps!$D$5:$D$12,0))))</f>
        <v>Fossil Depletion Potential (FDP) - kg oil eq</v>
      </c>
      <c r="M7937" s="154" t="str">
        <f t="shared" si="623"/>
        <v>Base_Base_Low_Upgraded_Fossil Depletion Potential (FDP) - kg oil eq_Pre-Anoxic &amp; Swing tank; wastewater treatment unit; at updated plant - US_Base_With Amendment_Aerated Static Pile</v>
      </c>
    </row>
    <row r="7938" spans="1:13" s="120" customFormat="1" x14ac:dyDescent="0.25">
      <c r="A7938" s="119"/>
      <c r="B7938" s="138" t="str">
        <f t="shared" si="618"/>
        <v>Aerated Static Pile</v>
      </c>
      <c r="C7938" s="138" t="str">
        <f t="shared" si="619"/>
        <v>Base_With Amendment</v>
      </c>
      <c r="D7938" s="138" t="str">
        <f t="shared" si="620"/>
        <v>Base_Low</v>
      </c>
      <c r="E7938" s="138" t="str">
        <f t="shared" si="621"/>
        <v>Base</v>
      </c>
      <c r="F7938" s="138" t="str">
        <f t="shared" si="622"/>
        <v>Upgraded</v>
      </c>
      <c r="G7938" s="153"/>
      <c r="H7938" s="210">
        <v>4.82E-2</v>
      </c>
      <c r="I7938" s="160" t="s">
        <v>147</v>
      </c>
      <c r="J7938" s="160">
        <v>1.5089999999999999E-2</v>
      </c>
      <c r="K7938" s="160" t="s">
        <v>14</v>
      </c>
      <c r="L7938" s="154" t="str">
        <f>IF(OpenLCAbasic!K7938="CTUh", "Fill in Manually",IF(OR(K7938="Unit", K7938=""), "", INDEX(LookUps!$E$5:$E$12, MATCH(OpenLCAbasic!K7938,LookUps!$D$5:$D$12,0))))</f>
        <v>Fossil Depletion Potential (FDP) - kg oil eq</v>
      </c>
      <c r="M7938" s="154" t="str">
        <f t="shared" si="623"/>
        <v>Base_Base_Low_Upgraded_Fossil Depletion Potential (FDP) - kg oil eq_Influent Pump Station; wastewater treatment unit; at updated plant - US_Base_With Amendment_Aerated Static Pile</v>
      </c>
    </row>
    <row r="7939" spans="1:13" s="120" customFormat="1" x14ac:dyDescent="0.25">
      <c r="A7939" s="119"/>
      <c r="B7939" s="138" t="str">
        <f t="shared" si="618"/>
        <v>Aerated Static Pile</v>
      </c>
      <c r="C7939" s="138" t="str">
        <f t="shared" si="619"/>
        <v>Base_With Amendment</v>
      </c>
      <c r="D7939" s="138" t="str">
        <f t="shared" si="620"/>
        <v>Base_Low</v>
      </c>
      <c r="E7939" s="138" t="str">
        <f t="shared" si="621"/>
        <v>Base</v>
      </c>
      <c r="F7939" s="138" t="str">
        <f t="shared" si="622"/>
        <v>Upgraded</v>
      </c>
      <c r="G7939" s="153"/>
      <c r="H7939" s="210">
        <v>3.9899999999999998E-2</v>
      </c>
      <c r="I7939" s="160" t="s">
        <v>53</v>
      </c>
      <c r="J7939" s="160">
        <v>1.2489999999999999E-2</v>
      </c>
      <c r="K7939" s="160" t="s">
        <v>14</v>
      </c>
      <c r="L7939" s="154" t="str">
        <f>IF(OpenLCAbasic!K7939="CTUh", "Fill in Manually",IF(OR(K7939="Unit", K7939=""), "", INDEX(LookUps!$E$5:$E$12, MATCH(OpenLCAbasic!K7939,LookUps!$D$5:$D$12,0))))</f>
        <v>Fossil Depletion Potential (FDP) - kg oil eq</v>
      </c>
      <c r="M7939" s="154" t="str">
        <f t="shared" si="623"/>
        <v>Base_Base_Low_Upgraded_Fossil Depletion Potential (FDP) - kg oil eq_Wet Well and Sump Station; wastewater treatment unit; at updated plant - US_Base_With Amendment_Aerated Static Pile</v>
      </c>
    </row>
    <row r="7940" spans="1:13" s="120" customFormat="1" x14ac:dyDescent="0.25">
      <c r="A7940" s="119"/>
      <c r="B7940" s="138" t="str">
        <f t="shared" si="618"/>
        <v>Aerated Static Pile</v>
      </c>
      <c r="C7940" s="138" t="str">
        <f t="shared" si="619"/>
        <v>Base_With Amendment</v>
      </c>
      <c r="D7940" s="138" t="str">
        <f t="shared" si="620"/>
        <v>Base_Low</v>
      </c>
      <c r="E7940" s="138" t="str">
        <f t="shared" si="621"/>
        <v>Base</v>
      </c>
      <c r="F7940" s="138" t="str">
        <f t="shared" si="622"/>
        <v>Upgraded</v>
      </c>
      <c r="G7940" s="153"/>
      <c r="H7940" s="210">
        <v>2.2100000000000002E-2</v>
      </c>
      <c r="I7940" s="160" t="s">
        <v>57</v>
      </c>
      <c r="J7940" s="160">
        <v>6.9199999999999999E-3</v>
      </c>
      <c r="K7940" s="160" t="s">
        <v>14</v>
      </c>
      <c r="L7940" s="154" t="str">
        <f>IF(OpenLCAbasic!K7940="CTUh", "Fill in Manually",IF(OR(K7940="Unit", K7940=""), "", INDEX(LookUps!$E$5:$E$12, MATCH(OpenLCAbasic!K7940,LookUps!$D$5:$D$12,0))))</f>
        <v>Fossil Depletion Potential (FDP) - kg oil eq</v>
      </c>
      <c r="M7940" s="154" t="str">
        <f t="shared" si="623"/>
        <v>Base_Base_Low_Upgraded_Fossil Depletion Potential (FDP) - kg oil eq_Gravity Belt Thickener; wastewater treatment unit; at updated plant - US_Base_With Amendment_Aerated Static Pile</v>
      </c>
    </row>
    <row r="7941" spans="1:13" s="120" customFormat="1" x14ac:dyDescent="0.25">
      <c r="A7941" s="119"/>
      <c r="B7941" s="138" t="str">
        <f t="shared" si="618"/>
        <v>Aerated Static Pile</v>
      </c>
      <c r="C7941" s="138" t="str">
        <f t="shared" si="619"/>
        <v>Base_With Amendment</v>
      </c>
      <c r="D7941" s="138" t="str">
        <f t="shared" si="620"/>
        <v>Base_Low</v>
      </c>
      <c r="E7941" s="138" t="str">
        <f t="shared" si="621"/>
        <v>Base</v>
      </c>
      <c r="F7941" s="138" t="str">
        <f t="shared" si="622"/>
        <v>Upgraded</v>
      </c>
      <c r="G7941" s="153"/>
      <c r="H7941" s="210">
        <v>2.06E-2</v>
      </c>
      <c r="I7941" s="160" t="s">
        <v>60</v>
      </c>
      <c r="J7941" s="160">
        <v>6.45E-3</v>
      </c>
      <c r="K7941" s="160" t="s">
        <v>14</v>
      </c>
      <c r="L7941" s="154" t="str">
        <f>IF(OpenLCAbasic!K7941="CTUh", "Fill in Manually",IF(OR(K7941="Unit", K7941=""), "", INDEX(LookUps!$E$5:$E$12, MATCH(OpenLCAbasic!K7941,LookUps!$D$5:$D$12,0))))</f>
        <v>Fossil Depletion Potential (FDP) - kg oil eq</v>
      </c>
      <c r="M7941" s="154" t="str">
        <f t="shared" si="623"/>
        <v>Base_Base_Low_Upgraded_Fossil Depletion Potential (FDP) - kg oil eq_Belt filter press; wastewater treatment unit; at updated plant - US_Base_With Amendment_Aerated Static Pile</v>
      </c>
    </row>
    <row r="7942" spans="1:13" s="120" customFormat="1" x14ac:dyDescent="0.25">
      <c r="A7942" s="119"/>
      <c r="B7942" s="138" t="str">
        <f t="shared" si="618"/>
        <v>Aerated Static Pile</v>
      </c>
      <c r="C7942" s="138" t="str">
        <f t="shared" si="619"/>
        <v>Base_With Amendment</v>
      </c>
      <c r="D7942" s="138" t="str">
        <f t="shared" si="620"/>
        <v>Base_Low</v>
      </c>
      <c r="E7942" s="138" t="str">
        <f t="shared" si="621"/>
        <v>Base</v>
      </c>
      <c r="F7942" s="138" t="str">
        <f t="shared" si="622"/>
        <v>Upgraded</v>
      </c>
      <c r="G7942" s="153"/>
      <c r="H7942" s="210">
        <v>1.44E-2</v>
      </c>
      <c r="I7942" s="160" t="s">
        <v>128</v>
      </c>
      <c r="J7942" s="160">
        <v>4.4999999999999997E-3</v>
      </c>
      <c r="K7942" s="160" t="s">
        <v>14</v>
      </c>
      <c r="L7942" s="154" t="str">
        <f>IF(OpenLCAbasic!K7942="CTUh", "Fill in Manually",IF(OR(K7942="Unit", K7942=""), "", INDEX(LookUps!$E$5:$E$12, MATCH(OpenLCAbasic!K7942,LookUps!$D$5:$D$12,0))))</f>
        <v>Fossil Depletion Potential (FDP) - kg oil eq</v>
      </c>
      <c r="M7942" s="154" t="str">
        <f t="shared" si="623"/>
        <v>Base_Base_Low_Upgraded_Fossil Depletion Potential (FDP) - kg oil eq_Wastewater collection; operation and infrastructure; m3 wastewater_Base_With Amendment_Aerated Static Pile</v>
      </c>
    </row>
    <row r="7943" spans="1:13" s="120" customFormat="1" x14ac:dyDescent="0.25">
      <c r="A7943" s="119"/>
      <c r="B7943" s="138" t="str">
        <f t="shared" si="618"/>
        <v>Aerated Static Pile</v>
      </c>
      <c r="C7943" s="138" t="str">
        <f t="shared" si="619"/>
        <v>Base_With Amendment</v>
      </c>
      <c r="D7943" s="138" t="str">
        <f t="shared" si="620"/>
        <v>Base_Low</v>
      </c>
      <c r="E7943" s="138" t="str">
        <f t="shared" si="621"/>
        <v>Base</v>
      </c>
      <c r="F7943" s="138" t="str">
        <f t="shared" si="622"/>
        <v>Upgraded</v>
      </c>
      <c r="G7943" s="153"/>
      <c r="H7943" s="210">
        <v>8.8999999999999999E-3</v>
      </c>
      <c r="I7943" s="160" t="s">
        <v>148</v>
      </c>
      <c r="J7943" s="160">
        <v>2.8E-3</v>
      </c>
      <c r="K7943" s="160" t="s">
        <v>14</v>
      </c>
      <c r="L7943" s="154" t="str">
        <f>IF(OpenLCAbasic!K7943="CTUh", "Fill in Manually",IF(OR(K7943="Unit", K7943=""), "", INDEX(LookUps!$E$5:$E$12, MATCH(OpenLCAbasic!K7943,LookUps!$D$5:$D$12,0))))</f>
        <v>Fossil Depletion Potential (FDP) - kg oil eq</v>
      </c>
      <c r="M7943" s="154" t="str">
        <f t="shared" si="623"/>
        <v>Base_Base_Low_Upgraded_Fossil Depletion Potential (FDP) - kg oil eq_Control Building; at upgraded wastewater treatment plant - US_Base_With Amendment_Aerated Static Pile</v>
      </c>
    </row>
    <row r="7944" spans="1:13" s="120" customFormat="1" x14ac:dyDescent="0.25">
      <c r="A7944" s="119"/>
      <c r="B7944" s="138" t="str">
        <f t="shared" si="618"/>
        <v>Aerated Static Pile</v>
      </c>
      <c r="C7944" s="138" t="str">
        <f t="shared" si="619"/>
        <v>Base_With Amendment</v>
      </c>
      <c r="D7944" s="138" t="str">
        <f t="shared" si="620"/>
        <v>Base_Low</v>
      </c>
      <c r="E7944" s="138" t="str">
        <f t="shared" si="621"/>
        <v>Base</v>
      </c>
      <c r="F7944" s="138" t="str">
        <f t="shared" si="622"/>
        <v>Upgraded</v>
      </c>
      <c r="G7944" s="153"/>
      <c r="H7944" s="210">
        <v>7.4999999999999997E-3</v>
      </c>
      <c r="I7944" s="160" t="s">
        <v>48</v>
      </c>
      <c r="J7944" s="160">
        <v>2.3600000000000001E-3</v>
      </c>
      <c r="K7944" s="160" t="s">
        <v>14</v>
      </c>
      <c r="L7944" s="154" t="str">
        <f>IF(OpenLCAbasic!K7944="CTUh", "Fill in Manually",IF(OR(K7944="Unit", K7944=""), "", INDEX(LookUps!$E$5:$E$12, MATCH(OpenLCAbasic!K7944,LookUps!$D$5:$D$12,0))))</f>
        <v>Fossil Depletion Potential (FDP) - kg oil eq</v>
      </c>
      <c r="M7944" s="154" t="str">
        <f t="shared" si="623"/>
        <v>Base_Base_Low_Upgraded_Fossil Depletion Potential (FDP) - kg oil eq_Effluent release; wastewater treatment unit; at surface water; m3 wastewater - US_Base_With Amendment_Aerated Static Pile</v>
      </c>
    </row>
    <row r="7945" spans="1:13" s="120" customFormat="1" x14ac:dyDescent="0.25">
      <c r="A7945" s="119"/>
      <c r="B7945" s="138" t="str">
        <f t="shared" ref="B7945:B8008" si="624">IF(F7945="Legacy","n.a.",IF(F7945="","","Aerated Static Pile"))</f>
        <v>Aerated Static Pile</v>
      </c>
      <c r="C7945" s="138" t="str">
        <f t="shared" ref="C7945:C8008" si="625">IF(ISNUMBER($J7945),"Base_With Amendment","")</f>
        <v>Base_With Amendment</v>
      </c>
      <c r="D7945" s="138" t="str">
        <f t="shared" ref="D7945:D8008" si="626">IF(ISNUMBER($J7945),"Base_Low","")</f>
        <v>Base_Low</v>
      </c>
      <c r="E7945" s="138" t="str">
        <f t="shared" ref="E7945:E8008" si="627">IF(ISNUMBER($J7945),"Base","")</f>
        <v>Base</v>
      </c>
      <c r="F7945" s="138" t="str">
        <f t="shared" ref="F7945:F8008" si="628">IF(ISNUMBER(J7945),"Upgraded","")</f>
        <v>Upgraded</v>
      </c>
      <c r="G7945" s="153"/>
      <c r="H7945" s="210">
        <v>6.1000000000000004E-3</v>
      </c>
      <c r="I7945" s="160" t="s">
        <v>59</v>
      </c>
      <c r="J7945" s="160">
        <v>1.92E-3</v>
      </c>
      <c r="K7945" s="160" t="s">
        <v>14</v>
      </c>
      <c r="L7945" s="154" t="str">
        <f>IF(OpenLCAbasic!K7945="CTUh", "Fill in Manually",IF(OR(K7945="Unit", K7945=""), "", INDEX(LookUps!$E$5:$E$12, MATCH(OpenLCAbasic!K7945,LookUps!$D$5:$D$12,0))))</f>
        <v>Fossil Depletion Potential (FDP) - kg oil eq</v>
      </c>
      <c r="M7945" s="154" t="str">
        <f t="shared" si="623"/>
        <v>Base_Base_Low_Upgraded_Fossil Depletion Potential (FDP) - kg oil eq_Blend Tank; wastewater treatment unit; at updated plant - US_Base_With Amendment_Aerated Static Pile</v>
      </c>
    </row>
    <row r="7946" spans="1:13" s="120" customFormat="1" x14ac:dyDescent="0.25">
      <c r="A7946" s="119"/>
      <c r="B7946" s="138" t="str">
        <f t="shared" si="624"/>
        <v>Aerated Static Pile</v>
      </c>
      <c r="C7946" s="138" t="str">
        <f t="shared" si="625"/>
        <v>Base_With Amendment</v>
      </c>
      <c r="D7946" s="138" t="str">
        <f t="shared" si="626"/>
        <v>Base_Low</v>
      </c>
      <c r="E7946" s="138" t="str">
        <f t="shared" si="627"/>
        <v>Base</v>
      </c>
      <c r="F7946" s="138" t="str">
        <f t="shared" si="628"/>
        <v>Upgraded</v>
      </c>
      <c r="G7946" s="153"/>
      <c r="H7946" s="210">
        <v>2.8999999999999998E-3</v>
      </c>
      <c r="I7946" s="160" t="s">
        <v>168</v>
      </c>
      <c r="J7946" s="160">
        <v>9.1E-4</v>
      </c>
      <c r="K7946" s="160" t="s">
        <v>14</v>
      </c>
      <c r="L7946" s="154" t="str">
        <f>IF(OpenLCAbasic!K7946="CTUh", "Fill in Manually",IF(OR(K7946="Unit", K7946=""), "", INDEX(LookUps!$E$5:$E$12, MATCH(OpenLCAbasic!K7946,LookUps!$D$5:$D$12,0))))</f>
        <v>Fossil Depletion Potential (FDP) - kg oil eq</v>
      </c>
      <c r="M7946" s="154" t="str">
        <f t="shared" si="623"/>
        <v>Base_Base_Low_Upgraded_Fossil Depletion Potential (FDP) - kg oil eq_ClearCove SCP; wastewater treatment unit; at updated plant - US_Base_With Amendment_Aerated Static Pile</v>
      </c>
    </row>
    <row r="7947" spans="1:13" s="120" customFormat="1" x14ac:dyDescent="0.25">
      <c r="A7947" s="119"/>
      <c r="B7947" s="138" t="str">
        <f t="shared" si="624"/>
        <v>Aerated Static Pile</v>
      </c>
      <c r="C7947" s="138" t="str">
        <f t="shared" si="625"/>
        <v>Base_With Amendment</v>
      </c>
      <c r="D7947" s="138" t="str">
        <f t="shared" si="626"/>
        <v>Base_Low</v>
      </c>
      <c r="E7947" s="138" t="str">
        <f t="shared" si="627"/>
        <v>Base</v>
      </c>
      <c r="F7947" s="138" t="str">
        <f t="shared" si="628"/>
        <v>Upgraded</v>
      </c>
      <c r="G7947" s="153"/>
      <c r="H7947" s="210">
        <v>-2.1899999999999999E-2</v>
      </c>
      <c r="I7947" s="160" t="s">
        <v>62</v>
      </c>
      <c r="J7947" s="160">
        <v>-6.8500000000000002E-3</v>
      </c>
      <c r="K7947" s="160" t="s">
        <v>14</v>
      </c>
      <c r="L7947" s="154" t="str">
        <f>IF(OpenLCAbasic!K7947="CTUh", "Fill in Manually",IF(OR(K7947="Unit", K7947=""), "", INDEX(LookUps!$E$5:$E$12, MATCH(OpenLCAbasic!K7947,LookUps!$D$5:$D$12,0))))</f>
        <v>Fossil Depletion Potential (FDP) - kg oil eq</v>
      </c>
      <c r="M7947" s="154" t="str">
        <f t="shared" si="623"/>
        <v>Base_Base_Low_Upgraded_Fossil Depletion Potential (FDP) - kg oil eq_Land application of compost; wastewater treatment unit; at updated plant - US_Base_With Amendment_Aerated Static Pile</v>
      </c>
    </row>
    <row r="7948" spans="1:13" s="120" customFormat="1" x14ac:dyDescent="0.25">
      <c r="A7948" s="119"/>
      <c r="B7948" s="138" t="str">
        <f t="shared" si="624"/>
        <v/>
      </c>
      <c r="C7948" s="138" t="str">
        <f t="shared" si="625"/>
        <v/>
      </c>
      <c r="D7948" s="138" t="str">
        <f t="shared" si="626"/>
        <v/>
      </c>
      <c r="E7948" s="138" t="str">
        <f t="shared" si="627"/>
        <v/>
      </c>
      <c r="F7948" s="138" t="str">
        <f t="shared" si="628"/>
        <v/>
      </c>
      <c r="G7948" s="153" t="s">
        <v>51</v>
      </c>
      <c r="H7948" s="160"/>
      <c r="I7948" s="160" t="s">
        <v>47</v>
      </c>
      <c r="J7948" s="160" t="s">
        <v>52</v>
      </c>
      <c r="K7948" s="160" t="s">
        <v>27</v>
      </c>
      <c r="L7948" s="154" t="str">
        <f>IF(OpenLCAbasic!K7948="CTUh", "Fill in Manually",IF(OR(K7948="Unit", K7948=""), "", INDEX(LookUps!$E$5:$E$12, MATCH(OpenLCAbasic!K7948,LookUps!$D$5:$D$12,0))))</f>
        <v/>
      </c>
      <c r="M7948" s="154" t="str">
        <f t="shared" si="623"/>
        <v>____Process__</v>
      </c>
    </row>
    <row r="7949" spans="1:13" s="120" customFormat="1" x14ac:dyDescent="0.25">
      <c r="A7949" s="119"/>
      <c r="B7949" s="138" t="str">
        <f t="shared" si="624"/>
        <v>Aerated Static Pile</v>
      </c>
      <c r="C7949" s="138" t="str">
        <f t="shared" si="625"/>
        <v>Base_With Amendment</v>
      </c>
      <c r="D7949" s="138" t="str">
        <f t="shared" si="626"/>
        <v>Base_Low</v>
      </c>
      <c r="E7949" s="138" t="str">
        <f t="shared" si="627"/>
        <v>Base</v>
      </c>
      <c r="F7949" s="138" t="str">
        <f t="shared" si="628"/>
        <v>Upgraded</v>
      </c>
      <c r="G7949" s="153"/>
      <c r="H7949" s="210">
        <v>0.57509999999999994</v>
      </c>
      <c r="I7949" s="160" t="s">
        <v>435</v>
      </c>
      <c r="J7949" s="160">
        <v>0.56713999999999998</v>
      </c>
      <c r="K7949" s="160" t="s">
        <v>23</v>
      </c>
      <c r="L7949" s="154" t="str">
        <f>IF(OpenLCAbasic!K7949="CTUh", "Fill in Manually",IF(OR(K7949="Unit", K7949=""), "", INDEX(LookUps!$E$5:$E$12, MATCH(OpenLCAbasic!K7949,LookUps!$D$5:$D$12,0))))</f>
        <v>Global Warming Potential (GWP) - kg CO2 eq</v>
      </c>
      <c r="M7949" s="154" t="str">
        <f t="shared" si="623"/>
        <v>Base_Base_Low_Upgraded_Global Warming Potential (GWP) - kg CO2 eq_Biosolids composting; aerated static pile; wastewater treatment unit; at updated plant - US_Base_With Amendment_Aerated Static Pile</v>
      </c>
    </row>
    <row r="7950" spans="1:13" s="120" customFormat="1" x14ac:dyDescent="0.25">
      <c r="A7950" s="119"/>
      <c r="B7950" s="138" t="str">
        <f t="shared" si="624"/>
        <v>Aerated Static Pile</v>
      </c>
      <c r="C7950" s="138" t="str">
        <f t="shared" si="625"/>
        <v>Base_With Amendment</v>
      </c>
      <c r="D7950" s="138" t="str">
        <f t="shared" si="626"/>
        <v>Base_Low</v>
      </c>
      <c r="E7950" s="138" t="str">
        <f t="shared" si="627"/>
        <v>Base</v>
      </c>
      <c r="F7950" s="138" t="str">
        <f t="shared" si="628"/>
        <v>Upgraded</v>
      </c>
      <c r="G7950" s="153"/>
      <c r="H7950" s="210">
        <v>0.2462</v>
      </c>
      <c r="I7950" s="160" t="s">
        <v>58</v>
      </c>
      <c r="J7950" s="160">
        <v>0.24279999999999999</v>
      </c>
      <c r="K7950" s="160" t="s">
        <v>23</v>
      </c>
      <c r="L7950" s="154" t="str">
        <f>IF(OpenLCAbasic!K7950="CTUh", "Fill in Manually",IF(OR(K7950="Unit", K7950=""), "", INDEX(LookUps!$E$5:$E$12, MATCH(OpenLCAbasic!K7950,LookUps!$D$5:$D$12,0))))</f>
        <v>Global Warming Potential (GWP) - kg CO2 eq</v>
      </c>
      <c r="M7950" s="154" t="str">
        <f t="shared" si="623"/>
        <v>Base_Base_Low_Upgraded_Global Warming Potential (GWP) - kg CO2 eq_Pre-Anoxic &amp; Swing tank; wastewater treatment unit; at updated plant - US_Base_With Amendment_Aerated Static Pile</v>
      </c>
    </row>
    <row r="7951" spans="1:13" s="120" customFormat="1" x14ac:dyDescent="0.25">
      <c r="A7951" s="119"/>
      <c r="B7951" s="138" t="str">
        <f t="shared" si="624"/>
        <v>Aerated Static Pile</v>
      </c>
      <c r="C7951" s="138" t="str">
        <f t="shared" si="625"/>
        <v>Base_With Amendment</v>
      </c>
      <c r="D7951" s="138" t="str">
        <f t="shared" si="626"/>
        <v>Base_Low</v>
      </c>
      <c r="E7951" s="138" t="str">
        <f t="shared" si="627"/>
        <v>Base</v>
      </c>
      <c r="F7951" s="138" t="str">
        <f t="shared" si="628"/>
        <v>Upgraded</v>
      </c>
      <c r="G7951" s="153"/>
      <c r="H7951" s="210">
        <v>0.1779</v>
      </c>
      <c r="I7951" s="160" t="s">
        <v>149</v>
      </c>
      <c r="J7951" s="160">
        <v>0.17544999999999999</v>
      </c>
      <c r="K7951" s="160" t="s">
        <v>23</v>
      </c>
      <c r="L7951" s="154" t="str">
        <f>IF(OpenLCAbasic!K7951="CTUh", "Fill in Manually",IF(OR(K7951="Unit", K7951=""), "", INDEX(LookUps!$E$5:$E$12, MATCH(OpenLCAbasic!K7951,LookUps!$D$5:$D$12,0))))</f>
        <v>Global Warming Potential (GWP) - kg CO2 eq</v>
      </c>
      <c r="M7951" s="154" t="str">
        <f t="shared" si="623"/>
        <v>Base_Base_Low_Upgraded_Global Warming Potential (GWP) - kg CO2 eq_Anaerobic Digestion; wastewater treatment unit; at updated plant - US_Base_With Amendment_Aerated Static Pile</v>
      </c>
    </row>
    <row r="7952" spans="1:13" s="120" customFormat="1" x14ac:dyDescent="0.25">
      <c r="A7952" s="119"/>
      <c r="B7952" s="138" t="str">
        <f t="shared" si="624"/>
        <v>Aerated Static Pile</v>
      </c>
      <c r="C7952" s="138" t="str">
        <f t="shared" si="625"/>
        <v>Base_With Amendment</v>
      </c>
      <c r="D7952" s="138" t="str">
        <f t="shared" si="626"/>
        <v>Base_Low</v>
      </c>
      <c r="E7952" s="138" t="str">
        <f t="shared" si="627"/>
        <v>Base</v>
      </c>
      <c r="F7952" s="138" t="str">
        <f t="shared" si="628"/>
        <v>Upgraded</v>
      </c>
      <c r="G7952" s="153"/>
      <c r="H7952" s="210">
        <v>0.1706</v>
      </c>
      <c r="I7952" s="160" t="s">
        <v>55</v>
      </c>
      <c r="J7952" s="160">
        <v>0.16822000000000001</v>
      </c>
      <c r="K7952" s="160" t="s">
        <v>23</v>
      </c>
      <c r="L7952" s="154" t="str">
        <f>IF(OpenLCAbasic!K7952="CTUh", "Fill in Manually",IF(OR(K7952="Unit", K7952=""), "", INDEX(LookUps!$E$5:$E$12, MATCH(OpenLCAbasic!K7952,LookUps!$D$5:$D$12,0))))</f>
        <v>Global Warming Potential (GWP) - kg CO2 eq</v>
      </c>
      <c r="M7952" s="154" t="str">
        <f t="shared" si="623"/>
        <v>Base_Base_Low_Upgraded_Global Warming Potential (GWP) - kg CO2 eq_Aeration Tanks; wastewater treatment unit; at updated plant - US_Base_With Amendment_Aerated Static Pile</v>
      </c>
    </row>
    <row r="7953" spans="1:13" s="120" customFormat="1" x14ac:dyDescent="0.25">
      <c r="A7953" s="119"/>
      <c r="B7953" s="138" t="str">
        <f t="shared" si="624"/>
        <v>Aerated Static Pile</v>
      </c>
      <c r="C7953" s="138" t="str">
        <f t="shared" si="625"/>
        <v>Base_With Amendment</v>
      </c>
      <c r="D7953" s="138" t="str">
        <f t="shared" si="626"/>
        <v>Base_Low</v>
      </c>
      <c r="E7953" s="138" t="str">
        <f t="shared" si="627"/>
        <v>Base</v>
      </c>
      <c r="F7953" s="138" t="str">
        <f t="shared" si="628"/>
        <v>Upgraded</v>
      </c>
      <c r="G7953" s="153"/>
      <c r="H7953" s="210">
        <v>0.1038</v>
      </c>
      <c r="I7953" s="160" t="s">
        <v>167</v>
      </c>
      <c r="J7953" s="160">
        <v>0.10241</v>
      </c>
      <c r="K7953" s="160" t="s">
        <v>23</v>
      </c>
      <c r="L7953" s="154" t="str">
        <f>IF(OpenLCAbasic!K7953="CTUh", "Fill in Manually",IF(OR(K7953="Unit", K7953=""), "", INDEX(LookUps!$E$5:$E$12, MATCH(OpenLCAbasic!K7953,LookUps!$D$5:$D$12,0))))</f>
        <v>Global Warming Potential (GWP) - kg CO2 eq</v>
      </c>
      <c r="M7953" s="154" t="str">
        <f t="shared" si="623"/>
        <v>Base_Base_Low_Upgraded_Global Warming Potential (GWP) - kg CO2 eq_Waste Receiving and Holding; wastewater treatment unit; at updated plant - US_Base_With Amendment_Aerated Static Pile</v>
      </c>
    </row>
    <row r="7954" spans="1:13" s="120" customFormat="1" x14ac:dyDescent="0.25">
      <c r="A7954" s="119"/>
      <c r="B7954" s="138" t="str">
        <f t="shared" si="624"/>
        <v>Aerated Static Pile</v>
      </c>
      <c r="C7954" s="138" t="str">
        <f t="shared" si="625"/>
        <v>Base_With Amendment</v>
      </c>
      <c r="D7954" s="138" t="str">
        <f t="shared" si="626"/>
        <v>Base_Low</v>
      </c>
      <c r="E7954" s="138" t="str">
        <f t="shared" si="627"/>
        <v>Base</v>
      </c>
      <c r="F7954" s="138" t="str">
        <f t="shared" si="628"/>
        <v>Upgraded</v>
      </c>
      <c r="G7954" s="153"/>
      <c r="H7954" s="210">
        <v>5.79E-2</v>
      </c>
      <c r="I7954" s="160" t="s">
        <v>54</v>
      </c>
      <c r="J7954" s="160">
        <v>5.7079999999999999E-2</v>
      </c>
      <c r="K7954" s="160" t="s">
        <v>23</v>
      </c>
      <c r="L7954" s="154" t="str">
        <f>IF(OpenLCAbasic!K7954="CTUh", "Fill in Manually",IF(OR(K7954="Unit", K7954=""), "", INDEX(LookUps!$E$5:$E$12, MATCH(OpenLCAbasic!K7954,LookUps!$D$5:$D$12,0))))</f>
        <v>Global Warming Potential (GWP) - kg CO2 eq</v>
      </c>
      <c r="M7954" s="154" t="str">
        <f t="shared" si="623"/>
        <v>Base_Base_Low_Upgraded_Global Warming Potential (GWP) - kg CO2 eq_Clear Cove Primary Clarification; wastewater treatment unit; at updated plant - US_Base_With Amendment_Aerated Static Pile</v>
      </c>
    </row>
    <row r="7955" spans="1:13" s="120" customFormat="1" x14ac:dyDescent="0.25">
      <c r="A7955" s="119"/>
      <c r="B7955" s="138" t="str">
        <f t="shared" si="624"/>
        <v>Aerated Static Pile</v>
      </c>
      <c r="C7955" s="138" t="str">
        <f t="shared" si="625"/>
        <v>Base_With Amendment</v>
      </c>
      <c r="D7955" s="138" t="str">
        <f t="shared" si="626"/>
        <v>Base_Low</v>
      </c>
      <c r="E7955" s="138" t="str">
        <f t="shared" si="627"/>
        <v>Base</v>
      </c>
      <c r="F7955" s="138" t="str">
        <f t="shared" si="628"/>
        <v>Upgraded</v>
      </c>
      <c r="G7955" s="153"/>
      <c r="H7955" s="210">
        <v>5.3400000000000003E-2</v>
      </c>
      <c r="I7955" s="160" t="s">
        <v>48</v>
      </c>
      <c r="J7955" s="160">
        <v>5.2639999999999999E-2</v>
      </c>
      <c r="K7955" s="160" t="s">
        <v>23</v>
      </c>
      <c r="L7955" s="154" t="str">
        <f>IF(OpenLCAbasic!K7955="CTUh", "Fill in Manually",IF(OR(K7955="Unit", K7955=""), "", INDEX(LookUps!$E$5:$E$12, MATCH(OpenLCAbasic!K7955,LookUps!$D$5:$D$12,0))))</f>
        <v>Global Warming Potential (GWP) - kg CO2 eq</v>
      </c>
      <c r="M7955" s="154" t="str">
        <f t="shared" si="623"/>
        <v>Base_Base_Low_Upgraded_Global Warming Potential (GWP) - kg CO2 eq_Effluent release; wastewater treatment unit; at surface water; m3 wastewater - US_Base_With Amendment_Aerated Static Pile</v>
      </c>
    </row>
    <row r="7956" spans="1:13" s="120" customFormat="1" x14ac:dyDescent="0.25">
      <c r="A7956" s="119"/>
      <c r="B7956" s="138" t="str">
        <f t="shared" si="624"/>
        <v>Aerated Static Pile</v>
      </c>
      <c r="C7956" s="138" t="str">
        <f t="shared" si="625"/>
        <v>Base_With Amendment</v>
      </c>
      <c r="D7956" s="138" t="str">
        <f t="shared" si="626"/>
        <v>Base_Low</v>
      </c>
      <c r="E7956" s="138" t="str">
        <f t="shared" si="627"/>
        <v>Base</v>
      </c>
      <c r="F7956" s="138" t="str">
        <f t="shared" si="628"/>
        <v>Upgraded</v>
      </c>
      <c r="G7956" s="153"/>
      <c r="H7956" s="210">
        <v>5.1200000000000002E-2</v>
      </c>
      <c r="I7956" s="160" t="s">
        <v>147</v>
      </c>
      <c r="J7956" s="160">
        <v>5.0500000000000003E-2</v>
      </c>
      <c r="K7956" s="160" t="s">
        <v>23</v>
      </c>
      <c r="L7956" s="154" t="str">
        <f>IF(OpenLCAbasic!K7956="CTUh", "Fill in Manually",IF(OR(K7956="Unit", K7956=""), "", INDEX(LookUps!$E$5:$E$12, MATCH(OpenLCAbasic!K7956,LookUps!$D$5:$D$12,0))))</f>
        <v>Global Warming Potential (GWP) - kg CO2 eq</v>
      </c>
      <c r="M7956" s="154" t="str">
        <f t="shared" si="623"/>
        <v>Base_Base_Low_Upgraded_Global Warming Potential (GWP) - kg CO2 eq_Influent Pump Station; wastewater treatment unit; at updated plant - US_Base_With Amendment_Aerated Static Pile</v>
      </c>
    </row>
    <row r="7957" spans="1:13" s="120" customFormat="1" x14ac:dyDescent="0.25">
      <c r="A7957" s="119"/>
      <c r="B7957" s="138" t="str">
        <f t="shared" si="624"/>
        <v>Aerated Static Pile</v>
      </c>
      <c r="C7957" s="138" t="str">
        <f t="shared" si="625"/>
        <v>Base_With Amendment</v>
      </c>
      <c r="D7957" s="138" t="str">
        <f t="shared" si="626"/>
        <v>Base_Low</v>
      </c>
      <c r="E7957" s="138" t="str">
        <f t="shared" si="627"/>
        <v>Base</v>
      </c>
      <c r="F7957" s="138" t="str">
        <f t="shared" si="628"/>
        <v>Upgraded</v>
      </c>
      <c r="G7957" s="153"/>
      <c r="H7957" s="210">
        <v>3.3700000000000001E-2</v>
      </c>
      <c r="I7957" s="160" t="s">
        <v>53</v>
      </c>
      <c r="J7957" s="160">
        <v>3.3259999999999998E-2</v>
      </c>
      <c r="K7957" s="160" t="s">
        <v>23</v>
      </c>
      <c r="L7957" s="154" t="str">
        <f>IF(OpenLCAbasic!K7957="CTUh", "Fill in Manually",IF(OR(K7957="Unit", K7957=""), "", INDEX(LookUps!$E$5:$E$12, MATCH(OpenLCAbasic!K7957,LookUps!$D$5:$D$12,0))))</f>
        <v>Global Warming Potential (GWP) - kg CO2 eq</v>
      </c>
      <c r="M7957" s="154" t="str">
        <f t="shared" si="623"/>
        <v>Base_Base_Low_Upgraded_Global Warming Potential (GWP) - kg CO2 eq_Wet Well and Sump Station; wastewater treatment unit; at updated plant - US_Base_With Amendment_Aerated Static Pile</v>
      </c>
    </row>
    <row r="7958" spans="1:13" s="120" customFormat="1" x14ac:dyDescent="0.25">
      <c r="A7958" s="119"/>
      <c r="B7958" s="138" t="str">
        <f t="shared" si="624"/>
        <v>Aerated Static Pile</v>
      </c>
      <c r="C7958" s="138" t="str">
        <f t="shared" si="625"/>
        <v>Base_With Amendment</v>
      </c>
      <c r="D7958" s="138" t="str">
        <f t="shared" si="626"/>
        <v>Base_Low</v>
      </c>
      <c r="E7958" s="138" t="str">
        <f t="shared" si="627"/>
        <v>Base</v>
      </c>
      <c r="F7958" s="138" t="str">
        <f t="shared" si="628"/>
        <v>Upgraded</v>
      </c>
      <c r="G7958" s="153"/>
      <c r="H7958" s="210">
        <v>1.4800000000000001E-2</v>
      </c>
      <c r="I7958" s="160" t="s">
        <v>57</v>
      </c>
      <c r="J7958" s="160">
        <v>1.455E-2</v>
      </c>
      <c r="K7958" s="160" t="s">
        <v>23</v>
      </c>
      <c r="L7958" s="154" t="str">
        <f>IF(OpenLCAbasic!K7958="CTUh", "Fill in Manually",IF(OR(K7958="Unit", K7958=""), "", INDEX(LookUps!$E$5:$E$12, MATCH(OpenLCAbasic!K7958,LookUps!$D$5:$D$12,0))))</f>
        <v>Global Warming Potential (GWP) - kg CO2 eq</v>
      </c>
      <c r="M7958" s="154" t="str">
        <f t="shared" si="623"/>
        <v>Base_Base_Low_Upgraded_Global Warming Potential (GWP) - kg CO2 eq_Gravity Belt Thickener; wastewater treatment unit; at updated plant - US_Base_With Amendment_Aerated Static Pile</v>
      </c>
    </row>
    <row r="7959" spans="1:13" s="120" customFormat="1" x14ac:dyDescent="0.25">
      <c r="A7959" s="119"/>
      <c r="B7959" s="138" t="str">
        <f t="shared" si="624"/>
        <v>Aerated Static Pile</v>
      </c>
      <c r="C7959" s="138" t="str">
        <f t="shared" si="625"/>
        <v>Base_With Amendment</v>
      </c>
      <c r="D7959" s="138" t="str">
        <f t="shared" si="626"/>
        <v>Base_Low</v>
      </c>
      <c r="E7959" s="138" t="str">
        <f t="shared" si="627"/>
        <v>Base</v>
      </c>
      <c r="F7959" s="138" t="str">
        <f t="shared" si="628"/>
        <v>Upgraded</v>
      </c>
      <c r="G7959" s="153"/>
      <c r="H7959" s="210">
        <v>1.44E-2</v>
      </c>
      <c r="I7959" s="160" t="s">
        <v>60</v>
      </c>
      <c r="J7959" s="160">
        <v>1.418E-2</v>
      </c>
      <c r="K7959" s="160" t="s">
        <v>23</v>
      </c>
      <c r="L7959" s="154" t="str">
        <f>IF(OpenLCAbasic!K7959="CTUh", "Fill in Manually",IF(OR(K7959="Unit", K7959=""), "", INDEX(LookUps!$E$5:$E$12, MATCH(OpenLCAbasic!K7959,LookUps!$D$5:$D$12,0))))</f>
        <v>Global Warming Potential (GWP) - kg CO2 eq</v>
      </c>
      <c r="M7959" s="154" t="str">
        <f t="shared" si="623"/>
        <v>Base_Base_Low_Upgraded_Global Warming Potential (GWP) - kg CO2 eq_Belt filter press; wastewater treatment unit; at updated plant - US_Base_With Amendment_Aerated Static Pile</v>
      </c>
    </row>
    <row r="7960" spans="1:13" s="120" customFormat="1" x14ac:dyDescent="0.25">
      <c r="A7960" s="119"/>
      <c r="B7960" s="138" t="str">
        <f t="shared" si="624"/>
        <v>Aerated Static Pile</v>
      </c>
      <c r="C7960" s="138" t="str">
        <f t="shared" si="625"/>
        <v>Base_With Amendment</v>
      </c>
      <c r="D7960" s="138" t="str">
        <f t="shared" si="626"/>
        <v>Base_Low</v>
      </c>
      <c r="E7960" s="138" t="str">
        <f t="shared" si="627"/>
        <v>Base</v>
      </c>
      <c r="F7960" s="138" t="str">
        <f t="shared" si="628"/>
        <v>Upgraded</v>
      </c>
      <c r="G7960" s="153"/>
      <c r="H7960" s="210">
        <v>1.37E-2</v>
      </c>
      <c r="I7960" s="160" t="s">
        <v>128</v>
      </c>
      <c r="J7960" s="160">
        <v>1.3509999999999999E-2</v>
      </c>
      <c r="K7960" s="160" t="s">
        <v>23</v>
      </c>
      <c r="L7960" s="154" t="str">
        <f>IF(OpenLCAbasic!K7960="CTUh", "Fill in Manually",IF(OR(K7960="Unit", K7960=""), "", INDEX(LookUps!$E$5:$E$12, MATCH(OpenLCAbasic!K7960,LookUps!$D$5:$D$12,0))))</f>
        <v>Global Warming Potential (GWP) - kg CO2 eq</v>
      </c>
      <c r="M7960" s="154" t="str">
        <f t="shared" si="623"/>
        <v>Base_Base_Low_Upgraded_Global Warming Potential (GWP) - kg CO2 eq_Wastewater collection; operation and infrastructure; m3 wastewater_Base_With Amendment_Aerated Static Pile</v>
      </c>
    </row>
    <row r="7961" spans="1:13" s="120" customFormat="1" x14ac:dyDescent="0.25">
      <c r="A7961" s="119"/>
      <c r="B7961" s="138" t="str">
        <f t="shared" si="624"/>
        <v>Aerated Static Pile</v>
      </c>
      <c r="C7961" s="138" t="str">
        <f t="shared" si="625"/>
        <v>Base_With Amendment</v>
      </c>
      <c r="D7961" s="138" t="str">
        <f t="shared" si="626"/>
        <v>Base_Low</v>
      </c>
      <c r="E7961" s="138" t="str">
        <f t="shared" si="627"/>
        <v>Base</v>
      </c>
      <c r="F7961" s="138" t="str">
        <f t="shared" si="628"/>
        <v>Upgraded</v>
      </c>
      <c r="G7961" s="153"/>
      <c r="H7961" s="210">
        <v>8.3999999999999995E-3</v>
      </c>
      <c r="I7961" s="160" t="s">
        <v>148</v>
      </c>
      <c r="J7961" s="160">
        <v>8.3000000000000001E-3</v>
      </c>
      <c r="K7961" s="160" t="s">
        <v>23</v>
      </c>
      <c r="L7961" s="154" t="str">
        <f>IF(OpenLCAbasic!K7961="CTUh", "Fill in Manually",IF(OR(K7961="Unit", K7961=""), "", INDEX(LookUps!$E$5:$E$12, MATCH(OpenLCAbasic!K7961,LookUps!$D$5:$D$12,0))))</f>
        <v>Global Warming Potential (GWP) - kg CO2 eq</v>
      </c>
      <c r="M7961" s="154" t="str">
        <f t="shared" si="623"/>
        <v>Base_Base_Low_Upgraded_Global Warming Potential (GWP) - kg CO2 eq_Control Building; at upgraded wastewater treatment plant - US_Base_With Amendment_Aerated Static Pile</v>
      </c>
    </row>
    <row r="7962" spans="1:13" s="120" customFormat="1" x14ac:dyDescent="0.25">
      <c r="A7962" s="119"/>
      <c r="B7962" s="138" t="str">
        <f t="shared" si="624"/>
        <v>Aerated Static Pile</v>
      </c>
      <c r="C7962" s="138" t="str">
        <f t="shared" si="625"/>
        <v>Base_With Amendment</v>
      </c>
      <c r="D7962" s="138" t="str">
        <f t="shared" si="626"/>
        <v>Base_Low</v>
      </c>
      <c r="E7962" s="138" t="str">
        <f t="shared" si="627"/>
        <v>Base</v>
      </c>
      <c r="F7962" s="138" t="str">
        <f t="shared" si="628"/>
        <v>Upgraded</v>
      </c>
      <c r="G7962" s="153"/>
      <c r="H7962" s="210">
        <v>5.1000000000000004E-3</v>
      </c>
      <c r="I7962" s="160" t="s">
        <v>59</v>
      </c>
      <c r="J7962" s="160">
        <v>5.0400000000000002E-3</v>
      </c>
      <c r="K7962" s="160" t="s">
        <v>23</v>
      </c>
      <c r="L7962" s="154" t="str">
        <f>IF(OpenLCAbasic!K7962="CTUh", "Fill in Manually",IF(OR(K7962="Unit", K7962=""), "", INDEX(LookUps!$E$5:$E$12, MATCH(OpenLCAbasic!K7962,LookUps!$D$5:$D$12,0))))</f>
        <v>Global Warming Potential (GWP) - kg CO2 eq</v>
      </c>
      <c r="M7962" s="154" t="str">
        <f t="shared" si="623"/>
        <v>Base_Base_Low_Upgraded_Global Warming Potential (GWP) - kg CO2 eq_Blend Tank; wastewater treatment unit; at updated plant - US_Base_With Amendment_Aerated Static Pile</v>
      </c>
    </row>
    <row r="7963" spans="1:13" s="120" customFormat="1" x14ac:dyDescent="0.25">
      <c r="A7963" s="119"/>
      <c r="B7963" s="138" t="str">
        <f t="shared" si="624"/>
        <v>Aerated Static Pile</v>
      </c>
      <c r="C7963" s="138" t="str">
        <f t="shared" si="625"/>
        <v>Base_With Amendment</v>
      </c>
      <c r="D7963" s="138" t="str">
        <f t="shared" si="626"/>
        <v>Base_Low</v>
      </c>
      <c r="E7963" s="138" t="str">
        <f t="shared" si="627"/>
        <v>Base</v>
      </c>
      <c r="F7963" s="138" t="str">
        <f t="shared" si="628"/>
        <v>Upgraded</v>
      </c>
      <c r="G7963" s="153"/>
      <c r="H7963" s="210">
        <v>2.3999999999999998E-3</v>
      </c>
      <c r="I7963" s="160" t="s">
        <v>168</v>
      </c>
      <c r="J7963" s="160">
        <v>2.4099999999999998E-3</v>
      </c>
      <c r="K7963" s="160" t="s">
        <v>23</v>
      </c>
      <c r="L7963" s="154" t="str">
        <f>IF(OpenLCAbasic!K7963="CTUh", "Fill in Manually",IF(OR(K7963="Unit", K7963=""), "", INDEX(LookUps!$E$5:$E$12, MATCH(OpenLCAbasic!K7963,LookUps!$D$5:$D$12,0))))</f>
        <v>Global Warming Potential (GWP) - kg CO2 eq</v>
      </c>
      <c r="M7963" s="154" t="str">
        <f t="shared" si="623"/>
        <v>Base_Base_Low_Upgraded_Global Warming Potential (GWP) - kg CO2 eq_ClearCove SCP; wastewater treatment unit; at updated plant - US_Base_With Amendment_Aerated Static Pile</v>
      </c>
    </row>
    <row r="7964" spans="1:13" s="120" customFormat="1" x14ac:dyDescent="0.25">
      <c r="A7964" s="119"/>
      <c r="B7964" s="138" t="str">
        <f t="shared" si="624"/>
        <v>Aerated Static Pile</v>
      </c>
      <c r="C7964" s="138" t="str">
        <f t="shared" si="625"/>
        <v>Base_With Amendment</v>
      </c>
      <c r="D7964" s="138" t="str">
        <f t="shared" si="626"/>
        <v>Base_Low</v>
      </c>
      <c r="E7964" s="138" t="str">
        <f t="shared" si="627"/>
        <v>Base</v>
      </c>
      <c r="F7964" s="138" t="str">
        <f t="shared" si="628"/>
        <v>Upgraded</v>
      </c>
      <c r="G7964" s="153"/>
      <c r="H7964" s="210">
        <v>-0.52859999999999996</v>
      </c>
      <c r="I7964" s="160" t="s">
        <v>62</v>
      </c>
      <c r="J7964" s="160">
        <v>-0.52127000000000001</v>
      </c>
      <c r="K7964" s="160" t="s">
        <v>23</v>
      </c>
      <c r="L7964" s="154" t="str">
        <f>IF(OpenLCAbasic!K7964="CTUh", "Fill in Manually",IF(OR(K7964="Unit", K7964=""), "", INDEX(LookUps!$E$5:$E$12, MATCH(OpenLCAbasic!K7964,LookUps!$D$5:$D$12,0))))</f>
        <v>Global Warming Potential (GWP) - kg CO2 eq</v>
      </c>
      <c r="M7964" s="154" t="str">
        <f t="shared" si="623"/>
        <v>Base_Base_Low_Upgraded_Global Warming Potential (GWP) - kg CO2 eq_Land application of compost; wastewater treatment unit; at updated plant - US_Base_With Amendment_Aerated Static Pile</v>
      </c>
    </row>
    <row r="7965" spans="1:13" s="120" customFormat="1" x14ac:dyDescent="0.25">
      <c r="A7965" s="119"/>
      <c r="B7965" s="138" t="str">
        <f t="shared" si="624"/>
        <v/>
      </c>
      <c r="C7965" s="138" t="str">
        <f t="shared" si="625"/>
        <v/>
      </c>
      <c r="D7965" s="138" t="str">
        <f t="shared" si="626"/>
        <v/>
      </c>
      <c r="E7965" s="138" t="str">
        <f t="shared" si="627"/>
        <v/>
      </c>
      <c r="F7965" s="138" t="str">
        <f t="shared" si="628"/>
        <v/>
      </c>
      <c r="G7965" s="153" t="s">
        <v>51</v>
      </c>
      <c r="H7965" s="160"/>
      <c r="I7965" s="160" t="s">
        <v>47</v>
      </c>
      <c r="J7965" s="160" t="s">
        <v>52</v>
      </c>
      <c r="K7965" s="160" t="s">
        <v>27</v>
      </c>
      <c r="L7965" s="154" t="str">
        <f>IF(OpenLCAbasic!K7965="CTUh", "Fill in Manually",IF(OR(K7965="Unit", K7965=""), "", INDEX(LookUps!$E$5:$E$12, MATCH(OpenLCAbasic!K7965,LookUps!$D$5:$D$12,0))))</f>
        <v/>
      </c>
      <c r="M7965" s="154" t="str">
        <f t="shared" si="623"/>
        <v>____Process__</v>
      </c>
    </row>
    <row r="7966" spans="1:13" s="120" customFormat="1" x14ac:dyDescent="0.25">
      <c r="A7966" s="119"/>
      <c r="B7966" s="138" t="str">
        <f t="shared" si="624"/>
        <v>Aerated Static Pile</v>
      </c>
      <c r="C7966" s="138" t="str">
        <f t="shared" si="625"/>
        <v>Base_With Amendment</v>
      </c>
      <c r="D7966" s="138" t="str">
        <f t="shared" si="626"/>
        <v>Base_Low</v>
      </c>
      <c r="E7966" s="138" t="str">
        <f t="shared" si="627"/>
        <v>Base</v>
      </c>
      <c r="F7966" s="138" t="str">
        <f t="shared" si="628"/>
        <v>Upgraded</v>
      </c>
      <c r="G7966" s="153"/>
      <c r="H7966" s="210">
        <v>0.35909999999999997</v>
      </c>
      <c r="I7966" s="160" t="s">
        <v>55</v>
      </c>
      <c r="J7966" s="160">
        <v>2.33E-3</v>
      </c>
      <c r="K7966" s="160" t="s">
        <v>145</v>
      </c>
      <c r="L7966" s="154" t="str">
        <f>IF(OpenLCAbasic!K7966="CTUh", "Fill in Manually",IF(OR(K7966="Unit", K7966=""), "", INDEX(LookUps!$E$5:$E$12, MATCH(OpenLCAbasic!K7966,LookUps!$D$5:$D$12,0))))</f>
        <v>Particulate Matter Formation Potential (PMFP) - kg PM2.5 eq</v>
      </c>
      <c r="M7966" s="154" t="str">
        <f t="shared" si="623"/>
        <v>Base_Base_Low_Upgraded_Particulate Matter Formation Potential (PMFP) - kg PM2.5 eq_Aeration Tanks; wastewater treatment unit; at updated plant - US_Base_With Amendment_Aerated Static Pile</v>
      </c>
    </row>
    <row r="7967" spans="1:13" s="120" customFormat="1" x14ac:dyDescent="0.25">
      <c r="A7967" s="119"/>
      <c r="B7967" s="138" t="str">
        <f t="shared" si="624"/>
        <v>Aerated Static Pile</v>
      </c>
      <c r="C7967" s="138" t="str">
        <f t="shared" si="625"/>
        <v>Base_With Amendment</v>
      </c>
      <c r="D7967" s="138" t="str">
        <f t="shared" si="626"/>
        <v>Base_Low</v>
      </c>
      <c r="E7967" s="138" t="str">
        <f t="shared" si="627"/>
        <v>Base</v>
      </c>
      <c r="F7967" s="138" t="str">
        <f t="shared" si="628"/>
        <v>Upgraded</v>
      </c>
      <c r="G7967" s="153"/>
      <c r="H7967" s="210">
        <v>0.1447</v>
      </c>
      <c r="I7967" s="160" t="s">
        <v>435</v>
      </c>
      <c r="J7967" s="160">
        <v>9.3999999999999997E-4</v>
      </c>
      <c r="K7967" s="160" t="s">
        <v>145</v>
      </c>
      <c r="L7967" s="154" t="str">
        <f>IF(OpenLCAbasic!K7967="CTUh", "Fill in Manually",IF(OR(K7967="Unit", K7967=""), "", INDEX(LookUps!$E$5:$E$12, MATCH(OpenLCAbasic!K7967,LookUps!$D$5:$D$12,0))))</f>
        <v>Particulate Matter Formation Potential (PMFP) - kg PM2.5 eq</v>
      </c>
      <c r="M7967" s="154" t="str">
        <f t="shared" si="623"/>
        <v>Base_Base_Low_Upgraded_Particulate Matter Formation Potential (PMFP) - kg PM2.5 eq_Biosolids composting; aerated static pile; wastewater treatment unit; at updated plant - US_Base_With Amendment_Aerated Static Pile</v>
      </c>
    </row>
    <row r="7968" spans="1:13" s="120" customFormat="1" x14ac:dyDescent="0.25">
      <c r="A7968" s="119"/>
      <c r="B7968" s="138" t="str">
        <f t="shared" si="624"/>
        <v>Aerated Static Pile</v>
      </c>
      <c r="C7968" s="138" t="str">
        <f t="shared" si="625"/>
        <v>Base_With Amendment</v>
      </c>
      <c r="D7968" s="138" t="str">
        <f t="shared" si="626"/>
        <v>Base_Low</v>
      </c>
      <c r="E7968" s="138" t="str">
        <f t="shared" si="627"/>
        <v>Base</v>
      </c>
      <c r="F7968" s="138" t="str">
        <f t="shared" si="628"/>
        <v>Upgraded</v>
      </c>
      <c r="G7968" s="153"/>
      <c r="H7968" s="210">
        <v>0.1045</v>
      </c>
      <c r="I7968" s="160" t="s">
        <v>54</v>
      </c>
      <c r="J7968" s="160">
        <v>6.8000000000000005E-4</v>
      </c>
      <c r="K7968" s="160" t="s">
        <v>145</v>
      </c>
      <c r="L7968" s="154" t="str">
        <f>IF(OpenLCAbasic!K7968="CTUh", "Fill in Manually",IF(OR(K7968="Unit", K7968=""), "", INDEX(LookUps!$E$5:$E$12, MATCH(OpenLCAbasic!K7968,LookUps!$D$5:$D$12,0))))</f>
        <v>Particulate Matter Formation Potential (PMFP) - kg PM2.5 eq</v>
      </c>
      <c r="M7968" s="154" t="str">
        <f t="shared" si="623"/>
        <v>Base_Base_Low_Upgraded_Particulate Matter Formation Potential (PMFP) - kg PM2.5 eq_Clear Cove Primary Clarification; wastewater treatment unit; at updated plant - US_Base_With Amendment_Aerated Static Pile</v>
      </c>
    </row>
    <row r="7969" spans="1:13" s="120" customFormat="1" x14ac:dyDescent="0.25">
      <c r="A7969" s="119"/>
      <c r="B7969" s="138" t="str">
        <f t="shared" si="624"/>
        <v>Aerated Static Pile</v>
      </c>
      <c r="C7969" s="138" t="str">
        <f t="shared" si="625"/>
        <v>Base_With Amendment</v>
      </c>
      <c r="D7969" s="138" t="str">
        <f t="shared" si="626"/>
        <v>Base_Low</v>
      </c>
      <c r="E7969" s="138" t="str">
        <f t="shared" si="627"/>
        <v>Base</v>
      </c>
      <c r="F7969" s="138" t="str">
        <f t="shared" si="628"/>
        <v>Upgraded</v>
      </c>
      <c r="G7969" s="153"/>
      <c r="H7969" s="210">
        <v>9.0300000000000005E-2</v>
      </c>
      <c r="I7969" s="160" t="s">
        <v>58</v>
      </c>
      <c r="J7969" s="160">
        <v>5.9000000000000003E-4</v>
      </c>
      <c r="K7969" s="160" t="s">
        <v>145</v>
      </c>
      <c r="L7969" s="154" t="str">
        <f>IF(OpenLCAbasic!K7969="CTUh", "Fill in Manually",IF(OR(K7969="Unit", K7969=""), "", INDEX(LookUps!$E$5:$E$12, MATCH(OpenLCAbasic!K7969,LookUps!$D$5:$D$12,0))))</f>
        <v>Particulate Matter Formation Potential (PMFP) - kg PM2.5 eq</v>
      </c>
      <c r="M7969" s="154" t="str">
        <f t="shared" si="623"/>
        <v>Base_Base_Low_Upgraded_Particulate Matter Formation Potential (PMFP) - kg PM2.5 eq_Pre-Anoxic &amp; Swing tank; wastewater treatment unit; at updated plant - US_Base_With Amendment_Aerated Static Pile</v>
      </c>
    </row>
    <row r="7970" spans="1:13" s="120" customFormat="1" x14ac:dyDescent="0.25">
      <c r="A7970" s="119"/>
      <c r="B7970" s="138" t="str">
        <f t="shared" si="624"/>
        <v>Aerated Static Pile</v>
      </c>
      <c r="C7970" s="138" t="str">
        <f t="shared" si="625"/>
        <v>Base_With Amendment</v>
      </c>
      <c r="D7970" s="138" t="str">
        <f t="shared" si="626"/>
        <v>Base_Low</v>
      </c>
      <c r="E7970" s="138" t="str">
        <f t="shared" si="627"/>
        <v>Base</v>
      </c>
      <c r="F7970" s="138" t="str">
        <f t="shared" si="628"/>
        <v>Upgraded</v>
      </c>
      <c r="G7970" s="153"/>
      <c r="H7970" s="210">
        <v>7.1800000000000003E-2</v>
      </c>
      <c r="I7970" s="160" t="s">
        <v>53</v>
      </c>
      <c r="J7970" s="160">
        <v>4.6999999999999999E-4</v>
      </c>
      <c r="K7970" s="160" t="s">
        <v>145</v>
      </c>
      <c r="L7970" s="154" t="str">
        <f>IF(OpenLCAbasic!K7970="CTUh", "Fill in Manually",IF(OR(K7970="Unit", K7970=""), "", INDEX(LookUps!$E$5:$E$12, MATCH(OpenLCAbasic!K7970,LookUps!$D$5:$D$12,0))))</f>
        <v>Particulate Matter Formation Potential (PMFP) - kg PM2.5 eq</v>
      </c>
      <c r="M7970" s="154" t="str">
        <f t="shared" si="623"/>
        <v>Base_Base_Low_Upgraded_Particulate Matter Formation Potential (PMFP) - kg PM2.5 eq_Wet Well and Sump Station; wastewater treatment unit; at updated plant - US_Base_With Amendment_Aerated Static Pile</v>
      </c>
    </row>
    <row r="7971" spans="1:13" s="120" customFormat="1" x14ac:dyDescent="0.25">
      <c r="A7971" s="119"/>
      <c r="B7971" s="138" t="str">
        <f t="shared" si="624"/>
        <v>Aerated Static Pile</v>
      </c>
      <c r="C7971" s="138" t="str">
        <f t="shared" si="625"/>
        <v>Base_With Amendment</v>
      </c>
      <c r="D7971" s="138" t="str">
        <f t="shared" si="626"/>
        <v>Base_Low</v>
      </c>
      <c r="E7971" s="138" t="str">
        <f t="shared" si="627"/>
        <v>Base</v>
      </c>
      <c r="F7971" s="138" t="str">
        <f t="shared" si="628"/>
        <v>Upgraded</v>
      </c>
      <c r="G7971" s="153"/>
      <c r="H7971" s="210">
        <v>5.1900000000000002E-2</v>
      </c>
      <c r="I7971" s="160" t="s">
        <v>149</v>
      </c>
      <c r="J7971" s="160">
        <v>3.4000000000000002E-4</v>
      </c>
      <c r="K7971" s="160" t="s">
        <v>145</v>
      </c>
      <c r="L7971" s="154" t="str">
        <f>IF(OpenLCAbasic!K7971="CTUh", "Fill in Manually",IF(OR(K7971="Unit", K7971=""), "", INDEX(LookUps!$E$5:$E$12, MATCH(OpenLCAbasic!K7971,LookUps!$D$5:$D$12,0))))</f>
        <v>Particulate Matter Formation Potential (PMFP) - kg PM2.5 eq</v>
      </c>
      <c r="M7971" s="154" t="str">
        <f t="shared" si="623"/>
        <v>Base_Base_Low_Upgraded_Particulate Matter Formation Potential (PMFP) - kg PM2.5 eq_Anaerobic Digestion; wastewater treatment unit; at updated plant - US_Base_With Amendment_Aerated Static Pile</v>
      </c>
    </row>
    <row r="7972" spans="1:13" s="120" customFormat="1" x14ac:dyDescent="0.25">
      <c r="A7972" s="119"/>
      <c r="B7972" s="138" t="str">
        <f t="shared" si="624"/>
        <v>Aerated Static Pile</v>
      </c>
      <c r="C7972" s="138" t="str">
        <f t="shared" si="625"/>
        <v>Base_With Amendment</v>
      </c>
      <c r="D7972" s="138" t="str">
        <f t="shared" si="626"/>
        <v>Base_Low</v>
      </c>
      <c r="E7972" s="138" t="str">
        <f t="shared" si="627"/>
        <v>Base</v>
      </c>
      <c r="F7972" s="138" t="str">
        <f t="shared" si="628"/>
        <v>Upgraded</v>
      </c>
      <c r="G7972" s="153"/>
      <c r="H7972" s="210">
        <v>4.5999999999999999E-2</v>
      </c>
      <c r="I7972" s="160" t="s">
        <v>167</v>
      </c>
      <c r="J7972" s="160">
        <v>2.9999999999999997E-4</v>
      </c>
      <c r="K7972" s="160" t="s">
        <v>145</v>
      </c>
      <c r="L7972" s="154" t="str">
        <f>IF(OpenLCAbasic!K7972="CTUh", "Fill in Manually",IF(OR(K7972="Unit", K7972=""), "", INDEX(LookUps!$E$5:$E$12, MATCH(OpenLCAbasic!K7972,LookUps!$D$5:$D$12,0))))</f>
        <v>Particulate Matter Formation Potential (PMFP) - kg PM2.5 eq</v>
      </c>
      <c r="M7972" s="154" t="str">
        <f t="shared" si="623"/>
        <v>Base_Base_Low_Upgraded_Particulate Matter Formation Potential (PMFP) - kg PM2.5 eq_Waste Receiving and Holding; wastewater treatment unit; at updated plant - US_Base_With Amendment_Aerated Static Pile</v>
      </c>
    </row>
    <row r="7973" spans="1:13" s="120" customFormat="1" x14ac:dyDescent="0.25">
      <c r="A7973" s="119"/>
      <c r="B7973" s="138" t="str">
        <f t="shared" si="624"/>
        <v>Aerated Static Pile</v>
      </c>
      <c r="C7973" s="138" t="str">
        <f t="shared" si="625"/>
        <v>Base_With Amendment</v>
      </c>
      <c r="D7973" s="138" t="str">
        <f t="shared" si="626"/>
        <v>Base_Low</v>
      </c>
      <c r="E7973" s="138" t="str">
        <f t="shared" si="627"/>
        <v>Base</v>
      </c>
      <c r="F7973" s="138" t="str">
        <f t="shared" si="628"/>
        <v>Upgraded</v>
      </c>
      <c r="G7973" s="153"/>
      <c r="H7973" s="210">
        <v>4.1000000000000002E-2</v>
      </c>
      <c r="I7973" s="160" t="s">
        <v>147</v>
      </c>
      <c r="J7973" s="160">
        <v>2.7E-4</v>
      </c>
      <c r="K7973" s="160" t="s">
        <v>145</v>
      </c>
      <c r="L7973" s="154" t="str">
        <f>IF(OpenLCAbasic!K7973="CTUh", "Fill in Manually",IF(OR(K7973="Unit", K7973=""), "", INDEX(LookUps!$E$5:$E$12, MATCH(OpenLCAbasic!K7973,LookUps!$D$5:$D$12,0))))</f>
        <v>Particulate Matter Formation Potential (PMFP) - kg PM2.5 eq</v>
      </c>
      <c r="M7973" s="154" t="str">
        <f t="shared" si="623"/>
        <v>Base_Base_Low_Upgraded_Particulate Matter Formation Potential (PMFP) - kg PM2.5 eq_Influent Pump Station; wastewater treatment unit; at updated plant - US_Base_With Amendment_Aerated Static Pile</v>
      </c>
    </row>
    <row r="7974" spans="1:13" s="120" customFormat="1" x14ac:dyDescent="0.25">
      <c r="A7974" s="119"/>
      <c r="B7974" s="138" t="str">
        <f t="shared" si="624"/>
        <v>Aerated Static Pile</v>
      </c>
      <c r="C7974" s="138" t="str">
        <f t="shared" si="625"/>
        <v>Base_With Amendment</v>
      </c>
      <c r="D7974" s="138" t="str">
        <f t="shared" si="626"/>
        <v>Base_Low</v>
      </c>
      <c r="E7974" s="138" t="str">
        <f t="shared" si="627"/>
        <v>Base</v>
      </c>
      <c r="F7974" s="138" t="str">
        <f t="shared" si="628"/>
        <v>Upgraded</v>
      </c>
      <c r="G7974" s="153"/>
      <c r="H7974" s="210">
        <v>2.5600000000000001E-2</v>
      </c>
      <c r="I7974" s="160" t="s">
        <v>128</v>
      </c>
      <c r="J7974" s="160">
        <v>1.7000000000000001E-4</v>
      </c>
      <c r="K7974" s="160" t="s">
        <v>145</v>
      </c>
      <c r="L7974" s="154" t="str">
        <f>IF(OpenLCAbasic!K7974="CTUh", "Fill in Manually",IF(OR(K7974="Unit", K7974=""), "", INDEX(LookUps!$E$5:$E$12, MATCH(OpenLCAbasic!K7974,LookUps!$D$5:$D$12,0))))</f>
        <v>Particulate Matter Formation Potential (PMFP) - kg PM2.5 eq</v>
      </c>
      <c r="M7974" s="154" t="str">
        <f t="shared" si="623"/>
        <v>Base_Base_Low_Upgraded_Particulate Matter Formation Potential (PMFP) - kg PM2.5 eq_Wastewater collection; operation and infrastructure; m3 wastewater_Base_With Amendment_Aerated Static Pile</v>
      </c>
    </row>
    <row r="7975" spans="1:13" s="120" customFormat="1" x14ac:dyDescent="0.25">
      <c r="A7975" s="119"/>
      <c r="B7975" s="138" t="str">
        <f t="shared" si="624"/>
        <v>Aerated Static Pile</v>
      </c>
      <c r="C7975" s="138" t="str">
        <f t="shared" si="625"/>
        <v>Base_With Amendment</v>
      </c>
      <c r="D7975" s="138" t="str">
        <f t="shared" si="626"/>
        <v>Base_Low</v>
      </c>
      <c r="E7975" s="138" t="str">
        <f t="shared" si="627"/>
        <v>Base</v>
      </c>
      <c r="F7975" s="138" t="str">
        <f t="shared" si="628"/>
        <v>Upgraded</v>
      </c>
      <c r="G7975" s="153"/>
      <c r="H7975" s="210">
        <v>1.78E-2</v>
      </c>
      <c r="I7975" s="160" t="s">
        <v>60</v>
      </c>
      <c r="J7975" s="160">
        <v>1.2E-4</v>
      </c>
      <c r="K7975" s="160" t="s">
        <v>145</v>
      </c>
      <c r="L7975" s="154" t="str">
        <f>IF(OpenLCAbasic!K7975="CTUh", "Fill in Manually",IF(OR(K7975="Unit", K7975=""), "", INDEX(LookUps!$E$5:$E$12, MATCH(OpenLCAbasic!K7975,LookUps!$D$5:$D$12,0))))</f>
        <v>Particulate Matter Formation Potential (PMFP) - kg PM2.5 eq</v>
      </c>
      <c r="M7975" s="154" t="str">
        <f t="shared" si="623"/>
        <v>Base_Base_Low_Upgraded_Particulate Matter Formation Potential (PMFP) - kg PM2.5 eq_Belt filter press; wastewater treatment unit; at updated plant - US_Base_With Amendment_Aerated Static Pile</v>
      </c>
    </row>
    <row r="7976" spans="1:13" s="120" customFormat="1" x14ac:dyDescent="0.25">
      <c r="A7976" s="119"/>
      <c r="B7976" s="138" t="str">
        <f t="shared" si="624"/>
        <v>Aerated Static Pile</v>
      </c>
      <c r="C7976" s="138" t="str">
        <f t="shared" si="625"/>
        <v>Base_With Amendment</v>
      </c>
      <c r="D7976" s="138" t="str">
        <f t="shared" si="626"/>
        <v>Base_Low</v>
      </c>
      <c r="E7976" s="138" t="str">
        <f t="shared" si="627"/>
        <v>Base</v>
      </c>
      <c r="F7976" s="138" t="str">
        <f t="shared" si="628"/>
        <v>Upgraded</v>
      </c>
      <c r="G7976" s="153"/>
      <c r="H7976" s="210">
        <v>1.46E-2</v>
      </c>
      <c r="I7976" s="160" t="s">
        <v>57</v>
      </c>
      <c r="J7976" s="211">
        <v>9.5153800000000004E-5</v>
      </c>
      <c r="K7976" s="160" t="s">
        <v>145</v>
      </c>
      <c r="L7976" s="154" t="str">
        <f>IF(OpenLCAbasic!K7976="CTUh", "Fill in Manually",IF(OR(K7976="Unit", K7976=""), "", INDEX(LookUps!$E$5:$E$12, MATCH(OpenLCAbasic!K7976,LookUps!$D$5:$D$12,0))))</f>
        <v>Particulate Matter Formation Potential (PMFP) - kg PM2.5 eq</v>
      </c>
      <c r="M7976" s="154" t="str">
        <f t="shared" si="623"/>
        <v>Base_Base_Low_Upgraded_Particulate Matter Formation Potential (PMFP) - kg PM2.5 eq_Gravity Belt Thickener; wastewater treatment unit; at updated plant - US_Base_With Amendment_Aerated Static Pile</v>
      </c>
    </row>
    <row r="7977" spans="1:13" s="120" customFormat="1" x14ac:dyDescent="0.25">
      <c r="A7977" s="119"/>
      <c r="B7977" s="138" t="str">
        <f t="shared" si="624"/>
        <v>Aerated Static Pile</v>
      </c>
      <c r="C7977" s="138" t="str">
        <f t="shared" si="625"/>
        <v>Base_With Amendment</v>
      </c>
      <c r="D7977" s="138" t="str">
        <f t="shared" si="626"/>
        <v>Base_Low</v>
      </c>
      <c r="E7977" s="138" t="str">
        <f t="shared" si="627"/>
        <v>Base</v>
      </c>
      <c r="F7977" s="138" t="str">
        <f t="shared" si="628"/>
        <v>Upgraded</v>
      </c>
      <c r="G7977" s="153"/>
      <c r="H7977" s="210">
        <v>1.0800000000000001E-2</v>
      </c>
      <c r="I7977" s="160" t="s">
        <v>59</v>
      </c>
      <c r="J7977" s="211">
        <v>6.9942200000000003E-5</v>
      </c>
      <c r="K7977" s="160" t="s">
        <v>145</v>
      </c>
      <c r="L7977" s="154" t="str">
        <f>IF(OpenLCAbasic!K7977="CTUh", "Fill in Manually",IF(OR(K7977="Unit", K7977=""), "", INDEX(LookUps!$E$5:$E$12, MATCH(OpenLCAbasic!K7977,LookUps!$D$5:$D$12,0))))</f>
        <v>Particulate Matter Formation Potential (PMFP) - kg PM2.5 eq</v>
      </c>
      <c r="M7977" s="154" t="str">
        <f t="shared" si="623"/>
        <v>Base_Base_Low_Upgraded_Particulate Matter Formation Potential (PMFP) - kg PM2.5 eq_Blend Tank; wastewater treatment unit; at updated plant - US_Base_With Amendment_Aerated Static Pile</v>
      </c>
    </row>
    <row r="7978" spans="1:13" s="120" customFormat="1" x14ac:dyDescent="0.25">
      <c r="A7978" s="119"/>
      <c r="B7978" s="138" t="str">
        <f t="shared" si="624"/>
        <v>Aerated Static Pile</v>
      </c>
      <c r="C7978" s="138" t="str">
        <f t="shared" si="625"/>
        <v>Base_With Amendment</v>
      </c>
      <c r="D7978" s="138" t="str">
        <f t="shared" si="626"/>
        <v>Base_Low</v>
      </c>
      <c r="E7978" s="138" t="str">
        <f t="shared" si="627"/>
        <v>Base</v>
      </c>
      <c r="F7978" s="138" t="str">
        <f t="shared" si="628"/>
        <v>Upgraded</v>
      </c>
      <c r="G7978" s="153"/>
      <c r="H7978" s="210">
        <v>7.7000000000000002E-3</v>
      </c>
      <c r="I7978" s="160" t="s">
        <v>48</v>
      </c>
      <c r="J7978" s="211">
        <v>4.99741E-5</v>
      </c>
      <c r="K7978" s="160" t="s">
        <v>145</v>
      </c>
      <c r="L7978" s="154" t="str">
        <f>IF(OpenLCAbasic!K7978="CTUh", "Fill in Manually",IF(OR(K7978="Unit", K7978=""), "", INDEX(LookUps!$E$5:$E$12, MATCH(OpenLCAbasic!K7978,LookUps!$D$5:$D$12,0))))</f>
        <v>Particulate Matter Formation Potential (PMFP) - kg PM2.5 eq</v>
      </c>
      <c r="M7978" s="154" t="str">
        <f t="shared" si="623"/>
        <v>Base_Base_Low_Upgraded_Particulate Matter Formation Potential (PMFP) - kg PM2.5 eq_Effluent release; wastewater treatment unit; at surface water; m3 wastewater - US_Base_With Amendment_Aerated Static Pile</v>
      </c>
    </row>
    <row r="7979" spans="1:13" s="120" customFormat="1" x14ac:dyDescent="0.25">
      <c r="A7979" s="119"/>
      <c r="B7979" s="138" t="str">
        <f t="shared" si="624"/>
        <v>Aerated Static Pile</v>
      </c>
      <c r="C7979" s="138" t="str">
        <f t="shared" si="625"/>
        <v>Base_With Amendment</v>
      </c>
      <c r="D7979" s="138" t="str">
        <f t="shared" si="626"/>
        <v>Base_Low</v>
      </c>
      <c r="E7979" s="138" t="str">
        <f t="shared" si="627"/>
        <v>Base</v>
      </c>
      <c r="F7979" s="138" t="str">
        <f t="shared" si="628"/>
        <v>Upgraded</v>
      </c>
      <c r="G7979" s="153"/>
      <c r="H7979" s="210">
        <v>7.4000000000000003E-3</v>
      </c>
      <c r="I7979" s="160" t="s">
        <v>62</v>
      </c>
      <c r="J7979" s="211">
        <v>4.8009500000000002E-5</v>
      </c>
      <c r="K7979" s="160" t="s">
        <v>145</v>
      </c>
      <c r="L7979" s="154" t="str">
        <f>IF(OpenLCAbasic!K7979="CTUh", "Fill in Manually",IF(OR(K7979="Unit", K7979=""), "", INDEX(LookUps!$E$5:$E$12, MATCH(OpenLCAbasic!K7979,LookUps!$D$5:$D$12,0))))</f>
        <v>Particulate Matter Formation Potential (PMFP) - kg PM2.5 eq</v>
      </c>
      <c r="M7979" s="154" t="str">
        <f t="shared" si="623"/>
        <v>Base_Base_Low_Upgraded_Particulate Matter Formation Potential (PMFP) - kg PM2.5 eq_Land application of compost; wastewater treatment unit; at updated plant - US_Base_With Amendment_Aerated Static Pile</v>
      </c>
    </row>
    <row r="7980" spans="1:13" s="120" customFormat="1" x14ac:dyDescent="0.25">
      <c r="A7980" s="119"/>
      <c r="B7980" s="138" t="str">
        <f t="shared" si="624"/>
        <v>Aerated Static Pile</v>
      </c>
      <c r="C7980" s="138" t="str">
        <f t="shared" si="625"/>
        <v>Base_With Amendment</v>
      </c>
      <c r="D7980" s="138" t="str">
        <f t="shared" si="626"/>
        <v>Base_Low</v>
      </c>
      <c r="E7980" s="138" t="str">
        <f t="shared" si="627"/>
        <v>Base</v>
      </c>
      <c r="F7980" s="138" t="str">
        <f t="shared" si="628"/>
        <v>Upgraded</v>
      </c>
      <c r="G7980" s="153"/>
      <c r="H7980" s="210">
        <v>5.3E-3</v>
      </c>
      <c r="I7980" s="160" t="s">
        <v>168</v>
      </c>
      <c r="J7980" s="211">
        <v>3.4562199999999999E-5</v>
      </c>
      <c r="K7980" s="160" t="s">
        <v>145</v>
      </c>
      <c r="L7980" s="154" t="str">
        <f>IF(OpenLCAbasic!K7980="CTUh", "Fill in Manually",IF(OR(K7980="Unit", K7980=""), "", INDEX(LookUps!$E$5:$E$12, MATCH(OpenLCAbasic!K7980,LookUps!$D$5:$D$12,0))))</f>
        <v>Particulate Matter Formation Potential (PMFP) - kg PM2.5 eq</v>
      </c>
      <c r="M7980" s="154" t="str">
        <f t="shared" si="623"/>
        <v>Base_Base_Low_Upgraded_Particulate Matter Formation Potential (PMFP) - kg PM2.5 eq_ClearCove SCP; wastewater treatment unit; at updated plant - US_Base_With Amendment_Aerated Static Pile</v>
      </c>
    </row>
    <row r="7981" spans="1:13" s="120" customFormat="1" x14ac:dyDescent="0.25">
      <c r="A7981" s="119"/>
      <c r="B7981" s="138" t="str">
        <f t="shared" si="624"/>
        <v>Aerated Static Pile</v>
      </c>
      <c r="C7981" s="138" t="str">
        <f t="shared" si="625"/>
        <v>Base_With Amendment</v>
      </c>
      <c r="D7981" s="138" t="str">
        <f t="shared" si="626"/>
        <v>Base_Low</v>
      </c>
      <c r="E7981" s="138" t="str">
        <f t="shared" si="627"/>
        <v>Base</v>
      </c>
      <c r="F7981" s="138" t="str">
        <f t="shared" si="628"/>
        <v>Upgraded</v>
      </c>
      <c r="G7981" s="153"/>
      <c r="H7981" s="210">
        <v>1.4E-3</v>
      </c>
      <c r="I7981" s="160" t="s">
        <v>148</v>
      </c>
      <c r="J7981" s="211">
        <v>8.8212999999999997E-6</v>
      </c>
      <c r="K7981" s="160" t="s">
        <v>145</v>
      </c>
      <c r="L7981" s="154" t="str">
        <f>IF(OpenLCAbasic!K7981="CTUh", "Fill in Manually",IF(OR(K7981="Unit", K7981=""), "", INDEX(LookUps!$E$5:$E$12, MATCH(OpenLCAbasic!K7981,LookUps!$D$5:$D$12,0))))</f>
        <v>Particulate Matter Formation Potential (PMFP) - kg PM2.5 eq</v>
      </c>
      <c r="M7981" s="154" t="str">
        <f t="shared" si="623"/>
        <v>Base_Base_Low_Upgraded_Particulate Matter Formation Potential (PMFP) - kg PM2.5 eq_Control Building; at upgraded wastewater treatment plant - US_Base_With Amendment_Aerated Static Pile</v>
      </c>
    </row>
    <row r="7982" spans="1:13" s="120" customFormat="1" x14ac:dyDescent="0.25">
      <c r="A7982" s="119"/>
      <c r="B7982" s="138" t="str">
        <f t="shared" si="624"/>
        <v/>
      </c>
      <c r="C7982" s="138" t="str">
        <f t="shared" si="625"/>
        <v/>
      </c>
      <c r="D7982" s="138" t="str">
        <f t="shared" si="626"/>
        <v/>
      </c>
      <c r="E7982" s="138" t="str">
        <f t="shared" si="627"/>
        <v/>
      </c>
      <c r="F7982" s="138" t="str">
        <f t="shared" si="628"/>
        <v/>
      </c>
      <c r="G7982" s="153" t="s">
        <v>51</v>
      </c>
      <c r="H7982" s="160"/>
      <c r="I7982" s="160" t="s">
        <v>47</v>
      </c>
      <c r="J7982" s="160" t="s">
        <v>52</v>
      </c>
      <c r="K7982" s="160" t="s">
        <v>27</v>
      </c>
      <c r="L7982" s="154" t="str">
        <f>IF(OpenLCAbasic!K7982="CTUh", "Fill in Manually",IF(OR(K7982="Unit", K7982=""), "", INDEX(LookUps!$E$5:$E$12, MATCH(OpenLCAbasic!K7982,LookUps!$D$5:$D$12,0))))</f>
        <v/>
      </c>
      <c r="M7982" s="154" t="str">
        <f t="shared" si="623"/>
        <v>____Process__</v>
      </c>
    </row>
    <row r="7983" spans="1:13" s="120" customFormat="1" x14ac:dyDescent="0.25">
      <c r="A7983" s="119"/>
      <c r="B7983" s="138" t="str">
        <f t="shared" si="624"/>
        <v>Aerated Static Pile</v>
      </c>
      <c r="C7983" s="138" t="str">
        <f t="shared" si="625"/>
        <v>Base_With Amendment</v>
      </c>
      <c r="D7983" s="138" t="str">
        <f t="shared" si="626"/>
        <v>Base_Low</v>
      </c>
      <c r="E7983" s="138" t="str">
        <f t="shared" si="627"/>
        <v>Base</v>
      </c>
      <c r="F7983" s="138" t="str">
        <f t="shared" si="628"/>
        <v>Upgraded</v>
      </c>
      <c r="G7983" s="153"/>
      <c r="H7983" s="210">
        <v>0.35870000000000002</v>
      </c>
      <c r="I7983" s="160" t="s">
        <v>55</v>
      </c>
      <c r="J7983" s="160">
        <v>0.16577</v>
      </c>
      <c r="K7983" s="160" t="s">
        <v>25</v>
      </c>
      <c r="L7983" s="154" t="str">
        <f>IF(OpenLCAbasic!K7983="CTUh", "Fill in Manually",IF(OR(K7983="Unit", K7983=""), "", INDEX(LookUps!$E$5:$E$12, MATCH(OpenLCAbasic!K7983,LookUps!$D$5:$D$12,0))))</f>
        <v>Smog Formation Potential (SFP) - kg O3 eq</v>
      </c>
      <c r="M7983" s="154" t="str">
        <f t="shared" si="623"/>
        <v>Base_Base_Low_Upgraded_Smog Formation Potential (SFP) - kg O3 eq_Aeration Tanks; wastewater treatment unit; at updated plant - US_Base_With Amendment_Aerated Static Pile</v>
      </c>
    </row>
    <row r="7984" spans="1:13" s="120" customFormat="1" x14ac:dyDescent="0.25">
      <c r="A7984" s="119"/>
      <c r="B7984" s="138" t="str">
        <f t="shared" si="624"/>
        <v>Aerated Static Pile</v>
      </c>
      <c r="C7984" s="138" t="str">
        <f t="shared" si="625"/>
        <v>Base_With Amendment</v>
      </c>
      <c r="D7984" s="138" t="str">
        <f t="shared" si="626"/>
        <v>Base_Low</v>
      </c>
      <c r="E7984" s="138" t="str">
        <f t="shared" si="627"/>
        <v>Base</v>
      </c>
      <c r="F7984" s="138" t="str">
        <f t="shared" si="628"/>
        <v>Upgraded</v>
      </c>
      <c r="G7984" s="153"/>
      <c r="H7984" s="210">
        <v>0.1431</v>
      </c>
      <c r="I7984" s="160" t="s">
        <v>435</v>
      </c>
      <c r="J7984" s="160">
        <v>6.6129999999999994E-2</v>
      </c>
      <c r="K7984" s="160" t="s">
        <v>25</v>
      </c>
      <c r="L7984" s="154" t="str">
        <f>IF(OpenLCAbasic!K7984="CTUh", "Fill in Manually",IF(OR(K7984="Unit", K7984=""), "", INDEX(LookUps!$E$5:$E$12, MATCH(OpenLCAbasic!K7984,LookUps!$D$5:$D$12,0))))</f>
        <v>Smog Formation Potential (SFP) - kg O3 eq</v>
      </c>
      <c r="M7984" s="154" t="str">
        <f t="shared" si="623"/>
        <v>Base_Base_Low_Upgraded_Smog Formation Potential (SFP) - kg O3 eq_Biosolids composting; aerated static pile; wastewater treatment unit; at updated plant - US_Base_With Amendment_Aerated Static Pile</v>
      </c>
    </row>
    <row r="7985" spans="1:13" s="120" customFormat="1" x14ac:dyDescent="0.25">
      <c r="A7985" s="119"/>
      <c r="B7985" s="138" t="str">
        <f t="shared" si="624"/>
        <v>Aerated Static Pile</v>
      </c>
      <c r="C7985" s="138" t="str">
        <f t="shared" si="625"/>
        <v>Base_With Amendment</v>
      </c>
      <c r="D7985" s="138" t="str">
        <f t="shared" si="626"/>
        <v>Base_Low</v>
      </c>
      <c r="E7985" s="138" t="str">
        <f t="shared" si="627"/>
        <v>Base</v>
      </c>
      <c r="F7985" s="138" t="str">
        <f t="shared" si="628"/>
        <v>Upgraded</v>
      </c>
      <c r="G7985" s="153"/>
      <c r="H7985" s="210">
        <v>0.104</v>
      </c>
      <c r="I7985" s="160" t="s">
        <v>54</v>
      </c>
      <c r="J7985" s="160">
        <v>4.8070000000000002E-2</v>
      </c>
      <c r="K7985" s="160" t="s">
        <v>25</v>
      </c>
      <c r="L7985" s="154" t="str">
        <f>IF(OpenLCAbasic!K7985="CTUh", "Fill in Manually",IF(OR(K7985="Unit", K7985=""), "", INDEX(LookUps!$E$5:$E$12, MATCH(OpenLCAbasic!K7985,LookUps!$D$5:$D$12,0))))</f>
        <v>Smog Formation Potential (SFP) - kg O3 eq</v>
      </c>
      <c r="M7985" s="154" t="str">
        <f t="shared" si="623"/>
        <v>Base_Base_Low_Upgraded_Smog Formation Potential (SFP) - kg O3 eq_Clear Cove Primary Clarification; wastewater treatment unit; at updated plant - US_Base_With Amendment_Aerated Static Pile</v>
      </c>
    </row>
    <row r="7986" spans="1:13" s="120" customFormat="1" x14ac:dyDescent="0.25">
      <c r="A7986" s="119"/>
      <c r="B7986" s="138" t="str">
        <f t="shared" si="624"/>
        <v>Aerated Static Pile</v>
      </c>
      <c r="C7986" s="138" t="str">
        <f t="shared" si="625"/>
        <v>Base_With Amendment</v>
      </c>
      <c r="D7986" s="138" t="str">
        <f t="shared" si="626"/>
        <v>Base_Low</v>
      </c>
      <c r="E7986" s="138" t="str">
        <f t="shared" si="627"/>
        <v>Base</v>
      </c>
      <c r="F7986" s="138" t="str">
        <f t="shared" si="628"/>
        <v>Upgraded</v>
      </c>
      <c r="G7986" s="153"/>
      <c r="H7986" s="210">
        <v>9.0399999999999994E-2</v>
      </c>
      <c r="I7986" s="160" t="s">
        <v>58</v>
      </c>
      <c r="J7986" s="160">
        <v>4.1779999999999998E-2</v>
      </c>
      <c r="K7986" s="160" t="s">
        <v>25</v>
      </c>
      <c r="L7986" s="154" t="str">
        <f>IF(OpenLCAbasic!K7986="CTUh", "Fill in Manually",IF(OR(K7986="Unit", K7986=""), "", INDEX(LookUps!$E$5:$E$12, MATCH(OpenLCAbasic!K7986,LookUps!$D$5:$D$12,0))))</f>
        <v>Smog Formation Potential (SFP) - kg O3 eq</v>
      </c>
      <c r="M7986" s="154" t="str">
        <f t="shared" si="623"/>
        <v>Base_Base_Low_Upgraded_Smog Formation Potential (SFP) - kg O3 eq_Pre-Anoxic &amp; Swing tank; wastewater treatment unit; at updated plant - US_Base_With Amendment_Aerated Static Pile</v>
      </c>
    </row>
    <row r="7987" spans="1:13" s="120" customFormat="1" x14ac:dyDescent="0.25">
      <c r="A7987" s="119"/>
      <c r="B7987" s="138" t="str">
        <f t="shared" si="624"/>
        <v>Aerated Static Pile</v>
      </c>
      <c r="C7987" s="138" t="str">
        <f t="shared" si="625"/>
        <v>Base_With Amendment</v>
      </c>
      <c r="D7987" s="138" t="str">
        <f t="shared" si="626"/>
        <v>Base_Low</v>
      </c>
      <c r="E7987" s="138" t="str">
        <f t="shared" si="627"/>
        <v>Base</v>
      </c>
      <c r="F7987" s="138" t="str">
        <f t="shared" si="628"/>
        <v>Upgraded</v>
      </c>
      <c r="G7987" s="153"/>
      <c r="H7987" s="210">
        <v>7.17E-2</v>
      </c>
      <c r="I7987" s="160" t="s">
        <v>53</v>
      </c>
      <c r="J7987" s="160">
        <v>3.313E-2</v>
      </c>
      <c r="K7987" s="160" t="s">
        <v>25</v>
      </c>
      <c r="L7987" s="154" t="str">
        <f>IF(OpenLCAbasic!K7987="CTUh", "Fill in Manually",IF(OR(K7987="Unit", K7987=""), "", INDEX(LookUps!$E$5:$E$12, MATCH(OpenLCAbasic!K7987,LookUps!$D$5:$D$12,0))))</f>
        <v>Smog Formation Potential (SFP) - kg O3 eq</v>
      </c>
      <c r="M7987" s="154" t="str">
        <f t="shared" si="623"/>
        <v>Base_Base_Low_Upgraded_Smog Formation Potential (SFP) - kg O3 eq_Wet Well and Sump Station; wastewater treatment unit; at updated plant - US_Base_With Amendment_Aerated Static Pile</v>
      </c>
    </row>
    <row r="7988" spans="1:13" s="120" customFormat="1" x14ac:dyDescent="0.25">
      <c r="A7988" s="119"/>
      <c r="B7988" s="138" t="str">
        <f t="shared" si="624"/>
        <v>Aerated Static Pile</v>
      </c>
      <c r="C7988" s="138" t="str">
        <f t="shared" si="625"/>
        <v>Base_With Amendment</v>
      </c>
      <c r="D7988" s="138" t="str">
        <f t="shared" si="626"/>
        <v>Base_Low</v>
      </c>
      <c r="E7988" s="138" t="str">
        <f t="shared" si="627"/>
        <v>Base</v>
      </c>
      <c r="F7988" s="138" t="str">
        <f t="shared" si="628"/>
        <v>Upgraded</v>
      </c>
      <c r="G7988" s="153"/>
      <c r="H7988" s="210">
        <v>6.0499999999999998E-2</v>
      </c>
      <c r="I7988" s="160" t="s">
        <v>167</v>
      </c>
      <c r="J7988" s="160">
        <v>2.7949999999999999E-2</v>
      </c>
      <c r="K7988" s="160" t="s">
        <v>25</v>
      </c>
      <c r="L7988" s="154" t="str">
        <f>IF(OpenLCAbasic!K7988="CTUh", "Fill in Manually",IF(OR(K7988="Unit", K7988=""), "", INDEX(LookUps!$E$5:$E$12, MATCH(OpenLCAbasic!K7988,LookUps!$D$5:$D$12,0))))</f>
        <v>Smog Formation Potential (SFP) - kg O3 eq</v>
      </c>
      <c r="M7988" s="154" t="str">
        <f t="shared" si="623"/>
        <v>Base_Base_Low_Upgraded_Smog Formation Potential (SFP) - kg O3 eq_Waste Receiving and Holding; wastewater treatment unit; at updated plant - US_Base_With Amendment_Aerated Static Pile</v>
      </c>
    </row>
    <row r="7989" spans="1:13" s="120" customFormat="1" x14ac:dyDescent="0.25">
      <c r="A7989" s="119"/>
      <c r="B7989" s="138" t="str">
        <f t="shared" si="624"/>
        <v>Aerated Static Pile</v>
      </c>
      <c r="C7989" s="138" t="str">
        <f t="shared" si="625"/>
        <v>Base_With Amendment</v>
      </c>
      <c r="D7989" s="138" t="str">
        <f t="shared" si="626"/>
        <v>Base_Low</v>
      </c>
      <c r="E7989" s="138" t="str">
        <f t="shared" si="627"/>
        <v>Base</v>
      </c>
      <c r="F7989" s="138" t="str">
        <f t="shared" si="628"/>
        <v>Upgraded</v>
      </c>
      <c r="G7989" s="153"/>
      <c r="H7989" s="210">
        <v>5.3900000000000003E-2</v>
      </c>
      <c r="I7989" s="160" t="s">
        <v>149</v>
      </c>
      <c r="J7989" s="160">
        <v>2.4889999999999999E-2</v>
      </c>
      <c r="K7989" s="160" t="s">
        <v>25</v>
      </c>
      <c r="L7989" s="154" t="str">
        <f>IF(OpenLCAbasic!K7989="CTUh", "Fill in Manually",IF(OR(K7989="Unit", K7989=""), "", INDEX(LookUps!$E$5:$E$12, MATCH(OpenLCAbasic!K7989,LookUps!$D$5:$D$12,0))))</f>
        <v>Smog Formation Potential (SFP) - kg O3 eq</v>
      </c>
      <c r="M7989" s="154" t="str">
        <f t="shared" si="623"/>
        <v>Base_Base_Low_Upgraded_Smog Formation Potential (SFP) - kg O3 eq_Anaerobic Digestion; wastewater treatment unit; at updated plant - US_Base_With Amendment_Aerated Static Pile</v>
      </c>
    </row>
    <row r="7990" spans="1:13" s="120" customFormat="1" x14ac:dyDescent="0.25">
      <c r="A7990" s="119"/>
      <c r="B7990" s="138" t="str">
        <f t="shared" si="624"/>
        <v>Aerated Static Pile</v>
      </c>
      <c r="C7990" s="138" t="str">
        <f t="shared" si="625"/>
        <v>Base_With Amendment</v>
      </c>
      <c r="D7990" s="138" t="str">
        <f t="shared" si="626"/>
        <v>Base_Low</v>
      </c>
      <c r="E7990" s="138" t="str">
        <f t="shared" si="627"/>
        <v>Base</v>
      </c>
      <c r="F7990" s="138" t="str">
        <f t="shared" si="628"/>
        <v>Upgraded</v>
      </c>
      <c r="G7990" s="153"/>
      <c r="H7990" s="210">
        <v>4.2000000000000003E-2</v>
      </c>
      <c r="I7990" s="160" t="s">
        <v>147</v>
      </c>
      <c r="J7990" s="160">
        <v>1.9400000000000001E-2</v>
      </c>
      <c r="K7990" s="160" t="s">
        <v>25</v>
      </c>
      <c r="L7990" s="154" t="str">
        <f>IF(OpenLCAbasic!K7990="CTUh", "Fill in Manually",IF(OR(K7990="Unit", K7990=""), "", INDEX(LookUps!$E$5:$E$12, MATCH(OpenLCAbasic!K7990,LookUps!$D$5:$D$12,0))))</f>
        <v>Smog Formation Potential (SFP) - kg O3 eq</v>
      </c>
      <c r="M7990" s="154" t="str">
        <f t="shared" si="623"/>
        <v>Base_Base_Low_Upgraded_Smog Formation Potential (SFP) - kg O3 eq_Influent Pump Station; wastewater treatment unit; at updated plant - US_Base_With Amendment_Aerated Static Pile</v>
      </c>
    </row>
    <row r="7991" spans="1:13" s="120" customFormat="1" x14ac:dyDescent="0.25">
      <c r="A7991" s="119"/>
      <c r="B7991" s="138" t="str">
        <f t="shared" si="624"/>
        <v>Aerated Static Pile</v>
      </c>
      <c r="C7991" s="138" t="str">
        <f t="shared" si="625"/>
        <v>Base_With Amendment</v>
      </c>
      <c r="D7991" s="138" t="str">
        <f t="shared" si="626"/>
        <v>Base_Low</v>
      </c>
      <c r="E7991" s="138" t="str">
        <f t="shared" si="627"/>
        <v>Base</v>
      </c>
      <c r="F7991" s="138" t="str">
        <f t="shared" si="628"/>
        <v>Upgraded</v>
      </c>
      <c r="G7991" s="153"/>
      <c r="H7991" s="210">
        <v>2.58E-2</v>
      </c>
      <c r="I7991" s="160" t="s">
        <v>128</v>
      </c>
      <c r="J7991" s="160">
        <v>1.192E-2</v>
      </c>
      <c r="K7991" s="160" t="s">
        <v>25</v>
      </c>
      <c r="L7991" s="154" t="str">
        <f>IF(OpenLCAbasic!K7991="CTUh", "Fill in Manually",IF(OR(K7991="Unit", K7991=""), "", INDEX(LookUps!$E$5:$E$12, MATCH(OpenLCAbasic!K7991,LookUps!$D$5:$D$12,0))))</f>
        <v>Smog Formation Potential (SFP) - kg O3 eq</v>
      </c>
      <c r="M7991" s="154" t="str">
        <f t="shared" si="623"/>
        <v>Base_Base_Low_Upgraded_Smog Formation Potential (SFP) - kg O3 eq_Wastewater collection; operation and infrastructure; m3 wastewater_Base_With Amendment_Aerated Static Pile</v>
      </c>
    </row>
    <row r="7992" spans="1:13" s="120" customFormat="1" x14ac:dyDescent="0.25">
      <c r="A7992" s="119"/>
      <c r="B7992" s="138" t="str">
        <f t="shared" si="624"/>
        <v>Aerated Static Pile</v>
      </c>
      <c r="C7992" s="138" t="str">
        <f t="shared" si="625"/>
        <v>Base_With Amendment</v>
      </c>
      <c r="D7992" s="138" t="str">
        <f t="shared" si="626"/>
        <v>Base_Low</v>
      </c>
      <c r="E7992" s="138" t="str">
        <f t="shared" si="627"/>
        <v>Base</v>
      </c>
      <c r="F7992" s="138" t="str">
        <f t="shared" si="628"/>
        <v>Upgraded</v>
      </c>
      <c r="G7992" s="153"/>
      <c r="H7992" s="210">
        <v>1.7600000000000001E-2</v>
      </c>
      <c r="I7992" s="160" t="s">
        <v>60</v>
      </c>
      <c r="J7992" s="160">
        <v>8.1600000000000006E-3</v>
      </c>
      <c r="K7992" s="160" t="s">
        <v>25</v>
      </c>
      <c r="L7992" s="154" t="str">
        <f>IF(OpenLCAbasic!K7992="CTUh", "Fill in Manually",IF(OR(K7992="Unit", K7992=""), "", INDEX(LookUps!$E$5:$E$12, MATCH(OpenLCAbasic!K7992,LookUps!$D$5:$D$12,0))))</f>
        <v>Smog Formation Potential (SFP) - kg O3 eq</v>
      </c>
      <c r="M7992" s="154" t="str">
        <f t="shared" si="623"/>
        <v>Base_Base_Low_Upgraded_Smog Formation Potential (SFP) - kg O3 eq_Belt filter press; wastewater treatment unit; at updated plant - US_Base_With Amendment_Aerated Static Pile</v>
      </c>
    </row>
    <row r="7993" spans="1:13" s="120" customFormat="1" x14ac:dyDescent="0.25">
      <c r="A7993" s="119"/>
      <c r="B7993" s="138" t="str">
        <f t="shared" si="624"/>
        <v>Aerated Static Pile</v>
      </c>
      <c r="C7993" s="138" t="str">
        <f t="shared" si="625"/>
        <v>Base_With Amendment</v>
      </c>
      <c r="D7993" s="138" t="str">
        <f t="shared" si="626"/>
        <v>Base_Low</v>
      </c>
      <c r="E7993" s="138" t="str">
        <f t="shared" si="627"/>
        <v>Base</v>
      </c>
      <c r="F7993" s="138" t="str">
        <f t="shared" si="628"/>
        <v>Upgraded</v>
      </c>
      <c r="G7993" s="153"/>
      <c r="H7993" s="210">
        <v>1.44E-2</v>
      </c>
      <c r="I7993" s="160" t="s">
        <v>57</v>
      </c>
      <c r="J7993" s="160">
        <v>6.6499999999999997E-3</v>
      </c>
      <c r="K7993" s="160" t="s">
        <v>25</v>
      </c>
      <c r="L7993" s="154" t="str">
        <f>IF(OpenLCAbasic!K7993="CTUh", "Fill in Manually",IF(OR(K7993="Unit", K7993=""), "", INDEX(LookUps!$E$5:$E$12, MATCH(OpenLCAbasic!K7993,LookUps!$D$5:$D$12,0))))</f>
        <v>Smog Formation Potential (SFP) - kg O3 eq</v>
      </c>
      <c r="M7993" s="154" t="str">
        <f t="shared" si="623"/>
        <v>Base_Base_Low_Upgraded_Smog Formation Potential (SFP) - kg O3 eq_Gravity Belt Thickener; wastewater treatment unit; at updated plant - US_Base_With Amendment_Aerated Static Pile</v>
      </c>
    </row>
    <row r="7994" spans="1:13" s="120" customFormat="1" x14ac:dyDescent="0.25">
      <c r="A7994" s="119"/>
      <c r="B7994" s="138" t="str">
        <f t="shared" si="624"/>
        <v>Aerated Static Pile</v>
      </c>
      <c r="C7994" s="138" t="str">
        <f t="shared" si="625"/>
        <v>Base_With Amendment</v>
      </c>
      <c r="D7994" s="138" t="str">
        <f t="shared" si="626"/>
        <v>Base_Low</v>
      </c>
      <c r="E7994" s="138" t="str">
        <f t="shared" si="627"/>
        <v>Base</v>
      </c>
      <c r="F7994" s="138" t="str">
        <f t="shared" si="628"/>
        <v>Upgraded</v>
      </c>
      <c r="G7994" s="153"/>
      <c r="H7994" s="210">
        <v>1.0800000000000001E-2</v>
      </c>
      <c r="I7994" s="160" t="s">
        <v>59</v>
      </c>
      <c r="J7994" s="160">
        <v>4.9699999999999996E-3</v>
      </c>
      <c r="K7994" s="160" t="s">
        <v>25</v>
      </c>
      <c r="L7994" s="154" t="str">
        <f>IF(OpenLCAbasic!K7994="CTUh", "Fill in Manually",IF(OR(K7994="Unit", K7994=""), "", INDEX(LookUps!$E$5:$E$12, MATCH(OpenLCAbasic!K7994,LookUps!$D$5:$D$12,0))))</f>
        <v>Smog Formation Potential (SFP) - kg O3 eq</v>
      </c>
      <c r="M7994" s="154" t="str">
        <f t="shared" si="623"/>
        <v>Base_Base_Low_Upgraded_Smog Formation Potential (SFP) - kg O3 eq_Blend Tank; wastewater treatment unit; at updated plant - US_Base_With Amendment_Aerated Static Pile</v>
      </c>
    </row>
    <row r="7995" spans="1:13" s="120" customFormat="1" x14ac:dyDescent="0.25">
      <c r="A7995" s="119"/>
      <c r="B7995" s="138" t="str">
        <f t="shared" si="624"/>
        <v>Aerated Static Pile</v>
      </c>
      <c r="C7995" s="138" t="str">
        <f t="shared" si="625"/>
        <v>Base_With Amendment</v>
      </c>
      <c r="D7995" s="138" t="str">
        <f t="shared" si="626"/>
        <v>Base_Low</v>
      </c>
      <c r="E7995" s="138" t="str">
        <f t="shared" si="627"/>
        <v>Base</v>
      </c>
      <c r="F7995" s="138" t="str">
        <f t="shared" si="628"/>
        <v>Upgraded</v>
      </c>
      <c r="G7995" s="153"/>
      <c r="H7995" s="210">
        <v>7.3000000000000001E-3</v>
      </c>
      <c r="I7995" s="160" t="s">
        <v>48</v>
      </c>
      <c r="J7995" s="160">
        <v>3.3899999999999998E-3</v>
      </c>
      <c r="K7995" s="160" t="s">
        <v>25</v>
      </c>
      <c r="L7995" s="154" t="str">
        <f>IF(OpenLCAbasic!K7995="CTUh", "Fill in Manually",IF(OR(K7995="Unit", K7995=""), "", INDEX(LookUps!$E$5:$E$12, MATCH(OpenLCAbasic!K7995,LookUps!$D$5:$D$12,0))))</f>
        <v>Smog Formation Potential (SFP) - kg O3 eq</v>
      </c>
      <c r="M7995" s="154" t="str">
        <f t="shared" ref="M7995:M8058" si="629">CONCATENATE(E7995,"_",D7995,"_",F7995,"_",L7995, "_",I7995,"_", C7995,"_", B7995)</f>
        <v>Base_Base_Low_Upgraded_Smog Formation Potential (SFP) - kg O3 eq_Effluent release; wastewater treatment unit; at surface water; m3 wastewater - US_Base_With Amendment_Aerated Static Pile</v>
      </c>
    </row>
    <row r="7996" spans="1:13" s="120" customFormat="1" x14ac:dyDescent="0.25">
      <c r="A7996" s="119"/>
      <c r="B7996" s="138" t="str">
        <f t="shared" si="624"/>
        <v>Aerated Static Pile</v>
      </c>
      <c r="C7996" s="138" t="str">
        <f t="shared" si="625"/>
        <v>Base_With Amendment</v>
      </c>
      <c r="D7996" s="138" t="str">
        <f t="shared" si="626"/>
        <v>Base_Low</v>
      </c>
      <c r="E7996" s="138" t="str">
        <f t="shared" si="627"/>
        <v>Base</v>
      </c>
      <c r="F7996" s="138" t="str">
        <f t="shared" si="628"/>
        <v>Upgraded</v>
      </c>
      <c r="G7996" s="153"/>
      <c r="H7996" s="210">
        <v>5.3E-3</v>
      </c>
      <c r="I7996" s="160" t="s">
        <v>168</v>
      </c>
      <c r="J7996" s="160">
        <v>2.4599999999999999E-3</v>
      </c>
      <c r="K7996" s="160" t="s">
        <v>25</v>
      </c>
      <c r="L7996" s="154" t="str">
        <f>IF(OpenLCAbasic!K7996="CTUh", "Fill in Manually",IF(OR(K7996="Unit", K7996=""), "", INDEX(LookUps!$E$5:$E$12, MATCH(OpenLCAbasic!K7996,LookUps!$D$5:$D$12,0))))</f>
        <v>Smog Formation Potential (SFP) - kg O3 eq</v>
      </c>
      <c r="M7996" s="154" t="str">
        <f t="shared" si="629"/>
        <v>Base_Base_Low_Upgraded_Smog Formation Potential (SFP) - kg O3 eq_ClearCove SCP; wastewater treatment unit; at updated plant - US_Base_With Amendment_Aerated Static Pile</v>
      </c>
    </row>
    <row r="7997" spans="1:13" s="120" customFormat="1" x14ac:dyDescent="0.25">
      <c r="A7997" s="119"/>
      <c r="B7997" s="138" t="str">
        <f t="shared" si="624"/>
        <v>Aerated Static Pile</v>
      </c>
      <c r="C7997" s="138" t="str">
        <f t="shared" si="625"/>
        <v>Base_With Amendment</v>
      </c>
      <c r="D7997" s="138" t="str">
        <f t="shared" si="626"/>
        <v>Base_Low</v>
      </c>
      <c r="E7997" s="138" t="str">
        <f t="shared" si="627"/>
        <v>Base</v>
      </c>
      <c r="F7997" s="138" t="str">
        <f t="shared" si="628"/>
        <v>Upgraded</v>
      </c>
      <c r="G7997" s="153"/>
      <c r="H7997" s="210">
        <v>1.1999999999999999E-3</v>
      </c>
      <c r="I7997" s="160" t="s">
        <v>148</v>
      </c>
      <c r="J7997" s="160">
        <v>5.4000000000000001E-4</v>
      </c>
      <c r="K7997" s="160" t="s">
        <v>25</v>
      </c>
      <c r="L7997" s="154" t="str">
        <f>IF(OpenLCAbasic!K7997="CTUh", "Fill in Manually",IF(OR(K7997="Unit", K7997=""), "", INDEX(LookUps!$E$5:$E$12, MATCH(OpenLCAbasic!K7997,LookUps!$D$5:$D$12,0))))</f>
        <v>Smog Formation Potential (SFP) - kg O3 eq</v>
      </c>
      <c r="M7997" s="154" t="str">
        <f t="shared" si="629"/>
        <v>Base_Base_Low_Upgraded_Smog Formation Potential (SFP) - kg O3 eq_Control Building; at upgraded wastewater treatment plant - US_Base_With Amendment_Aerated Static Pile</v>
      </c>
    </row>
    <row r="7998" spans="1:13" s="120" customFormat="1" x14ac:dyDescent="0.25">
      <c r="A7998" s="119"/>
      <c r="B7998" s="138" t="str">
        <f t="shared" si="624"/>
        <v>Aerated Static Pile</v>
      </c>
      <c r="C7998" s="138" t="str">
        <f t="shared" si="625"/>
        <v>Base_With Amendment</v>
      </c>
      <c r="D7998" s="138" t="str">
        <f t="shared" si="626"/>
        <v>Base_Low</v>
      </c>
      <c r="E7998" s="138" t="str">
        <f t="shared" si="627"/>
        <v>Base</v>
      </c>
      <c r="F7998" s="138" t="str">
        <f t="shared" si="628"/>
        <v>Upgraded</v>
      </c>
      <c r="G7998" s="153"/>
      <c r="H7998" s="210">
        <v>-6.7000000000000002E-3</v>
      </c>
      <c r="I7998" s="160" t="s">
        <v>62</v>
      </c>
      <c r="J7998" s="160">
        <v>-3.0899999999999999E-3</v>
      </c>
      <c r="K7998" s="160" t="s">
        <v>25</v>
      </c>
      <c r="L7998" s="154" t="str">
        <f>IF(OpenLCAbasic!K7998="CTUh", "Fill in Manually",IF(OR(K7998="Unit", K7998=""), "", INDEX(LookUps!$E$5:$E$12, MATCH(OpenLCAbasic!K7998,LookUps!$D$5:$D$12,0))))</f>
        <v>Smog Formation Potential (SFP) - kg O3 eq</v>
      </c>
      <c r="M7998" s="154" t="str">
        <f t="shared" si="629"/>
        <v>Base_Base_Low_Upgraded_Smog Formation Potential (SFP) - kg O3 eq_Land application of compost; wastewater treatment unit; at updated plant - US_Base_With Amendment_Aerated Static Pile</v>
      </c>
    </row>
    <row r="7999" spans="1:13" s="120" customFormat="1" x14ac:dyDescent="0.25">
      <c r="A7999" s="119"/>
      <c r="B7999" s="138" t="str">
        <f t="shared" si="624"/>
        <v/>
      </c>
      <c r="C7999" s="138" t="str">
        <f t="shared" si="625"/>
        <v/>
      </c>
      <c r="D7999" s="138" t="str">
        <f t="shared" si="626"/>
        <v/>
      </c>
      <c r="E7999" s="138" t="str">
        <f t="shared" si="627"/>
        <v/>
      </c>
      <c r="F7999" s="138" t="str">
        <f t="shared" si="628"/>
        <v/>
      </c>
      <c r="G7999" s="153" t="s">
        <v>51</v>
      </c>
      <c r="H7999" s="160"/>
      <c r="I7999" s="160" t="s">
        <v>47</v>
      </c>
      <c r="J7999" s="160" t="s">
        <v>52</v>
      </c>
      <c r="K7999" s="160" t="s">
        <v>27</v>
      </c>
      <c r="L7999" s="154" t="str">
        <f>IF(OpenLCAbasic!K7999="CTUh", "Fill in Manually",IF(OR(K7999="Unit", K7999=""), "", INDEX(LookUps!$E$5:$E$12, MATCH(OpenLCAbasic!K7999,LookUps!$D$5:$D$12,0))))</f>
        <v/>
      </c>
      <c r="M7999" s="154" t="str">
        <f t="shared" si="629"/>
        <v>____Process__</v>
      </c>
    </row>
    <row r="8000" spans="1:13" s="120" customFormat="1" x14ac:dyDescent="0.25">
      <c r="A8000" s="119"/>
      <c r="B8000" s="138" t="str">
        <f t="shared" si="624"/>
        <v>Aerated Static Pile</v>
      </c>
      <c r="C8000" s="138" t="str">
        <f t="shared" si="625"/>
        <v>Base_With Amendment</v>
      </c>
      <c r="D8000" s="138" t="str">
        <f t="shared" si="626"/>
        <v>Base_Low</v>
      </c>
      <c r="E8000" s="138" t="str">
        <f t="shared" si="627"/>
        <v>Base</v>
      </c>
      <c r="F8000" s="138" t="str">
        <f t="shared" si="628"/>
        <v>Upgraded</v>
      </c>
      <c r="G8000" s="153"/>
      <c r="H8000" s="210">
        <v>2.19</v>
      </c>
      <c r="I8000" s="160" t="s">
        <v>167</v>
      </c>
      <c r="J8000" s="160">
        <v>2.3000000000000001E-4</v>
      </c>
      <c r="K8000" s="160" t="s">
        <v>26</v>
      </c>
      <c r="L8000" s="154" t="str">
        <f>IF(OpenLCAbasic!K8000="CTUh", "Fill in Manually",IF(OR(K8000="Unit", K8000=""), "", INDEX(LookUps!$E$5:$E$12, MATCH(OpenLCAbasic!K8000,LookUps!$D$5:$D$12,0))))</f>
        <v>Water Use (WU) - m3 H2O</v>
      </c>
      <c r="M8000" s="154" t="str">
        <f t="shared" si="629"/>
        <v>Base_Base_Low_Upgraded_Water Use (WU) - m3 H2O_Waste Receiving and Holding; wastewater treatment unit; at updated plant - US_Base_With Amendment_Aerated Static Pile</v>
      </c>
    </row>
    <row r="8001" spans="1:13" s="120" customFormat="1" x14ac:dyDescent="0.25">
      <c r="A8001" s="119"/>
      <c r="B8001" s="138" t="str">
        <f t="shared" si="624"/>
        <v>Aerated Static Pile</v>
      </c>
      <c r="C8001" s="138" t="str">
        <f t="shared" si="625"/>
        <v>Base_With Amendment</v>
      </c>
      <c r="D8001" s="138" t="str">
        <f t="shared" si="626"/>
        <v>Base_Low</v>
      </c>
      <c r="E8001" s="138" t="str">
        <f t="shared" si="627"/>
        <v>Base</v>
      </c>
      <c r="F8001" s="138" t="str">
        <f t="shared" si="628"/>
        <v>Upgraded</v>
      </c>
      <c r="G8001" s="153"/>
      <c r="H8001" s="210">
        <v>1.7329000000000001</v>
      </c>
      <c r="I8001" s="160" t="s">
        <v>147</v>
      </c>
      <c r="J8001" s="160">
        <v>1.8000000000000001E-4</v>
      </c>
      <c r="K8001" s="160" t="s">
        <v>26</v>
      </c>
      <c r="L8001" s="154" t="str">
        <f>IF(OpenLCAbasic!K8001="CTUh", "Fill in Manually",IF(OR(K8001="Unit", K8001=""), "", INDEX(LookUps!$E$5:$E$12, MATCH(OpenLCAbasic!K8001,LookUps!$D$5:$D$12,0))))</f>
        <v>Water Use (WU) - m3 H2O</v>
      </c>
      <c r="M8001" s="154" t="str">
        <f t="shared" si="629"/>
        <v>Base_Base_Low_Upgraded_Water Use (WU) - m3 H2O_Influent Pump Station; wastewater treatment unit; at updated plant - US_Base_With Amendment_Aerated Static Pile</v>
      </c>
    </row>
    <row r="8002" spans="1:13" s="120" customFormat="1" x14ac:dyDescent="0.25">
      <c r="A8002" s="119"/>
      <c r="B8002" s="138" t="str">
        <f t="shared" si="624"/>
        <v>Aerated Static Pile</v>
      </c>
      <c r="C8002" s="138" t="str">
        <f t="shared" si="625"/>
        <v>Base_With Amendment</v>
      </c>
      <c r="D8002" s="138" t="str">
        <f t="shared" si="626"/>
        <v>Base_Low</v>
      </c>
      <c r="E8002" s="138" t="str">
        <f t="shared" si="627"/>
        <v>Base</v>
      </c>
      <c r="F8002" s="138" t="str">
        <f t="shared" si="628"/>
        <v>Upgraded</v>
      </c>
      <c r="G8002" s="153"/>
      <c r="H8002" s="210">
        <v>1.6908000000000001</v>
      </c>
      <c r="I8002" s="160" t="s">
        <v>54</v>
      </c>
      <c r="J8002" s="160">
        <v>1.8000000000000001E-4</v>
      </c>
      <c r="K8002" s="160" t="s">
        <v>26</v>
      </c>
      <c r="L8002" s="154" t="str">
        <f>IF(OpenLCAbasic!K8002="CTUh", "Fill in Manually",IF(OR(K8002="Unit", K8002=""), "", INDEX(LookUps!$E$5:$E$12, MATCH(OpenLCAbasic!K8002,LookUps!$D$5:$D$12,0))))</f>
        <v>Water Use (WU) - m3 H2O</v>
      </c>
      <c r="M8002" s="154" t="str">
        <f t="shared" si="629"/>
        <v>Base_Base_Low_Upgraded_Water Use (WU) - m3 H2O_Clear Cove Primary Clarification; wastewater treatment unit; at updated plant - US_Base_With Amendment_Aerated Static Pile</v>
      </c>
    </row>
    <row r="8003" spans="1:13" s="120" customFormat="1" x14ac:dyDescent="0.25">
      <c r="A8003" s="119"/>
      <c r="B8003" s="138" t="str">
        <f t="shared" si="624"/>
        <v>Aerated Static Pile</v>
      </c>
      <c r="C8003" s="138" t="str">
        <f t="shared" si="625"/>
        <v>Base_With Amendment</v>
      </c>
      <c r="D8003" s="138" t="str">
        <f t="shared" si="626"/>
        <v>Base_Low</v>
      </c>
      <c r="E8003" s="138" t="str">
        <f t="shared" si="627"/>
        <v>Base</v>
      </c>
      <c r="F8003" s="138" t="str">
        <f t="shared" si="628"/>
        <v>Upgraded</v>
      </c>
      <c r="G8003" s="153"/>
      <c r="H8003" s="210">
        <v>1.5338000000000001</v>
      </c>
      <c r="I8003" s="160" t="s">
        <v>55</v>
      </c>
      <c r="J8003" s="160">
        <v>1.6000000000000001E-4</v>
      </c>
      <c r="K8003" s="160" t="s">
        <v>26</v>
      </c>
      <c r="L8003" s="154" t="str">
        <f>IF(OpenLCAbasic!K8003="CTUh", "Fill in Manually",IF(OR(K8003="Unit", K8003=""), "", INDEX(LookUps!$E$5:$E$12, MATCH(OpenLCAbasic!K8003,LookUps!$D$5:$D$12,0))))</f>
        <v>Water Use (WU) - m3 H2O</v>
      </c>
      <c r="M8003" s="154" t="str">
        <f t="shared" si="629"/>
        <v>Base_Base_Low_Upgraded_Water Use (WU) - m3 H2O_Aeration Tanks; wastewater treatment unit; at updated plant - US_Base_With Amendment_Aerated Static Pile</v>
      </c>
    </row>
    <row r="8004" spans="1:13" s="120" customFormat="1" x14ac:dyDescent="0.25">
      <c r="A8004" s="119"/>
      <c r="B8004" s="138" t="str">
        <f t="shared" si="624"/>
        <v>Aerated Static Pile</v>
      </c>
      <c r="C8004" s="138" t="str">
        <f t="shared" si="625"/>
        <v>Base_With Amendment</v>
      </c>
      <c r="D8004" s="138" t="str">
        <f t="shared" si="626"/>
        <v>Base_Low</v>
      </c>
      <c r="E8004" s="138" t="str">
        <f t="shared" si="627"/>
        <v>Base</v>
      </c>
      <c r="F8004" s="138" t="str">
        <f t="shared" si="628"/>
        <v>Upgraded</v>
      </c>
      <c r="G8004" s="153"/>
      <c r="H8004" s="210">
        <v>1.3972</v>
      </c>
      <c r="I8004" s="160" t="s">
        <v>148</v>
      </c>
      <c r="J8004" s="160">
        <v>1.4999999999999999E-4</v>
      </c>
      <c r="K8004" s="160" t="s">
        <v>26</v>
      </c>
      <c r="L8004" s="154" t="str">
        <f>IF(OpenLCAbasic!K8004="CTUh", "Fill in Manually",IF(OR(K8004="Unit", K8004=""), "", INDEX(LookUps!$E$5:$E$12, MATCH(OpenLCAbasic!K8004,LookUps!$D$5:$D$12,0))))</f>
        <v>Water Use (WU) - m3 H2O</v>
      </c>
      <c r="M8004" s="154" t="str">
        <f t="shared" si="629"/>
        <v>Base_Base_Low_Upgraded_Water Use (WU) - m3 H2O_Control Building; at upgraded wastewater treatment plant - US_Base_With Amendment_Aerated Static Pile</v>
      </c>
    </row>
    <row r="8005" spans="1:13" s="120" customFormat="1" x14ac:dyDescent="0.25">
      <c r="A8005" s="119"/>
      <c r="B8005" s="138" t="str">
        <f t="shared" si="624"/>
        <v>Aerated Static Pile</v>
      </c>
      <c r="C8005" s="138" t="str">
        <f t="shared" si="625"/>
        <v>Base_With Amendment</v>
      </c>
      <c r="D8005" s="138" t="str">
        <f t="shared" si="626"/>
        <v>Base_Low</v>
      </c>
      <c r="E8005" s="138" t="str">
        <f t="shared" si="627"/>
        <v>Base</v>
      </c>
      <c r="F8005" s="138" t="str">
        <f t="shared" si="628"/>
        <v>Upgraded</v>
      </c>
      <c r="G8005" s="153"/>
      <c r="H8005" s="210">
        <v>0.64880000000000004</v>
      </c>
      <c r="I8005" s="160" t="s">
        <v>48</v>
      </c>
      <c r="J8005" s="211">
        <v>6.8836400000000004E-5</v>
      </c>
      <c r="K8005" s="160" t="s">
        <v>26</v>
      </c>
      <c r="L8005" s="154" t="str">
        <f>IF(OpenLCAbasic!K8005="CTUh", "Fill in Manually",IF(OR(K8005="Unit", K8005=""), "", INDEX(LookUps!$E$5:$E$12, MATCH(OpenLCAbasic!K8005,LookUps!$D$5:$D$12,0))))</f>
        <v>Water Use (WU) - m3 H2O</v>
      </c>
      <c r="M8005" s="154" t="str">
        <f t="shared" si="629"/>
        <v>Base_Base_Low_Upgraded_Water Use (WU) - m3 H2O_Effluent release; wastewater treatment unit; at surface water; m3 wastewater - US_Base_With Amendment_Aerated Static Pile</v>
      </c>
    </row>
    <row r="8006" spans="1:13" s="120" customFormat="1" x14ac:dyDescent="0.25">
      <c r="A8006" s="119"/>
      <c r="B8006" s="138" t="str">
        <f t="shared" si="624"/>
        <v>Aerated Static Pile</v>
      </c>
      <c r="C8006" s="138" t="str">
        <f t="shared" si="625"/>
        <v>Base_With Amendment</v>
      </c>
      <c r="D8006" s="138" t="str">
        <f t="shared" si="626"/>
        <v>Base_Low</v>
      </c>
      <c r="E8006" s="138" t="str">
        <f t="shared" si="627"/>
        <v>Base</v>
      </c>
      <c r="F8006" s="138" t="str">
        <f t="shared" si="628"/>
        <v>Upgraded</v>
      </c>
      <c r="G8006" s="153"/>
      <c r="H8006" s="210">
        <v>0.4461</v>
      </c>
      <c r="I8006" s="160" t="s">
        <v>149</v>
      </c>
      <c r="J8006" s="211">
        <v>4.7332900000000002E-5</v>
      </c>
      <c r="K8006" s="160" t="s">
        <v>26</v>
      </c>
      <c r="L8006" s="154" t="str">
        <f>IF(OpenLCAbasic!K8006="CTUh", "Fill in Manually",IF(OR(K8006="Unit", K8006=""), "", INDEX(LookUps!$E$5:$E$12, MATCH(OpenLCAbasic!K8006,LookUps!$D$5:$D$12,0))))</f>
        <v>Water Use (WU) - m3 H2O</v>
      </c>
      <c r="M8006" s="154" t="str">
        <f t="shared" si="629"/>
        <v>Base_Base_Low_Upgraded_Water Use (WU) - m3 H2O_Anaerobic Digestion; wastewater treatment unit; at updated plant - US_Base_With Amendment_Aerated Static Pile</v>
      </c>
    </row>
    <row r="8007" spans="1:13" s="120" customFormat="1" x14ac:dyDescent="0.25">
      <c r="A8007" s="119"/>
      <c r="B8007" s="138" t="str">
        <f t="shared" si="624"/>
        <v>Aerated Static Pile</v>
      </c>
      <c r="C8007" s="138" t="str">
        <f t="shared" si="625"/>
        <v>Base_With Amendment</v>
      </c>
      <c r="D8007" s="138" t="str">
        <f t="shared" si="626"/>
        <v>Base_Low</v>
      </c>
      <c r="E8007" s="138" t="str">
        <f t="shared" si="627"/>
        <v>Base</v>
      </c>
      <c r="F8007" s="138" t="str">
        <f t="shared" si="628"/>
        <v>Upgraded</v>
      </c>
      <c r="G8007" s="153"/>
      <c r="H8007" s="210">
        <v>0.40710000000000002</v>
      </c>
      <c r="I8007" s="160" t="s">
        <v>58</v>
      </c>
      <c r="J8007" s="211">
        <v>4.3192100000000003E-5</v>
      </c>
      <c r="K8007" s="160" t="s">
        <v>26</v>
      </c>
      <c r="L8007" s="154" t="str">
        <f>IF(OpenLCAbasic!K8007="CTUh", "Fill in Manually",IF(OR(K8007="Unit", K8007=""), "", INDEX(LookUps!$E$5:$E$12, MATCH(OpenLCAbasic!K8007,LookUps!$D$5:$D$12,0))))</f>
        <v>Water Use (WU) - m3 H2O</v>
      </c>
      <c r="M8007" s="154" t="str">
        <f t="shared" si="629"/>
        <v>Base_Base_Low_Upgraded_Water Use (WU) - m3 H2O_Pre-Anoxic &amp; Swing tank; wastewater treatment unit; at updated plant - US_Base_With Amendment_Aerated Static Pile</v>
      </c>
    </row>
    <row r="8008" spans="1:13" s="120" customFormat="1" x14ac:dyDescent="0.25">
      <c r="A8008" s="119"/>
      <c r="B8008" s="138" t="str">
        <f t="shared" si="624"/>
        <v>Aerated Static Pile</v>
      </c>
      <c r="C8008" s="138" t="str">
        <f t="shared" si="625"/>
        <v>Base_With Amendment</v>
      </c>
      <c r="D8008" s="138" t="str">
        <f t="shared" si="626"/>
        <v>Base_Low</v>
      </c>
      <c r="E8008" s="138" t="str">
        <f t="shared" si="627"/>
        <v>Base</v>
      </c>
      <c r="F8008" s="138" t="str">
        <f t="shared" si="628"/>
        <v>Upgraded</v>
      </c>
      <c r="G8008" s="153"/>
      <c r="H8008" s="210">
        <v>0.28660000000000002</v>
      </c>
      <c r="I8008" s="160" t="s">
        <v>57</v>
      </c>
      <c r="J8008" s="211">
        <v>3.0408100000000001E-5</v>
      </c>
      <c r="K8008" s="160" t="s">
        <v>26</v>
      </c>
      <c r="L8008" s="154" t="str">
        <f>IF(OpenLCAbasic!K8008="CTUh", "Fill in Manually",IF(OR(K8008="Unit", K8008=""), "", INDEX(LookUps!$E$5:$E$12, MATCH(OpenLCAbasic!K8008,LookUps!$D$5:$D$12,0))))</f>
        <v>Water Use (WU) - m3 H2O</v>
      </c>
      <c r="M8008" s="154" t="str">
        <f t="shared" si="629"/>
        <v>Base_Base_Low_Upgraded_Water Use (WU) - m3 H2O_Gravity Belt Thickener; wastewater treatment unit; at updated plant - US_Base_With Amendment_Aerated Static Pile</v>
      </c>
    </row>
    <row r="8009" spans="1:13" s="120" customFormat="1" x14ac:dyDescent="0.25">
      <c r="A8009" s="119"/>
      <c r="B8009" s="138" t="str">
        <f t="shared" ref="B8009:B8072" si="630">IF(F8009="Legacy","n.a.",IF(F8009="","","Aerated Static Pile"))</f>
        <v>Aerated Static Pile</v>
      </c>
      <c r="C8009" s="138" t="str">
        <f t="shared" ref="C8009:C8072" si="631">IF(ISNUMBER($J8009),"Base_With Amendment","")</f>
        <v>Base_With Amendment</v>
      </c>
      <c r="D8009" s="138" t="str">
        <f t="shared" ref="D8009:D8015" si="632">IF(ISNUMBER($J8009),"Base_Low","")</f>
        <v>Base_Low</v>
      </c>
      <c r="E8009" s="138" t="str">
        <f t="shared" ref="E8009:E8072" si="633">IF(ISNUMBER($J8009),"Base","")</f>
        <v>Base</v>
      </c>
      <c r="F8009" s="138" t="str">
        <f t="shared" ref="F8009:F8072" si="634">IF(ISNUMBER(J8009),"Upgraded","")</f>
        <v>Upgraded</v>
      </c>
      <c r="G8009" s="153"/>
      <c r="H8009" s="210">
        <v>0.2296</v>
      </c>
      <c r="I8009" s="160" t="s">
        <v>60</v>
      </c>
      <c r="J8009" s="211">
        <v>2.4357400000000002E-5</v>
      </c>
      <c r="K8009" s="160" t="s">
        <v>26</v>
      </c>
      <c r="L8009" s="154" t="str">
        <f>IF(OpenLCAbasic!K8009="CTUh", "Fill in Manually",IF(OR(K8009="Unit", K8009=""), "", INDEX(LookUps!$E$5:$E$12, MATCH(OpenLCAbasic!K8009,LookUps!$D$5:$D$12,0))))</f>
        <v>Water Use (WU) - m3 H2O</v>
      </c>
      <c r="M8009" s="154" t="str">
        <f t="shared" si="629"/>
        <v>Base_Base_Low_Upgraded_Water Use (WU) - m3 H2O_Belt filter press; wastewater treatment unit; at updated plant - US_Base_With Amendment_Aerated Static Pile</v>
      </c>
    </row>
    <row r="8010" spans="1:13" s="120" customFormat="1" x14ac:dyDescent="0.25">
      <c r="A8010" s="119"/>
      <c r="B8010" s="138" t="str">
        <f t="shared" si="630"/>
        <v>Aerated Static Pile</v>
      </c>
      <c r="C8010" s="138" t="str">
        <f t="shared" si="631"/>
        <v>Base_With Amendment</v>
      </c>
      <c r="D8010" s="138" t="str">
        <f t="shared" si="632"/>
        <v>Base_Low</v>
      </c>
      <c r="E8010" s="138" t="str">
        <f t="shared" si="633"/>
        <v>Base</v>
      </c>
      <c r="F8010" s="138" t="str">
        <f t="shared" si="634"/>
        <v>Upgraded</v>
      </c>
      <c r="G8010" s="153"/>
      <c r="H8010" s="210">
        <v>0.20480000000000001</v>
      </c>
      <c r="I8010" s="160" t="s">
        <v>435</v>
      </c>
      <c r="J8010" s="211">
        <v>2.1732199999999998E-5</v>
      </c>
      <c r="K8010" s="160" t="s">
        <v>26</v>
      </c>
      <c r="L8010" s="154" t="str">
        <f>IF(OpenLCAbasic!K8010="CTUh", "Fill in Manually",IF(OR(K8010="Unit", K8010=""), "", INDEX(LookUps!$E$5:$E$12, MATCH(OpenLCAbasic!K8010,LookUps!$D$5:$D$12,0))))</f>
        <v>Water Use (WU) - m3 H2O</v>
      </c>
      <c r="M8010" s="154" t="str">
        <f t="shared" si="629"/>
        <v>Base_Base_Low_Upgraded_Water Use (WU) - m3 H2O_Biosolids composting; aerated static pile; wastewater treatment unit; at updated plant - US_Base_With Amendment_Aerated Static Pile</v>
      </c>
    </row>
    <row r="8011" spans="1:13" s="120" customFormat="1" x14ac:dyDescent="0.25">
      <c r="A8011" s="119"/>
      <c r="B8011" s="138" t="str">
        <f t="shared" si="630"/>
        <v>Aerated Static Pile</v>
      </c>
      <c r="C8011" s="138" t="str">
        <f t="shared" si="631"/>
        <v>Base_With Amendment</v>
      </c>
      <c r="D8011" s="138" t="str">
        <f t="shared" si="632"/>
        <v>Base_Low</v>
      </c>
      <c r="E8011" s="138" t="str">
        <f t="shared" si="633"/>
        <v>Base</v>
      </c>
      <c r="F8011" s="138" t="str">
        <f t="shared" si="634"/>
        <v>Upgraded</v>
      </c>
      <c r="G8011" s="153"/>
      <c r="H8011" s="210">
        <v>0.16500000000000001</v>
      </c>
      <c r="I8011" s="160" t="s">
        <v>53</v>
      </c>
      <c r="J8011" s="211">
        <v>1.75069E-5</v>
      </c>
      <c r="K8011" s="160" t="s">
        <v>26</v>
      </c>
      <c r="L8011" s="154" t="str">
        <f>IF(OpenLCAbasic!K8011="CTUh", "Fill in Manually",IF(OR(K8011="Unit", K8011=""), "", INDEX(LookUps!$E$5:$E$12, MATCH(OpenLCAbasic!K8011,LookUps!$D$5:$D$12,0))))</f>
        <v>Water Use (WU) - m3 H2O</v>
      </c>
      <c r="M8011" s="154" t="str">
        <f t="shared" si="629"/>
        <v>Base_Base_Low_Upgraded_Water Use (WU) - m3 H2O_Wet Well and Sump Station; wastewater treatment unit; at updated plant - US_Base_With Amendment_Aerated Static Pile</v>
      </c>
    </row>
    <row r="8012" spans="1:13" s="120" customFormat="1" x14ac:dyDescent="0.25">
      <c r="A8012" s="119"/>
      <c r="B8012" s="138" t="str">
        <f t="shared" si="630"/>
        <v>Aerated Static Pile</v>
      </c>
      <c r="C8012" s="138" t="str">
        <f t="shared" si="631"/>
        <v>Base_With Amendment</v>
      </c>
      <c r="D8012" s="138" t="str">
        <f t="shared" si="632"/>
        <v>Base_Low</v>
      </c>
      <c r="E8012" s="138" t="str">
        <f t="shared" si="633"/>
        <v>Base</v>
      </c>
      <c r="F8012" s="138" t="str">
        <f t="shared" si="634"/>
        <v>Upgraded</v>
      </c>
      <c r="G8012" s="153"/>
      <c r="H8012" s="210">
        <v>6.6100000000000006E-2</v>
      </c>
      <c r="I8012" s="160" t="s">
        <v>59</v>
      </c>
      <c r="J8012" s="211">
        <v>7.0179500000000003E-6</v>
      </c>
      <c r="K8012" s="160" t="s">
        <v>26</v>
      </c>
      <c r="L8012" s="154" t="str">
        <f>IF(OpenLCAbasic!K8012="CTUh", "Fill in Manually",IF(OR(K8012="Unit", K8012=""), "", INDEX(LookUps!$E$5:$E$12, MATCH(OpenLCAbasic!K8012,LookUps!$D$5:$D$12,0))))</f>
        <v>Water Use (WU) - m3 H2O</v>
      </c>
      <c r="M8012" s="154" t="str">
        <f t="shared" si="629"/>
        <v>Base_Base_Low_Upgraded_Water Use (WU) - m3 H2O_Blend Tank; wastewater treatment unit; at updated plant - US_Base_With Amendment_Aerated Static Pile</v>
      </c>
    </row>
    <row r="8013" spans="1:13" s="120" customFormat="1" x14ac:dyDescent="0.25">
      <c r="A8013" s="119"/>
      <c r="B8013" s="138" t="str">
        <f t="shared" si="630"/>
        <v>Aerated Static Pile</v>
      </c>
      <c r="C8013" s="138" t="str">
        <f t="shared" si="631"/>
        <v>Base_With Amendment</v>
      </c>
      <c r="D8013" s="138" t="str">
        <f t="shared" si="632"/>
        <v>Base_Low</v>
      </c>
      <c r="E8013" s="138" t="str">
        <f t="shared" si="633"/>
        <v>Base</v>
      </c>
      <c r="F8013" s="138" t="str">
        <f t="shared" si="634"/>
        <v>Upgraded</v>
      </c>
      <c r="G8013" s="153"/>
      <c r="H8013" s="210">
        <v>4.7699999999999999E-2</v>
      </c>
      <c r="I8013" s="160" t="s">
        <v>128</v>
      </c>
      <c r="J8013" s="211">
        <v>5.0608900000000003E-6</v>
      </c>
      <c r="K8013" s="160" t="s">
        <v>26</v>
      </c>
      <c r="L8013" s="154" t="str">
        <f>IF(OpenLCAbasic!K8013="CTUh", "Fill in Manually",IF(OR(K8013="Unit", K8013=""), "", INDEX(LookUps!$E$5:$E$12, MATCH(OpenLCAbasic!K8013,LookUps!$D$5:$D$12,0))))</f>
        <v>Water Use (WU) - m3 H2O</v>
      </c>
      <c r="M8013" s="154" t="str">
        <f t="shared" si="629"/>
        <v>Base_Base_Low_Upgraded_Water Use (WU) - m3 H2O_Wastewater collection; operation and infrastructure; m3 wastewater_Base_With Amendment_Aerated Static Pile</v>
      </c>
    </row>
    <row r="8014" spans="1:13" s="120" customFormat="1" x14ac:dyDescent="0.25">
      <c r="A8014" s="119"/>
      <c r="B8014" s="138" t="str">
        <f t="shared" si="630"/>
        <v>Aerated Static Pile</v>
      </c>
      <c r="C8014" s="138" t="str">
        <f t="shared" si="631"/>
        <v>Base_With Amendment</v>
      </c>
      <c r="D8014" s="138" t="str">
        <f t="shared" si="632"/>
        <v>Base_Low</v>
      </c>
      <c r="E8014" s="138" t="str">
        <f t="shared" si="633"/>
        <v>Base</v>
      </c>
      <c r="F8014" s="138" t="str">
        <f t="shared" si="634"/>
        <v>Upgraded</v>
      </c>
      <c r="G8014" s="153"/>
      <c r="H8014" s="210">
        <v>7.1999999999999998E-3</v>
      </c>
      <c r="I8014" s="160" t="s">
        <v>168</v>
      </c>
      <c r="J8014" s="211">
        <v>7.6697000000000004E-7</v>
      </c>
      <c r="K8014" s="160" t="s">
        <v>26</v>
      </c>
      <c r="L8014" s="154" t="str">
        <f>IF(OpenLCAbasic!K8014="CTUh", "Fill in Manually",IF(OR(K8014="Unit", K8014=""), "", INDEX(LookUps!$E$5:$E$12, MATCH(OpenLCAbasic!K8014,LookUps!$D$5:$D$12,0))))</f>
        <v>Water Use (WU) - m3 H2O</v>
      </c>
      <c r="M8014" s="154" t="str">
        <f t="shared" si="629"/>
        <v>Base_Base_Low_Upgraded_Water Use (WU) - m3 H2O_ClearCove SCP; wastewater treatment unit; at updated plant - US_Base_With Amendment_Aerated Static Pile</v>
      </c>
    </row>
    <row r="8015" spans="1:13" s="120" customFormat="1" x14ac:dyDescent="0.25">
      <c r="A8015" s="119"/>
      <c r="B8015" s="138" t="str">
        <f t="shared" si="630"/>
        <v>Aerated Static Pile</v>
      </c>
      <c r="C8015" s="138" t="str">
        <f t="shared" si="631"/>
        <v>Base_With Amendment</v>
      </c>
      <c r="D8015" s="138" t="str">
        <f t="shared" si="632"/>
        <v>Base_Low</v>
      </c>
      <c r="E8015" s="138" t="str">
        <f t="shared" si="633"/>
        <v>Base</v>
      </c>
      <c r="F8015" s="138" t="str">
        <f t="shared" si="634"/>
        <v>Upgraded</v>
      </c>
      <c r="G8015" s="153"/>
      <c r="H8015" s="210">
        <v>-12.053900000000001</v>
      </c>
      <c r="I8015" s="160" t="s">
        <v>62</v>
      </c>
      <c r="J8015" s="160">
        <v>-1.2800000000000001E-3</v>
      </c>
      <c r="K8015" s="160" t="s">
        <v>26</v>
      </c>
      <c r="L8015" s="154" t="str">
        <f>IF(OpenLCAbasic!K8015="CTUh", "Fill in Manually",IF(OR(K8015="Unit", K8015=""), "", INDEX(LookUps!$E$5:$E$12, MATCH(OpenLCAbasic!K8015,LookUps!$D$5:$D$12,0))))</f>
        <v>Water Use (WU) - m3 H2O</v>
      </c>
      <c r="M8015" s="154" t="str">
        <f t="shared" si="629"/>
        <v>Base_Base_Low_Upgraded_Water Use (WU) - m3 H2O_Land application of compost; wastewater treatment unit; at updated plant - US_Base_With Amendment_Aerated Static Pile</v>
      </c>
    </row>
    <row r="8016" spans="1:13" s="120" customFormat="1" x14ac:dyDescent="0.25">
      <c r="A8016" s="119"/>
      <c r="B8016" s="138" t="str">
        <f t="shared" si="630"/>
        <v/>
      </c>
      <c r="C8016" s="138" t="str">
        <f t="shared" si="631"/>
        <v/>
      </c>
      <c r="D8016" s="138" t="str">
        <f>IF(ISNUMBER($J8016),"Base_High","")</f>
        <v/>
      </c>
      <c r="E8016" s="138" t="str">
        <f t="shared" si="633"/>
        <v/>
      </c>
      <c r="F8016" s="138" t="str">
        <f t="shared" si="634"/>
        <v/>
      </c>
      <c r="G8016" s="153" t="s">
        <v>51</v>
      </c>
      <c r="H8016" s="160"/>
      <c r="I8016" s="160" t="s">
        <v>47</v>
      </c>
      <c r="J8016" s="160" t="s">
        <v>52</v>
      </c>
      <c r="K8016" s="160" t="s">
        <v>27</v>
      </c>
      <c r="L8016" s="154" t="str">
        <f>IF(OpenLCAbasic!K8016="CTUh", "Fill in Manually",IF(OR(K8016="Unit", K8016=""), "", INDEX(LookUps!$E$5:$E$12, MATCH(OpenLCAbasic!K8016,LookUps!$D$5:$D$12,0))))</f>
        <v/>
      </c>
      <c r="M8016" s="154" t="str">
        <f t="shared" si="629"/>
        <v>____Process__</v>
      </c>
    </row>
    <row r="8017" spans="1:13" s="120" customFormat="1" x14ac:dyDescent="0.25">
      <c r="A8017" s="119"/>
      <c r="B8017" s="138" t="str">
        <f t="shared" si="630"/>
        <v>Aerated Static Pile</v>
      </c>
      <c r="C8017" s="138" t="str">
        <f t="shared" si="631"/>
        <v>Base_With Amendment</v>
      </c>
      <c r="D8017" s="138" t="str">
        <f t="shared" ref="D8017:D8080" si="635">IF(ISNUMBER($J8017),"Base_High","")</f>
        <v>Base_High</v>
      </c>
      <c r="E8017" s="138" t="str">
        <f t="shared" si="633"/>
        <v>Base</v>
      </c>
      <c r="F8017" s="138" t="str">
        <f t="shared" si="634"/>
        <v>Upgraded</v>
      </c>
      <c r="G8017" s="153"/>
      <c r="H8017" s="210">
        <v>2.1513</v>
      </c>
      <c r="I8017" s="160" t="s">
        <v>55</v>
      </c>
      <c r="J8017" s="160">
        <v>1.7219999999999999E-2</v>
      </c>
      <c r="K8017" s="160" t="s">
        <v>24</v>
      </c>
      <c r="L8017" s="154" t="str">
        <f>IF(OpenLCAbasic!K8017="CTUh", "Fill in Manually",IF(OR(K8017="Unit", K8017=""), "", INDEX(LookUps!$E$5:$E$12, MATCH(OpenLCAbasic!K8017,LookUps!$D$5:$D$12,0))))</f>
        <v>Acidification Potential (AP) - kg SO2 eq</v>
      </c>
      <c r="M8017" s="154" t="str">
        <f t="shared" si="629"/>
        <v>Base_Base_High_Upgraded_Acidification Potential (AP) - kg SO2 eq_Aeration Tanks; wastewater treatment unit; at updated plant - US_Base_With Amendment_Aerated Static Pile</v>
      </c>
    </row>
    <row r="8018" spans="1:13" s="120" customFormat="1" x14ac:dyDescent="0.25">
      <c r="A8018" s="119"/>
      <c r="B8018" s="138" t="str">
        <f t="shared" si="630"/>
        <v>Aerated Static Pile</v>
      </c>
      <c r="C8018" s="138" t="str">
        <f t="shared" si="631"/>
        <v>Base_With Amendment</v>
      </c>
      <c r="D8018" s="138" t="str">
        <f t="shared" si="635"/>
        <v>Base_High</v>
      </c>
      <c r="E8018" s="138" t="str">
        <f t="shared" si="633"/>
        <v>Base</v>
      </c>
      <c r="F8018" s="138" t="str">
        <f t="shared" si="634"/>
        <v>Upgraded</v>
      </c>
      <c r="G8018" s="153"/>
      <c r="H8018" s="210">
        <v>0.75860000000000005</v>
      </c>
      <c r="I8018" s="160" t="s">
        <v>435</v>
      </c>
      <c r="J8018" s="160">
        <v>6.0699999999999999E-3</v>
      </c>
      <c r="K8018" s="160" t="s">
        <v>24</v>
      </c>
      <c r="L8018" s="154" t="str">
        <f>IF(OpenLCAbasic!K8018="CTUh", "Fill in Manually",IF(OR(K8018="Unit", K8018=""), "", INDEX(LookUps!$E$5:$E$12, MATCH(OpenLCAbasic!K8018,LookUps!$D$5:$D$12,0))))</f>
        <v>Acidification Potential (AP) - kg SO2 eq</v>
      </c>
      <c r="M8018" s="154" t="str">
        <f t="shared" si="629"/>
        <v>Base_Base_High_Upgraded_Acidification Potential (AP) - kg SO2 eq_Biosolids composting; aerated static pile; wastewater treatment unit; at updated plant - US_Base_With Amendment_Aerated Static Pile</v>
      </c>
    </row>
    <row r="8019" spans="1:13" s="120" customFormat="1" x14ac:dyDescent="0.25">
      <c r="A8019" s="119"/>
      <c r="B8019" s="138" t="str">
        <f t="shared" si="630"/>
        <v>Aerated Static Pile</v>
      </c>
      <c r="C8019" s="138" t="str">
        <f t="shared" si="631"/>
        <v>Base_With Amendment</v>
      </c>
      <c r="D8019" s="138" t="str">
        <f t="shared" si="635"/>
        <v>Base_High</v>
      </c>
      <c r="E8019" s="138" t="str">
        <f t="shared" si="633"/>
        <v>Base</v>
      </c>
      <c r="F8019" s="138" t="str">
        <f t="shared" si="634"/>
        <v>Upgraded</v>
      </c>
      <c r="G8019" s="153"/>
      <c r="H8019" s="210">
        <v>0.62219999999999998</v>
      </c>
      <c r="I8019" s="160" t="s">
        <v>54</v>
      </c>
      <c r="J8019" s="160">
        <v>4.9800000000000001E-3</v>
      </c>
      <c r="K8019" s="160" t="s">
        <v>24</v>
      </c>
      <c r="L8019" s="154" t="str">
        <f>IF(OpenLCAbasic!K8019="CTUh", "Fill in Manually",IF(OR(K8019="Unit", K8019=""), "", INDEX(LookUps!$E$5:$E$12, MATCH(OpenLCAbasic!K8019,LookUps!$D$5:$D$12,0))))</f>
        <v>Acidification Potential (AP) - kg SO2 eq</v>
      </c>
      <c r="M8019" s="154" t="str">
        <f t="shared" si="629"/>
        <v>Base_Base_High_Upgraded_Acidification Potential (AP) - kg SO2 eq_Clear Cove Primary Clarification; wastewater treatment unit; at updated plant - US_Base_With Amendment_Aerated Static Pile</v>
      </c>
    </row>
    <row r="8020" spans="1:13" s="120" customFormat="1" x14ac:dyDescent="0.25">
      <c r="A8020" s="119"/>
      <c r="B8020" s="138" t="str">
        <f t="shared" si="630"/>
        <v>Aerated Static Pile</v>
      </c>
      <c r="C8020" s="138" t="str">
        <f t="shared" si="631"/>
        <v>Base_With Amendment</v>
      </c>
      <c r="D8020" s="138" t="str">
        <f t="shared" si="635"/>
        <v>Base_High</v>
      </c>
      <c r="E8020" s="138" t="str">
        <f t="shared" si="633"/>
        <v>Base</v>
      </c>
      <c r="F8020" s="138" t="str">
        <f t="shared" si="634"/>
        <v>Upgraded</v>
      </c>
      <c r="G8020" s="153"/>
      <c r="H8020" s="210">
        <v>0.54110000000000003</v>
      </c>
      <c r="I8020" s="160" t="s">
        <v>58</v>
      </c>
      <c r="J8020" s="160">
        <v>4.3299999999999996E-3</v>
      </c>
      <c r="K8020" s="160" t="s">
        <v>24</v>
      </c>
      <c r="L8020" s="154" t="str">
        <f>IF(OpenLCAbasic!K8020="CTUh", "Fill in Manually",IF(OR(K8020="Unit", K8020=""), "", INDEX(LookUps!$E$5:$E$12, MATCH(OpenLCAbasic!K8020,LookUps!$D$5:$D$12,0))))</f>
        <v>Acidification Potential (AP) - kg SO2 eq</v>
      </c>
      <c r="M8020" s="154" t="str">
        <f t="shared" si="629"/>
        <v>Base_Base_High_Upgraded_Acidification Potential (AP) - kg SO2 eq_Pre-Anoxic &amp; Swing tank; wastewater treatment unit; at updated plant - US_Base_With Amendment_Aerated Static Pile</v>
      </c>
    </row>
    <row r="8021" spans="1:13" s="120" customFormat="1" x14ac:dyDescent="0.25">
      <c r="A8021" s="119"/>
      <c r="B8021" s="138" t="str">
        <f t="shared" si="630"/>
        <v>Aerated Static Pile</v>
      </c>
      <c r="C8021" s="138" t="str">
        <f t="shared" si="631"/>
        <v>Base_With Amendment</v>
      </c>
      <c r="D8021" s="138" t="str">
        <f t="shared" si="635"/>
        <v>Base_High</v>
      </c>
      <c r="E8021" s="138" t="str">
        <f t="shared" si="633"/>
        <v>Base</v>
      </c>
      <c r="F8021" s="138" t="str">
        <f t="shared" si="634"/>
        <v>Upgraded</v>
      </c>
      <c r="G8021" s="153"/>
      <c r="H8021" s="210">
        <v>0.43109999999999998</v>
      </c>
      <c r="I8021" s="160" t="s">
        <v>53</v>
      </c>
      <c r="J8021" s="160">
        <v>3.4499999999999999E-3</v>
      </c>
      <c r="K8021" s="160" t="s">
        <v>24</v>
      </c>
      <c r="L8021" s="154" t="str">
        <f>IF(OpenLCAbasic!K8021="CTUh", "Fill in Manually",IF(OR(K8021="Unit", K8021=""), "", INDEX(LookUps!$E$5:$E$12, MATCH(OpenLCAbasic!K8021,LookUps!$D$5:$D$12,0))))</f>
        <v>Acidification Potential (AP) - kg SO2 eq</v>
      </c>
      <c r="M8021" s="154" t="str">
        <f t="shared" si="629"/>
        <v>Base_Base_High_Upgraded_Acidification Potential (AP) - kg SO2 eq_Wet Well and Sump Station; wastewater treatment unit; at updated plant - US_Base_With Amendment_Aerated Static Pile</v>
      </c>
    </row>
    <row r="8022" spans="1:13" s="120" customFormat="1" x14ac:dyDescent="0.25">
      <c r="A8022" s="119"/>
      <c r="B8022" s="138" t="str">
        <f t="shared" si="630"/>
        <v>Aerated Static Pile</v>
      </c>
      <c r="C8022" s="138" t="str">
        <f t="shared" si="631"/>
        <v>Base_With Amendment</v>
      </c>
      <c r="D8022" s="138" t="str">
        <f t="shared" si="635"/>
        <v>Base_High</v>
      </c>
      <c r="E8022" s="138" t="str">
        <f t="shared" si="633"/>
        <v>Base</v>
      </c>
      <c r="F8022" s="138" t="str">
        <f t="shared" si="634"/>
        <v>Upgraded</v>
      </c>
      <c r="G8022" s="153"/>
      <c r="H8022" s="210">
        <v>0.31740000000000002</v>
      </c>
      <c r="I8022" s="160" t="s">
        <v>62</v>
      </c>
      <c r="J8022" s="160">
        <v>2.5400000000000002E-3</v>
      </c>
      <c r="K8022" s="160" t="s">
        <v>24</v>
      </c>
      <c r="L8022" s="154" t="str">
        <f>IF(OpenLCAbasic!K8022="CTUh", "Fill in Manually",IF(OR(K8022="Unit", K8022=""), "", INDEX(LookUps!$E$5:$E$12, MATCH(OpenLCAbasic!K8022,LookUps!$D$5:$D$12,0))))</f>
        <v>Acidification Potential (AP) - kg SO2 eq</v>
      </c>
      <c r="M8022" s="154" t="str">
        <f t="shared" si="629"/>
        <v>Base_Base_High_Upgraded_Acidification Potential (AP) - kg SO2 eq_Land application of compost; wastewater treatment unit; at updated plant - US_Base_With Amendment_Aerated Static Pile</v>
      </c>
    </row>
    <row r="8023" spans="1:13" s="120" customFormat="1" x14ac:dyDescent="0.25">
      <c r="A8023" s="119"/>
      <c r="B8023" s="138" t="str">
        <f t="shared" si="630"/>
        <v>Aerated Static Pile</v>
      </c>
      <c r="C8023" s="138" t="str">
        <f t="shared" si="631"/>
        <v>Base_With Amendment</v>
      </c>
      <c r="D8023" s="138" t="str">
        <f t="shared" si="635"/>
        <v>Base_High</v>
      </c>
      <c r="E8023" s="138" t="str">
        <f t="shared" si="633"/>
        <v>Base</v>
      </c>
      <c r="F8023" s="138" t="str">
        <f t="shared" si="634"/>
        <v>Upgraded</v>
      </c>
      <c r="G8023" s="153"/>
      <c r="H8023" s="210">
        <v>0.29670000000000002</v>
      </c>
      <c r="I8023" s="160" t="s">
        <v>167</v>
      </c>
      <c r="J8023" s="160">
        <v>2.3800000000000002E-3</v>
      </c>
      <c r="K8023" s="160" t="s">
        <v>24</v>
      </c>
      <c r="L8023" s="154" t="str">
        <f>IF(OpenLCAbasic!K8023="CTUh", "Fill in Manually",IF(OR(K8023="Unit", K8023=""), "", INDEX(LookUps!$E$5:$E$12, MATCH(OpenLCAbasic!K8023,LookUps!$D$5:$D$12,0))))</f>
        <v>Acidification Potential (AP) - kg SO2 eq</v>
      </c>
      <c r="M8023" s="154" t="str">
        <f t="shared" si="629"/>
        <v>Base_Base_High_Upgraded_Acidification Potential (AP) - kg SO2 eq_Waste Receiving and Holding; wastewater treatment unit; at updated plant - US_Base_With Amendment_Aerated Static Pile</v>
      </c>
    </row>
    <row r="8024" spans="1:13" s="120" customFormat="1" x14ac:dyDescent="0.25">
      <c r="A8024" s="119"/>
      <c r="B8024" s="138" t="str">
        <f t="shared" si="630"/>
        <v>Aerated Static Pile</v>
      </c>
      <c r="C8024" s="138" t="str">
        <f t="shared" si="631"/>
        <v>Base_With Amendment</v>
      </c>
      <c r="D8024" s="138" t="str">
        <f t="shared" si="635"/>
        <v>Base_High</v>
      </c>
      <c r="E8024" s="138" t="str">
        <f t="shared" si="633"/>
        <v>Base</v>
      </c>
      <c r="F8024" s="138" t="str">
        <f t="shared" si="634"/>
        <v>Upgraded</v>
      </c>
      <c r="G8024" s="153"/>
      <c r="H8024" s="210">
        <v>0.25840000000000002</v>
      </c>
      <c r="I8024" s="160" t="s">
        <v>147</v>
      </c>
      <c r="J8024" s="160">
        <v>2.0699999999999998E-3</v>
      </c>
      <c r="K8024" s="160" t="s">
        <v>24</v>
      </c>
      <c r="L8024" s="154" t="str">
        <f>IF(OpenLCAbasic!K8024="CTUh", "Fill in Manually",IF(OR(K8024="Unit", K8024=""), "", INDEX(LookUps!$E$5:$E$12, MATCH(OpenLCAbasic!K8024,LookUps!$D$5:$D$12,0))))</f>
        <v>Acidification Potential (AP) - kg SO2 eq</v>
      </c>
      <c r="M8024" s="154" t="str">
        <f t="shared" si="629"/>
        <v>Base_Base_High_Upgraded_Acidification Potential (AP) - kg SO2 eq_Influent Pump Station; wastewater treatment unit; at updated plant - US_Base_With Amendment_Aerated Static Pile</v>
      </c>
    </row>
    <row r="8025" spans="1:13" s="120" customFormat="1" x14ac:dyDescent="0.25">
      <c r="A8025" s="119"/>
      <c r="B8025" s="138" t="str">
        <f t="shared" si="630"/>
        <v>Aerated Static Pile</v>
      </c>
      <c r="C8025" s="138" t="str">
        <f t="shared" si="631"/>
        <v>Base_With Amendment</v>
      </c>
      <c r="D8025" s="138" t="str">
        <f t="shared" si="635"/>
        <v>Base_High</v>
      </c>
      <c r="E8025" s="138" t="str">
        <f t="shared" si="633"/>
        <v>Base</v>
      </c>
      <c r="F8025" s="138" t="str">
        <f t="shared" si="634"/>
        <v>Upgraded</v>
      </c>
      <c r="G8025" s="153"/>
      <c r="H8025" s="210">
        <v>0.154</v>
      </c>
      <c r="I8025" s="160" t="s">
        <v>128</v>
      </c>
      <c r="J8025" s="160">
        <v>1.23E-3</v>
      </c>
      <c r="K8025" s="160" t="s">
        <v>24</v>
      </c>
      <c r="L8025" s="154" t="str">
        <f>IF(OpenLCAbasic!K8025="CTUh", "Fill in Manually",IF(OR(K8025="Unit", K8025=""), "", INDEX(LookUps!$E$5:$E$12, MATCH(OpenLCAbasic!K8025,LookUps!$D$5:$D$12,0))))</f>
        <v>Acidification Potential (AP) - kg SO2 eq</v>
      </c>
      <c r="M8025" s="154" t="str">
        <f t="shared" si="629"/>
        <v>Base_Base_High_Upgraded_Acidification Potential (AP) - kg SO2 eq_Wastewater collection; operation and infrastructure; m3 wastewater_Base_With Amendment_Aerated Static Pile</v>
      </c>
    </row>
    <row r="8026" spans="1:13" s="120" customFormat="1" x14ac:dyDescent="0.25">
      <c r="A8026" s="119"/>
      <c r="B8026" s="138" t="str">
        <f t="shared" si="630"/>
        <v>Aerated Static Pile</v>
      </c>
      <c r="C8026" s="138" t="str">
        <f t="shared" si="631"/>
        <v>Base_With Amendment</v>
      </c>
      <c r="D8026" s="138" t="str">
        <f t="shared" si="635"/>
        <v>Base_High</v>
      </c>
      <c r="E8026" s="138" t="str">
        <f t="shared" si="633"/>
        <v>Base</v>
      </c>
      <c r="F8026" s="138" t="str">
        <f t="shared" si="634"/>
        <v>Upgraded</v>
      </c>
      <c r="G8026" s="153"/>
      <c r="H8026" s="210">
        <v>9.2899999999999996E-2</v>
      </c>
      <c r="I8026" s="160" t="s">
        <v>60</v>
      </c>
      <c r="J8026" s="160">
        <v>7.3999999999999999E-4</v>
      </c>
      <c r="K8026" s="160" t="s">
        <v>24</v>
      </c>
      <c r="L8026" s="154" t="str">
        <f>IF(OpenLCAbasic!K8026="CTUh", "Fill in Manually",IF(OR(K8026="Unit", K8026=""), "", INDEX(LookUps!$E$5:$E$12, MATCH(OpenLCAbasic!K8026,LookUps!$D$5:$D$12,0))))</f>
        <v>Acidification Potential (AP) - kg SO2 eq</v>
      </c>
      <c r="M8026" s="154" t="str">
        <f t="shared" si="629"/>
        <v>Base_Base_High_Upgraded_Acidification Potential (AP) - kg SO2 eq_Belt filter press; wastewater treatment unit; at updated plant - US_Base_With Amendment_Aerated Static Pile</v>
      </c>
    </row>
    <row r="8027" spans="1:13" s="120" customFormat="1" x14ac:dyDescent="0.25">
      <c r="A8027" s="119"/>
      <c r="B8027" s="138" t="str">
        <f t="shared" si="630"/>
        <v>Aerated Static Pile</v>
      </c>
      <c r="C8027" s="138" t="str">
        <f t="shared" si="631"/>
        <v>Base_With Amendment</v>
      </c>
      <c r="D8027" s="138" t="str">
        <f t="shared" si="635"/>
        <v>Base_High</v>
      </c>
      <c r="E8027" s="138" t="str">
        <f t="shared" si="633"/>
        <v>Base</v>
      </c>
      <c r="F8027" s="138" t="str">
        <f t="shared" si="634"/>
        <v>Upgraded</v>
      </c>
      <c r="G8027" s="153"/>
      <c r="H8027" s="210">
        <v>8.7900000000000006E-2</v>
      </c>
      <c r="I8027" s="160" t="s">
        <v>57</v>
      </c>
      <c r="J8027" s="160">
        <v>6.9999999999999999E-4</v>
      </c>
      <c r="K8027" s="160" t="s">
        <v>24</v>
      </c>
      <c r="L8027" s="154" t="str">
        <f>IF(OpenLCAbasic!K8027="CTUh", "Fill in Manually",IF(OR(K8027="Unit", K8027=""), "", INDEX(LookUps!$E$5:$E$12, MATCH(OpenLCAbasic!K8027,LookUps!$D$5:$D$12,0))))</f>
        <v>Acidification Potential (AP) - kg SO2 eq</v>
      </c>
      <c r="M8027" s="154" t="str">
        <f t="shared" si="629"/>
        <v>Base_Base_High_Upgraded_Acidification Potential (AP) - kg SO2 eq_Gravity Belt Thickener; wastewater treatment unit; at updated plant - US_Base_With Amendment_Aerated Static Pile</v>
      </c>
    </row>
    <row r="8028" spans="1:13" s="120" customFormat="1" x14ac:dyDescent="0.25">
      <c r="A8028" s="119"/>
      <c r="B8028" s="138" t="str">
        <f t="shared" si="630"/>
        <v>Aerated Static Pile</v>
      </c>
      <c r="C8028" s="138" t="str">
        <f t="shared" si="631"/>
        <v>Base_With Amendment</v>
      </c>
      <c r="D8028" s="138" t="str">
        <f t="shared" si="635"/>
        <v>Base_High</v>
      </c>
      <c r="E8028" s="138" t="str">
        <f t="shared" si="633"/>
        <v>Base</v>
      </c>
      <c r="F8028" s="138" t="str">
        <f t="shared" si="634"/>
        <v>Upgraded</v>
      </c>
      <c r="G8028" s="153"/>
      <c r="H8028" s="210">
        <v>6.4500000000000002E-2</v>
      </c>
      <c r="I8028" s="160" t="s">
        <v>59</v>
      </c>
      <c r="J8028" s="160">
        <v>5.1999999999999995E-4</v>
      </c>
      <c r="K8028" s="160" t="s">
        <v>24</v>
      </c>
      <c r="L8028" s="154" t="str">
        <f>IF(OpenLCAbasic!K8028="CTUh", "Fill in Manually",IF(OR(K8028="Unit", K8028=""), "", INDEX(LookUps!$E$5:$E$12, MATCH(OpenLCAbasic!K8028,LookUps!$D$5:$D$12,0))))</f>
        <v>Acidification Potential (AP) - kg SO2 eq</v>
      </c>
      <c r="M8028" s="154" t="str">
        <f t="shared" si="629"/>
        <v>Base_Base_High_Upgraded_Acidification Potential (AP) - kg SO2 eq_Blend Tank; wastewater treatment unit; at updated plant - US_Base_With Amendment_Aerated Static Pile</v>
      </c>
    </row>
    <row r="8029" spans="1:13" s="120" customFormat="1" x14ac:dyDescent="0.25">
      <c r="A8029" s="119"/>
      <c r="B8029" s="138" t="str">
        <f t="shared" si="630"/>
        <v>Aerated Static Pile</v>
      </c>
      <c r="C8029" s="138" t="str">
        <f t="shared" si="631"/>
        <v>Base_With Amendment</v>
      </c>
      <c r="D8029" s="138" t="str">
        <f t="shared" si="635"/>
        <v>Base_High</v>
      </c>
      <c r="E8029" s="138" t="str">
        <f t="shared" si="633"/>
        <v>Base</v>
      </c>
      <c r="F8029" s="138" t="str">
        <f t="shared" si="634"/>
        <v>Upgraded</v>
      </c>
      <c r="G8029" s="153"/>
      <c r="H8029" s="210">
        <v>4.3299999999999998E-2</v>
      </c>
      <c r="I8029" s="160" t="s">
        <v>48</v>
      </c>
      <c r="J8029" s="160">
        <v>3.5E-4</v>
      </c>
      <c r="K8029" s="160" t="s">
        <v>24</v>
      </c>
      <c r="L8029" s="154" t="str">
        <f>IF(OpenLCAbasic!K8029="CTUh", "Fill in Manually",IF(OR(K8029="Unit", K8029=""), "", INDEX(LookUps!$E$5:$E$12, MATCH(OpenLCAbasic!K8029,LookUps!$D$5:$D$12,0))))</f>
        <v>Acidification Potential (AP) - kg SO2 eq</v>
      </c>
      <c r="M8029" s="154" t="str">
        <f t="shared" si="629"/>
        <v>Base_Base_High_Upgraded_Acidification Potential (AP) - kg SO2 eq_Effluent release; wastewater treatment unit; at surface water; m3 wastewater - US_Base_With Amendment_Aerated Static Pile</v>
      </c>
    </row>
    <row r="8030" spans="1:13" s="120" customFormat="1" x14ac:dyDescent="0.25">
      <c r="A8030" s="119"/>
      <c r="B8030" s="138" t="str">
        <f t="shared" si="630"/>
        <v>Aerated Static Pile</v>
      </c>
      <c r="C8030" s="138" t="str">
        <f t="shared" si="631"/>
        <v>Base_With Amendment</v>
      </c>
      <c r="D8030" s="138" t="str">
        <f t="shared" si="635"/>
        <v>Base_High</v>
      </c>
      <c r="E8030" s="138" t="str">
        <f t="shared" si="633"/>
        <v>Base</v>
      </c>
      <c r="F8030" s="138" t="str">
        <f t="shared" si="634"/>
        <v>Upgraded</v>
      </c>
      <c r="G8030" s="153"/>
      <c r="H8030" s="210">
        <v>3.1899999999999998E-2</v>
      </c>
      <c r="I8030" s="160" t="s">
        <v>168</v>
      </c>
      <c r="J8030" s="160">
        <v>2.5999999999999998E-4</v>
      </c>
      <c r="K8030" s="160" t="s">
        <v>24</v>
      </c>
      <c r="L8030" s="154" t="str">
        <f>IF(OpenLCAbasic!K8030="CTUh", "Fill in Manually",IF(OR(K8030="Unit", K8030=""), "", INDEX(LookUps!$E$5:$E$12, MATCH(OpenLCAbasic!K8030,LookUps!$D$5:$D$12,0))))</f>
        <v>Acidification Potential (AP) - kg SO2 eq</v>
      </c>
      <c r="M8030" s="154" t="str">
        <f t="shared" si="629"/>
        <v>Base_Base_High_Upgraded_Acidification Potential (AP) - kg SO2 eq_ClearCove SCP; wastewater treatment unit; at updated plant - US_Base_With Amendment_Aerated Static Pile</v>
      </c>
    </row>
    <row r="8031" spans="1:13" s="120" customFormat="1" x14ac:dyDescent="0.25">
      <c r="A8031" s="119"/>
      <c r="B8031" s="138" t="str">
        <f t="shared" si="630"/>
        <v>Aerated Static Pile</v>
      </c>
      <c r="C8031" s="138" t="str">
        <f t="shared" si="631"/>
        <v>Base_With Amendment</v>
      </c>
      <c r="D8031" s="138" t="str">
        <f t="shared" si="635"/>
        <v>Base_High</v>
      </c>
      <c r="E8031" s="138" t="str">
        <f t="shared" si="633"/>
        <v>Base</v>
      </c>
      <c r="F8031" s="138" t="str">
        <f t="shared" si="634"/>
        <v>Upgraded</v>
      </c>
      <c r="G8031" s="153"/>
      <c r="H8031" s="210">
        <v>5.0000000000000001E-3</v>
      </c>
      <c r="I8031" s="160" t="s">
        <v>148</v>
      </c>
      <c r="J8031" s="211">
        <v>4.0354700000000002E-5</v>
      </c>
      <c r="K8031" s="160" t="s">
        <v>24</v>
      </c>
      <c r="L8031" s="154" t="str">
        <f>IF(OpenLCAbasic!K8031="CTUh", "Fill in Manually",IF(OR(K8031="Unit", K8031=""), "", INDEX(LookUps!$E$5:$E$12, MATCH(OpenLCAbasic!K8031,LookUps!$D$5:$D$12,0))))</f>
        <v>Acidification Potential (AP) - kg SO2 eq</v>
      </c>
      <c r="M8031" s="154" t="str">
        <f t="shared" si="629"/>
        <v>Base_Base_High_Upgraded_Acidification Potential (AP) - kg SO2 eq_Control Building; at upgraded wastewater treatment plant - US_Base_With Amendment_Aerated Static Pile</v>
      </c>
    </row>
    <row r="8032" spans="1:13" s="120" customFormat="1" x14ac:dyDescent="0.25">
      <c r="A8032" s="119"/>
      <c r="B8032" s="138" t="str">
        <f t="shared" si="630"/>
        <v>Aerated Static Pile</v>
      </c>
      <c r="C8032" s="138" t="str">
        <f t="shared" si="631"/>
        <v>Base_With Amendment</v>
      </c>
      <c r="D8032" s="138" t="str">
        <f t="shared" si="635"/>
        <v>Base_High</v>
      </c>
      <c r="E8032" s="138" t="str">
        <f t="shared" si="633"/>
        <v>Base</v>
      </c>
      <c r="F8032" s="138" t="str">
        <f t="shared" si="634"/>
        <v>Upgraded</v>
      </c>
      <c r="G8032" s="153"/>
      <c r="H8032" s="210">
        <v>-4.8564999999999996</v>
      </c>
      <c r="I8032" s="160" t="s">
        <v>149</v>
      </c>
      <c r="J8032" s="160">
        <v>-3.8870000000000002E-2</v>
      </c>
      <c r="K8032" s="160" t="s">
        <v>24</v>
      </c>
      <c r="L8032" s="154" t="str">
        <f>IF(OpenLCAbasic!K8032="CTUh", "Fill in Manually",IF(OR(K8032="Unit", K8032=""), "", INDEX(LookUps!$E$5:$E$12, MATCH(OpenLCAbasic!K8032,LookUps!$D$5:$D$12,0))))</f>
        <v>Acidification Potential (AP) - kg SO2 eq</v>
      </c>
      <c r="M8032" s="154" t="str">
        <f t="shared" si="629"/>
        <v>Base_Base_High_Upgraded_Acidification Potential (AP) - kg SO2 eq_Anaerobic Digestion; wastewater treatment unit; at updated plant - US_Base_With Amendment_Aerated Static Pile</v>
      </c>
    </row>
    <row r="8033" spans="1:13" s="120" customFormat="1" x14ac:dyDescent="0.25">
      <c r="A8033" s="119"/>
      <c r="B8033" s="138" t="str">
        <f t="shared" si="630"/>
        <v/>
      </c>
      <c r="C8033" s="138" t="str">
        <f t="shared" si="631"/>
        <v/>
      </c>
      <c r="D8033" s="138" t="str">
        <f t="shared" si="635"/>
        <v/>
      </c>
      <c r="E8033" s="138" t="str">
        <f t="shared" si="633"/>
        <v/>
      </c>
      <c r="F8033" s="138" t="str">
        <f t="shared" si="634"/>
        <v/>
      </c>
      <c r="G8033" s="153" t="s">
        <v>51</v>
      </c>
      <c r="H8033" s="160"/>
      <c r="I8033" s="160" t="s">
        <v>47</v>
      </c>
      <c r="J8033" s="160" t="s">
        <v>52</v>
      </c>
      <c r="K8033" s="160" t="s">
        <v>27</v>
      </c>
      <c r="L8033" s="154" t="str">
        <f>IF(OpenLCAbasic!K8033="CTUh", "Fill in Manually",IF(OR(K8033="Unit", K8033=""), "", INDEX(LookUps!$E$5:$E$12, MATCH(OpenLCAbasic!K8033,LookUps!$D$5:$D$12,0))))</f>
        <v/>
      </c>
      <c r="M8033" s="154" t="str">
        <f t="shared" si="629"/>
        <v>____Process__</v>
      </c>
    </row>
    <row r="8034" spans="1:13" s="120" customFormat="1" x14ac:dyDescent="0.25">
      <c r="A8034" s="119"/>
      <c r="B8034" s="138" t="str">
        <f t="shared" si="630"/>
        <v>Aerated Static Pile</v>
      </c>
      <c r="C8034" s="138" t="str">
        <f t="shared" si="631"/>
        <v>Base_With Amendment</v>
      </c>
      <c r="D8034" s="138" t="str">
        <f t="shared" si="635"/>
        <v>Base_High</v>
      </c>
      <c r="E8034" s="138" t="str">
        <f t="shared" si="633"/>
        <v>Base</v>
      </c>
      <c r="F8034" s="138" t="str">
        <f t="shared" si="634"/>
        <v>Upgraded</v>
      </c>
      <c r="G8034" s="153"/>
      <c r="H8034" s="210">
        <v>2.5204</v>
      </c>
      <c r="I8034" s="160" t="s">
        <v>55</v>
      </c>
      <c r="J8034" s="160">
        <v>3.5330499999999998</v>
      </c>
      <c r="K8034" s="160" t="s">
        <v>15</v>
      </c>
      <c r="L8034" s="154" t="str">
        <f>IF(OpenLCAbasic!K8034="CTUh", "Fill in Manually",IF(OR(K8034="Unit", K8034=""), "", INDEX(LookUps!$E$5:$E$12, MATCH(OpenLCAbasic!K8034,LookUps!$D$5:$D$12,0))))</f>
        <v>Cumulative Energy Demand (CED) - MJ</v>
      </c>
      <c r="M8034" s="154" t="str">
        <f t="shared" si="629"/>
        <v>Base_Base_High_Upgraded_Cumulative Energy Demand (CED) - MJ_Aeration Tanks; wastewater treatment unit; at updated plant - US_Base_With Amendment_Aerated Static Pile</v>
      </c>
    </row>
    <row r="8035" spans="1:13" s="120" customFormat="1" x14ac:dyDescent="0.25">
      <c r="A8035" s="119"/>
      <c r="B8035" s="138" t="str">
        <f t="shared" si="630"/>
        <v>Aerated Static Pile</v>
      </c>
      <c r="C8035" s="138" t="str">
        <f t="shared" si="631"/>
        <v>Base_With Amendment</v>
      </c>
      <c r="D8035" s="138" t="str">
        <f t="shared" si="635"/>
        <v>Base_High</v>
      </c>
      <c r="E8035" s="138" t="str">
        <f t="shared" si="633"/>
        <v>Base</v>
      </c>
      <c r="F8035" s="138" t="str">
        <f t="shared" si="634"/>
        <v>Upgraded</v>
      </c>
      <c r="G8035" s="153"/>
      <c r="H8035" s="210">
        <v>2.4956</v>
      </c>
      <c r="I8035" s="160" t="s">
        <v>167</v>
      </c>
      <c r="J8035" s="160">
        <v>3.4982700000000002</v>
      </c>
      <c r="K8035" s="160" t="s">
        <v>15</v>
      </c>
      <c r="L8035" s="154" t="str">
        <f>IF(OpenLCAbasic!K8035="CTUh", "Fill in Manually",IF(OR(K8035="Unit", K8035=""), "", INDEX(LookUps!$E$5:$E$12, MATCH(OpenLCAbasic!K8035,LookUps!$D$5:$D$12,0))))</f>
        <v>Cumulative Energy Demand (CED) - MJ</v>
      </c>
      <c r="M8035" s="154" t="str">
        <f t="shared" si="629"/>
        <v>Base_Base_High_Upgraded_Cumulative Energy Demand (CED) - MJ_Waste Receiving and Holding; wastewater treatment unit; at updated plant - US_Base_With Amendment_Aerated Static Pile</v>
      </c>
    </row>
    <row r="8036" spans="1:13" s="120" customFormat="1" x14ac:dyDescent="0.25">
      <c r="A8036" s="119"/>
      <c r="B8036" s="138" t="str">
        <f t="shared" si="630"/>
        <v>Aerated Static Pile</v>
      </c>
      <c r="C8036" s="138" t="str">
        <f t="shared" si="631"/>
        <v>Base_With Amendment</v>
      </c>
      <c r="D8036" s="138" t="str">
        <f t="shared" si="635"/>
        <v>Base_High</v>
      </c>
      <c r="E8036" s="138" t="str">
        <f t="shared" si="633"/>
        <v>Base</v>
      </c>
      <c r="F8036" s="138" t="str">
        <f t="shared" si="634"/>
        <v>Upgraded</v>
      </c>
      <c r="G8036" s="153"/>
      <c r="H8036" s="210">
        <v>0.83779999999999999</v>
      </c>
      <c r="I8036" s="160" t="s">
        <v>435</v>
      </c>
      <c r="J8036" s="160">
        <v>1.17442</v>
      </c>
      <c r="K8036" s="160" t="s">
        <v>15</v>
      </c>
      <c r="L8036" s="154" t="str">
        <f>IF(OpenLCAbasic!K8036="CTUh", "Fill in Manually",IF(OR(K8036="Unit", K8036=""), "", INDEX(LookUps!$E$5:$E$12, MATCH(OpenLCAbasic!K8036,LookUps!$D$5:$D$12,0))))</f>
        <v>Cumulative Energy Demand (CED) - MJ</v>
      </c>
      <c r="M8036" s="154" t="str">
        <f t="shared" si="629"/>
        <v>Base_Base_High_Upgraded_Cumulative Energy Demand (CED) - MJ_Biosolids composting; aerated static pile; wastewater treatment unit; at updated plant - US_Base_With Amendment_Aerated Static Pile</v>
      </c>
    </row>
    <row r="8037" spans="1:13" s="120" customFormat="1" x14ac:dyDescent="0.25">
      <c r="A8037" s="119"/>
      <c r="B8037" s="138" t="str">
        <f t="shared" si="630"/>
        <v>Aerated Static Pile</v>
      </c>
      <c r="C8037" s="138" t="str">
        <f t="shared" si="631"/>
        <v>Base_With Amendment</v>
      </c>
      <c r="D8037" s="138" t="str">
        <f t="shared" si="635"/>
        <v>Base_High</v>
      </c>
      <c r="E8037" s="138" t="str">
        <f t="shared" si="633"/>
        <v>Base</v>
      </c>
      <c r="F8037" s="138" t="str">
        <f t="shared" si="634"/>
        <v>Upgraded</v>
      </c>
      <c r="G8037" s="153"/>
      <c r="H8037" s="210">
        <v>0.8296</v>
      </c>
      <c r="I8037" s="160" t="s">
        <v>54</v>
      </c>
      <c r="J8037" s="160">
        <v>1.16289</v>
      </c>
      <c r="K8037" s="160" t="s">
        <v>15</v>
      </c>
      <c r="L8037" s="154" t="str">
        <f>IF(OpenLCAbasic!K8037="CTUh", "Fill in Manually",IF(OR(K8037="Unit", K8037=""), "", INDEX(LookUps!$E$5:$E$12, MATCH(OpenLCAbasic!K8037,LookUps!$D$5:$D$12,0))))</f>
        <v>Cumulative Energy Demand (CED) - MJ</v>
      </c>
      <c r="M8037" s="154" t="str">
        <f t="shared" si="629"/>
        <v>Base_Base_High_Upgraded_Cumulative Energy Demand (CED) - MJ_Clear Cove Primary Clarification; wastewater treatment unit; at updated plant - US_Base_With Amendment_Aerated Static Pile</v>
      </c>
    </row>
    <row r="8038" spans="1:13" s="120" customFormat="1" x14ac:dyDescent="0.25">
      <c r="A8038" s="119"/>
      <c r="B8038" s="138" t="str">
        <f t="shared" si="630"/>
        <v>Aerated Static Pile</v>
      </c>
      <c r="C8038" s="138" t="str">
        <f t="shared" si="631"/>
        <v>Base_With Amendment</v>
      </c>
      <c r="D8038" s="138" t="str">
        <f t="shared" si="635"/>
        <v>Base_High</v>
      </c>
      <c r="E8038" s="138" t="str">
        <f t="shared" si="633"/>
        <v>Base</v>
      </c>
      <c r="F8038" s="138" t="str">
        <f t="shared" si="634"/>
        <v>Upgraded</v>
      </c>
      <c r="G8038" s="153"/>
      <c r="H8038" s="210">
        <v>0.63070000000000004</v>
      </c>
      <c r="I8038" s="160" t="s">
        <v>58</v>
      </c>
      <c r="J8038" s="160">
        <v>0.88417000000000001</v>
      </c>
      <c r="K8038" s="160" t="s">
        <v>15</v>
      </c>
      <c r="L8038" s="154" t="str">
        <f>IF(OpenLCAbasic!K8038="CTUh", "Fill in Manually",IF(OR(K8038="Unit", K8038=""), "", INDEX(LookUps!$E$5:$E$12, MATCH(OpenLCAbasic!K8038,LookUps!$D$5:$D$12,0))))</f>
        <v>Cumulative Energy Demand (CED) - MJ</v>
      </c>
      <c r="M8038" s="154" t="str">
        <f t="shared" si="629"/>
        <v>Base_Base_High_Upgraded_Cumulative Energy Demand (CED) - MJ_Pre-Anoxic &amp; Swing tank; wastewater treatment unit; at updated plant - US_Base_With Amendment_Aerated Static Pile</v>
      </c>
    </row>
    <row r="8039" spans="1:13" s="120" customFormat="1" x14ac:dyDescent="0.25">
      <c r="A8039" s="119"/>
      <c r="B8039" s="138" t="str">
        <f t="shared" si="630"/>
        <v>Aerated Static Pile</v>
      </c>
      <c r="C8039" s="138" t="str">
        <f t="shared" si="631"/>
        <v>Base_With Amendment</v>
      </c>
      <c r="D8039" s="138" t="str">
        <f t="shared" si="635"/>
        <v>Base_High</v>
      </c>
      <c r="E8039" s="138" t="str">
        <f t="shared" si="633"/>
        <v>Base</v>
      </c>
      <c r="F8039" s="138" t="str">
        <f t="shared" si="634"/>
        <v>Upgraded</v>
      </c>
      <c r="G8039" s="153"/>
      <c r="H8039" s="210">
        <v>0.62990000000000002</v>
      </c>
      <c r="I8039" s="160" t="s">
        <v>147</v>
      </c>
      <c r="J8039" s="160">
        <v>0.88297000000000003</v>
      </c>
      <c r="K8039" s="160" t="s">
        <v>15</v>
      </c>
      <c r="L8039" s="154" t="str">
        <f>IF(OpenLCAbasic!K8039="CTUh", "Fill in Manually",IF(OR(K8039="Unit", K8039=""), "", INDEX(LookUps!$E$5:$E$12, MATCH(OpenLCAbasic!K8039,LookUps!$D$5:$D$12,0))))</f>
        <v>Cumulative Energy Demand (CED) - MJ</v>
      </c>
      <c r="M8039" s="154" t="str">
        <f t="shared" si="629"/>
        <v>Base_Base_High_Upgraded_Cumulative Energy Demand (CED) - MJ_Influent Pump Station; wastewater treatment unit; at updated plant - US_Base_With Amendment_Aerated Static Pile</v>
      </c>
    </row>
    <row r="8040" spans="1:13" s="120" customFormat="1" x14ac:dyDescent="0.25">
      <c r="A8040" s="119"/>
      <c r="B8040" s="138" t="str">
        <f t="shared" si="630"/>
        <v>Aerated Static Pile</v>
      </c>
      <c r="C8040" s="138" t="str">
        <f t="shared" si="631"/>
        <v>Base_With Amendment</v>
      </c>
      <c r="D8040" s="138" t="str">
        <f t="shared" si="635"/>
        <v>Base_High</v>
      </c>
      <c r="E8040" s="138" t="str">
        <f t="shared" si="633"/>
        <v>Base</v>
      </c>
      <c r="F8040" s="138" t="str">
        <f t="shared" si="634"/>
        <v>Upgraded</v>
      </c>
      <c r="G8040" s="153"/>
      <c r="H8040" s="210">
        <v>0.49680000000000002</v>
      </c>
      <c r="I8040" s="160" t="s">
        <v>53</v>
      </c>
      <c r="J8040" s="160">
        <v>0.69645000000000001</v>
      </c>
      <c r="K8040" s="160" t="s">
        <v>15</v>
      </c>
      <c r="L8040" s="154" t="str">
        <f>IF(OpenLCAbasic!K8040="CTUh", "Fill in Manually",IF(OR(K8040="Unit", K8040=""), "", INDEX(LookUps!$E$5:$E$12, MATCH(OpenLCAbasic!K8040,LookUps!$D$5:$D$12,0))))</f>
        <v>Cumulative Energy Demand (CED) - MJ</v>
      </c>
      <c r="M8040" s="154" t="str">
        <f t="shared" si="629"/>
        <v>Base_Base_High_Upgraded_Cumulative Energy Demand (CED) - MJ_Wet Well and Sump Station; wastewater treatment unit; at updated plant - US_Base_With Amendment_Aerated Static Pile</v>
      </c>
    </row>
    <row r="8041" spans="1:13" s="120" customFormat="1" x14ac:dyDescent="0.25">
      <c r="A8041" s="119"/>
      <c r="B8041" s="138" t="str">
        <f t="shared" si="630"/>
        <v>Aerated Static Pile</v>
      </c>
      <c r="C8041" s="138" t="str">
        <f t="shared" si="631"/>
        <v>Base_With Amendment</v>
      </c>
      <c r="D8041" s="138" t="str">
        <f t="shared" si="635"/>
        <v>Base_High</v>
      </c>
      <c r="E8041" s="138" t="str">
        <f t="shared" si="633"/>
        <v>Base</v>
      </c>
      <c r="F8041" s="138" t="str">
        <f t="shared" si="634"/>
        <v>Upgraded</v>
      </c>
      <c r="G8041" s="153"/>
      <c r="H8041" s="210">
        <v>0.23830000000000001</v>
      </c>
      <c r="I8041" s="160" t="s">
        <v>57</v>
      </c>
      <c r="J8041" s="160">
        <v>0.33404</v>
      </c>
      <c r="K8041" s="160" t="s">
        <v>15</v>
      </c>
      <c r="L8041" s="154" t="str">
        <f>IF(OpenLCAbasic!K8041="CTUh", "Fill in Manually",IF(OR(K8041="Unit", K8041=""), "", INDEX(LookUps!$E$5:$E$12, MATCH(OpenLCAbasic!K8041,LookUps!$D$5:$D$12,0))))</f>
        <v>Cumulative Energy Demand (CED) - MJ</v>
      </c>
      <c r="M8041" s="154" t="str">
        <f t="shared" si="629"/>
        <v>Base_Base_High_Upgraded_Cumulative Energy Demand (CED) - MJ_Gravity Belt Thickener; wastewater treatment unit; at updated plant - US_Base_With Amendment_Aerated Static Pile</v>
      </c>
    </row>
    <row r="8042" spans="1:13" s="120" customFormat="1" x14ac:dyDescent="0.25">
      <c r="A8042" s="119"/>
      <c r="B8042" s="138" t="str">
        <f t="shared" si="630"/>
        <v>Aerated Static Pile</v>
      </c>
      <c r="C8042" s="138" t="str">
        <f t="shared" si="631"/>
        <v>Base_With Amendment</v>
      </c>
      <c r="D8042" s="138" t="str">
        <f t="shared" si="635"/>
        <v>Base_High</v>
      </c>
      <c r="E8042" s="138" t="str">
        <f t="shared" si="633"/>
        <v>Base</v>
      </c>
      <c r="F8042" s="138" t="str">
        <f t="shared" si="634"/>
        <v>Upgraded</v>
      </c>
      <c r="G8042" s="153"/>
      <c r="H8042" s="210">
        <v>0.1981</v>
      </c>
      <c r="I8042" s="160" t="s">
        <v>60</v>
      </c>
      <c r="J8042" s="160">
        <v>0.27775</v>
      </c>
      <c r="K8042" s="160" t="s">
        <v>15</v>
      </c>
      <c r="L8042" s="154" t="str">
        <f>IF(OpenLCAbasic!K8042="CTUh", "Fill in Manually",IF(OR(K8042="Unit", K8042=""), "", INDEX(LookUps!$E$5:$E$12, MATCH(OpenLCAbasic!K8042,LookUps!$D$5:$D$12,0))))</f>
        <v>Cumulative Energy Demand (CED) - MJ</v>
      </c>
      <c r="M8042" s="154" t="str">
        <f t="shared" si="629"/>
        <v>Base_Base_High_Upgraded_Cumulative Energy Demand (CED) - MJ_Belt filter press; wastewater treatment unit; at updated plant - US_Base_With Amendment_Aerated Static Pile</v>
      </c>
    </row>
    <row r="8043" spans="1:13" s="120" customFormat="1" x14ac:dyDescent="0.25">
      <c r="A8043" s="119"/>
      <c r="B8043" s="138" t="str">
        <f t="shared" si="630"/>
        <v>Aerated Static Pile</v>
      </c>
      <c r="C8043" s="138" t="str">
        <f t="shared" si="631"/>
        <v>Base_With Amendment</v>
      </c>
      <c r="D8043" s="138" t="str">
        <f t="shared" si="635"/>
        <v>Base_High</v>
      </c>
      <c r="E8043" s="138" t="str">
        <f t="shared" si="633"/>
        <v>Base</v>
      </c>
      <c r="F8043" s="138" t="str">
        <f t="shared" si="634"/>
        <v>Upgraded</v>
      </c>
      <c r="G8043" s="153"/>
      <c r="H8043" s="210">
        <v>0.1827</v>
      </c>
      <c r="I8043" s="160" t="s">
        <v>128</v>
      </c>
      <c r="J8043" s="160">
        <v>0.25606000000000001</v>
      </c>
      <c r="K8043" s="160" t="s">
        <v>15</v>
      </c>
      <c r="L8043" s="154" t="str">
        <f>IF(OpenLCAbasic!K8043="CTUh", "Fill in Manually",IF(OR(K8043="Unit", K8043=""), "", INDEX(LookUps!$E$5:$E$12, MATCH(OpenLCAbasic!K8043,LookUps!$D$5:$D$12,0))))</f>
        <v>Cumulative Energy Demand (CED) - MJ</v>
      </c>
      <c r="M8043" s="154" t="str">
        <f t="shared" si="629"/>
        <v>Base_Base_High_Upgraded_Cumulative Energy Demand (CED) - MJ_Wastewater collection; operation and infrastructure; m3 wastewater_Base_With Amendment_Aerated Static Pile</v>
      </c>
    </row>
    <row r="8044" spans="1:13" s="120" customFormat="1" x14ac:dyDescent="0.25">
      <c r="A8044" s="119"/>
      <c r="B8044" s="138" t="str">
        <f t="shared" si="630"/>
        <v>Aerated Static Pile</v>
      </c>
      <c r="C8044" s="138" t="str">
        <f t="shared" si="631"/>
        <v>Base_With Amendment</v>
      </c>
      <c r="D8044" s="138" t="str">
        <f t="shared" si="635"/>
        <v>Base_High</v>
      </c>
      <c r="E8044" s="138" t="str">
        <f t="shared" si="633"/>
        <v>Base</v>
      </c>
      <c r="F8044" s="138" t="str">
        <f t="shared" si="634"/>
        <v>Upgraded</v>
      </c>
      <c r="G8044" s="153"/>
      <c r="H8044" s="210">
        <v>0.1041</v>
      </c>
      <c r="I8044" s="160" t="s">
        <v>148</v>
      </c>
      <c r="J8044" s="160">
        <v>0.14599000000000001</v>
      </c>
      <c r="K8044" s="160" t="s">
        <v>15</v>
      </c>
      <c r="L8044" s="154" t="str">
        <f>IF(OpenLCAbasic!K8044="CTUh", "Fill in Manually",IF(OR(K8044="Unit", K8044=""), "", INDEX(LookUps!$E$5:$E$12, MATCH(OpenLCAbasic!K8044,LookUps!$D$5:$D$12,0))))</f>
        <v>Cumulative Energy Demand (CED) - MJ</v>
      </c>
      <c r="M8044" s="154" t="str">
        <f t="shared" si="629"/>
        <v>Base_Base_High_Upgraded_Cumulative Energy Demand (CED) - MJ_Control Building; at upgraded wastewater treatment plant - US_Base_With Amendment_Aerated Static Pile</v>
      </c>
    </row>
    <row r="8045" spans="1:13" s="120" customFormat="1" x14ac:dyDescent="0.25">
      <c r="A8045" s="119"/>
      <c r="B8045" s="138" t="str">
        <f t="shared" si="630"/>
        <v>Aerated Static Pile</v>
      </c>
      <c r="C8045" s="138" t="str">
        <f t="shared" si="631"/>
        <v>Base_With Amendment</v>
      </c>
      <c r="D8045" s="138" t="str">
        <f t="shared" si="635"/>
        <v>Base_High</v>
      </c>
      <c r="E8045" s="138" t="str">
        <f t="shared" si="633"/>
        <v>Base</v>
      </c>
      <c r="F8045" s="138" t="str">
        <f t="shared" si="634"/>
        <v>Upgraded</v>
      </c>
      <c r="G8045" s="153"/>
      <c r="H8045" s="210">
        <v>9.5000000000000001E-2</v>
      </c>
      <c r="I8045" s="160" t="s">
        <v>48</v>
      </c>
      <c r="J8045" s="160">
        <v>0.13321</v>
      </c>
      <c r="K8045" s="160" t="s">
        <v>15</v>
      </c>
      <c r="L8045" s="154" t="str">
        <f>IF(OpenLCAbasic!K8045="CTUh", "Fill in Manually",IF(OR(K8045="Unit", K8045=""), "", INDEX(LookUps!$E$5:$E$12, MATCH(OpenLCAbasic!K8045,LookUps!$D$5:$D$12,0))))</f>
        <v>Cumulative Energy Demand (CED) - MJ</v>
      </c>
      <c r="M8045" s="154" t="str">
        <f t="shared" si="629"/>
        <v>Base_Base_High_Upgraded_Cumulative Energy Demand (CED) - MJ_Effluent release; wastewater treatment unit; at surface water; m3 wastewater - US_Base_With Amendment_Aerated Static Pile</v>
      </c>
    </row>
    <row r="8046" spans="1:13" s="120" customFormat="1" x14ac:dyDescent="0.25">
      <c r="A8046" s="119"/>
      <c r="B8046" s="138" t="str">
        <f t="shared" si="630"/>
        <v>Aerated Static Pile</v>
      </c>
      <c r="C8046" s="138" t="str">
        <f t="shared" si="631"/>
        <v>Base_With Amendment</v>
      </c>
      <c r="D8046" s="138" t="str">
        <f t="shared" si="635"/>
        <v>Base_High</v>
      </c>
      <c r="E8046" s="138" t="str">
        <f t="shared" si="633"/>
        <v>Base</v>
      </c>
      <c r="F8046" s="138" t="str">
        <f t="shared" si="634"/>
        <v>Upgraded</v>
      </c>
      <c r="G8046" s="153"/>
      <c r="H8046" s="210">
        <v>7.5899999999999995E-2</v>
      </c>
      <c r="I8046" s="160" t="s">
        <v>59</v>
      </c>
      <c r="J8046" s="160">
        <v>0.10638</v>
      </c>
      <c r="K8046" s="160" t="s">
        <v>15</v>
      </c>
      <c r="L8046" s="154" t="str">
        <f>IF(OpenLCAbasic!K8046="CTUh", "Fill in Manually",IF(OR(K8046="Unit", K8046=""), "", INDEX(LookUps!$E$5:$E$12, MATCH(OpenLCAbasic!K8046,LookUps!$D$5:$D$12,0))))</f>
        <v>Cumulative Energy Demand (CED) - MJ</v>
      </c>
      <c r="M8046" s="154" t="str">
        <f t="shared" si="629"/>
        <v>Base_Base_High_Upgraded_Cumulative Energy Demand (CED) - MJ_Blend Tank; wastewater treatment unit; at updated plant - US_Base_With Amendment_Aerated Static Pile</v>
      </c>
    </row>
    <row r="8047" spans="1:13" s="120" customFormat="1" x14ac:dyDescent="0.25">
      <c r="A8047" s="119"/>
      <c r="B8047" s="138" t="str">
        <f t="shared" si="630"/>
        <v>Aerated Static Pile</v>
      </c>
      <c r="C8047" s="138" t="str">
        <f t="shared" si="631"/>
        <v>Base_With Amendment</v>
      </c>
      <c r="D8047" s="138" t="str">
        <f t="shared" si="635"/>
        <v>Base_High</v>
      </c>
      <c r="E8047" s="138" t="str">
        <f t="shared" si="633"/>
        <v>Base</v>
      </c>
      <c r="F8047" s="138" t="str">
        <f t="shared" si="634"/>
        <v>Upgraded</v>
      </c>
      <c r="G8047" s="153"/>
      <c r="H8047" s="210">
        <v>3.6299999999999999E-2</v>
      </c>
      <c r="I8047" s="160" t="s">
        <v>168</v>
      </c>
      <c r="J8047" s="160">
        <v>5.0930000000000003E-2</v>
      </c>
      <c r="K8047" s="160" t="s">
        <v>15</v>
      </c>
      <c r="L8047" s="154" t="str">
        <f>IF(OpenLCAbasic!K8047="CTUh", "Fill in Manually",IF(OR(K8047="Unit", K8047=""), "", INDEX(LookUps!$E$5:$E$12, MATCH(OpenLCAbasic!K8047,LookUps!$D$5:$D$12,0))))</f>
        <v>Cumulative Energy Demand (CED) - MJ</v>
      </c>
      <c r="M8047" s="154" t="str">
        <f t="shared" si="629"/>
        <v>Base_Base_High_Upgraded_Cumulative Energy Demand (CED) - MJ_ClearCove SCP; wastewater treatment unit; at updated plant - US_Base_With Amendment_Aerated Static Pile</v>
      </c>
    </row>
    <row r="8048" spans="1:13" s="120" customFormat="1" x14ac:dyDescent="0.25">
      <c r="A8048" s="119"/>
      <c r="B8048" s="138" t="str">
        <f t="shared" si="630"/>
        <v>Aerated Static Pile</v>
      </c>
      <c r="C8048" s="138" t="str">
        <f t="shared" si="631"/>
        <v>Base_With Amendment</v>
      </c>
      <c r="D8048" s="138" t="str">
        <f t="shared" si="635"/>
        <v>Base_High</v>
      </c>
      <c r="E8048" s="138" t="str">
        <f t="shared" si="633"/>
        <v>Base</v>
      </c>
      <c r="F8048" s="138" t="str">
        <f t="shared" si="634"/>
        <v>Upgraded</v>
      </c>
      <c r="G8048" s="153"/>
      <c r="H8048" s="210">
        <v>-0.30120000000000002</v>
      </c>
      <c r="I8048" s="160" t="s">
        <v>62</v>
      </c>
      <c r="J8048" s="160">
        <v>-0.42220999999999997</v>
      </c>
      <c r="K8048" s="160" t="s">
        <v>15</v>
      </c>
      <c r="L8048" s="154" t="str">
        <f>IF(OpenLCAbasic!K8048="CTUh", "Fill in Manually",IF(OR(K8048="Unit", K8048=""), "", INDEX(LookUps!$E$5:$E$12, MATCH(OpenLCAbasic!K8048,LookUps!$D$5:$D$12,0))))</f>
        <v>Cumulative Energy Demand (CED) - MJ</v>
      </c>
      <c r="M8048" s="154" t="str">
        <f t="shared" si="629"/>
        <v>Base_Base_High_Upgraded_Cumulative Energy Demand (CED) - MJ_Land application of compost; wastewater treatment unit; at updated plant - US_Base_With Amendment_Aerated Static Pile</v>
      </c>
    </row>
    <row r="8049" spans="1:13" s="120" customFormat="1" x14ac:dyDescent="0.25">
      <c r="A8049" s="119"/>
      <c r="B8049" s="138" t="str">
        <f t="shared" si="630"/>
        <v>Aerated Static Pile</v>
      </c>
      <c r="C8049" s="138" t="str">
        <f t="shared" si="631"/>
        <v>Base_With Amendment</v>
      </c>
      <c r="D8049" s="138" t="str">
        <f t="shared" si="635"/>
        <v>Base_High</v>
      </c>
      <c r="E8049" s="138" t="str">
        <f t="shared" si="633"/>
        <v>Base</v>
      </c>
      <c r="F8049" s="138" t="str">
        <f t="shared" si="634"/>
        <v>Upgraded</v>
      </c>
      <c r="G8049" s="153"/>
      <c r="H8049" s="210">
        <v>-8.0701000000000001</v>
      </c>
      <c r="I8049" s="160" t="s">
        <v>149</v>
      </c>
      <c r="J8049" s="160">
        <v>-11.31259</v>
      </c>
      <c r="K8049" s="160" t="s">
        <v>15</v>
      </c>
      <c r="L8049" s="154" t="str">
        <f>IF(OpenLCAbasic!K8049="CTUh", "Fill in Manually",IF(OR(K8049="Unit", K8049=""), "", INDEX(LookUps!$E$5:$E$12, MATCH(OpenLCAbasic!K8049,LookUps!$D$5:$D$12,0))))</f>
        <v>Cumulative Energy Demand (CED) - MJ</v>
      </c>
      <c r="M8049" s="154" t="str">
        <f t="shared" si="629"/>
        <v>Base_Base_High_Upgraded_Cumulative Energy Demand (CED) - MJ_Anaerobic Digestion; wastewater treatment unit; at updated plant - US_Base_With Amendment_Aerated Static Pile</v>
      </c>
    </row>
    <row r="8050" spans="1:13" s="120" customFormat="1" x14ac:dyDescent="0.25">
      <c r="A8050" s="119"/>
      <c r="B8050" s="138" t="str">
        <f t="shared" si="630"/>
        <v/>
      </c>
      <c r="C8050" s="138" t="str">
        <f t="shared" si="631"/>
        <v/>
      </c>
      <c r="D8050" s="138" t="str">
        <f t="shared" si="635"/>
        <v/>
      </c>
      <c r="E8050" s="138" t="str">
        <f t="shared" si="633"/>
        <v/>
      </c>
      <c r="F8050" s="138" t="str">
        <f t="shared" si="634"/>
        <v/>
      </c>
      <c r="G8050" s="153" t="s">
        <v>51</v>
      </c>
      <c r="H8050" s="160"/>
      <c r="I8050" s="160" t="s">
        <v>47</v>
      </c>
      <c r="J8050" s="160" t="s">
        <v>52</v>
      </c>
      <c r="K8050" s="160" t="s">
        <v>27</v>
      </c>
      <c r="L8050" s="154" t="str">
        <f>IF(OpenLCAbasic!K8050="CTUh", "Fill in Manually",IF(OR(K8050="Unit", K8050=""), "", INDEX(LookUps!$E$5:$E$12, MATCH(OpenLCAbasic!K8050,LookUps!$D$5:$D$12,0))))</f>
        <v/>
      </c>
      <c r="M8050" s="154" t="str">
        <f t="shared" si="629"/>
        <v>____Process__</v>
      </c>
    </row>
    <row r="8051" spans="1:13" s="120" customFormat="1" x14ac:dyDescent="0.25">
      <c r="A8051" s="119"/>
      <c r="B8051" s="138" t="str">
        <f t="shared" si="630"/>
        <v>Aerated Static Pile</v>
      </c>
      <c r="C8051" s="138" t="str">
        <f t="shared" si="631"/>
        <v>Base_With Amendment</v>
      </c>
      <c r="D8051" s="138" t="str">
        <f t="shared" si="635"/>
        <v>Base_High</v>
      </c>
      <c r="E8051" s="138" t="str">
        <f t="shared" si="633"/>
        <v>Base</v>
      </c>
      <c r="F8051" s="138" t="str">
        <f t="shared" si="634"/>
        <v>Upgraded</v>
      </c>
      <c r="G8051" s="153"/>
      <c r="H8051" s="210">
        <v>0.81950000000000001</v>
      </c>
      <c r="I8051" s="160" t="s">
        <v>48</v>
      </c>
      <c r="J8051" s="160">
        <v>1.1610000000000001E-2</v>
      </c>
      <c r="K8051" s="160" t="s">
        <v>13</v>
      </c>
      <c r="L8051" s="154" t="str">
        <f>IF(OpenLCAbasic!K8051="CTUh", "Fill in Manually",IF(OR(K8051="Unit", K8051=""), "", INDEX(LookUps!$E$5:$E$12, MATCH(OpenLCAbasic!K8051,LookUps!$D$5:$D$12,0))))</f>
        <v>Eutrophication Potential (EP) - kg N eq</v>
      </c>
      <c r="M8051" s="154" t="str">
        <f t="shared" si="629"/>
        <v>Base_Base_High_Upgraded_Eutrophication Potential (EP) - kg N eq_Effluent release; wastewater treatment unit; at surface water; m3 wastewater - US_Base_With Amendment_Aerated Static Pile</v>
      </c>
    </row>
    <row r="8052" spans="1:13" s="120" customFormat="1" x14ac:dyDescent="0.25">
      <c r="A8052" s="119"/>
      <c r="B8052" s="138" t="str">
        <f t="shared" si="630"/>
        <v>Aerated Static Pile</v>
      </c>
      <c r="C8052" s="138" t="str">
        <f t="shared" si="631"/>
        <v>Base_With Amendment</v>
      </c>
      <c r="D8052" s="138" t="str">
        <f t="shared" si="635"/>
        <v>Base_High</v>
      </c>
      <c r="E8052" s="138" t="str">
        <f t="shared" si="633"/>
        <v>Base</v>
      </c>
      <c r="F8052" s="138" t="str">
        <f t="shared" si="634"/>
        <v>Upgraded</v>
      </c>
      <c r="G8052" s="153"/>
      <c r="H8052" s="210">
        <v>0.13780000000000001</v>
      </c>
      <c r="I8052" s="160" t="s">
        <v>62</v>
      </c>
      <c r="J8052" s="160">
        <v>1.9499999999999999E-3</v>
      </c>
      <c r="K8052" s="160" t="s">
        <v>13</v>
      </c>
      <c r="L8052" s="154" t="str">
        <f>IF(OpenLCAbasic!K8052="CTUh", "Fill in Manually",IF(OR(K8052="Unit", K8052=""), "", INDEX(LookUps!$E$5:$E$12, MATCH(OpenLCAbasic!K8052,LookUps!$D$5:$D$12,0))))</f>
        <v>Eutrophication Potential (EP) - kg N eq</v>
      </c>
      <c r="M8052" s="154" t="str">
        <f t="shared" si="629"/>
        <v>Base_Base_High_Upgraded_Eutrophication Potential (EP) - kg N eq_Land application of compost; wastewater treatment unit; at updated plant - US_Base_With Amendment_Aerated Static Pile</v>
      </c>
    </row>
    <row r="8053" spans="1:13" s="120" customFormat="1" x14ac:dyDescent="0.25">
      <c r="A8053" s="119"/>
      <c r="B8053" s="138" t="str">
        <f t="shared" si="630"/>
        <v>Aerated Static Pile</v>
      </c>
      <c r="C8053" s="138" t="str">
        <f t="shared" si="631"/>
        <v>Base_With Amendment</v>
      </c>
      <c r="D8053" s="138" t="str">
        <f t="shared" si="635"/>
        <v>Base_High</v>
      </c>
      <c r="E8053" s="138" t="str">
        <f t="shared" si="633"/>
        <v>Base</v>
      </c>
      <c r="F8053" s="138" t="str">
        <f t="shared" si="634"/>
        <v>Upgraded</v>
      </c>
      <c r="G8053" s="153"/>
      <c r="H8053" s="210">
        <v>3.8600000000000002E-2</v>
      </c>
      <c r="I8053" s="160" t="s">
        <v>55</v>
      </c>
      <c r="J8053" s="160">
        <v>5.5000000000000003E-4</v>
      </c>
      <c r="K8053" s="160" t="s">
        <v>13</v>
      </c>
      <c r="L8053" s="154" t="str">
        <f>IF(OpenLCAbasic!K8053="CTUh", "Fill in Manually",IF(OR(K8053="Unit", K8053=""), "", INDEX(LookUps!$E$5:$E$12, MATCH(OpenLCAbasic!K8053,LookUps!$D$5:$D$12,0))))</f>
        <v>Eutrophication Potential (EP) - kg N eq</v>
      </c>
      <c r="M8053" s="154" t="str">
        <f t="shared" si="629"/>
        <v>Base_Base_High_Upgraded_Eutrophication Potential (EP) - kg N eq_Aeration Tanks; wastewater treatment unit; at updated plant - US_Base_With Amendment_Aerated Static Pile</v>
      </c>
    </row>
    <row r="8054" spans="1:13" s="120" customFormat="1" x14ac:dyDescent="0.25">
      <c r="A8054" s="119"/>
      <c r="B8054" s="138" t="str">
        <f t="shared" si="630"/>
        <v>Aerated Static Pile</v>
      </c>
      <c r="C8054" s="138" t="str">
        <f t="shared" si="631"/>
        <v>Base_With Amendment</v>
      </c>
      <c r="D8054" s="138" t="str">
        <f t="shared" si="635"/>
        <v>Base_High</v>
      </c>
      <c r="E8054" s="138" t="str">
        <f t="shared" si="633"/>
        <v>Base</v>
      </c>
      <c r="F8054" s="138" t="str">
        <f t="shared" si="634"/>
        <v>Upgraded</v>
      </c>
      <c r="G8054" s="153"/>
      <c r="H8054" s="210">
        <v>1.7600000000000001E-2</v>
      </c>
      <c r="I8054" s="160" t="s">
        <v>147</v>
      </c>
      <c r="J8054" s="160">
        <v>2.5000000000000001E-4</v>
      </c>
      <c r="K8054" s="160" t="s">
        <v>13</v>
      </c>
      <c r="L8054" s="154" t="str">
        <f>IF(OpenLCAbasic!K8054="CTUh", "Fill in Manually",IF(OR(K8054="Unit", K8054=""), "", INDEX(LookUps!$E$5:$E$12, MATCH(OpenLCAbasic!K8054,LookUps!$D$5:$D$12,0))))</f>
        <v>Eutrophication Potential (EP) - kg N eq</v>
      </c>
      <c r="M8054" s="154" t="str">
        <f t="shared" si="629"/>
        <v>Base_Base_High_Upgraded_Eutrophication Potential (EP) - kg N eq_Influent Pump Station; wastewater treatment unit; at updated plant - US_Base_With Amendment_Aerated Static Pile</v>
      </c>
    </row>
    <row r="8055" spans="1:13" s="120" customFormat="1" x14ac:dyDescent="0.25">
      <c r="A8055" s="119"/>
      <c r="B8055" s="138" t="str">
        <f t="shared" si="630"/>
        <v>Aerated Static Pile</v>
      </c>
      <c r="C8055" s="138" t="str">
        <f t="shared" si="631"/>
        <v>Base_With Amendment</v>
      </c>
      <c r="D8055" s="138" t="str">
        <f t="shared" si="635"/>
        <v>Base_High</v>
      </c>
      <c r="E8055" s="138" t="str">
        <f t="shared" si="633"/>
        <v>Base</v>
      </c>
      <c r="F8055" s="138" t="str">
        <f t="shared" si="634"/>
        <v>Upgraded</v>
      </c>
      <c r="G8055" s="153"/>
      <c r="H8055" s="210">
        <v>1.4E-2</v>
      </c>
      <c r="I8055" s="160" t="s">
        <v>54</v>
      </c>
      <c r="J8055" s="160">
        <v>2.0000000000000001E-4</v>
      </c>
      <c r="K8055" s="160" t="s">
        <v>13</v>
      </c>
      <c r="L8055" s="154" t="str">
        <f>IF(OpenLCAbasic!K8055="CTUh", "Fill in Manually",IF(OR(K8055="Unit", K8055=""), "", INDEX(LookUps!$E$5:$E$12, MATCH(OpenLCAbasic!K8055,LookUps!$D$5:$D$12,0))))</f>
        <v>Eutrophication Potential (EP) - kg N eq</v>
      </c>
      <c r="M8055" s="154" t="str">
        <f t="shared" si="629"/>
        <v>Base_Base_High_Upgraded_Eutrophication Potential (EP) - kg N eq_Clear Cove Primary Clarification; wastewater treatment unit; at updated plant - US_Base_With Amendment_Aerated Static Pile</v>
      </c>
    </row>
    <row r="8056" spans="1:13" s="120" customFormat="1" x14ac:dyDescent="0.25">
      <c r="A8056" s="119"/>
      <c r="B8056" s="138" t="str">
        <f t="shared" si="630"/>
        <v>Aerated Static Pile</v>
      </c>
      <c r="C8056" s="138" t="str">
        <f t="shared" si="631"/>
        <v>Base_With Amendment</v>
      </c>
      <c r="D8056" s="138" t="str">
        <f t="shared" si="635"/>
        <v>Base_High</v>
      </c>
      <c r="E8056" s="138" t="str">
        <f t="shared" si="633"/>
        <v>Base</v>
      </c>
      <c r="F8056" s="138" t="str">
        <f t="shared" si="634"/>
        <v>Upgraded</v>
      </c>
      <c r="G8056" s="153"/>
      <c r="H8056" s="210">
        <v>1.37E-2</v>
      </c>
      <c r="I8056" s="160" t="s">
        <v>435</v>
      </c>
      <c r="J8056" s="160">
        <v>1.9000000000000001E-4</v>
      </c>
      <c r="K8056" s="160" t="s">
        <v>13</v>
      </c>
      <c r="L8056" s="154" t="str">
        <f>IF(OpenLCAbasic!K8056="CTUh", "Fill in Manually",IF(OR(K8056="Unit", K8056=""), "", INDEX(LookUps!$E$5:$E$12, MATCH(OpenLCAbasic!K8056,LookUps!$D$5:$D$12,0))))</f>
        <v>Eutrophication Potential (EP) - kg N eq</v>
      </c>
      <c r="M8056" s="154" t="str">
        <f t="shared" si="629"/>
        <v>Base_Base_High_Upgraded_Eutrophication Potential (EP) - kg N eq_Biosolids composting; aerated static pile; wastewater treatment unit; at updated plant - US_Base_With Amendment_Aerated Static Pile</v>
      </c>
    </row>
    <row r="8057" spans="1:13" s="120" customFormat="1" x14ac:dyDescent="0.25">
      <c r="A8057" s="119"/>
      <c r="B8057" s="138" t="str">
        <f t="shared" si="630"/>
        <v>Aerated Static Pile</v>
      </c>
      <c r="C8057" s="138" t="str">
        <f t="shared" si="631"/>
        <v>Base_With Amendment</v>
      </c>
      <c r="D8057" s="138" t="str">
        <f t="shared" si="635"/>
        <v>Base_High</v>
      </c>
      <c r="E8057" s="138" t="str">
        <f t="shared" si="633"/>
        <v>Base</v>
      </c>
      <c r="F8057" s="138" t="str">
        <f t="shared" si="634"/>
        <v>Upgraded</v>
      </c>
      <c r="G8057" s="153"/>
      <c r="H8057" s="210">
        <v>1.1599999999999999E-2</v>
      </c>
      <c r="I8057" s="160" t="s">
        <v>167</v>
      </c>
      <c r="J8057" s="160">
        <v>1.6000000000000001E-4</v>
      </c>
      <c r="K8057" s="160" t="s">
        <v>13</v>
      </c>
      <c r="L8057" s="154" t="str">
        <f>IF(OpenLCAbasic!K8057="CTUh", "Fill in Manually",IF(OR(K8057="Unit", K8057=""), "", INDEX(LookUps!$E$5:$E$12, MATCH(OpenLCAbasic!K8057,LookUps!$D$5:$D$12,0))))</f>
        <v>Eutrophication Potential (EP) - kg N eq</v>
      </c>
      <c r="M8057" s="154" t="str">
        <f t="shared" si="629"/>
        <v>Base_Base_High_Upgraded_Eutrophication Potential (EP) - kg N eq_Waste Receiving and Holding; wastewater treatment unit; at updated plant - US_Base_With Amendment_Aerated Static Pile</v>
      </c>
    </row>
    <row r="8058" spans="1:13" s="120" customFormat="1" x14ac:dyDescent="0.25">
      <c r="A8058" s="119"/>
      <c r="B8058" s="138" t="str">
        <f t="shared" si="630"/>
        <v>Aerated Static Pile</v>
      </c>
      <c r="C8058" s="138" t="str">
        <f t="shared" si="631"/>
        <v>Base_With Amendment</v>
      </c>
      <c r="D8058" s="138" t="str">
        <f t="shared" si="635"/>
        <v>Base_High</v>
      </c>
      <c r="E8058" s="138" t="str">
        <f t="shared" si="633"/>
        <v>Base</v>
      </c>
      <c r="F8058" s="138" t="str">
        <f t="shared" si="634"/>
        <v>Upgraded</v>
      </c>
      <c r="G8058" s="153"/>
      <c r="H8058" s="210">
        <v>9.4999999999999998E-3</v>
      </c>
      <c r="I8058" s="160" t="s">
        <v>58</v>
      </c>
      <c r="J8058" s="160">
        <v>1.3999999999999999E-4</v>
      </c>
      <c r="K8058" s="160" t="s">
        <v>13</v>
      </c>
      <c r="L8058" s="154" t="str">
        <f>IF(OpenLCAbasic!K8058="CTUh", "Fill in Manually",IF(OR(K8058="Unit", K8058=""), "", INDEX(LookUps!$E$5:$E$12, MATCH(OpenLCAbasic!K8058,LookUps!$D$5:$D$12,0))))</f>
        <v>Eutrophication Potential (EP) - kg N eq</v>
      </c>
      <c r="M8058" s="154" t="str">
        <f t="shared" si="629"/>
        <v>Base_Base_High_Upgraded_Eutrophication Potential (EP) - kg N eq_Pre-Anoxic &amp; Swing tank; wastewater treatment unit; at updated plant - US_Base_With Amendment_Aerated Static Pile</v>
      </c>
    </row>
    <row r="8059" spans="1:13" s="120" customFormat="1" x14ac:dyDescent="0.25">
      <c r="A8059" s="119"/>
      <c r="B8059" s="138" t="str">
        <f t="shared" si="630"/>
        <v>Aerated Static Pile</v>
      </c>
      <c r="C8059" s="138" t="str">
        <f t="shared" si="631"/>
        <v>Base_With Amendment</v>
      </c>
      <c r="D8059" s="138" t="str">
        <f t="shared" si="635"/>
        <v>Base_High</v>
      </c>
      <c r="E8059" s="138" t="str">
        <f t="shared" si="633"/>
        <v>Base</v>
      </c>
      <c r="F8059" s="138" t="str">
        <f t="shared" si="634"/>
        <v>Upgraded</v>
      </c>
      <c r="G8059" s="153"/>
      <c r="H8059" s="210">
        <v>7.6E-3</v>
      </c>
      <c r="I8059" s="160" t="s">
        <v>53</v>
      </c>
      <c r="J8059" s="160">
        <v>1.1E-4</v>
      </c>
      <c r="K8059" s="160" t="s">
        <v>13</v>
      </c>
      <c r="L8059" s="154" t="str">
        <f>IF(OpenLCAbasic!K8059="CTUh", "Fill in Manually",IF(OR(K8059="Unit", K8059=""), "", INDEX(LookUps!$E$5:$E$12, MATCH(OpenLCAbasic!K8059,LookUps!$D$5:$D$12,0))))</f>
        <v>Eutrophication Potential (EP) - kg N eq</v>
      </c>
      <c r="M8059" s="154" t="str">
        <f t="shared" ref="M8059:M8122" si="636">CONCATENATE(E8059,"_",D8059,"_",F8059,"_",L8059, "_",I8059,"_", C8059,"_", B8059)</f>
        <v>Base_Base_High_Upgraded_Eutrophication Potential (EP) - kg N eq_Wet Well and Sump Station; wastewater treatment unit; at updated plant - US_Base_With Amendment_Aerated Static Pile</v>
      </c>
    </row>
    <row r="8060" spans="1:13" s="120" customFormat="1" x14ac:dyDescent="0.25">
      <c r="A8060" s="119"/>
      <c r="B8060" s="138" t="str">
        <f t="shared" si="630"/>
        <v>Aerated Static Pile</v>
      </c>
      <c r="C8060" s="138" t="str">
        <f t="shared" si="631"/>
        <v>Base_With Amendment</v>
      </c>
      <c r="D8060" s="138" t="str">
        <f t="shared" si="635"/>
        <v>Base_High</v>
      </c>
      <c r="E8060" s="138" t="str">
        <f t="shared" si="633"/>
        <v>Base</v>
      </c>
      <c r="F8060" s="138" t="str">
        <f t="shared" si="634"/>
        <v>Upgraded</v>
      </c>
      <c r="G8060" s="153"/>
      <c r="H8060" s="210">
        <v>4.3E-3</v>
      </c>
      <c r="I8060" s="160" t="s">
        <v>57</v>
      </c>
      <c r="J8060" s="211">
        <v>6.0590300000000002E-5</v>
      </c>
      <c r="K8060" s="160" t="s">
        <v>13</v>
      </c>
      <c r="L8060" s="154" t="str">
        <f>IF(OpenLCAbasic!K8060="CTUh", "Fill in Manually",IF(OR(K8060="Unit", K8060=""), "", INDEX(LookUps!$E$5:$E$12, MATCH(OpenLCAbasic!K8060,LookUps!$D$5:$D$12,0))))</f>
        <v>Eutrophication Potential (EP) - kg N eq</v>
      </c>
      <c r="M8060" s="154" t="str">
        <f t="shared" si="636"/>
        <v>Base_Base_High_Upgraded_Eutrophication Potential (EP) - kg N eq_Gravity Belt Thickener; wastewater treatment unit; at updated plant - US_Base_With Amendment_Aerated Static Pile</v>
      </c>
    </row>
    <row r="8061" spans="1:13" s="120" customFormat="1" x14ac:dyDescent="0.25">
      <c r="A8061" s="119"/>
      <c r="B8061" s="138" t="str">
        <f t="shared" si="630"/>
        <v>Aerated Static Pile</v>
      </c>
      <c r="C8061" s="138" t="str">
        <f t="shared" si="631"/>
        <v>Base_With Amendment</v>
      </c>
      <c r="D8061" s="138" t="str">
        <f t="shared" si="635"/>
        <v>Base_High</v>
      </c>
      <c r="E8061" s="138" t="str">
        <f t="shared" si="633"/>
        <v>Base</v>
      </c>
      <c r="F8061" s="138" t="str">
        <f t="shared" si="634"/>
        <v>Upgraded</v>
      </c>
      <c r="G8061" s="153"/>
      <c r="H8061" s="210">
        <v>3.3999999999999998E-3</v>
      </c>
      <c r="I8061" s="160" t="s">
        <v>60</v>
      </c>
      <c r="J8061" s="211">
        <v>4.8791500000000002E-5</v>
      </c>
      <c r="K8061" s="160" t="s">
        <v>13</v>
      </c>
      <c r="L8061" s="154" t="str">
        <f>IF(OpenLCAbasic!K8061="CTUh", "Fill in Manually",IF(OR(K8061="Unit", K8061=""), "", INDEX(LookUps!$E$5:$E$12, MATCH(OpenLCAbasic!K8061,LookUps!$D$5:$D$12,0))))</f>
        <v>Eutrophication Potential (EP) - kg N eq</v>
      </c>
      <c r="M8061" s="154" t="str">
        <f t="shared" si="636"/>
        <v>Base_Base_High_Upgraded_Eutrophication Potential (EP) - kg N eq_Belt filter press; wastewater treatment unit; at updated plant - US_Base_With Amendment_Aerated Static Pile</v>
      </c>
    </row>
    <row r="8062" spans="1:13" s="120" customFormat="1" x14ac:dyDescent="0.25">
      <c r="A8062" s="119"/>
      <c r="B8062" s="138" t="str">
        <f t="shared" si="630"/>
        <v>Aerated Static Pile</v>
      </c>
      <c r="C8062" s="138" t="str">
        <f t="shared" si="631"/>
        <v>Base_With Amendment</v>
      </c>
      <c r="D8062" s="138" t="str">
        <f t="shared" si="635"/>
        <v>Base_High</v>
      </c>
      <c r="E8062" s="138" t="str">
        <f t="shared" si="633"/>
        <v>Base</v>
      </c>
      <c r="F8062" s="138" t="str">
        <f t="shared" si="634"/>
        <v>Upgraded</v>
      </c>
      <c r="G8062" s="153"/>
      <c r="H8062" s="210">
        <v>2.7000000000000001E-3</v>
      </c>
      <c r="I8062" s="160" t="s">
        <v>128</v>
      </c>
      <c r="J8062" s="211">
        <v>3.7559799999999999E-5</v>
      </c>
      <c r="K8062" s="160" t="s">
        <v>13</v>
      </c>
      <c r="L8062" s="154" t="str">
        <f>IF(OpenLCAbasic!K8062="CTUh", "Fill in Manually",IF(OR(K8062="Unit", K8062=""), "", INDEX(LookUps!$E$5:$E$12, MATCH(OpenLCAbasic!K8062,LookUps!$D$5:$D$12,0))))</f>
        <v>Eutrophication Potential (EP) - kg N eq</v>
      </c>
      <c r="M8062" s="154" t="str">
        <f t="shared" si="636"/>
        <v>Base_Base_High_Upgraded_Eutrophication Potential (EP) - kg N eq_Wastewater collection; operation and infrastructure; m3 wastewater_Base_With Amendment_Aerated Static Pile</v>
      </c>
    </row>
    <row r="8063" spans="1:13" s="120" customFormat="1" x14ac:dyDescent="0.25">
      <c r="A8063" s="119"/>
      <c r="B8063" s="138" t="str">
        <f t="shared" si="630"/>
        <v>Aerated Static Pile</v>
      </c>
      <c r="C8063" s="138" t="str">
        <f t="shared" si="631"/>
        <v>Base_With Amendment</v>
      </c>
      <c r="D8063" s="138" t="str">
        <f t="shared" si="635"/>
        <v>Base_High</v>
      </c>
      <c r="E8063" s="138" t="str">
        <f t="shared" si="633"/>
        <v>Base</v>
      </c>
      <c r="F8063" s="138" t="str">
        <f t="shared" si="634"/>
        <v>Upgraded</v>
      </c>
      <c r="G8063" s="153"/>
      <c r="H8063" s="210">
        <v>2.5999999999999999E-3</v>
      </c>
      <c r="I8063" s="160" t="s">
        <v>148</v>
      </c>
      <c r="J8063" s="211">
        <v>3.6874600000000001E-5</v>
      </c>
      <c r="K8063" s="160" t="s">
        <v>13</v>
      </c>
      <c r="L8063" s="154" t="str">
        <f>IF(OpenLCAbasic!K8063="CTUh", "Fill in Manually",IF(OR(K8063="Unit", K8063=""), "", INDEX(LookUps!$E$5:$E$12, MATCH(OpenLCAbasic!K8063,LookUps!$D$5:$D$12,0))))</f>
        <v>Eutrophication Potential (EP) - kg N eq</v>
      </c>
      <c r="M8063" s="154" t="str">
        <f t="shared" si="636"/>
        <v>Base_Base_High_Upgraded_Eutrophication Potential (EP) - kg N eq_Control Building; at upgraded wastewater treatment plant - US_Base_With Amendment_Aerated Static Pile</v>
      </c>
    </row>
    <row r="8064" spans="1:13" s="120" customFormat="1" x14ac:dyDescent="0.25">
      <c r="A8064" s="119"/>
      <c r="B8064" s="138" t="str">
        <f t="shared" si="630"/>
        <v>Aerated Static Pile</v>
      </c>
      <c r="C8064" s="138" t="str">
        <f t="shared" si="631"/>
        <v>Base_With Amendment</v>
      </c>
      <c r="D8064" s="138" t="str">
        <f t="shared" si="635"/>
        <v>Base_High</v>
      </c>
      <c r="E8064" s="138" t="str">
        <f t="shared" si="633"/>
        <v>Base</v>
      </c>
      <c r="F8064" s="138" t="str">
        <f t="shared" si="634"/>
        <v>Upgraded</v>
      </c>
      <c r="G8064" s="153"/>
      <c r="H8064" s="210">
        <v>1.1000000000000001E-3</v>
      </c>
      <c r="I8064" s="160" t="s">
        <v>59</v>
      </c>
      <c r="J8064" s="211">
        <v>1.6215700000000001E-5</v>
      </c>
      <c r="K8064" s="160" t="s">
        <v>13</v>
      </c>
      <c r="L8064" s="154" t="str">
        <f>IF(OpenLCAbasic!K8064="CTUh", "Fill in Manually",IF(OR(K8064="Unit", K8064=""), "", INDEX(LookUps!$E$5:$E$12, MATCH(OpenLCAbasic!K8064,LookUps!$D$5:$D$12,0))))</f>
        <v>Eutrophication Potential (EP) - kg N eq</v>
      </c>
      <c r="M8064" s="154" t="str">
        <f t="shared" si="636"/>
        <v>Base_Base_High_Upgraded_Eutrophication Potential (EP) - kg N eq_Blend Tank; wastewater treatment unit; at updated plant - US_Base_With Amendment_Aerated Static Pile</v>
      </c>
    </row>
    <row r="8065" spans="1:13" s="120" customFormat="1" x14ac:dyDescent="0.25">
      <c r="A8065" s="119"/>
      <c r="B8065" s="138" t="str">
        <f t="shared" si="630"/>
        <v>Aerated Static Pile</v>
      </c>
      <c r="C8065" s="138" t="str">
        <f t="shared" si="631"/>
        <v>Base_With Amendment</v>
      </c>
      <c r="D8065" s="138" t="str">
        <f t="shared" si="635"/>
        <v>Base_High</v>
      </c>
      <c r="E8065" s="138" t="str">
        <f t="shared" si="633"/>
        <v>Base</v>
      </c>
      <c r="F8065" s="138" t="str">
        <f t="shared" si="634"/>
        <v>Upgraded</v>
      </c>
      <c r="G8065" s="153"/>
      <c r="H8065" s="210">
        <v>5.0000000000000001E-4</v>
      </c>
      <c r="I8065" s="160" t="s">
        <v>168</v>
      </c>
      <c r="J8065" s="211">
        <v>7.7567199999999995E-6</v>
      </c>
      <c r="K8065" s="160" t="s">
        <v>13</v>
      </c>
      <c r="L8065" s="154" t="str">
        <f>IF(OpenLCAbasic!K8065="CTUh", "Fill in Manually",IF(OR(K8065="Unit", K8065=""), "", INDEX(LookUps!$E$5:$E$12, MATCH(OpenLCAbasic!K8065,LookUps!$D$5:$D$12,0))))</f>
        <v>Eutrophication Potential (EP) - kg N eq</v>
      </c>
      <c r="M8065" s="154" t="str">
        <f t="shared" si="636"/>
        <v>Base_Base_High_Upgraded_Eutrophication Potential (EP) - kg N eq_ClearCove SCP; wastewater treatment unit; at updated plant - US_Base_With Amendment_Aerated Static Pile</v>
      </c>
    </row>
    <row r="8066" spans="1:13" s="120" customFormat="1" x14ac:dyDescent="0.25">
      <c r="A8066" s="119"/>
      <c r="B8066" s="138" t="str">
        <f t="shared" si="630"/>
        <v>Aerated Static Pile</v>
      </c>
      <c r="C8066" s="138" t="str">
        <f t="shared" si="631"/>
        <v>Base_With Amendment</v>
      </c>
      <c r="D8066" s="138" t="str">
        <f t="shared" si="635"/>
        <v>Base_High</v>
      </c>
      <c r="E8066" s="138" t="str">
        <f t="shared" si="633"/>
        <v>Base</v>
      </c>
      <c r="F8066" s="138" t="str">
        <f t="shared" si="634"/>
        <v>Upgraded</v>
      </c>
      <c r="G8066" s="153"/>
      <c r="H8066" s="210">
        <v>-8.4400000000000003E-2</v>
      </c>
      <c r="I8066" s="160" t="s">
        <v>149</v>
      </c>
      <c r="J8066" s="160">
        <v>-1.1999999999999999E-3</v>
      </c>
      <c r="K8066" s="160" t="s">
        <v>13</v>
      </c>
      <c r="L8066" s="154" t="str">
        <f>IF(OpenLCAbasic!K8066="CTUh", "Fill in Manually",IF(OR(K8066="Unit", K8066=""), "", INDEX(LookUps!$E$5:$E$12, MATCH(OpenLCAbasic!K8066,LookUps!$D$5:$D$12,0))))</f>
        <v>Eutrophication Potential (EP) - kg N eq</v>
      </c>
      <c r="M8066" s="154" t="str">
        <f t="shared" si="636"/>
        <v>Base_Base_High_Upgraded_Eutrophication Potential (EP) - kg N eq_Anaerobic Digestion; wastewater treatment unit; at updated plant - US_Base_With Amendment_Aerated Static Pile</v>
      </c>
    </row>
    <row r="8067" spans="1:13" s="120" customFormat="1" x14ac:dyDescent="0.25">
      <c r="A8067" s="119"/>
      <c r="B8067" s="138" t="str">
        <f t="shared" si="630"/>
        <v/>
      </c>
      <c r="C8067" s="138" t="str">
        <f t="shared" si="631"/>
        <v/>
      </c>
      <c r="D8067" s="138" t="str">
        <f t="shared" si="635"/>
        <v/>
      </c>
      <c r="E8067" s="138" t="str">
        <f t="shared" si="633"/>
        <v/>
      </c>
      <c r="F8067" s="138" t="str">
        <f t="shared" si="634"/>
        <v/>
      </c>
      <c r="G8067" s="153" t="s">
        <v>51</v>
      </c>
      <c r="H8067" s="160"/>
      <c r="I8067" s="160" t="s">
        <v>47</v>
      </c>
      <c r="J8067" s="160" t="s">
        <v>52</v>
      </c>
      <c r="K8067" s="160" t="s">
        <v>27</v>
      </c>
      <c r="L8067" s="154" t="str">
        <f>IF(OpenLCAbasic!K8067="CTUh", "Fill in Manually",IF(OR(K8067="Unit", K8067=""), "", INDEX(LookUps!$E$5:$E$12, MATCH(OpenLCAbasic!K8067,LookUps!$D$5:$D$12,0))))</f>
        <v/>
      </c>
      <c r="M8067" s="154" t="str">
        <f t="shared" si="636"/>
        <v>____Process__</v>
      </c>
    </row>
    <row r="8068" spans="1:13" s="120" customFormat="1" x14ac:dyDescent="0.25">
      <c r="A8068" s="119"/>
      <c r="B8068" s="138" t="str">
        <f t="shared" si="630"/>
        <v>Aerated Static Pile</v>
      </c>
      <c r="C8068" s="138" t="str">
        <f t="shared" si="631"/>
        <v>Base_With Amendment</v>
      </c>
      <c r="D8068" s="138" t="str">
        <f t="shared" si="635"/>
        <v>Base_High</v>
      </c>
      <c r="E8068" s="138" t="str">
        <f t="shared" si="633"/>
        <v>Base</v>
      </c>
      <c r="F8068" s="138" t="str">
        <f t="shared" si="634"/>
        <v>Upgraded</v>
      </c>
      <c r="G8068" s="153"/>
      <c r="H8068" s="210">
        <v>3.3153000000000001</v>
      </c>
      <c r="I8068" s="160" t="s">
        <v>167</v>
      </c>
      <c r="J8068" s="160">
        <v>7.9170000000000004E-2</v>
      </c>
      <c r="K8068" s="160" t="s">
        <v>14</v>
      </c>
      <c r="L8068" s="154" t="str">
        <f>IF(OpenLCAbasic!K8068="CTUh", "Fill in Manually",IF(OR(K8068="Unit", K8068=""), "", INDEX(LookUps!$E$5:$E$12, MATCH(OpenLCAbasic!K8068,LookUps!$D$5:$D$12,0))))</f>
        <v>Fossil Depletion Potential (FDP) - kg oil eq</v>
      </c>
      <c r="M8068" s="154" t="str">
        <f t="shared" si="636"/>
        <v>Base_Base_High_Upgraded_Fossil Depletion Potential (FDP) - kg oil eq_Waste Receiving and Holding; wastewater treatment unit; at updated plant - US_Base_With Amendment_Aerated Static Pile</v>
      </c>
    </row>
    <row r="8069" spans="1:13" s="120" customFormat="1" x14ac:dyDescent="0.25">
      <c r="A8069" s="119"/>
      <c r="B8069" s="138" t="str">
        <f t="shared" si="630"/>
        <v>Aerated Static Pile</v>
      </c>
      <c r="C8069" s="138" t="str">
        <f t="shared" si="631"/>
        <v>Base_With Amendment</v>
      </c>
      <c r="D8069" s="138" t="str">
        <f t="shared" si="635"/>
        <v>Base_High</v>
      </c>
      <c r="E8069" s="138" t="str">
        <f t="shared" si="633"/>
        <v>Base</v>
      </c>
      <c r="F8069" s="138" t="str">
        <f t="shared" si="634"/>
        <v>Upgraded</v>
      </c>
      <c r="G8069" s="153"/>
      <c r="H8069" s="210">
        <v>2.6629</v>
      </c>
      <c r="I8069" s="160" t="s">
        <v>55</v>
      </c>
      <c r="J8069" s="160">
        <v>6.3589999999999994E-2</v>
      </c>
      <c r="K8069" s="160" t="s">
        <v>14</v>
      </c>
      <c r="L8069" s="154" t="str">
        <f>IF(OpenLCAbasic!K8069="CTUh", "Fill in Manually",IF(OR(K8069="Unit", K8069=""), "", INDEX(LookUps!$E$5:$E$12, MATCH(OpenLCAbasic!K8069,LookUps!$D$5:$D$12,0))))</f>
        <v>Fossil Depletion Potential (FDP) - kg oil eq</v>
      </c>
      <c r="M8069" s="154" t="str">
        <f t="shared" si="636"/>
        <v>Base_Base_High_Upgraded_Fossil Depletion Potential (FDP) - kg oil eq_Aeration Tanks; wastewater treatment unit; at updated plant - US_Base_With Amendment_Aerated Static Pile</v>
      </c>
    </row>
    <row r="8070" spans="1:13" s="120" customFormat="1" x14ac:dyDescent="0.25">
      <c r="A8070" s="119"/>
      <c r="B8070" s="138" t="str">
        <f t="shared" si="630"/>
        <v>Aerated Static Pile</v>
      </c>
      <c r="C8070" s="138" t="str">
        <f t="shared" si="631"/>
        <v>Base_With Amendment</v>
      </c>
      <c r="D8070" s="138" t="str">
        <f t="shared" si="635"/>
        <v>Base_High</v>
      </c>
      <c r="E8070" s="138" t="str">
        <f t="shared" si="633"/>
        <v>Base</v>
      </c>
      <c r="F8070" s="138" t="str">
        <f t="shared" si="634"/>
        <v>Upgraded</v>
      </c>
      <c r="G8070" s="153"/>
      <c r="H8070" s="210">
        <v>0.88629999999999998</v>
      </c>
      <c r="I8070" s="160" t="s">
        <v>435</v>
      </c>
      <c r="J8070" s="160">
        <v>2.1160000000000002E-2</v>
      </c>
      <c r="K8070" s="160" t="s">
        <v>14</v>
      </c>
      <c r="L8070" s="154" t="str">
        <f>IF(OpenLCAbasic!K8070="CTUh", "Fill in Manually",IF(OR(K8070="Unit", K8070=""), "", INDEX(LookUps!$E$5:$E$12, MATCH(OpenLCAbasic!K8070,LookUps!$D$5:$D$12,0))))</f>
        <v>Fossil Depletion Potential (FDP) - kg oil eq</v>
      </c>
      <c r="M8070" s="154" t="str">
        <f t="shared" si="636"/>
        <v>Base_Base_High_Upgraded_Fossil Depletion Potential (FDP) - kg oil eq_Biosolids composting; aerated static pile; wastewater treatment unit; at updated plant - US_Base_With Amendment_Aerated Static Pile</v>
      </c>
    </row>
    <row r="8071" spans="1:13" s="120" customFormat="1" x14ac:dyDescent="0.25">
      <c r="A8071" s="119"/>
      <c r="B8071" s="138" t="str">
        <f t="shared" si="630"/>
        <v>Aerated Static Pile</v>
      </c>
      <c r="C8071" s="138" t="str">
        <f t="shared" si="631"/>
        <v>Base_With Amendment</v>
      </c>
      <c r="D8071" s="138" t="str">
        <f t="shared" si="635"/>
        <v>Base_High</v>
      </c>
      <c r="E8071" s="138" t="str">
        <f t="shared" si="633"/>
        <v>Base</v>
      </c>
      <c r="F8071" s="138" t="str">
        <f t="shared" si="634"/>
        <v>Upgraded</v>
      </c>
      <c r="G8071" s="153"/>
      <c r="H8071" s="210">
        <v>0.88149999999999995</v>
      </c>
      <c r="I8071" s="160" t="s">
        <v>54</v>
      </c>
      <c r="J8071" s="160">
        <v>2.1049999999999999E-2</v>
      </c>
      <c r="K8071" s="160" t="s">
        <v>14</v>
      </c>
      <c r="L8071" s="154" t="str">
        <f>IF(OpenLCAbasic!K8071="CTUh", "Fill in Manually",IF(OR(K8071="Unit", K8071=""), "", INDEX(LookUps!$E$5:$E$12, MATCH(OpenLCAbasic!K8071,LookUps!$D$5:$D$12,0))))</f>
        <v>Fossil Depletion Potential (FDP) - kg oil eq</v>
      </c>
      <c r="M8071" s="154" t="str">
        <f t="shared" si="636"/>
        <v>Base_Base_High_Upgraded_Fossil Depletion Potential (FDP) - kg oil eq_Clear Cove Primary Clarification; wastewater treatment unit; at updated plant - US_Base_With Amendment_Aerated Static Pile</v>
      </c>
    </row>
    <row r="8072" spans="1:13" s="120" customFormat="1" x14ac:dyDescent="0.25">
      <c r="A8072" s="119"/>
      <c r="B8072" s="138" t="str">
        <f t="shared" si="630"/>
        <v>Aerated Static Pile</v>
      </c>
      <c r="C8072" s="138" t="str">
        <f t="shared" si="631"/>
        <v>Base_With Amendment</v>
      </c>
      <c r="D8072" s="138" t="str">
        <f t="shared" si="635"/>
        <v>Base_High</v>
      </c>
      <c r="E8072" s="138" t="str">
        <f t="shared" si="633"/>
        <v>Base</v>
      </c>
      <c r="F8072" s="138" t="str">
        <f t="shared" si="634"/>
        <v>Upgraded</v>
      </c>
      <c r="G8072" s="153"/>
      <c r="H8072" s="210">
        <v>0.66679999999999995</v>
      </c>
      <c r="I8072" s="160" t="s">
        <v>58</v>
      </c>
      <c r="J8072" s="160">
        <v>1.592E-2</v>
      </c>
      <c r="K8072" s="160" t="s">
        <v>14</v>
      </c>
      <c r="L8072" s="154" t="str">
        <f>IF(OpenLCAbasic!K8072="CTUh", "Fill in Manually",IF(OR(K8072="Unit", K8072=""), "", INDEX(LookUps!$E$5:$E$12, MATCH(OpenLCAbasic!K8072,LookUps!$D$5:$D$12,0))))</f>
        <v>Fossil Depletion Potential (FDP) - kg oil eq</v>
      </c>
      <c r="M8072" s="154" t="str">
        <f t="shared" si="636"/>
        <v>Base_Base_High_Upgraded_Fossil Depletion Potential (FDP) - kg oil eq_Pre-Anoxic &amp; Swing tank; wastewater treatment unit; at updated plant - US_Base_With Amendment_Aerated Static Pile</v>
      </c>
    </row>
    <row r="8073" spans="1:13" s="120" customFormat="1" x14ac:dyDescent="0.25">
      <c r="A8073" s="119"/>
      <c r="B8073" s="138" t="str">
        <f t="shared" ref="B8073:B8136" si="637">IF(F8073="Legacy","n.a.",IF(F8073="","","Aerated Static Pile"))</f>
        <v>Aerated Static Pile</v>
      </c>
      <c r="C8073" s="138" t="str">
        <f t="shared" ref="C8073:C8136" si="638">IF(ISNUMBER($J8073),"Base_With Amendment","")</f>
        <v>Base_With Amendment</v>
      </c>
      <c r="D8073" s="138" t="str">
        <f t="shared" si="635"/>
        <v>Base_High</v>
      </c>
      <c r="E8073" s="138" t="str">
        <f t="shared" ref="E8073:E8136" si="639">IF(ISNUMBER($J8073),"Base","")</f>
        <v>Base</v>
      </c>
      <c r="F8073" s="138" t="str">
        <f t="shared" ref="F8073:F8136" si="640">IF(ISNUMBER(J8073),"Upgraded","")</f>
        <v>Upgraded</v>
      </c>
      <c r="G8073" s="153"/>
      <c r="H8073" s="210">
        <v>0.63180000000000003</v>
      </c>
      <c r="I8073" s="160" t="s">
        <v>147</v>
      </c>
      <c r="J8073" s="160">
        <v>1.5089999999999999E-2</v>
      </c>
      <c r="K8073" s="160" t="s">
        <v>14</v>
      </c>
      <c r="L8073" s="154" t="str">
        <f>IF(OpenLCAbasic!K8073="CTUh", "Fill in Manually",IF(OR(K8073="Unit", K8073=""), "", INDEX(LookUps!$E$5:$E$12, MATCH(OpenLCAbasic!K8073,LookUps!$D$5:$D$12,0))))</f>
        <v>Fossil Depletion Potential (FDP) - kg oil eq</v>
      </c>
      <c r="M8073" s="154" t="str">
        <f t="shared" si="636"/>
        <v>Base_Base_High_Upgraded_Fossil Depletion Potential (FDP) - kg oil eq_Influent Pump Station; wastewater treatment unit; at updated plant - US_Base_With Amendment_Aerated Static Pile</v>
      </c>
    </row>
    <row r="8074" spans="1:13" s="120" customFormat="1" x14ac:dyDescent="0.25">
      <c r="A8074" s="119"/>
      <c r="B8074" s="138" t="str">
        <f t="shared" si="637"/>
        <v>Aerated Static Pile</v>
      </c>
      <c r="C8074" s="138" t="str">
        <f t="shared" si="638"/>
        <v>Base_With Amendment</v>
      </c>
      <c r="D8074" s="138" t="str">
        <f t="shared" si="635"/>
        <v>Base_High</v>
      </c>
      <c r="E8074" s="138" t="str">
        <f t="shared" si="639"/>
        <v>Base</v>
      </c>
      <c r="F8074" s="138" t="str">
        <f t="shared" si="640"/>
        <v>Upgraded</v>
      </c>
      <c r="G8074" s="153"/>
      <c r="H8074" s="210">
        <v>0.52300000000000002</v>
      </c>
      <c r="I8074" s="160" t="s">
        <v>53</v>
      </c>
      <c r="J8074" s="160">
        <v>1.2489999999999999E-2</v>
      </c>
      <c r="K8074" s="160" t="s">
        <v>14</v>
      </c>
      <c r="L8074" s="154" t="str">
        <f>IF(OpenLCAbasic!K8074="CTUh", "Fill in Manually",IF(OR(K8074="Unit", K8074=""), "", INDEX(LookUps!$E$5:$E$12, MATCH(OpenLCAbasic!K8074,LookUps!$D$5:$D$12,0))))</f>
        <v>Fossil Depletion Potential (FDP) - kg oil eq</v>
      </c>
      <c r="M8074" s="154" t="str">
        <f t="shared" si="636"/>
        <v>Base_Base_High_Upgraded_Fossil Depletion Potential (FDP) - kg oil eq_Wet Well and Sump Station; wastewater treatment unit; at updated plant - US_Base_With Amendment_Aerated Static Pile</v>
      </c>
    </row>
    <row r="8075" spans="1:13" s="120" customFormat="1" x14ac:dyDescent="0.25">
      <c r="A8075" s="119"/>
      <c r="B8075" s="138" t="str">
        <f t="shared" si="637"/>
        <v>Aerated Static Pile</v>
      </c>
      <c r="C8075" s="138" t="str">
        <f t="shared" si="638"/>
        <v>Base_With Amendment</v>
      </c>
      <c r="D8075" s="138" t="str">
        <f t="shared" si="635"/>
        <v>Base_High</v>
      </c>
      <c r="E8075" s="138" t="str">
        <f t="shared" si="639"/>
        <v>Base</v>
      </c>
      <c r="F8075" s="138" t="str">
        <f t="shared" si="640"/>
        <v>Upgraded</v>
      </c>
      <c r="G8075" s="153"/>
      <c r="H8075" s="210">
        <v>0.28960000000000002</v>
      </c>
      <c r="I8075" s="160" t="s">
        <v>57</v>
      </c>
      <c r="J8075" s="160">
        <v>6.9199999999999999E-3</v>
      </c>
      <c r="K8075" s="160" t="s">
        <v>14</v>
      </c>
      <c r="L8075" s="154" t="str">
        <f>IF(OpenLCAbasic!K8075="CTUh", "Fill in Manually",IF(OR(K8075="Unit", K8075=""), "", INDEX(LookUps!$E$5:$E$12, MATCH(OpenLCAbasic!K8075,LookUps!$D$5:$D$12,0))))</f>
        <v>Fossil Depletion Potential (FDP) - kg oil eq</v>
      </c>
      <c r="M8075" s="154" t="str">
        <f t="shared" si="636"/>
        <v>Base_Base_High_Upgraded_Fossil Depletion Potential (FDP) - kg oil eq_Gravity Belt Thickener; wastewater treatment unit; at updated plant - US_Base_With Amendment_Aerated Static Pile</v>
      </c>
    </row>
    <row r="8076" spans="1:13" s="120" customFormat="1" x14ac:dyDescent="0.25">
      <c r="A8076" s="119"/>
      <c r="B8076" s="138" t="str">
        <f t="shared" si="637"/>
        <v>Aerated Static Pile</v>
      </c>
      <c r="C8076" s="138" t="str">
        <f t="shared" si="638"/>
        <v>Base_With Amendment</v>
      </c>
      <c r="D8076" s="138" t="str">
        <f t="shared" si="635"/>
        <v>Base_High</v>
      </c>
      <c r="E8076" s="138" t="str">
        <f t="shared" si="639"/>
        <v>Base</v>
      </c>
      <c r="F8076" s="138" t="str">
        <f t="shared" si="640"/>
        <v>Upgraded</v>
      </c>
      <c r="G8076" s="153"/>
      <c r="H8076" s="210">
        <v>0.23449999999999999</v>
      </c>
      <c r="I8076" s="160" t="s">
        <v>60</v>
      </c>
      <c r="J8076" s="160">
        <v>5.5999999999999999E-3</v>
      </c>
      <c r="K8076" s="160" t="s">
        <v>14</v>
      </c>
      <c r="L8076" s="154" t="str">
        <f>IF(OpenLCAbasic!K8076="CTUh", "Fill in Manually",IF(OR(K8076="Unit", K8076=""), "", INDEX(LookUps!$E$5:$E$12, MATCH(OpenLCAbasic!K8076,LookUps!$D$5:$D$12,0))))</f>
        <v>Fossil Depletion Potential (FDP) - kg oil eq</v>
      </c>
      <c r="M8076" s="154" t="str">
        <f t="shared" si="636"/>
        <v>Base_Base_High_Upgraded_Fossil Depletion Potential (FDP) - kg oil eq_Belt filter press; wastewater treatment unit; at updated plant - US_Base_With Amendment_Aerated Static Pile</v>
      </c>
    </row>
    <row r="8077" spans="1:13" s="120" customFormat="1" x14ac:dyDescent="0.25">
      <c r="A8077" s="119"/>
      <c r="B8077" s="138" t="str">
        <f t="shared" si="637"/>
        <v>Aerated Static Pile</v>
      </c>
      <c r="C8077" s="138" t="str">
        <f t="shared" si="638"/>
        <v>Base_With Amendment</v>
      </c>
      <c r="D8077" s="138" t="str">
        <f t="shared" si="635"/>
        <v>Base_High</v>
      </c>
      <c r="E8077" s="138" t="str">
        <f t="shared" si="639"/>
        <v>Base</v>
      </c>
      <c r="F8077" s="138" t="str">
        <f t="shared" si="640"/>
        <v>Upgraded</v>
      </c>
      <c r="G8077" s="153"/>
      <c r="H8077" s="210">
        <v>0.18840000000000001</v>
      </c>
      <c r="I8077" s="160" t="s">
        <v>128</v>
      </c>
      <c r="J8077" s="160">
        <v>4.4999999999999997E-3</v>
      </c>
      <c r="K8077" s="160" t="s">
        <v>14</v>
      </c>
      <c r="L8077" s="154" t="str">
        <f>IF(OpenLCAbasic!K8077="CTUh", "Fill in Manually",IF(OR(K8077="Unit", K8077=""), "", INDEX(LookUps!$E$5:$E$12, MATCH(OpenLCAbasic!K8077,LookUps!$D$5:$D$12,0))))</f>
        <v>Fossil Depletion Potential (FDP) - kg oil eq</v>
      </c>
      <c r="M8077" s="154" t="str">
        <f t="shared" si="636"/>
        <v>Base_Base_High_Upgraded_Fossil Depletion Potential (FDP) - kg oil eq_Wastewater collection; operation and infrastructure; m3 wastewater_Base_With Amendment_Aerated Static Pile</v>
      </c>
    </row>
    <row r="8078" spans="1:13" s="120" customFormat="1" x14ac:dyDescent="0.25">
      <c r="A8078" s="119"/>
      <c r="B8078" s="138" t="str">
        <f t="shared" si="637"/>
        <v>Aerated Static Pile</v>
      </c>
      <c r="C8078" s="138" t="str">
        <f t="shared" si="638"/>
        <v>Base_With Amendment</v>
      </c>
      <c r="D8078" s="138" t="str">
        <f t="shared" si="635"/>
        <v>Base_High</v>
      </c>
      <c r="E8078" s="138" t="str">
        <f t="shared" si="639"/>
        <v>Base</v>
      </c>
      <c r="F8078" s="138" t="str">
        <f t="shared" si="640"/>
        <v>Upgraded</v>
      </c>
      <c r="G8078" s="153"/>
      <c r="H8078" s="210">
        <v>0.1171</v>
      </c>
      <c r="I8078" s="160" t="s">
        <v>148</v>
      </c>
      <c r="J8078" s="160">
        <v>2.8E-3</v>
      </c>
      <c r="K8078" s="160" t="s">
        <v>14</v>
      </c>
      <c r="L8078" s="154" t="str">
        <f>IF(OpenLCAbasic!K8078="CTUh", "Fill in Manually",IF(OR(K8078="Unit", K8078=""), "", INDEX(LookUps!$E$5:$E$12, MATCH(OpenLCAbasic!K8078,LookUps!$D$5:$D$12,0))))</f>
        <v>Fossil Depletion Potential (FDP) - kg oil eq</v>
      </c>
      <c r="M8078" s="154" t="str">
        <f t="shared" si="636"/>
        <v>Base_Base_High_Upgraded_Fossil Depletion Potential (FDP) - kg oil eq_Control Building; at upgraded wastewater treatment plant - US_Base_With Amendment_Aerated Static Pile</v>
      </c>
    </row>
    <row r="8079" spans="1:13" s="120" customFormat="1" x14ac:dyDescent="0.25">
      <c r="A8079" s="119"/>
      <c r="B8079" s="138" t="str">
        <f t="shared" si="637"/>
        <v>Aerated Static Pile</v>
      </c>
      <c r="C8079" s="138" t="str">
        <f t="shared" si="638"/>
        <v>Base_With Amendment</v>
      </c>
      <c r="D8079" s="138" t="str">
        <f t="shared" si="635"/>
        <v>Base_High</v>
      </c>
      <c r="E8079" s="138" t="str">
        <f t="shared" si="639"/>
        <v>Base</v>
      </c>
      <c r="F8079" s="138" t="str">
        <f t="shared" si="640"/>
        <v>Upgraded</v>
      </c>
      <c r="G8079" s="153"/>
      <c r="H8079" s="210">
        <v>9.9000000000000005E-2</v>
      </c>
      <c r="I8079" s="160" t="s">
        <v>48</v>
      </c>
      <c r="J8079" s="160">
        <v>2.3600000000000001E-3</v>
      </c>
      <c r="K8079" s="160" t="s">
        <v>14</v>
      </c>
      <c r="L8079" s="154" t="str">
        <f>IF(OpenLCAbasic!K8079="CTUh", "Fill in Manually",IF(OR(K8079="Unit", K8079=""), "", INDEX(LookUps!$E$5:$E$12, MATCH(OpenLCAbasic!K8079,LookUps!$D$5:$D$12,0))))</f>
        <v>Fossil Depletion Potential (FDP) - kg oil eq</v>
      </c>
      <c r="M8079" s="154" t="str">
        <f t="shared" si="636"/>
        <v>Base_Base_High_Upgraded_Fossil Depletion Potential (FDP) - kg oil eq_Effluent release; wastewater treatment unit; at surface water; m3 wastewater - US_Base_With Amendment_Aerated Static Pile</v>
      </c>
    </row>
    <row r="8080" spans="1:13" s="120" customFormat="1" x14ac:dyDescent="0.25">
      <c r="A8080" s="119"/>
      <c r="B8080" s="138" t="str">
        <f t="shared" si="637"/>
        <v>Aerated Static Pile</v>
      </c>
      <c r="C8080" s="138" t="str">
        <f t="shared" si="638"/>
        <v>Base_With Amendment</v>
      </c>
      <c r="D8080" s="138" t="str">
        <f t="shared" si="635"/>
        <v>Base_High</v>
      </c>
      <c r="E8080" s="138" t="str">
        <f t="shared" si="639"/>
        <v>Base</v>
      </c>
      <c r="F8080" s="138" t="str">
        <f t="shared" si="640"/>
        <v>Upgraded</v>
      </c>
      <c r="G8080" s="153"/>
      <c r="H8080" s="210">
        <v>8.0399999999999999E-2</v>
      </c>
      <c r="I8080" s="160" t="s">
        <v>59</v>
      </c>
      <c r="J8080" s="160">
        <v>1.92E-3</v>
      </c>
      <c r="K8080" s="160" t="s">
        <v>14</v>
      </c>
      <c r="L8080" s="154" t="str">
        <f>IF(OpenLCAbasic!K8080="CTUh", "Fill in Manually",IF(OR(K8080="Unit", K8080=""), "", INDEX(LookUps!$E$5:$E$12, MATCH(OpenLCAbasic!K8080,LookUps!$D$5:$D$12,0))))</f>
        <v>Fossil Depletion Potential (FDP) - kg oil eq</v>
      </c>
      <c r="M8080" s="154" t="str">
        <f t="shared" si="636"/>
        <v>Base_Base_High_Upgraded_Fossil Depletion Potential (FDP) - kg oil eq_Blend Tank; wastewater treatment unit; at updated plant - US_Base_With Amendment_Aerated Static Pile</v>
      </c>
    </row>
    <row r="8081" spans="1:13" s="120" customFormat="1" x14ac:dyDescent="0.25">
      <c r="A8081" s="119"/>
      <c r="B8081" s="138" t="str">
        <f t="shared" si="637"/>
        <v>Aerated Static Pile</v>
      </c>
      <c r="C8081" s="138" t="str">
        <f t="shared" si="638"/>
        <v>Base_With Amendment</v>
      </c>
      <c r="D8081" s="138" t="str">
        <f t="shared" ref="D8081:D8144" si="641">IF(ISNUMBER($J8081),"Base_High","")</f>
        <v>Base_High</v>
      </c>
      <c r="E8081" s="138" t="str">
        <f t="shared" si="639"/>
        <v>Base</v>
      </c>
      <c r="F8081" s="138" t="str">
        <f t="shared" si="640"/>
        <v>Upgraded</v>
      </c>
      <c r="G8081" s="153"/>
      <c r="H8081" s="210">
        <v>3.8300000000000001E-2</v>
      </c>
      <c r="I8081" s="160" t="s">
        <v>168</v>
      </c>
      <c r="J8081" s="160">
        <v>9.1E-4</v>
      </c>
      <c r="K8081" s="160" t="s">
        <v>14</v>
      </c>
      <c r="L8081" s="154" t="str">
        <f>IF(OpenLCAbasic!K8081="CTUh", "Fill in Manually",IF(OR(K8081="Unit", K8081=""), "", INDEX(LookUps!$E$5:$E$12, MATCH(OpenLCAbasic!K8081,LookUps!$D$5:$D$12,0))))</f>
        <v>Fossil Depletion Potential (FDP) - kg oil eq</v>
      </c>
      <c r="M8081" s="154" t="str">
        <f t="shared" si="636"/>
        <v>Base_Base_High_Upgraded_Fossil Depletion Potential (FDP) - kg oil eq_ClearCove SCP; wastewater treatment unit; at updated plant - US_Base_With Amendment_Aerated Static Pile</v>
      </c>
    </row>
    <row r="8082" spans="1:13" s="120" customFormat="1" x14ac:dyDescent="0.25">
      <c r="A8082" s="119"/>
      <c r="B8082" s="138" t="str">
        <f t="shared" si="637"/>
        <v>Aerated Static Pile</v>
      </c>
      <c r="C8082" s="138" t="str">
        <f t="shared" si="638"/>
        <v>Base_With Amendment</v>
      </c>
      <c r="D8082" s="138" t="str">
        <f t="shared" si="641"/>
        <v>Base_High</v>
      </c>
      <c r="E8082" s="138" t="str">
        <f t="shared" si="639"/>
        <v>Base</v>
      </c>
      <c r="F8082" s="138" t="str">
        <f t="shared" si="640"/>
        <v>Upgraded</v>
      </c>
      <c r="G8082" s="153"/>
      <c r="H8082" s="210">
        <v>-0.2462</v>
      </c>
      <c r="I8082" s="160" t="s">
        <v>62</v>
      </c>
      <c r="J8082" s="160">
        <v>-5.8799999999999998E-3</v>
      </c>
      <c r="K8082" s="160" t="s">
        <v>14</v>
      </c>
      <c r="L8082" s="154" t="str">
        <f>IF(OpenLCAbasic!K8082="CTUh", "Fill in Manually",IF(OR(K8082="Unit", K8082=""), "", INDEX(LookUps!$E$5:$E$12, MATCH(OpenLCAbasic!K8082,LookUps!$D$5:$D$12,0))))</f>
        <v>Fossil Depletion Potential (FDP) - kg oil eq</v>
      </c>
      <c r="M8082" s="154" t="str">
        <f t="shared" si="636"/>
        <v>Base_Base_High_Upgraded_Fossil Depletion Potential (FDP) - kg oil eq_Land application of compost; wastewater treatment unit; at updated plant - US_Base_With Amendment_Aerated Static Pile</v>
      </c>
    </row>
    <row r="8083" spans="1:13" s="120" customFormat="1" x14ac:dyDescent="0.25">
      <c r="A8083" s="119"/>
      <c r="B8083" s="138" t="str">
        <f t="shared" si="637"/>
        <v>Aerated Static Pile</v>
      </c>
      <c r="C8083" s="138" t="str">
        <f t="shared" si="638"/>
        <v>Base_With Amendment</v>
      </c>
      <c r="D8083" s="138" t="str">
        <f t="shared" si="641"/>
        <v>Base_High</v>
      </c>
      <c r="E8083" s="138" t="str">
        <f t="shared" si="639"/>
        <v>Base</v>
      </c>
      <c r="F8083" s="138" t="str">
        <f t="shared" si="640"/>
        <v>Upgraded</v>
      </c>
      <c r="G8083" s="153"/>
      <c r="H8083" s="210">
        <v>-9.3688000000000002</v>
      </c>
      <c r="I8083" s="160" t="s">
        <v>149</v>
      </c>
      <c r="J8083" s="160">
        <v>-0.22373000000000001</v>
      </c>
      <c r="K8083" s="160" t="s">
        <v>14</v>
      </c>
      <c r="L8083" s="154" t="str">
        <f>IF(OpenLCAbasic!K8083="CTUh", "Fill in Manually",IF(OR(K8083="Unit", K8083=""), "", INDEX(LookUps!$E$5:$E$12, MATCH(OpenLCAbasic!K8083,LookUps!$D$5:$D$12,0))))</f>
        <v>Fossil Depletion Potential (FDP) - kg oil eq</v>
      </c>
      <c r="M8083" s="154" t="str">
        <f t="shared" si="636"/>
        <v>Base_Base_High_Upgraded_Fossil Depletion Potential (FDP) - kg oil eq_Anaerobic Digestion; wastewater treatment unit; at updated plant - US_Base_With Amendment_Aerated Static Pile</v>
      </c>
    </row>
    <row r="8084" spans="1:13" s="120" customFormat="1" x14ac:dyDescent="0.25">
      <c r="A8084" s="119"/>
      <c r="B8084" s="138" t="str">
        <f t="shared" si="637"/>
        <v/>
      </c>
      <c r="C8084" s="138" t="str">
        <f t="shared" si="638"/>
        <v/>
      </c>
      <c r="D8084" s="138" t="str">
        <f t="shared" si="641"/>
        <v/>
      </c>
      <c r="E8084" s="138" t="str">
        <f t="shared" si="639"/>
        <v/>
      </c>
      <c r="F8084" s="138" t="str">
        <f t="shared" si="640"/>
        <v/>
      </c>
      <c r="G8084" s="153" t="s">
        <v>51</v>
      </c>
      <c r="H8084" s="160"/>
      <c r="I8084" s="160" t="s">
        <v>47</v>
      </c>
      <c r="J8084" s="160"/>
      <c r="K8084" s="160" t="s">
        <v>27</v>
      </c>
      <c r="L8084" s="154" t="str">
        <f>IF(OpenLCAbasic!K8084="CTUh", "Fill in Manually",IF(OR(K8084="Unit", K8084=""), "", INDEX(LookUps!$E$5:$E$12, MATCH(OpenLCAbasic!K8084,LookUps!$D$5:$D$12,0))))</f>
        <v/>
      </c>
      <c r="M8084" s="154" t="str">
        <f t="shared" si="636"/>
        <v>____Process__</v>
      </c>
    </row>
    <row r="8085" spans="1:13" s="120" customFormat="1" x14ac:dyDescent="0.25">
      <c r="A8085" s="119"/>
      <c r="B8085" s="138" t="str">
        <f t="shared" si="637"/>
        <v>Aerated Static Pile</v>
      </c>
      <c r="C8085" s="138" t="str">
        <f t="shared" si="638"/>
        <v>Base_With Amendment</v>
      </c>
      <c r="D8085" s="138" t="str">
        <f t="shared" si="641"/>
        <v>Base_High</v>
      </c>
      <c r="E8085" s="138" t="str">
        <f t="shared" si="639"/>
        <v>Base</v>
      </c>
      <c r="F8085" s="138" t="str">
        <f t="shared" si="640"/>
        <v>Upgraded</v>
      </c>
      <c r="G8085" s="153"/>
      <c r="H8085" s="210">
        <v>1.3539000000000001</v>
      </c>
      <c r="I8085" s="160" t="s">
        <v>435</v>
      </c>
      <c r="J8085" s="160">
        <v>0.4869</v>
      </c>
      <c r="K8085" s="160" t="s">
        <v>23</v>
      </c>
      <c r="L8085" s="154" t="str">
        <f>IF(OpenLCAbasic!K8085="CTUh", "Fill in Manually",IF(OR(K8085="Unit", K8085=""), "", INDEX(LookUps!$E$5:$E$12, MATCH(OpenLCAbasic!K8085,LookUps!$D$5:$D$12,0))))</f>
        <v>Global Warming Potential (GWP) - kg CO2 eq</v>
      </c>
      <c r="M8085" s="154" t="str">
        <f t="shared" si="636"/>
        <v>Base_Base_High_Upgraded_Global Warming Potential (GWP) - kg CO2 eq_Biosolids composting; aerated static pile; wastewater treatment unit; at updated plant - US_Base_With Amendment_Aerated Static Pile</v>
      </c>
    </row>
    <row r="8086" spans="1:13" s="120" customFormat="1" x14ac:dyDescent="0.25">
      <c r="A8086" s="119"/>
      <c r="B8086" s="138" t="str">
        <f t="shared" si="637"/>
        <v>Aerated Static Pile</v>
      </c>
      <c r="C8086" s="138" t="str">
        <f t="shared" si="638"/>
        <v>Base_With Amendment</v>
      </c>
      <c r="D8086" s="138" t="str">
        <f t="shared" si="641"/>
        <v>Base_High</v>
      </c>
      <c r="E8086" s="138" t="str">
        <f t="shared" si="639"/>
        <v>Base</v>
      </c>
      <c r="F8086" s="138" t="str">
        <f t="shared" si="640"/>
        <v>Upgraded</v>
      </c>
      <c r="G8086" s="153"/>
      <c r="H8086" s="210">
        <v>0.67510000000000003</v>
      </c>
      <c r="I8086" s="160" t="s">
        <v>58</v>
      </c>
      <c r="J8086" s="160">
        <v>0.24279999999999999</v>
      </c>
      <c r="K8086" s="160" t="s">
        <v>23</v>
      </c>
      <c r="L8086" s="154" t="str">
        <f>IF(OpenLCAbasic!K8086="CTUh", "Fill in Manually",IF(OR(K8086="Unit", K8086=""), "", INDEX(LookUps!$E$5:$E$12, MATCH(OpenLCAbasic!K8086,LookUps!$D$5:$D$12,0))))</f>
        <v>Global Warming Potential (GWP) - kg CO2 eq</v>
      </c>
      <c r="M8086" s="154" t="str">
        <f t="shared" si="636"/>
        <v>Base_Base_High_Upgraded_Global Warming Potential (GWP) - kg CO2 eq_Pre-Anoxic &amp; Swing tank; wastewater treatment unit; at updated plant - US_Base_With Amendment_Aerated Static Pile</v>
      </c>
    </row>
    <row r="8087" spans="1:13" s="120" customFormat="1" x14ac:dyDescent="0.25">
      <c r="A8087" s="119"/>
      <c r="B8087" s="138" t="str">
        <f t="shared" si="637"/>
        <v>Aerated Static Pile</v>
      </c>
      <c r="C8087" s="138" t="str">
        <f t="shared" si="638"/>
        <v>Base_With Amendment</v>
      </c>
      <c r="D8087" s="138" t="str">
        <f t="shared" si="641"/>
        <v>Base_High</v>
      </c>
      <c r="E8087" s="138" t="str">
        <f t="shared" si="639"/>
        <v>Base</v>
      </c>
      <c r="F8087" s="138" t="str">
        <f t="shared" si="640"/>
        <v>Upgraded</v>
      </c>
      <c r="G8087" s="153"/>
      <c r="H8087" s="210">
        <v>0.46779999999999999</v>
      </c>
      <c r="I8087" s="160" t="s">
        <v>55</v>
      </c>
      <c r="J8087" s="160">
        <v>0.16822000000000001</v>
      </c>
      <c r="K8087" s="160" t="s">
        <v>23</v>
      </c>
      <c r="L8087" s="154" t="str">
        <f>IF(OpenLCAbasic!K8087="CTUh", "Fill in Manually",IF(OR(K8087="Unit", K8087=""), "", INDEX(LookUps!$E$5:$E$12, MATCH(OpenLCAbasic!K8087,LookUps!$D$5:$D$12,0))))</f>
        <v>Global Warming Potential (GWP) - kg CO2 eq</v>
      </c>
      <c r="M8087" s="154" t="str">
        <f t="shared" si="636"/>
        <v>Base_Base_High_Upgraded_Global Warming Potential (GWP) - kg CO2 eq_Aeration Tanks; wastewater treatment unit; at updated plant - US_Base_With Amendment_Aerated Static Pile</v>
      </c>
    </row>
    <row r="8088" spans="1:13" s="120" customFormat="1" x14ac:dyDescent="0.25">
      <c r="A8088" s="119"/>
      <c r="B8088" s="138" t="str">
        <f t="shared" si="637"/>
        <v>Aerated Static Pile</v>
      </c>
      <c r="C8088" s="138" t="str">
        <f t="shared" si="638"/>
        <v>Base_With Amendment</v>
      </c>
      <c r="D8088" s="138" t="str">
        <f t="shared" si="641"/>
        <v>Base_High</v>
      </c>
      <c r="E8088" s="138" t="str">
        <f t="shared" si="639"/>
        <v>Base</v>
      </c>
      <c r="F8088" s="138" t="str">
        <f t="shared" si="640"/>
        <v>Upgraded</v>
      </c>
      <c r="G8088" s="153"/>
      <c r="H8088" s="210">
        <v>0.2848</v>
      </c>
      <c r="I8088" s="160" t="s">
        <v>167</v>
      </c>
      <c r="J8088" s="160">
        <v>0.10241</v>
      </c>
      <c r="K8088" s="160" t="s">
        <v>23</v>
      </c>
      <c r="L8088" s="154" t="str">
        <f>IF(OpenLCAbasic!K8088="CTUh", "Fill in Manually",IF(OR(K8088="Unit", K8088=""), "", INDEX(LookUps!$E$5:$E$12, MATCH(OpenLCAbasic!K8088,LookUps!$D$5:$D$12,0))))</f>
        <v>Global Warming Potential (GWP) - kg CO2 eq</v>
      </c>
      <c r="M8088" s="154" t="str">
        <f t="shared" si="636"/>
        <v>Base_Base_High_Upgraded_Global Warming Potential (GWP) - kg CO2 eq_Waste Receiving and Holding; wastewater treatment unit; at updated plant - US_Base_With Amendment_Aerated Static Pile</v>
      </c>
    </row>
    <row r="8089" spans="1:13" s="120" customFormat="1" x14ac:dyDescent="0.25">
      <c r="A8089" s="119"/>
      <c r="B8089" s="138" t="str">
        <f t="shared" si="637"/>
        <v>Aerated Static Pile</v>
      </c>
      <c r="C8089" s="138" t="str">
        <f t="shared" si="638"/>
        <v>Base_With Amendment</v>
      </c>
      <c r="D8089" s="138" t="str">
        <f t="shared" si="641"/>
        <v>Base_High</v>
      </c>
      <c r="E8089" s="138" t="str">
        <f t="shared" si="639"/>
        <v>Base</v>
      </c>
      <c r="F8089" s="138" t="str">
        <f t="shared" si="640"/>
        <v>Upgraded</v>
      </c>
      <c r="G8089" s="153"/>
      <c r="H8089" s="210">
        <v>0.15870000000000001</v>
      </c>
      <c r="I8089" s="160" t="s">
        <v>54</v>
      </c>
      <c r="J8089" s="160">
        <v>5.7079999999999999E-2</v>
      </c>
      <c r="K8089" s="160" t="s">
        <v>23</v>
      </c>
      <c r="L8089" s="154" t="str">
        <f>IF(OpenLCAbasic!K8089="CTUh", "Fill in Manually",IF(OR(K8089="Unit", K8089=""), "", INDEX(LookUps!$E$5:$E$12, MATCH(OpenLCAbasic!K8089,LookUps!$D$5:$D$12,0))))</f>
        <v>Global Warming Potential (GWP) - kg CO2 eq</v>
      </c>
      <c r="M8089" s="154" t="str">
        <f t="shared" si="636"/>
        <v>Base_Base_High_Upgraded_Global Warming Potential (GWP) - kg CO2 eq_Clear Cove Primary Clarification; wastewater treatment unit; at updated plant - US_Base_With Amendment_Aerated Static Pile</v>
      </c>
    </row>
    <row r="8090" spans="1:13" s="120" customFormat="1" x14ac:dyDescent="0.25">
      <c r="A8090" s="119"/>
      <c r="B8090" s="138" t="str">
        <f t="shared" si="637"/>
        <v>Aerated Static Pile</v>
      </c>
      <c r="C8090" s="138" t="str">
        <f t="shared" si="638"/>
        <v>Base_With Amendment</v>
      </c>
      <c r="D8090" s="138" t="str">
        <f t="shared" si="641"/>
        <v>Base_High</v>
      </c>
      <c r="E8090" s="138" t="str">
        <f t="shared" si="639"/>
        <v>Base</v>
      </c>
      <c r="F8090" s="138" t="str">
        <f t="shared" si="640"/>
        <v>Upgraded</v>
      </c>
      <c r="G8090" s="153"/>
      <c r="H8090" s="210">
        <v>0.1464</v>
      </c>
      <c r="I8090" s="160" t="s">
        <v>48</v>
      </c>
      <c r="J8090" s="160">
        <v>5.2639999999999999E-2</v>
      </c>
      <c r="K8090" s="160" t="s">
        <v>23</v>
      </c>
      <c r="L8090" s="154" t="str">
        <f>IF(OpenLCAbasic!K8090="CTUh", "Fill in Manually",IF(OR(K8090="Unit", K8090=""), "", INDEX(LookUps!$E$5:$E$12, MATCH(OpenLCAbasic!K8090,LookUps!$D$5:$D$12,0))))</f>
        <v>Global Warming Potential (GWP) - kg CO2 eq</v>
      </c>
      <c r="M8090" s="154" t="str">
        <f t="shared" si="636"/>
        <v>Base_Base_High_Upgraded_Global Warming Potential (GWP) - kg CO2 eq_Effluent release; wastewater treatment unit; at surface water; m3 wastewater - US_Base_With Amendment_Aerated Static Pile</v>
      </c>
    </row>
    <row r="8091" spans="1:13" s="120" customFormat="1" x14ac:dyDescent="0.25">
      <c r="A8091" s="119"/>
      <c r="B8091" s="138" t="str">
        <f t="shared" si="637"/>
        <v>Aerated Static Pile</v>
      </c>
      <c r="C8091" s="138" t="str">
        <f t="shared" si="638"/>
        <v>Base_With Amendment</v>
      </c>
      <c r="D8091" s="138" t="str">
        <f t="shared" si="641"/>
        <v>Base_High</v>
      </c>
      <c r="E8091" s="138" t="str">
        <f t="shared" si="639"/>
        <v>Base</v>
      </c>
      <c r="F8091" s="138" t="str">
        <f t="shared" si="640"/>
        <v>Upgraded</v>
      </c>
      <c r="G8091" s="153"/>
      <c r="H8091" s="210">
        <v>0.1404</v>
      </c>
      <c r="I8091" s="160" t="s">
        <v>147</v>
      </c>
      <c r="J8091" s="160">
        <v>5.0500000000000003E-2</v>
      </c>
      <c r="K8091" s="160" t="s">
        <v>23</v>
      </c>
      <c r="L8091" s="154" t="str">
        <f>IF(OpenLCAbasic!K8091="CTUh", "Fill in Manually",IF(OR(K8091="Unit", K8091=""), "", INDEX(LookUps!$E$5:$E$12, MATCH(OpenLCAbasic!K8091,LookUps!$D$5:$D$12,0))))</f>
        <v>Global Warming Potential (GWP) - kg CO2 eq</v>
      </c>
      <c r="M8091" s="154" t="str">
        <f t="shared" si="636"/>
        <v>Base_Base_High_Upgraded_Global Warming Potential (GWP) - kg CO2 eq_Influent Pump Station; wastewater treatment unit; at updated plant - US_Base_With Amendment_Aerated Static Pile</v>
      </c>
    </row>
    <row r="8092" spans="1:13" s="120" customFormat="1" x14ac:dyDescent="0.25">
      <c r="A8092" s="119"/>
      <c r="B8092" s="138" t="str">
        <f t="shared" si="637"/>
        <v>Aerated Static Pile</v>
      </c>
      <c r="C8092" s="138" t="str">
        <f t="shared" si="638"/>
        <v>Base_With Amendment</v>
      </c>
      <c r="D8092" s="138" t="str">
        <f t="shared" si="641"/>
        <v>Base_High</v>
      </c>
      <c r="E8092" s="138" t="str">
        <f t="shared" si="639"/>
        <v>Base</v>
      </c>
      <c r="F8092" s="138" t="str">
        <f t="shared" si="640"/>
        <v>Upgraded</v>
      </c>
      <c r="G8092" s="153"/>
      <c r="H8092" s="210">
        <v>9.2499999999999999E-2</v>
      </c>
      <c r="I8092" s="160" t="s">
        <v>53</v>
      </c>
      <c r="J8092" s="160">
        <v>3.3259999999999998E-2</v>
      </c>
      <c r="K8092" s="160" t="s">
        <v>23</v>
      </c>
      <c r="L8092" s="154" t="str">
        <f>IF(OpenLCAbasic!K8092="CTUh", "Fill in Manually",IF(OR(K8092="Unit", K8092=""), "", INDEX(LookUps!$E$5:$E$12, MATCH(OpenLCAbasic!K8092,LookUps!$D$5:$D$12,0))))</f>
        <v>Global Warming Potential (GWP) - kg CO2 eq</v>
      </c>
      <c r="M8092" s="154" t="str">
        <f t="shared" si="636"/>
        <v>Base_Base_High_Upgraded_Global Warming Potential (GWP) - kg CO2 eq_Wet Well and Sump Station; wastewater treatment unit; at updated plant - US_Base_With Amendment_Aerated Static Pile</v>
      </c>
    </row>
    <row r="8093" spans="1:13" s="120" customFormat="1" x14ac:dyDescent="0.25">
      <c r="A8093" s="119"/>
      <c r="B8093" s="138" t="str">
        <f t="shared" si="637"/>
        <v>Aerated Static Pile</v>
      </c>
      <c r="C8093" s="138" t="str">
        <f t="shared" si="638"/>
        <v>Base_With Amendment</v>
      </c>
      <c r="D8093" s="138" t="str">
        <f t="shared" si="641"/>
        <v>Base_High</v>
      </c>
      <c r="E8093" s="138" t="str">
        <f t="shared" si="639"/>
        <v>Base</v>
      </c>
      <c r="F8093" s="138" t="str">
        <f t="shared" si="640"/>
        <v>Upgraded</v>
      </c>
      <c r="G8093" s="153"/>
      <c r="H8093" s="210">
        <v>4.0500000000000001E-2</v>
      </c>
      <c r="I8093" s="160" t="s">
        <v>57</v>
      </c>
      <c r="J8093" s="160">
        <v>1.455E-2</v>
      </c>
      <c r="K8093" s="160" t="s">
        <v>23</v>
      </c>
      <c r="L8093" s="154" t="str">
        <f>IF(OpenLCAbasic!K8093="CTUh", "Fill in Manually",IF(OR(K8093="Unit", K8093=""), "", INDEX(LookUps!$E$5:$E$12, MATCH(OpenLCAbasic!K8093,LookUps!$D$5:$D$12,0))))</f>
        <v>Global Warming Potential (GWP) - kg CO2 eq</v>
      </c>
      <c r="M8093" s="154" t="str">
        <f t="shared" si="636"/>
        <v>Base_Base_High_Upgraded_Global Warming Potential (GWP) - kg CO2 eq_Gravity Belt Thickener; wastewater treatment unit; at updated plant - US_Base_With Amendment_Aerated Static Pile</v>
      </c>
    </row>
    <row r="8094" spans="1:13" s="120" customFormat="1" x14ac:dyDescent="0.25">
      <c r="A8094" s="119"/>
      <c r="B8094" s="138" t="str">
        <f t="shared" si="637"/>
        <v>Aerated Static Pile</v>
      </c>
      <c r="C8094" s="138" t="str">
        <f t="shared" si="638"/>
        <v>Base_With Amendment</v>
      </c>
      <c r="D8094" s="138" t="str">
        <f t="shared" si="641"/>
        <v>Base_High</v>
      </c>
      <c r="E8094" s="138" t="str">
        <f t="shared" si="639"/>
        <v>Base</v>
      </c>
      <c r="F8094" s="138" t="str">
        <f t="shared" si="640"/>
        <v>Upgraded</v>
      </c>
      <c r="G8094" s="153"/>
      <c r="H8094" s="210">
        <v>3.7600000000000001E-2</v>
      </c>
      <c r="I8094" s="160" t="s">
        <v>128</v>
      </c>
      <c r="J8094" s="160">
        <v>1.3509999999999999E-2</v>
      </c>
      <c r="K8094" s="160" t="s">
        <v>23</v>
      </c>
      <c r="L8094" s="154" t="str">
        <f>IF(OpenLCAbasic!K8094="CTUh", "Fill in Manually",IF(OR(K8094="Unit", K8094=""), "", INDEX(LookUps!$E$5:$E$12, MATCH(OpenLCAbasic!K8094,LookUps!$D$5:$D$12,0))))</f>
        <v>Global Warming Potential (GWP) - kg CO2 eq</v>
      </c>
      <c r="M8094" s="154" t="str">
        <f t="shared" si="636"/>
        <v>Base_Base_High_Upgraded_Global Warming Potential (GWP) - kg CO2 eq_Wastewater collection; operation and infrastructure; m3 wastewater_Base_With Amendment_Aerated Static Pile</v>
      </c>
    </row>
    <row r="8095" spans="1:13" s="120" customFormat="1" x14ac:dyDescent="0.25">
      <c r="A8095" s="119"/>
      <c r="B8095" s="138" t="str">
        <f t="shared" si="637"/>
        <v>Aerated Static Pile</v>
      </c>
      <c r="C8095" s="138" t="str">
        <f t="shared" si="638"/>
        <v>Base_With Amendment</v>
      </c>
      <c r="D8095" s="138" t="str">
        <f t="shared" si="641"/>
        <v>Base_High</v>
      </c>
      <c r="E8095" s="138" t="str">
        <f t="shared" si="639"/>
        <v>Base</v>
      </c>
      <c r="F8095" s="138" t="str">
        <f t="shared" si="640"/>
        <v>Upgraded</v>
      </c>
      <c r="G8095" s="153"/>
      <c r="H8095" s="210">
        <v>3.4200000000000001E-2</v>
      </c>
      <c r="I8095" s="160" t="s">
        <v>60</v>
      </c>
      <c r="J8095" s="160">
        <v>1.231E-2</v>
      </c>
      <c r="K8095" s="160" t="s">
        <v>23</v>
      </c>
      <c r="L8095" s="154" t="str">
        <f>IF(OpenLCAbasic!K8095="CTUh", "Fill in Manually",IF(OR(K8095="Unit", K8095=""), "", INDEX(LookUps!$E$5:$E$12, MATCH(OpenLCAbasic!K8095,LookUps!$D$5:$D$12,0))))</f>
        <v>Global Warming Potential (GWP) - kg CO2 eq</v>
      </c>
      <c r="M8095" s="154" t="str">
        <f t="shared" si="636"/>
        <v>Base_Base_High_Upgraded_Global Warming Potential (GWP) - kg CO2 eq_Belt filter press; wastewater treatment unit; at updated plant - US_Base_With Amendment_Aerated Static Pile</v>
      </c>
    </row>
    <row r="8096" spans="1:13" s="120" customFormat="1" x14ac:dyDescent="0.25">
      <c r="A8096" s="119"/>
      <c r="B8096" s="138" t="str">
        <f t="shared" si="637"/>
        <v>Aerated Static Pile</v>
      </c>
      <c r="C8096" s="138" t="str">
        <f t="shared" si="638"/>
        <v>Base_With Amendment</v>
      </c>
      <c r="D8096" s="138" t="str">
        <f t="shared" si="641"/>
        <v>Base_High</v>
      </c>
      <c r="E8096" s="138" t="str">
        <f t="shared" si="639"/>
        <v>Base</v>
      </c>
      <c r="F8096" s="138" t="str">
        <f t="shared" si="640"/>
        <v>Upgraded</v>
      </c>
      <c r="G8096" s="153"/>
      <c r="H8096" s="210">
        <v>2.3099999999999999E-2</v>
      </c>
      <c r="I8096" s="160" t="s">
        <v>148</v>
      </c>
      <c r="J8096" s="160">
        <v>8.3000000000000001E-3</v>
      </c>
      <c r="K8096" s="160" t="s">
        <v>23</v>
      </c>
      <c r="L8096" s="154" t="str">
        <f>IF(OpenLCAbasic!K8096="CTUh", "Fill in Manually",IF(OR(K8096="Unit", K8096=""), "", INDEX(LookUps!$E$5:$E$12, MATCH(OpenLCAbasic!K8096,LookUps!$D$5:$D$12,0))))</f>
        <v>Global Warming Potential (GWP) - kg CO2 eq</v>
      </c>
      <c r="M8096" s="154" t="str">
        <f t="shared" si="636"/>
        <v>Base_Base_High_Upgraded_Global Warming Potential (GWP) - kg CO2 eq_Control Building; at upgraded wastewater treatment plant - US_Base_With Amendment_Aerated Static Pile</v>
      </c>
    </row>
    <row r="8097" spans="1:13" s="120" customFormat="1" x14ac:dyDescent="0.25">
      <c r="A8097" s="119"/>
      <c r="B8097" s="138" t="str">
        <f t="shared" si="637"/>
        <v>Aerated Static Pile</v>
      </c>
      <c r="C8097" s="138" t="str">
        <f t="shared" si="638"/>
        <v>Base_With Amendment</v>
      </c>
      <c r="D8097" s="138" t="str">
        <f t="shared" si="641"/>
        <v>Base_High</v>
      </c>
      <c r="E8097" s="138" t="str">
        <f t="shared" si="639"/>
        <v>Base</v>
      </c>
      <c r="F8097" s="138" t="str">
        <f t="shared" si="640"/>
        <v>Upgraded</v>
      </c>
      <c r="G8097" s="153"/>
      <c r="H8097" s="210">
        <v>1.4E-2</v>
      </c>
      <c r="I8097" s="160" t="s">
        <v>59</v>
      </c>
      <c r="J8097" s="160">
        <v>5.0400000000000002E-3</v>
      </c>
      <c r="K8097" s="160" t="s">
        <v>23</v>
      </c>
      <c r="L8097" s="154" t="str">
        <f>IF(OpenLCAbasic!K8097="CTUh", "Fill in Manually",IF(OR(K8097="Unit", K8097=""), "", INDEX(LookUps!$E$5:$E$12, MATCH(OpenLCAbasic!K8097,LookUps!$D$5:$D$12,0))))</f>
        <v>Global Warming Potential (GWP) - kg CO2 eq</v>
      </c>
      <c r="M8097" s="154" t="str">
        <f t="shared" si="636"/>
        <v>Base_Base_High_Upgraded_Global Warming Potential (GWP) - kg CO2 eq_Blend Tank; wastewater treatment unit; at updated plant - US_Base_With Amendment_Aerated Static Pile</v>
      </c>
    </row>
    <row r="8098" spans="1:13" s="120" customFormat="1" x14ac:dyDescent="0.25">
      <c r="A8098" s="119"/>
      <c r="B8098" s="138" t="str">
        <f t="shared" si="637"/>
        <v>Aerated Static Pile</v>
      </c>
      <c r="C8098" s="138" t="str">
        <f t="shared" si="638"/>
        <v>Base_With Amendment</v>
      </c>
      <c r="D8098" s="138" t="str">
        <f t="shared" si="641"/>
        <v>Base_High</v>
      </c>
      <c r="E8098" s="138" t="str">
        <f t="shared" si="639"/>
        <v>Base</v>
      </c>
      <c r="F8098" s="138" t="str">
        <f t="shared" si="640"/>
        <v>Upgraded</v>
      </c>
      <c r="G8098" s="153"/>
      <c r="H8098" s="210">
        <v>6.7000000000000002E-3</v>
      </c>
      <c r="I8098" s="160" t="s">
        <v>168</v>
      </c>
      <c r="J8098" s="160">
        <v>2.4099999999999998E-3</v>
      </c>
      <c r="K8098" s="160" t="s">
        <v>23</v>
      </c>
      <c r="L8098" s="154" t="str">
        <f>IF(OpenLCAbasic!K8098="CTUh", "Fill in Manually",IF(OR(K8098="Unit", K8098=""), "", INDEX(LookUps!$E$5:$E$12, MATCH(OpenLCAbasic!K8098,LookUps!$D$5:$D$12,0))))</f>
        <v>Global Warming Potential (GWP) - kg CO2 eq</v>
      </c>
      <c r="M8098" s="154" t="str">
        <f t="shared" si="636"/>
        <v>Base_Base_High_Upgraded_Global Warming Potential (GWP) - kg CO2 eq_ClearCove SCP; wastewater treatment unit; at updated plant - US_Base_With Amendment_Aerated Static Pile</v>
      </c>
    </row>
    <row r="8099" spans="1:13" s="120" customFormat="1" x14ac:dyDescent="0.25">
      <c r="A8099" s="119"/>
      <c r="B8099" s="138" t="str">
        <f t="shared" si="637"/>
        <v>Aerated Static Pile</v>
      </c>
      <c r="C8099" s="138" t="str">
        <f t="shared" si="638"/>
        <v>Base_With Amendment</v>
      </c>
      <c r="D8099" s="138" t="str">
        <f t="shared" si="641"/>
        <v>Base_High</v>
      </c>
      <c r="E8099" s="138" t="str">
        <f t="shared" si="639"/>
        <v>Base</v>
      </c>
      <c r="F8099" s="138" t="str">
        <f t="shared" si="640"/>
        <v>Upgraded</v>
      </c>
      <c r="G8099" s="153"/>
      <c r="H8099" s="210">
        <v>-1.2267999999999999</v>
      </c>
      <c r="I8099" s="160" t="s">
        <v>62</v>
      </c>
      <c r="J8099" s="160">
        <v>-0.44119999999999998</v>
      </c>
      <c r="K8099" s="160" t="s">
        <v>23</v>
      </c>
      <c r="L8099" s="154" t="str">
        <f>IF(OpenLCAbasic!K8099="CTUh", "Fill in Manually",IF(OR(K8099="Unit", K8099=""), "", INDEX(LookUps!$E$5:$E$12, MATCH(OpenLCAbasic!K8099,LookUps!$D$5:$D$12,0))))</f>
        <v>Global Warming Potential (GWP) - kg CO2 eq</v>
      </c>
      <c r="M8099" s="154" t="str">
        <f t="shared" si="636"/>
        <v>Base_Base_High_Upgraded_Global Warming Potential (GWP) - kg CO2 eq_Land application of compost; wastewater treatment unit; at updated plant - US_Base_With Amendment_Aerated Static Pile</v>
      </c>
    </row>
    <row r="8100" spans="1:13" s="120" customFormat="1" x14ac:dyDescent="0.25">
      <c r="A8100" s="119"/>
      <c r="B8100" s="138" t="str">
        <f t="shared" si="637"/>
        <v>Aerated Static Pile</v>
      </c>
      <c r="C8100" s="138" t="str">
        <f t="shared" si="638"/>
        <v>Base_With Amendment</v>
      </c>
      <c r="D8100" s="138" t="str">
        <f t="shared" si="641"/>
        <v>Base_High</v>
      </c>
      <c r="E8100" s="138" t="str">
        <f t="shared" si="639"/>
        <v>Base</v>
      </c>
      <c r="F8100" s="138" t="str">
        <f t="shared" si="640"/>
        <v>Upgraded</v>
      </c>
      <c r="G8100" s="153"/>
      <c r="H8100" s="210">
        <v>-1.2486999999999999</v>
      </c>
      <c r="I8100" s="160" t="s">
        <v>149</v>
      </c>
      <c r="J8100" s="160">
        <v>-0.44908999999999999</v>
      </c>
      <c r="K8100" s="160" t="s">
        <v>23</v>
      </c>
      <c r="L8100" s="154" t="str">
        <f>IF(OpenLCAbasic!K8100="CTUh", "Fill in Manually",IF(OR(K8100="Unit", K8100=""), "", INDEX(LookUps!$E$5:$E$12, MATCH(OpenLCAbasic!K8100,LookUps!$D$5:$D$12,0))))</f>
        <v>Global Warming Potential (GWP) - kg CO2 eq</v>
      </c>
      <c r="M8100" s="154" t="str">
        <f t="shared" si="636"/>
        <v>Base_Base_High_Upgraded_Global Warming Potential (GWP) - kg CO2 eq_Anaerobic Digestion; wastewater treatment unit; at updated plant - US_Base_With Amendment_Aerated Static Pile</v>
      </c>
    </row>
    <row r="8101" spans="1:13" s="120" customFormat="1" x14ac:dyDescent="0.25">
      <c r="A8101" s="119"/>
      <c r="B8101" s="138" t="str">
        <f t="shared" si="637"/>
        <v/>
      </c>
      <c r="C8101" s="138" t="str">
        <f t="shared" si="638"/>
        <v/>
      </c>
      <c r="D8101" s="138" t="str">
        <f t="shared" si="641"/>
        <v/>
      </c>
      <c r="E8101" s="138" t="str">
        <f t="shared" si="639"/>
        <v/>
      </c>
      <c r="F8101" s="138" t="str">
        <f t="shared" si="640"/>
        <v/>
      </c>
      <c r="G8101" s="153" t="s">
        <v>51</v>
      </c>
      <c r="H8101" s="160"/>
      <c r="I8101" s="160" t="s">
        <v>47</v>
      </c>
      <c r="J8101" s="160" t="s">
        <v>52</v>
      </c>
      <c r="K8101" s="160" t="s">
        <v>27</v>
      </c>
      <c r="L8101" s="154" t="str">
        <f>IF(OpenLCAbasic!K8101="CTUh", "Fill in Manually",IF(OR(K8101="Unit", K8101=""), "", INDEX(LookUps!$E$5:$E$12, MATCH(OpenLCAbasic!K8101,LookUps!$D$5:$D$12,0))))</f>
        <v/>
      </c>
      <c r="M8101" s="154" t="str">
        <f t="shared" si="636"/>
        <v>____Process__</v>
      </c>
    </row>
    <row r="8102" spans="1:13" s="120" customFormat="1" x14ac:dyDescent="0.25">
      <c r="A8102" s="119"/>
      <c r="B8102" s="138" t="str">
        <f t="shared" si="637"/>
        <v>Aerated Static Pile</v>
      </c>
      <c r="C8102" s="138" t="str">
        <f t="shared" si="638"/>
        <v>Base_With Amendment</v>
      </c>
      <c r="D8102" s="138" t="str">
        <f t="shared" si="641"/>
        <v>Base_High</v>
      </c>
      <c r="E8102" s="138" t="str">
        <f t="shared" si="639"/>
        <v>Base</v>
      </c>
      <c r="F8102" s="138" t="str">
        <f t="shared" si="640"/>
        <v>Upgraded</v>
      </c>
      <c r="G8102" s="153"/>
      <c r="H8102" s="210">
        <v>3.0981999999999998</v>
      </c>
      <c r="I8102" s="160" t="s">
        <v>55</v>
      </c>
      <c r="J8102" s="160">
        <v>2.33E-3</v>
      </c>
      <c r="K8102" s="160" t="s">
        <v>145</v>
      </c>
      <c r="L8102" s="154" t="str">
        <f>IF(OpenLCAbasic!K8102="CTUh", "Fill in Manually",IF(OR(K8102="Unit", K8102=""), "", INDEX(LookUps!$E$5:$E$12, MATCH(OpenLCAbasic!K8102,LookUps!$D$5:$D$12,0))))</f>
        <v>Particulate Matter Formation Potential (PMFP) - kg PM2.5 eq</v>
      </c>
      <c r="M8102" s="154" t="str">
        <f t="shared" si="636"/>
        <v>Base_Base_High_Upgraded_Particulate Matter Formation Potential (PMFP) - kg PM2.5 eq_Aeration Tanks; wastewater treatment unit; at updated plant - US_Base_With Amendment_Aerated Static Pile</v>
      </c>
    </row>
    <row r="8103" spans="1:13" s="120" customFormat="1" x14ac:dyDescent="0.25">
      <c r="A8103" s="119"/>
      <c r="B8103" s="138" t="str">
        <f t="shared" si="637"/>
        <v>Aerated Static Pile</v>
      </c>
      <c r="C8103" s="138" t="str">
        <f t="shared" si="638"/>
        <v>Base_With Amendment</v>
      </c>
      <c r="D8103" s="138" t="str">
        <f t="shared" si="641"/>
        <v>Base_High</v>
      </c>
      <c r="E8103" s="138" t="str">
        <f t="shared" si="639"/>
        <v>Base</v>
      </c>
      <c r="F8103" s="138" t="str">
        <f t="shared" si="640"/>
        <v>Upgraded</v>
      </c>
      <c r="G8103" s="153"/>
      <c r="H8103" s="210">
        <v>1.0568</v>
      </c>
      <c r="I8103" s="160" t="s">
        <v>435</v>
      </c>
      <c r="J8103" s="160">
        <v>8.0000000000000004E-4</v>
      </c>
      <c r="K8103" s="160" t="s">
        <v>145</v>
      </c>
      <c r="L8103" s="154" t="str">
        <f>IF(OpenLCAbasic!K8103="CTUh", "Fill in Manually",IF(OR(K8103="Unit", K8103=""), "", INDEX(LookUps!$E$5:$E$12, MATCH(OpenLCAbasic!K8103,LookUps!$D$5:$D$12,0))))</f>
        <v>Particulate Matter Formation Potential (PMFP) - kg PM2.5 eq</v>
      </c>
      <c r="M8103" s="154" t="str">
        <f t="shared" si="636"/>
        <v>Base_Base_High_Upgraded_Particulate Matter Formation Potential (PMFP) - kg PM2.5 eq_Biosolids composting; aerated static pile; wastewater treatment unit; at updated plant - US_Base_With Amendment_Aerated Static Pile</v>
      </c>
    </row>
    <row r="8104" spans="1:13" s="120" customFormat="1" x14ac:dyDescent="0.25">
      <c r="A8104" s="119"/>
      <c r="B8104" s="138" t="str">
        <f t="shared" si="637"/>
        <v>Aerated Static Pile</v>
      </c>
      <c r="C8104" s="138" t="str">
        <f t="shared" si="638"/>
        <v>Base_With Amendment</v>
      </c>
      <c r="D8104" s="138" t="str">
        <f t="shared" si="641"/>
        <v>Base_High</v>
      </c>
      <c r="E8104" s="138" t="str">
        <f t="shared" si="639"/>
        <v>Base</v>
      </c>
      <c r="F8104" s="138" t="str">
        <f t="shared" si="640"/>
        <v>Upgraded</v>
      </c>
      <c r="G8104" s="153"/>
      <c r="H8104" s="210">
        <v>0.90159999999999996</v>
      </c>
      <c r="I8104" s="160" t="s">
        <v>54</v>
      </c>
      <c r="J8104" s="160">
        <v>6.8000000000000005E-4</v>
      </c>
      <c r="K8104" s="160" t="s">
        <v>145</v>
      </c>
      <c r="L8104" s="154" t="str">
        <f>IF(OpenLCAbasic!K8104="CTUh", "Fill in Manually",IF(OR(K8104="Unit", K8104=""), "", INDEX(LookUps!$E$5:$E$12, MATCH(OpenLCAbasic!K8104,LookUps!$D$5:$D$12,0))))</f>
        <v>Particulate Matter Formation Potential (PMFP) - kg PM2.5 eq</v>
      </c>
      <c r="M8104" s="154" t="str">
        <f t="shared" si="636"/>
        <v>Base_Base_High_Upgraded_Particulate Matter Formation Potential (PMFP) - kg PM2.5 eq_Clear Cove Primary Clarification; wastewater treatment unit; at updated plant - US_Base_With Amendment_Aerated Static Pile</v>
      </c>
    </row>
    <row r="8105" spans="1:13" s="120" customFormat="1" x14ac:dyDescent="0.25">
      <c r="A8105" s="119"/>
      <c r="B8105" s="138" t="str">
        <f t="shared" si="637"/>
        <v>Aerated Static Pile</v>
      </c>
      <c r="C8105" s="138" t="str">
        <f t="shared" si="638"/>
        <v>Base_With Amendment</v>
      </c>
      <c r="D8105" s="138" t="str">
        <f t="shared" si="641"/>
        <v>Base_High</v>
      </c>
      <c r="E8105" s="138" t="str">
        <f t="shared" si="639"/>
        <v>Base</v>
      </c>
      <c r="F8105" s="138" t="str">
        <f t="shared" si="640"/>
        <v>Upgraded</v>
      </c>
      <c r="G8105" s="153"/>
      <c r="H8105" s="210">
        <v>0.77890000000000004</v>
      </c>
      <c r="I8105" s="160" t="s">
        <v>58</v>
      </c>
      <c r="J8105" s="160">
        <v>5.9000000000000003E-4</v>
      </c>
      <c r="K8105" s="160" t="s">
        <v>145</v>
      </c>
      <c r="L8105" s="154" t="str">
        <f>IF(OpenLCAbasic!K8105="CTUh", "Fill in Manually",IF(OR(K8105="Unit", K8105=""), "", INDEX(LookUps!$E$5:$E$12, MATCH(OpenLCAbasic!K8105,LookUps!$D$5:$D$12,0))))</f>
        <v>Particulate Matter Formation Potential (PMFP) - kg PM2.5 eq</v>
      </c>
      <c r="M8105" s="154" t="str">
        <f t="shared" si="636"/>
        <v>Base_Base_High_Upgraded_Particulate Matter Formation Potential (PMFP) - kg PM2.5 eq_Pre-Anoxic &amp; Swing tank; wastewater treatment unit; at updated plant - US_Base_With Amendment_Aerated Static Pile</v>
      </c>
    </row>
    <row r="8106" spans="1:13" s="120" customFormat="1" x14ac:dyDescent="0.25">
      <c r="A8106" s="119"/>
      <c r="B8106" s="138" t="str">
        <f t="shared" si="637"/>
        <v>Aerated Static Pile</v>
      </c>
      <c r="C8106" s="138" t="str">
        <f t="shared" si="638"/>
        <v>Base_With Amendment</v>
      </c>
      <c r="D8106" s="138" t="str">
        <f t="shared" si="641"/>
        <v>Base_High</v>
      </c>
      <c r="E8106" s="138" t="str">
        <f t="shared" si="639"/>
        <v>Base</v>
      </c>
      <c r="F8106" s="138" t="str">
        <f t="shared" si="640"/>
        <v>Upgraded</v>
      </c>
      <c r="G8106" s="153"/>
      <c r="H8106" s="210">
        <v>0.61950000000000005</v>
      </c>
      <c r="I8106" s="160" t="s">
        <v>53</v>
      </c>
      <c r="J8106" s="160">
        <v>4.6999999999999999E-4</v>
      </c>
      <c r="K8106" s="160" t="s">
        <v>145</v>
      </c>
      <c r="L8106" s="154" t="str">
        <f>IF(OpenLCAbasic!K8106="CTUh", "Fill in Manually",IF(OR(K8106="Unit", K8106=""), "", INDEX(LookUps!$E$5:$E$12, MATCH(OpenLCAbasic!K8106,LookUps!$D$5:$D$12,0))))</f>
        <v>Particulate Matter Formation Potential (PMFP) - kg PM2.5 eq</v>
      </c>
      <c r="M8106" s="154" t="str">
        <f t="shared" si="636"/>
        <v>Base_Base_High_Upgraded_Particulate Matter Formation Potential (PMFP) - kg PM2.5 eq_Wet Well and Sump Station; wastewater treatment unit; at updated plant - US_Base_With Amendment_Aerated Static Pile</v>
      </c>
    </row>
    <row r="8107" spans="1:13" s="120" customFormat="1" x14ac:dyDescent="0.25">
      <c r="A8107" s="119"/>
      <c r="B8107" s="138" t="str">
        <f t="shared" si="637"/>
        <v>Aerated Static Pile</v>
      </c>
      <c r="C8107" s="138" t="str">
        <f t="shared" si="638"/>
        <v>Base_With Amendment</v>
      </c>
      <c r="D8107" s="138" t="str">
        <f t="shared" si="641"/>
        <v>Base_High</v>
      </c>
      <c r="E8107" s="138" t="str">
        <f t="shared" si="639"/>
        <v>Base</v>
      </c>
      <c r="F8107" s="138" t="str">
        <f t="shared" si="640"/>
        <v>Upgraded</v>
      </c>
      <c r="G8107" s="153"/>
      <c r="H8107" s="210">
        <v>0.39710000000000001</v>
      </c>
      <c r="I8107" s="160" t="s">
        <v>167</v>
      </c>
      <c r="J8107" s="160">
        <v>2.9999999999999997E-4</v>
      </c>
      <c r="K8107" s="160" t="s">
        <v>145</v>
      </c>
      <c r="L8107" s="154" t="str">
        <f>IF(OpenLCAbasic!K8107="CTUh", "Fill in Manually",IF(OR(K8107="Unit", K8107=""), "", INDEX(LookUps!$E$5:$E$12, MATCH(OpenLCAbasic!K8107,LookUps!$D$5:$D$12,0))))</f>
        <v>Particulate Matter Formation Potential (PMFP) - kg PM2.5 eq</v>
      </c>
      <c r="M8107" s="154" t="str">
        <f t="shared" si="636"/>
        <v>Base_Base_High_Upgraded_Particulate Matter Formation Potential (PMFP) - kg PM2.5 eq_Waste Receiving and Holding; wastewater treatment unit; at updated plant - US_Base_With Amendment_Aerated Static Pile</v>
      </c>
    </row>
    <row r="8108" spans="1:13" s="120" customFormat="1" x14ac:dyDescent="0.25">
      <c r="A8108" s="119"/>
      <c r="B8108" s="138" t="str">
        <f t="shared" si="637"/>
        <v>Aerated Static Pile</v>
      </c>
      <c r="C8108" s="138" t="str">
        <f t="shared" si="638"/>
        <v>Base_With Amendment</v>
      </c>
      <c r="D8108" s="138" t="str">
        <f t="shared" si="641"/>
        <v>Base_High</v>
      </c>
      <c r="E8108" s="138" t="str">
        <f t="shared" si="639"/>
        <v>Base</v>
      </c>
      <c r="F8108" s="138" t="str">
        <f t="shared" si="640"/>
        <v>Upgraded</v>
      </c>
      <c r="G8108" s="153"/>
      <c r="H8108" s="210">
        <v>0.35410000000000003</v>
      </c>
      <c r="I8108" s="160" t="s">
        <v>147</v>
      </c>
      <c r="J8108" s="160">
        <v>2.7E-4</v>
      </c>
      <c r="K8108" s="160" t="s">
        <v>145</v>
      </c>
      <c r="L8108" s="154" t="str">
        <f>IF(OpenLCAbasic!K8108="CTUh", "Fill in Manually",IF(OR(K8108="Unit", K8108=""), "", INDEX(LookUps!$E$5:$E$12, MATCH(OpenLCAbasic!K8108,LookUps!$D$5:$D$12,0))))</f>
        <v>Particulate Matter Formation Potential (PMFP) - kg PM2.5 eq</v>
      </c>
      <c r="M8108" s="154" t="str">
        <f t="shared" si="636"/>
        <v>Base_Base_High_Upgraded_Particulate Matter Formation Potential (PMFP) - kg PM2.5 eq_Influent Pump Station; wastewater treatment unit; at updated plant - US_Base_With Amendment_Aerated Static Pile</v>
      </c>
    </row>
    <row r="8109" spans="1:13" s="120" customFormat="1" x14ac:dyDescent="0.25">
      <c r="A8109" s="119"/>
      <c r="B8109" s="138" t="str">
        <f t="shared" si="637"/>
        <v>Aerated Static Pile</v>
      </c>
      <c r="C8109" s="138" t="str">
        <f t="shared" si="638"/>
        <v>Base_With Amendment</v>
      </c>
      <c r="D8109" s="138" t="str">
        <f t="shared" si="641"/>
        <v>Base_High</v>
      </c>
      <c r="E8109" s="138" t="str">
        <f t="shared" si="639"/>
        <v>Base</v>
      </c>
      <c r="F8109" s="138" t="str">
        <f t="shared" si="640"/>
        <v>Upgraded</v>
      </c>
      <c r="G8109" s="153"/>
      <c r="H8109" s="210">
        <v>0.221</v>
      </c>
      <c r="I8109" s="160" t="s">
        <v>128</v>
      </c>
      <c r="J8109" s="160">
        <v>1.7000000000000001E-4</v>
      </c>
      <c r="K8109" s="160" t="s">
        <v>145</v>
      </c>
      <c r="L8109" s="154" t="str">
        <f>IF(OpenLCAbasic!K8109="CTUh", "Fill in Manually",IF(OR(K8109="Unit", K8109=""), "", INDEX(LookUps!$E$5:$E$12, MATCH(OpenLCAbasic!K8109,LookUps!$D$5:$D$12,0))))</f>
        <v>Particulate Matter Formation Potential (PMFP) - kg PM2.5 eq</v>
      </c>
      <c r="M8109" s="154" t="str">
        <f t="shared" si="636"/>
        <v>Base_Base_High_Upgraded_Particulate Matter Formation Potential (PMFP) - kg PM2.5 eq_Wastewater collection; operation and infrastructure; m3 wastewater_Base_With Amendment_Aerated Static Pile</v>
      </c>
    </row>
    <row r="8110" spans="1:13" s="120" customFormat="1" x14ac:dyDescent="0.25">
      <c r="A8110" s="119"/>
      <c r="B8110" s="138" t="str">
        <f t="shared" si="637"/>
        <v>Aerated Static Pile</v>
      </c>
      <c r="C8110" s="138" t="str">
        <f t="shared" si="638"/>
        <v>Base_With Amendment</v>
      </c>
      <c r="D8110" s="138" t="str">
        <f t="shared" si="641"/>
        <v>Base_High</v>
      </c>
      <c r="E8110" s="138" t="str">
        <f t="shared" si="639"/>
        <v>Base</v>
      </c>
      <c r="F8110" s="138" t="str">
        <f t="shared" si="640"/>
        <v>Upgraded</v>
      </c>
      <c r="G8110" s="153"/>
      <c r="H8110" s="210">
        <v>0.1336</v>
      </c>
      <c r="I8110" s="160" t="s">
        <v>60</v>
      </c>
      <c r="J8110" s="160">
        <v>1E-4</v>
      </c>
      <c r="K8110" s="160" t="s">
        <v>145</v>
      </c>
      <c r="L8110" s="154" t="str">
        <f>IF(OpenLCAbasic!K8110="CTUh", "Fill in Manually",IF(OR(K8110="Unit", K8110=""), "", INDEX(LookUps!$E$5:$E$12, MATCH(OpenLCAbasic!K8110,LookUps!$D$5:$D$12,0))))</f>
        <v>Particulate Matter Formation Potential (PMFP) - kg PM2.5 eq</v>
      </c>
      <c r="M8110" s="154" t="str">
        <f t="shared" si="636"/>
        <v>Base_Base_High_Upgraded_Particulate Matter Formation Potential (PMFP) - kg PM2.5 eq_Belt filter press; wastewater treatment unit; at updated plant - US_Base_With Amendment_Aerated Static Pile</v>
      </c>
    </row>
    <row r="8111" spans="1:13" s="120" customFormat="1" x14ac:dyDescent="0.25">
      <c r="A8111" s="119"/>
      <c r="B8111" s="138" t="str">
        <f t="shared" si="637"/>
        <v>Aerated Static Pile</v>
      </c>
      <c r="C8111" s="138" t="str">
        <f t="shared" si="638"/>
        <v>Base_With Amendment</v>
      </c>
      <c r="D8111" s="138" t="str">
        <f t="shared" si="641"/>
        <v>Base_High</v>
      </c>
      <c r="E8111" s="138" t="str">
        <f t="shared" si="639"/>
        <v>Base</v>
      </c>
      <c r="F8111" s="138" t="str">
        <f t="shared" si="640"/>
        <v>Upgraded</v>
      </c>
      <c r="G8111" s="153"/>
      <c r="H8111" s="210">
        <v>0.1263</v>
      </c>
      <c r="I8111" s="160" t="s">
        <v>57</v>
      </c>
      <c r="J8111" s="211">
        <v>9.5153800000000004E-5</v>
      </c>
      <c r="K8111" s="160" t="s">
        <v>145</v>
      </c>
      <c r="L8111" s="154" t="str">
        <f>IF(OpenLCAbasic!K8111="CTUh", "Fill in Manually",IF(OR(K8111="Unit", K8111=""), "", INDEX(LookUps!$E$5:$E$12, MATCH(OpenLCAbasic!K8111,LookUps!$D$5:$D$12,0))))</f>
        <v>Particulate Matter Formation Potential (PMFP) - kg PM2.5 eq</v>
      </c>
      <c r="M8111" s="154" t="str">
        <f t="shared" si="636"/>
        <v>Base_Base_High_Upgraded_Particulate Matter Formation Potential (PMFP) - kg PM2.5 eq_Gravity Belt Thickener; wastewater treatment unit; at updated plant - US_Base_With Amendment_Aerated Static Pile</v>
      </c>
    </row>
    <row r="8112" spans="1:13" s="120" customFormat="1" x14ac:dyDescent="0.25">
      <c r="A8112" s="119"/>
      <c r="B8112" s="138" t="str">
        <f t="shared" si="637"/>
        <v>Aerated Static Pile</v>
      </c>
      <c r="C8112" s="138" t="str">
        <f t="shared" si="638"/>
        <v>Base_With Amendment</v>
      </c>
      <c r="D8112" s="138" t="str">
        <f t="shared" si="641"/>
        <v>Base_High</v>
      </c>
      <c r="E8112" s="138" t="str">
        <f t="shared" si="639"/>
        <v>Base</v>
      </c>
      <c r="F8112" s="138" t="str">
        <f t="shared" si="640"/>
        <v>Upgraded</v>
      </c>
      <c r="G8112" s="153"/>
      <c r="H8112" s="210">
        <v>9.2799999999999994E-2</v>
      </c>
      <c r="I8112" s="160" t="s">
        <v>59</v>
      </c>
      <c r="J8112" s="211">
        <v>6.9942200000000003E-5</v>
      </c>
      <c r="K8112" s="160" t="s">
        <v>145</v>
      </c>
      <c r="L8112" s="154" t="str">
        <f>IF(OpenLCAbasic!K8112="CTUh", "Fill in Manually",IF(OR(K8112="Unit", K8112=""), "", INDEX(LookUps!$E$5:$E$12, MATCH(OpenLCAbasic!K8112,LookUps!$D$5:$D$12,0))))</f>
        <v>Particulate Matter Formation Potential (PMFP) - kg PM2.5 eq</v>
      </c>
      <c r="M8112" s="154" t="str">
        <f t="shared" si="636"/>
        <v>Base_Base_High_Upgraded_Particulate Matter Formation Potential (PMFP) - kg PM2.5 eq_Blend Tank; wastewater treatment unit; at updated plant - US_Base_With Amendment_Aerated Static Pile</v>
      </c>
    </row>
    <row r="8113" spans="1:13" s="120" customFormat="1" x14ac:dyDescent="0.25">
      <c r="A8113" s="119"/>
      <c r="B8113" s="138" t="str">
        <f t="shared" si="637"/>
        <v>Aerated Static Pile</v>
      </c>
      <c r="C8113" s="138" t="str">
        <f t="shared" si="638"/>
        <v>Base_With Amendment</v>
      </c>
      <c r="D8113" s="138" t="str">
        <f t="shared" si="641"/>
        <v>Base_High</v>
      </c>
      <c r="E8113" s="138" t="str">
        <f t="shared" si="639"/>
        <v>Base</v>
      </c>
      <c r="F8113" s="138" t="str">
        <f t="shared" si="640"/>
        <v>Upgraded</v>
      </c>
      <c r="G8113" s="153"/>
      <c r="H8113" s="210">
        <v>6.6299999999999998E-2</v>
      </c>
      <c r="I8113" s="160" t="s">
        <v>48</v>
      </c>
      <c r="J8113" s="211">
        <v>4.99741E-5</v>
      </c>
      <c r="K8113" s="160" t="s">
        <v>145</v>
      </c>
      <c r="L8113" s="154" t="str">
        <f>IF(OpenLCAbasic!K8113="CTUh", "Fill in Manually",IF(OR(K8113="Unit", K8113=""), "", INDEX(LookUps!$E$5:$E$12, MATCH(OpenLCAbasic!K8113,LookUps!$D$5:$D$12,0))))</f>
        <v>Particulate Matter Formation Potential (PMFP) - kg PM2.5 eq</v>
      </c>
      <c r="M8113" s="154" t="str">
        <f t="shared" si="636"/>
        <v>Base_Base_High_Upgraded_Particulate Matter Formation Potential (PMFP) - kg PM2.5 eq_Effluent release; wastewater treatment unit; at surface water; m3 wastewater - US_Base_With Amendment_Aerated Static Pile</v>
      </c>
    </row>
    <row r="8114" spans="1:13" s="120" customFormat="1" x14ac:dyDescent="0.25">
      <c r="A8114" s="119"/>
      <c r="B8114" s="138" t="str">
        <f t="shared" si="637"/>
        <v>Aerated Static Pile</v>
      </c>
      <c r="C8114" s="138" t="str">
        <f t="shared" si="638"/>
        <v>Base_With Amendment</v>
      </c>
      <c r="D8114" s="138" t="str">
        <f t="shared" si="641"/>
        <v>Base_High</v>
      </c>
      <c r="E8114" s="138" t="str">
        <f t="shared" si="639"/>
        <v>Base</v>
      </c>
      <c r="F8114" s="138" t="str">
        <f t="shared" si="640"/>
        <v>Upgraded</v>
      </c>
      <c r="G8114" s="153"/>
      <c r="H8114" s="210">
        <v>5.4800000000000001E-2</v>
      </c>
      <c r="I8114" s="160" t="s">
        <v>62</v>
      </c>
      <c r="J8114" s="211">
        <v>4.1279400000000003E-5</v>
      </c>
      <c r="K8114" s="160" t="s">
        <v>145</v>
      </c>
      <c r="L8114" s="154" t="str">
        <f>IF(OpenLCAbasic!K8114="CTUh", "Fill in Manually",IF(OR(K8114="Unit", K8114=""), "", INDEX(LookUps!$E$5:$E$12, MATCH(OpenLCAbasic!K8114,LookUps!$D$5:$D$12,0))))</f>
        <v>Particulate Matter Formation Potential (PMFP) - kg PM2.5 eq</v>
      </c>
      <c r="M8114" s="154" t="str">
        <f t="shared" si="636"/>
        <v>Base_Base_High_Upgraded_Particulate Matter Formation Potential (PMFP) - kg PM2.5 eq_Land application of compost; wastewater treatment unit; at updated plant - US_Base_With Amendment_Aerated Static Pile</v>
      </c>
    </row>
    <row r="8115" spans="1:13" s="120" customFormat="1" x14ac:dyDescent="0.25">
      <c r="A8115" s="119"/>
      <c r="B8115" s="138" t="str">
        <f t="shared" si="637"/>
        <v>Aerated Static Pile</v>
      </c>
      <c r="C8115" s="138" t="str">
        <f t="shared" si="638"/>
        <v>Base_With Amendment</v>
      </c>
      <c r="D8115" s="138" t="str">
        <f t="shared" si="641"/>
        <v>Base_High</v>
      </c>
      <c r="E8115" s="138" t="str">
        <f t="shared" si="639"/>
        <v>Base</v>
      </c>
      <c r="F8115" s="138" t="str">
        <f t="shared" si="640"/>
        <v>Upgraded</v>
      </c>
      <c r="G8115" s="153"/>
      <c r="H8115" s="210">
        <v>4.5900000000000003E-2</v>
      </c>
      <c r="I8115" s="160" t="s">
        <v>168</v>
      </c>
      <c r="J8115" s="211">
        <v>3.4562199999999999E-5</v>
      </c>
      <c r="K8115" s="160" t="s">
        <v>145</v>
      </c>
      <c r="L8115" s="154" t="str">
        <f>IF(OpenLCAbasic!K8115="CTUh", "Fill in Manually",IF(OR(K8115="Unit", K8115=""), "", INDEX(LookUps!$E$5:$E$12, MATCH(OpenLCAbasic!K8115,LookUps!$D$5:$D$12,0))))</f>
        <v>Particulate Matter Formation Potential (PMFP) - kg PM2.5 eq</v>
      </c>
      <c r="M8115" s="154" t="str">
        <f t="shared" si="636"/>
        <v>Base_Base_High_Upgraded_Particulate Matter Formation Potential (PMFP) - kg PM2.5 eq_ClearCove SCP; wastewater treatment unit; at updated plant - US_Base_With Amendment_Aerated Static Pile</v>
      </c>
    </row>
    <row r="8116" spans="1:13" s="120" customFormat="1" x14ac:dyDescent="0.25">
      <c r="A8116" s="119"/>
      <c r="B8116" s="138" t="str">
        <f t="shared" si="637"/>
        <v>Aerated Static Pile</v>
      </c>
      <c r="C8116" s="138" t="str">
        <f t="shared" si="638"/>
        <v>Base_With Amendment</v>
      </c>
      <c r="D8116" s="138" t="str">
        <f t="shared" si="641"/>
        <v>Base_High</v>
      </c>
      <c r="E8116" s="138" t="str">
        <f t="shared" si="639"/>
        <v>Base</v>
      </c>
      <c r="F8116" s="138" t="str">
        <f t="shared" si="640"/>
        <v>Upgraded</v>
      </c>
      <c r="G8116" s="153"/>
      <c r="H8116" s="210">
        <v>1.17E-2</v>
      </c>
      <c r="I8116" s="160" t="s">
        <v>148</v>
      </c>
      <c r="J8116" s="211">
        <v>8.8212999999999997E-6</v>
      </c>
      <c r="K8116" s="160" t="s">
        <v>145</v>
      </c>
      <c r="L8116" s="154" t="str">
        <f>IF(OpenLCAbasic!K8116="CTUh", "Fill in Manually",IF(OR(K8116="Unit", K8116=""), "", INDEX(LookUps!$E$5:$E$12, MATCH(OpenLCAbasic!K8116,LookUps!$D$5:$D$12,0))))</f>
        <v>Particulate Matter Formation Potential (PMFP) - kg PM2.5 eq</v>
      </c>
      <c r="M8116" s="154" t="str">
        <f t="shared" si="636"/>
        <v>Base_Base_High_Upgraded_Particulate Matter Formation Potential (PMFP) - kg PM2.5 eq_Control Building; at upgraded wastewater treatment plant - US_Base_With Amendment_Aerated Static Pile</v>
      </c>
    </row>
    <row r="8117" spans="1:13" s="120" customFormat="1" x14ac:dyDescent="0.25">
      <c r="A8117" s="119"/>
      <c r="B8117" s="138" t="str">
        <f t="shared" si="637"/>
        <v>Aerated Static Pile</v>
      </c>
      <c r="C8117" s="138" t="str">
        <f t="shared" si="638"/>
        <v>Base_With Amendment</v>
      </c>
      <c r="D8117" s="138" t="str">
        <f t="shared" si="641"/>
        <v>Base_High</v>
      </c>
      <c r="E8117" s="138" t="str">
        <f t="shared" si="639"/>
        <v>Base</v>
      </c>
      <c r="F8117" s="138" t="str">
        <f t="shared" si="640"/>
        <v>Upgraded</v>
      </c>
      <c r="G8117" s="153"/>
      <c r="H8117" s="210">
        <v>-6.9585999999999997</v>
      </c>
      <c r="I8117" s="160" t="s">
        <v>149</v>
      </c>
      <c r="J8117" s="160">
        <v>-5.2399999999999999E-3</v>
      </c>
      <c r="K8117" s="160" t="s">
        <v>145</v>
      </c>
      <c r="L8117" s="154" t="str">
        <f>IF(OpenLCAbasic!K8117="CTUh", "Fill in Manually",IF(OR(K8117="Unit", K8117=""), "", INDEX(LookUps!$E$5:$E$12, MATCH(OpenLCAbasic!K8117,LookUps!$D$5:$D$12,0))))</f>
        <v>Particulate Matter Formation Potential (PMFP) - kg PM2.5 eq</v>
      </c>
      <c r="M8117" s="154" t="str">
        <f t="shared" si="636"/>
        <v>Base_Base_High_Upgraded_Particulate Matter Formation Potential (PMFP) - kg PM2.5 eq_Anaerobic Digestion; wastewater treatment unit; at updated plant - US_Base_With Amendment_Aerated Static Pile</v>
      </c>
    </row>
    <row r="8118" spans="1:13" s="120" customFormat="1" x14ac:dyDescent="0.25">
      <c r="A8118" s="119"/>
      <c r="B8118" s="138" t="str">
        <f t="shared" si="637"/>
        <v/>
      </c>
      <c r="C8118" s="138" t="str">
        <f t="shared" si="638"/>
        <v/>
      </c>
      <c r="D8118" s="138" t="str">
        <f t="shared" si="641"/>
        <v/>
      </c>
      <c r="E8118" s="138" t="str">
        <f t="shared" si="639"/>
        <v/>
      </c>
      <c r="F8118" s="138" t="str">
        <f t="shared" si="640"/>
        <v/>
      </c>
      <c r="G8118" s="153" t="s">
        <v>51</v>
      </c>
      <c r="H8118" s="160"/>
      <c r="I8118" s="160" t="s">
        <v>47</v>
      </c>
      <c r="J8118" s="160" t="s">
        <v>52</v>
      </c>
      <c r="K8118" s="160" t="s">
        <v>27</v>
      </c>
      <c r="L8118" s="154" t="str">
        <f>IF(OpenLCAbasic!K8118="CTUh", "Fill in Manually",IF(OR(K8118="Unit", K8118=""), "", INDEX(LookUps!$E$5:$E$12, MATCH(OpenLCAbasic!K8118,LookUps!$D$5:$D$12,0))))</f>
        <v/>
      </c>
      <c r="M8118" s="154" t="str">
        <f t="shared" si="636"/>
        <v>____Process__</v>
      </c>
    </row>
    <row r="8119" spans="1:13" s="120" customFormat="1" x14ac:dyDescent="0.25">
      <c r="A8119" s="119"/>
      <c r="B8119" s="138" t="str">
        <f t="shared" si="637"/>
        <v>Aerated Static Pile</v>
      </c>
      <c r="C8119" s="138" t="str">
        <f t="shared" si="638"/>
        <v>Base_With Amendment</v>
      </c>
      <c r="D8119" s="138" t="str">
        <f t="shared" si="641"/>
        <v>Base_High</v>
      </c>
      <c r="E8119" s="138" t="str">
        <f t="shared" si="639"/>
        <v>Base</v>
      </c>
      <c r="F8119" s="138" t="str">
        <f t="shared" si="640"/>
        <v>Upgraded</v>
      </c>
      <c r="G8119" s="153"/>
      <c r="H8119" s="210">
        <v>3.1419000000000001</v>
      </c>
      <c r="I8119" s="160" t="s">
        <v>55</v>
      </c>
      <c r="J8119" s="160">
        <v>0.16577</v>
      </c>
      <c r="K8119" s="160" t="s">
        <v>25</v>
      </c>
      <c r="L8119" s="154" t="str">
        <f>IF(OpenLCAbasic!K8119="CTUh", "Fill in Manually",IF(OR(K8119="Unit", K8119=""), "", INDEX(LookUps!$E$5:$E$12, MATCH(OpenLCAbasic!K8119,LookUps!$D$5:$D$12,0))))</f>
        <v>Smog Formation Potential (SFP) - kg O3 eq</v>
      </c>
      <c r="M8119" s="154" t="str">
        <f t="shared" si="636"/>
        <v>Base_Base_High_Upgraded_Smog Formation Potential (SFP) - kg O3 eq_Aeration Tanks; wastewater treatment unit; at updated plant - US_Base_With Amendment_Aerated Static Pile</v>
      </c>
    </row>
    <row r="8120" spans="1:13" s="120" customFormat="1" x14ac:dyDescent="0.25">
      <c r="A8120" s="119"/>
      <c r="B8120" s="138" t="str">
        <f t="shared" si="637"/>
        <v>Aerated Static Pile</v>
      </c>
      <c r="C8120" s="138" t="str">
        <f t="shared" si="638"/>
        <v>Base_With Amendment</v>
      </c>
      <c r="D8120" s="138" t="str">
        <f t="shared" si="641"/>
        <v>Base_High</v>
      </c>
      <c r="E8120" s="138" t="str">
        <f t="shared" si="639"/>
        <v>Base</v>
      </c>
      <c r="F8120" s="138" t="str">
        <f t="shared" si="640"/>
        <v>Upgraded</v>
      </c>
      <c r="G8120" s="153"/>
      <c r="H8120" s="210">
        <v>1.0611999999999999</v>
      </c>
      <c r="I8120" s="160" t="s">
        <v>435</v>
      </c>
      <c r="J8120" s="160">
        <v>5.5989999999999998E-2</v>
      </c>
      <c r="K8120" s="160" t="s">
        <v>25</v>
      </c>
      <c r="L8120" s="154" t="str">
        <f>IF(OpenLCAbasic!K8120="CTUh", "Fill in Manually",IF(OR(K8120="Unit", K8120=""), "", INDEX(LookUps!$E$5:$E$12, MATCH(OpenLCAbasic!K8120,LookUps!$D$5:$D$12,0))))</f>
        <v>Smog Formation Potential (SFP) - kg O3 eq</v>
      </c>
      <c r="M8120" s="154" t="str">
        <f t="shared" si="636"/>
        <v>Base_Base_High_Upgraded_Smog Formation Potential (SFP) - kg O3 eq_Biosolids composting; aerated static pile; wastewater treatment unit; at updated plant - US_Base_With Amendment_Aerated Static Pile</v>
      </c>
    </row>
    <row r="8121" spans="1:13" s="120" customFormat="1" x14ac:dyDescent="0.25">
      <c r="A8121" s="119"/>
      <c r="B8121" s="138" t="str">
        <f t="shared" si="637"/>
        <v>Aerated Static Pile</v>
      </c>
      <c r="C8121" s="138" t="str">
        <f t="shared" si="638"/>
        <v>Base_With Amendment</v>
      </c>
      <c r="D8121" s="138" t="str">
        <f t="shared" si="641"/>
        <v>Base_High</v>
      </c>
      <c r="E8121" s="138" t="str">
        <f t="shared" si="639"/>
        <v>Base</v>
      </c>
      <c r="F8121" s="138" t="str">
        <f t="shared" si="640"/>
        <v>Upgraded</v>
      </c>
      <c r="G8121" s="153"/>
      <c r="H8121" s="210">
        <v>0.91110000000000002</v>
      </c>
      <c r="I8121" s="160" t="s">
        <v>54</v>
      </c>
      <c r="J8121" s="160">
        <v>4.8070000000000002E-2</v>
      </c>
      <c r="K8121" s="160" t="s">
        <v>25</v>
      </c>
      <c r="L8121" s="154" t="str">
        <f>IF(OpenLCAbasic!K8121="CTUh", "Fill in Manually",IF(OR(K8121="Unit", K8121=""), "", INDEX(LookUps!$E$5:$E$12, MATCH(OpenLCAbasic!K8121,LookUps!$D$5:$D$12,0))))</f>
        <v>Smog Formation Potential (SFP) - kg O3 eq</v>
      </c>
      <c r="M8121" s="154" t="str">
        <f t="shared" si="636"/>
        <v>Base_Base_High_Upgraded_Smog Formation Potential (SFP) - kg O3 eq_Clear Cove Primary Clarification; wastewater treatment unit; at updated plant - US_Base_With Amendment_Aerated Static Pile</v>
      </c>
    </row>
    <row r="8122" spans="1:13" s="120" customFormat="1" x14ac:dyDescent="0.25">
      <c r="A8122" s="119"/>
      <c r="B8122" s="138" t="str">
        <f t="shared" si="637"/>
        <v>Aerated Static Pile</v>
      </c>
      <c r="C8122" s="138" t="str">
        <f t="shared" si="638"/>
        <v>Base_With Amendment</v>
      </c>
      <c r="D8122" s="138" t="str">
        <f t="shared" si="641"/>
        <v>Base_High</v>
      </c>
      <c r="E8122" s="138" t="str">
        <f t="shared" si="639"/>
        <v>Base</v>
      </c>
      <c r="F8122" s="138" t="str">
        <f t="shared" si="640"/>
        <v>Upgraded</v>
      </c>
      <c r="G8122" s="153"/>
      <c r="H8122" s="210">
        <v>0.79179999999999995</v>
      </c>
      <c r="I8122" s="160" t="s">
        <v>58</v>
      </c>
      <c r="J8122" s="160">
        <v>4.1779999999999998E-2</v>
      </c>
      <c r="K8122" s="160" t="s">
        <v>25</v>
      </c>
      <c r="L8122" s="154" t="str">
        <f>IF(OpenLCAbasic!K8122="CTUh", "Fill in Manually",IF(OR(K8122="Unit", K8122=""), "", INDEX(LookUps!$E$5:$E$12, MATCH(OpenLCAbasic!K8122,LookUps!$D$5:$D$12,0))))</f>
        <v>Smog Formation Potential (SFP) - kg O3 eq</v>
      </c>
      <c r="M8122" s="154" t="str">
        <f t="shared" si="636"/>
        <v>Base_Base_High_Upgraded_Smog Formation Potential (SFP) - kg O3 eq_Pre-Anoxic &amp; Swing tank; wastewater treatment unit; at updated plant - US_Base_With Amendment_Aerated Static Pile</v>
      </c>
    </row>
    <row r="8123" spans="1:13" s="120" customFormat="1" x14ac:dyDescent="0.25">
      <c r="A8123" s="119"/>
      <c r="B8123" s="138" t="str">
        <f t="shared" si="637"/>
        <v>Aerated Static Pile</v>
      </c>
      <c r="C8123" s="138" t="str">
        <f t="shared" si="638"/>
        <v>Base_With Amendment</v>
      </c>
      <c r="D8123" s="138" t="str">
        <f t="shared" si="641"/>
        <v>Base_High</v>
      </c>
      <c r="E8123" s="138" t="str">
        <f t="shared" si="639"/>
        <v>Base</v>
      </c>
      <c r="F8123" s="138" t="str">
        <f t="shared" si="640"/>
        <v>Upgraded</v>
      </c>
      <c r="G8123" s="153"/>
      <c r="H8123" s="210">
        <v>0.62780000000000002</v>
      </c>
      <c r="I8123" s="160" t="s">
        <v>53</v>
      </c>
      <c r="J8123" s="160">
        <v>3.313E-2</v>
      </c>
      <c r="K8123" s="160" t="s">
        <v>25</v>
      </c>
      <c r="L8123" s="154" t="str">
        <f>IF(OpenLCAbasic!K8123="CTUh", "Fill in Manually",IF(OR(K8123="Unit", K8123=""), "", INDEX(LookUps!$E$5:$E$12, MATCH(OpenLCAbasic!K8123,LookUps!$D$5:$D$12,0))))</f>
        <v>Smog Formation Potential (SFP) - kg O3 eq</v>
      </c>
      <c r="M8123" s="154" t="str">
        <f t="shared" ref="M8123:M8186" si="642">CONCATENATE(E8123,"_",D8123,"_",F8123,"_",L8123, "_",I8123,"_", C8123,"_", B8123)</f>
        <v>Base_Base_High_Upgraded_Smog Formation Potential (SFP) - kg O3 eq_Wet Well and Sump Station; wastewater treatment unit; at updated plant - US_Base_With Amendment_Aerated Static Pile</v>
      </c>
    </row>
    <row r="8124" spans="1:13" s="120" customFormat="1" x14ac:dyDescent="0.25">
      <c r="A8124" s="119"/>
      <c r="B8124" s="138" t="str">
        <f t="shared" si="637"/>
        <v>Aerated Static Pile</v>
      </c>
      <c r="C8124" s="138" t="str">
        <f t="shared" si="638"/>
        <v>Base_With Amendment</v>
      </c>
      <c r="D8124" s="138" t="str">
        <f t="shared" si="641"/>
        <v>Base_High</v>
      </c>
      <c r="E8124" s="138" t="str">
        <f t="shared" si="639"/>
        <v>Base</v>
      </c>
      <c r="F8124" s="138" t="str">
        <f t="shared" si="640"/>
        <v>Upgraded</v>
      </c>
      <c r="G8124" s="153"/>
      <c r="H8124" s="210">
        <v>0.52959999999999996</v>
      </c>
      <c r="I8124" s="160" t="s">
        <v>167</v>
      </c>
      <c r="J8124" s="160">
        <v>2.7949999999999999E-2</v>
      </c>
      <c r="K8124" s="160" t="s">
        <v>25</v>
      </c>
      <c r="L8124" s="154" t="str">
        <f>IF(OpenLCAbasic!K8124="CTUh", "Fill in Manually",IF(OR(K8124="Unit", K8124=""), "", INDEX(LookUps!$E$5:$E$12, MATCH(OpenLCAbasic!K8124,LookUps!$D$5:$D$12,0))))</f>
        <v>Smog Formation Potential (SFP) - kg O3 eq</v>
      </c>
      <c r="M8124" s="154" t="str">
        <f t="shared" si="642"/>
        <v>Base_Base_High_Upgraded_Smog Formation Potential (SFP) - kg O3 eq_Waste Receiving and Holding; wastewater treatment unit; at updated plant - US_Base_With Amendment_Aerated Static Pile</v>
      </c>
    </row>
    <row r="8125" spans="1:13" s="120" customFormat="1" x14ac:dyDescent="0.25">
      <c r="A8125" s="119"/>
      <c r="B8125" s="138" t="str">
        <f t="shared" si="637"/>
        <v>Aerated Static Pile</v>
      </c>
      <c r="C8125" s="138" t="str">
        <f t="shared" si="638"/>
        <v>Base_With Amendment</v>
      </c>
      <c r="D8125" s="138" t="str">
        <f t="shared" si="641"/>
        <v>Base_High</v>
      </c>
      <c r="E8125" s="138" t="str">
        <f t="shared" si="639"/>
        <v>Base</v>
      </c>
      <c r="F8125" s="138" t="str">
        <f t="shared" si="640"/>
        <v>Upgraded</v>
      </c>
      <c r="G8125" s="153"/>
      <c r="H8125" s="210">
        <v>0.36770000000000003</v>
      </c>
      <c r="I8125" s="160" t="s">
        <v>147</v>
      </c>
      <c r="J8125" s="160">
        <v>1.9400000000000001E-2</v>
      </c>
      <c r="K8125" s="160" t="s">
        <v>25</v>
      </c>
      <c r="L8125" s="154" t="str">
        <f>IF(OpenLCAbasic!K8125="CTUh", "Fill in Manually",IF(OR(K8125="Unit", K8125=""), "", INDEX(LookUps!$E$5:$E$12, MATCH(OpenLCAbasic!K8125,LookUps!$D$5:$D$12,0))))</f>
        <v>Smog Formation Potential (SFP) - kg O3 eq</v>
      </c>
      <c r="M8125" s="154" t="str">
        <f t="shared" si="642"/>
        <v>Base_Base_High_Upgraded_Smog Formation Potential (SFP) - kg O3 eq_Influent Pump Station; wastewater treatment unit; at updated plant - US_Base_With Amendment_Aerated Static Pile</v>
      </c>
    </row>
    <row r="8126" spans="1:13" s="120" customFormat="1" x14ac:dyDescent="0.25">
      <c r="A8126" s="119"/>
      <c r="B8126" s="138" t="str">
        <f t="shared" si="637"/>
        <v>Aerated Static Pile</v>
      </c>
      <c r="C8126" s="138" t="str">
        <f t="shared" si="638"/>
        <v>Base_With Amendment</v>
      </c>
      <c r="D8126" s="138" t="str">
        <f t="shared" si="641"/>
        <v>Base_High</v>
      </c>
      <c r="E8126" s="138" t="str">
        <f t="shared" si="639"/>
        <v>Base</v>
      </c>
      <c r="F8126" s="138" t="str">
        <f t="shared" si="640"/>
        <v>Upgraded</v>
      </c>
      <c r="G8126" s="153"/>
      <c r="H8126" s="210">
        <v>0.22589999999999999</v>
      </c>
      <c r="I8126" s="160" t="s">
        <v>128</v>
      </c>
      <c r="J8126" s="160">
        <v>1.192E-2</v>
      </c>
      <c r="K8126" s="160" t="s">
        <v>25</v>
      </c>
      <c r="L8126" s="154" t="str">
        <f>IF(OpenLCAbasic!K8126="CTUh", "Fill in Manually",IF(OR(K8126="Unit", K8126=""), "", INDEX(LookUps!$E$5:$E$12, MATCH(OpenLCAbasic!K8126,LookUps!$D$5:$D$12,0))))</f>
        <v>Smog Formation Potential (SFP) - kg O3 eq</v>
      </c>
      <c r="M8126" s="154" t="str">
        <f t="shared" si="642"/>
        <v>Base_Base_High_Upgraded_Smog Formation Potential (SFP) - kg O3 eq_Wastewater collection; operation and infrastructure; m3 wastewater_Base_With Amendment_Aerated Static Pile</v>
      </c>
    </row>
    <row r="8127" spans="1:13" s="120" customFormat="1" x14ac:dyDescent="0.25">
      <c r="A8127" s="119"/>
      <c r="B8127" s="138" t="str">
        <f t="shared" si="637"/>
        <v>Aerated Static Pile</v>
      </c>
      <c r="C8127" s="138" t="str">
        <f t="shared" si="638"/>
        <v>Base_With Amendment</v>
      </c>
      <c r="D8127" s="138" t="str">
        <f t="shared" si="641"/>
        <v>Base_High</v>
      </c>
      <c r="E8127" s="138" t="str">
        <f t="shared" si="639"/>
        <v>Base</v>
      </c>
      <c r="F8127" s="138" t="str">
        <f t="shared" si="640"/>
        <v>Upgraded</v>
      </c>
      <c r="G8127" s="153"/>
      <c r="H8127" s="210">
        <v>0.1341</v>
      </c>
      <c r="I8127" s="160" t="s">
        <v>60</v>
      </c>
      <c r="J8127" s="160">
        <v>7.0800000000000004E-3</v>
      </c>
      <c r="K8127" s="160" t="s">
        <v>25</v>
      </c>
      <c r="L8127" s="154" t="str">
        <f>IF(OpenLCAbasic!K8127="CTUh", "Fill in Manually",IF(OR(K8127="Unit", K8127=""), "", INDEX(LookUps!$E$5:$E$12, MATCH(OpenLCAbasic!K8127,LookUps!$D$5:$D$12,0))))</f>
        <v>Smog Formation Potential (SFP) - kg O3 eq</v>
      </c>
      <c r="M8127" s="154" t="str">
        <f t="shared" si="642"/>
        <v>Base_Base_High_Upgraded_Smog Formation Potential (SFP) - kg O3 eq_Belt filter press; wastewater treatment unit; at updated plant - US_Base_With Amendment_Aerated Static Pile</v>
      </c>
    </row>
    <row r="8128" spans="1:13" s="120" customFormat="1" x14ac:dyDescent="0.25">
      <c r="A8128" s="119"/>
      <c r="B8128" s="138" t="str">
        <f t="shared" si="637"/>
        <v>Aerated Static Pile</v>
      </c>
      <c r="C8128" s="138" t="str">
        <f t="shared" si="638"/>
        <v>Base_With Amendment</v>
      </c>
      <c r="D8128" s="138" t="str">
        <f t="shared" si="641"/>
        <v>Base_High</v>
      </c>
      <c r="E8128" s="138" t="str">
        <f t="shared" si="639"/>
        <v>Base</v>
      </c>
      <c r="F8128" s="138" t="str">
        <f t="shared" si="640"/>
        <v>Upgraded</v>
      </c>
      <c r="G8128" s="153"/>
      <c r="H8128" s="210">
        <v>0.12609999999999999</v>
      </c>
      <c r="I8128" s="160" t="s">
        <v>57</v>
      </c>
      <c r="J8128" s="160">
        <v>6.6499999999999997E-3</v>
      </c>
      <c r="K8128" s="160" t="s">
        <v>25</v>
      </c>
      <c r="L8128" s="154" t="str">
        <f>IF(OpenLCAbasic!K8128="CTUh", "Fill in Manually",IF(OR(K8128="Unit", K8128=""), "", INDEX(LookUps!$E$5:$E$12, MATCH(OpenLCAbasic!K8128,LookUps!$D$5:$D$12,0))))</f>
        <v>Smog Formation Potential (SFP) - kg O3 eq</v>
      </c>
      <c r="M8128" s="154" t="str">
        <f t="shared" si="642"/>
        <v>Base_Base_High_Upgraded_Smog Formation Potential (SFP) - kg O3 eq_Gravity Belt Thickener; wastewater treatment unit; at updated plant - US_Base_With Amendment_Aerated Static Pile</v>
      </c>
    </row>
    <row r="8129" spans="1:13" s="120" customFormat="1" x14ac:dyDescent="0.25">
      <c r="A8129" s="119"/>
      <c r="B8129" s="138" t="str">
        <f t="shared" si="637"/>
        <v>Aerated Static Pile</v>
      </c>
      <c r="C8129" s="138" t="str">
        <f t="shared" si="638"/>
        <v>Base_With Amendment</v>
      </c>
      <c r="D8129" s="138" t="str">
        <f t="shared" si="641"/>
        <v>Base_High</v>
      </c>
      <c r="E8129" s="138" t="str">
        <f t="shared" si="639"/>
        <v>Base</v>
      </c>
      <c r="F8129" s="138" t="str">
        <f t="shared" si="640"/>
        <v>Upgraded</v>
      </c>
      <c r="G8129" s="153"/>
      <c r="H8129" s="210">
        <v>9.4299999999999995E-2</v>
      </c>
      <c r="I8129" s="160" t="s">
        <v>59</v>
      </c>
      <c r="J8129" s="160">
        <v>4.9699999999999996E-3</v>
      </c>
      <c r="K8129" s="160" t="s">
        <v>25</v>
      </c>
      <c r="L8129" s="154" t="str">
        <f>IF(OpenLCAbasic!K8129="CTUh", "Fill in Manually",IF(OR(K8129="Unit", K8129=""), "", INDEX(LookUps!$E$5:$E$12, MATCH(OpenLCAbasic!K8129,LookUps!$D$5:$D$12,0))))</f>
        <v>Smog Formation Potential (SFP) - kg O3 eq</v>
      </c>
      <c r="M8129" s="154" t="str">
        <f t="shared" si="642"/>
        <v>Base_Base_High_Upgraded_Smog Formation Potential (SFP) - kg O3 eq_Blend Tank; wastewater treatment unit; at updated plant - US_Base_With Amendment_Aerated Static Pile</v>
      </c>
    </row>
    <row r="8130" spans="1:13" s="120" customFormat="1" x14ac:dyDescent="0.25">
      <c r="A8130" s="119"/>
      <c r="B8130" s="138" t="str">
        <f t="shared" si="637"/>
        <v>Aerated Static Pile</v>
      </c>
      <c r="C8130" s="138" t="str">
        <f t="shared" si="638"/>
        <v>Base_With Amendment</v>
      </c>
      <c r="D8130" s="138" t="str">
        <f t="shared" si="641"/>
        <v>Base_High</v>
      </c>
      <c r="E8130" s="138" t="str">
        <f t="shared" si="639"/>
        <v>Base</v>
      </c>
      <c r="F8130" s="138" t="str">
        <f t="shared" si="640"/>
        <v>Upgraded</v>
      </c>
      <c r="G8130" s="153"/>
      <c r="H8130" s="210">
        <v>6.4199999999999993E-2</v>
      </c>
      <c r="I8130" s="160" t="s">
        <v>48</v>
      </c>
      <c r="J8130" s="160">
        <v>3.3899999999999998E-3</v>
      </c>
      <c r="K8130" s="160" t="s">
        <v>25</v>
      </c>
      <c r="L8130" s="154" t="str">
        <f>IF(OpenLCAbasic!K8130="CTUh", "Fill in Manually",IF(OR(K8130="Unit", K8130=""), "", INDEX(LookUps!$E$5:$E$12, MATCH(OpenLCAbasic!K8130,LookUps!$D$5:$D$12,0))))</f>
        <v>Smog Formation Potential (SFP) - kg O3 eq</v>
      </c>
      <c r="M8130" s="154" t="str">
        <f t="shared" si="642"/>
        <v>Base_Base_High_Upgraded_Smog Formation Potential (SFP) - kg O3 eq_Effluent release; wastewater treatment unit; at surface water; m3 wastewater - US_Base_With Amendment_Aerated Static Pile</v>
      </c>
    </row>
    <row r="8131" spans="1:13" s="120" customFormat="1" x14ac:dyDescent="0.25">
      <c r="A8131" s="119"/>
      <c r="B8131" s="138" t="str">
        <f t="shared" si="637"/>
        <v>Aerated Static Pile</v>
      </c>
      <c r="C8131" s="138" t="str">
        <f t="shared" si="638"/>
        <v>Base_With Amendment</v>
      </c>
      <c r="D8131" s="138" t="str">
        <f t="shared" si="641"/>
        <v>Base_High</v>
      </c>
      <c r="E8131" s="138" t="str">
        <f t="shared" si="639"/>
        <v>Base</v>
      </c>
      <c r="F8131" s="138" t="str">
        <f t="shared" si="640"/>
        <v>Upgraded</v>
      </c>
      <c r="G8131" s="153"/>
      <c r="H8131" s="210">
        <v>4.65E-2</v>
      </c>
      <c r="I8131" s="160" t="s">
        <v>168</v>
      </c>
      <c r="J8131" s="160">
        <v>2.4599999999999999E-3</v>
      </c>
      <c r="K8131" s="160" t="s">
        <v>25</v>
      </c>
      <c r="L8131" s="154" t="str">
        <f>IF(OpenLCAbasic!K8131="CTUh", "Fill in Manually",IF(OR(K8131="Unit", K8131=""), "", INDEX(LookUps!$E$5:$E$12, MATCH(OpenLCAbasic!K8131,LookUps!$D$5:$D$12,0))))</f>
        <v>Smog Formation Potential (SFP) - kg O3 eq</v>
      </c>
      <c r="M8131" s="154" t="str">
        <f t="shared" si="642"/>
        <v>Base_Base_High_Upgraded_Smog Formation Potential (SFP) - kg O3 eq_ClearCove SCP; wastewater treatment unit; at updated plant - US_Base_With Amendment_Aerated Static Pile</v>
      </c>
    </row>
    <row r="8132" spans="1:13" s="120" customFormat="1" x14ac:dyDescent="0.25">
      <c r="A8132" s="119"/>
      <c r="B8132" s="138" t="str">
        <f t="shared" si="637"/>
        <v>Aerated Static Pile</v>
      </c>
      <c r="C8132" s="138" t="str">
        <f t="shared" si="638"/>
        <v>Base_With Amendment</v>
      </c>
      <c r="D8132" s="138" t="str">
        <f t="shared" si="641"/>
        <v>Base_High</v>
      </c>
      <c r="E8132" s="138" t="str">
        <f t="shared" si="639"/>
        <v>Base</v>
      </c>
      <c r="F8132" s="138" t="str">
        <f t="shared" si="640"/>
        <v>Upgraded</v>
      </c>
      <c r="G8132" s="153"/>
      <c r="H8132" s="210">
        <v>1.0200000000000001E-2</v>
      </c>
      <c r="I8132" s="160" t="s">
        <v>148</v>
      </c>
      <c r="J8132" s="160">
        <v>5.4000000000000001E-4</v>
      </c>
      <c r="K8132" s="160" t="s">
        <v>25</v>
      </c>
      <c r="L8132" s="154" t="str">
        <f>IF(OpenLCAbasic!K8132="CTUh", "Fill in Manually",IF(OR(K8132="Unit", K8132=""), "", INDEX(LookUps!$E$5:$E$12, MATCH(OpenLCAbasic!K8132,LookUps!$D$5:$D$12,0))))</f>
        <v>Smog Formation Potential (SFP) - kg O3 eq</v>
      </c>
      <c r="M8132" s="154" t="str">
        <f t="shared" si="642"/>
        <v>Base_Base_High_Upgraded_Smog Formation Potential (SFP) - kg O3 eq_Control Building; at upgraded wastewater treatment plant - US_Base_With Amendment_Aerated Static Pile</v>
      </c>
    </row>
    <row r="8133" spans="1:13" s="120" customFormat="1" x14ac:dyDescent="0.25">
      <c r="A8133" s="119"/>
      <c r="B8133" s="138" t="str">
        <f t="shared" si="637"/>
        <v>Aerated Static Pile</v>
      </c>
      <c r="C8133" s="138" t="str">
        <f t="shared" si="638"/>
        <v>Base_With Amendment</v>
      </c>
      <c r="D8133" s="138" t="str">
        <f t="shared" si="641"/>
        <v>Base_High</v>
      </c>
      <c r="E8133" s="138" t="str">
        <f t="shared" si="639"/>
        <v>Base</v>
      </c>
      <c r="F8133" s="138" t="str">
        <f t="shared" si="640"/>
        <v>Upgraded</v>
      </c>
      <c r="G8133" s="153"/>
      <c r="H8133" s="210">
        <v>-5.0200000000000002E-2</v>
      </c>
      <c r="I8133" s="160" t="s">
        <v>62</v>
      </c>
      <c r="J8133" s="160">
        <v>-2.65E-3</v>
      </c>
      <c r="K8133" s="160" t="s">
        <v>25</v>
      </c>
      <c r="L8133" s="154" t="str">
        <f>IF(OpenLCAbasic!K8133="CTUh", "Fill in Manually",IF(OR(K8133="Unit", K8133=""), "", INDEX(LookUps!$E$5:$E$12, MATCH(OpenLCAbasic!K8133,LookUps!$D$5:$D$12,0))))</f>
        <v>Smog Formation Potential (SFP) - kg O3 eq</v>
      </c>
      <c r="M8133" s="154" t="str">
        <f t="shared" si="642"/>
        <v>Base_Base_High_Upgraded_Smog Formation Potential (SFP) - kg O3 eq_Land application of compost; wastewater treatment unit; at updated plant - US_Base_With Amendment_Aerated Static Pile</v>
      </c>
    </row>
    <row r="8134" spans="1:13" s="120" customFormat="1" x14ac:dyDescent="0.25">
      <c r="A8134" s="119"/>
      <c r="B8134" s="138" t="str">
        <f t="shared" si="637"/>
        <v>Aerated Static Pile</v>
      </c>
      <c r="C8134" s="138" t="str">
        <f t="shared" si="638"/>
        <v>Base_With Amendment</v>
      </c>
      <c r="D8134" s="138" t="str">
        <f t="shared" si="641"/>
        <v>Base_High</v>
      </c>
      <c r="E8134" s="138" t="str">
        <f t="shared" si="639"/>
        <v>Base</v>
      </c>
      <c r="F8134" s="138" t="str">
        <f t="shared" si="640"/>
        <v>Upgraded</v>
      </c>
      <c r="G8134" s="153"/>
      <c r="H8134" s="210">
        <v>-7.0823</v>
      </c>
      <c r="I8134" s="160" t="s">
        <v>149</v>
      </c>
      <c r="J8134" s="160">
        <v>-0.37367</v>
      </c>
      <c r="K8134" s="160" t="s">
        <v>25</v>
      </c>
      <c r="L8134" s="154" t="str">
        <f>IF(OpenLCAbasic!K8134="CTUh", "Fill in Manually",IF(OR(K8134="Unit", K8134=""), "", INDEX(LookUps!$E$5:$E$12, MATCH(OpenLCAbasic!K8134,LookUps!$D$5:$D$12,0))))</f>
        <v>Smog Formation Potential (SFP) - kg O3 eq</v>
      </c>
      <c r="M8134" s="154" t="str">
        <f t="shared" si="642"/>
        <v>Base_Base_High_Upgraded_Smog Formation Potential (SFP) - kg O3 eq_Anaerobic Digestion; wastewater treatment unit; at updated plant - US_Base_With Amendment_Aerated Static Pile</v>
      </c>
    </row>
    <row r="8135" spans="1:13" s="120" customFormat="1" x14ac:dyDescent="0.25">
      <c r="A8135" s="119"/>
      <c r="B8135" s="138" t="str">
        <f t="shared" si="637"/>
        <v/>
      </c>
      <c r="C8135" s="138" t="str">
        <f t="shared" si="638"/>
        <v/>
      </c>
      <c r="D8135" s="138" t="str">
        <f t="shared" si="641"/>
        <v/>
      </c>
      <c r="E8135" s="138" t="str">
        <f t="shared" si="639"/>
        <v/>
      </c>
      <c r="F8135" s="138" t="str">
        <f t="shared" si="640"/>
        <v/>
      </c>
      <c r="G8135" s="153" t="s">
        <v>51</v>
      </c>
      <c r="H8135" s="160"/>
      <c r="I8135" s="160" t="s">
        <v>47</v>
      </c>
      <c r="J8135" s="160" t="s">
        <v>52</v>
      </c>
      <c r="K8135" s="160" t="s">
        <v>27</v>
      </c>
      <c r="L8135" s="154" t="str">
        <f>IF(OpenLCAbasic!K8135="CTUh", "Fill in Manually",IF(OR(K8135="Unit", K8135=""), "", INDEX(LookUps!$E$5:$E$12, MATCH(OpenLCAbasic!K8135,LookUps!$D$5:$D$12,0))))</f>
        <v/>
      </c>
      <c r="M8135" s="154" t="str">
        <f t="shared" si="642"/>
        <v>____Process__</v>
      </c>
    </row>
    <row r="8136" spans="1:13" s="120" customFormat="1" x14ac:dyDescent="0.25">
      <c r="A8136" s="119"/>
      <c r="B8136" s="138" t="str">
        <f t="shared" si="637"/>
        <v>Aerated Static Pile</v>
      </c>
      <c r="C8136" s="138" t="str">
        <f t="shared" si="638"/>
        <v>Base_With Amendment</v>
      </c>
      <c r="D8136" s="138" t="str">
        <f t="shared" si="641"/>
        <v>Base_High</v>
      </c>
      <c r="E8136" s="138" t="str">
        <f t="shared" si="639"/>
        <v>Base</v>
      </c>
      <c r="F8136" s="138" t="str">
        <f t="shared" si="640"/>
        <v>Upgraded</v>
      </c>
      <c r="G8136" s="153"/>
      <c r="H8136" s="210">
        <v>3.3336999999999999</v>
      </c>
      <c r="I8136" s="160" t="s">
        <v>167</v>
      </c>
      <c r="J8136" s="160">
        <v>2.3000000000000001E-4</v>
      </c>
      <c r="K8136" s="160" t="s">
        <v>26</v>
      </c>
      <c r="L8136" s="154" t="str">
        <f>IF(OpenLCAbasic!K8136="CTUh", "Fill in Manually",IF(OR(K8136="Unit", K8136=""), "", INDEX(LookUps!$E$5:$E$12, MATCH(OpenLCAbasic!K8136,LookUps!$D$5:$D$12,0))))</f>
        <v>Water Use (WU) - m3 H2O</v>
      </c>
      <c r="M8136" s="154" t="str">
        <f t="shared" si="642"/>
        <v>Base_Base_High_Upgraded_Water Use (WU) - m3 H2O_Waste Receiving and Holding; wastewater treatment unit; at updated plant - US_Base_With Amendment_Aerated Static Pile</v>
      </c>
    </row>
    <row r="8137" spans="1:13" s="120" customFormat="1" x14ac:dyDescent="0.25">
      <c r="A8137" s="119"/>
      <c r="B8137" s="138" t="str">
        <f t="shared" ref="B8137:B8152" si="643">IF(F8137="Legacy","n.a.",IF(F8137="","","Aerated Static Pile"))</f>
        <v>Aerated Static Pile</v>
      </c>
      <c r="C8137" s="138" t="str">
        <f t="shared" ref="C8137:C8200" si="644">IF(ISNUMBER($J8137),"Base_With Amendment","")</f>
        <v>Base_With Amendment</v>
      </c>
      <c r="D8137" s="138" t="str">
        <f t="shared" si="641"/>
        <v>Base_High</v>
      </c>
      <c r="E8137" s="138" t="str">
        <f t="shared" ref="E8137:E8151" si="645">IF(ISNUMBER($J8137),"Base","")</f>
        <v>Base</v>
      </c>
      <c r="F8137" s="138" t="str">
        <f t="shared" ref="F8137:F8152" si="646">IF(ISNUMBER(J8137),"Upgraded","")</f>
        <v>Upgraded</v>
      </c>
      <c r="G8137" s="153"/>
      <c r="H8137" s="210">
        <v>2.6379000000000001</v>
      </c>
      <c r="I8137" s="160" t="s">
        <v>147</v>
      </c>
      <c r="J8137" s="160">
        <v>1.8000000000000001E-4</v>
      </c>
      <c r="K8137" s="160" t="s">
        <v>26</v>
      </c>
      <c r="L8137" s="154" t="str">
        <f>IF(OpenLCAbasic!K8137="CTUh", "Fill in Manually",IF(OR(K8137="Unit", K8137=""), "", INDEX(LookUps!$E$5:$E$12, MATCH(OpenLCAbasic!K8137,LookUps!$D$5:$D$12,0))))</f>
        <v>Water Use (WU) - m3 H2O</v>
      </c>
      <c r="M8137" s="154" t="str">
        <f t="shared" si="642"/>
        <v>Base_Base_High_Upgraded_Water Use (WU) - m3 H2O_Influent Pump Station; wastewater treatment unit; at updated plant - US_Base_With Amendment_Aerated Static Pile</v>
      </c>
    </row>
    <row r="8138" spans="1:13" s="120" customFormat="1" x14ac:dyDescent="0.25">
      <c r="A8138" s="119"/>
      <c r="B8138" s="138" t="str">
        <f t="shared" si="643"/>
        <v>Aerated Static Pile</v>
      </c>
      <c r="C8138" s="138" t="str">
        <f t="shared" si="644"/>
        <v>Base_With Amendment</v>
      </c>
      <c r="D8138" s="138" t="str">
        <f t="shared" si="641"/>
        <v>Base_High</v>
      </c>
      <c r="E8138" s="138" t="str">
        <f t="shared" si="645"/>
        <v>Base</v>
      </c>
      <c r="F8138" s="138" t="str">
        <f t="shared" si="646"/>
        <v>Upgraded</v>
      </c>
      <c r="G8138" s="153"/>
      <c r="H8138" s="210">
        <v>2.5737999999999999</v>
      </c>
      <c r="I8138" s="160" t="s">
        <v>54</v>
      </c>
      <c r="J8138" s="160">
        <v>1.8000000000000001E-4</v>
      </c>
      <c r="K8138" s="160" t="s">
        <v>26</v>
      </c>
      <c r="L8138" s="154" t="str">
        <f>IF(OpenLCAbasic!K8138="CTUh", "Fill in Manually",IF(OR(K8138="Unit", K8138=""), "", INDEX(LookUps!$E$5:$E$12, MATCH(OpenLCAbasic!K8138,LookUps!$D$5:$D$12,0))))</f>
        <v>Water Use (WU) - m3 H2O</v>
      </c>
      <c r="M8138" s="154" t="str">
        <f t="shared" si="642"/>
        <v>Base_Base_High_Upgraded_Water Use (WU) - m3 H2O_Clear Cove Primary Clarification; wastewater treatment unit; at updated plant - US_Base_With Amendment_Aerated Static Pile</v>
      </c>
    </row>
    <row r="8139" spans="1:13" s="120" customFormat="1" x14ac:dyDescent="0.25">
      <c r="A8139" s="119"/>
      <c r="B8139" s="138" t="str">
        <f t="shared" si="643"/>
        <v>Aerated Static Pile</v>
      </c>
      <c r="C8139" s="138" t="str">
        <f t="shared" si="644"/>
        <v>Base_With Amendment</v>
      </c>
      <c r="D8139" s="138" t="str">
        <f t="shared" si="641"/>
        <v>Base_High</v>
      </c>
      <c r="E8139" s="138" t="str">
        <f t="shared" si="645"/>
        <v>Base</v>
      </c>
      <c r="F8139" s="138" t="str">
        <f t="shared" si="646"/>
        <v>Upgraded</v>
      </c>
      <c r="G8139" s="153"/>
      <c r="H8139" s="210">
        <v>2.3349000000000002</v>
      </c>
      <c r="I8139" s="160" t="s">
        <v>55</v>
      </c>
      <c r="J8139" s="160">
        <v>1.6000000000000001E-4</v>
      </c>
      <c r="K8139" s="160" t="s">
        <v>26</v>
      </c>
      <c r="L8139" s="154" t="str">
        <f>IF(OpenLCAbasic!K8139="CTUh", "Fill in Manually",IF(OR(K8139="Unit", K8139=""), "", INDEX(LookUps!$E$5:$E$12, MATCH(OpenLCAbasic!K8139,LookUps!$D$5:$D$12,0))))</f>
        <v>Water Use (WU) - m3 H2O</v>
      </c>
      <c r="M8139" s="154" t="str">
        <f t="shared" si="642"/>
        <v>Base_Base_High_Upgraded_Water Use (WU) - m3 H2O_Aeration Tanks; wastewater treatment unit; at updated plant - US_Base_With Amendment_Aerated Static Pile</v>
      </c>
    </row>
    <row r="8140" spans="1:13" s="120" customFormat="1" x14ac:dyDescent="0.25">
      <c r="A8140" s="119"/>
      <c r="B8140" s="138" t="str">
        <f t="shared" si="643"/>
        <v>Aerated Static Pile</v>
      </c>
      <c r="C8140" s="138" t="str">
        <f t="shared" si="644"/>
        <v>Base_With Amendment</v>
      </c>
      <c r="D8140" s="138" t="str">
        <f t="shared" si="641"/>
        <v>Base_High</v>
      </c>
      <c r="E8140" s="138" t="str">
        <f t="shared" si="645"/>
        <v>Base</v>
      </c>
      <c r="F8140" s="138" t="str">
        <f t="shared" si="646"/>
        <v>Upgraded</v>
      </c>
      <c r="G8140" s="153"/>
      <c r="H8140" s="210">
        <v>2.1269</v>
      </c>
      <c r="I8140" s="160" t="s">
        <v>148</v>
      </c>
      <c r="J8140" s="160">
        <v>1.4999999999999999E-4</v>
      </c>
      <c r="K8140" s="160" t="s">
        <v>26</v>
      </c>
      <c r="L8140" s="154" t="str">
        <f>IF(OpenLCAbasic!K8140="CTUh", "Fill in Manually",IF(OR(K8140="Unit", K8140=""), "", INDEX(LookUps!$E$5:$E$12, MATCH(OpenLCAbasic!K8140,LookUps!$D$5:$D$12,0))))</f>
        <v>Water Use (WU) - m3 H2O</v>
      </c>
      <c r="M8140" s="154" t="str">
        <f t="shared" si="642"/>
        <v>Base_Base_High_Upgraded_Water Use (WU) - m3 H2O_Control Building; at upgraded wastewater treatment plant - US_Base_With Amendment_Aerated Static Pile</v>
      </c>
    </row>
    <row r="8141" spans="1:13" s="120" customFormat="1" x14ac:dyDescent="0.25">
      <c r="A8141" s="119"/>
      <c r="B8141" s="138" t="str">
        <f t="shared" si="643"/>
        <v>Aerated Static Pile</v>
      </c>
      <c r="C8141" s="138" t="str">
        <f t="shared" si="644"/>
        <v>Base_With Amendment</v>
      </c>
      <c r="D8141" s="138" t="str">
        <f t="shared" si="641"/>
        <v>Base_High</v>
      </c>
      <c r="E8141" s="138" t="str">
        <f t="shared" si="645"/>
        <v>Base</v>
      </c>
      <c r="F8141" s="138" t="str">
        <f t="shared" si="646"/>
        <v>Upgraded</v>
      </c>
      <c r="G8141" s="153"/>
      <c r="H8141" s="210">
        <v>0.98770000000000002</v>
      </c>
      <c r="I8141" s="160" t="s">
        <v>48</v>
      </c>
      <c r="J8141" s="211">
        <v>6.8836400000000004E-5</v>
      </c>
      <c r="K8141" s="160" t="s">
        <v>26</v>
      </c>
      <c r="L8141" s="154" t="str">
        <f>IF(OpenLCAbasic!K8141="CTUh", "Fill in Manually",IF(OR(K8141="Unit", K8141=""), "", INDEX(LookUps!$E$5:$E$12, MATCH(OpenLCAbasic!K8141,LookUps!$D$5:$D$12,0))))</f>
        <v>Water Use (WU) - m3 H2O</v>
      </c>
      <c r="M8141" s="154" t="str">
        <f t="shared" si="642"/>
        <v>Base_Base_High_Upgraded_Water Use (WU) - m3 H2O_Effluent release; wastewater treatment unit; at surface water; m3 wastewater - US_Base_With Amendment_Aerated Static Pile</v>
      </c>
    </row>
    <row r="8142" spans="1:13" s="120" customFormat="1" x14ac:dyDescent="0.25">
      <c r="A8142" s="119"/>
      <c r="B8142" s="138" t="str">
        <f t="shared" si="643"/>
        <v>Aerated Static Pile</v>
      </c>
      <c r="C8142" s="138" t="str">
        <f t="shared" si="644"/>
        <v>Base_With Amendment</v>
      </c>
      <c r="D8142" s="138" t="str">
        <f t="shared" si="641"/>
        <v>Base_High</v>
      </c>
      <c r="E8142" s="138" t="str">
        <f t="shared" si="645"/>
        <v>Base</v>
      </c>
      <c r="F8142" s="138" t="str">
        <f t="shared" si="646"/>
        <v>Upgraded</v>
      </c>
      <c r="G8142" s="153"/>
      <c r="H8142" s="210">
        <v>0.61970000000000003</v>
      </c>
      <c r="I8142" s="160" t="s">
        <v>58</v>
      </c>
      <c r="J8142" s="211">
        <v>4.3192100000000003E-5</v>
      </c>
      <c r="K8142" s="160" t="s">
        <v>26</v>
      </c>
      <c r="L8142" s="154" t="str">
        <f>IF(OpenLCAbasic!K8142="CTUh", "Fill in Manually",IF(OR(K8142="Unit", K8142=""), "", INDEX(LookUps!$E$5:$E$12, MATCH(OpenLCAbasic!K8142,LookUps!$D$5:$D$12,0))))</f>
        <v>Water Use (WU) - m3 H2O</v>
      </c>
      <c r="M8142" s="154" t="str">
        <f t="shared" si="642"/>
        <v>Base_Base_High_Upgraded_Water Use (WU) - m3 H2O_Pre-Anoxic &amp; Swing tank; wastewater treatment unit; at updated plant - US_Base_With Amendment_Aerated Static Pile</v>
      </c>
    </row>
    <row r="8143" spans="1:13" s="120" customFormat="1" x14ac:dyDescent="0.25">
      <c r="A8143" s="119"/>
      <c r="B8143" s="138" t="str">
        <f t="shared" si="643"/>
        <v>Aerated Static Pile</v>
      </c>
      <c r="C8143" s="138" t="str">
        <f t="shared" si="644"/>
        <v>Base_With Amendment</v>
      </c>
      <c r="D8143" s="138" t="str">
        <f t="shared" si="641"/>
        <v>Base_High</v>
      </c>
      <c r="E8143" s="138" t="str">
        <f t="shared" si="645"/>
        <v>Base</v>
      </c>
      <c r="F8143" s="138" t="str">
        <f t="shared" si="646"/>
        <v>Upgraded</v>
      </c>
      <c r="G8143" s="153"/>
      <c r="H8143" s="210">
        <v>0.43630000000000002</v>
      </c>
      <c r="I8143" s="160" t="s">
        <v>57</v>
      </c>
      <c r="J8143" s="211">
        <v>3.0408100000000001E-5</v>
      </c>
      <c r="K8143" s="160" t="s">
        <v>26</v>
      </c>
      <c r="L8143" s="154" t="str">
        <f>IF(OpenLCAbasic!K8143="CTUh", "Fill in Manually",IF(OR(K8143="Unit", K8143=""), "", INDEX(LookUps!$E$5:$E$12, MATCH(OpenLCAbasic!K8143,LookUps!$D$5:$D$12,0))))</f>
        <v>Water Use (WU) - m3 H2O</v>
      </c>
      <c r="M8143" s="154" t="str">
        <f t="shared" si="642"/>
        <v>Base_Base_High_Upgraded_Water Use (WU) - m3 H2O_Gravity Belt Thickener; wastewater treatment unit; at updated plant - US_Base_With Amendment_Aerated Static Pile</v>
      </c>
    </row>
    <row r="8144" spans="1:13" s="120" customFormat="1" x14ac:dyDescent="0.25">
      <c r="A8144" s="119"/>
      <c r="B8144" s="138" t="str">
        <f t="shared" si="643"/>
        <v>Aerated Static Pile</v>
      </c>
      <c r="C8144" s="138" t="str">
        <f t="shared" si="644"/>
        <v>Base_With Amendment</v>
      </c>
      <c r="D8144" s="138" t="str">
        <f t="shared" si="641"/>
        <v>Base_High</v>
      </c>
      <c r="E8144" s="138" t="str">
        <f t="shared" si="645"/>
        <v>Base</v>
      </c>
      <c r="F8144" s="138" t="str">
        <f t="shared" si="646"/>
        <v>Upgraded</v>
      </c>
      <c r="G8144" s="153"/>
      <c r="H8144" s="210">
        <v>0.30330000000000001</v>
      </c>
      <c r="I8144" s="160" t="s">
        <v>60</v>
      </c>
      <c r="J8144" s="211">
        <v>2.1135600000000001E-5</v>
      </c>
      <c r="K8144" s="160" t="s">
        <v>26</v>
      </c>
      <c r="L8144" s="154" t="str">
        <f>IF(OpenLCAbasic!K8144="CTUh", "Fill in Manually",IF(OR(K8144="Unit", K8144=""), "", INDEX(LookUps!$E$5:$E$12, MATCH(OpenLCAbasic!K8144,LookUps!$D$5:$D$12,0))))</f>
        <v>Water Use (WU) - m3 H2O</v>
      </c>
      <c r="M8144" s="154" t="str">
        <f t="shared" si="642"/>
        <v>Base_Base_High_Upgraded_Water Use (WU) - m3 H2O_Belt filter press; wastewater treatment unit; at updated plant - US_Base_With Amendment_Aerated Static Pile</v>
      </c>
    </row>
    <row r="8145" spans="1:13" s="120" customFormat="1" x14ac:dyDescent="0.25">
      <c r="A8145" s="119"/>
      <c r="B8145" s="138" t="str">
        <f t="shared" si="643"/>
        <v>Aerated Static Pile</v>
      </c>
      <c r="C8145" s="138" t="str">
        <f t="shared" si="644"/>
        <v>Base_With Amendment</v>
      </c>
      <c r="D8145" s="138" t="str">
        <f t="shared" ref="D8145:D8151" si="647">IF(ISNUMBER($J8145),"Base_High","")</f>
        <v>Base_High</v>
      </c>
      <c r="E8145" s="138" t="str">
        <f t="shared" si="645"/>
        <v>Base</v>
      </c>
      <c r="F8145" s="138" t="str">
        <f t="shared" si="646"/>
        <v>Upgraded</v>
      </c>
      <c r="G8145" s="153"/>
      <c r="H8145" s="210">
        <v>0.26429999999999998</v>
      </c>
      <c r="I8145" s="160" t="s">
        <v>435</v>
      </c>
      <c r="J8145" s="211">
        <v>1.8422699999999999E-5</v>
      </c>
      <c r="K8145" s="160" t="s">
        <v>26</v>
      </c>
      <c r="L8145" s="154" t="str">
        <f>IF(OpenLCAbasic!K8145="CTUh", "Fill in Manually",IF(OR(K8145="Unit", K8145=""), "", INDEX(LookUps!$E$5:$E$12, MATCH(OpenLCAbasic!K8145,LookUps!$D$5:$D$12,0))))</f>
        <v>Water Use (WU) - m3 H2O</v>
      </c>
      <c r="M8145" s="154" t="str">
        <f t="shared" si="642"/>
        <v>Base_Base_High_Upgraded_Water Use (WU) - m3 H2O_Biosolids composting; aerated static pile; wastewater treatment unit; at updated plant - US_Base_With Amendment_Aerated Static Pile</v>
      </c>
    </row>
    <row r="8146" spans="1:13" s="120" customFormat="1" x14ac:dyDescent="0.25">
      <c r="A8146" s="119"/>
      <c r="B8146" s="138" t="str">
        <f t="shared" si="643"/>
        <v>Aerated Static Pile</v>
      </c>
      <c r="C8146" s="138" t="str">
        <f t="shared" si="644"/>
        <v>Base_With Amendment</v>
      </c>
      <c r="D8146" s="138" t="str">
        <f t="shared" si="647"/>
        <v>Base_High</v>
      </c>
      <c r="E8146" s="138" t="str">
        <f t="shared" si="645"/>
        <v>Base</v>
      </c>
      <c r="F8146" s="138" t="str">
        <f t="shared" si="646"/>
        <v>Upgraded</v>
      </c>
      <c r="G8146" s="153"/>
      <c r="H8146" s="210">
        <v>0.25119999999999998</v>
      </c>
      <c r="I8146" s="160" t="s">
        <v>53</v>
      </c>
      <c r="J8146" s="211">
        <v>1.75069E-5</v>
      </c>
      <c r="K8146" s="160" t="s">
        <v>26</v>
      </c>
      <c r="L8146" s="154" t="str">
        <f>IF(OpenLCAbasic!K8146="CTUh", "Fill in Manually",IF(OR(K8146="Unit", K8146=""), "", INDEX(LookUps!$E$5:$E$12, MATCH(OpenLCAbasic!K8146,LookUps!$D$5:$D$12,0))))</f>
        <v>Water Use (WU) - m3 H2O</v>
      </c>
      <c r="M8146" s="154" t="str">
        <f t="shared" si="642"/>
        <v>Base_Base_High_Upgraded_Water Use (WU) - m3 H2O_Wet Well and Sump Station; wastewater treatment unit; at updated plant - US_Base_With Amendment_Aerated Static Pile</v>
      </c>
    </row>
    <row r="8147" spans="1:13" s="120" customFormat="1" x14ac:dyDescent="0.25">
      <c r="A8147" s="119"/>
      <c r="B8147" s="138" t="str">
        <f t="shared" si="643"/>
        <v>Aerated Static Pile</v>
      </c>
      <c r="C8147" s="138" t="str">
        <f t="shared" si="644"/>
        <v>Base_With Amendment</v>
      </c>
      <c r="D8147" s="138" t="str">
        <f t="shared" si="647"/>
        <v>Base_High</v>
      </c>
      <c r="E8147" s="138" t="str">
        <f t="shared" si="645"/>
        <v>Base</v>
      </c>
      <c r="F8147" s="138" t="str">
        <f t="shared" si="646"/>
        <v>Upgraded</v>
      </c>
      <c r="G8147" s="153"/>
      <c r="H8147" s="210">
        <v>0.1007</v>
      </c>
      <c r="I8147" s="160" t="s">
        <v>59</v>
      </c>
      <c r="J8147" s="211">
        <v>7.0179500000000003E-6</v>
      </c>
      <c r="K8147" s="160" t="s">
        <v>26</v>
      </c>
      <c r="L8147" s="154" t="str">
        <f>IF(OpenLCAbasic!K8147="CTUh", "Fill in Manually",IF(OR(K8147="Unit", K8147=""), "", INDEX(LookUps!$E$5:$E$12, MATCH(OpenLCAbasic!K8147,LookUps!$D$5:$D$12,0))))</f>
        <v>Water Use (WU) - m3 H2O</v>
      </c>
      <c r="M8147" s="154" t="str">
        <f t="shared" si="642"/>
        <v>Base_Base_High_Upgraded_Water Use (WU) - m3 H2O_Blend Tank; wastewater treatment unit; at updated plant - US_Base_With Amendment_Aerated Static Pile</v>
      </c>
    </row>
    <row r="8148" spans="1:13" s="120" customFormat="1" x14ac:dyDescent="0.25">
      <c r="A8148" s="119"/>
      <c r="B8148" s="138" t="str">
        <f t="shared" si="643"/>
        <v>Aerated Static Pile</v>
      </c>
      <c r="C8148" s="138" t="str">
        <f t="shared" si="644"/>
        <v>Base_With Amendment</v>
      </c>
      <c r="D8148" s="138" t="str">
        <f t="shared" si="647"/>
        <v>Base_High</v>
      </c>
      <c r="E8148" s="138" t="str">
        <f t="shared" si="645"/>
        <v>Base</v>
      </c>
      <c r="F8148" s="138" t="str">
        <f t="shared" si="646"/>
        <v>Upgraded</v>
      </c>
      <c r="G8148" s="153"/>
      <c r="H8148" s="210">
        <v>7.2599999999999998E-2</v>
      </c>
      <c r="I8148" s="160" t="s">
        <v>128</v>
      </c>
      <c r="J8148" s="211">
        <v>5.0608900000000003E-6</v>
      </c>
      <c r="K8148" s="160" t="s">
        <v>26</v>
      </c>
      <c r="L8148" s="154" t="str">
        <f>IF(OpenLCAbasic!K8148="CTUh", "Fill in Manually",IF(OR(K8148="Unit", K8148=""), "", INDEX(LookUps!$E$5:$E$12, MATCH(OpenLCAbasic!K8148,LookUps!$D$5:$D$12,0))))</f>
        <v>Water Use (WU) - m3 H2O</v>
      </c>
      <c r="M8148" s="154" t="str">
        <f t="shared" si="642"/>
        <v>Base_Base_High_Upgraded_Water Use (WU) - m3 H2O_Wastewater collection; operation and infrastructure; m3 wastewater_Base_With Amendment_Aerated Static Pile</v>
      </c>
    </row>
    <row r="8149" spans="1:13" s="120" customFormat="1" x14ac:dyDescent="0.25">
      <c r="A8149" s="119"/>
      <c r="B8149" s="138" t="str">
        <f t="shared" si="643"/>
        <v>Aerated Static Pile</v>
      </c>
      <c r="C8149" s="138" t="str">
        <f t="shared" si="644"/>
        <v>Base_With Amendment</v>
      </c>
      <c r="D8149" s="138" t="str">
        <f t="shared" si="647"/>
        <v>Base_High</v>
      </c>
      <c r="E8149" s="138" t="str">
        <f t="shared" si="645"/>
        <v>Base</v>
      </c>
      <c r="F8149" s="138" t="str">
        <f t="shared" si="646"/>
        <v>Upgraded</v>
      </c>
      <c r="G8149" s="153"/>
      <c r="H8149" s="210">
        <v>1.0999999999999999E-2</v>
      </c>
      <c r="I8149" s="160" t="s">
        <v>168</v>
      </c>
      <c r="J8149" s="211">
        <v>7.6697000000000004E-7</v>
      </c>
      <c r="K8149" s="160" t="s">
        <v>26</v>
      </c>
      <c r="L8149" s="154" t="str">
        <f>IF(OpenLCAbasic!K8149="CTUh", "Fill in Manually",IF(OR(K8149="Unit", K8149=""), "", INDEX(LookUps!$E$5:$E$12, MATCH(OpenLCAbasic!K8149,LookUps!$D$5:$D$12,0))))</f>
        <v>Water Use (WU) - m3 H2O</v>
      </c>
      <c r="M8149" s="154" t="str">
        <f t="shared" si="642"/>
        <v>Base_Base_High_Upgraded_Water Use (WU) - m3 H2O_ClearCove SCP; wastewater treatment unit; at updated plant - US_Base_With Amendment_Aerated Static Pile</v>
      </c>
    </row>
    <row r="8150" spans="1:13" s="120" customFormat="1" x14ac:dyDescent="0.25">
      <c r="A8150" s="119"/>
      <c r="B8150" s="138" t="str">
        <f t="shared" si="643"/>
        <v>Aerated Static Pile</v>
      </c>
      <c r="C8150" s="138" t="str">
        <f t="shared" si="644"/>
        <v>Base_With Amendment</v>
      </c>
      <c r="D8150" s="138" t="str">
        <f t="shared" si="647"/>
        <v>Base_High</v>
      </c>
      <c r="E8150" s="138" t="str">
        <f t="shared" si="645"/>
        <v>Base</v>
      </c>
      <c r="F8150" s="138" t="str">
        <f t="shared" si="646"/>
        <v>Upgraded</v>
      </c>
      <c r="G8150" s="153"/>
      <c r="H8150" s="210">
        <v>-1.3367</v>
      </c>
      <c r="I8150" s="160" t="s">
        <v>149</v>
      </c>
      <c r="J8150" s="211">
        <v>-9.3162899999999995E-5</v>
      </c>
      <c r="K8150" s="160" t="s">
        <v>26</v>
      </c>
      <c r="L8150" s="154" t="str">
        <f>IF(OpenLCAbasic!K8150="CTUh", "Fill in Manually",IF(OR(K8150="Unit", K8150=""), "", INDEX(LookUps!$E$5:$E$12, MATCH(OpenLCAbasic!K8150,LookUps!$D$5:$D$12,0))))</f>
        <v>Water Use (WU) - m3 H2O</v>
      </c>
      <c r="M8150" s="154" t="str">
        <f t="shared" si="642"/>
        <v>Base_Base_High_Upgraded_Water Use (WU) - m3 H2O_Anaerobic Digestion; wastewater treatment unit; at updated plant - US_Base_With Amendment_Aerated Static Pile</v>
      </c>
    </row>
    <row r="8151" spans="1:13" s="120" customFormat="1" x14ac:dyDescent="0.25">
      <c r="A8151" s="119"/>
      <c r="B8151" s="138" t="str">
        <f t="shared" si="643"/>
        <v>Aerated Static Pile</v>
      </c>
      <c r="C8151" s="138" t="str">
        <f t="shared" si="644"/>
        <v>Base_With Amendment</v>
      </c>
      <c r="D8151" s="138" t="str">
        <f t="shared" si="647"/>
        <v>Base_High</v>
      </c>
      <c r="E8151" s="138" t="str">
        <f t="shared" si="645"/>
        <v>Base</v>
      </c>
      <c r="F8151" s="138" t="str">
        <f t="shared" si="646"/>
        <v>Upgraded</v>
      </c>
      <c r="G8151" s="153"/>
      <c r="H8151" s="210">
        <v>-15.7172</v>
      </c>
      <c r="I8151" s="160" t="s">
        <v>62</v>
      </c>
      <c r="J8151" s="160">
        <v>-1.1000000000000001E-3</v>
      </c>
      <c r="K8151" s="160" t="s">
        <v>26</v>
      </c>
      <c r="L8151" s="154" t="str">
        <f>IF(OpenLCAbasic!K8151="CTUh", "Fill in Manually",IF(OR(K8151="Unit", K8151=""), "", INDEX(LookUps!$E$5:$E$12, MATCH(OpenLCAbasic!K8151,LookUps!$D$5:$D$12,0))))</f>
        <v>Water Use (WU) - m3 H2O</v>
      </c>
      <c r="M8151" s="154" t="str">
        <f t="shared" si="642"/>
        <v>Base_Base_High_Upgraded_Water Use (WU) - m3 H2O_Land application of compost; wastewater treatment unit; at updated plant - US_Base_With Amendment_Aerated Static Pile</v>
      </c>
    </row>
    <row r="8152" spans="1:13" s="120" customFormat="1" x14ac:dyDescent="0.25">
      <c r="A8152" s="119"/>
      <c r="B8152" s="138" t="str">
        <f t="shared" si="643"/>
        <v/>
      </c>
      <c r="C8152" s="138" t="str">
        <f t="shared" si="644"/>
        <v/>
      </c>
      <c r="D8152" s="138" t="str">
        <f>IF(ISNUMBER($J8152),"Base_Base","")</f>
        <v/>
      </c>
      <c r="E8152" s="138" t="str">
        <f>IF(ISNUMBER($J8152),"Low","")</f>
        <v/>
      </c>
      <c r="F8152" s="138" t="str">
        <f t="shared" si="646"/>
        <v/>
      </c>
      <c r="G8152" s="153" t="s">
        <v>51</v>
      </c>
      <c r="H8152" s="160"/>
      <c r="I8152" s="160" t="s">
        <v>47</v>
      </c>
      <c r="J8152" s="160" t="s">
        <v>52</v>
      </c>
      <c r="K8152" s="160" t="s">
        <v>27</v>
      </c>
      <c r="L8152" s="154" t="str">
        <f>IF(OpenLCAbasic!K8152="CTUh", "Fill in Manually",IF(OR(K8152="Unit", K8152=""), "", INDEX(LookUps!$E$5:$E$12, MATCH(OpenLCAbasic!K8152,LookUps!$D$5:$D$12,0))))</f>
        <v/>
      </c>
      <c r="M8152" s="154" t="str">
        <f t="shared" si="642"/>
        <v>____Process__</v>
      </c>
    </row>
    <row r="8153" spans="1:13" s="120" customFormat="1" x14ac:dyDescent="0.25">
      <c r="A8153" s="119"/>
      <c r="B8153" s="138" t="str">
        <f t="shared" ref="B8153:B8216" si="648">IF(F8153="Legacy","n.a.",IF(F8153="","","Aerated Static Pile"))</f>
        <v>Aerated Static Pile</v>
      </c>
      <c r="C8153" s="138" t="str">
        <f t="shared" si="644"/>
        <v>Base_With Amendment</v>
      </c>
      <c r="D8153" s="138" t="s">
        <v>130</v>
      </c>
      <c r="E8153" s="138" t="str">
        <f t="shared" ref="E8153:E8216" si="649">IF(ISNUMBER($J8153),"Low","")</f>
        <v>Low</v>
      </c>
      <c r="F8153" s="138" t="str">
        <f t="shared" ref="F8153:F8216" si="650">IF(ISNUMBER(J8153),"Upgraded","")</f>
        <v>Upgraded</v>
      </c>
      <c r="G8153" s="153"/>
      <c r="H8153" s="210">
        <v>0.41949999999999998</v>
      </c>
      <c r="I8153" s="160" t="s">
        <v>55</v>
      </c>
      <c r="J8153" s="160">
        <v>1.7219999999999999E-2</v>
      </c>
      <c r="K8153" s="160" t="s">
        <v>24</v>
      </c>
      <c r="L8153" s="154" t="str">
        <f>IF(OpenLCAbasic!K8153="CTUh", "Fill in Manually",IF(OR(K8153="Unit", K8153=""), "", INDEX(LookUps!$E$5:$E$12, MATCH(OpenLCAbasic!K8153,LookUps!$D$5:$D$12,0))))</f>
        <v>Acidification Potential (AP) - kg SO2 eq</v>
      </c>
      <c r="M8153" s="154" t="str">
        <f t="shared" si="642"/>
        <v>Low_Base_Upgraded_Acidification Potential (AP) - kg SO2 eq_Aeration Tanks; wastewater treatment unit; at updated plant - US_Base_With Amendment_Aerated Static Pile</v>
      </c>
    </row>
    <row r="8154" spans="1:13" s="120" customFormat="1" x14ac:dyDescent="0.25">
      <c r="A8154" s="119"/>
      <c r="B8154" s="138" t="str">
        <f t="shared" si="648"/>
        <v>Aerated Static Pile</v>
      </c>
      <c r="C8154" s="138" t="str">
        <f t="shared" si="644"/>
        <v>Base_With Amendment</v>
      </c>
      <c r="D8154" s="138" t="s">
        <v>130</v>
      </c>
      <c r="E8154" s="138" t="str">
        <f t="shared" si="649"/>
        <v>Low</v>
      </c>
      <c r="F8154" s="138" t="str">
        <f t="shared" si="650"/>
        <v>Upgraded</v>
      </c>
      <c r="G8154" s="153"/>
      <c r="H8154" s="210">
        <v>0.15179999999999999</v>
      </c>
      <c r="I8154" s="160" t="s">
        <v>435</v>
      </c>
      <c r="J8154" s="160">
        <v>6.2300000000000003E-3</v>
      </c>
      <c r="K8154" s="160" t="s">
        <v>24</v>
      </c>
      <c r="L8154" s="154" t="str">
        <f>IF(OpenLCAbasic!K8154="CTUh", "Fill in Manually",IF(OR(K8154="Unit", K8154=""), "", INDEX(LookUps!$E$5:$E$12, MATCH(OpenLCAbasic!K8154,LookUps!$D$5:$D$12,0))))</f>
        <v>Acidification Potential (AP) - kg SO2 eq</v>
      </c>
      <c r="M8154" s="154" t="str">
        <f t="shared" si="642"/>
        <v>Low_Base_Upgraded_Acidification Potential (AP) - kg SO2 eq_Biosolids composting; aerated static pile; wastewater treatment unit; at updated plant - US_Base_With Amendment_Aerated Static Pile</v>
      </c>
    </row>
    <row r="8155" spans="1:13" s="120" customFormat="1" x14ac:dyDescent="0.25">
      <c r="A8155" s="119"/>
      <c r="B8155" s="138" t="str">
        <f t="shared" si="648"/>
        <v>Aerated Static Pile</v>
      </c>
      <c r="C8155" s="138" t="str">
        <f t="shared" si="644"/>
        <v>Base_With Amendment</v>
      </c>
      <c r="D8155" s="138" t="s">
        <v>130</v>
      </c>
      <c r="E8155" s="138" t="str">
        <f t="shared" si="649"/>
        <v>Low</v>
      </c>
      <c r="F8155" s="138" t="str">
        <f t="shared" si="650"/>
        <v>Upgraded</v>
      </c>
      <c r="G8155" s="153"/>
      <c r="H8155" s="210">
        <v>0.12130000000000001</v>
      </c>
      <c r="I8155" s="160" t="s">
        <v>54</v>
      </c>
      <c r="J8155" s="160">
        <v>4.9800000000000001E-3</v>
      </c>
      <c r="K8155" s="160" t="s">
        <v>24</v>
      </c>
      <c r="L8155" s="154" t="str">
        <f>IF(OpenLCAbasic!K8155="CTUh", "Fill in Manually",IF(OR(K8155="Unit", K8155=""), "", INDEX(LookUps!$E$5:$E$12, MATCH(OpenLCAbasic!K8155,LookUps!$D$5:$D$12,0))))</f>
        <v>Acidification Potential (AP) - kg SO2 eq</v>
      </c>
      <c r="M8155" s="154" t="str">
        <f t="shared" si="642"/>
        <v>Low_Base_Upgraded_Acidification Potential (AP) - kg SO2 eq_Clear Cove Primary Clarification; wastewater treatment unit; at updated plant - US_Base_With Amendment_Aerated Static Pile</v>
      </c>
    </row>
    <row r="8156" spans="1:13" s="120" customFormat="1" x14ac:dyDescent="0.25">
      <c r="A8156" s="119"/>
      <c r="B8156" s="138" t="str">
        <f t="shared" si="648"/>
        <v>Aerated Static Pile</v>
      </c>
      <c r="C8156" s="138" t="str">
        <f t="shared" si="644"/>
        <v>Base_With Amendment</v>
      </c>
      <c r="D8156" s="138" t="s">
        <v>130</v>
      </c>
      <c r="E8156" s="138" t="str">
        <f t="shared" si="649"/>
        <v>Low</v>
      </c>
      <c r="F8156" s="138" t="str">
        <f t="shared" si="650"/>
        <v>Upgraded</v>
      </c>
      <c r="G8156" s="153"/>
      <c r="H8156" s="210">
        <v>0.1055</v>
      </c>
      <c r="I8156" s="160" t="s">
        <v>58</v>
      </c>
      <c r="J8156" s="160">
        <v>4.3299999999999996E-3</v>
      </c>
      <c r="K8156" s="160" t="s">
        <v>24</v>
      </c>
      <c r="L8156" s="154" t="str">
        <f>IF(OpenLCAbasic!K8156="CTUh", "Fill in Manually",IF(OR(K8156="Unit", K8156=""), "", INDEX(LookUps!$E$5:$E$12, MATCH(OpenLCAbasic!K8156,LookUps!$D$5:$D$12,0))))</f>
        <v>Acidification Potential (AP) - kg SO2 eq</v>
      </c>
      <c r="M8156" s="154" t="str">
        <f t="shared" si="642"/>
        <v>Low_Base_Upgraded_Acidification Potential (AP) - kg SO2 eq_Pre-Anoxic &amp; Swing tank; wastewater treatment unit; at updated plant - US_Base_With Amendment_Aerated Static Pile</v>
      </c>
    </row>
    <row r="8157" spans="1:13" s="120" customFormat="1" x14ac:dyDescent="0.25">
      <c r="A8157" s="119"/>
      <c r="B8157" s="138" t="str">
        <f t="shared" si="648"/>
        <v>Aerated Static Pile</v>
      </c>
      <c r="C8157" s="138" t="str">
        <f t="shared" si="644"/>
        <v>Base_With Amendment</v>
      </c>
      <c r="D8157" s="138" t="s">
        <v>130</v>
      </c>
      <c r="E8157" s="138" t="str">
        <f t="shared" si="649"/>
        <v>Low</v>
      </c>
      <c r="F8157" s="138" t="str">
        <f t="shared" si="650"/>
        <v>Upgraded</v>
      </c>
      <c r="G8157" s="153"/>
      <c r="H8157" s="210">
        <v>8.4099999999999994E-2</v>
      </c>
      <c r="I8157" s="160" t="s">
        <v>53</v>
      </c>
      <c r="J8157" s="160">
        <v>3.4499999999999999E-3</v>
      </c>
      <c r="K8157" s="160" t="s">
        <v>24</v>
      </c>
      <c r="L8157" s="154" t="str">
        <f>IF(OpenLCAbasic!K8157="CTUh", "Fill in Manually",IF(OR(K8157="Unit", K8157=""), "", INDEX(LookUps!$E$5:$E$12, MATCH(OpenLCAbasic!K8157,LookUps!$D$5:$D$12,0))))</f>
        <v>Acidification Potential (AP) - kg SO2 eq</v>
      </c>
      <c r="M8157" s="154" t="str">
        <f t="shared" si="642"/>
        <v>Low_Base_Upgraded_Acidification Potential (AP) - kg SO2 eq_Wet Well and Sump Station; wastewater treatment unit; at updated plant - US_Base_With Amendment_Aerated Static Pile</v>
      </c>
    </row>
    <row r="8158" spans="1:13" s="120" customFormat="1" x14ac:dyDescent="0.25">
      <c r="A8158" s="119"/>
      <c r="B8158" s="138" t="str">
        <f t="shared" si="648"/>
        <v>Aerated Static Pile</v>
      </c>
      <c r="C8158" s="138" t="str">
        <f t="shared" si="644"/>
        <v>Base_With Amendment</v>
      </c>
      <c r="D8158" s="138" t="s">
        <v>130</v>
      </c>
      <c r="E8158" s="138" t="str">
        <f t="shared" si="649"/>
        <v>Low</v>
      </c>
      <c r="F8158" s="138" t="str">
        <f t="shared" si="650"/>
        <v>Upgraded</v>
      </c>
      <c r="G8158" s="153"/>
      <c r="H8158" s="210">
        <v>7.2499999999999995E-2</v>
      </c>
      <c r="I8158" s="160" t="s">
        <v>62</v>
      </c>
      <c r="J8158" s="160">
        <v>2.97E-3</v>
      </c>
      <c r="K8158" s="160" t="s">
        <v>24</v>
      </c>
      <c r="L8158" s="154" t="str">
        <f>IF(OpenLCAbasic!K8158="CTUh", "Fill in Manually",IF(OR(K8158="Unit", K8158=""), "", INDEX(LookUps!$E$5:$E$12, MATCH(OpenLCAbasic!K8158,LookUps!$D$5:$D$12,0))))</f>
        <v>Acidification Potential (AP) - kg SO2 eq</v>
      </c>
      <c r="M8158" s="154" t="str">
        <f t="shared" si="642"/>
        <v>Low_Base_Upgraded_Acidification Potential (AP) - kg SO2 eq_Land application of compost; wastewater treatment unit; at updated plant - US_Base_With Amendment_Aerated Static Pile</v>
      </c>
    </row>
    <row r="8159" spans="1:13" s="120" customFormat="1" x14ac:dyDescent="0.25">
      <c r="A8159" s="119"/>
      <c r="B8159" s="138" t="str">
        <f t="shared" si="648"/>
        <v>Aerated Static Pile</v>
      </c>
      <c r="C8159" s="138" t="str">
        <f t="shared" si="644"/>
        <v>Base_With Amendment</v>
      </c>
      <c r="D8159" s="138" t="s">
        <v>130</v>
      </c>
      <c r="E8159" s="138" t="str">
        <f t="shared" si="649"/>
        <v>Low</v>
      </c>
      <c r="F8159" s="138" t="str">
        <f t="shared" si="650"/>
        <v>Upgraded</v>
      </c>
      <c r="G8159" s="153"/>
      <c r="H8159" s="210">
        <v>5.79E-2</v>
      </c>
      <c r="I8159" s="160" t="s">
        <v>167</v>
      </c>
      <c r="J8159" s="160">
        <v>2.3800000000000002E-3</v>
      </c>
      <c r="K8159" s="160" t="s">
        <v>24</v>
      </c>
      <c r="L8159" s="154" t="str">
        <f>IF(OpenLCAbasic!K8159="CTUh", "Fill in Manually",IF(OR(K8159="Unit", K8159=""), "", INDEX(LookUps!$E$5:$E$12, MATCH(OpenLCAbasic!K8159,LookUps!$D$5:$D$12,0))))</f>
        <v>Acidification Potential (AP) - kg SO2 eq</v>
      </c>
      <c r="M8159" s="154" t="str">
        <f t="shared" si="642"/>
        <v>Low_Base_Upgraded_Acidification Potential (AP) - kg SO2 eq_Waste Receiving and Holding; wastewater treatment unit; at updated plant - US_Base_With Amendment_Aerated Static Pile</v>
      </c>
    </row>
    <row r="8160" spans="1:13" s="120" customFormat="1" x14ac:dyDescent="0.25">
      <c r="A8160" s="119"/>
      <c r="B8160" s="138" t="str">
        <f t="shared" si="648"/>
        <v>Aerated Static Pile</v>
      </c>
      <c r="C8160" s="138" t="str">
        <f t="shared" si="644"/>
        <v>Base_With Amendment</v>
      </c>
      <c r="D8160" s="138" t="s">
        <v>130</v>
      </c>
      <c r="E8160" s="138" t="str">
        <f t="shared" si="649"/>
        <v>Low</v>
      </c>
      <c r="F8160" s="138" t="str">
        <f t="shared" si="650"/>
        <v>Upgraded</v>
      </c>
      <c r="G8160" s="153"/>
      <c r="H8160" s="210">
        <v>5.04E-2</v>
      </c>
      <c r="I8160" s="160" t="s">
        <v>147</v>
      </c>
      <c r="J8160" s="160">
        <v>2.0699999999999998E-3</v>
      </c>
      <c r="K8160" s="160" t="s">
        <v>24</v>
      </c>
      <c r="L8160" s="154" t="str">
        <f>IF(OpenLCAbasic!K8160="CTUh", "Fill in Manually",IF(OR(K8160="Unit", K8160=""), "", INDEX(LookUps!$E$5:$E$12, MATCH(OpenLCAbasic!K8160,LookUps!$D$5:$D$12,0))))</f>
        <v>Acidification Potential (AP) - kg SO2 eq</v>
      </c>
      <c r="M8160" s="154" t="str">
        <f t="shared" si="642"/>
        <v>Low_Base_Upgraded_Acidification Potential (AP) - kg SO2 eq_Influent Pump Station; wastewater treatment unit; at updated plant - US_Base_With Amendment_Aerated Static Pile</v>
      </c>
    </row>
    <row r="8161" spans="1:13" s="120" customFormat="1" x14ac:dyDescent="0.25">
      <c r="A8161" s="119"/>
      <c r="B8161" s="138" t="str">
        <f t="shared" si="648"/>
        <v>Aerated Static Pile</v>
      </c>
      <c r="C8161" s="138" t="str">
        <f t="shared" si="644"/>
        <v>Base_With Amendment</v>
      </c>
      <c r="D8161" s="138" t="s">
        <v>130</v>
      </c>
      <c r="E8161" s="138" t="str">
        <f t="shared" si="649"/>
        <v>Low</v>
      </c>
      <c r="F8161" s="138" t="str">
        <f t="shared" si="650"/>
        <v>Upgraded</v>
      </c>
      <c r="G8161" s="153"/>
      <c r="H8161" s="210">
        <v>0.03</v>
      </c>
      <c r="I8161" s="160" t="s">
        <v>128</v>
      </c>
      <c r="J8161" s="160">
        <v>1.23E-3</v>
      </c>
      <c r="K8161" s="160" t="s">
        <v>24</v>
      </c>
      <c r="L8161" s="154" t="str">
        <f>IF(OpenLCAbasic!K8161="CTUh", "Fill in Manually",IF(OR(K8161="Unit", K8161=""), "", INDEX(LookUps!$E$5:$E$12, MATCH(OpenLCAbasic!K8161,LookUps!$D$5:$D$12,0))))</f>
        <v>Acidification Potential (AP) - kg SO2 eq</v>
      </c>
      <c r="M8161" s="154" t="str">
        <f t="shared" si="642"/>
        <v>Low_Base_Upgraded_Acidification Potential (AP) - kg SO2 eq_Wastewater collection; operation and infrastructure; m3 wastewater_Base_With Amendment_Aerated Static Pile</v>
      </c>
    </row>
    <row r="8162" spans="1:13" s="120" customFormat="1" x14ac:dyDescent="0.25">
      <c r="A8162" s="119"/>
      <c r="B8162" s="138" t="str">
        <f t="shared" si="648"/>
        <v>Aerated Static Pile</v>
      </c>
      <c r="C8162" s="138" t="str">
        <f t="shared" si="644"/>
        <v>Base_With Amendment</v>
      </c>
      <c r="D8162" s="138" t="s">
        <v>130</v>
      </c>
      <c r="E8162" s="138" t="str">
        <f t="shared" si="649"/>
        <v>Low</v>
      </c>
      <c r="F8162" s="138" t="str">
        <f t="shared" si="650"/>
        <v>Upgraded</v>
      </c>
      <c r="G8162" s="153"/>
      <c r="H8162" s="210">
        <v>1.8800000000000001E-2</v>
      </c>
      <c r="I8162" s="160" t="s">
        <v>60</v>
      </c>
      <c r="J8162" s="160">
        <v>7.6999999999999996E-4</v>
      </c>
      <c r="K8162" s="160" t="s">
        <v>24</v>
      </c>
      <c r="L8162" s="154" t="str">
        <f>IF(OpenLCAbasic!K8162="CTUh", "Fill in Manually",IF(OR(K8162="Unit", K8162=""), "", INDEX(LookUps!$E$5:$E$12, MATCH(OpenLCAbasic!K8162,LookUps!$D$5:$D$12,0))))</f>
        <v>Acidification Potential (AP) - kg SO2 eq</v>
      </c>
      <c r="M8162" s="154" t="str">
        <f t="shared" si="642"/>
        <v>Low_Base_Upgraded_Acidification Potential (AP) - kg SO2 eq_Belt filter press; wastewater treatment unit; at updated plant - US_Base_With Amendment_Aerated Static Pile</v>
      </c>
    </row>
    <row r="8163" spans="1:13" s="120" customFormat="1" x14ac:dyDescent="0.25">
      <c r="A8163" s="119"/>
      <c r="B8163" s="138" t="str">
        <f t="shared" si="648"/>
        <v>Aerated Static Pile</v>
      </c>
      <c r="C8163" s="138" t="str">
        <f t="shared" si="644"/>
        <v>Base_With Amendment</v>
      </c>
      <c r="D8163" s="138" t="s">
        <v>130</v>
      </c>
      <c r="E8163" s="138" t="str">
        <f t="shared" si="649"/>
        <v>Low</v>
      </c>
      <c r="F8163" s="138" t="str">
        <f t="shared" si="650"/>
        <v>Upgraded</v>
      </c>
      <c r="G8163" s="153"/>
      <c r="H8163" s="210">
        <v>1.7100000000000001E-2</v>
      </c>
      <c r="I8163" s="160" t="s">
        <v>57</v>
      </c>
      <c r="J8163" s="160">
        <v>6.9999999999999999E-4</v>
      </c>
      <c r="K8163" s="160" t="s">
        <v>24</v>
      </c>
      <c r="L8163" s="154" t="str">
        <f>IF(OpenLCAbasic!K8163="CTUh", "Fill in Manually",IF(OR(K8163="Unit", K8163=""), "", INDEX(LookUps!$E$5:$E$12, MATCH(OpenLCAbasic!K8163,LookUps!$D$5:$D$12,0))))</f>
        <v>Acidification Potential (AP) - kg SO2 eq</v>
      </c>
      <c r="M8163" s="154" t="str">
        <f t="shared" si="642"/>
        <v>Low_Base_Upgraded_Acidification Potential (AP) - kg SO2 eq_Gravity Belt Thickener; wastewater treatment unit; at updated plant - US_Base_With Amendment_Aerated Static Pile</v>
      </c>
    </row>
    <row r="8164" spans="1:13" s="120" customFormat="1" x14ac:dyDescent="0.25">
      <c r="A8164" s="119"/>
      <c r="B8164" s="138" t="str">
        <f t="shared" si="648"/>
        <v>Aerated Static Pile</v>
      </c>
      <c r="C8164" s="138" t="str">
        <f t="shared" si="644"/>
        <v>Base_With Amendment</v>
      </c>
      <c r="D8164" s="138" t="s">
        <v>130</v>
      </c>
      <c r="E8164" s="138" t="str">
        <f t="shared" si="649"/>
        <v>Low</v>
      </c>
      <c r="F8164" s="138" t="str">
        <f t="shared" si="650"/>
        <v>Upgraded</v>
      </c>
      <c r="G8164" s="153"/>
      <c r="H8164" s="210">
        <v>1.26E-2</v>
      </c>
      <c r="I8164" s="160" t="s">
        <v>59</v>
      </c>
      <c r="J8164" s="160">
        <v>5.1999999999999995E-4</v>
      </c>
      <c r="K8164" s="160" t="s">
        <v>24</v>
      </c>
      <c r="L8164" s="154" t="str">
        <f>IF(OpenLCAbasic!K8164="CTUh", "Fill in Manually",IF(OR(K8164="Unit", K8164=""), "", INDEX(LookUps!$E$5:$E$12, MATCH(OpenLCAbasic!K8164,LookUps!$D$5:$D$12,0))))</f>
        <v>Acidification Potential (AP) - kg SO2 eq</v>
      </c>
      <c r="M8164" s="154" t="str">
        <f t="shared" si="642"/>
        <v>Low_Base_Upgraded_Acidification Potential (AP) - kg SO2 eq_Blend Tank; wastewater treatment unit; at updated plant - US_Base_With Amendment_Aerated Static Pile</v>
      </c>
    </row>
    <row r="8165" spans="1:13" s="120" customFormat="1" x14ac:dyDescent="0.25">
      <c r="A8165" s="119"/>
      <c r="B8165" s="138" t="str">
        <f t="shared" si="648"/>
        <v>Aerated Static Pile</v>
      </c>
      <c r="C8165" s="138" t="str">
        <f t="shared" si="644"/>
        <v>Base_With Amendment</v>
      </c>
      <c r="D8165" s="138" t="s">
        <v>130</v>
      </c>
      <c r="E8165" s="138" t="str">
        <f t="shared" si="649"/>
        <v>Low</v>
      </c>
      <c r="F8165" s="138" t="str">
        <f t="shared" si="650"/>
        <v>Upgraded</v>
      </c>
      <c r="G8165" s="153"/>
      <c r="H8165" s="210">
        <v>8.3999999999999995E-3</v>
      </c>
      <c r="I8165" s="160" t="s">
        <v>48</v>
      </c>
      <c r="J8165" s="160">
        <v>3.5E-4</v>
      </c>
      <c r="K8165" s="160" t="s">
        <v>24</v>
      </c>
      <c r="L8165" s="154" t="str">
        <f>IF(OpenLCAbasic!K8165="CTUh", "Fill in Manually",IF(OR(K8165="Unit", K8165=""), "", INDEX(LookUps!$E$5:$E$12, MATCH(OpenLCAbasic!K8165,LookUps!$D$5:$D$12,0))))</f>
        <v>Acidification Potential (AP) - kg SO2 eq</v>
      </c>
      <c r="M8165" s="154" t="str">
        <f t="shared" si="642"/>
        <v>Low_Base_Upgraded_Acidification Potential (AP) - kg SO2 eq_Effluent release; wastewater treatment unit; at surface water; m3 wastewater - US_Base_With Amendment_Aerated Static Pile</v>
      </c>
    </row>
    <row r="8166" spans="1:13" s="120" customFormat="1" x14ac:dyDescent="0.25">
      <c r="A8166" s="119"/>
      <c r="B8166" s="138" t="str">
        <f t="shared" si="648"/>
        <v>Aerated Static Pile</v>
      </c>
      <c r="C8166" s="138" t="str">
        <f t="shared" si="644"/>
        <v>Base_With Amendment</v>
      </c>
      <c r="D8166" s="138" t="s">
        <v>130</v>
      </c>
      <c r="E8166" s="138" t="str">
        <f t="shared" si="649"/>
        <v>Low</v>
      </c>
      <c r="F8166" s="138" t="str">
        <f t="shared" si="650"/>
        <v>Upgraded</v>
      </c>
      <c r="G8166" s="153"/>
      <c r="H8166" s="210">
        <v>6.1999999999999998E-3</v>
      </c>
      <c r="I8166" s="160" t="s">
        <v>168</v>
      </c>
      <c r="J8166" s="160">
        <v>2.5999999999999998E-4</v>
      </c>
      <c r="K8166" s="160" t="s">
        <v>24</v>
      </c>
      <c r="L8166" s="154" t="str">
        <f>IF(OpenLCAbasic!K8166="CTUh", "Fill in Manually",IF(OR(K8166="Unit", K8166=""), "", INDEX(LookUps!$E$5:$E$12, MATCH(OpenLCAbasic!K8166,LookUps!$D$5:$D$12,0))))</f>
        <v>Acidification Potential (AP) - kg SO2 eq</v>
      </c>
      <c r="M8166" s="154" t="str">
        <f t="shared" si="642"/>
        <v>Low_Base_Upgraded_Acidification Potential (AP) - kg SO2 eq_ClearCove SCP; wastewater treatment unit; at updated plant - US_Base_With Amendment_Aerated Static Pile</v>
      </c>
    </row>
    <row r="8167" spans="1:13" s="120" customFormat="1" x14ac:dyDescent="0.25">
      <c r="A8167" s="119"/>
      <c r="B8167" s="138" t="str">
        <f t="shared" si="648"/>
        <v>Aerated Static Pile</v>
      </c>
      <c r="C8167" s="138" t="str">
        <f t="shared" si="644"/>
        <v>Base_With Amendment</v>
      </c>
      <c r="D8167" s="138" t="s">
        <v>130</v>
      </c>
      <c r="E8167" s="138" t="str">
        <f t="shared" si="649"/>
        <v>Low</v>
      </c>
      <c r="F8167" s="138" t="str">
        <f t="shared" si="650"/>
        <v>Upgraded</v>
      </c>
      <c r="G8167" s="153"/>
      <c r="H8167" s="210">
        <v>1E-3</v>
      </c>
      <c r="I8167" s="160" t="s">
        <v>148</v>
      </c>
      <c r="J8167" s="211">
        <v>4.0354700000000002E-5</v>
      </c>
      <c r="K8167" s="160" t="s">
        <v>24</v>
      </c>
      <c r="L8167" s="154" t="str">
        <f>IF(OpenLCAbasic!K8167="CTUh", "Fill in Manually",IF(OR(K8167="Unit", K8167=""), "", INDEX(LookUps!$E$5:$E$12, MATCH(OpenLCAbasic!K8167,LookUps!$D$5:$D$12,0))))</f>
        <v>Acidification Potential (AP) - kg SO2 eq</v>
      </c>
      <c r="M8167" s="154" t="str">
        <f t="shared" si="642"/>
        <v>Low_Base_Upgraded_Acidification Potential (AP) - kg SO2 eq_Control Building; at upgraded wastewater treatment plant - US_Base_With Amendment_Aerated Static Pile</v>
      </c>
    </row>
    <row r="8168" spans="1:13" s="120" customFormat="1" x14ac:dyDescent="0.25">
      <c r="A8168" s="119"/>
      <c r="B8168" s="138" t="str">
        <f t="shared" si="648"/>
        <v>Aerated Static Pile</v>
      </c>
      <c r="C8168" s="138" t="str">
        <f t="shared" si="644"/>
        <v>Base_With Amendment</v>
      </c>
      <c r="D8168" s="138" t="s">
        <v>130</v>
      </c>
      <c r="E8168" s="138" t="str">
        <f t="shared" si="649"/>
        <v>Low</v>
      </c>
      <c r="F8168" s="138" t="str">
        <f t="shared" si="650"/>
        <v>Upgraded</v>
      </c>
      <c r="G8168" s="153"/>
      <c r="H8168" s="210">
        <v>-0.15709999999999999</v>
      </c>
      <c r="I8168" s="160" t="s">
        <v>149</v>
      </c>
      <c r="J8168" s="160">
        <v>-6.45E-3</v>
      </c>
      <c r="K8168" s="160" t="s">
        <v>24</v>
      </c>
      <c r="L8168" s="154" t="str">
        <f>IF(OpenLCAbasic!K8168="CTUh", "Fill in Manually",IF(OR(K8168="Unit", K8168=""), "", INDEX(LookUps!$E$5:$E$12, MATCH(OpenLCAbasic!K8168,LookUps!$D$5:$D$12,0))))</f>
        <v>Acidification Potential (AP) - kg SO2 eq</v>
      </c>
      <c r="M8168" s="154" t="str">
        <f t="shared" si="642"/>
        <v>Low_Base_Upgraded_Acidification Potential (AP) - kg SO2 eq_Anaerobic Digestion; wastewater treatment unit; at updated plant - US_Base_With Amendment_Aerated Static Pile</v>
      </c>
    </row>
    <row r="8169" spans="1:13" s="120" customFormat="1" x14ac:dyDescent="0.25">
      <c r="A8169" s="119"/>
      <c r="B8169" s="138" t="str">
        <f t="shared" si="648"/>
        <v/>
      </c>
      <c r="C8169" s="138" t="str">
        <f t="shared" si="644"/>
        <v/>
      </c>
      <c r="D8169" s="138" t="str">
        <f t="shared" ref="D8169:D8203" si="651">IF(ISNUMBER($J8169),"Base_Base","")</f>
        <v/>
      </c>
      <c r="E8169" s="138" t="str">
        <f t="shared" si="649"/>
        <v/>
      </c>
      <c r="F8169" s="138" t="str">
        <f t="shared" si="650"/>
        <v/>
      </c>
      <c r="G8169" s="153" t="s">
        <v>51</v>
      </c>
      <c r="H8169" s="160"/>
      <c r="I8169" s="160" t="s">
        <v>47</v>
      </c>
      <c r="J8169" s="160" t="s">
        <v>52</v>
      </c>
      <c r="K8169" s="160" t="s">
        <v>27</v>
      </c>
      <c r="L8169" s="154" t="str">
        <f>IF(OpenLCAbasic!K8169="CTUh", "Fill in Manually",IF(OR(K8169="Unit", K8169=""), "", INDEX(LookUps!$E$5:$E$12, MATCH(OpenLCAbasic!K8169,LookUps!$D$5:$D$12,0))))</f>
        <v/>
      </c>
      <c r="M8169" s="154" t="str">
        <f t="shared" si="642"/>
        <v>____Process__</v>
      </c>
    </row>
    <row r="8170" spans="1:13" s="120" customFormat="1" x14ac:dyDescent="0.25">
      <c r="A8170" s="119"/>
      <c r="B8170" s="138" t="str">
        <f t="shared" si="648"/>
        <v>Aerated Static Pile</v>
      </c>
      <c r="C8170" s="138" t="str">
        <f t="shared" si="644"/>
        <v>Base_With Amendment</v>
      </c>
      <c r="D8170" s="138" t="s">
        <v>130</v>
      </c>
      <c r="E8170" s="138" t="str">
        <f t="shared" si="649"/>
        <v>Low</v>
      </c>
      <c r="F8170" s="138" t="str">
        <f t="shared" si="650"/>
        <v>Upgraded</v>
      </c>
      <c r="G8170" s="153"/>
      <c r="H8170" s="210">
        <v>0.3286</v>
      </c>
      <c r="I8170" s="160" t="s">
        <v>55</v>
      </c>
      <c r="J8170" s="160">
        <v>3.5330499999999998</v>
      </c>
      <c r="K8170" s="160" t="s">
        <v>15</v>
      </c>
      <c r="L8170" s="154" t="str">
        <f>IF(OpenLCAbasic!K8170="CTUh", "Fill in Manually",IF(OR(K8170="Unit", K8170=""), "", INDEX(LookUps!$E$5:$E$12, MATCH(OpenLCAbasic!K8170,LookUps!$D$5:$D$12,0))))</f>
        <v>Cumulative Energy Demand (CED) - MJ</v>
      </c>
      <c r="M8170" s="154" t="str">
        <f t="shared" si="642"/>
        <v>Low_Base_Upgraded_Cumulative Energy Demand (CED) - MJ_Aeration Tanks; wastewater treatment unit; at updated plant - US_Base_With Amendment_Aerated Static Pile</v>
      </c>
    </row>
    <row r="8171" spans="1:13" s="120" customFormat="1" x14ac:dyDescent="0.25">
      <c r="A8171" s="119"/>
      <c r="B8171" s="138" t="str">
        <f t="shared" si="648"/>
        <v>Aerated Static Pile</v>
      </c>
      <c r="C8171" s="138" t="str">
        <f t="shared" si="644"/>
        <v>Base_With Amendment</v>
      </c>
      <c r="D8171" s="138" t="s">
        <v>130</v>
      </c>
      <c r="E8171" s="138" t="str">
        <f t="shared" si="649"/>
        <v>Low</v>
      </c>
      <c r="F8171" s="138" t="str">
        <f t="shared" si="650"/>
        <v>Upgraded</v>
      </c>
      <c r="G8171" s="153"/>
      <c r="H8171" s="210">
        <v>0.32540000000000002</v>
      </c>
      <c r="I8171" s="160" t="s">
        <v>167</v>
      </c>
      <c r="J8171" s="160">
        <v>3.4982700000000002</v>
      </c>
      <c r="K8171" s="160" t="s">
        <v>15</v>
      </c>
      <c r="L8171" s="154" t="str">
        <f>IF(OpenLCAbasic!K8171="CTUh", "Fill in Manually",IF(OR(K8171="Unit", K8171=""), "", INDEX(LookUps!$E$5:$E$12, MATCH(OpenLCAbasic!K8171,LookUps!$D$5:$D$12,0))))</f>
        <v>Cumulative Energy Demand (CED) - MJ</v>
      </c>
      <c r="M8171" s="154" t="str">
        <f t="shared" si="642"/>
        <v>Low_Base_Upgraded_Cumulative Energy Demand (CED) - MJ_Waste Receiving and Holding; wastewater treatment unit; at updated plant - US_Base_With Amendment_Aerated Static Pile</v>
      </c>
    </row>
    <row r="8172" spans="1:13" s="120" customFormat="1" x14ac:dyDescent="0.25">
      <c r="A8172" s="119"/>
      <c r="B8172" s="138" t="str">
        <f t="shared" si="648"/>
        <v>Aerated Static Pile</v>
      </c>
      <c r="C8172" s="138" t="str">
        <f t="shared" si="644"/>
        <v>Base_With Amendment</v>
      </c>
      <c r="D8172" s="138" t="s">
        <v>130</v>
      </c>
      <c r="E8172" s="138" t="str">
        <f t="shared" si="649"/>
        <v>Low</v>
      </c>
      <c r="F8172" s="138" t="str">
        <f t="shared" si="650"/>
        <v>Upgraded</v>
      </c>
      <c r="G8172" s="153"/>
      <c r="H8172" s="210">
        <v>0.1162</v>
      </c>
      <c r="I8172" s="160" t="s">
        <v>435</v>
      </c>
      <c r="J8172" s="160">
        <v>1.2490300000000001</v>
      </c>
      <c r="K8172" s="160" t="s">
        <v>15</v>
      </c>
      <c r="L8172" s="154" t="str">
        <f>IF(OpenLCAbasic!K8172="CTUh", "Fill in Manually",IF(OR(K8172="Unit", K8172=""), "", INDEX(LookUps!$E$5:$E$12, MATCH(OpenLCAbasic!K8172,LookUps!$D$5:$D$12,0))))</f>
        <v>Cumulative Energy Demand (CED) - MJ</v>
      </c>
      <c r="M8172" s="154" t="str">
        <f t="shared" si="642"/>
        <v>Low_Base_Upgraded_Cumulative Energy Demand (CED) - MJ_Biosolids composting; aerated static pile; wastewater treatment unit; at updated plant - US_Base_With Amendment_Aerated Static Pile</v>
      </c>
    </row>
    <row r="8173" spans="1:13" s="120" customFormat="1" x14ac:dyDescent="0.25">
      <c r="A8173" s="119"/>
      <c r="B8173" s="138" t="str">
        <f t="shared" si="648"/>
        <v>Aerated Static Pile</v>
      </c>
      <c r="C8173" s="138" t="str">
        <f t="shared" si="644"/>
        <v>Base_With Amendment</v>
      </c>
      <c r="D8173" s="138" t="s">
        <v>130</v>
      </c>
      <c r="E8173" s="138" t="str">
        <f t="shared" si="649"/>
        <v>Low</v>
      </c>
      <c r="F8173" s="138" t="str">
        <f t="shared" si="650"/>
        <v>Upgraded</v>
      </c>
      <c r="G8173" s="153"/>
      <c r="H8173" s="210">
        <v>0.1082</v>
      </c>
      <c r="I8173" s="160" t="s">
        <v>54</v>
      </c>
      <c r="J8173" s="160">
        <v>1.16289</v>
      </c>
      <c r="K8173" s="160" t="s">
        <v>15</v>
      </c>
      <c r="L8173" s="154" t="str">
        <f>IF(OpenLCAbasic!K8173="CTUh", "Fill in Manually",IF(OR(K8173="Unit", K8173=""), "", INDEX(LookUps!$E$5:$E$12, MATCH(OpenLCAbasic!K8173,LookUps!$D$5:$D$12,0))))</f>
        <v>Cumulative Energy Demand (CED) - MJ</v>
      </c>
      <c r="M8173" s="154" t="str">
        <f t="shared" si="642"/>
        <v>Low_Base_Upgraded_Cumulative Energy Demand (CED) - MJ_Clear Cove Primary Clarification; wastewater treatment unit; at updated plant - US_Base_With Amendment_Aerated Static Pile</v>
      </c>
    </row>
    <row r="8174" spans="1:13" s="120" customFormat="1" x14ac:dyDescent="0.25">
      <c r="A8174" s="119"/>
      <c r="B8174" s="138" t="str">
        <f t="shared" si="648"/>
        <v>Aerated Static Pile</v>
      </c>
      <c r="C8174" s="138" t="str">
        <f t="shared" si="644"/>
        <v>Base_With Amendment</v>
      </c>
      <c r="D8174" s="138" t="s">
        <v>130</v>
      </c>
      <c r="E8174" s="138" t="str">
        <f t="shared" si="649"/>
        <v>Low</v>
      </c>
      <c r="F8174" s="138" t="str">
        <f t="shared" si="650"/>
        <v>Upgraded</v>
      </c>
      <c r="G8174" s="153"/>
      <c r="H8174" s="210">
        <v>8.2199999999999995E-2</v>
      </c>
      <c r="I8174" s="160" t="s">
        <v>58</v>
      </c>
      <c r="J8174" s="160">
        <v>0.88417000000000001</v>
      </c>
      <c r="K8174" s="160" t="s">
        <v>15</v>
      </c>
      <c r="L8174" s="154" t="str">
        <f>IF(OpenLCAbasic!K8174="CTUh", "Fill in Manually",IF(OR(K8174="Unit", K8174=""), "", INDEX(LookUps!$E$5:$E$12, MATCH(OpenLCAbasic!K8174,LookUps!$D$5:$D$12,0))))</f>
        <v>Cumulative Energy Demand (CED) - MJ</v>
      </c>
      <c r="M8174" s="154" t="str">
        <f t="shared" si="642"/>
        <v>Low_Base_Upgraded_Cumulative Energy Demand (CED) - MJ_Pre-Anoxic &amp; Swing tank; wastewater treatment unit; at updated plant - US_Base_With Amendment_Aerated Static Pile</v>
      </c>
    </row>
    <row r="8175" spans="1:13" s="120" customFormat="1" x14ac:dyDescent="0.25">
      <c r="A8175" s="119"/>
      <c r="B8175" s="138" t="str">
        <f t="shared" si="648"/>
        <v>Aerated Static Pile</v>
      </c>
      <c r="C8175" s="138" t="str">
        <f t="shared" si="644"/>
        <v>Base_With Amendment</v>
      </c>
      <c r="D8175" s="138" t="s">
        <v>130</v>
      </c>
      <c r="E8175" s="138" t="str">
        <f t="shared" si="649"/>
        <v>Low</v>
      </c>
      <c r="F8175" s="138" t="str">
        <f t="shared" si="650"/>
        <v>Upgraded</v>
      </c>
      <c r="G8175" s="153"/>
      <c r="H8175" s="210">
        <v>8.2100000000000006E-2</v>
      </c>
      <c r="I8175" s="160" t="s">
        <v>147</v>
      </c>
      <c r="J8175" s="160">
        <v>0.88297000000000003</v>
      </c>
      <c r="K8175" s="160" t="s">
        <v>15</v>
      </c>
      <c r="L8175" s="154" t="str">
        <f>IF(OpenLCAbasic!K8175="CTUh", "Fill in Manually",IF(OR(K8175="Unit", K8175=""), "", INDEX(LookUps!$E$5:$E$12, MATCH(OpenLCAbasic!K8175,LookUps!$D$5:$D$12,0))))</f>
        <v>Cumulative Energy Demand (CED) - MJ</v>
      </c>
      <c r="M8175" s="154" t="str">
        <f t="shared" si="642"/>
        <v>Low_Base_Upgraded_Cumulative Energy Demand (CED) - MJ_Influent Pump Station; wastewater treatment unit; at updated plant - US_Base_With Amendment_Aerated Static Pile</v>
      </c>
    </row>
    <row r="8176" spans="1:13" s="120" customFormat="1" x14ac:dyDescent="0.25">
      <c r="A8176" s="119"/>
      <c r="B8176" s="138" t="str">
        <f t="shared" si="648"/>
        <v>Aerated Static Pile</v>
      </c>
      <c r="C8176" s="138" t="str">
        <f t="shared" si="644"/>
        <v>Base_With Amendment</v>
      </c>
      <c r="D8176" s="138" t="s">
        <v>130</v>
      </c>
      <c r="E8176" s="138" t="str">
        <f t="shared" si="649"/>
        <v>Low</v>
      </c>
      <c r="F8176" s="138" t="str">
        <f t="shared" si="650"/>
        <v>Upgraded</v>
      </c>
      <c r="G8176" s="153"/>
      <c r="H8176" s="210">
        <v>6.4799999999999996E-2</v>
      </c>
      <c r="I8176" s="160" t="s">
        <v>53</v>
      </c>
      <c r="J8176" s="160">
        <v>0.69645000000000001</v>
      </c>
      <c r="K8176" s="160" t="s">
        <v>15</v>
      </c>
      <c r="L8176" s="154" t="str">
        <f>IF(OpenLCAbasic!K8176="CTUh", "Fill in Manually",IF(OR(K8176="Unit", K8176=""), "", INDEX(LookUps!$E$5:$E$12, MATCH(OpenLCAbasic!K8176,LookUps!$D$5:$D$12,0))))</f>
        <v>Cumulative Energy Demand (CED) - MJ</v>
      </c>
      <c r="M8176" s="154" t="str">
        <f t="shared" si="642"/>
        <v>Low_Base_Upgraded_Cumulative Energy Demand (CED) - MJ_Wet Well and Sump Station; wastewater treatment unit; at updated plant - US_Base_With Amendment_Aerated Static Pile</v>
      </c>
    </row>
    <row r="8177" spans="1:13" s="120" customFormat="1" x14ac:dyDescent="0.25">
      <c r="A8177" s="119"/>
      <c r="B8177" s="138" t="str">
        <f t="shared" si="648"/>
        <v>Aerated Static Pile</v>
      </c>
      <c r="C8177" s="138" t="str">
        <f t="shared" si="644"/>
        <v>Base_With Amendment</v>
      </c>
      <c r="D8177" s="138" t="s">
        <v>130</v>
      </c>
      <c r="E8177" s="138" t="str">
        <f t="shared" si="649"/>
        <v>Low</v>
      </c>
      <c r="F8177" s="138" t="str">
        <f t="shared" si="650"/>
        <v>Upgraded</v>
      </c>
      <c r="G8177" s="153"/>
      <c r="H8177" s="210">
        <v>3.1099999999999999E-2</v>
      </c>
      <c r="I8177" s="160" t="s">
        <v>57</v>
      </c>
      <c r="J8177" s="160">
        <v>0.33404</v>
      </c>
      <c r="K8177" s="160" t="s">
        <v>15</v>
      </c>
      <c r="L8177" s="154" t="str">
        <f>IF(OpenLCAbasic!K8177="CTUh", "Fill in Manually",IF(OR(K8177="Unit", K8177=""), "", INDEX(LookUps!$E$5:$E$12, MATCH(OpenLCAbasic!K8177,LookUps!$D$5:$D$12,0))))</f>
        <v>Cumulative Energy Demand (CED) - MJ</v>
      </c>
      <c r="M8177" s="154" t="str">
        <f t="shared" si="642"/>
        <v>Low_Base_Upgraded_Cumulative Energy Demand (CED) - MJ_Gravity Belt Thickener; wastewater treatment unit; at updated plant - US_Base_With Amendment_Aerated Static Pile</v>
      </c>
    </row>
    <row r="8178" spans="1:13" s="120" customFormat="1" x14ac:dyDescent="0.25">
      <c r="A8178" s="119"/>
      <c r="B8178" s="138" t="str">
        <f t="shared" si="648"/>
        <v>Aerated Static Pile</v>
      </c>
      <c r="C8178" s="138" t="str">
        <f t="shared" si="644"/>
        <v>Base_With Amendment</v>
      </c>
      <c r="D8178" s="138" t="s">
        <v>130</v>
      </c>
      <c r="E8178" s="138" t="str">
        <f t="shared" si="649"/>
        <v>Low</v>
      </c>
      <c r="F8178" s="138" t="str">
        <f t="shared" si="650"/>
        <v>Upgraded</v>
      </c>
      <c r="G8178" s="153"/>
      <c r="H8178" s="210">
        <v>2.6800000000000001E-2</v>
      </c>
      <c r="I8178" s="160" t="s">
        <v>60</v>
      </c>
      <c r="J8178" s="160">
        <v>0.28833999999999999</v>
      </c>
      <c r="K8178" s="160" t="s">
        <v>15</v>
      </c>
      <c r="L8178" s="154" t="str">
        <f>IF(OpenLCAbasic!K8178="CTUh", "Fill in Manually",IF(OR(K8178="Unit", K8178=""), "", INDEX(LookUps!$E$5:$E$12, MATCH(OpenLCAbasic!K8178,LookUps!$D$5:$D$12,0))))</f>
        <v>Cumulative Energy Demand (CED) - MJ</v>
      </c>
      <c r="M8178" s="154" t="str">
        <f t="shared" si="642"/>
        <v>Low_Base_Upgraded_Cumulative Energy Demand (CED) - MJ_Belt filter press; wastewater treatment unit; at updated plant - US_Base_With Amendment_Aerated Static Pile</v>
      </c>
    </row>
    <row r="8179" spans="1:13" s="120" customFormat="1" x14ac:dyDescent="0.25">
      <c r="A8179" s="119"/>
      <c r="B8179" s="138" t="str">
        <f t="shared" si="648"/>
        <v>Aerated Static Pile</v>
      </c>
      <c r="C8179" s="138" t="str">
        <f t="shared" si="644"/>
        <v>Base_With Amendment</v>
      </c>
      <c r="D8179" s="138" t="s">
        <v>130</v>
      </c>
      <c r="E8179" s="138" t="str">
        <f t="shared" si="649"/>
        <v>Low</v>
      </c>
      <c r="F8179" s="138" t="str">
        <f t="shared" si="650"/>
        <v>Upgraded</v>
      </c>
      <c r="G8179" s="153"/>
      <c r="H8179" s="210">
        <v>2.3800000000000002E-2</v>
      </c>
      <c r="I8179" s="160" t="s">
        <v>128</v>
      </c>
      <c r="J8179" s="160">
        <v>0.25606000000000001</v>
      </c>
      <c r="K8179" s="160" t="s">
        <v>15</v>
      </c>
      <c r="L8179" s="154" t="str">
        <f>IF(OpenLCAbasic!K8179="CTUh", "Fill in Manually",IF(OR(K8179="Unit", K8179=""), "", INDEX(LookUps!$E$5:$E$12, MATCH(OpenLCAbasic!K8179,LookUps!$D$5:$D$12,0))))</f>
        <v>Cumulative Energy Demand (CED) - MJ</v>
      </c>
      <c r="M8179" s="154" t="str">
        <f t="shared" si="642"/>
        <v>Low_Base_Upgraded_Cumulative Energy Demand (CED) - MJ_Wastewater collection; operation and infrastructure; m3 wastewater_Base_With Amendment_Aerated Static Pile</v>
      </c>
    </row>
    <row r="8180" spans="1:13" s="120" customFormat="1" x14ac:dyDescent="0.25">
      <c r="A8180" s="119"/>
      <c r="B8180" s="138" t="str">
        <f t="shared" si="648"/>
        <v>Aerated Static Pile</v>
      </c>
      <c r="C8180" s="138" t="str">
        <f t="shared" si="644"/>
        <v>Base_With Amendment</v>
      </c>
      <c r="D8180" s="138" t="s">
        <v>130</v>
      </c>
      <c r="E8180" s="138" t="str">
        <f t="shared" si="649"/>
        <v>Low</v>
      </c>
      <c r="F8180" s="138" t="str">
        <f t="shared" si="650"/>
        <v>Upgraded</v>
      </c>
      <c r="G8180" s="153"/>
      <c r="H8180" s="210">
        <v>1.3599999999999999E-2</v>
      </c>
      <c r="I8180" s="160" t="s">
        <v>148</v>
      </c>
      <c r="J8180" s="160">
        <v>0.14599000000000001</v>
      </c>
      <c r="K8180" s="160" t="s">
        <v>15</v>
      </c>
      <c r="L8180" s="154" t="str">
        <f>IF(OpenLCAbasic!K8180="CTUh", "Fill in Manually",IF(OR(K8180="Unit", K8180=""), "", INDEX(LookUps!$E$5:$E$12, MATCH(OpenLCAbasic!K8180,LookUps!$D$5:$D$12,0))))</f>
        <v>Cumulative Energy Demand (CED) - MJ</v>
      </c>
      <c r="M8180" s="154" t="str">
        <f t="shared" si="642"/>
        <v>Low_Base_Upgraded_Cumulative Energy Demand (CED) - MJ_Control Building; at upgraded wastewater treatment plant - US_Base_With Amendment_Aerated Static Pile</v>
      </c>
    </row>
    <row r="8181" spans="1:13" s="120" customFormat="1" x14ac:dyDescent="0.25">
      <c r="A8181" s="119"/>
      <c r="B8181" s="138" t="str">
        <f t="shared" si="648"/>
        <v>Aerated Static Pile</v>
      </c>
      <c r="C8181" s="138" t="str">
        <f t="shared" si="644"/>
        <v>Base_With Amendment</v>
      </c>
      <c r="D8181" s="138" t="s">
        <v>130</v>
      </c>
      <c r="E8181" s="138" t="str">
        <f t="shared" si="649"/>
        <v>Low</v>
      </c>
      <c r="F8181" s="138" t="str">
        <f t="shared" si="650"/>
        <v>Upgraded</v>
      </c>
      <c r="G8181" s="153"/>
      <c r="H8181" s="210">
        <v>1.24E-2</v>
      </c>
      <c r="I8181" s="160" t="s">
        <v>48</v>
      </c>
      <c r="J8181" s="160">
        <v>0.13321</v>
      </c>
      <c r="K8181" s="160" t="s">
        <v>15</v>
      </c>
      <c r="L8181" s="154" t="str">
        <f>IF(OpenLCAbasic!K8181="CTUh", "Fill in Manually",IF(OR(K8181="Unit", K8181=""), "", INDEX(LookUps!$E$5:$E$12, MATCH(OpenLCAbasic!K8181,LookUps!$D$5:$D$12,0))))</f>
        <v>Cumulative Energy Demand (CED) - MJ</v>
      </c>
      <c r="M8181" s="154" t="str">
        <f t="shared" si="642"/>
        <v>Low_Base_Upgraded_Cumulative Energy Demand (CED) - MJ_Effluent release; wastewater treatment unit; at surface water; m3 wastewater - US_Base_With Amendment_Aerated Static Pile</v>
      </c>
    </row>
    <row r="8182" spans="1:13" s="120" customFormat="1" x14ac:dyDescent="0.25">
      <c r="A8182" s="119"/>
      <c r="B8182" s="138" t="str">
        <f t="shared" si="648"/>
        <v>Aerated Static Pile</v>
      </c>
      <c r="C8182" s="138" t="str">
        <f t="shared" si="644"/>
        <v>Base_With Amendment</v>
      </c>
      <c r="D8182" s="138" t="s">
        <v>130</v>
      </c>
      <c r="E8182" s="138" t="str">
        <f t="shared" si="649"/>
        <v>Low</v>
      </c>
      <c r="F8182" s="138" t="str">
        <f t="shared" si="650"/>
        <v>Upgraded</v>
      </c>
      <c r="G8182" s="153"/>
      <c r="H8182" s="210">
        <v>9.9000000000000008E-3</v>
      </c>
      <c r="I8182" s="160" t="s">
        <v>59</v>
      </c>
      <c r="J8182" s="160">
        <v>0.10638</v>
      </c>
      <c r="K8182" s="160" t="s">
        <v>15</v>
      </c>
      <c r="L8182" s="154" t="str">
        <f>IF(OpenLCAbasic!K8182="CTUh", "Fill in Manually",IF(OR(K8182="Unit", K8182=""), "", INDEX(LookUps!$E$5:$E$12, MATCH(OpenLCAbasic!K8182,LookUps!$D$5:$D$12,0))))</f>
        <v>Cumulative Energy Demand (CED) - MJ</v>
      </c>
      <c r="M8182" s="154" t="str">
        <f t="shared" si="642"/>
        <v>Low_Base_Upgraded_Cumulative Energy Demand (CED) - MJ_Blend Tank; wastewater treatment unit; at updated plant - US_Base_With Amendment_Aerated Static Pile</v>
      </c>
    </row>
    <row r="8183" spans="1:13" s="120" customFormat="1" x14ac:dyDescent="0.25">
      <c r="A8183" s="119"/>
      <c r="B8183" s="138" t="str">
        <f t="shared" si="648"/>
        <v>Aerated Static Pile</v>
      </c>
      <c r="C8183" s="138" t="str">
        <f t="shared" si="644"/>
        <v>Base_With Amendment</v>
      </c>
      <c r="D8183" s="138" t="s">
        <v>130</v>
      </c>
      <c r="E8183" s="138" t="str">
        <f t="shared" si="649"/>
        <v>Low</v>
      </c>
      <c r="F8183" s="138" t="str">
        <f t="shared" si="650"/>
        <v>Upgraded</v>
      </c>
      <c r="G8183" s="153"/>
      <c r="H8183" s="210">
        <v>4.7000000000000002E-3</v>
      </c>
      <c r="I8183" s="160" t="s">
        <v>168</v>
      </c>
      <c r="J8183" s="160">
        <v>5.0930000000000003E-2</v>
      </c>
      <c r="K8183" s="160" t="s">
        <v>15</v>
      </c>
      <c r="L8183" s="154" t="str">
        <f>IF(OpenLCAbasic!K8183="CTUh", "Fill in Manually",IF(OR(K8183="Unit", K8183=""), "", INDEX(LookUps!$E$5:$E$12, MATCH(OpenLCAbasic!K8183,LookUps!$D$5:$D$12,0))))</f>
        <v>Cumulative Energy Demand (CED) - MJ</v>
      </c>
      <c r="M8183" s="154" t="str">
        <f t="shared" si="642"/>
        <v>Low_Base_Upgraded_Cumulative Energy Demand (CED) - MJ_ClearCove SCP; wastewater treatment unit; at updated plant - US_Base_With Amendment_Aerated Static Pile</v>
      </c>
    </row>
    <row r="8184" spans="1:13" s="120" customFormat="1" x14ac:dyDescent="0.25">
      <c r="A8184" s="119"/>
      <c r="B8184" s="138" t="str">
        <f t="shared" si="648"/>
        <v>Aerated Static Pile</v>
      </c>
      <c r="C8184" s="138" t="str">
        <f t="shared" si="644"/>
        <v>Base_With Amendment</v>
      </c>
      <c r="D8184" s="138" t="s">
        <v>130</v>
      </c>
      <c r="E8184" s="138" t="str">
        <f t="shared" si="649"/>
        <v>Low</v>
      </c>
      <c r="F8184" s="138" t="str">
        <f t="shared" si="650"/>
        <v>Upgraded</v>
      </c>
      <c r="G8184" s="153"/>
      <c r="H8184" s="210">
        <v>-4.3999999999999997E-2</v>
      </c>
      <c r="I8184" s="160" t="s">
        <v>62</v>
      </c>
      <c r="J8184" s="160">
        <v>-0.47294000000000003</v>
      </c>
      <c r="K8184" s="160" t="s">
        <v>15</v>
      </c>
      <c r="L8184" s="154" t="str">
        <f>IF(OpenLCAbasic!K8184="CTUh", "Fill in Manually",IF(OR(K8184="Unit", K8184=""), "", INDEX(LookUps!$E$5:$E$12, MATCH(OpenLCAbasic!K8184,LookUps!$D$5:$D$12,0))))</f>
        <v>Cumulative Energy Demand (CED) - MJ</v>
      </c>
      <c r="M8184" s="154" t="str">
        <f t="shared" si="642"/>
        <v>Low_Base_Upgraded_Cumulative Energy Demand (CED) - MJ_Land application of compost; wastewater treatment unit; at updated plant - US_Base_With Amendment_Aerated Static Pile</v>
      </c>
    </row>
    <row r="8185" spans="1:13" s="120" customFormat="1" x14ac:dyDescent="0.25">
      <c r="A8185" s="119"/>
      <c r="B8185" s="138" t="str">
        <f t="shared" si="648"/>
        <v>Aerated Static Pile</v>
      </c>
      <c r="C8185" s="138" t="str">
        <f t="shared" si="644"/>
        <v>Base_With Amendment</v>
      </c>
      <c r="D8185" s="138" t="s">
        <v>130</v>
      </c>
      <c r="E8185" s="138" t="str">
        <f t="shared" si="649"/>
        <v>Low</v>
      </c>
      <c r="F8185" s="138" t="str">
        <f t="shared" si="650"/>
        <v>Upgraded</v>
      </c>
      <c r="G8185" s="153"/>
      <c r="H8185" s="210">
        <v>-0.18579999999999999</v>
      </c>
      <c r="I8185" s="160" t="s">
        <v>149</v>
      </c>
      <c r="J8185" s="160">
        <v>-1.99752</v>
      </c>
      <c r="K8185" s="160" t="s">
        <v>15</v>
      </c>
      <c r="L8185" s="154" t="str">
        <f>IF(OpenLCAbasic!K8185="CTUh", "Fill in Manually",IF(OR(K8185="Unit", K8185=""), "", INDEX(LookUps!$E$5:$E$12, MATCH(OpenLCAbasic!K8185,LookUps!$D$5:$D$12,0))))</f>
        <v>Cumulative Energy Demand (CED) - MJ</v>
      </c>
      <c r="M8185" s="154" t="str">
        <f t="shared" si="642"/>
        <v>Low_Base_Upgraded_Cumulative Energy Demand (CED) - MJ_Anaerobic Digestion; wastewater treatment unit; at updated plant - US_Base_With Amendment_Aerated Static Pile</v>
      </c>
    </row>
    <row r="8186" spans="1:13" s="120" customFormat="1" x14ac:dyDescent="0.25">
      <c r="A8186" s="119"/>
      <c r="B8186" s="138" t="str">
        <f t="shared" si="648"/>
        <v/>
      </c>
      <c r="C8186" s="138" t="str">
        <f t="shared" si="644"/>
        <v/>
      </c>
      <c r="D8186" s="138" t="str">
        <f t="shared" si="651"/>
        <v/>
      </c>
      <c r="E8186" s="138" t="str">
        <f t="shared" si="649"/>
        <v/>
      </c>
      <c r="F8186" s="138" t="str">
        <f t="shared" si="650"/>
        <v/>
      </c>
      <c r="G8186" s="153" t="s">
        <v>51</v>
      </c>
      <c r="H8186" s="160"/>
      <c r="I8186" s="160" t="s">
        <v>47</v>
      </c>
      <c r="J8186" s="160" t="s">
        <v>52</v>
      </c>
      <c r="K8186" s="160" t="s">
        <v>27</v>
      </c>
      <c r="L8186" s="154" t="str">
        <f>IF(OpenLCAbasic!K8186="CTUh", "Fill in Manually",IF(OR(K8186="Unit", K8186=""), "", INDEX(LookUps!$E$5:$E$12, MATCH(OpenLCAbasic!K8186,LookUps!$D$5:$D$12,0))))</f>
        <v/>
      </c>
      <c r="M8186" s="154" t="str">
        <f t="shared" si="642"/>
        <v>____Process__</v>
      </c>
    </row>
    <row r="8187" spans="1:13" s="120" customFormat="1" x14ac:dyDescent="0.25">
      <c r="A8187" s="119"/>
      <c r="B8187" s="138" t="str">
        <f t="shared" si="648"/>
        <v>Aerated Static Pile</v>
      </c>
      <c r="C8187" s="138" t="str">
        <f t="shared" si="644"/>
        <v>Base_With Amendment</v>
      </c>
      <c r="D8187" s="138" t="s">
        <v>130</v>
      </c>
      <c r="E8187" s="138" t="str">
        <f t="shared" si="649"/>
        <v>Low</v>
      </c>
      <c r="F8187" s="138" t="str">
        <f t="shared" si="650"/>
        <v>Upgraded</v>
      </c>
      <c r="G8187" s="153"/>
      <c r="H8187" s="210">
        <v>0.75680000000000003</v>
      </c>
      <c r="I8187" s="160" t="s">
        <v>48</v>
      </c>
      <c r="J8187" s="160">
        <v>1.1610000000000001E-2</v>
      </c>
      <c r="K8187" s="160" t="s">
        <v>13</v>
      </c>
      <c r="L8187" s="154" t="str">
        <f>IF(OpenLCAbasic!K8187="CTUh", "Fill in Manually",IF(OR(K8187="Unit", K8187=""), "", INDEX(LookUps!$E$5:$E$12, MATCH(OpenLCAbasic!K8187,LookUps!$D$5:$D$12,0))))</f>
        <v>Eutrophication Potential (EP) - kg N eq</v>
      </c>
      <c r="M8187" s="154" t="str">
        <f t="shared" ref="M8187:M8250" si="652">CONCATENATE(E8187,"_",D8187,"_",F8187,"_",L8187, "_",I8187,"_", C8187,"_", B8187)</f>
        <v>Low_Base_Upgraded_Eutrophication Potential (EP) - kg N eq_Effluent release; wastewater treatment unit; at surface water; m3 wastewater - US_Base_With Amendment_Aerated Static Pile</v>
      </c>
    </row>
    <row r="8188" spans="1:13" s="120" customFormat="1" x14ac:dyDescent="0.25">
      <c r="A8188" s="119"/>
      <c r="B8188" s="138" t="str">
        <f t="shared" si="648"/>
        <v>Aerated Static Pile</v>
      </c>
      <c r="C8188" s="138" t="str">
        <f t="shared" si="644"/>
        <v>Base_With Amendment</v>
      </c>
      <c r="D8188" s="138" t="s">
        <v>130</v>
      </c>
      <c r="E8188" s="138" t="str">
        <f t="shared" si="649"/>
        <v>Low</v>
      </c>
      <c r="F8188" s="138" t="str">
        <f t="shared" si="650"/>
        <v>Upgraded</v>
      </c>
      <c r="G8188" s="153"/>
      <c r="H8188" s="210">
        <v>0.1386</v>
      </c>
      <c r="I8188" s="160" t="s">
        <v>62</v>
      </c>
      <c r="J8188" s="160">
        <v>2.1299999999999999E-3</v>
      </c>
      <c r="K8188" s="160" t="s">
        <v>13</v>
      </c>
      <c r="L8188" s="154" t="str">
        <f>IF(OpenLCAbasic!K8188="CTUh", "Fill in Manually",IF(OR(K8188="Unit", K8188=""), "", INDEX(LookUps!$E$5:$E$12, MATCH(OpenLCAbasic!K8188,LookUps!$D$5:$D$12,0))))</f>
        <v>Eutrophication Potential (EP) - kg N eq</v>
      </c>
      <c r="M8188" s="154" t="str">
        <f t="shared" si="652"/>
        <v>Low_Base_Upgraded_Eutrophication Potential (EP) - kg N eq_Land application of compost; wastewater treatment unit; at updated plant - US_Base_With Amendment_Aerated Static Pile</v>
      </c>
    </row>
    <row r="8189" spans="1:13" s="120" customFormat="1" x14ac:dyDescent="0.25">
      <c r="A8189" s="119"/>
      <c r="B8189" s="138" t="str">
        <f t="shared" si="648"/>
        <v>Aerated Static Pile</v>
      </c>
      <c r="C8189" s="138" t="str">
        <f t="shared" si="644"/>
        <v>Base_With Amendment</v>
      </c>
      <c r="D8189" s="138" t="s">
        <v>130</v>
      </c>
      <c r="E8189" s="138" t="str">
        <f t="shared" si="649"/>
        <v>Low</v>
      </c>
      <c r="F8189" s="138" t="str">
        <f t="shared" si="650"/>
        <v>Upgraded</v>
      </c>
      <c r="G8189" s="153"/>
      <c r="H8189" s="210">
        <v>3.56E-2</v>
      </c>
      <c r="I8189" s="160" t="s">
        <v>55</v>
      </c>
      <c r="J8189" s="160">
        <v>5.5000000000000003E-4</v>
      </c>
      <c r="K8189" s="160" t="s">
        <v>13</v>
      </c>
      <c r="L8189" s="154" t="str">
        <f>IF(OpenLCAbasic!K8189="CTUh", "Fill in Manually",IF(OR(K8189="Unit", K8189=""), "", INDEX(LookUps!$E$5:$E$12, MATCH(OpenLCAbasic!K8189,LookUps!$D$5:$D$12,0))))</f>
        <v>Eutrophication Potential (EP) - kg N eq</v>
      </c>
      <c r="M8189" s="154" t="str">
        <f t="shared" si="652"/>
        <v>Low_Base_Upgraded_Eutrophication Potential (EP) - kg N eq_Aeration Tanks; wastewater treatment unit; at updated plant - US_Base_With Amendment_Aerated Static Pile</v>
      </c>
    </row>
    <row r="8190" spans="1:13" s="120" customFormat="1" x14ac:dyDescent="0.25">
      <c r="A8190" s="119"/>
      <c r="B8190" s="138" t="str">
        <f t="shared" si="648"/>
        <v>Aerated Static Pile</v>
      </c>
      <c r="C8190" s="138" t="str">
        <f t="shared" si="644"/>
        <v>Base_With Amendment</v>
      </c>
      <c r="D8190" s="138" t="s">
        <v>130</v>
      </c>
      <c r="E8190" s="138" t="str">
        <f t="shared" si="649"/>
        <v>Low</v>
      </c>
      <c r="F8190" s="138" t="str">
        <f t="shared" si="650"/>
        <v>Upgraded</v>
      </c>
      <c r="G8190" s="153"/>
      <c r="H8190" s="210">
        <v>1.6299999999999999E-2</v>
      </c>
      <c r="I8190" s="160" t="s">
        <v>147</v>
      </c>
      <c r="J8190" s="160">
        <v>2.5000000000000001E-4</v>
      </c>
      <c r="K8190" s="160" t="s">
        <v>13</v>
      </c>
      <c r="L8190" s="154" t="str">
        <f>IF(OpenLCAbasic!K8190="CTUh", "Fill in Manually",IF(OR(K8190="Unit", K8190=""), "", INDEX(LookUps!$E$5:$E$12, MATCH(OpenLCAbasic!K8190,LookUps!$D$5:$D$12,0))))</f>
        <v>Eutrophication Potential (EP) - kg N eq</v>
      </c>
      <c r="M8190" s="154" t="str">
        <f t="shared" si="652"/>
        <v>Low_Base_Upgraded_Eutrophication Potential (EP) - kg N eq_Influent Pump Station; wastewater treatment unit; at updated plant - US_Base_With Amendment_Aerated Static Pile</v>
      </c>
    </row>
    <row r="8191" spans="1:13" s="120" customFormat="1" x14ac:dyDescent="0.25">
      <c r="A8191" s="119"/>
      <c r="B8191" s="138" t="str">
        <f t="shared" si="648"/>
        <v>Aerated Static Pile</v>
      </c>
      <c r="C8191" s="138" t="str">
        <f t="shared" si="644"/>
        <v>Base_With Amendment</v>
      </c>
      <c r="D8191" s="138" t="s">
        <v>130</v>
      </c>
      <c r="E8191" s="138" t="str">
        <f t="shared" si="649"/>
        <v>Low</v>
      </c>
      <c r="F8191" s="138" t="str">
        <f t="shared" si="650"/>
        <v>Upgraded</v>
      </c>
      <c r="G8191" s="153"/>
      <c r="H8191" s="210">
        <v>1.29E-2</v>
      </c>
      <c r="I8191" s="160" t="s">
        <v>54</v>
      </c>
      <c r="J8191" s="160">
        <v>2.0000000000000001E-4</v>
      </c>
      <c r="K8191" s="160" t="s">
        <v>13</v>
      </c>
      <c r="L8191" s="154" t="str">
        <f>IF(OpenLCAbasic!K8191="CTUh", "Fill in Manually",IF(OR(K8191="Unit", K8191=""), "", INDEX(LookUps!$E$5:$E$12, MATCH(OpenLCAbasic!K8191,LookUps!$D$5:$D$12,0))))</f>
        <v>Eutrophication Potential (EP) - kg N eq</v>
      </c>
      <c r="M8191" s="154" t="str">
        <f t="shared" si="652"/>
        <v>Low_Base_Upgraded_Eutrophication Potential (EP) - kg N eq_Clear Cove Primary Clarification; wastewater treatment unit; at updated plant - US_Base_With Amendment_Aerated Static Pile</v>
      </c>
    </row>
    <row r="8192" spans="1:13" s="120" customFormat="1" x14ac:dyDescent="0.25">
      <c r="A8192" s="119"/>
      <c r="B8192" s="138" t="str">
        <f t="shared" si="648"/>
        <v>Aerated Static Pile</v>
      </c>
      <c r="C8192" s="138" t="str">
        <f t="shared" si="644"/>
        <v>Base_With Amendment</v>
      </c>
      <c r="D8192" s="138" t="s">
        <v>130</v>
      </c>
      <c r="E8192" s="138" t="str">
        <f t="shared" si="649"/>
        <v>Low</v>
      </c>
      <c r="F8192" s="138" t="str">
        <f t="shared" si="650"/>
        <v>Upgraded</v>
      </c>
      <c r="G8192" s="153"/>
      <c r="H8192" s="210">
        <v>1.2500000000000001E-2</v>
      </c>
      <c r="I8192" s="160" t="s">
        <v>435</v>
      </c>
      <c r="J8192" s="160">
        <v>1.9000000000000001E-4</v>
      </c>
      <c r="K8192" s="160" t="s">
        <v>13</v>
      </c>
      <c r="L8192" s="154" t="str">
        <f>IF(OpenLCAbasic!K8192="CTUh", "Fill in Manually",IF(OR(K8192="Unit", K8192=""), "", INDEX(LookUps!$E$5:$E$12, MATCH(OpenLCAbasic!K8192,LookUps!$D$5:$D$12,0))))</f>
        <v>Eutrophication Potential (EP) - kg N eq</v>
      </c>
      <c r="M8192" s="154" t="str">
        <f t="shared" si="652"/>
        <v>Low_Base_Upgraded_Eutrophication Potential (EP) - kg N eq_Biosolids composting; aerated static pile; wastewater treatment unit; at updated plant - US_Base_With Amendment_Aerated Static Pile</v>
      </c>
    </row>
    <row r="8193" spans="1:13" s="120" customFormat="1" x14ac:dyDescent="0.25">
      <c r="A8193" s="119"/>
      <c r="B8193" s="138" t="str">
        <f t="shared" si="648"/>
        <v>Aerated Static Pile</v>
      </c>
      <c r="C8193" s="138" t="str">
        <f t="shared" si="644"/>
        <v>Base_With Amendment</v>
      </c>
      <c r="D8193" s="138" t="s">
        <v>130</v>
      </c>
      <c r="E8193" s="138" t="str">
        <f t="shared" si="649"/>
        <v>Low</v>
      </c>
      <c r="F8193" s="138" t="str">
        <f t="shared" si="650"/>
        <v>Upgraded</v>
      </c>
      <c r="G8193" s="153"/>
      <c r="H8193" s="210">
        <v>1.0699999999999999E-2</v>
      </c>
      <c r="I8193" s="160" t="s">
        <v>167</v>
      </c>
      <c r="J8193" s="160">
        <v>1.6000000000000001E-4</v>
      </c>
      <c r="K8193" s="160" t="s">
        <v>13</v>
      </c>
      <c r="L8193" s="154" t="str">
        <f>IF(OpenLCAbasic!K8193="CTUh", "Fill in Manually",IF(OR(K8193="Unit", K8193=""), "", INDEX(LookUps!$E$5:$E$12, MATCH(OpenLCAbasic!K8193,LookUps!$D$5:$D$12,0))))</f>
        <v>Eutrophication Potential (EP) - kg N eq</v>
      </c>
      <c r="M8193" s="154" t="str">
        <f t="shared" si="652"/>
        <v>Low_Base_Upgraded_Eutrophication Potential (EP) - kg N eq_Waste Receiving and Holding; wastewater treatment unit; at updated plant - US_Base_With Amendment_Aerated Static Pile</v>
      </c>
    </row>
    <row r="8194" spans="1:13" s="120" customFormat="1" x14ac:dyDescent="0.25">
      <c r="A8194" s="119"/>
      <c r="B8194" s="138" t="str">
        <f t="shared" si="648"/>
        <v>Aerated Static Pile</v>
      </c>
      <c r="C8194" s="138" t="str">
        <f t="shared" si="644"/>
        <v>Base_With Amendment</v>
      </c>
      <c r="D8194" s="138" t="s">
        <v>130</v>
      </c>
      <c r="E8194" s="138" t="str">
        <f t="shared" si="649"/>
        <v>Low</v>
      </c>
      <c r="F8194" s="138" t="str">
        <f t="shared" si="650"/>
        <v>Upgraded</v>
      </c>
      <c r="G8194" s="153"/>
      <c r="H8194" s="210">
        <v>8.8000000000000005E-3</v>
      </c>
      <c r="I8194" s="160" t="s">
        <v>58</v>
      </c>
      <c r="J8194" s="160">
        <v>1.3999999999999999E-4</v>
      </c>
      <c r="K8194" s="160" t="s">
        <v>13</v>
      </c>
      <c r="L8194" s="154" t="str">
        <f>IF(OpenLCAbasic!K8194="CTUh", "Fill in Manually",IF(OR(K8194="Unit", K8194=""), "", INDEX(LookUps!$E$5:$E$12, MATCH(OpenLCAbasic!K8194,LookUps!$D$5:$D$12,0))))</f>
        <v>Eutrophication Potential (EP) - kg N eq</v>
      </c>
      <c r="M8194" s="154" t="str">
        <f t="shared" si="652"/>
        <v>Low_Base_Upgraded_Eutrophication Potential (EP) - kg N eq_Pre-Anoxic &amp; Swing tank; wastewater treatment unit; at updated plant - US_Base_With Amendment_Aerated Static Pile</v>
      </c>
    </row>
    <row r="8195" spans="1:13" s="120" customFormat="1" x14ac:dyDescent="0.25">
      <c r="A8195" s="119"/>
      <c r="B8195" s="138" t="str">
        <f t="shared" si="648"/>
        <v>Aerated Static Pile</v>
      </c>
      <c r="C8195" s="138" t="str">
        <f t="shared" si="644"/>
        <v>Base_With Amendment</v>
      </c>
      <c r="D8195" s="138" t="s">
        <v>130</v>
      </c>
      <c r="E8195" s="138" t="str">
        <f t="shared" si="649"/>
        <v>Low</v>
      </c>
      <c r="F8195" s="138" t="str">
        <f t="shared" si="650"/>
        <v>Upgraded</v>
      </c>
      <c r="G8195" s="153"/>
      <c r="H8195" s="210">
        <v>7.0000000000000001E-3</v>
      </c>
      <c r="I8195" s="160" t="s">
        <v>53</v>
      </c>
      <c r="J8195" s="160">
        <v>1.1E-4</v>
      </c>
      <c r="K8195" s="160" t="s">
        <v>13</v>
      </c>
      <c r="L8195" s="154" t="str">
        <f>IF(OpenLCAbasic!K8195="CTUh", "Fill in Manually",IF(OR(K8195="Unit", K8195=""), "", INDEX(LookUps!$E$5:$E$12, MATCH(OpenLCAbasic!K8195,LookUps!$D$5:$D$12,0))))</f>
        <v>Eutrophication Potential (EP) - kg N eq</v>
      </c>
      <c r="M8195" s="154" t="str">
        <f t="shared" si="652"/>
        <v>Low_Base_Upgraded_Eutrophication Potential (EP) - kg N eq_Wet Well and Sump Station; wastewater treatment unit; at updated plant - US_Base_With Amendment_Aerated Static Pile</v>
      </c>
    </row>
    <row r="8196" spans="1:13" s="120" customFormat="1" x14ac:dyDescent="0.25">
      <c r="A8196" s="119"/>
      <c r="B8196" s="138" t="str">
        <f t="shared" si="648"/>
        <v>Aerated Static Pile</v>
      </c>
      <c r="C8196" s="138" t="str">
        <f t="shared" si="644"/>
        <v>Base_With Amendment</v>
      </c>
      <c r="D8196" s="138" t="s">
        <v>130</v>
      </c>
      <c r="E8196" s="138" t="str">
        <f t="shared" si="649"/>
        <v>Low</v>
      </c>
      <c r="F8196" s="138" t="str">
        <f t="shared" si="650"/>
        <v>Upgraded</v>
      </c>
      <c r="G8196" s="153"/>
      <c r="H8196" s="210">
        <v>3.8999999999999998E-3</v>
      </c>
      <c r="I8196" s="160" t="s">
        <v>57</v>
      </c>
      <c r="J8196" s="211">
        <v>6.0590300000000002E-5</v>
      </c>
      <c r="K8196" s="160" t="s">
        <v>13</v>
      </c>
      <c r="L8196" s="154" t="str">
        <f>IF(OpenLCAbasic!K8196="CTUh", "Fill in Manually",IF(OR(K8196="Unit", K8196=""), "", INDEX(LookUps!$E$5:$E$12, MATCH(OpenLCAbasic!K8196,LookUps!$D$5:$D$12,0))))</f>
        <v>Eutrophication Potential (EP) - kg N eq</v>
      </c>
      <c r="M8196" s="154" t="str">
        <f t="shared" si="652"/>
        <v>Low_Base_Upgraded_Eutrophication Potential (EP) - kg N eq_Gravity Belt Thickener; wastewater treatment unit; at updated plant - US_Base_With Amendment_Aerated Static Pile</v>
      </c>
    </row>
    <row r="8197" spans="1:13" s="120" customFormat="1" x14ac:dyDescent="0.25">
      <c r="A8197" s="119"/>
      <c r="B8197" s="138" t="str">
        <f t="shared" si="648"/>
        <v>Aerated Static Pile</v>
      </c>
      <c r="C8197" s="138" t="str">
        <f t="shared" si="644"/>
        <v>Base_With Amendment</v>
      </c>
      <c r="D8197" s="138" t="s">
        <v>130</v>
      </c>
      <c r="E8197" s="138" t="str">
        <f t="shared" si="649"/>
        <v>Low</v>
      </c>
      <c r="F8197" s="138" t="str">
        <f t="shared" si="650"/>
        <v>Upgraded</v>
      </c>
      <c r="G8197" s="153"/>
      <c r="H8197" s="210">
        <v>3.3E-3</v>
      </c>
      <c r="I8197" s="160" t="s">
        <v>60</v>
      </c>
      <c r="J8197" s="211">
        <v>5.06508E-5</v>
      </c>
      <c r="K8197" s="160" t="s">
        <v>13</v>
      </c>
      <c r="L8197" s="154" t="str">
        <f>IF(OpenLCAbasic!K8197="CTUh", "Fill in Manually",IF(OR(K8197="Unit", K8197=""), "", INDEX(LookUps!$E$5:$E$12, MATCH(OpenLCAbasic!K8197,LookUps!$D$5:$D$12,0))))</f>
        <v>Eutrophication Potential (EP) - kg N eq</v>
      </c>
      <c r="M8197" s="154" t="str">
        <f t="shared" si="652"/>
        <v>Low_Base_Upgraded_Eutrophication Potential (EP) - kg N eq_Belt filter press; wastewater treatment unit; at updated plant - US_Base_With Amendment_Aerated Static Pile</v>
      </c>
    </row>
    <row r="8198" spans="1:13" s="120" customFormat="1" x14ac:dyDescent="0.25">
      <c r="A8198" s="119"/>
      <c r="B8198" s="138" t="str">
        <f t="shared" si="648"/>
        <v>Aerated Static Pile</v>
      </c>
      <c r="C8198" s="138" t="str">
        <f t="shared" si="644"/>
        <v>Base_With Amendment</v>
      </c>
      <c r="D8198" s="138" t="s">
        <v>130</v>
      </c>
      <c r="E8198" s="138" t="str">
        <f t="shared" si="649"/>
        <v>Low</v>
      </c>
      <c r="F8198" s="138" t="str">
        <f t="shared" si="650"/>
        <v>Upgraded</v>
      </c>
      <c r="G8198" s="153"/>
      <c r="H8198" s="210">
        <v>2.3999999999999998E-3</v>
      </c>
      <c r="I8198" s="160" t="s">
        <v>128</v>
      </c>
      <c r="J8198" s="211">
        <v>3.7559799999999999E-5</v>
      </c>
      <c r="K8198" s="160" t="s">
        <v>13</v>
      </c>
      <c r="L8198" s="154" t="str">
        <f>IF(OpenLCAbasic!K8198="CTUh", "Fill in Manually",IF(OR(K8198="Unit", K8198=""), "", INDEX(LookUps!$E$5:$E$12, MATCH(OpenLCAbasic!K8198,LookUps!$D$5:$D$12,0))))</f>
        <v>Eutrophication Potential (EP) - kg N eq</v>
      </c>
      <c r="M8198" s="154" t="str">
        <f t="shared" si="652"/>
        <v>Low_Base_Upgraded_Eutrophication Potential (EP) - kg N eq_Wastewater collection; operation and infrastructure; m3 wastewater_Base_With Amendment_Aerated Static Pile</v>
      </c>
    </row>
    <row r="8199" spans="1:13" s="120" customFormat="1" x14ac:dyDescent="0.25">
      <c r="A8199" s="119"/>
      <c r="B8199" s="138" t="str">
        <f t="shared" si="648"/>
        <v>Aerated Static Pile</v>
      </c>
      <c r="C8199" s="138" t="str">
        <f t="shared" si="644"/>
        <v>Base_With Amendment</v>
      </c>
      <c r="D8199" s="138" t="s">
        <v>130</v>
      </c>
      <c r="E8199" s="138" t="str">
        <f t="shared" si="649"/>
        <v>Low</v>
      </c>
      <c r="F8199" s="138" t="str">
        <f t="shared" si="650"/>
        <v>Upgraded</v>
      </c>
      <c r="G8199" s="153"/>
      <c r="H8199" s="210">
        <v>2.3999999999999998E-3</v>
      </c>
      <c r="I8199" s="160" t="s">
        <v>148</v>
      </c>
      <c r="J8199" s="211">
        <v>3.6874600000000001E-5</v>
      </c>
      <c r="K8199" s="160" t="s">
        <v>13</v>
      </c>
      <c r="L8199" s="154" t="str">
        <f>IF(OpenLCAbasic!K8199="CTUh", "Fill in Manually",IF(OR(K8199="Unit", K8199=""), "", INDEX(LookUps!$E$5:$E$12, MATCH(OpenLCAbasic!K8199,LookUps!$D$5:$D$12,0))))</f>
        <v>Eutrophication Potential (EP) - kg N eq</v>
      </c>
      <c r="M8199" s="154" t="str">
        <f t="shared" si="652"/>
        <v>Low_Base_Upgraded_Eutrophication Potential (EP) - kg N eq_Control Building; at upgraded wastewater treatment plant - US_Base_With Amendment_Aerated Static Pile</v>
      </c>
    </row>
    <row r="8200" spans="1:13" s="120" customFormat="1" x14ac:dyDescent="0.25">
      <c r="A8200" s="119"/>
      <c r="B8200" s="138" t="str">
        <f t="shared" si="648"/>
        <v>Aerated Static Pile</v>
      </c>
      <c r="C8200" s="138" t="str">
        <f t="shared" si="644"/>
        <v>Base_With Amendment</v>
      </c>
      <c r="D8200" s="138" t="s">
        <v>130</v>
      </c>
      <c r="E8200" s="138" t="str">
        <f t="shared" si="649"/>
        <v>Low</v>
      </c>
      <c r="F8200" s="138" t="str">
        <f t="shared" si="650"/>
        <v>Upgraded</v>
      </c>
      <c r="G8200" s="153"/>
      <c r="H8200" s="210">
        <v>1.1000000000000001E-3</v>
      </c>
      <c r="I8200" s="160" t="s">
        <v>59</v>
      </c>
      <c r="J8200" s="211">
        <v>1.6215700000000001E-5</v>
      </c>
      <c r="K8200" s="160" t="s">
        <v>13</v>
      </c>
      <c r="L8200" s="154" t="str">
        <f>IF(OpenLCAbasic!K8200="CTUh", "Fill in Manually",IF(OR(K8200="Unit", K8200=""), "", INDEX(LookUps!$E$5:$E$12, MATCH(OpenLCAbasic!K8200,LookUps!$D$5:$D$12,0))))</f>
        <v>Eutrophication Potential (EP) - kg N eq</v>
      </c>
      <c r="M8200" s="154" t="str">
        <f t="shared" si="652"/>
        <v>Low_Base_Upgraded_Eutrophication Potential (EP) - kg N eq_Blend Tank; wastewater treatment unit; at updated plant - US_Base_With Amendment_Aerated Static Pile</v>
      </c>
    </row>
    <row r="8201" spans="1:13" s="120" customFormat="1" x14ac:dyDescent="0.25">
      <c r="A8201" s="119"/>
      <c r="B8201" s="138" t="str">
        <f t="shared" si="648"/>
        <v>Aerated Static Pile</v>
      </c>
      <c r="C8201" s="138" t="str">
        <f t="shared" ref="C8201:C8264" si="653">IF(ISNUMBER($J8201),"Base_With Amendment","")</f>
        <v>Base_With Amendment</v>
      </c>
      <c r="D8201" s="138" t="s">
        <v>130</v>
      </c>
      <c r="E8201" s="138" t="str">
        <f t="shared" si="649"/>
        <v>Low</v>
      </c>
      <c r="F8201" s="138" t="str">
        <f t="shared" si="650"/>
        <v>Upgraded</v>
      </c>
      <c r="G8201" s="153"/>
      <c r="H8201" s="210">
        <v>5.0000000000000001E-4</v>
      </c>
      <c r="I8201" s="160" t="s">
        <v>168</v>
      </c>
      <c r="J8201" s="211">
        <v>7.7567199999999995E-6</v>
      </c>
      <c r="K8201" s="160" t="s">
        <v>13</v>
      </c>
      <c r="L8201" s="154" t="str">
        <f>IF(OpenLCAbasic!K8201="CTUh", "Fill in Manually",IF(OR(K8201="Unit", K8201=""), "", INDEX(LookUps!$E$5:$E$12, MATCH(OpenLCAbasic!K8201,LookUps!$D$5:$D$12,0))))</f>
        <v>Eutrophication Potential (EP) - kg N eq</v>
      </c>
      <c r="M8201" s="154" t="str">
        <f t="shared" si="652"/>
        <v>Low_Base_Upgraded_Eutrophication Potential (EP) - kg N eq_ClearCove SCP; wastewater treatment unit; at updated plant - US_Base_With Amendment_Aerated Static Pile</v>
      </c>
    </row>
    <row r="8202" spans="1:13" s="120" customFormat="1" x14ac:dyDescent="0.25">
      <c r="A8202" s="119"/>
      <c r="B8202" s="138" t="str">
        <f t="shared" si="648"/>
        <v>Aerated Static Pile</v>
      </c>
      <c r="C8202" s="138" t="str">
        <f t="shared" si="653"/>
        <v>Base_With Amendment</v>
      </c>
      <c r="D8202" s="138" t="s">
        <v>130</v>
      </c>
      <c r="E8202" s="138" t="str">
        <f t="shared" si="649"/>
        <v>Low</v>
      </c>
      <c r="F8202" s="138" t="str">
        <f t="shared" si="650"/>
        <v>Upgraded</v>
      </c>
      <c r="G8202" s="153"/>
      <c r="H8202" s="210">
        <v>-1.29E-2</v>
      </c>
      <c r="I8202" s="160" t="s">
        <v>149</v>
      </c>
      <c r="J8202" s="160">
        <v>-2.0000000000000001E-4</v>
      </c>
      <c r="K8202" s="160" t="s">
        <v>13</v>
      </c>
      <c r="L8202" s="154" t="str">
        <f>IF(OpenLCAbasic!K8202="CTUh", "Fill in Manually",IF(OR(K8202="Unit", K8202=""), "", INDEX(LookUps!$E$5:$E$12, MATCH(OpenLCAbasic!K8202,LookUps!$D$5:$D$12,0))))</f>
        <v>Eutrophication Potential (EP) - kg N eq</v>
      </c>
      <c r="M8202" s="154" t="str">
        <f t="shared" si="652"/>
        <v>Low_Base_Upgraded_Eutrophication Potential (EP) - kg N eq_Anaerobic Digestion; wastewater treatment unit; at updated plant - US_Base_With Amendment_Aerated Static Pile</v>
      </c>
    </row>
    <row r="8203" spans="1:13" s="120" customFormat="1" x14ac:dyDescent="0.25">
      <c r="A8203" s="119"/>
      <c r="B8203" s="138" t="str">
        <f t="shared" si="648"/>
        <v/>
      </c>
      <c r="C8203" s="138" t="str">
        <f t="shared" si="653"/>
        <v/>
      </c>
      <c r="D8203" s="138" t="str">
        <f t="shared" si="651"/>
        <v/>
      </c>
      <c r="E8203" s="138" t="str">
        <f t="shared" si="649"/>
        <v/>
      </c>
      <c r="F8203" s="138" t="str">
        <f t="shared" si="650"/>
        <v/>
      </c>
      <c r="G8203" s="153" t="s">
        <v>51</v>
      </c>
      <c r="H8203" s="160"/>
      <c r="I8203" s="160" t="s">
        <v>47</v>
      </c>
      <c r="J8203" s="160" t="s">
        <v>52</v>
      </c>
      <c r="K8203" s="160" t="s">
        <v>27</v>
      </c>
      <c r="L8203" s="154" t="str">
        <f>IF(OpenLCAbasic!K8203="CTUh", "Fill in Manually",IF(OR(K8203="Unit", K8203=""), "", INDEX(LookUps!$E$5:$E$12, MATCH(OpenLCAbasic!K8203,LookUps!$D$5:$D$12,0))))</f>
        <v/>
      </c>
      <c r="M8203" s="154" t="str">
        <f t="shared" si="652"/>
        <v>____Process__</v>
      </c>
    </row>
    <row r="8204" spans="1:13" s="120" customFormat="1" x14ac:dyDescent="0.25">
      <c r="A8204" s="119"/>
      <c r="B8204" s="138" t="str">
        <f t="shared" si="648"/>
        <v>Aerated Static Pile</v>
      </c>
      <c r="C8204" s="138" t="str">
        <f t="shared" si="653"/>
        <v>Base_With Amendment</v>
      </c>
      <c r="D8204" s="138" t="s">
        <v>130</v>
      </c>
      <c r="E8204" s="138" t="str">
        <f t="shared" si="649"/>
        <v>Low</v>
      </c>
      <c r="F8204" s="138" t="str">
        <f t="shared" si="650"/>
        <v>Upgraded</v>
      </c>
      <c r="G8204" s="153"/>
      <c r="H8204" s="210">
        <v>0.38019999999999998</v>
      </c>
      <c r="I8204" s="160" t="s">
        <v>167</v>
      </c>
      <c r="J8204" s="160">
        <v>7.9170000000000004E-2</v>
      </c>
      <c r="K8204" s="160" t="s">
        <v>14</v>
      </c>
      <c r="L8204" s="154" t="str">
        <f>IF(OpenLCAbasic!K8204="CTUh", "Fill in Manually",IF(OR(K8204="Unit", K8204=""), "", INDEX(LookUps!$E$5:$E$12, MATCH(OpenLCAbasic!K8204,LookUps!$D$5:$D$12,0))))</f>
        <v>Fossil Depletion Potential (FDP) - kg oil eq</v>
      </c>
      <c r="M8204" s="154" t="str">
        <f t="shared" si="652"/>
        <v>Low_Base_Upgraded_Fossil Depletion Potential (FDP) - kg oil eq_Waste Receiving and Holding; wastewater treatment unit; at updated plant - US_Base_With Amendment_Aerated Static Pile</v>
      </c>
    </row>
    <row r="8205" spans="1:13" s="120" customFormat="1" x14ac:dyDescent="0.25">
      <c r="A8205" s="119"/>
      <c r="B8205" s="138" t="str">
        <f t="shared" si="648"/>
        <v>Aerated Static Pile</v>
      </c>
      <c r="C8205" s="138" t="str">
        <f t="shared" si="653"/>
        <v>Base_With Amendment</v>
      </c>
      <c r="D8205" s="138" t="s">
        <v>130</v>
      </c>
      <c r="E8205" s="138" t="str">
        <f t="shared" si="649"/>
        <v>Low</v>
      </c>
      <c r="F8205" s="138" t="str">
        <f t="shared" si="650"/>
        <v>Upgraded</v>
      </c>
      <c r="G8205" s="153"/>
      <c r="H8205" s="210">
        <v>0.30530000000000002</v>
      </c>
      <c r="I8205" s="160" t="s">
        <v>55</v>
      </c>
      <c r="J8205" s="160">
        <v>6.3589999999999994E-2</v>
      </c>
      <c r="K8205" s="160" t="s">
        <v>14</v>
      </c>
      <c r="L8205" s="154" t="str">
        <f>IF(OpenLCAbasic!K8205="CTUh", "Fill in Manually",IF(OR(K8205="Unit", K8205=""), "", INDEX(LookUps!$E$5:$E$12, MATCH(OpenLCAbasic!K8205,LookUps!$D$5:$D$12,0))))</f>
        <v>Fossil Depletion Potential (FDP) - kg oil eq</v>
      </c>
      <c r="M8205" s="154" t="str">
        <f t="shared" si="652"/>
        <v>Low_Base_Upgraded_Fossil Depletion Potential (FDP) - kg oil eq_Aeration Tanks; wastewater treatment unit; at updated plant - US_Base_With Amendment_Aerated Static Pile</v>
      </c>
    </row>
    <row r="8206" spans="1:13" s="120" customFormat="1" x14ac:dyDescent="0.25">
      <c r="A8206" s="119"/>
      <c r="B8206" s="138" t="str">
        <f t="shared" si="648"/>
        <v>Aerated Static Pile</v>
      </c>
      <c r="C8206" s="138" t="str">
        <f t="shared" si="653"/>
        <v>Base_With Amendment</v>
      </c>
      <c r="D8206" s="138" t="s">
        <v>130</v>
      </c>
      <c r="E8206" s="138" t="str">
        <f t="shared" si="649"/>
        <v>Low</v>
      </c>
      <c r="F8206" s="138" t="str">
        <f t="shared" si="650"/>
        <v>Upgraded</v>
      </c>
      <c r="G8206" s="153"/>
      <c r="H8206" s="210">
        <v>0.1081</v>
      </c>
      <c r="I8206" s="160" t="s">
        <v>435</v>
      </c>
      <c r="J8206" s="160">
        <v>2.2509999999999999E-2</v>
      </c>
      <c r="K8206" s="160" t="s">
        <v>14</v>
      </c>
      <c r="L8206" s="154" t="str">
        <f>IF(OpenLCAbasic!K8206="CTUh", "Fill in Manually",IF(OR(K8206="Unit", K8206=""), "", INDEX(LookUps!$E$5:$E$12, MATCH(OpenLCAbasic!K8206,LookUps!$D$5:$D$12,0))))</f>
        <v>Fossil Depletion Potential (FDP) - kg oil eq</v>
      </c>
      <c r="M8206" s="154" t="str">
        <f t="shared" si="652"/>
        <v>Low_Base_Upgraded_Fossil Depletion Potential (FDP) - kg oil eq_Biosolids composting; aerated static pile; wastewater treatment unit; at updated plant - US_Base_With Amendment_Aerated Static Pile</v>
      </c>
    </row>
    <row r="8207" spans="1:13" s="120" customFormat="1" x14ac:dyDescent="0.25">
      <c r="A8207" s="119"/>
      <c r="B8207" s="138" t="str">
        <f t="shared" si="648"/>
        <v>Aerated Static Pile</v>
      </c>
      <c r="C8207" s="138" t="str">
        <f t="shared" si="653"/>
        <v>Base_With Amendment</v>
      </c>
      <c r="D8207" s="138" t="s">
        <v>130</v>
      </c>
      <c r="E8207" s="138" t="str">
        <f t="shared" si="649"/>
        <v>Low</v>
      </c>
      <c r="F8207" s="138" t="str">
        <f t="shared" si="650"/>
        <v>Upgraded</v>
      </c>
      <c r="G8207" s="153"/>
      <c r="H8207" s="210">
        <v>0.1011</v>
      </c>
      <c r="I8207" s="160" t="s">
        <v>54</v>
      </c>
      <c r="J8207" s="160">
        <v>2.1049999999999999E-2</v>
      </c>
      <c r="K8207" s="160" t="s">
        <v>14</v>
      </c>
      <c r="L8207" s="154" t="str">
        <f>IF(OpenLCAbasic!K8207="CTUh", "Fill in Manually",IF(OR(K8207="Unit", K8207=""), "", INDEX(LookUps!$E$5:$E$12, MATCH(OpenLCAbasic!K8207,LookUps!$D$5:$D$12,0))))</f>
        <v>Fossil Depletion Potential (FDP) - kg oil eq</v>
      </c>
      <c r="M8207" s="154" t="str">
        <f t="shared" si="652"/>
        <v>Low_Base_Upgraded_Fossil Depletion Potential (FDP) - kg oil eq_Clear Cove Primary Clarification; wastewater treatment unit; at updated plant - US_Base_With Amendment_Aerated Static Pile</v>
      </c>
    </row>
    <row r="8208" spans="1:13" s="120" customFormat="1" x14ac:dyDescent="0.25">
      <c r="A8208" s="119"/>
      <c r="B8208" s="138" t="str">
        <f t="shared" si="648"/>
        <v>Aerated Static Pile</v>
      </c>
      <c r="C8208" s="138" t="str">
        <f t="shared" si="653"/>
        <v>Base_With Amendment</v>
      </c>
      <c r="D8208" s="138" t="s">
        <v>130</v>
      </c>
      <c r="E8208" s="138" t="str">
        <f t="shared" si="649"/>
        <v>Low</v>
      </c>
      <c r="F8208" s="138" t="str">
        <f t="shared" si="650"/>
        <v>Upgraded</v>
      </c>
      <c r="G8208" s="153"/>
      <c r="H8208" s="210">
        <v>7.6499999999999999E-2</v>
      </c>
      <c r="I8208" s="160" t="s">
        <v>58</v>
      </c>
      <c r="J8208" s="160">
        <v>1.592E-2</v>
      </c>
      <c r="K8208" s="160" t="s">
        <v>14</v>
      </c>
      <c r="L8208" s="154" t="str">
        <f>IF(OpenLCAbasic!K8208="CTUh", "Fill in Manually",IF(OR(K8208="Unit", K8208=""), "", INDEX(LookUps!$E$5:$E$12, MATCH(OpenLCAbasic!K8208,LookUps!$D$5:$D$12,0))))</f>
        <v>Fossil Depletion Potential (FDP) - kg oil eq</v>
      </c>
      <c r="M8208" s="154" t="str">
        <f t="shared" si="652"/>
        <v>Low_Base_Upgraded_Fossil Depletion Potential (FDP) - kg oil eq_Pre-Anoxic &amp; Swing tank; wastewater treatment unit; at updated plant - US_Base_With Amendment_Aerated Static Pile</v>
      </c>
    </row>
    <row r="8209" spans="1:13" s="120" customFormat="1" x14ac:dyDescent="0.25">
      <c r="A8209" s="119"/>
      <c r="B8209" s="138" t="str">
        <f t="shared" si="648"/>
        <v>Aerated Static Pile</v>
      </c>
      <c r="C8209" s="138" t="str">
        <f t="shared" si="653"/>
        <v>Base_With Amendment</v>
      </c>
      <c r="D8209" s="138" t="s">
        <v>130</v>
      </c>
      <c r="E8209" s="138" t="str">
        <f t="shared" si="649"/>
        <v>Low</v>
      </c>
      <c r="F8209" s="138" t="str">
        <f t="shared" si="650"/>
        <v>Upgraded</v>
      </c>
      <c r="G8209" s="153"/>
      <c r="H8209" s="210">
        <v>7.2400000000000006E-2</v>
      </c>
      <c r="I8209" s="160" t="s">
        <v>147</v>
      </c>
      <c r="J8209" s="160">
        <v>1.5089999999999999E-2</v>
      </c>
      <c r="K8209" s="160" t="s">
        <v>14</v>
      </c>
      <c r="L8209" s="154" t="str">
        <f>IF(OpenLCAbasic!K8209="CTUh", "Fill in Manually",IF(OR(K8209="Unit", K8209=""), "", INDEX(LookUps!$E$5:$E$12, MATCH(OpenLCAbasic!K8209,LookUps!$D$5:$D$12,0))))</f>
        <v>Fossil Depletion Potential (FDP) - kg oil eq</v>
      </c>
      <c r="M8209" s="154" t="str">
        <f t="shared" si="652"/>
        <v>Low_Base_Upgraded_Fossil Depletion Potential (FDP) - kg oil eq_Influent Pump Station; wastewater treatment unit; at updated plant - US_Base_With Amendment_Aerated Static Pile</v>
      </c>
    </row>
    <row r="8210" spans="1:13" s="120" customFormat="1" x14ac:dyDescent="0.25">
      <c r="A8210" s="119"/>
      <c r="B8210" s="138" t="str">
        <f t="shared" si="648"/>
        <v>Aerated Static Pile</v>
      </c>
      <c r="C8210" s="138" t="str">
        <f t="shared" si="653"/>
        <v>Base_With Amendment</v>
      </c>
      <c r="D8210" s="138" t="s">
        <v>130</v>
      </c>
      <c r="E8210" s="138" t="str">
        <f t="shared" si="649"/>
        <v>Low</v>
      </c>
      <c r="F8210" s="138" t="str">
        <f t="shared" si="650"/>
        <v>Upgraded</v>
      </c>
      <c r="G8210" s="153"/>
      <c r="H8210" s="210">
        <v>0.06</v>
      </c>
      <c r="I8210" s="160" t="s">
        <v>53</v>
      </c>
      <c r="J8210" s="160">
        <v>1.2489999999999999E-2</v>
      </c>
      <c r="K8210" s="160" t="s">
        <v>14</v>
      </c>
      <c r="L8210" s="154" t="str">
        <f>IF(OpenLCAbasic!K8210="CTUh", "Fill in Manually",IF(OR(K8210="Unit", K8210=""), "", INDEX(LookUps!$E$5:$E$12, MATCH(OpenLCAbasic!K8210,LookUps!$D$5:$D$12,0))))</f>
        <v>Fossil Depletion Potential (FDP) - kg oil eq</v>
      </c>
      <c r="M8210" s="154" t="str">
        <f t="shared" si="652"/>
        <v>Low_Base_Upgraded_Fossil Depletion Potential (FDP) - kg oil eq_Wet Well and Sump Station; wastewater treatment unit; at updated plant - US_Base_With Amendment_Aerated Static Pile</v>
      </c>
    </row>
    <row r="8211" spans="1:13" s="120" customFormat="1" x14ac:dyDescent="0.25">
      <c r="A8211" s="119"/>
      <c r="B8211" s="138" t="str">
        <f t="shared" si="648"/>
        <v>Aerated Static Pile</v>
      </c>
      <c r="C8211" s="138" t="str">
        <f t="shared" si="653"/>
        <v>Base_With Amendment</v>
      </c>
      <c r="D8211" s="138" t="s">
        <v>130</v>
      </c>
      <c r="E8211" s="138" t="str">
        <f t="shared" si="649"/>
        <v>Low</v>
      </c>
      <c r="F8211" s="138" t="str">
        <f t="shared" si="650"/>
        <v>Upgraded</v>
      </c>
      <c r="G8211" s="153"/>
      <c r="H8211" s="210">
        <v>3.32E-2</v>
      </c>
      <c r="I8211" s="160" t="s">
        <v>57</v>
      </c>
      <c r="J8211" s="160">
        <v>6.9199999999999999E-3</v>
      </c>
      <c r="K8211" s="160" t="s">
        <v>14</v>
      </c>
      <c r="L8211" s="154" t="str">
        <f>IF(OpenLCAbasic!K8211="CTUh", "Fill in Manually",IF(OR(K8211="Unit", K8211=""), "", INDEX(LookUps!$E$5:$E$12, MATCH(OpenLCAbasic!K8211,LookUps!$D$5:$D$12,0))))</f>
        <v>Fossil Depletion Potential (FDP) - kg oil eq</v>
      </c>
      <c r="M8211" s="154" t="str">
        <f t="shared" si="652"/>
        <v>Low_Base_Upgraded_Fossil Depletion Potential (FDP) - kg oil eq_Gravity Belt Thickener; wastewater treatment unit; at updated plant - US_Base_With Amendment_Aerated Static Pile</v>
      </c>
    </row>
    <row r="8212" spans="1:13" s="120" customFormat="1" x14ac:dyDescent="0.25">
      <c r="A8212" s="119"/>
      <c r="B8212" s="138" t="str">
        <f t="shared" si="648"/>
        <v>Aerated Static Pile</v>
      </c>
      <c r="C8212" s="138" t="str">
        <f t="shared" si="653"/>
        <v>Base_With Amendment</v>
      </c>
      <c r="D8212" s="138" t="s">
        <v>130</v>
      </c>
      <c r="E8212" s="138" t="str">
        <f t="shared" si="649"/>
        <v>Low</v>
      </c>
      <c r="F8212" s="138" t="str">
        <f t="shared" si="650"/>
        <v>Upgraded</v>
      </c>
      <c r="G8212" s="153"/>
      <c r="H8212" s="210">
        <v>2.7900000000000001E-2</v>
      </c>
      <c r="I8212" s="160" t="s">
        <v>60</v>
      </c>
      <c r="J8212" s="160">
        <v>5.8100000000000001E-3</v>
      </c>
      <c r="K8212" s="160" t="s">
        <v>14</v>
      </c>
      <c r="L8212" s="154" t="str">
        <f>IF(OpenLCAbasic!K8212="CTUh", "Fill in Manually",IF(OR(K8212="Unit", K8212=""), "", INDEX(LookUps!$E$5:$E$12, MATCH(OpenLCAbasic!K8212,LookUps!$D$5:$D$12,0))))</f>
        <v>Fossil Depletion Potential (FDP) - kg oil eq</v>
      </c>
      <c r="M8212" s="154" t="str">
        <f t="shared" si="652"/>
        <v>Low_Base_Upgraded_Fossil Depletion Potential (FDP) - kg oil eq_Belt filter press; wastewater treatment unit; at updated plant - US_Base_With Amendment_Aerated Static Pile</v>
      </c>
    </row>
    <row r="8213" spans="1:13" s="120" customFormat="1" x14ac:dyDescent="0.25">
      <c r="A8213" s="119"/>
      <c r="B8213" s="138" t="str">
        <f t="shared" si="648"/>
        <v>Aerated Static Pile</v>
      </c>
      <c r="C8213" s="138" t="str">
        <f t="shared" si="653"/>
        <v>Base_With Amendment</v>
      </c>
      <c r="D8213" s="138" t="s">
        <v>130</v>
      </c>
      <c r="E8213" s="138" t="str">
        <f t="shared" si="649"/>
        <v>Low</v>
      </c>
      <c r="F8213" s="138" t="str">
        <f t="shared" si="650"/>
        <v>Upgraded</v>
      </c>
      <c r="G8213" s="153"/>
      <c r="H8213" s="210">
        <v>2.1600000000000001E-2</v>
      </c>
      <c r="I8213" s="160" t="s">
        <v>128</v>
      </c>
      <c r="J8213" s="160">
        <v>4.4999999999999997E-3</v>
      </c>
      <c r="K8213" s="160" t="s">
        <v>14</v>
      </c>
      <c r="L8213" s="154" t="str">
        <f>IF(OpenLCAbasic!K8213="CTUh", "Fill in Manually",IF(OR(K8213="Unit", K8213=""), "", INDEX(LookUps!$E$5:$E$12, MATCH(OpenLCAbasic!K8213,LookUps!$D$5:$D$12,0))))</f>
        <v>Fossil Depletion Potential (FDP) - kg oil eq</v>
      </c>
      <c r="M8213" s="154" t="str">
        <f t="shared" si="652"/>
        <v>Low_Base_Upgraded_Fossil Depletion Potential (FDP) - kg oil eq_Wastewater collection; operation and infrastructure; m3 wastewater_Base_With Amendment_Aerated Static Pile</v>
      </c>
    </row>
    <row r="8214" spans="1:13" s="120" customFormat="1" x14ac:dyDescent="0.25">
      <c r="A8214" s="119"/>
      <c r="B8214" s="138" t="str">
        <f t="shared" si="648"/>
        <v>Aerated Static Pile</v>
      </c>
      <c r="C8214" s="138" t="str">
        <f t="shared" si="653"/>
        <v>Base_With Amendment</v>
      </c>
      <c r="D8214" s="138" t="s">
        <v>130</v>
      </c>
      <c r="E8214" s="138" t="str">
        <f t="shared" si="649"/>
        <v>Low</v>
      </c>
      <c r="F8214" s="138" t="str">
        <f t="shared" si="650"/>
        <v>Upgraded</v>
      </c>
      <c r="G8214" s="153"/>
      <c r="H8214" s="210">
        <v>1.34E-2</v>
      </c>
      <c r="I8214" s="160" t="s">
        <v>148</v>
      </c>
      <c r="J8214" s="160">
        <v>2.8E-3</v>
      </c>
      <c r="K8214" s="160" t="s">
        <v>14</v>
      </c>
      <c r="L8214" s="154" t="str">
        <f>IF(OpenLCAbasic!K8214="CTUh", "Fill in Manually",IF(OR(K8214="Unit", K8214=""), "", INDEX(LookUps!$E$5:$E$12, MATCH(OpenLCAbasic!K8214,LookUps!$D$5:$D$12,0))))</f>
        <v>Fossil Depletion Potential (FDP) - kg oil eq</v>
      </c>
      <c r="M8214" s="154" t="str">
        <f t="shared" si="652"/>
        <v>Low_Base_Upgraded_Fossil Depletion Potential (FDP) - kg oil eq_Control Building; at upgraded wastewater treatment plant - US_Base_With Amendment_Aerated Static Pile</v>
      </c>
    </row>
    <row r="8215" spans="1:13" s="120" customFormat="1" x14ac:dyDescent="0.25">
      <c r="A8215" s="119"/>
      <c r="B8215" s="138" t="str">
        <f t="shared" si="648"/>
        <v>Aerated Static Pile</v>
      </c>
      <c r="C8215" s="138" t="str">
        <f t="shared" si="653"/>
        <v>Base_With Amendment</v>
      </c>
      <c r="D8215" s="138" t="s">
        <v>130</v>
      </c>
      <c r="E8215" s="138" t="str">
        <f t="shared" si="649"/>
        <v>Low</v>
      </c>
      <c r="F8215" s="138" t="str">
        <f t="shared" si="650"/>
        <v>Upgraded</v>
      </c>
      <c r="G8215" s="153"/>
      <c r="H8215" s="210">
        <v>1.1299999999999999E-2</v>
      </c>
      <c r="I8215" s="160" t="s">
        <v>48</v>
      </c>
      <c r="J8215" s="160">
        <v>2.3600000000000001E-3</v>
      </c>
      <c r="K8215" s="160" t="s">
        <v>14</v>
      </c>
      <c r="L8215" s="154" t="str">
        <f>IF(OpenLCAbasic!K8215="CTUh", "Fill in Manually",IF(OR(K8215="Unit", K8215=""), "", INDEX(LookUps!$E$5:$E$12, MATCH(OpenLCAbasic!K8215,LookUps!$D$5:$D$12,0))))</f>
        <v>Fossil Depletion Potential (FDP) - kg oil eq</v>
      </c>
      <c r="M8215" s="154" t="str">
        <f t="shared" si="652"/>
        <v>Low_Base_Upgraded_Fossil Depletion Potential (FDP) - kg oil eq_Effluent release; wastewater treatment unit; at surface water; m3 wastewater - US_Base_With Amendment_Aerated Static Pile</v>
      </c>
    </row>
    <row r="8216" spans="1:13" s="120" customFormat="1" x14ac:dyDescent="0.25">
      <c r="A8216" s="119"/>
      <c r="B8216" s="138" t="str">
        <f t="shared" si="648"/>
        <v>Aerated Static Pile</v>
      </c>
      <c r="C8216" s="138" t="str">
        <f t="shared" si="653"/>
        <v>Base_With Amendment</v>
      </c>
      <c r="D8216" s="138" t="s">
        <v>130</v>
      </c>
      <c r="E8216" s="138" t="str">
        <f t="shared" si="649"/>
        <v>Low</v>
      </c>
      <c r="F8216" s="138" t="str">
        <f t="shared" si="650"/>
        <v>Upgraded</v>
      </c>
      <c r="G8216" s="153"/>
      <c r="H8216" s="210">
        <v>9.1999999999999998E-3</v>
      </c>
      <c r="I8216" s="160" t="s">
        <v>59</v>
      </c>
      <c r="J8216" s="160">
        <v>1.92E-3</v>
      </c>
      <c r="K8216" s="160" t="s">
        <v>14</v>
      </c>
      <c r="L8216" s="154" t="str">
        <f>IF(OpenLCAbasic!K8216="CTUh", "Fill in Manually",IF(OR(K8216="Unit", K8216=""), "", INDEX(LookUps!$E$5:$E$12, MATCH(OpenLCAbasic!K8216,LookUps!$D$5:$D$12,0))))</f>
        <v>Fossil Depletion Potential (FDP) - kg oil eq</v>
      </c>
      <c r="M8216" s="154" t="str">
        <f t="shared" si="652"/>
        <v>Low_Base_Upgraded_Fossil Depletion Potential (FDP) - kg oil eq_Blend Tank; wastewater treatment unit; at updated plant - US_Base_With Amendment_Aerated Static Pile</v>
      </c>
    </row>
    <row r="8217" spans="1:13" s="120" customFormat="1" x14ac:dyDescent="0.25">
      <c r="A8217" s="119"/>
      <c r="B8217" s="138" t="str">
        <f t="shared" ref="B8217:B8280" si="654">IF(F8217="Legacy","n.a.",IF(F8217="","","Aerated Static Pile"))</f>
        <v>Aerated Static Pile</v>
      </c>
      <c r="C8217" s="138" t="str">
        <f t="shared" si="653"/>
        <v>Base_With Amendment</v>
      </c>
      <c r="D8217" s="138" t="s">
        <v>130</v>
      </c>
      <c r="E8217" s="138" t="str">
        <f t="shared" ref="E8217:E8280" si="655">IF(ISNUMBER($J8217),"Low","")</f>
        <v>Low</v>
      </c>
      <c r="F8217" s="138" t="str">
        <f t="shared" ref="F8217:F8280" si="656">IF(ISNUMBER(J8217),"Upgraded","")</f>
        <v>Upgraded</v>
      </c>
      <c r="G8217" s="153"/>
      <c r="H8217" s="210">
        <v>4.4000000000000003E-3</v>
      </c>
      <c r="I8217" s="160" t="s">
        <v>168</v>
      </c>
      <c r="J8217" s="160">
        <v>9.1E-4</v>
      </c>
      <c r="K8217" s="160" t="s">
        <v>14</v>
      </c>
      <c r="L8217" s="154" t="str">
        <f>IF(OpenLCAbasic!K8217="CTUh", "Fill in Manually",IF(OR(K8217="Unit", K8217=""), "", INDEX(LookUps!$E$5:$E$12, MATCH(OpenLCAbasic!K8217,LookUps!$D$5:$D$12,0))))</f>
        <v>Fossil Depletion Potential (FDP) - kg oil eq</v>
      </c>
      <c r="M8217" s="154" t="str">
        <f t="shared" si="652"/>
        <v>Low_Base_Upgraded_Fossil Depletion Potential (FDP) - kg oil eq_ClearCove SCP; wastewater treatment unit; at updated plant - US_Base_With Amendment_Aerated Static Pile</v>
      </c>
    </row>
    <row r="8218" spans="1:13" s="120" customFormat="1" x14ac:dyDescent="0.25">
      <c r="A8218" s="119"/>
      <c r="B8218" s="138" t="str">
        <f t="shared" si="654"/>
        <v>Aerated Static Pile</v>
      </c>
      <c r="C8218" s="138" t="str">
        <f t="shared" si="653"/>
        <v>Base_With Amendment</v>
      </c>
      <c r="D8218" s="138" t="s">
        <v>130</v>
      </c>
      <c r="E8218" s="138" t="str">
        <f t="shared" si="655"/>
        <v>Low</v>
      </c>
      <c r="F8218" s="138" t="str">
        <f t="shared" si="656"/>
        <v>Upgraded</v>
      </c>
      <c r="G8218" s="153"/>
      <c r="H8218" s="210">
        <v>-3.2399999999999998E-2</v>
      </c>
      <c r="I8218" s="160" t="s">
        <v>62</v>
      </c>
      <c r="J8218" s="160">
        <v>-6.7600000000000004E-3</v>
      </c>
      <c r="K8218" s="160" t="s">
        <v>14</v>
      </c>
      <c r="L8218" s="154" t="str">
        <f>IF(OpenLCAbasic!K8218="CTUh", "Fill in Manually",IF(OR(K8218="Unit", K8218=""), "", INDEX(LookUps!$E$5:$E$12, MATCH(OpenLCAbasic!K8218,LookUps!$D$5:$D$12,0))))</f>
        <v>Fossil Depletion Potential (FDP) - kg oil eq</v>
      </c>
      <c r="M8218" s="154" t="str">
        <f t="shared" si="652"/>
        <v>Low_Base_Upgraded_Fossil Depletion Potential (FDP) - kg oil eq_Land application of compost; wastewater treatment unit; at updated plant - US_Base_With Amendment_Aerated Static Pile</v>
      </c>
    </row>
    <row r="8219" spans="1:13" s="120" customFormat="1" x14ac:dyDescent="0.25">
      <c r="A8219" s="119"/>
      <c r="B8219" s="138" t="str">
        <f t="shared" si="654"/>
        <v>Aerated Static Pile</v>
      </c>
      <c r="C8219" s="138" t="str">
        <f t="shared" si="653"/>
        <v>Base_With Amendment</v>
      </c>
      <c r="D8219" s="138" t="s">
        <v>130</v>
      </c>
      <c r="E8219" s="138" t="str">
        <f t="shared" si="655"/>
        <v>Low</v>
      </c>
      <c r="F8219" s="138" t="str">
        <f t="shared" si="656"/>
        <v>Upgraded</v>
      </c>
      <c r="G8219" s="153"/>
      <c r="H8219" s="210">
        <v>-0.19220000000000001</v>
      </c>
      <c r="I8219" s="160" t="s">
        <v>149</v>
      </c>
      <c r="J8219" s="160">
        <v>-4.0030000000000003E-2</v>
      </c>
      <c r="K8219" s="160" t="s">
        <v>14</v>
      </c>
      <c r="L8219" s="154" t="str">
        <f>IF(OpenLCAbasic!K8219="CTUh", "Fill in Manually",IF(OR(K8219="Unit", K8219=""), "", INDEX(LookUps!$E$5:$E$12, MATCH(OpenLCAbasic!K8219,LookUps!$D$5:$D$12,0))))</f>
        <v>Fossil Depletion Potential (FDP) - kg oil eq</v>
      </c>
      <c r="M8219" s="154" t="str">
        <f t="shared" si="652"/>
        <v>Low_Base_Upgraded_Fossil Depletion Potential (FDP) - kg oil eq_Anaerobic Digestion; wastewater treatment unit; at updated plant - US_Base_With Amendment_Aerated Static Pile</v>
      </c>
    </row>
    <row r="8220" spans="1:13" s="120" customFormat="1" x14ac:dyDescent="0.25">
      <c r="A8220" s="119"/>
      <c r="B8220" s="138" t="str">
        <f t="shared" si="654"/>
        <v/>
      </c>
      <c r="C8220" s="138" t="str">
        <f t="shared" si="653"/>
        <v/>
      </c>
      <c r="D8220" s="138" t="str">
        <f t="shared" ref="D8220:D8271" si="657">IF(ISNUMBER($J8220),"Base_Base","")</f>
        <v/>
      </c>
      <c r="E8220" s="138" t="str">
        <f t="shared" si="655"/>
        <v/>
      </c>
      <c r="F8220" s="138" t="str">
        <f t="shared" si="656"/>
        <v/>
      </c>
      <c r="G8220" s="153" t="s">
        <v>51</v>
      </c>
      <c r="H8220" s="160"/>
      <c r="I8220" s="160" t="s">
        <v>47</v>
      </c>
      <c r="J8220" s="160" t="s">
        <v>52</v>
      </c>
      <c r="K8220" s="160" t="s">
        <v>27</v>
      </c>
      <c r="L8220" s="154" t="str">
        <f>IF(OpenLCAbasic!K8220="CTUh", "Fill in Manually",IF(OR(K8220="Unit", K8220=""), "", INDEX(LookUps!$E$5:$E$12, MATCH(OpenLCAbasic!K8220,LookUps!$D$5:$D$12,0))))</f>
        <v/>
      </c>
      <c r="M8220" s="154" t="str">
        <f t="shared" si="652"/>
        <v>____Process__</v>
      </c>
    </row>
    <row r="8221" spans="1:13" s="120" customFormat="1" x14ac:dyDescent="0.25">
      <c r="A8221" s="119"/>
      <c r="B8221" s="138" t="str">
        <f t="shared" si="654"/>
        <v>Aerated Static Pile</v>
      </c>
      <c r="C8221" s="138" t="str">
        <f t="shared" si="653"/>
        <v>Base_With Amendment</v>
      </c>
      <c r="D8221" s="138" t="s">
        <v>130</v>
      </c>
      <c r="E8221" s="138" t="str">
        <f t="shared" si="655"/>
        <v>Low</v>
      </c>
      <c r="F8221" s="138" t="str">
        <f t="shared" si="656"/>
        <v>Upgraded</v>
      </c>
      <c r="G8221" s="153"/>
      <c r="H8221" s="210">
        <v>0.67920000000000003</v>
      </c>
      <c r="I8221" s="160" t="s">
        <v>58</v>
      </c>
      <c r="J8221" s="160">
        <v>0.24279999999999999</v>
      </c>
      <c r="K8221" s="160" t="s">
        <v>23</v>
      </c>
      <c r="L8221" s="154" t="str">
        <f>IF(OpenLCAbasic!K8221="CTUh", "Fill in Manually",IF(OR(K8221="Unit", K8221=""), "", INDEX(LookUps!$E$5:$E$12, MATCH(OpenLCAbasic!K8221,LookUps!$D$5:$D$12,0))))</f>
        <v>Global Warming Potential (GWP) - kg CO2 eq</v>
      </c>
      <c r="M8221" s="154" t="str">
        <f t="shared" si="652"/>
        <v>Low_Base_Upgraded_Global Warming Potential (GWP) - kg CO2 eq_Pre-Anoxic &amp; Swing tank; wastewater treatment unit; at updated plant - US_Base_With Amendment_Aerated Static Pile</v>
      </c>
    </row>
    <row r="8222" spans="1:13" s="120" customFormat="1" x14ac:dyDescent="0.25">
      <c r="A8222" s="119"/>
      <c r="B8222" s="138" t="str">
        <f t="shared" si="654"/>
        <v>Aerated Static Pile</v>
      </c>
      <c r="C8222" s="138" t="str">
        <f t="shared" si="653"/>
        <v>Base_With Amendment</v>
      </c>
      <c r="D8222" s="138" t="s">
        <v>130</v>
      </c>
      <c r="E8222" s="138" t="str">
        <f t="shared" si="655"/>
        <v>Low</v>
      </c>
      <c r="F8222" s="138" t="str">
        <f t="shared" si="656"/>
        <v>Upgraded</v>
      </c>
      <c r="G8222" s="153"/>
      <c r="H8222" s="210">
        <v>0.47060000000000002</v>
      </c>
      <c r="I8222" s="160" t="s">
        <v>55</v>
      </c>
      <c r="J8222" s="160">
        <v>0.16822000000000001</v>
      </c>
      <c r="K8222" s="160" t="s">
        <v>23</v>
      </c>
      <c r="L8222" s="154" t="str">
        <f>IF(OpenLCAbasic!K8222="CTUh", "Fill in Manually",IF(OR(K8222="Unit", K8222=""), "", INDEX(LookUps!$E$5:$E$12, MATCH(OpenLCAbasic!K8222,LookUps!$D$5:$D$12,0))))</f>
        <v>Global Warming Potential (GWP) - kg CO2 eq</v>
      </c>
      <c r="M8222" s="154" t="str">
        <f t="shared" si="652"/>
        <v>Low_Base_Upgraded_Global Warming Potential (GWP) - kg CO2 eq_Aeration Tanks; wastewater treatment unit; at updated plant - US_Base_With Amendment_Aerated Static Pile</v>
      </c>
    </row>
    <row r="8223" spans="1:13" s="120" customFormat="1" x14ac:dyDescent="0.25">
      <c r="A8223" s="119"/>
      <c r="B8223" s="138" t="str">
        <f t="shared" si="654"/>
        <v>Aerated Static Pile</v>
      </c>
      <c r="C8223" s="138" t="str">
        <f t="shared" si="653"/>
        <v>Base_With Amendment</v>
      </c>
      <c r="D8223" s="138" t="s">
        <v>130</v>
      </c>
      <c r="E8223" s="138" t="str">
        <f t="shared" si="655"/>
        <v>Low</v>
      </c>
      <c r="F8223" s="138" t="str">
        <f t="shared" si="656"/>
        <v>Upgraded</v>
      </c>
      <c r="G8223" s="153"/>
      <c r="H8223" s="210">
        <v>0.33029999999999998</v>
      </c>
      <c r="I8223" s="160" t="s">
        <v>435</v>
      </c>
      <c r="J8223" s="160">
        <v>0.11806</v>
      </c>
      <c r="K8223" s="160" t="s">
        <v>23</v>
      </c>
      <c r="L8223" s="154" t="str">
        <f>IF(OpenLCAbasic!K8223="CTUh", "Fill in Manually",IF(OR(K8223="Unit", K8223=""), "", INDEX(LookUps!$E$5:$E$12, MATCH(OpenLCAbasic!K8223,LookUps!$D$5:$D$12,0))))</f>
        <v>Global Warming Potential (GWP) - kg CO2 eq</v>
      </c>
      <c r="M8223" s="154" t="str">
        <f t="shared" si="652"/>
        <v>Low_Base_Upgraded_Global Warming Potential (GWP) - kg CO2 eq_Biosolids composting; aerated static pile; wastewater treatment unit; at updated plant - US_Base_With Amendment_Aerated Static Pile</v>
      </c>
    </row>
    <row r="8224" spans="1:13" s="120" customFormat="1" x14ac:dyDescent="0.25">
      <c r="A8224" s="119"/>
      <c r="B8224" s="138" t="str">
        <f t="shared" si="654"/>
        <v>Aerated Static Pile</v>
      </c>
      <c r="C8224" s="138" t="str">
        <f t="shared" si="653"/>
        <v>Base_With Amendment</v>
      </c>
      <c r="D8224" s="138" t="s">
        <v>130</v>
      </c>
      <c r="E8224" s="138" t="str">
        <f t="shared" si="655"/>
        <v>Low</v>
      </c>
      <c r="F8224" s="138" t="str">
        <f t="shared" si="656"/>
        <v>Upgraded</v>
      </c>
      <c r="G8224" s="153"/>
      <c r="H8224" s="210">
        <v>0.28649999999999998</v>
      </c>
      <c r="I8224" s="160" t="s">
        <v>167</v>
      </c>
      <c r="J8224" s="160">
        <v>0.10241</v>
      </c>
      <c r="K8224" s="160" t="s">
        <v>23</v>
      </c>
      <c r="L8224" s="154" t="str">
        <f>IF(OpenLCAbasic!K8224="CTUh", "Fill in Manually",IF(OR(K8224="Unit", K8224=""), "", INDEX(LookUps!$E$5:$E$12, MATCH(OpenLCAbasic!K8224,LookUps!$D$5:$D$12,0))))</f>
        <v>Global Warming Potential (GWP) - kg CO2 eq</v>
      </c>
      <c r="M8224" s="154" t="str">
        <f t="shared" si="652"/>
        <v>Low_Base_Upgraded_Global Warming Potential (GWP) - kg CO2 eq_Waste Receiving and Holding; wastewater treatment unit; at updated plant - US_Base_With Amendment_Aerated Static Pile</v>
      </c>
    </row>
    <row r="8225" spans="1:13" s="120" customFormat="1" x14ac:dyDescent="0.25">
      <c r="A8225" s="119"/>
      <c r="B8225" s="138" t="str">
        <f t="shared" si="654"/>
        <v>Aerated Static Pile</v>
      </c>
      <c r="C8225" s="138" t="str">
        <f t="shared" si="653"/>
        <v>Base_With Amendment</v>
      </c>
      <c r="D8225" s="138" t="s">
        <v>130</v>
      </c>
      <c r="E8225" s="138" t="str">
        <f t="shared" si="655"/>
        <v>Low</v>
      </c>
      <c r="F8225" s="138" t="str">
        <f t="shared" si="656"/>
        <v>Upgraded</v>
      </c>
      <c r="G8225" s="153"/>
      <c r="H8225" s="210">
        <v>0.15970000000000001</v>
      </c>
      <c r="I8225" s="160" t="s">
        <v>54</v>
      </c>
      <c r="J8225" s="160">
        <v>5.7079999999999999E-2</v>
      </c>
      <c r="K8225" s="160" t="s">
        <v>23</v>
      </c>
      <c r="L8225" s="154" t="str">
        <f>IF(OpenLCAbasic!K8225="CTUh", "Fill in Manually",IF(OR(K8225="Unit", K8225=""), "", INDEX(LookUps!$E$5:$E$12, MATCH(OpenLCAbasic!K8225,LookUps!$D$5:$D$12,0))))</f>
        <v>Global Warming Potential (GWP) - kg CO2 eq</v>
      </c>
      <c r="M8225" s="154" t="str">
        <f t="shared" si="652"/>
        <v>Low_Base_Upgraded_Global Warming Potential (GWP) - kg CO2 eq_Clear Cove Primary Clarification; wastewater treatment unit; at updated plant - US_Base_With Amendment_Aerated Static Pile</v>
      </c>
    </row>
    <row r="8226" spans="1:13" s="120" customFormat="1" x14ac:dyDescent="0.25">
      <c r="A8226" s="119"/>
      <c r="B8226" s="138" t="str">
        <f t="shared" si="654"/>
        <v>Aerated Static Pile</v>
      </c>
      <c r="C8226" s="138" t="str">
        <f t="shared" si="653"/>
        <v>Base_With Amendment</v>
      </c>
      <c r="D8226" s="138" t="s">
        <v>130</v>
      </c>
      <c r="E8226" s="138" t="str">
        <f t="shared" si="655"/>
        <v>Low</v>
      </c>
      <c r="F8226" s="138" t="str">
        <f t="shared" si="656"/>
        <v>Upgraded</v>
      </c>
      <c r="G8226" s="153"/>
      <c r="H8226" s="210">
        <v>0.1472</v>
      </c>
      <c r="I8226" s="160" t="s">
        <v>48</v>
      </c>
      <c r="J8226" s="160">
        <v>5.2639999999999999E-2</v>
      </c>
      <c r="K8226" s="160" t="s">
        <v>23</v>
      </c>
      <c r="L8226" s="154" t="str">
        <f>IF(OpenLCAbasic!K8226="CTUh", "Fill in Manually",IF(OR(K8226="Unit", K8226=""), "", INDEX(LookUps!$E$5:$E$12, MATCH(OpenLCAbasic!K8226,LookUps!$D$5:$D$12,0))))</f>
        <v>Global Warming Potential (GWP) - kg CO2 eq</v>
      </c>
      <c r="M8226" s="154" t="str">
        <f t="shared" si="652"/>
        <v>Low_Base_Upgraded_Global Warming Potential (GWP) - kg CO2 eq_Effluent release; wastewater treatment unit; at surface water; m3 wastewater - US_Base_With Amendment_Aerated Static Pile</v>
      </c>
    </row>
    <row r="8227" spans="1:13" s="120" customFormat="1" x14ac:dyDescent="0.25">
      <c r="A8227" s="119"/>
      <c r="B8227" s="138" t="str">
        <f t="shared" si="654"/>
        <v>Aerated Static Pile</v>
      </c>
      <c r="C8227" s="138" t="str">
        <f t="shared" si="653"/>
        <v>Base_With Amendment</v>
      </c>
      <c r="D8227" s="138" t="s">
        <v>130</v>
      </c>
      <c r="E8227" s="138" t="str">
        <f t="shared" si="655"/>
        <v>Low</v>
      </c>
      <c r="F8227" s="138" t="str">
        <f t="shared" si="656"/>
        <v>Upgraded</v>
      </c>
      <c r="G8227" s="153"/>
      <c r="H8227" s="210">
        <v>0.14130000000000001</v>
      </c>
      <c r="I8227" s="160" t="s">
        <v>147</v>
      </c>
      <c r="J8227" s="160">
        <v>5.0500000000000003E-2</v>
      </c>
      <c r="K8227" s="160" t="s">
        <v>23</v>
      </c>
      <c r="L8227" s="154" t="str">
        <f>IF(OpenLCAbasic!K8227="CTUh", "Fill in Manually",IF(OR(K8227="Unit", K8227=""), "", INDEX(LookUps!$E$5:$E$12, MATCH(OpenLCAbasic!K8227,LookUps!$D$5:$D$12,0))))</f>
        <v>Global Warming Potential (GWP) - kg CO2 eq</v>
      </c>
      <c r="M8227" s="154" t="str">
        <f t="shared" si="652"/>
        <v>Low_Base_Upgraded_Global Warming Potential (GWP) - kg CO2 eq_Influent Pump Station; wastewater treatment unit; at updated plant - US_Base_With Amendment_Aerated Static Pile</v>
      </c>
    </row>
    <row r="8228" spans="1:13" s="120" customFormat="1" x14ac:dyDescent="0.25">
      <c r="A8228" s="119"/>
      <c r="B8228" s="138" t="str">
        <f t="shared" si="654"/>
        <v>Aerated Static Pile</v>
      </c>
      <c r="C8228" s="138" t="str">
        <f t="shared" si="653"/>
        <v>Base_With Amendment</v>
      </c>
      <c r="D8228" s="138" t="s">
        <v>130</v>
      </c>
      <c r="E8228" s="138" t="str">
        <f t="shared" si="655"/>
        <v>Low</v>
      </c>
      <c r="F8228" s="138" t="str">
        <f t="shared" si="656"/>
        <v>Upgraded</v>
      </c>
      <c r="G8228" s="153"/>
      <c r="H8228" s="210">
        <v>9.2999999999999999E-2</v>
      </c>
      <c r="I8228" s="160" t="s">
        <v>53</v>
      </c>
      <c r="J8228" s="160">
        <v>3.3259999999999998E-2</v>
      </c>
      <c r="K8228" s="160" t="s">
        <v>23</v>
      </c>
      <c r="L8228" s="154" t="str">
        <f>IF(OpenLCAbasic!K8228="CTUh", "Fill in Manually",IF(OR(K8228="Unit", K8228=""), "", INDEX(LookUps!$E$5:$E$12, MATCH(OpenLCAbasic!K8228,LookUps!$D$5:$D$12,0))))</f>
        <v>Global Warming Potential (GWP) - kg CO2 eq</v>
      </c>
      <c r="M8228" s="154" t="str">
        <f t="shared" si="652"/>
        <v>Low_Base_Upgraded_Global Warming Potential (GWP) - kg CO2 eq_Wet Well and Sump Station; wastewater treatment unit; at updated plant - US_Base_With Amendment_Aerated Static Pile</v>
      </c>
    </row>
    <row r="8229" spans="1:13" s="120" customFormat="1" x14ac:dyDescent="0.25">
      <c r="A8229" s="119"/>
      <c r="B8229" s="138" t="str">
        <f t="shared" si="654"/>
        <v>Aerated Static Pile</v>
      </c>
      <c r="C8229" s="138" t="str">
        <f t="shared" si="653"/>
        <v>Base_With Amendment</v>
      </c>
      <c r="D8229" s="138" t="s">
        <v>130</v>
      </c>
      <c r="E8229" s="138" t="str">
        <f t="shared" si="655"/>
        <v>Low</v>
      </c>
      <c r="F8229" s="138" t="str">
        <f t="shared" si="656"/>
        <v>Upgraded</v>
      </c>
      <c r="G8229" s="153"/>
      <c r="H8229" s="210">
        <v>4.07E-2</v>
      </c>
      <c r="I8229" s="160" t="s">
        <v>57</v>
      </c>
      <c r="J8229" s="160">
        <v>1.455E-2</v>
      </c>
      <c r="K8229" s="160" t="s">
        <v>23</v>
      </c>
      <c r="L8229" s="154" t="str">
        <f>IF(OpenLCAbasic!K8229="CTUh", "Fill in Manually",IF(OR(K8229="Unit", K8229=""), "", INDEX(LookUps!$E$5:$E$12, MATCH(OpenLCAbasic!K8229,LookUps!$D$5:$D$12,0))))</f>
        <v>Global Warming Potential (GWP) - kg CO2 eq</v>
      </c>
      <c r="M8229" s="154" t="str">
        <f t="shared" si="652"/>
        <v>Low_Base_Upgraded_Global Warming Potential (GWP) - kg CO2 eq_Gravity Belt Thickener; wastewater treatment unit; at updated plant - US_Base_With Amendment_Aerated Static Pile</v>
      </c>
    </row>
    <row r="8230" spans="1:13" s="120" customFormat="1" x14ac:dyDescent="0.25">
      <c r="A8230" s="119"/>
      <c r="B8230" s="138" t="str">
        <f t="shared" si="654"/>
        <v>Aerated Static Pile</v>
      </c>
      <c r="C8230" s="138" t="str">
        <f t="shared" si="653"/>
        <v>Base_With Amendment</v>
      </c>
      <c r="D8230" s="138" t="s">
        <v>130</v>
      </c>
      <c r="E8230" s="138" t="str">
        <f t="shared" si="655"/>
        <v>Low</v>
      </c>
      <c r="F8230" s="138" t="str">
        <f t="shared" si="656"/>
        <v>Upgraded</v>
      </c>
      <c r="G8230" s="153"/>
      <c r="H8230" s="210">
        <v>3.78E-2</v>
      </c>
      <c r="I8230" s="160" t="s">
        <v>128</v>
      </c>
      <c r="J8230" s="160">
        <v>1.3509999999999999E-2</v>
      </c>
      <c r="K8230" s="160" t="s">
        <v>23</v>
      </c>
      <c r="L8230" s="154" t="str">
        <f>IF(OpenLCAbasic!K8230="CTUh", "Fill in Manually",IF(OR(K8230="Unit", K8230=""), "", INDEX(LookUps!$E$5:$E$12, MATCH(OpenLCAbasic!K8230,LookUps!$D$5:$D$12,0))))</f>
        <v>Global Warming Potential (GWP) - kg CO2 eq</v>
      </c>
      <c r="M8230" s="154" t="str">
        <f t="shared" si="652"/>
        <v>Low_Base_Upgraded_Global Warming Potential (GWP) - kg CO2 eq_Wastewater collection; operation and infrastructure; m3 wastewater_Base_With Amendment_Aerated Static Pile</v>
      </c>
    </row>
    <row r="8231" spans="1:13" s="120" customFormat="1" x14ac:dyDescent="0.25">
      <c r="A8231" s="119"/>
      <c r="B8231" s="138" t="str">
        <f t="shared" si="654"/>
        <v>Aerated Static Pile</v>
      </c>
      <c r="C8231" s="138" t="str">
        <f t="shared" si="653"/>
        <v>Base_With Amendment</v>
      </c>
      <c r="D8231" s="138" t="s">
        <v>130</v>
      </c>
      <c r="E8231" s="138" t="str">
        <f t="shared" si="655"/>
        <v>Low</v>
      </c>
      <c r="F8231" s="138" t="str">
        <f t="shared" si="656"/>
        <v>Upgraded</v>
      </c>
      <c r="G8231" s="153"/>
      <c r="H8231" s="210">
        <v>3.5700000000000003E-2</v>
      </c>
      <c r="I8231" s="160" t="s">
        <v>60</v>
      </c>
      <c r="J8231" s="160">
        <v>1.278E-2</v>
      </c>
      <c r="K8231" s="160" t="s">
        <v>23</v>
      </c>
      <c r="L8231" s="154" t="str">
        <f>IF(OpenLCAbasic!K8231="CTUh", "Fill in Manually",IF(OR(K8231="Unit", K8231=""), "", INDEX(LookUps!$E$5:$E$12, MATCH(OpenLCAbasic!K8231,LookUps!$D$5:$D$12,0))))</f>
        <v>Global Warming Potential (GWP) - kg CO2 eq</v>
      </c>
      <c r="M8231" s="154" t="str">
        <f t="shared" si="652"/>
        <v>Low_Base_Upgraded_Global Warming Potential (GWP) - kg CO2 eq_Belt filter press; wastewater treatment unit; at updated plant - US_Base_With Amendment_Aerated Static Pile</v>
      </c>
    </row>
    <row r="8232" spans="1:13" s="120" customFormat="1" x14ac:dyDescent="0.25">
      <c r="A8232" s="119"/>
      <c r="B8232" s="138" t="str">
        <f t="shared" si="654"/>
        <v>Aerated Static Pile</v>
      </c>
      <c r="C8232" s="138" t="str">
        <f t="shared" si="653"/>
        <v>Base_With Amendment</v>
      </c>
      <c r="D8232" s="138" t="s">
        <v>130</v>
      </c>
      <c r="E8232" s="138" t="str">
        <f t="shared" si="655"/>
        <v>Low</v>
      </c>
      <c r="F8232" s="138" t="str">
        <f t="shared" si="656"/>
        <v>Upgraded</v>
      </c>
      <c r="G8232" s="153"/>
      <c r="H8232" s="210">
        <v>2.3199999999999998E-2</v>
      </c>
      <c r="I8232" s="160" t="s">
        <v>148</v>
      </c>
      <c r="J8232" s="160">
        <v>8.3000000000000001E-3</v>
      </c>
      <c r="K8232" s="160" t="s">
        <v>23</v>
      </c>
      <c r="L8232" s="154" t="str">
        <f>IF(OpenLCAbasic!K8232="CTUh", "Fill in Manually",IF(OR(K8232="Unit", K8232=""), "", INDEX(LookUps!$E$5:$E$12, MATCH(OpenLCAbasic!K8232,LookUps!$D$5:$D$12,0))))</f>
        <v>Global Warming Potential (GWP) - kg CO2 eq</v>
      </c>
      <c r="M8232" s="154" t="str">
        <f t="shared" si="652"/>
        <v>Low_Base_Upgraded_Global Warming Potential (GWP) - kg CO2 eq_Control Building; at upgraded wastewater treatment plant - US_Base_With Amendment_Aerated Static Pile</v>
      </c>
    </row>
    <row r="8233" spans="1:13" s="120" customFormat="1" x14ac:dyDescent="0.25">
      <c r="A8233" s="119"/>
      <c r="B8233" s="138" t="str">
        <f t="shared" si="654"/>
        <v>Aerated Static Pile</v>
      </c>
      <c r="C8233" s="138" t="str">
        <f t="shared" si="653"/>
        <v>Base_With Amendment</v>
      </c>
      <c r="D8233" s="138" t="s">
        <v>130</v>
      </c>
      <c r="E8233" s="138" t="str">
        <f t="shared" si="655"/>
        <v>Low</v>
      </c>
      <c r="F8233" s="138" t="str">
        <f t="shared" si="656"/>
        <v>Upgraded</v>
      </c>
      <c r="G8233" s="153"/>
      <c r="H8233" s="210">
        <v>1.41E-2</v>
      </c>
      <c r="I8233" s="160" t="s">
        <v>59</v>
      </c>
      <c r="J8233" s="160">
        <v>5.0400000000000002E-3</v>
      </c>
      <c r="K8233" s="160" t="s">
        <v>23</v>
      </c>
      <c r="L8233" s="154" t="str">
        <f>IF(OpenLCAbasic!K8233="CTUh", "Fill in Manually",IF(OR(K8233="Unit", K8233=""), "", INDEX(LookUps!$E$5:$E$12, MATCH(OpenLCAbasic!K8233,LookUps!$D$5:$D$12,0))))</f>
        <v>Global Warming Potential (GWP) - kg CO2 eq</v>
      </c>
      <c r="M8233" s="154" t="str">
        <f t="shared" si="652"/>
        <v>Low_Base_Upgraded_Global Warming Potential (GWP) - kg CO2 eq_Blend Tank; wastewater treatment unit; at updated plant - US_Base_With Amendment_Aerated Static Pile</v>
      </c>
    </row>
    <row r="8234" spans="1:13" s="120" customFormat="1" x14ac:dyDescent="0.25">
      <c r="A8234" s="119"/>
      <c r="B8234" s="138" t="str">
        <f t="shared" si="654"/>
        <v>Aerated Static Pile</v>
      </c>
      <c r="C8234" s="138" t="str">
        <f t="shared" si="653"/>
        <v>Base_With Amendment</v>
      </c>
      <c r="D8234" s="138" t="s">
        <v>130</v>
      </c>
      <c r="E8234" s="138" t="str">
        <f t="shared" si="655"/>
        <v>Low</v>
      </c>
      <c r="F8234" s="138" t="str">
        <f t="shared" si="656"/>
        <v>Upgraded</v>
      </c>
      <c r="G8234" s="153"/>
      <c r="H8234" s="210">
        <v>6.7999999999999996E-3</v>
      </c>
      <c r="I8234" s="160" t="s">
        <v>168</v>
      </c>
      <c r="J8234" s="160">
        <v>2.4099999999999998E-3</v>
      </c>
      <c r="K8234" s="160" t="s">
        <v>23</v>
      </c>
      <c r="L8234" s="154" t="str">
        <f>IF(OpenLCAbasic!K8234="CTUh", "Fill in Manually",IF(OR(K8234="Unit", K8234=""), "", INDEX(LookUps!$E$5:$E$12, MATCH(OpenLCAbasic!K8234,LookUps!$D$5:$D$12,0))))</f>
        <v>Global Warming Potential (GWP) - kg CO2 eq</v>
      </c>
      <c r="M8234" s="154" t="str">
        <f t="shared" si="652"/>
        <v>Low_Base_Upgraded_Global Warming Potential (GWP) - kg CO2 eq_ClearCove SCP; wastewater treatment unit; at updated plant - US_Base_With Amendment_Aerated Static Pile</v>
      </c>
    </row>
    <row r="8235" spans="1:13" s="120" customFormat="1" x14ac:dyDescent="0.25">
      <c r="A8235" s="119"/>
      <c r="B8235" s="138" t="str">
        <f t="shared" si="654"/>
        <v>Aerated Static Pile</v>
      </c>
      <c r="C8235" s="138" t="str">
        <f t="shared" si="653"/>
        <v>Base_With Amendment</v>
      </c>
      <c r="D8235" s="138" t="s">
        <v>130</v>
      </c>
      <c r="E8235" s="138" t="str">
        <f t="shared" si="655"/>
        <v>Low</v>
      </c>
      <c r="F8235" s="138" t="str">
        <f t="shared" si="656"/>
        <v>Upgraded</v>
      </c>
      <c r="G8235" s="153"/>
      <c r="H8235" s="210">
        <v>-0.1585</v>
      </c>
      <c r="I8235" s="160" t="s">
        <v>149</v>
      </c>
      <c r="J8235" s="160">
        <v>-5.6640000000000003E-2</v>
      </c>
      <c r="K8235" s="160" t="s">
        <v>23</v>
      </c>
      <c r="L8235" s="154" t="str">
        <f>IF(OpenLCAbasic!K8235="CTUh", "Fill in Manually",IF(OR(K8235="Unit", K8235=""), "", INDEX(LookUps!$E$5:$E$12, MATCH(OpenLCAbasic!K8235,LookUps!$D$5:$D$12,0))))</f>
        <v>Global Warming Potential (GWP) - kg CO2 eq</v>
      </c>
      <c r="M8235" s="154" t="str">
        <f t="shared" si="652"/>
        <v>Low_Base_Upgraded_Global Warming Potential (GWP) - kg CO2 eq_Anaerobic Digestion; wastewater treatment unit; at updated plant - US_Base_With Amendment_Aerated Static Pile</v>
      </c>
    </row>
    <row r="8236" spans="1:13" s="120" customFormat="1" x14ac:dyDescent="0.25">
      <c r="A8236" s="119"/>
      <c r="B8236" s="138" t="str">
        <f t="shared" si="654"/>
        <v>Aerated Static Pile</v>
      </c>
      <c r="C8236" s="138" t="str">
        <f t="shared" si="653"/>
        <v>Base_With Amendment</v>
      </c>
      <c r="D8236" s="138" t="s">
        <v>130</v>
      </c>
      <c r="E8236" s="138" t="str">
        <f t="shared" si="655"/>
        <v>Low</v>
      </c>
      <c r="F8236" s="138" t="str">
        <f t="shared" si="656"/>
        <v>Upgraded</v>
      </c>
      <c r="G8236" s="153"/>
      <c r="H8236" s="210">
        <v>-1.3077000000000001</v>
      </c>
      <c r="I8236" s="160" t="s">
        <v>62</v>
      </c>
      <c r="J8236" s="160">
        <v>-0.46745999999999999</v>
      </c>
      <c r="K8236" s="160" t="s">
        <v>23</v>
      </c>
      <c r="L8236" s="154" t="str">
        <f>IF(OpenLCAbasic!K8236="CTUh", "Fill in Manually",IF(OR(K8236="Unit", K8236=""), "", INDEX(LookUps!$E$5:$E$12, MATCH(OpenLCAbasic!K8236,LookUps!$D$5:$D$12,0))))</f>
        <v>Global Warming Potential (GWP) - kg CO2 eq</v>
      </c>
      <c r="M8236" s="154" t="str">
        <f t="shared" si="652"/>
        <v>Low_Base_Upgraded_Global Warming Potential (GWP) - kg CO2 eq_Land application of compost; wastewater treatment unit; at updated plant - US_Base_With Amendment_Aerated Static Pile</v>
      </c>
    </row>
    <row r="8237" spans="1:13" s="120" customFormat="1" x14ac:dyDescent="0.25">
      <c r="A8237" s="119"/>
      <c r="B8237" s="138" t="str">
        <f t="shared" si="654"/>
        <v/>
      </c>
      <c r="C8237" s="138" t="str">
        <f t="shared" si="653"/>
        <v/>
      </c>
      <c r="D8237" s="138" t="str">
        <f t="shared" si="657"/>
        <v/>
      </c>
      <c r="E8237" s="138" t="str">
        <f t="shared" si="655"/>
        <v/>
      </c>
      <c r="F8237" s="138" t="str">
        <f t="shared" si="656"/>
        <v/>
      </c>
      <c r="G8237" s="153" t="s">
        <v>51</v>
      </c>
      <c r="H8237" s="160"/>
      <c r="I8237" s="160" t="s">
        <v>47</v>
      </c>
      <c r="J8237" s="160" t="s">
        <v>52</v>
      </c>
      <c r="K8237" s="160" t="s">
        <v>27</v>
      </c>
      <c r="L8237" s="154" t="str">
        <f>IF(OpenLCAbasic!K8237="CTUh", "Fill in Manually",IF(OR(K8237="Unit", K8237=""), "", INDEX(LookUps!$E$5:$E$12, MATCH(OpenLCAbasic!K8237,LookUps!$D$5:$D$12,0))))</f>
        <v/>
      </c>
      <c r="M8237" s="154" t="str">
        <f t="shared" si="652"/>
        <v>____Process__</v>
      </c>
    </row>
    <row r="8238" spans="1:13" s="120" customFormat="1" x14ac:dyDescent="0.25">
      <c r="A8238" s="119"/>
      <c r="B8238" s="138" t="str">
        <f t="shared" si="654"/>
        <v>Aerated Static Pile</v>
      </c>
      <c r="C8238" s="138" t="str">
        <f t="shared" si="653"/>
        <v>Base_With Amendment</v>
      </c>
      <c r="D8238" s="138" t="s">
        <v>130</v>
      </c>
      <c r="E8238" s="138" t="str">
        <f t="shared" si="655"/>
        <v>Low</v>
      </c>
      <c r="F8238" s="138" t="str">
        <f t="shared" si="656"/>
        <v>Upgraded</v>
      </c>
      <c r="G8238" s="153"/>
      <c r="H8238" s="210">
        <v>0.45029999999999998</v>
      </c>
      <c r="I8238" s="160" t="s">
        <v>55</v>
      </c>
      <c r="J8238" s="160">
        <v>2.33E-3</v>
      </c>
      <c r="K8238" s="160" t="s">
        <v>145</v>
      </c>
      <c r="L8238" s="154" t="str">
        <f>IF(OpenLCAbasic!K8238="CTUh", "Fill in Manually",IF(OR(K8238="Unit", K8238=""), "", INDEX(LookUps!$E$5:$E$12, MATCH(OpenLCAbasic!K8238,LookUps!$D$5:$D$12,0))))</f>
        <v>Particulate Matter Formation Potential (PMFP) - kg PM2.5 eq</v>
      </c>
      <c r="M8238" s="154" t="str">
        <f t="shared" si="652"/>
        <v>Low_Base_Upgraded_Particulate Matter Formation Potential (PMFP) - kg PM2.5 eq_Aeration Tanks; wastewater treatment unit; at updated plant - US_Base_With Amendment_Aerated Static Pile</v>
      </c>
    </row>
    <row r="8239" spans="1:13" s="120" customFormat="1" x14ac:dyDescent="0.25">
      <c r="A8239" s="119"/>
      <c r="B8239" s="138" t="str">
        <f t="shared" si="654"/>
        <v>Aerated Static Pile</v>
      </c>
      <c r="C8239" s="138" t="str">
        <f t="shared" si="653"/>
        <v>Base_With Amendment</v>
      </c>
      <c r="D8239" s="138" t="s">
        <v>130</v>
      </c>
      <c r="E8239" s="138" t="str">
        <f t="shared" si="655"/>
        <v>Low</v>
      </c>
      <c r="F8239" s="138" t="str">
        <f t="shared" si="656"/>
        <v>Upgraded</v>
      </c>
      <c r="G8239" s="153"/>
      <c r="H8239" s="210">
        <v>0.1618</v>
      </c>
      <c r="I8239" s="160" t="s">
        <v>435</v>
      </c>
      <c r="J8239" s="160">
        <v>8.4000000000000003E-4</v>
      </c>
      <c r="K8239" s="160" t="s">
        <v>145</v>
      </c>
      <c r="L8239" s="154" t="str">
        <f>IF(OpenLCAbasic!K8239="CTUh", "Fill in Manually",IF(OR(K8239="Unit", K8239=""), "", INDEX(LookUps!$E$5:$E$12, MATCH(OpenLCAbasic!K8239,LookUps!$D$5:$D$12,0))))</f>
        <v>Particulate Matter Formation Potential (PMFP) - kg PM2.5 eq</v>
      </c>
      <c r="M8239" s="154" t="str">
        <f t="shared" si="652"/>
        <v>Low_Base_Upgraded_Particulate Matter Formation Potential (PMFP) - kg PM2.5 eq_Biosolids composting; aerated static pile; wastewater treatment unit; at updated plant - US_Base_With Amendment_Aerated Static Pile</v>
      </c>
    </row>
    <row r="8240" spans="1:13" s="120" customFormat="1" x14ac:dyDescent="0.25">
      <c r="A8240" s="119"/>
      <c r="B8240" s="138" t="str">
        <f t="shared" si="654"/>
        <v>Aerated Static Pile</v>
      </c>
      <c r="C8240" s="138" t="str">
        <f t="shared" si="653"/>
        <v>Base_With Amendment</v>
      </c>
      <c r="D8240" s="138" t="s">
        <v>130</v>
      </c>
      <c r="E8240" s="138" t="str">
        <f t="shared" si="655"/>
        <v>Low</v>
      </c>
      <c r="F8240" s="138" t="str">
        <f t="shared" si="656"/>
        <v>Upgraded</v>
      </c>
      <c r="G8240" s="153"/>
      <c r="H8240" s="210">
        <v>0.13100000000000001</v>
      </c>
      <c r="I8240" s="160" t="s">
        <v>54</v>
      </c>
      <c r="J8240" s="160">
        <v>6.8000000000000005E-4</v>
      </c>
      <c r="K8240" s="160" t="s">
        <v>145</v>
      </c>
      <c r="L8240" s="154" t="str">
        <f>IF(OpenLCAbasic!K8240="CTUh", "Fill in Manually",IF(OR(K8240="Unit", K8240=""), "", INDEX(LookUps!$E$5:$E$12, MATCH(OpenLCAbasic!K8240,LookUps!$D$5:$D$12,0))))</f>
        <v>Particulate Matter Formation Potential (PMFP) - kg PM2.5 eq</v>
      </c>
      <c r="M8240" s="154" t="str">
        <f t="shared" si="652"/>
        <v>Low_Base_Upgraded_Particulate Matter Formation Potential (PMFP) - kg PM2.5 eq_Clear Cove Primary Clarification; wastewater treatment unit; at updated plant - US_Base_With Amendment_Aerated Static Pile</v>
      </c>
    </row>
    <row r="8241" spans="1:13" s="120" customFormat="1" x14ac:dyDescent="0.25">
      <c r="A8241" s="119"/>
      <c r="B8241" s="138" t="str">
        <f t="shared" si="654"/>
        <v>Aerated Static Pile</v>
      </c>
      <c r="C8241" s="138" t="str">
        <f t="shared" si="653"/>
        <v>Base_With Amendment</v>
      </c>
      <c r="D8241" s="138" t="s">
        <v>130</v>
      </c>
      <c r="E8241" s="138" t="str">
        <f t="shared" si="655"/>
        <v>Low</v>
      </c>
      <c r="F8241" s="138" t="str">
        <f t="shared" si="656"/>
        <v>Upgraded</v>
      </c>
      <c r="G8241" s="153"/>
      <c r="H8241" s="210">
        <v>0.1132</v>
      </c>
      <c r="I8241" s="160" t="s">
        <v>58</v>
      </c>
      <c r="J8241" s="160">
        <v>5.9000000000000003E-4</v>
      </c>
      <c r="K8241" s="160" t="s">
        <v>145</v>
      </c>
      <c r="L8241" s="154" t="str">
        <f>IF(OpenLCAbasic!K8241="CTUh", "Fill in Manually",IF(OR(K8241="Unit", K8241=""), "", INDEX(LookUps!$E$5:$E$12, MATCH(OpenLCAbasic!K8241,LookUps!$D$5:$D$12,0))))</f>
        <v>Particulate Matter Formation Potential (PMFP) - kg PM2.5 eq</v>
      </c>
      <c r="M8241" s="154" t="str">
        <f t="shared" si="652"/>
        <v>Low_Base_Upgraded_Particulate Matter Formation Potential (PMFP) - kg PM2.5 eq_Pre-Anoxic &amp; Swing tank; wastewater treatment unit; at updated plant - US_Base_With Amendment_Aerated Static Pile</v>
      </c>
    </row>
    <row r="8242" spans="1:13" s="120" customFormat="1" x14ac:dyDescent="0.25">
      <c r="A8242" s="119"/>
      <c r="B8242" s="138" t="str">
        <f t="shared" si="654"/>
        <v>Aerated Static Pile</v>
      </c>
      <c r="C8242" s="138" t="str">
        <f t="shared" si="653"/>
        <v>Base_With Amendment</v>
      </c>
      <c r="D8242" s="138" t="s">
        <v>130</v>
      </c>
      <c r="E8242" s="138" t="str">
        <f t="shared" si="655"/>
        <v>Low</v>
      </c>
      <c r="F8242" s="138" t="str">
        <f t="shared" si="656"/>
        <v>Upgraded</v>
      </c>
      <c r="G8242" s="153"/>
      <c r="H8242" s="210">
        <v>0.09</v>
      </c>
      <c r="I8242" s="160" t="s">
        <v>53</v>
      </c>
      <c r="J8242" s="160">
        <v>4.6999999999999999E-4</v>
      </c>
      <c r="K8242" s="160" t="s">
        <v>145</v>
      </c>
      <c r="L8242" s="154" t="str">
        <f>IF(OpenLCAbasic!K8242="CTUh", "Fill in Manually",IF(OR(K8242="Unit", K8242=""), "", INDEX(LookUps!$E$5:$E$12, MATCH(OpenLCAbasic!K8242,LookUps!$D$5:$D$12,0))))</f>
        <v>Particulate Matter Formation Potential (PMFP) - kg PM2.5 eq</v>
      </c>
      <c r="M8242" s="154" t="str">
        <f t="shared" si="652"/>
        <v>Low_Base_Upgraded_Particulate Matter Formation Potential (PMFP) - kg PM2.5 eq_Wet Well and Sump Station; wastewater treatment unit; at updated plant - US_Base_With Amendment_Aerated Static Pile</v>
      </c>
    </row>
    <row r="8243" spans="1:13" s="120" customFormat="1" x14ac:dyDescent="0.25">
      <c r="A8243" s="119"/>
      <c r="B8243" s="138" t="str">
        <f t="shared" si="654"/>
        <v>Aerated Static Pile</v>
      </c>
      <c r="C8243" s="138" t="str">
        <f t="shared" si="653"/>
        <v>Base_With Amendment</v>
      </c>
      <c r="D8243" s="138" t="s">
        <v>130</v>
      </c>
      <c r="E8243" s="138" t="str">
        <f t="shared" si="655"/>
        <v>Low</v>
      </c>
      <c r="F8243" s="138" t="str">
        <f t="shared" si="656"/>
        <v>Upgraded</v>
      </c>
      <c r="G8243" s="153"/>
      <c r="H8243" s="210">
        <v>5.7700000000000001E-2</v>
      </c>
      <c r="I8243" s="160" t="s">
        <v>167</v>
      </c>
      <c r="J8243" s="160">
        <v>2.9999999999999997E-4</v>
      </c>
      <c r="K8243" s="160" t="s">
        <v>145</v>
      </c>
      <c r="L8243" s="154" t="str">
        <f>IF(OpenLCAbasic!K8243="CTUh", "Fill in Manually",IF(OR(K8243="Unit", K8243=""), "", INDEX(LookUps!$E$5:$E$12, MATCH(OpenLCAbasic!K8243,LookUps!$D$5:$D$12,0))))</f>
        <v>Particulate Matter Formation Potential (PMFP) - kg PM2.5 eq</v>
      </c>
      <c r="M8243" s="154" t="str">
        <f t="shared" si="652"/>
        <v>Low_Base_Upgraded_Particulate Matter Formation Potential (PMFP) - kg PM2.5 eq_Waste Receiving and Holding; wastewater treatment unit; at updated plant - US_Base_With Amendment_Aerated Static Pile</v>
      </c>
    </row>
    <row r="8244" spans="1:13" s="120" customFormat="1" x14ac:dyDescent="0.25">
      <c r="A8244" s="119"/>
      <c r="B8244" s="138" t="str">
        <f t="shared" si="654"/>
        <v>Aerated Static Pile</v>
      </c>
      <c r="C8244" s="138" t="str">
        <f t="shared" si="653"/>
        <v>Base_With Amendment</v>
      </c>
      <c r="D8244" s="138" t="s">
        <v>130</v>
      </c>
      <c r="E8244" s="138" t="str">
        <f t="shared" si="655"/>
        <v>Low</v>
      </c>
      <c r="F8244" s="138" t="str">
        <f t="shared" si="656"/>
        <v>Upgraded</v>
      </c>
      <c r="G8244" s="153"/>
      <c r="H8244" s="210">
        <v>5.1499999999999997E-2</v>
      </c>
      <c r="I8244" s="160" t="s">
        <v>147</v>
      </c>
      <c r="J8244" s="160">
        <v>2.7E-4</v>
      </c>
      <c r="K8244" s="160" t="s">
        <v>145</v>
      </c>
      <c r="L8244" s="154" t="str">
        <f>IF(OpenLCAbasic!K8244="CTUh", "Fill in Manually",IF(OR(K8244="Unit", K8244=""), "", INDEX(LookUps!$E$5:$E$12, MATCH(OpenLCAbasic!K8244,LookUps!$D$5:$D$12,0))))</f>
        <v>Particulate Matter Formation Potential (PMFP) - kg PM2.5 eq</v>
      </c>
      <c r="M8244" s="154" t="str">
        <f t="shared" si="652"/>
        <v>Low_Base_Upgraded_Particulate Matter Formation Potential (PMFP) - kg PM2.5 eq_Influent Pump Station; wastewater treatment unit; at updated plant - US_Base_With Amendment_Aerated Static Pile</v>
      </c>
    </row>
    <row r="8245" spans="1:13" s="120" customFormat="1" x14ac:dyDescent="0.25">
      <c r="A8245" s="119"/>
      <c r="B8245" s="138" t="str">
        <f t="shared" si="654"/>
        <v>Aerated Static Pile</v>
      </c>
      <c r="C8245" s="138" t="str">
        <f t="shared" si="653"/>
        <v>Base_With Amendment</v>
      </c>
      <c r="D8245" s="138" t="s">
        <v>130</v>
      </c>
      <c r="E8245" s="138" t="str">
        <f t="shared" si="655"/>
        <v>Low</v>
      </c>
      <c r="F8245" s="138" t="str">
        <f t="shared" si="656"/>
        <v>Upgraded</v>
      </c>
      <c r="G8245" s="153"/>
      <c r="H8245" s="210">
        <v>3.2099999999999997E-2</v>
      </c>
      <c r="I8245" s="160" t="s">
        <v>128</v>
      </c>
      <c r="J8245" s="160">
        <v>1.7000000000000001E-4</v>
      </c>
      <c r="K8245" s="160" t="s">
        <v>145</v>
      </c>
      <c r="L8245" s="154" t="str">
        <f>IF(OpenLCAbasic!K8245="CTUh", "Fill in Manually",IF(OR(K8245="Unit", K8245=""), "", INDEX(LookUps!$E$5:$E$12, MATCH(OpenLCAbasic!K8245,LookUps!$D$5:$D$12,0))))</f>
        <v>Particulate Matter Formation Potential (PMFP) - kg PM2.5 eq</v>
      </c>
      <c r="M8245" s="154" t="str">
        <f t="shared" si="652"/>
        <v>Low_Base_Upgraded_Particulate Matter Formation Potential (PMFP) - kg PM2.5 eq_Wastewater collection; operation and infrastructure; m3 wastewater_Base_With Amendment_Aerated Static Pile</v>
      </c>
    </row>
    <row r="8246" spans="1:13" s="120" customFormat="1" x14ac:dyDescent="0.25">
      <c r="A8246" s="119"/>
      <c r="B8246" s="138" t="str">
        <f t="shared" si="654"/>
        <v>Aerated Static Pile</v>
      </c>
      <c r="C8246" s="138" t="str">
        <f t="shared" si="653"/>
        <v>Base_With Amendment</v>
      </c>
      <c r="D8246" s="138" t="s">
        <v>130</v>
      </c>
      <c r="E8246" s="138" t="str">
        <f t="shared" si="655"/>
        <v>Low</v>
      </c>
      <c r="F8246" s="138" t="str">
        <f t="shared" si="656"/>
        <v>Upgraded</v>
      </c>
      <c r="G8246" s="153"/>
      <c r="H8246" s="210">
        <v>2.01E-2</v>
      </c>
      <c r="I8246" s="160" t="s">
        <v>60</v>
      </c>
      <c r="J8246" s="160">
        <v>1E-4</v>
      </c>
      <c r="K8246" s="160" t="s">
        <v>145</v>
      </c>
      <c r="L8246" s="154" t="str">
        <f>IF(OpenLCAbasic!K8246="CTUh", "Fill in Manually",IF(OR(K8246="Unit", K8246=""), "", INDEX(LookUps!$E$5:$E$12, MATCH(OpenLCAbasic!K8246,LookUps!$D$5:$D$12,0))))</f>
        <v>Particulate Matter Formation Potential (PMFP) - kg PM2.5 eq</v>
      </c>
      <c r="M8246" s="154" t="str">
        <f t="shared" si="652"/>
        <v>Low_Base_Upgraded_Particulate Matter Formation Potential (PMFP) - kg PM2.5 eq_Belt filter press; wastewater treatment unit; at updated plant - US_Base_With Amendment_Aerated Static Pile</v>
      </c>
    </row>
    <row r="8247" spans="1:13" s="120" customFormat="1" x14ac:dyDescent="0.25">
      <c r="A8247" s="119"/>
      <c r="B8247" s="138" t="str">
        <f t="shared" si="654"/>
        <v>Aerated Static Pile</v>
      </c>
      <c r="C8247" s="138" t="str">
        <f t="shared" si="653"/>
        <v>Base_With Amendment</v>
      </c>
      <c r="D8247" s="138" t="s">
        <v>130</v>
      </c>
      <c r="E8247" s="138" t="str">
        <f t="shared" si="655"/>
        <v>Low</v>
      </c>
      <c r="F8247" s="138" t="str">
        <f t="shared" si="656"/>
        <v>Upgraded</v>
      </c>
      <c r="G8247" s="153"/>
      <c r="H8247" s="210">
        <v>1.84E-2</v>
      </c>
      <c r="I8247" s="160" t="s">
        <v>57</v>
      </c>
      <c r="J8247" s="211">
        <v>9.5153800000000004E-5</v>
      </c>
      <c r="K8247" s="160" t="s">
        <v>145</v>
      </c>
      <c r="L8247" s="154" t="str">
        <f>IF(OpenLCAbasic!K8247="CTUh", "Fill in Manually",IF(OR(K8247="Unit", K8247=""), "", INDEX(LookUps!$E$5:$E$12, MATCH(OpenLCAbasic!K8247,LookUps!$D$5:$D$12,0))))</f>
        <v>Particulate Matter Formation Potential (PMFP) - kg PM2.5 eq</v>
      </c>
      <c r="M8247" s="154" t="str">
        <f t="shared" si="652"/>
        <v>Low_Base_Upgraded_Particulate Matter Formation Potential (PMFP) - kg PM2.5 eq_Gravity Belt Thickener; wastewater treatment unit; at updated plant - US_Base_With Amendment_Aerated Static Pile</v>
      </c>
    </row>
    <row r="8248" spans="1:13" s="120" customFormat="1" x14ac:dyDescent="0.25">
      <c r="A8248" s="119"/>
      <c r="B8248" s="138" t="str">
        <f t="shared" si="654"/>
        <v>Aerated Static Pile</v>
      </c>
      <c r="C8248" s="138" t="str">
        <f t="shared" si="653"/>
        <v>Base_With Amendment</v>
      </c>
      <c r="D8248" s="138" t="s">
        <v>130</v>
      </c>
      <c r="E8248" s="138" t="str">
        <f t="shared" si="655"/>
        <v>Low</v>
      </c>
      <c r="F8248" s="138" t="str">
        <f t="shared" si="656"/>
        <v>Upgraded</v>
      </c>
      <c r="G8248" s="153"/>
      <c r="H8248" s="210">
        <v>1.35E-2</v>
      </c>
      <c r="I8248" s="160" t="s">
        <v>59</v>
      </c>
      <c r="J8248" s="211">
        <v>6.9942200000000003E-5</v>
      </c>
      <c r="K8248" s="160" t="s">
        <v>145</v>
      </c>
      <c r="L8248" s="154" t="str">
        <f>IF(OpenLCAbasic!K8248="CTUh", "Fill in Manually",IF(OR(K8248="Unit", K8248=""), "", INDEX(LookUps!$E$5:$E$12, MATCH(OpenLCAbasic!K8248,LookUps!$D$5:$D$12,0))))</f>
        <v>Particulate Matter Formation Potential (PMFP) - kg PM2.5 eq</v>
      </c>
      <c r="M8248" s="154" t="str">
        <f t="shared" si="652"/>
        <v>Low_Base_Upgraded_Particulate Matter Formation Potential (PMFP) - kg PM2.5 eq_Blend Tank; wastewater treatment unit; at updated plant - US_Base_With Amendment_Aerated Static Pile</v>
      </c>
    </row>
    <row r="8249" spans="1:13" s="120" customFormat="1" x14ac:dyDescent="0.25">
      <c r="A8249" s="119"/>
      <c r="B8249" s="138" t="str">
        <f t="shared" si="654"/>
        <v>Aerated Static Pile</v>
      </c>
      <c r="C8249" s="138" t="str">
        <f t="shared" si="653"/>
        <v>Base_With Amendment</v>
      </c>
      <c r="D8249" s="138" t="s">
        <v>130</v>
      </c>
      <c r="E8249" s="138" t="str">
        <f t="shared" si="655"/>
        <v>Low</v>
      </c>
      <c r="F8249" s="138" t="str">
        <f t="shared" si="656"/>
        <v>Upgraded</v>
      </c>
      <c r="G8249" s="153"/>
      <c r="H8249" s="210">
        <v>0.01</v>
      </c>
      <c r="I8249" s="160" t="s">
        <v>62</v>
      </c>
      <c r="J8249" s="211">
        <v>5.2024699999999997E-5</v>
      </c>
      <c r="K8249" s="160" t="s">
        <v>145</v>
      </c>
      <c r="L8249" s="154" t="str">
        <f>IF(OpenLCAbasic!K8249="CTUh", "Fill in Manually",IF(OR(K8249="Unit", K8249=""), "", INDEX(LookUps!$E$5:$E$12, MATCH(OpenLCAbasic!K8249,LookUps!$D$5:$D$12,0))))</f>
        <v>Particulate Matter Formation Potential (PMFP) - kg PM2.5 eq</v>
      </c>
      <c r="M8249" s="154" t="str">
        <f t="shared" si="652"/>
        <v>Low_Base_Upgraded_Particulate Matter Formation Potential (PMFP) - kg PM2.5 eq_Land application of compost; wastewater treatment unit; at updated plant - US_Base_With Amendment_Aerated Static Pile</v>
      </c>
    </row>
    <row r="8250" spans="1:13" s="120" customFormat="1" x14ac:dyDescent="0.25">
      <c r="A8250" s="119"/>
      <c r="B8250" s="138" t="str">
        <f t="shared" si="654"/>
        <v>Aerated Static Pile</v>
      </c>
      <c r="C8250" s="138" t="str">
        <f t="shared" si="653"/>
        <v>Base_With Amendment</v>
      </c>
      <c r="D8250" s="138" t="s">
        <v>130</v>
      </c>
      <c r="E8250" s="138" t="str">
        <f t="shared" si="655"/>
        <v>Low</v>
      </c>
      <c r="F8250" s="138" t="str">
        <f t="shared" si="656"/>
        <v>Upgraded</v>
      </c>
      <c r="G8250" s="153"/>
      <c r="H8250" s="210">
        <v>9.5999999999999992E-3</v>
      </c>
      <c r="I8250" s="160" t="s">
        <v>48</v>
      </c>
      <c r="J8250" s="211">
        <v>4.99741E-5</v>
      </c>
      <c r="K8250" s="160" t="s">
        <v>145</v>
      </c>
      <c r="L8250" s="154" t="str">
        <f>IF(OpenLCAbasic!K8250="CTUh", "Fill in Manually",IF(OR(K8250="Unit", K8250=""), "", INDEX(LookUps!$E$5:$E$12, MATCH(OpenLCAbasic!K8250,LookUps!$D$5:$D$12,0))))</f>
        <v>Particulate Matter Formation Potential (PMFP) - kg PM2.5 eq</v>
      </c>
      <c r="M8250" s="154" t="str">
        <f t="shared" si="652"/>
        <v>Low_Base_Upgraded_Particulate Matter Formation Potential (PMFP) - kg PM2.5 eq_Effluent release; wastewater treatment unit; at surface water; m3 wastewater - US_Base_With Amendment_Aerated Static Pile</v>
      </c>
    </row>
    <row r="8251" spans="1:13" s="120" customFormat="1" x14ac:dyDescent="0.25">
      <c r="A8251" s="119"/>
      <c r="B8251" s="138" t="str">
        <f t="shared" si="654"/>
        <v>Aerated Static Pile</v>
      </c>
      <c r="C8251" s="138" t="str">
        <f t="shared" si="653"/>
        <v>Base_With Amendment</v>
      </c>
      <c r="D8251" s="138" t="s">
        <v>130</v>
      </c>
      <c r="E8251" s="138" t="str">
        <f t="shared" si="655"/>
        <v>Low</v>
      </c>
      <c r="F8251" s="138" t="str">
        <f t="shared" si="656"/>
        <v>Upgraded</v>
      </c>
      <c r="G8251" s="153"/>
      <c r="H8251" s="210">
        <v>6.7000000000000002E-3</v>
      </c>
      <c r="I8251" s="160" t="s">
        <v>168</v>
      </c>
      <c r="J8251" s="211">
        <v>3.4562199999999999E-5</v>
      </c>
      <c r="K8251" s="160" t="s">
        <v>145</v>
      </c>
      <c r="L8251" s="154" t="str">
        <f>IF(OpenLCAbasic!K8251="CTUh", "Fill in Manually",IF(OR(K8251="Unit", K8251=""), "", INDEX(LookUps!$E$5:$E$12, MATCH(OpenLCAbasic!K8251,LookUps!$D$5:$D$12,0))))</f>
        <v>Particulate Matter Formation Potential (PMFP) - kg PM2.5 eq</v>
      </c>
      <c r="M8251" s="154" t="str">
        <f t="shared" ref="M8251:M8314" si="658">CONCATENATE(E8251,"_",D8251,"_",F8251,"_",L8251, "_",I8251,"_", C8251,"_", B8251)</f>
        <v>Low_Base_Upgraded_Particulate Matter Formation Potential (PMFP) - kg PM2.5 eq_ClearCove SCP; wastewater treatment unit; at updated plant - US_Base_With Amendment_Aerated Static Pile</v>
      </c>
    </row>
    <row r="8252" spans="1:13" s="120" customFormat="1" x14ac:dyDescent="0.25">
      <c r="A8252" s="119"/>
      <c r="B8252" s="138" t="str">
        <f t="shared" si="654"/>
        <v>Aerated Static Pile</v>
      </c>
      <c r="C8252" s="138" t="str">
        <f t="shared" si="653"/>
        <v>Base_With Amendment</v>
      </c>
      <c r="D8252" s="138" t="s">
        <v>130</v>
      </c>
      <c r="E8252" s="138" t="str">
        <f t="shared" si="655"/>
        <v>Low</v>
      </c>
      <c r="F8252" s="138" t="str">
        <f t="shared" si="656"/>
        <v>Upgraded</v>
      </c>
      <c r="G8252" s="153"/>
      <c r="H8252" s="210">
        <v>1.6999999999999999E-3</v>
      </c>
      <c r="I8252" s="160" t="s">
        <v>148</v>
      </c>
      <c r="J8252" s="211">
        <v>8.8212999999999997E-6</v>
      </c>
      <c r="K8252" s="160" t="s">
        <v>145</v>
      </c>
      <c r="L8252" s="154" t="str">
        <f>IF(OpenLCAbasic!K8252="CTUh", "Fill in Manually",IF(OR(K8252="Unit", K8252=""), "", INDEX(LookUps!$E$5:$E$12, MATCH(OpenLCAbasic!K8252,LookUps!$D$5:$D$12,0))))</f>
        <v>Particulate Matter Formation Potential (PMFP) - kg PM2.5 eq</v>
      </c>
      <c r="M8252" s="154" t="str">
        <f t="shared" si="658"/>
        <v>Low_Base_Upgraded_Particulate Matter Formation Potential (PMFP) - kg PM2.5 eq_Control Building; at upgraded wastewater treatment plant - US_Base_With Amendment_Aerated Static Pile</v>
      </c>
    </row>
    <row r="8253" spans="1:13" s="120" customFormat="1" x14ac:dyDescent="0.25">
      <c r="A8253" s="119"/>
      <c r="B8253" s="138" t="str">
        <f t="shared" si="654"/>
        <v>Aerated Static Pile</v>
      </c>
      <c r="C8253" s="138" t="str">
        <f t="shared" si="653"/>
        <v>Base_With Amendment</v>
      </c>
      <c r="D8253" s="138" t="s">
        <v>130</v>
      </c>
      <c r="E8253" s="138" t="str">
        <f t="shared" si="655"/>
        <v>Low</v>
      </c>
      <c r="F8253" s="138" t="str">
        <f t="shared" si="656"/>
        <v>Upgraded</v>
      </c>
      <c r="G8253" s="153"/>
      <c r="H8253" s="210">
        <v>-0.1676</v>
      </c>
      <c r="I8253" s="160" t="s">
        <v>149</v>
      </c>
      <c r="J8253" s="160">
        <v>-8.7000000000000001E-4</v>
      </c>
      <c r="K8253" s="160" t="s">
        <v>145</v>
      </c>
      <c r="L8253" s="154" t="str">
        <f>IF(OpenLCAbasic!K8253="CTUh", "Fill in Manually",IF(OR(K8253="Unit", K8253=""), "", INDEX(LookUps!$E$5:$E$12, MATCH(OpenLCAbasic!K8253,LookUps!$D$5:$D$12,0))))</f>
        <v>Particulate Matter Formation Potential (PMFP) - kg PM2.5 eq</v>
      </c>
      <c r="M8253" s="154" t="str">
        <f t="shared" si="658"/>
        <v>Low_Base_Upgraded_Particulate Matter Formation Potential (PMFP) - kg PM2.5 eq_Anaerobic Digestion; wastewater treatment unit; at updated plant - US_Base_With Amendment_Aerated Static Pile</v>
      </c>
    </row>
    <row r="8254" spans="1:13" s="120" customFormat="1" x14ac:dyDescent="0.25">
      <c r="A8254" s="119"/>
      <c r="B8254" s="138" t="str">
        <f t="shared" si="654"/>
        <v/>
      </c>
      <c r="C8254" s="138" t="str">
        <f t="shared" si="653"/>
        <v/>
      </c>
      <c r="D8254" s="138" t="str">
        <f t="shared" si="657"/>
        <v/>
      </c>
      <c r="E8254" s="138" t="str">
        <f t="shared" si="655"/>
        <v/>
      </c>
      <c r="F8254" s="138" t="str">
        <f t="shared" si="656"/>
        <v/>
      </c>
      <c r="G8254" s="153" t="s">
        <v>51</v>
      </c>
      <c r="H8254" s="160"/>
      <c r="I8254" s="160" t="s">
        <v>47</v>
      </c>
      <c r="J8254" s="160" t="s">
        <v>52</v>
      </c>
      <c r="K8254" s="160" t="s">
        <v>27</v>
      </c>
      <c r="L8254" s="154" t="str">
        <f>IF(OpenLCAbasic!K8254="CTUh", "Fill in Manually",IF(OR(K8254="Unit", K8254=""), "", INDEX(LookUps!$E$5:$E$12, MATCH(OpenLCAbasic!K8254,LookUps!$D$5:$D$12,0))))</f>
        <v/>
      </c>
      <c r="M8254" s="154" t="str">
        <f t="shared" si="658"/>
        <v>____Process__</v>
      </c>
    </row>
    <row r="8255" spans="1:13" s="120" customFormat="1" x14ac:dyDescent="0.25">
      <c r="A8255" s="119"/>
      <c r="B8255" s="138" t="str">
        <f t="shared" si="654"/>
        <v>Aerated Static Pile</v>
      </c>
      <c r="C8255" s="138" t="str">
        <f t="shared" si="653"/>
        <v>Base_With Amendment</v>
      </c>
      <c r="D8255" s="138" t="s">
        <v>130</v>
      </c>
      <c r="E8255" s="138" t="str">
        <f t="shared" si="655"/>
        <v>Low</v>
      </c>
      <c r="F8255" s="138" t="str">
        <f t="shared" si="656"/>
        <v>Upgraded</v>
      </c>
      <c r="G8255" s="153"/>
      <c r="H8255" s="210">
        <v>0.45029999999999998</v>
      </c>
      <c r="I8255" s="160" t="s">
        <v>55</v>
      </c>
      <c r="J8255" s="160">
        <v>0.16577</v>
      </c>
      <c r="K8255" s="160" t="s">
        <v>25</v>
      </c>
      <c r="L8255" s="154" t="str">
        <f>IF(OpenLCAbasic!K8255="CTUh", "Fill in Manually",IF(OR(K8255="Unit", K8255=""), "", INDEX(LookUps!$E$5:$E$12, MATCH(OpenLCAbasic!K8255,LookUps!$D$5:$D$12,0))))</f>
        <v>Smog Formation Potential (SFP) - kg O3 eq</v>
      </c>
      <c r="M8255" s="154" t="str">
        <f t="shared" si="658"/>
        <v>Low_Base_Upgraded_Smog Formation Potential (SFP) - kg O3 eq_Aeration Tanks; wastewater treatment unit; at updated plant - US_Base_With Amendment_Aerated Static Pile</v>
      </c>
    </row>
    <row r="8256" spans="1:13" s="120" customFormat="1" x14ac:dyDescent="0.25">
      <c r="A8256" s="119"/>
      <c r="B8256" s="138" t="str">
        <f t="shared" si="654"/>
        <v>Aerated Static Pile</v>
      </c>
      <c r="C8256" s="138" t="str">
        <f t="shared" si="653"/>
        <v>Base_With Amendment</v>
      </c>
      <c r="D8256" s="138" t="s">
        <v>130</v>
      </c>
      <c r="E8256" s="138" t="str">
        <f t="shared" si="655"/>
        <v>Low</v>
      </c>
      <c r="F8256" s="138" t="str">
        <f t="shared" si="656"/>
        <v>Upgraded</v>
      </c>
      <c r="G8256" s="153"/>
      <c r="H8256" s="210">
        <v>0.1618</v>
      </c>
      <c r="I8256" s="160" t="s">
        <v>435</v>
      </c>
      <c r="J8256" s="160">
        <v>5.9569999999999998E-2</v>
      </c>
      <c r="K8256" s="160" t="s">
        <v>25</v>
      </c>
      <c r="L8256" s="154" t="str">
        <f>IF(OpenLCAbasic!K8256="CTUh", "Fill in Manually",IF(OR(K8256="Unit", K8256=""), "", INDEX(LookUps!$E$5:$E$12, MATCH(OpenLCAbasic!K8256,LookUps!$D$5:$D$12,0))))</f>
        <v>Smog Formation Potential (SFP) - kg O3 eq</v>
      </c>
      <c r="M8256" s="154" t="str">
        <f t="shared" si="658"/>
        <v>Low_Base_Upgraded_Smog Formation Potential (SFP) - kg O3 eq_Biosolids composting; aerated static pile; wastewater treatment unit; at updated plant - US_Base_With Amendment_Aerated Static Pile</v>
      </c>
    </row>
    <row r="8257" spans="1:13" s="120" customFormat="1" x14ac:dyDescent="0.25">
      <c r="A8257" s="119"/>
      <c r="B8257" s="138" t="str">
        <f t="shared" si="654"/>
        <v>Aerated Static Pile</v>
      </c>
      <c r="C8257" s="138" t="str">
        <f t="shared" si="653"/>
        <v>Base_With Amendment</v>
      </c>
      <c r="D8257" s="138" t="s">
        <v>130</v>
      </c>
      <c r="E8257" s="138" t="str">
        <f t="shared" si="655"/>
        <v>Low</v>
      </c>
      <c r="F8257" s="138" t="str">
        <f t="shared" si="656"/>
        <v>Upgraded</v>
      </c>
      <c r="G8257" s="153"/>
      <c r="H8257" s="210">
        <v>0.13059999999999999</v>
      </c>
      <c r="I8257" s="160" t="s">
        <v>54</v>
      </c>
      <c r="J8257" s="160">
        <v>4.8070000000000002E-2</v>
      </c>
      <c r="K8257" s="160" t="s">
        <v>25</v>
      </c>
      <c r="L8257" s="154" t="str">
        <f>IF(OpenLCAbasic!K8257="CTUh", "Fill in Manually",IF(OR(K8257="Unit", K8257=""), "", INDEX(LookUps!$E$5:$E$12, MATCH(OpenLCAbasic!K8257,LookUps!$D$5:$D$12,0))))</f>
        <v>Smog Formation Potential (SFP) - kg O3 eq</v>
      </c>
      <c r="M8257" s="154" t="str">
        <f t="shared" si="658"/>
        <v>Low_Base_Upgraded_Smog Formation Potential (SFP) - kg O3 eq_Clear Cove Primary Clarification; wastewater treatment unit; at updated plant - US_Base_With Amendment_Aerated Static Pile</v>
      </c>
    </row>
    <row r="8258" spans="1:13" s="120" customFormat="1" x14ac:dyDescent="0.25">
      <c r="A8258" s="119"/>
      <c r="B8258" s="138" t="str">
        <f t="shared" si="654"/>
        <v>Aerated Static Pile</v>
      </c>
      <c r="C8258" s="138" t="str">
        <f t="shared" si="653"/>
        <v>Base_With Amendment</v>
      </c>
      <c r="D8258" s="138" t="s">
        <v>130</v>
      </c>
      <c r="E8258" s="138" t="str">
        <f t="shared" si="655"/>
        <v>Low</v>
      </c>
      <c r="F8258" s="138" t="str">
        <f t="shared" si="656"/>
        <v>Upgraded</v>
      </c>
      <c r="G8258" s="153"/>
      <c r="H8258" s="210">
        <v>0.1135</v>
      </c>
      <c r="I8258" s="160" t="s">
        <v>58</v>
      </c>
      <c r="J8258" s="160">
        <v>4.1779999999999998E-2</v>
      </c>
      <c r="K8258" s="160" t="s">
        <v>25</v>
      </c>
      <c r="L8258" s="154" t="str">
        <f>IF(OpenLCAbasic!K8258="CTUh", "Fill in Manually",IF(OR(K8258="Unit", K8258=""), "", INDEX(LookUps!$E$5:$E$12, MATCH(OpenLCAbasic!K8258,LookUps!$D$5:$D$12,0))))</f>
        <v>Smog Formation Potential (SFP) - kg O3 eq</v>
      </c>
      <c r="M8258" s="154" t="str">
        <f t="shared" si="658"/>
        <v>Low_Base_Upgraded_Smog Formation Potential (SFP) - kg O3 eq_Pre-Anoxic &amp; Swing tank; wastewater treatment unit; at updated plant - US_Base_With Amendment_Aerated Static Pile</v>
      </c>
    </row>
    <row r="8259" spans="1:13" s="120" customFormat="1" x14ac:dyDescent="0.25">
      <c r="A8259" s="119"/>
      <c r="B8259" s="138" t="str">
        <f t="shared" si="654"/>
        <v>Aerated Static Pile</v>
      </c>
      <c r="C8259" s="138" t="str">
        <f t="shared" si="653"/>
        <v>Base_With Amendment</v>
      </c>
      <c r="D8259" s="138" t="s">
        <v>130</v>
      </c>
      <c r="E8259" s="138" t="str">
        <f t="shared" si="655"/>
        <v>Low</v>
      </c>
      <c r="F8259" s="138" t="str">
        <f t="shared" si="656"/>
        <v>Upgraded</v>
      </c>
      <c r="G8259" s="153"/>
      <c r="H8259" s="210">
        <v>0.09</v>
      </c>
      <c r="I8259" s="160" t="s">
        <v>53</v>
      </c>
      <c r="J8259" s="160">
        <v>3.313E-2</v>
      </c>
      <c r="K8259" s="160" t="s">
        <v>25</v>
      </c>
      <c r="L8259" s="154" t="str">
        <f>IF(OpenLCAbasic!K8259="CTUh", "Fill in Manually",IF(OR(K8259="Unit", K8259=""), "", INDEX(LookUps!$E$5:$E$12, MATCH(OpenLCAbasic!K8259,LookUps!$D$5:$D$12,0))))</f>
        <v>Smog Formation Potential (SFP) - kg O3 eq</v>
      </c>
      <c r="M8259" s="154" t="str">
        <f t="shared" si="658"/>
        <v>Low_Base_Upgraded_Smog Formation Potential (SFP) - kg O3 eq_Wet Well and Sump Station; wastewater treatment unit; at updated plant - US_Base_With Amendment_Aerated Static Pile</v>
      </c>
    </row>
    <row r="8260" spans="1:13" s="120" customFormat="1" x14ac:dyDescent="0.25">
      <c r="A8260" s="119"/>
      <c r="B8260" s="138" t="str">
        <f t="shared" si="654"/>
        <v>Aerated Static Pile</v>
      </c>
      <c r="C8260" s="138" t="str">
        <f t="shared" si="653"/>
        <v>Base_With Amendment</v>
      </c>
      <c r="D8260" s="138" t="s">
        <v>130</v>
      </c>
      <c r="E8260" s="138" t="str">
        <f t="shared" si="655"/>
        <v>Low</v>
      </c>
      <c r="F8260" s="138" t="str">
        <f t="shared" si="656"/>
        <v>Upgraded</v>
      </c>
      <c r="G8260" s="153"/>
      <c r="H8260" s="210">
        <v>7.5899999999999995E-2</v>
      </c>
      <c r="I8260" s="160" t="s">
        <v>167</v>
      </c>
      <c r="J8260" s="160">
        <v>2.7949999999999999E-2</v>
      </c>
      <c r="K8260" s="160" t="s">
        <v>25</v>
      </c>
      <c r="L8260" s="154" t="str">
        <f>IF(OpenLCAbasic!K8260="CTUh", "Fill in Manually",IF(OR(K8260="Unit", K8260=""), "", INDEX(LookUps!$E$5:$E$12, MATCH(OpenLCAbasic!K8260,LookUps!$D$5:$D$12,0))))</f>
        <v>Smog Formation Potential (SFP) - kg O3 eq</v>
      </c>
      <c r="M8260" s="154" t="str">
        <f t="shared" si="658"/>
        <v>Low_Base_Upgraded_Smog Formation Potential (SFP) - kg O3 eq_Waste Receiving and Holding; wastewater treatment unit; at updated plant - US_Base_With Amendment_Aerated Static Pile</v>
      </c>
    </row>
    <row r="8261" spans="1:13" s="120" customFormat="1" x14ac:dyDescent="0.25">
      <c r="A8261" s="119"/>
      <c r="B8261" s="138" t="str">
        <f t="shared" si="654"/>
        <v>Aerated Static Pile</v>
      </c>
      <c r="C8261" s="138" t="str">
        <f t="shared" si="653"/>
        <v>Base_With Amendment</v>
      </c>
      <c r="D8261" s="138" t="s">
        <v>130</v>
      </c>
      <c r="E8261" s="138" t="str">
        <f t="shared" si="655"/>
        <v>Low</v>
      </c>
      <c r="F8261" s="138" t="str">
        <f t="shared" si="656"/>
        <v>Upgraded</v>
      </c>
      <c r="G8261" s="153"/>
      <c r="H8261" s="210">
        <v>5.2699999999999997E-2</v>
      </c>
      <c r="I8261" s="160" t="s">
        <v>147</v>
      </c>
      <c r="J8261" s="160">
        <v>1.9400000000000001E-2</v>
      </c>
      <c r="K8261" s="160" t="s">
        <v>25</v>
      </c>
      <c r="L8261" s="154" t="str">
        <f>IF(OpenLCAbasic!K8261="CTUh", "Fill in Manually",IF(OR(K8261="Unit", K8261=""), "", INDEX(LookUps!$E$5:$E$12, MATCH(OpenLCAbasic!K8261,LookUps!$D$5:$D$12,0))))</f>
        <v>Smog Formation Potential (SFP) - kg O3 eq</v>
      </c>
      <c r="M8261" s="154" t="str">
        <f t="shared" si="658"/>
        <v>Low_Base_Upgraded_Smog Formation Potential (SFP) - kg O3 eq_Influent Pump Station; wastewater treatment unit; at updated plant - US_Base_With Amendment_Aerated Static Pile</v>
      </c>
    </row>
    <row r="8262" spans="1:13" s="120" customFormat="1" x14ac:dyDescent="0.25">
      <c r="A8262" s="119"/>
      <c r="B8262" s="138" t="str">
        <f t="shared" si="654"/>
        <v>Aerated Static Pile</v>
      </c>
      <c r="C8262" s="138" t="str">
        <f t="shared" si="653"/>
        <v>Base_With Amendment</v>
      </c>
      <c r="D8262" s="138" t="s">
        <v>130</v>
      </c>
      <c r="E8262" s="138" t="str">
        <f t="shared" si="655"/>
        <v>Low</v>
      </c>
      <c r="F8262" s="138" t="str">
        <f t="shared" si="656"/>
        <v>Upgraded</v>
      </c>
      <c r="G8262" s="153"/>
      <c r="H8262" s="210">
        <v>3.2399999999999998E-2</v>
      </c>
      <c r="I8262" s="160" t="s">
        <v>128</v>
      </c>
      <c r="J8262" s="160">
        <v>1.192E-2</v>
      </c>
      <c r="K8262" s="160" t="s">
        <v>25</v>
      </c>
      <c r="L8262" s="154" t="str">
        <f>IF(OpenLCAbasic!K8262="CTUh", "Fill in Manually",IF(OR(K8262="Unit", K8262=""), "", INDEX(LookUps!$E$5:$E$12, MATCH(OpenLCAbasic!K8262,LookUps!$D$5:$D$12,0))))</f>
        <v>Smog Formation Potential (SFP) - kg O3 eq</v>
      </c>
      <c r="M8262" s="154" t="str">
        <f t="shared" si="658"/>
        <v>Low_Base_Upgraded_Smog Formation Potential (SFP) - kg O3 eq_Wastewater collection; operation and infrastructure; m3 wastewater_Base_With Amendment_Aerated Static Pile</v>
      </c>
    </row>
    <row r="8263" spans="1:13" s="120" customFormat="1" x14ac:dyDescent="0.25">
      <c r="A8263" s="119"/>
      <c r="B8263" s="138" t="str">
        <f t="shared" si="654"/>
        <v>Aerated Static Pile</v>
      </c>
      <c r="C8263" s="138" t="str">
        <f t="shared" si="653"/>
        <v>Base_With Amendment</v>
      </c>
      <c r="D8263" s="138" t="s">
        <v>130</v>
      </c>
      <c r="E8263" s="138" t="str">
        <f t="shared" si="655"/>
        <v>Low</v>
      </c>
      <c r="F8263" s="138" t="str">
        <f t="shared" si="656"/>
        <v>Upgraded</v>
      </c>
      <c r="G8263" s="153"/>
      <c r="H8263" s="210">
        <v>0.02</v>
      </c>
      <c r="I8263" s="160" t="s">
        <v>60</v>
      </c>
      <c r="J8263" s="160">
        <v>7.3499999999999998E-3</v>
      </c>
      <c r="K8263" s="160" t="s">
        <v>25</v>
      </c>
      <c r="L8263" s="154" t="str">
        <f>IF(OpenLCAbasic!K8263="CTUh", "Fill in Manually",IF(OR(K8263="Unit", K8263=""), "", INDEX(LookUps!$E$5:$E$12, MATCH(OpenLCAbasic!K8263,LookUps!$D$5:$D$12,0))))</f>
        <v>Smog Formation Potential (SFP) - kg O3 eq</v>
      </c>
      <c r="M8263" s="154" t="str">
        <f t="shared" si="658"/>
        <v>Low_Base_Upgraded_Smog Formation Potential (SFP) - kg O3 eq_Belt filter press; wastewater treatment unit; at updated plant - US_Base_With Amendment_Aerated Static Pile</v>
      </c>
    </row>
    <row r="8264" spans="1:13" s="120" customFormat="1" x14ac:dyDescent="0.25">
      <c r="A8264" s="119"/>
      <c r="B8264" s="138" t="str">
        <f t="shared" si="654"/>
        <v>Aerated Static Pile</v>
      </c>
      <c r="C8264" s="138" t="str">
        <f t="shared" si="653"/>
        <v>Base_With Amendment</v>
      </c>
      <c r="D8264" s="138" t="s">
        <v>130</v>
      </c>
      <c r="E8264" s="138" t="str">
        <f t="shared" si="655"/>
        <v>Low</v>
      </c>
      <c r="F8264" s="138" t="str">
        <f t="shared" si="656"/>
        <v>Upgraded</v>
      </c>
      <c r="G8264" s="153"/>
      <c r="H8264" s="210">
        <v>1.8100000000000002E-2</v>
      </c>
      <c r="I8264" s="160" t="s">
        <v>57</v>
      </c>
      <c r="J8264" s="160">
        <v>6.6499999999999997E-3</v>
      </c>
      <c r="K8264" s="160" t="s">
        <v>25</v>
      </c>
      <c r="L8264" s="154" t="str">
        <f>IF(OpenLCAbasic!K8264="CTUh", "Fill in Manually",IF(OR(K8264="Unit", K8264=""), "", INDEX(LookUps!$E$5:$E$12, MATCH(OpenLCAbasic!K8264,LookUps!$D$5:$D$12,0))))</f>
        <v>Smog Formation Potential (SFP) - kg O3 eq</v>
      </c>
      <c r="M8264" s="154" t="str">
        <f t="shared" si="658"/>
        <v>Low_Base_Upgraded_Smog Formation Potential (SFP) - kg O3 eq_Gravity Belt Thickener; wastewater treatment unit; at updated plant - US_Base_With Amendment_Aerated Static Pile</v>
      </c>
    </row>
    <row r="8265" spans="1:13" s="120" customFormat="1" x14ac:dyDescent="0.25">
      <c r="A8265" s="119"/>
      <c r="B8265" s="138" t="str">
        <f t="shared" si="654"/>
        <v>Aerated Static Pile</v>
      </c>
      <c r="C8265" s="138" t="str">
        <f t="shared" ref="C8265:C8328" si="659">IF(ISNUMBER($J8265),"Base_With Amendment","")</f>
        <v>Base_With Amendment</v>
      </c>
      <c r="D8265" s="138" t="s">
        <v>130</v>
      </c>
      <c r="E8265" s="138" t="str">
        <f t="shared" si="655"/>
        <v>Low</v>
      </c>
      <c r="F8265" s="138" t="str">
        <f t="shared" si="656"/>
        <v>Upgraded</v>
      </c>
      <c r="G8265" s="153"/>
      <c r="H8265" s="210">
        <v>1.35E-2</v>
      </c>
      <c r="I8265" s="160" t="s">
        <v>59</v>
      </c>
      <c r="J8265" s="160">
        <v>4.9699999999999996E-3</v>
      </c>
      <c r="K8265" s="160" t="s">
        <v>25</v>
      </c>
      <c r="L8265" s="154" t="str">
        <f>IF(OpenLCAbasic!K8265="CTUh", "Fill in Manually",IF(OR(K8265="Unit", K8265=""), "", INDEX(LookUps!$E$5:$E$12, MATCH(OpenLCAbasic!K8265,LookUps!$D$5:$D$12,0))))</f>
        <v>Smog Formation Potential (SFP) - kg O3 eq</v>
      </c>
      <c r="M8265" s="154" t="str">
        <f t="shared" si="658"/>
        <v>Low_Base_Upgraded_Smog Formation Potential (SFP) - kg O3 eq_Blend Tank; wastewater treatment unit; at updated plant - US_Base_With Amendment_Aerated Static Pile</v>
      </c>
    </row>
    <row r="8266" spans="1:13" s="120" customFormat="1" x14ac:dyDescent="0.25">
      <c r="A8266" s="119"/>
      <c r="B8266" s="138" t="str">
        <f t="shared" si="654"/>
        <v>Aerated Static Pile</v>
      </c>
      <c r="C8266" s="138" t="str">
        <f t="shared" si="659"/>
        <v>Base_With Amendment</v>
      </c>
      <c r="D8266" s="138" t="s">
        <v>130</v>
      </c>
      <c r="E8266" s="138" t="str">
        <f t="shared" si="655"/>
        <v>Low</v>
      </c>
      <c r="F8266" s="138" t="str">
        <f t="shared" si="656"/>
        <v>Upgraded</v>
      </c>
      <c r="G8266" s="153"/>
      <c r="H8266" s="210">
        <v>9.1999999999999998E-3</v>
      </c>
      <c r="I8266" s="160" t="s">
        <v>48</v>
      </c>
      <c r="J8266" s="160">
        <v>3.3899999999999998E-3</v>
      </c>
      <c r="K8266" s="160" t="s">
        <v>25</v>
      </c>
      <c r="L8266" s="154" t="str">
        <f>IF(OpenLCAbasic!K8266="CTUh", "Fill in Manually",IF(OR(K8266="Unit", K8266=""), "", INDEX(LookUps!$E$5:$E$12, MATCH(OpenLCAbasic!K8266,LookUps!$D$5:$D$12,0))))</f>
        <v>Smog Formation Potential (SFP) - kg O3 eq</v>
      </c>
      <c r="M8266" s="154" t="str">
        <f t="shared" si="658"/>
        <v>Low_Base_Upgraded_Smog Formation Potential (SFP) - kg O3 eq_Effluent release; wastewater treatment unit; at surface water; m3 wastewater - US_Base_With Amendment_Aerated Static Pile</v>
      </c>
    </row>
    <row r="8267" spans="1:13" s="120" customFormat="1" x14ac:dyDescent="0.25">
      <c r="A8267" s="119"/>
      <c r="B8267" s="138" t="str">
        <f t="shared" si="654"/>
        <v>Aerated Static Pile</v>
      </c>
      <c r="C8267" s="138" t="str">
        <f t="shared" si="659"/>
        <v>Base_With Amendment</v>
      </c>
      <c r="D8267" s="138" t="s">
        <v>130</v>
      </c>
      <c r="E8267" s="138" t="str">
        <f t="shared" si="655"/>
        <v>Low</v>
      </c>
      <c r="F8267" s="138" t="str">
        <f t="shared" si="656"/>
        <v>Upgraded</v>
      </c>
      <c r="G8267" s="153"/>
      <c r="H8267" s="210">
        <v>6.7000000000000002E-3</v>
      </c>
      <c r="I8267" s="160" t="s">
        <v>168</v>
      </c>
      <c r="J8267" s="160">
        <v>2.4599999999999999E-3</v>
      </c>
      <c r="K8267" s="160" t="s">
        <v>25</v>
      </c>
      <c r="L8267" s="154" t="str">
        <f>IF(OpenLCAbasic!K8267="CTUh", "Fill in Manually",IF(OR(K8267="Unit", K8267=""), "", INDEX(LookUps!$E$5:$E$12, MATCH(OpenLCAbasic!K8267,LookUps!$D$5:$D$12,0))))</f>
        <v>Smog Formation Potential (SFP) - kg O3 eq</v>
      </c>
      <c r="M8267" s="154" t="str">
        <f t="shared" si="658"/>
        <v>Low_Base_Upgraded_Smog Formation Potential (SFP) - kg O3 eq_ClearCove SCP; wastewater treatment unit; at updated plant - US_Base_With Amendment_Aerated Static Pile</v>
      </c>
    </row>
    <row r="8268" spans="1:13" s="120" customFormat="1" x14ac:dyDescent="0.25">
      <c r="A8268" s="119"/>
      <c r="B8268" s="138" t="str">
        <f t="shared" si="654"/>
        <v>Aerated Static Pile</v>
      </c>
      <c r="C8268" s="138" t="str">
        <f t="shared" si="659"/>
        <v>Base_With Amendment</v>
      </c>
      <c r="D8268" s="138" t="s">
        <v>130</v>
      </c>
      <c r="E8268" s="138" t="str">
        <f t="shared" si="655"/>
        <v>Low</v>
      </c>
      <c r="F8268" s="138" t="str">
        <f t="shared" si="656"/>
        <v>Upgraded</v>
      </c>
      <c r="G8268" s="153"/>
      <c r="H8268" s="210">
        <v>1.5E-3</v>
      </c>
      <c r="I8268" s="160" t="s">
        <v>148</v>
      </c>
      <c r="J8268" s="160">
        <v>5.4000000000000001E-4</v>
      </c>
      <c r="K8268" s="160" t="s">
        <v>25</v>
      </c>
      <c r="L8268" s="154" t="str">
        <f>IF(OpenLCAbasic!K8268="CTUh", "Fill in Manually",IF(OR(K8268="Unit", K8268=""), "", INDEX(LookUps!$E$5:$E$12, MATCH(OpenLCAbasic!K8268,LookUps!$D$5:$D$12,0))))</f>
        <v>Smog Formation Potential (SFP) - kg O3 eq</v>
      </c>
      <c r="M8268" s="154" t="str">
        <f t="shared" si="658"/>
        <v>Low_Base_Upgraded_Smog Formation Potential (SFP) - kg O3 eq_Control Building; at upgraded wastewater treatment plant - US_Base_With Amendment_Aerated Static Pile</v>
      </c>
    </row>
    <row r="8269" spans="1:13" s="120" customFormat="1" x14ac:dyDescent="0.25">
      <c r="A8269" s="119"/>
      <c r="B8269" s="138" t="str">
        <f t="shared" si="654"/>
        <v>Aerated Static Pile</v>
      </c>
      <c r="C8269" s="138" t="str">
        <f t="shared" si="659"/>
        <v>Base_With Amendment</v>
      </c>
      <c r="D8269" s="138" t="s">
        <v>130</v>
      </c>
      <c r="E8269" s="138" t="str">
        <f t="shared" si="655"/>
        <v>Low</v>
      </c>
      <c r="F8269" s="138" t="str">
        <f t="shared" si="656"/>
        <v>Upgraded</v>
      </c>
      <c r="G8269" s="153"/>
      <c r="H8269" s="210">
        <v>-7.7999999999999996E-3</v>
      </c>
      <c r="I8269" s="160" t="s">
        <v>62</v>
      </c>
      <c r="J8269" s="160">
        <v>-2.8800000000000002E-3</v>
      </c>
      <c r="K8269" s="160" t="s">
        <v>25</v>
      </c>
      <c r="L8269" s="154" t="str">
        <f>IF(OpenLCAbasic!K8269="CTUh", "Fill in Manually",IF(OR(K8269="Unit", K8269=""), "", INDEX(LookUps!$E$5:$E$12, MATCH(OpenLCAbasic!K8269,LookUps!$D$5:$D$12,0))))</f>
        <v>Smog Formation Potential (SFP) - kg O3 eq</v>
      </c>
      <c r="M8269" s="154" t="str">
        <f t="shared" si="658"/>
        <v>Low_Base_Upgraded_Smog Formation Potential (SFP) - kg O3 eq_Land application of compost; wastewater treatment unit; at updated plant - US_Base_With Amendment_Aerated Static Pile</v>
      </c>
    </row>
    <row r="8270" spans="1:13" s="120" customFormat="1" x14ac:dyDescent="0.25">
      <c r="A8270" s="119"/>
      <c r="B8270" s="138" t="str">
        <f t="shared" si="654"/>
        <v>Aerated Static Pile</v>
      </c>
      <c r="C8270" s="138" t="str">
        <f t="shared" si="659"/>
        <v>Base_With Amendment</v>
      </c>
      <c r="D8270" s="138" t="s">
        <v>130</v>
      </c>
      <c r="E8270" s="138" t="str">
        <f t="shared" si="655"/>
        <v>Low</v>
      </c>
      <c r="F8270" s="138" t="str">
        <f t="shared" si="656"/>
        <v>Upgraded</v>
      </c>
      <c r="G8270" s="153"/>
      <c r="H8270" s="210">
        <v>-0.16830000000000001</v>
      </c>
      <c r="I8270" s="160" t="s">
        <v>149</v>
      </c>
      <c r="J8270" s="160">
        <v>-6.1940000000000002E-2</v>
      </c>
      <c r="K8270" s="160" t="s">
        <v>25</v>
      </c>
      <c r="L8270" s="154" t="str">
        <f>IF(OpenLCAbasic!K8270="CTUh", "Fill in Manually",IF(OR(K8270="Unit", K8270=""), "", INDEX(LookUps!$E$5:$E$12, MATCH(OpenLCAbasic!K8270,LookUps!$D$5:$D$12,0))))</f>
        <v>Smog Formation Potential (SFP) - kg O3 eq</v>
      </c>
      <c r="M8270" s="154" t="str">
        <f t="shared" si="658"/>
        <v>Low_Base_Upgraded_Smog Formation Potential (SFP) - kg O3 eq_Anaerobic Digestion; wastewater treatment unit; at updated plant - US_Base_With Amendment_Aerated Static Pile</v>
      </c>
    </row>
    <row r="8271" spans="1:13" s="120" customFormat="1" x14ac:dyDescent="0.25">
      <c r="A8271" s="119"/>
      <c r="B8271" s="138" t="str">
        <f t="shared" si="654"/>
        <v/>
      </c>
      <c r="C8271" s="138" t="str">
        <f t="shared" si="659"/>
        <v/>
      </c>
      <c r="D8271" s="138" t="str">
        <f t="shared" si="657"/>
        <v/>
      </c>
      <c r="E8271" s="138" t="str">
        <f t="shared" si="655"/>
        <v/>
      </c>
      <c r="F8271" s="138" t="str">
        <f t="shared" si="656"/>
        <v/>
      </c>
      <c r="G8271" s="153" t="s">
        <v>51</v>
      </c>
      <c r="H8271" s="160"/>
      <c r="I8271" s="160" t="s">
        <v>47</v>
      </c>
      <c r="J8271" s="160" t="s">
        <v>52</v>
      </c>
      <c r="K8271" s="160" t="s">
        <v>27</v>
      </c>
      <c r="L8271" s="154" t="str">
        <f>IF(OpenLCAbasic!K8271="CTUh", "Fill in Manually",IF(OR(K8271="Unit", K8271=""), "", INDEX(LookUps!$E$5:$E$12, MATCH(OpenLCAbasic!K8271,LookUps!$D$5:$D$12,0))))</f>
        <v/>
      </c>
      <c r="M8271" s="154" t="str">
        <f t="shared" si="658"/>
        <v>____Process__</v>
      </c>
    </row>
    <row r="8272" spans="1:13" s="120" customFormat="1" x14ac:dyDescent="0.25">
      <c r="A8272" s="119"/>
      <c r="B8272" s="138" t="str">
        <f t="shared" si="654"/>
        <v>Aerated Static Pile</v>
      </c>
      <c r="C8272" s="138" t="str">
        <f t="shared" si="659"/>
        <v>Base_With Amendment</v>
      </c>
      <c r="D8272" s="138" t="s">
        <v>130</v>
      </c>
      <c r="E8272" s="138" t="str">
        <f t="shared" si="655"/>
        <v>Low</v>
      </c>
      <c r="F8272" s="138" t="str">
        <f t="shared" si="656"/>
        <v>Upgraded</v>
      </c>
      <c r="G8272" s="153"/>
      <c r="H8272" s="210">
        <v>10.202400000000001</v>
      </c>
      <c r="I8272" s="160" t="s">
        <v>167</v>
      </c>
      <c r="J8272" s="160">
        <v>2.3000000000000001E-4</v>
      </c>
      <c r="K8272" s="160" t="s">
        <v>26</v>
      </c>
      <c r="L8272" s="154" t="str">
        <f>IF(OpenLCAbasic!K8272="CTUh", "Fill in Manually",IF(OR(K8272="Unit", K8272=""), "", INDEX(LookUps!$E$5:$E$12, MATCH(OpenLCAbasic!K8272,LookUps!$D$5:$D$12,0))))</f>
        <v>Water Use (WU) - m3 H2O</v>
      </c>
      <c r="M8272" s="154" t="str">
        <f t="shared" si="658"/>
        <v>Low_Base_Upgraded_Water Use (WU) - m3 H2O_Waste Receiving and Holding; wastewater treatment unit; at updated plant - US_Base_With Amendment_Aerated Static Pile</v>
      </c>
    </row>
    <row r="8273" spans="1:13" s="120" customFormat="1" x14ac:dyDescent="0.25">
      <c r="A8273" s="119"/>
      <c r="B8273" s="138" t="str">
        <f t="shared" si="654"/>
        <v>Aerated Static Pile</v>
      </c>
      <c r="C8273" s="138" t="str">
        <f t="shared" si="659"/>
        <v>Base_With Amendment</v>
      </c>
      <c r="D8273" s="138" t="s">
        <v>130</v>
      </c>
      <c r="E8273" s="138" t="str">
        <f t="shared" si="655"/>
        <v>Low</v>
      </c>
      <c r="F8273" s="138" t="str">
        <f t="shared" si="656"/>
        <v>Upgraded</v>
      </c>
      <c r="G8273" s="153"/>
      <c r="H8273" s="210">
        <v>8.0729000000000006</v>
      </c>
      <c r="I8273" s="160" t="s">
        <v>147</v>
      </c>
      <c r="J8273" s="160">
        <v>1.8000000000000001E-4</v>
      </c>
      <c r="K8273" s="160" t="s">
        <v>26</v>
      </c>
      <c r="L8273" s="154" t="str">
        <f>IF(OpenLCAbasic!K8273="CTUh", "Fill in Manually",IF(OR(K8273="Unit", K8273=""), "", INDEX(LookUps!$E$5:$E$12, MATCH(OpenLCAbasic!K8273,LookUps!$D$5:$D$12,0))))</f>
        <v>Water Use (WU) - m3 H2O</v>
      </c>
      <c r="M8273" s="154" t="str">
        <f t="shared" si="658"/>
        <v>Low_Base_Upgraded_Water Use (WU) - m3 H2O_Influent Pump Station; wastewater treatment unit; at updated plant - US_Base_With Amendment_Aerated Static Pile</v>
      </c>
    </row>
    <row r="8274" spans="1:13" s="120" customFormat="1" x14ac:dyDescent="0.25">
      <c r="A8274" s="119"/>
      <c r="B8274" s="138" t="str">
        <f t="shared" si="654"/>
        <v>Aerated Static Pile</v>
      </c>
      <c r="C8274" s="138" t="str">
        <f t="shared" si="659"/>
        <v>Base_With Amendment</v>
      </c>
      <c r="D8274" s="138" t="s">
        <v>130</v>
      </c>
      <c r="E8274" s="138" t="str">
        <f t="shared" si="655"/>
        <v>Low</v>
      </c>
      <c r="F8274" s="138" t="str">
        <f t="shared" si="656"/>
        <v>Upgraded</v>
      </c>
      <c r="G8274" s="153"/>
      <c r="H8274" s="210">
        <v>7.8768000000000002</v>
      </c>
      <c r="I8274" s="160" t="s">
        <v>54</v>
      </c>
      <c r="J8274" s="160">
        <v>1.8000000000000001E-4</v>
      </c>
      <c r="K8274" s="160" t="s">
        <v>26</v>
      </c>
      <c r="L8274" s="154" t="str">
        <f>IF(OpenLCAbasic!K8274="CTUh", "Fill in Manually",IF(OR(K8274="Unit", K8274=""), "", INDEX(LookUps!$E$5:$E$12, MATCH(OpenLCAbasic!K8274,LookUps!$D$5:$D$12,0))))</f>
        <v>Water Use (WU) - m3 H2O</v>
      </c>
      <c r="M8274" s="154" t="str">
        <f t="shared" si="658"/>
        <v>Low_Base_Upgraded_Water Use (WU) - m3 H2O_Clear Cove Primary Clarification; wastewater treatment unit; at updated plant - US_Base_With Amendment_Aerated Static Pile</v>
      </c>
    </row>
    <row r="8275" spans="1:13" s="120" customFormat="1" x14ac:dyDescent="0.25">
      <c r="A8275" s="119"/>
      <c r="B8275" s="138" t="str">
        <f t="shared" si="654"/>
        <v>Aerated Static Pile</v>
      </c>
      <c r="C8275" s="138" t="str">
        <f t="shared" si="659"/>
        <v>Base_With Amendment</v>
      </c>
      <c r="D8275" s="138" t="s">
        <v>130</v>
      </c>
      <c r="E8275" s="138" t="str">
        <f t="shared" si="655"/>
        <v>Low</v>
      </c>
      <c r="F8275" s="138" t="str">
        <f t="shared" si="656"/>
        <v>Upgraded</v>
      </c>
      <c r="G8275" s="153"/>
      <c r="H8275" s="210">
        <v>7.1456</v>
      </c>
      <c r="I8275" s="160" t="s">
        <v>55</v>
      </c>
      <c r="J8275" s="160">
        <v>1.6000000000000001E-4</v>
      </c>
      <c r="K8275" s="160" t="s">
        <v>26</v>
      </c>
      <c r="L8275" s="154" t="str">
        <f>IF(OpenLCAbasic!K8275="CTUh", "Fill in Manually",IF(OR(K8275="Unit", K8275=""), "", INDEX(LookUps!$E$5:$E$12, MATCH(OpenLCAbasic!K8275,LookUps!$D$5:$D$12,0))))</f>
        <v>Water Use (WU) - m3 H2O</v>
      </c>
      <c r="M8275" s="154" t="str">
        <f t="shared" si="658"/>
        <v>Low_Base_Upgraded_Water Use (WU) - m3 H2O_Aeration Tanks; wastewater treatment unit; at updated plant - US_Base_With Amendment_Aerated Static Pile</v>
      </c>
    </row>
    <row r="8276" spans="1:13" s="120" customFormat="1" x14ac:dyDescent="0.25">
      <c r="A8276" s="119"/>
      <c r="B8276" s="138" t="str">
        <f t="shared" si="654"/>
        <v>Aerated Static Pile</v>
      </c>
      <c r="C8276" s="138" t="str">
        <f t="shared" si="659"/>
        <v>Base_With Amendment</v>
      </c>
      <c r="D8276" s="138" t="s">
        <v>130</v>
      </c>
      <c r="E8276" s="138" t="str">
        <f t="shared" si="655"/>
        <v>Low</v>
      </c>
      <c r="F8276" s="138" t="str">
        <f t="shared" si="656"/>
        <v>Upgraded</v>
      </c>
      <c r="G8276" s="153"/>
      <c r="H8276" s="210">
        <v>6.5091000000000001</v>
      </c>
      <c r="I8276" s="160" t="s">
        <v>148</v>
      </c>
      <c r="J8276" s="160">
        <v>1.4999999999999999E-4</v>
      </c>
      <c r="K8276" s="160" t="s">
        <v>26</v>
      </c>
      <c r="L8276" s="154" t="str">
        <f>IF(OpenLCAbasic!K8276="CTUh", "Fill in Manually",IF(OR(K8276="Unit", K8276=""), "", INDEX(LookUps!$E$5:$E$12, MATCH(OpenLCAbasic!K8276,LookUps!$D$5:$D$12,0))))</f>
        <v>Water Use (WU) - m3 H2O</v>
      </c>
      <c r="M8276" s="154" t="str">
        <f t="shared" si="658"/>
        <v>Low_Base_Upgraded_Water Use (WU) - m3 H2O_Control Building; at upgraded wastewater treatment plant - US_Base_With Amendment_Aerated Static Pile</v>
      </c>
    </row>
    <row r="8277" spans="1:13" s="120" customFormat="1" x14ac:dyDescent="0.25">
      <c r="A8277" s="119"/>
      <c r="B8277" s="138" t="str">
        <f t="shared" si="654"/>
        <v>Aerated Static Pile</v>
      </c>
      <c r="C8277" s="138" t="str">
        <f t="shared" si="659"/>
        <v>Base_With Amendment</v>
      </c>
      <c r="D8277" s="138" t="s">
        <v>130</v>
      </c>
      <c r="E8277" s="138" t="str">
        <f t="shared" si="655"/>
        <v>Low</v>
      </c>
      <c r="F8277" s="138" t="str">
        <f t="shared" si="656"/>
        <v>Upgraded</v>
      </c>
      <c r="G8277" s="153"/>
      <c r="H8277" s="210">
        <v>3.0226999999999999</v>
      </c>
      <c r="I8277" s="160" t="s">
        <v>48</v>
      </c>
      <c r="J8277" s="211">
        <v>6.8836400000000004E-5</v>
      </c>
      <c r="K8277" s="160" t="s">
        <v>26</v>
      </c>
      <c r="L8277" s="154" t="str">
        <f>IF(OpenLCAbasic!K8277="CTUh", "Fill in Manually",IF(OR(K8277="Unit", K8277=""), "", INDEX(LookUps!$E$5:$E$12, MATCH(OpenLCAbasic!K8277,LookUps!$D$5:$D$12,0))))</f>
        <v>Water Use (WU) - m3 H2O</v>
      </c>
      <c r="M8277" s="154" t="str">
        <f t="shared" si="658"/>
        <v>Low_Base_Upgraded_Water Use (WU) - m3 H2O_Effluent release; wastewater treatment unit; at surface water; m3 wastewater - US_Base_With Amendment_Aerated Static Pile</v>
      </c>
    </row>
    <row r="8278" spans="1:13" s="120" customFormat="1" x14ac:dyDescent="0.25">
      <c r="A8278" s="119"/>
      <c r="B8278" s="138" t="str">
        <f t="shared" si="654"/>
        <v>Aerated Static Pile</v>
      </c>
      <c r="C8278" s="138" t="str">
        <f t="shared" si="659"/>
        <v>Base_With Amendment</v>
      </c>
      <c r="D8278" s="138" t="s">
        <v>130</v>
      </c>
      <c r="E8278" s="138" t="str">
        <f t="shared" si="655"/>
        <v>Low</v>
      </c>
      <c r="F8278" s="138" t="str">
        <f t="shared" si="656"/>
        <v>Upgraded</v>
      </c>
      <c r="G8278" s="153"/>
      <c r="H8278" s="210">
        <v>1.8966000000000001</v>
      </c>
      <c r="I8278" s="160" t="s">
        <v>58</v>
      </c>
      <c r="J8278" s="211">
        <v>4.3192100000000003E-5</v>
      </c>
      <c r="K8278" s="160" t="s">
        <v>26</v>
      </c>
      <c r="L8278" s="154" t="str">
        <f>IF(OpenLCAbasic!K8278="CTUh", "Fill in Manually",IF(OR(K8278="Unit", K8278=""), "", INDEX(LookUps!$E$5:$E$12, MATCH(OpenLCAbasic!K8278,LookUps!$D$5:$D$12,0))))</f>
        <v>Water Use (WU) - m3 H2O</v>
      </c>
      <c r="M8278" s="154" t="str">
        <f t="shared" si="658"/>
        <v>Low_Base_Upgraded_Water Use (WU) - m3 H2O_Pre-Anoxic &amp; Swing tank; wastewater treatment unit; at updated plant - US_Base_With Amendment_Aerated Static Pile</v>
      </c>
    </row>
    <row r="8279" spans="1:13" s="120" customFormat="1" x14ac:dyDescent="0.25">
      <c r="A8279" s="119"/>
      <c r="B8279" s="138" t="str">
        <f t="shared" si="654"/>
        <v>Aerated Static Pile</v>
      </c>
      <c r="C8279" s="138" t="str">
        <f t="shared" si="659"/>
        <v>Base_With Amendment</v>
      </c>
      <c r="D8279" s="138" t="s">
        <v>130</v>
      </c>
      <c r="E8279" s="138" t="str">
        <f t="shared" si="655"/>
        <v>Low</v>
      </c>
      <c r="F8279" s="138" t="str">
        <f t="shared" si="656"/>
        <v>Upgraded</v>
      </c>
      <c r="G8279" s="153"/>
      <c r="H8279" s="210">
        <v>1.3351999999999999</v>
      </c>
      <c r="I8279" s="160" t="s">
        <v>57</v>
      </c>
      <c r="J8279" s="211">
        <v>3.0408100000000001E-5</v>
      </c>
      <c r="K8279" s="160" t="s">
        <v>26</v>
      </c>
      <c r="L8279" s="154" t="str">
        <f>IF(OpenLCAbasic!K8279="CTUh", "Fill in Manually",IF(OR(K8279="Unit", K8279=""), "", INDEX(LookUps!$E$5:$E$12, MATCH(OpenLCAbasic!K8279,LookUps!$D$5:$D$12,0))))</f>
        <v>Water Use (WU) - m3 H2O</v>
      </c>
      <c r="M8279" s="154" t="str">
        <f t="shared" si="658"/>
        <v>Low_Base_Upgraded_Water Use (WU) - m3 H2O_Gravity Belt Thickener; wastewater treatment unit; at updated plant - US_Base_With Amendment_Aerated Static Pile</v>
      </c>
    </row>
    <row r="8280" spans="1:13" s="120" customFormat="1" x14ac:dyDescent="0.25">
      <c r="A8280" s="119"/>
      <c r="B8280" s="138" t="str">
        <f t="shared" si="654"/>
        <v>Aerated Static Pile</v>
      </c>
      <c r="C8280" s="138" t="str">
        <f t="shared" si="659"/>
        <v>Base_With Amendment</v>
      </c>
      <c r="D8280" s="138" t="s">
        <v>130</v>
      </c>
      <c r="E8280" s="138" t="str">
        <f t="shared" si="655"/>
        <v>Low</v>
      </c>
      <c r="F8280" s="138" t="str">
        <f t="shared" si="656"/>
        <v>Upgraded</v>
      </c>
      <c r="G8280" s="153"/>
      <c r="H8280" s="210">
        <v>0.96350000000000002</v>
      </c>
      <c r="I8280" s="160" t="s">
        <v>60</v>
      </c>
      <c r="J8280" s="211">
        <v>2.1941099999999999E-5</v>
      </c>
      <c r="K8280" s="160" t="s">
        <v>26</v>
      </c>
      <c r="L8280" s="154" t="str">
        <f>IF(OpenLCAbasic!K8280="CTUh", "Fill in Manually",IF(OR(K8280="Unit", K8280=""), "", INDEX(LookUps!$E$5:$E$12, MATCH(OpenLCAbasic!K8280,LookUps!$D$5:$D$12,0))))</f>
        <v>Water Use (WU) - m3 H2O</v>
      </c>
      <c r="M8280" s="154" t="str">
        <f t="shared" si="658"/>
        <v>Low_Base_Upgraded_Water Use (WU) - m3 H2O_Belt filter press; wastewater treatment unit; at updated plant - US_Base_With Amendment_Aerated Static Pile</v>
      </c>
    </row>
    <row r="8281" spans="1:13" s="120" customFormat="1" x14ac:dyDescent="0.25">
      <c r="A8281" s="119"/>
      <c r="B8281" s="138" t="str">
        <f t="shared" ref="B8281:B8344" si="660">IF(F8281="Legacy","n.a.",IF(F8281="","","Aerated Static Pile"))</f>
        <v>Aerated Static Pile</v>
      </c>
      <c r="C8281" s="138" t="str">
        <f t="shared" si="659"/>
        <v>Base_With Amendment</v>
      </c>
      <c r="D8281" s="138" t="s">
        <v>130</v>
      </c>
      <c r="E8281" s="138" t="str">
        <f t="shared" ref="E8281:E8287" si="661">IF(ISNUMBER($J8281),"Low","")</f>
        <v>Low</v>
      </c>
      <c r="F8281" s="138" t="str">
        <f t="shared" ref="F8281:F8344" si="662">IF(ISNUMBER(J8281),"Upgraded","")</f>
        <v>Upgraded</v>
      </c>
      <c r="G8281" s="153"/>
      <c r="H8281" s="210">
        <v>0.85950000000000004</v>
      </c>
      <c r="I8281" s="160" t="s">
        <v>435</v>
      </c>
      <c r="J8281" s="211">
        <v>1.95743E-5</v>
      </c>
      <c r="K8281" s="160" t="s">
        <v>26</v>
      </c>
      <c r="L8281" s="154" t="str">
        <f>IF(OpenLCAbasic!K8281="CTUh", "Fill in Manually",IF(OR(K8281="Unit", K8281=""), "", INDEX(LookUps!$E$5:$E$12, MATCH(OpenLCAbasic!K8281,LookUps!$D$5:$D$12,0))))</f>
        <v>Water Use (WU) - m3 H2O</v>
      </c>
      <c r="M8281" s="154" t="str">
        <f t="shared" si="658"/>
        <v>Low_Base_Upgraded_Water Use (WU) - m3 H2O_Biosolids composting; aerated static pile; wastewater treatment unit; at updated plant - US_Base_With Amendment_Aerated Static Pile</v>
      </c>
    </row>
    <row r="8282" spans="1:13" s="120" customFormat="1" x14ac:dyDescent="0.25">
      <c r="A8282" s="119"/>
      <c r="B8282" s="138" t="str">
        <f t="shared" si="660"/>
        <v>Aerated Static Pile</v>
      </c>
      <c r="C8282" s="138" t="str">
        <f t="shared" si="659"/>
        <v>Base_With Amendment</v>
      </c>
      <c r="D8282" s="138" t="s">
        <v>130</v>
      </c>
      <c r="E8282" s="138" t="str">
        <f t="shared" si="661"/>
        <v>Low</v>
      </c>
      <c r="F8282" s="138" t="str">
        <f t="shared" si="662"/>
        <v>Upgraded</v>
      </c>
      <c r="G8282" s="153"/>
      <c r="H8282" s="210">
        <v>0.76870000000000005</v>
      </c>
      <c r="I8282" s="160" t="s">
        <v>53</v>
      </c>
      <c r="J8282" s="211">
        <v>1.75069E-5</v>
      </c>
      <c r="K8282" s="160" t="s">
        <v>26</v>
      </c>
      <c r="L8282" s="154" t="str">
        <f>IF(OpenLCAbasic!K8282="CTUh", "Fill in Manually",IF(OR(K8282="Unit", K8282=""), "", INDEX(LookUps!$E$5:$E$12, MATCH(OpenLCAbasic!K8282,LookUps!$D$5:$D$12,0))))</f>
        <v>Water Use (WU) - m3 H2O</v>
      </c>
      <c r="M8282" s="154" t="str">
        <f t="shared" si="658"/>
        <v>Low_Base_Upgraded_Water Use (WU) - m3 H2O_Wet Well and Sump Station; wastewater treatment unit; at updated plant - US_Base_With Amendment_Aerated Static Pile</v>
      </c>
    </row>
    <row r="8283" spans="1:13" s="120" customFormat="1" x14ac:dyDescent="0.25">
      <c r="A8283" s="119"/>
      <c r="B8283" s="138" t="str">
        <f t="shared" si="660"/>
        <v>Aerated Static Pile</v>
      </c>
      <c r="C8283" s="138" t="str">
        <f t="shared" si="659"/>
        <v>Base_With Amendment</v>
      </c>
      <c r="D8283" s="138" t="s">
        <v>130</v>
      </c>
      <c r="E8283" s="138" t="str">
        <f t="shared" si="661"/>
        <v>Low</v>
      </c>
      <c r="F8283" s="138" t="str">
        <f t="shared" si="662"/>
        <v>Upgraded</v>
      </c>
      <c r="G8283" s="153"/>
      <c r="H8283" s="210">
        <v>0.53149999999999997</v>
      </c>
      <c r="I8283" s="160" t="s">
        <v>149</v>
      </c>
      <c r="J8283" s="211">
        <v>1.21043E-5</v>
      </c>
      <c r="K8283" s="160" t="s">
        <v>26</v>
      </c>
      <c r="L8283" s="154" t="str">
        <f>IF(OpenLCAbasic!K8283="CTUh", "Fill in Manually",IF(OR(K8283="Unit", K8283=""), "", INDEX(LookUps!$E$5:$E$12, MATCH(OpenLCAbasic!K8283,LookUps!$D$5:$D$12,0))))</f>
        <v>Water Use (WU) - m3 H2O</v>
      </c>
      <c r="M8283" s="154" t="str">
        <f t="shared" si="658"/>
        <v>Low_Base_Upgraded_Water Use (WU) - m3 H2O_Anaerobic Digestion; wastewater treatment unit; at updated plant - US_Base_With Amendment_Aerated Static Pile</v>
      </c>
    </row>
    <row r="8284" spans="1:13" s="120" customFormat="1" x14ac:dyDescent="0.25">
      <c r="A8284" s="119"/>
      <c r="B8284" s="138" t="str">
        <f t="shared" si="660"/>
        <v>Aerated Static Pile</v>
      </c>
      <c r="C8284" s="138" t="str">
        <f t="shared" si="659"/>
        <v>Base_With Amendment</v>
      </c>
      <c r="D8284" s="138" t="s">
        <v>130</v>
      </c>
      <c r="E8284" s="138" t="str">
        <f t="shared" si="661"/>
        <v>Low</v>
      </c>
      <c r="F8284" s="138" t="str">
        <f t="shared" si="662"/>
        <v>Upgraded</v>
      </c>
      <c r="G8284" s="153"/>
      <c r="H8284" s="210">
        <v>0.30819999999999997</v>
      </c>
      <c r="I8284" s="160" t="s">
        <v>59</v>
      </c>
      <c r="J8284" s="211">
        <v>7.0179500000000003E-6</v>
      </c>
      <c r="K8284" s="160" t="s">
        <v>26</v>
      </c>
      <c r="L8284" s="154" t="str">
        <f>IF(OpenLCAbasic!K8284="CTUh", "Fill in Manually",IF(OR(K8284="Unit", K8284=""), "", INDEX(LookUps!$E$5:$E$12, MATCH(OpenLCAbasic!K8284,LookUps!$D$5:$D$12,0))))</f>
        <v>Water Use (WU) - m3 H2O</v>
      </c>
      <c r="M8284" s="154" t="str">
        <f t="shared" si="658"/>
        <v>Low_Base_Upgraded_Water Use (WU) - m3 H2O_Blend Tank; wastewater treatment unit; at updated plant - US_Base_With Amendment_Aerated Static Pile</v>
      </c>
    </row>
    <row r="8285" spans="1:13" s="120" customFormat="1" x14ac:dyDescent="0.25">
      <c r="A8285" s="119"/>
      <c r="B8285" s="138" t="str">
        <f t="shared" si="660"/>
        <v>Aerated Static Pile</v>
      </c>
      <c r="C8285" s="138" t="str">
        <f t="shared" si="659"/>
        <v>Base_With Amendment</v>
      </c>
      <c r="D8285" s="138" t="s">
        <v>130</v>
      </c>
      <c r="E8285" s="138" t="str">
        <f t="shared" si="661"/>
        <v>Low</v>
      </c>
      <c r="F8285" s="138" t="str">
        <f t="shared" si="662"/>
        <v>Upgraded</v>
      </c>
      <c r="G8285" s="153"/>
      <c r="H8285" s="210">
        <v>0.22220000000000001</v>
      </c>
      <c r="I8285" s="160" t="s">
        <v>128</v>
      </c>
      <c r="J8285" s="211">
        <v>5.0608900000000003E-6</v>
      </c>
      <c r="K8285" s="160" t="s">
        <v>26</v>
      </c>
      <c r="L8285" s="154" t="str">
        <f>IF(OpenLCAbasic!K8285="CTUh", "Fill in Manually",IF(OR(K8285="Unit", K8285=""), "", INDEX(LookUps!$E$5:$E$12, MATCH(OpenLCAbasic!K8285,LookUps!$D$5:$D$12,0))))</f>
        <v>Water Use (WU) - m3 H2O</v>
      </c>
      <c r="M8285" s="154" t="str">
        <f t="shared" si="658"/>
        <v>Low_Base_Upgraded_Water Use (WU) - m3 H2O_Wastewater collection; operation and infrastructure; m3 wastewater_Base_With Amendment_Aerated Static Pile</v>
      </c>
    </row>
    <row r="8286" spans="1:13" s="120" customFormat="1" x14ac:dyDescent="0.25">
      <c r="A8286" s="119"/>
      <c r="B8286" s="138" t="str">
        <f t="shared" si="660"/>
        <v>Aerated Static Pile</v>
      </c>
      <c r="C8286" s="138" t="str">
        <f t="shared" si="659"/>
        <v>Base_With Amendment</v>
      </c>
      <c r="D8286" s="138" t="s">
        <v>130</v>
      </c>
      <c r="E8286" s="138" t="str">
        <f t="shared" si="661"/>
        <v>Low</v>
      </c>
      <c r="F8286" s="138" t="str">
        <f t="shared" si="662"/>
        <v>Upgraded</v>
      </c>
      <c r="G8286" s="153"/>
      <c r="H8286" s="210">
        <v>3.3700000000000001E-2</v>
      </c>
      <c r="I8286" s="160" t="s">
        <v>168</v>
      </c>
      <c r="J8286" s="211">
        <v>7.6697000000000004E-7</v>
      </c>
      <c r="K8286" s="160" t="s">
        <v>26</v>
      </c>
      <c r="L8286" s="154" t="str">
        <f>IF(OpenLCAbasic!K8286="CTUh", "Fill in Manually",IF(OR(K8286="Unit", K8286=""), "", INDEX(LookUps!$E$5:$E$12, MATCH(OpenLCAbasic!K8286,LookUps!$D$5:$D$12,0))))</f>
        <v>Water Use (WU) - m3 H2O</v>
      </c>
      <c r="M8286" s="154" t="str">
        <f t="shared" si="658"/>
        <v>Low_Base_Upgraded_Water Use (WU) - m3 H2O_ClearCove SCP; wastewater treatment unit; at updated plant - US_Base_With Amendment_Aerated Static Pile</v>
      </c>
    </row>
    <row r="8287" spans="1:13" s="120" customFormat="1" x14ac:dyDescent="0.25">
      <c r="A8287" s="119"/>
      <c r="B8287" s="138" t="str">
        <f t="shared" si="660"/>
        <v>Aerated Static Pile</v>
      </c>
      <c r="C8287" s="138" t="str">
        <f t="shared" si="659"/>
        <v>Base_With Amendment</v>
      </c>
      <c r="D8287" s="138" t="s">
        <v>130</v>
      </c>
      <c r="E8287" s="138" t="str">
        <f t="shared" si="661"/>
        <v>Low</v>
      </c>
      <c r="F8287" s="138" t="str">
        <f t="shared" si="662"/>
        <v>Upgraded</v>
      </c>
      <c r="G8287" s="153"/>
      <c r="H8287" s="210">
        <v>-50.748600000000003</v>
      </c>
      <c r="I8287" s="160" t="s">
        <v>62</v>
      </c>
      <c r="J8287" s="160">
        <v>-1.16E-3</v>
      </c>
      <c r="K8287" s="160" t="s">
        <v>26</v>
      </c>
      <c r="L8287" s="154" t="str">
        <f>IF(OpenLCAbasic!K8287="CTUh", "Fill in Manually",IF(OR(K8287="Unit", K8287=""), "", INDEX(LookUps!$E$5:$E$12, MATCH(OpenLCAbasic!K8287,LookUps!$D$5:$D$12,0))))</f>
        <v>Water Use (WU) - m3 H2O</v>
      </c>
      <c r="M8287" s="154" t="str">
        <f t="shared" si="658"/>
        <v>Low_Base_Upgraded_Water Use (WU) - m3 H2O_Land application of compost; wastewater treatment unit; at updated plant - US_Base_With Amendment_Aerated Static Pile</v>
      </c>
    </row>
    <row r="8288" spans="1:13" s="120" customFormat="1" x14ac:dyDescent="0.25">
      <c r="A8288" s="119"/>
      <c r="B8288" s="138" t="str">
        <f t="shared" si="660"/>
        <v/>
      </c>
      <c r="C8288" s="138" t="str">
        <f t="shared" si="659"/>
        <v/>
      </c>
      <c r="D8288" s="138" t="str">
        <f t="shared" ref="D8288:D8339" si="663">IF(ISNUMBER($J8288),"Base_Base","")</f>
        <v/>
      </c>
      <c r="E8288" s="138" t="str">
        <f>IF(ISNUMBER($J8288),"High","")</f>
        <v/>
      </c>
      <c r="F8288" s="138" t="str">
        <f t="shared" si="662"/>
        <v/>
      </c>
      <c r="G8288" s="153" t="s">
        <v>51</v>
      </c>
      <c r="H8288" s="160"/>
      <c r="I8288" s="160" t="s">
        <v>47</v>
      </c>
      <c r="J8288" s="160" t="s">
        <v>52</v>
      </c>
      <c r="K8288" s="160" t="s">
        <v>27</v>
      </c>
      <c r="L8288" s="154" t="str">
        <f>IF(OpenLCAbasic!K8288="CTUh", "Fill in Manually",IF(OR(K8288="Unit", K8288=""), "", INDEX(LookUps!$E$5:$E$12, MATCH(OpenLCAbasic!K8288,LookUps!$D$5:$D$12,0))))</f>
        <v/>
      </c>
      <c r="M8288" s="154" t="str">
        <f t="shared" si="658"/>
        <v>____Process__</v>
      </c>
    </row>
    <row r="8289" spans="1:13" s="120" customFormat="1" x14ac:dyDescent="0.25">
      <c r="A8289" s="119"/>
      <c r="B8289" s="138" t="str">
        <f t="shared" si="660"/>
        <v>Aerated Static Pile</v>
      </c>
      <c r="C8289" s="138" t="str">
        <f t="shared" si="659"/>
        <v>Base_With Amendment</v>
      </c>
      <c r="D8289" s="138" t="s">
        <v>130</v>
      </c>
      <c r="E8289" s="138" t="str">
        <f t="shared" ref="E8289:E8352" si="664">IF(ISNUMBER($J8289),"High","")</f>
        <v>High</v>
      </c>
      <c r="F8289" s="138" t="str">
        <f t="shared" si="662"/>
        <v>Upgraded</v>
      </c>
      <c r="G8289" s="153"/>
      <c r="H8289" s="210">
        <v>0.4209</v>
      </c>
      <c r="I8289" s="160" t="s">
        <v>55</v>
      </c>
      <c r="J8289" s="160">
        <v>1.7219999999999999E-2</v>
      </c>
      <c r="K8289" s="160" t="s">
        <v>24</v>
      </c>
      <c r="L8289" s="154" t="str">
        <f>IF(OpenLCAbasic!K8289="CTUh", "Fill in Manually",IF(OR(K8289="Unit", K8289=""), "", INDEX(LookUps!$E$5:$E$12, MATCH(OpenLCAbasic!K8289,LookUps!$D$5:$D$12,0))))</f>
        <v>Acidification Potential (AP) - kg SO2 eq</v>
      </c>
      <c r="M8289" s="154" t="str">
        <f t="shared" si="658"/>
        <v>High_Base_Upgraded_Acidification Potential (AP) - kg SO2 eq_Aeration Tanks; wastewater treatment unit; at updated plant - US_Base_With Amendment_Aerated Static Pile</v>
      </c>
    </row>
    <row r="8290" spans="1:13" s="120" customFormat="1" x14ac:dyDescent="0.25">
      <c r="A8290" s="119"/>
      <c r="B8290" s="138" t="str">
        <f t="shared" si="660"/>
        <v>Aerated Static Pile</v>
      </c>
      <c r="C8290" s="138" t="str">
        <f t="shared" si="659"/>
        <v>Base_With Amendment</v>
      </c>
      <c r="D8290" s="138" t="s">
        <v>130</v>
      </c>
      <c r="E8290" s="138" t="str">
        <f t="shared" si="664"/>
        <v>High</v>
      </c>
      <c r="F8290" s="138" t="str">
        <f t="shared" si="662"/>
        <v>Upgraded</v>
      </c>
      <c r="G8290" s="153"/>
      <c r="H8290" s="210">
        <v>0.16420000000000001</v>
      </c>
      <c r="I8290" s="160" t="s">
        <v>435</v>
      </c>
      <c r="J8290" s="160">
        <v>6.7200000000000003E-3</v>
      </c>
      <c r="K8290" s="160" t="s">
        <v>24</v>
      </c>
      <c r="L8290" s="154" t="str">
        <f>IF(OpenLCAbasic!K8290="CTUh", "Fill in Manually",IF(OR(K8290="Unit", K8290=""), "", INDEX(LookUps!$E$5:$E$12, MATCH(OpenLCAbasic!K8290,LookUps!$D$5:$D$12,0))))</f>
        <v>Acidification Potential (AP) - kg SO2 eq</v>
      </c>
      <c r="M8290" s="154" t="str">
        <f t="shared" si="658"/>
        <v>High_Base_Upgraded_Acidification Potential (AP) - kg SO2 eq_Biosolids composting; aerated static pile; wastewater treatment unit; at updated plant - US_Base_With Amendment_Aerated Static Pile</v>
      </c>
    </row>
    <row r="8291" spans="1:13" s="120" customFormat="1" x14ac:dyDescent="0.25">
      <c r="A8291" s="119"/>
      <c r="B8291" s="138" t="str">
        <f t="shared" si="660"/>
        <v>Aerated Static Pile</v>
      </c>
      <c r="C8291" s="138" t="str">
        <f t="shared" si="659"/>
        <v>Base_With Amendment</v>
      </c>
      <c r="D8291" s="138" t="s">
        <v>130</v>
      </c>
      <c r="E8291" s="138" t="str">
        <f t="shared" si="664"/>
        <v>High</v>
      </c>
      <c r="F8291" s="138" t="str">
        <f t="shared" si="662"/>
        <v>Upgraded</v>
      </c>
      <c r="G8291" s="153"/>
      <c r="H8291" s="210">
        <v>0.1217</v>
      </c>
      <c r="I8291" s="160" t="s">
        <v>54</v>
      </c>
      <c r="J8291" s="160">
        <v>4.9800000000000001E-3</v>
      </c>
      <c r="K8291" s="160" t="s">
        <v>24</v>
      </c>
      <c r="L8291" s="154" t="str">
        <f>IF(OpenLCAbasic!K8291="CTUh", "Fill in Manually",IF(OR(K8291="Unit", K8291=""), "", INDEX(LookUps!$E$5:$E$12, MATCH(OpenLCAbasic!K8291,LookUps!$D$5:$D$12,0))))</f>
        <v>Acidification Potential (AP) - kg SO2 eq</v>
      </c>
      <c r="M8291" s="154" t="str">
        <f t="shared" si="658"/>
        <v>High_Base_Upgraded_Acidification Potential (AP) - kg SO2 eq_Clear Cove Primary Clarification; wastewater treatment unit; at updated plant - US_Base_With Amendment_Aerated Static Pile</v>
      </c>
    </row>
    <row r="8292" spans="1:13" s="120" customFormat="1" x14ac:dyDescent="0.25">
      <c r="A8292" s="119"/>
      <c r="B8292" s="138" t="str">
        <f t="shared" si="660"/>
        <v>Aerated Static Pile</v>
      </c>
      <c r="C8292" s="138" t="str">
        <f t="shared" si="659"/>
        <v>Base_With Amendment</v>
      </c>
      <c r="D8292" s="138" t="s">
        <v>130</v>
      </c>
      <c r="E8292" s="138" t="str">
        <f t="shared" si="664"/>
        <v>High</v>
      </c>
      <c r="F8292" s="138" t="str">
        <f t="shared" si="662"/>
        <v>Upgraded</v>
      </c>
      <c r="G8292" s="153"/>
      <c r="H8292" s="210">
        <v>0.10589999999999999</v>
      </c>
      <c r="I8292" s="160" t="s">
        <v>58</v>
      </c>
      <c r="J8292" s="160">
        <v>4.3299999999999996E-3</v>
      </c>
      <c r="K8292" s="160" t="s">
        <v>24</v>
      </c>
      <c r="L8292" s="154" t="str">
        <f>IF(OpenLCAbasic!K8292="CTUh", "Fill in Manually",IF(OR(K8292="Unit", K8292=""), "", INDEX(LookUps!$E$5:$E$12, MATCH(OpenLCAbasic!K8292,LookUps!$D$5:$D$12,0))))</f>
        <v>Acidification Potential (AP) - kg SO2 eq</v>
      </c>
      <c r="M8292" s="154" t="str">
        <f t="shared" si="658"/>
        <v>High_Base_Upgraded_Acidification Potential (AP) - kg SO2 eq_Pre-Anoxic &amp; Swing tank; wastewater treatment unit; at updated plant - US_Base_With Amendment_Aerated Static Pile</v>
      </c>
    </row>
    <row r="8293" spans="1:13" s="120" customFormat="1" x14ac:dyDescent="0.25">
      <c r="A8293" s="119"/>
      <c r="B8293" s="138" t="str">
        <f t="shared" si="660"/>
        <v>Aerated Static Pile</v>
      </c>
      <c r="C8293" s="138" t="str">
        <f t="shared" si="659"/>
        <v>Base_With Amendment</v>
      </c>
      <c r="D8293" s="138" t="s">
        <v>130</v>
      </c>
      <c r="E8293" s="138" t="str">
        <f t="shared" si="664"/>
        <v>High</v>
      </c>
      <c r="F8293" s="138" t="str">
        <f t="shared" si="662"/>
        <v>Upgraded</v>
      </c>
      <c r="G8293" s="153"/>
      <c r="H8293" s="210">
        <v>8.43E-2</v>
      </c>
      <c r="I8293" s="160" t="s">
        <v>53</v>
      </c>
      <c r="J8293" s="160">
        <v>3.4499999999999999E-3</v>
      </c>
      <c r="K8293" s="160" t="s">
        <v>24</v>
      </c>
      <c r="L8293" s="154" t="str">
        <f>IF(OpenLCAbasic!K8293="CTUh", "Fill in Manually",IF(OR(K8293="Unit", K8293=""), "", INDEX(LookUps!$E$5:$E$12, MATCH(OpenLCAbasic!K8293,LookUps!$D$5:$D$12,0))))</f>
        <v>Acidification Potential (AP) - kg SO2 eq</v>
      </c>
      <c r="M8293" s="154" t="str">
        <f t="shared" si="658"/>
        <v>High_Base_Upgraded_Acidification Potential (AP) - kg SO2 eq_Wet Well and Sump Station; wastewater treatment unit; at updated plant - US_Base_With Amendment_Aerated Static Pile</v>
      </c>
    </row>
    <row r="8294" spans="1:13" s="120" customFormat="1" x14ac:dyDescent="0.25">
      <c r="A8294" s="119"/>
      <c r="B8294" s="138" t="str">
        <f t="shared" si="660"/>
        <v>Aerated Static Pile</v>
      </c>
      <c r="C8294" s="138" t="str">
        <f t="shared" si="659"/>
        <v>Base_With Amendment</v>
      </c>
      <c r="D8294" s="138" t="s">
        <v>130</v>
      </c>
      <c r="E8294" s="138" t="str">
        <f t="shared" si="664"/>
        <v>High</v>
      </c>
      <c r="F8294" s="138" t="str">
        <f t="shared" si="662"/>
        <v>Upgraded</v>
      </c>
      <c r="G8294" s="153"/>
      <c r="H8294" s="210">
        <v>5.8099999999999999E-2</v>
      </c>
      <c r="I8294" s="160" t="s">
        <v>167</v>
      </c>
      <c r="J8294" s="160">
        <v>2.3800000000000002E-3</v>
      </c>
      <c r="K8294" s="160" t="s">
        <v>24</v>
      </c>
      <c r="L8294" s="154" t="str">
        <f>IF(OpenLCAbasic!K8294="CTUh", "Fill in Manually",IF(OR(K8294="Unit", K8294=""), "", INDEX(LookUps!$E$5:$E$12, MATCH(OpenLCAbasic!K8294,LookUps!$D$5:$D$12,0))))</f>
        <v>Acidification Potential (AP) - kg SO2 eq</v>
      </c>
      <c r="M8294" s="154" t="str">
        <f t="shared" si="658"/>
        <v>High_Base_Upgraded_Acidification Potential (AP) - kg SO2 eq_Waste Receiving and Holding; wastewater treatment unit; at updated plant - US_Base_With Amendment_Aerated Static Pile</v>
      </c>
    </row>
    <row r="8295" spans="1:13" s="120" customFormat="1" x14ac:dyDescent="0.25">
      <c r="A8295" s="119"/>
      <c r="B8295" s="138" t="str">
        <f t="shared" si="660"/>
        <v>Aerated Static Pile</v>
      </c>
      <c r="C8295" s="138" t="str">
        <f t="shared" si="659"/>
        <v>Base_With Amendment</v>
      </c>
      <c r="D8295" s="138" t="s">
        <v>130</v>
      </c>
      <c r="E8295" s="138" t="str">
        <f t="shared" si="664"/>
        <v>High</v>
      </c>
      <c r="F8295" s="138" t="str">
        <f t="shared" si="662"/>
        <v>Upgraded</v>
      </c>
      <c r="G8295" s="153"/>
      <c r="H8295" s="210">
        <v>5.74E-2</v>
      </c>
      <c r="I8295" s="160" t="s">
        <v>62</v>
      </c>
      <c r="J8295" s="160">
        <v>2.3500000000000001E-3</v>
      </c>
      <c r="K8295" s="160" t="s">
        <v>24</v>
      </c>
      <c r="L8295" s="154" t="str">
        <f>IF(OpenLCAbasic!K8295="CTUh", "Fill in Manually",IF(OR(K8295="Unit", K8295=""), "", INDEX(LookUps!$E$5:$E$12, MATCH(OpenLCAbasic!K8295,LookUps!$D$5:$D$12,0))))</f>
        <v>Acidification Potential (AP) - kg SO2 eq</v>
      </c>
      <c r="M8295" s="154" t="str">
        <f t="shared" si="658"/>
        <v>High_Base_Upgraded_Acidification Potential (AP) - kg SO2 eq_Land application of compost; wastewater treatment unit; at updated plant - US_Base_With Amendment_Aerated Static Pile</v>
      </c>
    </row>
    <row r="8296" spans="1:13" s="120" customFormat="1" x14ac:dyDescent="0.25">
      <c r="A8296" s="119"/>
      <c r="B8296" s="138" t="str">
        <f t="shared" si="660"/>
        <v>Aerated Static Pile</v>
      </c>
      <c r="C8296" s="138" t="str">
        <f t="shared" si="659"/>
        <v>Base_With Amendment</v>
      </c>
      <c r="D8296" s="138" t="s">
        <v>130</v>
      </c>
      <c r="E8296" s="138" t="str">
        <f t="shared" si="664"/>
        <v>High</v>
      </c>
      <c r="F8296" s="138" t="str">
        <f t="shared" si="662"/>
        <v>Upgraded</v>
      </c>
      <c r="G8296" s="153"/>
      <c r="H8296" s="210">
        <v>5.0599999999999999E-2</v>
      </c>
      <c r="I8296" s="160" t="s">
        <v>147</v>
      </c>
      <c r="J8296" s="160">
        <v>2.0699999999999998E-3</v>
      </c>
      <c r="K8296" s="160" t="s">
        <v>24</v>
      </c>
      <c r="L8296" s="154" t="str">
        <f>IF(OpenLCAbasic!K8296="CTUh", "Fill in Manually",IF(OR(K8296="Unit", K8296=""), "", INDEX(LookUps!$E$5:$E$12, MATCH(OpenLCAbasic!K8296,LookUps!$D$5:$D$12,0))))</f>
        <v>Acidification Potential (AP) - kg SO2 eq</v>
      </c>
      <c r="M8296" s="154" t="str">
        <f t="shared" si="658"/>
        <v>High_Base_Upgraded_Acidification Potential (AP) - kg SO2 eq_Influent Pump Station; wastewater treatment unit; at updated plant - US_Base_With Amendment_Aerated Static Pile</v>
      </c>
    </row>
    <row r="8297" spans="1:13" s="120" customFormat="1" x14ac:dyDescent="0.25">
      <c r="A8297" s="119"/>
      <c r="B8297" s="138" t="str">
        <f t="shared" si="660"/>
        <v>Aerated Static Pile</v>
      </c>
      <c r="C8297" s="138" t="str">
        <f t="shared" si="659"/>
        <v>Base_With Amendment</v>
      </c>
      <c r="D8297" s="138" t="s">
        <v>130</v>
      </c>
      <c r="E8297" s="138" t="str">
        <f t="shared" si="664"/>
        <v>High</v>
      </c>
      <c r="F8297" s="138" t="str">
        <f t="shared" si="662"/>
        <v>Upgraded</v>
      </c>
      <c r="G8297" s="153"/>
      <c r="H8297" s="210">
        <v>3.0099999999999998E-2</v>
      </c>
      <c r="I8297" s="160" t="s">
        <v>128</v>
      </c>
      <c r="J8297" s="160">
        <v>1.23E-3</v>
      </c>
      <c r="K8297" s="160" t="s">
        <v>24</v>
      </c>
      <c r="L8297" s="154" t="str">
        <f>IF(OpenLCAbasic!K8297="CTUh", "Fill in Manually",IF(OR(K8297="Unit", K8297=""), "", INDEX(LookUps!$E$5:$E$12, MATCH(OpenLCAbasic!K8297,LookUps!$D$5:$D$12,0))))</f>
        <v>Acidification Potential (AP) - kg SO2 eq</v>
      </c>
      <c r="M8297" s="154" t="str">
        <f t="shared" si="658"/>
        <v>High_Base_Upgraded_Acidification Potential (AP) - kg SO2 eq_Wastewater collection; operation and infrastructure; m3 wastewater_Base_With Amendment_Aerated Static Pile</v>
      </c>
    </row>
    <row r="8298" spans="1:13" s="120" customFormat="1" x14ac:dyDescent="0.25">
      <c r="A8298" s="119"/>
      <c r="B8298" s="138" t="str">
        <f t="shared" si="660"/>
        <v>Aerated Static Pile</v>
      </c>
      <c r="C8298" s="138" t="str">
        <f t="shared" si="659"/>
        <v>Base_With Amendment</v>
      </c>
      <c r="D8298" s="138" t="s">
        <v>130</v>
      </c>
      <c r="E8298" s="138" t="str">
        <f t="shared" si="664"/>
        <v>High</v>
      </c>
      <c r="F8298" s="138" t="str">
        <f t="shared" si="662"/>
        <v>Upgraded</v>
      </c>
      <c r="G8298" s="153"/>
      <c r="H8298" s="210">
        <v>1.89E-2</v>
      </c>
      <c r="I8298" s="160" t="s">
        <v>60</v>
      </c>
      <c r="J8298" s="160">
        <v>7.6999999999999996E-4</v>
      </c>
      <c r="K8298" s="160" t="s">
        <v>24</v>
      </c>
      <c r="L8298" s="154" t="str">
        <f>IF(OpenLCAbasic!K8298="CTUh", "Fill in Manually",IF(OR(K8298="Unit", K8298=""), "", INDEX(LookUps!$E$5:$E$12, MATCH(OpenLCAbasic!K8298,LookUps!$D$5:$D$12,0))))</f>
        <v>Acidification Potential (AP) - kg SO2 eq</v>
      </c>
      <c r="M8298" s="154" t="str">
        <f t="shared" si="658"/>
        <v>High_Base_Upgraded_Acidification Potential (AP) - kg SO2 eq_Belt filter press; wastewater treatment unit; at updated plant - US_Base_With Amendment_Aerated Static Pile</v>
      </c>
    </row>
    <row r="8299" spans="1:13" s="120" customFormat="1" x14ac:dyDescent="0.25">
      <c r="A8299" s="119"/>
      <c r="B8299" s="138" t="str">
        <f t="shared" si="660"/>
        <v>Aerated Static Pile</v>
      </c>
      <c r="C8299" s="138" t="str">
        <f t="shared" si="659"/>
        <v>Base_With Amendment</v>
      </c>
      <c r="D8299" s="138" t="s">
        <v>130</v>
      </c>
      <c r="E8299" s="138" t="str">
        <f t="shared" si="664"/>
        <v>High</v>
      </c>
      <c r="F8299" s="138" t="str">
        <f t="shared" si="662"/>
        <v>Upgraded</v>
      </c>
      <c r="G8299" s="153"/>
      <c r="H8299" s="210">
        <v>1.72E-2</v>
      </c>
      <c r="I8299" s="160" t="s">
        <v>57</v>
      </c>
      <c r="J8299" s="160">
        <v>6.9999999999999999E-4</v>
      </c>
      <c r="K8299" s="160" t="s">
        <v>24</v>
      </c>
      <c r="L8299" s="154" t="str">
        <f>IF(OpenLCAbasic!K8299="CTUh", "Fill in Manually",IF(OR(K8299="Unit", K8299=""), "", INDEX(LookUps!$E$5:$E$12, MATCH(OpenLCAbasic!K8299,LookUps!$D$5:$D$12,0))))</f>
        <v>Acidification Potential (AP) - kg SO2 eq</v>
      </c>
      <c r="M8299" s="154" t="str">
        <f t="shared" si="658"/>
        <v>High_Base_Upgraded_Acidification Potential (AP) - kg SO2 eq_Gravity Belt Thickener; wastewater treatment unit; at updated plant - US_Base_With Amendment_Aerated Static Pile</v>
      </c>
    </row>
    <row r="8300" spans="1:13" s="120" customFormat="1" x14ac:dyDescent="0.25">
      <c r="A8300" s="119"/>
      <c r="B8300" s="138" t="str">
        <f t="shared" si="660"/>
        <v>Aerated Static Pile</v>
      </c>
      <c r="C8300" s="138" t="str">
        <f t="shared" si="659"/>
        <v>Base_With Amendment</v>
      </c>
      <c r="D8300" s="138" t="s">
        <v>130</v>
      </c>
      <c r="E8300" s="138" t="str">
        <f t="shared" si="664"/>
        <v>High</v>
      </c>
      <c r="F8300" s="138" t="str">
        <f t="shared" si="662"/>
        <v>Upgraded</v>
      </c>
      <c r="G8300" s="153"/>
      <c r="H8300" s="210">
        <v>1.26E-2</v>
      </c>
      <c r="I8300" s="160" t="s">
        <v>59</v>
      </c>
      <c r="J8300" s="160">
        <v>5.1999999999999995E-4</v>
      </c>
      <c r="K8300" s="160" t="s">
        <v>24</v>
      </c>
      <c r="L8300" s="154" t="str">
        <f>IF(OpenLCAbasic!K8300="CTUh", "Fill in Manually",IF(OR(K8300="Unit", K8300=""), "", INDEX(LookUps!$E$5:$E$12, MATCH(OpenLCAbasic!K8300,LookUps!$D$5:$D$12,0))))</f>
        <v>Acidification Potential (AP) - kg SO2 eq</v>
      </c>
      <c r="M8300" s="154" t="str">
        <f t="shared" si="658"/>
        <v>High_Base_Upgraded_Acidification Potential (AP) - kg SO2 eq_Blend Tank; wastewater treatment unit; at updated plant - US_Base_With Amendment_Aerated Static Pile</v>
      </c>
    </row>
    <row r="8301" spans="1:13" s="120" customFormat="1" x14ac:dyDescent="0.25">
      <c r="A8301" s="119"/>
      <c r="B8301" s="138" t="str">
        <f t="shared" si="660"/>
        <v>Aerated Static Pile</v>
      </c>
      <c r="C8301" s="138" t="str">
        <f t="shared" si="659"/>
        <v>Base_With Amendment</v>
      </c>
      <c r="D8301" s="138" t="s">
        <v>130</v>
      </c>
      <c r="E8301" s="138" t="str">
        <f t="shared" si="664"/>
        <v>High</v>
      </c>
      <c r="F8301" s="138" t="str">
        <f t="shared" si="662"/>
        <v>Upgraded</v>
      </c>
      <c r="G8301" s="153"/>
      <c r="H8301" s="210">
        <v>8.5000000000000006E-3</v>
      </c>
      <c r="I8301" s="160" t="s">
        <v>48</v>
      </c>
      <c r="J8301" s="160">
        <v>3.5E-4</v>
      </c>
      <c r="K8301" s="160" t="s">
        <v>24</v>
      </c>
      <c r="L8301" s="154" t="str">
        <f>IF(OpenLCAbasic!K8301="CTUh", "Fill in Manually",IF(OR(K8301="Unit", K8301=""), "", INDEX(LookUps!$E$5:$E$12, MATCH(OpenLCAbasic!K8301,LookUps!$D$5:$D$12,0))))</f>
        <v>Acidification Potential (AP) - kg SO2 eq</v>
      </c>
      <c r="M8301" s="154" t="str">
        <f t="shared" si="658"/>
        <v>High_Base_Upgraded_Acidification Potential (AP) - kg SO2 eq_Effluent release; wastewater treatment unit; at surface water; m3 wastewater - US_Base_With Amendment_Aerated Static Pile</v>
      </c>
    </row>
    <row r="8302" spans="1:13" s="120" customFormat="1" x14ac:dyDescent="0.25">
      <c r="A8302" s="119"/>
      <c r="B8302" s="138" t="str">
        <f t="shared" si="660"/>
        <v>Aerated Static Pile</v>
      </c>
      <c r="C8302" s="138" t="str">
        <f t="shared" si="659"/>
        <v>Base_With Amendment</v>
      </c>
      <c r="D8302" s="138" t="s">
        <v>130</v>
      </c>
      <c r="E8302" s="138" t="str">
        <f t="shared" si="664"/>
        <v>High</v>
      </c>
      <c r="F8302" s="138" t="str">
        <f t="shared" si="662"/>
        <v>Upgraded</v>
      </c>
      <c r="G8302" s="153"/>
      <c r="H8302" s="210">
        <v>6.1999999999999998E-3</v>
      </c>
      <c r="I8302" s="160" t="s">
        <v>168</v>
      </c>
      <c r="J8302" s="160">
        <v>2.5999999999999998E-4</v>
      </c>
      <c r="K8302" s="160" t="s">
        <v>24</v>
      </c>
      <c r="L8302" s="154" t="str">
        <f>IF(OpenLCAbasic!K8302="CTUh", "Fill in Manually",IF(OR(K8302="Unit", K8302=""), "", INDEX(LookUps!$E$5:$E$12, MATCH(OpenLCAbasic!K8302,LookUps!$D$5:$D$12,0))))</f>
        <v>Acidification Potential (AP) - kg SO2 eq</v>
      </c>
      <c r="M8302" s="154" t="str">
        <f t="shared" si="658"/>
        <v>High_Base_Upgraded_Acidification Potential (AP) - kg SO2 eq_ClearCove SCP; wastewater treatment unit; at updated plant - US_Base_With Amendment_Aerated Static Pile</v>
      </c>
    </row>
    <row r="8303" spans="1:13" s="120" customFormat="1" x14ac:dyDescent="0.25">
      <c r="A8303" s="119"/>
      <c r="B8303" s="138" t="str">
        <f t="shared" si="660"/>
        <v>Aerated Static Pile</v>
      </c>
      <c r="C8303" s="138" t="str">
        <f t="shared" si="659"/>
        <v>Base_With Amendment</v>
      </c>
      <c r="D8303" s="138" t="s">
        <v>130</v>
      </c>
      <c r="E8303" s="138" t="str">
        <f t="shared" si="664"/>
        <v>High</v>
      </c>
      <c r="F8303" s="138" t="str">
        <f t="shared" si="662"/>
        <v>Upgraded</v>
      </c>
      <c r="G8303" s="153"/>
      <c r="H8303" s="210">
        <v>1E-3</v>
      </c>
      <c r="I8303" s="160" t="s">
        <v>148</v>
      </c>
      <c r="J8303" s="211">
        <v>4.0354700000000002E-5</v>
      </c>
      <c r="K8303" s="160" t="s">
        <v>24</v>
      </c>
      <c r="L8303" s="154" t="str">
        <f>IF(OpenLCAbasic!K8303="CTUh", "Fill in Manually",IF(OR(K8303="Unit", K8303=""), "", INDEX(LookUps!$E$5:$E$12, MATCH(OpenLCAbasic!K8303,LookUps!$D$5:$D$12,0))))</f>
        <v>Acidification Potential (AP) - kg SO2 eq</v>
      </c>
      <c r="M8303" s="154" t="str">
        <f t="shared" si="658"/>
        <v>High_Base_Upgraded_Acidification Potential (AP) - kg SO2 eq_Control Building; at upgraded wastewater treatment plant - US_Base_With Amendment_Aerated Static Pile</v>
      </c>
    </row>
    <row r="8304" spans="1:13" s="120" customFormat="1" x14ac:dyDescent="0.25">
      <c r="A8304" s="119"/>
      <c r="B8304" s="138" t="str">
        <f t="shared" si="660"/>
        <v>Aerated Static Pile</v>
      </c>
      <c r="C8304" s="138" t="str">
        <f t="shared" si="659"/>
        <v>Base_With Amendment</v>
      </c>
      <c r="D8304" s="138" t="s">
        <v>130</v>
      </c>
      <c r="E8304" s="138" t="str">
        <f t="shared" si="664"/>
        <v>High</v>
      </c>
      <c r="F8304" s="138" t="str">
        <f t="shared" si="662"/>
        <v>Upgraded</v>
      </c>
      <c r="G8304" s="153"/>
      <c r="H8304" s="210">
        <v>-0.15759999999999999</v>
      </c>
      <c r="I8304" s="160" t="s">
        <v>149</v>
      </c>
      <c r="J8304" s="160">
        <v>-6.45E-3</v>
      </c>
      <c r="K8304" s="160" t="s">
        <v>24</v>
      </c>
      <c r="L8304" s="154" t="str">
        <f>IF(OpenLCAbasic!K8304="CTUh", "Fill in Manually",IF(OR(K8304="Unit", K8304=""), "", INDEX(LookUps!$E$5:$E$12, MATCH(OpenLCAbasic!K8304,LookUps!$D$5:$D$12,0))))</f>
        <v>Acidification Potential (AP) - kg SO2 eq</v>
      </c>
      <c r="M8304" s="154" t="str">
        <f t="shared" si="658"/>
        <v>High_Base_Upgraded_Acidification Potential (AP) - kg SO2 eq_Anaerobic Digestion; wastewater treatment unit; at updated plant - US_Base_With Amendment_Aerated Static Pile</v>
      </c>
    </row>
    <row r="8305" spans="1:13" s="120" customFormat="1" x14ac:dyDescent="0.25">
      <c r="A8305" s="119"/>
      <c r="B8305" s="138" t="str">
        <f t="shared" si="660"/>
        <v/>
      </c>
      <c r="C8305" s="138" t="str">
        <f t="shared" si="659"/>
        <v/>
      </c>
      <c r="D8305" s="138" t="str">
        <f t="shared" si="663"/>
        <v/>
      </c>
      <c r="E8305" s="138" t="str">
        <f t="shared" si="664"/>
        <v/>
      </c>
      <c r="F8305" s="138" t="str">
        <f t="shared" si="662"/>
        <v/>
      </c>
      <c r="G8305" s="153" t="s">
        <v>51</v>
      </c>
      <c r="H8305" s="160"/>
      <c r="I8305" s="160" t="s">
        <v>47</v>
      </c>
      <c r="J8305" s="160" t="s">
        <v>52</v>
      </c>
      <c r="K8305" s="160" t="s">
        <v>27</v>
      </c>
      <c r="L8305" s="154" t="str">
        <f>IF(OpenLCAbasic!K8305="CTUh", "Fill in Manually",IF(OR(K8305="Unit", K8305=""), "", INDEX(LookUps!$E$5:$E$12, MATCH(OpenLCAbasic!K8305,LookUps!$D$5:$D$12,0))))</f>
        <v/>
      </c>
      <c r="M8305" s="154" t="str">
        <f t="shared" si="658"/>
        <v>____Process__</v>
      </c>
    </row>
    <row r="8306" spans="1:13" s="120" customFormat="1" x14ac:dyDescent="0.25">
      <c r="A8306" s="119"/>
      <c r="B8306" s="138" t="str">
        <f t="shared" si="660"/>
        <v>Aerated Static Pile</v>
      </c>
      <c r="C8306" s="138" t="str">
        <f t="shared" si="659"/>
        <v>Base_With Amendment</v>
      </c>
      <c r="D8306" s="138" t="s">
        <v>130</v>
      </c>
      <c r="E8306" s="138" t="str">
        <f t="shared" si="664"/>
        <v>High</v>
      </c>
      <c r="F8306" s="138" t="str">
        <f t="shared" si="662"/>
        <v>Upgraded</v>
      </c>
      <c r="G8306" s="153"/>
      <c r="H8306" s="210">
        <v>0.32679999999999998</v>
      </c>
      <c r="I8306" s="160" t="s">
        <v>55</v>
      </c>
      <c r="J8306" s="160">
        <v>3.5330499999999998</v>
      </c>
      <c r="K8306" s="160" t="s">
        <v>15</v>
      </c>
      <c r="L8306" s="154" t="str">
        <f>IF(OpenLCAbasic!K8306="CTUh", "Fill in Manually",IF(OR(K8306="Unit", K8306=""), "", INDEX(LookUps!$E$5:$E$12, MATCH(OpenLCAbasic!K8306,LookUps!$D$5:$D$12,0))))</f>
        <v>Cumulative Energy Demand (CED) - MJ</v>
      </c>
      <c r="M8306" s="154" t="str">
        <f t="shared" si="658"/>
        <v>High_Base_Upgraded_Cumulative Energy Demand (CED) - MJ_Aeration Tanks; wastewater treatment unit; at updated plant - US_Base_With Amendment_Aerated Static Pile</v>
      </c>
    </row>
    <row r="8307" spans="1:13" s="120" customFormat="1" x14ac:dyDescent="0.25">
      <c r="A8307" s="119"/>
      <c r="B8307" s="138" t="str">
        <f t="shared" si="660"/>
        <v>Aerated Static Pile</v>
      </c>
      <c r="C8307" s="138" t="str">
        <f t="shared" si="659"/>
        <v>Base_With Amendment</v>
      </c>
      <c r="D8307" s="138" t="s">
        <v>130</v>
      </c>
      <c r="E8307" s="138" t="str">
        <f t="shared" si="664"/>
        <v>High</v>
      </c>
      <c r="F8307" s="138" t="str">
        <f t="shared" si="662"/>
        <v>Upgraded</v>
      </c>
      <c r="G8307" s="153"/>
      <c r="H8307" s="210">
        <v>0.3236</v>
      </c>
      <c r="I8307" s="160" t="s">
        <v>167</v>
      </c>
      <c r="J8307" s="160">
        <v>3.4982700000000002</v>
      </c>
      <c r="K8307" s="160" t="s">
        <v>15</v>
      </c>
      <c r="L8307" s="154" t="str">
        <f>IF(OpenLCAbasic!K8307="CTUh", "Fill in Manually",IF(OR(K8307="Unit", K8307=""), "", INDEX(LookUps!$E$5:$E$12, MATCH(OpenLCAbasic!K8307,LookUps!$D$5:$D$12,0))))</f>
        <v>Cumulative Energy Demand (CED) - MJ</v>
      </c>
      <c r="M8307" s="154" t="str">
        <f t="shared" si="658"/>
        <v>High_Base_Upgraded_Cumulative Energy Demand (CED) - MJ_Waste Receiving and Holding; wastewater treatment unit; at updated plant - US_Base_With Amendment_Aerated Static Pile</v>
      </c>
    </row>
    <row r="8308" spans="1:13" s="120" customFormat="1" x14ac:dyDescent="0.25">
      <c r="A8308" s="119"/>
      <c r="B8308" s="138" t="str">
        <f t="shared" si="660"/>
        <v>Aerated Static Pile</v>
      </c>
      <c r="C8308" s="138" t="str">
        <f t="shared" si="659"/>
        <v>Base_With Amendment</v>
      </c>
      <c r="D8308" s="138" t="s">
        <v>130</v>
      </c>
      <c r="E8308" s="138" t="str">
        <f t="shared" si="664"/>
        <v>High</v>
      </c>
      <c r="F8308" s="138" t="str">
        <f t="shared" si="662"/>
        <v>Upgraded</v>
      </c>
      <c r="G8308" s="153"/>
      <c r="H8308" s="210">
        <v>0.11550000000000001</v>
      </c>
      <c r="I8308" s="160" t="s">
        <v>435</v>
      </c>
      <c r="J8308" s="160">
        <v>1.2490300000000001</v>
      </c>
      <c r="K8308" s="160" t="s">
        <v>15</v>
      </c>
      <c r="L8308" s="154" t="str">
        <f>IF(OpenLCAbasic!K8308="CTUh", "Fill in Manually",IF(OR(K8308="Unit", K8308=""), "", INDEX(LookUps!$E$5:$E$12, MATCH(OpenLCAbasic!K8308,LookUps!$D$5:$D$12,0))))</f>
        <v>Cumulative Energy Demand (CED) - MJ</v>
      </c>
      <c r="M8308" s="154" t="str">
        <f t="shared" si="658"/>
        <v>High_Base_Upgraded_Cumulative Energy Demand (CED) - MJ_Biosolids composting; aerated static pile; wastewater treatment unit; at updated plant - US_Base_With Amendment_Aerated Static Pile</v>
      </c>
    </row>
    <row r="8309" spans="1:13" s="120" customFormat="1" x14ac:dyDescent="0.25">
      <c r="A8309" s="119"/>
      <c r="B8309" s="138" t="str">
        <f t="shared" si="660"/>
        <v>Aerated Static Pile</v>
      </c>
      <c r="C8309" s="138" t="str">
        <f t="shared" si="659"/>
        <v>Base_With Amendment</v>
      </c>
      <c r="D8309" s="138" t="s">
        <v>130</v>
      </c>
      <c r="E8309" s="138" t="str">
        <f t="shared" si="664"/>
        <v>High</v>
      </c>
      <c r="F8309" s="138" t="str">
        <f t="shared" si="662"/>
        <v>Upgraded</v>
      </c>
      <c r="G8309" s="153"/>
      <c r="H8309" s="210">
        <v>0.1076</v>
      </c>
      <c r="I8309" s="160" t="s">
        <v>54</v>
      </c>
      <c r="J8309" s="160">
        <v>1.16289</v>
      </c>
      <c r="K8309" s="160" t="s">
        <v>15</v>
      </c>
      <c r="L8309" s="154" t="str">
        <f>IF(OpenLCAbasic!K8309="CTUh", "Fill in Manually",IF(OR(K8309="Unit", K8309=""), "", INDEX(LookUps!$E$5:$E$12, MATCH(OpenLCAbasic!K8309,LookUps!$D$5:$D$12,0))))</f>
        <v>Cumulative Energy Demand (CED) - MJ</v>
      </c>
      <c r="M8309" s="154" t="str">
        <f t="shared" si="658"/>
        <v>High_Base_Upgraded_Cumulative Energy Demand (CED) - MJ_Clear Cove Primary Clarification; wastewater treatment unit; at updated plant - US_Base_With Amendment_Aerated Static Pile</v>
      </c>
    </row>
    <row r="8310" spans="1:13" s="120" customFormat="1" x14ac:dyDescent="0.25">
      <c r="A8310" s="119"/>
      <c r="B8310" s="138" t="str">
        <f t="shared" si="660"/>
        <v>Aerated Static Pile</v>
      </c>
      <c r="C8310" s="138" t="str">
        <f t="shared" si="659"/>
        <v>Base_With Amendment</v>
      </c>
      <c r="D8310" s="138" t="s">
        <v>130</v>
      </c>
      <c r="E8310" s="138" t="str">
        <f t="shared" si="664"/>
        <v>High</v>
      </c>
      <c r="F8310" s="138" t="str">
        <f t="shared" si="662"/>
        <v>Upgraded</v>
      </c>
      <c r="G8310" s="153"/>
      <c r="H8310" s="210">
        <v>8.1799999999999998E-2</v>
      </c>
      <c r="I8310" s="160" t="s">
        <v>58</v>
      </c>
      <c r="J8310" s="160">
        <v>0.88417000000000001</v>
      </c>
      <c r="K8310" s="160" t="s">
        <v>15</v>
      </c>
      <c r="L8310" s="154" t="str">
        <f>IF(OpenLCAbasic!K8310="CTUh", "Fill in Manually",IF(OR(K8310="Unit", K8310=""), "", INDEX(LookUps!$E$5:$E$12, MATCH(OpenLCAbasic!K8310,LookUps!$D$5:$D$12,0))))</f>
        <v>Cumulative Energy Demand (CED) - MJ</v>
      </c>
      <c r="M8310" s="154" t="str">
        <f t="shared" si="658"/>
        <v>High_Base_Upgraded_Cumulative Energy Demand (CED) - MJ_Pre-Anoxic &amp; Swing tank; wastewater treatment unit; at updated plant - US_Base_With Amendment_Aerated Static Pile</v>
      </c>
    </row>
    <row r="8311" spans="1:13" s="120" customFormat="1" x14ac:dyDescent="0.25">
      <c r="A8311" s="119"/>
      <c r="B8311" s="138" t="str">
        <f t="shared" si="660"/>
        <v>Aerated Static Pile</v>
      </c>
      <c r="C8311" s="138" t="str">
        <f t="shared" si="659"/>
        <v>Base_With Amendment</v>
      </c>
      <c r="D8311" s="138" t="s">
        <v>130</v>
      </c>
      <c r="E8311" s="138" t="str">
        <f t="shared" si="664"/>
        <v>High</v>
      </c>
      <c r="F8311" s="138" t="str">
        <f t="shared" si="662"/>
        <v>Upgraded</v>
      </c>
      <c r="G8311" s="153"/>
      <c r="H8311" s="210">
        <v>8.1699999999999995E-2</v>
      </c>
      <c r="I8311" s="160" t="s">
        <v>147</v>
      </c>
      <c r="J8311" s="160">
        <v>0.88297000000000003</v>
      </c>
      <c r="K8311" s="160" t="s">
        <v>15</v>
      </c>
      <c r="L8311" s="154" t="str">
        <f>IF(OpenLCAbasic!K8311="CTUh", "Fill in Manually",IF(OR(K8311="Unit", K8311=""), "", INDEX(LookUps!$E$5:$E$12, MATCH(OpenLCAbasic!K8311,LookUps!$D$5:$D$12,0))))</f>
        <v>Cumulative Energy Demand (CED) - MJ</v>
      </c>
      <c r="M8311" s="154" t="str">
        <f t="shared" si="658"/>
        <v>High_Base_Upgraded_Cumulative Energy Demand (CED) - MJ_Influent Pump Station; wastewater treatment unit; at updated plant - US_Base_With Amendment_Aerated Static Pile</v>
      </c>
    </row>
    <row r="8312" spans="1:13" s="120" customFormat="1" x14ac:dyDescent="0.25">
      <c r="A8312" s="119"/>
      <c r="B8312" s="138" t="str">
        <f t="shared" si="660"/>
        <v>Aerated Static Pile</v>
      </c>
      <c r="C8312" s="138" t="str">
        <f t="shared" si="659"/>
        <v>Base_With Amendment</v>
      </c>
      <c r="D8312" s="138" t="s">
        <v>130</v>
      </c>
      <c r="E8312" s="138" t="str">
        <f t="shared" si="664"/>
        <v>High</v>
      </c>
      <c r="F8312" s="138" t="str">
        <f t="shared" si="662"/>
        <v>Upgraded</v>
      </c>
      <c r="G8312" s="153"/>
      <c r="H8312" s="210">
        <v>6.4399999999999999E-2</v>
      </c>
      <c r="I8312" s="160" t="s">
        <v>53</v>
      </c>
      <c r="J8312" s="160">
        <v>0.69645000000000001</v>
      </c>
      <c r="K8312" s="160" t="s">
        <v>15</v>
      </c>
      <c r="L8312" s="154" t="str">
        <f>IF(OpenLCAbasic!K8312="CTUh", "Fill in Manually",IF(OR(K8312="Unit", K8312=""), "", INDEX(LookUps!$E$5:$E$12, MATCH(OpenLCAbasic!K8312,LookUps!$D$5:$D$12,0))))</f>
        <v>Cumulative Energy Demand (CED) - MJ</v>
      </c>
      <c r="M8312" s="154" t="str">
        <f t="shared" si="658"/>
        <v>High_Base_Upgraded_Cumulative Energy Demand (CED) - MJ_Wet Well and Sump Station; wastewater treatment unit; at updated plant - US_Base_With Amendment_Aerated Static Pile</v>
      </c>
    </row>
    <row r="8313" spans="1:13" s="120" customFormat="1" x14ac:dyDescent="0.25">
      <c r="A8313" s="119"/>
      <c r="B8313" s="138" t="str">
        <f t="shared" si="660"/>
        <v>Aerated Static Pile</v>
      </c>
      <c r="C8313" s="138" t="str">
        <f t="shared" si="659"/>
        <v>Base_With Amendment</v>
      </c>
      <c r="D8313" s="138" t="s">
        <v>130</v>
      </c>
      <c r="E8313" s="138" t="str">
        <f t="shared" si="664"/>
        <v>High</v>
      </c>
      <c r="F8313" s="138" t="str">
        <f t="shared" si="662"/>
        <v>Upgraded</v>
      </c>
      <c r="G8313" s="153"/>
      <c r="H8313" s="210">
        <v>3.09E-2</v>
      </c>
      <c r="I8313" s="160" t="s">
        <v>57</v>
      </c>
      <c r="J8313" s="160">
        <v>0.33404</v>
      </c>
      <c r="K8313" s="160" t="s">
        <v>15</v>
      </c>
      <c r="L8313" s="154" t="str">
        <f>IF(OpenLCAbasic!K8313="CTUh", "Fill in Manually",IF(OR(K8313="Unit", K8313=""), "", INDEX(LookUps!$E$5:$E$12, MATCH(OpenLCAbasic!K8313,LookUps!$D$5:$D$12,0))))</f>
        <v>Cumulative Energy Demand (CED) - MJ</v>
      </c>
      <c r="M8313" s="154" t="str">
        <f t="shared" si="658"/>
        <v>High_Base_Upgraded_Cumulative Energy Demand (CED) - MJ_Gravity Belt Thickener; wastewater treatment unit; at updated plant - US_Base_With Amendment_Aerated Static Pile</v>
      </c>
    </row>
    <row r="8314" spans="1:13" s="120" customFormat="1" x14ac:dyDescent="0.25">
      <c r="A8314" s="119"/>
      <c r="B8314" s="138" t="str">
        <f t="shared" si="660"/>
        <v>Aerated Static Pile</v>
      </c>
      <c r="C8314" s="138" t="str">
        <f t="shared" si="659"/>
        <v>Base_With Amendment</v>
      </c>
      <c r="D8314" s="138" t="s">
        <v>130</v>
      </c>
      <c r="E8314" s="138" t="str">
        <f t="shared" si="664"/>
        <v>High</v>
      </c>
      <c r="F8314" s="138" t="str">
        <f t="shared" si="662"/>
        <v>Upgraded</v>
      </c>
      <c r="G8314" s="153"/>
      <c r="H8314" s="210">
        <v>2.6700000000000002E-2</v>
      </c>
      <c r="I8314" s="160" t="s">
        <v>60</v>
      </c>
      <c r="J8314" s="160">
        <v>0.28833999999999999</v>
      </c>
      <c r="K8314" s="160" t="s">
        <v>15</v>
      </c>
      <c r="L8314" s="154" t="str">
        <f>IF(OpenLCAbasic!K8314="CTUh", "Fill in Manually",IF(OR(K8314="Unit", K8314=""), "", INDEX(LookUps!$E$5:$E$12, MATCH(OpenLCAbasic!K8314,LookUps!$D$5:$D$12,0))))</f>
        <v>Cumulative Energy Demand (CED) - MJ</v>
      </c>
      <c r="M8314" s="154" t="str">
        <f t="shared" si="658"/>
        <v>High_Base_Upgraded_Cumulative Energy Demand (CED) - MJ_Belt filter press; wastewater treatment unit; at updated plant - US_Base_With Amendment_Aerated Static Pile</v>
      </c>
    </row>
    <row r="8315" spans="1:13" s="120" customFormat="1" x14ac:dyDescent="0.25">
      <c r="A8315" s="119"/>
      <c r="B8315" s="138" t="str">
        <f t="shared" si="660"/>
        <v>Aerated Static Pile</v>
      </c>
      <c r="C8315" s="138" t="str">
        <f t="shared" si="659"/>
        <v>Base_With Amendment</v>
      </c>
      <c r="D8315" s="138" t="s">
        <v>130</v>
      </c>
      <c r="E8315" s="138" t="str">
        <f t="shared" si="664"/>
        <v>High</v>
      </c>
      <c r="F8315" s="138" t="str">
        <f t="shared" si="662"/>
        <v>Upgraded</v>
      </c>
      <c r="G8315" s="153"/>
      <c r="H8315" s="210">
        <v>2.3699999999999999E-2</v>
      </c>
      <c r="I8315" s="160" t="s">
        <v>128</v>
      </c>
      <c r="J8315" s="160">
        <v>0.25606000000000001</v>
      </c>
      <c r="K8315" s="160" t="s">
        <v>15</v>
      </c>
      <c r="L8315" s="154" t="str">
        <f>IF(OpenLCAbasic!K8315="CTUh", "Fill in Manually",IF(OR(K8315="Unit", K8315=""), "", INDEX(LookUps!$E$5:$E$12, MATCH(OpenLCAbasic!K8315,LookUps!$D$5:$D$12,0))))</f>
        <v>Cumulative Energy Demand (CED) - MJ</v>
      </c>
      <c r="M8315" s="154" t="str">
        <f t="shared" ref="M8315:M8378" si="665">CONCATENATE(E8315,"_",D8315,"_",F8315,"_",L8315, "_",I8315,"_", C8315,"_", B8315)</f>
        <v>High_Base_Upgraded_Cumulative Energy Demand (CED) - MJ_Wastewater collection; operation and infrastructure; m3 wastewater_Base_With Amendment_Aerated Static Pile</v>
      </c>
    </row>
    <row r="8316" spans="1:13" s="120" customFormat="1" x14ac:dyDescent="0.25">
      <c r="A8316" s="119"/>
      <c r="B8316" s="138" t="str">
        <f t="shared" si="660"/>
        <v>Aerated Static Pile</v>
      </c>
      <c r="C8316" s="138" t="str">
        <f t="shared" si="659"/>
        <v>Base_With Amendment</v>
      </c>
      <c r="D8316" s="138" t="s">
        <v>130</v>
      </c>
      <c r="E8316" s="138" t="str">
        <f t="shared" si="664"/>
        <v>High</v>
      </c>
      <c r="F8316" s="138" t="str">
        <f t="shared" si="662"/>
        <v>Upgraded</v>
      </c>
      <c r="G8316" s="153"/>
      <c r="H8316" s="210">
        <v>1.35E-2</v>
      </c>
      <c r="I8316" s="160" t="s">
        <v>148</v>
      </c>
      <c r="J8316" s="160">
        <v>0.14599000000000001</v>
      </c>
      <c r="K8316" s="160" t="s">
        <v>15</v>
      </c>
      <c r="L8316" s="154" t="str">
        <f>IF(OpenLCAbasic!K8316="CTUh", "Fill in Manually",IF(OR(K8316="Unit", K8316=""), "", INDEX(LookUps!$E$5:$E$12, MATCH(OpenLCAbasic!K8316,LookUps!$D$5:$D$12,0))))</f>
        <v>Cumulative Energy Demand (CED) - MJ</v>
      </c>
      <c r="M8316" s="154" t="str">
        <f t="shared" si="665"/>
        <v>High_Base_Upgraded_Cumulative Energy Demand (CED) - MJ_Control Building; at upgraded wastewater treatment plant - US_Base_With Amendment_Aerated Static Pile</v>
      </c>
    </row>
    <row r="8317" spans="1:13" s="120" customFormat="1" x14ac:dyDescent="0.25">
      <c r="A8317" s="119"/>
      <c r="B8317" s="138" t="str">
        <f t="shared" si="660"/>
        <v>Aerated Static Pile</v>
      </c>
      <c r="C8317" s="138" t="str">
        <f t="shared" si="659"/>
        <v>Base_With Amendment</v>
      </c>
      <c r="D8317" s="138" t="s">
        <v>130</v>
      </c>
      <c r="E8317" s="138" t="str">
        <f t="shared" si="664"/>
        <v>High</v>
      </c>
      <c r="F8317" s="138" t="str">
        <f t="shared" si="662"/>
        <v>Upgraded</v>
      </c>
      <c r="G8317" s="153"/>
      <c r="H8317" s="210">
        <v>1.23E-2</v>
      </c>
      <c r="I8317" s="160" t="s">
        <v>48</v>
      </c>
      <c r="J8317" s="160">
        <v>0.13321</v>
      </c>
      <c r="K8317" s="160" t="s">
        <v>15</v>
      </c>
      <c r="L8317" s="154" t="str">
        <f>IF(OpenLCAbasic!K8317="CTUh", "Fill in Manually",IF(OR(K8317="Unit", K8317=""), "", INDEX(LookUps!$E$5:$E$12, MATCH(OpenLCAbasic!K8317,LookUps!$D$5:$D$12,0))))</f>
        <v>Cumulative Energy Demand (CED) - MJ</v>
      </c>
      <c r="M8317" s="154" t="str">
        <f t="shared" si="665"/>
        <v>High_Base_Upgraded_Cumulative Energy Demand (CED) - MJ_Effluent release; wastewater treatment unit; at surface water; m3 wastewater - US_Base_With Amendment_Aerated Static Pile</v>
      </c>
    </row>
    <row r="8318" spans="1:13" s="120" customFormat="1" x14ac:dyDescent="0.25">
      <c r="A8318" s="119"/>
      <c r="B8318" s="138" t="str">
        <f t="shared" si="660"/>
        <v>Aerated Static Pile</v>
      </c>
      <c r="C8318" s="138" t="str">
        <f t="shared" si="659"/>
        <v>Base_With Amendment</v>
      </c>
      <c r="D8318" s="138" t="s">
        <v>130</v>
      </c>
      <c r="E8318" s="138" t="str">
        <f t="shared" si="664"/>
        <v>High</v>
      </c>
      <c r="F8318" s="138" t="str">
        <f t="shared" si="662"/>
        <v>Upgraded</v>
      </c>
      <c r="G8318" s="153"/>
      <c r="H8318" s="210">
        <v>9.7999999999999997E-3</v>
      </c>
      <c r="I8318" s="160" t="s">
        <v>59</v>
      </c>
      <c r="J8318" s="160">
        <v>0.10638</v>
      </c>
      <c r="K8318" s="160" t="s">
        <v>15</v>
      </c>
      <c r="L8318" s="154" t="str">
        <f>IF(OpenLCAbasic!K8318="CTUh", "Fill in Manually",IF(OR(K8318="Unit", K8318=""), "", INDEX(LookUps!$E$5:$E$12, MATCH(OpenLCAbasic!K8318,LookUps!$D$5:$D$12,0))))</f>
        <v>Cumulative Energy Demand (CED) - MJ</v>
      </c>
      <c r="M8318" s="154" t="str">
        <f t="shared" si="665"/>
        <v>High_Base_Upgraded_Cumulative Energy Demand (CED) - MJ_Blend Tank; wastewater treatment unit; at updated plant - US_Base_With Amendment_Aerated Static Pile</v>
      </c>
    </row>
    <row r="8319" spans="1:13" s="120" customFormat="1" x14ac:dyDescent="0.25">
      <c r="A8319" s="119"/>
      <c r="B8319" s="138" t="str">
        <f t="shared" si="660"/>
        <v>Aerated Static Pile</v>
      </c>
      <c r="C8319" s="138" t="str">
        <f t="shared" si="659"/>
        <v>Base_With Amendment</v>
      </c>
      <c r="D8319" s="138" t="s">
        <v>130</v>
      </c>
      <c r="E8319" s="138" t="str">
        <f t="shared" si="664"/>
        <v>High</v>
      </c>
      <c r="F8319" s="138" t="str">
        <f t="shared" si="662"/>
        <v>Upgraded</v>
      </c>
      <c r="G8319" s="153"/>
      <c r="H8319" s="210">
        <v>4.7000000000000002E-3</v>
      </c>
      <c r="I8319" s="160" t="s">
        <v>168</v>
      </c>
      <c r="J8319" s="160">
        <v>5.0930000000000003E-2</v>
      </c>
      <c r="K8319" s="160" t="s">
        <v>15</v>
      </c>
      <c r="L8319" s="154" t="str">
        <f>IF(OpenLCAbasic!K8319="CTUh", "Fill in Manually",IF(OR(K8319="Unit", K8319=""), "", INDEX(LookUps!$E$5:$E$12, MATCH(OpenLCAbasic!K8319,LookUps!$D$5:$D$12,0))))</f>
        <v>Cumulative Energy Demand (CED) - MJ</v>
      </c>
      <c r="M8319" s="154" t="str">
        <f t="shared" si="665"/>
        <v>High_Base_Upgraded_Cumulative Energy Demand (CED) - MJ_ClearCove SCP; wastewater treatment unit; at updated plant - US_Base_With Amendment_Aerated Static Pile</v>
      </c>
    </row>
    <row r="8320" spans="1:13" s="120" customFormat="1" x14ac:dyDescent="0.25">
      <c r="A8320" s="119"/>
      <c r="B8320" s="138" t="str">
        <f t="shared" si="660"/>
        <v>Aerated Static Pile</v>
      </c>
      <c r="C8320" s="138" t="str">
        <f t="shared" si="659"/>
        <v>Base_With Amendment</v>
      </c>
      <c r="D8320" s="138" t="s">
        <v>130</v>
      </c>
      <c r="E8320" s="138" t="str">
        <f t="shared" si="664"/>
        <v>High</v>
      </c>
      <c r="F8320" s="138" t="str">
        <f t="shared" si="662"/>
        <v>Upgraded</v>
      </c>
      <c r="G8320" s="153"/>
      <c r="H8320" s="210">
        <v>-3.8199999999999998E-2</v>
      </c>
      <c r="I8320" s="160" t="s">
        <v>62</v>
      </c>
      <c r="J8320" s="160">
        <v>-0.41310000000000002</v>
      </c>
      <c r="K8320" s="160" t="s">
        <v>15</v>
      </c>
      <c r="L8320" s="154" t="str">
        <f>IF(OpenLCAbasic!K8320="CTUh", "Fill in Manually",IF(OR(K8320="Unit", K8320=""), "", INDEX(LookUps!$E$5:$E$12, MATCH(OpenLCAbasic!K8320,LookUps!$D$5:$D$12,0))))</f>
        <v>Cumulative Energy Demand (CED) - MJ</v>
      </c>
      <c r="M8320" s="154" t="str">
        <f t="shared" si="665"/>
        <v>High_Base_Upgraded_Cumulative Energy Demand (CED) - MJ_Land application of compost; wastewater treatment unit; at updated plant - US_Base_With Amendment_Aerated Static Pile</v>
      </c>
    </row>
    <row r="8321" spans="1:13" s="120" customFormat="1" x14ac:dyDescent="0.25">
      <c r="A8321" s="119"/>
      <c r="B8321" s="138" t="str">
        <f t="shared" si="660"/>
        <v>Aerated Static Pile</v>
      </c>
      <c r="C8321" s="138" t="str">
        <f t="shared" si="659"/>
        <v>Base_With Amendment</v>
      </c>
      <c r="D8321" s="138" t="s">
        <v>130</v>
      </c>
      <c r="E8321" s="138" t="str">
        <f t="shared" si="664"/>
        <v>High</v>
      </c>
      <c r="F8321" s="138" t="str">
        <f t="shared" si="662"/>
        <v>Upgraded</v>
      </c>
      <c r="G8321" s="153"/>
      <c r="H8321" s="210">
        <v>-0.18479999999999999</v>
      </c>
      <c r="I8321" s="160" t="s">
        <v>149</v>
      </c>
      <c r="J8321" s="160">
        <v>-1.99752</v>
      </c>
      <c r="K8321" s="160" t="s">
        <v>15</v>
      </c>
      <c r="L8321" s="154" t="str">
        <f>IF(OpenLCAbasic!K8321="CTUh", "Fill in Manually",IF(OR(K8321="Unit", K8321=""), "", INDEX(LookUps!$E$5:$E$12, MATCH(OpenLCAbasic!K8321,LookUps!$D$5:$D$12,0))))</f>
        <v>Cumulative Energy Demand (CED) - MJ</v>
      </c>
      <c r="M8321" s="154" t="str">
        <f t="shared" si="665"/>
        <v>High_Base_Upgraded_Cumulative Energy Demand (CED) - MJ_Anaerobic Digestion; wastewater treatment unit; at updated plant - US_Base_With Amendment_Aerated Static Pile</v>
      </c>
    </row>
    <row r="8322" spans="1:13" s="120" customFormat="1" x14ac:dyDescent="0.25">
      <c r="A8322" s="119"/>
      <c r="B8322" s="138" t="str">
        <f t="shared" si="660"/>
        <v/>
      </c>
      <c r="C8322" s="138" t="str">
        <f t="shared" si="659"/>
        <v/>
      </c>
      <c r="D8322" s="138" t="str">
        <f t="shared" si="663"/>
        <v/>
      </c>
      <c r="E8322" s="138" t="str">
        <f t="shared" si="664"/>
        <v/>
      </c>
      <c r="F8322" s="138" t="str">
        <f t="shared" si="662"/>
        <v/>
      </c>
      <c r="G8322" s="153" t="s">
        <v>51</v>
      </c>
      <c r="H8322" s="160"/>
      <c r="I8322" s="160" t="s">
        <v>47</v>
      </c>
      <c r="J8322" s="160" t="s">
        <v>52</v>
      </c>
      <c r="K8322" s="160" t="s">
        <v>27</v>
      </c>
      <c r="L8322" s="154" t="str">
        <f>IF(OpenLCAbasic!K8322="CTUh", "Fill in Manually",IF(OR(K8322="Unit", K8322=""), "", INDEX(LookUps!$E$5:$E$12, MATCH(OpenLCAbasic!K8322,LookUps!$D$5:$D$12,0))))</f>
        <v/>
      </c>
      <c r="M8322" s="154" t="str">
        <f t="shared" si="665"/>
        <v>____Process__</v>
      </c>
    </row>
    <row r="8323" spans="1:13" s="120" customFormat="1" x14ac:dyDescent="0.25">
      <c r="A8323" s="119"/>
      <c r="B8323" s="138" t="str">
        <f t="shared" si="660"/>
        <v>Aerated Static Pile</v>
      </c>
      <c r="C8323" s="138" t="str">
        <f t="shared" si="659"/>
        <v>Base_With Amendment</v>
      </c>
      <c r="D8323" s="138" t="s">
        <v>130</v>
      </c>
      <c r="E8323" s="138" t="str">
        <f t="shared" si="664"/>
        <v>High</v>
      </c>
      <c r="F8323" s="138" t="str">
        <f t="shared" si="662"/>
        <v>Upgraded</v>
      </c>
      <c r="G8323" s="153"/>
      <c r="H8323" s="210">
        <v>0.76290000000000002</v>
      </c>
      <c r="I8323" s="160" t="s">
        <v>48</v>
      </c>
      <c r="J8323" s="160">
        <v>1.1610000000000001E-2</v>
      </c>
      <c r="K8323" s="160" t="s">
        <v>13</v>
      </c>
      <c r="L8323" s="154" t="str">
        <f>IF(OpenLCAbasic!K8323="CTUh", "Fill in Manually",IF(OR(K8323="Unit", K8323=""), "", INDEX(LookUps!$E$5:$E$12, MATCH(OpenLCAbasic!K8323,LookUps!$D$5:$D$12,0))))</f>
        <v>Eutrophication Potential (EP) - kg N eq</v>
      </c>
      <c r="M8323" s="154" t="str">
        <f t="shared" si="665"/>
        <v>High_Base_Upgraded_Eutrophication Potential (EP) - kg N eq_Effluent release; wastewater treatment unit; at surface water; m3 wastewater - US_Base_With Amendment_Aerated Static Pile</v>
      </c>
    </row>
    <row r="8324" spans="1:13" s="120" customFormat="1" x14ac:dyDescent="0.25">
      <c r="A8324" s="119"/>
      <c r="B8324" s="138" t="str">
        <f t="shared" si="660"/>
        <v>Aerated Static Pile</v>
      </c>
      <c r="C8324" s="138" t="str">
        <f t="shared" si="659"/>
        <v>Base_With Amendment</v>
      </c>
      <c r="D8324" s="138" t="s">
        <v>130</v>
      </c>
      <c r="E8324" s="138" t="str">
        <f t="shared" si="664"/>
        <v>High</v>
      </c>
      <c r="F8324" s="138" t="str">
        <f t="shared" si="662"/>
        <v>Upgraded</v>
      </c>
      <c r="G8324" s="153"/>
      <c r="H8324" s="210">
        <v>0.12959999999999999</v>
      </c>
      <c r="I8324" s="160" t="s">
        <v>62</v>
      </c>
      <c r="J8324" s="160">
        <v>1.97E-3</v>
      </c>
      <c r="K8324" s="160" t="s">
        <v>13</v>
      </c>
      <c r="L8324" s="154" t="str">
        <f>IF(OpenLCAbasic!K8324="CTUh", "Fill in Manually",IF(OR(K8324="Unit", K8324=""), "", INDEX(LookUps!$E$5:$E$12, MATCH(OpenLCAbasic!K8324,LookUps!$D$5:$D$12,0))))</f>
        <v>Eutrophication Potential (EP) - kg N eq</v>
      </c>
      <c r="M8324" s="154" t="str">
        <f t="shared" si="665"/>
        <v>High_Base_Upgraded_Eutrophication Potential (EP) - kg N eq_Land application of compost; wastewater treatment unit; at updated plant - US_Base_With Amendment_Aerated Static Pile</v>
      </c>
    </row>
    <row r="8325" spans="1:13" s="120" customFormat="1" x14ac:dyDescent="0.25">
      <c r="A8325" s="119"/>
      <c r="B8325" s="138" t="str">
        <f t="shared" si="660"/>
        <v>Aerated Static Pile</v>
      </c>
      <c r="C8325" s="138" t="str">
        <f t="shared" si="659"/>
        <v>Base_With Amendment</v>
      </c>
      <c r="D8325" s="138" t="s">
        <v>130</v>
      </c>
      <c r="E8325" s="138" t="str">
        <f t="shared" si="664"/>
        <v>High</v>
      </c>
      <c r="F8325" s="138" t="str">
        <f t="shared" si="662"/>
        <v>Upgraded</v>
      </c>
      <c r="G8325" s="153"/>
      <c r="H8325" s="210">
        <v>3.5900000000000001E-2</v>
      </c>
      <c r="I8325" s="160" t="s">
        <v>55</v>
      </c>
      <c r="J8325" s="160">
        <v>5.5000000000000003E-4</v>
      </c>
      <c r="K8325" s="160" t="s">
        <v>13</v>
      </c>
      <c r="L8325" s="154" t="str">
        <f>IF(OpenLCAbasic!K8325="CTUh", "Fill in Manually",IF(OR(K8325="Unit", K8325=""), "", INDEX(LookUps!$E$5:$E$12, MATCH(OpenLCAbasic!K8325,LookUps!$D$5:$D$12,0))))</f>
        <v>Eutrophication Potential (EP) - kg N eq</v>
      </c>
      <c r="M8325" s="154" t="str">
        <f t="shared" si="665"/>
        <v>High_Base_Upgraded_Eutrophication Potential (EP) - kg N eq_Aeration Tanks; wastewater treatment unit; at updated plant - US_Base_With Amendment_Aerated Static Pile</v>
      </c>
    </row>
    <row r="8326" spans="1:13" s="120" customFormat="1" x14ac:dyDescent="0.25">
      <c r="A8326" s="119"/>
      <c r="B8326" s="138" t="str">
        <f t="shared" si="660"/>
        <v>Aerated Static Pile</v>
      </c>
      <c r="C8326" s="138" t="str">
        <f t="shared" si="659"/>
        <v>Base_With Amendment</v>
      </c>
      <c r="D8326" s="138" t="s">
        <v>130</v>
      </c>
      <c r="E8326" s="138" t="str">
        <f t="shared" si="664"/>
        <v>High</v>
      </c>
      <c r="F8326" s="138" t="str">
        <f t="shared" si="662"/>
        <v>Upgraded</v>
      </c>
      <c r="G8326" s="153"/>
      <c r="H8326" s="210">
        <v>1.6400000000000001E-2</v>
      </c>
      <c r="I8326" s="160" t="s">
        <v>147</v>
      </c>
      <c r="J8326" s="160">
        <v>2.5000000000000001E-4</v>
      </c>
      <c r="K8326" s="160" t="s">
        <v>13</v>
      </c>
      <c r="L8326" s="154" t="str">
        <f>IF(OpenLCAbasic!K8326="CTUh", "Fill in Manually",IF(OR(K8326="Unit", K8326=""), "", INDEX(LookUps!$E$5:$E$12, MATCH(OpenLCAbasic!K8326,LookUps!$D$5:$D$12,0))))</f>
        <v>Eutrophication Potential (EP) - kg N eq</v>
      </c>
      <c r="M8326" s="154" t="str">
        <f t="shared" si="665"/>
        <v>High_Base_Upgraded_Eutrophication Potential (EP) - kg N eq_Influent Pump Station; wastewater treatment unit; at updated plant - US_Base_With Amendment_Aerated Static Pile</v>
      </c>
    </row>
    <row r="8327" spans="1:13" s="120" customFormat="1" x14ac:dyDescent="0.25">
      <c r="A8327" s="119"/>
      <c r="B8327" s="138" t="str">
        <f t="shared" si="660"/>
        <v>Aerated Static Pile</v>
      </c>
      <c r="C8327" s="138" t="str">
        <f t="shared" si="659"/>
        <v>Base_With Amendment</v>
      </c>
      <c r="D8327" s="138" t="s">
        <v>130</v>
      </c>
      <c r="E8327" s="138" t="str">
        <f t="shared" si="664"/>
        <v>High</v>
      </c>
      <c r="F8327" s="138" t="str">
        <f t="shared" si="662"/>
        <v>Upgraded</v>
      </c>
      <c r="G8327" s="153"/>
      <c r="H8327" s="210">
        <v>1.46E-2</v>
      </c>
      <c r="I8327" s="160" t="s">
        <v>435</v>
      </c>
      <c r="J8327" s="160">
        <v>2.2000000000000001E-4</v>
      </c>
      <c r="K8327" s="160" t="s">
        <v>13</v>
      </c>
      <c r="L8327" s="154" t="str">
        <f>IF(OpenLCAbasic!K8327="CTUh", "Fill in Manually",IF(OR(K8327="Unit", K8327=""), "", INDEX(LookUps!$E$5:$E$12, MATCH(OpenLCAbasic!K8327,LookUps!$D$5:$D$12,0))))</f>
        <v>Eutrophication Potential (EP) - kg N eq</v>
      </c>
      <c r="M8327" s="154" t="str">
        <f t="shared" si="665"/>
        <v>High_Base_Upgraded_Eutrophication Potential (EP) - kg N eq_Biosolids composting; aerated static pile; wastewater treatment unit; at updated plant - US_Base_With Amendment_Aerated Static Pile</v>
      </c>
    </row>
    <row r="8328" spans="1:13" s="120" customFormat="1" x14ac:dyDescent="0.25">
      <c r="A8328" s="119"/>
      <c r="B8328" s="138" t="str">
        <f t="shared" si="660"/>
        <v>Aerated Static Pile</v>
      </c>
      <c r="C8328" s="138" t="str">
        <f t="shared" si="659"/>
        <v>Base_With Amendment</v>
      </c>
      <c r="D8328" s="138" t="s">
        <v>130</v>
      </c>
      <c r="E8328" s="138" t="str">
        <f t="shared" si="664"/>
        <v>High</v>
      </c>
      <c r="F8328" s="138" t="str">
        <f t="shared" si="662"/>
        <v>Upgraded</v>
      </c>
      <c r="G8328" s="153"/>
      <c r="H8328" s="210">
        <v>1.2999999999999999E-2</v>
      </c>
      <c r="I8328" s="160" t="s">
        <v>54</v>
      </c>
      <c r="J8328" s="160">
        <v>2.0000000000000001E-4</v>
      </c>
      <c r="K8328" s="160" t="s">
        <v>13</v>
      </c>
      <c r="L8328" s="154" t="str">
        <f>IF(OpenLCAbasic!K8328="CTUh", "Fill in Manually",IF(OR(K8328="Unit", K8328=""), "", INDEX(LookUps!$E$5:$E$12, MATCH(OpenLCAbasic!K8328,LookUps!$D$5:$D$12,0))))</f>
        <v>Eutrophication Potential (EP) - kg N eq</v>
      </c>
      <c r="M8328" s="154" t="str">
        <f t="shared" si="665"/>
        <v>High_Base_Upgraded_Eutrophication Potential (EP) - kg N eq_Clear Cove Primary Clarification; wastewater treatment unit; at updated plant - US_Base_With Amendment_Aerated Static Pile</v>
      </c>
    </row>
    <row r="8329" spans="1:13" s="120" customFormat="1" x14ac:dyDescent="0.25">
      <c r="A8329" s="119"/>
      <c r="B8329" s="138" t="str">
        <f t="shared" si="660"/>
        <v>Aerated Static Pile</v>
      </c>
      <c r="C8329" s="138" t="str">
        <f t="shared" ref="C8329:C8392" si="666">IF(ISNUMBER($J8329),"Base_With Amendment","")</f>
        <v>Base_With Amendment</v>
      </c>
      <c r="D8329" s="138" t="s">
        <v>130</v>
      </c>
      <c r="E8329" s="138" t="str">
        <f t="shared" si="664"/>
        <v>High</v>
      </c>
      <c r="F8329" s="138" t="str">
        <f t="shared" si="662"/>
        <v>Upgraded</v>
      </c>
      <c r="G8329" s="153"/>
      <c r="H8329" s="210">
        <v>1.0800000000000001E-2</v>
      </c>
      <c r="I8329" s="160" t="s">
        <v>167</v>
      </c>
      <c r="J8329" s="160">
        <v>1.6000000000000001E-4</v>
      </c>
      <c r="K8329" s="160" t="s">
        <v>13</v>
      </c>
      <c r="L8329" s="154" t="str">
        <f>IF(OpenLCAbasic!K8329="CTUh", "Fill in Manually",IF(OR(K8329="Unit", K8329=""), "", INDEX(LookUps!$E$5:$E$12, MATCH(OpenLCAbasic!K8329,LookUps!$D$5:$D$12,0))))</f>
        <v>Eutrophication Potential (EP) - kg N eq</v>
      </c>
      <c r="M8329" s="154" t="str">
        <f t="shared" si="665"/>
        <v>High_Base_Upgraded_Eutrophication Potential (EP) - kg N eq_Waste Receiving and Holding; wastewater treatment unit; at updated plant - US_Base_With Amendment_Aerated Static Pile</v>
      </c>
    </row>
    <row r="8330" spans="1:13" s="120" customFormat="1" x14ac:dyDescent="0.25">
      <c r="A8330" s="119"/>
      <c r="B8330" s="138" t="str">
        <f t="shared" si="660"/>
        <v>Aerated Static Pile</v>
      </c>
      <c r="C8330" s="138" t="str">
        <f t="shared" si="666"/>
        <v>Base_With Amendment</v>
      </c>
      <c r="D8330" s="138" t="s">
        <v>130</v>
      </c>
      <c r="E8330" s="138" t="str">
        <f t="shared" si="664"/>
        <v>High</v>
      </c>
      <c r="F8330" s="138" t="str">
        <f t="shared" si="662"/>
        <v>Upgraded</v>
      </c>
      <c r="G8330" s="153"/>
      <c r="H8330" s="210">
        <v>8.8999999999999999E-3</v>
      </c>
      <c r="I8330" s="160" t="s">
        <v>58</v>
      </c>
      <c r="J8330" s="160">
        <v>1.3999999999999999E-4</v>
      </c>
      <c r="K8330" s="160" t="s">
        <v>13</v>
      </c>
      <c r="L8330" s="154" t="str">
        <f>IF(OpenLCAbasic!K8330="CTUh", "Fill in Manually",IF(OR(K8330="Unit", K8330=""), "", INDEX(LookUps!$E$5:$E$12, MATCH(OpenLCAbasic!K8330,LookUps!$D$5:$D$12,0))))</f>
        <v>Eutrophication Potential (EP) - kg N eq</v>
      </c>
      <c r="M8330" s="154" t="str">
        <f t="shared" si="665"/>
        <v>High_Base_Upgraded_Eutrophication Potential (EP) - kg N eq_Pre-Anoxic &amp; Swing tank; wastewater treatment unit; at updated plant - US_Base_With Amendment_Aerated Static Pile</v>
      </c>
    </row>
    <row r="8331" spans="1:13" s="120" customFormat="1" x14ac:dyDescent="0.25">
      <c r="A8331" s="119"/>
      <c r="B8331" s="138" t="str">
        <f t="shared" si="660"/>
        <v>Aerated Static Pile</v>
      </c>
      <c r="C8331" s="138" t="str">
        <f t="shared" si="666"/>
        <v>Base_With Amendment</v>
      </c>
      <c r="D8331" s="138" t="s">
        <v>130</v>
      </c>
      <c r="E8331" s="138" t="str">
        <f t="shared" si="664"/>
        <v>High</v>
      </c>
      <c r="F8331" s="138" t="str">
        <f t="shared" si="662"/>
        <v>Upgraded</v>
      </c>
      <c r="G8331" s="153"/>
      <c r="H8331" s="210">
        <v>7.1000000000000004E-3</v>
      </c>
      <c r="I8331" s="160" t="s">
        <v>53</v>
      </c>
      <c r="J8331" s="160">
        <v>1.1E-4</v>
      </c>
      <c r="K8331" s="160" t="s">
        <v>13</v>
      </c>
      <c r="L8331" s="154" t="str">
        <f>IF(OpenLCAbasic!K8331="CTUh", "Fill in Manually",IF(OR(K8331="Unit", K8331=""), "", INDEX(LookUps!$E$5:$E$12, MATCH(OpenLCAbasic!K8331,LookUps!$D$5:$D$12,0))))</f>
        <v>Eutrophication Potential (EP) - kg N eq</v>
      </c>
      <c r="M8331" s="154" t="str">
        <f t="shared" si="665"/>
        <v>High_Base_Upgraded_Eutrophication Potential (EP) - kg N eq_Wet Well and Sump Station; wastewater treatment unit; at updated plant - US_Base_With Amendment_Aerated Static Pile</v>
      </c>
    </row>
    <row r="8332" spans="1:13" s="120" customFormat="1" x14ac:dyDescent="0.25">
      <c r="A8332" s="119"/>
      <c r="B8332" s="138" t="str">
        <f t="shared" si="660"/>
        <v>Aerated Static Pile</v>
      </c>
      <c r="C8332" s="138" t="str">
        <f t="shared" si="666"/>
        <v>Base_With Amendment</v>
      </c>
      <c r="D8332" s="138" t="s">
        <v>130</v>
      </c>
      <c r="E8332" s="138" t="str">
        <f t="shared" si="664"/>
        <v>High</v>
      </c>
      <c r="F8332" s="138" t="str">
        <f t="shared" si="662"/>
        <v>Upgraded</v>
      </c>
      <c r="G8332" s="153"/>
      <c r="H8332" s="210">
        <v>4.0000000000000001E-3</v>
      </c>
      <c r="I8332" s="160" t="s">
        <v>57</v>
      </c>
      <c r="J8332" s="211">
        <v>6.0590300000000002E-5</v>
      </c>
      <c r="K8332" s="160" t="s">
        <v>13</v>
      </c>
      <c r="L8332" s="154" t="str">
        <f>IF(OpenLCAbasic!K8332="CTUh", "Fill in Manually",IF(OR(K8332="Unit", K8332=""), "", INDEX(LookUps!$E$5:$E$12, MATCH(OpenLCAbasic!K8332,LookUps!$D$5:$D$12,0))))</f>
        <v>Eutrophication Potential (EP) - kg N eq</v>
      </c>
      <c r="M8332" s="154" t="str">
        <f t="shared" si="665"/>
        <v>High_Base_Upgraded_Eutrophication Potential (EP) - kg N eq_Gravity Belt Thickener; wastewater treatment unit; at updated plant - US_Base_With Amendment_Aerated Static Pile</v>
      </c>
    </row>
    <row r="8333" spans="1:13" s="120" customFormat="1" x14ac:dyDescent="0.25">
      <c r="A8333" s="119"/>
      <c r="B8333" s="138" t="str">
        <f t="shared" si="660"/>
        <v>Aerated Static Pile</v>
      </c>
      <c r="C8333" s="138" t="str">
        <f t="shared" si="666"/>
        <v>Base_With Amendment</v>
      </c>
      <c r="D8333" s="138" t="s">
        <v>130</v>
      </c>
      <c r="E8333" s="138" t="str">
        <f t="shared" si="664"/>
        <v>High</v>
      </c>
      <c r="F8333" s="138" t="str">
        <f t="shared" si="662"/>
        <v>Upgraded</v>
      </c>
      <c r="G8333" s="153"/>
      <c r="H8333" s="210">
        <v>3.3E-3</v>
      </c>
      <c r="I8333" s="160" t="s">
        <v>60</v>
      </c>
      <c r="J8333" s="211">
        <v>5.06508E-5</v>
      </c>
      <c r="K8333" s="160" t="s">
        <v>13</v>
      </c>
      <c r="L8333" s="154" t="str">
        <f>IF(OpenLCAbasic!K8333="CTUh", "Fill in Manually",IF(OR(K8333="Unit", K8333=""), "", INDEX(LookUps!$E$5:$E$12, MATCH(OpenLCAbasic!K8333,LookUps!$D$5:$D$12,0))))</f>
        <v>Eutrophication Potential (EP) - kg N eq</v>
      </c>
      <c r="M8333" s="154" t="str">
        <f t="shared" si="665"/>
        <v>High_Base_Upgraded_Eutrophication Potential (EP) - kg N eq_Belt filter press; wastewater treatment unit; at updated plant - US_Base_With Amendment_Aerated Static Pile</v>
      </c>
    </row>
    <row r="8334" spans="1:13" s="120" customFormat="1" x14ac:dyDescent="0.25">
      <c r="A8334" s="119"/>
      <c r="B8334" s="138" t="str">
        <f t="shared" si="660"/>
        <v>Aerated Static Pile</v>
      </c>
      <c r="C8334" s="138" t="str">
        <f t="shared" si="666"/>
        <v>Base_With Amendment</v>
      </c>
      <c r="D8334" s="138" t="s">
        <v>130</v>
      </c>
      <c r="E8334" s="138" t="str">
        <f t="shared" si="664"/>
        <v>High</v>
      </c>
      <c r="F8334" s="138" t="str">
        <f t="shared" si="662"/>
        <v>Upgraded</v>
      </c>
      <c r="G8334" s="153"/>
      <c r="H8334" s="210">
        <v>2.5000000000000001E-3</v>
      </c>
      <c r="I8334" s="160" t="s">
        <v>128</v>
      </c>
      <c r="J8334" s="211">
        <v>3.7559799999999999E-5</v>
      </c>
      <c r="K8334" s="160" t="s">
        <v>13</v>
      </c>
      <c r="L8334" s="154" t="str">
        <f>IF(OpenLCAbasic!K8334="CTUh", "Fill in Manually",IF(OR(K8334="Unit", K8334=""), "", INDEX(LookUps!$E$5:$E$12, MATCH(OpenLCAbasic!K8334,LookUps!$D$5:$D$12,0))))</f>
        <v>Eutrophication Potential (EP) - kg N eq</v>
      </c>
      <c r="M8334" s="154" t="str">
        <f t="shared" si="665"/>
        <v>High_Base_Upgraded_Eutrophication Potential (EP) - kg N eq_Wastewater collection; operation and infrastructure; m3 wastewater_Base_With Amendment_Aerated Static Pile</v>
      </c>
    </row>
    <row r="8335" spans="1:13" s="120" customFormat="1" x14ac:dyDescent="0.25">
      <c r="A8335" s="119"/>
      <c r="B8335" s="138" t="str">
        <f t="shared" si="660"/>
        <v>Aerated Static Pile</v>
      </c>
      <c r="C8335" s="138" t="str">
        <f t="shared" si="666"/>
        <v>Base_With Amendment</v>
      </c>
      <c r="D8335" s="138" t="s">
        <v>130</v>
      </c>
      <c r="E8335" s="138" t="str">
        <f t="shared" si="664"/>
        <v>High</v>
      </c>
      <c r="F8335" s="138" t="str">
        <f t="shared" si="662"/>
        <v>Upgraded</v>
      </c>
      <c r="G8335" s="153"/>
      <c r="H8335" s="210">
        <v>2.3999999999999998E-3</v>
      </c>
      <c r="I8335" s="160" t="s">
        <v>148</v>
      </c>
      <c r="J8335" s="211">
        <v>3.6874600000000001E-5</v>
      </c>
      <c r="K8335" s="160" t="s">
        <v>13</v>
      </c>
      <c r="L8335" s="154" t="str">
        <f>IF(OpenLCAbasic!K8335="CTUh", "Fill in Manually",IF(OR(K8335="Unit", K8335=""), "", INDEX(LookUps!$E$5:$E$12, MATCH(OpenLCAbasic!K8335,LookUps!$D$5:$D$12,0))))</f>
        <v>Eutrophication Potential (EP) - kg N eq</v>
      </c>
      <c r="M8335" s="154" t="str">
        <f t="shared" si="665"/>
        <v>High_Base_Upgraded_Eutrophication Potential (EP) - kg N eq_Control Building; at upgraded wastewater treatment plant - US_Base_With Amendment_Aerated Static Pile</v>
      </c>
    </row>
    <row r="8336" spans="1:13" s="120" customFormat="1" x14ac:dyDescent="0.25">
      <c r="A8336" s="119"/>
      <c r="B8336" s="138" t="str">
        <f t="shared" si="660"/>
        <v>Aerated Static Pile</v>
      </c>
      <c r="C8336" s="138" t="str">
        <f t="shared" si="666"/>
        <v>Base_With Amendment</v>
      </c>
      <c r="D8336" s="138" t="s">
        <v>130</v>
      </c>
      <c r="E8336" s="138" t="str">
        <f t="shared" si="664"/>
        <v>High</v>
      </c>
      <c r="F8336" s="138" t="str">
        <f t="shared" si="662"/>
        <v>Upgraded</v>
      </c>
      <c r="G8336" s="153"/>
      <c r="H8336" s="210">
        <v>1.1000000000000001E-3</v>
      </c>
      <c r="I8336" s="160" t="s">
        <v>59</v>
      </c>
      <c r="J8336" s="211">
        <v>1.6215700000000001E-5</v>
      </c>
      <c r="K8336" s="160" t="s">
        <v>13</v>
      </c>
      <c r="L8336" s="154" t="str">
        <f>IF(OpenLCAbasic!K8336="CTUh", "Fill in Manually",IF(OR(K8336="Unit", K8336=""), "", INDEX(LookUps!$E$5:$E$12, MATCH(OpenLCAbasic!K8336,LookUps!$D$5:$D$12,0))))</f>
        <v>Eutrophication Potential (EP) - kg N eq</v>
      </c>
      <c r="M8336" s="154" t="str">
        <f t="shared" si="665"/>
        <v>High_Base_Upgraded_Eutrophication Potential (EP) - kg N eq_Blend Tank; wastewater treatment unit; at updated plant - US_Base_With Amendment_Aerated Static Pile</v>
      </c>
    </row>
    <row r="8337" spans="1:13" s="120" customFormat="1" x14ac:dyDescent="0.25">
      <c r="A8337" s="119"/>
      <c r="B8337" s="138" t="str">
        <f t="shared" si="660"/>
        <v>Aerated Static Pile</v>
      </c>
      <c r="C8337" s="138" t="str">
        <f t="shared" si="666"/>
        <v>Base_With Amendment</v>
      </c>
      <c r="D8337" s="138" t="s">
        <v>130</v>
      </c>
      <c r="E8337" s="138" t="str">
        <f t="shared" si="664"/>
        <v>High</v>
      </c>
      <c r="F8337" s="138" t="str">
        <f t="shared" si="662"/>
        <v>Upgraded</v>
      </c>
      <c r="G8337" s="153"/>
      <c r="H8337" s="210">
        <v>5.0000000000000001E-4</v>
      </c>
      <c r="I8337" s="160" t="s">
        <v>168</v>
      </c>
      <c r="J8337" s="211">
        <v>7.7567199999999995E-6</v>
      </c>
      <c r="K8337" s="160" t="s">
        <v>13</v>
      </c>
      <c r="L8337" s="154" t="str">
        <f>IF(OpenLCAbasic!K8337="CTUh", "Fill in Manually",IF(OR(K8337="Unit", K8337=""), "", INDEX(LookUps!$E$5:$E$12, MATCH(OpenLCAbasic!K8337,LookUps!$D$5:$D$12,0))))</f>
        <v>Eutrophication Potential (EP) - kg N eq</v>
      </c>
      <c r="M8337" s="154" t="str">
        <f t="shared" si="665"/>
        <v>High_Base_Upgraded_Eutrophication Potential (EP) - kg N eq_ClearCove SCP; wastewater treatment unit; at updated plant - US_Base_With Amendment_Aerated Static Pile</v>
      </c>
    </row>
    <row r="8338" spans="1:13" s="120" customFormat="1" x14ac:dyDescent="0.25">
      <c r="A8338" s="119"/>
      <c r="B8338" s="138" t="str">
        <f t="shared" si="660"/>
        <v>Aerated Static Pile</v>
      </c>
      <c r="C8338" s="138" t="str">
        <f t="shared" si="666"/>
        <v>Base_With Amendment</v>
      </c>
      <c r="D8338" s="138" t="s">
        <v>130</v>
      </c>
      <c r="E8338" s="138" t="str">
        <f t="shared" si="664"/>
        <v>High</v>
      </c>
      <c r="F8338" s="138" t="str">
        <f t="shared" si="662"/>
        <v>Upgraded</v>
      </c>
      <c r="G8338" s="153"/>
      <c r="H8338" s="210">
        <v>-1.2999999999999999E-2</v>
      </c>
      <c r="I8338" s="160" t="s">
        <v>149</v>
      </c>
      <c r="J8338" s="160">
        <v>-2.0000000000000001E-4</v>
      </c>
      <c r="K8338" s="160" t="s">
        <v>13</v>
      </c>
      <c r="L8338" s="154" t="str">
        <f>IF(OpenLCAbasic!K8338="CTUh", "Fill in Manually",IF(OR(K8338="Unit", K8338=""), "", INDEX(LookUps!$E$5:$E$12, MATCH(OpenLCAbasic!K8338,LookUps!$D$5:$D$12,0))))</f>
        <v>Eutrophication Potential (EP) - kg N eq</v>
      </c>
      <c r="M8338" s="154" t="str">
        <f t="shared" si="665"/>
        <v>High_Base_Upgraded_Eutrophication Potential (EP) - kg N eq_Anaerobic Digestion; wastewater treatment unit; at updated plant - US_Base_With Amendment_Aerated Static Pile</v>
      </c>
    </row>
    <row r="8339" spans="1:13" s="120" customFormat="1" x14ac:dyDescent="0.25">
      <c r="A8339" s="119"/>
      <c r="B8339" s="138" t="str">
        <f t="shared" si="660"/>
        <v/>
      </c>
      <c r="C8339" s="138" t="str">
        <f t="shared" si="666"/>
        <v/>
      </c>
      <c r="D8339" s="138" t="str">
        <f t="shared" si="663"/>
        <v/>
      </c>
      <c r="E8339" s="138" t="str">
        <f t="shared" si="664"/>
        <v/>
      </c>
      <c r="F8339" s="138" t="str">
        <f t="shared" si="662"/>
        <v/>
      </c>
      <c r="G8339" s="153" t="s">
        <v>51</v>
      </c>
      <c r="H8339" s="160"/>
      <c r="I8339" s="160" t="s">
        <v>47</v>
      </c>
      <c r="J8339" s="160" t="s">
        <v>52</v>
      </c>
      <c r="K8339" s="160" t="s">
        <v>27</v>
      </c>
      <c r="L8339" s="154" t="str">
        <f>IF(OpenLCAbasic!K8339="CTUh", "Fill in Manually",IF(OR(K8339="Unit", K8339=""), "", INDEX(LookUps!$E$5:$E$12, MATCH(OpenLCAbasic!K8339,LookUps!$D$5:$D$12,0))))</f>
        <v/>
      </c>
      <c r="M8339" s="154" t="str">
        <f t="shared" si="665"/>
        <v>____Process__</v>
      </c>
    </row>
    <row r="8340" spans="1:13" s="120" customFormat="1" x14ac:dyDescent="0.25">
      <c r="A8340" s="119"/>
      <c r="B8340" s="138" t="str">
        <f t="shared" si="660"/>
        <v>Aerated Static Pile</v>
      </c>
      <c r="C8340" s="138" t="str">
        <f t="shared" si="666"/>
        <v>Base_With Amendment</v>
      </c>
      <c r="D8340" s="138" t="s">
        <v>130</v>
      </c>
      <c r="E8340" s="138" t="str">
        <f t="shared" si="664"/>
        <v>High</v>
      </c>
      <c r="F8340" s="138" t="str">
        <f t="shared" si="662"/>
        <v>Upgraded</v>
      </c>
      <c r="G8340" s="153"/>
      <c r="H8340" s="210">
        <v>0.378</v>
      </c>
      <c r="I8340" s="160" t="s">
        <v>167</v>
      </c>
      <c r="J8340" s="160">
        <v>7.9170000000000004E-2</v>
      </c>
      <c r="K8340" s="160" t="s">
        <v>14</v>
      </c>
      <c r="L8340" s="154" t="str">
        <f>IF(OpenLCAbasic!K8340="CTUh", "Fill in Manually",IF(OR(K8340="Unit", K8340=""), "", INDEX(LookUps!$E$5:$E$12, MATCH(OpenLCAbasic!K8340,LookUps!$D$5:$D$12,0))))</f>
        <v>Fossil Depletion Potential (FDP) - kg oil eq</v>
      </c>
      <c r="M8340" s="154" t="str">
        <f t="shared" si="665"/>
        <v>High_Base_Upgraded_Fossil Depletion Potential (FDP) - kg oil eq_Waste Receiving and Holding; wastewater treatment unit; at updated plant - US_Base_With Amendment_Aerated Static Pile</v>
      </c>
    </row>
    <row r="8341" spans="1:13" s="120" customFormat="1" x14ac:dyDescent="0.25">
      <c r="A8341" s="119"/>
      <c r="B8341" s="138" t="str">
        <f t="shared" si="660"/>
        <v>Aerated Static Pile</v>
      </c>
      <c r="C8341" s="138" t="str">
        <f t="shared" si="666"/>
        <v>Base_With Amendment</v>
      </c>
      <c r="D8341" s="138" t="s">
        <v>130</v>
      </c>
      <c r="E8341" s="138" t="str">
        <f t="shared" si="664"/>
        <v>High</v>
      </c>
      <c r="F8341" s="138" t="str">
        <f t="shared" si="662"/>
        <v>Upgraded</v>
      </c>
      <c r="G8341" s="153"/>
      <c r="H8341" s="210">
        <v>0.30359999999999998</v>
      </c>
      <c r="I8341" s="160" t="s">
        <v>55</v>
      </c>
      <c r="J8341" s="160">
        <v>6.3589999999999994E-2</v>
      </c>
      <c r="K8341" s="160" t="s">
        <v>14</v>
      </c>
      <c r="L8341" s="154" t="str">
        <f>IF(OpenLCAbasic!K8341="CTUh", "Fill in Manually",IF(OR(K8341="Unit", K8341=""), "", INDEX(LookUps!$E$5:$E$12, MATCH(OpenLCAbasic!K8341,LookUps!$D$5:$D$12,0))))</f>
        <v>Fossil Depletion Potential (FDP) - kg oil eq</v>
      </c>
      <c r="M8341" s="154" t="str">
        <f t="shared" si="665"/>
        <v>High_Base_Upgraded_Fossil Depletion Potential (FDP) - kg oil eq_Aeration Tanks; wastewater treatment unit; at updated plant - US_Base_With Amendment_Aerated Static Pile</v>
      </c>
    </row>
    <row r="8342" spans="1:13" s="120" customFormat="1" x14ac:dyDescent="0.25">
      <c r="A8342" s="119"/>
      <c r="B8342" s="138" t="str">
        <f t="shared" si="660"/>
        <v>Aerated Static Pile</v>
      </c>
      <c r="C8342" s="138" t="str">
        <f t="shared" si="666"/>
        <v>Base_With Amendment</v>
      </c>
      <c r="D8342" s="138" t="s">
        <v>130</v>
      </c>
      <c r="E8342" s="138" t="str">
        <f t="shared" si="664"/>
        <v>High</v>
      </c>
      <c r="F8342" s="138" t="str">
        <f t="shared" si="662"/>
        <v>Upgraded</v>
      </c>
      <c r="G8342" s="153"/>
      <c r="H8342" s="210">
        <v>0.1075</v>
      </c>
      <c r="I8342" s="160" t="s">
        <v>435</v>
      </c>
      <c r="J8342" s="160">
        <v>2.2509999999999999E-2</v>
      </c>
      <c r="K8342" s="160" t="s">
        <v>14</v>
      </c>
      <c r="L8342" s="154" t="str">
        <f>IF(OpenLCAbasic!K8342="CTUh", "Fill in Manually",IF(OR(K8342="Unit", K8342=""), "", INDEX(LookUps!$E$5:$E$12, MATCH(OpenLCAbasic!K8342,LookUps!$D$5:$D$12,0))))</f>
        <v>Fossil Depletion Potential (FDP) - kg oil eq</v>
      </c>
      <c r="M8342" s="154" t="str">
        <f t="shared" si="665"/>
        <v>High_Base_Upgraded_Fossil Depletion Potential (FDP) - kg oil eq_Biosolids composting; aerated static pile; wastewater treatment unit; at updated plant - US_Base_With Amendment_Aerated Static Pile</v>
      </c>
    </row>
    <row r="8343" spans="1:13" s="120" customFormat="1" x14ac:dyDescent="0.25">
      <c r="A8343" s="119"/>
      <c r="B8343" s="138" t="str">
        <f t="shared" si="660"/>
        <v>Aerated Static Pile</v>
      </c>
      <c r="C8343" s="138" t="str">
        <f t="shared" si="666"/>
        <v>Base_With Amendment</v>
      </c>
      <c r="D8343" s="138" t="s">
        <v>130</v>
      </c>
      <c r="E8343" s="138" t="str">
        <f t="shared" si="664"/>
        <v>High</v>
      </c>
      <c r="F8343" s="138" t="str">
        <f t="shared" si="662"/>
        <v>Upgraded</v>
      </c>
      <c r="G8343" s="153"/>
      <c r="H8343" s="210">
        <v>0.10050000000000001</v>
      </c>
      <c r="I8343" s="160" t="s">
        <v>54</v>
      </c>
      <c r="J8343" s="160">
        <v>2.1049999999999999E-2</v>
      </c>
      <c r="K8343" s="160" t="s">
        <v>14</v>
      </c>
      <c r="L8343" s="154" t="str">
        <f>IF(OpenLCAbasic!K8343="CTUh", "Fill in Manually",IF(OR(K8343="Unit", K8343=""), "", INDEX(LookUps!$E$5:$E$12, MATCH(OpenLCAbasic!K8343,LookUps!$D$5:$D$12,0))))</f>
        <v>Fossil Depletion Potential (FDP) - kg oil eq</v>
      </c>
      <c r="M8343" s="154" t="str">
        <f t="shared" si="665"/>
        <v>High_Base_Upgraded_Fossil Depletion Potential (FDP) - kg oil eq_Clear Cove Primary Clarification; wastewater treatment unit; at updated plant - US_Base_With Amendment_Aerated Static Pile</v>
      </c>
    </row>
    <row r="8344" spans="1:13" s="120" customFormat="1" x14ac:dyDescent="0.25">
      <c r="A8344" s="119"/>
      <c r="B8344" s="138" t="str">
        <f t="shared" si="660"/>
        <v>Aerated Static Pile</v>
      </c>
      <c r="C8344" s="138" t="str">
        <f t="shared" si="666"/>
        <v>Base_With Amendment</v>
      </c>
      <c r="D8344" s="138" t="s">
        <v>130</v>
      </c>
      <c r="E8344" s="138" t="str">
        <f t="shared" si="664"/>
        <v>High</v>
      </c>
      <c r="F8344" s="138" t="str">
        <f t="shared" si="662"/>
        <v>Upgraded</v>
      </c>
      <c r="G8344" s="153"/>
      <c r="H8344" s="210">
        <v>7.5999999999999998E-2</v>
      </c>
      <c r="I8344" s="160" t="s">
        <v>58</v>
      </c>
      <c r="J8344" s="160">
        <v>1.592E-2</v>
      </c>
      <c r="K8344" s="160" t="s">
        <v>14</v>
      </c>
      <c r="L8344" s="154" t="str">
        <f>IF(OpenLCAbasic!K8344="CTUh", "Fill in Manually",IF(OR(K8344="Unit", K8344=""), "", INDEX(LookUps!$E$5:$E$12, MATCH(OpenLCAbasic!K8344,LookUps!$D$5:$D$12,0))))</f>
        <v>Fossil Depletion Potential (FDP) - kg oil eq</v>
      </c>
      <c r="M8344" s="154" t="str">
        <f t="shared" si="665"/>
        <v>High_Base_Upgraded_Fossil Depletion Potential (FDP) - kg oil eq_Pre-Anoxic &amp; Swing tank; wastewater treatment unit; at updated plant - US_Base_With Amendment_Aerated Static Pile</v>
      </c>
    </row>
    <row r="8345" spans="1:13" s="120" customFormat="1" x14ac:dyDescent="0.25">
      <c r="A8345" s="119"/>
      <c r="B8345" s="138" t="str">
        <f t="shared" ref="B8345:B8408" si="667">IF(F8345="Legacy","n.a.",IF(F8345="","","Aerated Static Pile"))</f>
        <v>Aerated Static Pile</v>
      </c>
      <c r="C8345" s="138" t="str">
        <f t="shared" si="666"/>
        <v>Base_With Amendment</v>
      </c>
      <c r="D8345" s="138" t="s">
        <v>130</v>
      </c>
      <c r="E8345" s="138" t="str">
        <f t="shared" si="664"/>
        <v>High</v>
      </c>
      <c r="F8345" s="138" t="str">
        <f t="shared" ref="F8345:F8408" si="668">IF(ISNUMBER(J8345),"Upgraded","")</f>
        <v>Upgraded</v>
      </c>
      <c r="G8345" s="153"/>
      <c r="H8345" s="210">
        <v>7.1999999999999995E-2</v>
      </c>
      <c r="I8345" s="160" t="s">
        <v>147</v>
      </c>
      <c r="J8345" s="160">
        <v>1.5089999999999999E-2</v>
      </c>
      <c r="K8345" s="160" t="s">
        <v>14</v>
      </c>
      <c r="L8345" s="154" t="str">
        <f>IF(OpenLCAbasic!K8345="CTUh", "Fill in Manually",IF(OR(K8345="Unit", K8345=""), "", INDEX(LookUps!$E$5:$E$12, MATCH(OpenLCAbasic!K8345,LookUps!$D$5:$D$12,0))))</f>
        <v>Fossil Depletion Potential (FDP) - kg oil eq</v>
      </c>
      <c r="M8345" s="154" t="str">
        <f t="shared" si="665"/>
        <v>High_Base_Upgraded_Fossil Depletion Potential (FDP) - kg oil eq_Influent Pump Station; wastewater treatment unit; at updated plant - US_Base_With Amendment_Aerated Static Pile</v>
      </c>
    </row>
    <row r="8346" spans="1:13" s="120" customFormat="1" x14ac:dyDescent="0.25">
      <c r="A8346" s="119"/>
      <c r="B8346" s="138" t="str">
        <f t="shared" si="667"/>
        <v>Aerated Static Pile</v>
      </c>
      <c r="C8346" s="138" t="str">
        <f t="shared" si="666"/>
        <v>Base_With Amendment</v>
      </c>
      <c r="D8346" s="138" t="s">
        <v>130</v>
      </c>
      <c r="E8346" s="138" t="str">
        <f t="shared" si="664"/>
        <v>High</v>
      </c>
      <c r="F8346" s="138" t="str">
        <f t="shared" si="668"/>
        <v>Upgraded</v>
      </c>
      <c r="G8346" s="153"/>
      <c r="H8346" s="210">
        <v>5.96E-2</v>
      </c>
      <c r="I8346" s="160" t="s">
        <v>53</v>
      </c>
      <c r="J8346" s="160">
        <v>1.2489999999999999E-2</v>
      </c>
      <c r="K8346" s="160" t="s">
        <v>14</v>
      </c>
      <c r="L8346" s="154" t="str">
        <f>IF(OpenLCAbasic!K8346="CTUh", "Fill in Manually",IF(OR(K8346="Unit", K8346=""), "", INDEX(LookUps!$E$5:$E$12, MATCH(OpenLCAbasic!K8346,LookUps!$D$5:$D$12,0))))</f>
        <v>Fossil Depletion Potential (FDP) - kg oil eq</v>
      </c>
      <c r="M8346" s="154" t="str">
        <f t="shared" si="665"/>
        <v>High_Base_Upgraded_Fossil Depletion Potential (FDP) - kg oil eq_Wet Well and Sump Station; wastewater treatment unit; at updated plant - US_Base_With Amendment_Aerated Static Pile</v>
      </c>
    </row>
    <row r="8347" spans="1:13" s="120" customFormat="1" x14ac:dyDescent="0.25">
      <c r="A8347" s="119"/>
      <c r="B8347" s="138" t="str">
        <f t="shared" si="667"/>
        <v>Aerated Static Pile</v>
      </c>
      <c r="C8347" s="138" t="str">
        <f t="shared" si="666"/>
        <v>Base_With Amendment</v>
      </c>
      <c r="D8347" s="138" t="s">
        <v>130</v>
      </c>
      <c r="E8347" s="138" t="str">
        <f t="shared" si="664"/>
        <v>High</v>
      </c>
      <c r="F8347" s="138" t="str">
        <f t="shared" si="668"/>
        <v>Upgraded</v>
      </c>
      <c r="G8347" s="153"/>
      <c r="H8347" s="210">
        <v>3.3000000000000002E-2</v>
      </c>
      <c r="I8347" s="160" t="s">
        <v>57</v>
      </c>
      <c r="J8347" s="160">
        <v>6.9199999999999999E-3</v>
      </c>
      <c r="K8347" s="160" t="s">
        <v>14</v>
      </c>
      <c r="L8347" s="154" t="str">
        <f>IF(OpenLCAbasic!K8347="CTUh", "Fill in Manually",IF(OR(K8347="Unit", K8347=""), "", INDEX(LookUps!$E$5:$E$12, MATCH(OpenLCAbasic!K8347,LookUps!$D$5:$D$12,0))))</f>
        <v>Fossil Depletion Potential (FDP) - kg oil eq</v>
      </c>
      <c r="M8347" s="154" t="str">
        <f t="shared" si="665"/>
        <v>High_Base_Upgraded_Fossil Depletion Potential (FDP) - kg oil eq_Gravity Belt Thickener; wastewater treatment unit; at updated plant - US_Base_With Amendment_Aerated Static Pile</v>
      </c>
    </row>
    <row r="8348" spans="1:13" s="120" customFormat="1" x14ac:dyDescent="0.25">
      <c r="A8348" s="119"/>
      <c r="B8348" s="138" t="str">
        <f t="shared" si="667"/>
        <v>Aerated Static Pile</v>
      </c>
      <c r="C8348" s="138" t="str">
        <f t="shared" si="666"/>
        <v>Base_With Amendment</v>
      </c>
      <c r="D8348" s="138" t="s">
        <v>130</v>
      </c>
      <c r="E8348" s="138" t="str">
        <f t="shared" si="664"/>
        <v>High</v>
      </c>
      <c r="F8348" s="138" t="str">
        <f t="shared" si="668"/>
        <v>Upgraded</v>
      </c>
      <c r="G8348" s="153"/>
      <c r="H8348" s="210">
        <v>2.7799999999999998E-2</v>
      </c>
      <c r="I8348" s="160" t="s">
        <v>60</v>
      </c>
      <c r="J8348" s="160">
        <v>5.8100000000000001E-3</v>
      </c>
      <c r="K8348" s="160" t="s">
        <v>14</v>
      </c>
      <c r="L8348" s="154" t="str">
        <f>IF(OpenLCAbasic!K8348="CTUh", "Fill in Manually",IF(OR(K8348="Unit", K8348=""), "", INDEX(LookUps!$E$5:$E$12, MATCH(OpenLCAbasic!K8348,LookUps!$D$5:$D$12,0))))</f>
        <v>Fossil Depletion Potential (FDP) - kg oil eq</v>
      </c>
      <c r="M8348" s="154" t="str">
        <f t="shared" si="665"/>
        <v>High_Base_Upgraded_Fossil Depletion Potential (FDP) - kg oil eq_Belt filter press; wastewater treatment unit; at updated plant - US_Base_With Amendment_Aerated Static Pile</v>
      </c>
    </row>
    <row r="8349" spans="1:13" s="120" customFormat="1" x14ac:dyDescent="0.25">
      <c r="A8349" s="119"/>
      <c r="B8349" s="138" t="str">
        <f t="shared" si="667"/>
        <v>Aerated Static Pile</v>
      </c>
      <c r="C8349" s="138" t="str">
        <f t="shared" si="666"/>
        <v>Base_With Amendment</v>
      </c>
      <c r="D8349" s="138" t="s">
        <v>130</v>
      </c>
      <c r="E8349" s="138" t="str">
        <f t="shared" si="664"/>
        <v>High</v>
      </c>
      <c r="F8349" s="138" t="str">
        <f t="shared" si="668"/>
        <v>Upgraded</v>
      </c>
      <c r="G8349" s="153"/>
      <c r="H8349" s="210">
        <v>2.1499999999999998E-2</v>
      </c>
      <c r="I8349" s="160" t="s">
        <v>128</v>
      </c>
      <c r="J8349" s="160">
        <v>4.4999999999999997E-3</v>
      </c>
      <c r="K8349" s="160" t="s">
        <v>14</v>
      </c>
      <c r="L8349" s="154" t="str">
        <f>IF(OpenLCAbasic!K8349="CTUh", "Fill in Manually",IF(OR(K8349="Unit", K8349=""), "", INDEX(LookUps!$E$5:$E$12, MATCH(OpenLCAbasic!K8349,LookUps!$D$5:$D$12,0))))</f>
        <v>Fossil Depletion Potential (FDP) - kg oil eq</v>
      </c>
      <c r="M8349" s="154" t="str">
        <f t="shared" si="665"/>
        <v>High_Base_Upgraded_Fossil Depletion Potential (FDP) - kg oil eq_Wastewater collection; operation and infrastructure; m3 wastewater_Base_With Amendment_Aerated Static Pile</v>
      </c>
    </row>
    <row r="8350" spans="1:13" s="120" customFormat="1" x14ac:dyDescent="0.25">
      <c r="A8350" s="119"/>
      <c r="B8350" s="138" t="str">
        <f t="shared" si="667"/>
        <v>Aerated Static Pile</v>
      </c>
      <c r="C8350" s="138" t="str">
        <f t="shared" si="666"/>
        <v>Base_With Amendment</v>
      </c>
      <c r="D8350" s="138" t="s">
        <v>130</v>
      </c>
      <c r="E8350" s="138" t="str">
        <f t="shared" si="664"/>
        <v>High</v>
      </c>
      <c r="F8350" s="138" t="str">
        <f t="shared" si="668"/>
        <v>Upgraded</v>
      </c>
      <c r="G8350" s="153"/>
      <c r="H8350" s="210">
        <v>1.34E-2</v>
      </c>
      <c r="I8350" s="160" t="s">
        <v>148</v>
      </c>
      <c r="J8350" s="160">
        <v>2.8E-3</v>
      </c>
      <c r="K8350" s="160" t="s">
        <v>14</v>
      </c>
      <c r="L8350" s="154" t="str">
        <f>IF(OpenLCAbasic!K8350="CTUh", "Fill in Manually",IF(OR(K8350="Unit", K8350=""), "", INDEX(LookUps!$E$5:$E$12, MATCH(OpenLCAbasic!K8350,LookUps!$D$5:$D$12,0))))</f>
        <v>Fossil Depletion Potential (FDP) - kg oil eq</v>
      </c>
      <c r="M8350" s="154" t="str">
        <f t="shared" si="665"/>
        <v>High_Base_Upgraded_Fossil Depletion Potential (FDP) - kg oil eq_Control Building; at upgraded wastewater treatment plant - US_Base_With Amendment_Aerated Static Pile</v>
      </c>
    </row>
    <row r="8351" spans="1:13" s="120" customFormat="1" x14ac:dyDescent="0.25">
      <c r="A8351" s="119"/>
      <c r="B8351" s="138" t="str">
        <f t="shared" si="667"/>
        <v>Aerated Static Pile</v>
      </c>
      <c r="C8351" s="138" t="str">
        <f t="shared" si="666"/>
        <v>Base_With Amendment</v>
      </c>
      <c r="D8351" s="138" t="s">
        <v>130</v>
      </c>
      <c r="E8351" s="138" t="str">
        <f t="shared" si="664"/>
        <v>High</v>
      </c>
      <c r="F8351" s="138" t="str">
        <f t="shared" si="668"/>
        <v>Upgraded</v>
      </c>
      <c r="G8351" s="153"/>
      <c r="H8351" s="210">
        <v>1.1299999999999999E-2</v>
      </c>
      <c r="I8351" s="160" t="s">
        <v>48</v>
      </c>
      <c r="J8351" s="160">
        <v>2.3600000000000001E-3</v>
      </c>
      <c r="K8351" s="160" t="s">
        <v>14</v>
      </c>
      <c r="L8351" s="154" t="str">
        <f>IF(OpenLCAbasic!K8351="CTUh", "Fill in Manually",IF(OR(K8351="Unit", K8351=""), "", INDEX(LookUps!$E$5:$E$12, MATCH(OpenLCAbasic!K8351,LookUps!$D$5:$D$12,0))))</f>
        <v>Fossil Depletion Potential (FDP) - kg oil eq</v>
      </c>
      <c r="M8351" s="154" t="str">
        <f t="shared" si="665"/>
        <v>High_Base_Upgraded_Fossil Depletion Potential (FDP) - kg oil eq_Effluent release; wastewater treatment unit; at surface water; m3 wastewater - US_Base_With Amendment_Aerated Static Pile</v>
      </c>
    </row>
    <row r="8352" spans="1:13" s="120" customFormat="1" x14ac:dyDescent="0.25">
      <c r="A8352" s="119"/>
      <c r="B8352" s="138" t="str">
        <f t="shared" si="667"/>
        <v>Aerated Static Pile</v>
      </c>
      <c r="C8352" s="138" t="str">
        <f t="shared" si="666"/>
        <v>Base_With Amendment</v>
      </c>
      <c r="D8352" s="138" t="s">
        <v>130</v>
      </c>
      <c r="E8352" s="138" t="str">
        <f t="shared" si="664"/>
        <v>High</v>
      </c>
      <c r="F8352" s="138" t="str">
        <f t="shared" si="668"/>
        <v>Upgraded</v>
      </c>
      <c r="G8352" s="153"/>
      <c r="H8352" s="210">
        <v>9.1999999999999998E-3</v>
      </c>
      <c r="I8352" s="160" t="s">
        <v>59</v>
      </c>
      <c r="J8352" s="160">
        <v>1.92E-3</v>
      </c>
      <c r="K8352" s="160" t="s">
        <v>14</v>
      </c>
      <c r="L8352" s="154" t="str">
        <f>IF(OpenLCAbasic!K8352="CTUh", "Fill in Manually",IF(OR(K8352="Unit", K8352=""), "", INDEX(LookUps!$E$5:$E$12, MATCH(OpenLCAbasic!K8352,LookUps!$D$5:$D$12,0))))</f>
        <v>Fossil Depletion Potential (FDP) - kg oil eq</v>
      </c>
      <c r="M8352" s="154" t="str">
        <f t="shared" si="665"/>
        <v>High_Base_Upgraded_Fossil Depletion Potential (FDP) - kg oil eq_Blend Tank; wastewater treatment unit; at updated plant - US_Base_With Amendment_Aerated Static Pile</v>
      </c>
    </row>
    <row r="8353" spans="1:13" s="120" customFormat="1" x14ac:dyDescent="0.25">
      <c r="A8353" s="119"/>
      <c r="B8353" s="138" t="str">
        <f t="shared" si="667"/>
        <v>Aerated Static Pile</v>
      </c>
      <c r="C8353" s="138" t="str">
        <f t="shared" si="666"/>
        <v>Base_With Amendment</v>
      </c>
      <c r="D8353" s="138" t="s">
        <v>130</v>
      </c>
      <c r="E8353" s="138" t="str">
        <f t="shared" ref="E8353:E8416" si="669">IF(ISNUMBER($J8353),"High","")</f>
        <v>High</v>
      </c>
      <c r="F8353" s="138" t="str">
        <f t="shared" si="668"/>
        <v>Upgraded</v>
      </c>
      <c r="G8353" s="153"/>
      <c r="H8353" s="210">
        <v>4.4000000000000003E-3</v>
      </c>
      <c r="I8353" s="160" t="s">
        <v>168</v>
      </c>
      <c r="J8353" s="160">
        <v>9.1E-4</v>
      </c>
      <c r="K8353" s="160" t="s">
        <v>14</v>
      </c>
      <c r="L8353" s="154" t="str">
        <f>IF(OpenLCAbasic!K8353="CTUh", "Fill in Manually",IF(OR(K8353="Unit", K8353=""), "", INDEX(LookUps!$E$5:$E$12, MATCH(OpenLCAbasic!K8353,LookUps!$D$5:$D$12,0))))</f>
        <v>Fossil Depletion Potential (FDP) - kg oil eq</v>
      </c>
      <c r="M8353" s="154" t="str">
        <f t="shared" si="665"/>
        <v>High_Base_Upgraded_Fossil Depletion Potential (FDP) - kg oil eq_ClearCove SCP; wastewater treatment unit; at updated plant - US_Base_With Amendment_Aerated Static Pile</v>
      </c>
    </row>
    <row r="8354" spans="1:13" s="120" customFormat="1" x14ac:dyDescent="0.25">
      <c r="A8354" s="119"/>
      <c r="B8354" s="138" t="str">
        <f t="shared" si="667"/>
        <v>Aerated Static Pile</v>
      </c>
      <c r="C8354" s="138" t="str">
        <f t="shared" si="666"/>
        <v>Base_With Amendment</v>
      </c>
      <c r="D8354" s="138" t="s">
        <v>130</v>
      </c>
      <c r="E8354" s="138" t="str">
        <f t="shared" si="669"/>
        <v>High</v>
      </c>
      <c r="F8354" s="138" t="str">
        <f t="shared" si="668"/>
        <v>Upgraded</v>
      </c>
      <c r="G8354" s="153"/>
      <c r="H8354" s="210">
        <v>-2.6599999999999999E-2</v>
      </c>
      <c r="I8354" s="160" t="s">
        <v>62</v>
      </c>
      <c r="J8354" s="160">
        <v>-5.5700000000000003E-3</v>
      </c>
      <c r="K8354" s="160" t="s">
        <v>14</v>
      </c>
      <c r="L8354" s="154" t="str">
        <f>IF(OpenLCAbasic!K8354="CTUh", "Fill in Manually",IF(OR(K8354="Unit", K8354=""), "", INDEX(LookUps!$E$5:$E$12, MATCH(OpenLCAbasic!K8354,LookUps!$D$5:$D$12,0))))</f>
        <v>Fossil Depletion Potential (FDP) - kg oil eq</v>
      </c>
      <c r="M8354" s="154" t="str">
        <f t="shared" si="665"/>
        <v>High_Base_Upgraded_Fossil Depletion Potential (FDP) - kg oil eq_Land application of compost; wastewater treatment unit; at updated plant - US_Base_With Amendment_Aerated Static Pile</v>
      </c>
    </row>
    <row r="8355" spans="1:13" s="120" customFormat="1" x14ac:dyDescent="0.25">
      <c r="A8355" s="119"/>
      <c r="B8355" s="138" t="str">
        <f t="shared" si="667"/>
        <v>Aerated Static Pile</v>
      </c>
      <c r="C8355" s="138" t="str">
        <f t="shared" si="666"/>
        <v>Base_With Amendment</v>
      </c>
      <c r="D8355" s="138" t="s">
        <v>130</v>
      </c>
      <c r="E8355" s="138" t="str">
        <f t="shared" si="669"/>
        <v>High</v>
      </c>
      <c r="F8355" s="138" t="str">
        <f t="shared" si="668"/>
        <v>Upgraded</v>
      </c>
      <c r="G8355" s="153"/>
      <c r="H8355" s="210">
        <v>-0.19109999999999999</v>
      </c>
      <c r="I8355" s="160" t="s">
        <v>149</v>
      </c>
      <c r="J8355" s="160">
        <v>-4.0030000000000003E-2</v>
      </c>
      <c r="K8355" s="160" t="s">
        <v>14</v>
      </c>
      <c r="L8355" s="154" t="str">
        <f>IF(OpenLCAbasic!K8355="CTUh", "Fill in Manually",IF(OR(K8355="Unit", K8355=""), "", INDEX(LookUps!$E$5:$E$12, MATCH(OpenLCAbasic!K8355,LookUps!$D$5:$D$12,0))))</f>
        <v>Fossil Depletion Potential (FDP) - kg oil eq</v>
      </c>
      <c r="M8355" s="154" t="str">
        <f t="shared" si="665"/>
        <v>High_Base_Upgraded_Fossil Depletion Potential (FDP) - kg oil eq_Anaerobic Digestion; wastewater treatment unit; at updated plant - US_Base_With Amendment_Aerated Static Pile</v>
      </c>
    </row>
    <row r="8356" spans="1:13" s="120" customFormat="1" x14ac:dyDescent="0.25">
      <c r="A8356" s="119"/>
      <c r="B8356" s="138" t="str">
        <f t="shared" si="667"/>
        <v/>
      </c>
      <c r="C8356" s="138" t="str">
        <f t="shared" si="666"/>
        <v/>
      </c>
      <c r="D8356" s="138" t="str">
        <f t="shared" ref="D8356:D8407" si="670">IF(ISNUMBER($J8356),"Base_Base","")</f>
        <v/>
      </c>
      <c r="E8356" s="138" t="str">
        <f t="shared" si="669"/>
        <v/>
      </c>
      <c r="F8356" s="138" t="str">
        <f t="shared" si="668"/>
        <v/>
      </c>
      <c r="G8356" s="153" t="s">
        <v>51</v>
      </c>
      <c r="H8356" s="160"/>
      <c r="I8356" s="160" t="s">
        <v>47</v>
      </c>
      <c r="J8356" s="160" t="s">
        <v>52</v>
      </c>
      <c r="K8356" s="160" t="s">
        <v>27</v>
      </c>
      <c r="L8356" s="154" t="str">
        <f>IF(OpenLCAbasic!K8356="CTUh", "Fill in Manually",IF(OR(K8356="Unit", K8356=""), "", INDEX(LookUps!$E$5:$E$12, MATCH(OpenLCAbasic!K8356,LookUps!$D$5:$D$12,0))))</f>
        <v/>
      </c>
      <c r="M8356" s="154" t="str">
        <f t="shared" si="665"/>
        <v>____Process__</v>
      </c>
    </row>
    <row r="8357" spans="1:13" s="120" customFormat="1" x14ac:dyDescent="0.25">
      <c r="A8357" s="119"/>
      <c r="B8357" s="138" t="str">
        <f t="shared" si="667"/>
        <v>Aerated Static Pile</v>
      </c>
      <c r="C8357" s="138" t="str">
        <f t="shared" si="666"/>
        <v>Base_With Amendment</v>
      </c>
      <c r="D8357" s="138" t="s">
        <v>130</v>
      </c>
      <c r="E8357" s="138" t="str">
        <f t="shared" si="669"/>
        <v>High</v>
      </c>
      <c r="F8357" s="138" t="str">
        <f t="shared" si="668"/>
        <v>Upgraded</v>
      </c>
      <c r="G8357" s="153"/>
      <c r="H8357" s="210">
        <v>0.78600000000000003</v>
      </c>
      <c r="I8357" s="160" t="s">
        <v>435</v>
      </c>
      <c r="J8357" s="160">
        <v>0.86414000000000002</v>
      </c>
      <c r="K8357" s="160" t="s">
        <v>23</v>
      </c>
      <c r="L8357" s="154" t="str">
        <f>IF(OpenLCAbasic!K8357="CTUh", "Fill in Manually",IF(OR(K8357="Unit", K8357=""), "", INDEX(LookUps!$E$5:$E$12, MATCH(OpenLCAbasic!K8357,LookUps!$D$5:$D$12,0))))</f>
        <v>Global Warming Potential (GWP) - kg CO2 eq</v>
      </c>
      <c r="M8357" s="154" t="str">
        <f t="shared" si="665"/>
        <v>High_Base_Upgraded_Global Warming Potential (GWP) - kg CO2 eq_Biosolids composting; aerated static pile; wastewater treatment unit; at updated plant - US_Base_With Amendment_Aerated Static Pile</v>
      </c>
    </row>
    <row r="8358" spans="1:13" s="120" customFormat="1" x14ac:dyDescent="0.25">
      <c r="A8358" s="119"/>
      <c r="B8358" s="138" t="str">
        <f t="shared" si="667"/>
        <v>Aerated Static Pile</v>
      </c>
      <c r="C8358" s="138" t="str">
        <f t="shared" si="666"/>
        <v>Base_With Amendment</v>
      </c>
      <c r="D8358" s="138" t="s">
        <v>130</v>
      </c>
      <c r="E8358" s="138" t="str">
        <f t="shared" si="669"/>
        <v>High</v>
      </c>
      <c r="F8358" s="138" t="str">
        <f t="shared" si="668"/>
        <v>Upgraded</v>
      </c>
      <c r="G8358" s="153"/>
      <c r="H8358" s="210">
        <v>0.2208</v>
      </c>
      <c r="I8358" s="160" t="s">
        <v>58</v>
      </c>
      <c r="J8358" s="160">
        <v>0.24279999999999999</v>
      </c>
      <c r="K8358" s="160" t="s">
        <v>23</v>
      </c>
      <c r="L8358" s="154" t="str">
        <f>IF(OpenLCAbasic!K8358="CTUh", "Fill in Manually",IF(OR(K8358="Unit", K8358=""), "", INDEX(LookUps!$E$5:$E$12, MATCH(OpenLCAbasic!K8358,LookUps!$D$5:$D$12,0))))</f>
        <v>Global Warming Potential (GWP) - kg CO2 eq</v>
      </c>
      <c r="M8358" s="154" t="str">
        <f t="shared" si="665"/>
        <v>High_Base_Upgraded_Global Warming Potential (GWP) - kg CO2 eq_Pre-Anoxic &amp; Swing tank; wastewater treatment unit; at updated plant - US_Base_With Amendment_Aerated Static Pile</v>
      </c>
    </row>
    <row r="8359" spans="1:13" s="120" customFormat="1" x14ac:dyDescent="0.25">
      <c r="A8359" s="119"/>
      <c r="B8359" s="138" t="str">
        <f t="shared" si="667"/>
        <v>Aerated Static Pile</v>
      </c>
      <c r="C8359" s="138" t="str">
        <f t="shared" si="666"/>
        <v>Base_With Amendment</v>
      </c>
      <c r="D8359" s="138" t="s">
        <v>130</v>
      </c>
      <c r="E8359" s="138" t="str">
        <f t="shared" si="669"/>
        <v>High</v>
      </c>
      <c r="F8359" s="138" t="str">
        <f t="shared" si="668"/>
        <v>Upgraded</v>
      </c>
      <c r="G8359" s="153"/>
      <c r="H8359" s="210">
        <v>0.153</v>
      </c>
      <c r="I8359" s="160" t="s">
        <v>55</v>
      </c>
      <c r="J8359" s="160">
        <v>0.16822000000000001</v>
      </c>
      <c r="K8359" s="160" t="s">
        <v>23</v>
      </c>
      <c r="L8359" s="154" t="str">
        <f>IF(OpenLCAbasic!K8359="CTUh", "Fill in Manually",IF(OR(K8359="Unit", K8359=""), "", INDEX(LookUps!$E$5:$E$12, MATCH(OpenLCAbasic!K8359,LookUps!$D$5:$D$12,0))))</f>
        <v>Global Warming Potential (GWP) - kg CO2 eq</v>
      </c>
      <c r="M8359" s="154" t="str">
        <f t="shared" si="665"/>
        <v>High_Base_Upgraded_Global Warming Potential (GWP) - kg CO2 eq_Aeration Tanks; wastewater treatment unit; at updated plant - US_Base_With Amendment_Aerated Static Pile</v>
      </c>
    </row>
    <row r="8360" spans="1:13" s="120" customFormat="1" x14ac:dyDescent="0.25">
      <c r="A8360" s="119"/>
      <c r="B8360" s="138" t="str">
        <f t="shared" si="667"/>
        <v>Aerated Static Pile</v>
      </c>
      <c r="C8360" s="138" t="str">
        <f t="shared" si="666"/>
        <v>Base_With Amendment</v>
      </c>
      <c r="D8360" s="138" t="s">
        <v>130</v>
      </c>
      <c r="E8360" s="138" t="str">
        <f t="shared" si="669"/>
        <v>High</v>
      </c>
      <c r="F8360" s="138" t="str">
        <f t="shared" si="668"/>
        <v>Upgraded</v>
      </c>
      <c r="G8360" s="153"/>
      <c r="H8360" s="210">
        <v>9.3200000000000005E-2</v>
      </c>
      <c r="I8360" s="160" t="s">
        <v>167</v>
      </c>
      <c r="J8360" s="160">
        <v>0.10241</v>
      </c>
      <c r="K8360" s="160" t="s">
        <v>23</v>
      </c>
      <c r="L8360" s="154" t="str">
        <f>IF(OpenLCAbasic!K8360="CTUh", "Fill in Manually",IF(OR(K8360="Unit", K8360=""), "", INDEX(LookUps!$E$5:$E$12, MATCH(OpenLCAbasic!K8360,LookUps!$D$5:$D$12,0))))</f>
        <v>Global Warming Potential (GWP) - kg CO2 eq</v>
      </c>
      <c r="M8360" s="154" t="str">
        <f t="shared" si="665"/>
        <v>High_Base_Upgraded_Global Warming Potential (GWP) - kg CO2 eq_Waste Receiving and Holding; wastewater treatment unit; at updated plant - US_Base_With Amendment_Aerated Static Pile</v>
      </c>
    </row>
    <row r="8361" spans="1:13" s="120" customFormat="1" x14ac:dyDescent="0.25">
      <c r="A8361" s="119"/>
      <c r="B8361" s="138" t="str">
        <f t="shared" si="667"/>
        <v>Aerated Static Pile</v>
      </c>
      <c r="C8361" s="138" t="str">
        <f t="shared" si="666"/>
        <v>Base_With Amendment</v>
      </c>
      <c r="D8361" s="138" t="s">
        <v>130</v>
      </c>
      <c r="E8361" s="138" t="str">
        <f t="shared" si="669"/>
        <v>High</v>
      </c>
      <c r="F8361" s="138" t="str">
        <f t="shared" si="668"/>
        <v>Upgraded</v>
      </c>
      <c r="G8361" s="153"/>
      <c r="H8361" s="210">
        <v>5.1900000000000002E-2</v>
      </c>
      <c r="I8361" s="160" t="s">
        <v>54</v>
      </c>
      <c r="J8361" s="160">
        <v>5.7079999999999999E-2</v>
      </c>
      <c r="K8361" s="160" t="s">
        <v>23</v>
      </c>
      <c r="L8361" s="154" t="str">
        <f>IF(OpenLCAbasic!K8361="CTUh", "Fill in Manually",IF(OR(K8361="Unit", K8361=""), "", INDEX(LookUps!$E$5:$E$12, MATCH(OpenLCAbasic!K8361,LookUps!$D$5:$D$12,0))))</f>
        <v>Global Warming Potential (GWP) - kg CO2 eq</v>
      </c>
      <c r="M8361" s="154" t="str">
        <f t="shared" si="665"/>
        <v>High_Base_Upgraded_Global Warming Potential (GWP) - kg CO2 eq_Clear Cove Primary Clarification; wastewater treatment unit; at updated plant - US_Base_With Amendment_Aerated Static Pile</v>
      </c>
    </row>
    <row r="8362" spans="1:13" s="120" customFormat="1" x14ac:dyDescent="0.25">
      <c r="A8362" s="119"/>
      <c r="B8362" s="138" t="str">
        <f t="shared" si="667"/>
        <v>Aerated Static Pile</v>
      </c>
      <c r="C8362" s="138" t="str">
        <f t="shared" si="666"/>
        <v>Base_With Amendment</v>
      </c>
      <c r="D8362" s="138" t="s">
        <v>130</v>
      </c>
      <c r="E8362" s="138" t="str">
        <f t="shared" si="669"/>
        <v>High</v>
      </c>
      <c r="F8362" s="138" t="str">
        <f t="shared" si="668"/>
        <v>Upgraded</v>
      </c>
      <c r="G8362" s="153"/>
      <c r="H8362" s="210">
        <v>4.7899999999999998E-2</v>
      </c>
      <c r="I8362" s="160" t="s">
        <v>48</v>
      </c>
      <c r="J8362" s="160">
        <v>5.2639999999999999E-2</v>
      </c>
      <c r="K8362" s="160" t="s">
        <v>23</v>
      </c>
      <c r="L8362" s="154" t="str">
        <f>IF(OpenLCAbasic!K8362="CTUh", "Fill in Manually",IF(OR(K8362="Unit", K8362=""), "", INDEX(LookUps!$E$5:$E$12, MATCH(OpenLCAbasic!K8362,LookUps!$D$5:$D$12,0))))</f>
        <v>Global Warming Potential (GWP) - kg CO2 eq</v>
      </c>
      <c r="M8362" s="154" t="str">
        <f t="shared" si="665"/>
        <v>High_Base_Upgraded_Global Warming Potential (GWP) - kg CO2 eq_Effluent release; wastewater treatment unit; at surface water; m3 wastewater - US_Base_With Amendment_Aerated Static Pile</v>
      </c>
    </row>
    <row r="8363" spans="1:13" s="120" customFormat="1" x14ac:dyDescent="0.25">
      <c r="A8363" s="119"/>
      <c r="B8363" s="138" t="str">
        <f t="shared" si="667"/>
        <v>Aerated Static Pile</v>
      </c>
      <c r="C8363" s="138" t="str">
        <f t="shared" si="666"/>
        <v>Base_With Amendment</v>
      </c>
      <c r="D8363" s="138" t="s">
        <v>130</v>
      </c>
      <c r="E8363" s="138" t="str">
        <f t="shared" si="669"/>
        <v>High</v>
      </c>
      <c r="F8363" s="138" t="str">
        <f t="shared" si="668"/>
        <v>Upgraded</v>
      </c>
      <c r="G8363" s="153"/>
      <c r="H8363" s="210">
        <v>4.5900000000000003E-2</v>
      </c>
      <c r="I8363" s="160" t="s">
        <v>147</v>
      </c>
      <c r="J8363" s="160">
        <v>5.0500000000000003E-2</v>
      </c>
      <c r="K8363" s="160" t="s">
        <v>23</v>
      </c>
      <c r="L8363" s="154" t="str">
        <f>IF(OpenLCAbasic!K8363="CTUh", "Fill in Manually",IF(OR(K8363="Unit", K8363=""), "", INDEX(LookUps!$E$5:$E$12, MATCH(OpenLCAbasic!K8363,LookUps!$D$5:$D$12,0))))</f>
        <v>Global Warming Potential (GWP) - kg CO2 eq</v>
      </c>
      <c r="M8363" s="154" t="str">
        <f t="shared" si="665"/>
        <v>High_Base_Upgraded_Global Warming Potential (GWP) - kg CO2 eq_Influent Pump Station; wastewater treatment unit; at updated plant - US_Base_With Amendment_Aerated Static Pile</v>
      </c>
    </row>
    <row r="8364" spans="1:13" s="120" customFormat="1" x14ac:dyDescent="0.25">
      <c r="A8364" s="119"/>
      <c r="B8364" s="138" t="str">
        <f t="shared" si="667"/>
        <v>Aerated Static Pile</v>
      </c>
      <c r="C8364" s="138" t="str">
        <f t="shared" si="666"/>
        <v>Base_With Amendment</v>
      </c>
      <c r="D8364" s="138" t="s">
        <v>130</v>
      </c>
      <c r="E8364" s="138" t="str">
        <f t="shared" si="669"/>
        <v>High</v>
      </c>
      <c r="F8364" s="138" t="str">
        <f t="shared" si="668"/>
        <v>Upgraded</v>
      </c>
      <c r="G8364" s="153"/>
      <c r="H8364" s="210">
        <v>3.0200000000000001E-2</v>
      </c>
      <c r="I8364" s="160" t="s">
        <v>53</v>
      </c>
      <c r="J8364" s="160">
        <v>3.3259999999999998E-2</v>
      </c>
      <c r="K8364" s="160" t="s">
        <v>23</v>
      </c>
      <c r="L8364" s="154" t="str">
        <f>IF(OpenLCAbasic!K8364="CTUh", "Fill in Manually",IF(OR(K8364="Unit", K8364=""), "", INDEX(LookUps!$E$5:$E$12, MATCH(OpenLCAbasic!K8364,LookUps!$D$5:$D$12,0))))</f>
        <v>Global Warming Potential (GWP) - kg CO2 eq</v>
      </c>
      <c r="M8364" s="154" t="str">
        <f t="shared" si="665"/>
        <v>High_Base_Upgraded_Global Warming Potential (GWP) - kg CO2 eq_Wet Well and Sump Station; wastewater treatment unit; at updated plant - US_Base_With Amendment_Aerated Static Pile</v>
      </c>
    </row>
    <row r="8365" spans="1:13" s="120" customFormat="1" x14ac:dyDescent="0.25">
      <c r="A8365" s="119"/>
      <c r="B8365" s="138" t="str">
        <f t="shared" si="667"/>
        <v>Aerated Static Pile</v>
      </c>
      <c r="C8365" s="138" t="str">
        <f t="shared" si="666"/>
        <v>Base_With Amendment</v>
      </c>
      <c r="D8365" s="138" t="s">
        <v>130</v>
      </c>
      <c r="E8365" s="138" t="str">
        <f t="shared" si="669"/>
        <v>High</v>
      </c>
      <c r="F8365" s="138" t="str">
        <f t="shared" si="668"/>
        <v>Upgraded</v>
      </c>
      <c r="G8365" s="153"/>
      <c r="H8365" s="210">
        <v>1.32E-2</v>
      </c>
      <c r="I8365" s="160" t="s">
        <v>57</v>
      </c>
      <c r="J8365" s="160">
        <v>1.455E-2</v>
      </c>
      <c r="K8365" s="160" t="s">
        <v>23</v>
      </c>
      <c r="L8365" s="154" t="str">
        <f>IF(OpenLCAbasic!K8365="CTUh", "Fill in Manually",IF(OR(K8365="Unit", K8365=""), "", INDEX(LookUps!$E$5:$E$12, MATCH(OpenLCAbasic!K8365,LookUps!$D$5:$D$12,0))))</f>
        <v>Global Warming Potential (GWP) - kg CO2 eq</v>
      </c>
      <c r="M8365" s="154" t="str">
        <f t="shared" si="665"/>
        <v>High_Base_Upgraded_Global Warming Potential (GWP) - kg CO2 eq_Gravity Belt Thickener; wastewater treatment unit; at updated plant - US_Base_With Amendment_Aerated Static Pile</v>
      </c>
    </row>
    <row r="8366" spans="1:13" s="120" customFormat="1" x14ac:dyDescent="0.25">
      <c r="A8366" s="119"/>
      <c r="B8366" s="138" t="str">
        <f t="shared" si="667"/>
        <v>Aerated Static Pile</v>
      </c>
      <c r="C8366" s="138" t="str">
        <f t="shared" si="666"/>
        <v>Base_With Amendment</v>
      </c>
      <c r="D8366" s="138" t="s">
        <v>130</v>
      </c>
      <c r="E8366" s="138" t="str">
        <f t="shared" si="669"/>
        <v>High</v>
      </c>
      <c r="F8366" s="138" t="str">
        <f t="shared" si="668"/>
        <v>Upgraded</v>
      </c>
      <c r="G8366" s="153"/>
      <c r="H8366" s="210">
        <v>1.23E-2</v>
      </c>
      <c r="I8366" s="160" t="s">
        <v>128</v>
      </c>
      <c r="J8366" s="160">
        <v>1.3509999999999999E-2</v>
      </c>
      <c r="K8366" s="160" t="s">
        <v>23</v>
      </c>
      <c r="L8366" s="154" t="str">
        <f>IF(OpenLCAbasic!K8366="CTUh", "Fill in Manually",IF(OR(K8366="Unit", K8366=""), "", INDEX(LookUps!$E$5:$E$12, MATCH(OpenLCAbasic!K8366,LookUps!$D$5:$D$12,0))))</f>
        <v>Global Warming Potential (GWP) - kg CO2 eq</v>
      </c>
      <c r="M8366" s="154" t="str">
        <f t="shared" si="665"/>
        <v>High_Base_Upgraded_Global Warming Potential (GWP) - kg CO2 eq_Wastewater collection; operation and infrastructure; m3 wastewater_Base_With Amendment_Aerated Static Pile</v>
      </c>
    </row>
    <row r="8367" spans="1:13" s="120" customFormat="1" x14ac:dyDescent="0.25">
      <c r="A8367" s="119"/>
      <c r="B8367" s="138" t="str">
        <f t="shared" si="667"/>
        <v>Aerated Static Pile</v>
      </c>
      <c r="C8367" s="138" t="str">
        <f t="shared" si="666"/>
        <v>Base_With Amendment</v>
      </c>
      <c r="D8367" s="138" t="s">
        <v>130</v>
      </c>
      <c r="E8367" s="138" t="str">
        <f t="shared" si="669"/>
        <v>High</v>
      </c>
      <c r="F8367" s="138" t="str">
        <f t="shared" si="668"/>
        <v>Upgraded</v>
      </c>
      <c r="G8367" s="153"/>
      <c r="H8367" s="210">
        <v>1.1599999999999999E-2</v>
      </c>
      <c r="I8367" s="160" t="s">
        <v>60</v>
      </c>
      <c r="J8367" s="160">
        <v>1.278E-2</v>
      </c>
      <c r="K8367" s="160" t="s">
        <v>23</v>
      </c>
      <c r="L8367" s="154" t="str">
        <f>IF(OpenLCAbasic!K8367="CTUh", "Fill in Manually",IF(OR(K8367="Unit", K8367=""), "", INDEX(LookUps!$E$5:$E$12, MATCH(OpenLCAbasic!K8367,LookUps!$D$5:$D$12,0))))</f>
        <v>Global Warming Potential (GWP) - kg CO2 eq</v>
      </c>
      <c r="M8367" s="154" t="str">
        <f t="shared" si="665"/>
        <v>High_Base_Upgraded_Global Warming Potential (GWP) - kg CO2 eq_Belt filter press; wastewater treatment unit; at updated plant - US_Base_With Amendment_Aerated Static Pile</v>
      </c>
    </row>
    <row r="8368" spans="1:13" s="120" customFormat="1" x14ac:dyDescent="0.25">
      <c r="A8368" s="119"/>
      <c r="B8368" s="138" t="str">
        <f t="shared" si="667"/>
        <v>Aerated Static Pile</v>
      </c>
      <c r="C8368" s="138" t="str">
        <f t="shared" si="666"/>
        <v>Base_With Amendment</v>
      </c>
      <c r="D8368" s="138" t="s">
        <v>130</v>
      </c>
      <c r="E8368" s="138" t="str">
        <f t="shared" si="669"/>
        <v>High</v>
      </c>
      <c r="F8368" s="138" t="str">
        <f t="shared" si="668"/>
        <v>Upgraded</v>
      </c>
      <c r="G8368" s="153"/>
      <c r="H8368" s="210">
        <v>7.4999999999999997E-3</v>
      </c>
      <c r="I8368" s="160" t="s">
        <v>148</v>
      </c>
      <c r="J8368" s="160">
        <v>8.3000000000000001E-3</v>
      </c>
      <c r="K8368" s="160" t="s">
        <v>23</v>
      </c>
      <c r="L8368" s="154" t="str">
        <f>IF(OpenLCAbasic!K8368="CTUh", "Fill in Manually",IF(OR(K8368="Unit", K8368=""), "", INDEX(LookUps!$E$5:$E$12, MATCH(OpenLCAbasic!K8368,LookUps!$D$5:$D$12,0))))</f>
        <v>Global Warming Potential (GWP) - kg CO2 eq</v>
      </c>
      <c r="M8368" s="154" t="str">
        <f t="shared" si="665"/>
        <v>High_Base_Upgraded_Global Warming Potential (GWP) - kg CO2 eq_Control Building; at upgraded wastewater treatment plant - US_Base_With Amendment_Aerated Static Pile</v>
      </c>
    </row>
    <row r="8369" spans="1:13" s="120" customFormat="1" x14ac:dyDescent="0.25">
      <c r="A8369" s="119"/>
      <c r="B8369" s="138" t="str">
        <f t="shared" si="667"/>
        <v>Aerated Static Pile</v>
      </c>
      <c r="C8369" s="138" t="str">
        <f t="shared" si="666"/>
        <v>Base_With Amendment</v>
      </c>
      <c r="D8369" s="138" t="s">
        <v>130</v>
      </c>
      <c r="E8369" s="138" t="str">
        <f t="shared" si="669"/>
        <v>High</v>
      </c>
      <c r="F8369" s="138" t="str">
        <f t="shared" si="668"/>
        <v>Upgraded</v>
      </c>
      <c r="G8369" s="153"/>
      <c r="H8369" s="210">
        <v>4.5999999999999999E-3</v>
      </c>
      <c r="I8369" s="160" t="s">
        <v>59</v>
      </c>
      <c r="J8369" s="160">
        <v>5.0400000000000002E-3</v>
      </c>
      <c r="K8369" s="160" t="s">
        <v>23</v>
      </c>
      <c r="L8369" s="154" t="str">
        <f>IF(OpenLCAbasic!K8369="CTUh", "Fill in Manually",IF(OR(K8369="Unit", K8369=""), "", INDEX(LookUps!$E$5:$E$12, MATCH(OpenLCAbasic!K8369,LookUps!$D$5:$D$12,0))))</f>
        <v>Global Warming Potential (GWP) - kg CO2 eq</v>
      </c>
      <c r="M8369" s="154" t="str">
        <f t="shared" si="665"/>
        <v>High_Base_Upgraded_Global Warming Potential (GWP) - kg CO2 eq_Blend Tank; wastewater treatment unit; at updated plant - US_Base_With Amendment_Aerated Static Pile</v>
      </c>
    </row>
    <row r="8370" spans="1:13" s="120" customFormat="1" x14ac:dyDescent="0.25">
      <c r="A8370" s="119"/>
      <c r="B8370" s="138" t="str">
        <f t="shared" si="667"/>
        <v>Aerated Static Pile</v>
      </c>
      <c r="C8370" s="138" t="str">
        <f t="shared" si="666"/>
        <v>Base_With Amendment</v>
      </c>
      <c r="D8370" s="138" t="s">
        <v>130</v>
      </c>
      <c r="E8370" s="138" t="str">
        <f t="shared" si="669"/>
        <v>High</v>
      </c>
      <c r="F8370" s="138" t="str">
        <f t="shared" si="668"/>
        <v>Upgraded</v>
      </c>
      <c r="G8370" s="153"/>
      <c r="H8370" s="210">
        <v>2.2000000000000001E-3</v>
      </c>
      <c r="I8370" s="160" t="s">
        <v>168</v>
      </c>
      <c r="J8370" s="160">
        <v>2.4099999999999998E-3</v>
      </c>
      <c r="K8370" s="160" t="s">
        <v>23</v>
      </c>
      <c r="L8370" s="154" t="str">
        <f>IF(OpenLCAbasic!K8370="CTUh", "Fill in Manually",IF(OR(K8370="Unit", K8370=""), "", INDEX(LookUps!$E$5:$E$12, MATCH(OpenLCAbasic!K8370,LookUps!$D$5:$D$12,0))))</f>
        <v>Global Warming Potential (GWP) - kg CO2 eq</v>
      </c>
      <c r="M8370" s="154" t="str">
        <f t="shared" si="665"/>
        <v>High_Base_Upgraded_Global Warming Potential (GWP) - kg CO2 eq_ClearCove SCP; wastewater treatment unit; at updated plant - US_Base_With Amendment_Aerated Static Pile</v>
      </c>
    </row>
    <row r="8371" spans="1:13" s="120" customFormat="1" x14ac:dyDescent="0.25">
      <c r="A8371" s="119"/>
      <c r="B8371" s="138" t="str">
        <f t="shared" si="667"/>
        <v>Aerated Static Pile</v>
      </c>
      <c r="C8371" s="138" t="str">
        <f t="shared" si="666"/>
        <v>Base_With Amendment</v>
      </c>
      <c r="D8371" s="138" t="s">
        <v>130</v>
      </c>
      <c r="E8371" s="138" t="str">
        <f t="shared" si="669"/>
        <v>High</v>
      </c>
      <c r="F8371" s="138" t="str">
        <f t="shared" si="668"/>
        <v>Upgraded</v>
      </c>
      <c r="G8371" s="153"/>
      <c r="H8371" s="210">
        <v>-5.1499999999999997E-2</v>
      </c>
      <c r="I8371" s="160" t="s">
        <v>149</v>
      </c>
      <c r="J8371" s="160">
        <v>-5.6640000000000003E-2</v>
      </c>
      <c r="K8371" s="160" t="s">
        <v>23</v>
      </c>
      <c r="L8371" s="154" t="str">
        <f>IF(OpenLCAbasic!K8371="CTUh", "Fill in Manually",IF(OR(K8371="Unit", K8371=""), "", INDEX(LookUps!$E$5:$E$12, MATCH(OpenLCAbasic!K8371,LookUps!$D$5:$D$12,0))))</f>
        <v>Global Warming Potential (GWP) - kg CO2 eq</v>
      </c>
      <c r="M8371" s="154" t="str">
        <f t="shared" si="665"/>
        <v>High_Base_Upgraded_Global Warming Potential (GWP) - kg CO2 eq_Anaerobic Digestion; wastewater treatment unit; at updated plant - US_Base_With Amendment_Aerated Static Pile</v>
      </c>
    </row>
    <row r="8372" spans="1:13" s="120" customFormat="1" x14ac:dyDescent="0.25">
      <c r="A8372" s="119"/>
      <c r="B8372" s="138" t="str">
        <f t="shared" si="667"/>
        <v>Aerated Static Pile</v>
      </c>
      <c r="C8372" s="138" t="str">
        <f t="shared" si="666"/>
        <v>Base_With Amendment</v>
      </c>
      <c r="D8372" s="138" t="s">
        <v>130</v>
      </c>
      <c r="E8372" s="138" t="str">
        <f t="shared" si="669"/>
        <v>High</v>
      </c>
      <c r="F8372" s="138" t="str">
        <f t="shared" si="668"/>
        <v>Upgraded</v>
      </c>
      <c r="G8372" s="153"/>
      <c r="H8372" s="210">
        <v>-0.42899999999999999</v>
      </c>
      <c r="I8372" s="160" t="s">
        <v>62</v>
      </c>
      <c r="J8372" s="160">
        <v>-0.47161999999999998</v>
      </c>
      <c r="K8372" s="160" t="s">
        <v>23</v>
      </c>
      <c r="L8372" s="154" t="str">
        <f>IF(OpenLCAbasic!K8372="CTUh", "Fill in Manually",IF(OR(K8372="Unit", K8372=""), "", INDEX(LookUps!$E$5:$E$12, MATCH(OpenLCAbasic!K8372,LookUps!$D$5:$D$12,0))))</f>
        <v>Global Warming Potential (GWP) - kg CO2 eq</v>
      </c>
      <c r="M8372" s="154" t="str">
        <f t="shared" si="665"/>
        <v>High_Base_Upgraded_Global Warming Potential (GWP) - kg CO2 eq_Land application of compost; wastewater treatment unit; at updated plant - US_Base_With Amendment_Aerated Static Pile</v>
      </c>
    </row>
    <row r="8373" spans="1:13" s="120" customFormat="1" x14ac:dyDescent="0.25">
      <c r="A8373" s="119"/>
      <c r="B8373" s="138" t="str">
        <f t="shared" si="667"/>
        <v/>
      </c>
      <c r="C8373" s="138" t="str">
        <f t="shared" si="666"/>
        <v/>
      </c>
      <c r="D8373" s="138" t="str">
        <f t="shared" si="670"/>
        <v/>
      </c>
      <c r="E8373" s="138" t="str">
        <f t="shared" si="669"/>
        <v/>
      </c>
      <c r="F8373" s="138" t="str">
        <f t="shared" si="668"/>
        <v/>
      </c>
      <c r="G8373" s="153" t="s">
        <v>51</v>
      </c>
      <c r="H8373" s="160"/>
      <c r="I8373" s="160" t="s">
        <v>47</v>
      </c>
      <c r="J8373" s="160" t="s">
        <v>52</v>
      </c>
      <c r="K8373" s="160" t="s">
        <v>27</v>
      </c>
      <c r="L8373" s="154" t="str">
        <f>IF(OpenLCAbasic!K8373="CTUh", "Fill in Manually",IF(OR(K8373="Unit", K8373=""), "", INDEX(LookUps!$E$5:$E$12, MATCH(OpenLCAbasic!K8373,LookUps!$D$5:$D$12,0))))</f>
        <v/>
      </c>
      <c r="M8373" s="154" t="str">
        <f t="shared" si="665"/>
        <v>____Process__</v>
      </c>
    </row>
    <row r="8374" spans="1:13" s="120" customFormat="1" x14ac:dyDescent="0.25">
      <c r="A8374" s="119"/>
      <c r="B8374" s="138" t="str">
        <f t="shared" si="667"/>
        <v>Aerated Static Pile</v>
      </c>
      <c r="C8374" s="138" t="str">
        <f t="shared" si="666"/>
        <v>Base_With Amendment</v>
      </c>
      <c r="D8374" s="138" t="s">
        <v>130</v>
      </c>
      <c r="E8374" s="138" t="str">
        <f t="shared" si="669"/>
        <v>High</v>
      </c>
      <c r="F8374" s="138" t="str">
        <f t="shared" si="668"/>
        <v>Upgraded</v>
      </c>
      <c r="G8374" s="153"/>
      <c r="H8374" s="210">
        <v>0.45029999999999998</v>
      </c>
      <c r="I8374" s="160" t="s">
        <v>55</v>
      </c>
      <c r="J8374" s="160">
        <v>2.33E-3</v>
      </c>
      <c r="K8374" s="160" t="s">
        <v>145</v>
      </c>
      <c r="L8374" s="154" t="str">
        <f>IF(OpenLCAbasic!K8374="CTUh", "Fill in Manually",IF(OR(K8374="Unit", K8374=""), "", INDEX(LookUps!$E$5:$E$12, MATCH(OpenLCAbasic!K8374,LookUps!$D$5:$D$12,0))))</f>
        <v>Particulate Matter Formation Potential (PMFP) - kg PM2.5 eq</v>
      </c>
      <c r="M8374" s="154" t="str">
        <f t="shared" si="665"/>
        <v>High_Base_Upgraded_Particulate Matter Formation Potential (PMFP) - kg PM2.5 eq_Aeration Tanks; wastewater treatment unit; at updated plant - US_Base_With Amendment_Aerated Static Pile</v>
      </c>
    </row>
    <row r="8375" spans="1:13" s="120" customFormat="1" x14ac:dyDescent="0.25">
      <c r="A8375" s="119"/>
      <c r="B8375" s="138" t="str">
        <f t="shared" si="667"/>
        <v>Aerated Static Pile</v>
      </c>
      <c r="C8375" s="138" t="str">
        <f t="shared" si="666"/>
        <v>Base_With Amendment</v>
      </c>
      <c r="D8375" s="138" t="s">
        <v>130</v>
      </c>
      <c r="E8375" s="138" t="str">
        <f t="shared" si="669"/>
        <v>High</v>
      </c>
      <c r="F8375" s="138" t="str">
        <f t="shared" si="668"/>
        <v>Upgraded</v>
      </c>
      <c r="G8375" s="153"/>
      <c r="H8375" s="210">
        <v>0.16520000000000001</v>
      </c>
      <c r="I8375" s="160" t="s">
        <v>435</v>
      </c>
      <c r="J8375" s="160">
        <v>8.5999999999999998E-4</v>
      </c>
      <c r="K8375" s="160" t="s">
        <v>145</v>
      </c>
      <c r="L8375" s="154" t="str">
        <f>IF(OpenLCAbasic!K8375="CTUh", "Fill in Manually",IF(OR(K8375="Unit", K8375=""), "", INDEX(LookUps!$E$5:$E$12, MATCH(OpenLCAbasic!K8375,LookUps!$D$5:$D$12,0))))</f>
        <v>Particulate Matter Formation Potential (PMFP) - kg PM2.5 eq</v>
      </c>
      <c r="M8375" s="154" t="str">
        <f t="shared" si="665"/>
        <v>High_Base_Upgraded_Particulate Matter Formation Potential (PMFP) - kg PM2.5 eq_Biosolids composting; aerated static pile; wastewater treatment unit; at updated plant - US_Base_With Amendment_Aerated Static Pile</v>
      </c>
    </row>
    <row r="8376" spans="1:13" s="120" customFormat="1" x14ac:dyDescent="0.25">
      <c r="A8376" s="119"/>
      <c r="B8376" s="138" t="str">
        <f t="shared" si="667"/>
        <v>Aerated Static Pile</v>
      </c>
      <c r="C8376" s="138" t="str">
        <f t="shared" si="666"/>
        <v>Base_With Amendment</v>
      </c>
      <c r="D8376" s="138" t="s">
        <v>130</v>
      </c>
      <c r="E8376" s="138" t="str">
        <f t="shared" si="669"/>
        <v>High</v>
      </c>
      <c r="F8376" s="138" t="str">
        <f t="shared" si="668"/>
        <v>Upgraded</v>
      </c>
      <c r="G8376" s="153"/>
      <c r="H8376" s="210">
        <v>0.13100000000000001</v>
      </c>
      <c r="I8376" s="160" t="s">
        <v>54</v>
      </c>
      <c r="J8376" s="160">
        <v>6.8000000000000005E-4</v>
      </c>
      <c r="K8376" s="160" t="s">
        <v>145</v>
      </c>
      <c r="L8376" s="154" t="str">
        <f>IF(OpenLCAbasic!K8376="CTUh", "Fill in Manually",IF(OR(K8376="Unit", K8376=""), "", INDEX(LookUps!$E$5:$E$12, MATCH(OpenLCAbasic!K8376,LookUps!$D$5:$D$12,0))))</f>
        <v>Particulate Matter Formation Potential (PMFP) - kg PM2.5 eq</v>
      </c>
      <c r="M8376" s="154" t="str">
        <f t="shared" si="665"/>
        <v>High_Base_Upgraded_Particulate Matter Formation Potential (PMFP) - kg PM2.5 eq_Clear Cove Primary Clarification; wastewater treatment unit; at updated plant - US_Base_With Amendment_Aerated Static Pile</v>
      </c>
    </row>
    <row r="8377" spans="1:13" s="120" customFormat="1" x14ac:dyDescent="0.25">
      <c r="A8377" s="119"/>
      <c r="B8377" s="138" t="str">
        <f t="shared" si="667"/>
        <v>Aerated Static Pile</v>
      </c>
      <c r="C8377" s="138" t="str">
        <f t="shared" si="666"/>
        <v>Base_With Amendment</v>
      </c>
      <c r="D8377" s="138" t="s">
        <v>130</v>
      </c>
      <c r="E8377" s="138" t="str">
        <f t="shared" si="669"/>
        <v>High</v>
      </c>
      <c r="F8377" s="138" t="str">
        <f t="shared" si="668"/>
        <v>Upgraded</v>
      </c>
      <c r="G8377" s="153"/>
      <c r="H8377" s="210">
        <v>0.1132</v>
      </c>
      <c r="I8377" s="160" t="s">
        <v>58</v>
      </c>
      <c r="J8377" s="160">
        <v>5.9000000000000003E-4</v>
      </c>
      <c r="K8377" s="160" t="s">
        <v>145</v>
      </c>
      <c r="L8377" s="154" t="str">
        <f>IF(OpenLCAbasic!K8377="CTUh", "Fill in Manually",IF(OR(K8377="Unit", K8377=""), "", INDEX(LookUps!$E$5:$E$12, MATCH(OpenLCAbasic!K8377,LookUps!$D$5:$D$12,0))))</f>
        <v>Particulate Matter Formation Potential (PMFP) - kg PM2.5 eq</v>
      </c>
      <c r="M8377" s="154" t="str">
        <f t="shared" si="665"/>
        <v>High_Base_Upgraded_Particulate Matter Formation Potential (PMFP) - kg PM2.5 eq_Pre-Anoxic &amp; Swing tank; wastewater treatment unit; at updated plant - US_Base_With Amendment_Aerated Static Pile</v>
      </c>
    </row>
    <row r="8378" spans="1:13" s="120" customFormat="1" x14ac:dyDescent="0.25">
      <c r="A8378" s="119"/>
      <c r="B8378" s="138" t="str">
        <f t="shared" si="667"/>
        <v>Aerated Static Pile</v>
      </c>
      <c r="C8378" s="138" t="str">
        <f t="shared" si="666"/>
        <v>Base_With Amendment</v>
      </c>
      <c r="D8378" s="138" t="s">
        <v>130</v>
      </c>
      <c r="E8378" s="138" t="str">
        <f t="shared" si="669"/>
        <v>High</v>
      </c>
      <c r="F8378" s="138" t="str">
        <f t="shared" si="668"/>
        <v>Upgraded</v>
      </c>
      <c r="G8378" s="153"/>
      <c r="H8378" s="210">
        <v>0.09</v>
      </c>
      <c r="I8378" s="160" t="s">
        <v>53</v>
      </c>
      <c r="J8378" s="160">
        <v>4.6999999999999999E-4</v>
      </c>
      <c r="K8378" s="160" t="s">
        <v>145</v>
      </c>
      <c r="L8378" s="154" t="str">
        <f>IF(OpenLCAbasic!K8378="CTUh", "Fill in Manually",IF(OR(K8378="Unit", K8378=""), "", INDEX(LookUps!$E$5:$E$12, MATCH(OpenLCAbasic!K8378,LookUps!$D$5:$D$12,0))))</f>
        <v>Particulate Matter Formation Potential (PMFP) - kg PM2.5 eq</v>
      </c>
      <c r="M8378" s="154" t="str">
        <f t="shared" si="665"/>
        <v>High_Base_Upgraded_Particulate Matter Formation Potential (PMFP) - kg PM2.5 eq_Wet Well and Sump Station; wastewater treatment unit; at updated plant - US_Base_With Amendment_Aerated Static Pile</v>
      </c>
    </row>
    <row r="8379" spans="1:13" s="120" customFormat="1" x14ac:dyDescent="0.25">
      <c r="A8379" s="119"/>
      <c r="B8379" s="138" t="str">
        <f t="shared" si="667"/>
        <v>Aerated Static Pile</v>
      </c>
      <c r="C8379" s="138" t="str">
        <f t="shared" si="666"/>
        <v>Base_With Amendment</v>
      </c>
      <c r="D8379" s="138" t="s">
        <v>130</v>
      </c>
      <c r="E8379" s="138" t="str">
        <f t="shared" si="669"/>
        <v>High</v>
      </c>
      <c r="F8379" s="138" t="str">
        <f t="shared" si="668"/>
        <v>Upgraded</v>
      </c>
      <c r="G8379" s="153"/>
      <c r="H8379" s="210">
        <v>5.7700000000000001E-2</v>
      </c>
      <c r="I8379" s="160" t="s">
        <v>167</v>
      </c>
      <c r="J8379" s="160">
        <v>2.9999999999999997E-4</v>
      </c>
      <c r="K8379" s="160" t="s">
        <v>145</v>
      </c>
      <c r="L8379" s="154" t="str">
        <f>IF(OpenLCAbasic!K8379="CTUh", "Fill in Manually",IF(OR(K8379="Unit", K8379=""), "", INDEX(LookUps!$E$5:$E$12, MATCH(OpenLCAbasic!K8379,LookUps!$D$5:$D$12,0))))</f>
        <v>Particulate Matter Formation Potential (PMFP) - kg PM2.5 eq</v>
      </c>
      <c r="M8379" s="154" t="str">
        <f t="shared" ref="M8379:M8442" si="671">CONCATENATE(E8379,"_",D8379,"_",F8379,"_",L8379, "_",I8379,"_", C8379,"_", B8379)</f>
        <v>High_Base_Upgraded_Particulate Matter Formation Potential (PMFP) - kg PM2.5 eq_Waste Receiving and Holding; wastewater treatment unit; at updated plant - US_Base_With Amendment_Aerated Static Pile</v>
      </c>
    </row>
    <row r="8380" spans="1:13" s="120" customFormat="1" x14ac:dyDescent="0.25">
      <c r="A8380" s="119"/>
      <c r="B8380" s="138" t="str">
        <f t="shared" si="667"/>
        <v>Aerated Static Pile</v>
      </c>
      <c r="C8380" s="138" t="str">
        <f t="shared" si="666"/>
        <v>Base_With Amendment</v>
      </c>
      <c r="D8380" s="138" t="s">
        <v>130</v>
      </c>
      <c r="E8380" s="138" t="str">
        <f t="shared" si="669"/>
        <v>High</v>
      </c>
      <c r="F8380" s="138" t="str">
        <f t="shared" si="668"/>
        <v>Upgraded</v>
      </c>
      <c r="G8380" s="153"/>
      <c r="H8380" s="210">
        <v>5.1499999999999997E-2</v>
      </c>
      <c r="I8380" s="160" t="s">
        <v>147</v>
      </c>
      <c r="J8380" s="160">
        <v>2.7E-4</v>
      </c>
      <c r="K8380" s="160" t="s">
        <v>145</v>
      </c>
      <c r="L8380" s="154" t="str">
        <f>IF(OpenLCAbasic!K8380="CTUh", "Fill in Manually",IF(OR(K8380="Unit", K8380=""), "", INDEX(LookUps!$E$5:$E$12, MATCH(OpenLCAbasic!K8380,LookUps!$D$5:$D$12,0))))</f>
        <v>Particulate Matter Formation Potential (PMFP) - kg PM2.5 eq</v>
      </c>
      <c r="M8380" s="154" t="str">
        <f t="shared" si="671"/>
        <v>High_Base_Upgraded_Particulate Matter Formation Potential (PMFP) - kg PM2.5 eq_Influent Pump Station; wastewater treatment unit; at updated plant - US_Base_With Amendment_Aerated Static Pile</v>
      </c>
    </row>
    <row r="8381" spans="1:13" s="120" customFormat="1" x14ac:dyDescent="0.25">
      <c r="A8381" s="119"/>
      <c r="B8381" s="138" t="str">
        <f t="shared" si="667"/>
        <v>Aerated Static Pile</v>
      </c>
      <c r="C8381" s="138" t="str">
        <f t="shared" si="666"/>
        <v>Base_With Amendment</v>
      </c>
      <c r="D8381" s="138" t="s">
        <v>130</v>
      </c>
      <c r="E8381" s="138" t="str">
        <f t="shared" si="669"/>
        <v>High</v>
      </c>
      <c r="F8381" s="138" t="str">
        <f t="shared" si="668"/>
        <v>Upgraded</v>
      </c>
      <c r="G8381" s="153"/>
      <c r="H8381" s="210">
        <v>3.2099999999999997E-2</v>
      </c>
      <c r="I8381" s="160" t="s">
        <v>128</v>
      </c>
      <c r="J8381" s="160">
        <v>1.7000000000000001E-4</v>
      </c>
      <c r="K8381" s="160" t="s">
        <v>145</v>
      </c>
      <c r="L8381" s="154" t="str">
        <f>IF(OpenLCAbasic!K8381="CTUh", "Fill in Manually",IF(OR(K8381="Unit", K8381=""), "", INDEX(LookUps!$E$5:$E$12, MATCH(OpenLCAbasic!K8381,LookUps!$D$5:$D$12,0))))</f>
        <v>Particulate Matter Formation Potential (PMFP) - kg PM2.5 eq</v>
      </c>
      <c r="M8381" s="154" t="str">
        <f t="shared" si="671"/>
        <v>High_Base_Upgraded_Particulate Matter Formation Potential (PMFP) - kg PM2.5 eq_Wastewater collection; operation and infrastructure; m3 wastewater_Base_With Amendment_Aerated Static Pile</v>
      </c>
    </row>
    <row r="8382" spans="1:13" s="120" customFormat="1" x14ac:dyDescent="0.25">
      <c r="A8382" s="119"/>
      <c r="B8382" s="138" t="str">
        <f t="shared" si="667"/>
        <v>Aerated Static Pile</v>
      </c>
      <c r="C8382" s="138" t="str">
        <f t="shared" si="666"/>
        <v>Base_With Amendment</v>
      </c>
      <c r="D8382" s="138" t="s">
        <v>130</v>
      </c>
      <c r="E8382" s="138" t="str">
        <f t="shared" si="669"/>
        <v>High</v>
      </c>
      <c r="F8382" s="138" t="str">
        <f t="shared" si="668"/>
        <v>Upgraded</v>
      </c>
      <c r="G8382" s="153"/>
      <c r="H8382" s="210">
        <v>2.0199999999999999E-2</v>
      </c>
      <c r="I8382" s="160" t="s">
        <v>60</v>
      </c>
      <c r="J8382" s="160">
        <v>1E-4</v>
      </c>
      <c r="K8382" s="160" t="s">
        <v>145</v>
      </c>
      <c r="L8382" s="154" t="str">
        <f>IF(OpenLCAbasic!K8382="CTUh", "Fill in Manually",IF(OR(K8382="Unit", K8382=""), "", INDEX(LookUps!$E$5:$E$12, MATCH(OpenLCAbasic!K8382,LookUps!$D$5:$D$12,0))))</f>
        <v>Particulate Matter Formation Potential (PMFP) - kg PM2.5 eq</v>
      </c>
      <c r="M8382" s="154" t="str">
        <f t="shared" si="671"/>
        <v>High_Base_Upgraded_Particulate Matter Formation Potential (PMFP) - kg PM2.5 eq_Belt filter press; wastewater treatment unit; at updated plant - US_Base_With Amendment_Aerated Static Pile</v>
      </c>
    </row>
    <row r="8383" spans="1:13" s="120" customFormat="1" x14ac:dyDescent="0.25">
      <c r="A8383" s="119"/>
      <c r="B8383" s="138" t="str">
        <f t="shared" si="667"/>
        <v>Aerated Static Pile</v>
      </c>
      <c r="C8383" s="138" t="str">
        <f t="shared" si="666"/>
        <v>Base_With Amendment</v>
      </c>
      <c r="D8383" s="138" t="s">
        <v>130</v>
      </c>
      <c r="E8383" s="138" t="str">
        <f t="shared" si="669"/>
        <v>High</v>
      </c>
      <c r="F8383" s="138" t="str">
        <f t="shared" si="668"/>
        <v>Upgraded</v>
      </c>
      <c r="G8383" s="153"/>
      <c r="H8383" s="210">
        <v>1.84E-2</v>
      </c>
      <c r="I8383" s="160" t="s">
        <v>57</v>
      </c>
      <c r="J8383" s="211">
        <v>9.5153800000000004E-5</v>
      </c>
      <c r="K8383" s="160" t="s">
        <v>145</v>
      </c>
      <c r="L8383" s="154" t="str">
        <f>IF(OpenLCAbasic!K8383="CTUh", "Fill in Manually",IF(OR(K8383="Unit", K8383=""), "", INDEX(LookUps!$E$5:$E$12, MATCH(OpenLCAbasic!K8383,LookUps!$D$5:$D$12,0))))</f>
        <v>Particulate Matter Formation Potential (PMFP) - kg PM2.5 eq</v>
      </c>
      <c r="M8383" s="154" t="str">
        <f t="shared" si="671"/>
        <v>High_Base_Upgraded_Particulate Matter Formation Potential (PMFP) - kg PM2.5 eq_Gravity Belt Thickener; wastewater treatment unit; at updated plant - US_Base_With Amendment_Aerated Static Pile</v>
      </c>
    </row>
    <row r="8384" spans="1:13" s="120" customFormat="1" x14ac:dyDescent="0.25">
      <c r="A8384" s="119"/>
      <c r="B8384" s="138" t="str">
        <f t="shared" si="667"/>
        <v>Aerated Static Pile</v>
      </c>
      <c r="C8384" s="138" t="str">
        <f t="shared" si="666"/>
        <v>Base_With Amendment</v>
      </c>
      <c r="D8384" s="138" t="s">
        <v>130</v>
      </c>
      <c r="E8384" s="138" t="str">
        <f t="shared" si="669"/>
        <v>High</v>
      </c>
      <c r="F8384" s="138" t="str">
        <f t="shared" si="668"/>
        <v>Upgraded</v>
      </c>
      <c r="G8384" s="153"/>
      <c r="H8384" s="210">
        <v>1.35E-2</v>
      </c>
      <c r="I8384" s="160" t="s">
        <v>59</v>
      </c>
      <c r="J8384" s="211">
        <v>6.9942200000000003E-5</v>
      </c>
      <c r="K8384" s="160" t="s">
        <v>145</v>
      </c>
      <c r="L8384" s="154" t="str">
        <f>IF(OpenLCAbasic!K8384="CTUh", "Fill in Manually",IF(OR(K8384="Unit", K8384=""), "", INDEX(LookUps!$E$5:$E$12, MATCH(OpenLCAbasic!K8384,LookUps!$D$5:$D$12,0))))</f>
        <v>Particulate Matter Formation Potential (PMFP) - kg PM2.5 eq</v>
      </c>
      <c r="M8384" s="154" t="str">
        <f t="shared" si="671"/>
        <v>High_Base_Upgraded_Particulate Matter Formation Potential (PMFP) - kg PM2.5 eq_Blend Tank; wastewater treatment unit; at updated plant - US_Base_With Amendment_Aerated Static Pile</v>
      </c>
    </row>
    <row r="8385" spans="1:13" s="120" customFormat="1" x14ac:dyDescent="0.25">
      <c r="A8385" s="119"/>
      <c r="B8385" s="138" t="str">
        <f t="shared" si="667"/>
        <v>Aerated Static Pile</v>
      </c>
      <c r="C8385" s="138" t="str">
        <f t="shared" si="666"/>
        <v>Base_With Amendment</v>
      </c>
      <c r="D8385" s="138" t="s">
        <v>130</v>
      </c>
      <c r="E8385" s="138" t="str">
        <f t="shared" si="669"/>
        <v>High</v>
      </c>
      <c r="F8385" s="138" t="str">
        <f t="shared" si="668"/>
        <v>Upgraded</v>
      </c>
      <c r="G8385" s="153"/>
      <c r="H8385" s="210">
        <v>9.5999999999999992E-3</v>
      </c>
      <c r="I8385" s="160" t="s">
        <v>48</v>
      </c>
      <c r="J8385" s="211">
        <v>4.99741E-5</v>
      </c>
      <c r="K8385" s="160" t="s">
        <v>145</v>
      </c>
      <c r="L8385" s="154" t="str">
        <f>IF(OpenLCAbasic!K8385="CTUh", "Fill in Manually",IF(OR(K8385="Unit", K8385=""), "", INDEX(LookUps!$E$5:$E$12, MATCH(OpenLCAbasic!K8385,LookUps!$D$5:$D$12,0))))</f>
        <v>Particulate Matter Formation Potential (PMFP) - kg PM2.5 eq</v>
      </c>
      <c r="M8385" s="154" t="str">
        <f t="shared" si="671"/>
        <v>High_Base_Upgraded_Particulate Matter Formation Potential (PMFP) - kg PM2.5 eq_Effluent release; wastewater treatment unit; at surface water; m3 wastewater - US_Base_With Amendment_Aerated Static Pile</v>
      </c>
    </row>
    <row r="8386" spans="1:13" s="120" customFormat="1" x14ac:dyDescent="0.25">
      <c r="A8386" s="119"/>
      <c r="B8386" s="138" t="str">
        <f t="shared" si="667"/>
        <v>Aerated Static Pile</v>
      </c>
      <c r="C8386" s="138" t="str">
        <f t="shared" si="666"/>
        <v>Base_With Amendment</v>
      </c>
      <c r="D8386" s="138" t="s">
        <v>130</v>
      </c>
      <c r="E8386" s="138" t="str">
        <f t="shared" si="669"/>
        <v>High</v>
      </c>
      <c r="F8386" s="138" t="str">
        <f t="shared" si="668"/>
        <v>Upgraded</v>
      </c>
      <c r="G8386" s="153"/>
      <c r="H8386" s="210">
        <v>6.7000000000000002E-3</v>
      </c>
      <c r="I8386" s="160" t="s">
        <v>168</v>
      </c>
      <c r="J8386" s="211">
        <v>3.4562199999999999E-5</v>
      </c>
      <c r="K8386" s="160" t="s">
        <v>145</v>
      </c>
      <c r="L8386" s="154" t="str">
        <f>IF(OpenLCAbasic!K8386="CTUh", "Fill in Manually",IF(OR(K8386="Unit", K8386=""), "", INDEX(LookUps!$E$5:$E$12, MATCH(OpenLCAbasic!K8386,LookUps!$D$5:$D$12,0))))</f>
        <v>Particulate Matter Formation Potential (PMFP) - kg PM2.5 eq</v>
      </c>
      <c r="M8386" s="154" t="str">
        <f t="shared" si="671"/>
        <v>High_Base_Upgraded_Particulate Matter Formation Potential (PMFP) - kg PM2.5 eq_ClearCove SCP; wastewater treatment unit; at updated plant - US_Base_With Amendment_Aerated Static Pile</v>
      </c>
    </row>
    <row r="8387" spans="1:13" s="120" customFormat="1" x14ac:dyDescent="0.25">
      <c r="A8387" s="119"/>
      <c r="B8387" s="138" t="str">
        <f t="shared" si="667"/>
        <v>Aerated Static Pile</v>
      </c>
      <c r="C8387" s="138" t="str">
        <f t="shared" si="666"/>
        <v>Base_With Amendment</v>
      </c>
      <c r="D8387" s="138" t="s">
        <v>130</v>
      </c>
      <c r="E8387" s="138" t="str">
        <f t="shared" si="669"/>
        <v>High</v>
      </c>
      <c r="F8387" s="138" t="str">
        <f t="shared" si="668"/>
        <v>Upgraded</v>
      </c>
      <c r="G8387" s="153"/>
      <c r="H8387" s="210">
        <v>6.6E-3</v>
      </c>
      <c r="I8387" s="160" t="s">
        <v>62</v>
      </c>
      <c r="J8387" s="211">
        <v>3.42258E-5</v>
      </c>
      <c r="K8387" s="160" t="s">
        <v>145</v>
      </c>
      <c r="L8387" s="154" t="str">
        <f>IF(OpenLCAbasic!K8387="CTUh", "Fill in Manually",IF(OR(K8387="Unit", K8387=""), "", INDEX(LookUps!$E$5:$E$12, MATCH(OpenLCAbasic!K8387,LookUps!$D$5:$D$12,0))))</f>
        <v>Particulate Matter Formation Potential (PMFP) - kg PM2.5 eq</v>
      </c>
      <c r="M8387" s="154" t="str">
        <f t="shared" si="671"/>
        <v>High_Base_Upgraded_Particulate Matter Formation Potential (PMFP) - kg PM2.5 eq_Land application of compost; wastewater treatment unit; at updated plant - US_Base_With Amendment_Aerated Static Pile</v>
      </c>
    </row>
    <row r="8388" spans="1:13" s="120" customFormat="1" x14ac:dyDescent="0.25">
      <c r="A8388" s="119"/>
      <c r="B8388" s="138" t="str">
        <f t="shared" si="667"/>
        <v>Aerated Static Pile</v>
      </c>
      <c r="C8388" s="138" t="str">
        <f t="shared" si="666"/>
        <v>Base_With Amendment</v>
      </c>
      <c r="D8388" s="138" t="s">
        <v>130</v>
      </c>
      <c r="E8388" s="138" t="str">
        <f t="shared" si="669"/>
        <v>High</v>
      </c>
      <c r="F8388" s="138" t="str">
        <f t="shared" si="668"/>
        <v>Upgraded</v>
      </c>
      <c r="G8388" s="153"/>
      <c r="H8388" s="210">
        <v>1.6999999999999999E-3</v>
      </c>
      <c r="I8388" s="160" t="s">
        <v>148</v>
      </c>
      <c r="J8388" s="211">
        <v>8.8212999999999997E-6</v>
      </c>
      <c r="K8388" s="160" t="s">
        <v>145</v>
      </c>
      <c r="L8388" s="154" t="str">
        <f>IF(OpenLCAbasic!K8388="CTUh", "Fill in Manually",IF(OR(K8388="Unit", K8388=""), "", INDEX(LookUps!$E$5:$E$12, MATCH(OpenLCAbasic!K8388,LookUps!$D$5:$D$12,0))))</f>
        <v>Particulate Matter Formation Potential (PMFP) - kg PM2.5 eq</v>
      </c>
      <c r="M8388" s="154" t="str">
        <f t="shared" si="671"/>
        <v>High_Base_Upgraded_Particulate Matter Formation Potential (PMFP) - kg PM2.5 eq_Control Building; at upgraded wastewater treatment plant - US_Base_With Amendment_Aerated Static Pile</v>
      </c>
    </row>
    <row r="8389" spans="1:13" s="120" customFormat="1" x14ac:dyDescent="0.25">
      <c r="A8389" s="119"/>
      <c r="B8389" s="138" t="str">
        <f t="shared" si="667"/>
        <v>Aerated Static Pile</v>
      </c>
      <c r="C8389" s="138" t="str">
        <f t="shared" si="666"/>
        <v>Base_With Amendment</v>
      </c>
      <c r="D8389" s="138" t="s">
        <v>130</v>
      </c>
      <c r="E8389" s="138" t="str">
        <f t="shared" si="669"/>
        <v>High</v>
      </c>
      <c r="F8389" s="138" t="str">
        <f t="shared" si="668"/>
        <v>Upgraded</v>
      </c>
      <c r="G8389" s="153"/>
      <c r="H8389" s="210">
        <v>-0.16769999999999999</v>
      </c>
      <c r="I8389" s="160" t="s">
        <v>149</v>
      </c>
      <c r="J8389" s="160">
        <v>-8.7000000000000001E-4</v>
      </c>
      <c r="K8389" s="160" t="s">
        <v>145</v>
      </c>
      <c r="L8389" s="154" t="str">
        <f>IF(OpenLCAbasic!K8389="CTUh", "Fill in Manually",IF(OR(K8389="Unit", K8389=""), "", INDEX(LookUps!$E$5:$E$12, MATCH(OpenLCAbasic!K8389,LookUps!$D$5:$D$12,0))))</f>
        <v>Particulate Matter Formation Potential (PMFP) - kg PM2.5 eq</v>
      </c>
      <c r="M8389" s="154" t="str">
        <f t="shared" si="671"/>
        <v>High_Base_Upgraded_Particulate Matter Formation Potential (PMFP) - kg PM2.5 eq_Anaerobic Digestion; wastewater treatment unit; at updated plant - US_Base_With Amendment_Aerated Static Pile</v>
      </c>
    </row>
    <row r="8390" spans="1:13" s="120" customFormat="1" x14ac:dyDescent="0.25">
      <c r="A8390" s="119"/>
      <c r="B8390" s="138" t="str">
        <f t="shared" si="667"/>
        <v/>
      </c>
      <c r="C8390" s="138" t="str">
        <f t="shared" si="666"/>
        <v/>
      </c>
      <c r="D8390" s="138" t="str">
        <f t="shared" si="670"/>
        <v/>
      </c>
      <c r="E8390" s="138" t="str">
        <f t="shared" si="669"/>
        <v/>
      </c>
      <c r="F8390" s="138" t="str">
        <f t="shared" si="668"/>
        <v/>
      </c>
      <c r="G8390" s="153" t="s">
        <v>51</v>
      </c>
      <c r="H8390" s="160"/>
      <c r="I8390" s="160" t="s">
        <v>47</v>
      </c>
      <c r="J8390" s="160" t="s">
        <v>52</v>
      </c>
      <c r="K8390" s="160" t="s">
        <v>27</v>
      </c>
      <c r="L8390" s="154" t="str">
        <f>IF(OpenLCAbasic!K8390="CTUh", "Fill in Manually",IF(OR(K8390="Unit", K8390=""), "", INDEX(LookUps!$E$5:$E$12, MATCH(OpenLCAbasic!K8390,LookUps!$D$5:$D$12,0))))</f>
        <v/>
      </c>
      <c r="M8390" s="154" t="str">
        <f t="shared" si="671"/>
        <v>____Process__</v>
      </c>
    </row>
    <row r="8391" spans="1:13" s="120" customFormat="1" x14ac:dyDescent="0.25">
      <c r="A8391" s="119"/>
      <c r="B8391" s="138" t="str">
        <f t="shared" si="667"/>
        <v>Aerated Static Pile</v>
      </c>
      <c r="C8391" s="138" t="str">
        <f t="shared" si="666"/>
        <v>Base_With Amendment</v>
      </c>
      <c r="D8391" s="138" t="s">
        <v>130</v>
      </c>
      <c r="E8391" s="138" t="str">
        <f t="shared" si="669"/>
        <v>High</v>
      </c>
      <c r="F8391" s="138" t="str">
        <f t="shared" si="668"/>
        <v>Upgraded</v>
      </c>
      <c r="G8391" s="153"/>
      <c r="H8391" s="210">
        <v>0.4501</v>
      </c>
      <c r="I8391" s="160" t="s">
        <v>55</v>
      </c>
      <c r="J8391" s="160">
        <v>0.16577</v>
      </c>
      <c r="K8391" s="160" t="s">
        <v>25</v>
      </c>
      <c r="L8391" s="154" t="str">
        <f>IF(OpenLCAbasic!K8391="CTUh", "Fill in Manually",IF(OR(K8391="Unit", K8391=""), "", INDEX(LookUps!$E$5:$E$12, MATCH(OpenLCAbasic!K8391,LookUps!$D$5:$D$12,0))))</f>
        <v>Smog Formation Potential (SFP) - kg O3 eq</v>
      </c>
      <c r="M8391" s="154" t="str">
        <f t="shared" si="671"/>
        <v>High_Base_Upgraded_Smog Formation Potential (SFP) - kg O3 eq_Aeration Tanks; wastewater treatment unit; at updated plant - US_Base_With Amendment_Aerated Static Pile</v>
      </c>
    </row>
    <row r="8392" spans="1:13" s="120" customFormat="1" x14ac:dyDescent="0.25">
      <c r="A8392" s="119"/>
      <c r="B8392" s="138" t="str">
        <f t="shared" si="667"/>
        <v>Aerated Static Pile</v>
      </c>
      <c r="C8392" s="138" t="str">
        <f t="shared" si="666"/>
        <v>Base_With Amendment</v>
      </c>
      <c r="D8392" s="138" t="s">
        <v>130</v>
      </c>
      <c r="E8392" s="138" t="str">
        <f t="shared" si="669"/>
        <v>High</v>
      </c>
      <c r="F8392" s="138" t="str">
        <f t="shared" si="668"/>
        <v>Upgraded</v>
      </c>
      <c r="G8392" s="153"/>
      <c r="H8392" s="210">
        <v>0.16170000000000001</v>
      </c>
      <c r="I8392" s="160" t="s">
        <v>435</v>
      </c>
      <c r="J8392" s="160">
        <v>5.9569999999999998E-2</v>
      </c>
      <c r="K8392" s="160" t="s">
        <v>25</v>
      </c>
      <c r="L8392" s="154" t="str">
        <f>IF(OpenLCAbasic!K8392="CTUh", "Fill in Manually",IF(OR(K8392="Unit", K8392=""), "", INDEX(LookUps!$E$5:$E$12, MATCH(OpenLCAbasic!K8392,LookUps!$D$5:$D$12,0))))</f>
        <v>Smog Formation Potential (SFP) - kg O3 eq</v>
      </c>
      <c r="M8392" s="154" t="str">
        <f t="shared" si="671"/>
        <v>High_Base_Upgraded_Smog Formation Potential (SFP) - kg O3 eq_Biosolids composting; aerated static pile; wastewater treatment unit; at updated plant - US_Base_With Amendment_Aerated Static Pile</v>
      </c>
    </row>
    <row r="8393" spans="1:13" s="120" customFormat="1" x14ac:dyDescent="0.25">
      <c r="A8393" s="119"/>
      <c r="B8393" s="138" t="str">
        <f t="shared" si="667"/>
        <v>Aerated Static Pile</v>
      </c>
      <c r="C8393" s="138" t="str">
        <f t="shared" ref="C8393:C8423" si="672">IF(ISNUMBER($J8393),"Base_With Amendment","")</f>
        <v>Base_With Amendment</v>
      </c>
      <c r="D8393" s="138" t="s">
        <v>130</v>
      </c>
      <c r="E8393" s="138" t="str">
        <f t="shared" si="669"/>
        <v>High</v>
      </c>
      <c r="F8393" s="138" t="str">
        <f t="shared" si="668"/>
        <v>Upgraded</v>
      </c>
      <c r="G8393" s="153"/>
      <c r="H8393" s="210">
        <v>0.1305</v>
      </c>
      <c r="I8393" s="160" t="s">
        <v>54</v>
      </c>
      <c r="J8393" s="160">
        <v>4.8070000000000002E-2</v>
      </c>
      <c r="K8393" s="160" t="s">
        <v>25</v>
      </c>
      <c r="L8393" s="154" t="str">
        <f>IF(OpenLCAbasic!K8393="CTUh", "Fill in Manually",IF(OR(K8393="Unit", K8393=""), "", INDEX(LookUps!$E$5:$E$12, MATCH(OpenLCAbasic!K8393,LookUps!$D$5:$D$12,0))))</f>
        <v>Smog Formation Potential (SFP) - kg O3 eq</v>
      </c>
      <c r="M8393" s="154" t="str">
        <f t="shared" si="671"/>
        <v>High_Base_Upgraded_Smog Formation Potential (SFP) - kg O3 eq_Clear Cove Primary Clarification; wastewater treatment unit; at updated plant - US_Base_With Amendment_Aerated Static Pile</v>
      </c>
    </row>
    <row r="8394" spans="1:13" s="120" customFormat="1" x14ac:dyDescent="0.25">
      <c r="A8394" s="119"/>
      <c r="B8394" s="138" t="str">
        <f t="shared" si="667"/>
        <v>Aerated Static Pile</v>
      </c>
      <c r="C8394" s="138" t="str">
        <f t="shared" si="672"/>
        <v>Base_With Amendment</v>
      </c>
      <c r="D8394" s="138" t="s">
        <v>130</v>
      </c>
      <c r="E8394" s="138" t="str">
        <f t="shared" si="669"/>
        <v>High</v>
      </c>
      <c r="F8394" s="138" t="str">
        <f t="shared" si="668"/>
        <v>Upgraded</v>
      </c>
      <c r="G8394" s="153"/>
      <c r="H8394" s="210">
        <v>0.1134</v>
      </c>
      <c r="I8394" s="160" t="s">
        <v>58</v>
      </c>
      <c r="J8394" s="160">
        <v>4.1779999999999998E-2</v>
      </c>
      <c r="K8394" s="160" t="s">
        <v>25</v>
      </c>
      <c r="L8394" s="154" t="str">
        <f>IF(OpenLCAbasic!K8394="CTUh", "Fill in Manually",IF(OR(K8394="Unit", K8394=""), "", INDEX(LookUps!$E$5:$E$12, MATCH(OpenLCAbasic!K8394,LookUps!$D$5:$D$12,0))))</f>
        <v>Smog Formation Potential (SFP) - kg O3 eq</v>
      </c>
      <c r="M8394" s="154" t="str">
        <f t="shared" si="671"/>
        <v>High_Base_Upgraded_Smog Formation Potential (SFP) - kg O3 eq_Pre-Anoxic &amp; Swing tank; wastewater treatment unit; at updated plant - US_Base_With Amendment_Aerated Static Pile</v>
      </c>
    </row>
    <row r="8395" spans="1:13" s="120" customFormat="1" x14ac:dyDescent="0.25">
      <c r="A8395" s="119"/>
      <c r="B8395" s="138" t="str">
        <f t="shared" si="667"/>
        <v>Aerated Static Pile</v>
      </c>
      <c r="C8395" s="138" t="str">
        <f t="shared" si="672"/>
        <v>Base_With Amendment</v>
      </c>
      <c r="D8395" s="138" t="s">
        <v>130</v>
      </c>
      <c r="E8395" s="138" t="str">
        <f t="shared" si="669"/>
        <v>High</v>
      </c>
      <c r="F8395" s="138" t="str">
        <f t="shared" si="668"/>
        <v>Upgraded</v>
      </c>
      <c r="G8395" s="153"/>
      <c r="H8395" s="210">
        <v>8.9899999999999994E-2</v>
      </c>
      <c r="I8395" s="160" t="s">
        <v>53</v>
      </c>
      <c r="J8395" s="160">
        <v>3.313E-2</v>
      </c>
      <c r="K8395" s="160" t="s">
        <v>25</v>
      </c>
      <c r="L8395" s="154" t="str">
        <f>IF(OpenLCAbasic!K8395="CTUh", "Fill in Manually",IF(OR(K8395="Unit", K8395=""), "", INDEX(LookUps!$E$5:$E$12, MATCH(OpenLCAbasic!K8395,LookUps!$D$5:$D$12,0))))</f>
        <v>Smog Formation Potential (SFP) - kg O3 eq</v>
      </c>
      <c r="M8395" s="154" t="str">
        <f t="shared" si="671"/>
        <v>High_Base_Upgraded_Smog Formation Potential (SFP) - kg O3 eq_Wet Well and Sump Station; wastewater treatment unit; at updated plant - US_Base_With Amendment_Aerated Static Pile</v>
      </c>
    </row>
    <row r="8396" spans="1:13" s="120" customFormat="1" x14ac:dyDescent="0.25">
      <c r="A8396" s="119"/>
      <c r="B8396" s="138" t="str">
        <f t="shared" si="667"/>
        <v>Aerated Static Pile</v>
      </c>
      <c r="C8396" s="138" t="str">
        <f t="shared" si="672"/>
        <v>Base_With Amendment</v>
      </c>
      <c r="D8396" s="138" t="s">
        <v>130</v>
      </c>
      <c r="E8396" s="138" t="str">
        <f t="shared" si="669"/>
        <v>High</v>
      </c>
      <c r="F8396" s="138" t="str">
        <f t="shared" si="668"/>
        <v>Upgraded</v>
      </c>
      <c r="G8396" s="153"/>
      <c r="H8396" s="210">
        <v>7.5899999999999995E-2</v>
      </c>
      <c r="I8396" s="160" t="s">
        <v>167</v>
      </c>
      <c r="J8396" s="160">
        <v>2.7949999999999999E-2</v>
      </c>
      <c r="K8396" s="160" t="s">
        <v>25</v>
      </c>
      <c r="L8396" s="154" t="str">
        <f>IF(OpenLCAbasic!K8396="CTUh", "Fill in Manually",IF(OR(K8396="Unit", K8396=""), "", INDEX(LookUps!$E$5:$E$12, MATCH(OpenLCAbasic!K8396,LookUps!$D$5:$D$12,0))))</f>
        <v>Smog Formation Potential (SFP) - kg O3 eq</v>
      </c>
      <c r="M8396" s="154" t="str">
        <f t="shared" si="671"/>
        <v>High_Base_Upgraded_Smog Formation Potential (SFP) - kg O3 eq_Waste Receiving and Holding; wastewater treatment unit; at updated plant - US_Base_With Amendment_Aerated Static Pile</v>
      </c>
    </row>
    <row r="8397" spans="1:13" s="120" customFormat="1" x14ac:dyDescent="0.25">
      <c r="A8397" s="119"/>
      <c r="B8397" s="138" t="str">
        <f t="shared" si="667"/>
        <v>Aerated Static Pile</v>
      </c>
      <c r="C8397" s="138" t="str">
        <f t="shared" si="672"/>
        <v>Base_With Amendment</v>
      </c>
      <c r="D8397" s="138" t="s">
        <v>130</v>
      </c>
      <c r="E8397" s="138" t="str">
        <f t="shared" si="669"/>
        <v>High</v>
      </c>
      <c r="F8397" s="138" t="str">
        <f t="shared" si="668"/>
        <v>Upgraded</v>
      </c>
      <c r="G8397" s="153"/>
      <c r="H8397" s="210">
        <v>5.2699999999999997E-2</v>
      </c>
      <c r="I8397" s="160" t="s">
        <v>147</v>
      </c>
      <c r="J8397" s="160">
        <v>1.9400000000000001E-2</v>
      </c>
      <c r="K8397" s="160" t="s">
        <v>25</v>
      </c>
      <c r="L8397" s="154" t="str">
        <f>IF(OpenLCAbasic!K8397="CTUh", "Fill in Manually",IF(OR(K8397="Unit", K8397=""), "", INDEX(LookUps!$E$5:$E$12, MATCH(OpenLCAbasic!K8397,LookUps!$D$5:$D$12,0))))</f>
        <v>Smog Formation Potential (SFP) - kg O3 eq</v>
      </c>
      <c r="M8397" s="154" t="str">
        <f t="shared" si="671"/>
        <v>High_Base_Upgraded_Smog Formation Potential (SFP) - kg O3 eq_Influent Pump Station; wastewater treatment unit; at updated plant - US_Base_With Amendment_Aerated Static Pile</v>
      </c>
    </row>
    <row r="8398" spans="1:13" s="120" customFormat="1" x14ac:dyDescent="0.25">
      <c r="A8398" s="119"/>
      <c r="B8398" s="138" t="str">
        <f t="shared" si="667"/>
        <v>Aerated Static Pile</v>
      </c>
      <c r="C8398" s="138" t="str">
        <f t="shared" si="672"/>
        <v>Base_With Amendment</v>
      </c>
      <c r="D8398" s="138" t="s">
        <v>130</v>
      </c>
      <c r="E8398" s="138" t="str">
        <f t="shared" si="669"/>
        <v>High</v>
      </c>
      <c r="F8398" s="138" t="str">
        <f t="shared" si="668"/>
        <v>Upgraded</v>
      </c>
      <c r="G8398" s="153"/>
      <c r="H8398" s="210">
        <v>3.2399999999999998E-2</v>
      </c>
      <c r="I8398" s="160" t="s">
        <v>128</v>
      </c>
      <c r="J8398" s="160">
        <v>1.192E-2</v>
      </c>
      <c r="K8398" s="160" t="s">
        <v>25</v>
      </c>
      <c r="L8398" s="154" t="str">
        <f>IF(OpenLCAbasic!K8398="CTUh", "Fill in Manually",IF(OR(K8398="Unit", K8398=""), "", INDEX(LookUps!$E$5:$E$12, MATCH(OpenLCAbasic!K8398,LookUps!$D$5:$D$12,0))))</f>
        <v>Smog Formation Potential (SFP) - kg O3 eq</v>
      </c>
      <c r="M8398" s="154" t="str">
        <f t="shared" si="671"/>
        <v>High_Base_Upgraded_Smog Formation Potential (SFP) - kg O3 eq_Wastewater collection; operation and infrastructure; m3 wastewater_Base_With Amendment_Aerated Static Pile</v>
      </c>
    </row>
    <row r="8399" spans="1:13" s="120" customFormat="1" x14ac:dyDescent="0.25">
      <c r="A8399" s="119"/>
      <c r="B8399" s="138" t="str">
        <f t="shared" si="667"/>
        <v>Aerated Static Pile</v>
      </c>
      <c r="C8399" s="138" t="str">
        <f t="shared" si="672"/>
        <v>Base_With Amendment</v>
      </c>
      <c r="D8399" s="138" t="s">
        <v>130</v>
      </c>
      <c r="E8399" s="138" t="str">
        <f t="shared" si="669"/>
        <v>High</v>
      </c>
      <c r="F8399" s="138" t="str">
        <f t="shared" si="668"/>
        <v>Upgraded</v>
      </c>
      <c r="G8399" s="153"/>
      <c r="H8399" s="210">
        <v>1.9900000000000001E-2</v>
      </c>
      <c r="I8399" s="160" t="s">
        <v>60</v>
      </c>
      <c r="J8399" s="160">
        <v>7.3499999999999998E-3</v>
      </c>
      <c r="K8399" s="160" t="s">
        <v>25</v>
      </c>
      <c r="L8399" s="154" t="str">
        <f>IF(OpenLCAbasic!K8399="CTUh", "Fill in Manually",IF(OR(K8399="Unit", K8399=""), "", INDEX(LookUps!$E$5:$E$12, MATCH(OpenLCAbasic!K8399,LookUps!$D$5:$D$12,0))))</f>
        <v>Smog Formation Potential (SFP) - kg O3 eq</v>
      </c>
      <c r="M8399" s="154" t="str">
        <f t="shared" si="671"/>
        <v>High_Base_Upgraded_Smog Formation Potential (SFP) - kg O3 eq_Belt filter press; wastewater treatment unit; at updated plant - US_Base_With Amendment_Aerated Static Pile</v>
      </c>
    </row>
    <row r="8400" spans="1:13" s="120" customFormat="1" x14ac:dyDescent="0.25">
      <c r="A8400" s="119"/>
      <c r="B8400" s="138" t="str">
        <f t="shared" si="667"/>
        <v>Aerated Static Pile</v>
      </c>
      <c r="C8400" s="138" t="str">
        <f t="shared" si="672"/>
        <v>Base_With Amendment</v>
      </c>
      <c r="D8400" s="138" t="s">
        <v>130</v>
      </c>
      <c r="E8400" s="138" t="str">
        <f t="shared" si="669"/>
        <v>High</v>
      </c>
      <c r="F8400" s="138" t="str">
        <f t="shared" si="668"/>
        <v>Upgraded</v>
      </c>
      <c r="G8400" s="153"/>
      <c r="H8400" s="210">
        <v>1.8100000000000002E-2</v>
      </c>
      <c r="I8400" s="160" t="s">
        <v>57</v>
      </c>
      <c r="J8400" s="160">
        <v>6.6499999999999997E-3</v>
      </c>
      <c r="K8400" s="160" t="s">
        <v>25</v>
      </c>
      <c r="L8400" s="154" t="str">
        <f>IF(OpenLCAbasic!K8400="CTUh", "Fill in Manually",IF(OR(K8400="Unit", K8400=""), "", INDEX(LookUps!$E$5:$E$12, MATCH(OpenLCAbasic!K8400,LookUps!$D$5:$D$12,0))))</f>
        <v>Smog Formation Potential (SFP) - kg O3 eq</v>
      </c>
      <c r="M8400" s="154" t="str">
        <f t="shared" si="671"/>
        <v>High_Base_Upgraded_Smog Formation Potential (SFP) - kg O3 eq_Gravity Belt Thickener; wastewater treatment unit; at updated plant - US_Base_With Amendment_Aerated Static Pile</v>
      </c>
    </row>
    <row r="8401" spans="1:13" s="120" customFormat="1" x14ac:dyDescent="0.25">
      <c r="A8401" s="119"/>
      <c r="B8401" s="138" t="str">
        <f t="shared" si="667"/>
        <v>Aerated Static Pile</v>
      </c>
      <c r="C8401" s="138" t="str">
        <f t="shared" si="672"/>
        <v>Base_With Amendment</v>
      </c>
      <c r="D8401" s="138" t="s">
        <v>130</v>
      </c>
      <c r="E8401" s="138" t="str">
        <f t="shared" si="669"/>
        <v>High</v>
      </c>
      <c r="F8401" s="138" t="str">
        <f t="shared" si="668"/>
        <v>Upgraded</v>
      </c>
      <c r="G8401" s="153"/>
      <c r="H8401" s="210">
        <v>1.35E-2</v>
      </c>
      <c r="I8401" s="160" t="s">
        <v>59</v>
      </c>
      <c r="J8401" s="160">
        <v>4.9699999999999996E-3</v>
      </c>
      <c r="K8401" s="160" t="s">
        <v>25</v>
      </c>
      <c r="L8401" s="154" t="str">
        <f>IF(OpenLCAbasic!K8401="CTUh", "Fill in Manually",IF(OR(K8401="Unit", K8401=""), "", INDEX(LookUps!$E$5:$E$12, MATCH(OpenLCAbasic!K8401,LookUps!$D$5:$D$12,0))))</f>
        <v>Smog Formation Potential (SFP) - kg O3 eq</v>
      </c>
      <c r="M8401" s="154" t="str">
        <f t="shared" si="671"/>
        <v>High_Base_Upgraded_Smog Formation Potential (SFP) - kg O3 eq_Blend Tank; wastewater treatment unit; at updated plant - US_Base_With Amendment_Aerated Static Pile</v>
      </c>
    </row>
    <row r="8402" spans="1:13" s="120" customFormat="1" x14ac:dyDescent="0.25">
      <c r="A8402" s="119"/>
      <c r="B8402" s="138" t="str">
        <f t="shared" si="667"/>
        <v>Aerated Static Pile</v>
      </c>
      <c r="C8402" s="138" t="str">
        <f t="shared" si="672"/>
        <v>Base_With Amendment</v>
      </c>
      <c r="D8402" s="138" t="s">
        <v>130</v>
      </c>
      <c r="E8402" s="138" t="str">
        <f t="shared" si="669"/>
        <v>High</v>
      </c>
      <c r="F8402" s="138" t="str">
        <f t="shared" si="668"/>
        <v>Upgraded</v>
      </c>
      <c r="G8402" s="153"/>
      <c r="H8402" s="210">
        <v>9.1999999999999998E-3</v>
      </c>
      <c r="I8402" s="160" t="s">
        <v>48</v>
      </c>
      <c r="J8402" s="160">
        <v>3.3899999999999998E-3</v>
      </c>
      <c r="K8402" s="160" t="s">
        <v>25</v>
      </c>
      <c r="L8402" s="154" t="str">
        <f>IF(OpenLCAbasic!K8402="CTUh", "Fill in Manually",IF(OR(K8402="Unit", K8402=""), "", INDEX(LookUps!$E$5:$E$12, MATCH(OpenLCAbasic!K8402,LookUps!$D$5:$D$12,0))))</f>
        <v>Smog Formation Potential (SFP) - kg O3 eq</v>
      </c>
      <c r="M8402" s="154" t="str">
        <f t="shared" si="671"/>
        <v>High_Base_Upgraded_Smog Formation Potential (SFP) - kg O3 eq_Effluent release; wastewater treatment unit; at surface water; m3 wastewater - US_Base_With Amendment_Aerated Static Pile</v>
      </c>
    </row>
    <row r="8403" spans="1:13" s="120" customFormat="1" x14ac:dyDescent="0.25">
      <c r="A8403" s="119"/>
      <c r="B8403" s="138" t="str">
        <f t="shared" si="667"/>
        <v>Aerated Static Pile</v>
      </c>
      <c r="C8403" s="138" t="str">
        <f t="shared" si="672"/>
        <v>Base_With Amendment</v>
      </c>
      <c r="D8403" s="138" t="s">
        <v>130</v>
      </c>
      <c r="E8403" s="138" t="str">
        <f t="shared" si="669"/>
        <v>High</v>
      </c>
      <c r="F8403" s="138" t="str">
        <f t="shared" si="668"/>
        <v>Upgraded</v>
      </c>
      <c r="G8403" s="153"/>
      <c r="H8403" s="210">
        <v>6.7000000000000002E-3</v>
      </c>
      <c r="I8403" s="160" t="s">
        <v>168</v>
      </c>
      <c r="J8403" s="160">
        <v>2.4599999999999999E-3</v>
      </c>
      <c r="K8403" s="160" t="s">
        <v>25</v>
      </c>
      <c r="L8403" s="154" t="str">
        <f>IF(OpenLCAbasic!K8403="CTUh", "Fill in Manually",IF(OR(K8403="Unit", K8403=""), "", INDEX(LookUps!$E$5:$E$12, MATCH(OpenLCAbasic!K8403,LookUps!$D$5:$D$12,0))))</f>
        <v>Smog Formation Potential (SFP) - kg O3 eq</v>
      </c>
      <c r="M8403" s="154" t="str">
        <f t="shared" si="671"/>
        <v>High_Base_Upgraded_Smog Formation Potential (SFP) - kg O3 eq_ClearCove SCP; wastewater treatment unit; at updated plant - US_Base_With Amendment_Aerated Static Pile</v>
      </c>
    </row>
    <row r="8404" spans="1:13" s="120" customFormat="1" x14ac:dyDescent="0.25">
      <c r="A8404" s="119"/>
      <c r="B8404" s="138" t="str">
        <f t="shared" si="667"/>
        <v>Aerated Static Pile</v>
      </c>
      <c r="C8404" s="138" t="str">
        <f t="shared" si="672"/>
        <v>Base_With Amendment</v>
      </c>
      <c r="D8404" s="138" t="s">
        <v>130</v>
      </c>
      <c r="E8404" s="138" t="str">
        <f t="shared" si="669"/>
        <v>High</v>
      </c>
      <c r="F8404" s="138" t="str">
        <f t="shared" si="668"/>
        <v>Upgraded</v>
      </c>
      <c r="G8404" s="153"/>
      <c r="H8404" s="210">
        <v>1.5E-3</v>
      </c>
      <c r="I8404" s="160" t="s">
        <v>148</v>
      </c>
      <c r="J8404" s="160">
        <v>5.4000000000000001E-4</v>
      </c>
      <c r="K8404" s="160" t="s">
        <v>25</v>
      </c>
      <c r="L8404" s="154" t="str">
        <f>IF(OpenLCAbasic!K8404="CTUh", "Fill in Manually",IF(OR(K8404="Unit", K8404=""), "", INDEX(LookUps!$E$5:$E$12, MATCH(OpenLCAbasic!K8404,LookUps!$D$5:$D$12,0))))</f>
        <v>Smog Formation Potential (SFP) - kg O3 eq</v>
      </c>
      <c r="M8404" s="154" t="str">
        <f t="shared" si="671"/>
        <v>High_Base_Upgraded_Smog Formation Potential (SFP) - kg O3 eq_Control Building; at upgraded wastewater treatment plant - US_Base_With Amendment_Aerated Static Pile</v>
      </c>
    </row>
    <row r="8405" spans="1:13" s="120" customFormat="1" x14ac:dyDescent="0.25">
      <c r="A8405" s="119"/>
      <c r="B8405" s="138" t="str">
        <f t="shared" si="667"/>
        <v>Aerated Static Pile</v>
      </c>
      <c r="C8405" s="138" t="str">
        <f t="shared" si="672"/>
        <v>Base_With Amendment</v>
      </c>
      <c r="D8405" s="138" t="s">
        <v>130</v>
      </c>
      <c r="E8405" s="138" t="str">
        <f t="shared" si="669"/>
        <v>High</v>
      </c>
      <c r="F8405" s="138" t="str">
        <f t="shared" si="668"/>
        <v>Upgraded</v>
      </c>
      <c r="G8405" s="153"/>
      <c r="H8405" s="210">
        <v>-7.3000000000000001E-3</v>
      </c>
      <c r="I8405" s="160" t="s">
        <v>62</v>
      </c>
      <c r="J8405" s="160">
        <v>-2.6900000000000001E-3</v>
      </c>
      <c r="K8405" s="160" t="s">
        <v>25</v>
      </c>
      <c r="L8405" s="154" t="str">
        <f>IF(OpenLCAbasic!K8405="CTUh", "Fill in Manually",IF(OR(K8405="Unit", K8405=""), "", INDEX(LookUps!$E$5:$E$12, MATCH(OpenLCAbasic!K8405,LookUps!$D$5:$D$12,0))))</f>
        <v>Smog Formation Potential (SFP) - kg O3 eq</v>
      </c>
      <c r="M8405" s="154" t="str">
        <f t="shared" si="671"/>
        <v>High_Base_Upgraded_Smog Formation Potential (SFP) - kg O3 eq_Land application of compost; wastewater treatment unit; at updated plant - US_Base_With Amendment_Aerated Static Pile</v>
      </c>
    </row>
    <row r="8406" spans="1:13" s="120" customFormat="1" x14ac:dyDescent="0.25">
      <c r="A8406" s="119"/>
      <c r="B8406" s="138" t="str">
        <f t="shared" si="667"/>
        <v>Aerated Static Pile</v>
      </c>
      <c r="C8406" s="138" t="str">
        <f t="shared" si="672"/>
        <v>Base_With Amendment</v>
      </c>
      <c r="D8406" s="138" t="s">
        <v>130</v>
      </c>
      <c r="E8406" s="138" t="str">
        <f t="shared" si="669"/>
        <v>High</v>
      </c>
      <c r="F8406" s="138" t="str">
        <f t="shared" si="668"/>
        <v>Upgraded</v>
      </c>
      <c r="G8406" s="153"/>
      <c r="H8406" s="210">
        <v>-0.16819999999999999</v>
      </c>
      <c r="I8406" s="160" t="s">
        <v>149</v>
      </c>
      <c r="J8406" s="160">
        <v>-6.1940000000000002E-2</v>
      </c>
      <c r="K8406" s="160" t="s">
        <v>25</v>
      </c>
      <c r="L8406" s="154" t="str">
        <f>IF(OpenLCAbasic!K8406="CTUh", "Fill in Manually",IF(OR(K8406="Unit", K8406=""), "", INDEX(LookUps!$E$5:$E$12, MATCH(OpenLCAbasic!K8406,LookUps!$D$5:$D$12,0))))</f>
        <v>Smog Formation Potential (SFP) - kg O3 eq</v>
      </c>
      <c r="M8406" s="154" t="str">
        <f t="shared" si="671"/>
        <v>High_Base_Upgraded_Smog Formation Potential (SFP) - kg O3 eq_Anaerobic Digestion; wastewater treatment unit; at updated plant - US_Base_With Amendment_Aerated Static Pile</v>
      </c>
    </row>
    <row r="8407" spans="1:13" s="120" customFormat="1" x14ac:dyDescent="0.25">
      <c r="A8407" s="119"/>
      <c r="B8407" s="138" t="str">
        <f t="shared" si="667"/>
        <v/>
      </c>
      <c r="C8407" s="138" t="str">
        <f t="shared" si="672"/>
        <v/>
      </c>
      <c r="D8407" s="138" t="str">
        <f t="shared" si="670"/>
        <v/>
      </c>
      <c r="E8407" s="138" t="str">
        <f t="shared" si="669"/>
        <v/>
      </c>
      <c r="F8407" s="138" t="str">
        <f t="shared" si="668"/>
        <v/>
      </c>
      <c r="G8407" s="153" t="s">
        <v>51</v>
      </c>
      <c r="H8407" s="160"/>
      <c r="I8407" s="160" t="s">
        <v>47</v>
      </c>
      <c r="J8407" s="160" t="s">
        <v>52</v>
      </c>
      <c r="K8407" s="160" t="s">
        <v>27</v>
      </c>
      <c r="L8407" s="154" t="str">
        <f>IF(OpenLCAbasic!K8407="CTUh", "Fill in Manually",IF(OR(K8407="Unit", K8407=""), "", INDEX(LookUps!$E$5:$E$12, MATCH(OpenLCAbasic!K8407,LookUps!$D$5:$D$12,0))))</f>
        <v/>
      </c>
      <c r="M8407" s="154" t="str">
        <f t="shared" si="671"/>
        <v>____Process__</v>
      </c>
    </row>
    <row r="8408" spans="1:13" s="120" customFormat="1" x14ac:dyDescent="0.25">
      <c r="A8408" s="119"/>
      <c r="B8408" s="138" t="str">
        <f t="shared" si="667"/>
        <v>Aerated Static Pile</v>
      </c>
      <c r="C8408" s="138" t="str">
        <f t="shared" si="672"/>
        <v>Base_With Amendment</v>
      </c>
      <c r="D8408" s="138" t="s">
        <v>130</v>
      </c>
      <c r="E8408" s="138" t="str">
        <f t="shared" si="669"/>
        <v>High</v>
      </c>
      <c r="F8408" s="138" t="str">
        <f t="shared" si="668"/>
        <v>Upgraded</v>
      </c>
      <c r="G8408" s="153"/>
      <c r="H8408" s="210">
        <v>15.5099</v>
      </c>
      <c r="I8408" s="160" t="s">
        <v>167</v>
      </c>
      <c r="J8408" s="160">
        <v>2.3000000000000001E-4</v>
      </c>
      <c r="K8408" s="160" t="s">
        <v>26</v>
      </c>
      <c r="L8408" s="154" t="str">
        <f>IF(OpenLCAbasic!K8408="CTUh", "Fill in Manually",IF(OR(K8408="Unit", K8408=""), "", INDEX(LookUps!$E$5:$E$12, MATCH(OpenLCAbasic!K8408,LookUps!$D$5:$D$12,0))))</f>
        <v>Water Use (WU) - m3 H2O</v>
      </c>
      <c r="M8408" s="154" t="str">
        <f t="shared" si="671"/>
        <v>High_Base_Upgraded_Water Use (WU) - m3 H2O_Waste Receiving and Holding; wastewater treatment unit; at updated plant - US_Base_With Amendment_Aerated Static Pile</v>
      </c>
    </row>
    <row r="8409" spans="1:13" s="120" customFormat="1" x14ac:dyDescent="0.25">
      <c r="A8409" s="119"/>
      <c r="B8409" s="138" t="str">
        <f t="shared" ref="B8409:B8424" si="673">IF(F8409="Legacy","n.a.",IF(F8409="","","Aerated Static Pile"))</f>
        <v>Aerated Static Pile</v>
      </c>
      <c r="C8409" s="138" t="str">
        <f t="shared" si="672"/>
        <v>Base_With Amendment</v>
      </c>
      <c r="D8409" s="138" t="s">
        <v>130</v>
      </c>
      <c r="E8409" s="138" t="str">
        <f t="shared" si="669"/>
        <v>High</v>
      </c>
      <c r="F8409" s="138" t="str">
        <f t="shared" ref="F8409:F8424" si="674">IF(ISNUMBER(J8409),"Upgraded","")</f>
        <v>Upgraded</v>
      </c>
      <c r="G8409" s="153"/>
      <c r="H8409" s="210">
        <v>12.272600000000001</v>
      </c>
      <c r="I8409" s="160" t="s">
        <v>147</v>
      </c>
      <c r="J8409" s="160">
        <v>1.8000000000000001E-4</v>
      </c>
      <c r="K8409" s="160" t="s">
        <v>26</v>
      </c>
      <c r="L8409" s="154" t="str">
        <f>IF(OpenLCAbasic!K8409="CTUh", "Fill in Manually",IF(OR(K8409="Unit", K8409=""), "", INDEX(LookUps!$E$5:$E$12, MATCH(OpenLCAbasic!K8409,LookUps!$D$5:$D$12,0))))</f>
        <v>Water Use (WU) - m3 H2O</v>
      </c>
      <c r="M8409" s="154" t="str">
        <f t="shared" si="671"/>
        <v>High_Base_Upgraded_Water Use (WU) - m3 H2O_Influent Pump Station; wastewater treatment unit; at updated plant - US_Base_With Amendment_Aerated Static Pile</v>
      </c>
    </row>
    <row r="8410" spans="1:13" s="120" customFormat="1" x14ac:dyDescent="0.25">
      <c r="A8410" s="119"/>
      <c r="B8410" s="138" t="str">
        <f t="shared" si="673"/>
        <v>Aerated Static Pile</v>
      </c>
      <c r="C8410" s="138" t="str">
        <f t="shared" si="672"/>
        <v>Base_With Amendment</v>
      </c>
      <c r="D8410" s="138" t="s">
        <v>130</v>
      </c>
      <c r="E8410" s="138" t="str">
        <f t="shared" si="669"/>
        <v>High</v>
      </c>
      <c r="F8410" s="138" t="str">
        <f t="shared" si="674"/>
        <v>Upgraded</v>
      </c>
      <c r="G8410" s="153"/>
      <c r="H8410" s="210">
        <v>11.974600000000001</v>
      </c>
      <c r="I8410" s="160" t="s">
        <v>54</v>
      </c>
      <c r="J8410" s="160">
        <v>1.8000000000000001E-4</v>
      </c>
      <c r="K8410" s="160" t="s">
        <v>26</v>
      </c>
      <c r="L8410" s="154" t="str">
        <f>IF(OpenLCAbasic!K8410="CTUh", "Fill in Manually",IF(OR(K8410="Unit", K8410=""), "", INDEX(LookUps!$E$5:$E$12, MATCH(OpenLCAbasic!K8410,LookUps!$D$5:$D$12,0))))</f>
        <v>Water Use (WU) - m3 H2O</v>
      </c>
      <c r="M8410" s="154" t="str">
        <f t="shared" si="671"/>
        <v>High_Base_Upgraded_Water Use (WU) - m3 H2O_Clear Cove Primary Clarification; wastewater treatment unit; at updated plant - US_Base_With Amendment_Aerated Static Pile</v>
      </c>
    </row>
    <row r="8411" spans="1:13" s="120" customFormat="1" x14ac:dyDescent="0.25">
      <c r="A8411" s="119"/>
      <c r="B8411" s="138" t="str">
        <f t="shared" si="673"/>
        <v>Aerated Static Pile</v>
      </c>
      <c r="C8411" s="138" t="str">
        <f t="shared" si="672"/>
        <v>Base_With Amendment</v>
      </c>
      <c r="D8411" s="138" t="s">
        <v>130</v>
      </c>
      <c r="E8411" s="138" t="str">
        <f t="shared" si="669"/>
        <v>High</v>
      </c>
      <c r="F8411" s="138" t="str">
        <f t="shared" si="674"/>
        <v>Upgraded</v>
      </c>
      <c r="G8411" s="153"/>
      <c r="H8411" s="210">
        <v>10.863</v>
      </c>
      <c r="I8411" s="160" t="s">
        <v>55</v>
      </c>
      <c r="J8411" s="160">
        <v>1.6000000000000001E-4</v>
      </c>
      <c r="K8411" s="160" t="s">
        <v>26</v>
      </c>
      <c r="L8411" s="154" t="str">
        <f>IF(OpenLCAbasic!K8411="CTUh", "Fill in Manually",IF(OR(K8411="Unit", K8411=""), "", INDEX(LookUps!$E$5:$E$12, MATCH(OpenLCAbasic!K8411,LookUps!$D$5:$D$12,0))))</f>
        <v>Water Use (WU) - m3 H2O</v>
      </c>
      <c r="M8411" s="154" t="str">
        <f t="shared" si="671"/>
        <v>High_Base_Upgraded_Water Use (WU) - m3 H2O_Aeration Tanks; wastewater treatment unit; at updated plant - US_Base_With Amendment_Aerated Static Pile</v>
      </c>
    </row>
    <row r="8412" spans="1:13" s="120" customFormat="1" x14ac:dyDescent="0.25">
      <c r="A8412" s="119"/>
      <c r="B8412" s="138" t="str">
        <f t="shared" si="673"/>
        <v>Aerated Static Pile</v>
      </c>
      <c r="C8412" s="138" t="str">
        <f t="shared" si="672"/>
        <v>Base_With Amendment</v>
      </c>
      <c r="D8412" s="138" t="s">
        <v>130</v>
      </c>
      <c r="E8412" s="138" t="str">
        <f t="shared" si="669"/>
        <v>High</v>
      </c>
      <c r="F8412" s="138" t="str">
        <f t="shared" si="674"/>
        <v>Upgraded</v>
      </c>
      <c r="G8412" s="153"/>
      <c r="H8412" s="210">
        <v>9.8953000000000007</v>
      </c>
      <c r="I8412" s="160" t="s">
        <v>148</v>
      </c>
      <c r="J8412" s="160">
        <v>1.4999999999999999E-4</v>
      </c>
      <c r="K8412" s="160" t="s">
        <v>26</v>
      </c>
      <c r="L8412" s="154" t="str">
        <f>IF(OpenLCAbasic!K8412="CTUh", "Fill in Manually",IF(OR(K8412="Unit", K8412=""), "", INDEX(LookUps!$E$5:$E$12, MATCH(OpenLCAbasic!K8412,LookUps!$D$5:$D$12,0))))</f>
        <v>Water Use (WU) - m3 H2O</v>
      </c>
      <c r="M8412" s="154" t="str">
        <f t="shared" si="671"/>
        <v>High_Base_Upgraded_Water Use (WU) - m3 H2O_Control Building; at upgraded wastewater treatment plant - US_Base_With Amendment_Aerated Static Pile</v>
      </c>
    </row>
    <row r="8413" spans="1:13" s="120" customFormat="1" x14ac:dyDescent="0.25">
      <c r="A8413" s="119"/>
      <c r="B8413" s="138" t="str">
        <f t="shared" si="673"/>
        <v>Aerated Static Pile</v>
      </c>
      <c r="C8413" s="138" t="str">
        <f t="shared" si="672"/>
        <v>Base_With Amendment</v>
      </c>
      <c r="D8413" s="138" t="s">
        <v>130</v>
      </c>
      <c r="E8413" s="138" t="str">
        <f t="shared" si="669"/>
        <v>High</v>
      </c>
      <c r="F8413" s="138" t="str">
        <f t="shared" si="674"/>
        <v>Upgraded</v>
      </c>
      <c r="G8413" s="153"/>
      <c r="H8413" s="210">
        <v>4.5951000000000004</v>
      </c>
      <c r="I8413" s="160" t="s">
        <v>48</v>
      </c>
      <c r="J8413" s="211">
        <v>6.8836400000000004E-5</v>
      </c>
      <c r="K8413" s="160" t="s">
        <v>26</v>
      </c>
      <c r="L8413" s="154" t="str">
        <f>IF(OpenLCAbasic!K8413="CTUh", "Fill in Manually",IF(OR(K8413="Unit", K8413=""), "", INDEX(LookUps!$E$5:$E$12, MATCH(OpenLCAbasic!K8413,LookUps!$D$5:$D$12,0))))</f>
        <v>Water Use (WU) - m3 H2O</v>
      </c>
      <c r="M8413" s="154" t="str">
        <f t="shared" si="671"/>
        <v>High_Base_Upgraded_Water Use (WU) - m3 H2O_Effluent release; wastewater treatment unit; at surface water; m3 wastewater - US_Base_With Amendment_Aerated Static Pile</v>
      </c>
    </row>
    <row r="8414" spans="1:13" s="120" customFormat="1" x14ac:dyDescent="0.25">
      <c r="A8414" s="119"/>
      <c r="B8414" s="138" t="str">
        <f t="shared" si="673"/>
        <v>Aerated Static Pile</v>
      </c>
      <c r="C8414" s="138" t="str">
        <f t="shared" si="672"/>
        <v>Base_With Amendment</v>
      </c>
      <c r="D8414" s="138" t="s">
        <v>130</v>
      </c>
      <c r="E8414" s="138" t="str">
        <f t="shared" si="669"/>
        <v>High</v>
      </c>
      <c r="F8414" s="138" t="str">
        <f t="shared" si="674"/>
        <v>Upgraded</v>
      </c>
      <c r="G8414" s="153"/>
      <c r="H8414" s="210">
        <v>2.8833000000000002</v>
      </c>
      <c r="I8414" s="160" t="s">
        <v>58</v>
      </c>
      <c r="J8414" s="211">
        <v>4.3192100000000003E-5</v>
      </c>
      <c r="K8414" s="160" t="s">
        <v>26</v>
      </c>
      <c r="L8414" s="154" t="str">
        <f>IF(OpenLCAbasic!K8414="CTUh", "Fill in Manually",IF(OR(K8414="Unit", K8414=""), "", INDEX(LookUps!$E$5:$E$12, MATCH(OpenLCAbasic!K8414,LookUps!$D$5:$D$12,0))))</f>
        <v>Water Use (WU) - m3 H2O</v>
      </c>
      <c r="M8414" s="154" t="str">
        <f t="shared" si="671"/>
        <v>High_Base_Upgraded_Water Use (WU) - m3 H2O_Pre-Anoxic &amp; Swing tank; wastewater treatment unit; at updated plant - US_Base_With Amendment_Aerated Static Pile</v>
      </c>
    </row>
    <row r="8415" spans="1:13" s="120" customFormat="1" x14ac:dyDescent="0.25">
      <c r="A8415" s="119"/>
      <c r="B8415" s="138" t="str">
        <f t="shared" si="673"/>
        <v>Aerated Static Pile</v>
      </c>
      <c r="C8415" s="138" t="str">
        <f t="shared" si="672"/>
        <v>Base_With Amendment</v>
      </c>
      <c r="D8415" s="138" t="s">
        <v>130</v>
      </c>
      <c r="E8415" s="138" t="str">
        <f t="shared" si="669"/>
        <v>High</v>
      </c>
      <c r="F8415" s="138" t="str">
        <f t="shared" si="674"/>
        <v>Upgraded</v>
      </c>
      <c r="G8415" s="153"/>
      <c r="H8415" s="210">
        <v>2.0299</v>
      </c>
      <c r="I8415" s="160" t="s">
        <v>57</v>
      </c>
      <c r="J8415" s="211">
        <v>3.0408100000000001E-5</v>
      </c>
      <c r="K8415" s="160" t="s">
        <v>26</v>
      </c>
      <c r="L8415" s="154" t="str">
        <f>IF(OpenLCAbasic!K8415="CTUh", "Fill in Manually",IF(OR(K8415="Unit", K8415=""), "", INDEX(LookUps!$E$5:$E$12, MATCH(OpenLCAbasic!K8415,LookUps!$D$5:$D$12,0))))</f>
        <v>Water Use (WU) - m3 H2O</v>
      </c>
      <c r="M8415" s="154" t="str">
        <f t="shared" si="671"/>
        <v>High_Base_Upgraded_Water Use (WU) - m3 H2O_Gravity Belt Thickener; wastewater treatment unit; at updated plant - US_Base_With Amendment_Aerated Static Pile</v>
      </c>
    </row>
    <row r="8416" spans="1:13" s="120" customFormat="1" x14ac:dyDescent="0.25">
      <c r="A8416" s="119"/>
      <c r="B8416" s="138" t="str">
        <f t="shared" si="673"/>
        <v>Aerated Static Pile</v>
      </c>
      <c r="C8416" s="138" t="str">
        <f t="shared" si="672"/>
        <v>Base_With Amendment</v>
      </c>
      <c r="D8416" s="138" t="s">
        <v>130</v>
      </c>
      <c r="E8416" s="138" t="str">
        <f t="shared" si="669"/>
        <v>High</v>
      </c>
      <c r="F8416" s="138" t="str">
        <f t="shared" si="674"/>
        <v>Upgraded</v>
      </c>
      <c r="G8416" s="153"/>
      <c r="H8416" s="210">
        <v>1.4646999999999999</v>
      </c>
      <c r="I8416" s="160" t="s">
        <v>60</v>
      </c>
      <c r="J8416" s="211">
        <v>2.1941099999999999E-5</v>
      </c>
      <c r="K8416" s="160" t="s">
        <v>26</v>
      </c>
      <c r="L8416" s="154" t="str">
        <f>IF(OpenLCAbasic!K8416="CTUh", "Fill in Manually",IF(OR(K8416="Unit", K8416=""), "", INDEX(LookUps!$E$5:$E$12, MATCH(OpenLCAbasic!K8416,LookUps!$D$5:$D$12,0))))</f>
        <v>Water Use (WU) - m3 H2O</v>
      </c>
      <c r="M8416" s="154" t="str">
        <f t="shared" si="671"/>
        <v>High_Base_Upgraded_Water Use (WU) - m3 H2O_Belt filter press; wastewater treatment unit; at updated plant - US_Base_With Amendment_Aerated Static Pile</v>
      </c>
    </row>
    <row r="8417" spans="1:13" s="120" customFormat="1" x14ac:dyDescent="0.25">
      <c r="A8417" s="119"/>
      <c r="B8417" s="138" t="str">
        <f t="shared" si="673"/>
        <v>Aerated Static Pile</v>
      </c>
      <c r="C8417" s="138" t="str">
        <f t="shared" si="672"/>
        <v>Base_With Amendment</v>
      </c>
      <c r="D8417" s="138" t="s">
        <v>130</v>
      </c>
      <c r="E8417" s="138" t="str">
        <f t="shared" ref="E8417:E8423" si="675">IF(ISNUMBER($J8417),"High","")</f>
        <v>High</v>
      </c>
      <c r="F8417" s="138" t="str">
        <f t="shared" si="674"/>
        <v>Upgraded</v>
      </c>
      <c r="G8417" s="153"/>
      <c r="H8417" s="210">
        <v>1.3067</v>
      </c>
      <c r="I8417" s="160" t="s">
        <v>435</v>
      </c>
      <c r="J8417" s="211">
        <v>1.95743E-5</v>
      </c>
      <c r="K8417" s="160" t="s">
        <v>26</v>
      </c>
      <c r="L8417" s="154" t="str">
        <f>IF(OpenLCAbasic!K8417="CTUh", "Fill in Manually",IF(OR(K8417="Unit", K8417=""), "", INDEX(LookUps!$E$5:$E$12, MATCH(OpenLCAbasic!K8417,LookUps!$D$5:$D$12,0))))</f>
        <v>Water Use (WU) - m3 H2O</v>
      </c>
      <c r="M8417" s="154" t="str">
        <f t="shared" si="671"/>
        <v>High_Base_Upgraded_Water Use (WU) - m3 H2O_Biosolids composting; aerated static pile; wastewater treatment unit; at updated plant - US_Base_With Amendment_Aerated Static Pile</v>
      </c>
    </row>
    <row r="8418" spans="1:13" s="120" customFormat="1" x14ac:dyDescent="0.25">
      <c r="A8418" s="119"/>
      <c r="B8418" s="138" t="str">
        <f t="shared" si="673"/>
        <v>Aerated Static Pile</v>
      </c>
      <c r="C8418" s="138" t="str">
        <f t="shared" si="672"/>
        <v>Base_With Amendment</v>
      </c>
      <c r="D8418" s="138" t="s">
        <v>130</v>
      </c>
      <c r="E8418" s="138" t="str">
        <f t="shared" si="675"/>
        <v>High</v>
      </c>
      <c r="F8418" s="138" t="str">
        <f t="shared" si="674"/>
        <v>Upgraded</v>
      </c>
      <c r="G8418" s="153"/>
      <c r="H8418" s="210">
        <v>1.1687000000000001</v>
      </c>
      <c r="I8418" s="160" t="s">
        <v>53</v>
      </c>
      <c r="J8418" s="211">
        <v>1.75069E-5</v>
      </c>
      <c r="K8418" s="160" t="s">
        <v>26</v>
      </c>
      <c r="L8418" s="154" t="str">
        <f>IF(OpenLCAbasic!K8418="CTUh", "Fill in Manually",IF(OR(K8418="Unit", K8418=""), "", INDEX(LookUps!$E$5:$E$12, MATCH(OpenLCAbasic!K8418,LookUps!$D$5:$D$12,0))))</f>
        <v>Water Use (WU) - m3 H2O</v>
      </c>
      <c r="M8418" s="154" t="str">
        <f t="shared" si="671"/>
        <v>High_Base_Upgraded_Water Use (WU) - m3 H2O_Wet Well and Sump Station; wastewater treatment unit; at updated plant - US_Base_With Amendment_Aerated Static Pile</v>
      </c>
    </row>
    <row r="8419" spans="1:13" s="120" customFormat="1" x14ac:dyDescent="0.25">
      <c r="A8419" s="119"/>
      <c r="B8419" s="138" t="str">
        <f t="shared" si="673"/>
        <v>Aerated Static Pile</v>
      </c>
      <c r="C8419" s="138" t="str">
        <f t="shared" si="672"/>
        <v>Base_With Amendment</v>
      </c>
      <c r="D8419" s="138" t="s">
        <v>130</v>
      </c>
      <c r="E8419" s="138" t="str">
        <f t="shared" si="675"/>
        <v>High</v>
      </c>
      <c r="F8419" s="138" t="str">
        <f t="shared" si="674"/>
        <v>Upgraded</v>
      </c>
      <c r="G8419" s="153"/>
      <c r="H8419" s="210">
        <v>0.80800000000000005</v>
      </c>
      <c r="I8419" s="160" t="s">
        <v>149</v>
      </c>
      <c r="J8419" s="211">
        <v>1.21043E-5</v>
      </c>
      <c r="K8419" s="160" t="s">
        <v>26</v>
      </c>
      <c r="L8419" s="154" t="str">
        <f>IF(OpenLCAbasic!K8419="CTUh", "Fill in Manually",IF(OR(K8419="Unit", K8419=""), "", INDEX(LookUps!$E$5:$E$12, MATCH(OpenLCAbasic!K8419,LookUps!$D$5:$D$12,0))))</f>
        <v>Water Use (WU) - m3 H2O</v>
      </c>
      <c r="M8419" s="154" t="str">
        <f t="shared" si="671"/>
        <v>High_Base_Upgraded_Water Use (WU) - m3 H2O_Anaerobic Digestion; wastewater treatment unit; at updated plant - US_Base_With Amendment_Aerated Static Pile</v>
      </c>
    </row>
    <row r="8420" spans="1:13" s="120" customFormat="1" x14ac:dyDescent="0.25">
      <c r="A8420" s="119"/>
      <c r="B8420" s="138" t="str">
        <f t="shared" si="673"/>
        <v>Aerated Static Pile</v>
      </c>
      <c r="C8420" s="138" t="str">
        <f t="shared" si="672"/>
        <v>Base_With Amendment</v>
      </c>
      <c r="D8420" s="138" t="s">
        <v>130</v>
      </c>
      <c r="E8420" s="138" t="str">
        <f t="shared" si="675"/>
        <v>High</v>
      </c>
      <c r="F8420" s="138" t="str">
        <f t="shared" si="674"/>
        <v>Upgraded</v>
      </c>
      <c r="G8420" s="153"/>
      <c r="H8420" s="210">
        <v>0.46850000000000003</v>
      </c>
      <c r="I8420" s="160" t="s">
        <v>59</v>
      </c>
      <c r="J8420" s="211">
        <v>7.0179500000000003E-6</v>
      </c>
      <c r="K8420" s="160" t="s">
        <v>26</v>
      </c>
      <c r="L8420" s="154" t="str">
        <f>IF(OpenLCAbasic!K8420="CTUh", "Fill in Manually",IF(OR(K8420="Unit", K8420=""), "", INDEX(LookUps!$E$5:$E$12, MATCH(OpenLCAbasic!K8420,LookUps!$D$5:$D$12,0))))</f>
        <v>Water Use (WU) - m3 H2O</v>
      </c>
      <c r="M8420" s="154" t="str">
        <f t="shared" si="671"/>
        <v>High_Base_Upgraded_Water Use (WU) - m3 H2O_Blend Tank; wastewater treatment unit; at updated plant - US_Base_With Amendment_Aerated Static Pile</v>
      </c>
    </row>
    <row r="8421" spans="1:13" s="120" customFormat="1" x14ac:dyDescent="0.25">
      <c r="A8421" s="119"/>
      <c r="B8421" s="138" t="str">
        <f t="shared" si="673"/>
        <v>Aerated Static Pile</v>
      </c>
      <c r="C8421" s="138" t="str">
        <f t="shared" si="672"/>
        <v>Base_With Amendment</v>
      </c>
      <c r="D8421" s="138" t="s">
        <v>130</v>
      </c>
      <c r="E8421" s="138" t="str">
        <f t="shared" si="675"/>
        <v>High</v>
      </c>
      <c r="F8421" s="138" t="str">
        <f t="shared" si="674"/>
        <v>Upgraded</v>
      </c>
      <c r="G8421" s="153"/>
      <c r="H8421" s="210">
        <v>0.33779999999999999</v>
      </c>
      <c r="I8421" s="160" t="s">
        <v>128</v>
      </c>
      <c r="J8421" s="211">
        <v>5.0608900000000003E-6</v>
      </c>
      <c r="K8421" s="160" t="s">
        <v>26</v>
      </c>
      <c r="L8421" s="154" t="str">
        <f>IF(OpenLCAbasic!K8421="CTUh", "Fill in Manually",IF(OR(K8421="Unit", K8421=""), "", INDEX(LookUps!$E$5:$E$12, MATCH(OpenLCAbasic!K8421,LookUps!$D$5:$D$12,0))))</f>
        <v>Water Use (WU) - m3 H2O</v>
      </c>
      <c r="M8421" s="154" t="str">
        <f t="shared" si="671"/>
        <v>High_Base_Upgraded_Water Use (WU) - m3 H2O_Wastewater collection; operation and infrastructure; m3 wastewater_Base_With Amendment_Aerated Static Pile</v>
      </c>
    </row>
    <row r="8422" spans="1:13" s="120" customFormat="1" x14ac:dyDescent="0.25">
      <c r="A8422" s="119"/>
      <c r="B8422" s="138" t="str">
        <f t="shared" si="673"/>
        <v>Aerated Static Pile</v>
      </c>
      <c r="C8422" s="138" t="str">
        <f t="shared" si="672"/>
        <v>Base_With Amendment</v>
      </c>
      <c r="D8422" s="138" t="s">
        <v>130</v>
      </c>
      <c r="E8422" s="138" t="str">
        <f t="shared" si="675"/>
        <v>High</v>
      </c>
      <c r="F8422" s="138" t="str">
        <f t="shared" si="674"/>
        <v>Upgraded</v>
      </c>
      <c r="G8422" s="153"/>
      <c r="H8422" s="210">
        <v>5.1200000000000002E-2</v>
      </c>
      <c r="I8422" s="160" t="s">
        <v>168</v>
      </c>
      <c r="J8422" s="211">
        <v>7.6697000000000004E-7</v>
      </c>
      <c r="K8422" s="160" t="s">
        <v>26</v>
      </c>
      <c r="L8422" s="154" t="str">
        <f>IF(OpenLCAbasic!K8422="CTUh", "Fill in Manually",IF(OR(K8422="Unit", K8422=""), "", INDEX(LookUps!$E$5:$E$12, MATCH(OpenLCAbasic!K8422,LookUps!$D$5:$D$12,0))))</f>
        <v>Water Use (WU) - m3 H2O</v>
      </c>
      <c r="M8422" s="154" t="str">
        <f t="shared" si="671"/>
        <v>High_Base_Upgraded_Water Use (WU) - m3 H2O_ClearCove SCP; wastewater treatment unit; at updated plant - US_Base_With Amendment_Aerated Static Pile</v>
      </c>
    </row>
    <row r="8423" spans="1:13" s="120" customFormat="1" x14ac:dyDescent="0.25">
      <c r="A8423" s="119"/>
      <c r="B8423" s="138" t="str">
        <f t="shared" si="673"/>
        <v>Aerated Static Pile</v>
      </c>
      <c r="C8423" s="138" t="str">
        <f t="shared" si="672"/>
        <v>Base_With Amendment</v>
      </c>
      <c r="D8423" s="138" t="s">
        <v>130</v>
      </c>
      <c r="E8423" s="138" t="str">
        <f t="shared" si="675"/>
        <v>High</v>
      </c>
      <c r="F8423" s="138" t="str">
        <f t="shared" si="674"/>
        <v>Upgraded</v>
      </c>
      <c r="G8423" s="153"/>
      <c r="H8423" s="210">
        <v>-76.629199999999997</v>
      </c>
      <c r="I8423" s="160" t="s">
        <v>62</v>
      </c>
      <c r="J8423" s="160">
        <v>-1.15E-3</v>
      </c>
      <c r="K8423" s="160" t="s">
        <v>26</v>
      </c>
      <c r="L8423" s="154" t="str">
        <f>IF(OpenLCAbasic!K8423="CTUh", "Fill in Manually",IF(OR(K8423="Unit", K8423=""), "", INDEX(LookUps!$E$5:$E$12, MATCH(OpenLCAbasic!K8423,LookUps!$D$5:$D$12,0))))</f>
        <v>Water Use (WU) - m3 H2O</v>
      </c>
      <c r="M8423" s="154" t="str">
        <f t="shared" si="671"/>
        <v>High_Base_Upgraded_Water Use (WU) - m3 H2O_Land application of compost; wastewater treatment unit; at updated plant - US_Base_With Amendment_Aerated Static Pile</v>
      </c>
    </row>
    <row r="8424" spans="1:13" s="120" customFormat="1" x14ac:dyDescent="0.25">
      <c r="A8424" s="119"/>
      <c r="B8424" s="138" t="str">
        <f t="shared" si="673"/>
        <v/>
      </c>
      <c r="C8424" s="138" t="str">
        <f>IF(ISNUMBER($J8424),"Without Amendment","")</f>
        <v/>
      </c>
      <c r="D8424" s="138" t="str">
        <f t="shared" ref="D8424:D8458" si="676">IF(ISNUMBER($J8424),"Base_Base","")</f>
        <v/>
      </c>
      <c r="E8424" s="138" t="str">
        <f>IF(ISNUMBER($J8424),"Base","")</f>
        <v/>
      </c>
      <c r="F8424" s="138" t="str">
        <f t="shared" si="674"/>
        <v/>
      </c>
      <c r="G8424" s="153" t="s">
        <v>51</v>
      </c>
      <c r="H8424" s="160"/>
      <c r="I8424" s="160" t="s">
        <v>47</v>
      </c>
      <c r="J8424" s="160" t="s">
        <v>52</v>
      </c>
      <c r="K8424" s="160" t="s">
        <v>27</v>
      </c>
      <c r="L8424" s="154" t="str">
        <f>IF(OpenLCAbasic!K8424="CTUh", "Fill in Manually",IF(OR(K8424="Unit", K8424=""), "", INDEX(LookUps!$E$5:$E$12, MATCH(OpenLCAbasic!K8424,LookUps!$D$5:$D$12,0))))</f>
        <v/>
      </c>
      <c r="M8424" s="154" t="str">
        <f t="shared" si="671"/>
        <v>____Process__</v>
      </c>
    </row>
    <row r="8425" spans="1:13" s="120" customFormat="1" x14ac:dyDescent="0.25">
      <c r="A8425" s="119"/>
      <c r="B8425" s="138" t="str">
        <f t="shared" ref="B8425:B8488" si="677">IF(F8425="Legacy","n.a.",IF(F8425="","","Aerated Static Pile"))</f>
        <v>Aerated Static Pile</v>
      </c>
      <c r="C8425" s="138" t="str">
        <f t="shared" ref="C8425:C8488" si="678">IF(ISNUMBER($J8425),"Without Amendment","")</f>
        <v>Without Amendment</v>
      </c>
      <c r="D8425" s="138" t="s">
        <v>130</v>
      </c>
      <c r="E8425" s="138" t="str">
        <f t="shared" ref="E8425:E8488" si="679">IF(ISNUMBER($J8425),"Base","")</f>
        <v>Base</v>
      </c>
      <c r="F8425" s="138" t="str">
        <f t="shared" ref="F8425:F8488" si="680">IF(ISNUMBER(J8425),"Upgraded","")</f>
        <v>Upgraded</v>
      </c>
      <c r="G8425" s="153"/>
      <c r="H8425" s="210">
        <v>0.48599999999999999</v>
      </c>
      <c r="I8425" s="160" t="s">
        <v>55</v>
      </c>
      <c r="J8425" s="160">
        <v>1.7219999999999999E-2</v>
      </c>
      <c r="K8425" s="160" t="s">
        <v>24</v>
      </c>
      <c r="L8425" s="154" t="str">
        <f>IF(OpenLCAbasic!K8425="CTUh", "Fill in Manually",IF(OR(K8425="Unit", K8425=""), "", INDEX(LookUps!$E$5:$E$12, MATCH(OpenLCAbasic!K8425,LookUps!$D$5:$D$12,0))))</f>
        <v>Acidification Potential (AP) - kg SO2 eq</v>
      </c>
      <c r="M8425" s="154" t="str">
        <f t="shared" si="671"/>
        <v>Base_Base_Upgraded_Acidification Potential (AP) - kg SO2 eq_Aeration Tanks; wastewater treatment unit; at updated plant - US_Without Amendment_Aerated Static Pile</v>
      </c>
    </row>
    <row r="8426" spans="1:13" s="120" customFormat="1" x14ac:dyDescent="0.25">
      <c r="A8426" s="119"/>
      <c r="B8426" s="138" t="str">
        <f t="shared" si="677"/>
        <v>Aerated Static Pile</v>
      </c>
      <c r="C8426" s="138" t="str">
        <f t="shared" si="678"/>
        <v>Without Amendment</v>
      </c>
      <c r="D8426" s="138" t="s">
        <v>130</v>
      </c>
      <c r="E8426" s="138" t="str">
        <f t="shared" si="679"/>
        <v>Base</v>
      </c>
      <c r="F8426" s="138" t="str">
        <f t="shared" si="680"/>
        <v>Upgraded</v>
      </c>
      <c r="G8426" s="153"/>
      <c r="H8426" s="210">
        <v>0.1406</v>
      </c>
      <c r="I8426" s="160" t="s">
        <v>54</v>
      </c>
      <c r="J8426" s="160">
        <v>4.9800000000000001E-3</v>
      </c>
      <c r="K8426" s="160" t="s">
        <v>24</v>
      </c>
      <c r="L8426" s="154" t="str">
        <f>IF(OpenLCAbasic!K8426="CTUh", "Fill in Manually",IF(OR(K8426="Unit", K8426=""), "", INDEX(LookUps!$E$5:$E$12, MATCH(OpenLCAbasic!K8426,LookUps!$D$5:$D$12,0))))</f>
        <v>Acidification Potential (AP) - kg SO2 eq</v>
      </c>
      <c r="M8426" s="154" t="str">
        <f t="shared" si="671"/>
        <v>Base_Base_Upgraded_Acidification Potential (AP) - kg SO2 eq_Clear Cove Primary Clarification; wastewater treatment unit; at updated plant - US_Without Amendment_Aerated Static Pile</v>
      </c>
    </row>
    <row r="8427" spans="1:13" s="120" customFormat="1" x14ac:dyDescent="0.25">
      <c r="A8427" s="119"/>
      <c r="B8427" s="138" t="str">
        <f t="shared" si="677"/>
        <v>Aerated Static Pile</v>
      </c>
      <c r="C8427" s="138" t="str">
        <f t="shared" si="678"/>
        <v>Without Amendment</v>
      </c>
      <c r="D8427" s="138" t="s">
        <v>130</v>
      </c>
      <c r="E8427" s="138" t="str">
        <f t="shared" si="679"/>
        <v>Base</v>
      </c>
      <c r="F8427" s="138" t="str">
        <f t="shared" si="680"/>
        <v>Upgraded</v>
      </c>
      <c r="G8427" s="153"/>
      <c r="H8427" s="210">
        <v>0.12230000000000001</v>
      </c>
      <c r="I8427" s="160" t="s">
        <v>58</v>
      </c>
      <c r="J8427" s="160">
        <v>4.3299999999999996E-3</v>
      </c>
      <c r="K8427" s="160" t="s">
        <v>24</v>
      </c>
      <c r="L8427" s="154" t="str">
        <f>IF(OpenLCAbasic!K8427="CTUh", "Fill in Manually",IF(OR(K8427="Unit", K8427=""), "", INDEX(LookUps!$E$5:$E$12, MATCH(OpenLCAbasic!K8427,LookUps!$D$5:$D$12,0))))</f>
        <v>Acidification Potential (AP) - kg SO2 eq</v>
      </c>
      <c r="M8427" s="154" t="str">
        <f t="shared" si="671"/>
        <v>Base_Base_Upgraded_Acidification Potential (AP) - kg SO2 eq_Pre-Anoxic &amp; Swing tank; wastewater treatment unit; at updated plant - US_Without Amendment_Aerated Static Pile</v>
      </c>
    </row>
    <row r="8428" spans="1:13" s="120" customFormat="1" x14ac:dyDescent="0.25">
      <c r="A8428" s="119"/>
      <c r="B8428" s="138" t="str">
        <f t="shared" si="677"/>
        <v>Aerated Static Pile</v>
      </c>
      <c r="C8428" s="138" t="str">
        <f t="shared" si="678"/>
        <v>Without Amendment</v>
      </c>
      <c r="D8428" s="138" t="s">
        <v>130</v>
      </c>
      <c r="E8428" s="138" t="str">
        <f t="shared" si="679"/>
        <v>Base</v>
      </c>
      <c r="F8428" s="138" t="str">
        <f t="shared" si="680"/>
        <v>Upgraded</v>
      </c>
      <c r="G8428" s="153"/>
      <c r="H8428" s="210">
        <v>9.74E-2</v>
      </c>
      <c r="I8428" s="160" t="s">
        <v>53</v>
      </c>
      <c r="J8428" s="160">
        <v>3.4499999999999999E-3</v>
      </c>
      <c r="K8428" s="160" t="s">
        <v>24</v>
      </c>
      <c r="L8428" s="154" t="str">
        <f>IF(OpenLCAbasic!K8428="CTUh", "Fill in Manually",IF(OR(K8428="Unit", K8428=""), "", INDEX(LookUps!$E$5:$E$12, MATCH(OpenLCAbasic!K8428,LookUps!$D$5:$D$12,0))))</f>
        <v>Acidification Potential (AP) - kg SO2 eq</v>
      </c>
      <c r="M8428" s="154" t="str">
        <f t="shared" si="671"/>
        <v>Base_Base_Upgraded_Acidification Potential (AP) - kg SO2 eq_Wet Well and Sump Station; wastewater treatment unit; at updated plant - US_Without Amendment_Aerated Static Pile</v>
      </c>
    </row>
    <row r="8429" spans="1:13" s="120" customFormat="1" x14ac:dyDescent="0.25">
      <c r="A8429" s="119"/>
      <c r="B8429" s="138" t="str">
        <f t="shared" si="677"/>
        <v>Aerated Static Pile</v>
      </c>
      <c r="C8429" s="138" t="str">
        <f t="shared" si="678"/>
        <v>Without Amendment</v>
      </c>
      <c r="D8429" s="138" t="s">
        <v>130</v>
      </c>
      <c r="E8429" s="138" t="str">
        <f t="shared" si="679"/>
        <v>Base</v>
      </c>
      <c r="F8429" s="138" t="str">
        <f t="shared" si="680"/>
        <v>Upgraded</v>
      </c>
      <c r="G8429" s="153"/>
      <c r="H8429" s="210">
        <v>6.7000000000000004E-2</v>
      </c>
      <c r="I8429" s="160" t="s">
        <v>167</v>
      </c>
      <c r="J8429" s="160">
        <v>2.3800000000000002E-3</v>
      </c>
      <c r="K8429" s="160" t="s">
        <v>24</v>
      </c>
      <c r="L8429" s="154" t="str">
        <f>IF(OpenLCAbasic!K8429="CTUh", "Fill in Manually",IF(OR(K8429="Unit", K8429=""), "", INDEX(LookUps!$E$5:$E$12, MATCH(OpenLCAbasic!K8429,LookUps!$D$5:$D$12,0))))</f>
        <v>Acidification Potential (AP) - kg SO2 eq</v>
      </c>
      <c r="M8429" s="154" t="str">
        <f t="shared" si="671"/>
        <v>Base_Base_Upgraded_Acidification Potential (AP) - kg SO2 eq_Waste Receiving and Holding; wastewater treatment unit; at updated plant - US_Without Amendment_Aerated Static Pile</v>
      </c>
    </row>
    <row r="8430" spans="1:13" s="120" customFormat="1" x14ac:dyDescent="0.25">
      <c r="A8430" s="119"/>
      <c r="B8430" s="138" t="str">
        <f t="shared" si="677"/>
        <v>Aerated Static Pile</v>
      </c>
      <c r="C8430" s="138" t="str">
        <f t="shared" si="678"/>
        <v>Without Amendment</v>
      </c>
      <c r="D8430" s="138" t="s">
        <v>130</v>
      </c>
      <c r="E8430" s="138" t="str">
        <f t="shared" si="679"/>
        <v>Base</v>
      </c>
      <c r="F8430" s="138" t="str">
        <f t="shared" si="680"/>
        <v>Upgraded</v>
      </c>
      <c r="G8430" s="153"/>
      <c r="H8430" s="210">
        <v>5.8400000000000001E-2</v>
      </c>
      <c r="I8430" s="160" t="s">
        <v>147</v>
      </c>
      <c r="J8430" s="160">
        <v>2.0699999999999998E-3</v>
      </c>
      <c r="K8430" s="160" t="s">
        <v>24</v>
      </c>
      <c r="L8430" s="154" t="str">
        <f>IF(OpenLCAbasic!K8430="CTUh", "Fill in Manually",IF(OR(K8430="Unit", K8430=""), "", INDEX(LookUps!$E$5:$E$12, MATCH(OpenLCAbasic!K8430,LookUps!$D$5:$D$12,0))))</f>
        <v>Acidification Potential (AP) - kg SO2 eq</v>
      </c>
      <c r="M8430" s="154" t="str">
        <f t="shared" si="671"/>
        <v>Base_Base_Upgraded_Acidification Potential (AP) - kg SO2 eq_Influent Pump Station; wastewater treatment unit; at updated plant - US_Without Amendment_Aerated Static Pile</v>
      </c>
    </row>
    <row r="8431" spans="1:13" s="120" customFormat="1" x14ac:dyDescent="0.25">
      <c r="A8431" s="119"/>
      <c r="B8431" s="138" t="str">
        <f t="shared" si="677"/>
        <v>Aerated Static Pile</v>
      </c>
      <c r="C8431" s="138" t="str">
        <f t="shared" si="678"/>
        <v>Without Amendment</v>
      </c>
      <c r="D8431" s="138" t="s">
        <v>130</v>
      </c>
      <c r="E8431" s="138" t="str">
        <f t="shared" si="679"/>
        <v>Base</v>
      </c>
      <c r="F8431" s="138" t="str">
        <f t="shared" si="680"/>
        <v>Upgraded</v>
      </c>
      <c r="G8431" s="153"/>
      <c r="H8431" s="210">
        <v>5.2200000000000003E-2</v>
      </c>
      <c r="I8431" s="160" t="s">
        <v>435</v>
      </c>
      <c r="J8431" s="160">
        <v>1.8500000000000001E-3</v>
      </c>
      <c r="K8431" s="160" t="s">
        <v>24</v>
      </c>
      <c r="L8431" s="154" t="str">
        <f>IF(OpenLCAbasic!K8431="CTUh", "Fill in Manually",IF(OR(K8431="Unit", K8431=""), "", INDEX(LookUps!$E$5:$E$12, MATCH(OpenLCAbasic!K8431,LookUps!$D$5:$D$12,0))))</f>
        <v>Acidification Potential (AP) - kg SO2 eq</v>
      </c>
      <c r="M8431" s="154" t="str">
        <f t="shared" si="671"/>
        <v>Base_Base_Upgraded_Acidification Potential (AP) - kg SO2 eq_Biosolids composting; aerated static pile; wastewater treatment unit; at updated plant - US_Without Amendment_Aerated Static Pile</v>
      </c>
    </row>
    <row r="8432" spans="1:13" s="120" customFormat="1" x14ac:dyDescent="0.25">
      <c r="A8432" s="119"/>
      <c r="B8432" s="138" t="str">
        <f t="shared" si="677"/>
        <v>Aerated Static Pile</v>
      </c>
      <c r="C8432" s="138" t="str">
        <f t="shared" si="678"/>
        <v>Without Amendment</v>
      </c>
      <c r="D8432" s="138" t="s">
        <v>130</v>
      </c>
      <c r="E8432" s="138" t="str">
        <f t="shared" si="679"/>
        <v>Base</v>
      </c>
      <c r="F8432" s="138" t="str">
        <f t="shared" si="680"/>
        <v>Upgraded</v>
      </c>
      <c r="G8432" s="153"/>
      <c r="H8432" s="210">
        <v>4.9000000000000002E-2</v>
      </c>
      <c r="I8432" s="160" t="s">
        <v>62</v>
      </c>
      <c r="J8432" s="160">
        <v>1.74E-3</v>
      </c>
      <c r="K8432" s="160" t="s">
        <v>24</v>
      </c>
      <c r="L8432" s="154" t="str">
        <f>IF(OpenLCAbasic!K8432="CTUh", "Fill in Manually",IF(OR(K8432="Unit", K8432=""), "", INDEX(LookUps!$E$5:$E$12, MATCH(OpenLCAbasic!K8432,LookUps!$D$5:$D$12,0))))</f>
        <v>Acidification Potential (AP) - kg SO2 eq</v>
      </c>
      <c r="M8432" s="154" t="str">
        <f t="shared" si="671"/>
        <v>Base_Base_Upgraded_Acidification Potential (AP) - kg SO2 eq_Land application of compost; wastewater treatment unit; at updated plant - US_Without Amendment_Aerated Static Pile</v>
      </c>
    </row>
    <row r="8433" spans="1:13" s="120" customFormat="1" x14ac:dyDescent="0.25">
      <c r="A8433" s="119"/>
      <c r="B8433" s="138" t="str">
        <f t="shared" si="677"/>
        <v>Aerated Static Pile</v>
      </c>
      <c r="C8433" s="138" t="str">
        <f t="shared" si="678"/>
        <v>Without Amendment</v>
      </c>
      <c r="D8433" s="138" t="s">
        <v>130</v>
      </c>
      <c r="E8433" s="138" t="str">
        <f t="shared" si="679"/>
        <v>Base</v>
      </c>
      <c r="F8433" s="138" t="str">
        <f t="shared" si="680"/>
        <v>Upgraded</v>
      </c>
      <c r="G8433" s="153"/>
      <c r="H8433" s="210">
        <v>3.4799999999999998E-2</v>
      </c>
      <c r="I8433" s="160" t="s">
        <v>128</v>
      </c>
      <c r="J8433" s="160">
        <v>1.23E-3</v>
      </c>
      <c r="K8433" s="160" t="s">
        <v>24</v>
      </c>
      <c r="L8433" s="154" t="str">
        <f>IF(OpenLCAbasic!K8433="CTUh", "Fill in Manually",IF(OR(K8433="Unit", K8433=""), "", INDEX(LookUps!$E$5:$E$12, MATCH(OpenLCAbasic!K8433,LookUps!$D$5:$D$12,0))))</f>
        <v>Acidification Potential (AP) - kg SO2 eq</v>
      </c>
      <c r="M8433" s="154" t="str">
        <f t="shared" si="671"/>
        <v>Base_Base_Upgraded_Acidification Potential (AP) - kg SO2 eq_Wastewater collection; operation and infrastructure; m3 wastewater_Without Amendment_Aerated Static Pile</v>
      </c>
    </row>
    <row r="8434" spans="1:13" s="120" customFormat="1" x14ac:dyDescent="0.25">
      <c r="A8434" s="119"/>
      <c r="B8434" s="138" t="str">
        <f t="shared" si="677"/>
        <v>Aerated Static Pile</v>
      </c>
      <c r="C8434" s="138" t="str">
        <f t="shared" si="678"/>
        <v>Without Amendment</v>
      </c>
      <c r="D8434" s="138" t="s">
        <v>130</v>
      </c>
      <c r="E8434" s="138" t="str">
        <f t="shared" si="679"/>
        <v>Base</v>
      </c>
      <c r="F8434" s="138" t="str">
        <f t="shared" si="680"/>
        <v>Upgraded</v>
      </c>
      <c r="G8434" s="153"/>
      <c r="H8434" s="210">
        <v>2.18E-2</v>
      </c>
      <c r="I8434" s="160" t="s">
        <v>60</v>
      </c>
      <c r="J8434" s="160">
        <v>7.6999999999999996E-4</v>
      </c>
      <c r="K8434" s="160" t="s">
        <v>24</v>
      </c>
      <c r="L8434" s="154" t="str">
        <f>IF(OpenLCAbasic!K8434="CTUh", "Fill in Manually",IF(OR(K8434="Unit", K8434=""), "", INDEX(LookUps!$E$5:$E$12, MATCH(OpenLCAbasic!K8434,LookUps!$D$5:$D$12,0))))</f>
        <v>Acidification Potential (AP) - kg SO2 eq</v>
      </c>
      <c r="M8434" s="154" t="str">
        <f t="shared" si="671"/>
        <v>Base_Base_Upgraded_Acidification Potential (AP) - kg SO2 eq_Belt filter press; wastewater treatment unit; at updated plant - US_Without Amendment_Aerated Static Pile</v>
      </c>
    </row>
    <row r="8435" spans="1:13" s="120" customFormat="1" x14ac:dyDescent="0.25">
      <c r="A8435" s="119"/>
      <c r="B8435" s="138" t="str">
        <f t="shared" si="677"/>
        <v>Aerated Static Pile</v>
      </c>
      <c r="C8435" s="138" t="str">
        <f t="shared" si="678"/>
        <v>Without Amendment</v>
      </c>
      <c r="D8435" s="138" t="s">
        <v>130</v>
      </c>
      <c r="E8435" s="138" t="str">
        <f t="shared" si="679"/>
        <v>Base</v>
      </c>
      <c r="F8435" s="138" t="str">
        <f t="shared" si="680"/>
        <v>Upgraded</v>
      </c>
      <c r="G8435" s="153"/>
      <c r="H8435" s="210">
        <v>1.9900000000000001E-2</v>
      </c>
      <c r="I8435" s="160" t="s">
        <v>57</v>
      </c>
      <c r="J8435" s="160">
        <v>6.9999999999999999E-4</v>
      </c>
      <c r="K8435" s="160" t="s">
        <v>24</v>
      </c>
      <c r="L8435" s="154" t="str">
        <f>IF(OpenLCAbasic!K8435="CTUh", "Fill in Manually",IF(OR(K8435="Unit", K8435=""), "", INDEX(LookUps!$E$5:$E$12, MATCH(OpenLCAbasic!K8435,LookUps!$D$5:$D$12,0))))</f>
        <v>Acidification Potential (AP) - kg SO2 eq</v>
      </c>
      <c r="M8435" s="154" t="str">
        <f t="shared" si="671"/>
        <v>Base_Base_Upgraded_Acidification Potential (AP) - kg SO2 eq_Gravity Belt Thickener; wastewater treatment unit; at updated plant - US_Without Amendment_Aerated Static Pile</v>
      </c>
    </row>
    <row r="8436" spans="1:13" s="120" customFormat="1" x14ac:dyDescent="0.25">
      <c r="A8436" s="119"/>
      <c r="B8436" s="138" t="str">
        <f t="shared" si="677"/>
        <v>Aerated Static Pile</v>
      </c>
      <c r="C8436" s="138" t="str">
        <f t="shared" si="678"/>
        <v>Without Amendment</v>
      </c>
      <c r="D8436" s="138" t="s">
        <v>130</v>
      </c>
      <c r="E8436" s="138" t="str">
        <f t="shared" si="679"/>
        <v>Base</v>
      </c>
      <c r="F8436" s="138" t="str">
        <f t="shared" si="680"/>
        <v>Upgraded</v>
      </c>
      <c r="G8436" s="153"/>
      <c r="H8436" s="210">
        <v>1.46E-2</v>
      </c>
      <c r="I8436" s="160" t="s">
        <v>59</v>
      </c>
      <c r="J8436" s="160">
        <v>5.1999999999999995E-4</v>
      </c>
      <c r="K8436" s="160" t="s">
        <v>24</v>
      </c>
      <c r="L8436" s="154" t="str">
        <f>IF(OpenLCAbasic!K8436="CTUh", "Fill in Manually",IF(OR(K8436="Unit", K8436=""), "", INDEX(LookUps!$E$5:$E$12, MATCH(OpenLCAbasic!K8436,LookUps!$D$5:$D$12,0))))</f>
        <v>Acidification Potential (AP) - kg SO2 eq</v>
      </c>
      <c r="M8436" s="154" t="str">
        <f t="shared" si="671"/>
        <v>Base_Base_Upgraded_Acidification Potential (AP) - kg SO2 eq_Blend Tank; wastewater treatment unit; at updated plant - US_Without Amendment_Aerated Static Pile</v>
      </c>
    </row>
    <row r="8437" spans="1:13" s="120" customFormat="1" x14ac:dyDescent="0.25">
      <c r="A8437" s="119"/>
      <c r="B8437" s="138" t="str">
        <f t="shared" si="677"/>
        <v>Aerated Static Pile</v>
      </c>
      <c r="C8437" s="138" t="str">
        <f t="shared" si="678"/>
        <v>Without Amendment</v>
      </c>
      <c r="D8437" s="138" t="s">
        <v>130</v>
      </c>
      <c r="E8437" s="138" t="str">
        <f t="shared" si="679"/>
        <v>Base</v>
      </c>
      <c r="F8437" s="138" t="str">
        <f t="shared" si="680"/>
        <v>Upgraded</v>
      </c>
      <c r="G8437" s="153"/>
      <c r="H8437" s="210">
        <v>9.7999999999999997E-3</v>
      </c>
      <c r="I8437" s="160" t="s">
        <v>48</v>
      </c>
      <c r="J8437" s="160">
        <v>3.5E-4</v>
      </c>
      <c r="K8437" s="160" t="s">
        <v>24</v>
      </c>
      <c r="L8437" s="154" t="str">
        <f>IF(OpenLCAbasic!K8437="CTUh", "Fill in Manually",IF(OR(K8437="Unit", K8437=""), "", INDEX(LookUps!$E$5:$E$12, MATCH(OpenLCAbasic!K8437,LookUps!$D$5:$D$12,0))))</f>
        <v>Acidification Potential (AP) - kg SO2 eq</v>
      </c>
      <c r="M8437" s="154" t="str">
        <f t="shared" si="671"/>
        <v>Base_Base_Upgraded_Acidification Potential (AP) - kg SO2 eq_Effluent release; wastewater treatment unit; at surface water; m3 wastewater - US_Without Amendment_Aerated Static Pile</v>
      </c>
    </row>
    <row r="8438" spans="1:13" s="120" customFormat="1" x14ac:dyDescent="0.25">
      <c r="A8438" s="119"/>
      <c r="B8438" s="138" t="str">
        <f t="shared" si="677"/>
        <v>Aerated Static Pile</v>
      </c>
      <c r="C8438" s="138" t="str">
        <f t="shared" si="678"/>
        <v>Without Amendment</v>
      </c>
      <c r="D8438" s="138" t="s">
        <v>130</v>
      </c>
      <c r="E8438" s="138" t="str">
        <f t="shared" si="679"/>
        <v>Base</v>
      </c>
      <c r="F8438" s="138" t="str">
        <f t="shared" si="680"/>
        <v>Upgraded</v>
      </c>
      <c r="G8438" s="153"/>
      <c r="H8438" s="210">
        <v>7.1999999999999998E-3</v>
      </c>
      <c r="I8438" s="160" t="s">
        <v>168</v>
      </c>
      <c r="J8438" s="160">
        <v>2.5999999999999998E-4</v>
      </c>
      <c r="K8438" s="160" t="s">
        <v>24</v>
      </c>
      <c r="L8438" s="154" t="str">
        <f>IF(OpenLCAbasic!K8438="CTUh", "Fill in Manually",IF(OR(K8438="Unit", K8438=""), "", INDEX(LookUps!$E$5:$E$12, MATCH(OpenLCAbasic!K8438,LookUps!$D$5:$D$12,0))))</f>
        <v>Acidification Potential (AP) - kg SO2 eq</v>
      </c>
      <c r="M8438" s="154" t="str">
        <f t="shared" si="671"/>
        <v>Base_Base_Upgraded_Acidification Potential (AP) - kg SO2 eq_ClearCove SCP; wastewater treatment unit; at updated plant - US_Without Amendment_Aerated Static Pile</v>
      </c>
    </row>
    <row r="8439" spans="1:13" s="120" customFormat="1" x14ac:dyDescent="0.25">
      <c r="A8439" s="119"/>
      <c r="B8439" s="138" t="str">
        <f t="shared" si="677"/>
        <v>Aerated Static Pile</v>
      </c>
      <c r="C8439" s="138" t="str">
        <f t="shared" si="678"/>
        <v>Without Amendment</v>
      </c>
      <c r="D8439" s="138" t="s">
        <v>130</v>
      </c>
      <c r="E8439" s="138" t="str">
        <f t="shared" si="679"/>
        <v>Base</v>
      </c>
      <c r="F8439" s="138" t="str">
        <f t="shared" si="680"/>
        <v>Upgraded</v>
      </c>
      <c r="G8439" s="153"/>
      <c r="H8439" s="210">
        <v>1.1000000000000001E-3</v>
      </c>
      <c r="I8439" s="160" t="s">
        <v>148</v>
      </c>
      <c r="J8439" s="211">
        <v>4.0354700000000002E-5</v>
      </c>
      <c r="K8439" s="160" t="s">
        <v>24</v>
      </c>
      <c r="L8439" s="154" t="str">
        <f>IF(OpenLCAbasic!K8439="CTUh", "Fill in Manually",IF(OR(K8439="Unit", K8439=""), "", INDEX(LookUps!$E$5:$E$12, MATCH(OpenLCAbasic!K8439,LookUps!$D$5:$D$12,0))))</f>
        <v>Acidification Potential (AP) - kg SO2 eq</v>
      </c>
      <c r="M8439" s="154" t="str">
        <f t="shared" si="671"/>
        <v>Base_Base_Upgraded_Acidification Potential (AP) - kg SO2 eq_Control Building; at upgraded wastewater treatment plant - US_Without Amendment_Aerated Static Pile</v>
      </c>
    </row>
    <row r="8440" spans="1:13" s="120" customFormat="1" x14ac:dyDescent="0.25">
      <c r="A8440" s="119"/>
      <c r="B8440" s="138" t="str">
        <f t="shared" si="677"/>
        <v>Aerated Static Pile</v>
      </c>
      <c r="C8440" s="138" t="str">
        <f t="shared" si="678"/>
        <v>Without Amendment</v>
      </c>
      <c r="D8440" s="138" t="s">
        <v>130</v>
      </c>
      <c r="E8440" s="138" t="str">
        <f t="shared" si="679"/>
        <v>Base</v>
      </c>
      <c r="F8440" s="138" t="str">
        <f t="shared" si="680"/>
        <v>Upgraded</v>
      </c>
      <c r="G8440" s="153"/>
      <c r="H8440" s="210">
        <v>-0.182</v>
      </c>
      <c r="I8440" s="160" t="s">
        <v>149</v>
      </c>
      <c r="J8440" s="160">
        <v>-6.45E-3</v>
      </c>
      <c r="K8440" s="160" t="s">
        <v>24</v>
      </c>
      <c r="L8440" s="154" t="str">
        <f>IF(OpenLCAbasic!K8440="CTUh", "Fill in Manually",IF(OR(K8440="Unit", K8440=""), "", INDEX(LookUps!$E$5:$E$12, MATCH(OpenLCAbasic!K8440,LookUps!$D$5:$D$12,0))))</f>
        <v>Acidification Potential (AP) - kg SO2 eq</v>
      </c>
      <c r="M8440" s="154" t="str">
        <f t="shared" si="671"/>
        <v>Base_Base_Upgraded_Acidification Potential (AP) - kg SO2 eq_Anaerobic Digestion; wastewater treatment unit; at updated plant - US_Without Amendment_Aerated Static Pile</v>
      </c>
    </row>
    <row r="8441" spans="1:13" s="120" customFormat="1" x14ac:dyDescent="0.25">
      <c r="A8441" s="119"/>
      <c r="B8441" s="138" t="str">
        <f t="shared" si="677"/>
        <v/>
      </c>
      <c r="C8441" s="138" t="str">
        <f t="shared" si="678"/>
        <v/>
      </c>
      <c r="D8441" s="138" t="str">
        <f t="shared" si="676"/>
        <v/>
      </c>
      <c r="E8441" s="138" t="str">
        <f t="shared" si="679"/>
        <v/>
      </c>
      <c r="F8441" s="138" t="str">
        <f t="shared" si="680"/>
        <v/>
      </c>
      <c r="G8441" s="153" t="s">
        <v>51</v>
      </c>
      <c r="H8441" s="160"/>
      <c r="I8441" s="160" t="s">
        <v>47</v>
      </c>
      <c r="J8441" s="160" t="s">
        <v>52</v>
      </c>
      <c r="K8441" s="160" t="s">
        <v>27</v>
      </c>
      <c r="L8441" s="154" t="str">
        <f>IF(OpenLCAbasic!K8441="CTUh", "Fill in Manually",IF(OR(K8441="Unit", K8441=""), "", INDEX(LookUps!$E$5:$E$12, MATCH(OpenLCAbasic!K8441,LookUps!$D$5:$D$12,0))))</f>
        <v/>
      </c>
      <c r="M8441" s="154" t="str">
        <f t="shared" si="671"/>
        <v>____Process__</v>
      </c>
    </row>
    <row r="8442" spans="1:13" s="120" customFormat="1" x14ac:dyDescent="0.25">
      <c r="A8442" s="119"/>
      <c r="B8442" s="138" t="str">
        <f t="shared" si="677"/>
        <v>Aerated Static Pile</v>
      </c>
      <c r="C8442" s="138" t="str">
        <f t="shared" si="678"/>
        <v>Without Amendment</v>
      </c>
      <c r="D8442" s="138" t="s">
        <v>130</v>
      </c>
      <c r="E8442" s="138" t="str">
        <f t="shared" si="679"/>
        <v>Base</v>
      </c>
      <c r="F8442" s="138" t="str">
        <f t="shared" si="680"/>
        <v>Upgraded</v>
      </c>
      <c r="G8442" s="153"/>
      <c r="H8442" s="210">
        <v>0.35189999999999999</v>
      </c>
      <c r="I8442" s="160" t="s">
        <v>55</v>
      </c>
      <c r="J8442" s="160">
        <v>3.5330499999999998</v>
      </c>
      <c r="K8442" s="160" t="s">
        <v>15</v>
      </c>
      <c r="L8442" s="154" t="str">
        <f>IF(OpenLCAbasic!K8442="CTUh", "Fill in Manually",IF(OR(K8442="Unit", K8442=""), "", INDEX(LookUps!$E$5:$E$12, MATCH(OpenLCAbasic!K8442,LookUps!$D$5:$D$12,0))))</f>
        <v>Cumulative Energy Demand (CED) - MJ</v>
      </c>
      <c r="M8442" s="154" t="str">
        <f t="shared" si="671"/>
        <v>Base_Base_Upgraded_Cumulative Energy Demand (CED) - MJ_Aeration Tanks; wastewater treatment unit; at updated plant - US_Without Amendment_Aerated Static Pile</v>
      </c>
    </row>
    <row r="8443" spans="1:13" s="120" customFormat="1" x14ac:dyDescent="0.25">
      <c r="A8443" s="119"/>
      <c r="B8443" s="138" t="str">
        <f t="shared" si="677"/>
        <v>Aerated Static Pile</v>
      </c>
      <c r="C8443" s="138" t="str">
        <f t="shared" si="678"/>
        <v>Without Amendment</v>
      </c>
      <c r="D8443" s="138" t="s">
        <v>130</v>
      </c>
      <c r="E8443" s="138" t="str">
        <f t="shared" si="679"/>
        <v>Base</v>
      </c>
      <c r="F8443" s="138" t="str">
        <f t="shared" si="680"/>
        <v>Upgraded</v>
      </c>
      <c r="G8443" s="153"/>
      <c r="H8443" s="210">
        <v>0.34839999999999999</v>
      </c>
      <c r="I8443" s="160" t="s">
        <v>167</v>
      </c>
      <c r="J8443" s="160">
        <v>3.4982700000000002</v>
      </c>
      <c r="K8443" s="160" t="s">
        <v>15</v>
      </c>
      <c r="L8443" s="154" t="str">
        <f>IF(OpenLCAbasic!K8443="CTUh", "Fill in Manually",IF(OR(K8443="Unit", K8443=""), "", INDEX(LookUps!$E$5:$E$12, MATCH(OpenLCAbasic!K8443,LookUps!$D$5:$D$12,0))))</f>
        <v>Cumulative Energy Demand (CED) - MJ</v>
      </c>
      <c r="M8443" s="154" t="str">
        <f t="shared" ref="M8443:M8506" si="681">CONCATENATE(E8443,"_",D8443,"_",F8443,"_",L8443, "_",I8443,"_", C8443,"_", B8443)</f>
        <v>Base_Base_Upgraded_Cumulative Energy Demand (CED) - MJ_Waste Receiving and Holding; wastewater treatment unit; at updated plant - US_Without Amendment_Aerated Static Pile</v>
      </c>
    </row>
    <row r="8444" spans="1:13" s="120" customFormat="1" x14ac:dyDescent="0.25">
      <c r="A8444" s="119"/>
      <c r="B8444" s="138" t="str">
        <f t="shared" si="677"/>
        <v>Aerated Static Pile</v>
      </c>
      <c r="C8444" s="138" t="str">
        <f t="shared" si="678"/>
        <v>Without Amendment</v>
      </c>
      <c r="D8444" s="138" t="s">
        <v>130</v>
      </c>
      <c r="E8444" s="138" t="str">
        <f t="shared" si="679"/>
        <v>Base</v>
      </c>
      <c r="F8444" s="138" t="str">
        <f t="shared" si="680"/>
        <v>Upgraded</v>
      </c>
      <c r="G8444" s="153"/>
      <c r="H8444" s="210">
        <v>0.1158</v>
      </c>
      <c r="I8444" s="160" t="s">
        <v>54</v>
      </c>
      <c r="J8444" s="160">
        <v>1.16289</v>
      </c>
      <c r="K8444" s="160" t="s">
        <v>15</v>
      </c>
      <c r="L8444" s="154" t="str">
        <f>IF(OpenLCAbasic!K8444="CTUh", "Fill in Manually",IF(OR(K8444="Unit", K8444=""), "", INDEX(LookUps!$E$5:$E$12, MATCH(OpenLCAbasic!K8444,LookUps!$D$5:$D$12,0))))</f>
        <v>Cumulative Energy Demand (CED) - MJ</v>
      </c>
      <c r="M8444" s="154" t="str">
        <f t="shared" si="681"/>
        <v>Base_Base_Upgraded_Cumulative Energy Demand (CED) - MJ_Clear Cove Primary Clarification; wastewater treatment unit; at updated plant - US_Without Amendment_Aerated Static Pile</v>
      </c>
    </row>
    <row r="8445" spans="1:13" s="120" customFormat="1" x14ac:dyDescent="0.25">
      <c r="A8445" s="119"/>
      <c r="B8445" s="138" t="str">
        <f t="shared" si="677"/>
        <v>Aerated Static Pile</v>
      </c>
      <c r="C8445" s="138" t="str">
        <f t="shared" si="678"/>
        <v>Without Amendment</v>
      </c>
      <c r="D8445" s="138" t="s">
        <v>130</v>
      </c>
      <c r="E8445" s="138" t="str">
        <f t="shared" si="679"/>
        <v>Base</v>
      </c>
      <c r="F8445" s="138" t="str">
        <f t="shared" si="680"/>
        <v>Upgraded</v>
      </c>
      <c r="G8445" s="153"/>
      <c r="H8445" s="210">
        <v>8.8099999999999998E-2</v>
      </c>
      <c r="I8445" s="160" t="s">
        <v>58</v>
      </c>
      <c r="J8445" s="160">
        <v>0.88417000000000001</v>
      </c>
      <c r="K8445" s="160" t="s">
        <v>15</v>
      </c>
      <c r="L8445" s="154" t="str">
        <f>IF(OpenLCAbasic!K8445="CTUh", "Fill in Manually",IF(OR(K8445="Unit", K8445=""), "", INDEX(LookUps!$E$5:$E$12, MATCH(OpenLCAbasic!K8445,LookUps!$D$5:$D$12,0))))</f>
        <v>Cumulative Energy Demand (CED) - MJ</v>
      </c>
      <c r="M8445" s="154" t="str">
        <f t="shared" si="681"/>
        <v>Base_Base_Upgraded_Cumulative Energy Demand (CED) - MJ_Pre-Anoxic &amp; Swing tank; wastewater treatment unit; at updated plant - US_Without Amendment_Aerated Static Pile</v>
      </c>
    </row>
    <row r="8446" spans="1:13" s="120" customFormat="1" x14ac:dyDescent="0.25">
      <c r="A8446" s="119"/>
      <c r="B8446" s="138" t="str">
        <f t="shared" si="677"/>
        <v>Aerated Static Pile</v>
      </c>
      <c r="C8446" s="138" t="str">
        <f t="shared" si="678"/>
        <v>Without Amendment</v>
      </c>
      <c r="D8446" s="138" t="s">
        <v>130</v>
      </c>
      <c r="E8446" s="138" t="str">
        <f t="shared" si="679"/>
        <v>Base</v>
      </c>
      <c r="F8446" s="138" t="str">
        <f t="shared" si="680"/>
        <v>Upgraded</v>
      </c>
      <c r="G8446" s="153"/>
      <c r="H8446" s="210">
        <v>8.7900000000000006E-2</v>
      </c>
      <c r="I8446" s="160" t="s">
        <v>147</v>
      </c>
      <c r="J8446" s="160">
        <v>0.88297000000000003</v>
      </c>
      <c r="K8446" s="160" t="s">
        <v>15</v>
      </c>
      <c r="L8446" s="154" t="str">
        <f>IF(OpenLCAbasic!K8446="CTUh", "Fill in Manually",IF(OR(K8446="Unit", K8446=""), "", INDEX(LookUps!$E$5:$E$12, MATCH(OpenLCAbasic!K8446,LookUps!$D$5:$D$12,0))))</f>
        <v>Cumulative Energy Demand (CED) - MJ</v>
      </c>
      <c r="M8446" s="154" t="str">
        <f t="shared" si="681"/>
        <v>Base_Base_Upgraded_Cumulative Energy Demand (CED) - MJ_Influent Pump Station; wastewater treatment unit; at updated plant - US_Without Amendment_Aerated Static Pile</v>
      </c>
    </row>
    <row r="8447" spans="1:13" s="120" customFormat="1" x14ac:dyDescent="0.25">
      <c r="A8447" s="119"/>
      <c r="B8447" s="138" t="str">
        <f t="shared" si="677"/>
        <v>Aerated Static Pile</v>
      </c>
      <c r="C8447" s="138" t="str">
        <f t="shared" si="678"/>
        <v>Without Amendment</v>
      </c>
      <c r="D8447" s="138" t="s">
        <v>130</v>
      </c>
      <c r="E8447" s="138" t="str">
        <f t="shared" si="679"/>
        <v>Base</v>
      </c>
      <c r="F8447" s="138" t="str">
        <f t="shared" si="680"/>
        <v>Upgraded</v>
      </c>
      <c r="G8447" s="153"/>
      <c r="H8447" s="210">
        <v>6.9400000000000003E-2</v>
      </c>
      <c r="I8447" s="160" t="s">
        <v>53</v>
      </c>
      <c r="J8447" s="160">
        <v>0.69645000000000001</v>
      </c>
      <c r="K8447" s="160" t="s">
        <v>15</v>
      </c>
      <c r="L8447" s="154" t="str">
        <f>IF(OpenLCAbasic!K8447="CTUh", "Fill in Manually",IF(OR(K8447="Unit", K8447=""), "", INDEX(LookUps!$E$5:$E$12, MATCH(OpenLCAbasic!K8447,LookUps!$D$5:$D$12,0))))</f>
        <v>Cumulative Energy Demand (CED) - MJ</v>
      </c>
      <c r="M8447" s="154" t="str">
        <f t="shared" si="681"/>
        <v>Base_Base_Upgraded_Cumulative Energy Demand (CED) - MJ_Wet Well and Sump Station; wastewater treatment unit; at updated plant - US_Without Amendment_Aerated Static Pile</v>
      </c>
    </row>
    <row r="8448" spans="1:13" s="120" customFormat="1" x14ac:dyDescent="0.25">
      <c r="A8448" s="119"/>
      <c r="B8448" s="138" t="str">
        <f t="shared" si="677"/>
        <v>Aerated Static Pile</v>
      </c>
      <c r="C8448" s="138" t="str">
        <f t="shared" si="678"/>
        <v>Without Amendment</v>
      </c>
      <c r="D8448" s="138" t="s">
        <v>130</v>
      </c>
      <c r="E8448" s="138" t="str">
        <f t="shared" si="679"/>
        <v>Base</v>
      </c>
      <c r="F8448" s="138" t="str">
        <f t="shared" si="680"/>
        <v>Upgraded</v>
      </c>
      <c r="G8448" s="153"/>
      <c r="H8448" s="210">
        <v>3.4700000000000002E-2</v>
      </c>
      <c r="I8448" s="160" t="s">
        <v>435</v>
      </c>
      <c r="J8448" s="160">
        <v>0.34788999999999998</v>
      </c>
      <c r="K8448" s="160" t="s">
        <v>15</v>
      </c>
      <c r="L8448" s="154" t="str">
        <f>IF(OpenLCAbasic!K8448="CTUh", "Fill in Manually",IF(OR(K8448="Unit", K8448=""), "", INDEX(LookUps!$E$5:$E$12, MATCH(OpenLCAbasic!K8448,LookUps!$D$5:$D$12,0))))</f>
        <v>Cumulative Energy Demand (CED) - MJ</v>
      </c>
      <c r="M8448" s="154" t="str">
        <f t="shared" si="681"/>
        <v>Base_Base_Upgraded_Cumulative Energy Demand (CED) - MJ_Biosolids composting; aerated static pile; wastewater treatment unit; at updated plant - US_Without Amendment_Aerated Static Pile</v>
      </c>
    </row>
    <row r="8449" spans="1:13" s="120" customFormat="1" x14ac:dyDescent="0.25">
      <c r="A8449" s="119"/>
      <c r="B8449" s="138" t="str">
        <f t="shared" si="677"/>
        <v>Aerated Static Pile</v>
      </c>
      <c r="C8449" s="138" t="str">
        <f t="shared" si="678"/>
        <v>Without Amendment</v>
      </c>
      <c r="D8449" s="138" t="s">
        <v>130</v>
      </c>
      <c r="E8449" s="138" t="str">
        <f t="shared" si="679"/>
        <v>Base</v>
      </c>
      <c r="F8449" s="138" t="str">
        <f t="shared" si="680"/>
        <v>Upgraded</v>
      </c>
      <c r="G8449" s="153"/>
      <c r="H8449" s="210">
        <v>3.3300000000000003E-2</v>
      </c>
      <c r="I8449" s="160" t="s">
        <v>57</v>
      </c>
      <c r="J8449" s="160">
        <v>0.33404</v>
      </c>
      <c r="K8449" s="160" t="s">
        <v>15</v>
      </c>
      <c r="L8449" s="154" t="str">
        <f>IF(OpenLCAbasic!K8449="CTUh", "Fill in Manually",IF(OR(K8449="Unit", K8449=""), "", INDEX(LookUps!$E$5:$E$12, MATCH(OpenLCAbasic!K8449,LookUps!$D$5:$D$12,0))))</f>
        <v>Cumulative Energy Demand (CED) - MJ</v>
      </c>
      <c r="M8449" s="154" t="str">
        <f t="shared" si="681"/>
        <v>Base_Base_Upgraded_Cumulative Energy Demand (CED) - MJ_Gravity Belt Thickener; wastewater treatment unit; at updated plant - US_Without Amendment_Aerated Static Pile</v>
      </c>
    </row>
    <row r="8450" spans="1:13" s="120" customFormat="1" x14ac:dyDescent="0.25">
      <c r="A8450" s="119"/>
      <c r="B8450" s="138" t="str">
        <f t="shared" si="677"/>
        <v>Aerated Static Pile</v>
      </c>
      <c r="C8450" s="138" t="str">
        <f t="shared" si="678"/>
        <v>Without Amendment</v>
      </c>
      <c r="D8450" s="138" t="s">
        <v>130</v>
      </c>
      <c r="E8450" s="138" t="str">
        <f t="shared" si="679"/>
        <v>Base</v>
      </c>
      <c r="F8450" s="138" t="str">
        <f t="shared" si="680"/>
        <v>Upgraded</v>
      </c>
      <c r="G8450" s="153"/>
      <c r="H8450" s="210">
        <v>2.87E-2</v>
      </c>
      <c r="I8450" s="160" t="s">
        <v>60</v>
      </c>
      <c r="J8450" s="160">
        <v>0.28833999999999999</v>
      </c>
      <c r="K8450" s="160" t="s">
        <v>15</v>
      </c>
      <c r="L8450" s="154" t="str">
        <f>IF(OpenLCAbasic!K8450="CTUh", "Fill in Manually",IF(OR(K8450="Unit", K8450=""), "", INDEX(LookUps!$E$5:$E$12, MATCH(OpenLCAbasic!K8450,LookUps!$D$5:$D$12,0))))</f>
        <v>Cumulative Energy Demand (CED) - MJ</v>
      </c>
      <c r="M8450" s="154" t="str">
        <f t="shared" si="681"/>
        <v>Base_Base_Upgraded_Cumulative Energy Demand (CED) - MJ_Belt filter press; wastewater treatment unit; at updated plant - US_Without Amendment_Aerated Static Pile</v>
      </c>
    </row>
    <row r="8451" spans="1:13" s="120" customFormat="1" x14ac:dyDescent="0.25">
      <c r="A8451" s="119"/>
      <c r="B8451" s="138" t="str">
        <f t="shared" si="677"/>
        <v>Aerated Static Pile</v>
      </c>
      <c r="C8451" s="138" t="str">
        <f t="shared" si="678"/>
        <v>Without Amendment</v>
      </c>
      <c r="D8451" s="138" t="s">
        <v>130</v>
      </c>
      <c r="E8451" s="138" t="str">
        <f t="shared" si="679"/>
        <v>Base</v>
      </c>
      <c r="F8451" s="138" t="str">
        <f t="shared" si="680"/>
        <v>Upgraded</v>
      </c>
      <c r="G8451" s="153"/>
      <c r="H8451" s="210">
        <v>2.5499999999999998E-2</v>
      </c>
      <c r="I8451" s="160" t="s">
        <v>128</v>
      </c>
      <c r="J8451" s="160">
        <v>0.25606000000000001</v>
      </c>
      <c r="K8451" s="160" t="s">
        <v>15</v>
      </c>
      <c r="L8451" s="154" t="str">
        <f>IF(OpenLCAbasic!K8451="CTUh", "Fill in Manually",IF(OR(K8451="Unit", K8451=""), "", INDEX(LookUps!$E$5:$E$12, MATCH(OpenLCAbasic!K8451,LookUps!$D$5:$D$12,0))))</f>
        <v>Cumulative Energy Demand (CED) - MJ</v>
      </c>
      <c r="M8451" s="154" t="str">
        <f t="shared" si="681"/>
        <v>Base_Base_Upgraded_Cumulative Energy Demand (CED) - MJ_Wastewater collection; operation and infrastructure; m3 wastewater_Without Amendment_Aerated Static Pile</v>
      </c>
    </row>
    <row r="8452" spans="1:13" s="120" customFormat="1" x14ac:dyDescent="0.25">
      <c r="A8452" s="119"/>
      <c r="B8452" s="138" t="str">
        <f t="shared" si="677"/>
        <v>Aerated Static Pile</v>
      </c>
      <c r="C8452" s="138" t="str">
        <f t="shared" si="678"/>
        <v>Without Amendment</v>
      </c>
      <c r="D8452" s="138" t="s">
        <v>130</v>
      </c>
      <c r="E8452" s="138" t="str">
        <f t="shared" si="679"/>
        <v>Base</v>
      </c>
      <c r="F8452" s="138" t="str">
        <f t="shared" si="680"/>
        <v>Upgraded</v>
      </c>
      <c r="G8452" s="153"/>
      <c r="H8452" s="210">
        <v>1.4500000000000001E-2</v>
      </c>
      <c r="I8452" s="160" t="s">
        <v>148</v>
      </c>
      <c r="J8452" s="160">
        <v>0.14599000000000001</v>
      </c>
      <c r="K8452" s="160" t="s">
        <v>15</v>
      </c>
      <c r="L8452" s="154" t="str">
        <f>IF(OpenLCAbasic!K8452="CTUh", "Fill in Manually",IF(OR(K8452="Unit", K8452=""), "", INDEX(LookUps!$E$5:$E$12, MATCH(OpenLCAbasic!K8452,LookUps!$D$5:$D$12,0))))</f>
        <v>Cumulative Energy Demand (CED) - MJ</v>
      </c>
      <c r="M8452" s="154" t="str">
        <f t="shared" si="681"/>
        <v>Base_Base_Upgraded_Cumulative Energy Demand (CED) - MJ_Control Building; at upgraded wastewater treatment plant - US_Without Amendment_Aerated Static Pile</v>
      </c>
    </row>
    <row r="8453" spans="1:13" s="120" customFormat="1" x14ac:dyDescent="0.25">
      <c r="A8453" s="119"/>
      <c r="B8453" s="138" t="str">
        <f t="shared" si="677"/>
        <v>Aerated Static Pile</v>
      </c>
      <c r="C8453" s="138" t="str">
        <f t="shared" si="678"/>
        <v>Without Amendment</v>
      </c>
      <c r="D8453" s="138" t="s">
        <v>130</v>
      </c>
      <c r="E8453" s="138" t="str">
        <f t="shared" si="679"/>
        <v>Base</v>
      </c>
      <c r="F8453" s="138" t="str">
        <f t="shared" si="680"/>
        <v>Upgraded</v>
      </c>
      <c r="G8453" s="153"/>
      <c r="H8453" s="210">
        <v>1.3299999999999999E-2</v>
      </c>
      <c r="I8453" s="160" t="s">
        <v>48</v>
      </c>
      <c r="J8453" s="160">
        <v>0.13321</v>
      </c>
      <c r="K8453" s="160" t="s">
        <v>15</v>
      </c>
      <c r="L8453" s="154" t="str">
        <f>IF(OpenLCAbasic!K8453="CTUh", "Fill in Manually",IF(OR(K8453="Unit", K8453=""), "", INDEX(LookUps!$E$5:$E$12, MATCH(OpenLCAbasic!K8453,LookUps!$D$5:$D$12,0))))</f>
        <v>Cumulative Energy Demand (CED) - MJ</v>
      </c>
      <c r="M8453" s="154" t="str">
        <f t="shared" si="681"/>
        <v>Base_Base_Upgraded_Cumulative Energy Demand (CED) - MJ_Effluent release; wastewater treatment unit; at surface water; m3 wastewater - US_Without Amendment_Aerated Static Pile</v>
      </c>
    </row>
    <row r="8454" spans="1:13" s="120" customFormat="1" x14ac:dyDescent="0.25">
      <c r="A8454" s="119"/>
      <c r="B8454" s="138" t="str">
        <f t="shared" si="677"/>
        <v>Aerated Static Pile</v>
      </c>
      <c r="C8454" s="138" t="str">
        <f t="shared" si="678"/>
        <v>Without Amendment</v>
      </c>
      <c r="D8454" s="138" t="s">
        <v>130</v>
      </c>
      <c r="E8454" s="138" t="str">
        <f t="shared" si="679"/>
        <v>Base</v>
      </c>
      <c r="F8454" s="138" t="str">
        <f t="shared" si="680"/>
        <v>Upgraded</v>
      </c>
      <c r="G8454" s="153"/>
      <c r="H8454" s="210">
        <v>1.06E-2</v>
      </c>
      <c r="I8454" s="160" t="s">
        <v>59</v>
      </c>
      <c r="J8454" s="160">
        <v>0.10638</v>
      </c>
      <c r="K8454" s="160" t="s">
        <v>15</v>
      </c>
      <c r="L8454" s="154" t="str">
        <f>IF(OpenLCAbasic!K8454="CTUh", "Fill in Manually",IF(OR(K8454="Unit", K8454=""), "", INDEX(LookUps!$E$5:$E$12, MATCH(OpenLCAbasic!K8454,LookUps!$D$5:$D$12,0))))</f>
        <v>Cumulative Energy Demand (CED) - MJ</v>
      </c>
      <c r="M8454" s="154" t="str">
        <f t="shared" si="681"/>
        <v>Base_Base_Upgraded_Cumulative Energy Demand (CED) - MJ_Blend Tank; wastewater treatment unit; at updated plant - US_Without Amendment_Aerated Static Pile</v>
      </c>
    </row>
    <row r="8455" spans="1:13" s="120" customFormat="1" x14ac:dyDescent="0.25">
      <c r="A8455" s="119"/>
      <c r="B8455" s="138" t="str">
        <f t="shared" si="677"/>
        <v>Aerated Static Pile</v>
      </c>
      <c r="C8455" s="138" t="str">
        <f t="shared" si="678"/>
        <v>Without Amendment</v>
      </c>
      <c r="D8455" s="138" t="s">
        <v>130</v>
      </c>
      <c r="E8455" s="138" t="str">
        <f t="shared" si="679"/>
        <v>Base</v>
      </c>
      <c r="F8455" s="138" t="str">
        <f t="shared" si="680"/>
        <v>Upgraded</v>
      </c>
      <c r="G8455" s="153"/>
      <c r="H8455" s="210">
        <v>5.1000000000000004E-3</v>
      </c>
      <c r="I8455" s="160" t="s">
        <v>168</v>
      </c>
      <c r="J8455" s="160">
        <v>5.0930000000000003E-2</v>
      </c>
      <c r="K8455" s="160" t="s">
        <v>15</v>
      </c>
      <c r="L8455" s="154" t="str">
        <f>IF(OpenLCAbasic!K8455="CTUh", "Fill in Manually",IF(OR(K8455="Unit", K8455=""), "", INDEX(LookUps!$E$5:$E$12, MATCH(OpenLCAbasic!K8455,LookUps!$D$5:$D$12,0))))</f>
        <v>Cumulative Energy Demand (CED) - MJ</v>
      </c>
      <c r="M8455" s="154" t="str">
        <f t="shared" si="681"/>
        <v>Base_Base_Upgraded_Cumulative Energy Demand (CED) - MJ_ClearCove SCP; wastewater treatment unit; at updated plant - US_Without Amendment_Aerated Static Pile</v>
      </c>
    </row>
    <row r="8456" spans="1:13" s="120" customFormat="1" x14ac:dyDescent="0.25">
      <c r="A8456" s="119"/>
      <c r="B8456" s="138" t="str">
        <f t="shared" si="677"/>
        <v>Aerated Static Pile</v>
      </c>
      <c r="C8456" s="138" t="str">
        <f t="shared" si="678"/>
        <v>Without Amendment</v>
      </c>
      <c r="D8456" s="138" t="s">
        <v>130</v>
      </c>
      <c r="E8456" s="138" t="str">
        <f t="shared" si="679"/>
        <v>Base</v>
      </c>
      <c r="F8456" s="138" t="str">
        <f t="shared" si="680"/>
        <v>Upgraded</v>
      </c>
      <c r="G8456" s="153"/>
      <c r="H8456" s="210">
        <v>-2.8199999999999999E-2</v>
      </c>
      <c r="I8456" s="160" t="s">
        <v>62</v>
      </c>
      <c r="J8456" s="160">
        <v>-0.28309000000000001</v>
      </c>
      <c r="K8456" s="160" t="s">
        <v>15</v>
      </c>
      <c r="L8456" s="154" t="str">
        <f>IF(OpenLCAbasic!K8456="CTUh", "Fill in Manually",IF(OR(K8456="Unit", K8456=""), "", INDEX(LookUps!$E$5:$E$12, MATCH(OpenLCAbasic!K8456,LookUps!$D$5:$D$12,0))))</f>
        <v>Cumulative Energy Demand (CED) - MJ</v>
      </c>
      <c r="M8456" s="154" t="str">
        <f t="shared" si="681"/>
        <v>Base_Base_Upgraded_Cumulative Energy Demand (CED) - MJ_Land application of compost; wastewater treatment unit; at updated plant - US_Without Amendment_Aerated Static Pile</v>
      </c>
    </row>
    <row r="8457" spans="1:13" s="120" customFormat="1" x14ac:dyDescent="0.25">
      <c r="A8457" s="119"/>
      <c r="B8457" s="138" t="str">
        <f t="shared" si="677"/>
        <v>Aerated Static Pile</v>
      </c>
      <c r="C8457" s="138" t="str">
        <f t="shared" si="678"/>
        <v>Without Amendment</v>
      </c>
      <c r="D8457" s="138" t="s">
        <v>130</v>
      </c>
      <c r="E8457" s="138" t="str">
        <f t="shared" si="679"/>
        <v>Base</v>
      </c>
      <c r="F8457" s="138" t="str">
        <f t="shared" si="680"/>
        <v>Upgraded</v>
      </c>
      <c r="G8457" s="153"/>
      <c r="H8457" s="210">
        <v>-0.19900000000000001</v>
      </c>
      <c r="I8457" s="160" t="s">
        <v>149</v>
      </c>
      <c r="J8457" s="160">
        <v>-1.99752</v>
      </c>
      <c r="K8457" s="160" t="s">
        <v>15</v>
      </c>
      <c r="L8457" s="154" t="str">
        <f>IF(OpenLCAbasic!K8457="CTUh", "Fill in Manually",IF(OR(K8457="Unit", K8457=""), "", INDEX(LookUps!$E$5:$E$12, MATCH(OpenLCAbasic!K8457,LookUps!$D$5:$D$12,0))))</f>
        <v>Cumulative Energy Demand (CED) - MJ</v>
      </c>
      <c r="M8457" s="154" t="str">
        <f t="shared" si="681"/>
        <v>Base_Base_Upgraded_Cumulative Energy Demand (CED) - MJ_Anaerobic Digestion; wastewater treatment unit; at updated plant - US_Without Amendment_Aerated Static Pile</v>
      </c>
    </row>
    <row r="8458" spans="1:13" s="120" customFormat="1" x14ac:dyDescent="0.25">
      <c r="A8458" s="119"/>
      <c r="B8458" s="138" t="str">
        <f t="shared" si="677"/>
        <v/>
      </c>
      <c r="C8458" s="138" t="str">
        <f t="shared" si="678"/>
        <v/>
      </c>
      <c r="D8458" s="138" t="str">
        <f t="shared" si="676"/>
        <v/>
      </c>
      <c r="E8458" s="138" t="str">
        <f t="shared" si="679"/>
        <v/>
      </c>
      <c r="F8458" s="138" t="str">
        <f t="shared" si="680"/>
        <v/>
      </c>
      <c r="G8458" s="153" t="s">
        <v>51</v>
      </c>
      <c r="H8458" s="160"/>
      <c r="I8458" s="160" t="s">
        <v>47</v>
      </c>
      <c r="J8458" s="160" t="s">
        <v>52</v>
      </c>
      <c r="K8458" s="160" t="s">
        <v>27</v>
      </c>
      <c r="L8458" s="154" t="str">
        <f>IF(OpenLCAbasic!K8458="CTUh", "Fill in Manually",IF(OR(K8458="Unit", K8458=""), "", INDEX(LookUps!$E$5:$E$12, MATCH(OpenLCAbasic!K8458,LookUps!$D$5:$D$12,0))))</f>
        <v/>
      </c>
      <c r="M8458" s="154" t="str">
        <f t="shared" si="681"/>
        <v>____Process__</v>
      </c>
    </row>
    <row r="8459" spans="1:13" s="120" customFormat="1" x14ac:dyDescent="0.25">
      <c r="A8459" s="119"/>
      <c r="B8459" s="138" t="str">
        <f t="shared" si="677"/>
        <v>Aerated Static Pile</v>
      </c>
      <c r="C8459" s="138" t="str">
        <f t="shared" si="678"/>
        <v>Without Amendment</v>
      </c>
      <c r="D8459" s="138" t="s">
        <v>130</v>
      </c>
      <c r="E8459" s="138" t="str">
        <f t="shared" si="679"/>
        <v>Base</v>
      </c>
      <c r="F8459" s="138" t="str">
        <f t="shared" si="680"/>
        <v>Upgraded</v>
      </c>
      <c r="G8459" s="153"/>
      <c r="H8459" s="210">
        <v>0.80759999999999998</v>
      </c>
      <c r="I8459" s="160" t="s">
        <v>48</v>
      </c>
      <c r="J8459" s="160">
        <v>1.1610000000000001E-2</v>
      </c>
      <c r="K8459" s="160" t="s">
        <v>13</v>
      </c>
      <c r="L8459" s="154" t="str">
        <f>IF(OpenLCAbasic!K8459="CTUh", "Fill in Manually",IF(OR(K8459="Unit", K8459=""), "", INDEX(LookUps!$E$5:$E$12, MATCH(OpenLCAbasic!K8459,LookUps!$D$5:$D$12,0))))</f>
        <v>Eutrophication Potential (EP) - kg N eq</v>
      </c>
      <c r="M8459" s="154" t="str">
        <f t="shared" si="681"/>
        <v>Base_Base_Upgraded_Eutrophication Potential (EP) - kg N eq_Effluent release; wastewater treatment unit; at surface water; m3 wastewater - US_Without Amendment_Aerated Static Pile</v>
      </c>
    </row>
    <row r="8460" spans="1:13" s="120" customFormat="1" x14ac:dyDescent="0.25">
      <c r="A8460" s="119"/>
      <c r="B8460" s="138" t="str">
        <f t="shared" si="677"/>
        <v>Aerated Static Pile</v>
      </c>
      <c r="C8460" s="138" t="str">
        <f t="shared" si="678"/>
        <v>Without Amendment</v>
      </c>
      <c r="D8460" s="138" t="s">
        <v>130</v>
      </c>
      <c r="E8460" s="138" t="str">
        <f t="shared" si="679"/>
        <v>Base</v>
      </c>
      <c r="F8460" s="138" t="str">
        <f t="shared" si="680"/>
        <v>Upgraded</v>
      </c>
      <c r="G8460" s="153"/>
      <c r="H8460" s="210">
        <v>8.9800000000000005E-2</v>
      </c>
      <c r="I8460" s="160" t="s">
        <v>62</v>
      </c>
      <c r="J8460" s="160">
        <v>1.2899999999999999E-3</v>
      </c>
      <c r="K8460" s="160" t="s">
        <v>13</v>
      </c>
      <c r="L8460" s="154" t="str">
        <f>IF(OpenLCAbasic!K8460="CTUh", "Fill in Manually",IF(OR(K8460="Unit", K8460=""), "", INDEX(LookUps!$E$5:$E$12, MATCH(OpenLCAbasic!K8460,LookUps!$D$5:$D$12,0))))</f>
        <v>Eutrophication Potential (EP) - kg N eq</v>
      </c>
      <c r="M8460" s="154" t="str">
        <f t="shared" si="681"/>
        <v>Base_Base_Upgraded_Eutrophication Potential (EP) - kg N eq_Land application of compost; wastewater treatment unit; at updated plant - US_Without Amendment_Aerated Static Pile</v>
      </c>
    </row>
    <row r="8461" spans="1:13" s="120" customFormat="1" x14ac:dyDescent="0.25">
      <c r="A8461" s="119"/>
      <c r="B8461" s="138" t="str">
        <f t="shared" si="677"/>
        <v>Aerated Static Pile</v>
      </c>
      <c r="C8461" s="138" t="str">
        <f t="shared" si="678"/>
        <v>Without Amendment</v>
      </c>
      <c r="D8461" s="138" t="s">
        <v>130</v>
      </c>
      <c r="E8461" s="138" t="str">
        <f t="shared" si="679"/>
        <v>Base</v>
      </c>
      <c r="F8461" s="138" t="str">
        <f t="shared" si="680"/>
        <v>Upgraded</v>
      </c>
      <c r="G8461" s="153"/>
      <c r="H8461" s="210">
        <v>3.7999999999999999E-2</v>
      </c>
      <c r="I8461" s="160" t="s">
        <v>55</v>
      </c>
      <c r="J8461" s="160">
        <v>5.5000000000000003E-4</v>
      </c>
      <c r="K8461" s="160" t="s">
        <v>13</v>
      </c>
      <c r="L8461" s="154" t="str">
        <f>IF(OpenLCAbasic!K8461="CTUh", "Fill in Manually",IF(OR(K8461="Unit", K8461=""), "", INDEX(LookUps!$E$5:$E$12, MATCH(OpenLCAbasic!K8461,LookUps!$D$5:$D$12,0))))</f>
        <v>Eutrophication Potential (EP) - kg N eq</v>
      </c>
      <c r="M8461" s="154" t="str">
        <f t="shared" si="681"/>
        <v>Base_Base_Upgraded_Eutrophication Potential (EP) - kg N eq_Aeration Tanks; wastewater treatment unit; at updated plant - US_Without Amendment_Aerated Static Pile</v>
      </c>
    </row>
    <row r="8462" spans="1:13" s="120" customFormat="1" x14ac:dyDescent="0.25">
      <c r="A8462" s="119"/>
      <c r="B8462" s="138" t="str">
        <f t="shared" si="677"/>
        <v>Aerated Static Pile</v>
      </c>
      <c r="C8462" s="138" t="str">
        <f t="shared" si="678"/>
        <v>Without Amendment</v>
      </c>
      <c r="D8462" s="138" t="s">
        <v>130</v>
      </c>
      <c r="E8462" s="138" t="str">
        <f t="shared" si="679"/>
        <v>Base</v>
      </c>
      <c r="F8462" s="138" t="str">
        <f t="shared" si="680"/>
        <v>Upgraded</v>
      </c>
      <c r="G8462" s="153"/>
      <c r="H8462" s="210">
        <v>1.7399999999999999E-2</v>
      </c>
      <c r="I8462" s="160" t="s">
        <v>147</v>
      </c>
      <c r="J8462" s="160">
        <v>2.5000000000000001E-4</v>
      </c>
      <c r="K8462" s="160" t="s">
        <v>13</v>
      </c>
      <c r="L8462" s="154" t="str">
        <f>IF(OpenLCAbasic!K8462="CTUh", "Fill in Manually",IF(OR(K8462="Unit", K8462=""), "", INDEX(LookUps!$E$5:$E$12, MATCH(OpenLCAbasic!K8462,LookUps!$D$5:$D$12,0))))</f>
        <v>Eutrophication Potential (EP) - kg N eq</v>
      </c>
      <c r="M8462" s="154" t="str">
        <f t="shared" si="681"/>
        <v>Base_Base_Upgraded_Eutrophication Potential (EP) - kg N eq_Influent Pump Station; wastewater treatment unit; at updated plant - US_Without Amendment_Aerated Static Pile</v>
      </c>
    </row>
    <row r="8463" spans="1:13" s="120" customFormat="1" x14ac:dyDescent="0.25">
      <c r="A8463" s="119"/>
      <c r="B8463" s="138" t="str">
        <f t="shared" si="677"/>
        <v>Aerated Static Pile</v>
      </c>
      <c r="C8463" s="138" t="str">
        <f t="shared" si="678"/>
        <v>Without Amendment</v>
      </c>
      <c r="D8463" s="138" t="s">
        <v>130</v>
      </c>
      <c r="E8463" s="138" t="str">
        <f t="shared" si="679"/>
        <v>Base</v>
      </c>
      <c r="F8463" s="138" t="str">
        <f t="shared" si="680"/>
        <v>Upgraded</v>
      </c>
      <c r="G8463" s="153"/>
      <c r="H8463" s="210">
        <v>1.38E-2</v>
      </c>
      <c r="I8463" s="160" t="s">
        <v>54</v>
      </c>
      <c r="J8463" s="160">
        <v>2.0000000000000001E-4</v>
      </c>
      <c r="K8463" s="160" t="s">
        <v>13</v>
      </c>
      <c r="L8463" s="154" t="str">
        <f>IF(OpenLCAbasic!K8463="CTUh", "Fill in Manually",IF(OR(K8463="Unit", K8463=""), "", INDEX(LookUps!$E$5:$E$12, MATCH(OpenLCAbasic!K8463,LookUps!$D$5:$D$12,0))))</f>
        <v>Eutrophication Potential (EP) - kg N eq</v>
      </c>
      <c r="M8463" s="154" t="str">
        <f t="shared" si="681"/>
        <v>Base_Base_Upgraded_Eutrophication Potential (EP) - kg N eq_Clear Cove Primary Clarification; wastewater treatment unit; at updated plant - US_Without Amendment_Aerated Static Pile</v>
      </c>
    </row>
    <row r="8464" spans="1:13" s="120" customFormat="1" x14ac:dyDescent="0.25">
      <c r="A8464" s="119"/>
      <c r="B8464" s="138" t="str">
        <f t="shared" si="677"/>
        <v>Aerated Static Pile</v>
      </c>
      <c r="C8464" s="138" t="str">
        <f t="shared" si="678"/>
        <v>Without Amendment</v>
      </c>
      <c r="D8464" s="138" t="s">
        <v>130</v>
      </c>
      <c r="E8464" s="138" t="str">
        <f t="shared" si="679"/>
        <v>Base</v>
      </c>
      <c r="F8464" s="138" t="str">
        <f t="shared" si="680"/>
        <v>Upgraded</v>
      </c>
      <c r="G8464" s="153"/>
      <c r="H8464" s="210">
        <v>1.14E-2</v>
      </c>
      <c r="I8464" s="160" t="s">
        <v>167</v>
      </c>
      <c r="J8464" s="160">
        <v>1.6000000000000001E-4</v>
      </c>
      <c r="K8464" s="160" t="s">
        <v>13</v>
      </c>
      <c r="L8464" s="154" t="str">
        <f>IF(OpenLCAbasic!K8464="CTUh", "Fill in Manually",IF(OR(K8464="Unit", K8464=""), "", INDEX(LookUps!$E$5:$E$12, MATCH(OpenLCAbasic!K8464,LookUps!$D$5:$D$12,0))))</f>
        <v>Eutrophication Potential (EP) - kg N eq</v>
      </c>
      <c r="M8464" s="154" t="str">
        <f t="shared" si="681"/>
        <v>Base_Base_Upgraded_Eutrophication Potential (EP) - kg N eq_Waste Receiving and Holding; wastewater treatment unit; at updated plant - US_Without Amendment_Aerated Static Pile</v>
      </c>
    </row>
    <row r="8465" spans="1:13" s="120" customFormat="1" x14ac:dyDescent="0.25">
      <c r="A8465" s="119"/>
      <c r="B8465" s="138" t="str">
        <f t="shared" si="677"/>
        <v>Aerated Static Pile</v>
      </c>
      <c r="C8465" s="138" t="str">
        <f t="shared" si="678"/>
        <v>Without Amendment</v>
      </c>
      <c r="D8465" s="138" t="s">
        <v>130</v>
      </c>
      <c r="E8465" s="138" t="str">
        <f t="shared" si="679"/>
        <v>Base</v>
      </c>
      <c r="F8465" s="138" t="str">
        <f t="shared" si="680"/>
        <v>Upgraded</v>
      </c>
      <c r="G8465" s="153"/>
      <c r="H8465" s="210">
        <v>9.4000000000000004E-3</v>
      </c>
      <c r="I8465" s="160" t="s">
        <v>58</v>
      </c>
      <c r="J8465" s="160">
        <v>1.3999999999999999E-4</v>
      </c>
      <c r="K8465" s="160" t="s">
        <v>13</v>
      </c>
      <c r="L8465" s="154" t="str">
        <f>IF(OpenLCAbasic!K8465="CTUh", "Fill in Manually",IF(OR(K8465="Unit", K8465=""), "", INDEX(LookUps!$E$5:$E$12, MATCH(OpenLCAbasic!K8465,LookUps!$D$5:$D$12,0))))</f>
        <v>Eutrophication Potential (EP) - kg N eq</v>
      </c>
      <c r="M8465" s="154" t="str">
        <f t="shared" si="681"/>
        <v>Base_Base_Upgraded_Eutrophication Potential (EP) - kg N eq_Pre-Anoxic &amp; Swing tank; wastewater treatment unit; at updated plant - US_Without Amendment_Aerated Static Pile</v>
      </c>
    </row>
    <row r="8466" spans="1:13" s="120" customFormat="1" x14ac:dyDescent="0.25">
      <c r="A8466" s="119"/>
      <c r="B8466" s="138" t="str">
        <f t="shared" si="677"/>
        <v>Aerated Static Pile</v>
      </c>
      <c r="C8466" s="138" t="str">
        <f t="shared" si="678"/>
        <v>Without Amendment</v>
      </c>
      <c r="D8466" s="138" t="s">
        <v>130</v>
      </c>
      <c r="E8466" s="138" t="str">
        <f t="shared" si="679"/>
        <v>Base</v>
      </c>
      <c r="F8466" s="138" t="str">
        <f t="shared" si="680"/>
        <v>Upgraded</v>
      </c>
      <c r="G8466" s="153"/>
      <c r="H8466" s="210">
        <v>7.4999999999999997E-3</v>
      </c>
      <c r="I8466" s="160" t="s">
        <v>53</v>
      </c>
      <c r="J8466" s="160">
        <v>1.1E-4</v>
      </c>
      <c r="K8466" s="160" t="s">
        <v>13</v>
      </c>
      <c r="L8466" s="154" t="str">
        <f>IF(OpenLCAbasic!K8466="CTUh", "Fill in Manually",IF(OR(K8466="Unit", K8466=""), "", INDEX(LookUps!$E$5:$E$12, MATCH(OpenLCAbasic!K8466,LookUps!$D$5:$D$12,0))))</f>
        <v>Eutrophication Potential (EP) - kg N eq</v>
      </c>
      <c r="M8466" s="154" t="str">
        <f t="shared" si="681"/>
        <v>Base_Base_Upgraded_Eutrophication Potential (EP) - kg N eq_Wet Well and Sump Station; wastewater treatment unit; at updated plant - US_Without Amendment_Aerated Static Pile</v>
      </c>
    </row>
    <row r="8467" spans="1:13" s="120" customFormat="1" x14ac:dyDescent="0.25">
      <c r="A8467" s="119"/>
      <c r="B8467" s="138" t="str">
        <f t="shared" si="677"/>
        <v>Aerated Static Pile</v>
      </c>
      <c r="C8467" s="138" t="str">
        <f t="shared" si="678"/>
        <v>Without Amendment</v>
      </c>
      <c r="D8467" s="138" t="s">
        <v>130</v>
      </c>
      <c r="E8467" s="138" t="str">
        <f t="shared" si="679"/>
        <v>Base</v>
      </c>
      <c r="F8467" s="138" t="str">
        <f t="shared" si="680"/>
        <v>Upgraded</v>
      </c>
      <c r="G8467" s="153"/>
      <c r="H8467" s="210">
        <v>4.4000000000000003E-3</v>
      </c>
      <c r="I8467" s="160" t="s">
        <v>435</v>
      </c>
      <c r="J8467" s="211">
        <v>6.2597700000000005E-5</v>
      </c>
      <c r="K8467" s="160" t="s">
        <v>13</v>
      </c>
      <c r="L8467" s="154" t="str">
        <f>IF(OpenLCAbasic!K8467="CTUh", "Fill in Manually",IF(OR(K8467="Unit", K8467=""), "", INDEX(LookUps!$E$5:$E$12, MATCH(OpenLCAbasic!K8467,LookUps!$D$5:$D$12,0))))</f>
        <v>Eutrophication Potential (EP) - kg N eq</v>
      </c>
      <c r="M8467" s="154" t="str">
        <f t="shared" si="681"/>
        <v>Base_Base_Upgraded_Eutrophication Potential (EP) - kg N eq_Biosolids composting; aerated static pile; wastewater treatment unit; at updated plant - US_Without Amendment_Aerated Static Pile</v>
      </c>
    </row>
    <row r="8468" spans="1:13" s="120" customFormat="1" x14ac:dyDescent="0.25">
      <c r="A8468" s="119"/>
      <c r="B8468" s="138" t="str">
        <f t="shared" si="677"/>
        <v>Aerated Static Pile</v>
      </c>
      <c r="C8468" s="138" t="str">
        <f t="shared" si="678"/>
        <v>Without Amendment</v>
      </c>
      <c r="D8468" s="138" t="s">
        <v>130</v>
      </c>
      <c r="E8468" s="138" t="str">
        <f t="shared" si="679"/>
        <v>Base</v>
      </c>
      <c r="F8468" s="138" t="str">
        <f t="shared" si="680"/>
        <v>Upgraded</v>
      </c>
      <c r="G8468" s="153"/>
      <c r="H8468" s="210">
        <v>4.1999999999999997E-3</v>
      </c>
      <c r="I8468" s="160" t="s">
        <v>57</v>
      </c>
      <c r="J8468" s="211">
        <v>6.0590300000000002E-5</v>
      </c>
      <c r="K8468" s="160" t="s">
        <v>13</v>
      </c>
      <c r="L8468" s="154" t="str">
        <f>IF(OpenLCAbasic!K8468="CTUh", "Fill in Manually",IF(OR(K8468="Unit", K8468=""), "", INDEX(LookUps!$E$5:$E$12, MATCH(OpenLCAbasic!K8468,LookUps!$D$5:$D$12,0))))</f>
        <v>Eutrophication Potential (EP) - kg N eq</v>
      </c>
      <c r="M8468" s="154" t="str">
        <f t="shared" si="681"/>
        <v>Base_Base_Upgraded_Eutrophication Potential (EP) - kg N eq_Gravity Belt Thickener; wastewater treatment unit; at updated plant - US_Without Amendment_Aerated Static Pile</v>
      </c>
    </row>
    <row r="8469" spans="1:13" s="120" customFormat="1" x14ac:dyDescent="0.25">
      <c r="A8469" s="119"/>
      <c r="B8469" s="138" t="str">
        <f t="shared" si="677"/>
        <v>Aerated Static Pile</v>
      </c>
      <c r="C8469" s="138" t="str">
        <f t="shared" si="678"/>
        <v>Without Amendment</v>
      </c>
      <c r="D8469" s="138" t="s">
        <v>130</v>
      </c>
      <c r="E8469" s="138" t="str">
        <f t="shared" si="679"/>
        <v>Base</v>
      </c>
      <c r="F8469" s="138" t="str">
        <f t="shared" si="680"/>
        <v>Upgraded</v>
      </c>
      <c r="G8469" s="153"/>
      <c r="H8469" s="210">
        <v>3.5000000000000001E-3</v>
      </c>
      <c r="I8469" s="160" t="s">
        <v>60</v>
      </c>
      <c r="J8469" s="211">
        <v>5.06508E-5</v>
      </c>
      <c r="K8469" s="160" t="s">
        <v>13</v>
      </c>
      <c r="L8469" s="154" t="str">
        <f>IF(OpenLCAbasic!K8469="CTUh", "Fill in Manually",IF(OR(K8469="Unit", K8469=""), "", INDEX(LookUps!$E$5:$E$12, MATCH(OpenLCAbasic!K8469,LookUps!$D$5:$D$12,0))))</f>
        <v>Eutrophication Potential (EP) - kg N eq</v>
      </c>
      <c r="M8469" s="154" t="str">
        <f t="shared" si="681"/>
        <v>Base_Base_Upgraded_Eutrophication Potential (EP) - kg N eq_Belt filter press; wastewater treatment unit; at updated plant - US_Without Amendment_Aerated Static Pile</v>
      </c>
    </row>
    <row r="8470" spans="1:13" s="120" customFormat="1" x14ac:dyDescent="0.25">
      <c r="A8470" s="119"/>
      <c r="B8470" s="138" t="str">
        <f t="shared" si="677"/>
        <v>Aerated Static Pile</v>
      </c>
      <c r="C8470" s="138" t="str">
        <f t="shared" si="678"/>
        <v>Without Amendment</v>
      </c>
      <c r="D8470" s="138" t="s">
        <v>130</v>
      </c>
      <c r="E8470" s="138" t="str">
        <f t="shared" si="679"/>
        <v>Base</v>
      </c>
      <c r="F8470" s="138" t="str">
        <f t="shared" si="680"/>
        <v>Upgraded</v>
      </c>
      <c r="G8470" s="153"/>
      <c r="H8470" s="210">
        <v>2.5999999999999999E-3</v>
      </c>
      <c r="I8470" s="160" t="s">
        <v>128</v>
      </c>
      <c r="J8470" s="211">
        <v>3.7559799999999999E-5</v>
      </c>
      <c r="K8470" s="160" t="s">
        <v>13</v>
      </c>
      <c r="L8470" s="154" t="str">
        <f>IF(OpenLCAbasic!K8470="CTUh", "Fill in Manually",IF(OR(K8470="Unit", K8470=""), "", INDEX(LookUps!$E$5:$E$12, MATCH(OpenLCAbasic!K8470,LookUps!$D$5:$D$12,0))))</f>
        <v>Eutrophication Potential (EP) - kg N eq</v>
      </c>
      <c r="M8470" s="154" t="str">
        <f t="shared" si="681"/>
        <v>Base_Base_Upgraded_Eutrophication Potential (EP) - kg N eq_Wastewater collection; operation and infrastructure; m3 wastewater_Without Amendment_Aerated Static Pile</v>
      </c>
    </row>
    <row r="8471" spans="1:13" s="120" customFormat="1" x14ac:dyDescent="0.25">
      <c r="A8471" s="119"/>
      <c r="B8471" s="138" t="str">
        <f t="shared" si="677"/>
        <v>Aerated Static Pile</v>
      </c>
      <c r="C8471" s="138" t="str">
        <f t="shared" si="678"/>
        <v>Without Amendment</v>
      </c>
      <c r="D8471" s="138" t="s">
        <v>130</v>
      </c>
      <c r="E8471" s="138" t="str">
        <f t="shared" si="679"/>
        <v>Base</v>
      </c>
      <c r="F8471" s="138" t="str">
        <f t="shared" si="680"/>
        <v>Upgraded</v>
      </c>
      <c r="G8471" s="153"/>
      <c r="H8471" s="210">
        <v>2.5999999999999999E-3</v>
      </c>
      <c r="I8471" s="160" t="s">
        <v>148</v>
      </c>
      <c r="J8471" s="211">
        <v>3.6874600000000001E-5</v>
      </c>
      <c r="K8471" s="160" t="s">
        <v>13</v>
      </c>
      <c r="L8471" s="154" t="str">
        <f>IF(OpenLCAbasic!K8471="CTUh", "Fill in Manually",IF(OR(K8471="Unit", K8471=""), "", INDEX(LookUps!$E$5:$E$12, MATCH(OpenLCAbasic!K8471,LookUps!$D$5:$D$12,0))))</f>
        <v>Eutrophication Potential (EP) - kg N eq</v>
      </c>
      <c r="M8471" s="154" t="str">
        <f t="shared" si="681"/>
        <v>Base_Base_Upgraded_Eutrophication Potential (EP) - kg N eq_Control Building; at upgraded wastewater treatment plant - US_Without Amendment_Aerated Static Pile</v>
      </c>
    </row>
    <row r="8472" spans="1:13" s="120" customFormat="1" x14ac:dyDescent="0.25">
      <c r="A8472" s="119"/>
      <c r="B8472" s="138" t="str">
        <f t="shared" si="677"/>
        <v>Aerated Static Pile</v>
      </c>
      <c r="C8472" s="138" t="str">
        <f t="shared" si="678"/>
        <v>Without Amendment</v>
      </c>
      <c r="D8472" s="138" t="s">
        <v>130</v>
      </c>
      <c r="E8472" s="138" t="str">
        <f t="shared" si="679"/>
        <v>Base</v>
      </c>
      <c r="F8472" s="138" t="str">
        <f t="shared" si="680"/>
        <v>Upgraded</v>
      </c>
      <c r="G8472" s="153"/>
      <c r="H8472" s="210">
        <v>1.1000000000000001E-3</v>
      </c>
      <c r="I8472" s="160" t="s">
        <v>59</v>
      </c>
      <c r="J8472" s="211">
        <v>1.6215700000000001E-5</v>
      </c>
      <c r="K8472" s="160" t="s">
        <v>13</v>
      </c>
      <c r="L8472" s="154" t="str">
        <f>IF(OpenLCAbasic!K8472="CTUh", "Fill in Manually",IF(OR(K8472="Unit", K8472=""), "", INDEX(LookUps!$E$5:$E$12, MATCH(OpenLCAbasic!K8472,LookUps!$D$5:$D$12,0))))</f>
        <v>Eutrophication Potential (EP) - kg N eq</v>
      </c>
      <c r="M8472" s="154" t="str">
        <f t="shared" si="681"/>
        <v>Base_Base_Upgraded_Eutrophication Potential (EP) - kg N eq_Blend Tank; wastewater treatment unit; at updated plant - US_Without Amendment_Aerated Static Pile</v>
      </c>
    </row>
    <row r="8473" spans="1:13" s="120" customFormat="1" x14ac:dyDescent="0.25">
      <c r="A8473" s="119"/>
      <c r="B8473" s="138" t="str">
        <f t="shared" si="677"/>
        <v>Aerated Static Pile</v>
      </c>
      <c r="C8473" s="138" t="str">
        <f t="shared" si="678"/>
        <v>Without Amendment</v>
      </c>
      <c r="D8473" s="138" t="s">
        <v>130</v>
      </c>
      <c r="E8473" s="138" t="str">
        <f t="shared" si="679"/>
        <v>Base</v>
      </c>
      <c r="F8473" s="138" t="str">
        <f t="shared" si="680"/>
        <v>Upgraded</v>
      </c>
      <c r="G8473" s="153"/>
      <c r="H8473" s="210">
        <v>5.0000000000000001E-4</v>
      </c>
      <c r="I8473" s="160" t="s">
        <v>168</v>
      </c>
      <c r="J8473" s="211">
        <v>7.7567199999999995E-6</v>
      </c>
      <c r="K8473" s="160" t="s">
        <v>13</v>
      </c>
      <c r="L8473" s="154" t="str">
        <f>IF(OpenLCAbasic!K8473="CTUh", "Fill in Manually",IF(OR(K8473="Unit", K8473=""), "", INDEX(LookUps!$E$5:$E$12, MATCH(OpenLCAbasic!K8473,LookUps!$D$5:$D$12,0))))</f>
        <v>Eutrophication Potential (EP) - kg N eq</v>
      </c>
      <c r="M8473" s="154" t="str">
        <f t="shared" si="681"/>
        <v>Base_Base_Upgraded_Eutrophication Potential (EP) - kg N eq_ClearCove SCP; wastewater treatment unit; at updated plant - US_Without Amendment_Aerated Static Pile</v>
      </c>
    </row>
    <row r="8474" spans="1:13" s="120" customFormat="1" x14ac:dyDescent="0.25">
      <c r="A8474" s="119"/>
      <c r="B8474" s="138" t="str">
        <f t="shared" si="677"/>
        <v>Aerated Static Pile</v>
      </c>
      <c r="C8474" s="138" t="str">
        <f t="shared" si="678"/>
        <v>Without Amendment</v>
      </c>
      <c r="D8474" s="138" t="s">
        <v>130</v>
      </c>
      <c r="E8474" s="138" t="str">
        <f t="shared" si="679"/>
        <v>Base</v>
      </c>
      <c r="F8474" s="138" t="str">
        <f t="shared" si="680"/>
        <v>Upgraded</v>
      </c>
      <c r="G8474" s="153"/>
      <c r="H8474" s="210">
        <v>-1.37E-2</v>
      </c>
      <c r="I8474" s="160" t="s">
        <v>149</v>
      </c>
      <c r="J8474" s="160">
        <v>-2.0000000000000001E-4</v>
      </c>
      <c r="K8474" s="160" t="s">
        <v>13</v>
      </c>
      <c r="L8474" s="154" t="str">
        <f>IF(OpenLCAbasic!K8474="CTUh", "Fill in Manually",IF(OR(K8474="Unit", K8474=""), "", INDEX(LookUps!$E$5:$E$12, MATCH(OpenLCAbasic!K8474,LookUps!$D$5:$D$12,0))))</f>
        <v>Eutrophication Potential (EP) - kg N eq</v>
      </c>
      <c r="M8474" s="154" t="str">
        <f t="shared" si="681"/>
        <v>Base_Base_Upgraded_Eutrophication Potential (EP) - kg N eq_Anaerobic Digestion; wastewater treatment unit; at updated plant - US_Without Amendment_Aerated Static Pile</v>
      </c>
    </row>
    <row r="8475" spans="1:13" s="120" customFormat="1" x14ac:dyDescent="0.25">
      <c r="A8475" s="119"/>
      <c r="B8475" s="138" t="str">
        <f t="shared" si="677"/>
        <v/>
      </c>
      <c r="C8475" s="138" t="str">
        <f t="shared" si="678"/>
        <v/>
      </c>
      <c r="D8475" s="138" t="str">
        <f t="shared" ref="D8475:D8526" si="682">IF(ISNUMBER($J8475),"Base_Base","")</f>
        <v/>
      </c>
      <c r="E8475" s="138" t="str">
        <f t="shared" si="679"/>
        <v/>
      </c>
      <c r="F8475" s="138" t="str">
        <f t="shared" si="680"/>
        <v/>
      </c>
      <c r="G8475" s="153" t="s">
        <v>51</v>
      </c>
      <c r="H8475" s="160"/>
      <c r="I8475" s="160" t="s">
        <v>47</v>
      </c>
      <c r="J8475" s="160" t="s">
        <v>52</v>
      </c>
      <c r="K8475" s="160" t="s">
        <v>27</v>
      </c>
      <c r="L8475" s="154" t="str">
        <f>IF(OpenLCAbasic!K8475="CTUh", "Fill in Manually",IF(OR(K8475="Unit", K8475=""), "", INDEX(LookUps!$E$5:$E$12, MATCH(OpenLCAbasic!K8475,LookUps!$D$5:$D$12,0))))</f>
        <v/>
      </c>
      <c r="M8475" s="154" t="str">
        <f t="shared" si="681"/>
        <v>____Process__</v>
      </c>
    </row>
    <row r="8476" spans="1:13" s="120" customFormat="1" x14ac:dyDescent="0.25">
      <c r="A8476" s="119"/>
      <c r="B8476" s="138" t="str">
        <f t="shared" si="677"/>
        <v>Aerated Static Pile</v>
      </c>
      <c r="C8476" s="138" t="str">
        <f t="shared" si="678"/>
        <v>Without Amendment</v>
      </c>
      <c r="D8476" s="138" t="s">
        <v>130</v>
      </c>
      <c r="E8476" s="138" t="str">
        <f t="shared" si="679"/>
        <v>Base</v>
      </c>
      <c r="F8476" s="138" t="str">
        <f t="shared" si="680"/>
        <v>Upgraded</v>
      </c>
      <c r="G8476" s="153"/>
      <c r="H8476" s="210">
        <v>0.40639999999999998</v>
      </c>
      <c r="I8476" s="160" t="s">
        <v>167</v>
      </c>
      <c r="J8476" s="160">
        <v>7.9170000000000004E-2</v>
      </c>
      <c r="K8476" s="160" t="s">
        <v>14</v>
      </c>
      <c r="L8476" s="154" t="str">
        <f>IF(OpenLCAbasic!K8476="CTUh", "Fill in Manually",IF(OR(K8476="Unit", K8476=""), "", INDEX(LookUps!$E$5:$E$12, MATCH(OpenLCAbasic!K8476,LookUps!$D$5:$D$12,0))))</f>
        <v>Fossil Depletion Potential (FDP) - kg oil eq</v>
      </c>
      <c r="M8476" s="154" t="str">
        <f t="shared" si="681"/>
        <v>Base_Base_Upgraded_Fossil Depletion Potential (FDP) - kg oil eq_Waste Receiving and Holding; wastewater treatment unit; at updated plant - US_Without Amendment_Aerated Static Pile</v>
      </c>
    </row>
    <row r="8477" spans="1:13" s="120" customFormat="1" x14ac:dyDescent="0.25">
      <c r="A8477" s="119"/>
      <c r="B8477" s="138" t="str">
        <f t="shared" si="677"/>
        <v>Aerated Static Pile</v>
      </c>
      <c r="C8477" s="138" t="str">
        <f t="shared" si="678"/>
        <v>Without Amendment</v>
      </c>
      <c r="D8477" s="138" t="s">
        <v>130</v>
      </c>
      <c r="E8477" s="138" t="str">
        <f t="shared" si="679"/>
        <v>Base</v>
      </c>
      <c r="F8477" s="138" t="str">
        <f t="shared" si="680"/>
        <v>Upgraded</v>
      </c>
      <c r="G8477" s="153"/>
      <c r="H8477" s="210">
        <v>0.32640000000000002</v>
      </c>
      <c r="I8477" s="160" t="s">
        <v>55</v>
      </c>
      <c r="J8477" s="160">
        <v>6.3589999999999994E-2</v>
      </c>
      <c r="K8477" s="160" t="s">
        <v>14</v>
      </c>
      <c r="L8477" s="154" t="str">
        <f>IF(OpenLCAbasic!K8477="CTUh", "Fill in Manually",IF(OR(K8477="Unit", K8477=""), "", INDEX(LookUps!$E$5:$E$12, MATCH(OpenLCAbasic!K8477,LookUps!$D$5:$D$12,0))))</f>
        <v>Fossil Depletion Potential (FDP) - kg oil eq</v>
      </c>
      <c r="M8477" s="154" t="str">
        <f t="shared" si="681"/>
        <v>Base_Base_Upgraded_Fossil Depletion Potential (FDP) - kg oil eq_Aeration Tanks; wastewater treatment unit; at updated plant - US_Without Amendment_Aerated Static Pile</v>
      </c>
    </row>
    <row r="8478" spans="1:13" s="120" customFormat="1" x14ac:dyDescent="0.25">
      <c r="A8478" s="119"/>
      <c r="B8478" s="138" t="str">
        <f t="shared" si="677"/>
        <v>Aerated Static Pile</v>
      </c>
      <c r="C8478" s="138" t="str">
        <f t="shared" si="678"/>
        <v>Without Amendment</v>
      </c>
      <c r="D8478" s="138" t="s">
        <v>130</v>
      </c>
      <c r="E8478" s="138" t="str">
        <f t="shared" si="679"/>
        <v>Base</v>
      </c>
      <c r="F8478" s="138" t="str">
        <f t="shared" si="680"/>
        <v>Upgraded</v>
      </c>
      <c r="G8478" s="153"/>
      <c r="H8478" s="210">
        <v>0.1081</v>
      </c>
      <c r="I8478" s="160" t="s">
        <v>54</v>
      </c>
      <c r="J8478" s="160">
        <v>2.1049999999999999E-2</v>
      </c>
      <c r="K8478" s="160" t="s">
        <v>14</v>
      </c>
      <c r="L8478" s="154" t="str">
        <f>IF(OpenLCAbasic!K8478="CTUh", "Fill in Manually",IF(OR(K8478="Unit", K8478=""), "", INDEX(LookUps!$E$5:$E$12, MATCH(OpenLCAbasic!K8478,LookUps!$D$5:$D$12,0))))</f>
        <v>Fossil Depletion Potential (FDP) - kg oil eq</v>
      </c>
      <c r="M8478" s="154" t="str">
        <f t="shared" si="681"/>
        <v>Base_Base_Upgraded_Fossil Depletion Potential (FDP) - kg oil eq_Clear Cove Primary Clarification; wastewater treatment unit; at updated plant - US_Without Amendment_Aerated Static Pile</v>
      </c>
    </row>
    <row r="8479" spans="1:13" s="120" customFormat="1" x14ac:dyDescent="0.25">
      <c r="A8479" s="119"/>
      <c r="B8479" s="138" t="str">
        <f t="shared" si="677"/>
        <v>Aerated Static Pile</v>
      </c>
      <c r="C8479" s="138" t="str">
        <f t="shared" si="678"/>
        <v>Without Amendment</v>
      </c>
      <c r="D8479" s="138" t="s">
        <v>130</v>
      </c>
      <c r="E8479" s="138" t="str">
        <f t="shared" si="679"/>
        <v>Base</v>
      </c>
      <c r="F8479" s="138" t="str">
        <f t="shared" si="680"/>
        <v>Upgraded</v>
      </c>
      <c r="G8479" s="153"/>
      <c r="H8479" s="210">
        <v>8.1699999999999995E-2</v>
      </c>
      <c r="I8479" s="160" t="s">
        <v>58</v>
      </c>
      <c r="J8479" s="160">
        <v>1.592E-2</v>
      </c>
      <c r="K8479" s="160" t="s">
        <v>14</v>
      </c>
      <c r="L8479" s="154" t="str">
        <f>IF(OpenLCAbasic!K8479="CTUh", "Fill in Manually",IF(OR(K8479="Unit", K8479=""), "", INDEX(LookUps!$E$5:$E$12, MATCH(OpenLCAbasic!K8479,LookUps!$D$5:$D$12,0))))</f>
        <v>Fossil Depletion Potential (FDP) - kg oil eq</v>
      </c>
      <c r="M8479" s="154" t="str">
        <f t="shared" si="681"/>
        <v>Base_Base_Upgraded_Fossil Depletion Potential (FDP) - kg oil eq_Pre-Anoxic &amp; Swing tank; wastewater treatment unit; at updated plant - US_Without Amendment_Aerated Static Pile</v>
      </c>
    </row>
    <row r="8480" spans="1:13" s="120" customFormat="1" x14ac:dyDescent="0.25">
      <c r="A8480" s="119"/>
      <c r="B8480" s="138" t="str">
        <f t="shared" si="677"/>
        <v>Aerated Static Pile</v>
      </c>
      <c r="C8480" s="138" t="str">
        <f t="shared" si="678"/>
        <v>Without Amendment</v>
      </c>
      <c r="D8480" s="138" t="s">
        <v>130</v>
      </c>
      <c r="E8480" s="138" t="str">
        <f t="shared" si="679"/>
        <v>Base</v>
      </c>
      <c r="F8480" s="138" t="str">
        <f t="shared" si="680"/>
        <v>Upgraded</v>
      </c>
      <c r="G8480" s="153"/>
      <c r="H8480" s="210">
        <v>7.7399999999999997E-2</v>
      </c>
      <c r="I8480" s="160" t="s">
        <v>147</v>
      </c>
      <c r="J8480" s="160">
        <v>1.5089999999999999E-2</v>
      </c>
      <c r="K8480" s="160" t="s">
        <v>14</v>
      </c>
      <c r="L8480" s="154" t="str">
        <f>IF(OpenLCAbasic!K8480="CTUh", "Fill in Manually",IF(OR(K8480="Unit", K8480=""), "", INDEX(LookUps!$E$5:$E$12, MATCH(OpenLCAbasic!K8480,LookUps!$D$5:$D$12,0))))</f>
        <v>Fossil Depletion Potential (FDP) - kg oil eq</v>
      </c>
      <c r="M8480" s="154" t="str">
        <f t="shared" si="681"/>
        <v>Base_Base_Upgraded_Fossil Depletion Potential (FDP) - kg oil eq_Influent Pump Station; wastewater treatment unit; at updated plant - US_Without Amendment_Aerated Static Pile</v>
      </c>
    </row>
    <row r="8481" spans="1:13" s="120" customFormat="1" x14ac:dyDescent="0.25">
      <c r="A8481" s="119"/>
      <c r="B8481" s="138" t="str">
        <f t="shared" si="677"/>
        <v>Aerated Static Pile</v>
      </c>
      <c r="C8481" s="138" t="str">
        <f t="shared" si="678"/>
        <v>Without Amendment</v>
      </c>
      <c r="D8481" s="138" t="s">
        <v>130</v>
      </c>
      <c r="E8481" s="138" t="str">
        <f t="shared" si="679"/>
        <v>Base</v>
      </c>
      <c r="F8481" s="138" t="str">
        <f t="shared" si="680"/>
        <v>Upgraded</v>
      </c>
      <c r="G8481" s="153"/>
      <c r="H8481" s="210">
        <v>6.4100000000000004E-2</v>
      </c>
      <c r="I8481" s="160" t="s">
        <v>53</v>
      </c>
      <c r="J8481" s="160">
        <v>1.2489999999999999E-2</v>
      </c>
      <c r="K8481" s="160" t="s">
        <v>14</v>
      </c>
      <c r="L8481" s="154" t="str">
        <f>IF(OpenLCAbasic!K8481="CTUh", "Fill in Manually",IF(OR(K8481="Unit", K8481=""), "", INDEX(LookUps!$E$5:$E$12, MATCH(OpenLCAbasic!K8481,LookUps!$D$5:$D$12,0))))</f>
        <v>Fossil Depletion Potential (FDP) - kg oil eq</v>
      </c>
      <c r="M8481" s="154" t="str">
        <f t="shared" si="681"/>
        <v>Base_Base_Upgraded_Fossil Depletion Potential (FDP) - kg oil eq_Wet Well and Sump Station; wastewater treatment unit; at updated plant - US_Without Amendment_Aerated Static Pile</v>
      </c>
    </row>
    <row r="8482" spans="1:13" s="120" customFormat="1" x14ac:dyDescent="0.25">
      <c r="A8482" s="119"/>
      <c r="B8482" s="138" t="str">
        <f t="shared" si="677"/>
        <v>Aerated Static Pile</v>
      </c>
      <c r="C8482" s="138" t="str">
        <f t="shared" si="678"/>
        <v>Without Amendment</v>
      </c>
      <c r="D8482" s="138" t="s">
        <v>130</v>
      </c>
      <c r="E8482" s="138" t="str">
        <f t="shared" si="679"/>
        <v>Base</v>
      </c>
      <c r="F8482" s="138" t="str">
        <f t="shared" si="680"/>
        <v>Upgraded</v>
      </c>
      <c r="G8482" s="153"/>
      <c r="H8482" s="210">
        <v>3.5499999999999997E-2</v>
      </c>
      <c r="I8482" s="160" t="s">
        <v>57</v>
      </c>
      <c r="J8482" s="160">
        <v>6.9199999999999999E-3</v>
      </c>
      <c r="K8482" s="160" t="s">
        <v>14</v>
      </c>
      <c r="L8482" s="154" t="str">
        <f>IF(OpenLCAbasic!K8482="CTUh", "Fill in Manually",IF(OR(K8482="Unit", K8482=""), "", INDEX(LookUps!$E$5:$E$12, MATCH(OpenLCAbasic!K8482,LookUps!$D$5:$D$12,0))))</f>
        <v>Fossil Depletion Potential (FDP) - kg oil eq</v>
      </c>
      <c r="M8482" s="154" t="str">
        <f t="shared" si="681"/>
        <v>Base_Base_Upgraded_Fossil Depletion Potential (FDP) - kg oil eq_Gravity Belt Thickener; wastewater treatment unit; at updated plant - US_Without Amendment_Aerated Static Pile</v>
      </c>
    </row>
    <row r="8483" spans="1:13" s="120" customFormat="1" x14ac:dyDescent="0.25">
      <c r="A8483" s="119"/>
      <c r="B8483" s="138" t="str">
        <f t="shared" si="677"/>
        <v>Aerated Static Pile</v>
      </c>
      <c r="C8483" s="138" t="str">
        <f t="shared" si="678"/>
        <v>Without Amendment</v>
      </c>
      <c r="D8483" s="138" t="s">
        <v>130</v>
      </c>
      <c r="E8483" s="138" t="str">
        <f t="shared" si="679"/>
        <v>Base</v>
      </c>
      <c r="F8483" s="138" t="str">
        <f t="shared" si="680"/>
        <v>Upgraded</v>
      </c>
      <c r="G8483" s="153"/>
      <c r="H8483" s="210">
        <v>3.2500000000000001E-2</v>
      </c>
      <c r="I8483" s="160" t="s">
        <v>435</v>
      </c>
      <c r="J8483" s="160">
        <v>6.3299999999999997E-3</v>
      </c>
      <c r="K8483" s="160" t="s">
        <v>14</v>
      </c>
      <c r="L8483" s="154" t="str">
        <f>IF(OpenLCAbasic!K8483="CTUh", "Fill in Manually",IF(OR(K8483="Unit", K8483=""), "", INDEX(LookUps!$E$5:$E$12, MATCH(OpenLCAbasic!K8483,LookUps!$D$5:$D$12,0))))</f>
        <v>Fossil Depletion Potential (FDP) - kg oil eq</v>
      </c>
      <c r="M8483" s="154" t="str">
        <f t="shared" si="681"/>
        <v>Base_Base_Upgraded_Fossil Depletion Potential (FDP) - kg oil eq_Biosolids composting; aerated static pile; wastewater treatment unit; at updated plant - US_Without Amendment_Aerated Static Pile</v>
      </c>
    </row>
    <row r="8484" spans="1:13" s="120" customFormat="1" x14ac:dyDescent="0.25">
      <c r="A8484" s="119"/>
      <c r="B8484" s="138" t="str">
        <f t="shared" si="677"/>
        <v>Aerated Static Pile</v>
      </c>
      <c r="C8484" s="138" t="str">
        <f t="shared" si="678"/>
        <v>Without Amendment</v>
      </c>
      <c r="D8484" s="138" t="s">
        <v>130</v>
      </c>
      <c r="E8484" s="138" t="str">
        <f t="shared" si="679"/>
        <v>Base</v>
      </c>
      <c r="F8484" s="138" t="str">
        <f t="shared" si="680"/>
        <v>Upgraded</v>
      </c>
      <c r="G8484" s="153"/>
      <c r="H8484" s="210">
        <v>2.98E-2</v>
      </c>
      <c r="I8484" s="160" t="s">
        <v>60</v>
      </c>
      <c r="J8484" s="160">
        <v>5.8100000000000001E-3</v>
      </c>
      <c r="K8484" s="160" t="s">
        <v>14</v>
      </c>
      <c r="L8484" s="154" t="str">
        <f>IF(OpenLCAbasic!K8484="CTUh", "Fill in Manually",IF(OR(K8484="Unit", K8484=""), "", INDEX(LookUps!$E$5:$E$12, MATCH(OpenLCAbasic!K8484,LookUps!$D$5:$D$12,0))))</f>
        <v>Fossil Depletion Potential (FDP) - kg oil eq</v>
      </c>
      <c r="M8484" s="154" t="str">
        <f t="shared" si="681"/>
        <v>Base_Base_Upgraded_Fossil Depletion Potential (FDP) - kg oil eq_Belt filter press; wastewater treatment unit; at updated plant - US_Without Amendment_Aerated Static Pile</v>
      </c>
    </row>
    <row r="8485" spans="1:13" s="120" customFormat="1" x14ac:dyDescent="0.25">
      <c r="A8485" s="119"/>
      <c r="B8485" s="138" t="str">
        <f t="shared" si="677"/>
        <v>Aerated Static Pile</v>
      </c>
      <c r="C8485" s="138" t="str">
        <f t="shared" si="678"/>
        <v>Without Amendment</v>
      </c>
      <c r="D8485" s="138" t="s">
        <v>130</v>
      </c>
      <c r="E8485" s="138" t="str">
        <f t="shared" si="679"/>
        <v>Base</v>
      </c>
      <c r="F8485" s="138" t="str">
        <f t="shared" si="680"/>
        <v>Upgraded</v>
      </c>
      <c r="G8485" s="153"/>
      <c r="H8485" s="210">
        <v>2.3099999999999999E-2</v>
      </c>
      <c r="I8485" s="160" t="s">
        <v>128</v>
      </c>
      <c r="J8485" s="160">
        <v>4.4999999999999997E-3</v>
      </c>
      <c r="K8485" s="160" t="s">
        <v>14</v>
      </c>
      <c r="L8485" s="154" t="str">
        <f>IF(OpenLCAbasic!K8485="CTUh", "Fill in Manually",IF(OR(K8485="Unit", K8485=""), "", INDEX(LookUps!$E$5:$E$12, MATCH(OpenLCAbasic!K8485,LookUps!$D$5:$D$12,0))))</f>
        <v>Fossil Depletion Potential (FDP) - kg oil eq</v>
      </c>
      <c r="M8485" s="154" t="str">
        <f t="shared" si="681"/>
        <v>Base_Base_Upgraded_Fossil Depletion Potential (FDP) - kg oil eq_Wastewater collection; operation and infrastructure; m3 wastewater_Without Amendment_Aerated Static Pile</v>
      </c>
    </row>
    <row r="8486" spans="1:13" s="120" customFormat="1" x14ac:dyDescent="0.25">
      <c r="A8486" s="119"/>
      <c r="B8486" s="138" t="str">
        <f t="shared" si="677"/>
        <v>Aerated Static Pile</v>
      </c>
      <c r="C8486" s="138" t="str">
        <f t="shared" si="678"/>
        <v>Without Amendment</v>
      </c>
      <c r="D8486" s="138" t="s">
        <v>130</v>
      </c>
      <c r="E8486" s="138" t="str">
        <f t="shared" si="679"/>
        <v>Base</v>
      </c>
      <c r="F8486" s="138" t="str">
        <f t="shared" si="680"/>
        <v>Upgraded</v>
      </c>
      <c r="G8486" s="153"/>
      <c r="H8486" s="210">
        <v>1.44E-2</v>
      </c>
      <c r="I8486" s="160" t="s">
        <v>148</v>
      </c>
      <c r="J8486" s="160">
        <v>2.8E-3</v>
      </c>
      <c r="K8486" s="160" t="s">
        <v>14</v>
      </c>
      <c r="L8486" s="154" t="str">
        <f>IF(OpenLCAbasic!K8486="CTUh", "Fill in Manually",IF(OR(K8486="Unit", K8486=""), "", INDEX(LookUps!$E$5:$E$12, MATCH(OpenLCAbasic!K8486,LookUps!$D$5:$D$12,0))))</f>
        <v>Fossil Depletion Potential (FDP) - kg oil eq</v>
      </c>
      <c r="M8486" s="154" t="str">
        <f t="shared" si="681"/>
        <v>Base_Base_Upgraded_Fossil Depletion Potential (FDP) - kg oil eq_Control Building; at upgraded wastewater treatment plant - US_Without Amendment_Aerated Static Pile</v>
      </c>
    </row>
    <row r="8487" spans="1:13" s="120" customFormat="1" x14ac:dyDescent="0.25">
      <c r="A8487" s="119"/>
      <c r="B8487" s="138" t="str">
        <f t="shared" si="677"/>
        <v>Aerated Static Pile</v>
      </c>
      <c r="C8487" s="138" t="str">
        <f t="shared" si="678"/>
        <v>Without Amendment</v>
      </c>
      <c r="D8487" s="138" t="s">
        <v>130</v>
      </c>
      <c r="E8487" s="138" t="str">
        <f t="shared" si="679"/>
        <v>Base</v>
      </c>
      <c r="F8487" s="138" t="str">
        <f t="shared" si="680"/>
        <v>Upgraded</v>
      </c>
      <c r="G8487" s="153"/>
      <c r="H8487" s="210">
        <v>1.21E-2</v>
      </c>
      <c r="I8487" s="160" t="s">
        <v>48</v>
      </c>
      <c r="J8487" s="160">
        <v>2.3600000000000001E-3</v>
      </c>
      <c r="K8487" s="160" t="s">
        <v>14</v>
      </c>
      <c r="L8487" s="154" t="str">
        <f>IF(OpenLCAbasic!K8487="CTUh", "Fill in Manually",IF(OR(K8487="Unit", K8487=""), "", INDEX(LookUps!$E$5:$E$12, MATCH(OpenLCAbasic!K8487,LookUps!$D$5:$D$12,0))))</f>
        <v>Fossil Depletion Potential (FDP) - kg oil eq</v>
      </c>
      <c r="M8487" s="154" t="str">
        <f t="shared" si="681"/>
        <v>Base_Base_Upgraded_Fossil Depletion Potential (FDP) - kg oil eq_Effluent release; wastewater treatment unit; at surface water; m3 wastewater - US_Without Amendment_Aerated Static Pile</v>
      </c>
    </row>
    <row r="8488" spans="1:13" s="120" customFormat="1" x14ac:dyDescent="0.25">
      <c r="A8488" s="119"/>
      <c r="B8488" s="138" t="str">
        <f t="shared" si="677"/>
        <v>Aerated Static Pile</v>
      </c>
      <c r="C8488" s="138" t="str">
        <f t="shared" si="678"/>
        <v>Without Amendment</v>
      </c>
      <c r="D8488" s="138" t="s">
        <v>130</v>
      </c>
      <c r="E8488" s="138" t="str">
        <f t="shared" si="679"/>
        <v>Base</v>
      </c>
      <c r="F8488" s="138" t="str">
        <f t="shared" si="680"/>
        <v>Upgraded</v>
      </c>
      <c r="G8488" s="153"/>
      <c r="H8488" s="210">
        <v>9.9000000000000008E-3</v>
      </c>
      <c r="I8488" s="160" t="s">
        <v>59</v>
      </c>
      <c r="J8488" s="160">
        <v>1.92E-3</v>
      </c>
      <c r="K8488" s="160" t="s">
        <v>14</v>
      </c>
      <c r="L8488" s="154" t="str">
        <f>IF(OpenLCAbasic!K8488="CTUh", "Fill in Manually",IF(OR(K8488="Unit", K8488=""), "", INDEX(LookUps!$E$5:$E$12, MATCH(OpenLCAbasic!K8488,LookUps!$D$5:$D$12,0))))</f>
        <v>Fossil Depletion Potential (FDP) - kg oil eq</v>
      </c>
      <c r="M8488" s="154" t="str">
        <f t="shared" si="681"/>
        <v>Base_Base_Upgraded_Fossil Depletion Potential (FDP) - kg oil eq_Blend Tank; wastewater treatment unit; at updated plant - US_Without Amendment_Aerated Static Pile</v>
      </c>
    </row>
    <row r="8489" spans="1:13" s="120" customFormat="1" x14ac:dyDescent="0.25">
      <c r="A8489" s="119"/>
      <c r="B8489" s="138" t="str">
        <f t="shared" ref="B8489:B8552" si="683">IF(F8489="Legacy","n.a.",IF(F8489="","","Aerated Static Pile"))</f>
        <v>Aerated Static Pile</v>
      </c>
      <c r="C8489" s="138" t="str">
        <f t="shared" ref="C8489:C8552" si="684">IF(ISNUMBER($J8489),"Without Amendment","")</f>
        <v>Without Amendment</v>
      </c>
      <c r="D8489" s="138" t="s">
        <v>130</v>
      </c>
      <c r="E8489" s="138" t="str">
        <f t="shared" ref="E8489:E8552" si="685">IF(ISNUMBER($J8489),"Base","")</f>
        <v>Base</v>
      </c>
      <c r="F8489" s="138" t="str">
        <f t="shared" ref="F8489:F8552" si="686">IF(ISNUMBER(J8489),"Upgraded","")</f>
        <v>Upgraded</v>
      </c>
      <c r="G8489" s="153"/>
      <c r="H8489" s="210">
        <v>4.7000000000000002E-3</v>
      </c>
      <c r="I8489" s="160" t="s">
        <v>168</v>
      </c>
      <c r="J8489" s="160">
        <v>9.1E-4</v>
      </c>
      <c r="K8489" s="160" t="s">
        <v>14</v>
      </c>
      <c r="L8489" s="154" t="str">
        <f>IF(OpenLCAbasic!K8489="CTUh", "Fill in Manually",IF(OR(K8489="Unit", K8489=""), "", INDEX(LookUps!$E$5:$E$12, MATCH(OpenLCAbasic!K8489,LookUps!$D$5:$D$12,0))))</f>
        <v>Fossil Depletion Potential (FDP) - kg oil eq</v>
      </c>
      <c r="M8489" s="154" t="str">
        <f t="shared" si="681"/>
        <v>Base_Base_Upgraded_Fossil Depletion Potential (FDP) - kg oil eq_ClearCove SCP; wastewater treatment unit; at updated plant - US_Without Amendment_Aerated Static Pile</v>
      </c>
    </row>
    <row r="8490" spans="1:13" s="120" customFormat="1" x14ac:dyDescent="0.25">
      <c r="A8490" s="119"/>
      <c r="B8490" s="138" t="str">
        <f t="shared" si="683"/>
        <v>Aerated Static Pile</v>
      </c>
      <c r="C8490" s="138" t="str">
        <f t="shared" si="684"/>
        <v>Without Amendment</v>
      </c>
      <c r="D8490" s="138" t="s">
        <v>130</v>
      </c>
      <c r="E8490" s="138" t="str">
        <f t="shared" si="685"/>
        <v>Base</v>
      </c>
      <c r="F8490" s="138" t="str">
        <f t="shared" si="686"/>
        <v>Upgraded</v>
      </c>
      <c r="G8490" s="153"/>
      <c r="H8490" s="210">
        <v>-2.06E-2</v>
      </c>
      <c r="I8490" s="160" t="s">
        <v>62</v>
      </c>
      <c r="J8490" s="160">
        <v>-4.0099999999999997E-3</v>
      </c>
      <c r="K8490" s="160" t="s">
        <v>14</v>
      </c>
      <c r="L8490" s="154" t="str">
        <f>IF(OpenLCAbasic!K8490="CTUh", "Fill in Manually",IF(OR(K8490="Unit", K8490=""), "", INDEX(LookUps!$E$5:$E$12, MATCH(OpenLCAbasic!K8490,LookUps!$D$5:$D$12,0))))</f>
        <v>Fossil Depletion Potential (FDP) - kg oil eq</v>
      </c>
      <c r="M8490" s="154" t="str">
        <f t="shared" si="681"/>
        <v>Base_Base_Upgraded_Fossil Depletion Potential (FDP) - kg oil eq_Land application of compost; wastewater treatment unit; at updated plant - US_Without Amendment_Aerated Static Pile</v>
      </c>
    </row>
    <row r="8491" spans="1:13" s="120" customFormat="1" x14ac:dyDescent="0.25">
      <c r="A8491" s="119"/>
      <c r="B8491" s="138" t="str">
        <f t="shared" si="683"/>
        <v>Aerated Static Pile</v>
      </c>
      <c r="C8491" s="138" t="str">
        <f t="shared" si="684"/>
        <v>Without Amendment</v>
      </c>
      <c r="D8491" s="138" t="s">
        <v>130</v>
      </c>
      <c r="E8491" s="138" t="str">
        <f t="shared" si="685"/>
        <v>Base</v>
      </c>
      <c r="F8491" s="138" t="str">
        <f t="shared" si="686"/>
        <v>Upgraded</v>
      </c>
      <c r="G8491" s="153"/>
      <c r="H8491" s="210">
        <v>-0.20549999999999999</v>
      </c>
      <c r="I8491" s="160" t="s">
        <v>149</v>
      </c>
      <c r="J8491" s="160">
        <v>-4.0030000000000003E-2</v>
      </c>
      <c r="K8491" s="160" t="s">
        <v>14</v>
      </c>
      <c r="L8491" s="154" t="str">
        <f>IF(OpenLCAbasic!K8491="CTUh", "Fill in Manually",IF(OR(K8491="Unit", K8491=""), "", INDEX(LookUps!$E$5:$E$12, MATCH(OpenLCAbasic!K8491,LookUps!$D$5:$D$12,0))))</f>
        <v>Fossil Depletion Potential (FDP) - kg oil eq</v>
      </c>
      <c r="M8491" s="154" t="str">
        <f t="shared" si="681"/>
        <v>Base_Base_Upgraded_Fossil Depletion Potential (FDP) - kg oil eq_Anaerobic Digestion; wastewater treatment unit; at updated plant - US_Without Amendment_Aerated Static Pile</v>
      </c>
    </row>
    <row r="8492" spans="1:13" s="120" customFormat="1" x14ac:dyDescent="0.25">
      <c r="A8492" s="119"/>
      <c r="B8492" s="138" t="str">
        <f t="shared" si="683"/>
        <v/>
      </c>
      <c r="C8492" s="138" t="str">
        <f t="shared" si="684"/>
        <v/>
      </c>
      <c r="D8492" s="138" t="str">
        <f t="shared" si="682"/>
        <v/>
      </c>
      <c r="E8492" s="138" t="str">
        <f t="shared" si="685"/>
        <v/>
      </c>
      <c r="F8492" s="138" t="str">
        <f t="shared" si="686"/>
        <v/>
      </c>
      <c r="G8492" s="153" t="s">
        <v>51</v>
      </c>
      <c r="H8492" s="160"/>
      <c r="I8492" s="160" t="s">
        <v>47</v>
      </c>
      <c r="J8492" s="160" t="s">
        <v>52</v>
      </c>
      <c r="K8492" s="160" t="s">
        <v>27</v>
      </c>
      <c r="L8492" s="154" t="str">
        <f>IF(OpenLCAbasic!K8492="CTUh", "Fill in Manually",IF(OR(K8492="Unit", K8492=""), "", INDEX(LookUps!$E$5:$E$12, MATCH(OpenLCAbasic!K8492,LookUps!$D$5:$D$12,0))))</f>
        <v/>
      </c>
      <c r="M8492" s="154" t="str">
        <f t="shared" si="681"/>
        <v>____Process__</v>
      </c>
    </row>
    <row r="8493" spans="1:13" s="120" customFormat="1" x14ac:dyDescent="0.25">
      <c r="A8493" s="119"/>
      <c r="B8493" s="138" t="str">
        <f t="shared" si="683"/>
        <v>Aerated Static Pile</v>
      </c>
      <c r="C8493" s="138" t="str">
        <f t="shared" si="684"/>
        <v>Without Amendment</v>
      </c>
      <c r="D8493" s="138" t="s">
        <v>130</v>
      </c>
      <c r="E8493" s="138" t="str">
        <f t="shared" si="685"/>
        <v>Base</v>
      </c>
      <c r="F8493" s="138" t="str">
        <f t="shared" si="686"/>
        <v>Upgraded</v>
      </c>
      <c r="G8493" s="153"/>
      <c r="H8493" s="210">
        <v>0.35659999999999997</v>
      </c>
      <c r="I8493" s="160" t="s">
        <v>435</v>
      </c>
      <c r="J8493" s="160">
        <v>0.31569999999999998</v>
      </c>
      <c r="K8493" s="160" t="s">
        <v>23</v>
      </c>
      <c r="L8493" s="154" t="str">
        <f>IF(OpenLCAbasic!K8493="CTUh", "Fill in Manually",IF(OR(K8493="Unit", K8493=""), "", INDEX(LookUps!$E$5:$E$12, MATCH(OpenLCAbasic!K8493,LookUps!$D$5:$D$12,0))))</f>
        <v>Global Warming Potential (GWP) - kg CO2 eq</v>
      </c>
      <c r="M8493" s="154" t="str">
        <f t="shared" si="681"/>
        <v>Base_Base_Upgraded_Global Warming Potential (GWP) - kg CO2 eq_Biosolids composting; aerated static pile; wastewater treatment unit; at updated plant - US_Without Amendment_Aerated Static Pile</v>
      </c>
    </row>
    <row r="8494" spans="1:13" s="120" customFormat="1" x14ac:dyDescent="0.25">
      <c r="A8494" s="119"/>
      <c r="B8494" s="138" t="str">
        <f t="shared" si="683"/>
        <v>Aerated Static Pile</v>
      </c>
      <c r="C8494" s="138" t="str">
        <f t="shared" si="684"/>
        <v>Without Amendment</v>
      </c>
      <c r="D8494" s="138" t="s">
        <v>130</v>
      </c>
      <c r="E8494" s="138" t="str">
        <f t="shared" si="685"/>
        <v>Base</v>
      </c>
      <c r="F8494" s="138" t="str">
        <f t="shared" si="686"/>
        <v>Upgraded</v>
      </c>
      <c r="G8494" s="153"/>
      <c r="H8494" s="210">
        <v>0.27429999999999999</v>
      </c>
      <c r="I8494" s="160" t="s">
        <v>58</v>
      </c>
      <c r="J8494" s="160">
        <v>0.24279999999999999</v>
      </c>
      <c r="K8494" s="160" t="s">
        <v>23</v>
      </c>
      <c r="L8494" s="154" t="str">
        <f>IF(OpenLCAbasic!K8494="CTUh", "Fill in Manually",IF(OR(K8494="Unit", K8494=""), "", INDEX(LookUps!$E$5:$E$12, MATCH(OpenLCAbasic!K8494,LookUps!$D$5:$D$12,0))))</f>
        <v>Global Warming Potential (GWP) - kg CO2 eq</v>
      </c>
      <c r="M8494" s="154" t="str">
        <f t="shared" si="681"/>
        <v>Base_Base_Upgraded_Global Warming Potential (GWP) - kg CO2 eq_Pre-Anoxic &amp; Swing tank; wastewater treatment unit; at updated plant - US_Without Amendment_Aerated Static Pile</v>
      </c>
    </row>
    <row r="8495" spans="1:13" s="120" customFormat="1" x14ac:dyDescent="0.25">
      <c r="A8495" s="119"/>
      <c r="B8495" s="138" t="str">
        <f t="shared" si="683"/>
        <v>Aerated Static Pile</v>
      </c>
      <c r="C8495" s="138" t="str">
        <f t="shared" si="684"/>
        <v>Without Amendment</v>
      </c>
      <c r="D8495" s="138" t="s">
        <v>130</v>
      </c>
      <c r="E8495" s="138" t="str">
        <f t="shared" si="685"/>
        <v>Base</v>
      </c>
      <c r="F8495" s="138" t="str">
        <f t="shared" si="686"/>
        <v>Upgraded</v>
      </c>
      <c r="G8495" s="153"/>
      <c r="H8495" s="210">
        <v>0.19</v>
      </c>
      <c r="I8495" s="160" t="s">
        <v>55</v>
      </c>
      <c r="J8495" s="160">
        <v>0.16822000000000001</v>
      </c>
      <c r="K8495" s="160" t="s">
        <v>23</v>
      </c>
      <c r="L8495" s="154" t="str">
        <f>IF(OpenLCAbasic!K8495="CTUh", "Fill in Manually",IF(OR(K8495="Unit", K8495=""), "", INDEX(LookUps!$E$5:$E$12, MATCH(OpenLCAbasic!K8495,LookUps!$D$5:$D$12,0))))</f>
        <v>Global Warming Potential (GWP) - kg CO2 eq</v>
      </c>
      <c r="M8495" s="154" t="str">
        <f t="shared" si="681"/>
        <v>Base_Base_Upgraded_Global Warming Potential (GWP) - kg CO2 eq_Aeration Tanks; wastewater treatment unit; at updated plant - US_Without Amendment_Aerated Static Pile</v>
      </c>
    </row>
    <row r="8496" spans="1:13" s="120" customFormat="1" x14ac:dyDescent="0.25">
      <c r="A8496" s="119"/>
      <c r="B8496" s="138" t="str">
        <f t="shared" si="683"/>
        <v>Aerated Static Pile</v>
      </c>
      <c r="C8496" s="138" t="str">
        <f t="shared" si="684"/>
        <v>Without Amendment</v>
      </c>
      <c r="D8496" s="138" t="s">
        <v>130</v>
      </c>
      <c r="E8496" s="138" t="str">
        <f t="shared" si="685"/>
        <v>Base</v>
      </c>
      <c r="F8496" s="138" t="str">
        <f t="shared" si="686"/>
        <v>Upgraded</v>
      </c>
      <c r="G8496" s="153"/>
      <c r="H8496" s="210">
        <v>0.1157</v>
      </c>
      <c r="I8496" s="160" t="s">
        <v>167</v>
      </c>
      <c r="J8496" s="160">
        <v>0.10241</v>
      </c>
      <c r="K8496" s="160" t="s">
        <v>23</v>
      </c>
      <c r="L8496" s="154" t="str">
        <f>IF(OpenLCAbasic!K8496="CTUh", "Fill in Manually",IF(OR(K8496="Unit", K8496=""), "", INDEX(LookUps!$E$5:$E$12, MATCH(OpenLCAbasic!K8496,LookUps!$D$5:$D$12,0))))</f>
        <v>Global Warming Potential (GWP) - kg CO2 eq</v>
      </c>
      <c r="M8496" s="154" t="str">
        <f t="shared" si="681"/>
        <v>Base_Base_Upgraded_Global Warming Potential (GWP) - kg CO2 eq_Waste Receiving and Holding; wastewater treatment unit; at updated plant - US_Without Amendment_Aerated Static Pile</v>
      </c>
    </row>
    <row r="8497" spans="1:13" s="120" customFormat="1" x14ac:dyDescent="0.25">
      <c r="A8497" s="119"/>
      <c r="B8497" s="138" t="str">
        <f t="shared" si="683"/>
        <v>Aerated Static Pile</v>
      </c>
      <c r="C8497" s="138" t="str">
        <f t="shared" si="684"/>
        <v>Without Amendment</v>
      </c>
      <c r="D8497" s="138" t="s">
        <v>130</v>
      </c>
      <c r="E8497" s="138" t="str">
        <f t="shared" si="685"/>
        <v>Base</v>
      </c>
      <c r="F8497" s="138" t="str">
        <f t="shared" si="686"/>
        <v>Upgraded</v>
      </c>
      <c r="G8497" s="153"/>
      <c r="H8497" s="210">
        <v>6.4500000000000002E-2</v>
      </c>
      <c r="I8497" s="160" t="s">
        <v>54</v>
      </c>
      <c r="J8497" s="160">
        <v>5.7079999999999999E-2</v>
      </c>
      <c r="K8497" s="160" t="s">
        <v>23</v>
      </c>
      <c r="L8497" s="154" t="str">
        <f>IF(OpenLCAbasic!K8497="CTUh", "Fill in Manually",IF(OR(K8497="Unit", K8497=""), "", INDEX(LookUps!$E$5:$E$12, MATCH(OpenLCAbasic!K8497,LookUps!$D$5:$D$12,0))))</f>
        <v>Global Warming Potential (GWP) - kg CO2 eq</v>
      </c>
      <c r="M8497" s="154" t="str">
        <f t="shared" si="681"/>
        <v>Base_Base_Upgraded_Global Warming Potential (GWP) - kg CO2 eq_Clear Cove Primary Clarification; wastewater treatment unit; at updated plant - US_Without Amendment_Aerated Static Pile</v>
      </c>
    </row>
    <row r="8498" spans="1:13" s="120" customFormat="1" x14ac:dyDescent="0.25">
      <c r="A8498" s="119"/>
      <c r="B8498" s="138" t="str">
        <f t="shared" si="683"/>
        <v>Aerated Static Pile</v>
      </c>
      <c r="C8498" s="138" t="str">
        <f t="shared" si="684"/>
        <v>Without Amendment</v>
      </c>
      <c r="D8498" s="138" t="s">
        <v>130</v>
      </c>
      <c r="E8498" s="138" t="str">
        <f t="shared" si="685"/>
        <v>Base</v>
      </c>
      <c r="F8498" s="138" t="str">
        <f t="shared" si="686"/>
        <v>Upgraded</v>
      </c>
      <c r="G8498" s="153"/>
      <c r="H8498" s="210">
        <v>5.9499999999999997E-2</v>
      </c>
      <c r="I8498" s="160" t="s">
        <v>48</v>
      </c>
      <c r="J8498" s="160">
        <v>5.2639999999999999E-2</v>
      </c>
      <c r="K8498" s="160" t="s">
        <v>23</v>
      </c>
      <c r="L8498" s="154" t="str">
        <f>IF(OpenLCAbasic!K8498="CTUh", "Fill in Manually",IF(OR(K8498="Unit", K8498=""), "", INDEX(LookUps!$E$5:$E$12, MATCH(OpenLCAbasic!K8498,LookUps!$D$5:$D$12,0))))</f>
        <v>Global Warming Potential (GWP) - kg CO2 eq</v>
      </c>
      <c r="M8498" s="154" t="str">
        <f t="shared" si="681"/>
        <v>Base_Base_Upgraded_Global Warming Potential (GWP) - kg CO2 eq_Effluent release; wastewater treatment unit; at surface water; m3 wastewater - US_Without Amendment_Aerated Static Pile</v>
      </c>
    </row>
    <row r="8499" spans="1:13" s="120" customFormat="1" x14ac:dyDescent="0.25">
      <c r="A8499" s="119"/>
      <c r="B8499" s="138" t="str">
        <f t="shared" si="683"/>
        <v>Aerated Static Pile</v>
      </c>
      <c r="C8499" s="138" t="str">
        <f t="shared" si="684"/>
        <v>Without Amendment</v>
      </c>
      <c r="D8499" s="138" t="s">
        <v>130</v>
      </c>
      <c r="E8499" s="138" t="str">
        <f t="shared" si="685"/>
        <v>Base</v>
      </c>
      <c r="F8499" s="138" t="str">
        <f t="shared" si="686"/>
        <v>Upgraded</v>
      </c>
      <c r="G8499" s="153"/>
      <c r="H8499" s="210">
        <v>5.7000000000000002E-2</v>
      </c>
      <c r="I8499" s="160" t="s">
        <v>147</v>
      </c>
      <c r="J8499" s="160">
        <v>5.0500000000000003E-2</v>
      </c>
      <c r="K8499" s="160" t="s">
        <v>23</v>
      </c>
      <c r="L8499" s="154" t="str">
        <f>IF(OpenLCAbasic!K8499="CTUh", "Fill in Manually",IF(OR(K8499="Unit", K8499=""), "", INDEX(LookUps!$E$5:$E$12, MATCH(OpenLCAbasic!K8499,LookUps!$D$5:$D$12,0))))</f>
        <v>Global Warming Potential (GWP) - kg CO2 eq</v>
      </c>
      <c r="M8499" s="154" t="str">
        <f t="shared" si="681"/>
        <v>Base_Base_Upgraded_Global Warming Potential (GWP) - kg CO2 eq_Influent Pump Station; wastewater treatment unit; at updated plant - US_Without Amendment_Aerated Static Pile</v>
      </c>
    </row>
    <row r="8500" spans="1:13" s="120" customFormat="1" x14ac:dyDescent="0.25">
      <c r="A8500" s="119"/>
      <c r="B8500" s="138" t="str">
        <f t="shared" si="683"/>
        <v>Aerated Static Pile</v>
      </c>
      <c r="C8500" s="138" t="str">
        <f t="shared" si="684"/>
        <v>Without Amendment</v>
      </c>
      <c r="D8500" s="138" t="s">
        <v>130</v>
      </c>
      <c r="E8500" s="138" t="str">
        <f t="shared" si="685"/>
        <v>Base</v>
      </c>
      <c r="F8500" s="138" t="str">
        <f t="shared" si="686"/>
        <v>Upgraded</v>
      </c>
      <c r="G8500" s="153"/>
      <c r="H8500" s="210">
        <v>3.7600000000000001E-2</v>
      </c>
      <c r="I8500" s="160" t="s">
        <v>53</v>
      </c>
      <c r="J8500" s="160">
        <v>3.3259999999999998E-2</v>
      </c>
      <c r="K8500" s="160" t="s">
        <v>23</v>
      </c>
      <c r="L8500" s="154" t="str">
        <f>IF(OpenLCAbasic!K8500="CTUh", "Fill in Manually",IF(OR(K8500="Unit", K8500=""), "", INDEX(LookUps!$E$5:$E$12, MATCH(OpenLCAbasic!K8500,LookUps!$D$5:$D$12,0))))</f>
        <v>Global Warming Potential (GWP) - kg CO2 eq</v>
      </c>
      <c r="M8500" s="154" t="str">
        <f t="shared" si="681"/>
        <v>Base_Base_Upgraded_Global Warming Potential (GWP) - kg CO2 eq_Wet Well and Sump Station; wastewater treatment unit; at updated plant - US_Without Amendment_Aerated Static Pile</v>
      </c>
    </row>
    <row r="8501" spans="1:13" s="120" customFormat="1" x14ac:dyDescent="0.25">
      <c r="A8501" s="119"/>
      <c r="B8501" s="138" t="str">
        <f t="shared" si="683"/>
        <v>Aerated Static Pile</v>
      </c>
      <c r="C8501" s="138" t="str">
        <f t="shared" si="684"/>
        <v>Without Amendment</v>
      </c>
      <c r="D8501" s="138" t="s">
        <v>130</v>
      </c>
      <c r="E8501" s="138" t="str">
        <f t="shared" si="685"/>
        <v>Base</v>
      </c>
      <c r="F8501" s="138" t="str">
        <f t="shared" si="686"/>
        <v>Upgraded</v>
      </c>
      <c r="G8501" s="153"/>
      <c r="H8501" s="210">
        <v>1.6400000000000001E-2</v>
      </c>
      <c r="I8501" s="160" t="s">
        <v>57</v>
      </c>
      <c r="J8501" s="160">
        <v>1.455E-2</v>
      </c>
      <c r="K8501" s="160" t="s">
        <v>23</v>
      </c>
      <c r="L8501" s="154" t="str">
        <f>IF(OpenLCAbasic!K8501="CTUh", "Fill in Manually",IF(OR(K8501="Unit", K8501=""), "", INDEX(LookUps!$E$5:$E$12, MATCH(OpenLCAbasic!K8501,LookUps!$D$5:$D$12,0))))</f>
        <v>Global Warming Potential (GWP) - kg CO2 eq</v>
      </c>
      <c r="M8501" s="154" t="str">
        <f t="shared" si="681"/>
        <v>Base_Base_Upgraded_Global Warming Potential (GWP) - kg CO2 eq_Gravity Belt Thickener; wastewater treatment unit; at updated plant - US_Without Amendment_Aerated Static Pile</v>
      </c>
    </row>
    <row r="8502" spans="1:13" s="120" customFormat="1" x14ac:dyDescent="0.25">
      <c r="A8502" s="119"/>
      <c r="B8502" s="138" t="str">
        <f t="shared" si="683"/>
        <v>Aerated Static Pile</v>
      </c>
      <c r="C8502" s="138" t="str">
        <f t="shared" si="684"/>
        <v>Without Amendment</v>
      </c>
      <c r="D8502" s="138" t="s">
        <v>130</v>
      </c>
      <c r="E8502" s="138" t="str">
        <f t="shared" si="685"/>
        <v>Base</v>
      </c>
      <c r="F8502" s="138" t="str">
        <f t="shared" si="686"/>
        <v>Upgraded</v>
      </c>
      <c r="G8502" s="153"/>
      <c r="H8502" s="210">
        <v>1.5299999999999999E-2</v>
      </c>
      <c r="I8502" s="160" t="s">
        <v>128</v>
      </c>
      <c r="J8502" s="160">
        <v>1.3509999999999999E-2</v>
      </c>
      <c r="K8502" s="160" t="s">
        <v>23</v>
      </c>
      <c r="L8502" s="154" t="str">
        <f>IF(OpenLCAbasic!K8502="CTUh", "Fill in Manually",IF(OR(K8502="Unit", K8502=""), "", INDEX(LookUps!$E$5:$E$12, MATCH(OpenLCAbasic!K8502,LookUps!$D$5:$D$12,0))))</f>
        <v>Global Warming Potential (GWP) - kg CO2 eq</v>
      </c>
      <c r="M8502" s="154" t="str">
        <f t="shared" si="681"/>
        <v>Base_Base_Upgraded_Global Warming Potential (GWP) - kg CO2 eq_Wastewater collection; operation and infrastructure; m3 wastewater_Without Amendment_Aerated Static Pile</v>
      </c>
    </row>
    <row r="8503" spans="1:13" s="120" customFormat="1" x14ac:dyDescent="0.25">
      <c r="A8503" s="119"/>
      <c r="B8503" s="138" t="str">
        <f t="shared" si="683"/>
        <v>Aerated Static Pile</v>
      </c>
      <c r="C8503" s="138" t="str">
        <f t="shared" si="684"/>
        <v>Without Amendment</v>
      </c>
      <c r="D8503" s="138" t="s">
        <v>130</v>
      </c>
      <c r="E8503" s="138" t="str">
        <f t="shared" si="685"/>
        <v>Base</v>
      </c>
      <c r="F8503" s="138" t="str">
        <f t="shared" si="686"/>
        <v>Upgraded</v>
      </c>
      <c r="G8503" s="153"/>
      <c r="H8503" s="210">
        <v>1.44E-2</v>
      </c>
      <c r="I8503" s="160" t="s">
        <v>60</v>
      </c>
      <c r="J8503" s="160">
        <v>1.278E-2</v>
      </c>
      <c r="K8503" s="160" t="s">
        <v>23</v>
      </c>
      <c r="L8503" s="154" t="str">
        <f>IF(OpenLCAbasic!K8503="CTUh", "Fill in Manually",IF(OR(K8503="Unit", K8503=""), "", INDEX(LookUps!$E$5:$E$12, MATCH(OpenLCAbasic!K8503,LookUps!$D$5:$D$12,0))))</f>
        <v>Global Warming Potential (GWP) - kg CO2 eq</v>
      </c>
      <c r="M8503" s="154" t="str">
        <f t="shared" si="681"/>
        <v>Base_Base_Upgraded_Global Warming Potential (GWP) - kg CO2 eq_Belt filter press; wastewater treatment unit; at updated plant - US_Without Amendment_Aerated Static Pile</v>
      </c>
    </row>
    <row r="8504" spans="1:13" s="120" customFormat="1" x14ac:dyDescent="0.25">
      <c r="A8504" s="119"/>
      <c r="B8504" s="138" t="str">
        <f t="shared" si="683"/>
        <v>Aerated Static Pile</v>
      </c>
      <c r="C8504" s="138" t="str">
        <f t="shared" si="684"/>
        <v>Without Amendment</v>
      </c>
      <c r="D8504" s="138" t="s">
        <v>130</v>
      </c>
      <c r="E8504" s="138" t="str">
        <f t="shared" si="685"/>
        <v>Base</v>
      </c>
      <c r="F8504" s="138" t="str">
        <f t="shared" si="686"/>
        <v>Upgraded</v>
      </c>
      <c r="G8504" s="153"/>
      <c r="H8504" s="210">
        <v>9.4000000000000004E-3</v>
      </c>
      <c r="I8504" s="160" t="s">
        <v>148</v>
      </c>
      <c r="J8504" s="160">
        <v>8.3000000000000001E-3</v>
      </c>
      <c r="K8504" s="160" t="s">
        <v>23</v>
      </c>
      <c r="L8504" s="154" t="str">
        <f>IF(OpenLCAbasic!K8504="CTUh", "Fill in Manually",IF(OR(K8504="Unit", K8504=""), "", INDEX(LookUps!$E$5:$E$12, MATCH(OpenLCAbasic!K8504,LookUps!$D$5:$D$12,0))))</f>
        <v>Global Warming Potential (GWP) - kg CO2 eq</v>
      </c>
      <c r="M8504" s="154" t="str">
        <f t="shared" si="681"/>
        <v>Base_Base_Upgraded_Global Warming Potential (GWP) - kg CO2 eq_Control Building; at upgraded wastewater treatment plant - US_Without Amendment_Aerated Static Pile</v>
      </c>
    </row>
    <row r="8505" spans="1:13" s="120" customFormat="1" x14ac:dyDescent="0.25">
      <c r="A8505" s="119"/>
      <c r="B8505" s="138" t="str">
        <f t="shared" si="683"/>
        <v>Aerated Static Pile</v>
      </c>
      <c r="C8505" s="138" t="str">
        <f t="shared" si="684"/>
        <v>Without Amendment</v>
      </c>
      <c r="D8505" s="138" t="s">
        <v>130</v>
      </c>
      <c r="E8505" s="138" t="str">
        <f t="shared" si="685"/>
        <v>Base</v>
      </c>
      <c r="F8505" s="138" t="str">
        <f t="shared" si="686"/>
        <v>Upgraded</v>
      </c>
      <c r="G8505" s="153"/>
      <c r="H8505" s="210">
        <v>5.7000000000000002E-3</v>
      </c>
      <c r="I8505" s="160" t="s">
        <v>59</v>
      </c>
      <c r="J8505" s="160">
        <v>5.0400000000000002E-3</v>
      </c>
      <c r="K8505" s="160" t="s">
        <v>23</v>
      </c>
      <c r="L8505" s="154" t="str">
        <f>IF(OpenLCAbasic!K8505="CTUh", "Fill in Manually",IF(OR(K8505="Unit", K8505=""), "", INDEX(LookUps!$E$5:$E$12, MATCH(OpenLCAbasic!K8505,LookUps!$D$5:$D$12,0))))</f>
        <v>Global Warming Potential (GWP) - kg CO2 eq</v>
      </c>
      <c r="M8505" s="154" t="str">
        <f t="shared" si="681"/>
        <v>Base_Base_Upgraded_Global Warming Potential (GWP) - kg CO2 eq_Blend Tank; wastewater treatment unit; at updated plant - US_Without Amendment_Aerated Static Pile</v>
      </c>
    </row>
    <row r="8506" spans="1:13" s="120" customFormat="1" x14ac:dyDescent="0.25">
      <c r="A8506" s="119"/>
      <c r="B8506" s="138" t="str">
        <f t="shared" si="683"/>
        <v>Aerated Static Pile</v>
      </c>
      <c r="C8506" s="138" t="str">
        <f t="shared" si="684"/>
        <v>Without Amendment</v>
      </c>
      <c r="D8506" s="138" t="s">
        <v>130</v>
      </c>
      <c r="E8506" s="138" t="str">
        <f t="shared" si="685"/>
        <v>Base</v>
      </c>
      <c r="F8506" s="138" t="str">
        <f t="shared" si="686"/>
        <v>Upgraded</v>
      </c>
      <c r="G8506" s="153"/>
      <c r="H8506" s="210">
        <v>2.7000000000000001E-3</v>
      </c>
      <c r="I8506" s="160" t="s">
        <v>168</v>
      </c>
      <c r="J8506" s="160">
        <v>2.4099999999999998E-3</v>
      </c>
      <c r="K8506" s="160" t="s">
        <v>23</v>
      </c>
      <c r="L8506" s="154" t="str">
        <f>IF(OpenLCAbasic!K8506="CTUh", "Fill in Manually",IF(OR(K8506="Unit", K8506=""), "", INDEX(LookUps!$E$5:$E$12, MATCH(OpenLCAbasic!K8506,LookUps!$D$5:$D$12,0))))</f>
        <v>Global Warming Potential (GWP) - kg CO2 eq</v>
      </c>
      <c r="M8506" s="154" t="str">
        <f t="shared" si="681"/>
        <v>Base_Base_Upgraded_Global Warming Potential (GWP) - kg CO2 eq_ClearCove SCP; wastewater treatment unit; at updated plant - US_Without Amendment_Aerated Static Pile</v>
      </c>
    </row>
    <row r="8507" spans="1:13" s="120" customFormat="1" x14ac:dyDescent="0.25">
      <c r="A8507" s="119"/>
      <c r="B8507" s="138" t="str">
        <f t="shared" si="683"/>
        <v>Aerated Static Pile</v>
      </c>
      <c r="C8507" s="138" t="str">
        <f t="shared" si="684"/>
        <v>Without Amendment</v>
      </c>
      <c r="D8507" s="138" t="s">
        <v>130</v>
      </c>
      <c r="E8507" s="138" t="str">
        <f t="shared" si="685"/>
        <v>Base</v>
      </c>
      <c r="F8507" s="138" t="str">
        <f t="shared" si="686"/>
        <v>Upgraded</v>
      </c>
      <c r="G8507" s="153"/>
      <c r="H8507" s="210">
        <v>-6.4000000000000001E-2</v>
      </c>
      <c r="I8507" s="160" t="s">
        <v>149</v>
      </c>
      <c r="J8507" s="160">
        <v>-5.6640000000000003E-2</v>
      </c>
      <c r="K8507" s="160" t="s">
        <v>23</v>
      </c>
      <c r="L8507" s="154" t="str">
        <f>IF(OpenLCAbasic!K8507="CTUh", "Fill in Manually",IF(OR(K8507="Unit", K8507=""), "", INDEX(LookUps!$E$5:$E$12, MATCH(OpenLCAbasic!K8507,LookUps!$D$5:$D$12,0))))</f>
        <v>Global Warming Potential (GWP) - kg CO2 eq</v>
      </c>
      <c r="M8507" s="154" t="str">
        <f t="shared" ref="M8507:M8570" si="687">CONCATENATE(E8507,"_",D8507,"_",F8507,"_",L8507, "_",I8507,"_", C8507,"_", B8507)</f>
        <v>Base_Base_Upgraded_Global Warming Potential (GWP) - kg CO2 eq_Anaerobic Digestion; wastewater treatment unit; at updated plant - US_Without Amendment_Aerated Static Pile</v>
      </c>
    </row>
    <row r="8508" spans="1:13" s="120" customFormat="1" x14ac:dyDescent="0.25">
      <c r="A8508" s="119"/>
      <c r="B8508" s="138" t="str">
        <f t="shared" si="683"/>
        <v>Aerated Static Pile</v>
      </c>
      <c r="C8508" s="138" t="str">
        <f t="shared" si="684"/>
        <v>Without Amendment</v>
      </c>
      <c r="D8508" s="138" t="s">
        <v>130</v>
      </c>
      <c r="E8508" s="138" t="str">
        <f t="shared" si="685"/>
        <v>Base</v>
      </c>
      <c r="F8508" s="138" t="str">
        <f t="shared" si="686"/>
        <v>Upgraded</v>
      </c>
      <c r="G8508" s="153"/>
      <c r="H8508" s="210">
        <v>-0.15509999999999999</v>
      </c>
      <c r="I8508" s="160" t="s">
        <v>62</v>
      </c>
      <c r="J8508" s="160">
        <v>-0.13733000000000001</v>
      </c>
      <c r="K8508" s="160" t="s">
        <v>23</v>
      </c>
      <c r="L8508" s="154" t="str">
        <f>IF(OpenLCAbasic!K8508="CTUh", "Fill in Manually",IF(OR(K8508="Unit", K8508=""), "", INDEX(LookUps!$E$5:$E$12, MATCH(OpenLCAbasic!K8508,LookUps!$D$5:$D$12,0))))</f>
        <v>Global Warming Potential (GWP) - kg CO2 eq</v>
      </c>
      <c r="M8508" s="154" t="str">
        <f t="shared" si="687"/>
        <v>Base_Base_Upgraded_Global Warming Potential (GWP) - kg CO2 eq_Land application of compost; wastewater treatment unit; at updated plant - US_Without Amendment_Aerated Static Pile</v>
      </c>
    </row>
    <row r="8509" spans="1:13" s="120" customFormat="1" x14ac:dyDescent="0.25">
      <c r="A8509" s="119"/>
      <c r="B8509" s="138" t="str">
        <f t="shared" si="683"/>
        <v/>
      </c>
      <c r="C8509" s="138" t="str">
        <f t="shared" si="684"/>
        <v/>
      </c>
      <c r="D8509" s="138" t="str">
        <f t="shared" si="682"/>
        <v/>
      </c>
      <c r="E8509" s="138" t="str">
        <f t="shared" si="685"/>
        <v/>
      </c>
      <c r="F8509" s="138" t="str">
        <f t="shared" si="686"/>
        <v/>
      </c>
      <c r="G8509" s="153" t="s">
        <v>51</v>
      </c>
      <c r="H8509" s="160"/>
      <c r="I8509" s="160" t="s">
        <v>47</v>
      </c>
      <c r="J8509" s="160" t="s">
        <v>52</v>
      </c>
      <c r="K8509" s="160" t="s">
        <v>27</v>
      </c>
      <c r="L8509" s="154" t="str">
        <f>IF(OpenLCAbasic!K8509="CTUh", "Fill in Manually",IF(OR(K8509="Unit", K8509=""), "", INDEX(LookUps!$E$5:$E$12, MATCH(OpenLCAbasic!K8509,LookUps!$D$5:$D$12,0))))</f>
        <v/>
      </c>
      <c r="M8509" s="154" t="str">
        <f t="shared" si="687"/>
        <v>____Process__</v>
      </c>
    </row>
    <row r="8510" spans="1:13" s="120" customFormat="1" x14ac:dyDescent="0.25">
      <c r="A8510" s="119"/>
      <c r="B8510" s="138" t="str">
        <f t="shared" si="683"/>
        <v>Aerated Static Pile</v>
      </c>
      <c r="C8510" s="138" t="str">
        <f t="shared" si="684"/>
        <v>Without Amendment</v>
      </c>
      <c r="D8510" s="138" t="s">
        <v>130</v>
      </c>
      <c r="E8510" s="138" t="str">
        <f t="shared" si="685"/>
        <v>Base</v>
      </c>
      <c r="F8510" s="138" t="str">
        <f t="shared" si="686"/>
        <v>Upgraded</v>
      </c>
      <c r="G8510" s="153"/>
      <c r="H8510" s="210">
        <v>0.51249999999999996</v>
      </c>
      <c r="I8510" s="160" t="s">
        <v>55</v>
      </c>
      <c r="J8510" s="160">
        <v>2.33E-3</v>
      </c>
      <c r="K8510" s="160" t="s">
        <v>145</v>
      </c>
      <c r="L8510" s="154" t="str">
        <f>IF(OpenLCAbasic!K8510="CTUh", "Fill in Manually",IF(OR(K8510="Unit", K8510=""), "", INDEX(LookUps!$E$5:$E$12, MATCH(OpenLCAbasic!K8510,LookUps!$D$5:$D$12,0))))</f>
        <v>Particulate Matter Formation Potential (PMFP) - kg PM2.5 eq</v>
      </c>
      <c r="M8510" s="154" t="str">
        <f t="shared" si="687"/>
        <v>Base_Base_Upgraded_Particulate Matter Formation Potential (PMFP) - kg PM2.5 eq_Aeration Tanks; wastewater treatment unit; at updated plant - US_Without Amendment_Aerated Static Pile</v>
      </c>
    </row>
    <row r="8511" spans="1:13" s="120" customFormat="1" x14ac:dyDescent="0.25">
      <c r="A8511" s="119"/>
      <c r="B8511" s="138" t="str">
        <f t="shared" si="683"/>
        <v>Aerated Static Pile</v>
      </c>
      <c r="C8511" s="138" t="str">
        <f t="shared" si="684"/>
        <v>Without Amendment</v>
      </c>
      <c r="D8511" s="138" t="s">
        <v>130</v>
      </c>
      <c r="E8511" s="138" t="str">
        <f t="shared" si="685"/>
        <v>Base</v>
      </c>
      <c r="F8511" s="138" t="str">
        <f t="shared" si="686"/>
        <v>Upgraded</v>
      </c>
      <c r="G8511" s="153"/>
      <c r="H8511" s="210">
        <v>0.14910000000000001</v>
      </c>
      <c r="I8511" s="160" t="s">
        <v>54</v>
      </c>
      <c r="J8511" s="160">
        <v>6.8000000000000005E-4</v>
      </c>
      <c r="K8511" s="160" t="s">
        <v>145</v>
      </c>
      <c r="L8511" s="154" t="str">
        <f>IF(OpenLCAbasic!K8511="CTUh", "Fill in Manually",IF(OR(K8511="Unit", K8511=""), "", INDEX(LookUps!$E$5:$E$12, MATCH(OpenLCAbasic!K8511,LookUps!$D$5:$D$12,0))))</f>
        <v>Particulate Matter Formation Potential (PMFP) - kg PM2.5 eq</v>
      </c>
      <c r="M8511" s="154" t="str">
        <f t="shared" si="687"/>
        <v>Base_Base_Upgraded_Particulate Matter Formation Potential (PMFP) - kg PM2.5 eq_Clear Cove Primary Clarification; wastewater treatment unit; at updated plant - US_Without Amendment_Aerated Static Pile</v>
      </c>
    </row>
    <row r="8512" spans="1:13" s="120" customFormat="1" x14ac:dyDescent="0.25">
      <c r="A8512" s="119"/>
      <c r="B8512" s="138" t="str">
        <f t="shared" si="683"/>
        <v>Aerated Static Pile</v>
      </c>
      <c r="C8512" s="138" t="str">
        <f t="shared" si="684"/>
        <v>Without Amendment</v>
      </c>
      <c r="D8512" s="138" t="s">
        <v>130</v>
      </c>
      <c r="E8512" s="138" t="str">
        <f t="shared" si="685"/>
        <v>Base</v>
      </c>
      <c r="F8512" s="138" t="str">
        <f t="shared" si="686"/>
        <v>Upgraded</v>
      </c>
      <c r="G8512" s="153"/>
      <c r="H8512" s="210">
        <v>0.1288</v>
      </c>
      <c r="I8512" s="160" t="s">
        <v>58</v>
      </c>
      <c r="J8512" s="160">
        <v>5.9000000000000003E-4</v>
      </c>
      <c r="K8512" s="160" t="s">
        <v>145</v>
      </c>
      <c r="L8512" s="154" t="str">
        <f>IF(OpenLCAbasic!K8512="CTUh", "Fill in Manually",IF(OR(K8512="Unit", K8512=""), "", INDEX(LookUps!$E$5:$E$12, MATCH(OpenLCAbasic!K8512,LookUps!$D$5:$D$12,0))))</f>
        <v>Particulate Matter Formation Potential (PMFP) - kg PM2.5 eq</v>
      </c>
      <c r="M8512" s="154" t="str">
        <f t="shared" si="687"/>
        <v>Base_Base_Upgraded_Particulate Matter Formation Potential (PMFP) - kg PM2.5 eq_Pre-Anoxic &amp; Swing tank; wastewater treatment unit; at updated plant - US_Without Amendment_Aerated Static Pile</v>
      </c>
    </row>
    <row r="8513" spans="1:13" s="120" customFormat="1" x14ac:dyDescent="0.25">
      <c r="A8513" s="119"/>
      <c r="B8513" s="138" t="str">
        <f t="shared" si="683"/>
        <v>Aerated Static Pile</v>
      </c>
      <c r="C8513" s="138" t="str">
        <f t="shared" si="684"/>
        <v>Without Amendment</v>
      </c>
      <c r="D8513" s="138" t="s">
        <v>130</v>
      </c>
      <c r="E8513" s="138" t="str">
        <f t="shared" si="685"/>
        <v>Base</v>
      </c>
      <c r="F8513" s="138" t="str">
        <f t="shared" si="686"/>
        <v>Upgraded</v>
      </c>
      <c r="G8513" s="153"/>
      <c r="H8513" s="210">
        <v>0.10249999999999999</v>
      </c>
      <c r="I8513" s="160" t="s">
        <v>53</v>
      </c>
      <c r="J8513" s="160">
        <v>4.6999999999999999E-4</v>
      </c>
      <c r="K8513" s="160" t="s">
        <v>145</v>
      </c>
      <c r="L8513" s="154" t="str">
        <f>IF(OpenLCAbasic!K8513="CTUh", "Fill in Manually",IF(OR(K8513="Unit", K8513=""), "", INDEX(LookUps!$E$5:$E$12, MATCH(OpenLCAbasic!K8513,LookUps!$D$5:$D$12,0))))</f>
        <v>Particulate Matter Formation Potential (PMFP) - kg PM2.5 eq</v>
      </c>
      <c r="M8513" s="154" t="str">
        <f t="shared" si="687"/>
        <v>Base_Base_Upgraded_Particulate Matter Formation Potential (PMFP) - kg PM2.5 eq_Wet Well and Sump Station; wastewater treatment unit; at updated plant - US_Without Amendment_Aerated Static Pile</v>
      </c>
    </row>
    <row r="8514" spans="1:13" s="120" customFormat="1" x14ac:dyDescent="0.25">
      <c r="A8514" s="119"/>
      <c r="B8514" s="138" t="str">
        <f t="shared" si="683"/>
        <v>Aerated Static Pile</v>
      </c>
      <c r="C8514" s="138" t="str">
        <f t="shared" si="684"/>
        <v>Without Amendment</v>
      </c>
      <c r="D8514" s="138" t="s">
        <v>130</v>
      </c>
      <c r="E8514" s="138" t="str">
        <f t="shared" si="685"/>
        <v>Base</v>
      </c>
      <c r="F8514" s="138" t="str">
        <f t="shared" si="686"/>
        <v>Upgraded</v>
      </c>
      <c r="G8514" s="153"/>
      <c r="H8514" s="210">
        <v>6.5699999999999995E-2</v>
      </c>
      <c r="I8514" s="160" t="s">
        <v>167</v>
      </c>
      <c r="J8514" s="160">
        <v>2.9999999999999997E-4</v>
      </c>
      <c r="K8514" s="160" t="s">
        <v>145</v>
      </c>
      <c r="L8514" s="154" t="str">
        <f>IF(OpenLCAbasic!K8514="CTUh", "Fill in Manually",IF(OR(K8514="Unit", K8514=""), "", INDEX(LookUps!$E$5:$E$12, MATCH(OpenLCAbasic!K8514,LookUps!$D$5:$D$12,0))))</f>
        <v>Particulate Matter Formation Potential (PMFP) - kg PM2.5 eq</v>
      </c>
      <c r="M8514" s="154" t="str">
        <f t="shared" si="687"/>
        <v>Base_Base_Upgraded_Particulate Matter Formation Potential (PMFP) - kg PM2.5 eq_Waste Receiving and Holding; wastewater treatment unit; at updated plant - US_Without Amendment_Aerated Static Pile</v>
      </c>
    </row>
    <row r="8515" spans="1:13" s="120" customFormat="1" x14ac:dyDescent="0.25">
      <c r="A8515" s="119"/>
      <c r="B8515" s="138" t="str">
        <f t="shared" si="683"/>
        <v>Aerated Static Pile</v>
      </c>
      <c r="C8515" s="138" t="str">
        <f t="shared" si="684"/>
        <v>Without Amendment</v>
      </c>
      <c r="D8515" s="138" t="s">
        <v>130</v>
      </c>
      <c r="E8515" s="138" t="str">
        <f t="shared" si="685"/>
        <v>Base</v>
      </c>
      <c r="F8515" s="138" t="str">
        <f t="shared" si="686"/>
        <v>Upgraded</v>
      </c>
      <c r="G8515" s="153"/>
      <c r="H8515" s="210">
        <v>5.8599999999999999E-2</v>
      </c>
      <c r="I8515" s="160" t="s">
        <v>147</v>
      </c>
      <c r="J8515" s="160">
        <v>2.7E-4</v>
      </c>
      <c r="K8515" s="160" t="s">
        <v>145</v>
      </c>
      <c r="L8515" s="154" t="str">
        <f>IF(OpenLCAbasic!K8515="CTUh", "Fill in Manually",IF(OR(K8515="Unit", K8515=""), "", INDEX(LookUps!$E$5:$E$12, MATCH(OpenLCAbasic!K8515,LookUps!$D$5:$D$12,0))))</f>
        <v>Particulate Matter Formation Potential (PMFP) - kg PM2.5 eq</v>
      </c>
      <c r="M8515" s="154" t="str">
        <f t="shared" si="687"/>
        <v>Base_Base_Upgraded_Particulate Matter Formation Potential (PMFP) - kg PM2.5 eq_Influent Pump Station; wastewater treatment unit; at updated plant - US_Without Amendment_Aerated Static Pile</v>
      </c>
    </row>
    <row r="8516" spans="1:13" s="120" customFormat="1" x14ac:dyDescent="0.25">
      <c r="A8516" s="119"/>
      <c r="B8516" s="138" t="str">
        <f t="shared" si="683"/>
        <v>Aerated Static Pile</v>
      </c>
      <c r="C8516" s="138" t="str">
        <f t="shared" si="684"/>
        <v>Without Amendment</v>
      </c>
      <c r="D8516" s="138" t="s">
        <v>130</v>
      </c>
      <c r="E8516" s="138" t="str">
        <f t="shared" si="685"/>
        <v>Base</v>
      </c>
      <c r="F8516" s="138" t="str">
        <f t="shared" si="686"/>
        <v>Upgraded</v>
      </c>
      <c r="G8516" s="153"/>
      <c r="H8516" s="210">
        <v>5.0900000000000001E-2</v>
      </c>
      <c r="I8516" s="160" t="s">
        <v>435</v>
      </c>
      <c r="J8516" s="160">
        <v>2.3000000000000001E-4</v>
      </c>
      <c r="K8516" s="160" t="s">
        <v>145</v>
      </c>
      <c r="L8516" s="154" t="str">
        <f>IF(OpenLCAbasic!K8516="CTUh", "Fill in Manually",IF(OR(K8516="Unit", K8516=""), "", INDEX(LookUps!$E$5:$E$12, MATCH(OpenLCAbasic!K8516,LookUps!$D$5:$D$12,0))))</f>
        <v>Particulate Matter Formation Potential (PMFP) - kg PM2.5 eq</v>
      </c>
      <c r="M8516" s="154" t="str">
        <f t="shared" si="687"/>
        <v>Base_Base_Upgraded_Particulate Matter Formation Potential (PMFP) - kg PM2.5 eq_Biosolids composting; aerated static pile; wastewater treatment unit; at updated plant - US_Without Amendment_Aerated Static Pile</v>
      </c>
    </row>
    <row r="8517" spans="1:13" s="120" customFormat="1" x14ac:dyDescent="0.25">
      <c r="A8517" s="119"/>
      <c r="B8517" s="138" t="str">
        <f t="shared" si="683"/>
        <v>Aerated Static Pile</v>
      </c>
      <c r="C8517" s="138" t="str">
        <f t="shared" si="684"/>
        <v>Without Amendment</v>
      </c>
      <c r="D8517" s="138" t="s">
        <v>130</v>
      </c>
      <c r="E8517" s="138" t="str">
        <f t="shared" si="685"/>
        <v>Base</v>
      </c>
      <c r="F8517" s="138" t="str">
        <f t="shared" si="686"/>
        <v>Upgraded</v>
      </c>
      <c r="G8517" s="153"/>
      <c r="H8517" s="210">
        <v>3.6600000000000001E-2</v>
      </c>
      <c r="I8517" s="160" t="s">
        <v>128</v>
      </c>
      <c r="J8517" s="160">
        <v>1.7000000000000001E-4</v>
      </c>
      <c r="K8517" s="160" t="s">
        <v>145</v>
      </c>
      <c r="L8517" s="154" t="str">
        <f>IF(OpenLCAbasic!K8517="CTUh", "Fill in Manually",IF(OR(K8517="Unit", K8517=""), "", INDEX(LookUps!$E$5:$E$12, MATCH(OpenLCAbasic!K8517,LookUps!$D$5:$D$12,0))))</f>
        <v>Particulate Matter Formation Potential (PMFP) - kg PM2.5 eq</v>
      </c>
      <c r="M8517" s="154" t="str">
        <f t="shared" si="687"/>
        <v>Base_Base_Upgraded_Particulate Matter Formation Potential (PMFP) - kg PM2.5 eq_Wastewater collection; operation and infrastructure; m3 wastewater_Without Amendment_Aerated Static Pile</v>
      </c>
    </row>
    <row r="8518" spans="1:13" s="120" customFormat="1" x14ac:dyDescent="0.25">
      <c r="A8518" s="119"/>
      <c r="B8518" s="138" t="str">
        <f t="shared" si="683"/>
        <v>Aerated Static Pile</v>
      </c>
      <c r="C8518" s="138" t="str">
        <f t="shared" si="684"/>
        <v>Without Amendment</v>
      </c>
      <c r="D8518" s="138" t="s">
        <v>130</v>
      </c>
      <c r="E8518" s="138" t="str">
        <f t="shared" si="685"/>
        <v>Base</v>
      </c>
      <c r="F8518" s="138" t="str">
        <f t="shared" si="686"/>
        <v>Upgraded</v>
      </c>
      <c r="G8518" s="153"/>
      <c r="H8518" s="210">
        <v>2.29E-2</v>
      </c>
      <c r="I8518" s="160" t="s">
        <v>60</v>
      </c>
      <c r="J8518" s="160">
        <v>1E-4</v>
      </c>
      <c r="K8518" s="160" t="s">
        <v>145</v>
      </c>
      <c r="L8518" s="154" t="str">
        <f>IF(OpenLCAbasic!K8518="CTUh", "Fill in Manually",IF(OR(K8518="Unit", K8518=""), "", INDEX(LookUps!$E$5:$E$12, MATCH(OpenLCAbasic!K8518,LookUps!$D$5:$D$12,0))))</f>
        <v>Particulate Matter Formation Potential (PMFP) - kg PM2.5 eq</v>
      </c>
      <c r="M8518" s="154" t="str">
        <f t="shared" si="687"/>
        <v>Base_Base_Upgraded_Particulate Matter Formation Potential (PMFP) - kg PM2.5 eq_Belt filter press; wastewater treatment unit; at updated plant - US_Without Amendment_Aerated Static Pile</v>
      </c>
    </row>
    <row r="8519" spans="1:13" s="120" customFormat="1" x14ac:dyDescent="0.25">
      <c r="A8519" s="119"/>
      <c r="B8519" s="138" t="str">
        <f t="shared" si="683"/>
        <v>Aerated Static Pile</v>
      </c>
      <c r="C8519" s="138" t="str">
        <f t="shared" si="684"/>
        <v>Without Amendment</v>
      </c>
      <c r="D8519" s="138" t="s">
        <v>130</v>
      </c>
      <c r="E8519" s="138" t="str">
        <f t="shared" si="685"/>
        <v>Base</v>
      </c>
      <c r="F8519" s="138" t="str">
        <f t="shared" si="686"/>
        <v>Upgraded</v>
      </c>
      <c r="G8519" s="153"/>
      <c r="H8519" s="210">
        <v>2.0899999999999998E-2</v>
      </c>
      <c r="I8519" s="160" t="s">
        <v>57</v>
      </c>
      <c r="J8519" s="211">
        <v>9.5153800000000004E-5</v>
      </c>
      <c r="K8519" s="160" t="s">
        <v>145</v>
      </c>
      <c r="L8519" s="154" t="str">
        <f>IF(OpenLCAbasic!K8519="CTUh", "Fill in Manually",IF(OR(K8519="Unit", K8519=""), "", INDEX(LookUps!$E$5:$E$12, MATCH(OpenLCAbasic!K8519,LookUps!$D$5:$D$12,0))))</f>
        <v>Particulate Matter Formation Potential (PMFP) - kg PM2.5 eq</v>
      </c>
      <c r="M8519" s="154" t="str">
        <f t="shared" si="687"/>
        <v>Base_Base_Upgraded_Particulate Matter Formation Potential (PMFP) - kg PM2.5 eq_Gravity Belt Thickener; wastewater treatment unit; at updated plant - US_Without Amendment_Aerated Static Pile</v>
      </c>
    </row>
    <row r="8520" spans="1:13" s="120" customFormat="1" x14ac:dyDescent="0.25">
      <c r="A8520" s="119"/>
      <c r="B8520" s="138" t="str">
        <f t="shared" si="683"/>
        <v>Aerated Static Pile</v>
      </c>
      <c r="C8520" s="138" t="str">
        <f t="shared" si="684"/>
        <v>Without Amendment</v>
      </c>
      <c r="D8520" s="138" t="s">
        <v>130</v>
      </c>
      <c r="E8520" s="138" t="str">
        <f t="shared" si="685"/>
        <v>Base</v>
      </c>
      <c r="F8520" s="138" t="str">
        <f t="shared" si="686"/>
        <v>Upgraded</v>
      </c>
      <c r="G8520" s="153"/>
      <c r="H8520" s="210">
        <v>1.54E-2</v>
      </c>
      <c r="I8520" s="160" t="s">
        <v>59</v>
      </c>
      <c r="J8520" s="211">
        <v>6.9942200000000003E-5</v>
      </c>
      <c r="K8520" s="160" t="s">
        <v>145</v>
      </c>
      <c r="L8520" s="154" t="str">
        <f>IF(OpenLCAbasic!K8520="CTUh", "Fill in Manually",IF(OR(K8520="Unit", K8520=""), "", INDEX(LookUps!$E$5:$E$12, MATCH(OpenLCAbasic!K8520,LookUps!$D$5:$D$12,0))))</f>
        <v>Particulate Matter Formation Potential (PMFP) - kg PM2.5 eq</v>
      </c>
      <c r="M8520" s="154" t="str">
        <f t="shared" si="687"/>
        <v>Base_Base_Upgraded_Particulate Matter Formation Potential (PMFP) - kg PM2.5 eq_Blend Tank; wastewater treatment unit; at updated plant - US_Without Amendment_Aerated Static Pile</v>
      </c>
    </row>
    <row r="8521" spans="1:13" s="120" customFormat="1" x14ac:dyDescent="0.25">
      <c r="A8521" s="119"/>
      <c r="B8521" s="138" t="str">
        <f t="shared" si="683"/>
        <v>Aerated Static Pile</v>
      </c>
      <c r="C8521" s="138" t="str">
        <f t="shared" si="684"/>
        <v>Without Amendment</v>
      </c>
      <c r="D8521" s="138" t="s">
        <v>130</v>
      </c>
      <c r="E8521" s="138" t="str">
        <f t="shared" si="685"/>
        <v>Base</v>
      </c>
      <c r="F8521" s="138" t="str">
        <f t="shared" si="686"/>
        <v>Upgraded</v>
      </c>
      <c r="G8521" s="153"/>
      <c r="H8521" s="210">
        <v>1.0999999999999999E-2</v>
      </c>
      <c r="I8521" s="160" t="s">
        <v>48</v>
      </c>
      <c r="J8521" s="211">
        <v>4.99741E-5</v>
      </c>
      <c r="K8521" s="160" t="s">
        <v>145</v>
      </c>
      <c r="L8521" s="154" t="str">
        <f>IF(OpenLCAbasic!K8521="CTUh", "Fill in Manually",IF(OR(K8521="Unit", K8521=""), "", INDEX(LookUps!$E$5:$E$12, MATCH(OpenLCAbasic!K8521,LookUps!$D$5:$D$12,0))))</f>
        <v>Particulate Matter Formation Potential (PMFP) - kg PM2.5 eq</v>
      </c>
      <c r="M8521" s="154" t="str">
        <f t="shared" si="687"/>
        <v>Base_Base_Upgraded_Particulate Matter Formation Potential (PMFP) - kg PM2.5 eq_Effluent release; wastewater treatment unit; at surface water; m3 wastewater - US_Without Amendment_Aerated Static Pile</v>
      </c>
    </row>
    <row r="8522" spans="1:13" s="120" customFormat="1" x14ac:dyDescent="0.25">
      <c r="A8522" s="119"/>
      <c r="B8522" s="138" t="str">
        <f t="shared" si="683"/>
        <v>Aerated Static Pile</v>
      </c>
      <c r="C8522" s="138" t="str">
        <f t="shared" si="684"/>
        <v>Without Amendment</v>
      </c>
      <c r="D8522" s="138" t="s">
        <v>130</v>
      </c>
      <c r="E8522" s="138" t="str">
        <f t="shared" si="685"/>
        <v>Base</v>
      </c>
      <c r="F8522" s="138" t="str">
        <f t="shared" si="686"/>
        <v>Upgraded</v>
      </c>
      <c r="G8522" s="153"/>
      <c r="H8522" s="210">
        <v>7.6E-3</v>
      </c>
      <c r="I8522" s="160" t="s">
        <v>168</v>
      </c>
      <c r="J8522" s="211">
        <v>3.4562199999999999E-5</v>
      </c>
      <c r="K8522" s="160" t="s">
        <v>145</v>
      </c>
      <c r="L8522" s="154" t="str">
        <f>IF(OpenLCAbasic!K8522="CTUh", "Fill in Manually",IF(OR(K8522="Unit", K8522=""), "", INDEX(LookUps!$E$5:$E$12, MATCH(OpenLCAbasic!K8522,LookUps!$D$5:$D$12,0))))</f>
        <v>Particulate Matter Formation Potential (PMFP) - kg PM2.5 eq</v>
      </c>
      <c r="M8522" s="154" t="str">
        <f t="shared" si="687"/>
        <v>Base_Base_Upgraded_Particulate Matter Formation Potential (PMFP) - kg PM2.5 eq_ClearCove SCP; wastewater treatment unit; at updated plant - US_Without Amendment_Aerated Static Pile</v>
      </c>
    </row>
    <row r="8523" spans="1:13" s="120" customFormat="1" x14ac:dyDescent="0.25">
      <c r="A8523" s="119"/>
      <c r="B8523" s="138" t="str">
        <f t="shared" si="683"/>
        <v>Aerated Static Pile</v>
      </c>
      <c r="C8523" s="138" t="str">
        <f t="shared" si="684"/>
        <v>Without Amendment</v>
      </c>
      <c r="D8523" s="138" t="s">
        <v>130</v>
      </c>
      <c r="E8523" s="138" t="str">
        <f t="shared" si="685"/>
        <v>Base</v>
      </c>
      <c r="F8523" s="138" t="str">
        <f t="shared" si="686"/>
        <v>Upgraded</v>
      </c>
      <c r="G8523" s="153"/>
      <c r="H8523" s="210">
        <v>6.4000000000000003E-3</v>
      </c>
      <c r="I8523" s="160" t="s">
        <v>62</v>
      </c>
      <c r="J8523" s="211">
        <v>2.9369600000000001E-5</v>
      </c>
      <c r="K8523" s="160" t="s">
        <v>145</v>
      </c>
      <c r="L8523" s="154" t="str">
        <f>IF(OpenLCAbasic!K8523="CTUh", "Fill in Manually",IF(OR(K8523="Unit", K8523=""), "", INDEX(LookUps!$E$5:$E$12, MATCH(OpenLCAbasic!K8523,LookUps!$D$5:$D$12,0))))</f>
        <v>Particulate Matter Formation Potential (PMFP) - kg PM2.5 eq</v>
      </c>
      <c r="M8523" s="154" t="str">
        <f t="shared" si="687"/>
        <v>Base_Base_Upgraded_Particulate Matter Formation Potential (PMFP) - kg PM2.5 eq_Land application of compost; wastewater treatment unit; at updated plant - US_Without Amendment_Aerated Static Pile</v>
      </c>
    </row>
    <row r="8524" spans="1:13" s="120" customFormat="1" x14ac:dyDescent="0.25">
      <c r="A8524" s="119"/>
      <c r="B8524" s="138" t="str">
        <f t="shared" si="683"/>
        <v>Aerated Static Pile</v>
      </c>
      <c r="C8524" s="138" t="str">
        <f t="shared" si="684"/>
        <v>Without Amendment</v>
      </c>
      <c r="D8524" s="138" t="s">
        <v>130</v>
      </c>
      <c r="E8524" s="138" t="str">
        <f t="shared" si="685"/>
        <v>Base</v>
      </c>
      <c r="F8524" s="138" t="str">
        <f t="shared" si="686"/>
        <v>Upgraded</v>
      </c>
      <c r="G8524" s="153"/>
      <c r="H8524" s="210">
        <v>1.9E-3</v>
      </c>
      <c r="I8524" s="160" t="s">
        <v>148</v>
      </c>
      <c r="J8524" s="211">
        <v>8.8212999999999997E-6</v>
      </c>
      <c r="K8524" s="160" t="s">
        <v>145</v>
      </c>
      <c r="L8524" s="154" t="str">
        <f>IF(OpenLCAbasic!K8524="CTUh", "Fill in Manually",IF(OR(K8524="Unit", K8524=""), "", INDEX(LookUps!$E$5:$E$12, MATCH(OpenLCAbasic!K8524,LookUps!$D$5:$D$12,0))))</f>
        <v>Particulate Matter Formation Potential (PMFP) - kg PM2.5 eq</v>
      </c>
      <c r="M8524" s="154" t="str">
        <f t="shared" si="687"/>
        <v>Base_Base_Upgraded_Particulate Matter Formation Potential (PMFP) - kg PM2.5 eq_Control Building; at upgraded wastewater treatment plant - US_Without Amendment_Aerated Static Pile</v>
      </c>
    </row>
    <row r="8525" spans="1:13" s="120" customFormat="1" x14ac:dyDescent="0.25">
      <c r="A8525" s="119"/>
      <c r="B8525" s="138" t="str">
        <f t="shared" si="683"/>
        <v>Aerated Static Pile</v>
      </c>
      <c r="C8525" s="138" t="str">
        <f t="shared" si="684"/>
        <v>Without Amendment</v>
      </c>
      <c r="D8525" s="138" t="s">
        <v>130</v>
      </c>
      <c r="E8525" s="138" t="str">
        <f t="shared" si="685"/>
        <v>Base</v>
      </c>
      <c r="F8525" s="138" t="str">
        <f t="shared" si="686"/>
        <v>Upgraded</v>
      </c>
      <c r="G8525" s="153"/>
      <c r="H8525" s="210">
        <v>-0.1908</v>
      </c>
      <c r="I8525" s="160" t="s">
        <v>149</v>
      </c>
      <c r="J8525" s="160">
        <v>-8.7000000000000001E-4</v>
      </c>
      <c r="K8525" s="160" t="s">
        <v>145</v>
      </c>
      <c r="L8525" s="154" t="str">
        <f>IF(OpenLCAbasic!K8525="CTUh", "Fill in Manually",IF(OR(K8525="Unit", K8525=""), "", INDEX(LookUps!$E$5:$E$12, MATCH(OpenLCAbasic!K8525,LookUps!$D$5:$D$12,0))))</f>
        <v>Particulate Matter Formation Potential (PMFP) - kg PM2.5 eq</v>
      </c>
      <c r="M8525" s="154" t="str">
        <f t="shared" si="687"/>
        <v>Base_Base_Upgraded_Particulate Matter Formation Potential (PMFP) - kg PM2.5 eq_Anaerobic Digestion; wastewater treatment unit; at updated plant - US_Without Amendment_Aerated Static Pile</v>
      </c>
    </row>
    <row r="8526" spans="1:13" s="120" customFormat="1" x14ac:dyDescent="0.25">
      <c r="A8526" s="119"/>
      <c r="B8526" s="138" t="str">
        <f t="shared" si="683"/>
        <v/>
      </c>
      <c r="C8526" s="138" t="str">
        <f t="shared" si="684"/>
        <v/>
      </c>
      <c r="D8526" s="138" t="str">
        <f t="shared" si="682"/>
        <v/>
      </c>
      <c r="E8526" s="138" t="str">
        <f t="shared" si="685"/>
        <v/>
      </c>
      <c r="F8526" s="138" t="str">
        <f t="shared" si="686"/>
        <v/>
      </c>
      <c r="G8526" s="153" t="s">
        <v>51</v>
      </c>
      <c r="H8526" s="160"/>
      <c r="I8526" s="160" t="s">
        <v>47</v>
      </c>
      <c r="J8526" s="160" t="s">
        <v>52</v>
      </c>
      <c r="K8526" s="160" t="s">
        <v>27</v>
      </c>
      <c r="L8526" s="154" t="str">
        <f>IF(OpenLCAbasic!K8526="CTUh", "Fill in Manually",IF(OR(K8526="Unit", K8526=""), "", INDEX(LookUps!$E$5:$E$12, MATCH(OpenLCAbasic!K8526,LookUps!$D$5:$D$12,0))))</f>
        <v/>
      </c>
      <c r="M8526" s="154" t="str">
        <f t="shared" si="687"/>
        <v>____Process__</v>
      </c>
    </row>
    <row r="8527" spans="1:13" s="120" customFormat="1" x14ac:dyDescent="0.25">
      <c r="A8527" s="119"/>
      <c r="B8527" s="138" t="str">
        <f t="shared" si="683"/>
        <v>Aerated Static Pile</v>
      </c>
      <c r="C8527" s="138" t="str">
        <f t="shared" si="684"/>
        <v>Without Amendment</v>
      </c>
      <c r="D8527" s="138" t="s">
        <v>130</v>
      </c>
      <c r="E8527" s="138" t="str">
        <f t="shared" si="685"/>
        <v>Base</v>
      </c>
      <c r="F8527" s="138" t="str">
        <f t="shared" si="686"/>
        <v>Upgraded</v>
      </c>
      <c r="G8527" s="153"/>
      <c r="H8527" s="210">
        <v>0.50890000000000002</v>
      </c>
      <c r="I8527" s="160" t="s">
        <v>55</v>
      </c>
      <c r="J8527" s="160">
        <v>0.16577</v>
      </c>
      <c r="K8527" s="160" t="s">
        <v>25</v>
      </c>
      <c r="L8527" s="154" t="str">
        <f>IF(OpenLCAbasic!K8527="CTUh", "Fill in Manually",IF(OR(K8527="Unit", K8527=""), "", INDEX(LookUps!$E$5:$E$12, MATCH(OpenLCAbasic!K8527,LookUps!$D$5:$D$12,0))))</f>
        <v>Smog Formation Potential (SFP) - kg O3 eq</v>
      </c>
      <c r="M8527" s="154" t="str">
        <f t="shared" si="687"/>
        <v>Base_Base_Upgraded_Smog Formation Potential (SFP) - kg O3 eq_Aeration Tanks; wastewater treatment unit; at updated plant - US_Without Amendment_Aerated Static Pile</v>
      </c>
    </row>
    <row r="8528" spans="1:13" s="120" customFormat="1" x14ac:dyDescent="0.25">
      <c r="A8528" s="119"/>
      <c r="B8528" s="138" t="str">
        <f t="shared" si="683"/>
        <v>Aerated Static Pile</v>
      </c>
      <c r="C8528" s="138" t="str">
        <f t="shared" si="684"/>
        <v>Without Amendment</v>
      </c>
      <c r="D8528" s="138" t="s">
        <v>130</v>
      </c>
      <c r="E8528" s="138" t="str">
        <f t="shared" si="685"/>
        <v>Base</v>
      </c>
      <c r="F8528" s="138" t="str">
        <f t="shared" si="686"/>
        <v>Upgraded</v>
      </c>
      <c r="G8528" s="153"/>
      <c r="H8528" s="210">
        <v>0.14760000000000001</v>
      </c>
      <c r="I8528" s="160" t="s">
        <v>54</v>
      </c>
      <c r="J8528" s="160">
        <v>4.8070000000000002E-2</v>
      </c>
      <c r="K8528" s="160" t="s">
        <v>25</v>
      </c>
      <c r="L8528" s="154" t="str">
        <f>IF(OpenLCAbasic!K8528="CTUh", "Fill in Manually",IF(OR(K8528="Unit", K8528=""), "", INDEX(LookUps!$E$5:$E$12, MATCH(OpenLCAbasic!K8528,LookUps!$D$5:$D$12,0))))</f>
        <v>Smog Formation Potential (SFP) - kg O3 eq</v>
      </c>
      <c r="M8528" s="154" t="str">
        <f t="shared" si="687"/>
        <v>Base_Base_Upgraded_Smog Formation Potential (SFP) - kg O3 eq_Clear Cove Primary Clarification; wastewater treatment unit; at updated plant - US_Without Amendment_Aerated Static Pile</v>
      </c>
    </row>
    <row r="8529" spans="1:13" s="120" customFormat="1" x14ac:dyDescent="0.25">
      <c r="A8529" s="119"/>
      <c r="B8529" s="138" t="str">
        <f t="shared" si="683"/>
        <v>Aerated Static Pile</v>
      </c>
      <c r="C8529" s="138" t="str">
        <f t="shared" si="684"/>
        <v>Without Amendment</v>
      </c>
      <c r="D8529" s="138" t="s">
        <v>130</v>
      </c>
      <c r="E8529" s="138" t="str">
        <f t="shared" si="685"/>
        <v>Base</v>
      </c>
      <c r="F8529" s="138" t="str">
        <f t="shared" si="686"/>
        <v>Upgraded</v>
      </c>
      <c r="G8529" s="153"/>
      <c r="H8529" s="210">
        <v>0.1283</v>
      </c>
      <c r="I8529" s="160" t="s">
        <v>58</v>
      </c>
      <c r="J8529" s="160">
        <v>4.1779999999999998E-2</v>
      </c>
      <c r="K8529" s="160" t="s">
        <v>25</v>
      </c>
      <c r="L8529" s="154" t="str">
        <f>IF(OpenLCAbasic!K8529="CTUh", "Fill in Manually",IF(OR(K8529="Unit", K8529=""), "", INDEX(LookUps!$E$5:$E$12, MATCH(OpenLCAbasic!K8529,LookUps!$D$5:$D$12,0))))</f>
        <v>Smog Formation Potential (SFP) - kg O3 eq</v>
      </c>
      <c r="M8529" s="154" t="str">
        <f t="shared" si="687"/>
        <v>Base_Base_Upgraded_Smog Formation Potential (SFP) - kg O3 eq_Pre-Anoxic &amp; Swing tank; wastewater treatment unit; at updated plant - US_Without Amendment_Aerated Static Pile</v>
      </c>
    </row>
    <row r="8530" spans="1:13" s="120" customFormat="1" x14ac:dyDescent="0.25">
      <c r="A8530" s="119"/>
      <c r="B8530" s="138" t="str">
        <f t="shared" si="683"/>
        <v>Aerated Static Pile</v>
      </c>
      <c r="C8530" s="138" t="str">
        <f t="shared" si="684"/>
        <v>Without Amendment</v>
      </c>
      <c r="D8530" s="138" t="s">
        <v>130</v>
      </c>
      <c r="E8530" s="138" t="str">
        <f t="shared" si="685"/>
        <v>Base</v>
      </c>
      <c r="F8530" s="138" t="str">
        <f t="shared" si="686"/>
        <v>Upgraded</v>
      </c>
      <c r="G8530" s="153"/>
      <c r="H8530" s="210">
        <v>0.1017</v>
      </c>
      <c r="I8530" s="160" t="s">
        <v>53</v>
      </c>
      <c r="J8530" s="160">
        <v>3.313E-2</v>
      </c>
      <c r="K8530" s="160" t="s">
        <v>25</v>
      </c>
      <c r="L8530" s="154" t="str">
        <f>IF(OpenLCAbasic!K8530="CTUh", "Fill in Manually",IF(OR(K8530="Unit", K8530=""), "", INDEX(LookUps!$E$5:$E$12, MATCH(OpenLCAbasic!K8530,LookUps!$D$5:$D$12,0))))</f>
        <v>Smog Formation Potential (SFP) - kg O3 eq</v>
      </c>
      <c r="M8530" s="154" t="str">
        <f t="shared" si="687"/>
        <v>Base_Base_Upgraded_Smog Formation Potential (SFP) - kg O3 eq_Wet Well and Sump Station; wastewater treatment unit; at updated plant - US_Without Amendment_Aerated Static Pile</v>
      </c>
    </row>
    <row r="8531" spans="1:13" s="120" customFormat="1" x14ac:dyDescent="0.25">
      <c r="A8531" s="119"/>
      <c r="B8531" s="138" t="str">
        <f t="shared" si="683"/>
        <v>Aerated Static Pile</v>
      </c>
      <c r="C8531" s="138" t="str">
        <f t="shared" si="684"/>
        <v>Without Amendment</v>
      </c>
      <c r="D8531" s="138" t="s">
        <v>130</v>
      </c>
      <c r="E8531" s="138" t="str">
        <f t="shared" si="685"/>
        <v>Base</v>
      </c>
      <c r="F8531" s="138" t="str">
        <f t="shared" si="686"/>
        <v>Upgraded</v>
      </c>
      <c r="G8531" s="153"/>
      <c r="H8531" s="210">
        <v>8.5800000000000001E-2</v>
      </c>
      <c r="I8531" s="160" t="s">
        <v>167</v>
      </c>
      <c r="J8531" s="160">
        <v>2.7949999999999999E-2</v>
      </c>
      <c r="K8531" s="160" t="s">
        <v>25</v>
      </c>
      <c r="L8531" s="154" t="str">
        <f>IF(OpenLCAbasic!K8531="CTUh", "Fill in Manually",IF(OR(K8531="Unit", K8531=""), "", INDEX(LookUps!$E$5:$E$12, MATCH(OpenLCAbasic!K8531,LookUps!$D$5:$D$12,0))))</f>
        <v>Smog Formation Potential (SFP) - kg O3 eq</v>
      </c>
      <c r="M8531" s="154" t="str">
        <f t="shared" si="687"/>
        <v>Base_Base_Upgraded_Smog Formation Potential (SFP) - kg O3 eq_Waste Receiving and Holding; wastewater treatment unit; at updated plant - US_Without Amendment_Aerated Static Pile</v>
      </c>
    </row>
    <row r="8532" spans="1:13" s="120" customFormat="1" x14ac:dyDescent="0.25">
      <c r="A8532" s="119"/>
      <c r="B8532" s="138" t="str">
        <f t="shared" si="683"/>
        <v>Aerated Static Pile</v>
      </c>
      <c r="C8532" s="138" t="str">
        <f t="shared" si="684"/>
        <v>Without Amendment</v>
      </c>
      <c r="D8532" s="138" t="s">
        <v>130</v>
      </c>
      <c r="E8532" s="138" t="str">
        <f t="shared" si="685"/>
        <v>Base</v>
      </c>
      <c r="F8532" s="138" t="str">
        <f t="shared" si="686"/>
        <v>Upgraded</v>
      </c>
      <c r="G8532" s="153"/>
      <c r="H8532" s="210">
        <v>5.96E-2</v>
      </c>
      <c r="I8532" s="160" t="s">
        <v>147</v>
      </c>
      <c r="J8532" s="160">
        <v>1.9400000000000001E-2</v>
      </c>
      <c r="K8532" s="160" t="s">
        <v>25</v>
      </c>
      <c r="L8532" s="154" t="str">
        <f>IF(OpenLCAbasic!K8532="CTUh", "Fill in Manually",IF(OR(K8532="Unit", K8532=""), "", INDEX(LookUps!$E$5:$E$12, MATCH(OpenLCAbasic!K8532,LookUps!$D$5:$D$12,0))))</f>
        <v>Smog Formation Potential (SFP) - kg O3 eq</v>
      </c>
      <c r="M8532" s="154" t="str">
        <f t="shared" si="687"/>
        <v>Base_Base_Upgraded_Smog Formation Potential (SFP) - kg O3 eq_Influent Pump Station; wastewater treatment unit; at updated plant - US_Without Amendment_Aerated Static Pile</v>
      </c>
    </row>
    <row r="8533" spans="1:13" s="120" customFormat="1" x14ac:dyDescent="0.25">
      <c r="A8533" s="119"/>
      <c r="B8533" s="138" t="str">
        <f t="shared" si="683"/>
        <v>Aerated Static Pile</v>
      </c>
      <c r="C8533" s="138" t="str">
        <f t="shared" si="684"/>
        <v>Without Amendment</v>
      </c>
      <c r="D8533" s="138" t="s">
        <v>130</v>
      </c>
      <c r="E8533" s="138" t="str">
        <f t="shared" si="685"/>
        <v>Base</v>
      </c>
      <c r="F8533" s="138" t="str">
        <f t="shared" si="686"/>
        <v>Upgraded</v>
      </c>
      <c r="G8533" s="153"/>
      <c r="H8533" s="210">
        <v>4.9299999999999997E-2</v>
      </c>
      <c r="I8533" s="160" t="s">
        <v>435</v>
      </c>
      <c r="J8533" s="160">
        <v>1.6070000000000001E-2</v>
      </c>
      <c r="K8533" s="160" t="s">
        <v>25</v>
      </c>
      <c r="L8533" s="154" t="str">
        <f>IF(OpenLCAbasic!K8533="CTUh", "Fill in Manually",IF(OR(K8533="Unit", K8533=""), "", INDEX(LookUps!$E$5:$E$12, MATCH(OpenLCAbasic!K8533,LookUps!$D$5:$D$12,0))))</f>
        <v>Smog Formation Potential (SFP) - kg O3 eq</v>
      </c>
      <c r="M8533" s="154" t="str">
        <f t="shared" si="687"/>
        <v>Base_Base_Upgraded_Smog Formation Potential (SFP) - kg O3 eq_Biosolids composting; aerated static pile; wastewater treatment unit; at updated plant - US_Without Amendment_Aerated Static Pile</v>
      </c>
    </row>
    <row r="8534" spans="1:13" s="120" customFormat="1" x14ac:dyDescent="0.25">
      <c r="A8534" s="119"/>
      <c r="B8534" s="138" t="str">
        <f t="shared" si="683"/>
        <v>Aerated Static Pile</v>
      </c>
      <c r="C8534" s="138" t="str">
        <f t="shared" si="684"/>
        <v>Without Amendment</v>
      </c>
      <c r="D8534" s="138" t="s">
        <v>130</v>
      </c>
      <c r="E8534" s="138" t="str">
        <f t="shared" si="685"/>
        <v>Base</v>
      </c>
      <c r="F8534" s="138" t="str">
        <f t="shared" si="686"/>
        <v>Upgraded</v>
      </c>
      <c r="G8534" s="153"/>
      <c r="H8534" s="210">
        <v>3.6600000000000001E-2</v>
      </c>
      <c r="I8534" s="160" t="s">
        <v>128</v>
      </c>
      <c r="J8534" s="160">
        <v>1.192E-2</v>
      </c>
      <c r="K8534" s="160" t="s">
        <v>25</v>
      </c>
      <c r="L8534" s="154" t="str">
        <f>IF(OpenLCAbasic!K8534="CTUh", "Fill in Manually",IF(OR(K8534="Unit", K8534=""), "", INDEX(LookUps!$E$5:$E$12, MATCH(OpenLCAbasic!K8534,LookUps!$D$5:$D$12,0))))</f>
        <v>Smog Formation Potential (SFP) - kg O3 eq</v>
      </c>
      <c r="M8534" s="154" t="str">
        <f t="shared" si="687"/>
        <v>Base_Base_Upgraded_Smog Formation Potential (SFP) - kg O3 eq_Wastewater collection; operation and infrastructure; m3 wastewater_Without Amendment_Aerated Static Pile</v>
      </c>
    </row>
    <row r="8535" spans="1:13" s="120" customFormat="1" x14ac:dyDescent="0.25">
      <c r="A8535" s="119"/>
      <c r="B8535" s="138" t="str">
        <f t="shared" si="683"/>
        <v>Aerated Static Pile</v>
      </c>
      <c r="C8535" s="138" t="str">
        <f t="shared" si="684"/>
        <v>Without Amendment</v>
      </c>
      <c r="D8535" s="138" t="s">
        <v>130</v>
      </c>
      <c r="E8535" s="138" t="str">
        <f t="shared" si="685"/>
        <v>Base</v>
      </c>
      <c r="F8535" s="138" t="str">
        <f t="shared" si="686"/>
        <v>Upgraded</v>
      </c>
      <c r="G8535" s="153"/>
      <c r="H8535" s="210">
        <v>2.2599999999999999E-2</v>
      </c>
      <c r="I8535" s="160" t="s">
        <v>60</v>
      </c>
      <c r="J8535" s="160">
        <v>7.3499999999999998E-3</v>
      </c>
      <c r="K8535" s="160" t="s">
        <v>25</v>
      </c>
      <c r="L8535" s="154" t="str">
        <f>IF(OpenLCAbasic!K8535="CTUh", "Fill in Manually",IF(OR(K8535="Unit", K8535=""), "", INDEX(LookUps!$E$5:$E$12, MATCH(OpenLCAbasic!K8535,LookUps!$D$5:$D$12,0))))</f>
        <v>Smog Formation Potential (SFP) - kg O3 eq</v>
      </c>
      <c r="M8535" s="154" t="str">
        <f t="shared" si="687"/>
        <v>Base_Base_Upgraded_Smog Formation Potential (SFP) - kg O3 eq_Belt filter press; wastewater treatment unit; at updated plant - US_Without Amendment_Aerated Static Pile</v>
      </c>
    </row>
    <row r="8536" spans="1:13" s="120" customFormat="1" x14ac:dyDescent="0.25">
      <c r="A8536" s="119"/>
      <c r="B8536" s="138" t="str">
        <f t="shared" si="683"/>
        <v>Aerated Static Pile</v>
      </c>
      <c r="C8536" s="138" t="str">
        <f t="shared" si="684"/>
        <v>Without Amendment</v>
      </c>
      <c r="D8536" s="138" t="s">
        <v>130</v>
      </c>
      <c r="E8536" s="138" t="str">
        <f t="shared" si="685"/>
        <v>Base</v>
      </c>
      <c r="F8536" s="138" t="str">
        <f t="shared" si="686"/>
        <v>Upgraded</v>
      </c>
      <c r="G8536" s="153"/>
      <c r="H8536" s="210">
        <v>2.0400000000000001E-2</v>
      </c>
      <c r="I8536" s="160" t="s">
        <v>57</v>
      </c>
      <c r="J8536" s="160">
        <v>6.6499999999999997E-3</v>
      </c>
      <c r="K8536" s="160" t="s">
        <v>25</v>
      </c>
      <c r="L8536" s="154" t="str">
        <f>IF(OpenLCAbasic!K8536="CTUh", "Fill in Manually",IF(OR(K8536="Unit", K8536=""), "", INDEX(LookUps!$E$5:$E$12, MATCH(OpenLCAbasic!K8536,LookUps!$D$5:$D$12,0))))</f>
        <v>Smog Formation Potential (SFP) - kg O3 eq</v>
      </c>
      <c r="M8536" s="154" t="str">
        <f t="shared" si="687"/>
        <v>Base_Base_Upgraded_Smog Formation Potential (SFP) - kg O3 eq_Gravity Belt Thickener; wastewater treatment unit; at updated plant - US_Without Amendment_Aerated Static Pile</v>
      </c>
    </row>
    <row r="8537" spans="1:13" s="120" customFormat="1" x14ac:dyDescent="0.25">
      <c r="A8537" s="119"/>
      <c r="B8537" s="138" t="str">
        <f t="shared" si="683"/>
        <v>Aerated Static Pile</v>
      </c>
      <c r="C8537" s="138" t="str">
        <f t="shared" si="684"/>
        <v>Without Amendment</v>
      </c>
      <c r="D8537" s="138" t="s">
        <v>130</v>
      </c>
      <c r="E8537" s="138" t="str">
        <f t="shared" si="685"/>
        <v>Base</v>
      </c>
      <c r="F8537" s="138" t="str">
        <f t="shared" si="686"/>
        <v>Upgraded</v>
      </c>
      <c r="G8537" s="153"/>
      <c r="H8537" s="210">
        <v>1.5299999999999999E-2</v>
      </c>
      <c r="I8537" s="160" t="s">
        <v>59</v>
      </c>
      <c r="J8537" s="160">
        <v>4.9699999999999996E-3</v>
      </c>
      <c r="K8537" s="160" t="s">
        <v>25</v>
      </c>
      <c r="L8537" s="154" t="str">
        <f>IF(OpenLCAbasic!K8537="CTUh", "Fill in Manually",IF(OR(K8537="Unit", K8537=""), "", INDEX(LookUps!$E$5:$E$12, MATCH(OpenLCAbasic!K8537,LookUps!$D$5:$D$12,0))))</f>
        <v>Smog Formation Potential (SFP) - kg O3 eq</v>
      </c>
      <c r="M8537" s="154" t="str">
        <f t="shared" si="687"/>
        <v>Base_Base_Upgraded_Smog Formation Potential (SFP) - kg O3 eq_Blend Tank; wastewater treatment unit; at updated plant - US_Without Amendment_Aerated Static Pile</v>
      </c>
    </row>
    <row r="8538" spans="1:13" s="120" customFormat="1" x14ac:dyDescent="0.25">
      <c r="A8538" s="119"/>
      <c r="B8538" s="138" t="str">
        <f t="shared" si="683"/>
        <v>Aerated Static Pile</v>
      </c>
      <c r="C8538" s="138" t="str">
        <f t="shared" si="684"/>
        <v>Without Amendment</v>
      </c>
      <c r="D8538" s="138" t="s">
        <v>130</v>
      </c>
      <c r="E8538" s="138" t="str">
        <f t="shared" si="685"/>
        <v>Base</v>
      </c>
      <c r="F8538" s="138" t="str">
        <f t="shared" si="686"/>
        <v>Upgraded</v>
      </c>
      <c r="G8538" s="153"/>
      <c r="H8538" s="210">
        <v>1.04E-2</v>
      </c>
      <c r="I8538" s="160" t="s">
        <v>48</v>
      </c>
      <c r="J8538" s="160">
        <v>3.3899999999999998E-3</v>
      </c>
      <c r="K8538" s="160" t="s">
        <v>25</v>
      </c>
      <c r="L8538" s="154" t="str">
        <f>IF(OpenLCAbasic!K8538="CTUh", "Fill in Manually",IF(OR(K8538="Unit", K8538=""), "", INDEX(LookUps!$E$5:$E$12, MATCH(OpenLCAbasic!K8538,LookUps!$D$5:$D$12,0))))</f>
        <v>Smog Formation Potential (SFP) - kg O3 eq</v>
      </c>
      <c r="M8538" s="154" t="str">
        <f t="shared" si="687"/>
        <v>Base_Base_Upgraded_Smog Formation Potential (SFP) - kg O3 eq_Effluent release; wastewater treatment unit; at surface water; m3 wastewater - US_Without Amendment_Aerated Static Pile</v>
      </c>
    </row>
    <row r="8539" spans="1:13" s="120" customFormat="1" x14ac:dyDescent="0.25">
      <c r="A8539" s="119"/>
      <c r="B8539" s="138" t="str">
        <f t="shared" si="683"/>
        <v>Aerated Static Pile</v>
      </c>
      <c r="C8539" s="138" t="str">
        <f t="shared" si="684"/>
        <v>Without Amendment</v>
      </c>
      <c r="D8539" s="138" t="s">
        <v>130</v>
      </c>
      <c r="E8539" s="138" t="str">
        <f t="shared" si="685"/>
        <v>Base</v>
      </c>
      <c r="F8539" s="138" t="str">
        <f t="shared" si="686"/>
        <v>Upgraded</v>
      </c>
      <c r="G8539" s="153"/>
      <c r="H8539" s="210">
        <v>7.4999999999999997E-3</v>
      </c>
      <c r="I8539" s="160" t="s">
        <v>168</v>
      </c>
      <c r="J8539" s="160">
        <v>2.4599999999999999E-3</v>
      </c>
      <c r="K8539" s="160" t="s">
        <v>25</v>
      </c>
      <c r="L8539" s="154" t="str">
        <f>IF(OpenLCAbasic!K8539="CTUh", "Fill in Manually",IF(OR(K8539="Unit", K8539=""), "", INDEX(LookUps!$E$5:$E$12, MATCH(OpenLCAbasic!K8539,LookUps!$D$5:$D$12,0))))</f>
        <v>Smog Formation Potential (SFP) - kg O3 eq</v>
      </c>
      <c r="M8539" s="154" t="str">
        <f t="shared" si="687"/>
        <v>Base_Base_Upgraded_Smog Formation Potential (SFP) - kg O3 eq_ClearCove SCP; wastewater treatment unit; at updated plant - US_Without Amendment_Aerated Static Pile</v>
      </c>
    </row>
    <row r="8540" spans="1:13" s="120" customFormat="1" x14ac:dyDescent="0.25">
      <c r="A8540" s="119"/>
      <c r="B8540" s="138" t="str">
        <f t="shared" si="683"/>
        <v>Aerated Static Pile</v>
      </c>
      <c r="C8540" s="138" t="str">
        <f t="shared" si="684"/>
        <v>Without Amendment</v>
      </c>
      <c r="D8540" s="138" t="s">
        <v>130</v>
      </c>
      <c r="E8540" s="138" t="str">
        <f t="shared" si="685"/>
        <v>Base</v>
      </c>
      <c r="F8540" s="138" t="str">
        <f t="shared" si="686"/>
        <v>Upgraded</v>
      </c>
      <c r="G8540" s="153"/>
      <c r="H8540" s="210">
        <v>1.6999999999999999E-3</v>
      </c>
      <c r="I8540" s="160" t="s">
        <v>148</v>
      </c>
      <c r="J8540" s="160">
        <v>5.4000000000000001E-4</v>
      </c>
      <c r="K8540" s="160" t="s">
        <v>25</v>
      </c>
      <c r="L8540" s="154" t="str">
        <f>IF(OpenLCAbasic!K8540="CTUh", "Fill in Manually",IF(OR(K8540="Unit", K8540=""), "", INDEX(LookUps!$E$5:$E$12, MATCH(OpenLCAbasic!K8540,LookUps!$D$5:$D$12,0))))</f>
        <v>Smog Formation Potential (SFP) - kg O3 eq</v>
      </c>
      <c r="M8540" s="154" t="str">
        <f t="shared" si="687"/>
        <v>Base_Base_Upgraded_Smog Formation Potential (SFP) - kg O3 eq_Control Building; at upgraded wastewater treatment plant - US_Without Amendment_Aerated Static Pile</v>
      </c>
    </row>
    <row r="8541" spans="1:13" s="120" customFormat="1" x14ac:dyDescent="0.25">
      <c r="A8541" s="119"/>
      <c r="B8541" s="138" t="str">
        <f t="shared" si="683"/>
        <v>Aerated Static Pile</v>
      </c>
      <c r="C8541" s="138" t="str">
        <f t="shared" si="684"/>
        <v>Without Amendment</v>
      </c>
      <c r="D8541" s="138" t="s">
        <v>130</v>
      </c>
      <c r="E8541" s="138" t="str">
        <f t="shared" si="685"/>
        <v>Base</v>
      </c>
      <c r="F8541" s="138" t="str">
        <f t="shared" si="686"/>
        <v>Upgraded</v>
      </c>
      <c r="G8541" s="153"/>
      <c r="H8541" s="210">
        <v>-5.3E-3</v>
      </c>
      <c r="I8541" s="160" t="s">
        <v>62</v>
      </c>
      <c r="J8541" s="160">
        <v>-1.74E-3</v>
      </c>
      <c r="K8541" s="160" t="s">
        <v>25</v>
      </c>
      <c r="L8541" s="154" t="str">
        <f>IF(OpenLCAbasic!K8541="CTUh", "Fill in Manually",IF(OR(K8541="Unit", K8541=""), "", INDEX(LookUps!$E$5:$E$12, MATCH(OpenLCAbasic!K8541,LookUps!$D$5:$D$12,0))))</f>
        <v>Smog Formation Potential (SFP) - kg O3 eq</v>
      </c>
      <c r="M8541" s="154" t="str">
        <f t="shared" si="687"/>
        <v>Base_Base_Upgraded_Smog Formation Potential (SFP) - kg O3 eq_Land application of compost; wastewater treatment unit; at updated plant - US_Without Amendment_Aerated Static Pile</v>
      </c>
    </row>
    <row r="8542" spans="1:13" s="120" customFormat="1" x14ac:dyDescent="0.25">
      <c r="A8542" s="119"/>
      <c r="B8542" s="138" t="str">
        <f t="shared" si="683"/>
        <v>Aerated Static Pile</v>
      </c>
      <c r="C8542" s="138" t="str">
        <f t="shared" si="684"/>
        <v>Without Amendment</v>
      </c>
      <c r="D8542" s="138" t="s">
        <v>130</v>
      </c>
      <c r="E8542" s="138" t="str">
        <f t="shared" si="685"/>
        <v>Base</v>
      </c>
      <c r="F8542" s="138" t="str">
        <f t="shared" si="686"/>
        <v>Upgraded</v>
      </c>
      <c r="G8542" s="153"/>
      <c r="H8542" s="210">
        <v>-0.19020000000000001</v>
      </c>
      <c r="I8542" s="160" t="s">
        <v>149</v>
      </c>
      <c r="J8542" s="160">
        <v>-6.1940000000000002E-2</v>
      </c>
      <c r="K8542" s="160" t="s">
        <v>25</v>
      </c>
      <c r="L8542" s="154" t="str">
        <f>IF(OpenLCAbasic!K8542="CTUh", "Fill in Manually",IF(OR(K8542="Unit", K8542=""), "", INDEX(LookUps!$E$5:$E$12, MATCH(OpenLCAbasic!K8542,LookUps!$D$5:$D$12,0))))</f>
        <v>Smog Formation Potential (SFP) - kg O3 eq</v>
      </c>
      <c r="M8542" s="154" t="str">
        <f t="shared" si="687"/>
        <v>Base_Base_Upgraded_Smog Formation Potential (SFP) - kg O3 eq_Anaerobic Digestion; wastewater treatment unit; at updated plant - US_Without Amendment_Aerated Static Pile</v>
      </c>
    </row>
    <row r="8543" spans="1:13" s="120" customFormat="1" x14ac:dyDescent="0.25">
      <c r="A8543" s="119"/>
      <c r="B8543" s="138" t="str">
        <f t="shared" si="683"/>
        <v/>
      </c>
      <c r="C8543" s="138" t="str">
        <f t="shared" si="684"/>
        <v/>
      </c>
      <c r="D8543" s="138" t="str">
        <f t="shared" ref="D8543:D8594" si="688">IF(ISNUMBER($J8543),"Base_Base","")</f>
        <v/>
      </c>
      <c r="E8543" s="138" t="str">
        <f t="shared" si="685"/>
        <v/>
      </c>
      <c r="F8543" s="138" t="str">
        <f t="shared" si="686"/>
        <v/>
      </c>
      <c r="G8543" s="153" t="s">
        <v>51</v>
      </c>
      <c r="H8543" s="160"/>
      <c r="I8543" s="160" t="s">
        <v>47</v>
      </c>
      <c r="J8543" s="160" t="s">
        <v>52</v>
      </c>
      <c r="K8543" s="160" t="s">
        <v>27</v>
      </c>
      <c r="L8543" s="154" t="str">
        <f>IF(OpenLCAbasic!K8543="CTUh", "Fill in Manually",IF(OR(K8543="Unit", K8543=""), "", INDEX(LookUps!$E$5:$E$12, MATCH(OpenLCAbasic!K8543,LookUps!$D$5:$D$12,0))))</f>
        <v/>
      </c>
      <c r="M8543" s="154" t="str">
        <f t="shared" si="687"/>
        <v>____Process__</v>
      </c>
    </row>
    <row r="8544" spans="1:13" s="120" customFormat="1" x14ac:dyDescent="0.25">
      <c r="A8544" s="119"/>
      <c r="B8544" s="138" t="str">
        <f t="shared" si="683"/>
        <v>Aerated Static Pile</v>
      </c>
      <c r="C8544" s="138" t="str">
        <f t="shared" si="684"/>
        <v>Without Amendment</v>
      </c>
      <c r="D8544" s="138" t="s">
        <v>130</v>
      </c>
      <c r="E8544" s="138" t="str">
        <f t="shared" si="685"/>
        <v>Base</v>
      </c>
      <c r="F8544" s="138" t="str">
        <f t="shared" si="686"/>
        <v>Upgraded</v>
      </c>
      <c r="G8544" s="153"/>
      <c r="H8544" s="210">
        <v>0.56000000000000005</v>
      </c>
      <c r="I8544" s="160" t="s">
        <v>167</v>
      </c>
      <c r="J8544" s="160">
        <v>2.3000000000000001E-4</v>
      </c>
      <c r="K8544" s="160" t="s">
        <v>26</v>
      </c>
      <c r="L8544" s="154" t="str">
        <f>IF(OpenLCAbasic!K8544="CTUh", "Fill in Manually",IF(OR(K8544="Unit", K8544=""), "", INDEX(LookUps!$E$5:$E$12, MATCH(OpenLCAbasic!K8544,LookUps!$D$5:$D$12,0))))</f>
        <v>Water Use (WU) - m3 H2O</v>
      </c>
      <c r="M8544" s="154" t="str">
        <f t="shared" si="687"/>
        <v>Base_Base_Upgraded_Water Use (WU) - m3 H2O_Waste Receiving and Holding; wastewater treatment unit; at updated plant - US_Without Amendment_Aerated Static Pile</v>
      </c>
    </row>
    <row r="8545" spans="1:13" s="120" customFormat="1" x14ac:dyDescent="0.25">
      <c r="A8545" s="119"/>
      <c r="B8545" s="138" t="str">
        <f t="shared" si="683"/>
        <v>Aerated Static Pile</v>
      </c>
      <c r="C8545" s="138" t="str">
        <f t="shared" si="684"/>
        <v>Without Amendment</v>
      </c>
      <c r="D8545" s="138" t="s">
        <v>130</v>
      </c>
      <c r="E8545" s="138" t="str">
        <f t="shared" si="685"/>
        <v>Base</v>
      </c>
      <c r="F8545" s="138" t="str">
        <f t="shared" si="686"/>
        <v>Upgraded</v>
      </c>
      <c r="G8545" s="153"/>
      <c r="H8545" s="210">
        <v>0.44309999999999999</v>
      </c>
      <c r="I8545" s="160" t="s">
        <v>147</v>
      </c>
      <c r="J8545" s="160">
        <v>1.8000000000000001E-4</v>
      </c>
      <c r="K8545" s="160" t="s">
        <v>26</v>
      </c>
      <c r="L8545" s="154" t="str">
        <f>IF(OpenLCAbasic!K8545="CTUh", "Fill in Manually",IF(OR(K8545="Unit", K8545=""), "", INDEX(LookUps!$E$5:$E$12, MATCH(OpenLCAbasic!K8545,LookUps!$D$5:$D$12,0))))</f>
        <v>Water Use (WU) - m3 H2O</v>
      </c>
      <c r="M8545" s="154" t="str">
        <f t="shared" si="687"/>
        <v>Base_Base_Upgraded_Water Use (WU) - m3 H2O_Influent Pump Station; wastewater treatment unit; at updated plant - US_Without Amendment_Aerated Static Pile</v>
      </c>
    </row>
    <row r="8546" spans="1:13" s="120" customFormat="1" x14ac:dyDescent="0.25">
      <c r="A8546" s="119"/>
      <c r="B8546" s="138" t="str">
        <f t="shared" si="683"/>
        <v>Aerated Static Pile</v>
      </c>
      <c r="C8546" s="138" t="str">
        <f t="shared" si="684"/>
        <v>Without Amendment</v>
      </c>
      <c r="D8546" s="138" t="s">
        <v>130</v>
      </c>
      <c r="E8546" s="138" t="str">
        <f t="shared" si="685"/>
        <v>Base</v>
      </c>
      <c r="F8546" s="138" t="str">
        <f t="shared" si="686"/>
        <v>Upgraded</v>
      </c>
      <c r="G8546" s="153"/>
      <c r="H8546" s="210">
        <v>0.43230000000000002</v>
      </c>
      <c r="I8546" s="160" t="s">
        <v>54</v>
      </c>
      <c r="J8546" s="160">
        <v>1.8000000000000001E-4</v>
      </c>
      <c r="K8546" s="160" t="s">
        <v>26</v>
      </c>
      <c r="L8546" s="154" t="str">
        <f>IF(OpenLCAbasic!K8546="CTUh", "Fill in Manually",IF(OR(K8546="Unit", K8546=""), "", INDEX(LookUps!$E$5:$E$12, MATCH(OpenLCAbasic!K8546,LookUps!$D$5:$D$12,0))))</f>
        <v>Water Use (WU) - m3 H2O</v>
      </c>
      <c r="M8546" s="154" t="str">
        <f t="shared" si="687"/>
        <v>Base_Base_Upgraded_Water Use (WU) - m3 H2O_Clear Cove Primary Clarification; wastewater treatment unit; at updated plant - US_Without Amendment_Aerated Static Pile</v>
      </c>
    </row>
    <row r="8547" spans="1:13" s="120" customFormat="1" x14ac:dyDescent="0.25">
      <c r="A8547" s="119"/>
      <c r="B8547" s="138" t="str">
        <f t="shared" si="683"/>
        <v>Aerated Static Pile</v>
      </c>
      <c r="C8547" s="138" t="str">
        <f t="shared" si="684"/>
        <v>Without Amendment</v>
      </c>
      <c r="D8547" s="138" t="s">
        <v>130</v>
      </c>
      <c r="E8547" s="138" t="str">
        <f t="shared" si="685"/>
        <v>Base</v>
      </c>
      <c r="F8547" s="138" t="str">
        <f t="shared" si="686"/>
        <v>Upgraded</v>
      </c>
      <c r="G8547" s="153"/>
      <c r="H8547" s="210">
        <v>0.39219999999999999</v>
      </c>
      <c r="I8547" s="160" t="s">
        <v>55</v>
      </c>
      <c r="J8547" s="160">
        <v>1.6000000000000001E-4</v>
      </c>
      <c r="K8547" s="160" t="s">
        <v>26</v>
      </c>
      <c r="L8547" s="154" t="str">
        <f>IF(OpenLCAbasic!K8547="CTUh", "Fill in Manually",IF(OR(K8547="Unit", K8547=""), "", INDEX(LookUps!$E$5:$E$12, MATCH(OpenLCAbasic!K8547,LookUps!$D$5:$D$12,0))))</f>
        <v>Water Use (WU) - m3 H2O</v>
      </c>
      <c r="M8547" s="154" t="str">
        <f t="shared" si="687"/>
        <v>Base_Base_Upgraded_Water Use (WU) - m3 H2O_Aeration Tanks; wastewater treatment unit; at updated plant - US_Without Amendment_Aerated Static Pile</v>
      </c>
    </row>
    <row r="8548" spans="1:13" s="120" customFormat="1" x14ac:dyDescent="0.25">
      <c r="A8548" s="119"/>
      <c r="B8548" s="138" t="str">
        <f t="shared" si="683"/>
        <v>Aerated Static Pile</v>
      </c>
      <c r="C8548" s="138" t="str">
        <f t="shared" si="684"/>
        <v>Without Amendment</v>
      </c>
      <c r="D8548" s="138" t="s">
        <v>130</v>
      </c>
      <c r="E8548" s="138" t="str">
        <f t="shared" si="685"/>
        <v>Base</v>
      </c>
      <c r="F8548" s="138" t="str">
        <f t="shared" si="686"/>
        <v>Upgraded</v>
      </c>
      <c r="G8548" s="153"/>
      <c r="H8548" s="210">
        <v>0.35730000000000001</v>
      </c>
      <c r="I8548" s="160" t="s">
        <v>148</v>
      </c>
      <c r="J8548" s="160">
        <v>1.4999999999999999E-4</v>
      </c>
      <c r="K8548" s="160" t="s">
        <v>26</v>
      </c>
      <c r="L8548" s="154" t="str">
        <f>IF(OpenLCAbasic!K8548="CTUh", "Fill in Manually",IF(OR(K8548="Unit", K8548=""), "", INDEX(LookUps!$E$5:$E$12, MATCH(OpenLCAbasic!K8548,LookUps!$D$5:$D$12,0))))</f>
        <v>Water Use (WU) - m3 H2O</v>
      </c>
      <c r="M8548" s="154" t="str">
        <f t="shared" si="687"/>
        <v>Base_Base_Upgraded_Water Use (WU) - m3 H2O_Control Building; at upgraded wastewater treatment plant - US_Without Amendment_Aerated Static Pile</v>
      </c>
    </row>
    <row r="8549" spans="1:13" s="120" customFormat="1" x14ac:dyDescent="0.25">
      <c r="A8549" s="119"/>
      <c r="B8549" s="138" t="str">
        <f t="shared" si="683"/>
        <v>Aerated Static Pile</v>
      </c>
      <c r="C8549" s="138" t="str">
        <f t="shared" si="684"/>
        <v>Without Amendment</v>
      </c>
      <c r="D8549" s="138" t="s">
        <v>130</v>
      </c>
      <c r="E8549" s="138" t="str">
        <f t="shared" si="685"/>
        <v>Base</v>
      </c>
      <c r="F8549" s="138" t="str">
        <f t="shared" si="686"/>
        <v>Upgraded</v>
      </c>
      <c r="G8549" s="153"/>
      <c r="H8549" s="210">
        <v>0.16589999999999999</v>
      </c>
      <c r="I8549" s="160" t="s">
        <v>48</v>
      </c>
      <c r="J8549" s="211">
        <v>6.8836400000000004E-5</v>
      </c>
      <c r="K8549" s="160" t="s">
        <v>26</v>
      </c>
      <c r="L8549" s="154" t="str">
        <f>IF(OpenLCAbasic!K8549="CTUh", "Fill in Manually",IF(OR(K8549="Unit", K8549=""), "", INDEX(LookUps!$E$5:$E$12, MATCH(OpenLCAbasic!K8549,LookUps!$D$5:$D$12,0))))</f>
        <v>Water Use (WU) - m3 H2O</v>
      </c>
      <c r="M8549" s="154" t="str">
        <f t="shared" si="687"/>
        <v>Base_Base_Upgraded_Water Use (WU) - m3 H2O_Effluent release; wastewater treatment unit; at surface water; m3 wastewater - US_Without Amendment_Aerated Static Pile</v>
      </c>
    </row>
    <row r="8550" spans="1:13" s="120" customFormat="1" x14ac:dyDescent="0.25">
      <c r="A8550" s="119"/>
      <c r="B8550" s="138" t="str">
        <f t="shared" si="683"/>
        <v>Aerated Static Pile</v>
      </c>
      <c r="C8550" s="138" t="str">
        <f t="shared" si="684"/>
        <v>Without Amendment</v>
      </c>
      <c r="D8550" s="138" t="s">
        <v>130</v>
      </c>
      <c r="E8550" s="138" t="str">
        <f t="shared" si="685"/>
        <v>Base</v>
      </c>
      <c r="F8550" s="138" t="str">
        <f t="shared" si="686"/>
        <v>Upgraded</v>
      </c>
      <c r="G8550" s="153"/>
      <c r="H8550" s="210">
        <v>0.1041</v>
      </c>
      <c r="I8550" s="160" t="s">
        <v>58</v>
      </c>
      <c r="J8550" s="211">
        <v>4.3192100000000003E-5</v>
      </c>
      <c r="K8550" s="160" t="s">
        <v>26</v>
      </c>
      <c r="L8550" s="154" t="str">
        <f>IF(OpenLCAbasic!K8550="CTUh", "Fill in Manually",IF(OR(K8550="Unit", K8550=""), "", INDEX(LookUps!$E$5:$E$12, MATCH(OpenLCAbasic!K8550,LookUps!$D$5:$D$12,0))))</f>
        <v>Water Use (WU) - m3 H2O</v>
      </c>
      <c r="M8550" s="154" t="str">
        <f t="shared" si="687"/>
        <v>Base_Base_Upgraded_Water Use (WU) - m3 H2O_Pre-Anoxic &amp; Swing tank; wastewater treatment unit; at updated plant - US_Without Amendment_Aerated Static Pile</v>
      </c>
    </row>
    <row r="8551" spans="1:13" s="120" customFormat="1" x14ac:dyDescent="0.25">
      <c r="A8551" s="119"/>
      <c r="B8551" s="138" t="str">
        <f t="shared" si="683"/>
        <v>Aerated Static Pile</v>
      </c>
      <c r="C8551" s="138" t="str">
        <f t="shared" si="684"/>
        <v>Without Amendment</v>
      </c>
      <c r="D8551" s="138" t="s">
        <v>130</v>
      </c>
      <c r="E8551" s="138" t="str">
        <f t="shared" si="685"/>
        <v>Base</v>
      </c>
      <c r="F8551" s="138" t="str">
        <f t="shared" si="686"/>
        <v>Upgraded</v>
      </c>
      <c r="G8551" s="153"/>
      <c r="H8551" s="210">
        <v>7.3300000000000004E-2</v>
      </c>
      <c r="I8551" s="160" t="s">
        <v>57</v>
      </c>
      <c r="J8551" s="211">
        <v>3.0408100000000001E-5</v>
      </c>
      <c r="K8551" s="160" t="s">
        <v>26</v>
      </c>
      <c r="L8551" s="154" t="str">
        <f>IF(OpenLCAbasic!K8551="CTUh", "Fill in Manually",IF(OR(K8551="Unit", K8551=""), "", INDEX(LookUps!$E$5:$E$12, MATCH(OpenLCAbasic!K8551,LookUps!$D$5:$D$12,0))))</f>
        <v>Water Use (WU) - m3 H2O</v>
      </c>
      <c r="M8551" s="154" t="str">
        <f t="shared" si="687"/>
        <v>Base_Base_Upgraded_Water Use (WU) - m3 H2O_Gravity Belt Thickener; wastewater treatment unit; at updated plant - US_Without Amendment_Aerated Static Pile</v>
      </c>
    </row>
    <row r="8552" spans="1:13" s="120" customFormat="1" x14ac:dyDescent="0.25">
      <c r="A8552" s="119"/>
      <c r="B8552" s="138" t="str">
        <f t="shared" si="683"/>
        <v>Aerated Static Pile</v>
      </c>
      <c r="C8552" s="138" t="str">
        <f t="shared" si="684"/>
        <v>Without Amendment</v>
      </c>
      <c r="D8552" s="138" t="s">
        <v>130</v>
      </c>
      <c r="E8552" s="138" t="str">
        <f t="shared" si="685"/>
        <v>Base</v>
      </c>
      <c r="F8552" s="138" t="str">
        <f t="shared" si="686"/>
        <v>Upgraded</v>
      </c>
      <c r="G8552" s="153"/>
      <c r="H8552" s="210">
        <v>5.2900000000000003E-2</v>
      </c>
      <c r="I8552" s="160" t="s">
        <v>60</v>
      </c>
      <c r="J8552" s="211">
        <v>2.1941099999999999E-5</v>
      </c>
      <c r="K8552" s="160" t="s">
        <v>26</v>
      </c>
      <c r="L8552" s="154" t="str">
        <f>IF(OpenLCAbasic!K8552="CTUh", "Fill in Manually",IF(OR(K8552="Unit", K8552=""), "", INDEX(LookUps!$E$5:$E$12, MATCH(OpenLCAbasic!K8552,LookUps!$D$5:$D$12,0))))</f>
        <v>Water Use (WU) - m3 H2O</v>
      </c>
      <c r="M8552" s="154" t="str">
        <f t="shared" si="687"/>
        <v>Base_Base_Upgraded_Water Use (WU) - m3 H2O_Belt filter press; wastewater treatment unit; at updated plant - US_Without Amendment_Aerated Static Pile</v>
      </c>
    </row>
    <row r="8553" spans="1:13" s="120" customFormat="1" x14ac:dyDescent="0.25">
      <c r="A8553" s="119"/>
      <c r="B8553" s="138" t="str">
        <f t="shared" ref="B8553:B8616" si="689">IF(F8553="Legacy","n.a.",IF(F8553="","","Aerated Static Pile"))</f>
        <v>Aerated Static Pile</v>
      </c>
      <c r="C8553" s="138" t="str">
        <f t="shared" ref="C8553:C8616" si="690">IF(ISNUMBER($J8553),"Without Amendment","")</f>
        <v>Without Amendment</v>
      </c>
      <c r="D8553" s="138" t="s">
        <v>130</v>
      </c>
      <c r="E8553" s="138" t="str">
        <f t="shared" ref="E8553:E8559" si="691">IF(ISNUMBER($J8553),"Base","")</f>
        <v>Base</v>
      </c>
      <c r="F8553" s="138" t="str">
        <f t="shared" ref="F8553:F8616" si="692">IF(ISNUMBER(J8553),"Upgraded","")</f>
        <v>Upgraded</v>
      </c>
      <c r="G8553" s="153"/>
      <c r="H8553" s="210">
        <v>4.2200000000000001E-2</v>
      </c>
      <c r="I8553" s="160" t="s">
        <v>53</v>
      </c>
      <c r="J8553" s="211">
        <v>1.75069E-5</v>
      </c>
      <c r="K8553" s="160" t="s">
        <v>26</v>
      </c>
      <c r="L8553" s="154" t="str">
        <f>IF(OpenLCAbasic!K8553="CTUh", "Fill in Manually",IF(OR(K8553="Unit", K8553=""), "", INDEX(LookUps!$E$5:$E$12, MATCH(OpenLCAbasic!K8553,LookUps!$D$5:$D$12,0))))</f>
        <v>Water Use (WU) - m3 H2O</v>
      </c>
      <c r="M8553" s="154" t="str">
        <f t="shared" si="687"/>
        <v>Base_Base_Upgraded_Water Use (WU) - m3 H2O_Wet Well and Sump Station; wastewater treatment unit; at updated plant - US_Without Amendment_Aerated Static Pile</v>
      </c>
    </row>
    <row r="8554" spans="1:13" s="120" customFormat="1" x14ac:dyDescent="0.25">
      <c r="A8554" s="119"/>
      <c r="B8554" s="138" t="str">
        <f t="shared" si="689"/>
        <v>Aerated Static Pile</v>
      </c>
      <c r="C8554" s="138" t="str">
        <f t="shared" si="690"/>
        <v>Without Amendment</v>
      </c>
      <c r="D8554" s="138" t="s">
        <v>130</v>
      </c>
      <c r="E8554" s="138" t="str">
        <f t="shared" si="691"/>
        <v>Base</v>
      </c>
      <c r="F8554" s="138" t="str">
        <f t="shared" si="692"/>
        <v>Upgraded</v>
      </c>
      <c r="G8554" s="153"/>
      <c r="H8554" s="210">
        <v>2.92E-2</v>
      </c>
      <c r="I8554" s="160" t="s">
        <v>149</v>
      </c>
      <c r="J8554" s="211">
        <v>1.21043E-5</v>
      </c>
      <c r="K8554" s="160" t="s">
        <v>26</v>
      </c>
      <c r="L8554" s="154" t="str">
        <f>IF(OpenLCAbasic!K8554="CTUh", "Fill in Manually",IF(OR(K8554="Unit", K8554=""), "", INDEX(LookUps!$E$5:$E$12, MATCH(OpenLCAbasic!K8554,LookUps!$D$5:$D$12,0))))</f>
        <v>Water Use (WU) - m3 H2O</v>
      </c>
      <c r="M8554" s="154" t="str">
        <f t="shared" si="687"/>
        <v>Base_Base_Upgraded_Water Use (WU) - m3 H2O_Anaerobic Digestion; wastewater treatment unit; at updated plant - US_Without Amendment_Aerated Static Pile</v>
      </c>
    </row>
    <row r="8555" spans="1:13" s="120" customFormat="1" x14ac:dyDescent="0.25">
      <c r="A8555" s="119"/>
      <c r="B8555" s="138" t="str">
        <f t="shared" si="689"/>
        <v>Aerated Static Pile</v>
      </c>
      <c r="C8555" s="138" t="str">
        <f t="shared" si="690"/>
        <v>Without Amendment</v>
      </c>
      <c r="D8555" s="138" t="s">
        <v>130</v>
      </c>
      <c r="E8555" s="138" t="str">
        <f t="shared" si="691"/>
        <v>Base</v>
      </c>
      <c r="F8555" s="138" t="str">
        <f t="shared" si="692"/>
        <v>Upgraded</v>
      </c>
      <c r="G8555" s="153"/>
      <c r="H8555" s="210">
        <v>1.6899999999999998E-2</v>
      </c>
      <c r="I8555" s="160" t="s">
        <v>59</v>
      </c>
      <c r="J8555" s="211">
        <v>7.0179500000000003E-6</v>
      </c>
      <c r="K8555" s="160" t="s">
        <v>26</v>
      </c>
      <c r="L8555" s="154" t="str">
        <f>IF(OpenLCAbasic!K8555="CTUh", "Fill in Manually",IF(OR(K8555="Unit", K8555=""), "", INDEX(LookUps!$E$5:$E$12, MATCH(OpenLCAbasic!K8555,LookUps!$D$5:$D$12,0))))</f>
        <v>Water Use (WU) - m3 H2O</v>
      </c>
      <c r="M8555" s="154" t="str">
        <f t="shared" si="687"/>
        <v>Base_Base_Upgraded_Water Use (WU) - m3 H2O_Blend Tank; wastewater treatment unit; at updated plant - US_Without Amendment_Aerated Static Pile</v>
      </c>
    </row>
    <row r="8556" spans="1:13" s="120" customFormat="1" x14ac:dyDescent="0.25">
      <c r="A8556" s="119"/>
      <c r="B8556" s="138" t="str">
        <f t="shared" si="689"/>
        <v>Aerated Static Pile</v>
      </c>
      <c r="C8556" s="138" t="str">
        <f t="shared" si="690"/>
        <v>Without Amendment</v>
      </c>
      <c r="D8556" s="138" t="s">
        <v>130</v>
      </c>
      <c r="E8556" s="138" t="str">
        <f t="shared" si="691"/>
        <v>Base</v>
      </c>
      <c r="F8556" s="138" t="str">
        <f t="shared" si="692"/>
        <v>Upgraded</v>
      </c>
      <c r="G8556" s="153"/>
      <c r="H8556" s="210">
        <v>1.4500000000000001E-2</v>
      </c>
      <c r="I8556" s="160" t="s">
        <v>435</v>
      </c>
      <c r="J8556" s="211">
        <v>6.0069500000000001E-6</v>
      </c>
      <c r="K8556" s="160" t="s">
        <v>26</v>
      </c>
      <c r="L8556" s="154" t="str">
        <f>IF(OpenLCAbasic!K8556="CTUh", "Fill in Manually",IF(OR(K8556="Unit", K8556=""), "", INDEX(LookUps!$E$5:$E$12, MATCH(OpenLCAbasic!K8556,LookUps!$D$5:$D$12,0))))</f>
        <v>Water Use (WU) - m3 H2O</v>
      </c>
      <c r="M8556" s="154" t="str">
        <f t="shared" si="687"/>
        <v>Base_Base_Upgraded_Water Use (WU) - m3 H2O_Biosolids composting; aerated static pile; wastewater treatment unit; at updated plant - US_Without Amendment_Aerated Static Pile</v>
      </c>
    </row>
    <row r="8557" spans="1:13" s="120" customFormat="1" x14ac:dyDescent="0.25">
      <c r="A8557" s="119"/>
      <c r="B8557" s="138" t="str">
        <f t="shared" si="689"/>
        <v>Aerated Static Pile</v>
      </c>
      <c r="C8557" s="138" t="str">
        <f t="shared" si="690"/>
        <v>Without Amendment</v>
      </c>
      <c r="D8557" s="138" t="s">
        <v>130</v>
      </c>
      <c r="E8557" s="138" t="str">
        <f t="shared" si="691"/>
        <v>Base</v>
      </c>
      <c r="F8557" s="138" t="str">
        <f t="shared" si="692"/>
        <v>Upgraded</v>
      </c>
      <c r="G8557" s="153"/>
      <c r="H8557" s="210">
        <v>1.2200000000000001E-2</v>
      </c>
      <c r="I8557" s="160" t="s">
        <v>128</v>
      </c>
      <c r="J8557" s="211">
        <v>5.0608900000000003E-6</v>
      </c>
      <c r="K8557" s="160" t="s">
        <v>26</v>
      </c>
      <c r="L8557" s="154" t="str">
        <f>IF(OpenLCAbasic!K8557="CTUh", "Fill in Manually",IF(OR(K8557="Unit", K8557=""), "", INDEX(LookUps!$E$5:$E$12, MATCH(OpenLCAbasic!K8557,LookUps!$D$5:$D$12,0))))</f>
        <v>Water Use (WU) - m3 H2O</v>
      </c>
      <c r="M8557" s="154" t="str">
        <f t="shared" si="687"/>
        <v>Base_Base_Upgraded_Water Use (WU) - m3 H2O_Wastewater collection; operation and infrastructure; m3 wastewater_Without Amendment_Aerated Static Pile</v>
      </c>
    </row>
    <row r="8558" spans="1:13" s="120" customFormat="1" x14ac:dyDescent="0.25">
      <c r="A8558" s="119"/>
      <c r="B8558" s="138" t="str">
        <f t="shared" si="689"/>
        <v>Aerated Static Pile</v>
      </c>
      <c r="C8558" s="138" t="str">
        <f t="shared" si="690"/>
        <v>Without Amendment</v>
      </c>
      <c r="D8558" s="138" t="s">
        <v>130</v>
      </c>
      <c r="E8558" s="138" t="str">
        <f t="shared" si="691"/>
        <v>Base</v>
      </c>
      <c r="F8558" s="138" t="str">
        <f t="shared" si="692"/>
        <v>Upgraded</v>
      </c>
      <c r="G8558" s="153"/>
      <c r="H8558" s="210">
        <v>1.8E-3</v>
      </c>
      <c r="I8558" s="160" t="s">
        <v>168</v>
      </c>
      <c r="J8558" s="211">
        <v>7.6697000000000004E-7</v>
      </c>
      <c r="K8558" s="160" t="s">
        <v>26</v>
      </c>
      <c r="L8558" s="154" t="str">
        <f>IF(OpenLCAbasic!K8558="CTUh", "Fill in Manually",IF(OR(K8558="Unit", K8558=""), "", INDEX(LookUps!$E$5:$E$12, MATCH(OpenLCAbasic!K8558,LookUps!$D$5:$D$12,0))))</f>
        <v>Water Use (WU) - m3 H2O</v>
      </c>
      <c r="M8558" s="154" t="str">
        <f t="shared" si="687"/>
        <v>Base_Base_Upgraded_Water Use (WU) - m3 H2O_ClearCove SCP; wastewater treatment unit; at updated plant - US_Without Amendment_Aerated Static Pile</v>
      </c>
    </row>
    <row r="8559" spans="1:13" s="120" customFormat="1" x14ac:dyDescent="0.25">
      <c r="A8559" s="119"/>
      <c r="B8559" s="138" t="str">
        <f t="shared" si="689"/>
        <v>Aerated Static Pile</v>
      </c>
      <c r="C8559" s="138" t="str">
        <f t="shared" si="690"/>
        <v>Without Amendment</v>
      </c>
      <c r="D8559" s="138" t="s">
        <v>130</v>
      </c>
      <c r="E8559" s="138" t="str">
        <f t="shared" si="691"/>
        <v>Base</v>
      </c>
      <c r="F8559" s="138" t="str">
        <f t="shared" si="692"/>
        <v>Upgraded</v>
      </c>
      <c r="G8559" s="153"/>
      <c r="H8559" s="210">
        <v>-1.6979</v>
      </c>
      <c r="I8559" s="160" t="s">
        <v>62</v>
      </c>
      <c r="J8559" s="160">
        <v>-6.9999999999999999E-4</v>
      </c>
      <c r="K8559" s="160" t="s">
        <v>26</v>
      </c>
      <c r="L8559" s="154" t="str">
        <f>IF(OpenLCAbasic!K8559="CTUh", "Fill in Manually",IF(OR(K8559="Unit", K8559=""), "", INDEX(LookUps!$E$5:$E$12, MATCH(OpenLCAbasic!K8559,LookUps!$D$5:$D$12,0))))</f>
        <v>Water Use (WU) - m3 H2O</v>
      </c>
      <c r="M8559" s="154" t="str">
        <f t="shared" si="687"/>
        <v>Base_Base_Upgraded_Water Use (WU) - m3 H2O_Land application of compost; wastewater treatment unit; at updated plant - US_Without Amendment_Aerated Static Pile</v>
      </c>
    </row>
    <row r="8560" spans="1:13" s="120" customFormat="1" x14ac:dyDescent="0.25">
      <c r="A8560" s="119"/>
      <c r="B8560" s="138" t="str">
        <f t="shared" si="689"/>
        <v/>
      </c>
      <c r="C8560" s="138" t="str">
        <f t="shared" si="690"/>
        <v/>
      </c>
      <c r="D8560" s="138" t="str">
        <f t="shared" si="688"/>
        <v/>
      </c>
      <c r="E8560" s="138" t="str">
        <f>IF(ISNUMBER($J8560),"Low","")</f>
        <v/>
      </c>
      <c r="F8560" s="138" t="str">
        <f t="shared" si="692"/>
        <v/>
      </c>
      <c r="G8560" s="153" t="s">
        <v>51</v>
      </c>
      <c r="H8560" s="160"/>
      <c r="I8560" s="160" t="s">
        <v>47</v>
      </c>
      <c r="J8560" s="160" t="s">
        <v>52</v>
      </c>
      <c r="K8560" s="160" t="s">
        <v>27</v>
      </c>
      <c r="L8560" s="154" t="str">
        <f>IF(OpenLCAbasic!K8560="CTUh", "Fill in Manually",IF(OR(K8560="Unit", K8560=""), "", INDEX(LookUps!$E$5:$E$12, MATCH(OpenLCAbasic!K8560,LookUps!$D$5:$D$12,0))))</f>
        <v/>
      </c>
      <c r="M8560" s="154" t="str">
        <f t="shared" si="687"/>
        <v>____Process__</v>
      </c>
    </row>
    <row r="8561" spans="1:13" s="120" customFormat="1" x14ac:dyDescent="0.25">
      <c r="A8561" s="119"/>
      <c r="B8561" s="138" t="str">
        <f t="shared" si="689"/>
        <v>Aerated Static Pile</v>
      </c>
      <c r="C8561" s="138" t="str">
        <f t="shared" si="690"/>
        <v>Without Amendment</v>
      </c>
      <c r="D8561" s="138" t="s">
        <v>130</v>
      </c>
      <c r="E8561" s="138" t="str">
        <f t="shared" ref="E8561:E8624" si="693">IF(ISNUMBER($J8561),"Low","")</f>
        <v>Low</v>
      </c>
      <c r="F8561" s="138" t="str">
        <f t="shared" si="692"/>
        <v>Upgraded</v>
      </c>
      <c r="G8561" s="153"/>
      <c r="H8561" s="210">
        <v>0.4854</v>
      </c>
      <c r="I8561" s="160" t="s">
        <v>55</v>
      </c>
      <c r="J8561" s="160">
        <v>1.7219999999999999E-2</v>
      </c>
      <c r="K8561" s="160" t="s">
        <v>24</v>
      </c>
      <c r="L8561" s="154" t="str">
        <f>IF(OpenLCAbasic!K8561="CTUh", "Fill in Manually",IF(OR(K8561="Unit", K8561=""), "", INDEX(LookUps!$E$5:$E$12, MATCH(OpenLCAbasic!K8561,LookUps!$D$5:$D$12,0))))</f>
        <v>Acidification Potential (AP) - kg SO2 eq</v>
      </c>
      <c r="M8561" s="154" t="str">
        <f t="shared" si="687"/>
        <v>Low_Base_Upgraded_Acidification Potential (AP) - kg SO2 eq_Aeration Tanks; wastewater treatment unit; at updated plant - US_Without Amendment_Aerated Static Pile</v>
      </c>
    </row>
    <row r="8562" spans="1:13" s="120" customFormat="1" x14ac:dyDescent="0.25">
      <c r="A8562" s="119"/>
      <c r="B8562" s="138" t="str">
        <f t="shared" si="689"/>
        <v>Aerated Static Pile</v>
      </c>
      <c r="C8562" s="138" t="str">
        <f t="shared" si="690"/>
        <v>Without Amendment</v>
      </c>
      <c r="D8562" s="138" t="s">
        <v>130</v>
      </c>
      <c r="E8562" s="138" t="str">
        <f t="shared" si="693"/>
        <v>Low</v>
      </c>
      <c r="F8562" s="138" t="str">
        <f t="shared" si="692"/>
        <v>Upgraded</v>
      </c>
      <c r="G8562" s="153"/>
      <c r="H8562" s="210">
        <v>0.1404</v>
      </c>
      <c r="I8562" s="160" t="s">
        <v>54</v>
      </c>
      <c r="J8562" s="160">
        <v>4.9800000000000001E-3</v>
      </c>
      <c r="K8562" s="160" t="s">
        <v>24</v>
      </c>
      <c r="L8562" s="154" t="str">
        <f>IF(OpenLCAbasic!K8562="CTUh", "Fill in Manually",IF(OR(K8562="Unit", K8562=""), "", INDEX(LookUps!$E$5:$E$12, MATCH(OpenLCAbasic!K8562,LookUps!$D$5:$D$12,0))))</f>
        <v>Acidification Potential (AP) - kg SO2 eq</v>
      </c>
      <c r="M8562" s="154" t="str">
        <f t="shared" si="687"/>
        <v>Low_Base_Upgraded_Acidification Potential (AP) - kg SO2 eq_Clear Cove Primary Clarification; wastewater treatment unit; at updated plant - US_Without Amendment_Aerated Static Pile</v>
      </c>
    </row>
    <row r="8563" spans="1:13" s="120" customFormat="1" x14ac:dyDescent="0.25">
      <c r="A8563" s="119"/>
      <c r="B8563" s="138" t="str">
        <f t="shared" si="689"/>
        <v>Aerated Static Pile</v>
      </c>
      <c r="C8563" s="138" t="str">
        <f t="shared" si="690"/>
        <v>Without Amendment</v>
      </c>
      <c r="D8563" s="138" t="s">
        <v>130</v>
      </c>
      <c r="E8563" s="138" t="str">
        <f t="shared" si="693"/>
        <v>Low</v>
      </c>
      <c r="F8563" s="138" t="str">
        <f t="shared" si="692"/>
        <v>Upgraded</v>
      </c>
      <c r="G8563" s="153"/>
      <c r="H8563" s="210">
        <v>0.1221</v>
      </c>
      <c r="I8563" s="160" t="s">
        <v>58</v>
      </c>
      <c r="J8563" s="160">
        <v>4.3299999999999996E-3</v>
      </c>
      <c r="K8563" s="160" t="s">
        <v>24</v>
      </c>
      <c r="L8563" s="154" t="str">
        <f>IF(OpenLCAbasic!K8563="CTUh", "Fill in Manually",IF(OR(K8563="Unit", K8563=""), "", INDEX(LookUps!$E$5:$E$12, MATCH(OpenLCAbasic!K8563,LookUps!$D$5:$D$12,0))))</f>
        <v>Acidification Potential (AP) - kg SO2 eq</v>
      </c>
      <c r="M8563" s="154" t="str">
        <f t="shared" si="687"/>
        <v>Low_Base_Upgraded_Acidification Potential (AP) - kg SO2 eq_Pre-Anoxic &amp; Swing tank; wastewater treatment unit; at updated plant - US_Without Amendment_Aerated Static Pile</v>
      </c>
    </row>
    <row r="8564" spans="1:13" s="120" customFormat="1" x14ac:dyDescent="0.25">
      <c r="A8564" s="119"/>
      <c r="B8564" s="138" t="str">
        <f t="shared" si="689"/>
        <v>Aerated Static Pile</v>
      </c>
      <c r="C8564" s="138" t="str">
        <f t="shared" si="690"/>
        <v>Without Amendment</v>
      </c>
      <c r="D8564" s="138" t="s">
        <v>130</v>
      </c>
      <c r="E8564" s="138" t="str">
        <f t="shared" si="693"/>
        <v>Low</v>
      </c>
      <c r="F8564" s="138" t="str">
        <f t="shared" si="692"/>
        <v>Upgraded</v>
      </c>
      <c r="G8564" s="153"/>
      <c r="H8564" s="210">
        <v>9.7299999999999998E-2</v>
      </c>
      <c r="I8564" s="160" t="s">
        <v>53</v>
      </c>
      <c r="J8564" s="160">
        <v>3.4499999999999999E-3</v>
      </c>
      <c r="K8564" s="160" t="s">
        <v>24</v>
      </c>
      <c r="L8564" s="154" t="str">
        <f>IF(OpenLCAbasic!K8564="CTUh", "Fill in Manually",IF(OR(K8564="Unit", K8564=""), "", INDEX(LookUps!$E$5:$E$12, MATCH(OpenLCAbasic!K8564,LookUps!$D$5:$D$12,0))))</f>
        <v>Acidification Potential (AP) - kg SO2 eq</v>
      </c>
      <c r="M8564" s="154" t="str">
        <f t="shared" si="687"/>
        <v>Low_Base_Upgraded_Acidification Potential (AP) - kg SO2 eq_Wet Well and Sump Station; wastewater treatment unit; at updated plant - US_Without Amendment_Aerated Static Pile</v>
      </c>
    </row>
    <row r="8565" spans="1:13" s="120" customFormat="1" x14ac:dyDescent="0.25">
      <c r="A8565" s="119"/>
      <c r="B8565" s="138" t="str">
        <f t="shared" si="689"/>
        <v>Aerated Static Pile</v>
      </c>
      <c r="C8565" s="138" t="str">
        <f t="shared" si="690"/>
        <v>Without Amendment</v>
      </c>
      <c r="D8565" s="138" t="s">
        <v>130</v>
      </c>
      <c r="E8565" s="138" t="str">
        <f t="shared" si="693"/>
        <v>Low</v>
      </c>
      <c r="F8565" s="138" t="str">
        <f t="shared" si="692"/>
        <v>Upgraded</v>
      </c>
      <c r="G8565" s="153"/>
      <c r="H8565" s="210">
        <v>6.6900000000000001E-2</v>
      </c>
      <c r="I8565" s="160" t="s">
        <v>167</v>
      </c>
      <c r="J8565" s="160">
        <v>2.3800000000000002E-3</v>
      </c>
      <c r="K8565" s="160" t="s">
        <v>24</v>
      </c>
      <c r="L8565" s="154" t="str">
        <f>IF(OpenLCAbasic!K8565="CTUh", "Fill in Manually",IF(OR(K8565="Unit", K8565=""), "", INDEX(LookUps!$E$5:$E$12, MATCH(OpenLCAbasic!K8565,LookUps!$D$5:$D$12,0))))</f>
        <v>Acidification Potential (AP) - kg SO2 eq</v>
      </c>
      <c r="M8565" s="154" t="str">
        <f t="shared" si="687"/>
        <v>Low_Base_Upgraded_Acidification Potential (AP) - kg SO2 eq_Waste Receiving and Holding; wastewater treatment unit; at updated plant - US_Without Amendment_Aerated Static Pile</v>
      </c>
    </row>
    <row r="8566" spans="1:13" s="120" customFormat="1" x14ac:dyDescent="0.25">
      <c r="A8566" s="119"/>
      <c r="B8566" s="138" t="str">
        <f t="shared" si="689"/>
        <v>Aerated Static Pile</v>
      </c>
      <c r="C8566" s="138" t="str">
        <f t="shared" si="690"/>
        <v>Without Amendment</v>
      </c>
      <c r="D8566" s="138" t="s">
        <v>130</v>
      </c>
      <c r="E8566" s="138" t="str">
        <f t="shared" si="693"/>
        <v>Low</v>
      </c>
      <c r="F8566" s="138" t="str">
        <f t="shared" si="692"/>
        <v>Upgraded</v>
      </c>
      <c r="G8566" s="153"/>
      <c r="H8566" s="210">
        <v>5.8299999999999998E-2</v>
      </c>
      <c r="I8566" s="160" t="s">
        <v>147</v>
      </c>
      <c r="J8566" s="160">
        <v>2.0699999999999998E-3</v>
      </c>
      <c r="K8566" s="160" t="s">
        <v>24</v>
      </c>
      <c r="L8566" s="154" t="str">
        <f>IF(OpenLCAbasic!K8566="CTUh", "Fill in Manually",IF(OR(K8566="Unit", K8566=""), "", INDEX(LookUps!$E$5:$E$12, MATCH(OpenLCAbasic!K8566,LookUps!$D$5:$D$12,0))))</f>
        <v>Acidification Potential (AP) - kg SO2 eq</v>
      </c>
      <c r="M8566" s="154" t="str">
        <f t="shared" si="687"/>
        <v>Low_Base_Upgraded_Acidification Potential (AP) - kg SO2 eq_Influent Pump Station; wastewater treatment unit; at updated plant - US_Without Amendment_Aerated Static Pile</v>
      </c>
    </row>
    <row r="8567" spans="1:13" s="120" customFormat="1" x14ac:dyDescent="0.25">
      <c r="A8567" s="119"/>
      <c r="B8567" s="138" t="str">
        <f t="shared" si="689"/>
        <v>Aerated Static Pile</v>
      </c>
      <c r="C8567" s="138" t="str">
        <f t="shared" si="690"/>
        <v>Without Amendment</v>
      </c>
      <c r="D8567" s="138" t="s">
        <v>130</v>
      </c>
      <c r="E8567" s="138" t="str">
        <f t="shared" si="693"/>
        <v>Low</v>
      </c>
      <c r="F8567" s="138" t="str">
        <f t="shared" si="692"/>
        <v>Upgraded</v>
      </c>
      <c r="G8567" s="153"/>
      <c r="H8567" s="210">
        <v>5.4600000000000003E-2</v>
      </c>
      <c r="I8567" s="160" t="s">
        <v>62</v>
      </c>
      <c r="J8567" s="160">
        <v>1.9400000000000001E-3</v>
      </c>
      <c r="K8567" s="160" t="s">
        <v>24</v>
      </c>
      <c r="L8567" s="154" t="str">
        <f>IF(OpenLCAbasic!K8567="CTUh", "Fill in Manually",IF(OR(K8567="Unit", K8567=""), "", INDEX(LookUps!$E$5:$E$12, MATCH(OpenLCAbasic!K8567,LookUps!$D$5:$D$12,0))))</f>
        <v>Acidification Potential (AP) - kg SO2 eq</v>
      </c>
      <c r="M8567" s="154" t="str">
        <f t="shared" si="687"/>
        <v>Low_Base_Upgraded_Acidification Potential (AP) - kg SO2 eq_Land application of compost; wastewater treatment unit; at updated plant - US_Without Amendment_Aerated Static Pile</v>
      </c>
    </row>
    <row r="8568" spans="1:13" s="120" customFormat="1" x14ac:dyDescent="0.25">
      <c r="A8568" s="119"/>
      <c r="B8568" s="138" t="str">
        <f t="shared" si="689"/>
        <v>Aerated Static Pile</v>
      </c>
      <c r="C8568" s="138" t="str">
        <f t="shared" si="690"/>
        <v>Without Amendment</v>
      </c>
      <c r="D8568" s="138" t="s">
        <v>130</v>
      </c>
      <c r="E8568" s="138" t="str">
        <f t="shared" si="693"/>
        <v>Low</v>
      </c>
      <c r="F8568" s="138" t="str">
        <f t="shared" si="692"/>
        <v>Upgraded</v>
      </c>
      <c r="G8568" s="153"/>
      <c r="H8568" s="210">
        <v>4.7800000000000002E-2</v>
      </c>
      <c r="I8568" s="160" t="s">
        <v>435</v>
      </c>
      <c r="J8568" s="160">
        <v>1.6999999999999999E-3</v>
      </c>
      <c r="K8568" s="160" t="s">
        <v>24</v>
      </c>
      <c r="L8568" s="154" t="str">
        <f>IF(OpenLCAbasic!K8568="CTUh", "Fill in Manually",IF(OR(K8568="Unit", K8568=""), "", INDEX(LookUps!$E$5:$E$12, MATCH(OpenLCAbasic!K8568,LookUps!$D$5:$D$12,0))))</f>
        <v>Acidification Potential (AP) - kg SO2 eq</v>
      </c>
      <c r="M8568" s="154" t="str">
        <f t="shared" si="687"/>
        <v>Low_Base_Upgraded_Acidification Potential (AP) - kg SO2 eq_Biosolids composting; aerated static pile; wastewater treatment unit; at updated plant - US_Without Amendment_Aerated Static Pile</v>
      </c>
    </row>
    <row r="8569" spans="1:13" s="120" customFormat="1" x14ac:dyDescent="0.25">
      <c r="A8569" s="119"/>
      <c r="B8569" s="138" t="str">
        <f t="shared" si="689"/>
        <v>Aerated Static Pile</v>
      </c>
      <c r="C8569" s="138" t="str">
        <f t="shared" si="690"/>
        <v>Without Amendment</v>
      </c>
      <c r="D8569" s="138" t="s">
        <v>130</v>
      </c>
      <c r="E8569" s="138" t="str">
        <f t="shared" si="693"/>
        <v>Low</v>
      </c>
      <c r="F8569" s="138" t="str">
        <f t="shared" si="692"/>
        <v>Upgraded</v>
      </c>
      <c r="G8569" s="153"/>
      <c r="H8569" s="210">
        <v>3.4799999999999998E-2</v>
      </c>
      <c r="I8569" s="160" t="s">
        <v>128</v>
      </c>
      <c r="J8569" s="160">
        <v>1.23E-3</v>
      </c>
      <c r="K8569" s="160" t="s">
        <v>24</v>
      </c>
      <c r="L8569" s="154" t="str">
        <f>IF(OpenLCAbasic!K8569="CTUh", "Fill in Manually",IF(OR(K8569="Unit", K8569=""), "", INDEX(LookUps!$E$5:$E$12, MATCH(OpenLCAbasic!K8569,LookUps!$D$5:$D$12,0))))</f>
        <v>Acidification Potential (AP) - kg SO2 eq</v>
      </c>
      <c r="M8569" s="154" t="str">
        <f t="shared" si="687"/>
        <v>Low_Base_Upgraded_Acidification Potential (AP) - kg SO2 eq_Wastewater collection; operation and infrastructure; m3 wastewater_Without Amendment_Aerated Static Pile</v>
      </c>
    </row>
    <row r="8570" spans="1:13" s="120" customFormat="1" x14ac:dyDescent="0.25">
      <c r="A8570" s="119"/>
      <c r="B8570" s="138" t="str">
        <f t="shared" si="689"/>
        <v>Aerated Static Pile</v>
      </c>
      <c r="C8570" s="138" t="str">
        <f t="shared" si="690"/>
        <v>Without Amendment</v>
      </c>
      <c r="D8570" s="138" t="s">
        <v>130</v>
      </c>
      <c r="E8570" s="138" t="str">
        <f t="shared" si="693"/>
        <v>Low</v>
      </c>
      <c r="F8570" s="138" t="str">
        <f t="shared" si="692"/>
        <v>Upgraded</v>
      </c>
      <c r="G8570" s="153"/>
      <c r="H8570" s="210">
        <v>2.18E-2</v>
      </c>
      <c r="I8570" s="160" t="s">
        <v>60</v>
      </c>
      <c r="J8570" s="160">
        <v>7.6999999999999996E-4</v>
      </c>
      <c r="K8570" s="160" t="s">
        <v>24</v>
      </c>
      <c r="L8570" s="154" t="str">
        <f>IF(OpenLCAbasic!K8570="CTUh", "Fill in Manually",IF(OR(K8570="Unit", K8570=""), "", INDEX(LookUps!$E$5:$E$12, MATCH(OpenLCAbasic!K8570,LookUps!$D$5:$D$12,0))))</f>
        <v>Acidification Potential (AP) - kg SO2 eq</v>
      </c>
      <c r="M8570" s="154" t="str">
        <f t="shared" si="687"/>
        <v>Low_Base_Upgraded_Acidification Potential (AP) - kg SO2 eq_Belt filter press; wastewater treatment unit; at updated plant - US_Without Amendment_Aerated Static Pile</v>
      </c>
    </row>
    <row r="8571" spans="1:13" s="120" customFormat="1" x14ac:dyDescent="0.25">
      <c r="A8571" s="119"/>
      <c r="B8571" s="138" t="str">
        <f t="shared" si="689"/>
        <v>Aerated Static Pile</v>
      </c>
      <c r="C8571" s="138" t="str">
        <f t="shared" si="690"/>
        <v>Without Amendment</v>
      </c>
      <c r="D8571" s="138" t="s">
        <v>130</v>
      </c>
      <c r="E8571" s="138" t="str">
        <f t="shared" si="693"/>
        <v>Low</v>
      </c>
      <c r="F8571" s="138" t="str">
        <f t="shared" si="692"/>
        <v>Upgraded</v>
      </c>
      <c r="G8571" s="153"/>
      <c r="H8571" s="210">
        <v>1.9800000000000002E-2</v>
      </c>
      <c r="I8571" s="160" t="s">
        <v>57</v>
      </c>
      <c r="J8571" s="160">
        <v>6.9999999999999999E-4</v>
      </c>
      <c r="K8571" s="160" t="s">
        <v>24</v>
      </c>
      <c r="L8571" s="154" t="str">
        <f>IF(OpenLCAbasic!K8571="CTUh", "Fill in Manually",IF(OR(K8571="Unit", K8571=""), "", INDEX(LookUps!$E$5:$E$12, MATCH(OpenLCAbasic!K8571,LookUps!$D$5:$D$12,0))))</f>
        <v>Acidification Potential (AP) - kg SO2 eq</v>
      </c>
      <c r="M8571" s="154" t="str">
        <f t="shared" ref="M8571:M8634" si="694">CONCATENATE(E8571,"_",D8571,"_",F8571,"_",L8571, "_",I8571,"_", C8571,"_", B8571)</f>
        <v>Low_Base_Upgraded_Acidification Potential (AP) - kg SO2 eq_Gravity Belt Thickener; wastewater treatment unit; at updated plant - US_Without Amendment_Aerated Static Pile</v>
      </c>
    </row>
    <row r="8572" spans="1:13" s="120" customFormat="1" x14ac:dyDescent="0.25">
      <c r="A8572" s="119"/>
      <c r="B8572" s="138" t="str">
        <f t="shared" si="689"/>
        <v>Aerated Static Pile</v>
      </c>
      <c r="C8572" s="138" t="str">
        <f t="shared" si="690"/>
        <v>Without Amendment</v>
      </c>
      <c r="D8572" s="138" t="s">
        <v>130</v>
      </c>
      <c r="E8572" s="138" t="str">
        <f t="shared" si="693"/>
        <v>Low</v>
      </c>
      <c r="F8572" s="138" t="str">
        <f t="shared" si="692"/>
        <v>Upgraded</v>
      </c>
      <c r="G8572" s="153"/>
      <c r="H8572" s="210">
        <v>1.46E-2</v>
      </c>
      <c r="I8572" s="160" t="s">
        <v>59</v>
      </c>
      <c r="J8572" s="160">
        <v>5.1999999999999995E-4</v>
      </c>
      <c r="K8572" s="160" t="s">
        <v>24</v>
      </c>
      <c r="L8572" s="154" t="str">
        <f>IF(OpenLCAbasic!K8572="CTUh", "Fill in Manually",IF(OR(K8572="Unit", K8572=""), "", INDEX(LookUps!$E$5:$E$12, MATCH(OpenLCAbasic!K8572,LookUps!$D$5:$D$12,0))))</f>
        <v>Acidification Potential (AP) - kg SO2 eq</v>
      </c>
      <c r="M8572" s="154" t="str">
        <f t="shared" si="694"/>
        <v>Low_Base_Upgraded_Acidification Potential (AP) - kg SO2 eq_Blend Tank; wastewater treatment unit; at updated plant - US_Without Amendment_Aerated Static Pile</v>
      </c>
    </row>
    <row r="8573" spans="1:13" s="120" customFormat="1" x14ac:dyDescent="0.25">
      <c r="A8573" s="119"/>
      <c r="B8573" s="138" t="str">
        <f t="shared" si="689"/>
        <v>Aerated Static Pile</v>
      </c>
      <c r="C8573" s="138" t="str">
        <f t="shared" si="690"/>
        <v>Without Amendment</v>
      </c>
      <c r="D8573" s="138" t="s">
        <v>130</v>
      </c>
      <c r="E8573" s="138" t="str">
        <f t="shared" si="693"/>
        <v>Low</v>
      </c>
      <c r="F8573" s="138" t="str">
        <f t="shared" si="692"/>
        <v>Upgraded</v>
      </c>
      <c r="G8573" s="153"/>
      <c r="H8573" s="210">
        <v>9.7999999999999997E-3</v>
      </c>
      <c r="I8573" s="160" t="s">
        <v>48</v>
      </c>
      <c r="J8573" s="160">
        <v>3.5E-4</v>
      </c>
      <c r="K8573" s="160" t="s">
        <v>24</v>
      </c>
      <c r="L8573" s="154" t="str">
        <f>IF(OpenLCAbasic!K8573="CTUh", "Fill in Manually",IF(OR(K8573="Unit", K8573=""), "", INDEX(LookUps!$E$5:$E$12, MATCH(OpenLCAbasic!K8573,LookUps!$D$5:$D$12,0))))</f>
        <v>Acidification Potential (AP) - kg SO2 eq</v>
      </c>
      <c r="M8573" s="154" t="str">
        <f t="shared" si="694"/>
        <v>Low_Base_Upgraded_Acidification Potential (AP) - kg SO2 eq_Effluent release; wastewater treatment unit; at surface water; m3 wastewater - US_Without Amendment_Aerated Static Pile</v>
      </c>
    </row>
    <row r="8574" spans="1:13" s="120" customFormat="1" x14ac:dyDescent="0.25">
      <c r="A8574" s="119"/>
      <c r="B8574" s="138" t="str">
        <f t="shared" si="689"/>
        <v>Aerated Static Pile</v>
      </c>
      <c r="C8574" s="138" t="str">
        <f t="shared" si="690"/>
        <v>Without Amendment</v>
      </c>
      <c r="D8574" s="138" t="s">
        <v>130</v>
      </c>
      <c r="E8574" s="138" t="str">
        <f t="shared" si="693"/>
        <v>Low</v>
      </c>
      <c r="F8574" s="138" t="str">
        <f t="shared" si="692"/>
        <v>Upgraded</v>
      </c>
      <c r="G8574" s="153"/>
      <c r="H8574" s="210">
        <v>7.1999999999999998E-3</v>
      </c>
      <c r="I8574" s="160" t="s">
        <v>168</v>
      </c>
      <c r="J8574" s="160">
        <v>2.5999999999999998E-4</v>
      </c>
      <c r="K8574" s="160" t="s">
        <v>24</v>
      </c>
      <c r="L8574" s="154" t="str">
        <f>IF(OpenLCAbasic!K8574="CTUh", "Fill in Manually",IF(OR(K8574="Unit", K8574=""), "", INDEX(LookUps!$E$5:$E$12, MATCH(OpenLCAbasic!K8574,LookUps!$D$5:$D$12,0))))</f>
        <v>Acidification Potential (AP) - kg SO2 eq</v>
      </c>
      <c r="M8574" s="154" t="str">
        <f t="shared" si="694"/>
        <v>Low_Base_Upgraded_Acidification Potential (AP) - kg SO2 eq_ClearCove SCP; wastewater treatment unit; at updated plant - US_Without Amendment_Aerated Static Pile</v>
      </c>
    </row>
    <row r="8575" spans="1:13" s="120" customFormat="1" x14ac:dyDescent="0.25">
      <c r="A8575" s="119"/>
      <c r="B8575" s="138" t="str">
        <f t="shared" si="689"/>
        <v>Aerated Static Pile</v>
      </c>
      <c r="C8575" s="138" t="str">
        <f t="shared" si="690"/>
        <v>Without Amendment</v>
      </c>
      <c r="D8575" s="138" t="s">
        <v>130</v>
      </c>
      <c r="E8575" s="138" t="str">
        <f t="shared" si="693"/>
        <v>Low</v>
      </c>
      <c r="F8575" s="138" t="str">
        <f t="shared" si="692"/>
        <v>Upgraded</v>
      </c>
      <c r="G8575" s="153"/>
      <c r="H8575" s="210">
        <v>1.1000000000000001E-3</v>
      </c>
      <c r="I8575" s="160" t="s">
        <v>148</v>
      </c>
      <c r="J8575" s="211">
        <v>4.0354700000000002E-5</v>
      </c>
      <c r="K8575" s="160" t="s">
        <v>24</v>
      </c>
      <c r="L8575" s="154" t="str">
        <f>IF(OpenLCAbasic!K8575="CTUh", "Fill in Manually",IF(OR(K8575="Unit", K8575=""), "", INDEX(LookUps!$E$5:$E$12, MATCH(OpenLCAbasic!K8575,LookUps!$D$5:$D$12,0))))</f>
        <v>Acidification Potential (AP) - kg SO2 eq</v>
      </c>
      <c r="M8575" s="154" t="str">
        <f t="shared" si="694"/>
        <v>Low_Base_Upgraded_Acidification Potential (AP) - kg SO2 eq_Control Building; at upgraded wastewater treatment plant - US_Without Amendment_Aerated Static Pile</v>
      </c>
    </row>
    <row r="8576" spans="1:13" s="120" customFormat="1" x14ac:dyDescent="0.25">
      <c r="A8576" s="119"/>
      <c r="B8576" s="138" t="str">
        <f t="shared" si="689"/>
        <v>Aerated Static Pile</v>
      </c>
      <c r="C8576" s="138" t="str">
        <f t="shared" si="690"/>
        <v>Without Amendment</v>
      </c>
      <c r="D8576" s="138" t="s">
        <v>130</v>
      </c>
      <c r="E8576" s="138" t="str">
        <f t="shared" si="693"/>
        <v>Low</v>
      </c>
      <c r="F8576" s="138" t="str">
        <f t="shared" si="692"/>
        <v>Upgraded</v>
      </c>
      <c r="G8576" s="153"/>
      <c r="H8576" s="210">
        <v>-0.18179999999999999</v>
      </c>
      <c r="I8576" s="160" t="s">
        <v>149</v>
      </c>
      <c r="J8576" s="160">
        <v>-6.45E-3</v>
      </c>
      <c r="K8576" s="160" t="s">
        <v>24</v>
      </c>
      <c r="L8576" s="154" t="str">
        <f>IF(OpenLCAbasic!K8576="CTUh", "Fill in Manually",IF(OR(K8576="Unit", K8576=""), "", INDEX(LookUps!$E$5:$E$12, MATCH(OpenLCAbasic!K8576,LookUps!$D$5:$D$12,0))))</f>
        <v>Acidification Potential (AP) - kg SO2 eq</v>
      </c>
      <c r="M8576" s="154" t="str">
        <f t="shared" si="694"/>
        <v>Low_Base_Upgraded_Acidification Potential (AP) - kg SO2 eq_Anaerobic Digestion; wastewater treatment unit; at updated plant - US_Without Amendment_Aerated Static Pile</v>
      </c>
    </row>
    <row r="8577" spans="1:13" s="120" customFormat="1" x14ac:dyDescent="0.25">
      <c r="A8577" s="119"/>
      <c r="B8577" s="138" t="str">
        <f t="shared" si="689"/>
        <v/>
      </c>
      <c r="C8577" s="138" t="str">
        <f t="shared" si="690"/>
        <v/>
      </c>
      <c r="D8577" s="138" t="str">
        <f t="shared" si="688"/>
        <v/>
      </c>
      <c r="E8577" s="138" t="str">
        <f t="shared" si="693"/>
        <v/>
      </c>
      <c r="F8577" s="138" t="str">
        <f t="shared" si="692"/>
        <v/>
      </c>
      <c r="G8577" s="153" t="s">
        <v>51</v>
      </c>
      <c r="H8577" s="160"/>
      <c r="I8577" s="160" t="s">
        <v>47</v>
      </c>
      <c r="J8577" s="160" t="s">
        <v>52</v>
      </c>
      <c r="K8577" s="160" t="s">
        <v>27</v>
      </c>
      <c r="L8577" s="154" t="str">
        <f>IF(OpenLCAbasic!K8577="CTUh", "Fill in Manually",IF(OR(K8577="Unit", K8577=""), "", INDEX(LookUps!$E$5:$E$12, MATCH(OpenLCAbasic!K8577,LookUps!$D$5:$D$12,0))))</f>
        <v/>
      </c>
      <c r="M8577" s="154" t="str">
        <f t="shared" si="694"/>
        <v>____Process__</v>
      </c>
    </row>
    <row r="8578" spans="1:13" s="120" customFormat="1" x14ac:dyDescent="0.25">
      <c r="A8578" s="119"/>
      <c r="B8578" s="138" t="str">
        <f t="shared" si="689"/>
        <v>Aerated Static Pile</v>
      </c>
      <c r="C8578" s="138" t="str">
        <f t="shared" si="690"/>
        <v>Without Amendment</v>
      </c>
      <c r="D8578" s="138" t="s">
        <v>130</v>
      </c>
      <c r="E8578" s="138" t="str">
        <f t="shared" si="693"/>
        <v>Low</v>
      </c>
      <c r="F8578" s="138" t="str">
        <f t="shared" si="692"/>
        <v>Upgraded</v>
      </c>
      <c r="G8578" s="153"/>
      <c r="H8578" s="210">
        <v>0.35260000000000002</v>
      </c>
      <c r="I8578" s="160" t="s">
        <v>55</v>
      </c>
      <c r="J8578" s="160">
        <v>3.5330499999999998</v>
      </c>
      <c r="K8578" s="160" t="s">
        <v>15</v>
      </c>
      <c r="L8578" s="154" t="str">
        <f>IF(OpenLCAbasic!K8578="CTUh", "Fill in Manually",IF(OR(K8578="Unit", K8578=""), "", INDEX(LookUps!$E$5:$E$12, MATCH(OpenLCAbasic!K8578,LookUps!$D$5:$D$12,0))))</f>
        <v>Cumulative Energy Demand (CED) - MJ</v>
      </c>
      <c r="M8578" s="154" t="str">
        <f t="shared" si="694"/>
        <v>Low_Base_Upgraded_Cumulative Energy Demand (CED) - MJ_Aeration Tanks; wastewater treatment unit; at updated plant - US_Without Amendment_Aerated Static Pile</v>
      </c>
    </row>
    <row r="8579" spans="1:13" s="120" customFormat="1" x14ac:dyDescent="0.25">
      <c r="A8579" s="119"/>
      <c r="B8579" s="138" t="str">
        <f t="shared" si="689"/>
        <v>Aerated Static Pile</v>
      </c>
      <c r="C8579" s="138" t="str">
        <f t="shared" si="690"/>
        <v>Without Amendment</v>
      </c>
      <c r="D8579" s="138" t="s">
        <v>130</v>
      </c>
      <c r="E8579" s="138" t="str">
        <f t="shared" si="693"/>
        <v>Low</v>
      </c>
      <c r="F8579" s="138" t="str">
        <f t="shared" si="692"/>
        <v>Upgraded</v>
      </c>
      <c r="G8579" s="153"/>
      <c r="H8579" s="210">
        <v>0.34910000000000002</v>
      </c>
      <c r="I8579" s="160" t="s">
        <v>167</v>
      </c>
      <c r="J8579" s="160">
        <v>3.4982700000000002</v>
      </c>
      <c r="K8579" s="160" t="s">
        <v>15</v>
      </c>
      <c r="L8579" s="154" t="str">
        <f>IF(OpenLCAbasic!K8579="CTUh", "Fill in Manually",IF(OR(K8579="Unit", K8579=""), "", INDEX(LookUps!$E$5:$E$12, MATCH(OpenLCAbasic!K8579,LookUps!$D$5:$D$12,0))))</f>
        <v>Cumulative Energy Demand (CED) - MJ</v>
      </c>
      <c r="M8579" s="154" t="str">
        <f t="shared" si="694"/>
        <v>Low_Base_Upgraded_Cumulative Energy Demand (CED) - MJ_Waste Receiving and Holding; wastewater treatment unit; at updated plant - US_Without Amendment_Aerated Static Pile</v>
      </c>
    </row>
    <row r="8580" spans="1:13" s="120" customFormat="1" x14ac:dyDescent="0.25">
      <c r="A8580" s="119"/>
      <c r="B8580" s="138" t="str">
        <f t="shared" si="689"/>
        <v>Aerated Static Pile</v>
      </c>
      <c r="C8580" s="138" t="str">
        <f t="shared" si="690"/>
        <v>Without Amendment</v>
      </c>
      <c r="D8580" s="138" t="s">
        <v>130</v>
      </c>
      <c r="E8580" s="138" t="str">
        <f t="shared" si="693"/>
        <v>Low</v>
      </c>
      <c r="F8580" s="138" t="str">
        <f t="shared" si="692"/>
        <v>Upgraded</v>
      </c>
      <c r="G8580" s="153"/>
      <c r="H8580" s="210">
        <v>0.11600000000000001</v>
      </c>
      <c r="I8580" s="160" t="s">
        <v>54</v>
      </c>
      <c r="J8580" s="160">
        <v>1.16289</v>
      </c>
      <c r="K8580" s="160" t="s">
        <v>15</v>
      </c>
      <c r="L8580" s="154" t="str">
        <f>IF(OpenLCAbasic!K8580="CTUh", "Fill in Manually",IF(OR(K8580="Unit", K8580=""), "", INDEX(LookUps!$E$5:$E$12, MATCH(OpenLCAbasic!K8580,LookUps!$D$5:$D$12,0))))</f>
        <v>Cumulative Energy Demand (CED) - MJ</v>
      </c>
      <c r="M8580" s="154" t="str">
        <f t="shared" si="694"/>
        <v>Low_Base_Upgraded_Cumulative Energy Demand (CED) - MJ_Clear Cove Primary Clarification; wastewater treatment unit; at updated plant - US_Without Amendment_Aerated Static Pile</v>
      </c>
    </row>
    <row r="8581" spans="1:13" s="120" customFormat="1" x14ac:dyDescent="0.25">
      <c r="A8581" s="119"/>
      <c r="B8581" s="138" t="str">
        <f t="shared" si="689"/>
        <v>Aerated Static Pile</v>
      </c>
      <c r="C8581" s="138" t="str">
        <f t="shared" si="690"/>
        <v>Without Amendment</v>
      </c>
      <c r="D8581" s="138" t="s">
        <v>130</v>
      </c>
      <c r="E8581" s="138" t="str">
        <f t="shared" si="693"/>
        <v>Low</v>
      </c>
      <c r="F8581" s="138" t="str">
        <f t="shared" si="692"/>
        <v>Upgraded</v>
      </c>
      <c r="G8581" s="153"/>
      <c r="H8581" s="210">
        <v>8.8200000000000001E-2</v>
      </c>
      <c r="I8581" s="160" t="s">
        <v>58</v>
      </c>
      <c r="J8581" s="160">
        <v>0.88417000000000001</v>
      </c>
      <c r="K8581" s="160" t="s">
        <v>15</v>
      </c>
      <c r="L8581" s="154" t="str">
        <f>IF(OpenLCAbasic!K8581="CTUh", "Fill in Manually",IF(OR(K8581="Unit", K8581=""), "", INDEX(LookUps!$E$5:$E$12, MATCH(OpenLCAbasic!K8581,LookUps!$D$5:$D$12,0))))</f>
        <v>Cumulative Energy Demand (CED) - MJ</v>
      </c>
      <c r="M8581" s="154" t="str">
        <f t="shared" si="694"/>
        <v>Low_Base_Upgraded_Cumulative Energy Demand (CED) - MJ_Pre-Anoxic &amp; Swing tank; wastewater treatment unit; at updated plant - US_Without Amendment_Aerated Static Pile</v>
      </c>
    </row>
    <row r="8582" spans="1:13" s="120" customFormat="1" x14ac:dyDescent="0.25">
      <c r="A8582" s="119"/>
      <c r="B8582" s="138" t="str">
        <f t="shared" si="689"/>
        <v>Aerated Static Pile</v>
      </c>
      <c r="C8582" s="138" t="str">
        <f t="shared" si="690"/>
        <v>Without Amendment</v>
      </c>
      <c r="D8582" s="138" t="s">
        <v>130</v>
      </c>
      <c r="E8582" s="138" t="str">
        <f t="shared" si="693"/>
        <v>Low</v>
      </c>
      <c r="F8582" s="138" t="str">
        <f t="shared" si="692"/>
        <v>Upgraded</v>
      </c>
      <c r="G8582" s="153"/>
      <c r="H8582" s="210">
        <v>8.8099999999999998E-2</v>
      </c>
      <c r="I8582" s="160" t="s">
        <v>147</v>
      </c>
      <c r="J8582" s="160">
        <v>0.88297000000000003</v>
      </c>
      <c r="K8582" s="160" t="s">
        <v>15</v>
      </c>
      <c r="L8582" s="154" t="str">
        <f>IF(OpenLCAbasic!K8582="CTUh", "Fill in Manually",IF(OR(K8582="Unit", K8582=""), "", INDEX(LookUps!$E$5:$E$12, MATCH(OpenLCAbasic!K8582,LookUps!$D$5:$D$12,0))))</f>
        <v>Cumulative Energy Demand (CED) - MJ</v>
      </c>
      <c r="M8582" s="154" t="str">
        <f t="shared" si="694"/>
        <v>Low_Base_Upgraded_Cumulative Energy Demand (CED) - MJ_Influent Pump Station; wastewater treatment unit; at updated plant - US_Without Amendment_Aerated Static Pile</v>
      </c>
    </row>
    <row r="8583" spans="1:13" s="120" customFormat="1" x14ac:dyDescent="0.25">
      <c r="A8583" s="119"/>
      <c r="B8583" s="138" t="str">
        <f t="shared" si="689"/>
        <v>Aerated Static Pile</v>
      </c>
      <c r="C8583" s="138" t="str">
        <f t="shared" si="690"/>
        <v>Without Amendment</v>
      </c>
      <c r="D8583" s="138" t="s">
        <v>130</v>
      </c>
      <c r="E8583" s="138" t="str">
        <f t="shared" si="693"/>
        <v>Low</v>
      </c>
      <c r="F8583" s="138" t="str">
        <f t="shared" si="692"/>
        <v>Upgraded</v>
      </c>
      <c r="G8583" s="153"/>
      <c r="H8583" s="210">
        <v>6.9500000000000006E-2</v>
      </c>
      <c r="I8583" s="160" t="s">
        <v>53</v>
      </c>
      <c r="J8583" s="160">
        <v>0.69645000000000001</v>
      </c>
      <c r="K8583" s="160" t="s">
        <v>15</v>
      </c>
      <c r="L8583" s="154" t="str">
        <f>IF(OpenLCAbasic!K8583="CTUh", "Fill in Manually",IF(OR(K8583="Unit", K8583=""), "", INDEX(LookUps!$E$5:$E$12, MATCH(OpenLCAbasic!K8583,LookUps!$D$5:$D$12,0))))</f>
        <v>Cumulative Energy Demand (CED) - MJ</v>
      </c>
      <c r="M8583" s="154" t="str">
        <f t="shared" si="694"/>
        <v>Low_Base_Upgraded_Cumulative Energy Demand (CED) - MJ_Wet Well and Sump Station; wastewater treatment unit; at updated plant - US_Without Amendment_Aerated Static Pile</v>
      </c>
    </row>
    <row r="8584" spans="1:13" s="120" customFormat="1" x14ac:dyDescent="0.25">
      <c r="A8584" s="119"/>
      <c r="B8584" s="138" t="str">
        <f t="shared" si="689"/>
        <v>Aerated Static Pile</v>
      </c>
      <c r="C8584" s="138" t="str">
        <f t="shared" si="690"/>
        <v>Without Amendment</v>
      </c>
      <c r="D8584" s="138" t="s">
        <v>130</v>
      </c>
      <c r="E8584" s="138" t="str">
        <f t="shared" si="693"/>
        <v>Low</v>
      </c>
      <c r="F8584" s="138" t="str">
        <f t="shared" si="692"/>
        <v>Upgraded</v>
      </c>
      <c r="G8584" s="153"/>
      <c r="H8584" s="210">
        <v>3.4700000000000002E-2</v>
      </c>
      <c r="I8584" s="160" t="s">
        <v>435</v>
      </c>
      <c r="J8584" s="160">
        <v>0.34788999999999998</v>
      </c>
      <c r="K8584" s="160" t="s">
        <v>15</v>
      </c>
      <c r="L8584" s="154" t="str">
        <f>IF(OpenLCAbasic!K8584="CTUh", "Fill in Manually",IF(OR(K8584="Unit", K8584=""), "", INDEX(LookUps!$E$5:$E$12, MATCH(OpenLCAbasic!K8584,LookUps!$D$5:$D$12,0))))</f>
        <v>Cumulative Energy Demand (CED) - MJ</v>
      </c>
      <c r="M8584" s="154" t="str">
        <f t="shared" si="694"/>
        <v>Low_Base_Upgraded_Cumulative Energy Demand (CED) - MJ_Biosolids composting; aerated static pile; wastewater treatment unit; at updated plant - US_Without Amendment_Aerated Static Pile</v>
      </c>
    </row>
    <row r="8585" spans="1:13" s="120" customFormat="1" x14ac:dyDescent="0.25">
      <c r="A8585" s="119"/>
      <c r="B8585" s="138" t="str">
        <f t="shared" si="689"/>
        <v>Aerated Static Pile</v>
      </c>
      <c r="C8585" s="138" t="str">
        <f t="shared" si="690"/>
        <v>Without Amendment</v>
      </c>
      <c r="D8585" s="138" t="s">
        <v>130</v>
      </c>
      <c r="E8585" s="138" t="str">
        <f t="shared" si="693"/>
        <v>Low</v>
      </c>
      <c r="F8585" s="138" t="str">
        <f t="shared" si="692"/>
        <v>Upgraded</v>
      </c>
      <c r="G8585" s="153"/>
      <c r="H8585" s="210">
        <v>3.3300000000000003E-2</v>
      </c>
      <c r="I8585" s="160" t="s">
        <v>57</v>
      </c>
      <c r="J8585" s="160">
        <v>0.33404</v>
      </c>
      <c r="K8585" s="160" t="s">
        <v>15</v>
      </c>
      <c r="L8585" s="154" t="str">
        <f>IF(OpenLCAbasic!K8585="CTUh", "Fill in Manually",IF(OR(K8585="Unit", K8585=""), "", INDEX(LookUps!$E$5:$E$12, MATCH(OpenLCAbasic!K8585,LookUps!$D$5:$D$12,0))))</f>
        <v>Cumulative Energy Demand (CED) - MJ</v>
      </c>
      <c r="M8585" s="154" t="str">
        <f t="shared" si="694"/>
        <v>Low_Base_Upgraded_Cumulative Energy Demand (CED) - MJ_Gravity Belt Thickener; wastewater treatment unit; at updated plant - US_Without Amendment_Aerated Static Pile</v>
      </c>
    </row>
    <row r="8586" spans="1:13" s="120" customFormat="1" x14ac:dyDescent="0.25">
      <c r="A8586" s="119"/>
      <c r="B8586" s="138" t="str">
        <f t="shared" si="689"/>
        <v>Aerated Static Pile</v>
      </c>
      <c r="C8586" s="138" t="str">
        <f t="shared" si="690"/>
        <v>Without Amendment</v>
      </c>
      <c r="D8586" s="138" t="s">
        <v>130</v>
      </c>
      <c r="E8586" s="138" t="str">
        <f t="shared" si="693"/>
        <v>Low</v>
      </c>
      <c r="F8586" s="138" t="str">
        <f t="shared" si="692"/>
        <v>Upgraded</v>
      </c>
      <c r="G8586" s="153"/>
      <c r="H8586" s="210">
        <v>2.8799999999999999E-2</v>
      </c>
      <c r="I8586" s="160" t="s">
        <v>60</v>
      </c>
      <c r="J8586" s="160">
        <v>0.28833999999999999</v>
      </c>
      <c r="K8586" s="160" t="s">
        <v>15</v>
      </c>
      <c r="L8586" s="154" t="str">
        <f>IF(OpenLCAbasic!K8586="CTUh", "Fill in Manually",IF(OR(K8586="Unit", K8586=""), "", INDEX(LookUps!$E$5:$E$12, MATCH(OpenLCAbasic!K8586,LookUps!$D$5:$D$12,0))))</f>
        <v>Cumulative Energy Demand (CED) - MJ</v>
      </c>
      <c r="M8586" s="154" t="str">
        <f t="shared" si="694"/>
        <v>Low_Base_Upgraded_Cumulative Energy Demand (CED) - MJ_Belt filter press; wastewater treatment unit; at updated plant - US_Without Amendment_Aerated Static Pile</v>
      </c>
    </row>
    <row r="8587" spans="1:13" s="120" customFormat="1" x14ac:dyDescent="0.25">
      <c r="A8587" s="119"/>
      <c r="B8587" s="138" t="str">
        <f t="shared" si="689"/>
        <v>Aerated Static Pile</v>
      </c>
      <c r="C8587" s="138" t="str">
        <f t="shared" si="690"/>
        <v>Without Amendment</v>
      </c>
      <c r="D8587" s="138" t="s">
        <v>130</v>
      </c>
      <c r="E8587" s="138" t="str">
        <f t="shared" si="693"/>
        <v>Low</v>
      </c>
      <c r="F8587" s="138" t="str">
        <f t="shared" si="692"/>
        <v>Upgraded</v>
      </c>
      <c r="G8587" s="153"/>
      <c r="H8587" s="210">
        <v>2.5600000000000001E-2</v>
      </c>
      <c r="I8587" s="160" t="s">
        <v>128</v>
      </c>
      <c r="J8587" s="160">
        <v>0.25606000000000001</v>
      </c>
      <c r="K8587" s="160" t="s">
        <v>15</v>
      </c>
      <c r="L8587" s="154" t="str">
        <f>IF(OpenLCAbasic!K8587="CTUh", "Fill in Manually",IF(OR(K8587="Unit", K8587=""), "", INDEX(LookUps!$E$5:$E$12, MATCH(OpenLCAbasic!K8587,LookUps!$D$5:$D$12,0))))</f>
        <v>Cumulative Energy Demand (CED) - MJ</v>
      </c>
      <c r="M8587" s="154" t="str">
        <f t="shared" si="694"/>
        <v>Low_Base_Upgraded_Cumulative Energy Demand (CED) - MJ_Wastewater collection; operation and infrastructure; m3 wastewater_Without Amendment_Aerated Static Pile</v>
      </c>
    </row>
    <row r="8588" spans="1:13" s="120" customFormat="1" x14ac:dyDescent="0.25">
      <c r="A8588" s="119"/>
      <c r="B8588" s="138" t="str">
        <f t="shared" si="689"/>
        <v>Aerated Static Pile</v>
      </c>
      <c r="C8588" s="138" t="str">
        <f t="shared" si="690"/>
        <v>Without Amendment</v>
      </c>
      <c r="D8588" s="138" t="s">
        <v>130</v>
      </c>
      <c r="E8588" s="138" t="str">
        <f t="shared" si="693"/>
        <v>Low</v>
      </c>
      <c r="F8588" s="138" t="str">
        <f t="shared" si="692"/>
        <v>Upgraded</v>
      </c>
      <c r="G8588" s="153"/>
      <c r="H8588" s="210">
        <v>1.46E-2</v>
      </c>
      <c r="I8588" s="160" t="s">
        <v>148</v>
      </c>
      <c r="J8588" s="160">
        <v>0.14599000000000001</v>
      </c>
      <c r="K8588" s="160" t="s">
        <v>15</v>
      </c>
      <c r="L8588" s="154" t="str">
        <f>IF(OpenLCAbasic!K8588="CTUh", "Fill in Manually",IF(OR(K8588="Unit", K8588=""), "", INDEX(LookUps!$E$5:$E$12, MATCH(OpenLCAbasic!K8588,LookUps!$D$5:$D$12,0))))</f>
        <v>Cumulative Energy Demand (CED) - MJ</v>
      </c>
      <c r="M8588" s="154" t="str">
        <f t="shared" si="694"/>
        <v>Low_Base_Upgraded_Cumulative Energy Demand (CED) - MJ_Control Building; at upgraded wastewater treatment plant - US_Without Amendment_Aerated Static Pile</v>
      </c>
    </row>
    <row r="8589" spans="1:13" s="120" customFormat="1" x14ac:dyDescent="0.25">
      <c r="A8589" s="119"/>
      <c r="B8589" s="138" t="str">
        <f t="shared" si="689"/>
        <v>Aerated Static Pile</v>
      </c>
      <c r="C8589" s="138" t="str">
        <f t="shared" si="690"/>
        <v>Without Amendment</v>
      </c>
      <c r="D8589" s="138" t="s">
        <v>130</v>
      </c>
      <c r="E8589" s="138" t="str">
        <f t="shared" si="693"/>
        <v>Low</v>
      </c>
      <c r="F8589" s="138" t="str">
        <f t="shared" si="692"/>
        <v>Upgraded</v>
      </c>
      <c r="G8589" s="153"/>
      <c r="H8589" s="210">
        <v>1.3299999999999999E-2</v>
      </c>
      <c r="I8589" s="160" t="s">
        <v>48</v>
      </c>
      <c r="J8589" s="160">
        <v>0.13321</v>
      </c>
      <c r="K8589" s="160" t="s">
        <v>15</v>
      </c>
      <c r="L8589" s="154" t="str">
        <f>IF(OpenLCAbasic!K8589="CTUh", "Fill in Manually",IF(OR(K8589="Unit", K8589=""), "", INDEX(LookUps!$E$5:$E$12, MATCH(OpenLCAbasic!K8589,LookUps!$D$5:$D$12,0))))</f>
        <v>Cumulative Energy Demand (CED) - MJ</v>
      </c>
      <c r="M8589" s="154" t="str">
        <f t="shared" si="694"/>
        <v>Low_Base_Upgraded_Cumulative Energy Demand (CED) - MJ_Effluent release; wastewater treatment unit; at surface water; m3 wastewater - US_Without Amendment_Aerated Static Pile</v>
      </c>
    </row>
    <row r="8590" spans="1:13" s="120" customFormat="1" x14ac:dyDescent="0.25">
      <c r="A8590" s="119"/>
      <c r="B8590" s="138" t="str">
        <f t="shared" si="689"/>
        <v>Aerated Static Pile</v>
      </c>
      <c r="C8590" s="138" t="str">
        <f t="shared" si="690"/>
        <v>Without Amendment</v>
      </c>
      <c r="D8590" s="138" t="s">
        <v>130</v>
      </c>
      <c r="E8590" s="138" t="str">
        <f t="shared" si="693"/>
        <v>Low</v>
      </c>
      <c r="F8590" s="138" t="str">
        <f t="shared" si="692"/>
        <v>Upgraded</v>
      </c>
      <c r="G8590" s="153"/>
      <c r="H8590" s="210">
        <v>1.06E-2</v>
      </c>
      <c r="I8590" s="160" t="s">
        <v>59</v>
      </c>
      <c r="J8590" s="160">
        <v>0.10638</v>
      </c>
      <c r="K8590" s="160" t="s">
        <v>15</v>
      </c>
      <c r="L8590" s="154" t="str">
        <f>IF(OpenLCAbasic!K8590="CTUh", "Fill in Manually",IF(OR(K8590="Unit", K8590=""), "", INDEX(LookUps!$E$5:$E$12, MATCH(OpenLCAbasic!K8590,LookUps!$D$5:$D$12,0))))</f>
        <v>Cumulative Energy Demand (CED) - MJ</v>
      </c>
      <c r="M8590" s="154" t="str">
        <f t="shared" si="694"/>
        <v>Low_Base_Upgraded_Cumulative Energy Demand (CED) - MJ_Blend Tank; wastewater treatment unit; at updated plant - US_Without Amendment_Aerated Static Pile</v>
      </c>
    </row>
    <row r="8591" spans="1:13" s="120" customFormat="1" x14ac:dyDescent="0.25">
      <c r="A8591" s="119"/>
      <c r="B8591" s="138" t="str">
        <f t="shared" si="689"/>
        <v>Aerated Static Pile</v>
      </c>
      <c r="C8591" s="138" t="str">
        <f t="shared" si="690"/>
        <v>Without Amendment</v>
      </c>
      <c r="D8591" s="138" t="s">
        <v>130</v>
      </c>
      <c r="E8591" s="138" t="str">
        <f t="shared" si="693"/>
        <v>Low</v>
      </c>
      <c r="F8591" s="138" t="str">
        <f t="shared" si="692"/>
        <v>Upgraded</v>
      </c>
      <c r="G8591" s="153"/>
      <c r="H8591" s="210">
        <v>5.1000000000000004E-3</v>
      </c>
      <c r="I8591" s="160" t="s">
        <v>168</v>
      </c>
      <c r="J8591" s="160">
        <v>5.0930000000000003E-2</v>
      </c>
      <c r="K8591" s="160" t="s">
        <v>15</v>
      </c>
      <c r="L8591" s="154" t="str">
        <f>IF(OpenLCAbasic!K8591="CTUh", "Fill in Manually",IF(OR(K8591="Unit", K8591=""), "", INDEX(LookUps!$E$5:$E$12, MATCH(OpenLCAbasic!K8591,LookUps!$D$5:$D$12,0))))</f>
        <v>Cumulative Energy Demand (CED) - MJ</v>
      </c>
      <c r="M8591" s="154" t="str">
        <f t="shared" si="694"/>
        <v>Low_Base_Upgraded_Cumulative Energy Demand (CED) - MJ_ClearCove SCP; wastewater treatment unit; at updated plant - US_Without Amendment_Aerated Static Pile</v>
      </c>
    </row>
    <row r="8592" spans="1:13" s="120" customFormat="1" x14ac:dyDescent="0.25">
      <c r="A8592" s="119"/>
      <c r="B8592" s="138" t="str">
        <f t="shared" si="689"/>
        <v>Aerated Static Pile</v>
      </c>
      <c r="C8592" s="138" t="str">
        <f t="shared" si="690"/>
        <v>Without Amendment</v>
      </c>
      <c r="D8592" s="138" t="s">
        <v>130</v>
      </c>
      <c r="E8592" s="138" t="str">
        <f t="shared" si="693"/>
        <v>Low</v>
      </c>
      <c r="F8592" s="138" t="str">
        <f t="shared" si="692"/>
        <v>Upgraded</v>
      </c>
      <c r="G8592" s="153"/>
      <c r="H8592" s="210">
        <v>-3.0200000000000001E-2</v>
      </c>
      <c r="I8592" s="160" t="s">
        <v>62</v>
      </c>
      <c r="J8592" s="160">
        <v>-0.30220999999999998</v>
      </c>
      <c r="K8592" s="160" t="s">
        <v>15</v>
      </c>
      <c r="L8592" s="154" t="str">
        <f>IF(OpenLCAbasic!K8592="CTUh", "Fill in Manually",IF(OR(K8592="Unit", K8592=""), "", INDEX(LookUps!$E$5:$E$12, MATCH(OpenLCAbasic!K8592,LookUps!$D$5:$D$12,0))))</f>
        <v>Cumulative Energy Demand (CED) - MJ</v>
      </c>
      <c r="M8592" s="154" t="str">
        <f t="shared" si="694"/>
        <v>Low_Base_Upgraded_Cumulative Energy Demand (CED) - MJ_Land application of compost; wastewater treatment unit; at updated plant - US_Without Amendment_Aerated Static Pile</v>
      </c>
    </row>
    <row r="8593" spans="1:13" s="120" customFormat="1" x14ac:dyDescent="0.25">
      <c r="A8593" s="119"/>
      <c r="B8593" s="138" t="str">
        <f t="shared" si="689"/>
        <v>Aerated Static Pile</v>
      </c>
      <c r="C8593" s="138" t="str">
        <f t="shared" si="690"/>
        <v>Without Amendment</v>
      </c>
      <c r="D8593" s="138" t="s">
        <v>130</v>
      </c>
      <c r="E8593" s="138" t="str">
        <f t="shared" si="693"/>
        <v>Low</v>
      </c>
      <c r="F8593" s="138" t="str">
        <f t="shared" si="692"/>
        <v>Upgraded</v>
      </c>
      <c r="G8593" s="153"/>
      <c r="H8593" s="210">
        <v>-0.1993</v>
      </c>
      <c r="I8593" s="160" t="s">
        <v>149</v>
      </c>
      <c r="J8593" s="160">
        <v>-1.99752</v>
      </c>
      <c r="K8593" s="160" t="s">
        <v>15</v>
      </c>
      <c r="L8593" s="154" t="str">
        <f>IF(OpenLCAbasic!K8593="CTUh", "Fill in Manually",IF(OR(K8593="Unit", K8593=""), "", INDEX(LookUps!$E$5:$E$12, MATCH(OpenLCAbasic!K8593,LookUps!$D$5:$D$12,0))))</f>
        <v>Cumulative Energy Demand (CED) - MJ</v>
      </c>
      <c r="M8593" s="154" t="str">
        <f t="shared" si="694"/>
        <v>Low_Base_Upgraded_Cumulative Energy Demand (CED) - MJ_Anaerobic Digestion; wastewater treatment unit; at updated plant - US_Without Amendment_Aerated Static Pile</v>
      </c>
    </row>
    <row r="8594" spans="1:13" s="120" customFormat="1" x14ac:dyDescent="0.25">
      <c r="A8594" s="119"/>
      <c r="B8594" s="138" t="str">
        <f t="shared" si="689"/>
        <v/>
      </c>
      <c r="C8594" s="138" t="str">
        <f t="shared" si="690"/>
        <v/>
      </c>
      <c r="D8594" s="138" t="str">
        <f t="shared" si="688"/>
        <v/>
      </c>
      <c r="E8594" s="138" t="str">
        <f t="shared" si="693"/>
        <v/>
      </c>
      <c r="F8594" s="138" t="str">
        <f t="shared" si="692"/>
        <v/>
      </c>
      <c r="G8594" s="153" t="s">
        <v>51</v>
      </c>
      <c r="H8594" s="160"/>
      <c r="I8594" s="160" t="s">
        <v>47</v>
      </c>
      <c r="J8594" s="160" t="s">
        <v>52</v>
      </c>
      <c r="K8594" s="160" t="s">
        <v>27</v>
      </c>
      <c r="L8594" s="154" t="str">
        <f>IF(OpenLCAbasic!K8594="CTUh", "Fill in Manually",IF(OR(K8594="Unit", K8594=""), "", INDEX(LookUps!$E$5:$E$12, MATCH(OpenLCAbasic!K8594,LookUps!$D$5:$D$12,0))))</f>
        <v/>
      </c>
      <c r="M8594" s="154" t="str">
        <f t="shared" si="694"/>
        <v>____Process__</v>
      </c>
    </row>
    <row r="8595" spans="1:13" s="120" customFormat="1" x14ac:dyDescent="0.25">
      <c r="A8595" s="119"/>
      <c r="B8595" s="138" t="str">
        <f t="shared" si="689"/>
        <v>Aerated Static Pile</v>
      </c>
      <c r="C8595" s="138" t="str">
        <f t="shared" si="690"/>
        <v>Without Amendment</v>
      </c>
      <c r="D8595" s="138" t="s">
        <v>130</v>
      </c>
      <c r="E8595" s="138" t="str">
        <f t="shared" si="693"/>
        <v>Low</v>
      </c>
      <c r="F8595" s="138" t="str">
        <f t="shared" si="692"/>
        <v>Upgraded</v>
      </c>
      <c r="G8595" s="153"/>
      <c r="H8595" s="210">
        <v>0.80530000000000002</v>
      </c>
      <c r="I8595" s="160" t="s">
        <v>48</v>
      </c>
      <c r="J8595" s="160">
        <v>1.1610000000000001E-2</v>
      </c>
      <c r="K8595" s="160" t="s">
        <v>13</v>
      </c>
      <c r="L8595" s="154" t="str">
        <f>IF(OpenLCAbasic!K8595="CTUh", "Fill in Manually",IF(OR(K8595="Unit", K8595=""), "", INDEX(LookUps!$E$5:$E$12, MATCH(OpenLCAbasic!K8595,LookUps!$D$5:$D$12,0))))</f>
        <v>Eutrophication Potential (EP) - kg N eq</v>
      </c>
      <c r="M8595" s="154" t="str">
        <f t="shared" si="694"/>
        <v>Low_Base_Upgraded_Eutrophication Potential (EP) - kg N eq_Effluent release; wastewater treatment unit; at surface water; m3 wastewater - US_Without Amendment_Aerated Static Pile</v>
      </c>
    </row>
    <row r="8596" spans="1:13" s="120" customFormat="1" x14ac:dyDescent="0.25">
      <c r="A8596" s="119"/>
      <c r="B8596" s="138" t="str">
        <f t="shared" si="689"/>
        <v>Aerated Static Pile</v>
      </c>
      <c r="C8596" s="138" t="str">
        <f t="shared" si="690"/>
        <v>Without Amendment</v>
      </c>
      <c r="D8596" s="138" t="s">
        <v>130</v>
      </c>
      <c r="E8596" s="138" t="str">
        <f t="shared" si="693"/>
        <v>Low</v>
      </c>
      <c r="F8596" s="138" t="str">
        <f t="shared" si="692"/>
        <v>Upgraded</v>
      </c>
      <c r="G8596" s="153"/>
      <c r="H8596" s="210">
        <v>9.2899999999999996E-2</v>
      </c>
      <c r="I8596" s="160" t="s">
        <v>62</v>
      </c>
      <c r="J8596" s="160">
        <v>1.34E-3</v>
      </c>
      <c r="K8596" s="160" t="s">
        <v>13</v>
      </c>
      <c r="L8596" s="154" t="str">
        <f>IF(OpenLCAbasic!K8596="CTUh", "Fill in Manually",IF(OR(K8596="Unit", K8596=""), "", INDEX(LookUps!$E$5:$E$12, MATCH(OpenLCAbasic!K8596,LookUps!$D$5:$D$12,0))))</f>
        <v>Eutrophication Potential (EP) - kg N eq</v>
      </c>
      <c r="M8596" s="154" t="str">
        <f t="shared" si="694"/>
        <v>Low_Base_Upgraded_Eutrophication Potential (EP) - kg N eq_Land application of compost; wastewater treatment unit; at updated plant - US_Without Amendment_Aerated Static Pile</v>
      </c>
    </row>
    <row r="8597" spans="1:13" s="120" customFormat="1" x14ac:dyDescent="0.25">
      <c r="A8597" s="119"/>
      <c r="B8597" s="138" t="str">
        <f t="shared" si="689"/>
        <v>Aerated Static Pile</v>
      </c>
      <c r="C8597" s="138" t="str">
        <f t="shared" si="690"/>
        <v>Without Amendment</v>
      </c>
      <c r="D8597" s="138" t="s">
        <v>130</v>
      </c>
      <c r="E8597" s="138" t="str">
        <f t="shared" si="693"/>
        <v>Low</v>
      </c>
      <c r="F8597" s="138" t="str">
        <f t="shared" si="692"/>
        <v>Upgraded</v>
      </c>
      <c r="G8597" s="153"/>
      <c r="H8597" s="210">
        <v>3.7900000000000003E-2</v>
      </c>
      <c r="I8597" s="160" t="s">
        <v>55</v>
      </c>
      <c r="J8597" s="160">
        <v>5.5000000000000003E-4</v>
      </c>
      <c r="K8597" s="160" t="s">
        <v>13</v>
      </c>
      <c r="L8597" s="154" t="str">
        <f>IF(OpenLCAbasic!K8597="CTUh", "Fill in Manually",IF(OR(K8597="Unit", K8597=""), "", INDEX(LookUps!$E$5:$E$12, MATCH(OpenLCAbasic!K8597,LookUps!$D$5:$D$12,0))))</f>
        <v>Eutrophication Potential (EP) - kg N eq</v>
      </c>
      <c r="M8597" s="154" t="str">
        <f t="shared" si="694"/>
        <v>Low_Base_Upgraded_Eutrophication Potential (EP) - kg N eq_Aeration Tanks; wastewater treatment unit; at updated plant - US_Without Amendment_Aerated Static Pile</v>
      </c>
    </row>
    <row r="8598" spans="1:13" s="120" customFormat="1" x14ac:dyDescent="0.25">
      <c r="A8598" s="119"/>
      <c r="B8598" s="138" t="str">
        <f t="shared" si="689"/>
        <v>Aerated Static Pile</v>
      </c>
      <c r="C8598" s="138" t="str">
        <f t="shared" si="690"/>
        <v>Without Amendment</v>
      </c>
      <c r="D8598" s="138" t="s">
        <v>130</v>
      </c>
      <c r="E8598" s="138" t="str">
        <f t="shared" si="693"/>
        <v>Low</v>
      </c>
      <c r="F8598" s="138" t="str">
        <f t="shared" si="692"/>
        <v>Upgraded</v>
      </c>
      <c r="G8598" s="153"/>
      <c r="H8598" s="210">
        <v>1.7299999999999999E-2</v>
      </c>
      <c r="I8598" s="160" t="s">
        <v>147</v>
      </c>
      <c r="J8598" s="160">
        <v>2.5000000000000001E-4</v>
      </c>
      <c r="K8598" s="160" t="s">
        <v>13</v>
      </c>
      <c r="L8598" s="154" t="str">
        <f>IF(OpenLCAbasic!K8598="CTUh", "Fill in Manually",IF(OR(K8598="Unit", K8598=""), "", INDEX(LookUps!$E$5:$E$12, MATCH(OpenLCAbasic!K8598,LookUps!$D$5:$D$12,0))))</f>
        <v>Eutrophication Potential (EP) - kg N eq</v>
      </c>
      <c r="M8598" s="154" t="str">
        <f t="shared" si="694"/>
        <v>Low_Base_Upgraded_Eutrophication Potential (EP) - kg N eq_Influent Pump Station; wastewater treatment unit; at updated plant - US_Without Amendment_Aerated Static Pile</v>
      </c>
    </row>
    <row r="8599" spans="1:13" s="120" customFormat="1" x14ac:dyDescent="0.25">
      <c r="A8599" s="119"/>
      <c r="B8599" s="138" t="str">
        <f t="shared" si="689"/>
        <v>Aerated Static Pile</v>
      </c>
      <c r="C8599" s="138" t="str">
        <f t="shared" si="690"/>
        <v>Without Amendment</v>
      </c>
      <c r="D8599" s="138" t="s">
        <v>130</v>
      </c>
      <c r="E8599" s="138" t="str">
        <f t="shared" si="693"/>
        <v>Low</v>
      </c>
      <c r="F8599" s="138" t="str">
        <f t="shared" si="692"/>
        <v>Upgraded</v>
      </c>
      <c r="G8599" s="153"/>
      <c r="H8599" s="210">
        <v>1.37E-2</v>
      </c>
      <c r="I8599" s="160" t="s">
        <v>54</v>
      </c>
      <c r="J8599" s="160">
        <v>2.0000000000000001E-4</v>
      </c>
      <c r="K8599" s="160" t="s">
        <v>13</v>
      </c>
      <c r="L8599" s="154" t="str">
        <f>IF(OpenLCAbasic!K8599="CTUh", "Fill in Manually",IF(OR(K8599="Unit", K8599=""), "", INDEX(LookUps!$E$5:$E$12, MATCH(OpenLCAbasic!K8599,LookUps!$D$5:$D$12,0))))</f>
        <v>Eutrophication Potential (EP) - kg N eq</v>
      </c>
      <c r="M8599" s="154" t="str">
        <f t="shared" si="694"/>
        <v>Low_Base_Upgraded_Eutrophication Potential (EP) - kg N eq_Clear Cove Primary Clarification; wastewater treatment unit; at updated plant - US_Without Amendment_Aerated Static Pile</v>
      </c>
    </row>
    <row r="8600" spans="1:13" s="120" customFormat="1" x14ac:dyDescent="0.25">
      <c r="A8600" s="119"/>
      <c r="B8600" s="138" t="str">
        <f t="shared" si="689"/>
        <v>Aerated Static Pile</v>
      </c>
      <c r="C8600" s="138" t="str">
        <f t="shared" si="690"/>
        <v>Without Amendment</v>
      </c>
      <c r="D8600" s="138" t="s">
        <v>130</v>
      </c>
      <c r="E8600" s="138" t="str">
        <f t="shared" si="693"/>
        <v>Low</v>
      </c>
      <c r="F8600" s="138" t="str">
        <f t="shared" si="692"/>
        <v>Upgraded</v>
      </c>
      <c r="G8600" s="153"/>
      <c r="H8600" s="210">
        <v>1.14E-2</v>
      </c>
      <c r="I8600" s="160" t="s">
        <v>167</v>
      </c>
      <c r="J8600" s="160">
        <v>1.6000000000000001E-4</v>
      </c>
      <c r="K8600" s="160" t="s">
        <v>13</v>
      </c>
      <c r="L8600" s="154" t="str">
        <f>IF(OpenLCAbasic!K8600="CTUh", "Fill in Manually",IF(OR(K8600="Unit", K8600=""), "", INDEX(LookUps!$E$5:$E$12, MATCH(OpenLCAbasic!K8600,LookUps!$D$5:$D$12,0))))</f>
        <v>Eutrophication Potential (EP) - kg N eq</v>
      </c>
      <c r="M8600" s="154" t="str">
        <f t="shared" si="694"/>
        <v>Low_Base_Upgraded_Eutrophication Potential (EP) - kg N eq_Waste Receiving and Holding; wastewater treatment unit; at updated plant - US_Without Amendment_Aerated Static Pile</v>
      </c>
    </row>
    <row r="8601" spans="1:13" s="120" customFormat="1" x14ac:dyDescent="0.25">
      <c r="A8601" s="119"/>
      <c r="B8601" s="138" t="str">
        <f t="shared" si="689"/>
        <v>Aerated Static Pile</v>
      </c>
      <c r="C8601" s="138" t="str">
        <f t="shared" si="690"/>
        <v>Without Amendment</v>
      </c>
      <c r="D8601" s="138" t="s">
        <v>130</v>
      </c>
      <c r="E8601" s="138" t="str">
        <f t="shared" si="693"/>
        <v>Low</v>
      </c>
      <c r="F8601" s="138" t="str">
        <f t="shared" si="692"/>
        <v>Upgraded</v>
      </c>
      <c r="G8601" s="153"/>
      <c r="H8601" s="210">
        <v>9.4000000000000004E-3</v>
      </c>
      <c r="I8601" s="160" t="s">
        <v>58</v>
      </c>
      <c r="J8601" s="160">
        <v>1.3999999999999999E-4</v>
      </c>
      <c r="K8601" s="160" t="s">
        <v>13</v>
      </c>
      <c r="L8601" s="154" t="str">
        <f>IF(OpenLCAbasic!K8601="CTUh", "Fill in Manually",IF(OR(K8601="Unit", K8601=""), "", INDEX(LookUps!$E$5:$E$12, MATCH(OpenLCAbasic!K8601,LookUps!$D$5:$D$12,0))))</f>
        <v>Eutrophication Potential (EP) - kg N eq</v>
      </c>
      <c r="M8601" s="154" t="str">
        <f t="shared" si="694"/>
        <v>Low_Base_Upgraded_Eutrophication Potential (EP) - kg N eq_Pre-Anoxic &amp; Swing tank; wastewater treatment unit; at updated plant - US_Without Amendment_Aerated Static Pile</v>
      </c>
    </row>
    <row r="8602" spans="1:13" s="120" customFormat="1" x14ac:dyDescent="0.25">
      <c r="A8602" s="119"/>
      <c r="B8602" s="138" t="str">
        <f t="shared" si="689"/>
        <v>Aerated Static Pile</v>
      </c>
      <c r="C8602" s="138" t="str">
        <f t="shared" si="690"/>
        <v>Without Amendment</v>
      </c>
      <c r="D8602" s="138" t="s">
        <v>130</v>
      </c>
      <c r="E8602" s="138" t="str">
        <f t="shared" si="693"/>
        <v>Low</v>
      </c>
      <c r="F8602" s="138" t="str">
        <f t="shared" si="692"/>
        <v>Upgraded</v>
      </c>
      <c r="G8602" s="153"/>
      <c r="H8602" s="210">
        <v>7.4999999999999997E-3</v>
      </c>
      <c r="I8602" s="160" t="s">
        <v>53</v>
      </c>
      <c r="J8602" s="160">
        <v>1.1E-4</v>
      </c>
      <c r="K8602" s="160" t="s">
        <v>13</v>
      </c>
      <c r="L8602" s="154" t="str">
        <f>IF(OpenLCAbasic!K8602="CTUh", "Fill in Manually",IF(OR(K8602="Unit", K8602=""), "", INDEX(LookUps!$E$5:$E$12, MATCH(OpenLCAbasic!K8602,LookUps!$D$5:$D$12,0))))</f>
        <v>Eutrophication Potential (EP) - kg N eq</v>
      </c>
      <c r="M8602" s="154" t="str">
        <f t="shared" si="694"/>
        <v>Low_Base_Upgraded_Eutrophication Potential (EP) - kg N eq_Wet Well and Sump Station; wastewater treatment unit; at updated plant - US_Without Amendment_Aerated Static Pile</v>
      </c>
    </row>
    <row r="8603" spans="1:13" s="120" customFormat="1" x14ac:dyDescent="0.25">
      <c r="A8603" s="119"/>
      <c r="B8603" s="138" t="str">
        <f t="shared" si="689"/>
        <v>Aerated Static Pile</v>
      </c>
      <c r="C8603" s="138" t="str">
        <f t="shared" si="690"/>
        <v>Without Amendment</v>
      </c>
      <c r="D8603" s="138" t="s">
        <v>130</v>
      </c>
      <c r="E8603" s="138" t="str">
        <f t="shared" si="693"/>
        <v>Low</v>
      </c>
      <c r="F8603" s="138" t="str">
        <f t="shared" si="692"/>
        <v>Upgraded</v>
      </c>
      <c r="G8603" s="153"/>
      <c r="H8603" s="210">
        <v>4.1999999999999997E-3</v>
      </c>
      <c r="I8603" s="160" t="s">
        <v>57</v>
      </c>
      <c r="J8603" s="211">
        <v>6.0590300000000002E-5</v>
      </c>
      <c r="K8603" s="160" t="s">
        <v>13</v>
      </c>
      <c r="L8603" s="154" t="str">
        <f>IF(OpenLCAbasic!K8603="CTUh", "Fill in Manually",IF(OR(K8603="Unit", K8603=""), "", INDEX(LookUps!$E$5:$E$12, MATCH(OpenLCAbasic!K8603,LookUps!$D$5:$D$12,0))))</f>
        <v>Eutrophication Potential (EP) - kg N eq</v>
      </c>
      <c r="M8603" s="154" t="str">
        <f t="shared" si="694"/>
        <v>Low_Base_Upgraded_Eutrophication Potential (EP) - kg N eq_Gravity Belt Thickener; wastewater treatment unit; at updated plant - US_Without Amendment_Aerated Static Pile</v>
      </c>
    </row>
    <row r="8604" spans="1:13" s="120" customFormat="1" x14ac:dyDescent="0.25">
      <c r="A8604" s="119"/>
      <c r="B8604" s="138" t="str">
        <f t="shared" si="689"/>
        <v>Aerated Static Pile</v>
      </c>
      <c r="C8604" s="138" t="str">
        <f t="shared" si="690"/>
        <v>Without Amendment</v>
      </c>
      <c r="D8604" s="138" t="s">
        <v>130</v>
      </c>
      <c r="E8604" s="138" t="str">
        <f t="shared" si="693"/>
        <v>Low</v>
      </c>
      <c r="F8604" s="138" t="str">
        <f t="shared" si="692"/>
        <v>Upgraded</v>
      </c>
      <c r="G8604" s="153"/>
      <c r="H8604" s="210">
        <v>3.7000000000000002E-3</v>
      </c>
      <c r="I8604" s="160" t="s">
        <v>435</v>
      </c>
      <c r="J8604" s="211">
        <v>5.3130300000000002E-5</v>
      </c>
      <c r="K8604" s="160" t="s">
        <v>13</v>
      </c>
      <c r="L8604" s="154" t="str">
        <f>IF(OpenLCAbasic!K8604="CTUh", "Fill in Manually",IF(OR(K8604="Unit", K8604=""), "", INDEX(LookUps!$E$5:$E$12, MATCH(OpenLCAbasic!K8604,LookUps!$D$5:$D$12,0))))</f>
        <v>Eutrophication Potential (EP) - kg N eq</v>
      </c>
      <c r="M8604" s="154" t="str">
        <f t="shared" si="694"/>
        <v>Low_Base_Upgraded_Eutrophication Potential (EP) - kg N eq_Biosolids composting; aerated static pile; wastewater treatment unit; at updated plant - US_Without Amendment_Aerated Static Pile</v>
      </c>
    </row>
    <row r="8605" spans="1:13" s="120" customFormat="1" x14ac:dyDescent="0.25">
      <c r="A8605" s="119"/>
      <c r="B8605" s="138" t="str">
        <f t="shared" si="689"/>
        <v>Aerated Static Pile</v>
      </c>
      <c r="C8605" s="138" t="str">
        <f t="shared" si="690"/>
        <v>Without Amendment</v>
      </c>
      <c r="D8605" s="138" t="s">
        <v>130</v>
      </c>
      <c r="E8605" s="138" t="str">
        <f t="shared" si="693"/>
        <v>Low</v>
      </c>
      <c r="F8605" s="138" t="str">
        <f t="shared" si="692"/>
        <v>Upgraded</v>
      </c>
      <c r="G8605" s="153"/>
      <c r="H8605" s="210">
        <v>3.5000000000000001E-3</v>
      </c>
      <c r="I8605" s="160" t="s">
        <v>60</v>
      </c>
      <c r="J8605" s="211">
        <v>5.06508E-5</v>
      </c>
      <c r="K8605" s="160" t="s">
        <v>13</v>
      </c>
      <c r="L8605" s="154" t="str">
        <f>IF(OpenLCAbasic!K8605="CTUh", "Fill in Manually",IF(OR(K8605="Unit", K8605=""), "", INDEX(LookUps!$E$5:$E$12, MATCH(OpenLCAbasic!K8605,LookUps!$D$5:$D$12,0))))</f>
        <v>Eutrophication Potential (EP) - kg N eq</v>
      </c>
      <c r="M8605" s="154" t="str">
        <f t="shared" si="694"/>
        <v>Low_Base_Upgraded_Eutrophication Potential (EP) - kg N eq_Belt filter press; wastewater treatment unit; at updated plant - US_Without Amendment_Aerated Static Pile</v>
      </c>
    </row>
    <row r="8606" spans="1:13" s="120" customFormat="1" x14ac:dyDescent="0.25">
      <c r="A8606" s="119"/>
      <c r="B8606" s="138" t="str">
        <f t="shared" si="689"/>
        <v>Aerated Static Pile</v>
      </c>
      <c r="C8606" s="138" t="str">
        <f t="shared" si="690"/>
        <v>Without Amendment</v>
      </c>
      <c r="D8606" s="138" t="s">
        <v>130</v>
      </c>
      <c r="E8606" s="138" t="str">
        <f t="shared" si="693"/>
        <v>Low</v>
      </c>
      <c r="F8606" s="138" t="str">
        <f t="shared" si="692"/>
        <v>Upgraded</v>
      </c>
      <c r="G8606" s="153"/>
      <c r="H8606" s="210">
        <v>2.5999999999999999E-3</v>
      </c>
      <c r="I8606" s="160" t="s">
        <v>128</v>
      </c>
      <c r="J8606" s="211">
        <v>3.7559799999999999E-5</v>
      </c>
      <c r="K8606" s="160" t="s">
        <v>13</v>
      </c>
      <c r="L8606" s="154" t="str">
        <f>IF(OpenLCAbasic!K8606="CTUh", "Fill in Manually",IF(OR(K8606="Unit", K8606=""), "", INDEX(LookUps!$E$5:$E$12, MATCH(OpenLCAbasic!K8606,LookUps!$D$5:$D$12,0))))</f>
        <v>Eutrophication Potential (EP) - kg N eq</v>
      </c>
      <c r="M8606" s="154" t="str">
        <f t="shared" si="694"/>
        <v>Low_Base_Upgraded_Eutrophication Potential (EP) - kg N eq_Wastewater collection; operation and infrastructure; m3 wastewater_Without Amendment_Aerated Static Pile</v>
      </c>
    </row>
    <row r="8607" spans="1:13" s="120" customFormat="1" x14ac:dyDescent="0.25">
      <c r="A8607" s="119"/>
      <c r="B8607" s="138" t="str">
        <f t="shared" si="689"/>
        <v>Aerated Static Pile</v>
      </c>
      <c r="C8607" s="138" t="str">
        <f t="shared" si="690"/>
        <v>Without Amendment</v>
      </c>
      <c r="D8607" s="138" t="s">
        <v>130</v>
      </c>
      <c r="E8607" s="138" t="str">
        <f t="shared" si="693"/>
        <v>Low</v>
      </c>
      <c r="F8607" s="138" t="str">
        <f t="shared" si="692"/>
        <v>Upgraded</v>
      </c>
      <c r="G8607" s="153"/>
      <c r="H8607" s="210">
        <v>2.5999999999999999E-3</v>
      </c>
      <c r="I8607" s="160" t="s">
        <v>148</v>
      </c>
      <c r="J8607" s="211">
        <v>3.6874600000000001E-5</v>
      </c>
      <c r="K8607" s="160" t="s">
        <v>13</v>
      </c>
      <c r="L8607" s="154" t="str">
        <f>IF(OpenLCAbasic!K8607="CTUh", "Fill in Manually",IF(OR(K8607="Unit", K8607=""), "", INDEX(LookUps!$E$5:$E$12, MATCH(OpenLCAbasic!K8607,LookUps!$D$5:$D$12,0))))</f>
        <v>Eutrophication Potential (EP) - kg N eq</v>
      </c>
      <c r="M8607" s="154" t="str">
        <f t="shared" si="694"/>
        <v>Low_Base_Upgraded_Eutrophication Potential (EP) - kg N eq_Control Building; at upgraded wastewater treatment plant - US_Without Amendment_Aerated Static Pile</v>
      </c>
    </row>
    <row r="8608" spans="1:13" s="120" customFormat="1" x14ac:dyDescent="0.25">
      <c r="A8608" s="119"/>
      <c r="B8608" s="138" t="str">
        <f t="shared" si="689"/>
        <v>Aerated Static Pile</v>
      </c>
      <c r="C8608" s="138" t="str">
        <f t="shared" si="690"/>
        <v>Without Amendment</v>
      </c>
      <c r="D8608" s="138" t="s">
        <v>130</v>
      </c>
      <c r="E8608" s="138" t="str">
        <f t="shared" si="693"/>
        <v>Low</v>
      </c>
      <c r="F8608" s="138" t="str">
        <f t="shared" si="692"/>
        <v>Upgraded</v>
      </c>
      <c r="G8608" s="153"/>
      <c r="H8608" s="210">
        <v>1.1000000000000001E-3</v>
      </c>
      <c r="I8608" s="160" t="s">
        <v>59</v>
      </c>
      <c r="J8608" s="211">
        <v>1.6215700000000001E-5</v>
      </c>
      <c r="K8608" s="160" t="s">
        <v>13</v>
      </c>
      <c r="L8608" s="154" t="str">
        <f>IF(OpenLCAbasic!K8608="CTUh", "Fill in Manually",IF(OR(K8608="Unit", K8608=""), "", INDEX(LookUps!$E$5:$E$12, MATCH(OpenLCAbasic!K8608,LookUps!$D$5:$D$12,0))))</f>
        <v>Eutrophication Potential (EP) - kg N eq</v>
      </c>
      <c r="M8608" s="154" t="str">
        <f t="shared" si="694"/>
        <v>Low_Base_Upgraded_Eutrophication Potential (EP) - kg N eq_Blend Tank; wastewater treatment unit; at updated plant - US_Without Amendment_Aerated Static Pile</v>
      </c>
    </row>
    <row r="8609" spans="1:13" s="120" customFormat="1" x14ac:dyDescent="0.25">
      <c r="A8609" s="119"/>
      <c r="B8609" s="138" t="str">
        <f t="shared" si="689"/>
        <v>Aerated Static Pile</v>
      </c>
      <c r="C8609" s="138" t="str">
        <f t="shared" si="690"/>
        <v>Without Amendment</v>
      </c>
      <c r="D8609" s="138" t="s">
        <v>130</v>
      </c>
      <c r="E8609" s="138" t="str">
        <f t="shared" si="693"/>
        <v>Low</v>
      </c>
      <c r="F8609" s="138" t="str">
        <f t="shared" si="692"/>
        <v>Upgraded</v>
      </c>
      <c r="G8609" s="153"/>
      <c r="H8609" s="210">
        <v>5.0000000000000001E-4</v>
      </c>
      <c r="I8609" s="160" t="s">
        <v>168</v>
      </c>
      <c r="J8609" s="211">
        <v>7.7567199999999995E-6</v>
      </c>
      <c r="K8609" s="160" t="s">
        <v>13</v>
      </c>
      <c r="L8609" s="154" t="str">
        <f>IF(OpenLCAbasic!K8609="CTUh", "Fill in Manually",IF(OR(K8609="Unit", K8609=""), "", INDEX(LookUps!$E$5:$E$12, MATCH(OpenLCAbasic!K8609,LookUps!$D$5:$D$12,0))))</f>
        <v>Eutrophication Potential (EP) - kg N eq</v>
      </c>
      <c r="M8609" s="154" t="str">
        <f t="shared" si="694"/>
        <v>Low_Base_Upgraded_Eutrophication Potential (EP) - kg N eq_ClearCove SCP; wastewater treatment unit; at updated plant - US_Without Amendment_Aerated Static Pile</v>
      </c>
    </row>
    <row r="8610" spans="1:13" s="120" customFormat="1" x14ac:dyDescent="0.25">
      <c r="A8610" s="119"/>
      <c r="B8610" s="138" t="str">
        <f t="shared" si="689"/>
        <v>Aerated Static Pile</v>
      </c>
      <c r="C8610" s="138" t="str">
        <f t="shared" si="690"/>
        <v>Without Amendment</v>
      </c>
      <c r="D8610" s="138" t="s">
        <v>130</v>
      </c>
      <c r="E8610" s="138" t="str">
        <f t="shared" si="693"/>
        <v>Low</v>
      </c>
      <c r="F8610" s="138" t="str">
        <f t="shared" si="692"/>
        <v>Upgraded</v>
      </c>
      <c r="G8610" s="153"/>
      <c r="H8610" s="210">
        <v>-1.37E-2</v>
      </c>
      <c r="I8610" s="160" t="s">
        <v>149</v>
      </c>
      <c r="J8610" s="160">
        <v>-2.0000000000000001E-4</v>
      </c>
      <c r="K8610" s="160" t="s">
        <v>13</v>
      </c>
      <c r="L8610" s="154" t="str">
        <f>IF(OpenLCAbasic!K8610="CTUh", "Fill in Manually",IF(OR(K8610="Unit", K8610=""), "", INDEX(LookUps!$E$5:$E$12, MATCH(OpenLCAbasic!K8610,LookUps!$D$5:$D$12,0))))</f>
        <v>Eutrophication Potential (EP) - kg N eq</v>
      </c>
      <c r="M8610" s="154" t="str">
        <f t="shared" si="694"/>
        <v>Low_Base_Upgraded_Eutrophication Potential (EP) - kg N eq_Anaerobic Digestion; wastewater treatment unit; at updated plant - US_Without Amendment_Aerated Static Pile</v>
      </c>
    </row>
    <row r="8611" spans="1:13" s="120" customFormat="1" x14ac:dyDescent="0.25">
      <c r="A8611" s="119"/>
      <c r="B8611" s="138" t="str">
        <f t="shared" si="689"/>
        <v/>
      </c>
      <c r="C8611" s="138" t="str">
        <f t="shared" si="690"/>
        <v/>
      </c>
      <c r="D8611" s="138" t="str">
        <f t="shared" ref="D8611:D8662" si="695">IF(ISNUMBER($J8611),"Base_Base","")</f>
        <v/>
      </c>
      <c r="E8611" s="138" t="str">
        <f t="shared" si="693"/>
        <v/>
      </c>
      <c r="F8611" s="138" t="str">
        <f t="shared" si="692"/>
        <v/>
      </c>
      <c r="G8611" s="153" t="s">
        <v>51</v>
      </c>
      <c r="H8611" s="160"/>
      <c r="I8611" s="160" t="s">
        <v>47</v>
      </c>
      <c r="J8611" s="160" t="s">
        <v>52</v>
      </c>
      <c r="K8611" s="160" t="s">
        <v>27</v>
      </c>
      <c r="L8611" s="154" t="str">
        <f>IF(OpenLCAbasic!K8611="CTUh", "Fill in Manually",IF(OR(K8611="Unit", K8611=""), "", INDEX(LookUps!$E$5:$E$12, MATCH(OpenLCAbasic!K8611,LookUps!$D$5:$D$12,0))))</f>
        <v/>
      </c>
      <c r="M8611" s="154" t="str">
        <f t="shared" si="694"/>
        <v>____Process__</v>
      </c>
    </row>
    <row r="8612" spans="1:13" s="120" customFormat="1" x14ac:dyDescent="0.25">
      <c r="A8612" s="119"/>
      <c r="B8612" s="138" t="str">
        <f t="shared" si="689"/>
        <v>Aerated Static Pile</v>
      </c>
      <c r="C8612" s="138" t="str">
        <f t="shared" si="690"/>
        <v>Without Amendment</v>
      </c>
      <c r="D8612" s="138" t="s">
        <v>130</v>
      </c>
      <c r="E8612" s="138" t="str">
        <f t="shared" si="693"/>
        <v>Low</v>
      </c>
      <c r="F8612" s="138" t="str">
        <f t="shared" si="692"/>
        <v>Upgraded</v>
      </c>
      <c r="G8612" s="153"/>
      <c r="H8612" s="210">
        <v>0.40720000000000001</v>
      </c>
      <c r="I8612" s="160" t="s">
        <v>167</v>
      </c>
      <c r="J8612" s="160">
        <v>7.9170000000000004E-2</v>
      </c>
      <c r="K8612" s="160" t="s">
        <v>14</v>
      </c>
      <c r="L8612" s="154" t="str">
        <f>IF(OpenLCAbasic!K8612="CTUh", "Fill in Manually",IF(OR(K8612="Unit", K8612=""), "", INDEX(LookUps!$E$5:$E$12, MATCH(OpenLCAbasic!K8612,LookUps!$D$5:$D$12,0))))</f>
        <v>Fossil Depletion Potential (FDP) - kg oil eq</v>
      </c>
      <c r="M8612" s="154" t="str">
        <f t="shared" si="694"/>
        <v>Low_Base_Upgraded_Fossil Depletion Potential (FDP) - kg oil eq_Waste Receiving and Holding; wastewater treatment unit; at updated plant - US_Without Amendment_Aerated Static Pile</v>
      </c>
    </row>
    <row r="8613" spans="1:13" s="120" customFormat="1" x14ac:dyDescent="0.25">
      <c r="A8613" s="119"/>
      <c r="B8613" s="138" t="str">
        <f t="shared" si="689"/>
        <v>Aerated Static Pile</v>
      </c>
      <c r="C8613" s="138" t="str">
        <f t="shared" si="690"/>
        <v>Without Amendment</v>
      </c>
      <c r="D8613" s="138" t="s">
        <v>130</v>
      </c>
      <c r="E8613" s="138" t="str">
        <f t="shared" si="693"/>
        <v>Low</v>
      </c>
      <c r="F8613" s="138" t="str">
        <f t="shared" si="692"/>
        <v>Upgraded</v>
      </c>
      <c r="G8613" s="153"/>
      <c r="H8613" s="210">
        <v>0.32700000000000001</v>
      </c>
      <c r="I8613" s="160" t="s">
        <v>55</v>
      </c>
      <c r="J8613" s="160">
        <v>6.3589999999999994E-2</v>
      </c>
      <c r="K8613" s="160" t="s">
        <v>14</v>
      </c>
      <c r="L8613" s="154" t="str">
        <f>IF(OpenLCAbasic!K8613="CTUh", "Fill in Manually",IF(OR(K8613="Unit", K8613=""), "", INDEX(LookUps!$E$5:$E$12, MATCH(OpenLCAbasic!K8613,LookUps!$D$5:$D$12,0))))</f>
        <v>Fossil Depletion Potential (FDP) - kg oil eq</v>
      </c>
      <c r="M8613" s="154" t="str">
        <f t="shared" si="694"/>
        <v>Low_Base_Upgraded_Fossil Depletion Potential (FDP) - kg oil eq_Aeration Tanks; wastewater treatment unit; at updated plant - US_Without Amendment_Aerated Static Pile</v>
      </c>
    </row>
    <row r="8614" spans="1:13" s="120" customFormat="1" x14ac:dyDescent="0.25">
      <c r="A8614" s="119"/>
      <c r="B8614" s="138" t="str">
        <f t="shared" si="689"/>
        <v>Aerated Static Pile</v>
      </c>
      <c r="C8614" s="138" t="str">
        <f t="shared" si="690"/>
        <v>Without Amendment</v>
      </c>
      <c r="D8614" s="138" t="s">
        <v>130</v>
      </c>
      <c r="E8614" s="138" t="str">
        <f t="shared" si="693"/>
        <v>Low</v>
      </c>
      <c r="F8614" s="138" t="str">
        <f t="shared" si="692"/>
        <v>Upgraded</v>
      </c>
      <c r="G8614" s="153"/>
      <c r="H8614" s="210">
        <v>0.10829999999999999</v>
      </c>
      <c r="I8614" s="160" t="s">
        <v>54</v>
      </c>
      <c r="J8614" s="160">
        <v>2.1049999999999999E-2</v>
      </c>
      <c r="K8614" s="160" t="s">
        <v>14</v>
      </c>
      <c r="L8614" s="154" t="str">
        <f>IF(OpenLCAbasic!K8614="CTUh", "Fill in Manually",IF(OR(K8614="Unit", K8614=""), "", INDEX(LookUps!$E$5:$E$12, MATCH(OpenLCAbasic!K8614,LookUps!$D$5:$D$12,0))))</f>
        <v>Fossil Depletion Potential (FDP) - kg oil eq</v>
      </c>
      <c r="M8614" s="154" t="str">
        <f t="shared" si="694"/>
        <v>Low_Base_Upgraded_Fossil Depletion Potential (FDP) - kg oil eq_Clear Cove Primary Clarification; wastewater treatment unit; at updated plant - US_Without Amendment_Aerated Static Pile</v>
      </c>
    </row>
    <row r="8615" spans="1:13" s="120" customFormat="1" x14ac:dyDescent="0.25">
      <c r="A8615" s="119"/>
      <c r="B8615" s="138" t="str">
        <f t="shared" si="689"/>
        <v>Aerated Static Pile</v>
      </c>
      <c r="C8615" s="138" t="str">
        <f t="shared" si="690"/>
        <v>Without Amendment</v>
      </c>
      <c r="D8615" s="138" t="s">
        <v>130</v>
      </c>
      <c r="E8615" s="138" t="str">
        <f t="shared" si="693"/>
        <v>Low</v>
      </c>
      <c r="F8615" s="138" t="str">
        <f t="shared" si="692"/>
        <v>Upgraded</v>
      </c>
      <c r="G8615" s="153"/>
      <c r="H8615" s="210">
        <v>8.1900000000000001E-2</v>
      </c>
      <c r="I8615" s="160" t="s">
        <v>58</v>
      </c>
      <c r="J8615" s="160">
        <v>1.592E-2</v>
      </c>
      <c r="K8615" s="160" t="s">
        <v>14</v>
      </c>
      <c r="L8615" s="154" t="str">
        <f>IF(OpenLCAbasic!K8615="CTUh", "Fill in Manually",IF(OR(K8615="Unit", K8615=""), "", INDEX(LookUps!$E$5:$E$12, MATCH(OpenLCAbasic!K8615,LookUps!$D$5:$D$12,0))))</f>
        <v>Fossil Depletion Potential (FDP) - kg oil eq</v>
      </c>
      <c r="M8615" s="154" t="str">
        <f t="shared" si="694"/>
        <v>Low_Base_Upgraded_Fossil Depletion Potential (FDP) - kg oil eq_Pre-Anoxic &amp; Swing tank; wastewater treatment unit; at updated plant - US_Without Amendment_Aerated Static Pile</v>
      </c>
    </row>
    <row r="8616" spans="1:13" s="120" customFormat="1" x14ac:dyDescent="0.25">
      <c r="A8616" s="119"/>
      <c r="B8616" s="138" t="str">
        <f t="shared" si="689"/>
        <v>Aerated Static Pile</v>
      </c>
      <c r="C8616" s="138" t="str">
        <f t="shared" si="690"/>
        <v>Without Amendment</v>
      </c>
      <c r="D8616" s="138" t="s">
        <v>130</v>
      </c>
      <c r="E8616" s="138" t="str">
        <f t="shared" si="693"/>
        <v>Low</v>
      </c>
      <c r="F8616" s="138" t="str">
        <f t="shared" si="692"/>
        <v>Upgraded</v>
      </c>
      <c r="G8616" s="153"/>
      <c r="H8616" s="210">
        <v>7.7600000000000002E-2</v>
      </c>
      <c r="I8616" s="160" t="s">
        <v>147</v>
      </c>
      <c r="J8616" s="160">
        <v>1.5089999999999999E-2</v>
      </c>
      <c r="K8616" s="160" t="s">
        <v>14</v>
      </c>
      <c r="L8616" s="154" t="str">
        <f>IF(OpenLCAbasic!K8616="CTUh", "Fill in Manually",IF(OR(K8616="Unit", K8616=""), "", INDEX(LookUps!$E$5:$E$12, MATCH(OpenLCAbasic!K8616,LookUps!$D$5:$D$12,0))))</f>
        <v>Fossil Depletion Potential (FDP) - kg oil eq</v>
      </c>
      <c r="M8616" s="154" t="str">
        <f t="shared" si="694"/>
        <v>Low_Base_Upgraded_Fossil Depletion Potential (FDP) - kg oil eq_Influent Pump Station; wastewater treatment unit; at updated plant - US_Without Amendment_Aerated Static Pile</v>
      </c>
    </row>
    <row r="8617" spans="1:13" s="120" customFormat="1" x14ac:dyDescent="0.25">
      <c r="A8617" s="119"/>
      <c r="B8617" s="138" t="str">
        <f t="shared" ref="B8617:B8680" si="696">IF(F8617="Legacy","n.a.",IF(F8617="","","Aerated Static Pile"))</f>
        <v>Aerated Static Pile</v>
      </c>
      <c r="C8617" s="138" t="str">
        <f t="shared" ref="C8617:C8680" si="697">IF(ISNUMBER($J8617),"Without Amendment","")</f>
        <v>Without Amendment</v>
      </c>
      <c r="D8617" s="138" t="s">
        <v>130</v>
      </c>
      <c r="E8617" s="138" t="str">
        <f t="shared" si="693"/>
        <v>Low</v>
      </c>
      <c r="F8617" s="138" t="str">
        <f t="shared" ref="F8617:F8680" si="698">IF(ISNUMBER(J8617),"Upgraded","")</f>
        <v>Upgraded</v>
      </c>
      <c r="G8617" s="153"/>
      <c r="H8617" s="210">
        <v>6.4199999999999993E-2</v>
      </c>
      <c r="I8617" s="160" t="s">
        <v>53</v>
      </c>
      <c r="J8617" s="160">
        <v>1.2489999999999999E-2</v>
      </c>
      <c r="K8617" s="160" t="s">
        <v>14</v>
      </c>
      <c r="L8617" s="154" t="str">
        <f>IF(OpenLCAbasic!K8617="CTUh", "Fill in Manually",IF(OR(K8617="Unit", K8617=""), "", INDEX(LookUps!$E$5:$E$12, MATCH(OpenLCAbasic!K8617,LookUps!$D$5:$D$12,0))))</f>
        <v>Fossil Depletion Potential (FDP) - kg oil eq</v>
      </c>
      <c r="M8617" s="154" t="str">
        <f t="shared" si="694"/>
        <v>Low_Base_Upgraded_Fossil Depletion Potential (FDP) - kg oil eq_Wet Well and Sump Station; wastewater treatment unit; at updated plant - US_Without Amendment_Aerated Static Pile</v>
      </c>
    </row>
    <row r="8618" spans="1:13" s="120" customFormat="1" x14ac:dyDescent="0.25">
      <c r="A8618" s="119"/>
      <c r="B8618" s="138" t="str">
        <f t="shared" si="696"/>
        <v>Aerated Static Pile</v>
      </c>
      <c r="C8618" s="138" t="str">
        <f t="shared" si="697"/>
        <v>Without Amendment</v>
      </c>
      <c r="D8618" s="138" t="s">
        <v>130</v>
      </c>
      <c r="E8618" s="138" t="str">
        <f t="shared" si="693"/>
        <v>Low</v>
      </c>
      <c r="F8618" s="138" t="str">
        <f t="shared" si="698"/>
        <v>Upgraded</v>
      </c>
      <c r="G8618" s="153"/>
      <c r="H8618" s="210">
        <v>3.56E-2</v>
      </c>
      <c r="I8618" s="160" t="s">
        <v>57</v>
      </c>
      <c r="J8618" s="160">
        <v>6.9199999999999999E-3</v>
      </c>
      <c r="K8618" s="160" t="s">
        <v>14</v>
      </c>
      <c r="L8618" s="154" t="str">
        <f>IF(OpenLCAbasic!K8618="CTUh", "Fill in Manually",IF(OR(K8618="Unit", K8618=""), "", INDEX(LookUps!$E$5:$E$12, MATCH(OpenLCAbasic!K8618,LookUps!$D$5:$D$12,0))))</f>
        <v>Fossil Depletion Potential (FDP) - kg oil eq</v>
      </c>
      <c r="M8618" s="154" t="str">
        <f t="shared" si="694"/>
        <v>Low_Base_Upgraded_Fossil Depletion Potential (FDP) - kg oil eq_Gravity Belt Thickener; wastewater treatment unit; at updated plant - US_Without Amendment_Aerated Static Pile</v>
      </c>
    </row>
    <row r="8619" spans="1:13" s="120" customFormat="1" x14ac:dyDescent="0.25">
      <c r="A8619" s="119"/>
      <c r="B8619" s="138" t="str">
        <f t="shared" si="696"/>
        <v>Aerated Static Pile</v>
      </c>
      <c r="C8619" s="138" t="str">
        <f t="shared" si="697"/>
        <v>Without Amendment</v>
      </c>
      <c r="D8619" s="138" t="s">
        <v>130</v>
      </c>
      <c r="E8619" s="138" t="str">
        <f t="shared" si="693"/>
        <v>Low</v>
      </c>
      <c r="F8619" s="138" t="str">
        <f t="shared" si="698"/>
        <v>Upgraded</v>
      </c>
      <c r="G8619" s="153"/>
      <c r="H8619" s="210">
        <v>3.2500000000000001E-2</v>
      </c>
      <c r="I8619" s="160" t="s">
        <v>435</v>
      </c>
      <c r="J8619" s="160">
        <v>6.3299999999999997E-3</v>
      </c>
      <c r="K8619" s="160" t="s">
        <v>14</v>
      </c>
      <c r="L8619" s="154" t="str">
        <f>IF(OpenLCAbasic!K8619="CTUh", "Fill in Manually",IF(OR(K8619="Unit", K8619=""), "", INDEX(LookUps!$E$5:$E$12, MATCH(OpenLCAbasic!K8619,LookUps!$D$5:$D$12,0))))</f>
        <v>Fossil Depletion Potential (FDP) - kg oil eq</v>
      </c>
      <c r="M8619" s="154" t="str">
        <f t="shared" si="694"/>
        <v>Low_Base_Upgraded_Fossil Depletion Potential (FDP) - kg oil eq_Biosolids composting; aerated static pile; wastewater treatment unit; at updated plant - US_Without Amendment_Aerated Static Pile</v>
      </c>
    </row>
    <row r="8620" spans="1:13" s="120" customFormat="1" x14ac:dyDescent="0.25">
      <c r="A8620" s="119"/>
      <c r="B8620" s="138" t="str">
        <f t="shared" si="696"/>
        <v>Aerated Static Pile</v>
      </c>
      <c r="C8620" s="138" t="str">
        <f t="shared" si="697"/>
        <v>Without Amendment</v>
      </c>
      <c r="D8620" s="138" t="s">
        <v>130</v>
      </c>
      <c r="E8620" s="138" t="str">
        <f t="shared" si="693"/>
        <v>Low</v>
      </c>
      <c r="F8620" s="138" t="str">
        <f t="shared" si="698"/>
        <v>Upgraded</v>
      </c>
      <c r="G8620" s="153"/>
      <c r="H8620" s="210">
        <v>2.9899999999999999E-2</v>
      </c>
      <c r="I8620" s="160" t="s">
        <v>60</v>
      </c>
      <c r="J8620" s="160">
        <v>5.8100000000000001E-3</v>
      </c>
      <c r="K8620" s="160" t="s">
        <v>14</v>
      </c>
      <c r="L8620" s="154" t="str">
        <f>IF(OpenLCAbasic!K8620="CTUh", "Fill in Manually",IF(OR(K8620="Unit", K8620=""), "", INDEX(LookUps!$E$5:$E$12, MATCH(OpenLCAbasic!K8620,LookUps!$D$5:$D$12,0))))</f>
        <v>Fossil Depletion Potential (FDP) - kg oil eq</v>
      </c>
      <c r="M8620" s="154" t="str">
        <f t="shared" si="694"/>
        <v>Low_Base_Upgraded_Fossil Depletion Potential (FDP) - kg oil eq_Belt filter press; wastewater treatment unit; at updated plant - US_Without Amendment_Aerated Static Pile</v>
      </c>
    </row>
    <row r="8621" spans="1:13" s="120" customFormat="1" x14ac:dyDescent="0.25">
      <c r="A8621" s="119"/>
      <c r="B8621" s="138" t="str">
        <f t="shared" si="696"/>
        <v>Aerated Static Pile</v>
      </c>
      <c r="C8621" s="138" t="str">
        <f t="shared" si="697"/>
        <v>Without Amendment</v>
      </c>
      <c r="D8621" s="138" t="s">
        <v>130</v>
      </c>
      <c r="E8621" s="138" t="str">
        <f t="shared" si="693"/>
        <v>Low</v>
      </c>
      <c r="F8621" s="138" t="str">
        <f t="shared" si="698"/>
        <v>Upgraded</v>
      </c>
      <c r="G8621" s="153"/>
      <c r="H8621" s="210">
        <v>2.3099999999999999E-2</v>
      </c>
      <c r="I8621" s="160" t="s">
        <v>128</v>
      </c>
      <c r="J8621" s="160">
        <v>4.4999999999999997E-3</v>
      </c>
      <c r="K8621" s="160" t="s">
        <v>14</v>
      </c>
      <c r="L8621" s="154" t="str">
        <f>IF(OpenLCAbasic!K8621="CTUh", "Fill in Manually",IF(OR(K8621="Unit", K8621=""), "", INDEX(LookUps!$E$5:$E$12, MATCH(OpenLCAbasic!K8621,LookUps!$D$5:$D$12,0))))</f>
        <v>Fossil Depletion Potential (FDP) - kg oil eq</v>
      </c>
      <c r="M8621" s="154" t="str">
        <f t="shared" si="694"/>
        <v>Low_Base_Upgraded_Fossil Depletion Potential (FDP) - kg oil eq_Wastewater collection; operation and infrastructure; m3 wastewater_Without Amendment_Aerated Static Pile</v>
      </c>
    </row>
    <row r="8622" spans="1:13" s="120" customFormat="1" x14ac:dyDescent="0.25">
      <c r="A8622" s="119"/>
      <c r="B8622" s="138" t="str">
        <f t="shared" si="696"/>
        <v>Aerated Static Pile</v>
      </c>
      <c r="C8622" s="138" t="str">
        <f t="shared" si="697"/>
        <v>Without Amendment</v>
      </c>
      <c r="D8622" s="138" t="s">
        <v>130</v>
      </c>
      <c r="E8622" s="138" t="str">
        <f t="shared" si="693"/>
        <v>Low</v>
      </c>
      <c r="F8622" s="138" t="str">
        <f t="shared" si="698"/>
        <v>Upgraded</v>
      </c>
      <c r="G8622" s="153"/>
      <c r="H8622" s="210">
        <v>1.44E-2</v>
      </c>
      <c r="I8622" s="160" t="s">
        <v>148</v>
      </c>
      <c r="J8622" s="160">
        <v>2.8E-3</v>
      </c>
      <c r="K8622" s="160" t="s">
        <v>14</v>
      </c>
      <c r="L8622" s="154" t="str">
        <f>IF(OpenLCAbasic!K8622="CTUh", "Fill in Manually",IF(OR(K8622="Unit", K8622=""), "", INDEX(LookUps!$E$5:$E$12, MATCH(OpenLCAbasic!K8622,LookUps!$D$5:$D$12,0))))</f>
        <v>Fossil Depletion Potential (FDP) - kg oil eq</v>
      </c>
      <c r="M8622" s="154" t="str">
        <f t="shared" si="694"/>
        <v>Low_Base_Upgraded_Fossil Depletion Potential (FDP) - kg oil eq_Control Building; at upgraded wastewater treatment plant - US_Without Amendment_Aerated Static Pile</v>
      </c>
    </row>
    <row r="8623" spans="1:13" s="120" customFormat="1" x14ac:dyDescent="0.25">
      <c r="A8623" s="119"/>
      <c r="B8623" s="138" t="str">
        <f t="shared" si="696"/>
        <v>Aerated Static Pile</v>
      </c>
      <c r="C8623" s="138" t="str">
        <f t="shared" si="697"/>
        <v>Without Amendment</v>
      </c>
      <c r="D8623" s="138" t="s">
        <v>130</v>
      </c>
      <c r="E8623" s="138" t="str">
        <f t="shared" si="693"/>
        <v>Low</v>
      </c>
      <c r="F8623" s="138" t="str">
        <f t="shared" si="698"/>
        <v>Upgraded</v>
      </c>
      <c r="G8623" s="153"/>
      <c r="H8623" s="210">
        <v>1.2200000000000001E-2</v>
      </c>
      <c r="I8623" s="160" t="s">
        <v>48</v>
      </c>
      <c r="J8623" s="160">
        <v>2.3600000000000001E-3</v>
      </c>
      <c r="K8623" s="160" t="s">
        <v>14</v>
      </c>
      <c r="L8623" s="154" t="str">
        <f>IF(OpenLCAbasic!K8623="CTUh", "Fill in Manually",IF(OR(K8623="Unit", K8623=""), "", INDEX(LookUps!$E$5:$E$12, MATCH(OpenLCAbasic!K8623,LookUps!$D$5:$D$12,0))))</f>
        <v>Fossil Depletion Potential (FDP) - kg oil eq</v>
      </c>
      <c r="M8623" s="154" t="str">
        <f t="shared" si="694"/>
        <v>Low_Base_Upgraded_Fossil Depletion Potential (FDP) - kg oil eq_Effluent release; wastewater treatment unit; at surface water; m3 wastewater - US_Without Amendment_Aerated Static Pile</v>
      </c>
    </row>
    <row r="8624" spans="1:13" s="120" customFormat="1" x14ac:dyDescent="0.25">
      <c r="A8624" s="119"/>
      <c r="B8624" s="138" t="str">
        <f t="shared" si="696"/>
        <v>Aerated Static Pile</v>
      </c>
      <c r="C8624" s="138" t="str">
        <f t="shared" si="697"/>
        <v>Without Amendment</v>
      </c>
      <c r="D8624" s="138" t="s">
        <v>130</v>
      </c>
      <c r="E8624" s="138" t="str">
        <f t="shared" si="693"/>
        <v>Low</v>
      </c>
      <c r="F8624" s="138" t="str">
        <f t="shared" si="698"/>
        <v>Upgraded</v>
      </c>
      <c r="G8624" s="153"/>
      <c r="H8624" s="210">
        <v>9.9000000000000008E-3</v>
      </c>
      <c r="I8624" s="160" t="s">
        <v>59</v>
      </c>
      <c r="J8624" s="160">
        <v>1.92E-3</v>
      </c>
      <c r="K8624" s="160" t="s">
        <v>14</v>
      </c>
      <c r="L8624" s="154" t="str">
        <f>IF(OpenLCAbasic!K8624="CTUh", "Fill in Manually",IF(OR(K8624="Unit", K8624=""), "", INDEX(LookUps!$E$5:$E$12, MATCH(OpenLCAbasic!K8624,LookUps!$D$5:$D$12,0))))</f>
        <v>Fossil Depletion Potential (FDP) - kg oil eq</v>
      </c>
      <c r="M8624" s="154" t="str">
        <f t="shared" si="694"/>
        <v>Low_Base_Upgraded_Fossil Depletion Potential (FDP) - kg oil eq_Blend Tank; wastewater treatment unit; at updated plant - US_Without Amendment_Aerated Static Pile</v>
      </c>
    </row>
    <row r="8625" spans="1:13" s="120" customFormat="1" x14ac:dyDescent="0.25">
      <c r="A8625" s="119"/>
      <c r="B8625" s="138" t="str">
        <f t="shared" si="696"/>
        <v>Aerated Static Pile</v>
      </c>
      <c r="C8625" s="138" t="str">
        <f t="shared" si="697"/>
        <v>Without Amendment</v>
      </c>
      <c r="D8625" s="138" t="s">
        <v>130</v>
      </c>
      <c r="E8625" s="138" t="str">
        <f t="shared" ref="E8625:E8688" si="699">IF(ISNUMBER($J8625),"Low","")</f>
        <v>Low</v>
      </c>
      <c r="F8625" s="138" t="str">
        <f t="shared" si="698"/>
        <v>Upgraded</v>
      </c>
      <c r="G8625" s="153"/>
      <c r="H8625" s="210">
        <v>4.7000000000000002E-3</v>
      </c>
      <c r="I8625" s="160" t="s">
        <v>168</v>
      </c>
      <c r="J8625" s="160">
        <v>9.1E-4</v>
      </c>
      <c r="K8625" s="160" t="s">
        <v>14</v>
      </c>
      <c r="L8625" s="154" t="str">
        <f>IF(OpenLCAbasic!K8625="CTUh", "Fill in Manually",IF(OR(K8625="Unit", K8625=""), "", INDEX(LookUps!$E$5:$E$12, MATCH(OpenLCAbasic!K8625,LookUps!$D$5:$D$12,0))))</f>
        <v>Fossil Depletion Potential (FDP) - kg oil eq</v>
      </c>
      <c r="M8625" s="154" t="str">
        <f t="shared" si="694"/>
        <v>Low_Base_Upgraded_Fossil Depletion Potential (FDP) - kg oil eq_ClearCove SCP; wastewater treatment unit; at updated plant - US_Without Amendment_Aerated Static Pile</v>
      </c>
    </row>
    <row r="8626" spans="1:13" s="120" customFormat="1" x14ac:dyDescent="0.25">
      <c r="A8626" s="119"/>
      <c r="B8626" s="138" t="str">
        <f t="shared" si="696"/>
        <v>Aerated Static Pile</v>
      </c>
      <c r="C8626" s="138" t="str">
        <f t="shared" si="697"/>
        <v>Without Amendment</v>
      </c>
      <c r="D8626" s="138" t="s">
        <v>130</v>
      </c>
      <c r="E8626" s="138" t="str">
        <f t="shared" si="699"/>
        <v>Low</v>
      </c>
      <c r="F8626" s="138" t="str">
        <f t="shared" si="698"/>
        <v>Upgraded</v>
      </c>
      <c r="G8626" s="153"/>
      <c r="H8626" s="210">
        <v>-2.2599999999999999E-2</v>
      </c>
      <c r="I8626" s="160" t="s">
        <v>62</v>
      </c>
      <c r="J8626" s="160">
        <v>-4.3899999999999998E-3</v>
      </c>
      <c r="K8626" s="160" t="s">
        <v>14</v>
      </c>
      <c r="L8626" s="154" t="str">
        <f>IF(OpenLCAbasic!K8626="CTUh", "Fill in Manually",IF(OR(K8626="Unit", K8626=""), "", INDEX(LookUps!$E$5:$E$12, MATCH(OpenLCAbasic!K8626,LookUps!$D$5:$D$12,0))))</f>
        <v>Fossil Depletion Potential (FDP) - kg oil eq</v>
      </c>
      <c r="M8626" s="154" t="str">
        <f t="shared" si="694"/>
        <v>Low_Base_Upgraded_Fossil Depletion Potential (FDP) - kg oil eq_Land application of compost; wastewater treatment unit; at updated plant - US_Without Amendment_Aerated Static Pile</v>
      </c>
    </row>
    <row r="8627" spans="1:13" s="120" customFormat="1" x14ac:dyDescent="0.25">
      <c r="A8627" s="119"/>
      <c r="B8627" s="138" t="str">
        <f t="shared" si="696"/>
        <v>Aerated Static Pile</v>
      </c>
      <c r="C8627" s="138" t="str">
        <f t="shared" si="697"/>
        <v>Without Amendment</v>
      </c>
      <c r="D8627" s="138" t="s">
        <v>130</v>
      </c>
      <c r="E8627" s="138" t="str">
        <f t="shared" si="699"/>
        <v>Low</v>
      </c>
      <c r="F8627" s="138" t="str">
        <f t="shared" si="698"/>
        <v>Upgraded</v>
      </c>
      <c r="G8627" s="153"/>
      <c r="H8627" s="210">
        <v>-0.2059</v>
      </c>
      <c r="I8627" s="160" t="s">
        <v>149</v>
      </c>
      <c r="J8627" s="160">
        <v>-4.0030000000000003E-2</v>
      </c>
      <c r="K8627" s="160" t="s">
        <v>14</v>
      </c>
      <c r="L8627" s="154" t="str">
        <f>IF(OpenLCAbasic!K8627="CTUh", "Fill in Manually",IF(OR(K8627="Unit", K8627=""), "", INDEX(LookUps!$E$5:$E$12, MATCH(OpenLCAbasic!K8627,LookUps!$D$5:$D$12,0))))</f>
        <v>Fossil Depletion Potential (FDP) - kg oil eq</v>
      </c>
      <c r="M8627" s="154" t="str">
        <f t="shared" si="694"/>
        <v>Low_Base_Upgraded_Fossil Depletion Potential (FDP) - kg oil eq_Anaerobic Digestion; wastewater treatment unit; at updated plant - US_Without Amendment_Aerated Static Pile</v>
      </c>
    </row>
    <row r="8628" spans="1:13" s="120" customFormat="1" x14ac:dyDescent="0.25">
      <c r="A8628" s="119"/>
      <c r="B8628" s="138" t="str">
        <f t="shared" si="696"/>
        <v/>
      </c>
      <c r="C8628" s="138" t="str">
        <f t="shared" si="697"/>
        <v/>
      </c>
      <c r="D8628" s="138" t="str">
        <f t="shared" si="695"/>
        <v/>
      </c>
      <c r="E8628" s="138" t="str">
        <f t="shared" si="699"/>
        <v/>
      </c>
      <c r="F8628" s="138" t="str">
        <f t="shared" si="698"/>
        <v/>
      </c>
      <c r="G8628" s="153" t="s">
        <v>51</v>
      </c>
      <c r="H8628" s="160"/>
      <c r="I8628" s="160" t="s">
        <v>47</v>
      </c>
      <c r="J8628" s="160" t="s">
        <v>52</v>
      </c>
      <c r="K8628" s="160" t="s">
        <v>27</v>
      </c>
      <c r="L8628" s="154" t="str">
        <f>IF(OpenLCAbasic!K8628="CTUh", "Fill in Manually",IF(OR(K8628="Unit", K8628=""), "", INDEX(LookUps!$E$5:$E$12, MATCH(OpenLCAbasic!K8628,LookUps!$D$5:$D$12,0))))</f>
        <v/>
      </c>
      <c r="M8628" s="154" t="str">
        <f t="shared" si="694"/>
        <v>____Process__</v>
      </c>
    </row>
    <row r="8629" spans="1:13" s="120" customFormat="1" x14ac:dyDescent="0.25">
      <c r="A8629" s="119"/>
      <c r="B8629" s="138" t="str">
        <f t="shared" si="696"/>
        <v>Aerated Static Pile</v>
      </c>
      <c r="C8629" s="138" t="str">
        <f t="shared" si="697"/>
        <v>Without Amendment</v>
      </c>
      <c r="D8629" s="138" t="s">
        <v>130</v>
      </c>
      <c r="E8629" s="138" t="str">
        <f t="shared" si="699"/>
        <v>Low</v>
      </c>
      <c r="F8629" s="138" t="str">
        <f t="shared" si="698"/>
        <v>Upgraded</v>
      </c>
      <c r="G8629" s="153"/>
      <c r="H8629" s="210">
        <v>0.38829999999999998</v>
      </c>
      <c r="I8629" s="160" t="s">
        <v>58</v>
      </c>
      <c r="J8629" s="160">
        <v>0.24279999999999999</v>
      </c>
      <c r="K8629" s="160" t="s">
        <v>23</v>
      </c>
      <c r="L8629" s="154" t="str">
        <f>IF(OpenLCAbasic!K8629="CTUh", "Fill in Manually",IF(OR(K8629="Unit", K8629=""), "", INDEX(LookUps!$E$5:$E$12, MATCH(OpenLCAbasic!K8629,LookUps!$D$5:$D$12,0))))</f>
        <v>Global Warming Potential (GWP) - kg CO2 eq</v>
      </c>
      <c r="M8629" s="154" t="str">
        <f t="shared" si="694"/>
        <v>Low_Base_Upgraded_Global Warming Potential (GWP) - kg CO2 eq_Pre-Anoxic &amp; Swing tank; wastewater treatment unit; at updated plant - US_Without Amendment_Aerated Static Pile</v>
      </c>
    </row>
    <row r="8630" spans="1:13" s="120" customFormat="1" x14ac:dyDescent="0.25">
      <c r="A8630" s="119"/>
      <c r="B8630" s="138" t="str">
        <f t="shared" si="696"/>
        <v>Aerated Static Pile</v>
      </c>
      <c r="C8630" s="138" t="str">
        <f t="shared" si="697"/>
        <v>Without Amendment</v>
      </c>
      <c r="D8630" s="138" t="s">
        <v>130</v>
      </c>
      <c r="E8630" s="138" t="str">
        <f t="shared" si="699"/>
        <v>Low</v>
      </c>
      <c r="F8630" s="138" t="str">
        <f t="shared" si="698"/>
        <v>Upgraded</v>
      </c>
      <c r="G8630" s="153"/>
      <c r="H8630" s="210">
        <v>0.26900000000000002</v>
      </c>
      <c r="I8630" s="160" t="s">
        <v>55</v>
      </c>
      <c r="J8630" s="160">
        <v>0.16822000000000001</v>
      </c>
      <c r="K8630" s="160" t="s">
        <v>23</v>
      </c>
      <c r="L8630" s="154" t="str">
        <f>IF(OpenLCAbasic!K8630="CTUh", "Fill in Manually",IF(OR(K8630="Unit", K8630=""), "", INDEX(LookUps!$E$5:$E$12, MATCH(OpenLCAbasic!K8630,LookUps!$D$5:$D$12,0))))</f>
        <v>Global Warming Potential (GWP) - kg CO2 eq</v>
      </c>
      <c r="M8630" s="154" t="str">
        <f t="shared" si="694"/>
        <v>Low_Base_Upgraded_Global Warming Potential (GWP) - kg CO2 eq_Aeration Tanks; wastewater treatment unit; at updated plant - US_Without Amendment_Aerated Static Pile</v>
      </c>
    </row>
    <row r="8631" spans="1:13" s="120" customFormat="1" x14ac:dyDescent="0.25">
      <c r="A8631" s="119"/>
      <c r="B8631" s="138" t="str">
        <f t="shared" si="696"/>
        <v>Aerated Static Pile</v>
      </c>
      <c r="C8631" s="138" t="str">
        <f t="shared" si="697"/>
        <v>Without Amendment</v>
      </c>
      <c r="D8631" s="138" t="s">
        <v>130</v>
      </c>
      <c r="E8631" s="138" t="str">
        <f t="shared" si="699"/>
        <v>Low</v>
      </c>
      <c r="F8631" s="138" t="str">
        <f t="shared" si="698"/>
        <v>Upgraded</v>
      </c>
      <c r="G8631" s="153"/>
      <c r="H8631" s="210">
        <v>0.1638</v>
      </c>
      <c r="I8631" s="160" t="s">
        <v>167</v>
      </c>
      <c r="J8631" s="160">
        <v>0.10241</v>
      </c>
      <c r="K8631" s="160" t="s">
        <v>23</v>
      </c>
      <c r="L8631" s="154" t="str">
        <f>IF(OpenLCAbasic!K8631="CTUh", "Fill in Manually",IF(OR(K8631="Unit", K8631=""), "", INDEX(LookUps!$E$5:$E$12, MATCH(OpenLCAbasic!K8631,LookUps!$D$5:$D$12,0))))</f>
        <v>Global Warming Potential (GWP) - kg CO2 eq</v>
      </c>
      <c r="M8631" s="154" t="str">
        <f t="shared" si="694"/>
        <v>Low_Base_Upgraded_Global Warming Potential (GWP) - kg CO2 eq_Waste Receiving and Holding; wastewater treatment unit; at updated plant - US_Without Amendment_Aerated Static Pile</v>
      </c>
    </row>
    <row r="8632" spans="1:13" s="120" customFormat="1" x14ac:dyDescent="0.25">
      <c r="A8632" s="119"/>
      <c r="B8632" s="138" t="str">
        <f t="shared" si="696"/>
        <v>Aerated Static Pile</v>
      </c>
      <c r="C8632" s="138" t="str">
        <f t="shared" si="697"/>
        <v>Without Amendment</v>
      </c>
      <c r="D8632" s="138" t="s">
        <v>130</v>
      </c>
      <c r="E8632" s="138" t="str">
        <f t="shared" si="699"/>
        <v>Low</v>
      </c>
      <c r="F8632" s="138" t="str">
        <f t="shared" si="698"/>
        <v>Upgraded</v>
      </c>
      <c r="G8632" s="153"/>
      <c r="H8632" s="210">
        <v>9.1300000000000006E-2</v>
      </c>
      <c r="I8632" s="160" t="s">
        <v>54</v>
      </c>
      <c r="J8632" s="160">
        <v>5.7079999999999999E-2</v>
      </c>
      <c r="K8632" s="160" t="s">
        <v>23</v>
      </c>
      <c r="L8632" s="154" t="str">
        <f>IF(OpenLCAbasic!K8632="CTUh", "Fill in Manually",IF(OR(K8632="Unit", K8632=""), "", INDEX(LookUps!$E$5:$E$12, MATCH(OpenLCAbasic!K8632,LookUps!$D$5:$D$12,0))))</f>
        <v>Global Warming Potential (GWP) - kg CO2 eq</v>
      </c>
      <c r="M8632" s="154" t="str">
        <f t="shared" si="694"/>
        <v>Low_Base_Upgraded_Global Warming Potential (GWP) - kg CO2 eq_Clear Cove Primary Clarification; wastewater treatment unit; at updated plant - US_Without Amendment_Aerated Static Pile</v>
      </c>
    </row>
    <row r="8633" spans="1:13" s="120" customFormat="1" x14ac:dyDescent="0.25">
      <c r="A8633" s="119"/>
      <c r="B8633" s="138" t="str">
        <f t="shared" si="696"/>
        <v>Aerated Static Pile</v>
      </c>
      <c r="C8633" s="138" t="str">
        <f t="shared" si="697"/>
        <v>Without Amendment</v>
      </c>
      <c r="D8633" s="138" t="s">
        <v>130</v>
      </c>
      <c r="E8633" s="138" t="str">
        <f t="shared" si="699"/>
        <v>Low</v>
      </c>
      <c r="F8633" s="138" t="str">
        <f t="shared" si="698"/>
        <v>Upgraded</v>
      </c>
      <c r="G8633" s="153"/>
      <c r="H8633" s="210">
        <v>8.7099999999999997E-2</v>
      </c>
      <c r="I8633" s="160" t="s">
        <v>435</v>
      </c>
      <c r="J8633" s="160">
        <v>5.4449999999999998E-2</v>
      </c>
      <c r="K8633" s="160" t="s">
        <v>23</v>
      </c>
      <c r="L8633" s="154" t="str">
        <f>IF(OpenLCAbasic!K8633="CTUh", "Fill in Manually",IF(OR(K8633="Unit", K8633=""), "", INDEX(LookUps!$E$5:$E$12, MATCH(OpenLCAbasic!K8633,LookUps!$D$5:$D$12,0))))</f>
        <v>Global Warming Potential (GWP) - kg CO2 eq</v>
      </c>
      <c r="M8633" s="154" t="str">
        <f t="shared" si="694"/>
        <v>Low_Base_Upgraded_Global Warming Potential (GWP) - kg CO2 eq_Biosolids composting; aerated static pile; wastewater treatment unit; at updated plant - US_Without Amendment_Aerated Static Pile</v>
      </c>
    </row>
    <row r="8634" spans="1:13" s="120" customFormat="1" x14ac:dyDescent="0.25">
      <c r="A8634" s="119"/>
      <c r="B8634" s="138" t="str">
        <f t="shared" si="696"/>
        <v>Aerated Static Pile</v>
      </c>
      <c r="C8634" s="138" t="str">
        <f t="shared" si="697"/>
        <v>Without Amendment</v>
      </c>
      <c r="D8634" s="138" t="s">
        <v>130</v>
      </c>
      <c r="E8634" s="138" t="str">
        <f t="shared" si="699"/>
        <v>Low</v>
      </c>
      <c r="F8634" s="138" t="str">
        <f t="shared" si="698"/>
        <v>Upgraded</v>
      </c>
      <c r="G8634" s="153"/>
      <c r="H8634" s="210">
        <v>8.4199999999999997E-2</v>
      </c>
      <c r="I8634" s="160" t="s">
        <v>48</v>
      </c>
      <c r="J8634" s="160">
        <v>5.2639999999999999E-2</v>
      </c>
      <c r="K8634" s="160" t="s">
        <v>23</v>
      </c>
      <c r="L8634" s="154" t="str">
        <f>IF(OpenLCAbasic!K8634="CTUh", "Fill in Manually",IF(OR(K8634="Unit", K8634=""), "", INDEX(LookUps!$E$5:$E$12, MATCH(OpenLCAbasic!K8634,LookUps!$D$5:$D$12,0))))</f>
        <v>Global Warming Potential (GWP) - kg CO2 eq</v>
      </c>
      <c r="M8634" s="154" t="str">
        <f t="shared" si="694"/>
        <v>Low_Base_Upgraded_Global Warming Potential (GWP) - kg CO2 eq_Effluent release; wastewater treatment unit; at surface water; m3 wastewater - US_Without Amendment_Aerated Static Pile</v>
      </c>
    </row>
    <row r="8635" spans="1:13" s="120" customFormat="1" x14ac:dyDescent="0.25">
      <c r="A8635" s="119"/>
      <c r="B8635" s="138" t="str">
        <f t="shared" si="696"/>
        <v>Aerated Static Pile</v>
      </c>
      <c r="C8635" s="138" t="str">
        <f t="shared" si="697"/>
        <v>Without Amendment</v>
      </c>
      <c r="D8635" s="138" t="s">
        <v>130</v>
      </c>
      <c r="E8635" s="138" t="str">
        <f t="shared" si="699"/>
        <v>Low</v>
      </c>
      <c r="F8635" s="138" t="str">
        <f t="shared" si="698"/>
        <v>Upgraded</v>
      </c>
      <c r="G8635" s="153"/>
      <c r="H8635" s="210">
        <v>8.0799999999999997E-2</v>
      </c>
      <c r="I8635" s="160" t="s">
        <v>147</v>
      </c>
      <c r="J8635" s="160">
        <v>5.0500000000000003E-2</v>
      </c>
      <c r="K8635" s="160" t="s">
        <v>23</v>
      </c>
      <c r="L8635" s="154" t="str">
        <f>IF(OpenLCAbasic!K8635="CTUh", "Fill in Manually",IF(OR(K8635="Unit", K8635=""), "", INDEX(LookUps!$E$5:$E$12, MATCH(OpenLCAbasic!K8635,LookUps!$D$5:$D$12,0))))</f>
        <v>Global Warming Potential (GWP) - kg CO2 eq</v>
      </c>
      <c r="M8635" s="154" t="str">
        <f t="shared" ref="M8635:M8698" si="700">CONCATENATE(E8635,"_",D8635,"_",F8635,"_",L8635, "_",I8635,"_", C8635,"_", B8635)</f>
        <v>Low_Base_Upgraded_Global Warming Potential (GWP) - kg CO2 eq_Influent Pump Station; wastewater treatment unit; at updated plant - US_Without Amendment_Aerated Static Pile</v>
      </c>
    </row>
    <row r="8636" spans="1:13" s="120" customFormat="1" x14ac:dyDescent="0.25">
      <c r="A8636" s="119"/>
      <c r="B8636" s="138" t="str">
        <f t="shared" si="696"/>
        <v>Aerated Static Pile</v>
      </c>
      <c r="C8636" s="138" t="str">
        <f t="shared" si="697"/>
        <v>Without Amendment</v>
      </c>
      <c r="D8636" s="138" t="s">
        <v>130</v>
      </c>
      <c r="E8636" s="138" t="str">
        <f t="shared" si="699"/>
        <v>Low</v>
      </c>
      <c r="F8636" s="138" t="str">
        <f t="shared" si="698"/>
        <v>Upgraded</v>
      </c>
      <c r="G8636" s="153"/>
      <c r="H8636" s="210">
        <v>5.3199999999999997E-2</v>
      </c>
      <c r="I8636" s="160" t="s">
        <v>53</v>
      </c>
      <c r="J8636" s="160">
        <v>3.3259999999999998E-2</v>
      </c>
      <c r="K8636" s="160" t="s">
        <v>23</v>
      </c>
      <c r="L8636" s="154" t="str">
        <f>IF(OpenLCAbasic!K8636="CTUh", "Fill in Manually",IF(OR(K8636="Unit", K8636=""), "", INDEX(LookUps!$E$5:$E$12, MATCH(OpenLCAbasic!K8636,LookUps!$D$5:$D$12,0))))</f>
        <v>Global Warming Potential (GWP) - kg CO2 eq</v>
      </c>
      <c r="M8636" s="154" t="str">
        <f t="shared" si="700"/>
        <v>Low_Base_Upgraded_Global Warming Potential (GWP) - kg CO2 eq_Wet Well and Sump Station; wastewater treatment unit; at updated plant - US_Without Amendment_Aerated Static Pile</v>
      </c>
    </row>
    <row r="8637" spans="1:13" s="120" customFormat="1" x14ac:dyDescent="0.25">
      <c r="A8637" s="119"/>
      <c r="B8637" s="138" t="str">
        <f t="shared" si="696"/>
        <v>Aerated Static Pile</v>
      </c>
      <c r="C8637" s="138" t="str">
        <f t="shared" si="697"/>
        <v>Without Amendment</v>
      </c>
      <c r="D8637" s="138" t="s">
        <v>130</v>
      </c>
      <c r="E8637" s="138" t="str">
        <f t="shared" si="699"/>
        <v>Low</v>
      </c>
      <c r="F8637" s="138" t="str">
        <f t="shared" si="698"/>
        <v>Upgraded</v>
      </c>
      <c r="G8637" s="153"/>
      <c r="H8637" s="210">
        <v>2.3300000000000001E-2</v>
      </c>
      <c r="I8637" s="160" t="s">
        <v>57</v>
      </c>
      <c r="J8637" s="160">
        <v>1.455E-2</v>
      </c>
      <c r="K8637" s="160" t="s">
        <v>23</v>
      </c>
      <c r="L8637" s="154" t="str">
        <f>IF(OpenLCAbasic!K8637="CTUh", "Fill in Manually",IF(OR(K8637="Unit", K8637=""), "", INDEX(LookUps!$E$5:$E$12, MATCH(OpenLCAbasic!K8637,LookUps!$D$5:$D$12,0))))</f>
        <v>Global Warming Potential (GWP) - kg CO2 eq</v>
      </c>
      <c r="M8637" s="154" t="str">
        <f t="shared" si="700"/>
        <v>Low_Base_Upgraded_Global Warming Potential (GWP) - kg CO2 eq_Gravity Belt Thickener; wastewater treatment unit; at updated plant - US_Without Amendment_Aerated Static Pile</v>
      </c>
    </row>
    <row r="8638" spans="1:13" s="120" customFormat="1" x14ac:dyDescent="0.25">
      <c r="A8638" s="119"/>
      <c r="B8638" s="138" t="str">
        <f t="shared" si="696"/>
        <v>Aerated Static Pile</v>
      </c>
      <c r="C8638" s="138" t="str">
        <f t="shared" si="697"/>
        <v>Without Amendment</v>
      </c>
      <c r="D8638" s="138" t="s">
        <v>130</v>
      </c>
      <c r="E8638" s="138" t="str">
        <f t="shared" si="699"/>
        <v>Low</v>
      </c>
      <c r="F8638" s="138" t="str">
        <f t="shared" si="698"/>
        <v>Upgraded</v>
      </c>
      <c r="G8638" s="153"/>
      <c r="H8638" s="210">
        <v>2.1600000000000001E-2</v>
      </c>
      <c r="I8638" s="160" t="s">
        <v>128</v>
      </c>
      <c r="J8638" s="160">
        <v>1.3509999999999999E-2</v>
      </c>
      <c r="K8638" s="160" t="s">
        <v>23</v>
      </c>
      <c r="L8638" s="154" t="str">
        <f>IF(OpenLCAbasic!K8638="CTUh", "Fill in Manually",IF(OR(K8638="Unit", K8638=""), "", INDEX(LookUps!$E$5:$E$12, MATCH(OpenLCAbasic!K8638,LookUps!$D$5:$D$12,0))))</f>
        <v>Global Warming Potential (GWP) - kg CO2 eq</v>
      </c>
      <c r="M8638" s="154" t="str">
        <f t="shared" si="700"/>
        <v>Low_Base_Upgraded_Global Warming Potential (GWP) - kg CO2 eq_Wastewater collection; operation and infrastructure; m3 wastewater_Without Amendment_Aerated Static Pile</v>
      </c>
    </row>
    <row r="8639" spans="1:13" s="120" customFormat="1" x14ac:dyDescent="0.25">
      <c r="A8639" s="119"/>
      <c r="B8639" s="138" t="str">
        <f t="shared" si="696"/>
        <v>Aerated Static Pile</v>
      </c>
      <c r="C8639" s="138" t="str">
        <f t="shared" si="697"/>
        <v>Without Amendment</v>
      </c>
      <c r="D8639" s="138" t="s">
        <v>130</v>
      </c>
      <c r="E8639" s="138" t="str">
        <f t="shared" si="699"/>
        <v>Low</v>
      </c>
      <c r="F8639" s="138" t="str">
        <f t="shared" si="698"/>
        <v>Upgraded</v>
      </c>
      <c r="G8639" s="153"/>
      <c r="H8639" s="210">
        <v>2.0400000000000001E-2</v>
      </c>
      <c r="I8639" s="160" t="s">
        <v>60</v>
      </c>
      <c r="J8639" s="160">
        <v>1.278E-2</v>
      </c>
      <c r="K8639" s="160" t="s">
        <v>23</v>
      </c>
      <c r="L8639" s="154" t="str">
        <f>IF(OpenLCAbasic!K8639="CTUh", "Fill in Manually",IF(OR(K8639="Unit", K8639=""), "", INDEX(LookUps!$E$5:$E$12, MATCH(OpenLCAbasic!K8639,LookUps!$D$5:$D$12,0))))</f>
        <v>Global Warming Potential (GWP) - kg CO2 eq</v>
      </c>
      <c r="M8639" s="154" t="str">
        <f t="shared" si="700"/>
        <v>Low_Base_Upgraded_Global Warming Potential (GWP) - kg CO2 eq_Belt filter press; wastewater treatment unit; at updated plant - US_Without Amendment_Aerated Static Pile</v>
      </c>
    </row>
    <row r="8640" spans="1:13" s="120" customFormat="1" x14ac:dyDescent="0.25">
      <c r="A8640" s="119"/>
      <c r="B8640" s="138" t="str">
        <f t="shared" si="696"/>
        <v>Aerated Static Pile</v>
      </c>
      <c r="C8640" s="138" t="str">
        <f t="shared" si="697"/>
        <v>Without Amendment</v>
      </c>
      <c r="D8640" s="138" t="s">
        <v>130</v>
      </c>
      <c r="E8640" s="138" t="str">
        <f t="shared" si="699"/>
        <v>Low</v>
      </c>
      <c r="F8640" s="138" t="str">
        <f t="shared" si="698"/>
        <v>Upgraded</v>
      </c>
      <c r="G8640" s="153"/>
      <c r="H8640" s="210">
        <v>1.3299999999999999E-2</v>
      </c>
      <c r="I8640" s="160" t="s">
        <v>148</v>
      </c>
      <c r="J8640" s="160">
        <v>8.3000000000000001E-3</v>
      </c>
      <c r="K8640" s="160" t="s">
        <v>23</v>
      </c>
      <c r="L8640" s="154" t="str">
        <f>IF(OpenLCAbasic!K8640="CTUh", "Fill in Manually",IF(OR(K8640="Unit", K8640=""), "", INDEX(LookUps!$E$5:$E$12, MATCH(OpenLCAbasic!K8640,LookUps!$D$5:$D$12,0))))</f>
        <v>Global Warming Potential (GWP) - kg CO2 eq</v>
      </c>
      <c r="M8640" s="154" t="str">
        <f t="shared" si="700"/>
        <v>Low_Base_Upgraded_Global Warming Potential (GWP) - kg CO2 eq_Control Building; at upgraded wastewater treatment plant - US_Without Amendment_Aerated Static Pile</v>
      </c>
    </row>
    <row r="8641" spans="1:13" s="120" customFormat="1" x14ac:dyDescent="0.25">
      <c r="A8641" s="119"/>
      <c r="B8641" s="138" t="str">
        <f t="shared" si="696"/>
        <v>Aerated Static Pile</v>
      </c>
      <c r="C8641" s="138" t="str">
        <f t="shared" si="697"/>
        <v>Without Amendment</v>
      </c>
      <c r="D8641" s="138" t="s">
        <v>130</v>
      </c>
      <c r="E8641" s="138" t="str">
        <f t="shared" si="699"/>
        <v>Low</v>
      </c>
      <c r="F8641" s="138" t="str">
        <f t="shared" si="698"/>
        <v>Upgraded</v>
      </c>
      <c r="G8641" s="153"/>
      <c r="H8641" s="210">
        <v>8.0999999999999996E-3</v>
      </c>
      <c r="I8641" s="160" t="s">
        <v>59</v>
      </c>
      <c r="J8641" s="160">
        <v>5.0400000000000002E-3</v>
      </c>
      <c r="K8641" s="160" t="s">
        <v>23</v>
      </c>
      <c r="L8641" s="154" t="str">
        <f>IF(OpenLCAbasic!K8641="CTUh", "Fill in Manually",IF(OR(K8641="Unit", K8641=""), "", INDEX(LookUps!$E$5:$E$12, MATCH(OpenLCAbasic!K8641,LookUps!$D$5:$D$12,0))))</f>
        <v>Global Warming Potential (GWP) - kg CO2 eq</v>
      </c>
      <c r="M8641" s="154" t="str">
        <f t="shared" si="700"/>
        <v>Low_Base_Upgraded_Global Warming Potential (GWP) - kg CO2 eq_Blend Tank; wastewater treatment unit; at updated plant - US_Without Amendment_Aerated Static Pile</v>
      </c>
    </row>
    <row r="8642" spans="1:13" s="120" customFormat="1" x14ac:dyDescent="0.25">
      <c r="A8642" s="119"/>
      <c r="B8642" s="138" t="str">
        <f t="shared" si="696"/>
        <v>Aerated Static Pile</v>
      </c>
      <c r="C8642" s="138" t="str">
        <f t="shared" si="697"/>
        <v>Without Amendment</v>
      </c>
      <c r="D8642" s="138" t="s">
        <v>130</v>
      </c>
      <c r="E8642" s="138" t="str">
        <f t="shared" si="699"/>
        <v>Low</v>
      </c>
      <c r="F8642" s="138" t="str">
        <f t="shared" si="698"/>
        <v>Upgraded</v>
      </c>
      <c r="G8642" s="153"/>
      <c r="H8642" s="210">
        <v>3.8999999999999998E-3</v>
      </c>
      <c r="I8642" s="160" t="s">
        <v>168</v>
      </c>
      <c r="J8642" s="160">
        <v>2.4099999999999998E-3</v>
      </c>
      <c r="K8642" s="160" t="s">
        <v>23</v>
      </c>
      <c r="L8642" s="154" t="str">
        <f>IF(OpenLCAbasic!K8642="CTUh", "Fill in Manually",IF(OR(K8642="Unit", K8642=""), "", INDEX(LookUps!$E$5:$E$12, MATCH(OpenLCAbasic!K8642,LookUps!$D$5:$D$12,0))))</f>
        <v>Global Warming Potential (GWP) - kg CO2 eq</v>
      </c>
      <c r="M8642" s="154" t="str">
        <f t="shared" si="700"/>
        <v>Low_Base_Upgraded_Global Warming Potential (GWP) - kg CO2 eq_ClearCove SCP; wastewater treatment unit; at updated plant - US_Without Amendment_Aerated Static Pile</v>
      </c>
    </row>
    <row r="8643" spans="1:13" s="120" customFormat="1" x14ac:dyDescent="0.25">
      <c r="A8643" s="119"/>
      <c r="B8643" s="138" t="str">
        <f t="shared" si="696"/>
        <v>Aerated Static Pile</v>
      </c>
      <c r="C8643" s="138" t="str">
        <f t="shared" si="697"/>
        <v>Without Amendment</v>
      </c>
      <c r="D8643" s="138" t="s">
        <v>130</v>
      </c>
      <c r="E8643" s="138" t="str">
        <f t="shared" si="699"/>
        <v>Low</v>
      </c>
      <c r="F8643" s="138" t="str">
        <f t="shared" si="698"/>
        <v>Upgraded</v>
      </c>
      <c r="G8643" s="153"/>
      <c r="H8643" s="210">
        <v>-9.06E-2</v>
      </c>
      <c r="I8643" s="160" t="s">
        <v>149</v>
      </c>
      <c r="J8643" s="160">
        <v>-5.6640000000000003E-2</v>
      </c>
      <c r="K8643" s="160" t="s">
        <v>23</v>
      </c>
      <c r="L8643" s="154" t="str">
        <f>IF(OpenLCAbasic!K8643="CTUh", "Fill in Manually",IF(OR(K8643="Unit", K8643=""), "", INDEX(LookUps!$E$5:$E$12, MATCH(OpenLCAbasic!K8643,LookUps!$D$5:$D$12,0))))</f>
        <v>Global Warming Potential (GWP) - kg CO2 eq</v>
      </c>
      <c r="M8643" s="154" t="str">
        <f t="shared" si="700"/>
        <v>Low_Base_Upgraded_Global Warming Potential (GWP) - kg CO2 eq_Anaerobic Digestion; wastewater treatment unit; at updated plant - US_Without Amendment_Aerated Static Pile</v>
      </c>
    </row>
    <row r="8644" spans="1:13" s="120" customFormat="1" x14ac:dyDescent="0.25">
      <c r="A8644" s="119"/>
      <c r="B8644" s="138" t="str">
        <f t="shared" si="696"/>
        <v>Aerated Static Pile</v>
      </c>
      <c r="C8644" s="138" t="str">
        <f t="shared" si="697"/>
        <v>Without Amendment</v>
      </c>
      <c r="D8644" s="138" t="s">
        <v>130</v>
      </c>
      <c r="E8644" s="138" t="str">
        <f t="shared" si="699"/>
        <v>Low</v>
      </c>
      <c r="F8644" s="138" t="str">
        <f t="shared" si="698"/>
        <v>Upgraded</v>
      </c>
      <c r="G8644" s="153"/>
      <c r="H8644" s="210">
        <v>-0.2175</v>
      </c>
      <c r="I8644" s="160" t="s">
        <v>62</v>
      </c>
      <c r="J8644" s="160">
        <v>-0.13600000000000001</v>
      </c>
      <c r="K8644" s="160" t="s">
        <v>23</v>
      </c>
      <c r="L8644" s="154" t="str">
        <f>IF(OpenLCAbasic!K8644="CTUh", "Fill in Manually",IF(OR(K8644="Unit", K8644=""), "", INDEX(LookUps!$E$5:$E$12, MATCH(OpenLCAbasic!K8644,LookUps!$D$5:$D$12,0))))</f>
        <v>Global Warming Potential (GWP) - kg CO2 eq</v>
      </c>
      <c r="M8644" s="154" t="str">
        <f t="shared" si="700"/>
        <v>Low_Base_Upgraded_Global Warming Potential (GWP) - kg CO2 eq_Land application of compost; wastewater treatment unit; at updated plant - US_Without Amendment_Aerated Static Pile</v>
      </c>
    </row>
    <row r="8645" spans="1:13" s="120" customFormat="1" x14ac:dyDescent="0.25">
      <c r="A8645" s="119"/>
      <c r="B8645" s="138" t="str">
        <f t="shared" si="696"/>
        <v/>
      </c>
      <c r="C8645" s="138" t="str">
        <f t="shared" si="697"/>
        <v/>
      </c>
      <c r="D8645" s="138" t="str">
        <f t="shared" si="695"/>
        <v/>
      </c>
      <c r="E8645" s="138" t="str">
        <f t="shared" si="699"/>
        <v/>
      </c>
      <c r="F8645" s="138" t="str">
        <f t="shared" si="698"/>
        <v/>
      </c>
      <c r="G8645" s="153" t="s">
        <v>51</v>
      </c>
      <c r="H8645" s="160"/>
      <c r="I8645" s="160" t="s">
        <v>47</v>
      </c>
      <c r="J8645" s="160" t="s">
        <v>52</v>
      </c>
      <c r="K8645" s="160" t="s">
        <v>27</v>
      </c>
      <c r="L8645" s="154" t="str">
        <f>IF(OpenLCAbasic!K8645="CTUh", "Fill in Manually",IF(OR(K8645="Unit", K8645=""), "", INDEX(LookUps!$E$5:$E$12, MATCH(OpenLCAbasic!K8645,LookUps!$D$5:$D$12,0))))</f>
        <v/>
      </c>
      <c r="M8645" s="154" t="str">
        <f t="shared" si="700"/>
        <v>____Process__</v>
      </c>
    </row>
    <row r="8646" spans="1:13" s="120" customFormat="1" x14ac:dyDescent="0.25">
      <c r="A8646" s="119"/>
      <c r="B8646" s="138" t="str">
        <f t="shared" si="696"/>
        <v>Aerated Static Pile</v>
      </c>
      <c r="C8646" s="138" t="str">
        <f t="shared" si="697"/>
        <v>Without Amendment</v>
      </c>
      <c r="D8646" s="138" t="s">
        <v>130</v>
      </c>
      <c r="E8646" s="138" t="str">
        <f t="shared" si="699"/>
        <v>Low</v>
      </c>
      <c r="F8646" s="138" t="str">
        <f t="shared" si="698"/>
        <v>Upgraded</v>
      </c>
      <c r="G8646" s="153"/>
      <c r="H8646" s="210">
        <v>0.51249999999999996</v>
      </c>
      <c r="I8646" s="160" t="s">
        <v>55</v>
      </c>
      <c r="J8646" s="160">
        <v>2.33E-3</v>
      </c>
      <c r="K8646" s="160" t="s">
        <v>145</v>
      </c>
      <c r="L8646" s="154" t="str">
        <f>IF(OpenLCAbasic!K8646="CTUh", "Fill in Manually",IF(OR(K8646="Unit", K8646=""), "", INDEX(LookUps!$E$5:$E$12, MATCH(OpenLCAbasic!K8646,LookUps!$D$5:$D$12,0))))</f>
        <v>Particulate Matter Formation Potential (PMFP) - kg PM2.5 eq</v>
      </c>
      <c r="M8646" s="154" t="str">
        <f t="shared" si="700"/>
        <v>Low_Base_Upgraded_Particulate Matter Formation Potential (PMFP) - kg PM2.5 eq_Aeration Tanks; wastewater treatment unit; at updated plant - US_Without Amendment_Aerated Static Pile</v>
      </c>
    </row>
    <row r="8647" spans="1:13" s="120" customFormat="1" x14ac:dyDescent="0.25">
      <c r="A8647" s="119"/>
      <c r="B8647" s="138" t="str">
        <f t="shared" si="696"/>
        <v>Aerated Static Pile</v>
      </c>
      <c r="C8647" s="138" t="str">
        <f t="shared" si="697"/>
        <v>Without Amendment</v>
      </c>
      <c r="D8647" s="138" t="s">
        <v>130</v>
      </c>
      <c r="E8647" s="138" t="str">
        <f t="shared" si="699"/>
        <v>Low</v>
      </c>
      <c r="F8647" s="138" t="str">
        <f t="shared" si="698"/>
        <v>Upgraded</v>
      </c>
      <c r="G8647" s="153"/>
      <c r="H8647" s="210">
        <v>0.14910000000000001</v>
      </c>
      <c r="I8647" s="160" t="s">
        <v>54</v>
      </c>
      <c r="J8647" s="160">
        <v>6.8000000000000005E-4</v>
      </c>
      <c r="K8647" s="160" t="s">
        <v>145</v>
      </c>
      <c r="L8647" s="154" t="str">
        <f>IF(OpenLCAbasic!K8647="CTUh", "Fill in Manually",IF(OR(K8647="Unit", K8647=""), "", INDEX(LookUps!$E$5:$E$12, MATCH(OpenLCAbasic!K8647,LookUps!$D$5:$D$12,0))))</f>
        <v>Particulate Matter Formation Potential (PMFP) - kg PM2.5 eq</v>
      </c>
      <c r="M8647" s="154" t="str">
        <f t="shared" si="700"/>
        <v>Low_Base_Upgraded_Particulate Matter Formation Potential (PMFP) - kg PM2.5 eq_Clear Cove Primary Clarification; wastewater treatment unit; at updated plant - US_Without Amendment_Aerated Static Pile</v>
      </c>
    </row>
    <row r="8648" spans="1:13" s="120" customFormat="1" x14ac:dyDescent="0.25">
      <c r="A8648" s="119"/>
      <c r="B8648" s="138" t="str">
        <f t="shared" si="696"/>
        <v>Aerated Static Pile</v>
      </c>
      <c r="C8648" s="138" t="str">
        <f t="shared" si="697"/>
        <v>Without Amendment</v>
      </c>
      <c r="D8648" s="138" t="s">
        <v>130</v>
      </c>
      <c r="E8648" s="138" t="str">
        <f t="shared" si="699"/>
        <v>Low</v>
      </c>
      <c r="F8648" s="138" t="str">
        <f t="shared" si="698"/>
        <v>Upgraded</v>
      </c>
      <c r="G8648" s="153"/>
      <c r="H8648" s="210">
        <v>0.1288</v>
      </c>
      <c r="I8648" s="160" t="s">
        <v>58</v>
      </c>
      <c r="J8648" s="160">
        <v>5.9000000000000003E-4</v>
      </c>
      <c r="K8648" s="160" t="s">
        <v>145</v>
      </c>
      <c r="L8648" s="154" t="str">
        <f>IF(OpenLCAbasic!K8648="CTUh", "Fill in Manually",IF(OR(K8648="Unit", K8648=""), "", INDEX(LookUps!$E$5:$E$12, MATCH(OpenLCAbasic!K8648,LookUps!$D$5:$D$12,0))))</f>
        <v>Particulate Matter Formation Potential (PMFP) - kg PM2.5 eq</v>
      </c>
      <c r="M8648" s="154" t="str">
        <f t="shared" si="700"/>
        <v>Low_Base_Upgraded_Particulate Matter Formation Potential (PMFP) - kg PM2.5 eq_Pre-Anoxic &amp; Swing tank; wastewater treatment unit; at updated plant - US_Without Amendment_Aerated Static Pile</v>
      </c>
    </row>
    <row r="8649" spans="1:13" s="120" customFormat="1" x14ac:dyDescent="0.25">
      <c r="A8649" s="119"/>
      <c r="B8649" s="138" t="str">
        <f t="shared" si="696"/>
        <v>Aerated Static Pile</v>
      </c>
      <c r="C8649" s="138" t="str">
        <f t="shared" si="697"/>
        <v>Without Amendment</v>
      </c>
      <c r="D8649" s="138" t="s">
        <v>130</v>
      </c>
      <c r="E8649" s="138" t="str">
        <f t="shared" si="699"/>
        <v>Low</v>
      </c>
      <c r="F8649" s="138" t="str">
        <f t="shared" si="698"/>
        <v>Upgraded</v>
      </c>
      <c r="G8649" s="153"/>
      <c r="H8649" s="210">
        <v>0.10249999999999999</v>
      </c>
      <c r="I8649" s="160" t="s">
        <v>53</v>
      </c>
      <c r="J8649" s="160">
        <v>4.6999999999999999E-4</v>
      </c>
      <c r="K8649" s="160" t="s">
        <v>145</v>
      </c>
      <c r="L8649" s="154" t="str">
        <f>IF(OpenLCAbasic!K8649="CTUh", "Fill in Manually",IF(OR(K8649="Unit", K8649=""), "", INDEX(LookUps!$E$5:$E$12, MATCH(OpenLCAbasic!K8649,LookUps!$D$5:$D$12,0))))</f>
        <v>Particulate Matter Formation Potential (PMFP) - kg PM2.5 eq</v>
      </c>
      <c r="M8649" s="154" t="str">
        <f t="shared" si="700"/>
        <v>Low_Base_Upgraded_Particulate Matter Formation Potential (PMFP) - kg PM2.5 eq_Wet Well and Sump Station; wastewater treatment unit; at updated plant - US_Without Amendment_Aerated Static Pile</v>
      </c>
    </row>
    <row r="8650" spans="1:13" s="120" customFormat="1" x14ac:dyDescent="0.25">
      <c r="A8650" s="119"/>
      <c r="B8650" s="138" t="str">
        <f t="shared" si="696"/>
        <v>Aerated Static Pile</v>
      </c>
      <c r="C8650" s="138" t="str">
        <f t="shared" si="697"/>
        <v>Without Amendment</v>
      </c>
      <c r="D8650" s="138" t="s">
        <v>130</v>
      </c>
      <c r="E8650" s="138" t="str">
        <f t="shared" si="699"/>
        <v>Low</v>
      </c>
      <c r="F8650" s="138" t="str">
        <f t="shared" si="698"/>
        <v>Upgraded</v>
      </c>
      <c r="G8650" s="153"/>
      <c r="H8650" s="210">
        <v>6.5699999999999995E-2</v>
      </c>
      <c r="I8650" s="160" t="s">
        <v>167</v>
      </c>
      <c r="J8650" s="160">
        <v>2.9999999999999997E-4</v>
      </c>
      <c r="K8650" s="160" t="s">
        <v>145</v>
      </c>
      <c r="L8650" s="154" t="str">
        <f>IF(OpenLCAbasic!K8650="CTUh", "Fill in Manually",IF(OR(K8650="Unit", K8650=""), "", INDEX(LookUps!$E$5:$E$12, MATCH(OpenLCAbasic!K8650,LookUps!$D$5:$D$12,0))))</f>
        <v>Particulate Matter Formation Potential (PMFP) - kg PM2.5 eq</v>
      </c>
      <c r="M8650" s="154" t="str">
        <f t="shared" si="700"/>
        <v>Low_Base_Upgraded_Particulate Matter Formation Potential (PMFP) - kg PM2.5 eq_Waste Receiving and Holding; wastewater treatment unit; at updated plant - US_Without Amendment_Aerated Static Pile</v>
      </c>
    </row>
    <row r="8651" spans="1:13" s="120" customFormat="1" x14ac:dyDescent="0.25">
      <c r="A8651" s="119"/>
      <c r="B8651" s="138" t="str">
        <f t="shared" si="696"/>
        <v>Aerated Static Pile</v>
      </c>
      <c r="C8651" s="138" t="str">
        <f t="shared" si="697"/>
        <v>Without Amendment</v>
      </c>
      <c r="D8651" s="138" t="s">
        <v>130</v>
      </c>
      <c r="E8651" s="138" t="str">
        <f t="shared" si="699"/>
        <v>Low</v>
      </c>
      <c r="F8651" s="138" t="str">
        <f t="shared" si="698"/>
        <v>Upgraded</v>
      </c>
      <c r="G8651" s="153"/>
      <c r="H8651" s="210">
        <v>5.8599999999999999E-2</v>
      </c>
      <c r="I8651" s="160" t="s">
        <v>147</v>
      </c>
      <c r="J8651" s="160">
        <v>2.7E-4</v>
      </c>
      <c r="K8651" s="160" t="s">
        <v>145</v>
      </c>
      <c r="L8651" s="154" t="str">
        <f>IF(OpenLCAbasic!K8651="CTUh", "Fill in Manually",IF(OR(K8651="Unit", K8651=""), "", INDEX(LookUps!$E$5:$E$12, MATCH(OpenLCAbasic!K8651,LookUps!$D$5:$D$12,0))))</f>
        <v>Particulate Matter Formation Potential (PMFP) - kg PM2.5 eq</v>
      </c>
      <c r="M8651" s="154" t="str">
        <f t="shared" si="700"/>
        <v>Low_Base_Upgraded_Particulate Matter Formation Potential (PMFP) - kg PM2.5 eq_Influent Pump Station; wastewater treatment unit; at updated plant - US_Without Amendment_Aerated Static Pile</v>
      </c>
    </row>
    <row r="8652" spans="1:13" s="120" customFormat="1" x14ac:dyDescent="0.25">
      <c r="A8652" s="119"/>
      <c r="B8652" s="138" t="str">
        <f t="shared" si="696"/>
        <v>Aerated Static Pile</v>
      </c>
      <c r="C8652" s="138" t="str">
        <f t="shared" si="697"/>
        <v>Without Amendment</v>
      </c>
      <c r="D8652" s="138" t="s">
        <v>130</v>
      </c>
      <c r="E8652" s="138" t="str">
        <f t="shared" si="699"/>
        <v>Low</v>
      </c>
      <c r="F8652" s="138" t="str">
        <f t="shared" si="698"/>
        <v>Upgraded</v>
      </c>
      <c r="G8652" s="153"/>
      <c r="H8652" s="210">
        <v>4.9700000000000001E-2</v>
      </c>
      <c r="I8652" s="160" t="s">
        <v>435</v>
      </c>
      <c r="J8652" s="160">
        <v>2.3000000000000001E-4</v>
      </c>
      <c r="K8652" s="160" t="s">
        <v>145</v>
      </c>
      <c r="L8652" s="154" t="str">
        <f>IF(OpenLCAbasic!K8652="CTUh", "Fill in Manually",IF(OR(K8652="Unit", K8652=""), "", INDEX(LookUps!$E$5:$E$12, MATCH(OpenLCAbasic!K8652,LookUps!$D$5:$D$12,0))))</f>
        <v>Particulate Matter Formation Potential (PMFP) - kg PM2.5 eq</v>
      </c>
      <c r="M8652" s="154" t="str">
        <f t="shared" si="700"/>
        <v>Low_Base_Upgraded_Particulate Matter Formation Potential (PMFP) - kg PM2.5 eq_Biosolids composting; aerated static pile; wastewater treatment unit; at updated plant - US_Without Amendment_Aerated Static Pile</v>
      </c>
    </row>
    <row r="8653" spans="1:13" s="120" customFormat="1" x14ac:dyDescent="0.25">
      <c r="A8653" s="119"/>
      <c r="B8653" s="138" t="str">
        <f t="shared" si="696"/>
        <v>Aerated Static Pile</v>
      </c>
      <c r="C8653" s="138" t="str">
        <f t="shared" si="697"/>
        <v>Without Amendment</v>
      </c>
      <c r="D8653" s="138" t="s">
        <v>130</v>
      </c>
      <c r="E8653" s="138" t="str">
        <f t="shared" si="699"/>
        <v>Low</v>
      </c>
      <c r="F8653" s="138" t="str">
        <f t="shared" si="698"/>
        <v>Upgraded</v>
      </c>
      <c r="G8653" s="153"/>
      <c r="H8653" s="210">
        <v>3.6600000000000001E-2</v>
      </c>
      <c r="I8653" s="160" t="s">
        <v>128</v>
      </c>
      <c r="J8653" s="160">
        <v>1.7000000000000001E-4</v>
      </c>
      <c r="K8653" s="160" t="s">
        <v>145</v>
      </c>
      <c r="L8653" s="154" t="str">
        <f>IF(OpenLCAbasic!K8653="CTUh", "Fill in Manually",IF(OR(K8653="Unit", K8653=""), "", INDEX(LookUps!$E$5:$E$12, MATCH(OpenLCAbasic!K8653,LookUps!$D$5:$D$12,0))))</f>
        <v>Particulate Matter Formation Potential (PMFP) - kg PM2.5 eq</v>
      </c>
      <c r="M8653" s="154" t="str">
        <f t="shared" si="700"/>
        <v>Low_Base_Upgraded_Particulate Matter Formation Potential (PMFP) - kg PM2.5 eq_Wastewater collection; operation and infrastructure; m3 wastewater_Without Amendment_Aerated Static Pile</v>
      </c>
    </row>
    <row r="8654" spans="1:13" s="120" customFormat="1" x14ac:dyDescent="0.25">
      <c r="A8654" s="119"/>
      <c r="B8654" s="138" t="str">
        <f t="shared" si="696"/>
        <v>Aerated Static Pile</v>
      </c>
      <c r="C8654" s="138" t="str">
        <f t="shared" si="697"/>
        <v>Without Amendment</v>
      </c>
      <c r="D8654" s="138" t="s">
        <v>130</v>
      </c>
      <c r="E8654" s="138" t="str">
        <f t="shared" si="699"/>
        <v>Low</v>
      </c>
      <c r="F8654" s="138" t="str">
        <f t="shared" si="698"/>
        <v>Upgraded</v>
      </c>
      <c r="G8654" s="153"/>
      <c r="H8654" s="210">
        <v>2.29E-2</v>
      </c>
      <c r="I8654" s="160" t="s">
        <v>60</v>
      </c>
      <c r="J8654" s="160">
        <v>1E-4</v>
      </c>
      <c r="K8654" s="160" t="s">
        <v>145</v>
      </c>
      <c r="L8654" s="154" t="str">
        <f>IF(OpenLCAbasic!K8654="CTUh", "Fill in Manually",IF(OR(K8654="Unit", K8654=""), "", INDEX(LookUps!$E$5:$E$12, MATCH(OpenLCAbasic!K8654,LookUps!$D$5:$D$12,0))))</f>
        <v>Particulate Matter Formation Potential (PMFP) - kg PM2.5 eq</v>
      </c>
      <c r="M8654" s="154" t="str">
        <f t="shared" si="700"/>
        <v>Low_Base_Upgraded_Particulate Matter Formation Potential (PMFP) - kg PM2.5 eq_Belt filter press; wastewater treatment unit; at updated plant - US_Without Amendment_Aerated Static Pile</v>
      </c>
    </row>
    <row r="8655" spans="1:13" s="120" customFormat="1" x14ac:dyDescent="0.25">
      <c r="A8655" s="119"/>
      <c r="B8655" s="138" t="str">
        <f t="shared" si="696"/>
        <v>Aerated Static Pile</v>
      </c>
      <c r="C8655" s="138" t="str">
        <f t="shared" si="697"/>
        <v>Without Amendment</v>
      </c>
      <c r="D8655" s="138" t="s">
        <v>130</v>
      </c>
      <c r="E8655" s="138" t="str">
        <f t="shared" si="699"/>
        <v>Low</v>
      </c>
      <c r="F8655" s="138" t="str">
        <f t="shared" si="698"/>
        <v>Upgraded</v>
      </c>
      <c r="G8655" s="153"/>
      <c r="H8655" s="210">
        <v>2.0899999999999998E-2</v>
      </c>
      <c r="I8655" s="160" t="s">
        <v>57</v>
      </c>
      <c r="J8655" s="211">
        <v>9.5153800000000004E-5</v>
      </c>
      <c r="K8655" s="160" t="s">
        <v>145</v>
      </c>
      <c r="L8655" s="154" t="str">
        <f>IF(OpenLCAbasic!K8655="CTUh", "Fill in Manually",IF(OR(K8655="Unit", K8655=""), "", INDEX(LookUps!$E$5:$E$12, MATCH(OpenLCAbasic!K8655,LookUps!$D$5:$D$12,0))))</f>
        <v>Particulate Matter Formation Potential (PMFP) - kg PM2.5 eq</v>
      </c>
      <c r="M8655" s="154" t="str">
        <f t="shared" si="700"/>
        <v>Low_Base_Upgraded_Particulate Matter Formation Potential (PMFP) - kg PM2.5 eq_Gravity Belt Thickener; wastewater treatment unit; at updated plant - US_Without Amendment_Aerated Static Pile</v>
      </c>
    </row>
    <row r="8656" spans="1:13" s="120" customFormat="1" x14ac:dyDescent="0.25">
      <c r="A8656" s="119"/>
      <c r="B8656" s="138" t="str">
        <f t="shared" si="696"/>
        <v>Aerated Static Pile</v>
      </c>
      <c r="C8656" s="138" t="str">
        <f t="shared" si="697"/>
        <v>Without Amendment</v>
      </c>
      <c r="D8656" s="138" t="s">
        <v>130</v>
      </c>
      <c r="E8656" s="138" t="str">
        <f t="shared" si="699"/>
        <v>Low</v>
      </c>
      <c r="F8656" s="138" t="str">
        <f t="shared" si="698"/>
        <v>Upgraded</v>
      </c>
      <c r="G8656" s="153"/>
      <c r="H8656" s="210">
        <v>1.54E-2</v>
      </c>
      <c r="I8656" s="160" t="s">
        <v>59</v>
      </c>
      <c r="J8656" s="211">
        <v>6.9942200000000003E-5</v>
      </c>
      <c r="K8656" s="160" t="s">
        <v>145</v>
      </c>
      <c r="L8656" s="154" t="str">
        <f>IF(OpenLCAbasic!K8656="CTUh", "Fill in Manually",IF(OR(K8656="Unit", K8656=""), "", INDEX(LookUps!$E$5:$E$12, MATCH(OpenLCAbasic!K8656,LookUps!$D$5:$D$12,0))))</f>
        <v>Particulate Matter Formation Potential (PMFP) - kg PM2.5 eq</v>
      </c>
      <c r="M8656" s="154" t="str">
        <f t="shared" si="700"/>
        <v>Low_Base_Upgraded_Particulate Matter Formation Potential (PMFP) - kg PM2.5 eq_Blend Tank; wastewater treatment unit; at updated plant - US_Without Amendment_Aerated Static Pile</v>
      </c>
    </row>
    <row r="8657" spans="1:13" s="120" customFormat="1" x14ac:dyDescent="0.25">
      <c r="A8657" s="119"/>
      <c r="B8657" s="138" t="str">
        <f t="shared" si="696"/>
        <v>Aerated Static Pile</v>
      </c>
      <c r="C8657" s="138" t="str">
        <f t="shared" si="697"/>
        <v>Without Amendment</v>
      </c>
      <c r="D8657" s="138" t="s">
        <v>130</v>
      </c>
      <c r="E8657" s="138" t="str">
        <f t="shared" si="699"/>
        <v>Low</v>
      </c>
      <c r="F8657" s="138" t="str">
        <f t="shared" si="698"/>
        <v>Upgraded</v>
      </c>
      <c r="G8657" s="153"/>
      <c r="H8657" s="210">
        <v>1.0999999999999999E-2</v>
      </c>
      <c r="I8657" s="160" t="s">
        <v>48</v>
      </c>
      <c r="J8657" s="211">
        <v>4.99741E-5</v>
      </c>
      <c r="K8657" s="160" t="s">
        <v>145</v>
      </c>
      <c r="L8657" s="154" t="str">
        <f>IF(OpenLCAbasic!K8657="CTUh", "Fill in Manually",IF(OR(K8657="Unit", K8657=""), "", INDEX(LookUps!$E$5:$E$12, MATCH(OpenLCAbasic!K8657,LookUps!$D$5:$D$12,0))))</f>
        <v>Particulate Matter Formation Potential (PMFP) - kg PM2.5 eq</v>
      </c>
      <c r="M8657" s="154" t="str">
        <f t="shared" si="700"/>
        <v>Low_Base_Upgraded_Particulate Matter Formation Potential (PMFP) - kg PM2.5 eq_Effluent release; wastewater treatment unit; at surface water; m3 wastewater - US_Without Amendment_Aerated Static Pile</v>
      </c>
    </row>
    <row r="8658" spans="1:13" s="120" customFormat="1" x14ac:dyDescent="0.25">
      <c r="A8658" s="119"/>
      <c r="B8658" s="138" t="str">
        <f t="shared" si="696"/>
        <v>Aerated Static Pile</v>
      </c>
      <c r="C8658" s="138" t="str">
        <f t="shared" si="697"/>
        <v>Without Amendment</v>
      </c>
      <c r="D8658" s="138" t="s">
        <v>130</v>
      </c>
      <c r="E8658" s="138" t="str">
        <f t="shared" si="699"/>
        <v>Low</v>
      </c>
      <c r="F8658" s="138" t="str">
        <f t="shared" si="698"/>
        <v>Upgraded</v>
      </c>
      <c r="G8658" s="153"/>
      <c r="H8658" s="210">
        <v>7.7000000000000002E-3</v>
      </c>
      <c r="I8658" s="160" t="s">
        <v>62</v>
      </c>
      <c r="J8658" s="211">
        <v>3.5061100000000002E-5</v>
      </c>
      <c r="K8658" s="160" t="s">
        <v>145</v>
      </c>
      <c r="L8658" s="154" t="str">
        <f>IF(OpenLCAbasic!K8658="CTUh", "Fill in Manually",IF(OR(K8658="Unit", K8658=""), "", INDEX(LookUps!$E$5:$E$12, MATCH(OpenLCAbasic!K8658,LookUps!$D$5:$D$12,0))))</f>
        <v>Particulate Matter Formation Potential (PMFP) - kg PM2.5 eq</v>
      </c>
      <c r="M8658" s="154" t="str">
        <f t="shared" si="700"/>
        <v>Low_Base_Upgraded_Particulate Matter Formation Potential (PMFP) - kg PM2.5 eq_Land application of compost; wastewater treatment unit; at updated plant - US_Without Amendment_Aerated Static Pile</v>
      </c>
    </row>
    <row r="8659" spans="1:13" s="120" customFormat="1" x14ac:dyDescent="0.25">
      <c r="A8659" s="119"/>
      <c r="B8659" s="138" t="str">
        <f t="shared" si="696"/>
        <v>Aerated Static Pile</v>
      </c>
      <c r="C8659" s="138" t="str">
        <f t="shared" si="697"/>
        <v>Without Amendment</v>
      </c>
      <c r="D8659" s="138" t="s">
        <v>130</v>
      </c>
      <c r="E8659" s="138" t="str">
        <f t="shared" si="699"/>
        <v>Low</v>
      </c>
      <c r="F8659" s="138" t="str">
        <f t="shared" si="698"/>
        <v>Upgraded</v>
      </c>
      <c r="G8659" s="153"/>
      <c r="H8659" s="210">
        <v>7.6E-3</v>
      </c>
      <c r="I8659" s="160" t="s">
        <v>168</v>
      </c>
      <c r="J8659" s="211">
        <v>3.4562199999999999E-5</v>
      </c>
      <c r="K8659" s="160" t="s">
        <v>145</v>
      </c>
      <c r="L8659" s="154" t="str">
        <f>IF(OpenLCAbasic!K8659="CTUh", "Fill in Manually",IF(OR(K8659="Unit", K8659=""), "", INDEX(LookUps!$E$5:$E$12, MATCH(OpenLCAbasic!K8659,LookUps!$D$5:$D$12,0))))</f>
        <v>Particulate Matter Formation Potential (PMFP) - kg PM2.5 eq</v>
      </c>
      <c r="M8659" s="154" t="str">
        <f t="shared" si="700"/>
        <v>Low_Base_Upgraded_Particulate Matter Formation Potential (PMFP) - kg PM2.5 eq_ClearCove SCP; wastewater treatment unit; at updated plant - US_Without Amendment_Aerated Static Pile</v>
      </c>
    </row>
    <row r="8660" spans="1:13" s="120" customFormat="1" x14ac:dyDescent="0.25">
      <c r="A8660" s="119"/>
      <c r="B8660" s="138" t="str">
        <f t="shared" si="696"/>
        <v>Aerated Static Pile</v>
      </c>
      <c r="C8660" s="138" t="str">
        <f t="shared" si="697"/>
        <v>Without Amendment</v>
      </c>
      <c r="D8660" s="138" t="s">
        <v>130</v>
      </c>
      <c r="E8660" s="138" t="str">
        <f t="shared" si="699"/>
        <v>Low</v>
      </c>
      <c r="F8660" s="138" t="str">
        <f t="shared" si="698"/>
        <v>Upgraded</v>
      </c>
      <c r="G8660" s="153"/>
      <c r="H8660" s="210">
        <v>1.9E-3</v>
      </c>
      <c r="I8660" s="160" t="s">
        <v>148</v>
      </c>
      <c r="J8660" s="211">
        <v>8.8212999999999997E-6</v>
      </c>
      <c r="K8660" s="160" t="s">
        <v>145</v>
      </c>
      <c r="L8660" s="154" t="str">
        <f>IF(OpenLCAbasic!K8660="CTUh", "Fill in Manually",IF(OR(K8660="Unit", K8660=""), "", INDEX(LookUps!$E$5:$E$12, MATCH(OpenLCAbasic!K8660,LookUps!$D$5:$D$12,0))))</f>
        <v>Particulate Matter Formation Potential (PMFP) - kg PM2.5 eq</v>
      </c>
      <c r="M8660" s="154" t="str">
        <f t="shared" si="700"/>
        <v>Low_Base_Upgraded_Particulate Matter Formation Potential (PMFP) - kg PM2.5 eq_Control Building; at upgraded wastewater treatment plant - US_Without Amendment_Aerated Static Pile</v>
      </c>
    </row>
    <row r="8661" spans="1:13" s="120" customFormat="1" x14ac:dyDescent="0.25">
      <c r="A8661" s="119"/>
      <c r="B8661" s="138" t="str">
        <f t="shared" si="696"/>
        <v>Aerated Static Pile</v>
      </c>
      <c r="C8661" s="138" t="str">
        <f t="shared" si="697"/>
        <v>Without Amendment</v>
      </c>
      <c r="D8661" s="138" t="s">
        <v>130</v>
      </c>
      <c r="E8661" s="138" t="str">
        <f t="shared" si="699"/>
        <v>Low</v>
      </c>
      <c r="F8661" s="138" t="str">
        <f t="shared" si="698"/>
        <v>Upgraded</v>
      </c>
      <c r="G8661" s="153"/>
      <c r="H8661" s="210">
        <v>-0.1908</v>
      </c>
      <c r="I8661" s="160" t="s">
        <v>149</v>
      </c>
      <c r="J8661" s="160">
        <v>-8.7000000000000001E-4</v>
      </c>
      <c r="K8661" s="160" t="s">
        <v>145</v>
      </c>
      <c r="L8661" s="154" t="str">
        <f>IF(OpenLCAbasic!K8661="CTUh", "Fill in Manually",IF(OR(K8661="Unit", K8661=""), "", INDEX(LookUps!$E$5:$E$12, MATCH(OpenLCAbasic!K8661,LookUps!$D$5:$D$12,0))))</f>
        <v>Particulate Matter Formation Potential (PMFP) - kg PM2.5 eq</v>
      </c>
      <c r="M8661" s="154" t="str">
        <f t="shared" si="700"/>
        <v>Low_Base_Upgraded_Particulate Matter Formation Potential (PMFP) - kg PM2.5 eq_Anaerobic Digestion; wastewater treatment unit; at updated plant - US_Without Amendment_Aerated Static Pile</v>
      </c>
    </row>
    <row r="8662" spans="1:13" s="120" customFormat="1" x14ac:dyDescent="0.25">
      <c r="A8662" s="119"/>
      <c r="B8662" s="138" t="str">
        <f t="shared" si="696"/>
        <v/>
      </c>
      <c r="C8662" s="138" t="str">
        <f t="shared" si="697"/>
        <v/>
      </c>
      <c r="D8662" s="138" t="str">
        <f t="shared" si="695"/>
        <v/>
      </c>
      <c r="E8662" s="138" t="str">
        <f t="shared" si="699"/>
        <v/>
      </c>
      <c r="F8662" s="138" t="str">
        <f t="shared" si="698"/>
        <v/>
      </c>
      <c r="G8662" s="153" t="s">
        <v>51</v>
      </c>
      <c r="H8662" s="160"/>
      <c r="I8662" s="160" t="s">
        <v>47</v>
      </c>
      <c r="J8662" s="160" t="s">
        <v>52</v>
      </c>
      <c r="K8662" s="160" t="s">
        <v>27</v>
      </c>
      <c r="L8662" s="154" t="str">
        <f>IF(OpenLCAbasic!K8662="CTUh", "Fill in Manually",IF(OR(K8662="Unit", K8662=""), "", INDEX(LookUps!$E$5:$E$12, MATCH(OpenLCAbasic!K8662,LookUps!$D$5:$D$12,0))))</f>
        <v/>
      </c>
      <c r="M8662" s="154" t="str">
        <f t="shared" si="700"/>
        <v>____Process__</v>
      </c>
    </row>
    <row r="8663" spans="1:13" s="120" customFormat="1" x14ac:dyDescent="0.25">
      <c r="A8663" s="119"/>
      <c r="B8663" s="138" t="str">
        <f t="shared" si="696"/>
        <v>Aerated Static Pile</v>
      </c>
      <c r="C8663" s="138" t="str">
        <f t="shared" si="697"/>
        <v>Without Amendment</v>
      </c>
      <c r="D8663" s="138" t="s">
        <v>130</v>
      </c>
      <c r="E8663" s="138" t="str">
        <f t="shared" si="699"/>
        <v>Low</v>
      </c>
      <c r="F8663" s="138" t="str">
        <f t="shared" si="698"/>
        <v>Upgraded</v>
      </c>
      <c r="G8663" s="153"/>
      <c r="H8663" s="210">
        <v>0.50900000000000001</v>
      </c>
      <c r="I8663" s="160" t="s">
        <v>55</v>
      </c>
      <c r="J8663" s="160">
        <v>0.16577</v>
      </c>
      <c r="K8663" s="160" t="s">
        <v>25</v>
      </c>
      <c r="L8663" s="154" t="str">
        <f>IF(OpenLCAbasic!K8663="CTUh", "Fill in Manually",IF(OR(K8663="Unit", K8663=""), "", INDEX(LookUps!$E$5:$E$12, MATCH(OpenLCAbasic!K8663,LookUps!$D$5:$D$12,0))))</f>
        <v>Smog Formation Potential (SFP) - kg O3 eq</v>
      </c>
      <c r="M8663" s="154" t="str">
        <f t="shared" si="700"/>
        <v>Low_Base_Upgraded_Smog Formation Potential (SFP) - kg O3 eq_Aeration Tanks; wastewater treatment unit; at updated plant - US_Without Amendment_Aerated Static Pile</v>
      </c>
    </row>
    <row r="8664" spans="1:13" s="120" customFormat="1" x14ac:dyDescent="0.25">
      <c r="A8664" s="119"/>
      <c r="B8664" s="138" t="str">
        <f t="shared" si="696"/>
        <v>Aerated Static Pile</v>
      </c>
      <c r="C8664" s="138" t="str">
        <f t="shared" si="697"/>
        <v>Without Amendment</v>
      </c>
      <c r="D8664" s="138" t="s">
        <v>130</v>
      </c>
      <c r="E8664" s="138" t="str">
        <f t="shared" si="699"/>
        <v>Low</v>
      </c>
      <c r="F8664" s="138" t="str">
        <f t="shared" si="698"/>
        <v>Upgraded</v>
      </c>
      <c r="G8664" s="153"/>
      <c r="H8664" s="210">
        <v>0.14760000000000001</v>
      </c>
      <c r="I8664" s="160" t="s">
        <v>54</v>
      </c>
      <c r="J8664" s="160">
        <v>4.8070000000000002E-2</v>
      </c>
      <c r="K8664" s="160" t="s">
        <v>25</v>
      </c>
      <c r="L8664" s="154" t="str">
        <f>IF(OpenLCAbasic!K8664="CTUh", "Fill in Manually",IF(OR(K8664="Unit", K8664=""), "", INDEX(LookUps!$E$5:$E$12, MATCH(OpenLCAbasic!K8664,LookUps!$D$5:$D$12,0))))</f>
        <v>Smog Formation Potential (SFP) - kg O3 eq</v>
      </c>
      <c r="M8664" s="154" t="str">
        <f t="shared" si="700"/>
        <v>Low_Base_Upgraded_Smog Formation Potential (SFP) - kg O3 eq_Clear Cove Primary Clarification; wastewater treatment unit; at updated plant - US_Without Amendment_Aerated Static Pile</v>
      </c>
    </row>
    <row r="8665" spans="1:13" s="120" customFormat="1" x14ac:dyDescent="0.25">
      <c r="A8665" s="119"/>
      <c r="B8665" s="138" t="str">
        <f t="shared" si="696"/>
        <v>Aerated Static Pile</v>
      </c>
      <c r="C8665" s="138" t="str">
        <f t="shared" si="697"/>
        <v>Without Amendment</v>
      </c>
      <c r="D8665" s="138" t="s">
        <v>130</v>
      </c>
      <c r="E8665" s="138" t="str">
        <f t="shared" si="699"/>
        <v>Low</v>
      </c>
      <c r="F8665" s="138" t="str">
        <f t="shared" si="698"/>
        <v>Upgraded</v>
      </c>
      <c r="G8665" s="153"/>
      <c r="H8665" s="210">
        <v>0.1283</v>
      </c>
      <c r="I8665" s="160" t="s">
        <v>58</v>
      </c>
      <c r="J8665" s="160">
        <v>4.1779999999999998E-2</v>
      </c>
      <c r="K8665" s="160" t="s">
        <v>25</v>
      </c>
      <c r="L8665" s="154" t="str">
        <f>IF(OpenLCAbasic!K8665="CTUh", "Fill in Manually",IF(OR(K8665="Unit", K8665=""), "", INDEX(LookUps!$E$5:$E$12, MATCH(OpenLCAbasic!K8665,LookUps!$D$5:$D$12,0))))</f>
        <v>Smog Formation Potential (SFP) - kg O3 eq</v>
      </c>
      <c r="M8665" s="154" t="str">
        <f t="shared" si="700"/>
        <v>Low_Base_Upgraded_Smog Formation Potential (SFP) - kg O3 eq_Pre-Anoxic &amp; Swing tank; wastewater treatment unit; at updated plant - US_Without Amendment_Aerated Static Pile</v>
      </c>
    </row>
    <row r="8666" spans="1:13" s="120" customFormat="1" x14ac:dyDescent="0.25">
      <c r="A8666" s="119"/>
      <c r="B8666" s="138" t="str">
        <f t="shared" si="696"/>
        <v>Aerated Static Pile</v>
      </c>
      <c r="C8666" s="138" t="str">
        <f t="shared" si="697"/>
        <v>Without Amendment</v>
      </c>
      <c r="D8666" s="138" t="s">
        <v>130</v>
      </c>
      <c r="E8666" s="138" t="str">
        <f t="shared" si="699"/>
        <v>Low</v>
      </c>
      <c r="F8666" s="138" t="str">
        <f t="shared" si="698"/>
        <v>Upgraded</v>
      </c>
      <c r="G8666" s="153"/>
      <c r="H8666" s="210">
        <v>0.1017</v>
      </c>
      <c r="I8666" s="160" t="s">
        <v>53</v>
      </c>
      <c r="J8666" s="160">
        <v>3.313E-2</v>
      </c>
      <c r="K8666" s="160" t="s">
        <v>25</v>
      </c>
      <c r="L8666" s="154" t="str">
        <f>IF(OpenLCAbasic!K8666="CTUh", "Fill in Manually",IF(OR(K8666="Unit", K8666=""), "", INDEX(LookUps!$E$5:$E$12, MATCH(OpenLCAbasic!K8666,LookUps!$D$5:$D$12,0))))</f>
        <v>Smog Formation Potential (SFP) - kg O3 eq</v>
      </c>
      <c r="M8666" s="154" t="str">
        <f t="shared" si="700"/>
        <v>Low_Base_Upgraded_Smog Formation Potential (SFP) - kg O3 eq_Wet Well and Sump Station; wastewater treatment unit; at updated plant - US_Without Amendment_Aerated Static Pile</v>
      </c>
    </row>
    <row r="8667" spans="1:13" s="120" customFormat="1" x14ac:dyDescent="0.25">
      <c r="A8667" s="119"/>
      <c r="B8667" s="138" t="str">
        <f t="shared" si="696"/>
        <v>Aerated Static Pile</v>
      </c>
      <c r="C8667" s="138" t="str">
        <f t="shared" si="697"/>
        <v>Without Amendment</v>
      </c>
      <c r="D8667" s="138" t="s">
        <v>130</v>
      </c>
      <c r="E8667" s="138" t="str">
        <f t="shared" si="699"/>
        <v>Low</v>
      </c>
      <c r="F8667" s="138" t="str">
        <f t="shared" si="698"/>
        <v>Upgraded</v>
      </c>
      <c r="G8667" s="153"/>
      <c r="H8667" s="210">
        <v>8.5800000000000001E-2</v>
      </c>
      <c r="I8667" s="160" t="s">
        <v>167</v>
      </c>
      <c r="J8667" s="160">
        <v>2.7949999999999999E-2</v>
      </c>
      <c r="K8667" s="160" t="s">
        <v>25</v>
      </c>
      <c r="L8667" s="154" t="str">
        <f>IF(OpenLCAbasic!K8667="CTUh", "Fill in Manually",IF(OR(K8667="Unit", K8667=""), "", INDEX(LookUps!$E$5:$E$12, MATCH(OpenLCAbasic!K8667,LookUps!$D$5:$D$12,0))))</f>
        <v>Smog Formation Potential (SFP) - kg O3 eq</v>
      </c>
      <c r="M8667" s="154" t="str">
        <f t="shared" si="700"/>
        <v>Low_Base_Upgraded_Smog Formation Potential (SFP) - kg O3 eq_Waste Receiving and Holding; wastewater treatment unit; at updated plant - US_Without Amendment_Aerated Static Pile</v>
      </c>
    </row>
    <row r="8668" spans="1:13" s="120" customFormat="1" x14ac:dyDescent="0.25">
      <c r="A8668" s="119"/>
      <c r="B8668" s="138" t="str">
        <f t="shared" si="696"/>
        <v>Aerated Static Pile</v>
      </c>
      <c r="C8668" s="138" t="str">
        <f t="shared" si="697"/>
        <v>Without Amendment</v>
      </c>
      <c r="D8668" s="138" t="s">
        <v>130</v>
      </c>
      <c r="E8668" s="138" t="str">
        <f t="shared" si="699"/>
        <v>Low</v>
      </c>
      <c r="F8668" s="138" t="str">
        <f t="shared" si="698"/>
        <v>Upgraded</v>
      </c>
      <c r="G8668" s="153"/>
      <c r="H8668" s="210">
        <v>5.96E-2</v>
      </c>
      <c r="I8668" s="160" t="s">
        <v>147</v>
      </c>
      <c r="J8668" s="160">
        <v>1.9400000000000001E-2</v>
      </c>
      <c r="K8668" s="160" t="s">
        <v>25</v>
      </c>
      <c r="L8668" s="154" t="str">
        <f>IF(OpenLCAbasic!K8668="CTUh", "Fill in Manually",IF(OR(K8668="Unit", K8668=""), "", INDEX(LookUps!$E$5:$E$12, MATCH(OpenLCAbasic!K8668,LookUps!$D$5:$D$12,0))))</f>
        <v>Smog Formation Potential (SFP) - kg O3 eq</v>
      </c>
      <c r="M8668" s="154" t="str">
        <f t="shared" si="700"/>
        <v>Low_Base_Upgraded_Smog Formation Potential (SFP) - kg O3 eq_Influent Pump Station; wastewater treatment unit; at updated plant - US_Without Amendment_Aerated Static Pile</v>
      </c>
    </row>
    <row r="8669" spans="1:13" s="120" customFormat="1" x14ac:dyDescent="0.25">
      <c r="A8669" s="119"/>
      <c r="B8669" s="138" t="str">
        <f t="shared" si="696"/>
        <v>Aerated Static Pile</v>
      </c>
      <c r="C8669" s="138" t="str">
        <f t="shared" si="697"/>
        <v>Without Amendment</v>
      </c>
      <c r="D8669" s="138" t="s">
        <v>130</v>
      </c>
      <c r="E8669" s="138" t="str">
        <f t="shared" si="699"/>
        <v>Low</v>
      </c>
      <c r="F8669" s="138" t="str">
        <f t="shared" si="698"/>
        <v>Upgraded</v>
      </c>
      <c r="G8669" s="153"/>
      <c r="H8669" s="210">
        <v>4.9399999999999999E-2</v>
      </c>
      <c r="I8669" s="160" t="s">
        <v>435</v>
      </c>
      <c r="J8669" s="160">
        <v>1.6070000000000001E-2</v>
      </c>
      <c r="K8669" s="160" t="s">
        <v>25</v>
      </c>
      <c r="L8669" s="154" t="str">
        <f>IF(OpenLCAbasic!K8669="CTUh", "Fill in Manually",IF(OR(K8669="Unit", K8669=""), "", INDEX(LookUps!$E$5:$E$12, MATCH(OpenLCAbasic!K8669,LookUps!$D$5:$D$12,0))))</f>
        <v>Smog Formation Potential (SFP) - kg O3 eq</v>
      </c>
      <c r="M8669" s="154" t="str">
        <f t="shared" si="700"/>
        <v>Low_Base_Upgraded_Smog Formation Potential (SFP) - kg O3 eq_Biosolids composting; aerated static pile; wastewater treatment unit; at updated plant - US_Without Amendment_Aerated Static Pile</v>
      </c>
    </row>
    <row r="8670" spans="1:13" s="120" customFormat="1" x14ac:dyDescent="0.25">
      <c r="A8670" s="119"/>
      <c r="B8670" s="138" t="str">
        <f t="shared" si="696"/>
        <v>Aerated Static Pile</v>
      </c>
      <c r="C8670" s="138" t="str">
        <f t="shared" si="697"/>
        <v>Without Amendment</v>
      </c>
      <c r="D8670" s="138" t="s">
        <v>130</v>
      </c>
      <c r="E8670" s="138" t="str">
        <f t="shared" si="699"/>
        <v>Low</v>
      </c>
      <c r="F8670" s="138" t="str">
        <f t="shared" si="698"/>
        <v>Upgraded</v>
      </c>
      <c r="G8670" s="153"/>
      <c r="H8670" s="210">
        <v>3.6600000000000001E-2</v>
      </c>
      <c r="I8670" s="160" t="s">
        <v>128</v>
      </c>
      <c r="J8670" s="160">
        <v>1.192E-2</v>
      </c>
      <c r="K8670" s="160" t="s">
        <v>25</v>
      </c>
      <c r="L8670" s="154" t="str">
        <f>IF(OpenLCAbasic!K8670="CTUh", "Fill in Manually",IF(OR(K8670="Unit", K8670=""), "", INDEX(LookUps!$E$5:$E$12, MATCH(OpenLCAbasic!K8670,LookUps!$D$5:$D$12,0))))</f>
        <v>Smog Formation Potential (SFP) - kg O3 eq</v>
      </c>
      <c r="M8670" s="154" t="str">
        <f t="shared" si="700"/>
        <v>Low_Base_Upgraded_Smog Formation Potential (SFP) - kg O3 eq_Wastewater collection; operation and infrastructure; m3 wastewater_Without Amendment_Aerated Static Pile</v>
      </c>
    </row>
    <row r="8671" spans="1:13" s="120" customFormat="1" x14ac:dyDescent="0.25">
      <c r="A8671" s="119"/>
      <c r="B8671" s="138" t="str">
        <f t="shared" si="696"/>
        <v>Aerated Static Pile</v>
      </c>
      <c r="C8671" s="138" t="str">
        <f t="shared" si="697"/>
        <v>Without Amendment</v>
      </c>
      <c r="D8671" s="138" t="s">
        <v>130</v>
      </c>
      <c r="E8671" s="138" t="str">
        <f t="shared" si="699"/>
        <v>Low</v>
      </c>
      <c r="F8671" s="138" t="str">
        <f t="shared" si="698"/>
        <v>Upgraded</v>
      </c>
      <c r="G8671" s="153"/>
      <c r="H8671" s="210">
        <v>2.2599999999999999E-2</v>
      </c>
      <c r="I8671" s="160" t="s">
        <v>60</v>
      </c>
      <c r="J8671" s="160">
        <v>7.3499999999999998E-3</v>
      </c>
      <c r="K8671" s="160" t="s">
        <v>25</v>
      </c>
      <c r="L8671" s="154" t="str">
        <f>IF(OpenLCAbasic!K8671="CTUh", "Fill in Manually",IF(OR(K8671="Unit", K8671=""), "", INDEX(LookUps!$E$5:$E$12, MATCH(OpenLCAbasic!K8671,LookUps!$D$5:$D$12,0))))</f>
        <v>Smog Formation Potential (SFP) - kg O3 eq</v>
      </c>
      <c r="M8671" s="154" t="str">
        <f t="shared" si="700"/>
        <v>Low_Base_Upgraded_Smog Formation Potential (SFP) - kg O3 eq_Belt filter press; wastewater treatment unit; at updated plant - US_Without Amendment_Aerated Static Pile</v>
      </c>
    </row>
    <row r="8672" spans="1:13" s="120" customFormat="1" x14ac:dyDescent="0.25">
      <c r="A8672" s="119"/>
      <c r="B8672" s="138" t="str">
        <f t="shared" si="696"/>
        <v>Aerated Static Pile</v>
      </c>
      <c r="C8672" s="138" t="str">
        <f t="shared" si="697"/>
        <v>Without Amendment</v>
      </c>
      <c r="D8672" s="138" t="s">
        <v>130</v>
      </c>
      <c r="E8672" s="138" t="str">
        <f t="shared" si="699"/>
        <v>Low</v>
      </c>
      <c r="F8672" s="138" t="str">
        <f t="shared" si="698"/>
        <v>Upgraded</v>
      </c>
      <c r="G8672" s="153"/>
      <c r="H8672" s="210">
        <v>2.0400000000000001E-2</v>
      </c>
      <c r="I8672" s="160" t="s">
        <v>57</v>
      </c>
      <c r="J8672" s="160">
        <v>6.6499999999999997E-3</v>
      </c>
      <c r="K8672" s="160" t="s">
        <v>25</v>
      </c>
      <c r="L8672" s="154" t="str">
        <f>IF(OpenLCAbasic!K8672="CTUh", "Fill in Manually",IF(OR(K8672="Unit", K8672=""), "", INDEX(LookUps!$E$5:$E$12, MATCH(OpenLCAbasic!K8672,LookUps!$D$5:$D$12,0))))</f>
        <v>Smog Formation Potential (SFP) - kg O3 eq</v>
      </c>
      <c r="M8672" s="154" t="str">
        <f t="shared" si="700"/>
        <v>Low_Base_Upgraded_Smog Formation Potential (SFP) - kg O3 eq_Gravity Belt Thickener; wastewater treatment unit; at updated plant - US_Without Amendment_Aerated Static Pile</v>
      </c>
    </row>
    <row r="8673" spans="1:13" s="120" customFormat="1" x14ac:dyDescent="0.25">
      <c r="A8673" s="119"/>
      <c r="B8673" s="138" t="str">
        <f t="shared" si="696"/>
        <v>Aerated Static Pile</v>
      </c>
      <c r="C8673" s="138" t="str">
        <f t="shared" si="697"/>
        <v>Without Amendment</v>
      </c>
      <c r="D8673" s="138" t="s">
        <v>130</v>
      </c>
      <c r="E8673" s="138" t="str">
        <f t="shared" si="699"/>
        <v>Low</v>
      </c>
      <c r="F8673" s="138" t="str">
        <f t="shared" si="698"/>
        <v>Upgraded</v>
      </c>
      <c r="G8673" s="153"/>
      <c r="H8673" s="210">
        <v>1.5299999999999999E-2</v>
      </c>
      <c r="I8673" s="160" t="s">
        <v>59</v>
      </c>
      <c r="J8673" s="160">
        <v>4.9699999999999996E-3</v>
      </c>
      <c r="K8673" s="160" t="s">
        <v>25</v>
      </c>
      <c r="L8673" s="154" t="str">
        <f>IF(OpenLCAbasic!K8673="CTUh", "Fill in Manually",IF(OR(K8673="Unit", K8673=""), "", INDEX(LookUps!$E$5:$E$12, MATCH(OpenLCAbasic!K8673,LookUps!$D$5:$D$12,0))))</f>
        <v>Smog Formation Potential (SFP) - kg O3 eq</v>
      </c>
      <c r="M8673" s="154" t="str">
        <f t="shared" si="700"/>
        <v>Low_Base_Upgraded_Smog Formation Potential (SFP) - kg O3 eq_Blend Tank; wastewater treatment unit; at updated plant - US_Without Amendment_Aerated Static Pile</v>
      </c>
    </row>
    <row r="8674" spans="1:13" s="120" customFormat="1" x14ac:dyDescent="0.25">
      <c r="A8674" s="119"/>
      <c r="B8674" s="138" t="str">
        <f t="shared" si="696"/>
        <v>Aerated Static Pile</v>
      </c>
      <c r="C8674" s="138" t="str">
        <f t="shared" si="697"/>
        <v>Without Amendment</v>
      </c>
      <c r="D8674" s="138" t="s">
        <v>130</v>
      </c>
      <c r="E8674" s="138" t="str">
        <f t="shared" si="699"/>
        <v>Low</v>
      </c>
      <c r="F8674" s="138" t="str">
        <f t="shared" si="698"/>
        <v>Upgraded</v>
      </c>
      <c r="G8674" s="153"/>
      <c r="H8674" s="210">
        <v>1.04E-2</v>
      </c>
      <c r="I8674" s="160" t="s">
        <v>48</v>
      </c>
      <c r="J8674" s="160">
        <v>3.3899999999999998E-3</v>
      </c>
      <c r="K8674" s="160" t="s">
        <v>25</v>
      </c>
      <c r="L8674" s="154" t="str">
        <f>IF(OpenLCAbasic!K8674="CTUh", "Fill in Manually",IF(OR(K8674="Unit", K8674=""), "", INDEX(LookUps!$E$5:$E$12, MATCH(OpenLCAbasic!K8674,LookUps!$D$5:$D$12,0))))</f>
        <v>Smog Formation Potential (SFP) - kg O3 eq</v>
      </c>
      <c r="M8674" s="154" t="str">
        <f t="shared" si="700"/>
        <v>Low_Base_Upgraded_Smog Formation Potential (SFP) - kg O3 eq_Effluent release; wastewater treatment unit; at surface water; m3 wastewater - US_Without Amendment_Aerated Static Pile</v>
      </c>
    </row>
    <row r="8675" spans="1:13" s="120" customFormat="1" x14ac:dyDescent="0.25">
      <c r="A8675" s="119"/>
      <c r="B8675" s="138" t="str">
        <f t="shared" si="696"/>
        <v>Aerated Static Pile</v>
      </c>
      <c r="C8675" s="138" t="str">
        <f t="shared" si="697"/>
        <v>Without Amendment</v>
      </c>
      <c r="D8675" s="138" t="s">
        <v>130</v>
      </c>
      <c r="E8675" s="138" t="str">
        <f t="shared" si="699"/>
        <v>Low</v>
      </c>
      <c r="F8675" s="138" t="str">
        <f t="shared" si="698"/>
        <v>Upgraded</v>
      </c>
      <c r="G8675" s="153"/>
      <c r="H8675" s="210">
        <v>7.4999999999999997E-3</v>
      </c>
      <c r="I8675" s="160" t="s">
        <v>168</v>
      </c>
      <c r="J8675" s="160">
        <v>2.4599999999999999E-3</v>
      </c>
      <c r="K8675" s="160" t="s">
        <v>25</v>
      </c>
      <c r="L8675" s="154" t="str">
        <f>IF(OpenLCAbasic!K8675="CTUh", "Fill in Manually",IF(OR(K8675="Unit", K8675=""), "", INDEX(LookUps!$E$5:$E$12, MATCH(OpenLCAbasic!K8675,LookUps!$D$5:$D$12,0))))</f>
        <v>Smog Formation Potential (SFP) - kg O3 eq</v>
      </c>
      <c r="M8675" s="154" t="str">
        <f t="shared" si="700"/>
        <v>Low_Base_Upgraded_Smog Formation Potential (SFP) - kg O3 eq_ClearCove SCP; wastewater treatment unit; at updated plant - US_Without Amendment_Aerated Static Pile</v>
      </c>
    </row>
    <row r="8676" spans="1:13" s="120" customFormat="1" x14ac:dyDescent="0.25">
      <c r="A8676" s="119"/>
      <c r="B8676" s="138" t="str">
        <f t="shared" si="696"/>
        <v>Aerated Static Pile</v>
      </c>
      <c r="C8676" s="138" t="str">
        <f t="shared" si="697"/>
        <v>Without Amendment</v>
      </c>
      <c r="D8676" s="138" t="s">
        <v>130</v>
      </c>
      <c r="E8676" s="138" t="str">
        <f t="shared" si="699"/>
        <v>Low</v>
      </c>
      <c r="F8676" s="138" t="str">
        <f t="shared" si="698"/>
        <v>Upgraded</v>
      </c>
      <c r="G8676" s="153"/>
      <c r="H8676" s="210">
        <v>1.6999999999999999E-3</v>
      </c>
      <c r="I8676" s="160" t="s">
        <v>148</v>
      </c>
      <c r="J8676" s="160">
        <v>5.4000000000000001E-4</v>
      </c>
      <c r="K8676" s="160" t="s">
        <v>25</v>
      </c>
      <c r="L8676" s="154" t="str">
        <f>IF(OpenLCAbasic!K8676="CTUh", "Fill in Manually",IF(OR(K8676="Unit", K8676=""), "", INDEX(LookUps!$E$5:$E$12, MATCH(OpenLCAbasic!K8676,LookUps!$D$5:$D$12,0))))</f>
        <v>Smog Formation Potential (SFP) - kg O3 eq</v>
      </c>
      <c r="M8676" s="154" t="str">
        <f t="shared" si="700"/>
        <v>Low_Base_Upgraded_Smog Formation Potential (SFP) - kg O3 eq_Control Building; at upgraded wastewater treatment plant - US_Without Amendment_Aerated Static Pile</v>
      </c>
    </row>
    <row r="8677" spans="1:13" s="120" customFormat="1" x14ac:dyDescent="0.25">
      <c r="A8677" s="119"/>
      <c r="B8677" s="138" t="str">
        <f t="shared" si="696"/>
        <v>Aerated Static Pile</v>
      </c>
      <c r="C8677" s="138" t="str">
        <f t="shared" si="697"/>
        <v>Without Amendment</v>
      </c>
      <c r="D8677" s="138" t="s">
        <v>130</v>
      </c>
      <c r="E8677" s="138" t="str">
        <f t="shared" si="699"/>
        <v>Low</v>
      </c>
      <c r="F8677" s="138" t="str">
        <f t="shared" si="698"/>
        <v>Upgraded</v>
      </c>
      <c r="G8677" s="153"/>
      <c r="H8677" s="210">
        <v>-5.4999999999999997E-3</v>
      </c>
      <c r="I8677" s="160" t="s">
        <v>62</v>
      </c>
      <c r="J8677" s="160">
        <v>-1.8E-3</v>
      </c>
      <c r="K8677" s="160" t="s">
        <v>25</v>
      </c>
      <c r="L8677" s="154" t="str">
        <f>IF(OpenLCAbasic!K8677="CTUh", "Fill in Manually",IF(OR(K8677="Unit", K8677=""), "", INDEX(LookUps!$E$5:$E$12, MATCH(OpenLCAbasic!K8677,LookUps!$D$5:$D$12,0))))</f>
        <v>Smog Formation Potential (SFP) - kg O3 eq</v>
      </c>
      <c r="M8677" s="154" t="str">
        <f t="shared" si="700"/>
        <v>Low_Base_Upgraded_Smog Formation Potential (SFP) - kg O3 eq_Land application of compost; wastewater treatment unit; at updated plant - US_Without Amendment_Aerated Static Pile</v>
      </c>
    </row>
    <row r="8678" spans="1:13" s="120" customFormat="1" x14ac:dyDescent="0.25">
      <c r="A8678" s="119"/>
      <c r="B8678" s="138" t="str">
        <f t="shared" si="696"/>
        <v>Aerated Static Pile</v>
      </c>
      <c r="C8678" s="138" t="str">
        <f t="shared" si="697"/>
        <v>Without Amendment</v>
      </c>
      <c r="D8678" s="138" t="s">
        <v>130</v>
      </c>
      <c r="E8678" s="138" t="str">
        <f t="shared" si="699"/>
        <v>Low</v>
      </c>
      <c r="F8678" s="138" t="str">
        <f t="shared" si="698"/>
        <v>Upgraded</v>
      </c>
      <c r="G8678" s="153"/>
      <c r="H8678" s="210">
        <v>-0.19020000000000001</v>
      </c>
      <c r="I8678" s="160" t="s">
        <v>149</v>
      </c>
      <c r="J8678" s="160">
        <v>-6.1940000000000002E-2</v>
      </c>
      <c r="K8678" s="160" t="s">
        <v>25</v>
      </c>
      <c r="L8678" s="154" t="str">
        <f>IF(OpenLCAbasic!K8678="CTUh", "Fill in Manually",IF(OR(K8678="Unit", K8678=""), "", INDEX(LookUps!$E$5:$E$12, MATCH(OpenLCAbasic!K8678,LookUps!$D$5:$D$12,0))))</f>
        <v>Smog Formation Potential (SFP) - kg O3 eq</v>
      </c>
      <c r="M8678" s="154" t="str">
        <f t="shared" si="700"/>
        <v>Low_Base_Upgraded_Smog Formation Potential (SFP) - kg O3 eq_Anaerobic Digestion; wastewater treatment unit; at updated plant - US_Without Amendment_Aerated Static Pile</v>
      </c>
    </row>
    <row r="8679" spans="1:13" s="120" customFormat="1" x14ac:dyDescent="0.25">
      <c r="A8679" s="119"/>
      <c r="B8679" s="138" t="str">
        <f t="shared" si="696"/>
        <v/>
      </c>
      <c r="C8679" s="138" t="str">
        <f t="shared" si="697"/>
        <v/>
      </c>
      <c r="D8679" s="138" t="str">
        <f t="shared" ref="D8679:D8713" si="701">IF(ISNUMBER($J8679),"Base_Base","")</f>
        <v/>
      </c>
      <c r="E8679" s="138" t="str">
        <f t="shared" si="699"/>
        <v/>
      </c>
      <c r="F8679" s="138" t="str">
        <f t="shared" si="698"/>
        <v/>
      </c>
      <c r="G8679" s="153" t="s">
        <v>51</v>
      </c>
      <c r="H8679" s="160"/>
      <c r="I8679" s="160" t="s">
        <v>47</v>
      </c>
      <c r="J8679" s="160" t="s">
        <v>52</v>
      </c>
      <c r="K8679" s="160" t="s">
        <v>27</v>
      </c>
      <c r="L8679" s="154" t="str">
        <f>IF(OpenLCAbasic!K8679="CTUh", "Fill in Manually",IF(OR(K8679="Unit", K8679=""), "", INDEX(LookUps!$E$5:$E$12, MATCH(OpenLCAbasic!K8679,LookUps!$D$5:$D$12,0))))</f>
        <v/>
      </c>
      <c r="M8679" s="154" t="str">
        <f t="shared" si="700"/>
        <v>____Process__</v>
      </c>
    </row>
    <row r="8680" spans="1:13" s="120" customFormat="1" x14ac:dyDescent="0.25">
      <c r="A8680" s="119"/>
      <c r="B8680" s="138" t="str">
        <f t="shared" si="696"/>
        <v>Aerated Static Pile</v>
      </c>
      <c r="C8680" s="138" t="str">
        <f t="shared" si="697"/>
        <v>Without Amendment</v>
      </c>
      <c r="D8680" s="138" t="s">
        <v>130</v>
      </c>
      <c r="E8680" s="138" t="str">
        <f t="shared" si="699"/>
        <v>Low</v>
      </c>
      <c r="F8680" s="138" t="str">
        <f t="shared" si="698"/>
        <v>Upgraded</v>
      </c>
      <c r="G8680" s="153"/>
      <c r="H8680" s="210">
        <v>0.56340000000000001</v>
      </c>
      <c r="I8680" s="160" t="s">
        <v>167</v>
      </c>
      <c r="J8680" s="160">
        <v>2.3000000000000001E-4</v>
      </c>
      <c r="K8680" s="160" t="s">
        <v>26</v>
      </c>
      <c r="L8680" s="154" t="str">
        <f>IF(OpenLCAbasic!K8680="CTUh", "Fill in Manually",IF(OR(K8680="Unit", K8680=""), "", INDEX(LookUps!$E$5:$E$12, MATCH(OpenLCAbasic!K8680,LookUps!$D$5:$D$12,0))))</f>
        <v>Water Use (WU) - m3 H2O</v>
      </c>
      <c r="M8680" s="154" t="str">
        <f t="shared" si="700"/>
        <v>Low_Base_Upgraded_Water Use (WU) - m3 H2O_Waste Receiving and Holding; wastewater treatment unit; at updated plant - US_Without Amendment_Aerated Static Pile</v>
      </c>
    </row>
    <row r="8681" spans="1:13" s="120" customFormat="1" x14ac:dyDescent="0.25">
      <c r="A8681" s="119"/>
      <c r="B8681" s="138" t="str">
        <f t="shared" ref="B8681:B8744" si="702">IF(F8681="Legacy","n.a.",IF(F8681="","","Aerated Static Pile"))</f>
        <v>Aerated Static Pile</v>
      </c>
      <c r="C8681" s="138" t="str">
        <f t="shared" ref="C8681:C8744" si="703">IF(ISNUMBER($J8681),"Without Amendment","")</f>
        <v>Without Amendment</v>
      </c>
      <c r="D8681" s="138" t="s">
        <v>130</v>
      </c>
      <c r="E8681" s="138" t="str">
        <f t="shared" si="699"/>
        <v>Low</v>
      </c>
      <c r="F8681" s="138" t="str">
        <f t="shared" ref="F8681:F8744" si="704">IF(ISNUMBER(J8681),"Upgraded","")</f>
        <v>Upgraded</v>
      </c>
      <c r="G8681" s="153"/>
      <c r="H8681" s="210">
        <v>0.44579999999999997</v>
      </c>
      <c r="I8681" s="160" t="s">
        <v>147</v>
      </c>
      <c r="J8681" s="160">
        <v>1.8000000000000001E-4</v>
      </c>
      <c r="K8681" s="160" t="s">
        <v>26</v>
      </c>
      <c r="L8681" s="154" t="str">
        <f>IF(OpenLCAbasic!K8681="CTUh", "Fill in Manually",IF(OR(K8681="Unit", K8681=""), "", INDEX(LookUps!$E$5:$E$12, MATCH(OpenLCAbasic!K8681,LookUps!$D$5:$D$12,0))))</f>
        <v>Water Use (WU) - m3 H2O</v>
      </c>
      <c r="M8681" s="154" t="str">
        <f t="shared" si="700"/>
        <v>Low_Base_Upgraded_Water Use (WU) - m3 H2O_Influent Pump Station; wastewater treatment unit; at updated plant - US_Without Amendment_Aerated Static Pile</v>
      </c>
    </row>
    <row r="8682" spans="1:13" s="120" customFormat="1" x14ac:dyDescent="0.25">
      <c r="A8682" s="119"/>
      <c r="B8682" s="138" t="str">
        <f t="shared" si="702"/>
        <v>Aerated Static Pile</v>
      </c>
      <c r="C8682" s="138" t="str">
        <f t="shared" si="703"/>
        <v>Without Amendment</v>
      </c>
      <c r="D8682" s="138" t="s">
        <v>130</v>
      </c>
      <c r="E8682" s="138" t="str">
        <f t="shared" si="699"/>
        <v>Low</v>
      </c>
      <c r="F8682" s="138" t="str">
        <f t="shared" si="704"/>
        <v>Upgraded</v>
      </c>
      <c r="G8682" s="153"/>
      <c r="H8682" s="210">
        <v>0.435</v>
      </c>
      <c r="I8682" s="160" t="s">
        <v>54</v>
      </c>
      <c r="J8682" s="160">
        <v>1.8000000000000001E-4</v>
      </c>
      <c r="K8682" s="160" t="s">
        <v>26</v>
      </c>
      <c r="L8682" s="154" t="str">
        <f>IF(OpenLCAbasic!K8682="CTUh", "Fill in Manually",IF(OR(K8682="Unit", K8682=""), "", INDEX(LookUps!$E$5:$E$12, MATCH(OpenLCAbasic!K8682,LookUps!$D$5:$D$12,0))))</f>
        <v>Water Use (WU) - m3 H2O</v>
      </c>
      <c r="M8682" s="154" t="str">
        <f t="shared" si="700"/>
        <v>Low_Base_Upgraded_Water Use (WU) - m3 H2O_Clear Cove Primary Clarification; wastewater treatment unit; at updated plant - US_Without Amendment_Aerated Static Pile</v>
      </c>
    </row>
    <row r="8683" spans="1:13" s="120" customFormat="1" x14ac:dyDescent="0.25">
      <c r="A8683" s="119"/>
      <c r="B8683" s="138" t="str">
        <f t="shared" si="702"/>
        <v>Aerated Static Pile</v>
      </c>
      <c r="C8683" s="138" t="str">
        <f t="shared" si="703"/>
        <v>Without Amendment</v>
      </c>
      <c r="D8683" s="138" t="s">
        <v>130</v>
      </c>
      <c r="E8683" s="138" t="str">
        <f t="shared" si="699"/>
        <v>Low</v>
      </c>
      <c r="F8683" s="138" t="str">
        <f t="shared" si="704"/>
        <v>Upgraded</v>
      </c>
      <c r="G8683" s="153"/>
      <c r="H8683" s="210">
        <v>0.39460000000000001</v>
      </c>
      <c r="I8683" s="160" t="s">
        <v>55</v>
      </c>
      <c r="J8683" s="160">
        <v>1.6000000000000001E-4</v>
      </c>
      <c r="K8683" s="160" t="s">
        <v>26</v>
      </c>
      <c r="L8683" s="154" t="str">
        <f>IF(OpenLCAbasic!K8683="CTUh", "Fill in Manually",IF(OR(K8683="Unit", K8683=""), "", INDEX(LookUps!$E$5:$E$12, MATCH(OpenLCAbasic!K8683,LookUps!$D$5:$D$12,0))))</f>
        <v>Water Use (WU) - m3 H2O</v>
      </c>
      <c r="M8683" s="154" t="str">
        <f t="shared" si="700"/>
        <v>Low_Base_Upgraded_Water Use (WU) - m3 H2O_Aeration Tanks; wastewater treatment unit; at updated plant - US_Without Amendment_Aerated Static Pile</v>
      </c>
    </row>
    <row r="8684" spans="1:13" s="120" customFormat="1" x14ac:dyDescent="0.25">
      <c r="A8684" s="119"/>
      <c r="B8684" s="138" t="str">
        <f t="shared" si="702"/>
        <v>Aerated Static Pile</v>
      </c>
      <c r="C8684" s="138" t="str">
        <f t="shared" si="703"/>
        <v>Without Amendment</v>
      </c>
      <c r="D8684" s="138" t="s">
        <v>130</v>
      </c>
      <c r="E8684" s="138" t="str">
        <f t="shared" si="699"/>
        <v>Low</v>
      </c>
      <c r="F8684" s="138" t="str">
        <f t="shared" si="704"/>
        <v>Upgraded</v>
      </c>
      <c r="G8684" s="153"/>
      <c r="H8684" s="210">
        <v>0.3594</v>
      </c>
      <c r="I8684" s="160" t="s">
        <v>148</v>
      </c>
      <c r="J8684" s="160">
        <v>1.4999999999999999E-4</v>
      </c>
      <c r="K8684" s="160" t="s">
        <v>26</v>
      </c>
      <c r="L8684" s="154" t="str">
        <f>IF(OpenLCAbasic!K8684="CTUh", "Fill in Manually",IF(OR(K8684="Unit", K8684=""), "", INDEX(LookUps!$E$5:$E$12, MATCH(OpenLCAbasic!K8684,LookUps!$D$5:$D$12,0))))</f>
        <v>Water Use (WU) - m3 H2O</v>
      </c>
      <c r="M8684" s="154" t="str">
        <f t="shared" si="700"/>
        <v>Low_Base_Upgraded_Water Use (WU) - m3 H2O_Control Building; at upgraded wastewater treatment plant - US_Without Amendment_Aerated Static Pile</v>
      </c>
    </row>
    <row r="8685" spans="1:13" s="120" customFormat="1" x14ac:dyDescent="0.25">
      <c r="A8685" s="119"/>
      <c r="B8685" s="138" t="str">
        <f t="shared" si="702"/>
        <v>Aerated Static Pile</v>
      </c>
      <c r="C8685" s="138" t="str">
        <f t="shared" si="703"/>
        <v>Without Amendment</v>
      </c>
      <c r="D8685" s="138" t="s">
        <v>130</v>
      </c>
      <c r="E8685" s="138" t="str">
        <f t="shared" si="699"/>
        <v>Low</v>
      </c>
      <c r="F8685" s="138" t="str">
        <f t="shared" si="704"/>
        <v>Upgraded</v>
      </c>
      <c r="G8685" s="153"/>
      <c r="H8685" s="210">
        <v>0.16689999999999999</v>
      </c>
      <c r="I8685" s="160" t="s">
        <v>48</v>
      </c>
      <c r="J8685" s="211">
        <v>6.8836400000000004E-5</v>
      </c>
      <c r="K8685" s="160" t="s">
        <v>26</v>
      </c>
      <c r="L8685" s="154" t="str">
        <f>IF(OpenLCAbasic!K8685="CTUh", "Fill in Manually",IF(OR(K8685="Unit", K8685=""), "", INDEX(LookUps!$E$5:$E$12, MATCH(OpenLCAbasic!K8685,LookUps!$D$5:$D$12,0))))</f>
        <v>Water Use (WU) - m3 H2O</v>
      </c>
      <c r="M8685" s="154" t="str">
        <f t="shared" si="700"/>
        <v>Low_Base_Upgraded_Water Use (WU) - m3 H2O_Effluent release; wastewater treatment unit; at surface water; m3 wastewater - US_Without Amendment_Aerated Static Pile</v>
      </c>
    </row>
    <row r="8686" spans="1:13" s="120" customFormat="1" x14ac:dyDescent="0.25">
      <c r="A8686" s="119"/>
      <c r="B8686" s="138" t="str">
        <f t="shared" si="702"/>
        <v>Aerated Static Pile</v>
      </c>
      <c r="C8686" s="138" t="str">
        <f t="shared" si="703"/>
        <v>Without Amendment</v>
      </c>
      <c r="D8686" s="138" t="s">
        <v>130</v>
      </c>
      <c r="E8686" s="138" t="str">
        <f t="shared" si="699"/>
        <v>Low</v>
      </c>
      <c r="F8686" s="138" t="str">
        <f t="shared" si="704"/>
        <v>Upgraded</v>
      </c>
      <c r="G8686" s="153"/>
      <c r="H8686" s="210">
        <v>0.1047</v>
      </c>
      <c r="I8686" s="160" t="s">
        <v>58</v>
      </c>
      <c r="J8686" s="211">
        <v>4.3192100000000003E-5</v>
      </c>
      <c r="K8686" s="160" t="s">
        <v>26</v>
      </c>
      <c r="L8686" s="154" t="str">
        <f>IF(OpenLCAbasic!K8686="CTUh", "Fill in Manually",IF(OR(K8686="Unit", K8686=""), "", INDEX(LookUps!$E$5:$E$12, MATCH(OpenLCAbasic!K8686,LookUps!$D$5:$D$12,0))))</f>
        <v>Water Use (WU) - m3 H2O</v>
      </c>
      <c r="M8686" s="154" t="str">
        <f t="shared" si="700"/>
        <v>Low_Base_Upgraded_Water Use (WU) - m3 H2O_Pre-Anoxic &amp; Swing tank; wastewater treatment unit; at updated plant - US_Without Amendment_Aerated Static Pile</v>
      </c>
    </row>
    <row r="8687" spans="1:13" s="120" customFormat="1" x14ac:dyDescent="0.25">
      <c r="A8687" s="119"/>
      <c r="B8687" s="138" t="str">
        <f t="shared" si="702"/>
        <v>Aerated Static Pile</v>
      </c>
      <c r="C8687" s="138" t="str">
        <f t="shared" si="703"/>
        <v>Without Amendment</v>
      </c>
      <c r="D8687" s="138" t="s">
        <v>130</v>
      </c>
      <c r="E8687" s="138" t="str">
        <f t="shared" si="699"/>
        <v>Low</v>
      </c>
      <c r="F8687" s="138" t="str">
        <f t="shared" si="704"/>
        <v>Upgraded</v>
      </c>
      <c r="G8687" s="153"/>
      <c r="H8687" s="210">
        <v>7.3700000000000002E-2</v>
      </c>
      <c r="I8687" s="160" t="s">
        <v>57</v>
      </c>
      <c r="J8687" s="211">
        <v>3.0408100000000001E-5</v>
      </c>
      <c r="K8687" s="160" t="s">
        <v>26</v>
      </c>
      <c r="L8687" s="154" t="str">
        <f>IF(OpenLCAbasic!K8687="CTUh", "Fill in Manually",IF(OR(K8687="Unit", K8687=""), "", INDEX(LookUps!$E$5:$E$12, MATCH(OpenLCAbasic!K8687,LookUps!$D$5:$D$12,0))))</f>
        <v>Water Use (WU) - m3 H2O</v>
      </c>
      <c r="M8687" s="154" t="str">
        <f t="shared" si="700"/>
        <v>Low_Base_Upgraded_Water Use (WU) - m3 H2O_Gravity Belt Thickener; wastewater treatment unit; at updated plant - US_Without Amendment_Aerated Static Pile</v>
      </c>
    </row>
    <row r="8688" spans="1:13" s="120" customFormat="1" x14ac:dyDescent="0.25">
      <c r="A8688" s="119"/>
      <c r="B8688" s="138" t="str">
        <f t="shared" si="702"/>
        <v>Aerated Static Pile</v>
      </c>
      <c r="C8688" s="138" t="str">
        <f t="shared" si="703"/>
        <v>Without Amendment</v>
      </c>
      <c r="D8688" s="138" t="s">
        <v>130</v>
      </c>
      <c r="E8688" s="138" t="str">
        <f t="shared" si="699"/>
        <v>Low</v>
      </c>
      <c r="F8688" s="138" t="str">
        <f t="shared" si="704"/>
        <v>Upgraded</v>
      </c>
      <c r="G8688" s="153"/>
      <c r="H8688" s="210">
        <v>5.3199999999999997E-2</v>
      </c>
      <c r="I8688" s="160" t="s">
        <v>60</v>
      </c>
      <c r="J8688" s="211">
        <v>2.1941099999999999E-5</v>
      </c>
      <c r="K8688" s="160" t="s">
        <v>26</v>
      </c>
      <c r="L8688" s="154" t="str">
        <f>IF(OpenLCAbasic!K8688="CTUh", "Fill in Manually",IF(OR(K8688="Unit", K8688=""), "", INDEX(LookUps!$E$5:$E$12, MATCH(OpenLCAbasic!K8688,LookUps!$D$5:$D$12,0))))</f>
        <v>Water Use (WU) - m3 H2O</v>
      </c>
      <c r="M8688" s="154" t="str">
        <f t="shared" si="700"/>
        <v>Low_Base_Upgraded_Water Use (WU) - m3 H2O_Belt filter press; wastewater treatment unit; at updated plant - US_Without Amendment_Aerated Static Pile</v>
      </c>
    </row>
    <row r="8689" spans="1:13" s="120" customFormat="1" x14ac:dyDescent="0.25">
      <c r="A8689" s="119"/>
      <c r="B8689" s="138" t="str">
        <f t="shared" si="702"/>
        <v>Aerated Static Pile</v>
      </c>
      <c r="C8689" s="138" t="str">
        <f t="shared" si="703"/>
        <v>Without Amendment</v>
      </c>
      <c r="D8689" s="138" t="s">
        <v>130</v>
      </c>
      <c r="E8689" s="138" t="str">
        <f t="shared" ref="E8689:E8695" si="705">IF(ISNUMBER($J8689),"Low","")</f>
        <v>Low</v>
      </c>
      <c r="F8689" s="138" t="str">
        <f t="shared" si="704"/>
        <v>Upgraded</v>
      </c>
      <c r="G8689" s="153"/>
      <c r="H8689" s="210">
        <v>4.24E-2</v>
      </c>
      <c r="I8689" s="160" t="s">
        <v>53</v>
      </c>
      <c r="J8689" s="211">
        <v>1.75069E-5</v>
      </c>
      <c r="K8689" s="160" t="s">
        <v>26</v>
      </c>
      <c r="L8689" s="154" t="str">
        <f>IF(OpenLCAbasic!K8689="CTUh", "Fill in Manually",IF(OR(K8689="Unit", K8689=""), "", INDEX(LookUps!$E$5:$E$12, MATCH(OpenLCAbasic!K8689,LookUps!$D$5:$D$12,0))))</f>
        <v>Water Use (WU) - m3 H2O</v>
      </c>
      <c r="M8689" s="154" t="str">
        <f t="shared" si="700"/>
        <v>Low_Base_Upgraded_Water Use (WU) - m3 H2O_Wet Well and Sump Station; wastewater treatment unit; at updated plant - US_Without Amendment_Aerated Static Pile</v>
      </c>
    </row>
    <row r="8690" spans="1:13" s="120" customFormat="1" x14ac:dyDescent="0.25">
      <c r="A8690" s="119"/>
      <c r="B8690" s="138" t="str">
        <f t="shared" si="702"/>
        <v>Aerated Static Pile</v>
      </c>
      <c r="C8690" s="138" t="str">
        <f t="shared" si="703"/>
        <v>Without Amendment</v>
      </c>
      <c r="D8690" s="138" t="s">
        <v>130</v>
      </c>
      <c r="E8690" s="138" t="str">
        <f t="shared" si="705"/>
        <v>Low</v>
      </c>
      <c r="F8690" s="138" t="str">
        <f t="shared" si="704"/>
        <v>Upgraded</v>
      </c>
      <c r="G8690" s="153"/>
      <c r="H8690" s="210">
        <v>2.93E-2</v>
      </c>
      <c r="I8690" s="160" t="s">
        <v>149</v>
      </c>
      <c r="J8690" s="211">
        <v>1.21043E-5</v>
      </c>
      <c r="K8690" s="160" t="s">
        <v>26</v>
      </c>
      <c r="L8690" s="154" t="str">
        <f>IF(OpenLCAbasic!K8690="CTUh", "Fill in Manually",IF(OR(K8690="Unit", K8690=""), "", INDEX(LookUps!$E$5:$E$12, MATCH(OpenLCAbasic!K8690,LookUps!$D$5:$D$12,0))))</f>
        <v>Water Use (WU) - m3 H2O</v>
      </c>
      <c r="M8690" s="154" t="str">
        <f t="shared" si="700"/>
        <v>Low_Base_Upgraded_Water Use (WU) - m3 H2O_Anaerobic Digestion; wastewater treatment unit; at updated plant - US_Without Amendment_Aerated Static Pile</v>
      </c>
    </row>
    <row r="8691" spans="1:13" s="120" customFormat="1" x14ac:dyDescent="0.25">
      <c r="A8691" s="119"/>
      <c r="B8691" s="138" t="str">
        <f t="shared" si="702"/>
        <v>Aerated Static Pile</v>
      </c>
      <c r="C8691" s="138" t="str">
        <f t="shared" si="703"/>
        <v>Without Amendment</v>
      </c>
      <c r="D8691" s="138" t="s">
        <v>130</v>
      </c>
      <c r="E8691" s="138" t="str">
        <f t="shared" si="705"/>
        <v>Low</v>
      </c>
      <c r="F8691" s="138" t="str">
        <f t="shared" si="704"/>
        <v>Upgraded</v>
      </c>
      <c r="G8691" s="153"/>
      <c r="H8691" s="210">
        <v>1.7000000000000001E-2</v>
      </c>
      <c r="I8691" s="160" t="s">
        <v>59</v>
      </c>
      <c r="J8691" s="211">
        <v>7.0179500000000003E-6</v>
      </c>
      <c r="K8691" s="160" t="s">
        <v>26</v>
      </c>
      <c r="L8691" s="154" t="str">
        <f>IF(OpenLCAbasic!K8691="CTUh", "Fill in Manually",IF(OR(K8691="Unit", K8691=""), "", INDEX(LookUps!$E$5:$E$12, MATCH(OpenLCAbasic!K8691,LookUps!$D$5:$D$12,0))))</f>
        <v>Water Use (WU) - m3 H2O</v>
      </c>
      <c r="M8691" s="154" t="str">
        <f t="shared" si="700"/>
        <v>Low_Base_Upgraded_Water Use (WU) - m3 H2O_Blend Tank; wastewater treatment unit; at updated plant - US_Without Amendment_Aerated Static Pile</v>
      </c>
    </row>
    <row r="8692" spans="1:13" s="120" customFormat="1" x14ac:dyDescent="0.25">
      <c r="A8692" s="119"/>
      <c r="B8692" s="138" t="str">
        <f t="shared" si="702"/>
        <v>Aerated Static Pile</v>
      </c>
      <c r="C8692" s="138" t="str">
        <f t="shared" si="703"/>
        <v>Without Amendment</v>
      </c>
      <c r="D8692" s="138" t="s">
        <v>130</v>
      </c>
      <c r="E8692" s="138" t="str">
        <f t="shared" si="705"/>
        <v>Low</v>
      </c>
      <c r="F8692" s="138" t="str">
        <f t="shared" si="704"/>
        <v>Upgraded</v>
      </c>
      <c r="G8692" s="153"/>
      <c r="H8692" s="210">
        <v>1.46E-2</v>
      </c>
      <c r="I8692" s="160" t="s">
        <v>435</v>
      </c>
      <c r="J8692" s="211">
        <v>6.0069500000000001E-6</v>
      </c>
      <c r="K8692" s="160" t="s">
        <v>26</v>
      </c>
      <c r="L8692" s="154" t="str">
        <f>IF(OpenLCAbasic!K8692="CTUh", "Fill in Manually",IF(OR(K8692="Unit", K8692=""), "", INDEX(LookUps!$E$5:$E$12, MATCH(OpenLCAbasic!K8692,LookUps!$D$5:$D$12,0))))</f>
        <v>Water Use (WU) - m3 H2O</v>
      </c>
      <c r="M8692" s="154" t="str">
        <f t="shared" si="700"/>
        <v>Low_Base_Upgraded_Water Use (WU) - m3 H2O_Biosolids composting; aerated static pile; wastewater treatment unit; at updated plant - US_Without Amendment_Aerated Static Pile</v>
      </c>
    </row>
    <row r="8693" spans="1:13" s="120" customFormat="1" x14ac:dyDescent="0.25">
      <c r="A8693" s="119"/>
      <c r="B8693" s="138" t="str">
        <f t="shared" si="702"/>
        <v>Aerated Static Pile</v>
      </c>
      <c r="C8693" s="138" t="str">
        <f t="shared" si="703"/>
        <v>Without Amendment</v>
      </c>
      <c r="D8693" s="138" t="s">
        <v>130</v>
      </c>
      <c r="E8693" s="138" t="str">
        <f t="shared" si="705"/>
        <v>Low</v>
      </c>
      <c r="F8693" s="138" t="str">
        <f t="shared" si="704"/>
        <v>Upgraded</v>
      </c>
      <c r="G8693" s="153"/>
      <c r="H8693" s="210">
        <v>1.23E-2</v>
      </c>
      <c r="I8693" s="160" t="s">
        <v>128</v>
      </c>
      <c r="J8693" s="211">
        <v>5.0608900000000003E-6</v>
      </c>
      <c r="K8693" s="160" t="s">
        <v>26</v>
      </c>
      <c r="L8693" s="154" t="str">
        <f>IF(OpenLCAbasic!K8693="CTUh", "Fill in Manually",IF(OR(K8693="Unit", K8693=""), "", INDEX(LookUps!$E$5:$E$12, MATCH(OpenLCAbasic!K8693,LookUps!$D$5:$D$12,0))))</f>
        <v>Water Use (WU) - m3 H2O</v>
      </c>
      <c r="M8693" s="154" t="str">
        <f t="shared" si="700"/>
        <v>Low_Base_Upgraded_Water Use (WU) - m3 H2O_Wastewater collection; operation and infrastructure; m3 wastewater_Without Amendment_Aerated Static Pile</v>
      </c>
    </row>
    <row r="8694" spans="1:13" s="120" customFormat="1" x14ac:dyDescent="0.25">
      <c r="A8694" s="119"/>
      <c r="B8694" s="138" t="str">
        <f t="shared" si="702"/>
        <v>Aerated Static Pile</v>
      </c>
      <c r="C8694" s="138" t="str">
        <f t="shared" si="703"/>
        <v>Without Amendment</v>
      </c>
      <c r="D8694" s="138" t="s">
        <v>130</v>
      </c>
      <c r="E8694" s="138" t="str">
        <f t="shared" si="705"/>
        <v>Low</v>
      </c>
      <c r="F8694" s="138" t="str">
        <f t="shared" si="704"/>
        <v>Upgraded</v>
      </c>
      <c r="G8694" s="153"/>
      <c r="H8694" s="210">
        <v>1.9E-3</v>
      </c>
      <c r="I8694" s="160" t="s">
        <v>168</v>
      </c>
      <c r="J8694" s="211">
        <v>7.6697000000000004E-7</v>
      </c>
      <c r="K8694" s="160" t="s">
        <v>26</v>
      </c>
      <c r="L8694" s="154" t="str">
        <f>IF(OpenLCAbasic!K8694="CTUh", "Fill in Manually",IF(OR(K8694="Unit", K8694=""), "", INDEX(LookUps!$E$5:$E$12, MATCH(OpenLCAbasic!K8694,LookUps!$D$5:$D$12,0))))</f>
        <v>Water Use (WU) - m3 H2O</v>
      </c>
      <c r="M8694" s="154" t="str">
        <f t="shared" si="700"/>
        <v>Low_Base_Upgraded_Water Use (WU) - m3 H2O_ClearCove SCP; wastewater treatment unit; at updated plant - US_Without Amendment_Aerated Static Pile</v>
      </c>
    </row>
    <row r="8695" spans="1:13" s="120" customFormat="1" x14ac:dyDescent="0.25">
      <c r="A8695" s="119"/>
      <c r="B8695" s="138" t="str">
        <f t="shared" si="702"/>
        <v>Aerated Static Pile</v>
      </c>
      <c r="C8695" s="138" t="str">
        <f t="shared" si="703"/>
        <v>Without Amendment</v>
      </c>
      <c r="D8695" s="138" t="s">
        <v>130</v>
      </c>
      <c r="E8695" s="138" t="str">
        <f t="shared" si="705"/>
        <v>Low</v>
      </c>
      <c r="F8695" s="138" t="str">
        <f t="shared" si="704"/>
        <v>Upgraded</v>
      </c>
      <c r="G8695" s="153"/>
      <c r="H8695" s="210">
        <v>-1.7141999999999999</v>
      </c>
      <c r="I8695" s="160" t="s">
        <v>62</v>
      </c>
      <c r="J8695" s="160">
        <v>-7.1000000000000002E-4</v>
      </c>
      <c r="K8695" s="160" t="s">
        <v>26</v>
      </c>
      <c r="L8695" s="154" t="str">
        <f>IF(OpenLCAbasic!K8695="CTUh", "Fill in Manually",IF(OR(K8695="Unit", K8695=""), "", INDEX(LookUps!$E$5:$E$12, MATCH(OpenLCAbasic!K8695,LookUps!$D$5:$D$12,0))))</f>
        <v>Water Use (WU) - m3 H2O</v>
      </c>
      <c r="M8695" s="154" t="str">
        <f t="shared" si="700"/>
        <v>Low_Base_Upgraded_Water Use (WU) - m3 H2O_Land application of compost; wastewater treatment unit; at updated plant - US_Without Amendment_Aerated Static Pile</v>
      </c>
    </row>
    <row r="8696" spans="1:13" s="120" customFormat="1" x14ac:dyDescent="0.25">
      <c r="A8696" s="119"/>
      <c r="B8696" s="138" t="str">
        <f t="shared" si="702"/>
        <v/>
      </c>
      <c r="C8696" s="138" t="str">
        <f t="shared" si="703"/>
        <v/>
      </c>
      <c r="D8696" s="138" t="str">
        <f t="shared" si="701"/>
        <v/>
      </c>
      <c r="E8696" s="138" t="str">
        <f>IF(ISNUMBER($J8696),"High","")</f>
        <v/>
      </c>
      <c r="F8696" s="138" t="str">
        <f t="shared" si="704"/>
        <v/>
      </c>
      <c r="G8696" s="153" t="s">
        <v>51</v>
      </c>
      <c r="H8696" s="160"/>
      <c r="I8696" s="160" t="s">
        <v>47</v>
      </c>
      <c r="J8696" s="160" t="s">
        <v>52</v>
      </c>
      <c r="K8696" s="160" t="s">
        <v>27</v>
      </c>
      <c r="L8696" s="154" t="str">
        <f>IF(OpenLCAbasic!K8696="CTUh", "Fill in Manually",IF(OR(K8696="Unit", K8696=""), "", INDEX(LookUps!$E$5:$E$12, MATCH(OpenLCAbasic!K8696,LookUps!$D$5:$D$12,0))))</f>
        <v/>
      </c>
      <c r="M8696" s="154" t="str">
        <f t="shared" si="700"/>
        <v>____Process__</v>
      </c>
    </row>
    <row r="8697" spans="1:13" s="120" customFormat="1" x14ac:dyDescent="0.25">
      <c r="A8697" s="119"/>
      <c r="B8697" s="138" t="str">
        <f t="shared" si="702"/>
        <v>Aerated Static Pile</v>
      </c>
      <c r="C8697" s="138" t="str">
        <f t="shared" si="703"/>
        <v>Without Amendment</v>
      </c>
      <c r="D8697" s="138" t="s">
        <v>130</v>
      </c>
      <c r="E8697" s="138" t="str">
        <f t="shared" ref="E8697:E8760" si="706">IF(ISNUMBER($J8697),"High","")</f>
        <v>High</v>
      </c>
      <c r="F8697" s="138" t="str">
        <f t="shared" si="704"/>
        <v>Upgraded</v>
      </c>
      <c r="G8697" s="153"/>
      <c r="H8697" s="210">
        <v>0.48659999999999998</v>
      </c>
      <c r="I8697" s="160" t="s">
        <v>55</v>
      </c>
      <c r="J8697" s="160">
        <v>1.7219999999999999E-2</v>
      </c>
      <c r="K8697" s="160" t="s">
        <v>24</v>
      </c>
      <c r="L8697" s="154" t="str">
        <f>IF(OpenLCAbasic!K8697="CTUh", "Fill in Manually",IF(OR(K8697="Unit", K8697=""), "", INDEX(LookUps!$E$5:$E$12, MATCH(OpenLCAbasic!K8697,LookUps!$D$5:$D$12,0))))</f>
        <v>Acidification Potential (AP) - kg SO2 eq</v>
      </c>
      <c r="M8697" s="154" t="str">
        <f t="shared" si="700"/>
        <v>High_Base_Upgraded_Acidification Potential (AP) - kg SO2 eq_Aeration Tanks; wastewater treatment unit; at updated plant - US_Without Amendment_Aerated Static Pile</v>
      </c>
    </row>
    <row r="8698" spans="1:13" s="120" customFormat="1" x14ac:dyDescent="0.25">
      <c r="A8698" s="119"/>
      <c r="B8698" s="138" t="str">
        <f t="shared" si="702"/>
        <v>Aerated Static Pile</v>
      </c>
      <c r="C8698" s="138" t="str">
        <f t="shared" si="703"/>
        <v>Without Amendment</v>
      </c>
      <c r="D8698" s="138" t="s">
        <v>130</v>
      </c>
      <c r="E8698" s="138" t="str">
        <f t="shared" si="706"/>
        <v>High</v>
      </c>
      <c r="F8698" s="138" t="str">
        <f t="shared" si="704"/>
        <v>Upgraded</v>
      </c>
      <c r="G8698" s="153"/>
      <c r="H8698" s="210">
        <v>0.14069999999999999</v>
      </c>
      <c r="I8698" s="160" t="s">
        <v>54</v>
      </c>
      <c r="J8698" s="160">
        <v>4.9800000000000001E-3</v>
      </c>
      <c r="K8698" s="160" t="s">
        <v>24</v>
      </c>
      <c r="L8698" s="154" t="str">
        <f>IF(OpenLCAbasic!K8698="CTUh", "Fill in Manually",IF(OR(K8698="Unit", K8698=""), "", INDEX(LookUps!$E$5:$E$12, MATCH(OpenLCAbasic!K8698,LookUps!$D$5:$D$12,0))))</f>
        <v>Acidification Potential (AP) - kg SO2 eq</v>
      </c>
      <c r="M8698" s="154" t="str">
        <f t="shared" si="700"/>
        <v>High_Base_Upgraded_Acidification Potential (AP) - kg SO2 eq_Clear Cove Primary Clarification; wastewater treatment unit; at updated plant - US_Without Amendment_Aerated Static Pile</v>
      </c>
    </row>
    <row r="8699" spans="1:13" s="120" customFormat="1" x14ac:dyDescent="0.25">
      <c r="A8699" s="119"/>
      <c r="B8699" s="138" t="str">
        <f t="shared" si="702"/>
        <v>Aerated Static Pile</v>
      </c>
      <c r="C8699" s="138" t="str">
        <f t="shared" si="703"/>
        <v>Without Amendment</v>
      </c>
      <c r="D8699" s="138" t="s">
        <v>130</v>
      </c>
      <c r="E8699" s="138" t="str">
        <f t="shared" si="706"/>
        <v>High</v>
      </c>
      <c r="F8699" s="138" t="str">
        <f t="shared" si="704"/>
        <v>Upgraded</v>
      </c>
      <c r="G8699" s="153"/>
      <c r="H8699" s="210">
        <v>0.12239999999999999</v>
      </c>
      <c r="I8699" s="160" t="s">
        <v>58</v>
      </c>
      <c r="J8699" s="160">
        <v>4.3299999999999996E-3</v>
      </c>
      <c r="K8699" s="160" t="s">
        <v>24</v>
      </c>
      <c r="L8699" s="154" t="str">
        <f>IF(OpenLCAbasic!K8699="CTUh", "Fill in Manually",IF(OR(K8699="Unit", K8699=""), "", INDEX(LookUps!$E$5:$E$12, MATCH(OpenLCAbasic!K8699,LookUps!$D$5:$D$12,0))))</f>
        <v>Acidification Potential (AP) - kg SO2 eq</v>
      </c>
      <c r="M8699" s="154" t="str">
        <f t="shared" ref="M8699:M8762" si="707">CONCATENATE(E8699,"_",D8699,"_",F8699,"_",L8699, "_",I8699,"_", C8699,"_", B8699)</f>
        <v>High_Base_Upgraded_Acidification Potential (AP) - kg SO2 eq_Pre-Anoxic &amp; Swing tank; wastewater treatment unit; at updated plant - US_Without Amendment_Aerated Static Pile</v>
      </c>
    </row>
    <row r="8700" spans="1:13" s="120" customFormat="1" x14ac:dyDescent="0.25">
      <c r="A8700" s="119"/>
      <c r="B8700" s="138" t="str">
        <f t="shared" si="702"/>
        <v>Aerated Static Pile</v>
      </c>
      <c r="C8700" s="138" t="str">
        <f t="shared" si="703"/>
        <v>Without Amendment</v>
      </c>
      <c r="D8700" s="138" t="s">
        <v>130</v>
      </c>
      <c r="E8700" s="138" t="str">
        <f t="shared" si="706"/>
        <v>High</v>
      </c>
      <c r="F8700" s="138" t="str">
        <f t="shared" si="704"/>
        <v>Upgraded</v>
      </c>
      <c r="G8700" s="153"/>
      <c r="H8700" s="210">
        <v>9.7500000000000003E-2</v>
      </c>
      <c r="I8700" s="160" t="s">
        <v>53</v>
      </c>
      <c r="J8700" s="160">
        <v>3.4499999999999999E-3</v>
      </c>
      <c r="K8700" s="160" t="s">
        <v>24</v>
      </c>
      <c r="L8700" s="154" t="str">
        <f>IF(OpenLCAbasic!K8700="CTUh", "Fill in Manually",IF(OR(K8700="Unit", K8700=""), "", INDEX(LookUps!$E$5:$E$12, MATCH(OpenLCAbasic!K8700,LookUps!$D$5:$D$12,0))))</f>
        <v>Acidification Potential (AP) - kg SO2 eq</v>
      </c>
      <c r="M8700" s="154" t="str">
        <f t="shared" si="707"/>
        <v>High_Base_Upgraded_Acidification Potential (AP) - kg SO2 eq_Wet Well and Sump Station; wastewater treatment unit; at updated plant - US_Without Amendment_Aerated Static Pile</v>
      </c>
    </row>
    <row r="8701" spans="1:13" s="120" customFormat="1" x14ac:dyDescent="0.25">
      <c r="A8701" s="119"/>
      <c r="B8701" s="138" t="str">
        <f t="shared" si="702"/>
        <v>Aerated Static Pile</v>
      </c>
      <c r="C8701" s="138" t="str">
        <f t="shared" si="703"/>
        <v>Without Amendment</v>
      </c>
      <c r="D8701" s="138" t="s">
        <v>130</v>
      </c>
      <c r="E8701" s="138" t="str">
        <f t="shared" si="706"/>
        <v>High</v>
      </c>
      <c r="F8701" s="138" t="str">
        <f t="shared" si="704"/>
        <v>Upgraded</v>
      </c>
      <c r="G8701" s="153"/>
      <c r="H8701" s="210">
        <v>6.7100000000000007E-2</v>
      </c>
      <c r="I8701" s="160" t="s">
        <v>167</v>
      </c>
      <c r="J8701" s="160">
        <v>2.3800000000000002E-3</v>
      </c>
      <c r="K8701" s="160" t="s">
        <v>24</v>
      </c>
      <c r="L8701" s="154" t="str">
        <f>IF(OpenLCAbasic!K8701="CTUh", "Fill in Manually",IF(OR(K8701="Unit", K8701=""), "", INDEX(LookUps!$E$5:$E$12, MATCH(OpenLCAbasic!K8701,LookUps!$D$5:$D$12,0))))</f>
        <v>Acidification Potential (AP) - kg SO2 eq</v>
      </c>
      <c r="M8701" s="154" t="str">
        <f t="shared" si="707"/>
        <v>High_Base_Upgraded_Acidification Potential (AP) - kg SO2 eq_Waste Receiving and Holding; wastewater treatment unit; at updated plant - US_Without Amendment_Aerated Static Pile</v>
      </c>
    </row>
    <row r="8702" spans="1:13" s="120" customFormat="1" x14ac:dyDescent="0.25">
      <c r="A8702" s="119"/>
      <c r="B8702" s="138" t="str">
        <f t="shared" si="702"/>
        <v>Aerated Static Pile</v>
      </c>
      <c r="C8702" s="138" t="str">
        <f t="shared" si="703"/>
        <v>Without Amendment</v>
      </c>
      <c r="D8702" s="138" t="s">
        <v>130</v>
      </c>
      <c r="E8702" s="138" t="str">
        <f t="shared" si="706"/>
        <v>High</v>
      </c>
      <c r="F8702" s="138" t="str">
        <f t="shared" si="704"/>
        <v>Upgraded</v>
      </c>
      <c r="G8702" s="153"/>
      <c r="H8702" s="210">
        <v>5.8500000000000003E-2</v>
      </c>
      <c r="I8702" s="160" t="s">
        <v>147</v>
      </c>
      <c r="J8702" s="160">
        <v>2.0699999999999998E-3</v>
      </c>
      <c r="K8702" s="160" t="s">
        <v>24</v>
      </c>
      <c r="L8702" s="154" t="str">
        <f>IF(OpenLCAbasic!K8702="CTUh", "Fill in Manually",IF(OR(K8702="Unit", K8702=""), "", INDEX(LookUps!$E$5:$E$12, MATCH(OpenLCAbasic!K8702,LookUps!$D$5:$D$12,0))))</f>
        <v>Acidification Potential (AP) - kg SO2 eq</v>
      </c>
      <c r="M8702" s="154" t="str">
        <f t="shared" si="707"/>
        <v>High_Base_Upgraded_Acidification Potential (AP) - kg SO2 eq_Influent Pump Station; wastewater treatment unit; at updated plant - US_Without Amendment_Aerated Static Pile</v>
      </c>
    </row>
    <row r="8703" spans="1:13" s="120" customFormat="1" x14ac:dyDescent="0.25">
      <c r="A8703" s="119"/>
      <c r="B8703" s="138" t="str">
        <f t="shared" si="702"/>
        <v>Aerated Static Pile</v>
      </c>
      <c r="C8703" s="138" t="str">
        <f t="shared" si="703"/>
        <v>Without Amendment</v>
      </c>
      <c r="D8703" s="138" t="s">
        <v>130</v>
      </c>
      <c r="E8703" s="138" t="str">
        <f t="shared" si="706"/>
        <v>High</v>
      </c>
      <c r="F8703" s="138" t="str">
        <f t="shared" si="704"/>
        <v>Upgraded</v>
      </c>
      <c r="G8703" s="153"/>
      <c r="H8703" s="210">
        <v>5.6899999999999999E-2</v>
      </c>
      <c r="I8703" s="160" t="s">
        <v>435</v>
      </c>
      <c r="J8703" s="160">
        <v>2.0100000000000001E-3</v>
      </c>
      <c r="K8703" s="160" t="s">
        <v>24</v>
      </c>
      <c r="L8703" s="154" t="str">
        <f>IF(OpenLCAbasic!K8703="CTUh", "Fill in Manually",IF(OR(K8703="Unit", K8703=""), "", INDEX(LookUps!$E$5:$E$12, MATCH(OpenLCAbasic!K8703,LookUps!$D$5:$D$12,0))))</f>
        <v>Acidification Potential (AP) - kg SO2 eq</v>
      </c>
      <c r="M8703" s="154" t="str">
        <f t="shared" si="707"/>
        <v>High_Base_Upgraded_Acidification Potential (AP) - kg SO2 eq_Biosolids composting; aerated static pile; wastewater treatment unit; at updated plant - US_Without Amendment_Aerated Static Pile</v>
      </c>
    </row>
    <row r="8704" spans="1:13" s="120" customFormat="1" x14ac:dyDescent="0.25">
      <c r="A8704" s="119"/>
      <c r="B8704" s="138" t="str">
        <f t="shared" si="702"/>
        <v>Aerated Static Pile</v>
      </c>
      <c r="C8704" s="138" t="str">
        <f t="shared" si="703"/>
        <v>Without Amendment</v>
      </c>
      <c r="D8704" s="138" t="s">
        <v>130</v>
      </c>
      <c r="E8704" s="138" t="str">
        <f t="shared" si="706"/>
        <v>High</v>
      </c>
      <c r="F8704" s="138" t="str">
        <f t="shared" si="704"/>
        <v>Upgraded</v>
      </c>
      <c r="G8704" s="153"/>
      <c r="H8704" s="210">
        <v>4.3299999999999998E-2</v>
      </c>
      <c r="I8704" s="160" t="s">
        <v>62</v>
      </c>
      <c r="J8704" s="160">
        <v>1.5299999999999999E-3</v>
      </c>
      <c r="K8704" s="160" t="s">
        <v>24</v>
      </c>
      <c r="L8704" s="154" t="str">
        <f>IF(OpenLCAbasic!K8704="CTUh", "Fill in Manually",IF(OR(K8704="Unit", K8704=""), "", INDEX(LookUps!$E$5:$E$12, MATCH(OpenLCAbasic!K8704,LookUps!$D$5:$D$12,0))))</f>
        <v>Acidification Potential (AP) - kg SO2 eq</v>
      </c>
      <c r="M8704" s="154" t="str">
        <f t="shared" si="707"/>
        <v>High_Base_Upgraded_Acidification Potential (AP) - kg SO2 eq_Land application of compost; wastewater treatment unit; at updated plant - US_Without Amendment_Aerated Static Pile</v>
      </c>
    </row>
    <row r="8705" spans="1:13" s="120" customFormat="1" x14ac:dyDescent="0.25">
      <c r="A8705" s="119"/>
      <c r="B8705" s="138" t="str">
        <f t="shared" si="702"/>
        <v>Aerated Static Pile</v>
      </c>
      <c r="C8705" s="138" t="str">
        <f t="shared" si="703"/>
        <v>Without Amendment</v>
      </c>
      <c r="D8705" s="138" t="s">
        <v>130</v>
      </c>
      <c r="E8705" s="138" t="str">
        <f t="shared" si="706"/>
        <v>High</v>
      </c>
      <c r="F8705" s="138" t="str">
        <f t="shared" si="704"/>
        <v>Upgraded</v>
      </c>
      <c r="G8705" s="153"/>
      <c r="H8705" s="210">
        <v>3.4799999999999998E-2</v>
      </c>
      <c r="I8705" s="160" t="s">
        <v>128</v>
      </c>
      <c r="J8705" s="160">
        <v>1.23E-3</v>
      </c>
      <c r="K8705" s="160" t="s">
        <v>24</v>
      </c>
      <c r="L8705" s="154" t="str">
        <f>IF(OpenLCAbasic!K8705="CTUh", "Fill in Manually",IF(OR(K8705="Unit", K8705=""), "", INDEX(LookUps!$E$5:$E$12, MATCH(OpenLCAbasic!K8705,LookUps!$D$5:$D$12,0))))</f>
        <v>Acidification Potential (AP) - kg SO2 eq</v>
      </c>
      <c r="M8705" s="154" t="str">
        <f t="shared" si="707"/>
        <v>High_Base_Upgraded_Acidification Potential (AP) - kg SO2 eq_Wastewater collection; operation and infrastructure; m3 wastewater_Without Amendment_Aerated Static Pile</v>
      </c>
    </row>
    <row r="8706" spans="1:13" s="120" customFormat="1" x14ac:dyDescent="0.25">
      <c r="A8706" s="119"/>
      <c r="B8706" s="138" t="str">
        <f t="shared" si="702"/>
        <v>Aerated Static Pile</v>
      </c>
      <c r="C8706" s="138" t="str">
        <f t="shared" si="703"/>
        <v>Without Amendment</v>
      </c>
      <c r="D8706" s="138" t="s">
        <v>130</v>
      </c>
      <c r="E8706" s="138" t="str">
        <f t="shared" si="706"/>
        <v>High</v>
      </c>
      <c r="F8706" s="138" t="str">
        <f t="shared" si="704"/>
        <v>Upgraded</v>
      </c>
      <c r="G8706" s="153"/>
      <c r="H8706" s="210">
        <v>2.18E-2</v>
      </c>
      <c r="I8706" s="160" t="s">
        <v>60</v>
      </c>
      <c r="J8706" s="160">
        <v>7.6999999999999996E-4</v>
      </c>
      <c r="K8706" s="160" t="s">
        <v>24</v>
      </c>
      <c r="L8706" s="154" t="str">
        <f>IF(OpenLCAbasic!K8706="CTUh", "Fill in Manually",IF(OR(K8706="Unit", K8706=""), "", INDEX(LookUps!$E$5:$E$12, MATCH(OpenLCAbasic!K8706,LookUps!$D$5:$D$12,0))))</f>
        <v>Acidification Potential (AP) - kg SO2 eq</v>
      </c>
      <c r="M8706" s="154" t="str">
        <f t="shared" si="707"/>
        <v>High_Base_Upgraded_Acidification Potential (AP) - kg SO2 eq_Belt filter press; wastewater treatment unit; at updated plant - US_Without Amendment_Aerated Static Pile</v>
      </c>
    </row>
    <row r="8707" spans="1:13" s="120" customFormat="1" x14ac:dyDescent="0.25">
      <c r="A8707" s="119"/>
      <c r="B8707" s="138" t="str">
        <f t="shared" si="702"/>
        <v>Aerated Static Pile</v>
      </c>
      <c r="C8707" s="138" t="str">
        <f t="shared" si="703"/>
        <v>Without Amendment</v>
      </c>
      <c r="D8707" s="138" t="s">
        <v>130</v>
      </c>
      <c r="E8707" s="138" t="str">
        <f t="shared" si="706"/>
        <v>High</v>
      </c>
      <c r="F8707" s="138" t="str">
        <f t="shared" si="704"/>
        <v>Upgraded</v>
      </c>
      <c r="G8707" s="153"/>
      <c r="H8707" s="210">
        <v>1.9900000000000001E-2</v>
      </c>
      <c r="I8707" s="160" t="s">
        <v>57</v>
      </c>
      <c r="J8707" s="160">
        <v>6.9999999999999999E-4</v>
      </c>
      <c r="K8707" s="160" t="s">
        <v>24</v>
      </c>
      <c r="L8707" s="154" t="str">
        <f>IF(OpenLCAbasic!K8707="CTUh", "Fill in Manually",IF(OR(K8707="Unit", K8707=""), "", INDEX(LookUps!$E$5:$E$12, MATCH(OpenLCAbasic!K8707,LookUps!$D$5:$D$12,0))))</f>
        <v>Acidification Potential (AP) - kg SO2 eq</v>
      </c>
      <c r="M8707" s="154" t="str">
        <f t="shared" si="707"/>
        <v>High_Base_Upgraded_Acidification Potential (AP) - kg SO2 eq_Gravity Belt Thickener; wastewater treatment unit; at updated plant - US_Without Amendment_Aerated Static Pile</v>
      </c>
    </row>
    <row r="8708" spans="1:13" s="120" customFormat="1" x14ac:dyDescent="0.25">
      <c r="A8708" s="119"/>
      <c r="B8708" s="138" t="str">
        <f t="shared" si="702"/>
        <v>Aerated Static Pile</v>
      </c>
      <c r="C8708" s="138" t="str">
        <f t="shared" si="703"/>
        <v>Without Amendment</v>
      </c>
      <c r="D8708" s="138" t="s">
        <v>130</v>
      </c>
      <c r="E8708" s="138" t="str">
        <f t="shared" si="706"/>
        <v>High</v>
      </c>
      <c r="F8708" s="138" t="str">
        <f t="shared" si="704"/>
        <v>Upgraded</v>
      </c>
      <c r="G8708" s="153"/>
      <c r="H8708" s="210">
        <v>1.46E-2</v>
      </c>
      <c r="I8708" s="160" t="s">
        <v>59</v>
      </c>
      <c r="J8708" s="160">
        <v>5.1999999999999995E-4</v>
      </c>
      <c r="K8708" s="160" t="s">
        <v>24</v>
      </c>
      <c r="L8708" s="154" t="str">
        <f>IF(OpenLCAbasic!K8708="CTUh", "Fill in Manually",IF(OR(K8708="Unit", K8708=""), "", INDEX(LookUps!$E$5:$E$12, MATCH(OpenLCAbasic!K8708,LookUps!$D$5:$D$12,0))))</f>
        <v>Acidification Potential (AP) - kg SO2 eq</v>
      </c>
      <c r="M8708" s="154" t="str">
        <f t="shared" si="707"/>
        <v>High_Base_Upgraded_Acidification Potential (AP) - kg SO2 eq_Blend Tank; wastewater treatment unit; at updated plant - US_Without Amendment_Aerated Static Pile</v>
      </c>
    </row>
    <row r="8709" spans="1:13" s="120" customFormat="1" x14ac:dyDescent="0.25">
      <c r="A8709" s="119"/>
      <c r="B8709" s="138" t="str">
        <f t="shared" si="702"/>
        <v>Aerated Static Pile</v>
      </c>
      <c r="C8709" s="138" t="str">
        <f t="shared" si="703"/>
        <v>Without Amendment</v>
      </c>
      <c r="D8709" s="138" t="s">
        <v>130</v>
      </c>
      <c r="E8709" s="138" t="str">
        <f t="shared" si="706"/>
        <v>High</v>
      </c>
      <c r="F8709" s="138" t="str">
        <f t="shared" si="704"/>
        <v>Upgraded</v>
      </c>
      <c r="G8709" s="153"/>
      <c r="H8709" s="210">
        <v>9.7999999999999997E-3</v>
      </c>
      <c r="I8709" s="160" t="s">
        <v>48</v>
      </c>
      <c r="J8709" s="160">
        <v>3.5E-4</v>
      </c>
      <c r="K8709" s="160" t="s">
        <v>24</v>
      </c>
      <c r="L8709" s="154" t="str">
        <f>IF(OpenLCAbasic!K8709="CTUh", "Fill in Manually",IF(OR(K8709="Unit", K8709=""), "", INDEX(LookUps!$E$5:$E$12, MATCH(OpenLCAbasic!K8709,LookUps!$D$5:$D$12,0))))</f>
        <v>Acidification Potential (AP) - kg SO2 eq</v>
      </c>
      <c r="M8709" s="154" t="str">
        <f t="shared" si="707"/>
        <v>High_Base_Upgraded_Acidification Potential (AP) - kg SO2 eq_Effluent release; wastewater treatment unit; at surface water; m3 wastewater - US_Without Amendment_Aerated Static Pile</v>
      </c>
    </row>
    <row r="8710" spans="1:13" s="120" customFormat="1" x14ac:dyDescent="0.25">
      <c r="A8710" s="119"/>
      <c r="B8710" s="138" t="str">
        <f t="shared" si="702"/>
        <v>Aerated Static Pile</v>
      </c>
      <c r="C8710" s="138" t="str">
        <f t="shared" si="703"/>
        <v>Without Amendment</v>
      </c>
      <c r="D8710" s="138" t="s">
        <v>130</v>
      </c>
      <c r="E8710" s="138" t="str">
        <f t="shared" si="706"/>
        <v>High</v>
      </c>
      <c r="F8710" s="138" t="str">
        <f t="shared" si="704"/>
        <v>Upgraded</v>
      </c>
      <c r="G8710" s="153"/>
      <c r="H8710" s="210">
        <v>7.1999999999999998E-3</v>
      </c>
      <c r="I8710" s="160" t="s">
        <v>168</v>
      </c>
      <c r="J8710" s="160">
        <v>2.5999999999999998E-4</v>
      </c>
      <c r="K8710" s="160" t="s">
        <v>24</v>
      </c>
      <c r="L8710" s="154" t="str">
        <f>IF(OpenLCAbasic!K8710="CTUh", "Fill in Manually",IF(OR(K8710="Unit", K8710=""), "", INDEX(LookUps!$E$5:$E$12, MATCH(OpenLCAbasic!K8710,LookUps!$D$5:$D$12,0))))</f>
        <v>Acidification Potential (AP) - kg SO2 eq</v>
      </c>
      <c r="M8710" s="154" t="str">
        <f t="shared" si="707"/>
        <v>High_Base_Upgraded_Acidification Potential (AP) - kg SO2 eq_ClearCove SCP; wastewater treatment unit; at updated plant - US_Without Amendment_Aerated Static Pile</v>
      </c>
    </row>
    <row r="8711" spans="1:13" s="120" customFormat="1" x14ac:dyDescent="0.25">
      <c r="A8711" s="119"/>
      <c r="B8711" s="138" t="str">
        <f t="shared" si="702"/>
        <v>Aerated Static Pile</v>
      </c>
      <c r="C8711" s="138" t="str">
        <f t="shared" si="703"/>
        <v>Without Amendment</v>
      </c>
      <c r="D8711" s="138" t="s">
        <v>130</v>
      </c>
      <c r="E8711" s="138" t="str">
        <f t="shared" si="706"/>
        <v>High</v>
      </c>
      <c r="F8711" s="138" t="str">
        <f t="shared" si="704"/>
        <v>Upgraded</v>
      </c>
      <c r="G8711" s="153"/>
      <c r="H8711" s="210">
        <v>1.1000000000000001E-3</v>
      </c>
      <c r="I8711" s="160" t="s">
        <v>148</v>
      </c>
      <c r="J8711" s="211">
        <v>4.0354700000000002E-5</v>
      </c>
      <c r="K8711" s="160" t="s">
        <v>24</v>
      </c>
      <c r="L8711" s="154" t="str">
        <f>IF(OpenLCAbasic!K8711="CTUh", "Fill in Manually",IF(OR(K8711="Unit", K8711=""), "", INDEX(LookUps!$E$5:$E$12, MATCH(OpenLCAbasic!K8711,LookUps!$D$5:$D$12,0))))</f>
        <v>Acidification Potential (AP) - kg SO2 eq</v>
      </c>
      <c r="M8711" s="154" t="str">
        <f t="shared" si="707"/>
        <v>High_Base_Upgraded_Acidification Potential (AP) - kg SO2 eq_Control Building; at upgraded wastewater treatment plant - US_Without Amendment_Aerated Static Pile</v>
      </c>
    </row>
    <row r="8712" spans="1:13" s="120" customFormat="1" x14ac:dyDescent="0.25">
      <c r="A8712" s="119"/>
      <c r="B8712" s="138" t="str">
        <f t="shared" si="702"/>
        <v>Aerated Static Pile</v>
      </c>
      <c r="C8712" s="138" t="str">
        <f t="shared" si="703"/>
        <v>Without Amendment</v>
      </c>
      <c r="D8712" s="138" t="s">
        <v>130</v>
      </c>
      <c r="E8712" s="138" t="str">
        <f t="shared" si="706"/>
        <v>High</v>
      </c>
      <c r="F8712" s="138" t="str">
        <f t="shared" si="704"/>
        <v>Upgraded</v>
      </c>
      <c r="G8712" s="153"/>
      <c r="H8712" s="210">
        <v>-0.1822</v>
      </c>
      <c r="I8712" s="160" t="s">
        <v>149</v>
      </c>
      <c r="J8712" s="160">
        <v>-6.45E-3</v>
      </c>
      <c r="K8712" s="160" t="s">
        <v>24</v>
      </c>
      <c r="L8712" s="154" t="str">
        <f>IF(OpenLCAbasic!K8712="CTUh", "Fill in Manually",IF(OR(K8712="Unit", K8712=""), "", INDEX(LookUps!$E$5:$E$12, MATCH(OpenLCAbasic!K8712,LookUps!$D$5:$D$12,0))))</f>
        <v>Acidification Potential (AP) - kg SO2 eq</v>
      </c>
      <c r="M8712" s="154" t="str">
        <f t="shared" si="707"/>
        <v>High_Base_Upgraded_Acidification Potential (AP) - kg SO2 eq_Anaerobic Digestion; wastewater treatment unit; at updated plant - US_Without Amendment_Aerated Static Pile</v>
      </c>
    </row>
    <row r="8713" spans="1:13" s="120" customFormat="1" x14ac:dyDescent="0.25">
      <c r="A8713" s="119"/>
      <c r="B8713" s="138" t="str">
        <f t="shared" si="702"/>
        <v/>
      </c>
      <c r="C8713" s="138" t="str">
        <f t="shared" si="703"/>
        <v/>
      </c>
      <c r="D8713" s="138" t="str">
        <f t="shared" si="701"/>
        <v/>
      </c>
      <c r="E8713" s="138" t="str">
        <f t="shared" si="706"/>
        <v/>
      </c>
      <c r="F8713" s="138" t="str">
        <f t="shared" si="704"/>
        <v/>
      </c>
      <c r="G8713" s="153" t="s">
        <v>51</v>
      </c>
      <c r="H8713" s="160"/>
      <c r="I8713" s="160" t="s">
        <v>47</v>
      </c>
      <c r="J8713" s="160" t="s">
        <v>52</v>
      </c>
      <c r="K8713" s="160" t="s">
        <v>27</v>
      </c>
      <c r="L8713" s="154" t="str">
        <f>IF(OpenLCAbasic!K8713="CTUh", "Fill in Manually",IF(OR(K8713="Unit", K8713=""), "", INDEX(LookUps!$E$5:$E$12, MATCH(OpenLCAbasic!K8713,LookUps!$D$5:$D$12,0))))</f>
        <v/>
      </c>
      <c r="M8713" s="154" t="str">
        <f t="shared" si="707"/>
        <v>____Process__</v>
      </c>
    </row>
    <row r="8714" spans="1:13" s="120" customFormat="1" x14ac:dyDescent="0.25">
      <c r="A8714" s="119"/>
      <c r="B8714" s="138" t="str">
        <f t="shared" si="702"/>
        <v>Aerated Static Pile</v>
      </c>
      <c r="C8714" s="138" t="str">
        <f t="shared" si="703"/>
        <v>Without Amendment</v>
      </c>
      <c r="D8714" s="138" t="s">
        <v>130</v>
      </c>
      <c r="E8714" s="138" t="str">
        <f t="shared" si="706"/>
        <v>High</v>
      </c>
      <c r="F8714" s="138" t="str">
        <f t="shared" si="704"/>
        <v>Upgraded</v>
      </c>
      <c r="G8714" s="153"/>
      <c r="H8714" s="210">
        <v>0.35120000000000001</v>
      </c>
      <c r="I8714" s="160" t="s">
        <v>55</v>
      </c>
      <c r="J8714" s="160">
        <v>3.5330499999999998</v>
      </c>
      <c r="K8714" s="160" t="s">
        <v>15</v>
      </c>
      <c r="L8714" s="154" t="str">
        <f>IF(OpenLCAbasic!K8714="CTUh", "Fill in Manually",IF(OR(K8714="Unit", K8714=""), "", INDEX(LookUps!$E$5:$E$12, MATCH(OpenLCAbasic!K8714,LookUps!$D$5:$D$12,0))))</f>
        <v>Cumulative Energy Demand (CED) - MJ</v>
      </c>
      <c r="M8714" s="154" t="str">
        <f t="shared" si="707"/>
        <v>High_Base_Upgraded_Cumulative Energy Demand (CED) - MJ_Aeration Tanks; wastewater treatment unit; at updated plant - US_Without Amendment_Aerated Static Pile</v>
      </c>
    </row>
    <row r="8715" spans="1:13" s="120" customFormat="1" x14ac:dyDescent="0.25">
      <c r="A8715" s="119"/>
      <c r="B8715" s="138" t="str">
        <f t="shared" si="702"/>
        <v>Aerated Static Pile</v>
      </c>
      <c r="C8715" s="138" t="str">
        <f t="shared" si="703"/>
        <v>Without Amendment</v>
      </c>
      <c r="D8715" s="138" t="s">
        <v>130</v>
      </c>
      <c r="E8715" s="138" t="str">
        <f t="shared" si="706"/>
        <v>High</v>
      </c>
      <c r="F8715" s="138" t="str">
        <f t="shared" si="704"/>
        <v>Upgraded</v>
      </c>
      <c r="G8715" s="153"/>
      <c r="H8715" s="210">
        <v>0.3478</v>
      </c>
      <c r="I8715" s="160" t="s">
        <v>167</v>
      </c>
      <c r="J8715" s="160">
        <v>3.4982700000000002</v>
      </c>
      <c r="K8715" s="160" t="s">
        <v>15</v>
      </c>
      <c r="L8715" s="154" t="str">
        <f>IF(OpenLCAbasic!K8715="CTUh", "Fill in Manually",IF(OR(K8715="Unit", K8715=""), "", INDEX(LookUps!$E$5:$E$12, MATCH(OpenLCAbasic!K8715,LookUps!$D$5:$D$12,0))))</f>
        <v>Cumulative Energy Demand (CED) - MJ</v>
      </c>
      <c r="M8715" s="154" t="str">
        <f t="shared" si="707"/>
        <v>High_Base_Upgraded_Cumulative Energy Demand (CED) - MJ_Waste Receiving and Holding; wastewater treatment unit; at updated plant - US_Without Amendment_Aerated Static Pile</v>
      </c>
    </row>
    <row r="8716" spans="1:13" s="120" customFormat="1" x14ac:dyDescent="0.25">
      <c r="A8716" s="119"/>
      <c r="B8716" s="138" t="str">
        <f t="shared" si="702"/>
        <v>Aerated Static Pile</v>
      </c>
      <c r="C8716" s="138" t="str">
        <f t="shared" si="703"/>
        <v>Without Amendment</v>
      </c>
      <c r="D8716" s="138" t="s">
        <v>130</v>
      </c>
      <c r="E8716" s="138" t="str">
        <f t="shared" si="706"/>
        <v>High</v>
      </c>
      <c r="F8716" s="138" t="str">
        <f t="shared" si="704"/>
        <v>Upgraded</v>
      </c>
      <c r="G8716" s="153"/>
      <c r="H8716" s="210">
        <v>0.11559999999999999</v>
      </c>
      <c r="I8716" s="160" t="s">
        <v>54</v>
      </c>
      <c r="J8716" s="160">
        <v>1.16289</v>
      </c>
      <c r="K8716" s="160" t="s">
        <v>15</v>
      </c>
      <c r="L8716" s="154" t="str">
        <f>IF(OpenLCAbasic!K8716="CTUh", "Fill in Manually",IF(OR(K8716="Unit", K8716=""), "", INDEX(LookUps!$E$5:$E$12, MATCH(OpenLCAbasic!K8716,LookUps!$D$5:$D$12,0))))</f>
        <v>Cumulative Energy Demand (CED) - MJ</v>
      </c>
      <c r="M8716" s="154" t="str">
        <f t="shared" si="707"/>
        <v>High_Base_Upgraded_Cumulative Energy Demand (CED) - MJ_Clear Cove Primary Clarification; wastewater treatment unit; at updated plant - US_Without Amendment_Aerated Static Pile</v>
      </c>
    </row>
    <row r="8717" spans="1:13" s="120" customFormat="1" x14ac:dyDescent="0.25">
      <c r="A8717" s="119"/>
      <c r="B8717" s="138" t="str">
        <f t="shared" si="702"/>
        <v>Aerated Static Pile</v>
      </c>
      <c r="C8717" s="138" t="str">
        <f t="shared" si="703"/>
        <v>Without Amendment</v>
      </c>
      <c r="D8717" s="138" t="s">
        <v>130</v>
      </c>
      <c r="E8717" s="138" t="str">
        <f t="shared" si="706"/>
        <v>High</v>
      </c>
      <c r="F8717" s="138" t="str">
        <f t="shared" si="704"/>
        <v>Upgraded</v>
      </c>
      <c r="G8717" s="153"/>
      <c r="H8717" s="210">
        <v>8.7900000000000006E-2</v>
      </c>
      <c r="I8717" s="160" t="s">
        <v>58</v>
      </c>
      <c r="J8717" s="160">
        <v>0.88417000000000001</v>
      </c>
      <c r="K8717" s="160" t="s">
        <v>15</v>
      </c>
      <c r="L8717" s="154" t="str">
        <f>IF(OpenLCAbasic!K8717="CTUh", "Fill in Manually",IF(OR(K8717="Unit", K8717=""), "", INDEX(LookUps!$E$5:$E$12, MATCH(OpenLCAbasic!K8717,LookUps!$D$5:$D$12,0))))</f>
        <v>Cumulative Energy Demand (CED) - MJ</v>
      </c>
      <c r="M8717" s="154" t="str">
        <f t="shared" si="707"/>
        <v>High_Base_Upgraded_Cumulative Energy Demand (CED) - MJ_Pre-Anoxic &amp; Swing tank; wastewater treatment unit; at updated plant - US_Without Amendment_Aerated Static Pile</v>
      </c>
    </row>
    <row r="8718" spans="1:13" s="120" customFormat="1" x14ac:dyDescent="0.25">
      <c r="A8718" s="119"/>
      <c r="B8718" s="138" t="str">
        <f t="shared" si="702"/>
        <v>Aerated Static Pile</v>
      </c>
      <c r="C8718" s="138" t="str">
        <f t="shared" si="703"/>
        <v>Without Amendment</v>
      </c>
      <c r="D8718" s="138" t="s">
        <v>130</v>
      </c>
      <c r="E8718" s="138" t="str">
        <f t="shared" si="706"/>
        <v>High</v>
      </c>
      <c r="F8718" s="138" t="str">
        <f t="shared" si="704"/>
        <v>Upgraded</v>
      </c>
      <c r="G8718" s="153"/>
      <c r="H8718" s="210">
        <v>8.7800000000000003E-2</v>
      </c>
      <c r="I8718" s="160" t="s">
        <v>147</v>
      </c>
      <c r="J8718" s="160">
        <v>0.88297000000000003</v>
      </c>
      <c r="K8718" s="160" t="s">
        <v>15</v>
      </c>
      <c r="L8718" s="154" t="str">
        <f>IF(OpenLCAbasic!K8718="CTUh", "Fill in Manually",IF(OR(K8718="Unit", K8718=""), "", INDEX(LookUps!$E$5:$E$12, MATCH(OpenLCAbasic!K8718,LookUps!$D$5:$D$12,0))))</f>
        <v>Cumulative Energy Demand (CED) - MJ</v>
      </c>
      <c r="M8718" s="154" t="str">
        <f t="shared" si="707"/>
        <v>High_Base_Upgraded_Cumulative Energy Demand (CED) - MJ_Influent Pump Station; wastewater treatment unit; at updated plant - US_Without Amendment_Aerated Static Pile</v>
      </c>
    </row>
    <row r="8719" spans="1:13" s="120" customFormat="1" x14ac:dyDescent="0.25">
      <c r="A8719" s="119"/>
      <c r="B8719" s="138" t="str">
        <f t="shared" si="702"/>
        <v>Aerated Static Pile</v>
      </c>
      <c r="C8719" s="138" t="str">
        <f t="shared" si="703"/>
        <v>Without Amendment</v>
      </c>
      <c r="D8719" s="138" t="s">
        <v>130</v>
      </c>
      <c r="E8719" s="138" t="str">
        <f t="shared" si="706"/>
        <v>High</v>
      </c>
      <c r="F8719" s="138" t="str">
        <f t="shared" si="704"/>
        <v>Upgraded</v>
      </c>
      <c r="G8719" s="153"/>
      <c r="H8719" s="210">
        <v>6.9199999999999998E-2</v>
      </c>
      <c r="I8719" s="160" t="s">
        <v>53</v>
      </c>
      <c r="J8719" s="160">
        <v>0.69645000000000001</v>
      </c>
      <c r="K8719" s="160" t="s">
        <v>15</v>
      </c>
      <c r="L8719" s="154" t="str">
        <f>IF(OpenLCAbasic!K8719="CTUh", "Fill in Manually",IF(OR(K8719="Unit", K8719=""), "", INDEX(LookUps!$E$5:$E$12, MATCH(OpenLCAbasic!K8719,LookUps!$D$5:$D$12,0))))</f>
        <v>Cumulative Energy Demand (CED) - MJ</v>
      </c>
      <c r="M8719" s="154" t="str">
        <f t="shared" si="707"/>
        <v>High_Base_Upgraded_Cumulative Energy Demand (CED) - MJ_Wet Well and Sump Station; wastewater treatment unit; at updated plant - US_Without Amendment_Aerated Static Pile</v>
      </c>
    </row>
    <row r="8720" spans="1:13" s="120" customFormat="1" x14ac:dyDescent="0.25">
      <c r="A8720" s="119"/>
      <c r="B8720" s="138" t="str">
        <f t="shared" si="702"/>
        <v>Aerated Static Pile</v>
      </c>
      <c r="C8720" s="138" t="str">
        <f t="shared" si="703"/>
        <v>Without Amendment</v>
      </c>
      <c r="D8720" s="138" t="s">
        <v>130</v>
      </c>
      <c r="E8720" s="138" t="str">
        <f t="shared" si="706"/>
        <v>High</v>
      </c>
      <c r="F8720" s="138" t="str">
        <f t="shared" si="704"/>
        <v>Upgraded</v>
      </c>
      <c r="G8720" s="153"/>
      <c r="H8720" s="210">
        <v>3.4599999999999999E-2</v>
      </c>
      <c r="I8720" s="160" t="s">
        <v>435</v>
      </c>
      <c r="J8720" s="160">
        <v>0.34788999999999998</v>
      </c>
      <c r="K8720" s="160" t="s">
        <v>15</v>
      </c>
      <c r="L8720" s="154" t="str">
        <f>IF(OpenLCAbasic!K8720="CTUh", "Fill in Manually",IF(OR(K8720="Unit", K8720=""), "", INDEX(LookUps!$E$5:$E$12, MATCH(OpenLCAbasic!K8720,LookUps!$D$5:$D$12,0))))</f>
        <v>Cumulative Energy Demand (CED) - MJ</v>
      </c>
      <c r="M8720" s="154" t="str">
        <f t="shared" si="707"/>
        <v>High_Base_Upgraded_Cumulative Energy Demand (CED) - MJ_Biosolids composting; aerated static pile; wastewater treatment unit; at updated plant - US_Without Amendment_Aerated Static Pile</v>
      </c>
    </row>
    <row r="8721" spans="1:13" s="120" customFormat="1" x14ac:dyDescent="0.25">
      <c r="A8721" s="119"/>
      <c r="B8721" s="138" t="str">
        <f t="shared" si="702"/>
        <v>Aerated Static Pile</v>
      </c>
      <c r="C8721" s="138" t="str">
        <f t="shared" si="703"/>
        <v>Without Amendment</v>
      </c>
      <c r="D8721" s="138" t="s">
        <v>130</v>
      </c>
      <c r="E8721" s="138" t="str">
        <f t="shared" si="706"/>
        <v>High</v>
      </c>
      <c r="F8721" s="138" t="str">
        <f t="shared" si="704"/>
        <v>Upgraded</v>
      </c>
      <c r="G8721" s="153"/>
      <c r="H8721" s="210">
        <v>3.32E-2</v>
      </c>
      <c r="I8721" s="160" t="s">
        <v>57</v>
      </c>
      <c r="J8721" s="160">
        <v>0.33404</v>
      </c>
      <c r="K8721" s="160" t="s">
        <v>15</v>
      </c>
      <c r="L8721" s="154" t="str">
        <f>IF(OpenLCAbasic!K8721="CTUh", "Fill in Manually",IF(OR(K8721="Unit", K8721=""), "", INDEX(LookUps!$E$5:$E$12, MATCH(OpenLCAbasic!K8721,LookUps!$D$5:$D$12,0))))</f>
        <v>Cumulative Energy Demand (CED) - MJ</v>
      </c>
      <c r="M8721" s="154" t="str">
        <f t="shared" si="707"/>
        <v>High_Base_Upgraded_Cumulative Energy Demand (CED) - MJ_Gravity Belt Thickener; wastewater treatment unit; at updated plant - US_Without Amendment_Aerated Static Pile</v>
      </c>
    </row>
    <row r="8722" spans="1:13" s="120" customFormat="1" x14ac:dyDescent="0.25">
      <c r="A8722" s="119"/>
      <c r="B8722" s="138" t="str">
        <f t="shared" si="702"/>
        <v>Aerated Static Pile</v>
      </c>
      <c r="C8722" s="138" t="str">
        <f t="shared" si="703"/>
        <v>Without Amendment</v>
      </c>
      <c r="D8722" s="138" t="s">
        <v>130</v>
      </c>
      <c r="E8722" s="138" t="str">
        <f t="shared" si="706"/>
        <v>High</v>
      </c>
      <c r="F8722" s="138" t="str">
        <f t="shared" si="704"/>
        <v>Upgraded</v>
      </c>
      <c r="G8722" s="153"/>
      <c r="H8722" s="210">
        <v>2.87E-2</v>
      </c>
      <c r="I8722" s="160" t="s">
        <v>60</v>
      </c>
      <c r="J8722" s="160">
        <v>0.28833999999999999</v>
      </c>
      <c r="K8722" s="160" t="s">
        <v>15</v>
      </c>
      <c r="L8722" s="154" t="str">
        <f>IF(OpenLCAbasic!K8722="CTUh", "Fill in Manually",IF(OR(K8722="Unit", K8722=""), "", INDEX(LookUps!$E$5:$E$12, MATCH(OpenLCAbasic!K8722,LookUps!$D$5:$D$12,0))))</f>
        <v>Cumulative Energy Demand (CED) - MJ</v>
      </c>
      <c r="M8722" s="154" t="str">
        <f t="shared" si="707"/>
        <v>High_Base_Upgraded_Cumulative Energy Demand (CED) - MJ_Belt filter press; wastewater treatment unit; at updated plant - US_Without Amendment_Aerated Static Pile</v>
      </c>
    </row>
    <row r="8723" spans="1:13" s="120" customFormat="1" x14ac:dyDescent="0.25">
      <c r="A8723" s="119"/>
      <c r="B8723" s="138" t="str">
        <f t="shared" si="702"/>
        <v>Aerated Static Pile</v>
      </c>
      <c r="C8723" s="138" t="str">
        <f t="shared" si="703"/>
        <v>Without Amendment</v>
      </c>
      <c r="D8723" s="138" t="s">
        <v>130</v>
      </c>
      <c r="E8723" s="138" t="str">
        <f t="shared" si="706"/>
        <v>High</v>
      </c>
      <c r="F8723" s="138" t="str">
        <f t="shared" si="704"/>
        <v>Upgraded</v>
      </c>
      <c r="G8723" s="153"/>
      <c r="H8723" s="210">
        <v>2.5499999999999998E-2</v>
      </c>
      <c r="I8723" s="160" t="s">
        <v>128</v>
      </c>
      <c r="J8723" s="160">
        <v>0.25606000000000001</v>
      </c>
      <c r="K8723" s="160" t="s">
        <v>15</v>
      </c>
      <c r="L8723" s="154" t="str">
        <f>IF(OpenLCAbasic!K8723="CTUh", "Fill in Manually",IF(OR(K8723="Unit", K8723=""), "", INDEX(LookUps!$E$5:$E$12, MATCH(OpenLCAbasic!K8723,LookUps!$D$5:$D$12,0))))</f>
        <v>Cumulative Energy Demand (CED) - MJ</v>
      </c>
      <c r="M8723" s="154" t="str">
        <f t="shared" si="707"/>
        <v>High_Base_Upgraded_Cumulative Energy Demand (CED) - MJ_Wastewater collection; operation and infrastructure; m3 wastewater_Without Amendment_Aerated Static Pile</v>
      </c>
    </row>
    <row r="8724" spans="1:13" s="120" customFormat="1" x14ac:dyDescent="0.25">
      <c r="A8724" s="119"/>
      <c r="B8724" s="138" t="str">
        <f t="shared" si="702"/>
        <v>Aerated Static Pile</v>
      </c>
      <c r="C8724" s="138" t="str">
        <f t="shared" si="703"/>
        <v>Without Amendment</v>
      </c>
      <c r="D8724" s="138" t="s">
        <v>130</v>
      </c>
      <c r="E8724" s="138" t="str">
        <f t="shared" si="706"/>
        <v>High</v>
      </c>
      <c r="F8724" s="138" t="str">
        <f t="shared" si="704"/>
        <v>Upgraded</v>
      </c>
      <c r="G8724" s="153"/>
      <c r="H8724" s="210">
        <v>1.4500000000000001E-2</v>
      </c>
      <c r="I8724" s="160" t="s">
        <v>148</v>
      </c>
      <c r="J8724" s="160">
        <v>0.14599000000000001</v>
      </c>
      <c r="K8724" s="160" t="s">
        <v>15</v>
      </c>
      <c r="L8724" s="154" t="str">
        <f>IF(OpenLCAbasic!K8724="CTUh", "Fill in Manually",IF(OR(K8724="Unit", K8724=""), "", INDEX(LookUps!$E$5:$E$12, MATCH(OpenLCAbasic!K8724,LookUps!$D$5:$D$12,0))))</f>
        <v>Cumulative Energy Demand (CED) - MJ</v>
      </c>
      <c r="M8724" s="154" t="str">
        <f t="shared" si="707"/>
        <v>High_Base_Upgraded_Cumulative Energy Demand (CED) - MJ_Control Building; at upgraded wastewater treatment plant - US_Without Amendment_Aerated Static Pile</v>
      </c>
    </row>
    <row r="8725" spans="1:13" s="120" customFormat="1" x14ac:dyDescent="0.25">
      <c r="A8725" s="119"/>
      <c r="B8725" s="138" t="str">
        <f t="shared" si="702"/>
        <v>Aerated Static Pile</v>
      </c>
      <c r="C8725" s="138" t="str">
        <f t="shared" si="703"/>
        <v>Without Amendment</v>
      </c>
      <c r="D8725" s="138" t="s">
        <v>130</v>
      </c>
      <c r="E8725" s="138" t="str">
        <f t="shared" si="706"/>
        <v>High</v>
      </c>
      <c r="F8725" s="138" t="str">
        <f t="shared" si="704"/>
        <v>Upgraded</v>
      </c>
      <c r="G8725" s="153"/>
      <c r="H8725" s="210">
        <v>1.32E-2</v>
      </c>
      <c r="I8725" s="160" t="s">
        <v>48</v>
      </c>
      <c r="J8725" s="160">
        <v>0.13321</v>
      </c>
      <c r="K8725" s="160" t="s">
        <v>15</v>
      </c>
      <c r="L8725" s="154" t="str">
        <f>IF(OpenLCAbasic!K8725="CTUh", "Fill in Manually",IF(OR(K8725="Unit", K8725=""), "", INDEX(LookUps!$E$5:$E$12, MATCH(OpenLCAbasic!K8725,LookUps!$D$5:$D$12,0))))</f>
        <v>Cumulative Energy Demand (CED) - MJ</v>
      </c>
      <c r="M8725" s="154" t="str">
        <f t="shared" si="707"/>
        <v>High_Base_Upgraded_Cumulative Energy Demand (CED) - MJ_Effluent release; wastewater treatment unit; at surface water; m3 wastewater - US_Without Amendment_Aerated Static Pile</v>
      </c>
    </row>
    <row r="8726" spans="1:13" s="120" customFormat="1" x14ac:dyDescent="0.25">
      <c r="A8726" s="119"/>
      <c r="B8726" s="138" t="str">
        <f t="shared" si="702"/>
        <v>Aerated Static Pile</v>
      </c>
      <c r="C8726" s="138" t="str">
        <f t="shared" si="703"/>
        <v>Without Amendment</v>
      </c>
      <c r="D8726" s="138" t="s">
        <v>130</v>
      </c>
      <c r="E8726" s="138" t="str">
        <f t="shared" si="706"/>
        <v>High</v>
      </c>
      <c r="F8726" s="138" t="str">
        <f t="shared" si="704"/>
        <v>Upgraded</v>
      </c>
      <c r="G8726" s="153"/>
      <c r="H8726" s="210">
        <v>1.06E-2</v>
      </c>
      <c r="I8726" s="160" t="s">
        <v>59</v>
      </c>
      <c r="J8726" s="160">
        <v>0.10638</v>
      </c>
      <c r="K8726" s="160" t="s">
        <v>15</v>
      </c>
      <c r="L8726" s="154" t="str">
        <f>IF(OpenLCAbasic!K8726="CTUh", "Fill in Manually",IF(OR(K8726="Unit", K8726=""), "", INDEX(LookUps!$E$5:$E$12, MATCH(OpenLCAbasic!K8726,LookUps!$D$5:$D$12,0))))</f>
        <v>Cumulative Energy Demand (CED) - MJ</v>
      </c>
      <c r="M8726" s="154" t="str">
        <f t="shared" si="707"/>
        <v>High_Base_Upgraded_Cumulative Energy Demand (CED) - MJ_Blend Tank; wastewater treatment unit; at updated plant - US_Without Amendment_Aerated Static Pile</v>
      </c>
    </row>
    <row r="8727" spans="1:13" s="120" customFormat="1" x14ac:dyDescent="0.25">
      <c r="A8727" s="119"/>
      <c r="B8727" s="138" t="str">
        <f t="shared" si="702"/>
        <v>Aerated Static Pile</v>
      </c>
      <c r="C8727" s="138" t="str">
        <f t="shared" si="703"/>
        <v>Without Amendment</v>
      </c>
      <c r="D8727" s="138" t="s">
        <v>130</v>
      </c>
      <c r="E8727" s="138" t="str">
        <f t="shared" si="706"/>
        <v>High</v>
      </c>
      <c r="F8727" s="138" t="str">
        <f t="shared" si="704"/>
        <v>Upgraded</v>
      </c>
      <c r="G8727" s="153"/>
      <c r="H8727" s="210">
        <v>5.1000000000000004E-3</v>
      </c>
      <c r="I8727" s="160" t="s">
        <v>168</v>
      </c>
      <c r="J8727" s="160">
        <v>5.0930000000000003E-2</v>
      </c>
      <c r="K8727" s="160" t="s">
        <v>15</v>
      </c>
      <c r="L8727" s="154" t="str">
        <f>IF(OpenLCAbasic!K8727="CTUh", "Fill in Manually",IF(OR(K8727="Unit", K8727=""), "", INDEX(LookUps!$E$5:$E$12, MATCH(OpenLCAbasic!K8727,LookUps!$D$5:$D$12,0))))</f>
        <v>Cumulative Energy Demand (CED) - MJ</v>
      </c>
      <c r="M8727" s="154" t="str">
        <f t="shared" si="707"/>
        <v>High_Base_Upgraded_Cumulative Energy Demand (CED) - MJ_ClearCove SCP; wastewater treatment unit; at updated plant - US_Without Amendment_Aerated Static Pile</v>
      </c>
    </row>
    <row r="8728" spans="1:13" s="120" customFormat="1" x14ac:dyDescent="0.25">
      <c r="A8728" s="119"/>
      <c r="B8728" s="138" t="str">
        <f t="shared" si="702"/>
        <v>Aerated Static Pile</v>
      </c>
      <c r="C8728" s="138" t="str">
        <f t="shared" si="703"/>
        <v>Without Amendment</v>
      </c>
      <c r="D8728" s="138" t="s">
        <v>130</v>
      </c>
      <c r="E8728" s="138" t="str">
        <f t="shared" si="706"/>
        <v>High</v>
      </c>
      <c r="F8728" s="138" t="str">
        <f t="shared" si="704"/>
        <v>Upgraded</v>
      </c>
      <c r="G8728" s="153"/>
      <c r="H8728" s="210">
        <v>-2.6200000000000001E-2</v>
      </c>
      <c r="I8728" s="160" t="s">
        <v>62</v>
      </c>
      <c r="J8728" s="160">
        <v>-0.26350000000000001</v>
      </c>
      <c r="K8728" s="160" t="s">
        <v>15</v>
      </c>
      <c r="L8728" s="154" t="str">
        <f>IF(OpenLCAbasic!K8728="CTUh", "Fill in Manually",IF(OR(K8728="Unit", K8728=""), "", INDEX(LookUps!$E$5:$E$12, MATCH(OpenLCAbasic!K8728,LookUps!$D$5:$D$12,0))))</f>
        <v>Cumulative Energy Demand (CED) - MJ</v>
      </c>
      <c r="M8728" s="154" t="str">
        <f t="shared" si="707"/>
        <v>High_Base_Upgraded_Cumulative Energy Demand (CED) - MJ_Land application of compost; wastewater treatment unit; at updated plant - US_Without Amendment_Aerated Static Pile</v>
      </c>
    </row>
    <row r="8729" spans="1:13" s="120" customFormat="1" x14ac:dyDescent="0.25">
      <c r="A8729" s="119"/>
      <c r="B8729" s="138" t="str">
        <f t="shared" si="702"/>
        <v>Aerated Static Pile</v>
      </c>
      <c r="C8729" s="138" t="str">
        <f t="shared" si="703"/>
        <v>Without Amendment</v>
      </c>
      <c r="D8729" s="138" t="s">
        <v>130</v>
      </c>
      <c r="E8729" s="138" t="str">
        <f t="shared" si="706"/>
        <v>High</v>
      </c>
      <c r="F8729" s="138" t="str">
        <f t="shared" si="704"/>
        <v>Upgraded</v>
      </c>
      <c r="G8729" s="153"/>
      <c r="H8729" s="210">
        <v>-0.1986</v>
      </c>
      <c r="I8729" s="160" t="s">
        <v>149</v>
      </c>
      <c r="J8729" s="160">
        <v>-1.99752</v>
      </c>
      <c r="K8729" s="160" t="s">
        <v>15</v>
      </c>
      <c r="L8729" s="154" t="str">
        <f>IF(OpenLCAbasic!K8729="CTUh", "Fill in Manually",IF(OR(K8729="Unit", K8729=""), "", INDEX(LookUps!$E$5:$E$12, MATCH(OpenLCAbasic!K8729,LookUps!$D$5:$D$12,0))))</f>
        <v>Cumulative Energy Demand (CED) - MJ</v>
      </c>
      <c r="M8729" s="154" t="str">
        <f t="shared" si="707"/>
        <v>High_Base_Upgraded_Cumulative Energy Demand (CED) - MJ_Anaerobic Digestion; wastewater treatment unit; at updated plant - US_Without Amendment_Aerated Static Pile</v>
      </c>
    </row>
    <row r="8730" spans="1:13" s="120" customFormat="1" x14ac:dyDescent="0.25">
      <c r="A8730" s="119"/>
      <c r="B8730" s="138" t="str">
        <f t="shared" si="702"/>
        <v/>
      </c>
      <c r="C8730" s="138" t="str">
        <f t="shared" si="703"/>
        <v/>
      </c>
      <c r="D8730" s="138" t="str">
        <f t="shared" ref="D8730:D8781" si="708">IF(ISNUMBER($J8730),"Base_Base","")</f>
        <v/>
      </c>
      <c r="E8730" s="138" t="str">
        <f t="shared" si="706"/>
        <v/>
      </c>
      <c r="F8730" s="138" t="str">
        <f t="shared" si="704"/>
        <v/>
      </c>
      <c r="G8730" s="153" t="s">
        <v>51</v>
      </c>
      <c r="H8730" s="160"/>
      <c r="I8730" s="160" t="s">
        <v>47</v>
      </c>
      <c r="J8730" s="160" t="s">
        <v>52</v>
      </c>
      <c r="K8730" s="160" t="s">
        <v>27</v>
      </c>
      <c r="L8730" s="154" t="str">
        <f>IF(OpenLCAbasic!K8730="CTUh", "Fill in Manually",IF(OR(K8730="Unit", K8730=""), "", INDEX(LookUps!$E$5:$E$12, MATCH(OpenLCAbasic!K8730,LookUps!$D$5:$D$12,0))))</f>
        <v/>
      </c>
      <c r="M8730" s="154" t="str">
        <f t="shared" si="707"/>
        <v>____Process__</v>
      </c>
    </row>
    <row r="8731" spans="1:13" s="120" customFormat="1" x14ac:dyDescent="0.25">
      <c r="A8731" s="119"/>
      <c r="B8731" s="138" t="str">
        <f t="shared" si="702"/>
        <v>Aerated Static Pile</v>
      </c>
      <c r="C8731" s="138" t="str">
        <f t="shared" si="703"/>
        <v>Without Amendment</v>
      </c>
      <c r="D8731" s="138" t="s">
        <v>130</v>
      </c>
      <c r="E8731" s="138" t="str">
        <f t="shared" si="706"/>
        <v>High</v>
      </c>
      <c r="F8731" s="138" t="str">
        <f t="shared" si="704"/>
        <v>Upgraded</v>
      </c>
      <c r="G8731" s="153"/>
      <c r="H8731" s="210">
        <v>0.80979999999999996</v>
      </c>
      <c r="I8731" s="160" t="s">
        <v>48</v>
      </c>
      <c r="J8731" s="160">
        <v>1.1610000000000001E-2</v>
      </c>
      <c r="K8731" s="160" t="s">
        <v>13</v>
      </c>
      <c r="L8731" s="154" t="str">
        <f>IF(OpenLCAbasic!K8731="CTUh", "Fill in Manually",IF(OR(K8731="Unit", K8731=""), "", INDEX(LookUps!$E$5:$E$12, MATCH(OpenLCAbasic!K8731,LookUps!$D$5:$D$12,0))))</f>
        <v>Eutrophication Potential (EP) - kg N eq</v>
      </c>
      <c r="M8731" s="154" t="str">
        <f t="shared" si="707"/>
        <v>High_Base_Upgraded_Eutrophication Potential (EP) - kg N eq_Effluent release; wastewater treatment unit; at surface water; m3 wastewater - US_Without Amendment_Aerated Static Pile</v>
      </c>
    </row>
    <row r="8732" spans="1:13" s="120" customFormat="1" x14ac:dyDescent="0.25">
      <c r="A8732" s="119"/>
      <c r="B8732" s="138" t="str">
        <f t="shared" si="702"/>
        <v>Aerated Static Pile</v>
      </c>
      <c r="C8732" s="138" t="str">
        <f t="shared" si="703"/>
        <v>Without Amendment</v>
      </c>
      <c r="D8732" s="138" t="s">
        <v>130</v>
      </c>
      <c r="E8732" s="138" t="str">
        <f t="shared" si="706"/>
        <v>High</v>
      </c>
      <c r="F8732" s="138" t="str">
        <f t="shared" si="704"/>
        <v>Upgraded</v>
      </c>
      <c r="G8732" s="153"/>
      <c r="H8732" s="210">
        <v>8.6499999999999994E-2</v>
      </c>
      <c r="I8732" s="160" t="s">
        <v>62</v>
      </c>
      <c r="J8732" s="160">
        <v>1.24E-3</v>
      </c>
      <c r="K8732" s="160" t="s">
        <v>13</v>
      </c>
      <c r="L8732" s="154" t="str">
        <f>IF(OpenLCAbasic!K8732="CTUh", "Fill in Manually",IF(OR(K8732="Unit", K8732=""), "", INDEX(LookUps!$E$5:$E$12, MATCH(OpenLCAbasic!K8732,LookUps!$D$5:$D$12,0))))</f>
        <v>Eutrophication Potential (EP) - kg N eq</v>
      </c>
      <c r="M8732" s="154" t="str">
        <f t="shared" si="707"/>
        <v>High_Base_Upgraded_Eutrophication Potential (EP) - kg N eq_Land application of compost; wastewater treatment unit; at updated plant - US_Without Amendment_Aerated Static Pile</v>
      </c>
    </row>
    <row r="8733" spans="1:13" s="120" customFormat="1" x14ac:dyDescent="0.25">
      <c r="A8733" s="119"/>
      <c r="B8733" s="138" t="str">
        <f t="shared" si="702"/>
        <v>Aerated Static Pile</v>
      </c>
      <c r="C8733" s="138" t="str">
        <f t="shared" si="703"/>
        <v>Without Amendment</v>
      </c>
      <c r="D8733" s="138" t="s">
        <v>130</v>
      </c>
      <c r="E8733" s="138" t="str">
        <f t="shared" si="706"/>
        <v>High</v>
      </c>
      <c r="F8733" s="138" t="str">
        <f t="shared" si="704"/>
        <v>Upgraded</v>
      </c>
      <c r="G8733" s="153"/>
      <c r="H8733" s="210">
        <v>3.8100000000000002E-2</v>
      </c>
      <c r="I8733" s="160" t="s">
        <v>55</v>
      </c>
      <c r="J8733" s="160">
        <v>5.5000000000000003E-4</v>
      </c>
      <c r="K8733" s="160" t="s">
        <v>13</v>
      </c>
      <c r="L8733" s="154" t="str">
        <f>IF(OpenLCAbasic!K8733="CTUh", "Fill in Manually",IF(OR(K8733="Unit", K8733=""), "", INDEX(LookUps!$E$5:$E$12, MATCH(OpenLCAbasic!K8733,LookUps!$D$5:$D$12,0))))</f>
        <v>Eutrophication Potential (EP) - kg N eq</v>
      </c>
      <c r="M8733" s="154" t="str">
        <f t="shared" si="707"/>
        <v>High_Base_Upgraded_Eutrophication Potential (EP) - kg N eq_Aeration Tanks; wastewater treatment unit; at updated plant - US_Without Amendment_Aerated Static Pile</v>
      </c>
    </row>
    <row r="8734" spans="1:13" s="120" customFormat="1" x14ac:dyDescent="0.25">
      <c r="A8734" s="119"/>
      <c r="B8734" s="138" t="str">
        <f t="shared" si="702"/>
        <v>Aerated Static Pile</v>
      </c>
      <c r="C8734" s="138" t="str">
        <f t="shared" si="703"/>
        <v>Without Amendment</v>
      </c>
      <c r="D8734" s="138" t="s">
        <v>130</v>
      </c>
      <c r="E8734" s="138" t="str">
        <f t="shared" si="706"/>
        <v>High</v>
      </c>
      <c r="F8734" s="138" t="str">
        <f t="shared" si="704"/>
        <v>Upgraded</v>
      </c>
      <c r="G8734" s="153"/>
      <c r="H8734" s="210">
        <v>1.7399999999999999E-2</v>
      </c>
      <c r="I8734" s="160" t="s">
        <v>147</v>
      </c>
      <c r="J8734" s="160">
        <v>2.5000000000000001E-4</v>
      </c>
      <c r="K8734" s="160" t="s">
        <v>13</v>
      </c>
      <c r="L8734" s="154" t="str">
        <f>IF(OpenLCAbasic!K8734="CTUh", "Fill in Manually",IF(OR(K8734="Unit", K8734=""), "", INDEX(LookUps!$E$5:$E$12, MATCH(OpenLCAbasic!K8734,LookUps!$D$5:$D$12,0))))</f>
        <v>Eutrophication Potential (EP) - kg N eq</v>
      </c>
      <c r="M8734" s="154" t="str">
        <f t="shared" si="707"/>
        <v>High_Base_Upgraded_Eutrophication Potential (EP) - kg N eq_Influent Pump Station; wastewater treatment unit; at updated plant - US_Without Amendment_Aerated Static Pile</v>
      </c>
    </row>
    <row r="8735" spans="1:13" s="120" customFormat="1" x14ac:dyDescent="0.25">
      <c r="A8735" s="119"/>
      <c r="B8735" s="138" t="str">
        <f t="shared" si="702"/>
        <v>Aerated Static Pile</v>
      </c>
      <c r="C8735" s="138" t="str">
        <f t="shared" si="703"/>
        <v>Without Amendment</v>
      </c>
      <c r="D8735" s="138" t="s">
        <v>130</v>
      </c>
      <c r="E8735" s="138" t="str">
        <f t="shared" si="706"/>
        <v>High</v>
      </c>
      <c r="F8735" s="138" t="str">
        <f t="shared" si="704"/>
        <v>Upgraded</v>
      </c>
      <c r="G8735" s="153"/>
      <c r="H8735" s="210">
        <v>1.38E-2</v>
      </c>
      <c r="I8735" s="160" t="s">
        <v>54</v>
      </c>
      <c r="J8735" s="160">
        <v>2.0000000000000001E-4</v>
      </c>
      <c r="K8735" s="160" t="s">
        <v>13</v>
      </c>
      <c r="L8735" s="154" t="str">
        <f>IF(OpenLCAbasic!K8735="CTUh", "Fill in Manually",IF(OR(K8735="Unit", K8735=""), "", INDEX(LookUps!$E$5:$E$12, MATCH(OpenLCAbasic!K8735,LookUps!$D$5:$D$12,0))))</f>
        <v>Eutrophication Potential (EP) - kg N eq</v>
      </c>
      <c r="M8735" s="154" t="str">
        <f t="shared" si="707"/>
        <v>High_Base_Upgraded_Eutrophication Potential (EP) - kg N eq_Clear Cove Primary Clarification; wastewater treatment unit; at updated plant - US_Without Amendment_Aerated Static Pile</v>
      </c>
    </row>
    <row r="8736" spans="1:13" s="120" customFormat="1" x14ac:dyDescent="0.25">
      <c r="A8736" s="119"/>
      <c r="B8736" s="138" t="str">
        <f t="shared" si="702"/>
        <v>Aerated Static Pile</v>
      </c>
      <c r="C8736" s="138" t="str">
        <f t="shared" si="703"/>
        <v>Without Amendment</v>
      </c>
      <c r="D8736" s="138" t="s">
        <v>130</v>
      </c>
      <c r="E8736" s="138" t="str">
        <f t="shared" si="706"/>
        <v>High</v>
      </c>
      <c r="F8736" s="138" t="str">
        <f t="shared" si="704"/>
        <v>Upgraded</v>
      </c>
      <c r="G8736" s="153"/>
      <c r="H8736" s="210">
        <v>1.14E-2</v>
      </c>
      <c r="I8736" s="160" t="s">
        <v>167</v>
      </c>
      <c r="J8736" s="160">
        <v>1.6000000000000001E-4</v>
      </c>
      <c r="K8736" s="160" t="s">
        <v>13</v>
      </c>
      <c r="L8736" s="154" t="str">
        <f>IF(OpenLCAbasic!K8736="CTUh", "Fill in Manually",IF(OR(K8736="Unit", K8736=""), "", INDEX(LookUps!$E$5:$E$12, MATCH(OpenLCAbasic!K8736,LookUps!$D$5:$D$12,0))))</f>
        <v>Eutrophication Potential (EP) - kg N eq</v>
      </c>
      <c r="M8736" s="154" t="str">
        <f t="shared" si="707"/>
        <v>High_Base_Upgraded_Eutrophication Potential (EP) - kg N eq_Waste Receiving and Holding; wastewater treatment unit; at updated plant - US_Without Amendment_Aerated Static Pile</v>
      </c>
    </row>
    <row r="8737" spans="1:13" s="120" customFormat="1" x14ac:dyDescent="0.25">
      <c r="A8737" s="119"/>
      <c r="B8737" s="138" t="str">
        <f t="shared" si="702"/>
        <v>Aerated Static Pile</v>
      </c>
      <c r="C8737" s="138" t="str">
        <f t="shared" si="703"/>
        <v>Without Amendment</v>
      </c>
      <c r="D8737" s="138" t="s">
        <v>130</v>
      </c>
      <c r="E8737" s="138" t="str">
        <f t="shared" si="706"/>
        <v>High</v>
      </c>
      <c r="F8737" s="138" t="str">
        <f t="shared" si="704"/>
        <v>Upgraded</v>
      </c>
      <c r="G8737" s="153"/>
      <c r="H8737" s="210">
        <v>9.4000000000000004E-3</v>
      </c>
      <c r="I8737" s="160" t="s">
        <v>58</v>
      </c>
      <c r="J8737" s="160">
        <v>1.3999999999999999E-4</v>
      </c>
      <c r="K8737" s="160" t="s">
        <v>13</v>
      </c>
      <c r="L8737" s="154" t="str">
        <f>IF(OpenLCAbasic!K8737="CTUh", "Fill in Manually",IF(OR(K8737="Unit", K8737=""), "", INDEX(LookUps!$E$5:$E$12, MATCH(OpenLCAbasic!K8737,LookUps!$D$5:$D$12,0))))</f>
        <v>Eutrophication Potential (EP) - kg N eq</v>
      </c>
      <c r="M8737" s="154" t="str">
        <f t="shared" si="707"/>
        <v>High_Base_Upgraded_Eutrophication Potential (EP) - kg N eq_Pre-Anoxic &amp; Swing tank; wastewater treatment unit; at updated plant - US_Without Amendment_Aerated Static Pile</v>
      </c>
    </row>
    <row r="8738" spans="1:13" s="120" customFormat="1" x14ac:dyDescent="0.25">
      <c r="A8738" s="119"/>
      <c r="B8738" s="138" t="str">
        <f t="shared" si="702"/>
        <v>Aerated Static Pile</v>
      </c>
      <c r="C8738" s="138" t="str">
        <f t="shared" si="703"/>
        <v>Without Amendment</v>
      </c>
      <c r="D8738" s="138" t="s">
        <v>130</v>
      </c>
      <c r="E8738" s="138" t="str">
        <f t="shared" si="706"/>
        <v>High</v>
      </c>
      <c r="F8738" s="138" t="str">
        <f t="shared" si="704"/>
        <v>Upgraded</v>
      </c>
      <c r="G8738" s="153"/>
      <c r="H8738" s="210">
        <v>7.4999999999999997E-3</v>
      </c>
      <c r="I8738" s="160" t="s">
        <v>53</v>
      </c>
      <c r="J8738" s="160">
        <v>1.1E-4</v>
      </c>
      <c r="K8738" s="160" t="s">
        <v>13</v>
      </c>
      <c r="L8738" s="154" t="str">
        <f>IF(OpenLCAbasic!K8738="CTUh", "Fill in Manually",IF(OR(K8738="Unit", K8738=""), "", INDEX(LookUps!$E$5:$E$12, MATCH(OpenLCAbasic!K8738,LookUps!$D$5:$D$12,0))))</f>
        <v>Eutrophication Potential (EP) - kg N eq</v>
      </c>
      <c r="M8738" s="154" t="str">
        <f t="shared" si="707"/>
        <v>High_Base_Upgraded_Eutrophication Potential (EP) - kg N eq_Wet Well and Sump Station; wastewater treatment unit; at updated plant - US_Without Amendment_Aerated Static Pile</v>
      </c>
    </row>
    <row r="8739" spans="1:13" s="120" customFormat="1" x14ac:dyDescent="0.25">
      <c r="A8739" s="119"/>
      <c r="B8739" s="138" t="str">
        <f t="shared" si="702"/>
        <v>Aerated Static Pile</v>
      </c>
      <c r="C8739" s="138" t="str">
        <f t="shared" si="703"/>
        <v>Without Amendment</v>
      </c>
      <c r="D8739" s="138" t="s">
        <v>130</v>
      </c>
      <c r="E8739" s="138" t="str">
        <f t="shared" si="706"/>
        <v>High</v>
      </c>
      <c r="F8739" s="138" t="str">
        <f t="shared" si="704"/>
        <v>Upgraded</v>
      </c>
      <c r="G8739" s="153"/>
      <c r="H8739" s="210">
        <v>5.1000000000000004E-3</v>
      </c>
      <c r="I8739" s="160" t="s">
        <v>435</v>
      </c>
      <c r="J8739" s="211">
        <v>7.3007699999999996E-5</v>
      </c>
      <c r="K8739" s="160" t="s">
        <v>13</v>
      </c>
      <c r="L8739" s="154" t="str">
        <f>IF(OpenLCAbasic!K8739="CTUh", "Fill in Manually",IF(OR(K8739="Unit", K8739=""), "", INDEX(LookUps!$E$5:$E$12, MATCH(OpenLCAbasic!K8739,LookUps!$D$5:$D$12,0))))</f>
        <v>Eutrophication Potential (EP) - kg N eq</v>
      </c>
      <c r="M8739" s="154" t="str">
        <f t="shared" si="707"/>
        <v>High_Base_Upgraded_Eutrophication Potential (EP) - kg N eq_Biosolids composting; aerated static pile; wastewater treatment unit; at updated plant - US_Without Amendment_Aerated Static Pile</v>
      </c>
    </row>
    <row r="8740" spans="1:13" s="120" customFormat="1" x14ac:dyDescent="0.25">
      <c r="A8740" s="119"/>
      <c r="B8740" s="138" t="str">
        <f t="shared" si="702"/>
        <v>Aerated Static Pile</v>
      </c>
      <c r="C8740" s="138" t="str">
        <f t="shared" si="703"/>
        <v>Without Amendment</v>
      </c>
      <c r="D8740" s="138" t="s">
        <v>130</v>
      </c>
      <c r="E8740" s="138" t="str">
        <f t="shared" si="706"/>
        <v>High</v>
      </c>
      <c r="F8740" s="138" t="str">
        <f t="shared" si="704"/>
        <v>Upgraded</v>
      </c>
      <c r="G8740" s="153"/>
      <c r="H8740" s="210">
        <v>4.1999999999999997E-3</v>
      </c>
      <c r="I8740" s="160" t="s">
        <v>57</v>
      </c>
      <c r="J8740" s="211">
        <v>6.0590300000000002E-5</v>
      </c>
      <c r="K8740" s="160" t="s">
        <v>13</v>
      </c>
      <c r="L8740" s="154" t="str">
        <f>IF(OpenLCAbasic!K8740="CTUh", "Fill in Manually",IF(OR(K8740="Unit", K8740=""), "", INDEX(LookUps!$E$5:$E$12, MATCH(OpenLCAbasic!K8740,LookUps!$D$5:$D$12,0))))</f>
        <v>Eutrophication Potential (EP) - kg N eq</v>
      </c>
      <c r="M8740" s="154" t="str">
        <f t="shared" si="707"/>
        <v>High_Base_Upgraded_Eutrophication Potential (EP) - kg N eq_Gravity Belt Thickener; wastewater treatment unit; at updated plant - US_Without Amendment_Aerated Static Pile</v>
      </c>
    </row>
    <row r="8741" spans="1:13" s="120" customFormat="1" x14ac:dyDescent="0.25">
      <c r="A8741" s="119"/>
      <c r="B8741" s="138" t="str">
        <f t="shared" si="702"/>
        <v>Aerated Static Pile</v>
      </c>
      <c r="C8741" s="138" t="str">
        <f t="shared" si="703"/>
        <v>Without Amendment</v>
      </c>
      <c r="D8741" s="138" t="s">
        <v>130</v>
      </c>
      <c r="E8741" s="138" t="str">
        <f t="shared" si="706"/>
        <v>High</v>
      </c>
      <c r="F8741" s="138" t="str">
        <f t="shared" si="704"/>
        <v>Upgraded</v>
      </c>
      <c r="G8741" s="153"/>
      <c r="H8741" s="210">
        <v>3.5000000000000001E-3</v>
      </c>
      <c r="I8741" s="160" t="s">
        <v>60</v>
      </c>
      <c r="J8741" s="211">
        <v>5.06508E-5</v>
      </c>
      <c r="K8741" s="160" t="s">
        <v>13</v>
      </c>
      <c r="L8741" s="154" t="str">
        <f>IF(OpenLCAbasic!K8741="CTUh", "Fill in Manually",IF(OR(K8741="Unit", K8741=""), "", INDEX(LookUps!$E$5:$E$12, MATCH(OpenLCAbasic!K8741,LookUps!$D$5:$D$12,0))))</f>
        <v>Eutrophication Potential (EP) - kg N eq</v>
      </c>
      <c r="M8741" s="154" t="str">
        <f t="shared" si="707"/>
        <v>High_Base_Upgraded_Eutrophication Potential (EP) - kg N eq_Belt filter press; wastewater treatment unit; at updated plant - US_Without Amendment_Aerated Static Pile</v>
      </c>
    </row>
    <row r="8742" spans="1:13" s="120" customFormat="1" x14ac:dyDescent="0.25">
      <c r="A8742" s="119"/>
      <c r="B8742" s="138" t="str">
        <f t="shared" si="702"/>
        <v>Aerated Static Pile</v>
      </c>
      <c r="C8742" s="138" t="str">
        <f t="shared" si="703"/>
        <v>Without Amendment</v>
      </c>
      <c r="D8742" s="138" t="s">
        <v>130</v>
      </c>
      <c r="E8742" s="138" t="str">
        <f t="shared" si="706"/>
        <v>High</v>
      </c>
      <c r="F8742" s="138" t="str">
        <f t="shared" si="704"/>
        <v>Upgraded</v>
      </c>
      <c r="G8742" s="153"/>
      <c r="H8742" s="210">
        <v>2.5999999999999999E-3</v>
      </c>
      <c r="I8742" s="160" t="s">
        <v>128</v>
      </c>
      <c r="J8742" s="211">
        <v>3.7559799999999999E-5</v>
      </c>
      <c r="K8742" s="160" t="s">
        <v>13</v>
      </c>
      <c r="L8742" s="154" t="str">
        <f>IF(OpenLCAbasic!K8742="CTUh", "Fill in Manually",IF(OR(K8742="Unit", K8742=""), "", INDEX(LookUps!$E$5:$E$12, MATCH(OpenLCAbasic!K8742,LookUps!$D$5:$D$12,0))))</f>
        <v>Eutrophication Potential (EP) - kg N eq</v>
      </c>
      <c r="M8742" s="154" t="str">
        <f t="shared" si="707"/>
        <v>High_Base_Upgraded_Eutrophication Potential (EP) - kg N eq_Wastewater collection; operation and infrastructure; m3 wastewater_Without Amendment_Aerated Static Pile</v>
      </c>
    </row>
    <row r="8743" spans="1:13" s="120" customFormat="1" x14ac:dyDescent="0.25">
      <c r="A8743" s="119"/>
      <c r="B8743" s="138" t="str">
        <f t="shared" si="702"/>
        <v>Aerated Static Pile</v>
      </c>
      <c r="C8743" s="138" t="str">
        <f t="shared" si="703"/>
        <v>Without Amendment</v>
      </c>
      <c r="D8743" s="138" t="s">
        <v>130</v>
      </c>
      <c r="E8743" s="138" t="str">
        <f t="shared" si="706"/>
        <v>High</v>
      </c>
      <c r="F8743" s="138" t="str">
        <f t="shared" si="704"/>
        <v>Upgraded</v>
      </c>
      <c r="G8743" s="153"/>
      <c r="H8743" s="210">
        <v>2.5999999999999999E-3</v>
      </c>
      <c r="I8743" s="160" t="s">
        <v>148</v>
      </c>
      <c r="J8743" s="211">
        <v>3.6874600000000001E-5</v>
      </c>
      <c r="K8743" s="160" t="s">
        <v>13</v>
      </c>
      <c r="L8743" s="154" t="str">
        <f>IF(OpenLCAbasic!K8743="CTUh", "Fill in Manually",IF(OR(K8743="Unit", K8743=""), "", INDEX(LookUps!$E$5:$E$12, MATCH(OpenLCAbasic!K8743,LookUps!$D$5:$D$12,0))))</f>
        <v>Eutrophication Potential (EP) - kg N eq</v>
      </c>
      <c r="M8743" s="154" t="str">
        <f t="shared" si="707"/>
        <v>High_Base_Upgraded_Eutrophication Potential (EP) - kg N eq_Control Building; at upgraded wastewater treatment plant - US_Without Amendment_Aerated Static Pile</v>
      </c>
    </row>
    <row r="8744" spans="1:13" s="120" customFormat="1" x14ac:dyDescent="0.25">
      <c r="A8744" s="119"/>
      <c r="B8744" s="138" t="str">
        <f t="shared" si="702"/>
        <v>Aerated Static Pile</v>
      </c>
      <c r="C8744" s="138" t="str">
        <f t="shared" si="703"/>
        <v>Without Amendment</v>
      </c>
      <c r="D8744" s="138" t="s">
        <v>130</v>
      </c>
      <c r="E8744" s="138" t="str">
        <f t="shared" si="706"/>
        <v>High</v>
      </c>
      <c r="F8744" s="138" t="str">
        <f t="shared" si="704"/>
        <v>Upgraded</v>
      </c>
      <c r="G8744" s="153"/>
      <c r="H8744" s="210">
        <v>1.1000000000000001E-3</v>
      </c>
      <c r="I8744" s="160" t="s">
        <v>59</v>
      </c>
      <c r="J8744" s="211">
        <v>1.6215700000000001E-5</v>
      </c>
      <c r="K8744" s="160" t="s">
        <v>13</v>
      </c>
      <c r="L8744" s="154" t="str">
        <f>IF(OpenLCAbasic!K8744="CTUh", "Fill in Manually",IF(OR(K8744="Unit", K8744=""), "", INDEX(LookUps!$E$5:$E$12, MATCH(OpenLCAbasic!K8744,LookUps!$D$5:$D$12,0))))</f>
        <v>Eutrophication Potential (EP) - kg N eq</v>
      </c>
      <c r="M8744" s="154" t="str">
        <f t="shared" si="707"/>
        <v>High_Base_Upgraded_Eutrophication Potential (EP) - kg N eq_Blend Tank; wastewater treatment unit; at updated plant - US_Without Amendment_Aerated Static Pile</v>
      </c>
    </row>
    <row r="8745" spans="1:13" s="120" customFormat="1" x14ac:dyDescent="0.25">
      <c r="A8745" s="119"/>
      <c r="B8745" s="138" t="str">
        <f t="shared" ref="B8745:B8808" si="709">IF(F8745="Legacy","n.a.",IF(F8745="","","Aerated Static Pile"))</f>
        <v>Aerated Static Pile</v>
      </c>
      <c r="C8745" s="138" t="str">
        <f t="shared" ref="C8745:C8808" si="710">IF(ISNUMBER($J8745),"Without Amendment","")</f>
        <v>Without Amendment</v>
      </c>
      <c r="D8745" s="138" t="s">
        <v>130</v>
      </c>
      <c r="E8745" s="138" t="str">
        <f t="shared" si="706"/>
        <v>High</v>
      </c>
      <c r="F8745" s="138" t="str">
        <f t="shared" ref="F8745:F8808" si="711">IF(ISNUMBER(J8745),"Upgraded","")</f>
        <v>Upgraded</v>
      </c>
      <c r="G8745" s="153"/>
      <c r="H8745" s="210">
        <v>5.0000000000000001E-4</v>
      </c>
      <c r="I8745" s="160" t="s">
        <v>168</v>
      </c>
      <c r="J8745" s="211">
        <v>7.7567199999999995E-6</v>
      </c>
      <c r="K8745" s="160" t="s">
        <v>13</v>
      </c>
      <c r="L8745" s="154" t="str">
        <f>IF(OpenLCAbasic!K8745="CTUh", "Fill in Manually",IF(OR(K8745="Unit", K8745=""), "", INDEX(LookUps!$E$5:$E$12, MATCH(OpenLCAbasic!K8745,LookUps!$D$5:$D$12,0))))</f>
        <v>Eutrophication Potential (EP) - kg N eq</v>
      </c>
      <c r="M8745" s="154" t="str">
        <f t="shared" si="707"/>
        <v>High_Base_Upgraded_Eutrophication Potential (EP) - kg N eq_ClearCove SCP; wastewater treatment unit; at updated plant - US_Without Amendment_Aerated Static Pile</v>
      </c>
    </row>
    <row r="8746" spans="1:13" s="120" customFormat="1" x14ac:dyDescent="0.25">
      <c r="A8746" s="119"/>
      <c r="B8746" s="138" t="str">
        <f t="shared" si="709"/>
        <v>Aerated Static Pile</v>
      </c>
      <c r="C8746" s="138" t="str">
        <f t="shared" si="710"/>
        <v>Without Amendment</v>
      </c>
      <c r="D8746" s="138" t="s">
        <v>130</v>
      </c>
      <c r="E8746" s="138" t="str">
        <f t="shared" si="706"/>
        <v>High</v>
      </c>
      <c r="F8746" s="138" t="str">
        <f t="shared" si="711"/>
        <v>Upgraded</v>
      </c>
      <c r="G8746" s="153"/>
      <c r="H8746" s="210">
        <v>-1.38E-2</v>
      </c>
      <c r="I8746" s="160" t="s">
        <v>149</v>
      </c>
      <c r="J8746" s="160">
        <v>-2.0000000000000001E-4</v>
      </c>
      <c r="K8746" s="160" t="s">
        <v>13</v>
      </c>
      <c r="L8746" s="154" t="str">
        <f>IF(OpenLCAbasic!K8746="CTUh", "Fill in Manually",IF(OR(K8746="Unit", K8746=""), "", INDEX(LookUps!$E$5:$E$12, MATCH(OpenLCAbasic!K8746,LookUps!$D$5:$D$12,0))))</f>
        <v>Eutrophication Potential (EP) - kg N eq</v>
      </c>
      <c r="M8746" s="154" t="str">
        <f t="shared" si="707"/>
        <v>High_Base_Upgraded_Eutrophication Potential (EP) - kg N eq_Anaerobic Digestion; wastewater treatment unit; at updated plant - US_Without Amendment_Aerated Static Pile</v>
      </c>
    </row>
    <row r="8747" spans="1:13" s="120" customFormat="1" x14ac:dyDescent="0.25">
      <c r="A8747" s="119"/>
      <c r="B8747" s="138" t="str">
        <f t="shared" si="709"/>
        <v/>
      </c>
      <c r="C8747" s="138" t="str">
        <f t="shared" si="710"/>
        <v/>
      </c>
      <c r="D8747" s="138" t="str">
        <f t="shared" si="708"/>
        <v/>
      </c>
      <c r="E8747" s="138" t="str">
        <f t="shared" si="706"/>
        <v/>
      </c>
      <c r="F8747" s="138" t="str">
        <f t="shared" si="711"/>
        <v/>
      </c>
      <c r="G8747" s="153" t="s">
        <v>51</v>
      </c>
      <c r="H8747" s="160"/>
      <c r="I8747" s="160" t="s">
        <v>47</v>
      </c>
      <c r="J8747" s="160" t="s">
        <v>52</v>
      </c>
      <c r="K8747" s="160" t="s">
        <v>27</v>
      </c>
      <c r="L8747" s="154" t="str">
        <f>IF(OpenLCAbasic!K8747="CTUh", "Fill in Manually",IF(OR(K8747="Unit", K8747=""), "", INDEX(LookUps!$E$5:$E$12, MATCH(OpenLCAbasic!K8747,LookUps!$D$5:$D$12,0))))</f>
        <v/>
      </c>
      <c r="M8747" s="154" t="str">
        <f t="shared" si="707"/>
        <v>____Process__</v>
      </c>
    </row>
    <row r="8748" spans="1:13" s="120" customFormat="1" x14ac:dyDescent="0.25">
      <c r="A8748" s="119"/>
      <c r="B8748" s="138" t="str">
        <f t="shared" si="709"/>
        <v>Aerated Static Pile</v>
      </c>
      <c r="C8748" s="138" t="str">
        <f t="shared" si="710"/>
        <v>Without Amendment</v>
      </c>
      <c r="D8748" s="138" t="s">
        <v>130</v>
      </c>
      <c r="E8748" s="138" t="str">
        <f t="shared" si="706"/>
        <v>High</v>
      </c>
      <c r="F8748" s="138" t="str">
        <f t="shared" si="711"/>
        <v>Upgraded</v>
      </c>
      <c r="G8748" s="153"/>
      <c r="H8748" s="210">
        <v>0.40560000000000002</v>
      </c>
      <c r="I8748" s="160" t="s">
        <v>167</v>
      </c>
      <c r="J8748" s="160">
        <v>7.9170000000000004E-2</v>
      </c>
      <c r="K8748" s="160" t="s">
        <v>14</v>
      </c>
      <c r="L8748" s="154" t="str">
        <f>IF(OpenLCAbasic!K8748="CTUh", "Fill in Manually",IF(OR(K8748="Unit", K8748=""), "", INDEX(LookUps!$E$5:$E$12, MATCH(OpenLCAbasic!K8748,LookUps!$D$5:$D$12,0))))</f>
        <v>Fossil Depletion Potential (FDP) - kg oil eq</v>
      </c>
      <c r="M8748" s="154" t="str">
        <f t="shared" si="707"/>
        <v>High_Base_Upgraded_Fossil Depletion Potential (FDP) - kg oil eq_Waste Receiving and Holding; wastewater treatment unit; at updated plant - US_Without Amendment_Aerated Static Pile</v>
      </c>
    </row>
    <row r="8749" spans="1:13" s="120" customFormat="1" x14ac:dyDescent="0.25">
      <c r="A8749" s="119"/>
      <c r="B8749" s="138" t="str">
        <f t="shared" si="709"/>
        <v>Aerated Static Pile</v>
      </c>
      <c r="C8749" s="138" t="str">
        <f t="shared" si="710"/>
        <v>Without Amendment</v>
      </c>
      <c r="D8749" s="138" t="s">
        <v>130</v>
      </c>
      <c r="E8749" s="138" t="str">
        <f t="shared" si="706"/>
        <v>High</v>
      </c>
      <c r="F8749" s="138" t="str">
        <f t="shared" si="711"/>
        <v>Upgraded</v>
      </c>
      <c r="G8749" s="153"/>
      <c r="H8749" s="210">
        <v>0.32579999999999998</v>
      </c>
      <c r="I8749" s="160" t="s">
        <v>55</v>
      </c>
      <c r="J8749" s="160">
        <v>6.3589999999999994E-2</v>
      </c>
      <c r="K8749" s="160" t="s">
        <v>14</v>
      </c>
      <c r="L8749" s="154" t="str">
        <f>IF(OpenLCAbasic!K8749="CTUh", "Fill in Manually",IF(OR(K8749="Unit", K8749=""), "", INDEX(LookUps!$E$5:$E$12, MATCH(OpenLCAbasic!K8749,LookUps!$D$5:$D$12,0))))</f>
        <v>Fossil Depletion Potential (FDP) - kg oil eq</v>
      </c>
      <c r="M8749" s="154" t="str">
        <f t="shared" si="707"/>
        <v>High_Base_Upgraded_Fossil Depletion Potential (FDP) - kg oil eq_Aeration Tanks; wastewater treatment unit; at updated plant - US_Without Amendment_Aerated Static Pile</v>
      </c>
    </row>
    <row r="8750" spans="1:13" s="120" customFormat="1" x14ac:dyDescent="0.25">
      <c r="A8750" s="119"/>
      <c r="B8750" s="138" t="str">
        <f t="shared" si="709"/>
        <v>Aerated Static Pile</v>
      </c>
      <c r="C8750" s="138" t="str">
        <f t="shared" si="710"/>
        <v>Without Amendment</v>
      </c>
      <c r="D8750" s="138" t="s">
        <v>130</v>
      </c>
      <c r="E8750" s="138" t="str">
        <f t="shared" si="706"/>
        <v>High</v>
      </c>
      <c r="F8750" s="138" t="str">
        <f t="shared" si="711"/>
        <v>Upgraded</v>
      </c>
      <c r="G8750" s="153"/>
      <c r="H8750" s="210">
        <v>0.10780000000000001</v>
      </c>
      <c r="I8750" s="160" t="s">
        <v>54</v>
      </c>
      <c r="J8750" s="160">
        <v>2.1049999999999999E-2</v>
      </c>
      <c r="K8750" s="160" t="s">
        <v>14</v>
      </c>
      <c r="L8750" s="154" t="str">
        <f>IF(OpenLCAbasic!K8750="CTUh", "Fill in Manually",IF(OR(K8750="Unit", K8750=""), "", INDEX(LookUps!$E$5:$E$12, MATCH(OpenLCAbasic!K8750,LookUps!$D$5:$D$12,0))))</f>
        <v>Fossil Depletion Potential (FDP) - kg oil eq</v>
      </c>
      <c r="M8750" s="154" t="str">
        <f t="shared" si="707"/>
        <v>High_Base_Upgraded_Fossil Depletion Potential (FDP) - kg oil eq_Clear Cove Primary Clarification; wastewater treatment unit; at updated plant - US_Without Amendment_Aerated Static Pile</v>
      </c>
    </row>
    <row r="8751" spans="1:13" s="120" customFormat="1" x14ac:dyDescent="0.25">
      <c r="A8751" s="119"/>
      <c r="B8751" s="138" t="str">
        <f t="shared" si="709"/>
        <v>Aerated Static Pile</v>
      </c>
      <c r="C8751" s="138" t="str">
        <f t="shared" si="710"/>
        <v>Without Amendment</v>
      </c>
      <c r="D8751" s="138" t="s">
        <v>130</v>
      </c>
      <c r="E8751" s="138" t="str">
        <f t="shared" si="706"/>
        <v>High</v>
      </c>
      <c r="F8751" s="138" t="str">
        <f t="shared" si="711"/>
        <v>Upgraded</v>
      </c>
      <c r="G8751" s="153"/>
      <c r="H8751" s="210">
        <v>8.1600000000000006E-2</v>
      </c>
      <c r="I8751" s="160" t="s">
        <v>58</v>
      </c>
      <c r="J8751" s="160">
        <v>1.592E-2</v>
      </c>
      <c r="K8751" s="160" t="s">
        <v>14</v>
      </c>
      <c r="L8751" s="154" t="str">
        <f>IF(OpenLCAbasic!K8751="CTUh", "Fill in Manually",IF(OR(K8751="Unit", K8751=""), "", INDEX(LookUps!$E$5:$E$12, MATCH(OpenLCAbasic!K8751,LookUps!$D$5:$D$12,0))))</f>
        <v>Fossil Depletion Potential (FDP) - kg oil eq</v>
      </c>
      <c r="M8751" s="154" t="str">
        <f t="shared" si="707"/>
        <v>High_Base_Upgraded_Fossil Depletion Potential (FDP) - kg oil eq_Pre-Anoxic &amp; Swing tank; wastewater treatment unit; at updated plant - US_Without Amendment_Aerated Static Pile</v>
      </c>
    </row>
    <row r="8752" spans="1:13" s="120" customFormat="1" x14ac:dyDescent="0.25">
      <c r="A8752" s="119"/>
      <c r="B8752" s="138" t="str">
        <f t="shared" si="709"/>
        <v>Aerated Static Pile</v>
      </c>
      <c r="C8752" s="138" t="str">
        <f t="shared" si="710"/>
        <v>Without Amendment</v>
      </c>
      <c r="D8752" s="138" t="s">
        <v>130</v>
      </c>
      <c r="E8752" s="138" t="str">
        <f t="shared" si="706"/>
        <v>High</v>
      </c>
      <c r="F8752" s="138" t="str">
        <f t="shared" si="711"/>
        <v>Upgraded</v>
      </c>
      <c r="G8752" s="153"/>
      <c r="H8752" s="210">
        <v>7.7299999999999994E-2</v>
      </c>
      <c r="I8752" s="160" t="s">
        <v>147</v>
      </c>
      <c r="J8752" s="160">
        <v>1.5089999999999999E-2</v>
      </c>
      <c r="K8752" s="160" t="s">
        <v>14</v>
      </c>
      <c r="L8752" s="154" t="str">
        <f>IF(OpenLCAbasic!K8752="CTUh", "Fill in Manually",IF(OR(K8752="Unit", K8752=""), "", INDEX(LookUps!$E$5:$E$12, MATCH(OpenLCAbasic!K8752,LookUps!$D$5:$D$12,0))))</f>
        <v>Fossil Depletion Potential (FDP) - kg oil eq</v>
      </c>
      <c r="M8752" s="154" t="str">
        <f t="shared" si="707"/>
        <v>High_Base_Upgraded_Fossil Depletion Potential (FDP) - kg oil eq_Influent Pump Station; wastewater treatment unit; at updated plant - US_Without Amendment_Aerated Static Pile</v>
      </c>
    </row>
    <row r="8753" spans="1:13" s="120" customFormat="1" x14ac:dyDescent="0.25">
      <c r="A8753" s="119"/>
      <c r="B8753" s="138" t="str">
        <f t="shared" si="709"/>
        <v>Aerated Static Pile</v>
      </c>
      <c r="C8753" s="138" t="str">
        <f t="shared" si="710"/>
        <v>Without Amendment</v>
      </c>
      <c r="D8753" s="138" t="s">
        <v>130</v>
      </c>
      <c r="E8753" s="138" t="str">
        <f t="shared" si="706"/>
        <v>High</v>
      </c>
      <c r="F8753" s="138" t="str">
        <f t="shared" si="711"/>
        <v>Upgraded</v>
      </c>
      <c r="G8753" s="153"/>
      <c r="H8753" s="210">
        <v>6.4000000000000001E-2</v>
      </c>
      <c r="I8753" s="160" t="s">
        <v>53</v>
      </c>
      <c r="J8753" s="160">
        <v>1.2489999999999999E-2</v>
      </c>
      <c r="K8753" s="160" t="s">
        <v>14</v>
      </c>
      <c r="L8753" s="154" t="str">
        <f>IF(OpenLCAbasic!K8753="CTUh", "Fill in Manually",IF(OR(K8753="Unit", K8753=""), "", INDEX(LookUps!$E$5:$E$12, MATCH(OpenLCAbasic!K8753,LookUps!$D$5:$D$12,0))))</f>
        <v>Fossil Depletion Potential (FDP) - kg oil eq</v>
      </c>
      <c r="M8753" s="154" t="str">
        <f t="shared" si="707"/>
        <v>High_Base_Upgraded_Fossil Depletion Potential (FDP) - kg oil eq_Wet Well and Sump Station; wastewater treatment unit; at updated plant - US_Without Amendment_Aerated Static Pile</v>
      </c>
    </row>
    <row r="8754" spans="1:13" s="120" customFormat="1" x14ac:dyDescent="0.25">
      <c r="A8754" s="119"/>
      <c r="B8754" s="138" t="str">
        <f t="shared" si="709"/>
        <v>Aerated Static Pile</v>
      </c>
      <c r="C8754" s="138" t="str">
        <f t="shared" si="710"/>
        <v>Without Amendment</v>
      </c>
      <c r="D8754" s="138" t="s">
        <v>130</v>
      </c>
      <c r="E8754" s="138" t="str">
        <f t="shared" si="706"/>
        <v>High</v>
      </c>
      <c r="F8754" s="138" t="str">
        <f t="shared" si="711"/>
        <v>Upgraded</v>
      </c>
      <c r="G8754" s="153"/>
      <c r="H8754" s="210">
        <v>3.5400000000000001E-2</v>
      </c>
      <c r="I8754" s="160" t="s">
        <v>57</v>
      </c>
      <c r="J8754" s="160">
        <v>6.9199999999999999E-3</v>
      </c>
      <c r="K8754" s="160" t="s">
        <v>14</v>
      </c>
      <c r="L8754" s="154" t="str">
        <f>IF(OpenLCAbasic!K8754="CTUh", "Fill in Manually",IF(OR(K8754="Unit", K8754=""), "", INDEX(LookUps!$E$5:$E$12, MATCH(OpenLCAbasic!K8754,LookUps!$D$5:$D$12,0))))</f>
        <v>Fossil Depletion Potential (FDP) - kg oil eq</v>
      </c>
      <c r="M8754" s="154" t="str">
        <f t="shared" si="707"/>
        <v>High_Base_Upgraded_Fossil Depletion Potential (FDP) - kg oil eq_Gravity Belt Thickener; wastewater treatment unit; at updated plant - US_Without Amendment_Aerated Static Pile</v>
      </c>
    </row>
    <row r="8755" spans="1:13" s="120" customFormat="1" x14ac:dyDescent="0.25">
      <c r="A8755" s="119"/>
      <c r="B8755" s="138" t="str">
        <f t="shared" si="709"/>
        <v>Aerated Static Pile</v>
      </c>
      <c r="C8755" s="138" t="str">
        <f t="shared" si="710"/>
        <v>Without Amendment</v>
      </c>
      <c r="D8755" s="138" t="s">
        <v>130</v>
      </c>
      <c r="E8755" s="138" t="str">
        <f t="shared" si="706"/>
        <v>High</v>
      </c>
      <c r="F8755" s="138" t="str">
        <f t="shared" si="711"/>
        <v>Upgraded</v>
      </c>
      <c r="G8755" s="153"/>
      <c r="H8755" s="210">
        <v>3.2399999999999998E-2</v>
      </c>
      <c r="I8755" s="160" t="s">
        <v>435</v>
      </c>
      <c r="J8755" s="160">
        <v>6.3299999999999997E-3</v>
      </c>
      <c r="K8755" s="160" t="s">
        <v>14</v>
      </c>
      <c r="L8755" s="154" t="str">
        <f>IF(OpenLCAbasic!K8755="CTUh", "Fill in Manually",IF(OR(K8755="Unit", K8755=""), "", INDEX(LookUps!$E$5:$E$12, MATCH(OpenLCAbasic!K8755,LookUps!$D$5:$D$12,0))))</f>
        <v>Fossil Depletion Potential (FDP) - kg oil eq</v>
      </c>
      <c r="M8755" s="154" t="str">
        <f t="shared" si="707"/>
        <v>High_Base_Upgraded_Fossil Depletion Potential (FDP) - kg oil eq_Biosolids composting; aerated static pile; wastewater treatment unit; at updated plant - US_Without Amendment_Aerated Static Pile</v>
      </c>
    </row>
    <row r="8756" spans="1:13" s="120" customFormat="1" x14ac:dyDescent="0.25">
      <c r="A8756" s="119"/>
      <c r="B8756" s="138" t="str">
        <f t="shared" si="709"/>
        <v>Aerated Static Pile</v>
      </c>
      <c r="C8756" s="138" t="str">
        <f t="shared" si="710"/>
        <v>Without Amendment</v>
      </c>
      <c r="D8756" s="138" t="s">
        <v>130</v>
      </c>
      <c r="E8756" s="138" t="str">
        <f t="shared" si="706"/>
        <v>High</v>
      </c>
      <c r="F8756" s="138" t="str">
        <f t="shared" si="711"/>
        <v>Upgraded</v>
      </c>
      <c r="G8756" s="153"/>
      <c r="H8756" s="210">
        <v>2.98E-2</v>
      </c>
      <c r="I8756" s="160" t="s">
        <v>60</v>
      </c>
      <c r="J8756" s="160">
        <v>5.8100000000000001E-3</v>
      </c>
      <c r="K8756" s="160" t="s">
        <v>14</v>
      </c>
      <c r="L8756" s="154" t="str">
        <f>IF(OpenLCAbasic!K8756="CTUh", "Fill in Manually",IF(OR(K8756="Unit", K8756=""), "", INDEX(LookUps!$E$5:$E$12, MATCH(OpenLCAbasic!K8756,LookUps!$D$5:$D$12,0))))</f>
        <v>Fossil Depletion Potential (FDP) - kg oil eq</v>
      </c>
      <c r="M8756" s="154" t="str">
        <f t="shared" si="707"/>
        <v>High_Base_Upgraded_Fossil Depletion Potential (FDP) - kg oil eq_Belt filter press; wastewater treatment unit; at updated plant - US_Without Amendment_Aerated Static Pile</v>
      </c>
    </row>
    <row r="8757" spans="1:13" s="120" customFormat="1" x14ac:dyDescent="0.25">
      <c r="A8757" s="119"/>
      <c r="B8757" s="138" t="str">
        <f t="shared" si="709"/>
        <v>Aerated Static Pile</v>
      </c>
      <c r="C8757" s="138" t="str">
        <f t="shared" si="710"/>
        <v>Without Amendment</v>
      </c>
      <c r="D8757" s="138" t="s">
        <v>130</v>
      </c>
      <c r="E8757" s="138" t="str">
        <f t="shared" si="706"/>
        <v>High</v>
      </c>
      <c r="F8757" s="138" t="str">
        <f t="shared" si="711"/>
        <v>Upgraded</v>
      </c>
      <c r="G8757" s="153"/>
      <c r="H8757" s="210">
        <v>2.3E-2</v>
      </c>
      <c r="I8757" s="160" t="s">
        <v>128</v>
      </c>
      <c r="J8757" s="160">
        <v>4.4999999999999997E-3</v>
      </c>
      <c r="K8757" s="160" t="s">
        <v>14</v>
      </c>
      <c r="L8757" s="154" t="str">
        <f>IF(OpenLCAbasic!K8757="CTUh", "Fill in Manually",IF(OR(K8757="Unit", K8757=""), "", INDEX(LookUps!$E$5:$E$12, MATCH(OpenLCAbasic!K8757,LookUps!$D$5:$D$12,0))))</f>
        <v>Fossil Depletion Potential (FDP) - kg oil eq</v>
      </c>
      <c r="M8757" s="154" t="str">
        <f t="shared" si="707"/>
        <v>High_Base_Upgraded_Fossil Depletion Potential (FDP) - kg oil eq_Wastewater collection; operation and infrastructure; m3 wastewater_Without Amendment_Aerated Static Pile</v>
      </c>
    </row>
    <row r="8758" spans="1:13" s="120" customFormat="1" x14ac:dyDescent="0.25">
      <c r="A8758" s="119"/>
      <c r="B8758" s="138" t="str">
        <f t="shared" si="709"/>
        <v>Aerated Static Pile</v>
      </c>
      <c r="C8758" s="138" t="str">
        <f t="shared" si="710"/>
        <v>Without Amendment</v>
      </c>
      <c r="D8758" s="138" t="s">
        <v>130</v>
      </c>
      <c r="E8758" s="138" t="str">
        <f t="shared" si="706"/>
        <v>High</v>
      </c>
      <c r="F8758" s="138" t="str">
        <f t="shared" si="711"/>
        <v>Upgraded</v>
      </c>
      <c r="G8758" s="153"/>
      <c r="H8758" s="210">
        <v>1.43E-2</v>
      </c>
      <c r="I8758" s="160" t="s">
        <v>148</v>
      </c>
      <c r="J8758" s="160">
        <v>2.8E-3</v>
      </c>
      <c r="K8758" s="160" t="s">
        <v>14</v>
      </c>
      <c r="L8758" s="154" t="str">
        <f>IF(OpenLCAbasic!K8758="CTUh", "Fill in Manually",IF(OR(K8758="Unit", K8758=""), "", INDEX(LookUps!$E$5:$E$12, MATCH(OpenLCAbasic!K8758,LookUps!$D$5:$D$12,0))))</f>
        <v>Fossil Depletion Potential (FDP) - kg oil eq</v>
      </c>
      <c r="M8758" s="154" t="str">
        <f t="shared" si="707"/>
        <v>High_Base_Upgraded_Fossil Depletion Potential (FDP) - kg oil eq_Control Building; at upgraded wastewater treatment plant - US_Without Amendment_Aerated Static Pile</v>
      </c>
    </row>
    <row r="8759" spans="1:13" s="120" customFormat="1" x14ac:dyDescent="0.25">
      <c r="A8759" s="119"/>
      <c r="B8759" s="138" t="str">
        <f t="shared" si="709"/>
        <v>Aerated Static Pile</v>
      </c>
      <c r="C8759" s="138" t="str">
        <f t="shared" si="710"/>
        <v>Without Amendment</v>
      </c>
      <c r="D8759" s="138" t="s">
        <v>130</v>
      </c>
      <c r="E8759" s="138" t="str">
        <f t="shared" si="706"/>
        <v>High</v>
      </c>
      <c r="F8759" s="138" t="str">
        <f t="shared" si="711"/>
        <v>Upgraded</v>
      </c>
      <c r="G8759" s="153"/>
      <c r="H8759" s="210">
        <v>1.21E-2</v>
      </c>
      <c r="I8759" s="160" t="s">
        <v>48</v>
      </c>
      <c r="J8759" s="160">
        <v>2.3600000000000001E-3</v>
      </c>
      <c r="K8759" s="160" t="s">
        <v>14</v>
      </c>
      <c r="L8759" s="154" t="str">
        <f>IF(OpenLCAbasic!K8759="CTUh", "Fill in Manually",IF(OR(K8759="Unit", K8759=""), "", INDEX(LookUps!$E$5:$E$12, MATCH(OpenLCAbasic!K8759,LookUps!$D$5:$D$12,0))))</f>
        <v>Fossil Depletion Potential (FDP) - kg oil eq</v>
      </c>
      <c r="M8759" s="154" t="str">
        <f t="shared" si="707"/>
        <v>High_Base_Upgraded_Fossil Depletion Potential (FDP) - kg oil eq_Effluent release; wastewater treatment unit; at surface water; m3 wastewater - US_Without Amendment_Aerated Static Pile</v>
      </c>
    </row>
    <row r="8760" spans="1:13" s="120" customFormat="1" x14ac:dyDescent="0.25">
      <c r="A8760" s="119"/>
      <c r="B8760" s="138" t="str">
        <f t="shared" si="709"/>
        <v>Aerated Static Pile</v>
      </c>
      <c r="C8760" s="138" t="str">
        <f t="shared" si="710"/>
        <v>Without Amendment</v>
      </c>
      <c r="D8760" s="138" t="s">
        <v>130</v>
      </c>
      <c r="E8760" s="138" t="str">
        <f t="shared" si="706"/>
        <v>High</v>
      </c>
      <c r="F8760" s="138" t="str">
        <f t="shared" si="711"/>
        <v>Upgraded</v>
      </c>
      <c r="G8760" s="153"/>
      <c r="H8760" s="210">
        <v>9.7999999999999997E-3</v>
      </c>
      <c r="I8760" s="160" t="s">
        <v>59</v>
      </c>
      <c r="J8760" s="160">
        <v>1.92E-3</v>
      </c>
      <c r="K8760" s="160" t="s">
        <v>14</v>
      </c>
      <c r="L8760" s="154" t="str">
        <f>IF(OpenLCAbasic!K8760="CTUh", "Fill in Manually",IF(OR(K8760="Unit", K8760=""), "", INDEX(LookUps!$E$5:$E$12, MATCH(OpenLCAbasic!K8760,LookUps!$D$5:$D$12,0))))</f>
        <v>Fossil Depletion Potential (FDP) - kg oil eq</v>
      </c>
      <c r="M8760" s="154" t="str">
        <f t="shared" si="707"/>
        <v>High_Base_Upgraded_Fossil Depletion Potential (FDP) - kg oil eq_Blend Tank; wastewater treatment unit; at updated plant - US_Without Amendment_Aerated Static Pile</v>
      </c>
    </row>
    <row r="8761" spans="1:13" s="120" customFormat="1" x14ac:dyDescent="0.25">
      <c r="A8761" s="119"/>
      <c r="B8761" s="138" t="str">
        <f t="shared" si="709"/>
        <v>Aerated Static Pile</v>
      </c>
      <c r="C8761" s="138" t="str">
        <f t="shared" si="710"/>
        <v>Without Amendment</v>
      </c>
      <c r="D8761" s="138" t="s">
        <v>130</v>
      </c>
      <c r="E8761" s="138" t="str">
        <f t="shared" ref="E8761:E8824" si="712">IF(ISNUMBER($J8761),"High","")</f>
        <v>High</v>
      </c>
      <c r="F8761" s="138" t="str">
        <f t="shared" si="711"/>
        <v>Upgraded</v>
      </c>
      <c r="G8761" s="153"/>
      <c r="H8761" s="210">
        <v>4.7000000000000002E-3</v>
      </c>
      <c r="I8761" s="160" t="s">
        <v>168</v>
      </c>
      <c r="J8761" s="160">
        <v>9.1E-4</v>
      </c>
      <c r="K8761" s="160" t="s">
        <v>14</v>
      </c>
      <c r="L8761" s="154" t="str">
        <f>IF(OpenLCAbasic!K8761="CTUh", "Fill in Manually",IF(OR(K8761="Unit", K8761=""), "", INDEX(LookUps!$E$5:$E$12, MATCH(OpenLCAbasic!K8761,LookUps!$D$5:$D$12,0))))</f>
        <v>Fossil Depletion Potential (FDP) - kg oil eq</v>
      </c>
      <c r="M8761" s="154" t="str">
        <f t="shared" si="707"/>
        <v>High_Base_Upgraded_Fossil Depletion Potential (FDP) - kg oil eq_ClearCove SCP; wastewater treatment unit; at updated plant - US_Without Amendment_Aerated Static Pile</v>
      </c>
    </row>
    <row r="8762" spans="1:13" s="120" customFormat="1" x14ac:dyDescent="0.25">
      <c r="A8762" s="119"/>
      <c r="B8762" s="138" t="str">
        <f t="shared" si="709"/>
        <v>Aerated Static Pile</v>
      </c>
      <c r="C8762" s="138" t="str">
        <f t="shared" si="710"/>
        <v>Without Amendment</v>
      </c>
      <c r="D8762" s="138" t="s">
        <v>130</v>
      </c>
      <c r="E8762" s="138" t="str">
        <f t="shared" si="712"/>
        <v>High</v>
      </c>
      <c r="F8762" s="138" t="str">
        <f t="shared" si="711"/>
        <v>Upgraded</v>
      </c>
      <c r="G8762" s="153"/>
      <c r="H8762" s="210">
        <v>-1.8599999999999998E-2</v>
      </c>
      <c r="I8762" s="160" t="s">
        <v>62</v>
      </c>
      <c r="J8762" s="160">
        <v>-3.63E-3</v>
      </c>
      <c r="K8762" s="160" t="s">
        <v>14</v>
      </c>
      <c r="L8762" s="154" t="str">
        <f>IF(OpenLCAbasic!K8762="CTUh", "Fill in Manually",IF(OR(K8762="Unit", K8762=""), "", INDEX(LookUps!$E$5:$E$12, MATCH(OpenLCAbasic!K8762,LookUps!$D$5:$D$12,0))))</f>
        <v>Fossil Depletion Potential (FDP) - kg oil eq</v>
      </c>
      <c r="M8762" s="154" t="str">
        <f t="shared" si="707"/>
        <v>High_Base_Upgraded_Fossil Depletion Potential (FDP) - kg oil eq_Land application of compost; wastewater treatment unit; at updated plant - US_Without Amendment_Aerated Static Pile</v>
      </c>
    </row>
    <row r="8763" spans="1:13" s="120" customFormat="1" x14ac:dyDescent="0.25">
      <c r="A8763" s="119"/>
      <c r="B8763" s="138" t="str">
        <f t="shared" si="709"/>
        <v>Aerated Static Pile</v>
      </c>
      <c r="C8763" s="138" t="str">
        <f t="shared" si="710"/>
        <v>Without Amendment</v>
      </c>
      <c r="D8763" s="138" t="s">
        <v>130</v>
      </c>
      <c r="E8763" s="138" t="str">
        <f t="shared" si="712"/>
        <v>High</v>
      </c>
      <c r="F8763" s="138" t="str">
        <f t="shared" si="711"/>
        <v>Upgraded</v>
      </c>
      <c r="G8763" s="153"/>
      <c r="H8763" s="210">
        <v>-0.2051</v>
      </c>
      <c r="I8763" s="160" t="s">
        <v>149</v>
      </c>
      <c r="J8763" s="160">
        <v>-4.0030000000000003E-2</v>
      </c>
      <c r="K8763" s="160" t="s">
        <v>14</v>
      </c>
      <c r="L8763" s="154" t="str">
        <f>IF(OpenLCAbasic!K8763="CTUh", "Fill in Manually",IF(OR(K8763="Unit", K8763=""), "", INDEX(LookUps!$E$5:$E$12, MATCH(OpenLCAbasic!K8763,LookUps!$D$5:$D$12,0))))</f>
        <v>Fossil Depletion Potential (FDP) - kg oil eq</v>
      </c>
      <c r="M8763" s="154" t="str">
        <f t="shared" ref="M8763:M8826" si="713">CONCATENATE(E8763,"_",D8763,"_",F8763,"_",L8763, "_",I8763,"_", C8763,"_", B8763)</f>
        <v>High_Base_Upgraded_Fossil Depletion Potential (FDP) - kg oil eq_Anaerobic Digestion; wastewater treatment unit; at updated plant - US_Without Amendment_Aerated Static Pile</v>
      </c>
    </row>
    <row r="8764" spans="1:13" s="120" customFormat="1" x14ac:dyDescent="0.25">
      <c r="A8764" s="119"/>
      <c r="B8764" s="138" t="str">
        <f t="shared" si="709"/>
        <v/>
      </c>
      <c r="C8764" s="138" t="str">
        <f t="shared" si="710"/>
        <v/>
      </c>
      <c r="D8764" s="138" t="str">
        <f t="shared" si="708"/>
        <v/>
      </c>
      <c r="E8764" s="138" t="str">
        <f t="shared" si="712"/>
        <v/>
      </c>
      <c r="F8764" s="138" t="str">
        <f t="shared" si="711"/>
        <v/>
      </c>
      <c r="G8764" s="153" t="s">
        <v>51</v>
      </c>
      <c r="H8764" s="160"/>
      <c r="I8764" s="160" t="s">
        <v>47</v>
      </c>
      <c r="J8764" s="160" t="s">
        <v>52</v>
      </c>
      <c r="K8764" s="160" t="s">
        <v>27</v>
      </c>
      <c r="L8764" s="154" t="str">
        <f>IF(OpenLCAbasic!K8764="CTUh", "Fill in Manually",IF(OR(K8764="Unit", K8764=""), "", INDEX(LookUps!$E$5:$E$12, MATCH(OpenLCAbasic!K8764,LookUps!$D$5:$D$12,0))))</f>
        <v/>
      </c>
      <c r="M8764" s="154" t="str">
        <f t="shared" si="713"/>
        <v>____Process__</v>
      </c>
    </row>
    <row r="8765" spans="1:13" s="120" customFormat="1" x14ac:dyDescent="0.25">
      <c r="A8765" s="119"/>
      <c r="B8765" s="138" t="str">
        <f t="shared" si="709"/>
        <v>Aerated Static Pile</v>
      </c>
      <c r="C8765" s="138" t="str">
        <f t="shared" si="710"/>
        <v>Without Amendment</v>
      </c>
      <c r="D8765" s="138" t="s">
        <v>130</v>
      </c>
      <c r="E8765" s="138" t="str">
        <f t="shared" si="712"/>
        <v>High</v>
      </c>
      <c r="F8765" s="138" t="str">
        <f t="shared" si="711"/>
        <v>Upgraded</v>
      </c>
      <c r="G8765" s="153"/>
      <c r="H8765" s="210">
        <v>0.4859</v>
      </c>
      <c r="I8765" s="160" t="s">
        <v>435</v>
      </c>
      <c r="J8765" s="160">
        <v>0.53705000000000003</v>
      </c>
      <c r="K8765" s="160" t="s">
        <v>23</v>
      </c>
      <c r="L8765" s="154" t="str">
        <f>IF(OpenLCAbasic!K8765="CTUh", "Fill in Manually",IF(OR(K8765="Unit", K8765=""), "", INDEX(LookUps!$E$5:$E$12, MATCH(OpenLCAbasic!K8765,LookUps!$D$5:$D$12,0))))</f>
        <v>Global Warming Potential (GWP) - kg CO2 eq</v>
      </c>
      <c r="M8765" s="154" t="str">
        <f t="shared" si="713"/>
        <v>High_Base_Upgraded_Global Warming Potential (GWP) - kg CO2 eq_Biosolids composting; aerated static pile; wastewater treatment unit; at updated plant - US_Without Amendment_Aerated Static Pile</v>
      </c>
    </row>
    <row r="8766" spans="1:13" s="120" customFormat="1" x14ac:dyDescent="0.25">
      <c r="A8766" s="119"/>
      <c r="B8766" s="138" t="str">
        <f t="shared" si="709"/>
        <v>Aerated Static Pile</v>
      </c>
      <c r="C8766" s="138" t="str">
        <f t="shared" si="710"/>
        <v>Without Amendment</v>
      </c>
      <c r="D8766" s="138" t="s">
        <v>130</v>
      </c>
      <c r="E8766" s="138" t="str">
        <f t="shared" si="712"/>
        <v>High</v>
      </c>
      <c r="F8766" s="138" t="str">
        <f t="shared" si="711"/>
        <v>Upgraded</v>
      </c>
      <c r="G8766" s="153"/>
      <c r="H8766" s="210">
        <v>0.21970000000000001</v>
      </c>
      <c r="I8766" s="160" t="s">
        <v>58</v>
      </c>
      <c r="J8766" s="160">
        <v>0.24279999999999999</v>
      </c>
      <c r="K8766" s="160" t="s">
        <v>23</v>
      </c>
      <c r="L8766" s="154" t="str">
        <f>IF(OpenLCAbasic!K8766="CTUh", "Fill in Manually",IF(OR(K8766="Unit", K8766=""), "", INDEX(LookUps!$E$5:$E$12, MATCH(OpenLCAbasic!K8766,LookUps!$D$5:$D$12,0))))</f>
        <v>Global Warming Potential (GWP) - kg CO2 eq</v>
      </c>
      <c r="M8766" s="154" t="str">
        <f t="shared" si="713"/>
        <v>High_Base_Upgraded_Global Warming Potential (GWP) - kg CO2 eq_Pre-Anoxic &amp; Swing tank; wastewater treatment unit; at updated plant - US_Without Amendment_Aerated Static Pile</v>
      </c>
    </row>
    <row r="8767" spans="1:13" s="120" customFormat="1" x14ac:dyDescent="0.25">
      <c r="A8767" s="119"/>
      <c r="B8767" s="138" t="str">
        <f t="shared" si="709"/>
        <v>Aerated Static Pile</v>
      </c>
      <c r="C8767" s="138" t="str">
        <f t="shared" si="710"/>
        <v>Without Amendment</v>
      </c>
      <c r="D8767" s="138" t="s">
        <v>130</v>
      </c>
      <c r="E8767" s="138" t="str">
        <f t="shared" si="712"/>
        <v>High</v>
      </c>
      <c r="F8767" s="138" t="str">
        <f t="shared" si="711"/>
        <v>Upgraded</v>
      </c>
      <c r="G8767" s="153"/>
      <c r="H8767" s="210">
        <v>0.1522</v>
      </c>
      <c r="I8767" s="160" t="s">
        <v>55</v>
      </c>
      <c r="J8767" s="160">
        <v>0.16822000000000001</v>
      </c>
      <c r="K8767" s="160" t="s">
        <v>23</v>
      </c>
      <c r="L8767" s="154" t="str">
        <f>IF(OpenLCAbasic!K8767="CTUh", "Fill in Manually",IF(OR(K8767="Unit", K8767=""), "", INDEX(LookUps!$E$5:$E$12, MATCH(OpenLCAbasic!K8767,LookUps!$D$5:$D$12,0))))</f>
        <v>Global Warming Potential (GWP) - kg CO2 eq</v>
      </c>
      <c r="M8767" s="154" t="str">
        <f t="shared" si="713"/>
        <v>High_Base_Upgraded_Global Warming Potential (GWP) - kg CO2 eq_Aeration Tanks; wastewater treatment unit; at updated plant - US_Without Amendment_Aerated Static Pile</v>
      </c>
    </row>
    <row r="8768" spans="1:13" s="120" customFormat="1" x14ac:dyDescent="0.25">
      <c r="A8768" s="119"/>
      <c r="B8768" s="138" t="str">
        <f t="shared" si="709"/>
        <v>Aerated Static Pile</v>
      </c>
      <c r="C8768" s="138" t="str">
        <f t="shared" si="710"/>
        <v>Without Amendment</v>
      </c>
      <c r="D8768" s="138" t="s">
        <v>130</v>
      </c>
      <c r="E8768" s="138" t="str">
        <f t="shared" si="712"/>
        <v>High</v>
      </c>
      <c r="F8768" s="138" t="str">
        <f t="shared" si="711"/>
        <v>Upgraded</v>
      </c>
      <c r="G8768" s="153"/>
      <c r="H8768" s="210">
        <v>9.2700000000000005E-2</v>
      </c>
      <c r="I8768" s="160" t="s">
        <v>167</v>
      </c>
      <c r="J8768" s="160">
        <v>0.10241</v>
      </c>
      <c r="K8768" s="160" t="s">
        <v>23</v>
      </c>
      <c r="L8768" s="154" t="str">
        <f>IF(OpenLCAbasic!K8768="CTUh", "Fill in Manually",IF(OR(K8768="Unit", K8768=""), "", INDEX(LookUps!$E$5:$E$12, MATCH(OpenLCAbasic!K8768,LookUps!$D$5:$D$12,0))))</f>
        <v>Global Warming Potential (GWP) - kg CO2 eq</v>
      </c>
      <c r="M8768" s="154" t="str">
        <f t="shared" si="713"/>
        <v>High_Base_Upgraded_Global Warming Potential (GWP) - kg CO2 eq_Waste Receiving and Holding; wastewater treatment unit; at updated plant - US_Without Amendment_Aerated Static Pile</v>
      </c>
    </row>
    <row r="8769" spans="1:13" s="120" customFormat="1" x14ac:dyDescent="0.25">
      <c r="A8769" s="119"/>
      <c r="B8769" s="138" t="str">
        <f t="shared" si="709"/>
        <v>Aerated Static Pile</v>
      </c>
      <c r="C8769" s="138" t="str">
        <f t="shared" si="710"/>
        <v>Without Amendment</v>
      </c>
      <c r="D8769" s="138" t="s">
        <v>130</v>
      </c>
      <c r="E8769" s="138" t="str">
        <f t="shared" si="712"/>
        <v>High</v>
      </c>
      <c r="F8769" s="138" t="str">
        <f t="shared" si="711"/>
        <v>Upgraded</v>
      </c>
      <c r="G8769" s="153"/>
      <c r="H8769" s="210">
        <v>5.16E-2</v>
      </c>
      <c r="I8769" s="160" t="s">
        <v>54</v>
      </c>
      <c r="J8769" s="160">
        <v>5.7079999999999999E-2</v>
      </c>
      <c r="K8769" s="160" t="s">
        <v>23</v>
      </c>
      <c r="L8769" s="154" t="str">
        <f>IF(OpenLCAbasic!K8769="CTUh", "Fill in Manually",IF(OR(K8769="Unit", K8769=""), "", INDEX(LookUps!$E$5:$E$12, MATCH(OpenLCAbasic!K8769,LookUps!$D$5:$D$12,0))))</f>
        <v>Global Warming Potential (GWP) - kg CO2 eq</v>
      </c>
      <c r="M8769" s="154" t="str">
        <f t="shared" si="713"/>
        <v>High_Base_Upgraded_Global Warming Potential (GWP) - kg CO2 eq_Clear Cove Primary Clarification; wastewater treatment unit; at updated plant - US_Without Amendment_Aerated Static Pile</v>
      </c>
    </row>
    <row r="8770" spans="1:13" s="120" customFormat="1" x14ac:dyDescent="0.25">
      <c r="A8770" s="119"/>
      <c r="B8770" s="138" t="str">
        <f t="shared" si="709"/>
        <v>Aerated Static Pile</v>
      </c>
      <c r="C8770" s="138" t="str">
        <f t="shared" si="710"/>
        <v>Without Amendment</v>
      </c>
      <c r="D8770" s="138" t="s">
        <v>130</v>
      </c>
      <c r="E8770" s="138" t="str">
        <f t="shared" si="712"/>
        <v>High</v>
      </c>
      <c r="F8770" s="138" t="str">
        <f t="shared" si="711"/>
        <v>Upgraded</v>
      </c>
      <c r="G8770" s="153"/>
      <c r="H8770" s="210">
        <v>4.7600000000000003E-2</v>
      </c>
      <c r="I8770" s="160" t="s">
        <v>48</v>
      </c>
      <c r="J8770" s="160">
        <v>5.2639999999999999E-2</v>
      </c>
      <c r="K8770" s="160" t="s">
        <v>23</v>
      </c>
      <c r="L8770" s="154" t="str">
        <f>IF(OpenLCAbasic!K8770="CTUh", "Fill in Manually",IF(OR(K8770="Unit", K8770=""), "", INDEX(LookUps!$E$5:$E$12, MATCH(OpenLCAbasic!K8770,LookUps!$D$5:$D$12,0))))</f>
        <v>Global Warming Potential (GWP) - kg CO2 eq</v>
      </c>
      <c r="M8770" s="154" t="str">
        <f t="shared" si="713"/>
        <v>High_Base_Upgraded_Global Warming Potential (GWP) - kg CO2 eq_Effluent release; wastewater treatment unit; at surface water; m3 wastewater - US_Without Amendment_Aerated Static Pile</v>
      </c>
    </row>
    <row r="8771" spans="1:13" s="120" customFormat="1" x14ac:dyDescent="0.25">
      <c r="A8771" s="119"/>
      <c r="B8771" s="138" t="str">
        <f t="shared" si="709"/>
        <v>Aerated Static Pile</v>
      </c>
      <c r="C8771" s="138" t="str">
        <f t="shared" si="710"/>
        <v>Without Amendment</v>
      </c>
      <c r="D8771" s="138" t="s">
        <v>130</v>
      </c>
      <c r="E8771" s="138" t="str">
        <f t="shared" si="712"/>
        <v>High</v>
      </c>
      <c r="F8771" s="138" t="str">
        <f t="shared" si="711"/>
        <v>Upgraded</v>
      </c>
      <c r="G8771" s="153"/>
      <c r="H8771" s="210">
        <v>4.5699999999999998E-2</v>
      </c>
      <c r="I8771" s="160" t="s">
        <v>147</v>
      </c>
      <c r="J8771" s="160">
        <v>5.0500000000000003E-2</v>
      </c>
      <c r="K8771" s="160" t="s">
        <v>23</v>
      </c>
      <c r="L8771" s="154" t="str">
        <f>IF(OpenLCAbasic!K8771="CTUh", "Fill in Manually",IF(OR(K8771="Unit", K8771=""), "", INDEX(LookUps!$E$5:$E$12, MATCH(OpenLCAbasic!K8771,LookUps!$D$5:$D$12,0))))</f>
        <v>Global Warming Potential (GWP) - kg CO2 eq</v>
      </c>
      <c r="M8771" s="154" t="str">
        <f t="shared" si="713"/>
        <v>High_Base_Upgraded_Global Warming Potential (GWP) - kg CO2 eq_Influent Pump Station; wastewater treatment unit; at updated plant - US_Without Amendment_Aerated Static Pile</v>
      </c>
    </row>
    <row r="8772" spans="1:13" s="120" customFormat="1" x14ac:dyDescent="0.25">
      <c r="A8772" s="119"/>
      <c r="B8772" s="138" t="str">
        <f t="shared" si="709"/>
        <v>Aerated Static Pile</v>
      </c>
      <c r="C8772" s="138" t="str">
        <f t="shared" si="710"/>
        <v>Without Amendment</v>
      </c>
      <c r="D8772" s="138" t="s">
        <v>130</v>
      </c>
      <c r="E8772" s="138" t="str">
        <f t="shared" si="712"/>
        <v>High</v>
      </c>
      <c r="F8772" s="138" t="str">
        <f t="shared" si="711"/>
        <v>Upgraded</v>
      </c>
      <c r="G8772" s="153"/>
      <c r="H8772" s="210">
        <v>3.0099999999999998E-2</v>
      </c>
      <c r="I8772" s="160" t="s">
        <v>53</v>
      </c>
      <c r="J8772" s="160">
        <v>3.3259999999999998E-2</v>
      </c>
      <c r="K8772" s="160" t="s">
        <v>23</v>
      </c>
      <c r="L8772" s="154" t="str">
        <f>IF(OpenLCAbasic!K8772="CTUh", "Fill in Manually",IF(OR(K8772="Unit", K8772=""), "", INDEX(LookUps!$E$5:$E$12, MATCH(OpenLCAbasic!K8772,LookUps!$D$5:$D$12,0))))</f>
        <v>Global Warming Potential (GWP) - kg CO2 eq</v>
      </c>
      <c r="M8772" s="154" t="str">
        <f t="shared" si="713"/>
        <v>High_Base_Upgraded_Global Warming Potential (GWP) - kg CO2 eq_Wet Well and Sump Station; wastewater treatment unit; at updated plant - US_Without Amendment_Aerated Static Pile</v>
      </c>
    </row>
    <row r="8773" spans="1:13" s="120" customFormat="1" x14ac:dyDescent="0.25">
      <c r="A8773" s="119"/>
      <c r="B8773" s="138" t="str">
        <f t="shared" si="709"/>
        <v>Aerated Static Pile</v>
      </c>
      <c r="C8773" s="138" t="str">
        <f t="shared" si="710"/>
        <v>Without Amendment</v>
      </c>
      <c r="D8773" s="138" t="s">
        <v>130</v>
      </c>
      <c r="E8773" s="138" t="str">
        <f t="shared" si="712"/>
        <v>High</v>
      </c>
      <c r="F8773" s="138" t="str">
        <f t="shared" si="711"/>
        <v>Upgraded</v>
      </c>
      <c r="G8773" s="153"/>
      <c r="H8773" s="210">
        <v>1.32E-2</v>
      </c>
      <c r="I8773" s="160" t="s">
        <v>57</v>
      </c>
      <c r="J8773" s="160">
        <v>1.455E-2</v>
      </c>
      <c r="K8773" s="160" t="s">
        <v>23</v>
      </c>
      <c r="L8773" s="154" t="str">
        <f>IF(OpenLCAbasic!K8773="CTUh", "Fill in Manually",IF(OR(K8773="Unit", K8773=""), "", INDEX(LookUps!$E$5:$E$12, MATCH(OpenLCAbasic!K8773,LookUps!$D$5:$D$12,0))))</f>
        <v>Global Warming Potential (GWP) - kg CO2 eq</v>
      </c>
      <c r="M8773" s="154" t="str">
        <f t="shared" si="713"/>
        <v>High_Base_Upgraded_Global Warming Potential (GWP) - kg CO2 eq_Gravity Belt Thickener; wastewater treatment unit; at updated plant - US_Without Amendment_Aerated Static Pile</v>
      </c>
    </row>
    <row r="8774" spans="1:13" s="120" customFormat="1" x14ac:dyDescent="0.25">
      <c r="A8774" s="119"/>
      <c r="B8774" s="138" t="str">
        <f t="shared" si="709"/>
        <v>Aerated Static Pile</v>
      </c>
      <c r="C8774" s="138" t="str">
        <f t="shared" si="710"/>
        <v>Without Amendment</v>
      </c>
      <c r="D8774" s="138" t="s">
        <v>130</v>
      </c>
      <c r="E8774" s="138" t="str">
        <f t="shared" si="712"/>
        <v>High</v>
      </c>
      <c r="F8774" s="138" t="str">
        <f t="shared" si="711"/>
        <v>Upgraded</v>
      </c>
      <c r="G8774" s="153"/>
      <c r="H8774" s="210">
        <v>1.2200000000000001E-2</v>
      </c>
      <c r="I8774" s="160" t="s">
        <v>128</v>
      </c>
      <c r="J8774" s="160">
        <v>1.3509999999999999E-2</v>
      </c>
      <c r="K8774" s="160" t="s">
        <v>23</v>
      </c>
      <c r="L8774" s="154" t="str">
        <f>IF(OpenLCAbasic!K8774="CTUh", "Fill in Manually",IF(OR(K8774="Unit", K8774=""), "", INDEX(LookUps!$E$5:$E$12, MATCH(OpenLCAbasic!K8774,LookUps!$D$5:$D$12,0))))</f>
        <v>Global Warming Potential (GWP) - kg CO2 eq</v>
      </c>
      <c r="M8774" s="154" t="str">
        <f t="shared" si="713"/>
        <v>High_Base_Upgraded_Global Warming Potential (GWP) - kg CO2 eq_Wastewater collection; operation and infrastructure; m3 wastewater_Without Amendment_Aerated Static Pile</v>
      </c>
    </row>
    <row r="8775" spans="1:13" s="120" customFormat="1" x14ac:dyDescent="0.25">
      <c r="A8775" s="119"/>
      <c r="B8775" s="138" t="str">
        <f t="shared" si="709"/>
        <v>Aerated Static Pile</v>
      </c>
      <c r="C8775" s="138" t="str">
        <f t="shared" si="710"/>
        <v>Without Amendment</v>
      </c>
      <c r="D8775" s="138" t="s">
        <v>130</v>
      </c>
      <c r="E8775" s="138" t="str">
        <f t="shared" si="712"/>
        <v>High</v>
      </c>
      <c r="F8775" s="138" t="str">
        <f t="shared" si="711"/>
        <v>Upgraded</v>
      </c>
      <c r="G8775" s="153"/>
      <c r="H8775" s="210">
        <v>1.1599999999999999E-2</v>
      </c>
      <c r="I8775" s="160" t="s">
        <v>60</v>
      </c>
      <c r="J8775" s="160">
        <v>1.278E-2</v>
      </c>
      <c r="K8775" s="160" t="s">
        <v>23</v>
      </c>
      <c r="L8775" s="154" t="str">
        <f>IF(OpenLCAbasic!K8775="CTUh", "Fill in Manually",IF(OR(K8775="Unit", K8775=""), "", INDEX(LookUps!$E$5:$E$12, MATCH(OpenLCAbasic!K8775,LookUps!$D$5:$D$12,0))))</f>
        <v>Global Warming Potential (GWP) - kg CO2 eq</v>
      </c>
      <c r="M8775" s="154" t="str">
        <f t="shared" si="713"/>
        <v>High_Base_Upgraded_Global Warming Potential (GWP) - kg CO2 eq_Belt filter press; wastewater treatment unit; at updated plant - US_Without Amendment_Aerated Static Pile</v>
      </c>
    </row>
    <row r="8776" spans="1:13" s="120" customFormat="1" x14ac:dyDescent="0.25">
      <c r="A8776" s="119"/>
      <c r="B8776" s="138" t="str">
        <f t="shared" si="709"/>
        <v>Aerated Static Pile</v>
      </c>
      <c r="C8776" s="138" t="str">
        <f t="shared" si="710"/>
        <v>Without Amendment</v>
      </c>
      <c r="D8776" s="138" t="s">
        <v>130</v>
      </c>
      <c r="E8776" s="138" t="str">
        <f t="shared" si="712"/>
        <v>High</v>
      </c>
      <c r="F8776" s="138" t="str">
        <f t="shared" si="711"/>
        <v>Upgraded</v>
      </c>
      <c r="G8776" s="153"/>
      <c r="H8776" s="210">
        <v>7.4999999999999997E-3</v>
      </c>
      <c r="I8776" s="160" t="s">
        <v>148</v>
      </c>
      <c r="J8776" s="160">
        <v>8.3000000000000001E-3</v>
      </c>
      <c r="K8776" s="160" t="s">
        <v>23</v>
      </c>
      <c r="L8776" s="154" t="str">
        <f>IF(OpenLCAbasic!K8776="CTUh", "Fill in Manually",IF(OR(K8776="Unit", K8776=""), "", INDEX(LookUps!$E$5:$E$12, MATCH(OpenLCAbasic!K8776,LookUps!$D$5:$D$12,0))))</f>
        <v>Global Warming Potential (GWP) - kg CO2 eq</v>
      </c>
      <c r="M8776" s="154" t="str">
        <f t="shared" si="713"/>
        <v>High_Base_Upgraded_Global Warming Potential (GWP) - kg CO2 eq_Control Building; at upgraded wastewater treatment plant - US_Without Amendment_Aerated Static Pile</v>
      </c>
    </row>
    <row r="8777" spans="1:13" s="120" customFormat="1" x14ac:dyDescent="0.25">
      <c r="A8777" s="119"/>
      <c r="B8777" s="138" t="str">
        <f t="shared" si="709"/>
        <v>Aerated Static Pile</v>
      </c>
      <c r="C8777" s="138" t="str">
        <f t="shared" si="710"/>
        <v>Without Amendment</v>
      </c>
      <c r="D8777" s="138" t="s">
        <v>130</v>
      </c>
      <c r="E8777" s="138" t="str">
        <f t="shared" si="712"/>
        <v>High</v>
      </c>
      <c r="F8777" s="138" t="str">
        <f t="shared" si="711"/>
        <v>Upgraded</v>
      </c>
      <c r="G8777" s="153"/>
      <c r="H8777" s="210">
        <v>4.5999999999999999E-3</v>
      </c>
      <c r="I8777" s="160" t="s">
        <v>59</v>
      </c>
      <c r="J8777" s="160">
        <v>5.0400000000000002E-3</v>
      </c>
      <c r="K8777" s="160" t="s">
        <v>23</v>
      </c>
      <c r="L8777" s="154" t="str">
        <f>IF(OpenLCAbasic!K8777="CTUh", "Fill in Manually",IF(OR(K8777="Unit", K8777=""), "", INDEX(LookUps!$E$5:$E$12, MATCH(OpenLCAbasic!K8777,LookUps!$D$5:$D$12,0))))</f>
        <v>Global Warming Potential (GWP) - kg CO2 eq</v>
      </c>
      <c r="M8777" s="154" t="str">
        <f t="shared" si="713"/>
        <v>High_Base_Upgraded_Global Warming Potential (GWP) - kg CO2 eq_Blend Tank; wastewater treatment unit; at updated plant - US_Without Amendment_Aerated Static Pile</v>
      </c>
    </row>
    <row r="8778" spans="1:13" s="120" customFormat="1" x14ac:dyDescent="0.25">
      <c r="A8778" s="119"/>
      <c r="B8778" s="138" t="str">
        <f t="shared" si="709"/>
        <v>Aerated Static Pile</v>
      </c>
      <c r="C8778" s="138" t="str">
        <f t="shared" si="710"/>
        <v>Without Amendment</v>
      </c>
      <c r="D8778" s="138" t="s">
        <v>130</v>
      </c>
      <c r="E8778" s="138" t="str">
        <f t="shared" si="712"/>
        <v>High</v>
      </c>
      <c r="F8778" s="138" t="str">
        <f t="shared" si="711"/>
        <v>Upgraded</v>
      </c>
      <c r="G8778" s="153"/>
      <c r="H8778" s="210">
        <v>2.2000000000000001E-3</v>
      </c>
      <c r="I8778" s="160" t="s">
        <v>168</v>
      </c>
      <c r="J8778" s="160">
        <v>2.4099999999999998E-3</v>
      </c>
      <c r="K8778" s="160" t="s">
        <v>23</v>
      </c>
      <c r="L8778" s="154" t="str">
        <f>IF(OpenLCAbasic!K8778="CTUh", "Fill in Manually",IF(OR(K8778="Unit", K8778=""), "", INDEX(LookUps!$E$5:$E$12, MATCH(OpenLCAbasic!K8778,LookUps!$D$5:$D$12,0))))</f>
        <v>Global Warming Potential (GWP) - kg CO2 eq</v>
      </c>
      <c r="M8778" s="154" t="str">
        <f t="shared" si="713"/>
        <v>High_Base_Upgraded_Global Warming Potential (GWP) - kg CO2 eq_ClearCove SCP; wastewater treatment unit; at updated plant - US_Without Amendment_Aerated Static Pile</v>
      </c>
    </row>
    <row r="8779" spans="1:13" s="120" customFormat="1" x14ac:dyDescent="0.25">
      <c r="A8779" s="119"/>
      <c r="B8779" s="138" t="str">
        <f t="shared" si="709"/>
        <v>Aerated Static Pile</v>
      </c>
      <c r="C8779" s="138" t="str">
        <f t="shared" si="710"/>
        <v>Without Amendment</v>
      </c>
      <c r="D8779" s="138" t="s">
        <v>130</v>
      </c>
      <c r="E8779" s="138" t="str">
        <f t="shared" si="712"/>
        <v>High</v>
      </c>
      <c r="F8779" s="138" t="str">
        <f t="shared" si="711"/>
        <v>Upgraded</v>
      </c>
      <c r="G8779" s="153"/>
      <c r="H8779" s="210">
        <v>-5.1200000000000002E-2</v>
      </c>
      <c r="I8779" s="160" t="s">
        <v>149</v>
      </c>
      <c r="J8779" s="160">
        <v>-5.6640000000000003E-2</v>
      </c>
      <c r="K8779" s="160" t="s">
        <v>23</v>
      </c>
      <c r="L8779" s="154" t="str">
        <f>IF(OpenLCAbasic!K8779="CTUh", "Fill in Manually",IF(OR(K8779="Unit", K8779=""), "", INDEX(LookUps!$E$5:$E$12, MATCH(OpenLCAbasic!K8779,LookUps!$D$5:$D$12,0))))</f>
        <v>Global Warming Potential (GWP) - kg CO2 eq</v>
      </c>
      <c r="M8779" s="154" t="str">
        <f t="shared" si="713"/>
        <v>High_Base_Upgraded_Global Warming Potential (GWP) - kg CO2 eq_Anaerobic Digestion; wastewater treatment unit; at updated plant - US_Without Amendment_Aerated Static Pile</v>
      </c>
    </row>
    <row r="8780" spans="1:13" s="120" customFormat="1" x14ac:dyDescent="0.25">
      <c r="A8780" s="119"/>
      <c r="B8780" s="138" t="str">
        <f t="shared" si="709"/>
        <v>Aerated Static Pile</v>
      </c>
      <c r="C8780" s="138" t="str">
        <f t="shared" si="710"/>
        <v>Without Amendment</v>
      </c>
      <c r="D8780" s="138" t="s">
        <v>130</v>
      </c>
      <c r="E8780" s="138" t="str">
        <f t="shared" si="712"/>
        <v>High</v>
      </c>
      <c r="F8780" s="138" t="str">
        <f t="shared" si="711"/>
        <v>Upgraded</v>
      </c>
      <c r="G8780" s="153"/>
      <c r="H8780" s="210">
        <v>-0.1255</v>
      </c>
      <c r="I8780" s="160" t="s">
        <v>62</v>
      </c>
      <c r="J8780" s="160">
        <v>-0.13869000000000001</v>
      </c>
      <c r="K8780" s="160" t="s">
        <v>23</v>
      </c>
      <c r="L8780" s="154" t="str">
        <f>IF(OpenLCAbasic!K8780="CTUh", "Fill in Manually",IF(OR(K8780="Unit", K8780=""), "", INDEX(LookUps!$E$5:$E$12, MATCH(OpenLCAbasic!K8780,LookUps!$D$5:$D$12,0))))</f>
        <v>Global Warming Potential (GWP) - kg CO2 eq</v>
      </c>
      <c r="M8780" s="154" t="str">
        <f t="shared" si="713"/>
        <v>High_Base_Upgraded_Global Warming Potential (GWP) - kg CO2 eq_Land application of compost; wastewater treatment unit; at updated plant - US_Without Amendment_Aerated Static Pile</v>
      </c>
    </row>
    <row r="8781" spans="1:13" s="120" customFormat="1" x14ac:dyDescent="0.25">
      <c r="A8781" s="119"/>
      <c r="B8781" s="138" t="str">
        <f t="shared" si="709"/>
        <v/>
      </c>
      <c r="C8781" s="138" t="str">
        <f t="shared" si="710"/>
        <v/>
      </c>
      <c r="D8781" s="138" t="str">
        <f t="shared" si="708"/>
        <v/>
      </c>
      <c r="E8781" s="138" t="str">
        <f t="shared" si="712"/>
        <v/>
      </c>
      <c r="F8781" s="138" t="str">
        <f t="shared" si="711"/>
        <v/>
      </c>
      <c r="G8781" s="153" t="s">
        <v>51</v>
      </c>
      <c r="H8781" s="160"/>
      <c r="I8781" s="160" t="s">
        <v>47</v>
      </c>
      <c r="J8781" s="160" t="s">
        <v>52</v>
      </c>
      <c r="K8781" s="160" t="s">
        <v>27</v>
      </c>
      <c r="L8781" s="154" t="str">
        <f>IF(OpenLCAbasic!K8781="CTUh", "Fill in Manually",IF(OR(K8781="Unit", K8781=""), "", INDEX(LookUps!$E$5:$E$12, MATCH(OpenLCAbasic!K8781,LookUps!$D$5:$D$12,0))))</f>
        <v/>
      </c>
      <c r="M8781" s="154" t="str">
        <f t="shared" si="713"/>
        <v>____Process__</v>
      </c>
    </row>
    <row r="8782" spans="1:13" s="120" customFormat="1" x14ac:dyDescent="0.25">
      <c r="A8782" s="119"/>
      <c r="B8782" s="138" t="str">
        <f t="shared" si="709"/>
        <v>Aerated Static Pile</v>
      </c>
      <c r="C8782" s="138" t="str">
        <f t="shared" si="710"/>
        <v>Without Amendment</v>
      </c>
      <c r="D8782" s="138" t="s">
        <v>130</v>
      </c>
      <c r="E8782" s="138" t="str">
        <f t="shared" si="712"/>
        <v>High</v>
      </c>
      <c r="F8782" s="138" t="str">
        <f t="shared" si="711"/>
        <v>Upgraded</v>
      </c>
      <c r="G8782" s="153"/>
      <c r="H8782" s="210">
        <v>0.51249999999999996</v>
      </c>
      <c r="I8782" s="160" t="s">
        <v>55</v>
      </c>
      <c r="J8782" s="160">
        <v>2.33E-3</v>
      </c>
      <c r="K8782" s="160" t="s">
        <v>145</v>
      </c>
      <c r="L8782" s="154" t="str">
        <f>IF(OpenLCAbasic!K8782="CTUh", "Fill in Manually",IF(OR(K8782="Unit", K8782=""), "", INDEX(LookUps!$E$5:$E$12, MATCH(OpenLCAbasic!K8782,LookUps!$D$5:$D$12,0))))</f>
        <v>Particulate Matter Formation Potential (PMFP) - kg PM2.5 eq</v>
      </c>
      <c r="M8782" s="154" t="str">
        <f t="shared" si="713"/>
        <v>High_Base_Upgraded_Particulate Matter Formation Potential (PMFP) - kg PM2.5 eq_Aeration Tanks; wastewater treatment unit; at updated plant - US_Without Amendment_Aerated Static Pile</v>
      </c>
    </row>
    <row r="8783" spans="1:13" s="120" customFormat="1" x14ac:dyDescent="0.25">
      <c r="A8783" s="119"/>
      <c r="B8783" s="138" t="str">
        <f t="shared" si="709"/>
        <v>Aerated Static Pile</v>
      </c>
      <c r="C8783" s="138" t="str">
        <f t="shared" si="710"/>
        <v>Without Amendment</v>
      </c>
      <c r="D8783" s="138" t="s">
        <v>130</v>
      </c>
      <c r="E8783" s="138" t="str">
        <f t="shared" si="712"/>
        <v>High</v>
      </c>
      <c r="F8783" s="138" t="str">
        <f t="shared" si="711"/>
        <v>Upgraded</v>
      </c>
      <c r="G8783" s="153"/>
      <c r="H8783" s="210">
        <v>0.14910000000000001</v>
      </c>
      <c r="I8783" s="160" t="s">
        <v>54</v>
      </c>
      <c r="J8783" s="160">
        <v>6.8000000000000005E-4</v>
      </c>
      <c r="K8783" s="160" t="s">
        <v>145</v>
      </c>
      <c r="L8783" s="154" t="str">
        <f>IF(OpenLCAbasic!K8783="CTUh", "Fill in Manually",IF(OR(K8783="Unit", K8783=""), "", INDEX(LookUps!$E$5:$E$12, MATCH(OpenLCAbasic!K8783,LookUps!$D$5:$D$12,0))))</f>
        <v>Particulate Matter Formation Potential (PMFP) - kg PM2.5 eq</v>
      </c>
      <c r="M8783" s="154" t="str">
        <f t="shared" si="713"/>
        <v>High_Base_Upgraded_Particulate Matter Formation Potential (PMFP) - kg PM2.5 eq_Clear Cove Primary Clarification; wastewater treatment unit; at updated plant - US_Without Amendment_Aerated Static Pile</v>
      </c>
    </row>
    <row r="8784" spans="1:13" s="120" customFormat="1" x14ac:dyDescent="0.25">
      <c r="A8784" s="119"/>
      <c r="B8784" s="138" t="str">
        <f t="shared" si="709"/>
        <v>Aerated Static Pile</v>
      </c>
      <c r="C8784" s="138" t="str">
        <f t="shared" si="710"/>
        <v>Without Amendment</v>
      </c>
      <c r="D8784" s="138" t="s">
        <v>130</v>
      </c>
      <c r="E8784" s="138" t="str">
        <f t="shared" si="712"/>
        <v>High</v>
      </c>
      <c r="F8784" s="138" t="str">
        <f t="shared" si="711"/>
        <v>Upgraded</v>
      </c>
      <c r="G8784" s="153"/>
      <c r="H8784" s="210">
        <v>0.1288</v>
      </c>
      <c r="I8784" s="160" t="s">
        <v>58</v>
      </c>
      <c r="J8784" s="160">
        <v>5.9000000000000003E-4</v>
      </c>
      <c r="K8784" s="160" t="s">
        <v>145</v>
      </c>
      <c r="L8784" s="154" t="str">
        <f>IF(OpenLCAbasic!K8784="CTUh", "Fill in Manually",IF(OR(K8784="Unit", K8784=""), "", INDEX(LookUps!$E$5:$E$12, MATCH(OpenLCAbasic!K8784,LookUps!$D$5:$D$12,0))))</f>
        <v>Particulate Matter Formation Potential (PMFP) - kg PM2.5 eq</v>
      </c>
      <c r="M8784" s="154" t="str">
        <f t="shared" si="713"/>
        <v>High_Base_Upgraded_Particulate Matter Formation Potential (PMFP) - kg PM2.5 eq_Pre-Anoxic &amp; Swing tank; wastewater treatment unit; at updated plant - US_Without Amendment_Aerated Static Pile</v>
      </c>
    </row>
    <row r="8785" spans="1:13" s="120" customFormat="1" x14ac:dyDescent="0.25">
      <c r="A8785" s="119"/>
      <c r="B8785" s="138" t="str">
        <f t="shared" si="709"/>
        <v>Aerated Static Pile</v>
      </c>
      <c r="C8785" s="138" t="str">
        <f t="shared" si="710"/>
        <v>Without Amendment</v>
      </c>
      <c r="D8785" s="138" t="s">
        <v>130</v>
      </c>
      <c r="E8785" s="138" t="str">
        <f t="shared" si="712"/>
        <v>High</v>
      </c>
      <c r="F8785" s="138" t="str">
        <f t="shared" si="711"/>
        <v>Upgraded</v>
      </c>
      <c r="G8785" s="153"/>
      <c r="H8785" s="210">
        <v>0.10249999999999999</v>
      </c>
      <c r="I8785" s="160" t="s">
        <v>53</v>
      </c>
      <c r="J8785" s="160">
        <v>4.6999999999999999E-4</v>
      </c>
      <c r="K8785" s="160" t="s">
        <v>145</v>
      </c>
      <c r="L8785" s="154" t="str">
        <f>IF(OpenLCAbasic!K8785="CTUh", "Fill in Manually",IF(OR(K8785="Unit", K8785=""), "", INDEX(LookUps!$E$5:$E$12, MATCH(OpenLCAbasic!K8785,LookUps!$D$5:$D$12,0))))</f>
        <v>Particulate Matter Formation Potential (PMFP) - kg PM2.5 eq</v>
      </c>
      <c r="M8785" s="154" t="str">
        <f t="shared" si="713"/>
        <v>High_Base_Upgraded_Particulate Matter Formation Potential (PMFP) - kg PM2.5 eq_Wet Well and Sump Station; wastewater treatment unit; at updated plant - US_Without Amendment_Aerated Static Pile</v>
      </c>
    </row>
    <row r="8786" spans="1:13" s="120" customFormat="1" x14ac:dyDescent="0.25">
      <c r="A8786" s="119"/>
      <c r="B8786" s="138" t="str">
        <f t="shared" si="709"/>
        <v>Aerated Static Pile</v>
      </c>
      <c r="C8786" s="138" t="str">
        <f t="shared" si="710"/>
        <v>Without Amendment</v>
      </c>
      <c r="D8786" s="138" t="s">
        <v>130</v>
      </c>
      <c r="E8786" s="138" t="str">
        <f t="shared" si="712"/>
        <v>High</v>
      </c>
      <c r="F8786" s="138" t="str">
        <f t="shared" si="711"/>
        <v>Upgraded</v>
      </c>
      <c r="G8786" s="153"/>
      <c r="H8786" s="210">
        <v>6.5699999999999995E-2</v>
      </c>
      <c r="I8786" s="160" t="s">
        <v>167</v>
      </c>
      <c r="J8786" s="160">
        <v>2.9999999999999997E-4</v>
      </c>
      <c r="K8786" s="160" t="s">
        <v>145</v>
      </c>
      <c r="L8786" s="154" t="str">
        <f>IF(OpenLCAbasic!K8786="CTUh", "Fill in Manually",IF(OR(K8786="Unit", K8786=""), "", INDEX(LookUps!$E$5:$E$12, MATCH(OpenLCAbasic!K8786,LookUps!$D$5:$D$12,0))))</f>
        <v>Particulate Matter Formation Potential (PMFP) - kg PM2.5 eq</v>
      </c>
      <c r="M8786" s="154" t="str">
        <f t="shared" si="713"/>
        <v>High_Base_Upgraded_Particulate Matter Formation Potential (PMFP) - kg PM2.5 eq_Waste Receiving and Holding; wastewater treatment unit; at updated plant - US_Without Amendment_Aerated Static Pile</v>
      </c>
    </row>
    <row r="8787" spans="1:13" s="120" customFormat="1" x14ac:dyDescent="0.25">
      <c r="A8787" s="119"/>
      <c r="B8787" s="138" t="str">
        <f t="shared" si="709"/>
        <v>Aerated Static Pile</v>
      </c>
      <c r="C8787" s="138" t="str">
        <f t="shared" si="710"/>
        <v>Without Amendment</v>
      </c>
      <c r="D8787" s="138" t="s">
        <v>130</v>
      </c>
      <c r="E8787" s="138" t="str">
        <f t="shared" si="712"/>
        <v>High</v>
      </c>
      <c r="F8787" s="138" t="str">
        <f t="shared" si="711"/>
        <v>Upgraded</v>
      </c>
      <c r="G8787" s="153"/>
      <c r="H8787" s="210">
        <v>5.8599999999999999E-2</v>
      </c>
      <c r="I8787" s="160" t="s">
        <v>147</v>
      </c>
      <c r="J8787" s="160">
        <v>2.7E-4</v>
      </c>
      <c r="K8787" s="160" t="s">
        <v>145</v>
      </c>
      <c r="L8787" s="154" t="str">
        <f>IF(OpenLCAbasic!K8787="CTUh", "Fill in Manually",IF(OR(K8787="Unit", K8787=""), "", INDEX(LookUps!$E$5:$E$12, MATCH(OpenLCAbasic!K8787,LookUps!$D$5:$D$12,0))))</f>
        <v>Particulate Matter Formation Potential (PMFP) - kg PM2.5 eq</v>
      </c>
      <c r="M8787" s="154" t="str">
        <f t="shared" si="713"/>
        <v>High_Base_Upgraded_Particulate Matter Formation Potential (PMFP) - kg PM2.5 eq_Influent Pump Station; wastewater treatment unit; at updated plant - US_Without Amendment_Aerated Static Pile</v>
      </c>
    </row>
    <row r="8788" spans="1:13" s="120" customFormat="1" x14ac:dyDescent="0.25">
      <c r="A8788" s="119"/>
      <c r="B8788" s="138" t="str">
        <f t="shared" si="709"/>
        <v>Aerated Static Pile</v>
      </c>
      <c r="C8788" s="138" t="str">
        <f t="shared" si="710"/>
        <v>Without Amendment</v>
      </c>
      <c r="D8788" s="138" t="s">
        <v>130</v>
      </c>
      <c r="E8788" s="138" t="str">
        <f t="shared" si="712"/>
        <v>High</v>
      </c>
      <c r="F8788" s="138" t="str">
        <f t="shared" si="711"/>
        <v>Upgraded</v>
      </c>
      <c r="G8788" s="153"/>
      <c r="H8788" s="210">
        <v>5.2200000000000003E-2</v>
      </c>
      <c r="I8788" s="160" t="s">
        <v>435</v>
      </c>
      <c r="J8788" s="160">
        <v>2.4000000000000001E-4</v>
      </c>
      <c r="K8788" s="160" t="s">
        <v>145</v>
      </c>
      <c r="L8788" s="154" t="str">
        <f>IF(OpenLCAbasic!K8788="CTUh", "Fill in Manually",IF(OR(K8788="Unit", K8788=""), "", INDEX(LookUps!$E$5:$E$12, MATCH(OpenLCAbasic!K8788,LookUps!$D$5:$D$12,0))))</f>
        <v>Particulate Matter Formation Potential (PMFP) - kg PM2.5 eq</v>
      </c>
      <c r="M8788" s="154" t="str">
        <f t="shared" si="713"/>
        <v>High_Base_Upgraded_Particulate Matter Formation Potential (PMFP) - kg PM2.5 eq_Biosolids composting; aerated static pile; wastewater treatment unit; at updated plant - US_Without Amendment_Aerated Static Pile</v>
      </c>
    </row>
    <row r="8789" spans="1:13" s="120" customFormat="1" x14ac:dyDescent="0.25">
      <c r="A8789" s="119"/>
      <c r="B8789" s="138" t="str">
        <f t="shared" si="709"/>
        <v>Aerated Static Pile</v>
      </c>
      <c r="C8789" s="138" t="str">
        <f t="shared" si="710"/>
        <v>Without Amendment</v>
      </c>
      <c r="D8789" s="138" t="s">
        <v>130</v>
      </c>
      <c r="E8789" s="138" t="str">
        <f t="shared" si="712"/>
        <v>High</v>
      </c>
      <c r="F8789" s="138" t="str">
        <f t="shared" si="711"/>
        <v>Upgraded</v>
      </c>
      <c r="G8789" s="153"/>
      <c r="H8789" s="210">
        <v>3.6600000000000001E-2</v>
      </c>
      <c r="I8789" s="160" t="s">
        <v>128</v>
      </c>
      <c r="J8789" s="160">
        <v>1.7000000000000001E-4</v>
      </c>
      <c r="K8789" s="160" t="s">
        <v>145</v>
      </c>
      <c r="L8789" s="154" t="str">
        <f>IF(OpenLCAbasic!K8789="CTUh", "Fill in Manually",IF(OR(K8789="Unit", K8789=""), "", INDEX(LookUps!$E$5:$E$12, MATCH(OpenLCAbasic!K8789,LookUps!$D$5:$D$12,0))))</f>
        <v>Particulate Matter Formation Potential (PMFP) - kg PM2.5 eq</v>
      </c>
      <c r="M8789" s="154" t="str">
        <f t="shared" si="713"/>
        <v>High_Base_Upgraded_Particulate Matter Formation Potential (PMFP) - kg PM2.5 eq_Wastewater collection; operation and infrastructure; m3 wastewater_Without Amendment_Aerated Static Pile</v>
      </c>
    </row>
    <row r="8790" spans="1:13" s="120" customFormat="1" x14ac:dyDescent="0.25">
      <c r="A8790" s="119"/>
      <c r="B8790" s="138" t="str">
        <f t="shared" si="709"/>
        <v>Aerated Static Pile</v>
      </c>
      <c r="C8790" s="138" t="str">
        <f t="shared" si="710"/>
        <v>Without Amendment</v>
      </c>
      <c r="D8790" s="138" t="s">
        <v>130</v>
      </c>
      <c r="E8790" s="138" t="str">
        <f t="shared" si="712"/>
        <v>High</v>
      </c>
      <c r="F8790" s="138" t="str">
        <f t="shared" si="711"/>
        <v>Upgraded</v>
      </c>
      <c r="G8790" s="153"/>
      <c r="H8790" s="210">
        <v>2.29E-2</v>
      </c>
      <c r="I8790" s="160" t="s">
        <v>60</v>
      </c>
      <c r="J8790" s="160">
        <v>1E-4</v>
      </c>
      <c r="K8790" s="160" t="s">
        <v>145</v>
      </c>
      <c r="L8790" s="154" t="str">
        <f>IF(OpenLCAbasic!K8790="CTUh", "Fill in Manually",IF(OR(K8790="Unit", K8790=""), "", INDEX(LookUps!$E$5:$E$12, MATCH(OpenLCAbasic!K8790,LookUps!$D$5:$D$12,0))))</f>
        <v>Particulate Matter Formation Potential (PMFP) - kg PM2.5 eq</v>
      </c>
      <c r="M8790" s="154" t="str">
        <f t="shared" si="713"/>
        <v>High_Base_Upgraded_Particulate Matter Formation Potential (PMFP) - kg PM2.5 eq_Belt filter press; wastewater treatment unit; at updated plant - US_Without Amendment_Aerated Static Pile</v>
      </c>
    </row>
    <row r="8791" spans="1:13" s="120" customFormat="1" x14ac:dyDescent="0.25">
      <c r="A8791" s="119"/>
      <c r="B8791" s="138" t="str">
        <f t="shared" si="709"/>
        <v>Aerated Static Pile</v>
      </c>
      <c r="C8791" s="138" t="str">
        <f t="shared" si="710"/>
        <v>Without Amendment</v>
      </c>
      <c r="D8791" s="138" t="s">
        <v>130</v>
      </c>
      <c r="E8791" s="138" t="str">
        <f t="shared" si="712"/>
        <v>High</v>
      </c>
      <c r="F8791" s="138" t="str">
        <f t="shared" si="711"/>
        <v>Upgraded</v>
      </c>
      <c r="G8791" s="153"/>
      <c r="H8791" s="210">
        <v>2.0899999999999998E-2</v>
      </c>
      <c r="I8791" s="160" t="s">
        <v>57</v>
      </c>
      <c r="J8791" s="211">
        <v>9.5153800000000004E-5</v>
      </c>
      <c r="K8791" s="160" t="s">
        <v>145</v>
      </c>
      <c r="L8791" s="154" t="str">
        <f>IF(OpenLCAbasic!K8791="CTUh", "Fill in Manually",IF(OR(K8791="Unit", K8791=""), "", INDEX(LookUps!$E$5:$E$12, MATCH(OpenLCAbasic!K8791,LookUps!$D$5:$D$12,0))))</f>
        <v>Particulate Matter Formation Potential (PMFP) - kg PM2.5 eq</v>
      </c>
      <c r="M8791" s="154" t="str">
        <f t="shared" si="713"/>
        <v>High_Base_Upgraded_Particulate Matter Formation Potential (PMFP) - kg PM2.5 eq_Gravity Belt Thickener; wastewater treatment unit; at updated plant - US_Without Amendment_Aerated Static Pile</v>
      </c>
    </row>
    <row r="8792" spans="1:13" s="120" customFormat="1" x14ac:dyDescent="0.25">
      <c r="A8792" s="119"/>
      <c r="B8792" s="138" t="str">
        <f t="shared" si="709"/>
        <v>Aerated Static Pile</v>
      </c>
      <c r="C8792" s="138" t="str">
        <f t="shared" si="710"/>
        <v>Without Amendment</v>
      </c>
      <c r="D8792" s="138" t="s">
        <v>130</v>
      </c>
      <c r="E8792" s="138" t="str">
        <f t="shared" si="712"/>
        <v>High</v>
      </c>
      <c r="F8792" s="138" t="str">
        <f t="shared" si="711"/>
        <v>Upgraded</v>
      </c>
      <c r="G8792" s="153"/>
      <c r="H8792" s="210">
        <v>1.54E-2</v>
      </c>
      <c r="I8792" s="160" t="s">
        <v>59</v>
      </c>
      <c r="J8792" s="211">
        <v>6.9942200000000003E-5</v>
      </c>
      <c r="K8792" s="160" t="s">
        <v>145</v>
      </c>
      <c r="L8792" s="154" t="str">
        <f>IF(OpenLCAbasic!K8792="CTUh", "Fill in Manually",IF(OR(K8792="Unit", K8792=""), "", INDEX(LookUps!$E$5:$E$12, MATCH(OpenLCAbasic!K8792,LookUps!$D$5:$D$12,0))))</f>
        <v>Particulate Matter Formation Potential (PMFP) - kg PM2.5 eq</v>
      </c>
      <c r="M8792" s="154" t="str">
        <f t="shared" si="713"/>
        <v>High_Base_Upgraded_Particulate Matter Formation Potential (PMFP) - kg PM2.5 eq_Blend Tank; wastewater treatment unit; at updated plant - US_Without Amendment_Aerated Static Pile</v>
      </c>
    </row>
    <row r="8793" spans="1:13" s="120" customFormat="1" x14ac:dyDescent="0.25">
      <c r="A8793" s="119"/>
      <c r="B8793" s="138" t="str">
        <f t="shared" si="709"/>
        <v>Aerated Static Pile</v>
      </c>
      <c r="C8793" s="138" t="str">
        <f t="shared" si="710"/>
        <v>Without Amendment</v>
      </c>
      <c r="D8793" s="138" t="s">
        <v>130</v>
      </c>
      <c r="E8793" s="138" t="str">
        <f t="shared" si="712"/>
        <v>High</v>
      </c>
      <c r="F8793" s="138" t="str">
        <f t="shared" si="711"/>
        <v>Upgraded</v>
      </c>
      <c r="G8793" s="153"/>
      <c r="H8793" s="210">
        <v>1.0999999999999999E-2</v>
      </c>
      <c r="I8793" s="160" t="s">
        <v>48</v>
      </c>
      <c r="J8793" s="211">
        <v>4.99741E-5</v>
      </c>
      <c r="K8793" s="160" t="s">
        <v>145</v>
      </c>
      <c r="L8793" s="154" t="str">
        <f>IF(OpenLCAbasic!K8793="CTUh", "Fill in Manually",IF(OR(K8793="Unit", K8793=""), "", INDEX(LookUps!$E$5:$E$12, MATCH(OpenLCAbasic!K8793,LookUps!$D$5:$D$12,0))))</f>
        <v>Particulate Matter Formation Potential (PMFP) - kg PM2.5 eq</v>
      </c>
      <c r="M8793" s="154" t="str">
        <f t="shared" si="713"/>
        <v>High_Base_Upgraded_Particulate Matter Formation Potential (PMFP) - kg PM2.5 eq_Effluent release; wastewater treatment unit; at surface water; m3 wastewater - US_Without Amendment_Aerated Static Pile</v>
      </c>
    </row>
    <row r="8794" spans="1:13" s="120" customFormat="1" x14ac:dyDescent="0.25">
      <c r="A8794" s="119"/>
      <c r="B8794" s="138" t="str">
        <f t="shared" si="709"/>
        <v>Aerated Static Pile</v>
      </c>
      <c r="C8794" s="138" t="str">
        <f t="shared" si="710"/>
        <v>Without Amendment</v>
      </c>
      <c r="D8794" s="138" t="s">
        <v>130</v>
      </c>
      <c r="E8794" s="138" t="str">
        <f t="shared" si="712"/>
        <v>High</v>
      </c>
      <c r="F8794" s="138" t="str">
        <f t="shared" si="711"/>
        <v>Upgraded</v>
      </c>
      <c r="G8794" s="153"/>
      <c r="H8794" s="210">
        <v>7.6E-3</v>
      </c>
      <c r="I8794" s="160" t="s">
        <v>168</v>
      </c>
      <c r="J8794" s="211">
        <v>3.4562199999999999E-5</v>
      </c>
      <c r="K8794" s="160" t="s">
        <v>145</v>
      </c>
      <c r="L8794" s="154" t="str">
        <f>IF(OpenLCAbasic!K8794="CTUh", "Fill in Manually",IF(OR(K8794="Unit", K8794=""), "", INDEX(LookUps!$E$5:$E$12, MATCH(OpenLCAbasic!K8794,LookUps!$D$5:$D$12,0))))</f>
        <v>Particulate Matter Formation Potential (PMFP) - kg PM2.5 eq</v>
      </c>
      <c r="M8794" s="154" t="str">
        <f t="shared" si="713"/>
        <v>High_Base_Upgraded_Particulate Matter Formation Potential (PMFP) - kg PM2.5 eq_ClearCove SCP; wastewater treatment unit; at updated plant - US_Without Amendment_Aerated Static Pile</v>
      </c>
    </row>
    <row r="8795" spans="1:13" s="120" customFormat="1" x14ac:dyDescent="0.25">
      <c r="A8795" s="119"/>
      <c r="B8795" s="138" t="str">
        <f t="shared" si="709"/>
        <v>Aerated Static Pile</v>
      </c>
      <c r="C8795" s="138" t="str">
        <f t="shared" si="710"/>
        <v>Without Amendment</v>
      </c>
      <c r="D8795" s="138" t="s">
        <v>130</v>
      </c>
      <c r="E8795" s="138" t="str">
        <f t="shared" si="712"/>
        <v>High</v>
      </c>
      <c r="F8795" s="138" t="str">
        <f t="shared" si="711"/>
        <v>Upgraded</v>
      </c>
      <c r="G8795" s="153"/>
      <c r="H8795" s="210">
        <v>5.1999999999999998E-3</v>
      </c>
      <c r="I8795" s="160" t="s">
        <v>62</v>
      </c>
      <c r="J8795" s="211">
        <v>2.3547999999999999E-5</v>
      </c>
      <c r="K8795" s="160" t="s">
        <v>145</v>
      </c>
      <c r="L8795" s="154" t="str">
        <f>IF(OpenLCAbasic!K8795="CTUh", "Fill in Manually",IF(OR(K8795="Unit", K8795=""), "", INDEX(LookUps!$E$5:$E$12, MATCH(OpenLCAbasic!K8795,LookUps!$D$5:$D$12,0))))</f>
        <v>Particulate Matter Formation Potential (PMFP) - kg PM2.5 eq</v>
      </c>
      <c r="M8795" s="154" t="str">
        <f t="shared" si="713"/>
        <v>High_Base_Upgraded_Particulate Matter Formation Potential (PMFP) - kg PM2.5 eq_Land application of compost; wastewater treatment unit; at updated plant - US_Without Amendment_Aerated Static Pile</v>
      </c>
    </row>
    <row r="8796" spans="1:13" s="120" customFormat="1" x14ac:dyDescent="0.25">
      <c r="A8796" s="119"/>
      <c r="B8796" s="138" t="str">
        <f t="shared" si="709"/>
        <v>Aerated Static Pile</v>
      </c>
      <c r="C8796" s="138" t="str">
        <f t="shared" si="710"/>
        <v>Without Amendment</v>
      </c>
      <c r="D8796" s="138" t="s">
        <v>130</v>
      </c>
      <c r="E8796" s="138" t="str">
        <f t="shared" si="712"/>
        <v>High</v>
      </c>
      <c r="F8796" s="138" t="str">
        <f t="shared" si="711"/>
        <v>Upgraded</v>
      </c>
      <c r="G8796" s="153"/>
      <c r="H8796" s="210">
        <v>1.9E-3</v>
      </c>
      <c r="I8796" s="160" t="s">
        <v>148</v>
      </c>
      <c r="J8796" s="211">
        <v>8.8212999999999997E-6</v>
      </c>
      <c r="K8796" s="160" t="s">
        <v>145</v>
      </c>
      <c r="L8796" s="154" t="str">
        <f>IF(OpenLCAbasic!K8796="CTUh", "Fill in Manually",IF(OR(K8796="Unit", K8796=""), "", INDEX(LookUps!$E$5:$E$12, MATCH(OpenLCAbasic!K8796,LookUps!$D$5:$D$12,0))))</f>
        <v>Particulate Matter Formation Potential (PMFP) - kg PM2.5 eq</v>
      </c>
      <c r="M8796" s="154" t="str">
        <f t="shared" si="713"/>
        <v>High_Base_Upgraded_Particulate Matter Formation Potential (PMFP) - kg PM2.5 eq_Control Building; at upgraded wastewater treatment plant - US_Without Amendment_Aerated Static Pile</v>
      </c>
    </row>
    <row r="8797" spans="1:13" s="120" customFormat="1" x14ac:dyDescent="0.25">
      <c r="A8797" s="119"/>
      <c r="B8797" s="138" t="str">
        <f t="shared" si="709"/>
        <v>Aerated Static Pile</v>
      </c>
      <c r="C8797" s="138" t="str">
        <f t="shared" si="710"/>
        <v>Without Amendment</v>
      </c>
      <c r="D8797" s="138" t="s">
        <v>130</v>
      </c>
      <c r="E8797" s="138" t="str">
        <f t="shared" si="712"/>
        <v>High</v>
      </c>
      <c r="F8797" s="138" t="str">
        <f t="shared" si="711"/>
        <v>Upgraded</v>
      </c>
      <c r="G8797" s="153"/>
      <c r="H8797" s="210">
        <v>-0.1908</v>
      </c>
      <c r="I8797" s="160" t="s">
        <v>149</v>
      </c>
      <c r="J8797" s="160">
        <v>-8.7000000000000001E-4</v>
      </c>
      <c r="K8797" s="160" t="s">
        <v>145</v>
      </c>
      <c r="L8797" s="154" t="str">
        <f>IF(OpenLCAbasic!K8797="CTUh", "Fill in Manually",IF(OR(K8797="Unit", K8797=""), "", INDEX(LookUps!$E$5:$E$12, MATCH(OpenLCAbasic!K8797,LookUps!$D$5:$D$12,0))))</f>
        <v>Particulate Matter Formation Potential (PMFP) - kg PM2.5 eq</v>
      </c>
      <c r="M8797" s="154" t="str">
        <f t="shared" si="713"/>
        <v>High_Base_Upgraded_Particulate Matter Formation Potential (PMFP) - kg PM2.5 eq_Anaerobic Digestion; wastewater treatment unit; at updated plant - US_Without Amendment_Aerated Static Pile</v>
      </c>
    </row>
    <row r="8798" spans="1:13" s="120" customFormat="1" x14ac:dyDescent="0.25">
      <c r="A8798" s="119"/>
      <c r="B8798" s="138" t="str">
        <f t="shared" si="709"/>
        <v/>
      </c>
      <c r="C8798" s="138" t="str">
        <f t="shared" si="710"/>
        <v/>
      </c>
      <c r="D8798" s="138" t="str">
        <f t="shared" ref="D8798:D8815" si="714">IF(ISNUMBER($J8798),"Base_Base","")</f>
        <v/>
      </c>
      <c r="E8798" s="138" t="str">
        <f t="shared" si="712"/>
        <v/>
      </c>
      <c r="F8798" s="138" t="str">
        <f t="shared" si="711"/>
        <v/>
      </c>
      <c r="G8798" s="153" t="s">
        <v>51</v>
      </c>
      <c r="H8798" s="160"/>
      <c r="I8798" s="160" t="s">
        <v>47</v>
      </c>
      <c r="J8798" s="160" t="s">
        <v>52</v>
      </c>
      <c r="K8798" s="160" t="s">
        <v>27</v>
      </c>
      <c r="L8798" s="154" t="str">
        <f>IF(OpenLCAbasic!K8798="CTUh", "Fill in Manually",IF(OR(K8798="Unit", K8798=""), "", INDEX(LookUps!$E$5:$E$12, MATCH(OpenLCAbasic!K8798,LookUps!$D$5:$D$12,0))))</f>
        <v/>
      </c>
      <c r="M8798" s="154" t="str">
        <f t="shared" si="713"/>
        <v>____Process__</v>
      </c>
    </row>
    <row r="8799" spans="1:13" s="120" customFormat="1" x14ac:dyDescent="0.25">
      <c r="A8799" s="119"/>
      <c r="B8799" s="138" t="str">
        <f t="shared" si="709"/>
        <v>Aerated Static Pile</v>
      </c>
      <c r="C8799" s="138" t="str">
        <f t="shared" si="710"/>
        <v>Without Amendment</v>
      </c>
      <c r="D8799" s="138" t="s">
        <v>130</v>
      </c>
      <c r="E8799" s="138" t="str">
        <f t="shared" si="712"/>
        <v>High</v>
      </c>
      <c r="F8799" s="138" t="str">
        <f t="shared" si="711"/>
        <v>Upgraded</v>
      </c>
      <c r="G8799" s="153"/>
      <c r="H8799" s="210">
        <v>0.50880000000000003</v>
      </c>
      <c r="I8799" s="160" t="s">
        <v>55</v>
      </c>
      <c r="J8799" s="160">
        <v>0.16577</v>
      </c>
      <c r="K8799" s="160" t="s">
        <v>25</v>
      </c>
      <c r="L8799" s="154" t="str">
        <f>IF(OpenLCAbasic!K8799="CTUh", "Fill in Manually",IF(OR(K8799="Unit", K8799=""), "", INDEX(LookUps!$E$5:$E$12, MATCH(OpenLCAbasic!K8799,LookUps!$D$5:$D$12,0))))</f>
        <v>Smog Formation Potential (SFP) - kg O3 eq</v>
      </c>
      <c r="M8799" s="154" t="str">
        <f t="shared" si="713"/>
        <v>High_Base_Upgraded_Smog Formation Potential (SFP) - kg O3 eq_Aeration Tanks; wastewater treatment unit; at updated plant - US_Without Amendment_Aerated Static Pile</v>
      </c>
    </row>
    <row r="8800" spans="1:13" s="120" customFormat="1" x14ac:dyDescent="0.25">
      <c r="A8800" s="119"/>
      <c r="B8800" s="138" t="str">
        <f t="shared" si="709"/>
        <v>Aerated Static Pile</v>
      </c>
      <c r="C8800" s="138" t="str">
        <f t="shared" si="710"/>
        <v>Without Amendment</v>
      </c>
      <c r="D8800" s="138" t="s">
        <v>130</v>
      </c>
      <c r="E8800" s="138" t="str">
        <f t="shared" si="712"/>
        <v>High</v>
      </c>
      <c r="F8800" s="138" t="str">
        <f t="shared" si="711"/>
        <v>Upgraded</v>
      </c>
      <c r="G8800" s="153"/>
      <c r="H8800" s="210">
        <v>0.14749999999999999</v>
      </c>
      <c r="I8800" s="160" t="s">
        <v>54</v>
      </c>
      <c r="J8800" s="160">
        <v>4.8070000000000002E-2</v>
      </c>
      <c r="K8800" s="160" t="s">
        <v>25</v>
      </c>
      <c r="L8800" s="154" t="str">
        <f>IF(OpenLCAbasic!K8800="CTUh", "Fill in Manually",IF(OR(K8800="Unit", K8800=""), "", INDEX(LookUps!$E$5:$E$12, MATCH(OpenLCAbasic!K8800,LookUps!$D$5:$D$12,0))))</f>
        <v>Smog Formation Potential (SFP) - kg O3 eq</v>
      </c>
      <c r="M8800" s="154" t="str">
        <f t="shared" si="713"/>
        <v>High_Base_Upgraded_Smog Formation Potential (SFP) - kg O3 eq_Clear Cove Primary Clarification; wastewater treatment unit; at updated plant - US_Without Amendment_Aerated Static Pile</v>
      </c>
    </row>
    <row r="8801" spans="1:13" s="120" customFormat="1" x14ac:dyDescent="0.25">
      <c r="A8801" s="119"/>
      <c r="B8801" s="138" t="str">
        <f t="shared" si="709"/>
        <v>Aerated Static Pile</v>
      </c>
      <c r="C8801" s="138" t="str">
        <f t="shared" si="710"/>
        <v>Without Amendment</v>
      </c>
      <c r="D8801" s="138" t="s">
        <v>130</v>
      </c>
      <c r="E8801" s="138" t="str">
        <f t="shared" si="712"/>
        <v>High</v>
      </c>
      <c r="F8801" s="138" t="str">
        <f t="shared" si="711"/>
        <v>Upgraded</v>
      </c>
      <c r="G8801" s="153"/>
      <c r="H8801" s="210">
        <v>0.12820000000000001</v>
      </c>
      <c r="I8801" s="160" t="s">
        <v>58</v>
      </c>
      <c r="J8801" s="160">
        <v>4.1779999999999998E-2</v>
      </c>
      <c r="K8801" s="160" t="s">
        <v>25</v>
      </c>
      <c r="L8801" s="154" t="str">
        <f>IF(OpenLCAbasic!K8801="CTUh", "Fill in Manually",IF(OR(K8801="Unit", K8801=""), "", INDEX(LookUps!$E$5:$E$12, MATCH(OpenLCAbasic!K8801,LookUps!$D$5:$D$12,0))))</f>
        <v>Smog Formation Potential (SFP) - kg O3 eq</v>
      </c>
      <c r="M8801" s="154" t="str">
        <f t="shared" si="713"/>
        <v>High_Base_Upgraded_Smog Formation Potential (SFP) - kg O3 eq_Pre-Anoxic &amp; Swing tank; wastewater treatment unit; at updated plant - US_Without Amendment_Aerated Static Pile</v>
      </c>
    </row>
    <row r="8802" spans="1:13" s="120" customFormat="1" x14ac:dyDescent="0.25">
      <c r="A8802" s="119"/>
      <c r="B8802" s="138" t="str">
        <f t="shared" si="709"/>
        <v>Aerated Static Pile</v>
      </c>
      <c r="C8802" s="138" t="str">
        <f t="shared" si="710"/>
        <v>Without Amendment</v>
      </c>
      <c r="D8802" s="138" t="s">
        <v>130</v>
      </c>
      <c r="E8802" s="138" t="str">
        <f t="shared" si="712"/>
        <v>High</v>
      </c>
      <c r="F8802" s="138" t="str">
        <f t="shared" si="711"/>
        <v>Upgraded</v>
      </c>
      <c r="G8802" s="153"/>
      <c r="H8802" s="210">
        <v>0.1017</v>
      </c>
      <c r="I8802" s="160" t="s">
        <v>53</v>
      </c>
      <c r="J8802" s="160">
        <v>3.313E-2</v>
      </c>
      <c r="K8802" s="160" t="s">
        <v>25</v>
      </c>
      <c r="L8802" s="154" t="str">
        <f>IF(OpenLCAbasic!K8802="CTUh", "Fill in Manually",IF(OR(K8802="Unit", K8802=""), "", INDEX(LookUps!$E$5:$E$12, MATCH(OpenLCAbasic!K8802,LookUps!$D$5:$D$12,0))))</f>
        <v>Smog Formation Potential (SFP) - kg O3 eq</v>
      </c>
      <c r="M8802" s="154" t="str">
        <f t="shared" si="713"/>
        <v>High_Base_Upgraded_Smog Formation Potential (SFP) - kg O3 eq_Wet Well and Sump Station; wastewater treatment unit; at updated plant - US_Without Amendment_Aerated Static Pile</v>
      </c>
    </row>
    <row r="8803" spans="1:13" s="120" customFormat="1" x14ac:dyDescent="0.25">
      <c r="A8803" s="119"/>
      <c r="B8803" s="138" t="str">
        <f t="shared" si="709"/>
        <v>Aerated Static Pile</v>
      </c>
      <c r="C8803" s="138" t="str">
        <f t="shared" si="710"/>
        <v>Without Amendment</v>
      </c>
      <c r="D8803" s="138" t="s">
        <v>130</v>
      </c>
      <c r="E8803" s="138" t="str">
        <f t="shared" si="712"/>
        <v>High</v>
      </c>
      <c r="F8803" s="138" t="str">
        <f t="shared" si="711"/>
        <v>Upgraded</v>
      </c>
      <c r="G8803" s="153"/>
      <c r="H8803" s="210">
        <v>8.5800000000000001E-2</v>
      </c>
      <c r="I8803" s="160" t="s">
        <v>167</v>
      </c>
      <c r="J8803" s="160">
        <v>2.7949999999999999E-2</v>
      </c>
      <c r="K8803" s="160" t="s">
        <v>25</v>
      </c>
      <c r="L8803" s="154" t="str">
        <f>IF(OpenLCAbasic!K8803="CTUh", "Fill in Manually",IF(OR(K8803="Unit", K8803=""), "", INDEX(LookUps!$E$5:$E$12, MATCH(OpenLCAbasic!K8803,LookUps!$D$5:$D$12,0))))</f>
        <v>Smog Formation Potential (SFP) - kg O3 eq</v>
      </c>
      <c r="M8803" s="154" t="str">
        <f t="shared" si="713"/>
        <v>High_Base_Upgraded_Smog Formation Potential (SFP) - kg O3 eq_Waste Receiving and Holding; wastewater treatment unit; at updated plant - US_Without Amendment_Aerated Static Pile</v>
      </c>
    </row>
    <row r="8804" spans="1:13" s="120" customFormat="1" x14ac:dyDescent="0.25">
      <c r="A8804" s="119"/>
      <c r="B8804" s="138" t="str">
        <f t="shared" si="709"/>
        <v>Aerated Static Pile</v>
      </c>
      <c r="C8804" s="138" t="str">
        <f t="shared" si="710"/>
        <v>Without Amendment</v>
      </c>
      <c r="D8804" s="138" t="s">
        <v>130</v>
      </c>
      <c r="E8804" s="138" t="str">
        <f t="shared" si="712"/>
        <v>High</v>
      </c>
      <c r="F8804" s="138" t="str">
        <f t="shared" si="711"/>
        <v>Upgraded</v>
      </c>
      <c r="G8804" s="153"/>
      <c r="H8804" s="210">
        <v>5.9499999999999997E-2</v>
      </c>
      <c r="I8804" s="160" t="s">
        <v>147</v>
      </c>
      <c r="J8804" s="160">
        <v>1.9400000000000001E-2</v>
      </c>
      <c r="K8804" s="160" t="s">
        <v>25</v>
      </c>
      <c r="L8804" s="154" t="str">
        <f>IF(OpenLCAbasic!K8804="CTUh", "Fill in Manually",IF(OR(K8804="Unit", K8804=""), "", INDEX(LookUps!$E$5:$E$12, MATCH(OpenLCAbasic!K8804,LookUps!$D$5:$D$12,0))))</f>
        <v>Smog Formation Potential (SFP) - kg O3 eq</v>
      </c>
      <c r="M8804" s="154" t="str">
        <f t="shared" si="713"/>
        <v>High_Base_Upgraded_Smog Formation Potential (SFP) - kg O3 eq_Influent Pump Station; wastewater treatment unit; at updated plant - US_Without Amendment_Aerated Static Pile</v>
      </c>
    </row>
    <row r="8805" spans="1:13" s="120" customFormat="1" x14ac:dyDescent="0.25">
      <c r="A8805" s="119"/>
      <c r="B8805" s="138" t="str">
        <f t="shared" si="709"/>
        <v>Aerated Static Pile</v>
      </c>
      <c r="C8805" s="138" t="str">
        <f t="shared" si="710"/>
        <v>Without Amendment</v>
      </c>
      <c r="D8805" s="138" t="s">
        <v>130</v>
      </c>
      <c r="E8805" s="138" t="str">
        <f t="shared" si="712"/>
        <v>High</v>
      </c>
      <c r="F8805" s="138" t="str">
        <f t="shared" si="711"/>
        <v>Upgraded</v>
      </c>
      <c r="G8805" s="153"/>
      <c r="H8805" s="210">
        <v>4.9299999999999997E-2</v>
      </c>
      <c r="I8805" s="160" t="s">
        <v>435</v>
      </c>
      <c r="J8805" s="160">
        <v>1.6070000000000001E-2</v>
      </c>
      <c r="K8805" s="160" t="s">
        <v>25</v>
      </c>
      <c r="L8805" s="154" t="str">
        <f>IF(OpenLCAbasic!K8805="CTUh", "Fill in Manually",IF(OR(K8805="Unit", K8805=""), "", INDEX(LookUps!$E$5:$E$12, MATCH(OpenLCAbasic!K8805,LookUps!$D$5:$D$12,0))))</f>
        <v>Smog Formation Potential (SFP) - kg O3 eq</v>
      </c>
      <c r="M8805" s="154" t="str">
        <f t="shared" si="713"/>
        <v>High_Base_Upgraded_Smog Formation Potential (SFP) - kg O3 eq_Biosolids composting; aerated static pile; wastewater treatment unit; at updated plant - US_Without Amendment_Aerated Static Pile</v>
      </c>
    </row>
    <row r="8806" spans="1:13" s="120" customFormat="1" x14ac:dyDescent="0.25">
      <c r="A8806" s="119"/>
      <c r="B8806" s="138" t="str">
        <f t="shared" si="709"/>
        <v>Aerated Static Pile</v>
      </c>
      <c r="C8806" s="138" t="str">
        <f t="shared" si="710"/>
        <v>Without Amendment</v>
      </c>
      <c r="D8806" s="138" t="s">
        <v>130</v>
      </c>
      <c r="E8806" s="138" t="str">
        <f t="shared" si="712"/>
        <v>High</v>
      </c>
      <c r="F8806" s="138" t="str">
        <f t="shared" si="711"/>
        <v>Upgraded</v>
      </c>
      <c r="G8806" s="153"/>
      <c r="H8806" s="210">
        <v>3.6600000000000001E-2</v>
      </c>
      <c r="I8806" s="160" t="s">
        <v>128</v>
      </c>
      <c r="J8806" s="160">
        <v>1.192E-2</v>
      </c>
      <c r="K8806" s="160" t="s">
        <v>25</v>
      </c>
      <c r="L8806" s="154" t="str">
        <f>IF(OpenLCAbasic!K8806="CTUh", "Fill in Manually",IF(OR(K8806="Unit", K8806=""), "", INDEX(LookUps!$E$5:$E$12, MATCH(OpenLCAbasic!K8806,LookUps!$D$5:$D$12,0))))</f>
        <v>Smog Formation Potential (SFP) - kg O3 eq</v>
      </c>
      <c r="M8806" s="154" t="str">
        <f t="shared" si="713"/>
        <v>High_Base_Upgraded_Smog Formation Potential (SFP) - kg O3 eq_Wastewater collection; operation and infrastructure; m3 wastewater_Without Amendment_Aerated Static Pile</v>
      </c>
    </row>
    <row r="8807" spans="1:13" s="120" customFormat="1" x14ac:dyDescent="0.25">
      <c r="A8807" s="119"/>
      <c r="B8807" s="138" t="str">
        <f t="shared" si="709"/>
        <v>Aerated Static Pile</v>
      </c>
      <c r="C8807" s="138" t="str">
        <f t="shared" si="710"/>
        <v>Without Amendment</v>
      </c>
      <c r="D8807" s="138" t="s">
        <v>130</v>
      </c>
      <c r="E8807" s="138" t="str">
        <f t="shared" si="712"/>
        <v>High</v>
      </c>
      <c r="F8807" s="138" t="str">
        <f t="shared" si="711"/>
        <v>Upgraded</v>
      </c>
      <c r="G8807" s="153"/>
      <c r="H8807" s="210">
        <v>2.2499999999999999E-2</v>
      </c>
      <c r="I8807" s="160" t="s">
        <v>60</v>
      </c>
      <c r="J8807" s="160">
        <v>7.3499999999999998E-3</v>
      </c>
      <c r="K8807" s="160" t="s">
        <v>25</v>
      </c>
      <c r="L8807" s="154" t="str">
        <f>IF(OpenLCAbasic!K8807="CTUh", "Fill in Manually",IF(OR(K8807="Unit", K8807=""), "", INDEX(LookUps!$E$5:$E$12, MATCH(OpenLCAbasic!K8807,LookUps!$D$5:$D$12,0))))</f>
        <v>Smog Formation Potential (SFP) - kg O3 eq</v>
      </c>
      <c r="M8807" s="154" t="str">
        <f t="shared" si="713"/>
        <v>High_Base_Upgraded_Smog Formation Potential (SFP) - kg O3 eq_Belt filter press; wastewater treatment unit; at updated plant - US_Without Amendment_Aerated Static Pile</v>
      </c>
    </row>
    <row r="8808" spans="1:13" s="120" customFormat="1" x14ac:dyDescent="0.25">
      <c r="A8808" s="119"/>
      <c r="B8808" s="138" t="str">
        <f t="shared" si="709"/>
        <v>Aerated Static Pile</v>
      </c>
      <c r="C8808" s="138" t="str">
        <f t="shared" si="710"/>
        <v>Without Amendment</v>
      </c>
      <c r="D8808" s="138" t="s">
        <v>130</v>
      </c>
      <c r="E8808" s="138" t="str">
        <f t="shared" si="712"/>
        <v>High</v>
      </c>
      <c r="F8808" s="138" t="str">
        <f t="shared" si="711"/>
        <v>Upgraded</v>
      </c>
      <c r="G8808" s="153"/>
      <c r="H8808" s="210">
        <v>2.0400000000000001E-2</v>
      </c>
      <c r="I8808" s="160" t="s">
        <v>57</v>
      </c>
      <c r="J8808" s="160">
        <v>6.6499999999999997E-3</v>
      </c>
      <c r="K8808" s="160" t="s">
        <v>25</v>
      </c>
      <c r="L8808" s="154" t="str">
        <f>IF(OpenLCAbasic!K8808="CTUh", "Fill in Manually",IF(OR(K8808="Unit", K8808=""), "", INDEX(LookUps!$E$5:$E$12, MATCH(OpenLCAbasic!K8808,LookUps!$D$5:$D$12,0))))</f>
        <v>Smog Formation Potential (SFP) - kg O3 eq</v>
      </c>
      <c r="M8808" s="154" t="str">
        <f t="shared" si="713"/>
        <v>High_Base_Upgraded_Smog Formation Potential (SFP) - kg O3 eq_Gravity Belt Thickener; wastewater treatment unit; at updated plant - US_Without Amendment_Aerated Static Pile</v>
      </c>
    </row>
    <row r="8809" spans="1:13" s="120" customFormat="1" x14ac:dyDescent="0.25">
      <c r="A8809" s="119"/>
      <c r="B8809" s="138" t="str">
        <f t="shared" ref="B8809:B8831" si="715">IF(F8809="Legacy","n.a.",IF(F8809="","","Aerated Static Pile"))</f>
        <v>Aerated Static Pile</v>
      </c>
      <c r="C8809" s="138" t="str">
        <f t="shared" ref="C8809:C8831" si="716">IF(ISNUMBER($J8809),"Without Amendment","")</f>
        <v>Without Amendment</v>
      </c>
      <c r="D8809" s="138" t="s">
        <v>130</v>
      </c>
      <c r="E8809" s="138" t="str">
        <f t="shared" si="712"/>
        <v>High</v>
      </c>
      <c r="F8809" s="138" t="str">
        <f t="shared" ref="F8809:F8831" si="717">IF(ISNUMBER(J8809),"Upgraded","")</f>
        <v>Upgraded</v>
      </c>
      <c r="G8809" s="153"/>
      <c r="H8809" s="210">
        <v>1.5299999999999999E-2</v>
      </c>
      <c r="I8809" s="160" t="s">
        <v>59</v>
      </c>
      <c r="J8809" s="160">
        <v>4.9699999999999996E-3</v>
      </c>
      <c r="K8809" s="160" t="s">
        <v>25</v>
      </c>
      <c r="L8809" s="154" t="str">
        <f>IF(OpenLCAbasic!K8809="CTUh", "Fill in Manually",IF(OR(K8809="Unit", K8809=""), "", INDEX(LookUps!$E$5:$E$12, MATCH(OpenLCAbasic!K8809,LookUps!$D$5:$D$12,0))))</f>
        <v>Smog Formation Potential (SFP) - kg O3 eq</v>
      </c>
      <c r="M8809" s="154" t="str">
        <f t="shared" si="713"/>
        <v>High_Base_Upgraded_Smog Formation Potential (SFP) - kg O3 eq_Blend Tank; wastewater treatment unit; at updated plant - US_Without Amendment_Aerated Static Pile</v>
      </c>
    </row>
    <row r="8810" spans="1:13" s="120" customFormat="1" x14ac:dyDescent="0.25">
      <c r="A8810" s="119"/>
      <c r="B8810" s="138" t="str">
        <f t="shared" si="715"/>
        <v>Aerated Static Pile</v>
      </c>
      <c r="C8810" s="138" t="str">
        <f t="shared" si="716"/>
        <v>Without Amendment</v>
      </c>
      <c r="D8810" s="138" t="s">
        <v>130</v>
      </c>
      <c r="E8810" s="138" t="str">
        <f t="shared" si="712"/>
        <v>High</v>
      </c>
      <c r="F8810" s="138" t="str">
        <f t="shared" si="717"/>
        <v>Upgraded</v>
      </c>
      <c r="G8810" s="153"/>
      <c r="H8810" s="210">
        <v>1.04E-2</v>
      </c>
      <c r="I8810" s="160" t="s">
        <v>48</v>
      </c>
      <c r="J8810" s="160">
        <v>3.3899999999999998E-3</v>
      </c>
      <c r="K8810" s="160" t="s">
        <v>25</v>
      </c>
      <c r="L8810" s="154" t="str">
        <f>IF(OpenLCAbasic!K8810="CTUh", "Fill in Manually",IF(OR(K8810="Unit", K8810=""), "", INDEX(LookUps!$E$5:$E$12, MATCH(OpenLCAbasic!K8810,LookUps!$D$5:$D$12,0))))</f>
        <v>Smog Formation Potential (SFP) - kg O3 eq</v>
      </c>
      <c r="M8810" s="154" t="str">
        <f t="shared" si="713"/>
        <v>High_Base_Upgraded_Smog Formation Potential (SFP) - kg O3 eq_Effluent release; wastewater treatment unit; at surface water; m3 wastewater - US_Without Amendment_Aerated Static Pile</v>
      </c>
    </row>
    <row r="8811" spans="1:13" s="120" customFormat="1" x14ac:dyDescent="0.25">
      <c r="A8811" s="119"/>
      <c r="B8811" s="138" t="str">
        <f t="shared" si="715"/>
        <v>Aerated Static Pile</v>
      </c>
      <c r="C8811" s="138" t="str">
        <f t="shared" si="716"/>
        <v>Without Amendment</v>
      </c>
      <c r="D8811" s="138" t="s">
        <v>130</v>
      </c>
      <c r="E8811" s="138" t="str">
        <f t="shared" si="712"/>
        <v>High</v>
      </c>
      <c r="F8811" s="138" t="str">
        <f t="shared" si="717"/>
        <v>Upgraded</v>
      </c>
      <c r="G8811" s="153"/>
      <c r="H8811" s="210">
        <v>7.4999999999999997E-3</v>
      </c>
      <c r="I8811" s="160" t="s">
        <v>168</v>
      </c>
      <c r="J8811" s="160">
        <v>2.4599999999999999E-3</v>
      </c>
      <c r="K8811" s="160" t="s">
        <v>25</v>
      </c>
      <c r="L8811" s="154" t="str">
        <f>IF(OpenLCAbasic!K8811="CTUh", "Fill in Manually",IF(OR(K8811="Unit", K8811=""), "", INDEX(LookUps!$E$5:$E$12, MATCH(OpenLCAbasic!K8811,LookUps!$D$5:$D$12,0))))</f>
        <v>Smog Formation Potential (SFP) - kg O3 eq</v>
      </c>
      <c r="M8811" s="154" t="str">
        <f t="shared" si="713"/>
        <v>High_Base_Upgraded_Smog Formation Potential (SFP) - kg O3 eq_ClearCove SCP; wastewater treatment unit; at updated plant - US_Without Amendment_Aerated Static Pile</v>
      </c>
    </row>
    <row r="8812" spans="1:13" s="120" customFormat="1" x14ac:dyDescent="0.25">
      <c r="A8812" s="119"/>
      <c r="B8812" s="138" t="str">
        <f t="shared" si="715"/>
        <v>Aerated Static Pile</v>
      </c>
      <c r="C8812" s="138" t="str">
        <f t="shared" si="716"/>
        <v>Without Amendment</v>
      </c>
      <c r="D8812" s="138" t="s">
        <v>130</v>
      </c>
      <c r="E8812" s="138" t="str">
        <f t="shared" si="712"/>
        <v>High</v>
      </c>
      <c r="F8812" s="138" t="str">
        <f t="shared" si="717"/>
        <v>Upgraded</v>
      </c>
      <c r="G8812" s="153"/>
      <c r="H8812" s="210">
        <v>1.6999999999999999E-3</v>
      </c>
      <c r="I8812" s="160" t="s">
        <v>148</v>
      </c>
      <c r="J8812" s="160">
        <v>5.4000000000000001E-4</v>
      </c>
      <c r="K8812" s="160" t="s">
        <v>25</v>
      </c>
      <c r="L8812" s="154" t="str">
        <f>IF(OpenLCAbasic!K8812="CTUh", "Fill in Manually",IF(OR(K8812="Unit", K8812=""), "", INDEX(LookUps!$E$5:$E$12, MATCH(OpenLCAbasic!K8812,LookUps!$D$5:$D$12,0))))</f>
        <v>Smog Formation Potential (SFP) - kg O3 eq</v>
      </c>
      <c r="M8812" s="154" t="str">
        <f t="shared" si="713"/>
        <v>High_Base_Upgraded_Smog Formation Potential (SFP) - kg O3 eq_Control Building; at upgraded wastewater treatment plant - US_Without Amendment_Aerated Static Pile</v>
      </c>
    </row>
    <row r="8813" spans="1:13" s="120" customFormat="1" x14ac:dyDescent="0.25">
      <c r="A8813" s="119"/>
      <c r="B8813" s="138" t="str">
        <f t="shared" si="715"/>
        <v>Aerated Static Pile</v>
      </c>
      <c r="C8813" s="138" t="str">
        <f t="shared" si="716"/>
        <v>Without Amendment</v>
      </c>
      <c r="D8813" s="138" t="s">
        <v>130</v>
      </c>
      <c r="E8813" s="138" t="str">
        <f t="shared" si="712"/>
        <v>High</v>
      </c>
      <c r="F8813" s="138" t="str">
        <f t="shared" si="717"/>
        <v>Upgraded</v>
      </c>
      <c r="G8813" s="153"/>
      <c r="H8813" s="210">
        <v>-5.1000000000000004E-3</v>
      </c>
      <c r="I8813" s="160" t="s">
        <v>62</v>
      </c>
      <c r="J8813" s="160">
        <v>-1.6800000000000001E-3</v>
      </c>
      <c r="K8813" s="160" t="s">
        <v>25</v>
      </c>
      <c r="L8813" s="154" t="str">
        <f>IF(OpenLCAbasic!K8813="CTUh", "Fill in Manually",IF(OR(K8813="Unit", K8813=""), "", INDEX(LookUps!$E$5:$E$12, MATCH(OpenLCAbasic!K8813,LookUps!$D$5:$D$12,0))))</f>
        <v>Smog Formation Potential (SFP) - kg O3 eq</v>
      </c>
      <c r="M8813" s="154" t="str">
        <f t="shared" si="713"/>
        <v>High_Base_Upgraded_Smog Formation Potential (SFP) - kg O3 eq_Land application of compost; wastewater treatment unit; at updated plant - US_Without Amendment_Aerated Static Pile</v>
      </c>
    </row>
    <row r="8814" spans="1:13" s="120" customFormat="1" x14ac:dyDescent="0.25">
      <c r="A8814" s="119"/>
      <c r="B8814" s="138" t="str">
        <f t="shared" si="715"/>
        <v>Aerated Static Pile</v>
      </c>
      <c r="C8814" s="138" t="str">
        <f t="shared" si="716"/>
        <v>Without Amendment</v>
      </c>
      <c r="D8814" s="138" t="s">
        <v>130</v>
      </c>
      <c r="E8814" s="138" t="str">
        <f t="shared" si="712"/>
        <v>High</v>
      </c>
      <c r="F8814" s="138" t="str">
        <f t="shared" si="717"/>
        <v>Upgraded</v>
      </c>
      <c r="G8814" s="153"/>
      <c r="H8814" s="210">
        <v>-0.19009999999999999</v>
      </c>
      <c r="I8814" s="160" t="s">
        <v>149</v>
      </c>
      <c r="J8814" s="160">
        <v>-6.1940000000000002E-2</v>
      </c>
      <c r="K8814" s="160" t="s">
        <v>25</v>
      </c>
      <c r="L8814" s="154" t="str">
        <f>IF(OpenLCAbasic!K8814="CTUh", "Fill in Manually",IF(OR(K8814="Unit", K8814=""), "", INDEX(LookUps!$E$5:$E$12, MATCH(OpenLCAbasic!K8814,LookUps!$D$5:$D$12,0))))</f>
        <v>Smog Formation Potential (SFP) - kg O3 eq</v>
      </c>
      <c r="M8814" s="154" t="str">
        <f t="shared" si="713"/>
        <v>High_Base_Upgraded_Smog Formation Potential (SFP) - kg O3 eq_Anaerobic Digestion; wastewater treatment unit; at updated plant - US_Without Amendment_Aerated Static Pile</v>
      </c>
    </row>
    <row r="8815" spans="1:13" s="120" customFormat="1" x14ac:dyDescent="0.25">
      <c r="A8815" s="119"/>
      <c r="B8815" s="138" t="str">
        <f t="shared" si="715"/>
        <v/>
      </c>
      <c r="C8815" s="138" t="str">
        <f t="shared" si="716"/>
        <v/>
      </c>
      <c r="D8815" s="138" t="str">
        <f t="shared" si="714"/>
        <v/>
      </c>
      <c r="E8815" s="138" t="str">
        <f t="shared" si="712"/>
        <v/>
      </c>
      <c r="F8815" s="138" t="str">
        <f t="shared" si="717"/>
        <v/>
      </c>
      <c r="G8815" s="153" t="s">
        <v>51</v>
      </c>
      <c r="H8815" s="160"/>
      <c r="I8815" s="160" t="s">
        <v>47</v>
      </c>
      <c r="J8815" s="160" t="s">
        <v>52</v>
      </c>
      <c r="K8815" s="160" t="s">
        <v>27</v>
      </c>
      <c r="L8815" s="154" t="str">
        <f>IF(OpenLCAbasic!K8815="CTUh", "Fill in Manually",IF(OR(K8815="Unit", K8815=""), "", INDEX(LookUps!$E$5:$E$12, MATCH(OpenLCAbasic!K8815,LookUps!$D$5:$D$12,0))))</f>
        <v/>
      </c>
      <c r="M8815" s="154" t="str">
        <f t="shared" si="713"/>
        <v>____Process__</v>
      </c>
    </row>
    <row r="8816" spans="1:13" s="120" customFormat="1" x14ac:dyDescent="0.25">
      <c r="A8816" s="119"/>
      <c r="B8816" s="138" t="str">
        <f t="shared" si="715"/>
        <v>Aerated Static Pile</v>
      </c>
      <c r="C8816" s="138" t="str">
        <f t="shared" si="716"/>
        <v>Without Amendment</v>
      </c>
      <c r="D8816" s="138" t="s">
        <v>130</v>
      </c>
      <c r="E8816" s="138" t="str">
        <f t="shared" si="712"/>
        <v>High</v>
      </c>
      <c r="F8816" s="138" t="str">
        <f t="shared" si="717"/>
        <v>Upgraded</v>
      </c>
      <c r="G8816" s="153"/>
      <c r="H8816" s="210">
        <v>0.55659999999999998</v>
      </c>
      <c r="I8816" s="160" t="s">
        <v>167</v>
      </c>
      <c r="J8816" s="160">
        <v>2.3000000000000001E-4</v>
      </c>
      <c r="K8816" s="160" t="s">
        <v>26</v>
      </c>
      <c r="L8816" s="154" t="str">
        <f>IF(OpenLCAbasic!K8816="CTUh", "Fill in Manually",IF(OR(K8816="Unit", K8816=""), "", INDEX(LookUps!$E$5:$E$12, MATCH(OpenLCAbasic!K8816,LookUps!$D$5:$D$12,0))))</f>
        <v>Water Use (WU) - m3 H2O</v>
      </c>
      <c r="M8816" s="154" t="str">
        <f t="shared" si="713"/>
        <v>High_Base_Upgraded_Water Use (WU) - m3 H2O_Waste Receiving and Holding; wastewater treatment unit; at updated plant - US_Without Amendment_Aerated Static Pile</v>
      </c>
    </row>
    <row r="8817" spans="1:13" s="120" customFormat="1" x14ac:dyDescent="0.25">
      <c r="A8817" s="119"/>
      <c r="B8817" s="138" t="str">
        <f t="shared" si="715"/>
        <v>Aerated Static Pile</v>
      </c>
      <c r="C8817" s="138" t="str">
        <f t="shared" si="716"/>
        <v>Without Amendment</v>
      </c>
      <c r="D8817" s="138" t="s">
        <v>130</v>
      </c>
      <c r="E8817" s="138" t="str">
        <f t="shared" si="712"/>
        <v>High</v>
      </c>
      <c r="F8817" s="138" t="str">
        <f t="shared" si="717"/>
        <v>Upgraded</v>
      </c>
      <c r="G8817" s="153"/>
      <c r="H8817" s="210">
        <v>0.44040000000000001</v>
      </c>
      <c r="I8817" s="160" t="s">
        <v>147</v>
      </c>
      <c r="J8817" s="160">
        <v>1.8000000000000001E-4</v>
      </c>
      <c r="K8817" s="160" t="s">
        <v>26</v>
      </c>
      <c r="L8817" s="154" t="str">
        <f>IF(OpenLCAbasic!K8817="CTUh", "Fill in Manually",IF(OR(K8817="Unit", K8817=""), "", INDEX(LookUps!$E$5:$E$12, MATCH(OpenLCAbasic!K8817,LookUps!$D$5:$D$12,0))))</f>
        <v>Water Use (WU) - m3 H2O</v>
      </c>
      <c r="M8817" s="154" t="str">
        <f t="shared" si="713"/>
        <v>High_Base_Upgraded_Water Use (WU) - m3 H2O_Influent Pump Station; wastewater treatment unit; at updated plant - US_Without Amendment_Aerated Static Pile</v>
      </c>
    </row>
    <row r="8818" spans="1:13" s="120" customFormat="1" x14ac:dyDescent="0.25">
      <c r="A8818" s="119"/>
      <c r="B8818" s="138" t="str">
        <f t="shared" si="715"/>
        <v>Aerated Static Pile</v>
      </c>
      <c r="C8818" s="138" t="str">
        <f t="shared" si="716"/>
        <v>Without Amendment</v>
      </c>
      <c r="D8818" s="138" t="s">
        <v>130</v>
      </c>
      <c r="E8818" s="138" t="str">
        <f t="shared" si="712"/>
        <v>High</v>
      </c>
      <c r="F8818" s="138" t="str">
        <f t="shared" si="717"/>
        <v>Upgraded</v>
      </c>
      <c r="G8818" s="153"/>
      <c r="H8818" s="210">
        <v>0.42970000000000003</v>
      </c>
      <c r="I8818" s="160" t="s">
        <v>54</v>
      </c>
      <c r="J8818" s="160">
        <v>1.8000000000000001E-4</v>
      </c>
      <c r="K8818" s="160" t="s">
        <v>26</v>
      </c>
      <c r="L8818" s="154" t="str">
        <f>IF(OpenLCAbasic!K8818="CTUh", "Fill in Manually",IF(OR(K8818="Unit", K8818=""), "", INDEX(LookUps!$E$5:$E$12, MATCH(OpenLCAbasic!K8818,LookUps!$D$5:$D$12,0))))</f>
        <v>Water Use (WU) - m3 H2O</v>
      </c>
      <c r="M8818" s="154" t="str">
        <f t="shared" si="713"/>
        <v>High_Base_Upgraded_Water Use (WU) - m3 H2O_Clear Cove Primary Clarification; wastewater treatment unit; at updated plant - US_Without Amendment_Aerated Static Pile</v>
      </c>
    </row>
    <row r="8819" spans="1:13" s="120" customFormat="1" x14ac:dyDescent="0.25">
      <c r="A8819" s="119"/>
      <c r="B8819" s="138" t="str">
        <f t="shared" si="715"/>
        <v>Aerated Static Pile</v>
      </c>
      <c r="C8819" s="138" t="str">
        <f t="shared" si="716"/>
        <v>Without Amendment</v>
      </c>
      <c r="D8819" s="138" t="s">
        <v>130</v>
      </c>
      <c r="E8819" s="138" t="str">
        <f t="shared" si="712"/>
        <v>High</v>
      </c>
      <c r="F8819" s="138" t="str">
        <f t="shared" si="717"/>
        <v>Upgraded</v>
      </c>
      <c r="G8819" s="153"/>
      <c r="H8819" s="210">
        <v>0.38979999999999998</v>
      </c>
      <c r="I8819" s="160" t="s">
        <v>55</v>
      </c>
      <c r="J8819" s="160">
        <v>1.6000000000000001E-4</v>
      </c>
      <c r="K8819" s="160" t="s">
        <v>26</v>
      </c>
      <c r="L8819" s="154" t="str">
        <f>IF(OpenLCAbasic!K8819="CTUh", "Fill in Manually",IF(OR(K8819="Unit", K8819=""), "", INDEX(LookUps!$E$5:$E$12, MATCH(OpenLCAbasic!K8819,LookUps!$D$5:$D$12,0))))</f>
        <v>Water Use (WU) - m3 H2O</v>
      </c>
      <c r="M8819" s="154" t="str">
        <f t="shared" si="713"/>
        <v>High_Base_Upgraded_Water Use (WU) - m3 H2O_Aeration Tanks; wastewater treatment unit; at updated plant - US_Without Amendment_Aerated Static Pile</v>
      </c>
    </row>
    <row r="8820" spans="1:13" s="120" customFormat="1" x14ac:dyDescent="0.25">
      <c r="A8820" s="119"/>
      <c r="B8820" s="138" t="str">
        <f t="shared" si="715"/>
        <v>Aerated Static Pile</v>
      </c>
      <c r="C8820" s="138" t="str">
        <f t="shared" si="716"/>
        <v>Without Amendment</v>
      </c>
      <c r="D8820" s="138" t="s">
        <v>130</v>
      </c>
      <c r="E8820" s="138" t="str">
        <f t="shared" si="712"/>
        <v>High</v>
      </c>
      <c r="F8820" s="138" t="str">
        <f t="shared" si="717"/>
        <v>Upgraded</v>
      </c>
      <c r="G8820" s="153"/>
      <c r="H8820" s="210">
        <v>0.35510000000000003</v>
      </c>
      <c r="I8820" s="160" t="s">
        <v>148</v>
      </c>
      <c r="J8820" s="160">
        <v>1.4999999999999999E-4</v>
      </c>
      <c r="K8820" s="160" t="s">
        <v>26</v>
      </c>
      <c r="L8820" s="154" t="str">
        <f>IF(OpenLCAbasic!K8820="CTUh", "Fill in Manually",IF(OR(K8820="Unit", K8820=""), "", INDEX(LookUps!$E$5:$E$12, MATCH(OpenLCAbasic!K8820,LookUps!$D$5:$D$12,0))))</f>
        <v>Water Use (WU) - m3 H2O</v>
      </c>
      <c r="M8820" s="154" t="str">
        <f t="shared" si="713"/>
        <v>High_Base_Upgraded_Water Use (WU) - m3 H2O_Control Building; at upgraded wastewater treatment plant - US_Without Amendment_Aerated Static Pile</v>
      </c>
    </row>
    <row r="8821" spans="1:13" s="120" customFormat="1" x14ac:dyDescent="0.25">
      <c r="A8821" s="119"/>
      <c r="B8821" s="138" t="str">
        <f t="shared" si="715"/>
        <v>Aerated Static Pile</v>
      </c>
      <c r="C8821" s="138" t="str">
        <f t="shared" si="716"/>
        <v>Without Amendment</v>
      </c>
      <c r="D8821" s="138" t="s">
        <v>130</v>
      </c>
      <c r="E8821" s="138" t="str">
        <f t="shared" si="712"/>
        <v>High</v>
      </c>
      <c r="F8821" s="138" t="str">
        <f t="shared" si="717"/>
        <v>Upgraded</v>
      </c>
      <c r="G8821" s="153"/>
      <c r="H8821" s="210">
        <v>0.16489999999999999</v>
      </c>
      <c r="I8821" s="160" t="s">
        <v>48</v>
      </c>
      <c r="J8821" s="211">
        <v>6.8836400000000004E-5</v>
      </c>
      <c r="K8821" s="160" t="s">
        <v>26</v>
      </c>
      <c r="L8821" s="154" t="str">
        <f>IF(OpenLCAbasic!K8821="CTUh", "Fill in Manually",IF(OR(K8821="Unit", K8821=""), "", INDEX(LookUps!$E$5:$E$12, MATCH(OpenLCAbasic!K8821,LookUps!$D$5:$D$12,0))))</f>
        <v>Water Use (WU) - m3 H2O</v>
      </c>
      <c r="M8821" s="154" t="str">
        <f t="shared" si="713"/>
        <v>High_Base_Upgraded_Water Use (WU) - m3 H2O_Effluent release; wastewater treatment unit; at surface water; m3 wastewater - US_Without Amendment_Aerated Static Pile</v>
      </c>
    </row>
    <row r="8822" spans="1:13" s="120" customFormat="1" x14ac:dyDescent="0.25">
      <c r="A8822" s="119"/>
      <c r="B8822" s="138" t="str">
        <f t="shared" si="715"/>
        <v>Aerated Static Pile</v>
      </c>
      <c r="C8822" s="138" t="str">
        <f t="shared" si="716"/>
        <v>Without Amendment</v>
      </c>
      <c r="D8822" s="138" t="s">
        <v>130</v>
      </c>
      <c r="E8822" s="138" t="str">
        <f t="shared" si="712"/>
        <v>High</v>
      </c>
      <c r="F8822" s="138" t="str">
        <f t="shared" si="717"/>
        <v>Upgraded</v>
      </c>
      <c r="G8822" s="153"/>
      <c r="H8822" s="210">
        <v>0.10349999999999999</v>
      </c>
      <c r="I8822" s="160" t="s">
        <v>58</v>
      </c>
      <c r="J8822" s="211">
        <v>4.3192100000000003E-5</v>
      </c>
      <c r="K8822" s="160" t="s">
        <v>26</v>
      </c>
      <c r="L8822" s="154" t="str">
        <f>IF(OpenLCAbasic!K8822="CTUh", "Fill in Manually",IF(OR(K8822="Unit", K8822=""), "", INDEX(LookUps!$E$5:$E$12, MATCH(OpenLCAbasic!K8822,LookUps!$D$5:$D$12,0))))</f>
        <v>Water Use (WU) - m3 H2O</v>
      </c>
      <c r="M8822" s="154" t="str">
        <f t="shared" si="713"/>
        <v>High_Base_Upgraded_Water Use (WU) - m3 H2O_Pre-Anoxic &amp; Swing tank; wastewater treatment unit; at updated plant - US_Without Amendment_Aerated Static Pile</v>
      </c>
    </row>
    <row r="8823" spans="1:13" s="120" customFormat="1" x14ac:dyDescent="0.25">
      <c r="A8823" s="119"/>
      <c r="B8823" s="138" t="str">
        <f t="shared" si="715"/>
        <v>Aerated Static Pile</v>
      </c>
      <c r="C8823" s="138" t="str">
        <f t="shared" si="716"/>
        <v>Without Amendment</v>
      </c>
      <c r="D8823" s="138" t="s">
        <v>130</v>
      </c>
      <c r="E8823" s="138" t="str">
        <f t="shared" si="712"/>
        <v>High</v>
      </c>
      <c r="F8823" s="138" t="str">
        <f t="shared" si="717"/>
        <v>Upgraded</v>
      </c>
      <c r="G8823" s="153"/>
      <c r="H8823" s="210">
        <v>7.2800000000000004E-2</v>
      </c>
      <c r="I8823" s="160" t="s">
        <v>57</v>
      </c>
      <c r="J8823" s="211">
        <v>3.0408100000000001E-5</v>
      </c>
      <c r="K8823" s="160" t="s">
        <v>26</v>
      </c>
      <c r="L8823" s="154" t="str">
        <f>IF(OpenLCAbasic!K8823="CTUh", "Fill in Manually",IF(OR(K8823="Unit", K8823=""), "", INDEX(LookUps!$E$5:$E$12, MATCH(OpenLCAbasic!K8823,LookUps!$D$5:$D$12,0))))</f>
        <v>Water Use (WU) - m3 H2O</v>
      </c>
      <c r="M8823" s="154" t="str">
        <f t="shared" si="713"/>
        <v>High_Base_Upgraded_Water Use (WU) - m3 H2O_Gravity Belt Thickener; wastewater treatment unit; at updated plant - US_Without Amendment_Aerated Static Pile</v>
      </c>
    </row>
    <row r="8824" spans="1:13" s="120" customFormat="1" x14ac:dyDescent="0.25">
      <c r="A8824" s="119"/>
      <c r="B8824" s="138" t="str">
        <f t="shared" si="715"/>
        <v>Aerated Static Pile</v>
      </c>
      <c r="C8824" s="138" t="str">
        <f t="shared" si="716"/>
        <v>Without Amendment</v>
      </c>
      <c r="D8824" s="138" t="s">
        <v>130</v>
      </c>
      <c r="E8824" s="138" t="str">
        <f t="shared" si="712"/>
        <v>High</v>
      </c>
      <c r="F8824" s="138" t="str">
        <f t="shared" si="717"/>
        <v>Upgraded</v>
      </c>
      <c r="G8824" s="153"/>
      <c r="H8824" s="210">
        <v>5.2600000000000001E-2</v>
      </c>
      <c r="I8824" s="160" t="s">
        <v>60</v>
      </c>
      <c r="J8824" s="211">
        <v>2.1941099999999999E-5</v>
      </c>
      <c r="K8824" s="160" t="s">
        <v>26</v>
      </c>
      <c r="L8824" s="154" t="str">
        <f>IF(OpenLCAbasic!K8824="CTUh", "Fill in Manually",IF(OR(K8824="Unit", K8824=""), "", INDEX(LookUps!$E$5:$E$12, MATCH(OpenLCAbasic!K8824,LookUps!$D$5:$D$12,0))))</f>
        <v>Water Use (WU) - m3 H2O</v>
      </c>
      <c r="M8824" s="154" t="str">
        <f t="shared" si="713"/>
        <v>High_Base_Upgraded_Water Use (WU) - m3 H2O_Belt filter press; wastewater treatment unit; at updated plant - US_Without Amendment_Aerated Static Pile</v>
      </c>
    </row>
    <row r="8825" spans="1:13" s="120" customFormat="1" x14ac:dyDescent="0.25">
      <c r="A8825" s="119"/>
      <c r="B8825" s="138" t="str">
        <f t="shared" si="715"/>
        <v>Aerated Static Pile</v>
      </c>
      <c r="C8825" s="138" t="str">
        <f t="shared" si="716"/>
        <v>Without Amendment</v>
      </c>
      <c r="D8825" s="138" t="s">
        <v>130</v>
      </c>
      <c r="E8825" s="138" t="str">
        <f t="shared" ref="E8825:E8831" si="718">IF(ISNUMBER($J8825),"High","")</f>
        <v>High</v>
      </c>
      <c r="F8825" s="138" t="str">
        <f t="shared" si="717"/>
        <v>Upgraded</v>
      </c>
      <c r="G8825" s="153"/>
      <c r="H8825" s="210">
        <v>4.19E-2</v>
      </c>
      <c r="I8825" s="160" t="s">
        <v>53</v>
      </c>
      <c r="J8825" s="211">
        <v>1.75069E-5</v>
      </c>
      <c r="K8825" s="160" t="s">
        <v>26</v>
      </c>
      <c r="L8825" s="154" t="str">
        <f>IF(OpenLCAbasic!K8825="CTUh", "Fill in Manually",IF(OR(K8825="Unit", K8825=""), "", INDEX(LookUps!$E$5:$E$12, MATCH(OpenLCAbasic!K8825,LookUps!$D$5:$D$12,0))))</f>
        <v>Water Use (WU) - m3 H2O</v>
      </c>
      <c r="M8825" s="154" t="str">
        <f t="shared" si="713"/>
        <v>High_Base_Upgraded_Water Use (WU) - m3 H2O_Wet Well and Sump Station; wastewater treatment unit; at updated plant - US_Without Amendment_Aerated Static Pile</v>
      </c>
    </row>
    <row r="8826" spans="1:13" s="120" customFormat="1" x14ac:dyDescent="0.25">
      <c r="A8826" s="119"/>
      <c r="B8826" s="138" t="str">
        <f t="shared" si="715"/>
        <v>Aerated Static Pile</v>
      </c>
      <c r="C8826" s="138" t="str">
        <f t="shared" si="716"/>
        <v>Without Amendment</v>
      </c>
      <c r="D8826" s="138" t="s">
        <v>130</v>
      </c>
      <c r="E8826" s="138" t="str">
        <f t="shared" si="718"/>
        <v>High</v>
      </c>
      <c r="F8826" s="138" t="str">
        <f t="shared" si="717"/>
        <v>Upgraded</v>
      </c>
      <c r="G8826" s="153"/>
      <c r="H8826" s="210">
        <v>2.9000000000000001E-2</v>
      </c>
      <c r="I8826" s="160" t="s">
        <v>149</v>
      </c>
      <c r="J8826" s="211">
        <v>1.21043E-5</v>
      </c>
      <c r="K8826" s="160" t="s">
        <v>26</v>
      </c>
      <c r="L8826" s="154" t="str">
        <f>IF(OpenLCAbasic!K8826="CTUh", "Fill in Manually",IF(OR(K8826="Unit", K8826=""), "", INDEX(LookUps!$E$5:$E$12, MATCH(OpenLCAbasic!K8826,LookUps!$D$5:$D$12,0))))</f>
        <v>Water Use (WU) - m3 H2O</v>
      </c>
      <c r="M8826" s="154" t="str">
        <f t="shared" si="713"/>
        <v>High_Base_Upgraded_Water Use (WU) - m3 H2O_Anaerobic Digestion; wastewater treatment unit; at updated plant - US_Without Amendment_Aerated Static Pile</v>
      </c>
    </row>
    <row r="8827" spans="1:13" s="120" customFormat="1" x14ac:dyDescent="0.25">
      <c r="A8827" s="119"/>
      <c r="B8827" s="138" t="str">
        <f t="shared" si="715"/>
        <v>Aerated Static Pile</v>
      </c>
      <c r="C8827" s="138" t="str">
        <f t="shared" si="716"/>
        <v>Without Amendment</v>
      </c>
      <c r="D8827" s="138" t="s">
        <v>130</v>
      </c>
      <c r="E8827" s="138" t="str">
        <f t="shared" si="718"/>
        <v>High</v>
      </c>
      <c r="F8827" s="138" t="str">
        <f t="shared" si="717"/>
        <v>Upgraded</v>
      </c>
      <c r="G8827" s="153"/>
      <c r="H8827" s="210">
        <v>1.6799999999999999E-2</v>
      </c>
      <c r="I8827" s="160" t="s">
        <v>59</v>
      </c>
      <c r="J8827" s="211">
        <v>7.0179500000000003E-6</v>
      </c>
      <c r="K8827" s="160" t="s">
        <v>26</v>
      </c>
      <c r="L8827" s="154" t="str">
        <f>IF(OpenLCAbasic!K8827="CTUh", "Fill in Manually",IF(OR(K8827="Unit", K8827=""), "", INDEX(LookUps!$E$5:$E$12, MATCH(OpenLCAbasic!K8827,LookUps!$D$5:$D$12,0))))</f>
        <v>Water Use (WU) - m3 H2O</v>
      </c>
      <c r="M8827" s="154" t="str">
        <f t="shared" ref="M8827:M8831" si="719">CONCATENATE(E8827,"_",D8827,"_",F8827,"_",L8827, "_",I8827,"_", C8827,"_", B8827)</f>
        <v>High_Base_Upgraded_Water Use (WU) - m3 H2O_Blend Tank; wastewater treatment unit; at updated plant - US_Without Amendment_Aerated Static Pile</v>
      </c>
    </row>
    <row r="8828" spans="1:13" s="120" customFormat="1" x14ac:dyDescent="0.25">
      <c r="A8828" s="119"/>
      <c r="B8828" s="138" t="str">
        <f t="shared" si="715"/>
        <v>Aerated Static Pile</v>
      </c>
      <c r="C8828" s="138" t="str">
        <f t="shared" si="716"/>
        <v>Without Amendment</v>
      </c>
      <c r="D8828" s="138" t="s">
        <v>130</v>
      </c>
      <c r="E8828" s="138" t="str">
        <f t="shared" si="718"/>
        <v>High</v>
      </c>
      <c r="F8828" s="138" t="str">
        <f t="shared" si="717"/>
        <v>Upgraded</v>
      </c>
      <c r="G8828" s="153"/>
      <c r="H8828" s="210">
        <v>1.44E-2</v>
      </c>
      <c r="I8828" s="160" t="s">
        <v>435</v>
      </c>
      <c r="J8828" s="211">
        <v>6.0069500000000001E-6</v>
      </c>
      <c r="K8828" s="160" t="s">
        <v>26</v>
      </c>
      <c r="L8828" s="154" t="str">
        <f>IF(OpenLCAbasic!K8828="CTUh", "Fill in Manually",IF(OR(K8828="Unit", K8828=""), "", INDEX(LookUps!$E$5:$E$12, MATCH(OpenLCAbasic!K8828,LookUps!$D$5:$D$12,0))))</f>
        <v>Water Use (WU) - m3 H2O</v>
      </c>
      <c r="M8828" s="154" t="str">
        <f t="shared" si="719"/>
        <v>High_Base_Upgraded_Water Use (WU) - m3 H2O_Biosolids composting; aerated static pile; wastewater treatment unit; at updated plant - US_Without Amendment_Aerated Static Pile</v>
      </c>
    </row>
    <row r="8829" spans="1:13" s="120" customFormat="1" x14ac:dyDescent="0.25">
      <c r="A8829" s="119"/>
      <c r="B8829" s="138" t="str">
        <f t="shared" si="715"/>
        <v>Aerated Static Pile</v>
      </c>
      <c r="C8829" s="138" t="str">
        <f t="shared" si="716"/>
        <v>Without Amendment</v>
      </c>
      <c r="D8829" s="138" t="s">
        <v>130</v>
      </c>
      <c r="E8829" s="138" t="str">
        <f t="shared" si="718"/>
        <v>High</v>
      </c>
      <c r="F8829" s="138" t="str">
        <f t="shared" si="717"/>
        <v>Upgraded</v>
      </c>
      <c r="G8829" s="153"/>
      <c r="H8829" s="210">
        <v>1.21E-2</v>
      </c>
      <c r="I8829" s="160" t="s">
        <v>128</v>
      </c>
      <c r="J8829" s="211">
        <v>5.0608900000000003E-6</v>
      </c>
      <c r="K8829" s="160" t="s">
        <v>26</v>
      </c>
      <c r="L8829" s="154" t="str">
        <f>IF(OpenLCAbasic!K8829="CTUh", "Fill in Manually",IF(OR(K8829="Unit", K8829=""), "", INDEX(LookUps!$E$5:$E$12, MATCH(OpenLCAbasic!K8829,LookUps!$D$5:$D$12,0))))</f>
        <v>Water Use (WU) - m3 H2O</v>
      </c>
      <c r="M8829" s="154" t="str">
        <f t="shared" si="719"/>
        <v>High_Base_Upgraded_Water Use (WU) - m3 H2O_Wastewater collection; operation and infrastructure; m3 wastewater_Without Amendment_Aerated Static Pile</v>
      </c>
    </row>
    <row r="8830" spans="1:13" s="120" customFormat="1" x14ac:dyDescent="0.25">
      <c r="A8830" s="119"/>
      <c r="B8830" s="138" t="str">
        <f t="shared" si="715"/>
        <v>Aerated Static Pile</v>
      </c>
      <c r="C8830" s="138" t="str">
        <f t="shared" si="716"/>
        <v>Without Amendment</v>
      </c>
      <c r="D8830" s="138" t="s">
        <v>130</v>
      </c>
      <c r="E8830" s="138" t="str">
        <f t="shared" si="718"/>
        <v>High</v>
      </c>
      <c r="F8830" s="138" t="str">
        <f t="shared" si="717"/>
        <v>Upgraded</v>
      </c>
      <c r="G8830" s="153"/>
      <c r="H8830" s="210">
        <v>1.8E-3</v>
      </c>
      <c r="I8830" s="160" t="s">
        <v>168</v>
      </c>
      <c r="J8830" s="211">
        <v>7.6697000000000004E-7</v>
      </c>
      <c r="K8830" s="160" t="s">
        <v>26</v>
      </c>
      <c r="L8830" s="154" t="str">
        <f>IF(OpenLCAbasic!K8830="CTUh", "Fill in Manually",IF(OR(K8830="Unit", K8830=""), "", INDEX(LookUps!$E$5:$E$12, MATCH(OpenLCAbasic!K8830,LookUps!$D$5:$D$12,0))))</f>
        <v>Water Use (WU) - m3 H2O</v>
      </c>
      <c r="M8830" s="154" t="str">
        <f t="shared" si="719"/>
        <v>High_Base_Upgraded_Water Use (WU) - m3 H2O_ClearCove SCP; wastewater treatment unit; at updated plant - US_Without Amendment_Aerated Static Pile</v>
      </c>
    </row>
    <row r="8831" spans="1:13" s="120" customFormat="1" x14ac:dyDescent="0.25">
      <c r="A8831" s="119"/>
      <c r="B8831" s="138" t="str">
        <f t="shared" si="715"/>
        <v>Aerated Static Pile</v>
      </c>
      <c r="C8831" s="138" t="str">
        <f t="shared" si="716"/>
        <v>Without Amendment</v>
      </c>
      <c r="D8831" s="138" t="s">
        <v>130</v>
      </c>
      <c r="E8831" s="138" t="str">
        <f t="shared" si="718"/>
        <v>High</v>
      </c>
      <c r="F8831" s="138" t="str">
        <f t="shared" si="717"/>
        <v>Upgraded</v>
      </c>
      <c r="G8831" s="153"/>
      <c r="H8831" s="210">
        <v>-1.6814</v>
      </c>
      <c r="I8831" s="160" t="s">
        <v>62</v>
      </c>
      <c r="J8831" s="160">
        <v>-6.9999999999999999E-4</v>
      </c>
      <c r="K8831" s="160" t="s">
        <v>26</v>
      </c>
      <c r="L8831" s="154" t="str">
        <f>IF(OpenLCAbasic!K8831="CTUh", "Fill in Manually",IF(OR(K8831="Unit", K8831=""), "", INDEX(LookUps!$E$5:$E$12, MATCH(OpenLCAbasic!K8831,LookUps!$D$5:$D$12,0))))</f>
        <v>Water Use (WU) - m3 H2O</v>
      </c>
      <c r="M8831" s="154" t="str">
        <f t="shared" si="719"/>
        <v>High_Base_Upgraded_Water Use (WU) - m3 H2O_Land application of compost; wastewater treatment unit; at updated plant - US_Without Amendment_Aerated Static Pile</v>
      </c>
    </row>
    <row r="8832" spans="1:13" s="120" customFormat="1" x14ac:dyDescent="0.25">
      <c r="A8832" s="119"/>
      <c r="B8832" s="138" t="str">
        <f t="shared" ref="B8832:B8888" si="720">IF(F8832="Legacy","n.a.",IF(F8832="","","Aerated Static Pile"))</f>
        <v/>
      </c>
      <c r="C8832" s="138" t="str">
        <f t="shared" ref="C8832:C8888" si="721">IF(ISNUMBER($J8832),"Base_With Amendment","")</f>
        <v/>
      </c>
      <c r="D8832" s="138" t="str">
        <f>IF(ISNUMBER($J8832),"Medium_Low","")</f>
        <v/>
      </c>
      <c r="E8832" s="138" t="str">
        <f t="shared" ref="E8832:E8888" si="722">IF(ISNUMBER($J8832),"Base","")</f>
        <v/>
      </c>
      <c r="F8832" s="138" t="str">
        <f t="shared" ref="F8832:F8888" si="723">IF(ISNUMBER(J8832),"Upgraded","")</f>
        <v/>
      </c>
      <c r="G8832" s="153" t="s">
        <v>51</v>
      </c>
      <c r="H8832" s="160"/>
      <c r="I8832" s="160" t="s">
        <v>47</v>
      </c>
      <c r="J8832" s="160" t="s">
        <v>52</v>
      </c>
      <c r="K8832" s="160" t="s">
        <v>27</v>
      </c>
      <c r="L8832" s="154" t="str">
        <f>IF(OpenLCAbasic!K8832="CTUh", "Fill in Manually",IF(OR(K8832="Unit", K8832=""), "", INDEX(LookUps!$E$5:$E$12, MATCH(OpenLCAbasic!K8832,LookUps!$D$5:$D$12,0))))</f>
        <v/>
      </c>
      <c r="M8832" s="154" t="str">
        <f t="shared" ref="M8832:M8882" si="724">CONCATENATE(E8832,"_",D8832,"_",F8832,"_",L8832, "_",I8832,"_", C8832,"_", B8832)</f>
        <v>____Process__</v>
      </c>
    </row>
    <row r="8833" spans="1:13" s="120" customFormat="1" x14ac:dyDescent="0.25">
      <c r="A8833" s="119"/>
      <c r="B8833" s="138" t="str">
        <f t="shared" si="720"/>
        <v>Aerated Static Pile</v>
      </c>
      <c r="C8833" s="138" t="str">
        <f t="shared" si="721"/>
        <v>Base_With Amendment</v>
      </c>
      <c r="D8833" s="138" t="str">
        <f t="shared" ref="D8833:D8896" si="725">IF(ISNUMBER($J8833),"Medium_Low","")</f>
        <v>Medium_Low</v>
      </c>
      <c r="E8833" s="138" t="str">
        <f t="shared" si="722"/>
        <v>Base</v>
      </c>
      <c r="F8833" s="138" t="str">
        <f t="shared" si="723"/>
        <v>Upgraded</v>
      </c>
      <c r="G8833" s="153"/>
      <c r="H8833" s="210">
        <v>0.34389999999999998</v>
      </c>
      <c r="I8833" s="160" t="s">
        <v>55</v>
      </c>
      <c r="J8833" s="160">
        <v>1.7219999999999999E-2</v>
      </c>
      <c r="K8833" s="160" t="s">
        <v>24</v>
      </c>
      <c r="L8833" s="154" t="str">
        <f>IF(OpenLCAbasic!K8833="CTUh", "Fill in Manually",IF(OR(K8833="Unit", K8833=""), "", INDEX(LookUps!$E$5:$E$12, MATCH(OpenLCAbasic!K8833,LookUps!$D$5:$D$12,0))))</f>
        <v>Acidification Potential (AP) - kg SO2 eq</v>
      </c>
      <c r="M8833" s="154" t="str">
        <f t="shared" si="724"/>
        <v>Base_Medium_Low_Upgraded_Acidification Potential (AP) - kg SO2 eq_Aeration Tanks; wastewater treatment unit; at updated plant - US_Base_With Amendment_Aerated Static Pile</v>
      </c>
    </row>
    <row r="8834" spans="1:13" s="120" customFormat="1" x14ac:dyDescent="0.25">
      <c r="A8834" s="119"/>
      <c r="B8834" s="138" t="str">
        <f t="shared" si="720"/>
        <v>Aerated Static Pile</v>
      </c>
      <c r="C8834" s="138" t="str">
        <f t="shared" si="721"/>
        <v>Base_With Amendment</v>
      </c>
      <c r="D8834" s="138" t="str">
        <f t="shared" si="725"/>
        <v>Medium_Low</v>
      </c>
      <c r="E8834" s="138" t="str">
        <f t="shared" si="722"/>
        <v>Base</v>
      </c>
      <c r="F8834" s="138" t="str">
        <f t="shared" si="723"/>
        <v>Upgraded</v>
      </c>
      <c r="G8834" s="153"/>
      <c r="H8834" s="210">
        <v>0.19670000000000001</v>
      </c>
      <c r="I8834" s="160" t="s">
        <v>435</v>
      </c>
      <c r="J8834" s="160">
        <v>9.8499999999999994E-3</v>
      </c>
      <c r="K8834" s="160" t="s">
        <v>24</v>
      </c>
      <c r="L8834" s="154" t="str">
        <f>IF(OpenLCAbasic!K8834="CTUh", "Fill in Manually",IF(OR(K8834="Unit", K8834=""), "", INDEX(LookUps!$E$5:$E$12, MATCH(OpenLCAbasic!K8834,LookUps!$D$5:$D$12,0))))</f>
        <v>Acidification Potential (AP) - kg SO2 eq</v>
      </c>
      <c r="M8834" s="154" t="str">
        <f t="shared" si="724"/>
        <v>Base_Medium_Low_Upgraded_Acidification Potential (AP) - kg SO2 eq_Biosolids composting; aerated static pile; wastewater treatment unit; at updated plant - US_Base_With Amendment_Aerated Static Pile</v>
      </c>
    </row>
    <row r="8835" spans="1:13" s="120" customFormat="1" x14ac:dyDescent="0.25">
      <c r="A8835" s="119"/>
      <c r="B8835" s="138" t="str">
        <f t="shared" si="720"/>
        <v>Aerated Static Pile</v>
      </c>
      <c r="C8835" s="138" t="str">
        <f t="shared" si="721"/>
        <v>Base_With Amendment</v>
      </c>
      <c r="D8835" s="138" t="str">
        <f t="shared" si="725"/>
        <v>Medium_Low</v>
      </c>
      <c r="E8835" s="138" t="str">
        <f t="shared" si="722"/>
        <v>Base</v>
      </c>
      <c r="F8835" s="138" t="str">
        <f t="shared" si="723"/>
        <v>Upgraded</v>
      </c>
      <c r="G8835" s="153"/>
      <c r="H8835" s="210">
        <v>9.9500000000000005E-2</v>
      </c>
      <c r="I8835" s="160" t="s">
        <v>54</v>
      </c>
      <c r="J8835" s="160">
        <v>4.9800000000000001E-3</v>
      </c>
      <c r="K8835" s="160" t="s">
        <v>24</v>
      </c>
      <c r="L8835" s="154" t="str">
        <f>IF(OpenLCAbasic!K8835="CTUh", "Fill in Manually",IF(OR(K8835="Unit", K8835=""), "", INDEX(LookUps!$E$5:$E$12, MATCH(OpenLCAbasic!K8835,LookUps!$D$5:$D$12,0))))</f>
        <v>Acidification Potential (AP) - kg SO2 eq</v>
      </c>
      <c r="M8835" s="154" t="str">
        <f t="shared" si="724"/>
        <v>Base_Medium_Low_Upgraded_Acidification Potential (AP) - kg SO2 eq_Clear Cove Primary Clarification; wastewater treatment unit; at updated plant - US_Base_With Amendment_Aerated Static Pile</v>
      </c>
    </row>
    <row r="8836" spans="1:13" s="120" customFormat="1" x14ac:dyDescent="0.25">
      <c r="A8836" s="119"/>
      <c r="B8836" s="138" t="str">
        <f t="shared" si="720"/>
        <v>Aerated Static Pile</v>
      </c>
      <c r="C8836" s="138" t="str">
        <f t="shared" si="721"/>
        <v>Base_With Amendment</v>
      </c>
      <c r="D8836" s="138" t="str">
        <f t="shared" si="725"/>
        <v>Medium_Low</v>
      </c>
      <c r="E8836" s="138" t="str">
        <f t="shared" si="722"/>
        <v>Base</v>
      </c>
      <c r="F8836" s="138" t="str">
        <f t="shared" si="723"/>
        <v>Upgraded</v>
      </c>
      <c r="G8836" s="153"/>
      <c r="H8836" s="210">
        <v>8.6800000000000002E-2</v>
      </c>
      <c r="I8836" s="160" t="s">
        <v>58</v>
      </c>
      <c r="J8836" s="160">
        <v>4.3499999999999997E-3</v>
      </c>
      <c r="K8836" s="160" t="s">
        <v>24</v>
      </c>
      <c r="L8836" s="154" t="str">
        <f>IF(OpenLCAbasic!K8836="CTUh", "Fill in Manually",IF(OR(K8836="Unit", K8836=""), "", INDEX(LookUps!$E$5:$E$12, MATCH(OpenLCAbasic!K8836,LookUps!$D$5:$D$12,0))))</f>
        <v>Acidification Potential (AP) - kg SO2 eq</v>
      </c>
      <c r="M8836" s="154" t="str">
        <f t="shared" si="724"/>
        <v>Base_Medium_Low_Upgraded_Acidification Potential (AP) - kg SO2 eq_Pre-Anoxic &amp; Swing tank; wastewater treatment unit; at updated plant - US_Base_With Amendment_Aerated Static Pile</v>
      </c>
    </row>
    <row r="8837" spans="1:13" s="120" customFormat="1" x14ac:dyDescent="0.25">
      <c r="A8837" s="119"/>
      <c r="B8837" s="138" t="str">
        <f t="shared" si="720"/>
        <v>Aerated Static Pile</v>
      </c>
      <c r="C8837" s="138" t="str">
        <f t="shared" si="721"/>
        <v>Base_With Amendment</v>
      </c>
      <c r="D8837" s="138" t="str">
        <f t="shared" si="725"/>
        <v>Medium_Low</v>
      </c>
      <c r="E8837" s="138" t="str">
        <f t="shared" si="722"/>
        <v>Base</v>
      </c>
      <c r="F8837" s="138" t="str">
        <f t="shared" si="723"/>
        <v>Upgraded</v>
      </c>
      <c r="G8837" s="153"/>
      <c r="H8837" s="210">
        <v>8.2100000000000006E-2</v>
      </c>
      <c r="I8837" s="160" t="s">
        <v>62</v>
      </c>
      <c r="J8837" s="160">
        <v>4.1099999999999999E-3</v>
      </c>
      <c r="K8837" s="160" t="s">
        <v>24</v>
      </c>
      <c r="L8837" s="154" t="str">
        <f>IF(OpenLCAbasic!K8837="CTUh", "Fill in Manually",IF(OR(K8837="Unit", K8837=""), "", INDEX(LookUps!$E$5:$E$12, MATCH(OpenLCAbasic!K8837,LookUps!$D$5:$D$12,0))))</f>
        <v>Acidification Potential (AP) - kg SO2 eq</v>
      </c>
      <c r="M8837" s="154" t="str">
        <f t="shared" si="724"/>
        <v>Base_Medium_Low_Upgraded_Acidification Potential (AP) - kg SO2 eq_Land application of compost; wastewater treatment unit; at updated plant - US_Base_With Amendment_Aerated Static Pile</v>
      </c>
    </row>
    <row r="8838" spans="1:13" s="120" customFormat="1" x14ac:dyDescent="0.25">
      <c r="A8838" s="119"/>
      <c r="B8838" s="138" t="str">
        <f t="shared" si="720"/>
        <v>Aerated Static Pile</v>
      </c>
      <c r="C8838" s="138" t="str">
        <f t="shared" si="721"/>
        <v>Base_With Amendment</v>
      </c>
      <c r="D8838" s="138" t="str">
        <f t="shared" si="725"/>
        <v>Medium_Low</v>
      </c>
      <c r="E8838" s="138" t="str">
        <f t="shared" si="722"/>
        <v>Base</v>
      </c>
      <c r="F8838" s="138" t="str">
        <f t="shared" si="723"/>
        <v>Upgraded</v>
      </c>
      <c r="G8838" s="153"/>
      <c r="H8838" s="210">
        <v>6.8900000000000003E-2</v>
      </c>
      <c r="I8838" s="160" t="s">
        <v>53</v>
      </c>
      <c r="J8838" s="160">
        <v>3.4499999999999999E-3</v>
      </c>
      <c r="K8838" s="160" t="s">
        <v>24</v>
      </c>
      <c r="L8838" s="154" t="str">
        <f>IF(OpenLCAbasic!K8838="CTUh", "Fill in Manually",IF(OR(K8838="Unit", K8838=""), "", INDEX(LookUps!$E$5:$E$12, MATCH(OpenLCAbasic!K8838,LookUps!$D$5:$D$12,0))))</f>
        <v>Acidification Potential (AP) - kg SO2 eq</v>
      </c>
      <c r="M8838" s="154" t="str">
        <f t="shared" si="724"/>
        <v>Base_Medium_Low_Upgraded_Acidification Potential (AP) - kg SO2 eq_Wet Well and Sump Station; wastewater treatment unit; at updated plant - US_Base_With Amendment_Aerated Static Pile</v>
      </c>
    </row>
    <row r="8839" spans="1:13" s="120" customFormat="1" x14ac:dyDescent="0.25">
      <c r="A8839" s="119"/>
      <c r="B8839" s="138" t="str">
        <f t="shared" si="720"/>
        <v>Aerated Static Pile</v>
      </c>
      <c r="C8839" s="138" t="str">
        <f t="shared" si="721"/>
        <v>Base_With Amendment</v>
      </c>
      <c r="D8839" s="138" t="str">
        <f t="shared" si="725"/>
        <v>Medium_Low</v>
      </c>
      <c r="E8839" s="138" t="str">
        <f t="shared" si="722"/>
        <v>Base</v>
      </c>
      <c r="F8839" s="138" t="str">
        <f t="shared" si="723"/>
        <v>Upgraded</v>
      </c>
      <c r="G8839" s="153"/>
      <c r="H8839" s="210">
        <v>5.0500000000000003E-2</v>
      </c>
      <c r="I8839" s="160" t="s">
        <v>167</v>
      </c>
      <c r="J8839" s="160">
        <v>2.5300000000000001E-3</v>
      </c>
      <c r="K8839" s="160" t="s">
        <v>24</v>
      </c>
      <c r="L8839" s="154" t="str">
        <f>IF(OpenLCAbasic!K8839="CTUh", "Fill in Manually",IF(OR(K8839="Unit", K8839=""), "", INDEX(LookUps!$E$5:$E$12, MATCH(OpenLCAbasic!K8839,LookUps!$D$5:$D$12,0))))</f>
        <v>Acidification Potential (AP) - kg SO2 eq</v>
      </c>
      <c r="M8839" s="154" t="str">
        <f t="shared" si="724"/>
        <v>Base_Medium_Low_Upgraded_Acidification Potential (AP) - kg SO2 eq_Waste Receiving and Holding; wastewater treatment unit; at updated plant - US_Base_With Amendment_Aerated Static Pile</v>
      </c>
    </row>
    <row r="8840" spans="1:13" s="120" customFormat="1" x14ac:dyDescent="0.25">
      <c r="A8840" s="119"/>
      <c r="B8840" s="138" t="str">
        <f t="shared" si="720"/>
        <v>Aerated Static Pile</v>
      </c>
      <c r="C8840" s="138" t="str">
        <f t="shared" si="721"/>
        <v>Base_With Amendment</v>
      </c>
      <c r="D8840" s="138" t="str">
        <f t="shared" si="725"/>
        <v>Medium_Low</v>
      </c>
      <c r="E8840" s="138" t="str">
        <f t="shared" si="722"/>
        <v>Base</v>
      </c>
      <c r="F8840" s="138" t="str">
        <f t="shared" si="723"/>
        <v>Upgraded</v>
      </c>
      <c r="G8840" s="153"/>
      <c r="H8840" s="210">
        <v>4.1300000000000003E-2</v>
      </c>
      <c r="I8840" s="160" t="s">
        <v>147</v>
      </c>
      <c r="J8840" s="160">
        <v>2.0699999999999998E-3</v>
      </c>
      <c r="K8840" s="160" t="s">
        <v>24</v>
      </c>
      <c r="L8840" s="154" t="str">
        <f>IF(OpenLCAbasic!K8840="CTUh", "Fill in Manually",IF(OR(K8840="Unit", K8840=""), "", INDEX(LookUps!$E$5:$E$12, MATCH(OpenLCAbasic!K8840,LookUps!$D$5:$D$12,0))))</f>
        <v>Acidification Potential (AP) - kg SO2 eq</v>
      </c>
      <c r="M8840" s="154" t="str">
        <f t="shared" si="724"/>
        <v>Base_Medium_Low_Upgraded_Acidification Potential (AP) - kg SO2 eq_Influent Pump Station; wastewater treatment unit; at updated plant - US_Base_With Amendment_Aerated Static Pile</v>
      </c>
    </row>
    <row r="8841" spans="1:13" s="120" customFormat="1" x14ac:dyDescent="0.25">
      <c r="A8841" s="119"/>
      <c r="B8841" s="138" t="str">
        <f t="shared" si="720"/>
        <v>Aerated Static Pile</v>
      </c>
      <c r="C8841" s="138" t="str">
        <f t="shared" si="721"/>
        <v>Base_With Amendment</v>
      </c>
      <c r="D8841" s="138" t="str">
        <f t="shared" si="725"/>
        <v>Medium_Low</v>
      </c>
      <c r="E8841" s="138" t="str">
        <f t="shared" si="722"/>
        <v>Base</v>
      </c>
      <c r="F8841" s="138" t="str">
        <f t="shared" si="723"/>
        <v>Upgraded</v>
      </c>
      <c r="G8841" s="153"/>
      <c r="H8841" s="210">
        <v>2.46E-2</v>
      </c>
      <c r="I8841" s="160" t="s">
        <v>128</v>
      </c>
      <c r="J8841" s="160">
        <v>1.23E-3</v>
      </c>
      <c r="K8841" s="160" t="s">
        <v>24</v>
      </c>
      <c r="L8841" s="154" t="str">
        <f>IF(OpenLCAbasic!K8841="CTUh", "Fill in Manually",IF(OR(K8841="Unit", K8841=""), "", INDEX(LookUps!$E$5:$E$12, MATCH(OpenLCAbasic!K8841,LookUps!$D$5:$D$12,0))))</f>
        <v>Acidification Potential (AP) - kg SO2 eq</v>
      </c>
      <c r="M8841" s="154" t="str">
        <f t="shared" si="724"/>
        <v>Base_Medium_Low_Upgraded_Acidification Potential (AP) - kg SO2 eq_Wastewater collection; operation and infrastructure; m3 wastewater_Base_With Amendment_Aerated Static Pile</v>
      </c>
    </row>
    <row r="8842" spans="1:13" s="120" customFormat="1" x14ac:dyDescent="0.25">
      <c r="A8842" s="119"/>
      <c r="B8842" s="138" t="str">
        <f t="shared" si="720"/>
        <v>Aerated Static Pile</v>
      </c>
      <c r="C8842" s="138" t="str">
        <f t="shared" si="721"/>
        <v>Base_With Amendment</v>
      </c>
      <c r="D8842" s="138" t="str">
        <f t="shared" si="725"/>
        <v>Medium_Low</v>
      </c>
      <c r="E8842" s="138" t="str">
        <f t="shared" si="722"/>
        <v>Base</v>
      </c>
      <c r="F8842" s="138" t="str">
        <f t="shared" si="723"/>
        <v>Upgraded</v>
      </c>
      <c r="G8842" s="153"/>
      <c r="H8842" s="210">
        <v>2.4E-2</v>
      </c>
      <c r="I8842" s="160" t="s">
        <v>60</v>
      </c>
      <c r="J8842" s="160">
        <v>1.1999999999999999E-3</v>
      </c>
      <c r="K8842" s="160" t="s">
        <v>24</v>
      </c>
      <c r="L8842" s="154" t="str">
        <f>IF(OpenLCAbasic!K8842="CTUh", "Fill in Manually",IF(OR(K8842="Unit", K8842=""), "", INDEX(LookUps!$E$5:$E$12, MATCH(OpenLCAbasic!K8842,LookUps!$D$5:$D$12,0))))</f>
        <v>Acidification Potential (AP) - kg SO2 eq</v>
      </c>
      <c r="M8842" s="154" t="str">
        <f t="shared" si="724"/>
        <v>Base_Medium_Low_Upgraded_Acidification Potential (AP) - kg SO2 eq_Belt filter press; wastewater treatment unit; at updated plant - US_Base_With Amendment_Aerated Static Pile</v>
      </c>
    </row>
    <row r="8843" spans="1:13" s="120" customFormat="1" x14ac:dyDescent="0.25">
      <c r="A8843" s="119"/>
      <c r="B8843" s="138" t="str">
        <f t="shared" si="720"/>
        <v>Aerated Static Pile</v>
      </c>
      <c r="C8843" s="138" t="str">
        <f t="shared" si="721"/>
        <v>Base_With Amendment</v>
      </c>
      <c r="D8843" s="138" t="str">
        <f t="shared" si="725"/>
        <v>Medium_Low</v>
      </c>
      <c r="E8843" s="138" t="str">
        <f t="shared" si="722"/>
        <v>Base</v>
      </c>
      <c r="F8843" s="138" t="str">
        <f t="shared" si="723"/>
        <v>Upgraded</v>
      </c>
      <c r="G8843" s="153"/>
      <c r="H8843" s="210">
        <v>1.41E-2</v>
      </c>
      <c r="I8843" s="160" t="s">
        <v>57</v>
      </c>
      <c r="J8843" s="160">
        <v>6.9999999999999999E-4</v>
      </c>
      <c r="K8843" s="160" t="s">
        <v>24</v>
      </c>
      <c r="L8843" s="154" t="str">
        <f>IF(OpenLCAbasic!K8843="CTUh", "Fill in Manually",IF(OR(K8843="Unit", K8843=""), "", INDEX(LookUps!$E$5:$E$12, MATCH(OpenLCAbasic!K8843,LookUps!$D$5:$D$12,0))))</f>
        <v>Acidification Potential (AP) - kg SO2 eq</v>
      </c>
      <c r="M8843" s="154" t="str">
        <f t="shared" si="724"/>
        <v>Base_Medium_Low_Upgraded_Acidification Potential (AP) - kg SO2 eq_Gravity Belt Thickener; wastewater treatment unit; at updated plant - US_Base_With Amendment_Aerated Static Pile</v>
      </c>
    </row>
    <row r="8844" spans="1:13" s="120" customFormat="1" x14ac:dyDescent="0.25">
      <c r="A8844" s="119"/>
      <c r="B8844" s="138" t="str">
        <f t="shared" si="720"/>
        <v>Aerated Static Pile</v>
      </c>
      <c r="C8844" s="138" t="str">
        <f t="shared" si="721"/>
        <v>Base_With Amendment</v>
      </c>
      <c r="D8844" s="138" t="str">
        <f t="shared" si="725"/>
        <v>Medium_Low</v>
      </c>
      <c r="E8844" s="138" t="str">
        <f t="shared" si="722"/>
        <v>Base</v>
      </c>
      <c r="F8844" s="138" t="str">
        <f t="shared" si="723"/>
        <v>Upgraded</v>
      </c>
      <c r="G8844" s="153"/>
      <c r="H8844" s="210">
        <v>1.03E-2</v>
      </c>
      <c r="I8844" s="160" t="s">
        <v>59</v>
      </c>
      <c r="J8844" s="160">
        <v>5.1999999999999995E-4</v>
      </c>
      <c r="K8844" s="160" t="s">
        <v>24</v>
      </c>
      <c r="L8844" s="154" t="str">
        <f>IF(OpenLCAbasic!K8844="CTUh", "Fill in Manually",IF(OR(K8844="Unit", K8844=""), "", INDEX(LookUps!$E$5:$E$12, MATCH(OpenLCAbasic!K8844,LookUps!$D$5:$D$12,0))))</f>
        <v>Acidification Potential (AP) - kg SO2 eq</v>
      </c>
      <c r="M8844" s="154" t="str">
        <f t="shared" si="724"/>
        <v>Base_Medium_Low_Upgraded_Acidification Potential (AP) - kg SO2 eq_Blend Tank; wastewater treatment unit; at updated plant - US_Base_With Amendment_Aerated Static Pile</v>
      </c>
    </row>
    <row r="8845" spans="1:13" s="120" customFormat="1" x14ac:dyDescent="0.25">
      <c r="A8845" s="119"/>
      <c r="B8845" s="138" t="str">
        <f t="shared" si="720"/>
        <v>Aerated Static Pile</v>
      </c>
      <c r="C8845" s="138" t="str">
        <f t="shared" si="721"/>
        <v>Base_With Amendment</v>
      </c>
      <c r="D8845" s="138" t="str">
        <f t="shared" si="725"/>
        <v>Medium_Low</v>
      </c>
      <c r="E8845" s="138" t="str">
        <f t="shared" si="722"/>
        <v>Base</v>
      </c>
      <c r="F8845" s="138" t="str">
        <f t="shared" si="723"/>
        <v>Upgraded</v>
      </c>
      <c r="G8845" s="153"/>
      <c r="H8845" s="210">
        <v>6.8999999999999999E-3</v>
      </c>
      <c r="I8845" s="160" t="s">
        <v>48</v>
      </c>
      <c r="J8845" s="160">
        <v>3.5E-4</v>
      </c>
      <c r="K8845" s="160" t="s">
        <v>24</v>
      </c>
      <c r="L8845" s="154" t="str">
        <f>IF(OpenLCAbasic!K8845="CTUh", "Fill in Manually",IF(OR(K8845="Unit", K8845=""), "", INDEX(LookUps!$E$5:$E$12, MATCH(OpenLCAbasic!K8845,LookUps!$D$5:$D$12,0))))</f>
        <v>Acidification Potential (AP) - kg SO2 eq</v>
      </c>
      <c r="M8845" s="154" t="str">
        <f t="shared" si="724"/>
        <v>Base_Medium_Low_Upgraded_Acidification Potential (AP) - kg SO2 eq_Effluent release; wastewater treatment unit; at surface water; m3 wastewater - US_Base_With Amendment_Aerated Static Pile</v>
      </c>
    </row>
    <row r="8846" spans="1:13" s="120" customFormat="1" x14ac:dyDescent="0.25">
      <c r="A8846" s="119"/>
      <c r="B8846" s="138" t="str">
        <f t="shared" si="720"/>
        <v>Aerated Static Pile</v>
      </c>
      <c r="C8846" s="138" t="str">
        <f t="shared" si="721"/>
        <v>Base_With Amendment</v>
      </c>
      <c r="D8846" s="138" t="str">
        <f t="shared" si="725"/>
        <v>Medium_Low</v>
      </c>
      <c r="E8846" s="138" t="str">
        <f t="shared" si="722"/>
        <v>Base</v>
      </c>
      <c r="F8846" s="138" t="str">
        <f t="shared" si="723"/>
        <v>Upgraded</v>
      </c>
      <c r="G8846" s="153"/>
      <c r="H8846" s="210">
        <v>5.1000000000000004E-3</v>
      </c>
      <c r="I8846" s="160" t="s">
        <v>168</v>
      </c>
      <c r="J8846" s="160">
        <v>2.5999999999999998E-4</v>
      </c>
      <c r="K8846" s="160" t="s">
        <v>24</v>
      </c>
      <c r="L8846" s="154" t="str">
        <f>IF(OpenLCAbasic!K8846="CTUh", "Fill in Manually",IF(OR(K8846="Unit", K8846=""), "", INDEX(LookUps!$E$5:$E$12, MATCH(OpenLCAbasic!K8846,LookUps!$D$5:$D$12,0))))</f>
        <v>Acidification Potential (AP) - kg SO2 eq</v>
      </c>
      <c r="M8846" s="154" t="str">
        <f t="shared" si="724"/>
        <v>Base_Medium_Low_Upgraded_Acidification Potential (AP) - kg SO2 eq_ClearCove SCP; wastewater treatment unit; at updated plant - US_Base_With Amendment_Aerated Static Pile</v>
      </c>
    </row>
    <row r="8847" spans="1:13" s="120" customFormat="1" x14ac:dyDescent="0.25">
      <c r="A8847" s="119"/>
      <c r="B8847" s="138" t="str">
        <f t="shared" si="720"/>
        <v>Aerated Static Pile</v>
      </c>
      <c r="C8847" s="138" t="str">
        <f t="shared" si="721"/>
        <v>Base_With Amendment</v>
      </c>
      <c r="D8847" s="138" t="str">
        <f t="shared" si="725"/>
        <v>Medium_Low</v>
      </c>
      <c r="E8847" s="138" t="str">
        <f t="shared" si="722"/>
        <v>Base</v>
      </c>
      <c r="F8847" s="138" t="str">
        <f t="shared" si="723"/>
        <v>Upgraded</v>
      </c>
      <c r="G8847" s="153"/>
      <c r="H8847" s="210">
        <v>8.0000000000000004E-4</v>
      </c>
      <c r="I8847" s="160" t="s">
        <v>148</v>
      </c>
      <c r="J8847" s="211">
        <v>4.0354700000000002E-5</v>
      </c>
      <c r="K8847" s="160" t="s">
        <v>24</v>
      </c>
      <c r="L8847" s="154" t="str">
        <f>IF(OpenLCAbasic!K8847="CTUh", "Fill in Manually",IF(OR(K8847="Unit", K8847=""), "", INDEX(LookUps!$E$5:$E$12, MATCH(OpenLCAbasic!K8847,LookUps!$D$5:$D$12,0))))</f>
        <v>Acidification Potential (AP) - kg SO2 eq</v>
      </c>
      <c r="M8847" s="154" t="str">
        <f t="shared" si="724"/>
        <v>Base_Medium_Low_Upgraded_Acidification Potential (AP) - kg SO2 eq_Control Building; at upgraded wastewater treatment plant - US_Base_With Amendment_Aerated Static Pile</v>
      </c>
    </row>
    <row r="8848" spans="1:13" s="120" customFormat="1" x14ac:dyDescent="0.25">
      <c r="A8848" s="119"/>
      <c r="B8848" s="138" t="str">
        <f t="shared" si="720"/>
        <v>Aerated Static Pile</v>
      </c>
      <c r="C8848" s="138" t="str">
        <f t="shared" si="721"/>
        <v>Base_With Amendment</v>
      </c>
      <c r="D8848" s="138" t="str">
        <f t="shared" si="725"/>
        <v>Medium_Low</v>
      </c>
      <c r="E8848" s="138" t="str">
        <f t="shared" si="722"/>
        <v>Base</v>
      </c>
      <c r="F8848" s="138" t="str">
        <f t="shared" si="723"/>
        <v>Upgraded</v>
      </c>
      <c r="G8848" s="153"/>
      <c r="H8848" s="210">
        <v>-5.5500000000000001E-2</v>
      </c>
      <c r="I8848" s="160" t="s">
        <v>149</v>
      </c>
      <c r="J8848" s="160">
        <v>-2.7799999999999999E-3</v>
      </c>
      <c r="K8848" s="160" t="s">
        <v>24</v>
      </c>
      <c r="L8848" s="154" t="str">
        <f>IF(OpenLCAbasic!K8848="CTUh", "Fill in Manually",IF(OR(K8848="Unit", K8848=""), "", INDEX(LookUps!$E$5:$E$12, MATCH(OpenLCAbasic!K8848,LookUps!$D$5:$D$12,0))))</f>
        <v>Acidification Potential (AP) - kg SO2 eq</v>
      </c>
      <c r="M8848" s="154" t="str">
        <f t="shared" si="724"/>
        <v>Base_Medium_Low_Upgraded_Acidification Potential (AP) - kg SO2 eq_Anaerobic Digestion; wastewater treatment unit; at updated plant - US_Base_With Amendment_Aerated Static Pile</v>
      </c>
    </row>
    <row r="8849" spans="1:13" s="120" customFormat="1" x14ac:dyDescent="0.25">
      <c r="A8849" s="119"/>
      <c r="B8849" s="138" t="str">
        <f t="shared" si="720"/>
        <v/>
      </c>
      <c r="C8849" s="138" t="str">
        <f t="shared" si="721"/>
        <v/>
      </c>
      <c r="D8849" s="138" t="str">
        <f t="shared" si="725"/>
        <v/>
      </c>
      <c r="E8849" s="138" t="str">
        <f t="shared" si="722"/>
        <v/>
      </c>
      <c r="F8849" s="138" t="str">
        <f t="shared" si="723"/>
        <v/>
      </c>
      <c r="G8849" s="153" t="s">
        <v>51</v>
      </c>
      <c r="H8849" s="160"/>
      <c r="I8849" s="160" t="s">
        <v>47</v>
      </c>
      <c r="J8849" s="160" t="s">
        <v>52</v>
      </c>
      <c r="K8849" s="160" t="s">
        <v>27</v>
      </c>
      <c r="L8849" s="154" t="str">
        <f>IF(OpenLCAbasic!K8849="CTUh", "Fill in Manually",IF(OR(K8849="Unit", K8849=""), "", INDEX(LookUps!$E$5:$E$12, MATCH(OpenLCAbasic!K8849,LookUps!$D$5:$D$12,0))))</f>
        <v/>
      </c>
      <c r="M8849" s="154" t="str">
        <f t="shared" si="724"/>
        <v>____Process__</v>
      </c>
    </row>
    <row r="8850" spans="1:13" s="120" customFormat="1" x14ac:dyDescent="0.25">
      <c r="A8850" s="119"/>
      <c r="B8850" s="138" t="str">
        <f t="shared" si="720"/>
        <v>Aerated Static Pile</v>
      </c>
      <c r="C8850" s="138" t="str">
        <f t="shared" si="721"/>
        <v>Base_With Amendment</v>
      </c>
      <c r="D8850" s="138" t="str">
        <f t="shared" si="725"/>
        <v>Medium_Low</v>
      </c>
      <c r="E8850" s="138" t="str">
        <f t="shared" si="722"/>
        <v>Base</v>
      </c>
      <c r="F8850" s="138" t="str">
        <f t="shared" si="723"/>
        <v>Upgraded</v>
      </c>
      <c r="G8850" s="153"/>
      <c r="H8850" s="210">
        <v>0.2969</v>
      </c>
      <c r="I8850" s="160" t="s">
        <v>167</v>
      </c>
      <c r="J8850" s="160">
        <v>4.2789599999999997</v>
      </c>
      <c r="K8850" s="160" t="s">
        <v>15</v>
      </c>
      <c r="L8850" s="154" t="str">
        <f>IF(OpenLCAbasic!K8850="CTUh", "Fill in Manually",IF(OR(K8850="Unit", K8850=""), "", INDEX(LookUps!$E$5:$E$12, MATCH(OpenLCAbasic!K8850,LookUps!$D$5:$D$12,0))))</f>
        <v>Cumulative Energy Demand (CED) - MJ</v>
      </c>
      <c r="M8850" s="154" t="str">
        <f t="shared" si="724"/>
        <v>Base_Medium_Low_Upgraded_Cumulative Energy Demand (CED) - MJ_Waste Receiving and Holding; wastewater treatment unit; at updated plant - US_Base_With Amendment_Aerated Static Pile</v>
      </c>
    </row>
    <row r="8851" spans="1:13" s="120" customFormat="1" x14ac:dyDescent="0.25">
      <c r="A8851" s="119"/>
      <c r="B8851" s="138" t="str">
        <f t="shared" si="720"/>
        <v>Aerated Static Pile</v>
      </c>
      <c r="C8851" s="138" t="str">
        <f t="shared" si="721"/>
        <v>Base_With Amendment</v>
      </c>
      <c r="D8851" s="138" t="str">
        <f t="shared" si="725"/>
        <v>Medium_Low</v>
      </c>
      <c r="E8851" s="138" t="str">
        <f t="shared" si="722"/>
        <v>Base</v>
      </c>
      <c r="F8851" s="138" t="str">
        <f t="shared" si="723"/>
        <v>Upgraded</v>
      </c>
      <c r="G8851" s="153"/>
      <c r="H8851" s="210">
        <v>0.24510000000000001</v>
      </c>
      <c r="I8851" s="160" t="s">
        <v>55</v>
      </c>
      <c r="J8851" s="160">
        <v>3.5330499999999998</v>
      </c>
      <c r="K8851" s="160" t="s">
        <v>15</v>
      </c>
      <c r="L8851" s="154" t="str">
        <f>IF(OpenLCAbasic!K8851="CTUh", "Fill in Manually",IF(OR(K8851="Unit", K8851=""), "", INDEX(LookUps!$E$5:$E$12, MATCH(OpenLCAbasic!K8851,LookUps!$D$5:$D$12,0))))</f>
        <v>Cumulative Energy Demand (CED) - MJ</v>
      </c>
      <c r="M8851" s="154" t="str">
        <f t="shared" si="724"/>
        <v>Base_Medium_Low_Upgraded_Cumulative Energy Demand (CED) - MJ_Aeration Tanks; wastewater treatment unit; at updated plant - US_Base_With Amendment_Aerated Static Pile</v>
      </c>
    </row>
    <row r="8852" spans="1:13" s="120" customFormat="1" x14ac:dyDescent="0.25">
      <c r="A8852" s="119"/>
      <c r="B8852" s="138" t="str">
        <f t="shared" si="720"/>
        <v>Aerated Static Pile</v>
      </c>
      <c r="C8852" s="138" t="str">
        <f t="shared" si="721"/>
        <v>Base_With Amendment</v>
      </c>
      <c r="D8852" s="138" t="str">
        <f t="shared" si="725"/>
        <v>Medium_Low</v>
      </c>
      <c r="E8852" s="138" t="str">
        <f t="shared" si="722"/>
        <v>Base</v>
      </c>
      <c r="F8852" s="138" t="str">
        <f t="shared" si="723"/>
        <v>Upgraded</v>
      </c>
      <c r="G8852" s="153"/>
      <c r="H8852" s="210">
        <v>0.13220000000000001</v>
      </c>
      <c r="I8852" s="160" t="s">
        <v>435</v>
      </c>
      <c r="J8852" s="160">
        <v>1.90496</v>
      </c>
      <c r="K8852" s="160" t="s">
        <v>15</v>
      </c>
      <c r="L8852" s="154" t="str">
        <f>IF(OpenLCAbasic!K8852="CTUh", "Fill in Manually",IF(OR(K8852="Unit", K8852=""), "", INDEX(LookUps!$E$5:$E$12, MATCH(OpenLCAbasic!K8852,LookUps!$D$5:$D$12,0))))</f>
        <v>Cumulative Energy Demand (CED) - MJ</v>
      </c>
      <c r="M8852" s="154" t="str">
        <f t="shared" si="724"/>
        <v>Base_Medium_Low_Upgraded_Cumulative Energy Demand (CED) - MJ_Biosolids composting; aerated static pile; wastewater treatment unit; at updated plant - US_Base_With Amendment_Aerated Static Pile</v>
      </c>
    </row>
    <row r="8853" spans="1:13" s="120" customFormat="1" x14ac:dyDescent="0.25">
      <c r="A8853" s="119"/>
      <c r="B8853" s="138" t="str">
        <f t="shared" si="720"/>
        <v>Aerated Static Pile</v>
      </c>
      <c r="C8853" s="138" t="str">
        <f t="shared" si="721"/>
        <v>Base_With Amendment</v>
      </c>
      <c r="D8853" s="138" t="str">
        <f t="shared" si="725"/>
        <v>Medium_Low</v>
      </c>
      <c r="E8853" s="138" t="str">
        <f t="shared" si="722"/>
        <v>Base</v>
      </c>
      <c r="F8853" s="138" t="str">
        <f t="shared" si="723"/>
        <v>Upgraded</v>
      </c>
      <c r="G8853" s="153"/>
      <c r="H8853" s="210">
        <v>8.0699999999999994E-2</v>
      </c>
      <c r="I8853" s="160" t="s">
        <v>54</v>
      </c>
      <c r="J8853" s="160">
        <v>1.16289</v>
      </c>
      <c r="K8853" s="160" t="s">
        <v>15</v>
      </c>
      <c r="L8853" s="154" t="str">
        <f>IF(OpenLCAbasic!K8853="CTUh", "Fill in Manually",IF(OR(K8853="Unit", K8853=""), "", INDEX(LookUps!$E$5:$E$12, MATCH(OpenLCAbasic!K8853,LookUps!$D$5:$D$12,0))))</f>
        <v>Cumulative Energy Demand (CED) - MJ</v>
      </c>
      <c r="M8853" s="154" t="str">
        <f t="shared" si="724"/>
        <v>Base_Medium_Low_Upgraded_Cumulative Energy Demand (CED) - MJ_Clear Cove Primary Clarification; wastewater treatment unit; at updated plant - US_Base_With Amendment_Aerated Static Pile</v>
      </c>
    </row>
    <row r="8854" spans="1:13" s="120" customFormat="1" x14ac:dyDescent="0.25">
      <c r="A8854" s="119"/>
      <c r="B8854" s="138" t="str">
        <f t="shared" si="720"/>
        <v>Aerated Static Pile</v>
      </c>
      <c r="C8854" s="138" t="str">
        <f t="shared" si="721"/>
        <v>Base_With Amendment</v>
      </c>
      <c r="D8854" s="138" t="str">
        <f t="shared" si="725"/>
        <v>Medium_Low</v>
      </c>
      <c r="E8854" s="138" t="str">
        <f t="shared" si="722"/>
        <v>Base</v>
      </c>
      <c r="F8854" s="138" t="str">
        <f t="shared" si="723"/>
        <v>Upgraded</v>
      </c>
      <c r="G8854" s="153"/>
      <c r="H8854" s="210">
        <v>6.1499999999999999E-2</v>
      </c>
      <c r="I8854" s="160" t="s">
        <v>58</v>
      </c>
      <c r="J8854" s="160">
        <v>0.88705000000000001</v>
      </c>
      <c r="K8854" s="160" t="s">
        <v>15</v>
      </c>
      <c r="L8854" s="154" t="str">
        <f>IF(OpenLCAbasic!K8854="CTUh", "Fill in Manually",IF(OR(K8854="Unit", K8854=""), "", INDEX(LookUps!$E$5:$E$12, MATCH(OpenLCAbasic!K8854,LookUps!$D$5:$D$12,0))))</f>
        <v>Cumulative Energy Demand (CED) - MJ</v>
      </c>
      <c r="M8854" s="154" t="str">
        <f t="shared" si="724"/>
        <v>Base_Medium_Low_Upgraded_Cumulative Energy Demand (CED) - MJ_Pre-Anoxic &amp; Swing tank; wastewater treatment unit; at updated plant - US_Base_With Amendment_Aerated Static Pile</v>
      </c>
    </row>
    <row r="8855" spans="1:13" s="120" customFormat="1" x14ac:dyDescent="0.25">
      <c r="A8855" s="119"/>
      <c r="B8855" s="138" t="str">
        <f t="shared" si="720"/>
        <v>Aerated Static Pile</v>
      </c>
      <c r="C8855" s="138" t="str">
        <f t="shared" si="721"/>
        <v>Base_With Amendment</v>
      </c>
      <c r="D8855" s="138" t="str">
        <f t="shared" si="725"/>
        <v>Medium_Low</v>
      </c>
      <c r="E8855" s="138" t="str">
        <f t="shared" si="722"/>
        <v>Base</v>
      </c>
      <c r="F8855" s="138" t="str">
        <f t="shared" si="723"/>
        <v>Upgraded</v>
      </c>
      <c r="G8855" s="153"/>
      <c r="H8855" s="210">
        <v>6.13E-2</v>
      </c>
      <c r="I8855" s="160" t="s">
        <v>147</v>
      </c>
      <c r="J8855" s="160">
        <v>0.88297000000000003</v>
      </c>
      <c r="K8855" s="160" t="s">
        <v>15</v>
      </c>
      <c r="L8855" s="154" t="str">
        <f>IF(OpenLCAbasic!K8855="CTUh", "Fill in Manually",IF(OR(K8855="Unit", K8855=""), "", INDEX(LookUps!$E$5:$E$12, MATCH(OpenLCAbasic!K8855,LookUps!$D$5:$D$12,0))))</f>
        <v>Cumulative Energy Demand (CED) - MJ</v>
      </c>
      <c r="M8855" s="154" t="str">
        <f t="shared" si="724"/>
        <v>Base_Medium_Low_Upgraded_Cumulative Energy Demand (CED) - MJ_Influent Pump Station; wastewater treatment unit; at updated plant - US_Base_With Amendment_Aerated Static Pile</v>
      </c>
    </row>
    <row r="8856" spans="1:13" s="120" customFormat="1" x14ac:dyDescent="0.25">
      <c r="A8856" s="119"/>
      <c r="B8856" s="138" t="str">
        <f t="shared" si="720"/>
        <v>Aerated Static Pile</v>
      </c>
      <c r="C8856" s="138" t="str">
        <f t="shared" si="721"/>
        <v>Base_With Amendment</v>
      </c>
      <c r="D8856" s="138" t="str">
        <f t="shared" si="725"/>
        <v>Medium_Low</v>
      </c>
      <c r="E8856" s="138" t="str">
        <f t="shared" si="722"/>
        <v>Base</v>
      </c>
      <c r="F8856" s="138" t="str">
        <f t="shared" si="723"/>
        <v>Upgraded</v>
      </c>
      <c r="G8856" s="153"/>
      <c r="H8856" s="210">
        <v>4.8300000000000003E-2</v>
      </c>
      <c r="I8856" s="160" t="s">
        <v>53</v>
      </c>
      <c r="J8856" s="160">
        <v>0.69645000000000001</v>
      </c>
      <c r="K8856" s="160" t="s">
        <v>15</v>
      </c>
      <c r="L8856" s="154" t="str">
        <f>IF(OpenLCAbasic!K8856="CTUh", "Fill in Manually",IF(OR(K8856="Unit", K8856=""), "", INDEX(LookUps!$E$5:$E$12, MATCH(OpenLCAbasic!K8856,LookUps!$D$5:$D$12,0))))</f>
        <v>Cumulative Energy Demand (CED) - MJ</v>
      </c>
      <c r="M8856" s="154" t="str">
        <f t="shared" si="724"/>
        <v>Base_Medium_Low_Upgraded_Cumulative Energy Demand (CED) - MJ_Wet Well and Sump Station; wastewater treatment unit; at updated plant - US_Base_With Amendment_Aerated Static Pile</v>
      </c>
    </row>
    <row r="8857" spans="1:13" s="120" customFormat="1" x14ac:dyDescent="0.25">
      <c r="A8857" s="119"/>
      <c r="B8857" s="138" t="str">
        <f t="shared" si="720"/>
        <v>Aerated Static Pile</v>
      </c>
      <c r="C8857" s="138" t="str">
        <f t="shared" si="721"/>
        <v>Base_With Amendment</v>
      </c>
      <c r="D8857" s="138" t="str">
        <f t="shared" si="725"/>
        <v>Medium_Low</v>
      </c>
      <c r="E8857" s="138" t="str">
        <f t="shared" si="722"/>
        <v>Base</v>
      </c>
      <c r="F8857" s="138" t="str">
        <f t="shared" si="723"/>
        <v>Upgraded</v>
      </c>
      <c r="G8857" s="153"/>
      <c r="H8857" s="210">
        <v>3.1199999999999999E-2</v>
      </c>
      <c r="I8857" s="160" t="s">
        <v>60</v>
      </c>
      <c r="J8857" s="160">
        <v>0.44939000000000001</v>
      </c>
      <c r="K8857" s="160" t="s">
        <v>15</v>
      </c>
      <c r="L8857" s="154" t="str">
        <f>IF(OpenLCAbasic!K8857="CTUh", "Fill in Manually",IF(OR(K8857="Unit", K8857=""), "", INDEX(LookUps!$E$5:$E$12, MATCH(OpenLCAbasic!K8857,LookUps!$D$5:$D$12,0))))</f>
        <v>Cumulative Energy Demand (CED) - MJ</v>
      </c>
      <c r="M8857" s="154" t="str">
        <f t="shared" si="724"/>
        <v>Base_Medium_Low_Upgraded_Cumulative Energy Demand (CED) - MJ_Belt filter press; wastewater treatment unit; at updated plant - US_Base_With Amendment_Aerated Static Pile</v>
      </c>
    </row>
    <row r="8858" spans="1:13" s="120" customFormat="1" x14ac:dyDescent="0.25">
      <c r="A8858" s="119"/>
      <c r="B8858" s="138" t="str">
        <f t="shared" si="720"/>
        <v>Aerated Static Pile</v>
      </c>
      <c r="C8858" s="138" t="str">
        <f t="shared" si="721"/>
        <v>Base_With Amendment</v>
      </c>
      <c r="D8858" s="138" t="str">
        <f t="shared" si="725"/>
        <v>Medium_Low</v>
      </c>
      <c r="E8858" s="138" t="str">
        <f t="shared" si="722"/>
        <v>Base</v>
      </c>
      <c r="F8858" s="138" t="str">
        <f t="shared" si="723"/>
        <v>Upgraded</v>
      </c>
      <c r="G8858" s="153"/>
      <c r="H8858" s="210">
        <v>2.3199999999999998E-2</v>
      </c>
      <c r="I8858" s="160" t="s">
        <v>57</v>
      </c>
      <c r="J8858" s="160">
        <v>0.33404</v>
      </c>
      <c r="K8858" s="160" t="s">
        <v>15</v>
      </c>
      <c r="L8858" s="154" t="str">
        <f>IF(OpenLCAbasic!K8858="CTUh", "Fill in Manually",IF(OR(K8858="Unit", K8858=""), "", INDEX(LookUps!$E$5:$E$12, MATCH(OpenLCAbasic!K8858,LookUps!$D$5:$D$12,0))))</f>
        <v>Cumulative Energy Demand (CED) - MJ</v>
      </c>
      <c r="M8858" s="154" t="str">
        <f t="shared" si="724"/>
        <v>Base_Medium_Low_Upgraded_Cumulative Energy Demand (CED) - MJ_Gravity Belt Thickener; wastewater treatment unit; at updated plant - US_Base_With Amendment_Aerated Static Pile</v>
      </c>
    </row>
    <row r="8859" spans="1:13" s="120" customFormat="1" x14ac:dyDescent="0.25">
      <c r="A8859" s="119"/>
      <c r="B8859" s="138" t="str">
        <f t="shared" si="720"/>
        <v>Aerated Static Pile</v>
      </c>
      <c r="C8859" s="138" t="str">
        <f t="shared" si="721"/>
        <v>Base_With Amendment</v>
      </c>
      <c r="D8859" s="138" t="str">
        <f t="shared" si="725"/>
        <v>Medium_Low</v>
      </c>
      <c r="E8859" s="138" t="str">
        <f t="shared" si="722"/>
        <v>Base</v>
      </c>
      <c r="F8859" s="138" t="str">
        <f t="shared" si="723"/>
        <v>Upgraded</v>
      </c>
      <c r="G8859" s="153"/>
      <c r="H8859" s="210">
        <v>1.9E-2</v>
      </c>
      <c r="I8859" s="160" t="s">
        <v>149</v>
      </c>
      <c r="J8859" s="160">
        <v>0.27453</v>
      </c>
      <c r="K8859" s="160" t="s">
        <v>15</v>
      </c>
      <c r="L8859" s="154" t="str">
        <f>IF(OpenLCAbasic!K8859="CTUh", "Fill in Manually",IF(OR(K8859="Unit", K8859=""), "", INDEX(LookUps!$E$5:$E$12, MATCH(OpenLCAbasic!K8859,LookUps!$D$5:$D$12,0))))</f>
        <v>Cumulative Energy Demand (CED) - MJ</v>
      </c>
      <c r="M8859" s="154" t="str">
        <f t="shared" si="724"/>
        <v>Base_Medium_Low_Upgraded_Cumulative Energy Demand (CED) - MJ_Anaerobic Digestion; wastewater treatment unit; at updated plant - US_Base_With Amendment_Aerated Static Pile</v>
      </c>
    </row>
    <row r="8860" spans="1:13" s="120" customFormat="1" x14ac:dyDescent="0.25">
      <c r="A8860" s="119"/>
      <c r="B8860" s="138" t="str">
        <f t="shared" si="720"/>
        <v>Aerated Static Pile</v>
      </c>
      <c r="C8860" s="138" t="str">
        <f t="shared" si="721"/>
        <v>Base_With Amendment</v>
      </c>
      <c r="D8860" s="138" t="str">
        <f t="shared" si="725"/>
        <v>Medium_Low</v>
      </c>
      <c r="E8860" s="138" t="str">
        <f t="shared" si="722"/>
        <v>Base</v>
      </c>
      <c r="F8860" s="138" t="str">
        <f t="shared" si="723"/>
        <v>Upgraded</v>
      </c>
      <c r="G8860" s="153"/>
      <c r="H8860" s="210">
        <v>1.78E-2</v>
      </c>
      <c r="I8860" s="160" t="s">
        <v>128</v>
      </c>
      <c r="J8860" s="160">
        <v>0.25606000000000001</v>
      </c>
      <c r="K8860" s="160" t="s">
        <v>15</v>
      </c>
      <c r="L8860" s="154" t="str">
        <f>IF(OpenLCAbasic!K8860="CTUh", "Fill in Manually",IF(OR(K8860="Unit", K8860=""), "", INDEX(LookUps!$E$5:$E$12, MATCH(OpenLCAbasic!K8860,LookUps!$D$5:$D$12,0))))</f>
        <v>Cumulative Energy Demand (CED) - MJ</v>
      </c>
      <c r="M8860" s="154" t="str">
        <f t="shared" si="724"/>
        <v>Base_Medium_Low_Upgraded_Cumulative Energy Demand (CED) - MJ_Wastewater collection; operation and infrastructure; m3 wastewater_Base_With Amendment_Aerated Static Pile</v>
      </c>
    </row>
    <row r="8861" spans="1:13" s="120" customFormat="1" x14ac:dyDescent="0.25">
      <c r="A8861" s="119"/>
      <c r="B8861" s="138" t="str">
        <f t="shared" si="720"/>
        <v>Aerated Static Pile</v>
      </c>
      <c r="C8861" s="138" t="str">
        <f t="shared" si="721"/>
        <v>Base_With Amendment</v>
      </c>
      <c r="D8861" s="138" t="str">
        <f t="shared" si="725"/>
        <v>Medium_Low</v>
      </c>
      <c r="E8861" s="138" t="str">
        <f t="shared" si="722"/>
        <v>Base</v>
      </c>
      <c r="F8861" s="138" t="str">
        <f t="shared" si="723"/>
        <v>Upgraded</v>
      </c>
      <c r="G8861" s="153"/>
      <c r="H8861" s="210">
        <v>1.01E-2</v>
      </c>
      <c r="I8861" s="160" t="s">
        <v>148</v>
      </c>
      <c r="J8861" s="160">
        <v>0.14599000000000001</v>
      </c>
      <c r="K8861" s="160" t="s">
        <v>15</v>
      </c>
      <c r="L8861" s="154" t="str">
        <f>IF(OpenLCAbasic!K8861="CTUh", "Fill in Manually",IF(OR(K8861="Unit", K8861=""), "", INDEX(LookUps!$E$5:$E$12, MATCH(OpenLCAbasic!K8861,LookUps!$D$5:$D$12,0))))</f>
        <v>Cumulative Energy Demand (CED) - MJ</v>
      </c>
      <c r="M8861" s="154" t="str">
        <f t="shared" si="724"/>
        <v>Base_Medium_Low_Upgraded_Cumulative Energy Demand (CED) - MJ_Control Building; at upgraded wastewater treatment plant - US_Base_With Amendment_Aerated Static Pile</v>
      </c>
    </row>
    <row r="8862" spans="1:13" s="120" customFormat="1" x14ac:dyDescent="0.25">
      <c r="A8862" s="119"/>
      <c r="B8862" s="138" t="str">
        <f t="shared" si="720"/>
        <v>Aerated Static Pile</v>
      </c>
      <c r="C8862" s="138" t="str">
        <f t="shared" si="721"/>
        <v>Base_With Amendment</v>
      </c>
      <c r="D8862" s="138" t="str">
        <f t="shared" si="725"/>
        <v>Medium_Low</v>
      </c>
      <c r="E8862" s="138" t="str">
        <f t="shared" si="722"/>
        <v>Base</v>
      </c>
      <c r="F8862" s="138" t="str">
        <f t="shared" si="723"/>
        <v>Upgraded</v>
      </c>
      <c r="G8862" s="153"/>
      <c r="H8862" s="210">
        <v>9.1999999999999998E-3</v>
      </c>
      <c r="I8862" s="160" t="s">
        <v>48</v>
      </c>
      <c r="J8862" s="160">
        <v>0.13321</v>
      </c>
      <c r="K8862" s="160" t="s">
        <v>15</v>
      </c>
      <c r="L8862" s="154" t="str">
        <f>IF(OpenLCAbasic!K8862="CTUh", "Fill in Manually",IF(OR(K8862="Unit", K8862=""), "", INDEX(LookUps!$E$5:$E$12, MATCH(OpenLCAbasic!K8862,LookUps!$D$5:$D$12,0))))</f>
        <v>Cumulative Energy Demand (CED) - MJ</v>
      </c>
      <c r="M8862" s="154" t="str">
        <f t="shared" si="724"/>
        <v>Base_Medium_Low_Upgraded_Cumulative Energy Demand (CED) - MJ_Effluent release; wastewater treatment unit; at surface water; m3 wastewater - US_Base_With Amendment_Aerated Static Pile</v>
      </c>
    </row>
    <row r="8863" spans="1:13" s="120" customFormat="1" x14ac:dyDescent="0.25">
      <c r="A8863" s="119"/>
      <c r="B8863" s="138" t="str">
        <f t="shared" si="720"/>
        <v>Aerated Static Pile</v>
      </c>
      <c r="C8863" s="138" t="str">
        <f t="shared" si="721"/>
        <v>Base_With Amendment</v>
      </c>
      <c r="D8863" s="138" t="str">
        <f t="shared" si="725"/>
        <v>Medium_Low</v>
      </c>
      <c r="E8863" s="138" t="str">
        <f t="shared" si="722"/>
        <v>Base</v>
      </c>
      <c r="F8863" s="138" t="str">
        <f t="shared" si="723"/>
        <v>Upgraded</v>
      </c>
      <c r="G8863" s="153"/>
      <c r="H8863" s="210">
        <v>7.4000000000000003E-3</v>
      </c>
      <c r="I8863" s="160" t="s">
        <v>59</v>
      </c>
      <c r="J8863" s="160">
        <v>0.10638</v>
      </c>
      <c r="K8863" s="160" t="s">
        <v>15</v>
      </c>
      <c r="L8863" s="154" t="str">
        <f>IF(OpenLCAbasic!K8863="CTUh", "Fill in Manually",IF(OR(K8863="Unit", K8863=""), "", INDEX(LookUps!$E$5:$E$12, MATCH(OpenLCAbasic!K8863,LookUps!$D$5:$D$12,0))))</f>
        <v>Cumulative Energy Demand (CED) - MJ</v>
      </c>
      <c r="M8863" s="154" t="str">
        <f t="shared" si="724"/>
        <v>Base_Medium_Low_Upgraded_Cumulative Energy Demand (CED) - MJ_Blend Tank; wastewater treatment unit; at updated plant - US_Base_With Amendment_Aerated Static Pile</v>
      </c>
    </row>
    <row r="8864" spans="1:13" s="120" customFormat="1" x14ac:dyDescent="0.25">
      <c r="A8864" s="119"/>
      <c r="B8864" s="138" t="str">
        <f t="shared" si="720"/>
        <v>Aerated Static Pile</v>
      </c>
      <c r="C8864" s="138" t="str">
        <f t="shared" si="721"/>
        <v>Base_With Amendment</v>
      </c>
      <c r="D8864" s="138" t="str">
        <f t="shared" si="725"/>
        <v>Medium_Low</v>
      </c>
      <c r="E8864" s="138" t="str">
        <f t="shared" si="722"/>
        <v>Base</v>
      </c>
      <c r="F8864" s="138" t="str">
        <f t="shared" si="723"/>
        <v>Upgraded</v>
      </c>
      <c r="G8864" s="153"/>
      <c r="H8864" s="210">
        <v>3.5000000000000001E-3</v>
      </c>
      <c r="I8864" s="160" t="s">
        <v>168</v>
      </c>
      <c r="J8864" s="160">
        <v>5.0930000000000003E-2</v>
      </c>
      <c r="K8864" s="160" t="s">
        <v>15</v>
      </c>
      <c r="L8864" s="154" t="str">
        <f>IF(OpenLCAbasic!K8864="CTUh", "Fill in Manually",IF(OR(K8864="Unit", K8864=""), "", INDEX(LookUps!$E$5:$E$12, MATCH(OpenLCAbasic!K8864,LookUps!$D$5:$D$12,0))))</f>
        <v>Cumulative Energy Demand (CED) - MJ</v>
      </c>
      <c r="M8864" s="154" t="str">
        <f t="shared" si="724"/>
        <v>Base_Medium_Low_Upgraded_Cumulative Energy Demand (CED) - MJ_ClearCove SCP; wastewater treatment unit; at updated plant - US_Base_With Amendment_Aerated Static Pile</v>
      </c>
    </row>
    <row r="8865" spans="1:13" s="120" customFormat="1" x14ac:dyDescent="0.25">
      <c r="A8865" s="119"/>
      <c r="B8865" s="138" t="str">
        <f t="shared" si="720"/>
        <v>Aerated Static Pile</v>
      </c>
      <c r="C8865" s="138" t="str">
        <f t="shared" si="721"/>
        <v>Base_With Amendment</v>
      </c>
      <c r="D8865" s="138" t="str">
        <f t="shared" si="725"/>
        <v>Medium_Low</v>
      </c>
      <c r="E8865" s="138" t="str">
        <f t="shared" si="722"/>
        <v>Base</v>
      </c>
      <c r="F8865" s="138" t="str">
        <f t="shared" si="723"/>
        <v>Upgraded</v>
      </c>
      <c r="G8865" s="153"/>
      <c r="H8865" s="210">
        <v>-4.7399999999999998E-2</v>
      </c>
      <c r="I8865" s="160" t="s">
        <v>62</v>
      </c>
      <c r="J8865" s="160">
        <v>-0.68347000000000002</v>
      </c>
      <c r="K8865" s="160" t="s">
        <v>15</v>
      </c>
      <c r="L8865" s="154" t="str">
        <f>IF(OpenLCAbasic!K8865="CTUh", "Fill in Manually",IF(OR(K8865="Unit", K8865=""), "", INDEX(LookUps!$E$5:$E$12, MATCH(OpenLCAbasic!K8865,LookUps!$D$5:$D$12,0))))</f>
        <v>Cumulative Energy Demand (CED) - MJ</v>
      </c>
      <c r="M8865" s="154" t="str">
        <f t="shared" si="724"/>
        <v>Base_Medium_Low_Upgraded_Cumulative Energy Demand (CED) - MJ_Land application of compost; wastewater treatment unit; at updated plant - US_Base_With Amendment_Aerated Static Pile</v>
      </c>
    </row>
    <row r="8866" spans="1:13" s="120" customFormat="1" x14ac:dyDescent="0.25">
      <c r="A8866" s="119"/>
      <c r="B8866" s="138" t="str">
        <f t="shared" si="720"/>
        <v/>
      </c>
      <c r="C8866" s="138" t="str">
        <f t="shared" si="721"/>
        <v/>
      </c>
      <c r="D8866" s="138" t="str">
        <f t="shared" si="725"/>
        <v/>
      </c>
      <c r="E8866" s="138" t="str">
        <f t="shared" si="722"/>
        <v/>
      </c>
      <c r="F8866" s="138" t="str">
        <f t="shared" si="723"/>
        <v/>
      </c>
      <c r="G8866" s="153" t="s">
        <v>51</v>
      </c>
      <c r="H8866" s="160"/>
      <c r="I8866" s="160" t="s">
        <v>47</v>
      </c>
      <c r="J8866" s="160" t="s">
        <v>52</v>
      </c>
      <c r="K8866" s="160" t="s">
        <v>27</v>
      </c>
      <c r="L8866" s="154" t="str">
        <f>IF(OpenLCAbasic!K8866="CTUh", "Fill in Manually",IF(OR(K8866="Unit", K8866=""), "", INDEX(LookUps!$E$5:$E$12, MATCH(OpenLCAbasic!K8866,LookUps!$D$5:$D$12,0))))</f>
        <v/>
      </c>
      <c r="M8866" s="154" t="str">
        <f t="shared" si="724"/>
        <v>____Process__</v>
      </c>
    </row>
    <row r="8867" spans="1:13" s="120" customFormat="1" x14ac:dyDescent="0.25">
      <c r="A8867" s="119"/>
      <c r="B8867" s="138" t="str">
        <f t="shared" si="720"/>
        <v>Aerated Static Pile</v>
      </c>
      <c r="C8867" s="138" t="str">
        <f t="shared" si="721"/>
        <v>Base_With Amendment</v>
      </c>
      <c r="D8867" s="138" t="str">
        <f t="shared" si="725"/>
        <v>Medium_Low</v>
      </c>
      <c r="E8867" s="138" t="str">
        <f t="shared" si="722"/>
        <v>Base</v>
      </c>
      <c r="F8867" s="138" t="str">
        <f t="shared" si="723"/>
        <v>Upgraded</v>
      </c>
      <c r="G8867" s="153"/>
      <c r="H8867" s="210">
        <v>0.69640000000000002</v>
      </c>
      <c r="I8867" s="160" t="s">
        <v>48</v>
      </c>
      <c r="J8867" s="160">
        <v>1.1610000000000001E-2</v>
      </c>
      <c r="K8867" s="160" t="s">
        <v>13</v>
      </c>
      <c r="L8867" s="154" t="str">
        <f>IF(OpenLCAbasic!K8867="CTUh", "Fill in Manually",IF(OR(K8867="Unit", K8867=""), "", INDEX(LookUps!$E$5:$E$12, MATCH(OpenLCAbasic!K8867,LookUps!$D$5:$D$12,0))))</f>
        <v>Eutrophication Potential (EP) - kg N eq</v>
      </c>
      <c r="M8867" s="154" t="str">
        <f t="shared" si="724"/>
        <v>Base_Medium_Low_Upgraded_Eutrophication Potential (EP) - kg N eq_Effluent release; wastewater treatment unit; at surface water; m3 wastewater - US_Base_With Amendment_Aerated Static Pile</v>
      </c>
    </row>
    <row r="8868" spans="1:13" s="120" customFormat="1" x14ac:dyDescent="0.25">
      <c r="A8868" s="119"/>
      <c r="B8868" s="138" t="str">
        <f t="shared" si="720"/>
        <v>Aerated Static Pile</v>
      </c>
      <c r="C8868" s="138" t="str">
        <f t="shared" si="721"/>
        <v>Base_With Amendment</v>
      </c>
      <c r="D8868" s="138" t="str">
        <f t="shared" si="725"/>
        <v>Medium_Low</v>
      </c>
      <c r="E8868" s="138" t="str">
        <f t="shared" si="722"/>
        <v>Base</v>
      </c>
      <c r="F8868" s="138" t="str">
        <f t="shared" si="723"/>
        <v>Upgraded</v>
      </c>
      <c r="G8868" s="153"/>
      <c r="H8868" s="210">
        <v>0.18959999999999999</v>
      </c>
      <c r="I8868" s="160" t="s">
        <v>62</v>
      </c>
      <c r="J8868" s="160">
        <v>3.16E-3</v>
      </c>
      <c r="K8868" s="160" t="s">
        <v>13</v>
      </c>
      <c r="L8868" s="154" t="str">
        <f>IF(OpenLCAbasic!K8868="CTUh", "Fill in Manually",IF(OR(K8868="Unit", K8868=""), "", INDEX(LookUps!$E$5:$E$12, MATCH(OpenLCAbasic!K8868,LookUps!$D$5:$D$12,0))))</f>
        <v>Eutrophication Potential (EP) - kg N eq</v>
      </c>
      <c r="M8868" s="154" t="str">
        <f t="shared" si="724"/>
        <v>Base_Medium_Low_Upgraded_Eutrophication Potential (EP) - kg N eq_Land application of compost; wastewater treatment unit; at updated plant - US_Base_With Amendment_Aerated Static Pile</v>
      </c>
    </row>
    <row r="8869" spans="1:13" s="120" customFormat="1" x14ac:dyDescent="0.25">
      <c r="A8869" s="119"/>
      <c r="B8869" s="138" t="str">
        <f t="shared" si="720"/>
        <v>Aerated Static Pile</v>
      </c>
      <c r="C8869" s="138" t="str">
        <f t="shared" si="721"/>
        <v>Base_With Amendment</v>
      </c>
      <c r="D8869" s="138" t="str">
        <f t="shared" si="725"/>
        <v>Medium_Low</v>
      </c>
      <c r="E8869" s="138" t="str">
        <f t="shared" si="722"/>
        <v>Base</v>
      </c>
      <c r="F8869" s="138" t="str">
        <f t="shared" si="723"/>
        <v>Upgraded</v>
      </c>
      <c r="G8869" s="153"/>
      <c r="H8869" s="210">
        <v>3.2800000000000003E-2</v>
      </c>
      <c r="I8869" s="160" t="s">
        <v>55</v>
      </c>
      <c r="J8869" s="160">
        <v>5.5000000000000003E-4</v>
      </c>
      <c r="K8869" s="160" t="s">
        <v>13</v>
      </c>
      <c r="L8869" s="154" t="str">
        <f>IF(OpenLCAbasic!K8869="CTUh", "Fill in Manually",IF(OR(K8869="Unit", K8869=""), "", INDEX(LookUps!$E$5:$E$12, MATCH(OpenLCAbasic!K8869,LookUps!$D$5:$D$12,0))))</f>
        <v>Eutrophication Potential (EP) - kg N eq</v>
      </c>
      <c r="M8869" s="154" t="str">
        <f t="shared" si="724"/>
        <v>Base_Medium_Low_Upgraded_Eutrophication Potential (EP) - kg N eq_Aeration Tanks; wastewater treatment unit; at updated plant - US_Base_With Amendment_Aerated Static Pile</v>
      </c>
    </row>
    <row r="8870" spans="1:13" s="120" customFormat="1" x14ac:dyDescent="0.25">
      <c r="A8870" s="119"/>
      <c r="B8870" s="138" t="str">
        <f t="shared" si="720"/>
        <v>Aerated Static Pile</v>
      </c>
      <c r="C8870" s="138" t="str">
        <f t="shared" si="721"/>
        <v>Base_With Amendment</v>
      </c>
      <c r="D8870" s="138" t="str">
        <f t="shared" si="725"/>
        <v>Medium_Low</v>
      </c>
      <c r="E8870" s="138" t="str">
        <f t="shared" si="722"/>
        <v>Base</v>
      </c>
      <c r="F8870" s="138" t="str">
        <f t="shared" si="723"/>
        <v>Upgraded</v>
      </c>
      <c r="G8870" s="153"/>
      <c r="H8870" s="210">
        <v>1.8800000000000001E-2</v>
      </c>
      <c r="I8870" s="160" t="s">
        <v>435</v>
      </c>
      <c r="J8870" s="160">
        <v>3.1E-4</v>
      </c>
      <c r="K8870" s="160" t="s">
        <v>13</v>
      </c>
      <c r="L8870" s="154" t="str">
        <f>IF(OpenLCAbasic!K8870="CTUh", "Fill in Manually",IF(OR(K8870="Unit", K8870=""), "", INDEX(LookUps!$E$5:$E$12, MATCH(OpenLCAbasic!K8870,LookUps!$D$5:$D$12,0))))</f>
        <v>Eutrophication Potential (EP) - kg N eq</v>
      </c>
      <c r="M8870" s="154" t="str">
        <f t="shared" si="724"/>
        <v>Base_Medium_Low_Upgraded_Eutrophication Potential (EP) - kg N eq_Biosolids composting; aerated static pile; wastewater treatment unit; at updated plant - US_Base_With Amendment_Aerated Static Pile</v>
      </c>
    </row>
    <row r="8871" spans="1:13" s="120" customFormat="1" x14ac:dyDescent="0.25">
      <c r="A8871" s="119"/>
      <c r="B8871" s="138" t="str">
        <f t="shared" si="720"/>
        <v>Aerated Static Pile</v>
      </c>
      <c r="C8871" s="138" t="str">
        <f t="shared" si="721"/>
        <v>Base_With Amendment</v>
      </c>
      <c r="D8871" s="138" t="str">
        <f t="shared" si="725"/>
        <v>Medium_Low</v>
      </c>
      <c r="E8871" s="138" t="str">
        <f t="shared" si="722"/>
        <v>Base</v>
      </c>
      <c r="F8871" s="138" t="str">
        <f t="shared" si="723"/>
        <v>Upgraded</v>
      </c>
      <c r="G8871" s="153"/>
      <c r="H8871" s="210">
        <v>1.4999999999999999E-2</v>
      </c>
      <c r="I8871" s="160" t="s">
        <v>147</v>
      </c>
      <c r="J8871" s="160">
        <v>2.5000000000000001E-4</v>
      </c>
      <c r="K8871" s="160" t="s">
        <v>13</v>
      </c>
      <c r="L8871" s="154" t="str">
        <f>IF(OpenLCAbasic!K8871="CTUh", "Fill in Manually",IF(OR(K8871="Unit", K8871=""), "", INDEX(LookUps!$E$5:$E$12, MATCH(OpenLCAbasic!K8871,LookUps!$D$5:$D$12,0))))</f>
        <v>Eutrophication Potential (EP) - kg N eq</v>
      </c>
      <c r="M8871" s="154" t="str">
        <f t="shared" si="724"/>
        <v>Base_Medium_Low_Upgraded_Eutrophication Potential (EP) - kg N eq_Influent Pump Station; wastewater treatment unit; at updated plant - US_Base_With Amendment_Aerated Static Pile</v>
      </c>
    </row>
    <row r="8872" spans="1:13" s="120" customFormat="1" x14ac:dyDescent="0.25">
      <c r="A8872" s="119"/>
      <c r="B8872" s="138" t="str">
        <f t="shared" si="720"/>
        <v>Aerated Static Pile</v>
      </c>
      <c r="C8872" s="138" t="str">
        <f t="shared" si="721"/>
        <v>Base_With Amendment</v>
      </c>
      <c r="D8872" s="138" t="str">
        <f t="shared" si="725"/>
        <v>Medium_Low</v>
      </c>
      <c r="E8872" s="138" t="str">
        <f t="shared" si="722"/>
        <v>Base</v>
      </c>
      <c r="F8872" s="138" t="str">
        <f t="shared" si="723"/>
        <v>Upgraded</v>
      </c>
      <c r="G8872" s="153"/>
      <c r="H8872" s="210">
        <v>1.1900000000000001E-2</v>
      </c>
      <c r="I8872" s="160" t="s">
        <v>54</v>
      </c>
      <c r="J8872" s="160">
        <v>2.0000000000000001E-4</v>
      </c>
      <c r="K8872" s="160" t="s">
        <v>13</v>
      </c>
      <c r="L8872" s="154" t="str">
        <f>IF(OpenLCAbasic!K8872="CTUh", "Fill in Manually",IF(OR(K8872="Unit", K8872=""), "", INDEX(LookUps!$E$5:$E$12, MATCH(OpenLCAbasic!K8872,LookUps!$D$5:$D$12,0))))</f>
        <v>Eutrophication Potential (EP) - kg N eq</v>
      </c>
      <c r="M8872" s="154" t="str">
        <f t="shared" si="724"/>
        <v>Base_Medium_Low_Upgraded_Eutrophication Potential (EP) - kg N eq_Clear Cove Primary Clarification; wastewater treatment unit; at updated plant - US_Base_With Amendment_Aerated Static Pile</v>
      </c>
    </row>
    <row r="8873" spans="1:13" s="120" customFormat="1" x14ac:dyDescent="0.25">
      <c r="A8873" s="119"/>
      <c r="B8873" s="138" t="str">
        <f t="shared" si="720"/>
        <v>Aerated Static Pile</v>
      </c>
      <c r="C8873" s="138" t="str">
        <f t="shared" si="721"/>
        <v>Base_With Amendment</v>
      </c>
      <c r="D8873" s="138" t="str">
        <f t="shared" si="725"/>
        <v>Medium_Low</v>
      </c>
      <c r="E8873" s="138" t="str">
        <f t="shared" si="722"/>
        <v>Base</v>
      </c>
      <c r="F8873" s="138" t="str">
        <f t="shared" si="723"/>
        <v>Upgraded</v>
      </c>
      <c r="G8873" s="153"/>
      <c r="H8873" s="210">
        <v>1.14E-2</v>
      </c>
      <c r="I8873" s="160" t="s">
        <v>167</v>
      </c>
      <c r="J8873" s="160">
        <v>1.9000000000000001E-4</v>
      </c>
      <c r="K8873" s="160" t="s">
        <v>13</v>
      </c>
      <c r="L8873" s="154" t="str">
        <f>IF(OpenLCAbasic!K8873="CTUh", "Fill in Manually",IF(OR(K8873="Unit", K8873=""), "", INDEX(LookUps!$E$5:$E$12, MATCH(OpenLCAbasic!K8873,LookUps!$D$5:$D$12,0))))</f>
        <v>Eutrophication Potential (EP) - kg N eq</v>
      </c>
      <c r="M8873" s="154" t="str">
        <f t="shared" si="724"/>
        <v>Base_Medium_Low_Upgraded_Eutrophication Potential (EP) - kg N eq_Waste Receiving and Holding; wastewater treatment unit; at updated plant - US_Base_With Amendment_Aerated Static Pile</v>
      </c>
    </row>
    <row r="8874" spans="1:13" s="120" customFormat="1" x14ac:dyDescent="0.25">
      <c r="A8874" s="119"/>
      <c r="B8874" s="138" t="str">
        <f t="shared" si="720"/>
        <v>Aerated Static Pile</v>
      </c>
      <c r="C8874" s="138" t="str">
        <f t="shared" si="721"/>
        <v>Base_With Amendment</v>
      </c>
      <c r="D8874" s="138" t="str">
        <f t="shared" si="725"/>
        <v>Medium_Low</v>
      </c>
      <c r="E8874" s="138" t="str">
        <f t="shared" si="722"/>
        <v>Base</v>
      </c>
      <c r="F8874" s="138" t="str">
        <f t="shared" si="723"/>
        <v>Upgraded</v>
      </c>
      <c r="G8874" s="153"/>
      <c r="H8874" s="210">
        <v>8.0999999999999996E-3</v>
      </c>
      <c r="I8874" s="160" t="s">
        <v>58</v>
      </c>
      <c r="J8874" s="160">
        <v>1.3999999999999999E-4</v>
      </c>
      <c r="K8874" s="160" t="s">
        <v>13</v>
      </c>
      <c r="L8874" s="154" t="str">
        <f>IF(OpenLCAbasic!K8874="CTUh", "Fill in Manually",IF(OR(K8874="Unit", K8874=""), "", INDEX(LookUps!$E$5:$E$12, MATCH(OpenLCAbasic!K8874,LookUps!$D$5:$D$12,0))))</f>
        <v>Eutrophication Potential (EP) - kg N eq</v>
      </c>
      <c r="M8874" s="154" t="str">
        <f t="shared" si="724"/>
        <v>Base_Medium_Low_Upgraded_Eutrophication Potential (EP) - kg N eq_Pre-Anoxic &amp; Swing tank; wastewater treatment unit; at updated plant - US_Base_With Amendment_Aerated Static Pile</v>
      </c>
    </row>
    <row r="8875" spans="1:13" s="120" customFormat="1" x14ac:dyDescent="0.25">
      <c r="A8875" s="119"/>
      <c r="B8875" s="138" t="str">
        <f t="shared" si="720"/>
        <v>Aerated Static Pile</v>
      </c>
      <c r="C8875" s="138" t="str">
        <f t="shared" si="721"/>
        <v>Base_With Amendment</v>
      </c>
      <c r="D8875" s="138" t="str">
        <f t="shared" si="725"/>
        <v>Medium_Low</v>
      </c>
      <c r="E8875" s="138" t="str">
        <f t="shared" si="722"/>
        <v>Base</v>
      </c>
      <c r="F8875" s="138" t="str">
        <f t="shared" si="723"/>
        <v>Upgraded</v>
      </c>
      <c r="G8875" s="153"/>
      <c r="H8875" s="210">
        <v>6.4000000000000003E-3</v>
      </c>
      <c r="I8875" s="160" t="s">
        <v>53</v>
      </c>
      <c r="J8875" s="160">
        <v>1.1E-4</v>
      </c>
      <c r="K8875" s="160" t="s">
        <v>13</v>
      </c>
      <c r="L8875" s="154" t="str">
        <f>IF(OpenLCAbasic!K8875="CTUh", "Fill in Manually",IF(OR(K8875="Unit", K8875=""), "", INDEX(LookUps!$E$5:$E$12, MATCH(OpenLCAbasic!K8875,LookUps!$D$5:$D$12,0))))</f>
        <v>Eutrophication Potential (EP) - kg N eq</v>
      </c>
      <c r="M8875" s="154" t="str">
        <f t="shared" si="724"/>
        <v>Base_Medium_Low_Upgraded_Eutrophication Potential (EP) - kg N eq_Wet Well and Sump Station; wastewater treatment unit; at updated plant - US_Base_With Amendment_Aerated Static Pile</v>
      </c>
    </row>
    <row r="8876" spans="1:13" s="120" customFormat="1" x14ac:dyDescent="0.25">
      <c r="A8876" s="119"/>
      <c r="B8876" s="138" t="str">
        <f t="shared" si="720"/>
        <v>Aerated Static Pile</v>
      </c>
      <c r="C8876" s="138" t="str">
        <f t="shared" si="721"/>
        <v>Base_With Amendment</v>
      </c>
      <c r="D8876" s="138" t="str">
        <f t="shared" si="725"/>
        <v>Medium_Low</v>
      </c>
      <c r="E8876" s="138" t="str">
        <f t="shared" si="722"/>
        <v>Base</v>
      </c>
      <c r="F8876" s="138" t="str">
        <f t="shared" si="723"/>
        <v>Upgraded</v>
      </c>
      <c r="G8876" s="153"/>
      <c r="H8876" s="210">
        <v>4.7000000000000002E-3</v>
      </c>
      <c r="I8876" s="160" t="s">
        <v>60</v>
      </c>
      <c r="J8876" s="211">
        <v>7.8941800000000004E-5</v>
      </c>
      <c r="K8876" s="160" t="s">
        <v>13</v>
      </c>
      <c r="L8876" s="154" t="str">
        <f>IF(OpenLCAbasic!K8876="CTUh", "Fill in Manually",IF(OR(K8876="Unit", K8876=""), "", INDEX(LookUps!$E$5:$E$12, MATCH(OpenLCAbasic!K8876,LookUps!$D$5:$D$12,0))))</f>
        <v>Eutrophication Potential (EP) - kg N eq</v>
      </c>
      <c r="M8876" s="154" t="str">
        <f t="shared" si="724"/>
        <v>Base_Medium_Low_Upgraded_Eutrophication Potential (EP) - kg N eq_Belt filter press; wastewater treatment unit; at updated plant - US_Base_With Amendment_Aerated Static Pile</v>
      </c>
    </row>
    <row r="8877" spans="1:13" s="120" customFormat="1" x14ac:dyDescent="0.25">
      <c r="A8877" s="119"/>
      <c r="B8877" s="138" t="str">
        <f t="shared" si="720"/>
        <v>Aerated Static Pile</v>
      </c>
      <c r="C8877" s="138" t="str">
        <f t="shared" si="721"/>
        <v>Base_With Amendment</v>
      </c>
      <c r="D8877" s="138" t="str">
        <f t="shared" si="725"/>
        <v>Medium_Low</v>
      </c>
      <c r="E8877" s="138" t="str">
        <f t="shared" si="722"/>
        <v>Base</v>
      </c>
      <c r="F8877" s="138" t="str">
        <f t="shared" si="723"/>
        <v>Upgraded</v>
      </c>
      <c r="G8877" s="153"/>
      <c r="H8877" s="210">
        <v>3.5999999999999999E-3</v>
      </c>
      <c r="I8877" s="160" t="s">
        <v>57</v>
      </c>
      <c r="J8877" s="211">
        <v>6.0590300000000002E-5</v>
      </c>
      <c r="K8877" s="160" t="s">
        <v>13</v>
      </c>
      <c r="L8877" s="154" t="str">
        <f>IF(OpenLCAbasic!K8877="CTUh", "Fill in Manually",IF(OR(K8877="Unit", K8877=""), "", INDEX(LookUps!$E$5:$E$12, MATCH(OpenLCAbasic!K8877,LookUps!$D$5:$D$12,0))))</f>
        <v>Eutrophication Potential (EP) - kg N eq</v>
      </c>
      <c r="M8877" s="154" t="str">
        <f t="shared" si="724"/>
        <v>Base_Medium_Low_Upgraded_Eutrophication Potential (EP) - kg N eq_Gravity Belt Thickener; wastewater treatment unit; at updated plant - US_Base_With Amendment_Aerated Static Pile</v>
      </c>
    </row>
    <row r="8878" spans="1:13" s="120" customFormat="1" x14ac:dyDescent="0.25">
      <c r="A8878" s="119"/>
      <c r="B8878" s="138" t="str">
        <f t="shared" si="720"/>
        <v>Aerated Static Pile</v>
      </c>
      <c r="C8878" s="138" t="str">
        <f t="shared" si="721"/>
        <v>Base_With Amendment</v>
      </c>
      <c r="D8878" s="138" t="str">
        <f t="shared" si="725"/>
        <v>Medium_Low</v>
      </c>
      <c r="E8878" s="138" t="str">
        <f t="shared" si="722"/>
        <v>Base</v>
      </c>
      <c r="F8878" s="138" t="str">
        <f t="shared" si="723"/>
        <v>Upgraded</v>
      </c>
      <c r="G8878" s="153"/>
      <c r="H8878" s="210">
        <v>2.3E-3</v>
      </c>
      <c r="I8878" s="160" t="s">
        <v>128</v>
      </c>
      <c r="J8878" s="211">
        <v>3.7559799999999999E-5</v>
      </c>
      <c r="K8878" s="160" t="s">
        <v>13</v>
      </c>
      <c r="L8878" s="154" t="str">
        <f>IF(OpenLCAbasic!K8878="CTUh", "Fill in Manually",IF(OR(K8878="Unit", K8878=""), "", INDEX(LookUps!$E$5:$E$12, MATCH(OpenLCAbasic!K8878,LookUps!$D$5:$D$12,0))))</f>
        <v>Eutrophication Potential (EP) - kg N eq</v>
      </c>
      <c r="M8878" s="154" t="str">
        <f t="shared" si="724"/>
        <v>Base_Medium_Low_Upgraded_Eutrophication Potential (EP) - kg N eq_Wastewater collection; operation and infrastructure; m3 wastewater_Base_With Amendment_Aerated Static Pile</v>
      </c>
    </row>
    <row r="8879" spans="1:13" s="120" customFormat="1" x14ac:dyDescent="0.25">
      <c r="A8879" s="119"/>
      <c r="B8879" s="138" t="str">
        <f t="shared" si="720"/>
        <v>Aerated Static Pile</v>
      </c>
      <c r="C8879" s="138" t="str">
        <f t="shared" si="721"/>
        <v>Base_With Amendment</v>
      </c>
      <c r="D8879" s="138" t="str">
        <f t="shared" si="725"/>
        <v>Medium_Low</v>
      </c>
      <c r="E8879" s="138" t="str">
        <f t="shared" si="722"/>
        <v>Base</v>
      </c>
      <c r="F8879" s="138" t="str">
        <f t="shared" si="723"/>
        <v>Upgraded</v>
      </c>
      <c r="G8879" s="153"/>
      <c r="H8879" s="210">
        <v>2.2000000000000001E-3</v>
      </c>
      <c r="I8879" s="160" t="s">
        <v>148</v>
      </c>
      <c r="J8879" s="211">
        <v>3.6874600000000001E-5</v>
      </c>
      <c r="K8879" s="160" t="s">
        <v>13</v>
      </c>
      <c r="L8879" s="154" t="str">
        <f>IF(OpenLCAbasic!K8879="CTUh", "Fill in Manually",IF(OR(K8879="Unit", K8879=""), "", INDEX(LookUps!$E$5:$E$12, MATCH(OpenLCAbasic!K8879,LookUps!$D$5:$D$12,0))))</f>
        <v>Eutrophication Potential (EP) - kg N eq</v>
      </c>
      <c r="M8879" s="154" t="str">
        <f t="shared" si="724"/>
        <v>Base_Medium_Low_Upgraded_Eutrophication Potential (EP) - kg N eq_Control Building; at upgraded wastewater treatment plant - US_Base_With Amendment_Aerated Static Pile</v>
      </c>
    </row>
    <row r="8880" spans="1:13" s="120" customFormat="1" x14ac:dyDescent="0.25">
      <c r="A8880" s="119"/>
      <c r="B8880" s="138" t="str">
        <f t="shared" si="720"/>
        <v>Aerated Static Pile</v>
      </c>
      <c r="C8880" s="138" t="str">
        <f t="shared" si="721"/>
        <v>Base_With Amendment</v>
      </c>
      <c r="D8880" s="138" t="str">
        <f t="shared" si="725"/>
        <v>Medium_Low</v>
      </c>
      <c r="E8880" s="138" t="str">
        <f t="shared" si="722"/>
        <v>Base</v>
      </c>
      <c r="F8880" s="138" t="str">
        <f t="shared" si="723"/>
        <v>Upgraded</v>
      </c>
      <c r="G8880" s="153"/>
      <c r="H8880" s="210">
        <v>1E-3</v>
      </c>
      <c r="I8880" s="160" t="s">
        <v>59</v>
      </c>
      <c r="J8880" s="211">
        <v>1.6215700000000001E-5</v>
      </c>
      <c r="K8880" s="160" t="s">
        <v>13</v>
      </c>
      <c r="L8880" s="154" t="str">
        <f>IF(OpenLCAbasic!K8880="CTUh", "Fill in Manually",IF(OR(K8880="Unit", K8880=""), "", INDEX(LookUps!$E$5:$E$12, MATCH(OpenLCAbasic!K8880,LookUps!$D$5:$D$12,0))))</f>
        <v>Eutrophication Potential (EP) - kg N eq</v>
      </c>
      <c r="M8880" s="154" t="str">
        <f t="shared" si="724"/>
        <v>Base_Medium_Low_Upgraded_Eutrophication Potential (EP) - kg N eq_Blend Tank; wastewater treatment unit; at updated plant - US_Base_With Amendment_Aerated Static Pile</v>
      </c>
    </row>
    <row r="8881" spans="1:13" s="120" customFormat="1" x14ac:dyDescent="0.25">
      <c r="A8881" s="119"/>
      <c r="B8881" s="138" t="str">
        <f t="shared" si="720"/>
        <v>Aerated Static Pile</v>
      </c>
      <c r="C8881" s="138" t="str">
        <f t="shared" si="721"/>
        <v>Base_With Amendment</v>
      </c>
      <c r="D8881" s="138" t="str">
        <f t="shared" si="725"/>
        <v>Medium_Low</v>
      </c>
      <c r="E8881" s="138" t="str">
        <f t="shared" si="722"/>
        <v>Base</v>
      </c>
      <c r="F8881" s="138" t="str">
        <f t="shared" si="723"/>
        <v>Upgraded</v>
      </c>
      <c r="G8881" s="153"/>
      <c r="H8881" s="210">
        <v>5.0000000000000001E-4</v>
      </c>
      <c r="I8881" s="160" t="s">
        <v>168</v>
      </c>
      <c r="J8881" s="211">
        <v>7.7567199999999995E-6</v>
      </c>
      <c r="K8881" s="160" t="s">
        <v>13</v>
      </c>
      <c r="L8881" s="154" t="str">
        <f>IF(OpenLCAbasic!K8881="CTUh", "Fill in Manually",IF(OR(K8881="Unit", K8881=""), "", INDEX(LookUps!$E$5:$E$12, MATCH(OpenLCAbasic!K8881,LookUps!$D$5:$D$12,0))))</f>
        <v>Eutrophication Potential (EP) - kg N eq</v>
      </c>
      <c r="M8881" s="154" t="str">
        <f t="shared" si="724"/>
        <v>Base_Medium_Low_Upgraded_Eutrophication Potential (EP) - kg N eq_ClearCove SCP; wastewater treatment unit; at updated plant - US_Base_With Amendment_Aerated Static Pile</v>
      </c>
    </row>
    <row r="8882" spans="1:13" s="120" customFormat="1" x14ac:dyDescent="0.25">
      <c r="A8882" s="119"/>
      <c r="B8882" s="138" t="str">
        <f t="shared" si="720"/>
        <v>Aerated Static Pile</v>
      </c>
      <c r="C8882" s="138" t="str">
        <f t="shared" si="721"/>
        <v>Base_With Amendment</v>
      </c>
      <c r="D8882" s="138" t="str">
        <f t="shared" si="725"/>
        <v>Medium_Low</v>
      </c>
      <c r="E8882" s="138" t="str">
        <f t="shared" si="722"/>
        <v>Base</v>
      </c>
      <c r="F8882" s="138" t="str">
        <f t="shared" si="723"/>
        <v>Upgraded</v>
      </c>
      <c r="G8882" s="153"/>
      <c r="H8882" s="210">
        <v>-4.7000000000000002E-3</v>
      </c>
      <c r="I8882" s="160" t="s">
        <v>149</v>
      </c>
      <c r="J8882" s="211">
        <v>-7.8280099999999996E-5</v>
      </c>
      <c r="K8882" s="160" t="s">
        <v>13</v>
      </c>
      <c r="L8882" s="154" t="str">
        <f>IF(OpenLCAbasic!K8882="CTUh", "Fill in Manually",IF(OR(K8882="Unit", K8882=""), "", INDEX(LookUps!$E$5:$E$12, MATCH(OpenLCAbasic!K8882,LookUps!$D$5:$D$12,0))))</f>
        <v>Eutrophication Potential (EP) - kg N eq</v>
      </c>
      <c r="M8882" s="154" t="str">
        <f t="shared" si="724"/>
        <v>Base_Medium_Low_Upgraded_Eutrophication Potential (EP) - kg N eq_Anaerobic Digestion; wastewater treatment unit; at updated plant - US_Base_With Amendment_Aerated Static Pile</v>
      </c>
    </row>
    <row r="8883" spans="1:13" s="120" customFormat="1" x14ac:dyDescent="0.25">
      <c r="A8883" s="119"/>
      <c r="B8883" s="138" t="str">
        <f t="shared" si="720"/>
        <v/>
      </c>
      <c r="C8883" s="138" t="str">
        <f t="shared" si="721"/>
        <v/>
      </c>
      <c r="D8883" s="138" t="str">
        <f t="shared" si="725"/>
        <v/>
      </c>
      <c r="E8883" s="138" t="str">
        <f t="shared" si="722"/>
        <v/>
      </c>
      <c r="F8883" s="138" t="str">
        <f t="shared" si="723"/>
        <v/>
      </c>
      <c r="G8883" s="153" t="s">
        <v>51</v>
      </c>
      <c r="H8883" s="160"/>
      <c r="I8883" s="160" t="s">
        <v>47</v>
      </c>
      <c r="J8883" s="160" t="s">
        <v>52</v>
      </c>
      <c r="K8883" s="160" t="s">
        <v>27</v>
      </c>
      <c r="L8883" s="154" t="str">
        <f>IF(OpenLCAbasic!K8883="CTUh", "Fill in Manually",IF(OR(K8883="Unit", K8883=""), "", INDEX(LookUps!$E$5:$E$12, MATCH(OpenLCAbasic!K8883,LookUps!$D$5:$D$12,0))))</f>
        <v/>
      </c>
      <c r="M8883" s="154" t="str">
        <f t="shared" ref="M8883:M8946" si="726">CONCATENATE(E8883,"_",D8883,"_",F8883,"_",L8883, "_",I8883,"_", C8883,"_", B8883)</f>
        <v>____Process__</v>
      </c>
    </row>
    <row r="8884" spans="1:13" s="120" customFormat="1" x14ac:dyDescent="0.25">
      <c r="A8884" s="119"/>
      <c r="B8884" s="138" t="str">
        <f t="shared" si="720"/>
        <v>Aerated Static Pile</v>
      </c>
      <c r="C8884" s="138" t="str">
        <f t="shared" si="721"/>
        <v>Base_With Amendment</v>
      </c>
      <c r="D8884" s="138" t="str">
        <f t="shared" si="725"/>
        <v>Medium_Low</v>
      </c>
      <c r="E8884" s="138" t="str">
        <f t="shared" si="722"/>
        <v>Base</v>
      </c>
      <c r="F8884" s="138" t="str">
        <f t="shared" si="723"/>
        <v>Upgraded</v>
      </c>
      <c r="G8884" s="153"/>
      <c r="H8884" s="210">
        <v>0.3372</v>
      </c>
      <c r="I8884" s="160" t="s">
        <v>167</v>
      </c>
      <c r="J8884" s="160">
        <v>9.7259999999999999E-2</v>
      </c>
      <c r="K8884" s="160" t="s">
        <v>14</v>
      </c>
      <c r="L8884" s="154" t="str">
        <f>IF(OpenLCAbasic!K8884="CTUh", "Fill in Manually",IF(OR(K8884="Unit", K8884=""), "", INDEX(LookUps!$E$5:$E$12, MATCH(OpenLCAbasic!K8884,LookUps!$D$5:$D$12,0))))</f>
        <v>Fossil Depletion Potential (FDP) - kg oil eq</v>
      </c>
      <c r="M8884" s="154" t="str">
        <f t="shared" si="726"/>
        <v>Base_Medium_Low_Upgraded_Fossil Depletion Potential (FDP) - kg oil eq_Waste Receiving and Holding; wastewater treatment unit; at updated plant - US_Base_With Amendment_Aerated Static Pile</v>
      </c>
    </row>
    <row r="8885" spans="1:13" s="120" customFormat="1" x14ac:dyDescent="0.25">
      <c r="A8885" s="119"/>
      <c r="B8885" s="138" t="str">
        <f t="shared" si="720"/>
        <v>Aerated Static Pile</v>
      </c>
      <c r="C8885" s="138" t="str">
        <f t="shared" si="721"/>
        <v>Base_With Amendment</v>
      </c>
      <c r="D8885" s="138" t="str">
        <f t="shared" si="725"/>
        <v>Medium_Low</v>
      </c>
      <c r="E8885" s="138" t="str">
        <f t="shared" si="722"/>
        <v>Base</v>
      </c>
      <c r="F8885" s="138" t="str">
        <f t="shared" si="723"/>
        <v>Upgraded</v>
      </c>
      <c r="G8885" s="153"/>
      <c r="H8885" s="210">
        <v>0.2205</v>
      </c>
      <c r="I8885" s="160" t="s">
        <v>55</v>
      </c>
      <c r="J8885" s="160">
        <v>6.3589999999999994E-2</v>
      </c>
      <c r="K8885" s="160" t="s">
        <v>14</v>
      </c>
      <c r="L8885" s="154" t="str">
        <f>IF(OpenLCAbasic!K8885="CTUh", "Fill in Manually",IF(OR(K8885="Unit", K8885=""), "", INDEX(LookUps!$E$5:$E$12, MATCH(OpenLCAbasic!K8885,LookUps!$D$5:$D$12,0))))</f>
        <v>Fossil Depletion Potential (FDP) - kg oil eq</v>
      </c>
      <c r="M8885" s="154" t="str">
        <f t="shared" si="726"/>
        <v>Base_Medium_Low_Upgraded_Fossil Depletion Potential (FDP) - kg oil eq_Aeration Tanks; wastewater treatment unit; at updated plant - US_Base_With Amendment_Aerated Static Pile</v>
      </c>
    </row>
    <row r="8886" spans="1:13" s="120" customFormat="1" x14ac:dyDescent="0.25">
      <c r="A8886" s="119"/>
      <c r="B8886" s="138" t="str">
        <f t="shared" si="720"/>
        <v>Aerated Static Pile</v>
      </c>
      <c r="C8886" s="138" t="str">
        <f t="shared" si="721"/>
        <v>Base_With Amendment</v>
      </c>
      <c r="D8886" s="138" t="str">
        <f t="shared" si="725"/>
        <v>Medium_Low</v>
      </c>
      <c r="E8886" s="138" t="str">
        <f t="shared" si="722"/>
        <v>Base</v>
      </c>
      <c r="F8886" s="138" t="str">
        <f t="shared" si="723"/>
        <v>Upgraded</v>
      </c>
      <c r="G8886" s="153"/>
      <c r="H8886" s="210">
        <v>0.11899999999999999</v>
      </c>
      <c r="I8886" s="160" t="s">
        <v>435</v>
      </c>
      <c r="J8886" s="160">
        <v>3.4329999999999999E-2</v>
      </c>
      <c r="K8886" s="160" t="s">
        <v>14</v>
      </c>
      <c r="L8886" s="154" t="str">
        <f>IF(OpenLCAbasic!K8886="CTUh", "Fill in Manually",IF(OR(K8886="Unit", K8886=""), "", INDEX(LookUps!$E$5:$E$12, MATCH(OpenLCAbasic!K8886,LookUps!$D$5:$D$12,0))))</f>
        <v>Fossil Depletion Potential (FDP) - kg oil eq</v>
      </c>
      <c r="M8886" s="154" t="str">
        <f t="shared" si="726"/>
        <v>Base_Medium_Low_Upgraded_Fossil Depletion Potential (FDP) - kg oil eq_Biosolids composting; aerated static pile; wastewater treatment unit; at updated plant - US_Base_With Amendment_Aerated Static Pile</v>
      </c>
    </row>
    <row r="8887" spans="1:13" s="120" customFormat="1" x14ac:dyDescent="0.25">
      <c r="A8887" s="119"/>
      <c r="B8887" s="138" t="str">
        <f t="shared" si="720"/>
        <v>Aerated Static Pile</v>
      </c>
      <c r="C8887" s="138" t="str">
        <f t="shared" si="721"/>
        <v>Base_With Amendment</v>
      </c>
      <c r="D8887" s="138" t="str">
        <f t="shared" si="725"/>
        <v>Medium_Low</v>
      </c>
      <c r="E8887" s="138" t="str">
        <f t="shared" si="722"/>
        <v>Base</v>
      </c>
      <c r="F8887" s="138" t="str">
        <f t="shared" si="723"/>
        <v>Upgraded</v>
      </c>
      <c r="G8887" s="153"/>
      <c r="H8887" s="210">
        <v>7.2999999999999995E-2</v>
      </c>
      <c r="I8887" s="160" t="s">
        <v>54</v>
      </c>
      <c r="J8887" s="160">
        <v>2.1049999999999999E-2</v>
      </c>
      <c r="K8887" s="160" t="s">
        <v>14</v>
      </c>
      <c r="L8887" s="154" t="str">
        <f>IF(OpenLCAbasic!K8887="CTUh", "Fill in Manually",IF(OR(K8887="Unit", K8887=""), "", INDEX(LookUps!$E$5:$E$12, MATCH(OpenLCAbasic!K8887,LookUps!$D$5:$D$12,0))))</f>
        <v>Fossil Depletion Potential (FDP) - kg oil eq</v>
      </c>
      <c r="M8887" s="154" t="str">
        <f t="shared" si="726"/>
        <v>Base_Medium_Low_Upgraded_Fossil Depletion Potential (FDP) - kg oil eq_Clear Cove Primary Clarification; wastewater treatment unit; at updated plant - US_Base_With Amendment_Aerated Static Pile</v>
      </c>
    </row>
    <row r="8888" spans="1:13" s="120" customFormat="1" x14ac:dyDescent="0.25">
      <c r="A8888" s="119"/>
      <c r="B8888" s="138" t="str">
        <f t="shared" si="720"/>
        <v>Aerated Static Pile</v>
      </c>
      <c r="C8888" s="138" t="str">
        <f t="shared" si="721"/>
        <v>Base_With Amendment</v>
      </c>
      <c r="D8888" s="138" t="str">
        <f t="shared" si="725"/>
        <v>Medium_Low</v>
      </c>
      <c r="E8888" s="138" t="str">
        <f t="shared" si="722"/>
        <v>Base</v>
      </c>
      <c r="F8888" s="138" t="str">
        <f t="shared" si="723"/>
        <v>Upgraded</v>
      </c>
      <c r="G8888" s="153"/>
      <c r="H8888" s="210">
        <v>5.5399999999999998E-2</v>
      </c>
      <c r="I8888" s="160" t="s">
        <v>58</v>
      </c>
      <c r="J8888" s="160">
        <v>1.5980000000000001E-2</v>
      </c>
      <c r="K8888" s="160" t="s">
        <v>14</v>
      </c>
      <c r="L8888" s="154" t="str">
        <f>IF(OpenLCAbasic!K8888="CTUh", "Fill in Manually",IF(OR(K8888="Unit", K8888=""), "", INDEX(LookUps!$E$5:$E$12, MATCH(OpenLCAbasic!K8888,LookUps!$D$5:$D$12,0))))</f>
        <v>Fossil Depletion Potential (FDP) - kg oil eq</v>
      </c>
      <c r="M8888" s="154" t="str">
        <f t="shared" si="726"/>
        <v>Base_Medium_Low_Upgraded_Fossil Depletion Potential (FDP) - kg oil eq_Pre-Anoxic &amp; Swing tank; wastewater treatment unit; at updated plant - US_Base_With Amendment_Aerated Static Pile</v>
      </c>
    </row>
    <row r="8889" spans="1:13" s="120" customFormat="1" x14ac:dyDescent="0.25">
      <c r="A8889" s="119"/>
      <c r="B8889" s="138" t="str">
        <f t="shared" ref="B8889:B8952" si="727">IF(F8889="Legacy","n.a.",IF(F8889="","","Aerated Static Pile"))</f>
        <v>Aerated Static Pile</v>
      </c>
      <c r="C8889" s="138" t="str">
        <f t="shared" ref="C8889:C8952" si="728">IF(ISNUMBER($J8889),"Base_With Amendment","")</f>
        <v>Base_With Amendment</v>
      </c>
      <c r="D8889" s="138" t="str">
        <f t="shared" si="725"/>
        <v>Medium_Low</v>
      </c>
      <c r="E8889" s="138" t="str">
        <f t="shared" ref="E8889:E8952" si="729">IF(ISNUMBER($J8889),"Base","")</f>
        <v>Base</v>
      </c>
      <c r="F8889" s="138" t="str">
        <f t="shared" ref="F8889:F8952" si="730">IF(ISNUMBER(J8889),"Upgraded","")</f>
        <v>Upgraded</v>
      </c>
      <c r="G8889" s="153"/>
      <c r="H8889" s="210">
        <v>5.2299999999999999E-2</v>
      </c>
      <c r="I8889" s="160" t="s">
        <v>147</v>
      </c>
      <c r="J8889" s="160">
        <v>1.5089999999999999E-2</v>
      </c>
      <c r="K8889" s="160" t="s">
        <v>14</v>
      </c>
      <c r="L8889" s="154" t="str">
        <f>IF(OpenLCAbasic!K8889="CTUh", "Fill in Manually",IF(OR(K8889="Unit", K8889=""), "", INDEX(LookUps!$E$5:$E$12, MATCH(OpenLCAbasic!K8889,LookUps!$D$5:$D$12,0))))</f>
        <v>Fossil Depletion Potential (FDP) - kg oil eq</v>
      </c>
      <c r="M8889" s="154" t="str">
        <f t="shared" si="726"/>
        <v>Base_Medium_Low_Upgraded_Fossil Depletion Potential (FDP) - kg oil eq_Influent Pump Station; wastewater treatment unit; at updated plant - US_Base_With Amendment_Aerated Static Pile</v>
      </c>
    </row>
    <row r="8890" spans="1:13" s="120" customFormat="1" x14ac:dyDescent="0.25">
      <c r="A8890" s="119"/>
      <c r="B8890" s="138" t="str">
        <f t="shared" si="727"/>
        <v>Aerated Static Pile</v>
      </c>
      <c r="C8890" s="138" t="str">
        <f t="shared" si="728"/>
        <v>Base_With Amendment</v>
      </c>
      <c r="D8890" s="138" t="str">
        <f t="shared" si="725"/>
        <v>Medium_Low</v>
      </c>
      <c r="E8890" s="138" t="str">
        <f t="shared" si="729"/>
        <v>Base</v>
      </c>
      <c r="F8890" s="138" t="str">
        <f t="shared" si="730"/>
        <v>Upgraded</v>
      </c>
      <c r="G8890" s="153"/>
      <c r="H8890" s="210">
        <v>4.3299999999999998E-2</v>
      </c>
      <c r="I8890" s="160" t="s">
        <v>53</v>
      </c>
      <c r="J8890" s="160">
        <v>1.2489999999999999E-2</v>
      </c>
      <c r="K8890" s="160" t="s">
        <v>14</v>
      </c>
      <c r="L8890" s="154" t="str">
        <f>IF(OpenLCAbasic!K8890="CTUh", "Fill in Manually",IF(OR(K8890="Unit", K8890=""), "", INDEX(LookUps!$E$5:$E$12, MATCH(OpenLCAbasic!K8890,LookUps!$D$5:$D$12,0))))</f>
        <v>Fossil Depletion Potential (FDP) - kg oil eq</v>
      </c>
      <c r="M8890" s="154" t="str">
        <f t="shared" si="726"/>
        <v>Base_Medium_Low_Upgraded_Fossil Depletion Potential (FDP) - kg oil eq_Wet Well and Sump Station; wastewater treatment unit; at updated plant - US_Base_With Amendment_Aerated Static Pile</v>
      </c>
    </row>
    <row r="8891" spans="1:13" s="120" customFormat="1" x14ac:dyDescent="0.25">
      <c r="A8891" s="119"/>
      <c r="B8891" s="138" t="str">
        <f t="shared" si="727"/>
        <v>Aerated Static Pile</v>
      </c>
      <c r="C8891" s="138" t="str">
        <f t="shared" si="728"/>
        <v>Base_With Amendment</v>
      </c>
      <c r="D8891" s="138" t="str">
        <f t="shared" si="725"/>
        <v>Medium_Low</v>
      </c>
      <c r="E8891" s="138" t="str">
        <f t="shared" si="729"/>
        <v>Base</v>
      </c>
      <c r="F8891" s="138" t="str">
        <f t="shared" si="730"/>
        <v>Upgraded</v>
      </c>
      <c r="G8891" s="153"/>
      <c r="H8891" s="210">
        <v>3.3500000000000002E-2</v>
      </c>
      <c r="I8891" s="160" t="s">
        <v>149</v>
      </c>
      <c r="J8891" s="160">
        <v>9.6600000000000002E-3</v>
      </c>
      <c r="K8891" s="160" t="s">
        <v>14</v>
      </c>
      <c r="L8891" s="154" t="str">
        <f>IF(OpenLCAbasic!K8891="CTUh", "Fill in Manually",IF(OR(K8891="Unit", K8891=""), "", INDEX(LookUps!$E$5:$E$12, MATCH(OpenLCAbasic!K8891,LookUps!$D$5:$D$12,0))))</f>
        <v>Fossil Depletion Potential (FDP) - kg oil eq</v>
      </c>
      <c r="M8891" s="154" t="str">
        <f t="shared" si="726"/>
        <v>Base_Medium_Low_Upgraded_Fossil Depletion Potential (FDP) - kg oil eq_Anaerobic Digestion; wastewater treatment unit; at updated plant - US_Base_With Amendment_Aerated Static Pile</v>
      </c>
    </row>
    <row r="8892" spans="1:13" s="120" customFormat="1" x14ac:dyDescent="0.25">
      <c r="A8892" s="119"/>
      <c r="B8892" s="138" t="str">
        <f t="shared" si="727"/>
        <v>Aerated Static Pile</v>
      </c>
      <c r="C8892" s="138" t="str">
        <f t="shared" si="728"/>
        <v>Base_With Amendment</v>
      </c>
      <c r="D8892" s="138" t="str">
        <f t="shared" si="725"/>
        <v>Medium_Low</v>
      </c>
      <c r="E8892" s="138" t="str">
        <f t="shared" si="729"/>
        <v>Base</v>
      </c>
      <c r="F8892" s="138" t="str">
        <f t="shared" si="730"/>
        <v>Upgraded</v>
      </c>
      <c r="G8892" s="153"/>
      <c r="H8892" s="210">
        <v>3.1399999999999997E-2</v>
      </c>
      <c r="I8892" s="160" t="s">
        <v>60</v>
      </c>
      <c r="J8892" s="160">
        <v>9.0600000000000003E-3</v>
      </c>
      <c r="K8892" s="160" t="s">
        <v>14</v>
      </c>
      <c r="L8892" s="154" t="str">
        <f>IF(OpenLCAbasic!K8892="CTUh", "Fill in Manually",IF(OR(K8892="Unit", K8892=""), "", INDEX(LookUps!$E$5:$E$12, MATCH(OpenLCAbasic!K8892,LookUps!$D$5:$D$12,0))))</f>
        <v>Fossil Depletion Potential (FDP) - kg oil eq</v>
      </c>
      <c r="M8892" s="154" t="str">
        <f t="shared" si="726"/>
        <v>Base_Medium_Low_Upgraded_Fossil Depletion Potential (FDP) - kg oil eq_Belt filter press; wastewater treatment unit; at updated plant - US_Base_With Amendment_Aerated Static Pile</v>
      </c>
    </row>
    <row r="8893" spans="1:13" s="120" customFormat="1" x14ac:dyDescent="0.25">
      <c r="A8893" s="119"/>
      <c r="B8893" s="138" t="str">
        <f t="shared" si="727"/>
        <v>Aerated Static Pile</v>
      </c>
      <c r="C8893" s="138" t="str">
        <f t="shared" si="728"/>
        <v>Base_With Amendment</v>
      </c>
      <c r="D8893" s="138" t="str">
        <f t="shared" si="725"/>
        <v>Medium_Low</v>
      </c>
      <c r="E8893" s="138" t="str">
        <f t="shared" si="729"/>
        <v>Base</v>
      </c>
      <c r="F8893" s="138" t="str">
        <f t="shared" si="730"/>
        <v>Upgraded</v>
      </c>
      <c r="G8893" s="153"/>
      <c r="H8893" s="210">
        <v>2.4E-2</v>
      </c>
      <c r="I8893" s="160" t="s">
        <v>57</v>
      </c>
      <c r="J8893" s="160">
        <v>6.9199999999999999E-3</v>
      </c>
      <c r="K8893" s="160" t="s">
        <v>14</v>
      </c>
      <c r="L8893" s="154" t="str">
        <f>IF(OpenLCAbasic!K8893="CTUh", "Fill in Manually",IF(OR(K8893="Unit", K8893=""), "", INDEX(LookUps!$E$5:$E$12, MATCH(OpenLCAbasic!K8893,LookUps!$D$5:$D$12,0))))</f>
        <v>Fossil Depletion Potential (FDP) - kg oil eq</v>
      </c>
      <c r="M8893" s="154" t="str">
        <f t="shared" si="726"/>
        <v>Base_Medium_Low_Upgraded_Fossil Depletion Potential (FDP) - kg oil eq_Gravity Belt Thickener; wastewater treatment unit; at updated plant - US_Base_With Amendment_Aerated Static Pile</v>
      </c>
    </row>
    <row r="8894" spans="1:13" s="120" customFormat="1" x14ac:dyDescent="0.25">
      <c r="A8894" s="119"/>
      <c r="B8894" s="138" t="str">
        <f t="shared" si="727"/>
        <v>Aerated Static Pile</v>
      </c>
      <c r="C8894" s="138" t="str">
        <f t="shared" si="728"/>
        <v>Base_With Amendment</v>
      </c>
      <c r="D8894" s="138" t="str">
        <f t="shared" si="725"/>
        <v>Medium_Low</v>
      </c>
      <c r="E8894" s="138" t="str">
        <f t="shared" si="729"/>
        <v>Base</v>
      </c>
      <c r="F8894" s="138" t="str">
        <f t="shared" si="730"/>
        <v>Upgraded</v>
      </c>
      <c r="G8894" s="153"/>
      <c r="H8894" s="210">
        <v>1.5599999999999999E-2</v>
      </c>
      <c r="I8894" s="160" t="s">
        <v>128</v>
      </c>
      <c r="J8894" s="160">
        <v>4.4999999999999997E-3</v>
      </c>
      <c r="K8894" s="160" t="s">
        <v>14</v>
      </c>
      <c r="L8894" s="154" t="str">
        <f>IF(OpenLCAbasic!K8894="CTUh", "Fill in Manually",IF(OR(K8894="Unit", K8894=""), "", INDEX(LookUps!$E$5:$E$12, MATCH(OpenLCAbasic!K8894,LookUps!$D$5:$D$12,0))))</f>
        <v>Fossil Depletion Potential (FDP) - kg oil eq</v>
      </c>
      <c r="M8894" s="154" t="str">
        <f t="shared" si="726"/>
        <v>Base_Medium_Low_Upgraded_Fossil Depletion Potential (FDP) - kg oil eq_Wastewater collection; operation and infrastructure; m3 wastewater_Base_With Amendment_Aerated Static Pile</v>
      </c>
    </row>
    <row r="8895" spans="1:13" s="120" customFormat="1" x14ac:dyDescent="0.25">
      <c r="A8895" s="119"/>
      <c r="B8895" s="138" t="str">
        <f t="shared" si="727"/>
        <v>Aerated Static Pile</v>
      </c>
      <c r="C8895" s="138" t="str">
        <f t="shared" si="728"/>
        <v>Base_With Amendment</v>
      </c>
      <c r="D8895" s="138" t="str">
        <f t="shared" si="725"/>
        <v>Medium_Low</v>
      </c>
      <c r="E8895" s="138" t="str">
        <f t="shared" si="729"/>
        <v>Base</v>
      </c>
      <c r="F8895" s="138" t="str">
        <f t="shared" si="730"/>
        <v>Upgraded</v>
      </c>
      <c r="G8895" s="153"/>
      <c r="H8895" s="210">
        <v>9.7000000000000003E-3</v>
      </c>
      <c r="I8895" s="160" t="s">
        <v>148</v>
      </c>
      <c r="J8895" s="160">
        <v>2.8E-3</v>
      </c>
      <c r="K8895" s="160" t="s">
        <v>14</v>
      </c>
      <c r="L8895" s="154" t="str">
        <f>IF(OpenLCAbasic!K8895="CTUh", "Fill in Manually",IF(OR(K8895="Unit", K8895=""), "", INDEX(LookUps!$E$5:$E$12, MATCH(OpenLCAbasic!K8895,LookUps!$D$5:$D$12,0))))</f>
        <v>Fossil Depletion Potential (FDP) - kg oil eq</v>
      </c>
      <c r="M8895" s="154" t="str">
        <f t="shared" si="726"/>
        <v>Base_Medium_Low_Upgraded_Fossil Depletion Potential (FDP) - kg oil eq_Control Building; at upgraded wastewater treatment plant - US_Base_With Amendment_Aerated Static Pile</v>
      </c>
    </row>
    <row r="8896" spans="1:13" s="120" customFormat="1" x14ac:dyDescent="0.25">
      <c r="A8896" s="119"/>
      <c r="B8896" s="138" t="str">
        <f t="shared" si="727"/>
        <v>Aerated Static Pile</v>
      </c>
      <c r="C8896" s="138" t="str">
        <f t="shared" si="728"/>
        <v>Base_With Amendment</v>
      </c>
      <c r="D8896" s="138" t="str">
        <f t="shared" si="725"/>
        <v>Medium_Low</v>
      </c>
      <c r="E8896" s="138" t="str">
        <f t="shared" si="729"/>
        <v>Base</v>
      </c>
      <c r="F8896" s="138" t="str">
        <f t="shared" si="730"/>
        <v>Upgraded</v>
      </c>
      <c r="G8896" s="153"/>
      <c r="H8896" s="210">
        <v>8.2000000000000007E-3</v>
      </c>
      <c r="I8896" s="160" t="s">
        <v>48</v>
      </c>
      <c r="J8896" s="160">
        <v>2.3600000000000001E-3</v>
      </c>
      <c r="K8896" s="160" t="s">
        <v>14</v>
      </c>
      <c r="L8896" s="154" t="str">
        <f>IF(OpenLCAbasic!K8896="CTUh", "Fill in Manually",IF(OR(K8896="Unit", K8896=""), "", INDEX(LookUps!$E$5:$E$12, MATCH(OpenLCAbasic!K8896,LookUps!$D$5:$D$12,0))))</f>
        <v>Fossil Depletion Potential (FDP) - kg oil eq</v>
      </c>
      <c r="M8896" s="154" t="str">
        <f t="shared" si="726"/>
        <v>Base_Medium_Low_Upgraded_Fossil Depletion Potential (FDP) - kg oil eq_Effluent release; wastewater treatment unit; at surface water; m3 wastewater - US_Base_With Amendment_Aerated Static Pile</v>
      </c>
    </row>
    <row r="8897" spans="1:13" s="120" customFormat="1" x14ac:dyDescent="0.25">
      <c r="A8897" s="119"/>
      <c r="B8897" s="138" t="str">
        <f t="shared" si="727"/>
        <v>Aerated Static Pile</v>
      </c>
      <c r="C8897" s="138" t="str">
        <f t="shared" si="728"/>
        <v>Base_With Amendment</v>
      </c>
      <c r="D8897" s="138" t="str">
        <f t="shared" ref="D8897:D8960" si="731">IF(ISNUMBER($J8897),"Medium_Low","")</f>
        <v>Medium_Low</v>
      </c>
      <c r="E8897" s="138" t="str">
        <f t="shared" si="729"/>
        <v>Base</v>
      </c>
      <c r="F8897" s="138" t="str">
        <f t="shared" si="730"/>
        <v>Upgraded</v>
      </c>
      <c r="G8897" s="153"/>
      <c r="H8897" s="210">
        <v>6.7000000000000002E-3</v>
      </c>
      <c r="I8897" s="160" t="s">
        <v>59</v>
      </c>
      <c r="J8897" s="160">
        <v>1.92E-3</v>
      </c>
      <c r="K8897" s="160" t="s">
        <v>14</v>
      </c>
      <c r="L8897" s="154" t="str">
        <f>IF(OpenLCAbasic!K8897="CTUh", "Fill in Manually",IF(OR(K8897="Unit", K8897=""), "", INDEX(LookUps!$E$5:$E$12, MATCH(OpenLCAbasic!K8897,LookUps!$D$5:$D$12,0))))</f>
        <v>Fossil Depletion Potential (FDP) - kg oil eq</v>
      </c>
      <c r="M8897" s="154" t="str">
        <f t="shared" si="726"/>
        <v>Base_Medium_Low_Upgraded_Fossil Depletion Potential (FDP) - kg oil eq_Blend Tank; wastewater treatment unit; at updated plant - US_Base_With Amendment_Aerated Static Pile</v>
      </c>
    </row>
    <row r="8898" spans="1:13" s="120" customFormat="1" x14ac:dyDescent="0.25">
      <c r="A8898" s="119"/>
      <c r="B8898" s="138" t="str">
        <f t="shared" si="727"/>
        <v>Aerated Static Pile</v>
      </c>
      <c r="C8898" s="138" t="str">
        <f t="shared" si="728"/>
        <v>Base_With Amendment</v>
      </c>
      <c r="D8898" s="138" t="str">
        <f t="shared" si="731"/>
        <v>Medium_Low</v>
      </c>
      <c r="E8898" s="138" t="str">
        <f t="shared" si="729"/>
        <v>Base</v>
      </c>
      <c r="F8898" s="138" t="str">
        <f t="shared" si="730"/>
        <v>Upgraded</v>
      </c>
      <c r="G8898" s="153"/>
      <c r="H8898" s="210">
        <v>3.2000000000000002E-3</v>
      </c>
      <c r="I8898" s="160" t="s">
        <v>168</v>
      </c>
      <c r="J8898" s="160">
        <v>9.1E-4</v>
      </c>
      <c r="K8898" s="160" t="s">
        <v>14</v>
      </c>
      <c r="L8898" s="154" t="str">
        <f>IF(OpenLCAbasic!K8898="CTUh", "Fill in Manually",IF(OR(K8898="Unit", K8898=""), "", INDEX(LookUps!$E$5:$E$12, MATCH(OpenLCAbasic!K8898,LookUps!$D$5:$D$12,0))))</f>
        <v>Fossil Depletion Potential (FDP) - kg oil eq</v>
      </c>
      <c r="M8898" s="154" t="str">
        <f t="shared" si="726"/>
        <v>Base_Medium_Low_Upgraded_Fossil Depletion Potential (FDP) - kg oil eq_ClearCove SCP; wastewater treatment unit; at updated plant - US_Base_With Amendment_Aerated Static Pile</v>
      </c>
    </row>
    <row r="8899" spans="1:13" s="120" customFormat="1" x14ac:dyDescent="0.25">
      <c r="A8899" s="119"/>
      <c r="B8899" s="138" t="str">
        <f t="shared" si="727"/>
        <v>Aerated Static Pile</v>
      </c>
      <c r="C8899" s="138" t="str">
        <f t="shared" si="728"/>
        <v>Base_With Amendment</v>
      </c>
      <c r="D8899" s="138" t="str">
        <f t="shared" si="731"/>
        <v>Medium_Low</v>
      </c>
      <c r="E8899" s="138" t="str">
        <f t="shared" si="729"/>
        <v>Base</v>
      </c>
      <c r="F8899" s="138" t="str">
        <f t="shared" si="730"/>
        <v>Upgraded</v>
      </c>
      <c r="G8899" s="153"/>
      <c r="H8899" s="210">
        <v>-3.3000000000000002E-2</v>
      </c>
      <c r="I8899" s="160" t="s">
        <v>62</v>
      </c>
      <c r="J8899" s="160">
        <v>-9.5200000000000007E-3</v>
      </c>
      <c r="K8899" s="160" t="s">
        <v>14</v>
      </c>
      <c r="L8899" s="154" t="str">
        <f>IF(OpenLCAbasic!K8899="CTUh", "Fill in Manually",IF(OR(K8899="Unit", K8899=""), "", INDEX(LookUps!$E$5:$E$12, MATCH(OpenLCAbasic!K8899,LookUps!$D$5:$D$12,0))))</f>
        <v>Fossil Depletion Potential (FDP) - kg oil eq</v>
      </c>
      <c r="M8899" s="154" t="str">
        <f t="shared" si="726"/>
        <v>Base_Medium_Low_Upgraded_Fossil Depletion Potential (FDP) - kg oil eq_Land application of compost; wastewater treatment unit; at updated plant - US_Base_With Amendment_Aerated Static Pile</v>
      </c>
    </row>
    <row r="8900" spans="1:13" s="120" customFormat="1" x14ac:dyDescent="0.25">
      <c r="A8900" s="119"/>
      <c r="B8900" s="138" t="str">
        <f t="shared" si="727"/>
        <v/>
      </c>
      <c r="C8900" s="138" t="str">
        <f t="shared" si="728"/>
        <v/>
      </c>
      <c r="D8900" s="138" t="str">
        <f t="shared" si="731"/>
        <v/>
      </c>
      <c r="E8900" s="138" t="str">
        <f t="shared" si="729"/>
        <v/>
      </c>
      <c r="F8900" s="138" t="str">
        <f t="shared" si="730"/>
        <v/>
      </c>
      <c r="G8900" s="153" t="s">
        <v>51</v>
      </c>
      <c r="H8900" s="160"/>
      <c r="I8900" s="160" t="s">
        <v>47</v>
      </c>
      <c r="J8900" s="160" t="s">
        <v>52</v>
      </c>
      <c r="K8900" s="160" t="s">
        <v>27</v>
      </c>
      <c r="L8900" s="154" t="str">
        <f>IF(OpenLCAbasic!K8900="CTUh", "Fill in Manually",IF(OR(K8900="Unit", K8900=""), "", INDEX(LookUps!$E$5:$E$12, MATCH(OpenLCAbasic!K8900,LookUps!$D$5:$D$12,0))))</f>
        <v/>
      </c>
      <c r="M8900" s="154" t="str">
        <f t="shared" si="726"/>
        <v>____Process__</v>
      </c>
    </row>
    <row r="8901" spans="1:13" s="120" customFormat="1" x14ac:dyDescent="0.25">
      <c r="A8901" s="119"/>
      <c r="B8901" s="138" t="str">
        <f t="shared" si="727"/>
        <v>Aerated Static Pile</v>
      </c>
      <c r="C8901" s="138" t="str">
        <f t="shared" si="728"/>
        <v>Base_With Amendment</v>
      </c>
      <c r="D8901" s="138" t="str">
        <f t="shared" si="731"/>
        <v>Medium_Low</v>
      </c>
      <c r="E8901" s="138" t="str">
        <f t="shared" si="729"/>
        <v>Base</v>
      </c>
      <c r="F8901" s="138" t="str">
        <f t="shared" si="730"/>
        <v>Upgraded</v>
      </c>
      <c r="G8901" s="153"/>
      <c r="H8901" s="210">
        <v>0.8468</v>
      </c>
      <c r="I8901" s="160" t="s">
        <v>435</v>
      </c>
      <c r="J8901" s="160">
        <v>0.78847</v>
      </c>
      <c r="K8901" s="160" t="s">
        <v>23</v>
      </c>
      <c r="L8901" s="154" t="str">
        <f>IF(OpenLCAbasic!K8901="CTUh", "Fill in Manually",IF(OR(K8901="Unit", K8901=""), "", INDEX(LookUps!$E$5:$E$12, MATCH(OpenLCAbasic!K8901,LookUps!$D$5:$D$12,0))))</f>
        <v>Global Warming Potential (GWP) - kg CO2 eq</v>
      </c>
      <c r="M8901" s="154" t="str">
        <f t="shared" si="726"/>
        <v>Base_Medium_Low_Upgraded_Global Warming Potential (GWP) - kg CO2 eq_Biosolids composting; aerated static pile; wastewater treatment unit; at updated plant - US_Base_With Amendment_Aerated Static Pile</v>
      </c>
    </row>
    <row r="8902" spans="1:13" s="120" customFormat="1" x14ac:dyDescent="0.25">
      <c r="A8902" s="119"/>
      <c r="B8902" s="138" t="str">
        <f t="shared" si="727"/>
        <v>Aerated Static Pile</v>
      </c>
      <c r="C8902" s="138" t="str">
        <f t="shared" si="728"/>
        <v>Base_With Amendment</v>
      </c>
      <c r="D8902" s="138" t="str">
        <f t="shared" si="731"/>
        <v>Medium_Low</v>
      </c>
      <c r="E8902" s="138" t="str">
        <f t="shared" si="729"/>
        <v>Base</v>
      </c>
      <c r="F8902" s="138" t="str">
        <f t="shared" si="730"/>
        <v>Upgraded</v>
      </c>
      <c r="G8902" s="153"/>
      <c r="H8902" s="210">
        <v>0.26390000000000002</v>
      </c>
      <c r="I8902" s="160" t="s">
        <v>58</v>
      </c>
      <c r="J8902" s="160">
        <v>0.24568999999999999</v>
      </c>
      <c r="K8902" s="160" t="s">
        <v>23</v>
      </c>
      <c r="L8902" s="154" t="str">
        <f>IF(OpenLCAbasic!K8902="CTUh", "Fill in Manually",IF(OR(K8902="Unit", K8902=""), "", INDEX(LookUps!$E$5:$E$12, MATCH(OpenLCAbasic!K8902,LookUps!$D$5:$D$12,0))))</f>
        <v>Global Warming Potential (GWP) - kg CO2 eq</v>
      </c>
      <c r="M8902" s="154" t="str">
        <f t="shared" si="726"/>
        <v>Base_Medium_Low_Upgraded_Global Warming Potential (GWP) - kg CO2 eq_Pre-Anoxic &amp; Swing tank; wastewater treatment unit; at updated plant - US_Base_With Amendment_Aerated Static Pile</v>
      </c>
    </row>
    <row r="8903" spans="1:13" s="120" customFormat="1" x14ac:dyDescent="0.25">
      <c r="A8903" s="119"/>
      <c r="B8903" s="138" t="str">
        <f t="shared" si="727"/>
        <v>Aerated Static Pile</v>
      </c>
      <c r="C8903" s="138" t="str">
        <f t="shared" si="728"/>
        <v>Base_With Amendment</v>
      </c>
      <c r="D8903" s="138" t="str">
        <f t="shared" si="731"/>
        <v>Medium_Low</v>
      </c>
      <c r="E8903" s="138" t="str">
        <f t="shared" si="729"/>
        <v>Base</v>
      </c>
      <c r="F8903" s="138" t="str">
        <f t="shared" si="730"/>
        <v>Upgraded</v>
      </c>
      <c r="G8903" s="153"/>
      <c r="H8903" s="210">
        <v>0.1807</v>
      </c>
      <c r="I8903" s="160" t="s">
        <v>55</v>
      </c>
      <c r="J8903" s="160">
        <v>0.16822000000000001</v>
      </c>
      <c r="K8903" s="160" t="s">
        <v>23</v>
      </c>
      <c r="L8903" s="154" t="str">
        <f>IF(OpenLCAbasic!K8903="CTUh", "Fill in Manually",IF(OR(K8903="Unit", K8903=""), "", INDEX(LookUps!$E$5:$E$12, MATCH(OpenLCAbasic!K8903,LookUps!$D$5:$D$12,0))))</f>
        <v>Global Warming Potential (GWP) - kg CO2 eq</v>
      </c>
      <c r="M8903" s="154" t="str">
        <f t="shared" si="726"/>
        <v>Base_Medium_Low_Upgraded_Global Warming Potential (GWP) - kg CO2 eq_Aeration Tanks; wastewater treatment unit; at updated plant - US_Base_With Amendment_Aerated Static Pile</v>
      </c>
    </row>
    <row r="8904" spans="1:13" s="120" customFormat="1" x14ac:dyDescent="0.25">
      <c r="A8904" s="119"/>
      <c r="B8904" s="138" t="str">
        <f t="shared" si="727"/>
        <v>Aerated Static Pile</v>
      </c>
      <c r="C8904" s="138" t="str">
        <f t="shared" si="728"/>
        <v>Base_With Amendment</v>
      </c>
      <c r="D8904" s="138" t="str">
        <f t="shared" si="731"/>
        <v>Medium_Low</v>
      </c>
      <c r="E8904" s="138" t="str">
        <f t="shared" si="729"/>
        <v>Base</v>
      </c>
      <c r="F8904" s="138" t="str">
        <f t="shared" si="730"/>
        <v>Upgraded</v>
      </c>
      <c r="G8904" s="153"/>
      <c r="H8904" s="210">
        <v>0.13270000000000001</v>
      </c>
      <c r="I8904" s="160" t="s">
        <v>167</v>
      </c>
      <c r="J8904" s="160">
        <v>0.12354999999999999</v>
      </c>
      <c r="K8904" s="160" t="s">
        <v>23</v>
      </c>
      <c r="L8904" s="154" t="str">
        <f>IF(OpenLCAbasic!K8904="CTUh", "Fill in Manually",IF(OR(K8904="Unit", K8904=""), "", INDEX(LookUps!$E$5:$E$12, MATCH(OpenLCAbasic!K8904,LookUps!$D$5:$D$12,0))))</f>
        <v>Global Warming Potential (GWP) - kg CO2 eq</v>
      </c>
      <c r="M8904" s="154" t="str">
        <f t="shared" si="726"/>
        <v>Base_Medium_Low_Upgraded_Global Warming Potential (GWP) - kg CO2 eq_Waste Receiving and Holding; wastewater treatment unit; at updated plant - US_Base_With Amendment_Aerated Static Pile</v>
      </c>
    </row>
    <row r="8905" spans="1:13" s="120" customFormat="1" x14ac:dyDescent="0.25">
      <c r="A8905" s="119"/>
      <c r="B8905" s="138" t="str">
        <f t="shared" si="727"/>
        <v>Aerated Static Pile</v>
      </c>
      <c r="C8905" s="138" t="str">
        <f t="shared" si="728"/>
        <v>Base_With Amendment</v>
      </c>
      <c r="D8905" s="138" t="str">
        <f t="shared" si="731"/>
        <v>Medium_Low</v>
      </c>
      <c r="E8905" s="138" t="str">
        <f t="shared" si="729"/>
        <v>Base</v>
      </c>
      <c r="F8905" s="138" t="str">
        <f t="shared" si="730"/>
        <v>Upgraded</v>
      </c>
      <c r="G8905" s="153"/>
      <c r="H8905" s="210">
        <v>6.8400000000000002E-2</v>
      </c>
      <c r="I8905" s="160" t="s">
        <v>149</v>
      </c>
      <c r="J8905" s="160">
        <v>6.3659999999999994E-2</v>
      </c>
      <c r="K8905" s="160" t="s">
        <v>23</v>
      </c>
      <c r="L8905" s="154" t="str">
        <f>IF(OpenLCAbasic!K8905="CTUh", "Fill in Manually",IF(OR(K8905="Unit", K8905=""), "", INDEX(LookUps!$E$5:$E$12, MATCH(OpenLCAbasic!K8905,LookUps!$D$5:$D$12,0))))</f>
        <v>Global Warming Potential (GWP) - kg CO2 eq</v>
      </c>
      <c r="M8905" s="154" t="str">
        <f t="shared" si="726"/>
        <v>Base_Medium_Low_Upgraded_Global Warming Potential (GWP) - kg CO2 eq_Anaerobic Digestion; wastewater treatment unit; at updated plant - US_Base_With Amendment_Aerated Static Pile</v>
      </c>
    </row>
    <row r="8906" spans="1:13" s="120" customFormat="1" x14ac:dyDescent="0.25">
      <c r="A8906" s="119"/>
      <c r="B8906" s="138" t="str">
        <f t="shared" si="727"/>
        <v>Aerated Static Pile</v>
      </c>
      <c r="C8906" s="138" t="str">
        <f t="shared" si="728"/>
        <v>Base_With Amendment</v>
      </c>
      <c r="D8906" s="138" t="str">
        <f t="shared" si="731"/>
        <v>Medium_Low</v>
      </c>
      <c r="E8906" s="138" t="str">
        <f t="shared" si="729"/>
        <v>Base</v>
      </c>
      <c r="F8906" s="138" t="str">
        <f t="shared" si="730"/>
        <v>Upgraded</v>
      </c>
      <c r="G8906" s="153"/>
      <c r="H8906" s="210">
        <v>6.13E-2</v>
      </c>
      <c r="I8906" s="160" t="s">
        <v>54</v>
      </c>
      <c r="J8906" s="160">
        <v>5.7079999999999999E-2</v>
      </c>
      <c r="K8906" s="160" t="s">
        <v>23</v>
      </c>
      <c r="L8906" s="154" t="str">
        <f>IF(OpenLCAbasic!K8906="CTUh", "Fill in Manually",IF(OR(K8906="Unit", K8906=""), "", INDEX(LookUps!$E$5:$E$12, MATCH(OpenLCAbasic!K8906,LookUps!$D$5:$D$12,0))))</f>
        <v>Global Warming Potential (GWP) - kg CO2 eq</v>
      </c>
      <c r="M8906" s="154" t="str">
        <f t="shared" si="726"/>
        <v>Base_Medium_Low_Upgraded_Global Warming Potential (GWP) - kg CO2 eq_Clear Cove Primary Clarification; wastewater treatment unit; at updated plant - US_Base_With Amendment_Aerated Static Pile</v>
      </c>
    </row>
    <row r="8907" spans="1:13" s="120" customFormat="1" x14ac:dyDescent="0.25">
      <c r="A8907" s="119"/>
      <c r="B8907" s="138" t="str">
        <f t="shared" si="727"/>
        <v>Aerated Static Pile</v>
      </c>
      <c r="C8907" s="138" t="str">
        <f t="shared" si="728"/>
        <v>Base_With Amendment</v>
      </c>
      <c r="D8907" s="138" t="str">
        <f t="shared" si="731"/>
        <v>Medium_Low</v>
      </c>
      <c r="E8907" s="138" t="str">
        <f t="shared" si="729"/>
        <v>Base</v>
      </c>
      <c r="F8907" s="138" t="str">
        <f t="shared" si="730"/>
        <v>Upgraded</v>
      </c>
      <c r="G8907" s="153"/>
      <c r="H8907" s="210">
        <v>5.6500000000000002E-2</v>
      </c>
      <c r="I8907" s="160" t="s">
        <v>48</v>
      </c>
      <c r="J8907" s="160">
        <v>5.2639999999999999E-2</v>
      </c>
      <c r="K8907" s="160" t="s">
        <v>23</v>
      </c>
      <c r="L8907" s="154" t="str">
        <f>IF(OpenLCAbasic!K8907="CTUh", "Fill in Manually",IF(OR(K8907="Unit", K8907=""), "", INDEX(LookUps!$E$5:$E$12, MATCH(OpenLCAbasic!K8907,LookUps!$D$5:$D$12,0))))</f>
        <v>Global Warming Potential (GWP) - kg CO2 eq</v>
      </c>
      <c r="M8907" s="154" t="str">
        <f t="shared" si="726"/>
        <v>Base_Medium_Low_Upgraded_Global Warming Potential (GWP) - kg CO2 eq_Effluent release; wastewater treatment unit; at surface water; m3 wastewater - US_Base_With Amendment_Aerated Static Pile</v>
      </c>
    </row>
    <row r="8908" spans="1:13" s="120" customFormat="1" x14ac:dyDescent="0.25">
      <c r="A8908" s="119"/>
      <c r="B8908" s="138" t="str">
        <f t="shared" si="727"/>
        <v>Aerated Static Pile</v>
      </c>
      <c r="C8908" s="138" t="str">
        <f t="shared" si="728"/>
        <v>Base_With Amendment</v>
      </c>
      <c r="D8908" s="138" t="str">
        <f t="shared" si="731"/>
        <v>Medium_Low</v>
      </c>
      <c r="E8908" s="138" t="str">
        <f t="shared" si="729"/>
        <v>Base</v>
      </c>
      <c r="F8908" s="138" t="str">
        <f t="shared" si="730"/>
        <v>Upgraded</v>
      </c>
      <c r="G8908" s="153"/>
      <c r="H8908" s="210">
        <v>5.4199999999999998E-2</v>
      </c>
      <c r="I8908" s="160" t="s">
        <v>147</v>
      </c>
      <c r="J8908" s="160">
        <v>5.0500000000000003E-2</v>
      </c>
      <c r="K8908" s="160" t="s">
        <v>23</v>
      </c>
      <c r="L8908" s="154" t="str">
        <f>IF(OpenLCAbasic!K8908="CTUh", "Fill in Manually",IF(OR(K8908="Unit", K8908=""), "", INDEX(LookUps!$E$5:$E$12, MATCH(OpenLCAbasic!K8908,LookUps!$D$5:$D$12,0))))</f>
        <v>Global Warming Potential (GWP) - kg CO2 eq</v>
      </c>
      <c r="M8908" s="154" t="str">
        <f t="shared" si="726"/>
        <v>Base_Medium_Low_Upgraded_Global Warming Potential (GWP) - kg CO2 eq_Influent Pump Station; wastewater treatment unit; at updated plant - US_Base_With Amendment_Aerated Static Pile</v>
      </c>
    </row>
    <row r="8909" spans="1:13" s="120" customFormat="1" x14ac:dyDescent="0.25">
      <c r="A8909" s="119"/>
      <c r="B8909" s="138" t="str">
        <f t="shared" si="727"/>
        <v>Aerated Static Pile</v>
      </c>
      <c r="C8909" s="138" t="str">
        <f t="shared" si="728"/>
        <v>Base_With Amendment</v>
      </c>
      <c r="D8909" s="138" t="str">
        <f t="shared" si="731"/>
        <v>Medium_Low</v>
      </c>
      <c r="E8909" s="138" t="str">
        <f t="shared" si="729"/>
        <v>Base</v>
      </c>
      <c r="F8909" s="138" t="str">
        <f t="shared" si="730"/>
        <v>Upgraded</v>
      </c>
      <c r="G8909" s="153"/>
      <c r="H8909" s="210">
        <v>3.5700000000000003E-2</v>
      </c>
      <c r="I8909" s="160" t="s">
        <v>53</v>
      </c>
      <c r="J8909" s="160">
        <v>3.3259999999999998E-2</v>
      </c>
      <c r="K8909" s="160" t="s">
        <v>23</v>
      </c>
      <c r="L8909" s="154" t="str">
        <f>IF(OpenLCAbasic!K8909="CTUh", "Fill in Manually",IF(OR(K8909="Unit", K8909=""), "", INDEX(LookUps!$E$5:$E$12, MATCH(OpenLCAbasic!K8909,LookUps!$D$5:$D$12,0))))</f>
        <v>Global Warming Potential (GWP) - kg CO2 eq</v>
      </c>
      <c r="M8909" s="154" t="str">
        <f t="shared" si="726"/>
        <v>Base_Medium_Low_Upgraded_Global Warming Potential (GWP) - kg CO2 eq_Wet Well and Sump Station; wastewater treatment unit; at updated plant - US_Base_With Amendment_Aerated Static Pile</v>
      </c>
    </row>
    <row r="8910" spans="1:13" s="120" customFormat="1" x14ac:dyDescent="0.25">
      <c r="A8910" s="119"/>
      <c r="B8910" s="138" t="str">
        <f t="shared" si="727"/>
        <v>Aerated Static Pile</v>
      </c>
      <c r="C8910" s="138" t="str">
        <f t="shared" si="728"/>
        <v>Base_With Amendment</v>
      </c>
      <c r="D8910" s="138" t="str">
        <f t="shared" si="731"/>
        <v>Medium_Low</v>
      </c>
      <c r="E8910" s="138" t="str">
        <f t="shared" si="729"/>
        <v>Base</v>
      </c>
      <c r="F8910" s="138" t="str">
        <f t="shared" si="730"/>
        <v>Upgraded</v>
      </c>
      <c r="G8910" s="153"/>
      <c r="H8910" s="210">
        <v>2.1399999999999999E-2</v>
      </c>
      <c r="I8910" s="160" t="s">
        <v>60</v>
      </c>
      <c r="J8910" s="160">
        <v>1.9910000000000001E-2</v>
      </c>
      <c r="K8910" s="160" t="s">
        <v>23</v>
      </c>
      <c r="L8910" s="154" t="str">
        <f>IF(OpenLCAbasic!K8910="CTUh", "Fill in Manually",IF(OR(K8910="Unit", K8910=""), "", INDEX(LookUps!$E$5:$E$12, MATCH(OpenLCAbasic!K8910,LookUps!$D$5:$D$12,0))))</f>
        <v>Global Warming Potential (GWP) - kg CO2 eq</v>
      </c>
      <c r="M8910" s="154" t="str">
        <f t="shared" si="726"/>
        <v>Base_Medium_Low_Upgraded_Global Warming Potential (GWP) - kg CO2 eq_Belt filter press; wastewater treatment unit; at updated plant - US_Base_With Amendment_Aerated Static Pile</v>
      </c>
    </row>
    <row r="8911" spans="1:13" s="120" customFormat="1" x14ac:dyDescent="0.25">
      <c r="A8911" s="119"/>
      <c r="B8911" s="138" t="str">
        <f t="shared" si="727"/>
        <v>Aerated Static Pile</v>
      </c>
      <c r="C8911" s="138" t="str">
        <f t="shared" si="728"/>
        <v>Base_With Amendment</v>
      </c>
      <c r="D8911" s="138" t="str">
        <f t="shared" si="731"/>
        <v>Medium_Low</v>
      </c>
      <c r="E8911" s="138" t="str">
        <f t="shared" si="729"/>
        <v>Base</v>
      </c>
      <c r="F8911" s="138" t="str">
        <f t="shared" si="730"/>
        <v>Upgraded</v>
      </c>
      <c r="G8911" s="153"/>
      <c r="H8911" s="210">
        <v>1.5599999999999999E-2</v>
      </c>
      <c r="I8911" s="160" t="s">
        <v>57</v>
      </c>
      <c r="J8911" s="160">
        <v>1.455E-2</v>
      </c>
      <c r="K8911" s="160" t="s">
        <v>23</v>
      </c>
      <c r="L8911" s="154" t="str">
        <f>IF(OpenLCAbasic!K8911="CTUh", "Fill in Manually",IF(OR(K8911="Unit", K8911=""), "", INDEX(LookUps!$E$5:$E$12, MATCH(OpenLCAbasic!K8911,LookUps!$D$5:$D$12,0))))</f>
        <v>Global Warming Potential (GWP) - kg CO2 eq</v>
      </c>
      <c r="M8911" s="154" t="str">
        <f t="shared" si="726"/>
        <v>Base_Medium_Low_Upgraded_Global Warming Potential (GWP) - kg CO2 eq_Gravity Belt Thickener; wastewater treatment unit; at updated plant - US_Base_With Amendment_Aerated Static Pile</v>
      </c>
    </row>
    <row r="8912" spans="1:13" s="120" customFormat="1" x14ac:dyDescent="0.25">
      <c r="A8912" s="119"/>
      <c r="B8912" s="138" t="str">
        <f t="shared" si="727"/>
        <v>Aerated Static Pile</v>
      </c>
      <c r="C8912" s="138" t="str">
        <f t="shared" si="728"/>
        <v>Base_With Amendment</v>
      </c>
      <c r="D8912" s="138" t="str">
        <f t="shared" si="731"/>
        <v>Medium_Low</v>
      </c>
      <c r="E8912" s="138" t="str">
        <f t="shared" si="729"/>
        <v>Base</v>
      </c>
      <c r="F8912" s="138" t="str">
        <f t="shared" si="730"/>
        <v>Upgraded</v>
      </c>
      <c r="G8912" s="153"/>
      <c r="H8912" s="210">
        <v>1.4500000000000001E-2</v>
      </c>
      <c r="I8912" s="160" t="s">
        <v>128</v>
      </c>
      <c r="J8912" s="160">
        <v>1.3509999999999999E-2</v>
      </c>
      <c r="K8912" s="160" t="s">
        <v>23</v>
      </c>
      <c r="L8912" s="154" t="str">
        <f>IF(OpenLCAbasic!K8912="CTUh", "Fill in Manually",IF(OR(K8912="Unit", K8912=""), "", INDEX(LookUps!$E$5:$E$12, MATCH(OpenLCAbasic!K8912,LookUps!$D$5:$D$12,0))))</f>
        <v>Global Warming Potential (GWP) - kg CO2 eq</v>
      </c>
      <c r="M8912" s="154" t="str">
        <f t="shared" si="726"/>
        <v>Base_Medium_Low_Upgraded_Global Warming Potential (GWP) - kg CO2 eq_Wastewater collection; operation and infrastructure; m3 wastewater_Base_With Amendment_Aerated Static Pile</v>
      </c>
    </row>
    <row r="8913" spans="1:13" s="120" customFormat="1" x14ac:dyDescent="0.25">
      <c r="A8913" s="119"/>
      <c r="B8913" s="138" t="str">
        <f t="shared" si="727"/>
        <v>Aerated Static Pile</v>
      </c>
      <c r="C8913" s="138" t="str">
        <f t="shared" si="728"/>
        <v>Base_With Amendment</v>
      </c>
      <c r="D8913" s="138" t="str">
        <f t="shared" si="731"/>
        <v>Medium_Low</v>
      </c>
      <c r="E8913" s="138" t="str">
        <f t="shared" si="729"/>
        <v>Base</v>
      </c>
      <c r="F8913" s="138" t="str">
        <f t="shared" si="730"/>
        <v>Upgraded</v>
      </c>
      <c r="G8913" s="153"/>
      <c r="H8913" s="210">
        <v>8.8999999999999999E-3</v>
      </c>
      <c r="I8913" s="160" t="s">
        <v>148</v>
      </c>
      <c r="J8913" s="160">
        <v>8.3000000000000001E-3</v>
      </c>
      <c r="K8913" s="160" t="s">
        <v>23</v>
      </c>
      <c r="L8913" s="154" t="str">
        <f>IF(OpenLCAbasic!K8913="CTUh", "Fill in Manually",IF(OR(K8913="Unit", K8913=""), "", INDEX(LookUps!$E$5:$E$12, MATCH(OpenLCAbasic!K8913,LookUps!$D$5:$D$12,0))))</f>
        <v>Global Warming Potential (GWP) - kg CO2 eq</v>
      </c>
      <c r="M8913" s="154" t="str">
        <f t="shared" si="726"/>
        <v>Base_Medium_Low_Upgraded_Global Warming Potential (GWP) - kg CO2 eq_Control Building; at upgraded wastewater treatment plant - US_Base_With Amendment_Aerated Static Pile</v>
      </c>
    </row>
    <row r="8914" spans="1:13" s="120" customFormat="1" x14ac:dyDescent="0.25">
      <c r="A8914" s="119"/>
      <c r="B8914" s="138" t="str">
        <f t="shared" si="727"/>
        <v>Aerated Static Pile</v>
      </c>
      <c r="C8914" s="138" t="str">
        <f t="shared" si="728"/>
        <v>Base_With Amendment</v>
      </c>
      <c r="D8914" s="138" t="str">
        <f t="shared" si="731"/>
        <v>Medium_Low</v>
      </c>
      <c r="E8914" s="138" t="str">
        <f t="shared" si="729"/>
        <v>Base</v>
      </c>
      <c r="F8914" s="138" t="str">
        <f t="shared" si="730"/>
        <v>Upgraded</v>
      </c>
      <c r="G8914" s="153"/>
      <c r="H8914" s="210">
        <v>5.4000000000000003E-3</v>
      </c>
      <c r="I8914" s="160" t="s">
        <v>59</v>
      </c>
      <c r="J8914" s="160">
        <v>5.0400000000000002E-3</v>
      </c>
      <c r="K8914" s="160" t="s">
        <v>23</v>
      </c>
      <c r="L8914" s="154" t="str">
        <f>IF(OpenLCAbasic!K8914="CTUh", "Fill in Manually",IF(OR(K8914="Unit", K8914=""), "", INDEX(LookUps!$E$5:$E$12, MATCH(OpenLCAbasic!K8914,LookUps!$D$5:$D$12,0))))</f>
        <v>Global Warming Potential (GWP) - kg CO2 eq</v>
      </c>
      <c r="M8914" s="154" t="str">
        <f t="shared" si="726"/>
        <v>Base_Medium_Low_Upgraded_Global Warming Potential (GWP) - kg CO2 eq_Blend Tank; wastewater treatment unit; at updated plant - US_Base_With Amendment_Aerated Static Pile</v>
      </c>
    </row>
    <row r="8915" spans="1:13" s="120" customFormat="1" x14ac:dyDescent="0.25">
      <c r="A8915" s="119"/>
      <c r="B8915" s="138" t="str">
        <f t="shared" si="727"/>
        <v>Aerated Static Pile</v>
      </c>
      <c r="C8915" s="138" t="str">
        <f t="shared" si="728"/>
        <v>Base_With Amendment</v>
      </c>
      <c r="D8915" s="138" t="str">
        <f t="shared" si="731"/>
        <v>Medium_Low</v>
      </c>
      <c r="E8915" s="138" t="str">
        <f t="shared" si="729"/>
        <v>Base</v>
      </c>
      <c r="F8915" s="138" t="str">
        <f t="shared" si="730"/>
        <v>Upgraded</v>
      </c>
      <c r="G8915" s="153"/>
      <c r="H8915" s="210">
        <v>2.5999999999999999E-3</v>
      </c>
      <c r="I8915" s="160" t="s">
        <v>168</v>
      </c>
      <c r="J8915" s="160">
        <v>2.4099999999999998E-3</v>
      </c>
      <c r="K8915" s="160" t="s">
        <v>23</v>
      </c>
      <c r="L8915" s="154" t="str">
        <f>IF(OpenLCAbasic!K8915="CTUh", "Fill in Manually",IF(OR(K8915="Unit", K8915=""), "", INDEX(LookUps!$E$5:$E$12, MATCH(OpenLCAbasic!K8915,LookUps!$D$5:$D$12,0))))</f>
        <v>Global Warming Potential (GWP) - kg CO2 eq</v>
      </c>
      <c r="M8915" s="154" t="str">
        <f t="shared" si="726"/>
        <v>Base_Medium_Low_Upgraded_Global Warming Potential (GWP) - kg CO2 eq_ClearCove SCP; wastewater treatment unit; at updated plant - US_Base_With Amendment_Aerated Static Pile</v>
      </c>
    </row>
    <row r="8916" spans="1:13" s="120" customFormat="1" x14ac:dyDescent="0.25">
      <c r="A8916" s="119"/>
      <c r="B8916" s="138" t="str">
        <f t="shared" si="727"/>
        <v>Aerated Static Pile</v>
      </c>
      <c r="C8916" s="138" t="str">
        <f t="shared" si="728"/>
        <v>Base_With Amendment</v>
      </c>
      <c r="D8916" s="138" t="str">
        <f t="shared" si="731"/>
        <v>Medium_Low</v>
      </c>
      <c r="E8916" s="138" t="str">
        <f t="shared" si="729"/>
        <v>Base</v>
      </c>
      <c r="F8916" s="138" t="str">
        <f t="shared" si="730"/>
        <v>Upgraded</v>
      </c>
      <c r="G8916" s="153"/>
      <c r="H8916" s="210">
        <v>-0.76870000000000005</v>
      </c>
      <c r="I8916" s="160" t="s">
        <v>62</v>
      </c>
      <c r="J8916" s="160">
        <v>-0.71572000000000002</v>
      </c>
      <c r="K8916" s="160" t="s">
        <v>23</v>
      </c>
      <c r="L8916" s="154" t="str">
        <f>IF(OpenLCAbasic!K8916="CTUh", "Fill in Manually",IF(OR(K8916="Unit", K8916=""), "", INDEX(LookUps!$E$5:$E$12, MATCH(OpenLCAbasic!K8916,LookUps!$D$5:$D$12,0))))</f>
        <v>Global Warming Potential (GWP) - kg CO2 eq</v>
      </c>
      <c r="M8916" s="154" t="str">
        <f t="shared" si="726"/>
        <v>Base_Medium_Low_Upgraded_Global Warming Potential (GWP) - kg CO2 eq_Land application of compost; wastewater treatment unit; at updated plant - US_Base_With Amendment_Aerated Static Pile</v>
      </c>
    </row>
    <row r="8917" spans="1:13" s="120" customFormat="1" x14ac:dyDescent="0.25">
      <c r="A8917" s="119"/>
      <c r="B8917" s="138" t="str">
        <f t="shared" si="727"/>
        <v/>
      </c>
      <c r="C8917" s="138" t="str">
        <f t="shared" si="728"/>
        <v/>
      </c>
      <c r="D8917" s="138" t="str">
        <f t="shared" si="731"/>
        <v/>
      </c>
      <c r="E8917" s="138" t="str">
        <f t="shared" si="729"/>
        <v/>
      </c>
      <c r="F8917" s="138" t="str">
        <f t="shared" si="730"/>
        <v/>
      </c>
      <c r="G8917" s="153" t="s">
        <v>51</v>
      </c>
      <c r="H8917" s="160"/>
      <c r="I8917" s="160" t="s">
        <v>47</v>
      </c>
      <c r="J8917" s="160" t="s">
        <v>52</v>
      </c>
      <c r="K8917" s="160" t="s">
        <v>27</v>
      </c>
      <c r="L8917" s="154" t="str">
        <f>IF(OpenLCAbasic!K8917="CTUh", "Fill in Manually",IF(OR(K8917="Unit", K8917=""), "", INDEX(LookUps!$E$5:$E$12, MATCH(OpenLCAbasic!K8917,LookUps!$D$5:$D$12,0))))</f>
        <v/>
      </c>
      <c r="M8917" s="154" t="str">
        <f t="shared" si="726"/>
        <v>____Process__</v>
      </c>
    </row>
    <row r="8918" spans="1:13" s="120" customFormat="1" x14ac:dyDescent="0.25">
      <c r="A8918" s="119"/>
      <c r="B8918" s="138" t="str">
        <f t="shared" si="727"/>
        <v>Aerated Static Pile</v>
      </c>
      <c r="C8918" s="138" t="str">
        <f t="shared" si="728"/>
        <v>Base_With Amendment</v>
      </c>
      <c r="D8918" s="138" t="str">
        <f t="shared" si="731"/>
        <v>Medium_Low</v>
      </c>
      <c r="E8918" s="138" t="str">
        <f t="shared" si="729"/>
        <v>Base</v>
      </c>
      <c r="F8918" s="138" t="str">
        <f t="shared" si="730"/>
        <v>Upgraded</v>
      </c>
      <c r="G8918" s="153"/>
      <c r="H8918" s="210">
        <v>0.37559999999999999</v>
      </c>
      <c r="I8918" s="160" t="s">
        <v>55</v>
      </c>
      <c r="J8918" s="160">
        <v>2.33E-3</v>
      </c>
      <c r="K8918" s="160" t="s">
        <v>145</v>
      </c>
      <c r="L8918" s="154" t="str">
        <f>IF(OpenLCAbasic!K8918="CTUh", "Fill in Manually",IF(OR(K8918="Unit", K8918=""), "", INDEX(LookUps!$E$5:$E$12, MATCH(OpenLCAbasic!K8918,LookUps!$D$5:$D$12,0))))</f>
        <v>Particulate Matter Formation Potential (PMFP) - kg PM2.5 eq</v>
      </c>
      <c r="M8918" s="154" t="str">
        <f t="shared" si="726"/>
        <v>Base_Medium_Low_Upgraded_Particulate Matter Formation Potential (PMFP) - kg PM2.5 eq_Aeration Tanks; wastewater treatment unit; at updated plant - US_Base_With Amendment_Aerated Static Pile</v>
      </c>
    </row>
    <row r="8919" spans="1:13" s="120" customFormat="1" x14ac:dyDescent="0.25">
      <c r="A8919" s="119"/>
      <c r="B8919" s="138" t="str">
        <f t="shared" si="727"/>
        <v>Aerated Static Pile</v>
      </c>
      <c r="C8919" s="138" t="str">
        <f t="shared" si="728"/>
        <v>Base_With Amendment</v>
      </c>
      <c r="D8919" s="138" t="str">
        <f t="shared" si="731"/>
        <v>Medium_Low</v>
      </c>
      <c r="E8919" s="138" t="str">
        <f t="shared" si="729"/>
        <v>Base</v>
      </c>
      <c r="F8919" s="138" t="str">
        <f t="shared" si="730"/>
        <v>Upgraded</v>
      </c>
      <c r="G8919" s="153"/>
      <c r="H8919" s="210">
        <v>0.20780000000000001</v>
      </c>
      <c r="I8919" s="160" t="s">
        <v>435</v>
      </c>
      <c r="J8919" s="160">
        <v>1.2899999999999999E-3</v>
      </c>
      <c r="K8919" s="160" t="s">
        <v>145</v>
      </c>
      <c r="L8919" s="154" t="str">
        <f>IF(OpenLCAbasic!K8919="CTUh", "Fill in Manually",IF(OR(K8919="Unit", K8919=""), "", INDEX(LookUps!$E$5:$E$12, MATCH(OpenLCAbasic!K8919,LookUps!$D$5:$D$12,0))))</f>
        <v>Particulate Matter Formation Potential (PMFP) - kg PM2.5 eq</v>
      </c>
      <c r="M8919" s="154" t="str">
        <f t="shared" si="726"/>
        <v>Base_Medium_Low_Upgraded_Particulate Matter Formation Potential (PMFP) - kg PM2.5 eq_Biosolids composting; aerated static pile; wastewater treatment unit; at updated plant - US_Base_With Amendment_Aerated Static Pile</v>
      </c>
    </row>
    <row r="8920" spans="1:13" s="120" customFormat="1" x14ac:dyDescent="0.25">
      <c r="A8920" s="119"/>
      <c r="B8920" s="138" t="str">
        <f t="shared" si="727"/>
        <v>Aerated Static Pile</v>
      </c>
      <c r="C8920" s="138" t="str">
        <f t="shared" si="728"/>
        <v>Base_With Amendment</v>
      </c>
      <c r="D8920" s="138" t="str">
        <f t="shared" si="731"/>
        <v>Medium_Low</v>
      </c>
      <c r="E8920" s="138" t="str">
        <f t="shared" si="729"/>
        <v>Base</v>
      </c>
      <c r="F8920" s="138" t="str">
        <f t="shared" si="730"/>
        <v>Upgraded</v>
      </c>
      <c r="G8920" s="153"/>
      <c r="H8920" s="210">
        <v>0.10929999999999999</v>
      </c>
      <c r="I8920" s="160" t="s">
        <v>54</v>
      </c>
      <c r="J8920" s="160">
        <v>6.8000000000000005E-4</v>
      </c>
      <c r="K8920" s="160" t="s">
        <v>145</v>
      </c>
      <c r="L8920" s="154" t="str">
        <f>IF(OpenLCAbasic!K8920="CTUh", "Fill in Manually",IF(OR(K8920="Unit", K8920=""), "", INDEX(LookUps!$E$5:$E$12, MATCH(OpenLCAbasic!K8920,LookUps!$D$5:$D$12,0))))</f>
        <v>Particulate Matter Formation Potential (PMFP) - kg PM2.5 eq</v>
      </c>
      <c r="M8920" s="154" t="str">
        <f t="shared" si="726"/>
        <v>Base_Medium_Low_Upgraded_Particulate Matter Formation Potential (PMFP) - kg PM2.5 eq_Clear Cove Primary Clarification; wastewater treatment unit; at updated plant - US_Base_With Amendment_Aerated Static Pile</v>
      </c>
    </row>
    <row r="8921" spans="1:13" s="120" customFormat="1" x14ac:dyDescent="0.25">
      <c r="A8921" s="119"/>
      <c r="B8921" s="138" t="str">
        <f t="shared" si="727"/>
        <v>Aerated Static Pile</v>
      </c>
      <c r="C8921" s="138" t="str">
        <f t="shared" si="728"/>
        <v>Base_With Amendment</v>
      </c>
      <c r="D8921" s="138" t="str">
        <f t="shared" si="731"/>
        <v>Medium_Low</v>
      </c>
      <c r="E8921" s="138" t="str">
        <f t="shared" si="729"/>
        <v>Base</v>
      </c>
      <c r="F8921" s="138" t="str">
        <f t="shared" si="730"/>
        <v>Upgraded</v>
      </c>
      <c r="G8921" s="153"/>
      <c r="H8921" s="210">
        <v>9.4700000000000006E-2</v>
      </c>
      <c r="I8921" s="160" t="s">
        <v>58</v>
      </c>
      <c r="J8921" s="160">
        <v>5.9000000000000003E-4</v>
      </c>
      <c r="K8921" s="160" t="s">
        <v>145</v>
      </c>
      <c r="L8921" s="154" t="str">
        <f>IF(OpenLCAbasic!K8921="CTUh", "Fill in Manually",IF(OR(K8921="Unit", K8921=""), "", INDEX(LookUps!$E$5:$E$12, MATCH(OpenLCAbasic!K8921,LookUps!$D$5:$D$12,0))))</f>
        <v>Particulate Matter Formation Potential (PMFP) - kg PM2.5 eq</v>
      </c>
      <c r="M8921" s="154" t="str">
        <f t="shared" si="726"/>
        <v>Base_Medium_Low_Upgraded_Particulate Matter Formation Potential (PMFP) - kg PM2.5 eq_Pre-Anoxic &amp; Swing tank; wastewater treatment unit; at updated plant - US_Base_With Amendment_Aerated Static Pile</v>
      </c>
    </row>
    <row r="8922" spans="1:13" s="120" customFormat="1" x14ac:dyDescent="0.25">
      <c r="A8922" s="119"/>
      <c r="B8922" s="138" t="str">
        <f t="shared" si="727"/>
        <v>Aerated Static Pile</v>
      </c>
      <c r="C8922" s="138" t="str">
        <f t="shared" si="728"/>
        <v>Base_With Amendment</v>
      </c>
      <c r="D8922" s="138" t="str">
        <f t="shared" si="731"/>
        <v>Medium_Low</v>
      </c>
      <c r="E8922" s="138" t="str">
        <f t="shared" si="729"/>
        <v>Base</v>
      </c>
      <c r="F8922" s="138" t="str">
        <f t="shared" si="730"/>
        <v>Upgraded</v>
      </c>
      <c r="G8922" s="153"/>
      <c r="H8922" s="210">
        <v>7.51E-2</v>
      </c>
      <c r="I8922" s="160" t="s">
        <v>53</v>
      </c>
      <c r="J8922" s="160">
        <v>4.6999999999999999E-4</v>
      </c>
      <c r="K8922" s="160" t="s">
        <v>145</v>
      </c>
      <c r="L8922" s="154" t="str">
        <f>IF(OpenLCAbasic!K8922="CTUh", "Fill in Manually",IF(OR(K8922="Unit", K8922=""), "", INDEX(LookUps!$E$5:$E$12, MATCH(OpenLCAbasic!K8922,LookUps!$D$5:$D$12,0))))</f>
        <v>Particulate Matter Formation Potential (PMFP) - kg PM2.5 eq</v>
      </c>
      <c r="M8922" s="154" t="str">
        <f t="shared" si="726"/>
        <v>Base_Medium_Low_Upgraded_Particulate Matter Formation Potential (PMFP) - kg PM2.5 eq_Wet Well and Sump Station; wastewater treatment unit; at updated plant - US_Base_With Amendment_Aerated Static Pile</v>
      </c>
    </row>
    <row r="8923" spans="1:13" s="120" customFormat="1" x14ac:dyDescent="0.25">
      <c r="A8923" s="119"/>
      <c r="B8923" s="138" t="str">
        <f t="shared" si="727"/>
        <v>Aerated Static Pile</v>
      </c>
      <c r="C8923" s="138" t="str">
        <f t="shared" si="728"/>
        <v>Base_With Amendment</v>
      </c>
      <c r="D8923" s="138" t="str">
        <f t="shared" si="731"/>
        <v>Medium_Low</v>
      </c>
      <c r="E8923" s="138" t="str">
        <f t="shared" si="729"/>
        <v>Base</v>
      </c>
      <c r="F8923" s="138" t="str">
        <f t="shared" si="730"/>
        <v>Upgraded</v>
      </c>
      <c r="G8923" s="153"/>
      <c r="H8923" s="210">
        <v>5.0599999999999999E-2</v>
      </c>
      <c r="I8923" s="160" t="s">
        <v>167</v>
      </c>
      <c r="J8923" s="160">
        <v>3.1E-4</v>
      </c>
      <c r="K8923" s="160" t="s">
        <v>145</v>
      </c>
      <c r="L8923" s="154" t="str">
        <f>IF(OpenLCAbasic!K8923="CTUh", "Fill in Manually",IF(OR(K8923="Unit", K8923=""), "", INDEX(LookUps!$E$5:$E$12, MATCH(OpenLCAbasic!K8923,LookUps!$D$5:$D$12,0))))</f>
        <v>Particulate Matter Formation Potential (PMFP) - kg PM2.5 eq</v>
      </c>
      <c r="M8923" s="154" t="str">
        <f t="shared" si="726"/>
        <v>Base_Medium_Low_Upgraded_Particulate Matter Formation Potential (PMFP) - kg PM2.5 eq_Waste Receiving and Holding; wastewater treatment unit; at updated plant - US_Base_With Amendment_Aerated Static Pile</v>
      </c>
    </row>
    <row r="8924" spans="1:13" s="120" customFormat="1" x14ac:dyDescent="0.25">
      <c r="A8924" s="119"/>
      <c r="B8924" s="138" t="str">
        <f t="shared" si="727"/>
        <v>Aerated Static Pile</v>
      </c>
      <c r="C8924" s="138" t="str">
        <f t="shared" si="728"/>
        <v>Base_With Amendment</v>
      </c>
      <c r="D8924" s="138" t="str">
        <f t="shared" si="731"/>
        <v>Medium_Low</v>
      </c>
      <c r="E8924" s="138" t="str">
        <f t="shared" si="729"/>
        <v>Base</v>
      </c>
      <c r="F8924" s="138" t="str">
        <f t="shared" si="730"/>
        <v>Upgraded</v>
      </c>
      <c r="G8924" s="153"/>
      <c r="H8924" s="210">
        <v>4.2900000000000001E-2</v>
      </c>
      <c r="I8924" s="160" t="s">
        <v>147</v>
      </c>
      <c r="J8924" s="160">
        <v>2.7E-4</v>
      </c>
      <c r="K8924" s="160" t="s">
        <v>145</v>
      </c>
      <c r="L8924" s="154" t="str">
        <f>IF(OpenLCAbasic!K8924="CTUh", "Fill in Manually",IF(OR(K8924="Unit", K8924=""), "", INDEX(LookUps!$E$5:$E$12, MATCH(OpenLCAbasic!K8924,LookUps!$D$5:$D$12,0))))</f>
        <v>Particulate Matter Formation Potential (PMFP) - kg PM2.5 eq</v>
      </c>
      <c r="M8924" s="154" t="str">
        <f t="shared" si="726"/>
        <v>Base_Medium_Low_Upgraded_Particulate Matter Formation Potential (PMFP) - kg PM2.5 eq_Influent Pump Station; wastewater treatment unit; at updated plant - US_Base_With Amendment_Aerated Static Pile</v>
      </c>
    </row>
    <row r="8925" spans="1:13" s="120" customFormat="1" x14ac:dyDescent="0.25">
      <c r="A8925" s="119"/>
      <c r="B8925" s="138" t="str">
        <f t="shared" si="727"/>
        <v>Aerated Static Pile</v>
      </c>
      <c r="C8925" s="138" t="str">
        <f t="shared" si="728"/>
        <v>Base_With Amendment</v>
      </c>
      <c r="D8925" s="138" t="str">
        <f t="shared" si="731"/>
        <v>Medium_Low</v>
      </c>
      <c r="E8925" s="138" t="str">
        <f t="shared" si="729"/>
        <v>Base</v>
      </c>
      <c r="F8925" s="138" t="str">
        <f t="shared" si="730"/>
        <v>Upgraded</v>
      </c>
      <c r="G8925" s="153"/>
      <c r="H8925" s="210">
        <v>2.6800000000000001E-2</v>
      </c>
      <c r="I8925" s="160" t="s">
        <v>128</v>
      </c>
      <c r="J8925" s="160">
        <v>1.7000000000000001E-4</v>
      </c>
      <c r="K8925" s="160" t="s">
        <v>145</v>
      </c>
      <c r="L8925" s="154" t="str">
        <f>IF(OpenLCAbasic!K8925="CTUh", "Fill in Manually",IF(OR(K8925="Unit", K8925=""), "", INDEX(LookUps!$E$5:$E$12, MATCH(OpenLCAbasic!K8925,LookUps!$D$5:$D$12,0))))</f>
        <v>Particulate Matter Formation Potential (PMFP) - kg PM2.5 eq</v>
      </c>
      <c r="M8925" s="154" t="str">
        <f t="shared" si="726"/>
        <v>Base_Medium_Low_Upgraded_Particulate Matter Formation Potential (PMFP) - kg PM2.5 eq_Wastewater collection; operation and infrastructure; m3 wastewater_Base_With Amendment_Aerated Static Pile</v>
      </c>
    </row>
    <row r="8926" spans="1:13" s="120" customFormat="1" x14ac:dyDescent="0.25">
      <c r="A8926" s="119"/>
      <c r="B8926" s="138" t="str">
        <f t="shared" si="727"/>
        <v>Aerated Static Pile</v>
      </c>
      <c r="C8926" s="138" t="str">
        <f t="shared" si="728"/>
        <v>Base_With Amendment</v>
      </c>
      <c r="D8926" s="138" t="str">
        <f t="shared" si="731"/>
        <v>Medium_Low</v>
      </c>
      <c r="E8926" s="138" t="str">
        <f t="shared" si="729"/>
        <v>Base</v>
      </c>
      <c r="F8926" s="138" t="str">
        <f t="shared" si="730"/>
        <v>Upgraded</v>
      </c>
      <c r="G8926" s="153"/>
      <c r="H8926" s="210">
        <v>2.6200000000000001E-2</v>
      </c>
      <c r="I8926" s="160" t="s">
        <v>60</v>
      </c>
      <c r="J8926" s="160">
        <v>1.6000000000000001E-4</v>
      </c>
      <c r="K8926" s="160" t="s">
        <v>145</v>
      </c>
      <c r="L8926" s="154" t="str">
        <f>IF(OpenLCAbasic!K8926="CTUh", "Fill in Manually",IF(OR(K8926="Unit", K8926=""), "", INDEX(LookUps!$E$5:$E$12, MATCH(OpenLCAbasic!K8926,LookUps!$D$5:$D$12,0))))</f>
        <v>Particulate Matter Formation Potential (PMFP) - kg PM2.5 eq</v>
      </c>
      <c r="M8926" s="154" t="str">
        <f t="shared" si="726"/>
        <v>Base_Medium_Low_Upgraded_Particulate Matter Formation Potential (PMFP) - kg PM2.5 eq_Belt filter press; wastewater treatment unit; at updated plant - US_Base_With Amendment_Aerated Static Pile</v>
      </c>
    </row>
    <row r="8927" spans="1:13" s="120" customFormat="1" x14ac:dyDescent="0.25">
      <c r="A8927" s="119"/>
      <c r="B8927" s="138" t="str">
        <f t="shared" si="727"/>
        <v>Aerated Static Pile</v>
      </c>
      <c r="C8927" s="138" t="str">
        <f t="shared" si="728"/>
        <v>Base_With Amendment</v>
      </c>
      <c r="D8927" s="138" t="str">
        <f t="shared" si="731"/>
        <v>Medium_Low</v>
      </c>
      <c r="E8927" s="138" t="str">
        <f t="shared" si="729"/>
        <v>Base</v>
      </c>
      <c r="F8927" s="138" t="str">
        <f t="shared" si="730"/>
        <v>Upgraded</v>
      </c>
      <c r="G8927" s="153"/>
      <c r="H8927" s="210">
        <v>1.5299999999999999E-2</v>
      </c>
      <c r="I8927" s="160" t="s">
        <v>57</v>
      </c>
      <c r="J8927" s="211">
        <v>9.5153800000000004E-5</v>
      </c>
      <c r="K8927" s="160" t="s">
        <v>145</v>
      </c>
      <c r="L8927" s="154" t="str">
        <f>IF(OpenLCAbasic!K8927="CTUh", "Fill in Manually",IF(OR(K8927="Unit", K8927=""), "", INDEX(LookUps!$E$5:$E$12, MATCH(OpenLCAbasic!K8927,LookUps!$D$5:$D$12,0))))</f>
        <v>Particulate Matter Formation Potential (PMFP) - kg PM2.5 eq</v>
      </c>
      <c r="M8927" s="154" t="str">
        <f t="shared" si="726"/>
        <v>Base_Medium_Low_Upgraded_Particulate Matter Formation Potential (PMFP) - kg PM2.5 eq_Gravity Belt Thickener; wastewater treatment unit; at updated plant - US_Base_With Amendment_Aerated Static Pile</v>
      </c>
    </row>
    <row r="8928" spans="1:13" s="120" customFormat="1" x14ac:dyDescent="0.25">
      <c r="A8928" s="119"/>
      <c r="B8928" s="138" t="str">
        <f t="shared" si="727"/>
        <v>Aerated Static Pile</v>
      </c>
      <c r="C8928" s="138" t="str">
        <f t="shared" si="728"/>
        <v>Base_With Amendment</v>
      </c>
      <c r="D8928" s="138" t="str">
        <f t="shared" si="731"/>
        <v>Medium_Low</v>
      </c>
      <c r="E8928" s="138" t="str">
        <f t="shared" si="729"/>
        <v>Base</v>
      </c>
      <c r="F8928" s="138" t="str">
        <f t="shared" si="730"/>
        <v>Upgraded</v>
      </c>
      <c r="G8928" s="153"/>
      <c r="H8928" s="210">
        <v>1.1299999999999999E-2</v>
      </c>
      <c r="I8928" s="160" t="s">
        <v>59</v>
      </c>
      <c r="J8928" s="211">
        <v>6.9942200000000003E-5</v>
      </c>
      <c r="K8928" s="160" t="s">
        <v>145</v>
      </c>
      <c r="L8928" s="154" t="str">
        <f>IF(OpenLCAbasic!K8928="CTUh", "Fill in Manually",IF(OR(K8928="Unit", K8928=""), "", INDEX(LookUps!$E$5:$E$12, MATCH(OpenLCAbasic!K8928,LookUps!$D$5:$D$12,0))))</f>
        <v>Particulate Matter Formation Potential (PMFP) - kg PM2.5 eq</v>
      </c>
      <c r="M8928" s="154" t="str">
        <f t="shared" si="726"/>
        <v>Base_Medium_Low_Upgraded_Particulate Matter Formation Potential (PMFP) - kg PM2.5 eq_Blend Tank; wastewater treatment unit; at updated plant - US_Base_With Amendment_Aerated Static Pile</v>
      </c>
    </row>
    <row r="8929" spans="1:13" s="120" customFormat="1" x14ac:dyDescent="0.25">
      <c r="A8929" s="119"/>
      <c r="B8929" s="138" t="str">
        <f t="shared" si="727"/>
        <v>Aerated Static Pile</v>
      </c>
      <c r="C8929" s="138" t="str">
        <f t="shared" si="728"/>
        <v>Base_With Amendment</v>
      </c>
      <c r="D8929" s="138" t="str">
        <f t="shared" si="731"/>
        <v>Medium_Low</v>
      </c>
      <c r="E8929" s="138" t="str">
        <f t="shared" si="729"/>
        <v>Base</v>
      </c>
      <c r="F8929" s="138" t="str">
        <f t="shared" si="730"/>
        <v>Upgraded</v>
      </c>
      <c r="G8929" s="153"/>
      <c r="H8929" s="210">
        <v>1.0699999999999999E-2</v>
      </c>
      <c r="I8929" s="160" t="s">
        <v>62</v>
      </c>
      <c r="J8929" s="211">
        <v>6.6727600000000001E-5</v>
      </c>
      <c r="K8929" s="160" t="s">
        <v>145</v>
      </c>
      <c r="L8929" s="154" t="str">
        <f>IF(OpenLCAbasic!K8929="CTUh", "Fill in Manually",IF(OR(K8929="Unit", K8929=""), "", INDEX(LookUps!$E$5:$E$12, MATCH(OpenLCAbasic!K8929,LookUps!$D$5:$D$12,0))))</f>
        <v>Particulate Matter Formation Potential (PMFP) - kg PM2.5 eq</v>
      </c>
      <c r="M8929" s="154" t="str">
        <f t="shared" si="726"/>
        <v>Base_Medium_Low_Upgraded_Particulate Matter Formation Potential (PMFP) - kg PM2.5 eq_Land application of compost; wastewater treatment unit; at updated plant - US_Base_With Amendment_Aerated Static Pile</v>
      </c>
    </row>
    <row r="8930" spans="1:13" s="120" customFormat="1" x14ac:dyDescent="0.25">
      <c r="A8930" s="119"/>
      <c r="B8930" s="138" t="str">
        <f t="shared" si="727"/>
        <v>Aerated Static Pile</v>
      </c>
      <c r="C8930" s="138" t="str">
        <f t="shared" si="728"/>
        <v>Base_With Amendment</v>
      </c>
      <c r="D8930" s="138" t="str">
        <f t="shared" si="731"/>
        <v>Medium_Low</v>
      </c>
      <c r="E8930" s="138" t="str">
        <f t="shared" si="729"/>
        <v>Base</v>
      </c>
      <c r="F8930" s="138" t="str">
        <f t="shared" si="730"/>
        <v>Upgraded</v>
      </c>
      <c r="G8930" s="153"/>
      <c r="H8930" s="210">
        <v>8.0000000000000002E-3</v>
      </c>
      <c r="I8930" s="160" t="s">
        <v>48</v>
      </c>
      <c r="J8930" s="211">
        <v>4.99741E-5</v>
      </c>
      <c r="K8930" s="160" t="s">
        <v>145</v>
      </c>
      <c r="L8930" s="154" t="str">
        <f>IF(OpenLCAbasic!K8930="CTUh", "Fill in Manually",IF(OR(K8930="Unit", K8930=""), "", INDEX(LookUps!$E$5:$E$12, MATCH(OpenLCAbasic!K8930,LookUps!$D$5:$D$12,0))))</f>
        <v>Particulate Matter Formation Potential (PMFP) - kg PM2.5 eq</v>
      </c>
      <c r="M8930" s="154" t="str">
        <f t="shared" si="726"/>
        <v>Base_Medium_Low_Upgraded_Particulate Matter Formation Potential (PMFP) - kg PM2.5 eq_Effluent release; wastewater treatment unit; at surface water; m3 wastewater - US_Base_With Amendment_Aerated Static Pile</v>
      </c>
    </row>
    <row r="8931" spans="1:13" s="120" customFormat="1" x14ac:dyDescent="0.25">
      <c r="A8931" s="119"/>
      <c r="B8931" s="138" t="str">
        <f t="shared" si="727"/>
        <v>Aerated Static Pile</v>
      </c>
      <c r="C8931" s="138" t="str">
        <f t="shared" si="728"/>
        <v>Base_With Amendment</v>
      </c>
      <c r="D8931" s="138" t="str">
        <f t="shared" si="731"/>
        <v>Medium_Low</v>
      </c>
      <c r="E8931" s="138" t="str">
        <f t="shared" si="729"/>
        <v>Base</v>
      </c>
      <c r="F8931" s="138" t="str">
        <f t="shared" si="730"/>
        <v>Upgraded</v>
      </c>
      <c r="G8931" s="153"/>
      <c r="H8931" s="210">
        <v>5.5999999999999999E-3</v>
      </c>
      <c r="I8931" s="160" t="s">
        <v>168</v>
      </c>
      <c r="J8931" s="211">
        <v>3.4562199999999999E-5</v>
      </c>
      <c r="K8931" s="160" t="s">
        <v>145</v>
      </c>
      <c r="L8931" s="154" t="str">
        <f>IF(OpenLCAbasic!K8931="CTUh", "Fill in Manually",IF(OR(K8931="Unit", K8931=""), "", INDEX(LookUps!$E$5:$E$12, MATCH(OpenLCAbasic!K8931,LookUps!$D$5:$D$12,0))))</f>
        <v>Particulate Matter Formation Potential (PMFP) - kg PM2.5 eq</v>
      </c>
      <c r="M8931" s="154" t="str">
        <f t="shared" si="726"/>
        <v>Base_Medium_Low_Upgraded_Particulate Matter Formation Potential (PMFP) - kg PM2.5 eq_ClearCove SCP; wastewater treatment unit; at updated plant - US_Base_With Amendment_Aerated Static Pile</v>
      </c>
    </row>
    <row r="8932" spans="1:13" s="120" customFormat="1" x14ac:dyDescent="0.25">
      <c r="A8932" s="119"/>
      <c r="B8932" s="138" t="str">
        <f t="shared" si="727"/>
        <v>Aerated Static Pile</v>
      </c>
      <c r="C8932" s="138" t="str">
        <f t="shared" si="728"/>
        <v>Base_With Amendment</v>
      </c>
      <c r="D8932" s="138" t="str">
        <f t="shared" si="731"/>
        <v>Medium_Low</v>
      </c>
      <c r="E8932" s="138" t="str">
        <f t="shared" si="729"/>
        <v>Base</v>
      </c>
      <c r="F8932" s="138" t="str">
        <f t="shared" si="730"/>
        <v>Upgraded</v>
      </c>
      <c r="G8932" s="153"/>
      <c r="H8932" s="210">
        <v>1.4E-3</v>
      </c>
      <c r="I8932" s="160" t="s">
        <v>148</v>
      </c>
      <c r="J8932" s="211">
        <v>8.8212999999999997E-6</v>
      </c>
      <c r="K8932" s="160" t="s">
        <v>145</v>
      </c>
      <c r="L8932" s="154" t="str">
        <f>IF(OpenLCAbasic!K8932="CTUh", "Fill in Manually",IF(OR(K8932="Unit", K8932=""), "", INDEX(LookUps!$E$5:$E$12, MATCH(OpenLCAbasic!K8932,LookUps!$D$5:$D$12,0))))</f>
        <v>Particulate Matter Formation Potential (PMFP) - kg PM2.5 eq</v>
      </c>
      <c r="M8932" s="154" t="str">
        <f t="shared" si="726"/>
        <v>Base_Medium_Low_Upgraded_Particulate Matter Formation Potential (PMFP) - kg PM2.5 eq_Control Building; at upgraded wastewater treatment plant - US_Base_With Amendment_Aerated Static Pile</v>
      </c>
    </row>
    <row r="8933" spans="1:13" s="120" customFormat="1" x14ac:dyDescent="0.25">
      <c r="A8933" s="119"/>
      <c r="B8933" s="138" t="str">
        <f t="shared" si="727"/>
        <v>Aerated Static Pile</v>
      </c>
      <c r="C8933" s="138" t="str">
        <f t="shared" si="728"/>
        <v>Base_With Amendment</v>
      </c>
      <c r="D8933" s="138" t="str">
        <f t="shared" si="731"/>
        <v>Medium_Low</v>
      </c>
      <c r="E8933" s="138" t="str">
        <f t="shared" si="729"/>
        <v>Base</v>
      </c>
      <c r="F8933" s="138" t="str">
        <f t="shared" si="730"/>
        <v>Upgraded</v>
      </c>
      <c r="G8933" s="153"/>
      <c r="H8933" s="210">
        <v>-6.1400000000000003E-2</v>
      </c>
      <c r="I8933" s="160" t="s">
        <v>149</v>
      </c>
      <c r="J8933" s="160">
        <v>-3.8000000000000002E-4</v>
      </c>
      <c r="K8933" s="160" t="s">
        <v>145</v>
      </c>
      <c r="L8933" s="154" t="str">
        <f>IF(OpenLCAbasic!K8933="CTUh", "Fill in Manually",IF(OR(K8933="Unit", K8933=""), "", INDEX(LookUps!$E$5:$E$12, MATCH(OpenLCAbasic!K8933,LookUps!$D$5:$D$12,0))))</f>
        <v>Particulate Matter Formation Potential (PMFP) - kg PM2.5 eq</v>
      </c>
      <c r="M8933" s="154" t="str">
        <f t="shared" si="726"/>
        <v>Base_Medium_Low_Upgraded_Particulate Matter Formation Potential (PMFP) - kg PM2.5 eq_Anaerobic Digestion; wastewater treatment unit; at updated plant - US_Base_With Amendment_Aerated Static Pile</v>
      </c>
    </row>
    <row r="8934" spans="1:13" s="120" customFormat="1" x14ac:dyDescent="0.25">
      <c r="A8934" s="119"/>
      <c r="B8934" s="138" t="str">
        <f t="shared" si="727"/>
        <v/>
      </c>
      <c r="C8934" s="138" t="str">
        <f t="shared" si="728"/>
        <v/>
      </c>
      <c r="D8934" s="138" t="str">
        <f t="shared" si="731"/>
        <v/>
      </c>
      <c r="E8934" s="138" t="str">
        <f t="shared" si="729"/>
        <v/>
      </c>
      <c r="F8934" s="138" t="str">
        <f t="shared" si="730"/>
        <v/>
      </c>
      <c r="G8934" s="153" t="s">
        <v>51</v>
      </c>
      <c r="H8934" s="160"/>
      <c r="I8934" s="160" t="s">
        <v>47</v>
      </c>
      <c r="J8934" s="160" t="s">
        <v>52</v>
      </c>
      <c r="K8934" s="160" t="s">
        <v>27</v>
      </c>
      <c r="L8934" s="154" t="str">
        <f>IF(OpenLCAbasic!K8934="CTUh", "Fill in Manually",IF(OR(K8934="Unit", K8934=""), "", INDEX(LookUps!$E$5:$E$12, MATCH(OpenLCAbasic!K8934,LookUps!$D$5:$D$12,0))))</f>
        <v/>
      </c>
      <c r="M8934" s="154" t="str">
        <f t="shared" si="726"/>
        <v>____Process__</v>
      </c>
    </row>
    <row r="8935" spans="1:13" s="120" customFormat="1" x14ac:dyDescent="0.25">
      <c r="A8935" s="119"/>
      <c r="B8935" s="138" t="str">
        <f t="shared" si="727"/>
        <v>Aerated Static Pile</v>
      </c>
      <c r="C8935" s="138" t="str">
        <f t="shared" si="728"/>
        <v>Base_With Amendment</v>
      </c>
      <c r="D8935" s="138" t="str">
        <f t="shared" si="731"/>
        <v>Medium_Low</v>
      </c>
      <c r="E8935" s="138" t="str">
        <f t="shared" si="729"/>
        <v>Base</v>
      </c>
      <c r="F8935" s="138" t="str">
        <f t="shared" si="730"/>
        <v>Upgraded</v>
      </c>
      <c r="G8935" s="153"/>
      <c r="H8935" s="210">
        <v>0.37659999999999999</v>
      </c>
      <c r="I8935" s="160" t="s">
        <v>55</v>
      </c>
      <c r="J8935" s="160">
        <v>0.16577</v>
      </c>
      <c r="K8935" s="160" t="s">
        <v>25</v>
      </c>
      <c r="L8935" s="154" t="str">
        <f>IF(OpenLCAbasic!K8935="CTUh", "Fill in Manually",IF(OR(K8935="Unit", K8935=""), "", INDEX(LookUps!$E$5:$E$12, MATCH(OpenLCAbasic!K8935,LookUps!$D$5:$D$12,0))))</f>
        <v>Smog Formation Potential (SFP) - kg O3 eq</v>
      </c>
      <c r="M8935" s="154" t="str">
        <f t="shared" si="726"/>
        <v>Base_Medium_Low_Upgraded_Smog Formation Potential (SFP) - kg O3 eq_Aeration Tanks; wastewater treatment unit; at updated plant - US_Base_With Amendment_Aerated Static Pile</v>
      </c>
    </row>
    <row r="8936" spans="1:13" s="120" customFormat="1" x14ac:dyDescent="0.25">
      <c r="A8936" s="119"/>
      <c r="B8936" s="138" t="str">
        <f t="shared" si="727"/>
        <v>Aerated Static Pile</v>
      </c>
      <c r="C8936" s="138" t="str">
        <f t="shared" si="728"/>
        <v>Base_With Amendment</v>
      </c>
      <c r="D8936" s="138" t="str">
        <f t="shared" si="731"/>
        <v>Medium_Low</v>
      </c>
      <c r="E8936" s="138" t="str">
        <f t="shared" si="729"/>
        <v>Base</v>
      </c>
      <c r="F8936" s="138" t="str">
        <f t="shared" si="730"/>
        <v>Upgraded</v>
      </c>
      <c r="G8936" s="153"/>
      <c r="H8936" s="210">
        <v>0.20630000000000001</v>
      </c>
      <c r="I8936" s="160" t="s">
        <v>435</v>
      </c>
      <c r="J8936" s="160">
        <v>9.0829999999999994E-2</v>
      </c>
      <c r="K8936" s="160" t="s">
        <v>25</v>
      </c>
      <c r="L8936" s="154" t="str">
        <f>IF(OpenLCAbasic!K8936="CTUh", "Fill in Manually",IF(OR(K8936="Unit", K8936=""), "", INDEX(LookUps!$E$5:$E$12, MATCH(OpenLCAbasic!K8936,LookUps!$D$5:$D$12,0))))</f>
        <v>Smog Formation Potential (SFP) - kg O3 eq</v>
      </c>
      <c r="M8936" s="154" t="str">
        <f t="shared" si="726"/>
        <v>Base_Medium_Low_Upgraded_Smog Formation Potential (SFP) - kg O3 eq_Biosolids composting; aerated static pile; wastewater treatment unit; at updated plant - US_Base_With Amendment_Aerated Static Pile</v>
      </c>
    </row>
    <row r="8937" spans="1:13" s="120" customFormat="1" x14ac:dyDescent="0.25">
      <c r="A8937" s="119"/>
      <c r="B8937" s="138" t="str">
        <f t="shared" si="727"/>
        <v>Aerated Static Pile</v>
      </c>
      <c r="C8937" s="138" t="str">
        <f t="shared" si="728"/>
        <v>Base_With Amendment</v>
      </c>
      <c r="D8937" s="138" t="str">
        <f t="shared" si="731"/>
        <v>Medium_Low</v>
      </c>
      <c r="E8937" s="138" t="str">
        <f t="shared" si="729"/>
        <v>Base</v>
      </c>
      <c r="F8937" s="138" t="str">
        <f t="shared" si="730"/>
        <v>Upgraded</v>
      </c>
      <c r="G8937" s="153"/>
      <c r="H8937" s="210">
        <v>0.10920000000000001</v>
      </c>
      <c r="I8937" s="160" t="s">
        <v>54</v>
      </c>
      <c r="J8937" s="160">
        <v>4.8070000000000002E-2</v>
      </c>
      <c r="K8937" s="160" t="s">
        <v>25</v>
      </c>
      <c r="L8937" s="154" t="str">
        <f>IF(OpenLCAbasic!K8937="CTUh", "Fill in Manually",IF(OR(K8937="Unit", K8937=""), "", INDEX(LookUps!$E$5:$E$12, MATCH(OpenLCAbasic!K8937,LookUps!$D$5:$D$12,0))))</f>
        <v>Smog Formation Potential (SFP) - kg O3 eq</v>
      </c>
      <c r="M8937" s="154" t="str">
        <f t="shared" si="726"/>
        <v>Base_Medium_Low_Upgraded_Smog Formation Potential (SFP) - kg O3 eq_Clear Cove Primary Clarification; wastewater treatment unit; at updated plant - US_Base_With Amendment_Aerated Static Pile</v>
      </c>
    </row>
    <row r="8938" spans="1:13" s="120" customFormat="1" x14ac:dyDescent="0.25">
      <c r="A8938" s="119"/>
      <c r="B8938" s="138" t="str">
        <f t="shared" si="727"/>
        <v>Aerated Static Pile</v>
      </c>
      <c r="C8938" s="138" t="str">
        <f t="shared" si="728"/>
        <v>Base_With Amendment</v>
      </c>
      <c r="D8938" s="138" t="str">
        <f t="shared" si="731"/>
        <v>Medium_Low</v>
      </c>
      <c r="E8938" s="138" t="str">
        <f t="shared" si="729"/>
        <v>Base</v>
      </c>
      <c r="F8938" s="138" t="str">
        <f t="shared" si="730"/>
        <v>Upgraded</v>
      </c>
      <c r="G8938" s="153"/>
      <c r="H8938" s="210">
        <v>9.5200000000000007E-2</v>
      </c>
      <c r="I8938" s="160" t="s">
        <v>58</v>
      </c>
      <c r="J8938" s="160">
        <v>4.1919999999999999E-2</v>
      </c>
      <c r="K8938" s="160" t="s">
        <v>25</v>
      </c>
      <c r="L8938" s="154" t="str">
        <f>IF(OpenLCAbasic!K8938="CTUh", "Fill in Manually",IF(OR(K8938="Unit", K8938=""), "", INDEX(LookUps!$E$5:$E$12, MATCH(OpenLCAbasic!K8938,LookUps!$D$5:$D$12,0))))</f>
        <v>Smog Formation Potential (SFP) - kg O3 eq</v>
      </c>
      <c r="M8938" s="154" t="str">
        <f t="shared" si="726"/>
        <v>Base_Medium_Low_Upgraded_Smog Formation Potential (SFP) - kg O3 eq_Pre-Anoxic &amp; Swing tank; wastewater treatment unit; at updated plant - US_Base_With Amendment_Aerated Static Pile</v>
      </c>
    </row>
    <row r="8939" spans="1:13" s="120" customFormat="1" x14ac:dyDescent="0.25">
      <c r="A8939" s="119"/>
      <c r="B8939" s="138" t="str">
        <f t="shared" si="727"/>
        <v>Aerated Static Pile</v>
      </c>
      <c r="C8939" s="138" t="str">
        <f t="shared" si="728"/>
        <v>Base_With Amendment</v>
      </c>
      <c r="D8939" s="138" t="str">
        <f t="shared" si="731"/>
        <v>Medium_Low</v>
      </c>
      <c r="E8939" s="138" t="str">
        <f t="shared" si="729"/>
        <v>Base</v>
      </c>
      <c r="F8939" s="138" t="str">
        <f t="shared" si="730"/>
        <v>Upgraded</v>
      </c>
      <c r="G8939" s="153"/>
      <c r="H8939" s="210">
        <v>7.5300000000000006E-2</v>
      </c>
      <c r="I8939" s="160" t="s">
        <v>53</v>
      </c>
      <c r="J8939" s="160">
        <v>3.313E-2</v>
      </c>
      <c r="K8939" s="160" t="s">
        <v>25</v>
      </c>
      <c r="L8939" s="154" t="str">
        <f>IF(OpenLCAbasic!K8939="CTUh", "Fill in Manually",IF(OR(K8939="Unit", K8939=""), "", INDEX(LookUps!$E$5:$E$12, MATCH(OpenLCAbasic!K8939,LookUps!$D$5:$D$12,0))))</f>
        <v>Smog Formation Potential (SFP) - kg O3 eq</v>
      </c>
      <c r="M8939" s="154" t="str">
        <f t="shared" si="726"/>
        <v>Base_Medium_Low_Upgraded_Smog Formation Potential (SFP) - kg O3 eq_Wet Well and Sump Station; wastewater treatment unit; at updated plant - US_Base_With Amendment_Aerated Static Pile</v>
      </c>
    </row>
    <row r="8940" spans="1:13" s="120" customFormat="1" x14ac:dyDescent="0.25">
      <c r="A8940" s="119"/>
      <c r="B8940" s="138" t="str">
        <f t="shared" si="727"/>
        <v>Aerated Static Pile</v>
      </c>
      <c r="C8940" s="138" t="str">
        <f t="shared" si="728"/>
        <v>Base_With Amendment</v>
      </c>
      <c r="D8940" s="138" t="str">
        <f t="shared" si="731"/>
        <v>Medium_Low</v>
      </c>
      <c r="E8940" s="138" t="str">
        <f t="shared" si="729"/>
        <v>Base</v>
      </c>
      <c r="F8940" s="138" t="str">
        <f t="shared" si="730"/>
        <v>Upgraded</v>
      </c>
      <c r="G8940" s="153"/>
      <c r="H8940" s="210">
        <v>6.9800000000000001E-2</v>
      </c>
      <c r="I8940" s="160" t="s">
        <v>167</v>
      </c>
      <c r="J8940" s="160">
        <v>3.0710000000000001E-2</v>
      </c>
      <c r="K8940" s="160" t="s">
        <v>25</v>
      </c>
      <c r="L8940" s="154" t="str">
        <f>IF(OpenLCAbasic!K8940="CTUh", "Fill in Manually",IF(OR(K8940="Unit", K8940=""), "", INDEX(LookUps!$E$5:$E$12, MATCH(OpenLCAbasic!K8940,LookUps!$D$5:$D$12,0))))</f>
        <v>Smog Formation Potential (SFP) - kg O3 eq</v>
      </c>
      <c r="M8940" s="154" t="str">
        <f t="shared" si="726"/>
        <v>Base_Medium_Low_Upgraded_Smog Formation Potential (SFP) - kg O3 eq_Waste Receiving and Holding; wastewater treatment unit; at updated plant - US_Base_With Amendment_Aerated Static Pile</v>
      </c>
    </row>
    <row r="8941" spans="1:13" s="120" customFormat="1" x14ac:dyDescent="0.25">
      <c r="A8941" s="119"/>
      <c r="B8941" s="138" t="str">
        <f t="shared" si="727"/>
        <v>Aerated Static Pile</v>
      </c>
      <c r="C8941" s="138" t="str">
        <f t="shared" si="728"/>
        <v>Base_With Amendment</v>
      </c>
      <c r="D8941" s="138" t="str">
        <f t="shared" si="731"/>
        <v>Medium_Low</v>
      </c>
      <c r="E8941" s="138" t="str">
        <f t="shared" si="729"/>
        <v>Base</v>
      </c>
      <c r="F8941" s="138" t="str">
        <f t="shared" si="730"/>
        <v>Upgraded</v>
      </c>
      <c r="G8941" s="153"/>
      <c r="H8941" s="210">
        <v>4.41E-2</v>
      </c>
      <c r="I8941" s="160" t="s">
        <v>147</v>
      </c>
      <c r="J8941" s="160">
        <v>1.9400000000000001E-2</v>
      </c>
      <c r="K8941" s="160" t="s">
        <v>25</v>
      </c>
      <c r="L8941" s="154" t="str">
        <f>IF(OpenLCAbasic!K8941="CTUh", "Fill in Manually",IF(OR(K8941="Unit", K8941=""), "", INDEX(LookUps!$E$5:$E$12, MATCH(OpenLCAbasic!K8941,LookUps!$D$5:$D$12,0))))</f>
        <v>Smog Formation Potential (SFP) - kg O3 eq</v>
      </c>
      <c r="M8941" s="154" t="str">
        <f t="shared" si="726"/>
        <v>Base_Medium_Low_Upgraded_Smog Formation Potential (SFP) - kg O3 eq_Influent Pump Station; wastewater treatment unit; at updated plant - US_Base_With Amendment_Aerated Static Pile</v>
      </c>
    </row>
    <row r="8942" spans="1:13" s="120" customFormat="1" x14ac:dyDescent="0.25">
      <c r="A8942" s="119"/>
      <c r="B8942" s="138" t="str">
        <f t="shared" si="727"/>
        <v>Aerated Static Pile</v>
      </c>
      <c r="C8942" s="138" t="str">
        <f t="shared" si="728"/>
        <v>Base_With Amendment</v>
      </c>
      <c r="D8942" s="138" t="str">
        <f t="shared" si="731"/>
        <v>Medium_Low</v>
      </c>
      <c r="E8942" s="138" t="str">
        <f t="shared" si="729"/>
        <v>Base</v>
      </c>
      <c r="F8942" s="138" t="str">
        <f t="shared" si="730"/>
        <v>Upgraded</v>
      </c>
      <c r="G8942" s="153"/>
      <c r="H8942" s="210">
        <v>2.7099999999999999E-2</v>
      </c>
      <c r="I8942" s="160" t="s">
        <v>128</v>
      </c>
      <c r="J8942" s="160">
        <v>1.192E-2</v>
      </c>
      <c r="K8942" s="160" t="s">
        <v>25</v>
      </c>
      <c r="L8942" s="154" t="str">
        <f>IF(OpenLCAbasic!K8942="CTUh", "Fill in Manually",IF(OR(K8942="Unit", K8942=""), "", INDEX(LookUps!$E$5:$E$12, MATCH(OpenLCAbasic!K8942,LookUps!$D$5:$D$12,0))))</f>
        <v>Smog Formation Potential (SFP) - kg O3 eq</v>
      </c>
      <c r="M8942" s="154" t="str">
        <f t="shared" si="726"/>
        <v>Base_Medium_Low_Upgraded_Smog Formation Potential (SFP) - kg O3 eq_Wastewater collection; operation and infrastructure; m3 wastewater_Base_With Amendment_Aerated Static Pile</v>
      </c>
    </row>
    <row r="8943" spans="1:13" s="120" customFormat="1" x14ac:dyDescent="0.25">
      <c r="A8943" s="119"/>
      <c r="B8943" s="138" t="str">
        <f t="shared" si="727"/>
        <v>Aerated Static Pile</v>
      </c>
      <c r="C8943" s="138" t="str">
        <f t="shared" si="728"/>
        <v>Base_With Amendment</v>
      </c>
      <c r="D8943" s="138" t="str">
        <f t="shared" si="731"/>
        <v>Medium_Low</v>
      </c>
      <c r="E8943" s="138" t="str">
        <f t="shared" si="729"/>
        <v>Base</v>
      </c>
      <c r="F8943" s="138" t="str">
        <f t="shared" si="730"/>
        <v>Upgraded</v>
      </c>
      <c r="G8943" s="153"/>
      <c r="H8943" s="210">
        <v>2.5999999999999999E-2</v>
      </c>
      <c r="I8943" s="160" t="s">
        <v>60</v>
      </c>
      <c r="J8943" s="160">
        <v>1.145E-2</v>
      </c>
      <c r="K8943" s="160" t="s">
        <v>25</v>
      </c>
      <c r="L8943" s="154" t="str">
        <f>IF(OpenLCAbasic!K8943="CTUh", "Fill in Manually",IF(OR(K8943="Unit", K8943=""), "", INDEX(LookUps!$E$5:$E$12, MATCH(OpenLCAbasic!K8943,LookUps!$D$5:$D$12,0))))</f>
        <v>Smog Formation Potential (SFP) - kg O3 eq</v>
      </c>
      <c r="M8943" s="154" t="str">
        <f t="shared" si="726"/>
        <v>Base_Medium_Low_Upgraded_Smog Formation Potential (SFP) - kg O3 eq_Belt filter press; wastewater treatment unit; at updated plant - US_Base_With Amendment_Aerated Static Pile</v>
      </c>
    </row>
    <row r="8944" spans="1:13" s="120" customFormat="1" x14ac:dyDescent="0.25">
      <c r="A8944" s="119"/>
      <c r="B8944" s="138" t="str">
        <f t="shared" si="727"/>
        <v>Aerated Static Pile</v>
      </c>
      <c r="C8944" s="138" t="str">
        <f t="shared" si="728"/>
        <v>Base_With Amendment</v>
      </c>
      <c r="D8944" s="138" t="str">
        <f t="shared" si="731"/>
        <v>Medium_Low</v>
      </c>
      <c r="E8944" s="138" t="str">
        <f t="shared" si="729"/>
        <v>Base</v>
      </c>
      <c r="F8944" s="138" t="str">
        <f t="shared" si="730"/>
        <v>Upgraded</v>
      </c>
      <c r="G8944" s="153"/>
      <c r="H8944" s="210">
        <v>1.5100000000000001E-2</v>
      </c>
      <c r="I8944" s="160" t="s">
        <v>57</v>
      </c>
      <c r="J8944" s="160">
        <v>6.6499999999999997E-3</v>
      </c>
      <c r="K8944" s="160" t="s">
        <v>25</v>
      </c>
      <c r="L8944" s="154" t="str">
        <f>IF(OpenLCAbasic!K8944="CTUh", "Fill in Manually",IF(OR(K8944="Unit", K8944=""), "", INDEX(LookUps!$E$5:$E$12, MATCH(OpenLCAbasic!K8944,LookUps!$D$5:$D$12,0))))</f>
        <v>Smog Formation Potential (SFP) - kg O3 eq</v>
      </c>
      <c r="M8944" s="154" t="str">
        <f t="shared" si="726"/>
        <v>Base_Medium_Low_Upgraded_Smog Formation Potential (SFP) - kg O3 eq_Gravity Belt Thickener; wastewater treatment unit; at updated plant - US_Base_With Amendment_Aerated Static Pile</v>
      </c>
    </row>
    <row r="8945" spans="1:13" s="120" customFormat="1" x14ac:dyDescent="0.25">
      <c r="A8945" s="119"/>
      <c r="B8945" s="138" t="str">
        <f t="shared" si="727"/>
        <v>Aerated Static Pile</v>
      </c>
      <c r="C8945" s="138" t="str">
        <f t="shared" si="728"/>
        <v>Base_With Amendment</v>
      </c>
      <c r="D8945" s="138" t="str">
        <f t="shared" si="731"/>
        <v>Medium_Low</v>
      </c>
      <c r="E8945" s="138" t="str">
        <f t="shared" si="729"/>
        <v>Base</v>
      </c>
      <c r="F8945" s="138" t="str">
        <f t="shared" si="730"/>
        <v>Upgraded</v>
      </c>
      <c r="G8945" s="153"/>
      <c r="H8945" s="210">
        <v>1.1299999999999999E-2</v>
      </c>
      <c r="I8945" s="160" t="s">
        <v>59</v>
      </c>
      <c r="J8945" s="160">
        <v>4.9699999999999996E-3</v>
      </c>
      <c r="K8945" s="160" t="s">
        <v>25</v>
      </c>
      <c r="L8945" s="154" t="str">
        <f>IF(OpenLCAbasic!K8945="CTUh", "Fill in Manually",IF(OR(K8945="Unit", K8945=""), "", INDEX(LookUps!$E$5:$E$12, MATCH(OpenLCAbasic!K8945,LookUps!$D$5:$D$12,0))))</f>
        <v>Smog Formation Potential (SFP) - kg O3 eq</v>
      </c>
      <c r="M8945" s="154" t="str">
        <f t="shared" si="726"/>
        <v>Base_Medium_Low_Upgraded_Smog Formation Potential (SFP) - kg O3 eq_Blend Tank; wastewater treatment unit; at updated plant - US_Base_With Amendment_Aerated Static Pile</v>
      </c>
    </row>
    <row r="8946" spans="1:13" s="120" customFormat="1" x14ac:dyDescent="0.25">
      <c r="A8946" s="119"/>
      <c r="B8946" s="138" t="str">
        <f t="shared" si="727"/>
        <v>Aerated Static Pile</v>
      </c>
      <c r="C8946" s="138" t="str">
        <f t="shared" si="728"/>
        <v>Base_With Amendment</v>
      </c>
      <c r="D8946" s="138" t="str">
        <f t="shared" si="731"/>
        <v>Medium_Low</v>
      </c>
      <c r="E8946" s="138" t="str">
        <f t="shared" si="729"/>
        <v>Base</v>
      </c>
      <c r="F8946" s="138" t="str">
        <f t="shared" si="730"/>
        <v>Upgraded</v>
      </c>
      <c r="G8946" s="153"/>
      <c r="H8946" s="210">
        <v>7.7000000000000002E-3</v>
      </c>
      <c r="I8946" s="160" t="s">
        <v>48</v>
      </c>
      <c r="J8946" s="160">
        <v>3.3899999999999998E-3</v>
      </c>
      <c r="K8946" s="160" t="s">
        <v>25</v>
      </c>
      <c r="L8946" s="154" t="str">
        <f>IF(OpenLCAbasic!K8946="CTUh", "Fill in Manually",IF(OR(K8946="Unit", K8946=""), "", INDEX(LookUps!$E$5:$E$12, MATCH(OpenLCAbasic!K8946,LookUps!$D$5:$D$12,0))))</f>
        <v>Smog Formation Potential (SFP) - kg O3 eq</v>
      </c>
      <c r="M8946" s="154" t="str">
        <f t="shared" si="726"/>
        <v>Base_Medium_Low_Upgraded_Smog Formation Potential (SFP) - kg O3 eq_Effluent release; wastewater treatment unit; at surface water; m3 wastewater - US_Base_With Amendment_Aerated Static Pile</v>
      </c>
    </row>
    <row r="8947" spans="1:13" s="120" customFormat="1" x14ac:dyDescent="0.25">
      <c r="A8947" s="119"/>
      <c r="B8947" s="138" t="str">
        <f t="shared" si="727"/>
        <v>Aerated Static Pile</v>
      </c>
      <c r="C8947" s="138" t="str">
        <f t="shared" si="728"/>
        <v>Base_With Amendment</v>
      </c>
      <c r="D8947" s="138" t="str">
        <f t="shared" si="731"/>
        <v>Medium_Low</v>
      </c>
      <c r="E8947" s="138" t="str">
        <f t="shared" si="729"/>
        <v>Base</v>
      </c>
      <c r="F8947" s="138" t="str">
        <f t="shared" si="730"/>
        <v>Upgraded</v>
      </c>
      <c r="G8947" s="153"/>
      <c r="H8947" s="210">
        <v>5.5999999999999999E-3</v>
      </c>
      <c r="I8947" s="160" t="s">
        <v>168</v>
      </c>
      <c r="J8947" s="160">
        <v>2.4599999999999999E-3</v>
      </c>
      <c r="K8947" s="160" t="s">
        <v>25</v>
      </c>
      <c r="L8947" s="154" t="str">
        <f>IF(OpenLCAbasic!K8947="CTUh", "Fill in Manually",IF(OR(K8947="Unit", K8947=""), "", INDEX(LookUps!$E$5:$E$12, MATCH(OpenLCAbasic!K8947,LookUps!$D$5:$D$12,0))))</f>
        <v>Smog Formation Potential (SFP) - kg O3 eq</v>
      </c>
      <c r="M8947" s="154" t="str">
        <f t="shared" ref="M8947:M9010" si="732">CONCATENATE(E8947,"_",D8947,"_",F8947,"_",L8947, "_",I8947,"_", C8947,"_", B8947)</f>
        <v>Base_Medium_Low_Upgraded_Smog Formation Potential (SFP) - kg O3 eq_ClearCove SCP; wastewater treatment unit; at updated plant - US_Base_With Amendment_Aerated Static Pile</v>
      </c>
    </row>
    <row r="8948" spans="1:13" s="120" customFormat="1" x14ac:dyDescent="0.25">
      <c r="A8948" s="119"/>
      <c r="B8948" s="138" t="str">
        <f t="shared" si="727"/>
        <v>Aerated Static Pile</v>
      </c>
      <c r="C8948" s="138" t="str">
        <f t="shared" si="728"/>
        <v>Base_With Amendment</v>
      </c>
      <c r="D8948" s="138" t="str">
        <f t="shared" si="731"/>
        <v>Medium_Low</v>
      </c>
      <c r="E8948" s="138" t="str">
        <f t="shared" si="729"/>
        <v>Base</v>
      </c>
      <c r="F8948" s="138" t="str">
        <f t="shared" si="730"/>
        <v>Upgraded</v>
      </c>
      <c r="G8948" s="153"/>
      <c r="H8948" s="210">
        <v>1.1999999999999999E-3</v>
      </c>
      <c r="I8948" s="160" t="s">
        <v>148</v>
      </c>
      <c r="J8948" s="160">
        <v>5.4000000000000001E-4</v>
      </c>
      <c r="K8948" s="160" t="s">
        <v>25</v>
      </c>
      <c r="L8948" s="154" t="str">
        <f>IF(OpenLCAbasic!K8948="CTUh", "Fill in Manually",IF(OR(K8948="Unit", K8948=""), "", INDEX(LookUps!$E$5:$E$12, MATCH(OpenLCAbasic!K8948,LookUps!$D$5:$D$12,0))))</f>
        <v>Smog Formation Potential (SFP) - kg O3 eq</v>
      </c>
      <c r="M8948" s="154" t="str">
        <f t="shared" si="732"/>
        <v>Base_Medium_Low_Upgraded_Smog Formation Potential (SFP) - kg O3 eq_Control Building; at upgraded wastewater treatment plant - US_Base_With Amendment_Aerated Static Pile</v>
      </c>
    </row>
    <row r="8949" spans="1:13" s="120" customFormat="1" x14ac:dyDescent="0.25">
      <c r="A8949" s="119"/>
      <c r="B8949" s="138" t="str">
        <f t="shared" si="727"/>
        <v>Aerated Static Pile</v>
      </c>
      <c r="C8949" s="138" t="str">
        <f t="shared" si="728"/>
        <v>Base_With Amendment</v>
      </c>
      <c r="D8949" s="138" t="str">
        <f t="shared" si="731"/>
        <v>Medium_Low</v>
      </c>
      <c r="E8949" s="138" t="str">
        <f t="shared" si="729"/>
        <v>Base</v>
      </c>
      <c r="F8949" s="138" t="str">
        <f t="shared" si="730"/>
        <v>Upgraded</v>
      </c>
      <c r="G8949" s="153"/>
      <c r="H8949" s="210">
        <v>-9.7000000000000003E-3</v>
      </c>
      <c r="I8949" s="160" t="s">
        <v>62</v>
      </c>
      <c r="J8949" s="160">
        <v>-4.2900000000000004E-3</v>
      </c>
      <c r="K8949" s="160" t="s">
        <v>25</v>
      </c>
      <c r="L8949" s="154" t="str">
        <f>IF(OpenLCAbasic!K8949="CTUh", "Fill in Manually",IF(OR(K8949="Unit", K8949=""), "", INDEX(LookUps!$E$5:$E$12, MATCH(OpenLCAbasic!K8949,LookUps!$D$5:$D$12,0))))</f>
        <v>Smog Formation Potential (SFP) - kg O3 eq</v>
      </c>
      <c r="M8949" s="154" t="str">
        <f t="shared" si="732"/>
        <v>Base_Medium_Low_Upgraded_Smog Formation Potential (SFP) - kg O3 eq_Land application of compost; wastewater treatment unit; at updated plant - US_Base_With Amendment_Aerated Static Pile</v>
      </c>
    </row>
    <row r="8950" spans="1:13" s="120" customFormat="1" x14ac:dyDescent="0.25">
      <c r="A8950" s="119"/>
      <c r="B8950" s="138" t="str">
        <f t="shared" si="727"/>
        <v>Aerated Static Pile</v>
      </c>
      <c r="C8950" s="138" t="str">
        <f t="shared" si="728"/>
        <v>Base_With Amendment</v>
      </c>
      <c r="D8950" s="138" t="str">
        <f t="shared" si="731"/>
        <v>Medium_Low</v>
      </c>
      <c r="E8950" s="138" t="str">
        <f t="shared" si="729"/>
        <v>Base</v>
      </c>
      <c r="F8950" s="138" t="str">
        <f t="shared" si="730"/>
        <v>Upgraded</v>
      </c>
      <c r="G8950" s="153"/>
      <c r="H8950" s="210">
        <v>-6.0699999999999997E-2</v>
      </c>
      <c r="I8950" s="160" t="s">
        <v>149</v>
      </c>
      <c r="J8950" s="160">
        <v>-2.673E-2</v>
      </c>
      <c r="K8950" s="160" t="s">
        <v>25</v>
      </c>
      <c r="L8950" s="154" t="str">
        <f>IF(OpenLCAbasic!K8950="CTUh", "Fill in Manually",IF(OR(K8950="Unit", K8950=""), "", INDEX(LookUps!$E$5:$E$12, MATCH(OpenLCAbasic!K8950,LookUps!$D$5:$D$12,0))))</f>
        <v>Smog Formation Potential (SFP) - kg O3 eq</v>
      </c>
      <c r="M8950" s="154" t="str">
        <f t="shared" si="732"/>
        <v>Base_Medium_Low_Upgraded_Smog Formation Potential (SFP) - kg O3 eq_Anaerobic Digestion; wastewater treatment unit; at updated plant - US_Base_With Amendment_Aerated Static Pile</v>
      </c>
    </row>
    <row r="8951" spans="1:13" s="120" customFormat="1" x14ac:dyDescent="0.25">
      <c r="A8951" s="119"/>
      <c r="B8951" s="138" t="str">
        <f t="shared" si="727"/>
        <v/>
      </c>
      <c r="C8951" s="138" t="str">
        <f t="shared" si="728"/>
        <v/>
      </c>
      <c r="D8951" s="138" t="str">
        <f t="shared" si="731"/>
        <v/>
      </c>
      <c r="E8951" s="138" t="str">
        <f t="shared" si="729"/>
        <v/>
      </c>
      <c r="F8951" s="138" t="str">
        <f t="shared" si="730"/>
        <v/>
      </c>
      <c r="G8951" s="153" t="s">
        <v>51</v>
      </c>
      <c r="H8951" s="160"/>
      <c r="I8951" s="160" t="s">
        <v>47</v>
      </c>
      <c r="J8951" s="160" t="s">
        <v>52</v>
      </c>
      <c r="K8951" s="160" t="s">
        <v>27</v>
      </c>
      <c r="L8951" s="154" t="str">
        <f>IF(OpenLCAbasic!K8951="CTUh", "Fill in Manually",IF(OR(K8951="Unit", K8951=""), "", INDEX(LookUps!$E$5:$E$12, MATCH(OpenLCAbasic!K8951,LookUps!$D$5:$D$12,0))))</f>
        <v/>
      </c>
      <c r="M8951" s="154" t="str">
        <f t="shared" si="732"/>
        <v>____Process__</v>
      </c>
    </row>
    <row r="8952" spans="1:13" s="120" customFormat="1" x14ac:dyDescent="0.25">
      <c r="A8952" s="119"/>
      <c r="B8952" s="138" t="str">
        <f t="shared" si="727"/>
        <v>Aerated Static Pile</v>
      </c>
      <c r="C8952" s="138" t="str">
        <f t="shared" si="728"/>
        <v>Base_With Amendment</v>
      </c>
      <c r="D8952" s="138" t="str">
        <f t="shared" si="731"/>
        <v>Medium_Low</v>
      </c>
      <c r="E8952" s="138" t="str">
        <f t="shared" si="729"/>
        <v>Base</v>
      </c>
      <c r="F8952" s="138" t="str">
        <f t="shared" si="730"/>
        <v>Upgraded</v>
      </c>
      <c r="G8952" s="153"/>
      <c r="H8952" s="210">
        <v>0.5081</v>
      </c>
      <c r="I8952" s="160" t="s">
        <v>167</v>
      </c>
      <c r="J8952" s="160">
        <v>2.7999999999999998E-4</v>
      </c>
      <c r="K8952" s="160" t="s">
        <v>26</v>
      </c>
      <c r="L8952" s="154" t="str">
        <f>IF(OpenLCAbasic!K8952="CTUh", "Fill in Manually",IF(OR(K8952="Unit", K8952=""), "", INDEX(LookUps!$E$5:$E$12, MATCH(OpenLCAbasic!K8952,LookUps!$D$5:$D$12,0))))</f>
        <v>Water Use (WU) - m3 H2O</v>
      </c>
      <c r="M8952" s="154" t="str">
        <f t="shared" si="732"/>
        <v>Base_Medium_Low_Upgraded_Water Use (WU) - m3 H2O_Waste Receiving and Holding; wastewater treatment unit; at updated plant - US_Base_With Amendment_Aerated Static Pile</v>
      </c>
    </row>
    <row r="8953" spans="1:13" s="120" customFormat="1" x14ac:dyDescent="0.25">
      <c r="A8953" s="119"/>
      <c r="B8953" s="138" t="str">
        <f t="shared" ref="B8953:B9016" si="733">IF(F8953="Legacy","n.a.",IF(F8953="","","Aerated Static Pile"))</f>
        <v>Aerated Static Pile</v>
      </c>
      <c r="C8953" s="138" t="str">
        <f t="shared" ref="C8953:C9016" si="734">IF(ISNUMBER($J8953),"Base_With Amendment","")</f>
        <v>Base_With Amendment</v>
      </c>
      <c r="D8953" s="138" t="str">
        <f t="shared" si="731"/>
        <v>Medium_Low</v>
      </c>
      <c r="E8953" s="138" t="str">
        <f t="shared" ref="E8953:E9016" si="735">IF(ISNUMBER($J8953),"Base","")</f>
        <v>Base</v>
      </c>
      <c r="F8953" s="138" t="str">
        <f t="shared" ref="F8953:F9016" si="736">IF(ISNUMBER(J8953),"Upgraded","")</f>
        <v>Upgraded</v>
      </c>
      <c r="G8953" s="153"/>
      <c r="H8953" s="210">
        <v>0.33160000000000001</v>
      </c>
      <c r="I8953" s="160" t="s">
        <v>147</v>
      </c>
      <c r="J8953" s="160">
        <v>1.8000000000000001E-4</v>
      </c>
      <c r="K8953" s="160" t="s">
        <v>26</v>
      </c>
      <c r="L8953" s="154" t="str">
        <f>IF(OpenLCAbasic!K8953="CTUh", "Fill in Manually",IF(OR(K8953="Unit", K8953=""), "", INDEX(LookUps!$E$5:$E$12, MATCH(OpenLCAbasic!K8953,LookUps!$D$5:$D$12,0))))</f>
        <v>Water Use (WU) - m3 H2O</v>
      </c>
      <c r="M8953" s="154" t="str">
        <f t="shared" si="732"/>
        <v>Base_Medium_Low_Upgraded_Water Use (WU) - m3 H2O_Influent Pump Station; wastewater treatment unit; at updated plant - US_Base_With Amendment_Aerated Static Pile</v>
      </c>
    </row>
    <row r="8954" spans="1:13" s="120" customFormat="1" x14ac:dyDescent="0.25">
      <c r="A8954" s="119"/>
      <c r="B8954" s="138" t="str">
        <f t="shared" si="733"/>
        <v>Aerated Static Pile</v>
      </c>
      <c r="C8954" s="138" t="str">
        <f t="shared" si="734"/>
        <v>Base_With Amendment</v>
      </c>
      <c r="D8954" s="138" t="str">
        <f t="shared" si="731"/>
        <v>Medium_Low</v>
      </c>
      <c r="E8954" s="138" t="str">
        <f t="shared" si="735"/>
        <v>Base</v>
      </c>
      <c r="F8954" s="138" t="str">
        <f t="shared" si="736"/>
        <v>Upgraded</v>
      </c>
      <c r="G8954" s="153"/>
      <c r="H8954" s="210">
        <v>0.3236</v>
      </c>
      <c r="I8954" s="160" t="s">
        <v>54</v>
      </c>
      <c r="J8954" s="160">
        <v>1.8000000000000001E-4</v>
      </c>
      <c r="K8954" s="160" t="s">
        <v>26</v>
      </c>
      <c r="L8954" s="154" t="str">
        <f>IF(OpenLCAbasic!K8954="CTUh", "Fill in Manually",IF(OR(K8954="Unit", K8954=""), "", INDEX(LookUps!$E$5:$E$12, MATCH(OpenLCAbasic!K8954,LookUps!$D$5:$D$12,0))))</f>
        <v>Water Use (WU) - m3 H2O</v>
      </c>
      <c r="M8954" s="154" t="str">
        <f t="shared" si="732"/>
        <v>Base_Medium_Low_Upgraded_Water Use (WU) - m3 H2O_Clear Cove Primary Clarification; wastewater treatment unit; at updated plant - US_Base_With Amendment_Aerated Static Pile</v>
      </c>
    </row>
    <row r="8955" spans="1:13" s="120" customFormat="1" x14ac:dyDescent="0.25">
      <c r="A8955" s="119"/>
      <c r="B8955" s="138" t="str">
        <f t="shared" si="733"/>
        <v>Aerated Static Pile</v>
      </c>
      <c r="C8955" s="138" t="str">
        <f t="shared" si="734"/>
        <v>Base_With Amendment</v>
      </c>
      <c r="D8955" s="138" t="str">
        <f t="shared" si="731"/>
        <v>Medium_Low</v>
      </c>
      <c r="E8955" s="138" t="str">
        <f t="shared" si="735"/>
        <v>Base</v>
      </c>
      <c r="F8955" s="138" t="str">
        <f t="shared" si="736"/>
        <v>Upgraded</v>
      </c>
      <c r="G8955" s="153"/>
      <c r="H8955" s="210">
        <v>0.29360000000000003</v>
      </c>
      <c r="I8955" s="160" t="s">
        <v>55</v>
      </c>
      <c r="J8955" s="160">
        <v>1.6000000000000001E-4</v>
      </c>
      <c r="K8955" s="160" t="s">
        <v>26</v>
      </c>
      <c r="L8955" s="154" t="str">
        <f>IF(OpenLCAbasic!K8955="CTUh", "Fill in Manually",IF(OR(K8955="Unit", K8955=""), "", INDEX(LookUps!$E$5:$E$12, MATCH(OpenLCAbasic!K8955,LookUps!$D$5:$D$12,0))))</f>
        <v>Water Use (WU) - m3 H2O</v>
      </c>
      <c r="M8955" s="154" t="str">
        <f t="shared" si="732"/>
        <v>Base_Medium_Low_Upgraded_Water Use (WU) - m3 H2O_Aeration Tanks; wastewater treatment unit; at updated plant - US_Base_With Amendment_Aerated Static Pile</v>
      </c>
    </row>
    <row r="8956" spans="1:13" s="120" customFormat="1" x14ac:dyDescent="0.25">
      <c r="A8956" s="119"/>
      <c r="B8956" s="138" t="str">
        <f t="shared" si="733"/>
        <v>Aerated Static Pile</v>
      </c>
      <c r="C8956" s="138" t="str">
        <f t="shared" si="734"/>
        <v>Base_With Amendment</v>
      </c>
      <c r="D8956" s="138" t="str">
        <f t="shared" si="731"/>
        <v>Medium_Low</v>
      </c>
      <c r="E8956" s="138" t="str">
        <f t="shared" si="735"/>
        <v>Base</v>
      </c>
      <c r="F8956" s="138" t="str">
        <f t="shared" si="736"/>
        <v>Upgraded</v>
      </c>
      <c r="G8956" s="153"/>
      <c r="H8956" s="210">
        <v>0.26740000000000003</v>
      </c>
      <c r="I8956" s="160" t="s">
        <v>148</v>
      </c>
      <c r="J8956" s="160">
        <v>1.4999999999999999E-4</v>
      </c>
      <c r="K8956" s="160" t="s">
        <v>26</v>
      </c>
      <c r="L8956" s="154" t="str">
        <f>IF(OpenLCAbasic!K8956="CTUh", "Fill in Manually",IF(OR(K8956="Unit", K8956=""), "", INDEX(LookUps!$E$5:$E$12, MATCH(OpenLCAbasic!K8956,LookUps!$D$5:$D$12,0))))</f>
        <v>Water Use (WU) - m3 H2O</v>
      </c>
      <c r="M8956" s="154" t="str">
        <f t="shared" si="732"/>
        <v>Base_Medium_Low_Upgraded_Water Use (WU) - m3 H2O_Control Building; at upgraded wastewater treatment plant - US_Base_With Amendment_Aerated Static Pile</v>
      </c>
    </row>
    <row r="8957" spans="1:13" s="120" customFormat="1" x14ac:dyDescent="0.25">
      <c r="A8957" s="119"/>
      <c r="B8957" s="138" t="str">
        <f t="shared" si="733"/>
        <v>Aerated Static Pile</v>
      </c>
      <c r="C8957" s="138" t="str">
        <f t="shared" si="734"/>
        <v>Base_With Amendment</v>
      </c>
      <c r="D8957" s="138" t="str">
        <f t="shared" si="731"/>
        <v>Medium_Low</v>
      </c>
      <c r="E8957" s="138" t="str">
        <f t="shared" si="735"/>
        <v>Base</v>
      </c>
      <c r="F8957" s="138" t="str">
        <f t="shared" si="736"/>
        <v>Upgraded</v>
      </c>
      <c r="G8957" s="153"/>
      <c r="H8957" s="210">
        <v>0.1242</v>
      </c>
      <c r="I8957" s="160" t="s">
        <v>48</v>
      </c>
      <c r="J8957" s="211">
        <v>6.8836400000000004E-5</v>
      </c>
      <c r="K8957" s="160" t="s">
        <v>26</v>
      </c>
      <c r="L8957" s="154" t="str">
        <f>IF(OpenLCAbasic!K8957="CTUh", "Fill in Manually",IF(OR(K8957="Unit", K8957=""), "", INDEX(LookUps!$E$5:$E$12, MATCH(OpenLCAbasic!K8957,LookUps!$D$5:$D$12,0))))</f>
        <v>Water Use (WU) - m3 H2O</v>
      </c>
      <c r="M8957" s="154" t="str">
        <f t="shared" si="732"/>
        <v>Base_Medium_Low_Upgraded_Water Use (WU) - m3 H2O_Effluent release; wastewater treatment unit; at surface water; m3 wastewater - US_Base_With Amendment_Aerated Static Pile</v>
      </c>
    </row>
    <row r="8958" spans="1:13" s="120" customFormat="1" x14ac:dyDescent="0.25">
      <c r="A8958" s="119"/>
      <c r="B8958" s="138" t="str">
        <f t="shared" si="733"/>
        <v>Aerated Static Pile</v>
      </c>
      <c r="C8958" s="138" t="str">
        <f t="shared" si="734"/>
        <v>Base_With Amendment</v>
      </c>
      <c r="D8958" s="138" t="str">
        <f t="shared" si="731"/>
        <v>Medium_Low</v>
      </c>
      <c r="E8958" s="138" t="str">
        <f t="shared" si="735"/>
        <v>Base</v>
      </c>
      <c r="F8958" s="138" t="str">
        <f t="shared" si="736"/>
        <v>Upgraded</v>
      </c>
      <c r="G8958" s="153"/>
      <c r="H8958" s="210">
        <v>7.8E-2</v>
      </c>
      <c r="I8958" s="160" t="s">
        <v>58</v>
      </c>
      <c r="J8958" s="211">
        <v>4.3235300000000003E-5</v>
      </c>
      <c r="K8958" s="160" t="s">
        <v>26</v>
      </c>
      <c r="L8958" s="154" t="str">
        <f>IF(OpenLCAbasic!K8958="CTUh", "Fill in Manually",IF(OR(K8958="Unit", K8958=""), "", INDEX(LookUps!$E$5:$E$12, MATCH(OpenLCAbasic!K8958,LookUps!$D$5:$D$12,0))))</f>
        <v>Water Use (WU) - m3 H2O</v>
      </c>
      <c r="M8958" s="154" t="str">
        <f t="shared" si="732"/>
        <v>Base_Medium_Low_Upgraded_Water Use (WU) - m3 H2O_Pre-Anoxic &amp; Swing tank; wastewater treatment unit; at updated plant - US_Base_With Amendment_Aerated Static Pile</v>
      </c>
    </row>
    <row r="8959" spans="1:13" s="120" customFormat="1" x14ac:dyDescent="0.25">
      <c r="A8959" s="119"/>
      <c r="B8959" s="138" t="str">
        <f t="shared" si="733"/>
        <v>Aerated Static Pile</v>
      </c>
      <c r="C8959" s="138" t="str">
        <f t="shared" si="734"/>
        <v>Base_With Amendment</v>
      </c>
      <c r="D8959" s="138" t="str">
        <f t="shared" si="731"/>
        <v>Medium_Low</v>
      </c>
      <c r="E8959" s="138" t="str">
        <f t="shared" si="735"/>
        <v>Base</v>
      </c>
      <c r="F8959" s="138" t="str">
        <f t="shared" si="736"/>
        <v>Upgraded</v>
      </c>
      <c r="G8959" s="153"/>
      <c r="H8959" s="210">
        <v>6.1699999999999998E-2</v>
      </c>
      <c r="I8959" s="160" t="s">
        <v>60</v>
      </c>
      <c r="J8959" s="211">
        <v>3.4196200000000003E-5</v>
      </c>
      <c r="K8959" s="160" t="s">
        <v>26</v>
      </c>
      <c r="L8959" s="154" t="str">
        <f>IF(OpenLCAbasic!K8959="CTUh", "Fill in Manually",IF(OR(K8959="Unit", K8959=""), "", INDEX(LookUps!$E$5:$E$12, MATCH(OpenLCAbasic!K8959,LookUps!$D$5:$D$12,0))))</f>
        <v>Water Use (WU) - m3 H2O</v>
      </c>
      <c r="M8959" s="154" t="str">
        <f t="shared" si="732"/>
        <v>Base_Medium_Low_Upgraded_Water Use (WU) - m3 H2O_Belt filter press; wastewater treatment unit; at updated plant - US_Base_With Amendment_Aerated Static Pile</v>
      </c>
    </row>
    <row r="8960" spans="1:13" s="120" customFormat="1" x14ac:dyDescent="0.25">
      <c r="A8960" s="119"/>
      <c r="B8960" s="138" t="str">
        <f t="shared" si="733"/>
        <v>Aerated Static Pile</v>
      </c>
      <c r="C8960" s="138" t="str">
        <f t="shared" si="734"/>
        <v>Base_With Amendment</v>
      </c>
      <c r="D8960" s="138" t="str">
        <f t="shared" si="731"/>
        <v>Medium_Low</v>
      </c>
      <c r="E8960" s="138" t="str">
        <f t="shared" si="735"/>
        <v>Base</v>
      </c>
      <c r="F8960" s="138" t="str">
        <f t="shared" si="736"/>
        <v>Upgraded</v>
      </c>
      <c r="G8960" s="153"/>
      <c r="H8960" s="210">
        <v>5.4899999999999997E-2</v>
      </c>
      <c r="I8960" s="160" t="s">
        <v>57</v>
      </c>
      <c r="J8960" s="211">
        <v>3.0408100000000001E-5</v>
      </c>
      <c r="K8960" s="160" t="s">
        <v>26</v>
      </c>
      <c r="L8960" s="154" t="str">
        <f>IF(OpenLCAbasic!K8960="CTUh", "Fill in Manually",IF(OR(K8960="Unit", K8960=""), "", INDEX(LookUps!$E$5:$E$12, MATCH(OpenLCAbasic!K8960,LookUps!$D$5:$D$12,0))))</f>
        <v>Water Use (WU) - m3 H2O</v>
      </c>
      <c r="M8960" s="154" t="str">
        <f t="shared" si="732"/>
        <v>Base_Medium_Low_Upgraded_Water Use (WU) - m3 H2O_Gravity Belt Thickener; wastewater treatment unit; at updated plant - US_Base_With Amendment_Aerated Static Pile</v>
      </c>
    </row>
    <row r="8961" spans="1:13" s="120" customFormat="1" x14ac:dyDescent="0.25">
      <c r="A8961" s="119"/>
      <c r="B8961" s="138" t="str">
        <f t="shared" si="733"/>
        <v>Aerated Static Pile</v>
      </c>
      <c r="C8961" s="138" t="str">
        <f t="shared" si="734"/>
        <v>Base_With Amendment</v>
      </c>
      <c r="D8961" s="138" t="str">
        <f t="shared" ref="D8961:D8967" si="737">IF(ISNUMBER($J8961),"Medium_Low","")</f>
        <v>Medium_Low</v>
      </c>
      <c r="E8961" s="138" t="str">
        <f t="shared" si="735"/>
        <v>Base</v>
      </c>
      <c r="F8961" s="138" t="str">
        <f t="shared" si="736"/>
        <v>Upgraded</v>
      </c>
      <c r="G8961" s="153"/>
      <c r="H8961" s="210">
        <v>5.3900000000000003E-2</v>
      </c>
      <c r="I8961" s="160" t="s">
        <v>435</v>
      </c>
      <c r="J8961" s="211">
        <v>2.9879400000000001E-5</v>
      </c>
      <c r="K8961" s="160" t="s">
        <v>26</v>
      </c>
      <c r="L8961" s="154" t="str">
        <f>IF(OpenLCAbasic!K8961="CTUh", "Fill in Manually",IF(OR(K8961="Unit", K8961=""), "", INDEX(LookUps!$E$5:$E$12, MATCH(OpenLCAbasic!K8961,LookUps!$D$5:$D$12,0))))</f>
        <v>Water Use (WU) - m3 H2O</v>
      </c>
      <c r="M8961" s="154" t="str">
        <f t="shared" si="732"/>
        <v>Base_Medium_Low_Upgraded_Water Use (WU) - m3 H2O_Biosolids composting; aerated static pile; wastewater treatment unit; at updated plant - US_Base_With Amendment_Aerated Static Pile</v>
      </c>
    </row>
    <row r="8962" spans="1:13" s="120" customFormat="1" x14ac:dyDescent="0.25">
      <c r="A8962" s="119"/>
      <c r="B8962" s="138" t="str">
        <f t="shared" si="733"/>
        <v>Aerated Static Pile</v>
      </c>
      <c r="C8962" s="138" t="str">
        <f t="shared" si="734"/>
        <v>Base_With Amendment</v>
      </c>
      <c r="D8962" s="138" t="str">
        <f t="shared" si="737"/>
        <v>Medium_Low</v>
      </c>
      <c r="E8962" s="138" t="str">
        <f t="shared" si="735"/>
        <v>Base</v>
      </c>
      <c r="F8962" s="138" t="str">
        <f t="shared" si="736"/>
        <v>Upgraded</v>
      </c>
      <c r="G8962" s="153"/>
      <c r="H8962" s="210">
        <v>4.9399999999999999E-2</v>
      </c>
      <c r="I8962" s="160" t="s">
        <v>149</v>
      </c>
      <c r="J8962" s="211">
        <v>2.7368600000000001E-5</v>
      </c>
      <c r="K8962" s="160" t="s">
        <v>26</v>
      </c>
      <c r="L8962" s="154" t="str">
        <f>IF(OpenLCAbasic!K8962="CTUh", "Fill in Manually",IF(OR(K8962="Unit", K8962=""), "", INDEX(LookUps!$E$5:$E$12, MATCH(OpenLCAbasic!K8962,LookUps!$D$5:$D$12,0))))</f>
        <v>Water Use (WU) - m3 H2O</v>
      </c>
      <c r="M8962" s="154" t="str">
        <f t="shared" si="732"/>
        <v>Base_Medium_Low_Upgraded_Water Use (WU) - m3 H2O_Anaerobic Digestion; wastewater treatment unit; at updated plant - US_Base_With Amendment_Aerated Static Pile</v>
      </c>
    </row>
    <row r="8963" spans="1:13" s="120" customFormat="1" x14ac:dyDescent="0.25">
      <c r="A8963" s="119"/>
      <c r="B8963" s="138" t="str">
        <f t="shared" si="733"/>
        <v>Aerated Static Pile</v>
      </c>
      <c r="C8963" s="138" t="str">
        <f t="shared" si="734"/>
        <v>Base_With Amendment</v>
      </c>
      <c r="D8963" s="138" t="str">
        <f t="shared" si="737"/>
        <v>Medium_Low</v>
      </c>
      <c r="E8963" s="138" t="str">
        <f t="shared" si="735"/>
        <v>Base</v>
      </c>
      <c r="F8963" s="138" t="str">
        <f t="shared" si="736"/>
        <v>Upgraded</v>
      </c>
      <c r="G8963" s="153"/>
      <c r="H8963" s="210">
        <v>3.1600000000000003E-2</v>
      </c>
      <c r="I8963" s="160" t="s">
        <v>53</v>
      </c>
      <c r="J8963" s="211">
        <v>1.75069E-5</v>
      </c>
      <c r="K8963" s="160" t="s">
        <v>26</v>
      </c>
      <c r="L8963" s="154" t="str">
        <f>IF(OpenLCAbasic!K8963="CTUh", "Fill in Manually",IF(OR(K8963="Unit", K8963=""), "", INDEX(LookUps!$E$5:$E$12, MATCH(OpenLCAbasic!K8963,LookUps!$D$5:$D$12,0))))</f>
        <v>Water Use (WU) - m3 H2O</v>
      </c>
      <c r="M8963" s="154" t="str">
        <f t="shared" si="732"/>
        <v>Base_Medium_Low_Upgraded_Water Use (WU) - m3 H2O_Wet Well and Sump Station; wastewater treatment unit; at updated plant - US_Base_With Amendment_Aerated Static Pile</v>
      </c>
    </row>
    <row r="8964" spans="1:13" s="120" customFormat="1" x14ac:dyDescent="0.25">
      <c r="A8964" s="119"/>
      <c r="B8964" s="138" t="str">
        <f t="shared" si="733"/>
        <v>Aerated Static Pile</v>
      </c>
      <c r="C8964" s="138" t="str">
        <f t="shared" si="734"/>
        <v>Base_With Amendment</v>
      </c>
      <c r="D8964" s="138" t="str">
        <f t="shared" si="737"/>
        <v>Medium_Low</v>
      </c>
      <c r="E8964" s="138" t="str">
        <f t="shared" si="735"/>
        <v>Base</v>
      </c>
      <c r="F8964" s="138" t="str">
        <f t="shared" si="736"/>
        <v>Upgraded</v>
      </c>
      <c r="G8964" s="153"/>
      <c r="H8964" s="210">
        <v>1.2699999999999999E-2</v>
      </c>
      <c r="I8964" s="160" t="s">
        <v>59</v>
      </c>
      <c r="J8964" s="211">
        <v>7.0179500000000003E-6</v>
      </c>
      <c r="K8964" s="160" t="s">
        <v>26</v>
      </c>
      <c r="L8964" s="154" t="str">
        <f>IF(OpenLCAbasic!K8964="CTUh", "Fill in Manually",IF(OR(K8964="Unit", K8964=""), "", INDEX(LookUps!$E$5:$E$12, MATCH(OpenLCAbasic!K8964,LookUps!$D$5:$D$12,0))))</f>
        <v>Water Use (WU) - m3 H2O</v>
      </c>
      <c r="M8964" s="154" t="str">
        <f t="shared" si="732"/>
        <v>Base_Medium_Low_Upgraded_Water Use (WU) - m3 H2O_Blend Tank; wastewater treatment unit; at updated plant - US_Base_With Amendment_Aerated Static Pile</v>
      </c>
    </row>
    <row r="8965" spans="1:13" s="120" customFormat="1" x14ac:dyDescent="0.25">
      <c r="A8965" s="119"/>
      <c r="B8965" s="138" t="str">
        <f t="shared" si="733"/>
        <v>Aerated Static Pile</v>
      </c>
      <c r="C8965" s="138" t="str">
        <f t="shared" si="734"/>
        <v>Base_With Amendment</v>
      </c>
      <c r="D8965" s="138" t="str">
        <f t="shared" si="737"/>
        <v>Medium_Low</v>
      </c>
      <c r="E8965" s="138" t="str">
        <f t="shared" si="735"/>
        <v>Base</v>
      </c>
      <c r="F8965" s="138" t="str">
        <f t="shared" si="736"/>
        <v>Upgraded</v>
      </c>
      <c r="G8965" s="153"/>
      <c r="H8965" s="210">
        <v>9.1000000000000004E-3</v>
      </c>
      <c r="I8965" s="160" t="s">
        <v>128</v>
      </c>
      <c r="J8965" s="211">
        <v>5.0608900000000003E-6</v>
      </c>
      <c r="K8965" s="160" t="s">
        <v>26</v>
      </c>
      <c r="L8965" s="154" t="str">
        <f>IF(OpenLCAbasic!K8965="CTUh", "Fill in Manually",IF(OR(K8965="Unit", K8965=""), "", INDEX(LookUps!$E$5:$E$12, MATCH(OpenLCAbasic!K8965,LookUps!$D$5:$D$12,0))))</f>
        <v>Water Use (WU) - m3 H2O</v>
      </c>
      <c r="M8965" s="154" t="str">
        <f t="shared" si="732"/>
        <v>Base_Medium_Low_Upgraded_Water Use (WU) - m3 H2O_Wastewater collection; operation and infrastructure; m3 wastewater_Base_With Amendment_Aerated Static Pile</v>
      </c>
    </row>
    <row r="8966" spans="1:13" s="120" customFormat="1" x14ac:dyDescent="0.25">
      <c r="A8966" s="119"/>
      <c r="B8966" s="138" t="str">
        <f t="shared" si="733"/>
        <v>Aerated Static Pile</v>
      </c>
      <c r="C8966" s="138" t="str">
        <f t="shared" si="734"/>
        <v>Base_With Amendment</v>
      </c>
      <c r="D8966" s="138" t="str">
        <f t="shared" si="737"/>
        <v>Medium_Low</v>
      </c>
      <c r="E8966" s="138" t="str">
        <f t="shared" si="735"/>
        <v>Base</v>
      </c>
      <c r="F8966" s="138" t="str">
        <f t="shared" si="736"/>
        <v>Upgraded</v>
      </c>
      <c r="G8966" s="153"/>
      <c r="H8966" s="210">
        <v>1.4E-3</v>
      </c>
      <c r="I8966" s="160" t="s">
        <v>168</v>
      </c>
      <c r="J8966" s="211">
        <v>7.6697000000000004E-7</v>
      </c>
      <c r="K8966" s="160" t="s">
        <v>26</v>
      </c>
      <c r="L8966" s="154" t="str">
        <f>IF(OpenLCAbasic!K8966="CTUh", "Fill in Manually",IF(OR(K8966="Unit", K8966=""), "", INDEX(LookUps!$E$5:$E$12, MATCH(OpenLCAbasic!K8966,LookUps!$D$5:$D$12,0))))</f>
        <v>Water Use (WU) - m3 H2O</v>
      </c>
      <c r="M8966" s="154" t="str">
        <f t="shared" si="732"/>
        <v>Base_Medium_Low_Upgraded_Water Use (WU) - m3 H2O_ClearCove SCP; wastewater treatment unit; at updated plant - US_Base_With Amendment_Aerated Static Pile</v>
      </c>
    </row>
    <row r="8967" spans="1:13" s="120" customFormat="1" x14ac:dyDescent="0.25">
      <c r="A8967" s="119"/>
      <c r="B8967" s="138" t="str">
        <f t="shared" si="733"/>
        <v>Aerated Static Pile</v>
      </c>
      <c r="C8967" s="138" t="str">
        <f t="shared" si="734"/>
        <v>Base_With Amendment</v>
      </c>
      <c r="D8967" s="138" t="str">
        <f t="shared" si="737"/>
        <v>Medium_Low</v>
      </c>
      <c r="E8967" s="138" t="str">
        <f t="shared" si="735"/>
        <v>Base</v>
      </c>
      <c r="F8967" s="138" t="str">
        <f t="shared" si="736"/>
        <v>Upgraded</v>
      </c>
      <c r="G8967" s="153"/>
      <c r="H8967" s="210">
        <v>-3.2010000000000001</v>
      </c>
      <c r="I8967" s="160" t="s">
        <v>62</v>
      </c>
      <c r="J8967" s="160">
        <v>-1.7700000000000001E-3</v>
      </c>
      <c r="K8967" s="160" t="s">
        <v>26</v>
      </c>
      <c r="L8967" s="154" t="str">
        <f>IF(OpenLCAbasic!K8967="CTUh", "Fill in Manually",IF(OR(K8967="Unit", K8967=""), "", INDEX(LookUps!$E$5:$E$12, MATCH(OpenLCAbasic!K8967,LookUps!$D$5:$D$12,0))))</f>
        <v>Water Use (WU) - m3 H2O</v>
      </c>
      <c r="M8967" s="154" t="str">
        <f t="shared" si="732"/>
        <v>Base_Medium_Low_Upgraded_Water Use (WU) - m3 H2O_Land application of compost; wastewater treatment unit; at updated plant - US_Base_With Amendment_Aerated Static Pile</v>
      </c>
    </row>
    <row r="8968" spans="1:13" s="120" customFormat="1" x14ac:dyDescent="0.25">
      <c r="A8968" s="119"/>
      <c r="B8968" s="138" t="str">
        <f t="shared" si="733"/>
        <v/>
      </c>
      <c r="C8968" s="138" t="str">
        <f t="shared" si="734"/>
        <v/>
      </c>
      <c r="D8968" s="138" t="str">
        <f>IF(ISNUMBER($J8968),"Medium_High","")</f>
        <v/>
      </c>
      <c r="E8968" s="138" t="str">
        <f t="shared" si="735"/>
        <v/>
      </c>
      <c r="F8968" s="138" t="str">
        <f t="shared" si="736"/>
        <v/>
      </c>
      <c r="G8968" s="153" t="s">
        <v>51</v>
      </c>
      <c r="H8968" s="160"/>
      <c r="I8968" s="160" t="s">
        <v>47</v>
      </c>
      <c r="J8968" s="160" t="s">
        <v>52</v>
      </c>
      <c r="K8968" s="160" t="s">
        <v>27</v>
      </c>
      <c r="L8968" s="154" t="str">
        <f>IF(OpenLCAbasic!K8968="CTUh", "Fill in Manually",IF(OR(K8968="Unit", K8968=""), "", INDEX(LookUps!$E$5:$E$12, MATCH(OpenLCAbasic!K8968,LookUps!$D$5:$D$12,0))))</f>
        <v/>
      </c>
      <c r="M8968" s="154" t="str">
        <f t="shared" si="732"/>
        <v>____Process__</v>
      </c>
    </row>
    <row r="8969" spans="1:13" s="120" customFormat="1" x14ac:dyDescent="0.25">
      <c r="A8969" s="119"/>
      <c r="B8969" s="138" t="str">
        <f t="shared" si="733"/>
        <v>Aerated Static Pile</v>
      </c>
      <c r="C8969" s="138" t="str">
        <f t="shared" si="734"/>
        <v>Base_With Amendment</v>
      </c>
      <c r="D8969" s="138" t="str">
        <f t="shared" ref="D8969:D9032" si="738">IF(ISNUMBER($J8969),"Medium_High","")</f>
        <v>Medium_High</v>
      </c>
      <c r="E8969" s="138" t="str">
        <f t="shared" si="735"/>
        <v>Base</v>
      </c>
      <c r="F8969" s="138" t="str">
        <f t="shared" si="736"/>
        <v>Upgraded</v>
      </c>
      <c r="G8969" s="153"/>
      <c r="H8969" s="210">
        <v>2.3993000000000002</v>
      </c>
      <c r="I8969" s="160" t="s">
        <v>55</v>
      </c>
      <c r="J8969" s="160">
        <v>1.7219999999999999E-2</v>
      </c>
      <c r="K8969" s="160" t="s">
        <v>24</v>
      </c>
      <c r="L8969" s="154" t="str">
        <f>IF(OpenLCAbasic!K8969="CTUh", "Fill in Manually",IF(OR(K8969="Unit", K8969=""), "", INDEX(LookUps!$E$5:$E$12, MATCH(OpenLCAbasic!K8969,LookUps!$D$5:$D$12,0))))</f>
        <v>Acidification Potential (AP) - kg SO2 eq</v>
      </c>
      <c r="M8969" s="154" t="str">
        <f t="shared" si="732"/>
        <v>Base_Medium_High_Upgraded_Acidification Potential (AP) - kg SO2 eq_Aeration Tanks; wastewater treatment unit; at updated plant - US_Base_With Amendment_Aerated Static Pile</v>
      </c>
    </row>
    <row r="8970" spans="1:13" s="120" customFormat="1" x14ac:dyDescent="0.25">
      <c r="A8970" s="119"/>
      <c r="B8970" s="138" t="str">
        <f t="shared" si="733"/>
        <v>Aerated Static Pile</v>
      </c>
      <c r="C8970" s="138" t="str">
        <f t="shared" si="734"/>
        <v>Base_With Amendment</v>
      </c>
      <c r="D8970" s="138" t="str">
        <f t="shared" si="738"/>
        <v>Medium_High</v>
      </c>
      <c r="E8970" s="138" t="str">
        <f t="shared" si="735"/>
        <v>Base</v>
      </c>
      <c r="F8970" s="138" t="str">
        <f t="shared" si="736"/>
        <v>Upgraded</v>
      </c>
      <c r="G8970" s="153"/>
      <c r="H8970" s="210">
        <v>1.1964999999999999</v>
      </c>
      <c r="I8970" s="160" t="s">
        <v>435</v>
      </c>
      <c r="J8970" s="160">
        <v>8.5900000000000004E-3</v>
      </c>
      <c r="K8970" s="160" t="s">
        <v>24</v>
      </c>
      <c r="L8970" s="154" t="str">
        <f>IF(OpenLCAbasic!K8970="CTUh", "Fill in Manually",IF(OR(K8970="Unit", K8970=""), "", INDEX(LookUps!$E$5:$E$12, MATCH(OpenLCAbasic!K8970,LookUps!$D$5:$D$12,0))))</f>
        <v>Acidification Potential (AP) - kg SO2 eq</v>
      </c>
      <c r="M8970" s="154" t="str">
        <f t="shared" si="732"/>
        <v>Base_Medium_High_Upgraded_Acidification Potential (AP) - kg SO2 eq_Biosolids composting; aerated static pile; wastewater treatment unit; at updated plant - US_Base_With Amendment_Aerated Static Pile</v>
      </c>
    </row>
    <row r="8971" spans="1:13" s="120" customFormat="1" x14ac:dyDescent="0.25">
      <c r="A8971" s="119"/>
      <c r="B8971" s="138" t="str">
        <f t="shared" si="733"/>
        <v>Aerated Static Pile</v>
      </c>
      <c r="C8971" s="138" t="str">
        <f t="shared" si="734"/>
        <v>Base_With Amendment</v>
      </c>
      <c r="D8971" s="138" t="str">
        <f t="shared" si="738"/>
        <v>Medium_High</v>
      </c>
      <c r="E8971" s="138" t="str">
        <f t="shared" si="735"/>
        <v>Base</v>
      </c>
      <c r="F8971" s="138" t="str">
        <f t="shared" si="736"/>
        <v>Upgraded</v>
      </c>
      <c r="G8971" s="153"/>
      <c r="H8971" s="210">
        <v>0.69399999999999995</v>
      </c>
      <c r="I8971" s="160" t="s">
        <v>54</v>
      </c>
      <c r="J8971" s="160">
        <v>4.9800000000000001E-3</v>
      </c>
      <c r="K8971" s="160" t="s">
        <v>24</v>
      </c>
      <c r="L8971" s="154" t="str">
        <f>IF(OpenLCAbasic!K8971="CTUh", "Fill in Manually",IF(OR(K8971="Unit", K8971=""), "", INDEX(LookUps!$E$5:$E$12, MATCH(OpenLCAbasic!K8971,LookUps!$D$5:$D$12,0))))</f>
        <v>Acidification Potential (AP) - kg SO2 eq</v>
      </c>
      <c r="M8971" s="154" t="str">
        <f t="shared" si="732"/>
        <v>Base_Medium_High_Upgraded_Acidification Potential (AP) - kg SO2 eq_Clear Cove Primary Clarification; wastewater treatment unit; at updated plant - US_Base_With Amendment_Aerated Static Pile</v>
      </c>
    </row>
    <row r="8972" spans="1:13" s="120" customFormat="1" x14ac:dyDescent="0.25">
      <c r="A8972" s="119"/>
      <c r="B8972" s="138" t="str">
        <f t="shared" si="733"/>
        <v>Aerated Static Pile</v>
      </c>
      <c r="C8972" s="138" t="str">
        <f t="shared" si="734"/>
        <v>Base_With Amendment</v>
      </c>
      <c r="D8972" s="138" t="str">
        <f t="shared" si="738"/>
        <v>Medium_High</v>
      </c>
      <c r="E8972" s="138" t="str">
        <f t="shared" si="735"/>
        <v>Base</v>
      </c>
      <c r="F8972" s="138" t="str">
        <f t="shared" si="736"/>
        <v>Upgraded</v>
      </c>
      <c r="G8972" s="153"/>
      <c r="H8972" s="210">
        <v>0.60550000000000004</v>
      </c>
      <c r="I8972" s="160" t="s">
        <v>58</v>
      </c>
      <c r="J8972" s="160">
        <v>4.3499999999999997E-3</v>
      </c>
      <c r="K8972" s="160" t="s">
        <v>24</v>
      </c>
      <c r="L8972" s="154" t="str">
        <f>IF(OpenLCAbasic!K8972="CTUh", "Fill in Manually",IF(OR(K8972="Unit", K8972=""), "", INDEX(LookUps!$E$5:$E$12, MATCH(OpenLCAbasic!K8972,LookUps!$D$5:$D$12,0))))</f>
        <v>Acidification Potential (AP) - kg SO2 eq</v>
      </c>
      <c r="M8972" s="154" t="str">
        <f t="shared" si="732"/>
        <v>Base_Medium_High_Upgraded_Acidification Potential (AP) - kg SO2 eq_Pre-Anoxic &amp; Swing tank; wastewater treatment unit; at updated plant - US_Base_With Amendment_Aerated Static Pile</v>
      </c>
    </row>
    <row r="8973" spans="1:13" s="120" customFormat="1" x14ac:dyDescent="0.25">
      <c r="A8973" s="119"/>
      <c r="B8973" s="138" t="str">
        <f t="shared" si="733"/>
        <v>Aerated Static Pile</v>
      </c>
      <c r="C8973" s="138" t="str">
        <f t="shared" si="734"/>
        <v>Base_With Amendment</v>
      </c>
      <c r="D8973" s="138" t="str">
        <f t="shared" si="738"/>
        <v>Medium_High</v>
      </c>
      <c r="E8973" s="138" t="str">
        <f t="shared" si="735"/>
        <v>Base</v>
      </c>
      <c r="F8973" s="138" t="str">
        <f t="shared" si="736"/>
        <v>Upgraded</v>
      </c>
      <c r="G8973" s="153"/>
      <c r="H8973" s="210">
        <v>0.49220000000000003</v>
      </c>
      <c r="I8973" s="160" t="s">
        <v>62</v>
      </c>
      <c r="J8973" s="160">
        <v>3.5300000000000002E-3</v>
      </c>
      <c r="K8973" s="160" t="s">
        <v>24</v>
      </c>
      <c r="L8973" s="154" t="str">
        <f>IF(OpenLCAbasic!K8973="CTUh", "Fill in Manually",IF(OR(K8973="Unit", K8973=""), "", INDEX(LookUps!$E$5:$E$12, MATCH(OpenLCAbasic!K8973,LookUps!$D$5:$D$12,0))))</f>
        <v>Acidification Potential (AP) - kg SO2 eq</v>
      </c>
      <c r="M8973" s="154" t="str">
        <f t="shared" si="732"/>
        <v>Base_Medium_High_Upgraded_Acidification Potential (AP) - kg SO2 eq_Land application of compost; wastewater treatment unit; at updated plant - US_Base_With Amendment_Aerated Static Pile</v>
      </c>
    </row>
    <row r="8974" spans="1:13" s="120" customFormat="1" x14ac:dyDescent="0.25">
      <c r="A8974" s="119"/>
      <c r="B8974" s="138" t="str">
        <f t="shared" si="733"/>
        <v>Aerated Static Pile</v>
      </c>
      <c r="C8974" s="138" t="str">
        <f t="shared" si="734"/>
        <v>Base_With Amendment</v>
      </c>
      <c r="D8974" s="138" t="str">
        <f t="shared" si="738"/>
        <v>Medium_High</v>
      </c>
      <c r="E8974" s="138" t="str">
        <f t="shared" si="735"/>
        <v>Base</v>
      </c>
      <c r="F8974" s="138" t="str">
        <f t="shared" si="736"/>
        <v>Upgraded</v>
      </c>
      <c r="G8974" s="153"/>
      <c r="H8974" s="210">
        <v>0.48080000000000001</v>
      </c>
      <c r="I8974" s="160" t="s">
        <v>53</v>
      </c>
      <c r="J8974" s="160">
        <v>3.4499999999999999E-3</v>
      </c>
      <c r="K8974" s="160" t="s">
        <v>24</v>
      </c>
      <c r="L8974" s="154" t="str">
        <f>IF(OpenLCAbasic!K8974="CTUh", "Fill in Manually",IF(OR(K8974="Unit", K8974=""), "", INDEX(LookUps!$E$5:$E$12, MATCH(OpenLCAbasic!K8974,LookUps!$D$5:$D$12,0))))</f>
        <v>Acidification Potential (AP) - kg SO2 eq</v>
      </c>
      <c r="M8974" s="154" t="str">
        <f t="shared" si="732"/>
        <v>Base_Medium_High_Upgraded_Acidification Potential (AP) - kg SO2 eq_Wet Well and Sump Station; wastewater treatment unit; at updated plant - US_Base_With Amendment_Aerated Static Pile</v>
      </c>
    </row>
    <row r="8975" spans="1:13" s="120" customFormat="1" x14ac:dyDescent="0.25">
      <c r="A8975" s="119"/>
      <c r="B8975" s="138" t="str">
        <f t="shared" si="733"/>
        <v>Aerated Static Pile</v>
      </c>
      <c r="C8975" s="138" t="str">
        <f t="shared" si="734"/>
        <v>Base_With Amendment</v>
      </c>
      <c r="D8975" s="138" t="str">
        <f t="shared" si="738"/>
        <v>Medium_High</v>
      </c>
      <c r="E8975" s="138" t="str">
        <f t="shared" si="735"/>
        <v>Base</v>
      </c>
      <c r="F8975" s="138" t="str">
        <f t="shared" si="736"/>
        <v>Upgraded</v>
      </c>
      <c r="G8975" s="153"/>
      <c r="H8975" s="210">
        <v>0.35270000000000001</v>
      </c>
      <c r="I8975" s="160" t="s">
        <v>167</v>
      </c>
      <c r="J8975" s="160">
        <v>2.5300000000000001E-3</v>
      </c>
      <c r="K8975" s="160" t="s">
        <v>24</v>
      </c>
      <c r="L8975" s="154" t="str">
        <f>IF(OpenLCAbasic!K8975="CTUh", "Fill in Manually",IF(OR(K8975="Unit", K8975=""), "", INDEX(LookUps!$E$5:$E$12, MATCH(OpenLCAbasic!K8975,LookUps!$D$5:$D$12,0))))</f>
        <v>Acidification Potential (AP) - kg SO2 eq</v>
      </c>
      <c r="M8975" s="154" t="str">
        <f t="shared" si="732"/>
        <v>Base_Medium_High_Upgraded_Acidification Potential (AP) - kg SO2 eq_Waste Receiving and Holding; wastewater treatment unit; at updated plant - US_Base_With Amendment_Aerated Static Pile</v>
      </c>
    </row>
    <row r="8976" spans="1:13" s="120" customFormat="1" x14ac:dyDescent="0.25">
      <c r="A8976" s="119"/>
      <c r="B8976" s="138" t="str">
        <f t="shared" si="733"/>
        <v>Aerated Static Pile</v>
      </c>
      <c r="C8976" s="138" t="str">
        <f t="shared" si="734"/>
        <v>Base_With Amendment</v>
      </c>
      <c r="D8976" s="138" t="str">
        <f t="shared" si="738"/>
        <v>Medium_High</v>
      </c>
      <c r="E8976" s="138" t="str">
        <f t="shared" si="735"/>
        <v>Base</v>
      </c>
      <c r="F8976" s="138" t="str">
        <f t="shared" si="736"/>
        <v>Upgraded</v>
      </c>
      <c r="G8976" s="153"/>
      <c r="H8976" s="210">
        <v>0.28820000000000001</v>
      </c>
      <c r="I8976" s="160" t="s">
        <v>147</v>
      </c>
      <c r="J8976" s="160">
        <v>2.0699999999999998E-3</v>
      </c>
      <c r="K8976" s="160" t="s">
        <v>24</v>
      </c>
      <c r="L8976" s="154" t="str">
        <f>IF(OpenLCAbasic!K8976="CTUh", "Fill in Manually",IF(OR(K8976="Unit", K8976=""), "", INDEX(LookUps!$E$5:$E$12, MATCH(OpenLCAbasic!K8976,LookUps!$D$5:$D$12,0))))</f>
        <v>Acidification Potential (AP) - kg SO2 eq</v>
      </c>
      <c r="M8976" s="154" t="str">
        <f t="shared" si="732"/>
        <v>Base_Medium_High_Upgraded_Acidification Potential (AP) - kg SO2 eq_Influent Pump Station; wastewater treatment unit; at updated plant - US_Base_With Amendment_Aerated Static Pile</v>
      </c>
    </row>
    <row r="8977" spans="1:13" s="120" customFormat="1" x14ac:dyDescent="0.25">
      <c r="A8977" s="119"/>
      <c r="B8977" s="138" t="str">
        <f t="shared" si="733"/>
        <v>Aerated Static Pile</v>
      </c>
      <c r="C8977" s="138" t="str">
        <f t="shared" si="734"/>
        <v>Base_With Amendment</v>
      </c>
      <c r="D8977" s="138" t="str">
        <f t="shared" si="738"/>
        <v>Medium_High</v>
      </c>
      <c r="E8977" s="138" t="str">
        <f t="shared" si="735"/>
        <v>Base</v>
      </c>
      <c r="F8977" s="138" t="str">
        <f t="shared" si="736"/>
        <v>Upgraded</v>
      </c>
      <c r="G8977" s="153"/>
      <c r="H8977" s="210">
        <v>0.17180000000000001</v>
      </c>
      <c r="I8977" s="160" t="s">
        <v>128</v>
      </c>
      <c r="J8977" s="160">
        <v>1.23E-3</v>
      </c>
      <c r="K8977" s="160" t="s">
        <v>24</v>
      </c>
      <c r="L8977" s="154" t="str">
        <f>IF(OpenLCAbasic!K8977="CTUh", "Fill in Manually",IF(OR(K8977="Unit", K8977=""), "", INDEX(LookUps!$E$5:$E$12, MATCH(OpenLCAbasic!K8977,LookUps!$D$5:$D$12,0))))</f>
        <v>Acidification Potential (AP) - kg SO2 eq</v>
      </c>
      <c r="M8977" s="154" t="str">
        <f t="shared" si="732"/>
        <v>Base_Medium_High_Upgraded_Acidification Potential (AP) - kg SO2 eq_Wastewater collection; operation and infrastructure; m3 wastewater_Base_With Amendment_Aerated Static Pile</v>
      </c>
    </row>
    <row r="8978" spans="1:13" s="120" customFormat="1" x14ac:dyDescent="0.25">
      <c r="A8978" s="119"/>
      <c r="B8978" s="138" t="str">
        <f t="shared" si="733"/>
        <v>Aerated Static Pile</v>
      </c>
      <c r="C8978" s="138" t="str">
        <f t="shared" si="734"/>
        <v>Base_With Amendment</v>
      </c>
      <c r="D8978" s="138" t="str">
        <f t="shared" si="738"/>
        <v>Medium_High</v>
      </c>
      <c r="E8978" s="138" t="str">
        <f t="shared" si="735"/>
        <v>Base</v>
      </c>
      <c r="F8978" s="138" t="str">
        <f t="shared" si="736"/>
        <v>Upgraded</v>
      </c>
      <c r="G8978" s="153"/>
      <c r="H8978" s="210">
        <v>0.1421</v>
      </c>
      <c r="I8978" s="160" t="s">
        <v>60</v>
      </c>
      <c r="J8978" s="160">
        <v>1.0200000000000001E-3</v>
      </c>
      <c r="K8978" s="160" t="s">
        <v>24</v>
      </c>
      <c r="L8978" s="154" t="str">
        <f>IF(OpenLCAbasic!K8978="CTUh", "Fill in Manually",IF(OR(K8978="Unit", K8978=""), "", INDEX(LookUps!$E$5:$E$12, MATCH(OpenLCAbasic!K8978,LookUps!$D$5:$D$12,0))))</f>
        <v>Acidification Potential (AP) - kg SO2 eq</v>
      </c>
      <c r="M8978" s="154" t="str">
        <f t="shared" si="732"/>
        <v>Base_Medium_High_Upgraded_Acidification Potential (AP) - kg SO2 eq_Belt filter press; wastewater treatment unit; at updated plant - US_Base_With Amendment_Aerated Static Pile</v>
      </c>
    </row>
    <row r="8979" spans="1:13" s="120" customFormat="1" x14ac:dyDescent="0.25">
      <c r="A8979" s="119"/>
      <c r="B8979" s="138" t="str">
        <f t="shared" si="733"/>
        <v>Aerated Static Pile</v>
      </c>
      <c r="C8979" s="138" t="str">
        <f t="shared" si="734"/>
        <v>Base_With Amendment</v>
      </c>
      <c r="D8979" s="138" t="str">
        <f t="shared" si="738"/>
        <v>Medium_High</v>
      </c>
      <c r="E8979" s="138" t="str">
        <f t="shared" si="735"/>
        <v>Base</v>
      </c>
      <c r="F8979" s="138" t="str">
        <f t="shared" si="736"/>
        <v>Upgraded</v>
      </c>
      <c r="G8979" s="153"/>
      <c r="H8979" s="210">
        <v>9.8100000000000007E-2</v>
      </c>
      <c r="I8979" s="160" t="s">
        <v>57</v>
      </c>
      <c r="J8979" s="160">
        <v>6.9999999999999999E-4</v>
      </c>
      <c r="K8979" s="160" t="s">
        <v>24</v>
      </c>
      <c r="L8979" s="154" t="str">
        <f>IF(OpenLCAbasic!K8979="CTUh", "Fill in Manually",IF(OR(K8979="Unit", K8979=""), "", INDEX(LookUps!$E$5:$E$12, MATCH(OpenLCAbasic!K8979,LookUps!$D$5:$D$12,0))))</f>
        <v>Acidification Potential (AP) - kg SO2 eq</v>
      </c>
      <c r="M8979" s="154" t="str">
        <f t="shared" si="732"/>
        <v>Base_Medium_High_Upgraded_Acidification Potential (AP) - kg SO2 eq_Gravity Belt Thickener; wastewater treatment unit; at updated plant - US_Base_With Amendment_Aerated Static Pile</v>
      </c>
    </row>
    <row r="8980" spans="1:13" s="120" customFormat="1" x14ac:dyDescent="0.25">
      <c r="A8980" s="119"/>
      <c r="B8980" s="138" t="str">
        <f t="shared" si="733"/>
        <v>Aerated Static Pile</v>
      </c>
      <c r="C8980" s="138" t="str">
        <f t="shared" si="734"/>
        <v>Base_With Amendment</v>
      </c>
      <c r="D8980" s="138" t="str">
        <f t="shared" si="738"/>
        <v>Medium_High</v>
      </c>
      <c r="E8980" s="138" t="str">
        <f t="shared" si="735"/>
        <v>Base</v>
      </c>
      <c r="F8980" s="138" t="str">
        <f t="shared" si="736"/>
        <v>Upgraded</v>
      </c>
      <c r="G8980" s="153"/>
      <c r="H8980" s="210">
        <v>7.1900000000000006E-2</v>
      </c>
      <c r="I8980" s="160" t="s">
        <v>59</v>
      </c>
      <c r="J8980" s="160">
        <v>5.1999999999999995E-4</v>
      </c>
      <c r="K8980" s="160" t="s">
        <v>24</v>
      </c>
      <c r="L8980" s="154" t="str">
        <f>IF(OpenLCAbasic!K8980="CTUh", "Fill in Manually",IF(OR(K8980="Unit", K8980=""), "", INDEX(LookUps!$E$5:$E$12, MATCH(OpenLCAbasic!K8980,LookUps!$D$5:$D$12,0))))</f>
        <v>Acidification Potential (AP) - kg SO2 eq</v>
      </c>
      <c r="M8980" s="154" t="str">
        <f t="shared" si="732"/>
        <v>Base_Medium_High_Upgraded_Acidification Potential (AP) - kg SO2 eq_Blend Tank; wastewater treatment unit; at updated plant - US_Base_With Amendment_Aerated Static Pile</v>
      </c>
    </row>
    <row r="8981" spans="1:13" s="120" customFormat="1" x14ac:dyDescent="0.25">
      <c r="A8981" s="119"/>
      <c r="B8981" s="138" t="str">
        <f t="shared" si="733"/>
        <v>Aerated Static Pile</v>
      </c>
      <c r="C8981" s="138" t="str">
        <f t="shared" si="734"/>
        <v>Base_With Amendment</v>
      </c>
      <c r="D8981" s="138" t="str">
        <f t="shared" si="738"/>
        <v>Medium_High</v>
      </c>
      <c r="E8981" s="138" t="str">
        <f t="shared" si="735"/>
        <v>Base</v>
      </c>
      <c r="F8981" s="138" t="str">
        <f t="shared" si="736"/>
        <v>Upgraded</v>
      </c>
      <c r="G8981" s="153"/>
      <c r="H8981" s="210">
        <v>4.8300000000000003E-2</v>
      </c>
      <c r="I8981" s="160" t="s">
        <v>48</v>
      </c>
      <c r="J8981" s="160">
        <v>3.5E-4</v>
      </c>
      <c r="K8981" s="160" t="s">
        <v>24</v>
      </c>
      <c r="L8981" s="154" t="str">
        <f>IF(OpenLCAbasic!K8981="CTUh", "Fill in Manually",IF(OR(K8981="Unit", K8981=""), "", INDEX(LookUps!$E$5:$E$12, MATCH(OpenLCAbasic!K8981,LookUps!$D$5:$D$12,0))))</f>
        <v>Acidification Potential (AP) - kg SO2 eq</v>
      </c>
      <c r="M8981" s="154" t="str">
        <f t="shared" si="732"/>
        <v>Base_Medium_High_Upgraded_Acidification Potential (AP) - kg SO2 eq_Effluent release; wastewater treatment unit; at surface water; m3 wastewater - US_Base_With Amendment_Aerated Static Pile</v>
      </c>
    </row>
    <row r="8982" spans="1:13" s="120" customFormat="1" x14ac:dyDescent="0.25">
      <c r="A8982" s="119"/>
      <c r="B8982" s="138" t="str">
        <f t="shared" si="733"/>
        <v>Aerated Static Pile</v>
      </c>
      <c r="C8982" s="138" t="str">
        <f t="shared" si="734"/>
        <v>Base_With Amendment</v>
      </c>
      <c r="D8982" s="138" t="str">
        <f t="shared" si="738"/>
        <v>Medium_High</v>
      </c>
      <c r="E8982" s="138" t="str">
        <f t="shared" si="735"/>
        <v>Base</v>
      </c>
      <c r="F8982" s="138" t="str">
        <f t="shared" si="736"/>
        <v>Upgraded</v>
      </c>
      <c r="G8982" s="153"/>
      <c r="H8982" s="210">
        <v>3.56E-2</v>
      </c>
      <c r="I8982" s="160" t="s">
        <v>168</v>
      </c>
      <c r="J8982" s="160">
        <v>2.5999999999999998E-4</v>
      </c>
      <c r="K8982" s="160" t="s">
        <v>24</v>
      </c>
      <c r="L8982" s="154" t="str">
        <f>IF(OpenLCAbasic!K8982="CTUh", "Fill in Manually",IF(OR(K8982="Unit", K8982=""), "", INDEX(LookUps!$E$5:$E$12, MATCH(OpenLCAbasic!K8982,LookUps!$D$5:$D$12,0))))</f>
        <v>Acidification Potential (AP) - kg SO2 eq</v>
      </c>
      <c r="M8982" s="154" t="str">
        <f t="shared" si="732"/>
        <v>Base_Medium_High_Upgraded_Acidification Potential (AP) - kg SO2 eq_ClearCove SCP; wastewater treatment unit; at updated plant - US_Base_With Amendment_Aerated Static Pile</v>
      </c>
    </row>
    <row r="8983" spans="1:13" s="120" customFormat="1" x14ac:dyDescent="0.25">
      <c r="A8983" s="119"/>
      <c r="B8983" s="138" t="str">
        <f t="shared" si="733"/>
        <v>Aerated Static Pile</v>
      </c>
      <c r="C8983" s="138" t="str">
        <f t="shared" si="734"/>
        <v>Base_With Amendment</v>
      </c>
      <c r="D8983" s="138" t="str">
        <f t="shared" si="738"/>
        <v>Medium_High</v>
      </c>
      <c r="E8983" s="138" t="str">
        <f t="shared" si="735"/>
        <v>Base</v>
      </c>
      <c r="F8983" s="138" t="str">
        <f t="shared" si="736"/>
        <v>Upgraded</v>
      </c>
      <c r="G8983" s="153"/>
      <c r="H8983" s="210">
        <v>5.5999999999999999E-3</v>
      </c>
      <c r="I8983" s="160" t="s">
        <v>148</v>
      </c>
      <c r="J8983" s="211">
        <v>4.0354700000000002E-5</v>
      </c>
      <c r="K8983" s="160" t="s">
        <v>24</v>
      </c>
      <c r="L8983" s="154" t="str">
        <f>IF(OpenLCAbasic!K8983="CTUh", "Fill in Manually",IF(OR(K8983="Unit", K8983=""), "", INDEX(LookUps!$E$5:$E$12, MATCH(OpenLCAbasic!K8983,LookUps!$D$5:$D$12,0))))</f>
        <v>Acidification Potential (AP) - kg SO2 eq</v>
      </c>
      <c r="M8983" s="154" t="str">
        <f t="shared" si="732"/>
        <v>Base_Medium_High_Upgraded_Acidification Potential (AP) - kg SO2 eq_Control Building; at upgraded wastewater treatment plant - US_Base_With Amendment_Aerated Static Pile</v>
      </c>
    </row>
    <row r="8984" spans="1:13" s="120" customFormat="1" x14ac:dyDescent="0.25">
      <c r="A8984" s="119"/>
      <c r="B8984" s="138" t="str">
        <f t="shared" si="733"/>
        <v>Aerated Static Pile</v>
      </c>
      <c r="C8984" s="138" t="str">
        <f t="shared" si="734"/>
        <v>Base_With Amendment</v>
      </c>
      <c r="D8984" s="138" t="str">
        <f t="shared" si="738"/>
        <v>Medium_High</v>
      </c>
      <c r="E8984" s="138" t="str">
        <f t="shared" si="735"/>
        <v>Base</v>
      </c>
      <c r="F8984" s="138" t="str">
        <f t="shared" si="736"/>
        <v>Upgraded</v>
      </c>
      <c r="G8984" s="153"/>
      <c r="H8984" s="210">
        <v>-8.0827000000000009</v>
      </c>
      <c r="I8984" s="160" t="s">
        <v>149</v>
      </c>
      <c r="J8984" s="160">
        <v>-5.8009999999999999E-2</v>
      </c>
      <c r="K8984" s="160" t="s">
        <v>24</v>
      </c>
      <c r="L8984" s="154" t="str">
        <f>IF(OpenLCAbasic!K8984="CTUh", "Fill in Manually",IF(OR(K8984="Unit", K8984=""), "", INDEX(LookUps!$E$5:$E$12, MATCH(OpenLCAbasic!K8984,LookUps!$D$5:$D$12,0))))</f>
        <v>Acidification Potential (AP) - kg SO2 eq</v>
      </c>
      <c r="M8984" s="154" t="str">
        <f t="shared" si="732"/>
        <v>Base_Medium_High_Upgraded_Acidification Potential (AP) - kg SO2 eq_Anaerobic Digestion; wastewater treatment unit; at updated plant - US_Base_With Amendment_Aerated Static Pile</v>
      </c>
    </row>
    <row r="8985" spans="1:13" s="120" customFormat="1" x14ac:dyDescent="0.25">
      <c r="A8985" s="119"/>
      <c r="B8985" s="138" t="str">
        <f t="shared" si="733"/>
        <v/>
      </c>
      <c r="C8985" s="138" t="str">
        <f t="shared" si="734"/>
        <v/>
      </c>
      <c r="D8985" s="138" t="str">
        <f t="shared" si="738"/>
        <v/>
      </c>
      <c r="E8985" s="138" t="str">
        <f t="shared" si="735"/>
        <v/>
      </c>
      <c r="F8985" s="138" t="str">
        <f t="shared" si="736"/>
        <v/>
      </c>
      <c r="G8985" s="153" t="s">
        <v>51</v>
      </c>
      <c r="H8985" s="160"/>
      <c r="I8985" s="160" t="s">
        <v>47</v>
      </c>
      <c r="J8985" s="160" t="s">
        <v>52</v>
      </c>
      <c r="K8985" s="160" t="s">
        <v>27</v>
      </c>
      <c r="L8985" s="154" t="str">
        <f>IF(OpenLCAbasic!K8985="CTUh", "Fill in Manually",IF(OR(K8985="Unit", K8985=""), "", INDEX(LookUps!$E$5:$E$12, MATCH(OpenLCAbasic!K8985,LookUps!$D$5:$D$12,0))))</f>
        <v/>
      </c>
      <c r="M8985" s="154" t="str">
        <f t="shared" si="732"/>
        <v>____Process__</v>
      </c>
    </row>
    <row r="8986" spans="1:13" s="120" customFormat="1" x14ac:dyDescent="0.25">
      <c r="A8986" s="119"/>
      <c r="B8986" s="138" t="str">
        <f t="shared" si="733"/>
        <v>Aerated Static Pile</v>
      </c>
      <c r="C8986" s="138" t="str">
        <f t="shared" si="734"/>
        <v>Base_With Amendment</v>
      </c>
      <c r="D8986" s="138" t="str">
        <f t="shared" si="738"/>
        <v>Medium_High</v>
      </c>
      <c r="E8986" s="138" t="str">
        <f t="shared" si="735"/>
        <v>Base</v>
      </c>
      <c r="F8986" s="138" t="str">
        <f t="shared" si="736"/>
        <v>Upgraded</v>
      </c>
      <c r="G8986" s="153"/>
      <c r="H8986" s="210">
        <v>2.7616000000000001</v>
      </c>
      <c r="I8986" s="160" t="s">
        <v>167</v>
      </c>
      <c r="J8986" s="160">
        <v>4.2789599999999997</v>
      </c>
      <c r="K8986" s="160" t="s">
        <v>15</v>
      </c>
      <c r="L8986" s="154" t="str">
        <f>IF(OpenLCAbasic!K8986="CTUh", "Fill in Manually",IF(OR(K8986="Unit", K8986=""), "", INDEX(LookUps!$E$5:$E$12, MATCH(OpenLCAbasic!K8986,LookUps!$D$5:$D$12,0))))</f>
        <v>Cumulative Energy Demand (CED) - MJ</v>
      </c>
      <c r="M8986" s="154" t="str">
        <f t="shared" si="732"/>
        <v>Base_Medium_High_Upgraded_Cumulative Energy Demand (CED) - MJ_Waste Receiving and Holding; wastewater treatment unit; at updated plant - US_Base_With Amendment_Aerated Static Pile</v>
      </c>
    </row>
    <row r="8987" spans="1:13" s="120" customFormat="1" x14ac:dyDescent="0.25">
      <c r="A8987" s="119"/>
      <c r="B8987" s="138" t="str">
        <f t="shared" si="733"/>
        <v>Aerated Static Pile</v>
      </c>
      <c r="C8987" s="138" t="str">
        <f t="shared" si="734"/>
        <v>Base_With Amendment</v>
      </c>
      <c r="D8987" s="138" t="str">
        <f t="shared" si="738"/>
        <v>Medium_High</v>
      </c>
      <c r="E8987" s="138" t="str">
        <f t="shared" si="735"/>
        <v>Base</v>
      </c>
      <c r="F8987" s="138" t="str">
        <f t="shared" si="736"/>
        <v>Upgraded</v>
      </c>
      <c r="G8987" s="153"/>
      <c r="H8987" s="210">
        <v>2.2801999999999998</v>
      </c>
      <c r="I8987" s="160" t="s">
        <v>55</v>
      </c>
      <c r="J8987" s="160">
        <v>3.5330499999999998</v>
      </c>
      <c r="K8987" s="160" t="s">
        <v>15</v>
      </c>
      <c r="L8987" s="154" t="str">
        <f>IF(OpenLCAbasic!K8987="CTUh", "Fill in Manually",IF(OR(K8987="Unit", K8987=""), "", INDEX(LookUps!$E$5:$E$12, MATCH(OpenLCAbasic!K8987,LookUps!$D$5:$D$12,0))))</f>
        <v>Cumulative Energy Demand (CED) - MJ</v>
      </c>
      <c r="M8987" s="154" t="str">
        <f t="shared" si="732"/>
        <v>Base_Medium_High_Upgraded_Cumulative Energy Demand (CED) - MJ_Aeration Tanks; wastewater treatment unit; at updated plant - US_Base_With Amendment_Aerated Static Pile</v>
      </c>
    </row>
    <row r="8988" spans="1:13" s="120" customFormat="1" x14ac:dyDescent="0.25">
      <c r="A8988" s="119"/>
      <c r="B8988" s="138" t="str">
        <f t="shared" si="733"/>
        <v>Aerated Static Pile</v>
      </c>
      <c r="C8988" s="138" t="str">
        <f t="shared" si="734"/>
        <v>Base_With Amendment</v>
      </c>
      <c r="D8988" s="138" t="str">
        <f t="shared" si="738"/>
        <v>Medium_High</v>
      </c>
      <c r="E8988" s="138" t="str">
        <f t="shared" si="735"/>
        <v>Base</v>
      </c>
      <c r="F8988" s="138" t="str">
        <f t="shared" si="736"/>
        <v>Upgraded</v>
      </c>
      <c r="G8988" s="153"/>
      <c r="H8988" s="210">
        <v>1.0721000000000001</v>
      </c>
      <c r="I8988" s="160" t="s">
        <v>435</v>
      </c>
      <c r="J8988" s="160">
        <v>1.66113</v>
      </c>
      <c r="K8988" s="160" t="s">
        <v>15</v>
      </c>
      <c r="L8988" s="154" t="str">
        <f>IF(OpenLCAbasic!K8988="CTUh", "Fill in Manually",IF(OR(K8988="Unit", K8988=""), "", INDEX(LookUps!$E$5:$E$12, MATCH(OpenLCAbasic!K8988,LookUps!$D$5:$D$12,0))))</f>
        <v>Cumulative Energy Demand (CED) - MJ</v>
      </c>
      <c r="M8988" s="154" t="str">
        <f t="shared" si="732"/>
        <v>Base_Medium_High_Upgraded_Cumulative Energy Demand (CED) - MJ_Biosolids composting; aerated static pile; wastewater treatment unit; at updated plant - US_Base_With Amendment_Aerated Static Pile</v>
      </c>
    </row>
    <row r="8989" spans="1:13" s="120" customFormat="1" x14ac:dyDescent="0.25">
      <c r="A8989" s="119"/>
      <c r="B8989" s="138" t="str">
        <f t="shared" si="733"/>
        <v>Aerated Static Pile</v>
      </c>
      <c r="C8989" s="138" t="str">
        <f t="shared" si="734"/>
        <v>Base_With Amendment</v>
      </c>
      <c r="D8989" s="138" t="str">
        <f t="shared" si="738"/>
        <v>Medium_High</v>
      </c>
      <c r="E8989" s="138" t="str">
        <f t="shared" si="735"/>
        <v>Base</v>
      </c>
      <c r="F8989" s="138" t="str">
        <f t="shared" si="736"/>
        <v>Upgraded</v>
      </c>
      <c r="G8989" s="153"/>
      <c r="H8989" s="210">
        <v>0.75049999999999994</v>
      </c>
      <c r="I8989" s="160" t="s">
        <v>54</v>
      </c>
      <c r="J8989" s="160">
        <v>1.16289</v>
      </c>
      <c r="K8989" s="160" t="s">
        <v>15</v>
      </c>
      <c r="L8989" s="154" t="str">
        <f>IF(OpenLCAbasic!K8989="CTUh", "Fill in Manually",IF(OR(K8989="Unit", K8989=""), "", INDEX(LookUps!$E$5:$E$12, MATCH(OpenLCAbasic!K8989,LookUps!$D$5:$D$12,0))))</f>
        <v>Cumulative Energy Demand (CED) - MJ</v>
      </c>
      <c r="M8989" s="154" t="str">
        <f t="shared" si="732"/>
        <v>Base_Medium_High_Upgraded_Cumulative Energy Demand (CED) - MJ_Clear Cove Primary Clarification; wastewater treatment unit; at updated plant - US_Base_With Amendment_Aerated Static Pile</v>
      </c>
    </row>
    <row r="8990" spans="1:13" s="120" customFormat="1" x14ac:dyDescent="0.25">
      <c r="A8990" s="119"/>
      <c r="B8990" s="138" t="str">
        <f t="shared" si="733"/>
        <v>Aerated Static Pile</v>
      </c>
      <c r="C8990" s="138" t="str">
        <f t="shared" si="734"/>
        <v>Base_With Amendment</v>
      </c>
      <c r="D8990" s="138" t="str">
        <f t="shared" si="738"/>
        <v>Medium_High</v>
      </c>
      <c r="E8990" s="138" t="str">
        <f t="shared" si="735"/>
        <v>Base</v>
      </c>
      <c r="F8990" s="138" t="str">
        <f t="shared" si="736"/>
        <v>Upgraded</v>
      </c>
      <c r="G8990" s="153"/>
      <c r="H8990" s="210">
        <v>0.57250000000000001</v>
      </c>
      <c r="I8990" s="160" t="s">
        <v>58</v>
      </c>
      <c r="J8990" s="160">
        <v>0.88705000000000001</v>
      </c>
      <c r="K8990" s="160" t="s">
        <v>15</v>
      </c>
      <c r="L8990" s="154" t="str">
        <f>IF(OpenLCAbasic!K8990="CTUh", "Fill in Manually",IF(OR(K8990="Unit", K8990=""), "", INDEX(LookUps!$E$5:$E$12, MATCH(OpenLCAbasic!K8990,LookUps!$D$5:$D$12,0))))</f>
        <v>Cumulative Energy Demand (CED) - MJ</v>
      </c>
      <c r="M8990" s="154" t="str">
        <f t="shared" si="732"/>
        <v>Base_Medium_High_Upgraded_Cumulative Energy Demand (CED) - MJ_Pre-Anoxic &amp; Swing tank; wastewater treatment unit; at updated plant - US_Base_With Amendment_Aerated Static Pile</v>
      </c>
    </row>
    <row r="8991" spans="1:13" s="120" customFormat="1" x14ac:dyDescent="0.25">
      <c r="A8991" s="119"/>
      <c r="B8991" s="138" t="str">
        <f t="shared" si="733"/>
        <v>Aerated Static Pile</v>
      </c>
      <c r="C8991" s="138" t="str">
        <f t="shared" si="734"/>
        <v>Base_With Amendment</v>
      </c>
      <c r="D8991" s="138" t="str">
        <f t="shared" si="738"/>
        <v>Medium_High</v>
      </c>
      <c r="E8991" s="138" t="str">
        <f t="shared" si="735"/>
        <v>Base</v>
      </c>
      <c r="F8991" s="138" t="str">
        <f t="shared" si="736"/>
        <v>Upgraded</v>
      </c>
      <c r="G8991" s="153"/>
      <c r="H8991" s="210">
        <v>0.56989999999999996</v>
      </c>
      <c r="I8991" s="160" t="s">
        <v>147</v>
      </c>
      <c r="J8991" s="160">
        <v>0.88297000000000003</v>
      </c>
      <c r="K8991" s="160" t="s">
        <v>15</v>
      </c>
      <c r="L8991" s="154" t="str">
        <f>IF(OpenLCAbasic!K8991="CTUh", "Fill in Manually",IF(OR(K8991="Unit", K8991=""), "", INDEX(LookUps!$E$5:$E$12, MATCH(OpenLCAbasic!K8991,LookUps!$D$5:$D$12,0))))</f>
        <v>Cumulative Energy Demand (CED) - MJ</v>
      </c>
      <c r="M8991" s="154" t="str">
        <f t="shared" si="732"/>
        <v>Base_Medium_High_Upgraded_Cumulative Energy Demand (CED) - MJ_Influent Pump Station; wastewater treatment unit; at updated plant - US_Base_With Amendment_Aerated Static Pile</v>
      </c>
    </row>
    <row r="8992" spans="1:13" s="120" customFormat="1" x14ac:dyDescent="0.25">
      <c r="A8992" s="119"/>
      <c r="B8992" s="138" t="str">
        <f t="shared" si="733"/>
        <v>Aerated Static Pile</v>
      </c>
      <c r="C8992" s="138" t="str">
        <f t="shared" si="734"/>
        <v>Base_With Amendment</v>
      </c>
      <c r="D8992" s="138" t="str">
        <f t="shared" si="738"/>
        <v>Medium_High</v>
      </c>
      <c r="E8992" s="138" t="str">
        <f t="shared" si="735"/>
        <v>Base</v>
      </c>
      <c r="F8992" s="138" t="str">
        <f t="shared" si="736"/>
        <v>Upgraded</v>
      </c>
      <c r="G8992" s="153"/>
      <c r="H8992" s="210">
        <v>0.44950000000000001</v>
      </c>
      <c r="I8992" s="160" t="s">
        <v>53</v>
      </c>
      <c r="J8992" s="160">
        <v>0.69645000000000001</v>
      </c>
      <c r="K8992" s="160" t="s">
        <v>15</v>
      </c>
      <c r="L8992" s="154" t="str">
        <f>IF(OpenLCAbasic!K8992="CTUh", "Fill in Manually",IF(OR(K8992="Unit", K8992=""), "", INDEX(LookUps!$E$5:$E$12, MATCH(OpenLCAbasic!K8992,LookUps!$D$5:$D$12,0))))</f>
        <v>Cumulative Energy Demand (CED) - MJ</v>
      </c>
      <c r="M8992" s="154" t="str">
        <f t="shared" si="732"/>
        <v>Base_Medium_High_Upgraded_Cumulative Energy Demand (CED) - MJ_Wet Well and Sump Station; wastewater treatment unit; at updated plant - US_Base_With Amendment_Aerated Static Pile</v>
      </c>
    </row>
    <row r="8993" spans="1:13" s="120" customFormat="1" x14ac:dyDescent="0.25">
      <c r="A8993" s="119"/>
      <c r="B8993" s="138" t="str">
        <f t="shared" si="733"/>
        <v>Aerated Static Pile</v>
      </c>
      <c r="C8993" s="138" t="str">
        <f t="shared" si="734"/>
        <v>Base_With Amendment</v>
      </c>
      <c r="D8993" s="138" t="str">
        <f t="shared" si="738"/>
        <v>Medium_High</v>
      </c>
      <c r="E8993" s="138" t="str">
        <f t="shared" si="735"/>
        <v>Base</v>
      </c>
      <c r="F8993" s="138" t="str">
        <f t="shared" si="736"/>
        <v>Upgraded</v>
      </c>
      <c r="G8993" s="153"/>
      <c r="H8993" s="210">
        <v>0.24579999999999999</v>
      </c>
      <c r="I8993" s="160" t="s">
        <v>60</v>
      </c>
      <c r="J8993" s="160">
        <v>0.38092999999999999</v>
      </c>
      <c r="K8993" s="160" t="s">
        <v>15</v>
      </c>
      <c r="L8993" s="154" t="str">
        <f>IF(OpenLCAbasic!K8993="CTUh", "Fill in Manually",IF(OR(K8993="Unit", K8993=""), "", INDEX(LookUps!$E$5:$E$12, MATCH(OpenLCAbasic!K8993,LookUps!$D$5:$D$12,0))))</f>
        <v>Cumulative Energy Demand (CED) - MJ</v>
      </c>
      <c r="M8993" s="154" t="str">
        <f t="shared" si="732"/>
        <v>Base_Medium_High_Upgraded_Cumulative Energy Demand (CED) - MJ_Belt filter press; wastewater treatment unit; at updated plant - US_Base_With Amendment_Aerated Static Pile</v>
      </c>
    </row>
    <row r="8994" spans="1:13" s="120" customFormat="1" x14ac:dyDescent="0.25">
      <c r="A8994" s="119"/>
      <c r="B8994" s="138" t="str">
        <f t="shared" si="733"/>
        <v>Aerated Static Pile</v>
      </c>
      <c r="C8994" s="138" t="str">
        <f t="shared" si="734"/>
        <v>Base_With Amendment</v>
      </c>
      <c r="D8994" s="138" t="str">
        <f t="shared" si="738"/>
        <v>Medium_High</v>
      </c>
      <c r="E8994" s="138" t="str">
        <f t="shared" si="735"/>
        <v>Base</v>
      </c>
      <c r="F8994" s="138" t="str">
        <f t="shared" si="736"/>
        <v>Upgraded</v>
      </c>
      <c r="G8994" s="153"/>
      <c r="H8994" s="210">
        <v>0.21560000000000001</v>
      </c>
      <c r="I8994" s="160" t="s">
        <v>57</v>
      </c>
      <c r="J8994" s="160">
        <v>0.33404</v>
      </c>
      <c r="K8994" s="160" t="s">
        <v>15</v>
      </c>
      <c r="L8994" s="154" t="str">
        <f>IF(OpenLCAbasic!K8994="CTUh", "Fill in Manually",IF(OR(K8994="Unit", K8994=""), "", INDEX(LookUps!$E$5:$E$12, MATCH(OpenLCAbasic!K8994,LookUps!$D$5:$D$12,0))))</f>
        <v>Cumulative Energy Demand (CED) - MJ</v>
      </c>
      <c r="M8994" s="154" t="str">
        <f t="shared" si="732"/>
        <v>Base_Medium_High_Upgraded_Cumulative Energy Demand (CED) - MJ_Gravity Belt Thickener; wastewater treatment unit; at updated plant - US_Base_With Amendment_Aerated Static Pile</v>
      </c>
    </row>
    <row r="8995" spans="1:13" s="120" customFormat="1" x14ac:dyDescent="0.25">
      <c r="A8995" s="119"/>
      <c r="B8995" s="138" t="str">
        <f t="shared" si="733"/>
        <v>Aerated Static Pile</v>
      </c>
      <c r="C8995" s="138" t="str">
        <f t="shared" si="734"/>
        <v>Base_With Amendment</v>
      </c>
      <c r="D8995" s="138" t="str">
        <f t="shared" si="738"/>
        <v>Medium_High</v>
      </c>
      <c r="E8995" s="138" t="str">
        <f t="shared" si="735"/>
        <v>Base</v>
      </c>
      <c r="F8995" s="138" t="str">
        <f t="shared" si="736"/>
        <v>Upgraded</v>
      </c>
      <c r="G8995" s="153"/>
      <c r="H8995" s="210">
        <v>0.1653</v>
      </c>
      <c r="I8995" s="160" t="s">
        <v>128</v>
      </c>
      <c r="J8995" s="160">
        <v>0.25606000000000001</v>
      </c>
      <c r="K8995" s="160" t="s">
        <v>15</v>
      </c>
      <c r="L8995" s="154" t="str">
        <f>IF(OpenLCAbasic!K8995="CTUh", "Fill in Manually",IF(OR(K8995="Unit", K8995=""), "", INDEX(LookUps!$E$5:$E$12, MATCH(OpenLCAbasic!K8995,LookUps!$D$5:$D$12,0))))</f>
        <v>Cumulative Energy Demand (CED) - MJ</v>
      </c>
      <c r="M8995" s="154" t="str">
        <f t="shared" si="732"/>
        <v>Base_Medium_High_Upgraded_Cumulative Energy Demand (CED) - MJ_Wastewater collection; operation and infrastructure; m3 wastewater_Base_With Amendment_Aerated Static Pile</v>
      </c>
    </row>
    <row r="8996" spans="1:13" s="120" customFormat="1" x14ac:dyDescent="0.25">
      <c r="A8996" s="119"/>
      <c r="B8996" s="138" t="str">
        <f t="shared" si="733"/>
        <v>Aerated Static Pile</v>
      </c>
      <c r="C8996" s="138" t="str">
        <f t="shared" si="734"/>
        <v>Base_With Amendment</v>
      </c>
      <c r="D8996" s="138" t="str">
        <f t="shared" si="738"/>
        <v>Medium_High</v>
      </c>
      <c r="E8996" s="138" t="str">
        <f t="shared" si="735"/>
        <v>Base</v>
      </c>
      <c r="F8996" s="138" t="str">
        <f t="shared" si="736"/>
        <v>Upgraded</v>
      </c>
      <c r="G8996" s="153"/>
      <c r="H8996" s="210">
        <v>9.4200000000000006E-2</v>
      </c>
      <c r="I8996" s="160" t="s">
        <v>148</v>
      </c>
      <c r="J8996" s="160">
        <v>0.14599000000000001</v>
      </c>
      <c r="K8996" s="160" t="s">
        <v>15</v>
      </c>
      <c r="L8996" s="154" t="str">
        <f>IF(OpenLCAbasic!K8996="CTUh", "Fill in Manually",IF(OR(K8996="Unit", K8996=""), "", INDEX(LookUps!$E$5:$E$12, MATCH(OpenLCAbasic!K8996,LookUps!$D$5:$D$12,0))))</f>
        <v>Cumulative Energy Demand (CED) - MJ</v>
      </c>
      <c r="M8996" s="154" t="str">
        <f t="shared" si="732"/>
        <v>Base_Medium_High_Upgraded_Cumulative Energy Demand (CED) - MJ_Control Building; at upgraded wastewater treatment plant - US_Base_With Amendment_Aerated Static Pile</v>
      </c>
    </row>
    <row r="8997" spans="1:13" s="120" customFormat="1" x14ac:dyDescent="0.25">
      <c r="A8997" s="119"/>
      <c r="B8997" s="138" t="str">
        <f t="shared" si="733"/>
        <v>Aerated Static Pile</v>
      </c>
      <c r="C8997" s="138" t="str">
        <f t="shared" si="734"/>
        <v>Base_With Amendment</v>
      </c>
      <c r="D8997" s="138" t="str">
        <f t="shared" si="738"/>
        <v>Medium_High</v>
      </c>
      <c r="E8997" s="138" t="str">
        <f t="shared" si="735"/>
        <v>Base</v>
      </c>
      <c r="F8997" s="138" t="str">
        <f t="shared" si="736"/>
        <v>Upgraded</v>
      </c>
      <c r="G8997" s="153"/>
      <c r="H8997" s="210">
        <v>8.5999999999999993E-2</v>
      </c>
      <c r="I8997" s="160" t="s">
        <v>48</v>
      </c>
      <c r="J8997" s="160">
        <v>0.13321</v>
      </c>
      <c r="K8997" s="160" t="s">
        <v>15</v>
      </c>
      <c r="L8997" s="154" t="str">
        <f>IF(OpenLCAbasic!K8997="CTUh", "Fill in Manually",IF(OR(K8997="Unit", K8997=""), "", INDEX(LookUps!$E$5:$E$12, MATCH(OpenLCAbasic!K8997,LookUps!$D$5:$D$12,0))))</f>
        <v>Cumulative Energy Demand (CED) - MJ</v>
      </c>
      <c r="M8997" s="154" t="str">
        <f t="shared" si="732"/>
        <v>Base_Medium_High_Upgraded_Cumulative Energy Demand (CED) - MJ_Effluent release; wastewater treatment unit; at surface water; m3 wastewater - US_Base_With Amendment_Aerated Static Pile</v>
      </c>
    </row>
    <row r="8998" spans="1:13" s="120" customFormat="1" x14ac:dyDescent="0.25">
      <c r="A8998" s="119"/>
      <c r="B8998" s="138" t="str">
        <f t="shared" si="733"/>
        <v>Aerated Static Pile</v>
      </c>
      <c r="C8998" s="138" t="str">
        <f t="shared" si="734"/>
        <v>Base_With Amendment</v>
      </c>
      <c r="D8998" s="138" t="str">
        <f t="shared" si="738"/>
        <v>Medium_High</v>
      </c>
      <c r="E8998" s="138" t="str">
        <f t="shared" si="735"/>
        <v>Base</v>
      </c>
      <c r="F8998" s="138" t="str">
        <f t="shared" si="736"/>
        <v>Upgraded</v>
      </c>
      <c r="G8998" s="153"/>
      <c r="H8998" s="210">
        <v>6.8699999999999997E-2</v>
      </c>
      <c r="I8998" s="160" t="s">
        <v>59</v>
      </c>
      <c r="J8998" s="160">
        <v>0.10638</v>
      </c>
      <c r="K8998" s="160" t="s">
        <v>15</v>
      </c>
      <c r="L8998" s="154" t="str">
        <f>IF(OpenLCAbasic!K8998="CTUh", "Fill in Manually",IF(OR(K8998="Unit", K8998=""), "", INDEX(LookUps!$E$5:$E$12, MATCH(OpenLCAbasic!K8998,LookUps!$D$5:$D$12,0))))</f>
        <v>Cumulative Energy Demand (CED) - MJ</v>
      </c>
      <c r="M8998" s="154" t="str">
        <f t="shared" si="732"/>
        <v>Base_Medium_High_Upgraded_Cumulative Energy Demand (CED) - MJ_Blend Tank; wastewater treatment unit; at updated plant - US_Base_With Amendment_Aerated Static Pile</v>
      </c>
    </row>
    <row r="8999" spans="1:13" s="120" customFormat="1" x14ac:dyDescent="0.25">
      <c r="A8999" s="119"/>
      <c r="B8999" s="138" t="str">
        <f t="shared" si="733"/>
        <v>Aerated Static Pile</v>
      </c>
      <c r="C8999" s="138" t="str">
        <f t="shared" si="734"/>
        <v>Base_With Amendment</v>
      </c>
      <c r="D8999" s="138" t="str">
        <f t="shared" si="738"/>
        <v>Medium_High</v>
      </c>
      <c r="E8999" s="138" t="str">
        <f t="shared" si="735"/>
        <v>Base</v>
      </c>
      <c r="F8999" s="138" t="str">
        <f t="shared" si="736"/>
        <v>Upgraded</v>
      </c>
      <c r="G8999" s="153"/>
      <c r="H8999" s="210">
        <v>3.2899999999999999E-2</v>
      </c>
      <c r="I8999" s="160" t="s">
        <v>168</v>
      </c>
      <c r="J8999" s="160">
        <v>5.0930000000000003E-2</v>
      </c>
      <c r="K8999" s="160" t="s">
        <v>15</v>
      </c>
      <c r="L8999" s="154" t="str">
        <f>IF(OpenLCAbasic!K8999="CTUh", "Fill in Manually",IF(OR(K8999="Unit", K8999=""), "", INDEX(LookUps!$E$5:$E$12, MATCH(OpenLCAbasic!K8999,LookUps!$D$5:$D$12,0))))</f>
        <v>Cumulative Energy Demand (CED) - MJ</v>
      </c>
      <c r="M8999" s="154" t="str">
        <f t="shared" si="732"/>
        <v>Base_Medium_High_Upgraded_Cumulative Energy Demand (CED) - MJ_ClearCove SCP; wastewater treatment unit; at updated plant - US_Base_With Amendment_Aerated Static Pile</v>
      </c>
    </row>
    <row r="9000" spans="1:13" s="120" customFormat="1" x14ac:dyDescent="0.25">
      <c r="A9000" s="119"/>
      <c r="B9000" s="138" t="str">
        <f t="shared" si="733"/>
        <v>Aerated Static Pile</v>
      </c>
      <c r="C9000" s="138" t="str">
        <f t="shared" si="734"/>
        <v>Base_With Amendment</v>
      </c>
      <c r="D9000" s="138" t="str">
        <f t="shared" si="738"/>
        <v>Medium_High</v>
      </c>
      <c r="E9000" s="138" t="str">
        <f t="shared" si="735"/>
        <v>Base</v>
      </c>
      <c r="F9000" s="138" t="str">
        <f t="shared" si="736"/>
        <v>Upgraded</v>
      </c>
      <c r="G9000" s="153"/>
      <c r="H9000" s="210">
        <v>-0.37930000000000003</v>
      </c>
      <c r="I9000" s="160" t="s">
        <v>62</v>
      </c>
      <c r="J9000" s="160">
        <v>-0.5877</v>
      </c>
      <c r="K9000" s="160" t="s">
        <v>15</v>
      </c>
      <c r="L9000" s="154" t="str">
        <f>IF(OpenLCAbasic!K9000="CTUh", "Fill in Manually",IF(OR(K9000="Unit", K9000=""), "", INDEX(LookUps!$E$5:$E$12, MATCH(OpenLCAbasic!K9000,LookUps!$D$5:$D$12,0))))</f>
        <v>Cumulative Energy Demand (CED) - MJ</v>
      </c>
      <c r="M9000" s="154" t="str">
        <f t="shared" si="732"/>
        <v>Base_Medium_High_Upgraded_Cumulative Energy Demand (CED) - MJ_Land application of compost; wastewater treatment unit; at updated plant - US_Base_With Amendment_Aerated Static Pile</v>
      </c>
    </row>
    <row r="9001" spans="1:13" s="120" customFormat="1" x14ac:dyDescent="0.25">
      <c r="A9001" s="119"/>
      <c r="B9001" s="138" t="str">
        <f t="shared" si="733"/>
        <v>Aerated Static Pile</v>
      </c>
      <c r="C9001" s="138" t="str">
        <f t="shared" si="734"/>
        <v>Base_With Amendment</v>
      </c>
      <c r="D9001" s="138" t="str">
        <f t="shared" si="738"/>
        <v>Medium_High</v>
      </c>
      <c r="E9001" s="138" t="str">
        <f t="shared" si="735"/>
        <v>Base</v>
      </c>
      <c r="F9001" s="138" t="str">
        <f t="shared" si="736"/>
        <v>Upgraded</v>
      </c>
      <c r="G9001" s="153"/>
      <c r="H9001" s="210">
        <v>-9.9854000000000003</v>
      </c>
      <c r="I9001" s="160" t="s">
        <v>149</v>
      </c>
      <c r="J9001" s="160">
        <v>-15.471780000000001</v>
      </c>
      <c r="K9001" s="160" t="s">
        <v>15</v>
      </c>
      <c r="L9001" s="154" t="str">
        <f>IF(OpenLCAbasic!K9001="CTUh", "Fill in Manually",IF(OR(K9001="Unit", K9001=""), "", INDEX(LookUps!$E$5:$E$12, MATCH(OpenLCAbasic!K9001,LookUps!$D$5:$D$12,0))))</f>
        <v>Cumulative Energy Demand (CED) - MJ</v>
      </c>
      <c r="M9001" s="154" t="str">
        <f t="shared" si="732"/>
        <v>Base_Medium_High_Upgraded_Cumulative Energy Demand (CED) - MJ_Anaerobic Digestion; wastewater treatment unit; at updated plant - US_Base_With Amendment_Aerated Static Pile</v>
      </c>
    </row>
    <row r="9002" spans="1:13" s="120" customFormat="1" x14ac:dyDescent="0.25">
      <c r="A9002" s="119"/>
      <c r="B9002" s="138" t="str">
        <f t="shared" si="733"/>
        <v/>
      </c>
      <c r="C9002" s="138" t="str">
        <f t="shared" si="734"/>
        <v/>
      </c>
      <c r="D9002" s="138" t="str">
        <f t="shared" si="738"/>
        <v/>
      </c>
      <c r="E9002" s="138" t="str">
        <f t="shared" si="735"/>
        <v/>
      </c>
      <c r="F9002" s="138" t="str">
        <f t="shared" si="736"/>
        <v/>
      </c>
      <c r="G9002" s="153" t="s">
        <v>51</v>
      </c>
      <c r="H9002" s="160"/>
      <c r="I9002" s="160" t="s">
        <v>47</v>
      </c>
      <c r="J9002" s="160" t="s">
        <v>52</v>
      </c>
      <c r="K9002" s="160" t="s">
        <v>27</v>
      </c>
      <c r="L9002" s="154" t="str">
        <f>IF(OpenLCAbasic!K9002="CTUh", "Fill in Manually",IF(OR(K9002="Unit", K9002=""), "", INDEX(LookUps!$E$5:$E$12, MATCH(OpenLCAbasic!K9002,LookUps!$D$5:$D$12,0))))</f>
        <v/>
      </c>
      <c r="M9002" s="154" t="str">
        <f t="shared" si="732"/>
        <v>____Process__</v>
      </c>
    </row>
    <row r="9003" spans="1:13" s="120" customFormat="1" x14ac:dyDescent="0.25">
      <c r="A9003" s="119"/>
      <c r="B9003" s="138" t="str">
        <f t="shared" si="733"/>
        <v>Aerated Static Pile</v>
      </c>
      <c r="C9003" s="138" t="str">
        <f t="shared" si="734"/>
        <v>Base_With Amendment</v>
      </c>
      <c r="D9003" s="138" t="str">
        <f t="shared" si="738"/>
        <v>Medium_High</v>
      </c>
      <c r="E9003" s="138" t="str">
        <f t="shared" si="735"/>
        <v>Base</v>
      </c>
      <c r="F9003" s="138" t="str">
        <f t="shared" si="736"/>
        <v>Upgraded</v>
      </c>
      <c r="G9003" s="153"/>
      <c r="H9003" s="210">
        <v>0.80200000000000005</v>
      </c>
      <c r="I9003" s="160" t="s">
        <v>48</v>
      </c>
      <c r="J9003" s="160">
        <v>1.1610000000000001E-2</v>
      </c>
      <c r="K9003" s="160" t="s">
        <v>13</v>
      </c>
      <c r="L9003" s="154" t="str">
        <f>IF(OpenLCAbasic!K9003="CTUh", "Fill in Manually",IF(OR(K9003="Unit", K9003=""), "", INDEX(LookUps!$E$5:$E$12, MATCH(OpenLCAbasic!K9003,LookUps!$D$5:$D$12,0))))</f>
        <v>Eutrophication Potential (EP) - kg N eq</v>
      </c>
      <c r="M9003" s="154" t="str">
        <f t="shared" si="732"/>
        <v>Base_Medium_High_Upgraded_Eutrophication Potential (EP) - kg N eq_Effluent release; wastewater treatment unit; at surface water; m3 wastewater - US_Base_With Amendment_Aerated Static Pile</v>
      </c>
    </row>
    <row r="9004" spans="1:13" s="120" customFormat="1" x14ac:dyDescent="0.25">
      <c r="A9004" s="119"/>
      <c r="B9004" s="138" t="str">
        <f t="shared" si="733"/>
        <v>Aerated Static Pile</v>
      </c>
      <c r="C9004" s="138" t="str">
        <f t="shared" si="734"/>
        <v>Base_With Amendment</v>
      </c>
      <c r="D9004" s="138" t="str">
        <f t="shared" si="738"/>
        <v>Medium_High</v>
      </c>
      <c r="E9004" s="138" t="str">
        <f t="shared" si="735"/>
        <v>Base</v>
      </c>
      <c r="F9004" s="138" t="str">
        <f t="shared" si="736"/>
        <v>Upgraded</v>
      </c>
      <c r="G9004" s="153"/>
      <c r="H9004" s="210">
        <v>0.18779999999999999</v>
      </c>
      <c r="I9004" s="160" t="s">
        <v>62</v>
      </c>
      <c r="J9004" s="160">
        <v>2.7200000000000002E-3</v>
      </c>
      <c r="K9004" s="160" t="s">
        <v>13</v>
      </c>
      <c r="L9004" s="154" t="str">
        <f>IF(OpenLCAbasic!K9004="CTUh", "Fill in Manually",IF(OR(K9004="Unit", K9004=""), "", INDEX(LookUps!$E$5:$E$12, MATCH(OpenLCAbasic!K9004,LookUps!$D$5:$D$12,0))))</f>
        <v>Eutrophication Potential (EP) - kg N eq</v>
      </c>
      <c r="M9004" s="154" t="str">
        <f t="shared" si="732"/>
        <v>Base_Medium_High_Upgraded_Eutrophication Potential (EP) - kg N eq_Land application of compost; wastewater treatment unit; at updated plant - US_Base_With Amendment_Aerated Static Pile</v>
      </c>
    </row>
    <row r="9005" spans="1:13" s="120" customFormat="1" x14ac:dyDescent="0.25">
      <c r="A9005" s="119"/>
      <c r="B9005" s="138" t="str">
        <f t="shared" si="733"/>
        <v>Aerated Static Pile</v>
      </c>
      <c r="C9005" s="138" t="str">
        <f t="shared" si="734"/>
        <v>Base_With Amendment</v>
      </c>
      <c r="D9005" s="138" t="str">
        <f t="shared" si="738"/>
        <v>Medium_High</v>
      </c>
      <c r="E9005" s="138" t="str">
        <f t="shared" si="735"/>
        <v>Base</v>
      </c>
      <c r="F9005" s="138" t="str">
        <f t="shared" si="736"/>
        <v>Upgraded</v>
      </c>
      <c r="G9005" s="153"/>
      <c r="H9005" s="210">
        <v>3.7699999999999997E-2</v>
      </c>
      <c r="I9005" s="160" t="s">
        <v>55</v>
      </c>
      <c r="J9005" s="160">
        <v>5.5000000000000003E-4</v>
      </c>
      <c r="K9005" s="160" t="s">
        <v>13</v>
      </c>
      <c r="L9005" s="154" t="str">
        <f>IF(OpenLCAbasic!K9005="CTUh", "Fill in Manually",IF(OR(K9005="Unit", K9005=""), "", INDEX(LookUps!$E$5:$E$12, MATCH(OpenLCAbasic!K9005,LookUps!$D$5:$D$12,0))))</f>
        <v>Eutrophication Potential (EP) - kg N eq</v>
      </c>
      <c r="M9005" s="154" t="str">
        <f t="shared" si="732"/>
        <v>Base_Medium_High_Upgraded_Eutrophication Potential (EP) - kg N eq_Aeration Tanks; wastewater treatment unit; at updated plant - US_Base_With Amendment_Aerated Static Pile</v>
      </c>
    </row>
    <row r="9006" spans="1:13" s="120" customFormat="1" x14ac:dyDescent="0.25">
      <c r="A9006" s="119"/>
      <c r="B9006" s="138" t="str">
        <f t="shared" si="733"/>
        <v>Aerated Static Pile</v>
      </c>
      <c r="C9006" s="138" t="str">
        <f t="shared" si="734"/>
        <v>Base_With Amendment</v>
      </c>
      <c r="D9006" s="138" t="str">
        <f t="shared" si="738"/>
        <v>Medium_High</v>
      </c>
      <c r="E9006" s="138" t="str">
        <f t="shared" si="735"/>
        <v>Base</v>
      </c>
      <c r="F9006" s="138" t="str">
        <f t="shared" si="736"/>
        <v>Upgraded</v>
      </c>
      <c r="G9006" s="153"/>
      <c r="H9006" s="210">
        <v>1.89E-2</v>
      </c>
      <c r="I9006" s="160" t="s">
        <v>435</v>
      </c>
      <c r="J9006" s="160">
        <v>2.7E-4</v>
      </c>
      <c r="K9006" s="160" t="s">
        <v>13</v>
      </c>
      <c r="L9006" s="154" t="str">
        <f>IF(OpenLCAbasic!K9006="CTUh", "Fill in Manually",IF(OR(K9006="Unit", K9006=""), "", INDEX(LookUps!$E$5:$E$12, MATCH(OpenLCAbasic!K9006,LookUps!$D$5:$D$12,0))))</f>
        <v>Eutrophication Potential (EP) - kg N eq</v>
      </c>
      <c r="M9006" s="154" t="str">
        <f t="shared" si="732"/>
        <v>Base_Medium_High_Upgraded_Eutrophication Potential (EP) - kg N eq_Biosolids composting; aerated static pile; wastewater treatment unit; at updated plant - US_Base_With Amendment_Aerated Static Pile</v>
      </c>
    </row>
    <row r="9007" spans="1:13" s="120" customFormat="1" x14ac:dyDescent="0.25">
      <c r="A9007" s="119"/>
      <c r="B9007" s="138" t="str">
        <f t="shared" si="733"/>
        <v>Aerated Static Pile</v>
      </c>
      <c r="C9007" s="138" t="str">
        <f t="shared" si="734"/>
        <v>Base_With Amendment</v>
      </c>
      <c r="D9007" s="138" t="str">
        <f t="shared" si="738"/>
        <v>Medium_High</v>
      </c>
      <c r="E9007" s="138" t="str">
        <f t="shared" si="735"/>
        <v>Base</v>
      </c>
      <c r="F9007" s="138" t="str">
        <f t="shared" si="736"/>
        <v>Upgraded</v>
      </c>
      <c r="G9007" s="153"/>
      <c r="H9007" s="210">
        <v>1.72E-2</v>
      </c>
      <c r="I9007" s="160" t="s">
        <v>147</v>
      </c>
      <c r="J9007" s="160">
        <v>2.5000000000000001E-4</v>
      </c>
      <c r="K9007" s="160" t="s">
        <v>13</v>
      </c>
      <c r="L9007" s="154" t="str">
        <f>IF(OpenLCAbasic!K9007="CTUh", "Fill in Manually",IF(OR(K9007="Unit", K9007=""), "", INDEX(LookUps!$E$5:$E$12, MATCH(OpenLCAbasic!K9007,LookUps!$D$5:$D$12,0))))</f>
        <v>Eutrophication Potential (EP) - kg N eq</v>
      </c>
      <c r="M9007" s="154" t="str">
        <f t="shared" si="732"/>
        <v>Base_Medium_High_Upgraded_Eutrophication Potential (EP) - kg N eq_Influent Pump Station; wastewater treatment unit; at updated plant - US_Base_With Amendment_Aerated Static Pile</v>
      </c>
    </row>
    <row r="9008" spans="1:13" s="120" customFormat="1" x14ac:dyDescent="0.25">
      <c r="A9008" s="119"/>
      <c r="B9008" s="138" t="str">
        <f t="shared" si="733"/>
        <v>Aerated Static Pile</v>
      </c>
      <c r="C9008" s="138" t="str">
        <f t="shared" si="734"/>
        <v>Base_With Amendment</v>
      </c>
      <c r="D9008" s="138" t="str">
        <f t="shared" si="738"/>
        <v>Medium_High</v>
      </c>
      <c r="E9008" s="138" t="str">
        <f t="shared" si="735"/>
        <v>Base</v>
      </c>
      <c r="F9008" s="138" t="str">
        <f t="shared" si="736"/>
        <v>Upgraded</v>
      </c>
      <c r="G9008" s="153"/>
      <c r="H9008" s="210">
        <v>1.37E-2</v>
      </c>
      <c r="I9008" s="160" t="s">
        <v>54</v>
      </c>
      <c r="J9008" s="160">
        <v>2.0000000000000001E-4</v>
      </c>
      <c r="K9008" s="160" t="s">
        <v>13</v>
      </c>
      <c r="L9008" s="154" t="str">
        <f>IF(OpenLCAbasic!K9008="CTUh", "Fill in Manually",IF(OR(K9008="Unit", K9008=""), "", INDEX(LookUps!$E$5:$E$12, MATCH(OpenLCAbasic!K9008,LookUps!$D$5:$D$12,0))))</f>
        <v>Eutrophication Potential (EP) - kg N eq</v>
      </c>
      <c r="M9008" s="154" t="str">
        <f t="shared" si="732"/>
        <v>Base_Medium_High_Upgraded_Eutrophication Potential (EP) - kg N eq_Clear Cove Primary Clarification; wastewater treatment unit; at updated plant - US_Base_With Amendment_Aerated Static Pile</v>
      </c>
    </row>
    <row r="9009" spans="1:13" s="120" customFormat="1" x14ac:dyDescent="0.25">
      <c r="A9009" s="119"/>
      <c r="B9009" s="138" t="str">
        <f t="shared" si="733"/>
        <v>Aerated Static Pile</v>
      </c>
      <c r="C9009" s="138" t="str">
        <f t="shared" si="734"/>
        <v>Base_With Amendment</v>
      </c>
      <c r="D9009" s="138" t="str">
        <f t="shared" si="738"/>
        <v>Medium_High</v>
      </c>
      <c r="E9009" s="138" t="str">
        <f t="shared" si="735"/>
        <v>Base</v>
      </c>
      <c r="F9009" s="138" t="str">
        <f t="shared" si="736"/>
        <v>Upgraded</v>
      </c>
      <c r="G9009" s="153"/>
      <c r="H9009" s="210">
        <v>1.32E-2</v>
      </c>
      <c r="I9009" s="160" t="s">
        <v>167</v>
      </c>
      <c r="J9009" s="160">
        <v>1.9000000000000001E-4</v>
      </c>
      <c r="K9009" s="160" t="s">
        <v>13</v>
      </c>
      <c r="L9009" s="154" t="str">
        <f>IF(OpenLCAbasic!K9009="CTUh", "Fill in Manually",IF(OR(K9009="Unit", K9009=""), "", INDEX(LookUps!$E$5:$E$12, MATCH(OpenLCAbasic!K9009,LookUps!$D$5:$D$12,0))))</f>
        <v>Eutrophication Potential (EP) - kg N eq</v>
      </c>
      <c r="M9009" s="154" t="str">
        <f t="shared" si="732"/>
        <v>Base_Medium_High_Upgraded_Eutrophication Potential (EP) - kg N eq_Waste Receiving and Holding; wastewater treatment unit; at updated plant - US_Base_With Amendment_Aerated Static Pile</v>
      </c>
    </row>
    <row r="9010" spans="1:13" s="120" customFormat="1" x14ac:dyDescent="0.25">
      <c r="A9010" s="119"/>
      <c r="B9010" s="138" t="str">
        <f t="shared" si="733"/>
        <v>Aerated Static Pile</v>
      </c>
      <c r="C9010" s="138" t="str">
        <f t="shared" si="734"/>
        <v>Base_With Amendment</v>
      </c>
      <c r="D9010" s="138" t="str">
        <f t="shared" si="738"/>
        <v>Medium_High</v>
      </c>
      <c r="E9010" s="138" t="str">
        <f t="shared" si="735"/>
        <v>Base</v>
      </c>
      <c r="F9010" s="138" t="str">
        <f t="shared" si="736"/>
        <v>Upgraded</v>
      </c>
      <c r="G9010" s="153"/>
      <c r="H9010" s="210">
        <v>9.4000000000000004E-3</v>
      </c>
      <c r="I9010" s="160" t="s">
        <v>58</v>
      </c>
      <c r="J9010" s="160">
        <v>1.3999999999999999E-4</v>
      </c>
      <c r="K9010" s="160" t="s">
        <v>13</v>
      </c>
      <c r="L9010" s="154" t="str">
        <f>IF(OpenLCAbasic!K9010="CTUh", "Fill in Manually",IF(OR(K9010="Unit", K9010=""), "", INDEX(LookUps!$E$5:$E$12, MATCH(OpenLCAbasic!K9010,LookUps!$D$5:$D$12,0))))</f>
        <v>Eutrophication Potential (EP) - kg N eq</v>
      </c>
      <c r="M9010" s="154" t="str">
        <f t="shared" si="732"/>
        <v>Base_Medium_High_Upgraded_Eutrophication Potential (EP) - kg N eq_Pre-Anoxic &amp; Swing tank; wastewater treatment unit; at updated plant - US_Base_With Amendment_Aerated Static Pile</v>
      </c>
    </row>
    <row r="9011" spans="1:13" s="120" customFormat="1" x14ac:dyDescent="0.25">
      <c r="A9011" s="119"/>
      <c r="B9011" s="138" t="str">
        <f t="shared" si="733"/>
        <v>Aerated Static Pile</v>
      </c>
      <c r="C9011" s="138" t="str">
        <f t="shared" si="734"/>
        <v>Base_With Amendment</v>
      </c>
      <c r="D9011" s="138" t="str">
        <f t="shared" si="738"/>
        <v>Medium_High</v>
      </c>
      <c r="E9011" s="138" t="str">
        <f t="shared" si="735"/>
        <v>Base</v>
      </c>
      <c r="F9011" s="138" t="str">
        <f t="shared" si="736"/>
        <v>Upgraded</v>
      </c>
      <c r="G9011" s="153"/>
      <c r="H9011" s="210">
        <v>7.4000000000000003E-3</v>
      </c>
      <c r="I9011" s="160" t="s">
        <v>53</v>
      </c>
      <c r="J9011" s="160">
        <v>1.1E-4</v>
      </c>
      <c r="K9011" s="160" t="s">
        <v>13</v>
      </c>
      <c r="L9011" s="154" t="str">
        <f>IF(OpenLCAbasic!K9011="CTUh", "Fill in Manually",IF(OR(K9011="Unit", K9011=""), "", INDEX(LookUps!$E$5:$E$12, MATCH(OpenLCAbasic!K9011,LookUps!$D$5:$D$12,0))))</f>
        <v>Eutrophication Potential (EP) - kg N eq</v>
      </c>
      <c r="M9011" s="154" t="str">
        <f t="shared" ref="M9011:M9074" si="739">CONCATENATE(E9011,"_",D9011,"_",F9011,"_",L9011, "_",I9011,"_", C9011,"_", B9011)</f>
        <v>Base_Medium_High_Upgraded_Eutrophication Potential (EP) - kg N eq_Wet Well and Sump Station; wastewater treatment unit; at updated plant - US_Base_With Amendment_Aerated Static Pile</v>
      </c>
    </row>
    <row r="9012" spans="1:13" s="120" customFormat="1" x14ac:dyDescent="0.25">
      <c r="A9012" s="119"/>
      <c r="B9012" s="138" t="str">
        <f t="shared" si="733"/>
        <v>Aerated Static Pile</v>
      </c>
      <c r="C9012" s="138" t="str">
        <f t="shared" si="734"/>
        <v>Base_With Amendment</v>
      </c>
      <c r="D9012" s="138" t="str">
        <f t="shared" si="738"/>
        <v>Medium_High</v>
      </c>
      <c r="E9012" s="138" t="str">
        <f t="shared" si="735"/>
        <v>Base</v>
      </c>
      <c r="F9012" s="138" t="str">
        <f t="shared" si="736"/>
        <v>Upgraded</v>
      </c>
      <c r="G9012" s="153"/>
      <c r="H9012" s="210">
        <v>4.5999999999999999E-3</v>
      </c>
      <c r="I9012" s="160" t="s">
        <v>60</v>
      </c>
      <c r="J9012" s="211">
        <v>6.69155E-5</v>
      </c>
      <c r="K9012" s="160" t="s">
        <v>13</v>
      </c>
      <c r="L9012" s="154" t="str">
        <f>IF(OpenLCAbasic!K9012="CTUh", "Fill in Manually",IF(OR(K9012="Unit", K9012=""), "", INDEX(LookUps!$E$5:$E$12, MATCH(OpenLCAbasic!K9012,LookUps!$D$5:$D$12,0))))</f>
        <v>Eutrophication Potential (EP) - kg N eq</v>
      </c>
      <c r="M9012" s="154" t="str">
        <f t="shared" si="739"/>
        <v>Base_Medium_High_Upgraded_Eutrophication Potential (EP) - kg N eq_Belt filter press; wastewater treatment unit; at updated plant - US_Base_With Amendment_Aerated Static Pile</v>
      </c>
    </row>
    <row r="9013" spans="1:13" s="120" customFormat="1" x14ac:dyDescent="0.25">
      <c r="A9013" s="119"/>
      <c r="B9013" s="138" t="str">
        <f t="shared" si="733"/>
        <v>Aerated Static Pile</v>
      </c>
      <c r="C9013" s="138" t="str">
        <f t="shared" si="734"/>
        <v>Base_With Amendment</v>
      </c>
      <c r="D9013" s="138" t="str">
        <f t="shared" si="738"/>
        <v>Medium_High</v>
      </c>
      <c r="E9013" s="138" t="str">
        <f t="shared" si="735"/>
        <v>Base</v>
      </c>
      <c r="F9013" s="138" t="str">
        <f t="shared" si="736"/>
        <v>Upgraded</v>
      </c>
      <c r="G9013" s="153"/>
      <c r="H9013" s="210">
        <v>4.1999999999999997E-3</v>
      </c>
      <c r="I9013" s="160" t="s">
        <v>57</v>
      </c>
      <c r="J9013" s="211">
        <v>6.0590300000000002E-5</v>
      </c>
      <c r="K9013" s="160" t="s">
        <v>13</v>
      </c>
      <c r="L9013" s="154" t="str">
        <f>IF(OpenLCAbasic!K9013="CTUh", "Fill in Manually",IF(OR(K9013="Unit", K9013=""), "", INDEX(LookUps!$E$5:$E$12, MATCH(OpenLCAbasic!K9013,LookUps!$D$5:$D$12,0))))</f>
        <v>Eutrophication Potential (EP) - kg N eq</v>
      </c>
      <c r="M9013" s="154" t="str">
        <f t="shared" si="739"/>
        <v>Base_Medium_High_Upgraded_Eutrophication Potential (EP) - kg N eq_Gravity Belt Thickener; wastewater treatment unit; at updated plant - US_Base_With Amendment_Aerated Static Pile</v>
      </c>
    </row>
    <row r="9014" spans="1:13" s="120" customFormat="1" x14ac:dyDescent="0.25">
      <c r="A9014" s="119"/>
      <c r="B9014" s="138" t="str">
        <f t="shared" si="733"/>
        <v>Aerated Static Pile</v>
      </c>
      <c r="C9014" s="138" t="str">
        <f t="shared" si="734"/>
        <v>Base_With Amendment</v>
      </c>
      <c r="D9014" s="138" t="str">
        <f t="shared" si="738"/>
        <v>Medium_High</v>
      </c>
      <c r="E9014" s="138" t="str">
        <f t="shared" si="735"/>
        <v>Base</v>
      </c>
      <c r="F9014" s="138" t="str">
        <f t="shared" si="736"/>
        <v>Upgraded</v>
      </c>
      <c r="G9014" s="153"/>
      <c r="H9014" s="210">
        <v>2.5999999999999999E-3</v>
      </c>
      <c r="I9014" s="160" t="s">
        <v>128</v>
      </c>
      <c r="J9014" s="211">
        <v>3.7559799999999999E-5</v>
      </c>
      <c r="K9014" s="160" t="s">
        <v>13</v>
      </c>
      <c r="L9014" s="154" t="str">
        <f>IF(OpenLCAbasic!K9014="CTUh", "Fill in Manually",IF(OR(K9014="Unit", K9014=""), "", INDEX(LookUps!$E$5:$E$12, MATCH(OpenLCAbasic!K9014,LookUps!$D$5:$D$12,0))))</f>
        <v>Eutrophication Potential (EP) - kg N eq</v>
      </c>
      <c r="M9014" s="154" t="str">
        <f t="shared" si="739"/>
        <v>Base_Medium_High_Upgraded_Eutrophication Potential (EP) - kg N eq_Wastewater collection; operation and infrastructure; m3 wastewater_Base_With Amendment_Aerated Static Pile</v>
      </c>
    </row>
    <row r="9015" spans="1:13" s="120" customFormat="1" x14ac:dyDescent="0.25">
      <c r="A9015" s="119"/>
      <c r="B9015" s="138" t="str">
        <f t="shared" si="733"/>
        <v>Aerated Static Pile</v>
      </c>
      <c r="C9015" s="138" t="str">
        <f t="shared" si="734"/>
        <v>Base_With Amendment</v>
      </c>
      <c r="D9015" s="138" t="str">
        <f t="shared" si="738"/>
        <v>Medium_High</v>
      </c>
      <c r="E9015" s="138" t="str">
        <f t="shared" si="735"/>
        <v>Base</v>
      </c>
      <c r="F9015" s="138" t="str">
        <f t="shared" si="736"/>
        <v>Upgraded</v>
      </c>
      <c r="G9015" s="153"/>
      <c r="H9015" s="210">
        <v>2.5000000000000001E-3</v>
      </c>
      <c r="I9015" s="160" t="s">
        <v>148</v>
      </c>
      <c r="J9015" s="211">
        <v>3.6874600000000001E-5</v>
      </c>
      <c r="K9015" s="160" t="s">
        <v>13</v>
      </c>
      <c r="L9015" s="154" t="str">
        <f>IF(OpenLCAbasic!K9015="CTUh", "Fill in Manually",IF(OR(K9015="Unit", K9015=""), "", INDEX(LookUps!$E$5:$E$12, MATCH(OpenLCAbasic!K9015,LookUps!$D$5:$D$12,0))))</f>
        <v>Eutrophication Potential (EP) - kg N eq</v>
      </c>
      <c r="M9015" s="154" t="str">
        <f t="shared" si="739"/>
        <v>Base_Medium_High_Upgraded_Eutrophication Potential (EP) - kg N eq_Control Building; at upgraded wastewater treatment plant - US_Base_With Amendment_Aerated Static Pile</v>
      </c>
    </row>
    <row r="9016" spans="1:13" s="120" customFormat="1" x14ac:dyDescent="0.25">
      <c r="A9016" s="119"/>
      <c r="B9016" s="138" t="str">
        <f t="shared" si="733"/>
        <v>Aerated Static Pile</v>
      </c>
      <c r="C9016" s="138" t="str">
        <f t="shared" si="734"/>
        <v>Base_With Amendment</v>
      </c>
      <c r="D9016" s="138" t="str">
        <f t="shared" si="738"/>
        <v>Medium_High</v>
      </c>
      <c r="E9016" s="138" t="str">
        <f t="shared" si="735"/>
        <v>Base</v>
      </c>
      <c r="F9016" s="138" t="str">
        <f t="shared" si="736"/>
        <v>Upgraded</v>
      </c>
      <c r="G9016" s="153"/>
      <c r="H9016" s="210">
        <v>1.1000000000000001E-3</v>
      </c>
      <c r="I9016" s="160" t="s">
        <v>59</v>
      </c>
      <c r="J9016" s="211">
        <v>1.6215700000000001E-5</v>
      </c>
      <c r="K9016" s="160" t="s">
        <v>13</v>
      </c>
      <c r="L9016" s="154" t="str">
        <f>IF(OpenLCAbasic!K9016="CTUh", "Fill in Manually",IF(OR(K9016="Unit", K9016=""), "", INDEX(LookUps!$E$5:$E$12, MATCH(OpenLCAbasic!K9016,LookUps!$D$5:$D$12,0))))</f>
        <v>Eutrophication Potential (EP) - kg N eq</v>
      </c>
      <c r="M9016" s="154" t="str">
        <f t="shared" si="739"/>
        <v>Base_Medium_High_Upgraded_Eutrophication Potential (EP) - kg N eq_Blend Tank; wastewater treatment unit; at updated plant - US_Base_With Amendment_Aerated Static Pile</v>
      </c>
    </row>
    <row r="9017" spans="1:13" s="120" customFormat="1" x14ac:dyDescent="0.25">
      <c r="A9017" s="119"/>
      <c r="B9017" s="138" t="str">
        <f t="shared" ref="B9017:B9080" si="740">IF(F9017="Legacy","n.a.",IF(F9017="","","Aerated Static Pile"))</f>
        <v>Aerated Static Pile</v>
      </c>
      <c r="C9017" s="138" t="str">
        <f t="shared" ref="C9017:C9080" si="741">IF(ISNUMBER($J9017),"Base_With Amendment","")</f>
        <v>Base_With Amendment</v>
      </c>
      <c r="D9017" s="138" t="str">
        <f t="shared" si="738"/>
        <v>Medium_High</v>
      </c>
      <c r="E9017" s="138" t="str">
        <f t="shared" ref="E9017:E9080" si="742">IF(ISNUMBER($J9017),"Base","")</f>
        <v>Base</v>
      </c>
      <c r="F9017" s="138" t="str">
        <f t="shared" ref="F9017:F9080" si="743">IF(ISNUMBER(J9017),"Upgraded","")</f>
        <v>Upgraded</v>
      </c>
      <c r="G9017" s="153"/>
      <c r="H9017" s="210">
        <v>5.0000000000000001E-4</v>
      </c>
      <c r="I9017" s="160" t="s">
        <v>168</v>
      </c>
      <c r="J9017" s="211">
        <v>7.7567199999999995E-6</v>
      </c>
      <c r="K9017" s="160" t="s">
        <v>13</v>
      </c>
      <c r="L9017" s="154" t="str">
        <f>IF(OpenLCAbasic!K9017="CTUh", "Fill in Manually",IF(OR(K9017="Unit", K9017=""), "", INDEX(LookUps!$E$5:$E$12, MATCH(OpenLCAbasic!K9017,LookUps!$D$5:$D$12,0))))</f>
        <v>Eutrophication Potential (EP) - kg N eq</v>
      </c>
      <c r="M9017" s="154" t="str">
        <f t="shared" si="739"/>
        <v>Base_Medium_High_Upgraded_Eutrophication Potential (EP) - kg N eq_ClearCove SCP; wastewater treatment unit; at updated plant - US_Base_With Amendment_Aerated Static Pile</v>
      </c>
    </row>
    <row r="9018" spans="1:13" s="120" customFormat="1" x14ac:dyDescent="0.25">
      <c r="A9018" s="119"/>
      <c r="B9018" s="138" t="str">
        <f t="shared" si="740"/>
        <v>Aerated Static Pile</v>
      </c>
      <c r="C9018" s="138" t="str">
        <f t="shared" si="741"/>
        <v>Base_With Amendment</v>
      </c>
      <c r="D9018" s="138" t="str">
        <f t="shared" si="738"/>
        <v>Medium_High</v>
      </c>
      <c r="E9018" s="138" t="str">
        <f t="shared" si="742"/>
        <v>Base</v>
      </c>
      <c r="F9018" s="138" t="str">
        <f t="shared" si="743"/>
        <v>Upgraded</v>
      </c>
      <c r="G9018" s="153"/>
      <c r="H9018" s="210">
        <v>-0.1229</v>
      </c>
      <c r="I9018" s="160" t="s">
        <v>149</v>
      </c>
      <c r="J9018" s="160">
        <v>-1.7799999999999999E-3</v>
      </c>
      <c r="K9018" s="160" t="s">
        <v>13</v>
      </c>
      <c r="L9018" s="154" t="str">
        <f>IF(OpenLCAbasic!K9018="CTUh", "Fill in Manually",IF(OR(K9018="Unit", K9018=""), "", INDEX(LookUps!$E$5:$E$12, MATCH(OpenLCAbasic!K9018,LookUps!$D$5:$D$12,0))))</f>
        <v>Eutrophication Potential (EP) - kg N eq</v>
      </c>
      <c r="M9018" s="154" t="str">
        <f t="shared" si="739"/>
        <v>Base_Medium_High_Upgraded_Eutrophication Potential (EP) - kg N eq_Anaerobic Digestion; wastewater treatment unit; at updated plant - US_Base_With Amendment_Aerated Static Pile</v>
      </c>
    </row>
    <row r="9019" spans="1:13" s="120" customFormat="1" x14ac:dyDescent="0.25">
      <c r="A9019" s="119"/>
      <c r="B9019" s="138" t="str">
        <f t="shared" si="740"/>
        <v/>
      </c>
      <c r="C9019" s="138" t="str">
        <f t="shared" si="741"/>
        <v/>
      </c>
      <c r="D9019" s="138" t="str">
        <f t="shared" si="738"/>
        <v/>
      </c>
      <c r="E9019" s="138" t="str">
        <f t="shared" si="742"/>
        <v/>
      </c>
      <c r="F9019" s="138" t="str">
        <f t="shared" si="743"/>
        <v/>
      </c>
      <c r="G9019" s="153" t="s">
        <v>51</v>
      </c>
      <c r="H9019" s="160"/>
      <c r="I9019" s="160" t="s">
        <v>47</v>
      </c>
      <c r="J9019" s="160" t="s">
        <v>52</v>
      </c>
      <c r="K9019" s="160" t="s">
        <v>27</v>
      </c>
      <c r="L9019" s="154" t="str">
        <f>IF(OpenLCAbasic!K9019="CTUh", "Fill in Manually",IF(OR(K9019="Unit", K9019=""), "", INDEX(LookUps!$E$5:$E$12, MATCH(OpenLCAbasic!K9019,LookUps!$D$5:$D$12,0))))</f>
        <v/>
      </c>
      <c r="M9019" s="154" t="str">
        <f t="shared" si="739"/>
        <v>____Process__</v>
      </c>
    </row>
    <row r="9020" spans="1:13" s="120" customFormat="1" x14ac:dyDescent="0.25">
      <c r="A9020" s="119"/>
      <c r="B9020" s="138" t="str">
        <f t="shared" si="740"/>
        <v>Aerated Static Pile</v>
      </c>
      <c r="C9020" s="138" t="str">
        <f t="shared" si="741"/>
        <v>Base_With Amendment</v>
      </c>
      <c r="D9020" s="138" t="str">
        <f t="shared" si="738"/>
        <v>Medium_High</v>
      </c>
      <c r="E9020" s="138" t="str">
        <f t="shared" si="742"/>
        <v>Base</v>
      </c>
      <c r="F9020" s="138" t="str">
        <f t="shared" si="743"/>
        <v>Upgraded</v>
      </c>
      <c r="G9020" s="153"/>
      <c r="H9020" s="210">
        <v>3.7277999999999998</v>
      </c>
      <c r="I9020" s="160" t="s">
        <v>167</v>
      </c>
      <c r="J9020" s="160">
        <v>9.7259999999999999E-2</v>
      </c>
      <c r="K9020" s="160" t="s">
        <v>14</v>
      </c>
      <c r="L9020" s="154" t="str">
        <f>IF(OpenLCAbasic!K9020="CTUh", "Fill in Manually",IF(OR(K9020="Unit", K9020=""), "", INDEX(LookUps!$E$5:$E$12, MATCH(OpenLCAbasic!K9020,LookUps!$D$5:$D$12,0))))</f>
        <v>Fossil Depletion Potential (FDP) - kg oil eq</v>
      </c>
      <c r="M9020" s="154" t="str">
        <f t="shared" si="739"/>
        <v>Base_Medium_High_Upgraded_Fossil Depletion Potential (FDP) - kg oil eq_Waste Receiving and Holding; wastewater treatment unit; at updated plant - US_Base_With Amendment_Aerated Static Pile</v>
      </c>
    </row>
    <row r="9021" spans="1:13" s="120" customFormat="1" x14ac:dyDescent="0.25">
      <c r="A9021" s="119"/>
      <c r="B9021" s="138" t="str">
        <f t="shared" si="740"/>
        <v>Aerated Static Pile</v>
      </c>
      <c r="C9021" s="138" t="str">
        <f t="shared" si="741"/>
        <v>Base_With Amendment</v>
      </c>
      <c r="D9021" s="138" t="str">
        <f t="shared" si="738"/>
        <v>Medium_High</v>
      </c>
      <c r="E9021" s="138" t="str">
        <f t="shared" si="742"/>
        <v>Base</v>
      </c>
      <c r="F9021" s="138" t="str">
        <f t="shared" si="743"/>
        <v>Upgraded</v>
      </c>
      <c r="G9021" s="153"/>
      <c r="H9021" s="210">
        <v>2.4373999999999998</v>
      </c>
      <c r="I9021" s="160" t="s">
        <v>55</v>
      </c>
      <c r="J9021" s="160">
        <v>6.3589999999999994E-2</v>
      </c>
      <c r="K9021" s="160" t="s">
        <v>14</v>
      </c>
      <c r="L9021" s="154" t="str">
        <f>IF(OpenLCAbasic!K9021="CTUh", "Fill in Manually",IF(OR(K9021="Unit", K9021=""), "", INDEX(LookUps!$E$5:$E$12, MATCH(OpenLCAbasic!K9021,LookUps!$D$5:$D$12,0))))</f>
        <v>Fossil Depletion Potential (FDP) - kg oil eq</v>
      </c>
      <c r="M9021" s="154" t="str">
        <f t="shared" si="739"/>
        <v>Base_Medium_High_Upgraded_Fossil Depletion Potential (FDP) - kg oil eq_Aeration Tanks; wastewater treatment unit; at updated plant - US_Base_With Amendment_Aerated Static Pile</v>
      </c>
    </row>
    <row r="9022" spans="1:13" s="120" customFormat="1" x14ac:dyDescent="0.25">
      <c r="A9022" s="119"/>
      <c r="B9022" s="138" t="str">
        <f t="shared" si="740"/>
        <v>Aerated Static Pile</v>
      </c>
      <c r="C9022" s="138" t="str">
        <f t="shared" si="741"/>
        <v>Base_With Amendment</v>
      </c>
      <c r="D9022" s="138" t="str">
        <f t="shared" si="738"/>
        <v>Medium_High</v>
      </c>
      <c r="E9022" s="138" t="str">
        <f t="shared" si="742"/>
        <v>Base</v>
      </c>
      <c r="F9022" s="138" t="str">
        <f t="shared" si="743"/>
        <v>Upgraded</v>
      </c>
      <c r="G9022" s="153"/>
      <c r="H9022" s="210">
        <v>1.1473</v>
      </c>
      <c r="I9022" s="160" t="s">
        <v>435</v>
      </c>
      <c r="J9022" s="160">
        <v>2.9929999999999998E-2</v>
      </c>
      <c r="K9022" s="160" t="s">
        <v>14</v>
      </c>
      <c r="L9022" s="154" t="str">
        <f>IF(OpenLCAbasic!K9022="CTUh", "Fill in Manually",IF(OR(K9022="Unit", K9022=""), "", INDEX(LookUps!$E$5:$E$12, MATCH(OpenLCAbasic!K9022,LookUps!$D$5:$D$12,0))))</f>
        <v>Fossil Depletion Potential (FDP) - kg oil eq</v>
      </c>
      <c r="M9022" s="154" t="str">
        <f t="shared" si="739"/>
        <v>Base_Medium_High_Upgraded_Fossil Depletion Potential (FDP) - kg oil eq_Biosolids composting; aerated static pile; wastewater treatment unit; at updated plant - US_Base_With Amendment_Aerated Static Pile</v>
      </c>
    </row>
    <row r="9023" spans="1:13" s="120" customFormat="1" x14ac:dyDescent="0.25">
      <c r="A9023" s="119"/>
      <c r="B9023" s="138" t="str">
        <f t="shared" si="740"/>
        <v>Aerated Static Pile</v>
      </c>
      <c r="C9023" s="138" t="str">
        <f t="shared" si="741"/>
        <v>Base_With Amendment</v>
      </c>
      <c r="D9023" s="138" t="str">
        <f t="shared" si="738"/>
        <v>Medium_High</v>
      </c>
      <c r="E9023" s="138" t="str">
        <f t="shared" si="742"/>
        <v>Base</v>
      </c>
      <c r="F9023" s="138" t="str">
        <f t="shared" si="743"/>
        <v>Upgraded</v>
      </c>
      <c r="G9023" s="153"/>
      <c r="H9023" s="210">
        <v>0.80689999999999995</v>
      </c>
      <c r="I9023" s="160" t="s">
        <v>54</v>
      </c>
      <c r="J9023" s="160">
        <v>2.1049999999999999E-2</v>
      </c>
      <c r="K9023" s="160" t="s">
        <v>14</v>
      </c>
      <c r="L9023" s="154" t="str">
        <f>IF(OpenLCAbasic!K9023="CTUh", "Fill in Manually",IF(OR(K9023="Unit", K9023=""), "", INDEX(LookUps!$E$5:$E$12, MATCH(OpenLCAbasic!K9023,LookUps!$D$5:$D$12,0))))</f>
        <v>Fossil Depletion Potential (FDP) - kg oil eq</v>
      </c>
      <c r="M9023" s="154" t="str">
        <f t="shared" si="739"/>
        <v>Base_Medium_High_Upgraded_Fossil Depletion Potential (FDP) - kg oil eq_Clear Cove Primary Clarification; wastewater treatment unit; at updated plant - US_Base_With Amendment_Aerated Static Pile</v>
      </c>
    </row>
    <row r="9024" spans="1:13" s="120" customFormat="1" x14ac:dyDescent="0.25">
      <c r="A9024" s="119"/>
      <c r="B9024" s="138" t="str">
        <f t="shared" si="740"/>
        <v>Aerated Static Pile</v>
      </c>
      <c r="C9024" s="138" t="str">
        <f t="shared" si="741"/>
        <v>Base_With Amendment</v>
      </c>
      <c r="D9024" s="138" t="str">
        <f t="shared" si="738"/>
        <v>Medium_High</v>
      </c>
      <c r="E9024" s="138" t="str">
        <f t="shared" si="742"/>
        <v>Base</v>
      </c>
      <c r="F9024" s="138" t="str">
        <f t="shared" si="743"/>
        <v>Upgraded</v>
      </c>
      <c r="G9024" s="153"/>
      <c r="H9024" s="210">
        <v>0.61240000000000006</v>
      </c>
      <c r="I9024" s="160" t="s">
        <v>58</v>
      </c>
      <c r="J9024" s="160">
        <v>1.5980000000000001E-2</v>
      </c>
      <c r="K9024" s="160" t="s">
        <v>14</v>
      </c>
      <c r="L9024" s="154" t="str">
        <f>IF(OpenLCAbasic!K9024="CTUh", "Fill in Manually",IF(OR(K9024="Unit", K9024=""), "", INDEX(LookUps!$E$5:$E$12, MATCH(OpenLCAbasic!K9024,LookUps!$D$5:$D$12,0))))</f>
        <v>Fossil Depletion Potential (FDP) - kg oil eq</v>
      </c>
      <c r="M9024" s="154" t="str">
        <f t="shared" si="739"/>
        <v>Base_Medium_High_Upgraded_Fossil Depletion Potential (FDP) - kg oil eq_Pre-Anoxic &amp; Swing tank; wastewater treatment unit; at updated plant - US_Base_With Amendment_Aerated Static Pile</v>
      </c>
    </row>
    <row r="9025" spans="1:13" s="120" customFormat="1" x14ac:dyDescent="0.25">
      <c r="A9025" s="119"/>
      <c r="B9025" s="138" t="str">
        <f t="shared" si="740"/>
        <v>Aerated Static Pile</v>
      </c>
      <c r="C9025" s="138" t="str">
        <f t="shared" si="741"/>
        <v>Base_With Amendment</v>
      </c>
      <c r="D9025" s="138" t="str">
        <f t="shared" si="738"/>
        <v>Medium_High</v>
      </c>
      <c r="E9025" s="138" t="str">
        <f t="shared" si="742"/>
        <v>Base</v>
      </c>
      <c r="F9025" s="138" t="str">
        <f t="shared" si="743"/>
        <v>Upgraded</v>
      </c>
      <c r="G9025" s="153"/>
      <c r="H9025" s="210">
        <v>0.57830000000000004</v>
      </c>
      <c r="I9025" s="160" t="s">
        <v>147</v>
      </c>
      <c r="J9025" s="160">
        <v>1.5089999999999999E-2</v>
      </c>
      <c r="K9025" s="160" t="s">
        <v>14</v>
      </c>
      <c r="L9025" s="154" t="str">
        <f>IF(OpenLCAbasic!K9025="CTUh", "Fill in Manually",IF(OR(K9025="Unit", K9025=""), "", INDEX(LookUps!$E$5:$E$12, MATCH(OpenLCAbasic!K9025,LookUps!$D$5:$D$12,0))))</f>
        <v>Fossil Depletion Potential (FDP) - kg oil eq</v>
      </c>
      <c r="M9025" s="154" t="str">
        <f t="shared" si="739"/>
        <v>Base_Medium_High_Upgraded_Fossil Depletion Potential (FDP) - kg oil eq_Influent Pump Station; wastewater treatment unit; at updated plant - US_Base_With Amendment_Aerated Static Pile</v>
      </c>
    </row>
    <row r="9026" spans="1:13" s="120" customFormat="1" x14ac:dyDescent="0.25">
      <c r="A9026" s="119"/>
      <c r="B9026" s="138" t="str">
        <f t="shared" si="740"/>
        <v>Aerated Static Pile</v>
      </c>
      <c r="C9026" s="138" t="str">
        <f t="shared" si="741"/>
        <v>Base_With Amendment</v>
      </c>
      <c r="D9026" s="138" t="str">
        <f t="shared" si="738"/>
        <v>Medium_High</v>
      </c>
      <c r="E9026" s="138" t="str">
        <f t="shared" si="742"/>
        <v>Base</v>
      </c>
      <c r="F9026" s="138" t="str">
        <f t="shared" si="743"/>
        <v>Upgraded</v>
      </c>
      <c r="G9026" s="153"/>
      <c r="H9026" s="210">
        <v>0.47870000000000001</v>
      </c>
      <c r="I9026" s="160" t="s">
        <v>53</v>
      </c>
      <c r="J9026" s="160">
        <v>1.2489999999999999E-2</v>
      </c>
      <c r="K9026" s="160" t="s">
        <v>14</v>
      </c>
      <c r="L9026" s="154" t="str">
        <f>IF(OpenLCAbasic!K9026="CTUh", "Fill in Manually",IF(OR(K9026="Unit", K9026=""), "", INDEX(LookUps!$E$5:$E$12, MATCH(OpenLCAbasic!K9026,LookUps!$D$5:$D$12,0))))</f>
        <v>Fossil Depletion Potential (FDP) - kg oil eq</v>
      </c>
      <c r="M9026" s="154" t="str">
        <f t="shared" si="739"/>
        <v>Base_Medium_High_Upgraded_Fossil Depletion Potential (FDP) - kg oil eq_Wet Well and Sump Station; wastewater treatment unit; at updated plant - US_Base_With Amendment_Aerated Static Pile</v>
      </c>
    </row>
    <row r="9027" spans="1:13" s="120" customFormat="1" x14ac:dyDescent="0.25">
      <c r="A9027" s="119"/>
      <c r="B9027" s="138" t="str">
        <f t="shared" si="740"/>
        <v>Aerated Static Pile</v>
      </c>
      <c r="C9027" s="138" t="str">
        <f t="shared" si="741"/>
        <v>Base_With Amendment</v>
      </c>
      <c r="D9027" s="138" t="str">
        <f t="shared" si="738"/>
        <v>Medium_High</v>
      </c>
      <c r="E9027" s="138" t="str">
        <f t="shared" si="742"/>
        <v>Base</v>
      </c>
      <c r="F9027" s="138" t="str">
        <f t="shared" si="743"/>
        <v>Upgraded</v>
      </c>
      <c r="G9027" s="153"/>
      <c r="H9027" s="210">
        <v>0.2944</v>
      </c>
      <c r="I9027" s="160" t="s">
        <v>60</v>
      </c>
      <c r="J9027" s="160">
        <v>7.6800000000000002E-3</v>
      </c>
      <c r="K9027" s="160" t="s">
        <v>14</v>
      </c>
      <c r="L9027" s="154" t="str">
        <f>IF(OpenLCAbasic!K9027="CTUh", "Fill in Manually",IF(OR(K9027="Unit", K9027=""), "", INDEX(LookUps!$E$5:$E$12, MATCH(OpenLCAbasic!K9027,LookUps!$D$5:$D$12,0))))</f>
        <v>Fossil Depletion Potential (FDP) - kg oil eq</v>
      </c>
      <c r="M9027" s="154" t="str">
        <f t="shared" si="739"/>
        <v>Base_Medium_High_Upgraded_Fossil Depletion Potential (FDP) - kg oil eq_Belt filter press; wastewater treatment unit; at updated plant - US_Base_With Amendment_Aerated Static Pile</v>
      </c>
    </row>
    <row r="9028" spans="1:13" s="120" customFormat="1" x14ac:dyDescent="0.25">
      <c r="A9028" s="119"/>
      <c r="B9028" s="138" t="str">
        <f t="shared" si="740"/>
        <v>Aerated Static Pile</v>
      </c>
      <c r="C9028" s="138" t="str">
        <f t="shared" si="741"/>
        <v>Base_With Amendment</v>
      </c>
      <c r="D9028" s="138" t="str">
        <f t="shared" si="738"/>
        <v>Medium_High</v>
      </c>
      <c r="E9028" s="138" t="str">
        <f t="shared" si="742"/>
        <v>Base</v>
      </c>
      <c r="F9028" s="138" t="str">
        <f t="shared" si="743"/>
        <v>Upgraded</v>
      </c>
      <c r="G9028" s="153"/>
      <c r="H9028" s="210">
        <v>0.2651</v>
      </c>
      <c r="I9028" s="160" t="s">
        <v>57</v>
      </c>
      <c r="J9028" s="160">
        <v>6.9199999999999999E-3</v>
      </c>
      <c r="K9028" s="160" t="s">
        <v>14</v>
      </c>
      <c r="L9028" s="154" t="str">
        <f>IF(OpenLCAbasic!K9028="CTUh", "Fill in Manually",IF(OR(K9028="Unit", K9028=""), "", INDEX(LookUps!$E$5:$E$12, MATCH(OpenLCAbasic!K9028,LookUps!$D$5:$D$12,0))))</f>
        <v>Fossil Depletion Potential (FDP) - kg oil eq</v>
      </c>
      <c r="M9028" s="154" t="str">
        <f t="shared" si="739"/>
        <v>Base_Medium_High_Upgraded_Fossil Depletion Potential (FDP) - kg oil eq_Gravity Belt Thickener; wastewater treatment unit; at updated plant - US_Base_With Amendment_Aerated Static Pile</v>
      </c>
    </row>
    <row r="9029" spans="1:13" s="120" customFormat="1" x14ac:dyDescent="0.25">
      <c r="A9029" s="119"/>
      <c r="B9029" s="138" t="str">
        <f t="shared" si="740"/>
        <v>Aerated Static Pile</v>
      </c>
      <c r="C9029" s="138" t="str">
        <f t="shared" si="741"/>
        <v>Base_With Amendment</v>
      </c>
      <c r="D9029" s="138" t="str">
        <f t="shared" si="738"/>
        <v>Medium_High</v>
      </c>
      <c r="E9029" s="138" t="str">
        <f t="shared" si="742"/>
        <v>Base</v>
      </c>
      <c r="F9029" s="138" t="str">
        <f t="shared" si="743"/>
        <v>Upgraded</v>
      </c>
      <c r="G9029" s="153"/>
      <c r="H9029" s="210">
        <v>0.1724</v>
      </c>
      <c r="I9029" s="160" t="s">
        <v>128</v>
      </c>
      <c r="J9029" s="160">
        <v>4.4999999999999997E-3</v>
      </c>
      <c r="K9029" s="160" t="s">
        <v>14</v>
      </c>
      <c r="L9029" s="154" t="str">
        <f>IF(OpenLCAbasic!K9029="CTUh", "Fill in Manually",IF(OR(K9029="Unit", K9029=""), "", INDEX(LookUps!$E$5:$E$12, MATCH(OpenLCAbasic!K9029,LookUps!$D$5:$D$12,0))))</f>
        <v>Fossil Depletion Potential (FDP) - kg oil eq</v>
      </c>
      <c r="M9029" s="154" t="str">
        <f t="shared" si="739"/>
        <v>Base_Medium_High_Upgraded_Fossil Depletion Potential (FDP) - kg oil eq_Wastewater collection; operation and infrastructure; m3 wastewater_Base_With Amendment_Aerated Static Pile</v>
      </c>
    </row>
    <row r="9030" spans="1:13" s="120" customFormat="1" x14ac:dyDescent="0.25">
      <c r="A9030" s="119"/>
      <c r="B9030" s="138" t="str">
        <f t="shared" si="740"/>
        <v>Aerated Static Pile</v>
      </c>
      <c r="C9030" s="138" t="str">
        <f t="shared" si="741"/>
        <v>Base_With Amendment</v>
      </c>
      <c r="D9030" s="138" t="str">
        <f t="shared" si="738"/>
        <v>Medium_High</v>
      </c>
      <c r="E9030" s="138" t="str">
        <f t="shared" si="742"/>
        <v>Base</v>
      </c>
      <c r="F9030" s="138" t="str">
        <f t="shared" si="743"/>
        <v>Upgraded</v>
      </c>
      <c r="G9030" s="153"/>
      <c r="H9030" s="210">
        <v>0.1072</v>
      </c>
      <c r="I9030" s="160" t="s">
        <v>148</v>
      </c>
      <c r="J9030" s="160">
        <v>2.8E-3</v>
      </c>
      <c r="K9030" s="160" t="s">
        <v>14</v>
      </c>
      <c r="L9030" s="154" t="str">
        <f>IF(OpenLCAbasic!K9030="CTUh", "Fill in Manually",IF(OR(K9030="Unit", K9030=""), "", INDEX(LookUps!$E$5:$E$12, MATCH(OpenLCAbasic!K9030,LookUps!$D$5:$D$12,0))))</f>
        <v>Fossil Depletion Potential (FDP) - kg oil eq</v>
      </c>
      <c r="M9030" s="154" t="str">
        <f t="shared" si="739"/>
        <v>Base_Medium_High_Upgraded_Fossil Depletion Potential (FDP) - kg oil eq_Control Building; at upgraded wastewater treatment plant - US_Base_With Amendment_Aerated Static Pile</v>
      </c>
    </row>
    <row r="9031" spans="1:13" s="120" customFormat="1" x14ac:dyDescent="0.25">
      <c r="A9031" s="119"/>
      <c r="B9031" s="138" t="str">
        <f t="shared" si="740"/>
        <v>Aerated Static Pile</v>
      </c>
      <c r="C9031" s="138" t="str">
        <f t="shared" si="741"/>
        <v>Base_With Amendment</v>
      </c>
      <c r="D9031" s="138" t="str">
        <f t="shared" si="738"/>
        <v>Medium_High</v>
      </c>
      <c r="E9031" s="138" t="str">
        <f t="shared" si="742"/>
        <v>Base</v>
      </c>
      <c r="F9031" s="138" t="str">
        <f t="shared" si="743"/>
        <v>Upgraded</v>
      </c>
      <c r="G9031" s="153"/>
      <c r="H9031" s="210">
        <v>9.06E-2</v>
      </c>
      <c r="I9031" s="160" t="s">
        <v>48</v>
      </c>
      <c r="J9031" s="160">
        <v>2.3600000000000001E-3</v>
      </c>
      <c r="K9031" s="160" t="s">
        <v>14</v>
      </c>
      <c r="L9031" s="154" t="str">
        <f>IF(OpenLCAbasic!K9031="CTUh", "Fill in Manually",IF(OR(K9031="Unit", K9031=""), "", INDEX(LookUps!$E$5:$E$12, MATCH(OpenLCAbasic!K9031,LookUps!$D$5:$D$12,0))))</f>
        <v>Fossil Depletion Potential (FDP) - kg oil eq</v>
      </c>
      <c r="M9031" s="154" t="str">
        <f t="shared" si="739"/>
        <v>Base_Medium_High_Upgraded_Fossil Depletion Potential (FDP) - kg oil eq_Effluent release; wastewater treatment unit; at surface water; m3 wastewater - US_Base_With Amendment_Aerated Static Pile</v>
      </c>
    </row>
    <row r="9032" spans="1:13" s="120" customFormat="1" x14ac:dyDescent="0.25">
      <c r="A9032" s="119"/>
      <c r="B9032" s="138" t="str">
        <f t="shared" si="740"/>
        <v>Aerated Static Pile</v>
      </c>
      <c r="C9032" s="138" t="str">
        <f t="shared" si="741"/>
        <v>Base_With Amendment</v>
      </c>
      <c r="D9032" s="138" t="str">
        <f t="shared" si="738"/>
        <v>Medium_High</v>
      </c>
      <c r="E9032" s="138" t="str">
        <f t="shared" si="742"/>
        <v>Base</v>
      </c>
      <c r="F9032" s="138" t="str">
        <f t="shared" si="743"/>
        <v>Upgraded</v>
      </c>
      <c r="G9032" s="153"/>
      <c r="H9032" s="210">
        <v>7.3599999999999999E-2</v>
      </c>
      <c r="I9032" s="160" t="s">
        <v>59</v>
      </c>
      <c r="J9032" s="160">
        <v>1.92E-3</v>
      </c>
      <c r="K9032" s="160" t="s">
        <v>14</v>
      </c>
      <c r="L9032" s="154" t="str">
        <f>IF(OpenLCAbasic!K9032="CTUh", "Fill in Manually",IF(OR(K9032="Unit", K9032=""), "", INDEX(LookUps!$E$5:$E$12, MATCH(OpenLCAbasic!K9032,LookUps!$D$5:$D$12,0))))</f>
        <v>Fossil Depletion Potential (FDP) - kg oil eq</v>
      </c>
      <c r="M9032" s="154" t="str">
        <f t="shared" si="739"/>
        <v>Base_Medium_High_Upgraded_Fossil Depletion Potential (FDP) - kg oil eq_Blend Tank; wastewater treatment unit; at updated plant - US_Base_With Amendment_Aerated Static Pile</v>
      </c>
    </row>
    <row r="9033" spans="1:13" s="120" customFormat="1" x14ac:dyDescent="0.25">
      <c r="A9033" s="119"/>
      <c r="B9033" s="138" t="str">
        <f t="shared" si="740"/>
        <v>Aerated Static Pile</v>
      </c>
      <c r="C9033" s="138" t="str">
        <f t="shared" si="741"/>
        <v>Base_With Amendment</v>
      </c>
      <c r="D9033" s="138" t="str">
        <f t="shared" ref="D9033:D9096" si="744">IF(ISNUMBER($J9033),"Medium_High","")</f>
        <v>Medium_High</v>
      </c>
      <c r="E9033" s="138" t="str">
        <f t="shared" si="742"/>
        <v>Base</v>
      </c>
      <c r="F9033" s="138" t="str">
        <f t="shared" si="743"/>
        <v>Upgraded</v>
      </c>
      <c r="G9033" s="153"/>
      <c r="H9033" s="210">
        <v>3.5099999999999999E-2</v>
      </c>
      <c r="I9033" s="160" t="s">
        <v>168</v>
      </c>
      <c r="J9033" s="160">
        <v>9.1E-4</v>
      </c>
      <c r="K9033" s="160" t="s">
        <v>14</v>
      </c>
      <c r="L9033" s="154" t="str">
        <f>IF(OpenLCAbasic!K9033="CTUh", "Fill in Manually",IF(OR(K9033="Unit", K9033=""), "", INDEX(LookUps!$E$5:$E$12, MATCH(OpenLCAbasic!K9033,LookUps!$D$5:$D$12,0))))</f>
        <v>Fossil Depletion Potential (FDP) - kg oil eq</v>
      </c>
      <c r="M9033" s="154" t="str">
        <f t="shared" si="739"/>
        <v>Base_Medium_High_Upgraded_Fossil Depletion Potential (FDP) - kg oil eq_ClearCove SCP; wastewater treatment unit; at updated plant - US_Base_With Amendment_Aerated Static Pile</v>
      </c>
    </row>
    <row r="9034" spans="1:13" s="120" customFormat="1" x14ac:dyDescent="0.25">
      <c r="A9034" s="119"/>
      <c r="B9034" s="138" t="str">
        <f t="shared" si="740"/>
        <v>Aerated Static Pile</v>
      </c>
      <c r="C9034" s="138" t="str">
        <f t="shared" si="741"/>
        <v>Base_With Amendment</v>
      </c>
      <c r="D9034" s="138" t="str">
        <f t="shared" si="744"/>
        <v>Medium_High</v>
      </c>
      <c r="E9034" s="138" t="str">
        <f t="shared" si="742"/>
        <v>Base</v>
      </c>
      <c r="F9034" s="138" t="str">
        <f t="shared" si="743"/>
        <v>Upgraded</v>
      </c>
      <c r="G9034" s="153"/>
      <c r="H9034" s="210">
        <v>-0.3135</v>
      </c>
      <c r="I9034" s="160" t="s">
        <v>62</v>
      </c>
      <c r="J9034" s="160">
        <v>-8.1799999999999998E-3</v>
      </c>
      <c r="K9034" s="160" t="s">
        <v>14</v>
      </c>
      <c r="L9034" s="154" t="str">
        <f>IF(OpenLCAbasic!K9034="CTUh", "Fill in Manually",IF(OR(K9034="Unit", K9034=""), "", INDEX(LookUps!$E$5:$E$12, MATCH(OpenLCAbasic!K9034,LookUps!$D$5:$D$12,0))))</f>
        <v>Fossil Depletion Potential (FDP) - kg oil eq</v>
      </c>
      <c r="M9034" s="154" t="str">
        <f t="shared" si="739"/>
        <v>Base_Medium_High_Upgraded_Fossil Depletion Potential (FDP) - kg oil eq_Land application of compost; wastewater treatment unit; at updated plant - US_Base_With Amendment_Aerated Static Pile</v>
      </c>
    </row>
    <row r="9035" spans="1:13" s="120" customFormat="1" x14ac:dyDescent="0.25">
      <c r="A9035" s="119"/>
      <c r="B9035" s="138" t="str">
        <f t="shared" si="740"/>
        <v>Aerated Static Pile</v>
      </c>
      <c r="C9035" s="138" t="str">
        <f t="shared" si="741"/>
        <v>Base_With Amendment</v>
      </c>
      <c r="D9035" s="138" t="str">
        <f t="shared" si="744"/>
        <v>Medium_High</v>
      </c>
      <c r="E9035" s="138" t="str">
        <f t="shared" si="742"/>
        <v>Base</v>
      </c>
      <c r="F9035" s="138" t="str">
        <f t="shared" si="743"/>
        <v>Upgraded</v>
      </c>
      <c r="G9035" s="153"/>
      <c r="H9035" s="210">
        <v>-11.5138</v>
      </c>
      <c r="I9035" s="160" t="s">
        <v>149</v>
      </c>
      <c r="J9035" s="160">
        <v>-0.30038999999999999</v>
      </c>
      <c r="K9035" s="160" t="s">
        <v>14</v>
      </c>
      <c r="L9035" s="154" t="str">
        <f>IF(OpenLCAbasic!K9035="CTUh", "Fill in Manually",IF(OR(K9035="Unit", K9035=""), "", INDEX(LookUps!$E$5:$E$12, MATCH(OpenLCAbasic!K9035,LookUps!$D$5:$D$12,0))))</f>
        <v>Fossil Depletion Potential (FDP) - kg oil eq</v>
      </c>
      <c r="M9035" s="154" t="str">
        <f t="shared" si="739"/>
        <v>Base_Medium_High_Upgraded_Fossil Depletion Potential (FDP) - kg oil eq_Anaerobic Digestion; wastewater treatment unit; at updated plant - US_Base_With Amendment_Aerated Static Pile</v>
      </c>
    </row>
    <row r="9036" spans="1:13" s="120" customFormat="1" x14ac:dyDescent="0.25">
      <c r="A9036" s="119"/>
      <c r="B9036" s="138" t="str">
        <f t="shared" si="740"/>
        <v/>
      </c>
      <c r="C9036" s="138" t="str">
        <f t="shared" si="741"/>
        <v/>
      </c>
      <c r="D9036" s="138" t="str">
        <f t="shared" si="744"/>
        <v/>
      </c>
      <c r="E9036" s="138" t="str">
        <f t="shared" si="742"/>
        <v/>
      </c>
      <c r="F9036" s="138" t="str">
        <f t="shared" si="743"/>
        <v/>
      </c>
      <c r="G9036" s="153" t="s">
        <v>51</v>
      </c>
      <c r="H9036" s="160"/>
      <c r="I9036" s="160" t="s">
        <v>47</v>
      </c>
      <c r="J9036" s="160" t="s">
        <v>52</v>
      </c>
      <c r="K9036" s="160" t="s">
        <v>27</v>
      </c>
      <c r="L9036" s="154" t="str">
        <f>IF(OpenLCAbasic!K9036="CTUh", "Fill in Manually",IF(OR(K9036="Unit", K9036=""), "", INDEX(LookUps!$E$5:$E$12, MATCH(OpenLCAbasic!K9036,LookUps!$D$5:$D$12,0))))</f>
        <v/>
      </c>
      <c r="M9036" s="154" t="str">
        <f t="shared" si="739"/>
        <v>____Process__</v>
      </c>
    </row>
    <row r="9037" spans="1:13" s="120" customFormat="1" x14ac:dyDescent="0.25">
      <c r="A9037" s="119"/>
      <c r="B9037" s="138" t="str">
        <f t="shared" si="740"/>
        <v>Aerated Static Pile</v>
      </c>
      <c r="C9037" s="138" t="str">
        <f t="shared" si="741"/>
        <v>Base_With Amendment</v>
      </c>
      <c r="D9037" s="138" t="str">
        <f t="shared" si="744"/>
        <v>Medium_High</v>
      </c>
      <c r="E9037" s="138" t="str">
        <f t="shared" si="742"/>
        <v>Base</v>
      </c>
      <c r="F9037" s="138" t="str">
        <f t="shared" si="743"/>
        <v>Upgraded</v>
      </c>
      <c r="G9037" s="153"/>
      <c r="H9037" s="210">
        <v>2.7517999999999998</v>
      </c>
      <c r="I9037" s="160" t="s">
        <v>435</v>
      </c>
      <c r="J9037" s="160">
        <v>0.68167999999999995</v>
      </c>
      <c r="K9037" s="160" t="s">
        <v>23</v>
      </c>
      <c r="L9037" s="154" t="str">
        <f>IF(OpenLCAbasic!K9037="CTUh", "Fill in Manually",IF(OR(K9037="Unit", K9037=""), "", INDEX(LookUps!$E$5:$E$12, MATCH(OpenLCAbasic!K9037,LookUps!$D$5:$D$12,0))))</f>
        <v>Global Warming Potential (GWP) - kg CO2 eq</v>
      </c>
      <c r="M9037" s="154" t="str">
        <f t="shared" si="739"/>
        <v>Base_Medium_High_Upgraded_Global Warming Potential (GWP) - kg CO2 eq_Biosolids composting; aerated static pile; wastewater treatment unit; at updated plant - US_Base_With Amendment_Aerated Static Pile</v>
      </c>
    </row>
    <row r="9038" spans="1:13" s="120" customFormat="1" x14ac:dyDescent="0.25">
      <c r="A9038" s="119"/>
      <c r="B9038" s="138" t="str">
        <f t="shared" si="740"/>
        <v>Aerated Static Pile</v>
      </c>
      <c r="C9038" s="138" t="str">
        <f t="shared" si="741"/>
        <v>Base_With Amendment</v>
      </c>
      <c r="D9038" s="138" t="str">
        <f t="shared" si="744"/>
        <v>Medium_High</v>
      </c>
      <c r="E9038" s="138" t="str">
        <f t="shared" si="742"/>
        <v>Base</v>
      </c>
      <c r="F9038" s="138" t="str">
        <f t="shared" si="743"/>
        <v>Upgraded</v>
      </c>
      <c r="G9038" s="153"/>
      <c r="H9038" s="210">
        <v>0.99180000000000001</v>
      </c>
      <c r="I9038" s="160" t="s">
        <v>58</v>
      </c>
      <c r="J9038" s="160">
        <v>0.24568999999999999</v>
      </c>
      <c r="K9038" s="160" t="s">
        <v>23</v>
      </c>
      <c r="L9038" s="154" t="str">
        <f>IF(OpenLCAbasic!K9038="CTUh", "Fill in Manually",IF(OR(K9038="Unit", K9038=""), "", INDEX(LookUps!$E$5:$E$12, MATCH(OpenLCAbasic!K9038,LookUps!$D$5:$D$12,0))))</f>
        <v>Global Warming Potential (GWP) - kg CO2 eq</v>
      </c>
      <c r="M9038" s="154" t="str">
        <f t="shared" si="739"/>
        <v>Base_Medium_High_Upgraded_Global Warming Potential (GWP) - kg CO2 eq_Pre-Anoxic &amp; Swing tank; wastewater treatment unit; at updated plant - US_Base_With Amendment_Aerated Static Pile</v>
      </c>
    </row>
    <row r="9039" spans="1:13" s="120" customFormat="1" x14ac:dyDescent="0.25">
      <c r="A9039" s="119"/>
      <c r="B9039" s="138" t="str">
        <f t="shared" si="740"/>
        <v>Aerated Static Pile</v>
      </c>
      <c r="C9039" s="138" t="str">
        <f t="shared" si="741"/>
        <v>Base_With Amendment</v>
      </c>
      <c r="D9039" s="138" t="str">
        <f t="shared" si="744"/>
        <v>Medium_High</v>
      </c>
      <c r="E9039" s="138" t="str">
        <f t="shared" si="742"/>
        <v>Base</v>
      </c>
      <c r="F9039" s="138" t="str">
        <f t="shared" si="743"/>
        <v>Upgraded</v>
      </c>
      <c r="G9039" s="153"/>
      <c r="H9039" s="210">
        <v>0.67910000000000004</v>
      </c>
      <c r="I9039" s="160" t="s">
        <v>55</v>
      </c>
      <c r="J9039" s="160">
        <v>0.16822000000000001</v>
      </c>
      <c r="K9039" s="160" t="s">
        <v>23</v>
      </c>
      <c r="L9039" s="154" t="str">
        <f>IF(OpenLCAbasic!K9039="CTUh", "Fill in Manually",IF(OR(K9039="Unit", K9039=""), "", INDEX(LookUps!$E$5:$E$12, MATCH(OpenLCAbasic!K9039,LookUps!$D$5:$D$12,0))))</f>
        <v>Global Warming Potential (GWP) - kg CO2 eq</v>
      </c>
      <c r="M9039" s="154" t="str">
        <f t="shared" si="739"/>
        <v>Base_Medium_High_Upgraded_Global Warming Potential (GWP) - kg CO2 eq_Aeration Tanks; wastewater treatment unit; at updated plant - US_Base_With Amendment_Aerated Static Pile</v>
      </c>
    </row>
    <row r="9040" spans="1:13" s="120" customFormat="1" x14ac:dyDescent="0.25">
      <c r="A9040" s="119"/>
      <c r="B9040" s="138" t="str">
        <f t="shared" si="740"/>
        <v>Aerated Static Pile</v>
      </c>
      <c r="C9040" s="138" t="str">
        <f t="shared" si="741"/>
        <v>Base_With Amendment</v>
      </c>
      <c r="D9040" s="138" t="str">
        <f t="shared" si="744"/>
        <v>Medium_High</v>
      </c>
      <c r="E9040" s="138" t="str">
        <f t="shared" si="742"/>
        <v>Base</v>
      </c>
      <c r="F9040" s="138" t="str">
        <f t="shared" si="743"/>
        <v>Upgraded</v>
      </c>
      <c r="G9040" s="153"/>
      <c r="H9040" s="210">
        <v>0.49880000000000002</v>
      </c>
      <c r="I9040" s="160" t="s">
        <v>167</v>
      </c>
      <c r="J9040" s="160">
        <v>0.12354999999999999</v>
      </c>
      <c r="K9040" s="160" t="s">
        <v>23</v>
      </c>
      <c r="L9040" s="154" t="str">
        <f>IF(OpenLCAbasic!K9040="CTUh", "Fill in Manually",IF(OR(K9040="Unit", K9040=""), "", INDEX(LookUps!$E$5:$E$12, MATCH(OpenLCAbasic!K9040,LookUps!$D$5:$D$12,0))))</f>
        <v>Global Warming Potential (GWP) - kg CO2 eq</v>
      </c>
      <c r="M9040" s="154" t="str">
        <f t="shared" si="739"/>
        <v>Base_Medium_High_Upgraded_Global Warming Potential (GWP) - kg CO2 eq_Waste Receiving and Holding; wastewater treatment unit; at updated plant - US_Base_With Amendment_Aerated Static Pile</v>
      </c>
    </row>
    <row r="9041" spans="1:13" s="120" customFormat="1" x14ac:dyDescent="0.25">
      <c r="A9041" s="119"/>
      <c r="B9041" s="138" t="str">
        <f t="shared" si="740"/>
        <v>Aerated Static Pile</v>
      </c>
      <c r="C9041" s="138" t="str">
        <f t="shared" si="741"/>
        <v>Base_With Amendment</v>
      </c>
      <c r="D9041" s="138" t="str">
        <f t="shared" si="744"/>
        <v>Medium_High</v>
      </c>
      <c r="E9041" s="138" t="str">
        <f t="shared" si="742"/>
        <v>Base</v>
      </c>
      <c r="F9041" s="138" t="str">
        <f t="shared" si="743"/>
        <v>Upgraded</v>
      </c>
      <c r="G9041" s="153"/>
      <c r="H9041" s="210">
        <v>0.23039999999999999</v>
      </c>
      <c r="I9041" s="160" t="s">
        <v>54</v>
      </c>
      <c r="J9041" s="160">
        <v>5.7079999999999999E-2</v>
      </c>
      <c r="K9041" s="160" t="s">
        <v>23</v>
      </c>
      <c r="L9041" s="154" t="str">
        <f>IF(OpenLCAbasic!K9041="CTUh", "Fill in Manually",IF(OR(K9041="Unit", K9041=""), "", INDEX(LookUps!$E$5:$E$12, MATCH(OpenLCAbasic!K9041,LookUps!$D$5:$D$12,0))))</f>
        <v>Global Warming Potential (GWP) - kg CO2 eq</v>
      </c>
      <c r="M9041" s="154" t="str">
        <f t="shared" si="739"/>
        <v>Base_Medium_High_Upgraded_Global Warming Potential (GWP) - kg CO2 eq_Clear Cove Primary Clarification; wastewater treatment unit; at updated plant - US_Base_With Amendment_Aerated Static Pile</v>
      </c>
    </row>
    <row r="9042" spans="1:13" s="120" customFormat="1" x14ac:dyDescent="0.25">
      <c r="A9042" s="119"/>
      <c r="B9042" s="138" t="str">
        <f t="shared" si="740"/>
        <v>Aerated Static Pile</v>
      </c>
      <c r="C9042" s="138" t="str">
        <f t="shared" si="741"/>
        <v>Base_With Amendment</v>
      </c>
      <c r="D9042" s="138" t="str">
        <f t="shared" si="744"/>
        <v>Medium_High</v>
      </c>
      <c r="E9042" s="138" t="str">
        <f t="shared" si="742"/>
        <v>Base</v>
      </c>
      <c r="F9042" s="138" t="str">
        <f t="shared" si="743"/>
        <v>Upgraded</v>
      </c>
      <c r="G9042" s="153"/>
      <c r="H9042" s="210">
        <v>0.21249999999999999</v>
      </c>
      <c r="I9042" s="160" t="s">
        <v>48</v>
      </c>
      <c r="J9042" s="160">
        <v>5.2639999999999999E-2</v>
      </c>
      <c r="K9042" s="160" t="s">
        <v>23</v>
      </c>
      <c r="L9042" s="154" t="str">
        <f>IF(OpenLCAbasic!K9042="CTUh", "Fill in Manually",IF(OR(K9042="Unit", K9042=""), "", INDEX(LookUps!$E$5:$E$12, MATCH(OpenLCAbasic!K9042,LookUps!$D$5:$D$12,0))))</f>
        <v>Global Warming Potential (GWP) - kg CO2 eq</v>
      </c>
      <c r="M9042" s="154" t="str">
        <f t="shared" si="739"/>
        <v>Base_Medium_High_Upgraded_Global Warming Potential (GWP) - kg CO2 eq_Effluent release; wastewater treatment unit; at surface water; m3 wastewater - US_Base_With Amendment_Aerated Static Pile</v>
      </c>
    </row>
    <row r="9043" spans="1:13" s="120" customFormat="1" x14ac:dyDescent="0.25">
      <c r="A9043" s="119"/>
      <c r="B9043" s="138" t="str">
        <f t="shared" si="740"/>
        <v>Aerated Static Pile</v>
      </c>
      <c r="C9043" s="138" t="str">
        <f t="shared" si="741"/>
        <v>Base_With Amendment</v>
      </c>
      <c r="D9043" s="138" t="str">
        <f t="shared" si="744"/>
        <v>Medium_High</v>
      </c>
      <c r="E9043" s="138" t="str">
        <f t="shared" si="742"/>
        <v>Base</v>
      </c>
      <c r="F9043" s="138" t="str">
        <f t="shared" si="743"/>
        <v>Upgraded</v>
      </c>
      <c r="G9043" s="153"/>
      <c r="H9043" s="210">
        <v>0.2039</v>
      </c>
      <c r="I9043" s="160" t="s">
        <v>147</v>
      </c>
      <c r="J9043" s="160">
        <v>5.0500000000000003E-2</v>
      </c>
      <c r="K9043" s="160" t="s">
        <v>23</v>
      </c>
      <c r="L9043" s="154" t="str">
        <f>IF(OpenLCAbasic!K9043="CTUh", "Fill in Manually",IF(OR(K9043="Unit", K9043=""), "", INDEX(LookUps!$E$5:$E$12, MATCH(OpenLCAbasic!K9043,LookUps!$D$5:$D$12,0))))</f>
        <v>Global Warming Potential (GWP) - kg CO2 eq</v>
      </c>
      <c r="M9043" s="154" t="str">
        <f t="shared" si="739"/>
        <v>Base_Medium_High_Upgraded_Global Warming Potential (GWP) - kg CO2 eq_Influent Pump Station; wastewater treatment unit; at updated plant - US_Base_With Amendment_Aerated Static Pile</v>
      </c>
    </row>
    <row r="9044" spans="1:13" s="120" customFormat="1" x14ac:dyDescent="0.25">
      <c r="A9044" s="119"/>
      <c r="B9044" s="138" t="str">
        <f t="shared" si="740"/>
        <v>Aerated Static Pile</v>
      </c>
      <c r="C9044" s="138" t="str">
        <f t="shared" si="741"/>
        <v>Base_With Amendment</v>
      </c>
      <c r="D9044" s="138" t="str">
        <f t="shared" si="744"/>
        <v>Medium_High</v>
      </c>
      <c r="E9044" s="138" t="str">
        <f t="shared" si="742"/>
        <v>Base</v>
      </c>
      <c r="F9044" s="138" t="str">
        <f t="shared" si="743"/>
        <v>Upgraded</v>
      </c>
      <c r="G9044" s="153"/>
      <c r="H9044" s="210">
        <v>0.13420000000000001</v>
      </c>
      <c r="I9044" s="160" t="s">
        <v>53</v>
      </c>
      <c r="J9044" s="160">
        <v>3.3259999999999998E-2</v>
      </c>
      <c r="K9044" s="160" t="s">
        <v>23</v>
      </c>
      <c r="L9044" s="154" t="str">
        <f>IF(OpenLCAbasic!K9044="CTUh", "Fill in Manually",IF(OR(K9044="Unit", K9044=""), "", INDEX(LookUps!$E$5:$E$12, MATCH(OpenLCAbasic!K9044,LookUps!$D$5:$D$12,0))))</f>
        <v>Global Warming Potential (GWP) - kg CO2 eq</v>
      </c>
      <c r="M9044" s="154" t="str">
        <f t="shared" si="739"/>
        <v>Base_Medium_High_Upgraded_Global Warming Potential (GWP) - kg CO2 eq_Wet Well and Sump Station; wastewater treatment unit; at updated plant - US_Base_With Amendment_Aerated Static Pile</v>
      </c>
    </row>
    <row r="9045" spans="1:13" s="120" customFormat="1" x14ac:dyDescent="0.25">
      <c r="A9045" s="119"/>
      <c r="B9045" s="138" t="str">
        <f t="shared" si="740"/>
        <v>Aerated Static Pile</v>
      </c>
      <c r="C9045" s="138" t="str">
        <f t="shared" si="741"/>
        <v>Base_With Amendment</v>
      </c>
      <c r="D9045" s="138" t="str">
        <f t="shared" si="744"/>
        <v>Medium_High</v>
      </c>
      <c r="E9045" s="138" t="str">
        <f t="shared" si="742"/>
        <v>Base</v>
      </c>
      <c r="F9045" s="138" t="str">
        <f t="shared" si="743"/>
        <v>Upgraded</v>
      </c>
      <c r="G9045" s="153"/>
      <c r="H9045" s="210">
        <v>6.8099999999999994E-2</v>
      </c>
      <c r="I9045" s="160" t="s">
        <v>60</v>
      </c>
      <c r="J9045" s="160">
        <v>1.6879999999999999E-2</v>
      </c>
      <c r="K9045" s="160" t="s">
        <v>23</v>
      </c>
      <c r="L9045" s="154" t="str">
        <f>IF(OpenLCAbasic!K9045="CTUh", "Fill in Manually",IF(OR(K9045="Unit", K9045=""), "", INDEX(LookUps!$E$5:$E$12, MATCH(OpenLCAbasic!K9045,LookUps!$D$5:$D$12,0))))</f>
        <v>Global Warming Potential (GWP) - kg CO2 eq</v>
      </c>
      <c r="M9045" s="154" t="str">
        <f t="shared" si="739"/>
        <v>Base_Medium_High_Upgraded_Global Warming Potential (GWP) - kg CO2 eq_Belt filter press; wastewater treatment unit; at updated plant - US_Base_With Amendment_Aerated Static Pile</v>
      </c>
    </row>
    <row r="9046" spans="1:13" s="120" customFormat="1" x14ac:dyDescent="0.25">
      <c r="A9046" s="119"/>
      <c r="B9046" s="138" t="str">
        <f t="shared" si="740"/>
        <v>Aerated Static Pile</v>
      </c>
      <c r="C9046" s="138" t="str">
        <f t="shared" si="741"/>
        <v>Base_With Amendment</v>
      </c>
      <c r="D9046" s="138" t="str">
        <f t="shared" si="744"/>
        <v>Medium_High</v>
      </c>
      <c r="E9046" s="138" t="str">
        <f t="shared" si="742"/>
        <v>Base</v>
      </c>
      <c r="F9046" s="138" t="str">
        <f t="shared" si="743"/>
        <v>Upgraded</v>
      </c>
      <c r="G9046" s="153"/>
      <c r="H9046" s="210">
        <v>5.8700000000000002E-2</v>
      </c>
      <c r="I9046" s="160" t="s">
        <v>57</v>
      </c>
      <c r="J9046" s="160">
        <v>1.455E-2</v>
      </c>
      <c r="K9046" s="160" t="s">
        <v>23</v>
      </c>
      <c r="L9046" s="154" t="str">
        <f>IF(OpenLCAbasic!K9046="CTUh", "Fill in Manually",IF(OR(K9046="Unit", K9046=""), "", INDEX(LookUps!$E$5:$E$12, MATCH(OpenLCAbasic!K9046,LookUps!$D$5:$D$12,0))))</f>
        <v>Global Warming Potential (GWP) - kg CO2 eq</v>
      </c>
      <c r="M9046" s="154" t="str">
        <f t="shared" si="739"/>
        <v>Base_Medium_High_Upgraded_Global Warming Potential (GWP) - kg CO2 eq_Gravity Belt Thickener; wastewater treatment unit; at updated plant - US_Base_With Amendment_Aerated Static Pile</v>
      </c>
    </row>
    <row r="9047" spans="1:13" s="120" customFormat="1" x14ac:dyDescent="0.25">
      <c r="A9047" s="119"/>
      <c r="B9047" s="138" t="str">
        <f t="shared" si="740"/>
        <v>Aerated Static Pile</v>
      </c>
      <c r="C9047" s="138" t="str">
        <f t="shared" si="741"/>
        <v>Base_With Amendment</v>
      </c>
      <c r="D9047" s="138" t="str">
        <f t="shared" si="744"/>
        <v>Medium_High</v>
      </c>
      <c r="E9047" s="138" t="str">
        <f t="shared" si="742"/>
        <v>Base</v>
      </c>
      <c r="F9047" s="138" t="str">
        <f t="shared" si="743"/>
        <v>Upgraded</v>
      </c>
      <c r="G9047" s="153"/>
      <c r="H9047" s="210">
        <v>5.45E-2</v>
      </c>
      <c r="I9047" s="160" t="s">
        <v>128</v>
      </c>
      <c r="J9047" s="160">
        <v>1.3509999999999999E-2</v>
      </c>
      <c r="K9047" s="160" t="s">
        <v>23</v>
      </c>
      <c r="L9047" s="154" t="str">
        <f>IF(OpenLCAbasic!K9047="CTUh", "Fill in Manually",IF(OR(K9047="Unit", K9047=""), "", INDEX(LookUps!$E$5:$E$12, MATCH(OpenLCAbasic!K9047,LookUps!$D$5:$D$12,0))))</f>
        <v>Global Warming Potential (GWP) - kg CO2 eq</v>
      </c>
      <c r="M9047" s="154" t="str">
        <f t="shared" si="739"/>
        <v>Base_Medium_High_Upgraded_Global Warming Potential (GWP) - kg CO2 eq_Wastewater collection; operation and infrastructure; m3 wastewater_Base_With Amendment_Aerated Static Pile</v>
      </c>
    </row>
    <row r="9048" spans="1:13" s="120" customFormat="1" x14ac:dyDescent="0.25">
      <c r="A9048" s="119"/>
      <c r="B9048" s="138" t="str">
        <f t="shared" si="740"/>
        <v>Aerated Static Pile</v>
      </c>
      <c r="C9048" s="138" t="str">
        <f t="shared" si="741"/>
        <v>Base_With Amendment</v>
      </c>
      <c r="D9048" s="138" t="str">
        <f t="shared" si="744"/>
        <v>Medium_High</v>
      </c>
      <c r="E9048" s="138" t="str">
        <f t="shared" si="742"/>
        <v>Base</v>
      </c>
      <c r="F9048" s="138" t="str">
        <f t="shared" si="743"/>
        <v>Upgraded</v>
      </c>
      <c r="G9048" s="153"/>
      <c r="H9048" s="210">
        <v>3.3500000000000002E-2</v>
      </c>
      <c r="I9048" s="160" t="s">
        <v>148</v>
      </c>
      <c r="J9048" s="160">
        <v>8.3000000000000001E-3</v>
      </c>
      <c r="K9048" s="160" t="s">
        <v>23</v>
      </c>
      <c r="L9048" s="154" t="str">
        <f>IF(OpenLCAbasic!K9048="CTUh", "Fill in Manually",IF(OR(K9048="Unit", K9048=""), "", INDEX(LookUps!$E$5:$E$12, MATCH(OpenLCAbasic!K9048,LookUps!$D$5:$D$12,0))))</f>
        <v>Global Warming Potential (GWP) - kg CO2 eq</v>
      </c>
      <c r="M9048" s="154" t="str">
        <f t="shared" si="739"/>
        <v>Base_Medium_High_Upgraded_Global Warming Potential (GWP) - kg CO2 eq_Control Building; at upgraded wastewater treatment plant - US_Base_With Amendment_Aerated Static Pile</v>
      </c>
    </row>
    <row r="9049" spans="1:13" s="120" customFormat="1" x14ac:dyDescent="0.25">
      <c r="A9049" s="119"/>
      <c r="B9049" s="138" t="str">
        <f t="shared" si="740"/>
        <v>Aerated Static Pile</v>
      </c>
      <c r="C9049" s="138" t="str">
        <f t="shared" si="741"/>
        <v>Base_With Amendment</v>
      </c>
      <c r="D9049" s="138" t="str">
        <f t="shared" si="744"/>
        <v>Medium_High</v>
      </c>
      <c r="E9049" s="138" t="str">
        <f t="shared" si="742"/>
        <v>Base</v>
      </c>
      <c r="F9049" s="138" t="str">
        <f t="shared" si="743"/>
        <v>Upgraded</v>
      </c>
      <c r="G9049" s="153"/>
      <c r="H9049" s="210">
        <v>2.0400000000000001E-2</v>
      </c>
      <c r="I9049" s="160" t="s">
        <v>59</v>
      </c>
      <c r="J9049" s="160">
        <v>5.0400000000000002E-3</v>
      </c>
      <c r="K9049" s="160" t="s">
        <v>23</v>
      </c>
      <c r="L9049" s="154" t="str">
        <f>IF(OpenLCAbasic!K9049="CTUh", "Fill in Manually",IF(OR(K9049="Unit", K9049=""), "", INDEX(LookUps!$E$5:$E$12, MATCH(OpenLCAbasic!K9049,LookUps!$D$5:$D$12,0))))</f>
        <v>Global Warming Potential (GWP) - kg CO2 eq</v>
      </c>
      <c r="M9049" s="154" t="str">
        <f t="shared" si="739"/>
        <v>Base_Medium_High_Upgraded_Global Warming Potential (GWP) - kg CO2 eq_Blend Tank; wastewater treatment unit; at updated plant - US_Base_With Amendment_Aerated Static Pile</v>
      </c>
    </row>
    <row r="9050" spans="1:13" s="120" customFormat="1" x14ac:dyDescent="0.25">
      <c r="A9050" s="119"/>
      <c r="B9050" s="138" t="str">
        <f t="shared" si="740"/>
        <v>Aerated Static Pile</v>
      </c>
      <c r="C9050" s="138" t="str">
        <f t="shared" si="741"/>
        <v>Base_With Amendment</v>
      </c>
      <c r="D9050" s="138" t="str">
        <f t="shared" si="744"/>
        <v>Medium_High</v>
      </c>
      <c r="E9050" s="138" t="str">
        <f t="shared" si="742"/>
        <v>Base</v>
      </c>
      <c r="F9050" s="138" t="str">
        <f t="shared" si="743"/>
        <v>Upgraded</v>
      </c>
      <c r="G9050" s="153"/>
      <c r="H9050" s="210">
        <v>9.7000000000000003E-3</v>
      </c>
      <c r="I9050" s="160" t="s">
        <v>168</v>
      </c>
      <c r="J9050" s="160">
        <v>2.4099999999999998E-3</v>
      </c>
      <c r="K9050" s="160" t="s">
        <v>23</v>
      </c>
      <c r="L9050" s="154" t="str">
        <f>IF(OpenLCAbasic!K9050="CTUh", "Fill in Manually",IF(OR(K9050="Unit", K9050=""), "", INDEX(LookUps!$E$5:$E$12, MATCH(OpenLCAbasic!K9050,LookUps!$D$5:$D$12,0))))</f>
        <v>Global Warming Potential (GWP) - kg CO2 eq</v>
      </c>
      <c r="M9050" s="154" t="str">
        <f t="shared" si="739"/>
        <v>Base_Medium_High_Upgraded_Global Warming Potential (GWP) - kg CO2 eq_ClearCove SCP; wastewater treatment unit; at updated plant - US_Base_With Amendment_Aerated Static Pile</v>
      </c>
    </row>
    <row r="9051" spans="1:13" s="120" customFormat="1" x14ac:dyDescent="0.25">
      <c r="A9051" s="119"/>
      <c r="B9051" s="138" t="str">
        <f t="shared" si="740"/>
        <v>Aerated Static Pile</v>
      </c>
      <c r="C9051" s="138" t="str">
        <f t="shared" si="741"/>
        <v>Base_With Amendment</v>
      </c>
      <c r="D9051" s="138" t="str">
        <f t="shared" si="744"/>
        <v>Medium_High</v>
      </c>
      <c r="E9051" s="138" t="str">
        <f t="shared" si="742"/>
        <v>Base</v>
      </c>
      <c r="F9051" s="138" t="str">
        <f t="shared" si="743"/>
        <v>Upgraded</v>
      </c>
      <c r="G9051" s="153"/>
      <c r="H9051" s="210">
        <v>-2.4264000000000001</v>
      </c>
      <c r="I9051" s="160" t="s">
        <v>149</v>
      </c>
      <c r="J9051" s="160">
        <v>-0.60107999999999995</v>
      </c>
      <c r="K9051" s="160" t="s">
        <v>23</v>
      </c>
      <c r="L9051" s="154" t="str">
        <f>IF(OpenLCAbasic!K9051="CTUh", "Fill in Manually",IF(OR(K9051="Unit", K9051=""), "", INDEX(LookUps!$E$5:$E$12, MATCH(OpenLCAbasic!K9051,LookUps!$D$5:$D$12,0))))</f>
        <v>Global Warming Potential (GWP) - kg CO2 eq</v>
      </c>
      <c r="M9051" s="154" t="str">
        <f t="shared" si="739"/>
        <v>Base_Medium_High_Upgraded_Global Warming Potential (GWP) - kg CO2 eq_Anaerobic Digestion; wastewater treatment unit; at updated plant - US_Base_With Amendment_Aerated Static Pile</v>
      </c>
    </row>
    <row r="9052" spans="1:13" s="120" customFormat="1" x14ac:dyDescent="0.25">
      <c r="A9052" s="119"/>
      <c r="B9052" s="138" t="str">
        <f t="shared" si="740"/>
        <v>Aerated Static Pile</v>
      </c>
      <c r="C9052" s="138" t="str">
        <f t="shared" si="741"/>
        <v>Base_With Amendment</v>
      </c>
      <c r="D9052" s="138" t="str">
        <f t="shared" si="744"/>
        <v>Medium_High</v>
      </c>
      <c r="E9052" s="138" t="str">
        <f t="shared" si="742"/>
        <v>Base</v>
      </c>
      <c r="F9052" s="138" t="str">
        <f t="shared" si="743"/>
        <v>Upgraded</v>
      </c>
      <c r="G9052" s="153"/>
      <c r="H9052" s="210">
        <v>-2.5209999999999999</v>
      </c>
      <c r="I9052" s="160" t="s">
        <v>62</v>
      </c>
      <c r="J9052" s="160">
        <v>-0.62451000000000001</v>
      </c>
      <c r="K9052" s="160" t="s">
        <v>23</v>
      </c>
      <c r="L9052" s="154" t="str">
        <f>IF(OpenLCAbasic!K9052="CTUh", "Fill in Manually",IF(OR(K9052="Unit", K9052=""), "", INDEX(LookUps!$E$5:$E$12, MATCH(OpenLCAbasic!K9052,LookUps!$D$5:$D$12,0))))</f>
        <v>Global Warming Potential (GWP) - kg CO2 eq</v>
      </c>
      <c r="M9052" s="154" t="str">
        <f t="shared" si="739"/>
        <v>Base_Medium_High_Upgraded_Global Warming Potential (GWP) - kg CO2 eq_Land application of compost; wastewater treatment unit; at updated plant - US_Base_With Amendment_Aerated Static Pile</v>
      </c>
    </row>
    <row r="9053" spans="1:13" s="120" customFormat="1" x14ac:dyDescent="0.25">
      <c r="A9053" s="119"/>
      <c r="B9053" s="138" t="str">
        <f t="shared" si="740"/>
        <v/>
      </c>
      <c r="C9053" s="138" t="str">
        <f t="shared" si="741"/>
        <v/>
      </c>
      <c r="D9053" s="138" t="str">
        <f t="shared" si="744"/>
        <v/>
      </c>
      <c r="E9053" s="138" t="str">
        <f t="shared" si="742"/>
        <v/>
      </c>
      <c r="F9053" s="138" t="str">
        <f t="shared" si="743"/>
        <v/>
      </c>
      <c r="G9053" s="153" t="s">
        <v>51</v>
      </c>
      <c r="H9053" s="160"/>
      <c r="I9053" s="160" t="s">
        <v>47</v>
      </c>
      <c r="J9053" s="160" t="s">
        <v>52</v>
      </c>
      <c r="K9053" s="160" t="s">
        <v>27</v>
      </c>
      <c r="L9053" s="154" t="str">
        <f>IF(OpenLCAbasic!K9053="CTUh", "Fill in Manually",IF(OR(K9053="Unit", K9053=""), "", INDEX(LookUps!$E$5:$E$12, MATCH(OpenLCAbasic!K9053,LookUps!$D$5:$D$12,0))))</f>
        <v/>
      </c>
      <c r="M9053" s="154" t="str">
        <f t="shared" si="739"/>
        <v>____Process__</v>
      </c>
    </row>
    <row r="9054" spans="1:13" s="120" customFormat="1" x14ac:dyDescent="0.25">
      <c r="A9054" s="119"/>
      <c r="B9054" s="138" t="str">
        <f t="shared" si="740"/>
        <v>Aerated Static Pile</v>
      </c>
      <c r="C9054" s="138" t="str">
        <f t="shared" si="741"/>
        <v>Base_With Amendment</v>
      </c>
      <c r="D9054" s="138" t="str">
        <f t="shared" si="744"/>
        <v>Medium_High</v>
      </c>
      <c r="E9054" s="138" t="str">
        <f t="shared" si="742"/>
        <v>Base</v>
      </c>
      <c r="F9054" s="138" t="str">
        <f t="shared" si="743"/>
        <v>Upgraded</v>
      </c>
      <c r="G9054" s="153"/>
      <c r="H9054" s="210">
        <v>1.6267</v>
      </c>
      <c r="I9054" s="160" t="s">
        <v>55</v>
      </c>
      <c r="J9054" s="160">
        <v>2.33E-3</v>
      </c>
      <c r="K9054" s="160" t="s">
        <v>145</v>
      </c>
      <c r="L9054" s="154" t="str">
        <f>IF(OpenLCAbasic!K9054="CTUh", "Fill in Manually",IF(OR(K9054="Unit", K9054=""), "", INDEX(LookUps!$E$5:$E$12, MATCH(OpenLCAbasic!K9054,LookUps!$D$5:$D$12,0))))</f>
        <v>Particulate Matter Formation Potential (PMFP) - kg PM2.5 eq</v>
      </c>
      <c r="M9054" s="154" t="str">
        <f t="shared" si="739"/>
        <v>Base_Medium_High_Upgraded_Particulate Matter Formation Potential (PMFP) - kg PM2.5 eq_Aeration Tanks; wastewater treatment unit; at updated plant - US_Base_With Amendment_Aerated Static Pile</v>
      </c>
    </row>
    <row r="9055" spans="1:13" s="120" customFormat="1" x14ac:dyDescent="0.25">
      <c r="A9055" s="119"/>
      <c r="B9055" s="138" t="str">
        <f t="shared" si="740"/>
        <v>Aerated Static Pile</v>
      </c>
      <c r="C9055" s="138" t="str">
        <f t="shared" si="741"/>
        <v>Base_With Amendment</v>
      </c>
      <c r="D9055" s="138" t="str">
        <f t="shared" si="744"/>
        <v>Medium_High</v>
      </c>
      <c r="E9055" s="138" t="str">
        <f t="shared" si="742"/>
        <v>Base</v>
      </c>
      <c r="F9055" s="138" t="str">
        <f t="shared" si="743"/>
        <v>Upgraded</v>
      </c>
      <c r="G9055" s="153"/>
      <c r="H9055" s="210">
        <v>0.78500000000000003</v>
      </c>
      <c r="I9055" s="160" t="s">
        <v>435</v>
      </c>
      <c r="J9055" s="160">
        <v>1.1299999999999999E-3</v>
      </c>
      <c r="K9055" s="160" t="s">
        <v>145</v>
      </c>
      <c r="L9055" s="154" t="str">
        <f>IF(OpenLCAbasic!K9055="CTUh", "Fill in Manually",IF(OR(K9055="Unit", K9055=""), "", INDEX(LookUps!$E$5:$E$12, MATCH(OpenLCAbasic!K9055,LookUps!$D$5:$D$12,0))))</f>
        <v>Particulate Matter Formation Potential (PMFP) - kg PM2.5 eq</v>
      </c>
      <c r="M9055" s="154" t="str">
        <f t="shared" si="739"/>
        <v>Base_Medium_High_Upgraded_Particulate Matter Formation Potential (PMFP) - kg PM2.5 eq_Biosolids composting; aerated static pile; wastewater treatment unit; at updated plant - US_Base_With Amendment_Aerated Static Pile</v>
      </c>
    </row>
    <row r="9056" spans="1:13" s="120" customFormat="1" x14ac:dyDescent="0.25">
      <c r="A9056" s="119"/>
      <c r="B9056" s="138" t="str">
        <f t="shared" si="740"/>
        <v>Aerated Static Pile</v>
      </c>
      <c r="C9056" s="138" t="str">
        <f t="shared" si="741"/>
        <v>Base_With Amendment</v>
      </c>
      <c r="D9056" s="138" t="str">
        <f t="shared" si="744"/>
        <v>Medium_High</v>
      </c>
      <c r="E9056" s="138" t="str">
        <f t="shared" si="742"/>
        <v>Base</v>
      </c>
      <c r="F9056" s="138" t="str">
        <f t="shared" si="743"/>
        <v>Upgraded</v>
      </c>
      <c r="G9056" s="153"/>
      <c r="H9056" s="210">
        <v>0.4733</v>
      </c>
      <c r="I9056" s="160" t="s">
        <v>54</v>
      </c>
      <c r="J9056" s="160">
        <v>6.8000000000000005E-4</v>
      </c>
      <c r="K9056" s="160" t="s">
        <v>145</v>
      </c>
      <c r="L9056" s="154" t="str">
        <f>IF(OpenLCAbasic!K9056="CTUh", "Fill in Manually",IF(OR(K9056="Unit", K9056=""), "", INDEX(LookUps!$E$5:$E$12, MATCH(OpenLCAbasic!K9056,LookUps!$D$5:$D$12,0))))</f>
        <v>Particulate Matter Formation Potential (PMFP) - kg PM2.5 eq</v>
      </c>
      <c r="M9056" s="154" t="str">
        <f t="shared" si="739"/>
        <v>Base_Medium_High_Upgraded_Particulate Matter Formation Potential (PMFP) - kg PM2.5 eq_Clear Cove Primary Clarification; wastewater treatment unit; at updated plant - US_Base_With Amendment_Aerated Static Pile</v>
      </c>
    </row>
    <row r="9057" spans="1:13" s="120" customFormat="1" x14ac:dyDescent="0.25">
      <c r="A9057" s="119"/>
      <c r="B9057" s="138" t="str">
        <f t="shared" si="740"/>
        <v>Aerated Static Pile</v>
      </c>
      <c r="C9057" s="138" t="str">
        <f t="shared" si="741"/>
        <v>Base_With Amendment</v>
      </c>
      <c r="D9057" s="138" t="str">
        <f t="shared" si="744"/>
        <v>Medium_High</v>
      </c>
      <c r="E9057" s="138" t="str">
        <f t="shared" si="742"/>
        <v>Base</v>
      </c>
      <c r="F9057" s="138" t="str">
        <f t="shared" si="743"/>
        <v>Upgraded</v>
      </c>
      <c r="G9057" s="153"/>
      <c r="H9057" s="210">
        <v>0.4103</v>
      </c>
      <c r="I9057" s="160" t="s">
        <v>58</v>
      </c>
      <c r="J9057" s="160">
        <v>5.9000000000000003E-4</v>
      </c>
      <c r="K9057" s="160" t="s">
        <v>145</v>
      </c>
      <c r="L9057" s="154" t="str">
        <f>IF(OpenLCAbasic!K9057="CTUh", "Fill in Manually",IF(OR(K9057="Unit", K9057=""), "", INDEX(LookUps!$E$5:$E$12, MATCH(OpenLCAbasic!K9057,LookUps!$D$5:$D$12,0))))</f>
        <v>Particulate Matter Formation Potential (PMFP) - kg PM2.5 eq</v>
      </c>
      <c r="M9057" s="154" t="str">
        <f t="shared" si="739"/>
        <v>Base_Medium_High_Upgraded_Particulate Matter Formation Potential (PMFP) - kg PM2.5 eq_Pre-Anoxic &amp; Swing tank; wastewater treatment unit; at updated plant - US_Base_With Amendment_Aerated Static Pile</v>
      </c>
    </row>
    <row r="9058" spans="1:13" s="120" customFormat="1" x14ac:dyDescent="0.25">
      <c r="A9058" s="119"/>
      <c r="B9058" s="138" t="str">
        <f t="shared" si="740"/>
        <v>Aerated Static Pile</v>
      </c>
      <c r="C9058" s="138" t="str">
        <f t="shared" si="741"/>
        <v>Base_With Amendment</v>
      </c>
      <c r="D9058" s="138" t="str">
        <f t="shared" si="744"/>
        <v>Medium_High</v>
      </c>
      <c r="E9058" s="138" t="str">
        <f t="shared" si="742"/>
        <v>Base</v>
      </c>
      <c r="F9058" s="138" t="str">
        <f t="shared" si="743"/>
        <v>Upgraded</v>
      </c>
      <c r="G9058" s="153"/>
      <c r="H9058" s="210">
        <v>0.32519999999999999</v>
      </c>
      <c r="I9058" s="160" t="s">
        <v>53</v>
      </c>
      <c r="J9058" s="160">
        <v>4.6999999999999999E-4</v>
      </c>
      <c r="K9058" s="160" t="s">
        <v>145</v>
      </c>
      <c r="L9058" s="154" t="str">
        <f>IF(OpenLCAbasic!K9058="CTUh", "Fill in Manually",IF(OR(K9058="Unit", K9058=""), "", INDEX(LookUps!$E$5:$E$12, MATCH(OpenLCAbasic!K9058,LookUps!$D$5:$D$12,0))))</f>
        <v>Particulate Matter Formation Potential (PMFP) - kg PM2.5 eq</v>
      </c>
      <c r="M9058" s="154" t="str">
        <f t="shared" si="739"/>
        <v>Base_Medium_High_Upgraded_Particulate Matter Formation Potential (PMFP) - kg PM2.5 eq_Wet Well and Sump Station; wastewater treatment unit; at updated plant - US_Base_With Amendment_Aerated Static Pile</v>
      </c>
    </row>
    <row r="9059" spans="1:13" s="120" customFormat="1" x14ac:dyDescent="0.25">
      <c r="A9059" s="119"/>
      <c r="B9059" s="138" t="str">
        <f t="shared" si="740"/>
        <v>Aerated Static Pile</v>
      </c>
      <c r="C9059" s="138" t="str">
        <f t="shared" si="741"/>
        <v>Base_With Amendment</v>
      </c>
      <c r="D9059" s="138" t="str">
        <f t="shared" si="744"/>
        <v>Medium_High</v>
      </c>
      <c r="E9059" s="138" t="str">
        <f t="shared" si="742"/>
        <v>Base</v>
      </c>
      <c r="F9059" s="138" t="str">
        <f t="shared" si="743"/>
        <v>Upgraded</v>
      </c>
      <c r="G9059" s="153"/>
      <c r="H9059" s="210">
        <v>0.21929999999999999</v>
      </c>
      <c r="I9059" s="160" t="s">
        <v>167</v>
      </c>
      <c r="J9059" s="160">
        <v>3.1E-4</v>
      </c>
      <c r="K9059" s="160" t="s">
        <v>145</v>
      </c>
      <c r="L9059" s="154" t="str">
        <f>IF(OpenLCAbasic!K9059="CTUh", "Fill in Manually",IF(OR(K9059="Unit", K9059=""), "", INDEX(LookUps!$E$5:$E$12, MATCH(OpenLCAbasic!K9059,LookUps!$D$5:$D$12,0))))</f>
        <v>Particulate Matter Formation Potential (PMFP) - kg PM2.5 eq</v>
      </c>
      <c r="M9059" s="154" t="str">
        <f t="shared" si="739"/>
        <v>Base_Medium_High_Upgraded_Particulate Matter Formation Potential (PMFP) - kg PM2.5 eq_Waste Receiving and Holding; wastewater treatment unit; at updated plant - US_Base_With Amendment_Aerated Static Pile</v>
      </c>
    </row>
    <row r="9060" spans="1:13" s="120" customFormat="1" x14ac:dyDescent="0.25">
      <c r="A9060" s="119"/>
      <c r="B9060" s="138" t="str">
        <f t="shared" si="740"/>
        <v>Aerated Static Pile</v>
      </c>
      <c r="C9060" s="138" t="str">
        <f t="shared" si="741"/>
        <v>Base_With Amendment</v>
      </c>
      <c r="D9060" s="138" t="str">
        <f t="shared" si="744"/>
        <v>Medium_High</v>
      </c>
      <c r="E9060" s="138" t="str">
        <f t="shared" si="742"/>
        <v>Base</v>
      </c>
      <c r="F9060" s="138" t="str">
        <f t="shared" si="743"/>
        <v>Upgraded</v>
      </c>
      <c r="G9060" s="153"/>
      <c r="H9060" s="210">
        <v>0.18590000000000001</v>
      </c>
      <c r="I9060" s="160" t="s">
        <v>147</v>
      </c>
      <c r="J9060" s="160">
        <v>2.7E-4</v>
      </c>
      <c r="K9060" s="160" t="s">
        <v>145</v>
      </c>
      <c r="L9060" s="154" t="str">
        <f>IF(OpenLCAbasic!K9060="CTUh", "Fill in Manually",IF(OR(K9060="Unit", K9060=""), "", INDEX(LookUps!$E$5:$E$12, MATCH(OpenLCAbasic!K9060,LookUps!$D$5:$D$12,0))))</f>
        <v>Particulate Matter Formation Potential (PMFP) - kg PM2.5 eq</v>
      </c>
      <c r="M9060" s="154" t="str">
        <f t="shared" si="739"/>
        <v>Base_Medium_High_Upgraded_Particulate Matter Formation Potential (PMFP) - kg PM2.5 eq_Influent Pump Station; wastewater treatment unit; at updated plant - US_Base_With Amendment_Aerated Static Pile</v>
      </c>
    </row>
    <row r="9061" spans="1:13" s="120" customFormat="1" x14ac:dyDescent="0.25">
      <c r="A9061" s="119"/>
      <c r="B9061" s="138" t="str">
        <f t="shared" si="740"/>
        <v>Aerated Static Pile</v>
      </c>
      <c r="C9061" s="138" t="str">
        <f t="shared" si="741"/>
        <v>Base_With Amendment</v>
      </c>
      <c r="D9061" s="138" t="str">
        <f t="shared" si="744"/>
        <v>Medium_High</v>
      </c>
      <c r="E9061" s="138" t="str">
        <f t="shared" si="742"/>
        <v>Base</v>
      </c>
      <c r="F9061" s="138" t="str">
        <f t="shared" si="743"/>
        <v>Upgraded</v>
      </c>
      <c r="G9061" s="153"/>
      <c r="H9061" s="210">
        <v>0.11600000000000001</v>
      </c>
      <c r="I9061" s="160" t="s">
        <v>128</v>
      </c>
      <c r="J9061" s="160">
        <v>1.7000000000000001E-4</v>
      </c>
      <c r="K9061" s="160" t="s">
        <v>145</v>
      </c>
      <c r="L9061" s="154" t="str">
        <f>IF(OpenLCAbasic!K9061="CTUh", "Fill in Manually",IF(OR(K9061="Unit", K9061=""), "", INDEX(LookUps!$E$5:$E$12, MATCH(OpenLCAbasic!K9061,LookUps!$D$5:$D$12,0))))</f>
        <v>Particulate Matter Formation Potential (PMFP) - kg PM2.5 eq</v>
      </c>
      <c r="M9061" s="154" t="str">
        <f t="shared" si="739"/>
        <v>Base_Medium_High_Upgraded_Particulate Matter Formation Potential (PMFP) - kg PM2.5 eq_Wastewater collection; operation and infrastructure; m3 wastewater_Base_With Amendment_Aerated Static Pile</v>
      </c>
    </row>
    <row r="9062" spans="1:13" s="120" customFormat="1" x14ac:dyDescent="0.25">
      <c r="A9062" s="119"/>
      <c r="B9062" s="138" t="str">
        <f t="shared" si="740"/>
        <v>Aerated Static Pile</v>
      </c>
      <c r="C9062" s="138" t="str">
        <f t="shared" si="741"/>
        <v>Base_With Amendment</v>
      </c>
      <c r="D9062" s="138" t="str">
        <f t="shared" si="744"/>
        <v>Medium_High</v>
      </c>
      <c r="E9062" s="138" t="str">
        <f t="shared" si="742"/>
        <v>Base</v>
      </c>
      <c r="F9062" s="138" t="str">
        <f t="shared" si="743"/>
        <v>Upgraded</v>
      </c>
      <c r="G9062" s="153"/>
      <c r="H9062" s="210">
        <v>9.6199999999999994E-2</v>
      </c>
      <c r="I9062" s="160" t="s">
        <v>60</v>
      </c>
      <c r="J9062" s="160">
        <v>1.3999999999999999E-4</v>
      </c>
      <c r="K9062" s="160" t="s">
        <v>145</v>
      </c>
      <c r="L9062" s="154" t="str">
        <f>IF(OpenLCAbasic!K9062="CTUh", "Fill in Manually",IF(OR(K9062="Unit", K9062=""), "", INDEX(LookUps!$E$5:$E$12, MATCH(OpenLCAbasic!K9062,LookUps!$D$5:$D$12,0))))</f>
        <v>Particulate Matter Formation Potential (PMFP) - kg PM2.5 eq</v>
      </c>
      <c r="M9062" s="154" t="str">
        <f t="shared" si="739"/>
        <v>Base_Medium_High_Upgraded_Particulate Matter Formation Potential (PMFP) - kg PM2.5 eq_Belt filter press; wastewater treatment unit; at updated plant - US_Base_With Amendment_Aerated Static Pile</v>
      </c>
    </row>
    <row r="9063" spans="1:13" s="120" customFormat="1" x14ac:dyDescent="0.25">
      <c r="A9063" s="119"/>
      <c r="B9063" s="138" t="str">
        <f t="shared" si="740"/>
        <v>Aerated Static Pile</v>
      </c>
      <c r="C9063" s="138" t="str">
        <f t="shared" si="741"/>
        <v>Base_With Amendment</v>
      </c>
      <c r="D9063" s="138" t="str">
        <f t="shared" si="744"/>
        <v>Medium_High</v>
      </c>
      <c r="E9063" s="138" t="str">
        <f t="shared" si="742"/>
        <v>Base</v>
      </c>
      <c r="F9063" s="138" t="str">
        <f t="shared" si="743"/>
        <v>Upgraded</v>
      </c>
      <c r="G9063" s="153"/>
      <c r="H9063" s="210">
        <v>6.6299999999999998E-2</v>
      </c>
      <c r="I9063" s="160" t="s">
        <v>57</v>
      </c>
      <c r="J9063" s="211">
        <v>9.5153800000000004E-5</v>
      </c>
      <c r="K9063" s="160" t="s">
        <v>145</v>
      </c>
      <c r="L9063" s="154" t="str">
        <f>IF(OpenLCAbasic!K9063="CTUh", "Fill in Manually",IF(OR(K9063="Unit", K9063=""), "", INDEX(LookUps!$E$5:$E$12, MATCH(OpenLCAbasic!K9063,LookUps!$D$5:$D$12,0))))</f>
        <v>Particulate Matter Formation Potential (PMFP) - kg PM2.5 eq</v>
      </c>
      <c r="M9063" s="154" t="str">
        <f t="shared" si="739"/>
        <v>Base_Medium_High_Upgraded_Particulate Matter Formation Potential (PMFP) - kg PM2.5 eq_Gravity Belt Thickener; wastewater treatment unit; at updated plant - US_Base_With Amendment_Aerated Static Pile</v>
      </c>
    </row>
    <row r="9064" spans="1:13" s="120" customFormat="1" x14ac:dyDescent="0.25">
      <c r="A9064" s="119"/>
      <c r="B9064" s="138" t="str">
        <f t="shared" si="740"/>
        <v>Aerated Static Pile</v>
      </c>
      <c r="C9064" s="138" t="str">
        <f t="shared" si="741"/>
        <v>Base_With Amendment</v>
      </c>
      <c r="D9064" s="138" t="str">
        <f t="shared" si="744"/>
        <v>Medium_High</v>
      </c>
      <c r="E9064" s="138" t="str">
        <f t="shared" si="742"/>
        <v>Base</v>
      </c>
      <c r="F9064" s="138" t="str">
        <f t="shared" si="743"/>
        <v>Upgraded</v>
      </c>
      <c r="G9064" s="153"/>
      <c r="H9064" s="210">
        <v>4.87E-2</v>
      </c>
      <c r="I9064" s="160" t="s">
        <v>59</v>
      </c>
      <c r="J9064" s="211">
        <v>6.9942200000000003E-5</v>
      </c>
      <c r="K9064" s="160" t="s">
        <v>145</v>
      </c>
      <c r="L9064" s="154" t="str">
        <f>IF(OpenLCAbasic!K9064="CTUh", "Fill in Manually",IF(OR(K9064="Unit", K9064=""), "", INDEX(LookUps!$E$5:$E$12, MATCH(OpenLCAbasic!K9064,LookUps!$D$5:$D$12,0))))</f>
        <v>Particulate Matter Formation Potential (PMFP) - kg PM2.5 eq</v>
      </c>
      <c r="M9064" s="154" t="str">
        <f t="shared" si="739"/>
        <v>Base_Medium_High_Upgraded_Particulate Matter Formation Potential (PMFP) - kg PM2.5 eq_Blend Tank; wastewater treatment unit; at updated plant - US_Base_With Amendment_Aerated Static Pile</v>
      </c>
    </row>
    <row r="9065" spans="1:13" s="120" customFormat="1" x14ac:dyDescent="0.25">
      <c r="A9065" s="119"/>
      <c r="B9065" s="138" t="str">
        <f t="shared" si="740"/>
        <v>Aerated Static Pile</v>
      </c>
      <c r="C9065" s="138" t="str">
        <f t="shared" si="741"/>
        <v>Base_With Amendment</v>
      </c>
      <c r="D9065" s="138" t="str">
        <f t="shared" si="744"/>
        <v>Medium_High</v>
      </c>
      <c r="E9065" s="138" t="str">
        <f t="shared" si="742"/>
        <v>Base</v>
      </c>
      <c r="F9065" s="138" t="str">
        <f t="shared" si="743"/>
        <v>Upgraded</v>
      </c>
      <c r="G9065" s="153"/>
      <c r="H9065" s="210">
        <v>3.9899999999999998E-2</v>
      </c>
      <c r="I9065" s="160" t="s">
        <v>62</v>
      </c>
      <c r="J9065" s="211">
        <v>5.7262700000000003E-5</v>
      </c>
      <c r="K9065" s="160" t="s">
        <v>145</v>
      </c>
      <c r="L9065" s="154" t="str">
        <f>IF(OpenLCAbasic!K9065="CTUh", "Fill in Manually",IF(OR(K9065="Unit", K9065=""), "", INDEX(LookUps!$E$5:$E$12, MATCH(OpenLCAbasic!K9065,LookUps!$D$5:$D$12,0))))</f>
        <v>Particulate Matter Formation Potential (PMFP) - kg PM2.5 eq</v>
      </c>
      <c r="M9065" s="154" t="str">
        <f t="shared" si="739"/>
        <v>Base_Medium_High_Upgraded_Particulate Matter Formation Potential (PMFP) - kg PM2.5 eq_Land application of compost; wastewater treatment unit; at updated plant - US_Base_With Amendment_Aerated Static Pile</v>
      </c>
    </row>
    <row r="9066" spans="1:13" s="120" customFormat="1" x14ac:dyDescent="0.25">
      <c r="A9066" s="119"/>
      <c r="B9066" s="138" t="str">
        <f t="shared" si="740"/>
        <v>Aerated Static Pile</v>
      </c>
      <c r="C9066" s="138" t="str">
        <f t="shared" si="741"/>
        <v>Base_With Amendment</v>
      </c>
      <c r="D9066" s="138" t="str">
        <f t="shared" si="744"/>
        <v>Medium_High</v>
      </c>
      <c r="E9066" s="138" t="str">
        <f t="shared" si="742"/>
        <v>Base</v>
      </c>
      <c r="F9066" s="138" t="str">
        <f t="shared" si="743"/>
        <v>Upgraded</v>
      </c>
      <c r="G9066" s="153"/>
      <c r="H9066" s="210">
        <v>3.4799999999999998E-2</v>
      </c>
      <c r="I9066" s="160" t="s">
        <v>48</v>
      </c>
      <c r="J9066" s="211">
        <v>4.99741E-5</v>
      </c>
      <c r="K9066" s="160" t="s">
        <v>145</v>
      </c>
      <c r="L9066" s="154" t="str">
        <f>IF(OpenLCAbasic!K9066="CTUh", "Fill in Manually",IF(OR(K9066="Unit", K9066=""), "", INDEX(LookUps!$E$5:$E$12, MATCH(OpenLCAbasic!K9066,LookUps!$D$5:$D$12,0))))</f>
        <v>Particulate Matter Formation Potential (PMFP) - kg PM2.5 eq</v>
      </c>
      <c r="M9066" s="154" t="str">
        <f t="shared" si="739"/>
        <v>Base_Medium_High_Upgraded_Particulate Matter Formation Potential (PMFP) - kg PM2.5 eq_Effluent release; wastewater treatment unit; at surface water; m3 wastewater - US_Base_With Amendment_Aerated Static Pile</v>
      </c>
    </row>
    <row r="9067" spans="1:13" s="120" customFormat="1" x14ac:dyDescent="0.25">
      <c r="A9067" s="119"/>
      <c r="B9067" s="138" t="str">
        <f t="shared" si="740"/>
        <v>Aerated Static Pile</v>
      </c>
      <c r="C9067" s="138" t="str">
        <f t="shared" si="741"/>
        <v>Base_With Amendment</v>
      </c>
      <c r="D9067" s="138" t="str">
        <f t="shared" si="744"/>
        <v>Medium_High</v>
      </c>
      <c r="E9067" s="138" t="str">
        <f t="shared" si="742"/>
        <v>Base</v>
      </c>
      <c r="F9067" s="138" t="str">
        <f t="shared" si="743"/>
        <v>Upgraded</v>
      </c>
      <c r="G9067" s="153"/>
      <c r="H9067" s="210">
        <v>2.41E-2</v>
      </c>
      <c r="I9067" s="160" t="s">
        <v>168</v>
      </c>
      <c r="J9067" s="211">
        <v>3.4562199999999999E-5</v>
      </c>
      <c r="K9067" s="160" t="s">
        <v>145</v>
      </c>
      <c r="L9067" s="154" t="str">
        <f>IF(OpenLCAbasic!K9067="CTUh", "Fill in Manually",IF(OR(K9067="Unit", K9067=""), "", INDEX(LookUps!$E$5:$E$12, MATCH(OpenLCAbasic!K9067,LookUps!$D$5:$D$12,0))))</f>
        <v>Particulate Matter Formation Potential (PMFP) - kg PM2.5 eq</v>
      </c>
      <c r="M9067" s="154" t="str">
        <f t="shared" si="739"/>
        <v>Base_Medium_High_Upgraded_Particulate Matter Formation Potential (PMFP) - kg PM2.5 eq_ClearCove SCP; wastewater treatment unit; at updated plant - US_Base_With Amendment_Aerated Static Pile</v>
      </c>
    </row>
    <row r="9068" spans="1:13" s="120" customFormat="1" x14ac:dyDescent="0.25">
      <c r="A9068" s="119"/>
      <c r="B9068" s="138" t="str">
        <f t="shared" si="740"/>
        <v>Aerated Static Pile</v>
      </c>
      <c r="C9068" s="138" t="str">
        <f t="shared" si="741"/>
        <v>Base_With Amendment</v>
      </c>
      <c r="D9068" s="138" t="str">
        <f t="shared" si="744"/>
        <v>Medium_High</v>
      </c>
      <c r="E9068" s="138" t="str">
        <f t="shared" si="742"/>
        <v>Base</v>
      </c>
      <c r="F9068" s="138" t="str">
        <f t="shared" si="743"/>
        <v>Upgraded</v>
      </c>
      <c r="G9068" s="153"/>
      <c r="H9068" s="210">
        <v>6.1000000000000004E-3</v>
      </c>
      <c r="I9068" s="160" t="s">
        <v>148</v>
      </c>
      <c r="J9068" s="211">
        <v>8.8212999999999997E-6</v>
      </c>
      <c r="K9068" s="160" t="s">
        <v>145</v>
      </c>
      <c r="L9068" s="154" t="str">
        <f>IF(OpenLCAbasic!K9068="CTUh", "Fill in Manually",IF(OR(K9068="Unit", K9068=""), "", INDEX(LookUps!$E$5:$E$12, MATCH(OpenLCAbasic!K9068,LookUps!$D$5:$D$12,0))))</f>
        <v>Particulate Matter Formation Potential (PMFP) - kg PM2.5 eq</v>
      </c>
      <c r="M9068" s="154" t="str">
        <f t="shared" si="739"/>
        <v>Base_Medium_High_Upgraded_Particulate Matter Formation Potential (PMFP) - kg PM2.5 eq_Control Building; at upgraded wastewater treatment plant - US_Base_With Amendment_Aerated Static Pile</v>
      </c>
    </row>
    <row r="9069" spans="1:13" s="120" customFormat="1" x14ac:dyDescent="0.25">
      <c r="A9069" s="119"/>
      <c r="B9069" s="138" t="str">
        <f t="shared" si="740"/>
        <v>Aerated Static Pile</v>
      </c>
      <c r="C9069" s="138" t="str">
        <f t="shared" si="741"/>
        <v>Base_With Amendment</v>
      </c>
      <c r="D9069" s="138" t="str">
        <f t="shared" si="744"/>
        <v>Medium_High</v>
      </c>
      <c r="E9069" s="138" t="str">
        <f t="shared" si="742"/>
        <v>Base</v>
      </c>
      <c r="F9069" s="138" t="str">
        <f t="shared" si="743"/>
        <v>Upgraded</v>
      </c>
      <c r="G9069" s="153"/>
      <c r="H9069" s="210">
        <v>-5.4580000000000002</v>
      </c>
      <c r="I9069" s="160" t="s">
        <v>149</v>
      </c>
      <c r="J9069" s="160">
        <v>-7.8300000000000002E-3</v>
      </c>
      <c r="K9069" s="160" t="s">
        <v>145</v>
      </c>
      <c r="L9069" s="154" t="str">
        <f>IF(OpenLCAbasic!K9069="CTUh", "Fill in Manually",IF(OR(K9069="Unit", K9069=""), "", INDEX(LookUps!$E$5:$E$12, MATCH(OpenLCAbasic!K9069,LookUps!$D$5:$D$12,0))))</f>
        <v>Particulate Matter Formation Potential (PMFP) - kg PM2.5 eq</v>
      </c>
      <c r="M9069" s="154" t="str">
        <f t="shared" si="739"/>
        <v>Base_Medium_High_Upgraded_Particulate Matter Formation Potential (PMFP) - kg PM2.5 eq_Anaerobic Digestion; wastewater treatment unit; at updated plant - US_Base_With Amendment_Aerated Static Pile</v>
      </c>
    </row>
    <row r="9070" spans="1:13" s="120" customFormat="1" x14ac:dyDescent="0.25">
      <c r="A9070" s="119"/>
      <c r="B9070" s="138" t="str">
        <f t="shared" si="740"/>
        <v/>
      </c>
      <c r="C9070" s="138" t="str">
        <f t="shared" si="741"/>
        <v/>
      </c>
      <c r="D9070" s="138" t="str">
        <f t="shared" si="744"/>
        <v/>
      </c>
      <c r="E9070" s="138" t="str">
        <f t="shared" si="742"/>
        <v/>
      </c>
      <c r="F9070" s="138" t="str">
        <f t="shared" si="743"/>
        <v/>
      </c>
      <c r="G9070" s="153" t="s">
        <v>51</v>
      </c>
      <c r="H9070" s="160"/>
      <c r="I9070" s="160" t="s">
        <v>47</v>
      </c>
      <c r="J9070" s="160" t="s">
        <v>52</v>
      </c>
      <c r="K9070" s="160" t="s">
        <v>27</v>
      </c>
      <c r="L9070" s="154" t="str">
        <f>IF(OpenLCAbasic!K9070="CTUh", "Fill in Manually",IF(OR(K9070="Unit", K9070=""), "", INDEX(LookUps!$E$5:$E$12, MATCH(OpenLCAbasic!K9070,LookUps!$D$5:$D$12,0))))</f>
        <v/>
      </c>
      <c r="M9070" s="154" t="str">
        <f t="shared" si="739"/>
        <v>____Process__</v>
      </c>
    </row>
    <row r="9071" spans="1:13" s="120" customFormat="1" x14ac:dyDescent="0.25">
      <c r="A9071" s="119"/>
      <c r="B9071" s="138" t="str">
        <f t="shared" si="740"/>
        <v>Aerated Static Pile</v>
      </c>
      <c r="C9071" s="138" t="str">
        <f t="shared" si="741"/>
        <v>Base_With Amendment</v>
      </c>
      <c r="D9071" s="138" t="str">
        <f t="shared" si="744"/>
        <v>Medium_High</v>
      </c>
      <c r="E9071" s="138" t="str">
        <f t="shared" si="742"/>
        <v>Base</v>
      </c>
      <c r="F9071" s="138" t="str">
        <f t="shared" si="743"/>
        <v>Upgraded</v>
      </c>
      <c r="G9071" s="153"/>
      <c r="H9071" s="210">
        <v>1.6009</v>
      </c>
      <c r="I9071" s="160" t="s">
        <v>55</v>
      </c>
      <c r="J9071" s="160">
        <v>0.16577</v>
      </c>
      <c r="K9071" s="160" t="s">
        <v>25</v>
      </c>
      <c r="L9071" s="154" t="str">
        <f>IF(OpenLCAbasic!K9071="CTUh", "Fill in Manually",IF(OR(K9071="Unit", K9071=""), "", INDEX(LookUps!$E$5:$E$12, MATCH(OpenLCAbasic!K9071,LookUps!$D$5:$D$12,0))))</f>
        <v>Smog Formation Potential (SFP) - kg O3 eq</v>
      </c>
      <c r="M9071" s="154" t="str">
        <f t="shared" si="739"/>
        <v>Base_Medium_High_Upgraded_Smog Formation Potential (SFP) - kg O3 eq_Aeration Tanks; wastewater treatment unit; at updated plant - US_Base_With Amendment_Aerated Static Pile</v>
      </c>
    </row>
    <row r="9072" spans="1:13" s="120" customFormat="1" x14ac:dyDescent="0.25">
      <c r="A9072" s="119"/>
      <c r="B9072" s="138" t="str">
        <f t="shared" si="740"/>
        <v>Aerated Static Pile</v>
      </c>
      <c r="C9072" s="138" t="str">
        <f t="shared" si="741"/>
        <v>Base_With Amendment</v>
      </c>
      <c r="D9072" s="138" t="str">
        <f t="shared" si="744"/>
        <v>Medium_High</v>
      </c>
      <c r="E9072" s="138" t="str">
        <f t="shared" si="742"/>
        <v>Base</v>
      </c>
      <c r="F9072" s="138" t="str">
        <f t="shared" si="743"/>
        <v>Upgraded</v>
      </c>
      <c r="G9072" s="153"/>
      <c r="H9072" s="210">
        <v>0.7651</v>
      </c>
      <c r="I9072" s="160" t="s">
        <v>435</v>
      </c>
      <c r="J9072" s="160">
        <v>7.9229999999999995E-2</v>
      </c>
      <c r="K9072" s="160" t="s">
        <v>25</v>
      </c>
      <c r="L9072" s="154" t="str">
        <f>IF(OpenLCAbasic!K9072="CTUh", "Fill in Manually",IF(OR(K9072="Unit", K9072=""), "", INDEX(LookUps!$E$5:$E$12, MATCH(OpenLCAbasic!K9072,LookUps!$D$5:$D$12,0))))</f>
        <v>Smog Formation Potential (SFP) - kg O3 eq</v>
      </c>
      <c r="M9072" s="154" t="str">
        <f t="shared" si="739"/>
        <v>Base_Medium_High_Upgraded_Smog Formation Potential (SFP) - kg O3 eq_Biosolids composting; aerated static pile; wastewater treatment unit; at updated plant - US_Base_With Amendment_Aerated Static Pile</v>
      </c>
    </row>
    <row r="9073" spans="1:13" s="120" customFormat="1" x14ac:dyDescent="0.25">
      <c r="A9073" s="119"/>
      <c r="B9073" s="138" t="str">
        <f t="shared" si="740"/>
        <v>Aerated Static Pile</v>
      </c>
      <c r="C9073" s="138" t="str">
        <f t="shared" si="741"/>
        <v>Base_With Amendment</v>
      </c>
      <c r="D9073" s="138" t="str">
        <f t="shared" si="744"/>
        <v>Medium_High</v>
      </c>
      <c r="E9073" s="138" t="str">
        <f t="shared" si="742"/>
        <v>Base</v>
      </c>
      <c r="F9073" s="138" t="str">
        <f t="shared" si="743"/>
        <v>Upgraded</v>
      </c>
      <c r="G9073" s="153"/>
      <c r="H9073" s="210">
        <v>0.46429999999999999</v>
      </c>
      <c r="I9073" s="160" t="s">
        <v>54</v>
      </c>
      <c r="J9073" s="160">
        <v>4.8070000000000002E-2</v>
      </c>
      <c r="K9073" s="160" t="s">
        <v>25</v>
      </c>
      <c r="L9073" s="154" t="str">
        <f>IF(OpenLCAbasic!K9073="CTUh", "Fill in Manually",IF(OR(K9073="Unit", K9073=""), "", INDEX(LookUps!$E$5:$E$12, MATCH(OpenLCAbasic!K9073,LookUps!$D$5:$D$12,0))))</f>
        <v>Smog Formation Potential (SFP) - kg O3 eq</v>
      </c>
      <c r="M9073" s="154" t="str">
        <f t="shared" si="739"/>
        <v>Base_Medium_High_Upgraded_Smog Formation Potential (SFP) - kg O3 eq_Clear Cove Primary Clarification; wastewater treatment unit; at updated plant - US_Base_With Amendment_Aerated Static Pile</v>
      </c>
    </row>
    <row r="9074" spans="1:13" s="120" customFormat="1" x14ac:dyDescent="0.25">
      <c r="A9074" s="119"/>
      <c r="B9074" s="138" t="str">
        <f t="shared" si="740"/>
        <v>Aerated Static Pile</v>
      </c>
      <c r="C9074" s="138" t="str">
        <f t="shared" si="741"/>
        <v>Base_With Amendment</v>
      </c>
      <c r="D9074" s="138" t="str">
        <f t="shared" si="744"/>
        <v>Medium_High</v>
      </c>
      <c r="E9074" s="138" t="str">
        <f t="shared" si="742"/>
        <v>Base</v>
      </c>
      <c r="F9074" s="138" t="str">
        <f t="shared" si="743"/>
        <v>Upgraded</v>
      </c>
      <c r="G9074" s="153"/>
      <c r="H9074" s="210">
        <v>0.40479999999999999</v>
      </c>
      <c r="I9074" s="160" t="s">
        <v>58</v>
      </c>
      <c r="J9074" s="160">
        <v>4.1919999999999999E-2</v>
      </c>
      <c r="K9074" s="160" t="s">
        <v>25</v>
      </c>
      <c r="L9074" s="154" t="str">
        <f>IF(OpenLCAbasic!K9074="CTUh", "Fill in Manually",IF(OR(K9074="Unit", K9074=""), "", INDEX(LookUps!$E$5:$E$12, MATCH(OpenLCAbasic!K9074,LookUps!$D$5:$D$12,0))))</f>
        <v>Smog Formation Potential (SFP) - kg O3 eq</v>
      </c>
      <c r="M9074" s="154" t="str">
        <f t="shared" si="739"/>
        <v>Base_Medium_High_Upgraded_Smog Formation Potential (SFP) - kg O3 eq_Pre-Anoxic &amp; Swing tank; wastewater treatment unit; at updated plant - US_Base_With Amendment_Aerated Static Pile</v>
      </c>
    </row>
    <row r="9075" spans="1:13" s="120" customFormat="1" x14ac:dyDescent="0.25">
      <c r="A9075" s="119"/>
      <c r="B9075" s="138" t="str">
        <f t="shared" si="740"/>
        <v>Aerated Static Pile</v>
      </c>
      <c r="C9075" s="138" t="str">
        <f t="shared" si="741"/>
        <v>Base_With Amendment</v>
      </c>
      <c r="D9075" s="138" t="str">
        <f t="shared" si="744"/>
        <v>Medium_High</v>
      </c>
      <c r="E9075" s="138" t="str">
        <f t="shared" si="742"/>
        <v>Base</v>
      </c>
      <c r="F9075" s="138" t="str">
        <f t="shared" si="743"/>
        <v>Upgraded</v>
      </c>
      <c r="G9075" s="153"/>
      <c r="H9075" s="210">
        <v>0.31990000000000002</v>
      </c>
      <c r="I9075" s="160" t="s">
        <v>53</v>
      </c>
      <c r="J9075" s="160">
        <v>3.313E-2</v>
      </c>
      <c r="K9075" s="160" t="s">
        <v>25</v>
      </c>
      <c r="L9075" s="154" t="str">
        <f>IF(OpenLCAbasic!K9075="CTUh", "Fill in Manually",IF(OR(K9075="Unit", K9075=""), "", INDEX(LookUps!$E$5:$E$12, MATCH(OpenLCAbasic!K9075,LookUps!$D$5:$D$12,0))))</f>
        <v>Smog Formation Potential (SFP) - kg O3 eq</v>
      </c>
      <c r="M9075" s="154" t="str">
        <f t="shared" ref="M9075:M9138" si="745">CONCATENATE(E9075,"_",D9075,"_",F9075,"_",L9075, "_",I9075,"_", C9075,"_", B9075)</f>
        <v>Base_Medium_High_Upgraded_Smog Formation Potential (SFP) - kg O3 eq_Wet Well and Sump Station; wastewater treatment unit; at updated plant - US_Base_With Amendment_Aerated Static Pile</v>
      </c>
    </row>
    <row r="9076" spans="1:13" s="120" customFormat="1" x14ac:dyDescent="0.25">
      <c r="A9076" s="119"/>
      <c r="B9076" s="138" t="str">
        <f t="shared" si="740"/>
        <v>Aerated Static Pile</v>
      </c>
      <c r="C9076" s="138" t="str">
        <f t="shared" si="741"/>
        <v>Base_With Amendment</v>
      </c>
      <c r="D9076" s="138" t="str">
        <f t="shared" si="744"/>
        <v>Medium_High</v>
      </c>
      <c r="E9076" s="138" t="str">
        <f t="shared" si="742"/>
        <v>Base</v>
      </c>
      <c r="F9076" s="138" t="str">
        <f t="shared" si="743"/>
        <v>Upgraded</v>
      </c>
      <c r="G9076" s="153"/>
      <c r="H9076" s="210">
        <v>0.29659999999999997</v>
      </c>
      <c r="I9076" s="160" t="s">
        <v>167</v>
      </c>
      <c r="J9076" s="160">
        <v>3.0710000000000001E-2</v>
      </c>
      <c r="K9076" s="160" t="s">
        <v>25</v>
      </c>
      <c r="L9076" s="154" t="str">
        <f>IF(OpenLCAbasic!K9076="CTUh", "Fill in Manually",IF(OR(K9076="Unit", K9076=""), "", INDEX(LookUps!$E$5:$E$12, MATCH(OpenLCAbasic!K9076,LookUps!$D$5:$D$12,0))))</f>
        <v>Smog Formation Potential (SFP) - kg O3 eq</v>
      </c>
      <c r="M9076" s="154" t="str">
        <f t="shared" si="745"/>
        <v>Base_Medium_High_Upgraded_Smog Formation Potential (SFP) - kg O3 eq_Waste Receiving and Holding; wastewater treatment unit; at updated plant - US_Base_With Amendment_Aerated Static Pile</v>
      </c>
    </row>
    <row r="9077" spans="1:13" s="120" customFormat="1" x14ac:dyDescent="0.25">
      <c r="A9077" s="119"/>
      <c r="B9077" s="138" t="str">
        <f t="shared" si="740"/>
        <v>Aerated Static Pile</v>
      </c>
      <c r="C9077" s="138" t="str">
        <f t="shared" si="741"/>
        <v>Base_With Amendment</v>
      </c>
      <c r="D9077" s="138" t="str">
        <f t="shared" si="744"/>
        <v>Medium_High</v>
      </c>
      <c r="E9077" s="138" t="str">
        <f t="shared" si="742"/>
        <v>Base</v>
      </c>
      <c r="F9077" s="138" t="str">
        <f t="shared" si="743"/>
        <v>Upgraded</v>
      </c>
      <c r="G9077" s="153"/>
      <c r="H9077" s="210">
        <v>0.18729999999999999</v>
      </c>
      <c r="I9077" s="160" t="s">
        <v>147</v>
      </c>
      <c r="J9077" s="160">
        <v>1.9400000000000001E-2</v>
      </c>
      <c r="K9077" s="160" t="s">
        <v>25</v>
      </c>
      <c r="L9077" s="154" t="str">
        <f>IF(OpenLCAbasic!K9077="CTUh", "Fill in Manually",IF(OR(K9077="Unit", K9077=""), "", INDEX(LookUps!$E$5:$E$12, MATCH(OpenLCAbasic!K9077,LookUps!$D$5:$D$12,0))))</f>
        <v>Smog Formation Potential (SFP) - kg O3 eq</v>
      </c>
      <c r="M9077" s="154" t="str">
        <f t="shared" si="745"/>
        <v>Base_Medium_High_Upgraded_Smog Formation Potential (SFP) - kg O3 eq_Influent Pump Station; wastewater treatment unit; at updated plant - US_Base_With Amendment_Aerated Static Pile</v>
      </c>
    </row>
    <row r="9078" spans="1:13" s="120" customFormat="1" x14ac:dyDescent="0.25">
      <c r="A9078" s="119"/>
      <c r="B9078" s="138" t="str">
        <f t="shared" si="740"/>
        <v>Aerated Static Pile</v>
      </c>
      <c r="C9078" s="138" t="str">
        <f t="shared" si="741"/>
        <v>Base_With Amendment</v>
      </c>
      <c r="D9078" s="138" t="str">
        <f t="shared" si="744"/>
        <v>Medium_High</v>
      </c>
      <c r="E9078" s="138" t="str">
        <f t="shared" si="742"/>
        <v>Base</v>
      </c>
      <c r="F9078" s="138" t="str">
        <f t="shared" si="743"/>
        <v>Upgraded</v>
      </c>
      <c r="G9078" s="153"/>
      <c r="H9078" s="210">
        <v>0.11509999999999999</v>
      </c>
      <c r="I9078" s="160" t="s">
        <v>128</v>
      </c>
      <c r="J9078" s="160">
        <v>1.192E-2</v>
      </c>
      <c r="K9078" s="160" t="s">
        <v>25</v>
      </c>
      <c r="L9078" s="154" t="str">
        <f>IF(OpenLCAbasic!K9078="CTUh", "Fill in Manually",IF(OR(K9078="Unit", K9078=""), "", INDEX(LookUps!$E$5:$E$12, MATCH(OpenLCAbasic!K9078,LookUps!$D$5:$D$12,0))))</f>
        <v>Smog Formation Potential (SFP) - kg O3 eq</v>
      </c>
      <c r="M9078" s="154" t="str">
        <f t="shared" si="745"/>
        <v>Base_Medium_High_Upgraded_Smog Formation Potential (SFP) - kg O3 eq_Wastewater collection; operation and infrastructure; m3 wastewater_Base_With Amendment_Aerated Static Pile</v>
      </c>
    </row>
    <row r="9079" spans="1:13" s="120" customFormat="1" x14ac:dyDescent="0.25">
      <c r="A9079" s="119"/>
      <c r="B9079" s="138" t="str">
        <f t="shared" si="740"/>
        <v>Aerated Static Pile</v>
      </c>
      <c r="C9079" s="138" t="str">
        <f t="shared" si="741"/>
        <v>Base_With Amendment</v>
      </c>
      <c r="D9079" s="138" t="str">
        <f t="shared" si="744"/>
        <v>Medium_High</v>
      </c>
      <c r="E9079" s="138" t="str">
        <f t="shared" si="742"/>
        <v>Base</v>
      </c>
      <c r="F9079" s="138" t="str">
        <f t="shared" si="743"/>
        <v>Upgraded</v>
      </c>
      <c r="G9079" s="153"/>
      <c r="H9079" s="210">
        <v>9.3700000000000006E-2</v>
      </c>
      <c r="I9079" s="160" t="s">
        <v>60</v>
      </c>
      <c r="J9079" s="160">
        <v>9.7099999999999999E-3</v>
      </c>
      <c r="K9079" s="160" t="s">
        <v>25</v>
      </c>
      <c r="L9079" s="154" t="str">
        <f>IF(OpenLCAbasic!K9079="CTUh", "Fill in Manually",IF(OR(K9079="Unit", K9079=""), "", INDEX(LookUps!$E$5:$E$12, MATCH(OpenLCAbasic!K9079,LookUps!$D$5:$D$12,0))))</f>
        <v>Smog Formation Potential (SFP) - kg O3 eq</v>
      </c>
      <c r="M9079" s="154" t="str">
        <f t="shared" si="745"/>
        <v>Base_Medium_High_Upgraded_Smog Formation Potential (SFP) - kg O3 eq_Belt filter press; wastewater treatment unit; at updated plant - US_Base_With Amendment_Aerated Static Pile</v>
      </c>
    </row>
    <row r="9080" spans="1:13" s="120" customFormat="1" x14ac:dyDescent="0.25">
      <c r="A9080" s="119"/>
      <c r="B9080" s="138" t="str">
        <f t="shared" si="740"/>
        <v>Aerated Static Pile</v>
      </c>
      <c r="C9080" s="138" t="str">
        <f t="shared" si="741"/>
        <v>Base_With Amendment</v>
      </c>
      <c r="D9080" s="138" t="str">
        <f t="shared" si="744"/>
        <v>Medium_High</v>
      </c>
      <c r="E9080" s="138" t="str">
        <f t="shared" si="742"/>
        <v>Base</v>
      </c>
      <c r="F9080" s="138" t="str">
        <f t="shared" si="743"/>
        <v>Upgraded</v>
      </c>
      <c r="G9080" s="153"/>
      <c r="H9080" s="210">
        <v>6.4299999999999996E-2</v>
      </c>
      <c r="I9080" s="160" t="s">
        <v>57</v>
      </c>
      <c r="J9080" s="160">
        <v>6.6499999999999997E-3</v>
      </c>
      <c r="K9080" s="160" t="s">
        <v>25</v>
      </c>
      <c r="L9080" s="154" t="str">
        <f>IF(OpenLCAbasic!K9080="CTUh", "Fill in Manually",IF(OR(K9080="Unit", K9080=""), "", INDEX(LookUps!$E$5:$E$12, MATCH(OpenLCAbasic!K9080,LookUps!$D$5:$D$12,0))))</f>
        <v>Smog Formation Potential (SFP) - kg O3 eq</v>
      </c>
      <c r="M9080" s="154" t="str">
        <f t="shared" si="745"/>
        <v>Base_Medium_High_Upgraded_Smog Formation Potential (SFP) - kg O3 eq_Gravity Belt Thickener; wastewater treatment unit; at updated plant - US_Base_With Amendment_Aerated Static Pile</v>
      </c>
    </row>
    <row r="9081" spans="1:13" s="120" customFormat="1" x14ac:dyDescent="0.25">
      <c r="A9081" s="119"/>
      <c r="B9081" s="138" t="str">
        <f t="shared" ref="B9081:B9144" si="746">IF(F9081="Legacy","n.a.",IF(F9081="","","Aerated Static Pile"))</f>
        <v>Aerated Static Pile</v>
      </c>
      <c r="C9081" s="138" t="str">
        <f t="shared" ref="C9081:C9144" si="747">IF(ISNUMBER($J9081),"Base_With Amendment","")</f>
        <v>Base_With Amendment</v>
      </c>
      <c r="D9081" s="138" t="str">
        <f t="shared" si="744"/>
        <v>Medium_High</v>
      </c>
      <c r="E9081" s="138" t="str">
        <f t="shared" ref="E9081:E9144" si="748">IF(ISNUMBER($J9081),"Base","")</f>
        <v>Base</v>
      </c>
      <c r="F9081" s="138" t="str">
        <f t="shared" ref="F9081:F9144" si="749">IF(ISNUMBER(J9081),"Upgraded","")</f>
        <v>Upgraded</v>
      </c>
      <c r="G9081" s="153"/>
      <c r="H9081" s="210">
        <v>4.8000000000000001E-2</v>
      </c>
      <c r="I9081" s="160" t="s">
        <v>59</v>
      </c>
      <c r="J9081" s="160">
        <v>4.9699999999999996E-3</v>
      </c>
      <c r="K9081" s="160" t="s">
        <v>25</v>
      </c>
      <c r="L9081" s="154" t="str">
        <f>IF(OpenLCAbasic!K9081="CTUh", "Fill in Manually",IF(OR(K9081="Unit", K9081=""), "", INDEX(LookUps!$E$5:$E$12, MATCH(OpenLCAbasic!K9081,LookUps!$D$5:$D$12,0))))</f>
        <v>Smog Formation Potential (SFP) - kg O3 eq</v>
      </c>
      <c r="M9081" s="154" t="str">
        <f t="shared" si="745"/>
        <v>Base_Medium_High_Upgraded_Smog Formation Potential (SFP) - kg O3 eq_Blend Tank; wastewater treatment unit; at updated plant - US_Base_With Amendment_Aerated Static Pile</v>
      </c>
    </row>
    <row r="9082" spans="1:13" s="120" customFormat="1" x14ac:dyDescent="0.25">
      <c r="A9082" s="119"/>
      <c r="B9082" s="138" t="str">
        <f t="shared" si="746"/>
        <v>Aerated Static Pile</v>
      </c>
      <c r="C9082" s="138" t="str">
        <f t="shared" si="747"/>
        <v>Base_With Amendment</v>
      </c>
      <c r="D9082" s="138" t="str">
        <f t="shared" si="744"/>
        <v>Medium_High</v>
      </c>
      <c r="E9082" s="138" t="str">
        <f t="shared" si="748"/>
        <v>Base</v>
      </c>
      <c r="F9082" s="138" t="str">
        <f t="shared" si="749"/>
        <v>Upgraded</v>
      </c>
      <c r="G9082" s="153"/>
      <c r="H9082" s="210">
        <v>3.27E-2</v>
      </c>
      <c r="I9082" s="160" t="s">
        <v>48</v>
      </c>
      <c r="J9082" s="160">
        <v>3.3899999999999998E-3</v>
      </c>
      <c r="K9082" s="160" t="s">
        <v>25</v>
      </c>
      <c r="L9082" s="154" t="str">
        <f>IF(OpenLCAbasic!K9082="CTUh", "Fill in Manually",IF(OR(K9082="Unit", K9082=""), "", INDEX(LookUps!$E$5:$E$12, MATCH(OpenLCAbasic!K9082,LookUps!$D$5:$D$12,0))))</f>
        <v>Smog Formation Potential (SFP) - kg O3 eq</v>
      </c>
      <c r="M9082" s="154" t="str">
        <f t="shared" si="745"/>
        <v>Base_Medium_High_Upgraded_Smog Formation Potential (SFP) - kg O3 eq_Effluent release; wastewater treatment unit; at surface water; m3 wastewater - US_Base_With Amendment_Aerated Static Pile</v>
      </c>
    </row>
    <row r="9083" spans="1:13" s="120" customFormat="1" x14ac:dyDescent="0.25">
      <c r="A9083" s="119"/>
      <c r="B9083" s="138" t="str">
        <f t="shared" si="746"/>
        <v>Aerated Static Pile</v>
      </c>
      <c r="C9083" s="138" t="str">
        <f t="shared" si="747"/>
        <v>Base_With Amendment</v>
      </c>
      <c r="D9083" s="138" t="str">
        <f t="shared" si="744"/>
        <v>Medium_High</v>
      </c>
      <c r="E9083" s="138" t="str">
        <f t="shared" si="748"/>
        <v>Base</v>
      </c>
      <c r="F9083" s="138" t="str">
        <f t="shared" si="749"/>
        <v>Upgraded</v>
      </c>
      <c r="G9083" s="153"/>
      <c r="H9083" s="210">
        <v>2.3699999999999999E-2</v>
      </c>
      <c r="I9083" s="160" t="s">
        <v>168</v>
      </c>
      <c r="J9083" s="160">
        <v>2.4599999999999999E-3</v>
      </c>
      <c r="K9083" s="160" t="s">
        <v>25</v>
      </c>
      <c r="L9083" s="154" t="str">
        <f>IF(OpenLCAbasic!K9083="CTUh", "Fill in Manually",IF(OR(K9083="Unit", K9083=""), "", INDEX(LookUps!$E$5:$E$12, MATCH(OpenLCAbasic!K9083,LookUps!$D$5:$D$12,0))))</f>
        <v>Smog Formation Potential (SFP) - kg O3 eq</v>
      </c>
      <c r="M9083" s="154" t="str">
        <f t="shared" si="745"/>
        <v>Base_Medium_High_Upgraded_Smog Formation Potential (SFP) - kg O3 eq_ClearCove SCP; wastewater treatment unit; at updated plant - US_Base_With Amendment_Aerated Static Pile</v>
      </c>
    </row>
    <row r="9084" spans="1:13" s="120" customFormat="1" x14ac:dyDescent="0.25">
      <c r="A9084" s="119"/>
      <c r="B9084" s="138" t="str">
        <f t="shared" si="746"/>
        <v>Aerated Static Pile</v>
      </c>
      <c r="C9084" s="138" t="str">
        <f t="shared" si="747"/>
        <v>Base_With Amendment</v>
      </c>
      <c r="D9084" s="138" t="str">
        <f t="shared" si="744"/>
        <v>Medium_High</v>
      </c>
      <c r="E9084" s="138" t="str">
        <f t="shared" si="748"/>
        <v>Base</v>
      </c>
      <c r="F9084" s="138" t="str">
        <f t="shared" si="749"/>
        <v>Upgraded</v>
      </c>
      <c r="G9084" s="153"/>
      <c r="H9084" s="210">
        <v>5.1999999999999998E-3</v>
      </c>
      <c r="I9084" s="160" t="s">
        <v>148</v>
      </c>
      <c r="J9084" s="160">
        <v>5.4000000000000001E-4</v>
      </c>
      <c r="K9084" s="160" t="s">
        <v>25</v>
      </c>
      <c r="L9084" s="154" t="str">
        <f>IF(OpenLCAbasic!K9084="CTUh", "Fill in Manually",IF(OR(K9084="Unit", K9084=""), "", INDEX(LookUps!$E$5:$E$12, MATCH(OpenLCAbasic!K9084,LookUps!$D$5:$D$12,0))))</f>
        <v>Smog Formation Potential (SFP) - kg O3 eq</v>
      </c>
      <c r="M9084" s="154" t="str">
        <f t="shared" si="745"/>
        <v>Base_Medium_High_Upgraded_Smog Formation Potential (SFP) - kg O3 eq_Control Building; at upgraded wastewater treatment plant - US_Base_With Amendment_Aerated Static Pile</v>
      </c>
    </row>
    <row r="9085" spans="1:13" s="120" customFormat="1" x14ac:dyDescent="0.25">
      <c r="A9085" s="119"/>
      <c r="B9085" s="138" t="str">
        <f t="shared" si="746"/>
        <v>Aerated Static Pile</v>
      </c>
      <c r="C9085" s="138" t="str">
        <f t="shared" si="747"/>
        <v>Base_With Amendment</v>
      </c>
      <c r="D9085" s="138" t="str">
        <f t="shared" si="744"/>
        <v>Medium_High</v>
      </c>
      <c r="E9085" s="138" t="str">
        <f t="shared" si="748"/>
        <v>Base</v>
      </c>
      <c r="F9085" s="138" t="str">
        <f t="shared" si="749"/>
        <v>Upgraded</v>
      </c>
      <c r="G9085" s="153"/>
      <c r="H9085" s="210">
        <v>-3.5700000000000003E-2</v>
      </c>
      <c r="I9085" s="160" t="s">
        <v>62</v>
      </c>
      <c r="J9085" s="160">
        <v>-3.6900000000000001E-3</v>
      </c>
      <c r="K9085" s="160" t="s">
        <v>25</v>
      </c>
      <c r="L9085" s="154" t="str">
        <f>IF(OpenLCAbasic!K9085="CTUh", "Fill in Manually",IF(OR(K9085="Unit", K9085=""), "", INDEX(LookUps!$E$5:$E$12, MATCH(OpenLCAbasic!K9085,LookUps!$D$5:$D$12,0))))</f>
        <v>Smog Formation Potential (SFP) - kg O3 eq</v>
      </c>
      <c r="M9085" s="154" t="str">
        <f t="shared" si="745"/>
        <v>Base_Medium_High_Upgraded_Smog Formation Potential (SFP) - kg O3 eq_Land application of compost; wastewater treatment unit; at updated plant - US_Base_With Amendment_Aerated Static Pile</v>
      </c>
    </row>
    <row r="9086" spans="1:13" s="120" customFormat="1" x14ac:dyDescent="0.25">
      <c r="A9086" s="119"/>
      <c r="B9086" s="138" t="str">
        <f t="shared" si="746"/>
        <v>Aerated Static Pile</v>
      </c>
      <c r="C9086" s="138" t="str">
        <f t="shared" si="747"/>
        <v>Base_With Amendment</v>
      </c>
      <c r="D9086" s="138" t="str">
        <f t="shared" si="744"/>
        <v>Medium_High</v>
      </c>
      <c r="E9086" s="138" t="str">
        <f t="shared" si="748"/>
        <v>Base</v>
      </c>
      <c r="F9086" s="138" t="str">
        <f t="shared" si="749"/>
        <v>Upgraded</v>
      </c>
      <c r="G9086" s="153"/>
      <c r="H9086" s="210">
        <v>-5.3860000000000001</v>
      </c>
      <c r="I9086" s="160" t="s">
        <v>149</v>
      </c>
      <c r="J9086" s="160">
        <v>-0.55771000000000004</v>
      </c>
      <c r="K9086" s="160" t="s">
        <v>25</v>
      </c>
      <c r="L9086" s="154" t="str">
        <f>IF(OpenLCAbasic!K9086="CTUh", "Fill in Manually",IF(OR(K9086="Unit", K9086=""), "", INDEX(LookUps!$E$5:$E$12, MATCH(OpenLCAbasic!K9086,LookUps!$D$5:$D$12,0))))</f>
        <v>Smog Formation Potential (SFP) - kg O3 eq</v>
      </c>
      <c r="M9086" s="154" t="str">
        <f t="shared" si="745"/>
        <v>Base_Medium_High_Upgraded_Smog Formation Potential (SFP) - kg O3 eq_Anaerobic Digestion; wastewater treatment unit; at updated plant - US_Base_With Amendment_Aerated Static Pile</v>
      </c>
    </row>
    <row r="9087" spans="1:13" s="120" customFormat="1" x14ac:dyDescent="0.25">
      <c r="A9087" s="119"/>
      <c r="B9087" s="138" t="str">
        <f t="shared" si="746"/>
        <v/>
      </c>
      <c r="C9087" s="138" t="str">
        <f t="shared" si="747"/>
        <v/>
      </c>
      <c r="D9087" s="138" t="str">
        <f t="shared" si="744"/>
        <v/>
      </c>
      <c r="E9087" s="138" t="str">
        <f t="shared" si="748"/>
        <v/>
      </c>
      <c r="F9087" s="138" t="str">
        <f t="shared" si="749"/>
        <v/>
      </c>
      <c r="G9087" s="153" t="s">
        <v>51</v>
      </c>
      <c r="H9087" s="160"/>
      <c r="I9087" s="160" t="s">
        <v>47</v>
      </c>
      <c r="J9087" s="160" t="s">
        <v>52</v>
      </c>
      <c r="K9087" s="160" t="s">
        <v>27</v>
      </c>
      <c r="L9087" s="154" t="str">
        <f>IF(OpenLCAbasic!K9087="CTUh", "Fill in Manually",IF(OR(K9087="Unit", K9087=""), "", INDEX(LookUps!$E$5:$E$12, MATCH(OpenLCAbasic!K9087,LookUps!$D$5:$D$12,0))))</f>
        <v/>
      </c>
      <c r="M9087" s="154" t="str">
        <f t="shared" si="745"/>
        <v>____Process__</v>
      </c>
    </row>
    <row r="9088" spans="1:13" s="120" customFormat="1" x14ac:dyDescent="0.25">
      <c r="A9088" s="119"/>
      <c r="B9088" s="138" t="str">
        <f t="shared" si="746"/>
        <v>Aerated Static Pile</v>
      </c>
      <c r="C9088" s="138" t="str">
        <f t="shared" si="747"/>
        <v>Base_With Amendment</v>
      </c>
      <c r="D9088" s="138" t="str">
        <f t="shared" si="744"/>
        <v>Medium_High</v>
      </c>
      <c r="E9088" s="138" t="str">
        <f t="shared" si="748"/>
        <v>Base</v>
      </c>
      <c r="F9088" s="138" t="str">
        <f t="shared" si="749"/>
        <v>Upgraded</v>
      </c>
      <c r="G9088" s="153"/>
      <c r="H9088" s="210">
        <v>0.56879999999999997</v>
      </c>
      <c r="I9088" s="160" t="s">
        <v>167</v>
      </c>
      <c r="J9088" s="160">
        <v>2.7999999999999998E-4</v>
      </c>
      <c r="K9088" s="160" t="s">
        <v>26</v>
      </c>
      <c r="L9088" s="154" t="str">
        <f>IF(OpenLCAbasic!K9088="CTUh", "Fill in Manually",IF(OR(K9088="Unit", K9088=""), "", INDEX(LookUps!$E$5:$E$12, MATCH(OpenLCAbasic!K9088,LookUps!$D$5:$D$12,0))))</f>
        <v>Water Use (WU) - m3 H2O</v>
      </c>
      <c r="M9088" s="154" t="str">
        <f t="shared" si="745"/>
        <v>Base_Medium_High_Upgraded_Water Use (WU) - m3 H2O_Waste Receiving and Holding; wastewater treatment unit; at updated plant - US_Base_With Amendment_Aerated Static Pile</v>
      </c>
    </row>
    <row r="9089" spans="1:13" s="120" customFormat="1" x14ac:dyDescent="0.25">
      <c r="A9089" s="119"/>
      <c r="B9089" s="138" t="str">
        <f t="shared" si="746"/>
        <v>Aerated Static Pile</v>
      </c>
      <c r="C9089" s="138" t="str">
        <f t="shared" si="747"/>
        <v>Base_With Amendment</v>
      </c>
      <c r="D9089" s="138" t="str">
        <f t="shared" si="744"/>
        <v>Medium_High</v>
      </c>
      <c r="E9089" s="138" t="str">
        <f t="shared" si="748"/>
        <v>Base</v>
      </c>
      <c r="F9089" s="138" t="str">
        <f t="shared" si="749"/>
        <v>Upgraded</v>
      </c>
      <c r="G9089" s="153"/>
      <c r="H9089" s="210">
        <v>0.37130000000000002</v>
      </c>
      <c r="I9089" s="160" t="s">
        <v>147</v>
      </c>
      <c r="J9089" s="160">
        <v>1.8000000000000001E-4</v>
      </c>
      <c r="K9089" s="160" t="s">
        <v>26</v>
      </c>
      <c r="L9089" s="154" t="str">
        <f>IF(OpenLCAbasic!K9089="CTUh", "Fill in Manually",IF(OR(K9089="Unit", K9089=""), "", INDEX(LookUps!$E$5:$E$12, MATCH(OpenLCAbasic!K9089,LookUps!$D$5:$D$12,0))))</f>
        <v>Water Use (WU) - m3 H2O</v>
      </c>
      <c r="M9089" s="154" t="str">
        <f t="shared" si="745"/>
        <v>Base_Medium_High_Upgraded_Water Use (WU) - m3 H2O_Influent Pump Station; wastewater treatment unit; at updated plant - US_Base_With Amendment_Aerated Static Pile</v>
      </c>
    </row>
    <row r="9090" spans="1:13" s="120" customFormat="1" x14ac:dyDescent="0.25">
      <c r="A9090" s="119"/>
      <c r="B9090" s="138" t="str">
        <f t="shared" si="746"/>
        <v>Aerated Static Pile</v>
      </c>
      <c r="C9090" s="138" t="str">
        <f t="shared" si="747"/>
        <v>Base_With Amendment</v>
      </c>
      <c r="D9090" s="138" t="str">
        <f t="shared" si="744"/>
        <v>Medium_High</v>
      </c>
      <c r="E9090" s="138" t="str">
        <f t="shared" si="748"/>
        <v>Base</v>
      </c>
      <c r="F9090" s="138" t="str">
        <f t="shared" si="749"/>
        <v>Upgraded</v>
      </c>
      <c r="G9090" s="153"/>
      <c r="H9090" s="210">
        <v>0.36230000000000001</v>
      </c>
      <c r="I9090" s="160" t="s">
        <v>54</v>
      </c>
      <c r="J9090" s="160">
        <v>1.8000000000000001E-4</v>
      </c>
      <c r="K9090" s="160" t="s">
        <v>26</v>
      </c>
      <c r="L9090" s="154" t="str">
        <f>IF(OpenLCAbasic!K9090="CTUh", "Fill in Manually",IF(OR(K9090="Unit", K9090=""), "", INDEX(LookUps!$E$5:$E$12, MATCH(OpenLCAbasic!K9090,LookUps!$D$5:$D$12,0))))</f>
        <v>Water Use (WU) - m3 H2O</v>
      </c>
      <c r="M9090" s="154" t="str">
        <f t="shared" si="745"/>
        <v>Base_Medium_High_Upgraded_Water Use (WU) - m3 H2O_Clear Cove Primary Clarification; wastewater treatment unit; at updated plant - US_Base_With Amendment_Aerated Static Pile</v>
      </c>
    </row>
    <row r="9091" spans="1:13" s="120" customFormat="1" x14ac:dyDescent="0.25">
      <c r="A9091" s="119"/>
      <c r="B9091" s="138" t="str">
        <f t="shared" si="746"/>
        <v>Aerated Static Pile</v>
      </c>
      <c r="C9091" s="138" t="str">
        <f t="shared" si="747"/>
        <v>Base_With Amendment</v>
      </c>
      <c r="D9091" s="138" t="str">
        <f t="shared" si="744"/>
        <v>Medium_High</v>
      </c>
      <c r="E9091" s="138" t="str">
        <f t="shared" si="748"/>
        <v>Base</v>
      </c>
      <c r="F9091" s="138" t="str">
        <f t="shared" si="749"/>
        <v>Upgraded</v>
      </c>
      <c r="G9091" s="153"/>
      <c r="H9091" s="210">
        <v>0.32869999999999999</v>
      </c>
      <c r="I9091" s="160" t="s">
        <v>55</v>
      </c>
      <c r="J9091" s="160">
        <v>1.6000000000000001E-4</v>
      </c>
      <c r="K9091" s="160" t="s">
        <v>26</v>
      </c>
      <c r="L9091" s="154" t="str">
        <f>IF(OpenLCAbasic!K9091="CTUh", "Fill in Manually",IF(OR(K9091="Unit", K9091=""), "", INDEX(LookUps!$E$5:$E$12, MATCH(OpenLCAbasic!K9091,LookUps!$D$5:$D$12,0))))</f>
        <v>Water Use (WU) - m3 H2O</v>
      </c>
      <c r="M9091" s="154" t="str">
        <f t="shared" si="745"/>
        <v>Base_Medium_High_Upgraded_Water Use (WU) - m3 H2O_Aeration Tanks; wastewater treatment unit; at updated plant - US_Base_With Amendment_Aerated Static Pile</v>
      </c>
    </row>
    <row r="9092" spans="1:13" s="120" customFormat="1" x14ac:dyDescent="0.25">
      <c r="A9092" s="119"/>
      <c r="B9092" s="138" t="str">
        <f t="shared" si="746"/>
        <v>Aerated Static Pile</v>
      </c>
      <c r="C9092" s="138" t="str">
        <f t="shared" si="747"/>
        <v>Base_With Amendment</v>
      </c>
      <c r="D9092" s="138" t="str">
        <f t="shared" si="744"/>
        <v>Medium_High</v>
      </c>
      <c r="E9092" s="138" t="str">
        <f t="shared" si="748"/>
        <v>Base</v>
      </c>
      <c r="F9092" s="138" t="str">
        <f t="shared" si="749"/>
        <v>Upgraded</v>
      </c>
      <c r="G9092" s="153"/>
      <c r="H9092" s="210">
        <v>0.2994</v>
      </c>
      <c r="I9092" s="160" t="s">
        <v>148</v>
      </c>
      <c r="J9092" s="160">
        <v>1.4999999999999999E-4</v>
      </c>
      <c r="K9092" s="160" t="s">
        <v>26</v>
      </c>
      <c r="L9092" s="154" t="str">
        <f>IF(OpenLCAbasic!K9092="CTUh", "Fill in Manually",IF(OR(K9092="Unit", K9092=""), "", INDEX(LookUps!$E$5:$E$12, MATCH(OpenLCAbasic!K9092,LookUps!$D$5:$D$12,0))))</f>
        <v>Water Use (WU) - m3 H2O</v>
      </c>
      <c r="M9092" s="154" t="str">
        <f t="shared" si="745"/>
        <v>Base_Medium_High_Upgraded_Water Use (WU) - m3 H2O_Control Building; at upgraded wastewater treatment plant - US_Base_With Amendment_Aerated Static Pile</v>
      </c>
    </row>
    <row r="9093" spans="1:13" s="120" customFormat="1" x14ac:dyDescent="0.25">
      <c r="A9093" s="119"/>
      <c r="B9093" s="138" t="str">
        <f t="shared" si="746"/>
        <v>Aerated Static Pile</v>
      </c>
      <c r="C9093" s="138" t="str">
        <f t="shared" si="747"/>
        <v>Base_With Amendment</v>
      </c>
      <c r="D9093" s="138" t="str">
        <f t="shared" si="744"/>
        <v>Medium_High</v>
      </c>
      <c r="E9093" s="138" t="str">
        <f t="shared" si="748"/>
        <v>Base</v>
      </c>
      <c r="F9093" s="138" t="str">
        <f t="shared" si="749"/>
        <v>Upgraded</v>
      </c>
      <c r="G9093" s="153"/>
      <c r="H9093" s="210">
        <v>0.13900000000000001</v>
      </c>
      <c r="I9093" s="160" t="s">
        <v>48</v>
      </c>
      <c r="J9093" s="211">
        <v>6.8836400000000004E-5</v>
      </c>
      <c r="K9093" s="160" t="s">
        <v>26</v>
      </c>
      <c r="L9093" s="154" t="str">
        <f>IF(OpenLCAbasic!K9093="CTUh", "Fill in Manually",IF(OR(K9093="Unit", K9093=""), "", INDEX(LookUps!$E$5:$E$12, MATCH(OpenLCAbasic!K9093,LookUps!$D$5:$D$12,0))))</f>
        <v>Water Use (WU) - m3 H2O</v>
      </c>
      <c r="M9093" s="154" t="str">
        <f t="shared" si="745"/>
        <v>Base_Medium_High_Upgraded_Water Use (WU) - m3 H2O_Effluent release; wastewater treatment unit; at surface water; m3 wastewater - US_Base_With Amendment_Aerated Static Pile</v>
      </c>
    </row>
    <row r="9094" spans="1:13" s="120" customFormat="1" x14ac:dyDescent="0.25">
      <c r="A9094" s="119"/>
      <c r="B9094" s="138" t="str">
        <f t="shared" si="746"/>
        <v>Aerated Static Pile</v>
      </c>
      <c r="C9094" s="138" t="str">
        <f t="shared" si="747"/>
        <v>Base_With Amendment</v>
      </c>
      <c r="D9094" s="138" t="str">
        <f t="shared" si="744"/>
        <v>Medium_High</v>
      </c>
      <c r="E9094" s="138" t="str">
        <f t="shared" si="748"/>
        <v>Base</v>
      </c>
      <c r="F9094" s="138" t="str">
        <f t="shared" si="749"/>
        <v>Upgraded</v>
      </c>
      <c r="G9094" s="153"/>
      <c r="H9094" s="210">
        <v>8.7300000000000003E-2</v>
      </c>
      <c r="I9094" s="160" t="s">
        <v>58</v>
      </c>
      <c r="J9094" s="211">
        <v>4.3235300000000003E-5</v>
      </c>
      <c r="K9094" s="160" t="s">
        <v>26</v>
      </c>
      <c r="L9094" s="154" t="str">
        <f>IF(OpenLCAbasic!K9094="CTUh", "Fill in Manually",IF(OR(K9094="Unit", K9094=""), "", INDEX(LookUps!$E$5:$E$12, MATCH(OpenLCAbasic!K9094,LookUps!$D$5:$D$12,0))))</f>
        <v>Water Use (WU) - m3 H2O</v>
      </c>
      <c r="M9094" s="154" t="str">
        <f t="shared" si="745"/>
        <v>Base_Medium_High_Upgraded_Water Use (WU) - m3 H2O_Pre-Anoxic &amp; Swing tank; wastewater treatment unit; at updated plant - US_Base_With Amendment_Aerated Static Pile</v>
      </c>
    </row>
    <row r="9095" spans="1:13" s="120" customFormat="1" x14ac:dyDescent="0.25">
      <c r="A9095" s="119"/>
      <c r="B9095" s="138" t="str">
        <f t="shared" si="746"/>
        <v>Aerated Static Pile</v>
      </c>
      <c r="C9095" s="138" t="str">
        <f t="shared" si="747"/>
        <v>Base_With Amendment</v>
      </c>
      <c r="D9095" s="138" t="str">
        <f t="shared" si="744"/>
        <v>Medium_High</v>
      </c>
      <c r="E9095" s="138" t="str">
        <f t="shared" si="748"/>
        <v>Base</v>
      </c>
      <c r="F9095" s="138" t="str">
        <f t="shared" si="749"/>
        <v>Upgraded</v>
      </c>
      <c r="G9095" s="153"/>
      <c r="H9095" s="210">
        <v>6.1400000000000003E-2</v>
      </c>
      <c r="I9095" s="160" t="s">
        <v>57</v>
      </c>
      <c r="J9095" s="211">
        <v>3.0408100000000001E-5</v>
      </c>
      <c r="K9095" s="160" t="s">
        <v>26</v>
      </c>
      <c r="L9095" s="154" t="str">
        <f>IF(OpenLCAbasic!K9095="CTUh", "Fill in Manually",IF(OR(K9095="Unit", K9095=""), "", INDEX(LookUps!$E$5:$E$12, MATCH(OpenLCAbasic!K9095,LookUps!$D$5:$D$12,0))))</f>
        <v>Water Use (WU) - m3 H2O</v>
      </c>
      <c r="M9095" s="154" t="str">
        <f t="shared" si="745"/>
        <v>Base_Medium_High_Upgraded_Water Use (WU) - m3 H2O_Gravity Belt Thickener; wastewater treatment unit; at updated plant - US_Base_With Amendment_Aerated Static Pile</v>
      </c>
    </row>
    <row r="9096" spans="1:13" s="120" customFormat="1" x14ac:dyDescent="0.25">
      <c r="A9096" s="119"/>
      <c r="B9096" s="138" t="str">
        <f t="shared" si="746"/>
        <v>Aerated Static Pile</v>
      </c>
      <c r="C9096" s="138" t="str">
        <f t="shared" si="747"/>
        <v>Base_With Amendment</v>
      </c>
      <c r="D9096" s="138" t="str">
        <f t="shared" si="744"/>
        <v>Medium_High</v>
      </c>
      <c r="E9096" s="138" t="str">
        <f t="shared" si="748"/>
        <v>Base</v>
      </c>
      <c r="F9096" s="138" t="str">
        <f t="shared" si="749"/>
        <v>Upgraded</v>
      </c>
      <c r="G9096" s="153"/>
      <c r="H9096" s="210">
        <v>5.8500000000000003E-2</v>
      </c>
      <c r="I9096" s="160" t="s">
        <v>60</v>
      </c>
      <c r="J9096" s="211">
        <v>2.8986600000000001E-5</v>
      </c>
      <c r="K9096" s="160" t="s">
        <v>26</v>
      </c>
      <c r="L9096" s="154" t="str">
        <f>IF(OpenLCAbasic!K9096="CTUh", "Fill in Manually",IF(OR(K9096="Unit", K9096=""), "", INDEX(LookUps!$E$5:$E$12, MATCH(OpenLCAbasic!K9096,LookUps!$D$5:$D$12,0))))</f>
        <v>Water Use (WU) - m3 H2O</v>
      </c>
      <c r="M9096" s="154" t="str">
        <f t="shared" si="745"/>
        <v>Base_Medium_High_Upgraded_Water Use (WU) - m3 H2O_Belt filter press; wastewater treatment unit; at updated plant - US_Base_With Amendment_Aerated Static Pile</v>
      </c>
    </row>
    <row r="9097" spans="1:13" s="120" customFormat="1" x14ac:dyDescent="0.25">
      <c r="A9097" s="119"/>
      <c r="B9097" s="138" t="str">
        <f t="shared" si="746"/>
        <v>Aerated Static Pile</v>
      </c>
      <c r="C9097" s="138" t="str">
        <f t="shared" si="747"/>
        <v>Base_With Amendment</v>
      </c>
      <c r="D9097" s="138" t="str">
        <f t="shared" ref="D9097:D9103" si="750">IF(ISNUMBER($J9097),"Medium_High","")</f>
        <v>Medium_High</v>
      </c>
      <c r="E9097" s="138" t="str">
        <f t="shared" si="748"/>
        <v>Base</v>
      </c>
      <c r="F9097" s="138" t="str">
        <f t="shared" si="749"/>
        <v>Upgraded</v>
      </c>
      <c r="G9097" s="153"/>
      <c r="H9097" s="210">
        <v>5.2600000000000001E-2</v>
      </c>
      <c r="I9097" s="160" t="s">
        <v>435</v>
      </c>
      <c r="J9097" s="211">
        <v>2.6025700000000001E-5</v>
      </c>
      <c r="K9097" s="160" t="s">
        <v>26</v>
      </c>
      <c r="L9097" s="154" t="str">
        <f>IF(OpenLCAbasic!K9097="CTUh", "Fill in Manually",IF(OR(K9097="Unit", K9097=""), "", INDEX(LookUps!$E$5:$E$12, MATCH(OpenLCAbasic!K9097,LookUps!$D$5:$D$12,0))))</f>
        <v>Water Use (WU) - m3 H2O</v>
      </c>
      <c r="M9097" s="154" t="str">
        <f t="shared" si="745"/>
        <v>Base_Medium_High_Upgraded_Water Use (WU) - m3 H2O_Biosolids composting; aerated static pile; wastewater treatment unit; at updated plant - US_Base_With Amendment_Aerated Static Pile</v>
      </c>
    </row>
    <row r="9098" spans="1:13" s="120" customFormat="1" x14ac:dyDescent="0.25">
      <c r="A9098" s="119"/>
      <c r="B9098" s="138" t="str">
        <f t="shared" si="746"/>
        <v>Aerated Static Pile</v>
      </c>
      <c r="C9098" s="138" t="str">
        <f t="shared" si="747"/>
        <v>Base_With Amendment</v>
      </c>
      <c r="D9098" s="138" t="str">
        <f t="shared" si="750"/>
        <v>Medium_High</v>
      </c>
      <c r="E9098" s="138" t="str">
        <f t="shared" si="748"/>
        <v>Base</v>
      </c>
      <c r="F9098" s="138" t="str">
        <f t="shared" si="749"/>
        <v>Upgraded</v>
      </c>
      <c r="G9098" s="153"/>
      <c r="H9098" s="210">
        <v>3.5400000000000001E-2</v>
      </c>
      <c r="I9098" s="160" t="s">
        <v>53</v>
      </c>
      <c r="J9098" s="211">
        <v>1.75069E-5</v>
      </c>
      <c r="K9098" s="160" t="s">
        <v>26</v>
      </c>
      <c r="L9098" s="154" t="str">
        <f>IF(OpenLCAbasic!K9098="CTUh", "Fill in Manually",IF(OR(K9098="Unit", K9098=""), "", INDEX(LookUps!$E$5:$E$12, MATCH(OpenLCAbasic!K9098,LookUps!$D$5:$D$12,0))))</f>
        <v>Water Use (WU) - m3 H2O</v>
      </c>
      <c r="M9098" s="154" t="str">
        <f t="shared" si="745"/>
        <v>Base_Medium_High_Upgraded_Water Use (WU) - m3 H2O_Wet Well and Sump Station; wastewater treatment unit; at updated plant - US_Base_With Amendment_Aerated Static Pile</v>
      </c>
    </row>
    <row r="9099" spans="1:13" s="120" customFormat="1" x14ac:dyDescent="0.25">
      <c r="A9099" s="119"/>
      <c r="B9099" s="138" t="str">
        <f t="shared" si="746"/>
        <v>Aerated Static Pile</v>
      </c>
      <c r="C9099" s="138" t="str">
        <f t="shared" si="747"/>
        <v>Base_With Amendment</v>
      </c>
      <c r="D9099" s="138" t="str">
        <f t="shared" si="750"/>
        <v>Medium_High</v>
      </c>
      <c r="E9099" s="138" t="str">
        <f t="shared" si="748"/>
        <v>Base</v>
      </c>
      <c r="F9099" s="138" t="str">
        <f t="shared" si="749"/>
        <v>Upgraded</v>
      </c>
      <c r="G9099" s="153"/>
      <c r="H9099" s="210">
        <v>1.4200000000000001E-2</v>
      </c>
      <c r="I9099" s="160" t="s">
        <v>59</v>
      </c>
      <c r="J9099" s="211">
        <v>7.0179500000000003E-6</v>
      </c>
      <c r="K9099" s="160" t="s">
        <v>26</v>
      </c>
      <c r="L9099" s="154" t="str">
        <f>IF(OpenLCAbasic!K9099="CTUh", "Fill in Manually",IF(OR(K9099="Unit", K9099=""), "", INDEX(LookUps!$E$5:$E$12, MATCH(OpenLCAbasic!K9099,LookUps!$D$5:$D$12,0))))</f>
        <v>Water Use (WU) - m3 H2O</v>
      </c>
      <c r="M9099" s="154" t="str">
        <f t="shared" si="745"/>
        <v>Base_Medium_High_Upgraded_Water Use (WU) - m3 H2O_Blend Tank; wastewater treatment unit; at updated plant - US_Base_With Amendment_Aerated Static Pile</v>
      </c>
    </row>
    <row r="9100" spans="1:13" s="120" customFormat="1" x14ac:dyDescent="0.25">
      <c r="A9100" s="119"/>
      <c r="B9100" s="138" t="str">
        <f t="shared" si="746"/>
        <v>Aerated Static Pile</v>
      </c>
      <c r="C9100" s="138" t="str">
        <f t="shared" si="747"/>
        <v>Base_With Amendment</v>
      </c>
      <c r="D9100" s="138" t="str">
        <f t="shared" si="750"/>
        <v>Medium_High</v>
      </c>
      <c r="E9100" s="138" t="str">
        <f t="shared" si="748"/>
        <v>Base</v>
      </c>
      <c r="F9100" s="138" t="str">
        <f t="shared" si="749"/>
        <v>Upgraded</v>
      </c>
      <c r="G9100" s="153"/>
      <c r="H9100" s="210">
        <v>1.0200000000000001E-2</v>
      </c>
      <c r="I9100" s="160" t="s">
        <v>128</v>
      </c>
      <c r="J9100" s="211">
        <v>5.0608900000000003E-6</v>
      </c>
      <c r="K9100" s="160" t="s">
        <v>26</v>
      </c>
      <c r="L9100" s="154" t="str">
        <f>IF(OpenLCAbasic!K9100="CTUh", "Fill in Manually",IF(OR(K9100="Unit", K9100=""), "", INDEX(LookUps!$E$5:$E$12, MATCH(OpenLCAbasic!K9100,LookUps!$D$5:$D$12,0))))</f>
        <v>Water Use (WU) - m3 H2O</v>
      </c>
      <c r="M9100" s="154" t="str">
        <f t="shared" si="745"/>
        <v>Base_Medium_High_Upgraded_Water Use (WU) - m3 H2O_Wastewater collection; operation and infrastructure; m3 wastewater_Base_With Amendment_Aerated Static Pile</v>
      </c>
    </row>
    <row r="9101" spans="1:13" s="120" customFormat="1" x14ac:dyDescent="0.25">
      <c r="A9101" s="119"/>
      <c r="B9101" s="138" t="str">
        <f t="shared" si="746"/>
        <v>Aerated Static Pile</v>
      </c>
      <c r="C9101" s="138" t="str">
        <f t="shared" si="747"/>
        <v>Base_With Amendment</v>
      </c>
      <c r="D9101" s="138" t="str">
        <f t="shared" si="750"/>
        <v>Medium_High</v>
      </c>
      <c r="E9101" s="138" t="str">
        <f t="shared" si="748"/>
        <v>Base</v>
      </c>
      <c r="F9101" s="138" t="str">
        <f t="shared" si="749"/>
        <v>Upgraded</v>
      </c>
      <c r="G9101" s="153"/>
      <c r="H9101" s="210">
        <v>1.5E-3</v>
      </c>
      <c r="I9101" s="160" t="s">
        <v>168</v>
      </c>
      <c r="J9101" s="211">
        <v>7.6697000000000004E-7</v>
      </c>
      <c r="K9101" s="160" t="s">
        <v>26</v>
      </c>
      <c r="L9101" s="154" t="str">
        <f>IF(OpenLCAbasic!K9101="CTUh", "Fill in Manually",IF(OR(K9101="Unit", K9101=""), "", INDEX(LookUps!$E$5:$E$12, MATCH(OpenLCAbasic!K9101,LookUps!$D$5:$D$12,0))))</f>
        <v>Water Use (WU) - m3 H2O</v>
      </c>
      <c r="M9101" s="154" t="str">
        <f t="shared" si="745"/>
        <v>Base_Medium_High_Upgraded_Water Use (WU) - m3 H2O_ClearCove SCP; wastewater treatment unit; at updated plant - US_Base_With Amendment_Aerated Static Pile</v>
      </c>
    </row>
    <row r="9102" spans="1:13" s="120" customFormat="1" x14ac:dyDescent="0.25">
      <c r="A9102" s="119"/>
      <c r="B9102" s="138" t="str">
        <f t="shared" si="746"/>
        <v>Aerated Static Pile</v>
      </c>
      <c r="C9102" s="138" t="str">
        <f t="shared" si="747"/>
        <v>Base_With Amendment</v>
      </c>
      <c r="D9102" s="138" t="str">
        <f t="shared" si="750"/>
        <v>Medium_High</v>
      </c>
      <c r="E9102" s="138" t="str">
        <f t="shared" si="748"/>
        <v>Base</v>
      </c>
      <c r="F9102" s="138" t="str">
        <f t="shared" si="749"/>
        <v>Upgraded</v>
      </c>
      <c r="G9102" s="153"/>
      <c r="H9102" s="210">
        <v>-0.30620000000000003</v>
      </c>
      <c r="I9102" s="160" t="s">
        <v>149</v>
      </c>
      <c r="J9102" s="160">
        <v>-1.4999999999999999E-4</v>
      </c>
      <c r="K9102" s="160" t="s">
        <v>26</v>
      </c>
      <c r="L9102" s="154" t="str">
        <f>IF(OpenLCAbasic!K9102="CTUh", "Fill in Manually",IF(OR(K9102="Unit", K9102=""), "", INDEX(LookUps!$E$5:$E$12, MATCH(OpenLCAbasic!K9102,LookUps!$D$5:$D$12,0))))</f>
        <v>Water Use (WU) - m3 H2O</v>
      </c>
      <c r="M9102" s="154" t="str">
        <f t="shared" si="745"/>
        <v>Base_Medium_High_Upgraded_Water Use (WU) - m3 H2O_Anaerobic Digestion; wastewater treatment unit; at updated plant - US_Base_With Amendment_Aerated Static Pile</v>
      </c>
    </row>
    <row r="9103" spans="1:13" s="120" customFormat="1" x14ac:dyDescent="0.25">
      <c r="A9103" s="119"/>
      <c r="B9103" s="138" t="str">
        <f t="shared" si="746"/>
        <v>Aerated Static Pile</v>
      </c>
      <c r="C9103" s="138" t="str">
        <f t="shared" si="747"/>
        <v>Base_With Amendment</v>
      </c>
      <c r="D9103" s="138" t="str">
        <f t="shared" si="750"/>
        <v>Medium_High</v>
      </c>
      <c r="E9103" s="138" t="str">
        <f t="shared" si="748"/>
        <v>Base</v>
      </c>
      <c r="F9103" s="138" t="str">
        <f t="shared" si="749"/>
        <v>Upgraded</v>
      </c>
      <c r="G9103" s="153"/>
      <c r="H9103" s="210">
        <v>-3.0844</v>
      </c>
      <c r="I9103" s="160" t="s">
        <v>62</v>
      </c>
      <c r="J9103" s="160">
        <v>-1.5299999999999999E-3</v>
      </c>
      <c r="K9103" s="160" t="s">
        <v>26</v>
      </c>
      <c r="L9103" s="154" t="str">
        <f>IF(OpenLCAbasic!K9103="CTUh", "Fill in Manually",IF(OR(K9103="Unit", K9103=""), "", INDEX(LookUps!$E$5:$E$12, MATCH(OpenLCAbasic!K9103,LookUps!$D$5:$D$12,0))))</f>
        <v>Water Use (WU) - m3 H2O</v>
      </c>
      <c r="M9103" s="154" t="str">
        <f t="shared" si="745"/>
        <v>Base_Medium_High_Upgraded_Water Use (WU) - m3 H2O_Land application of compost; wastewater treatment unit; at updated plant - US_Base_With Amendment_Aerated Static Pile</v>
      </c>
    </row>
    <row r="9104" spans="1:13" s="120" customFormat="1" x14ac:dyDescent="0.25">
      <c r="A9104" s="119"/>
      <c r="B9104" s="138" t="str">
        <f t="shared" si="746"/>
        <v/>
      </c>
      <c r="C9104" s="138" t="str">
        <f t="shared" si="747"/>
        <v/>
      </c>
      <c r="D9104" s="138" t="str">
        <f>IF(ISNUMBER($J9104),"High_Low","")</f>
        <v/>
      </c>
      <c r="E9104" s="138" t="str">
        <f t="shared" si="748"/>
        <v/>
      </c>
      <c r="F9104" s="138" t="str">
        <f t="shared" si="749"/>
        <v/>
      </c>
      <c r="G9104" s="153" t="s">
        <v>51</v>
      </c>
      <c r="H9104" s="160"/>
      <c r="I9104" s="160" t="s">
        <v>47</v>
      </c>
      <c r="J9104" s="160" t="s">
        <v>52</v>
      </c>
      <c r="K9104" s="160" t="s">
        <v>27</v>
      </c>
      <c r="L9104" s="154" t="str">
        <f>IF(OpenLCAbasic!K9104="CTUh", "Fill in Manually",IF(OR(K9104="Unit", K9104=""), "", INDEX(LookUps!$E$5:$E$12, MATCH(OpenLCAbasic!K9104,LookUps!$D$5:$D$12,0))))</f>
        <v/>
      </c>
      <c r="M9104" s="154" t="str">
        <f t="shared" si="745"/>
        <v>____Process__</v>
      </c>
    </row>
    <row r="9105" spans="1:13" s="120" customFormat="1" x14ac:dyDescent="0.25">
      <c r="A9105" s="119"/>
      <c r="B9105" s="138" t="str">
        <f t="shared" si="746"/>
        <v>Aerated Static Pile</v>
      </c>
      <c r="C9105" s="138" t="str">
        <f t="shared" si="747"/>
        <v>Base_With Amendment</v>
      </c>
      <c r="D9105" s="138" t="str">
        <f t="shared" ref="D9105:D9168" si="751">IF(ISNUMBER($J9105),"High_Low","")</f>
        <v>High_Low</v>
      </c>
      <c r="E9105" s="138" t="str">
        <f t="shared" si="748"/>
        <v>Base</v>
      </c>
      <c r="F9105" s="138" t="str">
        <f t="shared" si="749"/>
        <v>Upgraded</v>
      </c>
      <c r="G9105" s="153"/>
      <c r="H9105" s="210">
        <v>0.37680000000000002</v>
      </c>
      <c r="I9105" s="160" t="s">
        <v>55</v>
      </c>
      <c r="J9105" s="160">
        <v>1.7219999999999999E-2</v>
      </c>
      <c r="K9105" s="160" t="s">
        <v>24</v>
      </c>
      <c r="L9105" s="154" t="str">
        <f>IF(OpenLCAbasic!K9105="CTUh", "Fill in Manually",IF(OR(K9105="Unit", K9105=""), "", INDEX(LookUps!$E$5:$E$12, MATCH(OpenLCAbasic!K9105,LookUps!$D$5:$D$12,0))))</f>
        <v>Acidification Potential (AP) - kg SO2 eq</v>
      </c>
      <c r="M9105" s="154" t="str">
        <f t="shared" si="745"/>
        <v>Base_High_Low_Upgraded_Acidification Potential (AP) - kg SO2 eq_Aeration Tanks; wastewater treatment unit; at updated plant - US_Base_With Amendment_Aerated Static Pile</v>
      </c>
    </row>
    <row r="9106" spans="1:13" s="120" customFormat="1" x14ac:dyDescent="0.25">
      <c r="A9106" s="119"/>
      <c r="B9106" s="138" t="str">
        <f t="shared" si="746"/>
        <v>Aerated Static Pile</v>
      </c>
      <c r="C9106" s="138" t="str">
        <f t="shared" si="747"/>
        <v>Base_With Amendment</v>
      </c>
      <c r="D9106" s="138" t="str">
        <f t="shared" si="751"/>
        <v>High_Low</v>
      </c>
      <c r="E9106" s="138" t="str">
        <f t="shared" si="748"/>
        <v>Base</v>
      </c>
      <c r="F9106" s="138" t="str">
        <f t="shared" si="749"/>
        <v>Upgraded</v>
      </c>
      <c r="G9106" s="153"/>
      <c r="H9106" s="210">
        <v>0.2989</v>
      </c>
      <c r="I9106" s="160" t="s">
        <v>435</v>
      </c>
      <c r="J9106" s="160">
        <v>1.366E-2</v>
      </c>
      <c r="K9106" s="160" t="s">
        <v>24</v>
      </c>
      <c r="L9106" s="154" t="str">
        <f>IF(OpenLCAbasic!K9106="CTUh", "Fill in Manually",IF(OR(K9106="Unit", K9106=""), "", INDEX(LookUps!$E$5:$E$12, MATCH(OpenLCAbasic!K9106,LookUps!$D$5:$D$12,0))))</f>
        <v>Acidification Potential (AP) - kg SO2 eq</v>
      </c>
      <c r="M9106" s="154" t="str">
        <f t="shared" si="745"/>
        <v>Base_High_Low_Upgraded_Acidification Potential (AP) - kg SO2 eq_Biosolids composting; aerated static pile; wastewater treatment unit; at updated plant - US_Base_With Amendment_Aerated Static Pile</v>
      </c>
    </row>
    <row r="9107" spans="1:13" s="120" customFormat="1" x14ac:dyDescent="0.25">
      <c r="A9107" s="119"/>
      <c r="B9107" s="138" t="str">
        <f t="shared" si="746"/>
        <v>Aerated Static Pile</v>
      </c>
      <c r="C9107" s="138" t="str">
        <f t="shared" si="747"/>
        <v>Base_With Amendment</v>
      </c>
      <c r="D9107" s="138" t="str">
        <f t="shared" si="751"/>
        <v>High_Low</v>
      </c>
      <c r="E9107" s="138" t="str">
        <f t="shared" si="748"/>
        <v>Base</v>
      </c>
      <c r="F9107" s="138" t="str">
        <f t="shared" si="749"/>
        <v>Upgraded</v>
      </c>
      <c r="G9107" s="153"/>
      <c r="H9107" s="210">
        <v>0.12520000000000001</v>
      </c>
      <c r="I9107" s="160" t="s">
        <v>62</v>
      </c>
      <c r="J9107" s="160">
        <v>5.7200000000000003E-3</v>
      </c>
      <c r="K9107" s="160" t="s">
        <v>24</v>
      </c>
      <c r="L9107" s="154" t="str">
        <f>IF(OpenLCAbasic!K9107="CTUh", "Fill in Manually",IF(OR(K9107="Unit", K9107=""), "", INDEX(LookUps!$E$5:$E$12, MATCH(OpenLCAbasic!K9107,LookUps!$D$5:$D$12,0))))</f>
        <v>Acidification Potential (AP) - kg SO2 eq</v>
      </c>
      <c r="M9107" s="154" t="str">
        <f t="shared" si="745"/>
        <v>Base_High_Low_Upgraded_Acidification Potential (AP) - kg SO2 eq_Land application of compost; wastewater treatment unit; at updated plant - US_Base_With Amendment_Aerated Static Pile</v>
      </c>
    </row>
    <row r="9108" spans="1:13" s="120" customFormat="1" x14ac:dyDescent="0.25">
      <c r="A9108" s="119"/>
      <c r="B9108" s="138" t="str">
        <f t="shared" si="746"/>
        <v>Aerated Static Pile</v>
      </c>
      <c r="C9108" s="138" t="str">
        <f t="shared" si="747"/>
        <v>Base_With Amendment</v>
      </c>
      <c r="D9108" s="138" t="str">
        <f t="shared" si="751"/>
        <v>High_Low</v>
      </c>
      <c r="E9108" s="138" t="str">
        <f t="shared" si="748"/>
        <v>Base</v>
      </c>
      <c r="F9108" s="138" t="str">
        <f t="shared" si="749"/>
        <v>Upgraded</v>
      </c>
      <c r="G9108" s="153"/>
      <c r="H9108" s="210">
        <v>0.109</v>
      </c>
      <c r="I9108" s="160" t="s">
        <v>54</v>
      </c>
      <c r="J9108" s="160">
        <v>4.9800000000000001E-3</v>
      </c>
      <c r="K9108" s="160" t="s">
        <v>24</v>
      </c>
      <c r="L9108" s="154" t="str">
        <f>IF(OpenLCAbasic!K9108="CTUh", "Fill in Manually",IF(OR(K9108="Unit", K9108=""), "", INDEX(LookUps!$E$5:$E$12, MATCH(OpenLCAbasic!K9108,LookUps!$D$5:$D$12,0))))</f>
        <v>Acidification Potential (AP) - kg SO2 eq</v>
      </c>
      <c r="M9108" s="154" t="str">
        <f t="shared" si="745"/>
        <v>Base_High_Low_Upgraded_Acidification Potential (AP) - kg SO2 eq_Clear Cove Primary Clarification; wastewater treatment unit; at updated plant - US_Base_With Amendment_Aerated Static Pile</v>
      </c>
    </row>
    <row r="9109" spans="1:13" s="120" customFormat="1" x14ac:dyDescent="0.25">
      <c r="A9109" s="119"/>
      <c r="B9109" s="138" t="str">
        <f t="shared" si="746"/>
        <v>Aerated Static Pile</v>
      </c>
      <c r="C9109" s="138" t="str">
        <f t="shared" si="747"/>
        <v>Base_With Amendment</v>
      </c>
      <c r="D9109" s="138" t="str">
        <f t="shared" si="751"/>
        <v>High_Low</v>
      </c>
      <c r="E9109" s="138" t="str">
        <f t="shared" si="748"/>
        <v>Base</v>
      </c>
      <c r="F9109" s="138" t="str">
        <f t="shared" si="749"/>
        <v>Upgraded</v>
      </c>
      <c r="G9109" s="153"/>
      <c r="H9109" s="210">
        <v>9.5500000000000002E-2</v>
      </c>
      <c r="I9109" s="160" t="s">
        <v>58</v>
      </c>
      <c r="J9109" s="160">
        <v>4.3600000000000002E-3</v>
      </c>
      <c r="K9109" s="160" t="s">
        <v>24</v>
      </c>
      <c r="L9109" s="154" t="str">
        <f>IF(OpenLCAbasic!K9109="CTUh", "Fill in Manually",IF(OR(K9109="Unit", K9109=""), "", INDEX(LookUps!$E$5:$E$12, MATCH(OpenLCAbasic!K9109,LookUps!$D$5:$D$12,0))))</f>
        <v>Acidification Potential (AP) - kg SO2 eq</v>
      </c>
      <c r="M9109" s="154" t="str">
        <f t="shared" si="745"/>
        <v>Base_High_Low_Upgraded_Acidification Potential (AP) - kg SO2 eq_Pre-Anoxic &amp; Swing tank; wastewater treatment unit; at updated plant - US_Base_With Amendment_Aerated Static Pile</v>
      </c>
    </row>
    <row r="9110" spans="1:13" s="120" customFormat="1" x14ac:dyDescent="0.25">
      <c r="A9110" s="119"/>
      <c r="B9110" s="138" t="str">
        <f t="shared" si="746"/>
        <v>Aerated Static Pile</v>
      </c>
      <c r="C9110" s="138" t="str">
        <f t="shared" si="747"/>
        <v>Base_With Amendment</v>
      </c>
      <c r="D9110" s="138" t="str">
        <f t="shared" si="751"/>
        <v>High_Low</v>
      </c>
      <c r="E9110" s="138" t="str">
        <f t="shared" si="748"/>
        <v>Base</v>
      </c>
      <c r="F9110" s="138" t="str">
        <f t="shared" si="749"/>
        <v>Upgraded</v>
      </c>
      <c r="G9110" s="153"/>
      <c r="H9110" s="210">
        <v>7.5499999999999998E-2</v>
      </c>
      <c r="I9110" s="160" t="s">
        <v>53</v>
      </c>
      <c r="J9110" s="160">
        <v>3.4499999999999999E-3</v>
      </c>
      <c r="K9110" s="160" t="s">
        <v>24</v>
      </c>
      <c r="L9110" s="154" t="str">
        <f>IF(OpenLCAbasic!K9110="CTUh", "Fill in Manually",IF(OR(K9110="Unit", K9110=""), "", INDEX(LookUps!$E$5:$E$12, MATCH(OpenLCAbasic!K9110,LookUps!$D$5:$D$12,0))))</f>
        <v>Acidification Potential (AP) - kg SO2 eq</v>
      </c>
      <c r="M9110" s="154" t="str">
        <f t="shared" si="745"/>
        <v>Base_High_Low_Upgraded_Acidification Potential (AP) - kg SO2 eq_Wet Well and Sump Station; wastewater treatment unit; at updated plant - US_Base_With Amendment_Aerated Static Pile</v>
      </c>
    </row>
    <row r="9111" spans="1:13" s="120" customFormat="1" x14ac:dyDescent="0.25">
      <c r="A9111" s="119"/>
      <c r="B9111" s="138" t="str">
        <f t="shared" si="746"/>
        <v>Aerated Static Pile</v>
      </c>
      <c r="C9111" s="138" t="str">
        <f t="shared" si="747"/>
        <v>Base_With Amendment</v>
      </c>
      <c r="D9111" s="138" t="str">
        <f t="shared" si="751"/>
        <v>High_Low</v>
      </c>
      <c r="E9111" s="138" t="str">
        <f t="shared" si="748"/>
        <v>Base</v>
      </c>
      <c r="F9111" s="138" t="str">
        <f t="shared" si="749"/>
        <v>Upgraded</v>
      </c>
      <c r="G9111" s="153"/>
      <c r="H9111" s="210">
        <v>5.9200000000000003E-2</v>
      </c>
      <c r="I9111" s="160" t="s">
        <v>167</v>
      </c>
      <c r="J9111" s="160">
        <v>2.7000000000000001E-3</v>
      </c>
      <c r="K9111" s="160" t="s">
        <v>24</v>
      </c>
      <c r="L9111" s="154" t="str">
        <f>IF(OpenLCAbasic!K9111="CTUh", "Fill in Manually",IF(OR(K9111="Unit", K9111=""), "", INDEX(LookUps!$E$5:$E$12, MATCH(OpenLCAbasic!K9111,LookUps!$D$5:$D$12,0))))</f>
        <v>Acidification Potential (AP) - kg SO2 eq</v>
      </c>
      <c r="M9111" s="154" t="str">
        <f t="shared" si="745"/>
        <v>Base_High_Low_Upgraded_Acidification Potential (AP) - kg SO2 eq_Waste Receiving and Holding; wastewater treatment unit; at updated plant - US_Base_With Amendment_Aerated Static Pile</v>
      </c>
    </row>
    <row r="9112" spans="1:13" s="120" customFormat="1" x14ac:dyDescent="0.25">
      <c r="A9112" s="119"/>
      <c r="B9112" s="138" t="str">
        <f t="shared" si="746"/>
        <v>Aerated Static Pile</v>
      </c>
      <c r="C9112" s="138" t="str">
        <f t="shared" si="747"/>
        <v>Base_With Amendment</v>
      </c>
      <c r="D9112" s="138" t="str">
        <f t="shared" si="751"/>
        <v>High_Low</v>
      </c>
      <c r="E9112" s="138" t="str">
        <f t="shared" si="748"/>
        <v>Base</v>
      </c>
      <c r="F9112" s="138" t="str">
        <f t="shared" si="749"/>
        <v>Upgraded</v>
      </c>
      <c r="G9112" s="153"/>
      <c r="H9112" s="210">
        <v>4.53E-2</v>
      </c>
      <c r="I9112" s="160" t="s">
        <v>147</v>
      </c>
      <c r="J9112" s="160">
        <v>2.0699999999999998E-3</v>
      </c>
      <c r="K9112" s="160" t="s">
        <v>24</v>
      </c>
      <c r="L9112" s="154" t="str">
        <f>IF(OpenLCAbasic!K9112="CTUh", "Fill in Manually",IF(OR(K9112="Unit", K9112=""), "", INDEX(LookUps!$E$5:$E$12, MATCH(OpenLCAbasic!K9112,LookUps!$D$5:$D$12,0))))</f>
        <v>Acidification Potential (AP) - kg SO2 eq</v>
      </c>
      <c r="M9112" s="154" t="str">
        <f t="shared" si="745"/>
        <v>Base_High_Low_Upgraded_Acidification Potential (AP) - kg SO2 eq_Influent Pump Station; wastewater treatment unit; at updated plant - US_Base_With Amendment_Aerated Static Pile</v>
      </c>
    </row>
    <row r="9113" spans="1:13" s="120" customFormat="1" x14ac:dyDescent="0.25">
      <c r="A9113" s="119"/>
      <c r="B9113" s="138" t="str">
        <f t="shared" si="746"/>
        <v>Aerated Static Pile</v>
      </c>
      <c r="C9113" s="138" t="str">
        <f t="shared" si="747"/>
        <v>Base_With Amendment</v>
      </c>
      <c r="D9113" s="138" t="str">
        <f t="shared" si="751"/>
        <v>High_Low</v>
      </c>
      <c r="E9113" s="138" t="str">
        <f t="shared" si="748"/>
        <v>Base</v>
      </c>
      <c r="F9113" s="138" t="str">
        <f t="shared" si="749"/>
        <v>Upgraded</v>
      </c>
      <c r="G9113" s="153"/>
      <c r="H9113" s="210">
        <v>3.6799999999999999E-2</v>
      </c>
      <c r="I9113" s="160" t="s">
        <v>60</v>
      </c>
      <c r="J9113" s="160">
        <v>1.6800000000000001E-3</v>
      </c>
      <c r="K9113" s="160" t="s">
        <v>24</v>
      </c>
      <c r="L9113" s="154" t="str">
        <f>IF(OpenLCAbasic!K9113="CTUh", "Fill in Manually",IF(OR(K9113="Unit", K9113=""), "", INDEX(LookUps!$E$5:$E$12, MATCH(OpenLCAbasic!K9113,LookUps!$D$5:$D$12,0))))</f>
        <v>Acidification Potential (AP) - kg SO2 eq</v>
      </c>
      <c r="M9113" s="154" t="str">
        <f t="shared" si="745"/>
        <v>Base_High_Low_Upgraded_Acidification Potential (AP) - kg SO2 eq_Belt filter press; wastewater treatment unit; at updated plant - US_Base_With Amendment_Aerated Static Pile</v>
      </c>
    </row>
    <row r="9114" spans="1:13" s="120" customFormat="1" x14ac:dyDescent="0.25">
      <c r="A9114" s="119"/>
      <c r="B9114" s="138" t="str">
        <f t="shared" si="746"/>
        <v>Aerated Static Pile</v>
      </c>
      <c r="C9114" s="138" t="str">
        <f t="shared" si="747"/>
        <v>Base_With Amendment</v>
      </c>
      <c r="D9114" s="138" t="str">
        <f t="shared" si="751"/>
        <v>High_Low</v>
      </c>
      <c r="E9114" s="138" t="str">
        <f t="shared" si="748"/>
        <v>Base</v>
      </c>
      <c r="F9114" s="138" t="str">
        <f t="shared" si="749"/>
        <v>Upgraded</v>
      </c>
      <c r="G9114" s="153"/>
      <c r="H9114" s="210">
        <v>2.7E-2</v>
      </c>
      <c r="I9114" s="160" t="s">
        <v>128</v>
      </c>
      <c r="J9114" s="160">
        <v>1.23E-3</v>
      </c>
      <c r="K9114" s="160" t="s">
        <v>24</v>
      </c>
      <c r="L9114" s="154" t="str">
        <f>IF(OpenLCAbasic!K9114="CTUh", "Fill in Manually",IF(OR(K9114="Unit", K9114=""), "", INDEX(LookUps!$E$5:$E$12, MATCH(OpenLCAbasic!K9114,LookUps!$D$5:$D$12,0))))</f>
        <v>Acidification Potential (AP) - kg SO2 eq</v>
      </c>
      <c r="M9114" s="154" t="str">
        <f t="shared" si="745"/>
        <v>Base_High_Low_Upgraded_Acidification Potential (AP) - kg SO2 eq_Wastewater collection; operation and infrastructure; m3 wastewater_Base_With Amendment_Aerated Static Pile</v>
      </c>
    </row>
    <row r="9115" spans="1:13" s="120" customFormat="1" x14ac:dyDescent="0.25">
      <c r="A9115" s="119"/>
      <c r="B9115" s="138" t="str">
        <f t="shared" si="746"/>
        <v>Aerated Static Pile</v>
      </c>
      <c r="C9115" s="138" t="str">
        <f t="shared" si="747"/>
        <v>Base_With Amendment</v>
      </c>
      <c r="D9115" s="138" t="str">
        <f t="shared" si="751"/>
        <v>High_Low</v>
      </c>
      <c r="E9115" s="138" t="str">
        <f t="shared" si="748"/>
        <v>Base</v>
      </c>
      <c r="F9115" s="138" t="str">
        <f t="shared" si="749"/>
        <v>Upgraded</v>
      </c>
      <c r="G9115" s="153"/>
      <c r="H9115" s="210">
        <v>1.54E-2</v>
      </c>
      <c r="I9115" s="160" t="s">
        <v>57</v>
      </c>
      <c r="J9115" s="160">
        <v>6.9999999999999999E-4</v>
      </c>
      <c r="K9115" s="160" t="s">
        <v>24</v>
      </c>
      <c r="L9115" s="154" t="str">
        <f>IF(OpenLCAbasic!K9115="CTUh", "Fill in Manually",IF(OR(K9115="Unit", K9115=""), "", INDEX(LookUps!$E$5:$E$12, MATCH(OpenLCAbasic!K9115,LookUps!$D$5:$D$12,0))))</f>
        <v>Acidification Potential (AP) - kg SO2 eq</v>
      </c>
      <c r="M9115" s="154" t="str">
        <f t="shared" si="745"/>
        <v>Base_High_Low_Upgraded_Acidification Potential (AP) - kg SO2 eq_Gravity Belt Thickener; wastewater treatment unit; at updated plant - US_Base_With Amendment_Aerated Static Pile</v>
      </c>
    </row>
    <row r="9116" spans="1:13" s="120" customFormat="1" x14ac:dyDescent="0.25">
      <c r="A9116" s="119"/>
      <c r="B9116" s="138" t="str">
        <f t="shared" si="746"/>
        <v>Aerated Static Pile</v>
      </c>
      <c r="C9116" s="138" t="str">
        <f t="shared" si="747"/>
        <v>Base_With Amendment</v>
      </c>
      <c r="D9116" s="138" t="str">
        <f t="shared" si="751"/>
        <v>High_Low</v>
      </c>
      <c r="E9116" s="138" t="str">
        <f t="shared" si="748"/>
        <v>Base</v>
      </c>
      <c r="F9116" s="138" t="str">
        <f t="shared" si="749"/>
        <v>Upgraded</v>
      </c>
      <c r="G9116" s="153"/>
      <c r="H9116" s="210">
        <v>1.1299999999999999E-2</v>
      </c>
      <c r="I9116" s="160" t="s">
        <v>59</v>
      </c>
      <c r="J9116" s="160">
        <v>5.1999999999999995E-4</v>
      </c>
      <c r="K9116" s="160" t="s">
        <v>24</v>
      </c>
      <c r="L9116" s="154" t="str">
        <f>IF(OpenLCAbasic!K9116="CTUh", "Fill in Manually",IF(OR(K9116="Unit", K9116=""), "", INDEX(LookUps!$E$5:$E$12, MATCH(OpenLCAbasic!K9116,LookUps!$D$5:$D$12,0))))</f>
        <v>Acidification Potential (AP) - kg SO2 eq</v>
      </c>
      <c r="M9116" s="154" t="str">
        <f t="shared" si="745"/>
        <v>Base_High_Low_Upgraded_Acidification Potential (AP) - kg SO2 eq_Blend Tank; wastewater treatment unit; at updated plant - US_Base_With Amendment_Aerated Static Pile</v>
      </c>
    </row>
    <row r="9117" spans="1:13" s="120" customFormat="1" x14ac:dyDescent="0.25">
      <c r="A9117" s="119"/>
      <c r="B9117" s="138" t="str">
        <f t="shared" si="746"/>
        <v>Aerated Static Pile</v>
      </c>
      <c r="C9117" s="138" t="str">
        <f t="shared" si="747"/>
        <v>Base_With Amendment</v>
      </c>
      <c r="D9117" s="138" t="str">
        <f t="shared" si="751"/>
        <v>High_Low</v>
      </c>
      <c r="E9117" s="138" t="str">
        <f t="shared" si="748"/>
        <v>Base</v>
      </c>
      <c r="F9117" s="138" t="str">
        <f t="shared" si="749"/>
        <v>Upgraded</v>
      </c>
      <c r="G9117" s="153"/>
      <c r="H9117" s="210">
        <v>7.6E-3</v>
      </c>
      <c r="I9117" s="160" t="s">
        <v>48</v>
      </c>
      <c r="J9117" s="160">
        <v>3.5E-4</v>
      </c>
      <c r="K9117" s="160" t="s">
        <v>24</v>
      </c>
      <c r="L9117" s="154" t="str">
        <f>IF(OpenLCAbasic!K9117="CTUh", "Fill in Manually",IF(OR(K9117="Unit", K9117=""), "", INDEX(LookUps!$E$5:$E$12, MATCH(OpenLCAbasic!K9117,LookUps!$D$5:$D$12,0))))</f>
        <v>Acidification Potential (AP) - kg SO2 eq</v>
      </c>
      <c r="M9117" s="154" t="str">
        <f t="shared" si="745"/>
        <v>Base_High_Low_Upgraded_Acidification Potential (AP) - kg SO2 eq_Effluent release; wastewater treatment unit; at surface water; m3 wastewater - US_Base_With Amendment_Aerated Static Pile</v>
      </c>
    </row>
    <row r="9118" spans="1:13" s="120" customFormat="1" x14ac:dyDescent="0.25">
      <c r="A9118" s="119"/>
      <c r="B9118" s="138" t="str">
        <f t="shared" si="746"/>
        <v>Aerated Static Pile</v>
      </c>
      <c r="C9118" s="138" t="str">
        <f t="shared" si="747"/>
        <v>Base_With Amendment</v>
      </c>
      <c r="D9118" s="138" t="str">
        <f t="shared" si="751"/>
        <v>High_Low</v>
      </c>
      <c r="E9118" s="138" t="str">
        <f t="shared" si="748"/>
        <v>Base</v>
      </c>
      <c r="F9118" s="138" t="str">
        <f t="shared" si="749"/>
        <v>Upgraded</v>
      </c>
      <c r="G9118" s="153"/>
      <c r="H9118" s="210">
        <v>5.5999999999999999E-3</v>
      </c>
      <c r="I9118" s="160" t="s">
        <v>168</v>
      </c>
      <c r="J9118" s="160">
        <v>2.5999999999999998E-4</v>
      </c>
      <c r="K9118" s="160" t="s">
        <v>24</v>
      </c>
      <c r="L9118" s="154" t="str">
        <f>IF(OpenLCAbasic!K9118="CTUh", "Fill in Manually",IF(OR(K9118="Unit", K9118=""), "", INDEX(LookUps!$E$5:$E$12, MATCH(OpenLCAbasic!K9118,LookUps!$D$5:$D$12,0))))</f>
        <v>Acidification Potential (AP) - kg SO2 eq</v>
      </c>
      <c r="M9118" s="154" t="str">
        <f t="shared" si="745"/>
        <v>Base_High_Low_Upgraded_Acidification Potential (AP) - kg SO2 eq_ClearCove SCP; wastewater treatment unit; at updated plant - US_Base_With Amendment_Aerated Static Pile</v>
      </c>
    </row>
    <row r="9119" spans="1:13" s="120" customFormat="1" x14ac:dyDescent="0.25">
      <c r="A9119" s="119"/>
      <c r="B9119" s="138" t="str">
        <f t="shared" si="746"/>
        <v>Aerated Static Pile</v>
      </c>
      <c r="C9119" s="138" t="str">
        <f t="shared" si="747"/>
        <v>Base_With Amendment</v>
      </c>
      <c r="D9119" s="138" t="str">
        <f t="shared" si="751"/>
        <v>High_Low</v>
      </c>
      <c r="E9119" s="138" t="str">
        <f t="shared" si="748"/>
        <v>Base</v>
      </c>
      <c r="F9119" s="138" t="str">
        <f t="shared" si="749"/>
        <v>Upgraded</v>
      </c>
      <c r="G9119" s="153"/>
      <c r="H9119" s="210">
        <v>8.9999999999999998E-4</v>
      </c>
      <c r="I9119" s="160" t="s">
        <v>148</v>
      </c>
      <c r="J9119" s="211">
        <v>4.0354700000000002E-5</v>
      </c>
      <c r="K9119" s="160" t="s">
        <v>24</v>
      </c>
      <c r="L9119" s="154" t="str">
        <f>IF(OpenLCAbasic!K9119="CTUh", "Fill in Manually",IF(OR(K9119="Unit", K9119=""), "", INDEX(LookUps!$E$5:$E$12, MATCH(OpenLCAbasic!K9119,LookUps!$D$5:$D$12,0))))</f>
        <v>Acidification Potential (AP) - kg SO2 eq</v>
      </c>
      <c r="M9119" s="154" t="str">
        <f t="shared" si="745"/>
        <v>Base_High_Low_Upgraded_Acidification Potential (AP) - kg SO2 eq_Control Building; at upgraded wastewater treatment plant - US_Base_With Amendment_Aerated Static Pile</v>
      </c>
    </row>
    <row r="9120" spans="1:13" s="120" customFormat="1" x14ac:dyDescent="0.25">
      <c r="A9120" s="119"/>
      <c r="B9120" s="138" t="str">
        <f t="shared" si="746"/>
        <v>Aerated Static Pile</v>
      </c>
      <c r="C9120" s="138" t="str">
        <f t="shared" si="747"/>
        <v>Base_With Amendment</v>
      </c>
      <c r="D9120" s="138" t="str">
        <f t="shared" si="751"/>
        <v>High_Low</v>
      </c>
      <c r="E9120" s="138" t="str">
        <f t="shared" si="748"/>
        <v>Base</v>
      </c>
      <c r="F9120" s="138" t="str">
        <f t="shared" si="749"/>
        <v>Upgraded</v>
      </c>
      <c r="G9120" s="153"/>
      <c r="H9120" s="210">
        <v>-0.28989999999999999</v>
      </c>
      <c r="I9120" s="160" t="s">
        <v>149</v>
      </c>
      <c r="J9120" s="160">
        <v>-1.325E-2</v>
      </c>
      <c r="K9120" s="160" t="s">
        <v>24</v>
      </c>
      <c r="L9120" s="154" t="str">
        <f>IF(OpenLCAbasic!K9120="CTUh", "Fill in Manually",IF(OR(K9120="Unit", K9120=""), "", INDEX(LookUps!$E$5:$E$12, MATCH(OpenLCAbasic!K9120,LookUps!$D$5:$D$12,0))))</f>
        <v>Acidification Potential (AP) - kg SO2 eq</v>
      </c>
      <c r="M9120" s="154" t="str">
        <f t="shared" si="745"/>
        <v>Base_High_Low_Upgraded_Acidification Potential (AP) - kg SO2 eq_Anaerobic Digestion; wastewater treatment unit; at updated plant - US_Base_With Amendment_Aerated Static Pile</v>
      </c>
    </row>
    <row r="9121" spans="1:13" s="120" customFormat="1" x14ac:dyDescent="0.25">
      <c r="A9121" s="119"/>
      <c r="B9121" s="138" t="str">
        <f t="shared" si="746"/>
        <v/>
      </c>
      <c r="C9121" s="138" t="str">
        <f t="shared" si="747"/>
        <v/>
      </c>
      <c r="D9121" s="138" t="str">
        <f t="shared" si="751"/>
        <v/>
      </c>
      <c r="E9121" s="138" t="str">
        <f t="shared" si="748"/>
        <v/>
      </c>
      <c r="F9121" s="138" t="str">
        <f t="shared" si="749"/>
        <v/>
      </c>
      <c r="G9121" s="153" t="s">
        <v>51</v>
      </c>
      <c r="H9121" s="160"/>
      <c r="I9121" s="160" t="s">
        <v>47</v>
      </c>
      <c r="J9121" s="160" t="s">
        <v>52</v>
      </c>
      <c r="K9121" s="160" t="s">
        <v>27</v>
      </c>
      <c r="L9121" s="154" t="str">
        <f>IF(OpenLCAbasic!K9121="CTUh", "Fill in Manually",IF(OR(K9121="Unit", K9121=""), "", INDEX(LookUps!$E$5:$E$12, MATCH(OpenLCAbasic!K9121,LookUps!$D$5:$D$12,0))))</f>
        <v/>
      </c>
      <c r="M9121" s="154" t="str">
        <f t="shared" si="745"/>
        <v>____Process__</v>
      </c>
    </row>
    <row r="9122" spans="1:13" s="120" customFormat="1" x14ac:dyDescent="0.25">
      <c r="A9122" s="119"/>
      <c r="B9122" s="138" t="str">
        <f t="shared" si="746"/>
        <v>Aerated Static Pile</v>
      </c>
      <c r="C9122" s="138" t="str">
        <f t="shared" si="747"/>
        <v>Base_With Amendment</v>
      </c>
      <c r="D9122" s="138" t="str">
        <f t="shared" si="751"/>
        <v>High_Low</v>
      </c>
      <c r="E9122" s="138" t="str">
        <f t="shared" si="748"/>
        <v>Base</v>
      </c>
      <c r="F9122" s="138" t="str">
        <f t="shared" si="749"/>
        <v>Upgraded</v>
      </c>
      <c r="G9122" s="153"/>
      <c r="H9122" s="210">
        <v>0.47360000000000002</v>
      </c>
      <c r="I9122" s="160" t="s">
        <v>167</v>
      </c>
      <c r="J9122" s="160">
        <v>5.1393399999999998</v>
      </c>
      <c r="K9122" s="160" t="s">
        <v>15</v>
      </c>
      <c r="L9122" s="154" t="str">
        <f>IF(OpenLCAbasic!K9122="CTUh", "Fill in Manually",IF(OR(K9122="Unit", K9122=""), "", INDEX(LookUps!$E$5:$E$12, MATCH(OpenLCAbasic!K9122,LookUps!$D$5:$D$12,0))))</f>
        <v>Cumulative Energy Demand (CED) - MJ</v>
      </c>
      <c r="M9122" s="154" t="str">
        <f t="shared" si="745"/>
        <v>Base_High_Low_Upgraded_Cumulative Energy Demand (CED) - MJ_Waste Receiving and Holding; wastewater treatment unit; at updated plant - US_Base_With Amendment_Aerated Static Pile</v>
      </c>
    </row>
    <row r="9123" spans="1:13" s="120" customFormat="1" x14ac:dyDescent="0.25">
      <c r="A9123" s="119"/>
      <c r="B9123" s="138" t="str">
        <f t="shared" si="746"/>
        <v>Aerated Static Pile</v>
      </c>
      <c r="C9123" s="138" t="str">
        <f t="shared" si="747"/>
        <v>Base_With Amendment</v>
      </c>
      <c r="D9123" s="138" t="str">
        <f t="shared" si="751"/>
        <v>High_Low</v>
      </c>
      <c r="E9123" s="138" t="str">
        <f t="shared" si="748"/>
        <v>Base</v>
      </c>
      <c r="F9123" s="138" t="str">
        <f t="shared" si="749"/>
        <v>Upgraded</v>
      </c>
      <c r="G9123" s="153"/>
      <c r="H9123" s="210">
        <v>0.3256</v>
      </c>
      <c r="I9123" s="160" t="s">
        <v>55</v>
      </c>
      <c r="J9123" s="160">
        <v>3.5330499999999998</v>
      </c>
      <c r="K9123" s="160" t="s">
        <v>15</v>
      </c>
      <c r="L9123" s="154" t="str">
        <f>IF(OpenLCAbasic!K9123="CTUh", "Fill in Manually",IF(OR(K9123="Unit", K9123=""), "", INDEX(LookUps!$E$5:$E$12, MATCH(OpenLCAbasic!K9123,LookUps!$D$5:$D$12,0))))</f>
        <v>Cumulative Energy Demand (CED) - MJ</v>
      </c>
      <c r="M9123" s="154" t="str">
        <f t="shared" si="745"/>
        <v>Base_High_Low_Upgraded_Cumulative Energy Demand (CED) - MJ_Aeration Tanks; wastewater treatment unit; at updated plant - US_Base_With Amendment_Aerated Static Pile</v>
      </c>
    </row>
    <row r="9124" spans="1:13" s="120" customFormat="1" x14ac:dyDescent="0.25">
      <c r="A9124" s="119"/>
      <c r="B9124" s="138" t="str">
        <f t="shared" si="746"/>
        <v>Aerated Static Pile</v>
      </c>
      <c r="C9124" s="138" t="str">
        <f t="shared" si="747"/>
        <v>Base_With Amendment</v>
      </c>
      <c r="D9124" s="138" t="str">
        <f t="shared" si="751"/>
        <v>High_Low</v>
      </c>
      <c r="E9124" s="138" t="str">
        <f t="shared" si="748"/>
        <v>Base</v>
      </c>
      <c r="F9124" s="138" t="str">
        <f t="shared" si="749"/>
        <v>Upgraded</v>
      </c>
      <c r="G9124" s="153"/>
      <c r="H9124" s="210">
        <v>0.24340000000000001</v>
      </c>
      <c r="I9124" s="160" t="s">
        <v>435</v>
      </c>
      <c r="J9124" s="160">
        <v>2.6414200000000001</v>
      </c>
      <c r="K9124" s="160" t="s">
        <v>15</v>
      </c>
      <c r="L9124" s="154" t="str">
        <f>IF(OpenLCAbasic!K9124="CTUh", "Fill in Manually",IF(OR(K9124="Unit", K9124=""), "", INDEX(LookUps!$E$5:$E$12, MATCH(OpenLCAbasic!K9124,LookUps!$D$5:$D$12,0))))</f>
        <v>Cumulative Energy Demand (CED) - MJ</v>
      </c>
      <c r="M9124" s="154" t="str">
        <f t="shared" si="745"/>
        <v>Base_High_Low_Upgraded_Cumulative Energy Demand (CED) - MJ_Biosolids composting; aerated static pile; wastewater treatment unit; at updated plant - US_Base_With Amendment_Aerated Static Pile</v>
      </c>
    </row>
    <row r="9125" spans="1:13" s="120" customFormat="1" x14ac:dyDescent="0.25">
      <c r="A9125" s="119"/>
      <c r="B9125" s="138" t="str">
        <f t="shared" si="746"/>
        <v>Aerated Static Pile</v>
      </c>
      <c r="C9125" s="138" t="str">
        <f t="shared" si="747"/>
        <v>Base_With Amendment</v>
      </c>
      <c r="D9125" s="138" t="str">
        <f t="shared" si="751"/>
        <v>High_Low</v>
      </c>
      <c r="E9125" s="138" t="str">
        <f t="shared" si="748"/>
        <v>Base</v>
      </c>
      <c r="F9125" s="138" t="str">
        <f t="shared" si="749"/>
        <v>Upgraded</v>
      </c>
      <c r="G9125" s="153"/>
      <c r="H9125" s="210">
        <v>0.1072</v>
      </c>
      <c r="I9125" s="160" t="s">
        <v>54</v>
      </c>
      <c r="J9125" s="160">
        <v>1.16289</v>
      </c>
      <c r="K9125" s="160" t="s">
        <v>15</v>
      </c>
      <c r="L9125" s="154" t="str">
        <f>IF(OpenLCAbasic!K9125="CTUh", "Fill in Manually",IF(OR(K9125="Unit", K9125=""), "", INDEX(LookUps!$E$5:$E$12, MATCH(OpenLCAbasic!K9125,LookUps!$D$5:$D$12,0))))</f>
        <v>Cumulative Energy Demand (CED) - MJ</v>
      </c>
      <c r="M9125" s="154" t="str">
        <f t="shared" si="745"/>
        <v>Base_High_Low_Upgraded_Cumulative Energy Demand (CED) - MJ_Clear Cove Primary Clarification; wastewater treatment unit; at updated plant - US_Base_With Amendment_Aerated Static Pile</v>
      </c>
    </row>
    <row r="9126" spans="1:13" s="120" customFormat="1" x14ac:dyDescent="0.25">
      <c r="A9126" s="119"/>
      <c r="B9126" s="138" t="str">
        <f t="shared" si="746"/>
        <v>Aerated Static Pile</v>
      </c>
      <c r="C9126" s="138" t="str">
        <f t="shared" si="747"/>
        <v>Base_With Amendment</v>
      </c>
      <c r="D9126" s="138" t="str">
        <f t="shared" si="751"/>
        <v>High_Low</v>
      </c>
      <c r="E9126" s="138" t="str">
        <f t="shared" si="748"/>
        <v>Base</v>
      </c>
      <c r="F9126" s="138" t="str">
        <f t="shared" si="749"/>
        <v>Upgraded</v>
      </c>
      <c r="G9126" s="153"/>
      <c r="H9126" s="210">
        <v>8.2100000000000006E-2</v>
      </c>
      <c r="I9126" s="160" t="s">
        <v>58</v>
      </c>
      <c r="J9126" s="160">
        <v>0.89063999999999999</v>
      </c>
      <c r="K9126" s="160" t="s">
        <v>15</v>
      </c>
      <c r="L9126" s="154" t="str">
        <f>IF(OpenLCAbasic!K9126="CTUh", "Fill in Manually",IF(OR(K9126="Unit", K9126=""), "", INDEX(LookUps!$E$5:$E$12, MATCH(OpenLCAbasic!K9126,LookUps!$D$5:$D$12,0))))</f>
        <v>Cumulative Energy Demand (CED) - MJ</v>
      </c>
      <c r="M9126" s="154" t="str">
        <f t="shared" si="745"/>
        <v>Base_High_Low_Upgraded_Cumulative Energy Demand (CED) - MJ_Pre-Anoxic &amp; Swing tank; wastewater treatment unit; at updated plant - US_Base_With Amendment_Aerated Static Pile</v>
      </c>
    </row>
    <row r="9127" spans="1:13" s="120" customFormat="1" x14ac:dyDescent="0.25">
      <c r="A9127" s="119"/>
      <c r="B9127" s="138" t="str">
        <f t="shared" si="746"/>
        <v>Aerated Static Pile</v>
      </c>
      <c r="C9127" s="138" t="str">
        <f t="shared" si="747"/>
        <v>Base_With Amendment</v>
      </c>
      <c r="D9127" s="138" t="str">
        <f t="shared" si="751"/>
        <v>High_Low</v>
      </c>
      <c r="E9127" s="138" t="str">
        <f t="shared" si="748"/>
        <v>Base</v>
      </c>
      <c r="F9127" s="138" t="str">
        <f t="shared" si="749"/>
        <v>Upgraded</v>
      </c>
      <c r="G9127" s="153"/>
      <c r="H9127" s="210">
        <v>8.14E-2</v>
      </c>
      <c r="I9127" s="160" t="s">
        <v>147</v>
      </c>
      <c r="J9127" s="160">
        <v>0.88297000000000003</v>
      </c>
      <c r="K9127" s="160" t="s">
        <v>15</v>
      </c>
      <c r="L9127" s="154" t="str">
        <f>IF(OpenLCAbasic!K9127="CTUh", "Fill in Manually",IF(OR(K9127="Unit", K9127=""), "", INDEX(LookUps!$E$5:$E$12, MATCH(OpenLCAbasic!K9127,LookUps!$D$5:$D$12,0))))</f>
        <v>Cumulative Energy Demand (CED) - MJ</v>
      </c>
      <c r="M9127" s="154" t="str">
        <f t="shared" si="745"/>
        <v>Base_High_Low_Upgraded_Cumulative Energy Demand (CED) - MJ_Influent Pump Station; wastewater treatment unit; at updated plant - US_Base_With Amendment_Aerated Static Pile</v>
      </c>
    </row>
    <row r="9128" spans="1:13" s="120" customFormat="1" x14ac:dyDescent="0.25">
      <c r="A9128" s="119"/>
      <c r="B9128" s="138" t="str">
        <f t="shared" si="746"/>
        <v>Aerated Static Pile</v>
      </c>
      <c r="C9128" s="138" t="str">
        <f t="shared" si="747"/>
        <v>Base_With Amendment</v>
      </c>
      <c r="D9128" s="138" t="str">
        <f t="shared" si="751"/>
        <v>High_Low</v>
      </c>
      <c r="E9128" s="138" t="str">
        <f t="shared" si="748"/>
        <v>Base</v>
      </c>
      <c r="F9128" s="138" t="str">
        <f t="shared" si="749"/>
        <v>Upgraded</v>
      </c>
      <c r="G9128" s="153"/>
      <c r="H9128" s="210">
        <v>6.4199999999999993E-2</v>
      </c>
      <c r="I9128" s="160" t="s">
        <v>53</v>
      </c>
      <c r="J9128" s="160">
        <v>0.69645000000000001</v>
      </c>
      <c r="K9128" s="160" t="s">
        <v>15</v>
      </c>
      <c r="L9128" s="154" t="str">
        <f>IF(OpenLCAbasic!K9128="CTUh", "Fill in Manually",IF(OR(K9128="Unit", K9128=""), "", INDEX(LookUps!$E$5:$E$12, MATCH(OpenLCAbasic!K9128,LookUps!$D$5:$D$12,0))))</f>
        <v>Cumulative Energy Demand (CED) - MJ</v>
      </c>
      <c r="M9128" s="154" t="str">
        <f t="shared" si="745"/>
        <v>Base_High_Low_Upgraded_Cumulative Energy Demand (CED) - MJ_Wet Well and Sump Station; wastewater treatment unit; at updated plant - US_Base_With Amendment_Aerated Static Pile</v>
      </c>
    </row>
    <row r="9129" spans="1:13" s="120" customFormat="1" x14ac:dyDescent="0.25">
      <c r="A9129" s="119"/>
      <c r="B9129" s="138" t="str">
        <f t="shared" si="746"/>
        <v>Aerated Static Pile</v>
      </c>
      <c r="C9129" s="138" t="str">
        <f t="shared" si="747"/>
        <v>Base_With Amendment</v>
      </c>
      <c r="D9129" s="138" t="str">
        <f t="shared" si="751"/>
        <v>High_Low</v>
      </c>
      <c r="E9129" s="138" t="str">
        <f t="shared" si="748"/>
        <v>Base</v>
      </c>
      <c r="F9129" s="138" t="str">
        <f t="shared" si="749"/>
        <v>Upgraded</v>
      </c>
      <c r="G9129" s="153"/>
      <c r="H9129" s="210">
        <v>5.7799999999999997E-2</v>
      </c>
      <c r="I9129" s="160" t="s">
        <v>60</v>
      </c>
      <c r="J9129" s="160">
        <v>0.62775999999999998</v>
      </c>
      <c r="K9129" s="160" t="s">
        <v>15</v>
      </c>
      <c r="L9129" s="154" t="str">
        <f>IF(OpenLCAbasic!K9129="CTUh", "Fill in Manually",IF(OR(K9129="Unit", K9129=""), "", INDEX(LookUps!$E$5:$E$12, MATCH(OpenLCAbasic!K9129,LookUps!$D$5:$D$12,0))))</f>
        <v>Cumulative Energy Demand (CED) - MJ</v>
      </c>
      <c r="M9129" s="154" t="str">
        <f t="shared" si="745"/>
        <v>Base_High_Low_Upgraded_Cumulative Energy Demand (CED) - MJ_Belt filter press; wastewater treatment unit; at updated plant - US_Base_With Amendment_Aerated Static Pile</v>
      </c>
    </row>
    <row r="9130" spans="1:13" s="120" customFormat="1" x14ac:dyDescent="0.25">
      <c r="A9130" s="119"/>
      <c r="B9130" s="138" t="str">
        <f t="shared" si="746"/>
        <v>Aerated Static Pile</v>
      </c>
      <c r="C9130" s="138" t="str">
        <f t="shared" si="747"/>
        <v>Base_With Amendment</v>
      </c>
      <c r="D9130" s="138" t="str">
        <f t="shared" si="751"/>
        <v>High_Low</v>
      </c>
      <c r="E9130" s="138" t="str">
        <f t="shared" si="748"/>
        <v>Base</v>
      </c>
      <c r="F9130" s="138" t="str">
        <f t="shared" si="749"/>
        <v>Upgraded</v>
      </c>
      <c r="G9130" s="153"/>
      <c r="H9130" s="210">
        <v>3.0800000000000001E-2</v>
      </c>
      <c r="I9130" s="160" t="s">
        <v>57</v>
      </c>
      <c r="J9130" s="160">
        <v>0.33404</v>
      </c>
      <c r="K9130" s="160" t="s">
        <v>15</v>
      </c>
      <c r="L9130" s="154" t="str">
        <f>IF(OpenLCAbasic!K9130="CTUh", "Fill in Manually",IF(OR(K9130="Unit", K9130=""), "", INDEX(LookUps!$E$5:$E$12, MATCH(OpenLCAbasic!K9130,LookUps!$D$5:$D$12,0))))</f>
        <v>Cumulative Energy Demand (CED) - MJ</v>
      </c>
      <c r="M9130" s="154" t="str">
        <f t="shared" si="745"/>
        <v>Base_High_Low_Upgraded_Cumulative Energy Demand (CED) - MJ_Gravity Belt Thickener; wastewater treatment unit; at updated plant - US_Base_With Amendment_Aerated Static Pile</v>
      </c>
    </row>
    <row r="9131" spans="1:13" s="120" customFormat="1" x14ac:dyDescent="0.25">
      <c r="A9131" s="119"/>
      <c r="B9131" s="138" t="str">
        <f t="shared" si="746"/>
        <v>Aerated Static Pile</v>
      </c>
      <c r="C9131" s="138" t="str">
        <f t="shared" si="747"/>
        <v>Base_With Amendment</v>
      </c>
      <c r="D9131" s="138" t="str">
        <f t="shared" si="751"/>
        <v>High_Low</v>
      </c>
      <c r="E9131" s="138" t="str">
        <f t="shared" si="748"/>
        <v>Base</v>
      </c>
      <c r="F9131" s="138" t="str">
        <f t="shared" si="749"/>
        <v>Upgraded</v>
      </c>
      <c r="G9131" s="153"/>
      <c r="H9131" s="210">
        <v>2.3599999999999999E-2</v>
      </c>
      <c r="I9131" s="160" t="s">
        <v>128</v>
      </c>
      <c r="J9131" s="160">
        <v>0.25606000000000001</v>
      </c>
      <c r="K9131" s="160" t="s">
        <v>15</v>
      </c>
      <c r="L9131" s="154" t="str">
        <f>IF(OpenLCAbasic!K9131="CTUh", "Fill in Manually",IF(OR(K9131="Unit", K9131=""), "", INDEX(LookUps!$E$5:$E$12, MATCH(OpenLCAbasic!K9131,LookUps!$D$5:$D$12,0))))</f>
        <v>Cumulative Energy Demand (CED) - MJ</v>
      </c>
      <c r="M9131" s="154" t="str">
        <f t="shared" si="745"/>
        <v>Base_High_Low_Upgraded_Cumulative Energy Demand (CED) - MJ_Wastewater collection; operation and infrastructure; m3 wastewater_Base_With Amendment_Aerated Static Pile</v>
      </c>
    </row>
    <row r="9132" spans="1:13" s="120" customFormat="1" x14ac:dyDescent="0.25">
      <c r="A9132" s="119"/>
      <c r="B9132" s="138" t="str">
        <f t="shared" si="746"/>
        <v>Aerated Static Pile</v>
      </c>
      <c r="C9132" s="138" t="str">
        <f t="shared" si="747"/>
        <v>Base_With Amendment</v>
      </c>
      <c r="D9132" s="138" t="str">
        <f t="shared" si="751"/>
        <v>High_Low</v>
      </c>
      <c r="E9132" s="138" t="str">
        <f t="shared" si="748"/>
        <v>Base</v>
      </c>
      <c r="F9132" s="138" t="str">
        <f t="shared" si="749"/>
        <v>Upgraded</v>
      </c>
      <c r="G9132" s="153"/>
      <c r="H9132" s="210">
        <v>1.35E-2</v>
      </c>
      <c r="I9132" s="160" t="s">
        <v>148</v>
      </c>
      <c r="J9132" s="160">
        <v>0.14599000000000001</v>
      </c>
      <c r="K9132" s="160" t="s">
        <v>15</v>
      </c>
      <c r="L9132" s="154" t="str">
        <f>IF(OpenLCAbasic!K9132="CTUh", "Fill in Manually",IF(OR(K9132="Unit", K9132=""), "", INDEX(LookUps!$E$5:$E$12, MATCH(OpenLCAbasic!K9132,LookUps!$D$5:$D$12,0))))</f>
        <v>Cumulative Energy Demand (CED) - MJ</v>
      </c>
      <c r="M9132" s="154" t="str">
        <f t="shared" si="745"/>
        <v>Base_High_Low_Upgraded_Cumulative Energy Demand (CED) - MJ_Control Building; at upgraded wastewater treatment plant - US_Base_With Amendment_Aerated Static Pile</v>
      </c>
    </row>
    <row r="9133" spans="1:13" s="120" customFormat="1" x14ac:dyDescent="0.25">
      <c r="A9133" s="119"/>
      <c r="B9133" s="138" t="str">
        <f t="shared" si="746"/>
        <v>Aerated Static Pile</v>
      </c>
      <c r="C9133" s="138" t="str">
        <f t="shared" si="747"/>
        <v>Base_With Amendment</v>
      </c>
      <c r="D9133" s="138" t="str">
        <f t="shared" si="751"/>
        <v>High_Low</v>
      </c>
      <c r="E9133" s="138" t="str">
        <f t="shared" si="748"/>
        <v>Base</v>
      </c>
      <c r="F9133" s="138" t="str">
        <f t="shared" si="749"/>
        <v>Upgraded</v>
      </c>
      <c r="G9133" s="153"/>
      <c r="H9133" s="210">
        <v>1.23E-2</v>
      </c>
      <c r="I9133" s="160" t="s">
        <v>48</v>
      </c>
      <c r="J9133" s="160">
        <v>0.13321</v>
      </c>
      <c r="K9133" s="160" t="s">
        <v>15</v>
      </c>
      <c r="L9133" s="154" t="str">
        <f>IF(OpenLCAbasic!K9133="CTUh", "Fill in Manually",IF(OR(K9133="Unit", K9133=""), "", INDEX(LookUps!$E$5:$E$12, MATCH(OpenLCAbasic!K9133,LookUps!$D$5:$D$12,0))))</f>
        <v>Cumulative Energy Demand (CED) - MJ</v>
      </c>
      <c r="M9133" s="154" t="str">
        <f t="shared" si="745"/>
        <v>Base_High_Low_Upgraded_Cumulative Energy Demand (CED) - MJ_Effluent release; wastewater treatment unit; at surface water; m3 wastewater - US_Base_With Amendment_Aerated Static Pile</v>
      </c>
    </row>
    <row r="9134" spans="1:13" s="120" customFormat="1" x14ac:dyDescent="0.25">
      <c r="A9134" s="119"/>
      <c r="B9134" s="138" t="str">
        <f t="shared" si="746"/>
        <v>Aerated Static Pile</v>
      </c>
      <c r="C9134" s="138" t="str">
        <f t="shared" si="747"/>
        <v>Base_With Amendment</v>
      </c>
      <c r="D9134" s="138" t="str">
        <f t="shared" si="751"/>
        <v>High_Low</v>
      </c>
      <c r="E9134" s="138" t="str">
        <f t="shared" si="748"/>
        <v>Base</v>
      </c>
      <c r="F9134" s="138" t="str">
        <f t="shared" si="749"/>
        <v>Upgraded</v>
      </c>
      <c r="G9134" s="153"/>
      <c r="H9134" s="210">
        <v>9.7999999999999997E-3</v>
      </c>
      <c r="I9134" s="160" t="s">
        <v>59</v>
      </c>
      <c r="J9134" s="160">
        <v>0.10638</v>
      </c>
      <c r="K9134" s="160" t="s">
        <v>15</v>
      </c>
      <c r="L9134" s="154" t="str">
        <f>IF(OpenLCAbasic!K9134="CTUh", "Fill in Manually",IF(OR(K9134="Unit", K9134=""), "", INDEX(LookUps!$E$5:$E$12, MATCH(OpenLCAbasic!K9134,LookUps!$D$5:$D$12,0))))</f>
        <v>Cumulative Energy Demand (CED) - MJ</v>
      </c>
      <c r="M9134" s="154" t="str">
        <f t="shared" si="745"/>
        <v>Base_High_Low_Upgraded_Cumulative Energy Demand (CED) - MJ_Blend Tank; wastewater treatment unit; at updated plant - US_Base_With Amendment_Aerated Static Pile</v>
      </c>
    </row>
    <row r="9135" spans="1:13" s="120" customFormat="1" x14ac:dyDescent="0.25">
      <c r="A9135" s="119"/>
      <c r="B9135" s="138" t="str">
        <f t="shared" si="746"/>
        <v>Aerated Static Pile</v>
      </c>
      <c r="C9135" s="138" t="str">
        <f t="shared" si="747"/>
        <v>Base_With Amendment</v>
      </c>
      <c r="D9135" s="138" t="str">
        <f t="shared" si="751"/>
        <v>High_Low</v>
      </c>
      <c r="E9135" s="138" t="str">
        <f t="shared" si="748"/>
        <v>Base</v>
      </c>
      <c r="F9135" s="138" t="str">
        <f t="shared" si="749"/>
        <v>Upgraded</v>
      </c>
      <c r="G9135" s="153"/>
      <c r="H9135" s="210">
        <v>4.7000000000000002E-3</v>
      </c>
      <c r="I9135" s="160" t="s">
        <v>168</v>
      </c>
      <c r="J9135" s="160">
        <v>5.0930000000000003E-2</v>
      </c>
      <c r="K9135" s="160" t="s">
        <v>15</v>
      </c>
      <c r="L9135" s="154" t="str">
        <f>IF(OpenLCAbasic!K9135="CTUh", "Fill in Manually",IF(OR(K9135="Unit", K9135=""), "", INDEX(LookUps!$E$5:$E$12, MATCH(OpenLCAbasic!K9135,LookUps!$D$5:$D$12,0))))</f>
        <v>Cumulative Energy Demand (CED) - MJ</v>
      </c>
      <c r="M9135" s="154" t="str">
        <f t="shared" si="745"/>
        <v>Base_High_Low_Upgraded_Cumulative Energy Demand (CED) - MJ_ClearCove SCP; wastewater treatment unit; at updated plant - US_Base_With Amendment_Aerated Static Pile</v>
      </c>
    </row>
    <row r="9136" spans="1:13" s="120" customFormat="1" x14ac:dyDescent="0.25">
      <c r="A9136" s="119"/>
      <c r="B9136" s="138" t="str">
        <f t="shared" si="746"/>
        <v>Aerated Static Pile</v>
      </c>
      <c r="C9136" s="138" t="str">
        <f t="shared" si="747"/>
        <v>Base_With Amendment</v>
      </c>
      <c r="D9136" s="138" t="str">
        <f t="shared" si="751"/>
        <v>High_Low</v>
      </c>
      <c r="E9136" s="138" t="str">
        <f t="shared" si="748"/>
        <v>Base</v>
      </c>
      <c r="F9136" s="138" t="str">
        <f t="shared" si="749"/>
        <v>Upgraded</v>
      </c>
      <c r="G9136" s="153"/>
      <c r="H9136" s="210">
        <v>-8.77E-2</v>
      </c>
      <c r="I9136" s="160" t="s">
        <v>62</v>
      </c>
      <c r="J9136" s="160">
        <v>-0.95125000000000004</v>
      </c>
      <c r="K9136" s="160" t="s">
        <v>15</v>
      </c>
      <c r="L9136" s="154" t="str">
        <f>IF(OpenLCAbasic!K9136="CTUh", "Fill in Manually",IF(OR(K9136="Unit", K9136=""), "", INDEX(LookUps!$E$5:$E$12, MATCH(OpenLCAbasic!K9136,LookUps!$D$5:$D$12,0))))</f>
        <v>Cumulative Energy Demand (CED) - MJ</v>
      </c>
      <c r="M9136" s="154" t="str">
        <f t="shared" si="745"/>
        <v>Base_High_Low_Upgraded_Cumulative Energy Demand (CED) - MJ_Land application of compost; wastewater treatment unit; at updated plant - US_Base_With Amendment_Aerated Static Pile</v>
      </c>
    </row>
    <row r="9137" spans="1:13" s="120" customFormat="1" x14ac:dyDescent="0.25">
      <c r="A9137" s="119"/>
      <c r="B9137" s="138" t="str">
        <f t="shared" si="746"/>
        <v>Aerated Static Pile</v>
      </c>
      <c r="C9137" s="138" t="str">
        <f t="shared" si="747"/>
        <v>Base_With Amendment</v>
      </c>
      <c r="D9137" s="138" t="str">
        <f t="shared" si="751"/>
        <v>High_Low</v>
      </c>
      <c r="E9137" s="138" t="str">
        <f t="shared" si="748"/>
        <v>Base</v>
      </c>
      <c r="F9137" s="138" t="str">
        <f t="shared" si="749"/>
        <v>Upgraded</v>
      </c>
      <c r="G9137" s="153"/>
      <c r="H9137" s="210">
        <v>-0.44209999999999999</v>
      </c>
      <c r="I9137" s="160" t="s">
        <v>149</v>
      </c>
      <c r="J9137" s="160">
        <v>-4.7974600000000001</v>
      </c>
      <c r="K9137" s="160" t="s">
        <v>15</v>
      </c>
      <c r="L9137" s="154" t="str">
        <f>IF(OpenLCAbasic!K9137="CTUh", "Fill in Manually",IF(OR(K9137="Unit", K9137=""), "", INDEX(LookUps!$E$5:$E$12, MATCH(OpenLCAbasic!K9137,LookUps!$D$5:$D$12,0))))</f>
        <v>Cumulative Energy Demand (CED) - MJ</v>
      </c>
      <c r="M9137" s="154" t="str">
        <f t="shared" si="745"/>
        <v>Base_High_Low_Upgraded_Cumulative Energy Demand (CED) - MJ_Anaerobic Digestion; wastewater treatment unit; at updated plant - US_Base_With Amendment_Aerated Static Pile</v>
      </c>
    </row>
    <row r="9138" spans="1:13" s="120" customFormat="1" x14ac:dyDescent="0.25">
      <c r="A9138" s="119"/>
      <c r="B9138" s="138" t="str">
        <f t="shared" si="746"/>
        <v/>
      </c>
      <c r="C9138" s="138" t="str">
        <f t="shared" si="747"/>
        <v/>
      </c>
      <c r="D9138" s="138" t="str">
        <f t="shared" si="751"/>
        <v/>
      </c>
      <c r="E9138" s="138" t="str">
        <f t="shared" si="748"/>
        <v/>
      </c>
      <c r="F9138" s="138" t="str">
        <f t="shared" si="749"/>
        <v/>
      </c>
      <c r="G9138" s="153" t="s">
        <v>51</v>
      </c>
      <c r="H9138" s="160"/>
      <c r="I9138" s="160" t="s">
        <v>47</v>
      </c>
      <c r="J9138" s="160" t="s">
        <v>52</v>
      </c>
      <c r="K9138" s="160" t="s">
        <v>27</v>
      </c>
      <c r="L9138" s="154" t="str">
        <f>IF(OpenLCAbasic!K9138="CTUh", "Fill in Manually",IF(OR(K9138="Unit", K9138=""), "", INDEX(LookUps!$E$5:$E$12, MATCH(OpenLCAbasic!K9138,LookUps!$D$5:$D$12,0))))</f>
        <v/>
      </c>
      <c r="M9138" s="154" t="str">
        <f t="shared" si="745"/>
        <v>____Process__</v>
      </c>
    </row>
    <row r="9139" spans="1:13" s="120" customFormat="1" x14ac:dyDescent="0.25">
      <c r="A9139" s="119"/>
      <c r="B9139" s="138" t="str">
        <f t="shared" si="746"/>
        <v>Aerated Static Pile</v>
      </c>
      <c r="C9139" s="138" t="str">
        <f t="shared" si="747"/>
        <v>Base_With Amendment</v>
      </c>
      <c r="D9139" s="138" t="str">
        <f t="shared" si="751"/>
        <v>High_Low</v>
      </c>
      <c r="E9139" s="138" t="str">
        <f t="shared" si="748"/>
        <v>Base</v>
      </c>
      <c r="F9139" s="138" t="str">
        <f t="shared" si="749"/>
        <v>Upgraded</v>
      </c>
      <c r="G9139" s="153"/>
      <c r="H9139" s="210">
        <v>0.65369999999999995</v>
      </c>
      <c r="I9139" s="160" t="s">
        <v>48</v>
      </c>
      <c r="J9139" s="160">
        <v>1.1610000000000001E-2</v>
      </c>
      <c r="K9139" s="160" t="s">
        <v>13</v>
      </c>
      <c r="L9139" s="154" t="str">
        <f>IF(OpenLCAbasic!K9139="CTUh", "Fill in Manually",IF(OR(K9139="Unit", K9139=""), "", INDEX(LookUps!$E$5:$E$12, MATCH(OpenLCAbasic!K9139,LookUps!$D$5:$D$12,0))))</f>
        <v>Eutrophication Potential (EP) - kg N eq</v>
      </c>
      <c r="M9139" s="154" t="str">
        <f t="shared" ref="M9139:M9202" si="752">CONCATENATE(E9139,"_",D9139,"_",F9139,"_",L9139, "_",I9139,"_", C9139,"_", B9139)</f>
        <v>Base_High_Low_Upgraded_Eutrophication Potential (EP) - kg N eq_Effluent release; wastewater treatment unit; at surface water; m3 wastewater - US_Base_With Amendment_Aerated Static Pile</v>
      </c>
    </row>
    <row r="9140" spans="1:13" s="120" customFormat="1" x14ac:dyDescent="0.25">
      <c r="A9140" s="119"/>
      <c r="B9140" s="138" t="str">
        <f t="shared" si="746"/>
        <v>Aerated Static Pile</v>
      </c>
      <c r="C9140" s="138" t="str">
        <f t="shared" si="747"/>
        <v>Base_With Amendment</v>
      </c>
      <c r="D9140" s="138" t="str">
        <f t="shared" si="751"/>
        <v>High_Low</v>
      </c>
      <c r="E9140" s="138" t="str">
        <f t="shared" si="748"/>
        <v>Base</v>
      </c>
      <c r="F9140" s="138" t="str">
        <f t="shared" si="749"/>
        <v>Upgraded</v>
      </c>
      <c r="G9140" s="153"/>
      <c r="H9140" s="210">
        <v>0.24759999999999999</v>
      </c>
      <c r="I9140" s="160" t="s">
        <v>62</v>
      </c>
      <c r="J9140" s="160">
        <v>4.4000000000000003E-3</v>
      </c>
      <c r="K9140" s="160" t="s">
        <v>13</v>
      </c>
      <c r="L9140" s="154" t="str">
        <f>IF(OpenLCAbasic!K9140="CTUh", "Fill in Manually",IF(OR(K9140="Unit", K9140=""), "", INDEX(LookUps!$E$5:$E$12, MATCH(OpenLCAbasic!K9140,LookUps!$D$5:$D$12,0))))</f>
        <v>Eutrophication Potential (EP) - kg N eq</v>
      </c>
      <c r="M9140" s="154" t="str">
        <f t="shared" si="752"/>
        <v>Base_High_Low_Upgraded_Eutrophication Potential (EP) - kg N eq_Land application of compost; wastewater treatment unit; at updated plant - US_Base_With Amendment_Aerated Static Pile</v>
      </c>
    </row>
    <row r="9141" spans="1:13" s="120" customFormat="1" x14ac:dyDescent="0.25">
      <c r="A9141" s="119"/>
      <c r="B9141" s="138" t="str">
        <f t="shared" si="746"/>
        <v>Aerated Static Pile</v>
      </c>
      <c r="C9141" s="138" t="str">
        <f t="shared" si="747"/>
        <v>Base_With Amendment</v>
      </c>
      <c r="D9141" s="138" t="str">
        <f t="shared" si="751"/>
        <v>High_Low</v>
      </c>
      <c r="E9141" s="138" t="str">
        <f t="shared" si="748"/>
        <v>Base</v>
      </c>
      <c r="F9141" s="138" t="str">
        <f t="shared" si="749"/>
        <v>Upgraded</v>
      </c>
      <c r="G9141" s="153"/>
      <c r="H9141" s="210">
        <v>3.0800000000000001E-2</v>
      </c>
      <c r="I9141" s="160" t="s">
        <v>55</v>
      </c>
      <c r="J9141" s="160">
        <v>5.5000000000000003E-4</v>
      </c>
      <c r="K9141" s="160" t="s">
        <v>13</v>
      </c>
      <c r="L9141" s="154" t="str">
        <f>IF(OpenLCAbasic!K9141="CTUh", "Fill in Manually",IF(OR(K9141="Unit", K9141=""), "", INDEX(LookUps!$E$5:$E$12, MATCH(OpenLCAbasic!K9141,LookUps!$D$5:$D$12,0))))</f>
        <v>Eutrophication Potential (EP) - kg N eq</v>
      </c>
      <c r="M9141" s="154" t="str">
        <f t="shared" si="752"/>
        <v>Base_High_Low_Upgraded_Eutrophication Potential (EP) - kg N eq_Aeration Tanks; wastewater treatment unit; at updated plant - US_Base_With Amendment_Aerated Static Pile</v>
      </c>
    </row>
    <row r="9142" spans="1:13" s="120" customFormat="1" x14ac:dyDescent="0.25">
      <c r="A9142" s="119"/>
      <c r="B9142" s="138" t="str">
        <f t="shared" si="746"/>
        <v>Aerated Static Pile</v>
      </c>
      <c r="C9142" s="138" t="str">
        <f t="shared" si="747"/>
        <v>Base_With Amendment</v>
      </c>
      <c r="D9142" s="138" t="str">
        <f t="shared" si="751"/>
        <v>High_Low</v>
      </c>
      <c r="E9142" s="138" t="str">
        <f t="shared" si="748"/>
        <v>Base</v>
      </c>
      <c r="F9142" s="138" t="str">
        <f t="shared" si="749"/>
        <v>Upgraded</v>
      </c>
      <c r="G9142" s="153"/>
      <c r="H9142" s="210">
        <v>2.4500000000000001E-2</v>
      </c>
      <c r="I9142" s="160" t="s">
        <v>435</v>
      </c>
      <c r="J9142" s="160">
        <v>4.4000000000000002E-4</v>
      </c>
      <c r="K9142" s="160" t="s">
        <v>13</v>
      </c>
      <c r="L9142" s="154" t="str">
        <f>IF(OpenLCAbasic!K9142="CTUh", "Fill in Manually",IF(OR(K9142="Unit", K9142=""), "", INDEX(LookUps!$E$5:$E$12, MATCH(OpenLCAbasic!K9142,LookUps!$D$5:$D$12,0))))</f>
        <v>Eutrophication Potential (EP) - kg N eq</v>
      </c>
      <c r="M9142" s="154" t="str">
        <f t="shared" si="752"/>
        <v>Base_High_Low_Upgraded_Eutrophication Potential (EP) - kg N eq_Biosolids composting; aerated static pile; wastewater treatment unit; at updated plant - US_Base_With Amendment_Aerated Static Pile</v>
      </c>
    </row>
    <row r="9143" spans="1:13" s="120" customFormat="1" x14ac:dyDescent="0.25">
      <c r="A9143" s="119"/>
      <c r="B9143" s="138" t="str">
        <f t="shared" si="746"/>
        <v>Aerated Static Pile</v>
      </c>
      <c r="C9143" s="138" t="str">
        <f t="shared" si="747"/>
        <v>Base_With Amendment</v>
      </c>
      <c r="D9143" s="138" t="str">
        <f t="shared" si="751"/>
        <v>High_Low</v>
      </c>
      <c r="E9143" s="138" t="str">
        <f t="shared" si="748"/>
        <v>Base</v>
      </c>
      <c r="F9143" s="138" t="str">
        <f t="shared" si="749"/>
        <v>Upgraded</v>
      </c>
      <c r="G9143" s="153"/>
      <c r="H9143" s="210">
        <v>1.41E-2</v>
      </c>
      <c r="I9143" s="160" t="s">
        <v>147</v>
      </c>
      <c r="J9143" s="160">
        <v>2.5000000000000001E-4</v>
      </c>
      <c r="K9143" s="160" t="s">
        <v>13</v>
      </c>
      <c r="L9143" s="154" t="str">
        <f>IF(OpenLCAbasic!K9143="CTUh", "Fill in Manually",IF(OR(K9143="Unit", K9143=""), "", INDEX(LookUps!$E$5:$E$12, MATCH(OpenLCAbasic!K9143,LookUps!$D$5:$D$12,0))))</f>
        <v>Eutrophication Potential (EP) - kg N eq</v>
      </c>
      <c r="M9143" s="154" t="str">
        <f t="shared" si="752"/>
        <v>Base_High_Low_Upgraded_Eutrophication Potential (EP) - kg N eq_Influent Pump Station; wastewater treatment unit; at updated plant - US_Base_With Amendment_Aerated Static Pile</v>
      </c>
    </row>
    <row r="9144" spans="1:13" s="120" customFormat="1" x14ac:dyDescent="0.25">
      <c r="A9144" s="119"/>
      <c r="B9144" s="138" t="str">
        <f t="shared" si="746"/>
        <v>Aerated Static Pile</v>
      </c>
      <c r="C9144" s="138" t="str">
        <f t="shared" si="747"/>
        <v>Base_With Amendment</v>
      </c>
      <c r="D9144" s="138" t="str">
        <f t="shared" si="751"/>
        <v>High_Low</v>
      </c>
      <c r="E9144" s="138" t="str">
        <f t="shared" si="748"/>
        <v>Base</v>
      </c>
      <c r="F9144" s="138" t="str">
        <f t="shared" si="749"/>
        <v>Upgraded</v>
      </c>
      <c r="G9144" s="153"/>
      <c r="H9144" s="210">
        <v>1.24E-2</v>
      </c>
      <c r="I9144" s="160" t="s">
        <v>167</v>
      </c>
      <c r="J9144" s="160">
        <v>2.2000000000000001E-4</v>
      </c>
      <c r="K9144" s="160" t="s">
        <v>13</v>
      </c>
      <c r="L9144" s="154" t="str">
        <f>IF(OpenLCAbasic!K9144="CTUh", "Fill in Manually",IF(OR(K9144="Unit", K9144=""), "", INDEX(LookUps!$E$5:$E$12, MATCH(OpenLCAbasic!K9144,LookUps!$D$5:$D$12,0))))</f>
        <v>Eutrophication Potential (EP) - kg N eq</v>
      </c>
      <c r="M9144" s="154" t="str">
        <f t="shared" si="752"/>
        <v>Base_High_Low_Upgraded_Eutrophication Potential (EP) - kg N eq_Waste Receiving and Holding; wastewater treatment unit; at updated plant - US_Base_With Amendment_Aerated Static Pile</v>
      </c>
    </row>
    <row r="9145" spans="1:13" s="120" customFormat="1" x14ac:dyDescent="0.25">
      <c r="A9145" s="119"/>
      <c r="B9145" s="138" t="str">
        <f t="shared" ref="B9145:B9208" si="753">IF(F9145="Legacy","n.a.",IF(F9145="","","Aerated Static Pile"))</f>
        <v>Aerated Static Pile</v>
      </c>
      <c r="C9145" s="138" t="str">
        <f t="shared" ref="C9145:C9208" si="754">IF(ISNUMBER($J9145),"Base_With Amendment","")</f>
        <v>Base_With Amendment</v>
      </c>
      <c r="D9145" s="138" t="str">
        <f t="shared" si="751"/>
        <v>High_Low</v>
      </c>
      <c r="E9145" s="138" t="str">
        <f t="shared" ref="E9145:E9208" si="755">IF(ISNUMBER($J9145),"Base","")</f>
        <v>Base</v>
      </c>
      <c r="F9145" s="138" t="str">
        <f t="shared" ref="F9145:F9208" si="756">IF(ISNUMBER(J9145),"Upgraded","")</f>
        <v>Upgraded</v>
      </c>
      <c r="G9145" s="153"/>
      <c r="H9145" s="210">
        <v>1.12E-2</v>
      </c>
      <c r="I9145" s="160" t="s">
        <v>54</v>
      </c>
      <c r="J9145" s="160">
        <v>2.0000000000000001E-4</v>
      </c>
      <c r="K9145" s="160" t="s">
        <v>13</v>
      </c>
      <c r="L9145" s="154" t="str">
        <f>IF(OpenLCAbasic!K9145="CTUh", "Fill in Manually",IF(OR(K9145="Unit", K9145=""), "", INDEX(LookUps!$E$5:$E$12, MATCH(OpenLCAbasic!K9145,LookUps!$D$5:$D$12,0))))</f>
        <v>Eutrophication Potential (EP) - kg N eq</v>
      </c>
      <c r="M9145" s="154" t="str">
        <f t="shared" si="752"/>
        <v>Base_High_Low_Upgraded_Eutrophication Potential (EP) - kg N eq_Clear Cove Primary Clarification; wastewater treatment unit; at updated plant - US_Base_With Amendment_Aerated Static Pile</v>
      </c>
    </row>
    <row r="9146" spans="1:13" s="120" customFormat="1" x14ac:dyDescent="0.25">
      <c r="A9146" s="119"/>
      <c r="B9146" s="138" t="str">
        <f t="shared" si="753"/>
        <v>Aerated Static Pile</v>
      </c>
      <c r="C9146" s="138" t="str">
        <f t="shared" si="754"/>
        <v>Base_With Amendment</v>
      </c>
      <c r="D9146" s="138" t="str">
        <f t="shared" si="751"/>
        <v>High_Low</v>
      </c>
      <c r="E9146" s="138" t="str">
        <f t="shared" si="755"/>
        <v>Base</v>
      </c>
      <c r="F9146" s="138" t="str">
        <f t="shared" si="756"/>
        <v>Upgraded</v>
      </c>
      <c r="G9146" s="153"/>
      <c r="H9146" s="210">
        <v>7.7000000000000002E-3</v>
      </c>
      <c r="I9146" s="160" t="s">
        <v>58</v>
      </c>
      <c r="J9146" s="160">
        <v>1.3999999999999999E-4</v>
      </c>
      <c r="K9146" s="160" t="s">
        <v>13</v>
      </c>
      <c r="L9146" s="154" t="str">
        <f>IF(OpenLCAbasic!K9146="CTUh", "Fill in Manually",IF(OR(K9146="Unit", K9146=""), "", INDEX(LookUps!$E$5:$E$12, MATCH(OpenLCAbasic!K9146,LookUps!$D$5:$D$12,0))))</f>
        <v>Eutrophication Potential (EP) - kg N eq</v>
      </c>
      <c r="M9146" s="154" t="str">
        <f t="shared" si="752"/>
        <v>Base_High_Low_Upgraded_Eutrophication Potential (EP) - kg N eq_Pre-Anoxic &amp; Swing tank; wastewater treatment unit; at updated plant - US_Base_With Amendment_Aerated Static Pile</v>
      </c>
    </row>
    <row r="9147" spans="1:13" s="120" customFormat="1" x14ac:dyDescent="0.25">
      <c r="A9147" s="119"/>
      <c r="B9147" s="138" t="str">
        <f t="shared" si="753"/>
        <v>Aerated Static Pile</v>
      </c>
      <c r="C9147" s="138" t="str">
        <f t="shared" si="754"/>
        <v>Base_With Amendment</v>
      </c>
      <c r="D9147" s="138" t="str">
        <f t="shared" si="751"/>
        <v>High_Low</v>
      </c>
      <c r="E9147" s="138" t="str">
        <f t="shared" si="755"/>
        <v>Base</v>
      </c>
      <c r="F9147" s="138" t="str">
        <f t="shared" si="756"/>
        <v>Upgraded</v>
      </c>
      <c r="G9147" s="153"/>
      <c r="H9147" s="210">
        <v>6.1999999999999998E-3</v>
      </c>
      <c r="I9147" s="160" t="s">
        <v>60</v>
      </c>
      <c r="J9147" s="160">
        <v>1.1E-4</v>
      </c>
      <c r="K9147" s="160" t="s">
        <v>13</v>
      </c>
      <c r="L9147" s="154" t="str">
        <f>IF(OpenLCAbasic!K9147="CTUh", "Fill in Manually",IF(OR(K9147="Unit", K9147=""), "", INDEX(LookUps!$E$5:$E$12, MATCH(OpenLCAbasic!K9147,LookUps!$D$5:$D$12,0))))</f>
        <v>Eutrophication Potential (EP) - kg N eq</v>
      </c>
      <c r="M9147" s="154" t="str">
        <f t="shared" si="752"/>
        <v>Base_High_Low_Upgraded_Eutrophication Potential (EP) - kg N eq_Belt filter press; wastewater treatment unit; at updated plant - US_Base_With Amendment_Aerated Static Pile</v>
      </c>
    </row>
    <row r="9148" spans="1:13" s="120" customFormat="1" x14ac:dyDescent="0.25">
      <c r="A9148" s="119"/>
      <c r="B9148" s="138" t="str">
        <f t="shared" si="753"/>
        <v>Aerated Static Pile</v>
      </c>
      <c r="C9148" s="138" t="str">
        <f t="shared" si="754"/>
        <v>Base_With Amendment</v>
      </c>
      <c r="D9148" s="138" t="str">
        <f t="shared" si="751"/>
        <v>High_Low</v>
      </c>
      <c r="E9148" s="138" t="str">
        <f t="shared" si="755"/>
        <v>Base</v>
      </c>
      <c r="F9148" s="138" t="str">
        <f t="shared" si="756"/>
        <v>Upgraded</v>
      </c>
      <c r="G9148" s="153"/>
      <c r="H9148" s="210">
        <v>6.0000000000000001E-3</v>
      </c>
      <c r="I9148" s="160" t="s">
        <v>53</v>
      </c>
      <c r="J9148" s="211">
        <v>1.1E-4</v>
      </c>
      <c r="K9148" s="160" t="s">
        <v>13</v>
      </c>
      <c r="L9148" s="154" t="str">
        <f>IF(OpenLCAbasic!K9148="CTUh", "Fill in Manually",IF(OR(K9148="Unit", K9148=""), "", INDEX(LookUps!$E$5:$E$12, MATCH(OpenLCAbasic!K9148,LookUps!$D$5:$D$12,0))))</f>
        <v>Eutrophication Potential (EP) - kg N eq</v>
      </c>
      <c r="M9148" s="154" t="str">
        <f t="shared" si="752"/>
        <v>Base_High_Low_Upgraded_Eutrophication Potential (EP) - kg N eq_Wet Well and Sump Station; wastewater treatment unit; at updated plant - US_Base_With Amendment_Aerated Static Pile</v>
      </c>
    </row>
    <row r="9149" spans="1:13" s="120" customFormat="1" x14ac:dyDescent="0.25">
      <c r="A9149" s="119"/>
      <c r="B9149" s="138" t="str">
        <f t="shared" si="753"/>
        <v>Aerated Static Pile</v>
      </c>
      <c r="C9149" s="138" t="str">
        <f t="shared" si="754"/>
        <v>Base_With Amendment</v>
      </c>
      <c r="D9149" s="138" t="str">
        <f t="shared" si="751"/>
        <v>High_Low</v>
      </c>
      <c r="E9149" s="138" t="str">
        <f t="shared" si="755"/>
        <v>Base</v>
      </c>
      <c r="F9149" s="138" t="str">
        <f t="shared" si="756"/>
        <v>Upgraded</v>
      </c>
      <c r="G9149" s="153"/>
      <c r="H9149" s="210">
        <v>3.3999999999999998E-3</v>
      </c>
      <c r="I9149" s="160" t="s">
        <v>57</v>
      </c>
      <c r="J9149" s="211">
        <v>6.0590300000000002E-5</v>
      </c>
      <c r="K9149" s="160" t="s">
        <v>13</v>
      </c>
      <c r="L9149" s="154" t="str">
        <f>IF(OpenLCAbasic!K9149="CTUh", "Fill in Manually",IF(OR(K9149="Unit", K9149=""), "", INDEX(LookUps!$E$5:$E$12, MATCH(OpenLCAbasic!K9149,LookUps!$D$5:$D$12,0))))</f>
        <v>Eutrophication Potential (EP) - kg N eq</v>
      </c>
      <c r="M9149" s="154" t="str">
        <f t="shared" si="752"/>
        <v>Base_High_Low_Upgraded_Eutrophication Potential (EP) - kg N eq_Gravity Belt Thickener; wastewater treatment unit; at updated plant - US_Base_With Amendment_Aerated Static Pile</v>
      </c>
    </row>
    <row r="9150" spans="1:13" s="120" customFormat="1" x14ac:dyDescent="0.25">
      <c r="A9150" s="119"/>
      <c r="B9150" s="138" t="str">
        <f t="shared" si="753"/>
        <v>Aerated Static Pile</v>
      </c>
      <c r="C9150" s="138" t="str">
        <f t="shared" si="754"/>
        <v>Base_With Amendment</v>
      </c>
      <c r="D9150" s="138" t="str">
        <f t="shared" si="751"/>
        <v>High_Low</v>
      </c>
      <c r="E9150" s="138" t="str">
        <f t="shared" si="755"/>
        <v>Base</v>
      </c>
      <c r="F9150" s="138" t="str">
        <f t="shared" si="756"/>
        <v>Upgraded</v>
      </c>
      <c r="G9150" s="153"/>
      <c r="H9150" s="210">
        <v>2.0999999999999999E-3</v>
      </c>
      <c r="I9150" s="160" t="s">
        <v>128</v>
      </c>
      <c r="J9150" s="211">
        <v>3.7559799999999999E-5</v>
      </c>
      <c r="K9150" s="160" t="s">
        <v>13</v>
      </c>
      <c r="L9150" s="154" t="str">
        <f>IF(OpenLCAbasic!K9150="CTUh", "Fill in Manually",IF(OR(K9150="Unit", K9150=""), "", INDEX(LookUps!$E$5:$E$12, MATCH(OpenLCAbasic!K9150,LookUps!$D$5:$D$12,0))))</f>
        <v>Eutrophication Potential (EP) - kg N eq</v>
      </c>
      <c r="M9150" s="154" t="str">
        <f t="shared" si="752"/>
        <v>Base_High_Low_Upgraded_Eutrophication Potential (EP) - kg N eq_Wastewater collection; operation and infrastructure; m3 wastewater_Base_With Amendment_Aerated Static Pile</v>
      </c>
    </row>
    <row r="9151" spans="1:13" s="120" customFormat="1" x14ac:dyDescent="0.25">
      <c r="A9151" s="119"/>
      <c r="B9151" s="138" t="str">
        <f t="shared" si="753"/>
        <v>Aerated Static Pile</v>
      </c>
      <c r="C9151" s="138" t="str">
        <f t="shared" si="754"/>
        <v>Base_With Amendment</v>
      </c>
      <c r="D9151" s="138" t="str">
        <f t="shared" si="751"/>
        <v>High_Low</v>
      </c>
      <c r="E9151" s="138" t="str">
        <f t="shared" si="755"/>
        <v>Base</v>
      </c>
      <c r="F9151" s="138" t="str">
        <f t="shared" si="756"/>
        <v>Upgraded</v>
      </c>
      <c r="G9151" s="153"/>
      <c r="H9151" s="210">
        <v>2.0999999999999999E-3</v>
      </c>
      <c r="I9151" s="160" t="s">
        <v>148</v>
      </c>
      <c r="J9151" s="211">
        <v>3.6874600000000001E-5</v>
      </c>
      <c r="K9151" s="160" t="s">
        <v>13</v>
      </c>
      <c r="L9151" s="154" t="str">
        <f>IF(OpenLCAbasic!K9151="CTUh", "Fill in Manually",IF(OR(K9151="Unit", K9151=""), "", INDEX(LookUps!$E$5:$E$12, MATCH(OpenLCAbasic!K9151,LookUps!$D$5:$D$12,0))))</f>
        <v>Eutrophication Potential (EP) - kg N eq</v>
      </c>
      <c r="M9151" s="154" t="str">
        <f t="shared" si="752"/>
        <v>Base_High_Low_Upgraded_Eutrophication Potential (EP) - kg N eq_Control Building; at upgraded wastewater treatment plant - US_Base_With Amendment_Aerated Static Pile</v>
      </c>
    </row>
    <row r="9152" spans="1:13" s="120" customFormat="1" x14ac:dyDescent="0.25">
      <c r="A9152" s="119"/>
      <c r="B9152" s="138" t="str">
        <f t="shared" si="753"/>
        <v>Aerated Static Pile</v>
      </c>
      <c r="C9152" s="138" t="str">
        <f t="shared" si="754"/>
        <v>Base_With Amendment</v>
      </c>
      <c r="D9152" s="138" t="str">
        <f t="shared" si="751"/>
        <v>High_Low</v>
      </c>
      <c r="E9152" s="138" t="str">
        <f t="shared" si="755"/>
        <v>Base</v>
      </c>
      <c r="F9152" s="138" t="str">
        <f t="shared" si="756"/>
        <v>Upgraded</v>
      </c>
      <c r="G9152" s="153"/>
      <c r="H9152" s="210">
        <v>8.9999999999999998E-4</v>
      </c>
      <c r="I9152" s="160" t="s">
        <v>59</v>
      </c>
      <c r="J9152" s="211">
        <v>1.6215700000000001E-5</v>
      </c>
      <c r="K9152" s="160" t="s">
        <v>13</v>
      </c>
      <c r="L9152" s="154" t="str">
        <f>IF(OpenLCAbasic!K9152="CTUh", "Fill in Manually",IF(OR(K9152="Unit", K9152=""), "", INDEX(LookUps!$E$5:$E$12, MATCH(OpenLCAbasic!K9152,LookUps!$D$5:$D$12,0))))</f>
        <v>Eutrophication Potential (EP) - kg N eq</v>
      </c>
      <c r="M9152" s="154" t="str">
        <f t="shared" si="752"/>
        <v>Base_High_Low_Upgraded_Eutrophication Potential (EP) - kg N eq_Blend Tank; wastewater treatment unit; at updated plant - US_Base_With Amendment_Aerated Static Pile</v>
      </c>
    </row>
    <row r="9153" spans="1:13" s="120" customFormat="1" x14ac:dyDescent="0.25">
      <c r="A9153" s="119"/>
      <c r="B9153" s="138" t="str">
        <f t="shared" si="753"/>
        <v>Aerated Static Pile</v>
      </c>
      <c r="C9153" s="138" t="str">
        <f t="shared" si="754"/>
        <v>Base_With Amendment</v>
      </c>
      <c r="D9153" s="138" t="str">
        <f t="shared" si="751"/>
        <v>High_Low</v>
      </c>
      <c r="E9153" s="138" t="str">
        <f t="shared" si="755"/>
        <v>Base</v>
      </c>
      <c r="F9153" s="138" t="str">
        <f t="shared" si="756"/>
        <v>Upgraded</v>
      </c>
      <c r="G9153" s="153"/>
      <c r="H9153" s="210">
        <v>4.0000000000000002E-4</v>
      </c>
      <c r="I9153" s="160" t="s">
        <v>168</v>
      </c>
      <c r="J9153" s="211">
        <v>7.7567199999999995E-6</v>
      </c>
      <c r="K9153" s="160" t="s">
        <v>13</v>
      </c>
      <c r="L9153" s="154" t="str">
        <f>IF(OpenLCAbasic!K9153="CTUh", "Fill in Manually",IF(OR(K9153="Unit", K9153=""), "", INDEX(LookUps!$E$5:$E$12, MATCH(OpenLCAbasic!K9153,LookUps!$D$5:$D$12,0))))</f>
        <v>Eutrophication Potential (EP) - kg N eq</v>
      </c>
      <c r="M9153" s="154" t="str">
        <f t="shared" si="752"/>
        <v>Base_High_Low_Upgraded_Eutrophication Potential (EP) - kg N eq_ClearCove SCP; wastewater treatment unit; at updated plant - US_Base_With Amendment_Aerated Static Pile</v>
      </c>
    </row>
    <row r="9154" spans="1:13" s="120" customFormat="1" x14ac:dyDescent="0.25">
      <c r="A9154" s="119"/>
      <c r="B9154" s="138" t="str">
        <f t="shared" si="753"/>
        <v>Aerated Static Pile</v>
      </c>
      <c r="C9154" s="138" t="str">
        <f t="shared" si="754"/>
        <v>Base_With Amendment</v>
      </c>
      <c r="D9154" s="138" t="str">
        <f t="shared" si="751"/>
        <v>High_Low</v>
      </c>
      <c r="E9154" s="138" t="str">
        <f t="shared" si="755"/>
        <v>Base</v>
      </c>
      <c r="F9154" s="138" t="str">
        <f t="shared" si="756"/>
        <v>Upgraded</v>
      </c>
      <c r="G9154" s="153"/>
      <c r="H9154" s="210">
        <v>-2.3099999999999999E-2</v>
      </c>
      <c r="I9154" s="160" t="s">
        <v>149</v>
      </c>
      <c r="J9154" s="160">
        <v>-4.0999999999999999E-4</v>
      </c>
      <c r="K9154" s="160" t="s">
        <v>13</v>
      </c>
      <c r="L9154" s="154" t="str">
        <f>IF(OpenLCAbasic!K9154="CTUh", "Fill in Manually",IF(OR(K9154="Unit", K9154=""), "", INDEX(LookUps!$E$5:$E$12, MATCH(OpenLCAbasic!K9154,LookUps!$D$5:$D$12,0))))</f>
        <v>Eutrophication Potential (EP) - kg N eq</v>
      </c>
      <c r="M9154" s="154" t="str">
        <f t="shared" si="752"/>
        <v>Base_High_Low_Upgraded_Eutrophication Potential (EP) - kg N eq_Anaerobic Digestion; wastewater treatment unit; at updated plant - US_Base_With Amendment_Aerated Static Pile</v>
      </c>
    </row>
    <row r="9155" spans="1:13" s="120" customFormat="1" x14ac:dyDescent="0.25">
      <c r="A9155" s="119"/>
      <c r="B9155" s="138" t="str">
        <f t="shared" si="753"/>
        <v/>
      </c>
      <c r="C9155" s="138" t="str">
        <f t="shared" si="754"/>
        <v/>
      </c>
      <c r="D9155" s="138" t="str">
        <f t="shared" si="751"/>
        <v/>
      </c>
      <c r="E9155" s="138" t="str">
        <f t="shared" si="755"/>
        <v/>
      </c>
      <c r="F9155" s="138" t="str">
        <f t="shared" si="756"/>
        <v/>
      </c>
      <c r="G9155" s="153" t="s">
        <v>51</v>
      </c>
      <c r="H9155" s="160"/>
      <c r="I9155" s="160" t="s">
        <v>47</v>
      </c>
      <c r="J9155" s="160" t="s">
        <v>52</v>
      </c>
      <c r="K9155" s="160" t="s">
        <v>27</v>
      </c>
      <c r="L9155" s="154" t="str">
        <f>IF(OpenLCAbasic!K9155="CTUh", "Fill in Manually",IF(OR(K9155="Unit", K9155=""), "", INDEX(LookUps!$E$5:$E$12, MATCH(OpenLCAbasic!K9155,LookUps!$D$5:$D$12,0))))</f>
        <v/>
      </c>
      <c r="M9155" s="154" t="str">
        <f t="shared" si="752"/>
        <v>____Process__</v>
      </c>
    </row>
    <row r="9156" spans="1:13" s="120" customFormat="1" x14ac:dyDescent="0.25">
      <c r="A9156" s="119"/>
      <c r="B9156" s="138" t="str">
        <f t="shared" si="753"/>
        <v>Aerated Static Pile</v>
      </c>
      <c r="C9156" s="138" t="str">
        <f t="shared" si="754"/>
        <v>Base_With Amendment</v>
      </c>
      <c r="D9156" s="138" t="str">
        <f t="shared" si="751"/>
        <v>High_Low</v>
      </c>
      <c r="E9156" s="138" t="str">
        <f t="shared" si="755"/>
        <v>Base</v>
      </c>
      <c r="F9156" s="138" t="str">
        <f t="shared" si="756"/>
        <v>Upgraded</v>
      </c>
      <c r="G9156" s="153"/>
      <c r="H9156" s="210">
        <v>0.54959999999999998</v>
      </c>
      <c r="I9156" s="160" t="s">
        <v>167</v>
      </c>
      <c r="J9156" s="160">
        <v>0.11719</v>
      </c>
      <c r="K9156" s="160" t="s">
        <v>14</v>
      </c>
      <c r="L9156" s="154" t="str">
        <f>IF(OpenLCAbasic!K9156="CTUh", "Fill in Manually",IF(OR(K9156="Unit", K9156=""), "", INDEX(LookUps!$E$5:$E$12, MATCH(OpenLCAbasic!K9156,LookUps!$D$5:$D$12,0))))</f>
        <v>Fossil Depletion Potential (FDP) - kg oil eq</v>
      </c>
      <c r="M9156" s="154" t="str">
        <f t="shared" si="752"/>
        <v>Base_High_Low_Upgraded_Fossil Depletion Potential (FDP) - kg oil eq_Waste Receiving and Holding; wastewater treatment unit; at updated plant - US_Base_With Amendment_Aerated Static Pile</v>
      </c>
    </row>
    <row r="9157" spans="1:13" s="120" customFormat="1" x14ac:dyDescent="0.25">
      <c r="A9157" s="119"/>
      <c r="B9157" s="138" t="str">
        <f t="shared" si="753"/>
        <v>Aerated Static Pile</v>
      </c>
      <c r="C9157" s="138" t="str">
        <f t="shared" si="754"/>
        <v>Base_With Amendment</v>
      </c>
      <c r="D9157" s="138" t="str">
        <f t="shared" si="751"/>
        <v>High_Low</v>
      </c>
      <c r="E9157" s="138" t="str">
        <f t="shared" si="755"/>
        <v>Base</v>
      </c>
      <c r="F9157" s="138" t="str">
        <f t="shared" si="756"/>
        <v>Upgraded</v>
      </c>
      <c r="G9157" s="153"/>
      <c r="H9157" s="210">
        <v>0.29820000000000002</v>
      </c>
      <c r="I9157" s="160" t="s">
        <v>55</v>
      </c>
      <c r="J9157" s="160">
        <v>6.3589999999999994E-2</v>
      </c>
      <c r="K9157" s="160" t="s">
        <v>14</v>
      </c>
      <c r="L9157" s="154" t="str">
        <f>IF(OpenLCAbasic!K9157="CTUh", "Fill in Manually",IF(OR(K9157="Unit", K9157=""), "", INDEX(LookUps!$E$5:$E$12, MATCH(OpenLCAbasic!K9157,LookUps!$D$5:$D$12,0))))</f>
        <v>Fossil Depletion Potential (FDP) - kg oil eq</v>
      </c>
      <c r="M9157" s="154" t="str">
        <f t="shared" si="752"/>
        <v>Base_High_Low_Upgraded_Fossil Depletion Potential (FDP) - kg oil eq_Aeration Tanks; wastewater treatment unit; at updated plant - US_Base_With Amendment_Aerated Static Pile</v>
      </c>
    </row>
    <row r="9158" spans="1:13" s="120" customFormat="1" x14ac:dyDescent="0.25">
      <c r="A9158" s="119"/>
      <c r="B9158" s="138" t="str">
        <f t="shared" si="753"/>
        <v>Aerated Static Pile</v>
      </c>
      <c r="C9158" s="138" t="str">
        <f t="shared" si="754"/>
        <v>Base_With Amendment</v>
      </c>
      <c r="D9158" s="138" t="str">
        <f t="shared" si="751"/>
        <v>High_Low</v>
      </c>
      <c r="E9158" s="138" t="str">
        <f t="shared" si="755"/>
        <v>Base</v>
      </c>
      <c r="F9158" s="138" t="str">
        <f t="shared" si="756"/>
        <v>Upgraded</v>
      </c>
      <c r="G9158" s="153"/>
      <c r="H9158" s="210">
        <v>0.22320000000000001</v>
      </c>
      <c r="I9158" s="160" t="s">
        <v>435</v>
      </c>
      <c r="J9158" s="160">
        <v>4.7600000000000003E-2</v>
      </c>
      <c r="K9158" s="160" t="s">
        <v>14</v>
      </c>
      <c r="L9158" s="154" t="str">
        <f>IF(OpenLCAbasic!K9158="CTUh", "Fill in Manually",IF(OR(K9158="Unit", K9158=""), "", INDEX(LookUps!$E$5:$E$12, MATCH(OpenLCAbasic!K9158,LookUps!$D$5:$D$12,0))))</f>
        <v>Fossil Depletion Potential (FDP) - kg oil eq</v>
      </c>
      <c r="M9158" s="154" t="str">
        <f t="shared" si="752"/>
        <v>Base_High_Low_Upgraded_Fossil Depletion Potential (FDP) - kg oil eq_Biosolids composting; aerated static pile; wastewater treatment unit; at updated plant - US_Base_With Amendment_Aerated Static Pile</v>
      </c>
    </row>
    <row r="9159" spans="1:13" s="120" customFormat="1" x14ac:dyDescent="0.25">
      <c r="A9159" s="119"/>
      <c r="B9159" s="138" t="str">
        <f t="shared" si="753"/>
        <v>Aerated Static Pile</v>
      </c>
      <c r="C9159" s="138" t="str">
        <f t="shared" si="754"/>
        <v>Base_With Amendment</v>
      </c>
      <c r="D9159" s="138" t="str">
        <f t="shared" si="751"/>
        <v>High_Low</v>
      </c>
      <c r="E9159" s="138" t="str">
        <f t="shared" si="755"/>
        <v>Base</v>
      </c>
      <c r="F9159" s="138" t="str">
        <f t="shared" si="756"/>
        <v>Upgraded</v>
      </c>
      <c r="G9159" s="153"/>
      <c r="H9159" s="210">
        <v>9.8699999999999996E-2</v>
      </c>
      <c r="I9159" s="160" t="s">
        <v>54</v>
      </c>
      <c r="J9159" s="160">
        <v>2.1049999999999999E-2</v>
      </c>
      <c r="K9159" s="160" t="s">
        <v>14</v>
      </c>
      <c r="L9159" s="154" t="str">
        <f>IF(OpenLCAbasic!K9159="CTUh", "Fill in Manually",IF(OR(K9159="Unit", K9159=""), "", INDEX(LookUps!$E$5:$E$12, MATCH(OpenLCAbasic!K9159,LookUps!$D$5:$D$12,0))))</f>
        <v>Fossil Depletion Potential (FDP) - kg oil eq</v>
      </c>
      <c r="M9159" s="154" t="str">
        <f t="shared" si="752"/>
        <v>Base_High_Low_Upgraded_Fossil Depletion Potential (FDP) - kg oil eq_Clear Cove Primary Clarification; wastewater treatment unit; at updated plant - US_Base_With Amendment_Aerated Static Pile</v>
      </c>
    </row>
    <row r="9160" spans="1:13" s="120" customFormat="1" x14ac:dyDescent="0.25">
      <c r="A9160" s="119"/>
      <c r="B9160" s="138" t="str">
        <f t="shared" si="753"/>
        <v>Aerated Static Pile</v>
      </c>
      <c r="C9160" s="138" t="str">
        <f t="shared" si="754"/>
        <v>Base_With Amendment</v>
      </c>
      <c r="D9160" s="138" t="str">
        <f t="shared" si="751"/>
        <v>High_Low</v>
      </c>
      <c r="E9160" s="138" t="str">
        <f t="shared" si="755"/>
        <v>Base</v>
      </c>
      <c r="F9160" s="138" t="str">
        <f t="shared" si="756"/>
        <v>Upgraded</v>
      </c>
      <c r="G9160" s="153"/>
      <c r="H9160" s="210">
        <v>7.5200000000000003E-2</v>
      </c>
      <c r="I9160" s="160" t="s">
        <v>58</v>
      </c>
      <c r="J9160" s="160">
        <v>1.6039999999999999E-2</v>
      </c>
      <c r="K9160" s="160" t="s">
        <v>14</v>
      </c>
      <c r="L9160" s="154" t="str">
        <f>IF(OpenLCAbasic!K9160="CTUh", "Fill in Manually",IF(OR(K9160="Unit", K9160=""), "", INDEX(LookUps!$E$5:$E$12, MATCH(OpenLCAbasic!K9160,LookUps!$D$5:$D$12,0))))</f>
        <v>Fossil Depletion Potential (FDP) - kg oil eq</v>
      </c>
      <c r="M9160" s="154" t="str">
        <f t="shared" si="752"/>
        <v>Base_High_Low_Upgraded_Fossil Depletion Potential (FDP) - kg oil eq_Pre-Anoxic &amp; Swing tank; wastewater treatment unit; at updated plant - US_Base_With Amendment_Aerated Static Pile</v>
      </c>
    </row>
    <row r="9161" spans="1:13" s="120" customFormat="1" x14ac:dyDescent="0.25">
      <c r="A9161" s="119"/>
      <c r="B9161" s="138" t="str">
        <f t="shared" si="753"/>
        <v>Aerated Static Pile</v>
      </c>
      <c r="C9161" s="138" t="str">
        <f t="shared" si="754"/>
        <v>Base_With Amendment</v>
      </c>
      <c r="D9161" s="138" t="str">
        <f t="shared" si="751"/>
        <v>High_Low</v>
      </c>
      <c r="E9161" s="138" t="str">
        <f t="shared" si="755"/>
        <v>Base</v>
      </c>
      <c r="F9161" s="138" t="str">
        <f t="shared" si="756"/>
        <v>Upgraded</v>
      </c>
      <c r="G9161" s="153"/>
      <c r="H9161" s="210">
        <v>7.0800000000000002E-2</v>
      </c>
      <c r="I9161" s="160" t="s">
        <v>147</v>
      </c>
      <c r="J9161" s="160">
        <v>1.5089999999999999E-2</v>
      </c>
      <c r="K9161" s="160" t="s">
        <v>14</v>
      </c>
      <c r="L9161" s="154" t="str">
        <f>IF(OpenLCAbasic!K9161="CTUh", "Fill in Manually",IF(OR(K9161="Unit", K9161=""), "", INDEX(LookUps!$E$5:$E$12, MATCH(OpenLCAbasic!K9161,LookUps!$D$5:$D$12,0))))</f>
        <v>Fossil Depletion Potential (FDP) - kg oil eq</v>
      </c>
      <c r="M9161" s="154" t="str">
        <f t="shared" si="752"/>
        <v>Base_High_Low_Upgraded_Fossil Depletion Potential (FDP) - kg oil eq_Influent Pump Station; wastewater treatment unit; at updated plant - US_Base_With Amendment_Aerated Static Pile</v>
      </c>
    </row>
    <row r="9162" spans="1:13" s="120" customFormat="1" x14ac:dyDescent="0.25">
      <c r="A9162" s="119"/>
      <c r="B9162" s="138" t="str">
        <f t="shared" si="753"/>
        <v>Aerated Static Pile</v>
      </c>
      <c r="C9162" s="138" t="str">
        <f t="shared" si="754"/>
        <v>Base_With Amendment</v>
      </c>
      <c r="D9162" s="138" t="str">
        <f t="shared" si="751"/>
        <v>High_Low</v>
      </c>
      <c r="E9162" s="138" t="str">
        <f t="shared" si="755"/>
        <v>Base</v>
      </c>
      <c r="F9162" s="138" t="str">
        <f t="shared" si="756"/>
        <v>Upgraded</v>
      </c>
      <c r="G9162" s="153"/>
      <c r="H9162" s="210">
        <v>5.9400000000000001E-2</v>
      </c>
      <c r="I9162" s="160" t="s">
        <v>60</v>
      </c>
      <c r="J9162" s="160">
        <v>1.2659999999999999E-2</v>
      </c>
      <c r="K9162" s="160" t="s">
        <v>14</v>
      </c>
      <c r="L9162" s="154" t="str">
        <f>IF(OpenLCAbasic!K9162="CTUh", "Fill in Manually",IF(OR(K9162="Unit", K9162=""), "", INDEX(LookUps!$E$5:$E$12, MATCH(OpenLCAbasic!K9162,LookUps!$D$5:$D$12,0))))</f>
        <v>Fossil Depletion Potential (FDP) - kg oil eq</v>
      </c>
      <c r="M9162" s="154" t="str">
        <f t="shared" si="752"/>
        <v>Base_High_Low_Upgraded_Fossil Depletion Potential (FDP) - kg oil eq_Belt filter press; wastewater treatment unit; at updated plant - US_Base_With Amendment_Aerated Static Pile</v>
      </c>
    </row>
    <row r="9163" spans="1:13" s="120" customFormat="1" x14ac:dyDescent="0.25">
      <c r="A9163" s="119"/>
      <c r="B9163" s="138" t="str">
        <f t="shared" si="753"/>
        <v>Aerated Static Pile</v>
      </c>
      <c r="C9163" s="138" t="str">
        <f t="shared" si="754"/>
        <v>Base_With Amendment</v>
      </c>
      <c r="D9163" s="138" t="str">
        <f t="shared" si="751"/>
        <v>High_Low</v>
      </c>
      <c r="E9163" s="138" t="str">
        <f t="shared" si="755"/>
        <v>Base</v>
      </c>
      <c r="F9163" s="138" t="str">
        <f t="shared" si="756"/>
        <v>Upgraded</v>
      </c>
      <c r="G9163" s="153"/>
      <c r="H9163" s="210">
        <v>5.8599999999999999E-2</v>
      </c>
      <c r="I9163" s="160" t="s">
        <v>53</v>
      </c>
      <c r="J9163" s="160">
        <v>1.2489999999999999E-2</v>
      </c>
      <c r="K9163" s="160" t="s">
        <v>14</v>
      </c>
      <c r="L9163" s="154" t="str">
        <f>IF(OpenLCAbasic!K9163="CTUh", "Fill in Manually",IF(OR(K9163="Unit", K9163=""), "", INDEX(LookUps!$E$5:$E$12, MATCH(OpenLCAbasic!K9163,LookUps!$D$5:$D$12,0))))</f>
        <v>Fossil Depletion Potential (FDP) - kg oil eq</v>
      </c>
      <c r="M9163" s="154" t="str">
        <f t="shared" si="752"/>
        <v>Base_High_Low_Upgraded_Fossil Depletion Potential (FDP) - kg oil eq_Wet Well and Sump Station; wastewater treatment unit; at updated plant - US_Base_With Amendment_Aerated Static Pile</v>
      </c>
    </row>
    <row r="9164" spans="1:13" s="120" customFormat="1" x14ac:dyDescent="0.25">
      <c r="A9164" s="119"/>
      <c r="B9164" s="138" t="str">
        <f t="shared" si="753"/>
        <v>Aerated Static Pile</v>
      </c>
      <c r="C9164" s="138" t="str">
        <f t="shared" si="754"/>
        <v>Base_With Amendment</v>
      </c>
      <c r="D9164" s="138" t="str">
        <f t="shared" si="751"/>
        <v>High_Low</v>
      </c>
      <c r="E9164" s="138" t="str">
        <f t="shared" si="755"/>
        <v>Base</v>
      </c>
      <c r="F9164" s="138" t="str">
        <f t="shared" si="756"/>
        <v>Upgraded</v>
      </c>
      <c r="G9164" s="153"/>
      <c r="H9164" s="210">
        <v>3.2399999999999998E-2</v>
      </c>
      <c r="I9164" s="160" t="s">
        <v>57</v>
      </c>
      <c r="J9164" s="160">
        <v>6.9199999999999999E-3</v>
      </c>
      <c r="K9164" s="160" t="s">
        <v>14</v>
      </c>
      <c r="L9164" s="154" t="str">
        <f>IF(OpenLCAbasic!K9164="CTUh", "Fill in Manually",IF(OR(K9164="Unit", K9164=""), "", INDEX(LookUps!$E$5:$E$12, MATCH(OpenLCAbasic!K9164,LookUps!$D$5:$D$12,0))))</f>
        <v>Fossil Depletion Potential (FDP) - kg oil eq</v>
      </c>
      <c r="M9164" s="154" t="str">
        <f t="shared" si="752"/>
        <v>Base_High_Low_Upgraded_Fossil Depletion Potential (FDP) - kg oil eq_Gravity Belt Thickener; wastewater treatment unit; at updated plant - US_Base_With Amendment_Aerated Static Pile</v>
      </c>
    </row>
    <row r="9165" spans="1:13" s="120" customFormat="1" x14ac:dyDescent="0.25">
      <c r="A9165" s="119"/>
      <c r="B9165" s="138" t="str">
        <f t="shared" si="753"/>
        <v>Aerated Static Pile</v>
      </c>
      <c r="C9165" s="138" t="str">
        <f t="shared" si="754"/>
        <v>Base_With Amendment</v>
      </c>
      <c r="D9165" s="138" t="str">
        <f t="shared" si="751"/>
        <v>High_Low</v>
      </c>
      <c r="E9165" s="138" t="str">
        <f t="shared" si="755"/>
        <v>Base</v>
      </c>
      <c r="F9165" s="138" t="str">
        <f t="shared" si="756"/>
        <v>Upgraded</v>
      </c>
      <c r="G9165" s="153"/>
      <c r="H9165" s="210">
        <v>2.1100000000000001E-2</v>
      </c>
      <c r="I9165" s="160" t="s">
        <v>128</v>
      </c>
      <c r="J9165" s="160">
        <v>4.4999999999999997E-3</v>
      </c>
      <c r="K9165" s="160" t="s">
        <v>14</v>
      </c>
      <c r="L9165" s="154" t="str">
        <f>IF(OpenLCAbasic!K9165="CTUh", "Fill in Manually",IF(OR(K9165="Unit", K9165=""), "", INDEX(LookUps!$E$5:$E$12, MATCH(OpenLCAbasic!K9165,LookUps!$D$5:$D$12,0))))</f>
        <v>Fossil Depletion Potential (FDP) - kg oil eq</v>
      </c>
      <c r="M9165" s="154" t="str">
        <f t="shared" si="752"/>
        <v>Base_High_Low_Upgraded_Fossil Depletion Potential (FDP) - kg oil eq_Wastewater collection; operation and infrastructure; m3 wastewater_Base_With Amendment_Aerated Static Pile</v>
      </c>
    </row>
    <row r="9166" spans="1:13" s="120" customFormat="1" x14ac:dyDescent="0.25">
      <c r="A9166" s="119"/>
      <c r="B9166" s="138" t="str">
        <f t="shared" si="753"/>
        <v>Aerated Static Pile</v>
      </c>
      <c r="C9166" s="138" t="str">
        <f t="shared" si="754"/>
        <v>Base_With Amendment</v>
      </c>
      <c r="D9166" s="138" t="str">
        <f t="shared" si="751"/>
        <v>High_Low</v>
      </c>
      <c r="E9166" s="138" t="str">
        <f t="shared" si="755"/>
        <v>Base</v>
      </c>
      <c r="F9166" s="138" t="str">
        <f t="shared" si="756"/>
        <v>Upgraded</v>
      </c>
      <c r="G9166" s="153"/>
      <c r="H9166" s="210">
        <v>1.3100000000000001E-2</v>
      </c>
      <c r="I9166" s="160" t="s">
        <v>148</v>
      </c>
      <c r="J9166" s="160">
        <v>2.8E-3</v>
      </c>
      <c r="K9166" s="160" t="s">
        <v>14</v>
      </c>
      <c r="L9166" s="154" t="str">
        <f>IF(OpenLCAbasic!K9166="CTUh", "Fill in Manually",IF(OR(K9166="Unit", K9166=""), "", INDEX(LookUps!$E$5:$E$12, MATCH(OpenLCAbasic!K9166,LookUps!$D$5:$D$12,0))))</f>
        <v>Fossil Depletion Potential (FDP) - kg oil eq</v>
      </c>
      <c r="M9166" s="154" t="str">
        <f t="shared" si="752"/>
        <v>Base_High_Low_Upgraded_Fossil Depletion Potential (FDP) - kg oil eq_Control Building; at upgraded wastewater treatment plant - US_Base_With Amendment_Aerated Static Pile</v>
      </c>
    </row>
    <row r="9167" spans="1:13" s="120" customFormat="1" x14ac:dyDescent="0.25">
      <c r="A9167" s="119"/>
      <c r="B9167" s="138" t="str">
        <f t="shared" si="753"/>
        <v>Aerated Static Pile</v>
      </c>
      <c r="C9167" s="138" t="str">
        <f t="shared" si="754"/>
        <v>Base_With Amendment</v>
      </c>
      <c r="D9167" s="138" t="str">
        <f t="shared" si="751"/>
        <v>High_Low</v>
      </c>
      <c r="E9167" s="138" t="str">
        <f t="shared" si="755"/>
        <v>Base</v>
      </c>
      <c r="F9167" s="138" t="str">
        <f t="shared" si="756"/>
        <v>Upgraded</v>
      </c>
      <c r="G9167" s="153"/>
      <c r="H9167" s="210">
        <v>1.11E-2</v>
      </c>
      <c r="I9167" s="160" t="s">
        <v>48</v>
      </c>
      <c r="J9167" s="160">
        <v>2.3600000000000001E-3</v>
      </c>
      <c r="K9167" s="160" t="s">
        <v>14</v>
      </c>
      <c r="L9167" s="154" t="str">
        <f>IF(OpenLCAbasic!K9167="CTUh", "Fill in Manually",IF(OR(K9167="Unit", K9167=""), "", INDEX(LookUps!$E$5:$E$12, MATCH(OpenLCAbasic!K9167,LookUps!$D$5:$D$12,0))))</f>
        <v>Fossil Depletion Potential (FDP) - kg oil eq</v>
      </c>
      <c r="M9167" s="154" t="str">
        <f t="shared" si="752"/>
        <v>Base_High_Low_Upgraded_Fossil Depletion Potential (FDP) - kg oil eq_Effluent release; wastewater treatment unit; at surface water; m3 wastewater - US_Base_With Amendment_Aerated Static Pile</v>
      </c>
    </row>
    <row r="9168" spans="1:13" s="120" customFormat="1" x14ac:dyDescent="0.25">
      <c r="A9168" s="119"/>
      <c r="B9168" s="138" t="str">
        <f t="shared" si="753"/>
        <v>Aerated Static Pile</v>
      </c>
      <c r="C9168" s="138" t="str">
        <f t="shared" si="754"/>
        <v>Base_With Amendment</v>
      </c>
      <c r="D9168" s="138" t="str">
        <f t="shared" si="751"/>
        <v>High_Low</v>
      </c>
      <c r="E9168" s="138" t="str">
        <f t="shared" si="755"/>
        <v>Base</v>
      </c>
      <c r="F9168" s="138" t="str">
        <f t="shared" si="756"/>
        <v>Upgraded</v>
      </c>
      <c r="G9168" s="153"/>
      <c r="H9168" s="210">
        <v>8.9999999999999993E-3</v>
      </c>
      <c r="I9168" s="160" t="s">
        <v>59</v>
      </c>
      <c r="J9168" s="160">
        <v>1.92E-3</v>
      </c>
      <c r="K9168" s="160" t="s">
        <v>14</v>
      </c>
      <c r="L9168" s="154" t="str">
        <f>IF(OpenLCAbasic!K9168="CTUh", "Fill in Manually",IF(OR(K9168="Unit", K9168=""), "", INDEX(LookUps!$E$5:$E$12, MATCH(OpenLCAbasic!K9168,LookUps!$D$5:$D$12,0))))</f>
        <v>Fossil Depletion Potential (FDP) - kg oil eq</v>
      </c>
      <c r="M9168" s="154" t="str">
        <f t="shared" si="752"/>
        <v>Base_High_Low_Upgraded_Fossil Depletion Potential (FDP) - kg oil eq_Blend Tank; wastewater treatment unit; at updated plant - US_Base_With Amendment_Aerated Static Pile</v>
      </c>
    </row>
    <row r="9169" spans="1:13" s="120" customFormat="1" x14ac:dyDescent="0.25">
      <c r="A9169" s="119"/>
      <c r="B9169" s="138" t="str">
        <f t="shared" si="753"/>
        <v>Aerated Static Pile</v>
      </c>
      <c r="C9169" s="138" t="str">
        <f t="shared" si="754"/>
        <v>Base_With Amendment</v>
      </c>
      <c r="D9169" s="138" t="str">
        <f t="shared" ref="D9169:D9232" si="757">IF(ISNUMBER($J9169),"High_Low","")</f>
        <v>High_Low</v>
      </c>
      <c r="E9169" s="138" t="str">
        <f t="shared" si="755"/>
        <v>Base</v>
      </c>
      <c r="F9169" s="138" t="str">
        <f t="shared" si="756"/>
        <v>Upgraded</v>
      </c>
      <c r="G9169" s="153"/>
      <c r="H9169" s="210">
        <v>4.3E-3</v>
      </c>
      <c r="I9169" s="160" t="s">
        <v>168</v>
      </c>
      <c r="J9169" s="160">
        <v>9.1E-4</v>
      </c>
      <c r="K9169" s="160" t="s">
        <v>14</v>
      </c>
      <c r="L9169" s="154" t="str">
        <f>IF(OpenLCAbasic!K9169="CTUh", "Fill in Manually",IF(OR(K9169="Unit", K9169=""), "", INDEX(LookUps!$E$5:$E$12, MATCH(OpenLCAbasic!K9169,LookUps!$D$5:$D$12,0))))</f>
        <v>Fossil Depletion Potential (FDP) - kg oil eq</v>
      </c>
      <c r="M9169" s="154" t="str">
        <f t="shared" si="752"/>
        <v>Base_High_Low_Upgraded_Fossil Depletion Potential (FDP) - kg oil eq_ClearCove SCP; wastewater treatment unit; at updated plant - US_Base_With Amendment_Aerated Static Pile</v>
      </c>
    </row>
    <row r="9170" spans="1:13" s="120" customFormat="1" x14ac:dyDescent="0.25">
      <c r="A9170" s="119"/>
      <c r="B9170" s="138" t="str">
        <f t="shared" si="753"/>
        <v>Aerated Static Pile</v>
      </c>
      <c r="C9170" s="138" t="str">
        <f t="shared" si="754"/>
        <v>Base_With Amendment</v>
      </c>
      <c r="D9170" s="138" t="str">
        <f t="shared" si="757"/>
        <v>High_Low</v>
      </c>
      <c r="E9170" s="138" t="str">
        <f t="shared" si="755"/>
        <v>Base</v>
      </c>
      <c r="F9170" s="138" t="str">
        <f t="shared" si="756"/>
        <v>Upgraded</v>
      </c>
      <c r="G9170" s="153"/>
      <c r="H9170" s="210">
        <v>-6.2100000000000002E-2</v>
      </c>
      <c r="I9170" s="160" t="s">
        <v>62</v>
      </c>
      <c r="J9170" s="160">
        <v>-1.324E-2</v>
      </c>
      <c r="K9170" s="160" t="s">
        <v>14</v>
      </c>
      <c r="L9170" s="154" t="str">
        <f>IF(OpenLCAbasic!K9170="CTUh", "Fill in Manually",IF(OR(K9170="Unit", K9170=""), "", INDEX(LookUps!$E$5:$E$12, MATCH(OpenLCAbasic!K9170,LookUps!$D$5:$D$12,0))))</f>
        <v>Fossil Depletion Potential (FDP) - kg oil eq</v>
      </c>
      <c r="M9170" s="154" t="str">
        <f t="shared" si="752"/>
        <v>Base_High_Low_Upgraded_Fossil Depletion Potential (FDP) - kg oil eq_Land application of compost; wastewater treatment unit; at updated plant - US_Base_With Amendment_Aerated Static Pile</v>
      </c>
    </row>
    <row r="9171" spans="1:13" s="120" customFormat="1" x14ac:dyDescent="0.25">
      <c r="A9171" s="119"/>
      <c r="B9171" s="138" t="str">
        <f t="shared" si="753"/>
        <v>Aerated Static Pile</v>
      </c>
      <c r="C9171" s="138" t="str">
        <f t="shared" si="754"/>
        <v>Base_With Amendment</v>
      </c>
      <c r="D9171" s="138" t="str">
        <f t="shared" si="757"/>
        <v>High_Low</v>
      </c>
      <c r="E9171" s="138" t="str">
        <f t="shared" si="755"/>
        <v>Base</v>
      </c>
      <c r="F9171" s="138" t="str">
        <f t="shared" si="756"/>
        <v>Upgraded</v>
      </c>
      <c r="G9171" s="153"/>
      <c r="H9171" s="210">
        <v>-0.46260000000000001</v>
      </c>
      <c r="I9171" s="160" t="s">
        <v>149</v>
      </c>
      <c r="J9171" s="160">
        <v>-9.8640000000000005E-2</v>
      </c>
      <c r="K9171" s="160" t="s">
        <v>14</v>
      </c>
      <c r="L9171" s="154" t="str">
        <f>IF(OpenLCAbasic!K9171="CTUh", "Fill in Manually",IF(OR(K9171="Unit", K9171=""), "", INDEX(LookUps!$E$5:$E$12, MATCH(OpenLCAbasic!K9171,LookUps!$D$5:$D$12,0))))</f>
        <v>Fossil Depletion Potential (FDP) - kg oil eq</v>
      </c>
      <c r="M9171" s="154" t="str">
        <f t="shared" si="752"/>
        <v>Base_High_Low_Upgraded_Fossil Depletion Potential (FDP) - kg oil eq_Anaerobic Digestion; wastewater treatment unit; at updated plant - US_Base_With Amendment_Aerated Static Pile</v>
      </c>
    </row>
    <row r="9172" spans="1:13" s="120" customFormat="1" x14ac:dyDescent="0.25">
      <c r="A9172" s="119"/>
      <c r="B9172" s="138" t="str">
        <f t="shared" si="753"/>
        <v/>
      </c>
      <c r="C9172" s="138" t="str">
        <f t="shared" si="754"/>
        <v/>
      </c>
      <c r="D9172" s="138" t="str">
        <f t="shared" si="757"/>
        <v/>
      </c>
      <c r="E9172" s="138" t="str">
        <f t="shared" si="755"/>
        <v/>
      </c>
      <c r="F9172" s="138" t="str">
        <f t="shared" si="756"/>
        <v/>
      </c>
      <c r="G9172" s="153" t="s">
        <v>51</v>
      </c>
      <c r="H9172" s="160"/>
      <c r="I9172" s="160" t="s">
        <v>47</v>
      </c>
      <c r="J9172" s="160" t="s">
        <v>52</v>
      </c>
      <c r="K9172" s="160" t="s">
        <v>27</v>
      </c>
      <c r="L9172" s="154" t="str">
        <f>IF(OpenLCAbasic!K9172="CTUh", "Fill in Manually",IF(OR(K9172="Unit", K9172=""), "", INDEX(LookUps!$E$5:$E$12, MATCH(OpenLCAbasic!K9172,LookUps!$D$5:$D$12,0))))</f>
        <v/>
      </c>
      <c r="M9172" s="154" t="str">
        <f t="shared" si="752"/>
        <v>____Process__</v>
      </c>
    </row>
    <row r="9173" spans="1:13" s="120" customFormat="1" x14ac:dyDescent="0.25">
      <c r="A9173" s="119"/>
      <c r="B9173" s="138" t="str">
        <f t="shared" si="753"/>
        <v>Aerated Static Pile</v>
      </c>
      <c r="C9173" s="138" t="str">
        <f t="shared" si="754"/>
        <v>Base_With Amendment</v>
      </c>
      <c r="D9173" s="138" t="str">
        <f t="shared" si="757"/>
        <v>High_Low</v>
      </c>
      <c r="E9173" s="138" t="str">
        <f t="shared" si="755"/>
        <v>Base</v>
      </c>
      <c r="F9173" s="138" t="str">
        <f t="shared" si="756"/>
        <v>Upgraded</v>
      </c>
      <c r="G9173" s="153"/>
      <c r="H9173" s="210">
        <v>1.4332</v>
      </c>
      <c r="I9173" s="160" t="s">
        <v>435</v>
      </c>
      <c r="J9173" s="160">
        <v>1.10063</v>
      </c>
      <c r="K9173" s="160" t="s">
        <v>23</v>
      </c>
      <c r="L9173" s="154" t="str">
        <f>IF(OpenLCAbasic!K9173="CTUh", "Fill in Manually",IF(OR(K9173="Unit", K9173=""), "", INDEX(LookUps!$E$5:$E$12, MATCH(OpenLCAbasic!K9173,LookUps!$D$5:$D$12,0))))</f>
        <v>Global Warming Potential (GWP) - kg CO2 eq</v>
      </c>
      <c r="M9173" s="154" t="str">
        <f t="shared" si="752"/>
        <v>Base_High_Low_Upgraded_Global Warming Potential (GWP) - kg CO2 eq_Biosolids composting; aerated static pile; wastewater treatment unit; at updated plant - US_Base_With Amendment_Aerated Static Pile</v>
      </c>
    </row>
    <row r="9174" spans="1:13" s="120" customFormat="1" x14ac:dyDescent="0.25">
      <c r="A9174" s="119"/>
      <c r="B9174" s="138" t="str">
        <f t="shared" si="753"/>
        <v>Aerated Static Pile</v>
      </c>
      <c r="C9174" s="138" t="str">
        <f t="shared" si="754"/>
        <v>Base_With Amendment</v>
      </c>
      <c r="D9174" s="138" t="str">
        <f t="shared" si="757"/>
        <v>High_Low</v>
      </c>
      <c r="E9174" s="138" t="str">
        <f t="shared" si="755"/>
        <v>Base</v>
      </c>
      <c r="F9174" s="138" t="str">
        <f t="shared" si="756"/>
        <v>Upgraded</v>
      </c>
      <c r="G9174" s="153"/>
      <c r="H9174" s="210">
        <v>0.32540000000000002</v>
      </c>
      <c r="I9174" s="160" t="s">
        <v>58</v>
      </c>
      <c r="J9174" s="160">
        <v>0.24992</v>
      </c>
      <c r="K9174" s="160" t="s">
        <v>23</v>
      </c>
      <c r="L9174" s="154" t="str">
        <f>IF(OpenLCAbasic!K9174="CTUh", "Fill in Manually",IF(OR(K9174="Unit", K9174=""), "", INDEX(LookUps!$E$5:$E$12, MATCH(OpenLCAbasic!K9174,LookUps!$D$5:$D$12,0))))</f>
        <v>Global Warming Potential (GWP) - kg CO2 eq</v>
      </c>
      <c r="M9174" s="154" t="str">
        <f t="shared" si="752"/>
        <v>Base_High_Low_Upgraded_Global Warming Potential (GWP) - kg CO2 eq_Pre-Anoxic &amp; Swing tank; wastewater treatment unit; at updated plant - US_Base_With Amendment_Aerated Static Pile</v>
      </c>
    </row>
    <row r="9175" spans="1:13" s="120" customFormat="1" x14ac:dyDescent="0.25">
      <c r="A9175" s="119"/>
      <c r="B9175" s="138" t="str">
        <f t="shared" si="753"/>
        <v>Aerated Static Pile</v>
      </c>
      <c r="C9175" s="138" t="str">
        <f t="shared" si="754"/>
        <v>Base_With Amendment</v>
      </c>
      <c r="D9175" s="138" t="str">
        <f t="shared" si="757"/>
        <v>High_Low</v>
      </c>
      <c r="E9175" s="138" t="str">
        <f t="shared" si="755"/>
        <v>Base</v>
      </c>
      <c r="F9175" s="138" t="str">
        <f t="shared" si="756"/>
        <v>Upgraded</v>
      </c>
      <c r="G9175" s="153"/>
      <c r="H9175" s="210">
        <v>0.21909999999999999</v>
      </c>
      <c r="I9175" s="160" t="s">
        <v>55</v>
      </c>
      <c r="J9175" s="160">
        <v>0.16822000000000001</v>
      </c>
      <c r="K9175" s="160" t="s">
        <v>23</v>
      </c>
      <c r="L9175" s="154" t="str">
        <f>IF(OpenLCAbasic!K9175="CTUh", "Fill in Manually",IF(OR(K9175="Unit", K9175=""), "", INDEX(LookUps!$E$5:$E$12, MATCH(OpenLCAbasic!K9175,LookUps!$D$5:$D$12,0))))</f>
        <v>Global Warming Potential (GWP) - kg CO2 eq</v>
      </c>
      <c r="M9175" s="154" t="str">
        <f t="shared" si="752"/>
        <v>Base_High_Low_Upgraded_Global Warming Potential (GWP) - kg CO2 eq_Aeration Tanks; wastewater treatment unit; at updated plant - US_Base_With Amendment_Aerated Static Pile</v>
      </c>
    </row>
    <row r="9176" spans="1:13" s="120" customFormat="1" x14ac:dyDescent="0.25">
      <c r="A9176" s="119"/>
      <c r="B9176" s="138" t="str">
        <f t="shared" si="753"/>
        <v>Aerated Static Pile</v>
      </c>
      <c r="C9176" s="138" t="str">
        <f t="shared" si="754"/>
        <v>Base_With Amendment</v>
      </c>
      <c r="D9176" s="138" t="str">
        <f t="shared" si="757"/>
        <v>High_Low</v>
      </c>
      <c r="E9176" s="138" t="str">
        <f t="shared" si="755"/>
        <v>Base</v>
      </c>
      <c r="F9176" s="138" t="str">
        <f t="shared" si="756"/>
        <v>Upgraded</v>
      </c>
      <c r="G9176" s="153"/>
      <c r="H9176" s="210">
        <v>0.19120000000000001</v>
      </c>
      <c r="I9176" s="160" t="s">
        <v>167</v>
      </c>
      <c r="J9176" s="160">
        <v>0.14685000000000001</v>
      </c>
      <c r="K9176" s="160" t="s">
        <v>23</v>
      </c>
      <c r="L9176" s="154" t="str">
        <f>IF(OpenLCAbasic!K9176="CTUh", "Fill in Manually",IF(OR(K9176="Unit", K9176=""), "", INDEX(LookUps!$E$5:$E$12, MATCH(OpenLCAbasic!K9176,LookUps!$D$5:$D$12,0))))</f>
        <v>Global Warming Potential (GWP) - kg CO2 eq</v>
      </c>
      <c r="M9176" s="154" t="str">
        <f t="shared" si="752"/>
        <v>Base_High_Low_Upgraded_Global Warming Potential (GWP) - kg CO2 eq_Waste Receiving and Holding; wastewater treatment unit; at updated plant - US_Base_With Amendment_Aerated Static Pile</v>
      </c>
    </row>
    <row r="9177" spans="1:13" s="120" customFormat="1" x14ac:dyDescent="0.25">
      <c r="A9177" s="119"/>
      <c r="B9177" s="138" t="str">
        <f t="shared" si="753"/>
        <v>Aerated Static Pile</v>
      </c>
      <c r="C9177" s="138" t="str">
        <f t="shared" si="754"/>
        <v>Base_With Amendment</v>
      </c>
      <c r="D9177" s="138" t="str">
        <f t="shared" si="757"/>
        <v>High_Low</v>
      </c>
      <c r="E9177" s="138" t="str">
        <f t="shared" si="755"/>
        <v>Base</v>
      </c>
      <c r="F9177" s="138" t="str">
        <f t="shared" si="756"/>
        <v>Upgraded</v>
      </c>
      <c r="G9177" s="153"/>
      <c r="H9177" s="210">
        <v>7.4300000000000005E-2</v>
      </c>
      <c r="I9177" s="160" t="s">
        <v>54</v>
      </c>
      <c r="J9177" s="160">
        <v>5.7079999999999999E-2</v>
      </c>
      <c r="K9177" s="160" t="s">
        <v>23</v>
      </c>
      <c r="L9177" s="154" t="str">
        <f>IF(OpenLCAbasic!K9177="CTUh", "Fill in Manually",IF(OR(K9177="Unit", K9177=""), "", INDEX(LookUps!$E$5:$E$12, MATCH(OpenLCAbasic!K9177,LookUps!$D$5:$D$12,0))))</f>
        <v>Global Warming Potential (GWP) - kg CO2 eq</v>
      </c>
      <c r="M9177" s="154" t="str">
        <f t="shared" si="752"/>
        <v>Base_High_Low_Upgraded_Global Warming Potential (GWP) - kg CO2 eq_Clear Cove Primary Clarification; wastewater treatment unit; at updated plant - US_Base_With Amendment_Aerated Static Pile</v>
      </c>
    </row>
    <row r="9178" spans="1:13" s="120" customFormat="1" x14ac:dyDescent="0.25">
      <c r="A9178" s="119"/>
      <c r="B9178" s="138" t="str">
        <f t="shared" si="753"/>
        <v>Aerated Static Pile</v>
      </c>
      <c r="C9178" s="138" t="str">
        <f t="shared" si="754"/>
        <v>Base_With Amendment</v>
      </c>
      <c r="D9178" s="138" t="str">
        <f t="shared" si="757"/>
        <v>High_Low</v>
      </c>
      <c r="E9178" s="138" t="str">
        <f t="shared" si="755"/>
        <v>Base</v>
      </c>
      <c r="F9178" s="138" t="str">
        <f t="shared" si="756"/>
        <v>Upgraded</v>
      </c>
      <c r="G9178" s="153"/>
      <c r="H9178" s="210">
        <v>6.8500000000000005E-2</v>
      </c>
      <c r="I9178" s="160" t="s">
        <v>48</v>
      </c>
      <c r="J9178" s="160">
        <v>5.2639999999999999E-2</v>
      </c>
      <c r="K9178" s="160" t="s">
        <v>23</v>
      </c>
      <c r="L9178" s="154" t="str">
        <f>IF(OpenLCAbasic!K9178="CTUh", "Fill in Manually",IF(OR(K9178="Unit", K9178=""), "", INDEX(LookUps!$E$5:$E$12, MATCH(OpenLCAbasic!K9178,LookUps!$D$5:$D$12,0))))</f>
        <v>Global Warming Potential (GWP) - kg CO2 eq</v>
      </c>
      <c r="M9178" s="154" t="str">
        <f t="shared" si="752"/>
        <v>Base_High_Low_Upgraded_Global Warming Potential (GWP) - kg CO2 eq_Effluent release; wastewater treatment unit; at surface water; m3 wastewater - US_Base_With Amendment_Aerated Static Pile</v>
      </c>
    </row>
    <row r="9179" spans="1:13" s="120" customFormat="1" x14ac:dyDescent="0.25">
      <c r="A9179" s="119"/>
      <c r="B9179" s="138" t="str">
        <f t="shared" si="753"/>
        <v>Aerated Static Pile</v>
      </c>
      <c r="C9179" s="138" t="str">
        <f t="shared" si="754"/>
        <v>Base_With Amendment</v>
      </c>
      <c r="D9179" s="138" t="str">
        <f t="shared" si="757"/>
        <v>High_Low</v>
      </c>
      <c r="E9179" s="138" t="str">
        <f t="shared" si="755"/>
        <v>Base</v>
      </c>
      <c r="F9179" s="138" t="str">
        <f t="shared" si="756"/>
        <v>Upgraded</v>
      </c>
      <c r="G9179" s="153"/>
      <c r="H9179" s="210">
        <v>6.5799999999999997E-2</v>
      </c>
      <c r="I9179" s="160" t="s">
        <v>147</v>
      </c>
      <c r="J9179" s="160">
        <v>5.0500000000000003E-2</v>
      </c>
      <c r="K9179" s="160" t="s">
        <v>23</v>
      </c>
      <c r="L9179" s="154" t="str">
        <f>IF(OpenLCAbasic!K9179="CTUh", "Fill in Manually",IF(OR(K9179="Unit", K9179=""), "", INDEX(LookUps!$E$5:$E$12, MATCH(OpenLCAbasic!K9179,LookUps!$D$5:$D$12,0))))</f>
        <v>Global Warming Potential (GWP) - kg CO2 eq</v>
      </c>
      <c r="M9179" s="154" t="str">
        <f t="shared" si="752"/>
        <v>Base_High_Low_Upgraded_Global Warming Potential (GWP) - kg CO2 eq_Influent Pump Station; wastewater treatment unit; at updated plant - US_Base_With Amendment_Aerated Static Pile</v>
      </c>
    </row>
    <row r="9180" spans="1:13" s="120" customFormat="1" x14ac:dyDescent="0.25">
      <c r="A9180" s="119"/>
      <c r="B9180" s="138" t="str">
        <f t="shared" si="753"/>
        <v>Aerated Static Pile</v>
      </c>
      <c r="C9180" s="138" t="str">
        <f t="shared" si="754"/>
        <v>Base_With Amendment</v>
      </c>
      <c r="D9180" s="138" t="str">
        <f t="shared" si="757"/>
        <v>High_Low</v>
      </c>
      <c r="E9180" s="138" t="str">
        <f t="shared" si="755"/>
        <v>Base</v>
      </c>
      <c r="F9180" s="138" t="str">
        <f t="shared" si="756"/>
        <v>Upgraded</v>
      </c>
      <c r="G9180" s="153"/>
      <c r="H9180" s="210">
        <v>4.3299999999999998E-2</v>
      </c>
      <c r="I9180" s="160" t="s">
        <v>53</v>
      </c>
      <c r="J9180" s="160">
        <v>3.3259999999999998E-2</v>
      </c>
      <c r="K9180" s="160" t="s">
        <v>23</v>
      </c>
      <c r="L9180" s="154" t="str">
        <f>IF(OpenLCAbasic!K9180="CTUh", "Fill in Manually",IF(OR(K9180="Unit", K9180=""), "", INDEX(LookUps!$E$5:$E$12, MATCH(OpenLCAbasic!K9180,LookUps!$D$5:$D$12,0))))</f>
        <v>Global Warming Potential (GWP) - kg CO2 eq</v>
      </c>
      <c r="M9180" s="154" t="str">
        <f t="shared" si="752"/>
        <v>Base_High_Low_Upgraded_Global Warming Potential (GWP) - kg CO2 eq_Wet Well and Sump Station; wastewater treatment unit; at updated plant - US_Base_With Amendment_Aerated Static Pile</v>
      </c>
    </row>
    <row r="9181" spans="1:13" s="120" customFormat="1" x14ac:dyDescent="0.25">
      <c r="A9181" s="119"/>
      <c r="B9181" s="138" t="str">
        <f t="shared" si="753"/>
        <v>Aerated Static Pile</v>
      </c>
      <c r="C9181" s="138" t="str">
        <f t="shared" si="754"/>
        <v>Base_With Amendment</v>
      </c>
      <c r="D9181" s="138" t="str">
        <f t="shared" si="757"/>
        <v>High_Low</v>
      </c>
      <c r="E9181" s="138" t="str">
        <f t="shared" si="755"/>
        <v>Base</v>
      </c>
      <c r="F9181" s="138" t="str">
        <f t="shared" si="756"/>
        <v>Upgraded</v>
      </c>
      <c r="G9181" s="153"/>
      <c r="H9181" s="210">
        <v>3.6200000000000003E-2</v>
      </c>
      <c r="I9181" s="160" t="s">
        <v>60</v>
      </c>
      <c r="J9181" s="160">
        <v>2.7820000000000001E-2</v>
      </c>
      <c r="K9181" s="160" t="s">
        <v>23</v>
      </c>
      <c r="L9181" s="154" t="str">
        <f>IF(OpenLCAbasic!K9181="CTUh", "Fill in Manually",IF(OR(K9181="Unit", K9181=""), "", INDEX(LookUps!$E$5:$E$12, MATCH(OpenLCAbasic!K9181,LookUps!$D$5:$D$12,0))))</f>
        <v>Global Warming Potential (GWP) - kg CO2 eq</v>
      </c>
      <c r="M9181" s="154" t="str">
        <f t="shared" si="752"/>
        <v>Base_High_Low_Upgraded_Global Warming Potential (GWP) - kg CO2 eq_Belt filter press; wastewater treatment unit; at updated plant - US_Base_With Amendment_Aerated Static Pile</v>
      </c>
    </row>
    <row r="9182" spans="1:13" s="120" customFormat="1" x14ac:dyDescent="0.25">
      <c r="A9182" s="119"/>
      <c r="B9182" s="138" t="str">
        <f t="shared" si="753"/>
        <v>Aerated Static Pile</v>
      </c>
      <c r="C9182" s="138" t="str">
        <f t="shared" si="754"/>
        <v>Base_With Amendment</v>
      </c>
      <c r="D9182" s="138" t="str">
        <f t="shared" si="757"/>
        <v>High_Low</v>
      </c>
      <c r="E9182" s="138" t="str">
        <f t="shared" si="755"/>
        <v>Base</v>
      </c>
      <c r="F9182" s="138" t="str">
        <f t="shared" si="756"/>
        <v>Upgraded</v>
      </c>
      <c r="G9182" s="153"/>
      <c r="H9182" s="210">
        <v>1.89E-2</v>
      </c>
      <c r="I9182" s="160" t="s">
        <v>57</v>
      </c>
      <c r="J9182" s="160">
        <v>1.455E-2</v>
      </c>
      <c r="K9182" s="160" t="s">
        <v>23</v>
      </c>
      <c r="L9182" s="154" t="str">
        <f>IF(OpenLCAbasic!K9182="CTUh", "Fill in Manually",IF(OR(K9182="Unit", K9182=""), "", INDEX(LookUps!$E$5:$E$12, MATCH(OpenLCAbasic!K9182,LookUps!$D$5:$D$12,0))))</f>
        <v>Global Warming Potential (GWP) - kg CO2 eq</v>
      </c>
      <c r="M9182" s="154" t="str">
        <f t="shared" si="752"/>
        <v>Base_High_Low_Upgraded_Global Warming Potential (GWP) - kg CO2 eq_Gravity Belt Thickener; wastewater treatment unit; at updated plant - US_Base_With Amendment_Aerated Static Pile</v>
      </c>
    </row>
    <row r="9183" spans="1:13" s="120" customFormat="1" x14ac:dyDescent="0.25">
      <c r="A9183" s="119"/>
      <c r="B9183" s="138" t="str">
        <f t="shared" si="753"/>
        <v>Aerated Static Pile</v>
      </c>
      <c r="C9183" s="138" t="str">
        <f t="shared" si="754"/>
        <v>Base_With Amendment</v>
      </c>
      <c r="D9183" s="138" t="str">
        <f t="shared" si="757"/>
        <v>High_Low</v>
      </c>
      <c r="E9183" s="138" t="str">
        <f t="shared" si="755"/>
        <v>Base</v>
      </c>
      <c r="F9183" s="138" t="str">
        <f t="shared" si="756"/>
        <v>Upgraded</v>
      </c>
      <c r="G9183" s="153"/>
      <c r="H9183" s="210">
        <v>1.7600000000000001E-2</v>
      </c>
      <c r="I9183" s="160" t="s">
        <v>128</v>
      </c>
      <c r="J9183" s="160">
        <v>1.3509999999999999E-2</v>
      </c>
      <c r="K9183" s="160" t="s">
        <v>23</v>
      </c>
      <c r="L9183" s="154" t="str">
        <f>IF(OpenLCAbasic!K9183="CTUh", "Fill in Manually",IF(OR(K9183="Unit", K9183=""), "", INDEX(LookUps!$E$5:$E$12, MATCH(OpenLCAbasic!K9183,LookUps!$D$5:$D$12,0))))</f>
        <v>Global Warming Potential (GWP) - kg CO2 eq</v>
      </c>
      <c r="M9183" s="154" t="str">
        <f t="shared" si="752"/>
        <v>Base_High_Low_Upgraded_Global Warming Potential (GWP) - kg CO2 eq_Wastewater collection; operation and infrastructure; m3 wastewater_Base_With Amendment_Aerated Static Pile</v>
      </c>
    </row>
    <row r="9184" spans="1:13" s="120" customFormat="1" x14ac:dyDescent="0.25">
      <c r="A9184" s="119"/>
      <c r="B9184" s="138" t="str">
        <f t="shared" si="753"/>
        <v>Aerated Static Pile</v>
      </c>
      <c r="C9184" s="138" t="str">
        <f t="shared" si="754"/>
        <v>Base_With Amendment</v>
      </c>
      <c r="D9184" s="138" t="str">
        <f t="shared" si="757"/>
        <v>High_Low</v>
      </c>
      <c r="E9184" s="138" t="str">
        <f t="shared" si="755"/>
        <v>Base</v>
      </c>
      <c r="F9184" s="138" t="str">
        <f t="shared" si="756"/>
        <v>Upgraded</v>
      </c>
      <c r="G9184" s="153"/>
      <c r="H9184" s="210">
        <v>1.0800000000000001E-2</v>
      </c>
      <c r="I9184" s="160" t="s">
        <v>148</v>
      </c>
      <c r="J9184" s="160">
        <v>8.3000000000000001E-3</v>
      </c>
      <c r="K9184" s="160" t="s">
        <v>23</v>
      </c>
      <c r="L9184" s="154" t="str">
        <f>IF(OpenLCAbasic!K9184="CTUh", "Fill in Manually",IF(OR(K9184="Unit", K9184=""), "", INDEX(LookUps!$E$5:$E$12, MATCH(OpenLCAbasic!K9184,LookUps!$D$5:$D$12,0))))</f>
        <v>Global Warming Potential (GWP) - kg CO2 eq</v>
      </c>
      <c r="M9184" s="154" t="str">
        <f t="shared" si="752"/>
        <v>Base_High_Low_Upgraded_Global Warming Potential (GWP) - kg CO2 eq_Control Building; at upgraded wastewater treatment plant - US_Base_With Amendment_Aerated Static Pile</v>
      </c>
    </row>
    <row r="9185" spans="1:13" s="120" customFormat="1" x14ac:dyDescent="0.25">
      <c r="A9185" s="119"/>
      <c r="B9185" s="138" t="str">
        <f t="shared" si="753"/>
        <v>Aerated Static Pile</v>
      </c>
      <c r="C9185" s="138" t="str">
        <f t="shared" si="754"/>
        <v>Base_With Amendment</v>
      </c>
      <c r="D9185" s="138" t="str">
        <f t="shared" si="757"/>
        <v>High_Low</v>
      </c>
      <c r="E9185" s="138" t="str">
        <f t="shared" si="755"/>
        <v>Base</v>
      </c>
      <c r="F9185" s="138" t="str">
        <f t="shared" si="756"/>
        <v>Upgraded</v>
      </c>
      <c r="G9185" s="153"/>
      <c r="H9185" s="210">
        <v>6.6E-3</v>
      </c>
      <c r="I9185" s="160" t="s">
        <v>59</v>
      </c>
      <c r="J9185" s="160">
        <v>5.0400000000000002E-3</v>
      </c>
      <c r="K9185" s="160" t="s">
        <v>23</v>
      </c>
      <c r="L9185" s="154" t="str">
        <f>IF(OpenLCAbasic!K9185="CTUh", "Fill in Manually",IF(OR(K9185="Unit", K9185=""), "", INDEX(LookUps!$E$5:$E$12, MATCH(OpenLCAbasic!K9185,LookUps!$D$5:$D$12,0))))</f>
        <v>Global Warming Potential (GWP) - kg CO2 eq</v>
      </c>
      <c r="M9185" s="154" t="str">
        <f t="shared" si="752"/>
        <v>Base_High_Low_Upgraded_Global Warming Potential (GWP) - kg CO2 eq_Blend Tank; wastewater treatment unit; at updated plant - US_Base_With Amendment_Aerated Static Pile</v>
      </c>
    </row>
    <row r="9186" spans="1:13" s="120" customFormat="1" x14ac:dyDescent="0.25">
      <c r="A9186" s="119"/>
      <c r="B9186" s="138" t="str">
        <f t="shared" si="753"/>
        <v>Aerated Static Pile</v>
      </c>
      <c r="C9186" s="138" t="str">
        <f t="shared" si="754"/>
        <v>Base_With Amendment</v>
      </c>
      <c r="D9186" s="138" t="str">
        <f t="shared" si="757"/>
        <v>High_Low</v>
      </c>
      <c r="E9186" s="138" t="str">
        <f t="shared" si="755"/>
        <v>Base</v>
      </c>
      <c r="F9186" s="138" t="str">
        <f t="shared" si="756"/>
        <v>Upgraded</v>
      </c>
      <c r="G9186" s="153"/>
      <c r="H9186" s="210">
        <v>3.0999999999999999E-3</v>
      </c>
      <c r="I9186" s="160" t="s">
        <v>168</v>
      </c>
      <c r="J9186" s="160">
        <v>2.4099999999999998E-3</v>
      </c>
      <c r="K9186" s="160" t="s">
        <v>23</v>
      </c>
      <c r="L9186" s="154" t="str">
        <f>IF(OpenLCAbasic!K9186="CTUh", "Fill in Manually",IF(OR(K9186="Unit", K9186=""), "", INDEX(LookUps!$E$5:$E$12, MATCH(OpenLCAbasic!K9186,LookUps!$D$5:$D$12,0))))</f>
        <v>Global Warming Potential (GWP) - kg CO2 eq</v>
      </c>
      <c r="M9186" s="154" t="str">
        <f t="shared" si="752"/>
        <v>Base_High_Low_Upgraded_Global Warming Potential (GWP) - kg CO2 eq_ClearCove SCP; wastewater treatment unit; at updated plant - US_Base_With Amendment_Aerated Static Pile</v>
      </c>
    </row>
    <row r="9187" spans="1:13" s="120" customFormat="1" x14ac:dyDescent="0.25">
      <c r="A9187" s="119"/>
      <c r="B9187" s="138" t="str">
        <f t="shared" si="753"/>
        <v>Aerated Static Pile</v>
      </c>
      <c r="C9187" s="138" t="str">
        <f t="shared" si="754"/>
        <v>Base_With Amendment</v>
      </c>
      <c r="D9187" s="138" t="str">
        <f t="shared" si="757"/>
        <v>High_Low</v>
      </c>
      <c r="E9187" s="138" t="str">
        <f t="shared" si="755"/>
        <v>Base</v>
      </c>
      <c r="F9187" s="138" t="str">
        <f t="shared" si="756"/>
        <v>Upgraded</v>
      </c>
      <c r="G9187" s="153"/>
      <c r="H9187" s="210">
        <v>-0.22209999999999999</v>
      </c>
      <c r="I9187" s="160" t="s">
        <v>149</v>
      </c>
      <c r="J9187" s="160">
        <v>-0.17055999999999999</v>
      </c>
      <c r="K9187" s="160" t="s">
        <v>23</v>
      </c>
      <c r="L9187" s="154" t="str">
        <f>IF(OpenLCAbasic!K9187="CTUh", "Fill in Manually",IF(OR(K9187="Unit", K9187=""), "", INDEX(LookUps!$E$5:$E$12, MATCH(OpenLCAbasic!K9187,LookUps!$D$5:$D$12,0))))</f>
        <v>Global Warming Potential (GWP) - kg CO2 eq</v>
      </c>
      <c r="M9187" s="154" t="str">
        <f t="shared" si="752"/>
        <v>Base_High_Low_Upgraded_Global Warming Potential (GWP) - kg CO2 eq_Anaerobic Digestion; wastewater treatment unit; at updated plant - US_Base_With Amendment_Aerated Static Pile</v>
      </c>
    </row>
    <row r="9188" spans="1:13" s="120" customFormat="1" x14ac:dyDescent="0.25">
      <c r="A9188" s="119"/>
      <c r="B9188" s="138" t="str">
        <f t="shared" si="753"/>
        <v>Aerated Static Pile</v>
      </c>
      <c r="C9188" s="138" t="str">
        <f t="shared" si="754"/>
        <v>Base_With Amendment</v>
      </c>
      <c r="D9188" s="138" t="str">
        <f t="shared" si="757"/>
        <v>High_Low</v>
      </c>
      <c r="E9188" s="138" t="str">
        <f t="shared" si="755"/>
        <v>Base</v>
      </c>
      <c r="F9188" s="138" t="str">
        <f t="shared" si="756"/>
        <v>Upgraded</v>
      </c>
      <c r="G9188" s="153"/>
      <c r="H9188" s="210">
        <v>-1.2921</v>
      </c>
      <c r="I9188" s="160" t="s">
        <v>62</v>
      </c>
      <c r="J9188" s="160">
        <v>-0.99224000000000001</v>
      </c>
      <c r="K9188" s="160" t="s">
        <v>23</v>
      </c>
      <c r="L9188" s="154" t="str">
        <f>IF(OpenLCAbasic!K9188="CTUh", "Fill in Manually",IF(OR(K9188="Unit", K9188=""), "", INDEX(LookUps!$E$5:$E$12, MATCH(OpenLCAbasic!K9188,LookUps!$D$5:$D$12,0))))</f>
        <v>Global Warming Potential (GWP) - kg CO2 eq</v>
      </c>
      <c r="M9188" s="154" t="str">
        <f t="shared" si="752"/>
        <v>Base_High_Low_Upgraded_Global Warming Potential (GWP) - kg CO2 eq_Land application of compost; wastewater treatment unit; at updated plant - US_Base_With Amendment_Aerated Static Pile</v>
      </c>
    </row>
    <row r="9189" spans="1:13" s="120" customFormat="1" x14ac:dyDescent="0.25">
      <c r="A9189" s="119"/>
      <c r="B9189" s="138" t="str">
        <f t="shared" si="753"/>
        <v/>
      </c>
      <c r="C9189" s="138" t="str">
        <f t="shared" si="754"/>
        <v/>
      </c>
      <c r="D9189" s="138" t="str">
        <f t="shared" si="757"/>
        <v/>
      </c>
      <c r="E9189" s="138" t="str">
        <f t="shared" si="755"/>
        <v/>
      </c>
      <c r="F9189" s="138" t="str">
        <f t="shared" si="756"/>
        <v/>
      </c>
      <c r="G9189" s="153" t="s">
        <v>51</v>
      </c>
      <c r="H9189" s="160"/>
      <c r="I9189" s="160" t="s">
        <v>47</v>
      </c>
      <c r="J9189" s="160" t="s">
        <v>52</v>
      </c>
      <c r="K9189" s="160" t="s">
        <v>27</v>
      </c>
      <c r="L9189" s="154" t="str">
        <f>IF(OpenLCAbasic!K9189="CTUh", "Fill in Manually",IF(OR(K9189="Unit", K9189=""), "", INDEX(LookUps!$E$5:$E$12, MATCH(OpenLCAbasic!K9189,LookUps!$D$5:$D$12,0))))</f>
        <v/>
      </c>
      <c r="M9189" s="154" t="str">
        <f t="shared" si="752"/>
        <v>____Process__</v>
      </c>
    </row>
    <row r="9190" spans="1:13" s="120" customFormat="1" x14ac:dyDescent="0.25">
      <c r="A9190" s="119"/>
      <c r="B9190" s="138" t="str">
        <f t="shared" si="753"/>
        <v>Aerated Static Pile</v>
      </c>
      <c r="C9190" s="138" t="str">
        <f t="shared" si="754"/>
        <v>Base_With Amendment</v>
      </c>
      <c r="D9190" s="138" t="str">
        <f t="shared" si="757"/>
        <v>High_Low</v>
      </c>
      <c r="E9190" s="138" t="str">
        <f t="shared" si="755"/>
        <v>Base</v>
      </c>
      <c r="F9190" s="138" t="str">
        <f t="shared" si="756"/>
        <v>Upgraded</v>
      </c>
      <c r="G9190" s="153"/>
      <c r="H9190" s="210">
        <v>0.43030000000000002</v>
      </c>
      <c r="I9190" s="160" t="s">
        <v>55</v>
      </c>
      <c r="J9190" s="160">
        <v>2.33E-3</v>
      </c>
      <c r="K9190" s="160" t="s">
        <v>145</v>
      </c>
      <c r="L9190" s="154" t="str">
        <f>IF(OpenLCAbasic!K9190="CTUh", "Fill in Manually",IF(OR(K9190="Unit", K9190=""), "", INDEX(LookUps!$E$5:$E$12, MATCH(OpenLCAbasic!K9190,LookUps!$D$5:$D$12,0))))</f>
        <v>Particulate Matter Formation Potential (PMFP) - kg PM2.5 eq</v>
      </c>
      <c r="M9190" s="154" t="str">
        <f t="shared" si="752"/>
        <v>Base_High_Low_Upgraded_Particulate Matter Formation Potential (PMFP) - kg PM2.5 eq_Aeration Tanks; wastewater treatment unit; at updated plant - US_Base_With Amendment_Aerated Static Pile</v>
      </c>
    </row>
    <row r="9191" spans="1:13" s="120" customFormat="1" x14ac:dyDescent="0.25">
      <c r="A9191" s="119"/>
      <c r="B9191" s="138" t="str">
        <f t="shared" si="753"/>
        <v>Aerated Static Pile</v>
      </c>
      <c r="C9191" s="138" t="str">
        <f t="shared" si="754"/>
        <v>Base_With Amendment</v>
      </c>
      <c r="D9191" s="138" t="str">
        <f t="shared" si="757"/>
        <v>High_Low</v>
      </c>
      <c r="E9191" s="138" t="str">
        <f t="shared" si="755"/>
        <v>Base</v>
      </c>
      <c r="F9191" s="138" t="str">
        <f t="shared" si="756"/>
        <v>Upgraded</v>
      </c>
      <c r="G9191" s="153"/>
      <c r="H9191" s="210">
        <v>0.3301</v>
      </c>
      <c r="I9191" s="160" t="s">
        <v>435</v>
      </c>
      <c r="J9191" s="160">
        <v>1.7899999999999999E-3</v>
      </c>
      <c r="K9191" s="160" t="s">
        <v>145</v>
      </c>
      <c r="L9191" s="154" t="str">
        <f>IF(OpenLCAbasic!K9191="CTUh", "Fill in Manually",IF(OR(K9191="Unit", K9191=""), "", INDEX(LookUps!$E$5:$E$12, MATCH(OpenLCAbasic!K9191,LookUps!$D$5:$D$12,0))))</f>
        <v>Particulate Matter Formation Potential (PMFP) - kg PM2.5 eq</v>
      </c>
      <c r="M9191" s="154" t="str">
        <f t="shared" si="752"/>
        <v>Base_High_Low_Upgraded_Particulate Matter Formation Potential (PMFP) - kg PM2.5 eq_Biosolids composting; aerated static pile; wastewater treatment unit; at updated plant - US_Base_With Amendment_Aerated Static Pile</v>
      </c>
    </row>
    <row r="9192" spans="1:13" s="120" customFormat="1" x14ac:dyDescent="0.25">
      <c r="A9192" s="119"/>
      <c r="B9192" s="138" t="str">
        <f t="shared" si="753"/>
        <v>Aerated Static Pile</v>
      </c>
      <c r="C9192" s="138" t="str">
        <f t="shared" si="754"/>
        <v>Base_With Amendment</v>
      </c>
      <c r="D9192" s="138" t="str">
        <f t="shared" si="757"/>
        <v>High_Low</v>
      </c>
      <c r="E9192" s="138" t="str">
        <f t="shared" si="755"/>
        <v>Base</v>
      </c>
      <c r="F9192" s="138" t="str">
        <f t="shared" si="756"/>
        <v>Upgraded</v>
      </c>
      <c r="G9192" s="153"/>
      <c r="H9192" s="210">
        <v>0.12520000000000001</v>
      </c>
      <c r="I9192" s="160" t="s">
        <v>54</v>
      </c>
      <c r="J9192" s="160">
        <v>6.8000000000000005E-4</v>
      </c>
      <c r="K9192" s="160" t="s">
        <v>145</v>
      </c>
      <c r="L9192" s="154" t="str">
        <f>IF(OpenLCAbasic!K9192="CTUh", "Fill in Manually",IF(OR(K9192="Unit", K9192=""), "", INDEX(LookUps!$E$5:$E$12, MATCH(OpenLCAbasic!K9192,LookUps!$D$5:$D$12,0))))</f>
        <v>Particulate Matter Formation Potential (PMFP) - kg PM2.5 eq</v>
      </c>
      <c r="M9192" s="154" t="str">
        <f t="shared" si="752"/>
        <v>Base_High_Low_Upgraded_Particulate Matter Formation Potential (PMFP) - kg PM2.5 eq_Clear Cove Primary Clarification; wastewater treatment unit; at updated plant - US_Base_With Amendment_Aerated Static Pile</v>
      </c>
    </row>
    <row r="9193" spans="1:13" s="120" customFormat="1" x14ac:dyDescent="0.25">
      <c r="A9193" s="119"/>
      <c r="B9193" s="138" t="str">
        <f t="shared" si="753"/>
        <v>Aerated Static Pile</v>
      </c>
      <c r="C9193" s="138" t="str">
        <f t="shared" si="754"/>
        <v>Base_With Amendment</v>
      </c>
      <c r="D9193" s="138" t="str">
        <f t="shared" si="757"/>
        <v>High_Low</v>
      </c>
      <c r="E9193" s="138" t="str">
        <f t="shared" si="755"/>
        <v>Base</v>
      </c>
      <c r="F9193" s="138" t="str">
        <f t="shared" si="756"/>
        <v>Upgraded</v>
      </c>
      <c r="G9193" s="153"/>
      <c r="H9193" s="210">
        <v>0.109</v>
      </c>
      <c r="I9193" s="160" t="s">
        <v>58</v>
      </c>
      <c r="J9193" s="160">
        <v>5.9000000000000003E-4</v>
      </c>
      <c r="K9193" s="160" t="s">
        <v>145</v>
      </c>
      <c r="L9193" s="154" t="str">
        <f>IF(OpenLCAbasic!K9193="CTUh", "Fill in Manually",IF(OR(K9193="Unit", K9193=""), "", INDEX(LookUps!$E$5:$E$12, MATCH(OpenLCAbasic!K9193,LookUps!$D$5:$D$12,0))))</f>
        <v>Particulate Matter Formation Potential (PMFP) - kg PM2.5 eq</v>
      </c>
      <c r="M9193" s="154" t="str">
        <f t="shared" si="752"/>
        <v>Base_High_Low_Upgraded_Particulate Matter Formation Potential (PMFP) - kg PM2.5 eq_Pre-Anoxic &amp; Swing tank; wastewater treatment unit; at updated plant - US_Base_With Amendment_Aerated Static Pile</v>
      </c>
    </row>
    <row r="9194" spans="1:13" s="120" customFormat="1" x14ac:dyDescent="0.25">
      <c r="A9194" s="119"/>
      <c r="B9194" s="138" t="str">
        <f t="shared" si="753"/>
        <v>Aerated Static Pile</v>
      </c>
      <c r="C9194" s="138" t="str">
        <f t="shared" si="754"/>
        <v>Base_With Amendment</v>
      </c>
      <c r="D9194" s="138" t="str">
        <f t="shared" si="757"/>
        <v>High_Low</v>
      </c>
      <c r="E9194" s="138" t="str">
        <f t="shared" si="755"/>
        <v>Base</v>
      </c>
      <c r="F9194" s="138" t="str">
        <f t="shared" si="756"/>
        <v>Upgraded</v>
      </c>
      <c r="G9194" s="153"/>
      <c r="H9194" s="210">
        <v>8.5999999999999993E-2</v>
      </c>
      <c r="I9194" s="160" t="s">
        <v>53</v>
      </c>
      <c r="J9194" s="160">
        <v>4.6999999999999999E-4</v>
      </c>
      <c r="K9194" s="160" t="s">
        <v>145</v>
      </c>
      <c r="L9194" s="154" t="str">
        <f>IF(OpenLCAbasic!K9194="CTUh", "Fill in Manually",IF(OR(K9194="Unit", K9194=""), "", INDEX(LookUps!$E$5:$E$12, MATCH(OpenLCAbasic!K9194,LookUps!$D$5:$D$12,0))))</f>
        <v>Particulate Matter Formation Potential (PMFP) - kg PM2.5 eq</v>
      </c>
      <c r="M9194" s="154" t="str">
        <f t="shared" si="752"/>
        <v>Base_High_Low_Upgraded_Particulate Matter Formation Potential (PMFP) - kg PM2.5 eq_Wet Well and Sump Station; wastewater treatment unit; at updated plant - US_Base_With Amendment_Aerated Static Pile</v>
      </c>
    </row>
    <row r="9195" spans="1:13" s="120" customFormat="1" x14ac:dyDescent="0.25">
      <c r="A9195" s="119"/>
      <c r="B9195" s="138" t="str">
        <f t="shared" si="753"/>
        <v>Aerated Static Pile</v>
      </c>
      <c r="C9195" s="138" t="str">
        <f t="shared" si="754"/>
        <v>Base_With Amendment</v>
      </c>
      <c r="D9195" s="138" t="str">
        <f t="shared" si="757"/>
        <v>High_Low</v>
      </c>
      <c r="E9195" s="138" t="str">
        <f t="shared" si="755"/>
        <v>Base</v>
      </c>
      <c r="F9195" s="138" t="str">
        <f t="shared" si="756"/>
        <v>Upgraded</v>
      </c>
      <c r="G9195" s="153"/>
      <c r="H9195" s="210">
        <v>6.1199999999999997E-2</v>
      </c>
      <c r="I9195" s="160" t="s">
        <v>167</v>
      </c>
      <c r="J9195" s="160">
        <v>3.3E-4</v>
      </c>
      <c r="K9195" s="160" t="s">
        <v>145</v>
      </c>
      <c r="L9195" s="154" t="str">
        <f>IF(OpenLCAbasic!K9195="CTUh", "Fill in Manually",IF(OR(K9195="Unit", K9195=""), "", INDEX(LookUps!$E$5:$E$12, MATCH(OpenLCAbasic!K9195,LookUps!$D$5:$D$12,0))))</f>
        <v>Particulate Matter Formation Potential (PMFP) - kg PM2.5 eq</v>
      </c>
      <c r="M9195" s="154" t="str">
        <f t="shared" si="752"/>
        <v>Base_High_Low_Upgraded_Particulate Matter Formation Potential (PMFP) - kg PM2.5 eq_Waste Receiving and Holding; wastewater treatment unit; at updated plant - US_Base_With Amendment_Aerated Static Pile</v>
      </c>
    </row>
    <row r="9196" spans="1:13" s="120" customFormat="1" x14ac:dyDescent="0.25">
      <c r="A9196" s="119"/>
      <c r="B9196" s="138" t="str">
        <f t="shared" si="753"/>
        <v>Aerated Static Pile</v>
      </c>
      <c r="C9196" s="138" t="str">
        <f t="shared" si="754"/>
        <v>Base_With Amendment</v>
      </c>
      <c r="D9196" s="138" t="str">
        <f t="shared" si="757"/>
        <v>High_Low</v>
      </c>
      <c r="E9196" s="138" t="str">
        <f t="shared" si="755"/>
        <v>Base</v>
      </c>
      <c r="F9196" s="138" t="str">
        <f t="shared" si="756"/>
        <v>Upgraded</v>
      </c>
      <c r="G9196" s="153"/>
      <c r="H9196" s="210">
        <v>4.9200000000000001E-2</v>
      </c>
      <c r="I9196" s="160" t="s">
        <v>147</v>
      </c>
      <c r="J9196" s="160">
        <v>2.7E-4</v>
      </c>
      <c r="K9196" s="160" t="s">
        <v>145</v>
      </c>
      <c r="L9196" s="154" t="str">
        <f>IF(OpenLCAbasic!K9196="CTUh", "Fill in Manually",IF(OR(K9196="Unit", K9196=""), "", INDEX(LookUps!$E$5:$E$12, MATCH(OpenLCAbasic!K9196,LookUps!$D$5:$D$12,0))))</f>
        <v>Particulate Matter Formation Potential (PMFP) - kg PM2.5 eq</v>
      </c>
      <c r="M9196" s="154" t="str">
        <f t="shared" si="752"/>
        <v>Base_High_Low_Upgraded_Particulate Matter Formation Potential (PMFP) - kg PM2.5 eq_Influent Pump Station; wastewater treatment unit; at updated plant - US_Base_With Amendment_Aerated Static Pile</v>
      </c>
    </row>
    <row r="9197" spans="1:13" s="120" customFormat="1" x14ac:dyDescent="0.25">
      <c r="A9197" s="119"/>
      <c r="B9197" s="138" t="str">
        <f t="shared" si="753"/>
        <v>Aerated Static Pile</v>
      </c>
      <c r="C9197" s="138" t="str">
        <f t="shared" si="754"/>
        <v>Base_With Amendment</v>
      </c>
      <c r="D9197" s="138" t="str">
        <f t="shared" si="757"/>
        <v>High_Low</v>
      </c>
      <c r="E9197" s="138" t="str">
        <f t="shared" si="755"/>
        <v>Base</v>
      </c>
      <c r="F9197" s="138" t="str">
        <f t="shared" si="756"/>
        <v>Upgraded</v>
      </c>
      <c r="G9197" s="153"/>
      <c r="H9197" s="210">
        <v>4.19E-2</v>
      </c>
      <c r="I9197" s="160" t="s">
        <v>60</v>
      </c>
      <c r="J9197" s="160">
        <v>2.3000000000000001E-4</v>
      </c>
      <c r="K9197" s="160" t="s">
        <v>145</v>
      </c>
      <c r="L9197" s="154" t="str">
        <f>IF(OpenLCAbasic!K9197="CTUh", "Fill in Manually",IF(OR(K9197="Unit", K9197=""), "", INDEX(LookUps!$E$5:$E$12, MATCH(OpenLCAbasic!K9197,LookUps!$D$5:$D$12,0))))</f>
        <v>Particulate Matter Formation Potential (PMFP) - kg PM2.5 eq</v>
      </c>
      <c r="M9197" s="154" t="str">
        <f t="shared" si="752"/>
        <v>Base_High_Low_Upgraded_Particulate Matter Formation Potential (PMFP) - kg PM2.5 eq_Belt filter press; wastewater treatment unit; at updated plant - US_Base_With Amendment_Aerated Static Pile</v>
      </c>
    </row>
    <row r="9198" spans="1:13" s="120" customFormat="1" x14ac:dyDescent="0.25">
      <c r="A9198" s="119"/>
      <c r="B9198" s="138" t="str">
        <f t="shared" si="753"/>
        <v>Aerated Static Pile</v>
      </c>
      <c r="C9198" s="138" t="str">
        <f t="shared" si="754"/>
        <v>Base_With Amendment</v>
      </c>
      <c r="D9198" s="138" t="str">
        <f t="shared" si="757"/>
        <v>High_Low</v>
      </c>
      <c r="E9198" s="138" t="str">
        <f t="shared" si="755"/>
        <v>Base</v>
      </c>
      <c r="F9198" s="138" t="str">
        <f t="shared" si="756"/>
        <v>Upgraded</v>
      </c>
      <c r="G9198" s="153"/>
      <c r="H9198" s="210">
        <v>3.0700000000000002E-2</v>
      </c>
      <c r="I9198" s="160" t="s">
        <v>128</v>
      </c>
      <c r="J9198" s="160">
        <v>1.7000000000000001E-4</v>
      </c>
      <c r="K9198" s="160" t="s">
        <v>145</v>
      </c>
      <c r="L9198" s="154" t="str">
        <f>IF(OpenLCAbasic!K9198="CTUh", "Fill in Manually",IF(OR(K9198="Unit", K9198=""), "", INDEX(LookUps!$E$5:$E$12, MATCH(OpenLCAbasic!K9198,LookUps!$D$5:$D$12,0))))</f>
        <v>Particulate Matter Formation Potential (PMFP) - kg PM2.5 eq</v>
      </c>
      <c r="M9198" s="154" t="str">
        <f t="shared" si="752"/>
        <v>Base_High_Low_Upgraded_Particulate Matter Formation Potential (PMFP) - kg PM2.5 eq_Wastewater collection; operation and infrastructure; m3 wastewater_Base_With Amendment_Aerated Static Pile</v>
      </c>
    </row>
    <row r="9199" spans="1:13" s="120" customFormat="1" x14ac:dyDescent="0.25">
      <c r="A9199" s="119"/>
      <c r="B9199" s="138" t="str">
        <f t="shared" si="753"/>
        <v>Aerated Static Pile</v>
      </c>
      <c r="C9199" s="138" t="str">
        <f t="shared" si="754"/>
        <v>Base_With Amendment</v>
      </c>
      <c r="D9199" s="138" t="str">
        <f t="shared" si="757"/>
        <v>High_Low</v>
      </c>
      <c r="E9199" s="138" t="str">
        <f t="shared" si="755"/>
        <v>Base</v>
      </c>
      <c r="F9199" s="138" t="str">
        <f t="shared" si="756"/>
        <v>Upgraded</v>
      </c>
      <c r="G9199" s="153"/>
      <c r="H9199" s="210">
        <v>1.7500000000000002E-2</v>
      </c>
      <c r="I9199" s="160" t="s">
        <v>57</v>
      </c>
      <c r="J9199" s="211">
        <v>9.5153800000000004E-5</v>
      </c>
      <c r="K9199" s="160" t="s">
        <v>145</v>
      </c>
      <c r="L9199" s="154" t="str">
        <f>IF(OpenLCAbasic!K9199="CTUh", "Fill in Manually",IF(OR(K9199="Unit", K9199=""), "", INDEX(LookUps!$E$5:$E$12, MATCH(OpenLCAbasic!K9199,LookUps!$D$5:$D$12,0))))</f>
        <v>Particulate Matter Formation Potential (PMFP) - kg PM2.5 eq</v>
      </c>
      <c r="M9199" s="154" t="str">
        <f t="shared" si="752"/>
        <v>Base_High_Low_Upgraded_Particulate Matter Formation Potential (PMFP) - kg PM2.5 eq_Gravity Belt Thickener; wastewater treatment unit; at updated plant - US_Base_With Amendment_Aerated Static Pile</v>
      </c>
    </row>
    <row r="9200" spans="1:13" s="120" customFormat="1" x14ac:dyDescent="0.25">
      <c r="A9200" s="119"/>
      <c r="B9200" s="138" t="str">
        <f t="shared" si="753"/>
        <v>Aerated Static Pile</v>
      </c>
      <c r="C9200" s="138" t="str">
        <f t="shared" si="754"/>
        <v>Base_With Amendment</v>
      </c>
      <c r="D9200" s="138" t="str">
        <f t="shared" si="757"/>
        <v>High_Low</v>
      </c>
      <c r="E9200" s="138" t="str">
        <f t="shared" si="755"/>
        <v>Base</v>
      </c>
      <c r="F9200" s="138" t="str">
        <f t="shared" si="756"/>
        <v>Upgraded</v>
      </c>
      <c r="G9200" s="153"/>
      <c r="H9200" s="210">
        <v>1.7100000000000001E-2</v>
      </c>
      <c r="I9200" s="160" t="s">
        <v>62</v>
      </c>
      <c r="J9200" s="211">
        <v>9.2923499999999999E-5</v>
      </c>
      <c r="K9200" s="160" t="s">
        <v>145</v>
      </c>
      <c r="L9200" s="154" t="str">
        <f>IF(OpenLCAbasic!K9200="CTUh", "Fill in Manually",IF(OR(K9200="Unit", K9200=""), "", INDEX(LookUps!$E$5:$E$12, MATCH(OpenLCAbasic!K9200,LookUps!$D$5:$D$12,0))))</f>
        <v>Particulate Matter Formation Potential (PMFP) - kg PM2.5 eq</v>
      </c>
      <c r="M9200" s="154" t="str">
        <f t="shared" si="752"/>
        <v>Base_High_Low_Upgraded_Particulate Matter Formation Potential (PMFP) - kg PM2.5 eq_Land application of compost; wastewater treatment unit; at updated plant - US_Base_With Amendment_Aerated Static Pile</v>
      </c>
    </row>
    <row r="9201" spans="1:13" s="120" customFormat="1" x14ac:dyDescent="0.25">
      <c r="A9201" s="119"/>
      <c r="B9201" s="138" t="str">
        <f t="shared" si="753"/>
        <v>Aerated Static Pile</v>
      </c>
      <c r="C9201" s="138" t="str">
        <f t="shared" si="754"/>
        <v>Base_With Amendment</v>
      </c>
      <c r="D9201" s="138" t="str">
        <f t="shared" si="757"/>
        <v>High_Low</v>
      </c>
      <c r="E9201" s="138" t="str">
        <f t="shared" si="755"/>
        <v>Base</v>
      </c>
      <c r="F9201" s="138" t="str">
        <f t="shared" si="756"/>
        <v>Upgraded</v>
      </c>
      <c r="G9201" s="153"/>
      <c r="H9201" s="210">
        <v>1.29E-2</v>
      </c>
      <c r="I9201" s="160" t="s">
        <v>59</v>
      </c>
      <c r="J9201" s="211">
        <v>6.9942200000000003E-5</v>
      </c>
      <c r="K9201" s="160" t="s">
        <v>145</v>
      </c>
      <c r="L9201" s="154" t="str">
        <f>IF(OpenLCAbasic!K9201="CTUh", "Fill in Manually",IF(OR(K9201="Unit", K9201=""), "", INDEX(LookUps!$E$5:$E$12, MATCH(OpenLCAbasic!K9201,LookUps!$D$5:$D$12,0))))</f>
        <v>Particulate Matter Formation Potential (PMFP) - kg PM2.5 eq</v>
      </c>
      <c r="M9201" s="154" t="str">
        <f t="shared" si="752"/>
        <v>Base_High_Low_Upgraded_Particulate Matter Formation Potential (PMFP) - kg PM2.5 eq_Blend Tank; wastewater treatment unit; at updated plant - US_Base_With Amendment_Aerated Static Pile</v>
      </c>
    </row>
    <row r="9202" spans="1:13" s="120" customFormat="1" x14ac:dyDescent="0.25">
      <c r="A9202" s="119"/>
      <c r="B9202" s="138" t="str">
        <f t="shared" si="753"/>
        <v>Aerated Static Pile</v>
      </c>
      <c r="C9202" s="138" t="str">
        <f t="shared" si="754"/>
        <v>Base_With Amendment</v>
      </c>
      <c r="D9202" s="138" t="str">
        <f t="shared" si="757"/>
        <v>High_Low</v>
      </c>
      <c r="E9202" s="138" t="str">
        <f t="shared" si="755"/>
        <v>Base</v>
      </c>
      <c r="F9202" s="138" t="str">
        <f t="shared" si="756"/>
        <v>Upgraded</v>
      </c>
      <c r="G9202" s="153"/>
      <c r="H9202" s="210">
        <v>9.1999999999999998E-3</v>
      </c>
      <c r="I9202" s="160" t="s">
        <v>48</v>
      </c>
      <c r="J9202" s="211">
        <v>4.99741E-5</v>
      </c>
      <c r="K9202" s="160" t="s">
        <v>145</v>
      </c>
      <c r="L9202" s="154" t="str">
        <f>IF(OpenLCAbasic!K9202="CTUh", "Fill in Manually",IF(OR(K9202="Unit", K9202=""), "", INDEX(LookUps!$E$5:$E$12, MATCH(OpenLCAbasic!K9202,LookUps!$D$5:$D$12,0))))</f>
        <v>Particulate Matter Formation Potential (PMFP) - kg PM2.5 eq</v>
      </c>
      <c r="M9202" s="154" t="str">
        <f t="shared" si="752"/>
        <v>Base_High_Low_Upgraded_Particulate Matter Formation Potential (PMFP) - kg PM2.5 eq_Effluent release; wastewater treatment unit; at surface water; m3 wastewater - US_Base_With Amendment_Aerated Static Pile</v>
      </c>
    </row>
    <row r="9203" spans="1:13" s="120" customFormat="1" x14ac:dyDescent="0.25">
      <c r="A9203" s="119"/>
      <c r="B9203" s="138" t="str">
        <f t="shared" si="753"/>
        <v>Aerated Static Pile</v>
      </c>
      <c r="C9203" s="138" t="str">
        <f t="shared" si="754"/>
        <v>Base_With Amendment</v>
      </c>
      <c r="D9203" s="138" t="str">
        <f t="shared" si="757"/>
        <v>High_Low</v>
      </c>
      <c r="E9203" s="138" t="str">
        <f t="shared" si="755"/>
        <v>Base</v>
      </c>
      <c r="F9203" s="138" t="str">
        <f t="shared" si="756"/>
        <v>Upgraded</v>
      </c>
      <c r="G9203" s="153"/>
      <c r="H9203" s="210">
        <v>6.4000000000000003E-3</v>
      </c>
      <c r="I9203" s="160" t="s">
        <v>168</v>
      </c>
      <c r="J9203" s="211">
        <v>3.4562199999999999E-5</v>
      </c>
      <c r="K9203" s="160" t="s">
        <v>145</v>
      </c>
      <c r="L9203" s="154" t="str">
        <f>IF(OpenLCAbasic!K9203="CTUh", "Fill in Manually",IF(OR(K9203="Unit", K9203=""), "", INDEX(LookUps!$E$5:$E$12, MATCH(OpenLCAbasic!K9203,LookUps!$D$5:$D$12,0))))</f>
        <v>Particulate Matter Formation Potential (PMFP) - kg PM2.5 eq</v>
      </c>
      <c r="M9203" s="154" t="str">
        <f t="shared" ref="M9203:M9266" si="758">CONCATENATE(E9203,"_",D9203,"_",F9203,"_",L9203, "_",I9203,"_", C9203,"_", B9203)</f>
        <v>Base_High_Low_Upgraded_Particulate Matter Formation Potential (PMFP) - kg PM2.5 eq_ClearCove SCP; wastewater treatment unit; at updated plant - US_Base_With Amendment_Aerated Static Pile</v>
      </c>
    </row>
    <row r="9204" spans="1:13" s="120" customFormat="1" x14ac:dyDescent="0.25">
      <c r="A9204" s="119"/>
      <c r="B9204" s="138" t="str">
        <f t="shared" si="753"/>
        <v>Aerated Static Pile</v>
      </c>
      <c r="C9204" s="138" t="str">
        <f t="shared" si="754"/>
        <v>Base_With Amendment</v>
      </c>
      <c r="D9204" s="138" t="str">
        <f t="shared" si="757"/>
        <v>High_Low</v>
      </c>
      <c r="E9204" s="138" t="str">
        <f t="shared" si="755"/>
        <v>Base</v>
      </c>
      <c r="F9204" s="138" t="str">
        <f t="shared" si="756"/>
        <v>Upgraded</v>
      </c>
      <c r="G9204" s="153"/>
      <c r="H9204" s="210">
        <v>1.6000000000000001E-3</v>
      </c>
      <c r="I9204" s="160" t="s">
        <v>148</v>
      </c>
      <c r="J9204" s="211">
        <v>8.8212999999999997E-6</v>
      </c>
      <c r="K9204" s="160" t="s">
        <v>145</v>
      </c>
      <c r="L9204" s="154" t="str">
        <f>IF(OpenLCAbasic!K9204="CTUh", "Fill in Manually",IF(OR(K9204="Unit", K9204=""), "", INDEX(LookUps!$E$5:$E$12, MATCH(OpenLCAbasic!K9204,LookUps!$D$5:$D$12,0))))</f>
        <v>Particulate Matter Formation Potential (PMFP) - kg PM2.5 eq</v>
      </c>
      <c r="M9204" s="154" t="str">
        <f t="shared" si="758"/>
        <v>Base_High_Low_Upgraded_Particulate Matter Formation Potential (PMFP) - kg PM2.5 eq_Control Building; at upgraded wastewater treatment plant - US_Base_With Amendment_Aerated Static Pile</v>
      </c>
    </row>
    <row r="9205" spans="1:13" s="120" customFormat="1" x14ac:dyDescent="0.25">
      <c r="A9205" s="119"/>
      <c r="B9205" s="138" t="str">
        <f t="shared" si="753"/>
        <v>Aerated Static Pile</v>
      </c>
      <c r="C9205" s="138" t="str">
        <f t="shared" si="754"/>
        <v>Base_With Amendment</v>
      </c>
      <c r="D9205" s="138" t="str">
        <f t="shared" si="757"/>
        <v>High_Low</v>
      </c>
      <c r="E9205" s="138" t="str">
        <f t="shared" si="755"/>
        <v>Base</v>
      </c>
      <c r="F9205" s="138" t="str">
        <f t="shared" si="756"/>
        <v>Upgraded</v>
      </c>
      <c r="G9205" s="153"/>
      <c r="H9205" s="210">
        <v>-0.32819999999999999</v>
      </c>
      <c r="I9205" s="160" t="s">
        <v>149</v>
      </c>
      <c r="J9205" s="160">
        <v>-1.7799999999999999E-3</v>
      </c>
      <c r="K9205" s="160" t="s">
        <v>145</v>
      </c>
      <c r="L9205" s="154" t="str">
        <f>IF(OpenLCAbasic!K9205="CTUh", "Fill in Manually",IF(OR(K9205="Unit", K9205=""), "", INDEX(LookUps!$E$5:$E$12, MATCH(OpenLCAbasic!K9205,LookUps!$D$5:$D$12,0))))</f>
        <v>Particulate Matter Formation Potential (PMFP) - kg PM2.5 eq</v>
      </c>
      <c r="M9205" s="154" t="str">
        <f t="shared" si="758"/>
        <v>Base_High_Low_Upgraded_Particulate Matter Formation Potential (PMFP) - kg PM2.5 eq_Anaerobic Digestion; wastewater treatment unit; at updated plant - US_Base_With Amendment_Aerated Static Pile</v>
      </c>
    </row>
    <row r="9206" spans="1:13" s="120" customFormat="1" x14ac:dyDescent="0.25">
      <c r="A9206" s="119"/>
      <c r="B9206" s="138" t="str">
        <f t="shared" si="753"/>
        <v/>
      </c>
      <c r="C9206" s="138" t="str">
        <f t="shared" si="754"/>
        <v/>
      </c>
      <c r="D9206" s="138" t="str">
        <f t="shared" si="757"/>
        <v/>
      </c>
      <c r="E9206" s="138" t="str">
        <f t="shared" si="755"/>
        <v/>
      </c>
      <c r="F9206" s="138" t="str">
        <f t="shared" si="756"/>
        <v/>
      </c>
      <c r="G9206" s="153" t="s">
        <v>51</v>
      </c>
      <c r="H9206" s="160"/>
      <c r="I9206" s="160" t="s">
        <v>47</v>
      </c>
      <c r="J9206" s="160" t="s">
        <v>52</v>
      </c>
      <c r="K9206" s="160" t="s">
        <v>27</v>
      </c>
      <c r="L9206" s="154" t="str">
        <f>IF(OpenLCAbasic!K9206="CTUh", "Fill in Manually",IF(OR(K9206="Unit", K9206=""), "", INDEX(LookUps!$E$5:$E$12, MATCH(OpenLCAbasic!K9206,LookUps!$D$5:$D$12,0))))</f>
        <v/>
      </c>
      <c r="M9206" s="154" t="str">
        <f t="shared" si="758"/>
        <v>____Process__</v>
      </c>
    </row>
    <row r="9207" spans="1:13" s="120" customFormat="1" x14ac:dyDescent="0.25">
      <c r="A9207" s="119"/>
      <c r="B9207" s="138" t="str">
        <f t="shared" si="753"/>
        <v>Aerated Static Pile</v>
      </c>
      <c r="C9207" s="138" t="str">
        <f t="shared" si="754"/>
        <v>Base_With Amendment</v>
      </c>
      <c r="D9207" s="138" t="str">
        <f t="shared" si="757"/>
        <v>High_Low</v>
      </c>
      <c r="E9207" s="138" t="str">
        <f t="shared" si="755"/>
        <v>Base</v>
      </c>
      <c r="F9207" s="138" t="str">
        <f t="shared" si="756"/>
        <v>Upgraded</v>
      </c>
      <c r="G9207" s="153"/>
      <c r="H9207" s="210">
        <v>0.43530000000000002</v>
      </c>
      <c r="I9207" s="160" t="s">
        <v>55</v>
      </c>
      <c r="J9207" s="160">
        <v>0.16577</v>
      </c>
      <c r="K9207" s="160" t="s">
        <v>25</v>
      </c>
      <c r="L9207" s="154" t="str">
        <f>IF(OpenLCAbasic!K9207="CTUh", "Fill in Manually",IF(OR(K9207="Unit", K9207=""), "", INDEX(LookUps!$E$5:$E$12, MATCH(OpenLCAbasic!K9207,LookUps!$D$5:$D$12,0))))</f>
        <v>Smog Formation Potential (SFP) - kg O3 eq</v>
      </c>
      <c r="M9207" s="154" t="str">
        <f t="shared" si="758"/>
        <v>Base_High_Low_Upgraded_Smog Formation Potential (SFP) - kg O3 eq_Aeration Tanks; wastewater treatment unit; at updated plant - US_Base_With Amendment_Aerated Static Pile</v>
      </c>
    </row>
    <row r="9208" spans="1:13" s="120" customFormat="1" x14ac:dyDescent="0.25">
      <c r="A9208" s="119"/>
      <c r="B9208" s="138" t="str">
        <f t="shared" si="753"/>
        <v>Aerated Static Pile</v>
      </c>
      <c r="C9208" s="138" t="str">
        <f t="shared" si="754"/>
        <v>Base_With Amendment</v>
      </c>
      <c r="D9208" s="138" t="str">
        <f t="shared" si="757"/>
        <v>High_Low</v>
      </c>
      <c r="E9208" s="138" t="str">
        <f t="shared" si="755"/>
        <v>Base</v>
      </c>
      <c r="F9208" s="138" t="str">
        <f t="shared" si="756"/>
        <v>Upgraded</v>
      </c>
      <c r="G9208" s="153"/>
      <c r="H9208" s="210">
        <v>0.33069999999999999</v>
      </c>
      <c r="I9208" s="160" t="s">
        <v>435</v>
      </c>
      <c r="J9208" s="160">
        <v>0.12592999999999999</v>
      </c>
      <c r="K9208" s="160" t="s">
        <v>25</v>
      </c>
      <c r="L9208" s="154" t="str">
        <f>IF(OpenLCAbasic!K9208="CTUh", "Fill in Manually",IF(OR(K9208="Unit", K9208=""), "", INDEX(LookUps!$E$5:$E$12, MATCH(OpenLCAbasic!K9208,LookUps!$D$5:$D$12,0))))</f>
        <v>Smog Formation Potential (SFP) - kg O3 eq</v>
      </c>
      <c r="M9208" s="154" t="str">
        <f t="shared" si="758"/>
        <v>Base_High_Low_Upgraded_Smog Formation Potential (SFP) - kg O3 eq_Biosolids composting; aerated static pile; wastewater treatment unit; at updated plant - US_Base_With Amendment_Aerated Static Pile</v>
      </c>
    </row>
    <row r="9209" spans="1:13" s="120" customFormat="1" x14ac:dyDescent="0.25">
      <c r="A9209" s="119"/>
      <c r="B9209" s="138" t="str">
        <f t="shared" ref="B9209:B9272" si="759">IF(F9209="Legacy","n.a.",IF(F9209="","","Aerated Static Pile"))</f>
        <v>Aerated Static Pile</v>
      </c>
      <c r="C9209" s="138" t="str">
        <f t="shared" ref="C9209:C9272" si="760">IF(ISNUMBER($J9209),"Base_With Amendment","")</f>
        <v>Base_With Amendment</v>
      </c>
      <c r="D9209" s="138" t="str">
        <f t="shared" si="757"/>
        <v>High_Low</v>
      </c>
      <c r="E9209" s="138" t="str">
        <f t="shared" ref="E9209:E9272" si="761">IF(ISNUMBER($J9209),"Base","")</f>
        <v>Base</v>
      </c>
      <c r="F9209" s="138" t="str">
        <f t="shared" ref="F9209:F9272" si="762">IF(ISNUMBER(J9209),"Upgraded","")</f>
        <v>Upgraded</v>
      </c>
      <c r="G9209" s="153"/>
      <c r="H9209" s="210">
        <v>0.12620000000000001</v>
      </c>
      <c r="I9209" s="160" t="s">
        <v>54</v>
      </c>
      <c r="J9209" s="160">
        <v>4.8070000000000002E-2</v>
      </c>
      <c r="K9209" s="160" t="s">
        <v>25</v>
      </c>
      <c r="L9209" s="154" t="str">
        <f>IF(OpenLCAbasic!K9209="CTUh", "Fill in Manually",IF(OR(K9209="Unit", K9209=""), "", INDEX(LookUps!$E$5:$E$12, MATCH(OpenLCAbasic!K9209,LookUps!$D$5:$D$12,0))))</f>
        <v>Smog Formation Potential (SFP) - kg O3 eq</v>
      </c>
      <c r="M9209" s="154" t="str">
        <f t="shared" si="758"/>
        <v>Base_High_Low_Upgraded_Smog Formation Potential (SFP) - kg O3 eq_Clear Cove Primary Clarification; wastewater treatment unit; at updated plant - US_Base_With Amendment_Aerated Static Pile</v>
      </c>
    </row>
    <row r="9210" spans="1:13" s="120" customFormat="1" x14ac:dyDescent="0.25">
      <c r="A9210" s="119"/>
      <c r="B9210" s="138" t="str">
        <f t="shared" si="759"/>
        <v>Aerated Static Pile</v>
      </c>
      <c r="C9210" s="138" t="str">
        <f t="shared" si="760"/>
        <v>Base_With Amendment</v>
      </c>
      <c r="D9210" s="138" t="str">
        <f t="shared" si="757"/>
        <v>High_Low</v>
      </c>
      <c r="E9210" s="138" t="str">
        <f t="shared" si="761"/>
        <v>Base</v>
      </c>
      <c r="F9210" s="138" t="str">
        <f t="shared" si="762"/>
        <v>Upgraded</v>
      </c>
      <c r="G9210" s="153"/>
      <c r="H9210" s="210">
        <v>0.1105</v>
      </c>
      <c r="I9210" s="160" t="s">
        <v>58</v>
      </c>
      <c r="J9210" s="160">
        <v>4.2090000000000002E-2</v>
      </c>
      <c r="K9210" s="160" t="s">
        <v>25</v>
      </c>
      <c r="L9210" s="154" t="str">
        <f>IF(OpenLCAbasic!K9210="CTUh", "Fill in Manually",IF(OR(K9210="Unit", K9210=""), "", INDEX(LookUps!$E$5:$E$12, MATCH(OpenLCAbasic!K9210,LookUps!$D$5:$D$12,0))))</f>
        <v>Smog Formation Potential (SFP) - kg O3 eq</v>
      </c>
      <c r="M9210" s="154" t="str">
        <f t="shared" si="758"/>
        <v>Base_High_Low_Upgraded_Smog Formation Potential (SFP) - kg O3 eq_Pre-Anoxic &amp; Swing tank; wastewater treatment unit; at updated plant - US_Base_With Amendment_Aerated Static Pile</v>
      </c>
    </row>
    <row r="9211" spans="1:13" s="120" customFormat="1" x14ac:dyDescent="0.25">
      <c r="A9211" s="119"/>
      <c r="B9211" s="138" t="str">
        <f t="shared" si="759"/>
        <v>Aerated Static Pile</v>
      </c>
      <c r="C9211" s="138" t="str">
        <f t="shared" si="760"/>
        <v>Base_With Amendment</v>
      </c>
      <c r="D9211" s="138" t="str">
        <f t="shared" si="757"/>
        <v>High_Low</v>
      </c>
      <c r="E9211" s="138" t="str">
        <f t="shared" si="761"/>
        <v>Base</v>
      </c>
      <c r="F9211" s="138" t="str">
        <f t="shared" si="762"/>
        <v>Upgraded</v>
      </c>
      <c r="G9211" s="153"/>
      <c r="H9211" s="210">
        <v>8.8599999999999998E-2</v>
      </c>
      <c r="I9211" s="160" t="s">
        <v>167</v>
      </c>
      <c r="J9211" s="160">
        <v>3.3759999999999998E-2</v>
      </c>
      <c r="K9211" s="160" t="s">
        <v>25</v>
      </c>
      <c r="L9211" s="154" t="str">
        <f>IF(OpenLCAbasic!K9211="CTUh", "Fill in Manually",IF(OR(K9211="Unit", K9211=""), "", INDEX(LookUps!$E$5:$E$12, MATCH(OpenLCAbasic!K9211,LookUps!$D$5:$D$12,0))))</f>
        <v>Smog Formation Potential (SFP) - kg O3 eq</v>
      </c>
      <c r="M9211" s="154" t="str">
        <f t="shared" si="758"/>
        <v>Base_High_Low_Upgraded_Smog Formation Potential (SFP) - kg O3 eq_Waste Receiving and Holding; wastewater treatment unit; at updated plant - US_Base_With Amendment_Aerated Static Pile</v>
      </c>
    </row>
    <row r="9212" spans="1:13" s="120" customFormat="1" x14ac:dyDescent="0.25">
      <c r="A9212" s="119"/>
      <c r="B9212" s="138" t="str">
        <f t="shared" si="759"/>
        <v>Aerated Static Pile</v>
      </c>
      <c r="C9212" s="138" t="str">
        <f t="shared" si="760"/>
        <v>Base_With Amendment</v>
      </c>
      <c r="D9212" s="138" t="str">
        <f t="shared" si="757"/>
        <v>High_Low</v>
      </c>
      <c r="E9212" s="138" t="str">
        <f t="shared" si="761"/>
        <v>Base</v>
      </c>
      <c r="F9212" s="138" t="str">
        <f t="shared" si="762"/>
        <v>Upgraded</v>
      </c>
      <c r="G9212" s="153"/>
      <c r="H9212" s="210">
        <v>8.6999999999999994E-2</v>
      </c>
      <c r="I9212" s="160" t="s">
        <v>53</v>
      </c>
      <c r="J9212" s="160">
        <v>3.313E-2</v>
      </c>
      <c r="K9212" s="160" t="s">
        <v>25</v>
      </c>
      <c r="L9212" s="154" t="str">
        <f>IF(OpenLCAbasic!K9212="CTUh", "Fill in Manually",IF(OR(K9212="Unit", K9212=""), "", INDEX(LookUps!$E$5:$E$12, MATCH(OpenLCAbasic!K9212,LookUps!$D$5:$D$12,0))))</f>
        <v>Smog Formation Potential (SFP) - kg O3 eq</v>
      </c>
      <c r="M9212" s="154" t="str">
        <f t="shared" si="758"/>
        <v>Base_High_Low_Upgraded_Smog Formation Potential (SFP) - kg O3 eq_Wet Well and Sump Station; wastewater treatment unit; at updated plant - US_Base_With Amendment_Aerated Static Pile</v>
      </c>
    </row>
    <row r="9213" spans="1:13" s="120" customFormat="1" x14ac:dyDescent="0.25">
      <c r="A9213" s="119"/>
      <c r="B9213" s="138" t="str">
        <f t="shared" si="759"/>
        <v>Aerated Static Pile</v>
      </c>
      <c r="C9213" s="138" t="str">
        <f t="shared" si="760"/>
        <v>Base_With Amendment</v>
      </c>
      <c r="D9213" s="138" t="str">
        <f t="shared" si="757"/>
        <v>High_Low</v>
      </c>
      <c r="E9213" s="138" t="str">
        <f t="shared" si="761"/>
        <v>Base</v>
      </c>
      <c r="F9213" s="138" t="str">
        <f t="shared" si="762"/>
        <v>Upgraded</v>
      </c>
      <c r="G9213" s="153"/>
      <c r="H9213" s="210">
        <v>5.0900000000000001E-2</v>
      </c>
      <c r="I9213" s="160" t="s">
        <v>147</v>
      </c>
      <c r="J9213" s="160">
        <v>1.9400000000000001E-2</v>
      </c>
      <c r="K9213" s="160" t="s">
        <v>25</v>
      </c>
      <c r="L9213" s="154" t="str">
        <f>IF(OpenLCAbasic!K9213="CTUh", "Fill in Manually",IF(OR(K9213="Unit", K9213=""), "", INDEX(LookUps!$E$5:$E$12, MATCH(OpenLCAbasic!K9213,LookUps!$D$5:$D$12,0))))</f>
        <v>Smog Formation Potential (SFP) - kg O3 eq</v>
      </c>
      <c r="M9213" s="154" t="str">
        <f t="shared" si="758"/>
        <v>Base_High_Low_Upgraded_Smog Formation Potential (SFP) - kg O3 eq_Influent Pump Station; wastewater treatment unit; at updated plant - US_Base_With Amendment_Aerated Static Pile</v>
      </c>
    </row>
    <row r="9214" spans="1:13" s="120" customFormat="1" x14ac:dyDescent="0.25">
      <c r="A9214" s="119"/>
      <c r="B9214" s="138" t="str">
        <f t="shared" si="759"/>
        <v>Aerated Static Pile</v>
      </c>
      <c r="C9214" s="138" t="str">
        <f t="shared" si="760"/>
        <v>Base_With Amendment</v>
      </c>
      <c r="D9214" s="138" t="str">
        <f t="shared" si="757"/>
        <v>High_Low</v>
      </c>
      <c r="E9214" s="138" t="str">
        <f t="shared" si="761"/>
        <v>Base</v>
      </c>
      <c r="F9214" s="138" t="str">
        <f t="shared" si="762"/>
        <v>Upgraded</v>
      </c>
      <c r="G9214" s="153"/>
      <c r="H9214" s="210">
        <v>4.2000000000000003E-2</v>
      </c>
      <c r="I9214" s="160" t="s">
        <v>60</v>
      </c>
      <c r="J9214" s="160">
        <v>1.5990000000000001E-2</v>
      </c>
      <c r="K9214" s="160" t="s">
        <v>25</v>
      </c>
      <c r="L9214" s="154" t="str">
        <f>IF(OpenLCAbasic!K9214="CTUh", "Fill in Manually",IF(OR(K9214="Unit", K9214=""), "", INDEX(LookUps!$E$5:$E$12, MATCH(OpenLCAbasic!K9214,LookUps!$D$5:$D$12,0))))</f>
        <v>Smog Formation Potential (SFP) - kg O3 eq</v>
      </c>
      <c r="M9214" s="154" t="str">
        <f t="shared" si="758"/>
        <v>Base_High_Low_Upgraded_Smog Formation Potential (SFP) - kg O3 eq_Belt filter press; wastewater treatment unit; at updated plant - US_Base_With Amendment_Aerated Static Pile</v>
      </c>
    </row>
    <row r="9215" spans="1:13" s="120" customFormat="1" x14ac:dyDescent="0.25">
      <c r="A9215" s="119"/>
      <c r="B9215" s="138" t="str">
        <f t="shared" si="759"/>
        <v>Aerated Static Pile</v>
      </c>
      <c r="C9215" s="138" t="str">
        <f t="shared" si="760"/>
        <v>Base_With Amendment</v>
      </c>
      <c r="D9215" s="138" t="str">
        <f t="shared" si="757"/>
        <v>High_Low</v>
      </c>
      <c r="E9215" s="138" t="str">
        <f t="shared" si="761"/>
        <v>Base</v>
      </c>
      <c r="F9215" s="138" t="str">
        <f t="shared" si="762"/>
        <v>Upgraded</v>
      </c>
      <c r="G9215" s="153"/>
      <c r="H9215" s="210">
        <v>3.1300000000000001E-2</v>
      </c>
      <c r="I9215" s="160" t="s">
        <v>128</v>
      </c>
      <c r="J9215" s="160">
        <v>1.192E-2</v>
      </c>
      <c r="K9215" s="160" t="s">
        <v>25</v>
      </c>
      <c r="L9215" s="154" t="str">
        <f>IF(OpenLCAbasic!K9215="CTUh", "Fill in Manually",IF(OR(K9215="Unit", K9215=""), "", INDEX(LookUps!$E$5:$E$12, MATCH(OpenLCAbasic!K9215,LookUps!$D$5:$D$12,0))))</f>
        <v>Smog Formation Potential (SFP) - kg O3 eq</v>
      </c>
      <c r="M9215" s="154" t="str">
        <f t="shared" si="758"/>
        <v>Base_High_Low_Upgraded_Smog Formation Potential (SFP) - kg O3 eq_Wastewater collection; operation and infrastructure; m3 wastewater_Base_With Amendment_Aerated Static Pile</v>
      </c>
    </row>
    <row r="9216" spans="1:13" s="120" customFormat="1" x14ac:dyDescent="0.25">
      <c r="A9216" s="119"/>
      <c r="B9216" s="138" t="str">
        <f t="shared" si="759"/>
        <v>Aerated Static Pile</v>
      </c>
      <c r="C9216" s="138" t="str">
        <f t="shared" si="760"/>
        <v>Base_With Amendment</v>
      </c>
      <c r="D9216" s="138" t="str">
        <f t="shared" si="757"/>
        <v>High_Low</v>
      </c>
      <c r="E9216" s="138" t="str">
        <f t="shared" si="761"/>
        <v>Base</v>
      </c>
      <c r="F9216" s="138" t="str">
        <f t="shared" si="762"/>
        <v>Upgraded</v>
      </c>
      <c r="G9216" s="153"/>
      <c r="H9216" s="210">
        <v>1.7500000000000002E-2</v>
      </c>
      <c r="I9216" s="160" t="s">
        <v>57</v>
      </c>
      <c r="J9216" s="160">
        <v>6.6499999999999997E-3</v>
      </c>
      <c r="K9216" s="160" t="s">
        <v>25</v>
      </c>
      <c r="L9216" s="154" t="str">
        <f>IF(OpenLCAbasic!K9216="CTUh", "Fill in Manually",IF(OR(K9216="Unit", K9216=""), "", INDEX(LookUps!$E$5:$E$12, MATCH(OpenLCAbasic!K9216,LookUps!$D$5:$D$12,0))))</f>
        <v>Smog Formation Potential (SFP) - kg O3 eq</v>
      </c>
      <c r="M9216" s="154" t="str">
        <f t="shared" si="758"/>
        <v>Base_High_Low_Upgraded_Smog Formation Potential (SFP) - kg O3 eq_Gravity Belt Thickener; wastewater treatment unit; at updated plant - US_Base_With Amendment_Aerated Static Pile</v>
      </c>
    </row>
    <row r="9217" spans="1:13" s="120" customFormat="1" x14ac:dyDescent="0.25">
      <c r="A9217" s="119"/>
      <c r="B9217" s="138" t="str">
        <f t="shared" si="759"/>
        <v>Aerated Static Pile</v>
      </c>
      <c r="C9217" s="138" t="str">
        <f t="shared" si="760"/>
        <v>Base_With Amendment</v>
      </c>
      <c r="D9217" s="138" t="str">
        <f t="shared" si="757"/>
        <v>High_Low</v>
      </c>
      <c r="E9217" s="138" t="str">
        <f t="shared" si="761"/>
        <v>Base</v>
      </c>
      <c r="F9217" s="138" t="str">
        <f t="shared" si="762"/>
        <v>Upgraded</v>
      </c>
      <c r="G9217" s="153"/>
      <c r="H9217" s="210">
        <v>1.3100000000000001E-2</v>
      </c>
      <c r="I9217" s="160" t="s">
        <v>59</v>
      </c>
      <c r="J9217" s="160">
        <v>4.9699999999999996E-3</v>
      </c>
      <c r="K9217" s="160" t="s">
        <v>25</v>
      </c>
      <c r="L9217" s="154" t="str">
        <f>IF(OpenLCAbasic!K9217="CTUh", "Fill in Manually",IF(OR(K9217="Unit", K9217=""), "", INDEX(LookUps!$E$5:$E$12, MATCH(OpenLCAbasic!K9217,LookUps!$D$5:$D$12,0))))</f>
        <v>Smog Formation Potential (SFP) - kg O3 eq</v>
      </c>
      <c r="M9217" s="154" t="str">
        <f t="shared" si="758"/>
        <v>Base_High_Low_Upgraded_Smog Formation Potential (SFP) - kg O3 eq_Blend Tank; wastewater treatment unit; at updated plant - US_Base_With Amendment_Aerated Static Pile</v>
      </c>
    </row>
    <row r="9218" spans="1:13" s="120" customFormat="1" x14ac:dyDescent="0.25">
      <c r="A9218" s="119"/>
      <c r="B9218" s="138" t="str">
        <f t="shared" si="759"/>
        <v>Aerated Static Pile</v>
      </c>
      <c r="C9218" s="138" t="str">
        <f t="shared" si="760"/>
        <v>Base_With Amendment</v>
      </c>
      <c r="D9218" s="138" t="str">
        <f t="shared" si="757"/>
        <v>High_Low</v>
      </c>
      <c r="E9218" s="138" t="str">
        <f t="shared" si="761"/>
        <v>Base</v>
      </c>
      <c r="F9218" s="138" t="str">
        <f t="shared" si="762"/>
        <v>Upgraded</v>
      </c>
      <c r="G9218" s="153"/>
      <c r="H9218" s="210">
        <v>8.8999999999999999E-3</v>
      </c>
      <c r="I9218" s="160" t="s">
        <v>48</v>
      </c>
      <c r="J9218" s="160">
        <v>3.3899999999999998E-3</v>
      </c>
      <c r="K9218" s="160" t="s">
        <v>25</v>
      </c>
      <c r="L9218" s="154" t="str">
        <f>IF(OpenLCAbasic!K9218="CTUh", "Fill in Manually",IF(OR(K9218="Unit", K9218=""), "", INDEX(LookUps!$E$5:$E$12, MATCH(OpenLCAbasic!K9218,LookUps!$D$5:$D$12,0))))</f>
        <v>Smog Formation Potential (SFP) - kg O3 eq</v>
      </c>
      <c r="M9218" s="154" t="str">
        <f t="shared" si="758"/>
        <v>Base_High_Low_Upgraded_Smog Formation Potential (SFP) - kg O3 eq_Effluent release; wastewater treatment unit; at surface water; m3 wastewater - US_Base_With Amendment_Aerated Static Pile</v>
      </c>
    </row>
    <row r="9219" spans="1:13" s="120" customFormat="1" x14ac:dyDescent="0.25">
      <c r="A9219" s="119"/>
      <c r="B9219" s="138" t="str">
        <f t="shared" si="759"/>
        <v>Aerated Static Pile</v>
      </c>
      <c r="C9219" s="138" t="str">
        <f t="shared" si="760"/>
        <v>Base_With Amendment</v>
      </c>
      <c r="D9219" s="138" t="str">
        <f t="shared" si="757"/>
        <v>High_Low</v>
      </c>
      <c r="E9219" s="138" t="str">
        <f t="shared" si="761"/>
        <v>Base</v>
      </c>
      <c r="F9219" s="138" t="str">
        <f t="shared" si="762"/>
        <v>Upgraded</v>
      </c>
      <c r="G9219" s="153"/>
      <c r="H9219" s="210">
        <v>6.4000000000000003E-3</v>
      </c>
      <c r="I9219" s="160" t="s">
        <v>168</v>
      </c>
      <c r="J9219" s="160">
        <v>2.4599999999999999E-3</v>
      </c>
      <c r="K9219" s="160" t="s">
        <v>25</v>
      </c>
      <c r="L9219" s="154" t="str">
        <f>IF(OpenLCAbasic!K9219="CTUh", "Fill in Manually",IF(OR(K9219="Unit", K9219=""), "", INDEX(LookUps!$E$5:$E$12, MATCH(OpenLCAbasic!K9219,LookUps!$D$5:$D$12,0))))</f>
        <v>Smog Formation Potential (SFP) - kg O3 eq</v>
      </c>
      <c r="M9219" s="154" t="str">
        <f t="shared" si="758"/>
        <v>Base_High_Low_Upgraded_Smog Formation Potential (SFP) - kg O3 eq_ClearCove SCP; wastewater treatment unit; at updated plant - US_Base_With Amendment_Aerated Static Pile</v>
      </c>
    </row>
    <row r="9220" spans="1:13" s="120" customFormat="1" x14ac:dyDescent="0.25">
      <c r="A9220" s="119"/>
      <c r="B9220" s="138" t="str">
        <f t="shared" si="759"/>
        <v>Aerated Static Pile</v>
      </c>
      <c r="C9220" s="138" t="str">
        <f t="shared" si="760"/>
        <v>Base_With Amendment</v>
      </c>
      <c r="D9220" s="138" t="str">
        <f t="shared" si="757"/>
        <v>High_Low</v>
      </c>
      <c r="E9220" s="138" t="str">
        <f t="shared" si="761"/>
        <v>Base</v>
      </c>
      <c r="F9220" s="138" t="str">
        <f t="shared" si="762"/>
        <v>Upgraded</v>
      </c>
      <c r="G9220" s="153"/>
      <c r="H9220" s="210">
        <v>1.4E-3</v>
      </c>
      <c r="I9220" s="160" t="s">
        <v>148</v>
      </c>
      <c r="J9220" s="160">
        <v>5.4000000000000001E-4</v>
      </c>
      <c r="K9220" s="160" t="s">
        <v>25</v>
      </c>
      <c r="L9220" s="154" t="str">
        <f>IF(OpenLCAbasic!K9220="CTUh", "Fill in Manually",IF(OR(K9220="Unit", K9220=""), "", INDEX(LookUps!$E$5:$E$12, MATCH(OpenLCAbasic!K9220,LookUps!$D$5:$D$12,0))))</f>
        <v>Smog Formation Potential (SFP) - kg O3 eq</v>
      </c>
      <c r="M9220" s="154" t="str">
        <f t="shared" si="758"/>
        <v>Base_High_Low_Upgraded_Smog Formation Potential (SFP) - kg O3 eq_Control Building; at upgraded wastewater treatment plant - US_Base_With Amendment_Aerated Static Pile</v>
      </c>
    </row>
    <row r="9221" spans="1:13" s="120" customFormat="1" x14ac:dyDescent="0.25">
      <c r="A9221" s="119"/>
      <c r="B9221" s="138" t="str">
        <f t="shared" si="759"/>
        <v>Aerated Static Pile</v>
      </c>
      <c r="C9221" s="138" t="str">
        <f t="shared" si="760"/>
        <v>Base_With Amendment</v>
      </c>
      <c r="D9221" s="138" t="str">
        <f t="shared" si="757"/>
        <v>High_Low</v>
      </c>
      <c r="E9221" s="138" t="str">
        <f t="shared" si="761"/>
        <v>Base</v>
      </c>
      <c r="F9221" s="138" t="str">
        <f t="shared" si="762"/>
        <v>Upgraded</v>
      </c>
      <c r="G9221" s="153"/>
      <c r="H9221" s="210">
        <v>-1.5699999999999999E-2</v>
      </c>
      <c r="I9221" s="160" t="s">
        <v>62</v>
      </c>
      <c r="J9221" s="160">
        <v>-5.9699999999999996E-3</v>
      </c>
      <c r="K9221" s="160" t="s">
        <v>25</v>
      </c>
      <c r="L9221" s="154" t="str">
        <f>IF(OpenLCAbasic!K9221="CTUh", "Fill in Manually",IF(OR(K9221="Unit", K9221=""), "", INDEX(LookUps!$E$5:$E$12, MATCH(OpenLCAbasic!K9221,LookUps!$D$5:$D$12,0))))</f>
        <v>Smog Formation Potential (SFP) - kg O3 eq</v>
      </c>
      <c r="M9221" s="154" t="str">
        <f t="shared" si="758"/>
        <v>Base_High_Low_Upgraded_Smog Formation Potential (SFP) - kg O3 eq_Land application of compost; wastewater treatment unit; at updated plant - US_Base_With Amendment_Aerated Static Pile</v>
      </c>
    </row>
    <row r="9222" spans="1:13" s="120" customFormat="1" x14ac:dyDescent="0.25">
      <c r="A9222" s="119"/>
      <c r="B9222" s="138" t="str">
        <f t="shared" si="759"/>
        <v>Aerated Static Pile</v>
      </c>
      <c r="C9222" s="138" t="str">
        <f t="shared" si="760"/>
        <v>Base_With Amendment</v>
      </c>
      <c r="D9222" s="138" t="str">
        <f t="shared" si="757"/>
        <v>High_Low</v>
      </c>
      <c r="E9222" s="138" t="str">
        <f t="shared" si="761"/>
        <v>Base</v>
      </c>
      <c r="F9222" s="138" t="str">
        <f t="shared" si="762"/>
        <v>Upgraded</v>
      </c>
      <c r="G9222" s="153"/>
      <c r="H9222" s="210">
        <v>-0.33410000000000001</v>
      </c>
      <c r="I9222" s="160" t="s">
        <v>149</v>
      </c>
      <c r="J9222" s="160">
        <v>-0.12725</v>
      </c>
      <c r="K9222" s="160" t="s">
        <v>25</v>
      </c>
      <c r="L9222" s="154" t="str">
        <f>IF(OpenLCAbasic!K9222="CTUh", "Fill in Manually",IF(OR(K9222="Unit", K9222=""), "", INDEX(LookUps!$E$5:$E$12, MATCH(OpenLCAbasic!K9222,LookUps!$D$5:$D$12,0))))</f>
        <v>Smog Formation Potential (SFP) - kg O3 eq</v>
      </c>
      <c r="M9222" s="154" t="str">
        <f t="shared" si="758"/>
        <v>Base_High_Low_Upgraded_Smog Formation Potential (SFP) - kg O3 eq_Anaerobic Digestion; wastewater treatment unit; at updated plant - US_Base_With Amendment_Aerated Static Pile</v>
      </c>
    </row>
    <row r="9223" spans="1:13" s="120" customFormat="1" x14ac:dyDescent="0.25">
      <c r="A9223" s="119"/>
      <c r="B9223" s="138" t="str">
        <f t="shared" si="759"/>
        <v/>
      </c>
      <c r="C9223" s="138" t="str">
        <f t="shared" si="760"/>
        <v/>
      </c>
      <c r="D9223" s="138" t="str">
        <f t="shared" si="757"/>
        <v/>
      </c>
      <c r="E9223" s="138" t="str">
        <f t="shared" si="761"/>
        <v/>
      </c>
      <c r="F9223" s="138" t="str">
        <f t="shared" si="762"/>
        <v/>
      </c>
      <c r="G9223" s="153" t="s">
        <v>51</v>
      </c>
      <c r="H9223" s="160"/>
      <c r="I9223" s="160" t="s">
        <v>47</v>
      </c>
      <c r="J9223" s="160" t="s">
        <v>52</v>
      </c>
      <c r="K9223" s="160" t="s">
        <v>27</v>
      </c>
      <c r="L9223" s="154" t="str">
        <f>IF(OpenLCAbasic!K9223="CTUh", "Fill in Manually",IF(OR(K9223="Unit", K9223=""), "", INDEX(LookUps!$E$5:$E$12, MATCH(OpenLCAbasic!K9223,LookUps!$D$5:$D$12,0))))</f>
        <v/>
      </c>
      <c r="M9223" s="154" t="str">
        <f t="shared" si="758"/>
        <v>____Process__</v>
      </c>
    </row>
    <row r="9224" spans="1:13" s="120" customFormat="1" x14ac:dyDescent="0.25">
      <c r="A9224" s="119"/>
      <c r="B9224" s="138" t="str">
        <f t="shared" si="759"/>
        <v>Aerated Static Pile</v>
      </c>
      <c r="C9224" s="138" t="str">
        <f t="shared" si="760"/>
        <v>Base_With Amendment</v>
      </c>
      <c r="D9224" s="138" t="str">
        <f t="shared" si="757"/>
        <v>High_Low</v>
      </c>
      <c r="E9224" s="138" t="str">
        <f t="shared" si="761"/>
        <v>Base</v>
      </c>
      <c r="F9224" s="138" t="str">
        <f t="shared" si="762"/>
        <v>Upgraded</v>
      </c>
      <c r="G9224" s="153"/>
      <c r="H9224" s="210">
        <v>0.27789999999999998</v>
      </c>
      <c r="I9224" s="160" t="s">
        <v>167</v>
      </c>
      <c r="J9224" s="160">
        <v>3.4000000000000002E-4</v>
      </c>
      <c r="K9224" s="160" t="s">
        <v>26</v>
      </c>
      <c r="L9224" s="154" t="str">
        <f>IF(OpenLCAbasic!K9224="CTUh", "Fill in Manually",IF(OR(K9224="Unit", K9224=""), "", INDEX(LookUps!$E$5:$E$12, MATCH(OpenLCAbasic!K9224,LookUps!$D$5:$D$12,0))))</f>
        <v>Water Use (WU) - m3 H2O</v>
      </c>
      <c r="M9224" s="154" t="str">
        <f t="shared" si="758"/>
        <v>Base_High_Low_Upgraded_Water Use (WU) - m3 H2O_Waste Receiving and Holding; wastewater treatment unit; at updated plant - US_Base_With Amendment_Aerated Static Pile</v>
      </c>
    </row>
    <row r="9225" spans="1:13" s="120" customFormat="1" x14ac:dyDescent="0.25">
      <c r="A9225" s="119"/>
      <c r="B9225" s="138" t="str">
        <f t="shared" si="759"/>
        <v>Aerated Static Pile</v>
      </c>
      <c r="C9225" s="138" t="str">
        <f t="shared" si="760"/>
        <v>Base_With Amendment</v>
      </c>
      <c r="D9225" s="138" t="str">
        <f t="shared" si="757"/>
        <v>High_Low</v>
      </c>
      <c r="E9225" s="138" t="str">
        <f t="shared" si="761"/>
        <v>Base</v>
      </c>
      <c r="F9225" s="138" t="str">
        <f t="shared" si="762"/>
        <v>Upgraded</v>
      </c>
      <c r="G9225" s="153"/>
      <c r="H9225" s="210">
        <v>0.15210000000000001</v>
      </c>
      <c r="I9225" s="160" t="s">
        <v>147</v>
      </c>
      <c r="J9225" s="160">
        <v>1.8000000000000001E-4</v>
      </c>
      <c r="K9225" s="160" t="s">
        <v>26</v>
      </c>
      <c r="L9225" s="154" t="str">
        <f>IF(OpenLCAbasic!K9225="CTUh", "Fill in Manually",IF(OR(K9225="Unit", K9225=""), "", INDEX(LookUps!$E$5:$E$12, MATCH(OpenLCAbasic!K9225,LookUps!$D$5:$D$12,0))))</f>
        <v>Water Use (WU) - m3 H2O</v>
      </c>
      <c r="M9225" s="154" t="str">
        <f t="shared" si="758"/>
        <v>Base_High_Low_Upgraded_Water Use (WU) - m3 H2O_Influent Pump Station; wastewater treatment unit; at updated plant - US_Base_With Amendment_Aerated Static Pile</v>
      </c>
    </row>
    <row r="9226" spans="1:13" s="120" customFormat="1" x14ac:dyDescent="0.25">
      <c r="A9226" s="119"/>
      <c r="B9226" s="138" t="str">
        <f t="shared" si="759"/>
        <v>Aerated Static Pile</v>
      </c>
      <c r="C9226" s="138" t="str">
        <f t="shared" si="760"/>
        <v>Base_With Amendment</v>
      </c>
      <c r="D9226" s="138" t="str">
        <f t="shared" si="757"/>
        <v>High_Low</v>
      </c>
      <c r="E9226" s="138" t="str">
        <f t="shared" si="761"/>
        <v>Base</v>
      </c>
      <c r="F9226" s="138" t="str">
        <f t="shared" si="762"/>
        <v>Upgraded</v>
      </c>
      <c r="G9226" s="153"/>
      <c r="H9226" s="210">
        <v>0.1484</v>
      </c>
      <c r="I9226" s="160" t="s">
        <v>54</v>
      </c>
      <c r="J9226" s="160">
        <v>1.8000000000000001E-4</v>
      </c>
      <c r="K9226" s="160" t="s">
        <v>26</v>
      </c>
      <c r="L9226" s="154" t="str">
        <f>IF(OpenLCAbasic!K9226="CTUh", "Fill in Manually",IF(OR(K9226="Unit", K9226=""), "", INDEX(LookUps!$E$5:$E$12, MATCH(OpenLCAbasic!K9226,LookUps!$D$5:$D$12,0))))</f>
        <v>Water Use (WU) - m3 H2O</v>
      </c>
      <c r="M9226" s="154" t="str">
        <f t="shared" si="758"/>
        <v>Base_High_Low_Upgraded_Water Use (WU) - m3 H2O_Clear Cove Primary Clarification; wastewater treatment unit; at updated plant - US_Base_With Amendment_Aerated Static Pile</v>
      </c>
    </row>
    <row r="9227" spans="1:13" s="120" customFormat="1" x14ac:dyDescent="0.25">
      <c r="A9227" s="119"/>
      <c r="B9227" s="138" t="str">
        <f t="shared" si="759"/>
        <v>Aerated Static Pile</v>
      </c>
      <c r="C9227" s="138" t="str">
        <f t="shared" si="760"/>
        <v>Base_With Amendment</v>
      </c>
      <c r="D9227" s="138" t="str">
        <f t="shared" si="757"/>
        <v>High_Low</v>
      </c>
      <c r="E9227" s="138" t="str">
        <f t="shared" si="761"/>
        <v>Base</v>
      </c>
      <c r="F9227" s="138" t="str">
        <f t="shared" si="762"/>
        <v>Upgraded</v>
      </c>
      <c r="G9227" s="153"/>
      <c r="H9227" s="210">
        <v>0.1346</v>
      </c>
      <c r="I9227" s="160" t="s">
        <v>55</v>
      </c>
      <c r="J9227" s="160">
        <v>1.6000000000000001E-4</v>
      </c>
      <c r="K9227" s="160" t="s">
        <v>26</v>
      </c>
      <c r="L9227" s="154" t="str">
        <f>IF(OpenLCAbasic!K9227="CTUh", "Fill in Manually",IF(OR(K9227="Unit", K9227=""), "", INDEX(LookUps!$E$5:$E$12, MATCH(OpenLCAbasic!K9227,LookUps!$D$5:$D$12,0))))</f>
        <v>Water Use (WU) - m3 H2O</v>
      </c>
      <c r="M9227" s="154" t="str">
        <f t="shared" si="758"/>
        <v>Base_High_Low_Upgraded_Water Use (WU) - m3 H2O_Aeration Tanks; wastewater treatment unit; at updated plant - US_Base_With Amendment_Aerated Static Pile</v>
      </c>
    </row>
    <row r="9228" spans="1:13" s="120" customFormat="1" x14ac:dyDescent="0.25">
      <c r="A9228" s="119"/>
      <c r="B9228" s="138" t="str">
        <f t="shared" si="759"/>
        <v>Aerated Static Pile</v>
      </c>
      <c r="C9228" s="138" t="str">
        <f t="shared" si="760"/>
        <v>Base_With Amendment</v>
      </c>
      <c r="D9228" s="138" t="str">
        <f t="shared" si="757"/>
        <v>High_Low</v>
      </c>
      <c r="E9228" s="138" t="str">
        <f t="shared" si="761"/>
        <v>Base</v>
      </c>
      <c r="F9228" s="138" t="str">
        <f t="shared" si="762"/>
        <v>Upgraded</v>
      </c>
      <c r="G9228" s="153"/>
      <c r="H9228" s="210">
        <v>0.1226</v>
      </c>
      <c r="I9228" s="160" t="s">
        <v>148</v>
      </c>
      <c r="J9228" s="160">
        <v>1.4999999999999999E-4</v>
      </c>
      <c r="K9228" s="160" t="s">
        <v>26</v>
      </c>
      <c r="L9228" s="154" t="str">
        <f>IF(OpenLCAbasic!K9228="CTUh", "Fill in Manually",IF(OR(K9228="Unit", K9228=""), "", INDEX(LookUps!$E$5:$E$12, MATCH(OpenLCAbasic!K9228,LookUps!$D$5:$D$12,0))))</f>
        <v>Water Use (WU) - m3 H2O</v>
      </c>
      <c r="M9228" s="154" t="str">
        <f t="shared" si="758"/>
        <v>Base_High_Low_Upgraded_Water Use (WU) - m3 H2O_Control Building; at upgraded wastewater treatment plant - US_Base_With Amendment_Aerated Static Pile</v>
      </c>
    </row>
    <row r="9229" spans="1:13" s="120" customFormat="1" x14ac:dyDescent="0.25">
      <c r="A9229" s="119"/>
      <c r="B9229" s="138" t="str">
        <f t="shared" si="759"/>
        <v>Aerated Static Pile</v>
      </c>
      <c r="C9229" s="138" t="str">
        <f t="shared" si="760"/>
        <v>Base_With Amendment</v>
      </c>
      <c r="D9229" s="138" t="str">
        <f t="shared" si="757"/>
        <v>High_Low</v>
      </c>
      <c r="E9229" s="138" t="str">
        <f t="shared" si="761"/>
        <v>Base</v>
      </c>
      <c r="F9229" s="138" t="str">
        <f t="shared" si="762"/>
        <v>Upgraded</v>
      </c>
      <c r="G9229" s="153"/>
      <c r="H9229" s="210">
        <v>5.6899999999999999E-2</v>
      </c>
      <c r="I9229" s="160" t="s">
        <v>48</v>
      </c>
      <c r="J9229" s="211">
        <v>6.8836400000000004E-5</v>
      </c>
      <c r="K9229" s="160" t="s">
        <v>26</v>
      </c>
      <c r="L9229" s="154" t="str">
        <f>IF(OpenLCAbasic!K9229="CTUh", "Fill in Manually",IF(OR(K9229="Unit", K9229=""), "", INDEX(LookUps!$E$5:$E$12, MATCH(OpenLCAbasic!K9229,LookUps!$D$5:$D$12,0))))</f>
        <v>Water Use (WU) - m3 H2O</v>
      </c>
      <c r="M9229" s="154" t="str">
        <f t="shared" si="758"/>
        <v>Base_High_Low_Upgraded_Water Use (WU) - m3 H2O_Effluent release; wastewater treatment unit; at surface water; m3 wastewater - US_Base_With Amendment_Aerated Static Pile</v>
      </c>
    </row>
    <row r="9230" spans="1:13" s="120" customFormat="1" x14ac:dyDescent="0.25">
      <c r="A9230" s="119"/>
      <c r="B9230" s="138" t="str">
        <f t="shared" si="759"/>
        <v>Aerated Static Pile</v>
      </c>
      <c r="C9230" s="138" t="str">
        <f t="shared" si="760"/>
        <v>Base_With Amendment</v>
      </c>
      <c r="D9230" s="138" t="str">
        <f t="shared" si="757"/>
        <v>High_Low</v>
      </c>
      <c r="E9230" s="138" t="str">
        <f t="shared" si="761"/>
        <v>Base</v>
      </c>
      <c r="F9230" s="138" t="str">
        <f t="shared" si="762"/>
        <v>Upgraded</v>
      </c>
      <c r="G9230" s="153"/>
      <c r="H9230" s="210">
        <v>3.95E-2</v>
      </c>
      <c r="I9230" s="160" t="s">
        <v>60</v>
      </c>
      <c r="J9230" s="211">
        <v>4.7769200000000003E-5</v>
      </c>
      <c r="K9230" s="160" t="s">
        <v>26</v>
      </c>
      <c r="L9230" s="154" t="str">
        <f>IF(OpenLCAbasic!K9230="CTUh", "Fill in Manually",IF(OR(K9230="Unit", K9230=""), "", INDEX(LookUps!$E$5:$E$12, MATCH(OpenLCAbasic!K9230,LookUps!$D$5:$D$12,0))))</f>
        <v>Water Use (WU) - m3 H2O</v>
      </c>
      <c r="M9230" s="154" t="str">
        <f t="shared" si="758"/>
        <v>Base_High_Low_Upgraded_Water Use (WU) - m3 H2O_Belt filter press; wastewater treatment unit; at updated plant - US_Base_With Amendment_Aerated Static Pile</v>
      </c>
    </row>
    <row r="9231" spans="1:13" s="120" customFormat="1" x14ac:dyDescent="0.25">
      <c r="A9231" s="119"/>
      <c r="B9231" s="138" t="str">
        <f t="shared" si="759"/>
        <v>Aerated Static Pile</v>
      </c>
      <c r="C9231" s="138" t="str">
        <f t="shared" si="760"/>
        <v>Base_With Amendment</v>
      </c>
      <c r="D9231" s="138" t="str">
        <f t="shared" si="757"/>
        <v>High_Low</v>
      </c>
      <c r="E9231" s="138" t="str">
        <f t="shared" si="761"/>
        <v>Base</v>
      </c>
      <c r="F9231" s="138" t="str">
        <f t="shared" si="762"/>
        <v>Upgraded</v>
      </c>
      <c r="G9231" s="153"/>
      <c r="H9231" s="210">
        <v>3.5799999999999998E-2</v>
      </c>
      <c r="I9231" s="160" t="s">
        <v>58</v>
      </c>
      <c r="J9231" s="211">
        <v>4.3289399999999999E-5</v>
      </c>
      <c r="K9231" s="160" t="s">
        <v>26</v>
      </c>
      <c r="L9231" s="154" t="str">
        <f>IF(OpenLCAbasic!K9231="CTUh", "Fill in Manually",IF(OR(K9231="Unit", K9231=""), "", INDEX(LookUps!$E$5:$E$12, MATCH(OpenLCAbasic!K9231,LookUps!$D$5:$D$12,0))))</f>
        <v>Water Use (WU) - m3 H2O</v>
      </c>
      <c r="M9231" s="154" t="str">
        <f t="shared" si="758"/>
        <v>Base_High_Low_Upgraded_Water Use (WU) - m3 H2O_Pre-Anoxic &amp; Swing tank; wastewater treatment unit; at updated plant - US_Base_With Amendment_Aerated Static Pile</v>
      </c>
    </row>
    <row r="9232" spans="1:13" s="120" customFormat="1" x14ac:dyDescent="0.25">
      <c r="A9232" s="119"/>
      <c r="B9232" s="138" t="str">
        <f t="shared" si="759"/>
        <v>Aerated Static Pile</v>
      </c>
      <c r="C9232" s="138" t="str">
        <f t="shared" si="760"/>
        <v>Base_With Amendment</v>
      </c>
      <c r="D9232" s="138" t="str">
        <f t="shared" si="757"/>
        <v>High_Low</v>
      </c>
      <c r="E9232" s="138" t="str">
        <f t="shared" si="761"/>
        <v>Base</v>
      </c>
      <c r="F9232" s="138" t="str">
        <f t="shared" si="762"/>
        <v>Upgraded</v>
      </c>
      <c r="G9232" s="153"/>
      <c r="H9232" s="210">
        <v>3.4299999999999997E-2</v>
      </c>
      <c r="I9232" s="160" t="s">
        <v>435</v>
      </c>
      <c r="J9232" s="211">
        <v>4.1443200000000003E-5</v>
      </c>
      <c r="K9232" s="160" t="s">
        <v>26</v>
      </c>
      <c r="L9232" s="154" t="str">
        <f>IF(OpenLCAbasic!K9232="CTUh", "Fill in Manually",IF(OR(K9232="Unit", K9232=""), "", INDEX(LookUps!$E$5:$E$12, MATCH(OpenLCAbasic!K9232,LookUps!$D$5:$D$12,0))))</f>
        <v>Water Use (WU) - m3 H2O</v>
      </c>
      <c r="M9232" s="154" t="str">
        <f t="shared" si="758"/>
        <v>Base_High_Low_Upgraded_Water Use (WU) - m3 H2O_Biosolids composting; aerated static pile; wastewater treatment unit; at updated plant - US_Base_With Amendment_Aerated Static Pile</v>
      </c>
    </row>
    <row r="9233" spans="1:13" s="120" customFormat="1" x14ac:dyDescent="0.25">
      <c r="A9233" s="119"/>
      <c r="B9233" s="138" t="str">
        <f t="shared" si="759"/>
        <v>Aerated Static Pile</v>
      </c>
      <c r="C9233" s="138" t="str">
        <f t="shared" si="760"/>
        <v>Base_With Amendment</v>
      </c>
      <c r="D9233" s="138" t="str">
        <f t="shared" ref="D9233:D9239" si="763">IF(ISNUMBER($J9233),"High_Low","")</f>
        <v>High_Low</v>
      </c>
      <c r="E9233" s="138" t="str">
        <f t="shared" si="761"/>
        <v>Base</v>
      </c>
      <c r="F9233" s="138" t="str">
        <f t="shared" si="762"/>
        <v>Upgraded</v>
      </c>
      <c r="G9233" s="153"/>
      <c r="H9233" s="210">
        <v>2.52E-2</v>
      </c>
      <c r="I9233" s="160" t="s">
        <v>57</v>
      </c>
      <c r="J9233" s="211">
        <v>3.0408100000000001E-5</v>
      </c>
      <c r="K9233" s="160" t="s">
        <v>26</v>
      </c>
      <c r="L9233" s="154" t="str">
        <f>IF(OpenLCAbasic!K9233="CTUh", "Fill in Manually",IF(OR(K9233="Unit", K9233=""), "", INDEX(LookUps!$E$5:$E$12, MATCH(OpenLCAbasic!K9233,LookUps!$D$5:$D$12,0))))</f>
        <v>Water Use (WU) - m3 H2O</v>
      </c>
      <c r="M9233" s="154" t="str">
        <f t="shared" si="758"/>
        <v>Base_High_Low_Upgraded_Water Use (WU) - m3 H2O_Gravity Belt Thickener; wastewater treatment unit; at updated plant - US_Base_With Amendment_Aerated Static Pile</v>
      </c>
    </row>
    <row r="9234" spans="1:13" s="120" customFormat="1" x14ac:dyDescent="0.25">
      <c r="A9234" s="119"/>
      <c r="B9234" s="138" t="str">
        <f t="shared" si="759"/>
        <v>Aerated Static Pile</v>
      </c>
      <c r="C9234" s="138" t="str">
        <f t="shared" si="760"/>
        <v>Base_With Amendment</v>
      </c>
      <c r="D9234" s="138" t="str">
        <f t="shared" si="763"/>
        <v>High_Low</v>
      </c>
      <c r="E9234" s="138" t="str">
        <f t="shared" si="761"/>
        <v>Base</v>
      </c>
      <c r="F9234" s="138" t="str">
        <f t="shared" si="762"/>
        <v>Upgraded</v>
      </c>
      <c r="G9234" s="153"/>
      <c r="H9234" s="210">
        <v>1.4500000000000001E-2</v>
      </c>
      <c r="I9234" s="160" t="s">
        <v>53</v>
      </c>
      <c r="J9234" s="211">
        <v>1.75069E-5</v>
      </c>
      <c r="K9234" s="160" t="s">
        <v>26</v>
      </c>
      <c r="L9234" s="154" t="str">
        <f>IF(OpenLCAbasic!K9234="CTUh", "Fill in Manually",IF(OR(K9234="Unit", K9234=""), "", INDEX(LookUps!$E$5:$E$12, MATCH(OpenLCAbasic!K9234,LookUps!$D$5:$D$12,0))))</f>
        <v>Water Use (WU) - m3 H2O</v>
      </c>
      <c r="M9234" s="154" t="str">
        <f t="shared" si="758"/>
        <v>Base_High_Low_Upgraded_Water Use (WU) - m3 H2O_Wet Well and Sump Station; wastewater treatment unit; at updated plant - US_Base_With Amendment_Aerated Static Pile</v>
      </c>
    </row>
    <row r="9235" spans="1:13" s="120" customFormat="1" x14ac:dyDescent="0.25">
      <c r="A9235" s="119"/>
      <c r="B9235" s="138" t="str">
        <f t="shared" si="759"/>
        <v>Aerated Static Pile</v>
      </c>
      <c r="C9235" s="138" t="str">
        <f t="shared" si="760"/>
        <v>Base_With Amendment</v>
      </c>
      <c r="D9235" s="138" t="str">
        <f t="shared" si="763"/>
        <v>High_Low</v>
      </c>
      <c r="E9235" s="138" t="str">
        <f t="shared" si="761"/>
        <v>Base</v>
      </c>
      <c r="F9235" s="138" t="str">
        <f t="shared" si="762"/>
        <v>Upgraded</v>
      </c>
      <c r="G9235" s="153"/>
      <c r="H9235" s="210">
        <v>5.7999999999999996E-3</v>
      </c>
      <c r="I9235" s="160" t="s">
        <v>59</v>
      </c>
      <c r="J9235" s="211">
        <v>7.0179500000000003E-6</v>
      </c>
      <c r="K9235" s="160" t="s">
        <v>26</v>
      </c>
      <c r="L9235" s="154" t="str">
        <f>IF(OpenLCAbasic!K9235="CTUh", "Fill in Manually",IF(OR(K9235="Unit", K9235=""), "", INDEX(LookUps!$E$5:$E$12, MATCH(OpenLCAbasic!K9235,LookUps!$D$5:$D$12,0))))</f>
        <v>Water Use (WU) - m3 H2O</v>
      </c>
      <c r="M9235" s="154" t="str">
        <f t="shared" si="758"/>
        <v>Base_High_Low_Upgraded_Water Use (WU) - m3 H2O_Blend Tank; wastewater treatment unit; at updated plant - US_Base_With Amendment_Aerated Static Pile</v>
      </c>
    </row>
    <row r="9236" spans="1:13" s="120" customFormat="1" x14ac:dyDescent="0.25">
      <c r="A9236" s="119"/>
      <c r="B9236" s="138" t="str">
        <f t="shared" si="759"/>
        <v>Aerated Static Pile</v>
      </c>
      <c r="C9236" s="138" t="str">
        <f t="shared" si="760"/>
        <v>Base_With Amendment</v>
      </c>
      <c r="D9236" s="138" t="str">
        <f t="shared" si="763"/>
        <v>High_Low</v>
      </c>
      <c r="E9236" s="138" t="str">
        <f t="shared" si="761"/>
        <v>Base</v>
      </c>
      <c r="F9236" s="138" t="str">
        <f t="shared" si="762"/>
        <v>Upgraded</v>
      </c>
      <c r="G9236" s="153"/>
      <c r="H9236" s="210">
        <v>4.1999999999999997E-3</v>
      </c>
      <c r="I9236" s="160" t="s">
        <v>128</v>
      </c>
      <c r="J9236" s="211">
        <v>5.0608900000000003E-6</v>
      </c>
      <c r="K9236" s="160" t="s">
        <v>26</v>
      </c>
      <c r="L9236" s="154" t="str">
        <f>IF(OpenLCAbasic!K9236="CTUh", "Fill in Manually",IF(OR(K9236="Unit", K9236=""), "", INDEX(LookUps!$E$5:$E$12, MATCH(OpenLCAbasic!K9236,LookUps!$D$5:$D$12,0))))</f>
        <v>Water Use (WU) - m3 H2O</v>
      </c>
      <c r="M9236" s="154" t="str">
        <f t="shared" si="758"/>
        <v>Base_High_Low_Upgraded_Water Use (WU) - m3 H2O_Wastewater collection; operation and infrastructure; m3 wastewater_Base_With Amendment_Aerated Static Pile</v>
      </c>
    </row>
    <row r="9237" spans="1:13" s="120" customFormat="1" x14ac:dyDescent="0.25">
      <c r="A9237" s="119"/>
      <c r="B9237" s="138" t="str">
        <f t="shared" si="759"/>
        <v>Aerated Static Pile</v>
      </c>
      <c r="C9237" s="138" t="str">
        <f t="shared" si="760"/>
        <v>Base_With Amendment</v>
      </c>
      <c r="D9237" s="138" t="str">
        <f t="shared" si="763"/>
        <v>High_Low</v>
      </c>
      <c r="E9237" s="138" t="str">
        <f t="shared" si="761"/>
        <v>Base</v>
      </c>
      <c r="F9237" s="138" t="str">
        <f t="shared" si="762"/>
        <v>Upgraded</v>
      </c>
      <c r="G9237" s="153"/>
      <c r="H9237" s="210">
        <v>5.9999999999999995E-4</v>
      </c>
      <c r="I9237" s="160" t="s">
        <v>168</v>
      </c>
      <c r="J9237" s="211">
        <v>7.6697000000000004E-7</v>
      </c>
      <c r="K9237" s="160" t="s">
        <v>26</v>
      </c>
      <c r="L9237" s="154" t="str">
        <f>IF(OpenLCAbasic!K9237="CTUh", "Fill in Manually",IF(OR(K9237="Unit", K9237=""), "", INDEX(LookUps!$E$5:$E$12, MATCH(OpenLCAbasic!K9237,LookUps!$D$5:$D$12,0))))</f>
        <v>Water Use (WU) - m3 H2O</v>
      </c>
      <c r="M9237" s="154" t="str">
        <f t="shared" si="758"/>
        <v>Base_High_Low_Upgraded_Water Use (WU) - m3 H2O_ClearCove SCP; wastewater treatment unit; at updated plant - US_Base_With Amendment_Aerated Static Pile</v>
      </c>
    </row>
    <row r="9238" spans="1:13" s="120" customFormat="1" x14ac:dyDescent="0.25">
      <c r="A9238" s="119"/>
      <c r="B9238" s="138" t="str">
        <f t="shared" si="759"/>
        <v>Aerated Static Pile</v>
      </c>
      <c r="C9238" s="138" t="str">
        <f t="shared" si="760"/>
        <v>Base_With Amendment</v>
      </c>
      <c r="D9238" s="138" t="str">
        <f t="shared" si="763"/>
        <v>High_Low</v>
      </c>
      <c r="E9238" s="138" t="str">
        <f t="shared" si="761"/>
        <v>Base</v>
      </c>
      <c r="F9238" s="138" t="str">
        <f t="shared" si="762"/>
        <v>Upgraded</v>
      </c>
      <c r="G9238" s="153"/>
      <c r="H9238" s="210">
        <v>-1.0200000000000001E-2</v>
      </c>
      <c r="I9238" s="160" t="s">
        <v>149</v>
      </c>
      <c r="J9238" s="211">
        <v>-1.22975E-5</v>
      </c>
      <c r="K9238" s="160" t="s">
        <v>26</v>
      </c>
      <c r="L9238" s="154" t="str">
        <f>IF(OpenLCAbasic!K9238="CTUh", "Fill in Manually",IF(OR(K9238="Unit", K9238=""), "", INDEX(LookUps!$E$5:$E$12, MATCH(OpenLCAbasic!K9238,LookUps!$D$5:$D$12,0))))</f>
        <v>Water Use (WU) - m3 H2O</v>
      </c>
      <c r="M9238" s="154" t="str">
        <f t="shared" si="758"/>
        <v>Base_High_Low_Upgraded_Water Use (WU) - m3 H2O_Anaerobic Digestion; wastewater treatment unit; at updated plant - US_Base_With Amendment_Aerated Static Pile</v>
      </c>
    </row>
    <row r="9239" spans="1:13" s="120" customFormat="1" x14ac:dyDescent="0.25">
      <c r="A9239" s="119"/>
      <c r="B9239" s="138" t="str">
        <f t="shared" si="759"/>
        <v>Aerated Static Pile</v>
      </c>
      <c r="C9239" s="138" t="str">
        <f t="shared" si="760"/>
        <v>Base_With Amendment</v>
      </c>
      <c r="D9239" s="138" t="str">
        <f t="shared" si="763"/>
        <v>High_Low</v>
      </c>
      <c r="E9239" s="138" t="str">
        <f t="shared" si="761"/>
        <v>Base</v>
      </c>
      <c r="F9239" s="138" t="str">
        <f t="shared" si="762"/>
        <v>Upgraded</v>
      </c>
      <c r="G9239" s="153"/>
      <c r="H9239" s="210">
        <v>-2.0421</v>
      </c>
      <c r="I9239" s="160" t="s">
        <v>62</v>
      </c>
      <c r="J9239" s="160">
        <v>-2.47E-3</v>
      </c>
      <c r="K9239" s="160" t="s">
        <v>26</v>
      </c>
      <c r="L9239" s="154" t="str">
        <f>IF(OpenLCAbasic!K9239="CTUh", "Fill in Manually",IF(OR(K9239="Unit", K9239=""), "", INDEX(LookUps!$E$5:$E$12, MATCH(OpenLCAbasic!K9239,LookUps!$D$5:$D$12,0))))</f>
        <v>Water Use (WU) - m3 H2O</v>
      </c>
      <c r="M9239" s="154" t="str">
        <f t="shared" si="758"/>
        <v>Base_High_Low_Upgraded_Water Use (WU) - m3 H2O_Land application of compost; wastewater treatment unit; at updated plant - US_Base_With Amendment_Aerated Static Pile</v>
      </c>
    </row>
    <row r="9240" spans="1:13" s="120" customFormat="1" x14ac:dyDescent="0.25">
      <c r="A9240" s="119"/>
      <c r="B9240" s="138" t="str">
        <f t="shared" si="759"/>
        <v/>
      </c>
      <c r="C9240" s="138" t="str">
        <f t="shared" si="760"/>
        <v/>
      </c>
      <c r="D9240" s="138" t="str">
        <f>IF(ISNUMBER($J9240),"High_Base","")</f>
        <v/>
      </c>
      <c r="E9240" s="138" t="str">
        <f t="shared" si="761"/>
        <v/>
      </c>
      <c r="F9240" s="138" t="str">
        <f t="shared" si="762"/>
        <v/>
      </c>
      <c r="G9240" s="153" t="s">
        <v>51</v>
      </c>
      <c r="H9240" s="160"/>
      <c r="I9240" s="160" t="s">
        <v>47</v>
      </c>
      <c r="J9240" s="160" t="s">
        <v>52</v>
      </c>
      <c r="K9240" s="160" t="s">
        <v>27</v>
      </c>
      <c r="L9240" s="154" t="str">
        <f>IF(OpenLCAbasic!K9240="CTUh", "Fill in Manually",IF(OR(K9240="Unit", K9240=""), "", INDEX(LookUps!$E$5:$E$12, MATCH(OpenLCAbasic!K9240,LookUps!$D$5:$D$12,0))))</f>
        <v/>
      </c>
      <c r="M9240" s="154" t="str">
        <f t="shared" si="758"/>
        <v>____Process__</v>
      </c>
    </row>
    <row r="9241" spans="1:13" s="120" customFormat="1" x14ac:dyDescent="0.25">
      <c r="A9241" s="119"/>
      <c r="B9241" s="138" t="str">
        <f t="shared" si="759"/>
        <v>Aerated Static Pile</v>
      </c>
      <c r="C9241" s="138" t="str">
        <f t="shared" si="760"/>
        <v>Base_With Amendment</v>
      </c>
      <c r="D9241" s="138" t="str">
        <f t="shared" ref="D9241:D9304" si="764">IF(ISNUMBER($J9241),"High_Base","")</f>
        <v>High_Base</v>
      </c>
      <c r="E9241" s="138" t="str">
        <f t="shared" si="761"/>
        <v>Base</v>
      </c>
      <c r="F9241" s="138" t="str">
        <f t="shared" si="762"/>
        <v>Upgraded</v>
      </c>
      <c r="G9241" s="153"/>
      <c r="H9241" s="210">
        <v>1.4330000000000001</v>
      </c>
      <c r="I9241" s="160" t="s">
        <v>55</v>
      </c>
      <c r="J9241" s="160">
        <v>1.7219999999999999E-2</v>
      </c>
      <c r="K9241" s="160" t="s">
        <v>24</v>
      </c>
      <c r="L9241" s="154" t="str">
        <f>IF(OpenLCAbasic!K9241="CTUh", "Fill in Manually",IF(OR(K9241="Unit", K9241=""), "", INDEX(LookUps!$E$5:$E$12, MATCH(OpenLCAbasic!K9241,LookUps!$D$5:$D$12,0))))</f>
        <v>Acidification Potential (AP) - kg SO2 eq</v>
      </c>
      <c r="M9241" s="154" t="str">
        <f t="shared" si="758"/>
        <v>Base_High_Base_Upgraded_Acidification Potential (AP) - kg SO2 eq_Aeration Tanks; wastewater treatment unit; at updated plant - US_Base_With Amendment_Aerated Static Pile</v>
      </c>
    </row>
    <row r="9242" spans="1:13" s="120" customFormat="1" x14ac:dyDescent="0.25">
      <c r="A9242" s="119"/>
      <c r="B9242" s="138" t="str">
        <f t="shared" si="759"/>
        <v>Aerated Static Pile</v>
      </c>
      <c r="C9242" s="138" t="str">
        <f t="shared" si="760"/>
        <v>Base_With Amendment</v>
      </c>
      <c r="D9242" s="138" t="str">
        <f t="shared" si="764"/>
        <v>High_Base</v>
      </c>
      <c r="E9242" s="138" t="str">
        <f t="shared" si="761"/>
        <v>Base</v>
      </c>
      <c r="F9242" s="138" t="str">
        <f t="shared" si="762"/>
        <v>Upgraded</v>
      </c>
      <c r="G9242" s="153"/>
      <c r="H9242" s="210">
        <v>1.0261</v>
      </c>
      <c r="I9242" s="160" t="s">
        <v>435</v>
      </c>
      <c r="J9242" s="160">
        <v>1.2330000000000001E-2</v>
      </c>
      <c r="K9242" s="160" t="s">
        <v>24</v>
      </c>
      <c r="L9242" s="154" t="str">
        <f>IF(OpenLCAbasic!K9242="CTUh", "Fill in Manually",IF(OR(K9242="Unit", K9242=""), "", INDEX(LookUps!$E$5:$E$12, MATCH(OpenLCAbasic!K9242,LookUps!$D$5:$D$12,0))))</f>
        <v>Acidification Potential (AP) - kg SO2 eq</v>
      </c>
      <c r="M9242" s="154" t="str">
        <f t="shared" si="758"/>
        <v>Base_High_Base_Upgraded_Acidification Potential (AP) - kg SO2 eq_Biosolids composting; aerated static pile; wastewater treatment unit; at updated plant - US_Base_With Amendment_Aerated Static Pile</v>
      </c>
    </row>
    <row r="9243" spans="1:13" s="120" customFormat="1" x14ac:dyDescent="0.25">
      <c r="A9243" s="119"/>
      <c r="B9243" s="138" t="str">
        <f t="shared" si="759"/>
        <v>Aerated Static Pile</v>
      </c>
      <c r="C9243" s="138" t="str">
        <f t="shared" si="760"/>
        <v>Base_With Amendment</v>
      </c>
      <c r="D9243" s="138" t="str">
        <f t="shared" si="764"/>
        <v>High_Base</v>
      </c>
      <c r="E9243" s="138" t="str">
        <f t="shared" si="761"/>
        <v>Base</v>
      </c>
      <c r="F9243" s="138" t="str">
        <f t="shared" si="762"/>
        <v>Upgraded</v>
      </c>
      <c r="G9243" s="153"/>
      <c r="H9243" s="210">
        <v>0.4204</v>
      </c>
      <c r="I9243" s="160" t="s">
        <v>62</v>
      </c>
      <c r="J9243" s="160">
        <v>5.0499999999999998E-3</v>
      </c>
      <c r="K9243" s="160" t="s">
        <v>24</v>
      </c>
      <c r="L9243" s="154" t="str">
        <f>IF(OpenLCAbasic!K9243="CTUh", "Fill in Manually",IF(OR(K9243="Unit", K9243=""), "", INDEX(LookUps!$E$5:$E$12, MATCH(OpenLCAbasic!K9243,LookUps!$D$5:$D$12,0))))</f>
        <v>Acidification Potential (AP) - kg SO2 eq</v>
      </c>
      <c r="M9243" s="154" t="str">
        <f t="shared" si="758"/>
        <v>Base_High_Base_Upgraded_Acidification Potential (AP) - kg SO2 eq_Land application of compost; wastewater treatment unit; at updated plant - US_Base_With Amendment_Aerated Static Pile</v>
      </c>
    </row>
    <row r="9244" spans="1:13" s="120" customFormat="1" x14ac:dyDescent="0.25">
      <c r="A9244" s="119"/>
      <c r="B9244" s="138" t="str">
        <f t="shared" si="759"/>
        <v>Aerated Static Pile</v>
      </c>
      <c r="C9244" s="138" t="str">
        <f t="shared" si="760"/>
        <v>Base_With Amendment</v>
      </c>
      <c r="D9244" s="138" t="str">
        <f t="shared" si="764"/>
        <v>High_Base</v>
      </c>
      <c r="E9244" s="138" t="str">
        <f t="shared" si="761"/>
        <v>Base</v>
      </c>
      <c r="F9244" s="138" t="str">
        <f t="shared" si="762"/>
        <v>Upgraded</v>
      </c>
      <c r="G9244" s="153"/>
      <c r="H9244" s="210">
        <v>0.41449999999999998</v>
      </c>
      <c r="I9244" s="160" t="s">
        <v>54</v>
      </c>
      <c r="J9244" s="160">
        <v>4.9800000000000001E-3</v>
      </c>
      <c r="K9244" s="160" t="s">
        <v>24</v>
      </c>
      <c r="L9244" s="154" t="str">
        <f>IF(OpenLCAbasic!K9244="CTUh", "Fill in Manually",IF(OR(K9244="Unit", K9244=""), "", INDEX(LookUps!$E$5:$E$12, MATCH(OpenLCAbasic!K9244,LookUps!$D$5:$D$12,0))))</f>
        <v>Acidification Potential (AP) - kg SO2 eq</v>
      </c>
      <c r="M9244" s="154" t="str">
        <f t="shared" si="758"/>
        <v>Base_High_Base_Upgraded_Acidification Potential (AP) - kg SO2 eq_Clear Cove Primary Clarification; wastewater treatment unit; at updated plant - US_Base_With Amendment_Aerated Static Pile</v>
      </c>
    </row>
    <row r="9245" spans="1:13" s="120" customFormat="1" x14ac:dyDescent="0.25">
      <c r="A9245" s="119"/>
      <c r="B9245" s="138" t="str">
        <f t="shared" si="759"/>
        <v>Aerated Static Pile</v>
      </c>
      <c r="C9245" s="138" t="str">
        <f t="shared" si="760"/>
        <v>Base_With Amendment</v>
      </c>
      <c r="D9245" s="138" t="str">
        <f t="shared" si="764"/>
        <v>High_Base</v>
      </c>
      <c r="E9245" s="138" t="str">
        <f t="shared" si="761"/>
        <v>Base</v>
      </c>
      <c r="F9245" s="138" t="str">
        <f t="shared" si="762"/>
        <v>Upgraded</v>
      </c>
      <c r="G9245" s="153"/>
      <c r="H9245" s="210">
        <v>0.36320000000000002</v>
      </c>
      <c r="I9245" s="160" t="s">
        <v>58</v>
      </c>
      <c r="J9245" s="160">
        <v>4.3600000000000002E-3</v>
      </c>
      <c r="K9245" s="160" t="s">
        <v>24</v>
      </c>
      <c r="L9245" s="154" t="str">
        <f>IF(OpenLCAbasic!K9245="CTUh", "Fill in Manually",IF(OR(K9245="Unit", K9245=""), "", INDEX(LookUps!$E$5:$E$12, MATCH(OpenLCAbasic!K9245,LookUps!$D$5:$D$12,0))))</f>
        <v>Acidification Potential (AP) - kg SO2 eq</v>
      </c>
      <c r="M9245" s="154" t="str">
        <f t="shared" si="758"/>
        <v>Base_High_Base_Upgraded_Acidification Potential (AP) - kg SO2 eq_Pre-Anoxic &amp; Swing tank; wastewater treatment unit; at updated plant - US_Base_With Amendment_Aerated Static Pile</v>
      </c>
    </row>
    <row r="9246" spans="1:13" s="120" customFormat="1" x14ac:dyDescent="0.25">
      <c r="A9246" s="119"/>
      <c r="B9246" s="138" t="str">
        <f t="shared" si="759"/>
        <v>Aerated Static Pile</v>
      </c>
      <c r="C9246" s="138" t="str">
        <f t="shared" si="760"/>
        <v>Base_With Amendment</v>
      </c>
      <c r="D9246" s="138" t="str">
        <f t="shared" si="764"/>
        <v>High_Base</v>
      </c>
      <c r="E9246" s="138" t="str">
        <f t="shared" si="761"/>
        <v>Base</v>
      </c>
      <c r="F9246" s="138" t="str">
        <f t="shared" si="762"/>
        <v>Upgraded</v>
      </c>
      <c r="G9246" s="153"/>
      <c r="H9246" s="210">
        <v>0.28720000000000001</v>
      </c>
      <c r="I9246" s="160" t="s">
        <v>53</v>
      </c>
      <c r="J9246" s="160">
        <v>3.4499999999999999E-3</v>
      </c>
      <c r="K9246" s="160" t="s">
        <v>24</v>
      </c>
      <c r="L9246" s="154" t="str">
        <f>IF(OpenLCAbasic!K9246="CTUh", "Fill in Manually",IF(OR(K9246="Unit", K9246=""), "", INDEX(LookUps!$E$5:$E$12, MATCH(OpenLCAbasic!K9246,LookUps!$D$5:$D$12,0))))</f>
        <v>Acidification Potential (AP) - kg SO2 eq</v>
      </c>
      <c r="M9246" s="154" t="str">
        <f t="shared" si="758"/>
        <v>Base_High_Base_Upgraded_Acidification Potential (AP) - kg SO2 eq_Wet Well and Sump Station; wastewater treatment unit; at updated plant - US_Base_With Amendment_Aerated Static Pile</v>
      </c>
    </row>
    <row r="9247" spans="1:13" s="120" customFormat="1" x14ac:dyDescent="0.25">
      <c r="A9247" s="119"/>
      <c r="B9247" s="138" t="str">
        <f t="shared" si="759"/>
        <v>Aerated Static Pile</v>
      </c>
      <c r="C9247" s="138" t="str">
        <f t="shared" si="760"/>
        <v>Base_With Amendment</v>
      </c>
      <c r="D9247" s="138" t="str">
        <f t="shared" si="764"/>
        <v>High_Base</v>
      </c>
      <c r="E9247" s="138" t="str">
        <f t="shared" si="761"/>
        <v>Base</v>
      </c>
      <c r="F9247" s="138" t="str">
        <f t="shared" si="762"/>
        <v>Upgraded</v>
      </c>
      <c r="G9247" s="153"/>
      <c r="H9247" s="210">
        <v>0.22500000000000001</v>
      </c>
      <c r="I9247" s="160" t="s">
        <v>167</v>
      </c>
      <c r="J9247" s="160">
        <v>2.7000000000000001E-3</v>
      </c>
      <c r="K9247" s="160" t="s">
        <v>24</v>
      </c>
      <c r="L9247" s="154" t="str">
        <f>IF(OpenLCAbasic!K9247="CTUh", "Fill in Manually",IF(OR(K9247="Unit", K9247=""), "", INDEX(LookUps!$E$5:$E$12, MATCH(OpenLCAbasic!K9247,LookUps!$D$5:$D$12,0))))</f>
        <v>Acidification Potential (AP) - kg SO2 eq</v>
      </c>
      <c r="M9247" s="154" t="str">
        <f t="shared" si="758"/>
        <v>Base_High_Base_Upgraded_Acidification Potential (AP) - kg SO2 eq_Waste Receiving and Holding; wastewater treatment unit; at updated plant - US_Base_With Amendment_Aerated Static Pile</v>
      </c>
    </row>
    <row r="9248" spans="1:13" s="120" customFormat="1" x14ac:dyDescent="0.25">
      <c r="A9248" s="119"/>
      <c r="B9248" s="138" t="str">
        <f t="shared" si="759"/>
        <v>Aerated Static Pile</v>
      </c>
      <c r="C9248" s="138" t="str">
        <f t="shared" si="760"/>
        <v>Base_With Amendment</v>
      </c>
      <c r="D9248" s="138" t="str">
        <f t="shared" si="764"/>
        <v>High_Base</v>
      </c>
      <c r="E9248" s="138" t="str">
        <f t="shared" si="761"/>
        <v>Base</v>
      </c>
      <c r="F9248" s="138" t="str">
        <f t="shared" si="762"/>
        <v>Upgraded</v>
      </c>
      <c r="G9248" s="153"/>
      <c r="H9248" s="210">
        <v>0.17219999999999999</v>
      </c>
      <c r="I9248" s="160" t="s">
        <v>147</v>
      </c>
      <c r="J9248" s="160">
        <v>2.0699999999999998E-3</v>
      </c>
      <c r="K9248" s="160" t="s">
        <v>24</v>
      </c>
      <c r="L9248" s="154" t="str">
        <f>IF(OpenLCAbasic!K9248="CTUh", "Fill in Manually",IF(OR(K9248="Unit", K9248=""), "", INDEX(LookUps!$E$5:$E$12, MATCH(OpenLCAbasic!K9248,LookUps!$D$5:$D$12,0))))</f>
        <v>Acidification Potential (AP) - kg SO2 eq</v>
      </c>
      <c r="M9248" s="154" t="str">
        <f t="shared" si="758"/>
        <v>Base_High_Base_Upgraded_Acidification Potential (AP) - kg SO2 eq_Influent Pump Station; wastewater treatment unit; at updated plant - US_Base_With Amendment_Aerated Static Pile</v>
      </c>
    </row>
    <row r="9249" spans="1:13" s="120" customFormat="1" x14ac:dyDescent="0.25">
      <c r="A9249" s="119"/>
      <c r="B9249" s="138" t="str">
        <f t="shared" si="759"/>
        <v>Aerated Static Pile</v>
      </c>
      <c r="C9249" s="138" t="str">
        <f t="shared" si="760"/>
        <v>Base_With Amendment</v>
      </c>
      <c r="D9249" s="138" t="str">
        <f t="shared" si="764"/>
        <v>High_Base</v>
      </c>
      <c r="E9249" s="138" t="str">
        <f t="shared" si="761"/>
        <v>Base</v>
      </c>
      <c r="F9249" s="138" t="str">
        <f t="shared" si="762"/>
        <v>Upgraded</v>
      </c>
      <c r="G9249" s="153"/>
      <c r="H9249" s="210">
        <v>0.12130000000000001</v>
      </c>
      <c r="I9249" s="160" t="s">
        <v>60</v>
      </c>
      <c r="J9249" s="160">
        <v>1.4599999999999999E-3</v>
      </c>
      <c r="K9249" s="160" t="s">
        <v>24</v>
      </c>
      <c r="L9249" s="154" t="str">
        <f>IF(OpenLCAbasic!K9249="CTUh", "Fill in Manually",IF(OR(K9249="Unit", K9249=""), "", INDEX(LookUps!$E$5:$E$12, MATCH(OpenLCAbasic!K9249,LookUps!$D$5:$D$12,0))))</f>
        <v>Acidification Potential (AP) - kg SO2 eq</v>
      </c>
      <c r="M9249" s="154" t="str">
        <f t="shared" si="758"/>
        <v>Base_High_Base_Upgraded_Acidification Potential (AP) - kg SO2 eq_Belt filter press; wastewater treatment unit; at updated plant - US_Base_With Amendment_Aerated Static Pile</v>
      </c>
    </row>
    <row r="9250" spans="1:13" s="120" customFormat="1" x14ac:dyDescent="0.25">
      <c r="A9250" s="119"/>
      <c r="B9250" s="138" t="str">
        <f t="shared" si="759"/>
        <v>Aerated Static Pile</v>
      </c>
      <c r="C9250" s="138" t="str">
        <f t="shared" si="760"/>
        <v>Base_With Amendment</v>
      </c>
      <c r="D9250" s="138" t="str">
        <f t="shared" si="764"/>
        <v>High_Base</v>
      </c>
      <c r="E9250" s="138" t="str">
        <f t="shared" si="761"/>
        <v>Base</v>
      </c>
      <c r="F9250" s="138" t="str">
        <f t="shared" si="762"/>
        <v>Upgraded</v>
      </c>
      <c r="G9250" s="153"/>
      <c r="H9250" s="210">
        <v>0.1026</v>
      </c>
      <c r="I9250" s="160" t="s">
        <v>128</v>
      </c>
      <c r="J9250" s="160">
        <v>1.23E-3</v>
      </c>
      <c r="K9250" s="160" t="s">
        <v>24</v>
      </c>
      <c r="L9250" s="154" t="str">
        <f>IF(OpenLCAbasic!K9250="CTUh", "Fill in Manually",IF(OR(K9250="Unit", K9250=""), "", INDEX(LookUps!$E$5:$E$12, MATCH(OpenLCAbasic!K9250,LookUps!$D$5:$D$12,0))))</f>
        <v>Acidification Potential (AP) - kg SO2 eq</v>
      </c>
      <c r="M9250" s="154" t="str">
        <f t="shared" si="758"/>
        <v>Base_High_Base_Upgraded_Acidification Potential (AP) - kg SO2 eq_Wastewater collection; operation and infrastructure; m3 wastewater_Base_With Amendment_Aerated Static Pile</v>
      </c>
    </row>
    <row r="9251" spans="1:13" s="120" customFormat="1" x14ac:dyDescent="0.25">
      <c r="A9251" s="119"/>
      <c r="B9251" s="138" t="str">
        <f t="shared" si="759"/>
        <v>Aerated Static Pile</v>
      </c>
      <c r="C9251" s="138" t="str">
        <f t="shared" si="760"/>
        <v>Base_With Amendment</v>
      </c>
      <c r="D9251" s="138" t="str">
        <f t="shared" si="764"/>
        <v>High_Base</v>
      </c>
      <c r="E9251" s="138" t="str">
        <f t="shared" si="761"/>
        <v>Base</v>
      </c>
      <c r="F9251" s="138" t="str">
        <f t="shared" si="762"/>
        <v>Upgraded</v>
      </c>
      <c r="G9251" s="153"/>
      <c r="H9251" s="210">
        <v>5.8599999999999999E-2</v>
      </c>
      <c r="I9251" s="160" t="s">
        <v>57</v>
      </c>
      <c r="J9251" s="160">
        <v>6.9999999999999999E-4</v>
      </c>
      <c r="K9251" s="160" t="s">
        <v>24</v>
      </c>
      <c r="L9251" s="154" t="str">
        <f>IF(OpenLCAbasic!K9251="CTUh", "Fill in Manually",IF(OR(K9251="Unit", K9251=""), "", INDEX(LookUps!$E$5:$E$12, MATCH(OpenLCAbasic!K9251,LookUps!$D$5:$D$12,0))))</f>
        <v>Acidification Potential (AP) - kg SO2 eq</v>
      </c>
      <c r="M9251" s="154" t="str">
        <f t="shared" si="758"/>
        <v>Base_High_Base_Upgraded_Acidification Potential (AP) - kg SO2 eq_Gravity Belt Thickener; wastewater treatment unit; at updated plant - US_Base_With Amendment_Aerated Static Pile</v>
      </c>
    </row>
    <row r="9252" spans="1:13" s="120" customFormat="1" x14ac:dyDescent="0.25">
      <c r="A9252" s="119"/>
      <c r="B9252" s="138" t="str">
        <f t="shared" si="759"/>
        <v>Aerated Static Pile</v>
      </c>
      <c r="C9252" s="138" t="str">
        <f t="shared" si="760"/>
        <v>Base_With Amendment</v>
      </c>
      <c r="D9252" s="138" t="str">
        <f t="shared" si="764"/>
        <v>High_Base</v>
      </c>
      <c r="E9252" s="138" t="str">
        <f t="shared" si="761"/>
        <v>Base</v>
      </c>
      <c r="F9252" s="138" t="str">
        <f t="shared" si="762"/>
        <v>Upgraded</v>
      </c>
      <c r="G9252" s="153"/>
      <c r="H9252" s="210">
        <v>4.2999999999999997E-2</v>
      </c>
      <c r="I9252" s="160" t="s">
        <v>59</v>
      </c>
      <c r="J9252" s="160">
        <v>5.1999999999999995E-4</v>
      </c>
      <c r="K9252" s="160" t="s">
        <v>24</v>
      </c>
      <c r="L9252" s="154" t="str">
        <f>IF(OpenLCAbasic!K9252="CTUh", "Fill in Manually",IF(OR(K9252="Unit", K9252=""), "", INDEX(LookUps!$E$5:$E$12, MATCH(OpenLCAbasic!K9252,LookUps!$D$5:$D$12,0))))</f>
        <v>Acidification Potential (AP) - kg SO2 eq</v>
      </c>
      <c r="M9252" s="154" t="str">
        <f t="shared" si="758"/>
        <v>Base_High_Base_Upgraded_Acidification Potential (AP) - kg SO2 eq_Blend Tank; wastewater treatment unit; at updated plant - US_Base_With Amendment_Aerated Static Pile</v>
      </c>
    </row>
    <row r="9253" spans="1:13" s="120" customFormat="1" x14ac:dyDescent="0.25">
      <c r="A9253" s="119"/>
      <c r="B9253" s="138" t="str">
        <f t="shared" si="759"/>
        <v>Aerated Static Pile</v>
      </c>
      <c r="C9253" s="138" t="str">
        <f t="shared" si="760"/>
        <v>Base_With Amendment</v>
      </c>
      <c r="D9253" s="138" t="str">
        <f t="shared" si="764"/>
        <v>High_Base</v>
      </c>
      <c r="E9253" s="138" t="str">
        <f t="shared" si="761"/>
        <v>Base</v>
      </c>
      <c r="F9253" s="138" t="str">
        <f t="shared" si="762"/>
        <v>Upgraded</v>
      </c>
      <c r="G9253" s="153"/>
      <c r="H9253" s="210">
        <v>2.8799999999999999E-2</v>
      </c>
      <c r="I9253" s="160" t="s">
        <v>48</v>
      </c>
      <c r="J9253" s="160">
        <v>3.5E-4</v>
      </c>
      <c r="K9253" s="160" t="s">
        <v>24</v>
      </c>
      <c r="L9253" s="154" t="str">
        <f>IF(OpenLCAbasic!K9253="CTUh", "Fill in Manually",IF(OR(K9253="Unit", K9253=""), "", INDEX(LookUps!$E$5:$E$12, MATCH(OpenLCAbasic!K9253,LookUps!$D$5:$D$12,0))))</f>
        <v>Acidification Potential (AP) - kg SO2 eq</v>
      </c>
      <c r="M9253" s="154" t="str">
        <f t="shared" si="758"/>
        <v>Base_High_Base_Upgraded_Acidification Potential (AP) - kg SO2 eq_Effluent release; wastewater treatment unit; at surface water; m3 wastewater - US_Base_With Amendment_Aerated Static Pile</v>
      </c>
    </row>
    <row r="9254" spans="1:13" s="120" customFormat="1" x14ac:dyDescent="0.25">
      <c r="A9254" s="119"/>
      <c r="B9254" s="138" t="str">
        <f t="shared" si="759"/>
        <v>Aerated Static Pile</v>
      </c>
      <c r="C9254" s="138" t="str">
        <f t="shared" si="760"/>
        <v>Base_With Amendment</v>
      </c>
      <c r="D9254" s="138" t="str">
        <f t="shared" si="764"/>
        <v>High_Base</v>
      </c>
      <c r="E9254" s="138" t="str">
        <f t="shared" si="761"/>
        <v>Base</v>
      </c>
      <c r="F9254" s="138" t="str">
        <f t="shared" si="762"/>
        <v>Upgraded</v>
      </c>
      <c r="G9254" s="153"/>
      <c r="H9254" s="210">
        <v>2.12E-2</v>
      </c>
      <c r="I9254" s="160" t="s">
        <v>168</v>
      </c>
      <c r="J9254" s="160">
        <v>2.5999999999999998E-4</v>
      </c>
      <c r="K9254" s="160" t="s">
        <v>24</v>
      </c>
      <c r="L9254" s="154" t="str">
        <f>IF(OpenLCAbasic!K9254="CTUh", "Fill in Manually",IF(OR(K9254="Unit", K9254=""), "", INDEX(LookUps!$E$5:$E$12, MATCH(OpenLCAbasic!K9254,LookUps!$D$5:$D$12,0))))</f>
        <v>Acidification Potential (AP) - kg SO2 eq</v>
      </c>
      <c r="M9254" s="154" t="str">
        <f t="shared" si="758"/>
        <v>Base_High_Base_Upgraded_Acidification Potential (AP) - kg SO2 eq_ClearCove SCP; wastewater treatment unit; at updated plant - US_Base_With Amendment_Aerated Static Pile</v>
      </c>
    </row>
    <row r="9255" spans="1:13" s="120" customFormat="1" x14ac:dyDescent="0.25">
      <c r="A9255" s="119"/>
      <c r="B9255" s="138" t="str">
        <f t="shared" si="759"/>
        <v>Aerated Static Pile</v>
      </c>
      <c r="C9255" s="138" t="str">
        <f t="shared" si="760"/>
        <v>Base_With Amendment</v>
      </c>
      <c r="D9255" s="138" t="str">
        <f t="shared" si="764"/>
        <v>High_Base</v>
      </c>
      <c r="E9255" s="138" t="str">
        <f t="shared" si="761"/>
        <v>Base</v>
      </c>
      <c r="F9255" s="138" t="str">
        <f t="shared" si="762"/>
        <v>Upgraded</v>
      </c>
      <c r="G9255" s="153"/>
      <c r="H9255" s="210">
        <v>3.3999999999999998E-3</v>
      </c>
      <c r="I9255" s="160" t="s">
        <v>148</v>
      </c>
      <c r="J9255" s="211">
        <v>4.0354700000000002E-5</v>
      </c>
      <c r="K9255" s="160" t="s">
        <v>24</v>
      </c>
      <c r="L9255" s="154" t="str">
        <f>IF(OpenLCAbasic!K9255="CTUh", "Fill in Manually",IF(OR(K9255="Unit", K9255=""), "", INDEX(LookUps!$E$5:$E$12, MATCH(OpenLCAbasic!K9255,LookUps!$D$5:$D$12,0))))</f>
        <v>Acidification Potential (AP) - kg SO2 eq</v>
      </c>
      <c r="M9255" s="154" t="str">
        <f t="shared" si="758"/>
        <v>Base_High_Base_Upgraded_Acidification Potential (AP) - kg SO2 eq_Control Building; at upgraded wastewater treatment plant - US_Base_With Amendment_Aerated Static Pile</v>
      </c>
    </row>
    <row r="9256" spans="1:13" s="120" customFormat="1" x14ac:dyDescent="0.25">
      <c r="A9256" s="119"/>
      <c r="B9256" s="138" t="str">
        <f t="shared" si="759"/>
        <v>Aerated Static Pile</v>
      </c>
      <c r="C9256" s="138" t="str">
        <f t="shared" si="760"/>
        <v>Base_With Amendment</v>
      </c>
      <c r="D9256" s="138" t="str">
        <f t="shared" si="764"/>
        <v>High_Base</v>
      </c>
      <c r="E9256" s="138" t="str">
        <f t="shared" si="761"/>
        <v>Base</v>
      </c>
      <c r="F9256" s="138" t="str">
        <f t="shared" si="762"/>
        <v>Upgraded</v>
      </c>
      <c r="G9256" s="153"/>
      <c r="H9256" s="210">
        <v>-3.7204000000000002</v>
      </c>
      <c r="I9256" s="160" t="s">
        <v>149</v>
      </c>
      <c r="J9256" s="160">
        <v>-4.4699999999999997E-2</v>
      </c>
      <c r="K9256" s="160" t="s">
        <v>24</v>
      </c>
      <c r="L9256" s="154" t="str">
        <f>IF(OpenLCAbasic!K9256="CTUh", "Fill in Manually",IF(OR(K9256="Unit", K9256=""), "", INDEX(LookUps!$E$5:$E$12, MATCH(OpenLCAbasic!K9256,LookUps!$D$5:$D$12,0))))</f>
        <v>Acidification Potential (AP) - kg SO2 eq</v>
      </c>
      <c r="M9256" s="154" t="str">
        <f t="shared" si="758"/>
        <v>Base_High_Base_Upgraded_Acidification Potential (AP) - kg SO2 eq_Anaerobic Digestion; wastewater treatment unit; at updated plant - US_Base_With Amendment_Aerated Static Pile</v>
      </c>
    </row>
    <row r="9257" spans="1:13" s="120" customFormat="1" x14ac:dyDescent="0.25">
      <c r="A9257" s="119"/>
      <c r="B9257" s="138" t="str">
        <f t="shared" si="759"/>
        <v/>
      </c>
      <c r="C9257" s="138" t="str">
        <f t="shared" si="760"/>
        <v/>
      </c>
      <c r="D9257" s="138" t="str">
        <f t="shared" si="764"/>
        <v/>
      </c>
      <c r="E9257" s="138" t="str">
        <f t="shared" si="761"/>
        <v/>
      </c>
      <c r="F9257" s="138" t="str">
        <f t="shared" si="762"/>
        <v/>
      </c>
      <c r="G9257" s="153" t="s">
        <v>51</v>
      </c>
      <c r="H9257" s="160"/>
      <c r="I9257" s="160" t="s">
        <v>47</v>
      </c>
      <c r="J9257" s="160" t="s">
        <v>52</v>
      </c>
      <c r="K9257" s="160" t="s">
        <v>27</v>
      </c>
      <c r="L9257" s="154" t="str">
        <f>IF(OpenLCAbasic!K9257="CTUh", "Fill in Manually",IF(OR(K9257="Unit", K9257=""), "", INDEX(LookUps!$E$5:$E$12, MATCH(OpenLCAbasic!K9257,LookUps!$D$5:$D$12,0))))</f>
        <v/>
      </c>
      <c r="M9257" s="154" t="str">
        <f t="shared" si="758"/>
        <v>____Process__</v>
      </c>
    </row>
    <row r="9258" spans="1:13" s="120" customFormat="1" x14ac:dyDescent="0.25">
      <c r="A9258" s="119"/>
      <c r="B9258" s="138" t="str">
        <f t="shared" si="759"/>
        <v>Aerated Static Pile</v>
      </c>
      <c r="C9258" s="138" t="str">
        <f t="shared" si="760"/>
        <v>Base_With Amendment</v>
      </c>
      <c r="D9258" s="138" t="str">
        <f t="shared" si="764"/>
        <v>High_Base</v>
      </c>
      <c r="E9258" s="138" t="str">
        <f t="shared" si="761"/>
        <v>Base</v>
      </c>
      <c r="F9258" s="138" t="str">
        <f t="shared" si="762"/>
        <v>Upgraded</v>
      </c>
      <c r="G9258" s="153"/>
      <c r="H9258" s="210">
        <v>4.1539999999999999</v>
      </c>
      <c r="I9258" s="160" t="s">
        <v>167</v>
      </c>
      <c r="J9258" s="160">
        <v>5.1393399999999998</v>
      </c>
      <c r="K9258" s="160" t="s">
        <v>15</v>
      </c>
      <c r="L9258" s="154" t="str">
        <f>IF(OpenLCAbasic!K9258="CTUh", "Fill in Manually",IF(OR(K9258="Unit", K9258=""), "", INDEX(LookUps!$E$5:$E$12, MATCH(OpenLCAbasic!K9258,LookUps!$D$5:$D$12,0))))</f>
        <v>Cumulative Energy Demand (CED) - MJ</v>
      </c>
      <c r="M9258" s="154" t="str">
        <f t="shared" si="758"/>
        <v>Base_High_Base_Upgraded_Cumulative Energy Demand (CED) - MJ_Waste Receiving and Holding; wastewater treatment unit; at updated plant - US_Base_With Amendment_Aerated Static Pile</v>
      </c>
    </row>
    <row r="9259" spans="1:13" s="120" customFormat="1" x14ac:dyDescent="0.25">
      <c r="A9259" s="119"/>
      <c r="B9259" s="138" t="str">
        <f t="shared" si="759"/>
        <v>Aerated Static Pile</v>
      </c>
      <c r="C9259" s="138" t="str">
        <f t="shared" si="760"/>
        <v>Base_With Amendment</v>
      </c>
      <c r="D9259" s="138" t="str">
        <f t="shared" si="764"/>
        <v>High_Base</v>
      </c>
      <c r="E9259" s="138" t="str">
        <f t="shared" si="761"/>
        <v>Base</v>
      </c>
      <c r="F9259" s="138" t="str">
        <f t="shared" si="762"/>
        <v>Upgraded</v>
      </c>
      <c r="G9259" s="153"/>
      <c r="H9259" s="210">
        <v>2.8557000000000001</v>
      </c>
      <c r="I9259" s="160" t="s">
        <v>55</v>
      </c>
      <c r="J9259" s="160">
        <v>3.5330499999999998</v>
      </c>
      <c r="K9259" s="160" t="s">
        <v>15</v>
      </c>
      <c r="L9259" s="154" t="str">
        <f>IF(OpenLCAbasic!K9259="CTUh", "Fill in Manually",IF(OR(K9259="Unit", K9259=""), "", INDEX(LookUps!$E$5:$E$12, MATCH(OpenLCAbasic!K9259,LookUps!$D$5:$D$12,0))))</f>
        <v>Cumulative Energy Demand (CED) - MJ</v>
      </c>
      <c r="M9259" s="154" t="str">
        <f t="shared" si="758"/>
        <v>Base_High_Base_Upgraded_Cumulative Energy Demand (CED) - MJ_Aeration Tanks; wastewater treatment unit; at updated plant - US_Base_With Amendment_Aerated Static Pile</v>
      </c>
    </row>
    <row r="9260" spans="1:13" s="120" customFormat="1" x14ac:dyDescent="0.25">
      <c r="A9260" s="119"/>
      <c r="B9260" s="138" t="str">
        <f t="shared" si="759"/>
        <v>Aerated Static Pile</v>
      </c>
      <c r="C9260" s="138" t="str">
        <f t="shared" si="760"/>
        <v>Base_With Amendment</v>
      </c>
      <c r="D9260" s="138" t="str">
        <f t="shared" si="764"/>
        <v>High_Base</v>
      </c>
      <c r="E9260" s="138" t="str">
        <f t="shared" si="761"/>
        <v>Base</v>
      </c>
      <c r="F9260" s="138" t="str">
        <f t="shared" si="762"/>
        <v>Upgraded</v>
      </c>
      <c r="G9260" s="153"/>
      <c r="H9260" s="210">
        <v>1.925</v>
      </c>
      <c r="I9260" s="160" t="s">
        <v>435</v>
      </c>
      <c r="J9260" s="160">
        <v>2.3816099999999998</v>
      </c>
      <c r="K9260" s="160" t="s">
        <v>15</v>
      </c>
      <c r="L9260" s="154" t="str">
        <f>IF(OpenLCAbasic!K9260="CTUh", "Fill in Manually",IF(OR(K9260="Unit", K9260=""), "", INDEX(LookUps!$E$5:$E$12, MATCH(OpenLCAbasic!K9260,LookUps!$D$5:$D$12,0))))</f>
        <v>Cumulative Energy Demand (CED) - MJ</v>
      </c>
      <c r="M9260" s="154" t="str">
        <f t="shared" si="758"/>
        <v>Base_High_Base_Upgraded_Cumulative Energy Demand (CED) - MJ_Biosolids composting; aerated static pile; wastewater treatment unit; at updated plant - US_Base_With Amendment_Aerated Static Pile</v>
      </c>
    </row>
    <row r="9261" spans="1:13" s="120" customFormat="1" x14ac:dyDescent="0.25">
      <c r="A9261" s="119"/>
      <c r="B9261" s="138" t="str">
        <f t="shared" si="759"/>
        <v>Aerated Static Pile</v>
      </c>
      <c r="C9261" s="138" t="str">
        <f t="shared" si="760"/>
        <v>Base_With Amendment</v>
      </c>
      <c r="D9261" s="138" t="str">
        <f t="shared" si="764"/>
        <v>High_Base</v>
      </c>
      <c r="E9261" s="138" t="str">
        <f t="shared" si="761"/>
        <v>Base</v>
      </c>
      <c r="F9261" s="138" t="str">
        <f t="shared" si="762"/>
        <v>Upgraded</v>
      </c>
      <c r="G9261" s="153"/>
      <c r="H9261" s="210">
        <v>0.93989999999999996</v>
      </c>
      <c r="I9261" s="160" t="s">
        <v>54</v>
      </c>
      <c r="J9261" s="160">
        <v>1.16289</v>
      </c>
      <c r="K9261" s="160" t="s">
        <v>15</v>
      </c>
      <c r="L9261" s="154" t="str">
        <f>IF(OpenLCAbasic!K9261="CTUh", "Fill in Manually",IF(OR(K9261="Unit", K9261=""), "", INDEX(LookUps!$E$5:$E$12, MATCH(OpenLCAbasic!K9261,LookUps!$D$5:$D$12,0))))</f>
        <v>Cumulative Energy Demand (CED) - MJ</v>
      </c>
      <c r="M9261" s="154" t="str">
        <f t="shared" si="758"/>
        <v>Base_High_Base_Upgraded_Cumulative Energy Demand (CED) - MJ_Clear Cove Primary Clarification; wastewater treatment unit; at updated plant - US_Base_With Amendment_Aerated Static Pile</v>
      </c>
    </row>
    <row r="9262" spans="1:13" s="120" customFormat="1" x14ac:dyDescent="0.25">
      <c r="A9262" s="119"/>
      <c r="B9262" s="138" t="str">
        <f t="shared" si="759"/>
        <v>Aerated Static Pile</v>
      </c>
      <c r="C9262" s="138" t="str">
        <f t="shared" si="760"/>
        <v>Base_With Amendment</v>
      </c>
      <c r="D9262" s="138" t="str">
        <f t="shared" si="764"/>
        <v>High_Base</v>
      </c>
      <c r="E9262" s="138" t="str">
        <f t="shared" si="761"/>
        <v>Base</v>
      </c>
      <c r="F9262" s="138" t="str">
        <f t="shared" si="762"/>
        <v>Upgraded</v>
      </c>
      <c r="G9262" s="153"/>
      <c r="H9262" s="210">
        <v>0.71989999999999998</v>
      </c>
      <c r="I9262" s="160" t="s">
        <v>58</v>
      </c>
      <c r="J9262" s="160">
        <v>0.89063999999999999</v>
      </c>
      <c r="K9262" s="160" t="s">
        <v>15</v>
      </c>
      <c r="L9262" s="154" t="str">
        <f>IF(OpenLCAbasic!K9262="CTUh", "Fill in Manually",IF(OR(K9262="Unit", K9262=""), "", INDEX(LookUps!$E$5:$E$12, MATCH(OpenLCAbasic!K9262,LookUps!$D$5:$D$12,0))))</f>
        <v>Cumulative Energy Demand (CED) - MJ</v>
      </c>
      <c r="M9262" s="154" t="str">
        <f t="shared" si="758"/>
        <v>Base_High_Base_Upgraded_Cumulative Energy Demand (CED) - MJ_Pre-Anoxic &amp; Swing tank; wastewater treatment unit; at updated plant - US_Base_With Amendment_Aerated Static Pile</v>
      </c>
    </row>
    <row r="9263" spans="1:13" s="120" customFormat="1" x14ac:dyDescent="0.25">
      <c r="A9263" s="119"/>
      <c r="B9263" s="138" t="str">
        <f t="shared" si="759"/>
        <v>Aerated Static Pile</v>
      </c>
      <c r="C9263" s="138" t="str">
        <f t="shared" si="760"/>
        <v>Base_With Amendment</v>
      </c>
      <c r="D9263" s="138" t="str">
        <f t="shared" si="764"/>
        <v>High_Base</v>
      </c>
      <c r="E9263" s="138" t="str">
        <f t="shared" si="761"/>
        <v>Base</v>
      </c>
      <c r="F9263" s="138" t="str">
        <f t="shared" si="762"/>
        <v>Upgraded</v>
      </c>
      <c r="G9263" s="153"/>
      <c r="H9263" s="210">
        <v>0.7137</v>
      </c>
      <c r="I9263" s="160" t="s">
        <v>147</v>
      </c>
      <c r="J9263" s="160">
        <v>0.88297000000000003</v>
      </c>
      <c r="K9263" s="160" t="s">
        <v>15</v>
      </c>
      <c r="L9263" s="154" t="str">
        <f>IF(OpenLCAbasic!K9263="CTUh", "Fill in Manually",IF(OR(K9263="Unit", K9263=""), "", INDEX(LookUps!$E$5:$E$12, MATCH(OpenLCAbasic!K9263,LookUps!$D$5:$D$12,0))))</f>
        <v>Cumulative Energy Demand (CED) - MJ</v>
      </c>
      <c r="M9263" s="154" t="str">
        <f t="shared" si="758"/>
        <v>Base_High_Base_Upgraded_Cumulative Energy Demand (CED) - MJ_Influent Pump Station; wastewater treatment unit; at updated plant - US_Base_With Amendment_Aerated Static Pile</v>
      </c>
    </row>
    <row r="9264" spans="1:13" s="120" customFormat="1" x14ac:dyDescent="0.25">
      <c r="A9264" s="119"/>
      <c r="B9264" s="138" t="str">
        <f t="shared" si="759"/>
        <v>Aerated Static Pile</v>
      </c>
      <c r="C9264" s="138" t="str">
        <f t="shared" si="760"/>
        <v>Base_With Amendment</v>
      </c>
      <c r="D9264" s="138" t="str">
        <f t="shared" si="764"/>
        <v>High_Base</v>
      </c>
      <c r="E9264" s="138" t="str">
        <f t="shared" si="761"/>
        <v>Base</v>
      </c>
      <c r="F9264" s="138" t="str">
        <f t="shared" si="762"/>
        <v>Upgraded</v>
      </c>
      <c r="G9264" s="153"/>
      <c r="H9264" s="210">
        <v>0.56289999999999996</v>
      </c>
      <c r="I9264" s="160" t="s">
        <v>53</v>
      </c>
      <c r="J9264" s="160">
        <v>0.69645000000000001</v>
      </c>
      <c r="K9264" s="160" t="s">
        <v>15</v>
      </c>
      <c r="L9264" s="154" t="str">
        <f>IF(OpenLCAbasic!K9264="CTUh", "Fill in Manually",IF(OR(K9264="Unit", K9264=""), "", INDEX(LookUps!$E$5:$E$12, MATCH(OpenLCAbasic!K9264,LookUps!$D$5:$D$12,0))))</f>
        <v>Cumulative Energy Demand (CED) - MJ</v>
      </c>
      <c r="M9264" s="154" t="str">
        <f t="shared" si="758"/>
        <v>Base_High_Base_Upgraded_Cumulative Energy Demand (CED) - MJ_Wet Well and Sump Station; wastewater treatment unit; at updated plant - US_Base_With Amendment_Aerated Static Pile</v>
      </c>
    </row>
    <row r="9265" spans="1:13" s="120" customFormat="1" x14ac:dyDescent="0.25">
      <c r="A9265" s="119"/>
      <c r="B9265" s="138" t="str">
        <f t="shared" si="759"/>
        <v>Aerated Static Pile</v>
      </c>
      <c r="C9265" s="138" t="str">
        <f t="shared" si="760"/>
        <v>Base_With Amendment</v>
      </c>
      <c r="D9265" s="138" t="str">
        <f t="shared" si="764"/>
        <v>High_Base</v>
      </c>
      <c r="E9265" s="138" t="str">
        <f t="shared" si="761"/>
        <v>Base</v>
      </c>
      <c r="F9265" s="138" t="str">
        <f t="shared" si="762"/>
        <v>Upgraded</v>
      </c>
      <c r="G9265" s="153"/>
      <c r="H9265" s="210">
        <v>0.43990000000000001</v>
      </c>
      <c r="I9265" s="160" t="s">
        <v>60</v>
      </c>
      <c r="J9265" s="160">
        <v>0.54422999999999999</v>
      </c>
      <c r="K9265" s="160" t="s">
        <v>15</v>
      </c>
      <c r="L9265" s="154" t="str">
        <f>IF(OpenLCAbasic!K9265="CTUh", "Fill in Manually",IF(OR(K9265="Unit", K9265=""), "", INDEX(LookUps!$E$5:$E$12, MATCH(OpenLCAbasic!K9265,LookUps!$D$5:$D$12,0))))</f>
        <v>Cumulative Energy Demand (CED) - MJ</v>
      </c>
      <c r="M9265" s="154" t="str">
        <f t="shared" si="758"/>
        <v>Base_High_Base_Upgraded_Cumulative Energy Demand (CED) - MJ_Belt filter press; wastewater treatment unit; at updated plant - US_Base_With Amendment_Aerated Static Pile</v>
      </c>
    </row>
    <row r="9266" spans="1:13" s="120" customFormat="1" x14ac:dyDescent="0.25">
      <c r="A9266" s="119"/>
      <c r="B9266" s="138" t="str">
        <f t="shared" si="759"/>
        <v>Aerated Static Pile</v>
      </c>
      <c r="C9266" s="138" t="str">
        <f t="shared" si="760"/>
        <v>Base_With Amendment</v>
      </c>
      <c r="D9266" s="138" t="str">
        <f t="shared" si="764"/>
        <v>High_Base</v>
      </c>
      <c r="E9266" s="138" t="str">
        <f t="shared" si="761"/>
        <v>Base</v>
      </c>
      <c r="F9266" s="138" t="str">
        <f t="shared" si="762"/>
        <v>Upgraded</v>
      </c>
      <c r="G9266" s="153"/>
      <c r="H9266" s="210">
        <v>0.27</v>
      </c>
      <c r="I9266" s="160" t="s">
        <v>57</v>
      </c>
      <c r="J9266" s="160">
        <v>0.33404</v>
      </c>
      <c r="K9266" s="160" t="s">
        <v>15</v>
      </c>
      <c r="L9266" s="154" t="str">
        <f>IF(OpenLCAbasic!K9266="CTUh", "Fill in Manually",IF(OR(K9266="Unit", K9266=""), "", INDEX(LookUps!$E$5:$E$12, MATCH(OpenLCAbasic!K9266,LookUps!$D$5:$D$12,0))))</f>
        <v>Cumulative Energy Demand (CED) - MJ</v>
      </c>
      <c r="M9266" s="154" t="str">
        <f t="shared" si="758"/>
        <v>Base_High_Base_Upgraded_Cumulative Energy Demand (CED) - MJ_Gravity Belt Thickener; wastewater treatment unit; at updated plant - US_Base_With Amendment_Aerated Static Pile</v>
      </c>
    </row>
    <row r="9267" spans="1:13" s="120" customFormat="1" x14ac:dyDescent="0.25">
      <c r="A9267" s="119"/>
      <c r="B9267" s="138" t="str">
        <f t="shared" si="759"/>
        <v>Aerated Static Pile</v>
      </c>
      <c r="C9267" s="138" t="str">
        <f t="shared" si="760"/>
        <v>Base_With Amendment</v>
      </c>
      <c r="D9267" s="138" t="str">
        <f t="shared" si="764"/>
        <v>High_Base</v>
      </c>
      <c r="E9267" s="138" t="str">
        <f t="shared" si="761"/>
        <v>Base</v>
      </c>
      <c r="F9267" s="138" t="str">
        <f t="shared" si="762"/>
        <v>Upgraded</v>
      </c>
      <c r="G9267" s="153"/>
      <c r="H9267" s="210">
        <v>0.20699999999999999</v>
      </c>
      <c r="I9267" s="160" t="s">
        <v>128</v>
      </c>
      <c r="J9267" s="160">
        <v>0.25606000000000001</v>
      </c>
      <c r="K9267" s="160" t="s">
        <v>15</v>
      </c>
      <c r="L9267" s="154" t="str">
        <f>IF(OpenLCAbasic!K9267="CTUh", "Fill in Manually",IF(OR(K9267="Unit", K9267=""), "", INDEX(LookUps!$E$5:$E$12, MATCH(OpenLCAbasic!K9267,LookUps!$D$5:$D$12,0))))</f>
        <v>Cumulative Energy Demand (CED) - MJ</v>
      </c>
      <c r="M9267" s="154" t="str">
        <f t="shared" ref="M9267:M9330" si="765">CONCATENATE(E9267,"_",D9267,"_",F9267,"_",L9267, "_",I9267,"_", C9267,"_", B9267)</f>
        <v>Base_High_Base_Upgraded_Cumulative Energy Demand (CED) - MJ_Wastewater collection; operation and infrastructure; m3 wastewater_Base_With Amendment_Aerated Static Pile</v>
      </c>
    </row>
    <row r="9268" spans="1:13" s="120" customFormat="1" x14ac:dyDescent="0.25">
      <c r="A9268" s="119"/>
      <c r="B9268" s="138" t="str">
        <f t="shared" si="759"/>
        <v>Aerated Static Pile</v>
      </c>
      <c r="C9268" s="138" t="str">
        <f t="shared" si="760"/>
        <v>Base_With Amendment</v>
      </c>
      <c r="D9268" s="138" t="str">
        <f t="shared" si="764"/>
        <v>High_Base</v>
      </c>
      <c r="E9268" s="138" t="str">
        <f t="shared" si="761"/>
        <v>Base</v>
      </c>
      <c r="F9268" s="138" t="str">
        <f t="shared" si="762"/>
        <v>Upgraded</v>
      </c>
      <c r="G9268" s="153"/>
      <c r="H9268" s="210">
        <v>0.11799999999999999</v>
      </c>
      <c r="I9268" s="160" t="s">
        <v>148</v>
      </c>
      <c r="J9268" s="160">
        <v>0.14599000000000001</v>
      </c>
      <c r="K9268" s="160" t="s">
        <v>15</v>
      </c>
      <c r="L9268" s="154" t="str">
        <f>IF(OpenLCAbasic!K9268="CTUh", "Fill in Manually",IF(OR(K9268="Unit", K9268=""), "", INDEX(LookUps!$E$5:$E$12, MATCH(OpenLCAbasic!K9268,LookUps!$D$5:$D$12,0))))</f>
        <v>Cumulative Energy Demand (CED) - MJ</v>
      </c>
      <c r="M9268" s="154" t="str">
        <f t="shared" si="765"/>
        <v>Base_High_Base_Upgraded_Cumulative Energy Demand (CED) - MJ_Control Building; at upgraded wastewater treatment plant - US_Base_With Amendment_Aerated Static Pile</v>
      </c>
    </row>
    <row r="9269" spans="1:13" s="120" customFormat="1" x14ac:dyDescent="0.25">
      <c r="A9269" s="119"/>
      <c r="B9269" s="138" t="str">
        <f t="shared" si="759"/>
        <v>Aerated Static Pile</v>
      </c>
      <c r="C9269" s="138" t="str">
        <f t="shared" si="760"/>
        <v>Base_With Amendment</v>
      </c>
      <c r="D9269" s="138" t="str">
        <f t="shared" si="764"/>
        <v>High_Base</v>
      </c>
      <c r="E9269" s="138" t="str">
        <f t="shared" si="761"/>
        <v>Base</v>
      </c>
      <c r="F9269" s="138" t="str">
        <f t="shared" si="762"/>
        <v>Upgraded</v>
      </c>
      <c r="G9269" s="153"/>
      <c r="H9269" s="210">
        <v>0.1077</v>
      </c>
      <c r="I9269" s="160" t="s">
        <v>48</v>
      </c>
      <c r="J9269" s="160">
        <v>0.13321</v>
      </c>
      <c r="K9269" s="160" t="s">
        <v>15</v>
      </c>
      <c r="L9269" s="154" t="str">
        <f>IF(OpenLCAbasic!K9269="CTUh", "Fill in Manually",IF(OR(K9269="Unit", K9269=""), "", INDEX(LookUps!$E$5:$E$12, MATCH(OpenLCAbasic!K9269,LookUps!$D$5:$D$12,0))))</f>
        <v>Cumulative Energy Demand (CED) - MJ</v>
      </c>
      <c r="M9269" s="154" t="str">
        <f t="shared" si="765"/>
        <v>Base_High_Base_Upgraded_Cumulative Energy Demand (CED) - MJ_Effluent release; wastewater treatment unit; at surface water; m3 wastewater - US_Base_With Amendment_Aerated Static Pile</v>
      </c>
    </row>
    <row r="9270" spans="1:13" s="120" customFormat="1" x14ac:dyDescent="0.25">
      <c r="A9270" s="119"/>
      <c r="B9270" s="138" t="str">
        <f t="shared" si="759"/>
        <v>Aerated Static Pile</v>
      </c>
      <c r="C9270" s="138" t="str">
        <f t="shared" si="760"/>
        <v>Base_With Amendment</v>
      </c>
      <c r="D9270" s="138" t="str">
        <f t="shared" si="764"/>
        <v>High_Base</v>
      </c>
      <c r="E9270" s="138" t="str">
        <f t="shared" si="761"/>
        <v>Base</v>
      </c>
      <c r="F9270" s="138" t="str">
        <f t="shared" si="762"/>
        <v>Upgraded</v>
      </c>
      <c r="G9270" s="153"/>
      <c r="H9270" s="210">
        <v>8.5999999999999993E-2</v>
      </c>
      <c r="I9270" s="160" t="s">
        <v>59</v>
      </c>
      <c r="J9270" s="160">
        <v>0.10638</v>
      </c>
      <c r="K9270" s="160" t="s">
        <v>15</v>
      </c>
      <c r="L9270" s="154" t="str">
        <f>IF(OpenLCAbasic!K9270="CTUh", "Fill in Manually",IF(OR(K9270="Unit", K9270=""), "", INDEX(LookUps!$E$5:$E$12, MATCH(OpenLCAbasic!K9270,LookUps!$D$5:$D$12,0))))</f>
        <v>Cumulative Energy Demand (CED) - MJ</v>
      </c>
      <c r="M9270" s="154" t="str">
        <f t="shared" si="765"/>
        <v>Base_High_Base_Upgraded_Cumulative Energy Demand (CED) - MJ_Blend Tank; wastewater treatment unit; at updated plant - US_Base_With Amendment_Aerated Static Pile</v>
      </c>
    </row>
    <row r="9271" spans="1:13" s="120" customFormat="1" x14ac:dyDescent="0.25">
      <c r="A9271" s="119"/>
      <c r="B9271" s="138" t="str">
        <f t="shared" si="759"/>
        <v>Aerated Static Pile</v>
      </c>
      <c r="C9271" s="138" t="str">
        <f t="shared" si="760"/>
        <v>Base_With Amendment</v>
      </c>
      <c r="D9271" s="138" t="str">
        <f t="shared" si="764"/>
        <v>High_Base</v>
      </c>
      <c r="E9271" s="138" t="str">
        <f t="shared" si="761"/>
        <v>Base</v>
      </c>
      <c r="F9271" s="138" t="str">
        <f t="shared" si="762"/>
        <v>Upgraded</v>
      </c>
      <c r="G9271" s="153"/>
      <c r="H9271" s="210">
        <v>4.1200000000000001E-2</v>
      </c>
      <c r="I9271" s="160" t="s">
        <v>168</v>
      </c>
      <c r="J9271" s="160">
        <v>5.0930000000000003E-2</v>
      </c>
      <c r="K9271" s="160" t="s">
        <v>15</v>
      </c>
      <c r="L9271" s="154" t="str">
        <f>IF(OpenLCAbasic!K9271="CTUh", "Fill in Manually",IF(OR(K9271="Unit", K9271=""), "", INDEX(LookUps!$E$5:$E$12, MATCH(OpenLCAbasic!K9271,LookUps!$D$5:$D$12,0))))</f>
        <v>Cumulative Energy Demand (CED) - MJ</v>
      </c>
      <c r="M9271" s="154" t="str">
        <f t="shared" si="765"/>
        <v>Base_High_Base_Upgraded_Cumulative Energy Demand (CED) - MJ_ClearCove SCP; wastewater treatment unit; at updated plant - US_Base_With Amendment_Aerated Static Pile</v>
      </c>
    </row>
    <row r="9272" spans="1:13" s="120" customFormat="1" x14ac:dyDescent="0.25">
      <c r="A9272" s="119"/>
      <c r="B9272" s="138" t="str">
        <f t="shared" si="759"/>
        <v>Aerated Static Pile</v>
      </c>
      <c r="C9272" s="138" t="str">
        <f t="shared" si="760"/>
        <v>Base_With Amendment</v>
      </c>
      <c r="D9272" s="138" t="str">
        <f t="shared" si="764"/>
        <v>High_Base</v>
      </c>
      <c r="E9272" s="138" t="str">
        <f t="shared" si="761"/>
        <v>Base</v>
      </c>
      <c r="F9272" s="138" t="str">
        <f t="shared" si="762"/>
        <v>Upgraded</v>
      </c>
      <c r="G9272" s="153"/>
      <c r="H9272" s="210">
        <v>-0.67959999999999998</v>
      </c>
      <c r="I9272" s="160" t="s">
        <v>62</v>
      </c>
      <c r="J9272" s="160">
        <v>-0.84079999999999999</v>
      </c>
      <c r="K9272" s="160" t="s">
        <v>15</v>
      </c>
      <c r="L9272" s="154" t="str">
        <f>IF(OpenLCAbasic!K9272="CTUh", "Fill in Manually",IF(OR(K9272="Unit", K9272=""), "", INDEX(LookUps!$E$5:$E$12, MATCH(OpenLCAbasic!K9272,LookUps!$D$5:$D$12,0))))</f>
        <v>Cumulative Energy Demand (CED) - MJ</v>
      </c>
      <c r="M9272" s="154" t="str">
        <f t="shared" si="765"/>
        <v>Base_High_Base_Upgraded_Cumulative Energy Demand (CED) - MJ_Land application of compost; wastewater treatment unit; at updated plant - US_Base_With Amendment_Aerated Static Pile</v>
      </c>
    </row>
    <row r="9273" spans="1:13" s="120" customFormat="1" x14ac:dyDescent="0.25">
      <c r="A9273" s="119"/>
      <c r="B9273" s="138" t="str">
        <f t="shared" ref="B9273:B9336" si="766">IF(F9273="Legacy","n.a.",IF(F9273="","","Aerated Static Pile"))</f>
        <v>Aerated Static Pile</v>
      </c>
      <c r="C9273" s="138" t="str">
        <f t="shared" ref="C9273:C9336" si="767">IF(ISNUMBER($J9273),"Base_With Amendment","")</f>
        <v>Base_With Amendment</v>
      </c>
      <c r="D9273" s="138" t="str">
        <f t="shared" si="764"/>
        <v>High_Base</v>
      </c>
      <c r="E9273" s="138" t="str">
        <f t="shared" ref="E9273:E9336" si="768">IF(ISNUMBER($J9273),"Base","")</f>
        <v>Base</v>
      </c>
      <c r="F9273" s="138" t="str">
        <f t="shared" ref="F9273:F9336" si="769">IF(ISNUMBER(J9273),"Upgraded","")</f>
        <v>Upgraded</v>
      </c>
      <c r="G9273" s="153"/>
      <c r="H9273" s="210">
        <v>-11.4612</v>
      </c>
      <c r="I9273" s="160" t="s">
        <v>149</v>
      </c>
      <c r="J9273" s="160">
        <v>-14.179790000000001</v>
      </c>
      <c r="K9273" s="160" t="s">
        <v>15</v>
      </c>
      <c r="L9273" s="154" t="str">
        <f>IF(OpenLCAbasic!K9273="CTUh", "Fill in Manually",IF(OR(K9273="Unit", K9273=""), "", INDEX(LookUps!$E$5:$E$12, MATCH(OpenLCAbasic!K9273,LookUps!$D$5:$D$12,0))))</f>
        <v>Cumulative Energy Demand (CED) - MJ</v>
      </c>
      <c r="M9273" s="154" t="str">
        <f t="shared" si="765"/>
        <v>Base_High_Base_Upgraded_Cumulative Energy Demand (CED) - MJ_Anaerobic Digestion; wastewater treatment unit; at updated plant - US_Base_With Amendment_Aerated Static Pile</v>
      </c>
    </row>
    <row r="9274" spans="1:13" s="120" customFormat="1" x14ac:dyDescent="0.25">
      <c r="A9274" s="119"/>
      <c r="B9274" s="138" t="str">
        <f t="shared" si="766"/>
        <v/>
      </c>
      <c r="C9274" s="138" t="str">
        <f t="shared" si="767"/>
        <v/>
      </c>
      <c r="D9274" s="138" t="str">
        <f t="shared" si="764"/>
        <v/>
      </c>
      <c r="E9274" s="138" t="str">
        <f t="shared" si="768"/>
        <v/>
      </c>
      <c r="F9274" s="138" t="str">
        <f t="shared" si="769"/>
        <v/>
      </c>
      <c r="G9274" s="153" t="s">
        <v>51</v>
      </c>
      <c r="H9274" s="160"/>
      <c r="I9274" s="160" t="s">
        <v>47</v>
      </c>
      <c r="J9274" s="160" t="s">
        <v>52</v>
      </c>
      <c r="K9274" s="160" t="s">
        <v>27</v>
      </c>
      <c r="L9274" s="154" t="str">
        <f>IF(OpenLCAbasic!K9274="CTUh", "Fill in Manually",IF(OR(K9274="Unit", K9274=""), "", INDEX(LookUps!$E$5:$E$12, MATCH(OpenLCAbasic!K9274,LookUps!$D$5:$D$12,0))))</f>
        <v/>
      </c>
      <c r="M9274" s="154" t="str">
        <f t="shared" si="765"/>
        <v>____Process__</v>
      </c>
    </row>
    <row r="9275" spans="1:13" s="120" customFormat="1" x14ac:dyDescent="0.25">
      <c r="A9275" s="119"/>
      <c r="B9275" s="138" t="str">
        <f t="shared" si="766"/>
        <v>Aerated Static Pile</v>
      </c>
      <c r="C9275" s="138" t="str">
        <f t="shared" si="767"/>
        <v>Base_With Amendment</v>
      </c>
      <c r="D9275" s="138" t="str">
        <f t="shared" si="764"/>
        <v>High_Base</v>
      </c>
      <c r="E9275" s="138" t="str">
        <f t="shared" si="768"/>
        <v>Base</v>
      </c>
      <c r="F9275" s="138" t="str">
        <f t="shared" si="769"/>
        <v>Upgraded</v>
      </c>
      <c r="G9275" s="153"/>
      <c r="H9275" s="210">
        <v>0.71560000000000001</v>
      </c>
      <c r="I9275" s="160" t="s">
        <v>48</v>
      </c>
      <c r="J9275" s="160">
        <v>1.1610000000000001E-2</v>
      </c>
      <c r="K9275" s="160" t="s">
        <v>13</v>
      </c>
      <c r="L9275" s="154" t="str">
        <f>IF(OpenLCAbasic!K9275="CTUh", "Fill in Manually",IF(OR(K9275="Unit", K9275=""), "", INDEX(LookUps!$E$5:$E$12, MATCH(OpenLCAbasic!K9275,LookUps!$D$5:$D$12,0))))</f>
        <v>Eutrophication Potential (EP) - kg N eq</v>
      </c>
      <c r="M9275" s="154" t="str">
        <f t="shared" si="765"/>
        <v>Base_High_Base_Upgraded_Eutrophication Potential (EP) - kg N eq_Effluent release; wastewater treatment unit; at surface water; m3 wastewater - US_Base_With Amendment_Aerated Static Pile</v>
      </c>
    </row>
    <row r="9276" spans="1:13" s="120" customFormat="1" x14ac:dyDescent="0.25">
      <c r="A9276" s="119"/>
      <c r="B9276" s="138" t="str">
        <f t="shared" si="766"/>
        <v>Aerated Static Pile</v>
      </c>
      <c r="C9276" s="138" t="str">
        <f t="shared" si="767"/>
        <v>Base_With Amendment</v>
      </c>
      <c r="D9276" s="138" t="str">
        <f t="shared" si="764"/>
        <v>High_Base</v>
      </c>
      <c r="E9276" s="138" t="str">
        <f t="shared" si="768"/>
        <v>Base</v>
      </c>
      <c r="F9276" s="138" t="str">
        <f t="shared" si="769"/>
        <v>Upgraded</v>
      </c>
      <c r="G9276" s="153"/>
      <c r="H9276" s="210">
        <v>0.23980000000000001</v>
      </c>
      <c r="I9276" s="160" t="s">
        <v>62</v>
      </c>
      <c r="J9276" s="160">
        <v>3.8899999999999998E-3</v>
      </c>
      <c r="K9276" s="160" t="s">
        <v>13</v>
      </c>
      <c r="L9276" s="154" t="str">
        <f>IF(OpenLCAbasic!K9276="CTUh", "Fill in Manually",IF(OR(K9276="Unit", K9276=""), "", INDEX(LookUps!$E$5:$E$12, MATCH(OpenLCAbasic!K9276,LookUps!$D$5:$D$12,0))))</f>
        <v>Eutrophication Potential (EP) - kg N eq</v>
      </c>
      <c r="M9276" s="154" t="str">
        <f t="shared" si="765"/>
        <v>Base_High_Base_Upgraded_Eutrophication Potential (EP) - kg N eq_Land application of compost; wastewater treatment unit; at updated plant - US_Base_With Amendment_Aerated Static Pile</v>
      </c>
    </row>
    <row r="9277" spans="1:13" s="120" customFormat="1" x14ac:dyDescent="0.25">
      <c r="A9277" s="119"/>
      <c r="B9277" s="138" t="str">
        <f t="shared" si="766"/>
        <v>Aerated Static Pile</v>
      </c>
      <c r="C9277" s="138" t="str">
        <f t="shared" si="767"/>
        <v>Base_With Amendment</v>
      </c>
      <c r="D9277" s="138" t="str">
        <f t="shared" si="764"/>
        <v>High_Base</v>
      </c>
      <c r="E9277" s="138" t="str">
        <f t="shared" si="768"/>
        <v>Base</v>
      </c>
      <c r="F9277" s="138" t="str">
        <f t="shared" si="769"/>
        <v>Upgraded</v>
      </c>
      <c r="G9277" s="153"/>
      <c r="H9277" s="210">
        <v>3.3700000000000001E-2</v>
      </c>
      <c r="I9277" s="160" t="s">
        <v>55</v>
      </c>
      <c r="J9277" s="160">
        <v>5.5000000000000003E-4</v>
      </c>
      <c r="K9277" s="160" t="s">
        <v>13</v>
      </c>
      <c r="L9277" s="154" t="str">
        <f>IF(OpenLCAbasic!K9277="CTUh", "Fill in Manually",IF(OR(K9277="Unit", K9277=""), "", INDEX(LookUps!$E$5:$E$12, MATCH(OpenLCAbasic!K9277,LookUps!$D$5:$D$12,0))))</f>
        <v>Eutrophication Potential (EP) - kg N eq</v>
      </c>
      <c r="M9277" s="154" t="str">
        <f t="shared" si="765"/>
        <v>Base_High_Base_Upgraded_Eutrophication Potential (EP) - kg N eq_Aeration Tanks; wastewater treatment unit; at updated plant - US_Base_With Amendment_Aerated Static Pile</v>
      </c>
    </row>
    <row r="9278" spans="1:13" s="120" customFormat="1" x14ac:dyDescent="0.25">
      <c r="A9278" s="119"/>
      <c r="B9278" s="138" t="str">
        <f t="shared" si="766"/>
        <v>Aerated Static Pile</v>
      </c>
      <c r="C9278" s="138" t="str">
        <f t="shared" si="767"/>
        <v>Base_With Amendment</v>
      </c>
      <c r="D9278" s="138" t="str">
        <f t="shared" si="764"/>
        <v>High_Base</v>
      </c>
      <c r="E9278" s="138" t="str">
        <f t="shared" si="768"/>
        <v>Base</v>
      </c>
      <c r="F9278" s="138" t="str">
        <f t="shared" si="769"/>
        <v>Upgraded</v>
      </c>
      <c r="G9278" s="153"/>
      <c r="H9278" s="210">
        <v>2.4199999999999999E-2</v>
      </c>
      <c r="I9278" s="160" t="s">
        <v>435</v>
      </c>
      <c r="J9278" s="160">
        <v>3.8999999999999999E-4</v>
      </c>
      <c r="K9278" s="160" t="s">
        <v>13</v>
      </c>
      <c r="L9278" s="154" t="str">
        <f>IF(OpenLCAbasic!K9278="CTUh", "Fill in Manually",IF(OR(K9278="Unit", K9278=""), "", INDEX(LookUps!$E$5:$E$12, MATCH(OpenLCAbasic!K9278,LookUps!$D$5:$D$12,0))))</f>
        <v>Eutrophication Potential (EP) - kg N eq</v>
      </c>
      <c r="M9278" s="154" t="str">
        <f t="shared" si="765"/>
        <v>Base_High_Base_Upgraded_Eutrophication Potential (EP) - kg N eq_Biosolids composting; aerated static pile; wastewater treatment unit; at updated plant - US_Base_With Amendment_Aerated Static Pile</v>
      </c>
    </row>
    <row r="9279" spans="1:13" s="120" customFormat="1" x14ac:dyDescent="0.25">
      <c r="A9279" s="119"/>
      <c r="B9279" s="138" t="str">
        <f t="shared" si="766"/>
        <v>Aerated Static Pile</v>
      </c>
      <c r="C9279" s="138" t="str">
        <f t="shared" si="767"/>
        <v>Base_With Amendment</v>
      </c>
      <c r="D9279" s="138" t="str">
        <f t="shared" si="764"/>
        <v>High_Base</v>
      </c>
      <c r="E9279" s="138" t="str">
        <f t="shared" si="768"/>
        <v>Base</v>
      </c>
      <c r="F9279" s="138" t="str">
        <f t="shared" si="769"/>
        <v>Upgraded</v>
      </c>
      <c r="G9279" s="153"/>
      <c r="H9279" s="210">
        <v>1.54E-2</v>
      </c>
      <c r="I9279" s="160" t="s">
        <v>147</v>
      </c>
      <c r="J9279" s="160">
        <v>2.5000000000000001E-4</v>
      </c>
      <c r="K9279" s="160" t="s">
        <v>13</v>
      </c>
      <c r="L9279" s="154" t="str">
        <f>IF(OpenLCAbasic!K9279="CTUh", "Fill in Manually",IF(OR(K9279="Unit", K9279=""), "", INDEX(LookUps!$E$5:$E$12, MATCH(OpenLCAbasic!K9279,LookUps!$D$5:$D$12,0))))</f>
        <v>Eutrophication Potential (EP) - kg N eq</v>
      </c>
      <c r="M9279" s="154" t="str">
        <f t="shared" si="765"/>
        <v>Base_High_Base_Upgraded_Eutrophication Potential (EP) - kg N eq_Influent Pump Station; wastewater treatment unit; at updated plant - US_Base_With Amendment_Aerated Static Pile</v>
      </c>
    </row>
    <row r="9280" spans="1:13" s="120" customFormat="1" x14ac:dyDescent="0.25">
      <c r="A9280" s="119"/>
      <c r="B9280" s="138" t="str">
        <f t="shared" si="766"/>
        <v>Aerated Static Pile</v>
      </c>
      <c r="C9280" s="138" t="str">
        <f t="shared" si="767"/>
        <v>Base_With Amendment</v>
      </c>
      <c r="D9280" s="138" t="str">
        <f t="shared" si="764"/>
        <v>High_Base</v>
      </c>
      <c r="E9280" s="138" t="str">
        <f t="shared" si="768"/>
        <v>Base</v>
      </c>
      <c r="F9280" s="138" t="str">
        <f t="shared" si="769"/>
        <v>Upgraded</v>
      </c>
      <c r="G9280" s="153"/>
      <c r="H9280" s="210">
        <v>1.3599999999999999E-2</v>
      </c>
      <c r="I9280" s="160" t="s">
        <v>167</v>
      </c>
      <c r="J9280" s="160">
        <v>2.2000000000000001E-4</v>
      </c>
      <c r="K9280" s="160" t="s">
        <v>13</v>
      </c>
      <c r="L9280" s="154" t="str">
        <f>IF(OpenLCAbasic!K9280="CTUh", "Fill in Manually",IF(OR(K9280="Unit", K9280=""), "", INDEX(LookUps!$E$5:$E$12, MATCH(OpenLCAbasic!K9280,LookUps!$D$5:$D$12,0))))</f>
        <v>Eutrophication Potential (EP) - kg N eq</v>
      </c>
      <c r="M9280" s="154" t="str">
        <f t="shared" si="765"/>
        <v>Base_High_Base_Upgraded_Eutrophication Potential (EP) - kg N eq_Waste Receiving and Holding; wastewater treatment unit; at updated plant - US_Base_With Amendment_Aerated Static Pile</v>
      </c>
    </row>
    <row r="9281" spans="1:13" s="120" customFormat="1" x14ac:dyDescent="0.25">
      <c r="A9281" s="119"/>
      <c r="B9281" s="138" t="str">
        <f t="shared" si="766"/>
        <v>Aerated Static Pile</v>
      </c>
      <c r="C9281" s="138" t="str">
        <f t="shared" si="767"/>
        <v>Base_With Amendment</v>
      </c>
      <c r="D9281" s="138" t="str">
        <f t="shared" si="764"/>
        <v>High_Base</v>
      </c>
      <c r="E9281" s="138" t="str">
        <f t="shared" si="768"/>
        <v>Base</v>
      </c>
      <c r="F9281" s="138" t="str">
        <f t="shared" si="769"/>
        <v>Upgraded</v>
      </c>
      <c r="G9281" s="153"/>
      <c r="H9281" s="210">
        <v>1.2200000000000001E-2</v>
      </c>
      <c r="I9281" s="160" t="s">
        <v>54</v>
      </c>
      <c r="J9281" s="160">
        <v>2.0000000000000001E-4</v>
      </c>
      <c r="K9281" s="160" t="s">
        <v>13</v>
      </c>
      <c r="L9281" s="154" t="str">
        <f>IF(OpenLCAbasic!K9281="CTUh", "Fill in Manually",IF(OR(K9281="Unit", K9281=""), "", INDEX(LookUps!$E$5:$E$12, MATCH(OpenLCAbasic!K9281,LookUps!$D$5:$D$12,0))))</f>
        <v>Eutrophication Potential (EP) - kg N eq</v>
      </c>
      <c r="M9281" s="154" t="str">
        <f t="shared" si="765"/>
        <v>Base_High_Base_Upgraded_Eutrophication Potential (EP) - kg N eq_Clear Cove Primary Clarification; wastewater treatment unit; at updated plant - US_Base_With Amendment_Aerated Static Pile</v>
      </c>
    </row>
    <row r="9282" spans="1:13" s="120" customFormat="1" x14ac:dyDescent="0.25">
      <c r="A9282" s="119"/>
      <c r="B9282" s="138" t="str">
        <f t="shared" si="766"/>
        <v>Aerated Static Pile</v>
      </c>
      <c r="C9282" s="138" t="str">
        <f t="shared" si="767"/>
        <v>Base_With Amendment</v>
      </c>
      <c r="D9282" s="138" t="str">
        <f t="shared" si="764"/>
        <v>High_Base</v>
      </c>
      <c r="E9282" s="138" t="str">
        <f t="shared" si="768"/>
        <v>Base</v>
      </c>
      <c r="F9282" s="138" t="str">
        <f t="shared" si="769"/>
        <v>Upgraded</v>
      </c>
      <c r="G9282" s="153"/>
      <c r="H9282" s="210">
        <v>8.3999999999999995E-3</v>
      </c>
      <c r="I9282" s="160" t="s">
        <v>58</v>
      </c>
      <c r="J9282" s="160">
        <v>1.3999999999999999E-4</v>
      </c>
      <c r="K9282" s="160" t="s">
        <v>13</v>
      </c>
      <c r="L9282" s="154" t="str">
        <f>IF(OpenLCAbasic!K9282="CTUh", "Fill in Manually",IF(OR(K9282="Unit", K9282=""), "", INDEX(LookUps!$E$5:$E$12, MATCH(OpenLCAbasic!K9282,LookUps!$D$5:$D$12,0))))</f>
        <v>Eutrophication Potential (EP) - kg N eq</v>
      </c>
      <c r="M9282" s="154" t="str">
        <f t="shared" si="765"/>
        <v>Base_High_Base_Upgraded_Eutrophication Potential (EP) - kg N eq_Pre-Anoxic &amp; Swing tank; wastewater treatment unit; at updated plant - US_Base_With Amendment_Aerated Static Pile</v>
      </c>
    </row>
    <row r="9283" spans="1:13" s="120" customFormat="1" x14ac:dyDescent="0.25">
      <c r="A9283" s="119"/>
      <c r="B9283" s="138" t="str">
        <f t="shared" si="766"/>
        <v>Aerated Static Pile</v>
      </c>
      <c r="C9283" s="138" t="str">
        <f t="shared" si="767"/>
        <v>Base_With Amendment</v>
      </c>
      <c r="D9283" s="138" t="str">
        <f t="shared" si="764"/>
        <v>High_Base</v>
      </c>
      <c r="E9283" s="138" t="str">
        <f t="shared" si="768"/>
        <v>Base</v>
      </c>
      <c r="F9283" s="138" t="str">
        <f t="shared" si="769"/>
        <v>Upgraded</v>
      </c>
      <c r="G9283" s="153"/>
      <c r="H9283" s="210">
        <v>6.6E-3</v>
      </c>
      <c r="I9283" s="160" t="s">
        <v>53</v>
      </c>
      <c r="J9283" s="160">
        <v>1.1E-4</v>
      </c>
      <c r="K9283" s="160" t="s">
        <v>13</v>
      </c>
      <c r="L9283" s="154" t="str">
        <f>IF(OpenLCAbasic!K9283="CTUh", "Fill in Manually",IF(OR(K9283="Unit", K9283=""), "", INDEX(LookUps!$E$5:$E$12, MATCH(OpenLCAbasic!K9283,LookUps!$D$5:$D$12,0))))</f>
        <v>Eutrophication Potential (EP) - kg N eq</v>
      </c>
      <c r="M9283" s="154" t="str">
        <f t="shared" si="765"/>
        <v>Base_High_Base_Upgraded_Eutrophication Potential (EP) - kg N eq_Wet Well and Sump Station; wastewater treatment unit; at updated plant - US_Base_With Amendment_Aerated Static Pile</v>
      </c>
    </row>
    <row r="9284" spans="1:13" s="120" customFormat="1" x14ac:dyDescent="0.25">
      <c r="A9284" s="119"/>
      <c r="B9284" s="138" t="str">
        <f t="shared" si="766"/>
        <v>Aerated Static Pile</v>
      </c>
      <c r="C9284" s="138" t="str">
        <f t="shared" si="767"/>
        <v>Base_With Amendment</v>
      </c>
      <c r="D9284" s="138" t="str">
        <f t="shared" si="764"/>
        <v>High_Base</v>
      </c>
      <c r="E9284" s="138" t="str">
        <f t="shared" si="768"/>
        <v>Base</v>
      </c>
      <c r="F9284" s="138" t="str">
        <f t="shared" si="769"/>
        <v>Upgraded</v>
      </c>
      <c r="G9284" s="153"/>
      <c r="H9284" s="210">
        <v>5.8999999999999999E-3</v>
      </c>
      <c r="I9284" s="160" t="s">
        <v>60</v>
      </c>
      <c r="J9284" s="211">
        <v>9.5601799999999997E-5</v>
      </c>
      <c r="K9284" s="160" t="s">
        <v>13</v>
      </c>
      <c r="L9284" s="154" t="str">
        <f>IF(OpenLCAbasic!K9284="CTUh", "Fill in Manually",IF(OR(K9284="Unit", K9284=""), "", INDEX(LookUps!$E$5:$E$12, MATCH(OpenLCAbasic!K9284,LookUps!$D$5:$D$12,0))))</f>
        <v>Eutrophication Potential (EP) - kg N eq</v>
      </c>
      <c r="M9284" s="154" t="str">
        <f t="shared" si="765"/>
        <v>Base_High_Base_Upgraded_Eutrophication Potential (EP) - kg N eq_Belt filter press; wastewater treatment unit; at updated plant - US_Base_With Amendment_Aerated Static Pile</v>
      </c>
    </row>
    <row r="9285" spans="1:13" s="120" customFormat="1" x14ac:dyDescent="0.25">
      <c r="A9285" s="119"/>
      <c r="B9285" s="138" t="str">
        <f t="shared" si="766"/>
        <v>Aerated Static Pile</v>
      </c>
      <c r="C9285" s="138" t="str">
        <f t="shared" si="767"/>
        <v>Base_With Amendment</v>
      </c>
      <c r="D9285" s="138" t="str">
        <f t="shared" si="764"/>
        <v>High_Base</v>
      </c>
      <c r="E9285" s="138" t="str">
        <f t="shared" si="768"/>
        <v>Base</v>
      </c>
      <c r="F9285" s="138" t="str">
        <f t="shared" si="769"/>
        <v>Upgraded</v>
      </c>
      <c r="G9285" s="153"/>
      <c r="H9285" s="210">
        <v>3.7000000000000002E-3</v>
      </c>
      <c r="I9285" s="160" t="s">
        <v>57</v>
      </c>
      <c r="J9285" s="211">
        <v>6.0590300000000002E-5</v>
      </c>
      <c r="K9285" s="160" t="s">
        <v>13</v>
      </c>
      <c r="L9285" s="154" t="str">
        <f>IF(OpenLCAbasic!K9285="CTUh", "Fill in Manually",IF(OR(K9285="Unit", K9285=""), "", INDEX(LookUps!$E$5:$E$12, MATCH(OpenLCAbasic!K9285,LookUps!$D$5:$D$12,0))))</f>
        <v>Eutrophication Potential (EP) - kg N eq</v>
      </c>
      <c r="M9285" s="154" t="str">
        <f t="shared" si="765"/>
        <v>Base_High_Base_Upgraded_Eutrophication Potential (EP) - kg N eq_Gravity Belt Thickener; wastewater treatment unit; at updated plant - US_Base_With Amendment_Aerated Static Pile</v>
      </c>
    </row>
    <row r="9286" spans="1:13" s="120" customFormat="1" x14ac:dyDescent="0.25">
      <c r="A9286" s="119"/>
      <c r="B9286" s="138" t="str">
        <f t="shared" si="766"/>
        <v>Aerated Static Pile</v>
      </c>
      <c r="C9286" s="138" t="str">
        <f t="shared" si="767"/>
        <v>Base_With Amendment</v>
      </c>
      <c r="D9286" s="138" t="str">
        <f t="shared" si="764"/>
        <v>High_Base</v>
      </c>
      <c r="E9286" s="138" t="str">
        <f t="shared" si="768"/>
        <v>Base</v>
      </c>
      <c r="F9286" s="138" t="str">
        <f t="shared" si="769"/>
        <v>Upgraded</v>
      </c>
      <c r="G9286" s="153"/>
      <c r="H9286" s="210">
        <v>2.3E-3</v>
      </c>
      <c r="I9286" s="160" t="s">
        <v>128</v>
      </c>
      <c r="J9286" s="211">
        <v>3.7559799999999999E-5</v>
      </c>
      <c r="K9286" s="160" t="s">
        <v>13</v>
      </c>
      <c r="L9286" s="154" t="str">
        <f>IF(OpenLCAbasic!K9286="CTUh", "Fill in Manually",IF(OR(K9286="Unit", K9286=""), "", INDEX(LookUps!$E$5:$E$12, MATCH(OpenLCAbasic!K9286,LookUps!$D$5:$D$12,0))))</f>
        <v>Eutrophication Potential (EP) - kg N eq</v>
      </c>
      <c r="M9286" s="154" t="str">
        <f t="shared" si="765"/>
        <v>Base_High_Base_Upgraded_Eutrophication Potential (EP) - kg N eq_Wastewater collection; operation and infrastructure; m3 wastewater_Base_With Amendment_Aerated Static Pile</v>
      </c>
    </row>
    <row r="9287" spans="1:13" s="120" customFormat="1" x14ac:dyDescent="0.25">
      <c r="A9287" s="119"/>
      <c r="B9287" s="138" t="str">
        <f t="shared" si="766"/>
        <v>Aerated Static Pile</v>
      </c>
      <c r="C9287" s="138" t="str">
        <f t="shared" si="767"/>
        <v>Base_With Amendment</v>
      </c>
      <c r="D9287" s="138" t="str">
        <f t="shared" si="764"/>
        <v>High_Base</v>
      </c>
      <c r="E9287" s="138" t="str">
        <f t="shared" si="768"/>
        <v>Base</v>
      </c>
      <c r="F9287" s="138" t="str">
        <f t="shared" si="769"/>
        <v>Upgraded</v>
      </c>
      <c r="G9287" s="153"/>
      <c r="H9287" s="210">
        <v>2.3E-3</v>
      </c>
      <c r="I9287" s="160" t="s">
        <v>148</v>
      </c>
      <c r="J9287" s="211">
        <v>3.6874600000000001E-5</v>
      </c>
      <c r="K9287" s="160" t="s">
        <v>13</v>
      </c>
      <c r="L9287" s="154" t="str">
        <f>IF(OpenLCAbasic!K9287="CTUh", "Fill in Manually",IF(OR(K9287="Unit", K9287=""), "", INDEX(LookUps!$E$5:$E$12, MATCH(OpenLCAbasic!K9287,LookUps!$D$5:$D$12,0))))</f>
        <v>Eutrophication Potential (EP) - kg N eq</v>
      </c>
      <c r="M9287" s="154" t="str">
        <f t="shared" si="765"/>
        <v>Base_High_Base_Upgraded_Eutrophication Potential (EP) - kg N eq_Control Building; at upgraded wastewater treatment plant - US_Base_With Amendment_Aerated Static Pile</v>
      </c>
    </row>
    <row r="9288" spans="1:13" s="120" customFormat="1" x14ac:dyDescent="0.25">
      <c r="A9288" s="119"/>
      <c r="B9288" s="138" t="str">
        <f t="shared" si="766"/>
        <v>Aerated Static Pile</v>
      </c>
      <c r="C9288" s="138" t="str">
        <f t="shared" si="767"/>
        <v>Base_With Amendment</v>
      </c>
      <c r="D9288" s="138" t="str">
        <f t="shared" si="764"/>
        <v>High_Base</v>
      </c>
      <c r="E9288" s="138" t="str">
        <f t="shared" si="768"/>
        <v>Base</v>
      </c>
      <c r="F9288" s="138" t="str">
        <f t="shared" si="769"/>
        <v>Upgraded</v>
      </c>
      <c r="G9288" s="153"/>
      <c r="H9288" s="210">
        <v>1E-3</v>
      </c>
      <c r="I9288" s="160" t="s">
        <v>59</v>
      </c>
      <c r="J9288" s="211">
        <v>1.6215700000000001E-5</v>
      </c>
      <c r="K9288" s="160" t="s">
        <v>13</v>
      </c>
      <c r="L9288" s="154" t="str">
        <f>IF(OpenLCAbasic!K9288="CTUh", "Fill in Manually",IF(OR(K9288="Unit", K9288=""), "", INDEX(LookUps!$E$5:$E$12, MATCH(OpenLCAbasic!K9288,LookUps!$D$5:$D$12,0))))</f>
        <v>Eutrophication Potential (EP) - kg N eq</v>
      </c>
      <c r="M9288" s="154" t="str">
        <f t="shared" si="765"/>
        <v>Base_High_Base_Upgraded_Eutrophication Potential (EP) - kg N eq_Blend Tank; wastewater treatment unit; at updated plant - US_Base_With Amendment_Aerated Static Pile</v>
      </c>
    </row>
    <row r="9289" spans="1:13" s="120" customFormat="1" x14ac:dyDescent="0.25">
      <c r="A9289" s="119"/>
      <c r="B9289" s="138" t="str">
        <f t="shared" si="766"/>
        <v>Aerated Static Pile</v>
      </c>
      <c r="C9289" s="138" t="str">
        <f t="shared" si="767"/>
        <v>Base_With Amendment</v>
      </c>
      <c r="D9289" s="138" t="str">
        <f t="shared" si="764"/>
        <v>High_Base</v>
      </c>
      <c r="E9289" s="138" t="str">
        <f t="shared" si="768"/>
        <v>Base</v>
      </c>
      <c r="F9289" s="138" t="str">
        <f t="shared" si="769"/>
        <v>Upgraded</v>
      </c>
      <c r="G9289" s="153"/>
      <c r="H9289" s="210">
        <v>5.0000000000000001E-4</v>
      </c>
      <c r="I9289" s="160" t="s">
        <v>168</v>
      </c>
      <c r="J9289" s="211">
        <v>7.7567199999999995E-6</v>
      </c>
      <c r="K9289" s="160" t="s">
        <v>13</v>
      </c>
      <c r="L9289" s="154" t="str">
        <f>IF(OpenLCAbasic!K9289="CTUh", "Fill in Manually",IF(OR(K9289="Unit", K9289=""), "", INDEX(LookUps!$E$5:$E$12, MATCH(OpenLCAbasic!K9289,LookUps!$D$5:$D$12,0))))</f>
        <v>Eutrophication Potential (EP) - kg N eq</v>
      </c>
      <c r="M9289" s="154" t="str">
        <f t="shared" si="765"/>
        <v>Base_High_Base_Upgraded_Eutrophication Potential (EP) - kg N eq_ClearCove SCP; wastewater treatment unit; at updated plant - US_Base_With Amendment_Aerated Static Pile</v>
      </c>
    </row>
    <row r="9290" spans="1:13" s="120" customFormat="1" x14ac:dyDescent="0.25">
      <c r="A9290" s="119"/>
      <c r="B9290" s="138" t="str">
        <f t="shared" si="766"/>
        <v>Aerated Static Pile</v>
      </c>
      <c r="C9290" s="138" t="str">
        <f t="shared" si="767"/>
        <v>Base_With Amendment</v>
      </c>
      <c r="D9290" s="138" t="str">
        <f t="shared" si="764"/>
        <v>High_Base</v>
      </c>
      <c r="E9290" s="138" t="str">
        <f t="shared" si="768"/>
        <v>Base</v>
      </c>
      <c r="F9290" s="138" t="str">
        <f t="shared" si="769"/>
        <v>Upgraded</v>
      </c>
      <c r="G9290" s="153"/>
      <c r="H9290" s="210">
        <v>-8.5199999999999998E-2</v>
      </c>
      <c r="I9290" s="160" t="s">
        <v>149</v>
      </c>
      <c r="J9290" s="160">
        <v>-1.3799999999999999E-3</v>
      </c>
      <c r="K9290" s="160" t="s">
        <v>13</v>
      </c>
      <c r="L9290" s="154" t="str">
        <f>IF(OpenLCAbasic!K9290="CTUh", "Fill in Manually",IF(OR(K9290="Unit", K9290=""), "", INDEX(LookUps!$E$5:$E$12, MATCH(OpenLCAbasic!K9290,LookUps!$D$5:$D$12,0))))</f>
        <v>Eutrophication Potential (EP) - kg N eq</v>
      </c>
      <c r="M9290" s="154" t="str">
        <f t="shared" si="765"/>
        <v>Base_High_Base_Upgraded_Eutrophication Potential (EP) - kg N eq_Anaerobic Digestion; wastewater treatment unit; at updated plant - US_Base_With Amendment_Aerated Static Pile</v>
      </c>
    </row>
    <row r="9291" spans="1:13" s="120" customFormat="1" x14ac:dyDescent="0.25">
      <c r="A9291" s="119"/>
      <c r="B9291" s="138" t="str">
        <f t="shared" si="766"/>
        <v/>
      </c>
      <c r="C9291" s="138" t="str">
        <f t="shared" si="767"/>
        <v/>
      </c>
      <c r="D9291" s="138" t="str">
        <f t="shared" si="764"/>
        <v/>
      </c>
      <c r="E9291" s="138" t="str">
        <f t="shared" si="768"/>
        <v/>
      </c>
      <c r="F9291" s="138" t="str">
        <f t="shared" si="769"/>
        <v/>
      </c>
      <c r="G9291" s="153" t="s">
        <v>51</v>
      </c>
      <c r="H9291" s="160"/>
      <c r="I9291" s="160" t="s">
        <v>47</v>
      </c>
      <c r="J9291" s="160" t="s">
        <v>52</v>
      </c>
      <c r="K9291" s="160" t="s">
        <v>27</v>
      </c>
      <c r="L9291" s="154" t="str">
        <f>IF(OpenLCAbasic!K9291="CTUh", "Fill in Manually",IF(OR(K9291="Unit", K9291=""), "", INDEX(LookUps!$E$5:$E$12, MATCH(OpenLCAbasic!K9291,LookUps!$D$5:$D$12,0))))</f>
        <v/>
      </c>
      <c r="M9291" s="154" t="str">
        <f t="shared" si="765"/>
        <v>____Process__</v>
      </c>
    </row>
    <row r="9292" spans="1:13" s="120" customFormat="1" x14ac:dyDescent="0.25">
      <c r="A9292" s="119"/>
      <c r="B9292" s="138" t="str">
        <f t="shared" si="766"/>
        <v>Aerated Static Pile</v>
      </c>
      <c r="C9292" s="138" t="str">
        <f t="shared" si="767"/>
        <v>Base_With Amendment</v>
      </c>
      <c r="D9292" s="138" t="str">
        <f t="shared" si="764"/>
        <v>High_Base</v>
      </c>
      <c r="E9292" s="138" t="str">
        <f t="shared" si="768"/>
        <v>Base</v>
      </c>
      <c r="F9292" s="138" t="str">
        <f t="shared" si="769"/>
        <v>Upgraded</v>
      </c>
      <c r="G9292" s="153"/>
      <c r="H9292" s="210">
        <v>5.3266</v>
      </c>
      <c r="I9292" s="160" t="s">
        <v>167</v>
      </c>
      <c r="J9292" s="160">
        <v>0.11719</v>
      </c>
      <c r="K9292" s="160" t="s">
        <v>14</v>
      </c>
      <c r="L9292" s="154" t="str">
        <f>IF(OpenLCAbasic!K9292="CTUh", "Fill in Manually",IF(OR(K9292="Unit", K9292=""), "", INDEX(LookUps!$E$5:$E$12, MATCH(OpenLCAbasic!K9292,LookUps!$D$5:$D$12,0))))</f>
        <v>Fossil Depletion Potential (FDP) - kg oil eq</v>
      </c>
      <c r="M9292" s="154" t="str">
        <f t="shared" si="765"/>
        <v>Base_High_Base_Upgraded_Fossil Depletion Potential (FDP) - kg oil eq_Waste Receiving and Holding; wastewater treatment unit; at updated plant - US_Base_With Amendment_Aerated Static Pile</v>
      </c>
    </row>
    <row r="9293" spans="1:13" s="120" customFormat="1" x14ac:dyDescent="0.25">
      <c r="A9293" s="119"/>
      <c r="B9293" s="138" t="str">
        <f t="shared" si="766"/>
        <v>Aerated Static Pile</v>
      </c>
      <c r="C9293" s="138" t="str">
        <f t="shared" si="767"/>
        <v>Base_With Amendment</v>
      </c>
      <c r="D9293" s="138" t="str">
        <f t="shared" si="764"/>
        <v>High_Base</v>
      </c>
      <c r="E9293" s="138" t="str">
        <f t="shared" si="768"/>
        <v>Base</v>
      </c>
      <c r="F9293" s="138" t="str">
        <f t="shared" si="769"/>
        <v>Upgraded</v>
      </c>
      <c r="G9293" s="153"/>
      <c r="H9293" s="210">
        <v>2.8904000000000001</v>
      </c>
      <c r="I9293" s="160" t="s">
        <v>55</v>
      </c>
      <c r="J9293" s="160">
        <v>6.3589999999999994E-2</v>
      </c>
      <c r="K9293" s="160" t="s">
        <v>14</v>
      </c>
      <c r="L9293" s="154" t="str">
        <f>IF(OpenLCAbasic!K9293="CTUh", "Fill in Manually",IF(OR(K9293="Unit", K9293=""), "", INDEX(LookUps!$E$5:$E$12, MATCH(OpenLCAbasic!K9293,LookUps!$D$5:$D$12,0))))</f>
        <v>Fossil Depletion Potential (FDP) - kg oil eq</v>
      </c>
      <c r="M9293" s="154" t="str">
        <f t="shared" si="765"/>
        <v>Base_High_Base_Upgraded_Fossil Depletion Potential (FDP) - kg oil eq_Aeration Tanks; wastewater treatment unit; at updated plant - US_Base_With Amendment_Aerated Static Pile</v>
      </c>
    </row>
    <row r="9294" spans="1:13" s="120" customFormat="1" x14ac:dyDescent="0.25">
      <c r="A9294" s="119"/>
      <c r="B9294" s="138" t="str">
        <f t="shared" si="766"/>
        <v>Aerated Static Pile</v>
      </c>
      <c r="C9294" s="138" t="str">
        <f t="shared" si="767"/>
        <v>Base_With Amendment</v>
      </c>
      <c r="D9294" s="138" t="str">
        <f t="shared" si="764"/>
        <v>High_Base</v>
      </c>
      <c r="E9294" s="138" t="str">
        <f t="shared" si="768"/>
        <v>Base</v>
      </c>
      <c r="F9294" s="138" t="str">
        <f t="shared" si="769"/>
        <v>Upgraded</v>
      </c>
      <c r="G9294" s="153"/>
      <c r="H9294" s="210">
        <v>1.9505999999999999</v>
      </c>
      <c r="I9294" s="160" t="s">
        <v>435</v>
      </c>
      <c r="J9294" s="160">
        <v>4.292E-2</v>
      </c>
      <c r="K9294" s="160" t="s">
        <v>14</v>
      </c>
      <c r="L9294" s="154" t="str">
        <f>IF(OpenLCAbasic!K9294="CTUh", "Fill in Manually",IF(OR(K9294="Unit", K9294=""), "", INDEX(LookUps!$E$5:$E$12, MATCH(OpenLCAbasic!K9294,LookUps!$D$5:$D$12,0))))</f>
        <v>Fossil Depletion Potential (FDP) - kg oil eq</v>
      </c>
      <c r="M9294" s="154" t="str">
        <f t="shared" si="765"/>
        <v>Base_High_Base_Upgraded_Fossil Depletion Potential (FDP) - kg oil eq_Biosolids composting; aerated static pile; wastewater treatment unit; at updated plant - US_Base_With Amendment_Aerated Static Pile</v>
      </c>
    </row>
    <row r="9295" spans="1:13" s="120" customFormat="1" x14ac:dyDescent="0.25">
      <c r="A9295" s="119"/>
      <c r="B9295" s="138" t="str">
        <f t="shared" si="766"/>
        <v>Aerated Static Pile</v>
      </c>
      <c r="C9295" s="138" t="str">
        <f t="shared" si="767"/>
        <v>Base_With Amendment</v>
      </c>
      <c r="D9295" s="138" t="str">
        <f t="shared" si="764"/>
        <v>High_Base</v>
      </c>
      <c r="E9295" s="138" t="str">
        <f t="shared" si="768"/>
        <v>Base</v>
      </c>
      <c r="F9295" s="138" t="str">
        <f t="shared" si="769"/>
        <v>Upgraded</v>
      </c>
      <c r="G9295" s="153"/>
      <c r="H9295" s="210">
        <v>0.95679999999999998</v>
      </c>
      <c r="I9295" s="160" t="s">
        <v>54</v>
      </c>
      <c r="J9295" s="160">
        <v>2.1049999999999999E-2</v>
      </c>
      <c r="K9295" s="160" t="s">
        <v>14</v>
      </c>
      <c r="L9295" s="154" t="str">
        <f>IF(OpenLCAbasic!K9295="CTUh", "Fill in Manually",IF(OR(K9295="Unit", K9295=""), "", INDEX(LookUps!$E$5:$E$12, MATCH(OpenLCAbasic!K9295,LookUps!$D$5:$D$12,0))))</f>
        <v>Fossil Depletion Potential (FDP) - kg oil eq</v>
      </c>
      <c r="M9295" s="154" t="str">
        <f t="shared" si="765"/>
        <v>Base_High_Base_Upgraded_Fossil Depletion Potential (FDP) - kg oil eq_Clear Cove Primary Clarification; wastewater treatment unit; at updated plant - US_Base_With Amendment_Aerated Static Pile</v>
      </c>
    </row>
    <row r="9296" spans="1:13" s="120" customFormat="1" x14ac:dyDescent="0.25">
      <c r="A9296" s="119"/>
      <c r="B9296" s="138" t="str">
        <f t="shared" si="766"/>
        <v>Aerated Static Pile</v>
      </c>
      <c r="C9296" s="138" t="str">
        <f t="shared" si="767"/>
        <v>Base_With Amendment</v>
      </c>
      <c r="D9296" s="138" t="str">
        <f t="shared" si="764"/>
        <v>High_Base</v>
      </c>
      <c r="E9296" s="138" t="str">
        <f t="shared" si="768"/>
        <v>Base</v>
      </c>
      <c r="F9296" s="138" t="str">
        <f t="shared" si="769"/>
        <v>Upgraded</v>
      </c>
      <c r="G9296" s="153"/>
      <c r="H9296" s="210">
        <v>0.72909999999999997</v>
      </c>
      <c r="I9296" s="160" t="s">
        <v>58</v>
      </c>
      <c r="J9296" s="160">
        <v>1.6039999999999999E-2</v>
      </c>
      <c r="K9296" s="160" t="s">
        <v>14</v>
      </c>
      <c r="L9296" s="154" t="str">
        <f>IF(OpenLCAbasic!K9296="CTUh", "Fill in Manually",IF(OR(K9296="Unit", K9296=""), "", INDEX(LookUps!$E$5:$E$12, MATCH(OpenLCAbasic!K9296,LookUps!$D$5:$D$12,0))))</f>
        <v>Fossil Depletion Potential (FDP) - kg oil eq</v>
      </c>
      <c r="M9296" s="154" t="str">
        <f t="shared" si="765"/>
        <v>Base_High_Base_Upgraded_Fossil Depletion Potential (FDP) - kg oil eq_Pre-Anoxic &amp; Swing tank; wastewater treatment unit; at updated plant - US_Base_With Amendment_Aerated Static Pile</v>
      </c>
    </row>
    <row r="9297" spans="1:13" s="120" customFormat="1" x14ac:dyDescent="0.25">
      <c r="A9297" s="119"/>
      <c r="B9297" s="138" t="str">
        <f t="shared" si="766"/>
        <v>Aerated Static Pile</v>
      </c>
      <c r="C9297" s="138" t="str">
        <f t="shared" si="767"/>
        <v>Base_With Amendment</v>
      </c>
      <c r="D9297" s="138" t="str">
        <f t="shared" si="764"/>
        <v>High_Base</v>
      </c>
      <c r="E9297" s="138" t="str">
        <f t="shared" si="768"/>
        <v>Base</v>
      </c>
      <c r="F9297" s="138" t="str">
        <f t="shared" si="769"/>
        <v>Upgraded</v>
      </c>
      <c r="G9297" s="153"/>
      <c r="H9297" s="210">
        <v>0.68579999999999997</v>
      </c>
      <c r="I9297" s="160" t="s">
        <v>147</v>
      </c>
      <c r="J9297" s="160">
        <v>1.5089999999999999E-2</v>
      </c>
      <c r="K9297" s="160" t="s">
        <v>14</v>
      </c>
      <c r="L9297" s="154" t="str">
        <f>IF(OpenLCAbasic!K9297="CTUh", "Fill in Manually",IF(OR(K9297="Unit", K9297=""), "", INDEX(LookUps!$E$5:$E$12, MATCH(OpenLCAbasic!K9297,LookUps!$D$5:$D$12,0))))</f>
        <v>Fossil Depletion Potential (FDP) - kg oil eq</v>
      </c>
      <c r="M9297" s="154" t="str">
        <f t="shared" si="765"/>
        <v>Base_High_Base_Upgraded_Fossil Depletion Potential (FDP) - kg oil eq_Influent Pump Station; wastewater treatment unit; at updated plant - US_Base_With Amendment_Aerated Static Pile</v>
      </c>
    </row>
    <row r="9298" spans="1:13" s="120" customFormat="1" x14ac:dyDescent="0.25">
      <c r="A9298" s="119"/>
      <c r="B9298" s="138" t="str">
        <f t="shared" si="766"/>
        <v>Aerated Static Pile</v>
      </c>
      <c r="C9298" s="138" t="str">
        <f t="shared" si="767"/>
        <v>Base_With Amendment</v>
      </c>
      <c r="D9298" s="138" t="str">
        <f t="shared" si="764"/>
        <v>High_Base</v>
      </c>
      <c r="E9298" s="138" t="str">
        <f t="shared" si="768"/>
        <v>Base</v>
      </c>
      <c r="F9298" s="138" t="str">
        <f t="shared" si="769"/>
        <v>Upgraded</v>
      </c>
      <c r="G9298" s="153"/>
      <c r="H9298" s="210">
        <v>0.56769999999999998</v>
      </c>
      <c r="I9298" s="160" t="s">
        <v>53</v>
      </c>
      <c r="J9298" s="160">
        <v>1.2489999999999999E-2</v>
      </c>
      <c r="K9298" s="160" t="s">
        <v>14</v>
      </c>
      <c r="L9298" s="154" t="str">
        <f>IF(OpenLCAbasic!K9298="CTUh", "Fill in Manually",IF(OR(K9298="Unit", K9298=""), "", INDEX(LookUps!$E$5:$E$12, MATCH(OpenLCAbasic!K9298,LookUps!$D$5:$D$12,0))))</f>
        <v>Fossil Depletion Potential (FDP) - kg oil eq</v>
      </c>
      <c r="M9298" s="154" t="str">
        <f t="shared" si="765"/>
        <v>Base_High_Base_Upgraded_Fossil Depletion Potential (FDP) - kg oil eq_Wet Well and Sump Station; wastewater treatment unit; at updated plant - US_Base_With Amendment_Aerated Static Pile</v>
      </c>
    </row>
    <row r="9299" spans="1:13" s="120" customFormat="1" x14ac:dyDescent="0.25">
      <c r="A9299" s="119"/>
      <c r="B9299" s="138" t="str">
        <f t="shared" si="766"/>
        <v>Aerated Static Pile</v>
      </c>
      <c r="C9299" s="138" t="str">
        <f t="shared" si="767"/>
        <v>Base_With Amendment</v>
      </c>
      <c r="D9299" s="138" t="str">
        <f t="shared" si="764"/>
        <v>High_Base</v>
      </c>
      <c r="E9299" s="138" t="str">
        <f t="shared" si="768"/>
        <v>Base</v>
      </c>
      <c r="F9299" s="138" t="str">
        <f t="shared" si="769"/>
        <v>Upgraded</v>
      </c>
      <c r="G9299" s="153"/>
      <c r="H9299" s="210">
        <v>0.49880000000000002</v>
      </c>
      <c r="I9299" s="160" t="s">
        <v>60</v>
      </c>
      <c r="J9299" s="160">
        <v>1.0970000000000001E-2</v>
      </c>
      <c r="K9299" s="160" t="s">
        <v>14</v>
      </c>
      <c r="L9299" s="154" t="str">
        <f>IF(OpenLCAbasic!K9299="CTUh", "Fill in Manually",IF(OR(K9299="Unit", K9299=""), "", INDEX(LookUps!$E$5:$E$12, MATCH(OpenLCAbasic!K9299,LookUps!$D$5:$D$12,0))))</f>
        <v>Fossil Depletion Potential (FDP) - kg oil eq</v>
      </c>
      <c r="M9299" s="154" t="str">
        <f t="shared" si="765"/>
        <v>Base_High_Base_Upgraded_Fossil Depletion Potential (FDP) - kg oil eq_Belt filter press; wastewater treatment unit; at updated plant - US_Base_With Amendment_Aerated Static Pile</v>
      </c>
    </row>
    <row r="9300" spans="1:13" s="120" customFormat="1" x14ac:dyDescent="0.25">
      <c r="A9300" s="119"/>
      <c r="B9300" s="138" t="str">
        <f t="shared" si="766"/>
        <v>Aerated Static Pile</v>
      </c>
      <c r="C9300" s="138" t="str">
        <f t="shared" si="767"/>
        <v>Base_With Amendment</v>
      </c>
      <c r="D9300" s="138" t="str">
        <f t="shared" si="764"/>
        <v>High_Base</v>
      </c>
      <c r="E9300" s="138" t="str">
        <f t="shared" si="768"/>
        <v>Base</v>
      </c>
      <c r="F9300" s="138" t="str">
        <f t="shared" si="769"/>
        <v>Upgraded</v>
      </c>
      <c r="G9300" s="153"/>
      <c r="H9300" s="210">
        <v>0.31440000000000001</v>
      </c>
      <c r="I9300" s="160" t="s">
        <v>57</v>
      </c>
      <c r="J9300" s="160">
        <v>6.9199999999999999E-3</v>
      </c>
      <c r="K9300" s="160" t="s">
        <v>14</v>
      </c>
      <c r="L9300" s="154" t="str">
        <f>IF(OpenLCAbasic!K9300="CTUh", "Fill in Manually",IF(OR(K9300="Unit", K9300=""), "", INDEX(LookUps!$E$5:$E$12, MATCH(OpenLCAbasic!K9300,LookUps!$D$5:$D$12,0))))</f>
        <v>Fossil Depletion Potential (FDP) - kg oil eq</v>
      </c>
      <c r="M9300" s="154" t="str">
        <f t="shared" si="765"/>
        <v>Base_High_Base_Upgraded_Fossil Depletion Potential (FDP) - kg oil eq_Gravity Belt Thickener; wastewater treatment unit; at updated plant - US_Base_With Amendment_Aerated Static Pile</v>
      </c>
    </row>
    <row r="9301" spans="1:13" s="120" customFormat="1" x14ac:dyDescent="0.25">
      <c r="A9301" s="119"/>
      <c r="B9301" s="138" t="str">
        <f t="shared" si="766"/>
        <v>Aerated Static Pile</v>
      </c>
      <c r="C9301" s="138" t="str">
        <f t="shared" si="767"/>
        <v>Base_With Amendment</v>
      </c>
      <c r="D9301" s="138" t="str">
        <f t="shared" si="764"/>
        <v>High_Base</v>
      </c>
      <c r="E9301" s="138" t="str">
        <f t="shared" si="768"/>
        <v>Base</v>
      </c>
      <c r="F9301" s="138" t="str">
        <f t="shared" si="769"/>
        <v>Upgraded</v>
      </c>
      <c r="G9301" s="153"/>
      <c r="H9301" s="210">
        <v>0.20449999999999999</v>
      </c>
      <c r="I9301" s="160" t="s">
        <v>128</v>
      </c>
      <c r="J9301" s="160">
        <v>4.4999999999999997E-3</v>
      </c>
      <c r="K9301" s="160" t="s">
        <v>14</v>
      </c>
      <c r="L9301" s="154" t="str">
        <f>IF(OpenLCAbasic!K9301="CTUh", "Fill in Manually",IF(OR(K9301="Unit", K9301=""), "", INDEX(LookUps!$E$5:$E$12, MATCH(OpenLCAbasic!K9301,LookUps!$D$5:$D$12,0))))</f>
        <v>Fossil Depletion Potential (FDP) - kg oil eq</v>
      </c>
      <c r="M9301" s="154" t="str">
        <f t="shared" si="765"/>
        <v>Base_High_Base_Upgraded_Fossil Depletion Potential (FDP) - kg oil eq_Wastewater collection; operation and infrastructure; m3 wastewater_Base_With Amendment_Aerated Static Pile</v>
      </c>
    </row>
    <row r="9302" spans="1:13" s="120" customFormat="1" x14ac:dyDescent="0.25">
      <c r="A9302" s="119"/>
      <c r="B9302" s="138" t="str">
        <f t="shared" si="766"/>
        <v>Aerated Static Pile</v>
      </c>
      <c r="C9302" s="138" t="str">
        <f t="shared" si="767"/>
        <v>Base_With Amendment</v>
      </c>
      <c r="D9302" s="138" t="str">
        <f t="shared" si="764"/>
        <v>High_Base</v>
      </c>
      <c r="E9302" s="138" t="str">
        <f t="shared" si="768"/>
        <v>Base</v>
      </c>
      <c r="F9302" s="138" t="str">
        <f t="shared" si="769"/>
        <v>Upgraded</v>
      </c>
      <c r="G9302" s="153"/>
      <c r="H9302" s="210">
        <v>0.12720000000000001</v>
      </c>
      <c r="I9302" s="160" t="s">
        <v>148</v>
      </c>
      <c r="J9302" s="160">
        <v>2.8E-3</v>
      </c>
      <c r="K9302" s="160" t="s">
        <v>14</v>
      </c>
      <c r="L9302" s="154" t="str">
        <f>IF(OpenLCAbasic!K9302="CTUh", "Fill in Manually",IF(OR(K9302="Unit", K9302=""), "", INDEX(LookUps!$E$5:$E$12, MATCH(OpenLCAbasic!K9302,LookUps!$D$5:$D$12,0))))</f>
        <v>Fossil Depletion Potential (FDP) - kg oil eq</v>
      </c>
      <c r="M9302" s="154" t="str">
        <f t="shared" si="765"/>
        <v>Base_High_Base_Upgraded_Fossil Depletion Potential (FDP) - kg oil eq_Control Building; at upgraded wastewater treatment plant - US_Base_With Amendment_Aerated Static Pile</v>
      </c>
    </row>
    <row r="9303" spans="1:13" s="120" customFormat="1" x14ac:dyDescent="0.25">
      <c r="A9303" s="119"/>
      <c r="B9303" s="138" t="str">
        <f t="shared" si="766"/>
        <v>Aerated Static Pile</v>
      </c>
      <c r="C9303" s="138" t="str">
        <f t="shared" si="767"/>
        <v>Base_With Amendment</v>
      </c>
      <c r="D9303" s="138" t="str">
        <f t="shared" si="764"/>
        <v>High_Base</v>
      </c>
      <c r="E9303" s="138" t="str">
        <f t="shared" si="768"/>
        <v>Base</v>
      </c>
      <c r="F9303" s="138" t="str">
        <f t="shared" si="769"/>
        <v>Upgraded</v>
      </c>
      <c r="G9303" s="153"/>
      <c r="H9303" s="210">
        <v>0.1074</v>
      </c>
      <c r="I9303" s="160" t="s">
        <v>48</v>
      </c>
      <c r="J9303" s="160">
        <v>2.3600000000000001E-3</v>
      </c>
      <c r="K9303" s="160" t="s">
        <v>14</v>
      </c>
      <c r="L9303" s="154" t="str">
        <f>IF(OpenLCAbasic!K9303="CTUh", "Fill in Manually",IF(OR(K9303="Unit", K9303=""), "", INDEX(LookUps!$E$5:$E$12, MATCH(OpenLCAbasic!K9303,LookUps!$D$5:$D$12,0))))</f>
        <v>Fossil Depletion Potential (FDP) - kg oil eq</v>
      </c>
      <c r="M9303" s="154" t="str">
        <f t="shared" si="765"/>
        <v>Base_High_Base_Upgraded_Fossil Depletion Potential (FDP) - kg oil eq_Effluent release; wastewater treatment unit; at surface water; m3 wastewater - US_Base_With Amendment_Aerated Static Pile</v>
      </c>
    </row>
    <row r="9304" spans="1:13" s="120" customFormat="1" x14ac:dyDescent="0.25">
      <c r="A9304" s="119"/>
      <c r="B9304" s="138" t="str">
        <f t="shared" si="766"/>
        <v>Aerated Static Pile</v>
      </c>
      <c r="C9304" s="138" t="str">
        <f t="shared" si="767"/>
        <v>Base_With Amendment</v>
      </c>
      <c r="D9304" s="138" t="str">
        <f t="shared" si="764"/>
        <v>High_Base</v>
      </c>
      <c r="E9304" s="138" t="str">
        <f t="shared" si="768"/>
        <v>Base</v>
      </c>
      <c r="F9304" s="138" t="str">
        <f t="shared" si="769"/>
        <v>Upgraded</v>
      </c>
      <c r="G9304" s="153"/>
      <c r="H9304" s="210">
        <v>8.7300000000000003E-2</v>
      </c>
      <c r="I9304" s="160" t="s">
        <v>59</v>
      </c>
      <c r="J9304" s="160">
        <v>1.92E-3</v>
      </c>
      <c r="K9304" s="160" t="s">
        <v>14</v>
      </c>
      <c r="L9304" s="154" t="str">
        <f>IF(OpenLCAbasic!K9304="CTUh", "Fill in Manually",IF(OR(K9304="Unit", K9304=""), "", INDEX(LookUps!$E$5:$E$12, MATCH(OpenLCAbasic!K9304,LookUps!$D$5:$D$12,0))))</f>
        <v>Fossil Depletion Potential (FDP) - kg oil eq</v>
      </c>
      <c r="M9304" s="154" t="str">
        <f t="shared" si="765"/>
        <v>Base_High_Base_Upgraded_Fossil Depletion Potential (FDP) - kg oil eq_Blend Tank; wastewater treatment unit; at updated plant - US_Base_With Amendment_Aerated Static Pile</v>
      </c>
    </row>
    <row r="9305" spans="1:13" s="120" customFormat="1" x14ac:dyDescent="0.25">
      <c r="A9305" s="119"/>
      <c r="B9305" s="138" t="str">
        <f t="shared" si="766"/>
        <v>Aerated Static Pile</v>
      </c>
      <c r="C9305" s="138" t="str">
        <f t="shared" si="767"/>
        <v>Base_With Amendment</v>
      </c>
      <c r="D9305" s="138" t="str">
        <f t="shared" ref="D9305:D9368" si="770">IF(ISNUMBER($J9305),"High_Base","")</f>
        <v>High_Base</v>
      </c>
      <c r="E9305" s="138" t="str">
        <f t="shared" si="768"/>
        <v>Base</v>
      </c>
      <c r="F9305" s="138" t="str">
        <f t="shared" si="769"/>
        <v>Upgraded</v>
      </c>
      <c r="G9305" s="153"/>
      <c r="H9305" s="210">
        <v>4.1599999999999998E-2</v>
      </c>
      <c r="I9305" s="160" t="s">
        <v>168</v>
      </c>
      <c r="J9305" s="160">
        <v>9.1E-4</v>
      </c>
      <c r="K9305" s="160" t="s">
        <v>14</v>
      </c>
      <c r="L9305" s="154" t="str">
        <f>IF(OpenLCAbasic!K9305="CTUh", "Fill in Manually",IF(OR(K9305="Unit", K9305=""), "", INDEX(LookUps!$E$5:$E$12, MATCH(OpenLCAbasic!K9305,LookUps!$D$5:$D$12,0))))</f>
        <v>Fossil Depletion Potential (FDP) - kg oil eq</v>
      </c>
      <c r="M9305" s="154" t="str">
        <f t="shared" si="765"/>
        <v>Base_High_Base_Upgraded_Fossil Depletion Potential (FDP) - kg oil eq_ClearCove SCP; wastewater treatment unit; at updated plant - US_Base_With Amendment_Aerated Static Pile</v>
      </c>
    </row>
    <row r="9306" spans="1:13" s="120" customFormat="1" x14ac:dyDescent="0.25">
      <c r="A9306" s="119"/>
      <c r="B9306" s="138" t="str">
        <f t="shared" si="766"/>
        <v>Aerated Static Pile</v>
      </c>
      <c r="C9306" s="138" t="str">
        <f t="shared" si="767"/>
        <v>Base_With Amendment</v>
      </c>
      <c r="D9306" s="138" t="str">
        <f t="shared" si="770"/>
        <v>High_Base</v>
      </c>
      <c r="E9306" s="138" t="str">
        <f t="shared" si="768"/>
        <v>Base</v>
      </c>
      <c r="F9306" s="138" t="str">
        <f t="shared" si="769"/>
        <v>Upgraded</v>
      </c>
      <c r="G9306" s="153"/>
      <c r="H9306" s="210">
        <v>-0.53169999999999995</v>
      </c>
      <c r="I9306" s="160" t="s">
        <v>62</v>
      </c>
      <c r="J9306" s="160">
        <v>-1.17E-2</v>
      </c>
      <c r="K9306" s="160" t="s">
        <v>14</v>
      </c>
      <c r="L9306" s="154" t="str">
        <f>IF(OpenLCAbasic!K9306="CTUh", "Fill in Manually",IF(OR(K9306="Unit", K9306=""), "", INDEX(LookUps!$E$5:$E$12, MATCH(OpenLCAbasic!K9306,LookUps!$D$5:$D$12,0))))</f>
        <v>Fossil Depletion Potential (FDP) - kg oil eq</v>
      </c>
      <c r="M9306" s="154" t="str">
        <f t="shared" si="765"/>
        <v>Base_High_Base_Upgraded_Fossil Depletion Potential (FDP) - kg oil eq_Land application of compost; wastewater treatment unit; at updated plant - US_Base_With Amendment_Aerated Static Pile</v>
      </c>
    </row>
    <row r="9307" spans="1:13" s="120" customFormat="1" x14ac:dyDescent="0.25">
      <c r="A9307" s="119"/>
      <c r="B9307" s="138" t="str">
        <f t="shared" si="766"/>
        <v>Aerated Static Pile</v>
      </c>
      <c r="C9307" s="138" t="str">
        <f t="shared" si="767"/>
        <v>Base_With Amendment</v>
      </c>
      <c r="D9307" s="138" t="str">
        <f t="shared" si="770"/>
        <v>High_Base</v>
      </c>
      <c r="E9307" s="138" t="str">
        <f t="shared" si="768"/>
        <v>Base</v>
      </c>
      <c r="F9307" s="138" t="str">
        <f t="shared" si="769"/>
        <v>Upgraded</v>
      </c>
      <c r="G9307" s="153"/>
      <c r="H9307" s="210">
        <v>-12.956300000000001</v>
      </c>
      <c r="I9307" s="160" t="s">
        <v>149</v>
      </c>
      <c r="J9307" s="160">
        <v>-0.28505000000000003</v>
      </c>
      <c r="K9307" s="160" t="s">
        <v>14</v>
      </c>
      <c r="L9307" s="154" t="str">
        <f>IF(OpenLCAbasic!K9307="CTUh", "Fill in Manually",IF(OR(K9307="Unit", K9307=""), "", INDEX(LookUps!$E$5:$E$12, MATCH(OpenLCAbasic!K9307,LookUps!$D$5:$D$12,0))))</f>
        <v>Fossil Depletion Potential (FDP) - kg oil eq</v>
      </c>
      <c r="M9307" s="154" t="str">
        <f t="shared" si="765"/>
        <v>Base_High_Base_Upgraded_Fossil Depletion Potential (FDP) - kg oil eq_Anaerobic Digestion; wastewater treatment unit; at updated plant - US_Base_With Amendment_Aerated Static Pile</v>
      </c>
    </row>
    <row r="9308" spans="1:13" s="120" customFormat="1" x14ac:dyDescent="0.25">
      <c r="A9308" s="119"/>
      <c r="B9308" s="138" t="str">
        <f t="shared" si="766"/>
        <v/>
      </c>
      <c r="C9308" s="138" t="str">
        <f t="shared" si="767"/>
        <v/>
      </c>
      <c r="D9308" s="138" t="str">
        <f t="shared" si="770"/>
        <v/>
      </c>
      <c r="E9308" s="138" t="str">
        <f t="shared" si="768"/>
        <v/>
      </c>
      <c r="F9308" s="138" t="str">
        <f t="shared" si="769"/>
        <v/>
      </c>
      <c r="G9308" s="153" t="s">
        <v>51</v>
      </c>
      <c r="H9308" s="160"/>
      <c r="I9308" s="160" t="s">
        <v>47</v>
      </c>
      <c r="J9308" s="160" t="s">
        <v>52</v>
      </c>
      <c r="K9308" s="160" t="s">
        <v>27</v>
      </c>
      <c r="L9308" s="154" t="str">
        <f>IF(OpenLCAbasic!K9308="CTUh", "Fill in Manually",IF(OR(K9308="Unit", K9308=""), "", INDEX(LookUps!$E$5:$E$12, MATCH(OpenLCAbasic!K9308,LookUps!$D$5:$D$12,0))))</f>
        <v/>
      </c>
      <c r="M9308" s="154" t="str">
        <f t="shared" si="765"/>
        <v>____Process__</v>
      </c>
    </row>
    <row r="9309" spans="1:13" s="120" customFormat="1" x14ac:dyDescent="0.25">
      <c r="A9309" s="119"/>
      <c r="B9309" s="138" t="str">
        <f t="shared" si="766"/>
        <v>Aerated Static Pile</v>
      </c>
      <c r="C9309" s="138" t="str">
        <f t="shared" si="767"/>
        <v>Base_With Amendment</v>
      </c>
      <c r="D9309" s="138" t="str">
        <f t="shared" si="770"/>
        <v>High_Base</v>
      </c>
      <c r="E9309" s="138" t="str">
        <f t="shared" si="768"/>
        <v>Base</v>
      </c>
      <c r="F9309" s="138" t="str">
        <f t="shared" si="769"/>
        <v>Upgraded</v>
      </c>
      <c r="G9309" s="153"/>
      <c r="H9309" s="210">
        <v>2.7513999999999998</v>
      </c>
      <c r="I9309" s="160" t="s">
        <v>435</v>
      </c>
      <c r="J9309" s="160">
        <v>1.0055400000000001</v>
      </c>
      <c r="K9309" s="160" t="s">
        <v>23</v>
      </c>
      <c r="L9309" s="154" t="str">
        <f>IF(OpenLCAbasic!K9309="CTUh", "Fill in Manually",IF(OR(K9309="Unit", K9309=""), "", INDEX(LookUps!$E$5:$E$12, MATCH(OpenLCAbasic!K9309,LookUps!$D$5:$D$12,0))))</f>
        <v>Global Warming Potential (GWP) - kg CO2 eq</v>
      </c>
      <c r="M9309" s="154" t="str">
        <f t="shared" si="765"/>
        <v>Base_High_Base_Upgraded_Global Warming Potential (GWP) - kg CO2 eq_Biosolids composting; aerated static pile; wastewater treatment unit; at updated plant - US_Base_With Amendment_Aerated Static Pile</v>
      </c>
    </row>
    <row r="9310" spans="1:13" s="120" customFormat="1" x14ac:dyDescent="0.25">
      <c r="A9310" s="119"/>
      <c r="B9310" s="138" t="str">
        <f t="shared" si="766"/>
        <v>Aerated Static Pile</v>
      </c>
      <c r="C9310" s="138" t="str">
        <f t="shared" si="767"/>
        <v>Base_With Amendment</v>
      </c>
      <c r="D9310" s="138" t="str">
        <f t="shared" si="770"/>
        <v>High_Base</v>
      </c>
      <c r="E9310" s="138" t="str">
        <f t="shared" si="768"/>
        <v>Base</v>
      </c>
      <c r="F9310" s="138" t="str">
        <f t="shared" si="769"/>
        <v>Upgraded</v>
      </c>
      <c r="G9310" s="153"/>
      <c r="H9310" s="210">
        <v>0.68379999999999996</v>
      </c>
      <c r="I9310" s="160" t="s">
        <v>58</v>
      </c>
      <c r="J9310" s="160">
        <v>0.24992</v>
      </c>
      <c r="K9310" s="160" t="s">
        <v>23</v>
      </c>
      <c r="L9310" s="154" t="str">
        <f>IF(OpenLCAbasic!K9310="CTUh", "Fill in Manually",IF(OR(K9310="Unit", K9310=""), "", INDEX(LookUps!$E$5:$E$12, MATCH(OpenLCAbasic!K9310,LookUps!$D$5:$D$12,0))))</f>
        <v>Global Warming Potential (GWP) - kg CO2 eq</v>
      </c>
      <c r="M9310" s="154" t="str">
        <f t="shared" si="765"/>
        <v>Base_High_Base_Upgraded_Global Warming Potential (GWP) - kg CO2 eq_Pre-Anoxic &amp; Swing tank; wastewater treatment unit; at updated plant - US_Base_With Amendment_Aerated Static Pile</v>
      </c>
    </row>
    <row r="9311" spans="1:13" s="120" customFormat="1" x14ac:dyDescent="0.25">
      <c r="A9311" s="119"/>
      <c r="B9311" s="138" t="str">
        <f t="shared" si="766"/>
        <v>Aerated Static Pile</v>
      </c>
      <c r="C9311" s="138" t="str">
        <f t="shared" si="767"/>
        <v>Base_With Amendment</v>
      </c>
      <c r="D9311" s="138" t="str">
        <f t="shared" si="770"/>
        <v>High_Base</v>
      </c>
      <c r="E9311" s="138" t="str">
        <f t="shared" si="768"/>
        <v>Base</v>
      </c>
      <c r="F9311" s="138" t="str">
        <f t="shared" si="769"/>
        <v>Upgraded</v>
      </c>
      <c r="G9311" s="153"/>
      <c r="H9311" s="210">
        <v>0.46029999999999999</v>
      </c>
      <c r="I9311" s="160" t="s">
        <v>55</v>
      </c>
      <c r="J9311" s="160">
        <v>0.16822000000000001</v>
      </c>
      <c r="K9311" s="160" t="s">
        <v>23</v>
      </c>
      <c r="L9311" s="154" t="str">
        <f>IF(OpenLCAbasic!K9311="CTUh", "Fill in Manually",IF(OR(K9311="Unit", K9311=""), "", INDEX(LookUps!$E$5:$E$12, MATCH(OpenLCAbasic!K9311,LookUps!$D$5:$D$12,0))))</f>
        <v>Global Warming Potential (GWP) - kg CO2 eq</v>
      </c>
      <c r="M9311" s="154" t="str">
        <f t="shared" si="765"/>
        <v>Base_High_Base_Upgraded_Global Warming Potential (GWP) - kg CO2 eq_Aeration Tanks; wastewater treatment unit; at updated plant - US_Base_With Amendment_Aerated Static Pile</v>
      </c>
    </row>
    <row r="9312" spans="1:13" s="120" customFormat="1" x14ac:dyDescent="0.25">
      <c r="A9312" s="119"/>
      <c r="B9312" s="138" t="str">
        <f t="shared" si="766"/>
        <v>Aerated Static Pile</v>
      </c>
      <c r="C9312" s="138" t="str">
        <f t="shared" si="767"/>
        <v>Base_With Amendment</v>
      </c>
      <c r="D9312" s="138" t="str">
        <f t="shared" si="770"/>
        <v>High_Base</v>
      </c>
      <c r="E9312" s="138" t="str">
        <f t="shared" si="768"/>
        <v>Base</v>
      </c>
      <c r="F9312" s="138" t="str">
        <f t="shared" si="769"/>
        <v>Upgraded</v>
      </c>
      <c r="G9312" s="153"/>
      <c r="H9312" s="210">
        <v>0.40179999999999999</v>
      </c>
      <c r="I9312" s="160" t="s">
        <v>167</v>
      </c>
      <c r="J9312" s="160">
        <v>0.14685000000000001</v>
      </c>
      <c r="K9312" s="160" t="s">
        <v>23</v>
      </c>
      <c r="L9312" s="154" t="str">
        <f>IF(OpenLCAbasic!K9312="CTUh", "Fill in Manually",IF(OR(K9312="Unit", K9312=""), "", INDEX(LookUps!$E$5:$E$12, MATCH(OpenLCAbasic!K9312,LookUps!$D$5:$D$12,0))))</f>
        <v>Global Warming Potential (GWP) - kg CO2 eq</v>
      </c>
      <c r="M9312" s="154" t="str">
        <f t="shared" si="765"/>
        <v>Base_High_Base_Upgraded_Global Warming Potential (GWP) - kg CO2 eq_Waste Receiving and Holding; wastewater treatment unit; at updated plant - US_Base_With Amendment_Aerated Static Pile</v>
      </c>
    </row>
    <row r="9313" spans="1:13" s="120" customFormat="1" x14ac:dyDescent="0.25">
      <c r="A9313" s="119"/>
      <c r="B9313" s="138" t="str">
        <f t="shared" si="766"/>
        <v>Aerated Static Pile</v>
      </c>
      <c r="C9313" s="138" t="str">
        <f t="shared" si="767"/>
        <v>Base_With Amendment</v>
      </c>
      <c r="D9313" s="138" t="str">
        <f t="shared" si="770"/>
        <v>High_Base</v>
      </c>
      <c r="E9313" s="138" t="str">
        <f t="shared" si="768"/>
        <v>Base</v>
      </c>
      <c r="F9313" s="138" t="str">
        <f t="shared" si="769"/>
        <v>Upgraded</v>
      </c>
      <c r="G9313" s="153"/>
      <c r="H9313" s="210">
        <v>0.15620000000000001</v>
      </c>
      <c r="I9313" s="160" t="s">
        <v>54</v>
      </c>
      <c r="J9313" s="160">
        <v>5.7079999999999999E-2</v>
      </c>
      <c r="K9313" s="160" t="s">
        <v>23</v>
      </c>
      <c r="L9313" s="154" t="str">
        <f>IF(OpenLCAbasic!K9313="CTUh", "Fill in Manually",IF(OR(K9313="Unit", K9313=""), "", INDEX(LookUps!$E$5:$E$12, MATCH(OpenLCAbasic!K9313,LookUps!$D$5:$D$12,0))))</f>
        <v>Global Warming Potential (GWP) - kg CO2 eq</v>
      </c>
      <c r="M9313" s="154" t="str">
        <f t="shared" si="765"/>
        <v>Base_High_Base_Upgraded_Global Warming Potential (GWP) - kg CO2 eq_Clear Cove Primary Clarification; wastewater treatment unit; at updated plant - US_Base_With Amendment_Aerated Static Pile</v>
      </c>
    </row>
    <row r="9314" spans="1:13" s="120" customFormat="1" x14ac:dyDescent="0.25">
      <c r="A9314" s="119"/>
      <c r="B9314" s="138" t="str">
        <f t="shared" si="766"/>
        <v>Aerated Static Pile</v>
      </c>
      <c r="C9314" s="138" t="str">
        <f t="shared" si="767"/>
        <v>Base_With Amendment</v>
      </c>
      <c r="D9314" s="138" t="str">
        <f t="shared" si="770"/>
        <v>High_Base</v>
      </c>
      <c r="E9314" s="138" t="str">
        <f t="shared" si="768"/>
        <v>Base</v>
      </c>
      <c r="F9314" s="138" t="str">
        <f t="shared" si="769"/>
        <v>Upgraded</v>
      </c>
      <c r="G9314" s="153"/>
      <c r="H9314" s="210">
        <v>0.14399999999999999</v>
      </c>
      <c r="I9314" s="160" t="s">
        <v>48</v>
      </c>
      <c r="J9314" s="160">
        <v>5.2639999999999999E-2</v>
      </c>
      <c r="K9314" s="160" t="s">
        <v>23</v>
      </c>
      <c r="L9314" s="154" t="str">
        <f>IF(OpenLCAbasic!K9314="CTUh", "Fill in Manually",IF(OR(K9314="Unit", K9314=""), "", INDEX(LookUps!$E$5:$E$12, MATCH(OpenLCAbasic!K9314,LookUps!$D$5:$D$12,0))))</f>
        <v>Global Warming Potential (GWP) - kg CO2 eq</v>
      </c>
      <c r="M9314" s="154" t="str">
        <f t="shared" si="765"/>
        <v>Base_High_Base_Upgraded_Global Warming Potential (GWP) - kg CO2 eq_Effluent release; wastewater treatment unit; at surface water; m3 wastewater - US_Base_With Amendment_Aerated Static Pile</v>
      </c>
    </row>
    <row r="9315" spans="1:13" s="120" customFormat="1" x14ac:dyDescent="0.25">
      <c r="A9315" s="119"/>
      <c r="B9315" s="138" t="str">
        <f t="shared" si="766"/>
        <v>Aerated Static Pile</v>
      </c>
      <c r="C9315" s="138" t="str">
        <f t="shared" si="767"/>
        <v>Base_With Amendment</v>
      </c>
      <c r="D9315" s="138" t="str">
        <f t="shared" si="770"/>
        <v>High_Base</v>
      </c>
      <c r="E9315" s="138" t="str">
        <f t="shared" si="768"/>
        <v>Base</v>
      </c>
      <c r="F9315" s="138" t="str">
        <f t="shared" si="769"/>
        <v>Upgraded</v>
      </c>
      <c r="G9315" s="153"/>
      <c r="H9315" s="210">
        <v>0.13819999999999999</v>
      </c>
      <c r="I9315" s="160" t="s">
        <v>147</v>
      </c>
      <c r="J9315" s="160">
        <v>5.0500000000000003E-2</v>
      </c>
      <c r="K9315" s="160" t="s">
        <v>23</v>
      </c>
      <c r="L9315" s="154" t="str">
        <f>IF(OpenLCAbasic!K9315="CTUh", "Fill in Manually",IF(OR(K9315="Unit", K9315=""), "", INDEX(LookUps!$E$5:$E$12, MATCH(OpenLCAbasic!K9315,LookUps!$D$5:$D$12,0))))</f>
        <v>Global Warming Potential (GWP) - kg CO2 eq</v>
      </c>
      <c r="M9315" s="154" t="str">
        <f t="shared" si="765"/>
        <v>Base_High_Base_Upgraded_Global Warming Potential (GWP) - kg CO2 eq_Influent Pump Station; wastewater treatment unit; at updated plant - US_Base_With Amendment_Aerated Static Pile</v>
      </c>
    </row>
    <row r="9316" spans="1:13" s="120" customFormat="1" x14ac:dyDescent="0.25">
      <c r="A9316" s="119"/>
      <c r="B9316" s="138" t="str">
        <f t="shared" si="766"/>
        <v>Aerated Static Pile</v>
      </c>
      <c r="C9316" s="138" t="str">
        <f t="shared" si="767"/>
        <v>Base_With Amendment</v>
      </c>
      <c r="D9316" s="138" t="str">
        <f t="shared" si="770"/>
        <v>High_Base</v>
      </c>
      <c r="E9316" s="138" t="str">
        <f t="shared" si="768"/>
        <v>Base</v>
      </c>
      <c r="F9316" s="138" t="str">
        <f t="shared" si="769"/>
        <v>Upgraded</v>
      </c>
      <c r="G9316" s="153"/>
      <c r="H9316" s="210">
        <v>9.0999999999999998E-2</v>
      </c>
      <c r="I9316" s="160" t="s">
        <v>53</v>
      </c>
      <c r="J9316" s="160">
        <v>3.3259999999999998E-2</v>
      </c>
      <c r="K9316" s="160" t="s">
        <v>23</v>
      </c>
      <c r="L9316" s="154" t="str">
        <f>IF(OpenLCAbasic!K9316="CTUh", "Fill in Manually",IF(OR(K9316="Unit", K9316=""), "", INDEX(LookUps!$E$5:$E$12, MATCH(OpenLCAbasic!K9316,LookUps!$D$5:$D$12,0))))</f>
        <v>Global Warming Potential (GWP) - kg CO2 eq</v>
      </c>
      <c r="M9316" s="154" t="str">
        <f t="shared" si="765"/>
        <v>Base_High_Base_Upgraded_Global Warming Potential (GWP) - kg CO2 eq_Wet Well and Sump Station; wastewater treatment unit; at updated plant - US_Base_With Amendment_Aerated Static Pile</v>
      </c>
    </row>
    <row r="9317" spans="1:13" s="120" customFormat="1" x14ac:dyDescent="0.25">
      <c r="A9317" s="119"/>
      <c r="B9317" s="138" t="str">
        <f t="shared" si="766"/>
        <v>Aerated Static Pile</v>
      </c>
      <c r="C9317" s="138" t="str">
        <f t="shared" si="767"/>
        <v>Base_With Amendment</v>
      </c>
      <c r="D9317" s="138" t="str">
        <f t="shared" si="770"/>
        <v>High_Base</v>
      </c>
      <c r="E9317" s="138" t="str">
        <f t="shared" si="768"/>
        <v>Base</v>
      </c>
      <c r="F9317" s="138" t="str">
        <f t="shared" si="769"/>
        <v>Upgraded</v>
      </c>
      <c r="G9317" s="153"/>
      <c r="H9317" s="210">
        <v>6.6000000000000003E-2</v>
      </c>
      <c r="I9317" s="160" t="s">
        <v>60</v>
      </c>
      <c r="J9317" s="160">
        <v>2.4119999999999999E-2</v>
      </c>
      <c r="K9317" s="160" t="s">
        <v>23</v>
      </c>
      <c r="L9317" s="154" t="str">
        <f>IF(OpenLCAbasic!K9317="CTUh", "Fill in Manually",IF(OR(K9317="Unit", K9317=""), "", INDEX(LookUps!$E$5:$E$12, MATCH(OpenLCAbasic!K9317,LookUps!$D$5:$D$12,0))))</f>
        <v>Global Warming Potential (GWP) - kg CO2 eq</v>
      </c>
      <c r="M9317" s="154" t="str">
        <f t="shared" si="765"/>
        <v>Base_High_Base_Upgraded_Global Warming Potential (GWP) - kg CO2 eq_Belt filter press; wastewater treatment unit; at updated plant - US_Base_With Amendment_Aerated Static Pile</v>
      </c>
    </row>
    <row r="9318" spans="1:13" s="120" customFormat="1" x14ac:dyDescent="0.25">
      <c r="A9318" s="119"/>
      <c r="B9318" s="138" t="str">
        <f t="shared" si="766"/>
        <v>Aerated Static Pile</v>
      </c>
      <c r="C9318" s="138" t="str">
        <f t="shared" si="767"/>
        <v>Base_With Amendment</v>
      </c>
      <c r="D9318" s="138" t="str">
        <f t="shared" si="770"/>
        <v>High_Base</v>
      </c>
      <c r="E9318" s="138" t="str">
        <f t="shared" si="768"/>
        <v>Base</v>
      </c>
      <c r="F9318" s="138" t="str">
        <f t="shared" si="769"/>
        <v>Upgraded</v>
      </c>
      <c r="G9318" s="153"/>
      <c r="H9318" s="210">
        <v>3.9800000000000002E-2</v>
      </c>
      <c r="I9318" s="160" t="s">
        <v>57</v>
      </c>
      <c r="J9318" s="160">
        <v>1.455E-2</v>
      </c>
      <c r="K9318" s="160" t="s">
        <v>23</v>
      </c>
      <c r="L9318" s="154" t="str">
        <f>IF(OpenLCAbasic!K9318="CTUh", "Fill in Manually",IF(OR(K9318="Unit", K9318=""), "", INDEX(LookUps!$E$5:$E$12, MATCH(OpenLCAbasic!K9318,LookUps!$D$5:$D$12,0))))</f>
        <v>Global Warming Potential (GWP) - kg CO2 eq</v>
      </c>
      <c r="M9318" s="154" t="str">
        <f t="shared" si="765"/>
        <v>Base_High_Base_Upgraded_Global Warming Potential (GWP) - kg CO2 eq_Gravity Belt Thickener; wastewater treatment unit; at updated plant - US_Base_With Amendment_Aerated Static Pile</v>
      </c>
    </row>
    <row r="9319" spans="1:13" s="120" customFormat="1" x14ac:dyDescent="0.25">
      <c r="A9319" s="119"/>
      <c r="B9319" s="138" t="str">
        <f t="shared" si="766"/>
        <v>Aerated Static Pile</v>
      </c>
      <c r="C9319" s="138" t="str">
        <f t="shared" si="767"/>
        <v>Base_With Amendment</v>
      </c>
      <c r="D9319" s="138" t="str">
        <f t="shared" si="770"/>
        <v>High_Base</v>
      </c>
      <c r="E9319" s="138" t="str">
        <f t="shared" si="768"/>
        <v>Base</v>
      </c>
      <c r="F9319" s="138" t="str">
        <f t="shared" si="769"/>
        <v>Upgraded</v>
      </c>
      <c r="G9319" s="153"/>
      <c r="H9319" s="210">
        <v>3.6999999999999998E-2</v>
      </c>
      <c r="I9319" s="160" t="s">
        <v>128</v>
      </c>
      <c r="J9319" s="160">
        <v>1.3509999999999999E-2</v>
      </c>
      <c r="K9319" s="160" t="s">
        <v>23</v>
      </c>
      <c r="L9319" s="154" t="str">
        <f>IF(OpenLCAbasic!K9319="CTUh", "Fill in Manually",IF(OR(K9319="Unit", K9319=""), "", INDEX(LookUps!$E$5:$E$12, MATCH(OpenLCAbasic!K9319,LookUps!$D$5:$D$12,0))))</f>
        <v>Global Warming Potential (GWP) - kg CO2 eq</v>
      </c>
      <c r="M9319" s="154" t="str">
        <f t="shared" si="765"/>
        <v>Base_High_Base_Upgraded_Global Warming Potential (GWP) - kg CO2 eq_Wastewater collection; operation and infrastructure; m3 wastewater_Base_With Amendment_Aerated Static Pile</v>
      </c>
    </row>
    <row r="9320" spans="1:13" s="120" customFormat="1" x14ac:dyDescent="0.25">
      <c r="A9320" s="119"/>
      <c r="B9320" s="138" t="str">
        <f t="shared" si="766"/>
        <v>Aerated Static Pile</v>
      </c>
      <c r="C9320" s="138" t="str">
        <f t="shared" si="767"/>
        <v>Base_With Amendment</v>
      </c>
      <c r="D9320" s="138" t="str">
        <f t="shared" si="770"/>
        <v>High_Base</v>
      </c>
      <c r="E9320" s="138" t="str">
        <f t="shared" si="768"/>
        <v>Base</v>
      </c>
      <c r="F9320" s="138" t="str">
        <f t="shared" si="769"/>
        <v>Upgraded</v>
      </c>
      <c r="G9320" s="153"/>
      <c r="H9320" s="210">
        <v>2.2700000000000001E-2</v>
      </c>
      <c r="I9320" s="160" t="s">
        <v>148</v>
      </c>
      <c r="J9320" s="160">
        <v>8.3000000000000001E-3</v>
      </c>
      <c r="K9320" s="160" t="s">
        <v>23</v>
      </c>
      <c r="L9320" s="154" t="str">
        <f>IF(OpenLCAbasic!K9320="CTUh", "Fill in Manually",IF(OR(K9320="Unit", K9320=""), "", INDEX(LookUps!$E$5:$E$12, MATCH(OpenLCAbasic!K9320,LookUps!$D$5:$D$12,0))))</f>
        <v>Global Warming Potential (GWP) - kg CO2 eq</v>
      </c>
      <c r="M9320" s="154" t="str">
        <f t="shared" si="765"/>
        <v>Base_High_Base_Upgraded_Global Warming Potential (GWP) - kg CO2 eq_Control Building; at upgraded wastewater treatment plant - US_Base_With Amendment_Aerated Static Pile</v>
      </c>
    </row>
    <row r="9321" spans="1:13" s="120" customFormat="1" x14ac:dyDescent="0.25">
      <c r="A9321" s="119"/>
      <c r="B9321" s="138" t="str">
        <f t="shared" si="766"/>
        <v>Aerated Static Pile</v>
      </c>
      <c r="C9321" s="138" t="str">
        <f t="shared" si="767"/>
        <v>Base_With Amendment</v>
      </c>
      <c r="D9321" s="138" t="str">
        <f t="shared" si="770"/>
        <v>High_Base</v>
      </c>
      <c r="E9321" s="138" t="str">
        <f t="shared" si="768"/>
        <v>Base</v>
      </c>
      <c r="F9321" s="138" t="str">
        <f t="shared" si="769"/>
        <v>Upgraded</v>
      </c>
      <c r="G9321" s="153"/>
      <c r="H9321" s="210">
        <v>1.38E-2</v>
      </c>
      <c r="I9321" s="160" t="s">
        <v>59</v>
      </c>
      <c r="J9321" s="160">
        <v>5.0400000000000002E-3</v>
      </c>
      <c r="K9321" s="160" t="s">
        <v>23</v>
      </c>
      <c r="L9321" s="154" t="str">
        <f>IF(OpenLCAbasic!K9321="CTUh", "Fill in Manually",IF(OR(K9321="Unit", K9321=""), "", INDEX(LookUps!$E$5:$E$12, MATCH(OpenLCAbasic!K9321,LookUps!$D$5:$D$12,0))))</f>
        <v>Global Warming Potential (GWP) - kg CO2 eq</v>
      </c>
      <c r="M9321" s="154" t="str">
        <f t="shared" si="765"/>
        <v>Base_High_Base_Upgraded_Global Warming Potential (GWP) - kg CO2 eq_Blend Tank; wastewater treatment unit; at updated plant - US_Base_With Amendment_Aerated Static Pile</v>
      </c>
    </row>
    <row r="9322" spans="1:13" s="120" customFormat="1" x14ac:dyDescent="0.25">
      <c r="A9322" s="119"/>
      <c r="B9322" s="138" t="str">
        <f t="shared" si="766"/>
        <v>Aerated Static Pile</v>
      </c>
      <c r="C9322" s="138" t="str">
        <f t="shared" si="767"/>
        <v>Base_With Amendment</v>
      </c>
      <c r="D9322" s="138" t="str">
        <f t="shared" si="770"/>
        <v>High_Base</v>
      </c>
      <c r="E9322" s="138" t="str">
        <f t="shared" si="768"/>
        <v>Base</v>
      </c>
      <c r="F9322" s="138" t="str">
        <f t="shared" si="769"/>
        <v>Upgraded</v>
      </c>
      <c r="G9322" s="153"/>
      <c r="H9322" s="210">
        <v>6.6E-3</v>
      </c>
      <c r="I9322" s="160" t="s">
        <v>168</v>
      </c>
      <c r="J9322" s="160">
        <v>2.4099999999999998E-3</v>
      </c>
      <c r="K9322" s="160" t="s">
        <v>23</v>
      </c>
      <c r="L9322" s="154" t="str">
        <f>IF(OpenLCAbasic!K9322="CTUh", "Fill in Manually",IF(OR(K9322="Unit", K9322=""), "", INDEX(LookUps!$E$5:$E$12, MATCH(OpenLCAbasic!K9322,LookUps!$D$5:$D$12,0))))</f>
        <v>Global Warming Potential (GWP) - kg CO2 eq</v>
      </c>
      <c r="M9322" s="154" t="str">
        <f t="shared" si="765"/>
        <v>Base_High_Base_Upgraded_Global Warming Potential (GWP) - kg CO2 eq_ClearCove SCP; wastewater treatment unit; at updated plant - US_Base_With Amendment_Aerated Static Pile</v>
      </c>
    </row>
    <row r="9323" spans="1:13" s="120" customFormat="1" x14ac:dyDescent="0.25">
      <c r="A9323" s="119"/>
      <c r="B9323" s="138" t="str">
        <f t="shared" si="766"/>
        <v>Aerated Static Pile</v>
      </c>
      <c r="C9323" s="138" t="str">
        <f t="shared" si="767"/>
        <v>Base_With Amendment</v>
      </c>
      <c r="D9323" s="138" t="str">
        <f t="shared" si="770"/>
        <v>High_Base</v>
      </c>
      <c r="E9323" s="138" t="str">
        <f t="shared" si="768"/>
        <v>Base</v>
      </c>
      <c r="F9323" s="138" t="str">
        <f t="shared" si="769"/>
        <v>Upgraded</v>
      </c>
      <c r="G9323" s="153"/>
      <c r="H9323" s="210">
        <v>-1.5623</v>
      </c>
      <c r="I9323" s="160" t="s">
        <v>149</v>
      </c>
      <c r="J9323" s="160">
        <v>-0.57099</v>
      </c>
      <c r="K9323" s="160" t="s">
        <v>23</v>
      </c>
      <c r="L9323" s="154" t="str">
        <f>IF(OpenLCAbasic!K9323="CTUh", "Fill in Manually",IF(OR(K9323="Unit", K9323=""), "", INDEX(LookUps!$E$5:$E$12, MATCH(OpenLCAbasic!K9323,LookUps!$D$5:$D$12,0))))</f>
        <v>Global Warming Potential (GWP) - kg CO2 eq</v>
      </c>
      <c r="M9323" s="154" t="str">
        <f t="shared" si="765"/>
        <v>Base_High_Base_Upgraded_Global Warming Potential (GWP) - kg CO2 eq_Anaerobic Digestion; wastewater treatment unit; at updated plant - US_Base_With Amendment_Aerated Static Pile</v>
      </c>
    </row>
    <row r="9324" spans="1:13" s="120" customFormat="1" x14ac:dyDescent="0.25">
      <c r="A9324" s="119"/>
      <c r="B9324" s="138" t="str">
        <f t="shared" si="766"/>
        <v>Aerated Static Pile</v>
      </c>
      <c r="C9324" s="138" t="str">
        <f t="shared" si="767"/>
        <v>Base_With Amendment</v>
      </c>
      <c r="D9324" s="138" t="str">
        <f t="shared" si="770"/>
        <v>High_Base</v>
      </c>
      <c r="E9324" s="138" t="str">
        <f t="shared" si="768"/>
        <v>Base</v>
      </c>
      <c r="F9324" s="138" t="str">
        <f t="shared" si="769"/>
        <v>Upgraded</v>
      </c>
      <c r="G9324" s="153"/>
      <c r="H9324" s="210">
        <v>-2.4502000000000002</v>
      </c>
      <c r="I9324" s="160" t="s">
        <v>62</v>
      </c>
      <c r="J9324" s="160">
        <v>-0.89548000000000005</v>
      </c>
      <c r="K9324" s="160" t="s">
        <v>23</v>
      </c>
      <c r="L9324" s="154" t="str">
        <f>IF(OpenLCAbasic!K9324="CTUh", "Fill in Manually",IF(OR(K9324="Unit", K9324=""), "", INDEX(LookUps!$E$5:$E$12, MATCH(OpenLCAbasic!K9324,LookUps!$D$5:$D$12,0))))</f>
        <v>Global Warming Potential (GWP) - kg CO2 eq</v>
      </c>
      <c r="M9324" s="154" t="str">
        <f t="shared" si="765"/>
        <v>Base_High_Base_Upgraded_Global Warming Potential (GWP) - kg CO2 eq_Land application of compost; wastewater treatment unit; at updated plant - US_Base_With Amendment_Aerated Static Pile</v>
      </c>
    </row>
    <row r="9325" spans="1:13" s="120" customFormat="1" x14ac:dyDescent="0.25">
      <c r="A9325" s="119"/>
      <c r="B9325" s="138" t="str">
        <f t="shared" si="766"/>
        <v/>
      </c>
      <c r="C9325" s="138" t="str">
        <f t="shared" si="767"/>
        <v/>
      </c>
      <c r="D9325" s="138" t="str">
        <f t="shared" si="770"/>
        <v/>
      </c>
      <c r="E9325" s="138" t="str">
        <f t="shared" si="768"/>
        <v/>
      </c>
      <c r="F9325" s="138" t="str">
        <f t="shared" si="769"/>
        <v/>
      </c>
      <c r="G9325" s="153" t="s">
        <v>51</v>
      </c>
      <c r="H9325" s="160"/>
      <c r="I9325" s="160" t="s">
        <v>47</v>
      </c>
      <c r="J9325" s="160" t="s">
        <v>52</v>
      </c>
      <c r="K9325" s="160" t="s">
        <v>27</v>
      </c>
      <c r="L9325" s="154" t="str">
        <f>IF(OpenLCAbasic!K9325="CTUh", "Fill in Manually",IF(OR(K9325="Unit", K9325=""), "", INDEX(LookUps!$E$5:$E$12, MATCH(OpenLCAbasic!K9325,LookUps!$D$5:$D$12,0))))</f>
        <v/>
      </c>
      <c r="M9325" s="154" t="str">
        <f t="shared" si="765"/>
        <v>____Process__</v>
      </c>
    </row>
    <row r="9326" spans="1:13" s="120" customFormat="1" x14ac:dyDescent="0.25">
      <c r="A9326" s="119"/>
      <c r="B9326" s="138" t="str">
        <f t="shared" si="766"/>
        <v>Aerated Static Pile</v>
      </c>
      <c r="C9326" s="138" t="str">
        <f t="shared" si="767"/>
        <v>Base_With Amendment</v>
      </c>
      <c r="D9326" s="138" t="str">
        <f t="shared" si="770"/>
        <v>High_Base</v>
      </c>
      <c r="E9326" s="138" t="str">
        <f t="shared" si="768"/>
        <v>Base</v>
      </c>
      <c r="F9326" s="138" t="str">
        <f t="shared" si="769"/>
        <v>Upgraded</v>
      </c>
      <c r="G9326" s="153"/>
      <c r="H9326" s="210">
        <v>2.4114</v>
      </c>
      <c r="I9326" s="160" t="s">
        <v>55</v>
      </c>
      <c r="J9326" s="160">
        <v>2.33E-3</v>
      </c>
      <c r="K9326" s="160" t="s">
        <v>145</v>
      </c>
      <c r="L9326" s="154" t="str">
        <f>IF(OpenLCAbasic!K9326="CTUh", "Fill in Manually",IF(OR(K9326="Unit", K9326=""), "", INDEX(LookUps!$E$5:$E$12, MATCH(OpenLCAbasic!K9326,LookUps!$D$5:$D$12,0))))</f>
        <v>Particulate Matter Formation Potential (PMFP) - kg PM2.5 eq</v>
      </c>
      <c r="M9326" s="154" t="str">
        <f t="shared" si="765"/>
        <v>Base_High_Base_Upgraded_Particulate Matter Formation Potential (PMFP) - kg PM2.5 eq_Aeration Tanks; wastewater treatment unit; at updated plant - US_Base_With Amendment_Aerated Static Pile</v>
      </c>
    </row>
    <row r="9327" spans="1:13" s="120" customFormat="1" x14ac:dyDescent="0.25">
      <c r="A9327" s="119"/>
      <c r="B9327" s="138" t="str">
        <f t="shared" si="766"/>
        <v>Aerated Static Pile</v>
      </c>
      <c r="C9327" s="138" t="str">
        <f t="shared" si="767"/>
        <v>Base_With Amendment</v>
      </c>
      <c r="D9327" s="138" t="str">
        <f t="shared" si="770"/>
        <v>High_Base</v>
      </c>
      <c r="E9327" s="138" t="str">
        <f t="shared" si="768"/>
        <v>Base</v>
      </c>
      <c r="F9327" s="138" t="str">
        <f t="shared" si="769"/>
        <v>Upgraded</v>
      </c>
      <c r="G9327" s="153"/>
      <c r="H9327" s="210">
        <v>1.6692</v>
      </c>
      <c r="I9327" s="160" t="s">
        <v>435</v>
      </c>
      <c r="J9327" s="160">
        <v>1.6199999999999999E-3</v>
      </c>
      <c r="K9327" s="160" t="s">
        <v>145</v>
      </c>
      <c r="L9327" s="154" t="str">
        <f>IF(OpenLCAbasic!K9327="CTUh", "Fill in Manually",IF(OR(K9327="Unit", K9327=""), "", INDEX(LookUps!$E$5:$E$12, MATCH(OpenLCAbasic!K9327,LookUps!$D$5:$D$12,0))))</f>
        <v>Particulate Matter Formation Potential (PMFP) - kg PM2.5 eq</v>
      </c>
      <c r="M9327" s="154" t="str">
        <f t="shared" si="765"/>
        <v>Base_High_Base_Upgraded_Particulate Matter Formation Potential (PMFP) - kg PM2.5 eq_Biosolids composting; aerated static pile; wastewater treatment unit; at updated plant - US_Base_With Amendment_Aerated Static Pile</v>
      </c>
    </row>
    <row r="9328" spans="1:13" s="120" customFormat="1" x14ac:dyDescent="0.25">
      <c r="A9328" s="119"/>
      <c r="B9328" s="138" t="str">
        <f t="shared" si="766"/>
        <v>Aerated Static Pile</v>
      </c>
      <c r="C9328" s="138" t="str">
        <f t="shared" si="767"/>
        <v>Base_With Amendment</v>
      </c>
      <c r="D9328" s="138" t="str">
        <f t="shared" si="770"/>
        <v>High_Base</v>
      </c>
      <c r="E9328" s="138" t="str">
        <f t="shared" si="768"/>
        <v>Base</v>
      </c>
      <c r="F9328" s="138" t="str">
        <f t="shared" si="769"/>
        <v>Upgraded</v>
      </c>
      <c r="G9328" s="153"/>
      <c r="H9328" s="210">
        <v>0.70169999999999999</v>
      </c>
      <c r="I9328" s="160" t="s">
        <v>54</v>
      </c>
      <c r="J9328" s="160">
        <v>6.8000000000000005E-4</v>
      </c>
      <c r="K9328" s="160" t="s">
        <v>145</v>
      </c>
      <c r="L9328" s="154" t="str">
        <f>IF(OpenLCAbasic!K9328="CTUh", "Fill in Manually",IF(OR(K9328="Unit", K9328=""), "", INDEX(LookUps!$E$5:$E$12, MATCH(OpenLCAbasic!K9328,LookUps!$D$5:$D$12,0))))</f>
        <v>Particulate Matter Formation Potential (PMFP) - kg PM2.5 eq</v>
      </c>
      <c r="M9328" s="154" t="str">
        <f t="shared" si="765"/>
        <v>Base_High_Base_Upgraded_Particulate Matter Formation Potential (PMFP) - kg PM2.5 eq_Clear Cove Primary Clarification; wastewater treatment unit; at updated plant - US_Base_With Amendment_Aerated Static Pile</v>
      </c>
    </row>
    <row r="9329" spans="1:13" s="120" customFormat="1" x14ac:dyDescent="0.25">
      <c r="A9329" s="119"/>
      <c r="B9329" s="138" t="str">
        <f t="shared" si="766"/>
        <v>Aerated Static Pile</v>
      </c>
      <c r="C9329" s="138" t="str">
        <f t="shared" si="767"/>
        <v>Base_With Amendment</v>
      </c>
      <c r="D9329" s="138" t="str">
        <f t="shared" si="770"/>
        <v>High_Base</v>
      </c>
      <c r="E9329" s="138" t="str">
        <f t="shared" si="768"/>
        <v>Base</v>
      </c>
      <c r="F9329" s="138" t="str">
        <f t="shared" si="769"/>
        <v>Upgraded</v>
      </c>
      <c r="G9329" s="153"/>
      <c r="H9329" s="210">
        <v>0.61080000000000001</v>
      </c>
      <c r="I9329" s="160" t="s">
        <v>58</v>
      </c>
      <c r="J9329" s="160">
        <v>5.9000000000000003E-4</v>
      </c>
      <c r="K9329" s="160" t="s">
        <v>145</v>
      </c>
      <c r="L9329" s="154" t="str">
        <f>IF(OpenLCAbasic!K9329="CTUh", "Fill in Manually",IF(OR(K9329="Unit", K9329=""), "", INDEX(LookUps!$E$5:$E$12, MATCH(OpenLCAbasic!K9329,LookUps!$D$5:$D$12,0))))</f>
        <v>Particulate Matter Formation Potential (PMFP) - kg PM2.5 eq</v>
      </c>
      <c r="M9329" s="154" t="str">
        <f t="shared" si="765"/>
        <v>Base_High_Base_Upgraded_Particulate Matter Formation Potential (PMFP) - kg PM2.5 eq_Pre-Anoxic &amp; Swing tank; wastewater treatment unit; at updated plant - US_Base_With Amendment_Aerated Static Pile</v>
      </c>
    </row>
    <row r="9330" spans="1:13" s="120" customFormat="1" x14ac:dyDescent="0.25">
      <c r="A9330" s="119"/>
      <c r="B9330" s="138" t="str">
        <f t="shared" si="766"/>
        <v>Aerated Static Pile</v>
      </c>
      <c r="C9330" s="138" t="str">
        <f t="shared" si="767"/>
        <v>Base_With Amendment</v>
      </c>
      <c r="D9330" s="138" t="str">
        <f t="shared" si="770"/>
        <v>High_Base</v>
      </c>
      <c r="E9330" s="138" t="str">
        <f t="shared" si="768"/>
        <v>Base</v>
      </c>
      <c r="F9330" s="138" t="str">
        <f t="shared" si="769"/>
        <v>Upgraded</v>
      </c>
      <c r="G9330" s="153"/>
      <c r="H9330" s="210">
        <v>0.48209999999999997</v>
      </c>
      <c r="I9330" s="160" t="s">
        <v>53</v>
      </c>
      <c r="J9330" s="160">
        <v>4.6999999999999999E-4</v>
      </c>
      <c r="K9330" s="160" t="s">
        <v>145</v>
      </c>
      <c r="L9330" s="154" t="str">
        <f>IF(OpenLCAbasic!K9330="CTUh", "Fill in Manually",IF(OR(K9330="Unit", K9330=""), "", INDEX(LookUps!$E$5:$E$12, MATCH(OpenLCAbasic!K9330,LookUps!$D$5:$D$12,0))))</f>
        <v>Particulate Matter Formation Potential (PMFP) - kg PM2.5 eq</v>
      </c>
      <c r="M9330" s="154" t="str">
        <f t="shared" si="765"/>
        <v>Base_High_Base_Upgraded_Particulate Matter Formation Potential (PMFP) - kg PM2.5 eq_Wet Well and Sump Station; wastewater treatment unit; at updated plant - US_Base_With Amendment_Aerated Static Pile</v>
      </c>
    </row>
    <row r="9331" spans="1:13" s="120" customFormat="1" x14ac:dyDescent="0.25">
      <c r="A9331" s="119"/>
      <c r="B9331" s="138" t="str">
        <f t="shared" si="766"/>
        <v>Aerated Static Pile</v>
      </c>
      <c r="C9331" s="138" t="str">
        <f t="shared" si="767"/>
        <v>Base_With Amendment</v>
      </c>
      <c r="D9331" s="138" t="str">
        <f t="shared" si="770"/>
        <v>High_Base</v>
      </c>
      <c r="E9331" s="138" t="str">
        <f t="shared" si="768"/>
        <v>Base</v>
      </c>
      <c r="F9331" s="138" t="str">
        <f t="shared" si="769"/>
        <v>Upgraded</v>
      </c>
      <c r="G9331" s="153"/>
      <c r="H9331" s="210">
        <v>0.3427</v>
      </c>
      <c r="I9331" s="160" t="s">
        <v>167</v>
      </c>
      <c r="J9331" s="160">
        <v>3.3E-4</v>
      </c>
      <c r="K9331" s="160" t="s">
        <v>145</v>
      </c>
      <c r="L9331" s="154" t="str">
        <f>IF(OpenLCAbasic!K9331="CTUh", "Fill in Manually",IF(OR(K9331="Unit", K9331=""), "", INDEX(LookUps!$E$5:$E$12, MATCH(OpenLCAbasic!K9331,LookUps!$D$5:$D$12,0))))</f>
        <v>Particulate Matter Formation Potential (PMFP) - kg PM2.5 eq</v>
      </c>
      <c r="M9331" s="154" t="str">
        <f t="shared" ref="M9331:M9394" si="771">CONCATENATE(E9331,"_",D9331,"_",F9331,"_",L9331, "_",I9331,"_", C9331,"_", B9331)</f>
        <v>Base_High_Base_Upgraded_Particulate Matter Formation Potential (PMFP) - kg PM2.5 eq_Waste Receiving and Holding; wastewater treatment unit; at updated plant - US_Base_With Amendment_Aerated Static Pile</v>
      </c>
    </row>
    <row r="9332" spans="1:13" s="120" customFormat="1" x14ac:dyDescent="0.25">
      <c r="A9332" s="119"/>
      <c r="B9332" s="138" t="str">
        <f t="shared" si="766"/>
        <v>Aerated Static Pile</v>
      </c>
      <c r="C9332" s="138" t="str">
        <f t="shared" si="767"/>
        <v>Base_With Amendment</v>
      </c>
      <c r="D9332" s="138" t="str">
        <f t="shared" si="770"/>
        <v>High_Base</v>
      </c>
      <c r="E9332" s="138" t="str">
        <f t="shared" si="768"/>
        <v>Base</v>
      </c>
      <c r="F9332" s="138" t="str">
        <f t="shared" si="769"/>
        <v>Upgraded</v>
      </c>
      <c r="G9332" s="153"/>
      <c r="H9332" s="210">
        <v>0.27560000000000001</v>
      </c>
      <c r="I9332" s="160" t="s">
        <v>147</v>
      </c>
      <c r="J9332" s="160">
        <v>2.7E-4</v>
      </c>
      <c r="K9332" s="160" t="s">
        <v>145</v>
      </c>
      <c r="L9332" s="154" t="str">
        <f>IF(OpenLCAbasic!K9332="CTUh", "Fill in Manually",IF(OR(K9332="Unit", K9332=""), "", INDEX(LookUps!$E$5:$E$12, MATCH(OpenLCAbasic!K9332,LookUps!$D$5:$D$12,0))))</f>
        <v>Particulate Matter Formation Potential (PMFP) - kg PM2.5 eq</v>
      </c>
      <c r="M9332" s="154" t="str">
        <f t="shared" si="771"/>
        <v>Base_High_Base_Upgraded_Particulate Matter Formation Potential (PMFP) - kg PM2.5 eq_Influent Pump Station; wastewater treatment unit; at updated plant - US_Base_With Amendment_Aerated Static Pile</v>
      </c>
    </row>
    <row r="9333" spans="1:13" s="120" customFormat="1" x14ac:dyDescent="0.25">
      <c r="A9333" s="119"/>
      <c r="B9333" s="138" t="str">
        <f t="shared" si="766"/>
        <v>Aerated Static Pile</v>
      </c>
      <c r="C9333" s="138" t="str">
        <f t="shared" si="767"/>
        <v>Base_With Amendment</v>
      </c>
      <c r="D9333" s="138" t="str">
        <f t="shared" si="770"/>
        <v>High_Base</v>
      </c>
      <c r="E9333" s="138" t="str">
        <f t="shared" si="768"/>
        <v>Base</v>
      </c>
      <c r="F9333" s="138" t="str">
        <f t="shared" si="769"/>
        <v>Upgraded</v>
      </c>
      <c r="G9333" s="153"/>
      <c r="H9333" s="210">
        <v>0.20369999999999999</v>
      </c>
      <c r="I9333" s="160" t="s">
        <v>60</v>
      </c>
      <c r="J9333" s="160">
        <v>2.0000000000000001E-4</v>
      </c>
      <c r="K9333" s="160" t="s">
        <v>145</v>
      </c>
      <c r="L9333" s="154" t="str">
        <f>IF(OpenLCAbasic!K9333="CTUh", "Fill in Manually",IF(OR(K9333="Unit", K9333=""), "", INDEX(LookUps!$E$5:$E$12, MATCH(OpenLCAbasic!K9333,LookUps!$D$5:$D$12,0))))</f>
        <v>Particulate Matter Formation Potential (PMFP) - kg PM2.5 eq</v>
      </c>
      <c r="M9333" s="154" t="str">
        <f t="shared" si="771"/>
        <v>Base_High_Base_Upgraded_Particulate Matter Formation Potential (PMFP) - kg PM2.5 eq_Belt filter press; wastewater treatment unit; at updated plant - US_Base_With Amendment_Aerated Static Pile</v>
      </c>
    </row>
    <row r="9334" spans="1:13" s="120" customFormat="1" x14ac:dyDescent="0.25">
      <c r="A9334" s="119"/>
      <c r="B9334" s="138" t="str">
        <f t="shared" si="766"/>
        <v>Aerated Static Pile</v>
      </c>
      <c r="C9334" s="138" t="str">
        <f t="shared" si="767"/>
        <v>Base_With Amendment</v>
      </c>
      <c r="D9334" s="138" t="str">
        <f t="shared" si="770"/>
        <v>High_Base</v>
      </c>
      <c r="E9334" s="138" t="str">
        <f t="shared" si="768"/>
        <v>Base</v>
      </c>
      <c r="F9334" s="138" t="str">
        <f t="shared" si="769"/>
        <v>Upgraded</v>
      </c>
      <c r="G9334" s="153"/>
      <c r="H9334" s="210">
        <v>0.17199999999999999</v>
      </c>
      <c r="I9334" s="160" t="s">
        <v>128</v>
      </c>
      <c r="J9334" s="160">
        <v>1.7000000000000001E-4</v>
      </c>
      <c r="K9334" s="160" t="s">
        <v>145</v>
      </c>
      <c r="L9334" s="154" t="str">
        <f>IF(OpenLCAbasic!K9334="CTUh", "Fill in Manually",IF(OR(K9334="Unit", K9334=""), "", INDEX(LookUps!$E$5:$E$12, MATCH(OpenLCAbasic!K9334,LookUps!$D$5:$D$12,0))))</f>
        <v>Particulate Matter Formation Potential (PMFP) - kg PM2.5 eq</v>
      </c>
      <c r="M9334" s="154" t="str">
        <f t="shared" si="771"/>
        <v>Base_High_Base_Upgraded_Particulate Matter Formation Potential (PMFP) - kg PM2.5 eq_Wastewater collection; operation and infrastructure; m3 wastewater_Base_With Amendment_Aerated Static Pile</v>
      </c>
    </row>
    <row r="9335" spans="1:13" s="120" customFormat="1" x14ac:dyDescent="0.25">
      <c r="A9335" s="119"/>
      <c r="B9335" s="138" t="str">
        <f t="shared" si="766"/>
        <v>Aerated Static Pile</v>
      </c>
      <c r="C9335" s="138" t="str">
        <f t="shared" si="767"/>
        <v>Base_With Amendment</v>
      </c>
      <c r="D9335" s="138" t="str">
        <f t="shared" si="770"/>
        <v>High_Base</v>
      </c>
      <c r="E9335" s="138" t="str">
        <f t="shared" si="768"/>
        <v>Base</v>
      </c>
      <c r="F9335" s="138" t="str">
        <f t="shared" si="769"/>
        <v>Upgraded</v>
      </c>
      <c r="G9335" s="153"/>
      <c r="H9335" s="210">
        <v>9.8299999999999998E-2</v>
      </c>
      <c r="I9335" s="160" t="s">
        <v>57</v>
      </c>
      <c r="J9335" s="211">
        <v>9.5153800000000004E-5</v>
      </c>
      <c r="K9335" s="160" t="s">
        <v>145</v>
      </c>
      <c r="L9335" s="154" t="str">
        <f>IF(OpenLCAbasic!K9335="CTUh", "Fill in Manually",IF(OR(K9335="Unit", K9335=""), "", INDEX(LookUps!$E$5:$E$12, MATCH(OpenLCAbasic!K9335,LookUps!$D$5:$D$12,0))))</f>
        <v>Particulate Matter Formation Potential (PMFP) - kg PM2.5 eq</v>
      </c>
      <c r="M9335" s="154" t="str">
        <f t="shared" si="771"/>
        <v>Base_High_Base_Upgraded_Particulate Matter Formation Potential (PMFP) - kg PM2.5 eq_Gravity Belt Thickener; wastewater treatment unit; at updated plant - US_Base_With Amendment_Aerated Static Pile</v>
      </c>
    </row>
    <row r="9336" spans="1:13" s="120" customFormat="1" x14ac:dyDescent="0.25">
      <c r="A9336" s="119"/>
      <c r="B9336" s="138" t="str">
        <f t="shared" si="766"/>
        <v>Aerated Static Pile</v>
      </c>
      <c r="C9336" s="138" t="str">
        <f t="shared" si="767"/>
        <v>Base_With Amendment</v>
      </c>
      <c r="D9336" s="138" t="str">
        <f t="shared" si="770"/>
        <v>High_Base</v>
      </c>
      <c r="E9336" s="138" t="str">
        <f t="shared" si="768"/>
        <v>Base</v>
      </c>
      <c r="F9336" s="138" t="str">
        <f t="shared" si="769"/>
        <v>Upgraded</v>
      </c>
      <c r="G9336" s="153"/>
      <c r="H9336" s="210">
        <v>8.4599999999999995E-2</v>
      </c>
      <c r="I9336" s="160" t="s">
        <v>62</v>
      </c>
      <c r="J9336" s="211">
        <v>8.1846699999999997E-5</v>
      </c>
      <c r="K9336" s="160" t="s">
        <v>145</v>
      </c>
      <c r="L9336" s="154" t="str">
        <f>IF(OpenLCAbasic!K9336="CTUh", "Fill in Manually",IF(OR(K9336="Unit", K9336=""), "", INDEX(LookUps!$E$5:$E$12, MATCH(OpenLCAbasic!K9336,LookUps!$D$5:$D$12,0))))</f>
        <v>Particulate Matter Formation Potential (PMFP) - kg PM2.5 eq</v>
      </c>
      <c r="M9336" s="154" t="str">
        <f t="shared" si="771"/>
        <v>Base_High_Base_Upgraded_Particulate Matter Formation Potential (PMFP) - kg PM2.5 eq_Land application of compost; wastewater treatment unit; at updated plant - US_Base_With Amendment_Aerated Static Pile</v>
      </c>
    </row>
    <row r="9337" spans="1:13" s="120" customFormat="1" x14ac:dyDescent="0.25">
      <c r="A9337" s="119"/>
      <c r="B9337" s="138" t="str">
        <f t="shared" ref="B9337:B9400" si="772">IF(F9337="Legacy","n.a.",IF(F9337="","","Aerated Static Pile"))</f>
        <v>Aerated Static Pile</v>
      </c>
      <c r="C9337" s="138" t="str">
        <f t="shared" ref="C9337:C9400" si="773">IF(ISNUMBER($J9337),"Base_With Amendment","")</f>
        <v>Base_With Amendment</v>
      </c>
      <c r="D9337" s="138" t="str">
        <f t="shared" si="770"/>
        <v>High_Base</v>
      </c>
      <c r="E9337" s="138" t="str">
        <f t="shared" ref="E9337:E9400" si="774">IF(ISNUMBER($J9337),"Base","")</f>
        <v>Base</v>
      </c>
      <c r="F9337" s="138" t="str">
        <f t="shared" ref="F9337:F9400" si="775">IF(ISNUMBER(J9337),"Upgraded","")</f>
        <v>Upgraded</v>
      </c>
      <c r="G9337" s="153"/>
      <c r="H9337" s="210">
        <v>7.2300000000000003E-2</v>
      </c>
      <c r="I9337" s="160" t="s">
        <v>59</v>
      </c>
      <c r="J9337" s="211">
        <v>6.9942200000000003E-5</v>
      </c>
      <c r="K9337" s="160" t="s">
        <v>145</v>
      </c>
      <c r="L9337" s="154" t="str">
        <f>IF(OpenLCAbasic!K9337="CTUh", "Fill in Manually",IF(OR(K9337="Unit", K9337=""), "", INDEX(LookUps!$E$5:$E$12, MATCH(OpenLCAbasic!K9337,LookUps!$D$5:$D$12,0))))</f>
        <v>Particulate Matter Formation Potential (PMFP) - kg PM2.5 eq</v>
      </c>
      <c r="M9337" s="154" t="str">
        <f t="shared" si="771"/>
        <v>Base_High_Base_Upgraded_Particulate Matter Formation Potential (PMFP) - kg PM2.5 eq_Blend Tank; wastewater treatment unit; at updated plant - US_Base_With Amendment_Aerated Static Pile</v>
      </c>
    </row>
    <row r="9338" spans="1:13" s="120" customFormat="1" x14ac:dyDescent="0.25">
      <c r="A9338" s="119"/>
      <c r="B9338" s="138" t="str">
        <f t="shared" si="772"/>
        <v>Aerated Static Pile</v>
      </c>
      <c r="C9338" s="138" t="str">
        <f t="shared" si="773"/>
        <v>Base_With Amendment</v>
      </c>
      <c r="D9338" s="138" t="str">
        <f t="shared" si="770"/>
        <v>High_Base</v>
      </c>
      <c r="E9338" s="138" t="str">
        <f t="shared" si="774"/>
        <v>Base</v>
      </c>
      <c r="F9338" s="138" t="str">
        <f t="shared" si="775"/>
        <v>Upgraded</v>
      </c>
      <c r="G9338" s="153"/>
      <c r="H9338" s="210">
        <v>5.16E-2</v>
      </c>
      <c r="I9338" s="160" t="s">
        <v>48</v>
      </c>
      <c r="J9338" s="211">
        <v>4.99741E-5</v>
      </c>
      <c r="K9338" s="160" t="s">
        <v>145</v>
      </c>
      <c r="L9338" s="154" t="str">
        <f>IF(OpenLCAbasic!K9338="CTUh", "Fill in Manually",IF(OR(K9338="Unit", K9338=""), "", INDEX(LookUps!$E$5:$E$12, MATCH(OpenLCAbasic!K9338,LookUps!$D$5:$D$12,0))))</f>
        <v>Particulate Matter Formation Potential (PMFP) - kg PM2.5 eq</v>
      </c>
      <c r="M9338" s="154" t="str">
        <f t="shared" si="771"/>
        <v>Base_High_Base_Upgraded_Particulate Matter Formation Potential (PMFP) - kg PM2.5 eq_Effluent release; wastewater treatment unit; at surface water; m3 wastewater - US_Base_With Amendment_Aerated Static Pile</v>
      </c>
    </row>
    <row r="9339" spans="1:13" s="120" customFormat="1" x14ac:dyDescent="0.25">
      <c r="A9339" s="119"/>
      <c r="B9339" s="138" t="str">
        <f t="shared" si="772"/>
        <v>Aerated Static Pile</v>
      </c>
      <c r="C9339" s="138" t="str">
        <f t="shared" si="773"/>
        <v>Base_With Amendment</v>
      </c>
      <c r="D9339" s="138" t="str">
        <f t="shared" si="770"/>
        <v>High_Base</v>
      </c>
      <c r="E9339" s="138" t="str">
        <f t="shared" si="774"/>
        <v>Base</v>
      </c>
      <c r="F9339" s="138" t="str">
        <f t="shared" si="775"/>
        <v>Upgraded</v>
      </c>
      <c r="G9339" s="153"/>
      <c r="H9339" s="210">
        <v>3.5700000000000003E-2</v>
      </c>
      <c r="I9339" s="160" t="s">
        <v>168</v>
      </c>
      <c r="J9339" s="211">
        <v>3.4562199999999999E-5</v>
      </c>
      <c r="K9339" s="160" t="s">
        <v>145</v>
      </c>
      <c r="L9339" s="154" t="str">
        <f>IF(OpenLCAbasic!K9339="CTUh", "Fill in Manually",IF(OR(K9339="Unit", K9339=""), "", INDEX(LookUps!$E$5:$E$12, MATCH(OpenLCAbasic!K9339,LookUps!$D$5:$D$12,0))))</f>
        <v>Particulate Matter Formation Potential (PMFP) - kg PM2.5 eq</v>
      </c>
      <c r="M9339" s="154" t="str">
        <f t="shared" si="771"/>
        <v>Base_High_Base_Upgraded_Particulate Matter Formation Potential (PMFP) - kg PM2.5 eq_ClearCove SCP; wastewater treatment unit; at updated plant - US_Base_With Amendment_Aerated Static Pile</v>
      </c>
    </row>
    <row r="9340" spans="1:13" s="120" customFormat="1" x14ac:dyDescent="0.25">
      <c r="A9340" s="119"/>
      <c r="B9340" s="138" t="str">
        <f t="shared" si="772"/>
        <v>Aerated Static Pile</v>
      </c>
      <c r="C9340" s="138" t="str">
        <f t="shared" si="773"/>
        <v>Base_With Amendment</v>
      </c>
      <c r="D9340" s="138" t="str">
        <f t="shared" si="770"/>
        <v>High_Base</v>
      </c>
      <c r="E9340" s="138" t="str">
        <f t="shared" si="774"/>
        <v>Base</v>
      </c>
      <c r="F9340" s="138" t="str">
        <f t="shared" si="775"/>
        <v>Upgraded</v>
      </c>
      <c r="G9340" s="153"/>
      <c r="H9340" s="210">
        <v>9.1000000000000004E-3</v>
      </c>
      <c r="I9340" s="160" t="s">
        <v>148</v>
      </c>
      <c r="J9340" s="211">
        <v>8.8212999999999997E-6</v>
      </c>
      <c r="K9340" s="160" t="s">
        <v>145</v>
      </c>
      <c r="L9340" s="154" t="str">
        <f>IF(OpenLCAbasic!K9340="CTUh", "Fill in Manually",IF(OR(K9340="Unit", K9340=""), "", INDEX(LookUps!$E$5:$E$12, MATCH(OpenLCAbasic!K9340,LookUps!$D$5:$D$12,0))))</f>
        <v>Particulate Matter Formation Potential (PMFP) - kg PM2.5 eq</v>
      </c>
      <c r="M9340" s="154" t="str">
        <f t="shared" si="771"/>
        <v>Base_High_Base_Upgraded_Particulate Matter Formation Potential (PMFP) - kg PM2.5 eq_Control Building; at upgraded wastewater treatment plant - US_Base_With Amendment_Aerated Static Pile</v>
      </c>
    </row>
    <row r="9341" spans="1:13" s="120" customFormat="1" x14ac:dyDescent="0.25">
      <c r="A9341" s="119"/>
      <c r="B9341" s="138" t="str">
        <f t="shared" si="772"/>
        <v>Aerated Static Pile</v>
      </c>
      <c r="C9341" s="138" t="str">
        <f t="shared" si="773"/>
        <v>Base_With Amendment</v>
      </c>
      <c r="D9341" s="138" t="str">
        <f t="shared" si="770"/>
        <v>High_Base</v>
      </c>
      <c r="E9341" s="138" t="str">
        <f t="shared" si="774"/>
        <v>Base</v>
      </c>
      <c r="F9341" s="138" t="str">
        <f t="shared" si="775"/>
        <v>Upgraded</v>
      </c>
      <c r="G9341" s="153"/>
      <c r="H9341" s="210">
        <v>-6.2209000000000003</v>
      </c>
      <c r="I9341" s="160" t="s">
        <v>149</v>
      </c>
      <c r="J9341" s="160">
        <v>-6.0200000000000002E-3</v>
      </c>
      <c r="K9341" s="160" t="s">
        <v>145</v>
      </c>
      <c r="L9341" s="154" t="str">
        <f>IF(OpenLCAbasic!K9341="CTUh", "Fill in Manually",IF(OR(K9341="Unit", K9341=""), "", INDEX(LookUps!$E$5:$E$12, MATCH(OpenLCAbasic!K9341,LookUps!$D$5:$D$12,0))))</f>
        <v>Particulate Matter Formation Potential (PMFP) - kg PM2.5 eq</v>
      </c>
      <c r="M9341" s="154" t="str">
        <f t="shared" si="771"/>
        <v>Base_High_Base_Upgraded_Particulate Matter Formation Potential (PMFP) - kg PM2.5 eq_Anaerobic Digestion; wastewater treatment unit; at updated plant - US_Base_With Amendment_Aerated Static Pile</v>
      </c>
    </row>
    <row r="9342" spans="1:13" s="120" customFormat="1" x14ac:dyDescent="0.25">
      <c r="A9342" s="119"/>
      <c r="B9342" s="138" t="str">
        <f t="shared" si="772"/>
        <v/>
      </c>
      <c r="C9342" s="138" t="str">
        <f t="shared" si="773"/>
        <v/>
      </c>
      <c r="D9342" s="138" t="str">
        <f t="shared" si="770"/>
        <v/>
      </c>
      <c r="E9342" s="138" t="str">
        <f t="shared" si="774"/>
        <v/>
      </c>
      <c r="F9342" s="138" t="str">
        <f t="shared" si="775"/>
        <v/>
      </c>
      <c r="G9342" s="153" t="s">
        <v>51</v>
      </c>
      <c r="H9342" s="160"/>
      <c r="I9342" s="160" t="s">
        <v>47</v>
      </c>
      <c r="J9342" s="160" t="s">
        <v>52</v>
      </c>
      <c r="K9342" s="160" t="s">
        <v>27</v>
      </c>
      <c r="L9342" s="154" t="str">
        <f>IF(OpenLCAbasic!K9342="CTUh", "Fill in Manually",IF(OR(K9342="Unit", K9342=""), "", INDEX(LookUps!$E$5:$E$12, MATCH(OpenLCAbasic!K9342,LookUps!$D$5:$D$12,0))))</f>
        <v/>
      </c>
      <c r="M9342" s="154" t="str">
        <f t="shared" si="771"/>
        <v>____Process__</v>
      </c>
    </row>
    <row r="9343" spans="1:13" s="120" customFormat="1" x14ac:dyDescent="0.25">
      <c r="A9343" s="119"/>
      <c r="B9343" s="138" t="str">
        <f t="shared" si="772"/>
        <v>Aerated Static Pile</v>
      </c>
      <c r="C9343" s="138" t="str">
        <f t="shared" si="773"/>
        <v>Base_With Amendment</v>
      </c>
      <c r="D9343" s="138" t="str">
        <f t="shared" si="770"/>
        <v>High_Base</v>
      </c>
      <c r="E9343" s="138" t="str">
        <f t="shared" si="774"/>
        <v>Base</v>
      </c>
      <c r="F9343" s="138" t="str">
        <f t="shared" si="775"/>
        <v>Upgraded</v>
      </c>
      <c r="G9343" s="153"/>
      <c r="H9343" s="210">
        <v>2.5636999999999999</v>
      </c>
      <c r="I9343" s="160" t="s">
        <v>55</v>
      </c>
      <c r="J9343" s="160">
        <v>0.16577</v>
      </c>
      <c r="K9343" s="160" t="s">
        <v>25</v>
      </c>
      <c r="L9343" s="154" t="str">
        <f>IF(OpenLCAbasic!K9343="CTUh", "Fill in Manually",IF(OR(K9343="Unit", K9343=""), "", INDEX(LookUps!$E$5:$E$12, MATCH(OpenLCAbasic!K9343,LookUps!$D$5:$D$12,0))))</f>
        <v>Smog Formation Potential (SFP) - kg O3 eq</v>
      </c>
      <c r="M9343" s="154" t="str">
        <f t="shared" si="771"/>
        <v>Base_High_Base_Upgraded_Smog Formation Potential (SFP) - kg O3 eq_Aeration Tanks; wastewater treatment unit; at updated plant - US_Base_With Amendment_Aerated Static Pile</v>
      </c>
    </row>
    <row r="9344" spans="1:13" s="120" customFormat="1" x14ac:dyDescent="0.25">
      <c r="A9344" s="119"/>
      <c r="B9344" s="138" t="str">
        <f t="shared" si="772"/>
        <v>Aerated Static Pile</v>
      </c>
      <c r="C9344" s="138" t="str">
        <f t="shared" si="773"/>
        <v>Base_With Amendment</v>
      </c>
      <c r="D9344" s="138" t="str">
        <f t="shared" si="770"/>
        <v>High_Base</v>
      </c>
      <c r="E9344" s="138" t="str">
        <f t="shared" si="774"/>
        <v>Base</v>
      </c>
      <c r="F9344" s="138" t="str">
        <f t="shared" si="775"/>
        <v>Upgraded</v>
      </c>
      <c r="G9344" s="153"/>
      <c r="H9344" s="210">
        <v>1.7567999999999999</v>
      </c>
      <c r="I9344" s="160" t="s">
        <v>435</v>
      </c>
      <c r="J9344" s="160">
        <v>0.11360000000000001</v>
      </c>
      <c r="K9344" s="160" t="s">
        <v>25</v>
      </c>
      <c r="L9344" s="154" t="str">
        <f>IF(OpenLCAbasic!K9344="CTUh", "Fill in Manually",IF(OR(K9344="Unit", K9344=""), "", INDEX(LookUps!$E$5:$E$12, MATCH(OpenLCAbasic!K9344,LookUps!$D$5:$D$12,0))))</f>
        <v>Smog Formation Potential (SFP) - kg O3 eq</v>
      </c>
      <c r="M9344" s="154" t="str">
        <f t="shared" si="771"/>
        <v>Base_High_Base_Upgraded_Smog Formation Potential (SFP) - kg O3 eq_Biosolids composting; aerated static pile; wastewater treatment unit; at updated plant - US_Base_With Amendment_Aerated Static Pile</v>
      </c>
    </row>
    <row r="9345" spans="1:13" s="120" customFormat="1" x14ac:dyDescent="0.25">
      <c r="A9345" s="119"/>
      <c r="B9345" s="138" t="str">
        <f t="shared" si="772"/>
        <v>Aerated Static Pile</v>
      </c>
      <c r="C9345" s="138" t="str">
        <f t="shared" si="773"/>
        <v>Base_With Amendment</v>
      </c>
      <c r="D9345" s="138" t="str">
        <f t="shared" si="770"/>
        <v>High_Base</v>
      </c>
      <c r="E9345" s="138" t="str">
        <f t="shared" si="774"/>
        <v>Base</v>
      </c>
      <c r="F9345" s="138" t="str">
        <f t="shared" si="775"/>
        <v>Upgraded</v>
      </c>
      <c r="G9345" s="153"/>
      <c r="H9345" s="210">
        <v>0.74350000000000005</v>
      </c>
      <c r="I9345" s="160" t="s">
        <v>54</v>
      </c>
      <c r="J9345" s="160">
        <v>4.8070000000000002E-2</v>
      </c>
      <c r="K9345" s="160" t="s">
        <v>25</v>
      </c>
      <c r="L9345" s="154" t="str">
        <f>IF(OpenLCAbasic!K9345="CTUh", "Fill in Manually",IF(OR(K9345="Unit", K9345=""), "", INDEX(LookUps!$E$5:$E$12, MATCH(OpenLCAbasic!K9345,LookUps!$D$5:$D$12,0))))</f>
        <v>Smog Formation Potential (SFP) - kg O3 eq</v>
      </c>
      <c r="M9345" s="154" t="str">
        <f t="shared" si="771"/>
        <v>Base_High_Base_Upgraded_Smog Formation Potential (SFP) - kg O3 eq_Clear Cove Primary Clarification; wastewater treatment unit; at updated plant - US_Base_With Amendment_Aerated Static Pile</v>
      </c>
    </row>
    <row r="9346" spans="1:13" s="120" customFormat="1" x14ac:dyDescent="0.25">
      <c r="A9346" s="119"/>
      <c r="B9346" s="138" t="str">
        <f t="shared" si="772"/>
        <v>Aerated Static Pile</v>
      </c>
      <c r="C9346" s="138" t="str">
        <f t="shared" si="773"/>
        <v>Base_With Amendment</v>
      </c>
      <c r="D9346" s="138" t="str">
        <f t="shared" si="770"/>
        <v>High_Base</v>
      </c>
      <c r="E9346" s="138" t="str">
        <f t="shared" si="774"/>
        <v>Base</v>
      </c>
      <c r="F9346" s="138" t="str">
        <f t="shared" si="775"/>
        <v>Upgraded</v>
      </c>
      <c r="G9346" s="153"/>
      <c r="H9346" s="210">
        <v>0.65100000000000002</v>
      </c>
      <c r="I9346" s="160" t="s">
        <v>58</v>
      </c>
      <c r="J9346" s="160">
        <v>4.2090000000000002E-2</v>
      </c>
      <c r="K9346" s="160" t="s">
        <v>25</v>
      </c>
      <c r="L9346" s="154" t="str">
        <f>IF(OpenLCAbasic!K9346="CTUh", "Fill in Manually",IF(OR(K9346="Unit", K9346=""), "", INDEX(LookUps!$E$5:$E$12, MATCH(OpenLCAbasic!K9346,LookUps!$D$5:$D$12,0))))</f>
        <v>Smog Formation Potential (SFP) - kg O3 eq</v>
      </c>
      <c r="M9346" s="154" t="str">
        <f t="shared" si="771"/>
        <v>Base_High_Base_Upgraded_Smog Formation Potential (SFP) - kg O3 eq_Pre-Anoxic &amp; Swing tank; wastewater treatment unit; at updated plant - US_Base_With Amendment_Aerated Static Pile</v>
      </c>
    </row>
    <row r="9347" spans="1:13" s="120" customFormat="1" x14ac:dyDescent="0.25">
      <c r="A9347" s="119"/>
      <c r="B9347" s="138" t="str">
        <f t="shared" si="772"/>
        <v>Aerated Static Pile</v>
      </c>
      <c r="C9347" s="138" t="str">
        <f t="shared" si="773"/>
        <v>Base_With Amendment</v>
      </c>
      <c r="D9347" s="138" t="str">
        <f t="shared" si="770"/>
        <v>High_Base</v>
      </c>
      <c r="E9347" s="138" t="str">
        <f t="shared" si="774"/>
        <v>Base</v>
      </c>
      <c r="F9347" s="138" t="str">
        <f t="shared" si="775"/>
        <v>Upgraded</v>
      </c>
      <c r="G9347" s="153"/>
      <c r="H9347" s="210">
        <v>0.52200000000000002</v>
      </c>
      <c r="I9347" s="160" t="s">
        <v>167</v>
      </c>
      <c r="J9347" s="160">
        <v>3.3759999999999998E-2</v>
      </c>
      <c r="K9347" s="160" t="s">
        <v>25</v>
      </c>
      <c r="L9347" s="154" t="str">
        <f>IF(OpenLCAbasic!K9347="CTUh", "Fill in Manually",IF(OR(K9347="Unit", K9347=""), "", INDEX(LookUps!$E$5:$E$12, MATCH(OpenLCAbasic!K9347,LookUps!$D$5:$D$12,0))))</f>
        <v>Smog Formation Potential (SFP) - kg O3 eq</v>
      </c>
      <c r="M9347" s="154" t="str">
        <f t="shared" si="771"/>
        <v>Base_High_Base_Upgraded_Smog Formation Potential (SFP) - kg O3 eq_Waste Receiving and Holding; wastewater treatment unit; at updated plant - US_Base_With Amendment_Aerated Static Pile</v>
      </c>
    </row>
    <row r="9348" spans="1:13" s="120" customFormat="1" x14ac:dyDescent="0.25">
      <c r="A9348" s="119"/>
      <c r="B9348" s="138" t="str">
        <f t="shared" si="772"/>
        <v>Aerated Static Pile</v>
      </c>
      <c r="C9348" s="138" t="str">
        <f t="shared" si="773"/>
        <v>Base_With Amendment</v>
      </c>
      <c r="D9348" s="138" t="str">
        <f t="shared" si="770"/>
        <v>High_Base</v>
      </c>
      <c r="E9348" s="138" t="str">
        <f t="shared" si="774"/>
        <v>Base</v>
      </c>
      <c r="F9348" s="138" t="str">
        <f t="shared" si="775"/>
        <v>Upgraded</v>
      </c>
      <c r="G9348" s="153"/>
      <c r="H9348" s="210">
        <v>0.51229999999999998</v>
      </c>
      <c r="I9348" s="160" t="s">
        <v>53</v>
      </c>
      <c r="J9348" s="160">
        <v>3.313E-2</v>
      </c>
      <c r="K9348" s="160" t="s">
        <v>25</v>
      </c>
      <c r="L9348" s="154" t="str">
        <f>IF(OpenLCAbasic!K9348="CTUh", "Fill in Manually",IF(OR(K9348="Unit", K9348=""), "", INDEX(LookUps!$E$5:$E$12, MATCH(OpenLCAbasic!K9348,LookUps!$D$5:$D$12,0))))</f>
        <v>Smog Formation Potential (SFP) - kg O3 eq</v>
      </c>
      <c r="M9348" s="154" t="str">
        <f t="shared" si="771"/>
        <v>Base_High_Base_Upgraded_Smog Formation Potential (SFP) - kg O3 eq_Wet Well and Sump Station; wastewater treatment unit; at updated plant - US_Base_With Amendment_Aerated Static Pile</v>
      </c>
    </row>
    <row r="9349" spans="1:13" s="120" customFormat="1" x14ac:dyDescent="0.25">
      <c r="A9349" s="119"/>
      <c r="B9349" s="138" t="str">
        <f t="shared" si="772"/>
        <v>Aerated Static Pile</v>
      </c>
      <c r="C9349" s="138" t="str">
        <f t="shared" si="773"/>
        <v>Base_With Amendment</v>
      </c>
      <c r="D9349" s="138" t="str">
        <f t="shared" si="770"/>
        <v>High_Base</v>
      </c>
      <c r="E9349" s="138" t="str">
        <f t="shared" si="774"/>
        <v>Base</v>
      </c>
      <c r="F9349" s="138" t="str">
        <f t="shared" si="775"/>
        <v>Upgraded</v>
      </c>
      <c r="G9349" s="153"/>
      <c r="H9349" s="210">
        <v>0.3</v>
      </c>
      <c r="I9349" s="160" t="s">
        <v>147</v>
      </c>
      <c r="J9349" s="160">
        <v>1.9400000000000001E-2</v>
      </c>
      <c r="K9349" s="160" t="s">
        <v>25</v>
      </c>
      <c r="L9349" s="154" t="str">
        <f>IF(OpenLCAbasic!K9349="CTUh", "Fill in Manually",IF(OR(K9349="Unit", K9349=""), "", INDEX(LookUps!$E$5:$E$12, MATCH(OpenLCAbasic!K9349,LookUps!$D$5:$D$12,0))))</f>
        <v>Smog Formation Potential (SFP) - kg O3 eq</v>
      </c>
      <c r="M9349" s="154" t="str">
        <f t="shared" si="771"/>
        <v>Base_High_Base_Upgraded_Smog Formation Potential (SFP) - kg O3 eq_Influent Pump Station; wastewater treatment unit; at updated plant - US_Base_With Amendment_Aerated Static Pile</v>
      </c>
    </row>
    <row r="9350" spans="1:13" s="120" customFormat="1" x14ac:dyDescent="0.25">
      <c r="A9350" s="119"/>
      <c r="B9350" s="138" t="str">
        <f t="shared" si="772"/>
        <v>Aerated Static Pile</v>
      </c>
      <c r="C9350" s="138" t="str">
        <f t="shared" si="773"/>
        <v>Base_With Amendment</v>
      </c>
      <c r="D9350" s="138" t="str">
        <f t="shared" si="770"/>
        <v>High_Base</v>
      </c>
      <c r="E9350" s="138" t="str">
        <f t="shared" si="774"/>
        <v>Base</v>
      </c>
      <c r="F9350" s="138" t="str">
        <f t="shared" si="775"/>
        <v>Upgraded</v>
      </c>
      <c r="G9350" s="153"/>
      <c r="H9350" s="210">
        <v>0.21440000000000001</v>
      </c>
      <c r="I9350" s="160" t="s">
        <v>60</v>
      </c>
      <c r="J9350" s="160">
        <v>1.387E-2</v>
      </c>
      <c r="K9350" s="160" t="s">
        <v>25</v>
      </c>
      <c r="L9350" s="154" t="str">
        <f>IF(OpenLCAbasic!K9350="CTUh", "Fill in Manually",IF(OR(K9350="Unit", K9350=""), "", INDEX(LookUps!$E$5:$E$12, MATCH(OpenLCAbasic!K9350,LookUps!$D$5:$D$12,0))))</f>
        <v>Smog Formation Potential (SFP) - kg O3 eq</v>
      </c>
      <c r="M9350" s="154" t="str">
        <f t="shared" si="771"/>
        <v>Base_High_Base_Upgraded_Smog Formation Potential (SFP) - kg O3 eq_Belt filter press; wastewater treatment unit; at updated plant - US_Base_With Amendment_Aerated Static Pile</v>
      </c>
    </row>
    <row r="9351" spans="1:13" s="120" customFormat="1" x14ac:dyDescent="0.25">
      <c r="A9351" s="119"/>
      <c r="B9351" s="138" t="str">
        <f t="shared" si="772"/>
        <v>Aerated Static Pile</v>
      </c>
      <c r="C9351" s="138" t="str">
        <f t="shared" si="773"/>
        <v>Base_With Amendment</v>
      </c>
      <c r="D9351" s="138" t="str">
        <f t="shared" si="770"/>
        <v>High_Base</v>
      </c>
      <c r="E9351" s="138" t="str">
        <f t="shared" si="774"/>
        <v>Base</v>
      </c>
      <c r="F9351" s="138" t="str">
        <f t="shared" si="775"/>
        <v>Upgraded</v>
      </c>
      <c r="G9351" s="153"/>
      <c r="H9351" s="210">
        <v>0.18429999999999999</v>
      </c>
      <c r="I9351" s="160" t="s">
        <v>128</v>
      </c>
      <c r="J9351" s="160">
        <v>1.192E-2</v>
      </c>
      <c r="K9351" s="160" t="s">
        <v>25</v>
      </c>
      <c r="L9351" s="154" t="str">
        <f>IF(OpenLCAbasic!K9351="CTUh", "Fill in Manually",IF(OR(K9351="Unit", K9351=""), "", INDEX(LookUps!$E$5:$E$12, MATCH(OpenLCAbasic!K9351,LookUps!$D$5:$D$12,0))))</f>
        <v>Smog Formation Potential (SFP) - kg O3 eq</v>
      </c>
      <c r="M9351" s="154" t="str">
        <f t="shared" si="771"/>
        <v>Base_High_Base_Upgraded_Smog Formation Potential (SFP) - kg O3 eq_Wastewater collection; operation and infrastructure; m3 wastewater_Base_With Amendment_Aerated Static Pile</v>
      </c>
    </row>
    <row r="9352" spans="1:13" s="120" customFormat="1" x14ac:dyDescent="0.25">
      <c r="A9352" s="119"/>
      <c r="B9352" s="138" t="str">
        <f t="shared" si="772"/>
        <v>Aerated Static Pile</v>
      </c>
      <c r="C9352" s="138" t="str">
        <f t="shared" si="773"/>
        <v>Base_With Amendment</v>
      </c>
      <c r="D9352" s="138" t="str">
        <f t="shared" si="770"/>
        <v>High_Base</v>
      </c>
      <c r="E9352" s="138" t="str">
        <f t="shared" si="774"/>
        <v>Base</v>
      </c>
      <c r="F9352" s="138" t="str">
        <f t="shared" si="775"/>
        <v>Upgraded</v>
      </c>
      <c r="G9352" s="153"/>
      <c r="H9352" s="210">
        <v>0.10290000000000001</v>
      </c>
      <c r="I9352" s="160" t="s">
        <v>57</v>
      </c>
      <c r="J9352" s="160">
        <v>6.6499999999999997E-3</v>
      </c>
      <c r="K9352" s="160" t="s">
        <v>25</v>
      </c>
      <c r="L9352" s="154" t="str">
        <f>IF(OpenLCAbasic!K9352="CTUh", "Fill in Manually",IF(OR(K9352="Unit", K9352=""), "", INDEX(LookUps!$E$5:$E$12, MATCH(OpenLCAbasic!K9352,LookUps!$D$5:$D$12,0))))</f>
        <v>Smog Formation Potential (SFP) - kg O3 eq</v>
      </c>
      <c r="M9352" s="154" t="str">
        <f t="shared" si="771"/>
        <v>Base_High_Base_Upgraded_Smog Formation Potential (SFP) - kg O3 eq_Gravity Belt Thickener; wastewater treatment unit; at updated plant - US_Base_With Amendment_Aerated Static Pile</v>
      </c>
    </row>
    <row r="9353" spans="1:13" s="120" customFormat="1" x14ac:dyDescent="0.25">
      <c r="A9353" s="119"/>
      <c r="B9353" s="138" t="str">
        <f t="shared" si="772"/>
        <v>Aerated Static Pile</v>
      </c>
      <c r="C9353" s="138" t="str">
        <f t="shared" si="773"/>
        <v>Base_With Amendment</v>
      </c>
      <c r="D9353" s="138" t="str">
        <f t="shared" si="770"/>
        <v>High_Base</v>
      </c>
      <c r="E9353" s="138" t="str">
        <f t="shared" si="774"/>
        <v>Base</v>
      </c>
      <c r="F9353" s="138" t="str">
        <f t="shared" si="775"/>
        <v>Upgraded</v>
      </c>
      <c r="G9353" s="153"/>
      <c r="H9353" s="210">
        <v>7.6899999999999996E-2</v>
      </c>
      <c r="I9353" s="160" t="s">
        <v>59</v>
      </c>
      <c r="J9353" s="160">
        <v>4.9699999999999996E-3</v>
      </c>
      <c r="K9353" s="160" t="s">
        <v>25</v>
      </c>
      <c r="L9353" s="154" t="str">
        <f>IF(OpenLCAbasic!K9353="CTUh", "Fill in Manually",IF(OR(K9353="Unit", K9353=""), "", INDEX(LookUps!$E$5:$E$12, MATCH(OpenLCAbasic!K9353,LookUps!$D$5:$D$12,0))))</f>
        <v>Smog Formation Potential (SFP) - kg O3 eq</v>
      </c>
      <c r="M9353" s="154" t="str">
        <f t="shared" si="771"/>
        <v>Base_High_Base_Upgraded_Smog Formation Potential (SFP) - kg O3 eq_Blend Tank; wastewater treatment unit; at updated plant - US_Base_With Amendment_Aerated Static Pile</v>
      </c>
    </row>
    <row r="9354" spans="1:13" s="120" customFormat="1" x14ac:dyDescent="0.25">
      <c r="A9354" s="119"/>
      <c r="B9354" s="138" t="str">
        <f t="shared" si="772"/>
        <v>Aerated Static Pile</v>
      </c>
      <c r="C9354" s="138" t="str">
        <f t="shared" si="773"/>
        <v>Base_With Amendment</v>
      </c>
      <c r="D9354" s="138" t="str">
        <f t="shared" si="770"/>
        <v>High_Base</v>
      </c>
      <c r="E9354" s="138" t="str">
        <f t="shared" si="774"/>
        <v>Base</v>
      </c>
      <c r="F9354" s="138" t="str">
        <f t="shared" si="775"/>
        <v>Upgraded</v>
      </c>
      <c r="G9354" s="153"/>
      <c r="H9354" s="210">
        <v>5.2400000000000002E-2</v>
      </c>
      <c r="I9354" s="160" t="s">
        <v>48</v>
      </c>
      <c r="J9354" s="160">
        <v>3.3899999999999998E-3</v>
      </c>
      <c r="K9354" s="160" t="s">
        <v>25</v>
      </c>
      <c r="L9354" s="154" t="str">
        <f>IF(OpenLCAbasic!K9354="CTUh", "Fill in Manually",IF(OR(K9354="Unit", K9354=""), "", INDEX(LookUps!$E$5:$E$12, MATCH(OpenLCAbasic!K9354,LookUps!$D$5:$D$12,0))))</f>
        <v>Smog Formation Potential (SFP) - kg O3 eq</v>
      </c>
      <c r="M9354" s="154" t="str">
        <f t="shared" si="771"/>
        <v>Base_High_Base_Upgraded_Smog Formation Potential (SFP) - kg O3 eq_Effluent release; wastewater treatment unit; at surface water; m3 wastewater - US_Base_With Amendment_Aerated Static Pile</v>
      </c>
    </row>
    <row r="9355" spans="1:13" s="120" customFormat="1" x14ac:dyDescent="0.25">
      <c r="A9355" s="119"/>
      <c r="B9355" s="138" t="str">
        <f t="shared" si="772"/>
        <v>Aerated Static Pile</v>
      </c>
      <c r="C9355" s="138" t="str">
        <f t="shared" si="773"/>
        <v>Base_With Amendment</v>
      </c>
      <c r="D9355" s="138" t="str">
        <f t="shared" si="770"/>
        <v>High_Base</v>
      </c>
      <c r="E9355" s="138" t="str">
        <f t="shared" si="774"/>
        <v>Base</v>
      </c>
      <c r="F9355" s="138" t="str">
        <f t="shared" si="775"/>
        <v>Upgraded</v>
      </c>
      <c r="G9355" s="153"/>
      <c r="H9355" s="210">
        <v>3.7999999999999999E-2</v>
      </c>
      <c r="I9355" s="160" t="s">
        <v>168</v>
      </c>
      <c r="J9355" s="160">
        <v>2.4599999999999999E-3</v>
      </c>
      <c r="K9355" s="160" t="s">
        <v>25</v>
      </c>
      <c r="L9355" s="154" t="str">
        <f>IF(OpenLCAbasic!K9355="CTUh", "Fill in Manually",IF(OR(K9355="Unit", K9355=""), "", INDEX(LookUps!$E$5:$E$12, MATCH(OpenLCAbasic!K9355,LookUps!$D$5:$D$12,0))))</f>
        <v>Smog Formation Potential (SFP) - kg O3 eq</v>
      </c>
      <c r="M9355" s="154" t="str">
        <f t="shared" si="771"/>
        <v>Base_High_Base_Upgraded_Smog Formation Potential (SFP) - kg O3 eq_ClearCove SCP; wastewater treatment unit; at updated plant - US_Base_With Amendment_Aerated Static Pile</v>
      </c>
    </row>
    <row r="9356" spans="1:13" s="120" customFormat="1" x14ac:dyDescent="0.25">
      <c r="A9356" s="119"/>
      <c r="B9356" s="138" t="str">
        <f t="shared" si="772"/>
        <v>Aerated Static Pile</v>
      </c>
      <c r="C9356" s="138" t="str">
        <f t="shared" si="773"/>
        <v>Base_With Amendment</v>
      </c>
      <c r="D9356" s="138" t="str">
        <f t="shared" si="770"/>
        <v>High_Base</v>
      </c>
      <c r="E9356" s="138" t="str">
        <f t="shared" si="774"/>
        <v>Base</v>
      </c>
      <c r="F9356" s="138" t="str">
        <f t="shared" si="775"/>
        <v>Upgraded</v>
      </c>
      <c r="G9356" s="153"/>
      <c r="H9356" s="210">
        <v>8.3000000000000001E-3</v>
      </c>
      <c r="I9356" s="160" t="s">
        <v>148</v>
      </c>
      <c r="J9356" s="160">
        <v>5.4000000000000001E-4</v>
      </c>
      <c r="K9356" s="160" t="s">
        <v>25</v>
      </c>
      <c r="L9356" s="154" t="str">
        <f>IF(OpenLCAbasic!K9356="CTUh", "Fill in Manually",IF(OR(K9356="Unit", K9356=""), "", INDEX(LookUps!$E$5:$E$12, MATCH(OpenLCAbasic!K9356,LookUps!$D$5:$D$12,0))))</f>
        <v>Smog Formation Potential (SFP) - kg O3 eq</v>
      </c>
      <c r="M9356" s="154" t="str">
        <f t="shared" si="771"/>
        <v>Base_High_Base_Upgraded_Smog Formation Potential (SFP) - kg O3 eq_Control Building; at upgraded wastewater treatment plant - US_Base_With Amendment_Aerated Static Pile</v>
      </c>
    </row>
    <row r="9357" spans="1:13" s="120" customFormat="1" x14ac:dyDescent="0.25">
      <c r="A9357" s="119"/>
      <c r="B9357" s="138" t="str">
        <f t="shared" si="772"/>
        <v>Aerated Static Pile</v>
      </c>
      <c r="C9357" s="138" t="str">
        <f t="shared" si="773"/>
        <v>Base_With Amendment</v>
      </c>
      <c r="D9357" s="138" t="str">
        <f t="shared" si="770"/>
        <v>High_Base</v>
      </c>
      <c r="E9357" s="138" t="str">
        <f t="shared" si="774"/>
        <v>Base</v>
      </c>
      <c r="F9357" s="138" t="str">
        <f t="shared" si="775"/>
        <v>Upgraded</v>
      </c>
      <c r="G9357" s="153"/>
      <c r="H9357" s="210">
        <v>-8.1699999999999995E-2</v>
      </c>
      <c r="I9357" s="160" t="s">
        <v>62</v>
      </c>
      <c r="J9357" s="160">
        <v>-5.28E-3</v>
      </c>
      <c r="K9357" s="160" t="s">
        <v>25</v>
      </c>
      <c r="L9357" s="154" t="str">
        <f>IF(OpenLCAbasic!K9357="CTUh", "Fill in Manually",IF(OR(K9357="Unit", K9357=""), "", INDEX(LookUps!$E$5:$E$12, MATCH(OpenLCAbasic!K9357,LookUps!$D$5:$D$12,0))))</f>
        <v>Smog Formation Potential (SFP) - kg O3 eq</v>
      </c>
      <c r="M9357" s="154" t="str">
        <f t="shared" si="771"/>
        <v>Base_High_Base_Upgraded_Smog Formation Potential (SFP) - kg O3 eq_Land application of compost; wastewater treatment unit; at updated plant - US_Base_With Amendment_Aerated Static Pile</v>
      </c>
    </row>
    <row r="9358" spans="1:13" s="120" customFormat="1" x14ac:dyDescent="0.25">
      <c r="A9358" s="119"/>
      <c r="B9358" s="138" t="str">
        <f t="shared" si="772"/>
        <v>Aerated Static Pile</v>
      </c>
      <c r="C9358" s="138" t="str">
        <f t="shared" si="773"/>
        <v>Base_With Amendment</v>
      </c>
      <c r="D9358" s="138" t="str">
        <f t="shared" si="770"/>
        <v>High_Base</v>
      </c>
      <c r="E9358" s="138" t="str">
        <f t="shared" si="774"/>
        <v>Base</v>
      </c>
      <c r="F9358" s="138" t="str">
        <f t="shared" si="775"/>
        <v>Upgraded</v>
      </c>
      <c r="G9358" s="153"/>
      <c r="H9358" s="210">
        <v>-6.6447000000000003</v>
      </c>
      <c r="I9358" s="160" t="s">
        <v>149</v>
      </c>
      <c r="J9358" s="160">
        <v>-0.42965999999999999</v>
      </c>
      <c r="K9358" s="160" t="s">
        <v>25</v>
      </c>
      <c r="L9358" s="154" t="str">
        <f>IF(OpenLCAbasic!K9358="CTUh", "Fill in Manually",IF(OR(K9358="Unit", K9358=""), "", INDEX(LookUps!$E$5:$E$12, MATCH(OpenLCAbasic!K9358,LookUps!$D$5:$D$12,0))))</f>
        <v>Smog Formation Potential (SFP) - kg O3 eq</v>
      </c>
      <c r="M9358" s="154" t="str">
        <f t="shared" si="771"/>
        <v>Base_High_Base_Upgraded_Smog Formation Potential (SFP) - kg O3 eq_Anaerobic Digestion; wastewater treatment unit; at updated plant - US_Base_With Amendment_Aerated Static Pile</v>
      </c>
    </row>
    <row r="9359" spans="1:13" s="120" customFormat="1" x14ac:dyDescent="0.25">
      <c r="A9359" s="119"/>
      <c r="B9359" s="138" t="str">
        <f t="shared" si="772"/>
        <v/>
      </c>
      <c r="C9359" s="138" t="str">
        <f t="shared" si="773"/>
        <v/>
      </c>
      <c r="D9359" s="138" t="str">
        <f t="shared" si="770"/>
        <v/>
      </c>
      <c r="E9359" s="138" t="str">
        <f t="shared" si="774"/>
        <v/>
      </c>
      <c r="F9359" s="138" t="str">
        <f t="shared" si="775"/>
        <v/>
      </c>
      <c r="G9359" s="153" t="s">
        <v>51</v>
      </c>
      <c r="H9359" s="160"/>
      <c r="I9359" s="160" t="s">
        <v>47</v>
      </c>
      <c r="J9359" s="160" t="s">
        <v>52</v>
      </c>
      <c r="K9359" s="160" t="s">
        <v>27</v>
      </c>
      <c r="L9359" s="154" t="str">
        <f>IF(OpenLCAbasic!K9359="CTUh", "Fill in Manually",IF(OR(K9359="Unit", K9359=""), "", INDEX(LookUps!$E$5:$E$12, MATCH(OpenLCAbasic!K9359,LookUps!$D$5:$D$12,0))))</f>
        <v/>
      </c>
      <c r="M9359" s="154" t="str">
        <f t="shared" si="771"/>
        <v>____Process__</v>
      </c>
    </row>
    <row r="9360" spans="1:13" s="120" customFormat="1" x14ac:dyDescent="0.25">
      <c r="A9360" s="119"/>
      <c r="B9360" s="138" t="str">
        <f t="shared" si="772"/>
        <v>Aerated Static Pile</v>
      </c>
      <c r="C9360" s="138" t="str">
        <f t="shared" si="773"/>
        <v>Base_With Amendment</v>
      </c>
      <c r="D9360" s="138" t="str">
        <f t="shared" si="770"/>
        <v>High_Base</v>
      </c>
      <c r="E9360" s="138" t="str">
        <f t="shared" si="774"/>
        <v>Base</v>
      </c>
      <c r="F9360" s="138" t="str">
        <f t="shared" si="775"/>
        <v>Upgraded</v>
      </c>
      <c r="G9360" s="153"/>
      <c r="H9360" s="210">
        <v>0.32319999999999999</v>
      </c>
      <c r="I9360" s="160" t="s">
        <v>167</v>
      </c>
      <c r="J9360" s="160">
        <v>3.4000000000000002E-4</v>
      </c>
      <c r="K9360" s="160" t="s">
        <v>26</v>
      </c>
      <c r="L9360" s="154" t="str">
        <f>IF(OpenLCAbasic!K9360="CTUh", "Fill in Manually",IF(OR(K9360="Unit", K9360=""), "", INDEX(LookUps!$E$5:$E$12, MATCH(OpenLCAbasic!K9360,LookUps!$D$5:$D$12,0))))</f>
        <v>Water Use (WU) - m3 H2O</v>
      </c>
      <c r="M9360" s="154" t="str">
        <f t="shared" si="771"/>
        <v>Base_High_Base_Upgraded_Water Use (WU) - m3 H2O_Waste Receiving and Holding; wastewater treatment unit; at updated plant - US_Base_With Amendment_Aerated Static Pile</v>
      </c>
    </row>
    <row r="9361" spans="1:13" s="120" customFormat="1" x14ac:dyDescent="0.25">
      <c r="A9361" s="119"/>
      <c r="B9361" s="138" t="str">
        <f t="shared" si="772"/>
        <v>Aerated Static Pile</v>
      </c>
      <c r="C9361" s="138" t="str">
        <f t="shared" si="773"/>
        <v>Base_With Amendment</v>
      </c>
      <c r="D9361" s="138" t="str">
        <f t="shared" si="770"/>
        <v>High_Base</v>
      </c>
      <c r="E9361" s="138" t="str">
        <f t="shared" si="774"/>
        <v>Base</v>
      </c>
      <c r="F9361" s="138" t="str">
        <f t="shared" si="775"/>
        <v>Upgraded</v>
      </c>
      <c r="G9361" s="153"/>
      <c r="H9361" s="210">
        <v>0.1769</v>
      </c>
      <c r="I9361" s="160" t="s">
        <v>147</v>
      </c>
      <c r="J9361" s="160">
        <v>1.8000000000000001E-4</v>
      </c>
      <c r="K9361" s="160" t="s">
        <v>26</v>
      </c>
      <c r="L9361" s="154" t="str">
        <f>IF(OpenLCAbasic!K9361="CTUh", "Fill in Manually",IF(OR(K9361="Unit", K9361=""), "", INDEX(LookUps!$E$5:$E$12, MATCH(OpenLCAbasic!K9361,LookUps!$D$5:$D$12,0))))</f>
        <v>Water Use (WU) - m3 H2O</v>
      </c>
      <c r="M9361" s="154" t="str">
        <f t="shared" si="771"/>
        <v>Base_High_Base_Upgraded_Water Use (WU) - m3 H2O_Influent Pump Station; wastewater treatment unit; at updated plant - US_Base_With Amendment_Aerated Static Pile</v>
      </c>
    </row>
    <row r="9362" spans="1:13" s="120" customFormat="1" x14ac:dyDescent="0.25">
      <c r="A9362" s="119"/>
      <c r="B9362" s="138" t="str">
        <f t="shared" si="772"/>
        <v>Aerated Static Pile</v>
      </c>
      <c r="C9362" s="138" t="str">
        <f t="shared" si="773"/>
        <v>Base_With Amendment</v>
      </c>
      <c r="D9362" s="138" t="str">
        <f t="shared" si="770"/>
        <v>High_Base</v>
      </c>
      <c r="E9362" s="138" t="str">
        <f t="shared" si="774"/>
        <v>Base</v>
      </c>
      <c r="F9362" s="138" t="str">
        <f t="shared" si="775"/>
        <v>Upgraded</v>
      </c>
      <c r="G9362" s="153"/>
      <c r="H9362" s="210">
        <v>0.1726</v>
      </c>
      <c r="I9362" s="160" t="s">
        <v>54</v>
      </c>
      <c r="J9362" s="160">
        <v>1.8000000000000001E-4</v>
      </c>
      <c r="K9362" s="160" t="s">
        <v>26</v>
      </c>
      <c r="L9362" s="154" t="str">
        <f>IF(OpenLCAbasic!K9362="CTUh", "Fill in Manually",IF(OR(K9362="Unit", K9362=""), "", INDEX(LookUps!$E$5:$E$12, MATCH(OpenLCAbasic!K9362,LookUps!$D$5:$D$12,0))))</f>
        <v>Water Use (WU) - m3 H2O</v>
      </c>
      <c r="M9362" s="154" t="str">
        <f t="shared" si="771"/>
        <v>Base_High_Base_Upgraded_Water Use (WU) - m3 H2O_Clear Cove Primary Clarification; wastewater treatment unit; at updated plant - US_Base_With Amendment_Aerated Static Pile</v>
      </c>
    </row>
    <row r="9363" spans="1:13" s="120" customFormat="1" x14ac:dyDescent="0.25">
      <c r="A9363" s="119"/>
      <c r="B9363" s="138" t="str">
        <f t="shared" si="772"/>
        <v>Aerated Static Pile</v>
      </c>
      <c r="C9363" s="138" t="str">
        <f t="shared" si="773"/>
        <v>Base_With Amendment</v>
      </c>
      <c r="D9363" s="138" t="str">
        <f t="shared" si="770"/>
        <v>High_Base</v>
      </c>
      <c r="E9363" s="138" t="str">
        <f t="shared" si="774"/>
        <v>Base</v>
      </c>
      <c r="F9363" s="138" t="str">
        <f t="shared" si="775"/>
        <v>Upgraded</v>
      </c>
      <c r="G9363" s="153"/>
      <c r="H9363" s="210">
        <v>0.1565</v>
      </c>
      <c r="I9363" s="160" t="s">
        <v>55</v>
      </c>
      <c r="J9363" s="160">
        <v>1.6000000000000001E-4</v>
      </c>
      <c r="K9363" s="160" t="s">
        <v>26</v>
      </c>
      <c r="L9363" s="154" t="str">
        <f>IF(OpenLCAbasic!K9363="CTUh", "Fill in Manually",IF(OR(K9363="Unit", K9363=""), "", INDEX(LookUps!$E$5:$E$12, MATCH(OpenLCAbasic!K9363,LookUps!$D$5:$D$12,0))))</f>
        <v>Water Use (WU) - m3 H2O</v>
      </c>
      <c r="M9363" s="154" t="str">
        <f t="shared" si="771"/>
        <v>Base_High_Base_Upgraded_Water Use (WU) - m3 H2O_Aeration Tanks; wastewater treatment unit; at updated plant - US_Base_With Amendment_Aerated Static Pile</v>
      </c>
    </row>
    <row r="9364" spans="1:13" s="120" customFormat="1" x14ac:dyDescent="0.25">
      <c r="A9364" s="119"/>
      <c r="B9364" s="138" t="str">
        <f t="shared" si="772"/>
        <v>Aerated Static Pile</v>
      </c>
      <c r="C9364" s="138" t="str">
        <f t="shared" si="773"/>
        <v>Base_With Amendment</v>
      </c>
      <c r="D9364" s="138" t="str">
        <f t="shared" si="770"/>
        <v>High_Base</v>
      </c>
      <c r="E9364" s="138" t="str">
        <f t="shared" si="774"/>
        <v>Base</v>
      </c>
      <c r="F9364" s="138" t="str">
        <f t="shared" si="775"/>
        <v>Upgraded</v>
      </c>
      <c r="G9364" s="153"/>
      <c r="H9364" s="210">
        <v>0.1426</v>
      </c>
      <c r="I9364" s="160" t="s">
        <v>148</v>
      </c>
      <c r="J9364" s="160">
        <v>1.4999999999999999E-4</v>
      </c>
      <c r="K9364" s="160" t="s">
        <v>26</v>
      </c>
      <c r="L9364" s="154" t="str">
        <f>IF(OpenLCAbasic!K9364="CTUh", "Fill in Manually",IF(OR(K9364="Unit", K9364=""), "", INDEX(LookUps!$E$5:$E$12, MATCH(OpenLCAbasic!K9364,LookUps!$D$5:$D$12,0))))</f>
        <v>Water Use (WU) - m3 H2O</v>
      </c>
      <c r="M9364" s="154" t="str">
        <f t="shared" si="771"/>
        <v>Base_High_Base_Upgraded_Water Use (WU) - m3 H2O_Control Building; at upgraded wastewater treatment plant - US_Base_With Amendment_Aerated Static Pile</v>
      </c>
    </row>
    <row r="9365" spans="1:13" s="120" customFormat="1" x14ac:dyDescent="0.25">
      <c r="A9365" s="119"/>
      <c r="B9365" s="138" t="str">
        <f t="shared" si="772"/>
        <v>Aerated Static Pile</v>
      </c>
      <c r="C9365" s="138" t="str">
        <f t="shared" si="773"/>
        <v>Base_With Amendment</v>
      </c>
      <c r="D9365" s="138" t="str">
        <f t="shared" si="770"/>
        <v>High_Base</v>
      </c>
      <c r="E9365" s="138" t="str">
        <f t="shared" si="774"/>
        <v>Base</v>
      </c>
      <c r="F9365" s="138" t="str">
        <f t="shared" si="775"/>
        <v>Upgraded</v>
      </c>
      <c r="G9365" s="153"/>
      <c r="H9365" s="210">
        <v>6.6199999999999995E-2</v>
      </c>
      <c r="I9365" s="160" t="s">
        <v>48</v>
      </c>
      <c r="J9365" s="211">
        <v>6.8836400000000004E-5</v>
      </c>
      <c r="K9365" s="160" t="s">
        <v>26</v>
      </c>
      <c r="L9365" s="154" t="str">
        <f>IF(OpenLCAbasic!K9365="CTUh", "Fill in Manually",IF(OR(K9365="Unit", K9365=""), "", INDEX(LookUps!$E$5:$E$12, MATCH(OpenLCAbasic!K9365,LookUps!$D$5:$D$12,0))))</f>
        <v>Water Use (WU) - m3 H2O</v>
      </c>
      <c r="M9365" s="154" t="str">
        <f t="shared" si="771"/>
        <v>Base_High_Base_Upgraded_Water Use (WU) - m3 H2O_Effluent release; wastewater treatment unit; at surface water; m3 wastewater - US_Base_With Amendment_Aerated Static Pile</v>
      </c>
    </row>
    <row r="9366" spans="1:13" s="120" customFormat="1" x14ac:dyDescent="0.25">
      <c r="A9366" s="119"/>
      <c r="B9366" s="138" t="str">
        <f t="shared" si="772"/>
        <v>Aerated Static Pile</v>
      </c>
      <c r="C9366" s="138" t="str">
        <f t="shared" si="773"/>
        <v>Base_With Amendment</v>
      </c>
      <c r="D9366" s="138" t="str">
        <f t="shared" si="770"/>
        <v>High_Base</v>
      </c>
      <c r="E9366" s="138" t="str">
        <f t="shared" si="774"/>
        <v>Base</v>
      </c>
      <c r="F9366" s="138" t="str">
        <f t="shared" si="775"/>
        <v>Upgraded</v>
      </c>
      <c r="G9366" s="153"/>
      <c r="H9366" s="210">
        <v>4.1599999999999998E-2</v>
      </c>
      <c r="I9366" s="160" t="s">
        <v>58</v>
      </c>
      <c r="J9366" s="211">
        <v>4.3289399999999999E-5</v>
      </c>
      <c r="K9366" s="160" t="s">
        <v>26</v>
      </c>
      <c r="L9366" s="154" t="str">
        <f>IF(OpenLCAbasic!K9366="CTUh", "Fill in Manually",IF(OR(K9366="Unit", K9366=""), "", INDEX(LookUps!$E$5:$E$12, MATCH(OpenLCAbasic!K9366,LookUps!$D$5:$D$12,0))))</f>
        <v>Water Use (WU) - m3 H2O</v>
      </c>
      <c r="M9366" s="154" t="str">
        <f t="shared" si="771"/>
        <v>Base_High_Base_Upgraded_Water Use (WU) - m3 H2O_Pre-Anoxic &amp; Swing tank; wastewater treatment unit; at updated plant - US_Base_With Amendment_Aerated Static Pile</v>
      </c>
    </row>
    <row r="9367" spans="1:13" s="120" customFormat="1" x14ac:dyDescent="0.25">
      <c r="A9367" s="119"/>
      <c r="B9367" s="138" t="str">
        <f t="shared" si="772"/>
        <v>Aerated Static Pile</v>
      </c>
      <c r="C9367" s="138" t="str">
        <f t="shared" si="773"/>
        <v>Base_With Amendment</v>
      </c>
      <c r="D9367" s="138" t="str">
        <f t="shared" si="770"/>
        <v>High_Base</v>
      </c>
      <c r="E9367" s="138" t="str">
        <f t="shared" si="774"/>
        <v>Base</v>
      </c>
      <c r="F9367" s="138" t="str">
        <f t="shared" si="775"/>
        <v>Upgraded</v>
      </c>
      <c r="G9367" s="153"/>
      <c r="H9367" s="210">
        <v>3.9800000000000002E-2</v>
      </c>
      <c r="I9367" s="160" t="s">
        <v>60</v>
      </c>
      <c r="J9367" s="211">
        <v>4.1413099999999998E-5</v>
      </c>
      <c r="K9367" s="160" t="s">
        <v>26</v>
      </c>
      <c r="L9367" s="154" t="str">
        <f>IF(OpenLCAbasic!K9367="CTUh", "Fill in Manually",IF(OR(K9367="Unit", K9367=""), "", INDEX(LookUps!$E$5:$E$12, MATCH(OpenLCAbasic!K9367,LookUps!$D$5:$D$12,0))))</f>
        <v>Water Use (WU) - m3 H2O</v>
      </c>
      <c r="M9367" s="154" t="str">
        <f t="shared" si="771"/>
        <v>Base_High_Base_Upgraded_Water Use (WU) - m3 H2O_Belt filter press; wastewater treatment unit; at updated plant - US_Base_With Amendment_Aerated Static Pile</v>
      </c>
    </row>
    <row r="9368" spans="1:13" s="120" customFormat="1" x14ac:dyDescent="0.25">
      <c r="A9368" s="119"/>
      <c r="B9368" s="138" t="str">
        <f t="shared" si="772"/>
        <v>Aerated Static Pile</v>
      </c>
      <c r="C9368" s="138" t="str">
        <f t="shared" si="773"/>
        <v>Base_With Amendment</v>
      </c>
      <c r="D9368" s="138" t="str">
        <f t="shared" si="770"/>
        <v>High_Base</v>
      </c>
      <c r="E9368" s="138" t="str">
        <f t="shared" si="774"/>
        <v>Base</v>
      </c>
      <c r="F9368" s="138" t="str">
        <f t="shared" si="775"/>
        <v>Upgraded</v>
      </c>
      <c r="G9368" s="153"/>
      <c r="H9368" s="210">
        <v>3.5900000000000001E-2</v>
      </c>
      <c r="I9368" s="160" t="s">
        <v>435</v>
      </c>
      <c r="J9368" s="211">
        <v>3.7308799999999998E-5</v>
      </c>
      <c r="K9368" s="160" t="s">
        <v>26</v>
      </c>
      <c r="L9368" s="154" t="str">
        <f>IF(OpenLCAbasic!K9368="CTUh", "Fill in Manually",IF(OR(K9368="Unit", K9368=""), "", INDEX(LookUps!$E$5:$E$12, MATCH(OpenLCAbasic!K9368,LookUps!$D$5:$D$12,0))))</f>
        <v>Water Use (WU) - m3 H2O</v>
      </c>
      <c r="M9368" s="154" t="str">
        <f t="shared" si="771"/>
        <v>Base_High_Base_Upgraded_Water Use (WU) - m3 H2O_Biosolids composting; aerated static pile; wastewater treatment unit; at updated plant - US_Base_With Amendment_Aerated Static Pile</v>
      </c>
    </row>
    <row r="9369" spans="1:13" s="120" customFormat="1" x14ac:dyDescent="0.25">
      <c r="A9369" s="119"/>
      <c r="B9369" s="138" t="str">
        <f t="shared" si="772"/>
        <v>Aerated Static Pile</v>
      </c>
      <c r="C9369" s="138" t="str">
        <f t="shared" si="773"/>
        <v>Base_With Amendment</v>
      </c>
      <c r="D9369" s="138" t="str">
        <f t="shared" ref="D9369:D9375" si="776">IF(ISNUMBER($J9369),"High_Base","")</f>
        <v>High_Base</v>
      </c>
      <c r="E9369" s="138" t="str">
        <f t="shared" si="774"/>
        <v>Base</v>
      </c>
      <c r="F9369" s="138" t="str">
        <f t="shared" si="775"/>
        <v>Upgraded</v>
      </c>
      <c r="G9369" s="153"/>
      <c r="H9369" s="210">
        <v>2.93E-2</v>
      </c>
      <c r="I9369" s="160" t="s">
        <v>57</v>
      </c>
      <c r="J9369" s="211">
        <v>3.0408100000000001E-5</v>
      </c>
      <c r="K9369" s="160" t="s">
        <v>26</v>
      </c>
      <c r="L9369" s="154" t="str">
        <f>IF(OpenLCAbasic!K9369="CTUh", "Fill in Manually",IF(OR(K9369="Unit", K9369=""), "", INDEX(LookUps!$E$5:$E$12, MATCH(OpenLCAbasic!K9369,LookUps!$D$5:$D$12,0))))</f>
        <v>Water Use (WU) - m3 H2O</v>
      </c>
      <c r="M9369" s="154" t="str">
        <f t="shared" si="771"/>
        <v>Base_High_Base_Upgraded_Water Use (WU) - m3 H2O_Gravity Belt Thickener; wastewater treatment unit; at updated plant - US_Base_With Amendment_Aerated Static Pile</v>
      </c>
    </row>
    <row r="9370" spans="1:13" s="120" customFormat="1" x14ac:dyDescent="0.25">
      <c r="A9370" s="119"/>
      <c r="B9370" s="138" t="str">
        <f t="shared" si="772"/>
        <v>Aerated Static Pile</v>
      </c>
      <c r="C9370" s="138" t="str">
        <f t="shared" si="773"/>
        <v>Base_With Amendment</v>
      </c>
      <c r="D9370" s="138" t="str">
        <f t="shared" si="776"/>
        <v>High_Base</v>
      </c>
      <c r="E9370" s="138" t="str">
        <f t="shared" si="774"/>
        <v>Base</v>
      </c>
      <c r="F9370" s="138" t="str">
        <f t="shared" si="775"/>
        <v>Upgraded</v>
      </c>
      <c r="G9370" s="153"/>
      <c r="H9370" s="210">
        <v>1.6799999999999999E-2</v>
      </c>
      <c r="I9370" s="160" t="s">
        <v>53</v>
      </c>
      <c r="J9370" s="211">
        <v>1.75069E-5</v>
      </c>
      <c r="K9370" s="160" t="s">
        <v>26</v>
      </c>
      <c r="L9370" s="154" t="str">
        <f>IF(OpenLCAbasic!K9370="CTUh", "Fill in Manually",IF(OR(K9370="Unit", K9370=""), "", INDEX(LookUps!$E$5:$E$12, MATCH(OpenLCAbasic!K9370,LookUps!$D$5:$D$12,0))))</f>
        <v>Water Use (WU) - m3 H2O</v>
      </c>
      <c r="M9370" s="154" t="str">
        <f t="shared" si="771"/>
        <v>Base_High_Base_Upgraded_Water Use (WU) - m3 H2O_Wet Well and Sump Station; wastewater treatment unit; at updated plant - US_Base_With Amendment_Aerated Static Pile</v>
      </c>
    </row>
    <row r="9371" spans="1:13" s="120" customFormat="1" x14ac:dyDescent="0.25">
      <c r="A9371" s="119"/>
      <c r="B9371" s="138" t="str">
        <f t="shared" si="772"/>
        <v>Aerated Static Pile</v>
      </c>
      <c r="C9371" s="138" t="str">
        <f t="shared" si="773"/>
        <v>Base_With Amendment</v>
      </c>
      <c r="D9371" s="138" t="str">
        <f t="shared" si="776"/>
        <v>High_Base</v>
      </c>
      <c r="E9371" s="138" t="str">
        <f t="shared" si="774"/>
        <v>Base</v>
      </c>
      <c r="F9371" s="138" t="str">
        <f t="shared" si="775"/>
        <v>Upgraded</v>
      </c>
      <c r="G9371" s="153"/>
      <c r="H9371" s="210">
        <v>6.7999999999999996E-3</v>
      </c>
      <c r="I9371" s="160" t="s">
        <v>59</v>
      </c>
      <c r="J9371" s="211">
        <v>7.0179500000000003E-6</v>
      </c>
      <c r="K9371" s="160" t="s">
        <v>26</v>
      </c>
      <c r="L9371" s="154" t="str">
        <f>IF(OpenLCAbasic!K9371="CTUh", "Fill in Manually",IF(OR(K9371="Unit", K9371=""), "", INDEX(LookUps!$E$5:$E$12, MATCH(OpenLCAbasic!K9371,LookUps!$D$5:$D$12,0))))</f>
        <v>Water Use (WU) - m3 H2O</v>
      </c>
      <c r="M9371" s="154" t="str">
        <f t="shared" si="771"/>
        <v>Base_High_Base_Upgraded_Water Use (WU) - m3 H2O_Blend Tank; wastewater treatment unit; at updated plant - US_Base_With Amendment_Aerated Static Pile</v>
      </c>
    </row>
    <row r="9372" spans="1:13" s="120" customFormat="1" x14ac:dyDescent="0.25">
      <c r="A9372" s="119"/>
      <c r="B9372" s="138" t="str">
        <f t="shared" si="772"/>
        <v>Aerated Static Pile</v>
      </c>
      <c r="C9372" s="138" t="str">
        <f t="shared" si="773"/>
        <v>Base_With Amendment</v>
      </c>
      <c r="D9372" s="138" t="str">
        <f t="shared" si="776"/>
        <v>High_Base</v>
      </c>
      <c r="E9372" s="138" t="str">
        <f t="shared" si="774"/>
        <v>Base</v>
      </c>
      <c r="F9372" s="138" t="str">
        <f t="shared" si="775"/>
        <v>Upgraded</v>
      </c>
      <c r="G9372" s="153"/>
      <c r="H9372" s="210">
        <v>4.8999999999999998E-3</v>
      </c>
      <c r="I9372" s="160" t="s">
        <v>128</v>
      </c>
      <c r="J9372" s="211">
        <v>5.0608900000000003E-6</v>
      </c>
      <c r="K9372" s="160" t="s">
        <v>26</v>
      </c>
      <c r="L9372" s="154" t="str">
        <f>IF(OpenLCAbasic!K9372="CTUh", "Fill in Manually",IF(OR(K9372="Unit", K9372=""), "", INDEX(LookUps!$E$5:$E$12, MATCH(OpenLCAbasic!K9372,LookUps!$D$5:$D$12,0))))</f>
        <v>Water Use (WU) - m3 H2O</v>
      </c>
      <c r="M9372" s="154" t="str">
        <f t="shared" si="771"/>
        <v>Base_High_Base_Upgraded_Water Use (WU) - m3 H2O_Wastewater collection; operation and infrastructure; m3 wastewater_Base_With Amendment_Aerated Static Pile</v>
      </c>
    </row>
    <row r="9373" spans="1:13" s="120" customFormat="1" x14ac:dyDescent="0.25">
      <c r="A9373" s="119"/>
      <c r="B9373" s="138" t="str">
        <f t="shared" si="772"/>
        <v>Aerated Static Pile</v>
      </c>
      <c r="C9373" s="138" t="str">
        <f t="shared" si="773"/>
        <v>Base_With Amendment</v>
      </c>
      <c r="D9373" s="138" t="str">
        <f t="shared" si="776"/>
        <v>High_Base</v>
      </c>
      <c r="E9373" s="138" t="str">
        <f t="shared" si="774"/>
        <v>Base</v>
      </c>
      <c r="F9373" s="138" t="str">
        <f t="shared" si="775"/>
        <v>Upgraded</v>
      </c>
      <c r="G9373" s="153"/>
      <c r="H9373" s="210">
        <v>6.9999999999999999E-4</v>
      </c>
      <c r="I9373" s="160" t="s">
        <v>168</v>
      </c>
      <c r="J9373" s="211">
        <v>7.6697000000000004E-7</v>
      </c>
      <c r="K9373" s="160" t="s">
        <v>26</v>
      </c>
      <c r="L9373" s="154" t="str">
        <f>IF(OpenLCAbasic!K9373="CTUh", "Fill in Manually",IF(OR(K9373="Unit", K9373=""), "", INDEX(LookUps!$E$5:$E$12, MATCH(OpenLCAbasic!K9373,LookUps!$D$5:$D$12,0))))</f>
        <v>Water Use (WU) - m3 H2O</v>
      </c>
      <c r="M9373" s="154" t="str">
        <f t="shared" si="771"/>
        <v>Base_High_Base_Upgraded_Water Use (WU) - m3 H2O_ClearCove SCP; wastewater treatment unit; at updated plant - US_Base_With Amendment_Aerated Static Pile</v>
      </c>
    </row>
    <row r="9374" spans="1:13" s="120" customFormat="1" x14ac:dyDescent="0.25">
      <c r="A9374" s="119"/>
      <c r="B9374" s="138" t="str">
        <f t="shared" si="772"/>
        <v>Aerated Static Pile</v>
      </c>
      <c r="C9374" s="138" t="str">
        <f t="shared" si="773"/>
        <v>Base_With Amendment</v>
      </c>
      <c r="D9374" s="138" t="str">
        <f t="shared" si="776"/>
        <v>High_Base</v>
      </c>
      <c r="E9374" s="138" t="str">
        <f t="shared" si="774"/>
        <v>Base</v>
      </c>
      <c r="F9374" s="138" t="str">
        <f t="shared" si="775"/>
        <v>Upgraded</v>
      </c>
      <c r="G9374" s="153"/>
      <c r="H9374" s="210">
        <v>-0.111</v>
      </c>
      <c r="I9374" s="160" t="s">
        <v>149</v>
      </c>
      <c r="J9374" s="160">
        <v>-1.2E-4</v>
      </c>
      <c r="K9374" s="160" t="s">
        <v>26</v>
      </c>
      <c r="L9374" s="154" t="str">
        <f>IF(OpenLCAbasic!K9374="CTUh", "Fill in Manually",IF(OR(K9374="Unit", K9374=""), "", INDEX(LookUps!$E$5:$E$12, MATCH(OpenLCAbasic!K9374,LookUps!$D$5:$D$12,0))))</f>
        <v>Water Use (WU) - m3 H2O</v>
      </c>
      <c r="M9374" s="154" t="str">
        <f t="shared" si="771"/>
        <v>Base_High_Base_Upgraded_Water Use (WU) - m3 H2O_Anaerobic Digestion; wastewater treatment unit; at updated plant - US_Base_With Amendment_Aerated Static Pile</v>
      </c>
    </row>
    <row r="9375" spans="1:13" s="120" customFormat="1" x14ac:dyDescent="0.25">
      <c r="A9375" s="119"/>
      <c r="B9375" s="138" t="str">
        <f t="shared" si="772"/>
        <v>Aerated Static Pile</v>
      </c>
      <c r="C9375" s="138" t="str">
        <f t="shared" si="773"/>
        <v>Base_With Amendment</v>
      </c>
      <c r="D9375" s="138" t="str">
        <f t="shared" si="776"/>
        <v>High_Base</v>
      </c>
      <c r="E9375" s="138" t="str">
        <f t="shared" si="774"/>
        <v>Base</v>
      </c>
      <c r="F9375" s="138" t="str">
        <f t="shared" si="775"/>
        <v>Upgraded</v>
      </c>
      <c r="G9375" s="153"/>
      <c r="H9375" s="210">
        <v>-2.1029</v>
      </c>
      <c r="I9375" s="160" t="s">
        <v>62</v>
      </c>
      <c r="J9375" s="160">
        <v>-2.1900000000000001E-3</v>
      </c>
      <c r="K9375" s="160" t="s">
        <v>26</v>
      </c>
      <c r="L9375" s="154" t="str">
        <f>IF(OpenLCAbasic!K9375="CTUh", "Fill in Manually",IF(OR(K9375="Unit", K9375=""), "", INDEX(LookUps!$E$5:$E$12, MATCH(OpenLCAbasic!K9375,LookUps!$D$5:$D$12,0))))</f>
        <v>Water Use (WU) - m3 H2O</v>
      </c>
      <c r="M9375" s="154" t="str">
        <f t="shared" si="771"/>
        <v>Base_High_Base_Upgraded_Water Use (WU) - m3 H2O_Land application of compost; wastewater treatment unit; at updated plant - US_Base_With Amendment_Aerated Static Pile</v>
      </c>
    </row>
    <row r="9376" spans="1:13" s="120" customFormat="1" x14ac:dyDescent="0.25">
      <c r="A9376" s="119"/>
      <c r="B9376" s="138" t="str">
        <f t="shared" si="772"/>
        <v/>
      </c>
      <c r="C9376" s="138" t="str">
        <f t="shared" si="773"/>
        <v/>
      </c>
      <c r="D9376" s="138" t="str">
        <f>IF(ISNUMBER($J9376),"High_High","")</f>
        <v/>
      </c>
      <c r="E9376" s="138" t="str">
        <f t="shared" si="774"/>
        <v/>
      </c>
      <c r="F9376" s="138" t="str">
        <f t="shared" si="775"/>
        <v/>
      </c>
      <c r="G9376" s="153" t="s">
        <v>51</v>
      </c>
      <c r="H9376" s="160"/>
      <c r="I9376" s="160" t="s">
        <v>47</v>
      </c>
      <c r="J9376" s="160" t="s">
        <v>52</v>
      </c>
      <c r="K9376" s="160" t="s">
        <v>27</v>
      </c>
      <c r="L9376" s="154" t="str">
        <f>IF(OpenLCAbasic!K9376="CTUh", "Fill in Manually",IF(OR(K9376="Unit", K9376=""), "", INDEX(LookUps!$E$5:$E$12, MATCH(OpenLCAbasic!K9376,LookUps!$D$5:$D$12,0))))</f>
        <v/>
      </c>
      <c r="M9376" s="154" t="str">
        <f t="shared" si="771"/>
        <v>____Process__</v>
      </c>
    </row>
    <row r="9377" spans="1:13" s="120" customFormat="1" x14ac:dyDescent="0.25">
      <c r="A9377" s="119"/>
      <c r="B9377" s="138" t="str">
        <f t="shared" si="772"/>
        <v>Aerated Static Pile</v>
      </c>
      <c r="C9377" s="138" t="str">
        <f t="shared" si="773"/>
        <v>Base_With Amendment</v>
      </c>
      <c r="D9377" s="138" t="str">
        <f t="shared" ref="D9377:D9440" si="777">IF(ISNUMBER($J9377),"High_High","")</f>
        <v>High_High</v>
      </c>
      <c r="E9377" s="138" t="str">
        <f t="shared" si="774"/>
        <v>Base</v>
      </c>
      <c r="F9377" s="138" t="str">
        <f t="shared" si="775"/>
        <v>Upgraded</v>
      </c>
      <c r="G9377" s="153"/>
      <c r="H9377" s="210">
        <v>0.4168</v>
      </c>
      <c r="I9377" s="160" t="s">
        <v>55</v>
      </c>
      <c r="J9377" s="160">
        <v>1.7219999999999999E-2</v>
      </c>
      <c r="K9377" s="160" t="s">
        <v>24</v>
      </c>
      <c r="L9377" s="154" t="str">
        <f>IF(OpenLCAbasic!K9377="CTUh", "Fill in Manually",IF(OR(K9377="Unit", K9377=""), "", INDEX(LookUps!$E$5:$E$12, MATCH(OpenLCAbasic!K9377,LookUps!$D$5:$D$12,0))))</f>
        <v>Acidification Potential (AP) - kg SO2 eq</v>
      </c>
      <c r="M9377" s="154" t="str">
        <f t="shared" si="771"/>
        <v>Base_High_High_Upgraded_Acidification Potential (AP) - kg SO2 eq_Aeration Tanks; wastewater treatment unit; at updated plant - US_Base_With Amendment_Aerated Static Pile</v>
      </c>
    </row>
    <row r="9378" spans="1:13" s="120" customFormat="1" x14ac:dyDescent="0.25">
      <c r="A9378" s="119"/>
      <c r="B9378" s="138" t="str">
        <f t="shared" si="772"/>
        <v>Aerated Static Pile</v>
      </c>
      <c r="C9378" s="138" t="str">
        <f t="shared" si="773"/>
        <v>Base_With Amendment</v>
      </c>
      <c r="D9378" s="138" t="str">
        <f t="shared" si="777"/>
        <v>High_High</v>
      </c>
      <c r="E9378" s="138" t="str">
        <f t="shared" si="774"/>
        <v>Base</v>
      </c>
      <c r="F9378" s="138" t="str">
        <f t="shared" si="775"/>
        <v>Upgraded</v>
      </c>
      <c r="G9378" s="153"/>
      <c r="H9378" s="210">
        <v>0.27839999999999998</v>
      </c>
      <c r="I9378" s="160" t="s">
        <v>435</v>
      </c>
      <c r="J9378" s="160">
        <v>1.15E-2</v>
      </c>
      <c r="K9378" s="160" t="s">
        <v>24</v>
      </c>
      <c r="L9378" s="154" t="str">
        <f>IF(OpenLCAbasic!K9378="CTUh", "Fill in Manually",IF(OR(K9378="Unit", K9378=""), "", INDEX(LookUps!$E$5:$E$12, MATCH(OpenLCAbasic!K9378,LookUps!$D$5:$D$12,0))))</f>
        <v>Acidification Potential (AP) - kg SO2 eq</v>
      </c>
      <c r="M9378" s="154" t="str">
        <f t="shared" si="771"/>
        <v>Base_High_High_Upgraded_Acidification Potential (AP) - kg SO2 eq_Biosolids composting; aerated static pile; wastewater treatment unit; at updated plant - US_Base_With Amendment_Aerated Static Pile</v>
      </c>
    </row>
    <row r="9379" spans="1:13" s="120" customFormat="1" x14ac:dyDescent="0.25">
      <c r="A9379" s="119"/>
      <c r="B9379" s="138" t="str">
        <f t="shared" si="772"/>
        <v>Aerated Static Pile</v>
      </c>
      <c r="C9379" s="138" t="str">
        <f t="shared" si="773"/>
        <v>Base_With Amendment</v>
      </c>
      <c r="D9379" s="138" t="str">
        <f t="shared" si="777"/>
        <v>High_High</v>
      </c>
      <c r="E9379" s="138" t="str">
        <f t="shared" si="774"/>
        <v>Base</v>
      </c>
      <c r="F9379" s="138" t="str">
        <f t="shared" si="775"/>
        <v>Upgraded</v>
      </c>
      <c r="G9379" s="153"/>
      <c r="H9379" s="210">
        <v>0.1205</v>
      </c>
      <c r="I9379" s="160" t="s">
        <v>54</v>
      </c>
      <c r="J9379" s="160">
        <v>4.9800000000000001E-3</v>
      </c>
      <c r="K9379" s="160" t="s">
        <v>24</v>
      </c>
      <c r="L9379" s="154" t="str">
        <f>IF(OpenLCAbasic!K9379="CTUh", "Fill in Manually",IF(OR(K9379="Unit", K9379=""), "", INDEX(LookUps!$E$5:$E$12, MATCH(OpenLCAbasic!K9379,LookUps!$D$5:$D$12,0))))</f>
        <v>Acidification Potential (AP) - kg SO2 eq</v>
      </c>
      <c r="M9379" s="154" t="str">
        <f t="shared" si="771"/>
        <v>Base_High_High_Upgraded_Acidification Potential (AP) - kg SO2 eq_Clear Cove Primary Clarification; wastewater treatment unit; at updated plant - US_Base_With Amendment_Aerated Static Pile</v>
      </c>
    </row>
    <row r="9380" spans="1:13" s="120" customFormat="1" x14ac:dyDescent="0.25">
      <c r="A9380" s="119"/>
      <c r="B9380" s="138" t="str">
        <f t="shared" si="772"/>
        <v>Aerated Static Pile</v>
      </c>
      <c r="C9380" s="138" t="str">
        <f t="shared" si="773"/>
        <v>Base_With Amendment</v>
      </c>
      <c r="D9380" s="138" t="str">
        <f t="shared" si="777"/>
        <v>High_High</v>
      </c>
      <c r="E9380" s="138" t="str">
        <f t="shared" si="774"/>
        <v>Base</v>
      </c>
      <c r="F9380" s="138" t="str">
        <f t="shared" si="775"/>
        <v>Upgraded</v>
      </c>
      <c r="G9380" s="153"/>
      <c r="H9380" s="210">
        <v>0.1153</v>
      </c>
      <c r="I9380" s="160" t="s">
        <v>62</v>
      </c>
      <c r="J9380" s="160">
        <v>4.7600000000000003E-3</v>
      </c>
      <c r="K9380" s="160" t="s">
        <v>24</v>
      </c>
      <c r="L9380" s="154" t="str">
        <f>IF(OpenLCAbasic!K9380="CTUh", "Fill in Manually",IF(OR(K9380="Unit", K9380=""), "", INDEX(LookUps!$E$5:$E$12, MATCH(OpenLCAbasic!K9380,LookUps!$D$5:$D$12,0))))</f>
        <v>Acidification Potential (AP) - kg SO2 eq</v>
      </c>
      <c r="M9380" s="154" t="str">
        <f t="shared" si="771"/>
        <v>Base_High_High_Upgraded_Acidification Potential (AP) - kg SO2 eq_Land application of compost; wastewater treatment unit; at updated plant - US_Base_With Amendment_Aerated Static Pile</v>
      </c>
    </row>
    <row r="9381" spans="1:13" s="120" customFormat="1" x14ac:dyDescent="0.25">
      <c r="A9381" s="119"/>
      <c r="B9381" s="138" t="str">
        <f t="shared" si="772"/>
        <v>Aerated Static Pile</v>
      </c>
      <c r="C9381" s="138" t="str">
        <f t="shared" si="773"/>
        <v>Base_With Amendment</v>
      </c>
      <c r="D9381" s="138" t="str">
        <f t="shared" si="777"/>
        <v>High_High</v>
      </c>
      <c r="E9381" s="138" t="str">
        <f t="shared" si="774"/>
        <v>Base</v>
      </c>
      <c r="F9381" s="138" t="str">
        <f t="shared" si="775"/>
        <v>Upgraded</v>
      </c>
      <c r="G9381" s="153"/>
      <c r="H9381" s="210">
        <v>0.1056</v>
      </c>
      <c r="I9381" s="160" t="s">
        <v>58</v>
      </c>
      <c r="J9381" s="160">
        <v>4.3600000000000002E-3</v>
      </c>
      <c r="K9381" s="160" t="s">
        <v>24</v>
      </c>
      <c r="L9381" s="154" t="str">
        <f>IF(OpenLCAbasic!K9381="CTUh", "Fill in Manually",IF(OR(K9381="Unit", K9381=""), "", INDEX(LookUps!$E$5:$E$12, MATCH(OpenLCAbasic!K9381,LookUps!$D$5:$D$12,0))))</f>
        <v>Acidification Potential (AP) - kg SO2 eq</v>
      </c>
      <c r="M9381" s="154" t="str">
        <f t="shared" si="771"/>
        <v>Base_High_High_Upgraded_Acidification Potential (AP) - kg SO2 eq_Pre-Anoxic &amp; Swing tank; wastewater treatment unit; at updated plant - US_Base_With Amendment_Aerated Static Pile</v>
      </c>
    </row>
    <row r="9382" spans="1:13" s="120" customFormat="1" x14ac:dyDescent="0.25">
      <c r="A9382" s="119"/>
      <c r="B9382" s="138" t="str">
        <f t="shared" si="772"/>
        <v>Aerated Static Pile</v>
      </c>
      <c r="C9382" s="138" t="str">
        <f t="shared" si="773"/>
        <v>Base_With Amendment</v>
      </c>
      <c r="D9382" s="138" t="str">
        <f t="shared" si="777"/>
        <v>High_High</v>
      </c>
      <c r="E9382" s="138" t="str">
        <f t="shared" si="774"/>
        <v>Base</v>
      </c>
      <c r="F9382" s="138" t="str">
        <f t="shared" si="775"/>
        <v>Upgraded</v>
      </c>
      <c r="G9382" s="153"/>
      <c r="H9382" s="210">
        <v>8.3500000000000005E-2</v>
      </c>
      <c r="I9382" s="160" t="s">
        <v>53</v>
      </c>
      <c r="J9382" s="160">
        <v>3.4499999999999999E-3</v>
      </c>
      <c r="K9382" s="160" t="s">
        <v>24</v>
      </c>
      <c r="L9382" s="154" t="str">
        <f>IF(OpenLCAbasic!K9382="CTUh", "Fill in Manually",IF(OR(K9382="Unit", K9382=""), "", INDEX(LookUps!$E$5:$E$12, MATCH(OpenLCAbasic!K9382,LookUps!$D$5:$D$12,0))))</f>
        <v>Acidification Potential (AP) - kg SO2 eq</v>
      </c>
      <c r="M9382" s="154" t="str">
        <f t="shared" si="771"/>
        <v>Base_High_High_Upgraded_Acidification Potential (AP) - kg SO2 eq_Wet Well and Sump Station; wastewater treatment unit; at updated plant - US_Base_With Amendment_Aerated Static Pile</v>
      </c>
    </row>
    <row r="9383" spans="1:13" s="120" customFormat="1" x14ac:dyDescent="0.25">
      <c r="A9383" s="119"/>
      <c r="B9383" s="138" t="str">
        <f t="shared" si="772"/>
        <v>Aerated Static Pile</v>
      </c>
      <c r="C9383" s="138" t="str">
        <f t="shared" si="773"/>
        <v>Base_With Amendment</v>
      </c>
      <c r="D9383" s="138" t="str">
        <f t="shared" si="777"/>
        <v>High_High</v>
      </c>
      <c r="E9383" s="138" t="str">
        <f t="shared" si="774"/>
        <v>Base</v>
      </c>
      <c r="F9383" s="138" t="str">
        <f t="shared" si="775"/>
        <v>Upgraded</v>
      </c>
      <c r="G9383" s="153"/>
      <c r="H9383" s="210">
        <v>6.54E-2</v>
      </c>
      <c r="I9383" s="160" t="s">
        <v>167</v>
      </c>
      <c r="J9383" s="160">
        <v>2.7000000000000001E-3</v>
      </c>
      <c r="K9383" s="160" t="s">
        <v>24</v>
      </c>
      <c r="L9383" s="154" t="str">
        <f>IF(OpenLCAbasic!K9383="CTUh", "Fill in Manually",IF(OR(K9383="Unit", K9383=""), "", INDEX(LookUps!$E$5:$E$12, MATCH(OpenLCAbasic!K9383,LookUps!$D$5:$D$12,0))))</f>
        <v>Acidification Potential (AP) - kg SO2 eq</v>
      </c>
      <c r="M9383" s="154" t="str">
        <f t="shared" si="771"/>
        <v>Base_High_High_Upgraded_Acidification Potential (AP) - kg SO2 eq_Waste Receiving and Holding; wastewater treatment unit; at updated plant - US_Base_With Amendment_Aerated Static Pile</v>
      </c>
    </row>
    <row r="9384" spans="1:13" s="120" customFormat="1" x14ac:dyDescent="0.25">
      <c r="A9384" s="119"/>
      <c r="B9384" s="138" t="str">
        <f t="shared" si="772"/>
        <v>Aerated Static Pile</v>
      </c>
      <c r="C9384" s="138" t="str">
        <f t="shared" si="773"/>
        <v>Base_With Amendment</v>
      </c>
      <c r="D9384" s="138" t="str">
        <f t="shared" si="777"/>
        <v>High_High</v>
      </c>
      <c r="E9384" s="138" t="str">
        <f t="shared" si="774"/>
        <v>Base</v>
      </c>
      <c r="F9384" s="138" t="str">
        <f t="shared" si="775"/>
        <v>Upgraded</v>
      </c>
      <c r="G9384" s="153"/>
      <c r="H9384" s="210">
        <v>5.0099999999999999E-2</v>
      </c>
      <c r="I9384" s="160" t="s">
        <v>147</v>
      </c>
      <c r="J9384" s="160">
        <v>2.0699999999999998E-3</v>
      </c>
      <c r="K9384" s="160" t="s">
        <v>24</v>
      </c>
      <c r="L9384" s="154" t="str">
        <f>IF(OpenLCAbasic!K9384="CTUh", "Fill in Manually",IF(OR(K9384="Unit", K9384=""), "", INDEX(LookUps!$E$5:$E$12, MATCH(OpenLCAbasic!K9384,LookUps!$D$5:$D$12,0))))</f>
        <v>Acidification Potential (AP) - kg SO2 eq</v>
      </c>
      <c r="M9384" s="154" t="str">
        <f t="shared" si="771"/>
        <v>Base_High_High_Upgraded_Acidification Potential (AP) - kg SO2 eq_Influent Pump Station; wastewater treatment unit; at updated plant - US_Base_With Amendment_Aerated Static Pile</v>
      </c>
    </row>
    <row r="9385" spans="1:13" s="120" customFormat="1" x14ac:dyDescent="0.25">
      <c r="A9385" s="119"/>
      <c r="B9385" s="138" t="str">
        <f t="shared" si="772"/>
        <v>Aerated Static Pile</v>
      </c>
      <c r="C9385" s="138" t="str">
        <f t="shared" si="773"/>
        <v>Base_With Amendment</v>
      </c>
      <c r="D9385" s="138" t="str">
        <f t="shared" si="777"/>
        <v>High_High</v>
      </c>
      <c r="E9385" s="138" t="str">
        <f t="shared" si="774"/>
        <v>Base</v>
      </c>
      <c r="F9385" s="138" t="str">
        <f t="shared" si="775"/>
        <v>Upgraded</v>
      </c>
      <c r="G9385" s="153"/>
      <c r="H9385" s="210">
        <v>3.3500000000000002E-2</v>
      </c>
      <c r="I9385" s="160" t="s">
        <v>60</v>
      </c>
      <c r="J9385" s="160">
        <v>1.3799999999999999E-3</v>
      </c>
      <c r="K9385" s="160" t="s">
        <v>24</v>
      </c>
      <c r="L9385" s="154" t="str">
        <f>IF(OpenLCAbasic!K9385="CTUh", "Fill in Manually",IF(OR(K9385="Unit", K9385=""), "", INDEX(LookUps!$E$5:$E$12, MATCH(OpenLCAbasic!K9385,LookUps!$D$5:$D$12,0))))</f>
        <v>Acidification Potential (AP) - kg SO2 eq</v>
      </c>
      <c r="M9385" s="154" t="str">
        <f t="shared" si="771"/>
        <v>Base_High_High_Upgraded_Acidification Potential (AP) - kg SO2 eq_Belt filter press; wastewater treatment unit; at updated plant - US_Base_With Amendment_Aerated Static Pile</v>
      </c>
    </row>
    <row r="9386" spans="1:13" s="120" customFormat="1" x14ac:dyDescent="0.25">
      <c r="A9386" s="119"/>
      <c r="B9386" s="138" t="str">
        <f t="shared" si="772"/>
        <v>Aerated Static Pile</v>
      </c>
      <c r="C9386" s="138" t="str">
        <f t="shared" si="773"/>
        <v>Base_With Amendment</v>
      </c>
      <c r="D9386" s="138" t="str">
        <f t="shared" si="777"/>
        <v>High_High</v>
      </c>
      <c r="E9386" s="138" t="str">
        <f t="shared" si="774"/>
        <v>Base</v>
      </c>
      <c r="F9386" s="138" t="str">
        <f t="shared" si="775"/>
        <v>Upgraded</v>
      </c>
      <c r="G9386" s="153"/>
      <c r="H9386" s="210">
        <v>2.98E-2</v>
      </c>
      <c r="I9386" s="160" t="s">
        <v>128</v>
      </c>
      <c r="J9386" s="160">
        <v>1.23E-3</v>
      </c>
      <c r="K9386" s="160" t="s">
        <v>24</v>
      </c>
      <c r="L9386" s="154" t="str">
        <f>IF(OpenLCAbasic!K9386="CTUh", "Fill in Manually",IF(OR(K9386="Unit", K9386=""), "", INDEX(LookUps!$E$5:$E$12, MATCH(OpenLCAbasic!K9386,LookUps!$D$5:$D$12,0))))</f>
        <v>Acidification Potential (AP) - kg SO2 eq</v>
      </c>
      <c r="M9386" s="154" t="str">
        <f t="shared" si="771"/>
        <v>Base_High_High_Upgraded_Acidification Potential (AP) - kg SO2 eq_Wastewater collection; operation and infrastructure; m3 wastewater_Base_With Amendment_Aerated Static Pile</v>
      </c>
    </row>
    <row r="9387" spans="1:13" s="120" customFormat="1" x14ac:dyDescent="0.25">
      <c r="A9387" s="119"/>
      <c r="B9387" s="138" t="str">
        <f t="shared" si="772"/>
        <v>Aerated Static Pile</v>
      </c>
      <c r="C9387" s="138" t="str">
        <f t="shared" si="773"/>
        <v>Base_With Amendment</v>
      </c>
      <c r="D9387" s="138" t="str">
        <f t="shared" si="777"/>
        <v>High_High</v>
      </c>
      <c r="E9387" s="138" t="str">
        <f t="shared" si="774"/>
        <v>Base</v>
      </c>
      <c r="F9387" s="138" t="str">
        <f t="shared" si="775"/>
        <v>Upgraded</v>
      </c>
      <c r="G9387" s="153"/>
      <c r="H9387" s="210">
        <v>1.7000000000000001E-2</v>
      </c>
      <c r="I9387" s="160" t="s">
        <v>57</v>
      </c>
      <c r="J9387" s="160">
        <v>6.9999999999999999E-4</v>
      </c>
      <c r="K9387" s="160" t="s">
        <v>24</v>
      </c>
      <c r="L9387" s="154" t="str">
        <f>IF(OpenLCAbasic!K9387="CTUh", "Fill in Manually",IF(OR(K9387="Unit", K9387=""), "", INDEX(LookUps!$E$5:$E$12, MATCH(OpenLCAbasic!K9387,LookUps!$D$5:$D$12,0))))</f>
        <v>Acidification Potential (AP) - kg SO2 eq</v>
      </c>
      <c r="M9387" s="154" t="str">
        <f t="shared" si="771"/>
        <v>Base_High_High_Upgraded_Acidification Potential (AP) - kg SO2 eq_Gravity Belt Thickener; wastewater treatment unit; at updated plant - US_Base_With Amendment_Aerated Static Pile</v>
      </c>
    </row>
    <row r="9388" spans="1:13" s="120" customFormat="1" x14ac:dyDescent="0.25">
      <c r="A9388" s="119"/>
      <c r="B9388" s="138" t="str">
        <f t="shared" si="772"/>
        <v>Aerated Static Pile</v>
      </c>
      <c r="C9388" s="138" t="str">
        <f t="shared" si="773"/>
        <v>Base_With Amendment</v>
      </c>
      <c r="D9388" s="138" t="str">
        <f t="shared" si="777"/>
        <v>High_High</v>
      </c>
      <c r="E9388" s="138" t="str">
        <f t="shared" si="774"/>
        <v>Base</v>
      </c>
      <c r="F9388" s="138" t="str">
        <f t="shared" si="775"/>
        <v>Upgraded</v>
      </c>
      <c r="G9388" s="153"/>
      <c r="H9388" s="210">
        <v>1.2500000000000001E-2</v>
      </c>
      <c r="I9388" s="160" t="s">
        <v>59</v>
      </c>
      <c r="J9388" s="160">
        <v>5.1999999999999995E-4</v>
      </c>
      <c r="K9388" s="160" t="s">
        <v>24</v>
      </c>
      <c r="L9388" s="154" t="str">
        <f>IF(OpenLCAbasic!K9388="CTUh", "Fill in Manually",IF(OR(K9388="Unit", K9388=""), "", INDEX(LookUps!$E$5:$E$12, MATCH(OpenLCAbasic!K9388,LookUps!$D$5:$D$12,0))))</f>
        <v>Acidification Potential (AP) - kg SO2 eq</v>
      </c>
      <c r="M9388" s="154" t="str">
        <f t="shared" si="771"/>
        <v>Base_High_High_Upgraded_Acidification Potential (AP) - kg SO2 eq_Blend Tank; wastewater treatment unit; at updated plant - US_Base_With Amendment_Aerated Static Pile</v>
      </c>
    </row>
    <row r="9389" spans="1:13" s="120" customFormat="1" x14ac:dyDescent="0.25">
      <c r="A9389" s="119"/>
      <c r="B9389" s="138" t="str">
        <f t="shared" si="772"/>
        <v>Aerated Static Pile</v>
      </c>
      <c r="C9389" s="138" t="str">
        <f t="shared" si="773"/>
        <v>Base_With Amendment</v>
      </c>
      <c r="D9389" s="138" t="str">
        <f t="shared" si="777"/>
        <v>High_High</v>
      </c>
      <c r="E9389" s="138" t="str">
        <f t="shared" si="774"/>
        <v>Base</v>
      </c>
      <c r="F9389" s="138" t="str">
        <f t="shared" si="775"/>
        <v>Upgraded</v>
      </c>
      <c r="G9389" s="153"/>
      <c r="H9389" s="210">
        <v>8.3999999999999995E-3</v>
      </c>
      <c r="I9389" s="160" t="s">
        <v>48</v>
      </c>
      <c r="J9389" s="160">
        <v>3.5E-4</v>
      </c>
      <c r="K9389" s="160" t="s">
        <v>24</v>
      </c>
      <c r="L9389" s="154" t="str">
        <f>IF(OpenLCAbasic!K9389="CTUh", "Fill in Manually",IF(OR(K9389="Unit", K9389=""), "", INDEX(LookUps!$E$5:$E$12, MATCH(OpenLCAbasic!K9389,LookUps!$D$5:$D$12,0))))</f>
        <v>Acidification Potential (AP) - kg SO2 eq</v>
      </c>
      <c r="M9389" s="154" t="str">
        <f t="shared" si="771"/>
        <v>Base_High_High_Upgraded_Acidification Potential (AP) - kg SO2 eq_Effluent release; wastewater treatment unit; at surface water; m3 wastewater - US_Base_With Amendment_Aerated Static Pile</v>
      </c>
    </row>
    <row r="9390" spans="1:13" s="120" customFormat="1" x14ac:dyDescent="0.25">
      <c r="A9390" s="119"/>
      <c r="B9390" s="138" t="str">
        <f t="shared" si="772"/>
        <v>Aerated Static Pile</v>
      </c>
      <c r="C9390" s="138" t="str">
        <f t="shared" si="773"/>
        <v>Base_With Amendment</v>
      </c>
      <c r="D9390" s="138" t="str">
        <f t="shared" si="777"/>
        <v>High_High</v>
      </c>
      <c r="E9390" s="138" t="str">
        <f t="shared" si="774"/>
        <v>Base</v>
      </c>
      <c r="F9390" s="138" t="str">
        <f t="shared" si="775"/>
        <v>Upgraded</v>
      </c>
      <c r="G9390" s="153"/>
      <c r="H9390" s="210">
        <v>6.1999999999999998E-3</v>
      </c>
      <c r="I9390" s="160" t="s">
        <v>168</v>
      </c>
      <c r="J9390" s="160">
        <v>2.5999999999999998E-4</v>
      </c>
      <c r="K9390" s="160" t="s">
        <v>24</v>
      </c>
      <c r="L9390" s="154" t="str">
        <f>IF(OpenLCAbasic!K9390="CTUh", "Fill in Manually",IF(OR(K9390="Unit", K9390=""), "", INDEX(LookUps!$E$5:$E$12, MATCH(OpenLCAbasic!K9390,LookUps!$D$5:$D$12,0))))</f>
        <v>Acidification Potential (AP) - kg SO2 eq</v>
      </c>
      <c r="M9390" s="154" t="str">
        <f t="shared" si="771"/>
        <v>Base_High_High_Upgraded_Acidification Potential (AP) - kg SO2 eq_ClearCove SCP; wastewater treatment unit; at updated plant - US_Base_With Amendment_Aerated Static Pile</v>
      </c>
    </row>
    <row r="9391" spans="1:13" s="120" customFormat="1" x14ac:dyDescent="0.25">
      <c r="A9391" s="119"/>
      <c r="B9391" s="138" t="str">
        <f t="shared" si="772"/>
        <v>Aerated Static Pile</v>
      </c>
      <c r="C9391" s="138" t="str">
        <f t="shared" si="773"/>
        <v>Base_With Amendment</v>
      </c>
      <c r="D9391" s="138" t="str">
        <f t="shared" si="777"/>
        <v>High_High</v>
      </c>
      <c r="E9391" s="138" t="str">
        <f t="shared" si="774"/>
        <v>Base</v>
      </c>
      <c r="F9391" s="138" t="str">
        <f t="shared" si="775"/>
        <v>Upgraded</v>
      </c>
      <c r="G9391" s="153"/>
      <c r="H9391" s="210">
        <v>1E-3</v>
      </c>
      <c r="I9391" s="160" t="s">
        <v>148</v>
      </c>
      <c r="J9391" s="211">
        <v>4.0354700000000002E-5</v>
      </c>
      <c r="K9391" s="160" t="s">
        <v>24</v>
      </c>
      <c r="L9391" s="154" t="str">
        <f>IF(OpenLCAbasic!K9391="CTUh", "Fill in Manually",IF(OR(K9391="Unit", K9391=""), "", INDEX(LookUps!$E$5:$E$12, MATCH(OpenLCAbasic!K9391,LookUps!$D$5:$D$12,0))))</f>
        <v>Acidification Potential (AP) - kg SO2 eq</v>
      </c>
      <c r="M9391" s="154" t="str">
        <f t="shared" si="771"/>
        <v>Base_High_High_Upgraded_Acidification Potential (AP) - kg SO2 eq_Control Building; at upgraded wastewater treatment plant - US_Base_With Amendment_Aerated Static Pile</v>
      </c>
    </row>
    <row r="9392" spans="1:13" s="120" customFormat="1" x14ac:dyDescent="0.25">
      <c r="A9392" s="119"/>
      <c r="B9392" s="138" t="str">
        <f t="shared" si="772"/>
        <v>Aerated Static Pile</v>
      </c>
      <c r="C9392" s="138" t="str">
        <f t="shared" si="773"/>
        <v>Base_With Amendment</v>
      </c>
      <c r="D9392" s="138" t="str">
        <f t="shared" si="777"/>
        <v>High_High</v>
      </c>
      <c r="E9392" s="138" t="str">
        <f t="shared" si="774"/>
        <v>Base</v>
      </c>
      <c r="F9392" s="138" t="str">
        <f t="shared" si="775"/>
        <v>Upgraded</v>
      </c>
      <c r="G9392" s="153"/>
      <c r="H9392" s="210">
        <v>-2.3439999999999999</v>
      </c>
      <c r="I9392" s="160" t="s">
        <v>149</v>
      </c>
      <c r="J9392" s="160">
        <v>-9.6839999999999996E-2</v>
      </c>
      <c r="K9392" s="160" t="s">
        <v>24</v>
      </c>
      <c r="L9392" s="154" t="str">
        <f>IF(OpenLCAbasic!K9392="CTUh", "Fill in Manually",IF(OR(K9392="Unit", K9392=""), "", INDEX(LookUps!$E$5:$E$12, MATCH(OpenLCAbasic!K9392,LookUps!$D$5:$D$12,0))))</f>
        <v>Acidification Potential (AP) - kg SO2 eq</v>
      </c>
      <c r="M9392" s="154" t="str">
        <f t="shared" si="771"/>
        <v>Base_High_High_Upgraded_Acidification Potential (AP) - kg SO2 eq_Anaerobic Digestion; wastewater treatment unit; at updated plant - US_Base_With Amendment_Aerated Static Pile</v>
      </c>
    </row>
    <row r="9393" spans="1:13" s="120" customFormat="1" x14ac:dyDescent="0.25">
      <c r="A9393" s="119"/>
      <c r="B9393" s="138" t="str">
        <f t="shared" si="772"/>
        <v/>
      </c>
      <c r="C9393" s="138" t="str">
        <f t="shared" si="773"/>
        <v/>
      </c>
      <c r="D9393" s="138" t="str">
        <f t="shared" si="777"/>
        <v/>
      </c>
      <c r="E9393" s="138" t="str">
        <f t="shared" si="774"/>
        <v/>
      </c>
      <c r="F9393" s="138" t="str">
        <f t="shared" si="775"/>
        <v/>
      </c>
      <c r="G9393" s="153" t="s">
        <v>51</v>
      </c>
      <c r="H9393" s="160"/>
      <c r="I9393" s="160" t="s">
        <v>47</v>
      </c>
      <c r="J9393" s="160" t="s">
        <v>52</v>
      </c>
      <c r="K9393" s="160" t="s">
        <v>27</v>
      </c>
      <c r="L9393" s="154" t="str">
        <f>IF(OpenLCAbasic!K9393="CTUh", "Fill in Manually",IF(OR(K9393="Unit", K9393=""), "", INDEX(LookUps!$E$5:$E$12, MATCH(OpenLCAbasic!K9393,LookUps!$D$5:$D$12,0))))</f>
        <v/>
      </c>
      <c r="M9393" s="154" t="str">
        <f t="shared" si="771"/>
        <v>____Process__</v>
      </c>
    </row>
    <row r="9394" spans="1:13" s="120" customFormat="1" x14ac:dyDescent="0.25">
      <c r="A9394" s="119"/>
      <c r="B9394" s="138" t="str">
        <f t="shared" si="772"/>
        <v>Aerated Static Pile</v>
      </c>
      <c r="C9394" s="138" t="str">
        <f t="shared" si="773"/>
        <v>Base_With Amendment</v>
      </c>
      <c r="D9394" s="138" t="str">
        <f t="shared" si="777"/>
        <v>High_High</v>
      </c>
      <c r="E9394" s="138" t="str">
        <f t="shared" si="774"/>
        <v>Base</v>
      </c>
      <c r="F9394" s="138" t="str">
        <f t="shared" si="775"/>
        <v>Upgraded</v>
      </c>
      <c r="G9394" s="153"/>
      <c r="H9394" s="210">
        <v>0.62019999999999997</v>
      </c>
      <c r="I9394" s="160" t="s">
        <v>167</v>
      </c>
      <c r="J9394" s="160">
        <v>5.1393399999999998</v>
      </c>
      <c r="K9394" s="160" t="s">
        <v>15</v>
      </c>
      <c r="L9394" s="154" t="str">
        <f>IF(OpenLCAbasic!K9394="CTUh", "Fill in Manually",IF(OR(K9394="Unit", K9394=""), "", INDEX(LookUps!$E$5:$E$12, MATCH(OpenLCAbasic!K9394,LookUps!$D$5:$D$12,0))))</f>
        <v>Cumulative Energy Demand (CED) - MJ</v>
      </c>
      <c r="M9394" s="154" t="str">
        <f t="shared" si="771"/>
        <v>Base_High_High_Upgraded_Cumulative Energy Demand (CED) - MJ_Waste Receiving and Holding; wastewater treatment unit; at updated plant - US_Base_With Amendment_Aerated Static Pile</v>
      </c>
    </row>
    <row r="9395" spans="1:13" s="120" customFormat="1" x14ac:dyDescent="0.25">
      <c r="A9395" s="119"/>
      <c r="B9395" s="138" t="str">
        <f t="shared" si="772"/>
        <v>Aerated Static Pile</v>
      </c>
      <c r="C9395" s="138" t="str">
        <f t="shared" si="773"/>
        <v>Base_With Amendment</v>
      </c>
      <c r="D9395" s="138" t="str">
        <f t="shared" si="777"/>
        <v>High_High</v>
      </c>
      <c r="E9395" s="138" t="str">
        <f t="shared" si="774"/>
        <v>Base</v>
      </c>
      <c r="F9395" s="138" t="str">
        <f t="shared" si="775"/>
        <v>Upgraded</v>
      </c>
      <c r="G9395" s="153"/>
      <c r="H9395" s="210">
        <v>0.4264</v>
      </c>
      <c r="I9395" s="160" t="s">
        <v>55</v>
      </c>
      <c r="J9395" s="160">
        <v>3.5330499999999998</v>
      </c>
      <c r="K9395" s="160" t="s">
        <v>15</v>
      </c>
      <c r="L9395" s="154" t="str">
        <f>IF(OpenLCAbasic!K9395="CTUh", "Fill in Manually",IF(OR(K9395="Unit", K9395=""), "", INDEX(LookUps!$E$5:$E$12, MATCH(OpenLCAbasic!K9395,LookUps!$D$5:$D$12,0))))</f>
        <v>Cumulative Energy Demand (CED) - MJ</v>
      </c>
      <c r="M9395" s="154" t="str">
        <f t="shared" ref="M9395:M9458" si="778">CONCATENATE(E9395,"_",D9395,"_",F9395,"_",L9395, "_",I9395,"_", C9395,"_", B9395)</f>
        <v>Base_High_High_Upgraded_Cumulative Energy Demand (CED) - MJ_Aeration Tanks; wastewater treatment unit; at updated plant - US_Base_With Amendment_Aerated Static Pile</v>
      </c>
    </row>
    <row r="9396" spans="1:13" s="120" customFormat="1" x14ac:dyDescent="0.25">
      <c r="A9396" s="119"/>
      <c r="B9396" s="138" t="str">
        <f t="shared" si="772"/>
        <v>Aerated Static Pile</v>
      </c>
      <c r="C9396" s="138" t="str">
        <f t="shared" si="773"/>
        <v>Base_With Amendment</v>
      </c>
      <c r="D9396" s="138" t="str">
        <f t="shared" si="777"/>
        <v>High_High</v>
      </c>
      <c r="E9396" s="138" t="str">
        <f t="shared" si="774"/>
        <v>Base</v>
      </c>
      <c r="F9396" s="138" t="str">
        <f t="shared" si="775"/>
        <v>Upgraded</v>
      </c>
      <c r="G9396" s="153"/>
      <c r="H9396" s="210">
        <v>0.26840000000000003</v>
      </c>
      <c r="I9396" s="160" t="s">
        <v>435</v>
      </c>
      <c r="J9396" s="160">
        <v>2.2243300000000001</v>
      </c>
      <c r="K9396" s="160" t="s">
        <v>15</v>
      </c>
      <c r="L9396" s="154" t="str">
        <f>IF(OpenLCAbasic!K9396="CTUh", "Fill in Manually",IF(OR(K9396="Unit", K9396=""), "", INDEX(LookUps!$E$5:$E$12, MATCH(OpenLCAbasic!K9396,LookUps!$D$5:$D$12,0))))</f>
        <v>Cumulative Energy Demand (CED) - MJ</v>
      </c>
      <c r="M9396" s="154" t="str">
        <f t="shared" si="778"/>
        <v>Base_High_High_Upgraded_Cumulative Energy Demand (CED) - MJ_Biosolids composting; aerated static pile; wastewater treatment unit; at updated plant - US_Base_With Amendment_Aerated Static Pile</v>
      </c>
    </row>
    <row r="9397" spans="1:13" s="120" customFormat="1" x14ac:dyDescent="0.25">
      <c r="A9397" s="119"/>
      <c r="B9397" s="138" t="str">
        <f t="shared" si="772"/>
        <v>Aerated Static Pile</v>
      </c>
      <c r="C9397" s="138" t="str">
        <f t="shared" si="773"/>
        <v>Base_With Amendment</v>
      </c>
      <c r="D9397" s="138" t="str">
        <f t="shared" si="777"/>
        <v>High_High</v>
      </c>
      <c r="E9397" s="138" t="str">
        <f t="shared" si="774"/>
        <v>Base</v>
      </c>
      <c r="F9397" s="138" t="str">
        <f t="shared" si="775"/>
        <v>Upgraded</v>
      </c>
      <c r="G9397" s="153"/>
      <c r="H9397" s="210">
        <v>0.14030000000000001</v>
      </c>
      <c r="I9397" s="160" t="s">
        <v>54</v>
      </c>
      <c r="J9397" s="160">
        <v>1.16289</v>
      </c>
      <c r="K9397" s="160" t="s">
        <v>15</v>
      </c>
      <c r="L9397" s="154" t="str">
        <f>IF(OpenLCAbasic!K9397="CTUh", "Fill in Manually",IF(OR(K9397="Unit", K9397=""), "", INDEX(LookUps!$E$5:$E$12, MATCH(OpenLCAbasic!K9397,LookUps!$D$5:$D$12,0))))</f>
        <v>Cumulative Energy Demand (CED) - MJ</v>
      </c>
      <c r="M9397" s="154" t="str">
        <f t="shared" si="778"/>
        <v>Base_High_High_Upgraded_Cumulative Energy Demand (CED) - MJ_Clear Cove Primary Clarification; wastewater treatment unit; at updated plant - US_Base_With Amendment_Aerated Static Pile</v>
      </c>
    </row>
    <row r="9398" spans="1:13" s="120" customFormat="1" x14ac:dyDescent="0.25">
      <c r="A9398" s="119"/>
      <c r="B9398" s="138" t="str">
        <f t="shared" si="772"/>
        <v>Aerated Static Pile</v>
      </c>
      <c r="C9398" s="138" t="str">
        <f t="shared" si="773"/>
        <v>Base_With Amendment</v>
      </c>
      <c r="D9398" s="138" t="str">
        <f t="shared" si="777"/>
        <v>High_High</v>
      </c>
      <c r="E9398" s="138" t="str">
        <f t="shared" si="774"/>
        <v>Base</v>
      </c>
      <c r="F9398" s="138" t="str">
        <f t="shared" si="775"/>
        <v>Upgraded</v>
      </c>
      <c r="G9398" s="153"/>
      <c r="H9398" s="210">
        <v>0.1075</v>
      </c>
      <c r="I9398" s="160" t="s">
        <v>58</v>
      </c>
      <c r="J9398" s="160">
        <v>0.89063999999999999</v>
      </c>
      <c r="K9398" s="160" t="s">
        <v>15</v>
      </c>
      <c r="L9398" s="154" t="str">
        <f>IF(OpenLCAbasic!K9398="CTUh", "Fill in Manually",IF(OR(K9398="Unit", K9398=""), "", INDEX(LookUps!$E$5:$E$12, MATCH(OpenLCAbasic!K9398,LookUps!$D$5:$D$12,0))))</f>
        <v>Cumulative Energy Demand (CED) - MJ</v>
      </c>
      <c r="M9398" s="154" t="str">
        <f t="shared" si="778"/>
        <v>Base_High_High_Upgraded_Cumulative Energy Demand (CED) - MJ_Pre-Anoxic &amp; Swing tank; wastewater treatment unit; at updated plant - US_Base_With Amendment_Aerated Static Pile</v>
      </c>
    </row>
    <row r="9399" spans="1:13" s="120" customFormat="1" x14ac:dyDescent="0.25">
      <c r="A9399" s="119"/>
      <c r="B9399" s="138" t="str">
        <f t="shared" si="772"/>
        <v>Aerated Static Pile</v>
      </c>
      <c r="C9399" s="138" t="str">
        <f t="shared" si="773"/>
        <v>Base_With Amendment</v>
      </c>
      <c r="D9399" s="138" t="str">
        <f t="shared" si="777"/>
        <v>High_High</v>
      </c>
      <c r="E9399" s="138" t="str">
        <f t="shared" si="774"/>
        <v>Base</v>
      </c>
      <c r="F9399" s="138" t="str">
        <f t="shared" si="775"/>
        <v>Upgraded</v>
      </c>
      <c r="G9399" s="153"/>
      <c r="H9399" s="210">
        <v>0.1066</v>
      </c>
      <c r="I9399" s="160" t="s">
        <v>147</v>
      </c>
      <c r="J9399" s="160">
        <v>0.88297000000000003</v>
      </c>
      <c r="K9399" s="160" t="s">
        <v>15</v>
      </c>
      <c r="L9399" s="154" t="str">
        <f>IF(OpenLCAbasic!K9399="CTUh", "Fill in Manually",IF(OR(K9399="Unit", K9399=""), "", INDEX(LookUps!$E$5:$E$12, MATCH(OpenLCAbasic!K9399,LookUps!$D$5:$D$12,0))))</f>
        <v>Cumulative Energy Demand (CED) - MJ</v>
      </c>
      <c r="M9399" s="154" t="str">
        <f t="shared" si="778"/>
        <v>Base_High_High_Upgraded_Cumulative Energy Demand (CED) - MJ_Influent Pump Station; wastewater treatment unit; at updated plant - US_Base_With Amendment_Aerated Static Pile</v>
      </c>
    </row>
    <row r="9400" spans="1:13" s="120" customFormat="1" x14ac:dyDescent="0.25">
      <c r="A9400" s="119"/>
      <c r="B9400" s="138" t="str">
        <f t="shared" si="772"/>
        <v>Aerated Static Pile</v>
      </c>
      <c r="C9400" s="138" t="str">
        <f t="shared" si="773"/>
        <v>Base_With Amendment</v>
      </c>
      <c r="D9400" s="138" t="str">
        <f t="shared" si="777"/>
        <v>High_High</v>
      </c>
      <c r="E9400" s="138" t="str">
        <f t="shared" si="774"/>
        <v>Base</v>
      </c>
      <c r="F9400" s="138" t="str">
        <f t="shared" si="775"/>
        <v>Upgraded</v>
      </c>
      <c r="G9400" s="153"/>
      <c r="H9400" s="210">
        <v>8.4000000000000005E-2</v>
      </c>
      <c r="I9400" s="160" t="s">
        <v>53</v>
      </c>
      <c r="J9400" s="160">
        <v>0.69645000000000001</v>
      </c>
      <c r="K9400" s="160" t="s">
        <v>15</v>
      </c>
      <c r="L9400" s="154" t="str">
        <f>IF(OpenLCAbasic!K9400="CTUh", "Fill in Manually",IF(OR(K9400="Unit", K9400=""), "", INDEX(LookUps!$E$5:$E$12, MATCH(OpenLCAbasic!K9400,LookUps!$D$5:$D$12,0))))</f>
        <v>Cumulative Energy Demand (CED) - MJ</v>
      </c>
      <c r="M9400" s="154" t="str">
        <f t="shared" si="778"/>
        <v>Base_High_High_Upgraded_Cumulative Energy Demand (CED) - MJ_Wet Well and Sump Station; wastewater treatment unit; at updated plant - US_Base_With Amendment_Aerated Static Pile</v>
      </c>
    </row>
    <row r="9401" spans="1:13" s="120" customFormat="1" x14ac:dyDescent="0.25">
      <c r="A9401" s="119"/>
      <c r="B9401" s="138" t="str">
        <f t="shared" ref="B9401:B9464" si="779">IF(F9401="Legacy","n.a.",IF(F9401="","","Aerated Static Pile"))</f>
        <v>Aerated Static Pile</v>
      </c>
      <c r="C9401" s="138" t="str">
        <f t="shared" ref="C9401:C9464" si="780">IF(ISNUMBER($J9401),"Base_With Amendment","")</f>
        <v>Base_With Amendment</v>
      </c>
      <c r="D9401" s="138" t="str">
        <f t="shared" si="777"/>
        <v>High_High</v>
      </c>
      <c r="E9401" s="138" t="str">
        <f t="shared" ref="E9401:E9464" si="781">IF(ISNUMBER($J9401),"Base","")</f>
        <v>Base</v>
      </c>
      <c r="F9401" s="138" t="str">
        <f t="shared" ref="F9401:F9464" si="782">IF(ISNUMBER(J9401),"Upgraded","")</f>
        <v>Upgraded</v>
      </c>
      <c r="G9401" s="153"/>
      <c r="H9401" s="210">
        <v>6.2300000000000001E-2</v>
      </c>
      <c r="I9401" s="160" t="s">
        <v>60</v>
      </c>
      <c r="J9401" s="160">
        <v>0.51639000000000002</v>
      </c>
      <c r="K9401" s="160" t="s">
        <v>15</v>
      </c>
      <c r="L9401" s="154" t="str">
        <f>IF(OpenLCAbasic!K9401="CTUh", "Fill in Manually",IF(OR(K9401="Unit", K9401=""), "", INDEX(LookUps!$E$5:$E$12, MATCH(OpenLCAbasic!K9401,LookUps!$D$5:$D$12,0))))</f>
        <v>Cumulative Energy Demand (CED) - MJ</v>
      </c>
      <c r="M9401" s="154" t="str">
        <f t="shared" si="778"/>
        <v>Base_High_High_Upgraded_Cumulative Energy Demand (CED) - MJ_Belt filter press; wastewater treatment unit; at updated plant - US_Base_With Amendment_Aerated Static Pile</v>
      </c>
    </row>
    <row r="9402" spans="1:13" s="120" customFormat="1" x14ac:dyDescent="0.25">
      <c r="A9402" s="119"/>
      <c r="B9402" s="138" t="str">
        <f t="shared" si="779"/>
        <v>Aerated Static Pile</v>
      </c>
      <c r="C9402" s="138" t="str">
        <f t="shared" si="780"/>
        <v>Base_With Amendment</v>
      </c>
      <c r="D9402" s="138" t="str">
        <f t="shared" si="777"/>
        <v>High_High</v>
      </c>
      <c r="E9402" s="138" t="str">
        <f t="shared" si="781"/>
        <v>Base</v>
      </c>
      <c r="F9402" s="138" t="str">
        <f t="shared" si="782"/>
        <v>Upgraded</v>
      </c>
      <c r="G9402" s="153"/>
      <c r="H9402" s="210">
        <v>4.0300000000000002E-2</v>
      </c>
      <c r="I9402" s="160" t="s">
        <v>57</v>
      </c>
      <c r="J9402" s="160">
        <v>0.33404</v>
      </c>
      <c r="K9402" s="160" t="s">
        <v>15</v>
      </c>
      <c r="L9402" s="154" t="str">
        <f>IF(OpenLCAbasic!K9402="CTUh", "Fill in Manually",IF(OR(K9402="Unit", K9402=""), "", INDEX(LookUps!$E$5:$E$12, MATCH(OpenLCAbasic!K9402,LookUps!$D$5:$D$12,0))))</f>
        <v>Cumulative Energy Demand (CED) - MJ</v>
      </c>
      <c r="M9402" s="154" t="str">
        <f t="shared" si="778"/>
        <v>Base_High_High_Upgraded_Cumulative Energy Demand (CED) - MJ_Gravity Belt Thickener; wastewater treatment unit; at updated plant - US_Base_With Amendment_Aerated Static Pile</v>
      </c>
    </row>
    <row r="9403" spans="1:13" s="120" customFormat="1" x14ac:dyDescent="0.25">
      <c r="A9403" s="119"/>
      <c r="B9403" s="138" t="str">
        <f t="shared" si="779"/>
        <v>Aerated Static Pile</v>
      </c>
      <c r="C9403" s="138" t="str">
        <f t="shared" si="780"/>
        <v>Base_With Amendment</v>
      </c>
      <c r="D9403" s="138" t="str">
        <f t="shared" si="777"/>
        <v>High_High</v>
      </c>
      <c r="E9403" s="138" t="str">
        <f t="shared" si="781"/>
        <v>Base</v>
      </c>
      <c r="F9403" s="138" t="str">
        <f t="shared" si="782"/>
        <v>Upgraded</v>
      </c>
      <c r="G9403" s="153"/>
      <c r="H9403" s="210">
        <v>3.09E-2</v>
      </c>
      <c r="I9403" s="160" t="s">
        <v>128</v>
      </c>
      <c r="J9403" s="160">
        <v>0.25606000000000001</v>
      </c>
      <c r="K9403" s="160" t="s">
        <v>15</v>
      </c>
      <c r="L9403" s="154" t="str">
        <f>IF(OpenLCAbasic!K9403="CTUh", "Fill in Manually",IF(OR(K9403="Unit", K9403=""), "", INDEX(LookUps!$E$5:$E$12, MATCH(OpenLCAbasic!K9403,LookUps!$D$5:$D$12,0))))</f>
        <v>Cumulative Energy Demand (CED) - MJ</v>
      </c>
      <c r="M9403" s="154" t="str">
        <f t="shared" si="778"/>
        <v>Base_High_High_Upgraded_Cumulative Energy Demand (CED) - MJ_Wastewater collection; operation and infrastructure; m3 wastewater_Base_With Amendment_Aerated Static Pile</v>
      </c>
    </row>
    <row r="9404" spans="1:13" s="120" customFormat="1" x14ac:dyDescent="0.25">
      <c r="A9404" s="119"/>
      <c r="B9404" s="138" t="str">
        <f t="shared" si="779"/>
        <v>Aerated Static Pile</v>
      </c>
      <c r="C9404" s="138" t="str">
        <f t="shared" si="780"/>
        <v>Base_With Amendment</v>
      </c>
      <c r="D9404" s="138" t="str">
        <f t="shared" si="777"/>
        <v>High_High</v>
      </c>
      <c r="E9404" s="138" t="str">
        <f t="shared" si="781"/>
        <v>Base</v>
      </c>
      <c r="F9404" s="138" t="str">
        <f t="shared" si="782"/>
        <v>Upgraded</v>
      </c>
      <c r="G9404" s="153"/>
      <c r="H9404" s="210">
        <v>1.7600000000000001E-2</v>
      </c>
      <c r="I9404" s="160" t="s">
        <v>148</v>
      </c>
      <c r="J9404" s="160">
        <v>0.14599000000000001</v>
      </c>
      <c r="K9404" s="160" t="s">
        <v>15</v>
      </c>
      <c r="L9404" s="154" t="str">
        <f>IF(OpenLCAbasic!K9404="CTUh", "Fill in Manually",IF(OR(K9404="Unit", K9404=""), "", INDEX(LookUps!$E$5:$E$12, MATCH(OpenLCAbasic!K9404,LookUps!$D$5:$D$12,0))))</f>
        <v>Cumulative Energy Demand (CED) - MJ</v>
      </c>
      <c r="M9404" s="154" t="str">
        <f t="shared" si="778"/>
        <v>Base_High_High_Upgraded_Cumulative Energy Demand (CED) - MJ_Control Building; at upgraded wastewater treatment plant - US_Base_With Amendment_Aerated Static Pile</v>
      </c>
    </row>
    <row r="9405" spans="1:13" s="120" customFormat="1" x14ac:dyDescent="0.25">
      <c r="A9405" s="119"/>
      <c r="B9405" s="138" t="str">
        <f t="shared" si="779"/>
        <v>Aerated Static Pile</v>
      </c>
      <c r="C9405" s="138" t="str">
        <f t="shared" si="780"/>
        <v>Base_With Amendment</v>
      </c>
      <c r="D9405" s="138" t="str">
        <f t="shared" si="777"/>
        <v>High_High</v>
      </c>
      <c r="E9405" s="138" t="str">
        <f t="shared" si="781"/>
        <v>Base</v>
      </c>
      <c r="F9405" s="138" t="str">
        <f t="shared" si="782"/>
        <v>Upgraded</v>
      </c>
      <c r="G9405" s="153"/>
      <c r="H9405" s="210">
        <v>1.61E-2</v>
      </c>
      <c r="I9405" s="160" t="s">
        <v>48</v>
      </c>
      <c r="J9405" s="160">
        <v>0.13321</v>
      </c>
      <c r="K9405" s="160" t="s">
        <v>15</v>
      </c>
      <c r="L9405" s="154" t="str">
        <f>IF(OpenLCAbasic!K9405="CTUh", "Fill in Manually",IF(OR(K9405="Unit", K9405=""), "", INDEX(LookUps!$E$5:$E$12, MATCH(OpenLCAbasic!K9405,LookUps!$D$5:$D$12,0))))</f>
        <v>Cumulative Energy Demand (CED) - MJ</v>
      </c>
      <c r="M9405" s="154" t="str">
        <f t="shared" si="778"/>
        <v>Base_High_High_Upgraded_Cumulative Energy Demand (CED) - MJ_Effluent release; wastewater treatment unit; at surface water; m3 wastewater - US_Base_With Amendment_Aerated Static Pile</v>
      </c>
    </row>
    <row r="9406" spans="1:13" s="120" customFormat="1" x14ac:dyDescent="0.25">
      <c r="A9406" s="119"/>
      <c r="B9406" s="138" t="str">
        <f t="shared" si="779"/>
        <v>Aerated Static Pile</v>
      </c>
      <c r="C9406" s="138" t="str">
        <f t="shared" si="780"/>
        <v>Base_With Amendment</v>
      </c>
      <c r="D9406" s="138" t="str">
        <f t="shared" si="777"/>
        <v>High_High</v>
      </c>
      <c r="E9406" s="138" t="str">
        <f t="shared" si="781"/>
        <v>Base</v>
      </c>
      <c r="F9406" s="138" t="str">
        <f t="shared" si="782"/>
        <v>Upgraded</v>
      </c>
      <c r="G9406" s="153"/>
      <c r="H9406" s="210">
        <v>1.2800000000000001E-2</v>
      </c>
      <c r="I9406" s="160" t="s">
        <v>59</v>
      </c>
      <c r="J9406" s="160">
        <v>0.10638</v>
      </c>
      <c r="K9406" s="160" t="s">
        <v>15</v>
      </c>
      <c r="L9406" s="154" t="str">
        <f>IF(OpenLCAbasic!K9406="CTUh", "Fill in Manually",IF(OR(K9406="Unit", K9406=""), "", INDEX(LookUps!$E$5:$E$12, MATCH(OpenLCAbasic!K9406,LookUps!$D$5:$D$12,0))))</f>
        <v>Cumulative Energy Demand (CED) - MJ</v>
      </c>
      <c r="M9406" s="154" t="str">
        <f t="shared" si="778"/>
        <v>Base_High_High_Upgraded_Cumulative Energy Demand (CED) - MJ_Blend Tank; wastewater treatment unit; at updated plant - US_Base_With Amendment_Aerated Static Pile</v>
      </c>
    </row>
    <row r="9407" spans="1:13" s="120" customFormat="1" x14ac:dyDescent="0.25">
      <c r="A9407" s="119"/>
      <c r="B9407" s="138" t="str">
        <f t="shared" si="779"/>
        <v>Aerated Static Pile</v>
      </c>
      <c r="C9407" s="138" t="str">
        <f t="shared" si="780"/>
        <v>Base_With Amendment</v>
      </c>
      <c r="D9407" s="138" t="str">
        <f t="shared" si="777"/>
        <v>High_High</v>
      </c>
      <c r="E9407" s="138" t="str">
        <f t="shared" si="781"/>
        <v>Base</v>
      </c>
      <c r="F9407" s="138" t="str">
        <f t="shared" si="782"/>
        <v>Upgraded</v>
      </c>
      <c r="G9407" s="153"/>
      <c r="H9407" s="210">
        <v>6.1000000000000004E-3</v>
      </c>
      <c r="I9407" s="160" t="s">
        <v>168</v>
      </c>
      <c r="J9407" s="160">
        <v>5.0930000000000003E-2</v>
      </c>
      <c r="K9407" s="160" t="s">
        <v>15</v>
      </c>
      <c r="L9407" s="154" t="str">
        <f>IF(OpenLCAbasic!K9407="CTUh", "Fill in Manually",IF(OR(K9407="Unit", K9407=""), "", INDEX(LookUps!$E$5:$E$12, MATCH(OpenLCAbasic!K9407,LookUps!$D$5:$D$12,0))))</f>
        <v>Cumulative Energy Demand (CED) - MJ</v>
      </c>
      <c r="M9407" s="154" t="str">
        <f t="shared" si="778"/>
        <v>Base_High_High_Upgraded_Cumulative Energy Demand (CED) - MJ_ClearCove SCP; wastewater treatment unit; at updated plant - US_Base_With Amendment_Aerated Static Pile</v>
      </c>
    </row>
    <row r="9408" spans="1:13" s="120" customFormat="1" x14ac:dyDescent="0.25">
      <c r="A9408" s="119"/>
      <c r="B9408" s="138" t="str">
        <f t="shared" si="779"/>
        <v>Aerated Static Pile</v>
      </c>
      <c r="C9408" s="138" t="str">
        <f t="shared" si="780"/>
        <v>Base_With Amendment</v>
      </c>
      <c r="D9408" s="138" t="str">
        <f t="shared" si="777"/>
        <v>High_High</v>
      </c>
      <c r="E9408" s="138" t="str">
        <f t="shared" si="781"/>
        <v>Base</v>
      </c>
      <c r="F9408" s="138" t="str">
        <f t="shared" si="782"/>
        <v>Upgraded</v>
      </c>
      <c r="G9408" s="153"/>
      <c r="H9408" s="210">
        <v>-9.5600000000000004E-2</v>
      </c>
      <c r="I9408" s="160" t="s">
        <v>62</v>
      </c>
      <c r="J9408" s="160">
        <v>-0.79190000000000005</v>
      </c>
      <c r="K9408" s="160" t="s">
        <v>15</v>
      </c>
      <c r="L9408" s="154" t="str">
        <f>IF(OpenLCAbasic!K9408="CTUh", "Fill in Manually",IF(OR(K9408="Unit", K9408=""), "", INDEX(LookUps!$E$5:$E$12, MATCH(OpenLCAbasic!K9408,LookUps!$D$5:$D$12,0))))</f>
        <v>Cumulative Energy Demand (CED) - MJ</v>
      </c>
      <c r="M9408" s="154" t="str">
        <f t="shared" si="778"/>
        <v>Base_High_High_Upgraded_Cumulative Energy Demand (CED) - MJ_Land application of compost; wastewater treatment unit; at updated plant - US_Base_With Amendment_Aerated Static Pile</v>
      </c>
    </row>
    <row r="9409" spans="1:13" s="120" customFormat="1" x14ac:dyDescent="0.25">
      <c r="A9409" s="119"/>
      <c r="B9409" s="138" t="str">
        <f t="shared" si="779"/>
        <v>Aerated Static Pile</v>
      </c>
      <c r="C9409" s="138" t="str">
        <f t="shared" si="780"/>
        <v>Base_With Amendment</v>
      </c>
      <c r="D9409" s="138" t="str">
        <f t="shared" si="777"/>
        <v>High_High</v>
      </c>
      <c r="E9409" s="138" t="str">
        <f t="shared" si="781"/>
        <v>Base</v>
      </c>
      <c r="F9409" s="138" t="str">
        <f t="shared" si="782"/>
        <v>Upgraded</v>
      </c>
      <c r="G9409" s="153"/>
      <c r="H9409" s="210">
        <v>-2.8441000000000001</v>
      </c>
      <c r="I9409" s="160" t="s">
        <v>149</v>
      </c>
      <c r="J9409" s="160">
        <v>-23.56711</v>
      </c>
      <c r="K9409" s="160" t="s">
        <v>15</v>
      </c>
      <c r="L9409" s="154" t="str">
        <f>IF(OpenLCAbasic!K9409="CTUh", "Fill in Manually",IF(OR(K9409="Unit", K9409=""), "", INDEX(LookUps!$E$5:$E$12, MATCH(OpenLCAbasic!K9409,LookUps!$D$5:$D$12,0))))</f>
        <v>Cumulative Energy Demand (CED) - MJ</v>
      </c>
      <c r="M9409" s="154" t="str">
        <f t="shared" si="778"/>
        <v>Base_High_High_Upgraded_Cumulative Energy Demand (CED) - MJ_Anaerobic Digestion; wastewater treatment unit; at updated plant - US_Base_With Amendment_Aerated Static Pile</v>
      </c>
    </row>
    <row r="9410" spans="1:13" s="120" customFormat="1" x14ac:dyDescent="0.25">
      <c r="A9410" s="119"/>
      <c r="B9410" s="138" t="str">
        <f t="shared" si="779"/>
        <v/>
      </c>
      <c r="C9410" s="138" t="str">
        <f t="shared" si="780"/>
        <v/>
      </c>
      <c r="D9410" s="138" t="str">
        <f t="shared" si="777"/>
        <v/>
      </c>
      <c r="E9410" s="138" t="str">
        <f t="shared" si="781"/>
        <v/>
      </c>
      <c r="F9410" s="138" t="str">
        <f t="shared" si="782"/>
        <v/>
      </c>
      <c r="G9410" s="153" t="s">
        <v>51</v>
      </c>
      <c r="H9410" s="160"/>
      <c r="I9410" s="160" t="s">
        <v>47</v>
      </c>
      <c r="J9410" s="160" t="s">
        <v>52</v>
      </c>
      <c r="K9410" s="160" t="s">
        <v>27</v>
      </c>
      <c r="L9410" s="154" t="str">
        <f>IF(OpenLCAbasic!K9410="CTUh", "Fill in Manually",IF(OR(K9410="Unit", K9410=""), "", INDEX(LookUps!$E$5:$E$12, MATCH(OpenLCAbasic!K9410,LookUps!$D$5:$D$12,0))))</f>
        <v/>
      </c>
      <c r="M9410" s="154" t="str">
        <f t="shared" si="778"/>
        <v>____Process__</v>
      </c>
    </row>
    <row r="9411" spans="1:13" s="120" customFormat="1" x14ac:dyDescent="0.25">
      <c r="A9411" s="119"/>
      <c r="B9411" s="138" t="str">
        <f t="shared" si="779"/>
        <v>Aerated Static Pile</v>
      </c>
      <c r="C9411" s="138" t="str">
        <f t="shared" si="780"/>
        <v>Base_With Amendment</v>
      </c>
      <c r="D9411" s="138" t="str">
        <f t="shared" si="777"/>
        <v>High_High</v>
      </c>
      <c r="E9411" s="138" t="str">
        <f t="shared" si="781"/>
        <v>Base</v>
      </c>
      <c r="F9411" s="138" t="str">
        <f t="shared" si="782"/>
        <v>Upgraded</v>
      </c>
      <c r="G9411" s="153"/>
      <c r="H9411" s="210">
        <v>0.80710000000000004</v>
      </c>
      <c r="I9411" s="160" t="s">
        <v>48</v>
      </c>
      <c r="J9411" s="160">
        <v>1.1610000000000001E-2</v>
      </c>
      <c r="K9411" s="160" t="s">
        <v>13</v>
      </c>
      <c r="L9411" s="154" t="str">
        <f>IF(OpenLCAbasic!K9411="CTUh", "Fill in Manually",IF(OR(K9411="Unit", K9411=""), "", INDEX(LookUps!$E$5:$E$12, MATCH(OpenLCAbasic!K9411,LookUps!$D$5:$D$12,0))))</f>
        <v>Eutrophication Potential (EP) - kg N eq</v>
      </c>
      <c r="M9411" s="154" t="str">
        <f t="shared" si="778"/>
        <v>Base_High_High_Upgraded_Eutrophication Potential (EP) - kg N eq_Effluent release; wastewater treatment unit; at surface water; m3 wastewater - US_Base_With Amendment_Aerated Static Pile</v>
      </c>
    </row>
    <row r="9412" spans="1:13" s="120" customFormat="1" x14ac:dyDescent="0.25">
      <c r="A9412" s="119"/>
      <c r="B9412" s="138" t="str">
        <f t="shared" si="779"/>
        <v>Aerated Static Pile</v>
      </c>
      <c r="C9412" s="138" t="str">
        <f t="shared" si="780"/>
        <v>Base_With Amendment</v>
      </c>
      <c r="D9412" s="138" t="str">
        <f t="shared" si="777"/>
        <v>High_High</v>
      </c>
      <c r="E9412" s="138" t="str">
        <f t="shared" si="781"/>
        <v>Base</v>
      </c>
      <c r="F9412" s="138" t="str">
        <f t="shared" si="782"/>
        <v>Upgraded</v>
      </c>
      <c r="G9412" s="153"/>
      <c r="H9412" s="210">
        <v>0.25459999999999999</v>
      </c>
      <c r="I9412" s="160" t="s">
        <v>62</v>
      </c>
      <c r="J9412" s="160">
        <v>3.6600000000000001E-3</v>
      </c>
      <c r="K9412" s="160" t="s">
        <v>13</v>
      </c>
      <c r="L9412" s="154" t="str">
        <f>IF(OpenLCAbasic!K9412="CTUh", "Fill in Manually",IF(OR(K9412="Unit", K9412=""), "", INDEX(LookUps!$E$5:$E$12, MATCH(OpenLCAbasic!K9412,LookUps!$D$5:$D$12,0))))</f>
        <v>Eutrophication Potential (EP) - kg N eq</v>
      </c>
      <c r="M9412" s="154" t="str">
        <f t="shared" si="778"/>
        <v>Base_High_High_Upgraded_Eutrophication Potential (EP) - kg N eq_Land application of compost; wastewater treatment unit; at updated plant - US_Base_With Amendment_Aerated Static Pile</v>
      </c>
    </row>
    <row r="9413" spans="1:13" s="120" customFormat="1" x14ac:dyDescent="0.25">
      <c r="A9413" s="119"/>
      <c r="B9413" s="138" t="str">
        <f t="shared" si="779"/>
        <v>Aerated Static Pile</v>
      </c>
      <c r="C9413" s="138" t="str">
        <f t="shared" si="780"/>
        <v>Base_With Amendment</v>
      </c>
      <c r="D9413" s="138" t="str">
        <f t="shared" si="777"/>
        <v>High_High</v>
      </c>
      <c r="E9413" s="138" t="str">
        <f t="shared" si="781"/>
        <v>Base</v>
      </c>
      <c r="F9413" s="138" t="str">
        <f t="shared" si="782"/>
        <v>Upgraded</v>
      </c>
      <c r="G9413" s="153"/>
      <c r="H9413" s="210">
        <v>3.7999999999999999E-2</v>
      </c>
      <c r="I9413" s="160" t="s">
        <v>55</v>
      </c>
      <c r="J9413" s="160">
        <v>5.5000000000000003E-4</v>
      </c>
      <c r="K9413" s="160" t="s">
        <v>13</v>
      </c>
      <c r="L9413" s="154" t="str">
        <f>IF(OpenLCAbasic!K9413="CTUh", "Fill in Manually",IF(OR(K9413="Unit", K9413=""), "", INDEX(LookUps!$E$5:$E$12, MATCH(OpenLCAbasic!K9413,LookUps!$D$5:$D$12,0))))</f>
        <v>Eutrophication Potential (EP) - kg N eq</v>
      </c>
      <c r="M9413" s="154" t="str">
        <f t="shared" si="778"/>
        <v>Base_High_High_Upgraded_Eutrophication Potential (EP) - kg N eq_Aeration Tanks; wastewater treatment unit; at updated plant - US_Base_With Amendment_Aerated Static Pile</v>
      </c>
    </row>
    <row r="9414" spans="1:13" s="120" customFormat="1" x14ac:dyDescent="0.25">
      <c r="A9414" s="119"/>
      <c r="B9414" s="138" t="str">
        <f t="shared" si="779"/>
        <v>Aerated Static Pile</v>
      </c>
      <c r="C9414" s="138" t="str">
        <f t="shared" si="780"/>
        <v>Base_With Amendment</v>
      </c>
      <c r="D9414" s="138" t="str">
        <f t="shared" si="777"/>
        <v>High_High</v>
      </c>
      <c r="E9414" s="138" t="str">
        <f t="shared" si="781"/>
        <v>Base</v>
      </c>
      <c r="F9414" s="138" t="str">
        <f t="shared" si="782"/>
        <v>Upgraded</v>
      </c>
      <c r="G9414" s="153"/>
      <c r="H9414" s="210">
        <v>2.5499999999999998E-2</v>
      </c>
      <c r="I9414" s="160" t="s">
        <v>435</v>
      </c>
      <c r="J9414" s="160">
        <v>3.6999999999999999E-4</v>
      </c>
      <c r="K9414" s="160" t="s">
        <v>13</v>
      </c>
      <c r="L9414" s="154" t="str">
        <f>IF(OpenLCAbasic!K9414="CTUh", "Fill in Manually",IF(OR(K9414="Unit", K9414=""), "", INDEX(LookUps!$E$5:$E$12, MATCH(OpenLCAbasic!K9414,LookUps!$D$5:$D$12,0))))</f>
        <v>Eutrophication Potential (EP) - kg N eq</v>
      </c>
      <c r="M9414" s="154" t="str">
        <f t="shared" si="778"/>
        <v>Base_High_High_Upgraded_Eutrophication Potential (EP) - kg N eq_Biosolids composting; aerated static pile; wastewater treatment unit; at updated plant - US_Base_With Amendment_Aerated Static Pile</v>
      </c>
    </row>
    <row r="9415" spans="1:13" s="120" customFormat="1" x14ac:dyDescent="0.25">
      <c r="A9415" s="119"/>
      <c r="B9415" s="138" t="str">
        <f t="shared" si="779"/>
        <v>Aerated Static Pile</v>
      </c>
      <c r="C9415" s="138" t="str">
        <f t="shared" si="780"/>
        <v>Base_With Amendment</v>
      </c>
      <c r="D9415" s="138" t="str">
        <f t="shared" si="777"/>
        <v>High_High</v>
      </c>
      <c r="E9415" s="138" t="str">
        <f t="shared" si="781"/>
        <v>Base</v>
      </c>
      <c r="F9415" s="138" t="str">
        <f t="shared" si="782"/>
        <v>Upgraded</v>
      </c>
      <c r="G9415" s="153"/>
      <c r="H9415" s="210">
        <v>1.7399999999999999E-2</v>
      </c>
      <c r="I9415" s="160" t="s">
        <v>147</v>
      </c>
      <c r="J9415" s="160">
        <v>2.5000000000000001E-4</v>
      </c>
      <c r="K9415" s="160" t="s">
        <v>13</v>
      </c>
      <c r="L9415" s="154" t="str">
        <f>IF(OpenLCAbasic!K9415="CTUh", "Fill in Manually",IF(OR(K9415="Unit", K9415=""), "", INDEX(LookUps!$E$5:$E$12, MATCH(OpenLCAbasic!K9415,LookUps!$D$5:$D$12,0))))</f>
        <v>Eutrophication Potential (EP) - kg N eq</v>
      </c>
      <c r="M9415" s="154" t="str">
        <f t="shared" si="778"/>
        <v>Base_High_High_Upgraded_Eutrophication Potential (EP) - kg N eq_Influent Pump Station; wastewater treatment unit; at updated plant - US_Base_With Amendment_Aerated Static Pile</v>
      </c>
    </row>
    <row r="9416" spans="1:13" s="120" customFormat="1" x14ac:dyDescent="0.25">
      <c r="A9416" s="119"/>
      <c r="B9416" s="138" t="str">
        <f t="shared" si="779"/>
        <v>Aerated Static Pile</v>
      </c>
      <c r="C9416" s="138" t="str">
        <f t="shared" si="780"/>
        <v>Base_With Amendment</v>
      </c>
      <c r="D9416" s="138" t="str">
        <f t="shared" si="777"/>
        <v>High_High</v>
      </c>
      <c r="E9416" s="138" t="str">
        <f t="shared" si="781"/>
        <v>Base</v>
      </c>
      <c r="F9416" s="138" t="str">
        <f t="shared" si="782"/>
        <v>Upgraded</v>
      </c>
      <c r="G9416" s="153"/>
      <c r="H9416" s="210">
        <v>1.5299999999999999E-2</v>
      </c>
      <c r="I9416" s="160" t="s">
        <v>167</v>
      </c>
      <c r="J9416" s="160">
        <v>2.2000000000000001E-4</v>
      </c>
      <c r="K9416" s="160" t="s">
        <v>13</v>
      </c>
      <c r="L9416" s="154" t="str">
        <f>IF(OpenLCAbasic!K9416="CTUh", "Fill in Manually",IF(OR(K9416="Unit", K9416=""), "", INDEX(LookUps!$E$5:$E$12, MATCH(OpenLCAbasic!K9416,LookUps!$D$5:$D$12,0))))</f>
        <v>Eutrophication Potential (EP) - kg N eq</v>
      </c>
      <c r="M9416" s="154" t="str">
        <f t="shared" si="778"/>
        <v>Base_High_High_Upgraded_Eutrophication Potential (EP) - kg N eq_Waste Receiving and Holding; wastewater treatment unit; at updated plant - US_Base_With Amendment_Aerated Static Pile</v>
      </c>
    </row>
    <row r="9417" spans="1:13" s="120" customFormat="1" x14ac:dyDescent="0.25">
      <c r="A9417" s="119"/>
      <c r="B9417" s="138" t="str">
        <f t="shared" si="779"/>
        <v>Aerated Static Pile</v>
      </c>
      <c r="C9417" s="138" t="str">
        <f t="shared" si="780"/>
        <v>Base_With Amendment</v>
      </c>
      <c r="D9417" s="138" t="str">
        <f t="shared" si="777"/>
        <v>High_High</v>
      </c>
      <c r="E9417" s="138" t="str">
        <f t="shared" si="781"/>
        <v>Base</v>
      </c>
      <c r="F9417" s="138" t="str">
        <f t="shared" si="782"/>
        <v>Upgraded</v>
      </c>
      <c r="G9417" s="153"/>
      <c r="H9417" s="210">
        <v>1.38E-2</v>
      </c>
      <c r="I9417" s="160" t="s">
        <v>54</v>
      </c>
      <c r="J9417" s="160">
        <v>2.0000000000000001E-4</v>
      </c>
      <c r="K9417" s="160" t="s">
        <v>13</v>
      </c>
      <c r="L9417" s="154" t="str">
        <f>IF(OpenLCAbasic!K9417="CTUh", "Fill in Manually",IF(OR(K9417="Unit", K9417=""), "", INDEX(LookUps!$E$5:$E$12, MATCH(OpenLCAbasic!K9417,LookUps!$D$5:$D$12,0))))</f>
        <v>Eutrophication Potential (EP) - kg N eq</v>
      </c>
      <c r="M9417" s="154" t="str">
        <f t="shared" si="778"/>
        <v>Base_High_High_Upgraded_Eutrophication Potential (EP) - kg N eq_Clear Cove Primary Clarification; wastewater treatment unit; at updated plant - US_Base_With Amendment_Aerated Static Pile</v>
      </c>
    </row>
    <row r="9418" spans="1:13" s="120" customFormat="1" x14ac:dyDescent="0.25">
      <c r="A9418" s="119"/>
      <c r="B9418" s="138" t="str">
        <f t="shared" si="779"/>
        <v>Aerated Static Pile</v>
      </c>
      <c r="C9418" s="138" t="str">
        <f t="shared" si="780"/>
        <v>Base_With Amendment</v>
      </c>
      <c r="D9418" s="138" t="str">
        <f t="shared" si="777"/>
        <v>High_High</v>
      </c>
      <c r="E9418" s="138" t="str">
        <f t="shared" si="781"/>
        <v>Base</v>
      </c>
      <c r="F9418" s="138" t="str">
        <f t="shared" si="782"/>
        <v>Upgraded</v>
      </c>
      <c r="G9418" s="153"/>
      <c r="H9418" s="210">
        <v>9.4999999999999998E-3</v>
      </c>
      <c r="I9418" s="160" t="s">
        <v>58</v>
      </c>
      <c r="J9418" s="160">
        <v>1.3999999999999999E-4</v>
      </c>
      <c r="K9418" s="160" t="s">
        <v>13</v>
      </c>
      <c r="L9418" s="154" t="str">
        <f>IF(OpenLCAbasic!K9418="CTUh", "Fill in Manually",IF(OR(K9418="Unit", K9418=""), "", INDEX(LookUps!$E$5:$E$12, MATCH(OpenLCAbasic!K9418,LookUps!$D$5:$D$12,0))))</f>
        <v>Eutrophication Potential (EP) - kg N eq</v>
      </c>
      <c r="M9418" s="154" t="str">
        <f t="shared" si="778"/>
        <v>Base_High_High_Upgraded_Eutrophication Potential (EP) - kg N eq_Pre-Anoxic &amp; Swing tank; wastewater treatment unit; at updated plant - US_Base_With Amendment_Aerated Static Pile</v>
      </c>
    </row>
    <row r="9419" spans="1:13" s="120" customFormat="1" x14ac:dyDescent="0.25">
      <c r="A9419" s="119"/>
      <c r="B9419" s="138" t="str">
        <f t="shared" si="779"/>
        <v>Aerated Static Pile</v>
      </c>
      <c r="C9419" s="138" t="str">
        <f t="shared" si="780"/>
        <v>Base_With Amendment</v>
      </c>
      <c r="D9419" s="138" t="str">
        <f t="shared" si="777"/>
        <v>High_High</v>
      </c>
      <c r="E9419" s="138" t="str">
        <f t="shared" si="781"/>
        <v>Base</v>
      </c>
      <c r="F9419" s="138" t="str">
        <f t="shared" si="782"/>
        <v>Upgraded</v>
      </c>
      <c r="G9419" s="153"/>
      <c r="H9419" s="210">
        <v>7.4999999999999997E-3</v>
      </c>
      <c r="I9419" s="160" t="s">
        <v>53</v>
      </c>
      <c r="J9419" s="160">
        <v>1.1E-4</v>
      </c>
      <c r="K9419" s="160" t="s">
        <v>13</v>
      </c>
      <c r="L9419" s="154" t="str">
        <f>IF(OpenLCAbasic!K9419="CTUh", "Fill in Manually",IF(OR(K9419="Unit", K9419=""), "", INDEX(LookUps!$E$5:$E$12, MATCH(OpenLCAbasic!K9419,LookUps!$D$5:$D$12,0))))</f>
        <v>Eutrophication Potential (EP) - kg N eq</v>
      </c>
      <c r="M9419" s="154" t="str">
        <f t="shared" si="778"/>
        <v>Base_High_High_Upgraded_Eutrophication Potential (EP) - kg N eq_Wet Well and Sump Station; wastewater treatment unit; at updated plant - US_Base_With Amendment_Aerated Static Pile</v>
      </c>
    </row>
    <row r="9420" spans="1:13" s="120" customFormat="1" x14ac:dyDescent="0.25">
      <c r="A9420" s="119"/>
      <c r="B9420" s="138" t="str">
        <f t="shared" si="779"/>
        <v>Aerated Static Pile</v>
      </c>
      <c r="C9420" s="138" t="str">
        <f t="shared" si="780"/>
        <v>Base_With Amendment</v>
      </c>
      <c r="D9420" s="138" t="str">
        <f t="shared" si="777"/>
        <v>High_High</v>
      </c>
      <c r="E9420" s="138" t="str">
        <f t="shared" si="781"/>
        <v>Base</v>
      </c>
      <c r="F9420" s="138" t="str">
        <f t="shared" si="782"/>
        <v>Upgraded</v>
      </c>
      <c r="G9420" s="153"/>
      <c r="H9420" s="210">
        <v>6.3E-3</v>
      </c>
      <c r="I9420" s="160" t="s">
        <v>60</v>
      </c>
      <c r="J9420" s="211">
        <v>9.0710800000000006E-5</v>
      </c>
      <c r="K9420" s="160" t="s">
        <v>13</v>
      </c>
      <c r="L9420" s="154" t="str">
        <f>IF(OpenLCAbasic!K9420="CTUh", "Fill in Manually",IF(OR(K9420="Unit", K9420=""), "", INDEX(LookUps!$E$5:$E$12, MATCH(OpenLCAbasic!K9420,LookUps!$D$5:$D$12,0))))</f>
        <v>Eutrophication Potential (EP) - kg N eq</v>
      </c>
      <c r="M9420" s="154" t="str">
        <f t="shared" si="778"/>
        <v>Base_High_High_Upgraded_Eutrophication Potential (EP) - kg N eq_Belt filter press; wastewater treatment unit; at updated plant - US_Base_With Amendment_Aerated Static Pile</v>
      </c>
    </row>
    <row r="9421" spans="1:13" s="120" customFormat="1" x14ac:dyDescent="0.25">
      <c r="A9421" s="119"/>
      <c r="B9421" s="138" t="str">
        <f t="shared" si="779"/>
        <v>Aerated Static Pile</v>
      </c>
      <c r="C9421" s="138" t="str">
        <f t="shared" si="780"/>
        <v>Base_With Amendment</v>
      </c>
      <c r="D9421" s="138" t="str">
        <f t="shared" si="777"/>
        <v>High_High</v>
      </c>
      <c r="E9421" s="138" t="str">
        <f t="shared" si="781"/>
        <v>Base</v>
      </c>
      <c r="F9421" s="138" t="str">
        <f t="shared" si="782"/>
        <v>Upgraded</v>
      </c>
      <c r="G9421" s="153"/>
      <c r="H9421" s="210">
        <v>4.1999999999999997E-3</v>
      </c>
      <c r="I9421" s="160" t="s">
        <v>57</v>
      </c>
      <c r="J9421" s="211">
        <v>6.0590300000000002E-5</v>
      </c>
      <c r="K9421" s="160" t="s">
        <v>13</v>
      </c>
      <c r="L9421" s="154" t="str">
        <f>IF(OpenLCAbasic!K9421="CTUh", "Fill in Manually",IF(OR(K9421="Unit", K9421=""), "", INDEX(LookUps!$E$5:$E$12, MATCH(OpenLCAbasic!K9421,LookUps!$D$5:$D$12,0))))</f>
        <v>Eutrophication Potential (EP) - kg N eq</v>
      </c>
      <c r="M9421" s="154" t="str">
        <f t="shared" si="778"/>
        <v>Base_High_High_Upgraded_Eutrophication Potential (EP) - kg N eq_Gravity Belt Thickener; wastewater treatment unit; at updated plant - US_Base_With Amendment_Aerated Static Pile</v>
      </c>
    </row>
    <row r="9422" spans="1:13" s="120" customFormat="1" x14ac:dyDescent="0.25">
      <c r="A9422" s="119"/>
      <c r="B9422" s="138" t="str">
        <f t="shared" si="779"/>
        <v>Aerated Static Pile</v>
      </c>
      <c r="C9422" s="138" t="str">
        <f t="shared" si="780"/>
        <v>Base_With Amendment</v>
      </c>
      <c r="D9422" s="138" t="str">
        <f t="shared" si="777"/>
        <v>High_High</v>
      </c>
      <c r="E9422" s="138" t="str">
        <f t="shared" si="781"/>
        <v>Base</v>
      </c>
      <c r="F9422" s="138" t="str">
        <f t="shared" si="782"/>
        <v>Upgraded</v>
      </c>
      <c r="G9422" s="153"/>
      <c r="H9422" s="210">
        <v>2.5999999999999999E-3</v>
      </c>
      <c r="I9422" s="160" t="s">
        <v>128</v>
      </c>
      <c r="J9422" s="211">
        <v>3.7559799999999999E-5</v>
      </c>
      <c r="K9422" s="160" t="s">
        <v>13</v>
      </c>
      <c r="L9422" s="154" t="str">
        <f>IF(OpenLCAbasic!K9422="CTUh", "Fill in Manually",IF(OR(K9422="Unit", K9422=""), "", INDEX(LookUps!$E$5:$E$12, MATCH(OpenLCAbasic!K9422,LookUps!$D$5:$D$12,0))))</f>
        <v>Eutrophication Potential (EP) - kg N eq</v>
      </c>
      <c r="M9422" s="154" t="str">
        <f t="shared" si="778"/>
        <v>Base_High_High_Upgraded_Eutrophication Potential (EP) - kg N eq_Wastewater collection; operation and infrastructure; m3 wastewater_Base_With Amendment_Aerated Static Pile</v>
      </c>
    </row>
    <row r="9423" spans="1:13" s="120" customFormat="1" x14ac:dyDescent="0.25">
      <c r="A9423" s="119"/>
      <c r="B9423" s="138" t="str">
        <f t="shared" si="779"/>
        <v>Aerated Static Pile</v>
      </c>
      <c r="C9423" s="138" t="str">
        <f t="shared" si="780"/>
        <v>Base_With Amendment</v>
      </c>
      <c r="D9423" s="138" t="str">
        <f t="shared" si="777"/>
        <v>High_High</v>
      </c>
      <c r="E9423" s="138" t="str">
        <f t="shared" si="781"/>
        <v>Base</v>
      </c>
      <c r="F9423" s="138" t="str">
        <f t="shared" si="782"/>
        <v>Upgraded</v>
      </c>
      <c r="G9423" s="153"/>
      <c r="H9423" s="210">
        <v>2.5999999999999999E-3</v>
      </c>
      <c r="I9423" s="160" t="s">
        <v>148</v>
      </c>
      <c r="J9423" s="211">
        <v>3.6874600000000001E-5</v>
      </c>
      <c r="K9423" s="160" t="s">
        <v>13</v>
      </c>
      <c r="L9423" s="154" t="str">
        <f>IF(OpenLCAbasic!K9423="CTUh", "Fill in Manually",IF(OR(K9423="Unit", K9423=""), "", INDEX(LookUps!$E$5:$E$12, MATCH(OpenLCAbasic!K9423,LookUps!$D$5:$D$12,0))))</f>
        <v>Eutrophication Potential (EP) - kg N eq</v>
      </c>
      <c r="M9423" s="154" t="str">
        <f t="shared" si="778"/>
        <v>Base_High_High_Upgraded_Eutrophication Potential (EP) - kg N eq_Control Building; at upgraded wastewater treatment plant - US_Base_With Amendment_Aerated Static Pile</v>
      </c>
    </row>
    <row r="9424" spans="1:13" s="120" customFormat="1" x14ac:dyDescent="0.25">
      <c r="A9424" s="119"/>
      <c r="B9424" s="138" t="str">
        <f t="shared" si="779"/>
        <v>Aerated Static Pile</v>
      </c>
      <c r="C9424" s="138" t="str">
        <f t="shared" si="780"/>
        <v>Base_With Amendment</v>
      </c>
      <c r="D9424" s="138" t="str">
        <f t="shared" si="777"/>
        <v>High_High</v>
      </c>
      <c r="E9424" s="138" t="str">
        <f t="shared" si="781"/>
        <v>Base</v>
      </c>
      <c r="F9424" s="138" t="str">
        <f t="shared" si="782"/>
        <v>Upgraded</v>
      </c>
      <c r="G9424" s="153"/>
      <c r="H9424" s="210">
        <v>1.1000000000000001E-3</v>
      </c>
      <c r="I9424" s="160" t="s">
        <v>59</v>
      </c>
      <c r="J9424" s="211">
        <v>1.6215700000000001E-5</v>
      </c>
      <c r="K9424" s="160" t="s">
        <v>13</v>
      </c>
      <c r="L9424" s="154" t="str">
        <f>IF(OpenLCAbasic!K9424="CTUh", "Fill in Manually",IF(OR(K9424="Unit", K9424=""), "", INDEX(LookUps!$E$5:$E$12, MATCH(OpenLCAbasic!K9424,LookUps!$D$5:$D$12,0))))</f>
        <v>Eutrophication Potential (EP) - kg N eq</v>
      </c>
      <c r="M9424" s="154" t="str">
        <f t="shared" si="778"/>
        <v>Base_High_High_Upgraded_Eutrophication Potential (EP) - kg N eq_Blend Tank; wastewater treatment unit; at updated plant - US_Base_With Amendment_Aerated Static Pile</v>
      </c>
    </row>
    <row r="9425" spans="1:13" s="120" customFormat="1" x14ac:dyDescent="0.25">
      <c r="A9425" s="119"/>
      <c r="B9425" s="138" t="str">
        <f t="shared" si="779"/>
        <v>Aerated Static Pile</v>
      </c>
      <c r="C9425" s="138" t="str">
        <f t="shared" si="780"/>
        <v>Base_With Amendment</v>
      </c>
      <c r="D9425" s="138" t="str">
        <f t="shared" si="777"/>
        <v>High_High</v>
      </c>
      <c r="E9425" s="138" t="str">
        <f t="shared" si="781"/>
        <v>Base</v>
      </c>
      <c r="F9425" s="138" t="str">
        <f t="shared" si="782"/>
        <v>Upgraded</v>
      </c>
      <c r="G9425" s="153"/>
      <c r="H9425" s="210">
        <v>5.0000000000000001E-4</v>
      </c>
      <c r="I9425" s="160" t="s">
        <v>168</v>
      </c>
      <c r="J9425" s="211">
        <v>7.7567199999999995E-6</v>
      </c>
      <c r="K9425" s="160" t="s">
        <v>13</v>
      </c>
      <c r="L9425" s="154" t="str">
        <f>IF(OpenLCAbasic!K9425="CTUh", "Fill in Manually",IF(OR(K9425="Unit", K9425=""), "", INDEX(LookUps!$E$5:$E$12, MATCH(OpenLCAbasic!K9425,LookUps!$D$5:$D$12,0))))</f>
        <v>Eutrophication Potential (EP) - kg N eq</v>
      </c>
      <c r="M9425" s="154" t="str">
        <f t="shared" si="778"/>
        <v>Base_High_High_Upgraded_Eutrophication Potential (EP) - kg N eq_ClearCove SCP; wastewater treatment unit; at updated plant - US_Base_With Amendment_Aerated Static Pile</v>
      </c>
    </row>
    <row r="9426" spans="1:13" s="120" customFormat="1" x14ac:dyDescent="0.25">
      <c r="A9426" s="119"/>
      <c r="B9426" s="138" t="str">
        <f t="shared" si="779"/>
        <v>Aerated Static Pile</v>
      </c>
      <c r="C9426" s="138" t="str">
        <f t="shared" si="780"/>
        <v>Base_With Amendment</v>
      </c>
      <c r="D9426" s="138" t="str">
        <f t="shared" si="777"/>
        <v>High_High</v>
      </c>
      <c r="E9426" s="138" t="str">
        <f t="shared" si="781"/>
        <v>Base</v>
      </c>
      <c r="F9426" s="138" t="str">
        <f t="shared" si="782"/>
        <v>Upgraded</v>
      </c>
      <c r="G9426" s="153"/>
      <c r="H9426" s="210">
        <v>-0.2059</v>
      </c>
      <c r="I9426" s="160" t="s">
        <v>149</v>
      </c>
      <c r="J9426" s="160">
        <v>-2.96E-3</v>
      </c>
      <c r="K9426" s="160" t="s">
        <v>13</v>
      </c>
      <c r="L9426" s="154" t="str">
        <f>IF(OpenLCAbasic!K9426="CTUh", "Fill in Manually",IF(OR(K9426="Unit", K9426=""), "", INDEX(LookUps!$E$5:$E$12, MATCH(OpenLCAbasic!K9426,LookUps!$D$5:$D$12,0))))</f>
        <v>Eutrophication Potential (EP) - kg N eq</v>
      </c>
      <c r="M9426" s="154" t="str">
        <f t="shared" si="778"/>
        <v>Base_High_High_Upgraded_Eutrophication Potential (EP) - kg N eq_Anaerobic Digestion; wastewater treatment unit; at updated plant - US_Base_With Amendment_Aerated Static Pile</v>
      </c>
    </row>
    <row r="9427" spans="1:13" s="120" customFormat="1" x14ac:dyDescent="0.25">
      <c r="A9427" s="119"/>
      <c r="B9427" s="138" t="str">
        <f t="shared" si="779"/>
        <v/>
      </c>
      <c r="C9427" s="138" t="str">
        <f t="shared" si="780"/>
        <v/>
      </c>
      <c r="D9427" s="138" t="str">
        <f t="shared" si="777"/>
        <v/>
      </c>
      <c r="E9427" s="138" t="str">
        <f t="shared" si="781"/>
        <v/>
      </c>
      <c r="F9427" s="138" t="str">
        <f t="shared" si="782"/>
        <v/>
      </c>
      <c r="G9427" s="153" t="s">
        <v>51</v>
      </c>
      <c r="H9427" s="160"/>
      <c r="I9427" s="160" t="s">
        <v>47</v>
      </c>
      <c r="J9427" s="160" t="s">
        <v>52</v>
      </c>
      <c r="K9427" s="160" t="s">
        <v>27</v>
      </c>
      <c r="L9427" s="154" t="str">
        <f>IF(OpenLCAbasic!K9427="CTUh", "Fill in Manually",IF(OR(K9427="Unit", K9427=""), "", INDEX(LookUps!$E$5:$E$12, MATCH(OpenLCAbasic!K9427,LookUps!$D$5:$D$12,0))))</f>
        <v/>
      </c>
      <c r="M9427" s="154" t="str">
        <f t="shared" si="778"/>
        <v>____Process__</v>
      </c>
    </row>
    <row r="9428" spans="1:13" s="120" customFormat="1" x14ac:dyDescent="0.25">
      <c r="A9428" s="119"/>
      <c r="B9428" s="138" t="str">
        <f t="shared" si="779"/>
        <v>Aerated Static Pile</v>
      </c>
      <c r="C9428" s="138" t="str">
        <f t="shared" si="780"/>
        <v>Base_With Amendment</v>
      </c>
      <c r="D9428" s="138" t="str">
        <f t="shared" si="777"/>
        <v>High_High</v>
      </c>
      <c r="E9428" s="138" t="str">
        <f t="shared" si="781"/>
        <v>Base</v>
      </c>
      <c r="F9428" s="138" t="str">
        <f t="shared" si="782"/>
        <v>Upgraded</v>
      </c>
      <c r="G9428" s="153"/>
      <c r="H9428" s="210">
        <v>0.81710000000000005</v>
      </c>
      <c r="I9428" s="160" t="s">
        <v>167</v>
      </c>
      <c r="J9428" s="160">
        <v>0.11719</v>
      </c>
      <c r="K9428" s="160" t="s">
        <v>14</v>
      </c>
      <c r="L9428" s="154" t="str">
        <f>IF(OpenLCAbasic!K9428="CTUh", "Fill in Manually",IF(OR(K9428="Unit", K9428=""), "", INDEX(LookUps!$E$5:$E$12, MATCH(OpenLCAbasic!K9428,LookUps!$D$5:$D$12,0))))</f>
        <v>Fossil Depletion Potential (FDP) - kg oil eq</v>
      </c>
      <c r="M9428" s="154" t="str">
        <f t="shared" si="778"/>
        <v>Base_High_High_Upgraded_Fossil Depletion Potential (FDP) - kg oil eq_Waste Receiving and Holding; wastewater treatment unit; at updated plant - US_Base_With Amendment_Aerated Static Pile</v>
      </c>
    </row>
    <row r="9429" spans="1:13" s="120" customFormat="1" x14ac:dyDescent="0.25">
      <c r="A9429" s="119"/>
      <c r="B9429" s="138" t="str">
        <f t="shared" si="779"/>
        <v>Aerated Static Pile</v>
      </c>
      <c r="C9429" s="138" t="str">
        <f t="shared" si="780"/>
        <v>Base_With Amendment</v>
      </c>
      <c r="D9429" s="138" t="str">
        <f t="shared" si="777"/>
        <v>High_High</v>
      </c>
      <c r="E9429" s="138" t="str">
        <f t="shared" si="781"/>
        <v>Base</v>
      </c>
      <c r="F9429" s="138" t="str">
        <f t="shared" si="782"/>
        <v>Upgraded</v>
      </c>
      <c r="G9429" s="153"/>
      <c r="H9429" s="210">
        <v>0.44340000000000002</v>
      </c>
      <c r="I9429" s="160" t="s">
        <v>55</v>
      </c>
      <c r="J9429" s="160">
        <v>6.3589999999999994E-2</v>
      </c>
      <c r="K9429" s="160" t="s">
        <v>14</v>
      </c>
      <c r="L9429" s="154" t="str">
        <f>IF(OpenLCAbasic!K9429="CTUh", "Fill in Manually",IF(OR(K9429="Unit", K9429=""), "", INDEX(LookUps!$E$5:$E$12, MATCH(OpenLCAbasic!K9429,LookUps!$D$5:$D$12,0))))</f>
        <v>Fossil Depletion Potential (FDP) - kg oil eq</v>
      </c>
      <c r="M9429" s="154" t="str">
        <f t="shared" si="778"/>
        <v>Base_High_High_Upgraded_Fossil Depletion Potential (FDP) - kg oil eq_Aeration Tanks; wastewater treatment unit; at updated plant - US_Base_With Amendment_Aerated Static Pile</v>
      </c>
    </row>
    <row r="9430" spans="1:13" s="120" customFormat="1" x14ac:dyDescent="0.25">
      <c r="A9430" s="119"/>
      <c r="B9430" s="138" t="str">
        <f t="shared" si="779"/>
        <v>Aerated Static Pile</v>
      </c>
      <c r="C9430" s="138" t="str">
        <f t="shared" si="780"/>
        <v>Base_With Amendment</v>
      </c>
      <c r="D9430" s="138" t="str">
        <f t="shared" si="777"/>
        <v>High_High</v>
      </c>
      <c r="E9430" s="138" t="str">
        <f t="shared" si="781"/>
        <v>Base</v>
      </c>
      <c r="F9430" s="138" t="str">
        <f t="shared" si="782"/>
        <v>Upgraded</v>
      </c>
      <c r="G9430" s="153"/>
      <c r="H9430" s="210">
        <v>0.27950000000000003</v>
      </c>
      <c r="I9430" s="160" t="s">
        <v>435</v>
      </c>
      <c r="J9430" s="160">
        <v>4.0079999999999998E-2</v>
      </c>
      <c r="K9430" s="160" t="s">
        <v>14</v>
      </c>
      <c r="L9430" s="154" t="str">
        <f>IF(OpenLCAbasic!K9430="CTUh", "Fill in Manually",IF(OR(K9430="Unit", K9430=""), "", INDEX(LookUps!$E$5:$E$12, MATCH(OpenLCAbasic!K9430,LookUps!$D$5:$D$12,0))))</f>
        <v>Fossil Depletion Potential (FDP) - kg oil eq</v>
      </c>
      <c r="M9430" s="154" t="str">
        <f t="shared" si="778"/>
        <v>Base_High_High_Upgraded_Fossil Depletion Potential (FDP) - kg oil eq_Biosolids composting; aerated static pile; wastewater treatment unit; at updated plant - US_Base_With Amendment_Aerated Static Pile</v>
      </c>
    </row>
    <row r="9431" spans="1:13" s="120" customFormat="1" x14ac:dyDescent="0.25">
      <c r="A9431" s="119"/>
      <c r="B9431" s="138" t="str">
        <f t="shared" si="779"/>
        <v>Aerated Static Pile</v>
      </c>
      <c r="C9431" s="138" t="str">
        <f t="shared" si="780"/>
        <v>Base_With Amendment</v>
      </c>
      <c r="D9431" s="138" t="str">
        <f t="shared" si="777"/>
        <v>High_High</v>
      </c>
      <c r="E9431" s="138" t="str">
        <f t="shared" si="781"/>
        <v>Base</v>
      </c>
      <c r="F9431" s="138" t="str">
        <f t="shared" si="782"/>
        <v>Upgraded</v>
      </c>
      <c r="G9431" s="153"/>
      <c r="H9431" s="210">
        <v>0.14680000000000001</v>
      </c>
      <c r="I9431" s="160" t="s">
        <v>54</v>
      </c>
      <c r="J9431" s="160">
        <v>2.1049999999999999E-2</v>
      </c>
      <c r="K9431" s="160" t="s">
        <v>14</v>
      </c>
      <c r="L9431" s="154" t="str">
        <f>IF(OpenLCAbasic!K9431="CTUh", "Fill in Manually",IF(OR(K9431="Unit", K9431=""), "", INDEX(LookUps!$E$5:$E$12, MATCH(OpenLCAbasic!K9431,LookUps!$D$5:$D$12,0))))</f>
        <v>Fossil Depletion Potential (FDP) - kg oil eq</v>
      </c>
      <c r="M9431" s="154" t="str">
        <f t="shared" si="778"/>
        <v>Base_High_High_Upgraded_Fossil Depletion Potential (FDP) - kg oil eq_Clear Cove Primary Clarification; wastewater treatment unit; at updated plant - US_Base_With Amendment_Aerated Static Pile</v>
      </c>
    </row>
    <row r="9432" spans="1:13" s="120" customFormat="1" x14ac:dyDescent="0.25">
      <c r="A9432" s="119"/>
      <c r="B9432" s="138" t="str">
        <f t="shared" si="779"/>
        <v>Aerated Static Pile</v>
      </c>
      <c r="C9432" s="138" t="str">
        <f t="shared" si="780"/>
        <v>Base_With Amendment</v>
      </c>
      <c r="D9432" s="138" t="str">
        <f t="shared" si="777"/>
        <v>High_High</v>
      </c>
      <c r="E9432" s="138" t="str">
        <f t="shared" si="781"/>
        <v>Base</v>
      </c>
      <c r="F9432" s="138" t="str">
        <f t="shared" si="782"/>
        <v>Upgraded</v>
      </c>
      <c r="G9432" s="153"/>
      <c r="H9432" s="210">
        <v>0.1118</v>
      </c>
      <c r="I9432" s="160" t="s">
        <v>58</v>
      </c>
      <c r="J9432" s="160">
        <v>1.6039999999999999E-2</v>
      </c>
      <c r="K9432" s="160" t="s">
        <v>14</v>
      </c>
      <c r="L9432" s="154" t="str">
        <f>IF(OpenLCAbasic!K9432="CTUh", "Fill in Manually",IF(OR(K9432="Unit", K9432=""), "", INDEX(LookUps!$E$5:$E$12, MATCH(OpenLCAbasic!K9432,LookUps!$D$5:$D$12,0))))</f>
        <v>Fossil Depletion Potential (FDP) - kg oil eq</v>
      </c>
      <c r="M9432" s="154" t="str">
        <f t="shared" si="778"/>
        <v>Base_High_High_Upgraded_Fossil Depletion Potential (FDP) - kg oil eq_Pre-Anoxic &amp; Swing tank; wastewater treatment unit; at updated plant - US_Base_With Amendment_Aerated Static Pile</v>
      </c>
    </row>
    <row r="9433" spans="1:13" s="120" customFormat="1" x14ac:dyDescent="0.25">
      <c r="A9433" s="119"/>
      <c r="B9433" s="138" t="str">
        <f t="shared" si="779"/>
        <v>Aerated Static Pile</v>
      </c>
      <c r="C9433" s="138" t="str">
        <f t="shared" si="780"/>
        <v>Base_With Amendment</v>
      </c>
      <c r="D9433" s="138" t="str">
        <f t="shared" si="777"/>
        <v>High_High</v>
      </c>
      <c r="E9433" s="138" t="str">
        <f t="shared" si="781"/>
        <v>Base</v>
      </c>
      <c r="F9433" s="138" t="str">
        <f t="shared" si="782"/>
        <v>Upgraded</v>
      </c>
      <c r="G9433" s="153"/>
      <c r="H9433" s="210">
        <v>0.1052</v>
      </c>
      <c r="I9433" s="160" t="s">
        <v>147</v>
      </c>
      <c r="J9433" s="160">
        <v>1.5089999999999999E-2</v>
      </c>
      <c r="K9433" s="160" t="s">
        <v>14</v>
      </c>
      <c r="L9433" s="154" t="str">
        <f>IF(OpenLCAbasic!K9433="CTUh", "Fill in Manually",IF(OR(K9433="Unit", K9433=""), "", INDEX(LookUps!$E$5:$E$12, MATCH(OpenLCAbasic!K9433,LookUps!$D$5:$D$12,0))))</f>
        <v>Fossil Depletion Potential (FDP) - kg oil eq</v>
      </c>
      <c r="M9433" s="154" t="str">
        <f t="shared" si="778"/>
        <v>Base_High_High_Upgraded_Fossil Depletion Potential (FDP) - kg oil eq_Influent Pump Station; wastewater treatment unit; at updated plant - US_Base_With Amendment_Aerated Static Pile</v>
      </c>
    </row>
    <row r="9434" spans="1:13" s="120" customFormat="1" x14ac:dyDescent="0.25">
      <c r="A9434" s="119"/>
      <c r="B9434" s="138" t="str">
        <f t="shared" si="779"/>
        <v>Aerated Static Pile</v>
      </c>
      <c r="C9434" s="138" t="str">
        <f t="shared" si="780"/>
        <v>Base_With Amendment</v>
      </c>
      <c r="D9434" s="138" t="str">
        <f t="shared" si="777"/>
        <v>High_High</v>
      </c>
      <c r="E9434" s="138" t="str">
        <f t="shared" si="781"/>
        <v>Base</v>
      </c>
      <c r="F9434" s="138" t="str">
        <f t="shared" si="782"/>
        <v>Upgraded</v>
      </c>
      <c r="G9434" s="153"/>
      <c r="H9434" s="210">
        <v>8.7099999999999997E-2</v>
      </c>
      <c r="I9434" s="160" t="s">
        <v>53</v>
      </c>
      <c r="J9434" s="160">
        <v>1.2489999999999999E-2</v>
      </c>
      <c r="K9434" s="160" t="s">
        <v>14</v>
      </c>
      <c r="L9434" s="154" t="str">
        <f>IF(OpenLCAbasic!K9434="CTUh", "Fill in Manually",IF(OR(K9434="Unit", K9434=""), "", INDEX(LookUps!$E$5:$E$12, MATCH(OpenLCAbasic!K9434,LookUps!$D$5:$D$12,0))))</f>
        <v>Fossil Depletion Potential (FDP) - kg oil eq</v>
      </c>
      <c r="M9434" s="154" t="str">
        <f t="shared" si="778"/>
        <v>Base_High_High_Upgraded_Fossil Depletion Potential (FDP) - kg oil eq_Wet Well and Sump Station; wastewater treatment unit; at updated plant - US_Base_With Amendment_Aerated Static Pile</v>
      </c>
    </row>
    <row r="9435" spans="1:13" s="120" customFormat="1" x14ac:dyDescent="0.25">
      <c r="A9435" s="119"/>
      <c r="B9435" s="138" t="str">
        <f t="shared" si="779"/>
        <v>Aerated Static Pile</v>
      </c>
      <c r="C9435" s="138" t="str">
        <f t="shared" si="780"/>
        <v>Base_With Amendment</v>
      </c>
      <c r="D9435" s="138" t="str">
        <f t="shared" si="777"/>
        <v>High_High</v>
      </c>
      <c r="E9435" s="138" t="str">
        <f t="shared" si="781"/>
        <v>Base</v>
      </c>
      <c r="F9435" s="138" t="str">
        <f t="shared" si="782"/>
        <v>Upgraded</v>
      </c>
      <c r="G9435" s="153"/>
      <c r="H9435" s="210">
        <v>7.2599999999999998E-2</v>
      </c>
      <c r="I9435" s="160" t="s">
        <v>60</v>
      </c>
      <c r="J9435" s="160">
        <v>1.0410000000000001E-2</v>
      </c>
      <c r="K9435" s="160" t="s">
        <v>14</v>
      </c>
      <c r="L9435" s="154" t="str">
        <f>IF(OpenLCAbasic!K9435="CTUh", "Fill in Manually",IF(OR(K9435="Unit", K9435=""), "", INDEX(LookUps!$E$5:$E$12, MATCH(OpenLCAbasic!K9435,LookUps!$D$5:$D$12,0))))</f>
        <v>Fossil Depletion Potential (FDP) - kg oil eq</v>
      </c>
      <c r="M9435" s="154" t="str">
        <f t="shared" si="778"/>
        <v>Base_High_High_Upgraded_Fossil Depletion Potential (FDP) - kg oil eq_Belt filter press; wastewater treatment unit; at updated plant - US_Base_With Amendment_Aerated Static Pile</v>
      </c>
    </row>
    <row r="9436" spans="1:13" s="120" customFormat="1" x14ac:dyDescent="0.25">
      <c r="A9436" s="119"/>
      <c r="B9436" s="138" t="str">
        <f t="shared" si="779"/>
        <v>Aerated Static Pile</v>
      </c>
      <c r="C9436" s="138" t="str">
        <f t="shared" si="780"/>
        <v>Base_With Amendment</v>
      </c>
      <c r="D9436" s="138" t="str">
        <f t="shared" si="777"/>
        <v>High_High</v>
      </c>
      <c r="E9436" s="138" t="str">
        <f t="shared" si="781"/>
        <v>Base</v>
      </c>
      <c r="F9436" s="138" t="str">
        <f t="shared" si="782"/>
        <v>Upgraded</v>
      </c>
      <c r="G9436" s="153"/>
      <c r="H9436" s="210">
        <v>4.82E-2</v>
      </c>
      <c r="I9436" s="160" t="s">
        <v>57</v>
      </c>
      <c r="J9436" s="160">
        <v>6.9199999999999999E-3</v>
      </c>
      <c r="K9436" s="160" t="s">
        <v>14</v>
      </c>
      <c r="L9436" s="154" t="str">
        <f>IF(OpenLCAbasic!K9436="CTUh", "Fill in Manually",IF(OR(K9436="Unit", K9436=""), "", INDEX(LookUps!$E$5:$E$12, MATCH(OpenLCAbasic!K9436,LookUps!$D$5:$D$12,0))))</f>
        <v>Fossil Depletion Potential (FDP) - kg oil eq</v>
      </c>
      <c r="M9436" s="154" t="str">
        <f t="shared" si="778"/>
        <v>Base_High_High_Upgraded_Fossil Depletion Potential (FDP) - kg oil eq_Gravity Belt Thickener; wastewater treatment unit; at updated plant - US_Base_With Amendment_Aerated Static Pile</v>
      </c>
    </row>
    <row r="9437" spans="1:13" s="120" customFormat="1" x14ac:dyDescent="0.25">
      <c r="A9437" s="119"/>
      <c r="B9437" s="138" t="str">
        <f t="shared" si="779"/>
        <v>Aerated Static Pile</v>
      </c>
      <c r="C9437" s="138" t="str">
        <f t="shared" si="780"/>
        <v>Base_With Amendment</v>
      </c>
      <c r="D9437" s="138" t="str">
        <f t="shared" si="777"/>
        <v>High_High</v>
      </c>
      <c r="E9437" s="138" t="str">
        <f t="shared" si="781"/>
        <v>Base</v>
      </c>
      <c r="F9437" s="138" t="str">
        <f t="shared" si="782"/>
        <v>Upgraded</v>
      </c>
      <c r="G9437" s="153"/>
      <c r="H9437" s="210">
        <v>3.1399999999999997E-2</v>
      </c>
      <c r="I9437" s="160" t="s">
        <v>128</v>
      </c>
      <c r="J9437" s="160">
        <v>4.4999999999999997E-3</v>
      </c>
      <c r="K9437" s="160" t="s">
        <v>14</v>
      </c>
      <c r="L9437" s="154" t="str">
        <f>IF(OpenLCAbasic!K9437="CTUh", "Fill in Manually",IF(OR(K9437="Unit", K9437=""), "", INDEX(LookUps!$E$5:$E$12, MATCH(OpenLCAbasic!K9437,LookUps!$D$5:$D$12,0))))</f>
        <v>Fossil Depletion Potential (FDP) - kg oil eq</v>
      </c>
      <c r="M9437" s="154" t="str">
        <f t="shared" si="778"/>
        <v>Base_High_High_Upgraded_Fossil Depletion Potential (FDP) - kg oil eq_Wastewater collection; operation and infrastructure; m3 wastewater_Base_With Amendment_Aerated Static Pile</v>
      </c>
    </row>
    <row r="9438" spans="1:13" s="120" customFormat="1" x14ac:dyDescent="0.25">
      <c r="A9438" s="119"/>
      <c r="B9438" s="138" t="str">
        <f t="shared" si="779"/>
        <v>Aerated Static Pile</v>
      </c>
      <c r="C9438" s="138" t="str">
        <f t="shared" si="780"/>
        <v>Base_With Amendment</v>
      </c>
      <c r="D9438" s="138" t="str">
        <f t="shared" si="777"/>
        <v>High_High</v>
      </c>
      <c r="E9438" s="138" t="str">
        <f t="shared" si="781"/>
        <v>Base</v>
      </c>
      <c r="F9438" s="138" t="str">
        <f t="shared" si="782"/>
        <v>Upgraded</v>
      </c>
      <c r="G9438" s="153"/>
      <c r="H9438" s="210">
        <v>1.95E-2</v>
      </c>
      <c r="I9438" s="160" t="s">
        <v>148</v>
      </c>
      <c r="J9438" s="160">
        <v>2.8E-3</v>
      </c>
      <c r="K9438" s="160" t="s">
        <v>14</v>
      </c>
      <c r="L9438" s="154" t="str">
        <f>IF(OpenLCAbasic!K9438="CTUh", "Fill in Manually",IF(OR(K9438="Unit", K9438=""), "", INDEX(LookUps!$E$5:$E$12, MATCH(OpenLCAbasic!K9438,LookUps!$D$5:$D$12,0))))</f>
        <v>Fossil Depletion Potential (FDP) - kg oil eq</v>
      </c>
      <c r="M9438" s="154" t="str">
        <f t="shared" si="778"/>
        <v>Base_High_High_Upgraded_Fossil Depletion Potential (FDP) - kg oil eq_Control Building; at upgraded wastewater treatment plant - US_Base_With Amendment_Aerated Static Pile</v>
      </c>
    </row>
    <row r="9439" spans="1:13" s="120" customFormat="1" x14ac:dyDescent="0.25">
      <c r="A9439" s="119"/>
      <c r="B9439" s="138" t="str">
        <f t="shared" si="779"/>
        <v>Aerated Static Pile</v>
      </c>
      <c r="C9439" s="138" t="str">
        <f t="shared" si="780"/>
        <v>Base_With Amendment</v>
      </c>
      <c r="D9439" s="138" t="str">
        <f t="shared" si="777"/>
        <v>High_High</v>
      </c>
      <c r="E9439" s="138" t="str">
        <f t="shared" si="781"/>
        <v>Base</v>
      </c>
      <c r="F9439" s="138" t="str">
        <f t="shared" si="782"/>
        <v>Upgraded</v>
      </c>
      <c r="G9439" s="153"/>
      <c r="H9439" s="210">
        <v>1.6500000000000001E-2</v>
      </c>
      <c r="I9439" s="160" t="s">
        <v>48</v>
      </c>
      <c r="J9439" s="160">
        <v>2.3600000000000001E-3</v>
      </c>
      <c r="K9439" s="160" t="s">
        <v>14</v>
      </c>
      <c r="L9439" s="154" t="str">
        <f>IF(OpenLCAbasic!K9439="CTUh", "Fill in Manually",IF(OR(K9439="Unit", K9439=""), "", INDEX(LookUps!$E$5:$E$12, MATCH(OpenLCAbasic!K9439,LookUps!$D$5:$D$12,0))))</f>
        <v>Fossil Depletion Potential (FDP) - kg oil eq</v>
      </c>
      <c r="M9439" s="154" t="str">
        <f t="shared" si="778"/>
        <v>Base_High_High_Upgraded_Fossil Depletion Potential (FDP) - kg oil eq_Effluent release; wastewater treatment unit; at surface water; m3 wastewater - US_Base_With Amendment_Aerated Static Pile</v>
      </c>
    </row>
    <row r="9440" spans="1:13" s="120" customFormat="1" x14ac:dyDescent="0.25">
      <c r="A9440" s="119"/>
      <c r="B9440" s="138" t="str">
        <f t="shared" si="779"/>
        <v>Aerated Static Pile</v>
      </c>
      <c r="C9440" s="138" t="str">
        <f t="shared" si="780"/>
        <v>Base_With Amendment</v>
      </c>
      <c r="D9440" s="138" t="str">
        <f t="shared" si="777"/>
        <v>High_High</v>
      </c>
      <c r="E9440" s="138" t="str">
        <f t="shared" si="781"/>
        <v>Base</v>
      </c>
      <c r="F9440" s="138" t="str">
        <f t="shared" si="782"/>
        <v>Upgraded</v>
      </c>
      <c r="G9440" s="153"/>
      <c r="H9440" s="210">
        <v>1.34E-2</v>
      </c>
      <c r="I9440" s="160" t="s">
        <v>59</v>
      </c>
      <c r="J9440" s="160">
        <v>1.92E-3</v>
      </c>
      <c r="K9440" s="160" t="s">
        <v>14</v>
      </c>
      <c r="L9440" s="154" t="str">
        <f>IF(OpenLCAbasic!K9440="CTUh", "Fill in Manually",IF(OR(K9440="Unit", K9440=""), "", INDEX(LookUps!$E$5:$E$12, MATCH(OpenLCAbasic!K9440,LookUps!$D$5:$D$12,0))))</f>
        <v>Fossil Depletion Potential (FDP) - kg oil eq</v>
      </c>
      <c r="M9440" s="154" t="str">
        <f t="shared" si="778"/>
        <v>Base_High_High_Upgraded_Fossil Depletion Potential (FDP) - kg oil eq_Blend Tank; wastewater treatment unit; at updated plant - US_Base_With Amendment_Aerated Static Pile</v>
      </c>
    </row>
    <row r="9441" spans="1:13" s="120" customFormat="1" x14ac:dyDescent="0.25">
      <c r="A9441" s="119"/>
      <c r="B9441" s="138" t="str">
        <f t="shared" si="779"/>
        <v>Aerated Static Pile</v>
      </c>
      <c r="C9441" s="138" t="str">
        <f t="shared" si="780"/>
        <v>Base_With Amendment</v>
      </c>
      <c r="D9441" s="138" t="str">
        <f t="shared" ref="D9441:D9504" si="783">IF(ISNUMBER($J9441),"High_High","")</f>
        <v>High_High</v>
      </c>
      <c r="E9441" s="138" t="str">
        <f t="shared" si="781"/>
        <v>Base</v>
      </c>
      <c r="F9441" s="138" t="str">
        <f t="shared" si="782"/>
        <v>Upgraded</v>
      </c>
      <c r="G9441" s="153"/>
      <c r="H9441" s="210">
        <v>6.4000000000000003E-3</v>
      </c>
      <c r="I9441" s="160" t="s">
        <v>168</v>
      </c>
      <c r="J9441" s="160">
        <v>9.1E-4</v>
      </c>
      <c r="K9441" s="160" t="s">
        <v>14</v>
      </c>
      <c r="L9441" s="154" t="str">
        <f>IF(OpenLCAbasic!K9441="CTUh", "Fill in Manually",IF(OR(K9441="Unit", K9441=""), "", INDEX(LookUps!$E$5:$E$12, MATCH(OpenLCAbasic!K9441,LookUps!$D$5:$D$12,0))))</f>
        <v>Fossil Depletion Potential (FDP) - kg oil eq</v>
      </c>
      <c r="M9441" s="154" t="str">
        <f t="shared" si="778"/>
        <v>Base_High_High_Upgraded_Fossil Depletion Potential (FDP) - kg oil eq_ClearCove SCP; wastewater treatment unit; at updated plant - US_Base_With Amendment_Aerated Static Pile</v>
      </c>
    </row>
    <row r="9442" spans="1:13" s="120" customFormat="1" x14ac:dyDescent="0.25">
      <c r="A9442" s="119"/>
      <c r="B9442" s="138" t="str">
        <f t="shared" si="779"/>
        <v>Aerated Static Pile</v>
      </c>
      <c r="C9442" s="138" t="str">
        <f t="shared" si="780"/>
        <v>Base_With Amendment</v>
      </c>
      <c r="D9442" s="138" t="str">
        <f t="shared" si="783"/>
        <v>High_High</v>
      </c>
      <c r="E9442" s="138" t="str">
        <f t="shared" si="781"/>
        <v>Base</v>
      </c>
      <c r="F9442" s="138" t="str">
        <f t="shared" si="782"/>
        <v>Upgraded</v>
      </c>
      <c r="G9442" s="153"/>
      <c r="H9442" s="210">
        <v>-7.6899999999999996E-2</v>
      </c>
      <c r="I9442" s="160" t="s">
        <v>62</v>
      </c>
      <c r="J9442" s="160">
        <v>-1.102E-2</v>
      </c>
      <c r="K9442" s="160" t="s">
        <v>14</v>
      </c>
      <c r="L9442" s="154" t="str">
        <f>IF(OpenLCAbasic!K9442="CTUh", "Fill in Manually",IF(OR(K9442="Unit", K9442=""), "", INDEX(LookUps!$E$5:$E$12, MATCH(OpenLCAbasic!K9442,LookUps!$D$5:$D$12,0))))</f>
        <v>Fossil Depletion Potential (FDP) - kg oil eq</v>
      </c>
      <c r="M9442" s="154" t="str">
        <f t="shared" si="778"/>
        <v>Base_High_High_Upgraded_Fossil Depletion Potential (FDP) - kg oil eq_Land application of compost; wastewater treatment unit; at updated plant - US_Base_With Amendment_Aerated Static Pile</v>
      </c>
    </row>
    <row r="9443" spans="1:13" s="120" customFormat="1" x14ac:dyDescent="0.25">
      <c r="A9443" s="119"/>
      <c r="B9443" s="138" t="str">
        <f t="shared" si="779"/>
        <v>Aerated Static Pile</v>
      </c>
      <c r="C9443" s="138" t="str">
        <f t="shared" si="780"/>
        <v>Base_With Amendment</v>
      </c>
      <c r="D9443" s="138" t="str">
        <f t="shared" si="783"/>
        <v>High_High</v>
      </c>
      <c r="E9443" s="138" t="str">
        <f t="shared" si="781"/>
        <v>Base</v>
      </c>
      <c r="F9443" s="138" t="str">
        <f t="shared" si="782"/>
        <v>Upgraded</v>
      </c>
      <c r="G9443" s="153"/>
      <c r="H9443" s="210">
        <v>-3.1219000000000001</v>
      </c>
      <c r="I9443" s="160" t="s">
        <v>149</v>
      </c>
      <c r="J9443" s="160">
        <v>-0.44775999999999999</v>
      </c>
      <c r="K9443" s="160" t="s">
        <v>14</v>
      </c>
      <c r="L9443" s="154" t="str">
        <f>IF(OpenLCAbasic!K9443="CTUh", "Fill in Manually",IF(OR(K9443="Unit", K9443=""), "", INDEX(LookUps!$E$5:$E$12, MATCH(OpenLCAbasic!K9443,LookUps!$D$5:$D$12,0))))</f>
        <v>Fossil Depletion Potential (FDP) - kg oil eq</v>
      </c>
      <c r="M9443" s="154" t="str">
        <f t="shared" si="778"/>
        <v>Base_High_High_Upgraded_Fossil Depletion Potential (FDP) - kg oil eq_Anaerobic Digestion; wastewater treatment unit; at updated plant - US_Base_With Amendment_Aerated Static Pile</v>
      </c>
    </row>
    <row r="9444" spans="1:13" s="120" customFormat="1" x14ac:dyDescent="0.25">
      <c r="A9444" s="119"/>
      <c r="B9444" s="138" t="str">
        <f t="shared" si="779"/>
        <v/>
      </c>
      <c r="C9444" s="138" t="str">
        <f t="shared" si="780"/>
        <v/>
      </c>
      <c r="D9444" s="138" t="str">
        <f t="shared" si="783"/>
        <v/>
      </c>
      <c r="E9444" s="138" t="str">
        <f t="shared" si="781"/>
        <v/>
      </c>
      <c r="F9444" s="138" t="str">
        <f t="shared" si="782"/>
        <v/>
      </c>
      <c r="G9444" s="153" t="s">
        <v>51</v>
      </c>
      <c r="H9444" s="160"/>
      <c r="I9444" s="160" t="s">
        <v>47</v>
      </c>
      <c r="J9444" s="160" t="s">
        <v>52</v>
      </c>
      <c r="K9444" s="160" t="s">
        <v>27</v>
      </c>
      <c r="L9444" s="154" t="str">
        <f>IF(OpenLCAbasic!K9444="CTUh", "Fill in Manually",IF(OR(K9444="Unit", K9444=""), "", INDEX(LookUps!$E$5:$E$12, MATCH(OpenLCAbasic!K9444,LookUps!$D$5:$D$12,0))))</f>
        <v/>
      </c>
      <c r="M9444" s="154" t="str">
        <f t="shared" si="778"/>
        <v>____Process__</v>
      </c>
    </row>
    <row r="9445" spans="1:13" s="120" customFormat="1" x14ac:dyDescent="0.25">
      <c r="A9445" s="119"/>
      <c r="B9445" s="138" t="str">
        <f t="shared" si="779"/>
        <v>Aerated Static Pile</v>
      </c>
      <c r="C9445" s="138" t="str">
        <f t="shared" si="780"/>
        <v>Base_With Amendment</v>
      </c>
      <c r="D9445" s="138" t="str">
        <f t="shared" si="783"/>
        <v>High_High</v>
      </c>
      <c r="E9445" s="138" t="str">
        <f t="shared" si="781"/>
        <v>Base</v>
      </c>
      <c r="F9445" s="138" t="str">
        <f t="shared" si="782"/>
        <v>Upgraded</v>
      </c>
      <c r="G9445" s="153"/>
      <c r="H9445" s="210">
        <v>42.911299999999997</v>
      </c>
      <c r="I9445" s="160" t="s">
        <v>435</v>
      </c>
      <c r="J9445" s="160">
        <v>0.92225999999999997</v>
      </c>
      <c r="K9445" s="160" t="s">
        <v>23</v>
      </c>
      <c r="L9445" s="154" t="str">
        <f>IF(OpenLCAbasic!K9445="CTUh", "Fill in Manually",IF(OR(K9445="Unit", K9445=""), "", INDEX(LookUps!$E$5:$E$12, MATCH(OpenLCAbasic!K9445,LookUps!$D$5:$D$12,0))))</f>
        <v>Global Warming Potential (GWP) - kg CO2 eq</v>
      </c>
      <c r="M9445" s="154" t="str">
        <f t="shared" si="778"/>
        <v>Base_High_High_Upgraded_Global Warming Potential (GWP) - kg CO2 eq_Biosolids composting; aerated static pile; wastewater treatment unit; at updated plant - US_Base_With Amendment_Aerated Static Pile</v>
      </c>
    </row>
    <row r="9446" spans="1:13" s="120" customFormat="1" x14ac:dyDescent="0.25">
      <c r="A9446" s="119"/>
      <c r="B9446" s="138" t="str">
        <f t="shared" si="779"/>
        <v>Aerated Static Pile</v>
      </c>
      <c r="C9446" s="138" t="str">
        <f t="shared" si="780"/>
        <v>Base_With Amendment</v>
      </c>
      <c r="D9446" s="138" t="str">
        <f t="shared" si="783"/>
        <v>High_High</v>
      </c>
      <c r="E9446" s="138" t="str">
        <f t="shared" si="781"/>
        <v>Base</v>
      </c>
      <c r="F9446" s="138" t="str">
        <f t="shared" si="782"/>
        <v>Upgraded</v>
      </c>
      <c r="G9446" s="153"/>
      <c r="H9446" s="210">
        <v>11.628299999999999</v>
      </c>
      <c r="I9446" s="160" t="s">
        <v>58</v>
      </c>
      <c r="J9446" s="160">
        <v>0.24992</v>
      </c>
      <c r="K9446" s="160" t="s">
        <v>23</v>
      </c>
      <c r="L9446" s="154" t="str">
        <f>IF(OpenLCAbasic!K9446="CTUh", "Fill in Manually",IF(OR(K9446="Unit", K9446=""), "", INDEX(LookUps!$E$5:$E$12, MATCH(OpenLCAbasic!K9446,LookUps!$D$5:$D$12,0))))</f>
        <v>Global Warming Potential (GWP) - kg CO2 eq</v>
      </c>
      <c r="M9446" s="154" t="str">
        <f t="shared" si="778"/>
        <v>Base_High_High_Upgraded_Global Warming Potential (GWP) - kg CO2 eq_Pre-Anoxic &amp; Swing tank; wastewater treatment unit; at updated plant - US_Base_With Amendment_Aerated Static Pile</v>
      </c>
    </row>
    <row r="9447" spans="1:13" s="120" customFormat="1" x14ac:dyDescent="0.25">
      <c r="A9447" s="119"/>
      <c r="B9447" s="138" t="str">
        <f t="shared" si="779"/>
        <v>Aerated Static Pile</v>
      </c>
      <c r="C9447" s="138" t="str">
        <f t="shared" si="780"/>
        <v>Base_With Amendment</v>
      </c>
      <c r="D9447" s="138" t="str">
        <f t="shared" si="783"/>
        <v>High_High</v>
      </c>
      <c r="E9447" s="138" t="str">
        <f t="shared" si="781"/>
        <v>Base</v>
      </c>
      <c r="F9447" s="138" t="str">
        <f t="shared" si="782"/>
        <v>Upgraded</v>
      </c>
      <c r="G9447" s="153"/>
      <c r="H9447" s="210">
        <v>7.8272000000000004</v>
      </c>
      <c r="I9447" s="160" t="s">
        <v>55</v>
      </c>
      <c r="J9447" s="160">
        <v>0.16822000000000001</v>
      </c>
      <c r="K9447" s="160" t="s">
        <v>23</v>
      </c>
      <c r="L9447" s="154" t="str">
        <f>IF(OpenLCAbasic!K9447="CTUh", "Fill in Manually",IF(OR(K9447="Unit", K9447=""), "", INDEX(LookUps!$E$5:$E$12, MATCH(OpenLCAbasic!K9447,LookUps!$D$5:$D$12,0))))</f>
        <v>Global Warming Potential (GWP) - kg CO2 eq</v>
      </c>
      <c r="M9447" s="154" t="str">
        <f t="shared" si="778"/>
        <v>Base_High_High_Upgraded_Global Warming Potential (GWP) - kg CO2 eq_Aeration Tanks; wastewater treatment unit; at updated plant - US_Base_With Amendment_Aerated Static Pile</v>
      </c>
    </row>
    <row r="9448" spans="1:13" s="120" customFormat="1" x14ac:dyDescent="0.25">
      <c r="A9448" s="119"/>
      <c r="B9448" s="138" t="str">
        <f t="shared" si="779"/>
        <v>Aerated Static Pile</v>
      </c>
      <c r="C9448" s="138" t="str">
        <f t="shared" si="780"/>
        <v>Base_With Amendment</v>
      </c>
      <c r="D9448" s="138" t="str">
        <f t="shared" si="783"/>
        <v>High_High</v>
      </c>
      <c r="E9448" s="138" t="str">
        <f t="shared" si="781"/>
        <v>Base</v>
      </c>
      <c r="F9448" s="138" t="str">
        <f t="shared" si="782"/>
        <v>Upgraded</v>
      </c>
      <c r="G9448" s="153"/>
      <c r="H9448" s="210">
        <v>6.8327999999999998</v>
      </c>
      <c r="I9448" s="160" t="s">
        <v>167</v>
      </c>
      <c r="J9448" s="160">
        <v>0.14685000000000001</v>
      </c>
      <c r="K9448" s="160" t="s">
        <v>23</v>
      </c>
      <c r="L9448" s="154" t="str">
        <f>IF(OpenLCAbasic!K9448="CTUh", "Fill in Manually",IF(OR(K9448="Unit", K9448=""), "", INDEX(LookUps!$E$5:$E$12, MATCH(OpenLCAbasic!K9448,LookUps!$D$5:$D$12,0))))</f>
        <v>Global Warming Potential (GWP) - kg CO2 eq</v>
      </c>
      <c r="M9448" s="154" t="str">
        <f t="shared" si="778"/>
        <v>Base_High_High_Upgraded_Global Warming Potential (GWP) - kg CO2 eq_Waste Receiving and Holding; wastewater treatment unit; at updated plant - US_Base_With Amendment_Aerated Static Pile</v>
      </c>
    </row>
    <row r="9449" spans="1:13" s="120" customFormat="1" x14ac:dyDescent="0.25">
      <c r="A9449" s="119"/>
      <c r="B9449" s="138" t="str">
        <f t="shared" si="779"/>
        <v>Aerated Static Pile</v>
      </c>
      <c r="C9449" s="138" t="str">
        <f t="shared" si="780"/>
        <v>Base_With Amendment</v>
      </c>
      <c r="D9449" s="138" t="str">
        <f t="shared" si="783"/>
        <v>High_High</v>
      </c>
      <c r="E9449" s="138" t="str">
        <f t="shared" si="781"/>
        <v>Base</v>
      </c>
      <c r="F9449" s="138" t="str">
        <f t="shared" si="782"/>
        <v>Upgraded</v>
      </c>
      <c r="G9449" s="153"/>
      <c r="H9449" s="210">
        <v>2.6558999999999999</v>
      </c>
      <c r="I9449" s="160" t="s">
        <v>54</v>
      </c>
      <c r="J9449" s="160">
        <v>5.7079999999999999E-2</v>
      </c>
      <c r="K9449" s="160" t="s">
        <v>23</v>
      </c>
      <c r="L9449" s="154" t="str">
        <f>IF(OpenLCAbasic!K9449="CTUh", "Fill in Manually",IF(OR(K9449="Unit", K9449=""), "", INDEX(LookUps!$E$5:$E$12, MATCH(OpenLCAbasic!K9449,LookUps!$D$5:$D$12,0))))</f>
        <v>Global Warming Potential (GWP) - kg CO2 eq</v>
      </c>
      <c r="M9449" s="154" t="str">
        <f t="shared" si="778"/>
        <v>Base_High_High_Upgraded_Global Warming Potential (GWP) - kg CO2 eq_Clear Cove Primary Clarification; wastewater treatment unit; at updated plant - US_Base_With Amendment_Aerated Static Pile</v>
      </c>
    </row>
    <row r="9450" spans="1:13" s="120" customFormat="1" x14ac:dyDescent="0.25">
      <c r="A9450" s="119"/>
      <c r="B9450" s="138" t="str">
        <f t="shared" si="779"/>
        <v>Aerated Static Pile</v>
      </c>
      <c r="C9450" s="138" t="str">
        <f t="shared" si="780"/>
        <v>Base_With Amendment</v>
      </c>
      <c r="D9450" s="138" t="str">
        <f t="shared" si="783"/>
        <v>High_High</v>
      </c>
      <c r="E9450" s="138" t="str">
        <f t="shared" si="781"/>
        <v>Base</v>
      </c>
      <c r="F9450" s="138" t="str">
        <f t="shared" si="782"/>
        <v>Upgraded</v>
      </c>
      <c r="G9450" s="153"/>
      <c r="H9450" s="210">
        <v>2.4491000000000001</v>
      </c>
      <c r="I9450" s="160" t="s">
        <v>48</v>
      </c>
      <c r="J9450" s="160">
        <v>5.2639999999999999E-2</v>
      </c>
      <c r="K9450" s="160" t="s">
        <v>23</v>
      </c>
      <c r="L9450" s="154" t="str">
        <f>IF(OpenLCAbasic!K9450="CTUh", "Fill in Manually",IF(OR(K9450="Unit", K9450=""), "", INDEX(LookUps!$E$5:$E$12, MATCH(OpenLCAbasic!K9450,LookUps!$D$5:$D$12,0))))</f>
        <v>Global Warming Potential (GWP) - kg CO2 eq</v>
      </c>
      <c r="M9450" s="154" t="str">
        <f t="shared" si="778"/>
        <v>Base_High_High_Upgraded_Global Warming Potential (GWP) - kg CO2 eq_Effluent release; wastewater treatment unit; at surface water; m3 wastewater - US_Base_With Amendment_Aerated Static Pile</v>
      </c>
    </row>
    <row r="9451" spans="1:13" s="120" customFormat="1" x14ac:dyDescent="0.25">
      <c r="A9451" s="119"/>
      <c r="B9451" s="138" t="str">
        <f t="shared" si="779"/>
        <v>Aerated Static Pile</v>
      </c>
      <c r="C9451" s="138" t="str">
        <f t="shared" si="780"/>
        <v>Base_With Amendment</v>
      </c>
      <c r="D9451" s="138" t="str">
        <f t="shared" si="783"/>
        <v>High_High</v>
      </c>
      <c r="E9451" s="138" t="str">
        <f t="shared" si="781"/>
        <v>Base</v>
      </c>
      <c r="F9451" s="138" t="str">
        <f t="shared" si="782"/>
        <v>Upgraded</v>
      </c>
      <c r="G9451" s="153"/>
      <c r="H9451" s="210">
        <v>2.3496000000000001</v>
      </c>
      <c r="I9451" s="160" t="s">
        <v>147</v>
      </c>
      <c r="J9451" s="160">
        <v>5.0500000000000003E-2</v>
      </c>
      <c r="K9451" s="160" t="s">
        <v>23</v>
      </c>
      <c r="L9451" s="154" t="str">
        <f>IF(OpenLCAbasic!K9451="CTUh", "Fill in Manually",IF(OR(K9451="Unit", K9451=""), "", INDEX(LookUps!$E$5:$E$12, MATCH(OpenLCAbasic!K9451,LookUps!$D$5:$D$12,0))))</f>
        <v>Global Warming Potential (GWP) - kg CO2 eq</v>
      </c>
      <c r="M9451" s="154" t="str">
        <f t="shared" si="778"/>
        <v>Base_High_High_Upgraded_Global Warming Potential (GWP) - kg CO2 eq_Influent Pump Station; wastewater treatment unit; at updated plant - US_Base_With Amendment_Aerated Static Pile</v>
      </c>
    </row>
    <row r="9452" spans="1:13" s="120" customFormat="1" x14ac:dyDescent="0.25">
      <c r="A9452" s="119"/>
      <c r="B9452" s="138" t="str">
        <f t="shared" si="779"/>
        <v>Aerated Static Pile</v>
      </c>
      <c r="C9452" s="138" t="str">
        <f t="shared" si="780"/>
        <v>Base_With Amendment</v>
      </c>
      <c r="D9452" s="138" t="str">
        <f t="shared" si="783"/>
        <v>High_High</v>
      </c>
      <c r="E9452" s="138" t="str">
        <f t="shared" si="781"/>
        <v>Base</v>
      </c>
      <c r="F9452" s="138" t="str">
        <f t="shared" si="782"/>
        <v>Upgraded</v>
      </c>
      <c r="G9452" s="153"/>
      <c r="H9452" s="210">
        <v>1.5472999999999999</v>
      </c>
      <c r="I9452" s="160" t="s">
        <v>53</v>
      </c>
      <c r="J9452" s="160">
        <v>3.3259999999999998E-2</v>
      </c>
      <c r="K9452" s="160" t="s">
        <v>23</v>
      </c>
      <c r="L9452" s="154" t="str">
        <f>IF(OpenLCAbasic!K9452="CTUh", "Fill in Manually",IF(OR(K9452="Unit", K9452=""), "", INDEX(LookUps!$E$5:$E$12, MATCH(OpenLCAbasic!K9452,LookUps!$D$5:$D$12,0))))</f>
        <v>Global Warming Potential (GWP) - kg CO2 eq</v>
      </c>
      <c r="M9452" s="154" t="str">
        <f t="shared" si="778"/>
        <v>Base_High_High_Upgraded_Global Warming Potential (GWP) - kg CO2 eq_Wet Well and Sump Station; wastewater treatment unit; at updated plant - US_Base_With Amendment_Aerated Static Pile</v>
      </c>
    </row>
    <row r="9453" spans="1:13" s="120" customFormat="1" x14ac:dyDescent="0.25">
      <c r="A9453" s="119"/>
      <c r="B9453" s="138" t="str">
        <f t="shared" si="779"/>
        <v>Aerated Static Pile</v>
      </c>
      <c r="C9453" s="138" t="str">
        <f t="shared" si="780"/>
        <v>Base_With Amendment</v>
      </c>
      <c r="D9453" s="138" t="str">
        <f t="shared" si="783"/>
        <v>High_High</v>
      </c>
      <c r="E9453" s="138" t="str">
        <f t="shared" si="781"/>
        <v>Base</v>
      </c>
      <c r="F9453" s="138" t="str">
        <f t="shared" si="782"/>
        <v>Upgraded</v>
      </c>
      <c r="G9453" s="153"/>
      <c r="H9453" s="210">
        <v>1.0647</v>
      </c>
      <c r="I9453" s="160" t="s">
        <v>60</v>
      </c>
      <c r="J9453" s="160">
        <v>2.2880000000000001E-2</v>
      </c>
      <c r="K9453" s="160" t="s">
        <v>23</v>
      </c>
      <c r="L9453" s="154" t="str">
        <f>IF(OpenLCAbasic!K9453="CTUh", "Fill in Manually",IF(OR(K9453="Unit", K9453=""), "", INDEX(LookUps!$E$5:$E$12, MATCH(OpenLCAbasic!K9453,LookUps!$D$5:$D$12,0))))</f>
        <v>Global Warming Potential (GWP) - kg CO2 eq</v>
      </c>
      <c r="M9453" s="154" t="str">
        <f t="shared" si="778"/>
        <v>Base_High_High_Upgraded_Global Warming Potential (GWP) - kg CO2 eq_Belt filter press; wastewater treatment unit; at updated plant - US_Base_With Amendment_Aerated Static Pile</v>
      </c>
    </row>
    <row r="9454" spans="1:13" s="120" customFormat="1" x14ac:dyDescent="0.25">
      <c r="A9454" s="119"/>
      <c r="B9454" s="138" t="str">
        <f t="shared" si="779"/>
        <v>Aerated Static Pile</v>
      </c>
      <c r="C9454" s="138" t="str">
        <f t="shared" si="780"/>
        <v>Base_With Amendment</v>
      </c>
      <c r="D9454" s="138" t="str">
        <f t="shared" si="783"/>
        <v>High_High</v>
      </c>
      <c r="E9454" s="138" t="str">
        <f t="shared" si="781"/>
        <v>Base</v>
      </c>
      <c r="F9454" s="138" t="str">
        <f t="shared" si="782"/>
        <v>Upgraded</v>
      </c>
      <c r="G9454" s="153"/>
      <c r="H9454" s="210">
        <v>0.67710000000000004</v>
      </c>
      <c r="I9454" s="160" t="s">
        <v>57</v>
      </c>
      <c r="J9454" s="160">
        <v>1.455E-2</v>
      </c>
      <c r="K9454" s="160" t="s">
        <v>23</v>
      </c>
      <c r="L9454" s="154" t="str">
        <f>IF(OpenLCAbasic!K9454="CTUh", "Fill in Manually",IF(OR(K9454="Unit", K9454=""), "", INDEX(LookUps!$E$5:$E$12, MATCH(OpenLCAbasic!K9454,LookUps!$D$5:$D$12,0))))</f>
        <v>Global Warming Potential (GWP) - kg CO2 eq</v>
      </c>
      <c r="M9454" s="154" t="str">
        <f t="shared" si="778"/>
        <v>Base_High_High_Upgraded_Global Warming Potential (GWP) - kg CO2 eq_Gravity Belt Thickener; wastewater treatment unit; at updated plant - US_Base_With Amendment_Aerated Static Pile</v>
      </c>
    </row>
    <row r="9455" spans="1:13" s="120" customFormat="1" x14ac:dyDescent="0.25">
      <c r="A9455" s="119"/>
      <c r="B9455" s="138" t="str">
        <f t="shared" si="779"/>
        <v>Aerated Static Pile</v>
      </c>
      <c r="C9455" s="138" t="str">
        <f t="shared" si="780"/>
        <v>Base_With Amendment</v>
      </c>
      <c r="D9455" s="138" t="str">
        <f t="shared" si="783"/>
        <v>High_High</v>
      </c>
      <c r="E9455" s="138" t="str">
        <f t="shared" si="781"/>
        <v>Base</v>
      </c>
      <c r="F9455" s="138" t="str">
        <f t="shared" si="782"/>
        <v>Upgraded</v>
      </c>
      <c r="G9455" s="153"/>
      <c r="H9455" s="210">
        <v>0.62839999999999996</v>
      </c>
      <c r="I9455" s="160" t="s">
        <v>128</v>
      </c>
      <c r="J9455" s="160">
        <v>1.3509999999999999E-2</v>
      </c>
      <c r="K9455" s="160" t="s">
        <v>23</v>
      </c>
      <c r="L9455" s="154" t="str">
        <f>IF(OpenLCAbasic!K9455="CTUh", "Fill in Manually",IF(OR(K9455="Unit", K9455=""), "", INDEX(LookUps!$E$5:$E$12, MATCH(OpenLCAbasic!K9455,LookUps!$D$5:$D$12,0))))</f>
        <v>Global Warming Potential (GWP) - kg CO2 eq</v>
      </c>
      <c r="M9455" s="154" t="str">
        <f t="shared" si="778"/>
        <v>Base_High_High_Upgraded_Global Warming Potential (GWP) - kg CO2 eq_Wastewater collection; operation and infrastructure; m3 wastewater_Base_With Amendment_Aerated Static Pile</v>
      </c>
    </row>
    <row r="9456" spans="1:13" s="120" customFormat="1" x14ac:dyDescent="0.25">
      <c r="A9456" s="119"/>
      <c r="B9456" s="138" t="str">
        <f t="shared" si="779"/>
        <v>Aerated Static Pile</v>
      </c>
      <c r="C9456" s="138" t="str">
        <f t="shared" si="780"/>
        <v>Base_With Amendment</v>
      </c>
      <c r="D9456" s="138" t="str">
        <f t="shared" si="783"/>
        <v>High_High</v>
      </c>
      <c r="E9456" s="138" t="str">
        <f t="shared" si="781"/>
        <v>Base</v>
      </c>
      <c r="F9456" s="138" t="str">
        <f t="shared" si="782"/>
        <v>Upgraded</v>
      </c>
      <c r="G9456" s="153"/>
      <c r="H9456" s="210">
        <v>0.38600000000000001</v>
      </c>
      <c r="I9456" s="160" t="s">
        <v>148</v>
      </c>
      <c r="J9456" s="160">
        <v>8.3000000000000001E-3</v>
      </c>
      <c r="K9456" s="160" t="s">
        <v>23</v>
      </c>
      <c r="L9456" s="154" t="str">
        <f>IF(OpenLCAbasic!K9456="CTUh", "Fill in Manually",IF(OR(K9456="Unit", K9456=""), "", INDEX(LookUps!$E$5:$E$12, MATCH(OpenLCAbasic!K9456,LookUps!$D$5:$D$12,0))))</f>
        <v>Global Warming Potential (GWP) - kg CO2 eq</v>
      </c>
      <c r="M9456" s="154" t="str">
        <f t="shared" si="778"/>
        <v>Base_High_High_Upgraded_Global Warming Potential (GWP) - kg CO2 eq_Control Building; at upgraded wastewater treatment plant - US_Base_With Amendment_Aerated Static Pile</v>
      </c>
    </row>
    <row r="9457" spans="1:13" s="120" customFormat="1" x14ac:dyDescent="0.25">
      <c r="A9457" s="119"/>
      <c r="B9457" s="138" t="str">
        <f t="shared" si="779"/>
        <v>Aerated Static Pile</v>
      </c>
      <c r="C9457" s="138" t="str">
        <f t="shared" si="780"/>
        <v>Base_With Amendment</v>
      </c>
      <c r="D9457" s="138" t="str">
        <f t="shared" si="783"/>
        <v>High_High</v>
      </c>
      <c r="E9457" s="138" t="str">
        <f t="shared" si="781"/>
        <v>Base</v>
      </c>
      <c r="F9457" s="138" t="str">
        <f t="shared" si="782"/>
        <v>Upgraded</v>
      </c>
      <c r="G9457" s="153"/>
      <c r="H9457" s="210">
        <v>0.23469999999999999</v>
      </c>
      <c r="I9457" s="160" t="s">
        <v>59</v>
      </c>
      <c r="J9457" s="160">
        <v>5.0400000000000002E-3</v>
      </c>
      <c r="K9457" s="160" t="s">
        <v>23</v>
      </c>
      <c r="L9457" s="154" t="str">
        <f>IF(OpenLCAbasic!K9457="CTUh", "Fill in Manually",IF(OR(K9457="Unit", K9457=""), "", INDEX(LookUps!$E$5:$E$12, MATCH(OpenLCAbasic!K9457,LookUps!$D$5:$D$12,0))))</f>
        <v>Global Warming Potential (GWP) - kg CO2 eq</v>
      </c>
      <c r="M9457" s="154" t="str">
        <f t="shared" si="778"/>
        <v>Base_High_High_Upgraded_Global Warming Potential (GWP) - kg CO2 eq_Blend Tank; wastewater treatment unit; at updated plant - US_Base_With Amendment_Aerated Static Pile</v>
      </c>
    </row>
    <row r="9458" spans="1:13" s="120" customFormat="1" x14ac:dyDescent="0.25">
      <c r="A9458" s="119"/>
      <c r="B9458" s="138" t="str">
        <f t="shared" si="779"/>
        <v>Aerated Static Pile</v>
      </c>
      <c r="C9458" s="138" t="str">
        <f t="shared" si="780"/>
        <v>Base_With Amendment</v>
      </c>
      <c r="D9458" s="138" t="str">
        <f t="shared" si="783"/>
        <v>High_High</v>
      </c>
      <c r="E9458" s="138" t="str">
        <f t="shared" si="781"/>
        <v>Base</v>
      </c>
      <c r="F9458" s="138" t="str">
        <f t="shared" si="782"/>
        <v>Upgraded</v>
      </c>
      <c r="G9458" s="153"/>
      <c r="H9458" s="210">
        <v>0.1123</v>
      </c>
      <c r="I9458" s="160" t="s">
        <v>168</v>
      </c>
      <c r="J9458" s="160">
        <v>2.4099999999999998E-3</v>
      </c>
      <c r="K9458" s="160" t="s">
        <v>23</v>
      </c>
      <c r="L9458" s="154" t="str">
        <f>IF(OpenLCAbasic!K9458="CTUh", "Fill in Manually",IF(OR(K9458="Unit", K9458=""), "", INDEX(LookUps!$E$5:$E$12, MATCH(OpenLCAbasic!K9458,LookUps!$D$5:$D$12,0))))</f>
        <v>Global Warming Potential (GWP) - kg CO2 eq</v>
      </c>
      <c r="M9458" s="154" t="str">
        <f t="shared" si="778"/>
        <v>Base_High_High_Upgraded_Global Warming Potential (GWP) - kg CO2 eq_ClearCove SCP; wastewater treatment unit; at updated plant - US_Base_With Amendment_Aerated Static Pile</v>
      </c>
    </row>
    <row r="9459" spans="1:13" s="120" customFormat="1" x14ac:dyDescent="0.25">
      <c r="A9459" s="119"/>
      <c r="B9459" s="138" t="str">
        <f t="shared" si="779"/>
        <v>Aerated Static Pile</v>
      </c>
      <c r="C9459" s="138" t="str">
        <f t="shared" si="780"/>
        <v>Base_With Amendment</v>
      </c>
      <c r="D9459" s="138" t="str">
        <f t="shared" si="783"/>
        <v>High_High</v>
      </c>
      <c r="E9459" s="138" t="str">
        <f t="shared" si="781"/>
        <v>Base</v>
      </c>
      <c r="F9459" s="138" t="str">
        <f t="shared" si="782"/>
        <v>Upgraded</v>
      </c>
      <c r="G9459" s="153"/>
      <c r="H9459" s="210">
        <v>-38.898200000000003</v>
      </c>
      <c r="I9459" s="160" t="s">
        <v>62</v>
      </c>
      <c r="J9459" s="160">
        <v>-0.83601000000000003</v>
      </c>
      <c r="K9459" s="160" t="s">
        <v>23</v>
      </c>
      <c r="L9459" s="154" t="str">
        <f>IF(OpenLCAbasic!K9459="CTUh", "Fill in Manually",IF(OR(K9459="Unit", K9459=""), "", INDEX(LookUps!$E$5:$E$12, MATCH(OpenLCAbasic!K9459,LookUps!$D$5:$D$12,0))))</f>
        <v>Global Warming Potential (GWP) - kg CO2 eq</v>
      </c>
      <c r="M9459" s="154" t="str">
        <f t="shared" ref="M9459:M9522" si="784">CONCATENATE(E9459,"_",D9459,"_",F9459,"_",L9459, "_",I9459,"_", C9459,"_", B9459)</f>
        <v>Base_High_High_Upgraded_Global Warming Potential (GWP) - kg CO2 eq_Land application of compost; wastewater treatment unit; at updated plant - US_Base_With Amendment_Aerated Static Pile</v>
      </c>
    </row>
    <row r="9460" spans="1:13" s="120" customFormat="1" x14ac:dyDescent="0.25">
      <c r="A9460" s="119"/>
      <c r="B9460" s="138" t="str">
        <f t="shared" si="779"/>
        <v>Aerated Static Pile</v>
      </c>
      <c r="C9460" s="138" t="str">
        <f t="shared" si="780"/>
        <v>Base_With Amendment</v>
      </c>
      <c r="D9460" s="138" t="str">
        <f t="shared" si="783"/>
        <v>High_High</v>
      </c>
      <c r="E9460" s="138" t="str">
        <f t="shared" si="781"/>
        <v>Base</v>
      </c>
      <c r="F9460" s="138" t="str">
        <f t="shared" si="782"/>
        <v>Upgraded</v>
      </c>
      <c r="G9460" s="153"/>
      <c r="H9460" s="210">
        <v>-41.406500000000001</v>
      </c>
      <c r="I9460" s="160" t="s">
        <v>149</v>
      </c>
      <c r="J9460" s="160">
        <v>-0.88992000000000004</v>
      </c>
      <c r="K9460" s="160" t="s">
        <v>23</v>
      </c>
      <c r="L9460" s="154" t="str">
        <f>IF(OpenLCAbasic!K9460="CTUh", "Fill in Manually",IF(OR(K9460="Unit", K9460=""), "", INDEX(LookUps!$E$5:$E$12, MATCH(OpenLCAbasic!K9460,LookUps!$D$5:$D$12,0))))</f>
        <v>Global Warming Potential (GWP) - kg CO2 eq</v>
      </c>
      <c r="M9460" s="154" t="str">
        <f t="shared" si="784"/>
        <v>Base_High_High_Upgraded_Global Warming Potential (GWP) - kg CO2 eq_Anaerobic Digestion; wastewater treatment unit; at updated plant - US_Base_With Amendment_Aerated Static Pile</v>
      </c>
    </row>
    <row r="9461" spans="1:13" s="120" customFormat="1" x14ac:dyDescent="0.25">
      <c r="A9461" s="119"/>
      <c r="B9461" s="138" t="str">
        <f t="shared" si="779"/>
        <v/>
      </c>
      <c r="C9461" s="138" t="str">
        <f t="shared" si="780"/>
        <v/>
      </c>
      <c r="D9461" s="138" t="str">
        <f t="shared" si="783"/>
        <v/>
      </c>
      <c r="E9461" s="138" t="str">
        <f t="shared" si="781"/>
        <v/>
      </c>
      <c r="F9461" s="138" t="str">
        <f t="shared" si="782"/>
        <v/>
      </c>
      <c r="G9461" s="153" t="s">
        <v>51</v>
      </c>
      <c r="H9461" s="160"/>
      <c r="I9461" s="160" t="s">
        <v>47</v>
      </c>
      <c r="J9461" s="160" t="s">
        <v>52</v>
      </c>
      <c r="K9461" s="160" t="s">
        <v>27</v>
      </c>
      <c r="L9461" s="154" t="str">
        <f>IF(OpenLCAbasic!K9461="CTUh", "Fill in Manually",IF(OR(K9461="Unit", K9461=""), "", INDEX(LookUps!$E$5:$E$12, MATCH(OpenLCAbasic!K9461,LookUps!$D$5:$D$12,0))))</f>
        <v/>
      </c>
      <c r="M9461" s="154" t="str">
        <f t="shared" si="784"/>
        <v>____Process__</v>
      </c>
    </row>
    <row r="9462" spans="1:13" s="120" customFormat="1" x14ac:dyDescent="0.25">
      <c r="A9462" s="119"/>
      <c r="B9462" s="138" t="str">
        <f t="shared" si="779"/>
        <v>Aerated Static Pile</v>
      </c>
      <c r="C9462" s="138" t="str">
        <f t="shared" si="780"/>
        <v>Base_With Amendment</v>
      </c>
      <c r="D9462" s="138" t="str">
        <f t="shared" si="783"/>
        <v>High_High</v>
      </c>
      <c r="E9462" s="138" t="str">
        <f t="shared" si="781"/>
        <v>Base</v>
      </c>
      <c r="F9462" s="138" t="str">
        <f t="shared" si="782"/>
        <v>Upgraded</v>
      </c>
      <c r="G9462" s="153"/>
      <c r="H9462" s="210">
        <v>0.37509999999999999</v>
      </c>
      <c r="I9462" s="160" t="s">
        <v>55</v>
      </c>
      <c r="J9462" s="160">
        <v>2.33E-3</v>
      </c>
      <c r="K9462" s="160" t="s">
        <v>145</v>
      </c>
      <c r="L9462" s="154" t="str">
        <f>IF(OpenLCAbasic!K9462="CTUh", "Fill in Manually",IF(OR(K9462="Unit", K9462=""), "", INDEX(LookUps!$E$5:$E$12, MATCH(OpenLCAbasic!K9462,LookUps!$D$5:$D$12,0))))</f>
        <v>Particulate Matter Formation Potential (PMFP) - kg PM2.5 eq</v>
      </c>
      <c r="M9462" s="154" t="str">
        <f t="shared" si="784"/>
        <v>Base_High_High_Upgraded_Particulate Matter Formation Potential (PMFP) - kg PM2.5 eq_Aeration Tanks; wastewater treatment unit; at updated plant - US_Base_With Amendment_Aerated Static Pile</v>
      </c>
    </row>
    <row r="9463" spans="1:13" s="120" customFormat="1" x14ac:dyDescent="0.25">
      <c r="A9463" s="119"/>
      <c r="B9463" s="138" t="str">
        <f t="shared" si="779"/>
        <v>Aerated Static Pile</v>
      </c>
      <c r="C9463" s="138" t="str">
        <f t="shared" si="780"/>
        <v>Base_With Amendment</v>
      </c>
      <c r="D9463" s="138" t="str">
        <f t="shared" si="783"/>
        <v>High_High</v>
      </c>
      <c r="E9463" s="138" t="str">
        <f t="shared" si="781"/>
        <v>Base</v>
      </c>
      <c r="F9463" s="138" t="str">
        <f t="shared" si="782"/>
        <v>Upgraded</v>
      </c>
      <c r="G9463" s="153"/>
      <c r="H9463" s="210">
        <v>0.2424</v>
      </c>
      <c r="I9463" s="160" t="s">
        <v>435</v>
      </c>
      <c r="J9463" s="160">
        <v>1.5100000000000001E-3</v>
      </c>
      <c r="K9463" s="160" t="s">
        <v>145</v>
      </c>
      <c r="L9463" s="154" t="str">
        <f>IF(OpenLCAbasic!K9463="CTUh", "Fill in Manually",IF(OR(K9463="Unit", K9463=""), "", INDEX(LookUps!$E$5:$E$12, MATCH(OpenLCAbasic!K9463,LookUps!$D$5:$D$12,0))))</f>
        <v>Particulate Matter Formation Potential (PMFP) - kg PM2.5 eq</v>
      </c>
      <c r="M9463" s="154" t="str">
        <f t="shared" si="784"/>
        <v>Base_High_High_Upgraded_Particulate Matter Formation Potential (PMFP) - kg PM2.5 eq_Biosolids composting; aerated static pile; wastewater treatment unit; at updated plant - US_Base_With Amendment_Aerated Static Pile</v>
      </c>
    </row>
    <row r="9464" spans="1:13" s="120" customFormat="1" x14ac:dyDescent="0.25">
      <c r="A9464" s="119"/>
      <c r="B9464" s="138" t="str">
        <f t="shared" si="779"/>
        <v>Aerated Static Pile</v>
      </c>
      <c r="C9464" s="138" t="str">
        <f t="shared" si="780"/>
        <v>Base_With Amendment</v>
      </c>
      <c r="D9464" s="138" t="str">
        <f t="shared" si="783"/>
        <v>High_High</v>
      </c>
      <c r="E9464" s="138" t="str">
        <f t="shared" si="781"/>
        <v>Base</v>
      </c>
      <c r="F9464" s="138" t="str">
        <f t="shared" si="782"/>
        <v>Upgraded</v>
      </c>
      <c r="G9464" s="153"/>
      <c r="H9464" s="210">
        <v>0.10920000000000001</v>
      </c>
      <c r="I9464" s="160" t="s">
        <v>54</v>
      </c>
      <c r="J9464" s="160">
        <v>6.8000000000000005E-4</v>
      </c>
      <c r="K9464" s="160" t="s">
        <v>145</v>
      </c>
      <c r="L9464" s="154" t="str">
        <f>IF(OpenLCAbasic!K9464="CTUh", "Fill in Manually",IF(OR(K9464="Unit", K9464=""), "", INDEX(LookUps!$E$5:$E$12, MATCH(OpenLCAbasic!K9464,LookUps!$D$5:$D$12,0))))</f>
        <v>Particulate Matter Formation Potential (PMFP) - kg PM2.5 eq</v>
      </c>
      <c r="M9464" s="154" t="str">
        <f t="shared" si="784"/>
        <v>Base_High_High_Upgraded_Particulate Matter Formation Potential (PMFP) - kg PM2.5 eq_Clear Cove Primary Clarification; wastewater treatment unit; at updated plant - US_Base_With Amendment_Aerated Static Pile</v>
      </c>
    </row>
    <row r="9465" spans="1:13" s="120" customFormat="1" x14ac:dyDescent="0.25">
      <c r="A9465" s="119"/>
      <c r="B9465" s="138" t="str">
        <f t="shared" ref="B9465:B9528" si="785">IF(F9465="Legacy","n.a.",IF(F9465="","","Aerated Static Pile"))</f>
        <v>Aerated Static Pile</v>
      </c>
      <c r="C9465" s="138" t="str">
        <f t="shared" ref="C9465:C9528" si="786">IF(ISNUMBER($J9465),"Base_With Amendment","")</f>
        <v>Base_With Amendment</v>
      </c>
      <c r="D9465" s="138" t="str">
        <f t="shared" si="783"/>
        <v>High_High</v>
      </c>
      <c r="E9465" s="138" t="str">
        <f t="shared" ref="E9465:E9511" si="787">IF(ISNUMBER($J9465),"Base","")</f>
        <v>Base</v>
      </c>
      <c r="F9465" s="138" t="str">
        <f t="shared" ref="F9465:F9528" si="788">IF(ISNUMBER(J9465),"Upgraded","")</f>
        <v>Upgraded</v>
      </c>
      <c r="G9465" s="153"/>
      <c r="H9465" s="210">
        <v>9.5000000000000001E-2</v>
      </c>
      <c r="I9465" s="160" t="s">
        <v>58</v>
      </c>
      <c r="J9465" s="160">
        <v>5.9000000000000003E-4</v>
      </c>
      <c r="K9465" s="160" t="s">
        <v>145</v>
      </c>
      <c r="L9465" s="154" t="str">
        <f>IF(OpenLCAbasic!K9465="CTUh", "Fill in Manually",IF(OR(K9465="Unit", K9465=""), "", INDEX(LookUps!$E$5:$E$12, MATCH(OpenLCAbasic!K9465,LookUps!$D$5:$D$12,0))))</f>
        <v>Particulate Matter Formation Potential (PMFP) - kg PM2.5 eq</v>
      </c>
      <c r="M9465" s="154" t="str">
        <f t="shared" si="784"/>
        <v>Base_High_High_Upgraded_Particulate Matter Formation Potential (PMFP) - kg PM2.5 eq_Pre-Anoxic &amp; Swing tank; wastewater treatment unit; at updated plant - US_Base_With Amendment_Aerated Static Pile</v>
      </c>
    </row>
    <row r="9466" spans="1:13" s="120" customFormat="1" x14ac:dyDescent="0.25">
      <c r="A9466" s="119"/>
      <c r="B9466" s="138" t="str">
        <f t="shared" si="785"/>
        <v>Aerated Static Pile</v>
      </c>
      <c r="C9466" s="138" t="str">
        <f t="shared" si="786"/>
        <v>Base_With Amendment</v>
      </c>
      <c r="D9466" s="138" t="str">
        <f t="shared" si="783"/>
        <v>High_High</v>
      </c>
      <c r="E9466" s="138" t="str">
        <f t="shared" si="787"/>
        <v>Base</v>
      </c>
      <c r="F9466" s="138" t="str">
        <f t="shared" si="788"/>
        <v>Upgraded</v>
      </c>
      <c r="G9466" s="153"/>
      <c r="H9466" s="210">
        <v>7.4999999999999997E-2</v>
      </c>
      <c r="I9466" s="160" t="s">
        <v>53</v>
      </c>
      <c r="J9466" s="160">
        <v>4.6999999999999999E-4</v>
      </c>
      <c r="K9466" s="160" t="s">
        <v>145</v>
      </c>
      <c r="L9466" s="154" t="str">
        <f>IF(OpenLCAbasic!K9466="CTUh", "Fill in Manually",IF(OR(K9466="Unit", K9466=""), "", INDEX(LookUps!$E$5:$E$12, MATCH(OpenLCAbasic!K9466,LookUps!$D$5:$D$12,0))))</f>
        <v>Particulate Matter Formation Potential (PMFP) - kg PM2.5 eq</v>
      </c>
      <c r="M9466" s="154" t="str">
        <f t="shared" si="784"/>
        <v>Base_High_High_Upgraded_Particulate Matter Formation Potential (PMFP) - kg PM2.5 eq_Wet Well and Sump Station; wastewater treatment unit; at updated plant - US_Base_With Amendment_Aerated Static Pile</v>
      </c>
    </row>
    <row r="9467" spans="1:13" s="120" customFormat="1" x14ac:dyDescent="0.25">
      <c r="A9467" s="119"/>
      <c r="B9467" s="138" t="str">
        <f t="shared" si="785"/>
        <v>Aerated Static Pile</v>
      </c>
      <c r="C9467" s="138" t="str">
        <f t="shared" si="786"/>
        <v>Base_With Amendment</v>
      </c>
      <c r="D9467" s="138" t="str">
        <f t="shared" si="783"/>
        <v>High_High</v>
      </c>
      <c r="E9467" s="138" t="str">
        <f t="shared" si="787"/>
        <v>Base</v>
      </c>
      <c r="F9467" s="138" t="str">
        <f t="shared" si="788"/>
        <v>Upgraded</v>
      </c>
      <c r="G9467" s="153"/>
      <c r="H9467" s="210">
        <v>5.33E-2</v>
      </c>
      <c r="I9467" s="160" t="s">
        <v>167</v>
      </c>
      <c r="J9467" s="160">
        <v>3.3E-4</v>
      </c>
      <c r="K9467" s="160" t="s">
        <v>145</v>
      </c>
      <c r="L9467" s="154" t="str">
        <f>IF(OpenLCAbasic!K9467="CTUh", "Fill in Manually",IF(OR(K9467="Unit", K9467=""), "", INDEX(LookUps!$E$5:$E$12, MATCH(OpenLCAbasic!K9467,LookUps!$D$5:$D$12,0))))</f>
        <v>Particulate Matter Formation Potential (PMFP) - kg PM2.5 eq</v>
      </c>
      <c r="M9467" s="154" t="str">
        <f t="shared" si="784"/>
        <v>Base_High_High_Upgraded_Particulate Matter Formation Potential (PMFP) - kg PM2.5 eq_Waste Receiving and Holding; wastewater treatment unit; at updated plant - US_Base_With Amendment_Aerated Static Pile</v>
      </c>
    </row>
    <row r="9468" spans="1:13" s="120" customFormat="1" x14ac:dyDescent="0.25">
      <c r="A9468" s="119"/>
      <c r="B9468" s="138" t="str">
        <f t="shared" si="785"/>
        <v>Aerated Static Pile</v>
      </c>
      <c r="C9468" s="138" t="str">
        <f t="shared" si="786"/>
        <v>Base_With Amendment</v>
      </c>
      <c r="D9468" s="138" t="str">
        <f t="shared" si="783"/>
        <v>High_High</v>
      </c>
      <c r="E9468" s="138" t="str">
        <f t="shared" si="787"/>
        <v>Base</v>
      </c>
      <c r="F9468" s="138" t="str">
        <f t="shared" si="788"/>
        <v>Upgraded</v>
      </c>
      <c r="G9468" s="153"/>
      <c r="H9468" s="210">
        <v>4.2900000000000001E-2</v>
      </c>
      <c r="I9468" s="160" t="s">
        <v>147</v>
      </c>
      <c r="J9468" s="160">
        <v>2.7E-4</v>
      </c>
      <c r="K9468" s="160" t="s">
        <v>145</v>
      </c>
      <c r="L9468" s="154" t="str">
        <f>IF(OpenLCAbasic!K9468="CTUh", "Fill in Manually",IF(OR(K9468="Unit", K9468=""), "", INDEX(LookUps!$E$5:$E$12, MATCH(OpenLCAbasic!K9468,LookUps!$D$5:$D$12,0))))</f>
        <v>Particulate Matter Formation Potential (PMFP) - kg PM2.5 eq</v>
      </c>
      <c r="M9468" s="154" t="str">
        <f t="shared" si="784"/>
        <v>Base_High_High_Upgraded_Particulate Matter Formation Potential (PMFP) - kg PM2.5 eq_Influent Pump Station; wastewater treatment unit; at updated plant - US_Base_With Amendment_Aerated Static Pile</v>
      </c>
    </row>
    <row r="9469" spans="1:13" s="120" customFormat="1" x14ac:dyDescent="0.25">
      <c r="A9469" s="119"/>
      <c r="B9469" s="138" t="str">
        <f t="shared" si="785"/>
        <v>Aerated Static Pile</v>
      </c>
      <c r="C9469" s="138" t="str">
        <f t="shared" si="786"/>
        <v>Base_With Amendment</v>
      </c>
      <c r="D9469" s="138" t="str">
        <f t="shared" si="783"/>
        <v>High_High</v>
      </c>
      <c r="E9469" s="138" t="str">
        <f t="shared" si="787"/>
        <v>Base</v>
      </c>
      <c r="F9469" s="138" t="str">
        <f t="shared" si="788"/>
        <v>Upgraded</v>
      </c>
      <c r="G9469" s="153"/>
      <c r="H9469" s="210">
        <v>3.0099999999999998E-2</v>
      </c>
      <c r="I9469" s="160" t="s">
        <v>60</v>
      </c>
      <c r="J9469" s="160">
        <v>1.9000000000000001E-4</v>
      </c>
      <c r="K9469" s="160" t="s">
        <v>145</v>
      </c>
      <c r="L9469" s="154" t="str">
        <f>IF(OpenLCAbasic!K9469="CTUh", "Fill in Manually",IF(OR(K9469="Unit", K9469=""), "", INDEX(LookUps!$E$5:$E$12, MATCH(OpenLCAbasic!K9469,LookUps!$D$5:$D$12,0))))</f>
        <v>Particulate Matter Formation Potential (PMFP) - kg PM2.5 eq</v>
      </c>
      <c r="M9469" s="154" t="str">
        <f t="shared" si="784"/>
        <v>Base_High_High_Upgraded_Particulate Matter Formation Potential (PMFP) - kg PM2.5 eq_Belt filter press; wastewater treatment unit; at updated plant - US_Base_With Amendment_Aerated Static Pile</v>
      </c>
    </row>
    <row r="9470" spans="1:13" s="120" customFormat="1" x14ac:dyDescent="0.25">
      <c r="A9470" s="119"/>
      <c r="B9470" s="138" t="str">
        <f t="shared" si="785"/>
        <v>Aerated Static Pile</v>
      </c>
      <c r="C9470" s="138" t="str">
        <f t="shared" si="786"/>
        <v>Base_With Amendment</v>
      </c>
      <c r="D9470" s="138" t="str">
        <f t="shared" si="783"/>
        <v>High_High</v>
      </c>
      <c r="E9470" s="138" t="str">
        <f t="shared" si="787"/>
        <v>Base</v>
      </c>
      <c r="F9470" s="138" t="str">
        <f t="shared" si="788"/>
        <v>Upgraded</v>
      </c>
      <c r="G9470" s="153"/>
      <c r="H9470" s="210">
        <v>2.6800000000000001E-2</v>
      </c>
      <c r="I9470" s="160" t="s">
        <v>128</v>
      </c>
      <c r="J9470" s="160">
        <v>1.7000000000000001E-4</v>
      </c>
      <c r="K9470" s="160" t="s">
        <v>145</v>
      </c>
      <c r="L9470" s="154" t="str">
        <f>IF(OpenLCAbasic!K9470="CTUh", "Fill in Manually",IF(OR(K9470="Unit", K9470=""), "", INDEX(LookUps!$E$5:$E$12, MATCH(OpenLCAbasic!K9470,LookUps!$D$5:$D$12,0))))</f>
        <v>Particulate Matter Formation Potential (PMFP) - kg PM2.5 eq</v>
      </c>
      <c r="M9470" s="154" t="str">
        <f t="shared" si="784"/>
        <v>Base_High_High_Upgraded_Particulate Matter Formation Potential (PMFP) - kg PM2.5 eq_Wastewater collection; operation and infrastructure; m3 wastewater_Base_With Amendment_Aerated Static Pile</v>
      </c>
    </row>
    <row r="9471" spans="1:13" s="120" customFormat="1" x14ac:dyDescent="0.25">
      <c r="A9471" s="119"/>
      <c r="B9471" s="138" t="str">
        <f t="shared" si="785"/>
        <v>Aerated Static Pile</v>
      </c>
      <c r="C9471" s="138" t="str">
        <f t="shared" si="786"/>
        <v>Base_With Amendment</v>
      </c>
      <c r="D9471" s="138" t="str">
        <f t="shared" si="783"/>
        <v>High_High</v>
      </c>
      <c r="E9471" s="138" t="str">
        <f t="shared" si="787"/>
        <v>Base</v>
      </c>
      <c r="F9471" s="138" t="str">
        <f t="shared" si="788"/>
        <v>Upgraded</v>
      </c>
      <c r="G9471" s="153"/>
      <c r="H9471" s="210">
        <v>1.5299999999999999E-2</v>
      </c>
      <c r="I9471" s="160" t="s">
        <v>57</v>
      </c>
      <c r="J9471" s="211">
        <v>9.5153800000000004E-5</v>
      </c>
      <c r="K9471" s="160" t="s">
        <v>145</v>
      </c>
      <c r="L9471" s="154" t="str">
        <f>IF(OpenLCAbasic!K9471="CTUh", "Fill in Manually",IF(OR(K9471="Unit", K9471=""), "", INDEX(LookUps!$E$5:$E$12, MATCH(OpenLCAbasic!K9471,LookUps!$D$5:$D$12,0))))</f>
        <v>Particulate Matter Formation Potential (PMFP) - kg PM2.5 eq</v>
      </c>
      <c r="M9471" s="154" t="str">
        <f t="shared" si="784"/>
        <v>Base_High_High_Upgraded_Particulate Matter Formation Potential (PMFP) - kg PM2.5 eq_Gravity Belt Thickener; wastewater treatment unit; at updated plant - US_Base_With Amendment_Aerated Static Pile</v>
      </c>
    </row>
    <row r="9472" spans="1:13" s="120" customFormat="1" x14ac:dyDescent="0.25">
      <c r="A9472" s="119"/>
      <c r="B9472" s="138" t="str">
        <f t="shared" si="785"/>
        <v>Aerated Static Pile</v>
      </c>
      <c r="C9472" s="138" t="str">
        <f t="shared" si="786"/>
        <v>Base_With Amendment</v>
      </c>
      <c r="D9472" s="138" t="str">
        <f t="shared" si="783"/>
        <v>High_High</v>
      </c>
      <c r="E9472" s="138" t="str">
        <f t="shared" si="787"/>
        <v>Base</v>
      </c>
      <c r="F9472" s="138" t="str">
        <f t="shared" si="788"/>
        <v>Upgraded</v>
      </c>
      <c r="G9472" s="153"/>
      <c r="H9472" s="210">
        <v>1.24E-2</v>
      </c>
      <c r="I9472" s="160" t="s">
        <v>62</v>
      </c>
      <c r="J9472" s="211">
        <v>7.7253499999999995E-5</v>
      </c>
      <c r="K9472" s="160" t="s">
        <v>145</v>
      </c>
      <c r="L9472" s="154" t="str">
        <f>IF(OpenLCAbasic!K9472="CTUh", "Fill in Manually",IF(OR(K9472="Unit", K9472=""), "", INDEX(LookUps!$E$5:$E$12, MATCH(OpenLCAbasic!K9472,LookUps!$D$5:$D$12,0))))</f>
        <v>Particulate Matter Formation Potential (PMFP) - kg PM2.5 eq</v>
      </c>
      <c r="M9472" s="154" t="str">
        <f t="shared" si="784"/>
        <v>Base_High_High_Upgraded_Particulate Matter Formation Potential (PMFP) - kg PM2.5 eq_Land application of compost; wastewater treatment unit; at updated plant - US_Base_With Amendment_Aerated Static Pile</v>
      </c>
    </row>
    <row r="9473" spans="1:13" s="120" customFormat="1" x14ac:dyDescent="0.25">
      <c r="A9473" s="119"/>
      <c r="B9473" s="138" t="str">
        <f t="shared" si="785"/>
        <v>Aerated Static Pile</v>
      </c>
      <c r="C9473" s="138" t="str">
        <f t="shared" si="786"/>
        <v>Base_With Amendment</v>
      </c>
      <c r="D9473" s="138" t="str">
        <f t="shared" si="783"/>
        <v>High_High</v>
      </c>
      <c r="E9473" s="138" t="str">
        <f t="shared" si="787"/>
        <v>Base</v>
      </c>
      <c r="F9473" s="138" t="str">
        <f t="shared" si="788"/>
        <v>Upgraded</v>
      </c>
      <c r="G9473" s="153"/>
      <c r="H9473" s="210">
        <v>1.12E-2</v>
      </c>
      <c r="I9473" s="160" t="s">
        <v>59</v>
      </c>
      <c r="J9473" s="211">
        <v>6.9942200000000003E-5</v>
      </c>
      <c r="K9473" s="160" t="s">
        <v>145</v>
      </c>
      <c r="L9473" s="154" t="str">
        <f>IF(OpenLCAbasic!K9473="CTUh", "Fill in Manually",IF(OR(K9473="Unit", K9473=""), "", INDEX(LookUps!$E$5:$E$12, MATCH(OpenLCAbasic!K9473,LookUps!$D$5:$D$12,0))))</f>
        <v>Particulate Matter Formation Potential (PMFP) - kg PM2.5 eq</v>
      </c>
      <c r="M9473" s="154" t="str">
        <f t="shared" si="784"/>
        <v>Base_High_High_Upgraded_Particulate Matter Formation Potential (PMFP) - kg PM2.5 eq_Blend Tank; wastewater treatment unit; at updated plant - US_Base_With Amendment_Aerated Static Pile</v>
      </c>
    </row>
    <row r="9474" spans="1:13" s="120" customFormat="1" x14ac:dyDescent="0.25">
      <c r="A9474" s="119"/>
      <c r="B9474" s="138" t="str">
        <f t="shared" si="785"/>
        <v>Aerated Static Pile</v>
      </c>
      <c r="C9474" s="138" t="str">
        <f t="shared" si="786"/>
        <v>Base_With Amendment</v>
      </c>
      <c r="D9474" s="138" t="str">
        <f t="shared" si="783"/>
        <v>High_High</v>
      </c>
      <c r="E9474" s="138" t="str">
        <f t="shared" si="787"/>
        <v>Base</v>
      </c>
      <c r="F9474" s="138" t="str">
        <f t="shared" si="788"/>
        <v>Upgraded</v>
      </c>
      <c r="G9474" s="153"/>
      <c r="H9474" s="210">
        <v>8.0000000000000002E-3</v>
      </c>
      <c r="I9474" s="160" t="s">
        <v>48</v>
      </c>
      <c r="J9474" s="211">
        <v>4.99741E-5</v>
      </c>
      <c r="K9474" s="160" t="s">
        <v>145</v>
      </c>
      <c r="L9474" s="154" t="str">
        <f>IF(OpenLCAbasic!K9474="CTUh", "Fill in Manually",IF(OR(K9474="Unit", K9474=""), "", INDEX(LookUps!$E$5:$E$12, MATCH(OpenLCAbasic!K9474,LookUps!$D$5:$D$12,0))))</f>
        <v>Particulate Matter Formation Potential (PMFP) - kg PM2.5 eq</v>
      </c>
      <c r="M9474" s="154" t="str">
        <f t="shared" si="784"/>
        <v>Base_High_High_Upgraded_Particulate Matter Formation Potential (PMFP) - kg PM2.5 eq_Effluent release; wastewater treatment unit; at surface water; m3 wastewater - US_Base_With Amendment_Aerated Static Pile</v>
      </c>
    </row>
    <row r="9475" spans="1:13" s="120" customFormat="1" x14ac:dyDescent="0.25">
      <c r="A9475" s="119"/>
      <c r="B9475" s="138" t="str">
        <f t="shared" si="785"/>
        <v>Aerated Static Pile</v>
      </c>
      <c r="C9475" s="138" t="str">
        <f t="shared" si="786"/>
        <v>Base_With Amendment</v>
      </c>
      <c r="D9475" s="138" t="str">
        <f t="shared" si="783"/>
        <v>High_High</v>
      </c>
      <c r="E9475" s="138" t="str">
        <f t="shared" si="787"/>
        <v>Base</v>
      </c>
      <c r="F9475" s="138" t="str">
        <f t="shared" si="788"/>
        <v>Upgraded</v>
      </c>
      <c r="G9475" s="153"/>
      <c r="H9475" s="210">
        <v>5.5999999999999999E-3</v>
      </c>
      <c r="I9475" s="160" t="s">
        <v>168</v>
      </c>
      <c r="J9475" s="211">
        <v>3.4562199999999999E-5</v>
      </c>
      <c r="K9475" s="160" t="s">
        <v>145</v>
      </c>
      <c r="L9475" s="154" t="str">
        <f>IF(OpenLCAbasic!K9475="CTUh", "Fill in Manually",IF(OR(K9475="Unit", K9475=""), "", INDEX(LookUps!$E$5:$E$12, MATCH(OpenLCAbasic!K9475,LookUps!$D$5:$D$12,0))))</f>
        <v>Particulate Matter Formation Potential (PMFP) - kg PM2.5 eq</v>
      </c>
      <c r="M9475" s="154" t="str">
        <f t="shared" si="784"/>
        <v>Base_High_High_Upgraded_Particulate Matter Formation Potential (PMFP) - kg PM2.5 eq_ClearCove SCP; wastewater treatment unit; at updated plant - US_Base_With Amendment_Aerated Static Pile</v>
      </c>
    </row>
    <row r="9476" spans="1:13" s="120" customFormat="1" x14ac:dyDescent="0.25">
      <c r="A9476" s="119"/>
      <c r="B9476" s="138" t="str">
        <f t="shared" si="785"/>
        <v>Aerated Static Pile</v>
      </c>
      <c r="C9476" s="138" t="str">
        <f t="shared" si="786"/>
        <v>Base_With Amendment</v>
      </c>
      <c r="D9476" s="138" t="str">
        <f t="shared" si="783"/>
        <v>High_High</v>
      </c>
      <c r="E9476" s="138" t="str">
        <f t="shared" si="787"/>
        <v>Base</v>
      </c>
      <c r="F9476" s="138" t="str">
        <f t="shared" si="788"/>
        <v>Upgraded</v>
      </c>
      <c r="G9476" s="153"/>
      <c r="H9476" s="210">
        <v>1.4E-3</v>
      </c>
      <c r="I9476" s="160" t="s">
        <v>148</v>
      </c>
      <c r="J9476" s="211">
        <v>8.8212999999999997E-6</v>
      </c>
      <c r="K9476" s="160" t="s">
        <v>145</v>
      </c>
      <c r="L9476" s="154" t="str">
        <f>IF(OpenLCAbasic!K9476="CTUh", "Fill in Manually",IF(OR(K9476="Unit", K9476=""), "", INDEX(LookUps!$E$5:$E$12, MATCH(OpenLCAbasic!K9476,LookUps!$D$5:$D$12,0))))</f>
        <v>Particulate Matter Formation Potential (PMFP) - kg PM2.5 eq</v>
      </c>
      <c r="M9476" s="154" t="str">
        <f t="shared" si="784"/>
        <v>Base_High_High_Upgraded_Particulate Matter Formation Potential (PMFP) - kg PM2.5 eq_Control Building; at upgraded wastewater treatment plant - US_Base_With Amendment_Aerated Static Pile</v>
      </c>
    </row>
    <row r="9477" spans="1:13" s="120" customFormat="1" x14ac:dyDescent="0.25">
      <c r="A9477" s="119"/>
      <c r="B9477" s="138" t="str">
        <f t="shared" si="785"/>
        <v>Aerated Static Pile</v>
      </c>
      <c r="C9477" s="138" t="str">
        <f t="shared" si="786"/>
        <v>Base_With Amendment</v>
      </c>
      <c r="D9477" s="138" t="str">
        <f t="shared" si="783"/>
        <v>High_High</v>
      </c>
      <c r="E9477" s="138" t="str">
        <f t="shared" si="787"/>
        <v>Base</v>
      </c>
      <c r="F9477" s="138" t="str">
        <f t="shared" si="788"/>
        <v>Upgraded</v>
      </c>
      <c r="G9477" s="153"/>
      <c r="H9477" s="210">
        <v>-2.1036999999999999</v>
      </c>
      <c r="I9477" s="160" t="s">
        <v>149</v>
      </c>
      <c r="J9477" s="160">
        <v>-1.3089999999999999E-2</v>
      </c>
      <c r="K9477" s="160" t="s">
        <v>145</v>
      </c>
      <c r="L9477" s="154" t="str">
        <f>IF(OpenLCAbasic!K9477="CTUh", "Fill in Manually",IF(OR(K9477="Unit", K9477=""), "", INDEX(LookUps!$E$5:$E$12, MATCH(OpenLCAbasic!K9477,LookUps!$D$5:$D$12,0))))</f>
        <v>Particulate Matter Formation Potential (PMFP) - kg PM2.5 eq</v>
      </c>
      <c r="M9477" s="154" t="str">
        <f t="shared" si="784"/>
        <v>Base_High_High_Upgraded_Particulate Matter Formation Potential (PMFP) - kg PM2.5 eq_Anaerobic Digestion; wastewater treatment unit; at updated plant - US_Base_With Amendment_Aerated Static Pile</v>
      </c>
    </row>
    <row r="9478" spans="1:13" s="120" customFormat="1" x14ac:dyDescent="0.25">
      <c r="A9478" s="119"/>
      <c r="B9478" s="138" t="str">
        <f t="shared" si="785"/>
        <v/>
      </c>
      <c r="C9478" s="138" t="str">
        <f t="shared" si="786"/>
        <v/>
      </c>
      <c r="D9478" s="138" t="str">
        <f t="shared" si="783"/>
        <v/>
      </c>
      <c r="E9478" s="138" t="str">
        <f t="shared" si="787"/>
        <v/>
      </c>
      <c r="F9478" s="138" t="str">
        <f t="shared" si="788"/>
        <v/>
      </c>
      <c r="G9478" s="153" t="s">
        <v>51</v>
      </c>
      <c r="H9478" s="160"/>
      <c r="I9478" s="160" t="s">
        <v>47</v>
      </c>
      <c r="J9478" s="160" t="s">
        <v>52</v>
      </c>
      <c r="K9478" s="160" t="s">
        <v>27</v>
      </c>
      <c r="L9478" s="154" t="str">
        <f>IF(OpenLCAbasic!K9478="CTUh", "Fill in Manually",IF(OR(K9478="Unit", K9478=""), "", INDEX(LookUps!$E$5:$E$12, MATCH(OpenLCAbasic!K9478,LookUps!$D$5:$D$12,0))))</f>
        <v/>
      </c>
      <c r="M9478" s="154" t="str">
        <f t="shared" si="784"/>
        <v>____Process__</v>
      </c>
    </row>
    <row r="9479" spans="1:13" s="120" customFormat="1" x14ac:dyDescent="0.25">
      <c r="A9479" s="119"/>
      <c r="B9479" s="138" t="str">
        <f t="shared" si="785"/>
        <v>Aerated Static Pile</v>
      </c>
      <c r="C9479" s="138" t="str">
        <f t="shared" si="786"/>
        <v>Base_With Amendment</v>
      </c>
      <c r="D9479" s="138" t="str">
        <f t="shared" si="783"/>
        <v>High_High</v>
      </c>
      <c r="E9479" s="138" t="str">
        <f t="shared" si="787"/>
        <v>Base</v>
      </c>
      <c r="F9479" s="138" t="str">
        <f t="shared" si="788"/>
        <v>Upgraded</v>
      </c>
      <c r="G9479" s="153"/>
      <c r="H9479" s="210">
        <v>0.37259999999999999</v>
      </c>
      <c r="I9479" s="160" t="s">
        <v>55</v>
      </c>
      <c r="J9479" s="160">
        <v>0.16577</v>
      </c>
      <c r="K9479" s="160" t="s">
        <v>25</v>
      </c>
      <c r="L9479" s="154" t="str">
        <f>IF(OpenLCAbasic!K9479="CTUh", "Fill in Manually",IF(OR(K9479="Unit", K9479=""), "", INDEX(LookUps!$E$5:$E$12, MATCH(OpenLCAbasic!K9479,LookUps!$D$5:$D$12,0))))</f>
        <v>Smog Formation Potential (SFP) - kg O3 eq</v>
      </c>
      <c r="M9479" s="154" t="str">
        <f t="shared" si="784"/>
        <v>Base_High_High_Upgraded_Smog Formation Potential (SFP) - kg O3 eq_Aeration Tanks; wastewater treatment unit; at updated plant - US_Base_With Amendment_Aerated Static Pile</v>
      </c>
    </row>
    <row r="9480" spans="1:13" s="120" customFormat="1" x14ac:dyDescent="0.25">
      <c r="A9480" s="119"/>
      <c r="B9480" s="138" t="str">
        <f t="shared" si="785"/>
        <v>Aerated Static Pile</v>
      </c>
      <c r="C9480" s="138" t="str">
        <f t="shared" si="786"/>
        <v>Base_With Amendment</v>
      </c>
      <c r="D9480" s="138" t="str">
        <f t="shared" si="783"/>
        <v>High_High</v>
      </c>
      <c r="E9480" s="138" t="str">
        <f t="shared" si="787"/>
        <v>Base</v>
      </c>
      <c r="F9480" s="138" t="str">
        <f t="shared" si="788"/>
        <v>Upgraded</v>
      </c>
      <c r="G9480" s="153"/>
      <c r="H9480" s="210">
        <v>0.2384</v>
      </c>
      <c r="I9480" s="160" t="s">
        <v>435</v>
      </c>
      <c r="J9480" s="160">
        <v>0.10607</v>
      </c>
      <c r="K9480" s="160" t="s">
        <v>25</v>
      </c>
      <c r="L9480" s="154" t="str">
        <f>IF(OpenLCAbasic!K9480="CTUh", "Fill in Manually",IF(OR(K9480="Unit", K9480=""), "", INDEX(LookUps!$E$5:$E$12, MATCH(OpenLCAbasic!K9480,LookUps!$D$5:$D$12,0))))</f>
        <v>Smog Formation Potential (SFP) - kg O3 eq</v>
      </c>
      <c r="M9480" s="154" t="str">
        <f t="shared" si="784"/>
        <v>Base_High_High_Upgraded_Smog Formation Potential (SFP) - kg O3 eq_Biosolids composting; aerated static pile; wastewater treatment unit; at updated plant - US_Base_With Amendment_Aerated Static Pile</v>
      </c>
    </row>
    <row r="9481" spans="1:13" s="120" customFormat="1" x14ac:dyDescent="0.25">
      <c r="A9481" s="119"/>
      <c r="B9481" s="138" t="str">
        <f t="shared" si="785"/>
        <v>Aerated Static Pile</v>
      </c>
      <c r="C9481" s="138" t="str">
        <f t="shared" si="786"/>
        <v>Base_With Amendment</v>
      </c>
      <c r="D9481" s="138" t="str">
        <f t="shared" si="783"/>
        <v>High_High</v>
      </c>
      <c r="E9481" s="138" t="str">
        <f t="shared" si="787"/>
        <v>Base</v>
      </c>
      <c r="F9481" s="138" t="str">
        <f t="shared" si="788"/>
        <v>Upgraded</v>
      </c>
      <c r="G9481" s="153"/>
      <c r="H9481" s="210">
        <v>0.1081</v>
      </c>
      <c r="I9481" s="160" t="s">
        <v>54</v>
      </c>
      <c r="J9481" s="160">
        <v>4.8070000000000002E-2</v>
      </c>
      <c r="K9481" s="160" t="s">
        <v>25</v>
      </c>
      <c r="L9481" s="154" t="str">
        <f>IF(OpenLCAbasic!K9481="CTUh", "Fill in Manually",IF(OR(K9481="Unit", K9481=""), "", INDEX(LookUps!$E$5:$E$12, MATCH(OpenLCAbasic!K9481,LookUps!$D$5:$D$12,0))))</f>
        <v>Smog Formation Potential (SFP) - kg O3 eq</v>
      </c>
      <c r="M9481" s="154" t="str">
        <f t="shared" si="784"/>
        <v>Base_High_High_Upgraded_Smog Formation Potential (SFP) - kg O3 eq_Clear Cove Primary Clarification; wastewater treatment unit; at updated plant - US_Base_With Amendment_Aerated Static Pile</v>
      </c>
    </row>
    <row r="9482" spans="1:13" s="120" customFormat="1" x14ac:dyDescent="0.25">
      <c r="A9482" s="119"/>
      <c r="B9482" s="138" t="str">
        <f t="shared" si="785"/>
        <v>Aerated Static Pile</v>
      </c>
      <c r="C9482" s="138" t="str">
        <f t="shared" si="786"/>
        <v>Base_With Amendment</v>
      </c>
      <c r="D9482" s="138" t="str">
        <f t="shared" si="783"/>
        <v>High_High</v>
      </c>
      <c r="E9482" s="138" t="str">
        <f t="shared" si="787"/>
        <v>Base</v>
      </c>
      <c r="F9482" s="138" t="str">
        <f t="shared" si="788"/>
        <v>Upgraded</v>
      </c>
      <c r="G9482" s="153"/>
      <c r="H9482" s="210">
        <v>9.4600000000000004E-2</v>
      </c>
      <c r="I9482" s="160" t="s">
        <v>58</v>
      </c>
      <c r="J9482" s="160">
        <v>4.2090000000000002E-2</v>
      </c>
      <c r="K9482" s="160" t="s">
        <v>25</v>
      </c>
      <c r="L9482" s="154" t="str">
        <f>IF(OpenLCAbasic!K9482="CTUh", "Fill in Manually",IF(OR(K9482="Unit", K9482=""), "", INDEX(LookUps!$E$5:$E$12, MATCH(OpenLCAbasic!K9482,LookUps!$D$5:$D$12,0))))</f>
        <v>Smog Formation Potential (SFP) - kg O3 eq</v>
      </c>
      <c r="M9482" s="154" t="str">
        <f t="shared" si="784"/>
        <v>Base_High_High_Upgraded_Smog Formation Potential (SFP) - kg O3 eq_Pre-Anoxic &amp; Swing tank; wastewater treatment unit; at updated plant - US_Base_With Amendment_Aerated Static Pile</v>
      </c>
    </row>
    <row r="9483" spans="1:13" s="120" customFormat="1" x14ac:dyDescent="0.25">
      <c r="A9483" s="119"/>
      <c r="B9483" s="138" t="str">
        <f t="shared" si="785"/>
        <v>Aerated Static Pile</v>
      </c>
      <c r="C9483" s="138" t="str">
        <f t="shared" si="786"/>
        <v>Base_With Amendment</v>
      </c>
      <c r="D9483" s="138" t="str">
        <f t="shared" si="783"/>
        <v>High_High</v>
      </c>
      <c r="E9483" s="138" t="str">
        <f t="shared" si="787"/>
        <v>Base</v>
      </c>
      <c r="F9483" s="138" t="str">
        <f t="shared" si="788"/>
        <v>Upgraded</v>
      </c>
      <c r="G9483" s="153"/>
      <c r="H9483" s="210">
        <v>7.5899999999999995E-2</v>
      </c>
      <c r="I9483" s="160" t="s">
        <v>167</v>
      </c>
      <c r="J9483" s="160">
        <v>3.3759999999999998E-2</v>
      </c>
      <c r="K9483" s="160" t="s">
        <v>25</v>
      </c>
      <c r="L9483" s="154" t="str">
        <f>IF(OpenLCAbasic!K9483="CTUh", "Fill in Manually",IF(OR(K9483="Unit", K9483=""), "", INDEX(LookUps!$E$5:$E$12, MATCH(OpenLCAbasic!K9483,LookUps!$D$5:$D$12,0))))</f>
        <v>Smog Formation Potential (SFP) - kg O3 eq</v>
      </c>
      <c r="M9483" s="154" t="str">
        <f t="shared" si="784"/>
        <v>Base_High_High_Upgraded_Smog Formation Potential (SFP) - kg O3 eq_Waste Receiving and Holding; wastewater treatment unit; at updated plant - US_Base_With Amendment_Aerated Static Pile</v>
      </c>
    </row>
    <row r="9484" spans="1:13" s="120" customFormat="1" x14ac:dyDescent="0.25">
      <c r="A9484" s="119"/>
      <c r="B9484" s="138" t="str">
        <f t="shared" si="785"/>
        <v>Aerated Static Pile</v>
      </c>
      <c r="C9484" s="138" t="str">
        <f t="shared" si="786"/>
        <v>Base_With Amendment</v>
      </c>
      <c r="D9484" s="138" t="str">
        <f t="shared" si="783"/>
        <v>High_High</v>
      </c>
      <c r="E9484" s="138" t="str">
        <f t="shared" si="787"/>
        <v>Base</v>
      </c>
      <c r="F9484" s="138" t="str">
        <f t="shared" si="788"/>
        <v>Upgraded</v>
      </c>
      <c r="G9484" s="153"/>
      <c r="H9484" s="210">
        <v>7.4499999999999997E-2</v>
      </c>
      <c r="I9484" s="160" t="s">
        <v>53</v>
      </c>
      <c r="J9484" s="160">
        <v>3.313E-2</v>
      </c>
      <c r="K9484" s="160" t="s">
        <v>25</v>
      </c>
      <c r="L9484" s="154" t="str">
        <f>IF(OpenLCAbasic!K9484="CTUh", "Fill in Manually",IF(OR(K9484="Unit", K9484=""), "", INDEX(LookUps!$E$5:$E$12, MATCH(OpenLCAbasic!K9484,LookUps!$D$5:$D$12,0))))</f>
        <v>Smog Formation Potential (SFP) - kg O3 eq</v>
      </c>
      <c r="M9484" s="154" t="str">
        <f t="shared" si="784"/>
        <v>Base_High_High_Upgraded_Smog Formation Potential (SFP) - kg O3 eq_Wet Well and Sump Station; wastewater treatment unit; at updated plant - US_Base_With Amendment_Aerated Static Pile</v>
      </c>
    </row>
    <row r="9485" spans="1:13" s="120" customFormat="1" x14ac:dyDescent="0.25">
      <c r="A9485" s="119"/>
      <c r="B9485" s="138" t="str">
        <f t="shared" si="785"/>
        <v>Aerated Static Pile</v>
      </c>
      <c r="C9485" s="138" t="str">
        <f t="shared" si="786"/>
        <v>Base_With Amendment</v>
      </c>
      <c r="D9485" s="138" t="str">
        <f t="shared" si="783"/>
        <v>High_High</v>
      </c>
      <c r="E9485" s="138" t="str">
        <f t="shared" si="787"/>
        <v>Base</v>
      </c>
      <c r="F9485" s="138" t="str">
        <f t="shared" si="788"/>
        <v>Upgraded</v>
      </c>
      <c r="G9485" s="153"/>
      <c r="H9485" s="210">
        <v>4.36E-2</v>
      </c>
      <c r="I9485" s="160" t="s">
        <v>147</v>
      </c>
      <c r="J9485" s="160">
        <v>1.9400000000000001E-2</v>
      </c>
      <c r="K9485" s="160" t="s">
        <v>25</v>
      </c>
      <c r="L9485" s="154" t="str">
        <f>IF(OpenLCAbasic!K9485="CTUh", "Fill in Manually",IF(OR(K9485="Unit", K9485=""), "", INDEX(LookUps!$E$5:$E$12, MATCH(OpenLCAbasic!K9485,LookUps!$D$5:$D$12,0))))</f>
        <v>Smog Formation Potential (SFP) - kg O3 eq</v>
      </c>
      <c r="M9485" s="154" t="str">
        <f t="shared" si="784"/>
        <v>Base_High_High_Upgraded_Smog Formation Potential (SFP) - kg O3 eq_Influent Pump Station; wastewater treatment unit; at updated plant - US_Base_With Amendment_Aerated Static Pile</v>
      </c>
    </row>
    <row r="9486" spans="1:13" s="120" customFormat="1" x14ac:dyDescent="0.25">
      <c r="A9486" s="119"/>
      <c r="B9486" s="138" t="str">
        <f t="shared" si="785"/>
        <v>Aerated Static Pile</v>
      </c>
      <c r="C9486" s="138" t="str">
        <f t="shared" si="786"/>
        <v>Base_With Amendment</v>
      </c>
      <c r="D9486" s="138" t="str">
        <f t="shared" si="783"/>
        <v>High_High</v>
      </c>
      <c r="E9486" s="138" t="str">
        <f t="shared" si="787"/>
        <v>Base</v>
      </c>
      <c r="F9486" s="138" t="str">
        <f t="shared" si="788"/>
        <v>Upgraded</v>
      </c>
      <c r="G9486" s="153"/>
      <c r="H9486" s="210">
        <v>2.9600000000000001E-2</v>
      </c>
      <c r="I9486" s="160" t="s">
        <v>60</v>
      </c>
      <c r="J9486" s="160">
        <v>1.316E-2</v>
      </c>
      <c r="K9486" s="160" t="s">
        <v>25</v>
      </c>
      <c r="L9486" s="154" t="str">
        <f>IF(OpenLCAbasic!K9486="CTUh", "Fill in Manually",IF(OR(K9486="Unit", K9486=""), "", INDEX(LookUps!$E$5:$E$12, MATCH(OpenLCAbasic!K9486,LookUps!$D$5:$D$12,0))))</f>
        <v>Smog Formation Potential (SFP) - kg O3 eq</v>
      </c>
      <c r="M9486" s="154" t="str">
        <f t="shared" si="784"/>
        <v>Base_High_High_Upgraded_Smog Formation Potential (SFP) - kg O3 eq_Belt filter press; wastewater treatment unit; at updated plant - US_Base_With Amendment_Aerated Static Pile</v>
      </c>
    </row>
    <row r="9487" spans="1:13" s="120" customFormat="1" x14ac:dyDescent="0.25">
      <c r="A9487" s="119"/>
      <c r="B9487" s="138" t="str">
        <f t="shared" si="785"/>
        <v>Aerated Static Pile</v>
      </c>
      <c r="C9487" s="138" t="str">
        <f t="shared" si="786"/>
        <v>Base_With Amendment</v>
      </c>
      <c r="D9487" s="138" t="str">
        <f t="shared" si="783"/>
        <v>High_High</v>
      </c>
      <c r="E9487" s="138" t="str">
        <f t="shared" si="787"/>
        <v>Base</v>
      </c>
      <c r="F9487" s="138" t="str">
        <f t="shared" si="788"/>
        <v>Upgraded</v>
      </c>
      <c r="G9487" s="153"/>
      <c r="H9487" s="210">
        <v>2.6800000000000001E-2</v>
      </c>
      <c r="I9487" s="160" t="s">
        <v>128</v>
      </c>
      <c r="J9487" s="160">
        <v>1.192E-2</v>
      </c>
      <c r="K9487" s="160" t="s">
        <v>25</v>
      </c>
      <c r="L9487" s="154" t="str">
        <f>IF(OpenLCAbasic!K9487="CTUh", "Fill in Manually",IF(OR(K9487="Unit", K9487=""), "", INDEX(LookUps!$E$5:$E$12, MATCH(OpenLCAbasic!K9487,LookUps!$D$5:$D$12,0))))</f>
        <v>Smog Formation Potential (SFP) - kg O3 eq</v>
      </c>
      <c r="M9487" s="154" t="str">
        <f t="shared" si="784"/>
        <v>Base_High_High_Upgraded_Smog Formation Potential (SFP) - kg O3 eq_Wastewater collection; operation and infrastructure; m3 wastewater_Base_With Amendment_Aerated Static Pile</v>
      </c>
    </row>
    <row r="9488" spans="1:13" s="120" customFormat="1" x14ac:dyDescent="0.25">
      <c r="A9488" s="119"/>
      <c r="B9488" s="138" t="str">
        <f t="shared" si="785"/>
        <v>Aerated Static Pile</v>
      </c>
      <c r="C9488" s="138" t="str">
        <f t="shared" si="786"/>
        <v>Base_With Amendment</v>
      </c>
      <c r="D9488" s="138" t="str">
        <f t="shared" si="783"/>
        <v>High_High</v>
      </c>
      <c r="E9488" s="138" t="str">
        <f t="shared" si="787"/>
        <v>Base</v>
      </c>
      <c r="F9488" s="138" t="str">
        <f t="shared" si="788"/>
        <v>Upgraded</v>
      </c>
      <c r="G9488" s="153"/>
      <c r="H9488" s="210">
        <v>1.4999999999999999E-2</v>
      </c>
      <c r="I9488" s="160" t="s">
        <v>57</v>
      </c>
      <c r="J9488" s="160">
        <v>6.6499999999999997E-3</v>
      </c>
      <c r="K9488" s="160" t="s">
        <v>25</v>
      </c>
      <c r="L9488" s="154" t="str">
        <f>IF(OpenLCAbasic!K9488="CTUh", "Fill in Manually",IF(OR(K9488="Unit", K9488=""), "", INDEX(LookUps!$E$5:$E$12, MATCH(OpenLCAbasic!K9488,LookUps!$D$5:$D$12,0))))</f>
        <v>Smog Formation Potential (SFP) - kg O3 eq</v>
      </c>
      <c r="M9488" s="154" t="str">
        <f t="shared" si="784"/>
        <v>Base_High_High_Upgraded_Smog Formation Potential (SFP) - kg O3 eq_Gravity Belt Thickener; wastewater treatment unit; at updated plant - US_Base_With Amendment_Aerated Static Pile</v>
      </c>
    </row>
    <row r="9489" spans="1:13" s="120" customFormat="1" x14ac:dyDescent="0.25">
      <c r="A9489" s="119"/>
      <c r="B9489" s="138" t="str">
        <f t="shared" si="785"/>
        <v>Aerated Static Pile</v>
      </c>
      <c r="C9489" s="138" t="str">
        <f t="shared" si="786"/>
        <v>Base_With Amendment</v>
      </c>
      <c r="D9489" s="138" t="str">
        <f t="shared" si="783"/>
        <v>High_High</v>
      </c>
      <c r="E9489" s="138" t="str">
        <f t="shared" si="787"/>
        <v>Base</v>
      </c>
      <c r="F9489" s="138" t="str">
        <f t="shared" si="788"/>
        <v>Upgraded</v>
      </c>
      <c r="G9489" s="153"/>
      <c r="H9489" s="210">
        <v>1.12E-2</v>
      </c>
      <c r="I9489" s="160" t="s">
        <v>59</v>
      </c>
      <c r="J9489" s="160">
        <v>4.9699999999999996E-3</v>
      </c>
      <c r="K9489" s="160" t="s">
        <v>25</v>
      </c>
      <c r="L9489" s="154" t="str">
        <f>IF(OpenLCAbasic!K9489="CTUh", "Fill in Manually",IF(OR(K9489="Unit", K9489=""), "", INDEX(LookUps!$E$5:$E$12, MATCH(OpenLCAbasic!K9489,LookUps!$D$5:$D$12,0))))</f>
        <v>Smog Formation Potential (SFP) - kg O3 eq</v>
      </c>
      <c r="M9489" s="154" t="str">
        <f t="shared" si="784"/>
        <v>Base_High_High_Upgraded_Smog Formation Potential (SFP) - kg O3 eq_Blend Tank; wastewater treatment unit; at updated plant - US_Base_With Amendment_Aerated Static Pile</v>
      </c>
    </row>
    <row r="9490" spans="1:13" s="120" customFormat="1" x14ac:dyDescent="0.25">
      <c r="A9490" s="119"/>
      <c r="B9490" s="138" t="str">
        <f t="shared" si="785"/>
        <v>Aerated Static Pile</v>
      </c>
      <c r="C9490" s="138" t="str">
        <f t="shared" si="786"/>
        <v>Base_With Amendment</v>
      </c>
      <c r="D9490" s="138" t="str">
        <f t="shared" si="783"/>
        <v>High_High</v>
      </c>
      <c r="E9490" s="138" t="str">
        <f t="shared" si="787"/>
        <v>Base</v>
      </c>
      <c r="F9490" s="138" t="str">
        <f t="shared" si="788"/>
        <v>Upgraded</v>
      </c>
      <c r="G9490" s="153"/>
      <c r="H9490" s="210">
        <v>7.6E-3</v>
      </c>
      <c r="I9490" s="160" t="s">
        <v>48</v>
      </c>
      <c r="J9490" s="160">
        <v>3.3899999999999998E-3</v>
      </c>
      <c r="K9490" s="160" t="s">
        <v>25</v>
      </c>
      <c r="L9490" s="154" t="str">
        <f>IF(OpenLCAbasic!K9490="CTUh", "Fill in Manually",IF(OR(K9490="Unit", K9490=""), "", INDEX(LookUps!$E$5:$E$12, MATCH(OpenLCAbasic!K9490,LookUps!$D$5:$D$12,0))))</f>
        <v>Smog Formation Potential (SFP) - kg O3 eq</v>
      </c>
      <c r="M9490" s="154" t="str">
        <f t="shared" si="784"/>
        <v>Base_High_High_Upgraded_Smog Formation Potential (SFP) - kg O3 eq_Effluent release; wastewater treatment unit; at surface water; m3 wastewater - US_Base_With Amendment_Aerated Static Pile</v>
      </c>
    </row>
    <row r="9491" spans="1:13" s="120" customFormat="1" x14ac:dyDescent="0.25">
      <c r="A9491" s="119"/>
      <c r="B9491" s="138" t="str">
        <f t="shared" si="785"/>
        <v>Aerated Static Pile</v>
      </c>
      <c r="C9491" s="138" t="str">
        <f t="shared" si="786"/>
        <v>Base_With Amendment</v>
      </c>
      <c r="D9491" s="138" t="str">
        <f t="shared" si="783"/>
        <v>High_High</v>
      </c>
      <c r="E9491" s="138" t="str">
        <f t="shared" si="787"/>
        <v>Base</v>
      </c>
      <c r="F9491" s="138" t="str">
        <f t="shared" si="788"/>
        <v>Upgraded</v>
      </c>
      <c r="G9491" s="153"/>
      <c r="H9491" s="210">
        <v>5.4999999999999997E-3</v>
      </c>
      <c r="I9491" s="160" t="s">
        <v>168</v>
      </c>
      <c r="J9491" s="160">
        <v>2.4599999999999999E-3</v>
      </c>
      <c r="K9491" s="160" t="s">
        <v>25</v>
      </c>
      <c r="L9491" s="154" t="str">
        <f>IF(OpenLCAbasic!K9491="CTUh", "Fill in Manually",IF(OR(K9491="Unit", K9491=""), "", INDEX(LookUps!$E$5:$E$12, MATCH(OpenLCAbasic!K9491,LookUps!$D$5:$D$12,0))))</f>
        <v>Smog Formation Potential (SFP) - kg O3 eq</v>
      </c>
      <c r="M9491" s="154" t="str">
        <f t="shared" si="784"/>
        <v>Base_High_High_Upgraded_Smog Formation Potential (SFP) - kg O3 eq_ClearCove SCP; wastewater treatment unit; at updated plant - US_Base_With Amendment_Aerated Static Pile</v>
      </c>
    </row>
    <row r="9492" spans="1:13" s="120" customFormat="1" x14ac:dyDescent="0.25">
      <c r="A9492" s="119"/>
      <c r="B9492" s="138" t="str">
        <f t="shared" si="785"/>
        <v>Aerated Static Pile</v>
      </c>
      <c r="C9492" s="138" t="str">
        <f t="shared" si="786"/>
        <v>Base_With Amendment</v>
      </c>
      <c r="D9492" s="138" t="str">
        <f t="shared" si="783"/>
        <v>High_High</v>
      </c>
      <c r="E9492" s="138" t="str">
        <f t="shared" si="787"/>
        <v>Base</v>
      </c>
      <c r="F9492" s="138" t="str">
        <f t="shared" si="788"/>
        <v>Upgraded</v>
      </c>
      <c r="G9492" s="153"/>
      <c r="H9492" s="210">
        <v>1.1999999999999999E-3</v>
      </c>
      <c r="I9492" s="160" t="s">
        <v>148</v>
      </c>
      <c r="J9492" s="160">
        <v>5.4000000000000001E-4</v>
      </c>
      <c r="K9492" s="160" t="s">
        <v>25</v>
      </c>
      <c r="L9492" s="154" t="str">
        <f>IF(OpenLCAbasic!K9492="CTUh", "Fill in Manually",IF(OR(K9492="Unit", K9492=""), "", INDEX(LookUps!$E$5:$E$12, MATCH(OpenLCAbasic!K9492,LookUps!$D$5:$D$12,0))))</f>
        <v>Smog Formation Potential (SFP) - kg O3 eq</v>
      </c>
      <c r="M9492" s="154" t="str">
        <f t="shared" si="784"/>
        <v>Base_High_High_Upgraded_Smog Formation Potential (SFP) - kg O3 eq_Control Building; at upgraded wastewater treatment plant - US_Base_With Amendment_Aerated Static Pile</v>
      </c>
    </row>
    <row r="9493" spans="1:13" s="120" customFormat="1" x14ac:dyDescent="0.25">
      <c r="A9493" s="119"/>
      <c r="B9493" s="138" t="str">
        <f t="shared" si="785"/>
        <v>Aerated Static Pile</v>
      </c>
      <c r="C9493" s="138" t="str">
        <f t="shared" si="786"/>
        <v>Base_With Amendment</v>
      </c>
      <c r="D9493" s="138" t="str">
        <f t="shared" si="783"/>
        <v>High_High</v>
      </c>
      <c r="E9493" s="138" t="str">
        <f t="shared" si="787"/>
        <v>Base</v>
      </c>
      <c r="F9493" s="138" t="str">
        <f t="shared" si="788"/>
        <v>Upgraded</v>
      </c>
      <c r="G9493" s="153"/>
      <c r="H9493" s="210">
        <v>-1.12E-2</v>
      </c>
      <c r="I9493" s="160" t="s">
        <v>62</v>
      </c>
      <c r="J9493" s="160">
        <v>-4.9699999999999996E-3</v>
      </c>
      <c r="K9493" s="160" t="s">
        <v>25</v>
      </c>
      <c r="L9493" s="154" t="str">
        <f>IF(OpenLCAbasic!K9493="CTUh", "Fill in Manually",IF(OR(K9493="Unit", K9493=""), "", INDEX(LookUps!$E$5:$E$12, MATCH(OpenLCAbasic!K9493,LookUps!$D$5:$D$12,0))))</f>
        <v>Smog Formation Potential (SFP) - kg O3 eq</v>
      </c>
      <c r="M9493" s="154" t="str">
        <f t="shared" si="784"/>
        <v>Base_High_High_Upgraded_Smog Formation Potential (SFP) - kg O3 eq_Land application of compost; wastewater treatment unit; at updated plant - US_Base_With Amendment_Aerated Static Pile</v>
      </c>
    </row>
    <row r="9494" spans="1:13" s="120" customFormat="1" x14ac:dyDescent="0.25">
      <c r="A9494" s="119"/>
      <c r="B9494" s="138" t="str">
        <f t="shared" si="785"/>
        <v>Aerated Static Pile</v>
      </c>
      <c r="C9494" s="138" t="str">
        <f t="shared" si="786"/>
        <v>Base_With Amendment</v>
      </c>
      <c r="D9494" s="138" t="str">
        <f t="shared" si="783"/>
        <v>High_High</v>
      </c>
      <c r="E9494" s="138" t="str">
        <f t="shared" si="787"/>
        <v>Base</v>
      </c>
      <c r="F9494" s="138" t="str">
        <f t="shared" si="788"/>
        <v>Upgraded</v>
      </c>
      <c r="G9494" s="153"/>
      <c r="H9494" s="210">
        <v>-2.0933999999999999</v>
      </c>
      <c r="I9494" s="160" t="s">
        <v>149</v>
      </c>
      <c r="J9494" s="160">
        <v>-0.93125999999999998</v>
      </c>
      <c r="K9494" s="160" t="s">
        <v>25</v>
      </c>
      <c r="L9494" s="154" t="str">
        <f>IF(OpenLCAbasic!K9494="CTUh", "Fill in Manually",IF(OR(K9494="Unit", K9494=""), "", INDEX(LookUps!$E$5:$E$12, MATCH(OpenLCAbasic!K9494,LookUps!$D$5:$D$12,0))))</f>
        <v>Smog Formation Potential (SFP) - kg O3 eq</v>
      </c>
      <c r="M9494" s="154" t="str">
        <f t="shared" si="784"/>
        <v>Base_High_High_Upgraded_Smog Formation Potential (SFP) - kg O3 eq_Anaerobic Digestion; wastewater treatment unit; at updated plant - US_Base_With Amendment_Aerated Static Pile</v>
      </c>
    </row>
    <row r="9495" spans="1:13" s="120" customFormat="1" x14ac:dyDescent="0.25">
      <c r="A9495" s="119"/>
      <c r="B9495" s="138" t="str">
        <f t="shared" si="785"/>
        <v/>
      </c>
      <c r="C9495" s="138" t="str">
        <f t="shared" si="786"/>
        <v/>
      </c>
      <c r="D9495" s="138" t="str">
        <f t="shared" si="783"/>
        <v/>
      </c>
      <c r="E9495" s="138" t="str">
        <f t="shared" si="787"/>
        <v/>
      </c>
      <c r="F9495" s="138" t="str">
        <f t="shared" si="788"/>
        <v/>
      </c>
      <c r="G9495" s="153" t="s">
        <v>51</v>
      </c>
      <c r="H9495" s="160"/>
      <c r="I9495" s="160" t="s">
        <v>47</v>
      </c>
      <c r="J9495" s="160" t="s">
        <v>52</v>
      </c>
      <c r="K9495" s="160" t="s">
        <v>27</v>
      </c>
      <c r="L9495" s="154" t="str">
        <f>IF(OpenLCAbasic!K9495="CTUh", "Fill in Manually",IF(OR(K9495="Unit", K9495=""), "", INDEX(LookUps!$E$5:$E$12, MATCH(OpenLCAbasic!K9495,LookUps!$D$5:$D$12,0))))</f>
        <v/>
      </c>
      <c r="M9495" s="154" t="str">
        <f t="shared" si="784"/>
        <v>____Process__</v>
      </c>
    </row>
    <row r="9496" spans="1:13" s="120" customFormat="1" x14ac:dyDescent="0.25">
      <c r="A9496" s="119"/>
      <c r="B9496" s="138" t="str">
        <f t="shared" si="785"/>
        <v>Aerated Static Pile</v>
      </c>
      <c r="C9496" s="138" t="str">
        <f t="shared" si="786"/>
        <v>Base_With Amendment</v>
      </c>
      <c r="D9496" s="138" t="str">
        <f t="shared" si="783"/>
        <v>High_High</v>
      </c>
      <c r="E9496" s="138" t="str">
        <f t="shared" si="787"/>
        <v>Base</v>
      </c>
      <c r="F9496" s="138" t="str">
        <f t="shared" si="788"/>
        <v>Upgraded</v>
      </c>
      <c r="G9496" s="153"/>
      <c r="H9496" s="210">
        <v>0.31440000000000001</v>
      </c>
      <c r="I9496" s="160" t="s">
        <v>167</v>
      </c>
      <c r="J9496" s="160">
        <v>3.4000000000000002E-4</v>
      </c>
      <c r="K9496" s="160" t="s">
        <v>26</v>
      </c>
      <c r="L9496" s="154" t="str">
        <f>IF(OpenLCAbasic!K9496="CTUh", "Fill in Manually",IF(OR(K9496="Unit", K9496=""), "", INDEX(LookUps!$E$5:$E$12, MATCH(OpenLCAbasic!K9496,LookUps!$D$5:$D$12,0))))</f>
        <v>Water Use (WU) - m3 H2O</v>
      </c>
      <c r="M9496" s="154" t="str">
        <f t="shared" si="784"/>
        <v>Base_High_High_Upgraded_Water Use (WU) - m3 H2O_Waste Receiving and Holding; wastewater treatment unit; at updated plant - US_Base_With Amendment_Aerated Static Pile</v>
      </c>
    </row>
    <row r="9497" spans="1:13" s="120" customFormat="1" x14ac:dyDescent="0.25">
      <c r="A9497" s="119"/>
      <c r="B9497" s="138" t="str">
        <f t="shared" si="785"/>
        <v>Aerated Static Pile</v>
      </c>
      <c r="C9497" s="138" t="str">
        <f t="shared" si="786"/>
        <v>Base_With Amendment</v>
      </c>
      <c r="D9497" s="138" t="str">
        <f t="shared" si="783"/>
        <v>High_High</v>
      </c>
      <c r="E9497" s="138" t="str">
        <f t="shared" si="787"/>
        <v>Base</v>
      </c>
      <c r="F9497" s="138" t="str">
        <f t="shared" si="788"/>
        <v>Upgraded</v>
      </c>
      <c r="G9497" s="153"/>
      <c r="H9497" s="210">
        <v>0.17199999999999999</v>
      </c>
      <c r="I9497" s="160" t="s">
        <v>147</v>
      </c>
      <c r="J9497" s="160">
        <v>1.8000000000000001E-4</v>
      </c>
      <c r="K9497" s="160" t="s">
        <v>26</v>
      </c>
      <c r="L9497" s="154" t="str">
        <f>IF(OpenLCAbasic!K9497="CTUh", "Fill in Manually",IF(OR(K9497="Unit", K9497=""), "", INDEX(LookUps!$E$5:$E$12, MATCH(OpenLCAbasic!K9497,LookUps!$D$5:$D$12,0))))</f>
        <v>Water Use (WU) - m3 H2O</v>
      </c>
      <c r="M9497" s="154" t="str">
        <f t="shared" si="784"/>
        <v>Base_High_High_Upgraded_Water Use (WU) - m3 H2O_Influent Pump Station; wastewater treatment unit; at updated plant - US_Base_With Amendment_Aerated Static Pile</v>
      </c>
    </row>
    <row r="9498" spans="1:13" s="120" customFormat="1" x14ac:dyDescent="0.25">
      <c r="A9498" s="119"/>
      <c r="B9498" s="138" t="str">
        <f t="shared" si="785"/>
        <v>Aerated Static Pile</v>
      </c>
      <c r="C9498" s="138" t="str">
        <f t="shared" si="786"/>
        <v>Base_With Amendment</v>
      </c>
      <c r="D9498" s="138" t="str">
        <f t="shared" si="783"/>
        <v>High_High</v>
      </c>
      <c r="E9498" s="138" t="str">
        <f t="shared" si="787"/>
        <v>Base</v>
      </c>
      <c r="F9498" s="138" t="str">
        <f t="shared" si="788"/>
        <v>Upgraded</v>
      </c>
      <c r="G9498" s="153"/>
      <c r="H9498" s="210">
        <v>0.1678</v>
      </c>
      <c r="I9498" s="160" t="s">
        <v>54</v>
      </c>
      <c r="J9498" s="160">
        <v>1.8000000000000001E-4</v>
      </c>
      <c r="K9498" s="160" t="s">
        <v>26</v>
      </c>
      <c r="L9498" s="154" t="str">
        <f>IF(OpenLCAbasic!K9498="CTUh", "Fill in Manually",IF(OR(K9498="Unit", K9498=""), "", INDEX(LookUps!$E$5:$E$12, MATCH(OpenLCAbasic!K9498,LookUps!$D$5:$D$12,0))))</f>
        <v>Water Use (WU) - m3 H2O</v>
      </c>
      <c r="M9498" s="154" t="str">
        <f t="shared" si="784"/>
        <v>Base_High_High_Upgraded_Water Use (WU) - m3 H2O_Clear Cove Primary Clarification; wastewater treatment unit; at updated plant - US_Base_With Amendment_Aerated Static Pile</v>
      </c>
    </row>
    <row r="9499" spans="1:13" s="120" customFormat="1" x14ac:dyDescent="0.25">
      <c r="A9499" s="119"/>
      <c r="B9499" s="138" t="str">
        <f t="shared" si="785"/>
        <v>Aerated Static Pile</v>
      </c>
      <c r="C9499" s="138" t="str">
        <f t="shared" si="786"/>
        <v>Base_With Amendment</v>
      </c>
      <c r="D9499" s="138" t="str">
        <f t="shared" si="783"/>
        <v>High_High</v>
      </c>
      <c r="E9499" s="138" t="str">
        <f t="shared" si="787"/>
        <v>Base</v>
      </c>
      <c r="F9499" s="138" t="str">
        <f t="shared" si="788"/>
        <v>Upgraded</v>
      </c>
      <c r="G9499" s="153"/>
      <c r="H9499" s="210">
        <v>0.15229999999999999</v>
      </c>
      <c r="I9499" s="160" t="s">
        <v>55</v>
      </c>
      <c r="J9499" s="160">
        <v>1.6000000000000001E-4</v>
      </c>
      <c r="K9499" s="160" t="s">
        <v>26</v>
      </c>
      <c r="L9499" s="154" t="str">
        <f>IF(OpenLCAbasic!K9499="CTUh", "Fill in Manually",IF(OR(K9499="Unit", K9499=""), "", INDEX(LookUps!$E$5:$E$12, MATCH(OpenLCAbasic!K9499,LookUps!$D$5:$D$12,0))))</f>
        <v>Water Use (WU) - m3 H2O</v>
      </c>
      <c r="M9499" s="154" t="str">
        <f t="shared" si="784"/>
        <v>Base_High_High_Upgraded_Water Use (WU) - m3 H2O_Aeration Tanks; wastewater treatment unit; at updated plant - US_Base_With Amendment_Aerated Static Pile</v>
      </c>
    </row>
    <row r="9500" spans="1:13" s="120" customFormat="1" x14ac:dyDescent="0.25">
      <c r="A9500" s="119"/>
      <c r="B9500" s="138" t="str">
        <f t="shared" si="785"/>
        <v>Aerated Static Pile</v>
      </c>
      <c r="C9500" s="138" t="str">
        <f t="shared" si="786"/>
        <v>Base_With Amendment</v>
      </c>
      <c r="D9500" s="138" t="str">
        <f t="shared" si="783"/>
        <v>High_High</v>
      </c>
      <c r="E9500" s="138" t="str">
        <f t="shared" si="787"/>
        <v>Base</v>
      </c>
      <c r="F9500" s="138" t="str">
        <f t="shared" si="788"/>
        <v>Upgraded</v>
      </c>
      <c r="G9500" s="153"/>
      <c r="H9500" s="210">
        <v>0.13869999999999999</v>
      </c>
      <c r="I9500" s="160" t="s">
        <v>148</v>
      </c>
      <c r="J9500" s="160">
        <v>1.4999999999999999E-4</v>
      </c>
      <c r="K9500" s="160" t="s">
        <v>26</v>
      </c>
      <c r="L9500" s="154" t="str">
        <f>IF(OpenLCAbasic!K9500="CTUh", "Fill in Manually",IF(OR(K9500="Unit", K9500=""), "", INDEX(LookUps!$E$5:$E$12, MATCH(OpenLCAbasic!K9500,LookUps!$D$5:$D$12,0))))</f>
        <v>Water Use (WU) - m3 H2O</v>
      </c>
      <c r="M9500" s="154" t="str">
        <f t="shared" si="784"/>
        <v>Base_High_High_Upgraded_Water Use (WU) - m3 H2O_Control Building; at upgraded wastewater treatment plant - US_Base_With Amendment_Aerated Static Pile</v>
      </c>
    </row>
    <row r="9501" spans="1:13" s="120" customFormat="1" x14ac:dyDescent="0.25">
      <c r="A9501" s="119"/>
      <c r="B9501" s="138" t="str">
        <f t="shared" si="785"/>
        <v>Aerated Static Pile</v>
      </c>
      <c r="C9501" s="138" t="str">
        <f t="shared" si="786"/>
        <v>Base_With Amendment</v>
      </c>
      <c r="D9501" s="138" t="str">
        <f t="shared" si="783"/>
        <v>High_High</v>
      </c>
      <c r="E9501" s="138" t="str">
        <f t="shared" si="787"/>
        <v>Base</v>
      </c>
      <c r="F9501" s="138" t="str">
        <f t="shared" si="788"/>
        <v>Upgraded</v>
      </c>
      <c r="G9501" s="153"/>
      <c r="H9501" s="210">
        <v>6.4399999999999999E-2</v>
      </c>
      <c r="I9501" s="160" t="s">
        <v>48</v>
      </c>
      <c r="J9501" s="211">
        <v>6.8836400000000004E-5</v>
      </c>
      <c r="K9501" s="160" t="s">
        <v>26</v>
      </c>
      <c r="L9501" s="154" t="str">
        <f>IF(OpenLCAbasic!K9501="CTUh", "Fill in Manually",IF(OR(K9501="Unit", K9501=""), "", INDEX(LookUps!$E$5:$E$12, MATCH(OpenLCAbasic!K9501,LookUps!$D$5:$D$12,0))))</f>
        <v>Water Use (WU) - m3 H2O</v>
      </c>
      <c r="M9501" s="154" t="str">
        <f t="shared" si="784"/>
        <v>Base_High_High_Upgraded_Water Use (WU) - m3 H2O_Effluent release; wastewater treatment unit; at surface water; m3 wastewater - US_Base_With Amendment_Aerated Static Pile</v>
      </c>
    </row>
    <row r="9502" spans="1:13" s="120" customFormat="1" x14ac:dyDescent="0.25">
      <c r="A9502" s="119"/>
      <c r="B9502" s="138" t="str">
        <f t="shared" si="785"/>
        <v>Aerated Static Pile</v>
      </c>
      <c r="C9502" s="138" t="str">
        <f t="shared" si="786"/>
        <v>Base_With Amendment</v>
      </c>
      <c r="D9502" s="138" t="str">
        <f t="shared" si="783"/>
        <v>High_High</v>
      </c>
      <c r="E9502" s="138" t="str">
        <f t="shared" si="787"/>
        <v>Base</v>
      </c>
      <c r="F9502" s="138" t="str">
        <f t="shared" si="788"/>
        <v>Upgraded</v>
      </c>
      <c r="G9502" s="153"/>
      <c r="H9502" s="210">
        <v>4.0500000000000001E-2</v>
      </c>
      <c r="I9502" s="160" t="s">
        <v>58</v>
      </c>
      <c r="J9502" s="211">
        <v>4.3289399999999999E-5</v>
      </c>
      <c r="K9502" s="160" t="s">
        <v>26</v>
      </c>
      <c r="L9502" s="154" t="str">
        <f>IF(OpenLCAbasic!K9502="CTUh", "Fill in Manually",IF(OR(K9502="Unit", K9502=""), "", INDEX(LookUps!$E$5:$E$12, MATCH(OpenLCAbasic!K9502,LookUps!$D$5:$D$12,0))))</f>
        <v>Water Use (WU) - m3 H2O</v>
      </c>
      <c r="M9502" s="154" t="str">
        <f t="shared" si="784"/>
        <v>Base_High_High_Upgraded_Water Use (WU) - m3 H2O_Pre-Anoxic &amp; Swing tank; wastewater treatment unit; at updated plant - US_Base_With Amendment_Aerated Static Pile</v>
      </c>
    </row>
    <row r="9503" spans="1:13" s="120" customFormat="1" x14ac:dyDescent="0.25">
      <c r="A9503" s="119"/>
      <c r="B9503" s="138" t="str">
        <f t="shared" si="785"/>
        <v>Aerated Static Pile</v>
      </c>
      <c r="C9503" s="138" t="str">
        <f t="shared" si="786"/>
        <v>Base_With Amendment</v>
      </c>
      <c r="D9503" s="138" t="str">
        <f t="shared" si="783"/>
        <v>High_High</v>
      </c>
      <c r="E9503" s="138" t="str">
        <f t="shared" si="787"/>
        <v>Base</v>
      </c>
      <c r="F9503" s="138" t="str">
        <f t="shared" si="788"/>
        <v>Upgraded</v>
      </c>
      <c r="G9503" s="153"/>
      <c r="H9503" s="210">
        <v>3.6799999999999999E-2</v>
      </c>
      <c r="I9503" s="160" t="s">
        <v>60</v>
      </c>
      <c r="J9503" s="211">
        <v>3.9294400000000001E-5</v>
      </c>
      <c r="K9503" s="160" t="s">
        <v>26</v>
      </c>
      <c r="L9503" s="154" t="str">
        <f>IF(OpenLCAbasic!K9503="CTUh", "Fill in Manually",IF(OR(K9503="Unit", K9503=""), "", INDEX(LookUps!$E$5:$E$12, MATCH(OpenLCAbasic!K9503,LookUps!$D$5:$D$12,0))))</f>
        <v>Water Use (WU) - m3 H2O</v>
      </c>
      <c r="M9503" s="154" t="str">
        <f t="shared" si="784"/>
        <v>Base_High_High_Upgraded_Water Use (WU) - m3 H2O_Belt filter press; wastewater treatment unit; at updated plant - US_Base_With Amendment_Aerated Static Pile</v>
      </c>
    </row>
    <row r="9504" spans="1:13" s="120" customFormat="1" x14ac:dyDescent="0.25">
      <c r="A9504" s="119"/>
      <c r="B9504" s="138" t="str">
        <f t="shared" si="785"/>
        <v>Aerated Static Pile</v>
      </c>
      <c r="C9504" s="138" t="str">
        <f t="shared" si="786"/>
        <v>Base_With Amendment</v>
      </c>
      <c r="D9504" s="138" t="str">
        <f t="shared" si="783"/>
        <v>High_High</v>
      </c>
      <c r="E9504" s="138" t="str">
        <f t="shared" si="787"/>
        <v>Base</v>
      </c>
      <c r="F9504" s="138" t="str">
        <f t="shared" si="788"/>
        <v>Upgraded</v>
      </c>
      <c r="G9504" s="153"/>
      <c r="H9504" s="210">
        <v>3.2599999999999997E-2</v>
      </c>
      <c r="I9504" s="160" t="s">
        <v>435</v>
      </c>
      <c r="J9504" s="211">
        <v>3.4866500000000002E-5</v>
      </c>
      <c r="K9504" s="160" t="s">
        <v>26</v>
      </c>
      <c r="L9504" s="154" t="str">
        <f>IF(OpenLCAbasic!K9504="CTUh", "Fill in Manually",IF(OR(K9504="Unit", K9504=""), "", INDEX(LookUps!$E$5:$E$12, MATCH(OpenLCAbasic!K9504,LookUps!$D$5:$D$12,0))))</f>
        <v>Water Use (WU) - m3 H2O</v>
      </c>
      <c r="M9504" s="154" t="str">
        <f t="shared" si="784"/>
        <v>Base_High_High_Upgraded_Water Use (WU) - m3 H2O_Biosolids composting; aerated static pile; wastewater treatment unit; at updated plant - US_Base_With Amendment_Aerated Static Pile</v>
      </c>
    </row>
    <row r="9505" spans="1:13" s="120" customFormat="1" x14ac:dyDescent="0.25">
      <c r="A9505" s="119"/>
      <c r="B9505" s="138" t="str">
        <f t="shared" si="785"/>
        <v>Aerated Static Pile</v>
      </c>
      <c r="C9505" s="138" t="str">
        <f t="shared" si="786"/>
        <v>Base_With Amendment</v>
      </c>
      <c r="D9505" s="138" t="str">
        <f t="shared" ref="D9505:D9511" si="789">IF(ISNUMBER($J9505),"High_High","")</f>
        <v>High_High</v>
      </c>
      <c r="E9505" s="138" t="str">
        <f t="shared" si="787"/>
        <v>Base</v>
      </c>
      <c r="F9505" s="138" t="str">
        <f t="shared" si="788"/>
        <v>Upgraded</v>
      </c>
      <c r="G9505" s="153"/>
      <c r="H9505" s="210">
        <v>2.8500000000000001E-2</v>
      </c>
      <c r="I9505" s="160" t="s">
        <v>57</v>
      </c>
      <c r="J9505" s="211">
        <v>3.0408100000000001E-5</v>
      </c>
      <c r="K9505" s="160" t="s">
        <v>26</v>
      </c>
      <c r="L9505" s="154" t="str">
        <f>IF(OpenLCAbasic!K9505="CTUh", "Fill in Manually",IF(OR(K9505="Unit", K9505=""), "", INDEX(LookUps!$E$5:$E$12, MATCH(OpenLCAbasic!K9505,LookUps!$D$5:$D$12,0))))</f>
        <v>Water Use (WU) - m3 H2O</v>
      </c>
      <c r="M9505" s="154" t="str">
        <f t="shared" si="784"/>
        <v>Base_High_High_Upgraded_Water Use (WU) - m3 H2O_Gravity Belt Thickener; wastewater treatment unit; at updated plant - US_Base_With Amendment_Aerated Static Pile</v>
      </c>
    </row>
    <row r="9506" spans="1:13" s="120" customFormat="1" x14ac:dyDescent="0.25">
      <c r="A9506" s="119"/>
      <c r="B9506" s="138" t="str">
        <f t="shared" si="785"/>
        <v>Aerated Static Pile</v>
      </c>
      <c r="C9506" s="138" t="str">
        <f t="shared" si="786"/>
        <v>Base_With Amendment</v>
      </c>
      <c r="D9506" s="138" t="str">
        <f t="shared" si="789"/>
        <v>High_High</v>
      </c>
      <c r="E9506" s="138" t="str">
        <f t="shared" si="787"/>
        <v>Base</v>
      </c>
      <c r="F9506" s="138" t="str">
        <f t="shared" si="788"/>
        <v>Upgraded</v>
      </c>
      <c r="G9506" s="153"/>
      <c r="H9506" s="210">
        <v>1.6400000000000001E-2</v>
      </c>
      <c r="I9506" s="160" t="s">
        <v>53</v>
      </c>
      <c r="J9506" s="211">
        <v>1.75069E-5</v>
      </c>
      <c r="K9506" s="160" t="s">
        <v>26</v>
      </c>
      <c r="L9506" s="154" t="str">
        <f>IF(OpenLCAbasic!K9506="CTUh", "Fill in Manually",IF(OR(K9506="Unit", K9506=""), "", INDEX(LookUps!$E$5:$E$12, MATCH(OpenLCAbasic!K9506,LookUps!$D$5:$D$12,0))))</f>
        <v>Water Use (WU) - m3 H2O</v>
      </c>
      <c r="M9506" s="154" t="str">
        <f t="shared" si="784"/>
        <v>Base_High_High_Upgraded_Water Use (WU) - m3 H2O_Wet Well and Sump Station; wastewater treatment unit; at updated plant - US_Base_With Amendment_Aerated Static Pile</v>
      </c>
    </row>
    <row r="9507" spans="1:13" s="120" customFormat="1" x14ac:dyDescent="0.25">
      <c r="A9507" s="119"/>
      <c r="B9507" s="138" t="str">
        <f t="shared" si="785"/>
        <v>Aerated Static Pile</v>
      </c>
      <c r="C9507" s="138" t="str">
        <f t="shared" si="786"/>
        <v>Base_With Amendment</v>
      </c>
      <c r="D9507" s="138" t="str">
        <f t="shared" si="789"/>
        <v>High_High</v>
      </c>
      <c r="E9507" s="138" t="str">
        <f t="shared" si="787"/>
        <v>Base</v>
      </c>
      <c r="F9507" s="138" t="str">
        <f t="shared" si="788"/>
        <v>Upgraded</v>
      </c>
      <c r="G9507" s="153"/>
      <c r="H9507" s="210">
        <v>6.6E-3</v>
      </c>
      <c r="I9507" s="160" t="s">
        <v>59</v>
      </c>
      <c r="J9507" s="211">
        <v>7.0179500000000003E-6</v>
      </c>
      <c r="K9507" s="160" t="s">
        <v>26</v>
      </c>
      <c r="L9507" s="154" t="str">
        <f>IF(OpenLCAbasic!K9507="CTUh", "Fill in Manually",IF(OR(K9507="Unit", K9507=""), "", INDEX(LookUps!$E$5:$E$12, MATCH(OpenLCAbasic!K9507,LookUps!$D$5:$D$12,0))))</f>
        <v>Water Use (WU) - m3 H2O</v>
      </c>
      <c r="M9507" s="154" t="str">
        <f t="shared" si="784"/>
        <v>Base_High_High_Upgraded_Water Use (WU) - m3 H2O_Blend Tank; wastewater treatment unit; at updated plant - US_Base_With Amendment_Aerated Static Pile</v>
      </c>
    </row>
    <row r="9508" spans="1:13" s="120" customFormat="1" x14ac:dyDescent="0.25">
      <c r="A9508" s="119"/>
      <c r="B9508" s="138" t="str">
        <f t="shared" si="785"/>
        <v>Aerated Static Pile</v>
      </c>
      <c r="C9508" s="138" t="str">
        <f t="shared" si="786"/>
        <v>Base_With Amendment</v>
      </c>
      <c r="D9508" s="138" t="str">
        <f t="shared" si="789"/>
        <v>High_High</v>
      </c>
      <c r="E9508" s="138" t="str">
        <f t="shared" si="787"/>
        <v>Base</v>
      </c>
      <c r="F9508" s="138" t="str">
        <f t="shared" si="788"/>
        <v>Upgraded</v>
      </c>
      <c r="G9508" s="153"/>
      <c r="H9508" s="210">
        <v>4.7000000000000002E-3</v>
      </c>
      <c r="I9508" s="160" t="s">
        <v>128</v>
      </c>
      <c r="J9508" s="211">
        <v>5.0608900000000003E-6</v>
      </c>
      <c r="K9508" s="160" t="s">
        <v>26</v>
      </c>
      <c r="L9508" s="154" t="str">
        <f>IF(OpenLCAbasic!K9508="CTUh", "Fill in Manually",IF(OR(K9508="Unit", K9508=""), "", INDEX(LookUps!$E$5:$E$12, MATCH(OpenLCAbasic!K9508,LookUps!$D$5:$D$12,0))))</f>
        <v>Water Use (WU) - m3 H2O</v>
      </c>
      <c r="M9508" s="154" t="str">
        <f t="shared" si="784"/>
        <v>Base_High_High_Upgraded_Water Use (WU) - m3 H2O_Wastewater collection; operation and infrastructure; m3 wastewater_Base_With Amendment_Aerated Static Pile</v>
      </c>
    </row>
    <row r="9509" spans="1:13" s="120" customFormat="1" x14ac:dyDescent="0.25">
      <c r="A9509" s="119"/>
      <c r="B9509" s="138" t="str">
        <f t="shared" si="785"/>
        <v>Aerated Static Pile</v>
      </c>
      <c r="C9509" s="138" t="str">
        <f t="shared" si="786"/>
        <v>Base_With Amendment</v>
      </c>
      <c r="D9509" s="138" t="str">
        <f t="shared" si="789"/>
        <v>High_High</v>
      </c>
      <c r="E9509" s="138" t="str">
        <f t="shared" si="787"/>
        <v>Base</v>
      </c>
      <c r="F9509" s="138" t="str">
        <f t="shared" si="788"/>
        <v>Upgraded</v>
      </c>
      <c r="G9509" s="153"/>
      <c r="H9509" s="210">
        <v>6.9999999999999999E-4</v>
      </c>
      <c r="I9509" s="160" t="s">
        <v>168</v>
      </c>
      <c r="J9509" s="211">
        <v>7.6697000000000004E-7</v>
      </c>
      <c r="K9509" s="160" t="s">
        <v>26</v>
      </c>
      <c r="L9509" s="154" t="str">
        <f>IF(OpenLCAbasic!K9509="CTUh", "Fill in Manually",IF(OR(K9509="Unit", K9509=""), "", INDEX(LookUps!$E$5:$E$12, MATCH(OpenLCAbasic!K9509,LookUps!$D$5:$D$12,0))))</f>
        <v>Water Use (WU) - m3 H2O</v>
      </c>
      <c r="M9509" s="154" t="str">
        <f t="shared" si="784"/>
        <v>Base_High_High_Upgraded_Water Use (WU) - m3 H2O_ClearCove SCP; wastewater treatment unit; at updated plant - US_Base_With Amendment_Aerated Static Pile</v>
      </c>
    </row>
    <row r="9510" spans="1:13" s="120" customFormat="1" x14ac:dyDescent="0.25">
      <c r="A9510" s="119"/>
      <c r="B9510" s="138" t="str">
        <f t="shared" si="785"/>
        <v>Aerated Static Pile</v>
      </c>
      <c r="C9510" s="138" t="str">
        <f t="shared" si="786"/>
        <v>Base_With Amendment</v>
      </c>
      <c r="D9510" s="138" t="str">
        <f t="shared" si="789"/>
        <v>High_High</v>
      </c>
      <c r="E9510" s="138" t="str">
        <f t="shared" si="787"/>
        <v>Base</v>
      </c>
      <c r="F9510" s="138" t="str">
        <f t="shared" si="788"/>
        <v>Upgraded</v>
      </c>
      <c r="G9510" s="153"/>
      <c r="H9510" s="210">
        <v>-0.25190000000000001</v>
      </c>
      <c r="I9510" s="160" t="s">
        <v>149</v>
      </c>
      <c r="J9510" s="160">
        <v>-2.7E-4</v>
      </c>
      <c r="K9510" s="160" t="s">
        <v>26</v>
      </c>
      <c r="L9510" s="154" t="str">
        <f>IF(OpenLCAbasic!K9510="CTUh", "Fill in Manually",IF(OR(K9510="Unit", K9510=""), "", INDEX(LookUps!$E$5:$E$12, MATCH(OpenLCAbasic!K9510,LookUps!$D$5:$D$12,0))))</f>
        <v>Water Use (WU) - m3 H2O</v>
      </c>
      <c r="M9510" s="154" t="str">
        <f t="shared" si="784"/>
        <v>Base_High_High_Upgraded_Water Use (WU) - m3 H2O_Anaerobic Digestion; wastewater treatment unit; at updated plant - US_Base_With Amendment_Aerated Static Pile</v>
      </c>
    </row>
    <row r="9511" spans="1:13" s="120" customFormat="1" x14ac:dyDescent="0.25">
      <c r="A9511" s="119"/>
      <c r="B9511" s="138" t="str">
        <f t="shared" si="785"/>
        <v>Aerated Static Pile</v>
      </c>
      <c r="C9511" s="138" t="str">
        <f t="shared" si="786"/>
        <v>Base_With Amendment</v>
      </c>
      <c r="D9511" s="138" t="str">
        <f t="shared" si="789"/>
        <v>High_High</v>
      </c>
      <c r="E9511" s="138" t="str">
        <f t="shared" si="787"/>
        <v>Base</v>
      </c>
      <c r="F9511" s="138" t="str">
        <f t="shared" si="788"/>
        <v>Upgraded</v>
      </c>
      <c r="G9511" s="153"/>
      <c r="H9511" s="210">
        <v>-1.9244000000000001</v>
      </c>
      <c r="I9511" s="160" t="s">
        <v>62</v>
      </c>
      <c r="J9511" s="160">
        <v>-2.0600000000000002E-3</v>
      </c>
      <c r="K9511" s="160" t="s">
        <v>26</v>
      </c>
      <c r="L9511" s="154" t="str">
        <f>IF(OpenLCAbasic!K9511="CTUh", "Fill in Manually",IF(OR(K9511="Unit", K9511=""), "", INDEX(LookUps!$E$5:$E$12, MATCH(OpenLCAbasic!K9511,LookUps!$D$5:$D$12,0))))</f>
        <v>Water Use (WU) - m3 H2O</v>
      </c>
      <c r="M9511" s="154" t="str">
        <f t="shared" si="784"/>
        <v>Base_High_High_Upgraded_Water Use (WU) - m3 H2O_Land application of compost; wastewater treatment unit; at updated plant - US_Base_With Amendment_Aerated Static Pile</v>
      </c>
    </row>
    <row r="9512" spans="1:13" s="120" customFormat="1" x14ac:dyDescent="0.25">
      <c r="A9512" s="119"/>
      <c r="B9512" s="138" t="str">
        <f t="shared" si="785"/>
        <v/>
      </c>
      <c r="C9512" s="138" t="str">
        <f t="shared" si="786"/>
        <v/>
      </c>
      <c r="D9512" s="138" t="str">
        <f>IF(ISNUMBER($J9512),"Base_Low","")</f>
        <v/>
      </c>
      <c r="E9512" s="138" t="str">
        <f>IF(ISNUMBER($J9512),"Low","")</f>
        <v/>
      </c>
      <c r="F9512" s="138" t="str">
        <f t="shared" si="788"/>
        <v/>
      </c>
      <c r="G9512" s="153" t="s">
        <v>51</v>
      </c>
      <c r="H9512" s="160"/>
      <c r="I9512" s="160" t="s">
        <v>47</v>
      </c>
      <c r="J9512" s="160" t="s">
        <v>52</v>
      </c>
      <c r="K9512" s="160" t="s">
        <v>27</v>
      </c>
      <c r="L9512" s="154" t="str">
        <f>IF(OpenLCAbasic!K9512="CTUh", "Fill in Manually",IF(OR(K9512="Unit", K9512=""), "", INDEX(LookUps!$E$5:$E$12, MATCH(OpenLCAbasic!K9512,LookUps!$D$5:$D$12,0))))</f>
        <v/>
      </c>
      <c r="M9512" s="154" t="str">
        <f t="shared" si="784"/>
        <v>____Process__</v>
      </c>
    </row>
    <row r="9513" spans="1:13" s="120" customFormat="1" x14ac:dyDescent="0.25">
      <c r="A9513" s="119"/>
      <c r="B9513" s="138" t="str">
        <f t="shared" si="785"/>
        <v>Aerated Static Pile</v>
      </c>
      <c r="C9513" s="138" t="str">
        <f t="shared" si="786"/>
        <v>Base_With Amendment</v>
      </c>
      <c r="D9513" s="138" t="str">
        <f t="shared" ref="D9513:D9576" si="790">IF(ISNUMBER($J9513),"Base_Low","")</f>
        <v>Base_Low</v>
      </c>
      <c r="E9513" s="138" t="str">
        <f t="shared" ref="E9513:E9576" si="791">IF(ISNUMBER($J9513),"Low","")</f>
        <v>Low</v>
      </c>
      <c r="F9513" s="138" t="str">
        <f t="shared" si="788"/>
        <v>Upgraded</v>
      </c>
      <c r="G9513" s="153"/>
      <c r="H9513" s="210">
        <v>0.33639999999999998</v>
      </c>
      <c r="I9513" s="160" t="s">
        <v>55</v>
      </c>
      <c r="J9513" s="160">
        <v>1.7219999999999999E-2</v>
      </c>
      <c r="K9513" s="160" t="s">
        <v>24</v>
      </c>
      <c r="L9513" s="154" t="str">
        <f>IF(OpenLCAbasic!K9513="CTUh", "Fill in Manually",IF(OR(K9513="Unit", K9513=""), "", INDEX(LookUps!$E$5:$E$12, MATCH(OpenLCAbasic!K9513,LookUps!$D$5:$D$12,0))))</f>
        <v>Acidification Potential (AP) - kg SO2 eq</v>
      </c>
      <c r="M9513" s="154" t="str">
        <f t="shared" si="784"/>
        <v>Low_Base_Low_Upgraded_Acidification Potential (AP) - kg SO2 eq_Aeration Tanks; wastewater treatment unit; at updated plant - US_Base_With Amendment_Aerated Static Pile</v>
      </c>
    </row>
    <row r="9514" spans="1:13" s="120" customFormat="1" x14ac:dyDescent="0.25">
      <c r="A9514" s="119"/>
      <c r="B9514" s="138" t="str">
        <f t="shared" si="785"/>
        <v>Aerated Static Pile</v>
      </c>
      <c r="C9514" s="138" t="str">
        <f t="shared" si="786"/>
        <v>Base_With Amendment</v>
      </c>
      <c r="D9514" s="138" t="str">
        <f t="shared" si="790"/>
        <v>Base_Low</v>
      </c>
      <c r="E9514" s="138" t="str">
        <f t="shared" si="791"/>
        <v>Low</v>
      </c>
      <c r="F9514" s="138" t="str">
        <f t="shared" si="788"/>
        <v>Upgraded</v>
      </c>
      <c r="G9514" s="153"/>
      <c r="H9514" s="210">
        <v>0.1351</v>
      </c>
      <c r="I9514" s="160" t="s">
        <v>435</v>
      </c>
      <c r="J9514" s="160">
        <v>6.9199999999999999E-3</v>
      </c>
      <c r="K9514" s="160" t="s">
        <v>24</v>
      </c>
      <c r="L9514" s="154" t="str">
        <f>IF(OpenLCAbasic!K9514="CTUh", "Fill in Manually",IF(OR(K9514="Unit", K9514=""), "", INDEX(LookUps!$E$5:$E$12, MATCH(OpenLCAbasic!K9514,LookUps!$D$5:$D$12,0))))</f>
        <v>Acidification Potential (AP) - kg SO2 eq</v>
      </c>
      <c r="M9514" s="154" t="str">
        <f t="shared" si="784"/>
        <v>Low_Base_Low_Upgraded_Acidification Potential (AP) - kg SO2 eq_Biosolids composting; aerated static pile; wastewater treatment unit; at updated plant - US_Base_With Amendment_Aerated Static Pile</v>
      </c>
    </row>
    <row r="9515" spans="1:13" s="120" customFormat="1" x14ac:dyDescent="0.25">
      <c r="A9515" s="119"/>
      <c r="B9515" s="138" t="str">
        <f t="shared" si="785"/>
        <v>Aerated Static Pile</v>
      </c>
      <c r="C9515" s="138" t="str">
        <f t="shared" si="786"/>
        <v>Base_With Amendment</v>
      </c>
      <c r="D9515" s="138" t="str">
        <f t="shared" si="790"/>
        <v>Base_Low</v>
      </c>
      <c r="E9515" s="138" t="str">
        <f t="shared" si="791"/>
        <v>Low</v>
      </c>
      <c r="F9515" s="138" t="str">
        <f t="shared" si="788"/>
        <v>Upgraded</v>
      </c>
      <c r="G9515" s="153"/>
      <c r="H9515" s="210">
        <v>9.7299999999999998E-2</v>
      </c>
      <c r="I9515" s="160" t="s">
        <v>54</v>
      </c>
      <c r="J9515" s="160">
        <v>4.9800000000000001E-3</v>
      </c>
      <c r="K9515" s="160" t="s">
        <v>24</v>
      </c>
      <c r="L9515" s="154" t="str">
        <f>IF(OpenLCAbasic!K9515="CTUh", "Fill in Manually",IF(OR(K9515="Unit", K9515=""), "", INDEX(LookUps!$E$5:$E$12, MATCH(OpenLCAbasic!K9515,LookUps!$D$5:$D$12,0))))</f>
        <v>Acidification Potential (AP) - kg SO2 eq</v>
      </c>
      <c r="M9515" s="154" t="str">
        <f t="shared" si="784"/>
        <v>Low_Base_Low_Upgraded_Acidification Potential (AP) - kg SO2 eq_Clear Cove Primary Clarification; wastewater treatment unit; at updated plant - US_Base_With Amendment_Aerated Static Pile</v>
      </c>
    </row>
    <row r="9516" spans="1:13" s="120" customFormat="1" x14ac:dyDescent="0.25">
      <c r="A9516" s="119"/>
      <c r="B9516" s="138" t="str">
        <f t="shared" si="785"/>
        <v>Aerated Static Pile</v>
      </c>
      <c r="C9516" s="138" t="str">
        <f t="shared" si="786"/>
        <v>Base_With Amendment</v>
      </c>
      <c r="D9516" s="138" t="str">
        <f t="shared" si="790"/>
        <v>Base_Low</v>
      </c>
      <c r="E9516" s="138" t="str">
        <f t="shared" si="791"/>
        <v>Low</v>
      </c>
      <c r="F9516" s="138" t="str">
        <f t="shared" si="788"/>
        <v>Upgraded</v>
      </c>
      <c r="G9516" s="153"/>
      <c r="H9516" s="210">
        <v>8.4599999999999995E-2</v>
      </c>
      <c r="I9516" s="160" t="s">
        <v>58</v>
      </c>
      <c r="J9516" s="160">
        <v>4.3299999999999996E-3</v>
      </c>
      <c r="K9516" s="160" t="s">
        <v>24</v>
      </c>
      <c r="L9516" s="154" t="str">
        <f>IF(OpenLCAbasic!K9516="CTUh", "Fill in Manually",IF(OR(K9516="Unit", K9516=""), "", INDEX(LookUps!$E$5:$E$12, MATCH(OpenLCAbasic!K9516,LookUps!$D$5:$D$12,0))))</f>
        <v>Acidification Potential (AP) - kg SO2 eq</v>
      </c>
      <c r="M9516" s="154" t="str">
        <f t="shared" si="784"/>
        <v>Low_Base_Low_Upgraded_Acidification Potential (AP) - kg SO2 eq_Pre-Anoxic &amp; Swing tank; wastewater treatment unit; at updated plant - US_Base_With Amendment_Aerated Static Pile</v>
      </c>
    </row>
    <row r="9517" spans="1:13" s="120" customFormat="1" x14ac:dyDescent="0.25">
      <c r="A9517" s="119"/>
      <c r="B9517" s="138" t="str">
        <f t="shared" si="785"/>
        <v>Aerated Static Pile</v>
      </c>
      <c r="C9517" s="138" t="str">
        <f t="shared" si="786"/>
        <v>Base_With Amendment</v>
      </c>
      <c r="D9517" s="138" t="str">
        <f t="shared" si="790"/>
        <v>Base_Low</v>
      </c>
      <c r="E9517" s="138" t="str">
        <f t="shared" si="791"/>
        <v>Low</v>
      </c>
      <c r="F9517" s="138" t="str">
        <f t="shared" si="788"/>
        <v>Upgraded</v>
      </c>
      <c r="G9517" s="153"/>
      <c r="H9517" s="210">
        <v>6.7400000000000002E-2</v>
      </c>
      <c r="I9517" s="160" t="s">
        <v>53</v>
      </c>
      <c r="J9517" s="160">
        <v>3.4499999999999999E-3</v>
      </c>
      <c r="K9517" s="160" t="s">
        <v>24</v>
      </c>
      <c r="L9517" s="154" t="str">
        <f>IF(OpenLCAbasic!K9517="CTUh", "Fill in Manually",IF(OR(K9517="Unit", K9517=""), "", INDEX(LookUps!$E$5:$E$12, MATCH(OpenLCAbasic!K9517,LookUps!$D$5:$D$12,0))))</f>
        <v>Acidification Potential (AP) - kg SO2 eq</v>
      </c>
      <c r="M9517" s="154" t="str">
        <f t="shared" si="784"/>
        <v>Low_Base_Low_Upgraded_Acidification Potential (AP) - kg SO2 eq_Wet Well and Sump Station; wastewater treatment unit; at updated plant - US_Base_With Amendment_Aerated Static Pile</v>
      </c>
    </row>
    <row r="9518" spans="1:13" s="120" customFormat="1" x14ac:dyDescent="0.25">
      <c r="A9518" s="119"/>
      <c r="B9518" s="138" t="str">
        <f t="shared" si="785"/>
        <v>Aerated Static Pile</v>
      </c>
      <c r="C9518" s="138" t="str">
        <f t="shared" si="786"/>
        <v>Base_With Amendment</v>
      </c>
      <c r="D9518" s="138" t="str">
        <f t="shared" si="790"/>
        <v>Base_Low</v>
      </c>
      <c r="E9518" s="138" t="str">
        <f t="shared" si="791"/>
        <v>Low</v>
      </c>
      <c r="F9518" s="138" t="str">
        <f t="shared" si="788"/>
        <v>Upgraded</v>
      </c>
      <c r="G9518" s="153"/>
      <c r="H9518" s="210">
        <v>6.4500000000000002E-2</v>
      </c>
      <c r="I9518" s="160" t="s">
        <v>62</v>
      </c>
      <c r="J9518" s="160">
        <v>3.3E-3</v>
      </c>
      <c r="K9518" s="160" t="s">
        <v>24</v>
      </c>
      <c r="L9518" s="154" t="str">
        <f>IF(OpenLCAbasic!K9518="CTUh", "Fill in Manually",IF(OR(K9518="Unit", K9518=""), "", INDEX(LookUps!$E$5:$E$12, MATCH(OpenLCAbasic!K9518,LookUps!$D$5:$D$12,0))))</f>
        <v>Acidification Potential (AP) - kg SO2 eq</v>
      </c>
      <c r="M9518" s="154" t="str">
        <f t="shared" si="784"/>
        <v>Low_Base_Low_Upgraded_Acidification Potential (AP) - kg SO2 eq_Land application of compost; wastewater treatment unit; at updated plant - US_Base_With Amendment_Aerated Static Pile</v>
      </c>
    </row>
    <row r="9519" spans="1:13" s="120" customFormat="1" x14ac:dyDescent="0.25">
      <c r="A9519" s="119"/>
      <c r="B9519" s="138" t="str">
        <f t="shared" si="785"/>
        <v>Aerated Static Pile</v>
      </c>
      <c r="C9519" s="138" t="str">
        <f t="shared" si="786"/>
        <v>Base_With Amendment</v>
      </c>
      <c r="D9519" s="138" t="str">
        <f t="shared" si="790"/>
        <v>Base_Low</v>
      </c>
      <c r="E9519" s="138" t="str">
        <f t="shared" si="791"/>
        <v>Low</v>
      </c>
      <c r="F9519" s="138" t="str">
        <f t="shared" si="788"/>
        <v>Upgraded</v>
      </c>
      <c r="G9519" s="153"/>
      <c r="H9519" s="210">
        <v>5.0700000000000002E-2</v>
      </c>
      <c r="I9519" s="160" t="s">
        <v>149</v>
      </c>
      <c r="J9519" s="160">
        <v>2.5999999999999999E-3</v>
      </c>
      <c r="K9519" s="160" t="s">
        <v>24</v>
      </c>
      <c r="L9519" s="154" t="str">
        <f>IF(OpenLCAbasic!K9519="CTUh", "Fill in Manually",IF(OR(K9519="Unit", K9519=""), "", INDEX(LookUps!$E$5:$E$12, MATCH(OpenLCAbasic!K9519,LookUps!$D$5:$D$12,0))))</f>
        <v>Acidification Potential (AP) - kg SO2 eq</v>
      </c>
      <c r="M9519" s="154" t="str">
        <f t="shared" si="784"/>
        <v>Low_Base_Low_Upgraded_Acidification Potential (AP) - kg SO2 eq_Anaerobic Digestion; wastewater treatment unit; at updated plant - US_Base_With Amendment_Aerated Static Pile</v>
      </c>
    </row>
    <row r="9520" spans="1:13" s="120" customFormat="1" x14ac:dyDescent="0.25">
      <c r="A9520" s="119"/>
      <c r="B9520" s="138" t="str">
        <f t="shared" si="785"/>
        <v>Aerated Static Pile</v>
      </c>
      <c r="C9520" s="138" t="str">
        <f t="shared" si="786"/>
        <v>Base_With Amendment</v>
      </c>
      <c r="D9520" s="138" t="str">
        <f t="shared" si="790"/>
        <v>Base_Low</v>
      </c>
      <c r="E9520" s="138" t="str">
        <f t="shared" si="791"/>
        <v>Low</v>
      </c>
      <c r="F9520" s="138" t="str">
        <f t="shared" si="788"/>
        <v>Upgraded</v>
      </c>
      <c r="G9520" s="153"/>
      <c r="H9520" s="210">
        <v>4.6399999999999997E-2</v>
      </c>
      <c r="I9520" s="160" t="s">
        <v>167</v>
      </c>
      <c r="J9520" s="160">
        <v>2.3800000000000002E-3</v>
      </c>
      <c r="K9520" s="160" t="s">
        <v>24</v>
      </c>
      <c r="L9520" s="154" t="str">
        <f>IF(OpenLCAbasic!K9520="CTUh", "Fill in Manually",IF(OR(K9520="Unit", K9520=""), "", INDEX(LookUps!$E$5:$E$12, MATCH(OpenLCAbasic!K9520,LookUps!$D$5:$D$12,0))))</f>
        <v>Acidification Potential (AP) - kg SO2 eq</v>
      </c>
      <c r="M9520" s="154" t="str">
        <f t="shared" si="784"/>
        <v>Low_Base_Low_Upgraded_Acidification Potential (AP) - kg SO2 eq_Waste Receiving and Holding; wastewater treatment unit; at updated plant - US_Base_With Amendment_Aerated Static Pile</v>
      </c>
    </row>
    <row r="9521" spans="1:13" s="120" customFormat="1" x14ac:dyDescent="0.25">
      <c r="A9521" s="119"/>
      <c r="B9521" s="138" t="str">
        <f t="shared" si="785"/>
        <v>Aerated Static Pile</v>
      </c>
      <c r="C9521" s="138" t="str">
        <f t="shared" si="786"/>
        <v>Base_With Amendment</v>
      </c>
      <c r="D9521" s="138" t="str">
        <f t="shared" si="790"/>
        <v>Base_Low</v>
      </c>
      <c r="E9521" s="138" t="str">
        <f t="shared" si="791"/>
        <v>Low</v>
      </c>
      <c r="F9521" s="138" t="str">
        <f t="shared" si="788"/>
        <v>Upgraded</v>
      </c>
      <c r="G9521" s="153"/>
      <c r="H9521" s="210">
        <v>4.0399999999999998E-2</v>
      </c>
      <c r="I9521" s="160" t="s">
        <v>147</v>
      </c>
      <c r="J9521" s="160">
        <v>2.0699999999999998E-3</v>
      </c>
      <c r="K9521" s="160" t="s">
        <v>24</v>
      </c>
      <c r="L9521" s="154" t="str">
        <f>IF(OpenLCAbasic!K9521="CTUh", "Fill in Manually",IF(OR(K9521="Unit", K9521=""), "", INDEX(LookUps!$E$5:$E$12, MATCH(OpenLCAbasic!K9521,LookUps!$D$5:$D$12,0))))</f>
        <v>Acidification Potential (AP) - kg SO2 eq</v>
      </c>
      <c r="M9521" s="154" t="str">
        <f t="shared" si="784"/>
        <v>Low_Base_Low_Upgraded_Acidification Potential (AP) - kg SO2 eq_Influent Pump Station; wastewater treatment unit; at updated plant - US_Base_With Amendment_Aerated Static Pile</v>
      </c>
    </row>
    <row r="9522" spans="1:13" s="120" customFormat="1" x14ac:dyDescent="0.25">
      <c r="A9522" s="119"/>
      <c r="B9522" s="138" t="str">
        <f t="shared" si="785"/>
        <v>Aerated Static Pile</v>
      </c>
      <c r="C9522" s="138" t="str">
        <f t="shared" si="786"/>
        <v>Base_With Amendment</v>
      </c>
      <c r="D9522" s="138" t="str">
        <f t="shared" si="790"/>
        <v>Base_Low</v>
      </c>
      <c r="E9522" s="138" t="str">
        <f t="shared" si="791"/>
        <v>Low</v>
      </c>
      <c r="F9522" s="138" t="str">
        <f t="shared" si="788"/>
        <v>Upgraded</v>
      </c>
      <c r="G9522" s="153"/>
      <c r="H9522" s="210">
        <v>2.41E-2</v>
      </c>
      <c r="I9522" s="160" t="s">
        <v>128</v>
      </c>
      <c r="J9522" s="160">
        <v>1.23E-3</v>
      </c>
      <c r="K9522" s="160" t="s">
        <v>24</v>
      </c>
      <c r="L9522" s="154" t="str">
        <f>IF(OpenLCAbasic!K9522="CTUh", "Fill in Manually",IF(OR(K9522="Unit", K9522=""), "", INDEX(LookUps!$E$5:$E$12, MATCH(OpenLCAbasic!K9522,LookUps!$D$5:$D$12,0))))</f>
        <v>Acidification Potential (AP) - kg SO2 eq</v>
      </c>
      <c r="M9522" s="154" t="str">
        <f t="shared" si="784"/>
        <v>Low_Base_Low_Upgraded_Acidification Potential (AP) - kg SO2 eq_Wastewater collection; operation and infrastructure; m3 wastewater_Base_With Amendment_Aerated Static Pile</v>
      </c>
    </row>
    <row r="9523" spans="1:13" s="120" customFormat="1" x14ac:dyDescent="0.25">
      <c r="A9523" s="119"/>
      <c r="B9523" s="138" t="str">
        <f t="shared" si="785"/>
        <v>Aerated Static Pile</v>
      </c>
      <c r="C9523" s="138" t="str">
        <f t="shared" si="786"/>
        <v>Base_With Amendment</v>
      </c>
      <c r="D9523" s="138" t="str">
        <f t="shared" si="790"/>
        <v>Base_Low</v>
      </c>
      <c r="E9523" s="138" t="str">
        <f t="shared" si="791"/>
        <v>Low</v>
      </c>
      <c r="F9523" s="138" t="str">
        <f t="shared" si="788"/>
        <v>Upgraded</v>
      </c>
      <c r="G9523" s="153"/>
      <c r="H9523" s="210">
        <v>1.67E-2</v>
      </c>
      <c r="I9523" s="160" t="s">
        <v>60</v>
      </c>
      <c r="J9523" s="160">
        <v>8.5999999999999998E-4</v>
      </c>
      <c r="K9523" s="160" t="s">
        <v>24</v>
      </c>
      <c r="L9523" s="154" t="str">
        <f>IF(OpenLCAbasic!K9523="CTUh", "Fill in Manually",IF(OR(K9523="Unit", K9523=""), "", INDEX(LookUps!$E$5:$E$12, MATCH(OpenLCAbasic!K9523,LookUps!$D$5:$D$12,0))))</f>
        <v>Acidification Potential (AP) - kg SO2 eq</v>
      </c>
      <c r="M9523" s="154" t="str">
        <f t="shared" ref="M9523:M9586" si="792">CONCATENATE(E9523,"_",D9523,"_",F9523,"_",L9523, "_",I9523,"_", C9523,"_", B9523)</f>
        <v>Low_Base_Low_Upgraded_Acidification Potential (AP) - kg SO2 eq_Belt filter press; wastewater treatment unit; at updated plant - US_Base_With Amendment_Aerated Static Pile</v>
      </c>
    </row>
    <row r="9524" spans="1:13" s="120" customFormat="1" x14ac:dyDescent="0.25">
      <c r="A9524" s="119"/>
      <c r="B9524" s="138" t="str">
        <f t="shared" si="785"/>
        <v>Aerated Static Pile</v>
      </c>
      <c r="C9524" s="138" t="str">
        <f t="shared" si="786"/>
        <v>Base_With Amendment</v>
      </c>
      <c r="D9524" s="138" t="str">
        <f t="shared" si="790"/>
        <v>Base_Low</v>
      </c>
      <c r="E9524" s="138" t="str">
        <f t="shared" si="791"/>
        <v>Low</v>
      </c>
      <c r="F9524" s="138" t="str">
        <f t="shared" si="788"/>
        <v>Upgraded</v>
      </c>
      <c r="G9524" s="153"/>
      <c r="H9524" s="210">
        <v>1.38E-2</v>
      </c>
      <c r="I9524" s="160" t="s">
        <v>57</v>
      </c>
      <c r="J9524" s="160">
        <v>6.9999999999999999E-4</v>
      </c>
      <c r="K9524" s="160" t="s">
        <v>24</v>
      </c>
      <c r="L9524" s="154" t="str">
        <f>IF(OpenLCAbasic!K9524="CTUh", "Fill in Manually",IF(OR(K9524="Unit", K9524=""), "", INDEX(LookUps!$E$5:$E$12, MATCH(OpenLCAbasic!K9524,LookUps!$D$5:$D$12,0))))</f>
        <v>Acidification Potential (AP) - kg SO2 eq</v>
      </c>
      <c r="M9524" s="154" t="str">
        <f t="shared" si="792"/>
        <v>Low_Base_Low_Upgraded_Acidification Potential (AP) - kg SO2 eq_Gravity Belt Thickener; wastewater treatment unit; at updated plant - US_Base_With Amendment_Aerated Static Pile</v>
      </c>
    </row>
    <row r="9525" spans="1:13" s="120" customFormat="1" x14ac:dyDescent="0.25">
      <c r="A9525" s="119"/>
      <c r="B9525" s="138" t="str">
        <f t="shared" si="785"/>
        <v>Aerated Static Pile</v>
      </c>
      <c r="C9525" s="138" t="str">
        <f t="shared" si="786"/>
        <v>Base_With Amendment</v>
      </c>
      <c r="D9525" s="138" t="str">
        <f t="shared" si="790"/>
        <v>Base_Low</v>
      </c>
      <c r="E9525" s="138" t="str">
        <f t="shared" si="791"/>
        <v>Low</v>
      </c>
      <c r="F9525" s="138" t="str">
        <f t="shared" si="788"/>
        <v>Upgraded</v>
      </c>
      <c r="G9525" s="153"/>
      <c r="H9525" s="210">
        <v>1.01E-2</v>
      </c>
      <c r="I9525" s="160" t="s">
        <v>59</v>
      </c>
      <c r="J9525" s="160">
        <v>5.1999999999999995E-4</v>
      </c>
      <c r="K9525" s="160" t="s">
        <v>24</v>
      </c>
      <c r="L9525" s="154" t="str">
        <f>IF(OpenLCAbasic!K9525="CTUh", "Fill in Manually",IF(OR(K9525="Unit", K9525=""), "", INDEX(LookUps!$E$5:$E$12, MATCH(OpenLCAbasic!K9525,LookUps!$D$5:$D$12,0))))</f>
        <v>Acidification Potential (AP) - kg SO2 eq</v>
      </c>
      <c r="M9525" s="154" t="str">
        <f t="shared" si="792"/>
        <v>Low_Base_Low_Upgraded_Acidification Potential (AP) - kg SO2 eq_Blend Tank; wastewater treatment unit; at updated plant - US_Base_With Amendment_Aerated Static Pile</v>
      </c>
    </row>
    <row r="9526" spans="1:13" s="120" customFormat="1" x14ac:dyDescent="0.25">
      <c r="A9526" s="119"/>
      <c r="B9526" s="138" t="str">
        <f t="shared" si="785"/>
        <v>Aerated Static Pile</v>
      </c>
      <c r="C9526" s="138" t="str">
        <f t="shared" si="786"/>
        <v>Base_With Amendment</v>
      </c>
      <c r="D9526" s="138" t="str">
        <f t="shared" si="790"/>
        <v>Base_Low</v>
      </c>
      <c r="E9526" s="138" t="str">
        <f t="shared" si="791"/>
        <v>Low</v>
      </c>
      <c r="F9526" s="138" t="str">
        <f t="shared" si="788"/>
        <v>Upgraded</v>
      </c>
      <c r="G9526" s="153"/>
      <c r="H9526" s="210">
        <v>6.7999999999999996E-3</v>
      </c>
      <c r="I9526" s="160" t="s">
        <v>48</v>
      </c>
      <c r="J9526" s="160">
        <v>3.5E-4</v>
      </c>
      <c r="K9526" s="160" t="s">
        <v>24</v>
      </c>
      <c r="L9526" s="154" t="str">
        <f>IF(OpenLCAbasic!K9526="CTUh", "Fill in Manually",IF(OR(K9526="Unit", K9526=""), "", INDEX(LookUps!$E$5:$E$12, MATCH(OpenLCAbasic!K9526,LookUps!$D$5:$D$12,0))))</f>
        <v>Acidification Potential (AP) - kg SO2 eq</v>
      </c>
      <c r="M9526" s="154" t="str">
        <f t="shared" si="792"/>
        <v>Low_Base_Low_Upgraded_Acidification Potential (AP) - kg SO2 eq_Effluent release; wastewater treatment unit; at surface water; m3 wastewater - US_Base_With Amendment_Aerated Static Pile</v>
      </c>
    </row>
    <row r="9527" spans="1:13" s="120" customFormat="1" x14ac:dyDescent="0.25">
      <c r="A9527" s="119"/>
      <c r="B9527" s="138" t="str">
        <f t="shared" si="785"/>
        <v>Aerated Static Pile</v>
      </c>
      <c r="C9527" s="138" t="str">
        <f t="shared" si="786"/>
        <v>Base_With Amendment</v>
      </c>
      <c r="D9527" s="138" t="str">
        <f t="shared" si="790"/>
        <v>Base_Low</v>
      </c>
      <c r="E9527" s="138" t="str">
        <f t="shared" si="791"/>
        <v>Low</v>
      </c>
      <c r="F9527" s="138" t="str">
        <f t="shared" si="788"/>
        <v>Upgraded</v>
      </c>
      <c r="G9527" s="153"/>
      <c r="H9527" s="210">
        <v>5.0000000000000001E-3</v>
      </c>
      <c r="I9527" s="160" t="s">
        <v>168</v>
      </c>
      <c r="J9527" s="160">
        <v>2.5999999999999998E-4</v>
      </c>
      <c r="K9527" s="160" t="s">
        <v>24</v>
      </c>
      <c r="L9527" s="154" t="str">
        <f>IF(OpenLCAbasic!K9527="CTUh", "Fill in Manually",IF(OR(K9527="Unit", K9527=""), "", INDEX(LookUps!$E$5:$E$12, MATCH(OpenLCAbasic!K9527,LookUps!$D$5:$D$12,0))))</f>
        <v>Acidification Potential (AP) - kg SO2 eq</v>
      </c>
      <c r="M9527" s="154" t="str">
        <f t="shared" si="792"/>
        <v>Low_Base_Low_Upgraded_Acidification Potential (AP) - kg SO2 eq_ClearCove SCP; wastewater treatment unit; at updated plant - US_Base_With Amendment_Aerated Static Pile</v>
      </c>
    </row>
    <row r="9528" spans="1:13" s="120" customFormat="1" x14ac:dyDescent="0.25">
      <c r="A9528" s="119"/>
      <c r="B9528" s="138" t="str">
        <f t="shared" si="785"/>
        <v>Aerated Static Pile</v>
      </c>
      <c r="C9528" s="138" t="str">
        <f t="shared" si="786"/>
        <v>Base_With Amendment</v>
      </c>
      <c r="D9528" s="138" t="str">
        <f t="shared" si="790"/>
        <v>Base_Low</v>
      </c>
      <c r="E9528" s="138" t="str">
        <f t="shared" si="791"/>
        <v>Low</v>
      </c>
      <c r="F9528" s="138" t="str">
        <f t="shared" si="788"/>
        <v>Upgraded</v>
      </c>
      <c r="G9528" s="153"/>
      <c r="H9528" s="210">
        <v>8.0000000000000004E-4</v>
      </c>
      <c r="I9528" s="160" t="s">
        <v>148</v>
      </c>
      <c r="J9528" s="211">
        <v>4.0354700000000002E-5</v>
      </c>
      <c r="K9528" s="160" t="s">
        <v>24</v>
      </c>
      <c r="L9528" s="154" t="str">
        <f>IF(OpenLCAbasic!K9528="CTUh", "Fill in Manually",IF(OR(K9528="Unit", K9528=""), "", INDEX(LookUps!$E$5:$E$12, MATCH(OpenLCAbasic!K9528,LookUps!$D$5:$D$12,0))))</f>
        <v>Acidification Potential (AP) - kg SO2 eq</v>
      </c>
      <c r="M9528" s="154" t="str">
        <f t="shared" si="792"/>
        <v>Low_Base_Low_Upgraded_Acidification Potential (AP) - kg SO2 eq_Control Building; at upgraded wastewater treatment plant - US_Base_With Amendment_Aerated Static Pile</v>
      </c>
    </row>
    <row r="9529" spans="1:13" s="120" customFormat="1" x14ac:dyDescent="0.25">
      <c r="A9529" s="119"/>
      <c r="B9529" s="138" t="str">
        <f t="shared" ref="B9529:B9592" si="793">IF(F9529="Legacy","n.a.",IF(F9529="","","Aerated Static Pile"))</f>
        <v/>
      </c>
      <c r="C9529" s="138" t="str">
        <f t="shared" ref="C9529:C9592" si="794">IF(ISNUMBER($J9529),"Base_With Amendment","")</f>
        <v/>
      </c>
      <c r="D9529" s="138" t="str">
        <f t="shared" si="790"/>
        <v/>
      </c>
      <c r="E9529" s="138" t="str">
        <f t="shared" si="791"/>
        <v/>
      </c>
      <c r="F9529" s="138" t="str">
        <f t="shared" ref="F9529:F9592" si="795">IF(ISNUMBER(J9529),"Upgraded","")</f>
        <v/>
      </c>
      <c r="G9529" s="153" t="s">
        <v>51</v>
      </c>
      <c r="H9529" s="160"/>
      <c r="I9529" s="160" t="s">
        <v>47</v>
      </c>
      <c r="J9529" s="160" t="s">
        <v>52</v>
      </c>
      <c r="K9529" s="160" t="s">
        <v>27</v>
      </c>
      <c r="L9529" s="154" t="str">
        <f>IF(OpenLCAbasic!K9529="CTUh", "Fill in Manually",IF(OR(K9529="Unit", K9529=""), "", INDEX(LookUps!$E$5:$E$12, MATCH(OpenLCAbasic!K9529,LookUps!$D$5:$D$12,0))))</f>
        <v/>
      </c>
      <c r="M9529" s="154" t="str">
        <f t="shared" si="792"/>
        <v>____Process__</v>
      </c>
    </row>
    <row r="9530" spans="1:13" s="120" customFormat="1" x14ac:dyDescent="0.25">
      <c r="A9530" s="119"/>
      <c r="B9530" s="138" t="str">
        <f t="shared" si="793"/>
        <v>Aerated Static Pile</v>
      </c>
      <c r="C9530" s="138" t="str">
        <f t="shared" si="794"/>
        <v>Base_With Amendment</v>
      </c>
      <c r="D9530" s="138" t="str">
        <f t="shared" si="790"/>
        <v>Base_Low</v>
      </c>
      <c r="E9530" s="138" t="str">
        <f t="shared" si="791"/>
        <v>Low</v>
      </c>
      <c r="F9530" s="138" t="str">
        <f t="shared" si="795"/>
        <v>Upgraded</v>
      </c>
      <c r="G9530" s="153"/>
      <c r="H9530" s="210">
        <v>0.22650000000000001</v>
      </c>
      <c r="I9530" s="160" t="s">
        <v>55</v>
      </c>
      <c r="J9530" s="160">
        <v>3.5330499999999998</v>
      </c>
      <c r="K9530" s="160" t="s">
        <v>15</v>
      </c>
      <c r="L9530" s="154" t="str">
        <f>IF(OpenLCAbasic!K9530="CTUh", "Fill in Manually",IF(OR(K9530="Unit", K9530=""), "", INDEX(LookUps!$E$5:$E$12, MATCH(OpenLCAbasic!K9530,LookUps!$D$5:$D$12,0))))</f>
        <v>Cumulative Energy Demand (CED) - MJ</v>
      </c>
      <c r="M9530" s="154" t="str">
        <f t="shared" si="792"/>
        <v>Low_Base_Low_Upgraded_Cumulative Energy Demand (CED) - MJ_Aeration Tanks; wastewater treatment unit; at updated plant - US_Base_With Amendment_Aerated Static Pile</v>
      </c>
    </row>
    <row r="9531" spans="1:13" s="120" customFormat="1" x14ac:dyDescent="0.25">
      <c r="A9531" s="119"/>
      <c r="B9531" s="138" t="str">
        <f t="shared" si="793"/>
        <v>Aerated Static Pile</v>
      </c>
      <c r="C9531" s="138" t="str">
        <f t="shared" si="794"/>
        <v>Base_With Amendment</v>
      </c>
      <c r="D9531" s="138" t="str">
        <f t="shared" si="790"/>
        <v>Base_Low</v>
      </c>
      <c r="E9531" s="138" t="str">
        <f t="shared" si="791"/>
        <v>Low</v>
      </c>
      <c r="F9531" s="138" t="str">
        <f t="shared" si="795"/>
        <v>Upgraded</v>
      </c>
      <c r="G9531" s="153"/>
      <c r="H9531" s="210">
        <v>0.2243</v>
      </c>
      <c r="I9531" s="160" t="s">
        <v>167</v>
      </c>
      <c r="J9531" s="160">
        <v>3.4982700000000002</v>
      </c>
      <c r="K9531" s="160" t="s">
        <v>15</v>
      </c>
      <c r="L9531" s="154" t="str">
        <f>IF(OpenLCAbasic!K9531="CTUh", "Fill in Manually",IF(OR(K9531="Unit", K9531=""), "", INDEX(LookUps!$E$5:$E$12, MATCH(OpenLCAbasic!K9531,LookUps!$D$5:$D$12,0))))</f>
        <v>Cumulative Energy Demand (CED) - MJ</v>
      </c>
      <c r="M9531" s="154" t="str">
        <f t="shared" si="792"/>
        <v>Low_Base_Low_Upgraded_Cumulative Energy Demand (CED) - MJ_Waste Receiving and Holding; wastewater treatment unit; at updated plant - US_Base_With Amendment_Aerated Static Pile</v>
      </c>
    </row>
    <row r="9532" spans="1:13" s="120" customFormat="1" x14ac:dyDescent="0.25">
      <c r="A9532" s="119"/>
      <c r="B9532" s="138" t="str">
        <f t="shared" si="793"/>
        <v>Aerated Static Pile</v>
      </c>
      <c r="C9532" s="138" t="str">
        <f t="shared" si="794"/>
        <v>Base_With Amendment</v>
      </c>
      <c r="D9532" s="138" t="str">
        <f t="shared" si="790"/>
        <v>Base_Low</v>
      </c>
      <c r="E9532" s="138" t="str">
        <f t="shared" si="791"/>
        <v>Low</v>
      </c>
      <c r="F9532" s="138" t="str">
        <f t="shared" si="795"/>
        <v>Upgraded</v>
      </c>
      <c r="G9532" s="153"/>
      <c r="H9532" s="210">
        <v>0.17519999999999999</v>
      </c>
      <c r="I9532" s="160" t="s">
        <v>149</v>
      </c>
      <c r="J9532" s="160">
        <v>2.7332200000000002</v>
      </c>
      <c r="K9532" s="160" t="s">
        <v>15</v>
      </c>
      <c r="L9532" s="154" t="str">
        <f>IF(OpenLCAbasic!K9532="CTUh", "Fill in Manually",IF(OR(K9532="Unit", K9532=""), "", INDEX(LookUps!$E$5:$E$12, MATCH(OpenLCAbasic!K9532,LookUps!$D$5:$D$12,0))))</f>
        <v>Cumulative Energy Demand (CED) - MJ</v>
      </c>
      <c r="M9532" s="154" t="str">
        <f t="shared" si="792"/>
        <v>Low_Base_Low_Upgraded_Cumulative Energy Demand (CED) - MJ_Anaerobic Digestion; wastewater treatment unit; at updated plant - US_Base_With Amendment_Aerated Static Pile</v>
      </c>
    </row>
    <row r="9533" spans="1:13" s="120" customFormat="1" x14ac:dyDescent="0.25">
      <c r="A9533" s="119"/>
      <c r="B9533" s="138" t="str">
        <f t="shared" si="793"/>
        <v>Aerated Static Pile</v>
      </c>
      <c r="C9533" s="138" t="str">
        <f t="shared" si="794"/>
        <v>Base_With Amendment</v>
      </c>
      <c r="D9533" s="138" t="str">
        <f t="shared" si="790"/>
        <v>Base_Low</v>
      </c>
      <c r="E9533" s="138" t="str">
        <f t="shared" si="791"/>
        <v>Low</v>
      </c>
      <c r="F9533" s="138" t="str">
        <f t="shared" si="795"/>
        <v>Upgraded</v>
      </c>
      <c r="G9533" s="153"/>
      <c r="H9533" s="210">
        <v>8.8900000000000007E-2</v>
      </c>
      <c r="I9533" s="160" t="s">
        <v>435</v>
      </c>
      <c r="J9533" s="160">
        <v>1.3867400000000001</v>
      </c>
      <c r="K9533" s="160" t="s">
        <v>15</v>
      </c>
      <c r="L9533" s="154" t="str">
        <f>IF(OpenLCAbasic!K9533="CTUh", "Fill in Manually",IF(OR(K9533="Unit", K9533=""), "", INDEX(LookUps!$E$5:$E$12, MATCH(OpenLCAbasic!K9533,LookUps!$D$5:$D$12,0))))</f>
        <v>Cumulative Energy Demand (CED) - MJ</v>
      </c>
      <c r="M9533" s="154" t="str">
        <f t="shared" si="792"/>
        <v>Low_Base_Low_Upgraded_Cumulative Energy Demand (CED) - MJ_Biosolids composting; aerated static pile; wastewater treatment unit; at updated plant - US_Base_With Amendment_Aerated Static Pile</v>
      </c>
    </row>
    <row r="9534" spans="1:13" s="120" customFormat="1" x14ac:dyDescent="0.25">
      <c r="A9534" s="119"/>
      <c r="B9534" s="138" t="str">
        <f t="shared" si="793"/>
        <v>Aerated Static Pile</v>
      </c>
      <c r="C9534" s="138" t="str">
        <f t="shared" si="794"/>
        <v>Base_With Amendment</v>
      </c>
      <c r="D9534" s="138" t="str">
        <f t="shared" si="790"/>
        <v>Base_Low</v>
      </c>
      <c r="E9534" s="138" t="str">
        <f t="shared" si="791"/>
        <v>Low</v>
      </c>
      <c r="F9534" s="138" t="str">
        <f t="shared" si="795"/>
        <v>Upgraded</v>
      </c>
      <c r="G9534" s="153"/>
      <c r="H9534" s="210">
        <v>7.4499999999999997E-2</v>
      </c>
      <c r="I9534" s="160" t="s">
        <v>54</v>
      </c>
      <c r="J9534" s="160">
        <v>1.16289</v>
      </c>
      <c r="K9534" s="160" t="s">
        <v>15</v>
      </c>
      <c r="L9534" s="154" t="str">
        <f>IF(OpenLCAbasic!K9534="CTUh", "Fill in Manually",IF(OR(K9534="Unit", K9534=""), "", INDEX(LookUps!$E$5:$E$12, MATCH(OpenLCAbasic!K9534,LookUps!$D$5:$D$12,0))))</f>
        <v>Cumulative Energy Demand (CED) - MJ</v>
      </c>
      <c r="M9534" s="154" t="str">
        <f t="shared" si="792"/>
        <v>Low_Base_Low_Upgraded_Cumulative Energy Demand (CED) - MJ_Clear Cove Primary Clarification; wastewater treatment unit; at updated plant - US_Base_With Amendment_Aerated Static Pile</v>
      </c>
    </row>
    <row r="9535" spans="1:13" s="120" customFormat="1" x14ac:dyDescent="0.25">
      <c r="A9535" s="119"/>
      <c r="B9535" s="138" t="str">
        <f t="shared" si="793"/>
        <v>Aerated Static Pile</v>
      </c>
      <c r="C9535" s="138" t="str">
        <f t="shared" si="794"/>
        <v>Base_With Amendment</v>
      </c>
      <c r="D9535" s="138" t="str">
        <f t="shared" si="790"/>
        <v>Base_Low</v>
      </c>
      <c r="E9535" s="138" t="str">
        <f t="shared" si="791"/>
        <v>Low</v>
      </c>
      <c r="F9535" s="138" t="str">
        <f t="shared" si="795"/>
        <v>Upgraded</v>
      </c>
      <c r="G9535" s="153"/>
      <c r="H9535" s="210">
        <v>5.67E-2</v>
      </c>
      <c r="I9535" s="160" t="s">
        <v>58</v>
      </c>
      <c r="J9535" s="160">
        <v>0.88417000000000001</v>
      </c>
      <c r="K9535" s="160" t="s">
        <v>15</v>
      </c>
      <c r="L9535" s="154" t="str">
        <f>IF(OpenLCAbasic!K9535="CTUh", "Fill in Manually",IF(OR(K9535="Unit", K9535=""), "", INDEX(LookUps!$E$5:$E$12, MATCH(OpenLCAbasic!K9535,LookUps!$D$5:$D$12,0))))</f>
        <v>Cumulative Energy Demand (CED) - MJ</v>
      </c>
      <c r="M9535" s="154" t="str">
        <f t="shared" si="792"/>
        <v>Low_Base_Low_Upgraded_Cumulative Energy Demand (CED) - MJ_Pre-Anoxic &amp; Swing tank; wastewater treatment unit; at updated plant - US_Base_With Amendment_Aerated Static Pile</v>
      </c>
    </row>
    <row r="9536" spans="1:13" s="120" customFormat="1" x14ac:dyDescent="0.25">
      <c r="A9536" s="119"/>
      <c r="B9536" s="138" t="str">
        <f t="shared" si="793"/>
        <v>Aerated Static Pile</v>
      </c>
      <c r="C9536" s="138" t="str">
        <f t="shared" si="794"/>
        <v>Base_With Amendment</v>
      </c>
      <c r="D9536" s="138" t="str">
        <f t="shared" si="790"/>
        <v>Base_Low</v>
      </c>
      <c r="E9536" s="138" t="str">
        <f t="shared" si="791"/>
        <v>Low</v>
      </c>
      <c r="F9536" s="138" t="str">
        <f t="shared" si="795"/>
        <v>Upgraded</v>
      </c>
      <c r="G9536" s="153"/>
      <c r="H9536" s="210">
        <v>5.6599999999999998E-2</v>
      </c>
      <c r="I9536" s="160" t="s">
        <v>147</v>
      </c>
      <c r="J9536" s="160">
        <v>0.88297000000000003</v>
      </c>
      <c r="K9536" s="160" t="s">
        <v>15</v>
      </c>
      <c r="L9536" s="154" t="str">
        <f>IF(OpenLCAbasic!K9536="CTUh", "Fill in Manually",IF(OR(K9536="Unit", K9536=""), "", INDEX(LookUps!$E$5:$E$12, MATCH(OpenLCAbasic!K9536,LookUps!$D$5:$D$12,0))))</f>
        <v>Cumulative Energy Demand (CED) - MJ</v>
      </c>
      <c r="M9536" s="154" t="str">
        <f t="shared" si="792"/>
        <v>Low_Base_Low_Upgraded_Cumulative Energy Demand (CED) - MJ_Influent Pump Station; wastewater treatment unit; at updated plant - US_Base_With Amendment_Aerated Static Pile</v>
      </c>
    </row>
    <row r="9537" spans="1:13" s="120" customFormat="1" x14ac:dyDescent="0.25">
      <c r="A9537" s="119"/>
      <c r="B9537" s="138" t="str">
        <f t="shared" si="793"/>
        <v>Aerated Static Pile</v>
      </c>
      <c r="C9537" s="138" t="str">
        <f t="shared" si="794"/>
        <v>Base_With Amendment</v>
      </c>
      <c r="D9537" s="138" t="str">
        <f t="shared" si="790"/>
        <v>Base_Low</v>
      </c>
      <c r="E9537" s="138" t="str">
        <f t="shared" si="791"/>
        <v>Low</v>
      </c>
      <c r="F9537" s="138" t="str">
        <f t="shared" si="795"/>
        <v>Upgraded</v>
      </c>
      <c r="G9537" s="153"/>
      <c r="H9537" s="210">
        <v>4.4600000000000001E-2</v>
      </c>
      <c r="I9537" s="160" t="s">
        <v>53</v>
      </c>
      <c r="J9537" s="160">
        <v>0.69645000000000001</v>
      </c>
      <c r="K9537" s="160" t="s">
        <v>15</v>
      </c>
      <c r="L9537" s="154" t="str">
        <f>IF(OpenLCAbasic!K9537="CTUh", "Fill in Manually",IF(OR(K9537="Unit", K9537=""), "", INDEX(LookUps!$E$5:$E$12, MATCH(OpenLCAbasic!K9537,LookUps!$D$5:$D$12,0))))</f>
        <v>Cumulative Energy Demand (CED) - MJ</v>
      </c>
      <c r="M9537" s="154" t="str">
        <f t="shared" si="792"/>
        <v>Low_Base_Low_Upgraded_Cumulative Energy Demand (CED) - MJ_Wet Well and Sump Station; wastewater treatment unit; at updated plant - US_Base_With Amendment_Aerated Static Pile</v>
      </c>
    </row>
    <row r="9538" spans="1:13" s="120" customFormat="1" x14ac:dyDescent="0.25">
      <c r="A9538" s="119"/>
      <c r="B9538" s="138" t="str">
        <f t="shared" si="793"/>
        <v>Aerated Static Pile</v>
      </c>
      <c r="C9538" s="138" t="str">
        <f t="shared" si="794"/>
        <v>Base_With Amendment</v>
      </c>
      <c r="D9538" s="138" t="str">
        <f t="shared" si="790"/>
        <v>Base_Low</v>
      </c>
      <c r="E9538" s="138" t="str">
        <f t="shared" si="791"/>
        <v>Low</v>
      </c>
      <c r="F9538" s="138" t="str">
        <f t="shared" si="795"/>
        <v>Upgraded</v>
      </c>
      <c r="G9538" s="153"/>
      <c r="H9538" s="210">
        <v>2.1399999999999999E-2</v>
      </c>
      <c r="I9538" s="160" t="s">
        <v>57</v>
      </c>
      <c r="J9538" s="160">
        <v>0.33404</v>
      </c>
      <c r="K9538" s="160" t="s">
        <v>15</v>
      </c>
      <c r="L9538" s="154" t="str">
        <f>IF(OpenLCAbasic!K9538="CTUh", "Fill in Manually",IF(OR(K9538="Unit", K9538=""), "", INDEX(LookUps!$E$5:$E$12, MATCH(OpenLCAbasic!K9538,LookUps!$D$5:$D$12,0))))</f>
        <v>Cumulative Energy Demand (CED) - MJ</v>
      </c>
      <c r="M9538" s="154" t="str">
        <f t="shared" si="792"/>
        <v>Low_Base_Low_Upgraded_Cumulative Energy Demand (CED) - MJ_Gravity Belt Thickener; wastewater treatment unit; at updated plant - US_Base_With Amendment_Aerated Static Pile</v>
      </c>
    </row>
    <row r="9539" spans="1:13" s="120" customFormat="1" x14ac:dyDescent="0.25">
      <c r="A9539" s="119"/>
      <c r="B9539" s="138" t="str">
        <f t="shared" si="793"/>
        <v>Aerated Static Pile</v>
      </c>
      <c r="C9539" s="138" t="str">
        <f t="shared" si="794"/>
        <v>Base_With Amendment</v>
      </c>
      <c r="D9539" s="138" t="str">
        <f t="shared" si="790"/>
        <v>Base_Low</v>
      </c>
      <c r="E9539" s="138" t="str">
        <f t="shared" si="791"/>
        <v>Low</v>
      </c>
      <c r="F9539" s="138" t="str">
        <f t="shared" si="795"/>
        <v>Upgraded</v>
      </c>
      <c r="G9539" s="153"/>
      <c r="H9539" s="210">
        <v>2.0500000000000001E-2</v>
      </c>
      <c r="I9539" s="160" t="s">
        <v>60</v>
      </c>
      <c r="J9539" s="160">
        <v>0.32008999999999999</v>
      </c>
      <c r="K9539" s="160" t="s">
        <v>15</v>
      </c>
      <c r="L9539" s="154" t="str">
        <f>IF(OpenLCAbasic!K9539="CTUh", "Fill in Manually",IF(OR(K9539="Unit", K9539=""), "", INDEX(LookUps!$E$5:$E$12, MATCH(OpenLCAbasic!K9539,LookUps!$D$5:$D$12,0))))</f>
        <v>Cumulative Energy Demand (CED) - MJ</v>
      </c>
      <c r="M9539" s="154" t="str">
        <f t="shared" si="792"/>
        <v>Low_Base_Low_Upgraded_Cumulative Energy Demand (CED) - MJ_Belt filter press; wastewater treatment unit; at updated plant - US_Base_With Amendment_Aerated Static Pile</v>
      </c>
    </row>
    <row r="9540" spans="1:13" s="120" customFormat="1" x14ac:dyDescent="0.25">
      <c r="A9540" s="119"/>
      <c r="B9540" s="138" t="str">
        <f t="shared" si="793"/>
        <v>Aerated Static Pile</v>
      </c>
      <c r="C9540" s="138" t="str">
        <f t="shared" si="794"/>
        <v>Base_With Amendment</v>
      </c>
      <c r="D9540" s="138" t="str">
        <f t="shared" si="790"/>
        <v>Base_Low</v>
      </c>
      <c r="E9540" s="138" t="str">
        <f t="shared" si="791"/>
        <v>Low</v>
      </c>
      <c r="F9540" s="138" t="str">
        <f t="shared" si="795"/>
        <v>Upgraded</v>
      </c>
      <c r="G9540" s="153"/>
      <c r="H9540" s="210">
        <v>1.6400000000000001E-2</v>
      </c>
      <c r="I9540" s="160" t="s">
        <v>128</v>
      </c>
      <c r="J9540" s="160">
        <v>0.25606000000000001</v>
      </c>
      <c r="K9540" s="160" t="s">
        <v>15</v>
      </c>
      <c r="L9540" s="154" t="str">
        <f>IF(OpenLCAbasic!K9540="CTUh", "Fill in Manually",IF(OR(K9540="Unit", K9540=""), "", INDEX(LookUps!$E$5:$E$12, MATCH(OpenLCAbasic!K9540,LookUps!$D$5:$D$12,0))))</f>
        <v>Cumulative Energy Demand (CED) - MJ</v>
      </c>
      <c r="M9540" s="154" t="str">
        <f t="shared" si="792"/>
        <v>Low_Base_Low_Upgraded_Cumulative Energy Demand (CED) - MJ_Wastewater collection; operation and infrastructure; m3 wastewater_Base_With Amendment_Aerated Static Pile</v>
      </c>
    </row>
    <row r="9541" spans="1:13" s="120" customFormat="1" x14ac:dyDescent="0.25">
      <c r="A9541" s="119"/>
      <c r="B9541" s="138" t="str">
        <f t="shared" si="793"/>
        <v>Aerated Static Pile</v>
      </c>
      <c r="C9541" s="138" t="str">
        <f t="shared" si="794"/>
        <v>Base_With Amendment</v>
      </c>
      <c r="D9541" s="138" t="str">
        <f t="shared" si="790"/>
        <v>Base_Low</v>
      </c>
      <c r="E9541" s="138" t="str">
        <f t="shared" si="791"/>
        <v>Low</v>
      </c>
      <c r="F9541" s="138" t="str">
        <f t="shared" si="795"/>
        <v>Upgraded</v>
      </c>
      <c r="G9541" s="153"/>
      <c r="H9541" s="210">
        <v>9.4000000000000004E-3</v>
      </c>
      <c r="I9541" s="160" t="s">
        <v>148</v>
      </c>
      <c r="J9541" s="160">
        <v>0.14599000000000001</v>
      </c>
      <c r="K9541" s="160" t="s">
        <v>15</v>
      </c>
      <c r="L9541" s="154" t="str">
        <f>IF(OpenLCAbasic!K9541="CTUh", "Fill in Manually",IF(OR(K9541="Unit", K9541=""), "", INDEX(LookUps!$E$5:$E$12, MATCH(OpenLCAbasic!K9541,LookUps!$D$5:$D$12,0))))</f>
        <v>Cumulative Energy Demand (CED) - MJ</v>
      </c>
      <c r="M9541" s="154" t="str">
        <f t="shared" si="792"/>
        <v>Low_Base_Low_Upgraded_Cumulative Energy Demand (CED) - MJ_Control Building; at upgraded wastewater treatment plant - US_Base_With Amendment_Aerated Static Pile</v>
      </c>
    </row>
    <row r="9542" spans="1:13" s="120" customFormat="1" x14ac:dyDescent="0.25">
      <c r="A9542" s="119"/>
      <c r="B9542" s="138" t="str">
        <f t="shared" si="793"/>
        <v>Aerated Static Pile</v>
      </c>
      <c r="C9542" s="138" t="str">
        <f t="shared" si="794"/>
        <v>Base_With Amendment</v>
      </c>
      <c r="D9542" s="138" t="str">
        <f t="shared" si="790"/>
        <v>Base_Low</v>
      </c>
      <c r="E9542" s="138" t="str">
        <f t="shared" si="791"/>
        <v>Low</v>
      </c>
      <c r="F9542" s="138" t="str">
        <f t="shared" si="795"/>
        <v>Upgraded</v>
      </c>
      <c r="G9542" s="153"/>
      <c r="H9542" s="210">
        <v>8.5000000000000006E-3</v>
      </c>
      <c r="I9542" s="160" t="s">
        <v>48</v>
      </c>
      <c r="J9542" s="160">
        <v>0.13321</v>
      </c>
      <c r="K9542" s="160" t="s">
        <v>15</v>
      </c>
      <c r="L9542" s="154" t="str">
        <f>IF(OpenLCAbasic!K9542="CTUh", "Fill in Manually",IF(OR(K9542="Unit", K9542=""), "", INDEX(LookUps!$E$5:$E$12, MATCH(OpenLCAbasic!K9542,LookUps!$D$5:$D$12,0))))</f>
        <v>Cumulative Energy Demand (CED) - MJ</v>
      </c>
      <c r="M9542" s="154" t="str">
        <f t="shared" si="792"/>
        <v>Low_Base_Low_Upgraded_Cumulative Energy Demand (CED) - MJ_Effluent release; wastewater treatment unit; at surface water; m3 wastewater - US_Base_With Amendment_Aerated Static Pile</v>
      </c>
    </row>
    <row r="9543" spans="1:13" s="120" customFormat="1" x14ac:dyDescent="0.25">
      <c r="A9543" s="119"/>
      <c r="B9543" s="138" t="str">
        <f t="shared" si="793"/>
        <v>Aerated Static Pile</v>
      </c>
      <c r="C9543" s="138" t="str">
        <f t="shared" si="794"/>
        <v>Base_With Amendment</v>
      </c>
      <c r="D9543" s="138" t="str">
        <f t="shared" si="790"/>
        <v>Base_Low</v>
      </c>
      <c r="E9543" s="138" t="str">
        <f t="shared" si="791"/>
        <v>Low</v>
      </c>
      <c r="F9543" s="138" t="str">
        <f t="shared" si="795"/>
        <v>Upgraded</v>
      </c>
      <c r="G9543" s="153"/>
      <c r="H9543" s="210">
        <v>6.7999999999999996E-3</v>
      </c>
      <c r="I9543" s="160" t="s">
        <v>59</v>
      </c>
      <c r="J9543" s="160">
        <v>0.10638</v>
      </c>
      <c r="K9543" s="160" t="s">
        <v>15</v>
      </c>
      <c r="L9543" s="154" t="str">
        <f>IF(OpenLCAbasic!K9543="CTUh", "Fill in Manually",IF(OR(K9543="Unit", K9543=""), "", INDEX(LookUps!$E$5:$E$12, MATCH(OpenLCAbasic!K9543,LookUps!$D$5:$D$12,0))))</f>
        <v>Cumulative Energy Demand (CED) - MJ</v>
      </c>
      <c r="M9543" s="154" t="str">
        <f t="shared" si="792"/>
        <v>Low_Base_Low_Upgraded_Cumulative Energy Demand (CED) - MJ_Blend Tank; wastewater treatment unit; at updated plant - US_Base_With Amendment_Aerated Static Pile</v>
      </c>
    </row>
    <row r="9544" spans="1:13" s="120" customFormat="1" x14ac:dyDescent="0.25">
      <c r="A9544" s="119"/>
      <c r="B9544" s="138" t="str">
        <f t="shared" si="793"/>
        <v>Aerated Static Pile</v>
      </c>
      <c r="C9544" s="138" t="str">
        <f t="shared" si="794"/>
        <v>Base_With Amendment</v>
      </c>
      <c r="D9544" s="138" t="str">
        <f t="shared" si="790"/>
        <v>Base_Low</v>
      </c>
      <c r="E9544" s="138" t="str">
        <f t="shared" si="791"/>
        <v>Low</v>
      </c>
      <c r="F9544" s="138" t="str">
        <f t="shared" si="795"/>
        <v>Upgraded</v>
      </c>
      <c r="G9544" s="153"/>
      <c r="H9544" s="210">
        <v>3.3E-3</v>
      </c>
      <c r="I9544" s="160" t="s">
        <v>168</v>
      </c>
      <c r="J9544" s="160">
        <v>5.0930000000000003E-2</v>
      </c>
      <c r="K9544" s="160" t="s">
        <v>15</v>
      </c>
      <c r="L9544" s="154" t="str">
        <f>IF(OpenLCAbasic!K9544="CTUh", "Fill in Manually",IF(OR(K9544="Unit", K9544=""), "", INDEX(LookUps!$E$5:$E$12, MATCH(OpenLCAbasic!K9544,LookUps!$D$5:$D$12,0))))</f>
        <v>Cumulative Energy Demand (CED) - MJ</v>
      </c>
      <c r="M9544" s="154" t="str">
        <f t="shared" si="792"/>
        <v>Low_Base_Low_Upgraded_Cumulative Energy Demand (CED) - MJ_ClearCove SCP; wastewater treatment unit; at updated plant - US_Base_With Amendment_Aerated Static Pile</v>
      </c>
    </row>
    <row r="9545" spans="1:13" s="120" customFormat="1" x14ac:dyDescent="0.25">
      <c r="A9545" s="119"/>
      <c r="B9545" s="138" t="str">
        <f t="shared" si="793"/>
        <v>Aerated Static Pile</v>
      </c>
      <c r="C9545" s="138" t="str">
        <f t="shared" si="794"/>
        <v>Base_With Amendment</v>
      </c>
      <c r="D9545" s="138" t="str">
        <f t="shared" si="790"/>
        <v>Base_Low</v>
      </c>
      <c r="E9545" s="138" t="str">
        <f t="shared" si="791"/>
        <v>Low</v>
      </c>
      <c r="F9545" s="138" t="str">
        <f t="shared" si="795"/>
        <v>Upgraded</v>
      </c>
      <c r="G9545" s="153"/>
      <c r="H9545" s="210">
        <v>-3.3700000000000001E-2</v>
      </c>
      <c r="I9545" s="160" t="s">
        <v>62</v>
      </c>
      <c r="J9545" s="160">
        <v>-0.52512999999999999</v>
      </c>
      <c r="K9545" s="160" t="s">
        <v>15</v>
      </c>
      <c r="L9545" s="154" t="str">
        <f>IF(OpenLCAbasic!K9545="CTUh", "Fill in Manually",IF(OR(K9545="Unit", K9545=""), "", INDEX(LookUps!$E$5:$E$12, MATCH(OpenLCAbasic!K9545,LookUps!$D$5:$D$12,0))))</f>
        <v>Cumulative Energy Demand (CED) - MJ</v>
      </c>
      <c r="M9545" s="154" t="str">
        <f t="shared" si="792"/>
        <v>Low_Base_Low_Upgraded_Cumulative Energy Demand (CED) - MJ_Land application of compost; wastewater treatment unit; at updated plant - US_Base_With Amendment_Aerated Static Pile</v>
      </c>
    </row>
    <row r="9546" spans="1:13" s="120" customFormat="1" x14ac:dyDescent="0.25">
      <c r="A9546" s="119"/>
      <c r="B9546" s="138" t="str">
        <f t="shared" si="793"/>
        <v/>
      </c>
      <c r="C9546" s="138" t="str">
        <f t="shared" si="794"/>
        <v/>
      </c>
      <c r="D9546" s="138" t="str">
        <f t="shared" si="790"/>
        <v/>
      </c>
      <c r="E9546" s="138" t="str">
        <f t="shared" si="791"/>
        <v/>
      </c>
      <c r="F9546" s="138" t="str">
        <f t="shared" si="795"/>
        <v/>
      </c>
      <c r="G9546" s="153" t="s">
        <v>51</v>
      </c>
      <c r="H9546" s="160"/>
      <c r="I9546" s="160" t="s">
        <v>47</v>
      </c>
      <c r="J9546" s="160" t="s">
        <v>52</v>
      </c>
      <c r="K9546" s="160" t="s">
        <v>27</v>
      </c>
      <c r="L9546" s="154" t="str">
        <f>IF(OpenLCAbasic!K9546="CTUh", "Fill in Manually",IF(OR(K9546="Unit", K9546=""), "", INDEX(LookUps!$E$5:$E$12, MATCH(OpenLCAbasic!K9546,LookUps!$D$5:$D$12,0))))</f>
        <v/>
      </c>
      <c r="M9546" s="154" t="str">
        <f t="shared" si="792"/>
        <v>____Process__</v>
      </c>
    </row>
    <row r="9547" spans="1:13" s="120" customFormat="1" x14ac:dyDescent="0.25">
      <c r="A9547" s="119"/>
      <c r="B9547" s="138" t="str">
        <f t="shared" si="793"/>
        <v>Aerated Static Pile</v>
      </c>
      <c r="C9547" s="138" t="str">
        <f t="shared" si="794"/>
        <v>Base_With Amendment</v>
      </c>
      <c r="D9547" s="138" t="str">
        <f t="shared" si="790"/>
        <v>Base_Low</v>
      </c>
      <c r="E9547" s="138" t="str">
        <f t="shared" si="791"/>
        <v>Low</v>
      </c>
      <c r="F9547" s="138" t="str">
        <f t="shared" si="795"/>
        <v>Upgraded</v>
      </c>
      <c r="G9547" s="153"/>
      <c r="H9547" s="210">
        <v>0.73060000000000003</v>
      </c>
      <c r="I9547" s="160" t="s">
        <v>48</v>
      </c>
      <c r="J9547" s="160">
        <v>1.1610000000000001E-2</v>
      </c>
      <c r="K9547" s="160" t="s">
        <v>13</v>
      </c>
      <c r="L9547" s="154" t="str">
        <f>IF(OpenLCAbasic!K9547="CTUh", "Fill in Manually",IF(OR(K9547="Unit", K9547=""), "", INDEX(LookUps!$E$5:$E$12, MATCH(OpenLCAbasic!K9547,LookUps!$D$5:$D$12,0))))</f>
        <v>Eutrophication Potential (EP) - kg N eq</v>
      </c>
      <c r="M9547" s="154" t="str">
        <f t="shared" si="792"/>
        <v>Low_Base_Low_Upgraded_Eutrophication Potential (EP) - kg N eq_Effluent release; wastewater treatment unit; at surface water; m3 wastewater - US_Base_With Amendment_Aerated Static Pile</v>
      </c>
    </row>
    <row r="9548" spans="1:13" s="120" customFormat="1" x14ac:dyDescent="0.25">
      <c r="A9548" s="119"/>
      <c r="B9548" s="138" t="str">
        <f t="shared" si="793"/>
        <v>Aerated Static Pile</v>
      </c>
      <c r="C9548" s="138" t="str">
        <f t="shared" si="794"/>
        <v>Base_With Amendment</v>
      </c>
      <c r="D9548" s="138" t="str">
        <f t="shared" si="790"/>
        <v>Base_Low</v>
      </c>
      <c r="E9548" s="138" t="str">
        <f t="shared" si="791"/>
        <v>Low</v>
      </c>
      <c r="F9548" s="138" t="str">
        <f t="shared" si="795"/>
        <v>Upgraded</v>
      </c>
      <c r="G9548" s="153"/>
      <c r="H9548" s="210">
        <v>0.14860000000000001</v>
      </c>
      <c r="I9548" s="160" t="s">
        <v>62</v>
      </c>
      <c r="J9548" s="160">
        <v>2.3600000000000001E-3</v>
      </c>
      <c r="K9548" s="160" t="s">
        <v>13</v>
      </c>
      <c r="L9548" s="154" t="str">
        <f>IF(OpenLCAbasic!K9548="CTUh", "Fill in Manually",IF(OR(K9548="Unit", K9548=""), "", INDEX(LookUps!$E$5:$E$12, MATCH(OpenLCAbasic!K9548,LookUps!$D$5:$D$12,0))))</f>
        <v>Eutrophication Potential (EP) - kg N eq</v>
      </c>
      <c r="M9548" s="154" t="str">
        <f t="shared" si="792"/>
        <v>Low_Base_Low_Upgraded_Eutrophication Potential (EP) - kg N eq_Land application of compost; wastewater treatment unit; at updated plant - US_Base_With Amendment_Aerated Static Pile</v>
      </c>
    </row>
    <row r="9549" spans="1:13" s="120" customFormat="1" x14ac:dyDescent="0.25">
      <c r="A9549" s="119"/>
      <c r="B9549" s="138" t="str">
        <f t="shared" si="793"/>
        <v>Aerated Static Pile</v>
      </c>
      <c r="C9549" s="138" t="str">
        <f t="shared" si="794"/>
        <v>Base_With Amendment</v>
      </c>
      <c r="D9549" s="138" t="str">
        <f t="shared" si="790"/>
        <v>Base_Low</v>
      </c>
      <c r="E9549" s="138" t="str">
        <f t="shared" si="791"/>
        <v>Low</v>
      </c>
      <c r="F9549" s="138" t="str">
        <f t="shared" si="795"/>
        <v>Upgraded</v>
      </c>
      <c r="G9549" s="153"/>
      <c r="H9549" s="210">
        <v>3.44E-2</v>
      </c>
      <c r="I9549" s="160" t="s">
        <v>55</v>
      </c>
      <c r="J9549" s="160">
        <v>5.5000000000000003E-4</v>
      </c>
      <c r="K9549" s="160" t="s">
        <v>13</v>
      </c>
      <c r="L9549" s="154" t="str">
        <f>IF(OpenLCAbasic!K9549="CTUh", "Fill in Manually",IF(OR(K9549="Unit", K9549=""), "", INDEX(LookUps!$E$5:$E$12, MATCH(OpenLCAbasic!K9549,LookUps!$D$5:$D$12,0))))</f>
        <v>Eutrophication Potential (EP) - kg N eq</v>
      </c>
      <c r="M9549" s="154" t="str">
        <f t="shared" si="792"/>
        <v>Low_Base_Low_Upgraded_Eutrophication Potential (EP) - kg N eq_Aeration Tanks; wastewater treatment unit; at updated plant - US_Base_With Amendment_Aerated Static Pile</v>
      </c>
    </row>
    <row r="9550" spans="1:13" s="120" customFormat="1" x14ac:dyDescent="0.25">
      <c r="A9550" s="119"/>
      <c r="B9550" s="138" t="str">
        <f t="shared" si="793"/>
        <v>Aerated Static Pile</v>
      </c>
      <c r="C9550" s="138" t="str">
        <f t="shared" si="794"/>
        <v>Base_With Amendment</v>
      </c>
      <c r="D9550" s="138" t="str">
        <f t="shared" si="790"/>
        <v>Base_Low</v>
      </c>
      <c r="E9550" s="138" t="str">
        <f t="shared" si="791"/>
        <v>Low</v>
      </c>
      <c r="F9550" s="138" t="str">
        <f t="shared" si="795"/>
        <v>Upgraded</v>
      </c>
      <c r="G9550" s="153"/>
      <c r="H9550" s="210">
        <v>1.5699999999999999E-2</v>
      </c>
      <c r="I9550" s="160" t="s">
        <v>147</v>
      </c>
      <c r="J9550" s="160">
        <v>2.5000000000000001E-4</v>
      </c>
      <c r="K9550" s="160" t="s">
        <v>13</v>
      </c>
      <c r="L9550" s="154" t="str">
        <f>IF(OpenLCAbasic!K9550="CTUh", "Fill in Manually",IF(OR(K9550="Unit", K9550=""), "", INDEX(LookUps!$E$5:$E$12, MATCH(OpenLCAbasic!K9550,LookUps!$D$5:$D$12,0))))</f>
        <v>Eutrophication Potential (EP) - kg N eq</v>
      </c>
      <c r="M9550" s="154" t="str">
        <f t="shared" si="792"/>
        <v>Low_Base_Low_Upgraded_Eutrophication Potential (EP) - kg N eq_Influent Pump Station; wastewater treatment unit; at updated plant - US_Base_With Amendment_Aerated Static Pile</v>
      </c>
    </row>
    <row r="9551" spans="1:13" s="120" customFormat="1" x14ac:dyDescent="0.25">
      <c r="A9551" s="119"/>
      <c r="B9551" s="138" t="str">
        <f t="shared" si="793"/>
        <v>Aerated Static Pile</v>
      </c>
      <c r="C9551" s="138" t="str">
        <f t="shared" si="794"/>
        <v>Base_With Amendment</v>
      </c>
      <c r="D9551" s="138" t="str">
        <f t="shared" si="790"/>
        <v>Base_Low</v>
      </c>
      <c r="E9551" s="138" t="str">
        <f t="shared" si="791"/>
        <v>Low</v>
      </c>
      <c r="F9551" s="138" t="str">
        <f t="shared" si="795"/>
        <v>Upgraded</v>
      </c>
      <c r="G9551" s="153"/>
      <c r="H9551" s="210">
        <v>1.34E-2</v>
      </c>
      <c r="I9551" s="160" t="s">
        <v>435</v>
      </c>
      <c r="J9551" s="160">
        <v>2.1000000000000001E-4</v>
      </c>
      <c r="K9551" s="160" t="s">
        <v>13</v>
      </c>
      <c r="L9551" s="154" t="str">
        <f>IF(OpenLCAbasic!K9551="CTUh", "Fill in Manually",IF(OR(K9551="Unit", K9551=""), "", INDEX(LookUps!$E$5:$E$12, MATCH(OpenLCAbasic!K9551,LookUps!$D$5:$D$12,0))))</f>
        <v>Eutrophication Potential (EP) - kg N eq</v>
      </c>
      <c r="M9551" s="154" t="str">
        <f t="shared" si="792"/>
        <v>Low_Base_Low_Upgraded_Eutrophication Potential (EP) - kg N eq_Biosolids composting; aerated static pile; wastewater treatment unit; at updated plant - US_Base_With Amendment_Aerated Static Pile</v>
      </c>
    </row>
    <row r="9552" spans="1:13" s="120" customFormat="1" x14ac:dyDescent="0.25">
      <c r="A9552" s="119"/>
      <c r="B9552" s="138" t="str">
        <f t="shared" si="793"/>
        <v>Aerated Static Pile</v>
      </c>
      <c r="C9552" s="138" t="str">
        <f t="shared" si="794"/>
        <v>Base_With Amendment</v>
      </c>
      <c r="D9552" s="138" t="str">
        <f t="shared" si="790"/>
        <v>Base_Low</v>
      </c>
      <c r="E9552" s="138" t="str">
        <f t="shared" si="791"/>
        <v>Low</v>
      </c>
      <c r="F9552" s="138" t="str">
        <f t="shared" si="795"/>
        <v>Upgraded</v>
      </c>
      <c r="G9552" s="153"/>
      <c r="H9552" s="210">
        <v>1.2500000000000001E-2</v>
      </c>
      <c r="I9552" s="160" t="s">
        <v>54</v>
      </c>
      <c r="J9552" s="160">
        <v>2.0000000000000001E-4</v>
      </c>
      <c r="K9552" s="160" t="s">
        <v>13</v>
      </c>
      <c r="L9552" s="154" t="str">
        <f>IF(OpenLCAbasic!K9552="CTUh", "Fill in Manually",IF(OR(K9552="Unit", K9552=""), "", INDEX(LookUps!$E$5:$E$12, MATCH(OpenLCAbasic!K9552,LookUps!$D$5:$D$12,0))))</f>
        <v>Eutrophication Potential (EP) - kg N eq</v>
      </c>
      <c r="M9552" s="154" t="str">
        <f t="shared" si="792"/>
        <v>Low_Base_Low_Upgraded_Eutrophication Potential (EP) - kg N eq_Clear Cove Primary Clarification; wastewater treatment unit; at updated plant - US_Base_With Amendment_Aerated Static Pile</v>
      </c>
    </row>
    <row r="9553" spans="1:13" s="120" customFormat="1" x14ac:dyDescent="0.25">
      <c r="A9553" s="119"/>
      <c r="B9553" s="138" t="str">
        <f t="shared" si="793"/>
        <v>Aerated Static Pile</v>
      </c>
      <c r="C9553" s="138" t="str">
        <f t="shared" si="794"/>
        <v>Base_With Amendment</v>
      </c>
      <c r="D9553" s="138" t="str">
        <f t="shared" si="790"/>
        <v>Base_Low</v>
      </c>
      <c r="E9553" s="138" t="str">
        <f t="shared" si="791"/>
        <v>Low</v>
      </c>
      <c r="F9553" s="138" t="str">
        <f t="shared" si="795"/>
        <v>Upgraded</v>
      </c>
      <c r="G9553" s="153"/>
      <c r="H9553" s="210">
        <v>1.03E-2</v>
      </c>
      <c r="I9553" s="160" t="s">
        <v>167</v>
      </c>
      <c r="J9553" s="160">
        <v>1.6000000000000001E-4</v>
      </c>
      <c r="K9553" s="160" t="s">
        <v>13</v>
      </c>
      <c r="L9553" s="154" t="str">
        <f>IF(OpenLCAbasic!K9553="CTUh", "Fill in Manually",IF(OR(K9553="Unit", K9553=""), "", INDEX(LookUps!$E$5:$E$12, MATCH(OpenLCAbasic!K9553,LookUps!$D$5:$D$12,0))))</f>
        <v>Eutrophication Potential (EP) - kg N eq</v>
      </c>
      <c r="M9553" s="154" t="str">
        <f t="shared" si="792"/>
        <v>Low_Base_Low_Upgraded_Eutrophication Potential (EP) - kg N eq_Waste Receiving and Holding; wastewater treatment unit; at updated plant - US_Base_With Amendment_Aerated Static Pile</v>
      </c>
    </row>
    <row r="9554" spans="1:13" s="120" customFormat="1" x14ac:dyDescent="0.25">
      <c r="A9554" s="119"/>
      <c r="B9554" s="138" t="str">
        <f t="shared" si="793"/>
        <v>Aerated Static Pile</v>
      </c>
      <c r="C9554" s="138" t="str">
        <f t="shared" si="794"/>
        <v>Base_With Amendment</v>
      </c>
      <c r="D9554" s="138" t="str">
        <f t="shared" si="790"/>
        <v>Base_Low</v>
      </c>
      <c r="E9554" s="138" t="str">
        <f t="shared" si="791"/>
        <v>Low</v>
      </c>
      <c r="F9554" s="138" t="str">
        <f t="shared" si="795"/>
        <v>Upgraded</v>
      </c>
      <c r="G9554" s="153"/>
      <c r="H9554" s="210">
        <v>8.5000000000000006E-3</v>
      </c>
      <c r="I9554" s="160" t="s">
        <v>58</v>
      </c>
      <c r="J9554" s="160">
        <v>1.3999999999999999E-4</v>
      </c>
      <c r="K9554" s="160" t="s">
        <v>13</v>
      </c>
      <c r="L9554" s="154" t="str">
        <f>IF(OpenLCAbasic!K9554="CTUh", "Fill in Manually",IF(OR(K9554="Unit", K9554=""), "", INDEX(LookUps!$E$5:$E$12, MATCH(OpenLCAbasic!K9554,LookUps!$D$5:$D$12,0))))</f>
        <v>Eutrophication Potential (EP) - kg N eq</v>
      </c>
      <c r="M9554" s="154" t="str">
        <f t="shared" si="792"/>
        <v>Low_Base_Low_Upgraded_Eutrophication Potential (EP) - kg N eq_Pre-Anoxic &amp; Swing tank; wastewater treatment unit; at updated plant - US_Base_With Amendment_Aerated Static Pile</v>
      </c>
    </row>
    <row r="9555" spans="1:13" s="120" customFormat="1" x14ac:dyDescent="0.25">
      <c r="A9555" s="119"/>
      <c r="B9555" s="138" t="str">
        <f t="shared" si="793"/>
        <v>Aerated Static Pile</v>
      </c>
      <c r="C9555" s="138" t="str">
        <f t="shared" si="794"/>
        <v>Base_With Amendment</v>
      </c>
      <c r="D9555" s="138" t="str">
        <f t="shared" si="790"/>
        <v>Base_Low</v>
      </c>
      <c r="E9555" s="138" t="str">
        <f t="shared" si="791"/>
        <v>Low</v>
      </c>
      <c r="F9555" s="138" t="str">
        <f t="shared" si="795"/>
        <v>Upgraded</v>
      </c>
      <c r="G9555" s="153"/>
      <c r="H9555" s="210">
        <v>6.7999999999999996E-3</v>
      </c>
      <c r="I9555" s="160" t="s">
        <v>53</v>
      </c>
      <c r="J9555" s="160">
        <v>1.1E-4</v>
      </c>
      <c r="K9555" s="160" t="s">
        <v>13</v>
      </c>
      <c r="L9555" s="154" t="str">
        <f>IF(OpenLCAbasic!K9555="CTUh", "Fill in Manually",IF(OR(K9555="Unit", K9555=""), "", INDEX(LookUps!$E$5:$E$12, MATCH(OpenLCAbasic!K9555,LookUps!$D$5:$D$12,0))))</f>
        <v>Eutrophication Potential (EP) - kg N eq</v>
      </c>
      <c r="M9555" s="154" t="str">
        <f t="shared" si="792"/>
        <v>Low_Base_Low_Upgraded_Eutrophication Potential (EP) - kg N eq_Wet Well and Sump Station; wastewater treatment unit; at updated plant - US_Base_With Amendment_Aerated Static Pile</v>
      </c>
    </row>
    <row r="9556" spans="1:13" s="120" customFormat="1" x14ac:dyDescent="0.25">
      <c r="A9556" s="119"/>
      <c r="B9556" s="138" t="str">
        <f t="shared" si="793"/>
        <v>Aerated Static Pile</v>
      </c>
      <c r="C9556" s="138" t="str">
        <f t="shared" si="794"/>
        <v>Base_With Amendment</v>
      </c>
      <c r="D9556" s="138" t="str">
        <f t="shared" si="790"/>
        <v>Base_Low</v>
      </c>
      <c r="E9556" s="138" t="str">
        <f t="shared" si="791"/>
        <v>Low</v>
      </c>
      <c r="F9556" s="138" t="str">
        <f t="shared" si="795"/>
        <v>Upgraded</v>
      </c>
      <c r="G9556" s="153"/>
      <c r="H9556" s="210">
        <v>5.7999999999999996E-3</v>
      </c>
      <c r="I9556" s="160" t="s">
        <v>149</v>
      </c>
      <c r="J9556" s="211">
        <v>9.1798299999999998E-5</v>
      </c>
      <c r="K9556" s="160" t="s">
        <v>13</v>
      </c>
      <c r="L9556" s="154" t="str">
        <f>IF(OpenLCAbasic!K9556="CTUh", "Fill in Manually",IF(OR(K9556="Unit", K9556=""), "", INDEX(LookUps!$E$5:$E$12, MATCH(OpenLCAbasic!K9556,LookUps!$D$5:$D$12,0))))</f>
        <v>Eutrophication Potential (EP) - kg N eq</v>
      </c>
      <c r="M9556" s="154" t="str">
        <f t="shared" si="792"/>
        <v>Low_Base_Low_Upgraded_Eutrophication Potential (EP) - kg N eq_Anaerobic Digestion; wastewater treatment unit; at updated plant - US_Base_With Amendment_Aerated Static Pile</v>
      </c>
    </row>
    <row r="9557" spans="1:13" s="120" customFormat="1" x14ac:dyDescent="0.25">
      <c r="A9557" s="119"/>
      <c r="B9557" s="138" t="str">
        <f t="shared" si="793"/>
        <v>Aerated Static Pile</v>
      </c>
      <c r="C9557" s="138" t="str">
        <f t="shared" si="794"/>
        <v>Base_With Amendment</v>
      </c>
      <c r="D9557" s="138" t="str">
        <f t="shared" si="790"/>
        <v>Base_Low</v>
      </c>
      <c r="E9557" s="138" t="str">
        <f t="shared" si="791"/>
        <v>Low</v>
      </c>
      <c r="F9557" s="138" t="str">
        <f t="shared" si="795"/>
        <v>Upgraded</v>
      </c>
      <c r="G9557" s="153"/>
      <c r="H9557" s="210">
        <v>3.8E-3</v>
      </c>
      <c r="I9557" s="160" t="s">
        <v>57</v>
      </c>
      <c r="J9557" s="211">
        <v>6.0590300000000002E-5</v>
      </c>
      <c r="K9557" s="160" t="s">
        <v>13</v>
      </c>
      <c r="L9557" s="154" t="str">
        <f>IF(OpenLCAbasic!K9557="CTUh", "Fill in Manually",IF(OR(K9557="Unit", K9557=""), "", INDEX(LookUps!$E$5:$E$12, MATCH(OpenLCAbasic!K9557,LookUps!$D$5:$D$12,0))))</f>
        <v>Eutrophication Potential (EP) - kg N eq</v>
      </c>
      <c r="M9557" s="154" t="str">
        <f t="shared" si="792"/>
        <v>Low_Base_Low_Upgraded_Eutrophication Potential (EP) - kg N eq_Gravity Belt Thickener; wastewater treatment unit; at updated plant - US_Base_With Amendment_Aerated Static Pile</v>
      </c>
    </row>
    <row r="9558" spans="1:13" s="120" customFormat="1" x14ac:dyDescent="0.25">
      <c r="A9558" s="119"/>
      <c r="B9558" s="138" t="str">
        <f t="shared" si="793"/>
        <v>Aerated Static Pile</v>
      </c>
      <c r="C9558" s="138" t="str">
        <f t="shared" si="794"/>
        <v>Base_With Amendment</v>
      </c>
      <c r="D9558" s="138" t="str">
        <f t="shared" si="790"/>
        <v>Base_Low</v>
      </c>
      <c r="E9558" s="138" t="str">
        <f t="shared" si="791"/>
        <v>Low</v>
      </c>
      <c r="F9558" s="138" t="str">
        <f t="shared" si="795"/>
        <v>Upgraded</v>
      </c>
      <c r="G9558" s="153"/>
      <c r="H9558" s="210">
        <v>3.5000000000000001E-3</v>
      </c>
      <c r="I9558" s="160" t="s">
        <v>60</v>
      </c>
      <c r="J9558" s="211">
        <v>5.62289E-5</v>
      </c>
      <c r="K9558" s="160" t="s">
        <v>13</v>
      </c>
      <c r="L9558" s="154" t="str">
        <f>IF(OpenLCAbasic!K9558="CTUh", "Fill in Manually",IF(OR(K9558="Unit", K9558=""), "", INDEX(LookUps!$E$5:$E$12, MATCH(OpenLCAbasic!K9558,LookUps!$D$5:$D$12,0))))</f>
        <v>Eutrophication Potential (EP) - kg N eq</v>
      </c>
      <c r="M9558" s="154" t="str">
        <f t="shared" si="792"/>
        <v>Low_Base_Low_Upgraded_Eutrophication Potential (EP) - kg N eq_Belt filter press; wastewater treatment unit; at updated plant - US_Base_With Amendment_Aerated Static Pile</v>
      </c>
    </row>
    <row r="9559" spans="1:13" s="120" customFormat="1" x14ac:dyDescent="0.25">
      <c r="A9559" s="119"/>
      <c r="B9559" s="138" t="str">
        <f t="shared" si="793"/>
        <v>Aerated Static Pile</v>
      </c>
      <c r="C9559" s="138" t="str">
        <f t="shared" si="794"/>
        <v>Base_With Amendment</v>
      </c>
      <c r="D9559" s="138" t="str">
        <f t="shared" si="790"/>
        <v>Base_Low</v>
      </c>
      <c r="E9559" s="138" t="str">
        <f t="shared" si="791"/>
        <v>Low</v>
      </c>
      <c r="F9559" s="138" t="str">
        <f t="shared" si="795"/>
        <v>Upgraded</v>
      </c>
      <c r="G9559" s="153"/>
      <c r="H9559" s="210">
        <v>2.3999999999999998E-3</v>
      </c>
      <c r="I9559" s="160" t="s">
        <v>128</v>
      </c>
      <c r="J9559" s="211">
        <v>3.7559799999999999E-5</v>
      </c>
      <c r="K9559" s="160" t="s">
        <v>13</v>
      </c>
      <c r="L9559" s="154" t="str">
        <f>IF(OpenLCAbasic!K9559="CTUh", "Fill in Manually",IF(OR(K9559="Unit", K9559=""), "", INDEX(LookUps!$E$5:$E$12, MATCH(OpenLCAbasic!K9559,LookUps!$D$5:$D$12,0))))</f>
        <v>Eutrophication Potential (EP) - kg N eq</v>
      </c>
      <c r="M9559" s="154" t="str">
        <f t="shared" si="792"/>
        <v>Low_Base_Low_Upgraded_Eutrophication Potential (EP) - kg N eq_Wastewater collection; operation and infrastructure; m3 wastewater_Base_With Amendment_Aerated Static Pile</v>
      </c>
    </row>
    <row r="9560" spans="1:13" s="120" customFormat="1" x14ac:dyDescent="0.25">
      <c r="A9560" s="119"/>
      <c r="B9560" s="138" t="str">
        <f t="shared" si="793"/>
        <v>Aerated Static Pile</v>
      </c>
      <c r="C9560" s="138" t="str">
        <f t="shared" si="794"/>
        <v>Base_With Amendment</v>
      </c>
      <c r="D9560" s="138" t="str">
        <f t="shared" si="790"/>
        <v>Base_Low</v>
      </c>
      <c r="E9560" s="138" t="str">
        <f t="shared" si="791"/>
        <v>Low</v>
      </c>
      <c r="F9560" s="138" t="str">
        <f t="shared" si="795"/>
        <v>Upgraded</v>
      </c>
      <c r="G9560" s="153"/>
      <c r="H9560" s="210">
        <v>2.3E-3</v>
      </c>
      <c r="I9560" s="160" t="s">
        <v>148</v>
      </c>
      <c r="J9560" s="211">
        <v>3.6874600000000001E-5</v>
      </c>
      <c r="K9560" s="160" t="s">
        <v>13</v>
      </c>
      <c r="L9560" s="154" t="str">
        <f>IF(OpenLCAbasic!K9560="CTUh", "Fill in Manually",IF(OR(K9560="Unit", K9560=""), "", INDEX(LookUps!$E$5:$E$12, MATCH(OpenLCAbasic!K9560,LookUps!$D$5:$D$12,0))))</f>
        <v>Eutrophication Potential (EP) - kg N eq</v>
      </c>
      <c r="M9560" s="154" t="str">
        <f t="shared" si="792"/>
        <v>Low_Base_Low_Upgraded_Eutrophication Potential (EP) - kg N eq_Control Building; at upgraded wastewater treatment plant - US_Base_With Amendment_Aerated Static Pile</v>
      </c>
    </row>
    <row r="9561" spans="1:13" s="120" customFormat="1" x14ac:dyDescent="0.25">
      <c r="A9561" s="119"/>
      <c r="B9561" s="138" t="str">
        <f t="shared" si="793"/>
        <v>Aerated Static Pile</v>
      </c>
      <c r="C9561" s="138" t="str">
        <f t="shared" si="794"/>
        <v>Base_With Amendment</v>
      </c>
      <c r="D9561" s="138" t="str">
        <f t="shared" si="790"/>
        <v>Base_Low</v>
      </c>
      <c r="E9561" s="138" t="str">
        <f t="shared" si="791"/>
        <v>Low</v>
      </c>
      <c r="F9561" s="138" t="str">
        <f t="shared" si="795"/>
        <v>Upgraded</v>
      </c>
      <c r="G9561" s="153"/>
      <c r="H9561" s="210">
        <v>1E-3</v>
      </c>
      <c r="I9561" s="160" t="s">
        <v>59</v>
      </c>
      <c r="J9561" s="211">
        <v>1.6215700000000001E-5</v>
      </c>
      <c r="K9561" s="160" t="s">
        <v>13</v>
      </c>
      <c r="L9561" s="154" t="str">
        <f>IF(OpenLCAbasic!K9561="CTUh", "Fill in Manually",IF(OR(K9561="Unit", K9561=""), "", INDEX(LookUps!$E$5:$E$12, MATCH(OpenLCAbasic!K9561,LookUps!$D$5:$D$12,0))))</f>
        <v>Eutrophication Potential (EP) - kg N eq</v>
      </c>
      <c r="M9561" s="154" t="str">
        <f t="shared" si="792"/>
        <v>Low_Base_Low_Upgraded_Eutrophication Potential (EP) - kg N eq_Blend Tank; wastewater treatment unit; at updated plant - US_Base_With Amendment_Aerated Static Pile</v>
      </c>
    </row>
    <row r="9562" spans="1:13" s="120" customFormat="1" x14ac:dyDescent="0.25">
      <c r="A9562" s="119"/>
      <c r="B9562" s="138" t="str">
        <f t="shared" si="793"/>
        <v>Aerated Static Pile</v>
      </c>
      <c r="C9562" s="138" t="str">
        <f t="shared" si="794"/>
        <v>Base_With Amendment</v>
      </c>
      <c r="D9562" s="138" t="str">
        <f t="shared" si="790"/>
        <v>Base_Low</v>
      </c>
      <c r="E9562" s="138" t="str">
        <f t="shared" si="791"/>
        <v>Low</v>
      </c>
      <c r="F9562" s="138" t="str">
        <f t="shared" si="795"/>
        <v>Upgraded</v>
      </c>
      <c r="G9562" s="153"/>
      <c r="H9562" s="210">
        <v>5.0000000000000001E-4</v>
      </c>
      <c r="I9562" s="160" t="s">
        <v>168</v>
      </c>
      <c r="J9562" s="211">
        <v>7.7567199999999995E-6</v>
      </c>
      <c r="K9562" s="160" t="s">
        <v>13</v>
      </c>
      <c r="L9562" s="154" t="str">
        <f>IF(OpenLCAbasic!K9562="CTUh", "Fill in Manually",IF(OR(K9562="Unit", K9562=""), "", INDEX(LookUps!$E$5:$E$12, MATCH(OpenLCAbasic!K9562,LookUps!$D$5:$D$12,0))))</f>
        <v>Eutrophication Potential (EP) - kg N eq</v>
      </c>
      <c r="M9562" s="154" t="str">
        <f t="shared" si="792"/>
        <v>Low_Base_Low_Upgraded_Eutrophication Potential (EP) - kg N eq_ClearCove SCP; wastewater treatment unit; at updated plant - US_Base_With Amendment_Aerated Static Pile</v>
      </c>
    </row>
    <row r="9563" spans="1:13" s="120" customFormat="1" x14ac:dyDescent="0.25">
      <c r="A9563" s="119"/>
      <c r="B9563" s="138" t="str">
        <f t="shared" si="793"/>
        <v/>
      </c>
      <c r="C9563" s="138" t="str">
        <f t="shared" si="794"/>
        <v/>
      </c>
      <c r="D9563" s="138" t="str">
        <f t="shared" si="790"/>
        <v/>
      </c>
      <c r="E9563" s="138" t="str">
        <f t="shared" si="791"/>
        <v/>
      </c>
      <c r="F9563" s="138" t="str">
        <f t="shared" si="795"/>
        <v/>
      </c>
      <c r="G9563" s="153" t="s">
        <v>51</v>
      </c>
      <c r="H9563" s="160"/>
      <c r="I9563" s="160" t="s">
        <v>47</v>
      </c>
      <c r="J9563" s="160" t="s">
        <v>52</v>
      </c>
      <c r="K9563" s="160" t="s">
        <v>27</v>
      </c>
      <c r="L9563" s="154" t="str">
        <f>IF(OpenLCAbasic!K9563="CTUh", "Fill in Manually",IF(OR(K9563="Unit", K9563=""), "", INDEX(LookUps!$E$5:$E$12, MATCH(OpenLCAbasic!K9563,LookUps!$D$5:$D$12,0))))</f>
        <v/>
      </c>
      <c r="M9563" s="154" t="str">
        <f t="shared" si="792"/>
        <v>____Process__</v>
      </c>
    </row>
    <row r="9564" spans="1:13" s="120" customFormat="1" x14ac:dyDescent="0.25">
      <c r="A9564" s="119"/>
      <c r="B9564" s="138" t="str">
        <f t="shared" si="793"/>
        <v>Aerated Static Pile</v>
      </c>
      <c r="C9564" s="138" t="str">
        <f t="shared" si="794"/>
        <v>Base_With Amendment</v>
      </c>
      <c r="D9564" s="138" t="str">
        <f t="shared" si="790"/>
        <v>Base_Low</v>
      </c>
      <c r="E9564" s="138" t="str">
        <f t="shared" si="791"/>
        <v>Low</v>
      </c>
      <c r="F9564" s="138" t="str">
        <f t="shared" si="795"/>
        <v>Upgraded</v>
      </c>
      <c r="G9564" s="153"/>
      <c r="H9564" s="210">
        <v>0.25340000000000001</v>
      </c>
      <c r="I9564" s="160" t="s">
        <v>167</v>
      </c>
      <c r="J9564" s="160">
        <v>7.9170000000000004E-2</v>
      </c>
      <c r="K9564" s="160" t="s">
        <v>14</v>
      </c>
      <c r="L9564" s="154" t="str">
        <f>IF(OpenLCAbasic!K9564="CTUh", "Fill in Manually",IF(OR(K9564="Unit", K9564=""), "", INDEX(LookUps!$E$5:$E$12, MATCH(OpenLCAbasic!K9564,LookUps!$D$5:$D$12,0))))</f>
        <v>Fossil Depletion Potential (FDP) - kg oil eq</v>
      </c>
      <c r="M9564" s="154" t="str">
        <f t="shared" si="792"/>
        <v>Low_Base_Low_Upgraded_Fossil Depletion Potential (FDP) - kg oil eq_Waste Receiving and Holding; wastewater treatment unit; at updated plant - US_Base_With Amendment_Aerated Static Pile</v>
      </c>
    </row>
    <row r="9565" spans="1:13" s="120" customFormat="1" x14ac:dyDescent="0.25">
      <c r="A9565" s="119"/>
      <c r="B9565" s="138" t="str">
        <f t="shared" si="793"/>
        <v>Aerated Static Pile</v>
      </c>
      <c r="C9565" s="138" t="str">
        <f t="shared" si="794"/>
        <v>Base_With Amendment</v>
      </c>
      <c r="D9565" s="138" t="str">
        <f t="shared" si="790"/>
        <v>Base_Low</v>
      </c>
      <c r="E9565" s="138" t="str">
        <f t="shared" si="791"/>
        <v>Low</v>
      </c>
      <c r="F9565" s="138" t="str">
        <f t="shared" si="795"/>
        <v>Upgraded</v>
      </c>
      <c r="G9565" s="153"/>
      <c r="H9565" s="210">
        <v>0.20349999999999999</v>
      </c>
      <c r="I9565" s="160" t="s">
        <v>55</v>
      </c>
      <c r="J9565" s="160">
        <v>6.3589999999999994E-2</v>
      </c>
      <c r="K9565" s="160" t="s">
        <v>14</v>
      </c>
      <c r="L9565" s="154" t="str">
        <f>IF(OpenLCAbasic!K9565="CTUh", "Fill in Manually",IF(OR(K9565="Unit", K9565=""), "", INDEX(LookUps!$E$5:$E$12, MATCH(OpenLCAbasic!K9565,LookUps!$D$5:$D$12,0))))</f>
        <v>Fossil Depletion Potential (FDP) - kg oil eq</v>
      </c>
      <c r="M9565" s="154" t="str">
        <f t="shared" si="792"/>
        <v>Low_Base_Low_Upgraded_Fossil Depletion Potential (FDP) - kg oil eq_Aeration Tanks; wastewater treatment unit; at updated plant - US_Base_With Amendment_Aerated Static Pile</v>
      </c>
    </row>
    <row r="9566" spans="1:13" s="120" customFormat="1" x14ac:dyDescent="0.25">
      <c r="A9566" s="119"/>
      <c r="B9566" s="138" t="str">
        <f t="shared" si="793"/>
        <v>Aerated Static Pile</v>
      </c>
      <c r="C9566" s="138" t="str">
        <f t="shared" si="794"/>
        <v>Base_With Amendment</v>
      </c>
      <c r="D9566" s="138" t="str">
        <f t="shared" si="790"/>
        <v>Base_Low</v>
      </c>
      <c r="E9566" s="138" t="str">
        <f t="shared" si="791"/>
        <v>Low</v>
      </c>
      <c r="F9566" s="138" t="str">
        <f t="shared" si="795"/>
        <v>Upgraded</v>
      </c>
      <c r="G9566" s="153"/>
      <c r="H9566" s="210">
        <v>0.1978</v>
      </c>
      <c r="I9566" s="160" t="s">
        <v>149</v>
      </c>
      <c r="J9566" s="160">
        <v>6.1809999999999997E-2</v>
      </c>
      <c r="K9566" s="160" t="s">
        <v>14</v>
      </c>
      <c r="L9566" s="154" t="str">
        <f>IF(OpenLCAbasic!K9566="CTUh", "Fill in Manually",IF(OR(K9566="Unit", K9566=""), "", INDEX(LookUps!$E$5:$E$12, MATCH(OpenLCAbasic!K9566,LookUps!$D$5:$D$12,0))))</f>
        <v>Fossil Depletion Potential (FDP) - kg oil eq</v>
      </c>
      <c r="M9566" s="154" t="str">
        <f t="shared" si="792"/>
        <v>Low_Base_Low_Upgraded_Fossil Depletion Potential (FDP) - kg oil eq_Anaerobic Digestion; wastewater treatment unit; at updated plant - US_Base_With Amendment_Aerated Static Pile</v>
      </c>
    </row>
    <row r="9567" spans="1:13" s="120" customFormat="1" x14ac:dyDescent="0.25">
      <c r="A9567" s="119"/>
      <c r="B9567" s="138" t="str">
        <f t="shared" si="793"/>
        <v>Aerated Static Pile</v>
      </c>
      <c r="C9567" s="138" t="str">
        <f t="shared" si="794"/>
        <v>Base_With Amendment</v>
      </c>
      <c r="D9567" s="138" t="str">
        <f t="shared" si="790"/>
        <v>Base_Low</v>
      </c>
      <c r="E9567" s="138" t="str">
        <f t="shared" si="791"/>
        <v>Low</v>
      </c>
      <c r="F9567" s="138" t="str">
        <f t="shared" si="795"/>
        <v>Upgraded</v>
      </c>
      <c r="G9567" s="153"/>
      <c r="H9567" s="210">
        <v>0.08</v>
      </c>
      <c r="I9567" s="160" t="s">
        <v>435</v>
      </c>
      <c r="J9567" s="160">
        <v>2.4989999999999998E-2</v>
      </c>
      <c r="K9567" s="160" t="s">
        <v>14</v>
      </c>
      <c r="L9567" s="154" t="str">
        <f>IF(OpenLCAbasic!K9567="CTUh", "Fill in Manually",IF(OR(K9567="Unit", K9567=""), "", INDEX(LookUps!$E$5:$E$12, MATCH(OpenLCAbasic!K9567,LookUps!$D$5:$D$12,0))))</f>
        <v>Fossil Depletion Potential (FDP) - kg oil eq</v>
      </c>
      <c r="M9567" s="154" t="str">
        <f t="shared" si="792"/>
        <v>Low_Base_Low_Upgraded_Fossil Depletion Potential (FDP) - kg oil eq_Biosolids composting; aerated static pile; wastewater treatment unit; at updated plant - US_Base_With Amendment_Aerated Static Pile</v>
      </c>
    </row>
    <row r="9568" spans="1:13" s="120" customFormat="1" x14ac:dyDescent="0.25">
      <c r="A9568" s="119"/>
      <c r="B9568" s="138" t="str">
        <f t="shared" si="793"/>
        <v>Aerated Static Pile</v>
      </c>
      <c r="C9568" s="138" t="str">
        <f t="shared" si="794"/>
        <v>Base_With Amendment</v>
      </c>
      <c r="D9568" s="138" t="str">
        <f t="shared" si="790"/>
        <v>Base_Low</v>
      </c>
      <c r="E9568" s="138" t="str">
        <f t="shared" si="791"/>
        <v>Low</v>
      </c>
      <c r="F9568" s="138" t="str">
        <f t="shared" si="795"/>
        <v>Upgraded</v>
      </c>
      <c r="G9568" s="153"/>
      <c r="H9568" s="210">
        <v>6.7400000000000002E-2</v>
      </c>
      <c r="I9568" s="160" t="s">
        <v>54</v>
      </c>
      <c r="J9568" s="160">
        <v>2.1049999999999999E-2</v>
      </c>
      <c r="K9568" s="160" t="s">
        <v>14</v>
      </c>
      <c r="L9568" s="154" t="str">
        <f>IF(OpenLCAbasic!K9568="CTUh", "Fill in Manually",IF(OR(K9568="Unit", K9568=""), "", INDEX(LookUps!$E$5:$E$12, MATCH(OpenLCAbasic!K9568,LookUps!$D$5:$D$12,0))))</f>
        <v>Fossil Depletion Potential (FDP) - kg oil eq</v>
      </c>
      <c r="M9568" s="154" t="str">
        <f t="shared" si="792"/>
        <v>Low_Base_Low_Upgraded_Fossil Depletion Potential (FDP) - kg oil eq_Clear Cove Primary Clarification; wastewater treatment unit; at updated plant - US_Base_With Amendment_Aerated Static Pile</v>
      </c>
    </row>
    <row r="9569" spans="1:13" s="120" customFormat="1" x14ac:dyDescent="0.25">
      <c r="A9569" s="119"/>
      <c r="B9569" s="138" t="str">
        <f t="shared" si="793"/>
        <v>Aerated Static Pile</v>
      </c>
      <c r="C9569" s="138" t="str">
        <f t="shared" si="794"/>
        <v>Base_With Amendment</v>
      </c>
      <c r="D9569" s="138" t="str">
        <f t="shared" si="790"/>
        <v>Base_Low</v>
      </c>
      <c r="E9569" s="138" t="str">
        <f t="shared" si="791"/>
        <v>Low</v>
      </c>
      <c r="F9569" s="138" t="str">
        <f t="shared" si="795"/>
        <v>Upgraded</v>
      </c>
      <c r="G9569" s="153"/>
      <c r="H9569" s="210">
        <v>5.0999999999999997E-2</v>
      </c>
      <c r="I9569" s="160" t="s">
        <v>58</v>
      </c>
      <c r="J9569" s="160">
        <v>1.592E-2</v>
      </c>
      <c r="K9569" s="160" t="s">
        <v>14</v>
      </c>
      <c r="L9569" s="154" t="str">
        <f>IF(OpenLCAbasic!K9569="CTUh", "Fill in Manually",IF(OR(K9569="Unit", K9569=""), "", INDEX(LookUps!$E$5:$E$12, MATCH(OpenLCAbasic!K9569,LookUps!$D$5:$D$12,0))))</f>
        <v>Fossil Depletion Potential (FDP) - kg oil eq</v>
      </c>
      <c r="M9569" s="154" t="str">
        <f t="shared" si="792"/>
        <v>Low_Base_Low_Upgraded_Fossil Depletion Potential (FDP) - kg oil eq_Pre-Anoxic &amp; Swing tank; wastewater treatment unit; at updated plant - US_Base_With Amendment_Aerated Static Pile</v>
      </c>
    </row>
    <row r="9570" spans="1:13" s="120" customFormat="1" x14ac:dyDescent="0.25">
      <c r="A9570" s="119"/>
      <c r="B9570" s="138" t="str">
        <f t="shared" si="793"/>
        <v>Aerated Static Pile</v>
      </c>
      <c r="C9570" s="138" t="str">
        <f t="shared" si="794"/>
        <v>Base_With Amendment</v>
      </c>
      <c r="D9570" s="138" t="str">
        <f t="shared" si="790"/>
        <v>Base_Low</v>
      </c>
      <c r="E9570" s="138" t="str">
        <f t="shared" si="791"/>
        <v>Low</v>
      </c>
      <c r="F9570" s="138" t="str">
        <f t="shared" si="795"/>
        <v>Upgraded</v>
      </c>
      <c r="G9570" s="153"/>
      <c r="H9570" s="210">
        <v>4.8300000000000003E-2</v>
      </c>
      <c r="I9570" s="160" t="s">
        <v>147</v>
      </c>
      <c r="J9570" s="160">
        <v>1.5089999999999999E-2</v>
      </c>
      <c r="K9570" s="160" t="s">
        <v>14</v>
      </c>
      <c r="L9570" s="154" t="str">
        <f>IF(OpenLCAbasic!K9570="CTUh", "Fill in Manually",IF(OR(K9570="Unit", K9570=""), "", INDEX(LookUps!$E$5:$E$12, MATCH(OpenLCAbasic!K9570,LookUps!$D$5:$D$12,0))))</f>
        <v>Fossil Depletion Potential (FDP) - kg oil eq</v>
      </c>
      <c r="M9570" s="154" t="str">
        <f t="shared" si="792"/>
        <v>Low_Base_Low_Upgraded_Fossil Depletion Potential (FDP) - kg oil eq_Influent Pump Station; wastewater treatment unit; at updated plant - US_Base_With Amendment_Aerated Static Pile</v>
      </c>
    </row>
    <row r="9571" spans="1:13" s="120" customFormat="1" x14ac:dyDescent="0.25">
      <c r="A9571" s="119"/>
      <c r="B9571" s="138" t="str">
        <f t="shared" si="793"/>
        <v>Aerated Static Pile</v>
      </c>
      <c r="C9571" s="138" t="str">
        <f t="shared" si="794"/>
        <v>Base_With Amendment</v>
      </c>
      <c r="D9571" s="138" t="str">
        <f t="shared" si="790"/>
        <v>Base_Low</v>
      </c>
      <c r="E9571" s="138" t="str">
        <f t="shared" si="791"/>
        <v>Low</v>
      </c>
      <c r="F9571" s="138" t="str">
        <f t="shared" si="795"/>
        <v>Upgraded</v>
      </c>
      <c r="G9571" s="153"/>
      <c r="H9571" s="210">
        <v>0.04</v>
      </c>
      <c r="I9571" s="160" t="s">
        <v>53</v>
      </c>
      <c r="J9571" s="160">
        <v>1.2489999999999999E-2</v>
      </c>
      <c r="K9571" s="160" t="s">
        <v>14</v>
      </c>
      <c r="L9571" s="154" t="str">
        <f>IF(OpenLCAbasic!K9571="CTUh", "Fill in Manually",IF(OR(K9571="Unit", K9571=""), "", INDEX(LookUps!$E$5:$E$12, MATCH(OpenLCAbasic!K9571,LookUps!$D$5:$D$12,0))))</f>
        <v>Fossil Depletion Potential (FDP) - kg oil eq</v>
      </c>
      <c r="M9571" s="154" t="str">
        <f t="shared" si="792"/>
        <v>Low_Base_Low_Upgraded_Fossil Depletion Potential (FDP) - kg oil eq_Wet Well and Sump Station; wastewater treatment unit; at updated plant - US_Base_With Amendment_Aerated Static Pile</v>
      </c>
    </row>
    <row r="9572" spans="1:13" s="120" customFormat="1" x14ac:dyDescent="0.25">
      <c r="A9572" s="119"/>
      <c r="B9572" s="138" t="str">
        <f t="shared" si="793"/>
        <v>Aerated Static Pile</v>
      </c>
      <c r="C9572" s="138" t="str">
        <f t="shared" si="794"/>
        <v>Base_With Amendment</v>
      </c>
      <c r="D9572" s="138" t="str">
        <f t="shared" si="790"/>
        <v>Base_Low</v>
      </c>
      <c r="E9572" s="138" t="str">
        <f t="shared" si="791"/>
        <v>Low</v>
      </c>
      <c r="F9572" s="138" t="str">
        <f t="shared" si="795"/>
        <v>Upgraded</v>
      </c>
      <c r="G9572" s="153"/>
      <c r="H9572" s="210">
        <v>2.2100000000000002E-2</v>
      </c>
      <c r="I9572" s="160" t="s">
        <v>57</v>
      </c>
      <c r="J9572" s="160">
        <v>6.9199999999999999E-3</v>
      </c>
      <c r="K9572" s="160" t="s">
        <v>14</v>
      </c>
      <c r="L9572" s="154" t="str">
        <f>IF(OpenLCAbasic!K9572="CTUh", "Fill in Manually",IF(OR(K9572="Unit", K9572=""), "", INDEX(LookUps!$E$5:$E$12, MATCH(OpenLCAbasic!K9572,LookUps!$D$5:$D$12,0))))</f>
        <v>Fossil Depletion Potential (FDP) - kg oil eq</v>
      </c>
      <c r="M9572" s="154" t="str">
        <f t="shared" si="792"/>
        <v>Low_Base_Low_Upgraded_Fossil Depletion Potential (FDP) - kg oil eq_Gravity Belt Thickener; wastewater treatment unit; at updated plant - US_Base_With Amendment_Aerated Static Pile</v>
      </c>
    </row>
    <row r="9573" spans="1:13" s="120" customFormat="1" x14ac:dyDescent="0.25">
      <c r="A9573" s="119"/>
      <c r="B9573" s="138" t="str">
        <f t="shared" si="793"/>
        <v>Aerated Static Pile</v>
      </c>
      <c r="C9573" s="138" t="str">
        <f t="shared" si="794"/>
        <v>Base_With Amendment</v>
      </c>
      <c r="D9573" s="138" t="str">
        <f t="shared" si="790"/>
        <v>Base_Low</v>
      </c>
      <c r="E9573" s="138" t="str">
        <f t="shared" si="791"/>
        <v>Low</v>
      </c>
      <c r="F9573" s="138" t="str">
        <f t="shared" si="795"/>
        <v>Upgraded</v>
      </c>
      <c r="G9573" s="153"/>
      <c r="H9573" s="210">
        <v>2.07E-2</v>
      </c>
      <c r="I9573" s="160" t="s">
        <v>60</v>
      </c>
      <c r="J9573" s="160">
        <v>6.45E-3</v>
      </c>
      <c r="K9573" s="160" t="s">
        <v>14</v>
      </c>
      <c r="L9573" s="154" t="str">
        <f>IF(OpenLCAbasic!K9573="CTUh", "Fill in Manually",IF(OR(K9573="Unit", K9573=""), "", INDEX(LookUps!$E$5:$E$12, MATCH(OpenLCAbasic!K9573,LookUps!$D$5:$D$12,0))))</f>
        <v>Fossil Depletion Potential (FDP) - kg oil eq</v>
      </c>
      <c r="M9573" s="154" t="str">
        <f t="shared" si="792"/>
        <v>Low_Base_Low_Upgraded_Fossil Depletion Potential (FDP) - kg oil eq_Belt filter press; wastewater treatment unit; at updated plant - US_Base_With Amendment_Aerated Static Pile</v>
      </c>
    </row>
    <row r="9574" spans="1:13" s="120" customFormat="1" x14ac:dyDescent="0.25">
      <c r="A9574" s="119"/>
      <c r="B9574" s="138" t="str">
        <f t="shared" si="793"/>
        <v>Aerated Static Pile</v>
      </c>
      <c r="C9574" s="138" t="str">
        <f t="shared" si="794"/>
        <v>Base_With Amendment</v>
      </c>
      <c r="D9574" s="138" t="str">
        <f t="shared" si="790"/>
        <v>Base_Low</v>
      </c>
      <c r="E9574" s="138" t="str">
        <f t="shared" si="791"/>
        <v>Low</v>
      </c>
      <c r="F9574" s="138" t="str">
        <f t="shared" si="795"/>
        <v>Upgraded</v>
      </c>
      <c r="G9574" s="153"/>
      <c r="H9574" s="210">
        <v>1.44E-2</v>
      </c>
      <c r="I9574" s="160" t="s">
        <v>128</v>
      </c>
      <c r="J9574" s="160">
        <v>4.4999999999999997E-3</v>
      </c>
      <c r="K9574" s="160" t="s">
        <v>14</v>
      </c>
      <c r="L9574" s="154" t="str">
        <f>IF(OpenLCAbasic!K9574="CTUh", "Fill in Manually",IF(OR(K9574="Unit", K9574=""), "", INDEX(LookUps!$E$5:$E$12, MATCH(OpenLCAbasic!K9574,LookUps!$D$5:$D$12,0))))</f>
        <v>Fossil Depletion Potential (FDP) - kg oil eq</v>
      </c>
      <c r="M9574" s="154" t="str">
        <f t="shared" si="792"/>
        <v>Low_Base_Low_Upgraded_Fossil Depletion Potential (FDP) - kg oil eq_Wastewater collection; operation and infrastructure; m3 wastewater_Base_With Amendment_Aerated Static Pile</v>
      </c>
    </row>
    <row r="9575" spans="1:13" s="120" customFormat="1" x14ac:dyDescent="0.25">
      <c r="A9575" s="119"/>
      <c r="B9575" s="138" t="str">
        <f t="shared" si="793"/>
        <v>Aerated Static Pile</v>
      </c>
      <c r="C9575" s="138" t="str">
        <f t="shared" si="794"/>
        <v>Base_With Amendment</v>
      </c>
      <c r="D9575" s="138" t="str">
        <f t="shared" si="790"/>
        <v>Base_Low</v>
      </c>
      <c r="E9575" s="138" t="str">
        <f t="shared" si="791"/>
        <v>Low</v>
      </c>
      <c r="F9575" s="138" t="str">
        <f t="shared" si="795"/>
        <v>Upgraded</v>
      </c>
      <c r="G9575" s="153"/>
      <c r="H9575" s="210">
        <v>8.9999999999999993E-3</v>
      </c>
      <c r="I9575" s="160" t="s">
        <v>148</v>
      </c>
      <c r="J9575" s="160">
        <v>2.8E-3</v>
      </c>
      <c r="K9575" s="160" t="s">
        <v>14</v>
      </c>
      <c r="L9575" s="154" t="str">
        <f>IF(OpenLCAbasic!K9575="CTUh", "Fill in Manually",IF(OR(K9575="Unit", K9575=""), "", INDEX(LookUps!$E$5:$E$12, MATCH(OpenLCAbasic!K9575,LookUps!$D$5:$D$12,0))))</f>
        <v>Fossil Depletion Potential (FDP) - kg oil eq</v>
      </c>
      <c r="M9575" s="154" t="str">
        <f t="shared" si="792"/>
        <v>Low_Base_Low_Upgraded_Fossil Depletion Potential (FDP) - kg oil eq_Control Building; at upgraded wastewater treatment plant - US_Base_With Amendment_Aerated Static Pile</v>
      </c>
    </row>
    <row r="9576" spans="1:13" s="120" customFormat="1" x14ac:dyDescent="0.25">
      <c r="A9576" s="119"/>
      <c r="B9576" s="138" t="str">
        <f t="shared" si="793"/>
        <v>Aerated Static Pile</v>
      </c>
      <c r="C9576" s="138" t="str">
        <f t="shared" si="794"/>
        <v>Base_With Amendment</v>
      </c>
      <c r="D9576" s="138" t="str">
        <f t="shared" si="790"/>
        <v>Base_Low</v>
      </c>
      <c r="E9576" s="138" t="str">
        <f t="shared" si="791"/>
        <v>Low</v>
      </c>
      <c r="F9576" s="138" t="str">
        <f t="shared" si="795"/>
        <v>Upgraded</v>
      </c>
      <c r="G9576" s="153"/>
      <c r="H9576" s="210">
        <v>7.6E-3</v>
      </c>
      <c r="I9576" s="160" t="s">
        <v>48</v>
      </c>
      <c r="J9576" s="160">
        <v>2.3600000000000001E-3</v>
      </c>
      <c r="K9576" s="160" t="s">
        <v>14</v>
      </c>
      <c r="L9576" s="154" t="str">
        <f>IF(OpenLCAbasic!K9576="CTUh", "Fill in Manually",IF(OR(K9576="Unit", K9576=""), "", INDEX(LookUps!$E$5:$E$12, MATCH(OpenLCAbasic!K9576,LookUps!$D$5:$D$12,0))))</f>
        <v>Fossil Depletion Potential (FDP) - kg oil eq</v>
      </c>
      <c r="M9576" s="154" t="str">
        <f t="shared" si="792"/>
        <v>Low_Base_Low_Upgraded_Fossil Depletion Potential (FDP) - kg oil eq_Effluent release; wastewater treatment unit; at surface water; m3 wastewater - US_Base_With Amendment_Aerated Static Pile</v>
      </c>
    </row>
    <row r="9577" spans="1:13" s="120" customFormat="1" x14ac:dyDescent="0.25">
      <c r="A9577" s="119"/>
      <c r="B9577" s="138" t="str">
        <f t="shared" si="793"/>
        <v>Aerated Static Pile</v>
      </c>
      <c r="C9577" s="138" t="str">
        <f t="shared" si="794"/>
        <v>Base_With Amendment</v>
      </c>
      <c r="D9577" s="138" t="str">
        <f t="shared" ref="D9577:D9640" si="796">IF(ISNUMBER($J9577),"Base_Low","")</f>
        <v>Base_Low</v>
      </c>
      <c r="E9577" s="138" t="str">
        <f t="shared" ref="E9577:E9640" si="797">IF(ISNUMBER($J9577),"Low","")</f>
        <v>Low</v>
      </c>
      <c r="F9577" s="138" t="str">
        <f t="shared" si="795"/>
        <v>Upgraded</v>
      </c>
      <c r="G9577" s="153"/>
      <c r="H9577" s="210">
        <v>6.1000000000000004E-3</v>
      </c>
      <c r="I9577" s="160" t="s">
        <v>59</v>
      </c>
      <c r="J9577" s="160">
        <v>1.92E-3</v>
      </c>
      <c r="K9577" s="160" t="s">
        <v>14</v>
      </c>
      <c r="L9577" s="154" t="str">
        <f>IF(OpenLCAbasic!K9577="CTUh", "Fill in Manually",IF(OR(K9577="Unit", K9577=""), "", INDEX(LookUps!$E$5:$E$12, MATCH(OpenLCAbasic!K9577,LookUps!$D$5:$D$12,0))))</f>
        <v>Fossil Depletion Potential (FDP) - kg oil eq</v>
      </c>
      <c r="M9577" s="154" t="str">
        <f t="shared" si="792"/>
        <v>Low_Base_Low_Upgraded_Fossil Depletion Potential (FDP) - kg oil eq_Blend Tank; wastewater treatment unit; at updated plant - US_Base_With Amendment_Aerated Static Pile</v>
      </c>
    </row>
    <row r="9578" spans="1:13" s="120" customFormat="1" x14ac:dyDescent="0.25">
      <c r="A9578" s="119"/>
      <c r="B9578" s="138" t="str">
        <f t="shared" si="793"/>
        <v>Aerated Static Pile</v>
      </c>
      <c r="C9578" s="138" t="str">
        <f t="shared" si="794"/>
        <v>Base_With Amendment</v>
      </c>
      <c r="D9578" s="138" t="str">
        <f t="shared" si="796"/>
        <v>Base_Low</v>
      </c>
      <c r="E9578" s="138" t="str">
        <f t="shared" si="797"/>
        <v>Low</v>
      </c>
      <c r="F9578" s="138" t="str">
        <f t="shared" si="795"/>
        <v>Upgraded</v>
      </c>
      <c r="G9578" s="153"/>
      <c r="H9578" s="210">
        <v>2.8999999999999998E-3</v>
      </c>
      <c r="I9578" s="160" t="s">
        <v>168</v>
      </c>
      <c r="J9578" s="160">
        <v>9.1E-4</v>
      </c>
      <c r="K9578" s="160" t="s">
        <v>14</v>
      </c>
      <c r="L9578" s="154" t="str">
        <f>IF(OpenLCAbasic!K9578="CTUh", "Fill in Manually",IF(OR(K9578="Unit", K9578=""), "", INDEX(LookUps!$E$5:$E$12, MATCH(OpenLCAbasic!K9578,LookUps!$D$5:$D$12,0))))</f>
        <v>Fossil Depletion Potential (FDP) - kg oil eq</v>
      </c>
      <c r="M9578" s="154" t="str">
        <f t="shared" si="792"/>
        <v>Low_Base_Low_Upgraded_Fossil Depletion Potential (FDP) - kg oil eq_ClearCove SCP; wastewater treatment unit; at updated plant - US_Base_With Amendment_Aerated Static Pile</v>
      </c>
    </row>
    <row r="9579" spans="1:13" s="120" customFormat="1" x14ac:dyDescent="0.25">
      <c r="A9579" s="119"/>
      <c r="B9579" s="138" t="str">
        <f t="shared" si="793"/>
        <v>Aerated Static Pile</v>
      </c>
      <c r="C9579" s="138" t="str">
        <f t="shared" si="794"/>
        <v>Base_With Amendment</v>
      </c>
      <c r="D9579" s="138" t="str">
        <f t="shared" si="796"/>
        <v>Base_Low</v>
      </c>
      <c r="E9579" s="138" t="str">
        <f t="shared" si="797"/>
        <v>Low</v>
      </c>
      <c r="F9579" s="138" t="str">
        <f t="shared" si="795"/>
        <v>Upgraded</v>
      </c>
      <c r="G9579" s="153"/>
      <c r="H9579" s="210">
        <v>-2.4E-2</v>
      </c>
      <c r="I9579" s="160" t="s">
        <v>62</v>
      </c>
      <c r="J9579" s="160">
        <v>-7.4999999999999997E-3</v>
      </c>
      <c r="K9579" s="160" t="s">
        <v>14</v>
      </c>
      <c r="L9579" s="154" t="str">
        <f>IF(OpenLCAbasic!K9579="CTUh", "Fill in Manually",IF(OR(K9579="Unit", K9579=""), "", INDEX(LookUps!$E$5:$E$12, MATCH(OpenLCAbasic!K9579,LookUps!$D$5:$D$12,0))))</f>
        <v>Fossil Depletion Potential (FDP) - kg oil eq</v>
      </c>
      <c r="M9579" s="154" t="str">
        <f t="shared" si="792"/>
        <v>Low_Base_Low_Upgraded_Fossil Depletion Potential (FDP) - kg oil eq_Land application of compost; wastewater treatment unit; at updated plant - US_Base_With Amendment_Aerated Static Pile</v>
      </c>
    </row>
    <row r="9580" spans="1:13" s="120" customFormat="1" x14ac:dyDescent="0.25">
      <c r="A9580" s="119"/>
      <c r="B9580" s="138" t="str">
        <f t="shared" si="793"/>
        <v/>
      </c>
      <c r="C9580" s="138" t="str">
        <f t="shared" si="794"/>
        <v/>
      </c>
      <c r="D9580" s="138" t="str">
        <f t="shared" si="796"/>
        <v/>
      </c>
      <c r="E9580" s="138" t="str">
        <f t="shared" si="797"/>
        <v/>
      </c>
      <c r="F9580" s="138" t="str">
        <f t="shared" si="795"/>
        <v/>
      </c>
      <c r="G9580" s="153" t="s">
        <v>51</v>
      </c>
      <c r="H9580" s="160"/>
      <c r="I9580" s="160" t="s">
        <v>47</v>
      </c>
      <c r="J9580" s="160" t="s">
        <v>52</v>
      </c>
      <c r="K9580" s="160" t="s">
        <v>27</v>
      </c>
      <c r="L9580" s="154" t="str">
        <f>IF(OpenLCAbasic!K9580="CTUh", "Fill in Manually",IF(OR(K9580="Unit", K9580=""), "", INDEX(LookUps!$E$5:$E$12, MATCH(OpenLCAbasic!K9580,LookUps!$D$5:$D$12,0))))</f>
        <v/>
      </c>
      <c r="M9580" s="154" t="str">
        <f t="shared" si="792"/>
        <v>____Process__</v>
      </c>
    </row>
    <row r="9581" spans="1:13" s="120" customFormat="1" x14ac:dyDescent="0.25">
      <c r="A9581" s="119"/>
      <c r="B9581" s="138" t="str">
        <f t="shared" si="793"/>
        <v>Aerated Static Pile</v>
      </c>
      <c r="C9581" s="138" t="str">
        <f t="shared" si="794"/>
        <v>Base_With Amendment</v>
      </c>
      <c r="D9581" s="138" t="str">
        <f t="shared" si="796"/>
        <v>Base_Low</v>
      </c>
      <c r="E9581" s="138" t="str">
        <f t="shared" si="797"/>
        <v>Low</v>
      </c>
      <c r="F9581" s="138" t="str">
        <f t="shared" si="795"/>
        <v>Upgraded</v>
      </c>
      <c r="G9581" s="153"/>
      <c r="H9581" s="210">
        <v>0.44009999999999999</v>
      </c>
      <c r="I9581" s="160" t="s">
        <v>58</v>
      </c>
      <c r="J9581" s="160">
        <v>0.24279999999999999</v>
      </c>
      <c r="K9581" s="160" t="s">
        <v>23</v>
      </c>
      <c r="L9581" s="154" t="str">
        <f>IF(OpenLCAbasic!K9581="CTUh", "Fill in Manually",IF(OR(K9581="Unit", K9581=""), "", INDEX(LookUps!$E$5:$E$12, MATCH(OpenLCAbasic!K9581,LookUps!$D$5:$D$12,0))))</f>
        <v>Global Warming Potential (GWP) - kg CO2 eq</v>
      </c>
      <c r="M9581" s="154" t="str">
        <f t="shared" si="792"/>
        <v>Low_Base_Low_Upgraded_Global Warming Potential (GWP) - kg CO2 eq_Pre-Anoxic &amp; Swing tank; wastewater treatment unit; at updated plant - US_Base_With Amendment_Aerated Static Pile</v>
      </c>
    </row>
    <row r="9582" spans="1:13" s="120" customFormat="1" x14ac:dyDescent="0.25">
      <c r="A9582" s="119"/>
      <c r="B9582" s="138" t="str">
        <f t="shared" si="793"/>
        <v>Aerated Static Pile</v>
      </c>
      <c r="C9582" s="138" t="str">
        <f t="shared" si="794"/>
        <v>Base_With Amendment</v>
      </c>
      <c r="D9582" s="138" t="str">
        <f t="shared" si="796"/>
        <v>Base_Low</v>
      </c>
      <c r="E9582" s="138" t="str">
        <f t="shared" si="797"/>
        <v>Low</v>
      </c>
      <c r="F9582" s="138" t="str">
        <f t="shared" si="795"/>
        <v>Upgraded</v>
      </c>
      <c r="G9582" s="153"/>
      <c r="H9582" s="210">
        <v>0.318</v>
      </c>
      <c r="I9582" s="160" t="s">
        <v>149</v>
      </c>
      <c r="J9582" s="160">
        <v>0.17544999999999999</v>
      </c>
      <c r="K9582" s="160" t="s">
        <v>23</v>
      </c>
      <c r="L9582" s="154" t="str">
        <f>IF(OpenLCAbasic!K9582="CTUh", "Fill in Manually",IF(OR(K9582="Unit", K9582=""), "", INDEX(LookUps!$E$5:$E$12, MATCH(OpenLCAbasic!K9582,LookUps!$D$5:$D$12,0))))</f>
        <v>Global Warming Potential (GWP) - kg CO2 eq</v>
      </c>
      <c r="M9582" s="154" t="str">
        <f t="shared" si="792"/>
        <v>Low_Base_Low_Upgraded_Global Warming Potential (GWP) - kg CO2 eq_Anaerobic Digestion; wastewater treatment unit; at updated plant - US_Base_With Amendment_Aerated Static Pile</v>
      </c>
    </row>
    <row r="9583" spans="1:13" s="120" customFormat="1" x14ac:dyDescent="0.25">
      <c r="A9583" s="119"/>
      <c r="B9583" s="138" t="str">
        <f t="shared" si="793"/>
        <v>Aerated Static Pile</v>
      </c>
      <c r="C9583" s="138" t="str">
        <f t="shared" si="794"/>
        <v>Base_With Amendment</v>
      </c>
      <c r="D9583" s="138" t="str">
        <f t="shared" si="796"/>
        <v>Base_Low</v>
      </c>
      <c r="E9583" s="138" t="str">
        <f t="shared" si="797"/>
        <v>Low</v>
      </c>
      <c r="F9583" s="138" t="str">
        <f t="shared" si="795"/>
        <v>Upgraded</v>
      </c>
      <c r="G9583" s="153"/>
      <c r="H9583" s="210">
        <v>0.3049</v>
      </c>
      <c r="I9583" s="160" t="s">
        <v>55</v>
      </c>
      <c r="J9583" s="160">
        <v>0.16822000000000001</v>
      </c>
      <c r="K9583" s="160" t="s">
        <v>23</v>
      </c>
      <c r="L9583" s="154" t="str">
        <f>IF(OpenLCAbasic!K9583="CTUh", "Fill in Manually",IF(OR(K9583="Unit", K9583=""), "", INDEX(LookUps!$E$5:$E$12, MATCH(OpenLCAbasic!K9583,LookUps!$D$5:$D$12,0))))</f>
        <v>Global Warming Potential (GWP) - kg CO2 eq</v>
      </c>
      <c r="M9583" s="154" t="str">
        <f t="shared" si="792"/>
        <v>Low_Base_Low_Upgraded_Global Warming Potential (GWP) - kg CO2 eq_Aeration Tanks; wastewater treatment unit; at updated plant - US_Base_With Amendment_Aerated Static Pile</v>
      </c>
    </row>
    <row r="9584" spans="1:13" s="120" customFormat="1" x14ac:dyDescent="0.25">
      <c r="A9584" s="119"/>
      <c r="B9584" s="138" t="str">
        <f t="shared" si="793"/>
        <v>Aerated Static Pile</v>
      </c>
      <c r="C9584" s="138" t="str">
        <f t="shared" si="794"/>
        <v>Base_With Amendment</v>
      </c>
      <c r="D9584" s="138" t="str">
        <f t="shared" si="796"/>
        <v>Base_Low</v>
      </c>
      <c r="E9584" s="138" t="str">
        <f t="shared" si="797"/>
        <v>Low</v>
      </c>
      <c r="F9584" s="138" t="str">
        <f t="shared" si="795"/>
        <v>Upgraded</v>
      </c>
      <c r="G9584" s="153"/>
      <c r="H9584" s="210">
        <v>0.23630000000000001</v>
      </c>
      <c r="I9584" s="160" t="s">
        <v>435</v>
      </c>
      <c r="J9584" s="160">
        <v>0.13038</v>
      </c>
      <c r="K9584" s="160" t="s">
        <v>23</v>
      </c>
      <c r="L9584" s="154" t="str">
        <f>IF(OpenLCAbasic!K9584="CTUh", "Fill in Manually",IF(OR(K9584="Unit", K9584=""), "", INDEX(LookUps!$E$5:$E$12, MATCH(OpenLCAbasic!K9584,LookUps!$D$5:$D$12,0))))</f>
        <v>Global Warming Potential (GWP) - kg CO2 eq</v>
      </c>
      <c r="M9584" s="154" t="str">
        <f t="shared" si="792"/>
        <v>Low_Base_Low_Upgraded_Global Warming Potential (GWP) - kg CO2 eq_Biosolids composting; aerated static pile; wastewater treatment unit; at updated plant - US_Base_With Amendment_Aerated Static Pile</v>
      </c>
    </row>
    <row r="9585" spans="1:13" s="120" customFormat="1" x14ac:dyDescent="0.25">
      <c r="A9585" s="119"/>
      <c r="B9585" s="138" t="str">
        <f t="shared" si="793"/>
        <v>Aerated Static Pile</v>
      </c>
      <c r="C9585" s="138" t="str">
        <f t="shared" si="794"/>
        <v>Base_With Amendment</v>
      </c>
      <c r="D9585" s="138" t="str">
        <f t="shared" si="796"/>
        <v>Base_Low</v>
      </c>
      <c r="E9585" s="138" t="str">
        <f t="shared" si="797"/>
        <v>Low</v>
      </c>
      <c r="F9585" s="138" t="str">
        <f t="shared" si="795"/>
        <v>Upgraded</v>
      </c>
      <c r="G9585" s="153"/>
      <c r="H9585" s="210">
        <v>0.18559999999999999</v>
      </c>
      <c r="I9585" s="160" t="s">
        <v>167</v>
      </c>
      <c r="J9585" s="160">
        <v>0.10241</v>
      </c>
      <c r="K9585" s="160" t="s">
        <v>23</v>
      </c>
      <c r="L9585" s="154" t="str">
        <f>IF(OpenLCAbasic!K9585="CTUh", "Fill in Manually",IF(OR(K9585="Unit", K9585=""), "", INDEX(LookUps!$E$5:$E$12, MATCH(OpenLCAbasic!K9585,LookUps!$D$5:$D$12,0))))</f>
        <v>Global Warming Potential (GWP) - kg CO2 eq</v>
      </c>
      <c r="M9585" s="154" t="str">
        <f t="shared" si="792"/>
        <v>Low_Base_Low_Upgraded_Global Warming Potential (GWP) - kg CO2 eq_Waste Receiving and Holding; wastewater treatment unit; at updated plant - US_Base_With Amendment_Aerated Static Pile</v>
      </c>
    </row>
    <row r="9586" spans="1:13" s="120" customFormat="1" x14ac:dyDescent="0.25">
      <c r="A9586" s="119"/>
      <c r="B9586" s="138" t="str">
        <f t="shared" si="793"/>
        <v>Aerated Static Pile</v>
      </c>
      <c r="C9586" s="138" t="str">
        <f t="shared" si="794"/>
        <v>Base_With Amendment</v>
      </c>
      <c r="D9586" s="138" t="str">
        <f t="shared" si="796"/>
        <v>Base_Low</v>
      </c>
      <c r="E9586" s="138" t="str">
        <f t="shared" si="797"/>
        <v>Low</v>
      </c>
      <c r="F9586" s="138" t="str">
        <f t="shared" si="795"/>
        <v>Upgraded</v>
      </c>
      <c r="G9586" s="153"/>
      <c r="H9586" s="210">
        <v>0.10349999999999999</v>
      </c>
      <c r="I9586" s="160" t="s">
        <v>54</v>
      </c>
      <c r="J9586" s="160">
        <v>5.7079999999999999E-2</v>
      </c>
      <c r="K9586" s="160" t="s">
        <v>23</v>
      </c>
      <c r="L9586" s="154" t="str">
        <f>IF(OpenLCAbasic!K9586="CTUh", "Fill in Manually",IF(OR(K9586="Unit", K9586=""), "", INDEX(LookUps!$E$5:$E$12, MATCH(OpenLCAbasic!K9586,LookUps!$D$5:$D$12,0))))</f>
        <v>Global Warming Potential (GWP) - kg CO2 eq</v>
      </c>
      <c r="M9586" s="154" t="str">
        <f t="shared" si="792"/>
        <v>Low_Base_Low_Upgraded_Global Warming Potential (GWP) - kg CO2 eq_Clear Cove Primary Clarification; wastewater treatment unit; at updated plant - US_Base_With Amendment_Aerated Static Pile</v>
      </c>
    </row>
    <row r="9587" spans="1:13" s="120" customFormat="1" x14ac:dyDescent="0.25">
      <c r="A9587" s="119"/>
      <c r="B9587" s="138" t="str">
        <f t="shared" si="793"/>
        <v>Aerated Static Pile</v>
      </c>
      <c r="C9587" s="138" t="str">
        <f t="shared" si="794"/>
        <v>Base_With Amendment</v>
      </c>
      <c r="D9587" s="138" t="str">
        <f t="shared" si="796"/>
        <v>Base_Low</v>
      </c>
      <c r="E9587" s="138" t="str">
        <f t="shared" si="797"/>
        <v>Low</v>
      </c>
      <c r="F9587" s="138" t="str">
        <f t="shared" si="795"/>
        <v>Upgraded</v>
      </c>
      <c r="G9587" s="153"/>
      <c r="H9587" s="210">
        <v>9.5399999999999999E-2</v>
      </c>
      <c r="I9587" s="160" t="s">
        <v>48</v>
      </c>
      <c r="J9587" s="160">
        <v>5.2639999999999999E-2</v>
      </c>
      <c r="K9587" s="160" t="s">
        <v>23</v>
      </c>
      <c r="L9587" s="154" t="str">
        <f>IF(OpenLCAbasic!K9587="CTUh", "Fill in Manually",IF(OR(K9587="Unit", K9587=""), "", INDEX(LookUps!$E$5:$E$12, MATCH(OpenLCAbasic!K9587,LookUps!$D$5:$D$12,0))))</f>
        <v>Global Warming Potential (GWP) - kg CO2 eq</v>
      </c>
      <c r="M9587" s="154" t="str">
        <f t="shared" ref="M9587:M9650" si="798">CONCATENATE(E9587,"_",D9587,"_",F9587,"_",L9587, "_",I9587,"_", C9587,"_", B9587)</f>
        <v>Low_Base_Low_Upgraded_Global Warming Potential (GWP) - kg CO2 eq_Effluent release; wastewater treatment unit; at surface water; m3 wastewater - US_Base_With Amendment_Aerated Static Pile</v>
      </c>
    </row>
    <row r="9588" spans="1:13" s="120" customFormat="1" x14ac:dyDescent="0.25">
      <c r="A9588" s="119"/>
      <c r="B9588" s="138" t="str">
        <f t="shared" si="793"/>
        <v>Aerated Static Pile</v>
      </c>
      <c r="C9588" s="138" t="str">
        <f t="shared" si="794"/>
        <v>Base_With Amendment</v>
      </c>
      <c r="D9588" s="138" t="str">
        <f t="shared" si="796"/>
        <v>Base_Low</v>
      </c>
      <c r="E9588" s="138" t="str">
        <f t="shared" si="797"/>
        <v>Low</v>
      </c>
      <c r="F9588" s="138" t="str">
        <f t="shared" si="795"/>
        <v>Upgraded</v>
      </c>
      <c r="G9588" s="153"/>
      <c r="H9588" s="210">
        <v>9.1499999999999998E-2</v>
      </c>
      <c r="I9588" s="160" t="s">
        <v>147</v>
      </c>
      <c r="J9588" s="160">
        <v>5.0500000000000003E-2</v>
      </c>
      <c r="K9588" s="160" t="s">
        <v>23</v>
      </c>
      <c r="L9588" s="154" t="str">
        <f>IF(OpenLCAbasic!K9588="CTUh", "Fill in Manually",IF(OR(K9588="Unit", K9588=""), "", INDEX(LookUps!$E$5:$E$12, MATCH(OpenLCAbasic!K9588,LookUps!$D$5:$D$12,0))))</f>
        <v>Global Warming Potential (GWP) - kg CO2 eq</v>
      </c>
      <c r="M9588" s="154" t="str">
        <f t="shared" si="798"/>
        <v>Low_Base_Low_Upgraded_Global Warming Potential (GWP) - kg CO2 eq_Influent Pump Station; wastewater treatment unit; at updated plant - US_Base_With Amendment_Aerated Static Pile</v>
      </c>
    </row>
    <row r="9589" spans="1:13" s="120" customFormat="1" x14ac:dyDescent="0.25">
      <c r="A9589" s="119"/>
      <c r="B9589" s="138" t="str">
        <f t="shared" si="793"/>
        <v>Aerated Static Pile</v>
      </c>
      <c r="C9589" s="138" t="str">
        <f t="shared" si="794"/>
        <v>Base_With Amendment</v>
      </c>
      <c r="D9589" s="138" t="str">
        <f t="shared" si="796"/>
        <v>Base_Low</v>
      </c>
      <c r="E9589" s="138" t="str">
        <f t="shared" si="797"/>
        <v>Low</v>
      </c>
      <c r="F9589" s="138" t="str">
        <f t="shared" si="795"/>
        <v>Upgraded</v>
      </c>
      <c r="G9589" s="153"/>
      <c r="H9589" s="210">
        <v>6.0299999999999999E-2</v>
      </c>
      <c r="I9589" s="160" t="s">
        <v>53</v>
      </c>
      <c r="J9589" s="160">
        <v>3.3259999999999998E-2</v>
      </c>
      <c r="K9589" s="160" t="s">
        <v>23</v>
      </c>
      <c r="L9589" s="154" t="str">
        <f>IF(OpenLCAbasic!K9589="CTUh", "Fill in Manually",IF(OR(K9589="Unit", K9589=""), "", INDEX(LookUps!$E$5:$E$12, MATCH(OpenLCAbasic!K9589,LookUps!$D$5:$D$12,0))))</f>
        <v>Global Warming Potential (GWP) - kg CO2 eq</v>
      </c>
      <c r="M9589" s="154" t="str">
        <f t="shared" si="798"/>
        <v>Low_Base_Low_Upgraded_Global Warming Potential (GWP) - kg CO2 eq_Wet Well and Sump Station; wastewater treatment unit; at updated plant - US_Base_With Amendment_Aerated Static Pile</v>
      </c>
    </row>
    <row r="9590" spans="1:13" s="120" customFormat="1" x14ac:dyDescent="0.25">
      <c r="A9590" s="119"/>
      <c r="B9590" s="138" t="str">
        <f t="shared" si="793"/>
        <v>Aerated Static Pile</v>
      </c>
      <c r="C9590" s="138" t="str">
        <f t="shared" si="794"/>
        <v>Base_With Amendment</v>
      </c>
      <c r="D9590" s="138" t="str">
        <f t="shared" si="796"/>
        <v>Base_Low</v>
      </c>
      <c r="E9590" s="138" t="str">
        <f t="shared" si="797"/>
        <v>Low</v>
      </c>
      <c r="F9590" s="138" t="str">
        <f t="shared" si="795"/>
        <v>Upgraded</v>
      </c>
      <c r="G9590" s="153"/>
      <c r="H9590" s="210">
        <v>2.64E-2</v>
      </c>
      <c r="I9590" s="160" t="s">
        <v>57</v>
      </c>
      <c r="J9590" s="160">
        <v>1.455E-2</v>
      </c>
      <c r="K9590" s="160" t="s">
        <v>23</v>
      </c>
      <c r="L9590" s="154" t="str">
        <f>IF(OpenLCAbasic!K9590="CTUh", "Fill in Manually",IF(OR(K9590="Unit", K9590=""), "", INDEX(LookUps!$E$5:$E$12, MATCH(OpenLCAbasic!K9590,LookUps!$D$5:$D$12,0))))</f>
        <v>Global Warming Potential (GWP) - kg CO2 eq</v>
      </c>
      <c r="M9590" s="154" t="str">
        <f t="shared" si="798"/>
        <v>Low_Base_Low_Upgraded_Global Warming Potential (GWP) - kg CO2 eq_Gravity Belt Thickener; wastewater treatment unit; at updated plant - US_Base_With Amendment_Aerated Static Pile</v>
      </c>
    </row>
    <row r="9591" spans="1:13" s="120" customFormat="1" x14ac:dyDescent="0.25">
      <c r="A9591" s="119"/>
      <c r="B9591" s="138" t="str">
        <f t="shared" si="793"/>
        <v>Aerated Static Pile</v>
      </c>
      <c r="C9591" s="138" t="str">
        <f t="shared" si="794"/>
        <v>Base_With Amendment</v>
      </c>
      <c r="D9591" s="138" t="str">
        <f t="shared" si="796"/>
        <v>Base_Low</v>
      </c>
      <c r="E9591" s="138" t="str">
        <f t="shared" si="797"/>
        <v>Low</v>
      </c>
      <c r="F9591" s="138" t="str">
        <f t="shared" si="795"/>
        <v>Upgraded</v>
      </c>
      <c r="G9591" s="153"/>
      <c r="H9591" s="210">
        <v>2.5700000000000001E-2</v>
      </c>
      <c r="I9591" s="160" t="s">
        <v>60</v>
      </c>
      <c r="J9591" s="160">
        <v>1.418E-2</v>
      </c>
      <c r="K9591" s="160" t="s">
        <v>23</v>
      </c>
      <c r="L9591" s="154" t="str">
        <f>IF(OpenLCAbasic!K9591="CTUh", "Fill in Manually",IF(OR(K9591="Unit", K9591=""), "", INDEX(LookUps!$E$5:$E$12, MATCH(OpenLCAbasic!K9591,LookUps!$D$5:$D$12,0))))</f>
        <v>Global Warming Potential (GWP) - kg CO2 eq</v>
      </c>
      <c r="M9591" s="154" t="str">
        <f t="shared" si="798"/>
        <v>Low_Base_Low_Upgraded_Global Warming Potential (GWP) - kg CO2 eq_Belt filter press; wastewater treatment unit; at updated plant - US_Base_With Amendment_Aerated Static Pile</v>
      </c>
    </row>
    <row r="9592" spans="1:13" s="120" customFormat="1" x14ac:dyDescent="0.25">
      <c r="A9592" s="119"/>
      <c r="B9592" s="138" t="str">
        <f t="shared" si="793"/>
        <v>Aerated Static Pile</v>
      </c>
      <c r="C9592" s="138" t="str">
        <f t="shared" si="794"/>
        <v>Base_With Amendment</v>
      </c>
      <c r="D9592" s="138" t="str">
        <f t="shared" si="796"/>
        <v>Base_Low</v>
      </c>
      <c r="E9592" s="138" t="str">
        <f t="shared" si="797"/>
        <v>Low</v>
      </c>
      <c r="F9592" s="138" t="str">
        <f t="shared" si="795"/>
        <v>Upgraded</v>
      </c>
      <c r="G9592" s="153"/>
      <c r="H9592" s="210">
        <v>2.4500000000000001E-2</v>
      </c>
      <c r="I9592" s="160" t="s">
        <v>128</v>
      </c>
      <c r="J9592" s="160">
        <v>1.3509999999999999E-2</v>
      </c>
      <c r="K9592" s="160" t="s">
        <v>23</v>
      </c>
      <c r="L9592" s="154" t="str">
        <f>IF(OpenLCAbasic!K9592="CTUh", "Fill in Manually",IF(OR(K9592="Unit", K9592=""), "", INDEX(LookUps!$E$5:$E$12, MATCH(OpenLCAbasic!K9592,LookUps!$D$5:$D$12,0))))</f>
        <v>Global Warming Potential (GWP) - kg CO2 eq</v>
      </c>
      <c r="M9592" s="154" t="str">
        <f t="shared" si="798"/>
        <v>Low_Base_Low_Upgraded_Global Warming Potential (GWP) - kg CO2 eq_Wastewater collection; operation and infrastructure; m3 wastewater_Base_With Amendment_Aerated Static Pile</v>
      </c>
    </row>
    <row r="9593" spans="1:13" s="120" customFormat="1" x14ac:dyDescent="0.25">
      <c r="A9593" s="119"/>
      <c r="B9593" s="138" t="str">
        <f t="shared" ref="B9593:B9656" si="799">IF(F9593="Legacy","n.a.",IF(F9593="","","Aerated Static Pile"))</f>
        <v>Aerated Static Pile</v>
      </c>
      <c r="C9593" s="138" t="str">
        <f t="shared" ref="C9593:C9656" si="800">IF(ISNUMBER($J9593),"Base_With Amendment","")</f>
        <v>Base_With Amendment</v>
      </c>
      <c r="D9593" s="138" t="str">
        <f t="shared" si="796"/>
        <v>Base_Low</v>
      </c>
      <c r="E9593" s="138" t="str">
        <f t="shared" si="797"/>
        <v>Low</v>
      </c>
      <c r="F9593" s="138" t="str">
        <f t="shared" ref="F9593:F9656" si="801">IF(ISNUMBER(J9593),"Upgraded","")</f>
        <v>Upgraded</v>
      </c>
      <c r="G9593" s="153"/>
      <c r="H9593" s="210">
        <v>1.4999999999999999E-2</v>
      </c>
      <c r="I9593" s="160" t="s">
        <v>148</v>
      </c>
      <c r="J9593" s="160">
        <v>8.3000000000000001E-3</v>
      </c>
      <c r="K9593" s="160" t="s">
        <v>23</v>
      </c>
      <c r="L9593" s="154" t="str">
        <f>IF(OpenLCAbasic!K9593="CTUh", "Fill in Manually",IF(OR(K9593="Unit", K9593=""), "", INDEX(LookUps!$E$5:$E$12, MATCH(OpenLCAbasic!K9593,LookUps!$D$5:$D$12,0))))</f>
        <v>Global Warming Potential (GWP) - kg CO2 eq</v>
      </c>
      <c r="M9593" s="154" t="str">
        <f t="shared" si="798"/>
        <v>Low_Base_Low_Upgraded_Global Warming Potential (GWP) - kg CO2 eq_Control Building; at upgraded wastewater treatment plant - US_Base_With Amendment_Aerated Static Pile</v>
      </c>
    </row>
    <row r="9594" spans="1:13" s="120" customFormat="1" x14ac:dyDescent="0.25">
      <c r="A9594" s="119"/>
      <c r="B9594" s="138" t="str">
        <f t="shared" si="799"/>
        <v>Aerated Static Pile</v>
      </c>
      <c r="C9594" s="138" t="str">
        <f t="shared" si="800"/>
        <v>Base_With Amendment</v>
      </c>
      <c r="D9594" s="138" t="str">
        <f t="shared" si="796"/>
        <v>Base_Low</v>
      </c>
      <c r="E9594" s="138" t="str">
        <f t="shared" si="797"/>
        <v>Low</v>
      </c>
      <c r="F9594" s="138" t="str">
        <f t="shared" si="801"/>
        <v>Upgraded</v>
      </c>
      <c r="G9594" s="153"/>
      <c r="H9594" s="210">
        <v>9.1000000000000004E-3</v>
      </c>
      <c r="I9594" s="160" t="s">
        <v>59</v>
      </c>
      <c r="J9594" s="160">
        <v>5.0400000000000002E-3</v>
      </c>
      <c r="K9594" s="160" t="s">
        <v>23</v>
      </c>
      <c r="L9594" s="154" t="str">
        <f>IF(OpenLCAbasic!K9594="CTUh", "Fill in Manually",IF(OR(K9594="Unit", K9594=""), "", INDEX(LookUps!$E$5:$E$12, MATCH(OpenLCAbasic!K9594,LookUps!$D$5:$D$12,0))))</f>
        <v>Global Warming Potential (GWP) - kg CO2 eq</v>
      </c>
      <c r="M9594" s="154" t="str">
        <f t="shared" si="798"/>
        <v>Low_Base_Low_Upgraded_Global Warming Potential (GWP) - kg CO2 eq_Blend Tank; wastewater treatment unit; at updated plant - US_Base_With Amendment_Aerated Static Pile</v>
      </c>
    </row>
    <row r="9595" spans="1:13" s="120" customFormat="1" x14ac:dyDescent="0.25">
      <c r="A9595" s="119"/>
      <c r="B9595" s="138" t="str">
        <f t="shared" si="799"/>
        <v>Aerated Static Pile</v>
      </c>
      <c r="C9595" s="138" t="str">
        <f t="shared" si="800"/>
        <v>Base_With Amendment</v>
      </c>
      <c r="D9595" s="138" t="str">
        <f t="shared" si="796"/>
        <v>Base_Low</v>
      </c>
      <c r="E9595" s="138" t="str">
        <f t="shared" si="797"/>
        <v>Low</v>
      </c>
      <c r="F9595" s="138" t="str">
        <f t="shared" si="801"/>
        <v>Upgraded</v>
      </c>
      <c r="G9595" s="153"/>
      <c r="H9595" s="210">
        <v>4.4000000000000003E-3</v>
      </c>
      <c r="I9595" s="160" t="s">
        <v>168</v>
      </c>
      <c r="J9595" s="160">
        <v>2.4099999999999998E-3</v>
      </c>
      <c r="K9595" s="160" t="s">
        <v>23</v>
      </c>
      <c r="L9595" s="154" t="str">
        <f>IF(OpenLCAbasic!K9595="CTUh", "Fill in Manually",IF(OR(K9595="Unit", K9595=""), "", INDEX(LookUps!$E$5:$E$12, MATCH(OpenLCAbasic!K9595,LookUps!$D$5:$D$12,0))))</f>
        <v>Global Warming Potential (GWP) - kg CO2 eq</v>
      </c>
      <c r="M9595" s="154" t="str">
        <f t="shared" si="798"/>
        <v>Low_Base_Low_Upgraded_Global Warming Potential (GWP) - kg CO2 eq_ClearCove SCP; wastewater treatment unit; at updated plant - US_Base_With Amendment_Aerated Static Pile</v>
      </c>
    </row>
    <row r="9596" spans="1:13" s="120" customFormat="1" x14ac:dyDescent="0.25">
      <c r="A9596" s="119"/>
      <c r="B9596" s="138" t="str">
        <f t="shared" si="799"/>
        <v>Aerated Static Pile</v>
      </c>
      <c r="C9596" s="138" t="str">
        <f t="shared" si="800"/>
        <v>Base_With Amendment</v>
      </c>
      <c r="D9596" s="138" t="str">
        <f t="shared" si="796"/>
        <v>Base_Low</v>
      </c>
      <c r="E9596" s="138" t="str">
        <f t="shared" si="797"/>
        <v>Low</v>
      </c>
      <c r="F9596" s="138" t="str">
        <f t="shared" si="801"/>
        <v>Upgraded</v>
      </c>
      <c r="G9596" s="153"/>
      <c r="H9596" s="210">
        <v>-0.94059999999999999</v>
      </c>
      <c r="I9596" s="160" t="s">
        <v>62</v>
      </c>
      <c r="J9596" s="160">
        <v>-0.51898999999999995</v>
      </c>
      <c r="K9596" s="160" t="s">
        <v>23</v>
      </c>
      <c r="L9596" s="154" t="str">
        <f>IF(OpenLCAbasic!K9596="CTUh", "Fill in Manually",IF(OR(K9596="Unit", K9596=""), "", INDEX(LookUps!$E$5:$E$12, MATCH(OpenLCAbasic!K9596,LookUps!$D$5:$D$12,0))))</f>
        <v>Global Warming Potential (GWP) - kg CO2 eq</v>
      </c>
      <c r="M9596" s="154" t="str">
        <f t="shared" si="798"/>
        <v>Low_Base_Low_Upgraded_Global Warming Potential (GWP) - kg CO2 eq_Land application of compost; wastewater treatment unit; at updated plant - US_Base_With Amendment_Aerated Static Pile</v>
      </c>
    </row>
    <row r="9597" spans="1:13" s="120" customFormat="1" x14ac:dyDescent="0.25">
      <c r="A9597" s="119"/>
      <c r="B9597" s="138" t="str">
        <f t="shared" si="799"/>
        <v/>
      </c>
      <c r="C9597" s="138" t="str">
        <f t="shared" si="800"/>
        <v/>
      </c>
      <c r="D9597" s="138" t="str">
        <f t="shared" si="796"/>
        <v/>
      </c>
      <c r="E9597" s="138" t="str">
        <f t="shared" si="797"/>
        <v/>
      </c>
      <c r="F9597" s="138" t="str">
        <f t="shared" si="801"/>
        <v/>
      </c>
      <c r="G9597" s="153" t="s">
        <v>51</v>
      </c>
      <c r="H9597" s="160"/>
      <c r="I9597" s="160" t="s">
        <v>47</v>
      </c>
      <c r="J9597" s="160" t="s">
        <v>52</v>
      </c>
      <c r="K9597" s="160" t="s">
        <v>27</v>
      </c>
      <c r="L9597" s="154" t="str">
        <f>IF(OpenLCAbasic!K9597="CTUh", "Fill in Manually",IF(OR(K9597="Unit", K9597=""), "", INDEX(LookUps!$E$5:$E$12, MATCH(OpenLCAbasic!K9597,LookUps!$D$5:$D$12,0))))</f>
        <v/>
      </c>
      <c r="M9597" s="154" t="str">
        <f t="shared" si="798"/>
        <v>____Process__</v>
      </c>
    </row>
    <row r="9598" spans="1:13" s="120" customFormat="1" x14ac:dyDescent="0.25">
      <c r="A9598" s="119"/>
      <c r="B9598" s="138" t="str">
        <f t="shared" si="799"/>
        <v>Aerated Static Pile</v>
      </c>
      <c r="C9598" s="138" t="str">
        <f t="shared" si="800"/>
        <v>Base_With Amendment</v>
      </c>
      <c r="D9598" s="138" t="str">
        <f t="shared" si="796"/>
        <v>Base_Low</v>
      </c>
      <c r="E9598" s="138" t="str">
        <f t="shared" si="797"/>
        <v>Low</v>
      </c>
      <c r="F9598" s="138" t="str">
        <f t="shared" si="801"/>
        <v>Upgraded</v>
      </c>
      <c r="G9598" s="153"/>
      <c r="H9598" s="210">
        <v>0.35909999999999997</v>
      </c>
      <c r="I9598" s="160" t="s">
        <v>55</v>
      </c>
      <c r="J9598" s="160">
        <v>2.33E-3</v>
      </c>
      <c r="K9598" s="160" t="s">
        <v>145</v>
      </c>
      <c r="L9598" s="154" t="str">
        <f>IF(OpenLCAbasic!K9598="CTUh", "Fill in Manually",IF(OR(K9598="Unit", K9598=""), "", INDEX(LookUps!$E$5:$E$12, MATCH(OpenLCAbasic!K9598,LookUps!$D$5:$D$12,0))))</f>
        <v>Particulate Matter Formation Potential (PMFP) - kg PM2.5 eq</v>
      </c>
      <c r="M9598" s="154" t="str">
        <f t="shared" si="798"/>
        <v>Low_Base_Low_Upgraded_Particulate Matter Formation Potential (PMFP) - kg PM2.5 eq_Aeration Tanks; wastewater treatment unit; at updated plant - US_Base_With Amendment_Aerated Static Pile</v>
      </c>
    </row>
    <row r="9599" spans="1:13" s="120" customFormat="1" x14ac:dyDescent="0.25">
      <c r="A9599" s="119"/>
      <c r="B9599" s="138" t="str">
        <f t="shared" si="799"/>
        <v>Aerated Static Pile</v>
      </c>
      <c r="C9599" s="138" t="str">
        <f t="shared" si="800"/>
        <v>Base_With Amendment</v>
      </c>
      <c r="D9599" s="138" t="str">
        <f t="shared" si="796"/>
        <v>Base_Low</v>
      </c>
      <c r="E9599" s="138" t="str">
        <f t="shared" si="797"/>
        <v>Low</v>
      </c>
      <c r="F9599" s="138" t="str">
        <f t="shared" si="801"/>
        <v>Upgraded</v>
      </c>
      <c r="G9599" s="153"/>
      <c r="H9599" s="210">
        <v>0.14330000000000001</v>
      </c>
      <c r="I9599" s="160" t="s">
        <v>435</v>
      </c>
      <c r="J9599" s="160">
        <v>9.3000000000000005E-4</v>
      </c>
      <c r="K9599" s="160" t="s">
        <v>145</v>
      </c>
      <c r="L9599" s="154" t="str">
        <f>IF(OpenLCAbasic!K9599="CTUh", "Fill in Manually",IF(OR(K9599="Unit", K9599=""), "", INDEX(LookUps!$E$5:$E$12, MATCH(OpenLCAbasic!K9599,LookUps!$D$5:$D$12,0))))</f>
        <v>Particulate Matter Formation Potential (PMFP) - kg PM2.5 eq</v>
      </c>
      <c r="M9599" s="154" t="str">
        <f t="shared" si="798"/>
        <v>Low_Base_Low_Upgraded_Particulate Matter Formation Potential (PMFP) - kg PM2.5 eq_Biosolids composting; aerated static pile; wastewater treatment unit; at updated plant - US_Base_With Amendment_Aerated Static Pile</v>
      </c>
    </row>
    <row r="9600" spans="1:13" s="120" customFormat="1" x14ac:dyDescent="0.25">
      <c r="A9600" s="119"/>
      <c r="B9600" s="138" t="str">
        <f t="shared" si="799"/>
        <v>Aerated Static Pile</v>
      </c>
      <c r="C9600" s="138" t="str">
        <f t="shared" si="800"/>
        <v>Base_With Amendment</v>
      </c>
      <c r="D9600" s="138" t="str">
        <f t="shared" si="796"/>
        <v>Base_Low</v>
      </c>
      <c r="E9600" s="138" t="str">
        <f t="shared" si="797"/>
        <v>Low</v>
      </c>
      <c r="F9600" s="138" t="str">
        <f t="shared" si="801"/>
        <v>Upgraded</v>
      </c>
      <c r="G9600" s="153"/>
      <c r="H9600" s="210">
        <v>0.1045</v>
      </c>
      <c r="I9600" s="160" t="s">
        <v>54</v>
      </c>
      <c r="J9600" s="160">
        <v>6.8000000000000005E-4</v>
      </c>
      <c r="K9600" s="160" t="s">
        <v>145</v>
      </c>
      <c r="L9600" s="154" t="str">
        <f>IF(OpenLCAbasic!K9600="CTUh", "Fill in Manually",IF(OR(K9600="Unit", K9600=""), "", INDEX(LookUps!$E$5:$E$12, MATCH(OpenLCAbasic!K9600,LookUps!$D$5:$D$12,0))))</f>
        <v>Particulate Matter Formation Potential (PMFP) - kg PM2.5 eq</v>
      </c>
      <c r="M9600" s="154" t="str">
        <f t="shared" si="798"/>
        <v>Low_Base_Low_Upgraded_Particulate Matter Formation Potential (PMFP) - kg PM2.5 eq_Clear Cove Primary Clarification; wastewater treatment unit; at updated plant - US_Base_With Amendment_Aerated Static Pile</v>
      </c>
    </row>
    <row r="9601" spans="1:13" s="120" customFormat="1" x14ac:dyDescent="0.25">
      <c r="A9601" s="119"/>
      <c r="B9601" s="138" t="str">
        <f t="shared" si="799"/>
        <v>Aerated Static Pile</v>
      </c>
      <c r="C9601" s="138" t="str">
        <f t="shared" si="800"/>
        <v>Base_With Amendment</v>
      </c>
      <c r="D9601" s="138" t="str">
        <f t="shared" si="796"/>
        <v>Base_Low</v>
      </c>
      <c r="E9601" s="138" t="str">
        <f t="shared" si="797"/>
        <v>Low</v>
      </c>
      <c r="F9601" s="138" t="str">
        <f t="shared" si="801"/>
        <v>Upgraded</v>
      </c>
      <c r="G9601" s="153"/>
      <c r="H9601" s="210">
        <v>9.0300000000000005E-2</v>
      </c>
      <c r="I9601" s="160" t="s">
        <v>58</v>
      </c>
      <c r="J9601" s="160">
        <v>5.9000000000000003E-4</v>
      </c>
      <c r="K9601" s="160" t="s">
        <v>145</v>
      </c>
      <c r="L9601" s="154" t="str">
        <f>IF(OpenLCAbasic!K9601="CTUh", "Fill in Manually",IF(OR(K9601="Unit", K9601=""), "", INDEX(LookUps!$E$5:$E$12, MATCH(OpenLCAbasic!K9601,LookUps!$D$5:$D$12,0))))</f>
        <v>Particulate Matter Formation Potential (PMFP) - kg PM2.5 eq</v>
      </c>
      <c r="M9601" s="154" t="str">
        <f t="shared" si="798"/>
        <v>Low_Base_Low_Upgraded_Particulate Matter Formation Potential (PMFP) - kg PM2.5 eq_Pre-Anoxic &amp; Swing tank; wastewater treatment unit; at updated plant - US_Base_With Amendment_Aerated Static Pile</v>
      </c>
    </row>
    <row r="9602" spans="1:13" s="120" customFormat="1" x14ac:dyDescent="0.25">
      <c r="A9602" s="119"/>
      <c r="B9602" s="138" t="str">
        <f t="shared" si="799"/>
        <v>Aerated Static Pile</v>
      </c>
      <c r="C9602" s="138" t="str">
        <f t="shared" si="800"/>
        <v>Base_With Amendment</v>
      </c>
      <c r="D9602" s="138" t="str">
        <f t="shared" si="796"/>
        <v>Base_Low</v>
      </c>
      <c r="E9602" s="138" t="str">
        <f t="shared" si="797"/>
        <v>Low</v>
      </c>
      <c r="F9602" s="138" t="str">
        <f t="shared" si="801"/>
        <v>Upgraded</v>
      </c>
      <c r="G9602" s="153"/>
      <c r="H9602" s="210">
        <v>7.1800000000000003E-2</v>
      </c>
      <c r="I9602" s="160" t="s">
        <v>53</v>
      </c>
      <c r="J9602" s="160">
        <v>4.6999999999999999E-4</v>
      </c>
      <c r="K9602" s="160" t="s">
        <v>145</v>
      </c>
      <c r="L9602" s="154" t="str">
        <f>IF(OpenLCAbasic!K9602="CTUh", "Fill in Manually",IF(OR(K9602="Unit", K9602=""), "", INDEX(LookUps!$E$5:$E$12, MATCH(OpenLCAbasic!K9602,LookUps!$D$5:$D$12,0))))</f>
        <v>Particulate Matter Formation Potential (PMFP) - kg PM2.5 eq</v>
      </c>
      <c r="M9602" s="154" t="str">
        <f t="shared" si="798"/>
        <v>Low_Base_Low_Upgraded_Particulate Matter Formation Potential (PMFP) - kg PM2.5 eq_Wet Well and Sump Station; wastewater treatment unit; at updated plant - US_Base_With Amendment_Aerated Static Pile</v>
      </c>
    </row>
    <row r="9603" spans="1:13" s="120" customFormat="1" x14ac:dyDescent="0.25">
      <c r="A9603" s="119"/>
      <c r="B9603" s="138" t="str">
        <f t="shared" si="799"/>
        <v>Aerated Static Pile</v>
      </c>
      <c r="C9603" s="138" t="str">
        <f t="shared" si="800"/>
        <v>Base_With Amendment</v>
      </c>
      <c r="D9603" s="138" t="str">
        <f t="shared" si="796"/>
        <v>Base_Low</v>
      </c>
      <c r="E9603" s="138" t="str">
        <f t="shared" si="797"/>
        <v>Low</v>
      </c>
      <c r="F9603" s="138" t="str">
        <f t="shared" si="801"/>
        <v>Upgraded</v>
      </c>
      <c r="G9603" s="153"/>
      <c r="H9603" s="210">
        <v>5.1900000000000002E-2</v>
      </c>
      <c r="I9603" s="160" t="s">
        <v>149</v>
      </c>
      <c r="J9603" s="160">
        <v>3.4000000000000002E-4</v>
      </c>
      <c r="K9603" s="160" t="s">
        <v>145</v>
      </c>
      <c r="L9603" s="154" t="str">
        <f>IF(OpenLCAbasic!K9603="CTUh", "Fill in Manually",IF(OR(K9603="Unit", K9603=""), "", INDEX(LookUps!$E$5:$E$12, MATCH(OpenLCAbasic!K9603,LookUps!$D$5:$D$12,0))))</f>
        <v>Particulate Matter Formation Potential (PMFP) - kg PM2.5 eq</v>
      </c>
      <c r="M9603" s="154" t="str">
        <f t="shared" si="798"/>
        <v>Low_Base_Low_Upgraded_Particulate Matter Formation Potential (PMFP) - kg PM2.5 eq_Anaerobic Digestion; wastewater treatment unit; at updated plant - US_Base_With Amendment_Aerated Static Pile</v>
      </c>
    </row>
    <row r="9604" spans="1:13" s="120" customFormat="1" x14ac:dyDescent="0.25">
      <c r="A9604" s="119"/>
      <c r="B9604" s="138" t="str">
        <f t="shared" si="799"/>
        <v>Aerated Static Pile</v>
      </c>
      <c r="C9604" s="138" t="str">
        <f t="shared" si="800"/>
        <v>Base_With Amendment</v>
      </c>
      <c r="D9604" s="138" t="str">
        <f t="shared" si="796"/>
        <v>Base_Low</v>
      </c>
      <c r="E9604" s="138" t="str">
        <f t="shared" si="797"/>
        <v>Low</v>
      </c>
      <c r="F9604" s="138" t="str">
        <f t="shared" si="801"/>
        <v>Upgraded</v>
      </c>
      <c r="G9604" s="153"/>
      <c r="H9604" s="210">
        <v>4.5999999999999999E-2</v>
      </c>
      <c r="I9604" s="160" t="s">
        <v>167</v>
      </c>
      <c r="J9604" s="160">
        <v>2.9999999999999997E-4</v>
      </c>
      <c r="K9604" s="160" t="s">
        <v>145</v>
      </c>
      <c r="L9604" s="154" t="str">
        <f>IF(OpenLCAbasic!K9604="CTUh", "Fill in Manually",IF(OR(K9604="Unit", K9604=""), "", INDEX(LookUps!$E$5:$E$12, MATCH(OpenLCAbasic!K9604,LookUps!$D$5:$D$12,0))))</f>
        <v>Particulate Matter Formation Potential (PMFP) - kg PM2.5 eq</v>
      </c>
      <c r="M9604" s="154" t="str">
        <f t="shared" si="798"/>
        <v>Low_Base_Low_Upgraded_Particulate Matter Formation Potential (PMFP) - kg PM2.5 eq_Waste Receiving and Holding; wastewater treatment unit; at updated plant - US_Base_With Amendment_Aerated Static Pile</v>
      </c>
    </row>
    <row r="9605" spans="1:13" s="120" customFormat="1" x14ac:dyDescent="0.25">
      <c r="A9605" s="119"/>
      <c r="B9605" s="138" t="str">
        <f t="shared" si="799"/>
        <v>Aerated Static Pile</v>
      </c>
      <c r="C9605" s="138" t="str">
        <f t="shared" si="800"/>
        <v>Base_With Amendment</v>
      </c>
      <c r="D9605" s="138" t="str">
        <f t="shared" si="796"/>
        <v>Base_Low</v>
      </c>
      <c r="E9605" s="138" t="str">
        <f t="shared" si="797"/>
        <v>Low</v>
      </c>
      <c r="F9605" s="138" t="str">
        <f t="shared" si="801"/>
        <v>Upgraded</v>
      </c>
      <c r="G9605" s="153"/>
      <c r="H9605" s="210">
        <v>4.1000000000000002E-2</v>
      </c>
      <c r="I9605" s="160" t="s">
        <v>147</v>
      </c>
      <c r="J9605" s="160">
        <v>2.7E-4</v>
      </c>
      <c r="K9605" s="160" t="s">
        <v>145</v>
      </c>
      <c r="L9605" s="154" t="str">
        <f>IF(OpenLCAbasic!K9605="CTUh", "Fill in Manually",IF(OR(K9605="Unit", K9605=""), "", INDEX(LookUps!$E$5:$E$12, MATCH(OpenLCAbasic!K9605,LookUps!$D$5:$D$12,0))))</f>
        <v>Particulate Matter Formation Potential (PMFP) - kg PM2.5 eq</v>
      </c>
      <c r="M9605" s="154" t="str">
        <f t="shared" si="798"/>
        <v>Low_Base_Low_Upgraded_Particulate Matter Formation Potential (PMFP) - kg PM2.5 eq_Influent Pump Station; wastewater treatment unit; at updated plant - US_Base_With Amendment_Aerated Static Pile</v>
      </c>
    </row>
    <row r="9606" spans="1:13" s="120" customFormat="1" x14ac:dyDescent="0.25">
      <c r="A9606" s="119"/>
      <c r="B9606" s="138" t="str">
        <f t="shared" si="799"/>
        <v>Aerated Static Pile</v>
      </c>
      <c r="C9606" s="138" t="str">
        <f t="shared" si="800"/>
        <v>Base_With Amendment</v>
      </c>
      <c r="D9606" s="138" t="str">
        <f t="shared" si="796"/>
        <v>Base_Low</v>
      </c>
      <c r="E9606" s="138" t="str">
        <f t="shared" si="797"/>
        <v>Low</v>
      </c>
      <c r="F9606" s="138" t="str">
        <f t="shared" si="801"/>
        <v>Upgraded</v>
      </c>
      <c r="G9606" s="153"/>
      <c r="H9606" s="210">
        <v>2.5600000000000001E-2</v>
      </c>
      <c r="I9606" s="160" t="s">
        <v>128</v>
      </c>
      <c r="J9606" s="160">
        <v>1.7000000000000001E-4</v>
      </c>
      <c r="K9606" s="160" t="s">
        <v>145</v>
      </c>
      <c r="L9606" s="154" t="str">
        <f>IF(OpenLCAbasic!K9606="CTUh", "Fill in Manually",IF(OR(K9606="Unit", K9606=""), "", INDEX(LookUps!$E$5:$E$12, MATCH(OpenLCAbasic!K9606,LookUps!$D$5:$D$12,0))))</f>
        <v>Particulate Matter Formation Potential (PMFP) - kg PM2.5 eq</v>
      </c>
      <c r="M9606" s="154" t="str">
        <f t="shared" si="798"/>
        <v>Low_Base_Low_Upgraded_Particulate Matter Formation Potential (PMFP) - kg PM2.5 eq_Wastewater collection; operation and infrastructure; m3 wastewater_Base_With Amendment_Aerated Static Pile</v>
      </c>
    </row>
    <row r="9607" spans="1:13" s="120" customFormat="1" x14ac:dyDescent="0.25">
      <c r="A9607" s="119"/>
      <c r="B9607" s="138" t="str">
        <f t="shared" si="799"/>
        <v>Aerated Static Pile</v>
      </c>
      <c r="C9607" s="138" t="str">
        <f t="shared" si="800"/>
        <v>Base_With Amendment</v>
      </c>
      <c r="D9607" s="138" t="str">
        <f t="shared" si="796"/>
        <v>Base_Low</v>
      </c>
      <c r="E9607" s="138" t="str">
        <f t="shared" si="797"/>
        <v>Low</v>
      </c>
      <c r="F9607" s="138" t="str">
        <f t="shared" si="801"/>
        <v>Upgraded</v>
      </c>
      <c r="G9607" s="153"/>
      <c r="H9607" s="210">
        <v>1.78E-2</v>
      </c>
      <c r="I9607" s="160" t="s">
        <v>60</v>
      </c>
      <c r="J9607" s="160">
        <v>1.2E-4</v>
      </c>
      <c r="K9607" s="160" t="s">
        <v>145</v>
      </c>
      <c r="L9607" s="154" t="str">
        <f>IF(OpenLCAbasic!K9607="CTUh", "Fill in Manually",IF(OR(K9607="Unit", K9607=""), "", INDEX(LookUps!$E$5:$E$12, MATCH(OpenLCAbasic!K9607,LookUps!$D$5:$D$12,0))))</f>
        <v>Particulate Matter Formation Potential (PMFP) - kg PM2.5 eq</v>
      </c>
      <c r="M9607" s="154" t="str">
        <f t="shared" si="798"/>
        <v>Low_Base_Low_Upgraded_Particulate Matter Formation Potential (PMFP) - kg PM2.5 eq_Belt filter press; wastewater treatment unit; at updated plant - US_Base_With Amendment_Aerated Static Pile</v>
      </c>
    </row>
    <row r="9608" spans="1:13" s="120" customFormat="1" x14ac:dyDescent="0.25">
      <c r="A9608" s="119"/>
      <c r="B9608" s="138" t="str">
        <f t="shared" si="799"/>
        <v>Aerated Static Pile</v>
      </c>
      <c r="C9608" s="138" t="str">
        <f t="shared" si="800"/>
        <v>Base_With Amendment</v>
      </c>
      <c r="D9608" s="138" t="str">
        <f t="shared" si="796"/>
        <v>Base_Low</v>
      </c>
      <c r="E9608" s="138" t="str">
        <f t="shared" si="797"/>
        <v>Low</v>
      </c>
      <c r="F9608" s="138" t="str">
        <f t="shared" si="801"/>
        <v>Upgraded</v>
      </c>
      <c r="G9608" s="153"/>
      <c r="H9608" s="210">
        <v>1.46E-2</v>
      </c>
      <c r="I9608" s="160" t="s">
        <v>57</v>
      </c>
      <c r="J9608" s="211">
        <v>9.5153800000000004E-5</v>
      </c>
      <c r="K9608" s="160" t="s">
        <v>145</v>
      </c>
      <c r="L9608" s="154" t="str">
        <f>IF(OpenLCAbasic!K9608="CTUh", "Fill in Manually",IF(OR(K9608="Unit", K9608=""), "", INDEX(LookUps!$E$5:$E$12, MATCH(OpenLCAbasic!K9608,LookUps!$D$5:$D$12,0))))</f>
        <v>Particulate Matter Formation Potential (PMFP) - kg PM2.5 eq</v>
      </c>
      <c r="M9608" s="154" t="str">
        <f t="shared" si="798"/>
        <v>Low_Base_Low_Upgraded_Particulate Matter Formation Potential (PMFP) - kg PM2.5 eq_Gravity Belt Thickener; wastewater treatment unit; at updated plant - US_Base_With Amendment_Aerated Static Pile</v>
      </c>
    </row>
    <row r="9609" spans="1:13" s="120" customFormat="1" x14ac:dyDescent="0.25">
      <c r="A9609" s="119"/>
      <c r="B9609" s="138" t="str">
        <f t="shared" si="799"/>
        <v>Aerated Static Pile</v>
      </c>
      <c r="C9609" s="138" t="str">
        <f t="shared" si="800"/>
        <v>Base_With Amendment</v>
      </c>
      <c r="D9609" s="138" t="str">
        <f t="shared" si="796"/>
        <v>Base_Low</v>
      </c>
      <c r="E9609" s="138" t="str">
        <f t="shared" si="797"/>
        <v>Low</v>
      </c>
      <c r="F9609" s="138" t="str">
        <f t="shared" si="801"/>
        <v>Upgraded</v>
      </c>
      <c r="G9609" s="153"/>
      <c r="H9609" s="210">
        <v>1.0800000000000001E-2</v>
      </c>
      <c r="I9609" s="160" t="s">
        <v>59</v>
      </c>
      <c r="J9609" s="211">
        <v>6.9942200000000003E-5</v>
      </c>
      <c r="K9609" s="160" t="s">
        <v>145</v>
      </c>
      <c r="L9609" s="154" t="str">
        <f>IF(OpenLCAbasic!K9609="CTUh", "Fill in Manually",IF(OR(K9609="Unit", K9609=""), "", INDEX(LookUps!$E$5:$E$12, MATCH(OpenLCAbasic!K9609,LookUps!$D$5:$D$12,0))))</f>
        <v>Particulate Matter Formation Potential (PMFP) - kg PM2.5 eq</v>
      </c>
      <c r="M9609" s="154" t="str">
        <f t="shared" si="798"/>
        <v>Low_Base_Low_Upgraded_Particulate Matter Formation Potential (PMFP) - kg PM2.5 eq_Blend Tank; wastewater treatment unit; at updated plant - US_Base_With Amendment_Aerated Static Pile</v>
      </c>
    </row>
    <row r="9610" spans="1:13" s="120" customFormat="1" x14ac:dyDescent="0.25">
      <c r="A9610" s="119"/>
      <c r="B9610" s="138" t="str">
        <f t="shared" si="799"/>
        <v>Aerated Static Pile</v>
      </c>
      <c r="C9610" s="138" t="str">
        <f t="shared" si="800"/>
        <v>Base_With Amendment</v>
      </c>
      <c r="D9610" s="138" t="str">
        <f t="shared" si="796"/>
        <v>Base_Low</v>
      </c>
      <c r="E9610" s="138" t="str">
        <f t="shared" si="797"/>
        <v>Low</v>
      </c>
      <c r="F9610" s="138" t="str">
        <f t="shared" si="801"/>
        <v>Upgraded</v>
      </c>
      <c r="G9610" s="153"/>
      <c r="H9610" s="210">
        <v>8.8999999999999999E-3</v>
      </c>
      <c r="I9610" s="160" t="s">
        <v>62</v>
      </c>
      <c r="J9610" s="211">
        <v>5.7777099999999999E-5</v>
      </c>
      <c r="K9610" s="160" t="s">
        <v>145</v>
      </c>
      <c r="L9610" s="154" t="str">
        <f>IF(OpenLCAbasic!K9610="CTUh", "Fill in Manually",IF(OR(K9610="Unit", K9610=""), "", INDEX(LookUps!$E$5:$E$12, MATCH(OpenLCAbasic!K9610,LookUps!$D$5:$D$12,0))))</f>
        <v>Particulate Matter Formation Potential (PMFP) - kg PM2.5 eq</v>
      </c>
      <c r="M9610" s="154" t="str">
        <f t="shared" si="798"/>
        <v>Low_Base_Low_Upgraded_Particulate Matter Formation Potential (PMFP) - kg PM2.5 eq_Land application of compost; wastewater treatment unit; at updated plant - US_Base_With Amendment_Aerated Static Pile</v>
      </c>
    </row>
    <row r="9611" spans="1:13" s="120" customFormat="1" x14ac:dyDescent="0.25">
      <c r="A9611" s="119"/>
      <c r="B9611" s="138" t="str">
        <f t="shared" si="799"/>
        <v>Aerated Static Pile</v>
      </c>
      <c r="C9611" s="138" t="str">
        <f t="shared" si="800"/>
        <v>Base_With Amendment</v>
      </c>
      <c r="D9611" s="138" t="str">
        <f t="shared" si="796"/>
        <v>Base_Low</v>
      </c>
      <c r="E9611" s="138" t="str">
        <f t="shared" si="797"/>
        <v>Low</v>
      </c>
      <c r="F9611" s="138" t="str">
        <f t="shared" si="801"/>
        <v>Upgraded</v>
      </c>
      <c r="G9611" s="153"/>
      <c r="H9611" s="210">
        <v>7.7000000000000002E-3</v>
      </c>
      <c r="I9611" s="160" t="s">
        <v>48</v>
      </c>
      <c r="J9611" s="211">
        <v>4.99741E-5</v>
      </c>
      <c r="K9611" s="160" t="s">
        <v>145</v>
      </c>
      <c r="L9611" s="154" t="str">
        <f>IF(OpenLCAbasic!K9611="CTUh", "Fill in Manually",IF(OR(K9611="Unit", K9611=""), "", INDEX(LookUps!$E$5:$E$12, MATCH(OpenLCAbasic!K9611,LookUps!$D$5:$D$12,0))))</f>
        <v>Particulate Matter Formation Potential (PMFP) - kg PM2.5 eq</v>
      </c>
      <c r="M9611" s="154" t="str">
        <f t="shared" si="798"/>
        <v>Low_Base_Low_Upgraded_Particulate Matter Formation Potential (PMFP) - kg PM2.5 eq_Effluent release; wastewater treatment unit; at surface water; m3 wastewater - US_Base_With Amendment_Aerated Static Pile</v>
      </c>
    </row>
    <row r="9612" spans="1:13" s="120" customFormat="1" x14ac:dyDescent="0.25">
      <c r="A9612" s="119"/>
      <c r="B9612" s="138" t="str">
        <f t="shared" si="799"/>
        <v>Aerated Static Pile</v>
      </c>
      <c r="C9612" s="138" t="str">
        <f t="shared" si="800"/>
        <v>Base_With Amendment</v>
      </c>
      <c r="D9612" s="138" t="str">
        <f t="shared" si="796"/>
        <v>Base_Low</v>
      </c>
      <c r="E9612" s="138" t="str">
        <f t="shared" si="797"/>
        <v>Low</v>
      </c>
      <c r="F9612" s="138" t="str">
        <f t="shared" si="801"/>
        <v>Upgraded</v>
      </c>
      <c r="G9612" s="153"/>
      <c r="H9612" s="210">
        <v>5.3E-3</v>
      </c>
      <c r="I9612" s="160" t="s">
        <v>168</v>
      </c>
      <c r="J9612" s="211">
        <v>3.4562199999999999E-5</v>
      </c>
      <c r="K9612" s="160" t="s">
        <v>145</v>
      </c>
      <c r="L9612" s="154" t="str">
        <f>IF(OpenLCAbasic!K9612="CTUh", "Fill in Manually",IF(OR(K9612="Unit", K9612=""), "", INDEX(LookUps!$E$5:$E$12, MATCH(OpenLCAbasic!K9612,LookUps!$D$5:$D$12,0))))</f>
        <v>Particulate Matter Formation Potential (PMFP) - kg PM2.5 eq</v>
      </c>
      <c r="M9612" s="154" t="str">
        <f t="shared" si="798"/>
        <v>Low_Base_Low_Upgraded_Particulate Matter Formation Potential (PMFP) - kg PM2.5 eq_ClearCove SCP; wastewater treatment unit; at updated plant - US_Base_With Amendment_Aerated Static Pile</v>
      </c>
    </row>
    <row r="9613" spans="1:13" s="120" customFormat="1" x14ac:dyDescent="0.25">
      <c r="A9613" s="119"/>
      <c r="B9613" s="138" t="str">
        <f t="shared" si="799"/>
        <v>Aerated Static Pile</v>
      </c>
      <c r="C9613" s="138" t="str">
        <f t="shared" si="800"/>
        <v>Base_With Amendment</v>
      </c>
      <c r="D9613" s="138" t="str">
        <f t="shared" si="796"/>
        <v>Base_Low</v>
      </c>
      <c r="E9613" s="138" t="str">
        <f t="shared" si="797"/>
        <v>Low</v>
      </c>
      <c r="F9613" s="138" t="str">
        <f t="shared" si="801"/>
        <v>Upgraded</v>
      </c>
      <c r="G9613" s="153"/>
      <c r="H9613" s="210">
        <v>1.4E-3</v>
      </c>
      <c r="I9613" s="160" t="s">
        <v>148</v>
      </c>
      <c r="J9613" s="211">
        <v>8.8212999999999997E-6</v>
      </c>
      <c r="K9613" s="160" t="s">
        <v>145</v>
      </c>
      <c r="L9613" s="154" t="str">
        <f>IF(OpenLCAbasic!K9613="CTUh", "Fill in Manually",IF(OR(K9613="Unit", K9613=""), "", INDEX(LookUps!$E$5:$E$12, MATCH(OpenLCAbasic!K9613,LookUps!$D$5:$D$12,0))))</f>
        <v>Particulate Matter Formation Potential (PMFP) - kg PM2.5 eq</v>
      </c>
      <c r="M9613" s="154" t="str">
        <f t="shared" si="798"/>
        <v>Low_Base_Low_Upgraded_Particulate Matter Formation Potential (PMFP) - kg PM2.5 eq_Control Building; at upgraded wastewater treatment plant - US_Base_With Amendment_Aerated Static Pile</v>
      </c>
    </row>
    <row r="9614" spans="1:13" s="120" customFormat="1" x14ac:dyDescent="0.25">
      <c r="A9614" s="119"/>
      <c r="B9614" s="138" t="str">
        <f t="shared" si="799"/>
        <v/>
      </c>
      <c r="C9614" s="138" t="str">
        <f t="shared" si="800"/>
        <v/>
      </c>
      <c r="D9614" s="138" t="str">
        <f t="shared" si="796"/>
        <v/>
      </c>
      <c r="E9614" s="138" t="str">
        <f t="shared" si="797"/>
        <v/>
      </c>
      <c r="F9614" s="138" t="str">
        <f t="shared" si="801"/>
        <v/>
      </c>
      <c r="G9614" s="153" t="s">
        <v>51</v>
      </c>
      <c r="H9614" s="160"/>
      <c r="I9614" s="160" t="s">
        <v>47</v>
      </c>
      <c r="J9614" s="160" t="s">
        <v>52</v>
      </c>
      <c r="K9614" s="160" t="s">
        <v>27</v>
      </c>
      <c r="L9614" s="154" t="str">
        <f>IF(OpenLCAbasic!K9614="CTUh", "Fill in Manually",IF(OR(K9614="Unit", K9614=""), "", INDEX(LookUps!$E$5:$E$12, MATCH(OpenLCAbasic!K9614,LookUps!$D$5:$D$12,0))))</f>
        <v/>
      </c>
      <c r="M9614" s="154" t="str">
        <f t="shared" si="798"/>
        <v>____Process__</v>
      </c>
    </row>
    <row r="9615" spans="1:13" s="120" customFormat="1" x14ac:dyDescent="0.25">
      <c r="A9615" s="119"/>
      <c r="B9615" s="138" t="str">
        <f t="shared" si="799"/>
        <v>Aerated Static Pile</v>
      </c>
      <c r="C9615" s="138" t="str">
        <f t="shared" si="800"/>
        <v>Base_With Amendment</v>
      </c>
      <c r="D9615" s="138" t="str">
        <f t="shared" si="796"/>
        <v>Base_Low</v>
      </c>
      <c r="E9615" s="138" t="str">
        <f t="shared" si="797"/>
        <v>Low</v>
      </c>
      <c r="F9615" s="138" t="str">
        <f t="shared" si="801"/>
        <v>Upgraded</v>
      </c>
      <c r="G9615" s="153"/>
      <c r="H9615" s="210">
        <v>0.35880000000000001</v>
      </c>
      <c r="I9615" s="160" t="s">
        <v>55</v>
      </c>
      <c r="J9615" s="160">
        <v>0.16577</v>
      </c>
      <c r="K9615" s="160" t="s">
        <v>25</v>
      </c>
      <c r="L9615" s="154" t="str">
        <f>IF(OpenLCAbasic!K9615="CTUh", "Fill in Manually",IF(OR(K9615="Unit", K9615=""), "", INDEX(LookUps!$E$5:$E$12, MATCH(OpenLCAbasic!K9615,LookUps!$D$5:$D$12,0))))</f>
        <v>Smog Formation Potential (SFP) - kg O3 eq</v>
      </c>
      <c r="M9615" s="154" t="str">
        <f t="shared" si="798"/>
        <v>Low_Base_Low_Upgraded_Smog Formation Potential (SFP) - kg O3 eq_Aeration Tanks; wastewater treatment unit; at updated plant - US_Base_With Amendment_Aerated Static Pile</v>
      </c>
    </row>
    <row r="9616" spans="1:13" s="120" customFormat="1" x14ac:dyDescent="0.25">
      <c r="A9616" s="119"/>
      <c r="B9616" s="138" t="str">
        <f t="shared" si="799"/>
        <v>Aerated Static Pile</v>
      </c>
      <c r="C9616" s="138" t="str">
        <f t="shared" si="800"/>
        <v>Base_With Amendment</v>
      </c>
      <c r="D9616" s="138" t="str">
        <f t="shared" si="796"/>
        <v>Base_Low</v>
      </c>
      <c r="E9616" s="138" t="str">
        <f t="shared" si="797"/>
        <v>Low</v>
      </c>
      <c r="F9616" s="138" t="str">
        <f t="shared" si="801"/>
        <v>Upgraded</v>
      </c>
      <c r="G9616" s="153"/>
      <c r="H9616" s="210">
        <v>0.1431</v>
      </c>
      <c r="I9616" s="160" t="s">
        <v>435</v>
      </c>
      <c r="J9616" s="160">
        <v>6.6129999999999994E-2</v>
      </c>
      <c r="K9616" s="160" t="s">
        <v>25</v>
      </c>
      <c r="L9616" s="154" t="str">
        <f>IF(OpenLCAbasic!K9616="CTUh", "Fill in Manually",IF(OR(K9616="Unit", K9616=""), "", INDEX(LookUps!$E$5:$E$12, MATCH(OpenLCAbasic!K9616,LookUps!$D$5:$D$12,0))))</f>
        <v>Smog Formation Potential (SFP) - kg O3 eq</v>
      </c>
      <c r="M9616" s="154" t="str">
        <f t="shared" si="798"/>
        <v>Low_Base_Low_Upgraded_Smog Formation Potential (SFP) - kg O3 eq_Biosolids composting; aerated static pile; wastewater treatment unit; at updated plant - US_Base_With Amendment_Aerated Static Pile</v>
      </c>
    </row>
    <row r="9617" spans="1:13" s="120" customFormat="1" x14ac:dyDescent="0.25">
      <c r="A9617" s="119"/>
      <c r="B9617" s="138" t="str">
        <f t="shared" si="799"/>
        <v>Aerated Static Pile</v>
      </c>
      <c r="C9617" s="138" t="str">
        <f t="shared" si="800"/>
        <v>Base_With Amendment</v>
      </c>
      <c r="D9617" s="138" t="str">
        <f t="shared" si="796"/>
        <v>Base_Low</v>
      </c>
      <c r="E9617" s="138" t="str">
        <f t="shared" si="797"/>
        <v>Low</v>
      </c>
      <c r="F9617" s="138" t="str">
        <f t="shared" si="801"/>
        <v>Upgraded</v>
      </c>
      <c r="G9617" s="153"/>
      <c r="H9617" s="210">
        <v>0.1041</v>
      </c>
      <c r="I9617" s="160" t="s">
        <v>54</v>
      </c>
      <c r="J9617" s="160">
        <v>4.8070000000000002E-2</v>
      </c>
      <c r="K9617" s="160" t="s">
        <v>25</v>
      </c>
      <c r="L9617" s="154" t="str">
        <f>IF(OpenLCAbasic!K9617="CTUh", "Fill in Manually",IF(OR(K9617="Unit", K9617=""), "", INDEX(LookUps!$E$5:$E$12, MATCH(OpenLCAbasic!K9617,LookUps!$D$5:$D$12,0))))</f>
        <v>Smog Formation Potential (SFP) - kg O3 eq</v>
      </c>
      <c r="M9617" s="154" t="str">
        <f t="shared" si="798"/>
        <v>Low_Base_Low_Upgraded_Smog Formation Potential (SFP) - kg O3 eq_Clear Cove Primary Clarification; wastewater treatment unit; at updated plant - US_Base_With Amendment_Aerated Static Pile</v>
      </c>
    </row>
    <row r="9618" spans="1:13" s="120" customFormat="1" x14ac:dyDescent="0.25">
      <c r="A9618" s="119"/>
      <c r="B9618" s="138" t="str">
        <f t="shared" si="799"/>
        <v>Aerated Static Pile</v>
      </c>
      <c r="C9618" s="138" t="str">
        <f t="shared" si="800"/>
        <v>Base_With Amendment</v>
      </c>
      <c r="D9618" s="138" t="str">
        <f t="shared" si="796"/>
        <v>Base_Low</v>
      </c>
      <c r="E9618" s="138" t="str">
        <f t="shared" si="797"/>
        <v>Low</v>
      </c>
      <c r="F9618" s="138" t="str">
        <f t="shared" si="801"/>
        <v>Upgraded</v>
      </c>
      <c r="G9618" s="153"/>
      <c r="H9618" s="210">
        <v>9.0399999999999994E-2</v>
      </c>
      <c r="I9618" s="160" t="s">
        <v>58</v>
      </c>
      <c r="J9618" s="160">
        <v>4.1779999999999998E-2</v>
      </c>
      <c r="K9618" s="160" t="s">
        <v>25</v>
      </c>
      <c r="L9618" s="154" t="str">
        <f>IF(OpenLCAbasic!K9618="CTUh", "Fill in Manually",IF(OR(K9618="Unit", K9618=""), "", INDEX(LookUps!$E$5:$E$12, MATCH(OpenLCAbasic!K9618,LookUps!$D$5:$D$12,0))))</f>
        <v>Smog Formation Potential (SFP) - kg O3 eq</v>
      </c>
      <c r="M9618" s="154" t="str">
        <f t="shared" si="798"/>
        <v>Low_Base_Low_Upgraded_Smog Formation Potential (SFP) - kg O3 eq_Pre-Anoxic &amp; Swing tank; wastewater treatment unit; at updated plant - US_Base_With Amendment_Aerated Static Pile</v>
      </c>
    </row>
    <row r="9619" spans="1:13" s="120" customFormat="1" x14ac:dyDescent="0.25">
      <c r="A9619" s="119"/>
      <c r="B9619" s="138" t="str">
        <f t="shared" si="799"/>
        <v>Aerated Static Pile</v>
      </c>
      <c r="C9619" s="138" t="str">
        <f t="shared" si="800"/>
        <v>Base_With Amendment</v>
      </c>
      <c r="D9619" s="138" t="str">
        <f t="shared" si="796"/>
        <v>Base_Low</v>
      </c>
      <c r="E9619" s="138" t="str">
        <f t="shared" si="797"/>
        <v>Low</v>
      </c>
      <c r="F9619" s="138" t="str">
        <f t="shared" si="801"/>
        <v>Upgraded</v>
      </c>
      <c r="G9619" s="153"/>
      <c r="H9619" s="210">
        <v>7.17E-2</v>
      </c>
      <c r="I9619" s="160" t="s">
        <v>53</v>
      </c>
      <c r="J9619" s="160">
        <v>3.313E-2</v>
      </c>
      <c r="K9619" s="160" t="s">
        <v>25</v>
      </c>
      <c r="L9619" s="154" t="str">
        <f>IF(OpenLCAbasic!K9619="CTUh", "Fill in Manually",IF(OR(K9619="Unit", K9619=""), "", INDEX(LookUps!$E$5:$E$12, MATCH(OpenLCAbasic!K9619,LookUps!$D$5:$D$12,0))))</f>
        <v>Smog Formation Potential (SFP) - kg O3 eq</v>
      </c>
      <c r="M9619" s="154" t="str">
        <f t="shared" si="798"/>
        <v>Low_Base_Low_Upgraded_Smog Formation Potential (SFP) - kg O3 eq_Wet Well and Sump Station; wastewater treatment unit; at updated plant - US_Base_With Amendment_Aerated Static Pile</v>
      </c>
    </row>
    <row r="9620" spans="1:13" s="120" customFormat="1" x14ac:dyDescent="0.25">
      <c r="A9620" s="119"/>
      <c r="B9620" s="138" t="str">
        <f t="shared" si="799"/>
        <v>Aerated Static Pile</v>
      </c>
      <c r="C9620" s="138" t="str">
        <f t="shared" si="800"/>
        <v>Base_With Amendment</v>
      </c>
      <c r="D9620" s="138" t="str">
        <f t="shared" si="796"/>
        <v>Base_Low</v>
      </c>
      <c r="E9620" s="138" t="str">
        <f t="shared" si="797"/>
        <v>Low</v>
      </c>
      <c r="F9620" s="138" t="str">
        <f t="shared" si="801"/>
        <v>Upgraded</v>
      </c>
      <c r="G9620" s="153"/>
      <c r="H9620" s="210">
        <v>6.0499999999999998E-2</v>
      </c>
      <c r="I9620" s="160" t="s">
        <v>167</v>
      </c>
      <c r="J9620" s="160">
        <v>2.7949999999999999E-2</v>
      </c>
      <c r="K9620" s="160" t="s">
        <v>25</v>
      </c>
      <c r="L9620" s="154" t="str">
        <f>IF(OpenLCAbasic!K9620="CTUh", "Fill in Manually",IF(OR(K9620="Unit", K9620=""), "", INDEX(LookUps!$E$5:$E$12, MATCH(OpenLCAbasic!K9620,LookUps!$D$5:$D$12,0))))</f>
        <v>Smog Formation Potential (SFP) - kg O3 eq</v>
      </c>
      <c r="M9620" s="154" t="str">
        <f t="shared" si="798"/>
        <v>Low_Base_Low_Upgraded_Smog Formation Potential (SFP) - kg O3 eq_Waste Receiving and Holding; wastewater treatment unit; at updated plant - US_Base_With Amendment_Aerated Static Pile</v>
      </c>
    </row>
    <row r="9621" spans="1:13" s="120" customFormat="1" x14ac:dyDescent="0.25">
      <c r="A9621" s="119"/>
      <c r="B9621" s="138" t="str">
        <f t="shared" si="799"/>
        <v>Aerated Static Pile</v>
      </c>
      <c r="C9621" s="138" t="str">
        <f t="shared" si="800"/>
        <v>Base_With Amendment</v>
      </c>
      <c r="D9621" s="138" t="str">
        <f t="shared" si="796"/>
        <v>Base_Low</v>
      </c>
      <c r="E9621" s="138" t="str">
        <f t="shared" si="797"/>
        <v>Low</v>
      </c>
      <c r="F9621" s="138" t="str">
        <f t="shared" si="801"/>
        <v>Upgraded</v>
      </c>
      <c r="G9621" s="153"/>
      <c r="H9621" s="210">
        <v>5.3900000000000003E-2</v>
      </c>
      <c r="I9621" s="160" t="s">
        <v>149</v>
      </c>
      <c r="J9621" s="160">
        <v>2.4889999999999999E-2</v>
      </c>
      <c r="K9621" s="160" t="s">
        <v>25</v>
      </c>
      <c r="L9621" s="154" t="str">
        <f>IF(OpenLCAbasic!K9621="CTUh", "Fill in Manually",IF(OR(K9621="Unit", K9621=""), "", INDEX(LookUps!$E$5:$E$12, MATCH(OpenLCAbasic!K9621,LookUps!$D$5:$D$12,0))))</f>
        <v>Smog Formation Potential (SFP) - kg O3 eq</v>
      </c>
      <c r="M9621" s="154" t="str">
        <f t="shared" si="798"/>
        <v>Low_Base_Low_Upgraded_Smog Formation Potential (SFP) - kg O3 eq_Anaerobic Digestion; wastewater treatment unit; at updated plant - US_Base_With Amendment_Aerated Static Pile</v>
      </c>
    </row>
    <row r="9622" spans="1:13" s="120" customFormat="1" x14ac:dyDescent="0.25">
      <c r="A9622" s="119"/>
      <c r="B9622" s="138" t="str">
        <f t="shared" si="799"/>
        <v>Aerated Static Pile</v>
      </c>
      <c r="C9622" s="138" t="str">
        <f t="shared" si="800"/>
        <v>Base_With Amendment</v>
      </c>
      <c r="D9622" s="138" t="str">
        <f t="shared" si="796"/>
        <v>Base_Low</v>
      </c>
      <c r="E9622" s="138" t="str">
        <f t="shared" si="797"/>
        <v>Low</v>
      </c>
      <c r="F9622" s="138" t="str">
        <f t="shared" si="801"/>
        <v>Upgraded</v>
      </c>
      <c r="G9622" s="153"/>
      <c r="H9622" s="210">
        <v>4.2000000000000003E-2</v>
      </c>
      <c r="I9622" s="160" t="s">
        <v>147</v>
      </c>
      <c r="J9622" s="160">
        <v>1.9400000000000001E-2</v>
      </c>
      <c r="K9622" s="160" t="s">
        <v>25</v>
      </c>
      <c r="L9622" s="154" t="str">
        <f>IF(OpenLCAbasic!K9622="CTUh", "Fill in Manually",IF(OR(K9622="Unit", K9622=""), "", INDEX(LookUps!$E$5:$E$12, MATCH(OpenLCAbasic!K9622,LookUps!$D$5:$D$12,0))))</f>
        <v>Smog Formation Potential (SFP) - kg O3 eq</v>
      </c>
      <c r="M9622" s="154" t="str">
        <f t="shared" si="798"/>
        <v>Low_Base_Low_Upgraded_Smog Formation Potential (SFP) - kg O3 eq_Influent Pump Station; wastewater treatment unit; at updated plant - US_Base_With Amendment_Aerated Static Pile</v>
      </c>
    </row>
    <row r="9623" spans="1:13" s="120" customFormat="1" x14ac:dyDescent="0.25">
      <c r="A9623" s="119"/>
      <c r="B9623" s="138" t="str">
        <f t="shared" si="799"/>
        <v>Aerated Static Pile</v>
      </c>
      <c r="C9623" s="138" t="str">
        <f t="shared" si="800"/>
        <v>Base_With Amendment</v>
      </c>
      <c r="D9623" s="138" t="str">
        <f t="shared" si="796"/>
        <v>Base_Low</v>
      </c>
      <c r="E9623" s="138" t="str">
        <f t="shared" si="797"/>
        <v>Low</v>
      </c>
      <c r="F9623" s="138" t="str">
        <f t="shared" si="801"/>
        <v>Upgraded</v>
      </c>
      <c r="G9623" s="153"/>
      <c r="H9623" s="210">
        <v>2.58E-2</v>
      </c>
      <c r="I9623" s="160" t="s">
        <v>128</v>
      </c>
      <c r="J9623" s="160">
        <v>1.192E-2</v>
      </c>
      <c r="K9623" s="160" t="s">
        <v>25</v>
      </c>
      <c r="L9623" s="154" t="str">
        <f>IF(OpenLCAbasic!K9623="CTUh", "Fill in Manually",IF(OR(K9623="Unit", K9623=""), "", INDEX(LookUps!$E$5:$E$12, MATCH(OpenLCAbasic!K9623,LookUps!$D$5:$D$12,0))))</f>
        <v>Smog Formation Potential (SFP) - kg O3 eq</v>
      </c>
      <c r="M9623" s="154" t="str">
        <f t="shared" si="798"/>
        <v>Low_Base_Low_Upgraded_Smog Formation Potential (SFP) - kg O3 eq_Wastewater collection; operation and infrastructure; m3 wastewater_Base_With Amendment_Aerated Static Pile</v>
      </c>
    </row>
    <row r="9624" spans="1:13" s="120" customFormat="1" x14ac:dyDescent="0.25">
      <c r="A9624" s="119"/>
      <c r="B9624" s="138" t="str">
        <f t="shared" si="799"/>
        <v>Aerated Static Pile</v>
      </c>
      <c r="C9624" s="138" t="str">
        <f t="shared" si="800"/>
        <v>Base_With Amendment</v>
      </c>
      <c r="D9624" s="138" t="str">
        <f t="shared" si="796"/>
        <v>Base_Low</v>
      </c>
      <c r="E9624" s="138" t="str">
        <f t="shared" si="797"/>
        <v>Low</v>
      </c>
      <c r="F9624" s="138" t="str">
        <f t="shared" si="801"/>
        <v>Upgraded</v>
      </c>
      <c r="G9624" s="153"/>
      <c r="H9624" s="210">
        <v>1.77E-2</v>
      </c>
      <c r="I9624" s="160" t="s">
        <v>60</v>
      </c>
      <c r="J9624" s="160">
        <v>8.1600000000000006E-3</v>
      </c>
      <c r="K9624" s="160" t="s">
        <v>25</v>
      </c>
      <c r="L9624" s="154" t="str">
        <f>IF(OpenLCAbasic!K9624="CTUh", "Fill in Manually",IF(OR(K9624="Unit", K9624=""), "", INDEX(LookUps!$E$5:$E$12, MATCH(OpenLCAbasic!K9624,LookUps!$D$5:$D$12,0))))</f>
        <v>Smog Formation Potential (SFP) - kg O3 eq</v>
      </c>
      <c r="M9624" s="154" t="str">
        <f t="shared" si="798"/>
        <v>Low_Base_Low_Upgraded_Smog Formation Potential (SFP) - kg O3 eq_Belt filter press; wastewater treatment unit; at updated plant - US_Base_With Amendment_Aerated Static Pile</v>
      </c>
    </row>
    <row r="9625" spans="1:13" s="120" customFormat="1" x14ac:dyDescent="0.25">
      <c r="A9625" s="119"/>
      <c r="B9625" s="138" t="str">
        <f t="shared" si="799"/>
        <v>Aerated Static Pile</v>
      </c>
      <c r="C9625" s="138" t="str">
        <f t="shared" si="800"/>
        <v>Base_With Amendment</v>
      </c>
      <c r="D9625" s="138" t="str">
        <f t="shared" si="796"/>
        <v>Base_Low</v>
      </c>
      <c r="E9625" s="138" t="str">
        <f t="shared" si="797"/>
        <v>Low</v>
      </c>
      <c r="F9625" s="138" t="str">
        <f t="shared" si="801"/>
        <v>Upgraded</v>
      </c>
      <c r="G9625" s="153"/>
      <c r="H9625" s="210">
        <v>1.44E-2</v>
      </c>
      <c r="I9625" s="160" t="s">
        <v>57</v>
      </c>
      <c r="J9625" s="160">
        <v>6.6499999999999997E-3</v>
      </c>
      <c r="K9625" s="160" t="s">
        <v>25</v>
      </c>
      <c r="L9625" s="154" t="str">
        <f>IF(OpenLCAbasic!K9625="CTUh", "Fill in Manually",IF(OR(K9625="Unit", K9625=""), "", INDEX(LookUps!$E$5:$E$12, MATCH(OpenLCAbasic!K9625,LookUps!$D$5:$D$12,0))))</f>
        <v>Smog Formation Potential (SFP) - kg O3 eq</v>
      </c>
      <c r="M9625" s="154" t="str">
        <f t="shared" si="798"/>
        <v>Low_Base_Low_Upgraded_Smog Formation Potential (SFP) - kg O3 eq_Gravity Belt Thickener; wastewater treatment unit; at updated plant - US_Base_With Amendment_Aerated Static Pile</v>
      </c>
    </row>
    <row r="9626" spans="1:13" s="120" customFormat="1" x14ac:dyDescent="0.25">
      <c r="A9626" s="119"/>
      <c r="B9626" s="138" t="str">
        <f t="shared" si="799"/>
        <v>Aerated Static Pile</v>
      </c>
      <c r="C9626" s="138" t="str">
        <f t="shared" si="800"/>
        <v>Base_With Amendment</v>
      </c>
      <c r="D9626" s="138" t="str">
        <f t="shared" si="796"/>
        <v>Base_Low</v>
      </c>
      <c r="E9626" s="138" t="str">
        <f t="shared" si="797"/>
        <v>Low</v>
      </c>
      <c r="F9626" s="138" t="str">
        <f t="shared" si="801"/>
        <v>Upgraded</v>
      </c>
      <c r="G9626" s="153"/>
      <c r="H9626" s="210">
        <v>1.0800000000000001E-2</v>
      </c>
      <c r="I9626" s="160" t="s">
        <v>59</v>
      </c>
      <c r="J9626" s="160">
        <v>4.9699999999999996E-3</v>
      </c>
      <c r="K9626" s="160" t="s">
        <v>25</v>
      </c>
      <c r="L9626" s="154" t="str">
        <f>IF(OpenLCAbasic!K9626="CTUh", "Fill in Manually",IF(OR(K9626="Unit", K9626=""), "", INDEX(LookUps!$E$5:$E$12, MATCH(OpenLCAbasic!K9626,LookUps!$D$5:$D$12,0))))</f>
        <v>Smog Formation Potential (SFP) - kg O3 eq</v>
      </c>
      <c r="M9626" s="154" t="str">
        <f t="shared" si="798"/>
        <v>Low_Base_Low_Upgraded_Smog Formation Potential (SFP) - kg O3 eq_Blend Tank; wastewater treatment unit; at updated plant - US_Base_With Amendment_Aerated Static Pile</v>
      </c>
    </row>
    <row r="9627" spans="1:13" s="120" customFormat="1" x14ac:dyDescent="0.25">
      <c r="A9627" s="119"/>
      <c r="B9627" s="138" t="str">
        <f t="shared" si="799"/>
        <v>Aerated Static Pile</v>
      </c>
      <c r="C9627" s="138" t="str">
        <f t="shared" si="800"/>
        <v>Base_With Amendment</v>
      </c>
      <c r="D9627" s="138" t="str">
        <f t="shared" si="796"/>
        <v>Base_Low</v>
      </c>
      <c r="E9627" s="138" t="str">
        <f t="shared" si="797"/>
        <v>Low</v>
      </c>
      <c r="F9627" s="138" t="str">
        <f t="shared" si="801"/>
        <v>Upgraded</v>
      </c>
      <c r="G9627" s="153"/>
      <c r="H9627" s="210">
        <v>7.3000000000000001E-3</v>
      </c>
      <c r="I9627" s="160" t="s">
        <v>48</v>
      </c>
      <c r="J9627" s="160">
        <v>3.3899999999999998E-3</v>
      </c>
      <c r="K9627" s="160" t="s">
        <v>25</v>
      </c>
      <c r="L9627" s="154" t="str">
        <f>IF(OpenLCAbasic!K9627="CTUh", "Fill in Manually",IF(OR(K9627="Unit", K9627=""), "", INDEX(LookUps!$E$5:$E$12, MATCH(OpenLCAbasic!K9627,LookUps!$D$5:$D$12,0))))</f>
        <v>Smog Formation Potential (SFP) - kg O3 eq</v>
      </c>
      <c r="M9627" s="154" t="str">
        <f t="shared" si="798"/>
        <v>Low_Base_Low_Upgraded_Smog Formation Potential (SFP) - kg O3 eq_Effluent release; wastewater treatment unit; at surface water; m3 wastewater - US_Base_With Amendment_Aerated Static Pile</v>
      </c>
    </row>
    <row r="9628" spans="1:13" s="120" customFormat="1" x14ac:dyDescent="0.25">
      <c r="A9628" s="119"/>
      <c r="B9628" s="138" t="str">
        <f t="shared" si="799"/>
        <v>Aerated Static Pile</v>
      </c>
      <c r="C9628" s="138" t="str">
        <f t="shared" si="800"/>
        <v>Base_With Amendment</v>
      </c>
      <c r="D9628" s="138" t="str">
        <f t="shared" si="796"/>
        <v>Base_Low</v>
      </c>
      <c r="E9628" s="138" t="str">
        <f t="shared" si="797"/>
        <v>Low</v>
      </c>
      <c r="F9628" s="138" t="str">
        <f t="shared" si="801"/>
        <v>Upgraded</v>
      </c>
      <c r="G9628" s="153"/>
      <c r="H9628" s="210">
        <v>5.3E-3</v>
      </c>
      <c r="I9628" s="160" t="s">
        <v>168</v>
      </c>
      <c r="J9628" s="160">
        <v>2.4599999999999999E-3</v>
      </c>
      <c r="K9628" s="160" t="s">
        <v>25</v>
      </c>
      <c r="L9628" s="154" t="str">
        <f>IF(OpenLCAbasic!K9628="CTUh", "Fill in Manually",IF(OR(K9628="Unit", K9628=""), "", INDEX(LookUps!$E$5:$E$12, MATCH(OpenLCAbasic!K9628,LookUps!$D$5:$D$12,0))))</f>
        <v>Smog Formation Potential (SFP) - kg O3 eq</v>
      </c>
      <c r="M9628" s="154" t="str">
        <f t="shared" si="798"/>
        <v>Low_Base_Low_Upgraded_Smog Formation Potential (SFP) - kg O3 eq_ClearCove SCP; wastewater treatment unit; at updated plant - US_Base_With Amendment_Aerated Static Pile</v>
      </c>
    </row>
    <row r="9629" spans="1:13" s="120" customFormat="1" x14ac:dyDescent="0.25">
      <c r="A9629" s="119"/>
      <c r="B9629" s="138" t="str">
        <f t="shared" si="799"/>
        <v>Aerated Static Pile</v>
      </c>
      <c r="C9629" s="138" t="str">
        <f t="shared" si="800"/>
        <v>Base_With Amendment</v>
      </c>
      <c r="D9629" s="138" t="str">
        <f t="shared" si="796"/>
        <v>Base_Low</v>
      </c>
      <c r="E9629" s="138" t="str">
        <f t="shared" si="797"/>
        <v>Low</v>
      </c>
      <c r="F9629" s="138" t="str">
        <f t="shared" si="801"/>
        <v>Upgraded</v>
      </c>
      <c r="G9629" s="153"/>
      <c r="H9629" s="210">
        <v>1.1999999999999999E-3</v>
      </c>
      <c r="I9629" s="160" t="s">
        <v>148</v>
      </c>
      <c r="J9629" s="160">
        <v>5.4000000000000001E-4</v>
      </c>
      <c r="K9629" s="160" t="s">
        <v>25</v>
      </c>
      <c r="L9629" s="154" t="str">
        <f>IF(OpenLCAbasic!K9629="CTUh", "Fill in Manually",IF(OR(K9629="Unit", K9629=""), "", INDEX(LookUps!$E$5:$E$12, MATCH(OpenLCAbasic!K9629,LookUps!$D$5:$D$12,0))))</f>
        <v>Smog Formation Potential (SFP) - kg O3 eq</v>
      </c>
      <c r="M9629" s="154" t="str">
        <f t="shared" si="798"/>
        <v>Low_Base_Low_Upgraded_Smog Formation Potential (SFP) - kg O3 eq_Control Building; at upgraded wastewater treatment plant - US_Base_With Amendment_Aerated Static Pile</v>
      </c>
    </row>
    <row r="9630" spans="1:13" s="120" customFormat="1" x14ac:dyDescent="0.25">
      <c r="A9630" s="119"/>
      <c r="B9630" s="138" t="str">
        <f t="shared" si="799"/>
        <v>Aerated Static Pile</v>
      </c>
      <c r="C9630" s="138" t="str">
        <f t="shared" si="800"/>
        <v>Base_With Amendment</v>
      </c>
      <c r="D9630" s="138" t="str">
        <f t="shared" si="796"/>
        <v>Base_Low</v>
      </c>
      <c r="E9630" s="138" t="str">
        <f t="shared" si="797"/>
        <v>Low</v>
      </c>
      <c r="F9630" s="138" t="str">
        <f t="shared" si="801"/>
        <v>Upgraded</v>
      </c>
      <c r="G9630" s="153"/>
      <c r="H9630" s="210">
        <v>-6.8999999999999999E-3</v>
      </c>
      <c r="I9630" s="160" t="s">
        <v>62</v>
      </c>
      <c r="J9630" s="160">
        <v>-3.2000000000000002E-3</v>
      </c>
      <c r="K9630" s="160" t="s">
        <v>25</v>
      </c>
      <c r="L9630" s="154" t="str">
        <f>IF(OpenLCAbasic!K9630="CTUh", "Fill in Manually",IF(OR(K9630="Unit", K9630=""), "", INDEX(LookUps!$E$5:$E$12, MATCH(OpenLCAbasic!K9630,LookUps!$D$5:$D$12,0))))</f>
        <v>Smog Formation Potential (SFP) - kg O3 eq</v>
      </c>
      <c r="M9630" s="154" t="str">
        <f t="shared" si="798"/>
        <v>Low_Base_Low_Upgraded_Smog Formation Potential (SFP) - kg O3 eq_Land application of compost; wastewater treatment unit; at updated plant - US_Base_With Amendment_Aerated Static Pile</v>
      </c>
    </row>
    <row r="9631" spans="1:13" s="120" customFormat="1" x14ac:dyDescent="0.25">
      <c r="A9631" s="119"/>
      <c r="B9631" s="138" t="str">
        <f t="shared" si="799"/>
        <v/>
      </c>
      <c r="C9631" s="138" t="str">
        <f t="shared" si="800"/>
        <v/>
      </c>
      <c r="D9631" s="138" t="str">
        <f t="shared" si="796"/>
        <v/>
      </c>
      <c r="E9631" s="138" t="str">
        <f t="shared" si="797"/>
        <v/>
      </c>
      <c r="F9631" s="138" t="str">
        <f t="shared" si="801"/>
        <v/>
      </c>
      <c r="G9631" s="153" t="s">
        <v>51</v>
      </c>
      <c r="H9631" s="160"/>
      <c r="I9631" s="160" t="s">
        <v>47</v>
      </c>
      <c r="J9631" s="160" t="s">
        <v>52</v>
      </c>
      <c r="K9631" s="160" t="s">
        <v>27</v>
      </c>
      <c r="L9631" s="154" t="str">
        <f>IF(OpenLCAbasic!K9631="CTUh", "Fill in Manually",IF(OR(K9631="Unit", K9631=""), "", INDEX(LookUps!$E$5:$E$12, MATCH(OpenLCAbasic!K9631,LookUps!$D$5:$D$12,0))))</f>
        <v/>
      </c>
      <c r="M9631" s="154" t="str">
        <f t="shared" si="798"/>
        <v>____Process__</v>
      </c>
    </row>
    <row r="9632" spans="1:13" s="120" customFormat="1" x14ac:dyDescent="0.25">
      <c r="A9632" s="119"/>
      <c r="B9632" s="138" t="str">
        <f t="shared" si="799"/>
        <v>Aerated Static Pile</v>
      </c>
      <c r="C9632" s="138" t="str">
        <f t="shared" si="800"/>
        <v>Base_With Amendment</v>
      </c>
      <c r="D9632" s="138" t="str">
        <f t="shared" si="796"/>
        <v>Base_Low</v>
      </c>
      <c r="E9632" s="138" t="str">
        <f t="shared" si="797"/>
        <v>Low</v>
      </c>
      <c r="F9632" s="138" t="str">
        <f t="shared" si="801"/>
        <v>Upgraded</v>
      </c>
      <c r="G9632" s="153"/>
      <c r="H9632" s="210">
        <v>2.1052</v>
      </c>
      <c r="I9632" s="160" t="s">
        <v>167</v>
      </c>
      <c r="J9632" s="160">
        <v>2.3000000000000001E-4</v>
      </c>
      <c r="K9632" s="160" t="s">
        <v>26</v>
      </c>
      <c r="L9632" s="154" t="str">
        <f>IF(OpenLCAbasic!K9632="CTUh", "Fill in Manually",IF(OR(K9632="Unit", K9632=""), "", INDEX(LookUps!$E$5:$E$12, MATCH(OpenLCAbasic!K9632,LookUps!$D$5:$D$12,0))))</f>
        <v>Water Use (WU) - m3 H2O</v>
      </c>
      <c r="M9632" s="154" t="str">
        <f t="shared" si="798"/>
        <v>Low_Base_Low_Upgraded_Water Use (WU) - m3 H2O_Waste Receiving and Holding; wastewater treatment unit; at updated plant - US_Base_With Amendment_Aerated Static Pile</v>
      </c>
    </row>
    <row r="9633" spans="1:13" s="120" customFormat="1" x14ac:dyDescent="0.25">
      <c r="A9633" s="119"/>
      <c r="B9633" s="138" t="str">
        <f t="shared" si="799"/>
        <v>Aerated Static Pile</v>
      </c>
      <c r="C9633" s="138" t="str">
        <f t="shared" si="800"/>
        <v>Base_With Amendment</v>
      </c>
      <c r="D9633" s="138" t="str">
        <f t="shared" si="796"/>
        <v>Base_Low</v>
      </c>
      <c r="E9633" s="138" t="str">
        <f t="shared" si="797"/>
        <v>Low</v>
      </c>
      <c r="F9633" s="138" t="str">
        <f t="shared" si="801"/>
        <v>Upgraded</v>
      </c>
      <c r="G9633" s="153"/>
      <c r="H9633" s="210">
        <v>1.6657999999999999</v>
      </c>
      <c r="I9633" s="160" t="s">
        <v>147</v>
      </c>
      <c r="J9633" s="160">
        <v>1.8000000000000001E-4</v>
      </c>
      <c r="K9633" s="160" t="s">
        <v>26</v>
      </c>
      <c r="L9633" s="154" t="str">
        <f>IF(OpenLCAbasic!K9633="CTUh", "Fill in Manually",IF(OR(K9633="Unit", K9633=""), "", INDEX(LookUps!$E$5:$E$12, MATCH(OpenLCAbasic!K9633,LookUps!$D$5:$D$12,0))))</f>
        <v>Water Use (WU) - m3 H2O</v>
      </c>
      <c r="M9633" s="154" t="str">
        <f t="shared" si="798"/>
        <v>Low_Base_Low_Upgraded_Water Use (WU) - m3 H2O_Influent Pump Station; wastewater treatment unit; at updated plant - US_Base_With Amendment_Aerated Static Pile</v>
      </c>
    </row>
    <row r="9634" spans="1:13" s="120" customFormat="1" x14ac:dyDescent="0.25">
      <c r="A9634" s="119"/>
      <c r="B9634" s="138" t="str">
        <f t="shared" si="799"/>
        <v>Aerated Static Pile</v>
      </c>
      <c r="C9634" s="138" t="str">
        <f t="shared" si="800"/>
        <v>Base_With Amendment</v>
      </c>
      <c r="D9634" s="138" t="str">
        <f t="shared" si="796"/>
        <v>Base_Low</v>
      </c>
      <c r="E9634" s="138" t="str">
        <f t="shared" si="797"/>
        <v>Low</v>
      </c>
      <c r="F9634" s="138" t="str">
        <f t="shared" si="801"/>
        <v>Upgraded</v>
      </c>
      <c r="G9634" s="153"/>
      <c r="H9634" s="210">
        <v>1.6253</v>
      </c>
      <c r="I9634" s="160" t="s">
        <v>54</v>
      </c>
      <c r="J9634" s="160">
        <v>1.8000000000000001E-4</v>
      </c>
      <c r="K9634" s="160" t="s">
        <v>26</v>
      </c>
      <c r="L9634" s="154" t="str">
        <f>IF(OpenLCAbasic!K9634="CTUh", "Fill in Manually",IF(OR(K9634="Unit", K9634=""), "", INDEX(LookUps!$E$5:$E$12, MATCH(OpenLCAbasic!K9634,LookUps!$D$5:$D$12,0))))</f>
        <v>Water Use (WU) - m3 H2O</v>
      </c>
      <c r="M9634" s="154" t="str">
        <f t="shared" si="798"/>
        <v>Low_Base_Low_Upgraded_Water Use (WU) - m3 H2O_Clear Cove Primary Clarification; wastewater treatment unit; at updated plant - US_Base_With Amendment_Aerated Static Pile</v>
      </c>
    </row>
    <row r="9635" spans="1:13" s="120" customFormat="1" x14ac:dyDescent="0.25">
      <c r="A9635" s="119"/>
      <c r="B9635" s="138" t="str">
        <f t="shared" si="799"/>
        <v>Aerated Static Pile</v>
      </c>
      <c r="C9635" s="138" t="str">
        <f t="shared" si="800"/>
        <v>Base_With Amendment</v>
      </c>
      <c r="D9635" s="138" t="str">
        <f t="shared" si="796"/>
        <v>Base_Low</v>
      </c>
      <c r="E9635" s="138" t="str">
        <f t="shared" si="797"/>
        <v>Low</v>
      </c>
      <c r="F9635" s="138" t="str">
        <f t="shared" si="801"/>
        <v>Upgraded</v>
      </c>
      <c r="G9635" s="153"/>
      <c r="H9635" s="210">
        <v>1.4743999999999999</v>
      </c>
      <c r="I9635" s="160" t="s">
        <v>55</v>
      </c>
      <c r="J9635" s="160">
        <v>1.6000000000000001E-4</v>
      </c>
      <c r="K9635" s="160" t="s">
        <v>26</v>
      </c>
      <c r="L9635" s="154" t="str">
        <f>IF(OpenLCAbasic!K9635="CTUh", "Fill in Manually",IF(OR(K9635="Unit", K9635=""), "", INDEX(LookUps!$E$5:$E$12, MATCH(OpenLCAbasic!K9635,LookUps!$D$5:$D$12,0))))</f>
        <v>Water Use (WU) - m3 H2O</v>
      </c>
      <c r="M9635" s="154" t="str">
        <f t="shared" si="798"/>
        <v>Low_Base_Low_Upgraded_Water Use (WU) - m3 H2O_Aeration Tanks; wastewater treatment unit; at updated plant - US_Base_With Amendment_Aerated Static Pile</v>
      </c>
    </row>
    <row r="9636" spans="1:13" s="120" customFormat="1" x14ac:dyDescent="0.25">
      <c r="A9636" s="119"/>
      <c r="B9636" s="138" t="str">
        <f t="shared" si="799"/>
        <v>Aerated Static Pile</v>
      </c>
      <c r="C9636" s="138" t="str">
        <f t="shared" si="800"/>
        <v>Base_With Amendment</v>
      </c>
      <c r="D9636" s="138" t="str">
        <f t="shared" si="796"/>
        <v>Base_Low</v>
      </c>
      <c r="E9636" s="138" t="str">
        <f t="shared" si="797"/>
        <v>Low</v>
      </c>
      <c r="F9636" s="138" t="str">
        <f t="shared" si="801"/>
        <v>Upgraded</v>
      </c>
      <c r="G9636" s="153"/>
      <c r="H9636" s="210">
        <v>1.3431</v>
      </c>
      <c r="I9636" s="160" t="s">
        <v>148</v>
      </c>
      <c r="J9636" s="160">
        <v>1.4999999999999999E-4</v>
      </c>
      <c r="K9636" s="160" t="s">
        <v>26</v>
      </c>
      <c r="L9636" s="154" t="str">
        <f>IF(OpenLCAbasic!K9636="CTUh", "Fill in Manually",IF(OR(K9636="Unit", K9636=""), "", INDEX(LookUps!$E$5:$E$12, MATCH(OpenLCAbasic!K9636,LookUps!$D$5:$D$12,0))))</f>
        <v>Water Use (WU) - m3 H2O</v>
      </c>
      <c r="M9636" s="154" t="str">
        <f t="shared" si="798"/>
        <v>Low_Base_Low_Upgraded_Water Use (WU) - m3 H2O_Control Building; at upgraded wastewater treatment plant - US_Base_With Amendment_Aerated Static Pile</v>
      </c>
    </row>
    <row r="9637" spans="1:13" s="120" customFormat="1" x14ac:dyDescent="0.25">
      <c r="A9637" s="119"/>
      <c r="B9637" s="138" t="str">
        <f t="shared" si="799"/>
        <v>Aerated Static Pile</v>
      </c>
      <c r="C9637" s="138" t="str">
        <f t="shared" si="800"/>
        <v>Base_With Amendment</v>
      </c>
      <c r="D9637" s="138" t="str">
        <f t="shared" si="796"/>
        <v>Base_Low</v>
      </c>
      <c r="E9637" s="138" t="str">
        <f t="shared" si="797"/>
        <v>Low</v>
      </c>
      <c r="F9637" s="138" t="str">
        <f t="shared" si="801"/>
        <v>Upgraded</v>
      </c>
      <c r="G9637" s="153"/>
      <c r="H9637" s="210">
        <v>0.62370000000000003</v>
      </c>
      <c r="I9637" s="160" t="s">
        <v>48</v>
      </c>
      <c r="J9637" s="211">
        <v>6.8836400000000004E-5</v>
      </c>
      <c r="K9637" s="160" t="s">
        <v>26</v>
      </c>
      <c r="L9637" s="154" t="str">
        <f>IF(OpenLCAbasic!K9637="CTUh", "Fill in Manually",IF(OR(K9637="Unit", K9637=""), "", INDEX(LookUps!$E$5:$E$12, MATCH(OpenLCAbasic!K9637,LookUps!$D$5:$D$12,0))))</f>
        <v>Water Use (WU) - m3 H2O</v>
      </c>
      <c r="M9637" s="154" t="str">
        <f t="shared" si="798"/>
        <v>Low_Base_Low_Upgraded_Water Use (WU) - m3 H2O_Effluent release; wastewater treatment unit; at surface water; m3 wastewater - US_Base_With Amendment_Aerated Static Pile</v>
      </c>
    </row>
    <row r="9638" spans="1:13" s="120" customFormat="1" x14ac:dyDescent="0.25">
      <c r="A9638" s="119"/>
      <c r="B9638" s="138" t="str">
        <f t="shared" si="799"/>
        <v>Aerated Static Pile</v>
      </c>
      <c r="C9638" s="138" t="str">
        <f t="shared" si="800"/>
        <v>Base_With Amendment</v>
      </c>
      <c r="D9638" s="138" t="str">
        <f t="shared" si="796"/>
        <v>Base_Low</v>
      </c>
      <c r="E9638" s="138" t="str">
        <f t="shared" si="797"/>
        <v>Low</v>
      </c>
      <c r="F9638" s="138" t="str">
        <f t="shared" si="801"/>
        <v>Upgraded</v>
      </c>
      <c r="G9638" s="153"/>
      <c r="H9638" s="210">
        <v>0.4289</v>
      </c>
      <c r="I9638" s="160" t="s">
        <v>149</v>
      </c>
      <c r="J9638" s="211">
        <v>4.7332900000000002E-5</v>
      </c>
      <c r="K9638" s="160" t="s">
        <v>26</v>
      </c>
      <c r="L9638" s="154" t="str">
        <f>IF(OpenLCAbasic!K9638="CTUh", "Fill in Manually",IF(OR(K9638="Unit", K9638=""), "", INDEX(LookUps!$E$5:$E$12, MATCH(OpenLCAbasic!K9638,LookUps!$D$5:$D$12,0))))</f>
        <v>Water Use (WU) - m3 H2O</v>
      </c>
      <c r="M9638" s="154" t="str">
        <f t="shared" si="798"/>
        <v>Low_Base_Low_Upgraded_Water Use (WU) - m3 H2O_Anaerobic Digestion; wastewater treatment unit; at updated plant - US_Base_With Amendment_Aerated Static Pile</v>
      </c>
    </row>
    <row r="9639" spans="1:13" s="120" customFormat="1" x14ac:dyDescent="0.25">
      <c r="A9639" s="119"/>
      <c r="B9639" s="138" t="str">
        <f t="shared" si="799"/>
        <v>Aerated Static Pile</v>
      </c>
      <c r="C9639" s="138" t="str">
        <f t="shared" si="800"/>
        <v>Base_With Amendment</v>
      </c>
      <c r="D9639" s="138" t="str">
        <f t="shared" si="796"/>
        <v>Base_Low</v>
      </c>
      <c r="E9639" s="138" t="str">
        <f t="shared" si="797"/>
        <v>Low</v>
      </c>
      <c r="F9639" s="138" t="str">
        <f t="shared" si="801"/>
        <v>Upgraded</v>
      </c>
      <c r="G9639" s="153"/>
      <c r="H9639" s="210">
        <v>0.39140000000000003</v>
      </c>
      <c r="I9639" s="160" t="s">
        <v>58</v>
      </c>
      <c r="J9639" s="211">
        <v>4.3192100000000003E-5</v>
      </c>
      <c r="K9639" s="160" t="s">
        <v>26</v>
      </c>
      <c r="L9639" s="154" t="str">
        <f>IF(OpenLCAbasic!K9639="CTUh", "Fill in Manually",IF(OR(K9639="Unit", K9639=""), "", INDEX(LookUps!$E$5:$E$12, MATCH(OpenLCAbasic!K9639,LookUps!$D$5:$D$12,0))))</f>
        <v>Water Use (WU) - m3 H2O</v>
      </c>
      <c r="M9639" s="154" t="str">
        <f t="shared" si="798"/>
        <v>Low_Base_Low_Upgraded_Water Use (WU) - m3 H2O_Pre-Anoxic &amp; Swing tank; wastewater treatment unit; at updated plant - US_Base_With Amendment_Aerated Static Pile</v>
      </c>
    </row>
    <row r="9640" spans="1:13" s="120" customFormat="1" x14ac:dyDescent="0.25">
      <c r="A9640" s="119"/>
      <c r="B9640" s="138" t="str">
        <f t="shared" si="799"/>
        <v>Aerated Static Pile</v>
      </c>
      <c r="C9640" s="138" t="str">
        <f t="shared" si="800"/>
        <v>Base_With Amendment</v>
      </c>
      <c r="D9640" s="138" t="str">
        <f t="shared" si="796"/>
        <v>Base_Low</v>
      </c>
      <c r="E9640" s="138" t="str">
        <f t="shared" si="797"/>
        <v>Low</v>
      </c>
      <c r="F9640" s="138" t="str">
        <f t="shared" si="801"/>
        <v>Upgraded</v>
      </c>
      <c r="G9640" s="153"/>
      <c r="H9640" s="210">
        <v>0.27550000000000002</v>
      </c>
      <c r="I9640" s="160" t="s">
        <v>57</v>
      </c>
      <c r="J9640" s="211">
        <v>3.0408100000000001E-5</v>
      </c>
      <c r="K9640" s="160" t="s">
        <v>26</v>
      </c>
      <c r="L9640" s="154" t="str">
        <f>IF(OpenLCAbasic!K9640="CTUh", "Fill in Manually",IF(OR(K9640="Unit", K9640=""), "", INDEX(LookUps!$E$5:$E$12, MATCH(OpenLCAbasic!K9640,LookUps!$D$5:$D$12,0))))</f>
        <v>Water Use (WU) - m3 H2O</v>
      </c>
      <c r="M9640" s="154" t="str">
        <f t="shared" si="798"/>
        <v>Low_Base_Low_Upgraded_Water Use (WU) - m3 H2O_Gravity Belt Thickener; wastewater treatment unit; at updated plant - US_Base_With Amendment_Aerated Static Pile</v>
      </c>
    </row>
    <row r="9641" spans="1:13" s="120" customFormat="1" x14ac:dyDescent="0.25">
      <c r="A9641" s="119"/>
      <c r="B9641" s="138" t="str">
        <f t="shared" si="799"/>
        <v>Aerated Static Pile</v>
      </c>
      <c r="C9641" s="138" t="str">
        <f t="shared" si="800"/>
        <v>Base_With Amendment</v>
      </c>
      <c r="D9641" s="138" t="str">
        <f t="shared" ref="D9641:D9647" si="802">IF(ISNUMBER($J9641),"Base_Low","")</f>
        <v>Base_Low</v>
      </c>
      <c r="E9641" s="138" t="str">
        <f t="shared" ref="E9641:E9704" si="803">IF(ISNUMBER($J9641),"Low","")</f>
        <v>Low</v>
      </c>
      <c r="F9641" s="138" t="str">
        <f t="shared" si="801"/>
        <v>Upgraded</v>
      </c>
      <c r="G9641" s="153"/>
      <c r="H9641" s="210">
        <v>0.22070000000000001</v>
      </c>
      <c r="I9641" s="160" t="s">
        <v>60</v>
      </c>
      <c r="J9641" s="211">
        <v>2.4357400000000002E-5</v>
      </c>
      <c r="K9641" s="160" t="s">
        <v>26</v>
      </c>
      <c r="L9641" s="154" t="str">
        <f>IF(OpenLCAbasic!K9641="CTUh", "Fill in Manually",IF(OR(K9641="Unit", K9641=""), "", INDEX(LookUps!$E$5:$E$12, MATCH(OpenLCAbasic!K9641,LookUps!$D$5:$D$12,0))))</f>
        <v>Water Use (WU) - m3 H2O</v>
      </c>
      <c r="M9641" s="154" t="str">
        <f t="shared" si="798"/>
        <v>Low_Base_Low_Upgraded_Water Use (WU) - m3 H2O_Belt filter press; wastewater treatment unit; at updated plant - US_Base_With Amendment_Aerated Static Pile</v>
      </c>
    </row>
    <row r="9642" spans="1:13" s="120" customFormat="1" x14ac:dyDescent="0.25">
      <c r="A9642" s="119"/>
      <c r="B9642" s="138" t="str">
        <f t="shared" si="799"/>
        <v>Aerated Static Pile</v>
      </c>
      <c r="C9642" s="138" t="str">
        <f t="shared" si="800"/>
        <v>Base_With Amendment</v>
      </c>
      <c r="D9642" s="138" t="str">
        <f t="shared" si="802"/>
        <v>Base_Low</v>
      </c>
      <c r="E9642" s="138" t="str">
        <f t="shared" si="803"/>
        <v>Low</v>
      </c>
      <c r="F9642" s="138" t="str">
        <f t="shared" si="801"/>
        <v>Upgraded</v>
      </c>
      <c r="G9642" s="153"/>
      <c r="H9642" s="210">
        <v>0.19689999999999999</v>
      </c>
      <c r="I9642" s="160" t="s">
        <v>435</v>
      </c>
      <c r="J9642" s="211">
        <v>2.1732199999999998E-5</v>
      </c>
      <c r="K9642" s="160" t="s">
        <v>26</v>
      </c>
      <c r="L9642" s="154" t="str">
        <f>IF(OpenLCAbasic!K9642="CTUh", "Fill in Manually",IF(OR(K9642="Unit", K9642=""), "", INDEX(LookUps!$E$5:$E$12, MATCH(OpenLCAbasic!K9642,LookUps!$D$5:$D$12,0))))</f>
        <v>Water Use (WU) - m3 H2O</v>
      </c>
      <c r="M9642" s="154" t="str">
        <f t="shared" si="798"/>
        <v>Low_Base_Low_Upgraded_Water Use (WU) - m3 H2O_Biosolids composting; aerated static pile; wastewater treatment unit; at updated plant - US_Base_With Amendment_Aerated Static Pile</v>
      </c>
    </row>
    <row r="9643" spans="1:13" s="120" customFormat="1" x14ac:dyDescent="0.25">
      <c r="A9643" s="119"/>
      <c r="B9643" s="138" t="str">
        <f t="shared" si="799"/>
        <v>Aerated Static Pile</v>
      </c>
      <c r="C9643" s="138" t="str">
        <f t="shared" si="800"/>
        <v>Base_With Amendment</v>
      </c>
      <c r="D9643" s="138" t="str">
        <f t="shared" si="802"/>
        <v>Base_Low</v>
      </c>
      <c r="E9643" s="138" t="str">
        <f t="shared" si="803"/>
        <v>Low</v>
      </c>
      <c r="F9643" s="138" t="str">
        <f t="shared" si="801"/>
        <v>Upgraded</v>
      </c>
      <c r="G9643" s="153"/>
      <c r="H9643" s="210">
        <v>0.15859999999999999</v>
      </c>
      <c r="I9643" s="160" t="s">
        <v>53</v>
      </c>
      <c r="J9643" s="211">
        <v>1.75069E-5</v>
      </c>
      <c r="K9643" s="160" t="s">
        <v>26</v>
      </c>
      <c r="L9643" s="154" t="str">
        <f>IF(OpenLCAbasic!K9643="CTUh", "Fill in Manually",IF(OR(K9643="Unit", K9643=""), "", INDEX(LookUps!$E$5:$E$12, MATCH(OpenLCAbasic!K9643,LookUps!$D$5:$D$12,0))))</f>
        <v>Water Use (WU) - m3 H2O</v>
      </c>
      <c r="M9643" s="154" t="str">
        <f t="shared" si="798"/>
        <v>Low_Base_Low_Upgraded_Water Use (WU) - m3 H2O_Wet Well and Sump Station; wastewater treatment unit; at updated plant - US_Base_With Amendment_Aerated Static Pile</v>
      </c>
    </row>
    <row r="9644" spans="1:13" s="120" customFormat="1" x14ac:dyDescent="0.25">
      <c r="A9644" s="119"/>
      <c r="B9644" s="138" t="str">
        <f t="shared" si="799"/>
        <v>Aerated Static Pile</v>
      </c>
      <c r="C9644" s="138" t="str">
        <f t="shared" si="800"/>
        <v>Base_With Amendment</v>
      </c>
      <c r="D9644" s="138" t="str">
        <f t="shared" si="802"/>
        <v>Base_Low</v>
      </c>
      <c r="E9644" s="138" t="str">
        <f t="shared" si="803"/>
        <v>Low</v>
      </c>
      <c r="F9644" s="138" t="str">
        <f t="shared" si="801"/>
        <v>Upgraded</v>
      </c>
      <c r="G9644" s="153"/>
      <c r="H9644" s="210">
        <v>6.3600000000000004E-2</v>
      </c>
      <c r="I9644" s="160" t="s">
        <v>59</v>
      </c>
      <c r="J9644" s="211">
        <v>7.0179500000000003E-6</v>
      </c>
      <c r="K9644" s="160" t="s">
        <v>26</v>
      </c>
      <c r="L9644" s="154" t="str">
        <f>IF(OpenLCAbasic!K9644="CTUh", "Fill in Manually",IF(OR(K9644="Unit", K9644=""), "", INDEX(LookUps!$E$5:$E$12, MATCH(OpenLCAbasic!K9644,LookUps!$D$5:$D$12,0))))</f>
        <v>Water Use (WU) - m3 H2O</v>
      </c>
      <c r="M9644" s="154" t="str">
        <f t="shared" si="798"/>
        <v>Low_Base_Low_Upgraded_Water Use (WU) - m3 H2O_Blend Tank; wastewater treatment unit; at updated plant - US_Base_With Amendment_Aerated Static Pile</v>
      </c>
    </row>
    <row r="9645" spans="1:13" s="120" customFormat="1" x14ac:dyDescent="0.25">
      <c r="A9645" s="119"/>
      <c r="B9645" s="138" t="str">
        <f t="shared" si="799"/>
        <v>Aerated Static Pile</v>
      </c>
      <c r="C9645" s="138" t="str">
        <f t="shared" si="800"/>
        <v>Base_With Amendment</v>
      </c>
      <c r="D9645" s="138" t="str">
        <f t="shared" si="802"/>
        <v>Base_Low</v>
      </c>
      <c r="E9645" s="138" t="str">
        <f t="shared" si="803"/>
        <v>Low</v>
      </c>
      <c r="F9645" s="138" t="str">
        <f t="shared" si="801"/>
        <v>Upgraded</v>
      </c>
      <c r="G9645" s="153"/>
      <c r="H9645" s="210">
        <v>4.5900000000000003E-2</v>
      </c>
      <c r="I9645" s="160" t="s">
        <v>128</v>
      </c>
      <c r="J9645" s="211">
        <v>5.0608900000000003E-6</v>
      </c>
      <c r="K9645" s="160" t="s">
        <v>26</v>
      </c>
      <c r="L9645" s="154" t="str">
        <f>IF(OpenLCAbasic!K9645="CTUh", "Fill in Manually",IF(OR(K9645="Unit", K9645=""), "", INDEX(LookUps!$E$5:$E$12, MATCH(OpenLCAbasic!K9645,LookUps!$D$5:$D$12,0))))</f>
        <v>Water Use (WU) - m3 H2O</v>
      </c>
      <c r="M9645" s="154" t="str">
        <f t="shared" si="798"/>
        <v>Low_Base_Low_Upgraded_Water Use (WU) - m3 H2O_Wastewater collection; operation and infrastructure; m3 wastewater_Base_With Amendment_Aerated Static Pile</v>
      </c>
    </row>
    <row r="9646" spans="1:13" s="120" customFormat="1" x14ac:dyDescent="0.25">
      <c r="A9646" s="119"/>
      <c r="B9646" s="138" t="str">
        <f t="shared" si="799"/>
        <v>Aerated Static Pile</v>
      </c>
      <c r="C9646" s="138" t="str">
        <f t="shared" si="800"/>
        <v>Base_With Amendment</v>
      </c>
      <c r="D9646" s="138" t="str">
        <f t="shared" si="802"/>
        <v>Base_Low</v>
      </c>
      <c r="E9646" s="138" t="str">
        <f t="shared" si="803"/>
        <v>Low</v>
      </c>
      <c r="F9646" s="138" t="str">
        <f t="shared" si="801"/>
        <v>Upgraded</v>
      </c>
      <c r="G9646" s="153"/>
      <c r="H9646" s="210">
        <v>6.8999999999999999E-3</v>
      </c>
      <c r="I9646" s="160" t="s">
        <v>168</v>
      </c>
      <c r="J9646" s="211">
        <v>7.6697000000000004E-7</v>
      </c>
      <c r="K9646" s="160" t="s">
        <v>26</v>
      </c>
      <c r="L9646" s="154" t="str">
        <f>IF(OpenLCAbasic!K9646="CTUh", "Fill in Manually",IF(OR(K9646="Unit", K9646=""), "", INDEX(LookUps!$E$5:$E$12, MATCH(OpenLCAbasic!K9646,LookUps!$D$5:$D$12,0))))</f>
        <v>Water Use (WU) - m3 H2O</v>
      </c>
      <c r="M9646" s="154" t="str">
        <f t="shared" si="798"/>
        <v>Low_Base_Low_Upgraded_Water Use (WU) - m3 H2O_ClearCove SCP; wastewater treatment unit; at updated plant - US_Base_With Amendment_Aerated Static Pile</v>
      </c>
    </row>
    <row r="9647" spans="1:13" s="120" customFormat="1" x14ac:dyDescent="0.25">
      <c r="A9647" s="119"/>
      <c r="B9647" s="138" t="str">
        <f t="shared" si="799"/>
        <v>Aerated Static Pile</v>
      </c>
      <c r="C9647" s="138" t="str">
        <f t="shared" si="800"/>
        <v>Base_With Amendment</v>
      </c>
      <c r="D9647" s="138" t="str">
        <f t="shared" si="802"/>
        <v>Base_Low</v>
      </c>
      <c r="E9647" s="138" t="str">
        <f t="shared" si="803"/>
        <v>Low</v>
      </c>
      <c r="F9647" s="138" t="str">
        <f t="shared" si="801"/>
        <v>Upgraded</v>
      </c>
      <c r="G9647" s="153"/>
      <c r="H9647" s="210">
        <v>-11.6259</v>
      </c>
      <c r="I9647" s="160" t="s">
        <v>62</v>
      </c>
      <c r="J9647" s="160">
        <v>-1.2800000000000001E-3</v>
      </c>
      <c r="K9647" s="160" t="s">
        <v>26</v>
      </c>
      <c r="L9647" s="154" t="str">
        <f>IF(OpenLCAbasic!K9647="CTUh", "Fill in Manually",IF(OR(K9647="Unit", K9647=""), "", INDEX(LookUps!$E$5:$E$12, MATCH(OpenLCAbasic!K9647,LookUps!$D$5:$D$12,0))))</f>
        <v>Water Use (WU) - m3 H2O</v>
      </c>
      <c r="M9647" s="154" t="str">
        <f t="shared" si="798"/>
        <v>Low_Base_Low_Upgraded_Water Use (WU) - m3 H2O_Land application of compost; wastewater treatment unit; at updated plant - US_Base_With Amendment_Aerated Static Pile</v>
      </c>
    </row>
    <row r="9648" spans="1:13" s="120" customFormat="1" x14ac:dyDescent="0.25">
      <c r="A9648" s="119"/>
      <c r="B9648" s="138" t="str">
        <f t="shared" si="799"/>
        <v/>
      </c>
      <c r="C9648" s="138" t="str">
        <f t="shared" si="800"/>
        <v/>
      </c>
      <c r="D9648" s="138" t="str">
        <f>IF(ISNUMBER($J9648),"Base_High","")</f>
        <v/>
      </c>
      <c r="E9648" s="138" t="str">
        <f t="shared" si="803"/>
        <v/>
      </c>
      <c r="F9648" s="138" t="str">
        <f t="shared" si="801"/>
        <v/>
      </c>
      <c r="G9648" s="153" t="s">
        <v>51</v>
      </c>
      <c r="H9648" s="160"/>
      <c r="I9648" s="160" t="s">
        <v>47</v>
      </c>
      <c r="J9648" s="160" t="s">
        <v>52</v>
      </c>
      <c r="K9648" s="160" t="s">
        <v>27</v>
      </c>
      <c r="L9648" s="154" t="str">
        <f>IF(OpenLCAbasic!K9648="CTUh", "Fill in Manually",IF(OR(K9648="Unit", K9648=""), "", INDEX(LookUps!$E$5:$E$12, MATCH(OpenLCAbasic!K9648,LookUps!$D$5:$D$12,0))))</f>
        <v/>
      </c>
      <c r="M9648" s="154" t="str">
        <f t="shared" si="798"/>
        <v>____Process__</v>
      </c>
    </row>
    <row r="9649" spans="1:13" s="120" customFormat="1" x14ac:dyDescent="0.25">
      <c r="A9649" s="119"/>
      <c r="B9649" s="138" t="str">
        <f t="shared" si="799"/>
        <v>Aerated Static Pile</v>
      </c>
      <c r="C9649" s="138" t="str">
        <f t="shared" si="800"/>
        <v>Base_With Amendment</v>
      </c>
      <c r="D9649" s="138" t="str">
        <f t="shared" ref="D9649:D9712" si="804">IF(ISNUMBER($J9649),"Base_High","")</f>
        <v>Base_High</v>
      </c>
      <c r="E9649" s="138" t="str">
        <f t="shared" si="803"/>
        <v>Low</v>
      </c>
      <c r="F9649" s="138" t="str">
        <f t="shared" si="801"/>
        <v>Upgraded</v>
      </c>
      <c r="G9649" s="153"/>
      <c r="H9649" s="210">
        <v>2.1305000000000001</v>
      </c>
      <c r="I9649" s="160" t="s">
        <v>55</v>
      </c>
      <c r="J9649" s="160">
        <v>1.7219999999999999E-2</v>
      </c>
      <c r="K9649" s="160" t="s">
        <v>24</v>
      </c>
      <c r="L9649" s="154" t="str">
        <f>IF(OpenLCAbasic!K9649="CTUh", "Fill in Manually",IF(OR(K9649="Unit", K9649=""), "", INDEX(LookUps!$E$5:$E$12, MATCH(OpenLCAbasic!K9649,LookUps!$D$5:$D$12,0))))</f>
        <v>Acidification Potential (AP) - kg SO2 eq</v>
      </c>
      <c r="M9649" s="154" t="str">
        <f t="shared" si="798"/>
        <v>Low_Base_High_Upgraded_Acidification Potential (AP) - kg SO2 eq_Aeration Tanks; wastewater treatment unit; at updated plant - US_Base_With Amendment_Aerated Static Pile</v>
      </c>
    </row>
    <row r="9650" spans="1:13" s="120" customFormat="1" x14ac:dyDescent="0.25">
      <c r="A9650" s="119"/>
      <c r="B9650" s="138" t="str">
        <f t="shared" si="799"/>
        <v>Aerated Static Pile</v>
      </c>
      <c r="C9650" s="138" t="str">
        <f t="shared" si="800"/>
        <v>Base_With Amendment</v>
      </c>
      <c r="D9650" s="138" t="str">
        <f t="shared" si="804"/>
        <v>Base_High</v>
      </c>
      <c r="E9650" s="138" t="str">
        <f t="shared" si="803"/>
        <v>Low</v>
      </c>
      <c r="F9650" s="138" t="str">
        <f t="shared" si="801"/>
        <v>Upgraded</v>
      </c>
      <c r="G9650" s="153"/>
      <c r="H9650" s="210">
        <v>0.72450000000000003</v>
      </c>
      <c r="I9650" s="160" t="s">
        <v>435</v>
      </c>
      <c r="J9650" s="160">
        <v>5.8599999999999998E-3</v>
      </c>
      <c r="K9650" s="160" t="s">
        <v>24</v>
      </c>
      <c r="L9650" s="154" t="str">
        <f>IF(OpenLCAbasic!K9650="CTUh", "Fill in Manually",IF(OR(K9650="Unit", K9650=""), "", INDEX(LookUps!$E$5:$E$12, MATCH(OpenLCAbasic!K9650,LookUps!$D$5:$D$12,0))))</f>
        <v>Acidification Potential (AP) - kg SO2 eq</v>
      </c>
      <c r="M9650" s="154" t="str">
        <f t="shared" si="798"/>
        <v>Low_Base_High_Upgraded_Acidification Potential (AP) - kg SO2 eq_Biosolids composting; aerated static pile; wastewater treatment unit; at updated plant - US_Base_With Amendment_Aerated Static Pile</v>
      </c>
    </row>
    <row r="9651" spans="1:13" s="120" customFormat="1" x14ac:dyDescent="0.25">
      <c r="A9651" s="119"/>
      <c r="B9651" s="138" t="str">
        <f t="shared" si="799"/>
        <v>Aerated Static Pile</v>
      </c>
      <c r="C9651" s="138" t="str">
        <f t="shared" si="800"/>
        <v>Base_With Amendment</v>
      </c>
      <c r="D9651" s="138" t="str">
        <f t="shared" si="804"/>
        <v>Base_High</v>
      </c>
      <c r="E9651" s="138" t="str">
        <f t="shared" si="803"/>
        <v>Low</v>
      </c>
      <c r="F9651" s="138" t="str">
        <f t="shared" si="801"/>
        <v>Upgraded</v>
      </c>
      <c r="G9651" s="153"/>
      <c r="H9651" s="210">
        <v>0.61619999999999997</v>
      </c>
      <c r="I9651" s="160" t="s">
        <v>54</v>
      </c>
      <c r="J9651" s="160">
        <v>4.9800000000000001E-3</v>
      </c>
      <c r="K9651" s="160" t="s">
        <v>24</v>
      </c>
      <c r="L9651" s="154" t="str">
        <f>IF(OpenLCAbasic!K9651="CTUh", "Fill in Manually",IF(OR(K9651="Unit", K9651=""), "", INDEX(LookUps!$E$5:$E$12, MATCH(OpenLCAbasic!K9651,LookUps!$D$5:$D$12,0))))</f>
        <v>Acidification Potential (AP) - kg SO2 eq</v>
      </c>
      <c r="M9651" s="154" t="str">
        <f t="shared" ref="M9651:M9714" si="805">CONCATENATE(E9651,"_",D9651,"_",F9651,"_",L9651, "_",I9651,"_", C9651,"_", B9651)</f>
        <v>Low_Base_High_Upgraded_Acidification Potential (AP) - kg SO2 eq_Clear Cove Primary Clarification; wastewater treatment unit; at updated plant - US_Base_With Amendment_Aerated Static Pile</v>
      </c>
    </row>
    <row r="9652" spans="1:13" s="120" customFormat="1" x14ac:dyDescent="0.25">
      <c r="A9652" s="119"/>
      <c r="B9652" s="138" t="str">
        <f t="shared" si="799"/>
        <v>Aerated Static Pile</v>
      </c>
      <c r="C9652" s="138" t="str">
        <f t="shared" si="800"/>
        <v>Base_With Amendment</v>
      </c>
      <c r="D9652" s="138" t="str">
        <f t="shared" si="804"/>
        <v>Base_High</v>
      </c>
      <c r="E9652" s="138" t="str">
        <f t="shared" si="803"/>
        <v>Low</v>
      </c>
      <c r="F9652" s="138" t="str">
        <f t="shared" si="801"/>
        <v>Upgraded</v>
      </c>
      <c r="G9652" s="153"/>
      <c r="H9652" s="210">
        <v>0.53590000000000004</v>
      </c>
      <c r="I9652" s="160" t="s">
        <v>58</v>
      </c>
      <c r="J9652" s="160">
        <v>4.3299999999999996E-3</v>
      </c>
      <c r="K9652" s="160" t="s">
        <v>24</v>
      </c>
      <c r="L9652" s="154" t="str">
        <f>IF(OpenLCAbasic!K9652="CTUh", "Fill in Manually",IF(OR(K9652="Unit", K9652=""), "", INDEX(LookUps!$E$5:$E$12, MATCH(OpenLCAbasic!K9652,LookUps!$D$5:$D$12,0))))</f>
        <v>Acidification Potential (AP) - kg SO2 eq</v>
      </c>
      <c r="M9652" s="154" t="str">
        <f t="shared" si="805"/>
        <v>Low_Base_High_Upgraded_Acidification Potential (AP) - kg SO2 eq_Pre-Anoxic &amp; Swing tank; wastewater treatment unit; at updated plant - US_Base_With Amendment_Aerated Static Pile</v>
      </c>
    </row>
    <row r="9653" spans="1:13" s="120" customFormat="1" x14ac:dyDescent="0.25">
      <c r="A9653" s="119"/>
      <c r="B9653" s="138" t="str">
        <f t="shared" si="799"/>
        <v>Aerated Static Pile</v>
      </c>
      <c r="C9653" s="138" t="str">
        <f t="shared" si="800"/>
        <v>Base_With Amendment</v>
      </c>
      <c r="D9653" s="138" t="str">
        <f t="shared" si="804"/>
        <v>Base_High</v>
      </c>
      <c r="E9653" s="138" t="str">
        <f t="shared" si="803"/>
        <v>Low</v>
      </c>
      <c r="F9653" s="138" t="str">
        <f t="shared" si="801"/>
        <v>Upgraded</v>
      </c>
      <c r="G9653" s="153"/>
      <c r="H9653" s="210">
        <v>0.4269</v>
      </c>
      <c r="I9653" s="160" t="s">
        <v>53</v>
      </c>
      <c r="J9653" s="160">
        <v>3.4499999999999999E-3</v>
      </c>
      <c r="K9653" s="160" t="s">
        <v>24</v>
      </c>
      <c r="L9653" s="154" t="str">
        <f>IF(OpenLCAbasic!K9653="CTUh", "Fill in Manually",IF(OR(K9653="Unit", K9653=""), "", INDEX(LookUps!$E$5:$E$12, MATCH(OpenLCAbasic!K9653,LookUps!$D$5:$D$12,0))))</f>
        <v>Acidification Potential (AP) - kg SO2 eq</v>
      </c>
      <c r="M9653" s="154" t="str">
        <f t="shared" si="805"/>
        <v>Low_Base_High_Upgraded_Acidification Potential (AP) - kg SO2 eq_Wet Well and Sump Station; wastewater treatment unit; at updated plant - US_Base_With Amendment_Aerated Static Pile</v>
      </c>
    </row>
    <row r="9654" spans="1:13" s="120" customFormat="1" x14ac:dyDescent="0.25">
      <c r="A9654" s="119"/>
      <c r="B9654" s="138" t="str">
        <f t="shared" si="799"/>
        <v>Aerated Static Pile</v>
      </c>
      <c r="C9654" s="138" t="str">
        <f t="shared" si="800"/>
        <v>Base_With Amendment</v>
      </c>
      <c r="D9654" s="138" t="str">
        <f t="shared" si="804"/>
        <v>Base_High</v>
      </c>
      <c r="E9654" s="138" t="str">
        <f t="shared" si="803"/>
        <v>Low</v>
      </c>
      <c r="F9654" s="138" t="str">
        <f t="shared" si="801"/>
        <v>Upgraded</v>
      </c>
      <c r="G9654" s="153"/>
      <c r="H9654" s="210">
        <v>0.3508</v>
      </c>
      <c r="I9654" s="160" t="s">
        <v>62</v>
      </c>
      <c r="J9654" s="160">
        <v>2.8400000000000001E-3</v>
      </c>
      <c r="K9654" s="160" t="s">
        <v>24</v>
      </c>
      <c r="L9654" s="154" t="str">
        <f>IF(OpenLCAbasic!K9654="CTUh", "Fill in Manually",IF(OR(K9654="Unit", K9654=""), "", INDEX(LookUps!$E$5:$E$12, MATCH(OpenLCAbasic!K9654,LookUps!$D$5:$D$12,0))))</f>
        <v>Acidification Potential (AP) - kg SO2 eq</v>
      </c>
      <c r="M9654" s="154" t="str">
        <f t="shared" si="805"/>
        <v>Low_Base_High_Upgraded_Acidification Potential (AP) - kg SO2 eq_Land application of compost; wastewater treatment unit; at updated plant - US_Base_With Amendment_Aerated Static Pile</v>
      </c>
    </row>
    <row r="9655" spans="1:13" s="120" customFormat="1" x14ac:dyDescent="0.25">
      <c r="A9655" s="119"/>
      <c r="B9655" s="138" t="str">
        <f t="shared" si="799"/>
        <v>Aerated Static Pile</v>
      </c>
      <c r="C9655" s="138" t="str">
        <f t="shared" si="800"/>
        <v>Base_With Amendment</v>
      </c>
      <c r="D9655" s="138" t="str">
        <f t="shared" si="804"/>
        <v>Base_High</v>
      </c>
      <c r="E9655" s="138" t="str">
        <f t="shared" si="803"/>
        <v>Low</v>
      </c>
      <c r="F9655" s="138" t="str">
        <f t="shared" si="801"/>
        <v>Upgraded</v>
      </c>
      <c r="G9655" s="153"/>
      <c r="H9655" s="210">
        <v>0.29389999999999999</v>
      </c>
      <c r="I9655" s="160" t="s">
        <v>167</v>
      </c>
      <c r="J9655" s="160">
        <v>2.3800000000000002E-3</v>
      </c>
      <c r="K9655" s="160" t="s">
        <v>24</v>
      </c>
      <c r="L9655" s="154" t="str">
        <f>IF(OpenLCAbasic!K9655="CTUh", "Fill in Manually",IF(OR(K9655="Unit", K9655=""), "", INDEX(LookUps!$E$5:$E$12, MATCH(OpenLCAbasic!K9655,LookUps!$D$5:$D$12,0))))</f>
        <v>Acidification Potential (AP) - kg SO2 eq</v>
      </c>
      <c r="M9655" s="154" t="str">
        <f t="shared" si="805"/>
        <v>Low_Base_High_Upgraded_Acidification Potential (AP) - kg SO2 eq_Waste Receiving and Holding; wastewater treatment unit; at updated plant - US_Base_With Amendment_Aerated Static Pile</v>
      </c>
    </row>
    <row r="9656" spans="1:13" s="120" customFormat="1" x14ac:dyDescent="0.25">
      <c r="A9656" s="119"/>
      <c r="B9656" s="138" t="str">
        <f t="shared" si="799"/>
        <v>Aerated Static Pile</v>
      </c>
      <c r="C9656" s="138" t="str">
        <f t="shared" si="800"/>
        <v>Base_With Amendment</v>
      </c>
      <c r="D9656" s="138" t="str">
        <f t="shared" si="804"/>
        <v>Base_High</v>
      </c>
      <c r="E9656" s="138" t="str">
        <f t="shared" si="803"/>
        <v>Low</v>
      </c>
      <c r="F9656" s="138" t="str">
        <f t="shared" si="801"/>
        <v>Upgraded</v>
      </c>
      <c r="G9656" s="153"/>
      <c r="H9656" s="210">
        <v>0.25590000000000002</v>
      </c>
      <c r="I9656" s="160" t="s">
        <v>147</v>
      </c>
      <c r="J9656" s="160">
        <v>2.0699999999999998E-3</v>
      </c>
      <c r="K9656" s="160" t="s">
        <v>24</v>
      </c>
      <c r="L9656" s="154" t="str">
        <f>IF(OpenLCAbasic!K9656="CTUh", "Fill in Manually",IF(OR(K9656="Unit", K9656=""), "", INDEX(LookUps!$E$5:$E$12, MATCH(OpenLCAbasic!K9656,LookUps!$D$5:$D$12,0))))</f>
        <v>Acidification Potential (AP) - kg SO2 eq</v>
      </c>
      <c r="M9656" s="154" t="str">
        <f t="shared" si="805"/>
        <v>Low_Base_High_Upgraded_Acidification Potential (AP) - kg SO2 eq_Influent Pump Station; wastewater treatment unit; at updated plant - US_Base_With Amendment_Aerated Static Pile</v>
      </c>
    </row>
    <row r="9657" spans="1:13" s="120" customFormat="1" x14ac:dyDescent="0.25">
      <c r="A9657" s="119"/>
      <c r="B9657" s="138" t="str">
        <f t="shared" ref="B9657:B9720" si="806">IF(F9657="Legacy","n.a.",IF(F9657="","","Aerated Static Pile"))</f>
        <v>Aerated Static Pile</v>
      </c>
      <c r="C9657" s="138" t="str">
        <f t="shared" ref="C9657:C9720" si="807">IF(ISNUMBER($J9657),"Base_With Amendment","")</f>
        <v>Base_With Amendment</v>
      </c>
      <c r="D9657" s="138" t="str">
        <f t="shared" si="804"/>
        <v>Base_High</v>
      </c>
      <c r="E9657" s="138" t="str">
        <f t="shared" si="803"/>
        <v>Low</v>
      </c>
      <c r="F9657" s="138" t="str">
        <f t="shared" ref="F9657:F9720" si="808">IF(ISNUMBER(J9657),"Upgraded","")</f>
        <v>Upgraded</v>
      </c>
      <c r="G9657" s="153"/>
      <c r="H9657" s="210">
        <v>0.15260000000000001</v>
      </c>
      <c r="I9657" s="160" t="s">
        <v>128</v>
      </c>
      <c r="J9657" s="160">
        <v>1.23E-3</v>
      </c>
      <c r="K9657" s="160" t="s">
        <v>24</v>
      </c>
      <c r="L9657" s="154" t="str">
        <f>IF(OpenLCAbasic!K9657="CTUh", "Fill in Manually",IF(OR(K9657="Unit", K9657=""), "", INDEX(LookUps!$E$5:$E$12, MATCH(OpenLCAbasic!K9657,LookUps!$D$5:$D$12,0))))</f>
        <v>Acidification Potential (AP) - kg SO2 eq</v>
      </c>
      <c r="M9657" s="154" t="str">
        <f t="shared" si="805"/>
        <v>Low_Base_High_Upgraded_Acidification Potential (AP) - kg SO2 eq_Wastewater collection; operation and infrastructure; m3 wastewater_Base_With Amendment_Aerated Static Pile</v>
      </c>
    </row>
    <row r="9658" spans="1:13" s="120" customFormat="1" x14ac:dyDescent="0.25">
      <c r="A9658" s="119"/>
      <c r="B9658" s="138" t="str">
        <f t="shared" si="806"/>
        <v>Aerated Static Pile</v>
      </c>
      <c r="C9658" s="138" t="str">
        <f t="shared" si="807"/>
        <v>Base_With Amendment</v>
      </c>
      <c r="D9658" s="138" t="str">
        <f t="shared" si="804"/>
        <v>Base_High</v>
      </c>
      <c r="E9658" s="138" t="str">
        <f t="shared" si="803"/>
        <v>Low</v>
      </c>
      <c r="F9658" s="138" t="str">
        <f t="shared" si="808"/>
        <v>Upgraded</v>
      </c>
      <c r="G9658" s="153"/>
      <c r="H9658" s="210">
        <v>9.1999999999999998E-2</v>
      </c>
      <c r="I9658" s="160" t="s">
        <v>60</v>
      </c>
      <c r="J9658" s="160">
        <v>7.3999999999999999E-4</v>
      </c>
      <c r="K9658" s="160" t="s">
        <v>24</v>
      </c>
      <c r="L9658" s="154" t="str">
        <f>IF(OpenLCAbasic!K9658="CTUh", "Fill in Manually",IF(OR(K9658="Unit", K9658=""), "", INDEX(LookUps!$E$5:$E$12, MATCH(OpenLCAbasic!K9658,LookUps!$D$5:$D$12,0))))</f>
        <v>Acidification Potential (AP) - kg SO2 eq</v>
      </c>
      <c r="M9658" s="154" t="str">
        <f t="shared" si="805"/>
        <v>Low_Base_High_Upgraded_Acidification Potential (AP) - kg SO2 eq_Belt filter press; wastewater treatment unit; at updated plant - US_Base_With Amendment_Aerated Static Pile</v>
      </c>
    </row>
    <row r="9659" spans="1:13" s="120" customFormat="1" x14ac:dyDescent="0.25">
      <c r="A9659" s="119"/>
      <c r="B9659" s="138" t="str">
        <f t="shared" si="806"/>
        <v>Aerated Static Pile</v>
      </c>
      <c r="C9659" s="138" t="str">
        <f t="shared" si="807"/>
        <v>Base_With Amendment</v>
      </c>
      <c r="D9659" s="138" t="str">
        <f t="shared" si="804"/>
        <v>Base_High</v>
      </c>
      <c r="E9659" s="138" t="str">
        <f t="shared" si="803"/>
        <v>Low</v>
      </c>
      <c r="F9659" s="138" t="str">
        <f t="shared" si="808"/>
        <v>Upgraded</v>
      </c>
      <c r="G9659" s="153"/>
      <c r="H9659" s="210">
        <v>8.7099999999999997E-2</v>
      </c>
      <c r="I9659" s="160" t="s">
        <v>57</v>
      </c>
      <c r="J9659" s="160">
        <v>6.9999999999999999E-4</v>
      </c>
      <c r="K9659" s="160" t="s">
        <v>24</v>
      </c>
      <c r="L9659" s="154" t="str">
        <f>IF(OpenLCAbasic!K9659="CTUh", "Fill in Manually",IF(OR(K9659="Unit", K9659=""), "", INDEX(LookUps!$E$5:$E$12, MATCH(OpenLCAbasic!K9659,LookUps!$D$5:$D$12,0))))</f>
        <v>Acidification Potential (AP) - kg SO2 eq</v>
      </c>
      <c r="M9659" s="154" t="str">
        <f t="shared" si="805"/>
        <v>Low_Base_High_Upgraded_Acidification Potential (AP) - kg SO2 eq_Gravity Belt Thickener; wastewater treatment unit; at updated plant - US_Base_With Amendment_Aerated Static Pile</v>
      </c>
    </row>
    <row r="9660" spans="1:13" s="120" customFormat="1" x14ac:dyDescent="0.25">
      <c r="A9660" s="119"/>
      <c r="B9660" s="138" t="str">
        <f t="shared" si="806"/>
        <v>Aerated Static Pile</v>
      </c>
      <c r="C9660" s="138" t="str">
        <f t="shared" si="807"/>
        <v>Base_With Amendment</v>
      </c>
      <c r="D9660" s="138" t="str">
        <f t="shared" si="804"/>
        <v>Base_High</v>
      </c>
      <c r="E9660" s="138" t="str">
        <f t="shared" si="803"/>
        <v>Low</v>
      </c>
      <c r="F9660" s="138" t="str">
        <f t="shared" si="808"/>
        <v>Upgraded</v>
      </c>
      <c r="G9660" s="153"/>
      <c r="H9660" s="210">
        <v>6.3899999999999998E-2</v>
      </c>
      <c r="I9660" s="160" t="s">
        <v>59</v>
      </c>
      <c r="J9660" s="160">
        <v>5.1999999999999995E-4</v>
      </c>
      <c r="K9660" s="160" t="s">
        <v>24</v>
      </c>
      <c r="L9660" s="154" t="str">
        <f>IF(OpenLCAbasic!K9660="CTUh", "Fill in Manually",IF(OR(K9660="Unit", K9660=""), "", INDEX(LookUps!$E$5:$E$12, MATCH(OpenLCAbasic!K9660,LookUps!$D$5:$D$12,0))))</f>
        <v>Acidification Potential (AP) - kg SO2 eq</v>
      </c>
      <c r="M9660" s="154" t="str">
        <f t="shared" si="805"/>
        <v>Low_Base_High_Upgraded_Acidification Potential (AP) - kg SO2 eq_Blend Tank; wastewater treatment unit; at updated plant - US_Base_With Amendment_Aerated Static Pile</v>
      </c>
    </row>
    <row r="9661" spans="1:13" s="120" customFormat="1" x14ac:dyDescent="0.25">
      <c r="A9661" s="119"/>
      <c r="B9661" s="138" t="str">
        <f t="shared" si="806"/>
        <v>Aerated Static Pile</v>
      </c>
      <c r="C9661" s="138" t="str">
        <f t="shared" si="807"/>
        <v>Base_With Amendment</v>
      </c>
      <c r="D9661" s="138" t="str">
        <f t="shared" si="804"/>
        <v>Base_High</v>
      </c>
      <c r="E9661" s="138" t="str">
        <f t="shared" si="803"/>
        <v>Low</v>
      </c>
      <c r="F9661" s="138" t="str">
        <f t="shared" si="808"/>
        <v>Upgraded</v>
      </c>
      <c r="G9661" s="153"/>
      <c r="H9661" s="210">
        <v>4.2900000000000001E-2</v>
      </c>
      <c r="I9661" s="160" t="s">
        <v>48</v>
      </c>
      <c r="J9661" s="160">
        <v>3.5E-4</v>
      </c>
      <c r="K9661" s="160" t="s">
        <v>24</v>
      </c>
      <c r="L9661" s="154" t="str">
        <f>IF(OpenLCAbasic!K9661="CTUh", "Fill in Manually",IF(OR(K9661="Unit", K9661=""), "", INDEX(LookUps!$E$5:$E$12, MATCH(OpenLCAbasic!K9661,LookUps!$D$5:$D$12,0))))</f>
        <v>Acidification Potential (AP) - kg SO2 eq</v>
      </c>
      <c r="M9661" s="154" t="str">
        <f t="shared" si="805"/>
        <v>Low_Base_High_Upgraded_Acidification Potential (AP) - kg SO2 eq_Effluent release; wastewater treatment unit; at surface water; m3 wastewater - US_Base_With Amendment_Aerated Static Pile</v>
      </c>
    </row>
    <row r="9662" spans="1:13" s="120" customFormat="1" x14ac:dyDescent="0.25">
      <c r="A9662" s="119"/>
      <c r="B9662" s="138" t="str">
        <f t="shared" si="806"/>
        <v>Aerated Static Pile</v>
      </c>
      <c r="C9662" s="138" t="str">
        <f t="shared" si="807"/>
        <v>Base_With Amendment</v>
      </c>
      <c r="D9662" s="138" t="str">
        <f t="shared" si="804"/>
        <v>Base_High</v>
      </c>
      <c r="E9662" s="138" t="str">
        <f t="shared" si="803"/>
        <v>Low</v>
      </c>
      <c r="F9662" s="138" t="str">
        <f t="shared" si="808"/>
        <v>Upgraded</v>
      </c>
      <c r="G9662" s="153"/>
      <c r="H9662" s="210">
        <v>3.1600000000000003E-2</v>
      </c>
      <c r="I9662" s="160" t="s">
        <v>168</v>
      </c>
      <c r="J9662" s="160">
        <v>2.5999999999999998E-4</v>
      </c>
      <c r="K9662" s="160" t="s">
        <v>24</v>
      </c>
      <c r="L9662" s="154" t="str">
        <f>IF(OpenLCAbasic!K9662="CTUh", "Fill in Manually",IF(OR(K9662="Unit", K9662=""), "", INDEX(LookUps!$E$5:$E$12, MATCH(OpenLCAbasic!K9662,LookUps!$D$5:$D$12,0))))</f>
        <v>Acidification Potential (AP) - kg SO2 eq</v>
      </c>
      <c r="M9662" s="154" t="str">
        <f t="shared" si="805"/>
        <v>Low_Base_High_Upgraded_Acidification Potential (AP) - kg SO2 eq_ClearCove SCP; wastewater treatment unit; at updated plant - US_Base_With Amendment_Aerated Static Pile</v>
      </c>
    </row>
    <row r="9663" spans="1:13" s="120" customFormat="1" x14ac:dyDescent="0.25">
      <c r="A9663" s="119"/>
      <c r="B9663" s="138" t="str">
        <f t="shared" si="806"/>
        <v>Aerated Static Pile</v>
      </c>
      <c r="C9663" s="138" t="str">
        <f t="shared" si="807"/>
        <v>Base_With Amendment</v>
      </c>
      <c r="D9663" s="138" t="str">
        <f t="shared" si="804"/>
        <v>Base_High</v>
      </c>
      <c r="E9663" s="138" t="str">
        <f t="shared" si="803"/>
        <v>Low</v>
      </c>
      <c r="F9663" s="138" t="str">
        <f t="shared" si="808"/>
        <v>Upgraded</v>
      </c>
      <c r="G9663" s="153"/>
      <c r="H9663" s="210">
        <v>5.0000000000000001E-3</v>
      </c>
      <c r="I9663" s="160" t="s">
        <v>148</v>
      </c>
      <c r="J9663" s="211">
        <v>4.0354700000000002E-5</v>
      </c>
      <c r="K9663" s="160" t="s">
        <v>24</v>
      </c>
      <c r="L9663" s="154" t="str">
        <f>IF(OpenLCAbasic!K9663="CTUh", "Fill in Manually",IF(OR(K9663="Unit", K9663=""), "", INDEX(LookUps!$E$5:$E$12, MATCH(OpenLCAbasic!K9663,LookUps!$D$5:$D$12,0))))</f>
        <v>Acidification Potential (AP) - kg SO2 eq</v>
      </c>
      <c r="M9663" s="154" t="str">
        <f t="shared" si="805"/>
        <v>Low_Base_High_Upgraded_Acidification Potential (AP) - kg SO2 eq_Control Building; at upgraded wastewater treatment plant - US_Base_With Amendment_Aerated Static Pile</v>
      </c>
    </row>
    <row r="9664" spans="1:13" s="120" customFormat="1" x14ac:dyDescent="0.25">
      <c r="A9664" s="119"/>
      <c r="B9664" s="138" t="str">
        <f t="shared" si="806"/>
        <v>Aerated Static Pile</v>
      </c>
      <c r="C9664" s="138" t="str">
        <f t="shared" si="807"/>
        <v>Base_With Amendment</v>
      </c>
      <c r="D9664" s="138" t="str">
        <f t="shared" si="804"/>
        <v>Base_High</v>
      </c>
      <c r="E9664" s="138" t="str">
        <f t="shared" si="803"/>
        <v>Low</v>
      </c>
      <c r="F9664" s="138" t="str">
        <f t="shared" si="808"/>
        <v>Upgraded</v>
      </c>
      <c r="G9664" s="153"/>
      <c r="H9664" s="210">
        <v>-4.8095999999999997</v>
      </c>
      <c r="I9664" s="160" t="s">
        <v>149</v>
      </c>
      <c r="J9664" s="160">
        <v>-3.8870000000000002E-2</v>
      </c>
      <c r="K9664" s="160" t="s">
        <v>24</v>
      </c>
      <c r="L9664" s="154" t="str">
        <f>IF(OpenLCAbasic!K9664="CTUh", "Fill in Manually",IF(OR(K9664="Unit", K9664=""), "", INDEX(LookUps!$E$5:$E$12, MATCH(OpenLCAbasic!K9664,LookUps!$D$5:$D$12,0))))</f>
        <v>Acidification Potential (AP) - kg SO2 eq</v>
      </c>
      <c r="M9664" s="154" t="str">
        <f t="shared" si="805"/>
        <v>Low_Base_High_Upgraded_Acidification Potential (AP) - kg SO2 eq_Anaerobic Digestion; wastewater treatment unit; at updated plant - US_Base_With Amendment_Aerated Static Pile</v>
      </c>
    </row>
    <row r="9665" spans="1:13" s="120" customFormat="1" x14ac:dyDescent="0.25">
      <c r="A9665" s="119"/>
      <c r="B9665" s="138" t="str">
        <f t="shared" si="806"/>
        <v/>
      </c>
      <c r="C9665" s="138" t="str">
        <f t="shared" si="807"/>
        <v/>
      </c>
      <c r="D9665" s="138" t="str">
        <f t="shared" si="804"/>
        <v/>
      </c>
      <c r="E9665" s="138" t="str">
        <f t="shared" si="803"/>
        <v/>
      </c>
      <c r="F9665" s="138" t="str">
        <f t="shared" si="808"/>
        <v/>
      </c>
      <c r="G9665" s="153" t="s">
        <v>51</v>
      </c>
      <c r="H9665" s="160"/>
      <c r="I9665" s="160" t="s">
        <v>47</v>
      </c>
      <c r="J9665" s="160" t="s">
        <v>52</v>
      </c>
      <c r="K9665" s="160" t="s">
        <v>27</v>
      </c>
      <c r="L9665" s="154" t="str">
        <f>IF(OpenLCAbasic!K9665="CTUh", "Fill in Manually",IF(OR(K9665="Unit", K9665=""), "", INDEX(LookUps!$E$5:$E$12, MATCH(OpenLCAbasic!K9665,LookUps!$D$5:$D$12,0))))</f>
        <v/>
      </c>
      <c r="M9665" s="154" t="str">
        <f t="shared" si="805"/>
        <v>____Process__</v>
      </c>
    </row>
    <row r="9666" spans="1:13" s="120" customFormat="1" x14ac:dyDescent="0.25">
      <c r="A9666" s="119"/>
      <c r="B9666" s="138" t="str">
        <f t="shared" si="806"/>
        <v>Aerated Static Pile</v>
      </c>
      <c r="C9666" s="138" t="str">
        <f t="shared" si="807"/>
        <v>Base_With Amendment</v>
      </c>
      <c r="D9666" s="138" t="str">
        <f t="shared" si="804"/>
        <v>Base_High</v>
      </c>
      <c r="E9666" s="138" t="str">
        <f t="shared" si="803"/>
        <v>Low</v>
      </c>
      <c r="F9666" s="138" t="str">
        <f t="shared" si="808"/>
        <v>Upgraded</v>
      </c>
      <c r="G9666" s="153"/>
      <c r="H9666" s="210">
        <v>2.5720000000000001</v>
      </c>
      <c r="I9666" s="160" t="s">
        <v>55</v>
      </c>
      <c r="J9666" s="160">
        <v>3.5330499999999998</v>
      </c>
      <c r="K9666" s="160" t="s">
        <v>15</v>
      </c>
      <c r="L9666" s="154" t="str">
        <f>IF(OpenLCAbasic!K9666="CTUh", "Fill in Manually",IF(OR(K9666="Unit", K9666=""), "", INDEX(LookUps!$E$5:$E$12, MATCH(OpenLCAbasic!K9666,LookUps!$D$5:$D$12,0))))</f>
        <v>Cumulative Energy Demand (CED) - MJ</v>
      </c>
      <c r="M9666" s="154" t="str">
        <f t="shared" si="805"/>
        <v>Low_Base_High_Upgraded_Cumulative Energy Demand (CED) - MJ_Aeration Tanks; wastewater treatment unit; at updated plant - US_Base_With Amendment_Aerated Static Pile</v>
      </c>
    </row>
    <row r="9667" spans="1:13" s="120" customFormat="1" x14ac:dyDescent="0.25">
      <c r="A9667" s="119"/>
      <c r="B9667" s="138" t="str">
        <f t="shared" si="806"/>
        <v>Aerated Static Pile</v>
      </c>
      <c r="C9667" s="138" t="str">
        <f t="shared" si="807"/>
        <v>Base_With Amendment</v>
      </c>
      <c r="D9667" s="138" t="str">
        <f t="shared" si="804"/>
        <v>Base_High</v>
      </c>
      <c r="E9667" s="138" t="str">
        <f t="shared" si="803"/>
        <v>Low</v>
      </c>
      <c r="F9667" s="138" t="str">
        <f t="shared" si="808"/>
        <v>Upgraded</v>
      </c>
      <c r="G9667" s="153"/>
      <c r="H9667" s="210">
        <v>2.5467</v>
      </c>
      <c r="I9667" s="160" t="s">
        <v>167</v>
      </c>
      <c r="J9667" s="160">
        <v>3.4982700000000002</v>
      </c>
      <c r="K9667" s="160" t="s">
        <v>15</v>
      </c>
      <c r="L9667" s="154" t="str">
        <f>IF(OpenLCAbasic!K9667="CTUh", "Fill in Manually",IF(OR(K9667="Unit", K9667=""), "", INDEX(LookUps!$E$5:$E$12, MATCH(OpenLCAbasic!K9667,LookUps!$D$5:$D$12,0))))</f>
        <v>Cumulative Energy Demand (CED) - MJ</v>
      </c>
      <c r="M9667" s="154" t="str">
        <f t="shared" si="805"/>
        <v>Low_Base_High_Upgraded_Cumulative Energy Demand (CED) - MJ_Waste Receiving and Holding; wastewater treatment unit; at updated plant - US_Base_With Amendment_Aerated Static Pile</v>
      </c>
    </row>
    <row r="9668" spans="1:13" s="120" customFormat="1" x14ac:dyDescent="0.25">
      <c r="A9668" s="119"/>
      <c r="B9668" s="138" t="str">
        <f t="shared" si="806"/>
        <v>Aerated Static Pile</v>
      </c>
      <c r="C9668" s="138" t="str">
        <f t="shared" si="807"/>
        <v>Base_With Amendment</v>
      </c>
      <c r="D9668" s="138" t="str">
        <f t="shared" si="804"/>
        <v>Base_High</v>
      </c>
      <c r="E9668" s="138" t="str">
        <f t="shared" si="803"/>
        <v>Low</v>
      </c>
      <c r="F9668" s="138" t="str">
        <f t="shared" si="808"/>
        <v>Upgraded</v>
      </c>
      <c r="G9668" s="153"/>
      <c r="H9668" s="210">
        <v>0.85499999999999998</v>
      </c>
      <c r="I9668" s="160" t="s">
        <v>435</v>
      </c>
      <c r="J9668" s="160">
        <v>1.17442</v>
      </c>
      <c r="K9668" s="160" t="s">
        <v>15</v>
      </c>
      <c r="L9668" s="154" t="str">
        <f>IF(OpenLCAbasic!K9668="CTUh", "Fill in Manually",IF(OR(K9668="Unit", K9668=""), "", INDEX(LookUps!$E$5:$E$12, MATCH(OpenLCAbasic!K9668,LookUps!$D$5:$D$12,0))))</f>
        <v>Cumulative Energy Demand (CED) - MJ</v>
      </c>
      <c r="M9668" s="154" t="str">
        <f t="shared" si="805"/>
        <v>Low_Base_High_Upgraded_Cumulative Energy Demand (CED) - MJ_Biosolids composting; aerated static pile; wastewater treatment unit; at updated plant - US_Base_With Amendment_Aerated Static Pile</v>
      </c>
    </row>
    <row r="9669" spans="1:13" s="120" customFormat="1" x14ac:dyDescent="0.25">
      <c r="A9669" s="119"/>
      <c r="B9669" s="138" t="str">
        <f t="shared" si="806"/>
        <v>Aerated Static Pile</v>
      </c>
      <c r="C9669" s="138" t="str">
        <f t="shared" si="807"/>
        <v>Base_With Amendment</v>
      </c>
      <c r="D9669" s="138" t="str">
        <f t="shared" si="804"/>
        <v>Base_High</v>
      </c>
      <c r="E9669" s="138" t="str">
        <f t="shared" si="803"/>
        <v>Low</v>
      </c>
      <c r="F9669" s="138" t="str">
        <f t="shared" si="808"/>
        <v>Upgraded</v>
      </c>
      <c r="G9669" s="153"/>
      <c r="H9669" s="210">
        <v>0.84660000000000002</v>
      </c>
      <c r="I9669" s="160" t="s">
        <v>54</v>
      </c>
      <c r="J9669" s="160">
        <v>1.16289</v>
      </c>
      <c r="K9669" s="160" t="s">
        <v>15</v>
      </c>
      <c r="L9669" s="154" t="str">
        <f>IF(OpenLCAbasic!K9669="CTUh", "Fill in Manually",IF(OR(K9669="Unit", K9669=""), "", INDEX(LookUps!$E$5:$E$12, MATCH(OpenLCAbasic!K9669,LookUps!$D$5:$D$12,0))))</f>
        <v>Cumulative Energy Demand (CED) - MJ</v>
      </c>
      <c r="M9669" s="154" t="str">
        <f t="shared" si="805"/>
        <v>Low_Base_High_Upgraded_Cumulative Energy Demand (CED) - MJ_Clear Cove Primary Clarification; wastewater treatment unit; at updated plant - US_Base_With Amendment_Aerated Static Pile</v>
      </c>
    </row>
    <row r="9670" spans="1:13" s="120" customFormat="1" x14ac:dyDescent="0.25">
      <c r="A9670" s="119"/>
      <c r="B9670" s="138" t="str">
        <f t="shared" si="806"/>
        <v>Aerated Static Pile</v>
      </c>
      <c r="C9670" s="138" t="str">
        <f t="shared" si="807"/>
        <v>Base_With Amendment</v>
      </c>
      <c r="D9670" s="138" t="str">
        <f t="shared" si="804"/>
        <v>Base_High</v>
      </c>
      <c r="E9670" s="138" t="str">
        <f t="shared" si="803"/>
        <v>Low</v>
      </c>
      <c r="F9670" s="138" t="str">
        <f t="shared" si="808"/>
        <v>Upgraded</v>
      </c>
      <c r="G9670" s="153"/>
      <c r="H9670" s="210">
        <v>0.64370000000000005</v>
      </c>
      <c r="I9670" s="160" t="s">
        <v>58</v>
      </c>
      <c r="J9670" s="160">
        <v>0.88417000000000001</v>
      </c>
      <c r="K9670" s="160" t="s">
        <v>15</v>
      </c>
      <c r="L9670" s="154" t="str">
        <f>IF(OpenLCAbasic!K9670="CTUh", "Fill in Manually",IF(OR(K9670="Unit", K9670=""), "", INDEX(LookUps!$E$5:$E$12, MATCH(OpenLCAbasic!K9670,LookUps!$D$5:$D$12,0))))</f>
        <v>Cumulative Energy Demand (CED) - MJ</v>
      </c>
      <c r="M9670" s="154" t="str">
        <f t="shared" si="805"/>
        <v>Low_Base_High_Upgraded_Cumulative Energy Demand (CED) - MJ_Pre-Anoxic &amp; Swing tank; wastewater treatment unit; at updated plant - US_Base_With Amendment_Aerated Static Pile</v>
      </c>
    </row>
    <row r="9671" spans="1:13" s="120" customFormat="1" x14ac:dyDescent="0.25">
      <c r="A9671" s="119"/>
      <c r="B9671" s="138" t="str">
        <f t="shared" si="806"/>
        <v>Aerated Static Pile</v>
      </c>
      <c r="C9671" s="138" t="str">
        <f t="shared" si="807"/>
        <v>Base_With Amendment</v>
      </c>
      <c r="D9671" s="138" t="str">
        <f t="shared" si="804"/>
        <v>Base_High</v>
      </c>
      <c r="E9671" s="138" t="str">
        <f t="shared" si="803"/>
        <v>Low</v>
      </c>
      <c r="F9671" s="138" t="str">
        <f t="shared" si="808"/>
        <v>Upgraded</v>
      </c>
      <c r="G9671" s="153"/>
      <c r="H9671" s="210">
        <v>0.64280000000000004</v>
      </c>
      <c r="I9671" s="160" t="s">
        <v>147</v>
      </c>
      <c r="J9671" s="160">
        <v>0.88297000000000003</v>
      </c>
      <c r="K9671" s="160" t="s">
        <v>15</v>
      </c>
      <c r="L9671" s="154" t="str">
        <f>IF(OpenLCAbasic!K9671="CTUh", "Fill in Manually",IF(OR(K9671="Unit", K9671=""), "", INDEX(LookUps!$E$5:$E$12, MATCH(OpenLCAbasic!K9671,LookUps!$D$5:$D$12,0))))</f>
        <v>Cumulative Energy Demand (CED) - MJ</v>
      </c>
      <c r="M9671" s="154" t="str">
        <f t="shared" si="805"/>
        <v>Low_Base_High_Upgraded_Cumulative Energy Demand (CED) - MJ_Influent Pump Station; wastewater treatment unit; at updated plant - US_Base_With Amendment_Aerated Static Pile</v>
      </c>
    </row>
    <row r="9672" spans="1:13" s="120" customFormat="1" x14ac:dyDescent="0.25">
      <c r="A9672" s="119"/>
      <c r="B9672" s="138" t="str">
        <f t="shared" si="806"/>
        <v>Aerated Static Pile</v>
      </c>
      <c r="C9672" s="138" t="str">
        <f t="shared" si="807"/>
        <v>Base_With Amendment</v>
      </c>
      <c r="D9672" s="138" t="str">
        <f t="shared" si="804"/>
        <v>Base_High</v>
      </c>
      <c r="E9672" s="138" t="str">
        <f t="shared" si="803"/>
        <v>Low</v>
      </c>
      <c r="F9672" s="138" t="str">
        <f t="shared" si="808"/>
        <v>Upgraded</v>
      </c>
      <c r="G9672" s="153"/>
      <c r="H9672" s="210">
        <v>0.50700000000000001</v>
      </c>
      <c r="I9672" s="160" t="s">
        <v>53</v>
      </c>
      <c r="J9672" s="160">
        <v>0.69645000000000001</v>
      </c>
      <c r="K9672" s="160" t="s">
        <v>15</v>
      </c>
      <c r="L9672" s="154" t="str">
        <f>IF(OpenLCAbasic!K9672="CTUh", "Fill in Manually",IF(OR(K9672="Unit", K9672=""), "", INDEX(LookUps!$E$5:$E$12, MATCH(OpenLCAbasic!K9672,LookUps!$D$5:$D$12,0))))</f>
        <v>Cumulative Energy Demand (CED) - MJ</v>
      </c>
      <c r="M9672" s="154" t="str">
        <f t="shared" si="805"/>
        <v>Low_Base_High_Upgraded_Cumulative Energy Demand (CED) - MJ_Wet Well and Sump Station; wastewater treatment unit; at updated plant - US_Base_With Amendment_Aerated Static Pile</v>
      </c>
    </row>
    <row r="9673" spans="1:13" s="120" customFormat="1" x14ac:dyDescent="0.25">
      <c r="A9673" s="119"/>
      <c r="B9673" s="138" t="str">
        <f t="shared" si="806"/>
        <v>Aerated Static Pile</v>
      </c>
      <c r="C9673" s="138" t="str">
        <f t="shared" si="807"/>
        <v>Base_With Amendment</v>
      </c>
      <c r="D9673" s="138" t="str">
        <f t="shared" si="804"/>
        <v>Base_High</v>
      </c>
      <c r="E9673" s="138" t="str">
        <f t="shared" si="803"/>
        <v>Low</v>
      </c>
      <c r="F9673" s="138" t="str">
        <f t="shared" si="808"/>
        <v>Upgraded</v>
      </c>
      <c r="G9673" s="153"/>
      <c r="H9673" s="210">
        <v>0.2432</v>
      </c>
      <c r="I9673" s="160" t="s">
        <v>57</v>
      </c>
      <c r="J9673" s="160">
        <v>0.33404</v>
      </c>
      <c r="K9673" s="160" t="s">
        <v>15</v>
      </c>
      <c r="L9673" s="154" t="str">
        <f>IF(OpenLCAbasic!K9673="CTUh", "Fill in Manually",IF(OR(K9673="Unit", K9673=""), "", INDEX(LookUps!$E$5:$E$12, MATCH(OpenLCAbasic!K9673,LookUps!$D$5:$D$12,0))))</f>
        <v>Cumulative Energy Demand (CED) - MJ</v>
      </c>
      <c r="M9673" s="154" t="str">
        <f t="shared" si="805"/>
        <v>Low_Base_High_Upgraded_Cumulative Energy Demand (CED) - MJ_Gravity Belt Thickener; wastewater treatment unit; at updated plant - US_Base_With Amendment_Aerated Static Pile</v>
      </c>
    </row>
    <row r="9674" spans="1:13" s="120" customFormat="1" x14ac:dyDescent="0.25">
      <c r="A9674" s="119"/>
      <c r="B9674" s="138" t="str">
        <f t="shared" si="806"/>
        <v>Aerated Static Pile</v>
      </c>
      <c r="C9674" s="138" t="str">
        <f t="shared" si="807"/>
        <v>Base_With Amendment</v>
      </c>
      <c r="D9674" s="138" t="str">
        <f t="shared" si="804"/>
        <v>Base_High</v>
      </c>
      <c r="E9674" s="138" t="str">
        <f t="shared" si="803"/>
        <v>Low</v>
      </c>
      <c r="F9674" s="138" t="str">
        <f t="shared" si="808"/>
        <v>Upgraded</v>
      </c>
      <c r="G9674" s="153"/>
      <c r="H9674" s="210">
        <v>0.20219999999999999</v>
      </c>
      <c r="I9674" s="160" t="s">
        <v>60</v>
      </c>
      <c r="J9674" s="160">
        <v>0.27775</v>
      </c>
      <c r="K9674" s="160" t="s">
        <v>15</v>
      </c>
      <c r="L9674" s="154" t="str">
        <f>IF(OpenLCAbasic!K9674="CTUh", "Fill in Manually",IF(OR(K9674="Unit", K9674=""), "", INDEX(LookUps!$E$5:$E$12, MATCH(OpenLCAbasic!K9674,LookUps!$D$5:$D$12,0))))</f>
        <v>Cumulative Energy Demand (CED) - MJ</v>
      </c>
      <c r="M9674" s="154" t="str">
        <f t="shared" si="805"/>
        <v>Low_Base_High_Upgraded_Cumulative Energy Demand (CED) - MJ_Belt filter press; wastewater treatment unit; at updated plant - US_Base_With Amendment_Aerated Static Pile</v>
      </c>
    </row>
    <row r="9675" spans="1:13" s="120" customFormat="1" x14ac:dyDescent="0.25">
      <c r="A9675" s="119"/>
      <c r="B9675" s="138" t="str">
        <f t="shared" si="806"/>
        <v>Aerated Static Pile</v>
      </c>
      <c r="C9675" s="138" t="str">
        <f t="shared" si="807"/>
        <v>Base_With Amendment</v>
      </c>
      <c r="D9675" s="138" t="str">
        <f t="shared" si="804"/>
        <v>Base_High</v>
      </c>
      <c r="E9675" s="138" t="str">
        <f t="shared" si="803"/>
        <v>Low</v>
      </c>
      <c r="F9675" s="138" t="str">
        <f t="shared" si="808"/>
        <v>Upgraded</v>
      </c>
      <c r="G9675" s="153"/>
      <c r="H9675" s="210">
        <v>0.18640000000000001</v>
      </c>
      <c r="I9675" s="160" t="s">
        <v>128</v>
      </c>
      <c r="J9675" s="160">
        <v>0.25606000000000001</v>
      </c>
      <c r="K9675" s="160" t="s">
        <v>15</v>
      </c>
      <c r="L9675" s="154" t="str">
        <f>IF(OpenLCAbasic!K9675="CTUh", "Fill in Manually",IF(OR(K9675="Unit", K9675=""), "", INDEX(LookUps!$E$5:$E$12, MATCH(OpenLCAbasic!K9675,LookUps!$D$5:$D$12,0))))</f>
        <v>Cumulative Energy Demand (CED) - MJ</v>
      </c>
      <c r="M9675" s="154" t="str">
        <f t="shared" si="805"/>
        <v>Low_Base_High_Upgraded_Cumulative Energy Demand (CED) - MJ_Wastewater collection; operation and infrastructure; m3 wastewater_Base_With Amendment_Aerated Static Pile</v>
      </c>
    </row>
    <row r="9676" spans="1:13" s="120" customFormat="1" x14ac:dyDescent="0.25">
      <c r="A9676" s="119"/>
      <c r="B9676" s="138" t="str">
        <f t="shared" si="806"/>
        <v>Aerated Static Pile</v>
      </c>
      <c r="C9676" s="138" t="str">
        <f t="shared" si="807"/>
        <v>Base_With Amendment</v>
      </c>
      <c r="D9676" s="138" t="str">
        <f t="shared" si="804"/>
        <v>Base_High</v>
      </c>
      <c r="E9676" s="138" t="str">
        <f t="shared" si="803"/>
        <v>Low</v>
      </c>
      <c r="F9676" s="138" t="str">
        <f t="shared" si="808"/>
        <v>Upgraded</v>
      </c>
      <c r="G9676" s="153"/>
      <c r="H9676" s="210">
        <v>0.10630000000000001</v>
      </c>
      <c r="I9676" s="160" t="s">
        <v>148</v>
      </c>
      <c r="J9676" s="160">
        <v>0.14599000000000001</v>
      </c>
      <c r="K9676" s="160" t="s">
        <v>15</v>
      </c>
      <c r="L9676" s="154" t="str">
        <f>IF(OpenLCAbasic!K9676="CTUh", "Fill in Manually",IF(OR(K9676="Unit", K9676=""), "", INDEX(LookUps!$E$5:$E$12, MATCH(OpenLCAbasic!K9676,LookUps!$D$5:$D$12,0))))</f>
        <v>Cumulative Energy Demand (CED) - MJ</v>
      </c>
      <c r="M9676" s="154" t="str">
        <f t="shared" si="805"/>
        <v>Low_Base_High_Upgraded_Cumulative Energy Demand (CED) - MJ_Control Building; at upgraded wastewater treatment plant - US_Base_With Amendment_Aerated Static Pile</v>
      </c>
    </row>
    <row r="9677" spans="1:13" s="120" customFormat="1" x14ac:dyDescent="0.25">
      <c r="A9677" s="119"/>
      <c r="B9677" s="138" t="str">
        <f t="shared" si="806"/>
        <v>Aerated Static Pile</v>
      </c>
      <c r="C9677" s="138" t="str">
        <f t="shared" si="807"/>
        <v>Base_With Amendment</v>
      </c>
      <c r="D9677" s="138" t="str">
        <f t="shared" si="804"/>
        <v>Base_High</v>
      </c>
      <c r="E9677" s="138" t="str">
        <f t="shared" si="803"/>
        <v>Low</v>
      </c>
      <c r="F9677" s="138" t="str">
        <f t="shared" si="808"/>
        <v>Upgraded</v>
      </c>
      <c r="G9677" s="153"/>
      <c r="H9677" s="210">
        <v>9.7000000000000003E-2</v>
      </c>
      <c r="I9677" s="160" t="s">
        <v>48</v>
      </c>
      <c r="J9677" s="160">
        <v>0.13321</v>
      </c>
      <c r="K9677" s="160" t="s">
        <v>15</v>
      </c>
      <c r="L9677" s="154" t="str">
        <f>IF(OpenLCAbasic!K9677="CTUh", "Fill in Manually",IF(OR(K9677="Unit", K9677=""), "", INDEX(LookUps!$E$5:$E$12, MATCH(OpenLCAbasic!K9677,LookUps!$D$5:$D$12,0))))</f>
        <v>Cumulative Energy Demand (CED) - MJ</v>
      </c>
      <c r="M9677" s="154" t="str">
        <f t="shared" si="805"/>
        <v>Low_Base_High_Upgraded_Cumulative Energy Demand (CED) - MJ_Effluent release; wastewater treatment unit; at surface water; m3 wastewater - US_Base_With Amendment_Aerated Static Pile</v>
      </c>
    </row>
    <row r="9678" spans="1:13" s="120" customFormat="1" x14ac:dyDescent="0.25">
      <c r="A9678" s="119"/>
      <c r="B9678" s="138" t="str">
        <f t="shared" si="806"/>
        <v>Aerated Static Pile</v>
      </c>
      <c r="C9678" s="138" t="str">
        <f t="shared" si="807"/>
        <v>Base_With Amendment</v>
      </c>
      <c r="D9678" s="138" t="str">
        <f t="shared" si="804"/>
        <v>Base_High</v>
      </c>
      <c r="E9678" s="138" t="str">
        <f t="shared" si="803"/>
        <v>Low</v>
      </c>
      <c r="F9678" s="138" t="str">
        <f t="shared" si="808"/>
        <v>Upgraded</v>
      </c>
      <c r="G9678" s="153"/>
      <c r="H9678" s="210">
        <v>7.7399999999999997E-2</v>
      </c>
      <c r="I9678" s="160" t="s">
        <v>59</v>
      </c>
      <c r="J9678" s="160">
        <v>0.10638</v>
      </c>
      <c r="K9678" s="160" t="s">
        <v>15</v>
      </c>
      <c r="L9678" s="154" t="str">
        <f>IF(OpenLCAbasic!K9678="CTUh", "Fill in Manually",IF(OR(K9678="Unit", K9678=""), "", INDEX(LookUps!$E$5:$E$12, MATCH(OpenLCAbasic!K9678,LookUps!$D$5:$D$12,0))))</f>
        <v>Cumulative Energy Demand (CED) - MJ</v>
      </c>
      <c r="M9678" s="154" t="str">
        <f t="shared" si="805"/>
        <v>Low_Base_High_Upgraded_Cumulative Energy Demand (CED) - MJ_Blend Tank; wastewater treatment unit; at updated plant - US_Base_With Amendment_Aerated Static Pile</v>
      </c>
    </row>
    <row r="9679" spans="1:13" s="120" customFormat="1" x14ac:dyDescent="0.25">
      <c r="A9679" s="119"/>
      <c r="B9679" s="138" t="str">
        <f t="shared" si="806"/>
        <v>Aerated Static Pile</v>
      </c>
      <c r="C9679" s="138" t="str">
        <f t="shared" si="807"/>
        <v>Base_With Amendment</v>
      </c>
      <c r="D9679" s="138" t="str">
        <f t="shared" si="804"/>
        <v>Base_High</v>
      </c>
      <c r="E9679" s="138" t="str">
        <f t="shared" si="803"/>
        <v>Low</v>
      </c>
      <c r="F9679" s="138" t="str">
        <f t="shared" si="808"/>
        <v>Upgraded</v>
      </c>
      <c r="G9679" s="153"/>
      <c r="H9679" s="210">
        <v>3.7100000000000001E-2</v>
      </c>
      <c r="I9679" s="160" t="s">
        <v>168</v>
      </c>
      <c r="J9679" s="160">
        <v>5.0930000000000003E-2</v>
      </c>
      <c r="K9679" s="160" t="s">
        <v>15</v>
      </c>
      <c r="L9679" s="154" t="str">
        <f>IF(OpenLCAbasic!K9679="CTUh", "Fill in Manually",IF(OR(K9679="Unit", K9679=""), "", INDEX(LookUps!$E$5:$E$12, MATCH(OpenLCAbasic!K9679,LookUps!$D$5:$D$12,0))))</f>
        <v>Cumulative Energy Demand (CED) - MJ</v>
      </c>
      <c r="M9679" s="154" t="str">
        <f t="shared" si="805"/>
        <v>Low_Base_High_Upgraded_Cumulative Energy Demand (CED) - MJ_ClearCove SCP; wastewater treatment unit; at updated plant - US_Base_With Amendment_Aerated Static Pile</v>
      </c>
    </row>
    <row r="9680" spans="1:13" s="120" customFormat="1" x14ac:dyDescent="0.25">
      <c r="A9680" s="119"/>
      <c r="B9680" s="138" t="str">
        <f t="shared" si="806"/>
        <v>Aerated Static Pile</v>
      </c>
      <c r="C9680" s="138" t="str">
        <f t="shared" si="807"/>
        <v>Base_With Amendment</v>
      </c>
      <c r="D9680" s="138" t="str">
        <f t="shared" si="804"/>
        <v>Base_High</v>
      </c>
      <c r="E9680" s="138" t="str">
        <f t="shared" si="803"/>
        <v>Low</v>
      </c>
      <c r="F9680" s="138" t="str">
        <f t="shared" si="808"/>
        <v>Upgraded</v>
      </c>
      <c r="G9680" s="153"/>
      <c r="H9680" s="210">
        <v>-0.32790000000000002</v>
      </c>
      <c r="I9680" s="160" t="s">
        <v>62</v>
      </c>
      <c r="J9680" s="160">
        <v>-0.45035999999999998</v>
      </c>
      <c r="K9680" s="160" t="s">
        <v>15</v>
      </c>
      <c r="L9680" s="154" t="str">
        <f>IF(OpenLCAbasic!K9680="CTUh", "Fill in Manually",IF(OR(K9680="Unit", K9680=""), "", INDEX(LookUps!$E$5:$E$12, MATCH(OpenLCAbasic!K9680,LookUps!$D$5:$D$12,0))))</f>
        <v>Cumulative Energy Demand (CED) - MJ</v>
      </c>
      <c r="M9680" s="154" t="str">
        <f t="shared" si="805"/>
        <v>Low_Base_High_Upgraded_Cumulative Energy Demand (CED) - MJ_Land application of compost; wastewater treatment unit; at updated plant - US_Base_With Amendment_Aerated Static Pile</v>
      </c>
    </row>
    <row r="9681" spans="1:13" s="120" customFormat="1" x14ac:dyDescent="0.25">
      <c r="A9681" s="119"/>
      <c r="B9681" s="138" t="str">
        <f t="shared" si="806"/>
        <v>Aerated Static Pile</v>
      </c>
      <c r="C9681" s="138" t="str">
        <f t="shared" si="807"/>
        <v>Base_With Amendment</v>
      </c>
      <c r="D9681" s="138" t="str">
        <f t="shared" si="804"/>
        <v>Base_High</v>
      </c>
      <c r="E9681" s="138" t="str">
        <f t="shared" si="803"/>
        <v>Low</v>
      </c>
      <c r="F9681" s="138" t="str">
        <f t="shared" si="808"/>
        <v>Upgraded</v>
      </c>
      <c r="G9681" s="153"/>
      <c r="H9681" s="210">
        <v>-8.2355</v>
      </c>
      <c r="I9681" s="160" t="s">
        <v>149</v>
      </c>
      <c r="J9681" s="160">
        <v>-11.31259</v>
      </c>
      <c r="K9681" s="160" t="s">
        <v>15</v>
      </c>
      <c r="L9681" s="154" t="str">
        <f>IF(OpenLCAbasic!K9681="CTUh", "Fill in Manually",IF(OR(K9681="Unit", K9681=""), "", INDEX(LookUps!$E$5:$E$12, MATCH(OpenLCAbasic!K9681,LookUps!$D$5:$D$12,0))))</f>
        <v>Cumulative Energy Demand (CED) - MJ</v>
      </c>
      <c r="M9681" s="154" t="str">
        <f t="shared" si="805"/>
        <v>Low_Base_High_Upgraded_Cumulative Energy Demand (CED) - MJ_Anaerobic Digestion; wastewater treatment unit; at updated plant - US_Base_With Amendment_Aerated Static Pile</v>
      </c>
    </row>
    <row r="9682" spans="1:13" s="120" customFormat="1" x14ac:dyDescent="0.25">
      <c r="A9682" s="119"/>
      <c r="B9682" s="138" t="str">
        <f t="shared" si="806"/>
        <v/>
      </c>
      <c r="C9682" s="138" t="str">
        <f t="shared" si="807"/>
        <v/>
      </c>
      <c r="D9682" s="138" t="str">
        <f t="shared" si="804"/>
        <v/>
      </c>
      <c r="E9682" s="138" t="str">
        <f t="shared" si="803"/>
        <v/>
      </c>
      <c r="F9682" s="138" t="str">
        <f t="shared" si="808"/>
        <v/>
      </c>
      <c r="G9682" s="153" t="s">
        <v>51</v>
      </c>
      <c r="H9682" s="160"/>
      <c r="I9682" s="160" t="s">
        <v>47</v>
      </c>
      <c r="J9682" s="160" t="s">
        <v>52</v>
      </c>
      <c r="K9682" s="160" t="s">
        <v>27</v>
      </c>
      <c r="L9682" s="154" t="str">
        <f>IF(OpenLCAbasic!K9682="CTUh", "Fill in Manually",IF(OR(K9682="Unit", K9682=""), "", INDEX(LookUps!$E$5:$E$12, MATCH(OpenLCAbasic!K9682,LookUps!$D$5:$D$12,0))))</f>
        <v/>
      </c>
      <c r="M9682" s="154" t="str">
        <f t="shared" si="805"/>
        <v>____Process__</v>
      </c>
    </row>
    <row r="9683" spans="1:13" s="120" customFormat="1" x14ac:dyDescent="0.25">
      <c r="A9683" s="119"/>
      <c r="B9683" s="138" t="str">
        <f t="shared" si="806"/>
        <v>Aerated Static Pile</v>
      </c>
      <c r="C9683" s="138" t="str">
        <f t="shared" si="807"/>
        <v>Base_With Amendment</v>
      </c>
      <c r="D9683" s="138" t="str">
        <f t="shared" si="804"/>
        <v>Base_High</v>
      </c>
      <c r="E9683" s="138" t="str">
        <f t="shared" si="803"/>
        <v>Low</v>
      </c>
      <c r="F9683" s="138" t="str">
        <f t="shared" si="808"/>
        <v>Upgraded</v>
      </c>
      <c r="G9683" s="153"/>
      <c r="H9683" s="210">
        <v>0.81610000000000005</v>
      </c>
      <c r="I9683" s="160" t="s">
        <v>48</v>
      </c>
      <c r="J9683" s="160">
        <v>1.1610000000000001E-2</v>
      </c>
      <c r="K9683" s="160" t="s">
        <v>13</v>
      </c>
      <c r="L9683" s="154" t="str">
        <f>IF(OpenLCAbasic!K9683="CTUh", "Fill in Manually",IF(OR(K9683="Unit", K9683=""), "", INDEX(LookUps!$E$5:$E$12, MATCH(OpenLCAbasic!K9683,LookUps!$D$5:$D$12,0))))</f>
        <v>Eutrophication Potential (EP) - kg N eq</v>
      </c>
      <c r="M9683" s="154" t="str">
        <f t="shared" si="805"/>
        <v>Low_Base_High_Upgraded_Eutrophication Potential (EP) - kg N eq_Effluent release; wastewater treatment unit; at surface water; m3 wastewater - US_Base_With Amendment_Aerated Static Pile</v>
      </c>
    </row>
    <row r="9684" spans="1:13" s="120" customFormat="1" x14ac:dyDescent="0.25">
      <c r="A9684" s="119"/>
      <c r="B9684" s="138" t="str">
        <f t="shared" si="806"/>
        <v>Aerated Static Pile</v>
      </c>
      <c r="C9684" s="138" t="str">
        <f t="shared" si="807"/>
        <v>Base_With Amendment</v>
      </c>
      <c r="D9684" s="138" t="str">
        <f t="shared" si="804"/>
        <v>Base_High</v>
      </c>
      <c r="E9684" s="138" t="str">
        <f t="shared" si="803"/>
        <v>Low</v>
      </c>
      <c r="F9684" s="138" t="str">
        <f t="shared" si="808"/>
        <v>Upgraded</v>
      </c>
      <c r="G9684" s="153"/>
      <c r="H9684" s="210">
        <v>0.14230000000000001</v>
      </c>
      <c r="I9684" s="160" t="s">
        <v>62</v>
      </c>
      <c r="J9684" s="160">
        <v>2.0200000000000001E-3</v>
      </c>
      <c r="K9684" s="160" t="s">
        <v>13</v>
      </c>
      <c r="L9684" s="154" t="str">
        <f>IF(OpenLCAbasic!K9684="CTUh", "Fill in Manually",IF(OR(K9684="Unit", K9684=""), "", INDEX(LookUps!$E$5:$E$12, MATCH(OpenLCAbasic!K9684,LookUps!$D$5:$D$12,0))))</f>
        <v>Eutrophication Potential (EP) - kg N eq</v>
      </c>
      <c r="M9684" s="154" t="str">
        <f t="shared" si="805"/>
        <v>Low_Base_High_Upgraded_Eutrophication Potential (EP) - kg N eq_Land application of compost; wastewater treatment unit; at updated plant - US_Base_With Amendment_Aerated Static Pile</v>
      </c>
    </row>
    <row r="9685" spans="1:13" s="120" customFormat="1" x14ac:dyDescent="0.25">
      <c r="A9685" s="119"/>
      <c r="B9685" s="138" t="str">
        <f t="shared" si="806"/>
        <v>Aerated Static Pile</v>
      </c>
      <c r="C9685" s="138" t="str">
        <f t="shared" si="807"/>
        <v>Base_With Amendment</v>
      </c>
      <c r="D9685" s="138" t="str">
        <f t="shared" si="804"/>
        <v>Base_High</v>
      </c>
      <c r="E9685" s="138" t="str">
        <f t="shared" si="803"/>
        <v>Low</v>
      </c>
      <c r="F9685" s="138" t="str">
        <f t="shared" si="808"/>
        <v>Upgraded</v>
      </c>
      <c r="G9685" s="153"/>
      <c r="H9685" s="210">
        <v>3.8399999999999997E-2</v>
      </c>
      <c r="I9685" s="160" t="s">
        <v>55</v>
      </c>
      <c r="J9685" s="160">
        <v>5.5000000000000003E-4</v>
      </c>
      <c r="K9685" s="160" t="s">
        <v>13</v>
      </c>
      <c r="L9685" s="154" t="str">
        <f>IF(OpenLCAbasic!K9685="CTUh", "Fill in Manually",IF(OR(K9685="Unit", K9685=""), "", INDEX(LookUps!$E$5:$E$12, MATCH(OpenLCAbasic!K9685,LookUps!$D$5:$D$12,0))))</f>
        <v>Eutrophication Potential (EP) - kg N eq</v>
      </c>
      <c r="M9685" s="154" t="str">
        <f t="shared" si="805"/>
        <v>Low_Base_High_Upgraded_Eutrophication Potential (EP) - kg N eq_Aeration Tanks; wastewater treatment unit; at updated plant - US_Base_With Amendment_Aerated Static Pile</v>
      </c>
    </row>
    <row r="9686" spans="1:13" s="120" customFormat="1" x14ac:dyDescent="0.25">
      <c r="A9686" s="119"/>
      <c r="B9686" s="138" t="str">
        <f t="shared" si="806"/>
        <v>Aerated Static Pile</v>
      </c>
      <c r="C9686" s="138" t="str">
        <f t="shared" si="807"/>
        <v>Base_With Amendment</v>
      </c>
      <c r="D9686" s="138" t="str">
        <f t="shared" si="804"/>
        <v>Base_High</v>
      </c>
      <c r="E9686" s="138" t="str">
        <f t="shared" si="803"/>
        <v>Low</v>
      </c>
      <c r="F9686" s="138" t="str">
        <f t="shared" si="808"/>
        <v>Upgraded</v>
      </c>
      <c r="G9686" s="153"/>
      <c r="H9686" s="210">
        <v>1.7500000000000002E-2</v>
      </c>
      <c r="I9686" s="160" t="s">
        <v>147</v>
      </c>
      <c r="J9686" s="160">
        <v>2.5000000000000001E-4</v>
      </c>
      <c r="K9686" s="160" t="s">
        <v>13</v>
      </c>
      <c r="L9686" s="154" t="str">
        <f>IF(OpenLCAbasic!K9686="CTUh", "Fill in Manually",IF(OR(K9686="Unit", K9686=""), "", INDEX(LookUps!$E$5:$E$12, MATCH(OpenLCAbasic!K9686,LookUps!$D$5:$D$12,0))))</f>
        <v>Eutrophication Potential (EP) - kg N eq</v>
      </c>
      <c r="M9686" s="154" t="str">
        <f t="shared" si="805"/>
        <v>Low_Base_High_Upgraded_Eutrophication Potential (EP) - kg N eq_Influent Pump Station; wastewater treatment unit; at updated plant - US_Base_With Amendment_Aerated Static Pile</v>
      </c>
    </row>
    <row r="9687" spans="1:13" s="120" customFormat="1" x14ac:dyDescent="0.25">
      <c r="A9687" s="119"/>
      <c r="B9687" s="138" t="str">
        <f t="shared" si="806"/>
        <v>Aerated Static Pile</v>
      </c>
      <c r="C9687" s="138" t="str">
        <f t="shared" si="807"/>
        <v>Base_With Amendment</v>
      </c>
      <c r="D9687" s="138" t="str">
        <f t="shared" si="804"/>
        <v>Base_High</v>
      </c>
      <c r="E9687" s="138" t="str">
        <f t="shared" si="803"/>
        <v>Low</v>
      </c>
      <c r="F9687" s="138" t="str">
        <f t="shared" si="808"/>
        <v>Upgraded</v>
      </c>
      <c r="G9687" s="153"/>
      <c r="H9687" s="210">
        <v>1.3899999999999999E-2</v>
      </c>
      <c r="I9687" s="160" t="s">
        <v>54</v>
      </c>
      <c r="J9687" s="160">
        <v>2.0000000000000001E-4</v>
      </c>
      <c r="K9687" s="160" t="s">
        <v>13</v>
      </c>
      <c r="L9687" s="154" t="str">
        <f>IF(OpenLCAbasic!K9687="CTUh", "Fill in Manually",IF(OR(K9687="Unit", K9687=""), "", INDEX(LookUps!$E$5:$E$12, MATCH(OpenLCAbasic!K9687,LookUps!$D$5:$D$12,0))))</f>
        <v>Eutrophication Potential (EP) - kg N eq</v>
      </c>
      <c r="M9687" s="154" t="str">
        <f t="shared" si="805"/>
        <v>Low_Base_High_Upgraded_Eutrophication Potential (EP) - kg N eq_Clear Cove Primary Clarification; wastewater treatment unit; at updated plant - US_Base_With Amendment_Aerated Static Pile</v>
      </c>
    </row>
    <row r="9688" spans="1:13" s="120" customFormat="1" x14ac:dyDescent="0.25">
      <c r="A9688" s="119"/>
      <c r="B9688" s="138" t="str">
        <f t="shared" si="806"/>
        <v>Aerated Static Pile</v>
      </c>
      <c r="C9688" s="138" t="str">
        <f t="shared" si="807"/>
        <v>Base_With Amendment</v>
      </c>
      <c r="D9688" s="138" t="str">
        <f t="shared" si="804"/>
        <v>Base_High</v>
      </c>
      <c r="E9688" s="138" t="str">
        <f t="shared" si="803"/>
        <v>Low</v>
      </c>
      <c r="F9688" s="138" t="str">
        <f t="shared" si="808"/>
        <v>Upgraded</v>
      </c>
      <c r="G9688" s="153"/>
      <c r="H9688" s="210">
        <v>1.26E-2</v>
      </c>
      <c r="I9688" s="160" t="s">
        <v>435</v>
      </c>
      <c r="J9688" s="160">
        <v>1.8000000000000001E-4</v>
      </c>
      <c r="K9688" s="160" t="s">
        <v>13</v>
      </c>
      <c r="L9688" s="154" t="str">
        <f>IF(OpenLCAbasic!K9688="CTUh", "Fill in Manually",IF(OR(K9688="Unit", K9688=""), "", INDEX(LookUps!$E$5:$E$12, MATCH(OpenLCAbasic!K9688,LookUps!$D$5:$D$12,0))))</f>
        <v>Eutrophication Potential (EP) - kg N eq</v>
      </c>
      <c r="M9688" s="154" t="str">
        <f t="shared" si="805"/>
        <v>Low_Base_High_Upgraded_Eutrophication Potential (EP) - kg N eq_Biosolids composting; aerated static pile; wastewater treatment unit; at updated plant - US_Base_With Amendment_Aerated Static Pile</v>
      </c>
    </row>
    <row r="9689" spans="1:13" s="120" customFormat="1" x14ac:dyDescent="0.25">
      <c r="A9689" s="119"/>
      <c r="B9689" s="138" t="str">
        <f t="shared" si="806"/>
        <v>Aerated Static Pile</v>
      </c>
      <c r="C9689" s="138" t="str">
        <f t="shared" si="807"/>
        <v>Base_With Amendment</v>
      </c>
      <c r="D9689" s="138" t="str">
        <f t="shared" si="804"/>
        <v>Base_High</v>
      </c>
      <c r="E9689" s="138" t="str">
        <f t="shared" si="803"/>
        <v>Low</v>
      </c>
      <c r="F9689" s="138" t="str">
        <f t="shared" si="808"/>
        <v>Upgraded</v>
      </c>
      <c r="G9689" s="153"/>
      <c r="H9689" s="210">
        <v>1.15E-2</v>
      </c>
      <c r="I9689" s="160" t="s">
        <v>167</v>
      </c>
      <c r="J9689" s="160">
        <v>1.6000000000000001E-4</v>
      </c>
      <c r="K9689" s="160" t="s">
        <v>13</v>
      </c>
      <c r="L9689" s="154" t="str">
        <f>IF(OpenLCAbasic!K9689="CTUh", "Fill in Manually",IF(OR(K9689="Unit", K9689=""), "", INDEX(LookUps!$E$5:$E$12, MATCH(OpenLCAbasic!K9689,LookUps!$D$5:$D$12,0))))</f>
        <v>Eutrophication Potential (EP) - kg N eq</v>
      </c>
      <c r="M9689" s="154" t="str">
        <f t="shared" si="805"/>
        <v>Low_Base_High_Upgraded_Eutrophication Potential (EP) - kg N eq_Waste Receiving and Holding; wastewater treatment unit; at updated plant - US_Base_With Amendment_Aerated Static Pile</v>
      </c>
    </row>
    <row r="9690" spans="1:13" s="120" customFormat="1" x14ac:dyDescent="0.25">
      <c r="A9690" s="119"/>
      <c r="B9690" s="138" t="str">
        <f t="shared" si="806"/>
        <v>Aerated Static Pile</v>
      </c>
      <c r="C9690" s="138" t="str">
        <f t="shared" si="807"/>
        <v>Base_With Amendment</v>
      </c>
      <c r="D9690" s="138" t="str">
        <f t="shared" si="804"/>
        <v>Base_High</v>
      </c>
      <c r="E9690" s="138" t="str">
        <f t="shared" si="803"/>
        <v>Low</v>
      </c>
      <c r="F9690" s="138" t="str">
        <f t="shared" si="808"/>
        <v>Upgraded</v>
      </c>
      <c r="G9690" s="153"/>
      <c r="H9690" s="210">
        <v>9.4999999999999998E-3</v>
      </c>
      <c r="I9690" s="160" t="s">
        <v>58</v>
      </c>
      <c r="J9690" s="160">
        <v>1.3999999999999999E-4</v>
      </c>
      <c r="K9690" s="160" t="s">
        <v>13</v>
      </c>
      <c r="L9690" s="154" t="str">
        <f>IF(OpenLCAbasic!K9690="CTUh", "Fill in Manually",IF(OR(K9690="Unit", K9690=""), "", INDEX(LookUps!$E$5:$E$12, MATCH(OpenLCAbasic!K9690,LookUps!$D$5:$D$12,0))))</f>
        <v>Eutrophication Potential (EP) - kg N eq</v>
      </c>
      <c r="M9690" s="154" t="str">
        <f t="shared" si="805"/>
        <v>Low_Base_High_Upgraded_Eutrophication Potential (EP) - kg N eq_Pre-Anoxic &amp; Swing tank; wastewater treatment unit; at updated plant - US_Base_With Amendment_Aerated Static Pile</v>
      </c>
    </row>
    <row r="9691" spans="1:13" s="120" customFormat="1" x14ac:dyDescent="0.25">
      <c r="A9691" s="119"/>
      <c r="B9691" s="138" t="str">
        <f t="shared" si="806"/>
        <v>Aerated Static Pile</v>
      </c>
      <c r="C9691" s="138" t="str">
        <f t="shared" si="807"/>
        <v>Base_With Amendment</v>
      </c>
      <c r="D9691" s="138" t="str">
        <f t="shared" si="804"/>
        <v>Base_High</v>
      </c>
      <c r="E9691" s="138" t="str">
        <f t="shared" si="803"/>
        <v>Low</v>
      </c>
      <c r="F9691" s="138" t="str">
        <f t="shared" si="808"/>
        <v>Upgraded</v>
      </c>
      <c r="G9691" s="153"/>
      <c r="H9691" s="210">
        <v>7.6E-3</v>
      </c>
      <c r="I9691" s="160" t="s">
        <v>53</v>
      </c>
      <c r="J9691" s="160">
        <v>1.1E-4</v>
      </c>
      <c r="K9691" s="160" t="s">
        <v>13</v>
      </c>
      <c r="L9691" s="154" t="str">
        <f>IF(OpenLCAbasic!K9691="CTUh", "Fill in Manually",IF(OR(K9691="Unit", K9691=""), "", INDEX(LookUps!$E$5:$E$12, MATCH(OpenLCAbasic!K9691,LookUps!$D$5:$D$12,0))))</f>
        <v>Eutrophication Potential (EP) - kg N eq</v>
      </c>
      <c r="M9691" s="154" t="str">
        <f t="shared" si="805"/>
        <v>Low_Base_High_Upgraded_Eutrophication Potential (EP) - kg N eq_Wet Well and Sump Station; wastewater treatment unit; at updated plant - US_Base_With Amendment_Aerated Static Pile</v>
      </c>
    </row>
    <row r="9692" spans="1:13" s="120" customFormat="1" x14ac:dyDescent="0.25">
      <c r="A9692" s="119"/>
      <c r="B9692" s="138" t="str">
        <f t="shared" si="806"/>
        <v>Aerated Static Pile</v>
      </c>
      <c r="C9692" s="138" t="str">
        <f t="shared" si="807"/>
        <v>Base_With Amendment</v>
      </c>
      <c r="D9692" s="138" t="str">
        <f t="shared" si="804"/>
        <v>Base_High</v>
      </c>
      <c r="E9692" s="138" t="str">
        <f t="shared" si="803"/>
        <v>Low</v>
      </c>
      <c r="F9692" s="138" t="str">
        <f t="shared" si="808"/>
        <v>Upgraded</v>
      </c>
      <c r="G9692" s="153"/>
      <c r="H9692" s="210">
        <v>4.3E-3</v>
      </c>
      <c r="I9692" s="160" t="s">
        <v>57</v>
      </c>
      <c r="J9692" s="211">
        <v>6.0590300000000002E-5</v>
      </c>
      <c r="K9692" s="160" t="s">
        <v>13</v>
      </c>
      <c r="L9692" s="154" t="str">
        <f>IF(OpenLCAbasic!K9692="CTUh", "Fill in Manually",IF(OR(K9692="Unit", K9692=""), "", INDEX(LookUps!$E$5:$E$12, MATCH(OpenLCAbasic!K9692,LookUps!$D$5:$D$12,0))))</f>
        <v>Eutrophication Potential (EP) - kg N eq</v>
      </c>
      <c r="M9692" s="154" t="str">
        <f t="shared" si="805"/>
        <v>Low_Base_High_Upgraded_Eutrophication Potential (EP) - kg N eq_Gravity Belt Thickener; wastewater treatment unit; at updated plant - US_Base_With Amendment_Aerated Static Pile</v>
      </c>
    </row>
    <row r="9693" spans="1:13" s="120" customFormat="1" x14ac:dyDescent="0.25">
      <c r="A9693" s="119"/>
      <c r="B9693" s="138" t="str">
        <f t="shared" si="806"/>
        <v>Aerated Static Pile</v>
      </c>
      <c r="C9693" s="138" t="str">
        <f t="shared" si="807"/>
        <v>Base_With Amendment</v>
      </c>
      <c r="D9693" s="138" t="str">
        <f t="shared" si="804"/>
        <v>Base_High</v>
      </c>
      <c r="E9693" s="138" t="str">
        <f t="shared" si="803"/>
        <v>Low</v>
      </c>
      <c r="F9693" s="138" t="str">
        <f t="shared" si="808"/>
        <v>Upgraded</v>
      </c>
      <c r="G9693" s="153"/>
      <c r="H9693" s="210">
        <v>3.3999999999999998E-3</v>
      </c>
      <c r="I9693" s="160" t="s">
        <v>60</v>
      </c>
      <c r="J9693" s="211">
        <v>4.8791500000000002E-5</v>
      </c>
      <c r="K9693" s="160" t="s">
        <v>13</v>
      </c>
      <c r="L9693" s="154" t="str">
        <f>IF(OpenLCAbasic!K9693="CTUh", "Fill in Manually",IF(OR(K9693="Unit", K9693=""), "", INDEX(LookUps!$E$5:$E$12, MATCH(OpenLCAbasic!K9693,LookUps!$D$5:$D$12,0))))</f>
        <v>Eutrophication Potential (EP) - kg N eq</v>
      </c>
      <c r="M9693" s="154" t="str">
        <f t="shared" si="805"/>
        <v>Low_Base_High_Upgraded_Eutrophication Potential (EP) - kg N eq_Belt filter press; wastewater treatment unit; at updated plant - US_Base_With Amendment_Aerated Static Pile</v>
      </c>
    </row>
    <row r="9694" spans="1:13" s="120" customFormat="1" x14ac:dyDescent="0.25">
      <c r="A9694" s="119"/>
      <c r="B9694" s="138" t="str">
        <f t="shared" si="806"/>
        <v>Aerated Static Pile</v>
      </c>
      <c r="C9694" s="138" t="str">
        <f t="shared" si="807"/>
        <v>Base_With Amendment</v>
      </c>
      <c r="D9694" s="138" t="str">
        <f t="shared" si="804"/>
        <v>Base_High</v>
      </c>
      <c r="E9694" s="138" t="str">
        <f t="shared" si="803"/>
        <v>Low</v>
      </c>
      <c r="F9694" s="138" t="str">
        <f t="shared" si="808"/>
        <v>Upgraded</v>
      </c>
      <c r="G9694" s="153"/>
      <c r="H9694" s="210">
        <v>2.5999999999999999E-3</v>
      </c>
      <c r="I9694" s="160" t="s">
        <v>128</v>
      </c>
      <c r="J9694" s="211">
        <v>3.7559799999999999E-5</v>
      </c>
      <c r="K9694" s="160" t="s">
        <v>13</v>
      </c>
      <c r="L9694" s="154" t="str">
        <f>IF(OpenLCAbasic!K9694="CTUh", "Fill in Manually",IF(OR(K9694="Unit", K9694=""), "", INDEX(LookUps!$E$5:$E$12, MATCH(OpenLCAbasic!K9694,LookUps!$D$5:$D$12,0))))</f>
        <v>Eutrophication Potential (EP) - kg N eq</v>
      </c>
      <c r="M9694" s="154" t="str">
        <f t="shared" si="805"/>
        <v>Low_Base_High_Upgraded_Eutrophication Potential (EP) - kg N eq_Wastewater collection; operation and infrastructure; m3 wastewater_Base_With Amendment_Aerated Static Pile</v>
      </c>
    </row>
    <row r="9695" spans="1:13" s="120" customFormat="1" x14ac:dyDescent="0.25">
      <c r="A9695" s="119"/>
      <c r="B9695" s="138" t="str">
        <f t="shared" si="806"/>
        <v>Aerated Static Pile</v>
      </c>
      <c r="C9695" s="138" t="str">
        <f t="shared" si="807"/>
        <v>Base_With Amendment</v>
      </c>
      <c r="D9695" s="138" t="str">
        <f t="shared" si="804"/>
        <v>Base_High</v>
      </c>
      <c r="E9695" s="138" t="str">
        <f t="shared" si="803"/>
        <v>Low</v>
      </c>
      <c r="F9695" s="138" t="str">
        <f t="shared" si="808"/>
        <v>Upgraded</v>
      </c>
      <c r="G9695" s="153"/>
      <c r="H9695" s="210">
        <v>2.5999999999999999E-3</v>
      </c>
      <c r="I9695" s="160" t="s">
        <v>148</v>
      </c>
      <c r="J9695" s="211">
        <v>3.6874600000000001E-5</v>
      </c>
      <c r="K9695" s="160" t="s">
        <v>13</v>
      </c>
      <c r="L9695" s="154" t="str">
        <f>IF(OpenLCAbasic!K9695="CTUh", "Fill in Manually",IF(OR(K9695="Unit", K9695=""), "", INDEX(LookUps!$E$5:$E$12, MATCH(OpenLCAbasic!K9695,LookUps!$D$5:$D$12,0))))</f>
        <v>Eutrophication Potential (EP) - kg N eq</v>
      </c>
      <c r="M9695" s="154" t="str">
        <f t="shared" si="805"/>
        <v>Low_Base_High_Upgraded_Eutrophication Potential (EP) - kg N eq_Control Building; at upgraded wastewater treatment plant - US_Base_With Amendment_Aerated Static Pile</v>
      </c>
    </row>
    <row r="9696" spans="1:13" s="120" customFormat="1" x14ac:dyDescent="0.25">
      <c r="A9696" s="119"/>
      <c r="B9696" s="138" t="str">
        <f t="shared" si="806"/>
        <v>Aerated Static Pile</v>
      </c>
      <c r="C9696" s="138" t="str">
        <f t="shared" si="807"/>
        <v>Base_With Amendment</v>
      </c>
      <c r="D9696" s="138" t="str">
        <f t="shared" si="804"/>
        <v>Base_High</v>
      </c>
      <c r="E9696" s="138" t="str">
        <f t="shared" si="803"/>
        <v>Low</v>
      </c>
      <c r="F9696" s="138" t="str">
        <f t="shared" si="808"/>
        <v>Upgraded</v>
      </c>
      <c r="G9696" s="153"/>
      <c r="H9696" s="210">
        <v>1.1000000000000001E-3</v>
      </c>
      <c r="I9696" s="160" t="s">
        <v>59</v>
      </c>
      <c r="J9696" s="211">
        <v>1.6215700000000001E-5</v>
      </c>
      <c r="K9696" s="160" t="s">
        <v>13</v>
      </c>
      <c r="L9696" s="154" t="str">
        <f>IF(OpenLCAbasic!K9696="CTUh", "Fill in Manually",IF(OR(K9696="Unit", K9696=""), "", INDEX(LookUps!$E$5:$E$12, MATCH(OpenLCAbasic!K9696,LookUps!$D$5:$D$12,0))))</f>
        <v>Eutrophication Potential (EP) - kg N eq</v>
      </c>
      <c r="M9696" s="154" t="str">
        <f t="shared" si="805"/>
        <v>Low_Base_High_Upgraded_Eutrophication Potential (EP) - kg N eq_Blend Tank; wastewater treatment unit; at updated plant - US_Base_With Amendment_Aerated Static Pile</v>
      </c>
    </row>
    <row r="9697" spans="1:13" s="120" customFormat="1" x14ac:dyDescent="0.25">
      <c r="A9697" s="119"/>
      <c r="B9697" s="138" t="str">
        <f t="shared" si="806"/>
        <v>Aerated Static Pile</v>
      </c>
      <c r="C9697" s="138" t="str">
        <f t="shared" si="807"/>
        <v>Base_With Amendment</v>
      </c>
      <c r="D9697" s="138" t="str">
        <f t="shared" si="804"/>
        <v>Base_High</v>
      </c>
      <c r="E9697" s="138" t="str">
        <f t="shared" si="803"/>
        <v>Low</v>
      </c>
      <c r="F9697" s="138" t="str">
        <f t="shared" si="808"/>
        <v>Upgraded</v>
      </c>
      <c r="G9697" s="153"/>
      <c r="H9697" s="210">
        <v>5.0000000000000001E-4</v>
      </c>
      <c r="I9697" s="160" t="s">
        <v>168</v>
      </c>
      <c r="J9697" s="211">
        <v>7.7567199999999995E-6</v>
      </c>
      <c r="K9697" s="160" t="s">
        <v>13</v>
      </c>
      <c r="L9697" s="154" t="str">
        <f>IF(OpenLCAbasic!K9697="CTUh", "Fill in Manually",IF(OR(K9697="Unit", K9697=""), "", INDEX(LookUps!$E$5:$E$12, MATCH(OpenLCAbasic!K9697,LookUps!$D$5:$D$12,0))))</f>
        <v>Eutrophication Potential (EP) - kg N eq</v>
      </c>
      <c r="M9697" s="154" t="str">
        <f t="shared" si="805"/>
        <v>Low_Base_High_Upgraded_Eutrophication Potential (EP) - kg N eq_ClearCove SCP; wastewater treatment unit; at updated plant - US_Base_With Amendment_Aerated Static Pile</v>
      </c>
    </row>
    <row r="9698" spans="1:13" s="120" customFormat="1" x14ac:dyDescent="0.25">
      <c r="A9698" s="119"/>
      <c r="B9698" s="138" t="str">
        <f t="shared" si="806"/>
        <v>Aerated Static Pile</v>
      </c>
      <c r="C9698" s="138" t="str">
        <f t="shared" si="807"/>
        <v>Base_With Amendment</v>
      </c>
      <c r="D9698" s="138" t="str">
        <f t="shared" si="804"/>
        <v>Base_High</v>
      </c>
      <c r="E9698" s="138" t="str">
        <f t="shared" si="803"/>
        <v>Low</v>
      </c>
      <c r="F9698" s="138" t="str">
        <f t="shared" si="808"/>
        <v>Upgraded</v>
      </c>
      <c r="G9698" s="153"/>
      <c r="H9698" s="210">
        <v>-8.4099999999999994E-2</v>
      </c>
      <c r="I9698" s="160" t="s">
        <v>149</v>
      </c>
      <c r="J9698" s="160">
        <v>-1.1999999999999999E-3</v>
      </c>
      <c r="K9698" s="160" t="s">
        <v>13</v>
      </c>
      <c r="L9698" s="154" t="str">
        <f>IF(OpenLCAbasic!K9698="CTUh", "Fill in Manually",IF(OR(K9698="Unit", K9698=""), "", INDEX(LookUps!$E$5:$E$12, MATCH(OpenLCAbasic!K9698,LookUps!$D$5:$D$12,0))))</f>
        <v>Eutrophication Potential (EP) - kg N eq</v>
      </c>
      <c r="M9698" s="154" t="str">
        <f t="shared" si="805"/>
        <v>Low_Base_High_Upgraded_Eutrophication Potential (EP) - kg N eq_Anaerobic Digestion; wastewater treatment unit; at updated plant - US_Base_With Amendment_Aerated Static Pile</v>
      </c>
    </row>
    <row r="9699" spans="1:13" s="120" customFormat="1" x14ac:dyDescent="0.25">
      <c r="A9699" s="119"/>
      <c r="B9699" s="138" t="str">
        <f t="shared" si="806"/>
        <v/>
      </c>
      <c r="C9699" s="138" t="str">
        <f t="shared" si="807"/>
        <v/>
      </c>
      <c r="D9699" s="138" t="str">
        <f t="shared" si="804"/>
        <v/>
      </c>
      <c r="E9699" s="138" t="str">
        <f t="shared" si="803"/>
        <v/>
      </c>
      <c r="F9699" s="138" t="str">
        <f t="shared" si="808"/>
        <v/>
      </c>
      <c r="G9699" s="153" t="s">
        <v>51</v>
      </c>
      <c r="H9699" s="160"/>
      <c r="I9699" s="160" t="s">
        <v>47</v>
      </c>
      <c r="J9699" s="160" t="s">
        <v>52</v>
      </c>
      <c r="K9699" s="160" t="s">
        <v>27</v>
      </c>
      <c r="L9699" s="154" t="str">
        <f>IF(OpenLCAbasic!K9699="CTUh", "Fill in Manually",IF(OR(K9699="Unit", K9699=""), "", INDEX(LookUps!$E$5:$E$12, MATCH(OpenLCAbasic!K9699,LookUps!$D$5:$D$12,0))))</f>
        <v/>
      </c>
      <c r="M9699" s="154" t="str">
        <f t="shared" si="805"/>
        <v>____Process__</v>
      </c>
    </row>
    <row r="9700" spans="1:13" s="120" customFormat="1" x14ac:dyDescent="0.25">
      <c r="A9700" s="119"/>
      <c r="B9700" s="138" t="str">
        <f t="shared" si="806"/>
        <v>Aerated Static Pile</v>
      </c>
      <c r="C9700" s="138" t="str">
        <f t="shared" si="807"/>
        <v>Base_With Amendment</v>
      </c>
      <c r="D9700" s="138" t="str">
        <f t="shared" si="804"/>
        <v>Base_High</v>
      </c>
      <c r="E9700" s="138" t="str">
        <f t="shared" si="803"/>
        <v>Low</v>
      </c>
      <c r="F9700" s="138" t="str">
        <f t="shared" si="808"/>
        <v>Upgraded</v>
      </c>
      <c r="G9700" s="153"/>
      <c r="H9700" s="210">
        <v>3.3944999999999999</v>
      </c>
      <c r="I9700" s="160" t="s">
        <v>167</v>
      </c>
      <c r="J9700" s="160">
        <v>7.9170000000000004E-2</v>
      </c>
      <c r="K9700" s="160" t="s">
        <v>14</v>
      </c>
      <c r="L9700" s="154" t="str">
        <f>IF(OpenLCAbasic!K9700="CTUh", "Fill in Manually",IF(OR(K9700="Unit", K9700=""), "", INDEX(LookUps!$E$5:$E$12, MATCH(OpenLCAbasic!K9700,LookUps!$D$5:$D$12,0))))</f>
        <v>Fossil Depletion Potential (FDP) - kg oil eq</v>
      </c>
      <c r="M9700" s="154" t="str">
        <f t="shared" si="805"/>
        <v>Low_Base_High_Upgraded_Fossil Depletion Potential (FDP) - kg oil eq_Waste Receiving and Holding; wastewater treatment unit; at updated plant - US_Base_With Amendment_Aerated Static Pile</v>
      </c>
    </row>
    <row r="9701" spans="1:13" s="120" customFormat="1" x14ac:dyDescent="0.25">
      <c r="A9701" s="119"/>
      <c r="B9701" s="138" t="str">
        <f t="shared" si="806"/>
        <v>Aerated Static Pile</v>
      </c>
      <c r="C9701" s="138" t="str">
        <f t="shared" si="807"/>
        <v>Base_With Amendment</v>
      </c>
      <c r="D9701" s="138" t="str">
        <f t="shared" si="804"/>
        <v>Base_High</v>
      </c>
      <c r="E9701" s="138" t="str">
        <f t="shared" si="803"/>
        <v>Low</v>
      </c>
      <c r="F9701" s="138" t="str">
        <f t="shared" si="808"/>
        <v>Upgraded</v>
      </c>
      <c r="G9701" s="153"/>
      <c r="H9701" s="210">
        <v>2.7265999999999999</v>
      </c>
      <c r="I9701" s="160" t="s">
        <v>55</v>
      </c>
      <c r="J9701" s="160">
        <v>6.3589999999999994E-2</v>
      </c>
      <c r="K9701" s="160" t="s">
        <v>14</v>
      </c>
      <c r="L9701" s="154" t="str">
        <f>IF(OpenLCAbasic!K9701="CTUh", "Fill in Manually",IF(OR(K9701="Unit", K9701=""), "", INDEX(LookUps!$E$5:$E$12, MATCH(OpenLCAbasic!K9701,LookUps!$D$5:$D$12,0))))</f>
        <v>Fossil Depletion Potential (FDP) - kg oil eq</v>
      </c>
      <c r="M9701" s="154" t="str">
        <f t="shared" si="805"/>
        <v>Low_Base_High_Upgraded_Fossil Depletion Potential (FDP) - kg oil eq_Aeration Tanks; wastewater treatment unit; at updated plant - US_Base_With Amendment_Aerated Static Pile</v>
      </c>
    </row>
    <row r="9702" spans="1:13" s="120" customFormat="1" x14ac:dyDescent="0.25">
      <c r="A9702" s="119"/>
      <c r="B9702" s="138" t="str">
        <f t="shared" si="806"/>
        <v>Aerated Static Pile</v>
      </c>
      <c r="C9702" s="138" t="str">
        <f t="shared" si="807"/>
        <v>Base_With Amendment</v>
      </c>
      <c r="D9702" s="138" t="str">
        <f t="shared" si="804"/>
        <v>Base_High</v>
      </c>
      <c r="E9702" s="138" t="str">
        <f t="shared" si="803"/>
        <v>Low</v>
      </c>
      <c r="F9702" s="138" t="str">
        <f t="shared" si="808"/>
        <v>Upgraded</v>
      </c>
      <c r="G9702" s="153"/>
      <c r="H9702" s="210">
        <v>0.90749999999999997</v>
      </c>
      <c r="I9702" s="160" t="s">
        <v>435</v>
      </c>
      <c r="J9702" s="160">
        <v>2.1160000000000002E-2</v>
      </c>
      <c r="K9702" s="160" t="s">
        <v>14</v>
      </c>
      <c r="L9702" s="154" t="str">
        <f>IF(OpenLCAbasic!K9702="CTUh", "Fill in Manually",IF(OR(K9702="Unit", K9702=""), "", INDEX(LookUps!$E$5:$E$12, MATCH(OpenLCAbasic!K9702,LookUps!$D$5:$D$12,0))))</f>
        <v>Fossil Depletion Potential (FDP) - kg oil eq</v>
      </c>
      <c r="M9702" s="154" t="str">
        <f t="shared" si="805"/>
        <v>Low_Base_High_Upgraded_Fossil Depletion Potential (FDP) - kg oil eq_Biosolids composting; aerated static pile; wastewater treatment unit; at updated plant - US_Base_With Amendment_Aerated Static Pile</v>
      </c>
    </row>
    <row r="9703" spans="1:13" s="120" customFormat="1" x14ac:dyDescent="0.25">
      <c r="A9703" s="119"/>
      <c r="B9703" s="138" t="str">
        <f t="shared" si="806"/>
        <v>Aerated Static Pile</v>
      </c>
      <c r="C9703" s="138" t="str">
        <f t="shared" si="807"/>
        <v>Base_With Amendment</v>
      </c>
      <c r="D9703" s="138" t="str">
        <f t="shared" si="804"/>
        <v>Base_High</v>
      </c>
      <c r="E9703" s="138" t="str">
        <f t="shared" si="803"/>
        <v>Low</v>
      </c>
      <c r="F9703" s="138" t="str">
        <f t="shared" si="808"/>
        <v>Upgraded</v>
      </c>
      <c r="G9703" s="153"/>
      <c r="H9703" s="210">
        <v>0.90259999999999996</v>
      </c>
      <c r="I9703" s="160" t="s">
        <v>54</v>
      </c>
      <c r="J9703" s="160">
        <v>2.1049999999999999E-2</v>
      </c>
      <c r="K9703" s="160" t="s">
        <v>14</v>
      </c>
      <c r="L9703" s="154" t="str">
        <f>IF(OpenLCAbasic!K9703="CTUh", "Fill in Manually",IF(OR(K9703="Unit", K9703=""), "", INDEX(LookUps!$E$5:$E$12, MATCH(OpenLCAbasic!K9703,LookUps!$D$5:$D$12,0))))</f>
        <v>Fossil Depletion Potential (FDP) - kg oil eq</v>
      </c>
      <c r="M9703" s="154" t="str">
        <f t="shared" si="805"/>
        <v>Low_Base_High_Upgraded_Fossil Depletion Potential (FDP) - kg oil eq_Clear Cove Primary Clarification; wastewater treatment unit; at updated plant - US_Base_With Amendment_Aerated Static Pile</v>
      </c>
    </row>
    <row r="9704" spans="1:13" s="120" customFormat="1" x14ac:dyDescent="0.25">
      <c r="A9704" s="119"/>
      <c r="B9704" s="138" t="str">
        <f t="shared" si="806"/>
        <v>Aerated Static Pile</v>
      </c>
      <c r="C9704" s="138" t="str">
        <f t="shared" si="807"/>
        <v>Base_With Amendment</v>
      </c>
      <c r="D9704" s="138" t="str">
        <f t="shared" si="804"/>
        <v>Base_High</v>
      </c>
      <c r="E9704" s="138" t="str">
        <f t="shared" si="803"/>
        <v>Low</v>
      </c>
      <c r="F9704" s="138" t="str">
        <f t="shared" si="808"/>
        <v>Upgraded</v>
      </c>
      <c r="G9704" s="153"/>
      <c r="H9704" s="210">
        <v>0.68279999999999996</v>
      </c>
      <c r="I9704" s="160" t="s">
        <v>58</v>
      </c>
      <c r="J9704" s="160">
        <v>1.592E-2</v>
      </c>
      <c r="K9704" s="160" t="s">
        <v>14</v>
      </c>
      <c r="L9704" s="154" t="str">
        <f>IF(OpenLCAbasic!K9704="CTUh", "Fill in Manually",IF(OR(K9704="Unit", K9704=""), "", INDEX(LookUps!$E$5:$E$12, MATCH(OpenLCAbasic!K9704,LookUps!$D$5:$D$12,0))))</f>
        <v>Fossil Depletion Potential (FDP) - kg oil eq</v>
      </c>
      <c r="M9704" s="154" t="str">
        <f t="shared" si="805"/>
        <v>Low_Base_High_Upgraded_Fossil Depletion Potential (FDP) - kg oil eq_Pre-Anoxic &amp; Swing tank; wastewater treatment unit; at updated plant - US_Base_With Amendment_Aerated Static Pile</v>
      </c>
    </row>
    <row r="9705" spans="1:13" s="120" customFormat="1" x14ac:dyDescent="0.25">
      <c r="A9705" s="119"/>
      <c r="B9705" s="138" t="str">
        <f t="shared" si="806"/>
        <v>Aerated Static Pile</v>
      </c>
      <c r="C9705" s="138" t="str">
        <f t="shared" si="807"/>
        <v>Base_With Amendment</v>
      </c>
      <c r="D9705" s="138" t="str">
        <f t="shared" si="804"/>
        <v>Base_High</v>
      </c>
      <c r="E9705" s="138" t="str">
        <f t="shared" ref="E9705:E9768" si="809">IF(ISNUMBER($J9705),"Low","")</f>
        <v>Low</v>
      </c>
      <c r="F9705" s="138" t="str">
        <f t="shared" si="808"/>
        <v>Upgraded</v>
      </c>
      <c r="G9705" s="153"/>
      <c r="H9705" s="210">
        <v>0.64690000000000003</v>
      </c>
      <c r="I9705" s="160" t="s">
        <v>147</v>
      </c>
      <c r="J9705" s="160">
        <v>1.5089999999999999E-2</v>
      </c>
      <c r="K9705" s="160" t="s">
        <v>14</v>
      </c>
      <c r="L9705" s="154" t="str">
        <f>IF(OpenLCAbasic!K9705="CTUh", "Fill in Manually",IF(OR(K9705="Unit", K9705=""), "", INDEX(LookUps!$E$5:$E$12, MATCH(OpenLCAbasic!K9705,LookUps!$D$5:$D$12,0))))</f>
        <v>Fossil Depletion Potential (FDP) - kg oil eq</v>
      </c>
      <c r="M9705" s="154" t="str">
        <f t="shared" si="805"/>
        <v>Low_Base_High_Upgraded_Fossil Depletion Potential (FDP) - kg oil eq_Influent Pump Station; wastewater treatment unit; at updated plant - US_Base_With Amendment_Aerated Static Pile</v>
      </c>
    </row>
    <row r="9706" spans="1:13" s="120" customFormat="1" x14ac:dyDescent="0.25">
      <c r="A9706" s="119"/>
      <c r="B9706" s="138" t="str">
        <f t="shared" si="806"/>
        <v>Aerated Static Pile</v>
      </c>
      <c r="C9706" s="138" t="str">
        <f t="shared" si="807"/>
        <v>Base_With Amendment</v>
      </c>
      <c r="D9706" s="138" t="str">
        <f t="shared" si="804"/>
        <v>Base_High</v>
      </c>
      <c r="E9706" s="138" t="str">
        <f t="shared" si="809"/>
        <v>Low</v>
      </c>
      <c r="F9706" s="138" t="str">
        <f t="shared" si="808"/>
        <v>Upgraded</v>
      </c>
      <c r="G9706" s="153"/>
      <c r="H9706" s="210">
        <v>0.53549999999999998</v>
      </c>
      <c r="I9706" s="160" t="s">
        <v>53</v>
      </c>
      <c r="J9706" s="160">
        <v>1.2489999999999999E-2</v>
      </c>
      <c r="K9706" s="160" t="s">
        <v>14</v>
      </c>
      <c r="L9706" s="154" t="str">
        <f>IF(OpenLCAbasic!K9706="CTUh", "Fill in Manually",IF(OR(K9706="Unit", K9706=""), "", INDEX(LookUps!$E$5:$E$12, MATCH(OpenLCAbasic!K9706,LookUps!$D$5:$D$12,0))))</f>
        <v>Fossil Depletion Potential (FDP) - kg oil eq</v>
      </c>
      <c r="M9706" s="154" t="str">
        <f t="shared" si="805"/>
        <v>Low_Base_High_Upgraded_Fossil Depletion Potential (FDP) - kg oil eq_Wet Well and Sump Station; wastewater treatment unit; at updated plant - US_Base_With Amendment_Aerated Static Pile</v>
      </c>
    </row>
    <row r="9707" spans="1:13" s="120" customFormat="1" x14ac:dyDescent="0.25">
      <c r="A9707" s="119"/>
      <c r="B9707" s="138" t="str">
        <f t="shared" si="806"/>
        <v>Aerated Static Pile</v>
      </c>
      <c r="C9707" s="138" t="str">
        <f t="shared" si="807"/>
        <v>Base_With Amendment</v>
      </c>
      <c r="D9707" s="138" t="str">
        <f t="shared" si="804"/>
        <v>Base_High</v>
      </c>
      <c r="E9707" s="138" t="str">
        <f t="shared" si="809"/>
        <v>Low</v>
      </c>
      <c r="F9707" s="138" t="str">
        <f t="shared" si="808"/>
        <v>Upgraded</v>
      </c>
      <c r="G9707" s="153"/>
      <c r="H9707" s="210">
        <v>0.29649999999999999</v>
      </c>
      <c r="I9707" s="160" t="s">
        <v>57</v>
      </c>
      <c r="J9707" s="160">
        <v>6.9199999999999999E-3</v>
      </c>
      <c r="K9707" s="160" t="s">
        <v>14</v>
      </c>
      <c r="L9707" s="154" t="str">
        <f>IF(OpenLCAbasic!K9707="CTUh", "Fill in Manually",IF(OR(K9707="Unit", K9707=""), "", INDEX(LookUps!$E$5:$E$12, MATCH(OpenLCAbasic!K9707,LookUps!$D$5:$D$12,0))))</f>
        <v>Fossil Depletion Potential (FDP) - kg oil eq</v>
      </c>
      <c r="M9707" s="154" t="str">
        <f t="shared" si="805"/>
        <v>Low_Base_High_Upgraded_Fossil Depletion Potential (FDP) - kg oil eq_Gravity Belt Thickener; wastewater treatment unit; at updated plant - US_Base_With Amendment_Aerated Static Pile</v>
      </c>
    </row>
    <row r="9708" spans="1:13" s="120" customFormat="1" x14ac:dyDescent="0.25">
      <c r="A9708" s="119"/>
      <c r="B9708" s="138" t="str">
        <f t="shared" si="806"/>
        <v>Aerated Static Pile</v>
      </c>
      <c r="C9708" s="138" t="str">
        <f t="shared" si="807"/>
        <v>Base_With Amendment</v>
      </c>
      <c r="D9708" s="138" t="str">
        <f t="shared" si="804"/>
        <v>Base_High</v>
      </c>
      <c r="E9708" s="138" t="str">
        <f t="shared" si="809"/>
        <v>Low</v>
      </c>
      <c r="F9708" s="138" t="str">
        <f t="shared" si="808"/>
        <v>Upgraded</v>
      </c>
      <c r="G9708" s="153"/>
      <c r="H9708" s="210">
        <v>0.24010000000000001</v>
      </c>
      <c r="I9708" s="160" t="s">
        <v>60</v>
      </c>
      <c r="J9708" s="160">
        <v>5.5999999999999999E-3</v>
      </c>
      <c r="K9708" s="160" t="s">
        <v>14</v>
      </c>
      <c r="L9708" s="154" t="str">
        <f>IF(OpenLCAbasic!K9708="CTUh", "Fill in Manually",IF(OR(K9708="Unit", K9708=""), "", INDEX(LookUps!$E$5:$E$12, MATCH(OpenLCAbasic!K9708,LookUps!$D$5:$D$12,0))))</f>
        <v>Fossil Depletion Potential (FDP) - kg oil eq</v>
      </c>
      <c r="M9708" s="154" t="str">
        <f t="shared" si="805"/>
        <v>Low_Base_High_Upgraded_Fossil Depletion Potential (FDP) - kg oil eq_Belt filter press; wastewater treatment unit; at updated plant - US_Base_With Amendment_Aerated Static Pile</v>
      </c>
    </row>
    <row r="9709" spans="1:13" s="120" customFormat="1" x14ac:dyDescent="0.25">
      <c r="A9709" s="119"/>
      <c r="B9709" s="138" t="str">
        <f t="shared" si="806"/>
        <v>Aerated Static Pile</v>
      </c>
      <c r="C9709" s="138" t="str">
        <f t="shared" si="807"/>
        <v>Base_With Amendment</v>
      </c>
      <c r="D9709" s="138" t="str">
        <f t="shared" si="804"/>
        <v>Base_High</v>
      </c>
      <c r="E9709" s="138" t="str">
        <f t="shared" si="809"/>
        <v>Low</v>
      </c>
      <c r="F9709" s="138" t="str">
        <f t="shared" si="808"/>
        <v>Upgraded</v>
      </c>
      <c r="G9709" s="153"/>
      <c r="H9709" s="210">
        <v>0.19289999999999999</v>
      </c>
      <c r="I9709" s="160" t="s">
        <v>128</v>
      </c>
      <c r="J9709" s="160">
        <v>4.4999999999999997E-3</v>
      </c>
      <c r="K9709" s="160" t="s">
        <v>14</v>
      </c>
      <c r="L9709" s="154" t="str">
        <f>IF(OpenLCAbasic!K9709="CTUh", "Fill in Manually",IF(OR(K9709="Unit", K9709=""), "", INDEX(LookUps!$E$5:$E$12, MATCH(OpenLCAbasic!K9709,LookUps!$D$5:$D$12,0))))</f>
        <v>Fossil Depletion Potential (FDP) - kg oil eq</v>
      </c>
      <c r="M9709" s="154" t="str">
        <f t="shared" si="805"/>
        <v>Low_Base_High_Upgraded_Fossil Depletion Potential (FDP) - kg oil eq_Wastewater collection; operation and infrastructure; m3 wastewater_Base_With Amendment_Aerated Static Pile</v>
      </c>
    </row>
    <row r="9710" spans="1:13" s="120" customFormat="1" x14ac:dyDescent="0.25">
      <c r="A9710" s="119"/>
      <c r="B9710" s="138" t="str">
        <f t="shared" si="806"/>
        <v>Aerated Static Pile</v>
      </c>
      <c r="C9710" s="138" t="str">
        <f t="shared" si="807"/>
        <v>Base_With Amendment</v>
      </c>
      <c r="D9710" s="138" t="str">
        <f t="shared" si="804"/>
        <v>Base_High</v>
      </c>
      <c r="E9710" s="138" t="str">
        <f t="shared" si="809"/>
        <v>Low</v>
      </c>
      <c r="F9710" s="138" t="str">
        <f t="shared" si="808"/>
        <v>Upgraded</v>
      </c>
      <c r="G9710" s="153"/>
      <c r="H9710" s="210">
        <v>0.11990000000000001</v>
      </c>
      <c r="I9710" s="160" t="s">
        <v>148</v>
      </c>
      <c r="J9710" s="160">
        <v>2.8E-3</v>
      </c>
      <c r="K9710" s="160" t="s">
        <v>14</v>
      </c>
      <c r="L9710" s="154" t="str">
        <f>IF(OpenLCAbasic!K9710="CTUh", "Fill in Manually",IF(OR(K9710="Unit", K9710=""), "", INDEX(LookUps!$E$5:$E$12, MATCH(OpenLCAbasic!K9710,LookUps!$D$5:$D$12,0))))</f>
        <v>Fossil Depletion Potential (FDP) - kg oil eq</v>
      </c>
      <c r="M9710" s="154" t="str">
        <f t="shared" si="805"/>
        <v>Low_Base_High_Upgraded_Fossil Depletion Potential (FDP) - kg oil eq_Control Building; at upgraded wastewater treatment plant - US_Base_With Amendment_Aerated Static Pile</v>
      </c>
    </row>
    <row r="9711" spans="1:13" s="120" customFormat="1" x14ac:dyDescent="0.25">
      <c r="A9711" s="119"/>
      <c r="B9711" s="138" t="str">
        <f t="shared" si="806"/>
        <v>Aerated Static Pile</v>
      </c>
      <c r="C9711" s="138" t="str">
        <f t="shared" si="807"/>
        <v>Base_With Amendment</v>
      </c>
      <c r="D9711" s="138" t="str">
        <f t="shared" si="804"/>
        <v>Base_High</v>
      </c>
      <c r="E9711" s="138" t="str">
        <f t="shared" si="809"/>
        <v>Low</v>
      </c>
      <c r="F9711" s="138" t="str">
        <f t="shared" si="808"/>
        <v>Upgraded</v>
      </c>
      <c r="G9711" s="153"/>
      <c r="H9711" s="210">
        <v>0.1013</v>
      </c>
      <c r="I9711" s="160" t="s">
        <v>48</v>
      </c>
      <c r="J9711" s="160">
        <v>2.3600000000000001E-3</v>
      </c>
      <c r="K9711" s="160" t="s">
        <v>14</v>
      </c>
      <c r="L9711" s="154" t="str">
        <f>IF(OpenLCAbasic!K9711="CTUh", "Fill in Manually",IF(OR(K9711="Unit", K9711=""), "", INDEX(LookUps!$E$5:$E$12, MATCH(OpenLCAbasic!K9711,LookUps!$D$5:$D$12,0))))</f>
        <v>Fossil Depletion Potential (FDP) - kg oil eq</v>
      </c>
      <c r="M9711" s="154" t="str">
        <f t="shared" si="805"/>
        <v>Low_Base_High_Upgraded_Fossil Depletion Potential (FDP) - kg oil eq_Effluent release; wastewater treatment unit; at surface water; m3 wastewater - US_Base_With Amendment_Aerated Static Pile</v>
      </c>
    </row>
    <row r="9712" spans="1:13" s="120" customFormat="1" x14ac:dyDescent="0.25">
      <c r="A9712" s="119"/>
      <c r="B9712" s="138" t="str">
        <f t="shared" si="806"/>
        <v>Aerated Static Pile</v>
      </c>
      <c r="C9712" s="138" t="str">
        <f t="shared" si="807"/>
        <v>Base_With Amendment</v>
      </c>
      <c r="D9712" s="138" t="str">
        <f t="shared" si="804"/>
        <v>Base_High</v>
      </c>
      <c r="E9712" s="138" t="str">
        <f t="shared" si="809"/>
        <v>Low</v>
      </c>
      <c r="F9712" s="138" t="str">
        <f t="shared" si="808"/>
        <v>Upgraded</v>
      </c>
      <c r="G9712" s="153"/>
      <c r="H9712" s="210">
        <v>8.2299999999999998E-2</v>
      </c>
      <c r="I9712" s="160" t="s">
        <v>59</v>
      </c>
      <c r="J9712" s="160">
        <v>1.92E-3</v>
      </c>
      <c r="K9712" s="160" t="s">
        <v>14</v>
      </c>
      <c r="L9712" s="154" t="str">
        <f>IF(OpenLCAbasic!K9712="CTUh", "Fill in Manually",IF(OR(K9712="Unit", K9712=""), "", INDEX(LookUps!$E$5:$E$12, MATCH(OpenLCAbasic!K9712,LookUps!$D$5:$D$12,0))))</f>
        <v>Fossil Depletion Potential (FDP) - kg oil eq</v>
      </c>
      <c r="M9712" s="154" t="str">
        <f t="shared" si="805"/>
        <v>Low_Base_High_Upgraded_Fossil Depletion Potential (FDP) - kg oil eq_Blend Tank; wastewater treatment unit; at updated plant - US_Base_With Amendment_Aerated Static Pile</v>
      </c>
    </row>
    <row r="9713" spans="1:13" s="120" customFormat="1" x14ac:dyDescent="0.25">
      <c r="A9713" s="119"/>
      <c r="B9713" s="138" t="str">
        <f t="shared" si="806"/>
        <v>Aerated Static Pile</v>
      </c>
      <c r="C9713" s="138" t="str">
        <f t="shared" si="807"/>
        <v>Base_With Amendment</v>
      </c>
      <c r="D9713" s="138" t="str">
        <f t="shared" ref="D9713:D9776" si="810">IF(ISNUMBER($J9713),"Base_High","")</f>
        <v>Base_High</v>
      </c>
      <c r="E9713" s="138" t="str">
        <f t="shared" si="809"/>
        <v>Low</v>
      </c>
      <c r="F9713" s="138" t="str">
        <f t="shared" si="808"/>
        <v>Upgraded</v>
      </c>
      <c r="G9713" s="153"/>
      <c r="H9713" s="210">
        <v>3.9199999999999999E-2</v>
      </c>
      <c r="I9713" s="160" t="s">
        <v>168</v>
      </c>
      <c r="J9713" s="160">
        <v>9.1E-4</v>
      </c>
      <c r="K9713" s="160" t="s">
        <v>14</v>
      </c>
      <c r="L9713" s="154" t="str">
        <f>IF(OpenLCAbasic!K9713="CTUh", "Fill in Manually",IF(OR(K9713="Unit", K9713=""), "", INDEX(LookUps!$E$5:$E$12, MATCH(OpenLCAbasic!K9713,LookUps!$D$5:$D$12,0))))</f>
        <v>Fossil Depletion Potential (FDP) - kg oil eq</v>
      </c>
      <c r="M9713" s="154" t="str">
        <f t="shared" si="805"/>
        <v>Low_Base_High_Upgraded_Fossil Depletion Potential (FDP) - kg oil eq_ClearCove SCP; wastewater treatment unit; at updated plant - US_Base_With Amendment_Aerated Static Pile</v>
      </c>
    </row>
    <row r="9714" spans="1:13" s="120" customFormat="1" x14ac:dyDescent="0.25">
      <c r="A9714" s="119"/>
      <c r="B9714" s="138" t="str">
        <f t="shared" si="806"/>
        <v>Aerated Static Pile</v>
      </c>
      <c r="C9714" s="138" t="str">
        <f t="shared" si="807"/>
        <v>Base_With Amendment</v>
      </c>
      <c r="D9714" s="138" t="str">
        <f t="shared" si="810"/>
        <v>Base_High</v>
      </c>
      <c r="E9714" s="138" t="str">
        <f t="shared" si="809"/>
        <v>Low</v>
      </c>
      <c r="F9714" s="138" t="str">
        <f t="shared" si="808"/>
        <v>Upgraded</v>
      </c>
      <c r="G9714" s="153"/>
      <c r="H9714" s="210">
        <v>-0.27600000000000002</v>
      </c>
      <c r="I9714" s="160" t="s">
        <v>62</v>
      </c>
      <c r="J9714" s="160">
        <v>-6.4400000000000004E-3</v>
      </c>
      <c r="K9714" s="160" t="s">
        <v>14</v>
      </c>
      <c r="L9714" s="154" t="str">
        <f>IF(OpenLCAbasic!K9714="CTUh", "Fill in Manually",IF(OR(K9714="Unit", K9714=""), "", INDEX(LookUps!$E$5:$E$12, MATCH(OpenLCAbasic!K9714,LookUps!$D$5:$D$12,0))))</f>
        <v>Fossil Depletion Potential (FDP) - kg oil eq</v>
      </c>
      <c r="M9714" s="154" t="str">
        <f t="shared" si="805"/>
        <v>Low_Base_High_Upgraded_Fossil Depletion Potential (FDP) - kg oil eq_Land application of compost; wastewater treatment unit; at updated plant - US_Base_With Amendment_Aerated Static Pile</v>
      </c>
    </row>
    <row r="9715" spans="1:13" s="120" customFormat="1" x14ac:dyDescent="0.25">
      <c r="A9715" s="119"/>
      <c r="B9715" s="138" t="str">
        <f t="shared" si="806"/>
        <v>Aerated Static Pile</v>
      </c>
      <c r="C9715" s="138" t="str">
        <f t="shared" si="807"/>
        <v>Base_With Amendment</v>
      </c>
      <c r="D9715" s="138" t="str">
        <f t="shared" si="810"/>
        <v>Base_High</v>
      </c>
      <c r="E9715" s="138" t="str">
        <f t="shared" si="809"/>
        <v>Low</v>
      </c>
      <c r="F9715" s="138" t="str">
        <f t="shared" si="808"/>
        <v>Upgraded</v>
      </c>
      <c r="G9715" s="153"/>
      <c r="H9715" s="210">
        <v>-9.5927000000000007</v>
      </c>
      <c r="I9715" s="160" t="s">
        <v>149</v>
      </c>
      <c r="J9715" s="160">
        <v>-0.22373000000000001</v>
      </c>
      <c r="K9715" s="160" t="s">
        <v>14</v>
      </c>
      <c r="L9715" s="154" t="str">
        <f>IF(OpenLCAbasic!K9715="CTUh", "Fill in Manually",IF(OR(K9715="Unit", K9715=""), "", INDEX(LookUps!$E$5:$E$12, MATCH(OpenLCAbasic!K9715,LookUps!$D$5:$D$12,0))))</f>
        <v>Fossil Depletion Potential (FDP) - kg oil eq</v>
      </c>
      <c r="M9715" s="154" t="str">
        <f t="shared" ref="M9715:M9778" si="811">CONCATENATE(E9715,"_",D9715,"_",F9715,"_",L9715, "_",I9715,"_", C9715,"_", B9715)</f>
        <v>Low_Base_High_Upgraded_Fossil Depletion Potential (FDP) - kg oil eq_Anaerobic Digestion; wastewater treatment unit; at updated plant - US_Base_With Amendment_Aerated Static Pile</v>
      </c>
    </row>
    <row r="9716" spans="1:13" s="120" customFormat="1" x14ac:dyDescent="0.25">
      <c r="A9716" s="119"/>
      <c r="B9716" s="138" t="str">
        <f t="shared" si="806"/>
        <v/>
      </c>
      <c r="C9716" s="138" t="str">
        <f t="shared" si="807"/>
        <v/>
      </c>
      <c r="D9716" s="138" t="str">
        <f t="shared" si="810"/>
        <v/>
      </c>
      <c r="E9716" s="138" t="str">
        <f t="shared" si="809"/>
        <v/>
      </c>
      <c r="F9716" s="138" t="str">
        <f t="shared" si="808"/>
        <v/>
      </c>
      <c r="G9716" s="153" t="s">
        <v>51</v>
      </c>
      <c r="H9716" s="160"/>
      <c r="I9716" s="160" t="s">
        <v>47</v>
      </c>
      <c r="J9716" s="160" t="s">
        <v>52</v>
      </c>
      <c r="K9716" s="160" t="s">
        <v>27</v>
      </c>
      <c r="L9716" s="154" t="str">
        <f>IF(OpenLCAbasic!K9716="CTUh", "Fill in Manually",IF(OR(K9716="Unit", K9716=""), "", INDEX(LookUps!$E$5:$E$12, MATCH(OpenLCAbasic!K9716,LookUps!$D$5:$D$12,0))))</f>
        <v/>
      </c>
      <c r="M9716" s="154" t="str">
        <f t="shared" si="811"/>
        <v>____Process__</v>
      </c>
    </row>
    <row r="9717" spans="1:13" s="120" customFormat="1" x14ac:dyDescent="0.25">
      <c r="A9717" s="119"/>
      <c r="B9717" s="138" t="str">
        <f t="shared" si="806"/>
        <v>Aerated Static Pile</v>
      </c>
      <c r="C9717" s="138" t="str">
        <f t="shared" si="807"/>
        <v>Base_With Amendment</v>
      </c>
      <c r="D9717" s="138" t="str">
        <f t="shared" si="810"/>
        <v>Base_High</v>
      </c>
      <c r="E9717" s="138" t="str">
        <f t="shared" si="809"/>
        <v>Low</v>
      </c>
      <c r="F9717" s="138" t="str">
        <f t="shared" si="808"/>
        <v>Upgraded</v>
      </c>
      <c r="G9717" s="153"/>
      <c r="H9717" s="210">
        <v>16.3764</v>
      </c>
      <c r="I9717" s="160" t="s">
        <v>58</v>
      </c>
      <c r="J9717" s="160">
        <v>0.24279999999999999</v>
      </c>
      <c r="K9717" s="160" t="s">
        <v>23</v>
      </c>
      <c r="L9717" s="154" t="str">
        <f>IF(OpenLCAbasic!K9717="CTUh", "Fill in Manually",IF(OR(K9717="Unit", K9717=""), "", INDEX(LookUps!$E$5:$E$12, MATCH(OpenLCAbasic!K9717,LookUps!$D$5:$D$12,0))))</f>
        <v>Global Warming Potential (GWP) - kg CO2 eq</v>
      </c>
      <c r="M9717" s="154" t="str">
        <f t="shared" si="811"/>
        <v>Low_Base_High_Upgraded_Global Warming Potential (GWP) - kg CO2 eq_Pre-Anoxic &amp; Swing tank; wastewater treatment unit; at updated plant - US_Base_With Amendment_Aerated Static Pile</v>
      </c>
    </row>
    <row r="9718" spans="1:13" s="120" customFormat="1" x14ac:dyDescent="0.25">
      <c r="A9718" s="119"/>
      <c r="B9718" s="138" t="str">
        <f t="shared" si="806"/>
        <v>Aerated Static Pile</v>
      </c>
      <c r="C9718" s="138" t="str">
        <f t="shared" si="807"/>
        <v>Base_With Amendment</v>
      </c>
      <c r="D9718" s="138" t="str">
        <f t="shared" si="810"/>
        <v>Base_High</v>
      </c>
      <c r="E9718" s="138" t="str">
        <f t="shared" si="809"/>
        <v>Low</v>
      </c>
      <c r="F9718" s="138" t="str">
        <f t="shared" si="808"/>
        <v>Upgraded</v>
      </c>
      <c r="G9718" s="153"/>
      <c r="H9718" s="210">
        <v>11.3466</v>
      </c>
      <c r="I9718" s="160" t="s">
        <v>55</v>
      </c>
      <c r="J9718" s="160">
        <v>0.16822000000000001</v>
      </c>
      <c r="K9718" s="160" t="s">
        <v>23</v>
      </c>
      <c r="L9718" s="154" t="str">
        <f>IF(OpenLCAbasic!K9718="CTUh", "Fill in Manually",IF(OR(K9718="Unit", K9718=""), "", INDEX(LookUps!$E$5:$E$12, MATCH(OpenLCAbasic!K9718,LookUps!$D$5:$D$12,0))))</f>
        <v>Global Warming Potential (GWP) - kg CO2 eq</v>
      </c>
      <c r="M9718" s="154" t="str">
        <f t="shared" si="811"/>
        <v>Low_Base_High_Upgraded_Global Warming Potential (GWP) - kg CO2 eq_Aeration Tanks; wastewater treatment unit; at updated plant - US_Base_With Amendment_Aerated Static Pile</v>
      </c>
    </row>
    <row r="9719" spans="1:13" s="120" customFormat="1" x14ac:dyDescent="0.25">
      <c r="A9719" s="119"/>
      <c r="B9719" s="138" t="str">
        <f t="shared" si="806"/>
        <v>Aerated Static Pile</v>
      </c>
      <c r="C9719" s="138" t="str">
        <f t="shared" si="807"/>
        <v>Base_With Amendment</v>
      </c>
      <c r="D9719" s="138" t="str">
        <f t="shared" si="810"/>
        <v>Base_High</v>
      </c>
      <c r="E9719" s="138" t="str">
        <f t="shared" si="809"/>
        <v>Low</v>
      </c>
      <c r="F9719" s="138" t="str">
        <f t="shared" si="808"/>
        <v>Upgraded</v>
      </c>
      <c r="G9719" s="153"/>
      <c r="H9719" s="210">
        <v>7.4516999999999998</v>
      </c>
      <c r="I9719" s="160" t="s">
        <v>435</v>
      </c>
      <c r="J9719" s="160">
        <v>0.11047999999999999</v>
      </c>
      <c r="K9719" s="160" t="s">
        <v>23</v>
      </c>
      <c r="L9719" s="154" t="str">
        <f>IF(OpenLCAbasic!K9719="CTUh", "Fill in Manually",IF(OR(K9719="Unit", K9719=""), "", INDEX(LookUps!$E$5:$E$12, MATCH(OpenLCAbasic!K9719,LookUps!$D$5:$D$12,0))))</f>
        <v>Global Warming Potential (GWP) - kg CO2 eq</v>
      </c>
      <c r="M9719" s="154" t="str">
        <f t="shared" si="811"/>
        <v>Low_Base_High_Upgraded_Global Warming Potential (GWP) - kg CO2 eq_Biosolids composting; aerated static pile; wastewater treatment unit; at updated plant - US_Base_With Amendment_Aerated Static Pile</v>
      </c>
    </row>
    <row r="9720" spans="1:13" s="120" customFormat="1" x14ac:dyDescent="0.25">
      <c r="A9720" s="119"/>
      <c r="B9720" s="138" t="str">
        <f t="shared" si="806"/>
        <v>Aerated Static Pile</v>
      </c>
      <c r="C9720" s="138" t="str">
        <f t="shared" si="807"/>
        <v>Base_With Amendment</v>
      </c>
      <c r="D9720" s="138" t="str">
        <f t="shared" si="810"/>
        <v>Base_High</v>
      </c>
      <c r="E9720" s="138" t="str">
        <f t="shared" si="809"/>
        <v>Low</v>
      </c>
      <c r="F9720" s="138" t="str">
        <f t="shared" si="808"/>
        <v>Upgraded</v>
      </c>
      <c r="G9720" s="153"/>
      <c r="H9720" s="210">
        <v>6.9074999999999998</v>
      </c>
      <c r="I9720" s="160" t="s">
        <v>167</v>
      </c>
      <c r="J9720" s="160">
        <v>0.10241</v>
      </c>
      <c r="K9720" s="160" t="s">
        <v>23</v>
      </c>
      <c r="L9720" s="154" t="str">
        <f>IF(OpenLCAbasic!K9720="CTUh", "Fill in Manually",IF(OR(K9720="Unit", K9720=""), "", INDEX(LookUps!$E$5:$E$12, MATCH(OpenLCAbasic!K9720,LookUps!$D$5:$D$12,0))))</f>
        <v>Global Warming Potential (GWP) - kg CO2 eq</v>
      </c>
      <c r="M9720" s="154" t="str">
        <f t="shared" si="811"/>
        <v>Low_Base_High_Upgraded_Global Warming Potential (GWP) - kg CO2 eq_Waste Receiving and Holding; wastewater treatment unit; at updated plant - US_Base_With Amendment_Aerated Static Pile</v>
      </c>
    </row>
    <row r="9721" spans="1:13" s="120" customFormat="1" x14ac:dyDescent="0.25">
      <c r="A9721" s="119"/>
      <c r="B9721" s="138" t="str">
        <f t="shared" ref="B9721:B9784" si="812">IF(F9721="Legacy","n.a.",IF(F9721="","","Aerated Static Pile"))</f>
        <v>Aerated Static Pile</v>
      </c>
      <c r="C9721" s="138" t="str">
        <f t="shared" ref="C9721:C9784" si="813">IF(ISNUMBER($J9721),"Base_With Amendment","")</f>
        <v>Base_With Amendment</v>
      </c>
      <c r="D9721" s="138" t="str">
        <f t="shared" si="810"/>
        <v>Base_High</v>
      </c>
      <c r="E9721" s="138" t="str">
        <f t="shared" si="809"/>
        <v>Low</v>
      </c>
      <c r="F9721" s="138" t="str">
        <f t="shared" ref="F9721:F9784" si="814">IF(ISNUMBER(J9721),"Upgraded","")</f>
        <v>Upgraded</v>
      </c>
      <c r="G9721" s="153"/>
      <c r="H9721" s="210">
        <v>3.8500999999999999</v>
      </c>
      <c r="I9721" s="160" t="s">
        <v>54</v>
      </c>
      <c r="J9721" s="160">
        <v>5.7079999999999999E-2</v>
      </c>
      <c r="K9721" s="160" t="s">
        <v>23</v>
      </c>
      <c r="L9721" s="154" t="str">
        <f>IF(OpenLCAbasic!K9721="CTUh", "Fill in Manually",IF(OR(K9721="Unit", K9721=""), "", INDEX(LookUps!$E$5:$E$12, MATCH(OpenLCAbasic!K9721,LookUps!$D$5:$D$12,0))))</f>
        <v>Global Warming Potential (GWP) - kg CO2 eq</v>
      </c>
      <c r="M9721" s="154" t="str">
        <f t="shared" si="811"/>
        <v>Low_Base_High_Upgraded_Global Warming Potential (GWP) - kg CO2 eq_Clear Cove Primary Clarification; wastewater treatment unit; at updated plant - US_Base_With Amendment_Aerated Static Pile</v>
      </c>
    </row>
    <row r="9722" spans="1:13" s="120" customFormat="1" x14ac:dyDescent="0.25">
      <c r="A9722" s="119"/>
      <c r="B9722" s="138" t="str">
        <f t="shared" si="812"/>
        <v>Aerated Static Pile</v>
      </c>
      <c r="C9722" s="138" t="str">
        <f t="shared" si="813"/>
        <v>Base_With Amendment</v>
      </c>
      <c r="D9722" s="138" t="str">
        <f t="shared" si="810"/>
        <v>Base_High</v>
      </c>
      <c r="E9722" s="138" t="str">
        <f t="shared" si="809"/>
        <v>Low</v>
      </c>
      <c r="F9722" s="138" t="str">
        <f t="shared" si="814"/>
        <v>Upgraded</v>
      </c>
      <c r="G9722" s="153"/>
      <c r="H9722" s="210">
        <v>3.5501999999999998</v>
      </c>
      <c r="I9722" s="160" t="s">
        <v>48</v>
      </c>
      <c r="J9722" s="160">
        <v>5.2639999999999999E-2</v>
      </c>
      <c r="K9722" s="160" t="s">
        <v>23</v>
      </c>
      <c r="L9722" s="154" t="str">
        <f>IF(OpenLCAbasic!K9722="CTUh", "Fill in Manually",IF(OR(K9722="Unit", K9722=""), "", INDEX(LookUps!$E$5:$E$12, MATCH(OpenLCAbasic!K9722,LookUps!$D$5:$D$12,0))))</f>
        <v>Global Warming Potential (GWP) - kg CO2 eq</v>
      </c>
      <c r="M9722" s="154" t="str">
        <f t="shared" si="811"/>
        <v>Low_Base_High_Upgraded_Global Warming Potential (GWP) - kg CO2 eq_Effluent release; wastewater treatment unit; at surface water; m3 wastewater - US_Base_With Amendment_Aerated Static Pile</v>
      </c>
    </row>
    <row r="9723" spans="1:13" s="120" customFormat="1" x14ac:dyDescent="0.25">
      <c r="A9723" s="119"/>
      <c r="B9723" s="138" t="str">
        <f t="shared" si="812"/>
        <v>Aerated Static Pile</v>
      </c>
      <c r="C9723" s="138" t="str">
        <f t="shared" si="813"/>
        <v>Base_With Amendment</v>
      </c>
      <c r="D9723" s="138" t="str">
        <f t="shared" si="810"/>
        <v>Base_High</v>
      </c>
      <c r="E9723" s="138" t="str">
        <f t="shared" si="809"/>
        <v>Low</v>
      </c>
      <c r="F9723" s="138" t="str">
        <f t="shared" si="814"/>
        <v>Upgraded</v>
      </c>
      <c r="G9723" s="153"/>
      <c r="H9723" s="210">
        <v>3.4060999999999999</v>
      </c>
      <c r="I9723" s="160" t="s">
        <v>147</v>
      </c>
      <c r="J9723" s="160">
        <v>5.0500000000000003E-2</v>
      </c>
      <c r="K9723" s="160" t="s">
        <v>23</v>
      </c>
      <c r="L9723" s="154" t="str">
        <f>IF(OpenLCAbasic!K9723="CTUh", "Fill in Manually",IF(OR(K9723="Unit", K9723=""), "", INDEX(LookUps!$E$5:$E$12, MATCH(OpenLCAbasic!K9723,LookUps!$D$5:$D$12,0))))</f>
        <v>Global Warming Potential (GWP) - kg CO2 eq</v>
      </c>
      <c r="M9723" s="154" t="str">
        <f t="shared" si="811"/>
        <v>Low_Base_High_Upgraded_Global Warming Potential (GWP) - kg CO2 eq_Influent Pump Station; wastewater treatment unit; at updated plant - US_Base_With Amendment_Aerated Static Pile</v>
      </c>
    </row>
    <row r="9724" spans="1:13" s="120" customFormat="1" x14ac:dyDescent="0.25">
      <c r="A9724" s="119"/>
      <c r="B9724" s="138" t="str">
        <f t="shared" si="812"/>
        <v>Aerated Static Pile</v>
      </c>
      <c r="C9724" s="138" t="str">
        <f t="shared" si="813"/>
        <v>Base_With Amendment</v>
      </c>
      <c r="D9724" s="138" t="str">
        <f t="shared" si="810"/>
        <v>Base_High</v>
      </c>
      <c r="E9724" s="138" t="str">
        <f t="shared" si="809"/>
        <v>Low</v>
      </c>
      <c r="F9724" s="138" t="str">
        <f t="shared" si="814"/>
        <v>Upgraded</v>
      </c>
      <c r="G9724" s="153"/>
      <c r="H9724" s="210">
        <v>2.2431000000000001</v>
      </c>
      <c r="I9724" s="160" t="s">
        <v>53</v>
      </c>
      <c r="J9724" s="160">
        <v>3.3259999999999998E-2</v>
      </c>
      <c r="K9724" s="160" t="s">
        <v>23</v>
      </c>
      <c r="L9724" s="154" t="str">
        <f>IF(OpenLCAbasic!K9724="CTUh", "Fill in Manually",IF(OR(K9724="Unit", K9724=""), "", INDEX(LookUps!$E$5:$E$12, MATCH(OpenLCAbasic!K9724,LookUps!$D$5:$D$12,0))))</f>
        <v>Global Warming Potential (GWP) - kg CO2 eq</v>
      </c>
      <c r="M9724" s="154" t="str">
        <f t="shared" si="811"/>
        <v>Low_Base_High_Upgraded_Global Warming Potential (GWP) - kg CO2 eq_Wet Well and Sump Station; wastewater treatment unit; at updated plant - US_Base_With Amendment_Aerated Static Pile</v>
      </c>
    </row>
    <row r="9725" spans="1:13" s="120" customFormat="1" x14ac:dyDescent="0.25">
      <c r="A9725" s="119"/>
      <c r="B9725" s="138" t="str">
        <f t="shared" si="812"/>
        <v>Aerated Static Pile</v>
      </c>
      <c r="C9725" s="138" t="str">
        <f t="shared" si="813"/>
        <v>Base_With Amendment</v>
      </c>
      <c r="D9725" s="138" t="str">
        <f t="shared" si="810"/>
        <v>Base_High</v>
      </c>
      <c r="E9725" s="138" t="str">
        <f t="shared" si="809"/>
        <v>Low</v>
      </c>
      <c r="F9725" s="138" t="str">
        <f t="shared" si="814"/>
        <v>Upgraded</v>
      </c>
      <c r="G9725" s="153"/>
      <c r="H9725" s="210">
        <v>0.98150000000000004</v>
      </c>
      <c r="I9725" s="160" t="s">
        <v>57</v>
      </c>
      <c r="J9725" s="160">
        <v>1.455E-2</v>
      </c>
      <c r="K9725" s="160" t="s">
        <v>23</v>
      </c>
      <c r="L9725" s="154" t="str">
        <f>IF(OpenLCAbasic!K9725="CTUh", "Fill in Manually",IF(OR(K9725="Unit", K9725=""), "", INDEX(LookUps!$E$5:$E$12, MATCH(OpenLCAbasic!K9725,LookUps!$D$5:$D$12,0))))</f>
        <v>Global Warming Potential (GWP) - kg CO2 eq</v>
      </c>
      <c r="M9725" s="154" t="str">
        <f t="shared" si="811"/>
        <v>Low_Base_High_Upgraded_Global Warming Potential (GWP) - kg CO2 eq_Gravity Belt Thickener; wastewater treatment unit; at updated plant - US_Base_With Amendment_Aerated Static Pile</v>
      </c>
    </row>
    <row r="9726" spans="1:13" s="120" customFormat="1" x14ac:dyDescent="0.25">
      <c r="A9726" s="119"/>
      <c r="B9726" s="138" t="str">
        <f t="shared" si="812"/>
        <v>Aerated Static Pile</v>
      </c>
      <c r="C9726" s="138" t="str">
        <f t="shared" si="813"/>
        <v>Base_With Amendment</v>
      </c>
      <c r="D9726" s="138" t="str">
        <f t="shared" si="810"/>
        <v>Base_High</v>
      </c>
      <c r="E9726" s="138" t="str">
        <f t="shared" si="809"/>
        <v>Low</v>
      </c>
      <c r="F9726" s="138" t="str">
        <f t="shared" si="814"/>
        <v>Upgraded</v>
      </c>
      <c r="G9726" s="153"/>
      <c r="H9726" s="210">
        <v>0.91100000000000003</v>
      </c>
      <c r="I9726" s="160" t="s">
        <v>128</v>
      </c>
      <c r="J9726" s="160">
        <v>1.3509999999999999E-2</v>
      </c>
      <c r="K9726" s="160" t="s">
        <v>23</v>
      </c>
      <c r="L9726" s="154" t="str">
        <f>IF(OpenLCAbasic!K9726="CTUh", "Fill in Manually",IF(OR(K9726="Unit", K9726=""), "", INDEX(LookUps!$E$5:$E$12, MATCH(OpenLCAbasic!K9726,LookUps!$D$5:$D$12,0))))</f>
        <v>Global Warming Potential (GWP) - kg CO2 eq</v>
      </c>
      <c r="M9726" s="154" t="str">
        <f t="shared" si="811"/>
        <v>Low_Base_High_Upgraded_Global Warming Potential (GWP) - kg CO2 eq_Wastewater collection; operation and infrastructure; m3 wastewater_Base_With Amendment_Aerated Static Pile</v>
      </c>
    </row>
    <row r="9727" spans="1:13" s="120" customFormat="1" x14ac:dyDescent="0.25">
      <c r="A9727" s="119"/>
      <c r="B9727" s="138" t="str">
        <f t="shared" si="812"/>
        <v>Aerated Static Pile</v>
      </c>
      <c r="C9727" s="138" t="str">
        <f t="shared" si="813"/>
        <v>Base_With Amendment</v>
      </c>
      <c r="D9727" s="138" t="str">
        <f t="shared" si="810"/>
        <v>Base_High</v>
      </c>
      <c r="E9727" s="138" t="str">
        <f t="shared" si="809"/>
        <v>Low</v>
      </c>
      <c r="F9727" s="138" t="str">
        <f t="shared" si="814"/>
        <v>Upgraded</v>
      </c>
      <c r="G9727" s="153"/>
      <c r="H9727" s="210">
        <v>0.83020000000000005</v>
      </c>
      <c r="I9727" s="160" t="s">
        <v>60</v>
      </c>
      <c r="J9727" s="160">
        <v>1.231E-2</v>
      </c>
      <c r="K9727" s="160" t="s">
        <v>23</v>
      </c>
      <c r="L9727" s="154" t="str">
        <f>IF(OpenLCAbasic!K9727="CTUh", "Fill in Manually",IF(OR(K9727="Unit", K9727=""), "", INDEX(LookUps!$E$5:$E$12, MATCH(OpenLCAbasic!K9727,LookUps!$D$5:$D$12,0))))</f>
        <v>Global Warming Potential (GWP) - kg CO2 eq</v>
      </c>
      <c r="M9727" s="154" t="str">
        <f t="shared" si="811"/>
        <v>Low_Base_High_Upgraded_Global Warming Potential (GWP) - kg CO2 eq_Belt filter press; wastewater treatment unit; at updated plant - US_Base_With Amendment_Aerated Static Pile</v>
      </c>
    </row>
    <row r="9728" spans="1:13" s="120" customFormat="1" x14ac:dyDescent="0.25">
      <c r="A9728" s="119"/>
      <c r="B9728" s="138" t="str">
        <f t="shared" si="812"/>
        <v>Aerated Static Pile</v>
      </c>
      <c r="C9728" s="138" t="str">
        <f t="shared" si="813"/>
        <v>Base_With Amendment</v>
      </c>
      <c r="D9728" s="138" t="str">
        <f t="shared" si="810"/>
        <v>Base_High</v>
      </c>
      <c r="E9728" s="138" t="str">
        <f t="shared" si="809"/>
        <v>Low</v>
      </c>
      <c r="F9728" s="138" t="str">
        <f t="shared" si="814"/>
        <v>Upgraded</v>
      </c>
      <c r="G9728" s="153"/>
      <c r="H9728" s="210">
        <v>0.55959999999999999</v>
      </c>
      <c r="I9728" s="160" t="s">
        <v>148</v>
      </c>
      <c r="J9728" s="160">
        <v>8.3000000000000001E-3</v>
      </c>
      <c r="K9728" s="160" t="s">
        <v>23</v>
      </c>
      <c r="L9728" s="154" t="str">
        <f>IF(OpenLCAbasic!K9728="CTUh", "Fill in Manually",IF(OR(K9728="Unit", K9728=""), "", INDEX(LookUps!$E$5:$E$12, MATCH(OpenLCAbasic!K9728,LookUps!$D$5:$D$12,0))))</f>
        <v>Global Warming Potential (GWP) - kg CO2 eq</v>
      </c>
      <c r="M9728" s="154" t="str">
        <f t="shared" si="811"/>
        <v>Low_Base_High_Upgraded_Global Warming Potential (GWP) - kg CO2 eq_Control Building; at upgraded wastewater treatment plant - US_Base_With Amendment_Aerated Static Pile</v>
      </c>
    </row>
    <row r="9729" spans="1:13" s="120" customFormat="1" x14ac:dyDescent="0.25">
      <c r="A9729" s="119"/>
      <c r="B9729" s="138" t="str">
        <f t="shared" si="812"/>
        <v>Aerated Static Pile</v>
      </c>
      <c r="C9729" s="138" t="str">
        <f t="shared" si="813"/>
        <v>Base_With Amendment</v>
      </c>
      <c r="D9729" s="138" t="str">
        <f t="shared" si="810"/>
        <v>Base_High</v>
      </c>
      <c r="E9729" s="138" t="str">
        <f t="shared" si="809"/>
        <v>Low</v>
      </c>
      <c r="F9729" s="138" t="str">
        <f t="shared" si="814"/>
        <v>Upgraded</v>
      </c>
      <c r="G9729" s="153"/>
      <c r="H9729" s="210">
        <v>0.3402</v>
      </c>
      <c r="I9729" s="160" t="s">
        <v>59</v>
      </c>
      <c r="J9729" s="160">
        <v>5.0400000000000002E-3</v>
      </c>
      <c r="K9729" s="160" t="s">
        <v>23</v>
      </c>
      <c r="L9729" s="154" t="str">
        <f>IF(OpenLCAbasic!K9729="CTUh", "Fill in Manually",IF(OR(K9729="Unit", K9729=""), "", INDEX(LookUps!$E$5:$E$12, MATCH(OpenLCAbasic!K9729,LookUps!$D$5:$D$12,0))))</f>
        <v>Global Warming Potential (GWP) - kg CO2 eq</v>
      </c>
      <c r="M9729" s="154" t="str">
        <f t="shared" si="811"/>
        <v>Low_Base_High_Upgraded_Global Warming Potential (GWP) - kg CO2 eq_Blend Tank; wastewater treatment unit; at updated plant - US_Base_With Amendment_Aerated Static Pile</v>
      </c>
    </row>
    <row r="9730" spans="1:13" s="120" customFormat="1" x14ac:dyDescent="0.25">
      <c r="A9730" s="119"/>
      <c r="B9730" s="138" t="str">
        <f t="shared" si="812"/>
        <v>Aerated Static Pile</v>
      </c>
      <c r="C9730" s="138" t="str">
        <f t="shared" si="813"/>
        <v>Base_With Amendment</v>
      </c>
      <c r="D9730" s="138" t="str">
        <f t="shared" si="810"/>
        <v>Base_High</v>
      </c>
      <c r="E9730" s="138" t="str">
        <f t="shared" si="809"/>
        <v>Low</v>
      </c>
      <c r="F9730" s="138" t="str">
        <f t="shared" si="814"/>
        <v>Upgraded</v>
      </c>
      <c r="G9730" s="153"/>
      <c r="H9730" s="210">
        <v>0.1628</v>
      </c>
      <c r="I9730" s="160" t="s">
        <v>168</v>
      </c>
      <c r="J9730" s="160">
        <v>2.4099999999999998E-3</v>
      </c>
      <c r="K9730" s="160" t="s">
        <v>23</v>
      </c>
      <c r="L9730" s="154" t="str">
        <f>IF(OpenLCAbasic!K9730="CTUh", "Fill in Manually",IF(OR(K9730="Unit", K9730=""), "", INDEX(LookUps!$E$5:$E$12, MATCH(OpenLCAbasic!K9730,LookUps!$D$5:$D$12,0))))</f>
        <v>Global Warming Potential (GWP) - kg CO2 eq</v>
      </c>
      <c r="M9730" s="154" t="str">
        <f t="shared" si="811"/>
        <v>Low_Base_High_Upgraded_Global Warming Potential (GWP) - kg CO2 eq_ClearCove SCP; wastewater treatment unit; at updated plant - US_Base_With Amendment_Aerated Static Pile</v>
      </c>
    </row>
    <row r="9731" spans="1:13" s="120" customFormat="1" x14ac:dyDescent="0.25">
      <c r="A9731" s="119"/>
      <c r="B9731" s="138" t="str">
        <f t="shared" si="812"/>
        <v>Aerated Static Pile</v>
      </c>
      <c r="C9731" s="138" t="str">
        <f t="shared" si="813"/>
        <v>Base_With Amendment</v>
      </c>
      <c r="D9731" s="138" t="str">
        <f t="shared" si="810"/>
        <v>Base_High</v>
      </c>
      <c r="E9731" s="138" t="str">
        <f t="shared" si="809"/>
        <v>Low</v>
      </c>
      <c r="F9731" s="138" t="str">
        <f t="shared" si="814"/>
        <v>Upgraded</v>
      </c>
      <c r="G9731" s="153"/>
      <c r="H9731" s="210">
        <v>-29.626200000000001</v>
      </c>
      <c r="I9731" s="160" t="s">
        <v>62</v>
      </c>
      <c r="J9731" s="160">
        <v>-0.43924000000000002</v>
      </c>
      <c r="K9731" s="160" t="s">
        <v>23</v>
      </c>
      <c r="L9731" s="154" t="str">
        <f>IF(OpenLCAbasic!K9731="CTUh", "Fill in Manually",IF(OR(K9731="Unit", K9731=""), "", INDEX(LookUps!$E$5:$E$12, MATCH(OpenLCAbasic!K9731,LookUps!$D$5:$D$12,0))))</f>
        <v>Global Warming Potential (GWP) - kg CO2 eq</v>
      </c>
      <c r="M9731" s="154" t="str">
        <f t="shared" si="811"/>
        <v>Low_Base_High_Upgraded_Global Warming Potential (GWP) - kg CO2 eq_Land application of compost; wastewater treatment unit; at updated plant - US_Base_With Amendment_Aerated Static Pile</v>
      </c>
    </row>
    <row r="9732" spans="1:13" s="120" customFormat="1" x14ac:dyDescent="0.25">
      <c r="A9732" s="119"/>
      <c r="B9732" s="138" t="str">
        <f t="shared" si="812"/>
        <v>Aerated Static Pile</v>
      </c>
      <c r="C9732" s="138" t="str">
        <f t="shared" si="813"/>
        <v>Base_With Amendment</v>
      </c>
      <c r="D9732" s="138" t="str">
        <f t="shared" si="810"/>
        <v>Base_High</v>
      </c>
      <c r="E9732" s="138" t="str">
        <f t="shared" si="809"/>
        <v>Low</v>
      </c>
      <c r="F9732" s="138" t="str">
        <f t="shared" si="814"/>
        <v>Upgraded</v>
      </c>
      <c r="G9732" s="153"/>
      <c r="H9732" s="210">
        <v>-30.290700000000001</v>
      </c>
      <c r="I9732" s="160" t="s">
        <v>149</v>
      </c>
      <c r="J9732" s="160">
        <v>-0.44908999999999999</v>
      </c>
      <c r="K9732" s="160" t="s">
        <v>23</v>
      </c>
      <c r="L9732" s="154" t="str">
        <f>IF(OpenLCAbasic!K9732="CTUh", "Fill in Manually",IF(OR(K9732="Unit", K9732=""), "", INDEX(LookUps!$E$5:$E$12, MATCH(OpenLCAbasic!K9732,LookUps!$D$5:$D$12,0))))</f>
        <v>Global Warming Potential (GWP) - kg CO2 eq</v>
      </c>
      <c r="M9732" s="154" t="str">
        <f t="shared" si="811"/>
        <v>Low_Base_High_Upgraded_Global Warming Potential (GWP) - kg CO2 eq_Anaerobic Digestion; wastewater treatment unit; at updated plant - US_Base_With Amendment_Aerated Static Pile</v>
      </c>
    </row>
    <row r="9733" spans="1:13" s="120" customFormat="1" x14ac:dyDescent="0.25">
      <c r="A9733" s="119"/>
      <c r="B9733" s="138" t="str">
        <f t="shared" si="812"/>
        <v/>
      </c>
      <c r="C9733" s="138" t="str">
        <f t="shared" si="813"/>
        <v/>
      </c>
      <c r="D9733" s="138" t="str">
        <f t="shared" si="810"/>
        <v/>
      </c>
      <c r="E9733" s="138" t="str">
        <f t="shared" si="809"/>
        <v/>
      </c>
      <c r="F9733" s="138" t="str">
        <f t="shared" si="814"/>
        <v/>
      </c>
      <c r="G9733" s="153" t="s">
        <v>51</v>
      </c>
      <c r="H9733" s="160"/>
      <c r="I9733" s="160" t="s">
        <v>47</v>
      </c>
      <c r="J9733" s="160" t="s">
        <v>52</v>
      </c>
      <c r="K9733" s="160" t="s">
        <v>27</v>
      </c>
      <c r="L9733" s="154" t="str">
        <f>IF(OpenLCAbasic!K9733="CTUh", "Fill in Manually",IF(OR(K9733="Unit", K9733=""), "", INDEX(LookUps!$E$5:$E$12, MATCH(OpenLCAbasic!K9733,LookUps!$D$5:$D$12,0))))</f>
        <v/>
      </c>
      <c r="M9733" s="154" t="str">
        <f t="shared" si="811"/>
        <v>____Process__</v>
      </c>
    </row>
    <row r="9734" spans="1:13" s="120" customFormat="1" x14ac:dyDescent="0.25">
      <c r="A9734" s="119"/>
      <c r="B9734" s="138" t="str">
        <f t="shared" si="812"/>
        <v>Aerated Static Pile</v>
      </c>
      <c r="C9734" s="138" t="str">
        <f t="shared" si="813"/>
        <v>Base_With Amendment</v>
      </c>
      <c r="D9734" s="138" t="str">
        <f t="shared" si="810"/>
        <v>Base_High</v>
      </c>
      <c r="E9734" s="138" t="str">
        <f t="shared" si="809"/>
        <v>Low</v>
      </c>
      <c r="F9734" s="138" t="str">
        <f t="shared" si="814"/>
        <v>Upgraded</v>
      </c>
      <c r="G9734" s="153"/>
      <c r="H9734" s="210">
        <v>3.0952999999999999</v>
      </c>
      <c r="I9734" s="160" t="s">
        <v>55</v>
      </c>
      <c r="J9734" s="160">
        <v>2.33E-3</v>
      </c>
      <c r="K9734" s="160" t="s">
        <v>145</v>
      </c>
      <c r="L9734" s="154" t="str">
        <f>IF(OpenLCAbasic!K9734="CTUh", "Fill in Manually",IF(OR(K9734="Unit", K9734=""), "", INDEX(LookUps!$E$5:$E$12, MATCH(OpenLCAbasic!K9734,LookUps!$D$5:$D$12,0))))</f>
        <v>Particulate Matter Formation Potential (PMFP) - kg PM2.5 eq</v>
      </c>
      <c r="M9734" s="154" t="str">
        <f t="shared" si="811"/>
        <v>Low_Base_High_Upgraded_Particulate Matter Formation Potential (PMFP) - kg PM2.5 eq_Aeration Tanks; wastewater treatment unit; at updated plant - US_Base_With Amendment_Aerated Static Pile</v>
      </c>
    </row>
    <row r="9735" spans="1:13" s="120" customFormat="1" x14ac:dyDescent="0.25">
      <c r="A9735" s="119"/>
      <c r="B9735" s="138" t="str">
        <f t="shared" si="812"/>
        <v>Aerated Static Pile</v>
      </c>
      <c r="C9735" s="138" t="str">
        <f t="shared" si="813"/>
        <v>Base_With Amendment</v>
      </c>
      <c r="D9735" s="138" t="str">
        <f t="shared" si="810"/>
        <v>Base_High</v>
      </c>
      <c r="E9735" s="138" t="str">
        <f t="shared" si="809"/>
        <v>Low</v>
      </c>
      <c r="F9735" s="138" t="str">
        <f t="shared" si="814"/>
        <v>Upgraded</v>
      </c>
      <c r="G9735" s="153"/>
      <c r="H9735" s="210">
        <v>1.0457000000000001</v>
      </c>
      <c r="I9735" s="160" t="s">
        <v>435</v>
      </c>
      <c r="J9735" s="160">
        <v>7.9000000000000001E-4</v>
      </c>
      <c r="K9735" s="160" t="s">
        <v>145</v>
      </c>
      <c r="L9735" s="154" t="str">
        <f>IF(OpenLCAbasic!K9735="CTUh", "Fill in Manually",IF(OR(K9735="Unit", K9735=""), "", INDEX(LookUps!$E$5:$E$12, MATCH(OpenLCAbasic!K9735,LookUps!$D$5:$D$12,0))))</f>
        <v>Particulate Matter Formation Potential (PMFP) - kg PM2.5 eq</v>
      </c>
      <c r="M9735" s="154" t="str">
        <f t="shared" si="811"/>
        <v>Low_Base_High_Upgraded_Particulate Matter Formation Potential (PMFP) - kg PM2.5 eq_Biosolids composting; aerated static pile; wastewater treatment unit; at updated plant - US_Base_With Amendment_Aerated Static Pile</v>
      </c>
    </row>
    <row r="9736" spans="1:13" s="120" customFormat="1" x14ac:dyDescent="0.25">
      <c r="A9736" s="119"/>
      <c r="B9736" s="138" t="str">
        <f t="shared" si="812"/>
        <v>Aerated Static Pile</v>
      </c>
      <c r="C9736" s="138" t="str">
        <f t="shared" si="813"/>
        <v>Base_With Amendment</v>
      </c>
      <c r="D9736" s="138" t="str">
        <f t="shared" si="810"/>
        <v>Base_High</v>
      </c>
      <c r="E9736" s="138" t="str">
        <f t="shared" si="809"/>
        <v>Low</v>
      </c>
      <c r="F9736" s="138" t="str">
        <f t="shared" si="814"/>
        <v>Upgraded</v>
      </c>
      <c r="G9736" s="153"/>
      <c r="H9736" s="210">
        <v>0.90069999999999995</v>
      </c>
      <c r="I9736" s="160" t="s">
        <v>54</v>
      </c>
      <c r="J9736" s="160">
        <v>6.8000000000000005E-4</v>
      </c>
      <c r="K9736" s="160" t="s">
        <v>145</v>
      </c>
      <c r="L9736" s="154" t="str">
        <f>IF(OpenLCAbasic!K9736="CTUh", "Fill in Manually",IF(OR(K9736="Unit", K9736=""), "", INDEX(LookUps!$E$5:$E$12, MATCH(OpenLCAbasic!K9736,LookUps!$D$5:$D$12,0))))</f>
        <v>Particulate Matter Formation Potential (PMFP) - kg PM2.5 eq</v>
      </c>
      <c r="M9736" s="154" t="str">
        <f t="shared" si="811"/>
        <v>Low_Base_High_Upgraded_Particulate Matter Formation Potential (PMFP) - kg PM2.5 eq_Clear Cove Primary Clarification; wastewater treatment unit; at updated plant - US_Base_With Amendment_Aerated Static Pile</v>
      </c>
    </row>
    <row r="9737" spans="1:13" s="120" customFormat="1" x14ac:dyDescent="0.25">
      <c r="A9737" s="119"/>
      <c r="B9737" s="138" t="str">
        <f t="shared" si="812"/>
        <v>Aerated Static Pile</v>
      </c>
      <c r="C9737" s="138" t="str">
        <f t="shared" si="813"/>
        <v>Base_With Amendment</v>
      </c>
      <c r="D9737" s="138" t="str">
        <f t="shared" si="810"/>
        <v>Base_High</v>
      </c>
      <c r="E9737" s="138" t="str">
        <f t="shared" si="809"/>
        <v>Low</v>
      </c>
      <c r="F9737" s="138" t="str">
        <f t="shared" si="814"/>
        <v>Upgraded</v>
      </c>
      <c r="G9737" s="153"/>
      <c r="H9737" s="210">
        <v>0.7782</v>
      </c>
      <c r="I9737" s="160" t="s">
        <v>58</v>
      </c>
      <c r="J9737" s="160">
        <v>5.9000000000000003E-4</v>
      </c>
      <c r="K9737" s="160" t="s">
        <v>145</v>
      </c>
      <c r="L9737" s="154" t="str">
        <f>IF(OpenLCAbasic!K9737="CTUh", "Fill in Manually",IF(OR(K9737="Unit", K9737=""), "", INDEX(LookUps!$E$5:$E$12, MATCH(OpenLCAbasic!K9737,LookUps!$D$5:$D$12,0))))</f>
        <v>Particulate Matter Formation Potential (PMFP) - kg PM2.5 eq</v>
      </c>
      <c r="M9737" s="154" t="str">
        <f t="shared" si="811"/>
        <v>Low_Base_High_Upgraded_Particulate Matter Formation Potential (PMFP) - kg PM2.5 eq_Pre-Anoxic &amp; Swing tank; wastewater treatment unit; at updated plant - US_Base_With Amendment_Aerated Static Pile</v>
      </c>
    </row>
    <row r="9738" spans="1:13" s="120" customFormat="1" x14ac:dyDescent="0.25">
      <c r="A9738" s="119"/>
      <c r="B9738" s="138" t="str">
        <f t="shared" si="812"/>
        <v>Aerated Static Pile</v>
      </c>
      <c r="C9738" s="138" t="str">
        <f t="shared" si="813"/>
        <v>Base_With Amendment</v>
      </c>
      <c r="D9738" s="138" t="str">
        <f t="shared" si="810"/>
        <v>Base_High</v>
      </c>
      <c r="E9738" s="138" t="str">
        <f t="shared" si="809"/>
        <v>Low</v>
      </c>
      <c r="F9738" s="138" t="str">
        <f t="shared" si="814"/>
        <v>Upgraded</v>
      </c>
      <c r="G9738" s="153"/>
      <c r="H9738" s="210">
        <v>0.61890000000000001</v>
      </c>
      <c r="I9738" s="160" t="s">
        <v>53</v>
      </c>
      <c r="J9738" s="160">
        <v>4.6999999999999999E-4</v>
      </c>
      <c r="K9738" s="160" t="s">
        <v>145</v>
      </c>
      <c r="L9738" s="154" t="str">
        <f>IF(OpenLCAbasic!K9738="CTUh", "Fill in Manually",IF(OR(K9738="Unit", K9738=""), "", INDEX(LookUps!$E$5:$E$12, MATCH(OpenLCAbasic!K9738,LookUps!$D$5:$D$12,0))))</f>
        <v>Particulate Matter Formation Potential (PMFP) - kg PM2.5 eq</v>
      </c>
      <c r="M9738" s="154" t="str">
        <f t="shared" si="811"/>
        <v>Low_Base_High_Upgraded_Particulate Matter Formation Potential (PMFP) - kg PM2.5 eq_Wet Well and Sump Station; wastewater treatment unit; at updated plant - US_Base_With Amendment_Aerated Static Pile</v>
      </c>
    </row>
    <row r="9739" spans="1:13" s="120" customFormat="1" x14ac:dyDescent="0.25">
      <c r="A9739" s="119"/>
      <c r="B9739" s="138" t="str">
        <f t="shared" si="812"/>
        <v>Aerated Static Pile</v>
      </c>
      <c r="C9739" s="138" t="str">
        <f t="shared" si="813"/>
        <v>Base_With Amendment</v>
      </c>
      <c r="D9739" s="138" t="str">
        <f t="shared" si="810"/>
        <v>Base_High</v>
      </c>
      <c r="E9739" s="138" t="str">
        <f t="shared" si="809"/>
        <v>Low</v>
      </c>
      <c r="F9739" s="138" t="str">
        <f t="shared" si="814"/>
        <v>Upgraded</v>
      </c>
      <c r="G9739" s="153"/>
      <c r="H9739" s="210">
        <v>0.39679999999999999</v>
      </c>
      <c r="I9739" s="160" t="s">
        <v>167</v>
      </c>
      <c r="J9739" s="160">
        <v>2.9999999999999997E-4</v>
      </c>
      <c r="K9739" s="160" t="s">
        <v>145</v>
      </c>
      <c r="L9739" s="154" t="str">
        <f>IF(OpenLCAbasic!K9739="CTUh", "Fill in Manually",IF(OR(K9739="Unit", K9739=""), "", INDEX(LookUps!$E$5:$E$12, MATCH(OpenLCAbasic!K9739,LookUps!$D$5:$D$12,0))))</f>
        <v>Particulate Matter Formation Potential (PMFP) - kg PM2.5 eq</v>
      </c>
      <c r="M9739" s="154" t="str">
        <f t="shared" si="811"/>
        <v>Low_Base_High_Upgraded_Particulate Matter Formation Potential (PMFP) - kg PM2.5 eq_Waste Receiving and Holding; wastewater treatment unit; at updated plant - US_Base_With Amendment_Aerated Static Pile</v>
      </c>
    </row>
    <row r="9740" spans="1:13" s="120" customFormat="1" x14ac:dyDescent="0.25">
      <c r="A9740" s="119"/>
      <c r="B9740" s="138" t="str">
        <f t="shared" si="812"/>
        <v>Aerated Static Pile</v>
      </c>
      <c r="C9740" s="138" t="str">
        <f t="shared" si="813"/>
        <v>Base_With Amendment</v>
      </c>
      <c r="D9740" s="138" t="str">
        <f t="shared" si="810"/>
        <v>Base_High</v>
      </c>
      <c r="E9740" s="138" t="str">
        <f t="shared" si="809"/>
        <v>Low</v>
      </c>
      <c r="F9740" s="138" t="str">
        <f t="shared" si="814"/>
        <v>Upgraded</v>
      </c>
      <c r="G9740" s="153"/>
      <c r="H9740" s="210">
        <v>0.35370000000000001</v>
      </c>
      <c r="I9740" s="160" t="s">
        <v>147</v>
      </c>
      <c r="J9740" s="160">
        <v>2.7E-4</v>
      </c>
      <c r="K9740" s="160" t="s">
        <v>145</v>
      </c>
      <c r="L9740" s="154" t="str">
        <f>IF(OpenLCAbasic!K9740="CTUh", "Fill in Manually",IF(OR(K9740="Unit", K9740=""), "", INDEX(LookUps!$E$5:$E$12, MATCH(OpenLCAbasic!K9740,LookUps!$D$5:$D$12,0))))</f>
        <v>Particulate Matter Formation Potential (PMFP) - kg PM2.5 eq</v>
      </c>
      <c r="M9740" s="154" t="str">
        <f t="shared" si="811"/>
        <v>Low_Base_High_Upgraded_Particulate Matter Formation Potential (PMFP) - kg PM2.5 eq_Influent Pump Station; wastewater treatment unit; at updated plant - US_Base_With Amendment_Aerated Static Pile</v>
      </c>
    </row>
    <row r="9741" spans="1:13" s="120" customFormat="1" x14ac:dyDescent="0.25">
      <c r="A9741" s="119"/>
      <c r="B9741" s="138" t="str">
        <f t="shared" si="812"/>
        <v>Aerated Static Pile</v>
      </c>
      <c r="C9741" s="138" t="str">
        <f t="shared" si="813"/>
        <v>Base_With Amendment</v>
      </c>
      <c r="D9741" s="138" t="str">
        <f t="shared" si="810"/>
        <v>Base_High</v>
      </c>
      <c r="E9741" s="138" t="str">
        <f t="shared" si="809"/>
        <v>Low</v>
      </c>
      <c r="F9741" s="138" t="str">
        <f t="shared" si="814"/>
        <v>Upgraded</v>
      </c>
      <c r="G9741" s="153"/>
      <c r="H9741" s="210">
        <v>0.2208</v>
      </c>
      <c r="I9741" s="160" t="s">
        <v>128</v>
      </c>
      <c r="J9741" s="160">
        <v>1.7000000000000001E-4</v>
      </c>
      <c r="K9741" s="160" t="s">
        <v>145</v>
      </c>
      <c r="L9741" s="154" t="str">
        <f>IF(OpenLCAbasic!K9741="CTUh", "Fill in Manually",IF(OR(K9741="Unit", K9741=""), "", INDEX(LookUps!$E$5:$E$12, MATCH(OpenLCAbasic!K9741,LookUps!$D$5:$D$12,0))))</f>
        <v>Particulate Matter Formation Potential (PMFP) - kg PM2.5 eq</v>
      </c>
      <c r="M9741" s="154" t="str">
        <f t="shared" si="811"/>
        <v>Low_Base_High_Upgraded_Particulate Matter Formation Potential (PMFP) - kg PM2.5 eq_Wastewater collection; operation and infrastructure; m3 wastewater_Base_With Amendment_Aerated Static Pile</v>
      </c>
    </row>
    <row r="9742" spans="1:13" s="120" customFormat="1" x14ac:dyDescent="0.25">
      <c r="A9742" s="119"/>
      <c r="B9742" s="138" t="str">
        <f t="shared" si="812"/>
        <v>Aerated Static Pile</v>
      </c>
      <c r="C9742" s="138" t="str">
        <f t="shared" si="813"/>
        <v>Base_With Amendment</v>
      </c>
      <c r="D9742" s="138" t="str">
        <f t="shared" si="810"/>
        <v>Base_High</v>
      </c>
      <c r="E9742" s="138" t="str">
        <f t="shared" si="809"/>
        <v>Low</v>
      </c>
      <c r="F9742" s="138" t="str">
        <f t="shared" si="814"/>
        <v>Upgraded</v>
      </c>
      <c r="G9742" s="153"/>
      <c r="H9742" s="210">
        <v>0.13339999999999999</v>
      </c>
      <c r="I9742" s="160" t="s">
        <v>60</v>
      </c>
      <c r="J9742" s="160">
        <v>1E-4</v>
      </c>
      <c r="K9742" s="160" t="s">
        <v>145</v>
      </c>
      <c r="L9742" s="154" t="str">
        <f>IF(OpenLCAbasic!K9742="CTUh", "Fill in Manually",IF(OR(K9742="Unit", K9742=""), "", INDEX(LookUps!$E$5:$E$12, MATCH(OpenLCAbasic!K9742,LookUps!$D$5:$D$12,0))))</f>
        <v>Particulate Matter Formation Potential (PMFP) - kg PM2.5 eq</v>
      </c>
      <c r="M9742" s="154" t="str">
        <f t="shared" si="811"/>
        <v>Low_Base_High_Upgraded_Particulate Matter Formation Potential (PMFP) - kg PM2.5 eq_Belt filter press; wastewater treatment unit; at updated plant - US_Base_With Amendment_Aerated Static Pile</v>
      </c>
    </row>
    <row r="9743" spans="1:13" s="120" customFormat="1" x14ac:dyDescent="0.25">
      <c r="A9743" s="119"/>
      <c r="B9743" s="138" t="str">
        <f t="shared" si="812"/>
        <v>Aerated Static Pile</v>
      </c>
      <c r="C9743" s="138" t="str">
        <f t="shared" si="813"/>
        <v>Base_With Amendment</v>
      </c>
      <c r="D9743" s="138" t="str">
        <f t="shared" si="810"/>
        <v>Base_High</v>
      </c>
      <c r="E9743" s="138" t="str">
        <f t="shared" si="809"/>
        <v>Low</v>
      </c>
      <c r="F9743" s="138" t="str">
        <f t="shared" si="814"/>
        <v>Upgraded</v>
      </c>
      <c r="G9743" s="153"/>
      <c r="H9743" s="210">
        <v>0.12620000000000001</v>
      </c>
      <c r="I9743" s="160" t="s">
        <v>57</v>
      </c>
      <c r="J9743" s="211">
        <v>9.5153800000000004E-5</v>
      </c>
      <c r="K9743" s="160" t="s">
        <v>145</v>
      </c>
      <c r="L9743" s="154" t="str">
        <f>IF(OpenLCAbasic!K9743="CTUh", "Fill in Manually",IF(OR(K9743="Unit", K9743=""), "", INDEX(LookUps!$E$5:$E$12, MATCH(OpenLCAbasic!K9743,LookUps!$D$5:$D$12,0))))</f>
        <v>Particulate Matter Formation Potential (PMFP) - kg PM2.5 eq</v>
      </c>
      <c r="M9743" s="154" t="str">
        <f t="shared" si="811"/>
        <v>Low_Base_High_Upgraded_Particulate Matter Formation Potential (PMFP) - kg PM2.5 eq_Gravity Belt Thickener; wastewater treatment unit; at updated plant - US_Base_With Amendment_Aerated Static Pile</v>
      </c>
    </row>
    <row r="9744" spans="1:13" s="120" customFormat="1" x14ac:dyDescent="0.25">
      <c r="A9744" s="119"/>
      <c r="B9744" s="138" t="str">
        <f t="shared" si="812"/>
        <v>Aerated Static Pile</v>
      </c>
      <c r="C9744" s="138" t="str">
        <f t="shared" si="813"/>
        <v>Base_With Amendment</v>
      </c>
      <c r="D9744" s="138" t="str">
        <f t="shared" si="810"/>
        <v>Base_High</v>
      </c>
      <c r="E9744" s="138" t="str">
        <f t="shared" si="809"/>
        <v>Low</v>
      </c>
      <c r="F9744" s="138" t="str">
        <f t="shared" si="814"/>
        <v>Upgraded</v>
      </c>
      <c r="G9744" s="153"/>
      <c r="H9744" s="210">
        <v>9.2799999999999994E-2</v>
      </c>
      <c r="I9744" s="160" t="s">
        <v>59</v>
      </c>
      <c r="J9744" s="211">
        <v>6.9942200000000003E-5</v>
      </c>
      <c r="K9744" s="160" t="s">
        <v>145</v>
      </c>
      <c r="L9744" s="154" t="str">
        <f>IF(OpenLCAbasic!K9744="CTUh", "Fill in Manually",IF(OR(K9744="Unit", K9744=""), "", INDEX(LookUps!$E$5:$E$12, MATCH(OpenLCAbasic!K9744,LookUps!$D$5:$D$12,0))))</f>
        <v>Particulate Matter Formation Potential (PMFP) - kg PM2.5 eq</v>
      </c>
      <c r="M9744" s="154" t="str">
        <f t="shared" si="811"/>
        <v>Low_Base_High_Upgraded_Particulate Matter Formation Potential (PMFP) - kg PM2.5 eq_Blend Tank; wastewater treatment unit; at updated plant - US_Base_With Amendment_Aerated Static Pile</v>
      </c>
    </row>
    <row r="9745" spans="1:13" s="120" customFormat="1" x14ac:dyDescent="0.25">
      <c r="A9745" s="119"/>
      <c r="B9745" s="138" t="str">
        <f t="shared" si="812"/>
        <v>Aerated Static Pile</v>
      </c>
      <c r="C9745" s="138" t="str">
        <f t="shared" si="813"/>
        <v>Base_With Amendment</v>
      </c>
      <c r="D9745" s="138" t="str">
        <f t="shared" si="810"/>
        <v>Base_High</v>
      </c>
      <c r="E9745" s="138" t="str">
        <f t="shared" si="809"/>
        <v>Low</v>
      </c>
      <c r="F9745" s="138" t="str">
        <f t="shared" si="814"/>
        <v>Upgraded</v>
      </c>
      <c r="G9745" s="153"/>
      <c r="H9745" s="210">
        <v>6.6299999999999998E-2</v>
      </c>
      <c r="I9745" s="160" t="s">
        <v>48</v>
      </c>
      <c r="J9745" s="211">
        <v>4.99741E-5</v>
      </c>
      <c r="K9745" s="160" t="s">
        <v>145</v>
      </c>
      <c r="L9745" s="154" t="str">
        <f>IF(OpenLCAbasic!K9745="CTUh", "Fill in Manually",IF(OR(K9745="Unit", K9745=""), "", INDEX(LookUps!$E$5:$E$12, MATCH(OpenLCAbasic!K9745,LookUps!$D$5:$D$12,0))))</f>
        <v>Particulate Matter Formation Potential (PMFP) - kg PM2.5 eq</v>
      </c>
      <c r="M9745" s="154" t="str">
        <f t="shared" si="811"/>
        <v>Low_Base_High_Upgraded_Particulate Matter Formation Potential (PMFP) - kg PM2.5 eq_Effluent release; wastewater treatment unit; at surface water; m3 wastewater - US_Base_With Amendment_Aerated Static Pile</v>
      </c>
    </row>
    <row r="9746" spans="1:13" s="120" customFormat="1" x14ac:dyDescent="0.25">
      <c r="A9746" s="119"/>
      <c r="B9746" s="138" t="str">
        <f t="shared" si="812"/>
        <v>Aerated Static Pile</v>
      </c>
      <c r="C9746" s="138" t="str">
        <f t="shared" si="813"/>
        <v>Base_With Amendment</v>
      </c>
      <c r="D9746" s="138" t="str">
        <f t="shared" si="810"/>
        <v>Base_High</v>
      </c>
      <c r="E9746" s="138" t="str">
        <f t="shared" si="809"/>
        <v>Low</v>
      </c>
      <c r="F9746" s="138" t="str">
        <f t="shared" si="814"/>
        <v>Upgraded</v>
      </c>
      <c r="G9746" s="153"/>
      <c r="H9746" s="210">
        <v>6.59E-2</v>
      </c>
      <c r="I9746" s="160" t="s">
        <v>62</v>
      </c>
      <c r="J9746" s="211">
        <v>4.9660999999999998E-5</v>
      </c>
      <c r="K9746" s="160" t="s">
        <v>145</v>
      </c>
      <c r="L9746" s="154" t="str">
        <f>IF(OpenLCAbasic!K9746="CTUh", "Fill in Manually",IF(OR(K9746="Unit", K9746=""), "", INDEX(LookUps!$E$5:$E$12, MATCH(OpenLCAbasic!K9746,LookUps!$D$5:$D$12,0))))</f>
        <v>Particulate Matter Formation Potential (PMFP) - kg PM2.5 eq</v>
      </c>
      <c r="M9746" s="154" t="str">
        <f t="shared" si="811"/>
        <v>Low_Base_High_Upgraded_Particulate Matter Formation Potential (PMFP) - kg PM2.5 eq_Land application of compost; wastewater treatment unit; at updated plant - US_Base_With Amendment_Aerated Static Pile</v>
      </c>
    </row>
    <row r="9747" spans="1:13" s="120" customFormat="1" x14ac:dyDescent="0.25">
      <c r="A9747" s="119"/>
      <c r="B9747" s="138" t="str">
        <f t="shared" si="812"/>
        <v>Aerated Static Pile</v>
      </c>
      <c r="C9747" s="138" t="str">
        <f t="shared" si="813"/>
        <v>Base_With Amendment</v>
      </c>
      <c r="D9747" s="138" t="str">
        <f t="shared" si="810"/>
        <v>Base_High</v>
      </c>
      <c r="E9747" s="138" t="str">
        <f t="shared" si="809"/>
        <v>Low</v>
      </c>
      <c r="F9747" s="138" t="str">
        <f t="shared" si="814"/>
        <v>Upgraded</v>
      </c>
      <c r="G9747" s="153"/>
      <c r="H9747" s="210">
        <v>4.58E-2</v>
      </c>
      <c r="I9747" s="160" t="s">
        <v>168</v>
      </c>
      <c r="J9747" s="211">
        <v>3.4562199999999999E-5</v>
      </c>
      <c r="K9747" s="160" t="s">
        <v>145</v>
      </c>
      <c r="L9747" s="154" t="str">
        <f>IF(OpenLCAbasic!K9747="CTUh", "Fill in Manually",IF(OR(K9747="Unit", K9747=""), "", INDEX(LookUps!$E$5:$E$12, MATCH(OpenLCAbasic!K9747,LookUps!$D$5:$D$12,0))))</f>
        <v>Particulate Matter Formation Potential (PMFP) - kg PM2.5 eq</v>
      </c>
      <c r="M9747" s="154" t="str">
        <f t="shared" si="811"/>
        <v>Low_Base_High_Upgraded_Particulate Matter Formation Potential (PMFP) - kg PM2.5 eq_ClearCove SCP; wastewater treatment unit; at updated plant - US_Base_With Amendment_Aerated Static Pile</v>
      </c>
    </row>
    <row r="9748" spans="1:13" s="120" customFormat="1" x14ac:dyDescent="0.25">
      <c r="A9748" s="119"/>
      <c r="B9748" s="138" t="str">
        <f t="shared" si="812"/>
        <v>Aerated Static Pile</v>
      </c>
      <c r="C9748" s="138" t="str">
        <f t="shared" si="813"/>
        <v>Base_With Amendment</v>
      </c>
      <c r="D9748" s="138" t="str">
        <f t="shared" si="810"/>
        <v>Base_High</v>
      </c>
      <c r="E9748" s="138" t="str">
        <f t="shared" si="809"/>
        <v>Low</v>
      </c>
      <c r="F9748" s="138" t="str">
        <f t="shared" si="814"/>
        <v>Upgraded</v>
      </c>
      <c r="G9748" s="153"/>
      <c r="H9748" s="210">
        <v>1.17E-2</v>
      </c>
      <c r="I9748" s="160" t="s">
        <v>148</v>
      </c>
      <c r="J9748" s="211">
        <v>8.8212999999999997E-6</v>
      </c>
      <c r="K9748" s="160" t="s">
        <v>145</v>
      </c>
      <c r="L9748" s="154" t="str">
        <f>IF(OpenLCAbasic!K9748="CTUh", "Fill in Manually",IF(OR(K9748="Unit", K9748=""), "", INDEX(LookUps!$E$5:$E$12, MATCH(OpenLCAbasic!K9748,LookUps!$D$5:$D$12,0))))</f>
        <v>Particulate Matter Formation Potential (PMFP) - kg PM2.5 eq</v>
      </c>
      <c r="M9748" s="154" t="str">
        <f t="shared" si="811"/>
        <v>Low_Base_High_Upgraded_Particulate Matter Formation Potential (PMFP) - kg PM2.5 eq_Control Building; at upgraded wastewater treatment plant - US_Base_With Amendment_Aerated Static Pile</v>
      </c>
    </row>
    <row r="9749" spans="1:13" s="120" customFormat="1" x14ac:dyDescent="0.25">
      <c r="A9749" s="119"/>
      <c r="B9749" s="138" t="str">
        <f t="shared" si="812"/>
        <v>Aerated Static Pile</v>
      </c>
      <c r="C9749" s="138" t="str">
        <f t="shared" si="813"/>
        <v>Base_With Amendment</v>
      </c>
      <c r="D9749" s="138" t="str">
        <f t="shared" si="810"/>
        <v>Base_High</v>
      </c>
      <c r="E9749" s="138" t="str">
        <f t="shared" si="809"/>
        <v>Low</v>
      </c>
      <c r="F9749" s="138" t="str">
        <f t="shared" si="814"/>
        <v>Upgraded</v>
      </c>
      <c r="G9749" s="153"/>
      <c r="H9749" s="210">
        <v>-6.9520999999999997</v>
      </c>
      <c r="I9749" s="160" t="s">
        <v>149</v>
      </c>
      <c r="J9749" s="160">
        <v>-5.2399999999999999E-3</v>
      </c>
      <c r="K9749" s="160" t="s">
        <v>145</v>
      </c>
      <c r="L9749" s="154" t="str">
        <f>IF(OpenLCAbasic!K9749="CTUh", "Fill in Manually",IF(OR(K9749="Unit", K9749=""), "", INDEX(LookUps!$E$5:$E$12, MATCH(OpenLCAbasic!K9749,LookUps!$D$5:$D$12,0))))</f>
        <v>Particulate Matter Formation Potential (PMFP) - kg PM2.5 eq</v>
      </c>
      <c r="M9749" s="154" t="str">
        <f t="shared" si="811"/>
        <v>Low_Base_High_Upgraded_Particulate Matter Formation Potential (PMFP) - kg PM2.5 eq_Anaerobic Digestion; wastewater treatment unit; at updated plant - US_Base_With Amendment_Aerated Static Pile</v>
      </c>
    </row>
    <row r="9750" spans="1:13" s="120" customFormat="1" x14ac:dyDescent="0.25">
      <c r="A9750" s="119"/>
      <c r="B9750" s="138" t="str">
        <f t="shared" si="812"/>
        <v/>
      </c>
      <c r="C9750" s="138" t="str">
        <f t="shared" si="813"/>
        <v/>
      </c>
      <c r="D9750" s="138" t="str">
        <f t="shared" si="810"/>
        <v/>
      </c>
      <c r="E9750" s="138" t="str">
        <f t="shared" si="809"/>
        <v/>
      </c>
      <c r="F9750" s="138" t="str">
        <f t="shared" si="814"/>
        <v/>
      </c>
      <c r="G9750" s="153" t="s">
        <v>51</v>
      </c>
      <c r="H9750" s="160"/>
      <c r="I9750" s="160" t="s">
        <v>47</v>
      </c>
      <c r="J9750" s="160" t="s">
        <v>52</v>
      </c>
      <c r="K9750" s="160" t="s">
        <v>27</v>
      </c>
      <c r="L9750" s="154" t="str">
        <f>IF(OpenLCAbasic!K9750="CTUh", "Fill in Manually",IF(OR(K9750="Unit", K9750=""), "", INDEX(LookUps!$E$5:$E$12, MATCH(OpenLCAbasic!K9750,LookUps!$D$5:$D$12,0))))</f>
        <v/>
      </c>
      <c r="M9750" s="154" t="str">
        <f t="shared" si="811"/>
        <v>____Process__</v>
      </c>
    </row>
    <row r="9751" spans="1:13" s="120" customFormat="1" x14ac:dyDescent="0.25">
      <c r="A9751" s="119"/>
      <c r="B9751" s="138" t="str">
        <f t="shared" si="812"/>
        <v>Aerated Static Pile</v>
      </c>
      <c r="C9751" s="138" t="str">
        <f t="shared" si="813"/>
        <v>Base_With Amendment</v>
      </c>
      <c r="D9751" s="138" t="str">
        <f t="shared" si="810"/>
        <v>Base_High</v>
      </c>
      <c r="E9751" s="138" t="str">
        <f t="shared" si="809"/>
        <v>Low</v>
      </c>
      <c r="F9751" s="138" t="str">
        <f t="shared" si="814"/>
        <v>Upgraded</v>
      </c>
      <c r="G9751" s="153"/>
      <c r="H9751" s="210">
        <v>3.1473</v>
      </c>
      <c r="I9751" s="160" t="s">
        <v>55</v>
      </c>
      <c r="J9751" s="160">
        <v>0.16577</v>
      </c>
      <c r="K9751" s="160" t="s">
        <v>25</v>
      </c>
      <c r="L9751" s="154" t="str">
        <f>IF(OpenLCAbasic!K9751="CTUh", "Fill in Manually",IF(OR(K9751="Unit", K9751=""), "", INDEX(LookUps!$E$5:$E$12, MATCH(OpenLCAbasic!K9751,LookUps!$D$5:$D$12,0))))</f>
        <v>Smog Formation Potential (SFP) - kg O3 eq</v>
      </c>
      <c r="M9751" s="154" t="str">
        <f t="shared" si="811"/>
        <v>Low_Base_High_Upgraded_Smog Formation Potential (SFP) - kg O3 eq_Aeration Tanks; wastewater treatment unit; at updated plant - US_Base_With Amendment_Aerated Static Pile</v>
      </c>
    </row>
    <row r="9752" spans="1:13" s="120" customFormat="1" x14ac:dyDescent="0.25">
      <c r="A9752" s="119"/>
      <c r="B9752" s="138" t="str">
        <f t="shared" si="812"/>
        <v>Aerated Static Pile</v>
      </c>
      <c r="C9752" s="138" t="str">
        <f t="shared" si="813"/>
        <v>Base_With Amendment</v>
      </c>
      <c r="D9752" s="138" t="str">
        <f t="shared" si="810"/>
        <v>Base_High</v>
      </c>
      <c r="E9752" s="138" t="str">
        <f t="shared" si="809"/>
        <v>Low</v>
      </c>
      <c r="F9752" s="138" t="str">
        <f t="shared" si="814"/>
        <v>Upgraded</v>
      </c>
      <c r="G9752" s="153"/>
      <c r="H9752" s="210">
        <v>1.0630999999999999</v>
      </c>
      <c r="I9752" s="160" t="s">
        <v>435</v>
      </c>
      <c r="J9752" s="160">
        <v>5.5989999999999998E-2</v>
      </c>
      <c r="K9752" s="160" t="s">
        <v>25</v>
      </c>
      <c r="L9752" s="154" t="str">
        <f>IF(OpenLCAbasic!K9752="CTUh", "Fill in Manually",IF(OR(K9752="Unit", K9752=""), "", INDEX(LookUps!$E$5:$E$12, MATCH(OpenLCAbasic!K9752,LookUps!$D$5:$D$12,0))))</f>
        <v>Smog Formation Potential (SFP) - kg O3 eq</v>
      </c>
      <c r="M9752" s="154" t="str">
        <f t="shared" si="811"/>
        <v>Low_Base_High_Upgraded_Smog Formation Potential (SFP) - kg O3 eq_Biosolids composting; aerated static pile; wastewater treatment unit; at updated plant - US_Base_With Amendment_Aerated Static Pile</v>
      </c>
    </row>
    <row r="9753" spans="1:13" s="120" customFormat="1" x14ac:dyDescent="0.25">
      <c r="A9753" s="119"/>
      <c r="B9753" s="138" t="str">
        <f t="shared" si="812"/>
        <v>Aerated Static Pile</v>
      </c>
      <c r="C9753" s="138" t="str">
        <f t="shared" si="813"/>
        <v>Base_With Amendment</v>
      </c>
      <c r="D9753" s="138" t="str">
        <f t="shared" si="810"/>
        <v>Base_High</v>
      </c>
      <c r="E9753" s="138" t="str">
        <f t="shared" si="809"/>
        <v>Low</v>
      </c>
      <c r="F9753" s="138" t="str">
        <f t="shared" si="814"/>
        <v>Upgraded</v>
      </c>
      <c r="G9753" s="153"/>
      <c r="H9753" s="210">
        <v>0.91269999999999996</v>
      </c>
      <c r="I9753" s="160" t="s">
        <v>54</v>
      </c>
      <c r="J9753" s="160">
        <v>4.8070000000000002E-2</v>
      </c>
      <c r="K9753" s="160" t="s">
        <v>25</v>
      </c>
      <c r="L9753" s="154" t="str">
        <f>IF(OpenLCAbasic!K9753="CTUh", "Fill in Manually",IF(OR(K9753="Unit", K9753=""), "", INDEX(LookUps!$E$5:$E$12, MATCH(OpenLCAbasic!K9753,LookUps!$D$5:$D$12,0))))</f>
        <v>Smog Formation Potential (SFP) - kg O3 eq</v>
      </c>
      <c r="M9753" s="154" t="str">
        <f t="shared" si="811"/>
        <v>Low_Base_High_Upgraded_Smog Formation Potential (SFP) - kg O3 eq_Clear Cove Primary Clarification; wastewater treatment unit; at updated plant - US_Base_With Amendment_Aerated Static Pile</v>
      </c>
    </row>
    <row r="9754" spans="1:13" s="120" customFormat="1" x14ac:dyDescent="0.25">
      <c r="A9754" s="119"/>
      <c r="B9754" s="138" t="str">
        <f t="shared" si="812"/>
        <v>Aerated Static Pile</v>
      </c>
      <c r="C9754" s="138" t="str">
        <f t="shared" si="813"/>
        <v>Base_With Amendment</v>
      </c>
      <c r="D9754" s="138" t="str">
        <f t="shared" si="810"/>
        <v>Base_High</v>
      </c>
      <c r="E9754" s="138" t="str">
        <f t="shared" si="809"/>
        <v>Low</v>
      </c>
      <c r="F9754" s="138" t="str">
        <f t="shared" si="814"/>
        <v>Upgraded</v>
      </c>
      <c r="G9754" s="153"/>
      <c r="H9754" s="210">
        <v>0.79320000000000002</v>
      </c>
      <c r="I9754" s="160" t="s">
        <v>58</v>
      </c>
      <c r="J9754" s="160">
        <v>4.1779999999999998E-2</v>
      </c>
      <c r="K9754" s="160" t="s">
        <v>25</v>
      </c>
      <c r="L9754" s="154" t="str">
        <f>IF(OpenLCAbasic!K9754="CTUh", "Fill in Manually",IF(OR(K9754="Unit", K9754=""), "", INDEX(LookUps!$E$5:$E$12, MATCH(OpenLCAbasic!K9754,LookUps!$D$5:$D$12,0))))</f>
        <v>Smog Formation Potential (SFP) - kg O3 eq</v>
      </c>
      <c r="M9754" s="154" t="str">
        <f t="shared" si="811"/>
        <v>Low_Base_High_Upgraded_Smog Formation Potential (SFP) - kg O3 eq_Pre-Anoxic &amp; Swing tank; wastewater treatment unit; at updated plant - US_Base_With Amendment_Aerated Static Pile</v>
      </c>
    </row>
    <row r="9755" spans="1:13" s="120" customFormat="1" x14ac:dyDescent="0.25">
      <c r="A9755" s="119"/>
      <c r="B9755" s="138" t="str">
        <f t="shared" si="812"/>
        <v>Aerated Static Pile</v>
      </c>
      <c r="C9755" s="138" t="str">
        <f t="shared" si="813"/>
        <v>Base_With Amendment</v>
      </c>
      <c r="D9755" s="138" t="str">
        <f t="shared" si="810"/>
        <v>Base_High</v>
      </c>
      <c r="E9755" s="138" t="str">
        <f t="shared" si="809"/>
        <v>Low</v>
      </c>
      <c r="F9755" s="138" t="str">
        <f t="shared" si="814"/>
        <v>Upgraded</v>
      </c>
      <c r="G9755" s="153"/>
      <c r="H9755" s="210">
        <v>0.62890000000000001</v>
      </c>
      <c r="I9755" s="160" t="s">
        <v>53</v>
      </c>
      <c r="J9755" s="160">
        <v>3.313E-2</v>
      </c>
      <c r="K9755" s="160" t="s">
        <v>25</v>
      </c>
      <c r="L9755" s="154" t="str">
        <f>IF(OpenLCAbasic!K9755="CTUh", "Fill in Manually",IF(OR(K9755="Unit", K9755=""), "", INDEX(LookUps!$E$5:$E$12, MATCH(OpenLCAbasic!K9755,LookUps!$D$5:$D$12,0))))</f>
        <v>Smog Formation Potential (SFP) - kg O3 eq</v>
      </c>
      <c r="M9755" s="154" t="str">
        <f t="shared" si="811"/>
        <v>Low_Base_High_Upgraded_Smog Formation Potential (SFP) - kg O3 eq_Wet Well and Sump Station; wastewater treatment unit; at updated plant - US_Base_With Amendment_Aerated Static Pile</v>
      </c>
    </row>
    <row r="9756" spans="1:13" s="120" customFormat="1" x14ac:dyDescent="0.25">
      <c r="A9756" s="119"/>
      <c r="B9756" s="138" t="str">
        <f t="shared" si="812"/>
        <v>Aerated Static Pile</v>
      </c>
      <c r="C9756" s="138" t="str">
        <f t="shared" si="813"/>
        <v>Base_With Amendment</v>
      </c>
      <c r="D9756" s="138" t="str">
        <f t="shared" si="810"/>
        <v>Base_High</v>
      </c>
      <c r="E9756" s="138" t="str">
        <f t="shared" si="809"/>
        <v>Low</v>
      </c>
      <c r="F9756" s="138" t="str">
        <f t="shared" si="814"/>
        <v>Upgraded</v>
      </c>
      <c r="G9756" s="153"/>
      <c r="H9756" s="210">
        <v>0.53059999999999996</v>
      </c>
      <c r="I9756" s="160" t="s">
        <v>167</v>
      </c>
      <c r="J9756" s="160">
        <v>2.7949999999999999E-2</v>
      </c>
      <c r="K9756" s="160" t="s">
        <v>25</v>
      </c>
      <c r="L9756" s="154" t="str">
        <f>IF(OpenLCAbasic!K9756="CTUh", "Fill in Manually",IF(OR(K9756="Unit", K9756=""), "", INDEX(LookUps!$E$5:$E$12, MATCH(OpenLCAbasic!K9756,LookUps!$D$5:$D$12,0))))</f>
        <v>Smog Formation Potential (SFP) - kg O3 eq</v>
      </c>
      <c r="M9756" s="154" t="str">
        <f t="shared" si="811"/>
        <v>Low_Base_High_Upgraded_Smog Formation Potential (SFP) - kg O3 eq_Waste Receiving and Holding; wastewater treatment unit; at updated plant - US_Base_With Amendment_Aerated Static Pile</v>
      </c>
    </row>
    <row r="9757" spans="1:13" s="120" customFormat="1" x14ac:dyDescent="0.25">
      <c r="A9757" s="119"/>
      <c r="B9757" s="138" t="str">
        <f t="shared" si="812"/>
        <v>Aerated Static Pile</v>
      </c>
      <c r="C9757" s="138" t="str">
        <f t="shared" si="813"/>
        <v>Base_With Amendment</v>
      </c>
      <c r="D9757" s="138" t="str">
        <f t="shared" si="810"/>
        <v>Base_High</v>
      </c>
      <c r="E9757" s="138" t="str">
        <f t="shared" si="809"/>
        <v>Low</v>
      </c>
      <c r="F9757" s="138" t="str">
        <f t="shared" si="814"/>
        <v>Upgraded</v>
      </c>
      <c r="G9757" s="153"/>
      <c r="H9757" s="210">
        <v>0.36830000000000002</v>
      </c>
      <c r="I9757" s="160" t="s">
        <v>147</v>
      </c>
      <c r="J9757" s="160">
        <v>1.9400000000000001E-2</v>
      </c>
      <c r="K9757" s="160" t="s">
        <v>25</v>
      </c>
      <c r="L9757" s="154" t="str">
        <f>IF(OpenLCAbasic!K9757="CTUh", "Fill in Manually",IF(OR(K9757="Unit", K9757=""), "", INDEX(LookUps!$E$5:$E$12, MATCH(OpenLCAbasic!K9757,LookUps!$D$5:$D$12,0))))</f>
        <v>Smog Formation Potential (SFP) - kg O3 eq</v>
      </c>
      <c r="M9757" s="154" t="str">
        <f t="shared" si="811"/>
        <v>Low_Base_High_Upgraded_Smog Formation Potential (SFP) - kg O3 eq_Influent Pump Station; wastewater treatment unit; at updated plant - US_Base_With Amendment_Aerated Static Pile</v>
      </c>
    </row>
    <row r="9758" spans="1:13" s="120" customFormat="1" x14ac:dyDescent="0.25">
      <c r="A9758" s="119"/>
      <c r="B9758" s="138" t="str">
        <f t="shared" si="812"/>
        <v>Aerated Static Pile</v>
      </c>
      <c r="C9758" s="138" t="str">
        <f t="shared" si="813"/>
        <v>Base_With Amendment</v>
      </c>
      <c r="D9758" s="138" t="str">
        <f t="shared" si="810"/>
        <v>Base_High</v>
      </c>
      <c r="E9758" s="138" t="str">
        <f t="shared" si="809"/>
        <v>Low</v>
      </c>
      <c r="F9758" s="138" t="str">
        <f t="shared" si="814"/>
        <v>Upgraded</v>
      </c>
      <c r="G9758" s="153"/>
      <c r="H9758" s="210">
        <v>0.2263</v>
      </c>
      <c r="I9758" s="160" t="s">
        <v>128</v>
      </c>
      <c r="J9758" s="160">
        <v>1.192E-2</v>
      </c>
      <c r="K9758" s="160" t="s">
        <v>25</v>
      </c>
      <c r="L9758" s="154" t="str">
        <f>IF(OpenLCAbasic!K9758="CTUh", "Fill in Manually",IF(OR(K9758="Unit", K9758=""), "", INDEX(LookUps!$E$5:$E$12, MATCH(OpenLCAbasic!K9758,LookUps!$D$5:$D$12,0))))</f>
        <v>Smog Formation Potential (SFP) - kg O3 eq</v>
      </c>
      <c r="M9758" s="154" t="str">
        <f t="shared" si="811"/>
        <v>Low_Base_High_Upgraded_Smog Formation Potential (SFP) - kg O3 eq_Wastewater collection; operation and infrastructure; m3 wastewater_Base_With Amendment_Aerated Static Pile</v>
      </c>
    </row>
    <row r="9759" spans="1:13" s="120" customFormat="1" x14ac:dyDescent="0.25">
      <c r="A9759" s="119"/>
      <c r="B9759" s="138" t="str">
        <f t="shared" si="812"/>
        <v>Aerated Static Pile</v>
      </c>
      <c r="C9759" s="138" t="str">
        <f t="shared" si="813"/>
        <v>Base_With Amendment</v>
      </c>
      <c r="D9759" s="138" t="str">
        <f t="shared" si="810"/>
        <v>Base_High</v>
      </c>
      <c r="E9759" s="138" t="str">
        <f t="shared" si="809"/>
        <v>Low</v>
      </c>
      <c r="F9759" s="138" t="str">
        <f t="shared" si="814"/>
        <v>Upgraded</v>
      </c>
      <c r="G9759" s="153"/>
      <c r="H9759" s="210">
        <v>0.13439999999999999</v>
      </c>
      <c r="I9759" s="160" t="s">
        <v>60</v>
      </c>
      <c r="J9759" s="160">
        <v>7.0800000000000004E-3</v>
      </c>
      <c r="K9759" s="160" t="s">
        <v>25</v>
      </c>
      <c r="L9759" s="154" t="str">
        <f>IF(OpenLCAbasic!K9759="CTUh", "Fill in Manually",IF(OR(K9759="Unit", K9759=""), "", INDEX(LookUps!$E$5:$E$12, MATCH(OpenLCAbasic!K9759,LookUps!$D$5:$D$12,0))))</f>
        <v>Smog Formation Potential (SFP) - kg O3 eq</v>
      </c>
      <c r="M9759" s="154" t="str">
        <f t="shared" si="811"/>
        <v>Low_Base_High_Upgraded_Smog Formation Potential (SFP) - kg O3 eq_Belt filter press; wastewater treatment unit; at updated plant - US_Base_With Amendment_Aerated Static Pile</v>
      </c>
    </row>
    <row r="9760" spans="1:13" s="120" customFormat="1" x14ac:dyDescent="0.25">
      <c r="A9760" s="119"/>
      <c r="B9760" s="138" t="str">
        <f t="shared" si="812"/>
        <v>Aerated Static Pile</v>
      </c>
      <c r="C9760" s="138" t="str">
        <f t="shared" si="813"/>
        <v>Base_With Amendment</v>
      </c>
      <c r="D9760" s="138" t="str">
        <f t="shared" si="810"/>
        <v>Base_High</v>
      </c>
      <c r="E9760" s="138" t="str">
        <f t="shared" si="809"/>
        <v>Low</v>
      </c>
      <c r="F9760" s="138" t="str">
        <f t="shared" si="814"/>
        <v>Upgraded</v>
      </c>
      <c r="G9760" s="153"/>
      <c r="H9760" s="210">
        <v>0.1263</v>
      </c>
      <c r="I9760" s="160" t="s">
        <v>57</v>
      </c>
      <c r="J9760" s="160">
        <v>6.6499999999999997E-3</v>
      </c>
      <c r="K9760" s="160" t="s">
        <v>25</v>
      </c>
      <c r="L9760" s="154" t="str">
        <f>IF(OpenLCAbasic!K9760="CTUh", "Fill in Manually",IF(OR(K9760="Unit", K9760=""), "", INDEX(LookUps!$E$5:$E$12, MATCH(OpenLCAbasic!K9760,LookUps!$D$5:$D$12,0))))</f>
        <v>Smog Formation Potential (SFP) - kg O3 eq</v>
      </c>
      <c r="M9760" s="154" t="str">
        <f t="shared" si="811"/>
        <v>Low_Base_High_Upgraded_Smog Formation Potential (SFP) - kg O3 eq_Gravity Belt Thickener; wastewater treatment unit; at updated plant - US_Base_With Amendment_Aerated Static Pile</v>
      </c>
    </row>
    <row r="9761" spans="1:13" s="120" customFormat="1" x14ac:dyDescent="0.25">
      <c r="A9761" s="119"/>
      <c r="B9761" s="138" t="str">
        <f t="shared" si="812"/>
        <v>Aerated Static Pile</v>
      </c>
      <c r="C9761" s="138" t="str">
        <f t="shared" si="813"/>
        <v>Base_With Amendment</v>
      </c>
      <c r="D9761" s="138" t="str">
        <f t="shared" si="810"/>
        <v>Base_High</v>
      </c>
      <c r="E9761" s="138" t="str">
        <f t="shared" si="809"/>
        <v>Low</v>
      </c>
      <c r="F9761" s="138" t="str">
        <f t="shared" si="814"/>
        <v>Upgraded</v>
      </c>
      <c r="G9761" s="153"/>
      <c r="H9761" s="210">
        <v>9.4399999999999998E-2</v>
      </c>
      <c r="I9761" s="160" t="s">
        <v>59</v>
      </c>
      <c r="J9761" s="160">
        <v>4.9699999999999996E-3</v>
      </c>
      <c r="K9761" s="160" t="s">
        <v>25</v>
      </c>
      <c r="L9761" s="154" t="str">
        <f>IF(OpenLCAbasic!K9761="CTUh", "Fill in Manually",IF(OR(K9761="Unit", K9761=""), "", INDEX(LookUps!$E$5:$E$12, MATCH(OpenLCAbasic!K9761,LookUps!$D$5:$D$12,0))))</f>
        <v>Smog Formation Potential (SFP) - kg O3 eq</v>
      </c>
      <c r="M9761" s="154" t="str">
        <f t="shared" si="811"/>
        <v>Low_Base_High_Upgraded_Smog Formation Potential (SFP) - kg O3 eq_Blend Tank; wastewater treatment unit; at updated plant - US_Base_With Amendment_Aerated Static Pile</v>
      </c>
    </row>
    <row r="9762" spans="1:13" s="120" customFormat="1" x14ac:dyDescent="0.25">
      <c r="A9762" s="119"/>
      <c r="B9762" s="138" t="str">
        <f t="shared" si="812"/>
        <v>Aerated Static Pile</v>
      </c>
      <c r="C9762" s="138" t="str">
        <f t="shared" si="813"/>
        <v>Base_With Amendment</v>
      </c>
      <c r="D9762" s="138" t="str">
        <f t="shared" si="810"/>
        <v>Base_High</v>
      </c>
      <c r="E9762" s="138" t="str">
        <f t="shared" si="809"/>
        <v>Low</v>
      </c>
      <c r="F9762" s="138" t="str">
        <f t="shared" si="814"/>
        <v>Upgraded</v>
      </c>
      <c r="G9762" s="153"/>
      <c r="H9762" s="210">
        <v>6.4299999999999996E-2</v>
      </c>
      <c r="I9762" s="160" t="s">
        <v>48</v>
      </c>
      <c r="J9762" s="160">
        <v>3.3899999999999998E-3</v>
      </c>
      <c r="K9762" s="160" t="s">
        <v>25</v>
      </c>
      <c r="L9762" s="154" t="str">
        <f>IF(OpenLCAbasic!K9762="CTUh", "Fill in Manually",IF(OR(K9762="Unit", K9762=""), "", INDEX(LookUps!$E$5:$E$12, MATCH(OpenLCAbasic!K9762,LookUps!$D$5:$D$12,0))))</f>
        <v>Smog Formation Potential (SFP) - kg O3 eq</v>
      </c>
      <c r="M9762" s="154" t="str">
        <f t="shared" si="811"/>
        <v>Low_Base_High_Upgraded_Smog Formation Potential (SFP) - kg O3 eq_Effluent release; wastewater treatment unit; at surface water; m3 wastewater - US_Base_With Amendment_Aerated Static Pile</v>
      </c>
    </row>
    <row r="9763" spans="1:13" s="120" customFormat="1" x14ac:dyDescent="0.25">
      <c r="A9763" s="119"/>
      <c r="B9763" s="138" t="str">
        <f t="shared" si="812"/>
        <v>Aerated Static Pile</v>
      </c>
      <c r="C9763" s="138" t="str">
        <f t="shared" si="813"/>
        <v>Base_With Amendment</v>
      </c>
      <c r="D9763" s="138" t="str">
        <f t="shared" si="810"/>
        <v>Base_High</v>
      </c>
      <c r="E9763" s="138" t="str">
        <f t="shared" si="809"/>
        <v>Low</v>
      </c>
      <c r="F9763" s="138" t="str">
        <f t="shared" si="814"/>
        <v>Upgraded</v>
      </c>
      <c r="G9763" s="153"/>
      <c r="H9763" s="210">
        <v>4.6600000000000003E-2</v>
      </c>
      <c r="I9763" s="160" t="s">
        <v>168</v>
      </c>
      <c r="J9763" s="160">
        <v>2.4599999999999999E-3</v>
      </c>
      <c r="K9763" s="160" t="s">
        <v>25</v>
      </c>
      <c r="L9763" s="154" t="str">
        <f>IF(OpenLCAbasic!K9763="CTUh", "Fill in Manually",IF(OR(K9763="Unit", K9763=""), "", INDEX(LookUps!$E$5:$E$12, MATCH(OpenLCAbasic!K9763,LookUps!$D$5:$D$12,0))))</f>
        <v>Smog Formation Potential (SFP) - kg O3 eq</v>
      </c>
      <c r="M9763" s="154" t="str">
        <f t="shared" si="811"/>
        <v>Low_Base_High_Upgraded_Smog Formation Potential (SFP) - kg O3 eq_ClearCove SCP; wastewater treatment unit; at updated plant - US_Base_With Amendment_Aerated Static Pile</v>
      </c>
    </row>
    <row r="9764" spans="1:13" s="120" customFormat="1" x14ac:dyDescent="0.25">
      <c r="A9764" s="119"/>
      <c r="B9764" s="138" t="str">
        <f t="shared" si="812"/>
        <v>Aerated Static Pile</v>
      </c>
      <c r="C9764" s="138" t="str">
        <f t="shared" si="813"/>
        <v>Base_With Amendment</v>
      </c>
      <c r="D9764" s="138" t="str">
        <f t="shared" si="810"/>
        <v>Base_High</v>
      </c>
      <c r="E9764" s="138" t="str">
        <f t="shared" si="809"/>
        <v>Low</v>
      </c>
      <c r="F9764" s="138" t="str">
        <f t="shared" si="814"/>
        <v>Upgraded</v>
      </c>
      <c r="G9764" s="153"/>
      <c r="H9764" s="210">
        <v>1.0200000000000001E-2</v>
      </c>
      <c r="I9764" s="160" t="s">
        <v>148</v>
      </c>
      <c r="J9764" s="160">
        <v>5.4000000000000001E-4</v>
      </c>
      <c r="K9764" s="160" t="s">
        <v>25</v>
      </c>
      <c r="L9764" s="154" t="str">
        <f>IF(OpenLCAbasic!K9764="CTUh", "Fill in Manually",IF(OR(K9764="Unit", K9764=""), "", INDEX(LookUps!$E$5:$E$12, MATCH(OpenLCAbasic!K9764,LookUps!$D$5:$D$12,0))))</f>
        <v>Smog Formation Potential (SFP) - kg O3 eq</v>
      </c>
      <c r="M9764" s="154" t="str">
        <f t="shared" si="811"/>
        <v>Low_Base_High_Upgraded_Smog Formation Potential (SFP) - kg O3 eq_Control Building; at upgraded wastewater treatment plant - US_Base_With Amendment_Aerated Static Pile</v>
      </c>
    </row>
    <row r="9765" spans="1:13" s="120" customFormat="1" x14ac:dyDescent="0.25">
      <c r="A9765" s="119"/>
      <c r="B9765" s="138" t="str">
        <f t="shared" si="812"/>
        <v>Aerated Static Pile</v>
      </c>
      <c r="C9765" s="138" t="str">
        <f t="shared" si="813"/>
        <v>Base_With Amendment</v>
      </c>
      <c r="D9765" s="138" t="str">
        <f t="shared" si="810"/>
        <v>Base_High</v>
      </c>
      <c r="E9765" s="138" t="str">
        <f t="shared" si="809"/>
        <v>Low</v>
      </c>
      <c r="F9765" s="138" t="str">
        <f t="shared" si="814"/>
        <v>Upgraded</v>
      </c>
      <c r="G9765" s="153"/>
      <c r="H9765" s="210">
        <v>-5.1999999999999998E-2</v>
      </c>
      <c r="I9765" s="160" t="s">
        <v>62</v>
      </c>
      <c r="J9765" s="160">
        <v>-2.7399999999999998E-3</v>
      </c>
      <c r="K9765" s="160" t="s">
        <v>25</v>
      </c>
      <c r="L9765" s="154" t="str">
        <f>IF(OpenLCAbasic!K9765="CTUh", "Fill in Manually",IF(OR(K9765="Unit", K9765=""), "", INDEX(LookUps!$E$5:$E$12, MATCH(OpenLCAbasic!K9765,LookUps!$D$5:$D$12,0))))</f>
        <v>Smog Formation Potential (SFP) - kg O3 eq</v>
      </c>
      <c r="M9765" s="154" t="str">
        <f t="shared" si="811"/>
        <v>Low_Base_High_Upgraded_Smog Formation Potential (SFP) - kg O3 eq_Land application of compost; wastewater treatment unit; at updated plant - US_Base_With Amendment_Aerated Static Pile</v>
      </c>
    </row>
    <row r="9766" spans="1:13" s="120" customFormat="1" x14ac:dyDescent="0.25">
      <c r="A9766" s="119"/>
      <c r="B9766" s="138" t="str">
        <f t="shared" si="812"/>
        <v>Aerated Static Pile</v>
      </c>
      <c r="C9766" s="138" t="str">
        <f t="shared" si="813"/>
        <v>Base_With Amendment</v>
      </c>
      <c r="D9766" s="138" t="str">
        <f t="shared" si="810"/>
        <v>Base_High</v>
      </c>
      <c r="E9766" s="138" t="str">
        <f t="shared" si="809"/>
        <v>Low</v>
      </c>
      <c r="F9766" s="138" t="str">
        <f t="shared" si="814"/>
        <v>Upgraded</v>
      </c>
      <c r="G9766" s="153"/>
      <c r="H9766" s="210">
        <v>-7.0945999999999998</v>
      </c>
      <c r="I9766" s="160" t="s">
        <v>149</v>
      </c>
      <c r="J9766" s="160">
        <v>-0.37367</v>
      </c>
      <c r="K9766" s="160" t="s">
        <v>25</v>
      </c>
      <c r="L9766" s="154" t="str">
        <f>IF(OpenLCAbasic!K9766="CTUh", "Fill in Manually",IF(OR(K9766="Unit", K9766=""), "", INDEX(LookUps!$E$5:$E$12, MATCH(OpenLCAbasic!K9766,LookUps!$D$5:$D$12,0))))</f>
        <v>Smog Formation Potential (SFP) - kg O3 eq</v>
      </c>
      <c r="M9766" s="154" t="str">
        <f t="shared" si="811"/>
        <v>Low_Base_High_Upgraded_Smog Formation Potential (SFP) - kg O3 eq_Anaerobic Digestion; wastewater treatment unit; at updated plant - US_Base_With Amendment_Aerated Static Pile</v>
      </c>
    </row>
    <row r="9767" spans="1:13" s="120" customFormat="1" x14ac:dyDescent="0.25">
      <c r="A9767" s="119"/>
      <c r="B9767" s="138" t="str">
        <f t="shared" si="812"/>
        <v/>
      </c>
      <c r="C9767" s="138" t="str">
        <f t="shared" si="813"/>
        <v/>
      </c>
      <c r="D9767" s="138" t="str">
        <f t="shared" si="810"/>
        <v/>
      </c>
      <c r="E9767" s="138" t="str">
        <f t="shared" si="809"/>
        <v/>
      </c>
      <c r="F9767" s="138" t="str">
        <f t="shared" si="814"/>
        <v/>
      </c>
      <c r="G9767" s="153" t="s">
        <v>51</v>
      </c>
      <c r="H9767" s="160"/>
      <c r="I9767" s="160" t="s">
        <v>47</v>
      </c>
      <c r="J9767" s="160" t="s">
        <v>52</v>
      </c>
      <c r="K9767" s="160" t="s">
        <v>27</v>
      </c>
      <c r="L9767" s="154" t="str">
        <f>IF(OpenLCAbasic!K9767="CTUh", "Fill in Manually",IF(OR(K9767="Unit", K9767=""), "", INDEX(LookUps!$E$5:$E$12, MATCH(OpenLCAbasic!K9767,LookUps!$D$5:$D$12,0))))</f>
        <v/>
      </c>
      <c r="M9767" s="154" t="str">
        <f t="shared" si="811"/>
        <v>____Process__</v>
      </c>
    </row>
    <row r="9768" spans="1:13" s="120" customFormat="1" x14ac:dyDescent="0.25">
      <c r="A9768" s="119"/>
      <c r="B9768" s="138" t="str">
        <f t="shared" si="812"/>
        <v>Aerated Static Pile</v>
      </c>
      <c r="C9768" s="138" t="str">
        <f t="shared" si="813"/>
        <v>Base_With Amendment</v>
      </c>
      <c r="D9768" s="138" t="str">
        <f t="shared" si="810"/>
        <v>Base_High</v>
      </c>
      <c r="E9768" s="138" t="str">
        <f t="shared" si="809"/>
        <v>Low</v>
      </c>
      <c r="F9768" s="138" t="str">
        <f t="shared" si="814"/>
        <v>Upgraded</v>
      </c>
      <c r="G9768" s="153"/>
      <c r="H9768" s="210">
        <v>3.1669999999999998</v>
      </c>
      <c r="I9768" s="160" t="s">
        <v>167</v>
      </c>
      <c r="J9768" s="160">
        <v>2.3000000000000001E-4</v>
      </c>
      <c r="K9768" s="160" t="s">
        <v>26</v>
      </c>
      <c r="L9768" s="154" t="str">
        <f>IF(OpenLCAbasic!K9768="CTUh", "Fill in Manually",IF(OR(K9768="Unit", K9768=""), "", INDEX(LookUps!$E$5:$E$12, MATCH(OpenLCAbasic!K9768,LookUps!$D$5:$D$12,0))))</f>
        <v>Water Use (WU) - m3 H2O</v>
      </c>
      <c r="M9768" s="154" t="str">
        <f t="shared" si="811"/>
        <v>Low_Base_High_Upgraded_Water Use (WU) - m3 H2O_Waste Receiving and Holding; wastewater treatment unit; at updated plant - US_Base_With Amendment_Aerated Static Pile</v>
      </c>
    </row>
    <row r="9769" spans="1:13" s="120" customFormat="1" x14ac:dyDescent="0.25">
      <c r="A9769" s="119"/>
      <c r="B9769" s="138" t="str">
        <f t="shared" si="812"/>
        <v>Aerated Static Pile</v>
      </c>
      <c r="C9769" s="138" t="str">
        <f t="shared" si="813"/>
        <v>Base_With Amendment</v>
      </c>
      <c r="D9769" s="138" t="str">
        <f t="shared" si="810"/>
        <v>Base_High</v>
      </c>
      <c r="E9769" s="138" t="str">
        <f t="shared" ref="E9769:E9832" si="815">IF(ISNUMBER($J9769),"Low","")</f>
        <v>Low</v>
      </c>
      <c r="F9769" s="138" t="str">
        <f t="shared" si="814"/>
        <v>Upgraded</v>
      </c>
      <c r="G9769" s="153"/>
      <c r="H9769" s="210">
        <v>2.5059999999999998</v>
      </c>
      <c r="I9769" s="160" t="s">
        <v>147</v>
      </c>
      <c r="J9769" s="160">
        <v>1.8000000000000001E-4</v>
      </c>
      <c r="K9769" s="160" t="s">
        <v>26</v>
      </c>
      <c r="L9769" s="154" t="str">
        <f>IF(OpenLCAbasic!K9769="CTUh", "Fill in Manually",IF(OR(K9769="Unit", K9769=""), "", INDEX(LookUps!$E$5:$E$12, MATCH(OpenLCAbasic!K9769,LookUps!$D$5:$D$12,0))))</f>
        <v>Water Use (WU) - m3 H2O</v>
      </c>
      <c r="M9769" s="154" t="str">
        <f t="shared" si="811"/>
        <v>Low_Base_High_Upgraded_Water Use (WU) - m3 H2O_Influent Pump Station; wastewater treatment unit; at updated plant - US_Base_With Amendment_Aerated Static Pile</v>
      </c>
    </row>
    <row r="9770" spans="1:13" s="120" customFormat="1" x14ac:dyDescent="0.25">
      <c r="A9770" s="119"/>
      <c r="B9770" s="138" t="str">
        <f t="shared" si="812"/>
        <v>Aerated Static Pile</v>
      </c>
      <c r="C9770" s="138" t="str">
        <f t="shared" si="813"/>
        <v>Base_With Amendment</v>
      </c>
      <c r="D9770" s="138" t="str">
        <f t="shared" si="810"/>
        <v>Base_High</v>
      </c>
      <c r="E9770" s="138" t="str">
        <f t="shared" si="815"/>
        <v>Low</v>
      </c>
      <c r="F9770" s="138" t="str">
        <f t="shared" si="814"/>
        <v>Upgraded</v>
      </c>
      <c r="G9770" s="153"/>
      <c r="H9770" s="210">
        <v>2.4451999999999998</v>
      </c>
      <c r="I9770" s="160" t="s">
        <v>54</v>
      </c>
      <c r="J9770" s="160">
        <v>1.8000000000000001E-4</v>
      </c>
      <c r="K9770" s="160" t="s">
        <v>26</v>
      </c>
      <c r="L9770" s="154" t="str">
        <f>IF(OpenLCAbasic!K9770="CTUh", "Fill in Manually",IF(OR(K9770="Unit", K9770=""), "", INDEX(LookUps!$E$5:$E$12, MATCH(OpenLCAbasic!K9770,LookUps!$D$5:$D$12,0))))</f>
        <v>Water Use (WU) - m3 H2O</v>
      </c>
      <c r="M9770" s="154" t="str">
        <f t="shared" si="811"/>
        <v>Low_Base_High_Upgraded_Water Use (WU) - m3 H2O_Clear Cove Primary Clarification; wastewater treatment unit; at updated plant - US_Base_With Amendment_Aerated Static Pile</v>
      </c>
    </row>
    <row r="9771" spans="1:13" s="120" customFormat="1" x14ac:dyDescent="0.25">
      <c r="A9771" s="119"/>
      <c r="B9771" s="138" t="str">
        <f t="shared" si="812"/>
        <v>Aerated Static Pile</v>
      </c>
      <c r="C9771" s="138" t="str">
        <f t="shared" si="813"/>
        <v>Base_With Amendment</v>
      </c>
      <c r="D9771" s="138" t="str">
        <f t="shared" si="810"/>
        <v>Base_High</v>
      </c>
      <c r="E9771" s="138" t="str">
        <f t="shared" si="815"/>
        <v>Low</v>
      </c>
      <c r="F9771" s="138" t="str">
        <f t="shared" si="814"/>
        <v>Upgraded</v>
      </c>
      <c r="G9771" s="153"/>
      <c r="H9771" s="210">
        <v>2.2181999999999999</v>
      </c>
      <c r="I9771" s="160" t="s">
        <v>55</v>
      </c>
      <c r="J9771" s="160">
        <v>1.6000000000000001E-4</v>
      </c>
      <c r="K9771" s="160" t="s">
        <v>26</v>
      </c>
      <c r="L9771" s="154" t="str">
        <f>IF(OpenLCAbasic!K9771="CTUh", "Fill in Manually",IF(OR(K9771="Unit", K9771=""), "", INDEX(LookUps!$E$5:$E$12, MATCH(OpenLCAbasic!K9771,LookUps!$D$5:$D$12,0))))</f>
        <v>Water Use (WU) - m3 H2O</v>
      </c>
      <c r="M9771" s="154" t="str">
        <f t="shared" si="811"/>
        <v>Low_Base_High_Upgraded_Water Use (WU) - m3 H2O_Aeration Tanks; wastewater treatment unit; at updated plant - US_Base_With Amendment_Aerated Static Pile</v>
      </c>
    </row>
    <row r="9772" spans="1:13" s="120" customFormat="1" x14ac:dyDescent="0.25">
      <c r="A9772" s="119"/>
      <c r="B9772" s="138" t="str">
        <f t="shared" si="812"/>
        <v>Aerated Static Pile</v>
      </c>
      <c r="C9772" s="138" t="str">
        <f t="shared" si="813"/>
        <v>Base_With Amendment</v>
      </c>
      <c r="D9772" s="138" t="str">
        <f t="shared" si="810"/>
        <v>Base_High</v>
      </c>
      <c r="E9772" s="138" t="str">
        <f t="shared" si="815"/>
        <v>Low</v>
      </c>
      <c r="F9772" s="138" t="str">
        <f t="shared" si="814"/>
        <v>Upgraded</v>
      </c>
      <c r="G9772" s="153"/>
      <c r="H9772" s="210">
        <v>2.0206</v>
      </c>
      <c r="I9772" s="160" t="s">
        <v>148</v>
      </c>
      <c r="J9772" s="160">
        <v>1.4999999999999999E-4</v>
      </c>
      <c r="K9772" s="160" t="s">
        <v>26</v>
      </c>
      <c r="L9772" s="154" t="str">
        <f>IF(OpenLCAbasic!K9772="CTUh", "Fill in Manually",IF(OR(K9772="Unit", K9772=""), "", INDEX(LookUps!$E$5:$E$12, MATCH(OpenLCAbasic!K9772,LookUps!$D$5:$D$12,0))))</f>
        <v>Water Use (WU) - m3 H2O</v>
      </c>
      <c r="M9772" s="154" t="str">
        <f t="shared" si="811"/>
        <v>Low_Base_High_Upgraded_Water Use (WU) - m3 H2O_Control Building; at upgraded wastewater treatment plant - US_Base_With Amendment_Aerated Static Pile</v>
      </c>
    </row>
    <row r="9773" spans="1:13" s="120" customFormat="1" x14ac:dyDescent="0.25">
      <c r="A9773" s="119"/>
      <c r="B9773" s="138" t="str">
        <f t="shared" si="812"/>
        <v>Aerated Static Pile</v>
      </c>
      <c r="C9773" s="138" t="str">
        <f t="shared" si="813"/>
        <v>Base_With Amendment</v>
      </c>
      <c r="D9773" s="138" t="str">
        <f t="shared" si="810"/>
        <v>Base_High</v>
      </c>
      <c r="E9773" s="138" t="str">
        <f t="shared" si="815"/>
        <v>Low</v>
      </c>
      <c r="F9773" s="138" t="str">
        <f t="shared" si="814"/>
        <v>Upgraded</v>
      </c>
      <c r="G9773" s="153"/>
      <c r="H9773" s="210">
        <v>0.93830000000000002</v>
      </c>
      <c r="I9773" s="160" t="s">
        <v>48</v>
      </c>
      <c r="J9773" s="211">
        <v>6.8836400000000004E-5</v>
      </c>
      <c r="K9773" s="160" t="s">
        <v>26</v>
      </c>
      <c r="L9773" s="154" t="str">
        <f>IF(OpenLCAbasic!K9773="CTUh", "Fill in Manually",IF(OR(K9773="Unit", K9773=""), "", INDEX(LookUps!$E$5:$E$12, MATCH(OpenLCAbasic!K9773,LookUps!$D$5:$D$12,0))))</f>
        <v>Water Use (WU) - m3 H2O</v>
      </c>
      <c r="M9773" s="154" t="str">
        <f t="shared" si="811"/>
        <v>Low_Base_High_Upgraded_Water Use (WU) - m3 H2O_Effluent release; wastewater treatment unit; at surface water; m3 wastewater - US_Base_With Amendment_Aerated Static Pile</v>
      </c>
    </row>
    <row r="9774" spans="1:13" s="120" customFormat="1" x14ac:dyDescent="0.25">
      <c r="A9774" s="119"/>
      <c r="B9774" s="138" t="str">
        <f t="shared" si="812"/>
        <v>Aerated Static Pile</v>
      </c>
      <c r="C9774" s="138" t="str">
        <f t="shared" si="813"/>
        <v>Base_With Amendment</v>
      </c>
      <c r="D9774" s="138" t="str">
        <f t="shared" si="810"/>
        <v>Base_High</v>
      </c>
      <c r="E9774" s="138" t="str">
        <f t="shared" si="815"/>
        <v>Low</v>
      </c>
      <c r="F9774" s="138" t="str">
        <f t="shared" si="814"/>
        <v>Upgraded</v>
      </c>
      <c r="G9774" s="153"/>
      <c r="H9774" s="210">
        <v>0.5887</v>
      </c>
      <c r="I9774" s="160" t="s">
        <v>58</v>
      </c>
      <c r="J9774" s="211">
        <v>4.3192100000000003E-5</v>
      </c>
      <c r="K9774" s="160" t="s">
        <v>26</v>
      </c>
      <c r="L9774" s="154" t="str">
        <f>IF(OpenLCAbasic!K9774="CTUh", "Fill in Manually",IF(OR(K9774="Unit", K9774=""), "", INDEX(LookUps!$E$5:$E$12, MATCH(OpenLCAbasic!K9774,LookUps!$D$5:$D$12,0))))</f>
        <v>Water Use (WU) - m3 H2O</v>
      </c>
      <c r="M9774" s="154" t="str">
        <f t="shared" si="811"/>
        <v>Low_Base_High_Upgraded_Water Use (WU) - m3 H2O_Pre-Anoxic &amp; Swing tank; wastewater treatment unit; at updated plant - US_Base_With Amendment_Aerated Static Pile</v>
      </c>
    </row>
    <row r="9775" spans="1:13" s="120" customFormat="1" x14ac:dyDescent="0.25">
      <c r="A9775" s="119"/>
      <c r="B9775" s="138" t="str">
        <f t="shared" si="812"/>
        <v>Aerated Static Pile</v>
      </c>
      <c r="C9775" s="138" t="str">
        <f t="shared" si="813"/>
        <v>Base_With Amendment</v>
      </c>
      <c r="D9775" s="138" t="str">
        <f t="shared" si="810"/>
        <v>Base_High</v>
      </c>
      <c r="E9775" s="138" t="str">
        <f t="shared" si="815"/>
        <v>Low</v>
      </c>
      <c r="F9775" s="138" t="str">
        <f t="shared" si="814"/>
        <v>Upgraded</v>
      </c>
      <c r="G9775" s="153"/>
      <c r="H9775" s="210">
        <v>0.41449999999999998</v>
      </c>
      <c r="I9775" s="160" t="s">
        <v>57</v>
      </c>
      <c r="J9775" s="211">
        <v>3.0408100000000001E-5</v>
      </c>
      <c r="K9775" s="160" t="s">
        <v>26</v>
      </c>
      <c r="L9775" s="154" t="str">
        <f>IF(OpenLCAbasic!K9775="CTUh", "Fill in Manually",IF(OR(K9775="Unit", K9775=""), "", INDEX(LookUps!$E$5:$E$12, MATCH(OpenLCAbasic!K9775,LookUps!$D$5:$D$12,0))))</f>
        <v>Water Use (WU) - m3 H2O</v>
      </c>
      <c r="M9775" s="154" t="str">
        <f t="shared" si="811"/>
        <v>Low_Base_High_Upgraded_Water Use (WU) - m3 H2O_Gravity Belt Thickener; wastewater treatment unit; at updated plant - US_Base_With Amendment_Aerated Static Pile</v>
      </c>
    </row>
    <row r="9776" spans="1:13" s="120" customFormat="1" x14ac:dyDescent="0.25">
      <c r="A9776" s="119"/>
      <c r="B9776" s="138" t="str">
        <f t="shared" si="812"/>
        <v>Aerated Static Pile</v>
      </c>
      <c r="C9776" s="138" t="str">
        <f t="shared" si="813"/>
        <v>Base_With Amendment</v>
      </c>
      <c r="D9776" s="138" t="str">
        <f t="shared" si="810"/>
        <v>Base_High</v>
      </c>
      <c r="E9776" s="138" t="str">
        <f t="shared" si="815"/>
        <v>Low</v>
      </c>
      <c r="F9776" s="138" t="str">
        <f t="shared" si="814"/>
        <v>Upgraded</v>
      </c>
      <c r="G9776" s="153"/>
      <c r="H9776" s="210">
        <v>0.28810000000000002</v>
      </c>
      <c r="I9776" s="160" t="s">
        <v>60</v>
      </c>
      <c r="J9776" s="211">
        <v>2.1135600000000001E-5</v>
      </c>
      <c r="K9776" s="160" t="s">
        <v>26</v>
      </c>
      <c r="L9776" s="154" t="str">
        <f>IF(OpenLCAbasic!K9776="CTUh", "Fill in Manually",IF(OR(K9776="Unit", K9776=""), "", INDEX(LookUps!$E$5:$E$12, MATCH(OpenLCAbasic!K9776,LookUps!$D$5:$D$12,0))))</f>
        <v>Water Use (WU) - m3 H2O</v>
      </c>
      <c r="M9776" s="154" t="str">
        <f t="shared" si="811"/>
        <v>Low_Base_High_Upgraded_Water Use (WU) - m3 H2O_Belt filter press; wastewater treatment unit; at updated plant - US_Base_With Amendment_Aerated Static Pile</v>
      </c>
    </row>
    <row r="9777" spans="1:13" s="120" customFormat="1" x14ac:dyDescent="0.25">
      <c r="A9777" s="119"/>
      <c r="B9777" s="138" t="str">
        <f t="shared" si="812"/>
        <v>Aerated Static Pile</v>
      </c>
      <c r="C9777" s="138" t="str">
        <f t="shared" si="813"/>
        <v>Base_With Amendment</v>
      </c>
      <c r="D9777" s="138" t="str">
        <f t="shared" ref="D9777:D9783" si="816">IF(ISNUMBER($J9777),"Base_High","")</f>
        <v>Base_High</v>
      </c>
      <c r="E9777" s="138" t="str">
        <f t="shared" si="815"/>
        <v>Low</v>
      </c>
      <c r="F9777" s="138" t="str">
        <f t="shared" si="814"/>
        <v>Upgraded</v>
      </c>
      <c r="G9777" s="153"/>
      <c r="H9777" s="210">
        <v>0.25109999999999999</v>
      </c>
      <c r="I9777" s="160" t="s">
        <v>435</v>
      </c>
      <c r="J9777" s="211">
        <v>1.8422699999999999E-5</v>
      </c>
      <c r="K9777" s="160" t="s">
        <v>26</v>
      </c>
      <c r="L9777" s="154" t="str">
        <f>IF(OpenLCAbasic!K9777="CTUh", "Fill in Manually",IF(OR(K9777="Unit", K9777=""), "", INDEX(LookUps!$E$5:$E$12, MATCH(OpenLCAbasic!K9777,LookUps!$D$5:$D$12,0))))</f>
        <v>Water Use (WU) - m3 H2O</v>
      </c>
      <c r="M9777" s="154" t="str">
        <f t="shared" si="811"/>
        <v>Low_Base_High_Upgraded_Water Use (WU) - m3 H2O_Biosolids composting; aerated static pile; wastewater treatment unit; at updated plant - US_Base_With Amendment_Aerated Static Pile</v>
      </c>
    </row>
    <row r="9778" spans="1:13" s="120" customFormat="1" x14ac:dyDescent="0.25">
      <c r="A9778" s="119"/>
      <c r="B9778" s="138" t="str">
        <f t="shared" si="812"/>
        <v>Aerated Static Pile</v>
      </c>
      <c r="C9778" s="138" t="str">
        <f t="shared" si="813"/>
        <v>Base_With Amendment</v>
      </c>
      <c r="D9778" s="138" t="str">
        <f t="shared" si="816"/>
        <v>Base_High</v>
      </c>
      <c r="E9778" s="138" t="str">
        <f t="shared" si="815"/>
        <v>Low</v>
      </c>
      <c r="F9778" s="138" t="str">
        <f t="shared" si="814"/>
        <v>Upgraded</v>
      </c>
      <c r="G9778" s="153"/>
      <c r="H9778" s="210">
        <v>0.23860000000000001</v>
      </c>
      <c r="I9778" s="160" t="s">
        <v>53</v>
      </c>
      <c r="J9778" s="211">
        <v>1.75069E-5</v>
      </c>
      <c r="K9778" s="160" t="s">
        <v>26</v>
      </c>
      <c r="L9778" s="154" t="str">
        <f>IF(OpenLCAbasic!K9778="CTUh", "Fill in Manually",IF(OR(K9778="Unit", K9778=""), "", INDEX(LookUps!$E$5:$E$12, MATCH(OpenLCAbasic!K9778,LookUps!$D$5:$D$12,0))))</f>
        <v>Water Use (WU) - m3 H2O</v>
      </c>
      <c r="M9778" s="154" t="str">
        <f t="shared" si="811"/>
        <v>Low_Base_High_Upgraded_Water Use (WU) - m3 H2O_Wet Well and Sump Station; wastewater treatment unit; at updated plant - US_Base_With Amendment_Aerated Static Pile</v>
      </c>
    </row>
    <row r="9779" spans="1:13" s="120" customFormat="1" x14ac:dyDescent="0.25">
      <c r="A9779" s="119"/>
      <c r="B9779" s="138" t="str">
        <f t="shared" si="812"/>
        <v>Aerated Static Pile</v>
      </c>
      <c r="C9779" s="138" t="str">
        <f t="shared" si="813"/>
        <v>Base_With Amendment</v>
      </c>
      <c r="D9779" s="138" t="str">
        <f t="shared" si="816"/>
        <v>Base_High</v>
      </c>
      <c r="E9779" s="138" t="str">
        <f t="shared" si="815"/>
        <v>Low</v>
      </c>
      <c r="F9779" s="138" t="str">
        <f t="shared" si="814"/>
        <v>Upgraded</v>
      </c>
      <c r="G9779" s="153"/>
      <c r="H9779" s="210">
        <v>9.5699999999999993E-2</v>
      </c>
      <c r="I9779" s="160" t="s">
        <v>59</v>
      </c>
      <c r="J9779" s="211">
        <v>7.0179500000000003E-6</v>
      </c>
      <c r="K9779" s="160" t="s">
        <v>26</v>
      </c>
      <c r="L9779" s="154" t="str">
        <f>IF(OpenLCAbasic!K9779="CTUh", "Fill in Manually",IF(OR(K9779="Unit", K9779=""), "", INDEX(LookUps!$E$5:$E$12, MATCH(OpenLCAbasic!K9779,LookUps!$D$5:$D$12,0))))</f>
        <v>Water Use (WU) - m3 H2O</v>
      </c>
      <c r="M9779" s="154" t="str">
        <f t="shared" ref="M9779:M9842" si="817">CONCATENATE(E9779,"_",D9779,"_",F9779,"_",L9779, "_",I9779,"_", C9779,"_", B9779)</f>
        <v>Low_Base_High_Upgraded_Water Use (WU) - m3 H2O_Blend Tank; wastewater treatment unit; at updated plant - US_Base_With Amendment_Aerated Static Pile</v>
      </c>
    </row>
    <row r="9780" spans="1:13" s="120" customFormat="1" x14ac:dyDescent="0.25">
      <c r="A9780" s="119"/>
      <c r="B9780" s="138" t="str">
        <f t="shared" si="812"/>
        <v>Aerated Static Pile</v>
      </c>
      <c r="C9780" s="138" t="str">
        <f t="shared" si="813"/>
        <v>Base_With Amendment</v>
      </c>
      <c r="D9780" s="138" t="str">
        <f t="shared" si="816"/>
        <v>Base_High</v>
      </c>
      <c r="E9780" s="138" t="str">
        <f t="shared" si="815"/>
        <v>Low</v>
      </c>
      <c r="F9780" s="138" t="str">
        <f t="shared" si="814"/>
        <v>Upgraded</v>
      </c>
      <c r="G9780" s="153"/>
      <c r="H9780" s="210">
        <v>6.9000000000000006E-2</v>
      </c>
      <c r="I9780" s="160" t="s">
        <v>128</v>
      </c>
      <c r="J9780" s="211">
        <v>5.0608900000000003E-6</v>
      </c>
      <c r="K9780" s="160" t="s">
        <v>26</v>
      </c>
      <c r="L9780" s="154" t="str">
        <f>IF(OpenLCAbasic!K9780="CTUh", "Fill in Manually",IF(OR(K9780="Unit", K9780=""), "", INDEX(LookUps!$E$5:$E$12, MATCH(OpenLCAbasic!K9780,LookUps!$D$5:$D$12,0))))</f>
        <v>Water Use (WU) - m3 H2O</v>
      </c>
      <c r="M9780" s="154" t="str">
        <f t="shared" si="817"/>
        <v>Low_Base_High_Upgraded_Water Use (WU) - m3 H2O_Wastewater collection; operation and infrastructure; m3 wastewater_Base_With Amendment_Aerated Static Pile</v>
      </c>
    </row>
    <row r="9781" spans="1:13" s="120" customFormat="1" x14ac:dyDescent="0.25">
      <c r="A9781" s="119"/>
      <c r="B9781" s="138" t="str">
        <f t="shared" si="812"/>
        <v>Aerated Static Pile</v>
      </c>
      <c r="C9781" s="138" t="str">
        <f t="shared" si="813"/>
        <v>Base_With Amendment</v>
      </c>
      <c r="D9781" s="138" t="str">
        <f t="shared" si="816"/>
        <v>Base_High</v>
      </c>
      <c r="E9781" s="138" t="str">
        <f t="shared" si="815"/>
        <v>Low</v>
      </c>
      <c r="F9781" s="138" t="str">
        <f t="shared" si="814"/>
        <v>Upgraded</v>
      </c>
      <c r="G9781" s="153"/>
      <c r="H9781" s="210">
        <v>1.0500000000000001E-2</v>
      </c>
      <c r="I9781" s="160" t="s">
        <v>168</v>
      </c>
      <c r="J9781" s="211">
        <v>7.6697000000000004E-7</v>
      </c>
      <c r="K9781" s="160" t="s">
        <v>26</v>
      </c>
      <c r="L9781" s="154" t="str">
        <f>IF(OpenLCAbasic!K9781="CTUh", "Fill in Manually",IF(OR(K9781="Unit", K9781=""), "", INDEX(LookUps!$E$5:$E$12, MATCH(OpenLCAbasic!K9781,LookUps!$D$5:$D$12,0))))</f>
        <v>Water Use (WU) - m3 H2O</v>
      </c>
      <c r="M9781" s="154" t="str">
        <f t="shared" si="817"/>
        <v>Low_Base_High_Upgraded_Water Use (WU) - m3 H2O_ClearCove SCP; wastewater treatment unit; at updated plant - US_Base_With Amendment_Aerated Static Pile</v>
      </c>
    </row>
    <row r="9782" spans="1:13" s="120" customFormat="1" x14ac:dyDescent="0.25">
      <c r="A9782" s="119"/>
      <c r="B9782" s="138" t="str">
        <f t="shared" si="812"/>
        <v>Aerated Static Pile</v>
      </c>
      <c r="C9782" s="138" t="str">
        <f t="shared" si="813"/>
        <v>Base_With Amendment</v>
      </c>
      <c r="D9782" s="138" t="str">
        <f t="shared" si="816"/>
        <v>Base_High</v>
      </c>
      <c r="E9782" s="138" t="str">
        <f t="shared" si="815"/>
        <v>Low</v>
      </c>
      <c r="F9782" s="138" t="str">
        <f t="shared" si="814"/>
        <v>Upgraded</v>
      </c>
      <c r="G9782" s="153"/>
      <c r="H9782" s="210">
        <v>-1.2699</v>
      </c>
      <c r="I9782" s="160" t="s">
        <v>149</v>
      </c>
      <c r="J9782" s="211">
        <v>-9.3162899999999995E-5</v>
      </c>
      <c r="K9782" s="160" t="s">
        <v>26</v>
      </c>
      <c r="L9782" s="154" t="str">
        <f>IF(OpenLCAbasic!K9782="CTUh", "Fill in Manually",IF(OR(K9782="Unit", K9782=""), "", INDEX(LookUps!$E$5:$E$12, MATCH(OpenLCAbasic!K9782,LookUps!$D$5:$D$12,0))))</f>
        <v>Water Use (WU) - m3 H2O</v>
      </c>
      <c r="M9782" s="154" t="str">
        <f t="shared" si="817"/>
        <v>Low_Base_High_Upgraded_Water Use (WU) - m3 H2O_Anaerobic Digestion; wastewater treatment unit; at updated plant - US_Base_With Amendment_Aerated Static Pile</v>
      </c>
    </row>
    <row r="9783" spans="1:13" s="120" customFormat="1" x14ac:dyDescent="0.25">
      <c r="A9783" s="119"/>
      <c r="B9783" s="138" t="str">
        <f t="shared" si="812"/>
        <v>Aerated Static Pile</v>
      </c>
      <c r="C9783" s="138" t="str">
        <f t="shared" si="813"/>
        <v>Base_With Amendment</v>
      </c>
      <c r="D9783" s="138" t="str">
        <f t="shared" si="816"/>
        <v>Base_High</v>
      </c>
      <c r="E9783" s="138" t="str">
        <f t="shared" si="815"/>
        <v>Low</v>
      </c>
      <c r="F9783" s="138" t="str">
        <f t="shared" si="814"/>
        <v>Upgraded</v>
      </c>
      <c r="G9783" s="153"/>
      <c r="H9783" s="210">
        <v>-14.9816</v>
      </c>
      <c r="I9783" s="160" t="s">
        <v>62</v>
      </c>
      <c r="J9783" s="160">
        <v>-1.1000000000000001E-3</v>
      </c>
      <c r="K9783" s="160" t="s">
        <v>26</v>
      </c>
      <c r="L9783" s="154" t="str">
        <f>IF(OpenLCAbasic!K9783="CTUh", "Fill in Manually",IF(OR(K9783="Unit", K9783=""), "", INDEX(LookUps!$E$5:$E$12, MATCH(OpenLCAbasic!K9783,LookUps!$D$5:$D$12,0))))</f>
        <v>Water Use (WU) - m3 H2O</v>
      </c>
      <c r="M9783" s="154" t="str">
        <f t="shared" si="817"/>
        <v>Low_Base_High_Upgraded_Water Use (WU) - m3 H2O_Land application of compost; wastewater treatment unit; at updated plant - US_Base_With Amendment_Aerated Static Pile</v>
      </c>
    </row>
    <row r="9784" spans="1:13" s="120" customFormat="1" x14ac:dyDescent="0.25">
      <c r="A9784" s="119"/>
      <c r="B9784" s="138" t="str">
        <f t="shared" si="812"/>
        <v/>
      </c>
      <c r="C9784" s="138" t="str">
        <f t="shared" si="813"/>
        <v/>
      </c>
      <c r="D9784" s="138" t="str">
        <f>IF(ISNUMBER($J9784),"Medium_Low","")</f>
        <v/>
      </c>
      <c r="E9784" s="138" t="str">
        <f t="shared" si="815"/>
        <v/>
      </c>
      <c r="F9784" s="138" t="str">
        <f t="shared" si="814"/>
        <v/>
      </c>
      <c r="G9784" s="153" t="s">
        <v>51</v>
      </c>
      <c r="H9784" s="160"/>
      <c r="I9784" s="160" t="s">
        <v>47</v>
      </c>
      <c r="J9784" s="160" t="s">
        <v>52</v>
      </c>
      <c r="K9784" s="160" t="s">
        <v>27</v>
      </c>
      <c r="L9784" s="154" t="str">
        <f>IF(OpenLCAbasic!K9784="CTUh", "Fill in Manually",IF(OR(K9784="Unit", K9784=""), "", INDEX(LookUps!$E$5:$E$12, MATCH(OpenLCAbasic!K9784,LookUps!$D$5:$D$12,0))))</f>
        <v/>
      </c>
      <c r="M9784" s="154" t="str">
        <f t="shared" si="817"/>
        <v>____Process__</v>
      </c>
    </row>
    <row r="9785" spans="1:13" s="120" customFormat="1" x14ac:dyDescent="0.25">
      <c r="A9785" s="119"/>
      <c r="B9785" s="138" t="str">
        <f t="shared" ref="B9785:B9848" si="818">IF(F9785="Legacy","n.a.",IF(F9785="","","Aerated Static Pile"))</f>
        <v>Aerated Static Pile</v>
      </c>
      <c r="C9785" s="138" t="str">
        <f t="shared" ref="C9785:C9848" si="819">IF(ISNUMBER($J9785),"Base_With Amendment","")</f>
        <v>Base_With Amendment</v>
      </c>
      <c r="D9785" s="138" t="str">
        <f t="shared" ref="D9785:D9848" si="820">IF(ISNUMBER($J9785),"Medium_Low","")</f>
        <v>Medium_Low</v>
      </c>
      <c r="E9785" s="138" t="str">
        <f t="shared" si="815"/>
        <v>Low</v>
      </c>
      <c r="F9785" s="138" t="str">
        <f t="shared" ref="F9785:F9848" si="821">IF(ISNUMBER(J9785),"Upgraded","")</f>
        <v>Upgraded</v>
      </c>
      <c r="G9785" s="153"/>
      <c r="H9785" s="210">
        <v>0.34300000000000003</v>
      </c>
      <c r="I9785" s="160" t="s">
        <v>55</v>
      </c>
      <c r="J9785" s="160">
        <v>1.7219999999999999E-2</v>
      </c>
      <c r="K9785" s="160" t="s">
        <v>24</v>
      </c>
      <c r="L9785" s="154" t="str">
        <f>IF(OpenLCAbasic!K9785="CTUh", "Fill in Manually",IF(OR(K9785="Unit", K9785=""), "", INDEX(LookUps!$E$5:$E$12, MATCH(OpenLCAbasic!K9785,LookUps!$D$5:$D$12,0))))</f>
        <v>Acidification Potential (AP) - kg SO2 eq</v>
      </c>
      <c r="M9785" s="154" t="str">
        <f t="shared" si="817"/>
        <v>Low_Medium_Low_Upgraded_Acidification Potential (AP) - kg SO2 eq_Aeration Tanks; wastewater treatment unit; at updated plant - US_Base_With Amendment_Aerated Static Pile</v>
      </c>
    </row>
    <row r="9786" spans="1:13" s="120" customFormat="1" x14ac:dyDescent="0.25">
      <c r="A9786" s="119"/>
      <c r="B9786" s="138" t="str">
        <f t="shared" si="818"/>
        <v>Aerated Static Pile</v>
      </c>
      <c r="C9786" s="138" t="str">
        <f t="shared" si="819"/>
        <v>Base_With Amendment</v>
      </c>
      <c r="D9786" s="138" t="str">
        <f t="shared" si="820"/>
        <v>Medium_Low</v>
      </c>
      <c r="E9786" s="138" t="str">
        <f t="shared" si="815"/>
        <v>Low</v>
      </c>
      <c r="F9786" s="138" t="str">
        <f t="shared" si="821"/>
        <v>Upgraded</v>
      </c>
      <c r="G9786" s="153"/>
      <c r="H9786" s="210">
        <v>0.18920000000000001</v>
      </c>
      <c r="I9786" s="160" t="s">
        <v>435</v>
      </c>
      <c r="J9786" s="160">
        <v>9.4999999999999998E-3</v>
      </c>
      <c r="K9786" s="160" t="s">
        <v>24</v>
      </c>
      <c r="L9786" s="154" t="str">
        <f>IF(OpenLCAbasic!K9786="CTUh", "Fill in Manually",IF(OR(K9786="Unit", K9786=""), "", INDEX(LookUps!$E$5:$E$12, MATCH(OpenLCAbasic!K9786,LookUps!$D$5:$D$12,0))))</f>
        <v>Acidification Potential (AP) - kg SO2 eq</v>
      </c>
      <c r="M9786" s="154" t="str">
        <f t="shared" si="817"/>
        <v>Low_Medium_Low_Upgraded_Acidification Potential (AP) - kg SO2 eq_Biosolids composting; aerated static pile; wastewater treatment unit; at updated plant - US_Base_With Amendment_Aerated Static Pile</v>
      </c>
    </row>
    <row r="9787" spans="1:13" s="120" customFormat="1" x14ac:dyDescent="0.25">
      <c r="A9787" s="119"/>
      <c r="B9787" s="138" t="str">
        <f t="shared" si="818"/>
        <v>Aerated Static Pile</v>
      </c>
      <c r="C9787" s="138" t="str">
        <f t="shared" si="819"/>
        <v>Base_With Amendment</v>
      </c>
      <c r="D9787" s="138" t="str">
        <f t="shared" si="820"/>
        <v>Medium_Low</v>
      </c>
      <c r="E9787" s="138" t="str">
        <f t="shared" si="815"/>
        <v>Low</v>
      </c>
      <c r="F9787" s="138" t="str">
        <f t="shared" si="821"/>
        <v>Upgraded</v>
      </c>
      <c r="G9787" s="153"/>
      <c r="H9787" s="210">
        <v>9.9199999999999997E-2</v>
      </c>
      <c r="I9787" s="160" t="s">
        <v>54</v>
      </c>
      <c r="J9787" s="160">
        <v>4.9800000000000001E-3</v>
      </c>
      <c r="K9787" s="160" t="s">
        <v>24</v>
      </c>
      <c r="L9787" s="154" t="str">
        <f>IF(OpenLCAbasic!K9787="CTUh", "Fill in Manually",IF(OR(K9787="Unit", K9787=""), "", INDEX(LookUps!$E$5:$E$12, MATCH(OpenLCAbasic!K9787,LookUps!$D$5:$D$12,0))))</f>
        <v>Acidification Potential (AP) - kg SO2 eq</v>
      </c>
      <c r="M9787" s="154" t="str">
        <f t="shared" si="817"/>
        <v>Low_Medium_Low_Upgraded_Acidification Potential (AP) - kg SO2 eq_Clear Cove Primary Clarification; wastewater treatment unit; at updated plant - US_Base_With Amendment_Aerated Static Pile</v>
      </c>
    </row>
    <row r="9788" spans="1:13" s="120" customFormat="1" x14ac:dyDescent="0.25">
      <c r="A9788" s="119"/>
      <c r="B9788" s="138" t="str">
        <f t="shared" si="818"/>
        <v>Aerated Static Pile</v>
      </c>
      <c r="C9788" s="138" t="str">
        <f t="shared" si="819"/>
        <v>Base_With Amendment</v>
      </c>
      <c r="D9788" s="138" t="str">
        <f t="shared" si="820"/>
        <v>Medium_Low</v>
      </c>
      <c r="E9788" s="138" t="str">
        <f t="shared" si="815"/>
        <v>Low</v>
      </c>
      <c r="F9788" s="138" t="str">
        <f t="shared" si="821"/>
        <v>Upgraded</v>
      </c>
      <c r="G9788" s="153"/>
      <c r="H9788" s="210">
        <v>9.1399999999999995E-2</v>
      </c>
      <c r="I9788" s="160" t="s">
        <v>62</v>
      </c>
      <c r="J9788" s="160">
        <v>4.5900000000000003E-3</v>
      </c>
      <c r="K9788" s="160" t="s">
        <v>24</v>
      </c>
      <c r="L9788" s="154" t="str">
        <f>IF(OpenLCAbasic!K9788="CTUh", "Fill in Manually",IF(OR(K9788="Unit", K9788=""), "", INDEX(LookUps!$E$5:$E$12, MATCH(OpenLCAbasic!K9788,LookUps!$D$5:$D$12,0))))</f>
        <v>Acidification Potential (AP) - kg SO2 eq</v>
      </c>
      <c r="M9788" s="154" t="str">
        <f t="shared" si="817"/>
        <v>Low_Medium_Low_Upgraded_Acidification Potential (AP) - kg SO2 eq_Land application of compost; wastewater treatment unit; at updated plant - US_Base_With Amendment_Aerated Static Pile</v>
      </c>
    </row>
    <row r="9789" spans="1:13" s="120" customFormat="1" x14ac:dyDescent="0.25">
      <c r="A9789" s="119"/>
      <c r="B9789" s="138" t="str">
        <f t="shared" si="818"/>
        <v>Aerated Static Pile</v>
      </c>
      <c r="C9789" s="138" t="str">
        <f t="shared" si="819"/>
        <v>Base_With Amendment</v>
      </c>
      <c r="D9789" s="138" t="str">
        <f t="shared" si="820"/>
        <v>Medium_Low</v>
      </c>
      <c r="E9789" s="138" t="str">
        <f t="shared" si="815"/>
        <v>Low</v>
      </c>
      <c r="F9789" s="138" t="str">
        <f t="shared" si="821"/>
        <v>Upgraded</v>
      </c>
      <c r="G9789" s="153"/>
      <c r="H9789" s="210">
        <v>8.6599999999999996E-2</v>
      </c>
      <c r="I9789" s="160" t="s">
        <v>58</v>
      </c>
      <c r="J9789" s="160">
        <v>4.3499999999999997E-3</v>
      </c>
      <c r="K9789" s="160" t="s">
        <v>24</v>
      </c>
      <c r="L9789" s="154" t="str">
        <f>IF(OpenLCAbasic!K9789="CTUh", "Fill in Manually",IF(OR(K9789="Unit", K9789=""), "", INDEX(LookUps!$E$5:$E$12, MATCH(OpenLCAbasic!K9789,LookUps!$D$5:$D$12,0))))</f>
        <v>Acidification Potential (AP) - kg SO2 eq</v>
      </c>
      <c r="M9789" s="154" t="str">
        <f t="shared" si="817"/>
        <v>Low_Medium_Low_Upgraded_Acidification Potential (AP) - kg SO2 eq_Pre-Anoxic &amp; Swing tank; wastewater treatment unit; at updated plant - US_Base_With Amendment_Aerated Static Pile</v>
      </c>
    </row>
    <row r="9790" spans="1:13" s="120" customFormat="1" x14ac:dyDescent="0.25">
      <c r="A9790" s="119"/>
      <c r="B9790" s="138" t="str">
        <f t="shared" si="818"/>
        <v>Aerated Static Pile</v>
      </c>
      <c r="C9790" s="138" t="str">
        <f t="shared" si="819"/>
        <v>Base_With Amendment</v>
      </c>
      <c r="D9790" s="138" t="str">
        <f t="shared" si="820"/>
        <v>Medium_Low</v>
      </c>
      <c r="E9790" s="138" t="str">
        <f t="shared" si="815"/>
        <v>Low</v>
      </c>
      <c r="F9790" s="138" t="str">
        <f t="shared" si="821"/>
        <v>Upgraded</v>
      </c>
      <c r="G9790" s="153"/>
      <c r="H9790" s="210">
        <v>6.8699999999999997E-2</v>
      </c>
      <c r="I9790" s="160" t="s">
        <v>53</v>
      </c>
      <c r="J9790" s="160">
        <v>3.4499999999999999E-3</v>
      </c>
      <c r="K9790" s="160" t="s">
        <v>24</v>
      </c>
      <c r="L9790" s="154" t="str">
        <f>IF(OpenLCAbasic!K9790="CTUh", "Fill in Manually",IF(OR(K9790="Unit", K9790=""), "", INDEX(LookUps!$E$5:$E$12, MATCH(OpenLCAbasic!K9790,LookUps!$D$5:$D$12,0))))</f>
        <v>Acidification Potential (AP) - kg SO2 eq</v>
      </c>
      <c r="M9790" s="154" t="str">
        <f t="shared" si="817"/>
        <v>Low_Medium_Low_Upgraded_Acidification Potential (AP) - kg SO2 eq_Wet Well and Sump Station; wastewater treatment unit; at updated plant - US_Base_With Amendment_Aerated Static Pile</v>
      </c>
    </row>
    <row r="9791" spans="1:13" s="120" customFormat="1" x14ac:dyDescent="0.25">
      <c r="A9791" s="119"/>
      <c r="B9791" s="138" t="str">
        <f t="shared" si="818"/>
        <v>Aerated Static Pile</v>
      </c>
      <c r="C9791" s="138" t="str">
        <f t="shared" si="819"/>
        <v>Base_With Amendment</v>
      </c>
      <c r="D9791" s="138" t="str">
        <f t="shared" si="820"/>
        <v>Medium_Low</v>
      </c>
      <c r="E9791" s="138" t="str">
        <f t="shared" si="815"/>
        <v>Low</v>
      </c>
      <c r="F9791" s="138" t="str">
        <f t="shared" si="821"/>
        <v>Upgraded</v>
      </c>
      <c r="G9791" s="153"/>
      <c r="H9791" s="210">
        <v>5.04E-2</v>
      </c>
      <c r="I9791" s="160" t="s">
        <v>167</v>
      </c>
      <c r="J9791" s="160">
        <v>2.5300000000000001E-3</v>
      </c>
      <c r="K9791" s="160" t="s">
        <v>24</v>
      </c>
      <c r="L9791" s="154" t="str">
        <f>IF(OpenLCAbasic!K9791="CTUh", "Fill in Manually",IF(OR(K9791="Unit", K9791=""), "", INDEX(LookUps!$E$5:$E$12, MATCH(OpenLCAbasic!K9791,LookUps!$D$5:$D$12,0))))</f>
        <v>Acidification Potential (AP) - kg SO2 eq</v>
      </c>
      <c r="M9791" s="154" t="str">
        <f t="shared" si="817"/>
        <v>Low_Medium_Low_Upgraded_Acidification Potential (AP) - kg SO2 eq_Waste Receiving and Holding; wastewater treatment unit; at updated plant - US_Base_With Amendment_Aerated Static Pile</v>
      </c>
    </row>
    <row r="9792" spans="1:13" s="120" customFormat="1" x14ac:dyDescent="0.25">
      <c r="A9792" s="119"/>
      <c r="B9792" s="138" t="str">
        <f t="shared" si="818"/>
        <v>Aerated Static Pile</v>
      </c>
      <c r="C9792" s="138" t="str">
        <f t="shared" si="819"/>
        <v>Base_With Amendment</v>
      </c>
      <c r="D9792" s="138" t="str">
        <f t="shared" si="820"/>
        <v>Medium_Low</v>
      </c>
      <c r="E9792" s="138" t="str">
        <f t="shared" si="815"/>
        <v>Low</v>
      </c>
      <c r="F9792" s="138" t="str">
        <f t="shared" si="821"/>
        <v>Upgraded</v>
      </c>
      <c r="G9792" s="153"/>
      <c r="H9792" s="210">
        <v>4.1200000000000001E-2</v>
      </c>
      <c r="I9792" s="160" t="s">
        <v>147</v>
      </c>
      <c r="J9792" s="160">
        <v>2.0699999999999998E-3</v>
      </c>
      <c r="K9792" s="160" t="s">
        <v>24</v>
      </c>
      <c r="L9792" s="154" t="str">
        <f>IF(OpenLCAbasic!K9792="CTUh", "Fill in Manually",IF(OR(K9792="Unit", K9792=""), "", INDEX(LookUps!$E$5:$E$12, MATCH(OpenLCAbasic!K9792,LookUps!$D$5:$D$12,0))))</f>
        <v>Acidification Potential (AP) - kg SO2 eq</v>
      </c>
      <c r="M9792" s="154" t="str">
        <f t="shared" si="817"/>
        <v>Low_Medium_Low_Upgraded_Acidification Potential (AP) - kg SO2 eq_Influent Pump Station; wastewater treatment unit; at updated plant - US_Base_With Amendment_Aerated Static Pile</v>
      </c>
    </row>
    <row r="9793" spans="1:13" s="120" customFormat="1" x14ac:dyDescent="0.25">
      <c r="A9793" s="119"/>
      <c r="B9793" s="138" t="str">
        <f t="shared" si="818"/>
        <v>Aerated Static Pile</v>
      </c>
      <c r="C9793" s="138" t="str">
        <f t="shared" si="819"/>
        <v>Base_With Amendment</v>
      </c>
      <c r="D9793" s="138" t="str">
        <f t="shared" si="820"/>
        <v>Medium_Low</v>
      </c>
      <c r="E9793" s="138" t="str">
        <f t="shared" si="815"/>
        <v>Low</v>
      </c>
      <c r="F9793" s="138" t="str">
        <f t="shared" si="821"/>
        <v>Upgraded</v>
      </c>
      <c r="G9793" s="153"/>
      <c r="H9793" s="210">
        <v>2.46E-2</v>
      </c>
      <c r="I9793" s="160" t="s">
        <v>128</v>
      </c>
      <c r="J9793" s="160">
        <v>1.23E-3</v>
      </c>
      <c r="K9793" s="160" t="s">
        <v>24</v>
      </c>
      <c r="L9793" s="154" t="str">
        <f>IF(OpenLCAbasic!K9793="CTUh", "Fill in Manually",IF(OR(K9793="Unit", K9793=""), "", INDEX(LookUps!$E$5:$E$12, MATCH(OpenLCAbasic!K9793,LookUps!$D$5:$D$12,0))))</f>
        <v>Acidification Potential (AP) - kg SO2 eq</v>
      </c>
      <c r="M9793" s="154" t="str">
        <f t="shared" si="817"/>
        <v>Low_Medium_Low_Upgraded_Acidification Potential (AP) - kg SO2 eq_Wastewater collection; operation and infrastructure; m3 wastewater_Base_With Amendment_Aerated Static Pile</v>
      </c>
    </row>
    <row r="9794" spans="1:13" s="120" customFormat="1" x14ac:dyDescent="0.25">
      <c r="A9794" s="119"/>
      <c r="B9794" s="138" t="str">
        <f t="shared" si="818"/>
        <v>Aerated Static Pile</v>
      </c>
      <c r="C9794" s="138" t="str">
        <f t="shared" si="819"/>
        <v>Base_With Amendment</v>
      </c>
      <c r="D9794" s="138" t="str">
        <f t="shared" si="820"/>
        <v>Medium_Low</v>
      </c>
      <c r="E9794" s="138" t="str">
        <f t="shared" si="815"/>
        <v>Low</v>
      </c>
      <c r="F9794" s="138" t="str">
        <f t="shared" si="821"/>
        <v>Upgraded</v>
      </c>
      <c r="G9794" s="153"/>
      <c r="H9794" s="210">
        <v>2.4E-2</v>
      </c>
      <c r="I9794" s="160" t="s">
        <v>60</v>
      </c>
      <c r="J9794" s="160">
        <v>1.1999999999999999E-3</v>
      </c>
      <c r="K9794" s="160" t="s">
        <v>24</v>
      </c>
      <c r="L9794" s="154" t="str">
        <f>IF(OpenLCAbasic!K9794="CTUh", "Fill in Manually",IF(OR(K9794="Unit", K9794=""), "", INDEX(LookUps!$E$5:$E$12, MATCH(OpenLCAbasic!K9794,LookUps!$D$5:$D$12,0))))</f>
        <v>Acidification Potential (AP) - kg SO2 eq</v>
      </c>
      <c r="M9794" s="154" t="str">
        <f t="shared" si="817"/>
        <v>Low_Medium_Low_Upgraded_Acidification Potential (AP) - kg SO2 eq_Belt filter press; wastewater treatment unit; at updated plant - US_Base_With Amendment_Aerated Static Pile</v>
      </c>
    </row>
    <row r="9795" spans="1:13" s="120" customFormat="1" x14ac:dyDescent="0.25">
      <c r="A9795" s="119"/>
      <c r="B9795" s="138" t="str">
        <f t="shared" si="818"/>
        <v>Aerated Static Pile</v>
      </c>
      <c r="C9795" s="138" t="str">
        <f t="shared" si="819"/>
        <v>Base_With Amendment</v>
      </c>
      <c r="D9795" s="138" t="str">
        <f t="shared" si="820"/>
        <v>Medium_Low</v>
      </c>
      <c r="E9795" s="138" t="str">
        <f t="shared" si="815"/>
        <v>Low</v>
      </c>
      <c r="F9795" s="138" t="str">
        <f t="shared" si="821"/>
        <v>Upgraded</v>
      </c>
      <c r="G9795" s="153"/>
      <c r="H9795" s="210">
        <v>1.4E-2</v>
      </c>
      <c r="I9795" s="160" t="s">
        <v>57</v>
      </c>
      <c r="J9795" s="160">
        <v>6.9999999999999999E-4</v>
      </c>
      <c r="K9795" s="160" t="s">
        <v>24</v>
      </c>
      <c r="L9795" s="154" t="str">
        <f>IF(OpenLCAbasic!K9795="CTUh", "Fill in Manually",IF(OR(K9795="Unit", K9795=""), "", INDEX(LookUps!$E$5:$E$12, MATCH(OpenLCAbasic!K9795,LookUps!$D$5:$D$12,0))))</f>
        <v>Acidification Potential (AP) - kg SO2 eq</v>
      </c>
      <c r="M9795" s="154" t="str">
        <f t="shared" si="817"/>
        <v>Low_Medium_Low_Upgraded_Acidification Potential (AP) - kg SO2 eq_Gravity Belt Thickener; wastewater treatment unit; at updated plant - US_Base_With Amendment_Aerated Static Pile</v>
      </c>
    </row>
    <row r="9796" spans="1:13" s="120" customFormat="1" x14ac:dyDescent="0.25">
      <c r="A9796" s="119"/>
      <c r="B9796" s="138" t="str">
        <f t="shared" si="818"/>
        <v>Aerated Static Pile</v>
      </c>
      <c r="C9796" s="138" t="str">
        <f t="shared" si="819"/>
        <v>Base_With Amendment</v>
      </c>
      <c r="D9796" s="138" t="str">
        <f t="shared" si="820"/>
        <v>Medium_Low</v>
      </c>
      <c r="E9796" s="138" t="str">
        <f t="shared" si="815"/>
        <v>Low</v>
      </c>
      <c r="F9796" s="138" t="str">
        <f t="shared" si="821"/>
        <v>Upgraded</v>
      </c>
      <c r="G9796" s="153"/>
      <c r="H9796" s="210">
        <v>1.03E-2</v>
      </c>
      <c r="I9796" s="160" t="s">
        <v>59</v>
      </c>
      <c r="J9796" s="160">
        <v>5.1999999999999995E-4</v>
      </c>
      <c r="K9796" s="160" t="s">
        <v>24</v>
      </c>
      <c r="L9796" s="154" t="str">
        <f>IF(OpenLCAbasic!K9796="CTUh", "Fill in Manually",IF(OR(K9796="Unit", K9796=""), "", INDEX(LookUps!$E$5:$E$12, MATCH(OpenLCAbasic!K9796,LookUps!$D$5:$D$12,0))))</f>
        <v>Acidification Potential (AP) - kg SO2 eq</v>
      </c>
      <c r="M9796" s="154" t="str">
        <f t="shared" si="817"/>
        <v>Low_Medium_Low_Upgraded_Acidification Potential (AP) - kg SO2 eq_Blend Tank; wastewater treatment unit; at updated plant - US_Base_With Amendment_Aerated Static Pile</v>
      </c>
    </row>
    <row r="9797" spans="1:13" s="120" customFormat="1" x14ac:dyDescent="0.25">
      <c r="A9797" s="119"/>
      <c r="B9797" s="138" t="str">
        <f t="shared" si="818"/>
        <v>Aerated Static Pile</v>
      </c>
      <c r="C9797" s="138" t="str">
        <f t="shared" si="819"/>
        <v>Base_With Amendment</v>
      </c>
      <c r="D9797" s="138" t="str">
        <f t="shared" si="820"/>
        <v>Medium_Low</v>
      </c>
      <c r="E9797" s="138" t="str">
        <f t="shared" si="815"/>
        <v>Low</v>
      </c>
      <c r="F9797" s="138" t="str">
        <f t="shared" si="821"/>
        <v>Upgraded</v>
      </c>
      <c r="G9797" s="153"/>
      <c r="H9797" s="210">
        <v>6.8999999999999999E-3</v>
      </c>
      <c r="I9797" s="160" t="s">
        <v>48</v>
      </c>
      <c r="J9797" s="160">
        <v>3.5E-4</v>
      </c>
      <c r="K9797" s="160" t="s">
        <v>24</v>
      </c>
      <c r="L9797" s="154" t="str">
        <f>IF(OpenLCAbasic!K9797="CTUh", "Fill in Manually",IF(OR(K9797="Unit", K9797=""), "", INDEX(LookUps!$E$5:$E$12, MATCH(OpenLCAbasic!K9797,LookUps!$D$5:$D$12,0))))</f>
        <v>Acidification Potential (AP) - kg SO2 eq</v>
      </c>
      <c r="M9797" s="154" t="str">
        <f t="shared" si="817"/>
        <v>Low_Medium_Low_Upgraded_Acidification Potential (AP) - kg SO2 eq_Effluent release; wastewater treatment unit; at surface water; m3 wastewater - US_Base_With Amendment_Aerated Static Pile</v>
      </c>
    </row>
    <row r="9798" spans="1:13" s="120" customFormat="1" x14ac:dyDescent="0.25">
      <c r="A9798" s="119"/>
      <c r="B9798" s="138" t="str">
        <f t="shared" si="818"/>
        <v>Aerated Static Pile</v>
      </c>
      <c r="C9798" s="138" t="str">
        <f t="shared" si="819"/>
        <v>Base_With Amendment</v>
      </c>
      <c r="D9798" s="138" t="str">
        <f t="shared" si="820"/>
        <v>Medium_Low</v>
      </c>
      <c r="E9798" s="138" t="str">
        <f t="shared" si="815"/>
        <v>Low</v>
      </c>
      <c r="F9798" s="138" t="str">
        <f t="shared" si="821"/>
        <v>Upgraded</v>
      </c>
      <c r="G9798" s="153"/>
      <c r="H9798" s="210">
        <v>5.1000000000000004E-3</v>
      </c>
      <c r="I9798" s="160" t="s">
        <v>168</v>
      </c>
      <c r="J9798" s="160">
        <v>2.5999999999999998E-4</v>
      </c>
      <c r="K9798" s="160" t="s">
        <v>24</v>
      </c>
      <c r="L9798" s="154" t="str">
        <f>IF(OpenLCAbasic!K9798="CTUh", "Fill in Manually",IF(OR(K9798="Unit", K9798=""), "", INDEX(LookUps!$E$5:$E$12, MATCH(OpenLCAbasic!K9798,LookUps!$D$5:$D$12,0))))</f>
        <v>Acidification Potential (AP) - kg SO2 eq</v>
      </c>
      <c r="M9798" s="154" t="str">
        <f t="shared" si="817"/>
        <v>Low_Medium_Low_Upgraded_Acidification Potential (AP) - kg SO2 eq_ClearCove SCP; wastewater treatment unit; at updated plant - US_Base_With Amendment_Aerated Static Pile</v>
      </c>
    </row>
    <row r="9799" spans="1:13" s="120" customFormat="1" x14ac:dyDescent="0.25">
      <c r="A9799" s="119"/>
      <c r="B9799" s="138" t="str">
        <f t="shared" si="818"/>
        <v>Aerated Static Pile</v>
      </c>
      <c r="C9799" s="138" t="str">
        <f t="shared" si="819"/>
        <v>Base_With Amendment</v>
      </c>
      <c r="D9799" s="138" t="str">
        <f t="shared" si="820"/>
        <v>Medium_Low</v>
      </c>
      <c r="E9799" s="138" t="str">
        <f t="shared" si="815"/>
        <v>Low</v>
      </c>
      <c r="F9799" s="138" t="str">
        <f t="shared" si="821"/>
        <v>Upgraded</v>
      </c>
      <c r="G9799" s="153"/>
      <c r="H9799" s="210">
        <v>8.0000000000000004E-4</v>
      </c>
      <c r="I9799" s="160" t="s">
        <v>148</v>
      </c>
      <c r="J9799" s="211">
        <v>4.0354700000000002E-5</v>
      </c>
      <c r="K9799" s="160" t="s">
        <v>24</v>
      </c>
      <c r="L9799" s="154" t="str">
        <f>IF(OpenLCAbasic!K9799="CTUh", "Fill in Manually",IF(OR(K9799="Unit", K9799=""), "", INDEX(LookUps!$E$5:$E$12, MATCH(OpenLCAbasic!K9799,LookUps!$D$5:$D$12,0))))</f>
        <v>Acidification Potential (AP) - kg SO2 eq</v>
      </c>
      <c r="M9799" s="154" t="str">
        <f t="shared" si="817"/>
        <v>Low_Medium_Low_Upgraded_Acidification Potential (AP) - kg SO2 eq_Control Building; at upgraded wastewater treatment plant - US_Base_With Amendment_Aerated Static Pile</v>
      </c>
    </row>
    <row r="9800" spans="1:13" s="120" customFormat="1" x14ac:dyDescent="0.25">
      <c r="A9800" s="119"/>
      <c r="B9800" s="138" t="str">
        <f t="shared" si="818"/>
        <v>Aerated Static Pile</v>
      </c>
      <c r="C9800" s="138" t="str">
        <f t="shared" si="819"/>
        <v>Base_With Amendment</v>
      </c>
      <c r="D9800" s="138" t="str">
        <f t="shared" si="820"/>
        <v>Medium_Low</v>
      </c>
      <c r="E9800" s="138" t="str">
        <f t="shared" si="815"/>
        <v>Low</v>
      </c>
      <c r="F9800" s="138" t="str">
        <f t="shared" si="821"/>
        <v>Upgraded</v>
      </c>
      <c r="G9800" s="153"/>
      <c r="H9800" s="210">
        <v>-5.5399999999999998E-2</v>
      </c>
      <c r="I9800" s="160" t="s">
        <v>149</v>
      </c>
      <c r="J9800" s="160">
        <v>-2.7799999999999999E-3</v>
      </c>
      <c r="K9800" s="160" t="s">
        <v>24</v>
      </c>
      <c r="L9800" s="154" t="str">
        <f>IF(OpenLCAbasic!K9800="CTUh", "Fill in Manually",IF(OR(K9800="Unit", K9800=""), "", INDEX(LookUps!$E$5:$E$12, MATCH(OpenLCAbasic!K9800,LookUps!$D$5:$D$12,0))))</f>
        <v>Acidification Potential (AP) - kg SO2 eq</v>
      </c>
      <c r="M9800" s="154" t="str">
        <f t="shared" si="817"/>
        <v>Low_Medium_Low_Upgraded_Acidification Potential (AP) - kg SO2 eq_Anaerobic Digestion; wastewater treatment unit; at updated plant - US_Base_With Amendment_Aerated Static Pile</v>
      </c>
    </row>
    <row r="9801" spans="1:13" s="120" customFormat="1" x14ac:dyDescent="0.25">
      <c r="A9801" s="119"/>
      <c r="B9801" s="138" t="str">
        <f t="shared" si="818"/>
        <v/>
      </c>
      <c r="C9801" s="138" t="str">
        <f t="shared" si="819"/>
        <v/>
      </c>
      <c r="D9801" s="138" t="str">
        <f t="shared" si="820"/>
        <v/>
      </c>
      <c r="E9801" s="138" t="str">
        <f t="shared" si="815"/>
        <v/>
      </c>
      <c r="F9801" s="138" t="str">
        <f t="shared" si="821"/>
        <v/>
      </c>
      <c r="G9801" s="153" t="s">
        <v>51</v>
      </c>
      <c r="H9801" s="160"/>
      <c r="I9801" s="160" t="s">
        <v>47</v>
      </c>
      <c r="J9801" s="160" t="s">
        <v>52</v>
      </c>
      <c r="K9801" s="160" t="s">
        <v>27</v>
      </c>
      <c r="L9801" s="154" t="str">
        <f>IF(OpenLCAbasic!K9801="CTUh", "Fill in Manually",IF(OR(K9801="Unit", K9801=""), "", INDEX(LookUps!$E$5:$E$12, MATCH(OpenLCAbasic!K9801,LookUps!$D$5:$D$12,0))))</f>
        <v/>
      </c>
      <c r="M9801" s="154" t="str">
        <f t="shared" si="817"/>
        <v>____Process__</v>
      </c>
    </row>
    <row r="9802" spans="1:13" s="120" customFormat="1" x14ac:dyDescent="0.25">
      <c r="A9802" s="119"/>
      <c r="B9802" s="138" t="str">
        <f t="shared" si="818"/>
        <v>Aerated Static Pile</v>
      </c>
      <c r="C9802" s="138" t="str">
        <f t="shared" si="819"/>
        <v>Base_With Amendment</v>
      </c>
      <c r="D9802" s="138" t="str">
        <f t="shared" si="820"/>
        <v>Medium_Low</v>
      </c>
      <c r="E9802" s="138" t="str">
        <f t="shared" si="815"/>
        <v>Low</v>
      </c>
      <c r="F9802" s="138" t="str">
        <f t="shared" si="821"/>
        <v>Upgraded</v>
      </c>
      <c r="G9802" s="153"/>
      <c r="H9802" s="210">
        <v>0.29780000000000001</v>
      </c>
      <c r="I9802" s="160" t="s">
        <v>167</v>
      </c>
      <c r="J9802" s="160">
        <v>4.2789599999999997</v>
      </c>
      <c r="K9802" s="160" t="s">
        <v>15</v>
      </c>
      <c r="L9802" s="154" t="str">
        <f>IF(OpenLCAbasic!K9802="CTUh", "Fill in Manually",IF(OR(K9802="Unit", K9802=""), "", INDEX(LookUps!$E$5:$E$12, MATCH(OpenLCAbasic!K9802,LookUps!$D$5:$D$12,0))))</f>
        <v>Cumulative Energy Demand (CED) - MJ</v>
      </c>
      <c r="M9802" s="154" t="str">
        <f t="shared" si="817"/>
        <v>Low_Medium_Low_Upgraded_Cumulative Energy Demand (CED) - MJ_Waste Receiving and Holding; wastewater treatment unit; at updated plant - US_Base_With Amendment_Aerated Static Pile</v>
      </c>
    </row>
    <row r="9803" spans="1:13" s="120" customFormat="1" x14ac:dyDescent="0.25">
      <c r="A9803" s="119"/>
      <c r="B9803" s="138" t="str">
        <f t="shared" si="818"/>
        <v>Aerated Static Pile</v>
      </c>
      <c r="C9803" s="138" t="str">
        <f t="shared" si="819"/>
        <v>Base_With Amendment</v>
      </c>
      <c r="D9803" s="138" t="str">
        <f t="shared" si="820"/>
        <v>Medium_Low</v>
      </c>
      <c r="E9803" s="138" t="str">
        <f t="shared" si="815"/>
        <v>Low</v>
      </c>
      <c r="F9803" s="138" t="str">
        <f t="shared" si="821"/>
        <v>Upgraded</v>
      </c>
      <c r="G9803" s="153"/>
      <c r="H9803" s="210">
        <v>0.24590000000000001</v>
      </c>
      <c r="I9803" s="160" t="s">
        <v>55</v>
      </c>
      <c r="J9803" s="160">
        <v>3.5330499999999998</v>
      </c>
      <c r="K9803" s="160" t="s">
        <v>15</v>
      </c>
      <c r="L9803" s="154" t="str">
        <f>IF(OpenLCAbasic!K9803="CTUh", "Fill in Manually",IF(OR(K9803="Unit", K9803=""), "", INDEX(LookUps!$E$5:$E$12, MATCH(OpenLCAbasic!K9803,LookUps!$D$5:$D$12,0))))</f>
        <v>Cumulative Energy Demand (CED) - MJ</v>
      </c>
      <c r="M9803" s="154" t="str">
        <f t="shared" si="817"/>
        <v>Low_Medium_Low_Upgraded_Cumulative Energy Demand (CED) - MJ_Aeration Tanks; wastewater treatment unit; at updated plant - US_Base_With Amendment_Aerated Static Pile</v>
      </c>
    </row>
    <row r="9804" spans="1:13" s="120" customFormat="1" x14ac:dyDescent="0.25">
      <c r="A9804" s="119"/>
      <c r="B9804" s="138" t="str">
        <f t="shared" si="818"/>
        <v>Aerated Static Pile</v>
      </c>
      <c r="C9804" s="138" t="str">
        <f t="shared" si="819"/>
        <v>Base_With Amendment</v>
      </c>
      <c r="D9804" s="138" t="str">
        <f t="shared" si="820"/>
        <v>Medium_Low</v>
      </c>
      <c r="E9804" s="138" t="str">
        <f t="shared" si="815"/>
        <v>Low</v>
      </c>
      <c r="F9804" s="138" t="str">
        <f t="shared" si="821"/>
        <v>Upgraded</v>
      </c>
      <c r="G9804" s="153"/>
      <c r="H9804" s="210">
        <v>0.1326</v>
      </c>
      <c r="I9804" s="160" t="s">
        <v>435</v>
      </c>
      <c r="J9804" s="160">
        <v>1.90496</v>
      </c>
      <c r="K9804" s="160" t="s">
        <v>15</v>
      </c>
      <c r="L9804" s="154" t="str">
        <f>IF(OpenLCAbasic!K9804="CTUh", "Fill in Manually",IF(OR(K9804="Unit", K9804=""), "", INDEX(LookUps!$E$5:$E$12, MATCH(OpenLCAbasic!K9804,LookUps!$D$5:$D$12,0))))</f>
        <v>Cumulative Energy Demand (CED) - MJ</v>
      </c>
      <c r="M9804" s="154" t="str">
        <f t="shared" si="817"/>
        <v>Low_Medium_Low_Upgraded_Cumulative Energy Demand (CED) - MJ_Biosolids composting; aerated static pile; wastewater treatment unit; at updated plant - US_Base_With Amendment_Aerated Static Pile</v>
      </c>
    </row>
    <row r="9805" spans="1:13" s="120" customFormat="1" x14ac:dyDescent="0.25">
      <c r="A9805" s="119"/>
      <c r="B9805" s="138" t="str">
        <f t="shared" si="818"/>
        <v>Aerated Static Pile</v>
      </c>
      <c r="C9805" s="138" t="str">
        <f t="shared" si="819"/>
        <v>Base_With Amendment</v>
      </c>
      <c r="D9805" s="138" t="str">
        <f t="shared" si="820"/>
        <v>Medium_Low</v>
      </c>
      <c r="E9805" s="138" t="str">
        <f t="shared" si="815"/>
        <v>Low</v>
      </c>
      <c r="F9805" s="138" t="str">
        <f t="shared" si="821"/>
        <v>Upgraded</v>
      </c>
      <c r="G9805" s="153"/>
      <c r="H9805" s="210">
        <v>8.09E-2</v>
      </c>
      <c r="I9805" s="160" t="s">
        <v>54</v>
      </c>
      <c r="J9805" s="160">
        <v>1.16289</v>
      </c>
      <c r="K9805" s="160" t="s">
        <v>15</v>
      </c>
      <c r="L9805" s="154" t="str">
        <f>IF(OpenLCAbasic!K9805="CTUh", "Fill in Manually",IF(OR(K9805="Unit", K9805=""), "", INDEX(LookUps!$E$5:$E$12, MATCH(OpenLCAbasic!K9805,LookUps!$D$5:$D$12,0))))</f>
        <v>Cumulative Energy Demand (CED) - MJ</v>
      </c>
      <c r="M9805" s="154" t="str">
        <f t="shared" si="817"/>
        <v>Low_Medium_Low_Upgraded_Cumulative Energy Demand (CED) - MJ_Clear Cove Primary Clarification; wastewater treatment unit; at updated plant - US_Base_With Amendment_Aerated Static Pile</v>
      </c>
    </row>
    <row r="9806" spans="1:13" s="120" customFormat="1" x14ac:dyDescent="0.25">
      <c r="A9806" s="119"/>
      <c r="B9806" s="138" t="str">
        <f t="shared" si="818"/>
        <v>Aerated Static Pile</v>
      </c>
      <c r="C9806" s="138" t="str">
        <f t="shared" si="819"/>
        <v>Base_With Amendment</v>
      </c>
      <c r="D9806" s="138" t="str">
        <f t="shared" si="820"/>
        <v>Medium_Low</v>
      </c>
      <c r="E9806" s="138" t="str">
        <f t="shared" si="815"/>
        <v>Low</v>
      </c>
      <c r="F9806" s="138" t="str">
        <f t="shared" si="821"/>
        <v>Upgraded</v>
      </c>
      <c r="G9806" s="153"/>
      <c r="H9806" s="210">
        <v>6.1699999999999998E-2</v>
      </c>
      <c r="I9806" s="160" t="s">
        <v>58</v>
      </c>
      <c r="J9806" s="160">
        <v>0.88705000000000001</v>
      </c>
      <c r="K9806" s="160" t="s">
        <v>15</v>
      </c>
      <c r="L9806" s="154" t="str">
        <f>IF(OpenLCAbasic!K9806="CTUh", "Fill in Manually",IF(OR(K9806="Unit", K9806=""), "", INDEX(LookUps!$E$5:$E$12, MATCH(OpenLCAbasic!K9806,LookUps!$D$5:$D$12,0))))</f>
        <v>Cumulative Energy Demand (CED) - MJ</v>
      </c>
      <c r="M9806" s="154" t="str">
        <f t="shared" si="817"/>
        <v>Low_Medium_Low_Upgraded_Cumulative Energy Demand (CED) - MJ_Pre-Anoxic &amp; Swing tank; wastewater treatment unit; at updated plant - US_Base_With Amendment_Aerated Static Pile</v>
      </c>
    </row>
    <row r="9807" spans="1:13" s="120" customFormat="1" x14ac:dyDescent="0.25">
      <c r="A9807" s="119"/>
      <c r="B9807" s="138" t="str">
        <f t="shared" si="818"/>
        <v>Aerated Static Pile</v>
      </c>
      <c r="C9807" s="138" t="str">
        <f t="shared" si="819"/>
        <v>Base_With Amendment</v>
      </c>
      <c r="D9807" s="138" t="str">
        <f t="shared" si="820"/>
        <v>Medium_Low</v>
      </c>
      <c r="E9807" s="138" t="str">
        <f t="shared" si="815"/>
        <v>Low</v>
      </c>
      <c r="F9807" s="138" t="str">
        <f t="shared" si="821"/>
        <v>Upgraded</v>
      </c>
      <c r="G9807" s="153"/>
      <c r="H9807" s="210">
        <v>6.1499999999999999E-2</v>
      </c>
      <c r="I9807" s="160" t="s">
        <v>147</v>
      </c>
      <c r="J9807" s="160">
        <v>0.88297000000000003</v>
      </c>
      <c r="K9807" s="160" t="s">
        <v>15</v>
      </c>
      <c r="L9807" s="154" t="str">
        <f>IF(OpenLCAbasic!K9807="CTUh", "Fill in Manually",IF(OR(K9807="Unit", K9807=""), "", INDEX(LookUps!$E$5:$E$12, MATCH(OpenLCAbasic!K9807,LookUps!$D$5:$D$12,0))))</f>
        <v>Cumulative Energy Demand (CED) - MJ</v>
      </c>
      <c r="M9807" s="154" t="str">
        <f t="shared" si="817"/>
        <v>Low_Medium_Low_Upgraded_Cumulative Energy Demand (CED) - MJ_Influent Pump Station; wastewater treatment unit; at updated plant - US_Base_With Amendment_Aerated Static Pile</v>
      </c>
    </row>
    <row r="9808" spans="1:13" s="120" customFormat="1" x14ac:dyDescent="0.25">
      <c r="A9808" s="119"/>
      <c r="B9808" s="138" t="str">
        <f t="shared" si="818"/>
        <v>Aerated Static Pile</v>
      </c>
      <c r="C9808" s="138" t="str">
        <f t="shared" si="819"/>
        <v>Base_With Amendment</v>
      </c>
      <c r="D9808" s="138" t="str">
        <f t="shared" si="820"/>
        <v>Medium_Low</v>
      </c>
      <c r="E9808" s="138" t="str">
        <f t="shared" si="815"/>
        <v>Low</v>
      </c>
      <c r="F9808" s="138" t="str">
        <f t="shared" si="821"/>
        <v>Upgraded</v>
      </c>
      <c r="G9808" s="153"/>
      <c r="H9808" s="210">
        <v>4.8500000000000001E-2</v>
      </c>
      <c r="I9808" s="160" t="s">
        <v>53</v>
      </c>
      <c r="J9808" s="160">
        <v>0.69645000000000001</v>
      </c>
      <c r="K9808" s="160" t="s">
        <v>15</v>
      </c>
      <c r="L9808" s="154" t="str">
        <f>IF(OpenLCAbasic!K9808="CTUh", "Fill in Manually",IF(OR(K9808="Unit", K9808=""), "", INDEX(LookUps!$E$5:$E$12, MATCH(OpenLCAbasic!K9808,LookUps!$D$5:$D$12,0))))</f>
        <v>Cumulative Energy Demand (CED) - MJ</v>
      </c>
      <c r="M9808" s="154" t="str">
        <f t="shared" si="817"/>
        <v>Low_Medium_Low_Upgraded_Cumulative Energy Demand (CED) - MJ_Wet Well and Sump Station; wastewater treatment unit; at updated plant - US_Base_With Amendment_Aerated Static Pile</v>
      </c>
    </row>
    <row r="9809" spans="1:13" s="120" customFormat="1" x14ac:dyDescent="0.25">
      <c r="A9809" s="119"/>
      <c r="B9809" s="138" t="str">
        <f t="shared" si="818"/>
        <v>Aerated Static Pile</v>
      </c>
      <c r="C9809" s="138" t="str">
        <f t="shared" si="819"/>
        <v>Base_With Amendment</v>
      </c>
      <c r="D9809" s="138" t="str">
        <f t="shared" si="820"/>
        <v>Medium_Low</v>
      </c>
      <c r="E9809" s="138" t="str">
        <f t="shared" si="815"/>
        <v>Low</v>
      </c>
      <c r="F9809" s="138" t="str">
        <f t="shared" si="821"/>
        <v>Upgraded</v>
      </c>
      <c r="G9809" s="153"/>
      <c r="H9809" s="210">
        <v>3.1300000000000001E-2</v>
      </c>
      <c r="I9809" s="160" t="s">
        <v>60</v>
      </c>
      <c r="J9809" s="160">
        <v>0.44939000000000001</v>
      </c>
      <c r="K9809" s="160" t="s">
        <v>15</v>
      </c>
      <c r="L9809" s="154" t="str">
        <f>IF(OpenLCAbasic!K9809="CTUh", "Fill in Manually",IF(OR(K9809="Unit", K9809=""), "", INDEX(LookUps!$E$5:$E$12, MATCH(OpenLCAbasic!K9809,LookUps!$D$5:$D$12,0))))</f>
        <v>Cumulative Energy Demand (CED) - MJ</v>
      </c>
      <c r="M9809" s="154" t="str">
        <f t="shared" si="817"/>
        <v>Low_Medium_Low_Upgraded_Cumulative Energy Demand (CED) - MJ_Belt filter press; wastewater treatment unit; at updated plant - US_Base_With Amendment_Aerated Static Pile</v>
      </c>
    </row>
    <row r="9810" spans="1:13" s="120" customFormat="1" x14ac:dyDescent="0.25">
      <c r="A9810" s="119"/>
      <c r="B9810" s="138" t="str">
        <f t="shared" si="818"/>
        <v>Aerated Static Pile</v>
      </c>
      <c r="C9810" s="138" t="str">
        <f t="shared" si="819"/>
        <v>Base_With Amendment</v>
      </c>
      <c r="D9810" s="138" t="str">
        <f t="shared" si="820"/>
        <v>Medium_Low</v>
      </c>
      <c r="E9810" s="138" t="str">
        <f t="shared" si="815"/>
        <v>Low</v>
      </c>
      <c r="F9810" s="138" t="str">
        <f t="shared" si="821"/>
        <v>Upgraded</v>
      </c>
      <c r="G9810" s="153"/>
      <c r="H9810" s="210">
        <v>2.3199999999999998E-2</v>
      </c>
      <c r="I9810" s="160" t="s">
        <v>57</v>
      </c>
      <c r="J9810" s="160">
        <v>0.33404</v>
      </c>
      <c r="K9810" s="160" t="s">
        <v>15</v>
      </c>
      <c r="L9810" s="154" t="str">
        <f>IF(OpenLCAbasic!K9810="CTUh", "Fill in Manually",IF(OR(K9810="Unit", K9810=""), "", INDEX(LookUps!$E$5:$E$12, MATCH(OpenLCAbasic!K9810,LookUps!$D$5:$D$12,0))))</f>
        <v>Cumulative Energy Demand (CED) - MJ</v>
      </c>
      <c r="M9810" s="154" t="str">
        <f t="shared" si="817"/>
        <v>Low_Medium_Low_Upgraded_Cumulative Energy Demand (CED) - MJ_Gravity Belt Thickener; wastewater treatment unit; at updated plant - US_Base_With Amendment_Aerated Static Pile</v>
      </c>
    </row>
    <row r="9811" spans="1:13" s="120" customFormat="1" x14ac:dyDescent="0.25">
      <c r="A9811" s="119"/>
      <c r="B9811" s="138" t="str">
        <f t="shared" si="818"/>
        <v>Aerated Static Pile</v>
      </c>
      <c r="C9811" s="138" t="str">
        <f t="shared" si="819"/>
        <v>Base_With Amendment</v>
      </c>
      <c r="D9811" s="138" t="str">
        <f t="shared" si="820"/>
        <v>Medium_Low</v>
      </c>
      <c r="E9811" s="138" t="str">
        <f t="shared" si="815"/>
        <v>Low</v>
      </c>
      <c r="F9811" s="138" t="str">
        <f t="shared" si="821"/>
        <v>Upgraded</v>
      </c>
      <c r="G9811" s="153"/>
      <c r="H9811" s="210">
        <v>1.9099999999999999E-2</v>
      </c>
      <c r="I9811" s="160" t="s">
        <v>149</v>
      </c>
      <c r="J9811" s="160">
        <v>0.27453</v>
      </c>
      <c r="K9811" s="160" t="s">
        <v>15</v>
      </c>
      <c r="L9811" s="154" t="str">
        <f>IF(OpenLCAbasic!K9811="CTUh", "Fill in Manually",IF(OR(K9811="Unit", K9811=""), "", INDEX(LookUps!$E$5:$E$12, MATCH(OpenLCAbasic!K9811,LookUps!$D$5:$D$12,0))))</f>
        <v>Cumulative Energy Demand (CED) - MJ</v>
      </c>
      <c r="M9811" s="154" t="str">
        <f t="shared" si="817"/>
        <v>Low_Medium_Low_Upgraded_Cumulative Energy Demand (CED) - MJ_Anaerobic Digestion; wastewater treatment unit; at updated plant - US_Base_With Amendment_Aerated Static Pile</v>
      </c>
    </row>
    <row r="9812" spans="1:13" s="120" customFormat="1" x14ac:dyDescent="0.25">
      <c r="A9812" s="119"/>
      <c r="B9812" s="138" t="str">
        <f t="shared" si="818"/>
        <v>Aerated Static Pile</v>
      </c>
      <c r="C9812" s="138" t="str">
        <f t="shared" si="819"/>
        <v>Base_With Amendment</v>
      </c>
      <c r="D9812" s="138" t="str">
        <f t="shared" si="820"/>
        <v>Medium_Low</v>
      </c>
      <c r="E9812" s="138" t="str">
        <f t="shared" si="815"/>
        <v>Low</v>
      </c>
      <c r="F9812" s="138" t="str">
        <f t="shared" si="821"/>
        <v>Upgraded</v>
      </c>
      <c r="G9812" s="153"/>
      <c r="H9812" s="210">
        <v>1.78E-2</v>
      </c>
      <c r="I9812" s="160" t="s">
        <v>128</v>
      </c>
      <c r="J9812" s="160">
        <v>0.25606000000000001</v>
      </c>
      <c r="K9812" s="160" t="s">
        <v>15</v>
      </c>
      <c r="L9812" s="154" t="str">
        <f>IF(OpenLCAbasic!K9812="CTUh", "Fill in Manually",IF(OR(K9812="Unit", K9812=""), "", INDEX(LookUps!$E$5:$E$12, MATCH(OpenLCAbasic!K9812,LookUps!$D$5:$D$12,0))))</f>
        <v>Cumulative Energy Demand (CED) - MJ</v>
      </c>
      <c r="M9812" s="154" t="str">
        <f t="shared" si="817"/>
        <v>Low_Medium_Low_Upgraded_Cumulative Energy Demand (CED) - MJ_Wastewater collection; operation and infrastructure; m3 wastewater_Base_With Amendment_Aerated Static Pile</v>
      </c>
    </row>
    <row r="9813" spans="1:13" s="120" customFormat="1" x14ac:dyDescent="0.25">
      <c r="A9813" s="119"/>
      <c r="B9813" s="138" t="str">
        <f t="shared" si="818"/>
        <v>Aerated Static Pile</v>
      </c>
      <c r="C9813" s="138" t="str">
        <f t="shared" si="819"/>
        <v>Base_With Amendment</v>
      </c>
      <c r="D9813" s="138" t="str">
        <f t="shared" si="820"/>
        <v>Medium_Low</v>
      </c>
      <c r="E9813" s="138" t="str">
        <f t="shared" si="815"/>
        <v>Low</v>
      </c>
      <c r="F9813" s="138" t="str">
        <f t="shared" si="821"/>
        <v>Upgraded</v>
      </c>
      <c r="G9813" s="153"/>
      <c r="H9813" s="210">
        <v>1.0200000000000001E-2</v>
      </c>
      <c r="I9813" s="160" t="s">
        <v>148</v>
      </c>
      <c r="J9813" s="160">
        <v>0.14599000000000001</v>
      </c>
      <c r="K9813" s="160" t="s">
        <v>15</v>
      </c>
      <c r="L9813" s="154" t="str">
        <f>IF(OpenLCAbasic!K9813="CTUh", "Fill in Manually",IF(OR(K9813="Unit", K9813=""), "", INDEX(LookUps!$E$5:$E$12, MATCH(OpenLCAbasic!K9813,LookUps!$D$5:$D$12,0))))</f>
        <v>Cumulative Energy Demand (CED) - MJ</v>
      </c>
      <c r="M9813" s="154" t="str">
        <f t="shared" si="817"/>
        <v>Low_Medium_Low_Upgraded_Cumulative Energy Demand (CED) - MJ_Control Building; at upgraded wastewater treatment plant - US_Base_With Amendment_Aerated Static Pile</v>
      </c>
    </row>
    <row r="9814" spans="1:13" s="120" customFormat="1" x14ac:dyDescent="0.25">
      <c r="A9814" s="119"/>
      <c r="B9814" s="138" t="str">
        <f t="shared" si="818"/>
        <v>Aerated Static Pile</v>
      </c>
      <c r="C9814" s="138" t="str">
        <f t="shared" si="819"/>
        <v>Base_With Amendment</v>
      </c>
      <c r="D9814" s="138" t="str">
        <f t="shared" si="820"/>
        <v>Medium_Low</v>
      </c>
      <c r="E9814" s="138" t="str">
        <f t="shared" si="815"/>
        <v>Low</v>
      </c>
      <c r="F9814" s="138" t="str">
        <f t="shared" si="821"/>
        <v>Upgraded</v>
      </c>
      <c r="G9814" s="153"/>
      <c r="H9814" s="210">
        <v>9.2999999999999992E-3</v>
      </c>
      <c r="I9814" s="160" t="s">
        <v>48</v>
      </c>
      <c r="J9814" s="160">
        <v>0.13321</v>
      </c>
      <c r="K9814" s="160" t="s">
        <v>15</v>
      </c>
      <c r="L9814" s="154" t="str">
        <f>IF(OpenLCAbasic!K9814="CTUh", "Fill in Manually",IF(OR(K9814="Unit", K9814=""), "", INDEX(LookUps!$E$5:$E$12, MATCH(OpenLCAbasic!K9814,LookUps!$D$5:$D$12,0))))</f>
        <v>Cumulative Energy Demand (CED) - MJ</v>
      </c>
      <c r="M9814" s="154" t="str">
        <f t="shared" si="817"/>
        <v>Low_Medium_Low_Upgraded_Cumulative Energy Demand (CED) - MJ_Effluent release; wastewater treatment unit; at surface water; m3 wastewater - US_Base_With Amendment_Aerated Static Pile</v>
      </c>
    </row>
    <row r="9815" spans="1:13" s="120" customFormat="1" x14ac:dyDescent="0.25">
      <c r="A9815" s="119"/>
      <c r="B9815" s="138" t="str">
        <f t="shared" si="818"/>
        <v>Aerated Static Pile</v>
      </c>
      <c r="C9815" s="138" t="str">
        <f t="shared" si="819"/>
        <v>Base_With Amendment</v>
      </c>
      <c r="D9815" s="138" t="str">
        <f t="shared" si="820"/>
        <v>Medium_Low</v>
      </c>
      <c r="E9815" s="138" t="str">
        <f t="shared" si="815"/>
        <v>Low</v>
      </c>
      <c r="F9815" s="138" t="str">
        <f t="shared" si="821"/>
        <v>Upgraded</v>
      </c>
      <c r="G9815" s="153"/>
      <c r="H9815" s="210">
        <v>7.4000000000000003E-3</v>
      </c>
      <c r="I9815" s="160" t="s">
        <v>59</v>
      </c>
      <c r="J9815" s="160">
        <v>0.10638</v>
      </c>
      <c r="K9815" s="160" t="s">
        <v>15</v>
      </c>
      <c r="L9815" s="154" t="str">
        <f>IF(OpenLCAbasic!K9815="CTUh", "Fill in Manually",IF(OR(K9815="Unit", K9815=""), "", INDEX(LookUps!$E$5:$E$12, MATCH(OpenLCAbasic!K9815,LookUps!$D$5:$D$12,0))))</f>
        <v>Cumulative Energy Demand (CED) - MJ</v>
      </c>
      <c r="M9815" s="154" t="str">
        <f t="shared" si="817"/>
        <v>Low_Medium_Low_Upgraded_Cumulative Energy Demand (CED) - MJ_Blend Tank; wastewater treatment unit; at updated plant - US_Base_With Amendment_Aerated Static Pile</v>
      </c>
    </row>
    <row r="9816" spans="1:13" s="120" customFormat="1" x14ac:dyDescent="0.25">
      <c r="A9816" s="119"/>
      <c r="B9816" s="138" t="str">
        <f t="shared" si="818"/>
        <v>Aerated Static Pile</v>
      </c>
      <c r="C9816" s="138" t="str">
        <f t="shared" si="819"/>
        <v>Base_With Amendment</v>
      </c>
      <c r="D9816" s="138" t="str">
        <f t="shared" si="820"/>
        <v>Medium_Low</v>
      </c>
      <c r="E9816" s="138" t="str">
        <f t="shared" si="815"/>
        <v>Low</v>
      </c>
      <c r="F9816" s="138" t="str">
        <f t="shared" si="821"/>
        <v>Upgraded</v>
      </c>
      <c r="G9816" s="153"/>
      <c r="H9816" s="210">
        <v>3.5000000000000001E-3</v>
      </c>
      <c r="I9816" s="160" t="s">
        <v>168</v>
      </c>
      <c r="J9816" s="160">
        <v>5.0930000000000003E-2</v>
      </c>
      <c r="K9816" s="160" t="s">
        <v>15</v>
      </c>
      <c r="L9816" s="154" t="str">
        <f>IF(OpenLCAbasic!K9816="CTUh", "Fill in Manually",IF(OR(K9816="Unit", K9816=""), "", INDEX(LookUps!$E$5:$E$12, MATCH(OpenLCAbasic!K9816,LookUps!$D$5:$D$12,0))))</f>
        <v>Cumulative Energy Demand (CED) - MJ</v>
      </c>
      <c r="M9816" s="154" t="str">
        <f t="shared" si="817"/>
        <v>Low_Medium_Low_Upgraded_Cumulative Energy Demand (CED) - MJ_ClearCove SCP; wastewater treatment unit; at updated plant - US_Base_With Amendment_Aerated Static Pile</v>
      </c>
    </row>
    <row r="9817" spans="1:13" s="120" customFormat="1" x14ac:dyDescent="0.25">
      <c r="A9817" s="119"/>
      <c r="B9817" s="138" t="str">
        <f t="shared" si="818"/>
        <v>Aerated Static Pile</v>
      </c>
      <c r="C9817" s="138" t="str">
        <f t="shared" si="819"/>
        <v>Base_With Amendment</v>
      </c>
      <c r="D9817" s="138" t="str">
        <f t="shared" si="820"/>
        <v>Medium_Low</v>
      </c>
      <c r="E9817" s="138" t="str">
        <f t="shared" si="815"/>
        <v>Low</v>
      </c>
      <c r="F9817" s="138" t="str">
        <f t="shared" si="821"/>
        <v>Upgraded</v>
      </c>
      <c r="G9817" s="153"/>
      <c r="H9817" s="210">
        <v>-5.0700000000000002E-2</v>
      </c>
      <c r="I9817" s="160" t="s">
        <v>62</v>
      </c>
      <c r="J9817" s="160">
        <v>-0.72904999999999998</v>
      </c>
      <c r="K9817" s="160" t="s">
        <v>15</v>
      </c>
      <c r="L9817" s="154" t="str">
        <f>IF(OpenLCAbasic!K9817="CTUh", "Fill in Manually",IF(OR(K9817="Unit", K9817=""), "", INDEX(LookUps!$E$5:$E$12, MATCH(OpenLCAbasic!K9817,LookUps!$D$5:$D$12,0))))</f>
        <v>Cumulative Energy Demand (CED) - MJ</v>
      </c>
      <c r="M9817" s="154" t="str">
        <f t="shared" si="817"/>
        <v>Low_Medium_Low_Upgraded_Cumulative Energy Demand (CED) - MJ_Land application of compost; wastewater treatment unit; at updated plant - US_Base_With Amendment_Aerated Static Pile</v>
      </c>
    </row>
    <row r="9818" spans="1:13" s="120" customFormat="1" x14ac:dyDescent="0.25">
      <c r="A9818" s="119"/>
      <c r="B9818" s="138" t="str">
        <f t="shared" si="818"/>
        <v/>
      </c>
      <c r="C9818" s="138" t="str">
        <f t="shared" si="819"/>
        <v/>
      </c>
      <c r="D9818" s="138" t="str">
        <f t="shared" si="820"/>
        <v/>
      </c>
      <c r="E9818" s="138" t="str">
        <f t="shared" si="815"/>
        <v/>
      </c>
      <c r="F9818" s="138" t="str">
        <f t="shared" si="821"/>
        <v/>
      </c>
      <c r="G9818" s="153" t="s">
        <v>51</v>
      </c>
      <c r="H9818" s="160"/>
      <c r="I9818" s="160" t="s">
        <v>47</v>
      </c>
      <c r="J9818" s="160" t="s">
        <v>52</v>
      </c>
      <c r="K9818" s="160" t="s">
        <v>27</v>
      </c>
      <c r="L9818" s="154" t="str">
        <f>IF(OpenLCAbasic!K9818="CTUh", "Fill in Manually",IF(OR(K9818="Unit", K9818=""), "", INDEX(LookUps!$E$5:$E$12, MATCH(OpenLCAbasic!K9818,LookUps!$D$5:$D$12,0))))</f>
        <v/>
      </c>
      <c r="M9818" s="154" t="str">
        <f t="shared" si="817"/>
        <v>____Process__</v>
      </c>
    </row>
    <row r="9819" spans="1:13" s="120" customFormat="1" x14ac:dyDescent="0.25">
      <c r="A9819" s="119"/>
      <c r="B9819" s="138" t="str">
        <f t="shared" si="818"/>
        <v>Aerated Static Pile</v>
      </c>
      <c r="C9819" s="138" t="str">
        <f t="shared" si="819"/>
        <v>Base_With Amendment</v>
      </c>
      <c r="D9819" s="138" t="str">
        <f t="shared" si="820"/>
        <v>Medium_Low</v>
      </c>
      <c r="E9819" s="138" t="str">
        <f t="shared" si="815"/>
        <v>Low</v>
      </c>
      <c r="F9819" s="138" t="str">
        <f t="shared" si="821"/>
        <v>Upgraded</v>
      </c>
      <c r="G9819" s="153"/>
      <c r="H9819" s="210">
        <v>0.69240000000000002</v>
      </c>
      <c r="I9819" s="160" t="s">
        <v>48</v>
      </c>
      <c r="J9819" s="160">
        <v>1.1610000000000001E-2</v>
      </c>
      <c r="K9819" s="160" t="s">
        <v>13</v>
      </c>
      <c r="L9819" s="154" t="str">
        <f>IF(OpenLCAbasic!K9819="CTUh", "Fill in Manually",IF(OR(K9819="Unit", K9819=""), "", INDEX(LookUps!$E$5:$E$12, MATCH(OpenLCAbasic!K9819,LookUps!$D$5:$D$12,0))))</f>
        <v>Eutrophication Potential (EP) - kg N eq</v>
      </c>
      <c r="M9819" s="154" t="str">
        <f t="shared" si="817"/>
        <v>Low_Medium_Low_Upgraded_Eutrophication Potential (EP) - kg N eq_Effluent release; wastewater treatment unit; at surface water; m3 wastewater - US_Base_With Amendment_Aerated Static Pile</v>
      </c>
    </row>
    <row r="9820" spans="1:13" s="120" customFormat="1" x14ac:dyDescent="0.25">
      <c r="A9820" s="119"/>
      <c r="B9820" s="138" t="str">
        <f t="shared" si="818"/>
        <v>Aerated Static Pile</v>
      </c>
      <c r="C9820" s="138" t="str">
        <f t="shared" si="819"/>
        <v>Base_With Amendment</v>
      </c>
      <c r="D9820" s="138" t="str">
        <f t="shared" si="820"/>
        <v>Medium_Low</v>
      </c>
      <c r="E9820" s="138" t="str">
        <f t="shared" si="815"/>
        <v>Low</v>
      </c>
      <c r="F9820" s="138" t="str">
        <f t="shared" si="821"/>
        <v>Upgraded</v>
      </c>
      <c r="G9820" s="153"/>
      <c r="H9820" s="210">
        <v>0.19550000000000001</v>
      </c>
      <c r="I9820" s="160" t="s">
        <v>62</v>
      </c>
      <c r="J9820" s="160">
        <v>3.2799999999999999E-3</v>
      </c>
      <c r="K9820" s="160" t="s">
        <v>13</v>
      </c>
      <c r="L9820" s="154" t="str">
        <f>IF(OpenLCAbasic!K9820="CTUh", "Fill in Manually",IF(OR(K9820="Unit", K9820=""), "", INDEX(LookUps!$E$5:$E$12, MATCH(OpenLCAbasic!K9820,LookUps!$D$5:$D$12,0))))</f>
        <v>Eutrophication Potential (EP) - kg N eq</v>
      </c>
      <c r="M9820" s="154" t="str">
        <f t="shared" si="817"/>
        <v>Low_Medium_Low_Upgraded_Eutrophication Potential (EP) - kg N eq_Land application of compost; wastewater treatment unit; at updated plant - US_Base_With Amendment_Aerated Static Pile</v>
      </c>
    </row>
    <row r="9821" spans="1:13" s="120" customFormat="1" x14ac:dyDescent="0.25">
      <c r="A9821" s="119"/>
      <c r="B9821" s="138" t="str">
        <f t="shared" si="818"/>
        <v>Aerated Static Pile</v>
      </c>
      <c r="C9821" s="138" t="str">
        <f t="shared" si="819"/>
        <v>Base_With Amendment</v>
      </c>
      <c r="D9821" s="138" t="str">
        <f t="shared" si="820"/>
        <v>Medium_Low</v>
      </c>
      <c r="E9821" s="138" t="str">
        <f t="shared" si="815"/>
        <v>Low</v>
      </c>
      <c r="F9821" s="138" t="str">
        <f t="shared" si="821"/>
        <v>Upgraded</v>
      </c>
      <c r="G9821" s="153"/>
      <c r="H9821" s="210">
        <v>3.2599999999999997E-2</v>
      </c>
      <c r="I9821" s="160" t="s">
        <v>55</v>
      </c>
      <c r="J9821" s="160">
        <v>5.5000000000000003E-4</v>
      </c>
      <c r="K9821" s="160" t="s">
        <v>13</v>
      </c>
      <c r="L9821" s="154" t="str">
        <f>IF(OpenLCAbasic!K9821="CTUh", "Fill in Manually",IF(OR(K9821="Unit", K9821=""), "", INDEX(LookUps!$E$5:$E$12, MATCH(OpenLCAbasic!K9821,LookUps!$D$5:$D$12,0))))</f>
        <v>Eutrophication Potential (EP) - kg N eq</v>
      </c>
      <c r="M9821" s="154" t="str">
        <f t="shared" si="817"/>
        <v>Low_Medium_Low_Upgraded_Eutrophication Potential (EP) - kg N eq_Aeration Tanks; wastewater treatment unit; at updated plant - US_Base_With Amendment_Aerated Static Pile</v>
      </c>
    </row>
    <row r="9822" spans="1:13" s="120" customFormat="1" x14ac:dyDescent="0.25">
      <c r="A9822" s="119"/>
      <c r="B9822" s="138" t="str">
        <f t="shared" si="818"/>
        <v>Aerated Static Pile</v>
      </c>
      <c r="C9822" s="138" t="str">
        <f t="shared" si="819"/>
        <v>Base_With Amendment</v>
      </c>
      <c r="D9822" s="138" t="str">
        <f t="shared" si="820"/>
        <v>Medium_Low</v>
      </c>
      <c r="E9822" s="138" t="str">
        <f t="shared" si="815"/>
        <v>Low</v>
      </c>
      <c r="F9822" s="138" t="str">
        <f t="shared" si="821"/>
        <v>Upgraded</v>
      </c>
      <c r="G9822" s="153"/>
      <c r="H9822" s="210">
        <v>1.7399999999999999E-2</v>
      </c>
      <c r="I9822" s="160" t="s">
        <v>435</v>
      </c>
      <c r="J9822" s="160">
        <v>2.9E-4</v>
      </c>
      <c r="K9822" s="160" t="s">
        <v>13</v>
      </c>
      <c r="L9822" s="154" t="str">
        <f>IF(OpenLCAbasic!K9822="CTUh", "Fill in Manually",IF(OR(K9822="Unit", K9822=""), "", INDEX(LookUps!$E$5:$E$12, MATCH(OpenLCAbasic!K9822,LookUps!$D$5:$D$12,0))))</f>
        <v>Eutrophication Potential (EP) - kg N eq</v>
      </c>
      <c r="M9822" s="154" t="str">
        <f t="shared" si="817"/>
        <v>Low_Medium_Low_Upgraded_Eutrophication Potential (EP) - kg N eq_Biosolids composting; aerated static pile; wastewater treatment unit; at updated plant - US_Base_With Amendment_Aerated Static Pile</v>
      </c>
    </row>
    <row r="9823" spans="1:13" s="120" customFormat="1" x14ac:dyDescent="0.25">
      <c r="A9823" s="119"/>
      <c r="B9823" s="138" t="str">
        <f t="shared" si="818"/>
        <v>Aerated Static Pile</v>
      </c>
      <c r="C9823" s="138" t="str">
        <f t="shared" si="819"/>
        <v>Base_With Amendment</v>
      </c>
      <c r="D9823" s="138" t="str">
        <f t="shared" si="820"/>
        <v>Medium_Low</v>
      </c>
      <c r="E9823" s="138" t="str">
        <f t="shared" si="815"/>
        <v>Low</v>
      </c>
      <c r="F9823" s="138" t="str">
        <f t="shared" si="821"/>
        <v>Upgraded</v>
      </c>
      <c r="G9823" s="153"/>
      <c r="H9823" s="210">
        <v>1.49E-2</v>
      </c>
      <c r="I9823" s="160" t="s">
        <v>147</v>
      </c>
      <c r="J9823" s="160">
        <v>2.5000000000000001E-4</v>
      </c>
      <c r="K9823" s="160" t="s">
        <v>13</v>
      </c>
      <c r="L9823" s="154" t="str">
        <f>IF(OpenLCAbasic!K9823="CTUh", "Fill in Manually",IF(OR(K9823="Unit", K9823=""), "", INDEX(LookUps!$E$5:$E$12, MATCH(OpenLCAbasic!K9823,LookUps!$D$5:$D$12,0))))</f>
        <v>Eutrophication Potential (EP) - kg N eq</v>
      </c>
      <c r="M9823" s="154" t="str">
        <f t="shared" si="817"/>
        <v>Low_Medium_Low_Upgraded_Eutrophication Potential (EP) - kg N eq_Influent Pump Station; wastewater treatment unit; at updated plant - US_Base_With Amendment_Aerated Static Pile</v>
      </c>
    </row>
    <row r="9824" spans="1:13" s="120" customFormat="1" x14ac:dyDescent="0.25">
      <c r="A9824" s="119"/>
      <c r="B9824" s="138" t="str">
        <f t="shared" si="818"/>
        <v>Aerated Static Pile</v>
      </c>
      <c r="C9824" s="138" t="str">
        <f t="shared" si="819"/>
        <v>Base_With Amendment</v>
      </c>
      <c r="D9824" s="138" t="str">
        <f t="shared" si="820"/>
        <v>Medium_Low</v>
      </c>
      <c r="E9824" s="138" t="str">
        <f t="shared" si="815"/>
        <v>Low</v>
      </c>
      <c r="F9824" s="138" t="str">
        <f t="shared" si="821"/>
        <v>Upgraded</v>
      </c>
      <c r="G9824" s="153"/>
      <c r="H9824" s="210">
        <v>1.18E-2</v>
      </c>
      <c r="I9824" s="160" t="s">
        <v>54</v>
      </c>
      <c r="J9824" s="160">
        <v>2.0000000000000001E-4</v>
      </c>
      <c r="K9824" s="160" t="s">
        <v>13</v>
      </c>
      <c r="L9824" s="154" t="str">
        <f>IF(OpenLCAbasic!K9824="CTUh", "Fill in Manually",IF(OR(K9824="Unit", K9824=""), "", INDEX(LookUps!$E$5:$E$12, MATCH(OpenLCAbasic!K9824,LookUps!$D$5:$D$12,0))))</f>
        <v>Eutrophication Potential (EP) - kg N eq</v>
      </c>
      <c r="M9824" s="154" t="str">
        <f t="shared" si="817"/>
        <v>Low_Medium_Low_Upgraded_Eutrophication Potential (EP) - kg N eq_Clear Cove Primary Clarification; wastewater treatment unit; at updated plant - US_Base_With Amendment_Aerated Static Pile</v>
      </c>
    </row>
    <row r="9825" spans="1:13" s="120" customFormat="1" x14ac:dyDescent="0.25">
      <c r="A9825" s="119"/>
      <c r="B9825" s="138" t="str">
        <f t="shared" si="818"/>
        <v>Aerated Static Pile</v>
      </c>
      <c r="C9825" s="138" t="str">
        <f t="shared" si="819"/>
        <v>Base_With Amendment</v>
      </c>
      <c r="D9825" s="138" t="str">
        <f t="shared" si="820"/>
        <v>Medium_Low</v>
      </c>
      <c r="E9825" s="138" t="str">
        <f t="shared" si="815"/>
        <v>Low</v>
      </c>
      <c r="F9825" s="138" t="str">
        <f t="shared" si="821"/>
        <v>Upgraded</v>
      </c>
      <c r="G9825" s="153"/>
      <c r="H9825" s="210">
        <v>1.14E-2</v>
      </c>
      <c r="I9825" s="160" t="s">
        <v>167</v>
      </c>
      <c r="J9825" s="160">
        <v>1.9000000000000001E-4</v>
      </c>
      <c r="K9825" s="160" t="s">
        <v>13</v>
      </c>
      <c r="L9825" s="154" t="str">
        <f>IF(OpenLCAbasic!K9825="CTUh", "Fill in Manually",IF(OR(K9825="Unit", K9825=""), "", INDEX(LookUps!$E$5:$E$12, MATCH(OpenLCAbasic!K9825,LookUps!$D$5:$D$12,0))))</f>
        <v>Eutrophication Potential (EP) - kg N eq</v>
      </c>
      <c r="M9825" s="154" t="str">
        <f t="shared" si="817"/>
        <v>Low_Medium_Low_Upgraded_Eutrophication Potential (EP) - kg N eq_Waste Receiving and Holding; wastewater treatment unit; at updated plant - US_Base_With Amendment_Aerated Static Pile</v>
      </c>
    </row>
    <row r="9826" spans="1:13" s="120" customFormat="1" x14ac:dyDescent="0.25">
      <c r="A9826" s="119"/>
      <c r="B9826" s="138" t="str">
        <f t="shared" si="818"/>
        <v>Aerated Static Pile</v>
      </c>
      <c r="C9826" s="138" t="str">
        <f t="shared" si="819"/>
        <v>Base_With Amendment</v>
      </c>
      <c r="D9826" s="138" t="str">
        <f t="shared" si="820"/>
        <v>Medium_Low</v>
      </c>
      <c r="E9826" s="138" t="str">
        <f t="shared" si="815"/>
        <v>Low</v>
      </c>
      <c r="F9826" s="138" t="str">
        <f t="shared" si="821"/>
        <v>Upgraded</v>
      </c>
      <c r="G9826" s="153"/>
      <c r="H9826" s="210">
        <v>8.0999999999999996E-3</v>
      </c>
      <c r="I9826" s="160" t="s">
        <v>58</v>
      </c>
      <c r="J9826" s="160">
        <v>1.3999999999999999E-4</v>
      </c>
      <c r="K9826" s="160" t="s">
        <v>13</v>
      </c>
      <c r="L9826" s="154" t="str">
        <f>IF(OpenLCAbasic!K9826="CTUh", "Fill in Manually",IF(OR(K9826="Unit", K9826=""), "", INDEX(LookUps!$E$5:$E$12, MATCH(OpenLCAbasic!K9826,LookUps!$D$5:$D$12,0))))</f>
        <v>Eutrophication Potential (EP) - kg N eq</v>
      </c>
      <c r="M9826" s="154" t="str">
        <f t="shared" si="817"/>
        <v>Low_Medium_Low_Upgraded_Eutrophication Potential (EP) - kg N eq_Pre-Anoxic &amp; Swing tank; wastewater treatment unit; at updated plant - US_Base_With Amendment_Aerated Static Pile</v>
      </c>
    </row>
    <row r="9827" spans="1:13" s="120" customFormat="1" x14ac:dyDescent="0.25">
      <c r="A9827" s="119"/>
      <c r="B9827" s="138" t="str">
        <f t="shared" si="818"/>
        <v>Aerated Static Pile</v>
      </c>
      <c r="C9827" s="138" t="str">
        <f t="shared" si="819"/>
        <v>Base_With Amendment</v>
      </c>
      <c r="D9827" s="138" t="str">
        <f t="shared" si="820"/>
        <v>Medium_Low</v>
      </c>
      <c r="E9827" s="138" t="str">
        <f t="shared" si="815"/>
        <v>Low</v>
      </c>
      <c r="F9827" s="138" t="str">
        <f t="shared" si="821"/>
        <v>Upgraded</v>
      </c>
      <c r="G9827" s="153"/>
      <c r="H9827" s="210">
        <v>6.4000000000000003E-3</v>
      </c>
      <c r="I9827" s="160" t="s">
        <v>53</v>
      </c>
      <c r="J9827" s="160">
        <v>1.1E-4</v>
      </c>
      <c r="K9827" s="160" t="s">
        <v>13</v>
      </c>
      <c r="L9827" s="154" t="str">
        <f>IF(OpenLCAbasic!K9827="CTUh", "Fill in Manually",IF(OR(K9827="Unit", K9827=""), "", INDEX(LookUps!$E$5:$E$12, MATCH(OpenLCAbasic!K9827,LookUps!$D$5:$D$12,0))))</f>
        <v>Eutrophication Potential (EP) - kg N eq</v>
      </c>
      <c r="M9827" s="154" t="str">
        <f t="shared" si="817"/>
        <v>Low_Medium_Low_Upgraded_Eutrophication Potential (EP) - kg N eq_Wet Well and Sump Station; wastewater treatment unit; at updated plant - US_Base_With Amendment_Aerated Static Pile</v>
      </c>
    </row>
    <row r="9828" spans="1:13" s="120" customFormat="1" x14ac:dyDescent="0.25">
      <c r="A9828" s="119"/>
      <c r="B9828" s="138" t="str">
        <f t="shared" si="818"/>
        <v>Aerated Static Pile</v>
      </c>
      <c r="C9828" s="138" t="str">
        <f t="shared" si="819"/>
        <v>Base_With Amendment</v>
      </c>
      <c r="D9828" s="138" t="str">
        <f t="shared" si="820"/>
        <v>Medium_Low</v>
      </c>
      <c r="E9828" s="138" t="str">
        <f t="shared" si="815"/>
        <v>Low</v>
      </c>
      <c r="F9828" s="138" t="str">
        <f t="shared" si="821"/>
        <v>Upgraded</v>
      </c>
      <c r="G9828" s="153"/>
      <c r="H9828" s="210">
        <v>4.7000000000000002E-3</v>
      </c>
      <c r="I9828" s="160" t="s">
        <v>60</v>
      </c>
      <c r="J9828" s="211">
        <v>7.8941800000000004E-5</v>
      </c>
      <c r="K9828" s="160" t="s">
        <v>13</v>
      </c>
      <c r="L9828" s="154" t="str">
        <f>IF(OpenLCAbasic!K9828="CTUh", "Fill in Manually",IF(OR(K9828="Unit", K9828=""), "", INDEX(LookUps!$E$5:$E$12, MATCH(OpenLCAbasic!K9828,LookUps!$D$5:$D$12,0))))</f>
        <v>Eutrophication Potential (EP) - kg N eq</v>
      </c>
      <c r="M9828" s="154" t="str">
        <f t="shared" si="817"/>
        <v>Low_Medium_Low_Upgraded_Eutrophication Potential (EP) - kg N eq_Belt filter press; wastewater treatment unit; at updated plant - US_Base_With Amendment_Aerated Static Pile</v>
      </c>
    </row>
    <row r="9829" spans="1:13" s="120" customFormat="1" x14ac:dyDescent="0.25">
      <c r="A9829" s="119"/>
      <c r="B9829" s="138" t="str">
        <f t="shared" si="818"/>
        <v>Aerated Static Pile</v>
      </c>
      <c r="C9829" s="138" t="str">
        <f t="shared" si="819"/>
        <v>Base_With Amendment</v>
      </c>
      <c r="D9829" s="138" t="str">
        <f t="shared" si="820"/>
        <v>Medium_Low</v>
      </c>
      <c r="E9829" s="138" t="str">
        <f t="shared" si="815"/>
        <v>Low</v>
      </c>
      <c r="F9829" s="138" t="str">
        <f t="shared" si="821"/>
        <v>Upgraded</v>
      </c>
      <c r="G9829" s="153"/>
      <c r="H9829" s="210">
        <v>3.5999999999999999E-3</v>
      </c>
      <c r="I9829" s="160" t="s">
        <v>57</v>
      </c>
      <c r="J9829" s="211">
        <v>6.0590300000000002E-5</v>
      </c>
      <c r="K9829" s="160" t="s">
        <v>13</v>
      </c>
      <c r="L9829" s="154" t="str">
        <f>IF(OpenLCAbasic!K9829="CTUh", "Fill in Manually",IF(OR(K9829="Unit", K9829=""), "", INDEX(LookUps!$E$5:$E$12, MATCH(OpenLCAbasic!K9829,LookUps!$D$5:$D$12,0))))</f>
        <v>Eutrophication Potential (EP) - kg N eq</v>
      </c>
      <c r="M9829" s="154" t="str">
        <f t="shared" si="817"/>
        <v>Low_Medium_Low_Upgraded_Eutrophication Potential (EP) - kg N eq_Gravity Belt Thickener; wastewater treatment unit; at updated plant - US_Base_With Amendment_Aerated Static Pile</v>
      </c>
    </row>
    <row r="9830" spans="1:13" s="120" customFormat="1" x14ac:dyDescent="0.25">
      <c r="A9830" s="119"/>
      <c r="B9830" s="138" t="str">
        <f t="shared" si="818"/>
        <v>Aerated Static Pile</v>
      </c>
      <c r="C9830" s="138" t="str">
        <f t="shared" si="819"/>
        <v>Base_With Amendment</v>
      </c>
      <c r="D9830" s="138" t="str">
        <f t="shared" si="820"/>
        <v>Medium_Low</v>
      </c>
      <c r="E9830" s="138" t="str">
        <f t="shared" si="815"/>
        <v>Low</v>
      </c>
      <c r="F9830" s="138" t="str">
        <f t="shared" si="821"/>
        <v>Upgraded</v>
      </c>
      <c r="G9830" s="153"/>
      <c r="H9830" s="210">
        <v>2.2000000000000001E-3</v>
      </c>
      <c r="I9830" s="160" t="s">
        <v>128</v>
      </c>
      <c r="J9830" s="211">
        <v>3.7559799999999999E-5</v>
      </c>
      <c r="K9830" s="160" t="s">
        <v>13</v>
      </c>
      <c r="L9830" s="154" t="str">
        <f>IF(OpenLCAbasic!K9830="CTUh", "Fill in Manually",IF(OR(K9830="Unit", K9830=""), "", INDEX(LookUps!$E$5:$E$12, MATCH(OpenLCAbasic!K9830,LookUps!$D$5:$D$12,0))))</f>
        <v>Eutrophication Potential (EP) - kg N eq</v>
      </c>
      <c r="M9830" s="154" t="str">
        <f t="shared" si="817"/>
        <v>Low_Medium_Low_Upgraded_Eutrophication Potential (EP) - kg N eq_Wastewater collection; operation and infrastructure; m3 wastewater_Base_With Amendment_Aerated Static Pile</v>
      </c>
    </row>
    <row r="9831" spans="1:13" s="120" customFormat="1" x14ac:dyDescent="0.25">
      <c r="A9831" s="119"/>
      <c r="B9831" s="138" t="str">
        <f t="shared" si="818"/>
        <v>Aerated Static Pile</v>
      </c>
      <c r="C9831" s="138" t="str">
        <f t="shared" si="819"/>
        <v>Base_With Amendment</v>
      </c>
      <c r="D9831" s="138" t="str">
        <f t="shared" si="820"/>
        <v>Medium_Low</v>
      </c>
      <c r="E9831" s="138" t="str">
        <f t="shared" si="815"/>
        <v>Low</v>
      </c>
      <c r="F9831" s="138" t="str">
        <f t="shared" si="821"/>
        <v>Upgraded</v>
      </c>
      <c r="G9831" s="153"/>
      <c r="H9831" s="210">
        <v>2.2000000000000001E-3</v>
      </c>
      <c r="I9831" s="160" t="s">
        <v>148</v>
      </c>
      <c r="J9831" s="211">
        <v>3.6874600000000001E-5</v>
      </c>
      <c r="K9831" s="160" t="s">
        <v>13</v>
      </c>
      <c r="L9831" s="154" t="str">
        <f>IF(OpenLCAbasic!K9831="CTUh", "Fill in Manually",IF(OR(K9831="Unit", K9831=""), "", INDEX(LookUps!$E$5:$E$12, MATCH(OpenLCAbasic!K9831,LookUps!$D$5:$D$12,0))))</f>
        <v>Eutrophication Potential (EP) - kg N eq</v>
      </c>
      <c r="M9831" s="154" t="str">
        <f t="shared" si="817"/>
        <v>Low_Medium_Low_Upgraded_Eutrophication Potential (EP) - kg N eq_Control Building; at upgraded wastewater treatment plant - US_Base_With Amendment_Aerated Static Pile</v>
      </c>
    </row>
    <row r="9832" spans="1:13" s="120" customFormat="1" x14ac:dyDescent="0.25">
      <c r="A9832" s="119"/>
      <c r="B9832" s="138" t="str">
        <f t="shared" si="818"/>
        <v>Aerated Static Pile</v>
      </c>
      <c r="C9832" s="138" t="str">
        <f t="shared" si="819"/>
        <v>Base_With Amendment</v>
      </c>
      <c r="D9832" s="138" t="str">
        <f t="shared" si="820"/>
        <v>Medium_Low</v>
      </c>
      <c r="E9832" s="138" t="str">
        <f t="shared" si="815"/>
        <v>Low</v>
      </c>
      <c r="F9832" s="138" t="str">
        <f t="shared" si="821"/>
        <v>Upgraded</v>
      </c>
      <c r="G9832" s="153"/>
      <c r="H9832" s="210">
        <v>1E-3</v>
      </c>
      <c r="I9832" s="160" t="s">
        <v>59</v>
      </c>
      <c r="J9832" s="211">
        <v>1.6215700000000001E-5</v>
      </c>
      <c r="K9832" s="160" t="s">
        <v>13</v>
      </c>
      <c r="L9832" s="154" t="str">
        <f>IF(OpenLCAbasic!K9832="CTUh", "Fill in Manually",IF(OR(K9832="Unit", K9832=""), "", INDEX(LookUps!$E$5:$E$12, MATCH(OpenLCAbasic!K9832,LookUps!$D$5:$D$12,0))))</f>
        <v>Eutrophication Potential (EP) - kg N eq</v>
      </c>
      <c r="M9832" s="154" t="str">
        <f t="shared" si="817"/>
        <v>Low_Medium_Low_Upgraded_Eutrophication Potential (EP) - kg N eq_Blend Tank; wastewater treatment unit; at updated plant - US_Base_With Amendment_Aerated Static Pile</v>
      </c>
    </row>
    <row r="9833" spans="1:13" s="120" customFormat="1" x14ac:dyDescent="0.25">
      <c r="A9833" s="119"/>
      <c r="B9833" s="138" t="str">
        <f t="shared" si="818"/>
        <v>Aerated Static Pile</v>
      </c>
      <c r="C9833" s="138" t="str">
        <f t="shared" si="819"/>
        <v>Base_With Amendment</v>
      </c>
      <c r="D9833" s="138" t="str">
        <f t="shared" si="820"/>
        <v>Medium_Low</v>
      </c>
      <c r="E9833" s="138" t="str">
        <f t="shared" ref="E9833:E9896" si="822">IF(ISNUMBER($J9833),"Low","")</f>
        <v>Low</v>
      </c>
      <c r="F9833" s="138" t="str">
        <f t="shared" si="821"/>
        <v>Upgraded</v>
      </c>
      <c r="G9833" s="153"/>
      <c r="H9833" s="210">
        <v>5.0000000000000001E-4</v>
      </c>
      <c r="I9833" s="160" t="s">
        <v>168</v>
      </c>
      <c r="J9833" s="211">
        <v>7.7567199999999995E-6</v>
      </c>
      <c r="K9833" s="160" t="s">
        <v>13</v>
      </c>
      <c r="L9833" s="154" t="str">
        <f>IF(OpenLCAbasic!K9833="CTUh", "Fill in Manually",IF(OR(K9833="Unit", K9833=""), "", INDEX(LookUps!$E$5:$E$12, MATCH(OpenLCAbasic!K9833,LookUps!$D$5:$D$12,0))))</f>
        <v>Eutrophication Potential (EP) - kg N eq</v>
      </c>
      <c r="M9833" s="154" t="str">
        <f t="shared" si="817"/>
        <v>Low_Medium_Low_Upgraded_Eutrophication Potential (EP) - kg N eq_ClearCove SCP; wastewater treatment unit; at updated plant - US_Base_With Amendment_Aerated Static Pile</v>
      </c>
    </row>
    <row r="9834" spans="1:13" s="120" customFormat="1" x14ac:dyDescent="0.25">
      <c r="A9834" s="119"/>
      <c r="B9834" s="138" t="str">
        <f t="shared" si="818"/>
        <v>Aerated Static Pile</v>
      </c>
      <c r="C9834" s="138" t="str">
        <f t="shared" si="819"/>
        <v>Base_With Amendment</v>
      </c>
      <c r="D9834" s="138" t="str">
        <f t="shared" si="820"/>
        <v>Medium_Low</v>
      </c>
      <c r="E9834" s="138" t="str">
        <f t="shared" si="822"/>
        <v>Low</v>
      </c>
      <c r="F9834" s="138" t="str">
        <f t="shared" si="821"/>
        <v>Upgraded</v>
      </c>
      <c r="G9834" s="153"/>
      <c r="H9834" s="210">
        <v>-4.7000000000000002E-3</v>
      </c>
      <c r="I9834" s="160" t="s">
        <v>149</v>
      </c>
      <c r="J9834" s="211">
        <v>-7.8280099999999996E-5</v>
      </c>
      <c r="K9834" s="160" t="s">
        <v>13</v>
      </c>
      <c r="L9834" s="154" t="str">
        <f>IF(OpenLCAbasic!K9834="CTUh", "Fill in Manually",IF(OR(K9834="Unit", K9834=""), "", INDEX(LookUps!$E$5:$E$12, MATCH(OpenLCAbasic!K9834,LookUps!$D$5:$D$12,0))))</f>
        <v>Eutrophication Potential (EP) - kg N eq</v>
      </c>
      <c r="M9834" s="154" t="str">
        <f t="shared" si="817"/>
        <v>Low_Medium_Low_Upgraded_Eutrophication Potential (EP) - kg N eq_Anaerobic Digestion; wastewater treatment unit; at updated plant - US_Base_With Amendment_Aerated Static Pile</v>
      </c>
    </row>
    <row r="9835" spans="1:13" s="120" customFormat="1" x14ac:dyDescent="0.25">
      <c r="A9835" s="119"/>
      <c r="B9835" s="138" t="str">
        <f t="shared" si="818"/>
        <v/>
      </c>
      <c r="C9835" s="138" t="str">
        <f t="shared" si="819"/>
        <v/>
      </c>
      <c r="D9835" s="138" t="str">
        <f t="shared" si="820"/>
        <v/>
      </c>
      <c r="E9835" s="138" t="str">
        <f t="shared" si="822"/>
        <v/>
      </c>
      <c r="F9835" s="138" t="str">
        <f t="shared" si="821"/>
        <v/>
      </c>
      <c r="G9835" s="153" t="s">
        <v>51</v>
      </c>
      <c r="H9835" s="160"/>
      <c r="I9835" s="160" t="s">
        <v>47</v>
      </c>
      <c r="J9835" s="160" t="s">
        <v>52</v>
      </c>
      <c r="K9835" s="160" t="s">
        <v>27</v>
      </c>
      <c r="L9835" s="154" t="str">
        <f>IF(OpenLCAbasic!K9835="CTUh", "Fill in Manually",IF(OR(K9835="Unit", K9835=""), "", INDEX(LookUps!$E$5:$E$12, MATCH(OpenLCAbasic!K9835,LookUps!$D$5:$D$12,0))))</f>
        <v/>
      </c>
      <c r="M9835" s="154" t="str">
        <f t="shared" si="817"/>
        <v>____Process__</v>
      </c>
    </row>
    <row r="9836" spans="1:13" s="120" customFormat="1" x14ac:dyDescent="0.25">
      <c r="A9836" s="119"/>
      <c r="B9836" s="138" t="str">
        <f t="shared" si="818"/>
        <v>Aerated Static Pile</v>
      </c>
      <c r="C9836" s="138" t="str">
        <f t="shared" si="819"/>
        <v>Base_With Amendment</v>
      </c>
      <c r="D9836" s="138" t="str">
        <f t="shared" si="820"/>
        <v>Medium_Low</v>
      </c>
      <c r="E9836" s="138" t="str">
        <f t="shared" si="822"/>
        <v>Low</v>
      </c>
      <c r="F9836" s="138" t="str">
        <f t="shared" si="821"/>
        <v>Upgraded</v>
      </c>
      <c r="G9836" s="153"/>
      <c r="H9836" s="210">
        <v>0.33829999999999999</v>
      </c>
      <c r="I9836" s="160" t="s">
        <v>167</v>
      </c>
      <c r="J9836" s="160">
        <v>9.7259999999999999E-2</v>
      </c>
      <c r="K9836" s="160" t="s">
        <v>14</v>
      </c>
      <c r="L9836" s="154" t="str">
        <f>IF(OpenLCAbasic!K9836="CTUh", "Fill in Manually",IF(OR(K9836="Unit", K9836=""), "", INDEX(LookUps!$E$5:$E$12, MATCH(OpenLCAbasic!K9836,LookUps!$D$5:$D$12,0))))</f>
        <v>Fossil Depletion Potential (FDP) - kg oil eq</v>
      </c>
      <c r="M9836" s="154" t="str">
        <f t="shared" si="817"/>
        <v>Low_Medium_Low_Upgraded_Fossil Depletion Potential (FDP) - kg oil eq_Waste Receiving and Holding; wastewater treatment unit; at updated plant - US_Base_With Amendment_Aerated Static Pile</v>
      </c>
    </row>
    <row r="9837" spans="1:13" s="120" customFormat="1" x14ac:dyDescent="0.25">
      <c r="A9837" s="119"/>
      <c r="B9837" s="138" t="str">
        <f t="shared" si="818"/>
        <v>Aerated Static Pile</v>
      </c>
      <c r="C9837" s="138" t="str">
        <f t="shared" si="819"/>
        <v>Base_With Amendment</v>
      </c>
      <c r="D9837" s="138" t="str">
        <f t="shared" si="820"/>
        <v>Medium_Low</v>
      </c>
      <c r="E9837" s="138" t="str">
        <f t="shared" si="822"/>
        <v>Low</v>
      </c>
      <c r="F9837" s="138" t="str">
        <f t="shared" si="821"/>
        <v>Upgraded</v>
      </c>
      <c r="G9837" s="153"/>
      <c r="H9837" s="210">
        <v>0.22120000000000001</v>
      </c>
      <c r="I9837" s="160" t="s">
        <v>55</v>
      </c>
      <c r="J9837" s="160">
        <v>6.3589999999999994E-2</v>
      </c>
      <c r="K9837" s="160" t="s">
        <v>14</v>
      </c>
      <c r="L9837" s="154" t="str">
        <f>IF(OpenLCAbasic!K9837="CTUh", "Fill in Manually",IF(OR(K9837="Unit", K9837=""), "", INDEX(LookUps!$E$5:$E$12, MATCH(OpenLCAbasic!K9837,LookUps!$D$5:$D$12,0))))</f>
        <v>Fossil Depletion Potential (FDP) - kg oil eq</v>
      </c>
      <c r="M9837" s="154" t="str">
        <f t="shared" si="817"/>
        <v>Low_Medium_Low_Upgraded_Fossil Depletion Potential (FDP) - kg oil eq_Aeration Tanks; wastewater treatment unit; at updated plant - US_Base_With Amendment_Aerated Static Pile</v>
      </c>
    </row>
    <row r="9838" spans="1:13" s="120" customFormat="1" x14ac:dyDescent="0.25">
      <c r="A9838" s="119"/>
      <c r="B9838" s="138" t="str">
        <f t="shared" si="818"/>
        <v>Aerated Static Pile</v>
      </c>
      <c r="C9838" s="138" t="str">
        <f t="shared" si="819"/>
        <v>Base_With Amendment</v>
      </c>
      <c r="D9838" s="138" t="str">
        <f t="shared" si="820"/>
        <v>Medium_Low</v>
      </c>
      <c r="E9838" s="138" t="str">
        <f t="shared" si="822"/>
        <v>Low</v>
      </c>
      <c r="F9838" s="138" t="str">
        <f t="shared" si="821"/>
        <v>Upgraded</v>
      </c>
      <c r="G9838" s="153"/>
      <c r="H9838" s="210">
        <v>0.11940000000000001</v>
      </c>
      <c r="I9838" s="160" t="s">
        <v>435</v>
      </c>
      <c r="J9838" s="160">
        <v>3.4329999999999999E-2</v>
      </c>
      <c r="K9838" s="160" t="s">
        <v>14</v>
      </c>
      <c r="L9838" s="154" t="str">
        <f>IF(OpenLCAbasic!K9838="CTUh", "Fill in Manually",IF(OR(K9838="Unit", K9838=""), "", INDEX(LookUps!$E$5:$E$12, MATCH(OpenLCAbasic!K9838,LookUps!$D$5:$D$12,0))))</f>
        <v>Fossil Depletion Potential (FDP) - kg oil eq</v>
      </c>
      <c r="M9838" s="154" t="str">
        <f t="shared" si="817"/>
        <v>Low_Medium_Low_Upgraded_Fossil Depletion Potential (FDP) - kg oil eq_Biosolids composting; aerated static pile; wastewater treatment unit; at updated plant - US_Base_With Amendment_Aerated Static Pile</v>
      </c>
    </row>
    <row r="9839" spans="1:13" s="120" customFormat="1" x14ac:dyDescent="0.25">
      <c r="A9839" s="119"/>
      <c r="B9839" s="138" t="str">
        <f t="shared" si="818"/>
        <v>Aerated Static Pile</v>
      </c>
      <c r="C9839" s="138" t="str">
        <f t="shared" si="819"/>
        <v>Base_With Amendment</v>
      </c>
      <c r="D9839" s="138" t="str">
        <f t="shared" si="820"/>
        <v>Medium_Low</v>
      </c>
      <c r="E9839" s="138" t="str">
        <f t="shared" si="822"/>
        <v>Low</v>
      </c>
      <c r="F9839" s="138" t="str">
        <f t="shared" si="821"/>
        <v>Upgraded</v>
      </c>
      <c r="G9839" s="153"/>
      <c r="H9839" s="210">
        <v>7.3200000000000001E-2</v>
      </c>
      <c r="I9839" s="160" t="s">
        <v>54</v>
      </c>
      <c r="J9839" s="160">
        <v>2.1049999999999999E-2</v>
      </c>
      <c r="K9839" s="160" t="s">
        <v>14</v>
      </c>
      <c r="L9839" s="154" t="str">
        <f>IF(OpenLCAbasic!K9839="CTUh", "Fill in Manually",IF(OR(K9839="Unit", K9839=""), "", INDEX(LookUps!$E$5:$E$12, MATCH(OpenLCAbasic!K9839,LookUps!$D$5:$D$12,0))))</f>
        <v>Fossil Depletion Potential (FDP) - kg oil eq</v>
      </c>
      <c r="M9839" s="154" t="str">
        <f t="shared" si="817"/>
        <v>Low_Medium_Low_Upgraded_Fossil Depletion Potential (FDP) - kg oil eq_Clear Cove Primary Clarification; wastewater treatment unit; at updated plant - US_Base_With Amendment_Aerated Static Pile</v>
      </c>
    </row>
    <row r="9840" spans="1:13" s="120" customFormat="1" x14ac:dyDescent="0.25">
      <c r="A9840" s="119"/>
      <c r="B9840" s="138" t="str">
        <f t="shared" si="818"/>
        <v>Aerated Static Pile</v>
      </c>
      <c r="C9840" s="138" t="str">
        <f t="shared" si="819"/>
        <v>Base_With Amendment</v>
      </c>
      <c r="D9840" s="138" t="str">
        <f t="shared" si="820"/>
        <v>Medium_Low</v>
      </c>
      <c r="E9840" s="138" t="str">
        <f t="shared" si="822"/>
        <v>Low</v>
      </c>
      <c r="F9840" s="138" t="str">
        <f t="shared" si="821"/>
        <v>Upgraded</v>
      </c>
      <c r="G9840" s="153"/>
      <c r="H9840" s="210">
        <v>5.5599999999999997E-2</v>
      </c>
      <c r="I9840" s="160" t="s">
        <v>58</v>
      </c>
      <c r="J9840" s="160">
        <v>1.5980000000000001E-2</v>
      </c>
      <c r="K9840" s="160" t="s">
        <v>14</v>
      </c>
      <c r="L9840" s="154" t="str">
        <f>IF(OpenLCAbasic!K9840="CTUh", "Fill in Manually",IF(OR(K9840="Unit", K9840=""), "", INDEX(LookUps!$E$5:$E$12, MATCH(OpenLCAbasic!K9840,LookUps!$D$5:$D$12,0))))</f>
        <v>Fossil Depletion Potential (FDP) - kg oil eq</v>
      </c>
      <c r="M9840" s="154" t="str">
        <f t="shared" si="817"/>
        <v>Low_Medium_Low_Upgraded_Fossil Depletion Potential (FDP) - kg oil eq_Pre-Anoxic &amp; Swing tank; wastewater treatment unit; at updated plant - US_Base_With Amendment_Aerated Static Pile</v>
      </c>
    </row>
    <row r="9841" spans="1:13" s="120" customFormat="1" x14ac:dyDescent="0.25">
      <c r="A9841" s="119"/>
      <c r="B9841" s="138" t="str">
        <f t="shared" si="818"/>
        <v>Aerated Static Pile</v>
      </c>
      <c r="C9841" s="138" t="str">
        <f t="shared" si="819"/>
        <v>Base_With Amendment</v>
      </c>
      <c r="D9841" s="138" t="str">
        <f t="shared" si="820"/>
        <v>Medium_Low</v>
      </c>
      <c r="E9841" s="138" t="str">
        <f t="shared" si="822"/>
        <v>Low</v>
      </c>
      <c r="F9841" s="138" t="str">
        <f t="shared" si="821"/>
        <v>Upgraded</v>
      </c>
      <c r="G9841" s="153"/>
      <c r="H9841" s="210">
        <v>5.2499999999999998E-2</v>
      </c>
      <c r="I9841" s="160" t="s">
        <v>147</v>
      </c>
      <c r="J9841" s="160">
        <v>1.5089999999999999E-2</v>
      </c>
      <c r="K9841" s="160" t="s">
        <v>14</v>
      </c>
      <c r="L9841" s="154" t="str">
        <f>IF(OpenLCAbasic!K9841="CTUh", "Fill in Manually",IF(OR(K9841="Unit", K9841=""), "", INDEX(LookUps!$E$5:$E$12, MATCH(OpenLCAbasic!K9841,LookUps!$D$5:$D$12,0))))</f>
        <v>Fossil Depletion Potential (FDP) - kg oil eq</v>
      </c>
      <c r="M9841" s="154" t="str">
        <f t="shared" si="817"/>
        <v>Low_Medium_Low_Upgraded_Fossil Depletion Potential (FDP) - kg oil eq_Influent Pump Station; wastewater treatment unit; at updated plant - US_Base_With Amendment_Aerated Static Pile</v>
      </c>
    </row>
    <row r="9842" spans="1:13" s="120" customFormat="1" x14ac:dyDescent="0.25">
      <c r="A9842" s="119"/>
      <c r="B9842" s="138" t="str">
        <f t="shared" si="818"/>
        <v>Aerated Static Pile</v>
      </c>
      <c r="C9842" s="138" t="str">
        <f t="shared" si="819"/>
        <v>Base_With Amendment</v>
      </c>
      <c r="D9842" s="138" t="str">
        <f t="shared" si="820"/>
        <v>Medium_Low</v>
      </c>
      <c r="E9842" s="138" t="str">
        <f t="shared" si="822"/>
        <v>Low</v>
      </c>
      <c r="F9842" s="138" t="str">
        <f t="shared" si="821"/>
        <v>Upgraded</v>
      </c>
      <c r="G9842" s="153"/>
      <c r="H9842" s="210">
        <v>4.3400000000000001E-2</v>
      </c>
      <c r="I9842" s="160" t="s">
        <v>53</v>
      </c>
      <c r="J9842" s="160">
        <v>1.2489999999999999E-2</v>
      </c>
      <c r="K9842" s="160" t="s">
        <v>14</v>
      </c>
      <c r="L9842" s="154" t="str">
        <f>IF(OpenLCAbasic!K9842="CTUh", "Fill in Manually",IF(OR(K9842="Unit", K9842=""), "", INDEX(LookUps!$E$5:$E$12, MATCH(OpenLCAbasic!K9842,LookUps!$D$5:$D$12,0))))</f>
        <v>Fossil Depletion Potential (FDP) - kg oil eq</v>
      </c>
      <c r="M9842" s="154" t="str">
        <f t="shared" si="817"/>
        <v>Low_Medium_Low_Upgraded_Fossil Depletion Potential (FDP) - kg oil eq_Wet Well and Sump Station; wastewater treatment unit; at updated plant - US_Base_With Amendment_Aerated Static Pile</v>
      </c>
    </row>
    <row r="9843" spans="1:13" s="120" customFormat="1" x14ac:dyDescent="0.25">
      <c r="A9843" s="119"/>
      <c r="B9843" s="138" t="str">
        <f t="shared" si="818"/>
        <v>Aerated Static Pile</v>
      </c>
      <c r="C9843" s="138" t="str">
        <f t="shared" si="819"/>
        <v>Base_With Amendment</v>
      </c>
      <c r="D9843" s="138" t="str">
        <f t="shared" si="820"/>
        <v>Medium_Low</v>
      </c>
      <c r="E9843" s="138" t="str">
        <f t="shared" si="822"/>
        <v>Low</v>
      </c>
      <c r="F9843" s="138" t="str">
        <f t="shared" si="821"/>
        <v>Upgraded</v>
      </c>
      <c r="G9843" s="153"/>
      <c r="H9843" s="210">
        <v>3.3599999999999998E-2</v>
      </c>
      <c r="I9843" s="160" t="s">
        <v>149</v>
      </c>
      <c r="J9843" s="160">
        <v>9.6600000000000002E-3</v>
      </c>
      <c r="K9843" s="160" t="s">
        <v>14</v>
      </c>
      <c r="L9843" s="154" t="str">
        <f>IF(OpenLCAbasic!K9843="CTUh", "Fill in Manually",IF(OR(K9843="Unit", K9843=""), "", INDEX(LookUps!$E$5:$E$12, MATCH(OpenLCAbasic!K9843,LookUps!$D$5:$D$12,0))))</f>
        <v>Fossil Depletion Potential (FDP) - kg oil eq</v>
      </c>
      <c r="M9843" s="154" t="str">
        <f t="shared" ref="M9843:M9906" si="823">CONCATENATE(E9843,"_",D9843,"_",F9843,"_",L9843, "_",I9843,"_", C9843,"_", B9843)</f>
        <v>Low_Medium_Low_Upgraded_Fossil Depletion Potential (FDP) - kg oil eq_Anaerobic Digestion; wastewater treatment unit; at updated plant - US_Base_With Amendment_Aerated Static Pile</v>
      </c>
    </row>
    <row r="9844" spans="1:13" s="120" customFormat="1" x14ac:dyDescent="0.25">
      <c r="A9844" s="119"/>
      <c r="B9844" s="138" t="str">
        <f t="shared" si="818"/>
        <v>Aerated Static Pile</v>
      </c>
      <c r="C9844" s="138" t="str">
        <f t="shared" si="819"/>
        <v>Base_With Amendment</v>
      </c>
      <c r="D9844" s="138" t="str">
        <f t="shared" si="820"/>
        <v>Medium_Low</v>
      </c>
      <c r="E9844" s="138" t="str">
        <f t="shared" si="822"/>
        <v>Low</v>
      </c>
      <c r="F9844" s="138" t="str">
        <f t="shared" si="821"/>
        <v>Upgraded</v>
      </c>
      <c r="G9844" s="153"/>
      <c r="H9844" s="210">
        <v>3.15E-2</v>
      </c>
      <c r="I9844" s="160" t="s">
        <v>60</v>
      </c>
      <c r="J9844" s="160">
        <v>9.0600000000000003E-3</v>
      </c>
      <c r="K9844" s="160" t="s">
        <v>14</v>
      </c>
      <c r="L9844" s="154" t="str">
        <f>IF(OpenLCAbasic!K9844="CTUh", "Fill in Manually",IF(OR(K9844="Unit", K9844=""), "", INDEX(LookUps!$E$5:$E$12, MATCH(OpenLCAbasic!K9844,LookUps!$D$5:$D$12,0))))</f>
        <v>Fossil Depletion Potential (FDP) - kg oil eq</v>
      </c>
      <c r="M9844" s="154" t="str">
        <f t="shared" si="823"/>
        <v>Low_Medium_Low_Upgraded_Fossil Depletion Potential (FDP) - kg oil eq_Belt filter press; wastewater treatment unit; at updated plant - US_Base_With Amendment_Aerated Static Pile</v>
      </c>
    </row>
    <row r="9845" spans="1:13" s="120" customFormat="1" x14ac:dyDescent="0.25">
      <c r="A9845" s="119"/>
      <c r="B9845" s="138" t="str">
        <f t="shared" si="818"/>
        <v>Aerated Static Pile</v>
      </c>
      <c r="C9845" s="138" t="str">
        <f t="shared" si="819"/>
        <v>Base_With Amendment</v>
      </c>
      <c r="D9845" s="138" t="str">
        <f t="shared" si="820"/>
        <v>Medium_Low</v>
      </c>
      <c r="E9845" s="138" t="str">
        <f t="shared" si="822"/>
        <v>Low</v>
      </c>
      <c r="F9845" s="138" t="str">
        <f t="shared" si="821"/>
        <v>Upgraded</v>
      </c>
      <c r="G9845" s="153"/>
      <c r="H9845" s="210">
        <v>2.41E-2</v>
      </c>
      <c r="I9845" s="160" t="s">
        <v>57</v>
      </c>
      <c r="J9845" s="160">
        <v>6.9199999999999999E-3</v>
      </c>
      <c r="K9845" s="160" t="s">
        <v>14</v>
      </c>
      <c r="L9845" s="154" t="str">
        <f>IF(OpenLCAbasic!K9845="CTUh", "Fill in Manually",IF(OR(K9845="Unit", K9845=""), "", INDEX(LookUps!$E$5:$E$12, MATCH(OpenLCAbasic!K9845,LookUps!$D$5:$D$12,0))))</f>
        <v>Fossil Depletion Potential (FDP) - kg oil eq</v>
      </c>
      <c r="M9845" s="154" t="str">
        <f t="shared" si="823"/>
        <v>Low_Medium_Low_Upgraded_Fossil Depletion Potential (FDP) - kg oil eq_Gravity Belt Thickener; wastewater treatment unit; at updated plant - US_Base_With Amendment_Aerated Static Pile</v>
      </c>
    </row>
    <row r="9846" spans="1:13" s="120" customFormat="1" x14ac:dyDescent="0.25">
      <c r="A9846" s="119"/>
      <c r="B9846" s="138" t="str">
        <f t="shared" si="818"/>
        <v>Aerated Static Pile</v>
      </c>
      <c r="C9846" s="138" t="str">
        <f t="shared" si="819"/>
        <v>Base_With Amendment</v>
      </c>
      <c r="D9846" s="138" t="str">
        <f t="shared" si="820"/>
        <v>Medium_Low</v>
      </c>
      <c r="E9846" s="138" t="str">
        <f t="shared" si="822"/>
        <v>Low</v>
      </c>
      <c r="F9846" s="138" t="str">
        <f t="shared" si="821"/>
        <v>Upgraded</v>
      </c>
      <c r="G9846" s="153"/>
      <c r="H9846" s="210">
        <v>1.5599999999999999E-2</v>
      </c>
      <c r="I9846" s="160" t="s">
        <v>128</v>
      </c>
      <c r="J9846" s="160">
        <v>4.4999999999999997E-3</v>
      </c>
      <c r="K9846" s="160" t="s">
        <v>14</v>
      </c>
      <c r="L9846" s="154" t="str">
        <f>IF(OpenLCAbasic!K9846="CTUh", "Fill in Manually",IF(OR(K9846="Unit", K9846=""), "", INDEX(LookUps!$E$5:$E$12, MATCH(OpenLCAbasic!K9846,LookUps!$D$5:$D$12,0))))</f>
        <v>Fossil Depletion Potential (FDP) - kg oil eq</v>
      </c>
      <c r="M9846" s="154" t="str">
        <f t="shared" si="823"/>
        <v>Low_Medium_Low_Upgraded_Fossil Depletion Potential (FDP) - kg oil eq_Wastewater collection; operation and infrastructure; m3 wastewater_Base_With Amendment_Aerated Static Pile</v>
      </c>
    </row>
    <row r="9847" spans="1:13" s="120" customFormat="1" x14ac:dyDescent="0.25">
      <c r="A9847" s="119"/>
      <c r="B9847" s="138" t="str">
        <f t="shared" si="818"/>
        <v>Aerated Static Pile</v>
      </c>
      <c r="C9847" s="138" t="str">
        <f t="shared" si="819"/>
        <v>Base_With Amendment</v>
      </c>
      <c r="D9847" s="138" t="str">
        <f t="shared" si="820"/>
        <v>Medium_Low</v>
      </c>
      <c r="E9847" s="138" t="str">
        <f t="shared" si="822"/>
        <v>Low</v>
      </c>
      <c r="F9847" s="138" t="str">
        <f t="shared" si="821"/>
        <v>Upgraded</v>
      </c>
      <c r="G9847" s="153"/>
      <c r="H9847" s="210">
        <v>9.7000000000000003E-3</v>
      </c>
      <c r="I9847" s="160" t="s">
        <v>148</v>
      </c>
      <c r="J9847" s="160">
        <v>2.8E-3</v>
      </c>
      <c r="K9847" s="160" t="s">
        <v>14</v>
      </c>
      <c r="L9847" s="154" t="str">
        <f>IF(OpenLCAbasic!K9847="CTUh", "Fill in Manually",IF(OR(K9847="Unit", K9847=""), "", INDEX(LookUps!$E$5:$E$12, MATCH(OpenLCAbasic!K9847,LookUps!$D$5:$D$12,0))))</f>
        <v>Fossil Depletion Potential (FDP) - kg oil eq</v>
      </c>
      <c r="M9847" s="154" t="str">
        <f t="shared" si="823"/>
        <v>Low_Medium_Low_Upgraded_Fossil Depletion Potential (FDP) - kg oil eq_Control Building; at upgraded wastewater treatment plant - US_Base_With Amendment_Aerated Static Pile</v>
      </c>
    </row>
    <row r="9848" spans="1:13" s="120" customFormat="1" x14ac:dyDescent="0.25">
      <c r="A9848" s="119"/>
      <c r="B9848" s="138" t="str">
        <f t="shared" si="818"/>
        <v>Aerated Static Pile</v>
      </c>
      <c r="C9848" s="138" t="str">
        <f t="shared" si="819"/>
        <v>Base_With Amendment</v>
      </c>
      <c r="D9848" s="138" t="str">
        <f t="shared" si="820"/>
        <v>Medium_Low</v>
      </c>
      <c r="E9848" s="138" t="str">
        <f t="shared" si="822"/>
        <v>Low</v>
      </c>
      <c r="F9848" s="138" t="str">
        <f t="shared" si="821"/>
        <v>Upgraded</v>
      </c>
      <c r="G9848" s="153"/>
      <c r="H9848" s="210">
        <v>8.2000000000000007E-3</v>
      </c>
      <c r="I9848" s="160" t="s">
        <v>48</v>
      </c>
      <c r="J9848" s="160">
        <v>2.3600000000000001E-3</v>
      </c>
      <c r="K9848" s="160" t="s">
        <v>14</v>
      </c>
      <c r="L9848" s="154" t="str">
        <f>IF(OpenLCAbasic!K9848="CTUh", "Fill in Manually",IF(OR(K9848="Unit", K9848=""), "", INDEX(LookUps!$E$5:$E$12, MATCH(OpenLCAbasic!K9848,LookUps!$D$5:$D$12,0))))</f>
        <v>Fossil Depletion Potential (FDP) - kg oil eq</v>
      </c>
      <c r="M9848" s="154" t="str">
        <f t="shared" si="823"/>
        <v>Low_Medium_Low_Upgraded_Fossil Depletion Potential (FDP) - kg oil eq_Effluent release; wastewater treatment unit; at surface water; m3 wastewater - US_Base_With Amendment_Aerated Static Pile</v>
      </c>
    </row>
    <row r="9849" spans="1:13" s="120" customFormat="1" x14ac:dyDescent="0.25">
      <c r="A9849" s="119"/>
      <c r="B9849" s="138" t="str">
        <f t="shared" ref="B9849:B9912" si="824">IF(F9849="Legacy","n.a.",IF(F9849="","","Aerated Static Pile"))</f>
        <v>Aerated Static Pile</v>
      </c>
      <c r="C9849" s="138" t="str">
        <f t="shared" ref="C9849:C9912" si="825">IF(ISNUMBER($J9849),"Base_With Amendment","")</f>
        <v>Base_With Amendment</v>
      </c>
      <c r="D9849" s="138" t="str">
        <f t="shared" ref="D9849:D9912" si="826">IF(ISNUMBER($J9849),"Medium_Low","")</f>
        <v>Medium_Low</v>
      </c>
      <c r="E9849" s="138" t="str">
        <f t="shared" si="822"/>
        <v>Low</v>
      </c>
      <c r="F9849" s="138" t="str">
        <f t="shared" ref="F9849:F9912" si="827">IF(ISNUMBER(J9849),"Upgraded","")</f>
        <v>Upgraded</v>
      </c>
      <c r="G9849" s="153"/>
      <c r="H9849" s="210">
        <v>6.7000000000000002E-3</v>
      </c>
      <c r="I9849" s="160" t="s">
        <v>59</v>
      </c>
      <c r="J9849" s="160">
        <v>1.92E-3</v>
      </c>
      <c r="K9849" s="160" t="s">
        <v>14</v>
      </c>
      <c r="L9849" s="154" t="str">
        <f>IF(OpenLCAbasic!K9849="CTUh", "Fill in Manually",IF(OR(K9849="Unit", K9849=""), "", INDEX(LookUps!$E$5:$E$12, MATCH(OpenLCAbasic!K9849,LookUps!$D$5:$D$12,0))))</f>
        <v>Fossil Depletion Potential (FDP) - kg oil eq</v>
      </c>
      <c r="M9849" s="154" t="str">
        <f t="shared" si="823"/>
        <v>Low_Medium_Low_Upgraded_Fossil Depletion Potential (FDP) - kg oil eq_Blend Tank; wastewater treatment unit; at updated plant - US_Base_With Amendment_Aerated Static Pile</v>
      </c>
    </row>
    <row r="9850" spans="1:13" s="120" customFormat="1" x14ac:dyDescent="0.25">
      <c r="A9850" s="119"/>
      <c r="B9850" s="138" t="str">
        <f t="shared" si="824"/>
        <v>Aerated Static Pile</v>
      </c>
      <c r="C9850" s="138" t="str">
        <f t="shared" si="825"/>
        <v>Base_With Amendment</v>
      </c>
      <c r="D9850" s="138" t="str">
        <f t="shared" si="826"/>
        <v>Medium_Low</v>
      </c>
      <c r="E9850" s="138" t="str">
        <f t="shared" si="822"/>
        <v>Low</v>
      </c>
      <c r="F9850" s="138" t="str">
        <f t="shared" si="827"/>
        <v>Upgraded</v>
      </c>
      <c r="G9850" s="153"/>
      <c r="H9850" s="210">
        <v>3.2000000000000002E-3</v>
      </c>
      <c r="I9850" s="160" t="s">
        <v>168</v>
      </c>
      <c r="J9850" s="160">
        <v>9.1E-4</v>
      </c>
      <c r="K9850" s="160" t="s">
        <v>14</v>
      </c>
      <c r="L9850" s="154" t="str">
        <f>IF(OpenLCAbasic!K9850="CTUh", "Fill in Manually",IF(OR(K9850="Unit", K9850=""), "", INDEX(LookUps!$E$5:$E$12, MATCH(OpenLCAbasic!K9850,LookUps!$D$5:$D$12,0))))</f>
        <v>Fossil Depletion Potential (FDP) - kg oil eq</v>
      </c>
      <c r="M9850" s="154" t="str">
        <f t="shared" si="823"/>
        <v>Low_Medium_Low_Upgraded_Fossil Depletion Potential (FDP) - kg oil eq_ClearCove SCP; wastewater treatment unit; at updated plant - US_Base_With Amendment_Aerated Static Pile</v>
      </c>
    </row>
    <row r="9851" spans="1:13" s="120" customFormat="1" x14ac:dyDescent="0.25">
      <c r="A9851" s="119"/>
      <c r="B9851" s="138" t="str">
        <f t="shared" si="824"/>
        <v>Aerated Static Pile</v>
      </c>
      <c r="C9851" s="138" t="str">
        <f t="shared" si="825"/>
        <v>Base_With Amendment</v>
      </c>
      <c r="D9851" s="138" t="str">
        <f t="shared" si="826"/>
        <v>Medium_Low</v>
      </c>
      <c r="E9851" s="138" t="str">
        <f t="shared" si="822"/>
        <v>Low</v>
      </c>
      <c r="F9851" s="138" t="str">
        <f t="shared" si="827"/>
        <v>Upgraded</v>
      </c>
      <c r="G9851" s="153"/>
      <c r="H9851" s="210">
        <v>-3.6200000000000003E-2</v>
      </c>
      <c r="I9851" s="160" t="s">
        <v>62</v>
      </c>
      <c r="J9851" s="160">
        <v>-1.042E-2</v>
      </c>
      <c r="K9851" s="160" t="s">
        <v>14</v>
      </c>
      <c r="L9851" s="154" t="str">
        <f>IF(OpenLCAbasic!K9851="CTUh", "Fill in Manually",IF(OR(K9851="Unit", K9851=""), "", INDEX(LookUps!$E$5:$E$12, MATCH(OpenLCAbasic!K9851,LookUps!$D$5:$D$12,0))))</f>
        <v>Fossil Depletion Potential (FDP) - kg oil eq</v>
      </c>
      <c r="M9851" s="154" t="str">
        <f t="shared" si="823"/>
        <v>Low_Medium_Low_Upgraded_Fossil Depletion Potential (FDP) - kg oil eq_Land application of compost; wastewater treatment unit; at updated plant - US_Base_With Amendment_Aerated Static Pile</v>
      </c>
    </row>
    <row r="9852" spans="1:13" s="120" customFormat="1" x14ac:dyDescent="0.25">
      <c r="A9852" s="119"/>
      <c r="B9852" s="138" t="str">
        <f t="shared" si="824"/>
        <v/>
      </c>
      <c r="C9852" s="138" t="str">
        <f t="shared" si="825"/>
        <v/>
      </c>
      <c r="D9852" s="138" t="str">
        <f t="shared" si="826"/>
        <v/>
      </c>
      <c r="E9852" s="138" t="str">
        <f t="shared" si="822"/>
        <v/>
      </c>
      <c r="F9852" s="138" t="str">
        <f t="shared" si="827"/>
        <v/>
      </c>
      <c r="G9852" s="153" t="s">
        <v>51</v>
      </c>
      <c r="H9852" s="160"/>
      <c r="I9852" s="160" t="s">
        <v>47</v>
      </c>
      <c r="J9852" s="160" t="s">
        <v>52</v>
      </c>
      <c r="K9852" s="160" t="s">
        <v>27</v>
      </c>
      <c r="L9852" s="154" t="str">
        <f>IF(OpenLCAbasic!K9852="CTUh", "Fill in Manually",IF(OR(K9852="Unit", K9852=""), "", INDEX(LookUps!$E$5:$E$12, MATCH(OpenLCAbasic!K9852,LookUps!$D$5:$D$12,0))))</f>
        <v/>
      </c>
      <c r="M9852" s="154" t="str">
        <f t="shared" si="823"/>
        <v>____Process__</v>
      </c>
    </row>
    <row r="9853" spans="1:13" s="120" customFormat="1" x14ac:dyDescent="0.25">
      <c r="A9853" s="119"/>
      <c r="B9853" s="138" t="str">
        <f t="shared" si="824"/>
        <v>Aerated Static Pile</v>
      </c>
      <c r="C9853" s="138" t="str">
        <f t="shared" si="825"/>
        <v>Base_With Amendment</v>
      </c>
      <c r="D9853" s="138" t="str">
        <f t="shared" si="826"/>
        <v>Medium_Low</v>
      </c>
      <c r="E9853" s="138" t="str">
        <f t="shared" si="822"/>
        <v>Low</v>
      </c>
      <c r="F9853" s="138" t="str">
        <f t="shared" si="827"/>
        <v>Upgraded</v>
      </c>
      <c r="G9853" s="153"/>
      <c r="H9853" s="210">
        <v>0.75600000000000001</v>
      </c>
      <c r="I9853" s="160" t="s">
        <v>58</v>
      </c>
      <c r="J9853" s="160">
        <v>0.24568999999999999</v>
      </c>
      <c r="K9853" s="160" t="s">
        <v>23</v>
      </c>
      <c r="L9853" s="154" t="str">
        <f>IF(OpenLCAbasic!K9853="CTUh", "Fill in Manually",IF(OR(K9853="Unit", K9853=""), "", INDEX(LookUps!$E$5:$E$12, MATCH(OpenLCAbasic!K9853,LookUps!$D$5:$D$12,0))))</f>
        <v>Global Warming Potential (GWP) - kg CO2 eq</v>
      </c>
      <c r="M9853" s="154" t="str">
        <f t="shared" si="823"/>
        <v>Low_Medium_Low_Upgraded_Global Warming Potential (GWP) - kg CO2 eq_Pre-Anoxic &amp; Swing tank; wastewater treatment unit; at updated plant - US_Base_With Amendment_Aerated Static Pile</v>
      </c>
    </row>
    <row r="9854" spans="1:13" s="120" customFormat="1" x14ac:dyDescent="0.25">
      <c r="A9854" s="119"/>
      <c r="B9854" s="138" t="str">
        <f t="shared" si="824"/>
        <v>Aerated Static Pile</v>
      </c>
      <c r="C9854" s="138" t="str">
        <f t="shared" si="825"/>
        <v>Base_With Amendment</v>
      </c>
      <c r="D9854" s="138" t="str">
        <f t="shared" si="826"/>
        <v>Medium_Low</v>
      </c>
      <c r="E9854" s="138" t="str">
        <f t="shared" si="822"/>
        <v>Low</v>
      </c>
      <c r="F9854" s="138" t="str">
        <f t="shared" si="827"/>
        <v>Upgraded</v>
      </c>
      <c r="G9854" s="153"/>
      <c r="H9854" s="210">
        <v>0.5514</v>
      </c>
      <c r="I9854" s="160" t="s">
        <v>435</v>
      </c>
      <c r="J9854" s="160">
        <v>0.1792</v>
      </c>
      <c r="K9854" s="160" t="s">
        <v>23</v>
      </c>
      <c r="L9854" s="154" t="str">
        <f>IF(OpenLCAbasic!K9854="CTUh", "Fill in Manually",IF(OR(K9854="Unit", K9854=""), "", INDEX(LookUps!$E$5:$E$12, MATCH(OpenLCAbasic!K9854,LookUps!$D$5:$D$12,0))))</f>
        <v>Global Warming Potential (GWP) - kg CO2 eq</v>
      </c>
      <c r="M9854" s="154" t="str">
        <f t="shared" si="823"/>
        <v>Low_Medium_Low_Upgraded_Global Warming Potential (GWP) - kg CO2 eq_Biosolids composting; aerated static pile; wastewater treatment unit; at updated plant - US_Base_With Amendment_Aerated Static Pile</v>
      </c>
    </row>
    <row r="9855" spans="1:13" s="120" customFormat="1" x14ac:dyDescent="0.25">
      <c r="A9855" s="119"/>
      <c r="B9855" s="138" t="str">
        <f t="shared" si="824"/>
        <v>Aerated Static Pile</v>
      </c>
      <c r="C9855" s="138" t="str">
        <f t="shared" si="825"/>
        <v>Base_With Amendment</v>
      </c>
      <c r="D9855" s="138" t="str">
        <f t="shared" si="826"/>
        <v>Medium_Low</v>
      </c>
      <c r="E9855" s="138" t="str">
        <f t="shared" si="822"/>
        <v>Low</v>
      </c>
      <c r="F9855" s="138" t="str">
        <f t="shared" si="827"/>
        <v>Upgraded</v>
      </c>
      <c r="G9855" s="153"/>
      <c r="H9855" s="210">
        <v>0.51759999999999995</v>
      </c>
      <c r="I9855" s="160" t="s">
        <v>55</v>
      </c>
      <c r="J9855" s="160">
        <v>0.16822000000000001</v>
      </c>
      <c r="K9855" s="160" t="s">
        <v>23</v>
      </c>
      <c r="L9855" s="154" t="str">
        <f>IF(OpenLCAbasic!K9855="CTUh", "Fill in Manually",IF(OR(K9855="Unit", K9855=""), "", INDEX(LookUps!$E$5:$E$12, MATCH(OpenLCAbasic!K9855,LookUps!$D$5:$D$12,0))))</f>
        <v>Global Warming Potential (GWP) - kg CO2 eq</v>
      </c>
      <c r="M9855" s="154" t="str">
        <f t="shared" si="823"/>
        <v>Low_Medium_Low_Upgraded_Global Warming Potential (GWP) - kg CO2 eq_Aeration Tanks; wastewater treatment unit; at updated plant - US_Base_With Amendment_Aerated Static Pile</v>
      </c>
    </row>
    <row r="9856" spans="1:13" s="120" customFormat="1" x14ac:dyDescent="0.25">
      <c r="A9856" s="119"/>
      <c r="B9856" s="138" t="str">
        <f t="shared" si="824"/>
        <v>Aerated Static Pile</v>
      </c>
      <c r="C9856" s="138" t="str">
        <f t="shared" si="825"/>
        <v>Base_With Amendment</v>
      </c>
      <c r="D9856" s="138" t="str">
        <f t="shared" si="826"/>
        <v>Medium_Low</v>
      </c>
      <c r="E9856" s="138" t="str">
        <f t="shared" si="822"/>
        <v>Low</v>
      </c>
      <c r="F9856" s="138" t="str">
        <f t="shared" si="827"/>
        <v>Upgraded</v>
      </c>
      <c r="G9856" s="153"/>
      <c r="H9856" s="210">
        <v>0.38019999999999998</v>
      </c>
      <c r="I9856" s="160" t="s">
        <v>167</v>
      </c>
      <c r="J9856" s="160">
        <v>0.12354999999999999</v>
      </c>
      <c r="K9856" s="160" t="s">
        <v>23</v>
      </c>
      <c r="L9856" s="154" t="str">
        <f>IF(OpenLCAbasic!K9856="CTUh", "Fill in Manually",IF(OR(K9856="Unit", K9856=""), "", INDEX(LookUps!$E$5:$E$12, MATCH(OpenLCAbasic!K9856,LookUps!$D$5:$D$12,0))))</f>
        <v>Global Warming Potential (GWP) - kg CO2 eq</v>
      </c>
      <c r="M9856" s="154" t="str">
        <f t="shared" si="823"/>
        <v>Low_Medium_Low_Upgraded_Global Warming Potential (GWP) - kg CO2 eq_Waste Receiving and Holding; wastewater treatment unit; at updated plant - US_Base_With Amendment_Aerated Static Pile</v>
      </c>
    </row>
    <row r="9857" spans="1:13" s="120" customFormat="1" x14ac:dyDescent="0.25">
      <c r="A9857" s="119"/>
      <c r="B9857" s="138" t="str">
        <f t="shared" si="824"/>
        <v>Aerated Static Pile</v>
      </c>
      <c r="C9857" s="138" t="str">
        <f t="shared" si="825"/>
        <v>Base_With Amendment</v>
      </c>
      <c r="D9857" s="138" t="str">
        <f t="shared" si="826"/>
        <v>Medium_Low</v>
      </c>
      <c r="E9857" s="138" t="str">
        <f t="shared" si="822"/>
        <v>Low</v>
      </c>
      <c r="F9857" s="138" t="str">
        <f t="shared" si="827"/>
        <v>Upgraded</v>
      </c>
      <c r="G9857" s="153"/>
      <c r="H9857" s="210">
        <v>0.19589999999999999</v>
      </c>
      <c r="I9857" s="160" t="s">
        <v>149</v>
      </c>
      <c r="J9857" s="160">
        <v>6.3659999999999994E-2</v>
      </c>
      <c r="K9857" s="160" t="s">
        <v>23</v>
      </c>
      <c r="L9857" s="154" t="str">
        <f>IF(OpenLCAbasic!K9857="CTUh", "Fill in Manually",IF(OR(K9857="Unit", K9857=""), "", INDEX(LookUps!$E$5:$E$12, MATCH(OpenLCAbasic!K9857,LookUps!$D$5:$D$12,0))))</f>
        <v>Global Warming Potential (GWP) - kg CO2 eq</v>
      </c>
      <c r="M9857" s="154" t="str">
        <f t="shared" si="823"/>
        <v>Low_Medium_Low_Upgraded_Global Warming Potential (GWP) - kg CO2 eq_Anaerobic Digestion; wastewater treatment unit; at updated plant - US_Base_With Amendment_Aerated Static Pile</v>
      </c>
    </row>
    <row r="9858" spans="1:13" s="120" customFormat="1" x14ac:dyDescent="0.25">
      <c r="A9858" s="119"/>
      <c r="B9858" s="138" t="str">
        <f t="shared" si="824"/>
        <v>Aerated Static Pile</v>
      </c>
      <c r="C9858" s="138" t="str">
        <f t="shared" si="825"/>
        <v>Base_With Amendment</v>
      </c>
      <c r="D9858" s="138" t="str">
        <f t="shared" si="826"/>
        <v>Medium_Low</v>
      </c>
      <c r="E9858" s="138" t="str">
        <f t="shared" si="822"/>
        <v>Low</v>
      </c>
      <c r="F9858" s="138" t="str">
        <f t="shared" si="827"/>
        <v>Upgraded</v>
      </c>
      <c r="G9858" s="153"/>
      <c r="H9858" s="210">
        <v>0.17560000000000001</v>
      </c>
      <c r="I9858" s="160" t="s">
        <v>54</v>
      </c>
      <c r="J9858" s="160">
        <v>5.7079999999999999E-2</v>
      </c>
      <c r="K9858" s="160" t="s">
        <v>23</v>
      </c>
      <c r="L9858" s="154" t="str">
        <f>IF(OpenLCAbasic!K9858="CTUh", "Fill in Manually",IF(OR(K9858="Unit", K9858=""), "", INDEX(LookUps!$E$5:$E$12, MATCH(OpenLCAbasic!K9858,LookUps!$D$5:$D$12,0))))</f>
        <v>Global Warming Potential (GWP) - kg CO2 eq</v>
      </c>
      <c r="M9858" s="154" t="str">
        <f t="shared" si="823"/>
        <v>Low_Medium_Low_Upgraded_Global Warming Potential (GWP) - kg CO2 eq_Clear Cove Primary Clarification; wastewater treatment unit; at updated plant - US_Base_With Amendment_Aerated Static Pile</v>
      </c>
    </row>
    <row r="9859" spans="1:13" s="120" customFormat="1" x14ac:dyDescent="0.25">
      <c r="A9859" s="119"/>
      <c r="B9859" s="138" t="str">
        <f t="shared" si="824"/>
        <v>Aerated Static Pile</v>
      </c>
      <c r="C9859" s="138" t="str">
        <f t="shared" si="825"/>
        <v>Base_With Amendment</v>
      </c>
      <c r="D9859" s="138" t="str">
        <f t="shared" si="826"/>
        <v>Medium_Low</v>
      </c>
      <c r="E9859" s="138" t="str">
        <f t="shared" si="822"/>
        <v>Low</v>
      </c>
      <c r="F9859" s="138" t="str">
        <f t="shared" si="827"/>
        <v>Upgraded</v>
      </c>
      <c r="G9859" s="153"/>
      <c r="H9859" s="210">
        <v>0.16200000000000001</v>
      </c>
      <c r="I9859" s="160" t="s">
        <v>48</v>
      </c>
      <c r="J9859" s="160">
        <v>5.2639999999999999E-2</v>
      </c>
      <c r="K9859" s="160" t="s">
        <v>23</v>
      </c>
      <c r="L9859" s="154" t="str">
        <f>IF(OpenLCAbasic!K9859="CTUh", "Fill in Manually",IF(OR(K9859="Unit", K9859=""), "", INDEX(LookUps!$E$5:$E$12, MATCH(OpenLCAbasic!K9859,LookUps!$D$5:$D$12,0))))</f>
        <v>Global Warming Potential (GWP) - kg CO2 eq</v>
      </c>
      <c r="M9859" s="154" t="str">
        <f t="shared" si="823"/>
        <v>Low_Medium_Low_Upgraded_Global Warming Potential (GWP) - kg CO2 eq_Effluent release; wastewater treatment unit; at surface water; m3 wastewater - US_Base_With Amendment_Aerated Static Pile</v>
      </c>
    </row>
    <row r="9860" spans="1:13" s="120" customFormat="1" x14ac:dyDescent="0.25">
      <c r="A9860" s="119"/>
      <c r="B9860" s="138" t="str">
        <f t="shared" si="824"/>
        <v>Aerated Static Pile</v>
      </c>
      <c r="C9860" s="138" t="str">
        <f t="shared" si="825"/>
        <v>Base_With Amendment</v>
      </c>
      <c r="D9860" s="138" t="str">
        <f t="shared" si="826"/>
        <v>Medium_Low</v>
      </c>
      <c r="E9860" s="138" t="str">
        <f t="shared" si="822"/>
        <v>Low</v>
      </c>
      <c r="F9860" s="138" t="str">
        <f t="shared" si="827"/>
        <v>Upgraded</v>
      </c>
      <c r="G9860" s="153"/>
      <c r="H9860" s="210">
        <v>0.15540000000000001</v>
      </c>
      <c r="I9860" s="160" t="s">
        <v>147</v>
      </c>
      <c r="J9860" s="160">
        <v>5.0500000000000003E-2</v>
      </c>
      <c r="K9860" s="160" t="s">
        <v>23</v>
      </c>
      <c r="L9860" s="154" t="str">
        <f>IF(OpenLCAbasic!K9860="CTUh", "Fill in Manually",IF(OR(K9860="Unit", K9860=""), "", INDEX(LookUps!$E$5:$E$12, MATCH(OpenLCAbasic!K9860,LookUps!$D$5:$D$12,0))))</f>
        <v>Global Warming Potential (GWP) - kg CO2 eq</v>
      </c>
      <c r="M9860" s="154" t="str">
        <f t="shared" si="823"/>
        <v>Low_Medium_Low_Upgraded_Global Warming Potential (GWP) - kg CO2 eq_Influent Pump Station; wastewater treatment unit; at updated plant - US_Base_With Amendment_Aerated Static Pile</v>
      </c>
    </row>
    <row r="9861" spans="1:13" s="120" customFormat="1" x14ac:dyDescent="0.25">
      <c r="A9861" s="119"/>
      <c r="B9861" s="138" t="str">
        <f t="shared" si="824"/>
        <v>Aerated Static Pile</v>
      </c>
      <c r="C9861" s="138" t="str">
        <f t="shared" si="825"/>
        <v>Base_With Amendment</v>
      </c>
      <c r="D9861" s="138" t="str">
        <f t="shared" si="826"/>
        <v>Medium_Low</v>
      </c>
      <c r="E9861" s="138" t="str">
        <f t="shared" si="822"/>
        <v>Low</v>
      </c>
      <c r="F9861" s="138" t="str">
        <f t="shared" si="827"/>
        <v>Upgraded</v>
      </c>
      <c r="G9861" s="153"/>
      <c r="H9861" s="210">
        <v>0.1023</v>
      </c>
      <c r="I9861" s="160" t="s">
        <v>53</v>
      </c>
      <c r="J9861" s="160">
        <v>3.3259999999999998E-2</v>
      </c>
      <c r="K9861" s="160" t="s">
        <v>23</v>
      </c>
      <c r="L9861" s="154" t="str">
        <f>IF(OpenLCAbasic!K9861="CTUh", "Fill in Manually",IF(OR(K9861="Unit", K9861=""), "", INDEX(LookUps!$E$5:$E$12, MATCH(OpenLCAbasic!K9861,LookUps!$D$5:$D$12,0))))</f>
        <v>Global Warming Potential (GWP) - kg CO2 eq</v>
      </c>
      <c r="M9861" s="154" t="str">
        <f t="shared" si="823"/>
        <v>Low_Medium_Low_Upgraded_Global Warming Potential (GWP) - kg CO2 eq_Wet Well and Sump Station; wastewater treatment unit; at updated plant - US_Base_With Amendment_Aerated Static Pile</v>
      </c>
    </row>
    <row r="9862" spans="1:13" s="120" customFormat="1" x14ac:dyDescent="0.25">
      <c r="A9862" s="119"/>
      <c r="B9862" s="138" t="str">
        <f t="shared" si="824"/>
        <v>Aerated Static Pile</v>
      </c>
      <c r="C9862" s="138" t="str">
        <f t="shared" si="825"/>
        <v>Base_With Amendment</v>
      </c>
      <c r="D9862" s="138" t="str">
        <f t="shared" si="826"/>
        <v>Medium_Low</v>
      </c>
      <c r="E9862" s="138" t="str">
        <f t="shared" si="822"/>
        <v>Low</v>
      </c>
      <c r="F9862" s="138" t="str">
        <f t="shared" si="827"/>
        <v>Upgraded</v>
      </c>
      <c r="G9862" s="153"/>
      <c r="H9862" s="210">
        <v>6.13E-2</v>
      </c>
      <c r="I9862" s="160" t="s">
        <v>60</v>
      </c>
      <c r="J9862" s="160">
        <v>1.9910000000000001E-2</v>
      </c>
      <c r="K9862" s="160" t="s">
        <v>23</v>
      </c>
      <c r="L9862" s="154" t="str">
        <f>IF(OpenLCAbasic!K9862="CTUh", "Fill in Manually",IF(OR(K9862="Unit", K9862=""), "", INDEX(LookUps!$E$5:$E$12, MATCH(OpenLCAbasic!K9862,LookUps!$D$5:$D$12,0))))</f>
        <v>Global Warming Potential (GWP) - kg CO2 eq</v>
      </c>
      <c r="M9862" s="154" t="str">
        <f t="shared" si="823"/>
        <v>Low_Medium_Low_Upgraded_Global Warming Potential (GWP) - kg CO2 eq_Belt filter press; wastewater treatment unit; at updated plant - US_Base_With Amendment_Aerated Static Pile</v>
      </c>
    </row>
    <row r="9863" spans="1:13" s="120" customFormat="1" x14ac:dyDescent="0.25">
      <c r="A9863" s="119"/>
      <c r="B9863" s="138" t="str">
        <f t="shared" si="824"/>
        <v>Aerated Static Pile</v>
      </c>
      <c r="C9863" s="138" t="str">
        <f t="shared" si="825"/>
        <v>Base_With Amendment</v>
      </c>
      <c r="D9863" s="138" t="str">
        <f t="shared" si="826"/>
        <v>Medium_Low</v>
      </c>
      <c r="E9863" s="138" t="str">
        <f t="shared" si="822"/>
        <v>Low</v>
      </c>
      <c r="F9863" s="138" t="str">
        <f t="shared" si="827"/>
        <v>Upgraded</v>
      </c>
      <c r="G9863" s="153"/>
      <c r="H9863" s="210">
        <v>4.48E-2</v>
      </c>
      <c r="I9863" s="160" t="s">
        <v>57</v>
      </c>
      <c r="J9863" s="160">
        <v>1.455E-2</v>
      </c>
      <c r="K9863" s="160" t="s">
        <v>23</v>
      </c>
      <c r="L9863" s="154" t="str">
        <f>IF(OpenLCAbasic!K9863="CTUh", "Fill in Manually",IF(OR(K9863="Unit", K9863=""), "", INDEX(LookUps!$E$5:$E$12, MATCH(OpenLCAbasic!K9863,LookUps!$D$5:$D$12,0))))</f>
        <v>Global Warming Potential (GWP) - kg CO2 eq</v>
      </c>
      <c r="M9863" s="154" t="str">
        <f t="shared" si="823"/>
        <v>Low_Medium_Low_Upgraded_Global Warming Potential (GWP) - kg CO2 eq_Gravity Belt Thickener; wastewater treatment unit; at updated plant - US_Base_With Amendment_Aerated Static Pile</v>
      </c>
    </row>
    <row r="9864" spans="1:13" s="120" customFormat="1" x14ac:dyDescent="0.25">
      <c r="A9864" s="119"/>
      <c r="B9864" s="138" t="str">
        <f t="shared" si="824"/>
        <v>Aerated Static Pile</v>
      </c>
      <c r="C9864" s="138" t="str">
        <f t="shared" si="825"/>
        <v>Base_With Amendment</v>
      </c>
      <c r="D9864" s="138" t="str">
        <f t="shared" si="826"/>
        <v>Medium_Low</v>
      </c>
      <c r="E9864" s="138" t="str">
        <f t="shared" si="822"/>
        <v>Low</v>
      </c>
      <c r="F9864" s="138" t="str">
        <f t="shared" si="827"/>
        <v>Upgraded</v>
      </c>
      <c r="G9864" s="153"/>
      <c r="H9864" s="210">
        <v>4.1599999999999998E-2</v>
      </c>
      <c r="I9864" s="160" t="s">
        <v>128</v>
      </c>
      <c r="J9864" s="160">
        <v>1.3509999999999999E-2</v>
      </c>
      <c r="K9864" s="160" t="s">
        <v>23</v>
      </c>
      <c r="L9864" s="154" t="str">
        <f>IF(OpenLCAbasic!K9864="CTUh", "Fill in Manually",IF(OR(K9864="Unit", K9864=""), "", INDEX(LookUps!$E$5:$E$12, MATCH(OpenLCAbasic!K9864,LookUps!$D$5:$D$12,0))))</f>
        <v>Global Warming Potential (GWP) - kg CO2 eq</v>
      </c>
      <c r="M9864" s="154" t="str">
        <f t="shared" si="823"/>
        <v>Low_Medium_Low_Upgraded_Global Warming Potential (GWP) - kg CO2 eq_Wastewater collection; operation and infrastructure; m3 wastewater_Base_With Amendment_Aerated Static Pile</v>
      </c>
    </row>
    <row r="9865" spans="1:13" s="120" customFormat="1" x14ac:dyDescent="0.25">
      <c r="A9865" s="119"/>
      <c r="B9865" s="138" t="str">
        <f t="shared" si="824"/>
        <v>Aerated Static Pile</v>
      </c>
      <c r="C9865" s="138" t="str">
        <f t="shared" si="825"/>
        <v>Base_With Amendment</v>
      </c>
      <c r="D9865" s="138" t="str">
        <f t="shared" si="826"/>
        <v>Medium_Low</v>
      </c>
      <c r="E9865" s="138" t="str">
        <f t="shared" si="822"/>
        <v>Low</v>
      </c>
      <c r="F9865" s="138" t="str">
        <f t="shared" si="827"/>
        <v>Upgraded</v>
      </c>
      <c r="G9865" s="153"/>
      <c r="H9865" s="210">
        <v>2.5499999999999998E-2</v>
      </c>
      <c r="I9865" s="160" t="s">
        <v>148</v>
      </c>
      <c r="J9865" s="160">
        <v>8.3000000000000001E-3</v>
      </c>
      <c r="K9865" s="160" t="s">
        <v>23</v>
      </c>
      <c r="L9865" s="154" t="str">
        <f>IF(OpenLCAbasic!K9865="CTUh", "Fill in Manually",IF(OR(K9865="Unit", K9865=""), "", INDEX(LookUps!$E$5:$E$12, MATCH(OpenLCAbasic!K9865,LookUps!$D$5:$D$12,0))))</f>
        <v>Global Warming Potential (GWP) - kg CO2 eq</v>
      </c>
      <c r="M9865" s="154" t="str">
        <f t="shared" si="823"/>
        <v>Low_Medium_Low_Upgraded_Global Warming Potential (GWP) - kg CO2 eq_Control Building; at upgraded wastewater treatment plant - US_Base_With Amendment_Aerated Static Pile</v>
      </c>
    </row>
    <row r="9866" spans="1:13" s="120" customFormat="1" x14ac:dyDescent="0.25">
      <c r="A9866" s="119"/>
      <c r="B9866" s="138" t="str">
        <f t="shared" si="824"/>
        <v>Aerated Static Pile</v>
      </c>
      <c r="C9866" s="138" t="str">
        <f t="shared" si="825"/>
        <v>Base_With Amendment</v>
      </c>
      <c r="D9866" s="138" t="str">
        <f t="shared" si="826"/>
        <v>Medium_Low</v>
      </c>
      <c r="E9866" s="138" t="str">
        <f t="shared" si="822"/>
        <v>Low</v>
      </c>
      <c r="F9866" s="138" t="str">
        <f t="shared" si="827"/>
        <v>Upgraded</v>
      </c>
      <c r="G9866" s="153"/>
      <c r="H9866" s="210">
        <v>1.55E-2</v>
      </c>
      <c r="I9866" s="160" t="s">
        <v>59</v>
      </c>
      <c r="J9866" s="160">
        <v>5.0400000000000002E-3</v>
      </c>
      <c r="K9866" s="160" t="s">
        <v>23</v>
      </c>
      <c r="L9866" s="154" t="str">
        <f>IF(OpenLCAbasic!K9866="CTUh", "Fill in Manually",IF(OR(K9866="Unit", K9866=""), "", INDEX(LookUps!$E$5:$E$12, MATCH(OpenLCAbasic!K9866,LookUps!$D$5:$D$12,0))))</f>
        <v>Global Warming Potential (GWP) - kg CO2 eq</v>
      </c>
      <c r="M9866" s="154" t="str">
        <f t="shared" si="823"/>
        <v>Low_Medium_Low_Upgraded_Global Warming Potential (GWP) - kg CO2 eq_Blend Tank; wastewater treatment unit; at updated plant - US_Base_With Amendment_Aerated Static Pile</v>
      </c>
    </row>
    <row r="9867" spans="1:13" s="120" customFormat="1" x14ac:dyDescent="0.25">
      <c r="A9867" s="119"/>
      <c r="B9867" s="138" t="str">
        <f t="shared" si="824"/>
        <v>Aerated Static Pile</v>
      </c>
      <c r="C9867" s="138" t="str">
        <f t="shared" si="825"/>
        <v>Base_With Amendment</v>
      </c>
      <c r="D9867" s="138" t="str">
        <f t="shared" si="826"/>
        <v>Medium_Low</v>
      </c>
      <c r="E9867" s="138" t="str">
        <f t="shared" si="822"/>
        <v>Low</v>
      </c>
      <c r="F9867" s="138" t="str">
        <f t="shared" si="827"/>
        <v>Upgraded</v>
      </c>
      <c r="G9867" s="153"/>
      <c r="H9867" s="210">
        <v>7.4000000000000003E-3</v>
      </c>
      <c r="I9867" s="160" t="s">
        <v>168</v>
      </c>
      <c r="J9867" s="160">
        <v>2.4099999999999998E-3</v>
      </c>
      <c r="K9867" s="160" t="s">
        <v>23</v>
      </c>
      <c r="L9867" s="154" t="str">
        <f>IF(OpenLCAbasic!K9867="CTUh", "Fill in Manually",IF(OR(K9867="Unit", K9867=""), "", INDEX(LookUps!$E$5:$E$12, MATCH(OpenLCAbasic!K9867,LookUps!$D$5:$D$12,0))))</f>
        <v>Global Warming Potential (GWP) - kg CO2 eq</v>
      </c>
      <c r="M9867" s="154" t="str">
        <f t="shared" si="823"/>
        <v>Low_Medium_Low_Upgraded_Global Warming Potential (GWP) - kg CO2 eq_ClearCove SCP; wastewater treatment unit; at updated plant - US_Base_With Amendment_Aerated Static Pile</v>
      </c>
    </row>
    <row r="9868" spans="1:13" s="120" customFormat="1" x14ac:dyDescent="0.25">
      <c r="A9868" s="119"/>
      <c r="B9868" s="138" t="str">
        <f t="shared" si="824"/>
        <v>Aerated Static Pile</v>
      </c>
      <c r="C9868" s="138" t="str">
        <f t="shared" si="825"/>
        <v>Base_With Amendment</v>
      </c>
      <c r="D9868" s="138" t="str">
        <f t="shared" si="826"/>
        <v>Medium_Low</v>
      </c>
      <c r="E9868" s="138" t="str">
        <f t="shared" si="822"/>
        <v>Low</v>
      </c>
      <c r="F9868" s="138" t="str">
        <f t="shared" si="827"/>
        <v>Upgraded</v>
      </c>
      <c r="G9868" s="153"/>
      <c r="H9868" s="210">
        <v>-2.1924999999999999</v>
      </c>
      <c r="I9868" s="160" t="s">
        <v>62</v>
      </c>
      <c r="J9868" s="160">
        <v>-0.71255000000000002</v>
      </c>
      <c r="K9868" s="160" t="s">
        <v>23</v>
      </c>
      <c r="L9868" s="154" t="str">
        <f>IF(OpenLCAbasic!K9868="CTUh", "Fill in Manually",IF(OR(K9868="Unit", K9868=""), "", INDEX(LookUps!$E$5:$E$12, MATCH(OpenLCAbasic!K9868,LookUps!$D$5:$D$12,0))))</f>
        <v>Global Warming Potential (GWP) - kg CO2 eq</v>
      </c>
      <c r="M9868" s="154" t="str">
        <f t="shared" si="823"/>
        <v>Low_Medium_Low_Upgraded_Global Warming Potential (GWP) - kg CO2 eq_Land application of compost; wastewater treatment unit; at updated plant - US_Base_With Amendment_Aerated Static Pile</v>
      </c>
    </row>
    <row r="9869" spans="1:13" s="120" customFormat="1" x14ac:dyDescent="0.25">
      <c r="A9869" s="119"/>
      <c r="B9869" s="138" t="str">
        <f t="shared" si="824"/>
        <v/>
      </c>
      <c r="C9869" s="138" t="str">
        <f t="shared" si="825"/>
        <v/>
      </c>
      <c r="D9869" s="138" t="str">
        <f t="shared" si="826"/>
        <v/>
      </c>
      <c r="E9869" s="138" t="str">
        <f t="shared" si="822"/>
        <v/>
      </c>
      <c r="F9869" s="138" t="str">
        <f t="shared" si="827"/>
        <v/>
      </c>
      <c r="G9869" s="153" t="s">
        <v>51</v>
      </c>
      <c r="H9869" s="160"/>
      <c r="I9869" s="160" t="s">
        <v>47</v>
      </c>
      <c r="J9869" s="160" t="s">
        <v>52</v>
      </c>
      <c r="K9869" s="160" t="s">
        <v>27</v>
      </c>
      <c r="L9869" s="154" t="str">
        <f>IF(OpenLCAbasic!K9869="CTUh", "Fill in Manually",IF(OR(K9869="Unit", K9869=""), "", INDEX(LookUps!$E$5:$E$12, MATCH(OpenLCAbasic!K9869,LookUps!$D$5:$D$12,0))))</f>
        <v/>
      </c>
      <c r="M9869" s="154" t="str">
        <f t="shared" si="823"/>
        <v>____Process__</v>
      </c>
    </row>
    <row r="9870" spans="1:13" s="120" customFormat="1" x14ac:dyDescent="0.25">
      <c r="A9870" s="119"/>
      <c r="B9870" s="138" t="str">
        <f t="shared" si="824"/>
        <v>Aerated Static Pile</v>
      </c>
      <c r="C9870" s="138" t="str">
        <f t="shared" si="825"/>
        <v>Base_With Amendment</v>
      </c>
      <c r="D9870" s="138" t="str">
        <f t="shared" si="826"/>
        <v>Medium_Low</v>
      </c>
      <c r="E9870" s="138" t="str">
        <f t="shared" si="822"/>
        <v>Low</v>
      </c>
      <c r="F9870" s="138" t="str">
        <f t="shared" si="827"/>
        <v>Upgraded</v>
      </c>
      <c r="G9870" s="153"/>
      <c r="H9870" s="210">
        <v>0.3755</v>
      </c>
      <c r="I9870" s="160" t="s">
        <v>55</v>
      </c>
      <c r="J9870" s="160">
        <v>2.33E-3</v>
      </c>
      <c r="K9870" s="160" t="s">
        <v>145</v>
      </c>
      <c r="L9870" s="154" t="str">
        <f>IF(OpenLCAbasic!K9870="CTUh", "Fill in Manually",IF(OR(K9870="Unit", K9870=""), "", INDEX(LookUps!$E$5:$E$12, MATCH(OpenLCAbasic!K9870,LookUps!$D$5:$D$12,0))))</f>
        <v>Particulate Matter Formation Potential (PMFP) - kg PM2.5 eq</v>
      </c>
      <c r="M9870" s="154" t="str">
        <f t="shared" si="823"/>
        <v>Low_Medium_Low_Upgraded_Particulate Matter Formation Potential (PMFP) - kg PM2.5 eq_Aeration Tanks; wastewater treatment unit; at updated plant - US_Base_With Amendment_Aerated Static Pile</v>
      </c>
    </row>
    <row r="9871" spans="1:13" s="120" customFormat="1" x14ac:dyDescent="0.25">
      <c r="A9871" s="119"/>
      <c r="B9871" s="138" t="str">
        <f t="shared" si="824"/>
        <v>Aerated Static Pile</v>
      </c>
      <c r="C9871" s="138" t="str">
        <f t="shared" si="825"/>
        <v>Base_With Amendment</v>
      </c>
      <c r="D9871" s="138" t="str">
        <f t="shared" si="826"/>
        <v>Medium_Low</v>
      </c>
      <c r="E9871" s="138" t="str">
        <f t="shared" si="822"/>
        <v>Low</v>
      </c>
      <c r="F9871" s="138" t="str">
        <f t="shared" si="827"/>
        <v>Upgraded</v>
      </c>
      <c r="G9871" s="153"/>
      <c r="H9871" s="210">
        <v>0.20580000000000001</v>
      </c>
      <c r="I9871" s="160" t="s">
        <v>435</v>
      </c>
      <c r="J9871" s="160">
        <v>1.2800000000000001E-3</v>
      </c>
      <c r="K9871" s="160" t="s">
        <v>145</v>
      </c>
      <c r="L9871" s="154" t="str">
        <f>IF(OpenLCAbasic!K9871="CTUh", "Fill in Manually",IF(OR(K9871="Unit", K9871=""), "", INDEX(LookUps!$E$5:$E$12, MATCH(OpenLCAbasic!K9871,LookUps!$D$5:$D$12,0))))</f>
        <v>Particulate Matter Formation Potential (PMFP) - kg PM2.5 eq</v>
      </c>
      <c r="M9871" s="154" t="str">
        <f t="shared" si="823"/>
        <v>Low_Medium_Low_Upgraded_Particulate Matter Formation Potential (PMFP) - kg PM2.5 eq_Biosolids composting; aerated static pile; wastewater treatment unit; at updated plant - US_Base_With Amendment_Aerated Static Pile</v>
      </c>
    </row>
    <row r="9872" spans="1:13" s="120" customFormat="1" x14ac:dyDescent="0.25">
      <c r="A9872" s="119"/>
      <c r="B9872" s="138" t="str">
        <f t="shared" si="824"/>
        <v>Aerated Static Pile</v>
      </c>
      <c r="C9872" s="138" t="str">
        <f t="shared" si="825"/>
        <v>Base_With Amendment</v>
      </c>
      <c r="D9872" s="138" t="str">
        <f t="shared" si="826"/>
        <v>Medium_Low</v>
      </c>
      <c r="E9872" s="138" t="str">
        <f t="shared" si="822"/>
        <v>Low</v>
      </c>
      <c r="F9872" s="138" t="str">
        <f t="shared" si="827"/>
        <v>Upgraded</v>
      </c>
      <c r="G9872" s="153"/>
      <c r="H9872" s="210">
        <v>0.10929999999999999</v>
      </c>
      <c r="I9872" s="160" t="s">
        <v>54</v>
      </c>
      <c r="J9872" s="160">
        <v>6.8000000000000005E-4</v>
      </c>
      <c r="K9872" s="160" t="s">
        <v>145</v>
      </c>
      <c r="L9872" s="154" t="str">
        <f>IF(OpenLCAbasic!K9872="CTUh", "Fill in Manually",IF(OR(K9872="Unit", K9872=""), "", INDEX(LookUps!$E$5:$E$12, MATCH(OpenLCAbasic!K9872,LookUps!$D$5:$D$12,0))))</f>
        <v>Particulate Matter Formation Potential (PMFP) - kg PM2.5 eq</v>
      </c>
      <c r="M9872" s="154" t="str">
        <f t="shared" si="823"/>
        <v>Low_Medium_Low_Upgraded_Particulate Matter Formation Potential (PMFP) - kg PM2.5 eq_Clear Cove Primary Clarification; wastewater treatment unit; at updated plant - US_Base_With Amendment_Aerated Static Pile</v>
      </c>
    </row>
    <row r="9873" spans="1:13" s="120" customFormat="1" x14ac:dyDescent="0.25">
      <c r="A9873" s="119"/>
      <c r="B9873" s="138" t="str">
        <f t="shared" si="824"/>
        <v>Aerated Static Pile</v>
      </c>
      <c r="C9873" s="138" t="str">
        <f t="shared" si="825"/>
        <v>Base_With Amendment</v>
      </c>
      <c r="D9873" s="138" t="str">
        <f t="shared" si="826"/>
        <v>Medium_Low</v>
      </c>
      <c r="E9873" s="138" t="str">
        <f t="shared" si="822"/>
        <v>Low</v>
      </c>
      <c r="F9873" s="138" t="str">
        <f t="shared" si="827"/>
        <v>Upgraded</v>
      </c>
      <c r="G9873" s="153"/>
      <c r="H9873" s="210">
        <v>9.4700000000000006E-2</v>
      </c>
      <c r="I9873" s="160" t="s">
        <v>58</v>
      </c>
      <c r="J9873" s="160">
        <v>5.9000000000000003E-4</v>
      </c>
      <c r="K9873" s="160" t="s">
        <v>145</v>
      </c>
      <c r="L9873" s="154" t="str">
        <f>IF(OpenLCAbasic!K9873="CTUh", "Fill in Manually",IF(OR(K9873="Unit", K9873=""), "", INDEX(LookUps!$E$5:$E$12, MATCH(OpenLCAbasic!K9873,LookUps!$D$5:$D$12,0))))</f>
        <v>Particulate Matter Formation Potential (PMFP) - kg PM2.5 eq</v>
      </c>
      <c r="M9873" s="154" t="str">
        <f t="shared" si="823"/>
        <v>Low_Medium_Low_Upgraded_Particulate Matter Formation Potential (PMFP) - kg PM2.5 eq_Pre-Anoxic &amp; Swing tank; wastewater treatment unit; at updated plant - US_Base_With Amendment_Aerated Static Pile</v>
      </c>
    </row>
    <row r="9874" spans="1:13" s="120" customFormat="1" x14ac:dyDescent="0.25">
      <c r="A9874" s="119"/>
      <c r="B9874" s="138" t="str">
        <f t="shared" si="824"/>
        <v>Aerated Static Pile</v>
      </c>
      <c r="C9874" s="138" t="str">
        <f t="shared" si="825"/>
        <v>Base_With Amendment</v>
      </c>
      <c r="D9874" s="138" t="str">
        <f t="shared" si="826"/>
        <v>Medium_Low</v>
      </c>
      <c r="E9874" s="138" t="str">
        <f t="shared" si="822"/>
        <v>Low</v>
      </c>
      <c r="F9874" s="138" t="str">
        <f t="shared" si="827"/>
        <v>Upgraded</v>
      </c>
      <c r="G9874" s="153"/>
      <c r="H9874" s="210">
        <v>7.51E-2</v>
      </c>
      <c r="I9874" s="160" t="s">
        <v>53</v>
      </c>
      <c r="J9874" s="160">
        <v>4.6999999999999999E-4</v>
      </c>
      <c r="K9874" s="160" t="s">
        <v>145</v>
      </c>
      <c r="L9874" s="154" t="str">
        <f>IF(OpenLCAbasic!K9874="CTUh", "Fill in Manually",IF(OR(K9874="Unit", K9874=""), "", INDEX(LookUps!$E$5:$E$12, MATCH(OpenLCAbasic!K9874,LookUps!$D$5:$D$12,0))))</f>
        <v>Particulate Matter Formation Potential (PMFP) - kg PM2.5 eq</v>
      </c>
      <c r="M9874" s="154" t="str">
        <f t="shared" si="823"/>
        <v>Low_Medium_Low_Upgraded_Particulate Matter Formation Potential (PMFP) - kg PM2.5 eq_Wet Well and Sump Station; wastewater treatment unit; at updated plant - US_Base_With Amendment_Aerated Static Pile</v>
      </c>
    </row>
    <row r="9875" spans="1:13" s="120" customFormat="1" x14ac:dyDescent="0.25">
      <c r="A9875" s="119"/>
      <c r="B9875" s="138" t="str">
        <f t="shared" si="824"/>
        <v>Aerated Static Pile</v>
      </c>
      <c r="C9875" s="138" t="str">
        <f t="shared" si="825"/>
        <v>Base_With Amendment</v>
      </c>
      <c r="D9875" s="138" t="str">
        <f t="shared" si="826"/>
        <v>Medium_Low</v>
      </c>
      <c r="E9875" s="138" t="str">
        <f t="shared" si="822"/>
        <v>Low</v>
      </c>
      <c r="F9875" s="138" t="str">
        <f t="shared" si="827"/>
        <v>Upgraded</v>
      </c>
      <c r="G9875" s="153"/>
      <c r="H9875" s="210">
        <v>5.0599999999999999E-2</v>
      </c>
      <c r="I9875" s="160" t="s">
        <v>167</v>
      </c>
      <c r="J9875" s="160">
        <v>3.1E-4</v>
      </c>
      <c r="K9875" s="160" t="s">
        <v>145</v>
      </c>
      <c r="L9875" s="154" t="str">
        <f>IF(OpenLCAbasic!K9875="CTUh", "Fill in Manually",IF(OR(K9875="Unit", K9875=""), "", INDEX(LookUps!$E$5:$E$12, MATCH(OpenLCAbasic!K9875,LookUps!$D$5:$D$12,0))))</f>
        <v>Particulate Matter Formation Potential (PMFP) - kg PM2.5 eq</v>
      </c>
      <c r="M9875" s="154" t="str">
        <f t="shared" si="823"/>
        <v>Low_Medium_Low_Upgraded_Particulate Matter Formation Potential (PMFP) - kg PM2.5 eq_Waste Receiving and Holding; wastewater treatment unit; at updated plant - US_Base_With Amendment_Aerated Static Pile</v>
      </c>
    </row>
    <row r="9876" spans="1:13" s="120" customFormat="1" x14ac:dyDescent="0.25">
      <c r="A9876" s="119"/>
      <c r="B9876" s="138" t="str">
        <f t="shared" si="824"/>
        <v>Aerated Static Pile</v>
      </c>
      <c r="C9876" s="138" t="str">
        <f t="shared" si="825"/>
        <v>Base_With Amendment</v>
      </c>
      <c r="D9876" s="138" t="str">
        <f t="shared" si="826"/>
        <v>Medium_Low</v>
      </c>
      <c r="E9876" s="138" t="str">
        <f t="shared" si="822"/>
        <v>Low</v>
      </c>
      <c r="F9876" s="138" t="str">
        <f t="shared" si="827"/>
        <v>Upgraded</v>
      </c>
      <c r="G9876" s="153"/>
      <c r="H9876" s="210">
        <v>4.2900000000000001E-2</v>
      </c>
      <c r="I9876" s="160" t="s">
        <v>147</v>
      </c>
      <c r="J9876" s="160">
        <v>2.7E-4</v>
      </c>
      <c r="K9876" s="160" t="s">
        <v>145</v>
      </c>
      <c r="L9876" s="154" t="str">
        <f>IF(OpenLCAbasic!K9876="CTUh", "Fill in Manually",IF(OR(K9876="Unit", K9876=""), "", INDEX(LookUps!$E$5:$E$12, MATCH(OpenLCAbasic!K9876,LookUps!$D$5:$D$12,0))))</f>
        <v>Particulate Matter Formation Potential (PMFP) - kg PM2.5 eq</v>
      </c>
      <c r="M9876" s="154" t="str">
        <f t="shared" si="823"/>
        <v>Low_Medium_Low_Upgraded_Particulate Matter Formation Potential (PMFP) - kg PM2.5 eq_Influent Pump Station; wastewater treatment unit; at updated plant - US_Base_With Amendment_Aerated Static Pile</v>
      </c>
    </row>
    <row r="9877" spans="1:13" s="120" customFormat="1" x14ac:dyDescent="0.25">
      <c r="A9877" s="119"/>
      <c r="B9877" s="138" t="str">
        <f t="shared" si="824"/>
        <v>Aerated Static Pile</v>
      </c>
      <c r="C9877" s="138" t="str">
        <f t="shared" si="825"/>
        <v>Base_With Amendment</v>
      </c>
      <c r="D9877" s="138" t="str">
        <f t="shared" si="826"/>
        <v>Medium_Low</v>
      </c>
      <c r="E9877" s="138" t="str">
        <f t="shared" si="822"/>
        <v>Low</v>
      </c>
      <c r="F9877" s="138" t="str">
        <f t="shared" si="827"/>
        <v>Upgraded</v>
      </c>
      <c r="G9877" s="153"/>
      <c r="H9877" s="210">
        <v>2.6800000000000001E-2</v>
      </c>
      <c r="I9877" s="160" t="s">
        <v>128</v>
      </c>
      <c r="J9877" s="160">
        <v>1.7000000000000001E-4</v>
      </c>
      <c r="K9877" s="160" t="s">
        <v>145</v>
      </c>
      <c r="L9877" s="154" t="str">
        <f>IF(OpenLCAbasic!K9877="CTUh", "Fill in Manually",IF(OR(K9877="Unit", K9877=""), "", INDEX(LookUps!$E$5:$E$12, MATCH(OpenLCAbasic!K9877,LookUps!$D$5:$D$12,0))))</f>
        <v>Particulate Matter Formation Potential (PMFP) - kg PM2.5 eq</v>
      </c>
      <c r="M9877" s="154" t="str">
        <f t="shared" si="823"/>
        <v>Low_Medium_Low_Upgraded_Particulate Matter Formation Potential (PMFP) - kg PM2.5 eq_Wastewater collection; operation and infrastructure; m3 wastewater_Base_With Amendment_Aerated Static Pile</v>
      </c>
    </row>
    <row r="9878" spans="1:13" s="120" customFormat="1" x14ac:dyDescent="0.25">
      <c r="A9878" s="119"/>
      <c r="B9878" s="138" t="str">
        <f t="shared" si="824"/>
        <v>Aerated Static Pile</v>
      </c>
      <c r="C9878" s="138" t="str">
        <f t="shared" si="825"/>
        <v>Base_With Amendment</v>
      </c>
      <c r="D9878" s="138" t="str">
        <f t="shared" si="826"/>
        <v>Medium_Low</v>
      </c>
      <c r="E9878" s="138" t="str">
        <f t="shared" si="822"/>
        <v>Low</v>
      </c>
      <c r="F9878" s="138" t="str">
        <f t="shared" si="827"/>
        <v>Upgraded</v>
      </c>
      <c r="G9878" s="153"/>
      <c r="H9878" s="210">
        <v>2.6200000000000001E-2</v>
      </c>
      <c r="I9878" s="160" t="s">
        <v>60</v>
      </c>
      <c r="J9878" s="160">
        <v>1.6000000000000001E-4</v>
      </c>
      <c r="K9878" s="160" t="s">
        <v>145</v>
      </c>
      <c r="L9878" s="154" t="str">
        <f>IF(OpenLCAbasic!K9878="CTUh", "Fill in Manually",IF(OR(K9878="Unit", K9878=""), "", INDEX(LookUps!$E$5:$E$12, MATCH(OpenLCAbasic!K9878,LookUps!$D$5:$D$12,0))))</f>
        <v>Particulate Matter Formation Potential (PMFP) - kg PM2.5 eq</v>
      </c>
      <c r="M9878" s="154" t="str">
        <f t="shared" si="823"/>
        <v>Low_Medium_Low_Upgraded_Particulate Matter Formation Potential (PMFP) - kg PM2.5 eq_Belt filter press; wastewater treatment unit; at updated plant - US_Base_With Amendment_Aerated Static Pile</v>
      </c>
    </row>
    <row r="9879" spans="1:13" s="120" customFormat="1" x14ac:dyDescent="0.25">
      <c r="A9879" s="119"/>
      <c r="B9879" s="138" t="str">
        <f t="shared" si="824"/>
        <v>Aerated Static Pile</v>
      </c>
      <c r="C9879" s="138" t="str">
        <f t="shared" si="825"/>
        <v>Base_With Amendment</v>
      </c>
      <c r="D9879" s="138" t="str">
        <f t="shared" si="826"/>
        <v>Medium_Low</v>
      </c>
      <c r="E9879" s="138" t="str">
        <f t="shared" si="822"/>
        <v>Low</v>
      </c>
      <c r="F9879" s="138" t="str">
        <f t="shared" si="827"/>
        <v>Upgraded</v>
      </c>
      <c r="G9879" s="153"/>
      <c r="H9879" s="210">
        <v>1.5299999999999999E-2</v>
      </c>
      <c r="I9879" s="160" t="s">
        <v>57</v>
      </c>
      <c r="J9879" s="211">
        <v>9.5153800000000004E-5</v>
      </c>
      <c r="K9879" s="160" t="s">
        <v>145</v>
      </c>
      <c r="L9879" s="154" t="str">
        <f>IF(OpenLCAbasic!K9879="CTUh", "Fill in Manually",IF(OR(K9879="Unit", K9879=""), "", INDEX(LookUps!$E$5:$E$12, MATCH(OpenLCAbasic!K9879,LookUps!$D$5:$D$12,0))))</f>
        <v>Particulate Matter Formation Potential (PMFP) - kg PM2.5 eq</v>
      </c>
      <c r="M9879" s="154" t="str">
        <f t="shared" si="823"/>
        <v>Low_Medium_Low_Upgraded_Particulate Matter Formation Potential (PMFP) - kg PM2.5 eq_Gravity Belt Thickener; wastewater treatment unit; at updated plant - US_Base_With Amendment_Aerated Static Pile</v>
      </c>
    </row>
    <row r="9880" spans="1:13" s="120" customFormat="1" x14ac:dyDescent="0.25">
      <c r="A9880" s="119"/>
      <c r="B9880" s="138" t="str">
        <f t="shared" si="824"/>
        <v>Aerated Static Pile</v>
      </c>
      <c r="C9880" s="138" t="str">
        <f t="shared" si="825"/>
        <v>Base_With Amendment</v>
      </c>
      <c r="D9880" s="138" t="str">
        <f t="shared" si="826"/>
        <v>Medium_Low</v>
      </c>
      <c r="E9880" s="138" t="str">
        <f t="shared" si="822"/>
        <v>Low</v>
      </c>
      <c r="F9880" s="138" t="str">
        <f t="shared" si="827"/>
        <v>Upgraded</v>
      </c>
      <c r="G9880" s="153"/>
      <c r="H9880" s="210">
        <v>1.29E-2</v>
      </c>
      <c r="I9880" s="160" t="s">
        <v>62</v>
      </c>
      <c r="J9880" s="211">
        <v>8.0294099999999994E-5</v>
      </c>
      <c r="K9880" s="160" t="s">
        <v>145</v>
      </c>
      <c r="L9880" s="154" t="str">
        <f>IF(OpenLCAbasic!K9880="CTUh", "Fill in Manually",IF(OR(K9880="Unit", K9880=""), "", INDEX(LookUps!$E$5:$E$12, MATCH(OpenLCAbasic!K9880,LookUps!$D$5:$D$12,0))))</f>
        <v>Particulate Matter Formation Potential (PMFP) - kg PM2.5 eq</v>
      </c>
      <c r="M9880" s="154" t="str">
        <f t="shared" si="823"/>
        <v>Low_Medium_Low_Upgraded_Particulate Matter Formation Potential (PMFP) - kg PM2.5 eq_Land application of compost; wastewater treatment unit; at updated plant - US_Base_With Amendment_Aerated Static Pile</v>
      </c>
    </row>
    <row r="9881" spans="1:13" s="120" customFormat="1" x14ac:dyDescent="0.25">
      <c r="A9881" s="119"/>
      <c r="B9881" s="138" t="str">
        <f t="shared" si="824"/>
        <v>Aerated Static Pile</v>
      </c>
      <c r="C9881" s="138" t="str">
        <f t="shared" si="825"/>
        <v>Base_With Amendment</v>
      </c>
      <c r="D9881" s="138" t="str">
        <f t="shared" si="826"/>
        <v>Medium_Low</v>
      </c>
      <c r="E9881" s="138" t="str">
        <f t="shared" si="822"/>
        <v>Low</v>
      </c>
      <c r="F9881" s="138" t="str">
        <f t="shared" si="827"/>
        <v>Upgraded</v>
      </c>
      <c r="G9881" s="153"/>
      <c r="H9881" s="210">
        <v>1.1299999999999999E-2</v>
      </c>
      <c r="I9881" s="160" t="s">
        <v>59</v>
      </c>
      <c r="J9881" s="211">
        <v>6.9942200000000003E-5</v>
      </c>
      <c r="K9881" s="160" t="s">
        <v>145</v>
      </c>
      <c r="L9881" s="154" t="str">
        <f>IF(OpenLCAbasic!K9881="CTUh", "Fill in Manually",IF(OR(K9881="Unit", K9881=""), "", INDEX(LookUps!$E$5:$E$12, MATCH(OpenLCAbasic!K9881,LookUps!$D$5:$D$12,0))))</f>
        <v>Particulate Matter Formation Potential (PMFP) - kg PM2.5 eq</v>
      </c>
      <c r="M9881" s="154" t="str">
        <f t="shared" si="823"/>
        <v>Low_Medium_Low_Upgraded_Particulate Matter Formation Potential (PMFP) - kg PM2.5 eq_Blend Tank; wastewater treatment unit; at updated plant - US_Base_With Amendment_Aerated Static Pile</v>
      </c>
    </row>
    <row r="9882" spans="1:13" s="120" customFormat="1" x14ac:dyDescent="0.25">
      <c r="A9882" s="119"/>
      <c r="B9882" s="138" t="str">
        <f t="shared" si="824"/>
        <v>Aerated Static Pile</v>
      </c>
      <c r="C9882" s="138" t="str">
        <f t="shared" si="825"/>
        <v>Base_With Amendment</v>
      </c>
      <c r="D9882" s="138" t="str">
        <f t="shared" si="826"/>
        <v>Medium_Low</v>
      </c>
      <c r="E9882" s="138" t="str">
        <f t="shared" si="822"/>
        <v>Low</v>
      </c>
      <c r="F9882" s="138" t="str">
        <f t="shared" si="827"/>
        <v>Upgraded</v>
      </c>
      <c r="G9882" s="153"/>
      <c r="H9882" s="210">
        <v>8.0000000000000002E-3</v>
      </c>
      <c r="I9882" s="160" t="s">
        <v>48</v>
      </c>
      <c r="J9882" s="211">
        <v>4.99741E-5</v>
      </c>
      <c r="K9882" s="160" t="s">
        <v>145</v>
      </c>
      <c r="L9882" s="154" t="str">
        <f>IF(OpenLCAbasic!K9882="CTUh", "Fill in Manually",IF(OR(K9882="Unit", K9882=""), "", INDEX(LookUps!$E$5:$E$12, MATCH(OpenLCAbasic!K9882,LookUps!$D$5:$D$12,0))))</f>
        <v>Particulate Matter Formation Potential (PMFP) - kg PM2.5 eq</v>
      </c>
      <c r="M9882" s="154" t="str">
        <f t="shared" si="823"/>
        <v>Low_Medium_Low_Upgraded_Particulate Matter Formation Potential (PMFP) - kg PM2.5 eq_Effluent release; wastewater treatment unit; at surface water; m3 wastewater - US_Base_With Amendment_Aerated Static Pile</v>
      </c>
    </row>
    <row r="9883" spans="1:13" s="120" customFormat="1" x14ac:dyDescent="0.25">
      <c r="A9883" s="119"/>
      <c r="B9883" s="138" t="str">
        <f t="shared" si="824"/>
        <v>Aerated Static Pile</v>
      </c>
      <c r="C9883" s="138" t="str">
        <f t="shared" si="825"/>
        <v>Base_With Amendment</v>
      </c>
      <c r="D9883" s="138" t="str">
        <f t="shared" si="826"/>
        <v>Medium_Low</v>
      </c>
      <c r="E9883" s="138" t="str">
        <f t="shared" si="822"/>
        <v>Low</v>
      </c>
      <c r="F9883" s="138" t="str">
        <f t="shared" si="827"/>
        <v>Upgraded</v>
      </c>
      <c r="G9883" s="153"/>
      <c r="H9883" s="210">
        <v>5.5999999999999999E-3</v>
      </c>
      <c r="I9883" s="160" t="s">
        <v>168</v>
      </c>
      <c r="J9883" s="211">
        <v>3.4562199999999999E-5</v>
      </c>
      <c r="K9883" s="160" t="s">
        <v>145</v>
      </c>
      <c r="L9883" s="154" t="str">
        <f>IF(OpenLCAbasic!K9883="CTUh", "Fill in Manually",IF(OR(K9883="Unit", K9883=""), "", INDEX(LookUps!$E$5:$E$12, MATCH(OpenLCAbasic!K9883,LookUps!$D$5:$D$12,0))))</f>
        <v>Particulate Matter Formation Potential (PMFP) - kg PM2.5 eq</v>
      </c>
      <c r="M9883" s="154" t="str">
        <f t="shared" si="823"/>
        <v>Low_Medium_Low_Upgraded_Particulate Matter Formation Potential (PMFP) - kg PM2.5 eq_ClearCove SCP; wastewater treatment unit; at updated plant - US_Base_With Amendment_Aerated Static Pile</v>
      </c>
    </row>
    <row r="9884" spans="1:13" s="120" customFormat="1" x14ac:dyDescent="0.25">
      <c r="A9884" s="119"/>
      <c r="B9884" s="138" t="str">
        <f t="shared" si="824"/>
        <v>Aerated Static Pile</v>
      </c>
      <c r="C9884" s="138" t="str">
        <f t="shared" si="825"/>
        <v>Base_With Amendment</v>
      </c>
      <c r="D9884" s="138" t="str">
        <f t="shared" si="826"/>
        <v>Medium_Low</v>
      </c>
      <c r="E9884" s="138" t="str">
        <f t="shared" si="822"/>
        <v>Low</v>
      </c>
      <c r="F9884" s="138" t="str">
        <f t="shared" si="827"/>
        <v>Upgraded</v>
      </c>
      <c r="G9884" s="153"/>
      <c r="H9884" s="210">
        <v>1.4E-3</v>
      </c>
      <c r="I9884" s="160" t="s">
        <v>148</v>
      </c>
      <c r="J9884" s="211">
        <v>8.8212999999999997E-6</v>
      </c>
      <c r="K9884" s="160" t="s">
        <v>145</v>
      </c>
      <c r="L9884" s="154" t="str">
        <f>IF(OpenLCAbasic!K9884="CTUh", "Fill in Manually",IF(OR(K9884="Unit", K9884=""), "", INDEX(LookUps!$E$5:$E$12, MATCH(OpenLCAbasic!K9884,LookUps!$D$5:$D$12,0))))</f>
        <v>Particulate Matter Formation Potential (PMFP) - kg PM2.5 eq</v>
      </c>
      <c r="M9884" s="154" t="str">
        <f t="shared" si="823"/>
        <v>Low_Medium_Low_Upgraded_Particulate Matter Formation Potential (PMFP) - kg PM2.5 eq_Control Building; at upgraded wastewater treatment plant - US_Base_With Amendment_Aerated Static Pile</v>
      </c>
    </row>
    <row r="9885" spans="1:13" s="120" customFormat="1" x14ac:dyDescent="0.25">
      <c r="A9885" s="119"/>
      <c r="B9885" s="138" t="str">
        <f t="shared" si="824"/>
        <v>Aerated Static Pile</v>
      </c>
      <c r="C9885" s="138" t="str">
        <f t="shared" si="825"/>
        <v>Base_With Amendment</v>
      </c>
      <c r="D9885" s="138" t="str">
        <f t="shared" si="826"/>
        <v>Medium_Low</v>
      </c>
      <c r="E9885" s="138" t="str">
        <f t="shared" si="822"/>
        <v>Low</v>
      </c>
      <c r="F9885" s="138" t="str">
        <f t="shared" si="827"/>
        <v>Upgraded</v>
      </c>
      <c r="G9885" s="153"/>
      <c r="H9885" s="210">
        <v>-6.1400000000000003E-2</v>
      </c>
      <c r="I9885" s="160" t="s">
        <v>149</v>
      </c>
      <c r="J9885" s="160">
        <v>-3.8000000000000002E-4</v>
      </c>
      <c r="K9885" s="160" t="s">
        <v>145</v>
      </c>
      <c r="L9885" s="154" t="str">
        <f>IF(OpenLCAbasic!K9885="CTUh", "Fill in Manually",IF(OR(K9885="Unit", K9885=""), "", INDEX(LookUps!$E$5:$E$12, MATCH(OpenLCAbasic!K9885,LookUps!$D$5:$D$12,0))))</f>
        <v>Particulate Matter Formation Potential (PMFP) - kg PM2.5 eq</v>
      </c>
      <c r="M9885" s="154" t="str">
        <f t="shared" si="823"/>
        <v>Low_Medium_Low_Upgraded_Particulate Matter Formation Potential (PMFP) - kg PM2.5 eq_Anaerobic Digestion; wastewater treatment unit; at updated plant - US_Base_With Amendment_Aerated Static Pile</v>
      </c>
    </row>
    <row r="9886" spans="1:13" s="120" customFormat="1" x14ac:dyDescent="0.25">
      <c r="A9886" s="119"/>
      <c r="B9886" s="138" t="str">
        <f t="shared" si="824"/>
        <v/>
      </c>
      <c r="C9886" s="138" t="str">
        <f t="shared" si="825"/>
        <v/>
      </c>
      <c r="D9886" s="138" t="str">
        <f t="shared" si="826"/>
        <v/>
      </c>
      <c r="E9886" s="138" t="str">
        <f t="shared" si="822"/>
        <v/>
      </c>
      <c r="F9886" s="138" t="str">
        <f t="shared" si="827"/>
        <v/>
      </c>
      <c r="G9886" s="153" t="s">
        <v>51</v>
      </c>
      <c r="H9886" s="160"/>
      <c r="I9886" s="160" t="s">
        <v>47</v>
      </c>
      <c r="J9886" s="160" t="s">
        <v>52</v>
      </c>
      <c r="K9886" s="160" t="s">
        <v>27</v>
      </c>
      <c r="L9886" s="154" t="str">
        <f>IF(OpenLCAbasic!K9886="CTUh", "Fill in Manually",IF(OR(K9886="Unit", K9886=""), "", INDEX(LookUps!$E$5:$E$12, MATCH(OpenLCAbasic!K9886,LookUps!$D$5:$D$12,0))))</f>
        <v/>
      </c>
      <c r="M9886" s="154" t="str">
        <f t="shared" si="823"/>
        <v>____Process__</v>
      </c>
    </row>
    <row r="9887" spans="1:13" s="120" customFormat="1" x14ac:dyDescent="0.25">
      <c r="A9887" s="119"/>
      <c r="B9887" s="138" t="str">
        <f t="shared" si="824"/>
        <v>Aerated Static Pile</v>
      </c>
      <c r="C9887" s="138" t="str">
        <f t="shared" si="825"/>
        <v>Base_With Amendment</v>
      </c>
      <c r="D9887" s="138" t="str">
        <f t="shared" si="826"/>
        <v>Medium_Low</v>
      </c>
      <c r="E9887" s="138" t="str">
        <f t="shared" si="822"/>
        <v>Low</v>
      </c>
      <c r="F9887" s="138" t="str">
        <f t="shared" si="827"/>
        <v>Upgraded</v>
      </c>
      <c r="G9887" s="153"/>
      <c r="H9887" s="210">
        <v>0.37669999999999998</v>
      </c>
      <c r="I9887" s="160" t="s">
        <v>55</v>
      </c>
      <c r="J9887" s="160">
        <v>0.16577</v>
      </c>
      <c r="K9887" s="160" t="s">
        <v>25</v>
      </c>
      <c r="L9887" s="154" t="str">
        <f>IF(OpenLCAbasic!K9887="CTUh", "Fill in Manually",IF(OR(K9887="Unit", K9887=""), "", INDEX(LookUps!$E$5:$E$12, MATCH(OpenLCAbasic!K9887,LookUps!$D$5:$D$12,0))))</f>
        <v>Smog Formation Potential (SFP) - kg O3 eq</v>
      </c>
      <c r="M9887" s="154" t="str">
        <f t="shared" si="823"/>
        <v>Low_Medium_Low_Upgraded_Smog Formation Potential (SFP) - kg O3 eq_Aeration Tanks; wastewater treatment unit; at updated plant - US_Base_With Amendment_Aerated Static Pile</v>
      </c>
    </row>
    <row r="9888" spans="1:13" s="120" customFormat="1" x14ac:dyDescent="0.25">
      <c r="A9888" s="119"/>
      <c r="B9888" s="138" t="str">
        <f t="shared" si="824"/>
        <v>Aerated Static Pile</v>
      </c>
      <c r="C9888" s="138" t="str">
        <f t="shared" si="825"/>
        <v>Base_With Amendment</v>
      </c>
      <c r="D9888" s="138" t="str">
        <f t="shared" si="826"/>
        <v>Medium_Low</v>
      </c>
      <c r="E9888" s="138" t="str">
        <f t="shared" si="822"/>
        <v>Low</v>
      </c>
      <c r="F9888" s="138" t="str">
        <f t="shared" si="827"/>
        <v>Upgraded</v>
      </c>
      <c r="G9888" s="153"/>
      <c r="H9888" s="210">
        <v>0.2064</v>
      </c>
      <c r="I9888" s="160" t="s">
        <v>435</v>
      </c>
      <c r="J9888" s="160">
        <v>9.0829999999999994E-2</v>
      </c>
      <c r="K9888" s="160" t="s">
        <v>25</v>
      </c>
      <c r="L9888" s="154" t="str">
        <f>IF(OpenLCAbasic!K9888="CTUh", "Fill in Manually",IF(OR(K9888="Unit", K9888=""), "", INDEX(LookUps!$E$5:$E$12, MATCH(OpenLCAbasic!K9888,LookUps!$D$5:$D$12,0))))</f>
        <v>Smog Formation Potential (SFP) - kg O3 eq</v>
      </c>
      <c r="M9888" s="154" t="str">
        <f t="shared" si="823"/>
        <v>Low_Medium_Low_Upgraded_Smog Formation Potential (SFP) - kg O3 eq_Biosolids composting; aerated static pile; wastewater treatment unit; at updated plant - US_Base_With Amendment_Aerated Static Pile</v>
      </c>
    </row>
    <row r="9889" spans="1:13" s="120" customFormat="1" x14ac:dyDescent="0.25">
      <c r="A9889" s="119"/>
      <c r="B9889" s="138" t="str">
        <f t="shared" si="824"/>
        <v>Aerated Static Pile</v>
      </c>
      <c r="C9889" s="138" t="str">
        <f t="shared" si="825"/>
        <v>Base_With Amendment</v>
      </c>
      <c r="D9889" s="138" t="str">
        <f t="shared" si="826"/>
        <v>Medium_Low</v>
      </c>
      <c r="E9889" s="138" t="str">
        <f t="shared" si="822"/>
        <v>Low</v>
      </c>
      <c r="F9889" s="138" t="str">
        <f t="shared" si="827"/>
        <v>Upgraded</v>
      </c>
      <c r="G9889" s="153"/>
      <c r="H9889" s="210">
        <v>0.10929999999999999</v>
      </c>
      <c r="I9889" s="160" t="s">
        <v>54</v>
      </c>
      <c r="J9889" s="160">
        <v>4.8070000000000002E-2</v>
      </c>
      <c r="K9889" s="160" t="s">
        <v>25</v>
      </c>
      <c r="L9889" s="154" t="str">
        <f>IF(OpenLCAbasic!K9889="CTUh", "Fill in Manually",IF(OR(K9889="Unit", K9889=""), "", INDEX(LookUps!$E$5:$E$12, MATCH(OpenLCAbasic!K9889,LookUps!$D$5:$D$12,0))))</f>
        <v>Smog Formation Potential (SFP) - kg O3 eq</v>
      </c>
      <c r="M9889" s="154" t="str">
        <f t="shared" si="823"/>
        <v>Low_Medium_Low_Upgraded_Smog Formation Potential (SFP) - kg O3 eq_Clear Cove Primary Clarification; wastewater treatment unit; at updated plant - US_Base_With Amendment_Aerated Static Pile</v>
      </c>
    </row>
    <row r="9890" spans="1:13" s="120" customFormat="1" x14ac:dyDescent="0.25">
      <c r="A9890" s="119"/>
      <c r="B9890" s="138" t="str">
        <f t="shared" si="824"/>
        <v>Aerated Static Pile</v>
      </c>
      <c r="C9890" s="138" t="str">
        <f t="shared" si="825"/>
        <v>Base_With Amendment</v>
      </c>
      <c r="D9890" s="138" t="str">
        <f t="shared" si="826"/>
        <v>Medium_Low</v>
      </c>
      <c r="E9890" s="138" t="str">
        <f t="shared" si="822"/>
        <v>Low</v>
      </c>
      <c r="F9890" s="138" t="str">
        <f t="shared" si="827"/>
        <v>Upgraded</v>
      </c>
      <c r="G9890" s="153"/>
      <c r="H9890" s="210">
        <v>9.5299999999999996E-2</v>
      </c>
      <c r="I9890" s="160" t="s">
        <v>58</v>
      </c>
      <c r="J9890" s="160">
        <v>4.1919999999999999E-2</v>
      </c>
      <c r="K9890" s="160" t="s">
        <v>25</v>
      </c>
      <c r="L9890" s="154" t="str">
        <f>IF(OpenLCAbasic!K9890="CTUh", "Fill in Manually",IF(OR(K9890="Unit", K9890=""), "", INDEX(LookUps!$E$5:$E$12, MATCH(OpenLCAbasic!K9890,LookUps!$D$5:$D$12,0))))</f>
        <v>Smog Formation Potential (SFP) - kg O3 eq</v>
      </c>
      <c r="M9890" s="154" t="str">
        <f t="shared" si="823"/>
        <v>Low_Medium_Low_Upgraded_Smog Formation Potential (SFP) - kg O3 eq_Pre-Anoxic &amp; Swing tank; wastewater treatment unit; at updated plant - US_Base_With Amendment_Aerated Static Pile</v>
      </c>
    </row>
    <row r="9891" spans="1:13" s="120" customFormat="1" x14ac:dyDescent="0.25">
      <c r="A9891" s="119"/>
      <c r="B9891" s="138" t="str">
        <f t="shared" si="824"/>
        <v>Aerated Static Pile</v>
      </c>
      <c r="C9891" s="138" t="str">
        <f t="shared" si="825"/>
        <v>Base_With Amendment</v>
      </c>
      <c r="D9891" s="138" t="str">
        <f t="shared" si="826"/>
        <v>Medium_Low</v>
      </c>
      <c r="E9891" s="138" t="str">
        <f t="shared" si="822"/>
        <v>Low</v>
      </c>
      <c r="F9891" s="138" t="str">
        <f t="shared" si="827"/>
        <v>Upgraded</v>
      </c>
      <c r="G9891" s="153"/>
      <c r="H9891" s="210">
        <v>7.5300000000000006E-2</v>
      </c>
      <c r="I9891" s="160" t="s">
        <v>53</v>
      </c>
      <c r="J9891" s="160">
        <v>3.313E-2</v>
      </c>
      <c r="K9891" s="160" t="s">
        <v>25</v>
      </c>
      <c r="L9891" s="154" t="str">
        <f>IF(OpenLCAbasic!K9891="CTUh", "Fill in Manually",IF(OR(K9891="Unit", K9891=""), "", INDEX(LookUps!$E$5:$E$12, MATCH(OpenLCAbasic!K9891,LookUps!$D$5:$D$12,0))))</f>
        <v>Smog Formation Potential (SFP) - kg O3 eq</v>
      </c>
      <c r="M9891" s="154" t="str">
        <f t="shared" si="823"/>
        <v>Low_Medium_Low_Upgraded_Smog Formation Potential (SFP) - kg O3 eq_Wet Well and Sump Station; wastewater treatment unit; at updated plant - US_Base_With Amendment_Aerated Static Pile</v>
      </c>
    </row>
    <row r="9892" spans="1:13" s="120" customFormat="1" x14ac:dyDescent="0.25">
      <c r="A9892" s="119"/>
      <c r="B9892" s="138" t="str">
        <f t="shared" si="824"/>
        <v>Aerated Static Pile</v>
      </c>
      <c r="C9892" s="138" t="str">
        <f t="shared" si="825"/>
        <v>Base_With Amendment</v>
      </c>
      <c r="D9892" s="138" t="str">
        <f t="shared" si="826"/>
        <v>Medium_Low</v>
      </c>
      <c r="E9892" s="138" t="str">
        <f t="shared" si="822"/>
        <v>Low</v>
      </c>
      <c r="F9892" s="138" t="str">
        <f t="shared" si="827"/>
        <v>Upgraded</v>
      </c>
      <c r="G9892" s="153"/>
      <c r="H9892" s="210">
        <v>6.9800000000000001E-2</v>
      </c>
      <c r="I9892" s="160" t="s">
        <v>167</v>
      </c>
      <c r="J9892" s="160">
        <v>3.0710000000000001E-2</v>
      </c>
      <c r="K9892" s="160" t="s">
        <v>25</v>
      </c>
      <c r="L9892" s="154" t="str">
        <f>IF(OpenLCAbasic!K9892="CTUh", "Fill in Manually",IF(OR(K9892="Unit", K9892=""), "", INDEX(LookUps!$E$5:$E$12, MATCH(OpenLCAbasic!K9892,LookUps!$D$5:$D$12,0))))</f>
        <v>Smog Formation Potential (SFP) - kg O3 eq</v>
      </c>
      <c r="M9892" s="154" t="str">
        <f t="shared" si="823"/>
        <v>Low_Medium_Low_Upgraded_Smog Formation Potential (SFP) - kg O3 eq_Waste Receiving and Holding; wastewater treatment unit; at updated plant - US_Base_With Amendment_Aerated Static Pile</v>
      </c>
    </row>
    <row r="9893" spans="1:13" s="120" customFormat="1" x14ac:dyDescent="0.25">
      <c r="A9893" s="119"/>
      <c r="B9893" s="138" t="str">
        <f t="shared" si="824"/>
        <v>Aerated Static Pile</v>
      </c>
      <c r="C9893" s="138" t="str">
        <f t="shared" si="825"/>
        <v>Base_With Amendment</v>
      </c>
      <c r="D9893" s="138" t="str">
        <f t="shared" si="826"/>
        <v>Medium_Low</v>
      </c>
      <c r="E9893" s="138" t="str">
        <f t="shared" si="822"/>
        <v>Low</v>
      </c>
      <c r="F9893" s="138" t="str">
        <f t="shared" si="827"/>
        <v>Upgraded</v>
      </c>
      <c r="G9893" s="153"/>
      <c r="H9893" s="210">
        <v>4.41E-2</v>
      </c>
      <c r="I9893" s="160" t="s">
        <v>147</v>
      </c>
      <c r="J9893" s="160">
        <v>1.9400000000000001E-2</v>
      </c>
      <c r="K9893" s="160" t="s">
        <v>25</v>
      </c>
      <c r="L9893" s="154" t="str">
        <f>IF(OpenLCAbasic!K9893="CTUh", "Fill in Manually",IF(OR(K9893="Unit", K9893=""), "", INDEX(LookUps!$E$5:$E$12, MATCH(OpenLCAbasic!K9893,LookUps!$D$5:$D$12,0))))</f>
        <v>Smog Formation Potential (SFP) - kg O3 eq</v>
      </c>
      <c r="M9893" s="154" t="str">
        <f t="shared" si="823"/>
        <v>Low_Medium_Low_Upgraded_Smog Formation Potential (SFP) - kg O3 eq_Influent Pump Station; wastewater treatment unit; at updated plant - US_Base_With Amendment_Aerated Static Pile</v>
      </c>
    </row>
    <row r="9894" spans="1:13" s="120" customFormat="1" x14ac:dyDescent="0.25">
      <c r="A9894" s="119"/>
      <c r="B9894" s="138" t="str">
        <f t="shared" si="824"/>
        <v>Aerated Static Pile</v>
      </c>
      <c r="C9894" s="138" t="str">
        <f t="shared" si="825"/>
        <v>Base_With Amendment</v>
      </c>
      <c r="D9894" s="138" t="str">
        <f t="shared" si="826"/>
        <v>Medium_Low</v>
      </c>
      <c r="E9894" s="138" t="str">
        <f t="shared" si="822"/>
        <v>Low</v>
      </c>
      <c r="F9894" s="138" t="str">
        <f t="shared" si="827"/>
        <v>Upgraded</v>
      </c>
      <c r="G9894" s="153"/>
      <c r="H9894" s="210">
        <v>2.7099999999999999E-2</v>
      </c>
      <c r="I9894" s="160" t="s">
        <v>128</v>
      </c>
      <c r="J9894" s="160">
        <v>1.192E-2</v>
      </c>
      <c r="K9894" s="160" t="s">
        <v>25</v>
      </c>
      <c r="L9894" s="154" t="str">
        <f>IF(OpenLCAbasic!K9894="CTUh", "Fill in Manually",IF(OR(K9894="Unit", K9894=""), "", INDEX(LookUps!$E$5:$E$12, MATCH(OpenLCAbasic!K9894,LookUps!$D$5:$D$12,0))))</f>
        <v>Smog Formation Potential (SFP) - kg O3 eq</v>
      </c>
      <c r="M9894" s="154" t="str">
        <f t="shared" si="823"/>
        <v>Low_Medium_Low_Upgraded_Smog Formation Potential (SFP) - kg O3 eq_Wastewater collection; operation and infrastructure; m3 wastewater_Base_With Amendment_Aerated Static Pile</v>
      </c>
    </row>
    <row r="9895" spans="1:13" s="120" customFormat="1" x14ac:dyDescent="0.25">
      <c r="A9895" s="119"/>
      <c r="B9895" s="138" t="str">
        <f t="shared" si="824"/>
        <v>Aerated Static Pile</v>
      </c>
      <c r="C9895" s="138" t="str">
        <f t="shared" si="825"/>
        <v>Base_With Amendment</v>
      </c>
      <c r="D9895" s="138" t="str">
        <f t="shared" si="826"/>
        <v>Medium_Low</v>
      </c>
      <c r="E9895" s="138" t="str">
        <f t="shared" si="822"/>
        <v>Low</v>
      </c>
      <c r="F9895" s="138" t="str">
        <f t="shared" si="827"/>
        <v>Upgraded</v>
      </c>
      <c r="G9895" s="153"/>
      <c r="H9895" s="210">
        <v>2.5999999999999999E-2</v>
      </c>
      <c r="I9895" s="160" t="s">
        <v>60</v>
      </c>
      <c r="J9895" s="160">
        <v>1.145E-2</v>
      </c>
      <c r="K9895" s="160" t="s">
        <v>25</v>
      </c>
      <c r="L9895" s="154" t="str">
        <f>IF(OpenLCAbasic!K9895="CTUh", "Fill in Manually",IF(OR(K9895="Unit", K9895=""), "", INDEX(LookUps!$E$5:$E$12, MATCH(OpenLCAbasic!K9895,LookUps!$D$5:$D$12,0))))</f>
        <v>Smog Formation Potential (SFP) - kg O3 eq</v>
      </c>
      <c r="M9895" s="154" t="str">
        <f t="shared" si="823"/>
        <v>Low_Medium_Low_Upgraded_Smog Formation Potential (SFP) - kg O3 eq_Belt filter press; wastewater treatment unit; at updated plant - US_Base_With Amendment_Aerated Static Pile</v>
      </c>
    </row>
    <row r="9896" spans="1:13" s="120" customFormat="1" x14ac:dyDescent="0.25">
      <c r="A9896" s="119"/>
      <c r="B9896" s="138" t="str">
        <f t="shared" si="824"/>
        <v>Aerated Static Pile</v>
      </c>
      <c r="C9896" s="138" t="str">
        <f t="shared" si="825"/>
        <v>Base_With Amendment</v>
      </c>
      <c r="D9896" s="138" t="str">
        <f t="shared" si="826"/>
        <v>Medium_Low</v>
      </c>
      <c r="E9896" s="138" t="str">
        <f t="shared" si="822"/>
        <v>Low</v>
      </c>
      <c r="F9896" s="138" t="str">
        <f t="shared" si="827"/>
        <v>Upgraded</v>
      </c>
      <c r="G9896" s="153"/>
      <c r="H9896" s="210">
        <v>1.5100000000000001E-2</v>
      </c>
      <c r="I9896" s="160" t="s">
        <v>57</v>
      </c>
      <c r="J9896" s="160">
        <v>6.6499999999999997E-3</v>
      </c>
      <c r="K9896" s="160" t="s">
        <v>25</v>
      </c>
      <c r="L9896" s="154" t="str">
        <f>IF(OpenLCAbasic!K9896="CTUh", "Fill in Manually",IF(OR(K9896="Unit", K9896=""), "", INDEX(LookUps!$E$5:$E$12, MATCH(OpenLCAbasic!K9896,LookUps!$D$5:$D$12,0))))</f>
        <v>Smog Formation Potential (SFP) - kg O3 eq</v>
      </c>
      <c r="M9896" s="154" t="str">
        <f t="shared" si="823"/>
        <v>Low_Medium_Low_Upgraded_Smog Formation Potential (SFP) - kg O3 eq_Gravity Belt Thickener; wastewater treatment unit; at updated plant - US_Base_With Amendment_Aerated Static Pile</v>
      </c>
    </row>
    <row r="9897" spans="1:13" s="120" customFormat="1" x14ac:dyDescent="0.25">
      <c r="A9897" s="119"/>
      <c r="B9897" s="138" t="str">
        <f t="shared" si="824"/>
        <v>Aerated Static Pile</v>
      </c>
      <c r="C9897" s="138" t="str">
        <f t="shared" si="825"/>
        <v>Base_With Amendment</v>
      </c>
      <c r="D9897" s="138" t="str">
        <f t="shared" si="826"/>
        <v>Medium_Low</v>
      </c>
      <c r="E9897" s="138" t="str">
        <f t="shared" ref="E9897:E9960" si="828">IF(ISNUMBER($J9897),"Low","")</f>
        <v>Low</v>
      </c>
      <c r="F9897" s="138" t="str">
        <f t="shared" si="827"/>
        <v>Upgraded</v>
      </c>
      <c r="G9897" s="153"/>
      <c r="H9897" s="210">
        <v>1.1299999999999999E-2</v>
      </c>
      <c r="I9897" s="160" t="s">
        <v>59</v>
      </c>
      <c r="J9897" s="160">
        <v>4.9699999999999996E-3</v>
      </c>
      <c r="K9897" s="160" t="s">
        <v>25</v>
      </c>
      <c r="L9897" s="154" t="str">
        <f>IF(OpenLCAbasic!K9897="CTUh", "Fill in Manually",IF(OR(K9897="Unit", K9897=""), "", INDEX(LookUps!$E$5:$E$12, MATCH(OpenLCAbasic!K9897,LookUps!$D$5:$D$12,0))))</f>
        <v>Smog Formation Potential (SFP) - kg O3 eq</v>
      </c>
      <c r="M9897" s="154" t="str">
        <f t="shared" si="823"/>
        <v>Low_Medium_Low_Upgraded_Smog Formation Potential (SFP) - kg O3 eq_Blend Tank; wastewater treatment unit; at updated plant - US_Base_With Amendment_Aerated Static Pile</v>
      </c>
    </row>
    <row r="9898" spans="1:13" s="120" customFormat="1" x14ac:dyDescent="0.25">
      <c r="A9898" s="119"/>
      <c r="B9898" s="138" t="str">
        <f t="shared" si="824"/>
        <v>Aerated Static Pile</v>
      </c>
      <c r="C9898" s="138" t="str">
        <f t="shared" si="825"/>
        <v>Base_With Amendment</v>
      </c>
      <c r="D9898" s="138" t="str">
        <f t="shared" si="826"/>
        <v>Medium_Low</v>
      </c>
      <c r="E9898" s="138" t="str">
        <f t="shared" si="828"/>
        <v>Low</v>
      </c>
      <c r="F9898" s="138" t="str">
        <f t="shared" si="827"/>
        <v>Upgraded</v>
      </c>
      <c r="G9898" s="153"/>
      <c r="H9898" s="210">
        <v>7.7000000000000002E-3</v>
      </c>
      <c r="I9898" s="160" t="s">
        <v>48</v>
      </c>
      <c r="J9898" s="160">
        <v>3.3899999999999998E-3</v>
      </c>
      <c r="K9898" s="160" t="s">
        <v>25</v>
      </c>
      <c r="L9898" s="154" t="str">
        <f>IF(OpenLCAbasic!K9898="CTUh", "Fill in Manually",IF(OR(K9898="Unit", K9898=""), "", INDEX(LookUps!$E$5:$E$12, MATCH(OpenLCAbasic!K9898,LookUps!$D$5:$D$12,0))))</f>
        <v>Smog Formation Potential (SFP) - kg O3 eq</v>
      </c>
      <c r="M9898" s="154" t="str">
        <f t="shared" si="823"/>
        <v>Low_Medium_Low_Upgraded_Smog Formation Potential (SFP) - kg O3 eq_Effluent release; wastewater treatment unit; at surface water; m3 wastewater - US_Base_With Amendment_Aerated Static Pile</v>
      </c>
    </row>
    <row r="9899" spans="1:13" s="120" customFormat="1" x14ac:dyDescent="0.25">
      <c r="A9899" s="119"/>
      <c r="B9899" s="138" t="str">
        <f t="shared" si="824"/>
        <v>Aerated Static Pile</v>
      </c>
      <c r="C9899" s="138" t="str">
        <f t="shared" si="825"/>
        <v>Base_With Amendment</v>
      </c>
      <c r="D9899" s="138" t="str">
        <f t="shared" si="826"/>
        <v>Medium_Low</v>
      </c>
      <c r="E9899" s="138" t="str">
        <f t="shared" si="828"/>
        <v>Low</v>
      </c>
      <c r="F9899" s="138" t="str">
        <f t="shared" si="827"/>
        <v>Upgraded</v>
      </c>
      <c r="G9899" s="153"/>
      <c r="H9899" s="210">
        <v>5.5999999999999999E-3</v>
      </c>
      <c r="I9899" s="160" t="s">
        <v>168</v>
      </c>
      <c r="J9899" s="160">
        <v>2.4599999999999999E-3</v>
      </c>
      <c r="K9899" s="160" t="s">
        <v>25</v>
      </c>
      <c r="L9899" s="154" t="str">
        <f>IF(OpenLCAbasic!K9899="CTUh", "Fill in Manually",IF(OR(K9899="Unit", K9899=""), "", INDEX(LookUps!$E$5:$E$12, MATCH(OpenLCAbasic!K9899,LookUps!$D$5:$D$12,0))))</f>
        <v>Smog Formation Potential (SFP) - kg O3 eq</v>
      </c>
      <c r="M9899" s="154" t="str">
        <f t="shared" si="823"/>
        <v>Low_Medium_Low_Upgraded_Smog Formation Potential (SFP) - kg O3 eq_ClearCove SCP; wastewater treatment unit; at updated plant - US_Base_With Amendment_Aerated Static Pile</v>
      </c>
    </row>
    <row r="9900" spans="1:13" s="120" customFormat="1" x14ac:dyDescent="0.25">
      <c r="A9900" s="119"/>
      <c r="B9900" s="138" t="str">
        <f t="shared" si="824"/>
        <v>Aerated Static Pile</v>
      </c>
      <c r="C9900" s="138" t="str">
        <f t="shared" si="825"/>
        <v>Base_With Amendment</v>
      </c>
      <c r="D9900" s="138" t="str">
        <f t="shared" si="826"/>
        <v>Medium_Low</v>
      </c>
      <c r="E9900" s="138" t="str">
        <f t="shared" si="828"/>
        <v>Low</v>
      </c>
      <c r="F9900" s="138" t="str">
        <f t="shared" si="827"/>
        <v>Upgraded</v>
      </c>
      <c r="G9900" s="153"/>
      <c r="H9900" s="210">
        <v>1.1999999999999999E-3</v>
      </c>
      <c r="I9900" s="160" t="s">
        <v>148</v>
      </c>
      <c r="J9900" s="160">
        <v>5.4000000000000001E-4</v>
      </c>
      <c r="K9900" s="160" t="s">
        <v>25</v>
      </c>
      <c r="L9900" s="154" t="str">
        <f>IF(OpenLCAbasic!K9900="CTUh", "Fill in Manually",IF(OR(K9900="Unit", K9900=""), "", INDEX(LookUps!$E$5:$E$12, MATCH(OpenLCAbasic!K9900,LookUps!$D$5:$D$12,0))))</f>
        <v>Smog Formation Potential (SFP) - kg O3 eq</v>
      </c>
      <c r="M9900" s="154" t="str">
        <f t="shared" si="823"/>
        <v>Low_Medium_Low_Upgraded_Smog Formation Potential (SFP) - kg O3 eq_Control Building; at upgraded wastewater treatment plant - US_Base_With Amendment_Aerated Static Pile</v>
      </c>
    </row>
    <row r="9901" spans="1:13" s="120" customFormat="1" x14ac:dyDescent="0.25">
      <c r="A9901" s="119"/>
      <c r="B9901" s="138" t="str">
        <f t="shared" si="824"/>
        <v>Aerated Static Pile</v>
      </c>
      <c r="C9901" s="138" t="str">
        <f t="shared" si="825"/>
        <v>Base_With Amendment</v>
      </c>
      <c r="D9901" s="138" t="str">
        <f t="shared" si="826"/>
        <v>Medium_Low</v>
      </c>
      <c r="E9901" s="138" t="str">
        <f t="shared" si="828"/>
        <v>Low</v>
      </c>
      <c r="F9901" s="138" t="str">
        <f t="shared" si="827"/>
        <v>Upgraded</v>
      </c>
      <c r="G9901" s="153"/>
      <c r="H9901" s="210">
        <v>-1.01E-2</v>
      </c>
      <c r="I9901" s="160" t="s">
        <v>62</v>
      </c>
      <c r="J9901" s="160">
        <v>-4.4400000000000004E-3</v>
      </c>
      <c r="K9901" s="160" t="s">
        <v>25</v>
      </c>
      <c r="L9901" s="154" t="str">
        <f>IF(OpenLCAbasic!K9901="CTUh", "Fill in Manually",IF(OR(K9901="Unit", K9901=""), "", INDEX(LookUps!$E$5:$E$12, MATCH(OpenLCAbasic!K9901,LookUps!$D$5:$D$12,0))))</f>
        <v>Smog Formation Potential (SFP) - kg O3 eq</v>
      </c>
      <c r="M9901" s="154" t="str">
        <f t="shared" si="823"/>
        <v>Low_Medium_Low_Upgraded_Smog Formation Potential (SFP) - kg O3 eq_Land application of compost; wastewater treatment unit; at updated plant - US_Base_With Amendment_Aerated Static Pile</v>
      </c>
    </row>
    <row r="9902" spans="1:13" s="120" customFormat="1" x14ac:dyDescent="0.25">
      <c r="A9902" s="119"/>
      <c r="B9902" s="138" t="str">
        <f t="shared" si="824"/>
        <v>Aerated Static Pile</v>
      </c>
      <c r="C9902" s="138" t="str">
        <f t="shared" si="825"/>
        <v>Base_With Amendment</v>
      </c>
      <c r="D9902" s="138" t="str">
        <f t="shared" si="826"/>
        <v>Medium_Low</v>
      </c>
      <c r="E9902" s="138" t="str">
        <f t="shared" si="828"/>
        <v>Low</v>
      </c>
      <c r="F9902" s="138" t="str">
        <f t="shared" si="827"/>
        <v>Upgraded</v>
      </c>
      <c r="G9902" s="153"/>
      <c r="H9902" s="210">
        <v>-6.0699999999999997E-2</v>
      </c>
      <c r="I9902" s="160" t="s">
        <v>149</v>
      </c>
      <c r="J9902" s="160">
        <v>-2.673E-2</v>
      </c>
      <c r="K9902" s="160" t="s">
        <v>25</v>
      </c>
      <c r="L9902" s="154" t="str">
        <f>IF(OpenLCAbasic!K9902="CTUh", "Fill in Manually",IF(OR(K9902="Unit", K9902=""), "", INDEX(LookUps!$E$5:$E$12, MATCH(OpenLCAbasic!K9902,LookUps!$D$5:$D$12,0))))</f>
        <v>Smog Formation Potential (SFP) - kg O3 eq</v>
      </c>
      <c r="M9902" s="154" t="str">
        <f t="shared" si="823"/>
        <v>Low_Medium_Low_Upgraded_Smog Formation Potential (SFP) - kg O3 eq_Anaerobic Digestion; wastewater treatment unit; at updated plant - US_Base_With Amendment_Aerated Static Pile</v>
      </c>
    </row>
    <row r="9903" spans="1:13" s="120" customFormat="1" x14ac:dyDescent="0.25">
      <c r="A9903" s="119"/>
      <c r="B9903" s="138" t="str">
        <f t="shared" si="824"/>
        <v/>
      </c>
      <c r="C9903" s="138" t="str">
        <f t="shared" si="825"/>
        <v/>
      </c>
      <c r="D9903" s="138" t="str">
        <f t="shared" si="826"/>
        <v/>
      </c>
      <c r="E9903" s="138" t="str">
        <f t="shared" si="828"/>
        <v/>
      </c>
      <c r="F9903" s="138" t="str">
        <f t="shared" si="827"/>
        <v/>
      </c>
      <c r="G9903" s="153" t="s">
        <v>51</v>
      </c>
      <c r="H9903" s="160"/>
      <c r="I9903" s="160" t="s">
        <v>47</v>
      </c>
      <c r="J9903" s="160" t="s">
        <v>52</v>
      </c>
      <c r="K9903" s="160" t="s">
        <v>27</v>
      </c>
      <c r="L9903" s="154" t="str">
        <f>IF(OpenLCAbasic!K9903="CTUh", "Fill in Manually",IF(OR(K9903="Unit", K9903=""), "", INDEX(LookUps!$E$5:$E$12, MATCH(OpenLCAbasic!K9903,LookUps!$D$5:$D$12,0))))</f>
        <v/>
      </c>
      <c r="M9903" s="154" t="str">
        <f t="shared" si="823"/>
        <v>____Process__</v>
      </c>
    </row>
    <row r="9904" spans="1:13" s="120" customFormat="1" x14ac:dyDescent="0.25">
      <c r="A9904" s="119"/>
      <c r="B9904" s="138" t="str">
        <f t="shared" si="824"/>
        <v>Aerated Static Pile</v>
      </c>
      <c r="C9904" s="138" t="str">
        <f t="shared" si="825"/>
        <v>Base_With Amendment</v>
      </c>
      <c r="D9904" s="138" t="str">
        <f t="shared" si="826"/>
        <v>Medium_Low</v>
      </c>
      <c r="E9904" s="138" t="str">
        <f t="shared" si="828"/>
        <v>Low</v>
      </c>
      <c r="F9904" s="138" t="str">
        <f t="shared" si="827"/>
        <v>Upgraded</v>
      </c>
      <c r="G9904" s="153"/>
      <c r="H9904" s="210">
        <v>0.50270000000000004</v>
      </c>
      <c r="I9904" s="160" t="s">
        <v>167</v>
      </c>
      <c r="J9904" s="160">
        <v>2.7999999999999998E-4</v>
      </c>
      <c r="K9904" s="160" t="s">
        <v>26</v>
      </c>
      <c r="L9904" s="154" t="str">
        <f>IF(OpenLCAbasic!K9904="CTUh", "Fill in Manually",IF(OR(K9904="Unit", K9904=""), "", INDEX(LookUps!$E$5:$E$12, MATCH(OpenLCAbasic!K9904,LookUps!$D$5:$D$12,0))))</f>
        <v>Water Use (WU) - m3 H2O</v>
      </c>
      <c r="M9904" s="154" t="str">
        <f t="shared" si="823"/>
        <v>Low_Medium_Low_Upgraded_Water Use (WU) - m3 H2O_Waste Receiving and Holding; wastewater treatment unit; at updated plant - US_Base_With Amendment_Aerated Static Pile</v>
      </c>
    </row>
    <row r="9905" spans="1:13" s="120" customFormat="1" x14ac:dyDescent="0.25">
      <c r="A9905" s="119"/>
      <c r="B9905" s="138" t="str">
        <f t="shared" si="824"/>
        <v>Aerated Static Pile</v>
      </c>
      <c r="C9905" s="138" t="str">
        <f t="shared" si="825"/>
        <v>Base_With Amendment</v>
      </c>
      <c r="D9905" s="138" t="str">
        <f t="shared" si="826"/>
        <v>Medium_Low</v>
      </c>
      <c r="E9905" s="138" t="str">
        <f t="shared" si="828"/>
        <v>Low</v>
      </c>
      <c r="F9905" s="138" t="str">
        <f t="shared" si="827"/>
        <v>Upgraded</v>
      </c>
      <c r="G9905" s="153"/>
      <c r="H9905" s="210">
        <v>0.3281</v>
      </c>
      <c r="I9905" s="160" t="s">
        <v>147</v>
      </c>
      <c r="J9905" s="160">
        <v>1.8000000000000001E-4</v>
      </c>
      <c r="K9905" s="160" t="s">
        <v>26</v>
      </c>
      <c r="L9905" s="154" t="str">
        <f>IF(OpenLCAbasic!K9905="CTUh", "Fill in Manually",IF(OR(K9905="Unit", K9905=""), "", INDEX(LookUps!$E$5:$E$12, MATCH(OpenLCAbasic!K9905,LookUps!$D$5:$D$12,0))))</f>
        <v>Water Use (WU) - m3 H2O</v>
      </c>
      <c r="M9905" s="154" t="str">
        <f t="shared" si="823"/>
        <v>Low_Medium_Low_Upgraded_Water Use (WU) - m3 H2O_Influent Pump Station; wastewater treatment unit; at updated plant - US_Base_With Amendment_Aerated Static Pile</v>
      </c>
    </row>
    <row r="9906" spans="1:13" s="120" customFormat="1" x14ac:dyDescent="0.25">
      <c r="A9906" s="119"/>
      <c r="B9906" s="138" t="str">
        <f t="shared" si="824"/>
        <v>Aerated Static Pile</v>
      </c>
      <c r="C9906" s="138" t="str">
        <f t="shared" si="825"/>
        <v>Base_With Amendment</v>
      </c>
      <c r="D9906" s="138" t="str">
        <f t="shared" si="826"/>
        <v>Medium_Low</v>
      </c>
      <c r="E9906" s="138" t="str">
        <f t="shared" si="828"/>
        <v>Low</v>
      </c>
      <c r="F9906" s="138" t="str">
        <f t="shared" si="827"/>
        <v>Upgraded</v>
      </c>
      <c r="G9906" s="153"/>
      <c r="H9906" s="210">
        <v>0.32019999999999998</v>
      </c>
      <c r="I9906" s="160" t="s">
        <v>54</v>
      </c>
      <c r="J9906" s="160">
        <v>1.8000000000000001E-4</v>
      </c>
      <c r="K9906" s="160" t="s">
        <v>26</v>
      </c>
      <c r="L9906" s="154" t="str">
        <f>IF(OpenLCAbasic!K9906="CTUh", "Fill in Manually",IF(OR(K9906="Unit", K9906=""), "", INDEX(LookUps!$E$5:$E$12, MATCH(OpenLCAbasic!K9906,LookUps!$D$5:$D$12,0))))</f>
        <v>Water Use (WU) - m3 H2O</v>
      </c>
      <c r="M9906" s="154" t="str">
        <f t="shared" si="823"/>
        <v>Low_Medium_Low_Upgraded_Water Use (WU) - m3 H2O_Clear Cove Primary Clarification; wastewater treatment unit; at updated plant - US_Base_With Amendment_Aerated Static Pile</v>
      </c>
    </row>
    <row r="9907" spans="1:13" s="120" customFormat="1" x14ac:dyDescent="0.25">
      <c r="A9907" s="119"/>
      <c r="B9907" s="138" t="str">
        <f t="shared" si="824"/>
        <v>Aerated Static Pile</v>
      </c>
      <c r="C9907" s="138" t="str">
        <f t="shared" si="825"/>
        <v>Base_With Amendment</v>
      </c>
      <c r="D9907" s="138" t="str">
        <f t="shared" si="826"/>
        <v>Medium_Low</v>
      </c>
      <c r="E9907" s="138" t="str">
        <f t="shared" si="828"/>
        <v>Low</v>
      </c>
      <c r="F9907" s="138" t="str">
        <f t="shared" si="827"/>
        <v>Upgraded</v>
      </c>
      <c r="G9907" s="153"/>
      <c r="H9907" s="210">
        <v>0.29039999999999999</v>
      </c>
      <c r="I9907" s="160" t="s">
        <v>55</v>
      </c>
      <c r="J9907" s="160">
        <v>1.6000000000000001E-4</v>
      </c>
      <c r="K9907" s="160" t="s">
        <v>26</v>
      </c>
      <c r="L9907" s="154" t="str">
        <f>IF(OpenLCAbasic!K9907="CTUh", "Fill in Manually",IF(OR(K9907="Unit", K9907=""), "", INDEX(LookUps!$E$5:$E$12, MATCH(OpenLCAbasic!K9907,LookUps!$D$5:$D$12,0))))</f>
        <v>Water Use (WU) - m3 H2O</v>
      </c>
      <c r="M9907" s="154" t="str">
        <f t="shared" ref="M9907:M9970" si="829">CONCATENATE(E9907,"_",D9907,"_",F9907,"_",L9907, "_",I9907,"_", C9907,"_", B9907)</f>
        <v>Low_Medium_Low_Upgraded_Water Use (WU) - m3 H2O_Aeration Tanks; wastewater treatment unit; at updated plant - US_Base_With Amendment_Aerated Static Pile</v>
      </c>
    </row>
    <row r="9908" spans="1:13" s="120" customFormat="1" x14ac:dyDescent="0.25">
      <c r="A9908" s="119"/>
      <c r="B9908" s="138" t="str">
        <f t="shared" si="824"/>
        <v>Aerated Static Pile</v>
      </c>
      <c r="C9908" s="138" t="str">
        <f t="shared" si="825"/>
        <v>Base_With Amendment</v>
      </c>
      <c r="D9908" s="138" t="str">
        <f t="shared" si="826"/>
        <v>Medium_Low</v>
      </c>
      <c r="E9908" s="138" t="str">
        <f t="shared" si="828"/>
        <v>Low</v>
      </c>
      <c r="F9908" s="138" t="str">
        <f t="shared" si="827"/>
        <v>Upgraded</v>
      </c>
      <c r="G9908" s="153"/>
      <c r="H9908" s="210">
        <v>0.2646</v>
      </c>
      <c r="I9908" s="160" t="s">
        <v>148</v>
      </c>
      <c r="J9908" s="160">
        <v>1.4999999999999999E-4</v>
      </c>
      <c r="K9908" s="160" t="s">
        <v>26</v>
      </c>
      <c r="L9908" s="154" t="str">
        <f>IF(OpenLCAbasic!K9908="CTUh", "Fill in Manually",IF(OR(K9908="Unit", K9908=""), "", INDEX(LookUps!$E$5:$E$12, MATCH(OpenLCAbasic!K9908,LookUps!$D$5:$D$12,0))))</f>
        <v>Water Use (WU) - m3 H2O</v>
      </c>
      <c r="M9908" s="154" t="str">
        <f t="shared" si="829"/>
        <v>Low_Medium_Low_Upgraded_Water Use (WU) - m3 H2O_Control Building; at upgraded wastewater treatment plant - US_Base_With Amendment_Aerated Static Pile</v>
      </c>
    </row>
    <row r="9909" spans="1:13" s="120" customFormat="1" x14ac:dyDescent="0.25">
      <c r="A9909" s="119"/>
      <c r="B9909" s="138" t="str">
        <f t="shared" si="824"/>
        <v>Aerated Static Pile</v>
      </c>
      <c r="C9909" s="138" t="str">
        <f t="shared" si="825"/>
        <v>Base_With Amendment</v>
      </c>
      <c r="D9909" s="138" t="str">
        <f t="shared" si="826"/>
        <v>Medium_Low</v>
      </c>
      <c r="E9909" s="138" t="str">
        <f t="shared" si="828"/>
        <v>Low</v>
      </c>
      <c r="F9909" s="138" t="str">
        <f t="shared" si="827"/>
        <v>Upgraded</v>
      </c>
      <c r="G9909" s="153"/>
      <c r="H9909" s="210">
        <v>0.1229</v>
      </c>
      <c r="I9909" s="160" t="s">
        <v>48</v>
      </c>
      <c r="J9909" s="211">
        <v>6.8836400000000004E-5</v>
      </c>
      <c r="K9909" s="160" t="s">
        <v>26</v>
      </c>
      <c r="L9909" s="154" t="str">
        <f>IF(OpenLCAbasic!K9909="CTUh", "Fill in Manually",IF(OR(K9909="Unit", K9909=""), "", INDEX(LookUps!$E$5:$E$12, MATCH(OpenLCAbasic!K9909,LookUps!$D$5:$D$12,0))))</f>
        <v>Water Use (WU) - m3 H2O</v>
      </c>
      <c r="M9909" s="154" t="str">
        <f t="shared" si="829"/>
        <v>Low_Medium_Low_Upgraded_Water Use (WU) - m3 H2O_Effluent release; wastewater treatment unit; at surface water; m3 wastewater - US_Base_With Amendment_Aerated Static Pile</v>
      </c>
    </row>
    <row r="9910" spans="1:13" s="120" customFormat="1" x14ac:dyDescent="0.25">
      <c r="A9910" s="119"/>
      <c r="B9910" s="138" t="str">
        <f t="shared" si="824"/>
        <v>Aerated Static Pile</v>
      </c>
      <c r="C9910" s="138" t="str">
        <f t="shared" si="825"/>
        <v>Base_With Amendment</v>
      </c>
      <c r="D9910" s="138" t="str">
        <f t="shared" si="826"/>
        <v>Medium_Low</v>
      </c>
      <c r="E9910" s="138" t="str">
        <f t="shared" si="828"/>
        <v>Low</v>
      </c>
      <c r="F9910" s="138" t="str">
        <f t="shared" si="827"/>
        <v>Upgraded</v>
      </c>
      <c r="G9910" s="153"/>
      <c r="H9910" s="210">
        <v>7.7200000000000005E-2</v>
      </c>
      <c r="I9910" s="160" t="s">
        <v>58</v>
      </c>
      <c r="J9910" s="211">
        <v>4.3235300000000003E-5</v>
      </c>
      <c r="K9910" s="160" t="s">
        <v>26</v>
      </c>
      <c r="L9910" s="154" t="str">
        <f>IF(OpenLCAbasic!K9910="CTUh", "Fill in Manually",IF(OR(K9910="Unit", K9910=""), "", INDEX(LookUps!$E$5:$E$12, MATCH(OpenLCAbasic!K9910,LookUps!$D$5:$D$12,0))))</f>
        <v>Water Use (WU) - m3 H2O</v>
      </c>
      <c r="M9910" s="154" t="str">
        <f t="shared" si="829"/>
        <v>Low_Medium_Low_Upgraded_Water Use (WU) - m3 H2O_Pre-Anoxic &amp; Swing tank; wastewater treatment unit; at updated plant - US_Base_With Amendment_Aerated Static Pile</v>
      </c>
    </row>
    <row r="9911" spans="1:13" s="120" customFormat="1" x14ac:dyDescent="0.25">
      <c r="A9911" s="119"/>
      <c r="B9911" s="138" t="str">
        <f t="shared" si="824"/>
        <v>Aerated Static Pile</v>
      </c>
      <c r="C9911" s="138" t="str">
        <f t="shared" si="825"/>
        <v>Base_With Amendment</v>
      </c>
      <c r="D9911" s="138" t="str">
        <f t="shared" si="826"/>
        <v>Medium_Low</v>
      </c>
      <c r="E9911" s="138" t="str">
        <f t="shared" si="828"/>
        <v>Low</v>
      </c>
      <c r="F9911" s="138" t="str">
        <f t="shared" si="827"/>
        <v>Upgraded</v>
      </c>
      <c r="G9911" s="153"/>
      <c r="H9911" s="210">
        <v>6.0999999999999999E-2</v>
      </c>
      <c r="I9911" s="160" t="s">
        <v>60</v>
      </c>
      <c r="J9911" s="211">
        <v>3.4196200000000003E-5</v>
      </c>
      <c r="K9911" s="160" t="s">
        <v>26</v>
      </c>
      <c r="L9911" s="154" t="str">
        <f>IF(OpenLCAbasic!K9911="CTUh", "Fill in Manually",IF(OR(K9911="Unit", K9911=""), "", INDEX(LookUps!$E$5:$E$12, MATCH(OpenLCAbasic!K9911,LookUps!$D$5:$D$12,0))))</f>
        <v>Water Use (WU) - m3 H2O</v>
      </c>
      <c r="M9911" s="154" t="str">
        <f t="shared" si="829"/>
        <v>Low_Medium_Low_Upgraded_Water Use (WU) - m3 H2O_Belt filter press; wastewater treatment unit; at updated plant - US_Base_With Amendment_Aerated Static Pile</v>
      </c>
    </row>
    <row r="9912" spans="1:13" s="120" customFormat="1" x14ac:dyDescent="0.25">
      <c r="A9912" s="119"/>
      <c r="B9912" s="138" t="str">
        <f t="shared" si="824"/>
        <v>Aerated Static Pile</v>
      </c>
      <c r="C9912" s="138" t="str">
        <f t="shared" si="825"/>
        <v>Base_With Amendment</v>
      </c>
      <c r="D9912" s="138" t="str">
        <f t="shared" si="826"/>
        <v>Medium_Low</v>
      </c>
      <c r="E9912" s="138" t="str">
        <f t="shared" si="828"/>
        <v>Low</v>
      </c>
      <c r="F9912" s="138" t="str">
        <f t="shared" si="827"/>
        <v>Upgraded</v>
      </c>
      <c r="G9912" s="153"/>
      <c r="H9912" s="210">
        <v>5.4300000000000001E-2</v>
      </c>
      <c r="I9912" s="160" t="s">
        <v>57</v>
      </c>
      <c r="J9912" s="211">
        <v>3.0408100000000001E-5</v>
      </c>
      <c r="K9912" s="160" t="s">
        <v>26</v>
      </c>
      <c r="L9912" s="154" t="str">
        <f>IF(OpenLCAbasic!K9912="CTUh", "Fill in Manually",IF(OR(K9912="Unit", K9912=""), "", INDEX(LookUps!$E$5:$E$12, MATCH(OpenLCAbasic!K9912,LookUps!$D$5:$D$12,0))))</f>
        <v>Water Use (WU) - m3 H2O</v>
      </c>
      <c r="M9912" s="154" t="str">
        <f t="shared" si="829"/>
        <v>Low_Medium_Low_Upgraded_Water Use (WU) - m3 H2O_Gravity Belt Thickener; wastewater treatment unit; at updated plant - US_Base_With Amendment_Aerated Static Pile</v>
      </c>
    </row>
    <row r="9913" spans="1:13" s="120" customFormat="1" x14ac:dyDescent="0.25">
      <c r="A9913" s="119"/>
      <c r="B9913" s="138" t="str">
        <f t="shared" ref="B9913:B9976" si="830">IF(F9913="Legacy","n.a.",IF(F9913="","","Aerated Static Pile"))</f>
        <v>Aerated Static Pile</v>
      </c>
      <c r="C9913" s="138" t="str">
        <f t="shared" ref="C9913:C9976" si="831">IF(ISNUMBER($J9913),"Base_With Amendment","")</f>
        <v>Base_With Amendment</v>
      </c>
      <c r="D9913" s="138" t="str">
        <f t="shared" ref="D9913:D9919" si="832">IF(ISNUMBER($J9913),"Medium_Low","")</f>
        <v>Medium_Low</v>
      </c>
      <c r="E9913" s="138" t="str">
        <f t="shared" si="828"/>
        <v>Low</v>
      </c>
      <c r="F9913" s="138" t="str">
        <f t="shared" ref="F9913:F9976" si="833">IF(ISNUMBER(J9913),"Upgraded","")</f>
        <v>Upgraded</v>
      </c>
      <c r="G9913" s="153"/>
      <c r="H9913" s="210">
        <v>5.33E-2</v>
      </c>
      <c r="I9913" s="160" t="s">
        <v>435</v>
      </c>
      <c r="J9913" s="211">
        <v>2.9879400000000001E-5</v>
      </c>
      <c r="K9913" s="160" t="s">
        <v>26</v>
      </c>
      <c r="L9913" s="154" t="str">
        <f>IF(OpenLCAbasic!K9913="CTUh", "Fill in Manually",IF(OR(K9913="Unit", K9913=""), "", INDEX(LookUps!$E$5:$E$12, MATCH(OpenLCAbasic!K9913,LookUps!$D$5:$D$12,0))))</f>
        <v>Water Use (WU) - m3 H2O</v>
      </c>
      <c r="M9913" s="154" t="str">
        <f t="shared" si="829"/>
        <v>Low_Medium_Low_Upgraded_Water Use (WU) - m3 H2O_Biosolids composting; aerated static pile; wastewater treatment unit; at updated plant - US_Base_With Amendment_Aerated Static Pile</v>
      </c>
    </row>
    <row r="9914" spans="1:13" s="120" customFormat="1" x14ac:dyDescent="0.25">
      <c r="A9914" s="119"/>
      <c r="B9914" s="138" t="str">
        <f t="shared" si="830"/>
        <v>Aerated Static Pile</v>
      </c>
      <c r="C9914" s="138" t="str">
        <f t="shared" si="831"/>
        <v>Base_With Amendment</v>
      </c>
      <c r="D9914" s="138" t="str">
        <f t="shared" si="832"/>
        <v>Medium_Low</v>
      </c>
      <c r="E9914" s="138" t="str">
        <f t="shared" si="828"/>
        <v>Low</v>
      </c>
      <c r="F9914" s="138" t="str">
        <f t="shared" si="833"/>
        <v>Upgraded</v>
      </c>
      <c r="G9914" s="153"/>
      <c r="H9914" s="210">
        <v>4.8800000000000003E-2</v>
      </c>
      <c r="I9914" s="160" t="s">
        <v>149</v>
      </c>
      <c r="J9914" s="211">
        <v>2.7368600000000001E-5</v>
      </c>
      <c r="K9914" s="160" t="s">
        <v>26</v>
      </c>
      <c r="L9914" s="154" t="str">
        <f>IF(OpenLCAbasic!K9914="CTUh", "Fill in Manually",IF(OR(K9914="Unit", K9914=""), "", INDEX(LookUps!$E$5:$E$12, MATCH(OpenLCAbasic!K9914,LookUps!$D$5:$D$12,0))))</f>
        <v>Water Use (WU) - m3 H2O</v>
      </c>
      <c r="M9914" s="154" t="str">
        <f t="shared" si="829"/>
        <v>Low_Medium_Low_Upgraded_Water Use (WU) - m3 H2O_Anaerobic Digestion; wastewater treatment unit; at updated plant - US_Base_With Amendment_Aerated Static Pile</v>
      </c>
    </row>
    <row r="9915" spans="1:13" s="120" customFormat="1" x14ac:dyDescent="0.25">
      <c r="A9915" s="119"/>
      <c r="B9915" s="138" t="str">
        <f t="shared" si="830"/>
        <v>Aerated Static Pile</v>
      </c>
      <c r="C9915" s="138" t="str">
        <f t="shared" si="831"/>
        <v>Base_With Amendment</v>
      </c>
      <c r="D9915" s="138" t="str">
        <f t="shared" si="832"/>
        <v>Medium_Low</v>
      </c>
      <c r="E9915" s="138" t="str">
        <f t="shared" si="828"/>
        <v>Low</v>
      </c>
      <c r="F9915" s="138" t="str">
        <f t="shared" si="833"/>
        <v>Upgraded</v>
      </c>
      <c r="G9915" s="153"/>
      <c r="H9915" s="210">
        <v>3.1199999999999999E-2</v>
      </c>
      <c r="I9915" s="160" t="s">
        <v>53</v>
      </c>
      <c r="J9915" s="211">
        <v>1.75069E-5</v>
      </c>
      <c r="K9915" s="160" t="s">
        <v>26</v>
      </c>
      <c r="L9915" s="154" t="str">
        <f>IF(OpenLCAbasic!K9915="CTUh", "Fill in Manually",IF(OR(K9915="Unit", K9915=""), "", INDEX(LookUps!$E$5:$E$12, MATCH(OpenLCAbasic!K9915,LookUps!$D$5:$D$12,0))))</f>
        <v>Water Use (WU) - m3 H2O</v>
      </c>
      <c r="M9915" s="154" t="str">
        <f t="shared" si="829"/>
        <v>Low_Medium_Low_Upgraded_Water Use (WU) - m3 H2O_Wet Well and Sump Station; wastewater treatment unit; at updated plant - US_Base_With Amendment_Aerated Static Pile</v>
      </c>
    </row>
    <row r="9916" spans="1:13" s="120" customFormat="1" x14ac:dyDescent="0.25">
      <c r="A9916" s="119"/>
      <c r="B9916" s="138" t="str">
        <f t="shared" si="830"/>
        <v>Aerated Static Pile</v>
      </c>
      <c r="C9916" s="138" t="str">
        <f t="shared" si="831"/>
        <v>Base_With Amendment</v>
      </c>
      <c r="D9916" s="138" t="str">
        <f t="shared" si="832"/>
        <v>Medium_Low</v>
      </c>
      <c r="E9916" s="138" t="str">
        <f t="shared" si="828"/>
        <v>Low</v>
      </c>
      <c r="F9916" s="138" t="str">
        <f t="shared" si="833"/>
        <v>Upgraded</v>
      </c>
      <c r="G9916" s="153"/>
      <c r="H9916" s="210">
        <v>1.2500000000000001E-2</v>
      </c>
      <c r="I9916" s="160" t="s">
        <v>59</v>
      </c>
      <c r="J9916" s="211">
        <v>7.0179500000000003E-6</v>
      </c>
      <c r="K9916" s="160" t="s">
        <v>26</v>
      </c>
      <c r="L9916" s="154" t="str">
        <f>IF(OpenLCAbasic!K9916="CTUh", "Fill in Manually",IF(OR(K9916="Unit", K9916=""), "", INDEX(LookUps!$E$5:$E$12, MATCH(OpenLCAbasic!K9916,LookUps!$D$5:$D$12,0))))</f>
        <v>Water Use (WU) - m3 H2O</v>
      </c>
      <c r="M9916" s="154" t="str">
        <f t="shared" si="829"/>
        <v>Low_Medium_Low_Upgraded_Water Use (WU) - m3 H2O_Blend Tank; wastewater treatment unit; at updated plant - US_Base_With Amendment_Aerated Static Pile</v>
      </c>
    </row>
    <row r="9917" spans="1:13" s="120" customFormat="1" x14ac:dyDescent="0.25">
      <c r="A9917" s="119"/>
      <c r="B9917" s="138" t="str">
        <f t="shared" si="830"/>
        <v>Aerated Static Pile</v>
      </c>
      <c r="C9917" s="138" t="str">
        <f t="shared" si="831"/>
        <v>Base_With Amendment</v>
      </c>
      <c r="D9917" s="138" t="str">
        <f t="shared" si="832"/>
        <v>Medium_Low</v>
      </c>
      <c r="E9917" s="138" t="str">
        <f t="shared" si="828"/>
        <v>Low</v>
      </c>
      <c r="F9917" s="138" t="str">
        <f t="shared" si="833"/>
        <v>Upgraded</v>
      </c>
      <c r="G9917" s="153"/>
      <c r="H9917" s="210">
        <v>8.9999999999999993E-3</v>
      </c>
      <c r="I9917" s="160" t="s">
        <v>128</v>
      </c>
      <c r="J9917" s="211">
        <v>5.0608900000000003E-6</v>
      </c>
      <c r="K9917" s="160" t="s">
        <v>26</v>
      </c>
      <c r="L9917" s="154" t="str">
        <f>IF(OpenLCAbasic!K9917="CTUh", "Fill in Manually",IF(OR(K9917="Unit", K9917=""), "", INDEX(LookUps!$E$5:$E$12, MATCH(OpenLCAbasic!K9917,LookUps!$D$5:$D$12,0))))</f>
        <v>Water Use (WU) - m3 H2O</v>
      </c>
      <c r="M9917" s="154" t="str">
        <f t="shared" si="829"/>
        <v>Low_Medium_Low_Upgraded_Water Use (WU) - m3 H2O_Wastewater collection; operation and infrastructure; m3 wastewater_Base_With Amendment_Aerated Static Pile</v>
      </c>
    </row>
    <row r="9918" spans="1:13" s="120" customFormat="1" x14ac:dyDescent="0.25">
      <c r="A9918" s="119"/>
      <c r="B9918" s="138" t="str">
        <f t="shared" si="830"/>
        <v>Aerated Static Pile</v>
      </c>
      <c r="C9918" s="138" t="str">
        <f t="shared" si="831"/>
        <v>Base_With Amendment</v>
      </c>
      <c r="D9918" s="138" t="str">
        <f t="shared" si="832"/>
        <v>Medium_Low</v>
      </c>
      <c r="E9918" s="138" t="str">
        <f t="shared" si="828"/>
        <v>Low</v>
      </c>
      <c r="F9918" s="138" t="str">
        <f t="shared" si="833"/>
        <v>Upgraded</v>
      </c>
      <c r="G9918" s="153"/>
      <c r="H9918" s="210">
        <v>1.4E-3</v>
      </c>
      <c r="I9918" s="160" t="s">
        <v>168</v>
      </c>
      <c r="J9918" s="211">
        <v>7.6697000000000004E-7</v>
      </c>
      <c r="K9918" s="160" t="s">
        <v>26</v>
      </c>
      <c r="L9918" s="154" t="str">
        <f>IF(OpenLCAbasic!K9918="CTUh", "Fill in Manually",IF(OR(K9918="Unit", K9918=""), "", INDEX(LookUps!$E$5:$E$12, MATCH(OpenLCAbasic!K9918,LookUps!$D$5:$D$12,0))))</f>
        <v>Water Use (WU) - m3 H2O</v>
      </c>
      <c r="M9918" s="154" t="str">
        <f t="shared" si="829"/>
        <v>Low_Medium_Low_Upgraded_Water Use (WU) - m3 H2O_ClearCove SCP; wastewater treatment unit; at updated plant - US_Base_With Amendment_Aerated Static Pile</v>
      </c>
    </row>
    <row r="9919" spans="1:13" s="120" customFormat="1" x14ac:dyDescent="0.25">
      <c r="A9919" s="119"/>
      <c r="B9919" s="138" t="str">
        <f t="shared" si="830"/>
        <v>Aerated Static Pile</v>
      </c>
      <c r="C9919" s="138" t="str">
        <f t="shared" si="831"/>
        <v>Base_With Amendment</v>
      </c>
      <c r="D9919" s="138" t="str">
        <f t="shared" si="832"/>
        <v>Medium_Low</v>
      </c>
      <c r="E9919" s="138" t="str">
        <f t="shared" si="828"/>
        <v>Low</v>
      </c>
      <c r="F9919" s="138" t="str">
        <f t="shared" si="833"/>
        <v>Upgraded</v>
      </c>
      <c r="G9919" s="153"/>
      <c r="H9919" s="210">
        <v>-3.1777000000000002</v>
      </c>
      <c r="I9919" s="160" t="s">
        <v>62</v>
      </c>
      <c r="J9919" s="160">
        <v>-1.7799999999999999E-3</v>
      </c>
      <c r="K9919" s="160" t="s">
        <v>26</v>
      </c>
      <c r="L9919" s="154" t="str">
        <f>IF(OpenLCAbasic!K9919="CTUh", "Fill in Manually",IF(OR(K9919="Unit", K9919=""), "", INDEX(LookUps!$E$5:$E$12, MATCH(OpenLCAbasic!K9919,LookUps!$D$5:$D$12,0))))</f>
        <v>Water Use (WU) - m3 H2O</v>
      </c>
      <c r="M9919" s="154" t="str">
        <f t="shared" si="829"/>
        <v>Low_Medium_Low_Upgraded_Water Use (WU) - m3 H2O_Land application of compost; wastewater treatment unit; at updated plant - US_Base_With Amendment_Aerated Static Pile</v>
      </c>
    </row>
    <row r="9920" spans="1:13" s="120" customFormat="1" x14ac:dyDescent="0.25">
      <c r="A9920" s="119"/>
      <c r="B9920" s="138" t="str">
        <f t="shared" si="830"/>
        <v/>
      </c>
      <c r="C9920" s="138" t="str">
        <f t="shared" si="831"/>
        <v/>
      </c>
      <c r="D9920" s="138" t="str">
        <f>IF(ISNUMBER($J9920),"Medium_Base","")</f>
        <v/>
      </c>
      <c r="E9920" s="138" t="str">
        <f t="shared" si="828"/>
        <v/>
      </c>
      <c r="F9920" s="138" t="str">
        <f t="shared" si="833"/>
        <v/>
      </c>
      <c r="G9920" s="153" t="s">
        <v>51</v>
      </c>
      <c r="H9920" s="160"/>
      <c r="I9920" s="160" t="s">
        <v>47</v>
      </c>
      <c r="J9920" s="160" t="s">
        <v>52</v>
      </c>
      <c r="K9920" s="160" t="s">
        <v>27</v>
      </c>
      <c r="L9920" s="154" t="str">
        <f>IF(OpenLCAbasic!K9920="CTUh", "Fill in Manually",IF(OR(K9920="Unit", K9920=""), "", INDEX(LookUps!$E$5:$E$12, MATCH(OpenLCAbasic!K9920,LookUps!$D$5:$D$12,0))))</f>
        <v/>
      </c>
      <c r="M9920" s="154" t="str">
        <f t="shared" si="829"/>
        <v>____Process__</v>
      </c>
    </row>
    <row r="9921" spans="1:13" s="120" customFormat="1" x14ac:dyDescent="0.25">
      <c r="A9921" s="119"/>
      <c r="B9921" s="138" t="str">
        <f t="shared" si="830"/>
        <v>Aerated Static Pile</v>
      </c>
      <c r="C9921" s="138" t="str">
        <f t="shared" si="831"/>
        <v>Base_With Amendment</v>
      </c>
      <c r="D9921" s="138" t="str">
        <f t="shared" ref="D9921:D9984" si="834">IF(ISNUMBER($J9921),"Medium_Base","")</f>
        <v>Medium_Base</v>
      </c>
      <c r="E9921" s="138" t="str">
        <f t="shared" si="828"/>
        <v>Low</v>
      </c>
      <c r="F9921" s="138" t="str">
        <f t="shared" si="833"/>
        <v>Upgraded</v>
      </c>
      <c r="G9921" s="153"/>
      <c r="H9921" s="210">
        <v>0.54249999999999998</v>
      </c>
      <c r="I9921" s="160" t="s">
        <v>55</v>
      </c>
      <c r="J9921" s="160">
        <v>1.7219999999999999E-2</v>
      </c>
      <c r="K9921" s="160" t="s">
        <v>24</v>
      </c>
      <c r="L9921" s="154" t="str">
        <f>IF(OpenLCAbasic!K9921="CTUh", "Fill in Manually",IF(OR(K9921="Unit", K9921=""), "", INDEX(LookUps!$E$5:$E$12, MATCH(OpenLCAbasic!K9921,LookUps!$D$5:$D$12,0))))</f>
        <v>Acidification Potential (AP) - kg SO2 eq</v>
      </c>
      <c r="M9921" s="154" t="str">
        <f t="shared" si="829"/>
        <v>Low_Medium_Base_Upgraded_Acidification Potential (AP) - kg SO2 eq_Aeration Tanks; wastewater treatment unit; at updated plant - US_Base_With Amendment_Aerated Static Pile</v>
      </c>
    </row>
    <row r="9922" spans="1:13" s="120" customFormat="1" x14ac:dyDescent="0.25">
      <c r="A9922" s="119"/>
      <c r="B9922" s="138" t="str">
        <f t="shared" si="830"/>
        <v>Aerated Static Pile</v>
      </c>
      <c r="C9922" s="138" t="str">
        <f t="shared" si="831"/>
        <v>Base_With Amendment</v>
      </c>
      <c r="D9922" s="138" t="str">
        <f t="shared" si="834"/>
        <v>Medium_Base</v>
      </c>
      <c r="E9922" s="138" t="str">
        <f t="shared" si="828"/>
        <v>Low</v>
      </c>
      <c r="F9922" s="138" t="str">
        <f t="shared" si="833"/>
        <v>Upgraded</v>
      </c>
      <c r="G9922" s="153"/>
      <c r="H9922" s="210">
        <v>0.27089999999999997</v>
      </c>
      <c r="I9922" s="160" t="s">
        <v>435</v>
      </c>
      <c r="J9922" s="160">
        <v>8.6E-3</v>
      </c>
      <c r="K9922" s="160" t="s">
        <v>24</v>
      </c>
      <c r="L9922" s="154" t="str">
        <f>IF(OpenLCAbasic!K9922="CTUh", "Fill in Manually",IF(OR(K9922="Unit", K9922=""), "", INDEX(LookUps!$E$5:$E$12, MATCH(OpenLCAbasic!K9922,LookUps!$D$5:$D$12,0))))</f>
        <v>Acidification Potential (AP) - kg SO2 eq</v>
      </c>
      <c r="M9922" s="154" t="str">
        <f t="shared" si="829"/>
        <v>Low_Medium_Base_Upgraded_Acidification Potential (AP) - kg SO2 eq_Biosolids composting; aerated static pile; wastewater treatment unit; at updated plant - US_Base_With Amendment_Aerated Static Pile</v>
      </c>
    </row>
    <row r="9923" spans="1:13" s="120" customFormat="1" x14ac:dyDescent="0.25">
      <c r="A9923" s="119"/>
      <c r="B9923" s="138" t="str">
        <f t="shared" si="830"/>
        <v>Aerated Static Pile</v>
      </c>
      <c r="C9923" s="138" t="str">
        <f t="shared" si="831"/>
        <v>Base_With Amendment</v>
      </c>
      <c r="D9923" s="138" t="str">
        <f t="shared" si="834"/>
        <v>Medium_Base</v>
      </c>
      <c r="E9923" s="138" t="str">
        <f t="shared" si="828"/>
        <v>Low</v>
      </c>
      <c r="F9923" s="138" t="str">
        <f t="shared" si="833"/>
        <v>Upgraded</v>
      </c>
      <c r="G9923" s="153"/>
      <c r="H9923" s="210">
        <v>0.15690000000000001</v>
      </c>
      <c r="I9923" s="160" t="s">
        <v>54</v>
      </c>
      <c r="J9923" s="160">
        <v>4.9800000000000001E-3</v>
      </c>
      <c r="K9923" s="160" t="s">
        <v>24</v>
      </c>
      <c r="L9923" s="154" t="str">
        <f>IF(OpenLCAbasic!K9923="CTUh", "Fill in Manually",IF(OR(K9923="Unit", K9923=""), "", INDEX(LookUps!$E$5:$E$12, MATCH(OpenLCAbasic!K9923,LookUps!$D$5:$D$12,0))))</f>
        <v>Acidification Potential (AP) - kg SO2 eq</v>
      </c>
      <c r="M9923" s="154" t="str">
        <f t="shared" si="829"/>
        <v>Low_Medium_Base_Upgraded_Acidification Potential (AP) - kg SO2 eq_Clear Cove Primary Clarification; wastewater treatment unit; at updated plant - US_Base_With Amendment_Aerated Static Pile</v>
      </c>
    </row>
    <row r="9924" spans="1:13" s="120" customFormat="1" x14ac:dyDescent="0.25">
      <c r="A9924" s="119"/>
      <c r="B9924" s="138" t="str">
        <f t="shared" si="830"/>
        <v>Aerated Static Pile</v>
      </c>
      <c r="C9924" s="138" t="str">
        <f t="shared" si="831"/>
        <v>Base_With Amendment</v>
      </c>
      <c r="D9924" s="138" t="str">
        <f t="shared" si="834"/>
        <v>Medium_Base</v>
      </c>
      <c r="E9924" s="138" t="str">
        <f t="shared" si="828"/>
        <v>Low</v>
      </c>
      <c r="F9924" s="138" t="str">
        <f t="shared" si="833"/>
        <v>Upgraded</v>
      </c>
      <c r="G9924" s="153"/>
      <c r="H9924" s="210">
        <v>0.13689999999999999</v>
      </c>
      <c r="I9924" s="160" t="s">
        <v>58</v>
      </c>
      <c r="J9924" s="160">
        <v>4.3499999999999997E-3</v>
      </c>
      <c r="K9924" s="160" t="s">
        <v>24</v>
      </c>
      <c r="L9924" s="154" t="str">
        <f>IF(OpenLCAbasic!K9924="CTUh", "Fill in Manually",IF(OR(K9924="Unit", K9924=""), "", INDEX(LookUps!$E$5:$E$12, MATCH(OpenLCAbasic!K9924,LookUps!$D$5:$D$12,0))))</f>
        <v>Acidification Potential (AP) - kg SO2 eq</v>
      </c>
      <c r="M9924" s="154" t="str">
        <f t="shared" si="829"/>
        <v>Low_Medium_Base_Upgraded_Acidification Potential (AP) - kg SO2 eq_Pre-Anoxic &amp; Swing tank; wastewater treatment unit; at updated plant - US_Base_With Amendment_Aerated Static Pile</v>
      </c>
    </row>
    <row r="9925" spans="1:13" s="120" customFormat="1" x14ac:dyDescent="0.25">
      <c r="A9925" s="119"/>
      <c r="B9925" s="138" t="str">
        <f t="shared" si="830"/>
        <v>Aerated Static Pile</v>
      </c>
      <c r="C9925" s="138" t="str">
        <f t="shared" si="831"/>
        <v>Base_With Amendment</v>
      </c>
      <c r="D9925" s="138" t="str">
        <f t="shared" si="834"/>
        <v>Medium_Base</v>
      </c>
      <c r="E9925" s="138" t="str">
        <f t="shared" si="828"/>
        <v>Low</v>
      </c>
      <c r="F9925" s="138" t="str">
        <f t="shared" si="833"/>
        <v>Upgraded</v>
      </c>
      <c r="G9925" s="153"/>
      <c r="H9925" s="210">
        <v>0.1293</v>
      </c>
      <c r="I9925" s="160" t="s">
        <v>62</v>
      </c>
      <c r="J9925" s="160">
        <v>4.1000000000000003E-3</v>
      </c>
      <c r="K9925" s="160" t="s">
        <v>24</v>
      </c>
      <c r="L9925" s="154" t="str">
        <f>IF(OpenLCAbasic!K9925="CTUh", "Fill in Manually",IF(OR(K9925="Unit", K9925=""), "", INDEX(LookUps!$E$5:$E$12, MATCH(OpenLCAbasic!K9925,LookUps!$D$5:$D$12,0))))</f>
        <v>Acidification Potential (AP) - kg SO2 eq</v>
      </c>
      <c r="M9925" s="154" t="str">
        <f t="shared" si="829"/>
        <v>Low_Medium_Base_Upgraded_Acidification Potential (AP) - kg SO2 eq_Land application of compost; wastewater treatment unit; at updated plant - US_Base_With Amendment_Aerated Static Pile</v>
      </c>
    </row>
    <row r="9926" spans="1:13" s="120" customFormat="1" x14ac:dyDescent="0.25">
      <c r="A9926" s="119"/>
      <c r="B9926" s="138" t="str">
        <f t="shared" si="830"/>
        <v>Aerated Static Pile</v>
      </c>
      <c r="C9926" s="138" t="str">
        <f t="shared" si="831"/>
        <v>Base_With Amendment</v>
      </c>
      <c r="D9926" s="138" t="str">
        <f t="shared" si="834"/>
        <v>Medium_Base</v>
      </c>
      <c r="E9926" s="138" t="str">
        <f t="shared" si="828"/>
        <v>Low</v>
      </c>
      <c r="F9926" s="138" t="str">
        <f t="shared" si="833"/>
        <v>Upgraded</v>
      </c>
      <c r="G9926" s="153"/>
      <c r="H9926" s="210">
        <v>0.1087</v>
      </c>
      <c r="I9926" s="160" t="s">
        <v>53</v>
      </c>
      <c r="J9926" s="160">
        <v>3.4499999999999999E-3</v>
      </c>
      <c r="K9926" s="160" t="s">
        <v>24</v>
      </c>
      <c r="L9926" s="154" t="str">
        <f>IF(OpenLCAbasic!K9926="CTUh", "Fill in Manually",IF(OR(K9926="Unit", K9926=""), "", INDEX(LookUps!$E$5:$E$12, MATCH(OpenLCAbasic!K9926,LookUps!$D$5:$D$12,0))))</f>
        <v>Acidification Potential (AP) - kg SO2 eq</v>
      </c>
      <c r="M9926" s="154" t="str">
        <f t="shared" si="829"/>
        <v>Low_Medium_Base_Upgraded_Acidification Potential (AP) - kg SO2 eq_Wet Well and Sump Station; wastewater treatment unit; at updated plant - US_Base_With Amendment_Aerated Static Pile</v>
      </c>
    </row>
    <row r="9927" spans="1:13" s="120" customFormat="1" x14ac:dyDescent="0.25">
      <c r="A9927" s="119"/>
      <c r="B9927" s="138" t="str">
        <f t="shared" si="830"/>
        <v>Aerated Static Pile</v>
      </c>
      <c r="C9927" s="138" t="str">
        <f t="shared" si="831"/>
        <v>Base_With Amendment</v>
      </c>
      <c r="D9927" s="138" t="str">
        <f t="shared" si="834"/>
        <v>Medium_Base</v>
      </c>
      <c r="E9927" s="138" t="str">
        <f t="shared" si="828"/>
        <v>Low</v>
      </c>
      <c r="F9927" s="138" t="str">
        <f t="shared" si="833"/>
        <v>Upgraded</v>
      </c>
      <c r="G9927" s="153"/>
      <c r="H9927" s="210">
        <v>7.9699999999999993E-2</v>
      </c>
      <c r="I9927" s="160" t="s">
        <v>167</v>
      </c>
      <c r="J9927" s="160">
        <v>2.5300000000000001E-3</v>
      </c>
      <c r="K9927" s="160" t="s">
        <v>24</v>
      </c>
      <c r="L9927" s="154" t="str">
        <f>IF(OpenLCAbasic!K9927="CTUh", "Fill in Manually",IF(OR(K9927="Unit", K9927=""), "", INDEX(LookUps!$E$5:$E$12, MATCH(OpenLCAbasic!K9927,LookUps!$D$5:$D$12,0))))</f>
        <v>Acidification Potential (AP) - kg SO2 eq</v>
      </c>
      <c r="M9927" s="154" t="str">
        <f t="shared" si="829"/>
        <v>Low_Medium_Base_Upgraded_Acidification Potential (AP) - kg SO2 eq_Waste Receiving and Holding; wastewater treatment unit; at updated plant - US_Base_With Amendment_Aerated Static Pile</v>
      </c>
    </row>
    <row r="9928" spans="1:13" s="120" customFormat="1" x14ac:dyDescent="0.25">
      <c r="A9928" s="119"/>
      <c r="B9928" s="138" t="str">
        <f t="shared" si="830"/>
        <v>Aerated Static Pile</v>
      </c>
      <c r="C9928" s="138" t="str">
        <f t="shared" si="831"/>
        <v>Base_With Amendment</v>
      </c>
      <c r="D9928" s="138" t="str">
        <f t="shared" si="834"/>
        <v>Medium_Base</v>
      </c>
      <c r="E9928" s="138" t="str">
        <f t="shared" si="828"/>
        <v>Low</v>
      </c>
      <c r="F9928" s="138" t="str">
        <f t="shared" si="833"/>
        <v>Upgraded</v>
      </c>
      <c r="G9928" s="153"/>
      <c r="H9928" s="210">
        <v>6.5199999999999994E-2</v>
      </c>
      <c r="I9928" s="160" t="s">
        <v>147</v>
      </c>
      <c r="J9928" s="160">
        <v>2.0699999999999998E-3</v>
      </c>
      <c r="K9928" s="160" t="s">
        <v>24</v>
      </c>
      <c r="L9928" s="154" t="str">
        <f>IF(OpenLCAbasic!K9928="CTUh", "Fill in Manually",IF(OR(K9928="Unit", K9928=""), "", INDEX(LookUps!$E$5:$E$12, MATCH(OpenLCAbasic!K9928,LookUps!$D$5:$D$12,0))))</f>
        <v>Acidification Potential (AP) - kg SO2 eq</v>
      </c>
      <c r="M9928" s="154" t="str">
        <f t="shared" si="829"/>
        <v>Low_Medium_Base_Upgraded_Acidification Potential (AP) - kg SO2 eq_Influent Pump Station; wastewater treatment unit; at updated plant - US_Base_With Amendment_Aerated Static Pile</v>
      </c>
    </row>
    <row r="9929" spans="1:13" s="120" customFormat="1" x14ac:dyDescent="0.25">
      <c r="A9929" s="119"/>
      <c r="B9929" s="138" t="str">
        <f t="shared" si="830"/>
        <v>Aerated Static Pile</v>
      </c>
      <c r="C9929" s="138" t="str">
        <f t="shared" si="831"/>
        <v>Base_With Amendment</v>
      </c>
      <c r="D9929" s="138" t="str">
        <f t="shared" si="834"/>
        <v>Medium_Base</v>
      </c>
      <c r="E9929" s="138" t="str">
        <f t="shared" si="828"/>
        <v>Low</v>
      </c>
      <c r="F9929" s="138" t="str">
        <f t="shared" si="833"/>
        <v>Upgraded</v>
      </c>
      <c r="G9929" s="153"/>
      <c r="H9929" s="210">
        <v>3.8800000000000001E-2</v>
      </c>
      <c r="I9929" s="160" t="s">
        <v>128</v>
      </c>
      <c r="J9929" s="160">
        <v>1.23E-3</v>
      </c>
      <c r="K9929" s="160" t="s">
        <v>24</v>
      </c>
      <c r="L9929" s="154" t="str">
        <f>IF(OpenLCAbasic!K9929="CTUh", "Fill in Manually",IF(OR(K9929="Unit", K9929=""), "", INDEX(LookUps!$E$5:$E$12, MATCH(OpenLCAbasic!K9929,LookUps!$D$5:$D$12,0))))</f>
        <v>Acidification Potential (AP) - kg SO2 eq</v>
      </c>
      <c r="M9929" s="154" t="str">
        <f t="shared" si="829"/>
        <v>Low_Medium_Base_Upgraded_Acidification Potential (AP) - kg SO2 eq_Wastewater collection; operation and infrastructure; m3 wastewater_Base_With Amendment_Aerated Static Pile</v>
      </c>
    </row>
    <row r="9930" spans="1:13" s="120" customFormat="1" x14ac:dyDescent="0.25">
      <c r="A9930" s="119"/>
      <c r="B9930" s="138" t="str">
        <f t="shared" si="830"/>
        <v>Aerated Static Pile</v>
      </c>
      <c r="C9930" s="138" t="str">
        <f t="shared" si="831"/>
        <v>Base_With Amendment</v>
      </c>
      <c r="D9930" s="138" t="str">
        <f t="shared" si="834"/>
        <v>Medium_Base</v>
      </c>
      <c r="E9930" s="138" t="str">
        <f t="shared" si="828"/>
        <v>Low</v>
      </c>
      <c r="F9930" s="138" t="str">
        <f t="shared" si="833"/>
        <v>Upgraded</v>
      </c>
      <c r="G9930" s="153"/>
      <c r="H9930" s="210">
        <v>3.3599999999999998E-2</v>
      </c>
      <c r="I9930" s="160" t="s">
        <v>60</v>
      </c>
      <c r="J9930" s="160">
        <v>1.07E-3</v>
      </c>
      <c r="K9930" s="160" t="s">
        <v>24</v>
      </c>
      <c r="L9930" s="154" t="str">
        <f>IF(OpenLCAbasic!K9930="CTUh", "Fill in Manually",IF(OR(K9930="Unit", K9930=""), "", INDEX(LookUps!$E$5:$E$12, MATCH(OpenLCAbasic!K9930,LookUps!$D$5:$D$12,0))))</f>
        <v>Acidification Potential (AP) - kg SO2 eq</v>
      </c>
      <c r="M9930" s="154" t="str">
        <f t="shared" si="829"/>
        <v>Low_Medium_Base_Upgraded_Acidification Potential (AP) - kg SO2 eq_Belt filter press; wastewater treatment unit; at updated plant - US_Base_With Amendment_Aerated Static Pile</v>
      </c>
    </row>
    <row r="9931" spans="1:13" s="120" customFormat="1" x14ac:dyDescent="0.25">
      <c r="A9931" s="119"/>
      <c r="B9931" s="138" t="str">
        <f t="shared" si="830"/>
        <v>Aerated Static Pile</v>
      </c>
      <c r="C9931" s="138" t="str">
        <f t="shared" si="831"/>
        <v>Base_With Amendment</v>
      </c>
      <c r="D9931" s="138" t="str">
        <f t="shared" si="834"/>
        <v>Medium_Base</v>
      </c>
      <c r="E9931" s="138" t="str">
        <f t="shared" si="828"/>
        <v>Low</v>
      </c>
      <c r="F9931" s="138" t="str">
        <f t="shared" si="833"/>
        <v>Upgraded</v>
      </c>
      <c r="G9931" s="153"/>
      <c r="H9931" s="210">
        <v>2.2200000000000001E-2</v>
      </c>
      <c r="I9931" s="160" t="s">
        <v>57</v>
      </c>
      <c r="J9931" s="160">
        <v>6.9999999999999999E-4</v>
      </c>
      <c r="K9931" s="160" t="s">
        <v>24</v>
      </c>
      <c r="L9931" s="154" t="str">
        <f>IF(OpenLCAbasic!K9931="CTUh", "Fill in Manually",IF(OR(K9931="Unit", K9931=""), "", INDEX(LookUps!$E$5:$E$12, MATCH(OpenLCAbasic!K9931,LookUps!$D$5:$D$12,0))))</f>
        <v>Acidification Potential (AP) - kg SO2 eq</v>
      </c>
      <c r="M9931" s="154" t="str">
        <f t="shared" si="829"/>
        <v>Low_Medium_Base_Upgraded_Acidification Potential (AP) - kg SO2 eq_Gravity Belt Thickener; wastewater treatment unit; at updated plant - US_Base_With Amendment_Aerated Static Pile</v>
      </c>
    </row>
    <row r="9932" spans="1:13" s="120" customFormat="1" x14ac:dyDescent="0.25">
      <c r="A9932" s="119"/>
      <c r="B9932" s="138" t="str">
        <f t="shared" si="830"/>
        <v>Aerated Static Pile</v>
      </c>
      <c r="C9932" s="138" t="str">
        <f t="shared" si="831"/>
        <v>Base_With Amendment</v>
      </c>
      <c r="D9932" s="138" t="str">
        <f t="shared" si="834"/>
        <v>Medium_Base</v>
      </c>
      <c r="E9932" s="138" t="str">
        <f t="shared" si="828"/>
        <v>Low</v>
      </c>
      <c r="F9932" s="138" t="str">
        <f t="shared" si="833"/>
        <v>Upgraded</v>
      </c>
      <c r="G9932" s="153"/>
      <c r="H9932" s="210">
        <v>1.6299999999999999E-2</v>
      </c>
      <c r="I9932" s="160" t="s">
        <v>59</v>
      </c>
      <c r="J9932" s="160">
        <v>5.1999999999999995E-4</v>
      </c>
      <c r="K9932" s="160" t="s">
        <v>24</v>
      </c>
      <c r="L9932" s="154" t="str">
        <f>IF(OpenLCAbasic!K9932="CTUh", "Fill in Manually",IF(OR(K9932="Unit", K9932=""), "", INDEX(LookUps!$E$5:$E$12, MATCH(OpenLCAbasic!K9932,LookUps!$D$5:$D$12,0))))</f>
        <v>Acidification Potential (AP) - kg SO2 eq</v>
      </c>
      <c r="M9932" s="154" t="str">
        <f t="shared" si="829"/>
        <v>Low_Medium_Base_Upgraded_Acidification Potential (AP) - kg SO2 eq_Blend Tank; wastewater treatment unit; at updated plant - US_Base_With Amendment_Aerated Static Pile</v>
      </c>
    </row>
    <row r="9933" spans="1:13" s="120" customFormat="1" x14ac:dyDescent="0.25">
      <c r="A9933" s="119"/>
      <c r="B9933" s="138" t="str">
        <f t="shared" si="830"/>
        <v>Aerated Static Pile</v>
      </c>
      <c r="C9933" s="138" t="str">
        <f t="shared" si="831"/>
        <v>Base_With Amendment</v>
      </c>
      <c r="D9933" s="138" t="str">
        <f t="shared" si="834"/>
        <v>Medium_Base</v>
      </c>
      <c r="E9933" s="138" t="str">
        <f t="shared" si="828"/>
        <v>Low</v>
      </c>
      <c r="F9933" s="138" t="str">
        <f t="shared" si="833"/>
        <v>Upgraded</v>
      </c>
      <c r="G9933" s="153"/>
      <c r="H9933" s="210">
        <v>1.09E-2</v>
      </c>
      <c r="I9933" s="160" t="s">
        <v>48</v>
      </c>
      <c r="J9933" s="160">
        <v>3.5E-4</v>
      </c>
      <c r="K9933" s="160" t="s">
        <v>24</v>
      </c>
      <c r="L9933" s="154" t="str">
        <f>IF(OpenLCAbasic!K9933="CTUh", "Fill in Manually",IF(OR(K9933="Unit", K9933=""), "", INDEX(LookUps!$E$5:$E$12, MATCH(OpenLCAbasic!K9933,LookUps!$D$5:$D$12,0))))</f>
        <v>Acidification Potential (AP) - kg SO2 eq</v>
      </c>
      <c r="M9933" s="154" t="str">
        <f t="shared" si="829"/>
        <v>Low_Medium_Base_Upgraded_Acidification Potential (AP) - kg SO2 eq_Effluent release; wastewater treatment unit; at surface water; m3 wastewater - US_Base_With Amendment_Aerated Static Pile</v>
      </c>
    </row>
    <row r="9934" spans="1:13" s="120" customFormat="1" x14ac:dyDescent="0.25">
      <c r="A9934" s="119"/>
      <c r="B9934" s="138" t="str">
        <f t="shared" si="830"/>
        <v>Aerated Static Pile</v>
      </c>
      <c r="C9934" s="138" t="str">
        <f t="shared" si="831"/>
        <v>Base_With Amendment</v>
      </c>
      <c r="D9934" s="138" t="str">
        <f t="shared" si="834"/>
        <v>Medium_Base</v>
      </c>
      <c r="E9934" s="138" t="str">
        <f t="shared" si="828"/>
        <v>Low</v>
      </c>
      <c r="F9934" s="138" t="str">
        <f t="shared" si="833"/>
        <v>Upgraded</v>
      </c>
      <c r="G9934" s="153"/>
      <c r="H9934" s="210">
        <v>8.0000000000000002E-3</v>
      </c>
      <c r="I9934" s="160" t="s">
        <v>168</v>
      </c>
      <c r="J9934" s="160">
        <v>2.5999999999999998E-4</v>
      </c>
      <c r="K9934" s="160" t="s">
        <v>24</v>
      </c>
      <c r="L9934" s="154" t="str">
        <f>IF(OpenLCAbasic!K9934="CTUh", "Fill in Manually",IF(OR(K9934="Unit", K9934=""), "", INDEX(LookUps!$E$5:$E$12, MATCH(OpenLCAbasic!K9934,LookUps!$D$5:$D$12,0))))</f>
        <v>Acidification Potential (AP) - kg SO2 eq</v>
      </c>
      <c r="M9934" s="154" t="str">
        <f t="shared" si="829"/>
        <v>Low_Medium_Base_Upgraded_Acidification Potential (AP) - kg SO2 eq_ClearCove SCP; wastewater treatment unit; at updated plant - US_Base_With Amendment_Aerated Static Pile</v>
      </c>
    </row>
    <row r="9935" spans="1:13" s="120" customFormat="1" x14ac:dyDescent="0.25">
      <c r="A9935" s="119"/>
      <c r="B9935" s="138" t="str">
        <f t="shared" si="830"/>
        <v>Aerated Static Pile</v>
      </c>
      <c r="C9935" s="138" t="str">
        <f t="shared" si="831"/>
        <v>Base_With Amendment</v>
      </c>
      <c r="D9935" s="138" t="str">
        <f t="shared" si="834"/>
        <v>Medium_Base</v>
      </c>
      <c r="E9935" s="138" t="str">
        <f t="shared" si="828"/>
        <v>Low</v>
      </c>
      <c r="F9935" s="138" t="str">
        <f t="shared" si="833"/>
        <v>Upgraded</v>
      </c>
      <c r="G9935" s="153"/>
      <c r="H9935" s="210">
        <v>1.2999999999999999E-3</v>
      </c>
      <c r="I9935" s="160" t="s">
        <v>148</v>
      </c>
      <c r="J9935" s="211">
        <v>4.0354700000000002E-5</v>
      </c>
      <c r="K9935" s="160" t="s">
        <v>24</v>
      </c>
      <c r="L9935" s="154" t="str">
        <f>IF(OpenLCAbasic!K9935="CTUh", "Fill in Manually",IF(OR(K9935="Unit", K9935=""), "", INDEX(LookUps!$E$5:$E$12, MATCH(OpenLCAbasic!K9935,LookUps!$D$5:$D$12,0))))</f>
        <v>Acidification Potential (AP) - kg SO2 eq</v>
      </c>
      <c r="M9935" s="154" t="str">
        <f t="shared" si="829"/>
        <v>Low_Medium_Base_Upgraded_Acidification Potential (AP) - kg SO2 eq_Control Building; at upgraded wastewater treatment plant - US_Base_With Amendment_Aerated Static Pile</v>
      </c>
    </row>
    <row r="9936" spans="1:13" s="120" customFormat="1" x14ac:dyDescent="0.25">
      <c r="A9936" s="119"/>
      <c r="B9936" s="138" t="str">
        <f t="shared" si="830"/>
        <v>Aerated Static Pile</v>
      </c>
      <c r="C9936" s="138" t="str">
        <f t="shared" si="831"/>
        <v>Base_With Amendment</v>
      </c>
      <c r="D9936" s="138" t="str">
        <f t="shared" si="834"/>
        <v>Medium_Base</v>
      </c>
      <c r="E9936" s="138" t="str">
        <f t="shared" si="828"/>
        <v>Low</v>
      </c>
      <c r="F9936" s="138" t="str">
        <f t="shared" si="833"/>
        <v>Upgraded</v>
      </c>
      <c r="G9936" s="153"/>
      <c r="H9936" s="210">
        <v>-0.62119999999999997</v>
      </c>
      <c r="I9936" s="160" t="s">
        <v>149</v>
      </c>
      <c r="J9936" s="160">
        <v>-1.9720000000000001E-2</v>
      </c>
      <c r="K9936" s="160" t="s">
        <v>24</v>
      </c>
      <c r="L9936" s="154" t="str">
        <f>IF(OpenLCAbasic!K9936="CTUh", "Fill in Manually",IF(OR(K9936="Unit", K9936=""), "", INDEX(LookUps!$E$5:$E$12, MATCH(OpenLCAbasic!K9936,LookUps!$D$5:$D$12,0))))</f>
        <v>Acidification Potential (AP) - kg SO2 eq</v>
      </c>
      <c r="M9936" s="154" t="str">
        <f t="shared" si="829"/>
        <v>Low_Medium_Base_Upgraded_Acidification Potential (AP) - kg SO2 eq_Anaerobic Digestion; wastewater treatment unit; at updated plant - US_Base_With Amendment_Aerated Static Pile</v>
      </c>
    </row>
    <row r="9937" spans="1:13" s="120" customFormat="1" x14ac:dyDescent="0.25">
      <c r="A9937" s="119"/>
      <c r="B9937" s="138" t="str">
        <f t="shared" si="830"/>
        <v/>
      </c>
      <c r="C9937" s="138" t="str">
        <f t="shared" si="831"/>
        <v/>
      </c>
      <c r="D9937" s="138" t="str">
        <f t="shared" si="834"/>
        <v/>
      </c>
      <c r="E9937" s="138" t="str">
        <f t="shared" si="828"/>
        <v/>
      </c>
      <c r="F9937" s="138" t="str">
        <f t="shared" si="833"/>
        <v/>
      </c>
      <c r="G9937" s="153" t="s">
        <v>51</v>
      </c>
      <c r="H9937" s="160"/>
      <c r="I9937" s="160" t="s">
        <v>47</v>
      </c>
      <c r="J9937" s="160" t="s">
        <v>52</v>
      </c>
      <c r="K9937" s="160" t="s">
        <v>27</v>
      </c>
      <c r="L9937" s="154" t="str">
        <f>IF(OpenLCAbasic!K9937="CTUh", "Fill in Manually",IF(OR(K9937="Unit", K9937=""), "", INDEX(LookUps!$E$5:$E$12, MATCH(OpenLCAbasic!K9937,LookUps!$D$5:$D$12,0))))</f>
        <v/>
      </c>
      <c r="M9937" s="154" t="str">
        <f t="shared" si="829"/>
        <v>____Process__</v>
      </c>
    </row>
    <row r="9938" spans="1:13" s="120" customFormat="1" x14ac:dyDescent="0.25">
      <c r="A9938" s="119"/>
      <c r="B9938" s="138" t="str">
        <f t="shared" si="830"/>
        <v>Aerated Static Pile</v>
      </c>
      <c r="C9938" s="138" t="str">
        <f t="shared" si="831"/>
        <v>Base_With Amendment</v>
      </c>
      <c r="D9938" s="138" t="str">
        <f t="shared" si="834"/>
        <v>Medium_Base</v>
      </c>
      <c r="E9938" s="138" t="str">
        <f t="shared" si="828"/>
        <v>Low</v>
      </c>
      <c r="F9938" s="138" t="str">
        <f t="shared" si="833"/>
        <v>Upgraded</v>
      </c>
      <c r="G9938" s="153"/>
      <c r="H9938" s="210">
        <v>0.79859999999999998</v>
      </c>
      <c r="I9938" s="160" t="s">
        <v>167</v>
      </c>
      <c r="J9938" s="160">
        <v>4.2789599999999997</v>
      </c>
      <c r="K9938" s="160" t="s">
        <v>15</v>
      </c>
      <c r="L9938" s="154" t="str">
        <f>IF(OpenLCAbasic!K9938="CTUh", "Fill in Manually",IF(OR(K9938="Unit", K9938=""), "", INDEX(LookUps!$E$5:$E$12, MATCH(OpenLCAbasic!K9938,LookUps!$D$5:$D$12,0))))</f>
        <v>Cumulative Energy Demand (CED) - MJ</v>
      </c>
      <c r="M9938" s="154" t="str">
        <f t="shared" si="829"/>
        <v>Low_Medium_Base_Upgraded_Cumulative Energy Demand (CED) - MJ_Waste Receiving and Holding; wastewater treatment unit; at updated plant - US_Base_With Amendment_Aerated Static Pile</v>
      </c>
    </row>
    <row r="9939" spans="1:13" s="120" customFormat="1" x14ac:dyDescent="0.25">
      <c r="A9939" s="119"/>
      <c r="B9939" s="138" t="str">
        <f t="shared" si="830"/>
        <v>Aerated Static Pile</v>
      </c>
      <c r="C9939" s="138" t="str">
        <f t="shared" si="831"/>
        <v>Base_With Amendment</v>
      </c>
      <c r="D9939" s="138" t="str">
        <f t="shared" si="834"/>
        <v>Medium_Base</v>
      </c>
      <c r="E9939" s="138" t="str">
        <f t="shared" si="828"/>
        <v>Low</v>
      </c>
      <c r="F9939" s="138" t="str">
        <f t="shared" si="833"/>
        <v>Upgraded</v>
      </c>
      <c r="G9939" s="153"/>
      <c r="H9939" s="210">
        <v>0.65939999999999999</v>
      </c>
      <c r="I9939" s="160" t="s">
        <v>55</v>
      </c>
      <c r="J9939" s="160">
        <v>3.5330499999999998</v>
      </c>
      <c r="K9939" s="160" t="s">
        <v>15</v>
      </c>
      <c r="L9939" s="154" t="str">
        <f>IF(OpenLCAbasic!K9939="CTUh", "Fill in Manually",IF(OR(K9939="Unit", K9939=""), "", INDEX(LookUps!$E$5:$E$12, MATCH(OpenLCAbasic!K9939,LookUps!$D$5:$D$12,0))))</f>
        <v>Cumulative Energy Demand (CED) - MJ</v>
      </c>
      <c r="M9939" s="154" t="str">
        <f t="shared" si="829"/>
        <v>Low_Medium_Base_Upgraded_Cumulative Energy Demand (CED) - MJ_Aeration Tanks; wastewater treatment unit; at updated plant - US_Base_With Amendment_Aerated Static Pile</v>
      </c>
    </row>
    <row r="9940" spans="1:13" s="120" customFormat="1" x14ac:dyDescent="0.25">
      <c r="A9940" s="119"/>
      <c r="B9940" s="138" t="str">
        <f t="shared" si="830"/>
        <v>Aerated Static Pile</v>
      </c>
      <c r="C9940" s="138" t="str">
        <f t="shared" si="831"/>
        <v>Base_With Amendment</v>
      </c>
      <c r="D9940" s="138" t="str">
        <f t="shared" si="834"/>
        <v>Medium_Base</v>
      </c>
      <c r="E9940" s="138" t="str">
        <f t="shared" si="828"/>
        <v>Low</v>
      </c>
      <c r="F9940" s="138" t="str">
        <f t="shared" si="833"/>
        <v>Upgraded</v>
      </c>
      <c r="G9940" s="153"/>
      <c r="H9940" s="210">
        <v>0.32169999999999999</v>
      </c>
      <c r="I9940" s="160" t="s">
        <v>435</v>
      </c>
      <c r="J9940" s="160">
        <v>1.72374</v>
      </c>
      <c r="K9940" s="160" t="s">
        <v>15</v>
      </c>
      <c r="L9940" s="154" t="str">
        <f>IF(OpenLCAbasic!K9940="CTUh", "Fill in Manually",IF(OR(K9940="Unit", K9940=""), "", INDEX(LookUps!$E$5:$E$12, MATCH(OpenLCAbasic!K9940,LookUps!$D$5:$D$12,0))))</f>
        <v>Cumulative Energy Demand (CED) - MJ</v>
      </c>
      <c r="M9940" s="154" t="str">
        <f t="shared" si="829"/>
        <v>Low_Medium_Base_Upgraded_Cumulative Energy Demand (CED) - MJ_Biosolids composting; aerated static pile; wastewater treatment unit; at updated plant - US_Base_With Amendment_Aerated Static Pile</v>
      </c>
    </row>
    <row r="9941" spans="1:13" s="120" customFormat="1" x14ac:dyDescent="0.25">
      <c r="A9941" s="119"/>
      <c r="B9941" s="138" t="str">
        <f t="shared" si="830"/>
        <v>Aerated Static Pile</v>
      </c>
      <c r="C9941" s="138" t="str">
        <f t="shared" si="831"/>
        <v>Base_With Amendment</v>
      </c>
      <c r="D9941" s="138" t="str">
        <f t="shared" si="834"/>
        <v>Medium_Base</v>
      </c>
      <c r="E9941" s="138" t="str">
        <f t="shared" si="828"/>
        <v>Low</v>
      </c>
      <c r="F9941" s="138" t="str">
        <f t="shared" si="833"/>
        <v>Upgraded</v>
      </c>
      <c r="G9941" s="153"/>
      <c r="H9941" s="210">
        <v>0.217</v>
      </c>
      <c r="I9941" s="160" t="s">
        <v>54</v>
      </c>
      <c r="J9941" s="160">
        <v>1.16289</v>
      </c>
      <c r="K9941" s="160" t="s">
        <v>15</v>
      </c>
      <c r="L9941" s="154" t="str">
        <f>IF(OpenLCAbasic!K9941="CTUh", "Fill in Manually",IF(OR(K9941="Unit", K9941=""), "", INDEX(LookUps!$E$5:$E$12, MATCH(OpenLCAbasic!K9941,LookUps!$D$5:$D$12,0))))</f>
        <v>Cumulative Energy Demand (CED) - MJ</v>
      </c>
      <c r="M9941" s="154" t="str">
        <f t="shared" si="829"/>
        <v>Low_Medium_Base_Upgraded_Cumulative Energy Demand (CED) - MJ_Clear Cove Primary Clarification; wastewater treatment unit; at updated plant - US_Base_With Amendment_Aerated Static Pile</v>
      </c>
    </row>
    <row r="9942" spans="1:13" s="120" customFormat="1" x14ac:dyDescent="0.25">
      <c r="A9942" s="119"/>
      <c r="B9942" s="138" t="str">
        <f t="shared" si="830"/>
        <v>Aerated Static Pile</v>
      </c>
      <c r="C9942" s="138" t="str">
        <f t="shared" si="831"/>
        <v>Base_With Amendment</v>
      </c>
      <c r="D9942" s="138" t="str">
        <f t="shared" si="834"/>
        <v>Medium_Base</v>
      </c>
      <c r="E9942" s="138" t="str">
        <f t="shared" si="828"/>
        <v>Low</v>
      </c>
      <c r="F9942" s="138" t="str">
        <f t="shared" si="833"/>
        <v>Upgraded</v>
      </c>
      <c r="G9942" s="153"/>
      <c r="H9942" s="210">
        <v>0.16550000000000001</v>
      </c>
      <c r="I9942" s="160" t="s">
        <v>58</v>
      </c>
      <c r="J9942" s="160">
        <v>0.88705000000000001</v>
      </c>
      <c r="K9942" s="160" t="s">
        <v>15</v>
      </c>
      <c r="L9942" s="154" t="str">
        <f>IF(OpenLCAbasic!K9942="CTUh", "Fill in Manually",IF(OR(K9942="Unit", K9942=""), "", INDEX(LookUps!$E$5:$E$12, MATCH(OpenLCAbasic!K9942,LookUps!$D$5:$D$12,0))))</f>
        <v>Cumulative Energy Demand (CED) - MJ</v>
      </c>
      <c r="M9942" s="154" t="str">
        <f t="shared" si="829"/>
        <v>Low_Medium_Base_Upgraded_Cumulative Energy Demand (CED) - MJ_Pre-Anoxic &amp; Swing tank; wastewater treatment unit; at updated plant - US_Base_With Amendment_Aerated Static Pile</v>
      </c>
    </row>
    <row r="9943" spans="1:13" s="120" customFormat="1" x14ac:dyDescent="0.25">
      <c r="A9943" s="119"/>
      <c r="B9943" s="138" t="str">
        <f t="shared" si="830"/>
        <v>Aerated Static Pile</v>
      </c>
      <c r="C9943" s="138" t="str">
        <f t="shared" si="831"/>
        <v>Base_With Amendment</v>
      </c>
      <c r="D9943" s="138" t="str">
        <f t="shared" si="834"/>
        <v>Medium_Base</v>
      </c>
      <c r="E9943" s="138" t="str">
        <f t="shared" si="828"/>
        <v>Low</v>
      </c>
      <c r="F9943" s="138" t="str">
        <f t="shared" si="833"/>
        <v>Upgraded</v>
      </c>
      <c r="G9943" s="153"/>
      <c r="H9943" s="210">
        <v>0.1648</v>
      </c>
      <c r="I9943" s="160" t="s">
        <v>147</v>
      </c>
      <c r="J9943" s="160">
        <v>0.88297000000000003</v>
      </c>
      <c r="K9943" s="160" t="s">
        <v>15</v>
      </c>
      <c r="L9943" s="154" t="str">
        <f>IF(OpenLCAbasic!K9943="CTUh", "Fill in Manually",IF(OR(K9943="Unit", K9943=""), "", INDEX(LookUps!$E$5:$E$12, MATCH(OpenLCAbasic!K9943,LookUps!$D$5:$D$12,0))))</f>
        <v>Cumulative Energy Demand (CED) - MJ</v>
      </c>
      <c r="M9943" s="154" t="str">
        <f t="shared" si="829"/>
        <v>Low_Medium_Base_Upgraded_Cumulative Energy Demand (CED) - MJ_Influent Pump Station; wastewater treatment unit; at updated plant - US_Base_With Amendment_Aerated Static Pile</v>
      </c>
    </row>
    <row r="9944" spans="1:13" s="120" customFormat="1" x14ac:dyDescent="0.25">
      <c r="A9944" s="119"/>
      <c r="B9944" s="138" t="str">
        <f t="shared" si="830"/>
        <v>Aerated Static Pile</v>
      </c>
      <c r="C9944" s="138" t="str">
        <f t="shared" si="831"/>
        <v>Base_With Amendment</v>
      </c>
      <c r="D9944" s="138" t="str">
        <f t="shared" si="834"/>
        <v>Medium_Base</v>
      </c>
      <c r="E9944" s="138" t="str">
        <f t="shared" si="828"/>
        <v>Low</v>
      </c>
      <c r="F9944" s="138" t="str">
        <f t="shared" si="833"/>
        <v>Upgraded</v>
      </c>
      <c r="G9944" s="153"/>
      <c r="H9944" s="210">
        <v>0.13</v>
      </c>
      <c r="I9944" s="160" t="s">
        <v>53</v>
      </c>
      <c r="J9944" s="160">
        <v>0.69645000000000001</v>
      </c>
      <c r="K9944" s="160" t="s">
        <v>15</v>
      </c>
      <c r="L9944" s="154" t="str">
        <f>IF(OpenLCAbasic!K9944="CTUh", "Fill in Manually",IF(OR(K9944="Unit", K9944=""), "", INDEX(LookUps!$E$5:$E$12, MATCH(OpenLCAbasic!K9944,LookUps!$D$5:$D$12,0))))</f>
        <v>Cumulative Energy Demand (CED) - MJ</v>
      </c>
      <c r="M9944" s="154" t="str">
        <f t="shared" si="829"/>
        <v>Low_Medium_Base_Upgraded_Cumulative Energy Demand (CED) - MJ_Wet Well and Sump Station; wastewater treatment unit; at updated plant - US_Base_With Amendment_Aerated Static Pile</v>
      </c>
    </row>
    <row r="9945" spans="1:13" s="120" customFormat="1" x14ac:dyDescent="0.25">
      <c r="A9945" s="119"/>
      <c r="B9945" s="138" t="str">
        <f t="shared" si="830"/>
        <v>Aerated Static Pile</v>
      </c>
      <c r="C9945" s="138" t="str">
        <f t="shared" si="831"/>
        <v>Base_With Amendment</v>
      </c>
      <c r="D9945" s="138" t="str">
        <f t="shared" si="834"/>
        <v>Medium_Base</v>
      </c>
      <c r="E9945" s="138" t="str">
        <f t="shared" si="828"/>
        <v>Low</v>
      </c>
      <c r="F9945" s="138" t="str">
        <f t="shared" si="833"/>
        <v>Upgraded</v>
      </c>
      <c r="G9945" s="153"/>
      <c r="H9945" s="210">
        <v>7.4300000000000005E-2</v>
      </c>
      <c r="I9945" s="160" t="s">
        <v>60</v>
      </c>
      <c r="J9945" s="160">
        <v>0.39804</v>
      </c>
      <c r="K9945" s="160" t="s">
        <v>15</v>
      </c>
      <c r="L9945" s="154" t="str">
        <f>IF(OpenLCAbasic!K9945="CTUh", "Fill in Manually",IF(OR(K9945="Unit", K9945=""), "", INDEX(LookUps!$E$5:$E$12, MATCH(OpenLCAbasic!K9945,LookUps!$D$5:$D$12,0))))</f>
        <v>Cumulative Energy Demand (CED) - MJ</v>
      </c>
      <c r="M9945" s="154" t="str">
        <f t="shared" si="829"/>
        <v>Low_Medium_Base_Upgraded_Cumulative Energy Demand (CED) - MJ_Belt filter press; wastewater treatment unit; at updated plant - US_Base_With Amendment_Aerated Static Pile</v>
      </c>
    </row>
    <row r="9946" spans="1:13" s="120" customFormat="1" x14ac:dyDescent="0.25">
      <c r="A9946" s="119"/>
      <c r="B9946" s="138" t="str">
        <f t="shared" si="830"/>
        <v>Aerated Static Pile</v>
      </c>
      <c r="C9946" s="138" t="str">
        <f t="shared" si="831"/>
        <v>Base_With Amendment</v>
      </c>
      <c r="D9946" s="138" t="str">
        <f t="shared" si="834"/>
        <v>Medium_Base</v>
      </c>
      <c r="E9946" s="138" t="str">
        <f t="shared" si="828"/>
        <v>Low</v>
      </c>
      <c r="F9946" s="138" t="str">
        <f t="shared" si="833"/>
        <v>Upgraded</v>
      </c>
      <c r="G9946" s="153"/>
      <c r="H9946" s="210">
        <v>6.2300000000000001E-2</v>
      </c>
      <c r="I9946" s="160" t="s">
        <v>57</v>
      </c>
      <c r="J9946" s="160">
        <v>0.33404</v>
      </c>
      <c r="K9946" s="160" t="s">
        <v>15</v>
      </c>
      <c r="L9946" s="154" t="str">
        <f>IF(OpenLCAbasic!K9946="CTUh", "Fill in Manually",IF(OR(K9946="Unit", K9946=""), "", INDEX(LookUps!$E$5:$E$12, MATCH(OpenLCAbasic!K9946,LookUps!$D$5:$D$12,0))))</f>
        <v>Cumulative Energy Demand (CED) - MJ</v>
      </c>
      <c r="M9946" s="154" t="str">
        <f t="shared" si="829"/>
        <v>Low_Medium_Base_Upgraded_Cumulative Energy Demand (CED) - MJ_Gravity Belt Thickener; wastewater treatment unit; at updated plant - US_Base_With Amendment_Aerated Static Pile</v>
      </c>
    </row>
    <row r="9947" spans="1:13" s="120" customFormat="1" x14ac:dyDescent="0.25">
      <c r="A9947" s="119"/>
      <c r="B9947" s="138" t="str">
        <f t="shared" si="830"/>
        <v>Aerated Static Pile</v>
      </c>
      <c r="C9947" s="138" t="str">
        <f t="shared" si="831"/>
        <v>Base_With Amendment</v>
      </c>
      <c r="D9947" s="138" t="str">
        <f t="shared" si="834"/>
        <v>Medium_Base</v>
      </c>
      <c r="E9947" s="138" t="str">
        <f t="shared" si="828"/>
        <v>Low</v>
      </c>
      <c r="F9947" s="138" t="str">
        <f t="shared" si="833"/>
        <v>Upgraded</v>
      </c>
      <c r="G9947" s="153"/>
      <c r="H9947" s="210">
        <v>4.7800000000000002E-2</v>
      </c>
      <c r="I9947" s="160" t="s">
        <v>128</v>
      </c>
      <c r="J9947" s="160">
        <v>0.25606000000000001</v>
      </c>
      <c r="K9947" s="160" t="s">
        <v>15</v>
      </c>
      <c r="L9947" s="154" t="str">
        <f>IF(OpenLCAbasic!K9947="CTUh", "Fill in Manually",IF(OR(K9947="Unit", K9947=""), "", INDEX(LookUps!$E$5:$E$12, MATCH(OpenLCAbasic!K9947,LookUps!$D$5:$D$12,0))))</f>
        <v>Cumulative Energy Demand (CED) - MJ</v>
      </c>
      <c r="M9947" s="154" t="str">
        <f t="shared" si="829"/>
        <v>Low_Medium_Base_Upgraded_Cumulative Energy Demand (CED) - MJ_Wastewater collection; operation and infrastructure; m3 wastewater_Base_With Amendment_Aerated Static Pile</v>
      </c>
    </row>
    <row r="9948" spans="1:13" s="120" customFormat="1" x14ac:dyDescent="0.25">
      <c r="A9948" s="119"/>
      <c r="B9948" s="138" t="str">
        <f t="shared" si="830"/>
        <v>Aerated Static Pile</v>
      </c>
      <c r="C9948" s="138" t="str">
        <f t="shared" si="831"/>
        <v>Base_With Amendment</v>
      </c>
      <c r="D9948" s="138" t="str">
        <f t="shared" si="834"/>
        <v>Medium_Base</v>
      </c>
      <c r="E9948" s="138" t="str">
        <f t="shared" si="828"/>
        <v>Low</v>
      </c>
      <c r="F9948" s="138" t="str">
        <f t="shared" si="833"/>
        <v>Upgraded</v>
      </c>
      <c r="G9948" s="153"/>
      <c r="H9948" s="210">
        <v>2.7199999999999998E-2</v>
      </c>
      <c r="I9948" s="160" t="s">
        <v>148</v>
      </c>
      <c r="J9948" s="160">
        <v>0.14599000000000001</v>
      </c>
      <c r="K9948" s="160" t="s">
        <v>15</v>
      </c>
      <c r="L9948" s="154" t="str">
        <f>IF(OpenLCAbasic!K9948="CTUh", "Fill in Manually",IF(OR(K9948="Unit", K9948=""), "", INDEX(LookUps!$E$5:$E$12, MATCH(OpenLCAbasic!K9948,LookUps!$D$5:$D$12,0))))</f>
        <v>Cumulative Energy Demand (CED) - MJ</v>
      </c>
      <c r="M9948" s="154" t="str">
        <f t="shared" si="829"/>
        <v>Low_Medium_Base_Upgraded_Cumulative Energy Demand (CED) - MJ_Control Building; at upgraded wastewater treatment plant - US_Base_With Amendment_Aerated Static Pile</v>
      </c>
    </row>
    <row r="9949" spans="1:13" s="120" customFormat="1" x14ac:dyDescent="0.25">
      <c r="A9949" s="119"/>
      <c r="B9949" s="138" t="str">
        <f t="shared" si="830"/>
        <v>Aerated Static Pile</v>
      </c>
      <c r="C9949" s="138" t="str">
        <f t="shared" si="831"/>
        <v>Base_With Amendment</v>
      </c>
      <c r="D9949" s="138" t="str">
        <f t="shared" si="834"/>
        <v>Medium_Base</v>
      </c>
      <c r="E9949" s="138" t="str">
        <f t="shared" si="828"/>
        <v>Low</v>
      </c>
      <c r="F9949" s="138" t="str">
        <f t="shared" si="833"/>
        <v>Upgraded</v>
      </c>
      <c r="G9949" s="153"/>
      <c r="H9949" s="210">
        <v>2.4899999999999999E-2</v>
      </c>
      <c r="I9949" s="160" t="s">
        <v>48</v>
      </c>
      <c r="J9949" s="160">
        <v>0.13321</v>
      </c>
      <c r="K9949" s="160" t="s">
        <v>15</v>
      </c>
      <c r="L9949" s="154" t="str">
        <f>IF(OpenLCAbasic!K9949="CTUh", "Fill in Manually",IF(OR(K9949="Unit", K9949=""), "", INDEX(LookUps!$E$5:$E$12, MATCH(OpenLCAbasic!K9949,LookUps!$D$5:$D$12,0))))</f>
        <v>Cumulative Energy Demand (CED) - MJ</v>
      </c>
      <c r="M9949" s="154" t="str">
        <f t="shared" si="829"/>
        <v>Low_Medium_Base_Upgraded_Cumulative Energy Demand (CED) - MJ_Effluent release; wastewater treatment unit; at surface water; m3 wastewater - US_Base_With Amendment_Aerated Static Pile</v>
      </c>
    </row>
    <row r="9950" spans="1:13" s="120" customFormat="1" x14ac:dyDescent="0.25">
      <c r="A9950" s="119"/>
      <c r="B9950" s="138" t="str">
        <f t="shared" si="830"/>
        <v>Aerated Static Pile</v>
      </c>
      <c r="C9950" s="138" t="str">
        <f t="shared" si="831"/>
        <v>Base_With Amendment</v>
      </c>
      <c r="D9950" s="138" t="str">
        <f t="shared" si="834"/>
        <v>Medium_Base</v>
      </c>
      <c r="E9950" s="138" t="str">
        <f t="shared" si="828"/>
        <v>Low</v>
      </c>
      <c r="F9950" s="138" t="str">
        <f t="shared" si="833"/>
        <v>Upgraded</v>
      </c>
      <c r="G9950" s="153"/>
      <c r="H9950" s="210">
        <v>1.9900000000000001E-2</v>
      </c>
      <c r="I9950" s="160" t="s">
        <v>59</v>
      </c>
      <c r="J9950" s="160">
        <v>0.10638</v>
      </c>
      <c r="K9950" s="160" t="s">
        <v>15</v>
      </c>
      <c r="L9950" s="154" t="str">
        <f>IF(OpenLCAbasic!K9950="CTUh", "Fill in Manually",IF(OR(K9950="Unit", K9950=""), "", INDEX(LookUps!$E$5:$E$12, MATCH(OpenLCAbasic!K9950,LookUps!$D$5:$D$12,0))))</f>
        <v>Cumulative Energy Demand (CED) - MJ</v>
      </c>
      <c r="M9950" s="154" t="str">
        <f t="shared" si="829"/>
        <v>Low_Medium_Base_Upgraded_Cumulative Energy Demand (CED) - MJ_Blend Tank; wastewater treatment unit; at updated plant - US_Base_With Amendment_Aerated Static Pile</v>
      </c>
    </row>
    <row r="9951" spans="1:13" s="120" customFormat="1" x14ac:dyDescent="0.25">
      <c r="A9951" s="119"/>
      <c r="B9951" s="138" t="str">
        <f t="shared" si="830"/>
        <v>Aerated Static Pile</v>
      </c>
      <c r="C9951" s="138" t="str">
        <f t="shared" si="831"/>
        <v>Base_With Amendment</v>
      </c>
      <c r="D9951" s="138" t="str">
        <f t="shared" si="834"/>
        <v>Medium_Base</v>
      </c>
      <c r="E9951" s="138" t="str">
        <f t="shared" si="828"/>
        <v>Low</v>
      </c>
      <c r="F9951" s="138" t="str">
        <f t="shared" si="833"/>
        <v>Upgraded</v>
      </c>
      <c r="G9951" s="153"/>
      <c r="H9951" s="210">
        <v>9.4999999999999998E-3</v>
      </c>
      <c r="I9951" s="160" t="s">
        <v>168</v>
      </c>
      <c r="J9951" s="160">
        <v>5.0930000000000003E-2</v>
      </c>
      <c r="K9951" s="160" t="s">
        <v>15</v>
      </c>
      <c r="L9951" s="154" t="str">
        <f>IF(OpenLCAbasic!K9951="CTUh", "Fill in Manually",IF(OR(K9951="Unit", K9951=""), "", INDEX(LookUps!$E$5:$E$12, MATCH(OpenLCAbasic!K9951,LookUps!$D$5:$D$12,0))))</f>
        <v>Cumulative Energy Demand (CED) - MJ</v>
      </c>
      <c r="M9951" s="154" t="str">
        <f t="shared" si="829"/>
        <v>Low_Medium_Base_Upgraded_Cumulative Energy Demand (CED) - MJ_ClearCove SCP; wastewater treatment unit; at updated plant - US_Base_With Amendment_Aerated Static Pile</v>
      </c>
    </row>
    <row r="9952" spans="1:13" s="120" customFormat="1" x14ac:dyDescent="0.25">
      <c r="A9952" s="119"/>
      <c r="B9952" s="138" t="str">
        <f t="shared" si="830"/>
        <v>Aerated Static Pile</v>
      </c>
      <c r="C9952" s="138" t="str">
        <f t="shared" si="831"/>
        <v>Base_With Amendment</v>
      </c>
      <c r="D9952" s="138" t="str">
        <f t="shared" si="834"/>
        <v>Medium_Base</v>
      </c>
      <c r="E9952" s="138" t="str">
        <f t="shared" si="828"/>
        <v>Low</v>
      </c>
      <c r="F9952" s="138" t="str">
        <f t="shared" si="833"/>
        <v>Upgraded</v>
      </c>
      <c r="G9952" s="153"/>
      <c r="H9952" s="210">
        <v>-0.12180000000000001</v>
      </c>
      <c r="I9952" s="160" t="s">
        <v>62</v>
      </c>
      <c r="J9952" s="160">
        <v>-0.65253000000000005</v>
      </c>
      <c r="K9952" s="160" t="s">
        <v>15</v>
      </c>
      <c r="L9952" s="154" t="str">
        <f>IF(OpenLCAbasic!K9952="CTUh", "Fill in Manually",IF(OR(K9952="Unit", K9952=""), "", INDEX(LookUps!$E$5:$E$12, MATCH(OpenLCAbasic!K9952,LookUps!$D$5:$D$12,0))))</f>
        <v>Cumulative Energy Demand (CED) - MJ</v>
      </c>
      <c r="M9952" s="154" t="str">
        <f t="shared" si="829"/>
        <v>Low_Medium_Base_Upgraded_Cumulative Energy Demand (CED) - MJ_Land application of compost; wastewater treatment unit; at updated plant - US_Base_With Amendment_Aerated Static Pile</v>
      </c>
    </row>
    <row r="9953" spans="1:13" s="120" customFormat="1" x14ac:dyDescent="0.25">
      <c r="A9953" s="119"/>
      <c r="B9953" s="138" t="str">
        <f t="shared" si="830"/>
        <v>Aerated Static Pile</v>
      </c>
      <c r="C9953" s="138" t="str">
        <f t="shared" si="831"/>
        <v>Base_With Amendment</v>
      </c>
      <c r="D9953" s="138" t="str">
        <f t="shared" si="834"/>
        <v>Medium_Base</v>
      </c>
      <c r="E9953" s="138" t="str">
        <f t="shared" si="828"/>
        <v>Low</v>
      </c>
      <c r="F9953" s="138" t="str">
        <f t="shared" si="833"/>
        <v>Upgraded</v>
      </c>
      <c r="G9953" s="153"/>
      <c r="H9953" s="210">
        <v>-1.601</v>
      </c>
      <c r="I9953" s="160" t="s">
        <v>149</v>
      </c>
      <c r="J9953" s="160">
        <v>-8.5788899999999995</v>
      </c>
      <c r="K9953" s="160" t="s">
        <v>15</v>
      </c>
      <c r="L9953" s="154" t="str">
        <f>IF(OpenLCAbasic!K9953="CTUh", "Fill in Manually",IF(OR(K9953="Unit", K9953=""), "", INDEX(LookUps!$E$5:$E$12, MATCH(OpenLCAbasic!K9953,LookUps!$D$5:$D$12,0))))</f>
        <v>Cumulative Energy Demand (CED) - MJ</v>
      </c>
      <c r="M9953" s="154" t="str">
        <f t="shared" si="829"/>
        <v>Low_Medium_Base_Upgraded_Cumulative Energy Demand (CED) - MJ_Anaerobic Digestion; wastewater treatment unit; at updated plant - US_Base_With Amendment_Aerated Static Pile</v>
      </c>
    </row>
    <row r="9954" spans="1:13" s="120" customFormat="1" x14ac:dyDescent="0.25">
      <c r="A9954" s="119"/>
      <c r="B9954" s="138" t="str">
        <f t="shared" si="830"/>
        <v/>
      </c>
      <c r="C9954" s="138" t="str">
        <f t="shared" si="831"/>
        <v/>
      </c>
      <c r="D9954" s="138" t="str">
        <f t="shared" si="834"/>
        <v/>
      </c>
      <c r="E9954" s="138" t="str">
        <f t="shared" si="828"/>
        <v/>
      </c>
      <c r="F9954" s="138" t="str">
        <f t="shared" si="833"/>
        <v/>
      </c>
      <c r="G9954" s="153" t="s">
        <v>51</v>
      </c>
      <c r="H9954" s="160"/>
      <c r="I9954" s="160" t="s">
        <v>47</v>
      </c>
      <c r="J9954" s="160" t="s">
        <v>52</v>
      </c>
      <c r="K9954" s="160" t="s">
        <v>27</v>
      </c>
      <c r="L9954" s="154" t="str">
        <f>IF(OpenLCAbasic!K9954="CTUh", "Fill in Manually",IF(OR(K9954="Unit", K9954=""), "", INDEX(LookUps!$E$5:$E$12, MATCH(OpenLCAbasic!K9954,LookUps!$D$5:$D$12,0))))</f>
        <v/>
      </c>
      <c r="M9954" s="154" t="str">
        <f t="shared" si="829"/>
        <v>____Process__</v>
      </c>
    </row>
    <row r="9955" spans="1:13" s="120" customFormat="1" x14ac:dyDescent="0.25">
      <c r="A9955" s="119"/>
      <c r="B9955" s="138" t="str">
        <f t="shared" si="830"/>
        <v>Aerated Static Pile</v>
      </c>
      <c r="C9955" s="138" t="str">
        <f t="shared" si="831"/>
        <v>Base_With Amendment</v>
      </c>
      <c r="D9955" s="138" t="str">
        <f t="shared" si="834"/>
        <v>Medium_Base</v>
      </c>
      <c r="E9955" s="138" t="str">
        <f t="shared" si="828"/>
        <v>Low</v>
      </c>
      <c r="F9955" s="138" t="str">
        <f t="shared" si="833"/>
        <v>Upgraded</v>
      </c>
      <c r="G9955" s="153"/>
      <c r="H9955" s="210">
        <v>0.73260000000000003</v>
      </c>
      <c r="I9955" s="160" t="s">
        <v>48</v>
      </c>
      <c r="J9955" s="160">
        <v>1.1610000000000001E-2</v>
      </c>
      <c r="K9955" s="160" t="s">
        <v>13</v>
      </c>
      <c r="L9955" s="154" t="str">
        <f>IF(OpenLCAbasic!K9955="CTUh", "Fill in Manually",IF(OR(K9955="Unit", K9955=""), "", INDEX(LookUps!$E$5:$E$12, MATCH(OpenLCAbasic!K9955,LookUps!$D$5:$D$12,0))))</f>
        <v>Eutrophication Potential (EP) - kg N eq</v>
      </c>
      <c r="M9955" s="154" t="str">
        <f t="shared" si="829"/>
        <v>Low_Medium_Base_Upgraded_Eutrophication Potential (EP) - kg N eq_Effluent release; wastewater treatment unit; at surface water; m3 wastewater - US_Base_With Amendment_Aerated Static Pile</v>
      </c>
    </row>
    <row r="9956" spans="1:13" s="120" customFormat="1" x14ac:dyDescent="0.25">
      <c r="A9956" s="119"/>
      <c r="B9956" s="138" t="str">
        <f t="shared" si="830"/>
        <v>Aerated Static Pile</v>
      </c>
      <c r="C9956" s="138" t="str">
        <f t="shared" si="831"/>
        <v>Base_With Amendment</v>
      </c>
      <c r="D9956" s="138" t="str">
        <f t="shared" si="834"/>
        <v>Medium_Base</v>
      </c>
      <c r="E9956" s="138" t="str">
        <f t="shared" si="828"/>
        <v>Low</v>
      </c>
      <c r="F9956" s="138" t="str">
        <f t="shared" si="833"/>
        <v>Upgraded</v>
      </c>
      <c r="G9956" s="153"/>
      <c r="H9956" s="210">
        <v>0.1852</v>
      </c>
      <c r="I9956" s="160" t="s">
        <v>62</v>
      </c>
      <c r="J9956" s="160">
        <v>2.9399999999999999E-3</v>
      </c>
      <c r="K9956" s="160" t="s">
        <v>13</v>
      </c>
      <c r="L9956" s="154" t="str">
        <f>IF(OpenLCAbasic!K9956="CTUh", "Fill in Manually",IF(OR(K9956="Unit", K9956=""), "", INDEX(LookUps!$E$5:$E$12, MATCH(OpenLCAbasic!K9956,LookUps!$D$5:$D$12,0))))</f>
        <v>Eutrophication Potential (EP) - kg N eq</v>
      </c>
      <c r="M9956" s="154" t="str">
        <f t="shared" si="829"/>
        <v>Low_Medium_Base_Upgraded_Eutrophication Potential (EP) - kg N eq_Land application of compost; wastewater treatment unit; at updated plant - US_Base_With Amendment_Aerated Static Pile</v>
      </c>
    </row>
    <row r="9957" spans="1:13" s="120" customFormat="1" x14ac:dyDescent="0.25">
      <c r="A9957" s="119"/>
      <c r="B9957" s="138" t="str">
        <f t="shared" si="830"/>
        <v>Aerated Static Pile</v>
      </c>
      <c r="C9957" s="138" t="str">
        <f t="shared" si="831"/>
        <v>Base_With Amendment</v>
      </c>
      <c r="D9957" s="138" t="str">
        <f t="shared" si="834"/>
        <v>Medium_Base</v>
      </c>
      <c r="E9957" s="138" t="str">
        <f t="shared" si="828"/>
        <v>Low</v>
      </c>
      <c r="F9957" s="138" t="str">
        <f t="shared" si="833"/>
        <v>Upgraded</v>
      </c>
      <c r="G9957" s="153"/>
      <c r="H9957" s="210">
        <v>3.4500000000000003E-2</v>
      </c>
      <c r="I9957" s="160" t="s">
        <v>55</v>
      </c>
      <c r="J9957" s="160">
        <v>5.5000000000000003E-4</v>
      </c>
      <c r="K9957" s="160" t="s">
        <v>13</v>
      </c>
      <c r="L9957" s="154" t="str">
        <f>IF(OpenLCAbasic!K9957="CTUh", "Fill in Manually",IF(OR(K9957="Unit", K9957=""), "", INDEX(LookUps!$E$5:$E$12, MATCH(OpenLCAbasic!K9957,LookUps!$D$5:$D$12,0))))</f>
        <v>Eutrophication Potential (EP) - kg N eq</v>
      </c>
      <c r="M9957" s="154" t="str">
        <f t="shared" si="829"/>
        <v>Low_Medium_Base_Upgraded_Eutrophication Potential (EP) - kg N eq_Aeration Tanks; wastewater treatment unit; at updated plant - US_Base_With Amendment_Aerated Static Pile</v>
      </c>
    </row>
    <row r="9958" spans="1:13" s="120" customFormat="1" x14ac:dyDescent="0.25">
      <c r="A9958" s="119"/>
      <c r="B9958" s="138" t="str">
        <f t="shared" si="830"/>
        <v>Aerated Static Pile</v>
      </c>
      <c r="C9958" s="138" t="str">
        <f t="shared" si="831"/>
        <v>Base_With Amendment</v>
      </c>
      <c r="D9958" s="138" t="str">
        <f t="shared" si="834"/>
        <v>Medium_Base</v>
      </c>
      <c r="E9958" s="138" t="str">
        <f t="shared" si="828"/>
        <v>Low</v>
      </c>
      <c r="F9958" s="138" t="str">
        <f t="shared" si="833"/>
        <v>Upgraded</v>
      </c>
      <c r="G9958" s="153"/>
      <c r="H9958" s="210">
        <v>1.67E-2</v>
      </c>
      <c r="I9958" s="160" t="s">
        <v>435</v>
      </c>
      <c r="J9958" s="160">
        <v>2.5999999999999998E-4</v>
      </c>
      <c r="K9958" s="160" t="s">
        <v>13</v>
      </c>
      <c r="L9958" s="154" t="str">
        <f>IF(OpenLCAbasic!K9958="CTUh", "Fill in Manually",IF(OR(K9958="Unit", K9958=""), "", INDEX(LookUps!$E$5:$E$12, MATCH(OpenLCAbasic!K9958,LookUps!$D$5:$D$12,0))))</f>
        <v>Eutrophication Potential (EP) - kg N eq</v>
      </c>
      <c r="M9958" s="154" t="str">
        <f t="shared" si="829"/>
        <v>Low_Medium_Base_Upgraded_Eutrophication Potential (EP) - kg N eq_Biosolids composting; aerated static pile; wastewater treatment unit; at updated plant - US_Base_With Amendment_Aerated Static Pile</v>
      </c>
    </row>
    <row r="9959" spans="1:13" s="120" customFormat="1" x14ac:dyDescent="0.25">
      <c r="A9959" s="119"/>
      <c r="B9959" s="138" t="str">
        <f t="shared" si="830"/>
        <v>Aerated Static Pile</v>
      </c>
      <c r="C9959" s="138" t="str">
        <f t="shared" si="831"/>
        <v>Base_With Amendment</v>
      </c>
      <c r="D9959" s="138" t="str">
        <f t="shared" si="834"/>
        <v>Medium_Base</v>
      </c>
      <c r="E9959" s="138" t="str">
        <f t="shared" si="828"/>
        <v>Low</v>
      </c>
      <c r="F9959" s="138" t="str">
        <f t="shared" si="833"/>
        <v>Upgraded</v>
      </c>
      <c r="G9959" s="153"/>
      <c r="H9959" s="210">
        <v>1.5800000000000002E-2</v>
      </c>
      <c r="I9959" s="160" t="s">
        <v>147</v>
      </c>
      <c r="J9959" s="160">
        <v>2.5000000000000001E-4</v>
      </c>
      <c r="K9959" s="160" t="s">
        <v>13</v>
      </c>
      <c r="L9959" s="154" t="str">
        <f>IF(OpenLCAbasic!K9959="CTUh", "Fill in Manually",IF(OR(K9959="Unit", K9959=""), "", INDEX(LookUps!$E$5:$E$12, MATCH(OpenLCAbasic!K9959,LookUps!$D$5:$D$12,0))))</f>
        <v>Eutrophication Potential (EP) - kg N eq</v>
      </c>
      <c r="M9959" s="154" t="str">
        <f t="shared" si="829"/>
        <v>Low_Medium_Base_Upgraded_Eutrophication Potential (EP) - kg N eq_Influent Pump Station; wastewater treatment unit; at updated plant - US_Base_With Amendment_Aerated Static Pile</v>
      </c>
    </row>
    <row r="9960" spans="1:13" s="120" customFormat="1" x14ac:dyDescent="0.25">
      <c r="A9960" s="119"/>
      <c r="B9960" s="138" t="str">
        <f t="shared" si="830"/>
        <v>Aerated Static Pile</v>
      </c>
      <c r="C9960" s="138" t="str">
        <f t="shared" si="831"/>
        <v>Base_With Amendment</v>
      </c>
      <c r="D9960" s="138" t="str">
        <f t="shared" si="834"/>
        <v>Medium_Base</v>
      </c>
      <c r="E9960" s="138" t="str">
        <f t="shared" si="828"/>
        <v>Low</v>
      </c>
      <c r="F9960" s="138" t="str">
        <f t="shared" si="833"/>
        <v>Upgraded</v>
      </c>
      <c r="G9960" s="153"/>
      <c r="H9960" s="210">
        <v>1.2500000000000001E-2</v>
      </c>
      <c r="I9960" s="160" t="s">
        <v>54</v>
      </c>
      <c r="J9960" s="160">
        <v>2.0000000000000001E-4</v>
      </c>
      <c r="K9960" s="160" t="s">
        <v>13</v>
      </c>
      <c r="L9960" s="154" t="str">
        <f>IF(OpenLCAbasic!K9960="CTUh", "Fill in Manually",IF(OR(K9960="Unit", K9960=""), "", INDEX(LookUps!$E$5:$E$12, MATCH(OpenLCAbasic!K9960,LookUps!$D$5:$D$12,0))))</f>
        <v>Eutrophication Potential (EP) - kg N eq</v>
      </c>
      <c r="M9960" s="154" t="str">
        <f t="shared" si="829"/>
        <v>Low_Medium_Base_Upgraded_Eutrophication Potential (EP) - kg N eq_Clear Cove Primary Clarification; wastewater treatment unit; at updated plant - US_Base_With Amendment_Aerated Static Pile</v>
      </c>
    </row>
    <row r="9961" spans="1:13" s="120" customFormat="1" x14ac:dyDescent="0.25">
      <c r="A9961" s="119"/>
      <c r="B9961" s="138" t="str">
        <f t="shared" si="830"/>
        <v>Aerated Static Pile</v>
      </c>
      <c r="C9961" s="138" t="str">
        <f t="shared" si="831"/>
        <v>Base_With Amendment</v>
      </c>
      <c r="D9961" s="138" t="str">
        <f t="shared" si="834"/>
        <v>Medium_Base</v>
      </c>
      <c r="E9961" s="138" t="str">
        <f t="shared" ref="E9961:E10024" si="835">IF(ISNUMBER($J9961),"Low","")</f>
        <v>Low</v>
      </c>
      <c r="F9961" s="138" t="str">
        <f t="shared" si="833"/>
        <v>Upgraded</v>
      </c>
      <c r="G9961" s="153"/>
      <c r="H9961" s="210">
        <v>1.2E-2</v>
      </c>
      <c r="I9961" s="160" t="s">
        <v>167</v>
      </c>
      <c r="J9961" s="160">
        <v>1.9000000000000001E-4</v>
      </c>
      <c r="K9961" s="160" t="s">
        <v>13</v>
      </c>
      <c r="L9961" s="154" t="str">
        <f>IF(OpenLCAbasic!K9961="CTUh", "Fill in Manually",IF(OR(K9961="Unit", K9961=""), "", INDEX(LookUps!$E$5:$E$12, MATCH(OpenLCAbasic!K9961,LookUps!$D$5:$D$12,0))))</f>
        <v>Eutrophication Potential (EP) - kg N eq</v>
      </c>
      <c r="M9961" s="154" t="str">
        <f t="shared" si="829"/>
        <v>Low_Medium_Base_Upgraded_Eutrophication Potential (EP) - kg N eq_Waste Receiving and Holding; wastewater treatment unit; at updated plant - US_Base_With Amendment_Aerated Static Pile</v>
      </c>
    </row>
    <row r="9962" spans="1:13" s="120" customFormat="1" x14ac:dyDescent="0.25">
      <c r="A9962" s="119"/>
      <c r="B9962" s="138" t="str">
        <f t="shared" si="830"/>
        <v>Aerated Static Pile</v>
      </c>
      <c r="C9962" s="138" t="str">
        <f t="shared" si="831"/>
        <v>Base_With Amendment</v>
      </c>
      <c r="D9962" s="138" t="str">
        <f t="shared" si="834"/>
        <v>Medium_Base</v>
      </c>
      <c r="E9962" s="138" t="str">
        <f t="shared" si="835"/>
        <v>Low</v>
      </c>
      <c r="F9962" s="138" t="str">
        <f t="shared" si="833"/>
        <v>Upgraded</v>
      </c>
      <c r="G9962" s="153"/>
      <c r="H9962" s="210">
        <v>8.6E-3</v>
      </c>
      <c r="I9962" s="160" t="s">
        <v>58</v>
      </c>
      <c r="J9962" s="160">
        <v>1.3999999999999999E-4</v>
      </c>
      <c r="K9962" s="160" t="s">
        <v>13</v>
      </c>
      <c r="L9962" s="154" t="str">
        <f>IF(OpenLCAbasic!K9962="CTUh", "Fill in Manually",IF(OR(K9962="Unit", K9962=""), "", INDEX(LookUps!$E$5:$E$12, MATCH(OpenLCAbasic!K9962,LookUps!$D$5:$D$12,0))))</f>
        <v>Eutrophication Potential (EP) - kg N eq</v>
      </c>
      <c r="M9962" s="154" t="str">
        <f t="shared" si="829"/>
        <v>Low_Medium_Base_Upgraded_Eutrophication Potential (EP) - kg N eq_Pre-Anoxic &amp; Swing tank; wastewater treatment unit; at updated plant - US_Base_With Amendment_Aerated Static Pile</v>
      </c>
    </row>
    <row r="9963" spans="1:13" s="120" customFormat="1" x14ac:dyDescent="0.25">
      <c r="A9963" s="119"/>
      <c r="B9963" s="138" t="str">
        <f t="shared" si="830"/>
        <v>Aerated Static Pile</v>
      </c>
      <c r="C9963" s="138" t="str">
        <f t="shared" si="831"/>
        <v>Base_With Amendment</v>
      </c>
      <c r="D9963" s="138" t="str">
        <f t="shared" si="834"/>
        <v>Medium_Base</v>
      </c>
      <c r="E9963" s="138" t="str">
        <f t="shared" si="835"/>
        <v>Low</v>
      </c>
      <c r="F9963" s="138" t="str">
        <f t="shared" si="833"/>
        <v>Upgraded</v>
      </c>
      <c r="G9963" s="153"/>
      <c r="H9963" s="210">
        <v>6.7999999999999996E-3</v>
      </c>
      <c r="I9963" s="160" t="s">
        <v>53</v>
      </c>
      <c r="J9963" s="160">
        <v>1.1E-4</v>
      </c>
      <c r="K9963" s="160" t="s">
        <v>13</v>
      </c>
      <c r="L9963" s="154" t="str">
        <f>IF(OpenLCAbasic!K9963="CTUh", "Fill in Manually",IF(OR(K9963="Unit", K9963=""), "", INDEX(LookUps!$E$5:$E$12, MATCH(OpenLCAbasic!K9963,LookUps!$D$5:$D$12,0))))</f>
        <v>Eutrophication Potential (EP) - kg N eq</v>
      </c>
      <c r="M9963" s="154" t="str">
        <f t="shared" si="829"/>
        <v>Low_Medium_Base_Upgraded_Eutrophication Potential (EP) - kg N eq_Wet Well and Sump Station; wastewater treatment unit; at updated plant - US_Base_With Amendment_Aerated Static Pile</v>
      </c>
    </row>
    <row r="9964" spans="1:13" s="120" customFormat="1" x14ac:dyDescent="0.25">
      <c r="A9964" s="119"/>
      <c r="B9964" s="138" t="str">
        <f t="shared" si="830"/>
        <v>Aerated Static Pile</v>
      </c>
      <c r="C9964" s="138" t="str">
        <f t="shared" si="831"/>
        <v>Base_With Amendment</v>
      </c>
      <c r="D9964" s="138" t="str">
        <f t="shared" si="834"/>
        <v>Medium_Base</v>
      </c>
      <c r="E9964" s="138" t="str">
        <f t="shared" si="835"/>
        <v>Low</v>
      </c>
      <c r="F9964" s="138" t="str">
        <f t="shared" si="833"/>
        <v>Upgraded</v>
      </c>
      <c r="G9964" s="153"/>
      <c r="H9964" s="210">
        <v>4.4000000000000003E-3</v>
      </c>
      <c r="I9964" s="160" t="s">
        <v>60</v>
      </c>
      <c r="J9964" s="211">
        <v>6.9922100000000006E-5</v>
      </c>
      <c r="K9964" s="160" t="s">
        <v>13</v>
      </c>
      <c r="L9964" s="154" t="str">
        <f>IF(OpenLCAbasic!K9964="CTUh", "Fill in Manually",IF(OR(K9964="Unit", K9964=""), "", INDEX(LookUps!$E$5:$E$12, MATCH(OpenLCAbasic!K9964,LookUps!$D$5:$D$12,0))))</f>
        <v>Eutrophication Potential (EP) - kg N eq</v>
      </c>
      <c r="M9964" s="154" t="str">
        <f t="shared" si="829"/>
        <v>Low_Medium_Base_Upgraded_Eutrophication Potential (EP) - kg N eq_Belt filter press; wastewater treatment unit; at updated plant - US_Base_With Amendment_Aerated Static Pile</v>
      </c>
    </row>
    <row r="9965" spans="1:13" s="120" customFormat="1" x14ac:dyDescent="0.25">
      <c r="A9965" s="119"/>
      <c r="B9965" s="138" t="str">
        <f t="shared" si="830"/>
        <v>Aerated Static Pile</v>
      </c>
      <c r="C9965" s="138" t="str">
        <f t="shared" si="831"/>
        <v>Base_With Amendment</v>
      </c>
      <c r="D9965" s="138" t="str">
        <f t="shared" si="834"/>
        <v>Medium_Base</v>
      </c>
      <c r="E9965" s="138" t="str">
        <f t="shared" si="835"/>
        <v>Low</v>
      </c>
      <c r="F9965" s="138" t="str">
        <f t="shared" si="833"/>
        <v>Upgraded</v>
      </c>
      <c r="G9965" s="153"/>
      <c r="H9965" s="210">
        <v>3.8E-3</v>
      </c>
      <c r="I9965" s="160" t="s">
        <v>57</v>
      </c>
      <c r="J9965" s="211">
        <v>6.0590300000000002E-5</v>
      </c>
      <c r="K9965" s="160" t="s">
        <v>13</v>
      </c>
      <c r="L9965" s="154" t="str">
        <f>IF(OpenLCAbasic!K9965="CTUh", "Fill in Manually",IF(OR(K9965="Unit", K9965=""), "", INDEX(LookUps!$E$5:$E$12, MATCH(OpenLCAbasic!K9965,LookUps!$D$5:$D$12,0))))</f>
        <v>Eutrophication Potential (EP) - kg N eq</v>
      </c>
      <c r="M9965" s="154" t="str">
        <f t="shared" si="829"/>
        <v>Low_Medium_Base_Upgraded_Eutrophication Potential (EP) - kg N eq_Gravity Belt Thickener; wastewater treatment unit; at updated plant - US_Base_With Amendment_Aerated Static Pile</v>
      </c>
    </row>
    <row r="9966" spans="1:13" s="120" customFormat="1" x14ac:dyDescent="0.25">
      <c r="A9966" s="119"/>
      <c r="B9966" s="138" t="str">
        <f t="shared" si="830"/>
        <v>Aerated Static Pile</v>
      </c>
      <c r="C9966" s="138" t="str">
        <f t="shared" si="831"/>
        <v>Base_With Amendment</v>
      </c>
      <c r="D9966" s="138" t="str">
        <f t="shared" si="834"/>
        <v>Medium_Base</v>
      </c>
      <c r="E9966" s="138" t="str">
        <f t="shared" si="835"/>
        <v>Low</v>
      </c>
      <c r="F9966" s="138" t="str">
        <f t="shared" si="833"/>
        <v>Upgraded</v>
      </c>
      <c r="G9966" s="153"/>
      <c r="H9966" s="210">
        <v>2.3999999999999998E-3</v>
      </c>
      <c r="I9966" s="160" t="s">
        <v>128</v>
      </c>
      <c r="J9966" s="211">
        <v>3.7559799999999999E-5</v>
      </c>
      <c r="K9966" s="160" t="s">
        <v>13</v>
      </c>
      <c r="L9966" s="154" t="str">
        <f>IF(OpenLCAbasic!K9966="CTUh", "Fill in Manually",IF(OR(K9966="Unit", K9966=""), "", INDEX(LookUps!$E$5:$E$12, MATCH(OpenLCAbasic!K9966,LookUps!$D$5:$D$12,0))))</f>
        <v>Eutrophication Potential (EP) - kg N eq</v>
      </c>
      <c r="M9966" s="154" t="str">
        <f t="shared" si="829"/>
        <v>Low_Medium_Base_Upgraded_Eutrophication Potential (EP) - kg N eq_Wastewater collection; operation and infrastructure; m3 wastewater_Base_With Amendment_Aerated Static Pile</v>
      </c>
    </row>
    <row r="9967" spans="1:13" s="120" customFormat="1" x14ac:dyDescent="0.25">
      <c r="A9967" s="119"/>
      <c r="B9967" s="138" t="str">
        <f t="shared" si="830"/>
        <v>Aerated Static Pile</v>
      </c>
      <c r="C9967" s="138" t="str">
        <f t="shared" si="831"/>
        <v>Base_With Amendment</v>
      </c>
      <c r="D9967" s="138" t="str">
        <f t="shared" si="834"/>
        <v>Medium_Base</v>
      </c>
      <c r="E9967" s="138" t="str">
        <f t="shared" si="835"/>
        <v>Low</v>
      </c>
      <c r="F9967" s="138" t="str">
        <f t="shared" si="833"/>
        <v>Upgraded</v>
      </c>
      <c r="G9967" s="153"/>
      <c r="H9967" s="210">
        <v>2.3E-3</v>
      </c>
      <c r="I9967" s="160" t="s">
        <v>148</v>
      </c>
      <c r="J9967" s="211">
        <v>3.6874600000000001E-5</v>
      </c>
      <c r="K9967" s="160" t="s">
        <v>13</v>
      </c>
      <c r="L9967" s="154" t="str">
        <f>IF(OpenLCAbasic!K9967="CTUh", "Fill in Manually",IF(OR(K9967="Unit", K9967=""), "", INDEX(LookUps!$E$5:$E$12, MATCH(OpenLCAbasic!K9967,LookUps!$D$5:$D$12,0))))</f>
        <v>Eutrophication Potential (EP) - kg N eq</v>
      </c>
      <c r="M9967" s="154" t="str">
        <f t="shared" si="829"/>
        <v>Low_Medium_Base_Upgraded_Eutrophication Potential (EP) - kg N eq_Control Building; at upgraded wastewater treatment plant - US_Base_With Amendment_Aerated Static Pile</v>
      </c>
    </row>
    <row r="9968" spans="1:13" s="120" customFormat="1" x14ac:dyDescent="0.25">
      <c r="A9968" s="119"/>
      <c r="B9968" s="138" t="str">
        <f t="shared" si="830"/>
        <v>Aerated Static Pile</v>
      </c>
      <c r="C9968" s="138" t="str">
        <f t="shared" si="831"/>
        <v>Base_With Amendment</v>
      </c>
      <c r="D9968" s="138" t="str">
        <f t="shared" si="834"/>
        <v>Medium_Base</v>
      </c>
      <c r="E9968" s="138" t="str">
        <f t="shared" si="835"/>
        <v>Low</v>
      </c>
      <c r="F9968" s="138" t="str">
        <f t="shared" si="833"/>
        <v>Upgraded</v>
      </c>
      <c r="G9968" s="153"/>
      <c r="H9968" s="210">
        <v>1E-3</v>
      </c>
      <c r="I9968" s="160" t="s">
        <v>59</v>
      </c>
      <c r="J9968" s="211">
        <v>1.6215700000000001E-5</v>
      </c>
      <c r="K9968" s="160" t="s">
        <v>13</v>
      </c>
      <c r="L9968" s="154" t="str">
        <f>IF(OpenLCAbasic!K9968="CTUh", "Fill in Manually",IF(OR(K9968="Unit", K9968=""), "", INDEX(LookUps!$E$5:$E$12, MATCH(OpenLCAbasic!K9968,LookUps!$D$5:$D$12,0))))</f>
        <v>Eutrophication Potential (EP) - kg N eq</v>
      </c>
      <c r="M9968" s="154" t="str">
        <f t="shared" si="829"/>
        <v>Low_Medium_Base_Upgraded_Eutrophication Potential (EP) - kg N eq_Blend Tank; wastewater treatment unit; at updated plant - US_Base_With Amendment_Aerated Static Pile</v>
      </c>
    </row>
    <row r="9969" spans="1:13" s="120" customFormat="1" x14ac:dyDescent="0.25">
      <c r="A9969" s="119"/>
      <c r="B9969" s="138" t="str">
        <f t="shared" si="830"/>
        <v>Aerated Static Pile</v>
      </c>
      <c r="C9969" s="138" t="str">
        <f t="shared" si="831"/>
        <v>Base_With Amendment</v>
      </c>
      <c r="D9969" s="138" t="str">
        <f t="shared" si="834"/>
        <v>Medium_Base</v>
      </c>
      <c r="E9969" s="138" t="str">
        <f t="shared" si="835"/>
        <v>Low</v>
      </c>
      <c r="F9969" s="138" t="str">
        <f t="shared" si="833"/>
        <v>Upgraded</v>
      </c>
      <c r="G9969" s="153"/>
      <c r="H9969" s="210">
        <v>5.0000000000000001E-4</v>
      </c>
      <c r="I9969" s="160" t="s">
        <v>168</v>
      </c>
      <c r="J9969" s="211">
        <v>7.7567199999999995E-6</v>
      </c>
      <c r="K9969" s="160" t="s">
        <v>13</v>
      </c>
      <c r="L9969" s="154" t="str">
        <f>IF(OpenLCAbasic!K9969="CTUh", "Fill in Manually",IF(OR(K9969="Unit", K9969=""), "", INDEX(LookUps!$E$5:$E$12, MATCH(OpenLCAbasic!K9969,LookUps!$D$5:$D$12,0))))</f>
        <v>Eutrophication Potential (EP) - kg N eq</v>
      </c>
      <c r="M9969" s="154" t="str">
        <f t="shared" si="829"/>
        <v>Low_Medium_Base_Upgraded_Eutrophication Potential (EP) - kg N eq_ClearCove SCP; wastewater treatment unit; at updated plant - US_Base_With Amendment_Aerated Static Pile</v>
      </c>
    </row>
    <row r="9970" spans="1:13" s="120" customFormat="1" x14ac:dyDescent="0.25">
      <c r="A9970" s="119"/>
      <c r="B9970" s="138" t="str">
        <f t="shared" si="830"/>
        <v>Aerated Static Pile</v>
      </c>
      <c r="C9970" s="138" t="str">
        <f t="shared" si="831"/>
        <v>Base_With Amendment</v>
      </c>
      <c r="D9970" s="138" t="str">
        <f t="shared" si="834"/>
        <v>Medium_Base</v>
      </c>
      <c r="E9970" s="138" t="str">
        <f t="shared" si="835"/>
        <v>Low</v>
      </c>
      <c r="F9970" s="138" t="str">
        <f t="shared" si="833"/>
        <v>Upgraded</v>
      </c>
      <c r="G9970" s="153"/>
      <c r="H9970" s="210">
        <v>-3.9100000000000003E-2</v>
      </c>
      <c r="I9970" s="160" t="s">
        <v>149</v>
      </c>
      <c r="J9970" s="160">
        <v>-6.2E-4</v>
      </c>
      <c r="K9970" s="160" t="s">
        <v>13</v>
      </c>
      <c r="L9970" s="154" t="str">
        <f>IF(OpenLCAbasic!K9970="CTUh", "Fill in Manually",IF(OR(K9970="Unit", K9970=""), "", INDEX(LookUps!$E$5:$E$12, MATCH(OpenLCAbasic!K9970,LookUps!$D$5:$D$12,0))))</f>
        <v>Eutrophication Potential (EP) - kg N eq</v>
      </c>
      <c r="M9970" s="154" t="str">
        <f t="shared" si="829"/>
        <v>Low_Medium_Base_Upgraded_Eutrophication Potential (EP) - kg N eq_Anaerobic Digestion; wastewater treatment unit; at updated plant - US_Base_With Amendment_Aerated Static Pile</v>
      </c>
    </row>
    <row r="9971" spans="1:13" s="120" customFormat="1" x14ac:dyDescent="0.25">
      <c r="A9971" s="119"/>
      <c r="B9971" s="138" t="str">
        <f t="shared" si="830"/>
        <v/>
      </c>
      <c r="C9971" s="138" t="str">
        <f t="shared" si="831"/>
        <v/>
      </c>
      <c r="D9971" s="138" t="str">
        <f t="shared" si="834"/>
        <v/>
      </c>
      <c r="E9971" s="138" t="str">
        <f t="shared" si="835"/>
        <v/>
      </c>
      <c r="F9971" s="138" t="str">
        <f t="shared" si="833"/>
        <v/>
      </c>
      <c r="G9971" s="153" t="s">
        <v>51</v>
      </c>
      <c r="H9971" s="160"/>
      <c r="I9971" s="160" t="s">
        <v>47</v>
      </c>
      <c r="J9971" s="160" t="s">
        <v>52</v>
      </c>
      <c r="K9971" s="160" t="s">
        <v>27</v>
      </c>
      <c r="L9971" s="154" t="str">
        <f>IF(OpenLCAbasic!K9971="CTUh", "Fill in Manually",IF(OR(K9971="Unit", K9971=""), "", INDEX(LookUps!$E$5:$E$12, MATCH(OpenLCAbasic!K9971,LookUps!$D$5:$D$12,0))))</f>
        <v/>
      </c>
      <c r="M9971" s="154" t="str">
        <f t="shared" ref="M9971:M10034" si="836">CONCATENATE(E9971,"_",D9971,"_",F9971,"_",L9971, "_",I9971,"_", C9971,"_", B9971)</f>
        <v>____Process__</v>
      </c>
    </row>
    <row r="9972" spans="1:13" s="120" customFormat="1" x14ac:dyDescent="0.25">
      <c r="A9972" s="119"/>
      <c r="B9972" s="138" t="str">
        <f t="shared" si="830"/>
        <v>Aerated Static Pile</v>
      </c>
      <c r="C9972" s="138" t="str">
        <f t="shared" si="831"/>
        <v>Base_With Amendment</v>
      </c>
      <c r="D9972" s="138" t="str">
        <f t="shared" si="834"/>
        <v>Medium_Base</v>
      </c>
      <c r="E9972" s="138" t="str">
        <f t="shared" si="835"/>
        <v>Low</v>
      </c>
      <c r="F9972" s="138" t="str">
        <f t="shared" si="833"/>
        <v>Upgraded</v>
      </c>
      <c r="G9972" s="153"/>
      <c r="H9972" s="210">
        <v>1.0379</v>
      </c>
      <c r="I9972" s="160" t="s">
        <v>167</v>
      </c>
      <c r="J9972" s="160">
        <v>9.7259999999999999E-2</v>
      </c>
      <c r="K9972" s="160" t="s">
        <v>14</v>
      </c>
      <c r="L9972" s="154" t="str">
        <f>IF(OpenLCAbasic!K9972="CTUh", "Fill in Manually",IF(OR(K9972="Unit", K9972=""), "", INDEX(LookUps!$E$5:$E$12, MATCH(OpenLCAbasic!K9972,LookUps!$D$5:$D$12,0))))</f>
        <v>Fossil Depletion Potential (FDP) - kg oil eq</v>
      </c>
      <c r="M9972" s="154" t="str">
        <f t="shared" si="836"/>
        <v>Low_Medium_Base_Upgraded_Fossil Depletion Potential (FDP) - kg oil eq_Waste Receiving and Holding; wastewater treatment unit; at updated plant - US_Base_With Amendment_Aerated Static Pile</v>
      </c>
    </row>
    <row r="9973" spans="1:13" s="120" customFormat="1" x14ac:dyDescent="0.25">
      <c r="A9973" s="119"/>
      <c r="B9973" s="138" t="str">
        <f t="shared" si="830"/>
        <v>Aerated Static Pile</v>
      </c>
      <c r="C9973" s="138" t="str">
        <f t="shared" si="831"/>
        <v>Base_With Amendment</v>
      </c>
      <c r="D9973" s="138" t="str">
        <f t="shared" si="834"/>
        <v>Medium_Base</v>
      </c>
      <c r="E9973" s="138" t="str">
        <f t="shared" si="835"/>
        <v>Low</v>
      </c>
      <c r="F9973" s="138" t="str">
        <f t="shared" si="833"/>
        <v>Upgraded</v>
      </c>
      <c r="G9973" s="153"/>
      <c r="H9973" s="210">
        <v>0.67859999999999998</v>
      </c>
      <c r="I9973" s="160" t="s">
        <v>55</v>
      </c>
      <c r="J9973" s="160">
        <v>6.3589999999999994E-2</v>
      </c>
      <c r="K9973" s="160" t="s">
        <v>14</v>
      </c>
      <c r="L9973" s="154" t="str">
        <f>IF(OpenLCAbasic!K9973="CTUh", "Fill in Manually",IF(OR(K9973="Unit", K9973=""), "", INDEX(LookUps!$E$5:$E$12, MATCH(OpenLCAbasic!K9973,LookUps!$D$5:$D$12,0))))</f>
        <v>Fossil Depletion Potential (FDP) - kg oil eq</v>
      </c>
      <c r="M9973" s="154" t="str">
        <f t="shared" si="836"/>
        <v>Low_Medium_Base_Upgraded_Fossil Depletion Potential (FDP) - kg oil eq_Aeration Tanks; wastewater treatment unit; at updated plant - US_Base_With Amendment_Aerated Static Pile</v>
      </c>
    </row>
    <row r="9974" spans="1:13" s="120" customFormat="1" x14ac:dyDescent="0.25">
      <c r="A9974" s="119"/>
      <c r="B9974" s="138" t="str">
        <f t="shared" si="830"/>
        <v>Aerated Static Pile</v>
      </c>
      <c r="C9974" s="138" t="str">
        <f t="shared" si="831"/>
        <v>Base_With Amendment</v>
      </c>
      <c r="D9974" s="138" t="str">
        <f t="shared" si="834"/>
        <v>Medium_Base</v>
      </c>
      <c r="E9974" s="138" t="str">
        <f t="shared" si="835"/>
        <v>Low</v>
      </c>
      <c r="F9974" s="138" t="str">
        <f t="shared" si="833"/>
        <v>Upgraded</v>
      </c>
      <c r="G9974" s="153"/>
      <c r="H9974" s="210">
        <v>0.33150000000000002</v>
      </c>
      <c r="I9974" s="160" t="s">
        <v>435</v>
      </c>
      <c r="J9974" s="160">
        <v>3.1060000000000001E-2</v>
      </c>
      <c r="K9974" s="160" t="s">
        <v>14</v>
      </c>
      <c r="L9974" s="154" t="str">
        <f>IF(OpenLCAbasic!K9974="CTUh", "Fill in Manually",IF(OR(K9974="Unit", K9974=""), "", INDEX(LookUps!$E$5:$E$12, MATCH(OpenLCAbasic!K9974,LookUps!$D$5:$D$12,0))))</f>
        <v>Fossil Depletion Potential (FDP) - kg oil eq</v>
      </c>
      <c r="M9974" s="154" t="str">
        <f t="shared" si="836"/>
        <v>Low_Medium_Base_Upgraded_Fossil Depletion Potential (FDP) - kg oil eq_Biosolids composting; aerated static pile; wastewater treatment unit; at updated plant - US_Base_With Amendment_Aerated Static Pile</v>
      </c>
    </row>
    <row r="9975" spans="1:13" s="120" customFormat="1" x14ac:dyDescent="0.25">
      <c r="A9975" s="119"/>
      <c r="B9975" s="138" t="str">
        <f t="shared" si="830"/>
        <v>Aerated Static Pile</v>
      </c>
      <c r="C9975" s="138" t="str">
        <f t="shared" si="831"/>
        <v>Base_With Amendment</v>
      </c>
      <c r="D9975" s="138" t="str">
        <f t="shared" si="834"/>
        <v>Medium_Base</v>
      </c>
      <c r="E9975" s="138" t="str">
        <f t="shared" si="835"/>
        <v>Low</v>
      </c>
      <c r="F9975" s="138" t="str">
        <f t="shared" si="833"/>
        <v>Upgraded</v>
      </c>
      <c r="G9975" s="153"/>
      <c r="H9975" s="210">
        <v>0.22459999999999999</v>
      </c>
      <c r="I9975" s="160" t="s">
        <v>54</v>
      </c>
      <c r="J9975" s="160">
        <v>2.1049999999999999E-2</v>
      </c>
      <c r="K9975" s="160" t="s">
        <v>14</v>
      </c>
      <c r="L9975" s="154" t="str">
        <f>IF(OpenLCAbasic!K9975="CTUh", "Fill in Manually",IF(OR(K9975="Unit", K9975=""), "", INDEX(LookUps!$E$5:$E$12, MATCH(OpenLCAbasic!K9975,LookUps!$D$5:$D$12,0))))</f>
        <v>Fossil Depletion Potential (FDP) - kg oil eq</v>
      </c>
      <c r="M9975" s="154" t="str">
        <f t="shared" si="836"/>
        <v>Low_Medium_Base_Upgraded_Fossil Depletion Potential (FDP) - kg oil eq_Clear Cove Primary Clarification; wastewater treatment unit; at updated plant - US_Base_With Amendment_Aerated Static Pile</v>
      </c>
    </row>
    <row r="9976" spans="1:13" s="120" customFormat="1" x14ac:dyDescent="0.25">
      <c r="A9976" s="119"/>
      <c r="B9976" s="138" t="str">
        <f t="shared" si="830"/>
        <v>Aerated Static Pile</v>
      </c>
      <c r="C9976" s="138" t="str">
        <f t="shared" si="831"/>
        <v>Base_With Amendment</v>
      </c>
      <c r="D9976" s="138" t="str">
        <f t="shared" si="834"/>
        <v>Medium_Base</v>
      </c>
      <c r="E9976" s="138" t="str">
        <f t="shared" si="835"/>
        <v>Low</v>
      </c>
      <c r="F9976" s="138" t="str">
        <f t="shared" si="833"/>
        <v>Upgraded</v>
      </c>
      <c r="G9976" s="153"/>
      <c r="H9976" s="210">
        <v>0.17050000000000001</v>
      </c>
      <c r="I9976" s="160" t="s">
        <v>58</v>
      </c>
      <c r="J9976" s="160">
        <v>1.5980000000000001E-2</v>
      </c>
      <c r="K9976" s="160" t="s">
        <v>14</v>
      </c>
      <c r="L9976" s="154" t="str">
        <f>IF(OpenLCAbasic!K9976="CTUh", "Fill in Manually",IF(OR(K9976="Unit", K9976=""), "", INDEX(LookUps!$E$5:$E$12, MATCH(OpenLCAbasic!K9976,LookUps!$D$5:$D$12,0))))</f>
        <v>Fossil Depletion Potential (FDP) - kg oil eq</v>
      </c>
      <c r="M9976" s="154" t="str">
        <f t="shared" si="836"/>
        <v>Low_Medium_Base_Upgraded_Fossil Depletion Potential (FDP) - kg oil eq_Pre-Anoxic &amp; Swing tank; wastewater treatment unit; at updated plant - US_Base_With Amendment_Aerated Static Pile</v>
      </c>
    </row>
    <row r="9977" spans="1:13" s="120" customFormat="1" x14ac:dyDescent="0.25">
      <c r="A9977" s="119"/>
      <c r="B9977" s="138" t="str">
        <f t="shared" ref="B9977:B10040" si="837">IF(F9977="Legacy","n.a.",IF(F9977="","","Aerated Static Pile"))</f>
        <v>Aerated Static Pile</v>
      </c>
      <c r="C9977" s="138" t="str">
        <f t="shared" ref="C9977:C10040" si="838">IF(ISNUMBER($J9977),"Base_With Amendment","")</f>
        <v>Base_With Amendment</v>
      </c>
      <c r="D9977" s="138" t="str">
        <f t="shared" si="834"/>
        <v>Medium_Base</v>
      </c>
      <c r="E9977" s="138" t="str">
        <f t="shared" si="835"/>
        <v>Low</v>
      </c>
      <c r="F9977" s="138" t="str">
        <f t="shared" ref="F9977:F10040" si="839">IF(ISNUMBER(J9977),"Upgraded","")</f>
        <v>Upgraded</v>
      </c>
      <c r="G9977" s="153"/>
      <c r="H9977" s="210">
        <v>0.161</v>
      </c>
      <c r="I9977" s="160" t="s">
        <v>147</v>
      </c>
      <c r="J9977" s="160">
        <v>1.5089999999999999E-2</v>
      </c>
      <c r="K9977" s="160" t="s">
        <v>14</v>
      </c>
      <c r="L9977" s="154" t="str">
        <f>IF(OpenLCAbasic!K9977="CTUh", "Fill in Manually",IF(OR(K9977="Unit", K9977=""), "", INDEX(LookUps!$E$5:$E$12, MATCH(OpenLCAbasic!K9977,LookUps!$D$5:$D$12,0))))</f>
        <v>Fossil Depletion Potential (FDP) - kg oil eq</v>
      </c>
      <c r="M9977" s="154" t="str">
        <f t="shared" si="836"/>
        <v>Low_Medium_Base_Upgraded_Fossil Depletion Potential (FDP) - kg oil eq_Influent Pump Station; wastewater treatment unit; at updated plant - US_Base_With Amendment_Aerated Static Pile</v>
      </c>
    </row>
    <row r="9978" spans="1:13" s="120" customFormat="1" x14ac:dyDescent="0.25">
      <c r="A9978" s="119"/>
      <c r="B9978" s="138" t="str">
        <f t="shared" si="837"/>
        <v>Aerated Static Pile</v>
      </c>
      <c r="C9978" s="138" t="str">
        <f t="shared" si="838"/>
        <v>Base_With Amendment</v>
      </c>
      <c r="D9978" s="138" t="str">
        <f t="shared" si="834"/>
        <v>Medium_Base</v>
      </c>
      <c r="E9978" s="138" t="str">
        <f t="shared" si="835"/>
        <v>Low</v>
      </c>
      <c r="F9978" s="138" t="str">
        <f t="shared" si="839"/>
        <v>Upgraded</v>
      </c>
      <c r="G9978" s="153"/>
      <c r="H9978" s="210">
        <v>0.1333</v>
      </c>
      <c r="I9978" s="160" t="s">
        <v>53</v>
      </c>
      <c r="J9978" s="160">
        <v>1.2489999999999999E-2</v>
      </c>
      <c r="K9978" s="160" t="s">
        <v>14</v>
      </c>
      <c r="L9978" s="154" t="str">
        <f>IF(OpenLCAbasic!K9978="CTUh", "Fill in Manually",IF(OR(K9978="Unit", K9978=""), "", INDEX(LookUps!$E$5:$E$12, MATCH(OpenLCAbasic!K9978,LookUps!$D$5:$D$12,0))))</f>
        <v>Fossil Depletion Potential (FDP) - kg oil eq</v>
      </c>
      <c r="M9978" s="154" t="str">
        <f t="shared" si="836"/>
        <v>Low_Medium_Base_Upgraded_Fossil Depletion Potential (FDP) - kg oil eq_Wet Well and Sump Station; wastewater treatment unit; at updated plant - US_Base_With Amendment_Aerated Static Pile</v>
      </c>
    </row>
    <row r="9979" spans="1:13" s="120" customFormat="1" x14ac:dyDescent="0.25">
      <c r="A9979" s="119"/>
      <c r="B9979" s="138" t="str">
        <f t="shared" si="837"/>
        <v>Aerated Static Pile</v>
      </c>
      <c r="C9979" s="138" t="str">
        <f t="shared" si="838"/>
        <v>Base_With Amendment</v>
      </c>
      <c r="D9979" s="138" t="str">
        <f t="shared" si="834"/>
        <v>Medium_Base</v>
      </c>
      <c r="E9979" s="138" t="str">
        <f t="shared" si="835"/>
        <v>Low</v>
      </c>
      <c r="F9979" s="138" t="str">
        <f t="shared" si="839"/>
        <v>Upgraded</v>
      </c>
      <c r="G9979" s="153"/>
      <c r="H9979" s="210">
        <v>8.5699999999999998E-2</v>
      </c>
      <c r="I9979" s="160" t="s">
        <v>60</v>
      </c>
      <c r="J9979" s="160">
        <v>8.0300000000000007E-3</v>
      </c>
      <c r="K9979" s="160" t="s">
        <v>14</v>
      </c>
      <c r="L9979" s="154" t="str">
        <f>IF(OpenLCAbasic!K9979="CTUh", "Fill in Manually",IF(OR(K9979="Unit", K9979=""), "", INDEX(LookUps!$E$5:$E$12, MATCH(OpenLCAbasic!K9979,LookUps!$D$5:$D$12,0))))</f>
        <v>Fossil Depletion Potential (FDP) - kg oil eq</v>
      </c>
      <c r="M9979" s="154" t="str">
        <f t="shared" si="836"/>
        <v>Low_Medium_Base_Upgraded_Fossil Depletion Potential (FDP) - kg oil eq_Belt filter press; wastewater treatment unit; at updated plant - US_Base_With Amendment_Aerated Static Pile</v>
      </c>
    </row>
    <row r="9980" spans="1:13" s="120" customFormat="1" x14ac:dyDescent="0.25">
      <c r="A9980" s="119"/>
      <c r="B9980" s="138" t="str">
        <f t="shared" si="837"/>
        <v>Aerated Static Pile</v>
      </c>
      <c r="C9980" s="138" t="str">
        <f t="shared" si="838"/>
        <v>Base_With Amendment</v>
      </c>
      <c r="D9980" s="138" t="str">
        <f t="shared" si="834"/>
        <v>Medium_Base</v>
      </c>
      <c r="E9980" s="138" t="str">
        <f t="shared" si="835"/>
        <v>Low</v>
      </c>
      <c r="F9980" s="138" t="str">
        <f t="shared" si="839"/>
        <v>Upgraded</v>
      </c>
      <c r="G9980" s="153"/>
      <c r="H9980" s="210">
        <v>7.3800000000000004E-2</v>
      </c>
      <c r="I9980" s="160" t="s">
        <v>57</v>
      </c>
      <c r="J9980" s="160">
        <v>6.9199999999999999E-3</v>
      </c>
      <c r="K9980" s="160" t="s">
        <v>14</v>
      </c>
      <c r="L9980" s="154" t="str">
        <f>IF(OpenLCAbasic!K9980="CTUh", "Fill in Manually",IF(OR(K9980="Unit", K9980=""), "", INDEX(LookUps!$E$5:$E$12, MATCH(OpenLCAbasic!K9980,LookUps!$D$5:$D$12,0))))</f>
        <v>Fossil Depletion Potential (FDP) - kg oil eq</v>
      </c>
      <c r="M9980" s="154" t="str">
        <f t="shared" si="836"/>
        <v>Low_Medium_Base_Upgraded_Fossil Depletion Potential (FDP) - kg oil eq_Gravity Belt Thickener; wastewater treatment unit; at updated plant - US_Base_With Amendment_Aerated Static Pile</v>
      </c>
    </row>
    <row r="9981" spans="1:13" s="120" customFormat="1" x14ac:dyDescent="0.25">
      <c r="A9981" s="119"/>
      <c r="B9981" s="138" t="str">
        <f t="shared" si="837"/>
        <v>Aerated Static Pile</v>
      </c>
      <c r="C9981" s="138" t="str">
        <f t="shared" si="838"/>
        <v>Base_With Amendment</v>
      </c>
      <c r="D9981" s="138" t="str">
        <f t="shared" si="834"/>
        <v>Medium_Base</v>
      </c>
      <c r="E9981" s="138" t="str">
        <f t="shared" si="835"/>
        <v>Low</v>
      </c>
      <c r="F9981" s="138" t="str">
        <f t="shared" si="839"/>
        <v>Upgraded</v>
      </c>
      <c r="G9981" s="153"/>
      <c r="H9981" s="210">
        <v>4.8000000000000001E-2</v>
      </c>
      <c r="I9981" s="160" t="s">
        <v>128</v>
      </c>
      <c r="J9981" s="160">
        <v>4.4999999999999997E-3</v>
      </c>
      <c r="K9981" s="160" t="s">
        <v>14</v>
      </c>
      <c r="L9981" s="154" t="str">
        <f>IF(OpenLCAbasic!K9981="CTUh", "Fill in Manually",IF(OR(K9981="Unit", K9981=""), "", INDEX(LookUps!$E$5:$E$12, MATCH(OpenLCAbasic!K9981,LookUps!$D$5:$D$12,0))))</f>
        <v>Fossil Depletion Potential (FDP) - kg oil eq</v>
      </c>
      <c r="M9981" s="154" t="str">
        <f t="shared" si="836"/>
        <v>Low_Medium_Base_Upgraded_Fossil Depletion Potential (FDP) - kg oil eq_Wastewater collection; operation and infrastructure; m3 wastewater_Base_With Amendment_Aerated Static Pile</v>
      </c>
    </row>
    <row r="9982" spans="1:13" s="120" customFormat="1" x14ac:dyDescent="0.25">
      <c r="A9982" s="119"/>
      <c r="B9982" s="138" t="str">
        <f t="shared" si="837"/>
        <v>Aerated Static Pile</v>
      </c>
      <c r="C9982" s="138" t="str">
        <f t="shared" si="838"/>
        <v>Base_With Amendment</v>
      </c>
      <c r="D9982" s="138" t="str">
        <f t="shared" si="834"/>
        <v>Medium_Base</v>
      </c>
      <c r="E9982" s="138" t="str">
        <f t="shared" si="835"/>
        <v>Low</v>
      </c>
      <c r="F9982" s="138" t="str">
        <f t="shared" si="839"/>
        <v>Upgraded</v>
      </c>
      <c r="G9982" s="153"/>
      <c r="H9982" s="210">
        <v>2.9899999999999999E-2</v>
      </c>
      <c r="I9982" s="160" t="s">
        <v>148</v>
      </c>
      <c r="J9982" s="160">
        <v>2.8E-3</v>
      </c>
      <c r="K9982" s="160" t="s">
        <v>14</v>
      </c>
      <c r="L9982" s="154" t="str">
        <f>IF(OpenLCAbasic!K9982="CTUh", "Fill in Manually",IF(OR(K9982="Unit", K9982=""), "", INDEX(LookUps!$E$5:$E$12, MATCH(OpenLCAbasic!K9982,LookUps!$D$5:$D$12,0))))</f>
        <v>Fossil Depletion Potential (FDP) - kg oil eq</v>
      </c>
      <c r="M9982" s="154" t="str">
        <f t="shared" si="836"/>
        <v>Low_Medium_Base_Upgraded_Fossil Depletion Potential (FDP) - kg oil eq_Control Building; at upgraded wastewater treatment plant - US_Base_With Amendment_Aerated Static Pile</v>
      </c>
    </row>
    <row r="9983" spans="1:13" s="120" customFormat="1" x14ac:dyDescent="0.25">
      <c r="A9983" s="119"/>
      <c r="B9983" s="138" t="str">
        <f t="shared" si="837"/>
        <v>Aerated Static Pile</v>
      </c>
      <c r="C9983" s="138" t="str">
        <f t="shared" si="838"/>
        <v>Base_With Amendment</v>
      </c>
      <c r="D9983" s="138" t="str">
        <f t="shared" si="834"/>
        <v>Medium_Base</v>
      </c>
      <c r="E9983" s="138" t="str">
        <f t="shared" si="835"/>
        <v>Low</v>
      </c>
      <c r="F9983" s="138" t="str">
        <f t="shared" si="839"/>
        <v>Upgraded</v>
      </c>
      <c r="G9983" s="153"/>
      <c r="H9983" s="210">
        <v>2.52E-2</v>
      </c>
      <c r="I9983" s="160" t="s">
        <v>48</v>
      </c>
      <c r="J9983" s="160">
        <v>2.3600000000000001E-3</v>
      </c>
      <c r="K9983" s="160" t="s">
        <v>14</v>
      </c>
      <c r="L9983" s="154" t="str">
        <f>IF(OpenLCAbasic!K9983="CTUh", "Fill in Manually",IF(OR(K9983="Unit", K9983=""), "", INDEX(LookUps!$E$5:$E$12, MATCH(OpenLCAbasic!K9983,LookUps!$D$5:$D$12,0))))</f>
        <v>Fossil Depletion Potential (FDP) - kg oil eq</v>
      </c>
      <c r="M9983" s="154" t="str">
        <f t="shared" si="836"/>
        <v>Low_Medium_Base_Upgraded_Fossil Depletion Potential (FDP) - kg oil eq_Effluent release; wastewater treatment unit; at surface water; m3 wastewater - US_Base_With Amendment_Aerated Static Pile</v>
      </c>
    </row>
    <row r="9984" spans="1:13" s="120" customFormat="1" x14ac:dyDescent="0.25">
      <c r="A9984" s="119"/>
      <c r="B9984" s="138" t="str">
        <f t="shared" si="837"/>
        <v>Aerated Static Pile</v>
      </c>
      <c r="C9984" s="138" t="str">
        <f t="shared" si="838"/>
        <v>Base_With Amendment</v>
      </c>
      <c r="D9984" s="138" t="str">
        <f t="shared" si="834"/>
        <v>Medium_Base</v>
      </c>
      <c r="E9984" s="138" t="str">
        <f t="shared" si="835"/>
        <v>Low</v>
      </c>
      <c r="F9984" s="138" t="str">
        <f t="shared" si="839"/>
        <v>Upgraded</v>
      </c>
      <c r="G9984" s="153"/>
      <c r="H9984" s="210">
        <v>2.0500000000000001E-2</v>
      </c>
      <c r="I9984" s="160" t="s">
        <v>59</v>
      </c>
      <c r="J9984" s="160">
        <v>1.92E-3</v>
      </c>
      <c r="K9984" s="160" t="s">
        <v>14</v>
      </c>
      <c r="L9984" s="154" t="str">
        <f>IF(OpenLCAbasic!K9984="CTUh", "Fill in Manually",IF(OR(K9984="Unit", K9984=""), "", INDEX(LookUps!$E$5:$E$12, MATCH(OpenLCAbasic!K9984,LookUps!$D$5:$D$12,0))))</f>
        <v>Fossil Depletion Potential (FDP) - kg oil eq</v>
      </c>
      <c r="M9984" s="154" t="str">
        <f t="shared" si="836"/>
        <v>Low_Medium_Base_Upgraded_Fossil Depletion Potential (FDP) - kg oil eq_Blend Tank; wastewater treatment unit; at updated plant - US_Base_With Amendment_Aerated Static Pile</v>
      </c>
    </row>
    <row r="9985" spans="1:13" s="120" customFormat="1" x14ac:dyDescent="0.25">
      <c r="A9985" s="119"/>
      <c r="B9985" s="138" t="str">
        <f t="shared" si="837"/>
        <v>Aerated Static Pile</v>
      </c>
      <c r="C9985" s="138" t="str">
        <f t="shared" si="838"/>
        <v>Base_With Amendment</v>
      </c>
      <c r="D9985" s="138" t="str">
        <f t="shared" ref="D9985:D10048" si="840">IF(ISNUMBER($J9985),"Medium_Base","")</f>
        <v>Medium_Base</v>
      </c>
      <c r="E9985" s="138" t="str">
        <f t="shared" si="835"/>
        <v>Low</v>
      </c>
      <c r="F9985" s="138" t="str">
        <f t="shared" si="839"/>
        <v>Upgraded</v>
      </c>
      <c r="G9985" s="153"/>
      <c r="H9985" s="210">
        <v>9.7999999999999997E-3</v>
      </c>
      <c r="I9985" s="160" t="s">
        <v>168</v>
      </c>
      <c r="J9985" s="160">
        <v>9.1E-4</v>
      </c>
      <c r="K9985" s="160" t="s">
        <v>14</v>
      </c>
      <c r="L9985" s="154" t="str">
        <f>IF(OpenLCAbasic!K9985="CTUh", "Fill in Manually",IF(OR(K9985="Unit", K9985=""), "", INDEX(LookUps!$E$5:$E$12, MATCH(OpenLCAbasic!K9985,LookUps!$D$5:$D$12,0))))</f>
        <v>Fossil Depletion Potential (FDP) - kg oil eq</v>
      </c>
      <c r="M9985" s="154" t="str">
        <f t="shared" si="836"/>
        <v>Low_Medium_Base_Upgraded_Fossil Depletion Potential (FDP) - kg oil eq_ClearCove SCP; wastewater treatment unit; at updated plant - US_Base_With Amendment_Aerated Static Pile</v>
      </c>
    </row>
    <row r="9986" spans="1:13" s="120" customFormat="1" x14ac:dyDescent="0.25">
      <c r="A9986" s="119"/>
      <c r="B9986" s="138" t="str">
        <f t="shared" si="837"/>
        <v>Aerated Static Pile</v>
      </c>
      <c r="C9986" s="138" t="str">
        <f t="shared" si="838"/>
        <v>Base_With Amendment</v>
      </c>
      <c r="D9986" s="138" t="str">
        <f t="shared" si="840"/>
        <v>Medium_Base</v>
      </c>
      <c r="E9986" s="138" t="str">
        <f t="shared" si="835"/>
        <v>Low</v>
      </c>
      <c r="F9986" s="138" t="str">
        <f t="shared" si="839"/>
        <v>Upgraded</v>
      </c>
      <c r="G9986" s="153"/>
      <c r="H9986" s="210">
        <v>-9.9500000000000005E-2</v>
      </c>
      <c r="I9986" s="160" t="s">
        <v>62</v>
      </c>
      <c r="J9986" s="160">
        <v>-9.3200000000000002E-3</v>
      </c>
      <c r="K9986" s="160" t="s">
        <v>14</v>
      </c>
      <c r="L9986" s="154" t="str">
        <f>IF(OpenLCAbasic!K9986="CTUh", "Fill in Manually",IF(OR(K9986="Unit", K9986=""), "", INDEX(LookUps!$E$5:$E$12, MATCH(OpenLCAbasic!K9986,LookUps!$D$5:$D$12,0))))</f>
        <v>Fossil Depletion Potential (FDP) - kg oil eq</v>
      </c>
      <c r="M9986" s="154" t="str">
        <f t="shared" si="836"/>
        <v>Low_Medium_Base_Upgraded_Fossil Depletion Potential (FDP) - kg oil eq_Land application of compost; wastewater treatment unit; at updated plant - US_Base_With Amendment_Aerated Static Pile</v>
      </c>
    </row>
    <row r="9987" spans="1:13" s="120" customFormat="1" x14ac:dyDescent="0.25">
      <c r="A9987" s="119"/>
      <c r="B9987" s="138" t="str">
        <f t="shared" si="837"/>
        <v>Aerated Static Pile</v>
      </c>
      <c r="C9987" s="138" t="str">
        <f t="shared" si="838"/>
        <v>Base_With Amendment</v>
      </c>
      <c r="D9987" s="138" t="str">
        <f t="shared" si="840"/>
        <v>Medium_Base</v>
      </c>
      <c r="E9987" s="138" t="str">
        <f t="shared" si="835"/>
        <v>Low</v>
      </c>
      <c r="F9987" s="138" t="str">
        <f t="shared" si="839"/>
        <v>Upgraded</v>
      </c>
      <c r="G9987" s="153"/>
      <c r="H9987" s="210">
        <v>-1.9307000000000001</v>
      </c>
      <c r="I9987" s="160" t="s">
        <v>149</v>
      </c>
      <c r="J9987" s="160">
        <v>-0.18092</v>
      </c>
      <c r="K9987" s="160" t="s">
        <v>14</v>
      </c>
      <c r="L9987" s="154" t="str">
        <f>IF(OpenLCAbasic!K9987="CTUh", "Fill in Manually",IF(OR(K9987="Unit", K9987=""), "", INDEX(LookUps!$E$5:$E$12, MATCH(OpenLCAbasic!K9987,LookUps!$D$5:$D$12,0))))</f>
        <v>Fossil Depletion Potential (FDP) - kg oil eq</v>
      </c>
      <c r="M9987" s="154" t="str">
        <f t="shared" si="836"/>
        <v>Low_Medium_Base_Upgraded_Fossil Depletion Potential (FDP) - kg oil eq_Anaerobic Digestion; wastewater treatment unit; at updated plant - US_Base_With Amendment_Aerated Static Pile</v>
      </c>
    </row>
    <row r="9988" spans="1:13" s="120" customFormat="1" x14ac:dyDescent="0.25">
      <c r="A9988" s="119"/>
      <c r="B9988" s="138" t="str">
        <f t="shared" si="837"/>
        <v/>
      </c>
      <c r="C9988" s="138" t="str">
        <f t="shared" si="838"/>
        <v/>
      </c>
      <c r="D9988" s="138" t="str">
        <f t="shared" si="840"/>
        <v/>
      </c>
      <c r="E9988" s="138" t="str">
        <f t="shared" si="835"/>
        <v/>
      </c>
      <c r="F9988" s="138" t="str">
        <f t="shared" si="839"/>
        <v/>
      </c>
      <c r="G9988" s="153" t="s">
        <v>51</v>
      </c>
      <c r="H9988" s="160"/>
      <c r="I9988" s="160" t="s">
        <v>47</v>
      </c>
      <c r="J9988" s="160" t="s">
        <v>52</v>
      </c>
      <c r="K9988" s="160" t="s">
        <v>27</v>
      </c>
      <c r="L9988" s="154" t="str">
        <f>IF(OpenLCAbasic!K9988="CTUh", "Fill in Manually",IF(OR(K9988="Unit", K9988=""), "", INDEX(LookUps!$E$5:$E$12, MATCH(OpenLCAbasic!K9988,LookUps!$D$5:$D$12,0))))</f>
        <v/>
      </c>
      <c r="M9988" s="154" t="str">
        <f t="shared" si="836"/>
        <v>____Process__</v>
      </c>
    </row>
    <row r="9989" spans="1:13" s="120" customFormat="1" x14ac:dyDescent="0.25">
      <c r="A9989" s="119"/>
      <c r="B9989" s="138" t="str">
        <f t="shared" si="837"/>
        <v>Aerated Static Pile</v>
      </c>
      <c r="C9989" s="138" t="str">
        <f t="shared" si="838"/>
        <v>Base_With Amendment</v>
      </c>
      <c r="D9989" s="138" t="str">
        <f t="shared" si="840"/>
        <v>Medium_Base</v>
      </c>
      <c r="E9989" s="138" t="str">
        <f t="shared" si="835"/>
        <v>Low</v>
      </c>
      <c r="F9989" s="138" t="str">
        <f t="shared" si="839"/>
        <v>Upgraded</v>
      </c>
      <c r="G9989" s="153"/>
      <c r="H9989" s="210">
        <v>4.1288</v>
      </c>
      <c r="I9989" s="160" t="s">
        <v>58</v>
      </c>
      <c r="J9989" s="160">
        <v>0.24568999999999999</v>
      </c>
      <c r="K9989" s="160" t="s">
        <v>23</v>
      </c>
      <c r="L9989" s="154" t="str">
        <f>IF(OpenLCAbasic!K9989="CTUh", "Fill in Manually",IF(OR(K9989="Unit", K9989=""), "", INDEX(LookUps!$E$5:$E$12, MATCH(OpenLCAbasic!K9989,LookUps!$D$5:$D$12,0))))</f>
        <v>Global Warming Potential (GWP) - kg CO2 eq</v>
      </c>
      <c r="M9989" s="154" t="str">
        <f t="shared" si="836"/>
        <v>Low_Medium_Base_Upgraded_Global Warming Potential (GWP) - kg CO2 eq_Pre-Anoxic &amp; Swing tank; wastewater treatment unit; at updated plant - US_Base_With Amendment_Aerated Static Pile</v>
      </c>
    </row>
    <row r="9990" spans="1:13" s="120" customFormat="1" x14ac:dyDescent="0.25">
      <c r="A9990" s="119"/>
      <c r="B9990" s="138" t="str">
        <f t="shared" si="837"/>
        <v>Aerated Static Pile</v>
      </c>
      <c r="C9990" s="138" t="str">
        <f t="shared" si="838"/>
        <v>Base_With Amendment</v>
      </c>
      <c r="D9990" s="138" t="str">
        <f t="shared" si="840"/>
        <v>Medium_Base</v>
      </c>
      <c r="E9990" s="138" t="str">
        <f t="shared" si="835"/>
        <v>Low</v>
      </c>
      <c r="F9990" s="138" t="str">
        <f t="shared" si="839"/>
        <v>Upgraded</v>
      </c>
      <c r="G9990" s="153"/>
      <c r="H9990" s="210">
        <v>2.8269000000000002</v>
      </c>
      <c r="I9990" s="160" t="s">
        <v>55</v>
      </c>
      <c r="J9990" s="160">
        <v>0.16822000000000001</v>
      </c>
      <c r="K9990" s="160" t="s">
        <v>23</v>
      </c>
      <c r="L9990" s="154" t="str">
        <f>IF(OpenLCAbasic!K9990="CTUh", "Fill in Manually",IF(OR(K9990="Unit", K9990=""), "", INDEX(LookUps!$E$5:$E$12, MATCH(OpenLCAbasic!K9990,LookUps!$D$5:$D$12,0))))</f>
        <v>Global Warming Potential (GWP) - kg CO2 eq</v>
      </c>
      <c r="M9990" s="154" t="str">
        <f t="shared" si="836"/>
        <v>Low_Medium_Base_Upgraded_Global Warming Potential (GWP) - kg CO2 eq_Aeration Tanks; wastewater treatment unit; at updated plant - US_Base_With Amendment_Aerated Static Pile</v>
      </c>
    </row>
    <row r="9991" spans="1:13" s="120" customFormat="1" x14ac:dyDescent="0.25">
      <c r="A9991" s="119"/>
      <c r="B9991" s="138" t="str">
        <f t="shared" si="837"/>
        <v>Aerated Static Pile</v>
      </c>
      <c r="C9991" s="138" t="str">
        <f t="shared" si="838"/>
        <v>Base_With Amendment</v>
      </c>
      <c r="D9991" s="138" t="str">
        <f t="shared" si="840"/>
        <v>Medium_Base</v>
      </c>
      <c r="E9991" s="138" t="str">
        <f t="shared" si="835"/>
        <v>Low</v>
      </c>
      <c r="F9991" s="138" t="str">
        <f t="shared" si="839"/>
        <v>Upgraded</v>
      </c>
      <c r="G9991" s="153"/>
      <c r="H9991" s="210">
        <v>2.7425999999999999</v>
      </c>
      <c r="I9991" s="160" t="s">
        <v>435</v>
      </c>
      <c r="J9991" s="160">
        <v>0.16320000000000001</v>
      </c>
      <c r="K9991" s="160" t="s">
        <v>23</v>
      </c>
      <c r="L9991" s="154" t="str">
        <f>IF(OpenLCAbasic!K9991="CTUh", "Fill in Manually",IF(OR(K9991="Unit", K9991=""), "", INDEX(LookUps!$E$5:$E$12, MATCH(OpenLCAbasic!K9991,LookUps!$D$5:$D$12,0))))</f>
        <v>Global Warming Potential (GWP) - kg CO2 eq</v>
      </c>
      <c r="M9991" s="154" t="str">
        <f t="shared" si="836"/>
        <v>Low_Medium_Base_Upgraded_Global Warming Potential (GWP) - kg CO2 eq_Biosolids composting; aerated static pile; wastewater treatment unit; at updated plant - US_Base_With Amendment_Aerated Static Pile</v>
      </c>
    </row>
    <row r="9992" spans="1:13" s="120" customFormat="1" x14ac:dyDescent="0.25">
      <c r="A9992" s="119"/>
      <c r="B9992" s="138" t="str">
        <f t="shared" si="837"/>
        <v>Aerated Static Pile</v>
      </c>
      <c r="C9992" s="138" t="str">
        <f t="shared" si="838"/>
        <v>Base_With Amendment</v>
      </c>
      <c r="D9992" s="138" t="str">
        <f t="shared" si="840"/>
        <v>Medium_Base</v>
      </c>
      <c r="E9992" s="138" t="str">
        <f t="shared" si="835"/>
        <v>Low</v>
      </c>
      <c r="F9992" s="138" t="str">
        <f t="shared" si="839"/>
        <v>Upgraded</v>
      </c>
      <c r="G9992" s="153"/>
      <c r="H9992" s="210">
        <v>2.0762</v>
      </c>
      <c r="I9992" s="160" t="s">
        <v>167</v>
      </c>
      <c r="J9992" s="160">
        <v>0.12354999999999999</v>
      </c>
      <c r="K9992" s="160" t="s">
        <v>23</v>
      </c>
      <c r="L9992" s="154" t="str">
        <f>IF(OpenLCAbasic!K9992="CTUh", "Fill in Manually",IF(OR(K9992="Unit", K9992=""), "", INDEX(LookUps!$E$5:$E$12, MATCH(OpenLCAbasic!K9992,LookUps!$D$5:$D$12,0))))</f>
        <v>Global Warming Potential (GWP) - kg CO2 eq</v>
      </c>
      <c r="M9992" s="154" t="str">
        <f t="shared" si="836"/>
        <v>Low_Medium_Base_Upgraded_Global Warming Potential (GWP) - kg CO2 eq_Waste Receiving and Holding; wastewater treatment unit; at updated plant - US_Base_With Amendment_Aerated Static Pile</v>
      </c>
    </row>
    <row r="9993" spans="1:13" s="120" customFormat="1" x14ac:dyDescent="0.25">
      <c r="A9993" s="119"/>
      <c r="B9993" s="138" t="str">
        <f t="shared" si="837"/>
        <v>Aerated Static Pile</v>
      </c>
      <c r="C9993" s="138" t="str">
        <f t="shared" si="838"/>
        <v>Base_With Amendment</v>
      </c>
      <c r="D9993" s="138" t="str">
        <f t="shared" si="840"/>
        <v>Medium_Base</v>
      </c>
      <c r="E9993" s="138" t="str">
        <f t="shared" si="835"/>
        <v>Low</v>
      </c>
      <c r="F9993" s="138" t="str">
        <f t="shared" si="839"/>
        <v>Upgraded</v>
      </c>
      <c r="G9993" s="153"/>
      <c r="H9993" s="210">
        <v>0.95920000000000005</v>
      </c>
      <c r="I9993" s="160" t="s">
        <v>54</v>
      </c>
      <c r="J9993" s="160">
        <v>5.7079999999999999E-2</v>
      </c>
      <c r="K9993" s="160" t="s">
        <v>23</v>
      </c>
      <c r="L9993" s="154" t="str">
        <f>IF(OpenLCAbasic!K9993="CTUh", "Fill in Manually",IF(OR(K9993="Unit", K9993=""), "", INDEX(LookUps!$E$5:$E$12, MATCH(OpenLCAbasic!K9993,LookUps!$D$5:$D$12,0))))</f>
        <v>Global Warming Potential (GWP) - kg CO2 eq</v>
      </c>
      <c r="M9993" s="154" t="str">
        <f t="shared" si="836"/>
        <v>Low_Medium_Base_Upgraded_Global Warming Potential (GWP) - kg CO2 eq_Clear Cove Primary Clarification; wastewater treatment unit; at updated plant - US_Base_With Amendment_Aerated Static Pile</v>
      </c>
    </row>
    <row r="9994" spans="1:13" s="120" customFormat="1" x14ac:dyDescent="0.25">
      <c r="A9994" s="119"/>
      <c r="B9994" s="138" t="str">
        <f t="shared" si="837"/>
        <v>Aerated Static Pile</v>
      </c>
      <c r="C9994" s="138" t="str">
        <f t="shared" si="838"/>
        <v>Base_With Amendment</v>
      </c>
      <c r="D9994" s="138" t="str">
        <f t="shared" si="840"/>
        <v>Medium_Base</v>
      </c>
      <c r="E9994" s="138" t="str">
        <f t="shared" si="835"/>
        <v>Low</v>
      </c>
      <c r="F9994" s="138" t="str">
        <f t="shared" si="839"/>
        <v>Upgraded</v>
      </c>
      <c r="G9994" s="153"/>
      <c r="H9994" s="210">
        <v>0.88449999999999995</v>
      </c>
      <c r="I9994" s="160" t="s">
        <v>48</v>
      </c>
      <c r="J9994" s="160">
        <v>5.2639999999999999E-2</v>
      </c>
      <c r="K9994" s="160" t="s">
        <v>23</v>
      </c>
      <c r="L9994" s="154" t="str">
        <f>IF(OpenLCAbasic!K9994="CTUh", "Fill in Manually",IF(OR(K9994="Unit", K9994=""), "", INDEX(LookUps!$E$5:$E$12, MATCH(OpenLCAbasic!K9994,LookUps!$D$5:$D$12,0))))</f>
        <v>Global Warming Potential (GWP) - kg CO2 eq</v>
      </c>
      <c r="M9994" s="154" t="str">
        <f t="shared" si="836"/>
        <v>Low_Medium_Base_Upgraded_Global Warming Potential (GWP) - kg CO2 eq_Effluent release; wastewater treatment unit; at surface water; m3 wastewater - US_Base_With Amendment_Aerated Static Pile</v>
      </c>
    </row>
    <row r="9995" spans="1:13" s="120" customFormat="1" x14ac:dyDescent="0.25">
      <c r="A9995" s="119"/>
      <c r="B9995" s="138" t="str">
        <f t="shared" si="837"/>
        <v>Aerated Static Pile</v>
      </c>
      <c r="C9995" s="138" t="str">
        <f t="shared" si="838"/>
        <v>Base_With Amendment</v>
      </c>
      <c r="D9995" s="138" t="str">
        <f t="shared" si="840"/>
        <v>Medium_Base</v>
      </c>
      <c r="E9995" s="138" t="str">
        <f t="shared" si="835"/>
        <v>Low</v>
      </c>
      <c r="F9995" s="138" t="str">
        <f t="shared" si="839"/>
        <v>Upgraded</v>
      </c>
      <c r="G9995" s="153"/>
      <c r="H9995" s="210">
        <v>0.84860000000000002</v>
      </c>
      <c r="I9995" s="160" t="s">
        <v>147</v>
      </c>
      <c r="J9995" s="160">
        <v>5.0500000000000003E-2</v>
      </c>
      <c r="K9995" s="160" t="s">
        <v>23</v>
      </c>
      <c r="L9995" s="154" t="str">
        <f>IF(OpenLCAbasic!K9995="CTUh", "Fill in Manually",IF(OR(K9995="Unit", K9995=""), "", INDEX(LookUps!$E$5:$E$12, MATCH(OpenLCAbasic!K9995,LookUps!$D$5:$D$12,0))))</f>
        <v>Global Warming Potential (GWP) - kg CO2 eq</v>
      </c>
      <c r="M9995" s="154" t="str">
        <f t="shared" si="836"/>
        <v>Low_Medium_Base_Upgraded_Global Warming Potential (GWP) - kg CO2 eq_Influent Pump Station; wastewater treatment unit; at updated plant - US_Base_With Amendment_Aerated Static Pile</v>
      </c>
    </row>
    <row r="9996" spans="1:13" s="120" customFormat="1" x14ac:dyDescent="0.25">
      <c r="A9996" s="119"/>
      <c r="B9996" s="138" t="str">
        <f t="shared" si="837"/>
        <v>Aerated Static Pile</v>
      </c>
      <c r="C9996" s="138" t="str">
        <f t="shared" si="838"/>
        <v>Base_With Amendment</v>
      </c>
      <c r="D9996" s="138" t="str">
        <f t="shared" si="840"/>
        <v>Medium_Base</v>
      </c>
      <c r="E9996" s="138" t="str">
        <f t="shared" si="835"/>
        <v>Low</v>
      </c>
      <c r="F9996" s="138" t="str">
        <f t="shared" si="839"/>
        <v>Upgraded</v>
      </c>
      <c r="G9996" s="153"/>
      <c r="H9996" s="210">
        <v>0.55879999999999996</v>
      </c>
      <c r="I9996" s="160" t="s">
        <v>53</v>
      </c>
      <c r="J9996" s="160">
        <v>3.3259999999999998E-2</v>
      </c>
      <c r="K9996" s="160" t="s">
        <v>23</v>
      </c>
      <c r="L9996" s="154" t="str">
        <f>IF(OpenLCAbasic!K9996="CTUh", "Fill in Manually",IF(OR(K9996="Unit", K9996=""), "", INDEX(LookUps!$E$5:$E$12, MATCH(OpenLCAbasic!K9996,LookUps!$D$5:$D$12,0))))</f>
        <v>Global Warming Potential (GWP) - kg CO2 eq</v>
      </c>
      <c r="M9996" s="154" t="str">
        <f t="shared" si="836"/>
        <v>Low_Medium_Base_Upgraded_Global Warming Potential (GWP) - kg CO2 eq_Wet Well and Sump Station; wastewater treatment unit; at updated plant - US_Base_With Amendment_Aerated Static Pile</v>
      </c>
    </row>
    <row r="9997" spans="1:13" s="120" customFormat="1" x14ac:dyDescent="0.25">
      <c r="A9997" s="119"/>
      <c r="B9997" s="138" t="str">
        <f t="shared" si="837"/>
        <v>Aerated Static Pile</v>
      </c>
      <c r="C9997" s="138" t="str">
        <f t="shared" si="838"/>
        <v>Base_With Amendment</v>
      </c>
      <c r="D9997" s="138" t="str">
        <f t="shared" si="840"/>
        <v>Medium_Base</v>
      </c>
      <c r="E9997" s="138" t="str">
        <f t="shared" si="835"/>
        <v>Low</v>
      </c>
      <c r="F9997" s="138" t="str">
        <f t="shared" si="839"/>
        <v>Upgraded</v>
      </c>
      <c r="G9997" s="153"/>
      <c r="H9997" s="210">
        <v>0.2964</v>
      </c>
      <c r="I9997" s="160" t="s">
        <v>60</v>
      </c>
      <c r="J9997" s="160">
        <v>1.7639999999999999E-2</v>
      </c>
      <c r="K9997" s="160" t="s">
        <v>23</v>
      </c>
      <c r="L9997" s="154" t="str">
        <f>IF(OpenLCAbasic!K9997="CTUh", "Fill in Manually",IF(OR(K9997="Unit", K9997=""), "", INDEX(LookUps!$E$5:$E$12, MATCH(OpenLCAbasic!K9997,LookUps!$D$5:$D$12,0))))</f>
        <v>Global Warming Potential (GWP) - kg CO2 eq</v>
      </c>
      <c r="M9997" s="154" t="str">
        <f t="shared" si="836"/>
        <v>Low_Medium_Base_Upgraded_Global Warming Potential (GWP) - kg CO2 eq_Belt filter press; wastewater treatment unit; at updated plant - US_Base_With Amendment_Aerated Static Pile</v>
      </c>
    </row>
    <row r="9998" spans="1:13" s="120" customFormat="1" x14ac:dyDescent="0.25">
      <c r="A9998" s="119"/>
      <c r="B9998" s="138" t="str">
        <f t="shared" si="837"/>
        <v>Aerated Static Pile</v>
      </c>
      <c r="C9998" s="138" t="str">
        <f t="shared" si="838"/>
        <v>Base_With Amendment</v>
      </c>
      <c r="D9998" s="138" t="str">
        <f t="shared" si="840"/>
        <v>Medium_Base</v>
      </c>
      <c r="E9998" s="138" t="str">
        <f t="shared" si="835"/>
        <v>Low</v>
      </c>
      <c r="F9998" s="138" t="str">
        <f t="shared" si="839"/>
        <v>Upgraded</v>
      </c>
      <c r="G9998" s="153"/>
      <c r="H9998" s="210">
        <v>0.2445</v>
      </c>
      <c r="I9998" s="160" t="s">
        <v>57</v>
      </c>
      <c r="J9998" s="160">
        <v>1.455E-2</v>
      </c>
      <c r="K9998" s="160" t="s">
        <v>23</v>
      </c>
      <c r="L9998" s="154" t="str">
        <f>IF(OpenLCAbasic!K9998="CTUh", "Fill in Manually",IF(OR(K9998="Unit", K9998=""), "", INDEX(LookUps!$E$5:$E$12, MATCH(OpenLCAbasic!K9998,LookUps!$D$5:$D$12,0))))</f>
        <v>Global Warming Potential (GWP) - kg CO2 eq</v>
      </c>
      <c r="M9998" s="154" t="str">
        <f t="shared" si="836"/>
        <v>Low_Medium_Base_Upgraded_Global Warming Potential (GWP) - kg CO2 eq_Gravity Belt Thickener; wastewater treatment unit; at updated plant - US_Base_With Amendment_Aerated Static Pile</v>
      </c>
    </row>
    <row r="9999" spans="1:13" s="120" customFormat="1" x14ac:dyDescent="0.25">
      <c r="A9999" s="119"/>
      <c r="B9999" s="138" t="str">
        <f t="shared" si="837"/>
        <v>Aerated Static Pile</v>
      </c>
      <c r="C9999" s="138" t="str">
        <f t="shared" si="838"/>
        <v>Base_With Amendment</v>
      </c>
      <c r="D9999" s="138" t="str">
        <f t="shared" si="840"/>
        <v>Medium_Base</v>
      </c>
      <c r="E9999" s="138" t="str">
        <f t="shared" si="835"/>
        <v>Low</v>
      </c>
      <c r="F9999" s="138" t="str">
        <f t="shared" si="839"/>
        <v>Upgraded</v>
      </c>
      <c r="G9999" s="153"/>
      <c r="H9999" s="210">
        <v>0.22700000000000001</v>
      </c>
      <c r="I9999" s="160" t="s">
        <v>128</v>
      </c>
      <c r="J9999" s="160">
        <v>1.3509999999999999E-2</v>
      </c>
      <c r="K9999" s="160" t="s">
        <v>23</v>
      </c>
      <c r="L9999" s="154" t="str">
        <f>IF(OpenLCAbasic!K9999="CTUh", "Fill in Manually",IF(OR(K9999="Unit", K9999=""), "", INDEX(LookUps!$E$5:$E$12, MATCH(OpenLCAbasic!K9999,LookUps!$D$5:$D$12,0))))</f>
        <v>Global Warming Potential (GWP) - kg CO2 eq</v>
      </c>
      <c r="M9999" s="154" t="str">
        <f t="shared" si="836"/>
        <v>Low_Medium_Base_Upgraded_Global Warming Potential (GWP) - kg CO2 eq_Wastewater collection; operation and infrastructure; m3 wastewater_Base_With Amendment_Aerated Static Pile</v>
      </c>
    </row>
    <row r="10000" spans="1:13" s="120" customFormat="1" x14ac:dyDescent="0.25">
      <c r="A10000" s="119"/>
      <c r="B10000" s="138" t="str">
        <f t="shared" si="837"/>
        <v>Aerated Static Pile</v>
      </c>
      <c r="C10000" s="138" t="str">
        <f t="shared" si="838"/>
        <v>Base_With Amendment</v>
      </c>
      <c r="D10000" s="138" t="str">
        <f t="shared" si="840"/>
        <v>Medium_Base</v>
      </c>
      <c r="E10000" s="138" t="str">
        <f t="shared" si="835"/>
        <v>Low</v>
      </c>
      <c r="F10000" s="138" t="str">
        <f t="shared" si="839"/>
        <v>Upgraded</v>
      </c>
      <c r="G10000" s="153"/>
      <c r="H10000" s="210">
        <v>0.1394</v>
      </c>
      <c r="I10000" s="160" t="s">
        <v>148</v>
      </c>
      <c r="J10000" s="160">
        <v>8.3000000000000001E-3</v>
      </c>
      <c r="K10000" s="160" t="s">
        <v>23</v>
      </c>
      <c r="L10000" s="154" t="str">
        <f>IF(OpenLCAbasic!K10000="CTUh", "Fill in Manually",IF(OR(K10000="Unit", K10000=""), "", INDEX(LookUps!$E$5:$E$12, MATCH(OpenLCAbasic!K10000,LookUps!$D$5:$D$12,0))))</f>
        <v>Global Warming Potential (GWP) - kg CO2 eq</v>
      </c>
      <c r="M10000" s="154" t="str">
        <f t="shared" si="836"/>
        <v>Low_Medium_Base_Upgraded_Global Warming Potential (GWP) - kg CO2 eq_Control Building; at upgraded wastewater treatment plant - US_Base_With Amendment_Aerated Static Pile</v>
      </c>
    </row>
    <row r="10001" spans="1:13" s="120" customFormat="1" x14ac:dyDescent="0.25">
      <c r="A10001" s="119"/>
      <c r="B10001" s="138" t="str">
        <f t="shared" si="837"/>
        <v>Aerated Static Pile</v>
      </c>
      <c r="C10001" s="138" t="str">
        <f t="shared" si="838"/>
        <v>Base_With Amendment</v>
      </c>
      <c r="D10001" s="138" t="str">
        <f t="shared" si="840"/>
        <v>Medium_Base</v>
      </c>
      <c r="E10001" s="138" t="str">
        <f t="shared" si="835"/>
        <v>Low</v>
      </c>
      <c r="F10001" s="138" t="str">
        <f t="shared" si="839"/>
        <v>Upgraded</v>
      </c>
      <c r="G10001" s="153"/>
      <c r="H10001" s="210">
        <v>8.48E-2</v>
      </c>
      <c r="I10001" s="160" t="s">
        <v>59</v>
      </c>
      <c r="J10001" s="160">
        <v>5.0400000000000002E-3</v>
      </c>
      <c r="K10001" s="160" t="s">
        <v>23</v>
      </c>
      <c r="L10001" s="154" t="str">
        <f>IF(OpenLCAbasic!K10001="CTUh", "Fill in Manually",IF(OR(K10001="Unit", K10001=""), "", INDEX(LookUps!$E$5:$E$12, MATCH(OpenLCAbasic!K10001,LookUps!$D$5:$D$12,0))))</f>
        <v>Global Warming Potential (GWP) - kg CO2 eq</v>
      </c>
      <c r="M10001" s="154" t="str">
        <f t="shared" si="836"/>
        <v>Low_Medium_Base_Upgraded_Global Warming Potential (GWP) - kg CO2 eq_Blend Tank; wastewater treatment unit; at updated plant - US_Base_With Amendment_Aerated Static Pile</v>
      </c>
    </row>
    <row r="10002" spans="1:13" s="120" customFormat="1" x14ac:dyDescent="0.25">
      <c r="A10002" s="119"/>
      <c r="B10002" s="138" t="str">
        <f t="shared" si="837"/>
        <v>Aerated Static Pile</v>
      </c>
      <c r="C10002" s="138" t="str">
        <f t="shared" si="838"/>
        <v>Base_With Amendment</v>
      </c>
      <c r="D10002" s="138" t="str">
        <f t="shared" si="840"/>
        <v>Medium_Base</v>
      </c>
      <c r="E10002" s="138" t="str">
        <f t="shared" si="835"/>
        <v>Low</v>
      </c>
      <c r="F10002" s="138" t="str">
        <f t="shared" si="839"/>
        <v>Upgraded</v>
      </c>
      <c r="G10002" s="153"/>
      <c r="H10002" s="210">
        <v>4.0599999999999997E-2</v>
      </c>
      <c r="I10002" s="160" t="s">
        <v>168</v>
      </c>
      <c r="J10002" s="160">
        <v>2.4099999999999998E-3</v>
      </c>
      <c r="K10002" s="160" t="s">
        <v>23</v>
      </c>
      <c r="L10002" s="154" t="str">
        <f>IF(OpenLCAbasic!K10002="CTUh", "Fill in Manually",IF(OR(K10002="Unit", K10002=""), "", INDEX(LookUps!$E$5:$E$12, MATCH(OpenLCAbasic!K10002,LookUps!$D$5:$D$12,0))))</f>
        <v>Global Warming Potential (GWP) - kg CO2 eq</v>
      </c>
      <c r="M10002" s="154" t="str">
        <f t="shared" si="836"/>
        <v>Low_Medium_Base_Upgraded_Global Warming Potential (GWP) - kg CO2 eq_ClearCove SCP; wastewater treatment unit; at updated plant - US_Base_With Amendment_Aerated Static Pile</v>
      </c>
    </row>
    <row r="10003" spans="1:13" s="120" customFormat="1" x14ac:dyDescent="0.25">
      <c r="A10003" s="119"/>
      <c r="B10003" s="138" t="str">
        <f t="shared" si="837"/>
        <v>Aerated Static Pile</v>
      </c>
      <c r="C10003" s="138" t="str">
        <f t="shared" si="838"/>
        <v>Base_With Amendment</v>
      </c>
      <c r="D10003" s="138" t="str">
        <f t="shared" si="840"/>
        <v>Medium_Base</v>
      </c>
      <c r="E10003" s="138" t="str">
        <f t="shared" si="835"/>
        <v>Low</v>
      </c>
      <c r="F10003" s="138" t="str">
        <f t="shared" si="839"/>
        <v>Upgraded</v>
      </c>
      <c r="G10003" s="153"/>
      <c r="H10003" s="210">
        <v>-6.2172999999999998</v>
      </c>
      <c r="I10003" s="160" t="s">
        <v>149</v>
      </c>
      <c r="J10003" s="160">
        <v>-0.36997999999999998</v>
      </c>
      <c r="K10003" s="160" t="s">
        <v>23</v>
      </c>
      <c r="L10003" s="154" t="str">
        <f>IF(OpenLCAbasic!K10003="CTUh", "Fill in Manually",IF(OR(K10003="Unit", K10003=""), "", INDEX(LookUps!$E$5:$E$12, MATCH(OpenLCAbasic!K10003,LookUps!$D$5:$D$12,0))))</f>
        <v>Global Warming Potential (GWP) - kg CO2 eq</v>
      </c>
      <c r="M10003" s="154" t="str">
        <f t="shared" si="836"/>
        <v>Low_Medium_Base_Upgraded_Global Warming Potential (GWP) - kg CO2 eq_Anaerobic Digestion; wastewater treatment unit; at updated plant - US_Base_With Amendment_Aerated Static Pile</v>
      </c>
    </row>
    <row r="10004" spans="1:13" s="120" customFormat="1" x14ac:dyDescent="0.25">
      <c r="A10004" s="119"/>
      <c r="B10004" s="138" t="str">
        <f t="shared" si="837"/>
        <v>Aerated Static Pile</v>
      </c>
      <c r="C10004" s="138" t="str">
        <f t="shared" si="838"/>
        <v>Base_With Amendment</v>
      </c>
      <c r="D10004" s="138" t="str">
        <f t="shared" si="840"/>
        <v>Medium_Base</v>
      </c>
      <c r="E10004" s="138" t="str">
        <f t="shared" si="835"/>
        <v>Low</v>
      </c>
      <c r="F10004" s="138" t="str">
        <f t="shared" si="839"/>
        <v>Upgraded</v>
      </c>
      <c r="G10004" s="153"/>
      <c r="H10004" s="210">
        <v>-10.840999999999999</v>
      </c>
      <c r="I10004" s="160" t="s">
        <v>62</v>
      </c>
      <c r="J10004" s="160">
        <v>-0.64512999999999998</v>
      </c>
      <c r="K10004" s="160" t="s">
        <v>23</v>
      </c>
      <c r="L10004" s="154" t="str">
        <f>IF(OpenLCAbasic!K10004="CTUh", "Fill in Manually",IF(OR(K10004="Unit", K10004=""), "", INDEX(LookUps!$E$5:$E$12, MATCH(OpenLCAbasic!K10004,LookUps!$D$5:$D$12,0))))</f>
        <v>Global Warming Potential (GWP) - kg CO2 eq</v>
      </c>
      <c r="M10004" s="154" t="str">
        <f t="shared" si="836"/>
        <v>Low_Medium_Base_Upgraded_Global Warming Potential (GWP) - kg CO2 eq_Land application of compost; wastewater treatment unit; at updated plant - US_Base_With Amendment_Aerated Static Pile</v>
      </c>
    </row>
    <row r="10005" spans="1:13" s="120" customFormat="1" x14ac:dyDescent="0.25">
      <c r="A10005" s="119"/>
      <c r="B10005" s="138" t="str">
        <f t="shared" si="837"/>
        <v/>
      </c>
      <c r="C10005" s="138" t="str">
        <f t="shared" si="838"/>
        <v/>
      </c>
      <c r="D10005" s="138" t="str">
        <f t="shared" si="840"/>
        <v/>
      </c>
      <c r="E10005" s="138" t="str">
        <f t="shared" si="835"/>
        <v/>
      </c>
      <c r="F10005" s="138" t="str">
        <f t="shared" si="839"/>
        <v/>
      </c>
      <c r="G10005" s="153" t="s">
        <v>51</v>
      </c>
      <c r="H10005" s="160"/>
      <c r="I10005" s="160" t="s">
        <v>47</v>
      </c>
      <c r="J10005" s="160" t="s">
        <v>52</v>
      </c>
      <c r="K10005" s="160" t="s">
        <v>27</v>
      </c>
      <c r="L10005" s="154" t="str">
        <f>IF(OpenLCAbasic!K10005="CTUh", "Fill in Manually",IF(OR(K10005="Unit", K10005=""), "", INDEX(LookUps!$E$5:$E$12, MATCH(OpenLCAbasic!K10005,LookUps!$D$5:$D$12,0))))</f>
        <v/>
      </c>
      <c r="M10005" s="154" t="str">
        <f t="shared" si="836"/>
        <v>____Process__</v>
      </c>
    </row>
    <row r="10006" spans="1:13" s="120" customFormat="1" x14ac:dyDescent="0.25">
      <c r="A10006" s="119"/>
      <c r="B10006" s="138" t="str">
        <f t="shared" si="837"/>
        <v>Aerated Static Pile</v>
      </c>
      <c r="C10006" s="138" t="str">
        <f t="shared" si="838"/>
        <v>Base_With Amendment</v>
      </c>
      <c r="D10006" s="138" t="str">
        <f t="shared" si="840"/>
        <v>Medium_Base</v>
      </c>
      <c r="E10006" s="138" t="str">
        <f t="shared" si="835"/>
        <v>Low</v>
      </c>
      <c r="F10006" s="138" t="str">
        <f t="shared" si="839"/>
        <v>Upgraded</v>
      </c>
      <c r="G10006" s="153"/>
      <c r="H10006" s="210">
        <v>0.61299999999999999</v>
      </c>
      <c r="I10006" s="160" t="s">
        <v>55</v>
      </c>
      <c r="J10006" s="160">
        <v>2.33E-3</v>
      </c>
      <c r="K10006" s="160" t="s">
        <v>145</v>
      </c>
      <c r="L10006" s="154" t="str">
        <f>IF(OpenLCAbasic!K10006="CTUh", "Fill in Manually",IF(OR(K10006="Unit", K10006=""), "", INDEX(LookUps!$E$5:$E$12, MATCH(OpenLCAbasic!K10006,LookUps!$D$5:$D$12,0))))</f>
        <v>Particulate Matter Formation Potential (PMFP) - kg PM2.5 eq</v>
      </c>
      <c r="M10006" s="154" t="str">
        <f t="shared" si="836"/>
        <v>Low_Medium_Base_Upgraded_Particulate Matter Formation Potential (PMFP) - kg PM2.5 eq_Aeration Tanks; wastewater treatment unit; at updated plant - US_Base_With Amendment_Aerated Static Pile</v>
      </c>
    </row>
    <row r="10007" spans="1:13" s="120" customFormat="1" x14ac:dyDescent="0.25">
      <c r="A10007" s="119"/>
      <c r="B10007" s="138" t="str">
        <f t="shared" si="837"/>
        <v>Aerated Static Pile</v>
      </c>
      <c r="C10007" s="138" t="str">
        <f t="shared" si="838"/>
        <v>Base_With Amendment</v>
      </c>
      <c r="D10007" s="138" t="str">
        <f t="shared" si="840"/>
        <v>Medium_Base</v>
      </c>
      <c r="E10007" s="138" t="str">
        <f t="shared" si="835"/>
        <v>Low</v>
      </c>
      <c r="F10007" s="138" t="str">
        <f t="shared" si="839"/>
        <v>Upgraded</v>
      </c>
      <c r="G10007" s="153"/>
      <c r="H10007" s="210">
        <v>0.30409999999999998</v>
      </c>
      <c r="I10007" s="160" t="s">
        <v>435</v>
      </c>
      <c r="J10007" s="160">
        <v>1.16E-3</v>
      </c>
      <c r="K10007" s="160" t="s">
        <v>145</v>
      </c>
      <c r="L10007" s="154" t="str">
        <f>IF(OpenLCAbasic!K10007="CTUh", "Fill in Manually",IF(OR(K10007="Unit", K10007=""), "", INDEX(LookUps!$E$5:$E$12, MATCH(OpenLCAbasic!K10007,LookUps!$D$5:$D$12,0))))</f>
        <v>Particulate Matter Formation Potential (PMFP) - kg PM2.5 eq</v>
      </c>
      <c r="M10007" s="154" t="str">
        <f t="shared" si="836"/>
        <v>Low_Medium_Base_Upgraded_Particulate Matter Formation Potential (PMFP) - kg PM2.5 eq_Biosolids composting; aerated static pile; wastewater treatment unit; at updated plant - US_Base_With Amendment_Aerated Static Pile</v>
      </c>
    </row>
    <row r="10008" spans="1:13" s="120" customFormat="1" x14ac:dyDescent="0.25">
      <c r="A10008" s="119"/>
      <c r="B10008" s="138" t="str">
        <f t="shared" si="837"/>
        <v>Aerated Static Pile</v>
      </c>
      <c r="C10008" s="138" t="str">
        <f t="shared" si="838"/>
        <v>Base_With Amendment</v>
      </c>
      <c r="D10008" s="138" t="str">
        <f t="shared" si="840"/>
        <v>Medium_Base</v>
      </c>
      <c r="E10008" s="138" t="str">
        <f t="shared" si="835"/>
        <v>Low</v>
      </c>
      <c r="F10008" s="138" t="str">
        <f t="shared" si="839"/>
        <v>Upgraded</v>
      </c>
      <c r="G10008" s="153"/>
      <c r="H10008" s="210">
        <v>0.1784</v>
      </c>
      <c r="I10008" s="160" t="s">
        <v>54</v>
      </c>
      <c r="J10008" s="160">
        <v>6.8000000000000005E-4</v>
      </c>
      <c r="K10008" s="160" t="s">
        <v>145</v>
      </c>
      <c r="L10008" s="154" t="str">
        <f>IF(OpenLCAbasic!K10008="CTUh", "Fill in Manually",IF(OR(K10008="Unit", K10008=""), "", INDEX(LookUps!$E$5:$E$12, MATCH(OpenLCAbasic!K10008,LookUps!$D$5:$D$12,0))))</f>
        <v>Particulate Matter Formation Potential (PMFP) - kg PM2.5 eq</v>
      </c>
      <c r="M10008" s="154" t="str">
        <f t="shared" si="836"/>
        <v>Low_Medium_Base_Upgraded_Particulate Matter Formation Potential (PMFP) - kg PM2.5 eq_Clear Cove Primary Clarification; wastewater treatment unit; at updated plant - US_Base_With Amendment_Aerated Static Pile</v>
      </c>
    </row>
    <row r="10009" spans="1:13" s="120" customFormat="1" x14ac:dyDescent="0.25">
      <c r="A10009" s="119"/>
      <c r="B10009" s="138" t="str">
        <f t="shared" si="837"/>
        <v>Aerated Static Pile</v>
      </c>
      <c r="C10009" s="138" t="str">
        <f t="shared" si="838"/>
        <v>Base_With Amendment</v>
      </c>
      <c r="D10009" s="138" t="str">
        <f t="shared" si="840"/>
        <v>Medium_Base</v>
      </c>
      <c r="E10009" s="138" t="str">
        <f t="shared" si="835"/>
        <v>Low</v>
      </c>
      <c r="F10009" s="138" t="str">
        <f t="shared" si="839"/>
        <v>Upgraded</v>
      </c>
      <c r="G10009" s="153"/>
      <c r="H10009" s="210">
        <v>0.15459999999999999</v>
      </c>
      <c r="I10009" s="160" t="s">
        <v>58</v>
      </c>
      <c r="J10009" s="160">
        <v>5.9000000000000003E-4</v>
      </c>
      <c r="K10009" s="160" t="s">
        <v>145</v>
      </c>
      <c r="L10009" s="154" t="str">
        <f>IF(OpenLCAbasic!K10009="CTUh", "Fill in Manually",IF(OR(K10009="Unit", K10009=""), "", INDEX(LookUps!$E$5:$E$12, MATCH(OpenLCAbasic!K10009,LookUps!$D$5:$D$12,0))))</f>
        <v>Particulate Matter Formation Potential (PMFP) - kg PM2.5 eq</v>
      </c>
      <c r="M10009" s="154" t="str">
        <f t="shared" si="836"/>
        <v>Low_Medium_Base_Upgraded_Particulate Matter Formation Potential (PMFP) - kg PM2.5 eq_Pre-Anoxic &amp; Swing tank; wastewater treatment unit; at updated plant - US_Base_With Amendment_Aerated Static Pile</v>
      </c>
    </row>
    <row r="10010" spans="1:13" s="120" customFormat="1" x14ac:dyDescent="0.25">
      <c r="A10010" s="119"/>
      <c r="B10010" s="138" t="str">
        <f t="shared" si="837"/>
        <v>Aerated Static Pile</v>
      </c>
      <c r="C10010" s="138" t="str">
        <f t="shared" si="838"/>
        <v>Base_With Amendment</v>
      </c>
      <c r="D10010" s="138" t="str">
        <f t="shared" si="840"/>
        <v>Medium_Base</v>
      </c>
      <c r="E10010" s="138" t="str">
        <f t="shared" si="835"/>
        <v>Low</v>
      </c>
      <c r="F10010" s="138" t="str">
        <f t="shared" si="839"/>
        <v>Upgraded</v>
      </c>
      <c r="G10010" s="153"/>
      <c r="H10010" s="210">
        <v>0.1226</v>
      </c>
      <c r="I10010" s="160" t="s">
        <v>53</v>
      </c>
      <c r="J10010" s="160">
        <v>4.6999999999999999E-4</v>
      </c>
      <c r="K10010" s="160" t="s">
        <v>145</v>
      </c>
      <c r="L10010" s="154" t="str">
        <f>IF(OpenLCAbasic!K10010="CTUh", "Fill in Manually",IF(OR(K10010="Unit", K10010=""), "", INDEX(LookUps!$E$5:$E$12, MATCH(OpenLCAbasic!K10010,LookUps!$D$5:$D$12,0))))</f>
        <v>Particulate Matter Formation Potential (PMFP) - kg PM2.5 eq</v>
      </c>
      <c r="M10010" s="154" t="str">
        <f t="shared" si="836"/>
        <v>Low_Medium_Base_Upgraded_Particulate Matter Formation Potential (PMFP) - kg PM2.5 eq_Wet Well and Sump Station; wastewater treatment unit; at updated plant - US_Base_With Amendment_Aerated Static Pile</v>
      </c>
    </row>
    <row r="10011" spans="1:13" s="120" customFormat="1" x14ac:dyDescent="0.25">
      <c r="A10011" s="119"/>
      <c r="B10011" s="138" t="str">
        <f t="shared" si="837"/>
        <v>Aerated Static Pile</v>
      </c>
      <c r="C10011" s="138" t="str">
        <f t="shared" si="838"/>
        <v>Base_With Amendment</v>
      </c>
      <c r="D10011" s="138" t="str">
        <f t="shared" si="840"/>
        <v>Medium_Base</v>
      </c>
      <c r="E10011" s="138" t="str">
        <f t="shared" si="835"/>
        <v>Low</v>
      </c>
      <c r="F10011" s="138" t="str">
        <f t="shared" si="839"/>
        <v>Upgraded</v>
      </c>
      <c r="G10011" s="153"/>
      <c r="H10011" s="210">
        <v>8.2600000000000007E-2</v>
      </c>
      <c r="I10011" s="160" t="s">
        <v>167</v>
      </c>
      <c r="J10011" s="160">
        <v>3.1E-4</v>
      </c>
      <c r="K10011" s="160" t="s">
        <v>145</v>
      </c>
      <c r="L10011" s="154" t="str">
        <f>IF(OpenLCAbasic!K10011="CTUh", "Fill in Manually",IF(OR(K10011="Unit", K10011=""), "", INDEX(LookUps!$E$5:$E$12, MATCH(OpenLCAbasic!K10011,LookUps!$D$5:$D$12,0))))</f>
        <v>Particulate Matter Formation Potential (PMFP) - kg PM2.5 eq</v>
      </c>
      <c r="M10011" s="154" t="str">
        <f t="shared" si="836"/>
        <v>Low_Medium_Base_Upgraded_Particulate Matter Formation Potential (PMFP) - kg PM2.5 eq_Waste Receiving and Holding; wastewater treatment unit; at updated plant - US_Base_With Amendment_Aerated Static Pile</v>
      </c>
    </row>
    <row r="10012" spans="1:13" s="120" customFormat="1" x14ac:dyDescent="0.25">
      <c r="A10012" s="119"/>
      <c r="B10012" s="138" t="str">
        <f t="shared" si="837"/>
        <v>Aerated Static Pile</v>
      </c>
      <c r="C10012" s="138" t="str">
        <f t="shared" si="838"/>
        <v>Base_With Amendment</v>
      </c>
      <c r="D10012" s="138" t="str">
        <f t="shared" si="840"/>
        <v>Medium_Base</v>
      </c>
      <c r="E10012" s="138" t="str">
        <f t="shared" si="835"/>
        <v>Low</v>
      </c>
      <c r="F10012" s="138" t="str">
        <f t="shared" si="839"/>
        <v>Upgraded</v>
      </c>
      <c r="G10012" s="153"/>
      <c r="H10012" s="210">
        <v>7.0099999999999996E-2</v>
      </c>
      <c r="I10012" s="160" t="s">
        <v>147</v>
      </c>
      <c r="J10012" s="160">
        <v>2.7E-4</v>
      </c>
      <c r="K10012" s="160" t="s">
        <v>145</v>
      </c>
      <c r="L10012" s="154" t="str">
        <f>IF(OpenLCAbasic!K10012="CTUh", "Fill in Manually",IF(OR(K10012="Unit", K10012=""), "", INDEX(LookUps!$E$5:$E$12, MATCH(OpenLCAbasic!K10012,LookUps!$D$5:$D$12,0))))</f>
        <v>Particulate Matter Formation Potential (PMFP) - kg PM2.5 eq</v>
      </c>
      <c r="M10012" s="154" t="str">
        <f t="shared" si="836"/>
        <v>Low_Medium_Base_Upgraded_Particulate Matter Formation Potential (PMFP) - kg PM2.5 eq_Influent Pump Station; wastewater treatment unit; at updated plant - US_Base_With Amendment_Aerated Static Pile</v>
      </c>
    </row>
    <row r="10013" spans="1:13" s="120" customFormat="1" x14ac:dyDescent="0.25">
      <c r="A10013" s="119"/>
      <c r="B10013" s="138" t="str">
        <f t="shared" si="837"/>
        <v>Aerated Static Pile</v>
      </c>
      <c r="C10013" s="138" t="str">
        <f t="shared" si="838"/>
        <v>Base_With Amendment</v>
      </c>
      <c r="D10013" s="138" t="str">
        <f t="shared" si="840"/>
        <v>Medium_Base</v>
      </c>
      <c r="E10013" s="138" t="str">
        <f t="shared" si="835"/>
        <v>Low</v>
      </c>
      <c r="F10013" s="138" t="str">
        <f t="shared" si="839"/>
        <v>Upgraded</v>
      </c>
      <c r="G10013" s="153"/>
      <c r="H10013" s="210">
        <v>4.3700000000000003E-2</v>
      </c>
      <c r="I10013" s="160" t="s">
        <v>128</v>
      </c>
      <c r="J10013" s="160">
        <v>1.7000000000000001E-4</v>
      </c>
      <c r="K10013" s="160" t="s">
        <v>145</v>
      </c>
      <c r="L10013" s="154" t="str">
        <f>IF(OpenLCAbasic!K10013="CTUh", "Fill in Manually",IF(OR(K10013="Unit", K10013=""), "", INDEX(LookUps!$E$5:$E$12, MATCH(OpenLCAbasic!K10013,LookUps!$D$5:$D$12,0))))</f>
        <v>Particulate Matter Formation Potential (PMFP) - kg PM2.5 eq</v>
      </c>
      <c r="M10013" s="154" t="str">
        <f t="shared" si="836"/>
        <v>Low_Medium_Base_Upgraded_Particulate Matter Formation Potential (PMFP) - kg PM2.5 eq_Wastewater collection; operation and infrastructure; m3 wastewater_Base_With Amendment_Aerated Static Pile</v>
      </c>
    </row>
    <row r="10014" spans="1:13" s="120" customFormat="1" x14ac:dyDescent="0.25">
      <c r="A10014" s="119"/>
      <c r="B10014" s="138" t="str">
        <f t="shared" si="837"/>
        <v>Aerated Static Pile</v>
      </c>
      <c r="C10014" s="138" t="str">
        <f t="shared" si="838"/>
        <v>Base_With Amendment</v>
      </c>
      <c r="D10014" s="138" t="str">
        <f t="shared" si="840"/>
        <v>Medium_Base</v>
      </c>
      <c r="E10014" s="138" t="str">
        <f t="shared" si="835"/>
        <v>Low</v>
      </c>
      <c r="F10014" s="138" t="str">
        <f t="shared" si="839"/>
        <v>Upgraded</v>
      </c>
      <c r="G10014" s="153"/>
      <c r="H10014" s="210">
        <v>3.7900000000000003E-2</v>
      </c>
      <c r="I10014" s="160" t="s">
        <v>60</v>
      </c>
      <c r="J10014" s="160">
        <v>1.3999999999999999E-4</v>
      </c>
      <c r="K10014" s="160" t="s">
        <v>145</v>
      </c>
      <c r="L10014" s="154" t="str">
        <f>IF(OpenLCAbasic!K10014="CTUh", "Fill in Manually",IF(OR(K10014="Unit", K10014=""), "", INDEX(LookUps!$E$5:$E$12, MATCH(OpenLCAbasic!K10014,LookUps!$D$5:$D$12,0))))</f>
        <v>Particulate Matter Formation Potential (PMFP) - kg PM2.5 eq</v>
      </c>
      <c r="M10014" s="154" t="str">
        <f t="shared" si="836"/>
        <v>Low_Medium_Base_Upgraded_Particulate Matter Formation Potential (PMFP) - kg PM2.5 eq_Belt filter press; wastewater treatment unit; at updated plant - US_Base_With Amendment_Aerated Static Pile</v>
      </c>
    </row>
    <row r="10015" spans="1:13" s="120" customFormat="1" x14ac:dyDescent="0.25">
      <c r="A10015" s="119"/>
      <c r="B10015" s="138" t="str">
        <f t="shared" si="837"/>
        <v>Aerated Static Pile</v>
      </c>
      <c r="C10015" s="138" t="str">
        <f t="shared" si="838"/>
        <v>Base_With Amendment</v>
      </c>
      <c r="D10015" s="138" t="str">
        <f t="shared" si="840"/>
        <v>Medium_Base</v>
      </c>
      <c r="E10015" s="138" t="str">
        <f t="shared" si="835"/>
        <v>Low</v>
      </c>
      <c r="F10015" s="138" t="str">
        <f t="shared" si="839"/>
        <v>Upgraded</v>
      </c>
      <c r="G10015" s="153"/>
      <c r="H10015" s="210">
        <v>2.5000000000000001E-2</v>
      </c>
      <c r="I10015" s="160" t="s">
        <v>57</v>
      </c>
      <c r="J10015" s="211">
        <v>9.5153800000000004E-5</v>
      </c>
      <c r="K10015" s="160" t="s">
        <v>145</v>
      </c>
      <c r="L10015" s="154" t="str">
        <f>IF(OpenLCAbasic!K10015="CTUh", "Fill in Manually",IF(OR(K10015="Unit", K10015=""), "", INDEX(LookUps!$E$5:$E$12, MATCH(OpenLCAbasic!K10015,LookUps!$D$5:$D$12,0))))</f>
        <v>Particulate Matter Formation Potential (PMFP) - kg PM2.5 eq</v>
      </c>
      <c r="M10015" s="154" t="str">
        <f t="shared" si="836"/>
        <v>Low_Medium_Base_Upgraded_Particulate Matter Formation Potential (PMFP) - kg PM2.5 eq_Gravity Belt Thickener; wastewater treatment unit; at updated plant - US_Base_With Amendment_Aerated Static Pile</v>
      </c>
    </row>
    <row r="10016" spans="1:13" s="120" customFormat="1" x14ac:dyDescent="0.25">
      <c r="A10016" s="119"/>
      <c r="B10016" s="138" t="str">
        <f t="shared" si="837"/>
        <v>Aerated Static Pile</v>
      </c>
      <c r="C10016" s="138" t="str">
        <f t="shared" si="838"/>
        <v>Base_With Amendment</v>
      </c>
      <c r="D10016" s="138" t="str">
        <f t="shared" si="840"/>
        <v>Medium_Base</v>
      </c>
      <c r="E10016" s="138" t="str">
        <f t="shared" si="835"/>
        <v>Low</v>
      </c>
      <c r="F10016" s="138" t="str">
        <f t="shared" si="839"/>
        <v>Upgraded</v>
      </c>
      <c r="G10016" s="153"/>
      <c r="H10016" s="210">
        <v>1.8800000000000001E-2</v>
      </c>
      <c r="I10016" s="160" t="s">
        <v>62</v>
      </c>
      <c r="J10016" s="211">
        <v>7.17427E-5</v>
      </c>
      <c r="K10016" s="160" t="s">
        <v>145</v>
      </c>
      <c r="L10016" s="154" t="str">
        <f>IF(OpenLCAbasic!K10016="CTUh", "Fill in Manually",IF(OR(K10016="Unit", K10016=""), "", INDEX(LookUps!$E$5:$E$12, MATCH(OpenLCAbasic!K10016,LookUps!$D$5:$D$12,0))))</f>
        <v>Particulate Matter Formation Potential (PMFP) - kg PM2.5 eq</v>
      </c>
      <c r="M10016" s="154" t="str">
        <f t="shared" si="836"/>
        <v>Low_Medium_Base_Upgraded_Particulate Matter Formation Potential (PMFP) - kg PM2.5 eq_Land application of compost; wastewater treatment unit; at updated plant - US_Base_With Amendment_Aerated Static Pile</v>
      </c>
    </row>
    <row r="10017" spans="1:13" s="120" customFormat="1" x14ac:dyDescent="0.25">
      <c r="A10017" s="119"/>
      <c r="B10017" s="138" t="str">
        <f t="shared" si="837"/>
        <v>Aerated Static Pile</v>
      </c>
      <c r="C10017" s="138" t="str">
        <f t="shared" si="838"/>
        <v>Base_With Amendment</v>
      </c>
      <c r="D10017" s="138" t="str">
        <f t="shared" si="840"/>
        <v>Medium_Base</v>
      </c>
      <c r="E10017" s="138" t="str">
        <f t="shared" si="835"/>
        <v>Low</v>
      </c>
      <c r="F10017" s="138" t="str">
        <f t="shared" si="839"/>
        <v>Upgraded</v>
      </c>
      <c r="G10017" s="153"/>
      <c r="H10017" s="210">
        <v>1.84E-2</v>
      </c>
      <c r="I10017" s="160" t="s">
        <v>59</v>
      </c>
      <c r="J10017" s="211">
        <v>6.9942200000000003E-5</v>
      </c>
      <c r="K10017" s="160" t="s">
        <v>145</v>
      </c>
      <c r="L10017" s="154" t="str">
        <f>IF(OpenLCAbasic!K10017="CTUh", "Fill in Manually",IF(OR(K10017="Unit", K10017=""), "", INDEX(LookUps!$E$5:$E$12, MATCH(OpenLCAbasic!K10017,LookUps!$D$5:$D$12,0))))</f>
        <v>Particulate Matter Formation Potential (PMFP) - kg PM2.5 eq</v>
      </c>
      <c r="M10017" s="154" t="str">
        <f t="shared" si="836"/>
        <v>Low_Medium_Base_Upgraded_Particulate Matter Formation Potential (PMFP) - kg PM2.5 eq_Blend Tank; wastewater treatment unit; at updated plant - US_Base_With Amendment_Aerated Static Pile</v>
      </c>
    </row>
    <row r="10018" spans="1:13" s="120" customFormat="1" x14ac:dyDescent="0.25">
      <c r="A10018" s="119"/>
      <c r="B10018" s="138" t="str">
        <f t="shared" si="837"/>
        <v>Aerated Static Pile</v>
      </c>
      <c r="C10018" s="138" t="str">
        <f t="shared" si="838"/>
        <v>Base_With Amendment</v>
      </c>
      <c r="D10018" s="138" t="str">
        <f t="shared" si="840"/>
        <v>Medium_Base</v>
      </c>
      <c r="E10018" s="138" t="str">
        <f t="shared" si="835"/>
        <v>Low</v>
      </c>
      <c r="F10018" s="138" t="str">
        <f t="shared" si="839"/>
        <v>Upgraded</v>
      </c>
      <c r="G10018" s="153"/>
      <c r="H10018" s="210">
        <v>1.3100000000000001E-2</v>
      </c>
      <c r="I10018" s="160" t="s">
        <v>48</v>
      </c>
      <c r="J10018" s="211">
        <v>4.99741E-5</v>
      </c>
      <c r="K10018" s="160" t="s">
        <v>145</v>
      </c>
      <c r="L10018" s="154" t="str">
        <f>IF(OpenLCAbasic!K10018="CTUh", "Fill in Manually",IF(OR(K10018="Unit", K10018=""), "", INDEX(LookUps!$E$5:$E$12, MATCH(OpenLCAbasic!K10018,LookUps!$D$5:$D$12,0))))</f>
        <v>Particulate Matter Formation Potential (PMFP) - kg PM2.5 eq</v>
      </c>
      <c r="M10018" s="154" t="str">
        <f t="shared" si="836"/>
        <v>Low_Medium_Base_Upgraded_Particulate Matter Formation Potential (PMFP) - kg PM2.5 eq_Effluent release; wastewater treatment unit; at surface water; m3 wastewater - US_Base_With Amendment_Aerated Static Pile</v>
      </c>
    </row>
    <row r="10019" spans="1:13" s="120" customFormat="1" x14ac:dyDescent="0.25">
      <c r="A10019" s="119"/>
      <c r="B10019" s="138" t="str">
        <f t="shared" si="837"/>
        <v>Aerated Static Pile</v>
      </c>
      <c r="C10019" s="138" t="str">
        <f t="shared" si="838"/>
        <v>Base_With Amendment</v>
      </c>
      <c r="D10019" s="138" t="str">
        <f t="shared" si="840"/>
        <v>Medium_Base</v>
      </c>
      <c r="E10019" s="138" t="str">
        <f t="shared" si="835"/>
        <v>Low</v>
      </c>
      <c r="F10019" s="138" t="str">
        <f t="shared" si="839"/>
        <v>Upgraded</v>
      </c>
      <c r="G10019" s="153"/>
      <c r="H10019" s="210">
        <v>9.1000000000000004E-3</v>
      </c>
      <c r="I10019" s="160" t="s">
        <v>168</v>
      </c>
      <c r="J10019" s="211">
        <v>3.4562199999999999E-5</v>
      </c>
      <c r="K10019" s="160" t="s">
        <v>145</v>
      </c>
      <c r="L10019" s="154" t="str">
        <f>IF(OpenLCAbasic!K10019="CTUh", "Fill in Manually",IF(OR(K10019="Unit", K10019=""), "", INDEX(LookUps!$E$5:$E$12, MATCH(OpenLCAbasic!K10019,LookUps!$D$5:$D$12,0))))</f>
        <v>Particulate Matter Formation Potential (PMFP) - kg PM2.5 eq</v>
      </c>
      <c r="M10019" s="154" t="str">
        <f t="shared" si="836"/>
        <v>Low_Medium_Base_Upgraded_Particulate Matter Formation Potential (PMFP) - kg PM2.5 eq_ClearCove SCP; wastewater treatment unit; at updated plant - US_Base_With Amendment_Aerated Static Pile</v>
      </c>
    </row>
    <row r="10020" spans="1:13" s="120" customFormat="1" x14ac:dyDescent="0.25">
      <c r="A10020" s="119"/>
      <c r="B10020" s="138" t="str">
        <f t="shared" si="837"/>
        <v>Aerated Static Pile</v>
      </c>
      <c r="C10020" s="138" t="str">
        <f t="shared" si="838"/>
        <v>Base_With Amendment</v>
      </c>
      <c r="D10020" s="138" t="str">
        <f t="shared" si="840"/>
        <v>Medium_Base</v>
      </c>
      <c r="E10020" s="138" t="str">
        <f t="shared" si="835"/>
        <v>Low</v>
      </c>
      <c r="F10020" s="138" t="str">
        <f t="shared" si="839"/>
        <v>Upgraded</v>
      </c>
      <c r="G10020" s="153"/>
      <c r="H10020" s="210">
        <v>2.3E-3</v>
      </c>
      <c r="I10020" s="160" t="s">
        <v>148</v>
      </c>
      <c r="J10020" s="211">
        <v>8.8212999999999997E-6</v>
      </c>
      <c r="K10020" s="160" t="s">
        <v>145</v>
      </c>
      <c r="L10020" s="154" t="str">
        <f>IF(OpenLCAbasic!K10020="CTUh", "Fill in Manually",IF(OR(K10020="Unit", K10020=""), "", INDEX(LookUps!$E$5:$E$12, MATCH(OpenLCAbasic!K10020,LookUps!$D$5:$D$12,0))))</f>
        <v>Particulate Matter Formation Potential (PMFP) - kg PM2.5 eq</v>
      </c>
      <c r="M10020" s="154" t="str">
        <f t="shared" si="836"/>
        <v>Low_Medium_Base_Upgraded_Particulate Matter Formation Potential (PMFP) - kg PM2.5 eq_Control Building; at upgraded wastewater treatment plant - US_Base_With Amendment_Aerated Static Pile</v>
      </c>
    </row>
    <row r="10021" spans="1:13" s="120" customFormat="1" x14ac:dyDescent="0.25">
      <c r="A10021" s="119"/>
      <c r="B10021" s="138" t="str">
        <f t="shared" si="837"/>
        <v>Aerated Static Pile</v>
      </c>
      <c r="C10021" s="138" t="str">
        <f t="shared" si="838"/>
        <v>Base_With Amendment</v>
      </c>
      <c r="D10021" s="138" t="str">
        <f t="shared" si="840"/>
        <v>Medium_Base</v>
      </c>
      <c r="E10021" s="138" t="str">
        <f t="shared" si="835"/>
        <v>Low</v>
      </c>
      <c r="F10021" s="138" t="str">
        <f t="shared" si="839"/>
        <v>Upgraded</v>
      </c>
      <c r="G10021" s="153"/>
      <c r="H10021" s="210">
        <v>-0.69369999999999998</v>
      </c>
      <c r="I10021" s="160" t="s">
        <v>149</v>
      </c>
      <c r="J10021" s="160">
        <v>-2.64E-3</v>
      </c>
      <c r="K10021" s="160" t="s">
        <v>145</v>
      </c>
      <c r="L10021" s="154" t="str">
        <f>IF(OpenLCAbasic!K10021="CTUh", "Fill in Manually",IF(OR(K10021="Unit", K10021=""), "", INDEX(LookUps!$E$5:$E$12, MATCH(OpenLCAbasic!K10021,LookUps!$D$5:$D$12,0))))</f>
        <v>Particulate Matter Formation Potential (PMFP) - kg PM2.5 eq</v>
      </c>
      <c r="M10021" s="154" t="str">
        <f t="shared" si="836"/>
        <v>Low_Medium_Base_Upgraded_Particulate Matter Formation Potential (PMFP) - kg PM2.5 eq_Anaerobic Digestion; wastewater treatment unit; at updated plant - US_Base_With Amendment_Aerated Static Pile</v>
      </c>
    </row>
    <row r="10022" spans="1:13" s="120" customFormat="1" x14ac:dyDescent="0.25">
      <c r="A10022" s="119"/>
      <c r="B10022" s="138" t="str">
        <f t="shared" si="837"/>
        <v/>
      </c>
      <c r="C10022" s="138" t="str">
        <f t="shared" si="838"/>
        <v/>
      </c>
      <c r="D10022" s="138" t="str">
        <f t="shared" si="840"/>
        <v/>
      </c>
      <c r="E10022" s="138" t="str">
        <f t="shared" si="835"/>
        <v/>
      </c>
      <c r="F10022" s="138" t="str">
        <f t="shared" si="839"/>
        <v/>
      </c>
      <c r="G10022" s="153" t="s">
        <v>51</v>
      </c>
      <c r="H10022" s="160"/>
      <c r="I10022" s="160" t="s">
        <v>47</v>
      </c>
      <c r="J10022" s="160" t="s">
        <v>52</v>
      </c>
      <c r="K10022" s="160" t="s">
        <v>27</v>
      </c>
      <c r="L10022" s="154" t="str">
        <f>IF(OpenLCAbasic!K10022="CTUh", "Fill in Manually",IF(OR(K10022="Unit", K10022=""), "", INDEX(LookUps!$E$5:$E$12, MATCH(OpenLCAbasic!K10022,LookUps!$D$5:$D$12,0))))</f>
        <v/>
      </c>
      <c r="M10022" s="154" t="str">
        <f t="shared" si="836"/>
        <v>____Process__</v>
      </c>
    </row>
    <row r="10023" spans="1:13" s="120" customFormat="1" x14ac:dyDescent="0.25">
      <c r="A10023" s="119"/>
      <c r="B10023" s="138" t="str">
        <f t="shared" si="837"/>
        <v>Aerated Static Pile</v>
      </c>
      <c r="C10023" s="138" t="str">
        <f t="shared" si="838"/>
        <v>Base_With Amendment</v>
      </c>
      <c r="D10023" s="138" t="str">
        <f t="shared" si="840"/>
        <v>Medium_Base</v>
      </c>
      <c r="E10023" s="138" t="str">
        <f t="shared" si="835"/>
        <v>Low</v>
      </c>
      <c r="F10023" s="138" t="str">
        <f t="shared" si="839"/>
        <v>Upgraded</v>
      </c>
      <c r="G10023" s="153"/>
      <c r="H10023" s="210">
        <v>0.61870000000000003</v>
      </c>
      <c r="I10023" s="160" t="s">
        <v>55</v>
      </c>
      <c r="J10023" s="160">
        <v>0.16577</v>
      </c>
      <c r="K10023" s="160" t="s">
        <v>25</v>
      </c>
      <c r="L10023" s="154" t="str">
        <f>IF(OpenLCAbasic!K10023="CTUh", "Fill in Manually",IF(OR(K10023="Unit", K10023=""), "", INDEX(LookUps!$E$5:$E$12, MATCH(OpenLCAbasic!K10023,LookUps!$D$5:$D$12,0))))</f>
        <v>Smog Formation Potential (SFP) - kg O3 eq</v>
      </c>
      <c r="M10023" s="154" t="str">
        <f t="shared" si="836"/>
        <v>Low_Medium_Base_Upgraded_Smog Formation Potential (SFP) - kg O3 eq_Aeration Tanks; wastewater treatment unit; at updated plant - US_Base_With Amendment_Aerated Static Pile</v>
      </c>
    </row>
    <row r="10024" spans="1:13" s="120" customFormat="1" x14ac:dyDescent="0.25">
      <c r="A10024" s="119"/>
      <c r="B10024" s="138" t="str">
        <f t="shared" si="837"/>
        <v>Aerated Static Pile</v>
      </c>
      <c r="C10024" s="138" t="str">
        <f t="shared" si="838"/>
        <v>Base_With Amendment</v>
      </c>
      <c r="D10024" s="138" t="str">
        <f t="shared" si="840"/>
        <v>Medium_Base</v>
      </c>
      <c r="E10024" s="138" t="str">
        <f t="shared" si="835"/>
        <v>Low</v>
      </c>
      <c r="F10024" s="138" t="str">
        <f t="shared" si="839"/>
        <v>Upgraded</v>
      </c>
      <c r="G10024" s="153"/>
      <c r="H10024" s="210">
        <v>0.30680000000000002</v>
      </c>
      <c r="I10024" s="160" t="s">
        <v>435</v>
      </c>
      <c r="J10024" s="160">
        <v>8.2210000000000005E-2</v>
      </c>
      <c r="K10024" s="160" t="s">
        <v>25</v>
      </c>
      <c r="L10024" s="154" t="str">
        <f>IF(OpenLCAbasic!K10024="CTUh", "Fill in Manually",IF(OR(K10024="Unit", K10024=""), "", INDEX(LookUps!$E$5:$E$12, MATCH(OpenLCAbasic!K10024,LookUps!$D$5:$D$12,0))))</f>
        <v>Smog Formation Potential (SFP) - kg O3 eq</v>
      </c>
      <c r="M10024" s="154" t="str">
        <f t="shared" si="836"/>
        <v>Low_Medium_Base_Upgraded_Smog Formation Potential (SFP) - kg O3 eq_Biosolids composting; aerated static pile; wastewater treatment unit; at updated plant - US_Base_With Amendment_Aerated Static Pile</v>
      </c>
    </row>
    <row r="10025" spans="1:13" s="120" customFormat="1" x14ac:dyDescent="0.25">
      <c r="A10025" s="119"/>
      <c r="B10025" s="138" t="str">
        <f t="shared" si="837"/>
        <v>Aerated Static Pile</v>
      </c>
      <c r="C10025" s="138" t="str">
        <f t="shared" si="838"/>
        <v>Base_With Amendment</v>
      </c>
      <c r="D10025" s="138" t="str">
        <f t="shared" si="840"/>
        <v>Medium_Base</v>
      </c>
      <c r="E10025" s="138" t="str">
        <f t="shared" ref="E10025:E10088" si="841">IF(ISNUMBER($J10025),"Low","")</f>
        <v>Low</v>
      </c>
      <c r="F10025" s="138" t="str">
        <f t="shared" si="839"/>
        <v>Upgraded</v>
      </c>
      <c r="G10025" s="153"/>
      <c r="H10025" s="210">
        <v>0.1794</v>
      </c>
      <c r="I10025" s="160" t="s">
        <v>54</v>
      </c>
      <c r="J10025" s="160">
        <v>4.8070000000000002E-2</v>
      </c>
      <c r="K10025" s="160" t="s">
        <v>25</v>
      </c>
      <c r="L10025" s="154" t="str">
        <f>IF(OpenLCAbasic!K10025="CTUh", "Fill in Manually",IF(OR(K10025="Unit", K10025=""), "", INDEX(LookUps!$E$5:$E$12, MATCH(OpenLCAbasic!K10025,LookUps!$D$5:$D$12,0))))</f>
        <v>Smog Formation Potential (SFP) - kg O3 eq</v>
      </c>
      <c r="M10025" s="154" t="str">
        <f t="shared" si="836"/>
        <v>Low_Medium_Base_Upgraded_Smog Formation Potential (SFP) - kg O3 eq_Clear Cove Primary Clarification; wastewater treatment unit; at updated plant - US_Base_With Amendment_Aerated Static Pile</v>
      </c>
    </row>
    <row r="10026" spans="1:13" s="120" customFormat="1" x14ac:dyDescent="0.25">
      <c r="A10026" s="119"/>
      <c r="B10026" s="138" t="str">
        <f t="shared" si="837"/>
        <v>Aerated Static Pile</v>
      </c>
      <c r="C10026" s="138" t="str">
        <f t="shared" si="838"/>
        <v>Base_With Amendment</v>
      </c>
      <c r="D10026" s="138" t="str">
        <f t="shared" si="840"/>
        <v>Medium_Base</v>
      </c>
      <c r="E10026" s="138" t="str">
        <f t="shared" si="841"/>
        <v>Low</v>
      </c>
      <c r="F10026" s="138" t="str">
        <f t="shared" si="839"/>
        <v>Upgraded</v>
      </c>
      <c r="G10026" s="153"/>
      <c r="H10026" s="210">
        <v>0.15640000000000001</v>
      </c>
      <c r="I10026" s="160" t="s">
        <v>58</v>
      </c>
      <c r="J10026" s="160">
        <v>4.1919999999999999E-2</v>
      </c>
      <c r="K10026" s="160" t="s">
        <v>25</v>
      </c>
      <c r="L10026" s="154" t="str">
        <f>IF(OpenLCAbasic!K10026="CTUh", "Fill in Manually",IF(OR(K10026="Unit", K10026=""), "", INDEX(LookUps!$E$5:$E$12, MATCH(OpenLCAbasic!K10026,LookUps!$D$5:$D$12,0))))</f>
        <v>Smog Formation Potential (SFP) - kg O3 eq</v>
      </c>
      <c r="M10026" s="154" t="str">
        <f t="shared" si="836"/>
        <v>Low_Medium_Base_Upgraded_Smog Formation Potential (SFP) - kg O3 eq_Pre-Anoxic &amp; Swing tank; wastewater treatment unit; at updated plant - US_Base_With Amendment_Aerated Static Pile</v>
      </c>
    </row>
    <row r="10027" spans="1:13" s="120" customFormat="1" x14ac:dyDescent="0.25">
      <c r="A10027" s="119"/>
      <c r="B10027" s="138" t="str">
        <f t="shared" si="837"/>
        <v>Aerated Static Pile</v>
      </c>
      <c r="C10027" s="138" t="str">
        <f t="shared" si="838"/>
        <v>Base_With Amendment</v>
      </c>
      <c r="D10027" s="138" t="str">
        <f t="shared" si="840"/>
        <v>Medium_Base</v>
      </c>
      <c r="E10027" s="138" t="str">
        <f t="shared" si="841"/>
        <v>Low</v>
      </c>
      <c r="F10027" s="138" t="str">
        <f t="shared" si="839"/>
        <v>Upgraded</v>
      </c>
      <c r="G10027" s="153"/>
      <c r="H10027" s="210">
        <v>0.1236</v>
      </c>
      <c r="I10027" s="160" t="s">
        <v>53</v>
      </c>
      <c r="J10027" s="160">
        <v>3.313E-2</v>
      </c>
      <c r="K10027" s="160" t="s">
        <v>25</v>
      </c>
      <c r="L10027" s="154" t="str">
        <f>IF(OpenLCAbasic!K10027="CTUh", "Fill in Manually",IF(OR(K10027="Unit", K10027=""), "", INDEX(LookUps!$E$5:$E$12, MATCH(OpenLCAbasic!K10027,LookUps!$D$5:$D$12,0))))</f>
        <v>Smog Formation Potential (SFP) - kg O3 eq</v>
      </c>
      <c r="M10027" s="154" t="str">
        <f t="shared" si="836"/>
        <v>Low_Medium_Base_Upgraded_Smog Formation Potential (SFP) - kg O3 eq_Wet Well and Sump Station; wastewater treatment unit; at updated plant - US_Base_With Amendment_Aerated Static Pile</v>
      </c>
    </row>
    <row r="10028" spans="1:13" s="120" customFormat="1" x14ac:dyDescent="0.25">
      <c r="A10028" s="119"/>
      <c r="B10028" s="138" t="str">
        <f t="shared" si="837"/>
        <v>Aerated Static Pile</v>
      </c>
      <c r="C10028" s="138" t="str">
        <f t="shared" si="838"/>
        <v>Base_With Amendment</v>
      </c>
      <c r="D10028" s="138" t="str">
        <f t="shared" si="840"/>
        <v>Medium_Base</v>
      </c>
      <c r="E10028" s="138" t="str">
        <f t="shared" si="841"/>
        <v>Low</v>
      </c>
      <c r="F10028" s="138" t="str">
        <f t="shared" si="839"/>
        <v>Upgraded</v>
      </c>
      <c r="G10028" s="153"/>
      <c r="H10028" s="210">
        <v>0.11459999999999999</v>
      </c>
      <c r="I10028" s="160" t="s">
        <v>167</v>
      </c>
      <c r="J10028" s="160">
        <v>3.0710000000000001E-2</v>
      </c>
      <c r="K10028" s="160" t="s">
        <v>25</v>
      </c>
      <c r="L10028" s="154" t="str">
        <f>IF(OpenLCAbasic!K10028="CTUh", "Fill in Manually",IF(OR(K10028="Unit", K10028=""), "", INDEX(LookUps!$E$5:$E$12, MATCH(OpenLCAbasic!K10028,LookUps!$D$5:$D$12,0))))</f>
        <v>Smog Formation Potential (SFP) - kg O3 eq</v>
      </c>
      <c r="M10028" s="154" t="str">
        <f t="shared" si="836"/>
        <v>Low_Medium_Base_Upgraded_Smog Formation Potential (SFP) - kg O3 eq_Waste Receiving and Holding; wastewater treatment unit; at updated plant - US_Base_With Amendment_Aerated Static Pile</v>
      </c>
    </row>
    <row r="10029" spans="1:13" s="120" customFormat="1" x14ac:dyDescent="0.25">
      <c r="A10029" s="119"/>
      <c r="B10029" s="138" t="str">
        <f t="shared" si="837"/>
        <v>Aerated Static Pile</v>
      </c>
      <c r="C10029" s="138" t="str">
        <f t="shared" si="838"/>
        <v>Base_With Amendment</v>
      </c>
      <c r="D10029" s="138" t="str">
        <f t="shared" si="840"/>
        <v>Medium_Base</v>
      </c>
      <c r="E10029" s="138" t="str">
        <f t="shared" si="841"/>
        <v>Low</v>
      </c>
      <c r="F10029" s="138" t="str">
        <f t="shared" si="839"/>
        <v>Upgraded</v>
      </c>
      <c r="G10029" s="153"/>
      <c r="H10029" s="210">
        <v>7.2400000000000006E-2</v>
      </c>
      <c r="I10029" s="160" t="s">
        <v>147</v>
      </c>
      <c r="J10029" s="160">
        <v>1.9400000000000001E-2</v>
      </c>
      <c r="K10029" s="160" t="s">
        <v>25</v>
      </c>
      <c r="L10029" s="154" t="str">
        <f>IF(OpenLCAbasic!K10029="CTUh", "Fill in Manually",IF(OR(K10029="Unit", K10029=""), "", INDEX(LookUps!$E$5:$E$12, MATCH(OpenLCAbasic!K10029,LookUps!$D$5:$D$12,0))))</f>
        <v>Smog Formation Potential (SFP) - kg O3 eq</v>
      </c>
      <c r="M10029" s="154" t="str">
        <f t="shared" si="836"/>
        <v>Low_Medium_Base_Upgraded_Smog Formation Potential (SFP) - kg O3 eq_Influent Pump Station; wastewater treatment unit; at updated plant - US_Base_With Amendment_Aerated Static Pile</v>
      </c>
    </row>
    <row r="10030" spans="1:13" s="120" customFormat="1" x14ac:dyDescent="0.25">
      <c r="A10030" s="119"/>
      <c r="B10030" s="138" t="str">
        <f t="shared" si="837"/>
        <v>Aerated Static Pile</v>
      </c>
      <c r="C10030" s="138" t="str">
        <f t="shared" si="838"/>
        <v>Base_With Amendment</v>
      </c>
      <c r="D10030" s="138" t="str">
        <f t="shared" si="840"/>
        <v>Medium_Base</v>
      </c>
      <c r="E10030" s="138" t="str">
        <f t="shared" si="841"/>
        <v>Low</v>
      </c>
      <c r="F10030" s="138" t="str">
        <f t="shared" si="839"/>
        <v>Upgraded</v>
      </c>
      <c r="G10030" s="153"/>
      <c r="H10030" s="210">
        <v>4.4499999999999998E-2</v>
      </c>
      <c r="I10030" s="160" t="s">
        <v>128</v>
      </c>
      <c r="J10030" s="160">
        <v>1.192E-2</v>
      </c>
      <c r="K10030" s="160" t="s">
        <v>25</v>
      </c>
      <c r="L10030" s="154" t="str">
        <f>IF(OpenLCAbasic!K10030="CTUh", "Fill in Manually",IF(OR(K10030="Unit", K10030=""), "", INDEX(LookUps!$E$5:$E$12, MATCH(OpenLCAbasic!K10030,LookUps!$D$5:$D$12,0))))</f>
        <v>Smog Formation Potential (SFP) - kg O3 eq</v>
      </c>
      <c r="M10030" s="154" t="str">
        <f t="shared" si="836"/>
        <v>Low_Medium_Base_Upgraded_Smog Formation Potential (SFP) - kg O3 eq_Wastewater collection; operation and infrastructure; m3 wastewater_Base_With Amendment_Aerated Static Pile</v>
      </c>
    </row>
    <row r="10031" spans="1:13" s="120" customFormat="1" x14ac:dyDescent="0.25">
      <c r="A10031" s="119"/>
      <c r="B10031" s="138" t="str">
        <f t="shared" si="837"/>
        <v>Aerated Static Pile</v>
      </c>
      <c r="C10031" s="138" t="str">
        <f t="shared" si="838"/>
        <v>Base_With Amendment</v>
      </c>
      <c r="D10031" s="138" t="str">
        <f t="shared" si="840"/>
        <v>Medium_Base</v>
      </c>
      <c r="E10031" s="138" t="str">
        <f t="shared" si="841"/>
        <v>Low</v>
      </c>
      <c r="F10031" s="138" t="str">
        <f t="shared" si="839"/>
        <v>Upgraded</v>
      </c>
      <c r="G10031" s="153"/>
      <c r="H10031" s="210">
        <v>3.78E-2</v>
      </c>
      <c r="I10031" s="160" t="s">
        <v>60</v>
      </c>
      <c r="J10031" s="160">
        <v>1.014E-2</v>
      </c>
      <c r="K10031" s="160" t="s">
        <v>25</v>
      </c>
      <c r="L10031" s="154" t="str">
        <f>IF(OpenLCAbasic!K10031="CTUh", "Fill in Manually",IF(OR(K10031="Unit", K10031=""), "", INDEX(LookUps!$E$5:$E$12, MATCH(OpenLCAbasic!K10031,LookUps!$D$5:$D$12,0))))</f>
        <v>Smog Formation Potential (SFP) - kg O3 eq</v>
      </c>
      <c r="M10031" s="154" t="str">
        <f t="shared" si="836"/>
        <v>Low_Medium_Base_Upgraded_Smog Formation Potential (SFP) - kg O3 eq_Belt filter press; wastewater treatment unit; at updated plant - US_Base_With Amendment_Aerated Static Pile</v>
      </c>
    </row>
    <row r="10032" spans="1:13" s="120" customFormat="1" x14ac:dyDescent="0.25">
      <c r="A10032" s="119"/>
      <c r="B10032" s="138" t="str">
        <f t="shared" si="837"/>
        <v>Aerated Static Pile</v>
      </c>
      <c r="C10032" s="138" t="str">
        <f t="shared" si="838"/>
        <v>Base_With Amendment</v>
      </c>
      <c r="D10032" s="138" t="str">
        <f t="shared" si="840"/>
        <v>Medium_Base</v>
      </c>
      <c r="E10032" s="138" t="str">
        <f t="shared" si="841"/>
        <v>Low</v>
      </c>
      <c r="F10032" s="138" t="str">
        <f t="shared" si="839"/>
        <v>Upgraded</v>
      </c>
      <c r="G10032" s="153"/>
      <c r="H10032" s="210">
        <v>2.4799999999999999E-2</v>
      </c>
      <c r="I10032" s="160" t="s">
        <v>57</v>
      </c>
      <c r="J10032" s="160">
        <v>6.6499999999999997E-3</v>
      </c>
      <c r="K10032" s="160" t="s">
        <v>25</v>
      </c>
      <c r="L10032" s="154" t="str">
        <f>IF(OpenLCAbasic!K10032="CTUh", "Fill in Manually",IF(OR(K10032="Unit", K10032=""), "", INDEX(LookUps!$E$5:$E$12, MATCH(OpenLCAbasic!K10032,LookUps!$D$5:$D$12,0))))</f>
        <v>Smog Formation Potential (SFP) - kg O3 eq</v>
      </c>
      <c r="M10032" s="154" t="str">
        <f t="shared" si="836"/>
        <v>Low_Medium_Base_Upgraded_Smog Formation Potential (SFP) - kg O3 eq_Gravity Belt Thickener; wastewater treatment unit; at updated plant - US_Base_With Amendment_Aerated Static Pile</v>
      </c>
    </row>
    <row r="10033" spans="1:13" s="120" customFormat="1" x14ac:dyDescent="0.25">
      <c r="A10033" s="119"/>
      <c r="B10033" s="138" t="str">
        <f t="shared" si="837"/>
        <v>Aerated Static Pile</v>
      </c>
      <c r="C10033" s="138" t="str">
        <f t="shared" si="838"/>
        <v>Base_With Amendment</v>
      </c>
      <c r="D10033" s="138" t="str">
        <f t="shared" si="840"/>
        <v>Medium_Base</v>
      </c>
      <c r="E10033" s="138" t="str">
        <f t="shared" si="841"/>
        <v>Low</v>
      </c>
      <c r="F10033" s="138" t="str">
        <f t="shared" si="839"/>
        <v>Upgraded</v>
      </c>
      <c r="G10033" s="153"/>
      <c r="H10033" s="210">
        <v>1.8599999999999998E-2</v>
      </c>
      <c r="I10033" s="160" t="s">
        <v>59</v>
      </c>
      <c r="J10033" s="160">
        <v>4.9699999999999996E-3</v>
      </c>
      <c r="K10033" s="160" t="s">
        <v>25</v>
      </c>
      <c r="L10033" s="154" t="str">
        <f>IF(OpenLCAbasic!K10033="CTUh", "Fill in Manually",IF(OR(K10033="Unit", K10033=""), "", INDEX(LookUps!$E$5:$E$12, MATCH(OpenLCAbasic!K10033,LookUps!$D$5:$D$12,0))))</f>
        <v>Smog Formation Potential (SFP) - kg O3 eq</v>
      </c>
      <c r="M10033" s="154" t="str">
        <f t="shared" si="836"/>
        <v>Low_Medium_Base_Upgraded_Smog Formation Potential (SFP) - kg O3 eq_Blend Tank; wastewater treatment unit; at updated plant - US_Base_With Amendment_Aerated Static Pile</v>
      </c>
    </row>
    <row r="10034" spans="1:13" s="120" customFormat="1" x14ac:dyDescent="0.25">
      <c r="A10034" s="119"/>
      <c r="B10034" s="138" t="str">
        <f t="shared" si="837"/>
        <v>Aerated Static Pile</v>
      </c>
      <c r="C10034" s="138" t="str">
        <f t="shared" si="838"/>
        <v>Base_With Amendment</v>
      </c>
      <c r="D10034" s="138" t="str">
        <f t="shared" si="840"/>
        <v>Medium_Base</v>
      </c>
      <c r="E10034" s="138" t="str">
        <f t="shared" si="841"/>
        <v>Low</v>
      </c>
      <c r="F10034" s="138" t="str">
        <f t="shared" si="839"/>
        <v>Upgraded</v>
      </c>
      <c r="G10034" s="153"/>
      <c r="H10034" s="210">
        <v>1.26E-2</v>
      </c>
      <c r="I10034" s="160" t="s">
        <v>48</v>
      </c>
      <c r="J10034" s="160">
        <v>3.3899999999999998E-3</v>
      </c>
      <c r="K10034" s="160" t="s">
        <v>25</v>
      </c>
      <c r="L10034" s="154" t="str">
        <f>IF(OpenLCAbasic!K10034="CTUh", "Fill in Manually",IF(OR(K10034="Unit", K10034=""), "", INDEX(LookUps!$E$5:$E$12, MATCH(OpenLCAbasic!K10034,LookUps!$D$5:$D$12,0))))</f>
        <v>Smog Formation Potential (SFP) - kg O3 eq</v>
      </c>
      <c r="M10034" s="154" t="str">
        <f t="shared" si="836"/>
        <v>Low_Medium_Base_Upgraded_Smog Formation Potential (SFP) - kg O3 eq_Effluent release; wastewater treatment unit; at surface water; m3 wastewater - US_Base_With Amendment_Aerated Static Pile</v>
      </c>
    </row>
    <row r="10035" spans="1:13" s="120" customFormat="1" x14ac:dyDescent="0.25">
      <c r="A10035" s="119"/>
      <c r="B10035" s="138" t="str">
        <f t="shared" si="837"/>
        <v>Aerated Static Pile</v>
      </c>
      <c r="C10035" s="138" t="str">
        <f t="shared" si="838"/>
        <v>Base_With Amendment</v>
      </c>
      <c r="D10035" s="138" t="str">
        <f t="shared" si="840"/>
        <v>Medium_Base</v>
      </c>
      <c r="E10035" s="138" t="str">
        <f t="shared" si="841"/>
        <v>Low</v>
      </c>
      <c r="F10035" s="138" t="str">
        <f t="shared" si="839"/>
        <v>Upgraded</v>
      </c>
      <c r="G10035" s="153"/>
      <c r="H10035" s="210">
        <v>9.1999999999999998E-3</v>
      </c>
      <c r="I10035" s="160" t="s">
        <v>168</v>
      </c>
      <c r="J10035" s="160">
        <v>2.4599999999999999E-3</v>
      </c>
      <c r="K10035" s="160" t="s">
        <v>25</v>
      </c>
      <c r="L10035" s="154" t="str">
        <f>IF(OpenLCAbasic!K10035="CTUh", "Fill in Manually",IF(OR(K10035="Unit", K10035=""), "", INDEX(LookUps!$E$5:$E$12, MATCH(OpenLCAbasic!K10035,LookUps!$D$5:$D$12,0))))</f>
        <v>Smog Formation Potential (SFP) - kg O3 eq</v>
      </c>
      <c r="M10035" s="154" t="str">
        <f t="shared" ref="M10035:M10098" si="842">CONCATENATE(E10035,"_",D10035,"_",F10035,"_",L10035, "_",I10035,"_", C10035,"_", B10035)</f>
        <v>Low_Medium_Base_Upgraded_Smog Formation Potential (SFP) - kg O3 eq_ClearCove SCP; wastewater treatment unit; at updated plant - US_Base_With Amendment_Aerated Static Pile</v>
      </c>
    </row>
    <row r="10036" spans="1:13" s="120" customFormat="1" x14ac:dyDescent="0.25">
      <c r="A10036" s="119"/>
      <c r="B10036" s="138" t="str">
        <f t="shared" si="837"/>
        <v>Aerated Static Pile</v>
      </c>
      <c r="C10036" s="138" t="str">
        <f t="shared" si="838"/>
        <v>Base_With Amendment</v>
      </c>
      <c r="D10036" s="138" t="str">
        <f t="shared" si="840"/>
        <v>Medium_Base</v>
      </c>
      <c r="E10036" s="138" t="str">
        <f t="shared" si="841"/>
        <v>Low</v>
      </c>
      <c r="F10036" s="138" t="str">
        <f t="shared" si="839"/>
        <v>Upgraded</v>
      </c>
      <c r="G10036" s="153"/>
      <c r="H10036" s="210">
        <v>2E-3</v>
      </c>
      <c r="I10036" s="160" t="s">
        <v>148</v>
      </c>
      <c r="J10036" s="160">
        <v>5.4000000000000001E-4</v>
      </c>
      <c r="K10036" s="160" t="s">
        <v>25</v>
      </c>
      <c r="L10036" s="154" t="str">
        <f>IF(OpenLCAbasic!K10036="CTUh", "Fill in Manually",IF(OR(K10036="Unit", K10036=""), "", INDEX(LookUps!$E$5:$E$12, MATCH(OpenLCAbasic!K10036,LookUps!$D$5:$D$12,0))))</f>
        <v>Smog Formation Potential (SFP) - kg O3 eq</v>
      </c>
      <c r="M10036" s="154" t="str">
        <f t="shared" si="842"/>
        <v>Low_Medium_Base_Upgraded_Smog Formation Potential (SFP) - kg O3 eq_Control Building; at upgraded wastewater treatment plant - US_Base_With Amendment_Aerated Static Pile</v>
      </c>
    </row>
    <row r="10037" spans="1:13" s="120" customFormat="1" x14ac:dyDescent="0.25">
      <c r="A10037" s="119"/>
      <c r="B10037" s="138" t="str">
        <f t="shared" si="837"/>
        <v>Aerated Static Pile</v>
      </c>
      <c r="C10037" s="138" t="str">
        <f t="shared" si="838"/>
        <v>Base_With Amendment</v>
      </c>
      <c r="D10037" s="138" t="str">
        <f t="shared" si="840"/>
        <v>Medium_Base</v>
      </c>
      <c r="E10037" s="138" t="str">
        <f t="shared" si="841"/>
        <v>Low</v>
      </c>
      <c r="F10037" s="138" t="str">
        <f t="shared" si="839"/>
        <v>Upgraded</v>
      </c>
      <c r="G10037" s="153"/>
      <c r="H10037" s="210">
        <v>-1.4800000000000001E-2</v>
      </c>
      <c r="I10037" s="160" t="s">
        <v>62</v>
      </c>
      <c r="J10037" s="160">
        <v>-3.98E-3</v>
      </c>
      <c r="K10037" s="160" t="s">
        <v>25</v>
      </c>
      <c r="L10037" s="154" t="str">
        <f>IF(OpenLCAbasic!K10037="CTUh", "Fill in Manually",IF(OR(K10037="Unit", K10037=""), "", INDEX(LookUps!$E$5:$E$12, MATCH(OpenLCAbasic!K10037,LookUps!$D$5:$D$12,0))))</f>
        <v>Smog Formation Potential (SFP) - kg O3 eq</v>
      </c>
      <c r="M10037" s="154" t="str">
        <f t="shared" si="842"/>
        <v>Low_Medium_Base_Upgraded_Smog Formation Potential (SFP) - kg O3 eq_Land application of compost; wastewater treatment unit; at updated plant - US_Base_With Amendment_Aerated Static Pile</v>
      </c>
    </row>
    <row r="10038" spans="1:13" s="120" customFormat="1" x14ac:dyDescent="0.25">
      <c r="A10038" s="119"/>
      <c r="B10038" s="138" t="str">
        <f t="shared" si="837"/>
        <v>Aerated Static Pile</v>
      </c>
      <c r="C10038" s="138" t="str">
        <f t="shared" si="838"/>
        <v>Base_With Amendment</v>
      </c>
      <c r="D10038" s="138" t="str">
        <f t="shared" si="840"/>
        <v>Medium_Base</v>
      </c>
      <c r="E10038" s="138" t="str">
        <f t="shared" si="841"/>
        <v>Low</v>
      </c>
      <c r="F10038" s="138" t="str">
        <f t="shared" si="839"/>
        <v>Upgraded</v>
      </c>
      <c r="G10038" s="153"/>
      <c r="H10038" s="210">
        <v>-0.70669999999999999</v>
      </c>
      <c r="I10038" s="160" t="s">
        <v>149</v>
      </c>
      <c r="J10038" s="160">
        <v>-0.18936</v>
      </c>
      <c r="K10038" s="160" t="s">
        <v>25</v>
      </c>
      <c r="L10038" s="154" t="str">
        <f>IF(OpenLCAbasic!K10038="CTUh", "Fill in Manually",IF(OR(K10038="Unit", K10038=""), "", INDEX(LookUps!$E$5:$E$12, MATCH(OpenLCAbasic!K10038,LookUps!$D$5:$D$12,0))))</f>
        <v>Smog Formation Potential (SFP) - kg O3 eq</v>
      </c>
      <c r="M10038" s="154" t="str">
        <f t="shared" si="842"/>
        <v>Low_Medium_Base_Upgraded_Smog Formation Potential (SFP) - kg O3 eq_Anaerobic Digestion; wastewater treatment unit; at updated plant - US_Base_With Amendment_Aerated Static Pile</v>
      </c>
    </row>
    <row r="10039" spans="1:13" s="120" customFormat="1" x14ac:dyDescent="0.25">
      <c r="A10039" s="119"/>
      <c r="B10039" s="138" t="str">
        <f t="shared" si="837"/>
        <v/>
      </c>
      <c r="C10039" s="138" t="str">
        <f t="shared" si="838"/>
        <v/>
      </c>
      <c r="D10039" s="138" t="str">
        <f t="shared" si="840"/>
        <v/>
      </c>
      <c r="E10039" s="138" t="str">
        <f t="shared" si="841"/>
        <v/>
      </c>
      <c r="F10039" s="138" t="str">
        <f t="shared" si="839"/>
        <v/>
      </c>
      <c r="G10039" s="153" t="s">
        <v>51</v>
      </c>
      <c r="H10039" s="160"/>
      <c r="I10039" s="160" t="s">
        <v>47</v>
      </c>
      <c r="J10039" s="160" t="s">
        <v>52</v>
      </c>
      <c r="K10039" s="160" t="s">
        <v>27</v>
      </c>
      <c r="L10039" s="154" t="str">
        <f>IF(OpenLCAbasic!K10039="CTUh", "Fill in Manually",IF(OR(K10039="Unit", K10039=""), "", INDEX(LookUps!$E$5:$E$12, MATCH(OpenLCAbasic!K10039,LookUps!$D$5:$D$12,0))))</f>
        <v/>
      </c>
      <c r="M10039" s="154" t="str">
        <f t="shared" si="842"/>
        <v>____Process__</v>
      </c>
    </row>
    <row r="10040" spans="1:13" s="120" customFormat="1" x14ac:dyDescent="0.25">
      <c r="A10040" s="119"/>
      <c r="B10040" s="138" t="str">
        <f t="shared" si="837"/>
        <v>Aerated Static Pile</v>
      </c>
      <c r="C10040" s="138" t="str">
        <f t="shared" si="838"/>
        <v>Base_With Amendment</v>
      </c>
      <c r="D10040" s="138" t="str">
        <f t="shared" si="840"/>
        <v>Medium_Base</v>
      </c>
      <c r="E10040" s="138" t="str">
        <f t="shared" si="841"/>
        <v>Low</v>
      </c>
      <c r="F10040" s="138" t="str">
        <f t="shared" si="839"/>
        <v>Upgraded</v>
      </c>
      <c r="G10040" s="153"/>
      <c r="H10040" s="210">
        <v>0.62909999999999999</v>
      </c>
      <c r="I10040" s="160" t="s">
        <v>167</v>
      </c>
      <c r="J10040" s="160">
        <v>2.7999999999999998E-4</v>
      </c>
      <c r="K10040" s="160" t="s">
        <v>26</v>
      </c>
      <c r="L10040" s="154" t="str">
        <f>IF(OpenLCAbasic!K10040="CTUh", "Fill in Manually",IF(OR(K10040="Unit", K10040=""), "", INDEX(LookUps!$E$5:$E$12, MATCH(OpenLCAbasic!K10040,LookUps!$D$5:$D$12,0))))</f>
        <v>Water Use (WU) - m3 H2O</v>
      </c>
      <c r="M10040" s="154" t="str">
        <f t="shared" si="842"/>
        <v>Low_Medium_Base_Upgraded_Water Use (WU) - m3 H2O_Waste Receiving and Holding; wastewater treatment unit; at updated plant - US_Base_With Amendment_Aerated Static Pile</v>
      </c>
    </row>
    <row r="10041" spans="1:13" s="120" customFormat="1" x14ac:dyDescent="0.25">
      <c r="A10041" s="119"/>
      <c r="B10041" s="138" t="str">
        <f t="shared" ref="B10041:B10104" si="843">IF(F10041="Legacy","n.a.",IF(F10041="","","Aerated Static Pile"))</f>
        <v>Aerated Static Pile</v>
      </c>
      <c r="C10041" s="138" t="str">
        <f t="shared" ref="C10041:C10104" si="844">IF(ISNUMBER($J10041),"Base_With Amendment","")</f>
        <v>Base_With Amendment</v>
      </c>
      <c r="D10041" s="138" t="str">
        <f t="shared" si="840"/>
        <v>Medium_Base</v>
      </c>
      <c r="E10041" s="138" t="str">
        <f t="shared" si="841"/>
        <v>Low</v>
      </c>
      <c r="F10041" s="138" t="str">
        <f t="shared" ref="F10041:F10104" si="845">IF(ISNUMBER(J10041),"Upgraded","")</f>
        <v>Upgraded</v>
      </c>
      <c r="G10041" s="153"/>
      <c r="H10041" s="210">
        <v>0.41070000000000001</v>
      </c>
      <c r="I10041" s="160" t="s">
        <v>147</v>
      </c>
      <c r="J10041" s="160">
        <v>1.8000000000000001E-4</v>
      </c>
      <c r="K10041" s="160" t="s">
        <v>26</v>
      </c>
      <c r="L10041" s="154" t="str">
        <f>IF(OpenLCAbasic!K10041="CTUh", "Fill in Manually",IF(OR(K10041="Unit", K10041=""), "", INDEX(LookUps!$E$5:$E$12, MATCH(OpenLCAbasic!K10041,LookUps!$D$5:$D$12,0))))</f>
        <v>Water Use (WU) - m3 H2O</v>
      </c>
      <c r="M10041" s="154" t="str">
        <f t="shared" si="842"/>
        <v>Low_Medium_Base_Upgraded_Water Use (WU) - m3 H2O_Influent Pump Station; wastewater treatment unit; at updated plant - US_Base_With Amendment_Aerated Static Pile</v>
      </c>
    </row>
    <row r="10042" spans="1:13" s="120" customFormat="1" x14ac:dyDescent="0.25">
      <c r="A10042" s="119"/>
      <c r="B10042" s="138" t="str">
        <f t="shared" si="843"/>
        <v>Aerated Static Pile</v>
      </c>
      <c r="C10042" s="138" t="str">
        <f t="shared" si="844"/>
        <v>Base_With Amendment</v>
      </c>
      <c r="D10042" s="138" t="str">
        <f t="shared" si="840"/>
        <v>Medium_Base</v>
      </c>
      <c r="E10042" s="138" t="str">
        <f t="shared" si="841"/>
        <v>Low</v>
      </c>
      <c r="F10042" s="138" t="str">
        <f t="shared" si="845"/>
        <v>Upgraded</v>
      </c>
      <c r="G10042" s="153"/>
      <c r="H10042" s="210">
        <v>0.4007</v>
      </c>
      <c r="I10042" s="160" t="s">
        <v>54</v>
      </c>
      <c r="J10042" s="160">
        <v>1.8000000000000001E-4</v>
      </c>
      <c r="K10042" s="160" t="s">
        <v>26</v>
      </c>
      <c r="L10042" s="154" t="str">
        <f>IF(OpenLCAbasic!K10042="CTUh", "Fill in Manually",IF(OR(K10042="Unit", K10042=""), "", INDEX(LookUps!$E$5:$E$12, MATCH(OpenLCAbasic!K10042,LookUps!$D$5:$D$12,0))))</f>
        <v>Water Use (WU) - m3 H2O</v>
      </c>
      <c r="M10042" s="154" t="str">
        <f t="shared" si="842"/>
        <v>Low_Medium_Base_Upgraded_Water Use (WU) - m3 H2O_Clear Cove Primary Clarification; wastewater treatment unit; at updated plant - US_Base_With Amendment_Aerated Static Pile</v>
      </c>
    </row>
    <row r="10043" spans="1:13" s="120" customFormat="1" x14ac:dyDescent="0.25">
      <c r="A10043" s="119"/>
      <c r="B10043" s="138" t="str">
        <f t="shared" si="843"/>
        <v>Aerated Static Pile</v>
      </c>
      <c r="C10043" s="138" t="str">
        <f t="shared" si="844"/>
        <v>Base_With Amendment</v>
      </c>
      <c r="D10043" s="138" t="str">
        <f t="shared" si="840"/>
        <v>Medium_Base</v>
      </c>
      <c r="E10043" s="138" t="str">
        <f t="shared" si="841"/>
        <v>Low</v>
      </c>
      <c r="F10043" s="138" t="str">
        <f t="shared" si="845"/>
        <v>Upgraded</v>
      </c>
      <c r="G10043" s="153"/>
      <c r="H10043" s="210">
        <v>0.36349999999999999</v>
      </c>
      <c r="I10043" s="160" t="s">
        <v>55</v>
      </c>
      <c r="J10043" s="160">
        <v>1.6000000000000001E-4</v>
      </c>
      <c r="K10043" s="160" t="s">
        <v>26</v>
      </c>
      <c r="L10043" s="154" t="str">
        <f>IF(OpenLCAbasic!K10043="CTUh", "Fill in Manually",IF(OR(K10043="Unit", K10043=""), "", INDEX(LookUps!$E$5:$E$12, MATCH(OpenLCAbasic!K10043,LookUps!$D$5:$D$12,0))))</f>
        <v>Water Use (WU) - m3 H2O</v>
      </c>
      <c r="M10043" s="154" t="str">
        <f t="shared" si="842"/>
        <v>Low_Medium_Base_Upgraded_Water Use (WU) - m3 H2O_Aeration Tanks; wastewater treatment unit; at updated plant - US_Base_With Amendment_Aerated Static Pile</v>
      </c>
    </row>
    <row r="10044" spans="1:13" s="120" customFormat="1" x14ac:dyDescent="0.25">
      <c r="A10044" s="119"/>
      <c r="B10044" s="138" t="str">
        <f t="shared" si="843"/>
        <v>Aerated Static Pile</v>
      </c>
      <c r="C10044" s="138" t="str">
        <f t="shared" si="844"/>
        <v>Base_With Amendment</v>
      </c>
      <c r="D10044" s="138" t="str">
        <f t="shared" si="840"/>
        <v>Medium_Base</v>
      </c>
      <c r="E10044" s="138" t="str">
        <f t="shared" si="841"/>
        <v>Low</v>
      </c>
      <c r="F10044" s="138" t="str">
        <f t="shared" si="845"/>
        <v>Upgraded</v>
      </c>
      <c r="G10044" s="153"/>
      <c r="H10044" s="210">
        <v>0.33110000000000001</v>
      </c>
      <c r="I10044" s="160" t="s">
        <v>148</v>
      </c>
      <c r="J10044" s="160">
        <v>1.4999999999999999E-4</v>
      </c>
      <c r="K10044" s="160" t="s">
        <v>26</v>
      </c>
      <c r="L10044" s="154" t="str">
        <f>IF(OpenLCAbasic!K10044="CTUh", "Fill in Manually",IF(OR(K10044="Unit", K10044=""), "", INDEX(LookUps!$E$5:$E$12, MATCH(OpenLCAbasic!K10044,LookUps!$D$5:$D$12,0))))</f>
        <v>Water Use (WU) - m3 H2O</v>
      </c>
      <c r="M10044" s="154" t="str">
        <f t="shared" si="842"/>
        <v>Low_Medium_Base_Upgraded_Water Use (WU) - m3 H2O_Control Building; at upgraded wastewater treatment plant - US_Base_With Amendment_Aerated Static Pile</v>
      </c>
    </row>
    <row r="10045" spans="1:13" s="120" customFormat="1" x14ac:dyDescent="0.25">
      <c r="A10045" s="119"/>
      <c r="B10045" s="138" t="str">
        <f t="shared" si="843"/>
        <v>Aerated Static Pile</v>
      </c>
      <c r="C10045" s="138" t="str">
        <f t="shared" si="844"/>
        <v>Base_With Amendment</v>
      </c>
      <c r="D10045" s="138" t="str">
        <f t="shared" si="840"/>
        <v>Medium_Base</v>
      </c>
      <c r="E10045" s="138" t="str">
        <f t="shared" si="841"/>
        <v>Low</v>
      </c>
      <c r="F10045" s="138" t="str">
        <f t="shared" si="845"/>
        <v>Upgraded</v>
      </c>
      <c r="G10045" s="153"/>
      <c r="H10045" s="210">
        <v>0.15379999999999999</v>
      </c>
      <c r="I10045" s="160" t="s">
        <v>48</v>
      </c>
      <c r="J10045" s="211">
        <v>6.8836400000000004E-5</v>
      </c>
      <c r="K10045" s="160" t="s">
        <v>26</v>
      </c>
      <c r="L10045" s="154" t="str">
        <f>IF(OpenLCAbasic!K10045="CTUh", "Fill in Manually",IF(OR(K10045="Unit", K10045=""), "", INDEX(LookUps!$E$5:$E$12, MATCH(OpenLCAbasic!K10045,LookUps!$D$5:$D$12,0))))</f>
        <v>Water Use (WU) - m3 H2O</v>
      </c>
      <c r="M10045" s="154" t="str">
        <f t="shared" si="842"/>
        <v>Low_Medium_Base_Upgraded_Water Use (WU) - m3 H2O_Effluent release; wastewater treatment unit; at surface water; m3 wastewater - US_Base_With Amendment_Aerated Static Pile</v>
      </c>
    </row>
    <row r="10046" spans="1:13" s="120" customFormat="1" x14ac:dyDescent="0.25">
      <c r="A10046" s="119"/>
      <c r="B10046" s="138" t="str">
        <f t="shared" si="843"/>
        <v>Aerated Static Pile</v>
      </c>
      <c r="C10046" s="138" t="str">
        <f t="shared" si="844"/>
        <v>Base_With Amendment</v>
      </c>
      <c r="D10046" s="138" t="str">
        <f t="shared" si="840"/>
        <v>Medium_Base</v>
      </c>
      <c r="E10046" s="138" t="str">
        <f t="shared" si="841"/>
        <v>Low</v>
      </c>
      <c r="F10046" s="138" t="str">
        <f t="shared" si="845"/>
        <v>Upgraded</v>
      </c>
      <c r="G10046" s="153"/>
      <c r="H10046" s="210">
        <v>9.6600000000000005E-2</v>
      </c>
      <c r="I10046" s="160" t="s">
        <v>58</v>
      </c>
      <c r="J10046" s="211">
        <v>4.3235300000000003E-5</v>
      </c>
      <c r="K10046" s="160" t="s">
        <v>26</v>
      </c>
      <c r="L10046" s="154" t="str">
        <f>IF(OpenLCAbasic!K10046="CTUh", "Fill in Manually",IF(OR(K10046="Unit", K10046=""), "", INDEX(LookUps!$E$5:$E$12, MATCH(OpenLCAbasic!K10046,LookUps!$D$5:$D$12,0))))</f>
        <v>Water Use (WU) - m3 H2O</v>
      </c>
      <c r="M10046" s="154" t="str">
        <f t="shared" si="842"/>
        <v>Low_Medium_Base_Upgraded_Water Use (WU) - m3 H2O_Pre-Anoxic &amp; Swing tank; wastewater treatment unit; at updated plant - US_Base_With Amendment_Aerated Static Pile</v>
      </c>
    </row>
    <row r="10047" spans="1:13" s="120" customFormat="1" x14ac:dyDescent="0.25">
      <c r="A10047" s="119"/>
      <c r="B10047" s="138" t="str">
        <f t="shared" si="843"/>
        <v>Aerated Static Pile</v>
      </c>
      <c r="C10047" s="138" t="str">
        <f t="shared" si="844"/>
        <v>Base_With Amendment</v>
      </c>
      <c r="D10047" s="138" t="str">
        <f t="shared" si="840"/>
        <v>Medium_Base</v>
      </c>
      <c r="E10047" s="138" t="str">
        <f t="shared" si="841"/>
        <v>Low</v>
      </c>
      <c r="F10047" s="138" t="str">
        <f t="shared" si="845"/>
        <v>Upgraded</v>
      </c>
      <c r="G10047" s="153"/>
      <c r="H10047" s="210">
        <v>6.7900000000000002E-2</v>
      </c>
      <c r="I10047" s="160" t="s">
        <v>57</v>
      </c>
      <c r="J10047" s="211">
        <v>3.0408100000000001E-5</v>
      </c>
      <c r="K10047" s="160" t="s">
        <v>26</v>
      </c>
      <c r="L10047" s="154" t="str">
        <f>IF(OpenLCAbasic!K10047="CTUh", "Fill in Manually",IF(OR(K10047="Unit", K10047=""), "", INDEX(LookUps!$E$5:$E$12, MATCH(OpenLCAbasic!K10047,LookUps!$D$5:$D$12,0))))</f>
        <v>Water Use (WU) - m3 H2O</v>
      </c>
      <c r="M10047" s="154" t="str">
        <f t="shared" si="842"/>
        <v>Low_Medium_Base_Upgraded_Water Use (WU) - m3 H2O_Gravity Belt Thickener; wastewater treatment unit; at updated plant - US_Base_With Amendment_Aerated Static Pile</v>
      </c>
    </row>
    <row r="10048" spans="1:13" s="120" customFormat="1" x14ac:dyDescent="0.25">
      <c r="A10048" s="119"/>
      <c r="B10048" s="138" t="str">
        <f t="shared" si="843"/>
        <v>Aerated Static Pile</v>
      </c>
      <c r="C10048" s="138" t="str">
        <f t="shared" si="844"/>
        <v>Base_With Amendment</v>
      </c>
      <c r="D10048" s="138" t="str">
        <f t="shared" si="840"/>
        <v>Medium_Base</v>
      </c>
      <c r="E10048" s="138" t="str">
        <f t="shared" si="841"/>
        <v>Low</v>
      </c>
      <c r="F10048" s="138" t="str">
        <f t="shared" si="845"/>
        <v>Upgraded</v>
      </c>
      <c r="G10048" s="153"/>
      <c r="H10048" s="210">
        <v>6.7699999999999996E-2</v>
      </c>
      <c r="I10048" s="160" t="s">
        <v>60</v>
      </c>
      <c r="J10048" s="211">
        <v>3.0289000000000001E-5</v>
      </c>
      <c r="K10048" s="160" t="s">
        <v>26</v>
      </c>
      <c r="L10048" s="154" t="str">
        <f>IF(OpenLCAbasic!K10048="CTUh", "Fill in Manually",IF(OR(K10048="Unit", K10048=""), "", INDEX(LookUps!$E$5:$E$12, MATCH(OpenLCAbasic!K10048,LookUps!$D$5:$D$12,0))))</f>
        <v>Water Use (WU) - m3 H2O</v>
      </c>
      <c r="M10048" s="154" t="str">
        <f t="shared" si="842"/>
        <v>Low_Medium_Base_Upgraded_Water Use (WU) - m3 H2O_Belt filter press; wastewater treatment unit; at updated plant - US_Base_With Amendment_Aerated Static Pile</v>
      </c>
    </row>
    <row r="10049" spans="1:13" s="120" customFormat="1" x14ac:dyDescent="0.25">
      <c r="A10049" s="119"/>
      <c r="B10049" s="138" t="str">
        <f t="shared" si="843"/>
        <v>Aerated Static Pile</v>
      </c>
      <c r="C10049" s="138" t="str">
        <f t="shared" si="844"/>
        <v>Base_With Amendment</v>
      </c>
      <c r="D10049" s="138" t="str">
        <f t="shared" ref="D10049:D10055" si="846">IF(ISNUMBER($J10049),"Medium_Base","")</f>
        <v>Medium_Base</v>
      </c>
      <c r="E10049" s="138" t="str">
        <f t="shared" si="841"/>
        <v>Low</v>
      </c>
      <c r="F10049" s="138" t="str">
        <f t="shared" si="845"/>
        <v>Upgraded</v>
      </c>
      <c r="G10049" s="153"/>
      <c r="H10049" s="210">
        <v>6.0299999999999999E-2</v>
      </c>
      <c r="I10049" s="160" t="s">
        <v>435</v>
      </c>
      <c r="J10049" s="211">
        <v>2.7014099999999999E-5</v>
      </c>
      <c r="K10049" s="160" t="s">
        <v>26</v>
      </c>
      <c r="L10049" s="154" t="str">
        <f>IF(OpenLCAbasic!K10049="CTUh", "Fill in Manually",IF(OR(K10049="Unit", K10049=""), "", INDEX(LookUps!$E$5:$E$12, MATCH(OpenLCAbasic!K10049,LookUps!$D$5:$D$12,0))))</f>
        <v>Water Use (WU) - m3 H2O</v>
      </c>
      <c r="M10049" s="154" t="str">
        <f t="shared" si="842"/>
        <v>Low_Medium_Base_Upgraded_Water Use (WU) - m3 H2O_Biosolids composting; aerated static pile; wastewater treatment unit; at updated plant - US_Base_With Amendment_Aerated Static Pile</v>
      </c>
    </row>
    <row r="10050" spans="1:13" s="120" customFormat="1" x14ac:dyDescent="0.25">
      <c r="A10050" s="119"/>
      <c r="B10050" s="138" t="str">
        <f t="shared" si="843"/>
        <v>Aerated Static Pile</v>
      </c>
      <c r="C10050" s="138" t="str">
        <f t="shared" si="844"/>
        <v>Base_With Amendment</v>
      </c>
      <c r="D10050" s="138" t="str">
        <f t="shared" si="846"/>
        <v>Medium_Base</v>
      </c>
      <c r="E10050" s="138" t="str">
        <f t="shared" si="841"/>
        <v>Low</v>
      </c>
      <c r="F10050" s="138" t="str">
        <f t="shared" si="845"/>
        <v>Upgraded</v>
      </c>
      <c r="G10050" s="153"/>
      <c r="H10050" s="210">
        <v>3.9100000000000003E-2</v>
      </c>
      <c r="I10050" s="160" t="s">
        <v>53</v>
      </c>
      <c r="J10050" s="211">
        <v>1.75069E-5</v>
      </c>
      <c r="K10050" s="160" t="s">
        <v>26</v>
      </c>
      <c r="L10050" s="154" t="str">
        <f>IF(OpenLCAbasic!K10050="CTUh", "Fill in Manually",IF(OR(K10050="Unit", K10050=""), "", INDEX(LookUps!$E$5:$E$12, MATCH(OpenLCAbasic!K10050,LookUps!$D$5:$D$12,0))))</f>
        <v>Water Use (WU) - m3 H2O</v>
      </c>
      <c r="M10050" s="154" t="str">
        <f t="shared" si="842"/>
        <v>Low_Medium_Base_Upgraded_Water Use (WU) - m3 H2O_Wet Well and Sump Station; wastewater treatment unit; at updated plant - US_Base_With Amendment_Aerated Static Pile</v>
      </c>
    </row>
    <row r="10051" spans="1:13" s="120" customFormat="1" x14ac:dyDescent="0.25">
      <c r="A10051" s="119"/>
      <c r="B10051" s="138" t="str">
        <f t="shared" si="843"/>
        <v>Aerated Static Pile</v>
      </c>
      <c r="C10051" s="138" t="str">
        <f t="shared" si="844"/>
        <v>Base_With Amendment</v>
      </c>
      <c r="D10051" s="138" t="str">
        <f t="shared" si="846"/>
        <v>Medium_Base</v>
      </c>
      <c r="E10051" s="138" t="str">
        <f t="shared" si="841"/>
        <v>Low</v>
      </c>
      <c r="F10051" s="138" t="str">
        <f t="shared" si="845"/>
        <v>Upgraded</v>
      </c>
      <c r="G10051" s="153"/>
      <c r="H10051" s="210">
        <v>1.5699999999999999E-2</v>
      </c>
      <c r="I10051" s="160" t="s">
        <v>59</v>
      </c>
      <c r="J10051" s="211">
        <v>7.0179500000000003E-6</v>
      </c>
      <c r="K10051" s="160" t="s">
        <v>26</v>
      </c>
      <c r="L10051" s="154" t="str">
        <f>IF(OpenLCAbasic!K10051="CTUh", "Fill in Manually",IF(OR(K10051="Unit", K10051=""), "", INDEX(LookUps!$E$5:$E$12, MATCH(OpenLCAbasic!K10051,LookUps!$D$5:$D$12,0))))</f>
        <v>Water Use (WU) - m3 H2O</v>
      </c>
      <c r="M10051" s="154" t="str">
        <f t="shared" si="842"/>
        <v>Low_Medium_Base_Upgraded_Water Use (WU) - m3 H2O_Blend Tank; wastewater treatment unit; at updated plant - US_Base_With Amendment_Aerated Static Pile</v>
      </c>
    </row>
    <row r="10052" spans="1:13" s="120" customFormat="1" x14ac:dyDescent="0.25">
      <c r="A10052" s="119"/>
      <c r="B10052" s="138" t="str">
        <f t="shared" si="843"/>
        <v>Aerated Static Pile</v>
      </c>
      <c r="C10052" s="138" t="str">
        <f t="shared" si="844"/>
        <v>Base_With Amendment</v>
      </c>
      <c r="D10052" s="138" t="str">
        <f t="shared" si="846"/>
        <v>Medium_Base</v>
      </c>
      <c r="E10052" s="138" t="str">
        <f t="shared" si="841"/>
        <v>Low</v>
      </c>
      <c r="F10052" s="138" t="str">
        <f t="shared" si="845"/>
        <v>Upgraded</v>
      </c>
      <c r="G10052" s="153"/>
      <c r="H10052" s="210">
        <v>1.1299999999999999E-2</v>
      </c>
      <c r="I10052" s="160" t="s">
        <v>128</v>
      </c>
      <c r="J10052" s="211">
        <v>5.0608900000000003E-6</v>
      </c>
      <c r="K10052" s="160" t="s">
        <v>26</v>
      </c>
      <c r="L10052" s="154" t="str">
        <f>IF(OpenLCAbasic!K10052="CTUh", "Fill in Manually",IF(OR(K10052="Unit", K10052=""), "", INDEX(LookUps!$E$5:$E$12, MATCH(OpenLCAbasic!K10052,LookUps!$D$5:$D$12,0))))</f>
        <v>Water Use (WU) - m3 H2O</v>
      </c>
      <c r="M10052" s="154" t="str">
        <f t="shared" si="842"/>
        <v>Low_Medium_Base_Upgraded_Water Use (WU) - m3 H2O_Wastewater collection; operation and infrastructure; m3 wastewater_Base_With Amendment_Aerated Static Pile</v>
      </c>
    </row>
    <row r="10053" spans="1:13" s="120" customFormat="1" x14ac:dyDescent="0.25">
      <c r="A10053" s="119"/>
      <c r="B10053" s="138" t="str">
        <f t="shared" si="843"/>
        <v>Aerated Static Pile</v>
      </c>
      <c r="C10053" s="138" t="str">
        <f t="shared" si="844"/>
        <v>Base_With Amendment</v>
      </c>
      <c r="D10053" s="138" t="str">
        <f t="shared" si="846"/>
        <v>Medium_Base</v>
      </c>
      <c r="E10053" s="138" t="str">
        <f t="shared" si="841"/>
        <v>Low</v>
      </c>
      <c r="F10053" s="138" t="str">
        <f t="shared" si="845"/>
        <v>Upgraded</v>
      </c>
      <c r="G10053" s="153"/>
      <c r="H10053" s="210">
        <v>1.6999999999999999E-3</v>
      </c>
      <c r="I10053" s="160" t="s">
        <v>168</v>
      </c>
      <c r="J10053" s="211">
        <v>7.6697000000000004E-7</v>
      </c>
      <c r="K10053" s="160" t="s">
        <v>26</v>
      </c>
      <c r="L10053" s="154" t="str">
        <f>IF(OpenLCAbasic!K10053="CTUh", "Fill in Manually",IF(OR(K10053="Unit", K10053=""), "", INDEX(LookUps!$E$5:$E$12, MATCH(OpenLCAbasic!K10053,LookUps!$D$5:$D$12,0))))</f>
        <v>Water Use (WU) - m3 H2O</v>
      </c>
      <c r="M10053" s="154" t="str">
        <f t="shared" si="842"/>
        <v>Low_Medium_Base_Upgraded_Water Use (WU) - m3 H2O_ClearCove SCP; wastewater treatment unit; at updated plant - US_Base_With Amendment_Aerated Static Pile</v>
      </c>
    </row>
    <row r="10054" spans="1:13" s="120" customFormat="1" x14ac:dyDescent="0.25">
      <c r="A10054" s="119"/>
      <c r="B10054" s="138" t="str">
        <f t="shared" si="843"/>
        <v>Aerated Static Pile</v>
      </c>
      <c r="C10054" s="138" t="str">
        <f t="shared" si="844"/>
        <v>Base_With Amendment</v>
      </c>
      <c r="D10054" s="138" t="str">
        <f t="shared" si="846"/>
        <v>Medium_Base</v>
      </c>
      <c r="E10054" s="138" t="str">
        <f t="shared" si="841"/>
        <v>Low</v>
      </c>
      <c r="F10054" s="138" t="str">
        <f t="shared" si="845"/>
        <v>Upgraded</v>
      </c>
      <c r="G10054" s="153"/>
      <c r="H10054" s="210">
        <v>-8.6199999999999999E-2</v>
      </c>
      <c r="I10054" s="160" t="s">
        <v>149</v>
      </c>
      <c r="J10054" s="211">
        <v>-3.8591399999999998E-5</v>
      </c>
      <c r="K10054" s="160" t="s">
        <v>26</v>
      </c>
      <c r="L10054" s="154" t="str">
        <f>IF(OpenLCAbasic!K10054="CTUh", "Fill in Manually",IF(OR(K10054="Unit", K10054=""), "", INDEX(LookUps!$E$5:$E$12, MATCH(OpenLCAbasic!K10054,LookUps!$D$5:$D$12,0))))</f>
        <v>Water Use (WU) - m3 H2O</v>
      </c>
      <c r="M10054" s="154" t="str">
        <f t="shared" si="842"/>
        <v>Low_Medium_Base_Upgraded_Water Use (WU) - m3 H2O_Anaerobic Digestion; wastewater treatment unit; at updated plant - US_Base_With Amendment_Aerated Static Pile</v>
      </c>
    </row>
    <row r="10055" spans="1:13" s="120" customFormat="1" x14ac:dyDescent="0.25">
      <c r="A10055" s="119"/>
      <c r="B10055" s="138" t="str">
        <f t="shared" si="843"/>
        <v>Aerated Static Pile</v>
      </c>
      <c r="C10055" s="138" t="str">
        <f t="shared" si="844"/>
        <v>Base_With Amendment</v>
      </c>
      <c r="D10055" s="138" t="str">
        <f t="shared" si="846"/>
        <v>Medium_Base</v>
      </c>
      <c r="E10055" s="138" t="str">
        <f t="shared" si="841"/>
        <v>Low</v>
      </c>
      <c r="F10055" s="138" t="str">
        <f t="shared" si="845"/>
        <v>Upgraded</v>
      </c>
      <c r="G10055" s="153"/>
      <c r="H10055" s="210">
        <v>-3.5630000000000002</v>
      </c>
      <c r="I10055" s="160" t="s">
        <v>62</v>
      </c>
      <c r="J10055" s="160">
        <v>-1.6000000000000001E-3</v>
      </c>
      <c r="K10055" s="160" t="s">
        <v>26</v>
      </c>
      <c r="L10055" s="154" t="str">
        <f>IF(OpenLCAbasic!K10055="CTUh", "Fill in Manually",IF(OR(K10055="Unit", K10055=""), "", INDEX(LookUps!$E$5:$E$12, MATCH(OpenLCAbasic!K10055,LookUps!$D$5:$D$12,0))))</f>
        <v>Water Use (WU) - m3 H2O</v>
      </c>
      <c r="M10055" s="154" t="str">
        <f t="shared" si="842"/>
        <v>Low_Medium_Base_Upgraded_Water Use (WU) - m3 H2O_Land application of compost; wastewater treatment unit; at updated plant - US_Base_With Amendment_Aerated Static Pile</v>
      </c>
    </row>
    <row r="10056" spans="1:13" s="120" customFormat="1" x14ac:dyDescent="0.25">
      <c r="A10056" s="119"/>
      <c r="B10056" s="138" t="str">
        <f t="shared" si="843"/>
        <v/>
      </c>
      <c r="C10056" s="138" t="str">
        <f t="shared" si="844"/>
        <v/>
      </c>
      <c r="D10056" s="138" t="str">
        <f>IF(ISNUMBER($J10056),"Medium_High","")</f>
        <v/>
      </c>
      <c r="E10056" s="138" t="str">
        <f t="shared" si="841"/>
        <v/>
      </c>
      <c r="F10056" s="138" t="str">
        <f t="shared" si="845"/>
        <v/>
      </c>
      <c r="G10056" s="153" t="s">
        <v>51</v>
      </c>
      <c r="H10056" s="160"/>
      <c r="I10056" s="160" t="s">
        <v>47</v>
      </c>
      <c r="J10056" s="160" t="s">
        <v>52</v>
      </c>
      <c r="K10056" s="160" t="s">
        <v>27</v>
      </c>
      <c r="L10056" s="154" t="str">
        <f>IF(OpenLCAbasic!K10056="CTUh", "Fill in Manually",IF(OR(K10056="Unit", K10056=""), "", INDEX(LookUps!$E$5:$E$12, MATCH(OpenLCAbasic!K10056,LookUps!$D$5:$D$12,0))))</f>
        <v/>
      </c>
      <c r="M10056" s="154" t="str">
        <f t="shared" si="842"/>
        <v>____Process__</v>
      </c>
    </row>
    <row r="10057" spans="1:13" s="120" customFormat="1" x14ac:dyDescent="0.25">
      <c r="A10057" s="119"/>
      <c r="B10057" s="138" t="str">
        <f t="shared" si="843"/>
        <v>Aerated Static Pile</v>
      </c>
      <c r="C10057" s="138" t="str">
        <f t="shared" si="844"/>
        <v>Base_With Amendment</v>
      </c>
      <c r="D10057" s="138" t="str">
        <f t="shared" ref="D10057:D10120" si="847">IF(ISNUMBER($J10057),"Medium_High","")</f>
        <v>Medium_High</v>
      </c>
      <c r="E10057" s="138" t="str">
        <f t="shared" si="841"/>
        <v>Low</v>
      </c>
      <c r="F10057" s="138" t="str">
        <f t="shared" si="845"/>
        <v>Upgraded</v>
      </c>
      <c r="G10057" s="153"/>
      <c r="H10057" s="210">
        <v>2.4358</v>
      </c>
      <c r="I10057" s="160" t="s">
        <v>55</v>
      </c>
      <c r="J10057" s="160">
        <v>1.7219999999999999E-2</v>
      </c>
      <c r="K10057" s="160" t="s">
        <v>24</v>
      </c>
      <c r="L10057" s="154" t="str">
        <f>IF(OpenLCAbasic!K10057="CTUh", "Fill in Manually",IF(OR(K10057="Unit", K10057=""), "", INDEX(LookUps!$E$5:$E$12, MATCH(OpenLCAbasic!K10057,LookUps!$D$5:$D$12,0))))</f>
        <v>Acidification Potential (AP) - kg SO2 eq</v>
      </c>
      <c r="M10057" s="154" t="str">
        <f t="shared" si="842"/>
        <v>Low_Medium_High_Upgraded_Acidification Potential (AP) - kg SO2 eq_Aeration Tanks; wastewater treatment unit; at updated plant - US_Base_With Amendment_Aerated Static Pile</v>
      </c>
    </row>
    <row r="10058" spans="1:13" s="120" customFormat="1" x14ac:dyDescent="0.25">
      <c r="A10058" s="119"/>
      <c r="B10058" s="138" t="str">
        <f t="shared" si="843"/>
        <v>Aerated Static Pile</v>
      </c>
      <c r="C10058" s="138" t="str">
        <f t="shared" si="844"/>
        <v>Base_With Amendment</v>
      </c>
      <c r="D10058" s="138" t="str">
        <f t="shared" si="847"/>
        <v>Medium_High</v>
      </c>
      <c r="E10058" s="138" t="str">
        <f t="shared" si="841"/>
        <v>Low</v>
      </c>
      <c r="F10058" s="138" t="str">
        <f t="shared" si="845"/>
        <v>Upgraded</v>
      </c>
      <c r="G10058" s="153"/>
      <c r="H10058" s="210">
        <v>1.1718999999999999</v>
      </c>
      <c r="I10058" s="160" t="s">
        <v>435</v>
      </c>
      <c r="J10058" s="160">
        <v>8.2799999999999992E-3</v>
      </c>
      <c r="K10058" s="160" t="s">
        <v>24</v>
      </c>
      <c r="L10058" s="154" t="str">
        <f>IF(OpenLCAbasic!K10058="CTUh", "Fill in Manually",IF(OR(K10058="Unit", K10058=""), "", INDEX(LookUps!$E$5:$E$12, MATCH(OpenLCAbasic!K10058,LookUps!$D$5:$D$12,0))))</f>
        <v>Acidification Potential (AP) - kg SO2 eq</v>
      </c>
      <c r="M10058" s="154" t="str">
        <f t="shared" si="842"/>
        <v>Low_Medium_High_Upgraded_Acidification Potential (AP) - kg SO2 eq_Biosolids composting; aerated static pile; wastewater treatment unit; at updated plant - US_Base_With Amendment_Aerated Static Pile</v>
      </c>
    </row>
    <row r="10059" spans="1:13" s="120" customFormat="1" x14ac:dyDescent="0.25">
      <c r="A10059" s="119"/>
      <c r="B10059" s="138" t="str">
        <f t="shared" si="843"/>
        <v>Aerated Static Pile</v>
      </c>
      <c r="C10059" s="138" t="str">
        <f t="shared" si="844"/>
        <v>Base_With Amendment</v>
      </c>
      <c r="D10059" s="138" t="str">
        <f t="shared" si="847"/>
        <v>Medium_High</v>
      </c>
      <c r="E10059" s="138" t="str">
        <f t="shared" si="841"/>
        <v>Low</v>
      </c>
      <c r="F10059" s="138" t="str">
        <f t="shared" si="845"/>
        <v>Upgraded</v>
      </c>
      <c r="G10059" s="153"/>
      <c r="H10059" s="210">
        <v>0.70450000000000002</v>
      </c>
      <c r="I10059" s="160" t="s">
        <v>54</v>
      </c>
      <c r="J10059" s="160">
        <v>4.9800000000000001E-3</v>
      </c>
      <c r="K10059" s="160" t="s">
        <v>24</v>
      </c>
      <c r="L10059" s="154" t="str">
        <f>IF(OpenLCAbasic!K10059="CTUh", "Fill in Manually",IF(OR(K10059="Unit", K10059=""), "", INDEX(LookUps!$E$5:$E$12, MATCH(OpenLCAbasic!K10059,LookUps!$D$5:$D$12,0))))</f>
        <v>Acidification Potential (AP) - kg SO2 eq</v>
      </c>
      <c r="M10059" s="154" t="str">
        <f t="shared" si="842"/>
        <v>Low_Medium_High_Upgraded_Acidification Potential (AP) - kg SO2 eq_Clear Cove Primary Clarification; wastewater treatment unit; at updated plant - US_Base_With Amendment_Aerated Static Pile</v>
      </c>
    </row>
    <row r="10060" spans="1:13" s="120" customFormat="1" x14ac:dyDescent="0.25">
      <c r="A10060" s="119"/>
      <c r="B10060" s="138" t="str">
        <f t="shared" si="843"/>
        <v>Aerated Static Pile</v>
      </c>
      <c r="C10060" s="138" t="str">
        <f t="shared" si="844"/>
        <v>Base_With Amendment</v>
      </c>
      <c r="D10060" s="138" t="str">
        <f t="shared" si="847"/>
        <v>Medium_High</v>
      </c>
      <c r="E10060" s="138" t="str">
        <f t="shared" si="841"/>
        <v>Low</v>
      </c>
      <c r="F10060" s="138" t="str">
        <f t="shared" si="845"/>
        <v>Upgraded</v>
      </c>
      <c r="G10060" s="153"/>
      <c r="H10060" s="210">
        <v>0.61470000000000002</v>
      </c>
      <c r="I10060" s="160" t="s">
        <v>58</v>
      </c>
      <c r="J10060" s="160">
        <v>4.3499999999999997E-3</v>
      </c>
      <c r="K10060" s="160" t="s">
        <v>24</v>
      </c>
      <c r="L10060" s="154" t="str">
        <f>IF(OpenLCAbasic!K10060="CTUh", "Fill in Manually",IF(OR(K10060="Unit", K10060=""), "", INDEX(LookUps!$E$5:$E$12, MATCH(OpenLCAbasic!K10060,LookUps!$D$5:$D$12,0))))</f>
        <v>Acidification Potential (AP) - kg SO2 eq</v>
      </c>
      <c r="M10060" s="154" t="str">
        <f t="shared" si="842"/>
        <v>Low_Medium_High_Upgraded_Acidification Potential (AP) - kg SO2 eq_Pre-Anoxic &amp; Swing tank; wastewater treatment unit; at updated plant - US_Base_With Amendment_Aerated Static Pile</v>
      </c>
    </row>
    <row r="10061" spans="1:13" s="120" customFormat="1" x14ac:dyDescent="0.25">
      <c r="A10061" s="119"/>
      <c r="B10061" s="138" t="str">
        <f t="shared" si="843"/>
        <v>Aerated Static Pile</v>
      </c>
      <c r="C10061" s="138" t="str">
        <f t="shared" si="844"/>
        <v>Base_With Amendment</v>
      </c>
      <c r="D10061" s="138" t="str">
        <f t="shared" si="847"/>
        <v>Medium_High</v>
      </c>
      <c r="E10061" s="138" t="str">
        <f t="shared" si="841"/>
        <v>Low</v>
      </c>
      <c r="F10061" s="138" t="str">
        <f t="shared" si="845"/>
        <v>Upgraded</v>
      </c>
      <c r="G10061" s="153"/>
      <c r="H10061" s="210">
        <v>0.55759999999999998</v>
      </c>
      <c r="I10061" s="160" t="s">
        <v>62</v>
      </c>
      <c r="J10061" s="160">
        <v>3.9399999999999999E-3</v>
      </c>
      <c r="K10061" s="160" t="s">
        <v>24</v>
      </c>
      <c r="L10061" s="154" t="str">
        <f>IF(OpenLCAbasic!K10061="CTUh", "Fill in Manually",IF(OR(K10061="Unit", K10061=""), "", INDEX(LookUps!$E$5:$E$12, MATCH(OpenLCAbasic!K10061,LookUps!$D$5:$D$12,0))))</f>
        <v>Acidification Potential (AP) - kg SO2 eq</v>
      </c>
      <c r="M10061" s="154" t="str">
        <f t="shared" si="842"/>
        <v>Low_Medium_High_Upgraded_Acidification Potential (AP) - kg SO2 eq_Land application of compost; wastewater treatment unit; at updated plant - US_Base_With Amendment_Aerated Static Pile</v>
      </c>
    </row>
    <row r="10062" spans="1:13" s="120" customFormat="1" x14ac:dyDescent="0.25">
      <c r="A10062" s="119"/>
      <c r="B10062" s="138" t="str">
        <f t="shared" si="843"/>
        <v>Aerated Static Pile</v>
      </c>
      <c r="C10062" s="138" t="str">
        <f t="shared" si="844"/>
        <v>Base_With Amendment</v>
      </c>
      <c r="D10062" s="138" t="str">
        <f t="shared" si="847"/>
        <v>Medium_High</v>
      </c>
      <c r="E10062" s="138" t="str">
        <f t="shared" si="841"/>
        <v>Low</v>
      </c>
      <c r="F10062" s="138" t="str">
        <f t="shared" si="845"/>
        <v>Upgraded</v>
      </c>
      <c r="G10062" s="153"/>
      <c r="H10062" s="210">
        <v>0.48809999999999998</v>
      </c>
      <c r="I10062" s="160" t="s">
        <v>53</v>
      </c>
      <c r="J10062" s="160">
        <v>3.4499999999999999E-3</v>
      </c>
      <c r="K10062" s="160" t="s">
        <v>24</v>
      </c>
      <c r="L10062" s="154" t="str">
        <f>IF(OpenLCAbasic!K10062="CTUh", "Fill in Manually",IF(OR(K10062="Unit", K10062=""), "", INDEX(LookUps!$E$5:$E$12, MATCH(OpenLCAbasic!K10062,LookUps!$D$5:$D$12,0))))</f>
        <v>Acidification Potential (AP) - kg SO2 eq</v>
      </c>
      <c r="M10062" s="154" t="str">
        <f t="shared" si="842"/>
        <v>Low_Medium_High_Upgraded_Acidification Potential (AP) - kg SO2 eq_Wet Well and Sump Station; wastewater treatment unit; at updated plant - US_Base_With Amendment_Aerated Static Pile</v>
      </c>
    </row>
    <row r="10063" spans="1:13" s="120" customFormat="1" x14ac:dyDescent="0.25">
      <c r="A10063" s="119"/>
      <c r="B10063" s="138" t="str">
        <f t="shared" si="843"/>
        <v>Aerated Static Pile</v>
      </c>
      <c r="C10063" s="138" t="str">
        <f t="shared" si="844"/>
        <v>Base_With Amendment</v>
      </c>
      <c r="D10063" s="138" t="str">
        <f t="shared" si="847"/>
        <v>Medium_High</v>
      </c>
      <c r="E10063" s="138" t="str">
        <f t="shared" si="841"/>
        <v>Low</v>
      </c>
      <c r="F10063" s="138" t="str">
        <f t="shared" si="845"/>
        <v>Upgraded</v>
      </c>
      <c r="G10063" s="153"/>
      <c r="H10063" s="210">
        <v>0.35799999999999998</v>
      </c>
      <c r="I10063" s="160" t="s">
        <v>167</v>
      </c>
      <c r="J10063" s="160">
        <v>2.5300000000000001E-3</v>
      </c>
      <c r="K10063" s="160" t="s">
        <v>24</v>
      </c>
      <c r="L10063" s="154" t="str">
        <f>IF(OpenLCAbasic!K10063="CTUh", "Fill in Manually",IF(OR(K10063="Unit", K10063=""), "", INDEX(LookUps!$E$5:$E$12, MATCH(OpenLCAbasic!K10063,LookUps!$D$5:$D$12,0))))</f>
        <v>Acidification Potential (AP) - kg SO2 eq</v>
      </c>
      <c r="M10063" s="154" t="str">
        <f t="shared" si="842"/>
        <v>Low_Medium_High_Upgraded_Acidification Potential (AP) - kg SO2 eq_Waste Receiving and Holding; wastewater treatment unit; at updated plant - US_Base_With Amendment_Aerated Static Pile</v>
      </c>
    </row>
    <row r="10064" spans="1:13" s="120" customFormat="1" x14ac:dyDescent="0.25">
      <c r="A10064" s="119"/>
      <c r="B10064" s="138" t="str">
        <f t="shared" si="843"/>
        <v>Aerated Static Pile</v>
      </c>
      <c r="C10064" s="138" t="str">
        <f t="shared" si="844"/>
        <v>Base_With Amendment</v>
      </c>
      <c r="D10064" s="138" t="str">
        <f t="shared" si="847"/>
        <v>Medium_High</v>
      </c>
      <c r="E10064" s="138" t="str">
        <f t="shared" si="841"/>
        <v>Low</v>
      </c>
      <c r="F10064" s="138" t="str">
        <f t="shared" si="845"/>
        <v>Upgraded</v>
      </c>
      <c r="G10064" s="153"/>
      <c r="H10064" s="210">
        <v>0.29260000000000003</v>
      </c>
      <c r="I10064" s="160" t="s">
        <v>147</v>
      </c>
      <c r="J10064" s="160">
        <v>2.0699999999999998E-3</v>
      </c>
      <c r="K10064" s="160" t="s">
        <v>24</v>
      </c>
      <c r="L10064" s="154" t="str">
        <f>IF(OpenLCAbasic!K10064="CTUh", "Fill in Manually",IF(OR(K10064="Unit", K10064=""), "", INDEX(LookUps!$E$5:$E$12, MATCH(OpenLCAbasic!K10064,LookUps!$D$5:$D$12,0))))</f>
        <v>Acidification Potential (AP) - kg SO2 eq</v>
      </c>
      <c r="M10064" s="154" t="str">
        <f t="shared" si="842"/>
        <v>Low_Medium_High_Upgraded_Acidification Potential (AP) - kg SO2 eq_Influent Pump Station; wastewater treatment unit; at updated plant - US_Base_With Amendment_Aerated Static Pile</v>
      </c>
    </row>
    <row r="10065" spans="1:13" s="120" customFormat="1" x14ac:dyDescent="0.25">
      <c r="A10065" s="119"/>
      <c r="B10065" s="138" t="str">
        <f t="shared" si="843"/>
        <v>Aerated Static Pile</v>
      </c>
      <c r="C10065" s="138" t="str">
        <f t="shared" si="844"/>
        <v>Base_With Amendment</v>
      </c>
      <c r="D10065" s="138" t="str">
        <f t="shared" si="847"/>
        <v>Medium_High</v>
      </c>
      <c r="E10065" s="138" t="str">
        <f t="shared" si="841"/>
        <v>Low</v>
      </c>
      <c r="F10065" s="138" t="str">
        <f t="shared" si="845"/>
        <v>Upgraded</v>
      </c>
      <c r="G10065" s="153"/>
      <c r="H10065" s="210">
        <v>0.1744</v>
      </c>
      <c r="I10065" s="160" t="s">
        <v>128</v>
      </c>
      <c r="J10065" s="160">
        <v>1.23E-3</v>
      </c>
      <c r="K10065" s="160" t="s">
        <v>24</v>
      </c>
      <c r="L10065" s="154" t="str">
        <f>IF(OpenLCAbasic!K10065="CTUh", "Fill in Manually",IF(OR(K10065="Unit", K10065=""), "", INDEX(LookUps!$E$5:$E$12, MATCH(OpenLCAbasic!K10065,LookUps!$D$5:$D$12,0))))</f>
        <v>Acidification Potential (AP) - kg SO2 eq</v>
      </c>
      <c r="M10065" s="154" t="str">
        <f t="shared" si="842"/>
        <v>Low_Medium_High_Upgraded_Acidification Potential (AP) - kg SO2 eq_Wastewater collection; operation and infrastructure; m3 wastewater_Base_With Amendment_Aerated Static Pile</v>
      </c>
    </row>
    <row r="10066" spans="1:13" s="120" customFormat="1" x14ac:dyDescent="0.25">
      <c r="A10066" s="119"/>
      <c r="B10066" s="138" t="str">
        <f t="shared" si="843"/>
        <v>Aerated Static Pile</v>
      </c>
      <c r="C10066" s="138" t="str">
        <f t="shared" si="844"/>
        <v>Base_With Amendment</v>
      </c>
      <c r="D10066" s="138" t="str">
        <f t="shared" si="847"/>
        <v>Medium_High</v>
      </c>
      <c r="E10066" s="138" t="str">
        <f t="shared" si="841"/>
        <v>Low</v>
      </c>
      <c r="F10066" s="138" t="str">
        <f t="shared" si="845"/>
        <v>Upgraded</v>
      </c>
      <c r="G10066" s="153"/>
      <c r="H10066" s="210">
        <v>0.14430000000000001</v>
      </c>
      <c r="I10066" s="160" t="s">
        <v>60</v>
      </c>
      <c r="J10066" s="160">
        <v>1.0200000000000001E-3</v>
      </c>
      <c r="K10066" s="160" t="s">
        <v>24</v>
      </c>
      <c r="L10066" s="154" t="str">
        <f>IF(OpenLCAbasic!K10066="CTUh", "Fill in Manually",IF(OR(K10066="Unit", K10066=""), "", INDEX(LookUps!$E$5:$E$12, MATCH(OpenLCAbasic!K10066,LookUps!$D$5:$D$12,0))))</f>
        <v>Acidification Potential (AP) - kg SO2 eq</v>
      </c>
      <c r="M10066" s="154" t="str">
        <f t="shared" si="842"/>
        <v>Low_Medium_High_Upgraded_Acidification Potential (AP) - kg SO2 eq_Belt filter press; wastewater treatment unit; at updated plant - US_Base_With Amendment_Aerated Static Pile</v>
      </c>
    </row>
    <row r="10067" spans="1:13" s="120" customFormat="1" x14ac:dyDescent="0.25">
      <c r="A10067" s="119"/>
      <c r="B10067" s="138" t="str">
        <f t="shared" si="843"/>
        <v>Aerated Static Pile</v>
      </c>
      <c r="C10067" s="138" t="str">
        <f t="shared" si="844"/>
        <v>Base_With Amendment</v>
      </c>
      <c r="D10067" s="138" t="str">
        <f t="shared" si="847"/>
        <v>Medium_High</v>
      </c>
      <c r="E10067" s="138" t="str">
        <f t="shared" si="841"/>
        <v>Low</v>
      </c>
      <c r="F10067" s="138" t="str">
        <f t="shared" si="845"/>
        <v>Upgraded</v>
      </c>
      <c r="G10067" s="153"/>
      <c r="H10067" s="210">
        <v>9.9599999999999994E-2</v>
      </c>
      <c r="I10067" s="160" t="s">
        <v>57</v>
      </c>
      <c r="J10067" s="160">
        <v>6.9999999999999999E-4</v>
      </c>
      <c r="K10067" s="160" t="s">
        <v>24</v>
      </c>
      <c r="L10067" s="154" t="str">
        <f>IF(OpenLCAbasic!K10067="CTUh", "Fill in Manually",IF(OR(K10067="Unit", K10067=""), "", INDEX(LookUps!$E$5:$E$12, MATCH(OpenLCAbasic!K10067,LookUps!$D$5:$D$12,0))))</f>
        <v>Acidification Potential (AP) - kg SO2 eq</v>
      </c>
      <c r="M10067" s="154" t="str">
        <f t="shared" si="842"/>
        <v>Low_Medium_High_Upgraded_Acidification Potential (AP) - kg SO2 eq_Gravity Belt Thickener; wastewater treatment unit; at updated plant - US_Base_With Amendment_Aerated Static Pile</v>
      </c>
    </row>
    <row r="10068" spans="1:13" s="120" customFormat="1" x14ac:dyDescent="0.25">
      <c r="A10068" s="119"/>
      <c r="B10068" s="138" t="str">
        <f t="shared" si="843"/>
        <v>Aerated Static Pile</v>
      </c>
      <c r="C10068" s="138" t="str">
        <f t="shared" si="844"/>
        <v>Base_With Amendment</v>
      </c>
      <c r="D10068" s="138" t="str">
        <f t="shared" si="847"/>
        <v>Medium_High</v>
      </c>
      <c r="E10068" s="138" t="str">
        <f t="shared" si="841"/>
        <v>Low</v>
      </c>
      <c r="F10068" s="138" t="str">
        <f t="shared" si="845"/>
        <v>Upgraded</v>
      </c>
      <c r="G10068" s="153"/>
      <c r="H10068" s="210">
        <v>7.2999999999999995E-2</v>
      </c>
      <c r="I10068" s="160" t="s">
        <v>59</v>
      </c>
      <c r="J10068" s="160">
        <v>5.1999999999999995E-4</v>
      </c>
      <c r="K10068" s="160" t="s">
        <v>24</v>
      </c>
      <c r="L10068" s="154" t="str">
        <f>IF(OpenLCAbasic!K10068="CTUh", "Fill in Manually",IF(OR(K10068="Unit", K10068=""), "", INDEX(LookUps!$E$5:$E$12, MATCH(OpenLCAbasic!K10068,LookUps!$D$5:$D$12,0))))</f>
        <v>Acidification Potential (AP) - kg SO2 eq</v>
      </c>
      <c r="M10068" s="154" t="str">
        <f t="shared" si="842"/>
        <v>Low_Medium_High_Upgraded_Acidification Potential (AP) - kg SO2 eq_Blend Tank; wastewater treatment unit; at updated plant - US_Base_With Amendment_Aerated Static Pile</v>
      </c>
    </row>
    <row r="10069" spans="1:13" s="120" customFormat="1" x14ac:dyDescent="0.25">
      <c r="A10069" s="119"/>
      <c r="B10069" s="138" t="str">
        <f t="shared" si="843"/>
        <v>Aerated Static Pile</v>
      </c>
      <c r="C10069" s="138" t="str">
        <f t="shared" si="844"/>
        <v>Base_With Amendment</v>
      </c>
      <c r="D10069" s="138" t="str">
        <f t="shared" si="847"/>
        <v>Medium_High</v>
      </c>
      <c r="E10069" s="138" t="str">
        <f t="shared" si="841"/>
        <v>Low</v>
      </c>
      <c r="F10069" s="138" t="str">
        <f t="shared" si="845"/>
        <v>Upgraded</v>
      </c>
      <c r="G10069" s="153"/>
      <c r="H10069" s="210">
        <v>4.9000000000000002E-2</v>
      </c>
      <c r="I10069" s="160" t="s">
        <v>48</v>
      </c>
      <c r="J10069" s="160">
        <v>3.5E-4</v>
      </c>
      <c r="K10069" s="160" t="s">
        <v>24</v>
      </c>
      <c r="L10069" s="154" t="str">
        <f>IF(OpenLCAbasic!K10069="CTUh", "Fill in Manually",IF(OR(K10069="Unit", K10069=""), "", INDEX(LookUps!$E$5:$E$12, MATCH(OpenLCAbasic!K10069,LookUps!$D$5:$D$12,0))))</f>
        <v>Acidification Potential (AP) - kg SO2 eq</v>
      </c>
      <c r="M10069" s="154" t="str">
        <f t="shared" si="842"/>
        <v>Low_Medium_High_Upgraded_Acidification Potential (AP) - kg SO2 eq_Effluent release; wastewater treatment unit; at surface water; m3 wastewater - US_Base_With Amendment_Aerated Static Pile</v>
      </c>
    </row>
    <row r="10070" spans="1:13" s="120" customFormat="1" x14ac:dyDescent="0.25">
      <c r="A10070" s="119"/>
      <c r="B10070" s="138" t="str">
        <f t="shared" si="843"/>
        <v>Aerated Static Pile</v>
      </c>
      <c r="C10070" s="138" t="str">
        <f t="shared" si="844"/>
        <v>Base_With Amendment</v>
      </c>
      <c r="D10070" s="138" t="str">
        <f t="shared" si="847"/>
        <v>Medium_High</v>
      </c>
      <c r="E10070" s="138" t="str">
        <f t="shared" si="841"/>
        <v>Low</v>
      </c>
      <c r="F10070" s="138" t="str">
        <f t="shared" si="845"/>
        <v>Upgraded</v>
      </c>
      <c r="G10070" s="153"/>
      <c r="H10070" s="210">
        <v>3.61E-2</v>
      </c>
      <c r="I10070" s="160" t="s">
        <v>168</v>
      </c>
      <c r="J10070" s="160">
        <v>2.5999999999999998E-4</v>
      </c>
      <c r="K10070" s="160" t="s">
        <v>24</v>
      </c>
      <c r="L10070" s="154" t="str">
        <f>IF(OpenLCAbasic!K10070="CTUh", "Fill in Manually",IF(OR(K10070="Unit", K10070=""), "", INDEX(LookUps!$E$5:$E$12, MATCH(OpenLCAbasic!K10070,LookUps!$D$5:$D$12,0))))</f>
        <v>Acidification Potential (AP) - kg SO2 eq</v>
      </c>
      <c r="M10070" s="154" t="str">
        <f t="shared" si="842"/>
        <v>Low_Medium_High_Upgraded_Acidification Potential (AP) - kg SO2 eq_ClearCove SCP; wastewater treatment unit; at updated plant - US_Base_With Amendment_Aerated Static Pile</v>
      </c>
    </row>
    <row r="10071" spans="1:13" s="120" customFormat="1" x14ac:dyDescent="0.25">
      <c r="A10071" s="119"/>
      <c r="B10071" s="138" t="str">
        <f t="shared" si="843"/>
        <v>Aerated Static Pile</v>
      </c>
      <c r="C10071" s="138" t="str">
        <f t="shared" si="844"/>
        <v>Base_With Amendment</v>
      </c>
      <c r="D10071" s="138" t="str">
        <f t="shared" si="847"/>
        <v>Medium_High</v>
      </c>
      <c r="E10071" s="138" t="str">
        <f t="shared" si="841"/>
        <v>Low</v>
      </c>
      <c r="F10071" s="138" t="str">
        <f t="shared" si="845"/>
        <v>Upgraded</v>
      </c>
      <c r="G10071" s="153"/>
      <c r="H10071" s="210">
        <v>5.7000000000000002E-3</v>
      </c>
      <c r="I10071" s="160" t="s">
        <v>148</v>
      </c>
      <c r="J10071" s="211">
        <v>4.0354700000000002E-5</v>
      </c>
      <c r="K10071" s="160" t="s">
        <v>24</v>
      </c>
      <c r="L10071" s="154" t="str">
        <f>IF(OpenLCAbasic!K10071="CTUh", "Fill in Manually",IF(OR(K10071="Unit", K10071=""), "", INDEX(LookUps!$E$5:$E$12, MATCH(OpenLCAbasic!K10071,LookUps!$D$5:$D$12,0))))</f>
        <v>Acidification Potential (AP) - kg SO2 eq</v>
      </c>
      <c r="M10071" s="154" t="str">
        <f t="shared" si="842"/>
        <v>Low_Medium_High_Upgraded_Acidification Potential (AP) - kg SO2 eq_Control Building; at upgraded wastewater treatment plant - US_Base_With Amendment_Aerated Static Pile</v>
      </c>
    </row>
    <row r="10072" spans="1:13" s="120" customFormat="1" x14ac:dyDescent="0.25">
      <c r="A10072" s="119"/>
      <c r="B10072" s="138" t="str">
        <f t="shared" si="843"/>
        <v>Aerated Static Pile</v>
      </c>
      <c r="C10072" s="138" t="str">
        <f t="shared" si="844"/>
        <v>Base_With Amendment</v>
      </c>
      <c r="D10072" s="138" t="str">
        <f t="shared" si="847"/>
        <v>Medium_High</v>
      </c>
      <c r="E10072" s="138" t="str">
        <f t="shared" si="841"/>
        <v>Low</v>
      </c>
      <c r="F10072" s="138" t="str">
        <f t="shared" si="845"/>
        <v>Upgraded</v>
      </c>
      <c r="G10072" s="153"/>
      <c r="H10072" s="210">
        <v>-8.2055000000000007</v>
      </c>
      <c r="I10072" s="160" t="s">
        <v>149</v>
      </c>
      <c r="J10072" s="160">
        <v>-5.8009999999999999E-2</v>
      </c>
      <c r="K10072" s="160" t="s">
        <v>24</v>
      </c>
      <c r="L10072" s="154" t="str">
        <f>IF(OpenLCAbasic!K10072="CTUh", "Fill in Manually",IF(OR(K10072="Unit", K10072=""), "", INDEX(LookUps!$E$5:$E$12, MATCH(OpenLCAbasic!K10072,LookUps!$D$5:$D$12,0))))</f>
        <v>Acidification Potential (AP) - kg SO2 eq</v>
      </c>
      <c r="M10072" s="154" t="str">
        <f t="shared" si="842"/>
        <v>Low_Medium_High_Upgraded_Acidification Potential (AP) - kg SO2 eq_Anaerobic Digestion; wastewater treatment unit; at updated plant - US_Base_With Amendment_Aerated Static Pile</v>
      </c>
    </row>
    <row r="10073" spans="1:13" s="120" customFormat="1" x14ac:dyDescent="0.25">
      <c r="A10073" s="119"/>
      <c r="B10073" s="138" t="str">
        <f t="shared" si="843"/>
        <v/>
      </c>
      <c r="C10073" s="138" t="str">
        <f t="shared" si="844"/>
        <v/>
      </c>
      <c r="D10073" s="138" t="str">
        <f t="shared" si="847"/>
        <v/>
      </c>
      <c r="E10073" s="138" t="str">
        <f t="shared" si="841"/>
        <v/>
      </c>
      <c r="F10073" s="138" t="str">
        <f t="shared" si="845"/>
        <v/>
      </c>
      <c r="G10073" s="153" t="s">
        <v>51</v>
      </c>
      <c r="H10073" s="160"/>
      <c r="I10073" s="160" t="s">
        <v>47</v>
      </c>
      <c r="J10073" s="160" t="s">
        <v>52</v>
      </c>
      <c r="K10073" s="160" t="s">
        <v>27</v>
      </c>
      <c r="L10073" s="154" t="str">
        <f>IF(OpenLCAbasic!K10073="CTUh", "Fill in Manually",IF(OR(K10073="Unit", K10073=""), "", INDEX(LookUps!$E$5:$E$12, MATCH(OpenLCAbasic!K10073,LookUps!$D$5:$D$12,0))))</f>
        <v/>
      </c>
      <c r="M10073" s="154" t="str">
        <f t="shared" si="842"/>
        <v>____Process__</v>
      </c>
    </row>
    <row r="10074" spans="1:13" s="120" customFormat="1" x14ac:dyDescent="0.25">
      <c r="A10074" s="119"/>
      <c r="B10074" s="138" t="str">
        <f t="shared" si="843"/>
        <v>Aerated Static Pile</v>
      </c>
      <c r="C10074" s="138" t="str">
        <f t="shared" si="844"/>
        <v>Base_With Amendment</v>
      </c>
      <c r="D10074" s="138" t="str">
        <f t="shared" si="847"/>
        <v>Medium_High</v>
      </c>
      <c r="E10074" s="138" t="str">
        <f t="shared" si="841"/>
        <v>Low</v>
      </c>
      <c r="F10074" s="138" t="str">
        <f t="shared" si="845"/>
        <v>Upgraded</v>
      </c>
      <c r="G10074" s="153"/>
      <c r="H10074" s="210">
        <v>2.6934999999999998</v>
      </c>
      <c r="I10074" s="160" t="s">
        <v>167</v>
      </c>
      <c r="J10074" s="160">
        <v>4.2789599999999997</v>
      </c>
      <c r="K10074" s="160" t="s">
        <v>15</v>
      </c>
      <c r="L10074" s="154" t="str">
        <f>IF(OpenLCAbasic!K10074="CTUh", "Fill in Manually",IF(OR(K10074="Unit", K10074=""), "", INDEX(LookUps!$E$5:$E$12, MATCH(OpenLCAbasic!K10074,LookUps!$D$5:$D$12,0))))</f>
        <v>Cumulative Energy Demand (CED) - MJ</v>
      </c>
      <c r="M10074" s="154" t="str">
        <f t="shared" si="842"/>
        <v>Low_Medium_High_Upgraded_Cumulative Energy Demand (CED) - MJ_Waste Receiving and Holding; wastewater treatment unit; at updated plant - US_Base_With Amendment_Aerated Static Pile</v>
      </c>
    </row>
    <row r="10075" spans="1:13" s="120" customFormat="1" x14ac:dyDescent="0.25">
      <c r="A10075" s="119"/>
      <c r="B10075" s="138" t="str">
        <f t="shared" si="843"/>
        <v>Aerated Static Pile</v>
      </c>
      <c r="C10075" s="138" t="str">
        <f t="shared" si="844"/>
        <v>Base_With Amendment</v>
      </c>
      <c r="D10075" s="138" t="str">
        <f t="shared" si="847"/>
        <v>Medium_High</v>
      </c>
      <c r="E10075" s="138" t="str">
        <f t="shared" si="841"/>
        <v>Low</v>
      </c>
      <c r="F10075" s="138" t="str">
        <f t="shared" si="845"/>
        <v>Upgraded</v>
      </c>
      <c r="G10075" s="153"/>
      <c r="H10075" s="210">
        <v>2.2240000000000002</v>
      </c>
      <c r="I10075" s="160" t="s">
        <v>55</v>
      </c>
      <c r="J10075" s="160">
        <v>3.5330499999999998</v>
      </c>
      <c r="K10075" s="160" t="s">
        <v>15</v>
      </c>
      <c r="L10075" s="154" t="str">
        <f>IF(OpenLCAbasic!K10075="CTUh", "Fill in Manually",IF(OR(K10075="Unit", K10075=""), "", INDEX(LookUps!$E$5:$E$12, MATCH(OpenLCAbasic!K10075,LookUps!$D$5:$D$12,0))))</f>
        <v>Cumulative Energy Demand (CED) - MJ</v>
      </c>
      <c r="M10075" s="154" t="str">
        <f t="shared" si="842"/>
        <v>Low_Medium_High_Upgraded_Cumulative Energy Demand (CED) - MJ_Aeration Tanks; wastewater treatment unit; at updated plant - US_Base_With Amendment_Aerated Static Pile</v>
      </c>
    </row>
    <row r="10076" spans="1:13" s="120" customFormat="1" x14ac:dyDescent="0.25">
      <c r="A10076" s="119"/>
      <c r="B10076" s="138" t="str">
        <f t="shared" si="843"/>
        <v>Aerated Static Pile</v>
      </c>
      <c r="C10076" s="138" t="str">
        <f t="shared" si="844"/>
        <v>Base_With Amendment</v>
      </c>
      <c r="D10076" s="138" t="str">
        <f t="shared" si="847"/>
        <v>Medium_High</v>
      </c>
      <c r="E10076" s="138" t="str">
        <f t="shared" si="841"/>
        <v>Low</v>
      </c>
      <c r="F10076" s="138" t="str">
        <f t="shared" si="845"/>
        <v>Upgraded</v>
      </c>
      <c r="G10076" s="153"/>
      <c r="H10076" s="210">
        <v>1.0456000000000001</v>
      </c>
      <c r="I10076" s="160" t="s">
        <v>435</v>
      </c>
      <c r="J10076" s="160">
        <v>1.66113</v>
      </c>
      <c r="K10076" s="160" t="s">
        <v>15</v>
      </c>
      <c r="L10076" s="154" t="str">
        <f>IF(OpenLCAbasic!K10076="CTUh", "Fill in Manually",IF(OR(K10076="Unit", K10076=""), "", INDEX(LookUps!$E$5:$E$12, MATCH(OpenLCAbasic!K10076,LookUps!$D$5:$D$12,0))))</f>
        <v>Cumulative Energy Demand (CED) - MJ</v>
      </c>
      <c r="M10076" s="154" t="str">
        <f t="shared" si="842"/>
        <v>Low_Medium_High_Upgraded_Cumulative Energy Demand (CED) - MJ_Biosolids composting; aerated static pile; wastewater treatment unit; at updated plant - US_Base_With Amendment_Aerated Static Pile</v>
      </c>
    </row>
    <row r="10077" spans="1:13" s="120" customFormat="1" x14ac:dyDescent="0.25">
      <c r="A10077" s="119"/>
      <c r="B10077" s="138" t="str">
        <f t="shared" si="843"/>
        <v>Aerated Static Pile</v>
      </c>
      <c r="C10077" s="138" t="str">
        <f t="shared" si="844"/>
        <v>Base_With Amendment</v>
      </c>
      <c r="D10077" s="138" t="str">
        <f t="shared" si="847"/>
        <v>Medium_High</v>
      </c>
      <c r="E10077" s="138" t="str">
        <f t="shared" si="841"/>
        <v>Low</v>
      </c>
      <c r="F10077" s="138" t="str">
        <f t="shared" si="845"/>
        <v>Upgraded</v>
      </c>
      <c r="G10077" s="153"/>
      <c r="H10077" s="210">
        <v>0.73199999999999998</v>
      </c>
      <c r="I10077" s="160" t="s">
        <v>54</v>
      </c>
      <c r="J10077" s="160">
        <v>1.16289</v>
      </c>
      <c r="K10077" s="160" t="s">
        <v>15</v>
      </c>
      <c r="L10077" s="154" t="str">
        <f>IF(OpenLCAbasic!K10077="CTUh", "Fill in Manually",IF(OR(K10077="Unit", K10077=""), "", INDEX(LookUps!$E$5:$E$12, MATCH(OpenLCAbasic!K10077,LookUps!$D$5:$D$12,0))))</f>
        <v>Cumulative Energy Demand (CED) - MJ</v>
      </c>
      <c r="M10077" s="154" t="str">
        <f t="shared" si="842"/>
        <v>Low_Medium_High_Upgraded_Cumulative Energy Demand (CED) - MJ_Clear Cove Primary Clarification; wastewater treatment unit; at updated plant - US_Base_With Amendment_Aerated Static Pile</v>
      </c>
    </row>
    <row r="10078" spans="1:13" s="120" customFormat="1" x14ac:dyDescent="0.25">
      <c r="A10078" s="119"/>
      <c r="B10078" s="138" t="str">
        <f t="shared" si="843"/>
        <v>Aerated Static Pile</v>
      </c>
      <c r="C10078" s="138" t="str">
        <f t="shared" si="844"/>
        <v>Base_With Amendment</v>
      </c>
      <c r="D10078" s="138" t="str">
        <f t="shared" si="847"/>
        <v>Medium_High</v>
      </c>
      <c r="E10078" s="138" t="str">
        <f t="shared" si="841"/>
        <v>Low</v>
      </c>
      <c r="F10078" s="138" t="str">
        <f t="shared" si="845"/>
        <v>Upgraded</v>
      </c>
      <c r="G10078" s="153"/>
      <c r="H10078" s="210">
        <v>0.55840000000000001</v>
      </c>
      <c r="I10078" s="160" t="s">
        <v>58</v>
      </c>
      <c r="J10078" s="160">
        <v>0.88705000000000001</v>
      </c>
      <c r="K10078" s="160" t="s">
        <v>15</v>
      </c>
      <c r="L10078" s="154" t="str">
        <f>IF(OpenLCAbasic!K10078="CTUh", "Fill in Manually",IF(OR(K10078="Unit", K10078=""), "", INDEX(LookUps!$E$5:$E$12, MATCH(OpenLCAbasic!K10078,LookUps!$D$5:$D$12,0))))</f>
        <v>Cumulative Energy Demand (CED) - MJ</v>
      </c>
      <c r="M10078" s="154" t="str">
        <f t="shared" si="842"/>
        <v>Low_Medium_High_Upgraded_Cumulative Energy Demand (CED) - MJ_Pre-Anoxic &amp; Swing tank; wastewater treatment unit; at updated plant - US_Base_With Amendment_Aerated Static Pile</v>
      </c>
    </row>
    <row r="10079" spans="1:13" s="120" customFormat="1" x14ac:dyDescent="0.25">
      <c r="A10079" s="119"/>
      <c r="B10079" s="138" t="str">
        <f t="shared" si="843"/>
        <v>Aerated Static Pile</v>
      </c>
      <c r="C10079" s="138" t="str">
        <f t="shared" si="844"/>
        <v>Base_With Amendment</v>
      </c>
      <c r="D10079" s="138" t="str">
        <f t="shared" si="847"/>
        <v>Medium_High</v>
      </c>
      <c r="E10079" s="138" t="str">
        <f t="shared" si="841"/>
        <v>Low</v>
      </c>
      <c r="F10079" s="138" t="str">
        <f t="shared" si="845"/>
        <v>Upgraded</v>
      </c>
      <c r="G10079" s="153"/>
      <c r="H10079" s="210">
        <v>0.55579999999999996</v>
      </c>
      <c r="I10079" s="160" t="s">
        <v>147</v>
      </c>
      <c r="J10079" s="160">
        <v>0.88297000000000003</v>
      </c>
      <c r="K10079" s="160" t="s">
        <v>15</v>
      </c>
      <c r="L10079" s="154" t="str">
        <f>IF(OpenLCAbasic!K10079="CTUh", "Fill in Manually",IF(OR(K10079="Unit", K10079=""), "", INDEX(LookUps!$E$5:$E$12, MATCH(OpenLCAbasic!K10079,LookUps!$D$5:$D$12,0))))</f>
        <v>Cumulative Energy Demand (CED) - MJ</v>
      </c>
      <c r="M10079" s="154" t="str">
        <f t="shared" si="842"/>
        <v>Low_Medium_High_Upgraded_Cumulative Energy Demand (CED) - MJ_Influent Pump Station; wastewater treatment unit; at updated plant - US_Base_With Amendment_Aerated Static Pile</v>
      </c>
    </row>
    <row r="10080" spans="1:13" s="120" customFormat="1" x14ac:dyDescent="0.25">
      <c r="A10080" s="119"/>
      <c r="B10080" s="138" t="str">
        <f t="shared" si="843"/>
        <v>Aerated Static Pile</v>
      </c>
      <c r="C10080" s="138" t="str">
        <f t="shared" si="844"/>
        <v>Base_With Amendment</v>
      </c>
      <c r="D10080" s="138" t="str">
        <f t="shared" si="847"/>
        <v>Medium_High</v>
      </c>
      <c r="E10080" s="138" t="str">
        <f t="shared" si="841"/>
        <v>Low</v>
      </c>
      <c r="F10080" s="138" t="str">
        <f t="shared" si="845"/>
        <v>Upgraded</v>
      </c>
      <c r="G10080" s="153"/>
      <c r="H10080" s="210">
        <v>0.43840000000000001</v>
      </c>
      <c r="I10080" s="160" t="s">
        <v>53</v>
      </c>
      <c r="J10080" s="160">
        <v>0.69645000000000001</v>
      </c>
      <c r="K10080" s="160" t="s">
        <v>15</v>
      </c>
      <c r="L10080" s="154" t="str">
        <f>IF(OpenLCAbasic!K10080="CTUh", "Fill in Manually",IF(OR(K10080="Unit", K10080=""), "", INDEX(LookUps!$E$5:$E$12, MATCH(OpenLCAbasic!K10080,LookUps!$D$5:$D$12,0))))</f>
        <v>Cumulative Energy Demand (CED) - MJ</v>
      </c>
      <c r="M10080" s="154" t="str">
        <f t="shared" si="842"/>
        <v>Low_Medium_High_Upgraded_Cumulative Energy Demand (CED) - MJ_Wet Well and Sump Station; wastewater treatment unit; at updated plant - US_Base_With Amendment_Aerated Static Pile</v>
      </c>
    </row>
    <row r="10081" spans="1:13" s="120" customFormat="1" x14ac:dyDescent="0.25">
      <c r="A10081" s="119"/>
      <c r="B10081" s="138" t="str">
        <f t="shared" si="843"/>
        <v>Aerated Static Pile</v>
      </c>
      <c r="C10081" s="138" t="str">
        <f t="shared" si="844"/>
        <v>Base_With Amendment</v>
      </c>
      <c r="D10081" s="138" t="str">
        <f t="shared" si="847"/>
        <v>Medium_High</v>
      </c>
      <c r="E10081" s="138" t="str">
        <f t="shared" si="841"/>
        <v>Low</v>
      </c>
      <c r="F10081" s="138" t="str">
        <f t="shared" si="845"/>
        <v>Upgraded</v>
      </c>
      <c r="G10081" s="153"/>
      <c r="H10081" s="210">
        <v>0.23980000000000001</v>
      </c>
      <c r="I10081" s="160" t="s">
        <v>60</v>
      </c>
      <c r="J10081" s="160">
        <v>0.38092999999999999</v>
      </c>
      <c r="K10081" s="160" t="s">
        <v>15</v>
      </c>
      <c r="L10081" s="154" t="str">
        <f>IF(OpenLCAbasic!K10081="CTUh", "Fill in Manually",IF(OR(K10081="Unit", K10081=""), "", INDEX(LookUps!$E$5:$E$12, MATCH(OpenLCAbasic!K10081,LookUps!$D$5:$D$12,0))))</f>
        <v>Cumulative Energy Demand (CED) - MJ</v>
      </c>
      <c r="M10081" s="154" t="str">
        <f t="shared" si="842"/>
        <v>Low_Medium_High_Upgraded_Cumulative Energy Demand (CED) - MJ_Belt filter press; wastewater treatment unit; at updated plant - US_Base_With Amendment_Aerated Static Pile</v>
      </c>
    </row>
    <row r="10082" spans="1:13" s="120" customFormat="1" x14ac:dyDescent="0.25">
      <c r="A10082" s="119"/>
      <c r="B10082" s="138" t="str">
        <f t="shared" si="843"/>
        <v>Aerated Static Pile</v>
      </c>
      <c r="C10082" s="138" t="str">
        <f t="shared" si="844"/>
        <v>Base_With Amendment</v>
      </c>
      <c r="D10082" s="138" t="str">
        <f t="shared" si="847"/>
        <v>Medium_High</v>
      </c>
      <c r="E10082" s="138" t="str">
        <f t="shared" si="841"/>
        <v>Low</v>
      </c>
      <c r="F10082" s="138" t="str">
        <f t="shared" si="845"/>
        <v>Upgraded</v>
      </c>
      <c r="G10082" s="153"/>
      <c r="H10082" s="210">
        <v>0.21029999999999999</v>
      </c>
      <c r="I10082" s="160" t="s">
        <v>57</v>
      </c>
      <c r="J10082" s="160">
        <v>0.33404</v>
      </c>
      <c r="K10082" s="160" t="s">
        <v>15</v>
      </c>
      <c r="L10082" s="154" t="str">
        <f>IF(OpenLCAbasic!K10082="CTUh", "Fill in Manually",IF(OR(K10082="Unit", K10082=""), "", INDEX(LookUps!$E$5:$E$12, MATCH(OpenLCAbasic!K10082,LookUps!$D$5:$D$12,0))))</f>
        <v>Cumulative Energy Demand (CED) - MJ</v>
      </c>
      <c r="M10082" s="154" t="str">
        <f t="shared" si="842"/>
        <v>Low_Medium_High_Upgraded_Cumulative Energy Demand (CED) - MJ_Gravity Belt Thickener; wastewater treatment unit; at updated plant - US_Base_With Amendment_Aerated Static Pile</v>
      </c>
    </row>
    <row r="10083" spans="1:13" s="120" customFormat="1" x14ac:dyDescent="0.25">
      <c r="A10083" s="119"/>
      <c r="B10083" s="138" t="str">
        <f t="shared" si="843"/>
        <v>Aerated Static Pile</v>
      </c>
      <c r="C10083" s="138" t="str">
        <f t="shared" si="844"/>
        <v>Base_With Amendment</v>
      </c>
      <c r="D10083" s="138" t="str">
        <f t="shared" si="847"/>
        <v>Medium_High</v>
      </c>
      <c r="E10083" s="138" t="str">
        <f t="shared" si="841"/>
        <v>Low</v>
      </c>
      <c r="F10083" s="138" t="str">
        <f t="shared" si="845"/>
        <v>Upgraded</v>
      </c>
      <c r="G10083" s="153"/>
      <c r="H10083" s="210">
        <v>0.16120000000000001</v>
      </c>
      <c r="I10083" s="160" t="s">
        <v>128</v>
      </c>
      <c r="J10083" s="160">
        <v>0.25606000000000001</v>
      </c>
      <c r="K10083" s="160" t="s">
        <v>15</v>
      </c>
      <c r="L10083" s="154" t="str">
        <f>IF(OpenLCAbasic!K10083="CTUh", "Fill in Manually",IF(OR(K10083="Unit", K10083=""), "", INDEX(LookUps!$E$5:$E$12, MATCH(OpenLCAbasic!K10083,LookUps!$D$5:$D$12,0))))</f>
        <v>Cumulative Energy Demand (CED) - MJ</v>
      </c>
      <c r="M10083" s="154" t="str">
        <f t="shared" si="842"/>
        <v>Low_Medium_High_Upgraded_Cumulative Energy Demand (CED) - MJ_Wastewater collection; operation and infrastructure; m3 wastewater_Base_With Amendment_Aerated Static Pile</v>
      </c>
    </row>
    <row r="10084" spans="1:13" s="120" customFormat="1" x14ac:dyDescent="0.25">
      <c r="A10084" s="119"/>
      <c r="B10084" s="138" t="str">
        <f t="shared" si="843"/>
        <v>Aerated Static Pile</v>
      </c>
      <c r="C10084" s="138" t="str">
        <f t="shared" si="844"/>
        <v>Base_With Amendment</v>
      </c>
      <c r="D10084" s="138" t="str">
        <f t="shared" si="847"/>
        <v>Medium_High</v>
      </c>
      <c r="E10084" s="138" t="str">
        <f t="shared" si="841"/>
        <v>Low</v>
      </c>
      <c r="F10084" s="138" t="str">
        <f t="shared" si="845"/>
        <v>Upgraded</v>
      </c>
      <c r="G10084" s="153"/>
      <c r="H10084" s="210">
        <v>9.1899999999999996E-2</v>
      </c>
      <c r="I10084" s="160" t="s">
        <v>148</v>
      </c>
      <c r="J10084" s="160">
        <v>0.14599000000000001</v>
      </c>
      <c r="K10084" s="160" t="s">
        <v>15</v>
      </c>
      <c r="L10084" s="154" t="str">
        <f>IF(OpenLCAbasic!K10084="CTUh", "Fill in Manually",IF(OR(K10084="Unit", K10084=""), "", INDEX(LookUps!$E$5:$E$12, MATCH(OpenLCAbasic!K10084,LookUps!$D$5:$D$12,0))))</f>
        <v>Cumulative Energy Demand (CED) - MJ</v>
      </c>
      <c r="M10084" s="154" t="str">
        <f t="shared" si="842"/>
        <v>Low_Medium_High_Upgraded_Cumulative Energy Demand (CED) - MJ_Control Building; at upgraded wastewater treatment plant - US_Base_With Amendment_Aerated Static Pile</v>
      </c>
    </row>
    <row r="10085" spans="1:13" s="120" customFormat="1" x14ac:dyDescent="0.25">
      <c r="A10085" s="119"/>
      <c r="B10085" s="138" t="str">
        <f t="shared" si="843"/>
        <v>Aerated Static Pile</v>
      </c>
      <c r="C10085" s="138" t="str">
        <f t="shared" si="844"/>
        <v>Base_With Amendment</v>
      </c>
      <c r="D10085" s="138" t="str">
        <f t="shared" si="847"/>
        <v>Medium_High</v>
      </c>
      <c r="E10085" s="138" t="str">
        <f t="shared" si="841"/>
        <v>Low</v>
      </c>
      <c r="F10085" s="138" t="str">
        <f t="shared" si="845"/>
        <v>Upgraded</v>
      </c>
      <c r="G10085" s="153"/>
      <c r="H10085" s="210">
        <v>8.3900000000000002E-2</v>
      </c>
      <c r="I10085" s="160" t="s">
        <v>48</v>
      </c>
      <c r="J10085" s="160">
        <v>0.13321</v>
      </c>
      <c r="K10085" s="160" t="s">
        <v>15</v>
      </c>
      <c r="L10085" s="154" t="str">
        <f>IF(OpenLCAbasic!K10085="CTUh", "Fill in Manually",IF(OR(K10085="Unit", K10085=""), "", INDEX(LookUps!$E$5:$E$12, MATCH(OpenLCAbasic!K10085,LookUps!$D$5:$D$12,0))))</f>
        <v>Cumulative Energy Demand (CED) - MJ</v>
      </c>
      <c r="M10085" s="154" t="str">
        <f t="shared" si="842"/>
        <v>Low_Medium_High_Upgraded_Cumulative Energy Demand (CED) - MJ_Effluent release; wastewater treatment unit; at surface water; m3 wastewater - US_Base_With Amendment_Aerated Static Pile</v>
      </c>
    </row>
    <row r="10086" spans="1:13" s="120" customFormat="1" x14ac:dyDescent="0.25">
      <c r="A10086" s="119"/>
      <c r="B10086" s="138" t="str">
        <f t="shared" si="843"/>
        <v>Aerated Static Pile</v>
      </c>
      <c r="C10086" s="138" t="str">
        <f t="shared" si="844"/>
        <v>Base_With Amendment</v>
      </c>
      <c r="D10086" s="138" t="str">
        <f t="shared" si="847"/>
        <v>Medium_High</v>
      </c>
      <c r="E10086" s="138" t="str">
        <f t="shared" si="841"/>
        <v>Low</v>
      </c>
      <c r="F10086" s="138" t="str">
        <f t="shared" si="845"/>
        <v>Upgraded</v>
      </c>
      <c r="G10086" s="153"/>
      <c r="H10086" s="210">
        <v>6.7000000000000004E-2</v>
      </c>
      <c r="I10086" s="160" t="s">
        <v>59</v>
      </c>
      <c r="J10086" s="160">
        <v>0.10638</v>
      </c>
      <c r="K10086" s="160" t="s">
        <v>15</v>
      </c>
      <c r="L10086" s="154" t="str">
        <f>IF(OpenLCAbasic!K10086="CTUh", "Fill in Manually",IF(OR(K10086="Unit", K10086=""), "", INDEX(LookUps!$E$5:$E$12, MATCH(OpenLCAbasic!K10086,LookUps!$D$5:$D$12,0))))</f>
        <v>Cumulative Energy Demand (CED) - MJ</v>
      </c>
      <c r="M10086" s="154" t="str">
        <f t="shared" si="842"/>
        <v>Low_Medium_High_Upgraded_Cumulative Energy Demand (CED) - MJ_Blend Tank; wastewater treatment unit; at updated plant - US_Base_With Amendment_Aerated Static Pile</v>
      </c>
    </row>
    <row r="10087" spans="1:13" s="120" customFormat="1" x14ac:dyDescent="0.25">
      <c r="A10087" s="119"/>
      <c r="B10087" s="138" t="str">
        <f t="shared" si="843"/>
        <v>Aerated Static Pile</v>
      </c>
      <c r="C10087" s="138" t="str">
        <f t="shared" si="844"/>
        <v>Base_With Amendment</v>
      </c>
      <c r="D10087" s="138" t="str">
        <f t="shared" si="847"/>
        <v>Medium_High</v>
      </c>
      <c r="E10087" s="138" t="str">
        <f t="shared" si="841"/>
        <v>Low</v>
      </c>
      <c r="F10087" s="138" t="str">
        <f t="shared" si="845"/>
        <v>Upgraded</v>
      </c>
      <c r="G10087" s="153"/>
      <c r="H10087" s="210">
        <v>3.2099999999999997E-2</v>
      </c>
      <c r="I10087" s="160" t="s">
        <v>168</v>
      </c>
      <c r="J10087" s="160">
        <v>5.0930000000000003E-2</v>
      </c>
      <c r="K10087" s="160" t="s">
        <v>15</v>
      </c>
      <c r="L10087" s="154" t="str">
        <f>IF(OpenLCAbasic!K10087="CTUh", "Fill in Manually",IF(OR(K10087="Unit", K10087=""), "", INDEX(LookUps!$E$5:$E$12, MATCH(OpenLCAbasic!K10087,LookUps!$D$5:$D$12,0))))</f>
        <v>Cumulative Energy Demand (CED) - MJ</v>
      </c>
      <c r="M10087" s="154" t="str">
        <f t="shared" si="842"/>
        <v>Low_Medium_High_Upgraded_Cumulative Energy Demand (CED) - MJ_ClearCove SCP; wastewater treatment unit; at updated plant - US_Base_With Amendment_Aerated Static Pile</v>
      </c>
    </row>
    <row r="10088" spans="1:13" s="120" customFormat="1" x14ac:dyDescent="0.25">
      <c r="A10088" s="119"/>
      <c r="B10088" s="138" t="str">
        <f t="shared" si="843"/>
        <v>Aerated Static Pile</v>
      </c>
      <c r="C10088" s="138" t="str">
        <f t="shared" si="844"/>
        <v>Base_With Amendment</v>
      </c>
      <c r="D10088" s="138" t="str">
        <f t="shared" si="847"/>
        <v>Medium_High</v>
      </c>
      <c r="E10088" s="138" t="str">
        <f t="shared" si="841"/>
        <v>Low</v>
      </c>
      <c r="F10088" s="138" t="str">
        <f t="shared" si="845"/>
        <v>Upgraded</v>
      </c>
      <c r="G10088" s="153"/>
      <c r="H10088" s="210">
        <v>-0.39460000000000001</v>
      </c>
      <c r="I10088" s="160" t="s">
        <v>62</v>
      </c>
      <c r="J10088" s="160">
        <v>-0.62687000000000004</v>
      </c>
      <c r="K10088" s="160" t="s">
        <v>15</v>
      </c>
      <c r="L10088" s="154" t="str">
        <f>IF(OpenLCAbasic!K10088="CTUh", "Fill in Manually",IF(OR(K10088="Unit", K10088=""), "", INDEX(LookUps!$E$5:$E$12, MATCH(OpenLCAbasic!K10088,LookUps!$D$5:$D$12,0))))</f>
        <v>Cumulative Energy Demand (CED) - MJ</v>
      </c>
      <c r="M10088" s="154" t="str">
        <f t="shared" si="842"/>
        <v>Low_Medium_High_Upgraded_Cumulative Energy Demand (CED) - MJ_Land application of compost; wastewater treatment unit; at updated plant - US_Base_With Amendment_Aerated Static Pile</v>
      </c>
    </row>
    <row r="10089" spans="1:13" s="120" customFormat="1" x14ac:dyDescent="0.25">
      <c r="A10089" s="119"/>
      <c r="B10089" s="138" t="str">
        <f t="shared" si="843"/>
        <v>Aerated Static Pile</v>
      </c>
      <c r="C10089" s="138" t="str">
        <f t="shared" si="844"/>
        <v>Base_With Amendment</v>
      </c>
      <c r="D10089" s="138" t="str">
        <f t="shared" si="847"/>
        <v>Medium_High</v>
      </c>
      <c r="E10089" s="138" t="str">
        <f t="shared" ref="E10089:E10152" si="848">IF(ISNUMBER($J10089),"Low","")</f>
        <v>Low</v>
      </c>
      <c r="F10089" s="138" t="str">
        <f t="shared" si="845"/>
        <v>Upgraded</v>
      </c>
      <c r="G10089" s="153"/>
      <c r="H10089" s="210">
        <v>-9.7392000000000003</v>
      </c>
      <c r="I10089" s="160" t="s">
        <v>149</v>
      </c>
      <c r="J10089" s="160">
        <v>-15.471780000000001</v>
      </c>
      <c r="K10089" s="160" t="s">
        <v>15</v>
      </c>
      <c r="L10089" s="154" t="str">
        <f>IF(OpenLCAbasic!K10089="CTUh", "Fill in Manually",IF(OR(K10089="Unit", K10089=""), "", INDEX(LookUps!$E$5:$E$12, MATCH(OpenLCAbasic!K10089,LookUps!$D$5:$D$12,0))))</f>
        <v>Cumulative Energy Demand (CED) - MJ</v>
      </c>
      <c r="M10089" s="154" t="str">
        <f t="shared" si="842"/>
        <v>Low_Medium_High_Upgraded_Cumulative Energy Demand (CED) - MJ_Anaerobic Digestion; wastewater treatment unit; at updated plant - US_Base_With Amendment_Aerated Static Pile</v>
      </c>
    </row>
    <row r="10090" spans="1:13" s="120" customFormat="1" x14ac:dyDescent="0.25">
      <c r="A10090" s="119"/>
      <c r="B10090" s="138" t="str">
        <f t="shared" si="843"/>
        <v/>
      </c>
      <c r="C10090" s="138" t="str">
        <f t="shared" si="844"/>
        <v/>
      </c>
      <c r="D10090" s="138" t="str">
        <f t="shared" si="847"/>
        <v/>
      </c>
      <c r="E10090" s="138" t="str">
        <f t="shared" si="848"/>
        <v/>
      </c>
      <c r="F10090" s="138" t="str">
        <f t="shared" si="845"/>
        <v/>
      </c>
      <c r="G10090" s="153" t="s">
        <v>51</v>
      </c>
      <c r="H10090" s="160"/>
      <c r="I10090" s="160" t="s">
        <v>47</v>
      </c>
      <c r="J10090" s="160" t="s">
        <v>52</v>
      </c>
      <c r="K10090" s="160" t="s">
        <v>27</v>
      </c>
      <c r="L10090" s="154" t="str">
        <f>IF(OpenLCAbasic!K10090="CTUh", "Fill in Manually",IF(OR(K10090="Unit", K10090=""), "", INDEX(LookUps!$E$5:$E$12, MATCH(OpenLCAbasic!K10090,LookUps!$D$5:$D$12,0))))</f>
        <v/>
      </c>
      <c r="M10090" s="154" t="str">
        <f t="shared" si="842"/>
        <v>____Process__</v>
      </c>
    </row>
    <row r="10091" spans="1:13" s="120" customFormat="1" x14ac:dyDescent="0.25">
      <c r="A10091" s="119"/>
      <c r="B10091" s="138" t="str">
        <f t="shared" si="843"/>
        <v>Aerated Static Pile</v>
      </c>
      <c r="C10091" s="138" t="str">
        <f t="shared" si="844"/>
        <v>Base_With Amendment</v>
      </c>
      <c r="D10091" s="138" t="str">
        <f t="shared" si="847"/>
        <v>Medium_High</v>
      </c>
      <c r="E10091" s="138" t="str">
        <f t="shared" si="848"/>
        <v>Low</v>
      </c>
      <c r="F10091" s="138" t="str">
        <f t="shared" si="845"/>
        <v>Upgraded</v>
      </c>
      <c r="G10091" s="153"/>
      <c r="H10091" s="210">
        <v>0.79749999999999999</v>
      </c>
      <c r="I10091" s="160" t="s">
        <v>48</v>
      </c>
      <c r="J10091" s="160">
        <v>1.1610000000000001E-2</v>
      </c>
      <c r="K10091" s="160" t="s">
        <v>13</v>
      </c>
      <c r="L10091" s="154" t="str">
        <f>IF(OpenLCAbasic!K10091="CTUh", "Fill in Manually",IF(OR(K10091="Unit", K10091=""), "", INDEX(LookUps!$E$5:$E$12, MATCH(OpenLCAbasic!K10091,LookUps!$D$5:$D$12,0))))</f>
        <v>Eutrophication Potential (EP) - kg N eq</v>
      </c>
      <c r="M10091" s="154" t="str">
        <f t="shared" si="842"/>
        <v>Low_Medium_High_Upgraded_Eutrophication Potential (EP) - kg N eq_Effluent release; wastewater treatment unit; at surface water; m3 wastewater - US_Base_With Amendment_Aerated Static Pile</v>
      </c>
    </row>
    <row r="10092" spans="1:13" s="120" customFormat="1" x14ac:dyDescent="0.25">
      <c r="A10092" s="119"/>
      <c r="B10092" s="138" t="str">
        <f t="shared" si="843"/>
        <v>Aerated Static Pile</v>
      </c>
      <c r="C10092" s="138" t="str">
        <f t="shared" si="844"/>
        <v>Base_With Amendment</v>
      </c>
      <c r="D10092" s="138" t="str">
        <f t="shared" si="847"/>
        <v>Medium_High</v>
      </c>
      <c r="E10092" s="138" t="str">
        <f t="shared" si="848"/>
        <v>Low</v>
      </c>
      <c r="F10092" s="138" t="str">
        <f t="shared" si="845"/>
        <v>Upgraded</v>
      </c>
      <c r="G10092" s="153"/>
      <c r="H10092" s="210">
        <v>0.19370000000000001</v>
      </c>
      <c r="I10092" s="160" t="s">
        <v>62</v>
      </c>
      <c r="J10092" s="160">
        <v>2.82E-3</v>
      </c>
      <c r="K10092" s="160" t="s">
        <v>13</v>
      </c>
      <c r="L10092" s="154" t="str">
        <f>IF(OpenLCAbasic!K10092="CTUh", "Fill in Manually",IF(OR(K10092="Unit", K10092=""), "", INDEX(LookUps!$E$5:$E$12, MATCH(OpenLCAbasic!K10092,LookUps!$D$5:$D$12,0))))</f>
        <v>Eutrophication Potential (EP) - kg N eq</v>
      </c>
      <c r="M10092" s="154" t="str">
        <f t="shared" si="842"/>
        <v>Low_Medium_High_Upgraded_Eutrophication Potential (EP) - kg N eq_Land application of compost; wastewater treatment unit; at updated plant - US_Base_With Amendment_Aerated Static Pile</v>
      </c>
    </row>
    <row r="10093" spans="1:13" s="120" customFormat="1" x14ac:dyDescent="0.25">
      <c r="A10093" s="119"/>
      <c r="B10093" s="138" t="str">
        <f t="shared" si="843"/>
        <v>Aerated Static Pile</v>
      </c>
      <c r="C10093" s="138" t="str">
        <f t="shared" si="844"/>
        <v>Base_With Amendment</v>
      </c>
      <c r="D10093" s="138" t="str">
        <f t="shared" si="847"/>
        <v>Medium_High</v>
      </c>
      <c r="E10093" s="138" t="str">
        <f t="shared" si="848"/>
        <v>Low</v>
      </c>
      <c r="F10093" s="138" t="str">
        <f t="shared" si="845"/>
        <v>Upgraded</v>
      </c>
      <c r="G10093" s="153"/>
      <c r="H10093" s="210">
        <v>3.7499999999999999E-2</v>
      </c>
      <c r="I10093" s="160" t="s">
        <v>55</v>
      </c>
      <c r="J10093" s="160">
        <v>5.5000000000000003E-4</v>
      </c>
      <c r="K10093" s="160" t="s">
        <v>13</v>
      </c>
      <c r="L10093" s="154" t="str">
        <f>IF(OpenLCAbasic!K10093="CTUh", "Fill in Manually",IF(OR(K10093="Unit", K10093=""), "", INDEX(LookUps!$E$5:$E$12, MATCH(OpenLCAbasic!K10093,LookUps!$D$5:$D$12,0))))</f>
        <v>Eutrophication Potential (EP) - kg N eq</v>
      </c>
      <c r="M10093" s="154" t="str">
        <f t="shared" si="842"/>
        <v>Low_Medium_High_Upgraded_Eutrophication Potential (EP) - kg N eq_Aeration Tanks; wastewater treatment unit; at updated plant - US_Base_With Amendment_Aerated Static Pile</v>
      </c>
    </row>
    <row r="10094" spans="1:13" s="120" customFormat="1" x14ac:dyDescent="0.25">
      <c r="A10094" s="119"/>
      <c r="B10094" s="138" t="str">
        <f t="shared" si="843"/>
        <v>Aerated Static Pile</v>
      </c>
      <c r="C10094" s="138" t="str">
        <f t="shared" si="844"/>
        <v>Base_With Amendment</v>
      </c>
      <c r="D10094" s="138" t="str">
        <f t="shared" si="847"/>
        <v>Medium_High</v>
      </c>
      <c r="E10094" s="138" t="str">
        <f t="shared" si="848"/>
        <v>Low</v>
      </c>
      <c r="F10094" s="138" t="str">
        <f t="shared" si="845"/>
        <v>Upgraded</v>
      </c>
      <c r="G10094" s="153"/>
      <c r="H10094" s="210">
        <v>1.7500000000000002E-2</v>
      </c>
      <c r="I10094" s="160" t="s">
        <v>435</v>
      </c>
      <c r="J10094" s="160">
        <v>2.5000000000000001E-4</v>
      </c>
      <c r="K10094" s="160" t="s">
        <v>13</v>
      </c>
      <c r="L10094" s="154" t="str">
        <f>IF(OpenLCAbasic!K10094="CTUh", "Fill in Manually",IF(OR(K10094="Unit", K10094=""), "", INDEX(LookUps!$E$5:$E$12, MATCH(OpenLCAbasic!K10094,LookUps!$D$5:$D$12,0))))</f>
        <v>Eutrophication Potential (EP) - kg N eq</v>
      </c>
      <c r="M10094" s="154" t="str">
        <f t="shared" si="842"/>
        <v>Low_Medium_High_Upgraded_Eutrophication Potential (EP) - kg N eq_Biosolids composting; aerated static pile; wastewater treatment unit; at updated plant - US_Base_With Amendment_Aerated Static Pile</v>
      </c>
    </row>
    <row r="10095" spans="1:13" s="120" customFormat="1" x14ac:dyDescent="0.25">
      <c r="A10095" s="119"/>
      <c r="B10095" s="138" t="str">
        <f t="shared" si="843"/>
        <v>Aerated Static Pile</v>
      </c>
      <c r="C10095" s="138" t="str">
        <f t="shared" si="844"/>
        <v>Base_With Amendment</v>
      </c>
      <c r="D10095" s="138" t="str">
        <f t="shared" si="847"/>
        <v>Medium_High</v>
      </c>
      <c r="E10095" s="138" t="str">
        <f t="shared" si="848"/>
        <v>Low</v>
      </c>
      <c r="F10095" s="138" t="str">
        <f t="shared" si="845"/>
        <v>Upgraded</v>
      </c>
      <c r="G10095" s="153"/>
      <c r="H10095" s="210">
        <v>1.7100000000000001E-2</v>
      </c>
      <c r="I10095" s="160" t="s">
        <v>147</v>
      </c>
      <c r="J10095" s="160">
        <v>2.5000000000000001E-4</v>
      </c>
      <c r="K10095" s="160" t="s">
        <v>13</v>
      </c>
      <c r="L10095" s="154" t="str">
        <f>IF(OpenLCAbasic!K10095="CTUh", "Fill in Manually",IF(OR(K10095="Unit", K10095=""), "", INDEX(LookUps!$E$5:$E$12, MATCH(OpenLCAbasic!K10095,LookUps!$D$5:$D$12,0))))</f>
        <v>Eutrophication Potential (EP) - kg N eq</v>
      </c>
      <c r="M10095" s="154" t="str">
        <f t="shared" si="842"/>
        <v>Low_Medium_High_Upgraded_Eutrophication Potential (EP) - kg N eq_Influent Pump Station; wastewater treatment unit; at updated plant - US_Base_With Amendment_Aerated Static Pile</v>
      </c>
    </row>
    <row r="10096" spans="1:13" s="120" customFormat="1" x14ac:dyDescent="0.25">
      <c r="A10096" s="119"/>
      <c r="B10096" s="138" t="str">
        <f t="shared" si="843"/>
        <v>Aerated Static Pile</v>
      </c>
      <c r="C10096" s="138" t="str">
        <f t="shared" si="844"/>
        <v>Base_With Amendment</v>
      </c>
      <c r="D10096" s="138" t="str">
        <f t="shared" si="847"/>
        <v>Medium_High</v>
      </c>
      <c r="E10096" s="138" t="str">
        <f t="shared" si="848"/>
        <v>Low</v>
      </c>
      <c r="F10096" s="138" t="str">
        <f t="shared" si="845"/>
        <v>Upgraded</v>
      </c>
      <c r="G10096" s="153"/>
      <c r="H10096" s="210">
        <v>1.3599999999999999E-2</v>
      </c>
      <c r="I10096" s="160" t="s">
        <v>54</v>
      </c>
      <c r="J10096" s="160">
        <v>2.0000000000000001E-4</v>
      </c>
      <c r="K10096" s="160" t="s">
        <v>13</v>
      </c>
      <c r="L10096" s="154" t="str">
        <f>IF(OpenLCAbasic!K10096="CTUh", "Fill in Manually",IF(OR(K10096="Unit", K10096=""), "", INDEX(LookUps!$E$5:$E$12, MATCH(OpenLCAbasic!K10096,LookUps!$D$5:$D$12,0))))</f>
        <v>Eutrophication Potential (EP) - kg N eq</v>
      </c>
      <c r="M10096" s="154" t="str">
        <f t="shared" si="842"/>
        <v>Low_Medium_High_Upgraded_Eutrophication Potential (EP) - kg N eq_Clear Cove Primary Clarification; wastewater treatment unit; at updated plant - US_Base_With Amendment_Aerated Static Pile</v>
      </c>
    </row>
    <row r="10097" spans="1:13" s="120" customFormat="1" x14ac:dyDescent="0.25">
      <c r="A10097" s="119"/>
      <c r="B10097" s="138" t="str">
        <f t="shared" si="843"/>
        <v>Aerated Static Pile</v>
      </c>
      <c r="C10097" s="138" t="str">
        <f t="shared" si="844"/>
        <v>Base_With Amendment</v>
      </c>
      <c r="D10097" s="138" t="str">
        <f t="shared" si="847"/>
        <v>Medium_High</v>
      </c>
      <c r="E10097" s="138" t="str">
        <f t="shared" si="848"/>
        <v>Low</v>
      </c>
      <c r="F10097" s="138" t="str">
        <f t="shared" si="845"/>
        <v>Upgraded</v>
      </c>
      <c r="G10097" s="153"/>
      <c r="H10097" s="210">
        <v>1.3100000000000001E-2</v>
      </c>
      <c r="I10097" s="160" t="s">
        <v>167</v>
      </c>
      <c r="J10097" s="160">
        <v>1.9000000000000001E-4</v>
      </c>
      <c r="K10097" s="160" t="s">
        <v>13</v>
      </c>
      <c r="L10097" s="154" t="str">
        <f>IF(OpenLCAbasic!K10097="CTUh", "Fill in Manually",IF(OR(K10097="Unit", K10097=""), "", INDEX(LookUps!$E$5:$E$12, MATCH(OpenLCAbasic!K10097,LookUps!$D$5:$D$12,0))))</f>
        <v>Eutrophication Potential (EP) - kg N eq</v>
      </c>
      <c r="M10097" s="154" t="str">
        <f t="shared" si="842"/>
        <v>Low_Medium_High_Upgraded_Eutrophication Potential (EP) - kg N eq_Waste Receiving and Holding; wastewater treatment unit; at updated plant - US_Base_With Amendment_Aerated Static Pile</v>
      </c>
    </row>
    <row r="10098" spans="1:13" s="120" customFormat="1" x14ac:dyDescent="0.25">
      <c r="A10098" s="119"/>
      <c r="B10098" s="138" t="str">
        <f t="shared" si="843"/>
        <v>Aerated Static Pile</v>
      </c>
      <c r="C10098" s="138" t="str">
        <f t="shared" si="844"/>
        <v>Base_With Amendment</v>
      </c>
      <c r="D10098" s="138" t="str">
        <f t="shared" si="847"/>
        <v>Medium_High</v>
      </c>
      <c r="E10098" s="138" t="str">
        <f t="shared" si="848"/>
        <v>Low</v>
      </c>
      <c r="F10098" s="138" t="str">
        <f t="shared" si="845"/>
        <v>Upgraded</v>
      </c>
      <c r="G10098" s="153"/>
      <c r="H10098" s="210">
        <v>9.2999999999999992E-3</v>
      </c>
      <c r="I10098" s="160" t="s">
        <v>58</v>
      </c>
      <c r="J10098" s="160">
        <v>1.3999999999999999E-4</v>
      </c>
      <c r="K10098" s="160" t="s">
        <v>13</v>
      </c>
      <c r="L10098" s="154" t="str">
        <f>IF(OpenLCAbasic!K10098="CTUh", "Fill in Manually",IF(OR(K10098="Unit", K10098=""), "", INDEX(LookUps!$E$5:$E$12, MATCH(OpenLCAbasic!K10098,LookUps!$D$5:$D$12,0))))</f>
        <v>Eutrophication Potential (EP) - kg N eq</v>
      </c>
      <c r="M10098" s="154" t="str">
        <f t="shared" si="842"/>
        <v>Low_Medium_High_Upgraded_Eutrophication Potential (EP) - kg N eq_Pre-Anoxic &amp; Swing tank; wastewater treatment unit; at updated plant - US_Base_With Amendment_Aerated Static Pile</v>
      </c>
    </row>
    <row r="10099" spans="1:13" s="120" customFormat="1" x14ac:dyDescent="0.25">
      <c r="A10099" s="119"/>
      <c r="B10099" s="138" t="str">
        <f t="shared" si="843"/>
        <v>Aerated Static Pile</v>
      </c>
      <c r="C10099" s="138" t="str">
        <f t="shared" si="844"/>
        <v>Base_With Amendment</v>
      </c>
      <c r="D10099" s="138" t="str">
        <f t="shared" si="847"/>
        <v>Medium_High</v>
      </c>
      <c r="E10099" s="138" t="str">
        <f t="shared" si="848"/>
        <v>Low</v>
      </c>
      <c r="F10099" s="138" t="str">
        <f t="shared" si="845"/>
        <v>Upgraded</v>
      </c>
      <c r="G10099" s="153"/>
      <c r="H10099" s="210">
        <v>7.4000000000000003E-3</v>
      </c>
      <c r="I10099" s="160" t="s">
        <v>53</v>
      </c>
      <c r="J10099" s="160">
        <v>1.1E-4</v>
      </c>
      <c r="K10099" s="160" t="s">
        <v>13</v>
      </c>
      <c r="L10099" s="154" t="str">
        <f>IF(OpenLCAbasic!K10099="CTUh", "Fill in Manually",IF(OR(K10099="Unit", K10099=""), "", INDEX(LookUps!$E$5:$E$12, MATCH(OpenLCAbasic!K10099,LookUps!$D$5:$D$12,0))))</f>
        <v>Eutrophication Potential (EP) - kg N eq</v>
      </c>
      <c r="M10099" s="154" t="str">
        <f t="shared" ref="M10099:M10162" si="849">CONCATENATE(E10099,"_",D10099,"_",F10099,"_",L10099, "_",I10099,"_", C10099,"_", B10099)</f>
        <v>Low_Medium_High_Upgraded_Eutrophication Potential (EP) - kg N eq_Wet Well and Sump Station; wastewater treatment unit; at updated plant - US_Base_With Amendment_Aerated Static Pile</v>
      </c>
    </row>
    <row r="10100" spans="1:13" s="120" customFormat="1" x14ac:dyDescent="0.25">
      <c r="A10100" s="119"/>
      <c r="B10100" s="138" t="str">
        <f t="shared" si="843"/>
        <v>Aerated Static Pile</v>
      </c>
      <c r="C10100" s="138" t="str">
        <f t="shared" si="844"/>
        <v>Base_With Amendment</v>
      </c>
      <c r="D10100" s="138" t="str">
        <f t="shared" si="847"/>
        <v>Medium_High</v>
      </c>
      <c r="E10100" s="138" t="str">
        <f t="shared" si="848"/>
        <v>Low</v>
      </c>
      <c r="F10100" s="138" t="str">
        <f t="shared" si="845"/>
        <v>Upgraded</v>
      </c>
      <c r="G10100" s="153"/>
      <c r="H10100" s="210">
        <v>4.5999999999999999E-3</v>
      </c>
      <c r="I10100" s="160" t="s">
        <v>60</v>
      </c>
      <c r="J10100" s="211">
        <v>6.69155E-5</v>
      </c>
      <c r="K10100" s="160" t="s">
        <v>13</v>
      </c>
      <c r="L10100" s="154" t="str">
        <f>IF(OpenLCAbasic!K10100="CTUh", "Fill in Manually",IF(OR(K10100="Unit", K10100=""), "", INDEX(LookUps!$E$5:$E$12, MATCH(OpenLCAbasic!K10100,LookUps!$D$5:$D$12,0))))</f>
        <v>Eutrophication Potential (EP) - kg N eq</v>
      </c>
      <c r="M10100" s="154" t="str">
        <f t="shared" si="849"/>
        <v>Low_Medium_High_Upgraded_Eutrophication Potential (EP) - kg N eq_Belt filter press; wastewater treatment unit; at updated plant - US_Base_With Amendment_Aerated Static Pile</v>
      </c>
    </row>
    <row r="10101" spans="1:13" s="120" customFormat="1" x14ac:dyDescent="0.25">
      <c r="A10101" s="119"/>
      <c r="B10101" s="138" t="str">
        <f t="shared" si="843"/>
        <v>Aerated Static Pile</v>
      </c>
      <c r="C10101" s="138" t="str">
        <f t="shared" si="844"/>
        <v>Base_With Amendment</v>
      </c>
      <c r="D10101" s="138" t="str">
        <f t="shared" si="847"/>
        <v>Medium_High</v>
      </c>
      <c r="E10101" s="138" t="str">
        <f t="shared" si="848"/>
        <v>Low</v>
      </c>
      <c r="F10101" s="138" t="str">
        <f t="shared" si="845"/>
        <v>Upgraded</v>
      </c>
      <c r="G10101" s="153"/>
      <c r="H10101" s="210">
        <v>4.1999999999999997E-3</v>
      </c>
      <c r="I10101" s="160" t="s">
        <v>57</v>
      </c>
      <c r="J10101" s="211">
        <v>6.0590300000000002E-5</v>
      </c>
      <c r="K10101" s="160" t="s">
        <v>13</v>
      </c>
      <c r="L10101" s="154" t="str">
        <f>IF(OpenLCAbasic!K10101="CTUh", "Fill in Manually",IF(OR(K10101="Unit", K10101=""), "", INDEX(LookUps!$E$5:$E$12, MATCH(OpenLCAbasic!K10101,LookUps!$D$5:$D$12,0))))</f>
        <v>Eutrophication Potential (EP) - kg N eq</v>
      </c>
      <c r="M10101" s="154" t="str">
        <f t="shared" si="849"/>
        <v>Low_Medium_High_Upgraded_Eutrophication Potential (EP) - kg N eq_Gravity Belt Thickener; wastewater treatment unit; at updated plant - US_Base_With Amendment_Aerated Static Pile</v>
      </c>
    </row>
    <row r="10102" spans="1:13" s="120" customFormat="1" x14ac:dyDescent="0.25">
      <c r="A10102" s="119"/>
      <c r="B10102" s="138" t="str">
        <f t="shared" si="843"/>
        <v>Aerated Static Pile</v>
      </c>
      <c r="C10102" s="138" t="str">
        <f t="shared" si="844"/>
        <v>Base_With Amendment</v>
      </c>
      <c r="D10102" s="138" t="str">
        <f t="shared" si="847"/>
        <v>Medium_High</v>
      </c>
      <c r="E10102" s="138" t="str">
        <f t="shared" si="848"/>
        <v>Low</v>
      </c>
      <c r="F10102" s="138" t="str">
        <f t="shared" si="845"/>
        <v>Upgraded</v>
      </c>
      <c r="G10102" s="153"/>
      <c r="H10102" s="210">
        <v>2.5999999999999999E-3</v>
      </c>
      <c r="I10102" s="160" t="s">
        <v>128</v>
      </c>
      <c r="J10102" s="211">
        <v>3.7559799999999999E-5</v>
      </c>
      <c r="K10102" s="160" t="s">
        <v>13</v>
      </c>
      <c r="L10102" s="154" t="str">
        <f>IF(OpenLCAbasic!K10102="CTUh", "Fill in Manually",IF(OR(K10102="Unit", K10102=""), "", INDEX(LookUps!$E$5:$E$12, MATCH(OpenLCAbasic!K10102,LookUps!$D$5:$D$12,0))))</f>
        <v>Eutrophication Potential (EP) - kg N eq</v>
      </c>
      <c r="M10102" s="154" t="str">
        <f t="shared" si="849"/>
        <v>Low_Medium_High_Upgraded_Eutrophication Potential (EP) - kg N eq_Wastewater collection; operation and infrastructure; m3 wastewater_Base_With Amendment_Aerated Static Pile</v>
      </c>
    </row>
    <row r="10103" spans="1:13" s="120" customFormat="1" x14ac:dyDescent="0.25">
      <c r="A10103" s="119"/>
      <c r="B10103" s="138" t="str">
        <f t="shared" si="843"/>
        <v>Aerated Static Pile</v>
      </c>
      <c r="C10103" s="138" t="str">
        <f t="shared" si="844"/>
        <v>Base_With Amendment</v>
      </c>
      <c r="D10103" s="138" t="str">
        <f t="shared" si="847"/>
        <v>Medium_High</v>
      </c>
      <c r="E10103" s="138" t="str">
        <f t="shared" si="848"/>
        <v>Low</v>
      </c>
      <c r="F10103" s="138" t="str">
        <f t="shared" si="845"/>
        <v>Upgraded</v>
      </c>
      <c r="G10103" s="153"/>
      <c r="H10103" s="210">
        <v>2.5000000000000001E-3</v>
      </c>
      <c r="I10103" s="160" t="s">
        <v>148</v>
      </c>
      <c r="J10103" s="211">
        <v>3.6874600000000001E-5</v>
      </c>
      <c r="K10103" s="160" t="s">
        <v>13</v>
      </c>
      <c r="L10103" s="154" t="str">
        <f>IF(OpenLCAbasic!K10103="CTUh", "Fill in Manually",IF(OR(K10103="Unit", K10103=""), "", INDEX(LookUps!$E$5:$E$12, MATCH(OpenLCAbasic!K10103,LookUps!$D$5:$D$12,0))))</f>
        <v>Eutrophication Potential (EP) - kg N eq</v>
      </c>
      <c r="M10103" s="154" t="str">
        <f t="shared" si="849"/>
        <v>Low_Medium_High_Upgraded_Eutrophication Potential (EP) - kg N eq_Control Building; at upgraded wastewater treatment plant - US_Base_With Amendment_Aerated Static Pile</v>
      </c>
    </row>
    <row r="10104" spans="1:13" s="120" customFormat="1" x14ac:dyDescent="0.25">
      <c r="A10104" s="119"/>
      <c r="B10104" s="138" t="str">
        <f t="shared" si="843"/>
        <v>Aerated Static Pile</v>
      </c>
      <c r="C10104" s="138" t="str">
        <f t="shared" si="844"/>
        <v>Base_With Amendment</v>
      </c>
      <c r="D10104" s="138" t="str">
        <f t="shared" si="847"/>
        <v>Medium_High</v>
      </c>
      <c r="E10104" s="138" t="str">
        <f t="shared" si="848"/>
        <v>Low</v>
      </c>
      <c r="F10104" s="138" t="str">
        <f t="shared" si="845"/>
        <v>Upgraded</v>
      </c>
      <c r="G10104" s="153"/>
      <c r="H10104" s="210">
        <v>1.1000000000000001E-3</v>
      </c>
      <c r="I10104" s="160" t="s">
        <v>59</v>
      </c>
      <c r="J10104" s="211">
        <v>1.6215700000000001E-5</v>
      </c>
      <c r="K10104" s="160" t="s">
        <v>13</v>
      </c>
      <c r="L10104" s="154" t="str">
        <f>IF(OpenLCAbasic!K10104="CTUh", "Fill in Manually",IF(OR(K10104="Unit", K10104=""), "", INDEX(LookUps!$E$5:$E$12, MATCH(OpenLCAbasic!K10104,LookUps!$D$5:$D$12,0))))</f>
        <v>Eutrophication Potential (EP) - kg N eq</v>
      </c>
      <c r="M10104" s="154" t="str">
        <f t="shared" si="849"/>
        <v>Low_Medium_High_Upgraded_Eutrophication Potential (EP) - kg N eq_Blend Tank; wastewater treatment unit; at updated plant - US_Base_With Amendment_Aerated Static Pile</v>
      </c>
    </row>
    <row r="10105" spans="1:13" s="120" customFormat="1" x14ac:dyDescent="0.25">
      <c r="A10105" s="119"/>
      <c r="B10105" s="138" t="str">
        <f t="shared" ref="B10105:B10168" si="850">IF(F10105="Legacy","n.a.",IF(F10105="","","Aerated Static Pile"))</f>
        <v>Aerated Static Pile</v>
      </c>
      <c r="C10105" s="138" t="str">
        <f t="shared" ref="C10105:C10168" si="851">IF(ISNUMBER($J10105),"Base_With Amendment","")</f>
        <v>Base_With Amendment</v>
      </c>
      <c r="D10105" s="138" t="str">
        <f t="shared" si="847"/>
        <v>Medium_High</v>
      </c>
      <c r="E10105" s="138" t="str">
        <f t="shared" si="848"/>
        <v>Low</v>
      </c>
      <c r="F10105" s="138" t="str">
        <f t="shared" ref="F10105:F10168" si="852">IF(ISNUMBER(J10105),"Upgraded","")</f>
        <v>Upgraded</v>
      </c>
      <c r="G10105" s="153"/>
      <c r="H10105" s="210">
        <v>5.0000000000000001E-4</v>
      </c>
      <c r="I10105" s="160" t="s">
        <v>168</v>
      </c>
      <c r="J10105" s="211">
        <v>7.7567199999999995E-6</v>
      </c>
      <c r="K10105" s="160" t="s">
        <v>13</v>
      </c>
      <c r="L10105" s="154" t="str">
        <f>IF(OpenLCAbasic!K10105="CTUh", "Fill in Manually",IF(OR(K10105="Unit", K10105=""), "", INDEX(LookUps!$E$5:$E$12, MATCH(OpenLCAbasic!K10105,LookUps!$D$5:$D$12,0))))</f>
        <v>Eutrophication Potential (EP) - kg N eq</v>
      </c>
      <c r="M10105" s="154" t="str">
        <f t="shared" si="849"/>
        <v>Low_Medium_High_Upgraded_Eutrophication Potential (EP) - kg N eq_ClearCove SCP; wastewater treatment unit; at updated plant - US_Base_With Amendment_Aerated Static Pile</v>
      </c>
    </row>
    <row r="10106" spans="1:13" s="120" customFormat="1" x14ac:dyDescent="0.25">
      <c r="A10106" s="119"/>
      <c r="B10106" s="138" t="str">
        <f t="shared" si="850"/>
        <v>Aerated Static Pile</v>
      </c>
      <c r="C10106" s="138" t="str">
        <f t="shared" si="851"/>
        <v>Base_With Amendment</v>
      </c>
      <c r="D10106" s="138" t="str">
        <f t="shared" si="847"/>
        <v>Medium_High</v>
      </c>
      <c r="E10106" s="138" t="str">
        <f t="shared" si="848"/>
        <v>Low</v>
      </c>
      <c r="F10106" s="138" t="str">
        <f t="shared" si="852"/>
        <v>Upgraded</v>
      </c>
      <c r="G10106" s="153"/>
      <c r="H10106" s="210">
        <v>-0.1222</v>
      </c>
      <c r="I10106" s="160" t="s">
        <v>149</v>
      </c>
      <c r="J10106" s="160">
        <v>-1.7799999999999999E-3</v>
      </c>
      <c r="K10106" s="160" t="s">
        <v>13</v>
      </c>
      <c r="L10106" s="154" t="str">
        <f>IF(OpenLCAbasic!K10106="CTUh", "Fill in Manually",IF(OR(K10106="Unit", K10106=""), "", INDEX(LookUps!$E$5:$E$12, MATCH(OpenLCAbasic!K10106,LookUps!$D$5:$D$12,0))))</f>
        <v>Eutrophication Potential (EP) - kg N eq</v>
      </c>
      <c r="M10106" s="154" t="str">
        <f t="shared" si="849"/>
        <v>Low_Medium_High_Upgraded_Eutrophication Potential (EP) - kg N eq_Anaerobic Digestion; wastewater treatment unit; at updated plant - US_Base_With Amendment_Aerated Static Pile</v>
      </c>
    </row>
    <row r="10107" spans="1:13" s="120" customFormat="1" x14ac:dyDescent="0.25">
      <c r="A10107" s="119"/>
      <c r="B10107" s="138" t="str">
        <f t="shared" si="850"/>
        <v/>
      </c>
      <c r="C10107" s="138" t="str">
        <f t="shared" si="851"/>
        <v/>
      </c>
      <c r="D10107" s="138" t="str">
        <f t="shared" si="847"/>
        <v/>
      </c>
      <c r="E10107" s="138" t="str">
        <f t="shared" si="848"/>
        <v/>
      </c>
      <c r="F10107" s="138" t="str">
        <f t="shared" si="852"/>
        <v/>
      </c>
      <c r="G10107" s="153" t="s">
        <v>51</v>
      </c>
      <c r="H10107" s="160"/>
      <c r="I10107" s="160" t="s">
        <v>47</v>
      </c>
      <c r="J10107" s="160" t="s">
        <v>52</v>
      </c>
      <c r="K10107" s="160" t="s">
        <v>27</v>
      </c>
      <c r="L10107" s="154" t="str">
        <f>IF(OpenLCAbasic!K10107="CTUh", "Fill in Manually",IF(OR(K10107="Unit", K10107=""), "", INDEX(LookUps!$E$5:$E$12, MATCH(OpenLCAbasic!K10107,LookUps!$D$5:$D$12,0))))</f>
        <v/>
      </c>
      <c r="M10107" s="154" t="str">
        <f t="shared" si="849"/>
        <v>____Process__</v>
      </c>
    </row>
    <row r="10108" spans="1:13" s="120" customFormat="1" x14ac:dyDescent="0.25">
      <c r="A10108" s="119"/>
      <c r="B10108" s="138" t="str">
        <f t="shared" si="850"/>
        <v>Aerated Static Pile</v>
      </c>
      <c r="C10108" s="138" t="str">
        <f t="shared" si="851"/>
        <v>Base_With Amendment</v>
      </c>
      <c r="D10108" s="138" t="str">
        <f t="shared" si="847"/>
        <v>Medium_High</v>
      </c>
      <c r="E10108" s="138" t="str">
        <f t="shared" si="848"/>
        <v>Low</v>
      </c>
      <c r="F10108" s="138" t="str">
        <f t="shared" si="852"/>
        <v>Upgraded</v>
      </c>
      <c r="G10108" s="153"/>
      <c r="H10108" s="210">
        <v>3.6202000000000001</v>
      </c>
      <c r="I10108" s="160" t="s">
        <v>167</v>
      </c>
      <c r="J10108" s="160">
        <v>9.7259999999999999E-2</v>
      </c>
      <c r="K10108" s="160" t="s">
        <v>14</v>
      </c>
      <c r="L10108" s="154" t="str">
        <f>IF(OpenLCAbasic!K10108="CTUh", "Fill in Manually",IF(OR(K10108="Unit", K10108=""), "", INDEX(LookUps!$E$5:$E$12, MATCH(OpenLCAbasic!K10108,LookUps!$D$5:$D$12,0))))</f>
        <v>Fossil Depletion Potential (FDP) - kg oil eq</v>
      </c>
      <c r="M10108" s="154" t="str">
        <f t="shared" si="849"/>
        <v>Low_Medium_High_Upgraded_Fossil Depletion Potential (FDP) - kg oil eq_Waste Receiving and Holding; wastewater treatment unit; at updated plant - US_Base_With Amendment_Aerated Static Pile</v>
      </c>
    </row>
    <row r="10109" spans="1:13" s="120" customFormat="1" x14ac:dyDescent="0.25">
      <c r="A10109" s="119"/>
      <c r="B10109" s="138" t="str">
        <f t="shared" si="850"/>
        <v>Aerated Static Pile</v>
      </c>
      <c r="C10109" s="138" t="str">
        <f t="shared" si="851"/>
        <v>Base_With Amendment</v>
      </c>
      <c r="D10109" s="138" t="str">
        <f t="shared" si="847"/>
        <v>Medium_High</v>
      </c>
      <c r="E10109" s="138" t="str">
        <f t="shared" si="848"/>
        <v>Low</v>
      </c>
      <c r="F10109" s="138" t="str">
        <f t="shared" si="852"/>
        <v>Upgraded</v>
      </c>
      <c r="G10109" s="153"/>
      <c r="H10109" s="210">
        <v>2.3671000000000002</v>
      </c>
      <c r="I10109" s="160" t="s">
        <v>55</v>
      </c>
      <c r="J10109" s="160">
        <v>6.3589999999999994E-2</v>
      </c>
      <c r="K10109" s="160" t="s">
        <v>14</v>
      </c>
      <c r="L10109" s="154" t="str">
        <f>IF(OpenLCAbasic!K10109="CTUh", "Fill in Manually",IF(OR(K10109="Unit", K10109=""), "", INDEX(LookUps!$E$5:$E$12, MATCH(OpenLCAbasic!K10109,LookUps!$D$5:$D$12,0))))</f>
        <v>Fossil Depletion Potential (FDP) - kg oil eq</v>
      </c>
      <c r="M10109" s="154" t="str">
        <f t="shared" si="849"/>
        <v>Low_Medium_High_Upgraded_Fossil Depletion Potential (FDP) - kg oil eq_Aeration Tanks; wastewater treatment unit; at updated plant - US_Base_With Amendment_Aerated Static Pile</v>
      </c>
    </row>
    <row r="10110" spans="1:13" s="120" customFormat="1" x14ac:dyDescent="0.25">
      <c r="A10110" s="119"/>
      <c r="B10110" s="138" t="str">
        <f t="shared" si="850"/>
        <v>Aerated Static Pile</v>
      </c>
      <c r="C10110" s="138" t="str">
        <f t="shared" si="851"/>
        <v>Base_With Amendment</v>
      </c>
      <c r="D10110" s="138" t="str">
        <f t="shared" si="847"/>
        <v>Medium_High</v>
      </c>
      <c r="E10110" s="138" t="str">
        <f t="shared" si="848"/>
        <v>Low</v>
      </c>
      <c r="F10110" s="138" t="str">
        <f t="shared" si="852"/>
        <v>Upgraded</v>
      </c>
      <c r="G10110" s="153"/>
      <c r="H10110" s="210">
        <v>1.1142000000000001</v>
      </c>
      <c r="I10110" s="160" t="s">
        <v>435</v>
      </c>
      <c r="J10110" s="160">
        <v>2.9929999999999998E-2</v>
      </c>
      <c r="K10110" s="160" t="s">
        <v>14</v>
      </c>
      <c r="L10110" s="154" t="str">
        <f>IF(OpenLCAbasic!K10110="CTUh", "Fill in Manually",IF(OR(K10110="Unit", K10110=""), "", INDEX(LookUps!$E$5:$E$12, MATCH(OpenLCAbasic!K10110,LookUps!$D$5:$D$12,0))))</f>
        <v>Fossil Depletion Potential (FDP) - kg oil eq</v>
      </c>
      <c r="M10110" s="154" t="str">
        <f t="shared" si="849"/>
        <v>Low_Medium_High_Upgraded_Fossil Depletion Potential (FDP) - kg oil eq_Biosolids composting; aerated static pile; wastewater treatment unit; at updated plant - US_Base_With Amendment_Aerated Static Pile</v>
      </c>
    </row>
    <row r="10111" spans="1:13" s="120" customFormat="1" x14ac:dyDescent="0.25">
      <c r="A10111" s="119"/>
      <c r="B10111" s="138" t="str">
        <f t="shared" si="850"/>
        <v>Aerated Static Pile</v>
      </c>
      <c r="C10111" s="138" t="str">
        <f t="shared" si="851"/>
        <v>Base_With Amendment</v>
      </c>
      <c r="D10111" s="138" t="str">
        <f t="shared" si="847"/>
        <v>Medium_High</v>
      </c>
      <c r="E10111" s="138" t="str">
        <f t="shared" si="848"/>
        <v>Low</v>
      </c>
      <c r="F10111" s="138" t="str">
        <f t="shared" si="852"/>
        <v>Upgraded</v>
      </c>
      <c r="G10111" s="153"/>
      <c r="H10111" s="210">
        <v>0.78359999999999996</v>
      </c>
      <c r="I10111" s="160" t="s">
        <v>54</v>
      </c>
      <c r="J10111" s="160">
        <v>2.1049999999999999E-2</v>
      </c>
      <c r="K10111" s="160" t="s">
        <v>14</v>
      </c>
      <c r="L10111" s="154" t="str">
        <f>IF(OpenLCAbasic!K10111="CTUh", "Fill in Manually",IF(OR(K10111="Unit", K10111=""), "", INDEX(LookUps!$E$5:$E$12, MATCH(OpenLCAbasic!K10111,LookUps!$D$5:$D$12,0))))</f>
        <v>Fossil Depletion Potential (FDP) - kg oil eq</v>
      </c>
      <c r="M10111" s="154" t="str">
        <f t="shared" si="849"/>
        <v>Low_Medium_High_Upgraded_Fossil Depletion Potential (FDP) - kg oil eq_Clear Cove Primary Clarification; wastewater treatment unit; at updated plant - US_Base_With Amendment_Aerated Static Pile</v>
      </c>
    </row>
    <row r="10112" spans="1:13" s="120" customFormat="1" x14ac:dyDescent="0.25">
      <c r="A10112" s="119"/>
      <c r="B10112" s="138" t="str">
        <f t="shared" si="850"/>
        <v>Aerated Static Pile</v>
      </c>
      <c r="C10112" s="138" t="str">
        <f t="shared" si="851"/>
        <v>Base_With Amendment</v>
      </c>
      <c r="D10112" s="138" t="str">
        <f t="shared" si="847"/>
        <v>Medium_High</v>
      </c>
      <c r="E10112" s="138" t="str">
        <f t="shared" si="848"/>
        <v>Low</v>
      </c>
      <c r="F10112" s="138" t="str">
        <f t="shared" si="852"/>
        <v>Upgraded</v>
      </c>
      <c r="G10112" s="153"/>
      <c r="H10112" s="210">
        <v>0.59470000000000001</v>
      </c>
      <c r="I10112" s="160" t="s">
        <v>58</v>
      </c>
      <c r="J10112" s="160">
        <v>1.5980000000000001E-2</v>
      </c>
      <c r="K10112" s="160" t="s">
        <v>14</v>
      </c>
      <c r="L10112" s="154" t="str">
        <f>IF(OpenLCAbasic!K10112="CTUh", "Fill in Manually",IF(OR(K10112="Unit", K10112=""), "", INDEX(LookUps!$E$5:$E$12, MATCH(OpenLCAbasic!K10112,LookUps!$D$5:$D$12,0))))</f>
        <v>Fossil Depletion Potential (FDP) - kg oil eq</v>
      </c>
      <c r="M10112" s="154" t="str">
        <f t="shared" si="849"/>
        <v>Low_Medium_High_Upgraded_Fossil Depletion Potential (FDP) - kg oil eq_Pre-Anoxic &amp; Swing tank; wastewater treatment unit; at updated plant - US_Base_With Amendment_Aerated Static Pile</v>
      </c>
    </row>
    <row r="10113" spans="1:13" s="120" customFormat="1" x14ac:dyDescent="0.25">
      <c r="A10113" s="119"/>
      <c r="B10113" s="138" t="str">
        <f t="shared" si="850"/>
        <v>Aerated Static Pile</v>
      </c>
      <c r="C10113" s="138" t="str">
        <f t="shared" si="851"/>
        <v>Base_With Amendment</v>
      </c>
      <c r="D10113" s="138" t="str">
        <f t="shared" si="847"/>
        <v>Medium_High</v>
      </c>
      <c r="E10113" s="138" t="str">
        <f t="shared" si="848"/>
        <v>Low</v>
      </c>
      <c r="F10113" s="138" t="str">
        <f t="shared" si="852"/>
        <v>Upgraded</v>
      </c>
      <c r="G10113" s="153"/>
      <c r="H10113" s="210">
        <v>0.56159999999999999</v>
      </c>
      <c r="I10113" s="160" t="s">
        <v>147</v>
      </c>
      <c r="J10113" s="160">
        <v>1.5089999999999999E-2</v>
      </c>
      <c r="K10113" s="160" t="s">
        <v>14</v>
      </c>
      <c r="L10113" s="154" t="str">
        <f>IF(OpenLCAbasic!K10113="CTUh", "Fill in Manually",IF(OR(K10113="Unit", K10113=""), "", INDEX(LookUps!$E$5:$E$12, MATCH(OpenLCAbasic!K10113,LookUps!$D$5:$D$12,0))))</f>
        <v>Fossil Depletion Potential (FDP) - kg oil eq</v>
      </c>
      <c r="M10113" s="154" t="str">
        <f t="shared" si="849"/>
        <v>Low_Medium_High_Upgraded_Fossil Depletion Potential (FDP) - kg oil eq_Influent Pump Station; wastewater treatment unit; at updated plant - US_Base_With Amendment_Aerated Static Pile</v>
      </c>
    </row>
    <row r="10114" spans="1:13" s="120" customFormat="1" x14ac:dyDescent="0.25">
      <c r="A10114" s="119"/>
      <c r="B10114" s="138" t="str">
        <f t="shared" si="850"/>
        <v>Aerated Static Pile</v>
      </c>
      <c r="C10114" s="138" t="str">
        <f t="shared" si="851"/>
        <v>Base_With Amendment</v>
      </c>
      <c r="D10114" s="138" t="str">
        <f t="shared" si="847"/>
        <v>Medium_High</v>
      </c>
      <c r="E10114" s="138" t="str">
        <f t="shared" si="848"/>
        <v>Low</v>
      </c>
      <c r="F10114" s="138" t="str">
        <f t="shared" si="852"/>
        <v>Upgraded</v>
      </c>
      <c r="G10114" s="153"/>
      <c r="H10114" s="210">
        <v>0.46489999999999998</v>
      </c>
      <c r="I10114" s="160" t="s">
        <v>53</v>
      </c>
      <c r="J10114" s="160">
        <v>1.2489999999999999E-2</v>
      </c>
      <c r="K10114" s="160" t="s">
        <v>14</v>
      </c>
      <c r="L10114" s="154" t="str">
        <f>IF(OpenLCAbasic!K10114="CTUh", "Fill in Manually",IF(OR(K10114="Unit", K10114=""), "", INDEX(LookUps!$E$5:$E$12, MATCH(OpenLCAbasic!K10114,LookUps!$D$5:$D$12,0))))</f>
        <v>Fossil Depletion Potential (FDP) - kg oil eq</v>
      </c>
      <c r="M10114" s="154" t="str">
        <f t="shared" si="849"/>
        <v>Low_Medium_High_Upgraded_Fossil Depletion Potential (FDP) - kg oil eq_Wet Well and Sump Station; wastewater treatment unit; at updated plant - US_Base_With Amendment_Aerated Static Pile</v>
      </c>
    </row>
    <row r="10115" spans="1:13" s="120" customFormat="1" x14ac:dyDescent="0.25">
      <c r="A10115" s="119"/>
      <c r="B10115" s="138" t="str">
        <f t="shared" si="850"/>
        <v>Aerated Static Pile</v>
      </c>
      <c r="C10115" s="138" t="str">
        <f t="shared" si="851"/>
        <v>Base_With Amendment</v>
      </c>
      <c r="D10115" s="138" t="str">
        <f t="shared" si="847"/>
        <v>Medium_High</v>
      </c>
      <c r="E10115" s="138" t="str">
        <f t="shared" si="848"/>
        <v>Low</v>
      </c>
      <c r="F10115" s="138" t="str">
        <f t="shared" si="852"/>
        <v>Upgraded</v>
      </c>
      <c r="G10115" s="153"/>
      <c r="H10115" s="210">
        <v>0.28589999999999999</v>
      </c>
      <c r="I10115" s="160" t="s">
        <v>60</v>
      </c>
      <c r="J10115" s="160">
        <v>7.6800000000000002E-3</v>
      </c>
      <c r="K10115" s="160" t="s">
        <v>14</v>
      </c>
      <c r="L10115" s="154" t="str">
        <f>IF(OpenLCAbasic!K10115="CTUh", "Fill in Manually",IF(OR(K10115="Unit", K10115=""), "", INDEX(LookUps!$E$5:$E$12, MATCH(OpenLCAbasic!K10115,LookUps!$D$5:$D$12,0))))</f>
        <v>Fossil Depletion Potential (FDP) - kg oil eq</v>
      </c>
      <c r="M10115" s="154" t="str">
        <f t="shared" si="849"/>
        <v>Low_Medium_High_Upgraded_Fossil Depletion Potential (FDP) - kg oil eq_Belt filter press; wastewater treatment unit; at updated plant - US_Base_With Amendment_Aerated Static Pile</v>
      </c>
    </row>
    <row r="10116" spans="1:13" s="120" customFormat="1" x14ac:dyDescent="0.25">
      <c r="A10116" s="119"/>
      <c r="B10116" s="138" t="str">
        <f t="shared" si="850"/>
        <v>Aerated Static Pile</v>
      </c>
      <c r="C10116" s="138" t="str">
        <f t="shared" si="851"/>
        <v>Base_With Amendment</v>
      </c>
      <c r="D10116" s="138" t="str">
        <f t="shared" si="847"/>
        <v>Medium_High</v>
      </c>
      <c r="E10116" s="138" t="str">
        <f t="shared" si="848"/>
        <v>Low</v>
      </c>
      <c r="F10116" s="138" t="str">
        <f t="shared" si="852"/>
        <v>Upgraded</v>
      </c>
      <c r="G10116" s="153"/>
      <c r="H10116" s="210">
        <v>0.25740000000000002</v>
      </c>
      <c r="I10116" s="160" t="s">
        <v>57</v>
      </c>
      <c r="J10116" s="160">
        <v>6.9199999999999999E-3</v>
      </c>
      <c r="K10116" s="160" t="s">
        <v>14</v>
      </c>
      <c r="L10116" s="154" t="str">
        <f>IF(OpenLCAbasic!K10116="CTUh", "Fill in Manually",IF(OR(K10116="Unit", K10116=""), "", INDEX(LookUps!$E$5:$E$12, MATCH(OpenLCAbasic!K10116,LookUps!$D$5:$D$12,0))))</f>
        <v>Fossil Depletion Potential (FDP) - kg oil eq</v>
      </c>
      <c r="M10116" s="154" t="str">
        <f t="shared" si="849"/>
        <v>Low_Medium_High_Upgraded_Fossil Depletion Potential (FDP) - kg oil eq_Gravity Belt Thickener; wastewater treatment unit; at updated plant - US_Base_With Amendment_Aerated Static Pile</v>
      </c>
    </row>
    <row r="10117" spans="1:13" s="120" customFormat="1" x14ac:dyDescent="0.25">
      <c r="A10117" s="119"/>
      <c r="B10117" s="138" t="str">
        <f t="shared" si="850"/>
        <v>Aerated Static Pile</v>
      </c>
      <c r="C10117" s="138" t="str">
        <f t="shared" si="851"/>
        <v>Base_With Amendment</v>
      </c>
      <c r="D10117" s="138" t="str">
        <f t="shared" si="847"/>
        <v>Medium_High</v>
      </c>
      <c r="E10117" s="138" t="str">
        <f t="shared" si="848"/>
        <v>Low</v>
      </c>
      <c r="F10117" s="138" t="str">
        <f t="shared" si="852"/>
        <v>Upgraded</v>
      </c>
      <c r="G10117" s="153"/>
      <c r="H10117" s="210">
        <v>0.16750000000000001</v>
      </c>
      <c r="I10117" s="160" t="s">
        <v>128</v>
      </c>
      <c r="J10117" s="160">
        <v>4.4999999999999997E-3</v>
      </c>
      <c r="K10117" s="160" t="s">
        <v>14</v>
      </c>
      <c r="L10117" s="154" t="str">
        <f>IF(OpenLCAbasic!K10117="CTUh", "Fill in Manually",IF(OR(K10117="Unit", K10117=""), "", INDEX(LookUps!$E$5:$E$12, MATCH(OpenLCAbasic!K10117,LookUps!$D$5:$D$12,0))))</f>
        <v>Fossil Depletion Potential (FDP) - kg oil eq</v>
      </c>
      <c r="M10117" s="154" t="str">
        <f t="shared" si="849"/>
        <v>Low_Medium_High_Upgraded_Fossil Depletion Potential (FDP) - kg oil eq_Wastewater collection; operation and infrastructure; m3 wastewater_Base_With Amendment_Aerated Static Pile</v>
      </c>
    </row>
    <row r="10118" spans="1:13" s="120" customFormat="1" x14ac:dyDescent="0.25">
      <c r="A10118" s="119"/>
      <c r="B10118" s="138" t="str">
        <f t="shared" si="850"/>
        <v>Aerated Static Pile</v>
      </c>
      <c r="C10118" s="138" t="str">
        <f t="shared" si="851"/>
        <v>Base_With Amendment</v>
      </c>
      <c r="D10118" s="138" t="str">
        <f t="shared" si="847"/>
        <v>Medium_High</v>
      </c>
      <c r="E10118" s="138" t="str">
        <f t="shared" si="848"/>
        <v>Low</v>
      </c>
      <c r="F10118" s="138" t="str">
        <f t="shared" si="852"/>
        <v>Upgraded</v>
      </c>
      <c r="G10118" s="153"/>
      <c r="H10118" s="210">
        <v>0.1041</v>
      </c>
      <c r="I10118" s="160" t="s">
        <v>148</v>
      </c>
      <c r="J10118" s="160">
        <v>2.8E-3</v>
      </c>
      <c r="K10118" s="160" t="s">
        <v>14</v>
      </c>
      <c r="L10118" s="154" t="str">
        <f>IF(OpenLCAbasic!K10118="CTUh", "Fill in Manually",IF(OR(K10118="Unit", K10118=""), "", INDEX(LookUps!$E$5:$E$12, MATCH(OpenLCAbasic!K10118,LookUps!$D$5:$D$12,0))))</f>
        <v>Fossil Depletion Potential (FDP) - kg oil eq</v>
      </c>
      <c r="M10118" s="154" t="str">
        <f t="shared" si="849"/>
        <v>Low_Medium_High_Upgraded_Fossil Depletion Potential (FDP) - kg oil eq_Control Building; at upgraded wastewater treatment plant - US_Base_With Amendment_Aerated Static Pile</v>
      </c>
    </row>
    <row r="10119" spans="1:13" s="120" customFormat="1" x14ac:dyDescent="0.25">
      <c r="A10119" s="119"/>
      <c r="B10119" s="138" t="str">
        <f t="shared" si="850"/>
        <v>Aerated Static Pile</v>
      </c>
      <c r="C10119" s="138" t="str">
        <f t="shared" si="851"/>
        <v>Base_With Amendment</v>
      </c>
      <c r="D10119" s="138" t="str">
        <f t="shared" si="847"/>
        <v>Medium_High</v>
      </c>
      <c r="E10119" s="138" t="str">
        <f t="shared" si="848"/>
        <v>Low</v>
      </c>
      <c r="F10119" s="138" t="str">
        <f t="shared" si="852"/>
        <v>Upgraded</v>
      </c>
      <c r="G10119" s="153"/>
      <c r="H10119" s="210">
        <v>8.7999999999999995E-2</v>
      </c>
      <c r="I10119" s="160" t="s">
        <v>48</v>
      </c>
      <c r="J10119" s="160">
        <v>2.3600000000000001E-3</v>
      </c>
      <c r="K10119" s="160" t="s">
        <v>14</v>
      </c>
      <c r="L10119" s="154" t="str">
        <f>IF(OpenLCAbasic!K10119="CTUh", "Fill in Manually",IF(OR(K10119="Unit", K10119=""), "", INDEX(LookUps!$E$5:$E$12, MATCH(OpenLCAbasic!K10119,LookUps!$D$5:$D$12,0))))</f>
        <v>Fossil Depletion Potential (FDP) - kg oil eq</v>
      </c>
      <c r="M10119" s="154" t="str">
        <f t="shared" si="849"/>
        <v>Low_Medium_High_Upgraded_Fossil Depletion Potential (FDP) - kg oil eq_Effluent release; wastewater treatment unit; at surface water; m3 wastewater - US_Base_With Amendment_Aerated Static Pile</v>
      </c>
    </row>
    <row r="10120" spans="1:13" s="120" customFormat="1" x14ac:dyDescent="0.25">
      <c r="A10120" s="119"/>
      <c r="B10120" s="138" t="str">
        <f t="shared" si="850"/>
        <v>Aerated Static Pile</v>
      </c>
      <c r="C10120" s="138" t="str">
        <f t="shared" si="851"/>
        <v>Base_With Amendment</v>
      </c>
      <c r="D10120" s="138" t="str">
        <f t="shared" si="847"/>
        <v>Medium_High</v>
      </c>
      <c r="E10120" s="138" t="str">
        <f t="shared" si="848"/>
        <v>Low</v>
      </c>
      <c r="F10120" s="138" t="str">
        <f t="shared" si="852"/>
        <v>Upgraded</v>
      </c>
      <c r="G10120" s="153"/>
      <c r="H10120" s="210">
        <v>7.1499999999999994E-2</v>
      </c>
      <c r="I10120" s="160" t="s">
        <v>59</v>
      </c>
      <c r="J10120" s="160">
        <v>1.92E-3</v>
      </c>
      <c r="K10120" s="160" t="s">
        <v>14</v>
      </c>
      <c r="L10120" s="154" t="str">
        <f>IF(OpenLCAbasic!K10120="CTUh", "Fill in Manually",IF(OR(K10120="Unit", K10120=""), "", INDEX(LookUps!$E$5:$E$12, MATCH(OpenLCAbasic!K10120,LookUps!$D$5:$D$12,0))))</f>
        <v>Fossil Depletion Potential (FDP) - kg oil eq</v>
      </c>
      <c r="M10120" s="154" t="str">
        <f t="shared" si="849"/>
        <v>Low_Medium_High_Upgraded_Fossil Depletion Potential (FDP) - kg oil eq_Blend Tank; wastewater treatment unit; at updated plant - US_Base_With Amendment_Aerated Static Pile</v>
      </c>
    </row>
    <row r="10121" spans="1:13" s="120" customFormat="1" x14ac:dyDescent="0.25">
      <c r="A10121" s="119"/>
      <c r="B10121" s="138" t="str">
        <f t="shared" si="850"/>
        <v>Aerated Static Pile</v>
      </c>
      <c r="C10121" s="138" t="str">
        <f t="shared" si="851"/>
        <v>Base_With Amendment</v>
      </c>
      <c r="D10121" s="138" t="str">
        <f t="shared" ref="D10121:D10184" si="853">IF(ISNUMBER($J10121),"Medium_High","")</f>
        <v>Medium_High</v>
      </c>
      <c r="E10121" s="138" t="str">
        <f t="shared" si="848"/>
        <v>Low</v>
      </c>
      <c r="F10121" s="138" t="str">
        <f t="shared" si="852"/>
        <v>Upgraded</v>
      </c>
      <c r="G10121" s="153"/>
      <c r="H10121" s="210">
        <v>3.4000000000000002E-2</v>
      </c>
      <c r="I10121" s="160" t="s">
        <v>168</v>
      </c>
      <c r="J10121" s="160">
        <v>9.1E-4</v>
      </c>
      <c r="K10121" s="160" t="s">
        <v>14</v>
      </c>
      <c r="L10121" s="154" t="str">
        <f>IF(OpenLCAbasic!K10121="CTUh", "Fill in Manually",IF(OR(K10121="Unit", K10121=""), "", INDEX(LookUps!$E$5:$E$12, MATCH(OpenLCAbasic!K10121,LookUps!$D$5:$D$12,0))))</f>
        <v>Fossil Depletion Potential (FDP) - kg oil eq</v>
      </c>
      <c r="M10121" s="154" t="str">
        <f t="shared" si="849"/>
        <v>Low_Medium_High_Upgraded_Fossil Depletion Potential (FDP) - kg oil eq_ClearCove SCP; wastewater treatment unit; at updated plant - US_Base_With Amendment_Aerated Static Pile</v>
      </c>
    </row>
    <row r="10122" spans="1:13" s="120" customFormat="1" x14ac:dyDescent="0.25">
      <c r="A10122" s="119"/>
      <c r="B10122" s="138" t="str">
        <f t="shared" si="850"/>
        <v>Aerated Static Pile</v>
      </c>
      <c r="C10122" s="138" t="str">
        <f t="shared" si="851"/>
        <v>Base_With Amendment</v>
      </c>
      <c r="D10122" s="138" t="str">
        <f t="shared" si="853"/>
        <v>Medium_High</v>
      </c>
      <c r="E10122" s="138" t="str">
        <f t="shared" si="848"/>
        <v>Low</v>
      </c>
      <c r="F10122" s="138" t="str">
        <f t="shared" si="852"/>
        <v>Upgraded</v>
      </c>
      <c r="G10122" s="153"/>
      <c r="H10122" s="210">
        <v>-0.33329999999999999</v>
      </c>
      <c r="I10122" s="160" t="s">
        <v>62</v>
      </c>
      <c r="J10122" s="160">
        <v>-8.9499999999999996E-3</v>
      </c>
      <c r="K10122" s="160" t="s">
        <v>14</v>
      </c>
      <c r="L10122" s="154" t="str">
        <f>IF(OpenLCAbasic!K10122="CTUh", "Fill in Manually",IF(OR(K10122="Unit", K10122=""), "", INDEX(LookUps!$E$5:$E$12, MATCH(OpenLCAbasic!K10122,LookUps!$D$5:$D$12,0))))</f>
        <v>Fossil Depletion Potential (FDP) - kg oil eq</v>
      </c>
      <c r="M10122" s="154" t="str">
        <f t="shared" si="849"/>
        <v>Low_Medium_High_Upgraded_Fossil Depletion Potential (FDP) - kg oil eq_Land application of compost; wastewater treatment unit; at updated plant - US_Base_With Amendment_Aerated Static Pile</v>
      </c>
    </row>
    <row r="10123" spans="1:13" s="120" customFormat="1" x14ac:dyDescent="0.25">
      <c r="A10123" s="119"/>
      <c r="B10123" s="138" t="str">
        <f t="shared" si="850"/>
        <v>Aerated Static Pile</v>
      </c>
      <c r="C10123" s="138" t="str">
        <f t="shared" si="851"/>
        <v>Base_With Amendment</v>
      </c>
      <c r="D10123" s="138" t="str">
        <f t="shared" si="853"/>
        <v>Medium_High</v>
      </c>
      <c r="E10123" s="138" t="str">
        <f t="shared" si="848"/>
        <v>Low</v>
      </c>
      <c r="F10123" s="138" t="str">
        <f t="shared" si="852"/>
        <v>Upgraded</v>
      </c>
      <c r="G10123" s="153"/>
      <c r="H10123" s="210">
        <v>-11.1814</v>
      </c>
      <c r="I10123" s="160" t="s">
        <v>149</v>
      </c>
      <c r="J10123" s="160">
        <v>-0.30038999999999999</v>
      </c>
      <c r="K10123" s="160" t="s">
        <v>14</v>
      </c>
      <c r="L10123" s="154" t="str">
        <f>IF(OpenLCAbasic!K10123="CTUh", "Fill in Manually",IF(OR(K10123="Unit", K10123=""), "", INDEX(LookUps!$E$5:$E$12, MATCH(OpenLCAbasic!K10123,LookUps!$D$5:$D$12,0))))</f>
        <v>Fossil Depletion Potential (FDP) - kg oil eq</v>
      </c>
      <c r="M10123" s="154" t="str">
        <f t="shared" si="849"/>
        <v>Low_Medium_High_Upgraded_Fossil Depletion Potential (FDP) - kg oil eq_Anaerobic Digestion; wastewater treatment unit; at updated plant - US_Base_With Amendment_Aerated Static Pile</v>
      </c>
    </row>
    <row r="10124" spans="1:13" s="120" customFormat="1" x14ac:dyDescent="0.25">
      <c r="A10124" s="119"/>
      <c r="B10124" s="138" t="str">
        <f t="shared" si="850"/>
        <v/>
      </c>
      <c r="C10124" s="138" t="str">
        <f t="shared" si="851"/>
        <v/>
      </c>
      <c r="D10124" s="138" t="str">
        <f t="shared" si="853"/>
        <v/>
      </c>
      <c r="E10124" s="138" t="str">
        <f t="shared" si="848"/>
        <v/>
      </c>
      <c r="F10124" s="138" t="str">
        <f t="shared" si="852"/>
        <v/>
      </c>
      <c r="G10124" s="153" t="s">
        <v>51</v>
      </c>
      <c r="H10124" s="160"/>
      <c r="I10124" s="160" t="s">
        <v>47</v>
      </c>
      <c r="J10124" s="160" t="s">
        <v>52</v>
      </c>
      <c r="K10124" s="160" t="s">
        <v>27</v>
      </c>
      <c r="L10124" s="154" t="str">
        <f>IF(OpenLCAbasic!K10124="CTUh", "Fill in Manually",IF(OR(K10124="Unit", K10124=""), "", INDEX(LookUps!$E$5:$E$12, MATCH(OpenLCAbasic!K10124,LookUps!$D$5:$D$12,0))))</f>
        <v/>
      </c>
      <c r="M10124" s="154" t="str">
        <f t="shared" si="849"/>
        <v>____Process__</v>
      </c>
    </row>
    <row r="10125" spans="1:13" s="120" customFormat="1" x14ac:dyDescent="0.25">
      <c r="A10125" s="119"/>
      <c r="B10125" s="138" t="str">
        <f t="shared" si="850"/>
        <v>Aerated Static Pile</v>
      </c>
      <c r="C10125" s="138" t="str">
        <f t="shared" si="851"/>
        <v>Base_With Amendment</v>
      </c>
      <c r="D10125" s="138" t="str">
        <f t="shared" si="853"/>
        <v>Medium_High</v>
      </c>
      <c r="E10125" s="138" t="str">
        <f t="shared" si="848"/>
        <v>Low</v>
      </c>
      <c r="F10125" s="138" t="str">
        <f t="shared" si="852"/>
        <v>Upgraded</v>
      </c>
      <c r="G10125" s="153"/>
      <c r="H10125" s="210">
        <v>0.89410000000000001</v>
      </c>
      <c r="I10125" s="160" t="s">
        <v>58</v>
      </c>
      <c r="J10125" s="160">
        <v>0.24568999999999999</v>
      </c>
      <c r="K10125" s="160" t="s">
        <v>23</v>
      </c>
      <c r="L10125" s="154" t="str">
        <f>IF(OpenLCAbasic!K10125="CTUh", "Fill in Manually",IF(OR(K10125="Unit", K10125=""), "", INDEX(LookUps!$E$5:$E$12, MATCH(OpenLCAbasic!K10125,LookUps!$D$5:$D$12,0))))</f>
        <v>Global Warming Potential (GWP) - kg CO2 eq</v>
      </c>
      <c r="M10125" s="154" t="str">
        <f t="shared" si="849"/>
        <v>Low_Medium_High_Upgraded_Global Warming Potential (GWP) - kg CO2 eq_Pre-Anoxic &amp; Swing tank; wastewater treatment unit; at updated plant - US_Base_With Amendment_Aerated Static Pile</v>
      </c>
    </row>
    <row r="10126" spans="1:13" s="120" customFormat="1" x14ac:dyDescent="0.25">
      <c r="A10126" s="119"/>
      <c r="B10126" s="138" t="str">
        <f t="shared" si="850"/>
        <v>Aerated Static Pile</v>
      </c>
      <c r="C10126" s="138" t="str">
        <f t="shared" si="851"/>
        <v>Base_With Amendment</v>
      </c>
      <c r="D10126" s="138" t="str">
        <f t="shared" si="853"/>
        <v>Medium_High</v>
      </c>
      <c r="E10126" s="138" t="str">
        <f t="shared" si="848"/>
        <v>Low</v>
      </c>
      <c r="F10126" s="138" t="str">
        <f t="shared" si="852"/>
        <v>Upgraded</v>
      </c>
      <c r="G10126" s="153"/>
      <c r="H10126" s="210">
        <v>0.61219999999999997</v>
      </c>
      <c r="I10126" s="160" t="s">
        <v>55</v>
      </c>
      <c r="J10126" s="160">
        <v>0.16822000000000001</v>
      </c>
      <c r="K10126" s="160" t="s">
        <v>23</v>
      </c>
      <c r="L10126" s="154" t="str">
        <f>IF(OpenLCAbasic!K10126="CTUh", "Fill in Manually",IF(OR(K10126="Unit", K10126=""), "", INDEX(LookUps!$E$5:$E$12, MATCH(OpenLCAbasic!K10126,LookUps!$D$5:$D$12,0))))</f>
        <v>Global Warming Potential (GWP) - kg CO2 eq</v>
      </c>
      <c r="M10126" s="154" t="str">
        <f t="shared" si="849"/>
        <v>Low_Medium_High_Upgraded_Global Warming Potential (GWP) - kg CO2 eq_Aeration Tanks; wastewater treatment unit; at updated plant - US_Base_With Amendment_Aerated Static Pile</v>
      </c>
    </row>
    <row r="10127" spans="1:13" s="120" customFormat="1" x14ac:dyDescent="0.25">
      <c r="A10127" s="119"/>
      <c r="B10127" s="138" t="str">
        <f t="shared" si="850"/>
        <v>Aerated Static Pile</v>
      </c>
      <c r="C10127" s="138" t="str">
        <f t="shared" si="851"/>
        <v>Base_With Amendment</v>
      </c>
      <c r="D10127" s="138" t="str">
        <f t="shared" si="853"/>
        <v>Medium_High</v>
      </c>
      <c r="E10127" s="138" t="str">
        <f t="shared" si="848"/>
        <v>Low</v>
      </c>
      <c r="F10127" s="138" t="str">
        <f t="shared" si="852"/>
        <v>Upgraded</v>
      </c>
      <c r="G10127" s="153"/>
      <c r="H10127" s="210">
        <v>0.56920000000000004</v>
      </c>
      <c r="I10127" s="160" t="s">
        <v>435</v>
      </c>
      <c r="J10127" s="160">
        <v>0.15643000000000001</v>
      </c>
      <c r="K10127" s="160" t="s">
        <v>23</v>
      </c>
      <c r="L10127" s="154" t="str">
        <f>IF(OpenLCAbasic!K10127="CTUh", "Fill in Manually",IF(OR(K10127="Unit", K10127=""), "", INDEX(LookUps!$E$5:$E$12, MATCH(OpenLCAbasic!K10127,LookUps!$D$5:$D$12,0))))</f>
        <v>Global Warming Potential (GWP) - kg CO2 eq</v>
      </c>
      <c r="M10127" s="154" t="str">
        <f t="shared" si="849"/>
        <v>Low_Medium_High_Upgraded_Global Warming Potential (GWP) - kg CO2 eq_Biosolids composting; aerated static pile; wastewater treatment unit; at updated plant - US_Base_With Amendment_Aerated Static Pile</v>
      </c>
    </row>
    <row r="10128" spans="1:13" s="120" customFormat="1" x14ac:dyDescent="0.25">
      <c r="A10128" s="119"/>
      <c r="B10128" s="138" t="str">
        <f t="shared" si="850"/>
        <v>Aerated Static Pile</v>
      </c>
      <c r="C10128" s="138" t="str">
        <f t="shared" si="851"/>
        <v>Base_With Amendment</v>
      </c>
      <c r="D10128" s="138" t="str">
        <f t="shared" si="853"/>
        <v>Medium_High</v>
      </c>
      <c r="E10128" s="138" t="str">
        <f t="shared" si="848"/>
        <v>Low</v>
      </c>
      <c r="F10128" s="138" t="str">
        <f t="shared" si="852"/>
        <v>Upgraded</v>
      </c>
      <c r="G10128" s="153"/>
      <c r="H10128" s="210">
        <v>0.4496</v>
      </c>
      <c r="I10128" s="160" t="s">
        <v>167</v>
      </c>
      <c r="J10128" s="160">
        <v>0.12354999999999999</v>
      </c>
      <c r="K10128" s="160" t="s">
        <v>23</v>
      </c>
      <c r="L10128" s="154" t="str">
        <f>IF(OpenLCAbasic!K10128="CTUh", "Fill in Manually",IF(OR(K10128="Unit", K10128=""), "", INDEX(LookUps!$E$5:$E$12, MATCH(OpenLCAbasic!K10128,LookUps!$D$5:$D$12,0))))</f>
        <v>Global Warming Potential (GWP) - kg CO2 eq</v>
      </c>
      <c r="M10128" s="154" t="str">
        <f t="shared" si="849"/>
        <v>Low_Medium_High_Upgraded_Global Warming Potential (GWP) - kg CO2 eq_Waste Receiving and Holding; wastewater treatment unit; at updated plant - US_Base_With Amendment_Aerated Static Pile</v>
      </c>
    </row>
    <row r="10129" spans="1:13" s="120" customFormat="1" x14ac:dyDescent="0.25">
      <c r="A10129" s="119"/>
      <c r="B10129" s="138" t="str">
        <f t="shared" si="850"/>
        <v>Aerated Static Pile</v>
      </c>
      <c r="C10129" s="138" t="str">
        <f t="shared" si="851"/>
        <v>Base_With Amendment</v>
      </c>
      <c r="D10129" s="138" t="str">
        <f t="shared" si="853"/>
        <v>Medium_High</v>
      </c>
      <c r="E10129" s="138" t="str">
        <f t="shared" si="848"/>
        <v>Low</v>
      </c>
      <c r="F10129" s="138" t="str">
        <f t="shared" si="852"/>
        <v>Upgraded</v>
      </c>
      <c r="G10129" s="153"/>
      <c r="H10129" s="210">
        <v>0.2077</v>
      </c>
      <c r="I10129" s="160" t="s">
        <v>54</v>
      </c>
      <c r="J10129" s="160">
        <v>5.7079999999999999E-2</v>
      </c>
      <c r="K10129" s="160" t="s">
        <v>23</v>
      </c>
      <c r="L10129" s="154" t="str">
        <f>IF(OpenLCAbasic!K10129="CTUh", "Fill in Manually",IF(OR(K10129="Unit", K10129=""), "", INDEX(LookUps!$E$5:$E$12, MATCH(OpenLCAbasic!K10129,LookUps!$D$5:$D$12,0))))</f>
        <v>Global Warming Potential (GWP) - kg CO2 eq</v>
      </c>
      <c r="M10129" s="154" t="str">
        <f t="shared" si="849"/>
        <v>Low_Medium_High_Upgraded_Global Warming Potential (GWP) - kg CO2 eq_Clear Cove Primary Clarification; wastewater treatment unit; at updated plant - US_Base_With Amendment_Aerated Static Pile</v>
      </c>
    </row>
    <row r="10130" spans="1:13" s="120" customFormat="1" x14ac:dyDescent="0.25">
      <c r="A10130" s="119"/>
      <c r="B10130" s="138" t="str">
        <f t="shared" si="850"/>
        <v>Aerated Static Pile</v>
      </c>
      <c r="C10130" s="138" t="str">
        <f t="shared" si="851"/>
        <v>Base_With Amendment</v>
      </c>
      <c r="D10130" s="138" t="str">
        <f t="shared" si="853"/>
        <v>Medium_High</v>
      </c>
      <c r="E10130" s="138" t="str">
        <f t="shared" si="848"/>
        <v>Low</v>
      </c>
      <c r="F10130" s="138" t="str">
        <f t="shared" si="852"/>
        <v>Upgraded</v>
      </c>
      <c r="G10130" s="153"/>
      <c r="H10130" s="210">
        <v>0.1915</v>
      </c>
      <c r="I10130" s="160" t="s">
        <v>48</v>
      </c>
      <c r="J10130" s="160">
        <v>5.2639999999999999E-2</v>
      </c>
      <c r="K10130" s="160" t="s">
        <v>23</v>
      </c>
      <c r="L10130" s="154" t="str">
        <f>IF(OpenLCAbasic!K10130="CTUh", "Fill in Manually",IF(OR(K10130="Unit", K10130=""), "", INDEX(LookUps!$E$5:$E$12, MATCH(OpenLCAbasic!K10130,LookUps!$D$5:$D$12,0))))</f>
        <v>Global Warming Potential (GWP) - kg CO2 eq</v>
      </c>
      <c r="M10130" s="154" t="str">
        <f t="shared" si="849"/>
        <v>Low_Medium_High_Upgraded_Global Warming Potential (GWP) - kg CO2 eq_Effluent release; wastewater treatment unit; at surface water; m3 wastewater - US_Base_With Amendment_Aerated Static Pile</v>
      </c>
    </row>
    <row r="10131" spans="1:13" s="120" customFormat="1" x14ac:dyDescent="0.25">
      <c r="A10131" s="119"/>
      <c r="B10131" s="138" t="str">
        <f t="shared" si="850"/>
        <v>Aerated Static Pile</v>
      </c>
      <c r="C10131" s="138" t="str">
        <f t="shared" si="851"/>
        <v>Base_With Amendment</v>
      </c>
      <c r="D10131" s="138" t="str">
        <f t="shared" si="853"/>
        <v>Medium_High</v>
      </c>
      <c r="E10131" s="138" t="str">
        <f t="shared" si="848"/>
        <v>Low</v>
      </c>
      <c r="F10131" s="138" t="str">
        <f t="shared" si="852"/>
        <v>Upgraded</v>
      </c>
      <c r="G10131" s="153"/>
      <c r="H10131" s="210">
        <v>0.18379999999999999</v>
      </c>
      <c r="I10131" s="160" t="s">
        <v>147</v>
      </c>
      <c r="J10131" s="160">
        <v>5.0500000000000003E-2</v>
      </c>
      <c r="K10131" s="160" t="s">
        <v>23</v>
      </c>
      <c r="L10131" s="154" t="str">
        <f>IF(OpenLCAbasic!K10131="CTUh", "Fill in Manually",IF(OR(K10131="Unit", K10131=""), "", INDEX(LookUps!$E$5:$E$12, MATCH(OpenLCAbasic!K10131,LookUps!$D$5:$D$12,0))))</f>
        <v>Global Warming Potential (GWP) - kg CO2 eq</v>
      </c>
      <c r="M10131" s="154" t="str">
        <f t="shared" si="849"/>
        <v>Low_Medium_High_Upgraded_Global Warming Potential (GWP) - kg CO2 eq_Influent Pump Station; wastewater treatment unit; at updated plant - US_Base_With Amendment_Aerated Static Pile</v>
      </c>
    </row>
    <row r="10132" spans="1:13" s="120" customFormat="1" x14ac:dyDescent="0.25">
      <c r="A10132" s="119"/>
      <c r="B10132" s="138" t="str">
        <f t="shared" si="850"/>
        <v>Aerated Static Pile</v>
      </c>
      <c r="C10132" s="138" t="str">
        <f t="shared" si="851"/>
        <v>Base_With Amendment</v>
      </c>
      <c r="D10132" s="138" t="str">
        <f t="shared" si="853"/>
        <v>Medium_High</v>
      </c>
      <c r="E10132" s="138" t="str">
        <f t="shared" si="848"/>
        <v>Low</v>
      </c>
      <c r="F10132" s="138" t="str">
        <f t="shared" si="852"/>
        <v>Upgraded</v>
      </c>
      <c r="G10132" s="153"/>
      <c r="H10132" s="210">
        <v>0.121</v>
      </c>
      <c r="I10132" s="160" t="s">
        <v>53</v>
      </c>
      <c r="J10132" s="160">
        <v>3.3259999999999998E-2</v>
      </c>
      <c r="K10132" s="160" t="s">
        <v>23</v>
      </c>
      <c r="L10132" s="154" t="str">
        <f>IF(OpenLCAbasic!K10132="CTUh", "Fill in Manually",IF(OR(K10132="Unit", K10132=""), "", INDEX(LookUps!$E$5:$E$12, MATCH(OpenLCAbasic!K10132,LookUps!$D$5:$D$12,0))))</f>
        <v>Global Warming Potential (GWP) - kg CO2 eq</v>
      </c>
      <c r="M10132" s="154" t="str">
        <f t="shared" si="849"/>
        <v>Low_Medium_High_Upgraded_Global Warming Potential (GWP) - kg CO2 eq_Wet Well and Sump Station; wastewater treatment unit; at updated plant - US_Base_With Amendment_Aerated Static Pile</v>
      </c>
    </row>
    <row r="10133" spans="1:13" s="120" customFormat="1" x14ac:dyDescent="0.25">
      <c r="A10133" s="119"/>
      <c r="B10133" s="138" t="str">
        <f t="shared" si="850"/>
        <v>Aerated Static Pile</v>
      </c>
      <c r="C10133" s="138" t="str">
        <f t="shared" si="851"/>
        <v>Base_With Amendment</v>
      </c>
      <c r="D10133" s="138" t="str">
        <f t="shared" si="853"/>
        <v>Medium_High</v>
      </c>
      <c r="E10133" s="138" t="str">
        <f t="shared" si="848"/>
        <v>Low</v>
      </c>
      <c r="F10133" s="138" t="str">
        <f t="shared" si="852"/>
        <v>Upgraded</v>
      </c>
      <c r="G10133" s="153"/>
      <c r="H10133" s="210">
        <v>6.1400000000000003E-2</v>
      </c>
      <c r="I10133" s="160" t="s">
        <v>60</v>
      </c>
      <c r="J10133" s="160">
        <v>1.6879999999999999E-2</v>
      </c>
      <c r="K10133" s="160" t="s">
        <v>23</v>
      </c>
      <c r="L10133" s="154" t="str">
        <f>IF(OpenLCAbasic!K10133="CTUh", "Fill in Manually",IF(OR(K10133="Unit", K10133=""), "", INDEX(LookUps!$E$5:$E$12, MATCH(OpenLCAbasic!K10133,LookUps!$D$5:$D$12,0))))</f>
        <v>Global Warming Potential (GWP) - kg CO2 eq</v>
      </c>
      <c r="M10133" s="154" t="str">
        <f t="shared" si="849"/>
        <v>Low_Medium_High_Upgraded_Global Warming Potential (GWP) - kg CO2 eq_Belt filter press; wastewater treatment unit; at updated plant - US_Base_With Amendment_Aerated Static Pile</v>
      </c>
    </row>
    <row r="10134" spans="1:13" s="120" customFormat="1" x14ac:dyDescent="0.25">
      <c r="A10134" s="119"/>
      <c r="B10134" s="138" t="str">
        <f t="shared" si="850"/>
        <v>Aerated Static Pile</v>
      </c>
      <c r="C10134" s="138" t="str">
        <f t="shared" si="851"/>
        <v>Base_With Amendment</v>
      </c>
      <c r="D10134" s="138" t="str">
        <f t="shared" si="853"/>
        <v>Medium_High</v>
      </c>
      <c r="E10134" s="138" t="str">
        <f t="shared" si="848"/>
        <v>Low</v>
      </c>
      <c r="F10134" s="138" t="str">
        <f t="shared" si="852"/>
        <v>Upgraded</v>
      </c>
      <c r="G10134" s="153"/>
      <c r="H10134" s="210">
        <v>5.2999999999999999E-2</v>
      </c>
      <c r="I10134" s="160" t="s">
        <v>57</v>
      </c>
      <c r="J10134" s="160">
        <v>1.455E-2</v>
      </c>
      <c r="K10134" s="160" t="s">
        <v>23</v>
      </c>
      <c r="L10134" s="154" t="str">
        <f>IF(OpenLCAbasic!K10134="CTUh", "Fill in Manually",IF(OR(K10134="Unit", K10134=""), "", INDEX(LookUps!$E$5:$E$12, MATCH(OpenLCAbasic!K10134,LookUps!$D$5:$D$12,0))))</f>
        <v>Global Warming Potential (GWP) - kg CO2 eq</v>
      </c>
      <c r="M10134" s="154" t="str">
        <f t="shared" si="849"/>
        <v>Low_Medium_High_Upgraded_Global Warming Potential (GWP) - kg CO2 eq_Gravity Belt Thickener; wastewater treatment unit; at updated plant - US_Base_With Amendment_Aerated Static Pile</v>
      </c>
    </row>
    <row r="10135" spans="1:13" s="120" customFormat="1" x14ac:dyDescent="0.25">
      <c r="A10135" s="119"/>
      <c r="B10135" s="138" t="str">
        <f t="shared" si="850"/>
        <v>Aerated Static Pile</v>
      </c>
      <c r="C10135" s="138" t="str">
        <f t="shared" si="851"/>
        <v>Base_With Amendment</v>
      </c>
      <c r="D10135" s="138" t="str">
        <f t="shared" si="853"/>
        <v>Medium_High</v>
      </c>
      <c r="E10135" s="138" t="str">
        <f t="shared" si="848"/>
        <v>Low</v>
      </c>
      <c r="F10135" s="138" t="str">
        <f t="shared" si="852"/>
        <v>Upgraded</v>
      </c>
      <c r="G10135" s="153"/>
      <c r="H10135" s="210">
        <v>4.9099999999999998E-2</v>
      </c>
      <c r="I10135" s="160" t="s">
        <v>128</v>
      </c>
      <c r="J10135" s="160">
        <v>1.3509999999999999E-2</v>
      </c>
      <c r="K10135" s="160" t="s">
        <v>23</v>
      </c>
      <c r="L10135" s="154" t="str">
        <f>IF(OpenLCAbasic!K10135="CTUh", "Fill in Manually",IF(OR(K10135="Unit", K10135=""), "", INDEX(LookUps!$E$5:$E$12, MATCH(OpenLCAbasic!K10135,LookUps!$D$5:$D$12,0))))</f>
        <v>Global Warming Potential (GWP) - kg CO2 eq</v>
      </c>
      <c r="M10135" s="154" t="str">
        <f t="shared" si="849"/>
        <v>Low_Medium_High_Upgraded_Global Warming Potential (GWP) - kg CO2 eq_Wastewater collection; operation and infrastructure; m3 wastewater_Base_With Amendment_Aerated Static Pile</v>
      </c>
    </row>
    <row r="10136" spans="1:13" s="120" customFormat="1" x14ac:dyDescent="0.25">
      <c r="A10136" s="119"/>
      <c r="B10136" s="138" t="str">
        <f t="shared" si="850"/>
        <v>Aerated Static Pile</v>
      </c>
      <c r="C10136" s="138" t="str">
        <f t="shared" si="851"/>
        <v>Base_With Amendment</v>
      </c>
      <c r="D10136" s="138" t="str">
        <f t="shared" si="853"/>
        <v>Medium_High</v>
      </c>
      <c r="E10136" s="138" t="str">
        <f t="shared" si="848"/>
        <v>Low</v>
      </c>
      <c r="F10136" s="138" t="str">
        <f t="shared" si="852"/>
        <v>Upgraded</v>
      </c>
      <c r="G10136" s="153"/>
      <c r="H10136" s="210">
        <v>3.0200000000000001E-2</v>
      </c>
      <c r="I10136" s="160" t="s">
        <v>148</v>
      </c>
      <c r="J10136" s="160">
        <v>8.3000000000000001E-3</v>
      </c>
      <c r="K10136" s="160" t="s">
        <v>23</v>
      </c>
      <c r="L10136" s="154" t="str">
        <f>IF(OpenLCAbasic!K10136="CTUh", "Fill in Manually",IF(OR(K10136="Unit", K10136=""), "", INDEX(LookUps!$E$5:$E$12, MATCH(OpenLCAbasic!K10136,LookUps!$D$5:$D$12,0))))</f>
        <v>Global Warming Potential (GWP) - kg CO2 eq</v>
      </c>
      <c r="M10136" s="154" t="str">
        <f t="shared" si="849"/>
        <v>Low_Medium_High_Upgraded_Global Warming Potential (GWP) - kg CO2 eq_Control Building; at upgraded wastewater treatment plant - US_Base_With Amendment_Aerated Static Pile</v>
      </c>
    </row>
    <row r="10137" spans="1:13" s="120" customFormat="1" x14ac:dyDescent="0.25">
      <c r="A10137" s="119"/>
      <c r="B10137" s="138" t="str">
        <f t="shared" si="850"/>
        <v>Aerated Static Pile</v>
      </c>
      <c r="C10137" s="138" t="str">
        <f t="shared" si="851"/>
        <v>Base_With Amendment</v>
      </c>
      <c r="D10137" s="138" t="str">
        <f t="shared" si="853"/>
        <v>Medium_High</v>
      </c>
      <c r="E10137" s="138" t="str">
        <f t="shared" si="848"/>
        <v>Low</v>
      </c>
      <c r="F10137" s="138" t="str">
        <f t="shared" si="852"/>
        <v>Upgraded</v>
      </c>
      <c r="G10137" s="153"/>
      <c r="H10137" s="210">
        <v>1.84E-2</v>
      </c>
      <c r="I10137" s="160" t="s">
        <v>59</v>
      </c>
      <c r="J10137" s="160">
        <v>5.0400000000000002E-3</v>
      </c>
      <c r="K10137" s="160" t="s">
        <v>23</v>
      </c>
      <c r="L10137" s="154" t="str">
        <f>IF(OpenLCAbasic!K10137="CTUh", "Fill in Manually",IF(OR(K10137="Unit", K10137=""), "", INDEX(LookUps!$E$5:$E$12, MATCH(OpenLCAbasic!K10137,LookUps!$D$5:$D$12,0))))</f>
        <v>Global Warming Potential (GWP) - kg CO2 eq</v>
      </c>
      <c r="M10137" s="154" t="str">
        <f t="shared" si="849"/>
        <v>Low_Medium_High_Upgraded_Global Warming Potential (GWP) - kg CO2 eq_Blend Tank; wastewater treatment unit; at updated plant - US_Base_With Amendment_Aerated Static Pile</v>
      </c>
    </row>
    <row r="10138" spans="1:13" s="120" customFormat="1" x14ac:dyDescent="0.25">
      <c r="A10138" s="119"/>
      <c r="B10138" s="138" t="str">
        <f t="shared" si="850"/>
        <v>Aerated Static Pile</v>
      </c>
      <c r="C10138" s="138" t="str">
        <f t="shared" si="851"/>
        <v>Base_With Amendment</v>
      </c>
      <c r="D10138" s="138" t="str">
        <f t="shared" si="853"/>
        <v>Medium_High</v>
      </c>
      <c r="E10138" s="138" t="str">
        <f t="shared" si="848"/>
        <v>Low</v>
      </c>
      <c r="F10138" s="138" t="str">
        <f t="shared" si="852"/>
        <v>Upgraded</v>
      </c>
      <c r="G10138" s="153"/>
      <c r="H10138" s="210">
        <v>8.8000000000000005E-3</v>
      </c>
      <c r="I10138" s="160" t="s">
        <v>168</v>
      </c>
      <c r="J10138" s="160">
        <v>2.4099999999999998E-3</v>
      </c>
      <c r="K10138" s="160" t="s">
        <v>23</v>
      </c>
      <c r="L10138" s="154" t="str">
        <f>IF(OpenLCAbasic!K10138="CTUh", "Fill in Manually",IF(OR(K10138="Unit", K10138=""), "", INDEX(LookUps!$E$5:$E$12, MATCH(OpenLCAbasic!K10138,LookUps!$D$5:$D$12,0))))</f>
        <v>Global Warming Potential (GWP) - kg CO2 eq</v>
      </c>
      <c r="M10138" s="154" t="str">
        <f t="shared" si="849"/>
        <v>Low_Medium_High_Upgraded_Global Warming Potential (GWP) - kg CO2 eq_ClearCove SCP; wastewater treatment unit; at updated plant - US_Base_With Amendment_Aerated Static Pile</v>
      </c>
    </row>
    <row r="10139" spans="1:13" s="120" customFormat="1" x14ac:dyDescent="0.25">
      <c r="A10139" s="119"/>
      <c r="B10139" s="138" t="str">
        <f t="shared" si="850"/>
        <v>Aerated Static Pile</v>
      </c>
      <c r="C10139" s="138" t="str">
        <f t="shared" si="851"/>
        <v>Base_With Amendment</v>
      </c>
      <c r="D10139" s="138" t="str">
        <f t="shared" si="853"/>
        <v>Medium_High</v>
      </c>
      <c r="E10139" s="138" t="str">
        <f t="shared" si="848"/>
        <v>Low</v>
      </c>
      <c r="F10139" s="138" t="str">
        <f t="shared" si="852"/>
        <v>Upgraded</v>
      </c>
      <c r="G10139" s="153"/>
      <c r="H10139" s="210">
        <v>-2.1873</v>
      </c>
      <c r="I10139" s="160" t="s">
        <v>149</v>
      </c>
      <c r="J10139" s="160">
        <v>-0.60107999999999995</v>
      </c>
      <c r="K10139" s="160" t="s">
        <v>23</v>
      </c>
      <c r="L10139" s="154" t="str">
        <f>IF(OpenLCAbasic!K10139="CTUh", "Fill in Manually",IF(OR(K10139="Unit", K10139=""), "", INDEX(LookUps!$E$5:$E$12, MATCH(OpenLCAbasic!K10139,LookUps!$D$5:$D$12,0))))</f>
        <v>Global Warming Potential (GWP) - kg CO2 eq</v>
      </c>
      <c r="M10139" s="154" t="str">
        <f t="shared" si="849"/>
        <v>Low_Medium_High_Upgraded_Global Warming Potential (GWP) - kg CO2 eq_Anaerobic Digestion; wastewater treatment unit; at updated plant - US_Base_With Amendment_Aerated Static Pile</v>
      </c>
    </row>
    <row r="10140" spans="1:13" s="120" customFormat="1" x14ac:dyDescent="0.25">
      <c r="A10140" s="119"/>
      <c r="B10140" s="138" t="str">
        <f t="shared" si="850"/>
        <v>Aerated Static Pile</v>
      </c>
      <c r="C10140" s="138" t="str">
        <f t="shared" si="851"/>
        <v>Base_With Amendment</v>
      </c>
      <c r="D10140" s="138" t="str">
        <f t="shared" si="853"/>
        <v>Medium_High</v>
      </c>
      <c r="E10140" s="138" t="str">
        <f t="shared" si="848"/>
        <v>Low</v>
      </c>
      <c r="F10140" s="138" t="str">
        <f t="shared" si="852"/>
        <v>Upgraded</v>
      </c>
      <c r="G10140" s="153"/>
      <c r="H10140" s="210">
        <v>-2.2625999999999999</v>
      </c>
      <c r="I10140" s="160" t="s">
        <v>62</v>
      </c>
      <c r="J10140" s="160">
        <v>-0.62178999999999995</v>
      </c>
      <c r="K10140" s="160" t="s">
        <v>23</v>
      </c>
      <c r="L10140" s="154" t="str">
        <f>IF(OpenLCAbasic!K10140="CTUh", "Fill in Manually",IF(OR(K10140="Unit", K10140=""), "", INDEX(LookUps!$E$5:$E$12, MATCH(OpenLCAbasic!K10140,LookUps!$D$5:$D$12,0))))</f>
        <v>Global Warming Potential (GWP) - kg CO2 eq</v>
      </c>
      <c r="M10140" s="154" t="str">
        <f t="shared" si="849"/>
        <v>Low_Medium_High_Upgraded_Global Warming Potential (GWP) - kg CO2 eq_Land application of compost; wastewater treatment unit; at updated plant - US_Base_With Amendment_Aerated Static Pile</v>
      </c>
    </row>
    <row r="10141" spans="1:13" s="120" customFormat="1" x14ac:dyDescent="0.25">
      <c r="A10141" s="119"/>
      <c r="B10141" s="138" t="str">
        <f t="shared" si="850"/>
        <v/>
      </c>
      <c r="C10141" s="138" t="str">
        <f t="shared" si="851"/>
        <v/>
      </c>
      <c r="D10141" s="138" t="str">
        <f t="shared" si="853"/>
        <v/>
      </c>
      <c r="E10141" s="138" t="str">
        <f t="shared" si="848"/>
        <v/>
      </c>
      <c r="F10141" s="138" t="str">
        <f t="shared" si="852"/>
        <v/>
      </c>
      <c r="G10141" s="153" t="s">
        <v>51</v>
      </c>
      <c r="H10141" s="160"/>
      <c r="I10141" s="160" t="s">
        <v>47</v>
      </c>
      <c r="J10141" s="160" t="s">
        <v>52</v>
      </c>
      <c r="K10141" s="160" t="s">
        <v>27</v>
      </c>
      <c r="L10141" s="154" t="str">
        <f>IF(OpenLCAbasic!K10141="CTUh", "Fill in Manually",IF(OR(K10141="Unit", K10141=""), "", INDEX(LookUps!$E$5:$E$12, MATCH(OpenLCAbasic!K10141,LookUps!$D$5:$D$12,0))))</f>
        <v/>
      </c>
      <c r="M10141" s="154" t="str">
        <f t="shared" si="849"/>
        <v>____Process__</v>
      </c>
    </row>
    <row r="10142" spans="1:13" s="120" customFormat="1" x14ac:dyDescent="0.25">
      <c r="A10142" s="119"/>
      <c r="B10142" s="138" t="str">
        <f t="shared" si="850"/>
        <v>Aerated Static Pile</v>
      </c>
      <c r="C10142" s="138" t="str">
        <f t="shared" si="851"/>
        <v>Base_With Amendment</v>
      </c>
      <c r="D10142" s="138" t="str">
        <f t="shared" si="853"/>
        <v>Medium_High</v>
      </c>
      <c r="E10142" s="138" t="str">
        <f t="shared" si="848"/>
        <v>Low</v>
      </c>
      <c r="F10142" s="138" t="str">
        <f t="shared" si="852"/>
        <v>Upgraded</v>
      </c>
      <c r="G10142" s="153"/>
      <c r="H10142" s="210">
        <v>1.6276999999999999</v>
      </c>
      <c r="I10142" s="160" t="s">
        <v>55</v>
      </c>
      <c r="J10142" s="160">
        <v>2.33E-3</v>
      </c>
      <c r="K10142" s="160" t="s">
        <v>145</v>
      </c>
      <c r="L10142" s="154" t="str">
        <f>IF(OpenLCAbasic!K10142="CTUh", "Fill in Manually",IF(OR(K10142="Unit", K10142=""), "", INDEX(LookUps!$E$5:$E$12, MATCH(OpenLCAbasic!K10142,LookUps!$D$5:$D$12,0))))</f>
        <v>Particulate Matter Formation Potential (PMFP) - kg PM2.5 eq</v>
      </c>
      <c r="M10142" s="154" t="str">
        <f t="shared" si="849"/>
        <v>Low_Medium_High_Upgraded_Particulate Matter Formation Potential (PMFP) - kg PM2.5 eq_Aeration Tanks; wastewater treatment unit; at updated plant - US_Base_With Amendment_Aerated Static Pile</v>
      </c>
    </row>
    <row r="10143" spans="1:13" s="120" customFormat="1" x14ac:dyDescent="0.25">
      <c r="A10143" s="119"/>
      <c r="B10143" s="138" t="str">
        <f t="shared" si="850"/>
        <v>Aerated Static Pile</v>
      </c>
      <c r="C10143" s="138" t="str">
        <f t="shared" si="851"/>
        <v>Base_With Amendment</v>
      </c>
      <c r="D10143" s="138" t="str">
        <f t="shared" si="853"/>
        <v>Medium_High</v>
      </c>
      <c r="E10143" s="138" t="str">
        <f t="shared" si="848"/>
        <v>Low</v>
      </c>
      <c r="F10143" s="138" t="str">
        <f t="shared" si="852"/>
        <v>Upgraded</v>
      </c>
      <c r="G10143" s="153"/>
      <c r="H10143" s="210">
        <v>0.77800000000000002</v>
      </c>
      <c r="I10143" s="160" t="s">
        <v>435</v>
      </c>
      <c r="J10143" s="160">
        <v>1.1199999999999999E-3</v>
      </c>
      <c r="K10143" s="160" t="s">
        <v>145</v>
      </c>
      <c r="L10143" s="154" t="str">
        <f>IF(OpenLCAbasic!K10143="CTUh", "Fill in Manually",IF(OR(K10143="Unit", K10143=""), "", INDEX(LookUps!$E$5:$E$12, MATCH(OpenLCAbasic!K10143,LookUps!$D$5:$D$12,0))))</f>
        <v>Particulate Matter Formation Potential (PMFP) - kg PM2.5 eq</v>
      </c>
      <c r="M10143" s="154" t="str">
        <f t="shared" si="849"/>
        <v>Low_Medium_High_Upgraded_Particulate Matter Formation Potential (PMFP) - kg PM2.5 eq_Biosolids composting; aerated static pile; wastewater treatment unit; at updated plant - US_Base_With Amendment_Aerated Static Pile</v>
      </c>
    </row>
    <row r="10144" spans="1:13" s="120" customFormat="1" x14ac:dyDescent="0.25">
      <c r="A10144" s="119"/>
      <c r="B10144" s="138" t="str">
        <f t="shared" si="850"/>
        <v>Aerated Static Pile</v>
      </c>
      <c r="C10144" s="138" t="str">
        <f t="shared" si="851"/>
        <v>Base_With Amendment</v>
      </c>
      <c r="D10144" s="138" t="str">
        <f t="shared" si="853"/>
        <v>Medium_High</v>
      </c>
      <c r="E10144" s="138" t="str">
        <f t="shared" si="848"/>
        <v>Low</v>
      </c>
      <c r="F10144" s="138" t="str">
        <f t="shared" si="852"/>
        <v>Upgraded</v>
      </c>
      <c r="G10144" s="153"/>
      <c r="H10144" s="210">
        <v>0.47370000000000001</v>
      </c>
      <c r="I10144" s="160" t="s">
        <v>54</v>
      </c>
      <c r="J10144" s="160">
        <v>6.8000000000000005E-4</v>
      </c>
      <c r="K10144" s="160" t="s">
        <v>145</v>
      </c>
      <c r="L10144" s="154" t="str">
        <f>IF(OpenLCAbasic!K10144="CTUh", "Fill in Manually",IF(OR(K10144="Unit", K10144=""), "", INDEX(LookUps!$E$5:$E$12, MATCH(OpenLCAbasic!K10144,LookUps!$D$5:$D$12,0))))</f>
        <v>Particulate Matter Formation Potential (PMFP) - kg PM2.5 eq</v>
      </c>
      <c r="M10144" s="154" t="str">
        <f t="shared" si="849"/>
        <v>Low_Medium_High_Upgraded_Particulate Matter Formation Potential (PMFP) - kg PM2.5 eq_Clear Cove Primary Clarification; wastewater treatment unit; at updated plant - US_Base_With Amendment_Aerated Static Pile</v>
      </c>
    </row>
    <row r="10145" spans="1:13" s="120" customFormat="1" x14ac:dyDescent="0.25">
      <c r="A10145" s="119"/>
      <c r="B10145" s="138" t="str">
        <f t="shared" si="850"/>
        <v>Aerated Static Pile</v>
      </c>
      <c r="C10145" s="138" t="str">
        <f t="shared" si="851"/>
        <v>Base_With Amendment</v>
      </c>
      <c r="D10145" s="138" t="str">
        <f t="shared" si="853"/>
        <v>Medium_High</v>
      </c>
      <c r="E10145" s="138" t="str">
        <f t="shared" si="848"/>
        <v>Low</v>
      </c>
      <c r="F10145" s="138" t="str">
        <f t="shared" si="852"/>
        <v>Upgraded</v>
      </c>
      <c r="G10145" s="153"/>
      <c r="H10145" s="210">
        <v>0.41060000000000002</v>
      </c>
      <c r="I10145" s="160" t="s">
        <v>58</v>
      </c>
      <c r="J10145" s="160">
        <v>5.9000000000000003E-4</v>
      </c>
      <c r="K10145" s="160" t="s">
        <v>145</v>
      </c>
      <c r="L10145" s="154" t="str">
        <f>IF(OpenLCAbasic!K10145="CTUh", "Fill in Manually",IF(OR(K10145="Unit", K10145=""), "", INDEX(LookUps!$E$5:$E$12, MATCH(OpenLCAbasic!K10145,LookUps!$D$5:$D$12,0))))</f>
        <v>Particulate Matter Formation Potential (PMFP) - kg PM2.5 eq</v>
      </c>
      <c r="M10145" s="154" t="str">
        <f t="shared" si="849"/>
        <v>Low_Medium_High_Upgraded_Particulate Matter Formation Potential (PMFP) - kg PM2.5 eq_Pre-Anoxic &amp; Swing tank; wastewater treatment unit; at updated plant - US_Base_With Amendment_Aerated Static Pile</v>
      </c>
    </row>
    <row r="10146" spans="1:13" s="120" customFormat="1" x14ac:dyDescent="0.25">
      <c r="A10146" s="119"/>
      <c r="B10146" s="138" t="str">
        <f t="shared" si="850"/>
        <v>Aerated Static Pile</v>
      </c>
      <c r="C10146" s="138" t="str">
        <f t="shared" si="851"/>
        <v>Base_With Amendment</v>
      </c>
      <c r="D10146" s="138" t="str">
        <f t="shared" si="853"/>
        <v>Medium_High</v>
      </c>
      <c r="E10146" s="138" t="str">
        <f t="shared" si="848"/>
        <v>Low</v>
      </c>
      <c r="F10146" s="138" t="str">
        <f t="shared" si="852"/>
        <v>Upgraded</v>
      </c>
      <c r="G10146" s="153"/>
      <c r="H10146" s="210">
        <v>0.32540000000000002</v>
      </c>
      <c r="I10146" s="160" t="s">
        <v>53</v>
      </c>
      <c r="J10146" s="160">
        <v>4.6999999999999999E-4</v>
      </c>
      <c r="K10146" s="160" t="s">
        <v>145</v>
      </c>
      <c r="L10146" s="154" t="str">
        <f>IF(OpenLCAbasic!K10146="CTUh", "Fill in Manually",IF(OR(K10146="Unit", K10146=""), "", INDEX(LookUps!$E$5:$E$12, MATCH(OpenLCAbasic!K10146,LookUps!$D$5:$D$12,0))))</f>
        <v>Particulate Matter Formation Potential (PMFP) - kg PM2.5 eq</v>
      </c>
      <c r="M10146" s="154" t="str">
        <f t="shared" si="849"/>
        <v>Low_Medium_High_Upgraded_Particulate Matter Formation Potential (PMFP) - kg PM2.5 eq_Wet Well and Sump Station; wastewater treatment unit; at updated plant - US_Base_With Amendment_Aerated Static Pile</v>
      </c>
    </row>
    <row r="10147" spans="1:13" s="120" customFormat="1" x14ac:dyDescent="0.25">
      <c r="A10147" s="119"/>
      <c r="B10147" s="138" t="str">
        <f t="shared" si="850"/>
        <v>Aerated Static Pile</v>
      </c>
      <c r="C10147" s="138" t="str">
        <f t="shared" si="851"/>
        <v>Base_With Amendment</v>
      </c>
      <c r="D10147" s="138" t="str">
        <f t="shared" si="853"/>
        <v>Medium_High</v>
      </c>
      <c r="E10147" s="138" t="str">
        <f t="shared" si="848"/>
        <v>Low</v>
      </c>
      <c r="F10147" s="138" t="str">
        <f t="shared" si="852"/>
        <v>Upgraded</v>
      </c>
      <c r="G10147" s="153"/>
      <c r="H10147" s="210">
        <v>0.21940000000000001</v>
      </c>
      <c r="I10147" s="160" t="s">
        <v>167</v>
      </c>
      <c r="J10147" s="160">
        <v>3.1E-4</v>
      </c>
      <c r="K10147" s="160" t="s">
        <v>145</v>
      </c>
      <c r="L10147" s="154" t="str">
        <f>IF(OpenLCAbasic!K10147="CTUh", "Fill in Manually",IF(OR(K10147="Unit", K10147=""), "", INDEX(LookUps!$E$5:$E$12, MATCH(OpenLCAbasic!K10147,LookUps!$D$5:$D$12,0))))</f>
        <v>Particulate Matter Formation Potential (PMFP) - kg PM2.5 eq</v>
      </c>
      <c r="M10147" s="154" t="str">
        <f t="shared" si="849"/>
        <v>Low_Medium_High_Upgraded_Particulate Matter Formation Potential (PMFP) - kg PM2.5 eq_Waste Receiving and Holding; wastewater treatment unit; at updated plant - US_Base_With Amendment_Aerated Static Pile</v>
      </c>
    </row>
    <row r="10148" spans="1:13" s="120" customFormat="1" x14ac:dyDescent="0.25">
      <c r="A10148" s="119"/>
      <c r="B10148" s="138" t="str">
        <f t="shared" si="850"/>
        <v>Aerated Static Pile</v>
      </c>
      <c r="C10148" s="138" t="str">
        <f t="shared" si="851"/>
        <v>Base_With Amendment</v>
      </c>
      <c r="D10148" s="138" t="str">
        <f t="shared" si="853"/>
        <v>Medium_High</v>
      </c>
      <c r="E10148" s="138" t="str">
        <f t="shared" si="848"/>
        <v>Low</v>
      </c>
      <c r="F10148" s="138" t="str">
        <f t="shared" si="852"/>
        <v>Upgraded</v>
      </c>
      <c r="G10148" s="153"/>
      <c r="H10148" s="210">
        <v>0.186</v>
      </c>
      <c r="I10148" s="160" t="s">
        <v>147</v>
      </c>
      <c r="J10148" s="160">
        <v>2.7E-4</v>
      </c>
      <c r="K10148" s="160" t="s">
        <v>145</v>
      </c>
      <c r="L10148" s="154" t="str">
        <f>IF(OpenLCAbasic!K10148="CTUh", "Fill in Manually",IF(OR(K10148="Unit", K10148=""), "", INDEX(LookUps!$E$5:$E$12, MATCH(OpenLCAbasic!K10148,LookUps!$D$5:$D$12,0))))</f>
        <v>Particulate Matter Formation Potential (PMFP) - kg PM2.5 eq</v>
      </c>
      <c r="M10148" s="154" t="str">
        <f t="shared" si="849"/>
        <v>Low_Medium_High_Upgraded_Particulate Matter Formation Potential (PMFP) - kg PM2.5 eq_Influent Pump Station; wastewater treatment unit; at updated plant - US_Base_With Amendment_Aerated Static Pile</v>
      </c>
    </row>
    <row r="10149" spans="1:13" s="120" customFormat="1" x14ac:dyDescent="0.25">
      <c r="A10149" s="119"/>
      <c r="B10149" s="138" t="str">
        <f t="shared" si="850"/>
        <v>Aerated Static Pile</v>
      </c>
      <c r="C10149" s="138" t="str">
        <f t="shared" si="851"/>
        <v>Base_With Amendment</v>
      </c>
      <c r="D10149" s="138" t="str">
        <f t="shared" si="853"/>
        <v>Medium_High</v>
      </c>
      <c r="E10149" s="138" t="str">
        <f t="shared" si="848"/>
        <v>Low</v>
      </c>
      <c r="F10149" s="138" t="str">
        <f t="shared" si="852"/>
        <v>Upgraded</v>
      </c>
      <c r="G10149" s="153"/>
      <c r="H10149" s="210">
        <v>0.11609999999999999</v>
      </c>
      <c r="I10149" s="160" t="s">
        <v>128</v>
      </c>
      <c r="J10149" s="160">
        <v>1.7000000000000001E-4</v>
      </c>
      <c r="K10149" s="160" t="s">
        <v>145</v>
      </c>
      <c r="L10149" s="154" t="str">
        <f>IF(OpenLCAbasic!K10149="CTUh", "Fill in Manually",IF(OR(K10149="Unit", K10149=""), "", INDEX(LookUps!$E$5:$E$12, MATCH(OpenLCAbasic!K10149,LookUps!$D$5:$D$12,0))))</f>
        <v>Particulate Matter Formation Potential (PMFP) - kg PM2.5 eq</v>
      </c>
      <c r="M10149" s="154" t="str">
        <f t="shared" si="849"/>
        <v>Low_Medium_High_Upgraded_Particulate Matter Formation Potential (PMFP) - kg PM2.5 eq_Wastewater collection; operation and infrastructure; m3 wastewater_Base_With Amendment_Aerated Static Pile</v>
      </c>
    </row>
    <row r="10150" spans="1:13" s="120" customFormat="1" x14ac:dyDescent="0.25">
      <c r="A10150" s="119"/>
      <c r="B10150" s="138" t="str">
        <f t="shared" si="850"/>
        <v>Aerated Static Pile</v>
      </c>
      <c r="C10150" s="138" t="str">
        <f t="shared" si="851"/>
        <v>Base_With Amendment</v>
      </c>
      <c r="D10150" s="138" t="str">
        <f t="shared" si="853"/>
        <v>Medium_High</v>
      </c>
      <c r="E10150" s="138" t="str">
        <f t="shared" si="848"/>
        <v>Low</v>
      </c>
      <c r="F10150" s="138" t="str">
        <f t="shared" si="852"/>
        <v>Upgraded</v>
      </c>
      <c r="G10150" s="153"/>
      <c r="H10150" s="210">
        <v>9.6199999999999994E-2</v>
      </c>
      <c r="I10150" s="160" t="s">
        <v>60</v>
      </c>
      <c r="J10150" s="160">
        <v>1.3999999999999999E-4</v>
      </c>
      <c r="K10150" s="160" t="s">
        <v>145</v>
      </c>
      <c r="L10150" s="154" t="str">
        <f>IF(OpenLCAbasic!K10150="CTUh", "Fill in Manually",IF(OR(K10150="Unit", K10150=""), "", INDEX(LookUps!$E$5:$E$12, MATCH(OpenLCAbasic!K10150,LookUps!$D$5:$D$12,0))))</f>
        <v>Particulate Matter Formation Potential (PMFP) - kg PM2.5 eq</v>
      </c>
      <c r="M10150" s="154" t="str">
        <f t="shared" si="849"/>
        <v>Low_Medium_High_Upgraded_Particulate Matter Formation Potential (PMFP) - kg PM2.5 eq_Belt filter press; wastewater treatment unit; at updated plant - US_Base_With Amendment_Aerated Static Pile</v>
      </c>
    </row>
    <row r="10151" spans="1:13" s="120" customFormat="1" x14ac:dyDescent="0.25">
      <c r="A10151" s="119"/>
      <c r="B10151" s="138" t="str">
        <f t="shared" si="850"/>
        <v>Aerated Static Pile</v>
      </c>
      <c r="C10151" s="138" t="str">
        <f t="shared" si="851"/>
        <v>Base_With Amendment</v>
      </c>
      <c r="D10151" s="138" t="str">
        <f t="shared" si="853"/>
        <v>Medium_High</v>
      </c>
      <c r="E10151" s="138" t="str">
        <f t="shared" si="848"/>
        <v>Low</v>
      </c>
      <c r="F10151" s="138" t="str">
        <f t="shared" si="852"/>
        <v>Upgraded</v>
      </c>
      <c r="G10151" s="153"/>
      <c r="H10151" s="210">
        <v>6.6400000000000001E-2</v>
      </c>
      <c r="I10151" s="160" t="s">
        <v>57</v>
      </c>
      <c r="J10151" s="211">
        <v>9.5153800000000004E-5</v>
      </c>
      <c r="K10151" s="160" t="s">
        <v>145</v>
      </c>
      <c r="L10151" s="154" t="str">
        <f>IF(OpenLCAbasic!K10151="CTUh", "Fill in Manually",IF(OR(K10151="Unit", K10151=""), "", INDEX(LookUps!$E$5:$E$12, MATCH(OpenLCAbasic!K10151,LookUps!$D$5:$D$12,0))))</f>
        <v>Particulate Matter Formation Potential (PMFP) - kg PM2.5 eq</v>
      </c>
      <c r="M10151" s="154" t="str">
        <f t="shared" si="849"/>
        <v>Low_Medium_High_Upgraded_Particulate Matter Formation Potential (PMFP) - kg PM2.5 eq_Gravity Belt Thickener; wastewater treatment unit; at updated plant - US_Base_With Amendment_Aerated Static Pile</v>
      </c>
    </row>
    <row r="10152" spans="1:13" s="120" customFormat="1" x14ac:dyDescent="0.25">
      <c r="A10152" s="119"/>
      <c r="B10152" s="138" t="str">
        <f t="shared" si="850"/>
        <v>Aerated Static Pile</v>
      </c>
      <c r="C10152" s="138" t="str">
        <f t="shared" si="851"/>
        <v>Base_With Amendment</v>
      </c>
      <c r="D10152" s="138" t="str">
        <f t="shared" si="853"/>
        <v>Medium_High</v>
      </c>
      <c r="E10152" s="138" t="str">
        <f t="shared" si="848"/>
        <v>Low</v>
      </c>
      <c r="F10152" s="138" t="str">
        <f t="shared" si="852"/>
        <v>Upgraded</v>
      </c>
      <c r="G10152" s="153"/>
      <c r="H10152" s="210">
        <v>4.8800000000000003E-2</v>
      </c>
      <c r="I10152" s="160" t="s">
        <v>59</v>
      </c>
      <c r="J10152" s="211">
        <v>6.9942200000000003E-5</v>
      </c>
      <c r="K10152" s="160" t="s">
        <v>145</v>
      </c>
      <c r="L10152" s="154" t="str">
        <f>IF(OpenLCAbasic!K10152="CTUh", "Fill in Manually",IF(OR(K10152="Unit", K10152=""), "", INDEX(LookUps!$E$5:$E$12, MATCH(OpenLCAbasic!K10152,LookUps!$D$5:$D$12,0))))</f>
        <v>Particulate Matter Formation Potential (PMFP) - kg PM2.5 eq</v>
      </c>
      <c r="M10152" s="154" t="str">
        <f t="shared" si="849"/>
        <v>Low_Medium_High_Upgraded_Particulate Matter Formation Potential (PMFP) - kg PM2.5 eq_Blend Tank; wastewater treatment unit; at updated plant - US_Base_With Amendment_Aerated Static Pile</v>
      </c>
    </row>
    <row r="10153" spans="1:13" s="120" customFormat="1" x14ac:dyDescent="0.25">
      <c r="A10153" s="119"/>
      <c r="B10153" s="138" t="str">
        <f t="shared" si="850"/>
        <v>Aerated Static Pile</v>
      </c>
      <c r="C10153" s="138" t="str">
        <f t="shared" si="851"/>
        <v>Base_With Amendment</v>
      </c>
      <c r="D10153" s="138" t="str">
        <f t="shared" si="853"/>
        <v>Medium_High</v>
      </c>
      <c r="E10153" s="138" t="str">
        <f t="shared" ref="E10153:E10216" si="854">IF(ISNUMBER($J10153),"Low","")</f>
        <v>Low</v>
      </c>
      <c r="F10153" s="138" t="str">
        <f t="shared" si="852"/>
        <v>Upgraded</v>
      </c>
      <c r="G10153" s="153"/>
      <c r="H10153" s="210">
        <v>4.8099999999999997E-2</v>
      </c>
      <c r="I10153" s="160" t="s">
        <v>62</v>
      </c>
      <c r="J10153" s="211">
        <v>6.8921800000000001E-5</v>
      </c>
      <c r="K10153" s="160" t="s">
        <v>145</v>
      </c>
      <c r="L10153" s="154" t="str">
        <f>IF(OpenLCAbasic!K10153="CTUh", "Fill in Manually",IF(OR(K10153="Unit", K10153=""), "", INDEX(LookUps!$E$5:$E$12, MATCH(OpenLCAbasic!K10153,LookUps!$D$5:$D$12,0))))</f>
        <v>Particulate Matter Formation Potential (PMFP) - kg PM2.5 eq</v>
      </c>
      <c r="M10153" s="154" t="str">
        <f t="shared" si="849"/>
        <v>Low_Medium_High_Upgraded_Particulate Matter Formation Potential (PMFP) - kg PM2.5 eq_Land application of compost; wastewater treatment unit; at updated plant - US_Base_With Amendment_Aerated Static Pile</v>
      </c>
    </row>
    <row r="10154" spans="1:13" s="120" customFormat="1" x14ac:dyDescent="0.25">
      <c r="A10154" s="119"/>
      <c r="B10154" s="138" t="str">
        <f t="shared" si="850"/>
        <v>Aerated Static Pile</v>
      </c>
      <c r="C10154" s="138" t="str">
        <f t="shared" si="851"/>
        <v>Base_With Amendment</v>
      </c>
      <c r="D10154" s="138" t="str">
        <f t="shared" si="853"/>
        <v>Medium_High</v>
      </c>
      <c r="E10154" s="138" t="str">
        <f t="shared" si="854"/>
        <v>Low</v>
      </c>
      <c r="F10154" s="138" t="str">
        <f t="shared" si="852"/>
        <v>Upgraded</v>
      </c>
      <c r="G10154" s="153"/>
      <c r="H10154" s="210">
        <v>3.49E-2</v>
      </c>
      <c r="I10154" s="160" t="s">
        <v>48</v>
      </c>
      <c r="J10154" s="211">
        <v>4.99741E-5</v>
      </c>
      <c r="K10154" s="160" t="s">
        <v>145</v>
      </c>
      <c r="L10154" s="154" t="str">
        <f>IF(OpenLCAbasic!K10154="CTUh", "Fill in Manually",IF(OR(K10154="Unit", K10154=""), "", INDEX(LookUps!$E$5:$E$12, MATCH(OpenLCAbasic!K10154,LookUps!$D$5:$D$12,0))))</f>
        <v>Particulate Matter Formation Potential (PMFP) - kg PM2.5 eq</v>
      </c>
      <c r="M10154" s="154" t="str">
        <f t="shared" si="849"/>
        <v>Low_Medium_High_Upgraded_Particulate Matter Formation Potential (PMFP) - kg PM2.5 eq_Effluent release; wastewater treatment unit; at surface water; m3 wastewater - US_Base_With Amendment_Aerated Static Pile</v>
      </c>
    </row>
    <row r="10155" spans="1:13" s="120" customFormat="1" x14ac:dyDescent="0.25">
      <c r="A10155" s="119"/>
      <c r="B10155" s="138" t="str">
        <f t="shared" si="850"/>
        <v>Aerated Static Pile</v>
      </c>
      <c r="C10155" s="138" t="str">
        <f t="shared" si="851"/>
        <v>Base_With Amendment</v>
      </c>
      <c r="D10155" s="138" t="str">
        <f t="shared" si="853"/>
        <v>Medium_High</v>
      </c>
      <c r="E10155" s="138" t="str">
        <f t="shared" si="854"/>
        <v>Low</v>
      </c>
      <c r="F10155" s="138" t="str">
        <f t="shared" si="852"/>
        <v>Upgraded</v>
      </c>
      <c r="G10155" s="153"/>
      <c r="H10155" s="210">
        <v>2.41E-2</v>
      </c>
      <c r="I10155" s="160" t="s">
        <v>168</v>
      </c>
      <c r="J10155" s="211">
        <v>3.4562199999999999E-5</v>
      </c>
      <c r="K10155" s="160" t="s">
        <v>145</v>
      </c>
      <c r="L10155" s="154" t="str">
        <f>IF(OpenLCAbasic!K10155="CTUh", "Fill in Manually",IF(OR(K10155="Unit", K10155=""), "", INDEX(LookUps!$E$5:$E$12, MATCH(OpenLCAbasic!K10155,LookUps!$D$5:$D$12,0))))</f>
        <v>Particulate Matter Formation Potential (PMFP) - kg PM2.5 eq</v>
      </c>
      <c r="M10155" s="154" t="str">
        <f t="shared" si="849"/>
        <v>Low_Medium_High_Upgraded_Particulate Matter Formation Potential (PMFP) - kg PM2.5 eq_ClearCove SCP; wastewater treatment unit; at updated plant - US_Base_With Amendment_Aerated Static Pile</v>
      </c>
    </row>
    <row r="10156" spans="1:13" s="120" customFormat="1" x14ac:dyDescent="0.25">
      <c r="A10156" s="119"/>
      <c r="B10156" s="138" t="str">
        <f t="shared" si="850"/>
        <v>Aerated Static Pile</v>
      </c>
      <c r="C10156" s="138" t="str">
        <f t="shared" si="851"/>
        <v>Base_With Amendment</v>
      </c>
      <c r="D10156" s="138" t="str">
        <f t="shared" si="853"/>
        <v>Medium_High</v>
      </c>
      <c r="E10156" s="138" t="str">
        <f t="shared" si="854"/>
        <v>Low</v>
      </c>
      <c r="F10156" s="138" t="str">
        <f t="shared" si="852"/>
        <v>Upgraded</v>
      </c>
      <c r="G10156" s="153"/>
      <c r="H10156" s="210">
        <v>6.1999999999999998E-3</v>
      </c>
      <c r="I10156" s="160" t="s">
        <v>148</v>
      </c>
      <c r="J10156" s="211">
        <v>8.8212999999999997E-6</v>
      </c>
      <c r="K10156" s="160" t="s">
        <v>145</v>
      </c>
      <c r="L10156" s="154" t="str">
        <f>IF(OpenLCAbasic!K10156="CTUh", "Fill in Manually",IF(OR(K10156="Unit", K10156=""), "", INDEX(LookUps!$E$5:$E$12, MATCH(OpenLCAbasic!K10156,LookUps!$D$5:$D$12,0))))</f>
        <v>Particulate Matter Formation Potential (PMFP) - kg PM2.5 eq</v>
      </c>
      <c r="M10156" s="154" t="str">
        <f t="shared" si="849"/>
        <v>Low_Medium_High_Upgraded_Particulate Matter Formation Potential (PMFP) - kg PM2.5 eq_Control Building; at upgraded wastewater treatment plant - US_Base_With Amendment_Aerated Static Pile</v>
      </c>
    </row>
    <row r="10157" spans="1:13" s="120" customFormat="1" x14ac:dyDescent="0.25">
      <c r="A10157" s="119"/>
      <c r="B10157" s="138" t="str">
        <f t="shared" si="850"/>
        <v>Aerated Static Pile</v>
      </c>
      <c r="C10157" s="138" t="str">
        <f t="shared" si="851"/>
        <v>Base_With Amendment</v>
      </c>
      <c r="D10157" s="138" t="str">
        <f t="shared" si="853"/>
        <v>Medium_High</v>
      </c>
      <c r="E10157" s="138" t="str">
        <f t="shared" si="854"/>
        <v>Low</v>
      </c>
      <c r="F10157" s="138" t="str">
        <f t="shared" si="852"/>
        <v>Upgraded</v>
      </c>
      <c r="G10157" s="153"/>
      <c r="H10157" s="210">
        <v>-5.4615999999999998</v>
      </c>
      <c r="I10157" s="160" t="s">
        <v>149</v>
      </c>
      <c r="J10157" s="160">
        <v>-7.8300000000000002E-3</v>
      </c>
      <c r="K10157" s="160" t="s">
        <v>145</v>
      </c>
      <c r="L10157" s="154" t="str">
        <f>IF(OpenLCAbasic!K10157="CTUh", "Fill in Manually",IF(OR(K10157="Unit", K10157=""), "", INDEX(LookUps!$E$5:$E$12, MATCH(OpenLCAbasic!K10157,LookUps!$D$5:$D$12,0))))</f>
        <v>Particulate Matter Formation Potential (PMFP) - kg PM2.5 eq</v>
      </c>
      <c r="M10157" s="154" t="str">
        <f t="shared" si="849"/>
        <v>Low_Medium_High_Upgraded_Particulate Matter Formation Potential (PMFP) - kg PM2.5 eq_Anaerobic Digestion; wastewater treatment unit; at updated plant - US_Base_With Amendment_Aerated Static Pile</v>
      </c>
    </row>
    <row r="10158" spans="1:13" s="120" customFormat="1" x14ac:dyDescent="0.25">
      <c r="A10158" s="119"/>
      <c r="B10158" s="138" t="str">
        <f t="shared" si="850"/>
        <v/>
      </c>
      <c r="C10158" s="138" t="str">
        <f t="shared" si="851"/>
        <v/>
      </c>
      <c r="D10158" s="138" t="str">
        <f t="shared" si="853"/>
        <v/>
      </c>
      <c r="E10158" s="138" t="str">
        <f t="shared" si="854"/>
        <v/>
      </c>
      <c r="F10158" s="138" t="str">
        <f t="shared" si="852"/>
        <v/>
      </c>
      <c r="G10158" s="153" t="s">
        <v>51</v>
      </c>
      <c r="H10158" s="160"/>
      <c r="I10158" s="160" t="s">
        <v>47</v>
      </c>
      <c r="J10158" s="160" t="s">
        <v>52</v>
      </c>
      <c r="K10158" s="160" t="s">
        <v>27</v>
      </c>
      <c r="L10158" s="154" t="str">
        <f>IF(OpenLCAbasic!K10158="CTUh", "Fill in Manually",IF(OR(K10158="Unit", K10158=""), "", INDEX(LookUps!$E$5:$E$12, MATCH(OpenLCAbasic!K10158,LookUps!$D$5:$D$12,0))))</f>
        <v/>
      </c>
      <c r="M10158" s="154" t="str">
        <f t="shared" si="849"/>
        <v>____Process__</v>
      </c>
    </row>
    <row r="10159" spans="1:13" s="120" customFormat="1" x14ac:dyDescent="0.25">
      <c r="A10159" s="119"/>
      <c r="B10159" s="138" t="str">
        <f t="shared" si="850"/>
        <v>Aerated Static Pile</v>
      </c>
      <c r="C10159" s="138" t="str">
        <f t="shared" si="851"/>
        <v>Base_With Amendment</v>
      </c>
      <c r="D10159" s="138" t="str">
        <f t="shared" si="853"/>
        <v>Medium_High</v>
      </c>
      <c r="E10159" s="138" t="str">
        <f t="shared" si="854"/>
        <v>Low</v>
      </c>
      <c r="F10159" s="138" t="str">
        <f t="shared" si="852"/>
        <v>Upgraded</v>
      </c>
      <c r="G10159" s="153"/>
      <c r="H10159" s="210">
        <v>1.599</v>
      </c>
      <c r="I10159" s="160" t="s">
        <v>55</v>
      </c>
      <c r="J10159" s="160">
        <v>0.16577</v>
      </c>
      <c r="K10159" s="160" t="s">
        <v>25</v>
      </c>
      <c r="L10159" s="154" t="str">
        <f>IF(OpenLCAbasic!K10159="CTUh", "Fill in Manually",IF(OR(K10159="Unit", K10159=""), "", INDEX(LookUps!$E$5:$E$12, MATCH(OpenLCAbasic!K10159,LookUps!$D$5:$D$12,0))))</f>
        <v>Smog Formation Potential (SFP) - kg O3 eq</v>
      </c>
      <c r="M10159" s="154" t="str">
        <f t="shared" si="849"/>
        <v>Low_Medium_High_Upgraded_Smog Formation Potential (SFP) - kg O3 eq_Aeration Tanks; wastewater treatment unit; at updated plant - US_Base_With Amendment_Aerated Static Pile</v>
      </c>
    </row>
    <row r="10160" spans="1:13" s="120" customFormat="1" x14ac:dyDescent="0.25">
      <c r="A10160" s="119"/>
      <c r="B10160" s="138" t="str">
        <f t="shared" si="850"/>
        <v>Aerated Static Pile</v>
      </c>
      <c r="C10160" s="138" t="str">
        <f t="shared" si="851"/>
        <v>Base_With Amendment</v>
      </c>
      <c r="D10160" s="138" t="str">
        <f t="shared" si="853"/>
        <v>Medium_High</v>
      </c>
      <c r="E10160" s="138" t="str">
        <f t="shared" si="854"/>
        <v>Low</v>
      </c>
      <c r="F10160" s="138" t="str">
        <f t="shared" si="852"/>
        <v>Upgraded</v>
      </c>
      <c r="G10160" s="153"/>
      <c r="H10160" s="210">
        <v>0.76419999999999999</v>
      </c>
      <c r="I10160" s="160" t="s">
        <v>435</v>
      </c>
      <c r="J10160" s="160">
        <v>7.9229999999999995E-2</v>
      </c>
      <c r="K10160" s="160" t="s">
        <v>25</v>
      </c>
      <c r="L10160" s="154" t="str">
        <f>IF(OpenLCAbasic!K10160="CTUh", "Fill in Manually",IF(OR(K10160="Unit", K10160=""), "", INDEX(LookUps!$E$5:$E$12, MATCH(OpenLCAbasic!K10160,LookUps!$D$5:$D$12,0))))</f>
        <v>Smog Formation Potential (SFP) - kg O3 eq</v>
      </c>
      <c r="M10160" s="154" t="str">
        <f t="shared" si="849"/>
        <v>Low_Medium_High_Upgraded_Smog Formation Potential (SFP) - kg O3 eq_Biosolids composting; aerated static pile; wastewater treatment unit; at updated plant - US_Base_With Amendment_Aerated Static Pile</v>
      </c>
    </row>
    <row r="10161" spans="1:13" s="120" customFormat="1" x14ac:dyDescent="0.25">
      <c r="A10161" s="119"/>
      <c r="B10161" s="138" t="str">
        <f t="shared" si="850"/>
        <v>Aerated Static Pile</v>
      </c>
      <c r="C10161" s="138" t="str">
        <f t="shared" si="851"/>
        <v>Base_With Amendment</v>
      </c>
      <c r="D10161" s="138" t="str">
        <f t="shared" si="853"/>
        <v>Medium_High</v>
      </c>
      <c r="E10161" s="138" t="str">
        <f t="shared" si="854"/>
        <v>Low</v>
      </c>
      <c r="F10161" s="138" t="str">
        <f t="shared" si="852"/>
        <v>Upgraded</v>
      </c>
      <c r="G10161" s="153"/>
      <c r="H10161" s="210">
        <v>0.4637</v>
      </c>
      <c r="I10161" s="160" t="s">
        <v>54</v>
      </c>
      <c r="J10161" s="160">
        <v>4.8070000000000002E-2</v>
      </c>
      <c r="K10161" s="160" t="s">
        <v>25</v>
      </c>
      <c r="L10161" s="154" t="str">
        <f>IF(OpenLCAbasic!K10161="CTUh", "Fill in Manually",IF(OR(K10161="Unit", K10161=""), "", INDEX(LookUps!$E$5:$E$12, MATCH(OpenLCAbasic!K10161,LookUps!$D$5:$D$12,0))))</f>
        <v>Smog Formation Potential (SFP) - kg O3 eq</v>
      </c>
      <c r="M10161" s="154" t="str">
        <f t="shared" si="849"/>
        <v>Low_Medium_High_Upgraded_Smog Formation Potential (SFP) - kg O3 eq_Clear Cove Primary Clarification; wastewater treatment unit; at updated plant - US_Base_With Amendment_Aerated Static Pile</v>
      </c>
    </row>
    <row r="10162" spans="1:13" s="120" customFormat="1" x14ac:dyDescent="0.25">
      <c r="A10162" s="119"/>
      <c r="B10162" s="138" t="str">
        <f t="shared" si="850"/>
        <v>Aerated Static Pile</v>
      </c>
      <c r="C10162" s="138" t="str">
        <f t="shared" si="851"/>
        <v>Base_With Amendment</v>
      </c>
      <c r="D10162" s="138" t="str">
        <f t="shared" si="853"/>
        <v>Medium_High</v>
      </c>
      <c r="E10162" s="138" t="str">
        <f t="shared" si="854"/>
        <v>Low</v>
      </c>
      <c r="F10162" s="138" t="str">
        <f t="shared" si="852"/>
        <v>Upgraded</v>
      </c>
      <c r="G10162" s="153"/>
      <c r="H10162" s="210">
        <v>0.40429999999999999</v>
      </c>
      <c r="I10162" s="160" t="s">
        <v>58</v>
      </c>
      <c r="J10162" s="160">
        <v>4.1919999999999999E-2</v>
      </c>
      <c r="K10162" s="160" t="s">
        <v>25</v>
      </c>
      <c r="L10162" s="154" t="str">
        <f>IF(OpenLCAbasic!K10162="CTUh", "Fill in Manually",IF(OR(K10162="Unit", K10162=""), "", INDEX(LookUps!$E$5:$E$12, MATCH(OpenLCAbasic!K10162,LookUps!$D$5:$D$12,0))))</f>
        <v>Smog Formation Potential (SFP) - kg O3 eq</v>
      </c>
      <c r="M10162" s="154" t="str">
        <f t="shared" si="849"/>
        <v>Low_Medium_High_Upgraded_Smog Formation Potential (SFP) - kg O3 eq_Pre-Anoxic &amp; Swing tank; wastewater treatment unit; at updated plant - US_Base_With Amendment_Aerated Static Pile</v>
      </c>
    </row>
    <row r="10163" spans="1:13" s="120" customFormat="1" x14ac:dyDescent="0.25">
      <c r="A10163" s="119"/>
      <c r="B10163" s="138" t="str">
        <f t="shared" si="850"/>
        <v>Aerated Static Pile</v>
      </c>
      <c r="C10163" s="138" t="str">
        <f t="shared" si="851"/>
        <v>Base_With Amendment</v>
      </c>
      <c r="D10163" s="138" t="str">
        <f t="shared" si="853"/>
        <v>Medium_High</v>
      </c>
      <c r="E10163" s="138" t="str">
        <f t="shared" si="854"/>
        <v>Low</v>
      </c>
      <c r="F10163" s="138" t="str">
        <f t="shared" si="852"/>
        <v>Upgraded</v>
      </c>
      <c r="G10163" s="153"/>
      <c r="H10163" s="210">
        <v>0.31950000000000001</v>
      </c>
      <c r="I10163" s="160" t="s">
        <v>53</v>
      </c>
      <c r="J10163" s="160">
        <v>3.313E-2</v>
      </c>
      <c r="K10163" s="160" t="s">
        <v>25</v>
      </c>
      <c r="L10163" s="154" t="str">
        <f>IF(OpenLCAbasic!K10163="CTUh", "Fill in Manually",IF(OR(K10163="Unit", K10163=""), "", INDEX(LookUps!$E$5:$E$12, MATCH(OpenLCAbasic!K10163,LookUps!$D$5:$D$12,0))))</f>
        <v>Smog Formation Potential (SFP) - kg O3 eq</v>
      </c>
      <c r="M10163" s="154" t="str">
        <f t="shared" ref="M10163:M10226" si="855">CONCATENATE(E10163,"_",D10163,"_",F10163,"_",L10163, "_",I10163,"_", C10163,"_", B10163)</f>
        <v>Low_Medium_High_Upgraded_Smog Formation Potential (SFP) - kg O3 eq_Wet Well and Sump Station; wastewater treatment unit; at updated plant - US_Base_With Amendment_Aerated Static Pile</v>
      </c>
    </row>
    <row r="10164" spans="1:13" s="120" customFormat="1" x14ac:dyDescent="0.25">
      <c r="A10164" s="119"/>
      <c r="B10164" s="138" t="str">
        <f t="shared" si="850"/>
        <v>Aerated Static Pile</v>
      </c>
      <c r="C10164" s="138" t="str">
        <f t="shared" si="851"/>
        <v>Base_With Amendment</v>
      </c>
      <c r="D10164" s="138" t="str">
        <f t="shared" si="853"/>
        <v>Medium_High</v>
      </c>
      <c r="E10164" s="138" t="str">
        <f t="shared" si="854"/>
        <v>Low</v>
      </c>
      <c r="F10164" s="138" t="str">
        <f t="shared" si="852"/>
        <v>Upgraded</v>
      </c>
      <c r="G10164" s="153"/>
      <c r="H10164" s="210">
        <v>0.29620000000000002</v>
      </c>
      <c r="I10164" s="160" t="s">
        <v>167</v>
      </c>
      <c r="J10164" s="160">
        <v>3.0710000000000001E-2</v>
      </c>
      <c r="K10164" s="160" t="s">
        <v>25</v>
      </c>
      <c r="L10164" s="154" t="str">
        <f>IF(OpenLCAbasic!K10164="CTUh", "Fill in Manually",IF(OR(K10164="Unit", K10164=""), "", INDEX(LookUps!$E$5:$E$12, MATCH(OpenLCAbasic!K10164,LookUps!$D$5:$D$12,0))))</f>
        <v>Smog Formation Potential (SFP) - kg O3 eq</v>
      </c>
      <c r="M10164" s="154" t="str">
        <f t="shared" si="855"/>
        <v>Low_Medium_High_Upgraded_Smog Formation Potential (SFP) - kg O3 eq_Waste Receiving and Holding; wastewater treatment unit; at updated plant - US_Base_With Amendment_Aerated Static Pile</v>
      </c>
    </row>
    <row r="10165" spans="1:13" s="120" customFormat="1" x14ac:dyDescent="0.25">
      <c r="A10165" s="119"/>
      <c r="B10165" s="138" t="str">
        <f t="shared" si="850"/>
        <v>Aerated Static Pile</v>
      </c>
      <c r="C10165" s="138" t="str">
        <f t="shared" si="851"/>
        <v>Base_With Amendment</v>
      </c>
      <c r="D10165" s="138" t="str">
        <f t="shared" si="853"/>
        <v>Medium_High</v>
      </c>
      <c r="E10165" s="138" t="str">
        <f t="shared" si="854"/>
        <v>Low</v>
      </c>
      <c r="F10165" s="138" t="str">
        <f t="shared" si="852"/>
        <v>Upgraded</v>
      </c>
      <c r="G10165" s="153"/>
      <c r="H10165" s="210">
        <v>0.18709999999999999</v>
      </c>
      <c r="I10165" s="160" t="s">
        <v>147</v>
      </c>
      <c r="J10165" s="160">
        <v>1.9400000000000001E-2</v>
      </c>
      <c r="K10165" s="160" t="s">
        <v>25</v>
      </c>
      <c r="L10165" s="154" t="str">
        <f>IF(OpenLCAbasic!K10165="CTUh", "Fill in Manually",IF(OR(K10165="Unit", K10165=""), "", INDEX(LookUps!$E$5:$E$12, MATCH(OpenLCAbasic!K10165,LookUps!$D$5:$D$12,0))))</f>
        <v>Smog Formation Potential (SFP) - kg O3 eq</v>
      </c>
      <c r="M10165" s="154" t="str">
        <f t="shared" si="855"/>
        <v>Low_Medium_High_Upgraded_Smog Formation Potential (SFP) - kg O3 eq_Influent Pump Station; wastewater treatment unit; at updated plant - US_Base_With Amendment_Aerated Static Pile</v>
      </c>
    </row>
    <row r="10166" spans="1:13" s="120" customFormat="1" x14ac:dyDescent="0.25">
      <c r="A10166" s="119"/>
      <c r="B10166" s="138" t="str">
        <f t="shared" si="850"/>
        <v>Aerated Static Pile</v>
      </c>
      <c r="C10166" s="138" t="str">
        <f t="shared" si="851"/>
        <v>Base_With Amendment</v>
      </c>
      <c r="D10166" s="138" t="str">
        <f t="shared" si="853"/>
        <v>Medium_High</v>
      </c>
      <c r="E10166" s="138" t="str">
        <f t="shared" si="854"/>
        <v>Low</v>
      </c>
      <c r="F10166" s="138" t="str">
        <f t="shared" si="852"/>
        <v>Upgraded</v>
      </c>
      <c r="G10166" s="153"/>
      <c r="H10166" s="210">
        <v>0.115</v>
      </c>
      <c r="I10166" s="160" t="s">
        <v>128</v>
      </c>
      <c r="J10166" s="160">
        <v>1.192E-2</v>
      </c>
      <c r="K10166" s="160" t="s">
        <v>25</v>
      </c>
      <c r="L10166" s="154" t="str">
        <f>IF(OpenLCAbasic!K10166="CTUh", "Fill in Manually",IF(OR(K10166="Unit", K10166=""), "", INDEX(LookUps!$E$5:$E$12, MATCH(OpenLCAbasic!K10166,LookUps!$D$5:$D$12,0))))</f>
        <v>Smog Formation Potential (SFP) - kg O3 eq</v>
      </c>
      <c r="M10166" s="154" t="str">
        <f t="shared" si="855"/>
        <v>Low_Medium_High_Upgraded_Smog Formation Potential (SFP) - kg O3 eq_Wastewater collection; operation and infrastructure; m3 wastewater_Base_With Amendment_Aerated Static Pile</v>
      </c>
    </row>
    <row r="10167" spans="1:13" s="120" customFormat="1" x14ac:dyDescent="0.25">
      <c r="A10167" s="119"/>
      <c r="B10167" s="138" t="str">
        <f t="shared" si="850"/>
        <v>Aerated Static Pile</v>
      </c>
      <c r="C10167" s="138" t="str">
        <f t="shared" si="851"/>
        <v>Base_With Amendment</v>
      </c>
      <c r="D10167" s="138" t="str">
        <f t="shared" si="853"/>
        <v>Medium_High</v>
      </c>
      <c r="E10167" s="138" t="str">
        <f t="shared" si="854"/>
        <v>Low</v>
      </c>
      <c r="F10167" s="138" t="str">
        <f t="shared" si="852"/>
        <v>Upgraded</v>
      </c>
      <c r="G10167" s="153"/>
      <c r="H10167" s="210">
        <v>9.3600000000000003E-2</v>
      </c>
      <c r="I10167" s="160" t="s">
        <v>60</v>
      </c>
      <c r="J10167" s="160">
        <v>9.7099999999999999E-3</v>
      </c>
      <c r="K10167" s="160" t="s">
        <v>25</v>
      </c>
      <c r="L10167" s="154" t="str">
        <f>IF(OpenLCAbasic!K10167="CTUh", "Fill in Manually",IF(OR(K10167="Unit", K10167=""), "", INDEX(LookUps!$E$5:$E$12, MATCH(OpenLCAbasic!K10167,LookUps!$D$5:$D$12,0))))</f>
        <v>Smog Formation Potential (SFP) - kg O3 eq</v>
      </c>
      <c r="M10167" s="154" t="str">
        <f t="shared" si="855"/>
        <v>Low_Medium_High_Upgraded_Smog Formation Potential (SFP) - kg O3 eq_Belt filter press; wastewater treatment unit; at updated plant - US_Base_With Amendment_Aerated Static Pile</v>
      </c>
    </row>
    <row r="10168" spans="1:13" s="120" customFormat="1" x14ac:dyDescent="0.25">
      <c r="A10168" s="119"/>
      <c r="B10168" s="138" t="str">
        <f t="shared" si="850"/>
        <v>Aerated Static Pile</v>
      </c>
      <c r="C10168" s="138" t="str">
        <f t="shared" si="851"/>
        <v>Base_With Amendment</v>
      </c>
      <c r="D10168" s="138" t="str">
        <f t="shared" si="853"/>
        <v>Medium_High</v>
      </c>
      <c r="E10168" s="138" t="str">
        <f t="shared" si="854"/>
        <v>Low</v>
      </c>
      <c r="F10168" s="138" t="str">
        <f t="shared" si="852"/>
        <v>Upgraded</v>
      </c>
      <c r="G10168" s="153"/>
      <c r="H10168" s="210">
        <v>6.4199999999999993E-2</v>
      </c>
      <c r="I10168" s="160" t="s">
        <v>57</v>
      </c>
      <c r="J10168" s="160">
        <v>6.6499999999999997E-3</v>
      </c>
      <c r="K10168" s="160" t="s">
        <v>25</v>
      </c>
      <c r="L10168" s="154" t="str">
        <f>IF(OpenLCAbasic!K10168="CTUh", "Fill in Manually",IF(OR(K10168="Unit", K10168=""), "", INDEX(LookUps!$E$5:$E$12, MATCH(OpenLCAbasic!K10168,LookUps!$D$5:$D$12,0))))</f>
        <v>Smog Formation Potential (SFP) - kg O3 eq</v>
      </c>
      <c r="M10168" s="154" t="str">
        <f t="shared" si="855"/>
        <v>Low_Medium_High_Upgraded_Smog Formation Potential (SFP) - kg O3 eq_Gravity Belt Thickener; wastewater treatment unit; at updated plant - US_Base_With Amendment_Aerated Static Pile</v>
      </c>
    </row>
    <row r="10169" spans="1:13" s="120" customFormat="1" x14ac:dyDescent="0.25">
      <c r="A10169" s="119"/>
      <c r="B10169" s="138" t="str">
        <f t="shared" ref="B10169:B10232" si="856">IF(F10169="Legacy","n.a.",IF(F10169="","","Aerated Static Pile"))</f>
        <v>Aerated Static Pile</v>
      </c>
      <c r="C10169" s="138" t="str">
        <f t="shared" ref="C10169:C10232" si="857">IF(ISNUMBER($J10169),"Base_With Amendment","")</f>
        <v>Base_With Amendment</v>
      </c>
      <c r="D10169" s="138" t="str">
        <f t="shared" si="853"/>
        <v>Medium_High</v>
      </c>
      <c r="E10169" s="138" t="str">
        <f t="shared" si="854"/>
        <v>Low</v>
      </c>
      <c r="F10169" s="138" t="str">
        <f t="shared" ref="F10169:F10232" si="858">IF(ISNUMBER(J10169),"Upgraded","")</f>
        <v>Upgraded</v>
      </c>
      <c r="G10169" s="153"/>
      <c r="H10169" s="210">
        <v>4.8000000000000001E-2</v>
      </c>
      <c r="I10169" s="160" t="s">
        <v>59</v>
      </c>
      <c r="J10169" s="160">
        <v>4.9699999999999996E-3</v>
      </c>
      <c r="K10169" s="160" t="s">
        <v>25</v>
      </c>
      <c r="L10169" s="154" t="str">
        <f>IF(OpenLCAbasic!K10169="CTUh", "Fill in Manually",IF(OR(K10169="Unit", K10169=""), "", INDEX(LookUps!$E$5:$E$12, MATCH(OpenLCAbasic!K10169,LookUps!$D$5:$D$12,0))))</f>
        <v>Smog Formation Potential (SFP) - kg O3 eq</v>
      </c>
      <c r="M10169" s="154" t="str">
        <f t="shared" si="855"/>
        <v>Low_Medium_High_Upgraded_Smog Formation Potential (SFP) - kg O3 eq_Blend Tank; wastewater treatment unit; at updated plant - US_Base_With Amendment_Aerated Static Pile</v>
      </c>
    </row>
    <row r="10170" spans="1:13" s="120" customFormat="1" x14ac:dyDescent="0.25">
      <c r="A10170" s="119"/>
      <c r="B10170" s="138" t="str">
        <f t="shared" si="856"/>
        <v>Aerated Static Pile</v>
      </c>
      <c r="C10170" s="138" t="str">
        <f t="shared" si="857"/>
        <v>Base_With Amendment</v>
      </c>
      <c r="D10170" s="138" t="str">
        <f t="shared" si="853"/>
        <v>Medium_High</v>
      </c>
      <c r="E10170" s="138" t="str">
        <f t="shared" si="854"/>
        <v>Low</v>
      </c>
      <c r="F10170" s="138" t="str">
        <f t="shared" si="858"/>
        <v>Upgraded</v>
      </c>
      <c r="G10170" s="153"/>
      <c r="H10170" s="210">
        <v>3.27E-2</v>
      </c>
      <c r="I10170" s="160" t="s">
        <v>48</v>
      </c>
      <c r="J10170" s="160">
        <v>3.3899999999999998E-3</v>
      </c>
      <c r="K10170" s="160" t="s">
        <v>25</v>
      </c>
      <c r="L10170" s="154" t="str">
        <f>IF(OpenLCAbasic!K10170="CTUh", "Fill in Manually",IF(OR(K10170="Unit", K10170=""), "", INDEX(LookUps!$E$5:$E$12, MATCH(OpenLCAbasic!K10170,LookUps!$D$5:$D$12,0))))</f>
        <v>Smog Formation Potential (SFP) - kg O3 eq</v>
      </c>
      <c r="M10170" s="154" t="str">
        <f t="shared" si="855"/>
        <v>Low_Medium_High_Upgraded_Smog Formation Potential (SFP) - kg O3 eq_Effluent release; wastewater treatment unit; at surface water; m3 wastewater - US_Base_With Amendment_Aerated Static Pile</v>
      </c>
    </row>
    <row r="10171" spans="1:13" s="120" customFormat="1" x14ac:dyDescent="0.25">
      <c r="A10171" s="119"/>
      <c r="B10171" s="138" t="str">
        <f t="shared" si="856"/>
        <v>Aerated Static Pile</v>
      </c>
      <c r="C10171" s="138" t="str">
        <f t="shared" si="857"/>
        <v>Base_With Amendment</v>
      </c>
      <c r="D10171" s="138" t="str">
        <f t="shared" si="853"/>
        <v>Medium_High</v>
      </c>
      <c r="E10171" s="138" t="str">
        <f t="shared" si="854"/>
        <v>Low</v>
      </c>
      <c r="F10171" s="138" t="str">
        <f t="shared" si="858"/>
        <v>Upgraded</v>
      </c>
      <c r="G10171" s="153"/>
      <c r="H10171" s="210">
        <v>2.3699999999999999E-2</v>
      </c>
      <c r="I10171" s="160" t="s">
        <v>168</v>
      </c>
      <c r="J10171" s="160">
        <v>2.4599999999999999E-3</v>
      </c>
      <c r="K10171" s="160" t="s">
        <v>25</v>
      </c>
      <c r="L10171" s="154" t="str">
        <f>IF(OpenLCAbasic!K10171="CTUh", "Fill in Manually",IF(OR(K10171="Unit", K10171=""), "", INDEX(LookUps!$E$5:$E$12, MATCH(OpenLCAbasic!K10171,LookUps!$D$5:$D$12,0))))</f>
        <v>Smog Formation Potential (SFP) - kg O3 eq</v>
      </c>
      <c r="M10171" s="154" t="str">
        <f t="shared" si="855"/>
        <v>Low_Medium_High_Upgraded_Smog Formation Potential (SFP) - kg O3 eq_ClearCove SCP; wastewater treatment unit; at updated plant - US_Base_With Amendment_Aerated Static Pile</v>
      </c>
    </row>
    <row r="10172" spans="1:13" s="120" customFormat="1" x14ac:dyDescent="0.25">
      <c r="A10172" s="119"/>
      <c r="B10172" s="138" t="str">
        <f t="shared" si="856"/>
        <v>Aerated Static Pile</v>
      </c>
      <c r="C10172" s="138" t="str">
        <f t="shared" si="857"/>
        <v>Base_With Amendment</v>
      </c>
      <c r="D10172" s="138" t="str">
        <f t="shared" si="853"/>
        <v>Medium_High</v>
      </c>
      <c r="E10172" s="138" t="str">
        <f t="shared" si="854"/>
        <v>Low</v>
      </c>
      <c r="F10172" s="138" t="str">
        <f t="shared" si="858"/>
        <v>Upgraded</v>
      </c>
      <c r="G10172" s="153"/>
      <c r="H10172" s="210">
        <v>5.1999999999999998E-3</v>
      </c>
      <c r="I10172" s="160" t="s">
        <v>148</v>
      </c>
      <c r="J10172" s="160">
        <v>5.4000000000000001E-4</v>
      </c>
      <c r="K10172" s="160" t="s">
        <v>25</v>
      </c>
      <c r="L10172" s="154" t="str">
        <f>IF(OpenLCAbasic!K10172="CTUh", "Fill in Manually",IF(OR(K10172="Unit", K10172=""), "", INDEX(LookUps!$E$5:$E$12, MATCH(OpenLCAbasic!K10172,LookUps!$D$5:$D$12,0))))</f>
        <v>Smog Formation Potential (SFP) - kg O3 eq</v>
      </c>
      <c r="M10172" s="154" t="str">
        <f t="shared" si="855"/>
        <v>Low_Medium_High_Upgraded_Smog Formation Potential (SFP) - kg O3 eq_Control Building; at upgraded wastewater treatment plant - US_Base_With Amendment_Aerated Static Pile</v>
      </c>
    </row>
    <row r="10173" spans="1:13" s="120" customFormat="1" x14ac:dyDescent="0.25">
      <c r="A10173" s="119"/>
      <c r="B10173" s="138" t="str">
        <f t="shared" si="856"/>
        <v>Aerated Static Pile</v>
      </c>
      <c r="C10173" s="138" t="str">
        <f t="shared" si="857"/>
        <v>Base_With Amendment</v>
      </c>
      <c r="D10173" s="138" t="str">
        <f t="shared" si="853"/>
        <v>Medium_High</v>
      </c>
      <c r="E10173" s="138" t="str">
        <f t="shared" si="854"/>
        <v>Low</v>
      </c>
      <c r="F10173" s="138" t="str">
        <f t="shared" si="858"/>
        <v>Upgraded</v>
      </c>
      <c r="G10173" s="153"/>
      <c r="H10173" s="210">
        <v>-3.6799999999999999E-2</v>
      </c>
      <c r="I10173" s="160" t="s">
        <v>62</v>
      </c>
      <c r="J10173" s="160">
        <v>-3.82E-3</v>
      </c>
      <c r="K10173" s="160" t="s">
        <v>25</v>
      </c>
      <c r="L10173" s="154" t="str">
        <f>IF(OpenLCAbasic!K10173="CTUh", "Fill in Manually",IF(OR(K10173="Unit", K10173=""), "", INDEX(LookUps!$E$5:$E$12, MATCH(OpenLCAbasic!K10173,LookUps!$D$5:$D$12,0))))</f>
        <v>Smog Formation Potential (SFP) - kg O3 eq</v>
      </c>
      <c r="M10173" s="154" t="str">
        <f t="shared" si="855"/>
        <v>Low_Medium_High_Upgraded_Smog Formation Potential (SFP) - kg O3 eq_Land application of compost; wastewater treatment unit; at updated plant - US_Base_With Amendment_Aerated Static Pile</v>
      </c>
    </row>
    <row r="10174" spans="1:13" s="120" customFormat="1" x14ac:dyDescent="0.25">
      <c r="A10174" s="119"/>
      <c r="B10174" s="138" t="str">
        <f t="shared" si="856"/>
        <v>Aerated Static Pile</v>
      </c>
      <c r="C10174" s="138" t="str">
        <f t="shared" si="857"/>
        <v>Base_With Amendment</v>
      </c>
      <c r="D10174" s="138" t="str">
        <f t="shared" si="853"/>
        <v>Medium_High</v>
      </c>
      <c r="E10174" s="138" t="str">
        <f t="shared" si="854"/>
        <v>Low</v>
      </c>
      <c r="F10174" s="138" t="str">
        <f t="shared" si="858"/>
        <v>Upgraded</v>
      </c>
      <c r="G10174" s="153"/>
      <c r="H10174" s="210">
        <v>-5.3794000000000004</v>
      </c>
      <c r="I10174" s="160" t="s">
        <v>149</v>
      </c>
      <c r="J10174" s="160">
        <v>-0.55771000000000004</v>
      </c>
      <c r="K10174" s="160" t="s">
        <v>25</v>
      </c>
      <c r="L10174" s="154" t="str">
        <f>IF(OpenLCAbasic!K10174="CTUh", "Fill in Manually",IF(OR(K10174="Unit", K10174=""), "", INDEX(LookUps!$E$5:$E$12, MATCH(OpenLCAbasic!K10174,LookUps!$D$5:$D$12,0))))</f>
        <v>Smog Formation Potential (SFP) - kg O3 eq</v>
      </c>
      <c r="M10174" s="154" t="str">
        <f t="shared" si="855"/>
        <v>Low_Medium_High_Upgraded_Smog Formation Potential (SFP) - kg O3 eq_Anaerobic Digestion; wastewater treatment unit; at updated plant - US_Base_With Amendment_Aerated Static Pile</v>
      </c>
    </row>
    <row r="10175" spans="1:13" s="120" customFormat="1" x14ac:dyDescent="0.25">
      <c r="A10175" s="119"/>
      <c r="B10175" s="138" t="str">
        <f t="shared" si="856"/>
        <v/>
      </c>
      <c r="C10175" s="138" t="str">
        <f t="shared" si="857"/>
        <v/>
      </c>
      <c r="D10175" s="138" t="str">
        <f t="shared" si="853"/>
        <v/>
      </c>
      <c r="E10175" s="138" t="str">
        <f t="shared" si="854"/>
        <v/>
      </c>
      <c r="F10175" s="138" t="str">
        <f t="shared" si="858"/>
        <v/>
      </c>
      <c r="G10175" s="153" t="s">
        <v>51</v>
      </c>
      <c r="H10175" s="160"/>
      <c r="I10175" s="160" t="s">
        <v>47</v>
      </c>
      <c r="J10175" s="160" t="s">
        <v>52</v>
      </c>
      <c r="K10175" s="160" t="s">
        <v>27</v>
      </c>
      <c r="L10175" s="154" t="str">
        <f>IF(OpenLCAbasic!K10175="CTUh", "Fill in Manually",IF(OR(K10175="Unit", K10175=""), "", INDEX(LookUps!$E$5:$E$12, MATCH(OpenLCAbasic!K10175,LookUps!$D$5:$D$12,0))))</f>
        <v/>
      </c>
      <c r="M10175" s="154" t="str">
        <f t="shared" si="855"/>
        <v>____Process__</v>
      </c>
    </row>
    <row r="10176" spans="1:13" s="120" customFormat="1" x14ac:dyDescent="0.25">
      <c r="A10176" s="119"/>
      <c r="B10176" s="138" t="str">
        <f t="shared" si="856"/>
        <v>Aerated Static Pile</v>
      </c>
      <c r="C10176" s="138" t="str">
        <f t="shared" si="857"/>
        <v>Base_With Amendment</v>
      </c>
      <c r="D10176" s="138" t="str">
        <f t="shared" si="853"/>
        <v>Medium_High</v>
      </c>
      <c r="E10176" s="138" t="str">
        <f t="shared" si="854"/>
        <v>Low</v>
      </c>
      <c r="F10176" s="138" t="str">
        <f t="shared" si="858"/>
        <v>Upgraded</v>
      </c>
      <c r="G10176" s="153"/>
      <c r="H10176" s="210">
        <v>0.56299999999999994</v>
      </c>
      <c r="I10176" s="160" t="s">
        <v>167</v>
      </c>
      <c r="J10176" s="160">
        <v>2.7999999999999998E-4</v>
      </c>
      <c r="K10176" s="160" t="s">
        <v>26</v>
      </c>
      <c r="L10176" s="154" t="str">
        <f>IF(OpenLCAbasic!K10176="CTUh", "Fill in Manually",IF(OR(K10176="Unit", K10176=""), "", INDEX(LookUps!$E$5:$E$12, MATCH(OpenLCAbasic!K10176,LookUps!$D$5:$D$12,0))))</f>
        <v>Water Use (WU) - m3 H2O</v>
      </c>
      <c r="M10176" s="154" t="str">
        <f t="shared" si="855"/>
        <v>Low_Medium_High_Upgraded_Water Use (WU) - m3 H2O_Waste Receiving and Holding; wastewater treatment unit; at updated plant - US_Base_With Amendment_Aerated Static Pile</v>
      </c>
    </row>
    <row r="10177" spans="1:13" s="120" customFormat="1" x14ac:dyDescent="0.25">
      <c r="A10177" s="119"/>
      <c r="B10177" s="138" t="str">
        <f t="shared" si="856"/>
        <v>Aerated Static Pile</v>
      </c>
      <c r="C10177" s="138" t="str">
        <f t="shared" si="857"/>
        <v>Base_With Amendment</v>
      </c>
      <c r="D10177" s="138" t="str">
        <f t="shared" si="853"/>
        <v>Medium_High</v>
      </c>
      <c r="E10177" s="138" t="str">
        <f t="shared" si="854"/>
        <v>Low</v>
      </c>
      <c r="F10177" s="138" t="str">
        <f t="shared" si="858"/>
        <v>Upgraded</v>
      </c>
      <c r="G10177" s="153"/>
      <c r="H10177" s="210">
        <v>0.36749999999999999</v>
      </c>
      <c r="I10177" s="160" t="s">
        <v>147</v>
      </c>
      <c r="J10177" s="160">
        <v>1.8000000000000001E-4</v>
      </c>
      <c r="K10177" s="160" t="s">
        <v>26</v>
      </c>
      <c r="L10177" s="154" t="str">
        <f>IF(OpenLCAbasic!K10177="CTUh", "Fill in Manually",IF(OR(K10177="Unit", K10177=""), "", INDEX(LookUps!$E$5:$E$12, MATCH(OpenLCAbasic!K10177,LookUps!$D$5:$D$12,0))))</f>
        <v>Water Use (WU) - m3 H2O</v>
      </c>
      <c r="M10177" s="154" t="str">
        <f t="shared" si="855"/>
        <v>Low_Medium_High_Upgraded_Water Use (WU) - m3 H2O_Influent Pump Station; wastewater treatment unit; at updated plant - US_Base_With Amendment_Aerated Static Pile</v>
      </c>
    </row>
    <row r="10178" spans="1:13" s="120" customFormat="1" x14ac:dyDescent="0.25">
      <c r="A10178" s="119"/>
      <c r="B10178" s="138" t="str">
        <f t="shared" si="856"/>
        <v>Aerated Static Pile</v>
      </c>
      <c r="C10178" s="138" t="str">
        <f t="shared" si="857"/>
        <v>Base_With Amendment</v>
      </c>
      <c r="D10178" s="138" t="str">
        <f t="shared" si="853"/>
        <v>Medium_High</v>
      </c>
      <c r="E10178" s="138" t="str">
        <f t="shared" si="854"/>
        <v>Low</v>
      </c>
      <c r="F10178" s="138" t="str">
        <f t="shared" si="858"/>
        <v>Upgraded</v>
      </c>
      <c r="G10178" s="153"/>
      <c r="H10178" s="210">
        <v>0.35859999999999997</v>
      </c>
      <c r="I10178" s="160" t="s">
        <v>54</v>
      </c>
      <c r="J10178" s="160">
        <v>1.8000000000000001E-4</v>
      </c>
      <c r="K10178" s="160" t="s">
        <v>26</v>
      </c>
      <c r="L10178" s="154" t="str">
        <f>IF(OpenLCAbasic!K10178="CTUh", "Fill in Manually",IF(OR(K10178="Unit", K10178=""), "", INDEX(LookUps!$E$5:$E$12, MATCH(OpenLCAbasic!K10178,LookUps!$D$5:$D$12,0))))</f>
        <v>Water Use (WU) - m3 H2O</v>
      </c>
      <c r="M10178" s="154" t="str">
        <f t="shared" si="855"/>
        <v>Low_Medium_High_Upgraded_Water Use (WU) - m3 H2O_Clear Cove Primary Clarification; wastewater treatment unit; at updated plant - US_Base_With Amendment_Aerated Static Pile</v>
      </c>
    </row>
    <row r="10179" spans="1:13" s="120" customFormat="1" x14ac:dyDescent="0.25">
      <c r="A10179" s="119"/>
      <c r="B10179" s="138" t="str">
        <f t="shared" si="856"/>
        <v>Aerated Static Pile</v>
      </c>
      <c r="C10179" s="138" t="str">
        <f t="shared" si="857"/>
        <v>Base_With Amendment</v>
      </c>
      <c r="D10179" s="138" t="str">
        <f t="shared" si="853"/>
        <v>Medium_High</v>
      </c>
      <c r="E10179" s="138" t="str">
        <f t="shared" si="854"/>
        <v>Low</v>
      </c>
      <c r="F10179" s="138" t="str">
        <f t="shared" si="858"/>
        <v>Upgraded</v>
      </c>
      <c r="G10179" s="153"/>
      <c r="H10179" s="210">
        <v>0.32529999999999998</v>
      </c>
      <c r="I10179" s="160" t="s">
        <v>55</v>
      </c>
      <c r="J10179" s="160">
        <v>1.6000000000000001E-4</v>
      </c>
      <c r="K10179" s="160" t="s">
        <v>26</v>
      </c>
      <c r="L10179" s="154" t="str">
        <f>IF(OpenLCAbasic!K10179="CTUh", "Fill in Manually",IF(OR(K10179="Unit", K10179=""), "", INDEX(LookUps!$E$5:$E$12, MATCH(OpenLCAbasic!K10179,LookUps!$D$5:$D$12,0))))</f>
        <v>Water Use (WU) - m3 H2O</v>
      </c>
      <c r="M10179" s="154" t="str">
        <f t="shared" si="855"/>
        <v>Low_Medium_High_Upgraded_Water Use (WU) - m3 H2O_Aeration Tanks; wastewater treatment unit; at updated plant - US_Base_With Amendment_Aerated Static Pile</v>
      </c>
    </row>
    <row r="10180" spans="1:13" s="120" customFormat="1" x14ac:dyDescent="0.25">
      <c r="A10180" s="119"/>
      <c r="B10180" s="138" t="str">
        <f t="shared" si="856"/>
        <v>Aerated Static Pile</v>
      </c>
      <c r="C10180" s="138" t="str">
        <f t="shared" si="857"/>
        <v>Base_With Amendment</v>
      </c>
      <c r="D10180" s="138" t="str">
        <f t="shared" si="853"/>
        <v>Medium_High</v>
      </c>
      <c r="E10180" s="138" t="str">
        <f t="shared" si="854"/>
        <v>Low</v>
      </c>
      <c r="F10180" s="138" t="str">
        <f t="shared" si="858"/>
        <v>Upgraded</v>
      </c>
      <c r="G10180" s="153"/>
      <c r="H10180" s="210">
        <v>0.29630000000000001</v>
      </c>
      <c r="I10180" s="160" t="s">
        <v>148</v>
      </c>
      <c r="J10180" s="160">
        <v>1.4999999999999999E-4</v>
      </c>
      <c r="K10180" s="160" t="s">
        <v>26</v>
      </c>
      <c r="L10180" s="154" t="str">
        <f>IF(OpenLCAbasic!K10180="CTUh", "Fill in Manually",IF(OR(K10180="Unit", K10180=""), "", INDEX(LookUps!$E$5:$E$12, MATCH(OpenLCAbasic!K10180,LookUps!$D$5:$D$12,0))))</f>
        <v>Water Use (WU) - m3 H2O</v>
      </c>
      <c r="M10180" s="154" t="str">
        <f t="shared" si="855"/>
        <v>Low_Medium_High_Upgraded_Water Use (WU) - m3 H2O_Control Building; at upgraded wastewater treatment plant - US_Base_With Amendment_Aerated Static Pile</v>
      </c>
    </row>
    <row r="10181" spans="1:13" s="120" customFormat="1" x14ac:dyDescent="0.25">
      <c r="A10181" s="119"/>
      <c r="B10181" s="138" t="str">
        <f t="shared" si="856"/>
        <v>Aerated Static Pile</v>
      </c>
      <c r="C10181" s="138" t="str">
        <f t="shared" si="857"/>
        <v>Base_With Amendment</v>
      </c>
      <c r="D10181" s="138" t="str">
        <f t="shared" si="853"/>
        <v>Medium_High</v>
      </c>
      <c r="E10181" s="138" t="str">
        <f t="shared" si="854"/>
        <v>Low</v>
      </c>
      <c r="F10181" s="138" t="str">
        <f t="shared" si="858"/>
        <v>Upgraded</v>
      </c>
      <c r="G10181" s="153"/>
      <c r="H10181" s="210">
        <v>0.1376</v>
      </c>
      <c r="I10181" s="160" t="s">
        <v>48</v>
      </c>
      <c r="J10181" s="211">
        <v>6.8836400000000004E-5</v>
      </c>
      <c r="K10181" s="160" t="s">
        <v>26</v>
      </c>
      <c r="L10181" s="154" t="str">
        <f>IF(OpenLCAbasic!K10181="CTUh", "Fill in Manually",IF(OR(K10181="Unit", K10181=""), "", INDEX(LookUps!$E$5:$E$12, MATCH(OpenLCAbasic!K10181,LookUps!$D$5:$D$12,0))))</f>
        <v>Water Use (WU) - m3 H2O</v>
      </c>
      <c r="M10181" s="154" t="str">
        <f t="shared" si="855"/>
        <v>Low_Medium_High_Upgraded_Water Use (WU) - m3 H2O_Effluent release; wastewater treatment unit; at surface water; m3 wastewater - US_Base_With Amendment_Aerated Static Pile</v>
      </c>
    </row>
    <row r="10182" spans="1:13" s="120" customFormat="1" x14ac:dyDescent="0.25">
      <c r="A10182" s="119"/>
      <c r="B10182" s="138" t="str">
        <f t="shared" si="856"/>
        <v>Aerated Static Pile</v>
      </c>
      <c r="C10182" s="138" t="str">
        <f t="shared" si="857"/>
        <v>Base_With Amendment</v>
      </c>
      <c r="D10182" s="138" t="str">
        <f t="shared" si="853"/>
        <v>Medium_High</v>
      </c>
      <c r="E10182" s="138" t="str">
        <f t="shared" si="854"/>
        <v>Low</v>
      </c>
      <c r="F10182" s="138" t="str">
        <f t="shared" si="858"/>
        <v>Upgraded</v>
      </c>
      <c r="G10182" s="153"/>
      <c r="H10182" s="210">
        <v>8.6400000000000005E-2</v>
      </c>
      <c r="I10182" s="160" t="s">
        <v>58</v>
      </c>
      <c r="J10182" s="211">
        <v>4.3235300000000003E-5</v>
      </c>
      <c r="K10182" s="160" t="s">
        <v>26</v>
      </c>
      <c r="L10182" s="154" t="str">
        <f>IF(OpenLCAbasic!K10182="CTUh", "Fill in Manually",IF(OR(K10182="Unit", K10182=""), "", INDEX(LookUps!$E$5:$E$12, MATCH(OpenLCAbasic!K10182,LookUps!$D$5:$D$12,0))))</f>
        <v>Water Use (WU) - m3 H2O</v>
      </c>
      <c r="M10182" s="154" t="str">
        <f t="shared" si="855"/>
        <v>Low_Medium_High_Upgraded_Water Use (WU) - m3 H2O_Pre-Anoxic &amp; Swing tank; wastewater treatment unit; at updated plant - US_Base_With Amendment_Aerated Static Pile</v>
      </c>
    </row>
    <row r="10183" spans="1:13" s="120" customFormat="1" x14ac:dyDescent="0.25">
      <c r="A10183" s="119"/>
      <c r="B10183" s="138" t="str">
        <f t="shared" si="856"/>
        <v>Aerated Static Pile</v>
      </c>
      <c r="C10183" s="138" t="str">
        <f t="shared" si="857"/>
        <v>Base_With Amendment</v>
      </c>
      <c r="D10183" s="138" t="str">
        <f t="shared" si="853"/>
        <v>Medium_High</v>
      </c>
      <c r="E10183" s="138" t="str">
        <f t="shared" si="854"/>
        <v>Low</v>
      </c>
      <c r="F10183" s="138" t="str">
        <f t="shared" si="858"/>
        <v>Upgraded</v>
      </c>
      <c r="G10183" s="153"/>
      <c r="H10183" s="210">
        <v>6.08E-2</v>
      </c>
      <c r="I10183" s="160" t="s">
        <v>57</v>
      </c>
      <c r="J10183" s="211">
        <v>3.0408100000000001E-5</v>
      </c>
      <c r="K10183" s="160" t="s">
        <v>26</v>
      </c>
      <c r="L10183" s="154" t="str">
        <f>IF(OpenLCAbasic!K10183="CTUh", "Fill in Manually",IF(OR(K10183="Unit", K10183=""), "", INDEX(LookUps!$E$5:$E$12, MATCH(OpenLCAbasic!K10183,LookUps!$D$5:$D$12,0))))</f>
        <v>Water Use (WU) - m3 H2O</v>
      </c>
      <c r="M10183" s="154" t="str">
        <f t="shared" si="855"/>
        <v>Low_Medium_High_Upgraded_Water Use (WU) - m3 H2O_Gravity Belt Thickener; wastewater treatment unit; at updated plant - US_Base_With Amendment_Aerated Static Pile</v>
      </c>
    </row>
    <row r="10184" spans="1:13" s="120" customFormat="1" x14ac:dyDescent="0.25">
      <c r="A10184" s="119"/>
      <c r="B10184" s="138" t="str">
        <f t="shared" si="856"/>
        <v>Aerated Static Pile</v>
      </c>
      <c r="C10184" s="138" t="str">
        <f t="shared" si="857"/>
        <v>Base_With Amendment</v>
      </c>
      <c r="D10184" s="138" t="str">
        <f t="shared" si="853"/>
        <v>Medium_High</v>
      </c>
      <c r="E10184" s="138" t="str">
        <f t="shared" si="854"/>
        <v>Low</v>
      </c>
      <c r="F10184" s="138" t="str">
        <f t="shared" si="858"/>
        <v>Upgraded</v>
      </c>
      <c r="G10184" s="153"/>
      <c r="H10184" s="210">
        <v>5.79E-2</v>
      </c>
      <c r="I10184" s="160" t="s">
        <v>60</v>
      </c>
      <c r="J10184" s="211">
        <v>2.8986600000000001E-5</v>
      </c>
      <c r="K10184" s="160" t="s">
        <v>26</v>
      </c>
      <c r="L10184" s="154" t="str">
        <f>IF(OpenLCAbasic!K10184="CTUh", "Fill in Manually",IF(OR(K10184="Unit", K10184=""), "", INDEX(LookUps!$E$5:$E$12, MATCH(OpenLCAbasic!K10184,LookUps!$D$5:$D$12,0))))</f>
        <v>Water Use (WU) - m3 H2O</v>
      </c>
      <c r="M10184" s="154" t="str">
        <f t="shared" si="855"/>
        <v>Low_Medium_High_Upgraded_Water Use (WU) - m3 H2O_Belt filter press; wastewater treatment unit; at updated plant - US_Base_With Amendment_Aerated Static Pile</v>
      </c>
    </row>
    <row r="10185" spans="1:13" s="120" customFormat="1" x14ac:dyDescent="0.25">
      <c r="A10185" s="119"/>
      <c r="B10185" s="138" t="str">
        <f t="shared" si="856"/>
        <v>Aerated Static Pile</v>
      </c>
      <c r="C10185" s="138" t="str">
        <f t="shared" si="857"/>
        <v>Base_With Amendment</v>
      </c>
      <c r="D10185" s="138" t="str">
        <f t="shared" ref="D10185:D10191" si="859">IF(ISNUMBER($J10185),"Medium_High","")</f>
        <v>Medium_High</v>
      </c>
      <c r="E10185" s="138" t="str">
        <f t="shared" si="854"/>
        <v>Low</v>
      </c>
      <c r="F10185" s="138" t="str">
        <f t="shared" si="858"/>
        <v>Upgraded</v>
      </c>
      <c r="G10185" s="153"/>
      <c r="H10185" s="210">
        <v>5.1999999999999998E-2</v>
      </c>
      <c r="I10185" s="160" t="s">
        <v>435</v>
      </c>
      <c r="J10185" s="211">
        <v>2.6025700000000001E-5</v>
      </c>
      <c r="K10185" s="160" t="s">
        <v>26</v>
      </c>
      <c r="L10185" s="154" t="str">
        <f>IF(OpenLCAbasic!K10185="CTUh", "Fill in Manually",IF(OR(K10185="Unit", K10185=""), "", INDEX(LookUps!$E$5:$E$12, MATCH(OpenLCAbasic!K10185,LookUps!$D$5:$D$12,0))))</f>
        <v>Water Use (WU) - m3 H2O</v>
      </c>
      <c r="M10185" s="154" t="str">
        <f t="shared" si="855"/>
        <v>Low_Medium_High_Upgraded_Water Use (WU) - m3 H2O_Biosolids composting; aerated static pile; wastewater treatment unit; at updated plant - US_Base_With Amendment_Aerated Static Pile</v>
      </c>
    </row>
    <row r="10186" spans="1:13" s="120" customFormat="1" x14ac:dyDescent="0.25">
      <c r="A10186" s="119"/>
      <c r="B10186" s="138" t="str">
        <f t="shared" si="856"/>
        <v>Aerated Static Pile</v>
      </c>
      <c r="C10186" s="138" t="str">
        <f t="shared" si="857"/>
        <v>Base_With Amendment</v>
      </c>
      <c r="D10186" s="138" t="str">
        <f t="shared" si="859"/>
        <v>Medium_High</v>
      </c>
      <c r="E10186" s="138" t="str">
        <f t="shared" si="854"/>
        <v>Low</v>
      </c>
      <c r="F10186" s="138" t="str">
        <f t="shared" si="858"/>
        <v>Upgraded</v>
      </c>
      <c r="G10186" s="153"/>
      <c r="H10186" s="210">
        <v>3.5000000000000003E-2</v>
      </c>
      <c r="I10186" s="160" t="s">
        <v>53</v>
      </c>
      <c r="J10186" s="211">
        <v>1.75069E-5</v>
      </c>
      <c r="K10186" s="160" t="s">
        <v>26</v>
      </c>
      <c r="L10186" s="154" t="str">
        <f>IF(OpenLCAbasic!K10186="CTUh", "Fill in Manually",IF(OR(K10186="Unit", K10186=""), "", INDEX(LookUps!$E$5:$E$12, MATCH(OpenLCAbasic!K10186,LookUps!$D$5:$D$12,0))))</f>
        <v>Water Use (WU) - m3 H2O</v>
      </c>
      <c r="M10186" s="154" t="str">
        <f t="shared" si="855"/>
        <v>Low_Medium_High_Upgraded_Water Use (WU) - m3 H2O_Wet Well and Sump Station; wastewater treatment unit; at updated plant - US_Base_With Amendment_Aerated Static Pile</v>
      </c>
    </row>
    <row r="10187" spans="1:13" s="120" customFormat="1" x14ac:dyDescent="0.25">
      <c r="A10187" s="119"/>
      <c r="B10187" s="138" t="str">
        <f t="shared" si="856"/>
        <v>Aerated Static Pile</v>
      </c>
      <c r="C10187" s="138" t="str">
        <f t="shared" si="857"/>
        <v>Base_With Amendment</v>
      </c>
      <c r="D10187" s="138" t="str">
        <f t="shared" si="859"/>
        <v>Medium_High</v>
      </c>
      <c r="E10187" s="138" t="str">
        <f t="shared" si="854"/>
        <v>Low</v>
      </c>
      <c r="F10187" s="138" t="str">
        <f t="shared" si="858"/>
        <v>Upgraded</v>
      </c>
      <c r="G10187" s="153"/>
      <c r="H10187" s="210">
        <v>1.4E-2</v>
      </c>
      <c r="I10187" s="160" t="s">
        <v>59</v>
      </c>
      <c r="J10187" s="211">
        <v>7.0179500000000003E-6</v>
      </c>
      <c r="K10187" s="160" t="s">
        <v>26</v>
      </c>
      <c r="L10187" s="154" t="str">
        <f>IF(OpenLCAbasic!K10187="CTUh", "Fill in Manually",IF(OR(K10187="Unit", K10187=""), "", INDEX(LookUps!$E$5:$E$12, MATCH(OpenLCAbasic!K10187,LookUps!$D$5:$D$12,0))))</f>
        <v>Water Use (WU) - m3 H2O</v>
      </c>
      <c r="M10187" s="154" t="str">
        <f t="shared" si="855"/>
        <v>Low_Medium_High_Upgraded_Water Use (WU) - m3 H2O_Blend Tank; wastewater treatment unit; at updated plant - US_Base_With Amendment_Aerated Static Pile</v>
      </c>
    </row>
    <row r="10188" spans="1:13" s="120" customFormat="1" x14ac:dyDescent="0.25">
      <c r="A10188" s="119"/>
      <c r="B10188" s="138" t="str">
        <f t="shared" si="856"/>
        <v>Aerated Static Pile</v>
      </c>
      <c r="C10188" s="138" t="str">
        <f t="shared" si="857"/>
        <v>Base_With Amendment</v>
      </c>
      <c r="D10188" s="138" t="str">
        <f t="shared" si="859"/>
        <v>Medium_High</v>
      </c>
      <c r="E10188" s="138" t="str">
        <f t="shared" si="854"/>
        <v>Low</v>
      </c>
      <c r="F10188" s="138" t="str">
        <f t="shared" si="858"/>
        <v>Upgraded</v>
      </c>
      <c r="G10188" s="153"/>
      <c r="H10188" s="210">
        <v>1.01E-2</v>
      </c>
      <c r="I10188" s="160" t="s">
        <v>128</v>
      </c>
      <c r="J10188" s="211">
        <v>5.0608900000000003E-6</v>
      </c>
      <c r="K10188" s="160" t="s">
        <v>26</v>
      </c>
      <c r="L10188" s="154" t="str">
        <f>IF(OpenLCAbasic!K10188="CTUh", "Fill in Manually",IF(OR(K10188="Unit", K10188=""), "", INDEX(LookUps!$E$5:$E$12, MATCH(OpenLCAbasic!K10188,LookUps!$D$5:$D$12,0))))</f>
        <v>Water Use (WU) - m3 H2O</v>
      </c>
      <c r="M10188" s="154" t="str">
        <f t="shared" si="855"/>
        <v>Low_Medium_High_Upgraded_Water Use (WU) - m3 H2O_Wastewater collection; operation and infrastructure; m3 wastewater_Base_With Amendment_Aerated Static Pile</v>
      </c>
    </row>
    <row r="10189" spans="1:13" s="120" customFormat="1" x14ac:dyDescent="0.25">
      <c r="A10189" s="119"/>
      <c r="B10189" s="138" t="str">
        <f t="shared" si="856"/>
        <v>Aerated Static Pile</v>
      </c>
      <c r="C10189" s="138" t="str">
        <f t="shared" si="857"/>
        <v>Base_With Amendment</v>
      </c>
      <c r="D10189" s="138" t="str">
        <f t="shared" si="859"/>
        <v>Medium_High</v>
      </c>
      <c r="E10189" s="138" t="str">
        <f t="shared" si="854"/>
        <v>Low</v>
      </c>
      <c r="F10189" s="138" t="str">
        <f t="shared" si="858"/>
        <v>Upgraded</v>
      </c>
      <c r="G10189" s="153"/>
      <c r="H10189" s="210">
        <v>1.5E-3</v>
      </c>
      <c r="I10189" s="160" t="s">
        <v>168</v>
      </c>
      <c r="J10189" s="211">
        <v>7.6697000000000004E-7</v>
      </c>
      <c r="K10189" s="160" t="s">
        <v>26</v>
      </c>
      <c r="L10189" s="154" t="str">
        <f>IF(OpenLCAbasic!K10189="CTUh", "Fill in Manually",IF(OR(K10189="Unit", K10189=""), "", INDEX(LookUps!$E$5:$E$12, MATCH(OpenLCAbasic!K10189,LookUps!$D$5:$D$12,0))))</f>
        <v>Water Use (WU) - m3 H2O</v>
      </c>
      <c r="M10189" s="154" t="str">
        <f t="shared" si="855"/>
        <v>Low_Medium_High_Upgraded_Water Use (WU) - m3 H2O_ClearCove SCP; wastewater treatment unit; at updated plant - US_Base_With Amendment_Aerated Static Pile</v>
      </c>
    </row>
    <row r="10190" spans="1:13" s="120" customFormat="1" x14ac:dyDescent="0.25">
      <c r="A10190" s="119"/>
      <c r="B10190" s="138" t="str">
        <f t="shared" si="856"/>
        <v>Aerated Static Pile</v>
      </c>
      <c r="C10190" s="138" t="str">
        <f t="shared" si="857"/>
        <v>Base_With Amendment</v>
      </c>
      <c r="D10190" s="138" t="str">
        <f t="shared" si="859"/>
        <v>Medium_High</v>
      </c>
      <c r="E10190" s="138" t="str">
        <f t="shared" si="854"/>
        <v>Low</v>
      </c>
      <c r="F10190" s="138" t="str">
        <f t="shared" si="858"/>
        <v>Upgraded</v>
      </c>
      <c r="G10190" s="153"/>
      <c r="H10190" s="210">
        <v>-0.30309999999999998</v>
      </c>
      <c r="I10190" s="160" t="s">
        <v>149</v>
      </c>
      <c r="J10190" s="160">
        <v>-1.4999999999999999E-4</v>
      </c>
      <c r="K10190" s="160" t="s">
        <v>26</v>
      </c>
      <c r="L10190" s="154" t="str">
        <f>IF(OpenLCAbasic!K10190="CTUh", "Fill in Manually",IF(OR(K10190="Unit", K10190=""), "", INDEX(LookUps!$E$5:$E$12, MATCH(OpenLCAbasic!K10190,LookUps!$D$5:$D$12,0))))</f>
        <v>Water Use (WU) - m3 H2O</v>
      </c>
      <c r="M10190" s="154" t="str">
        <f t="shared" si="855"/>
        <v>Low_Medium_High_Upgraded_Water Use (WU) - m3 H2O_Anaerobic Digestion; wastewater treatment unit; at updated plant - US_Base_With Amendment_Aerated Static Pile</v>
      </c>
    </row>
    <row r="10191" spans="1:13" s="120" customFormat="1" x14ac:dyDescent="0.25">
      <c r="A10191" s="119"/>
      <c r="B10191" s="138" t="str">
        <f t="shared" si="856"/>
        <v>Aerated Static Pile</v>
      </c>
      <c r="C10191" s="138" t="str">
        <f t="shared" si="857"/>
        <v>Base_With Amendment</v>
      </c>
      <c r="D10191" s="138" t="str">
        <f t="shared" si="859"/>
        <v>Medium_High</v>
      </c>
      <c r="E10191" s="138" t="str">
        <f t="shared" si="854"/>
        <v>Low</v>
      </c>
      <c r="F10191" s="138" t="str">
        <f t="shared" si="858"/>
        <v>Upgraded</v>
      </c>
      <c r="G10191" s="153"/>
      <c r="H10191" s="210">
        <v>-3.0632000000000001</v>
      </c>
      <c r="I10191" s="160" t="s">
        <v>62</v>
      </c>
      <c r="J10191" s="160">
        <v>-1.5299999999999999E-3</v>
      </c>
      <c r="K10191" s="160" t="s">
        <v>26</v>
      </c>
      <c r="L10191" s="154" t="str">
        <f>IF(OpenLCAbasic!K10191="CTUh", "Fill in Manually",IF(OR(K10191="Unit", K10191=""), "", INDEX(LookUps!$E$5:$E$12, MATCH(OpenLCAbasic!K10191,LookUps!$D$5:$D$12,0))))</f>
        <v>Water Use (WU) - m3 H2O</v>
      </c>
      <c r="M10191" s="154" t="str">
        <f t="shared" si="855"/>
        <v>Low_Medium_High_Upgraded_Water Use (WU) - m3 H2O_Land application of compost; wastewater treatment unit; at updated plant - US_Base_With Amendment_Aerated Static Pile</v>
      </c>
    </row>
    <row r="10192" spans="1:13" s="120" customFormat="1" x14ac:dyDescent="0.25">
      <c r="A10192" s="119"/>
      <c r="B10192" s="138" t="str">
        <f t="shared" si="856"/>
        <v/>
      </c>
      <c r="C10192" s="138" t="str">
        <f t="shared" si="857"/>
        <v/>
      </c>
      <c r="D10192" s="138" t="str">
        <f>IF(ISNUMBER($J10192),"High_Low","")</f>
        <v/>
      </c>
      <c r="E10192" s="138" t="str">
        <f t="shared" si="854"/>
        <v/>
      </c>
      <c r="F10192" s="138" t="str">
        <f t="shared" si="858"/>
        <v/>
      </c>
      <c r="G10192" s="153" t="s">
        <v>51</v>
      </c>
      <c r="H10192" s="160"/>
      <c r="I10192" s="160" t="s">
        <v>47</v>
      </c>
      <c r="J10192" s="160" t="s">
        <v>52</v>
      </c>
      <c r="K10192" s="160" t="s">
        <v>27</v>
      </c>
      <c r="L10192" s="154" t="str">
        <f>IF(OpenLCAbasic!K10192="CTUh", "Fill in Manually",IF(OR(K10192="Unit", K10192=""), "", INDEX(LookUps!$E$5:$E$12, MATCH(OpenLCAbasic!K10192,LookUps!$D$5:$D$12,0))))</f>
        <v/>
      </c>
      <c r="M10192" s="154" t="str">
        <f t="shared" si="855"/>
        <v>____Process__</v>
      </c>
    </row>
    <row r="10193" spans="1:13" s="120" customFormat="1" x14ac:dyDescent="0.25">
      <c r="A10193" s="119"/>
      <c r="B10193" s="138" t="str">
        <f t="shared" si="856"/>
        <v>Aerated Static Pile</v>
      </c>
      <c r="C10193" s="138" t="str">
        <f t="shared" si="857"/>
        <v>Base_With Amendment</v>
      </c>
      <c r="D10193" s="138" t="str">
        <f t="shared" ref="D10193:D10256" si="860">IF(ISNUMBER($J10193),"High_Low","")</f>
        <v>High_Low</v>
      </c>
      <c r="E10193" s="138" t="str">
        <f t="shared" si="854"/>
        <v>Low</v>
      </c>
      <c r="F10193" s="138" t="str">
        <f t="shared" si="858"/>
        <v>Upgraded</v>
      </c>
      <c r="G10193" s="153"/>
      <c r="H10193" s="210">
        <v>0.37540000000000001</v>
      </c>
      <c r="I10193" s="160" t="s">
        <v>55</v>
      </c>
      <c r="J10193" s="160">
        <v>1.7219999999999999E-2</v>
      </c>
      <c r="K10193" s="160" t="s">
        <v>24</v>
      </c>
      <c r="L10193" s="154" t="str">
        <f>IF(OpenLCAbasic!K10193="CTUh", "Fill in Manually",IF(OR(K10193="Unit", K10193=""), "", INDEX(LookUps!$E$5:$E$12, MATCH(OpenLCAbasic!K10193,LookUps!$D$5:$D$12,0))))</f>
        <v>Acidification Potential (AP) - kg SO2 eq</v>
      </c>
      <c r="M10193" s="154" t="str">
        <f t="shared" si="855"/>
        <v>Low_High_Low_Upgraded_Acidification Potential (AP) - kg SO2 eq_Aeration Tanks; wastewater treatment unit; at updated plant - US_Base_With Amendment_Aerated Static Pile</v>
      </c>
    </row>
    <row r="10194" spans="1:13" s="120" customFormat="1" x14ac:dyDescent="0.25">
      <c r="A10194" s="119"/>
      <c r="B10194" s="138" t="str">
        <f t="shared" si="856"/>
        <v>Aerated Static Pile</v>
      </c>
      <c r="C10194" s="138" t="str">
        <f t="shared" si="857"/>
        <v>Base_With Amendment</v>
      </c>
      <c r="D10194" s="138" t="str">
        <f t="shared" si="860"/>
        <v>High_Low</v>
      </c>
      <c r="E10194" s="138" t="str">
        <f t="shared" si="854"/>
        <v>Low</v>
      </c>
      <c r="F10194" s="138" t="str">
        <f t="shared" si="858"/>
        <v>Upgraded</v>
      </c>
      <c r="G10194" s="153"/>
      <c r="H10194" s="210">
        <v>0.28710000000000002</v>
      </c>
      <c r="I10194" s="160" t="s">
        <v>435</v>
      </c>
      <c r="J10194" s="160">
        <v>1.3169999999999999E-2</v>
      </c>
      <c r="K10194" s="160" t="s">
        <v>24</v>
      </c>
      <c r="L10194" s="154" t="str">
        <f>IF(OpenLCAbasic!K10194="CTUh", "Fill in Manually",IF(OR(K10194="Unit", K10194=""), "", INDEX(LookUps!$E$5:$E$12, MATCH(OpenLCAbasic!K10194,LookUps!$D$5:$D$12,0))))</f>
        <v>Acidification Potential (AP) - kg SO2 eq</v>
      </c>
      <c r="M10194" s="154" t="str">
        <f t="shared" si="855"/>
        <v>Low_High_Low_Upgraded_Acidification Potential (AP) - kg SO2 eq_Biosolids composting; aerated static pile; wastewater treatment unit; at updated plant - US_Base_With Amendment_Aerated Static Pile</v>
      </c>
    </row>
    <row r="10195" spans="1:13" s="120" customFormat="1" x14ac:dyDescent="0.25">
      <c r="A10195" s="119"/>
      <c r="B10195" s="138" t="str">
        <f t="shared" si="856"/>
        <v>Aerated Static Pile</v>
      </c>
      <c r="C10195" s="138" t="str">
        <f t="shared" si="857"/>
        <v>Base_With Amendment</v>
      </c>
      <c r="D10195" s="138" t="str">
        <f t="shared" si="860"/>
        <v>High_Low</v>
      </c>
      <c r="E10195" s="138" t="str">
        <f t="shared" si="854"/>
        <v>Low</v>
      </c>
      <c r="F10195" s="138" t="str">
        <f t="shared" si="858"/>
        <v>Upgraded</v>
      </c>
      <c r="G10195" s="153"/>
      <c r="H10195" s="210">
        <v>0.13919999999999999</v>
      </c>
      <c r="I10195" s="160" t="s">
        <v>62</v>
      </c>
      <c r="J10195" s="160">
        <v>6.3899999999999998E-3</v>
      </c>
      <c r="K10195" s="160" t="s">
        <v>24</v>
      </c>
      <c r="L10195" s="154" t="str">
        <f>IF(OpenLCAbasic!K10195="CTUh", "Fill in Manually",IF(OR(K10195="Unit", K10195=""), "", INDEX(LookUps!$E$5:$E$12, MATCH(OpenLCAbasic!K10195,LookUps!$D$5:$D$12,0))))</f>
        <v>Acidification Potential (AP) - kg SO2 eq</v>
      </c>
      <c r="M10195" s="154" t="str">
        <f t="shared" si="855"/>
        <v>Low_High_Low_Upgraded_Acidification Potential (AP) - kg SO2 eq_Land application of compost; wastewater treatment unit; at updated plant - US_Base_With Amendment_Aerated Static Pile</v>
      </c>
    </row>
    <row r="10196" spans="1:13" s="120" customFormat="1" x14ac:dyDescent="0.25">
      <c r="A10196" s="119"/>
      <c r="B10196" s="138" t="str">
        <f t="shared" si="856"/>
        <v>Aerated Static Pile</v>
      </c>
      <c r="C10196" s="138" t="str">
        <f t="shared" si="857"/>
        <v>Base_With Amendment</v>
      </c>
      <c r="D10196" s="138" t="str">
        <f t="shared" si="860"/>
        <v>High_Low</v>
      </c>
      <c r="E10196" s="138" t="str">
        <f t="shared" si="854"/>
        <v>Low</v>
      </c>
      <c r="F10196" s="138" t="str">
        <f t="shared" si="858"/>
        <v>Upgraded</v>
      </c>
      <c r="G10196" s="153"/>
      <c r="H10196" s="210">
        <v>0.1086</v>
      </c>
      <c r="I10196" s="160" t="s">
        <v>54</v>
      </c>
      <c r="J10196" s="160">
        <v>4.9800000000000001E-3</v>
      </c>
      <c r="K10196" s="160" t="s">
        <v>24</v>
      </c>
      <c r="L10196" s="154" t="str">
        <f>IF(OpenLCAbasic!K10196="CTUh", "Fill in Manually",IF(OR(K10196="Unit", K10196=""), "", INDEX(LookUps!$E$5:$E$12, MATCH(OpenLCAbasic!K10196,LookUps!$D$5:$D$12,0))))</f>
        <v>Acidification Potential (AP) - kg SO2 eq</v>
      </c>
      <c r="M10196" s="154" t="str">
        <f t="shared" si="855"/>
        <v>Low_High_Low_Upgraded_Acidification Potential (AP) - kg SO2 eq_Clear Cove Primary Clarification; wastewater treatment unit; at updated plant - US_Base_With Amendment_Aerated Static Pile</v>
      </c>
    </row>
    <row r="10197" spans="1:13" s="120" customFormat="1" x14ac:dyDescent="0.25">
      <c r="A10197" s="119"/>
      <c r="B10197" s="138" t="str">
        <f t="shared" si="856"/>
        <v>Aerated Static Pile</v>
      </c>
      <c r="C10197" s="138" t="str">
        <f t="shared" si="857"/>
        <v>Base_With Amendment</v>
      </c>
      <c r="D10197" s="138" t="str">
        <f t="shared" si="860"/>
        <v>High_Low</v>
      </c>
      <c r="E10197" s="138" t="str">
        <f t="shared" si="854"/>
        <v>Low</v>
      </c>
      <c r="F10197" s="138" t="str">
        <f t="shared" si="858"/>
        <v>Upgraded</v>
      </c>
      <c r="G10197" s="153"/>
      <c r="H10197" s="210">
        <v>9.5100000000000004E-2</v>
      </c>
      <c r="I10197" s="160" t="s">
        <v>58</v>
      </c>
      <c r="J10197" s="160">
        <v>4.3600000000000002E-3</v>
      </c>
      <c r="K10197" s="160" t="s">
        <v>24</v>
      </c>
      <c r="L10197" s="154" t="str">
        <f>IF(OpenLCAbasic!K10197="CTUh", "Fill in Manually",IF(OR(K10197="Unit", K10197=""), "", INDEX(LookUps!$E$5:$E$12, MATCH(OpenLCAbasic!K10197,LookUps!$D$5:$D$12,0))))</f>
        <v>Acidification Potential (AP) - kg SO2 eq</v>
      </c>
      <c r="M10197" s="154" t="str">
        <f t="shared" si="855"/>
        <v>Low_High_Low_Upgraded_Acidification Potential (AP) - kg SO2 eq_Pre-Anoxic &amp; Swing tank; wastewater treatment unit; at updated plant - US_Base_With Amendment_Aerated Static Pile</v>
      </c>
    </row>
    <row r="10198" spans="1:13" s="120" customFormat="1" x14ac:dyDescent="0.25">
      <c r="A10198" s="119"/>
      <c r="B10198" s="138" t="str">
        <f t="shared" si="856"/>
        <v>Aerated Static Pile</v>
      </c>
      <c r="C10198" s="138" t="str">
        <f t="shared" si="857"/>
        <v>Base_With Amendment</v>
      </c>
      <c r="D10198" s="138" t="str">
        <f t="shared" si="860"/>
        <v>High_Low</v>
      </c>
      <c r="E10198" s="138" t="str">
        <f t="shared" si="854"/>
        <v>Low</v>
      </c>
      <c r="F10198" s="138" t="str">
        <f t="shared" si="858"/>
        <v>Upgraded</v>
      </c>
      <c r="G10198" s="153"/>
      <c r="H10198" s="210">
        <v>7.5200000000000003E-2</v>
      </c>
      <c r="I10198" s="160" t="s">
        <v>53</v>
      </c>
      <c r="J10198" s="160">
        <v>3.4499999999999999E-3</v>
      </c>
      <c r="K10198" s="160" t="s">
        <v>24</v>
      </c>
      <c r="L10198" s="154" t="str">
        <f>IF(OpenLCAbasic!K10198="CTUh", "Fill in Manually",IF(OR(K10198="Unit", K10198=""), "", INDEX(LookUps!$E$5:$E$12, MATCH(OpenLCAbasic!K10198,LookUps!$D$5:$D$12,0))))</f>
        <v>Acidification Potential (AP) - kg SO2 eq</v>
      </c>
      <c r="M10198" s="154" t="str">
        <f t="shared" si="855"/>
        <v>Low_High_Low_Upgraded_Acidification Potential (AP) - kg SO2 eq_Wet Well and Sump Station; wastewater treatment unit; at updated plant - US_Base_With Amendment_Aerated Static Pile</v>
      </c>
    </row>
    <row r="10199" spans="1:13" s="120" customFormat="1" x14ac:dyDescent="0.25">
      <c r="A10199" s="119"/>
      <c r="B10199" s="138" t="str">
        <f t="shared" si="856"/>
        <v>Aerated Static Pile</v>
      </c>
      <c r="C10199" s="138" t="str">
        <f t="shared" si="857"/>
        <v>Base_With Amendment</v>
      </c>
      <c r="D10199" s="138" t="str">
        <f t="shared" si="860"/>
        <v>High_Low</v>
      </c>
      <c r="E10199" s="138" t="str">
        <f t="shared" si="854"/>
        <v>Low</v>
      </c>
      <c r="F10199" s="138" t="str">
        <f t="shared" si="858"/>
        <v>Upgraded</v>
      </c>
      <c r="G10199" s="153"/>
      <c r="H10199" s="210">
        <v>5.8900000000000001E-2</v>
      </c>
      <c r="I10199" s="160" t="s">
        <v>167</v>
      </c>
      <c r="J10199" s="160">
        <v>2.7000000000000001E-3</v>
      </c>
      <c r="K10199" s="160" t="s">
        <v>24</v>
      </c>
      <c r="L10199" s="154" t="str">
        <f>IF(OpenLCAbasic!K10199="CTUh", "Fill in Manually",IF(OR(K10199="Unit", K10199=""), "", INDEX(LookUps!$E$5:$E$12, MATCH(OpenLCAbasic!K10199,LookUps!$D$5:$D$12,0))))</f>
        <v>Acidification Potential (AP) - kg SO2 eq</v>
      </c>
      <c r="M10199" s="154" t="str">
        <f t="shared" si="855"/>
        <v>Low_High_Low_Upgraded_Acidification Potential (AP) - kg SO2 eq_Waste Receiving and Holding; wastewater treatment unit; at updated plant - US_Base_With Amendment_Aerated Static Pile</v>
      </c>
    </row>
    <row r="10200" spans="1:13" s="120" customFormat="1" x14ac:dyDescent="0.25">
      <c r="A10200" s="119"/>
      <c r="B10200" s="138" t="str">
        <f t="shared" si="856"/>
        <v>Aerated Static Pile</v>
      </c>
      <c r="C10200" s="138" t="str">
        <f t="shared" si="857"/>
        <v>Base_With Amendment</v>
      </c>
      <c r="D10200" s="138" t="str">
        <f t="shared" si="860"/>
        <v>High_Low</v>
      </c>
      <c r="E10200" s="138" t="str">
        <f t="shared" si="854"/>
        <v>Low</v>
      </c>
      <c r="F10200" s="138" t="str">
        <f t="shared" si="858"/>
        <v>Upgraded</v>
      </c>
      <c r="G10200" s="153"/>
      <c r="H10200" s="210">
        <v>4.5100000000000001E-2</v>
      </c>
      <c r="I10200" s="160" t="s">
        <v>147</v>
      </c>
      <c r="J10200" s="160">
        <v>2.0699999999999998E-3</v>
      </c>
      <c r="K10200" s="160" t="s">
        <v>24</v>
      </c>
      <c r="L10200" s="154" t="str">
        <f>IF(OpenLCAbasic!K10200="CTUh", "Fill in Manually",IF(OR(K10200="Unit", K10200=""), "", INDEX(LookUps!$E$5:$E$12, MATCH(OpenLCAbasic!K10200,LookUps!$D$5:$D$12,0))))</f>
        <v>Acidification Potential (AP) - kg SO2 eq</v>
      </c>
      <c r="M10200" s="154" t="str">
        <f t="shared" si="855"/>
        <v>Low_High_Low_Upgraded_Acidification Potential (AP) - kg SO2 eq_Influent Pump Station; wastewater treatment unit; at updated plant - US_Base_With Amendment_Aerated Static Pile</v>
      </c>
    </row>
    <row r="10201" spans="1:13" s="120" customFormat="1" x14ac:dyDescent="0.25">
      <c r="A10201" s="119"/>
      <c r="B10201" s="138" t="str">
        <f t="shared" si="856"/>
        <v>Aerated Static Pile</v>
      </c>
      <c r="C10201" s="138" t="str">
        <f t="shared" si="857"/>
        <v>Base_With Amendment</v>
      </c>
      <c r="D10201" s="138" t="str">
        <f t="shared" si="860"/>
        <v>High_Low</v>
      </c>
      <c r="E10201" s="138" t="str">
        <f t="shared" si="854"/>
        <v>Low</v>
      </c>
      <c r="F10201" s="138" t="str">
        <f t="shared" si="858"/>
        <v>Upgraded</v>
      </c>
      <c r="G10201" s="153"/>
      <c r="H10201" s="210">
        <v>3.6700000000000003E-2</v>
      </c>
      <c r="I10201" s="160" t="s">
        <v>60</v>
      </c>
      <c r="J10201" s="160">
        <v>1.6800000000000001E-3</v>
      </c>
      <c r="K10201" s="160" t="s">
        <v>24</v>
      </c>
      <c r="L10201" s="154" t="str">
        <f>IF(OpenLCAbasic!K10201="CTUh", "Fill in Manually",IF(OR(K10201="Unit", K10201=""), "", INDEX(LookUps!$E$5:$E$12, MATCH(OpenLCAbasic!K10201,LookUps!$D$5:$D$12,0))))</f>
        <v>Acidification Potential (AP) - kg SO2 eq</v>
      </c>
      <c r="M10201" s="154" t="str">
        <f t="shared" si="855"/>
        <v>Low_High_Low_Upgraded_Acidification Potential (AP) - kg SO2 eq_Belt filter press; wastewater treatment unit; at updated plant - US_Base_With Amendment_Aerated Static Pile</v>
      </c>
    </row>
    <row r="10202" spans="1:13" s="120" customFormat="1" x14ac:dyDescent="0.25">
      <c r="A10202" s="119"/>
      <c r="B10202" s="138" t="str">
        <f t="shared" si="856"/>
        <v>Aerated Static Pile</v>
      </c>
      <c r="C10202" s="138" t="str">
        <f t="shared" si="857"/>
        <v>Base_With Amendment</v>
      </c>
      <c r="D10202" s="138" t="str">
        <f t="shared" si="860"/>
        <v>High_Low</v>
      </c>
      <c r="E10202" s="138" t="str">
        <f t="shared" si="854"/>
        <v>Low</v>
      </c>
      <c r="F10202" s="138" t="str">
        <f t="shared" si="858"/>
        <v>Upgraded</v>
      </c>
      <c r="G10202" s="153"/>
      <c r="H10202" s="210">
        <v>2.69E-2</v>
      </c>
      <c r="I10202" s="160" t="s">
        <v>128</v>
      </c>
      <c r="J10202" s="160">
        <v>1.23E-3</v>
      </c>
      <c r="K10202" s="160" t="s">
        <v>24</v>
      </c>
      <c r="L10202" s="154" t="str">
        <f>IF(OpenLCAbasic!K10202="CTUh", "Fill in Manually",IF(OR(K10202="Unit", K10202=""), "", INDEX(LookUps!$E$5:$E$12, MATCH(OpenLCAbasic!K10202,LookUps!$D$5:$D$12,0))))</f>
        <v>Acidification Potential (AP) - kg SO2 eq</v>
      </c>
      <c r="M10202" s="154" t="str">
        <f t="shared" si="855"/>
        <v>Low_High_Low_Upgraded_Acidification Potential (AP) - kg SO2 eq_Wastewater collection; operation and infrastructure; m3 wastewater_Base_With Amendment_Aerated Static Pile</v>
      </c>
    </row>
    <row r="10203" spans="1:13" s="120" customFormat="1" x14ac:dyDescent="0.25">
      <c r="A10203" s="119"/>
      <c r="B10203" s="138" t="str">
        <f t="shared" si="856"/>
        <v>Aerated Static Pile</v>
      </c>
      <c r="C10203" s="138" t="str">
        <f t="shared" si="857"/>
        <v>Base_With Amendment</v>
      </c>
      <c r="D10203" s="138" t="str">
        <f t="shared" si="860"/>
        <v>High_Low</v>
      </c>
      <c r="E10203" s="138" t="str">
        <f t="shared" si="854"/>
        <v>Low</v>
      </c>
      <c r="F10203" s="138" t="str">
        <f t="shared" si="858"/>
        <v>Upgraded</v>
      </c>
      <c r="G10203" s="153"/>
      <c r="H10203" s="210">
        <v>1.5299999999999999E-2</v>
      </c>
      <c r="I10203" s="160" t="s">
        <v>57</v>
      </c>
      <c r="J10203" s="160">
        <v>6.9999999999999999E-4</v>
      </c>
      <c r="K10203" s="160" t="s">
        <v>24</v>
      </c>
      <c r="L10203" s="154" t="str">
        <f>IF(OpenLCAbasic!K10203="CTUh", "Fill in Manually",IF(OR(K10203="Unit", K10203=""), "", INDEX(LookUps!$E$5:$E$12, MATCH(OpenLCAbasic!K10203,LookUps!$D$5:$D$12,0))))</f>
        <v>Acidification Potential (AP) - kg SO2 eq</v>
      </c>
      <c r="M10203" s="154" t="str">
        <f t="shared" si="855"/>
        <v>Low_High_Low_Upgraded_Acidification Potential (AP) - kg SO2 eq_Gravity Belt Thickener; wastewater treatment unit; at updated plant - US_Base_With Amendment_Aerated Static Pile</v>
      </c>
    </row>
    <row r="10204" spans="1:13" s="120" customFormat="1" x14ac:dyDescent="0.25">
      <c r="A10204" s="119"/>
      <c r="B10204" s="138" t="str">
        <f t="shared" si="856"/>
        <v>Aerated Static Pile</v>
      </c>
      <c r="C10204" s="138" t="str">
        <f t="shared" si="857"/>
        <v>Base_With Amendment</v>
      </c>
      <c r="D10204" s="138" t="str">
        <f t="shared" si="860"/>
        <v>High_Low</v>
      </c>
      <c r="E10204" s="138" t="str">
        <f t="shared" si="854"/>
        <v>Low</v>
      </c>
      <c r="F10204" s="138" t="str">
        <f t="shared" si="858"/>
        <v>Upgraded</v>
      </c>
      <c r="G10204" s="153"/>
      <c r="H10204" s="210">
        <v>1.1299999999999999E-2</v>
      </c>
      <c r="I10204" s="160" t="s">
        <v>59</v>
      </c>
      <c r="J10204" s="160">
        <v>5.1999999999999995E-4</v>
      </c>
      <c r="K10204" s="160" t="s">
        <v>24</v>
      </c>
      <c r="L10204" s="154" t="str">
        <f>IF(OpenLCAbasic!K10204="CTUh", "Fill in Manually",IF(OR(K10204="Unit", K10204=""), "", INDEX(LookUps!$E$5:$E$12, MATCH(OpenLCAbasic!K10204,LookUps!$D$5:$D$12,0))))</f>
        <v>Acidification Potential (AP) - kg SO2 eq</v>
      </c>
      <c r="M10204" s="154" t="str">
        <f t="shared" si="855"/>
        <v>Low_High_Low_Upgraded_Acidification Potential (AP) - kg SO2 eq_Blend Tank; wastewater treatment unit; at updated plant - US_Base_With Amendment_Aerated Static Pile</v>
      </c>
    </row>
    <row r="10205" spans="1:13" s="120" customFormat="1" x14ac:dyDescent="0.25">
      <c r="A10205" s="119"/>
      <c r="B10205" s="138" t="str">
        <f t="shared" si="856"/>
        <v>Aerated Static Pile</v>
      </c>
      <c r="C10205" s="138" t="str">
        <f t="shared" si="857"/>
        <v>Base_With Amendment</v>
      </c>
      <c r="D10205" s="138" t="str">
        <f t="shared" si="860"/>
        <v>High_Low</v>
      </c>
      <c r="E10205" s="138" t="str">
        <f t="shared" si="854"/>
        <v>Low</v>
      </c>
      <c r="F10205" s="138" t="str">
        <f t="shared" si="858"/>
        <v>Upgraded</v>
      </c>
      <c r="G10205" s="153"/>
      <c r="H10205" s="210">
        <v>7.6E-3</v>
      </c>
      <c r="I10205" s="160" t="s">
        <v>48</v>
      </c>
      <c r="J10205" s="160">
        <v>3.5E-4</v>
      </c>
      <c r="K10205" s="160" t="s">
        <v>24</v>
      </c>
      <c r="L10205" s="154" t="str">
        <f>IF(OpenLCAbasic!K10205="CTUh", "Fill in Manually",IF(OR(K10205="Unit", K10205=""), "", INDEX(LookUps!$E$5:$E$12, MATCH(OpenLCAbasic!K10205,LookUps!$D$5:$D$12,0))))</f>
        <v>Acidification Potential (AP) - kg SO2 eq</v>
      </c>
      <c r="M10205" s="154" t="str">
        <f t="shared" si="855"/>
        <v>Low_High_Low_Upgraded_Acidification Potential (AP) - kg SO2 eq_Effluent release; wastewater treatment unit; at surface water; m3 wastewater - US_Base_With Amendment_Aerated Static Pile</v>
      </c>
    </row>
    <row r="10206" spans="1:13" s="120" customFormat="1" x14ac:dyDescent="0.25">
      <c r="A10206" s="119"/>
      <c r="B10206" s="138" t="str">
        <f t="shared" si="856"/>
        <v>Aerated Static Pile</v>
      </c>
      <c r="C10206" s="138" t="str">
        <f t="shared" si="857"/>
        <v>Base_With Amendment</v>
      </c>
      <c r="D10206" s="138" t="str">
        <f t="shared" si="860"/>
        <v>High_Low</v>
      </c>
      <c r="E10206" s="138" t="str">
        <f t="shared" si="854"/>
        <v>Low</v>
      </c>
      <c r="F10206" s="138" t="str">
        <f t="shared" si="858"/>
        <v>Upgraded</v>
      </c>
      <c r="G10206" s="153"/>
      <c r="H10206" s="210">
        <v>5.5999999999999999E-3</v>
      </c>
      <c r="I10206" s="160" t="s">
        <v>168</v>
      </c>
      <c r="J10206" s="160">
        <v>2.5999999999999998E-4</v>
      </c>
      <c r="K10206" s="160" t="s">
        <v>24</v>
      </c>
      <c r="L10206" s="154" t="str">
        <f>IF(OpenLCAbasic!K10206="CTUh", "Fill in Manually",IF(OR(K10206="Unit", K10206=""), "", INDEX(LookUps!$E$5:$E$12, MATCH(OpenLCAbasic!K10206,LookUps!$D$5:$D$12,0))))</f>
        <v>Acidification Potential (AP) - kg SO2 eq</v>
      </c>
      <c r="M10206" s="154" t="str">
        <f t="shared" si="855"/>
        <v>Low_High_Low_Upgraded_Acidification Potential (AP) - kg SO2 eq_ClearCove SCP; wastewater treatment unit; at updated plant - US_Base_With Amendment_Aerated Static Pile</v>
      </c>
    </row>
    <row r="10207" spans="1:13" s="120" customFormat="1" x14ac:dyDescent="0.25">
      <c r="A10207" s="119"/>
      <c r="B10207" s="138" t="str">
        <f t="shared" si="856"/>
        <v>Aerated Static Pile</v>
      </c>
      <c r="C10207" s="138" t="str">
        <f t="shared" si="857"/>
        <v>Base_With Amendment</v>
      </c>
      <c r="D10207" s="138" t="str">
        <f t="shared" si="860"/>
        <v>High_Low</v>
      </c>
      <c r="E10207" s="138" t="str">
        <f t="shared" si="854"/>
        <v>Low</v>
      </c>
      <c r="F10207" s="138" t="str">
        <f t="shared" si="858"/>
        <v>Upgraded</v>
      </c>
      <c r="G10207" s="153"/>
      <c r="H10207" s="210">
        <v>8.9999999999999998E-4</v>
      </c>
      <c r="I10207" s="160" t="s">
        <v>148</v>
      </c>
      <c r="J10207" s="211">
        <v>4.0354700000000002E-5</v>
      </c>
      <c r="K10207" s="160" t="s">
        <v>24</v>
      </c>
      <c r="L10207" s="154" t="str">
        <f>IF(OpenLCAbasic!K10207="CTUh", "Fill in Manually",IF(OR(K10207="Unit", K10207=""), "", INDEX(LookUps!$E$5:$E$12, MATCH(OpenLCAbasic!K10207,LookUps!$D$5:$D$12,0))))</f>
        <v>Acidification Potential (AP) - kg SO2 eq</v>
      </c>
      <c r="M10207" s="154" t="str">
        <f t="shared" si="855"/>
        <v>Low_High_Low_Upgraded_Acidification Potential (AP) - kg SO2 eq_Control Building; at upgraded wastewater treatment plant - US_Base_With Amendment_Aerated Static Pile</v>
      </c>
    </row>
    <row r="10208" spans="1:13" s="120" customFormat="1" x14ac:dyDescent="0.25">
      <c r="A10208" s="119"/>
      <c r="B10208" s="138" t="str">
        <f t="shared" si="856"/>
        <v>Aerated Static Pile</v>
      </c>
      <c r="C10208" s="138" t="str">
        <f t="shared" si="857"/>
        <v>Base_With Amendment</v>
      </c>
      <c r="D10208" s="138" t="str">
        <f t="shared" si="860"/>
        <v>High_Low</v>
      </c>
      <c r="E10208" s="138" t="str">
        <f t="shared" si="854"/>
        <v>Low</v>
      </c>
      <c r="F10208" s="138" t="str">
        <f t="shared" si="858"/>
        <v>Upgraded</v>
      </c>
      <c r="G10208" s="153"/>
      <c r="H10208" s="210">
        <v>-0.2888</v>
      </c>
      <c r="I10208" s="160" t="s">
        <v>149</v>
      </c>
      <c r="J10208" s="160">
        <v>-1.325E-2</v>
      </c>
      <c r="K10208" s="160" t="s">
        <v>24</v>
      </c>
      <c r="L10208" s="154" t="str">
        <f>IF(OpenLCAbasic!K10208="CTUh", "Fill in Manually",IF(OR(K10208="Unit", K10208=""), "", INDEX(LookUps!$E$5:$E$12, MATCH(OpenLCAbasic!K10208,LookUps!$D$5:$D$12,0))))</f>
        <v>Acidification Potential (AP) - kg SO2 eq</v>
      </c>
      <c r="M10208" s="154" t="str">
        <f t="shared" si="855"/>
        <v>Low_High_Low_Upgraded_Acidification Potential (AP) - kg SO2 eq_Anaerobic Digestion; wastewater treatment unit; at updated plant - US_Base_With Amendment_Aerated Static Pile</v>
      </c>
    </row>
    <row r="10209" spans="1:13" s="120" customFormat="1" x14ac:dyDescent="0.25">
      <c r="A10209" s="119"/>
      <c r="B10209" s="138" t="str">
        <f t="shared" si="856"/>
        <v/>
      </c>
      <c r="C10209" s="138" t="str">
        <f t="shared" si="857"/>
        <v/>
      </c>
      <c r="D10209" s="138" t="str">
        <f t="shared" si="860"/>
        <v/>
      </c>
      <c r="E10209" s="138" t="str">
        <f t="shared" si="854"/>
        <v/>
      </c>
      <c r="F10209" s="138" t="str">
        <f t="shared" si="858"/>
        <v/>
      </c>
      <c r="G10209" s="153" t="s">
        <v>51</v>
      </c>
      <c r="H10209" s="160"/>
      <c r="I10209" s="160" t="s">
        <v>47</v>
      </c>
      <c r="J10209" s="160" t="s">
        <v>52</v>
      </c>
      <c r="K10209" s="160" t="s">
        <v>27</v>
      </c>
      <c r="L10209" s="154" t="str">
        <f>IF(OpenLCAbasic!K10209="CTUh", "Fill in Manually",IF(OR(K10209="Unit", K10209=""), "", INDEX(LookUps!$E$5:$E$12, MATCH(OpenLCAbasic!K10209,LookUps!$D$5:$D$12,0))))</f>
        <v/>
      </c>
      <c r="M10209" s="154" t="str">
        <f t="shared" si="855"/>
        <v>____Process__</v>
      </c>
    </row>
    <row r="10210" spans="1:13" s="120" customFormat="1" x14ac:dyDescent="0.25">
      <c r="A10210" s="119"/>
      <c r="B10210" s="138" t="str">
        <f t="shared" si="856"/>
        <v>Aerated Static Pile</v>
      </c>
      <c r="C10210" s="138" t="str">
        <f t="shared" si="857"/>
        <v>Base_With Amendment</v>
      </c>
      <c r="D10210" s="138" t="str">
        <f t="shared" si="860"/>
        <v>High_Low</v>
      </c>
      <c r="E10210" s="138" t="str">
        <f t="shared" si="854"/>
        <v>Low</v>
      </c>
      <c r="F10210" s="138" t="str">
        <f t="shared" si="858"/>
        <v>Upgraded</v>
      </c>
      <c r="G10210" s="153"/>
      <c r="H10210" s="210">
        <v>0.47639999999999999</v>
      </c>
      <c r="I10210" s="160" t="s">
        <v>167</v>
      </c>
      <c r="J10210" s="160">
        <v>5.1393399999999998</v>
      </c>
      <c r="K10210" s="160" t="s">
        <v>15</v>
      </c>
      <c r="L10210" s="154" t="str">
        <f>IF(OpenLCAbasic!K10210="CTUh", "Fill in Manually",IF(OR(K10210="Unit", K10210=""), "", INDEX(LookUps!$E$5:$E$12, MATCH(OpenLCAbasic!K10210,LookUps!$D$5:$D$12,0))))</f>
        <v>Cumulative Energy Demand (CED) - MJ</v>
      </c>
      <c r="M10210" s="154" t="str">
        <f t="shared" si="855"/>
        <v>Low_High_Low_Upgraded_Cumulative Energy Demand (CED) - MJ_Waste Receiving and Holding; wastewater treatment unit; at updated plant - US_Base_With Amendment_Aerated Static Pile</v>
      </c>
    </row>
    <row r="10211" spans="1:13" s="120" customFormat="1" x14ac:dyDescent="0.25">
      <c r="A10211" s="119"/>
      <c r="B10211" s="138" t="str">
        <f t="shared" si="856"/>
        <v>Aerated Static Pile</v>
      </c>
      <c r="C10211" s="138" t="str">
        <f t="shared" si="857"/>
        <v>Base_With Amendment</v>
      </c>
      <c r="D10211" s="138" t="str">
        <f t="shared" si="860"/>
        <v>High_Low</v>
      </c>
      <c r="E10211" s="138" t="str">
        <f t="shared" si="854"/>
        <v>Low</v>
      </c>
      <c r="F10211" s="138" t="str">
        <f t="shared" si="858"/>
        <v>Upgraded</v>
      </c>
      <c r="G10211" s="153"/>
      <c r="H10211" s="210">
        <v>0.32750000000000001</v>
      </c>
      <c r="I10211" s="160" t="s">
        <v>55</v>
      </c>
      <c r="J10211" s="160">
        <v>3.5330499999999998</v>
      </c>
      <c r="K10211" s="160" t="s">
        <v>15</v>
      </c>
      <c r="L10211" s="154" t="str">
        <f>IF(OpenLCAbasic!K10211="CTUh", "Fill in Manually",IF(OR(K10211="Unit", K10211=""), "", INDEX(LookUps!$E$5:$E$12, MATCH(OpenLCAbasic!K10211,LookUps!$D$5:$D$12,0))))</f>
        <v>Cumulative Energy Demand (CED) - MJ</v>
      </c>
      <c r="M10211" s="154" t="str">
        <f t="shared" si="855"/>
        <v>Low_High_Low_Upgraded_Cumulative Energy Demand (CED) - MJ_Aeration Tanks; wastewater treatment unit; at updated plant - US_Base_With Amendment_Aerated Static Pile</v>
      </c>
    </row>
    <row r="10212" spans="1:13" s="120" customFormat="1" x14ac:dyDescent="0.25">
      <c r="A10212" s="119"/>
      <c r="B10212" s="138" t="str">
        <f t="shared" si="856"/>
        <v>Aerated Static Pile</v>
      </c>
      <c r="C10212" s="138" t="str">
        <f t="shared" si="857"/>
        <v>Base_With Amendment</v>
      </c>
      <c r="D10212" s="138" t="str">
        <f t="shared" si="860"/>
        <v>High_Low</v>
      </c>
      <c r="E10212" s="138" t="str">
        <f t="shared" si="854"/>
        <v>Low</v>
      </c>
      <c r="F10212" s="138" t="str">
        <f t="shared" si="858"/>
        <v>Upgraded</v>
      </c>
      <c r="G10212" s="153"/>
      <c r="H10212" s="210">
        <v>0.24479999999999999</v>
      </c>
      <c r="I10212" s="160" t="s">
        <v>435</v>
      </c>
      <c r="J10212" s="160">
        <v>2.6414200000000001</v>
      </c>
      <c r="K10212" s="160" t="s">
        <v>15</v>
      </c>
      <c r="L10212" s="154" t="str">
        <f>IF(OpenLCAbasic!K10212="CTUh", "Fill in Manually",IF(OR(K10212="Unit", K10212=""), "", INDEX(LookUps!$E$5:$E$12, MATCH(OpenLCAbasic!K10212,LookUps!$D$5:$D$12,0))))</f>
        <v>Cumulative Energy Demand (CED) - MJ</v>
      </c>
      <c r="M10212" s="154" t="str">
        <f t="shared" si="855"/>
        <v>Low_High_Low_Upgraded_Cumulative Energy Demand (CED) - MJ_Biosolids composting; aerated static pile; wastewater treatment unit; at updated plant - US_Base_With Amendment_Aerated Static Pile</v>
      </c>
    </row>
    <row r="10213" spans="1:13" s="120" customFormat="1" x14ac:dyDescent="0.25">
      <c r="A10213" s="119"/>
      <c r="B10213" s="138" t="str">
        <f t="shared" si="856"/>
        <v>Aerated Static Pile</v>
      </c>
      <c r="C10213" s="138" t="str">
        <f t="shared" si="857"/>
        <v>Base_With Amendment</v>
      </c>
      <c r="D10213" s="138" t="str">
        <f t="shared" si="860"/>
        <v>High_Low</v>
      </c>
      <c r="E10213" s="138" t="str">
        <f t="shared" si="854"/>
        <v>Low</v>
      </c>
      <c r="F10213" s="138" t="str">
        <f t="shared" si="858"/>
        <v>Upgraded</v>
      </c>
      <c r="G10213" s="153"/>
      <c r="H10213" s="210">
        <v>0.10780000000000001</v>
      </c>
      <c r="I10213" s="160" t="s">
        <v>54</v>
      </c>
      <c r="J10213" s="160">
        <v>1.16289</v>
      </c>
      <c r="K10213" s="160" t="s">
        <v>15</v>
      </c>
      <c r="L10213" s="154" t="str">
        <f>IF(OpenLCAbasic!K10213="CTUh", "Fill in Manually",IF(OR(K10213="Unit", K10213=""), "", INDEX(LookUps!$E$5:$E$12, MATCH(OpenLCAbasic!K10213,LookUps!$D$5:$D$12,0))))</f>
        <v>Cumulative Energy Demand (CED) - MJ</v>
      </c>
      <c r="M10213" s="154" t="str">
        <f t="shared" si="855"/>
        <v>Low_High_Low_Upgraded_Cumulative Energy Demand (CED) - MJ_Clear Cove Primary Clarification; wastewater treatment unit; at updated plant - US_Base_With Amendment_Aerated Static Pile</v>
      </c>
    </row>
    <row r="10214" spans="1:13" s="120" customFormat="1" x14ac:dyDescent="0.25">
      <c r="A10214" s="119"/>
      <c r="B10214" s="138" t="str">
        <f t="shared" si="856"/>
        <v>Aerated Static Pile</v>
      </c>
      <c r="C10214" s="138" t="str">
        <f t="shared" si="857"/>
        <v>Base_With Amendment</v>
      </c>
      <c r="D10214" s="138" t="str">
        <f t="shared" si="860"/>
        <v>High_Low</v>
      </c>
      <c r="E10214" s="138" t="str">
        <f t="shared" si="854"/>
        <v>Low</v>
      </c>
      <c r="F10214" s="138" t="str">
        <f t="shared" si="858"/>
        <v>Upgraded</v>
      </c>
      <c r="G10214" s="153"/>
      <c r="H10214" s="210">
        <v>8.2600000000000007E-2</v>
      </c>
      <c r="I10214" s="160" t="s">
        <v>58</v>
      </c>
      <c r="J10214" s="160">
        <v>0.89063999999999999</v>
      </c>
      <c r="K10214" s="160" t="s">
        <v>15</v>
      </c>
      <c r="L10214" s="154" t="str">
        <f>IF(OpenLCAbasic!K10214="CTUh", "Fill in Manually",IF(OR(K10214="Unit", K10214=""), "", INDEX(LookUps!$E$5:$E$12, MATCH(OpenLCAbasic!K10214,LookUps!$D$5:$D$12,0))))</f>
        <v>Cumulative Energy Demand (CED) - MJ</v>
      </c>
      <c r="M10214" s="154" t="str">
        <f t="shared" si="855"/>
        <v>Low_High_Low_Upgraded_Cumulative Energy Demand (CED) - MJ_Pre-Anoxic &amp; Swing tank; wastewater treatment unit; at updated plant - US_Base_With Amendment_Aerated Static Pile</v>
      </c>
    </row>
    <row r="10215" spans="1:13" s="120" customFormat="1" x14ac:dyDescent="0.25">
      <c r="A10215" s="119"/>
      <c r="B10215" s="138" t="str">
        <f t="shared" si="856"/>
        <v>Aerated Static Pile</v>
      </c>
      <c r="C10215" s="138" t="str">
        <f t="shared" si="857"/>
        <v>Base_With Amendment</v>
      </c>
      <c r="D10215" s="138" t="str">
        <f t="shared" si="860"/>
        <v>High_Low</v>
      </c>
      <c r="E10215" s="138" t="str">
        <f t="shared" si="854"/>
        <v>Low</v>
      </c>
      <c r="F10215" s="138" t="str">
        <f t="shared" si="858"/>
        <v>Upgraded</v>
      </c>
      <c r="G10215" s="153"/>
      <c r="H10215" s="210">
        <v>8.1799999999999998E-2</v>
      </c>
      <c r="I10215" s="160" t="s">
        <v>147</v>
      </c>
      <c r="J10215" s="160">
        <v>0.88297000000000003</v>
      </c>
      <c r="K10215" s="160" t="s">
        <v>15</v>
      </c>
      <c r="L10215" s="154" t="str">
        <f>IF(OpenLCAbasic!K10215="CTUh", "Fill in Manually",IF(OR(K10215="Unit", K10215=""), "", INDEX(LookUps!$E$5:$E$12, MATCH(OpenLCAbasic!K10215,LookUps!$D$5:$D$12,0))))</f>
        <v>Cumulative Energy Demand (CED) - MJ</v>
      </c>
      <c r="M10215" s="154" t="str">
        <f t="shared" si="855"/>
        <v>Low_High_Low_Upgraded_Cumulative Energy Demand (CED) - MJ_Influent Pump Station; wastewater treatment unit; at updated plant - US_Base_With Amendment_Aerated Static Pile</v>
      </c>
    </row>
    <row r="10216" spans="1:13" s="120" customFormat="1" x14ac:dyDescent="0.25">
      <c r="A10216" s="119"/>
      <c r="B10216" s="138" t="str">
        <f t="shared" si="856"/>
        <v>Aerated Static Pile</v>
      </c>
      <c r="C10216" s="138" t="str">
        <f t="shared" si="857"/>
        <v>Base_With Amendment</v>
      </c>
      <c r="D10216" s="138" t="str">
        <f t="shared" si="860"/>
        <v>High_Low</v>
      </c>
      <c r="E10216" s="138" t="str">
        <f t="shared" si="854"/>
        <v>Low</v>
      </c>
      <c r="F10216" s="138" t="str">
        <f t="shared" si="858"/>
        <v>Upgraded</v>
      </c>
      <c r="G10216" s="153"/>
      <c r="H10216" s="210">
        <v>6.4600000000000005E-2</v>
      </c>
      <c r="I10216" s="160" t="s">
        <v>53</v>
      </c>
      <c r="J10216" s="160">
        <v>0.69645000000000001</v>
      </c>
      <c r="K10216" s="160" t="s">
        <v>15</v>
      </c>
      <c r="L10216" s="154" t="str">
        <f>IF(OpenLCAbasic!K10216="CTUh", "Fill in Manually",IF(OR(K10216="Unit", K10216=""), "", INDEX(LookUps!$E$5:$E$12, MATCH(OpenLCAbasic!K10216,LookUps!$D$5:$D$12,0))))</f>
        <v>Cumulative Energy Demand (CED) - MJ</v>
      </c>
      <c r="M10216" s="154" t="str">
        <f t="shared" si="855"/>
        <v>Low_High_Low_Upgraded_Cumulative Energy Demand (CED) - MJ_Wet Well and Sump Station; wastewater treatment unit; at updated plant - US_Base_With Amendment_Aerated Static Pile</v>
      </c>
    </row>
    <row r="10217" spans="1:13" s="120" customFormat="1" x14ac:dyDescent="0.25">
      <c r="A10217" s="119"/>
      <c r="B10217" s="138" t="str">
        <f t="shared" si="856"/>
        <v>Aerated Static Pile</v>
      </c>
      <c r="C10217" s="138" t="str">
        <f t="shared" si="857"/>
        <v>Base_With Amendment</v>
      </c>
      <c r="D10217" s="138" t="str">
        <f t="shared" si="860"/>
        <v>High_Low</v>
      </c>
      <c r="E10217" s="138" t="str">
        <f t="shared" ref="E10217:E10280" si="861">IF(ISNUMBER($J10217),"Low","")</f>
        <v>Low</v>
      </c>
      <c r="F10217" s="138" t="str">
        <f t="shared" si="858"/>
        <v>Upgraded</v>
      </c>
      <c r="G10217" s="153"/>
      <c r="H10217" s="210">
        <v>5.8200000000000002E-2</v>
      </c>
      <c r="I10217" s="160" t="s">
        <v>60</v>
      </c>
      <c r="J10217" s="160">
        <v>0.62775999999999998</v>
      </c>
      <c r="K10217" s="160" t="s">
        <v>15</v>
      </c>
      <c r="L10217" s="154" t="str">
        <f>IF(OpenLCAbasic!K10217="CTUh", "Fill in Manually",IF(OR(K10217="Unit", K10217=""), "", INDEX(LookUps!$E$5:$E$12, MATCH(OpenLCAbasic!K10217,LookUps!$D$5:$D$12,0))))</f>
        <v>Cumulative Energy Demand (CED) - MJ</v>
      </c>
      <c r="M10217" s="154" t="str">
        <f t="shared" si="855"/>
        <v>Low_High_Low_Upgraded_Cumulative Energy Demand (CED) - MJ_Belt filter press; wastewater treatment unit; at updated plant - US_Base_With Amendment_Aerated Static Pile</v>
      </c>
    </row>
    <row r="10218" spans="1:13" s="120" customFormat="1" x14ac:dyDescent="0.25">
      <c r="A10218" s="119"/>
      <c r="B10218" s="138" t="str">
        <f t="shared" si="856"/>
        <v>Aerated Static Pile</v>
      </c>
      <c r="C10218" s="138" t="str">
        <f t="shared" si="857"/>
        <v>Base_With Amendment</v>
      </c>
      <c r="D10218" s="138" t="str">
        <f t="shared" si="860"/>
        <v>High_Low</v>
      </c>
      <c r="E10218" s="138" t="str">
        <f t="shared" si="861"/>
        <v>Low</v>
      </c>
      <c r="F10218" s="138" t="str">
        <f t="shared" si="858"/>
        <v>Upgraded</v>
      </c>
      <c r="G10218" s="153"/>
      <c r="H10218" s="210">
        <v>3.1E-2</v>
      </c>
      <c r="I10218" s="160" t="s">
        <v>57</v>
      </c>
      <c r="J10218" s="160">
        <v>0.33404</v>
      </c>
      <c r="K10218" s="160" t="s">
        <v>15</v>
      </c>
      <c r="L10218" s="154" t="str">
        <f>IF(OpenLCAbasic!K10218="CTUh", "Fill in Manually",IF(OR(K10218="Unit", K10218=""), "", INDEX(LookUps!$E$5:$E$12, MATCH(OpenLCAbasic!K10218,LookUps!$D$5:$D$12,0))))</f>
        <v>Cumulative Energy Demand (CED) - MJ</v>
      </c>
      <c r="M10218" s="154" t="str">
        <f t="shared" si="855"/>
        <v>Low_High_Low_Upgraded_Cumulative Energy Demand (CED) - MJ_Gravity Belt Thickener; wastewater treatment unit; at updated plant - US_Base_With Amendment_Aerated Static Pile</v>
      </c>
    </row>
    <row r="10219" spans="1:13" s="120" customFormat="1" x14ac:dyDescent="0.25">
      <c r="A10219" s="119"/>
      <c r="B10219" s="138" t="str">
        <f t="shared" si="856"/>
        <v>Aerated Static Pile</v>
      </c>
      <c r="C10219" s="138" t="str">
        <f t="shared" si="857"/>
        <v>Base_With Amendment</v>
      </c>
      <c r="D10219" s="138" t="str">
        <f t="shared" si="860"/>
        <v>High_Low</v>
      </c>
      <c r="E10219" s="138" t="str">
        <f t="shared" si="861"/>
        <v>Low</v>
      </c>
      <c r="F10219" s="138" t="str">
        <f t="shared" si="858"/>
        <v>Upgraded</v>
      </c>
      <c r="G10219" s="153"/>
      <c r="H10219" s="210">
        <v>2.3699999999999999E-2</v>
      </c>
      <c r="I10219" s="160" t="s">
        <v>128</v>
      </c>
      <c r="J10219" s="160">
        <v>0.25606000000000001</v>
      </c>
      <c r="K10219" s="160" t="s">
        <v>15</v>
      </c>
      <c r="L10219" s="154" t="str">
        <f>IF(OpenLCAbasic!K10219="CTUh", "Fill in Manually",IF(OR(K10219="Unit", K10219=""), "", INDEX(LookUps!$E$5:$E$12, MATCH(OpenLCAbasic!K10219,LookUps!$D$5:$D$12,0))))</f>
        <v>Cumulative Energy Demand (CED) - MJ</v>
      </c>
      <c r="M10219" s="154" t="str">
        <f t="shared" si="855"/>
        <v>Low_High_Low_Upgraded_Cumulative Energy Demand (CED) - MJ_Wastewater collection; operation and infrastructure; m3 wastewater_Base_With Amendment_Aerated Static Pile</v>
      </c>
    </row>
    <row r="10220" spans="1:13" s="120" customFormat="1" x14ac:dyDescent="0.25">
      <c r="A10220" s="119"/>
      <c r="B10220" s="138" t="str">
        <f t="shared" si="856"/>
        <v>Aerated Static Pile</v>
      </c>
      <c r="C10220" s="138" t="str">
        <f t="shared" si="857"/>
        <v>Base_With Amendment</v>
      </c>
      <c r="D10220" s="138" t="str">
        <f t="shared" si="860"/>
        <v>High_Low</v>
      </c>
      <c r="E10220" s="138" t="str">
        <f t="shared" si="861"/>
        <v>Low</v>
      </c>
      <c r="F10220" s="138" t="str">
        <f t="shared" si="858"/>
        <v>Upgraded</v>
      </c>
      <c r="G10220" s="153"/>
      <c r="H10220" s="210">
        <v>1.35E-2</v>
      </c>
      <c r="I10220" s="160" t="s">
        <v>148</v>
      </c>
      <c r="J10220" s="160">
        <v>0.14599000000000001</v>
      </c>
      <c r="K10220" s="160" t="s">
        <v>15</v>
      </c>
      <c r="L10220" s="154" t="str">
        <f>IF(OpenLCAbasic!K10220="CTUh", "Fill in Manually",IF(OR(K10220="Unit", K10220=""), "", INDEX(LookUps!$E$5:$E$12, MATCH(OpenLCAbasic!K10220,LookUps!$D$5:$D$12,0))))</f>
        <v>Cumulative Energy Demand (CED) - MJ</v>
      </c>
      <c r="M10220" s="154" t="str">
        <f t="shared" si="855"/>
        <v>Low_High_Low_Upgraded_Cumulative Energy Demand (CED) - MJ_Control Building; at upgraded wastewater treatment plant - US_Base_With Amendment_Aerated Static Pile</v>
      </c>
    </row>
    <row r="10221" spans="1:13" s="120" customFormat="1" x14ac:dyDescent="0.25">
      <c r="A10221" s="119"/>
      <c r="B10221" s="138" t="str">
        <f t="shared" si="856"/>
        <v>Aerated Static Pile</v>
      </c>
      <c r="C10221" s="138" t="str">
        <f t="shared" si="857"/>
        <v>Base_With Amendment</v>
      </c>
      <c r="D10221" s="138" t="str">
        <f t="shared" si="860"/>
        <v>High_Low</v>
      </c>
      <c r="E10221" s="138" t="str">
        <f t="shared" si="861"/>
        <v>Low</v>
      </c>
      <c r="F10221" s="138" t="str">
        <f t="shared" si="858"/>
        <v>Upgraded</v>
      </c>
      <c r="G10221" s="153"/>
      <c r="H10221" s="210">
        <v>1.23E-2</v>
      </c>
      <c r="I10221" s="160" t="s">
        <v>48</v>
      </c>
      <c r="J10221" s="160">
        <v>0.13321</v>
      </c>
      <c r="K10221" s="160" t="s">
        <v>15</v>
      </c>
      <c r="L10221" s="154" t="str">
        <f>IF(OpenLCAbasic!K10221="CTUh", "Fill in Manually",IF(OR(K10221="Unit", K10221=""), "", INDEX(LookUps!$E$5:$E$12, MATCH(OpenLCAbasic!K10221,LookUps!$D$5:$D$12,0))))</f>
        <v>Cumulative Energy Demand (CED) - MJ</v>
      </c>
      <c r="M10221" s="154" t="str">
        <f t="shared" si="855"/>
        <v>Low_High_Low_Upgraded_Cumulative Energy Demand (CED) - MJ_Effluent release; wastewater treatment unit; at surface water; m3 wastewater - US_Base_With Amendment_Aerated Static Pile</v>
      </c>
    </row>
    <row r="10222" spans="1:13" s="120" customFormat="1" x14ac:dyDescent="0.25">
      <c r="A10222" s="119"/>
      <c r="B10222" s="138" t="str">
        <f t="shared" si="856"/>
        <v>Aerated Static Pile</v>
      </c>
      <c r="C10222" s="138" t="str">
        <f t="shared" si="857"/>
        <v>Base_With Amendment</v>
      </c>
      <c r="D10222" s="138" t="str">
        <f t="shared" si="860"/>
        <v>High_Low</v>
      </c>
      <c r="E10222" s="138" t="str">
        <f t="shared" si="861"/>
        <v>Low</v>
      </c>
      <c r="F10222" s="138" t="str">
        <f t="shared" si="858"/>
        <v>Upgraded</v>
      </c>
      <c r="G10222" s="153"/>
      <c r="H10222" s="210">
        <v>9.9000000000000008E-3</v>
      </c>
      <c r="I10222" s="160" t="s">
        <v>59</v>
      </c>
      <c r="J10222" s="160">
        <v>0.10638</v>
      </c>
      <c r="K10222" s="160" t="s">
        <v>15</v>
      </c>
      <c r="L10222" s="154" t="str">
        <f>IF(OpenLCAbasic!K10222="CTUh", "Fill in Manually",IF(OR(K10222="Unit", K10222=""), "", INDEX(LookUps!$E$5:$E$12, MATCH(OpenLCAbasic!K10222,LookUps!$D$5:$D$12,0))))</f>
        <v>Cumulative Energy Demand (CED) - MJ</v>
      </c>
      <c r="M10222" s="154" t="str">
        <f t="shared" si="855"/>
        <v>Low_High_Low_Upgraded_Cumulative Energy Demand (CED) - MJ_Blend Tank; wastewater treatment unit; at updated plant - US_Base_With Amendment_Aerated Static Pile</v>
      </c>
    </row>
    <row r="10223" spans="1:13" s="120" customFormat="1" x14ac:dyDescent="0.25">
      <c r="A10223" s="119"/>
      <c r="B10223" s="138" t="str">
        <f t="shared" si="856"/>
        <v>Aerated Static Pile</v>
      </c>
      <c r="C10223" s="138" t="str">
        <f t="shared" si="857"/>
        <v>Base_With Amendment</v>
      </c>
      <c r="D10223" s="138" t="str">
        <f t="shared" si="860"/>
        <v>High_Low</v>
      </c>
      <c r="E10223" s="138" t="str">
        <f t="shared" si="861"/>
        <v>Low</v>
      </c>
      <c r="F10223" s="138" t="str">
        <f t="shared" si="858"/>
        <v>Upgraded</v>
      </c>
      <c r="G10223" s="153"/>
      <c r="H10223" s="210">
        <v>4.7000000000000002E-3</v>
      </c>
      <c r="I10223" s="160" t="s">
        <v>168</v>
      </c>
      <c r="J10223" s="160">
        <v>5.0930000000000003E-2</v>
      </c>
      <c r="K10223" s="160" t="s">
        <v>15</v>
      </c>
      <c r="L10223" s="154" t="str">
        <f>IF(OpenLCAbasic!K10223="CTUh", "Fill in Manually",IF(OR(K10223="Unit", K10223=""), "", INDEX(LookUps!$E$5:$E$12, MATCH(OpenLCAbasic!K10223,LookUps!$D$5:$D$12,0))))</f>
        <v>Cumulative Energy Demand (CED) - MJ</v>
      </c>
      <c r="M10223" s="154" t="str">
        <f t="shared" si="855"/>
        <v>Low_High_Low_Upgraded_Cumulative Energy Demand (CED) - MJ_ClearCove SCP; wastewater treatment unit; at updated plant - US_Base_With Amendment_Aerated Static Pile</v>
      </c>
    </row>
    <row r="10224" spans="1:13" s="120" customFormat="1" x14ac:dyDescent="0.25">
      <c r="A10224" s="119"/>
      <c r="B10224" s="138" t="str">
        <f t="shared" si="856"/>
        <v>Aerated Static Pile</v>
      </c>
      <c r="C10224" s="138" t="str">
        <f t="shared" si="857"/>
        <v>Base_With Amendment</v>
      </c>
      <c r="D10224" s="138" t="str">
        <f t="shared" si="860"/>
        <v>High_Low</v>
      </c>
      <c r="E10224" s="138" t="str">
        <f t="shared" si="861"/>
        <v>Low</v>
      </c>
      <c r="F10224" s="138" t="str">
        <f t="shared" si="858"/>
        <v>Upgraded</v>
      </c>
      <c r="G10224" s="153"/>
      <c r="H10224" s="210">
        <v>-9.4E-2</v>
      </c>
      <c r="I10224" s="160" t="s">
        <v>62</v>
      </c>
      <c r="J10224" s="160">
        <v>-1.0146900000000001</v>
      </c>
      <c r="K10224" s="160" t="s">
        <v>15</v>
      </c>
      <c r="L10224" s="154" t="str">
        <f>IF(OpenLCAbasic!K10224="CTUh", "Fill in Manually",IF(OR(K10224="Unit", K10224=""), "", INDEX(LookUps!$E$5:$E$12, MATCH(OpenLCAbasic!K10224,LookUps!$D$5:$D$12,0))))</f>
        <v>Cumulative Energy Demand (CED) - MJ</v>
      </c>
      <c r="M10224" s="154" t="str">
        <f t="shared" si="855"/>
        <v>Low_High_Low_Upgraded_Cumulative Energy Demand (CED) - MJ_Land application of compost; wastewater treatment unit; at updated plant - US_Base_With Amendment_Aerated Static Pile</v>
      </c>
    </row>
    <row r="10225" spans="1:13" s="120" customFormat="1" x14ac:dyDescent="0.25">
      <c r="A10225" s="119"/>
      <c r="B10225" s="138" t="str">
        <f t="shared" si="856"/>
        <v>Aerated Static Pile</v>
      </c>
      <c r="C10225" s="138" t="str">
        <f t="shared" si="857"/>
        <v>Base_With Amendment</v>
      </c>
      <c r="D10225" s="138" t="str">
        <f t="shared" si="860"/>
        <v>High_Low</v>
      </c>
      <c r="E10225" s="138" t="str">
        <f t="shared" si="861"/>
        <v>Low</v>
      </c>
      <c r="F10225" s="138" t="str">
        <f t="shared" si="858"/>
        <v>Upgraded</v>
      </c>
      <c r="G10225" s="153"/>
      <c r="H10225" s="210">
        <v>-0.44469999999999998</v>
      </c>
      <c r="I10225" s="160" t="s">
        <v>149</v>
      </c>
      <c r="J10225" s="160">
        <v>-4.7974600000000001</v>
      </c>
      <c r="K10225" s="160" t="s">
        <v>15</v>
      </c>
      <c r="L10225" s="154" t="str">
        <f>IF(OpenLCAbasic!K10225="CTUh", "Fill in Manually",IF(OR(K10225="Unit", K10225=""), "", INDEX(LookUps!$E$5:$E$12, MATCH(OpenLCAbasic!K10225,LookUps!$D$5:$D$12,0))))</f>
        <v>Cumulative Energy Demand (CED) - MJ</v>
      </c>
      <c r="M10225" s="154" t="str">
        <f t="shared" si="855"/>
        <v>Low_High_Low_Upgraded_Cumulative Energy Demand (CED) - MJ_Anaerobic Digestion; wastewater treatment unit; at updated plant - US_Base_With Amendment_Aerated Static Pile</v>
      </c>
    </row>
    <row r="10226" spans="1:13" s="120" customFormat="1" x14ac:dyDescent="0.25">
      <c r="A10226" s="119"/>
      <c r="B10226" s="138" t="str">
        <f t="shared" si="856"/>
        <v/>
      </c>
      <c r="C10226" s="138" t="str">
        <f t="shared" si="857"/>
        <v/>
      </c>
      <c r="D10226" s="138" t="str">
        <f t="shared" si="860"/>
        <v/>
      </c>
      <c r="E10226" s="138" t="str">
        <f t="shared" si="861"/>
        <v/>
      </c>
      <c r="F10226" s="138" t="str">
        <f t="shared" si="858"/>
        <v/>
      </c>
      <c r="G10226" s="153" t="s">
        <v>51</v>
      </c>
      <c r="H10226" s="160"/>
      <c r="I10226" s="160" t="s">
        <v>47</v>
      </c>
      <c r="J10226" s="160" t="s">
        <v>52</v>
      </c>
      <c r="K10226" s="160" t="s">
        <v>27</v>
      </c>
      <c r="L10226" s="154" t="str">
        <f>IF(OpenLCAbasic!K10226="CTUh", "Fill in Manually",IF(OR(K10226="Unit", K10226=""), "", INDEX(LookUps!$E$5:$E$12, MATCH(OpenLCAbasic!K10226,LookUps!$D$5:$D$12,0))))</f>
        <v/>
      </c>
      <c r="M10226" s="154" t="str">
        <f t="shared" si="855"/>
        <v>____Process__</v>
      </c>
    </row>
    <row r="10227" spans="1:13" s="120" customFormat="1" x14ac:dyDescent="0.25">
      <c r="A10227" s="119"/>
      <c r="B10227" s="138" t="str">
        <f t="shared" si="856"/>
        <v>Aerated Static Pile</v>
      </c>
      <c r="C10227" s="138" t="str">
        <f t="shared" si="857"/>
        <v>Base_With Amendment</v>
      </c>
      <c r="D10227" s="138" t="str">
        <f t="shared" si="860"/>
        <v>High_Low</v>
      </c>
      <c r="E10227" s="138" t="str">
        <f t="shared" si="861"/>
        <v>Low</v>
      </c>
      <c r="F10227" s="138" t="str">
        <f t="shared" si="858"/>
        <v>Upgraded</v>
      </c>
      <c r="G10227" s="153"/>
      <c r="H10227" s="210">
        <v>0.64890000000000003</v>
      </c>
      <c r="I10227" s="160" t="s">
        <v>48</v>
      </c>
      <c r="J10227" s="160">
        <v>1.1610000000000001E-2</v>
      </c>
      <c r="K10227" s="160" t="s">
        <v>13</v>
      </c>
      <c r="L10227" s="154" t="str">
        <f>IF(OpenLCAbasic!K10227="CTUh", "Fill in Manually",IF(OR(K10227="Unit", K10227=""), "", INDEX(LookUps!$E$5:$E$12, MATCH(OpenLCAbasic!K10227,LookUps!$D$5:$D$12,0))))</f>
        <v>Eutrophication Potential (EP) - kg N eq</v>
      </c>
      <c r="M10227" s="154" t="str">
        <f t="shared" ref="M10227:M10290" si="862">CONCATENATE(E10227,"_",D10227,"_",F10227,"_",L10227, "_",I10227,"_", C10227,"_", B10227)</f>
        <v>Low_High_Low_Upgraded_Eutrophication Potential (EP) - kg N eq_Effluent release; wastewater treatment unit; at surface water; m3 wastewater - US_Base_With Amendment_Aerated Static Pile</v>
      </c>
    </row>
    <row r="10228" spans="1:13" s="120" customFormat="1" x14ac:dyDescent="0.25">
      <c r="A10228" s="119"/>
      <c r="B10228" s="138" t="str">
        <f t="shared" si="856"/>
        <v>Aerated Static Pile</v>
      </c>
      <c r="C10228" s="138" t="str">
        <f t="shared" si="857"/>
        <v>Base_With Amendment</v>
      </c>
      <c r="D10228" s="138" t="str">
        <f t="shared" si="860"/>
        <v>High_Low</v>
      </c>
      <c r="E10228" s="138" t="str">
        <f t="shared" si="861"/>
        <v>Low</v>
      </c>
      <c r="F10228" s="138" t="str">
        <f t="shared" si="858"/>
        <v>Upgraded</v>
      </c>
      <c r="G10228" s="153"/>
      <c r="H10228" s="210">
        <v>0.25490000000000002</v>
      </c>
      <c r="I10228" s="160" t="s">
        <v>62</v>
      </c>
      <c r="J10228" s="160">
        <v>4.5599999999999998E-3</v>
      </c>
      <c r="K10228" s="160" t="s">
        <v>13</v>
      </c>
      <c r="L10228" s="154" t="str">
        <f>IF(OpenLCAbasic!K10228="CTUh", "Fill in Manually",IF(OR(K10228="Unit", K10228=""), "", INDEX(LookUps!$E$5:$E$12, MATCH(OpenLCAbasic!K10228,LookUps!$D$5:$D$12,0))))</f>
        <v>Eutrophication Potential (EP) - kg N eq</v>
      </c>
      <c r="M10228" s="154" t="str">
        <f t="shared" si="862"/>
        <v>Low_High_Low_Upgraded_Eutrophication Potential (EP) - kg N eq_Land application of compost; wastewater treatment unit; at updated plant - US_Base_With Amendment_Aerated Static Pile</v>
      </c>
    </row>
    <row r="10229" spans="1:13" s="120" customFormat="1" x14ac:dyDescent="0.25">
      <c r="A10229" s="119"/>
      <c r="B10229" s="138" t="str">
        <f t="shared" si="856"/>
        <v>Aerated Static Pile</v>
      </c>
      <c r="C10229" s="138" t="str">
        <f t="shared" si="857"/>
        <v>Base_With Amendment</v>
      </c>
      <c r="D10229" s="138" t="str">
        <f t="shared" si="860"/>
        <v>High_Low</v>
      </c>
      <c r="E10229" s="138" t="str">
        <f t="shared" si="861"/>
        <v>Low</v>
      </c>
      <c r="F10229" s="138" t="str">
        <f t="shared" si="858"/>
        <v>Upgraded</v>
      </c>
      <c r="G10229" s="153"/>
      <c r="H10229" s="210">
        <v>3.0499999999999999E-2</v>
      </c>
      <c r="I10229" s="160" t="s">
        <v>55</v>
      </c>
      <c r="J10229" s="160">
        <v>5.5000000000000003E-4</v>
      </c>
      <c r="K10229" s="160" t="s">
        <v>13</v>
      </c>
      <c r="L10229" s="154" t="str">
        <f>IF(OpenLCAbasic!K10229="CTUh", "Fill in Manually",IF(OR(K10229="Unit", K10229=""), "", INDEX(LookUps!$E$5:$E$12, MATCH(OpenLCAbasic!K10229,LookUps!$D$5:$D$12,0))))</f>
        <v>Eutrophication Potential (EP) - kg N eq</v>
      </c>
      <c r="M10229" s="154" t="str">
        <f t="shared" si="862"/>
        <v>Low_High_Low_Upgraded_Eutrophication Potential (EP) - kg N eq_Aeration Tanks; wastewater treatment unit; at updated plant - US_Base_With Amendment_Aerated Static Pile</v>
      </c>
    </row>
    <row r="10230" spans="1:13" s="120" customFormat="1" x14ac:dyDescent="0.25">
      <c r="A10230" s="119"/>
      <c r="B10230" s="138" t="str">
        <f t="shared" si="856"/>
        <v>Aerated Static Pile</v>
      </c>
      <c r="C10230" s="138" t="str">
        <f t="shared" si="857"/>
        <v>Base_With Amendment</v>
      </c>
      <c r="D10230" s="138" t="str">
        <f t="shared" si="860"/>
        <v>High_Low</v>
      </c>
      <c r="E10230" s="138" t="str">
        <f t="shared" si="861"/>
        <v>Low</v>
      </c>
      <c r="F10230" s="138" t="str">
        <f t="shared" si="858"/>
        <v>Upgraded</v>
      </c>
      <c r="G10230" s="153"/>
      <c r="H10230" s="210">
        <v>2.2599999999999999E-2</v>
      </c>
      <c r="I10230" s="160" t="s">
        <v>435</v>
      </c>
      <c r="J10230" s="160">
        <v>4.0000000000000002E-4</v>
      </c>
      <c r="K10230" s="160" t="s">
        <v>13</v>
      </c>
      <c r="L10230" s="154" t="str">
        <f>IF(OpenLCAbasic!K10230="CTUh", "Fill in Manually",IF(OR(K10230="Unit", K10230=""), "", INDEX(LookUps!$E$5:$E$12, MATCH(OpenLCAbasic!K10230,LookUps!$D$5:$D$12,0))))</f>
        <v>Eutrophication Potential (EP) - kg N eq</v>
      </c>
      <c r="M10230" s="154" t="str">
        <f t="shared" si="862"/>
        <v>Low_High_Low_Upgraded_Eutrophication Potential (EP) - kg N eq_Biosolids composting; aerated static pile; wastewater treatment unit; at updated plant - US_Base_With Amendment_Aerated Static Pile</v>
      </c>
    </row>
    <row r="10231" spans="1:13" s="120" customFormat="1" x14ac:dyDescent="0.25">
      <c r="A10231" s="119"/>
      <c r="B10231" s="138" t="str">
        <f t="shared" si="856"/>
        <v>Aerated Static Pile</v>
      </c>
      <c r="C10231" s="138" t="str">
        <f t="shared" si="857"/>
        <v>Base_With Amendment</v>
      </c>
      <c r="D10231" s="138" t="str">
        <f t="shared" si="860"/>
        <v>High_Low</v>
      </c>
      <c r="E10231" s="138" t="str">
        <f t="shared" si="861"/>
        <v>Low</v>
      </c>
      <c r="F10231" s="138" t="str">
        <f t="shared" si="858"/>
        <v>Upgraded</v>
      </c>
      <c r="G10231" s="153"/>
      <c r="H10231" s="210">
        <v>1.4E-2</v>
      </c>
      <c r="I10231" s="160" t="s">
        <v>147</v>
      </c>
      <c r="J10231" s="160">
        <v>2.5000000000000001E-4</v>
      </c>
      <c r="K10231" s="160" t="s">
        <v>13</v>
      </c>
      <c r="L10231" s="154" t="str">
        <f>IF(OpenLCAbasic!K10231="CTUh", "Fill in Manually",IF(OR(K10231="Unit", K10231=""), "", INDEX(LookUps!$E$5:$E$12, MATCH(OpenLCAbasic!K10231,LookUps!$D$5:$D$12,0))))</f>
        <v>Eutrophication Potential (EP) - kg N eq</v>
      </c>
      <c r="M10231" s="154" t="str">
        <f t="shared" si="862"/>
        <v>Low_High_Low_Upgraded_Eutrophication Potential (EP) - kg N eq_Influent Pump Station; wastewater treatment unit; at updated plant - US_Base_With Amendment_Aerated Static Pile</v>
      </c>
    </row>
    <row r="10232" spans="1:13" s="120" customFormat="1" x14ac:dyDescent="0.25">
      <c r="A10232" s="119"/>
      <c r="B10232" s="138" t="str">
        <f t="shared" si="856"/>
        <v>Aerated Static Pile</v>
      </c>
      <c r="C10232" s="138" t="str">
        <f t="shared" si="857"/>
        <v>Base_With Amendment</v>
      </c>
      <c r="D10232" s="138" t="str">
        <f t="shared" si="860"/>
        <v>High_Low</v>
      </c>
      <c r="E10232" s="138" t="str">
        <f t="shared" si="861"/>
        <v>Low</v>
      </c>
      <c r="F10232" s="138" t="str">
        <f t="shared" si="858"/>
        <v>Upgraded</v>
      </c>
      <c r="G10232" s="153"/>
      <c r="H10232" s="210">
        <v>1.23E-2</v>
      </c>
      <c r="I10232" s="160" t="s">
        <v>167</v>
      </c>
      <c r="J10232" s="160">
        <v>2.2000000000000001E-4</v>
      </c>
      <c r="K10232" s="160" t="s">
        <v>13</v>
      </c>
      <c r="L10232" s="154" t="str">
        <f>IF(OpenLCAbasic!K10232="CTUh", "Fill in Manually",IF(OR(K10232="Unit", K10232=""), "", INDEX(LookUps!$E$5:$E$12, MATCH(OpenLCAbasic!K10232,LookUps!$D$5:$D$12,0))))</f>
        <v>Eutrophication Potential (EP) - kg N eq</v>
      </c>
      <c r="M10232" s="154" t="str">
        <f t="shared" si="862"/>
        <v>Low_High_Low_Upgraded_Eutrophication Potential (EP) - kg N eq_Waste Receiving and Holding; wastewater treatment unit; at updated plant - US_Base_With Amendment_Aerated Static Pile</v>
      </c>
    </row>
    <row r="10233" spans="1:13" s="120" customFormat="1" x14ac:dyDescent="0.25">
      <c r="A10233" s="119"/>
      <c r="B10233" s="138" t="str">
        <f t="shared" ref="B10233:B10296" si="863">IF(F10233="Legacy","n.a.",IF(F10233="","","Aerated Static Pile"))</f>
        <v>Aerated Static Pile</v>
      </c>
      <c r="C10233" s="138" t="str">
        <f t="shared" ref="C10233:C10296" si="864">IF(ISNUMBER($J10233),"Base_With Amendment","")</f>
        <v>Base_With Amendment</v>
      </c>
      <c r="D10233" s="138" t="str">
        <f t="shared" si="860"/>
        <v>High_Low</v>
      </c>
      <c r="E10233" s="138" t="str">
        <f t="shared" si="861"/>
        <v>Low</v>
      </c>
      <c r="F10233" s="138" t="str">
        <f t="shared" ref="F10233:F10296" si="865">IF(ISNUMBER(J10233),"Upgraded","")</f>
        <v>Upgraded</v>
      </c>
      <c r="G10233" s="153"/>
      <c r="H10233" s="210">
        <v>1.11E-2</v>
      </c>
      <c r="I10233" s="160" t="s">
        <v>54</v>
      </c>
      <c r="J10233" s="160">
        <v>2.0000000000000001E-4</v>
      </c>
      <c r="K10233" s="160" t="s">
        <v>13</v>
      </c>
      <c r="L10233" s="154" t="str">
        <f>IF(OpenLCAbasic!K10233="CTUh", "Fill in Manually",IF(OR(K10233="Unit", K10233=""), "", INDEX(LookUps!$E$5:$E$12, MATCH(OpenLCAbasic!K10233,LookUps!$D$5:$D$12,0))))</f>
        <v>Eutrophication Potential (EP) - kg N eq</v>
      </c>
      <c r="M10233" s="154" t="str">
        <f t="shared" si="862"/>
        <v>Low_High_Low_Upgraded_Eutrophication Potential (EP) - kg N eq_Clear Cove Primary Clarification; wastewater treatment unit; at updated plant - US_Base_With Amendment_Aerated Static Pile</v>
      </c>
    </row>
    <row r="10234" spans="1:13" s="120" customFormat="1" x14ac:dyDescent="0.25">
      <c r="A10234" s="119"/>
      <c r="B10234" s="138" t="str">
        <f t="shared" si="863"/>
        <v>Aerated Static Pile</v>
      </c>
      <c r="C10234" s="138" t="str">
        <f t="shared" si="864"/>
        <v>Base_With Amendment</v>
      </c>
      <c r="D10234" s="138" t="str">
        <f t="shared" si="860"/>
        <v>High_Low</v>
      </c>
      <c r="E10234" s="138" t="str">
        <f t="shared" si="861"/>
        <v>Low</v>
      </c>
      <c r="F10234" s="138" t="str">
        <f t="shared" si="865"/>
        <v>Upgraded</v>
      </c>
      <c r="G10234" s="153"/>
      <c r="H10234" s="210">
        <v>7.6E-3</v>
      </c>
      <c r="I10234" s="160" t="s">
        <v>58</v>
      </c>
      <c r="J10234" s="160">
        <v>1.3999999999999999E-4</v>
      </c>
      <c r="K10234" s="160" t="s">
        <v>13</v>
      </c>
      <c r="L10234" s="154" t="str">
        <f>IF(OpenLCAbasic!K10234="CTUh", "Fill in Manually",IF(OR(K10234="Unit", K10234=""), "", INDEX(LookUps!$E$5:$E$12, MATCH(OpenLCAbasic!K10234,LookUps!$D$5:$D$12,0))))</f>
        <v>Eutrophication Potential (EP) - kg N eq</v>
      </c>
      <c r="M10234" s="154" t="str">
        <f t="shared" si="862"/>
        <v>Low_High_Low_Upgraded_Eutrophication Potential (EP) - kg N eq_Pre-Anoxic &amp; Swing tank; wastewater treatment unit; at updated plant - US_Base_With Amendment_Aerated Static Pile</v>
      </c>
    </row>
    <row r="10235" spans="1:13" s="120" customFormat="1" x14ac:dyDescent="0.25">
      <c r="A10235" s="119"/>
      <c r="B10235" s="138" t="str">
        <f t="shared" si="863"/>
        <v>Aerated Static Pile</v>
      </c>
      <c r="C10235" s="138" t="str">
        <f t="shared" si="864"/>
        <v>Base_With Amendment</v>
      </c>
      <c r="D10235" s="138" t="str">
        <f t="shared" si="860"/>
        <v>High_Low</v>
      </c>
      <c r="E10235" s="138" t="str">
        <f t="shared" si="861"/>
        <v>Low</v>
      </c>
      <c r="F10235" s="138" t="str">
        <f t="shared" si="865"/>
        <v>Upgraded</v>
      </c>
      <c r="G10235" s="153"/>
      <c r="H10235" s="210">
        <v>6.1999999999999998E-3</v>
      </c>
      <c r="I10235" s="160" t="s">
        <v>60</v>
      </c>
      <c r="J10235" s="160">
        <v>1.1E-4</v>
      </c>
      <c r="K10235" s="160" t="s">
        <v>13</v>
      </c>
      <c r="L10235" s="154" t="str">
        <f>IF(OpenLCAbasic!K10235="CTUh", "Fill in Manually",IF(OR(K10235="Unit", K10235=""), "", INDEX(LookUps!$E$5:$E$12, MATCH(OpenLCAbasic!K10235,LookUps!$D$5:$D$12,0))))</f>
        <v>Eutrophication Potential (EP) - kg N eq</v>
      </c>
      <c r="M10235" s="154" t="str">
        <f t="shared" si="862"/>
        <v>Low_High_Low_Upgraded_Eutrophication Potential (EP) - kg N eq_Belt filter press; wastewater treatment unit; at updated plant - US_Base_With Amendment_Aerated Static Pile</v>
      </c>
    </row>
    <row r="10236" spans="1:13" s="120" customFormat="1" x14ac:dyDescent="0.25">
      <c r="A10236" s="119"/>
      <c r="B10236" s="138" t="str">
        <f t="shared" si="863"/>
        <v>Aerated Static Pile</v>
      </c>
      <c r="C10236" s="138" t="str">
        <f t="shared" si="864"/>
        <v>Base_With Amendment</v>
      </c>
      <c r="D10236" s="138" t="str">
        <f t="shared" si="860"/>
        <v>High_Low</v>
      </c>
      <c r="E10236" s="138" t="str">
        <f t="shared" si="861"/>
        <v>Low</v>
      </c>
      <c r="F10236" s="138" t="str">
        <f t="shared" si="865"/>
        <v>Upgraded</v>
      </c>
      <c r="G10236" s="153"/>
      <c r="H10236" s="210">
        <v>6.0000000000000001E-3</v>
      </c>
      <c r="I10236" s="160" t="s">
        <v>53</v>
      </c>
      <c r="J10236" s="211">
        <v>1.1E-4</v>
      </c>
      <c r="K10236" s="160" t="s">
        <v>13</v>
      </c>
      <c r="L10236" s="154" t="str">
        <f>IF(OpenLCAbasic!K10236="CTUh", "Fill in Manually",IF(OR(K10236="Unit", K10236=""), "", INDEX(LookUps!$E$5:$E$12, MATCH(OpenLCAbasic!K10236,LookUps!$D$5:$D$12,0))))</f>
        <v>Eutrophication Potential (EP) - kg N eq</v>
      </c>
      <c r="M10236" s="154" t="str">
        <f t="shared" si="862"/>
        <v>Low_High_Low_Upgraded_Eutrophication Potential (EP) - kg N eq_Wet Well and Sump Station; wastewater treatment unit; at updated plant - US_Base_With Amendment_Aerated Static Pile</v>
      </c>
    </row>
    <row r="10237" spans="1:13" s="120" customFormat="1" x14ac:dyDescent="0.25">
      <c r="A10237" s="119"/>
      <c r="B10237" s="138" t="str">
        <f t="shared" si="863"/>
        <v>Aerated Static Pile</v>
      </c>
      <c r="C10237" s="138" t="str">
        <f t="shared" si="864"/>
        <v>Base_With Amendment</v>
      </c>
      <c r="D10237" s="138" t="str">
        <f t="shared" si="860"/>
        <v>High_Low</v>
      </c>
      <c r="E10237" s="138" t="str">
        <f t="shared" si="861"/>
        <v>Low</v>
      </c>
      <c r="F10237" s="138" t="str">
        <f t="shared" si="865"/>
        <v>Upgraded</v>
      </c>
      <c r="G10237" s="153"/>
      <c r="H10237" s="210">
        <v>3.3999999999999998E-3</v>
      </c>
      <c r="I10237" s="160" t="s">
        <v>57</v>
      </c>
      <c r="J10237" s="211">
        <v>6.0590300000000002E-5</v>
      </c>
      <c r="K10237" s="160" t="s">
        <v>13</v>
      </c>
      <c r="L10237" s="154" t="str">
        <f>IF(OpenLCAbasic!K10237="CTUh", "Fill in Manually",IF(OR(K10237="Unit", K10237=""), "", INDEX(LookUps!$E$5:$E$12, MATCH(OpenLCAbasic!K10237,LookUps!$D$5:$D$12,0))))</f>
        <v>Eutrophication Potential (EP) - kg N eq</v>
      </c>
      <c r="M10237" s="154" t="str">
        <f t="shared" si="862"/>
        <v>Low_High_Low_Upgraded_Eutrophication Potential (EP) - kg N eq_Gravity Belt Thickener; wastewater treatment unit; at updated plant - US_Base_With Amendment_Aerated Static Pile</v>
      </c>
    </row>
    <row r="10238" spans="1:13" s="120" customFormat="1" x14ac:dyDescent="0.25">
      <c r="A10238" s="119"/>
      <c r="B10238" s="138" t="str">
        <f t="shared" si="863"/>
        <v>Aerated Static Pile</v>
      </c>
      <c r="C10238" s="138" t="str">
        <f t="shared" si="864"/>
        <v>Base_With Amendment</v>
      </c>
      <c r="D10238" s="138" t="str">
        <f t="shared" si="860"/>
        <v>High_Low</v>
      </c>
      <c r="E10238" s="138" t="str">
        <f t="shared" si="861"/>
        <v>Low</v>
      </c>
      <c r="F10238" s="138" t="str">
        <f t="shared" si="865"/>
        <v>Upgraded</v>
      </c>
      <c r="G10238" s="153"/>
      <c r="H10238" s="210">
        <v>2.0999999999999999E-3</v>
      </c>
      <c r="I10238" s="160" t="s">
        <v>128</v>
      </c>
      <c r="J10238" s="211">
        <v>3.7559799999999999E-5</v>
      </c>
      <c r="K10238" s="160" t="s">
        <v>13</v>
      </c>
      <c r="L10238" s="154" t="str">
        <f>IF(OpenLCAbasic!K10238="CTUh", "Fill in Manually",IF(OR(K10238="Unit", K10238=""), "", INDEX(LookUps!$E$5:$E$12, MATCH(OpenLCAbasic!K10238,LookUps!$D$5:$D$12,0))))</f>
        <v>Eutrophication Potential (EP) - kg N eq</v>
      </c>
      <c r="M10238" s="154" t="str">
        <f t="shared" si="862"/>
        <v>Low_High_Low_Upgraded_Eutrophication Potential (EP) - kg N eq_Wastewater collection; operation and infrastructure; m3 wastewater_Base_With Amendment_Aerated Static Pile</v>
      </c>
    </row>
    <row r="10239" spans="1:13" s="120" customFormat="1" x14ac:dyDescent="0.25">
      <c r="A10239" s="119"/>
      <c r="B10239" s="138" t="str">
        <f t="shared" si="863"/>
        <v>Aerated Static Pile</v>
      </c>
      <c r="C10239" s="138" t="str">
        <f t="shared" si="864"/>
        <v>Base_With Amendment</v>
      </c>
      <c r="D10239" s="138" t="str">
        <f t="shared" si="860"/>
        <v>High_Low</v>
      </c>
      <c r="E10239" s="138" t="str">
        <f t="shared" si="861"/>
        <v>Low</v>
      </c>
      <c r="F10239" s="138" t="str">
        <f t="shared" si="865"/>
        <v>Upgraded</v>
      </c>
      <c r="G10239" s="153"/>
      <c r="H10239" s="210">
        <v>2.0999999999999999E-3</v>
      </c>
      <c r="I10239" s="160" t="s">
        <v>148</v>
      </c>
      <c r="J10239" s="211">
        <v>3.6874600000000001E-5</v>
      </c>
      <c r="K10239" s="160" t="s">
        <v>13</v>
      </c>
      <c r="L10239" s="154" t="str">
        <f>IF(OpenLCAbasic!K10239="CTUh", "Fill in Manually",IF(OR(K10239="Unit", K10239=""), "", INDEX(LookUps!$E$5:$E$12, MATCH(OpenLCAbasic!K10239,LookUps!$D$5:$D$12,0))))</f>
        <v>Eutrophication Potential (EP) - kg N eq</v>
      </c>
      <c r="M10239" s="154" t="str">
        <f t="shared" si="862"/>
        <v>Low_High_Low_Upgraded_Eutrophication Potential (EP) - kg N eq_Control Building; at upgraded wastewater treatment plant - US_Base_With Amendment_Aerated Static Pile</v>
      </c>
    </row>
    <row r="10240" spans="1:13" s="120" customFormat="1" x14ac:dyDescent="0.25">
      <c r="A10240" s="119"/>
      <c r="B10240" s="138" t="str">
        <f t="shared" si="863"/>
        <v>Aerated Static Pile</v>
      </c>
      <c r="C10240" s="138" t="str">
        <f t="shared" si="864"/>
        <v>Base_With Amendment</v>
      </c>
      <c r="D10240" s="138" t="str">
        <f t="shared" si="860"/>
        <v>High_Low</v>
      </c>
      <c r="E10240" s="138" t="str">
        <f t="shared" si="861"/>
        <v>Low</v>
      </c>
      <c r="F10240" s="138" t="str">
        <f t="shared" si="865"/>
        <v>Upgraded</v>
      </c>
      <c r="G10240" s="153"/>
      <c r="H10240" s="210">
        <v>8.9999999999999998E-4</v>
      </c>
      <c r="I10240" s="160" t="s">
        <v>59</v>
      </c>
      <c r="J10240" s="211">
        <v>1.6215700000000001E-5</v>
      </c>
      <c r="K10240" s="160" t="s">
        <v>13</v>
      </c>
      <c r="L10240" s="154" t="str">
        <f>IF(OpenLCAbasic!K10240="CTUh", "Fill in Manually",IF(OR(K10240="Unit", K10240=""), "", INDEX(LookUps!$E$5:$E$12, MATCH(OpenLCAbasic!K10240,LookUps!$D$5:$D$12,0))))</f>
        <v>Eutrophication Potential (EP) - kg N eq</v>
      </c>
      <c r="M10240" s="154" t="str">
        <f t="shared" si="862"/>
        <v>Low_High_Low_Upgraded_Eutrophication Potential (EP) - kg N eq_Blend Tank; wastewater treatment unit; at updated plant - US_Base_With Amendment_Aerated Static Pile</v>
      </c>
    </row>
    <row r="10241" spans="1:13" s="120" customFormat="1" x14ac:dyDescent="0.25">
      <c r="A10241" s="119"/>
      <c r="B10241" s="138" t="str">
        <f t="shared" si="863"/>
        <v>Aerated Static Pile</v>
      </c>
      <c r="C10241" s="138" t="str">
        <f t="shared" si="864"/>
        <v>Base_With Amendment</v>
      </c>
      <c r="D10241" s="138" t="str">
        <f t="shared" si="860"/>
        <v>High_Low</v>
      </c>
      <c r="E10241" s="138" t="str">
        <f t="shared" si="861"/>
        <v>Low</v>
      </c>
      <c r="F10241" s="138" t="str">
        <f t="shared" si="865"/>
        <v>Upgraded</v>
      </c>
      <c r="G10241" s="153"/>
      <c r="H10241" s="210">
        <v>4.0000000000000002E-4</v>
      </c>
      <c r="I10241" s="160" t="s">
        <v>168</v>
      </c>
      <c r="J10241" s="211">
        <v>7.7567199999999995E-6</v>
      </c>
      <c r="K10241" s="160" t="s">
        <v>13</v>
      </c>
      <c r="L10241" s="154" t="str">
        <f>IF(OpenLCAbasic!K10241="CTUh", "Fill in Manually",IF(OR(K10241="Unit", K10241=""), "", INDEX(LookUps!$E$5:$E$12, MATCH(OpenLCAbasic!K10241,LookUps!$D$5:$D$12,0))))</f>
        <v>Eutrophication Potential (EP) - kg N eq</v>
      </c>
      <c r="M10241" s="154" t="str">
        <f t="shared" si="862"/>
        <v>Low_High_Low_Upgraded_Eutrophication Potential (EP) - kg N eq_ClearCove SCP; wastewater treatment unit; at updated plant - US_Base_With Amendment_Aerated Static Pile</v>
      </c>
    </row>
    <row r="10242" spans="1:13" s="120" customFormat="1" x14ac:dyDescent="0.25">
      <c r="A10242" s="119"/>
      <c r="B10242" s="138" t="str">
        <f t="shared" si="863"/>
        <v>Aerated Static Pile</v>
      </c>
      <c r="C10242" s="138" t="str">
        <f t="shared" si="864"/>
        <v>Base_With Amendment</v>
      </c>
      <c r="D10242" s="138" t="str">
        <f t="shared" si="860"/>
        <v>High_Low</v>
      </c>
      <c r="E10242" s="138" t="str">
        <f t="shared" si="861"/>
        <v>Low</v>
      </c>
      <c r="F10242" s="138" t="str">
        <f t="shared" si="865"/>
        <v>Upgraded</v>
      </c>
      <c r="G10242" s="153"/>
      <c r="H10242" s="210">
        <v>-2.3E-2</v>
      </c>
      <c r="I10242" s="160" t="s">
        <v>149</v>
      </c>
      <c r="J10242" s="160">
        <v>-4.0999999999999999E-4</v>
      </c>
      <c r="K10242" s="160" t="s">
        <v>13</v>
      </c>
      <c r="L10242" s="154" t="str">
        <f>IF(OpenLCAbasic!K10242="CTUh", "Fill in Manually",IF(OR(K10242="Unit", K10242=""), "", INDEX(LookUps!$E$5:$E$12, MATCH(OpenLCAbasic!K10242,LookUps!$D$5:$D$12,0))))</f>
        <v>Eutrophication Potential (EP) - kg N eq</v>
      </c>
      <c r="M10242" s="154" t="str">
        <f t="shared" si="862"/>
        <v>Low_High_Low_Upgraded_Eutrophication Potential (EP) - kg N eq_Anaerobic Digestion; wastewater treatment unit; at updated plant - US_Base_With Amendment_Aerated Static Pile</v>
      </c>
    </row>
    <row r="10243" spans="1:13" s="120" customFormat="1" x14ac:dyDescent="0.25">
      <c r="A10243" s="119"/>
      <c r="B10243" s="138" t="str">
        <f t="shared" si="863"/>
        <v/>
      </c>
      <c r="C10243" s="138" t="str">
        <f t="shared" si="864"/>
        <v/>
      </c>
      <c r="D10243" s="138" t="str">
        <f t="shared" si="860"/>
        <v/>
      </c>
      <c r="E10243" s="138" t="str">
        <f t="shared" si="861"/>
        <v/>
      </c>
      <c r="F10243" s="138" t="str">
        <f t="shared" si="865"/>
        <v/>
      </c>
      <c r="G10243" s="153" t="s">
        <v>51</v>
      </c>
      <c r="H10243" s="160"/>
      <c r="I10243" s="160" t="s">
        <v>47</v>
      </c>
      <c r="J10243" s="160" t="s">
        <v>52</v>
      </c>
      <c r="K10243" s="160" t="s">
        <v>27</v>
      </c>
      <c r="L10243" s="154" t="str">
        <f>IF(OpenLCAbasic!K10243="CTUh", "Fill in Manually",IF(OR(K10243="Unit", K10243=""), "", INDEX(LookUps!$E$5:$E$12, MATCH(OpenLCAbasic!K10243,LookUps!$D$5:$D$12,0))))</f>
        <v/>
      </c>
      <c r="M10243" s="154" t="str">
        <f t="shared" si="862"/>
        <v>____Process__</v>
      </c>
    </row>
    <row r="10244" spans="1:13" s="120" customFormat="1" x14ac:dyDescent="0.25">
      <c r="A10244" s="119"/>
      <c r="B10244" s="138" t="str">
        <f t="shared" si="863"/>
        <v>Aerated Static Pile</v>
      </c>
      <c r="C10244" s="138" t="str">
        <f t="shared" si="864"/>
        <v>Base_With Amendment</v>
      </c>
      <c r="D10244" s="138" t="str">
        <f t="shared" si="860"/>
        <v>High_Low</v>
      </c>
      <c r="E10244" s="138" t="str">
        <f t="shared" si="861"/>
        <v>Low</v>
      </c>
      <c r="F10244" s="138" t="str">
        <f t="shared" si="865"/>
        <v>Upgraded</v>
      </c>
      <c r="G10244" s="153"/>
      <c r="H10244" s="210">
        <v>0.55279999999999996</v>
      </c>
      <c r="I10244" s="160" t="s">
        <v>167</v>
      </c>
      <c r="J10244" s="160">
        <v>0.11719</v>
      </c>
      <c r="K10244" s="160" t="s">
        <v>14</v>
      </c>
      <c r="L10244" s="154" t="str">
        <f>IF(OpenLCAbasic!K10244="CTUh", "Fill in Manually",IF(OR(K10244="Unit", K10244=""), "", INDEX(LookUps!$E$5:$E$12, MATCH(OpenLCAbasic!K10244,LookUps!$D$5:$D$12,0))))</f>
        <v>Fossil Depletion Potential (FDP) - kg oil eq</v>
      </c>
      <c r="M10244" s="154" t="str">
        <f t="shared" si="862"/>
        <v>Low_High_Low_Upgraded_Fossil Depletion Potential (FDP) - kg oil eq_Waste Receiving and Holding; wastewater treatment unit; at updated plant - US_Base_With Amendment_Aerated Static Pile</v>
      </c>
    </row>
    <row r="10245" spans="1:13" s="120" customFormat="1" x14ac:dyDescent="0.25">
      <c r="A10245" s="119"/>
      <c r="B10245" s="138" t="str">
        <f t="shared" si="863"/>
        <v>Aerated Static Pile</v>
      </c>
      <c r="C10245" s="138" t="str">
        <f t="shared" si="864"/>
        <v>Base_With Amendment</v>
      </c>
      <c r="D10245" s="138" t="str">
        <f t="shared" si="860"/>
        <v>High_Low</v>
      </c>
      <c r="E10245" s="138" t="str">
        <f t="shared" si="861"/>
        <v>Low</v>
      </c>
      <c r="F10245" s="138" t="str">
        <f t="shared" si="865"/>
        <v>Upgraded</v>
      </c>
      <c r="G10245" s="153"/>
      <c r="H10245" s="210">
        <v>0.3</v>
      </c>
      <c r="I10245" s="160" t="s">
        <v>55</v>
      </c>
      <c r="J10245" s="160">
        <v>6.3589999999999994E-2</v>
      </c>
      <c r="K10245" s="160" t="s">
        <v>14</v>
      </c>
      <c r="L10245" s="154" t="str">
        <f>IF(OpenLCAbasic!K10245="CTUh", "Fill in Manually",IF(OR(K10245="Unit", K10245=""), "", INDEX(LookUps!$E$5:$E$12, MATCH(OpenLCAbasic!K10245,LookUps!$D$5:$D$12,0))))</f>
        <v>Fossil Depletion Potential (FDP) - kg oil eq</v>
      </c>
      <c r="M10245" s="154" t="str">
        <f t="shared" si="862"/>
        <v>Low_High_Low_Upgraded_Fossil Depletion Potential (FDP) - kg oil eq_Aeration Tanks; wastewater treatment unit; at updated plant - US_Base_With Amendment_Aerated Static Pile</v>
      </c>
    </row>
    <row r="10246" spans="1:13" s="120" customFormat="1" x14ac:dyDescent="0.25">
      <c r="A10246" s="119"/>
      <c r="B10246" s="138" t="str">
        <f t="shared" si="863"/>
        <v>Aerated Static Pile</v>
      </c>
      <c r="C10246" s="138" t="str">
        <f t="shared" si="864"/>
        <v>Base_With Amendment</v>
      </c>
      <c r="D10246" s="138" t="str">
        <f t="shared" si="860"/>
        <v>High_Low</v>
      </c>
      <c r="E10246" s="138" t="str">
        <f t="shared" si="861"/>
        <v>Low</v>
      </c>
      <c r="F10246" s="138" t="str">
        <f t="shared" si="865"/>
        <v>Upgraded</v>
      </c>
      <c r="G10246" s="153"/>
      <c r="H10246" s="210">
        <v>0.22459999999999999</v>
      </c>
      <c r="I10246" s="160" t="s">
        <v>435</v>
      </c>
      <c r="J10246" s="160">
        <v>4.7600000000000003E-2</v>
      </c>
      <c r="K10246" s="160" t="s">
        <v>14</v>
      </c>
      <c r="L10246" s="154" t="str">
        <f>IF(OpenLCAbasic!K10246="CTUh", "Fill in Manually",IF(OR(K10246="Unit", K10246=""), "", INDEX(LookUps!$E$5:$E$12, MATCH(OpenLCAbasic!K10246,LookUps!$D$5:$D$12,0))))</f>
        <v>Fossil Depletion Potential (FDP) - kg oil eq</v>
      </c>
      <c r="M10246" s="154" t="str">
        <f t="shared" si="862"/>
        <v>Low_High_Low_Upgraded_Fossil Depletion Potential (FDP) - kg oil eq_Biosolids composting; aerated static pile; wastewater treatment unit; at updated plant - US_Base_With Amendment_Aerated Static Pile</v>
      </c>
    </row>
    <row r="10247" spans="1:13" s="120" customFormat="1" x14ac:dyDescent="0.25">
      <c r="A10247" s="119"/>
      <c r="B10247" s="138" t="str">
        <f t="shared" si="863"/>
        <v>Aerated Static Pile</v>
      </c>
      <c r="C10247" s="138" t="str">
        <f t="shared" si="864"/>
        <v>Base_With Amendment</v>
      </c>
      <c r="D10247" s="138" t="str">
        <f t="shared" si="860"/>
        <v>High_Low</v>
      </c>
      <c r="E10247" s="138" t="str">
        <f t="shared" si="861"/>
        <v>Low</v>
      </c>
      <c r="F10247" s="138" t="str">
        <f t="shared" si="865"/>
        <v>Upgraded</v>
      </c>
      <c r="G10247" s="153"/>
      <c r="H10247" s="210">
        <v>9.9299999999999999E-2</v>
      </c>
      <c r="I10247" s="160" t="s">
        <v>54</v>
      </c>
      <c r="J10247" s="160">
        <v>2.1049999999999999E-2</v>
      </c>
      <c r="K10247" s="160" t="s">
        <v>14</v>
      </c>
      <c r="L10247" s="154" t="str">
        <f>IF(OpenLCAbasic!K10247="CTUh", "Fill in Manually",IF(OR(K10247="Unit", K10247=""), "", INDEX(LookUps!$E$5:$E$12, MATCH(OpenLCAbasic!K10247,LookUps!$D$5:$D$12,0))))</f>
        <v>Fossil Depletion Potential (FDP) - kg oil eq</v>
      </c>
      <c r="M10247" s="154" t="str">
        <f t="shared" si="862"/>
        <v>Low_High_Low_Upgraded_Fossil Depletion Potential (FDP) - kg oil eq_Clear Cove Primary Clarification; wastewater treatment unit; at updated plant - US_Base_With Amendment_Aerated Static Pile</v>
      </c>
    </row>
    <row r="10248" spans="1:13" s="120" customFormat="1" x14ac:dyDescent="0.25">
      <c r="A10248" s="119"/>
      <c r="B10248" s="138" t="str">
        <f t="shared" si="863"/>
        <v>Aerated Static Pile</v>
      </c>
      <c r="C10248" s="138" t="str">
        <f t="shared" si="864"/>
        <v>Base_With Amendment</v>
      </c>
      <c r="D10248" s="138" t="str">
        <f t="shared" si="860"/>
        <v>High_Low</v>
      </c>
      <c r="E10248" s="138" t="str">
        <f t="shared" si="861"/>
        <v>Low</v>
      </c>
      <c r="F10248" s="138" t="str">
        <f t="shared" si="865"/>
        <v>Upgraded</v>
      </c>
      <c r="G10248" s="153"/>
      <c r="H10248" s="210">
        <v>7.5700000000000003E-2</v>
      </c>
      <c r="I10248" s="160" t="s">
        <v>58</v>
      </c>
      <c r="J10248" s="160">
        <v>1.6039999999999999E-2</v>
      </c>
      <c r="K10248" s="160" t="s">
        <v>14</v>
      </c>
      <c r="L10248" s="154" t="str">
        <f>IF(OpenLCAbasic!K10248="CTUh", "Fill in Manually",IF(OR(K10248="Unit", K10248=""), "", INDEX(LookUps!$E$5:$E$12, MATCH(OpenLCAbasic!K10248,LookUps!$D$5:$D$12,0))))</f>
        <v>Fossil Depletion Potential (FDP) - kg oil eq</v>
      </c>
      <c r="M10248" s="154" t="str">
        <f t="shared" si="862"/>
        <v>Low_High_Low_Upgraded_Fossil Depletion Potential (FDP) - kg oil eq_Pre-Anoxic &amp; Swing tank; wastewater treatment unit; at updated plant - US_Base_With Amendment_Aerated Static Pile</v>
      </c>
    </row>
    <row r="10249" spans="1:13" s="120" customFormat="1" x14ac:dyDescent="0.25">
      <c r="A10249" s="119"/>
      <c r="B10249" s="138" t="str">
        <f t="shared" si="863"/>
        <v>Aerated Static Pile</v>
      </c>
      <c r="C10249" s="138" t="str">
        <f t="shared" si="864"/>
        <v>Base_With Amendment</v>
      </c>
      <c r="D10249" s="138" t="str">
        <f t="shared" si="860"/>
        <v>High_Low</v>
      </c>
      <c r="E10249" s="138" t="str">
        <f t="shared" si="861"/>
        <v>Low</v>
      </c>
      <c r="F10249" s="138" t="str">
        <f t="shared" si="865"/>
        <v>Upgraded</v>
      </c>
      <c r="G10249" s="153"/>
      <c r="H10249" s="210">
        <v>7.1199999999999999E-2</v>
      </c>
      <c r="I10249" s="160" t="s">
        <v>147</v>
      </c>
      <c r="J10249" s="160">
        <v>1.5089999999999999E-2</v>
      </c>
      <c r="K10249" s="160" t="s">
        <v>14</v>
      </c>
      <c r="L10249" s="154" t="str">
        <f>IF(OpenLCAbasic!K10249="CTUh", "Fill in Manually",IF(OR(K10249="Unit", K10249=""), "", INDEX(LookUps!$E$5:$E$12, MATCH(OpenLCAbasic!K10249,LookUps!$D$5:$D$12,0))))</f>
        <v>Fossil Depletion Potential (FDP) - kg oil eq</v>
      </c>
      <c r="M10249" s="154" t="str">
        <f t="shared" si="862"/>
        <v>Low_High_Low_Upgraded_Fossil Depletion Potential (FDP) - kg oil eq_Influent Pump Station; wastewater treatment unit; at updated plant - US_Base_With Amendment_Aerated Static Pile</v>
      </c>
    </row>
    <row r="10250" spans="1:13" s="120" customFormat="1" x14ac:dyDescent="0.25">
      <c r="A10250" s="119"/>
      <c r="B10250" s="138" t="str">
        <f t="shared" si="863"/>
        <v>Aerated Static Pile</v>
      </c>
      <c r="C10250" s="138" t="str">
        <f t="shared" si="864"/>
        <v>Base_With Amendment</v>
      </c>
      <c r="D10250" s="138" t="str">
        <f t="shared" si="860"/>
        <v>High_Low</v>
      </c>
      <c r="E10250" s="138" t="str">
        <f t="shared" si="861"/>
        <v>Low</v>
      </c>
      <c r="F10250" s="138" t="str">
        <f t="shared" si="865"/>
        <v>Upgraded</v>
      </c>
      <c r="G10250" s="153"/>
      <c r="H10250" s="210">
        <v>5.9700000000000003E-2</v>
      </c>
      <c r="I10250" s="160" t="s">
        <v>60</v>
      </c>
      <c r="J10250" s="160">
        <v>1.2659999999999999E-2</v>
      </c>
      <c r="K10250" s="160" t="s">
        <v>14</v>
      </c>
      <c r="L10250" s="154" t="str">
        <f>IF(OpenLCAbasic!K10250="CTUh", "Fill in Manually",IF(OR(K10250="Unit", K10250=""), "", INDEX(LookUps!$E$5:$E$12, MATCH(OpenLCAbasic!K10250,LookUps!$D$5:$D$12,0))))</f>
        <v>Fossil Depletion Potential (FDP) - kg oil eq</v>
      </c>
      <c r="M10250" s="154" t="str">
        <f t="shared" si="862"/>
        <v>Low_High_Low_Upgraded_Fossil Depletion Potential (FDP) - kg oil eq_Belt filter press; wastewater treatment unit; at updated plant - US_Base_With Amendment_Aerated Static Pile</v>
      </c>
    </row>
    <row r="10251" spans="1:13" s="120" customFormat="1" x14ac:dyDescent="0.25">
      <c r="A10251" s="119"/>
      <c r="B10251" s="138" t="str">
        <f t="shared" si="863"/>
        <v>Aerated Static Pile</v>
      </c>
      <c r="C10251" s="138" t="str">
        <f t="shared" si="864"/>
        <v>Base_With Amendment</v>
      </c>
      <c r="D10251" s="138" t="str">
        <f t="shared" si="860"/>
        <v>High_Low</v>
      </c>
      <c r="E10251" s="138" t="str">
        <f t="shared" si="861"/>
        <v>Low</v>
      </c>
      <c r="F10251" s="138" t="str">
        <f t="shared" si="865"/>
        <v>Upgraded</v>
      </c>
      <c r="G10251" s="153"/>
      <c r="H10251" s="210">
        <v>5.8900000000000001E-2</v>
      </c>
      <c r="I10251" s="160" t="s">
        <v>53</v>
      </c>
      <c r="J10251" s="160">
        <v>1.2489999999999999E-2</v>
      </c>
      <c r="K10251" s="160" t="s">
        <v>14</v>
      </c>
      <c r="L10251" s="154" t="str">
        <f>IF(OpenLCAbasic!K10251="CTUh", "Fill in Manually",IF(OR(K10251="Unit", K10251=""), "", INDEX(LookUps!$E$5:$E$12, MATCH(OpenLCAbasic!K10251,LookUps!$D$5:$D$12,0))))</f>
        <v>Fossil Depletion Potential (FDP) - kg oil eq</v>
      </c>
      <c r="M10251" s="154" t="str">
        <f t="shared" si="862"/>
        <v>Low_High_Low_Upgraded_Fossil Depletion Potential (FDP) - kg oil eq_Wet Well and Sump Station; wastewater treatment unit; at updated plant - US_Base_With Amendment_Aerated Static Pile</v>
      </c>
    </row>
    <row r="10252" spans="1:13" s="120" customFormat="1" x14ac:dyDescent="0.25">
      <c r="A10252" s="119"/>
      <c r="B10252" s="138" t="str">
        <f t="shared" si="863"/>
        <v>Aerated Static Pile</v>
      </c>
      <c r="C10252" s="138" t="str">
        <f t="shared" si="864"/>
        <v>Base_With Amendment</v>
      </c>
      <c r="D10252" s="138" t="str">
        <f t="shared" si="860"/>
        <v>High_Low</v>
      </c>
      <c r="E10252" s="138" t="str">
        <f t="shared" si="861"/>
        <v>Low</v>
      </c>
      <c r="F10252" s="138" t="str">
        <f t="shared" si="865"/>
        <v>Upgraded</v>
      </c>
      <c r="G10252" s="153"/>
      <c r="H10252" s="210">
        <v>3.2599999999999997E-2</v>
      </c>
      <c r="I10252" s="160" t="s">
        <v>57</v>
      </c>
      <c r="J10252" s="160">
        <v>6.9199999999999999E-3</v>
      </c>
      <c r="K10252" s="160" t="s">
        <v>14</v>
      </c>
      <c r="L10252" s="154" t="str">
        <f>IF(OpenLCAbasic!K10252="CTUh", "Fill in Manually",IF(OR(K10252="Unit", K10252=""), "", INDEX(LookUps!$E$5:$E$12, MATCH(OpenLCAbasic!K10252,LookUps!$D$5:$D$12,0))))</f>
        <v>Fossil Depletion Potential (FDP) - kg oil eq</v>
      </c>
      <c r="M10252" s="154" t="str">
        <f t="shared" si="862"/>
        <v>Low_High_Low_Upgraded_Fossil Depletion Potential (FDP) - kg oil eq_Gravity Belt Thickener; wastewater treatment unit; at updated plant - US_Base_With Amendment_Aerated Static Pile</v>
      </c>
    </row>
    <row r="10253" spans="1:13" s="120" customFormat="1" x14ac:dyDescent="0.25">
      <c r="A10253" s="119"/>
      <c r="B10253" s="138" t="str">
        <f t="shared" si="863"/>
        <v>Aerated Static Pile</v>
      </c>
      <c r="C10253" s="138" t="str">
        <f t="shared" si="864"/>
        <v>Base_With Amendment</v>
      </c>
      <c r="D10253" s="138" t="str">
        <f t="shared" si="860"/>
        <v>High_Low</v>
      </c>
      <c r="E10253" s="138" t="str">
        <f t="shared" si="861"/>
        <v>Low</v>
      </c>
      <c r="F10253" s="138" t="str">
        <f t="shared" si="865"/>
        <v>Upgraded</v>
      </c>
      <c r="G10253" s="153"/>
      <c r="H10253" s="210">
        <v>2.12E-2</v>
      </c>
      <c r="I10253" s="160" t="s">
        <v>128</v>
      </c>
      <c r="J10253" s="160">
        <v>4.4999999999999997E-3</v>
      </c>
      <c r="K10253" s="160" t="s">
        <v>14</v>
      </c>
      <c r="L10253" s="154" t="str">
        <f>IF(OpenLCAbasic!K10253="CTUh", "Fill in Manually",IF(OR(K10253="Unit", K10253=""), "", INDEX(LookUps!$E$5:$E$12, MATCH(OpenLCAbasic!K10253,LookUps!$D$5:$D$12,0))))</f>
        <v>Fossil Depletion Potential (FDP) - kg oil eq</v>
      </c>
      <c r="M10253" s="154" t="str">
        <f t="shared" si="862"/>
        <v>Low_High_Low_Upgraded_Fossil Depletion Potential (FDP) - kg oil eq_Wastewater collection; operation and infrastructure; m3 wastewater_Base_With Amendment_Aerated Static Pile</v>
      </c>
    </row>
    <row r="10254" spans="1:13" s="120" customFormat="1" x14ac:dyDescent="0.25">
      <c r="A10254" s="119"/>
      <c r="B10254" s="138" t="str">
        <f t="shared" si="863"/>
        <v>Aerated Static Pile</v>
      </c>
      <c r="C10254" s="138" t="str">
        <f t="shared" si="864"/>
        <v>Base_With Amendment</v>
      </c>
      <c r="D10254" s="138" t="str">
        <f t="shared" si="860"/>
        <v>High_Low</v>
      </c>
      <c r="E10254" s="138" t="str">
        <f t="shared" si="861"/>
        <v>Low</v>
      </c>
      <c r="F10254" s="138" t="str">
        <f t="shared" si="865"/>
        <v>Upgraded</v>
      </c>
      <c r="G10254" s="153"/>
      <c r="H10254" s="210">
        <v>1.32E-2</v>
      </c>
      <c r="I10254" s="160" t="s">
        <v>148</v>
      </c>
      <c r="J10254" s="160">
        <v>2.8E-3</v>
      </c>
      <c r="K10254" s="160" t="s">
        <v>14</v>
      </c>
      <c r="L10254" s="154" t="str">
        <f>IF(OpenLCAbasic!K10254="CTUh", "Fill in Manually",IF(OR(K10254="Unit", K10254=""), "", INDEX(LookUps!$E$5:$E$12, MATCH(OpenLCAbasic!K10254,LookUps!$D$5:$D$12,0))))</f>
        <v>Fossil Depletion Potential (FDP) - kg oil eq</v>
      </c>
      <c r="M10254" s="154" t="str">
        <f t="shared" si="862"/>
        <v>Low_High_Low_Upgraded_Fossil Depletion Potential (FDP) - kg oil eq_Control Building; at upgraded wastewater treatment plant - US_Base_With Amendment_Aerated Static Pile</v>
      </c>
    </row>
    <row r="10255" spans="1:13" s="120" customFormat="1" x14ac:dyDescent="0.25">
      <c r="A10255" s="119"/>
      <c r="B10255" s="138" t="str">
        <f t="shared" si="863"/>
        <v>Aerated Static Pile</v>
      </c>
      <c r="C10255" s="138" t="str">
        <f t="shared" si="864"/>
        <v>Base_With Amendment</v>
      </c>
      <c r="D10255" s="138" t="str">
        <f t="shared" si="860"/>
        <v>High_Low</v>
      </c>
      <c r="E10255" s="138" t="str">
        <f t="shared" si="861"/>
        <v>Low</v>
      </c>
      <c r="F10255" s="138" t="str">
        <f t="shared" si="865"/>
        <v>Upgraded</v>
      </c>
      <c r="G10255" s="153"/>
      <c r="H10255" s="210">
        <v>1.12E-2</v>
      </c>
      <c r="I10255" s="160" t="s">
        <v>48</v>
      </c>
      <c r="J10255" s="160">
        <v>2.3600000000000001E-3</v>
      </c>
      <c r="K10255" s="160" t="s">
        <v>14</v>
      </c>
      <c r="L10255" s="154" t="str">
        <f>IF(OpenLCAbasic!K10255="CTUh", "Fill in Manually",IF(OR(K10255="Unit", K10255=""), "", INDEX(LookUps!$E$5:$E$12, MATCH(OpenLCAbasic!K10255,LookUps!$D$5:$D$12,0))))</f>
        <v>Fossil Depletion Potential (FDP) - kg oil eq</v>
      </c>
      <c r="M10255" s="154" t="str">
        <f t="shared" si="862"/>
        <v>Low_High_Low_Upgraded_Fossil Depletion Potential (FDP) - kg oil eq_Effluent release; wastewater treatment unit; at surface water; m3 wastewater - US_Base_With Amendment_Aerated Static Pile</v>
      </c>
    </row>
    <row r="10256" spans="1:13" s="120" customFormat="1" x14ac:dyDescent="0.25">
      <c r="A10256" s="119"/>
      <c r="B10256" s="138" t="str">
        <f t="shared" si="863"/>
        <v>Aerated Static Pile</v>
      </c>
      <c r="C10256" s="138" t="str">
        <f t="shared" si="864"/>
        <v>Base_With Amendment</v>
      </c>
      <c r="D10256" s="138" t="str">
        <f t="shared" si="860"/>
        <v>High_Low</v>
      </c>
      <c r="E10256" s="138" t="str">
        <f t="shared" si="861"/>
        <v>Low</v>
      </c>
      <c r="F10256" s="138" t="str">
        <f t="shared" si="865"/>
        <v>Upgraded</v>
      </c>
      <c r="G10256" s="153"/>
      <c r="H10256" s="210">
        <v>9.1000000000000004E-3</v>
      </c>
      <c r="I10256" s="160" t="s">
        <v>59</v>
      </c>
      <c r="J10256" s="160">
        <v>1.92E-3</v>
      </c>
      <c r="K10256" s="160" t="s">
        <v>14</v>
      </c>
      <c r="L10256" s="154" t="str">
        <f>IF(OpenLCAbasic!K10256="CTUh", "Fill in Manually",IF(OR(K10256="Unit", K10256=""), "", INDEX(LookUps!$E$5:$E$12, MATCH(OpenLCAbasic!K10256,LookUps!$D$5:$D$12,0))))</f>
        <v>Fossil Depletion Potential (FDP) - kg oil eq</v>
      </c>
      <c r="M10256" s="154" t="str">
        <f t="shared" si="862"/>
        <v>Low_High_Low_Upgraded_Fossil Depletion Potential (FDP) - kg oil eq_Blend Tank; wastewater treatment unit; at updated plant - US_Base_With Amendment_Aerated Static Pile</v>
      </c>
    </row>
    <row r="10257" spans="1:13" s="120" customFormat="1" x14ac:dyDescent="0.25">
      <c r="A10257" s="119"/>
      <c r="B10257" s="138" t="str">
        <f t="shared" si="863"/>
        <v>Aerated Static Pile</v>
      </c>
      <c r="C10257" s="138" t="str">
        <f t="shared" si="864"/>
        <v>Base_With Amendment</v>
      </c>
      <c r="D10257" s="138" t="str">
        <f t="shared" ref="D10257:D10320" si="866">IF(ISNUMBER($J10257),"High_Low","")</f>
        <v>High_Low</v>
      </c>
      <c r="E10257" s="138" t="str">
        <f t="shared" si="861"/>
        <v>Low</v>
      </c>
      <c r="F10257" s="138" t="str">
        <f t="shared" si="865"/>
        <v>Upgraded</v>
      </c>
      <c r="G10257" s="153"/>
      <c r="H10257" s="210">
        <v>4.3E-3</v>
      </c>
      <c r="I10257" s="160" t="s">
        <v>168</v>
      </c>
      <c r="J10257" s="160">
        <v>9.1E-4</v>
      </c>
      <c r="K10257" s="160" t="s">
        <v>14</v>
      </c>
      <c r="L10257" s="154" t="str">
        <f>IF(OpenLCAbasic!K10257="CTUh", "Fill in Manually",IF(OR(K10257="Unit", K10257=""), "", INDEX(LookUps!$E$5:$E$12, MATCH(OpenLCAbasic!K10257,LookUps!$D$5:$D$12,0))))</f>
        <v>Fossil Depletion Potential (FDP) - kg oil eq</v>
      </c>
      <c r="M10257" s="154" t="str">
        <f t="shared" si="862"/>
        <v>Low_High_Low_Upgraded_Fossil Depletion Potential (FDP) - kg oil eq_ClearCove SCP; wastewater treatment unit; at updated plant - US_Base_With Amendment_Aerated Static Pile</v>
      </c>
    </row>
    <row r="10258" spans="1:13" s="120" customFormat="1" x14ac:dyDescent="0.25">
      <c r="A10258" s="119"/>
      <c r="B10258" s="138" t="str">
        <f t="shared" si="863"/>
        <v>Aerated Static Pile</v>
      </c>
      <c r="C10258" s="138" t="str">
        <f t="shared" si="864"/>
        <v>Base_With Amendment</v>
      </c>
      <c r="D10258" s="138" t="str">
        <f t="shared" si="866"/>
        <v>High_Low</v>
      </c>
      <c r="E10258" s="138" t="str">
        <f t="shared" si="861"/>
        <v>Low</v>
      </c>
      <c r="F10258" s="138" t="str">
        <f t="shared" si="865"/>
        <v>Upgraded</v>
      </c>
      <c r="G10258" s="153"/>
      <c r="H10258" s="210">
        <v>-6.8400000000000002E-2</v>
      </c>
      <c r="I10258" s="160" t="s">
        <v>62</v>
      </c>
      <c r="J10258" s="160">
        <v>-1.4500000000000001E-2</v>
      </c>
      <c r="K10258" s="160" t="s">
        <v>14</v>
      </c>
      <c r="L10258" s="154" t="str">
        <f>IF(OpenLCAbasic!K10258="CTUh", "Fill in Manually",IF(OR(K10258="Unit", K10258=""), "", INDEX(LookUps!$E$5:$E$12, MATCH(OpenLCAbasic!K10258,LookUps!$D$5:$D$12,0))))</f>
        <v>Fossil Depletion Potential (FDP) - kg oil eq</v>
      </c>
      <c r="M10258" s="154" t="str">
        <f t="shared" si="862"/>
        <v>Low_High_Low_Upgraded_Fossil Depletion Potential (FDP) - kg oil eq_Land application of compost; wastewater treatment unit; at updated plant - US_Base_With Amendment_Aerated Static Pile</v>
      </c>
    </row>
    <row r="10259" spans="1:13" s="120" customFormat="1" x14ac:dyDescent="0.25">
      <c r="A10259" s="119"/>
      <c r="B10259" s="138" t="str">
        <f t="shared" si="863"/>
        <v>Aerated Static Pile</v>
      </c>
      <c r="C10259" s="138" t="str">
        <f t="shared" si="864"/>
        <v>Base_With Amendment</v>
      </c>
      <c r="D10259" s="138" t="str">
        <f t="shared" si="866"/>
        <v>High_Low</v>
      </c>
      <c r="E10259" s="138" t="str">
        <f t="shared" si="861"/>
        <v>Low</v>
      </c>
      <c r="F10259" s="138" t="str">
        <f t="shared" si="865"/>
        <v>Upgraded</v>
      </c>
      <c r="G10259" s="153"/>
      <c r="H10259" s="210">
        <v>-0.46529999999999999</v>
      </c>
      <c r="I10259" s="160" t="s">
        <v>149</v>
      </c>
      <c r="J10259" s="160">
        <v>-9.8640000000000005E-2</v>
      </c>
      <c r="K10259" s="160" t="s">
        <v>14</v>
      </c>
      <c r="L10259" s="154" t="str">
        <f>IF(OpenLCAbasic!K10259="CTUh", "Fill in Manually",IF(OR(K10259="Unit", K10259=""), "", INDEX(LookUps!$E$5:$E$12, MATCH(OpenLCAbasic!K10259,LookUps!$D$5:$D$12,0))))</f>
        <v>Fossil Depletion Potential (FDP) - kg oil eq</v>
      </c>
      <c r="M10259" s="154" t="str">
        <f t="shared" si="862"/>
        <v>Low_High_Low_Upgraded_Fossil Depletion Potential (FDP) - kg oil eq_Anaerobic Digestion; wastewater treatment unit; at updated plant - US_Base_With Amendment_Aerated Static Pile</v>
      </c>
    </row>
    <row r="10260" spans="1:13" s="120" customFormat="1" x14ac:dyDescent="0.25">
      <c r="A10260" s="119"/>
      <c r="B10260" s="138" t="str">
        <f t="shared" si="863"/>
        <v/>
      </c>
      <c r="C10260" s="138" t="str">
        <f t="shared" si="864"/>
        <v/>
      </c>
      <c r="D10260" s="138" t="str">
        <f t="shared" si="866"/>
        <v/>
      </c>
      <c r="E10260" s="138" t="str">
        <f t="shared" si="861"/>
        <v/>
      </c>
      <c r="F10260" s="138" t="str">
        <f t="shared" si="865"/>
        <v/>
      </c>
      <c r="G10260" s="153" t="s">
        <v>51</v>
      </c>
      <c r="H10260" s="160"/>
      <c r="I10260" s="160" t="s">
        <v>47</v>
      </c>
      <c r="J10260" s="160" t="s">
        <v>52</v>
      </c>
      <c r="K10260" s="160" t="s">
        <v>27</v>
      </c>
      <c r="L10260" s="154" t="str">
        <f>IF(OpenLCAbasic!K10260="CTUh", "Fill in Manually",IF(OR(K10260="Unit", K10260=""), "", INDEX(LookUps!$E$5:$E$12, MATCH(OpenLCAbasic!K10260,LookUps!$D$5:$D$12,0))))</f>
        <v/>
      </c>
      <c r="M10260" s="154" t="str">
        <f t="shared" si="862"/>
        <v>____Process__</v>
      </c>
    </row>
    <row r="10261" spans="1:13" s="120" customFormat="1" x14ac:dyDescent="0.25">
      <c r="A10261" s="119"/>
      <c r="B10261" s="138" t="str">
        <f t="shared" si="863"/>
        <v>Aerated Static Pile</v>
      </c>
      <c r="C10261" s="138" t="str">
        <f t="shared" si="864"/>
        <v>Base_With Amendment</v>
      </c>
      <c r="D10261" s="138" t="str">
        <f t="shared" si="866"/>
        <v>High_Low</v>
      </c>
      <c r="E10261" s="138" t="str">
        <f t="shared" si="861"/>
        <v>Low</v>
      </c>
      <c r="F10261" s="138" t="str">
        <f t="shared" si="865"/>
        <v>Upgraded</v>
      </c>
      <c r="G10261" s="153"/>
      <c r="H10261" s="210">
        <v>3.1396999999999999</v>
      </c>
      <c r="I10261" s="160" t="s">
        <v>58</v>
      </c>
      <c r="J10261" s="160">
        <v>0.24992</v>
      </c>
      <c r="K10261" s="160" t="s">
        <v>23</v>
      </c>
      <c r="L10261" s="154" t="str">
        <f>IF(OpenLCAbasic!K10261="CTUh", "Fill in Manually",IF(OR(K10261="Unit", K10261=""), "", INDEX(LookUps!$E$5:$E$12, MATCH(OpenLCAbasic!K10261,LookUps!$D$5:$D$12,0))))</f>
        <v>Global Warming Potential (GWP) - kg CO2 eq</v>
      </c>
      <c r="M10261" s="154" t="str">
        <f t="shared" si="862"/>
        <v>Low_High_Low_Upgraded_Global Warming Potential (GWP) - kg CO2 eq_Pre-Anoxic &amp; Swing tank; wastewater treatment unit; at updated plant - US_Base_With Amendment_Aerated Static Pile</v>
      </c>
    </row>
    <row r="10262" spans="1:13" s="120" customFormat="1" x14ac:dyDescent="0.25">
      <c r="A10262" s="119"/>
      <c r="B10262" s="138" t="str">
        <f t="shared" si="863"/>
        <v>Aerated Static Pile</v>
      </c>
      <c r="C10262" s="138" t="str">
        <f t="shared" si="864"/>
        <v>Base_With Amendment</v>
      </c>
      <c r="D10262" s="138" t="str">
        <f t="shared" si="866"/>
        <v>High_Low</v>
      </c>
      <c r="E10262" s="138" t="str">
        <f t="shared" si="861"/>
        <v>Low</v>
      </c>
      <c r="F10262" s="138" t="str">
        <f t="shared" si="865"/>
        <v>Upgraded</v>
      </c>
      <c r="G10262" s="153"/>
      <c r="H10262" s="210">
        <v>3.1242999999999999</v>
      </c>
      <c r="I10262" s="160" t="s">
        <v>435</v>
      </c>
      <c r="J10262" s="160">
        <v>0.24868999999999999</v>
      </c>
      <c r="K10262" s="160" t="s">
        <v>23</v>
      </c>
      <c r="L10262" s="154" t="str">
        <f>IF(OpenLCAbasic!K10262="CTUh", "Fill in Manually",IF(OR(K10262="Unit", K10262=""), "", INDEX(LookUps!$E$5:$E$12, MATCH(OpenLCAbasic!K10262,LookUps!$D$5:$D$12,0))))</f>
        <v>Global Warming Potential (GWP) - kg CO2 eq</v>
      </c>
      <c r="M10262" s="154" t="str">
        <f t="shared" si="862"/>
        <v>Low_High_Low_Upgraded_Global Warming Potential (GWP) - kg CO2 eq_Biosolids composting; aerated static pile; wastewater treatment unit; at updated plant - US_Base_With Amendment_Aerated Static Pile</v>
      </c>
    </row>
    <row r="10263" spans="1:13" s="120" customFormat="1" x14ac:dyDescent="0.25">
      <c r="A10263" s="119"/>
      <c r="B10263" s="138" t="str">
        <f t="shared" si="863"/>
        <v>Aerated Static Pile</v>
      </c>
      <c r="C10263" s="138" t="str">
        <f t="shared" si="864"/>
        <v>Base_With Amendment</v>
      </c>
      <c r="D10263" s="138" t="str">
        <f t="shared" si="866"/>
        <v>High_Low</v>
      </c>
      <c r="E10263" s="138" t="str">
        <f t="shared" si="861"/>
        <v>Low</v>
      </c>
      <c r="F10263" s="138" t="str">
        <f t="shared" si="865"/>
        <v>Upgraded</v>
      </c>
      <c r="G10263" s="153"/>
      <c r="H10263" s="210">
        <v>2.1133999999999999</v>
      </c>
      <c r="I10263" s="160" t="s">
        <v>55</v>
      </c>
      <c r="J10263" s="160">
        <v>0.16822000000000001</v>
      </c>
      <c r="K10263" s="160" t="s">
        <v>23</v>
      </c>
      <c r="L10263" s="154" t="str">
        <f>IF(OpenLCAbasic!K10263="CTUh", "Fill in Manually",IF(OR(K10263="Unit", K10263=""), "", INDEX(LookUps!$E$5:$E$12, MATCH(OpenLCAbasic!K10263,LookUps!$D$5:$D$12,0))))</f>
        <v>Global Warming Potential (GWP) - kg CO2 eq</v>
      </c>
      <c r="M10263" s="154" t="str">
        <f t="shared" si="862"/>
        <v>Low_High_Low_Upgraded_Global Warming Potential (GWP) - kg CO2 eq_Aeration Tanks; wastewater treatment unit; at updated plant - US_Base_With Amendment_Aerated Static Pile</v>
      </c>
    </row>
    <row r="10264" spans="1:13" s="120" customFormat="1" x14ac:dyDescent="0.25">
      <c r="A10264" s="119"/>
      <c r="B10264" s="138" t="str">
        <f t="shared" si="863"/>
        <v>Aerated Static Pile</v>
      </c>
      <c r="C10264" s="138" t="str">
        <f t="shared" si="864"/>
        <v>Base_With Amendment</v>
      </c>
      <c r="D10264" s="138" t="str">
        <f t="shared" si="866"/>
        <v>High_Low</v>
      </c>
      <c r="E10264" s="138" t="str">
        <f t="shared" si="861"/>
        <v>Low</v>
      </c>
      <c r="F10264" s="138" t="str">
        <f t="shared" si="865"/>
        <v>Upgraded</v>
      </c>
      <c r="G10264" s="153"/>
      <c r="H10264" s="210">
        <v>1.8449</v>
      </c>
      <c r="I10264" s="160" t="s">
        <v>167</v>
      </c>
      <c r="J10264" s="160">
        <v>0.14685000000000001</v>
      </c>
      <c r="K10264" s="160" t="s">
        <v>23</v>
      </c>
      <c r="L10264" s="154" t="str">
        <f>IF(OpenLCAbasic!K10264="CTUh", "Fill in Manually",IF(OR(K10264="Unit", K10264=""), "", INDEX(LookUps!$E$5:$E$12, MATCH(OpenLCAbasic!K10264,LookUps!$D$5:$D$12,0))))</f>
        <v>Global Warming Potential (GWP) - kg CO2 eq</v>
      </c>
      <c r="M10264" s="154" t="str">
        <f t="shared" si="862"/>
        <v>Low_High_Low_Upgraded_Global Warming Potential (GWP) - kg CO2 eq_Waste Receiving and Holding; wastewater treatment unit; at updated plant - US_Base_With Amendment_Aerated Static Pile</v>
      </c>
    </row>
    <row r="10265" spans="1:13" s="120" customFormat="1" x14ac:dyDescent="0.25">
      <c r="A10265" s="119"/>
      <c r="B10265" s="138" t="str">
        <f t="shared" si="863"/>
        <v>Aerated Static Pile</v>
      </c>
      <c r="C10265" s="138" t="str">
        <f t="shared" si="864"/>
        <v>Base_With Amendment</v>
      </c>
      <c r="D10265" s="138" t="str">
        <f t="shared" si="866"/>
        <v>High_Low</v>
      </c>
      <c r="E10265" s="138" t="str">
        <f t="shared" si="861"/>
        <v>Low</v>
      </c>
      <c r="F10265" s="138" t="str">
        <f t="shared" si="865"/>
        <v>Upgraded</v>
      </c>
      <c r="G10265" s="153"/>
      <c r="H10265" s="210">
        <v>0.71709999999999996</v>
      </c>
      <c r="I10265" s="160" t="s">
        <v>54</v>
      </c>
      <c r="J10265" s="160">
        <v>5.7079999999999999E-2</v>
      </c>
      <c r="K10265" s="160" t="s">
        <v>23</v>
      </c>
      <c r="L10265" s="154" t="str">
        <f>IF(OpenLCAbasic!K10265="CTUh", "Fill in Manually",IF(OR(K10265="Unit", K10265=""), "", INDEX(LookUps!$E$5:$E$12, MATCH(OpenLCAbasic!K10265,LookUps!$D$5:$D$12,0))))</f>
        <v>Global Warming Potential (GWP) - kg CO2 eq</v>
      </c>
      <c r="M10265" s="154" t="str">
        <f t="shared" si="862"/>
        <v>Low_High_Low_Upgraded_Global Warming Potential (GWP) - kg CO2 eq_Clear Cove Primary Clarification; wastewater treatment unit; at updated plant - US_Base_With Amendment_Aerated Static Pile</v>
      </c>
    </row>
    <row r="10266" spans="1:13" s="120" customFormat="1" x14ac:dyDescent="0.25">
      <c r="A10266" s="119"/>
      <c r="B10266" s="138" t="str">
        <f t="shared" si="863"/>
        <v>Aerated Static Pile</v>
      </c>
      <c r="C10266" s="138" t="str">
        <f t="shared" si="864"/>
        <v>Base_With Amendment</v>
      </c>
      <c r="D10266" s="138" t="str">
        <f t="shared" si="866"/>
        <v>High_Low</v>
      </c>
      <c r="E10266" s="138" t="str">
        <f t="shared" si="861"/>
        <v>Low</v>
      </c>
      <c r="F10266" s="138" t="str">
        <f t="shared" si="865"/>
        <v>Upgraded</v>
      </c>
      <c r="G10266" s="153"/>
      <c r="H10266" s="210">
        <v>0.6613</v>
      </c>
      <c r="I10266" s="160" t="s">
        <v>48</v>
      </c>
      <c r="J10266" s="160">
        <v>5.2639999999999999E-2</v>
      </c>
      <c r="K10266" s="160" t="s">
        <v>23</v>
      </c>
      <c r="L10266" s="154" t="str">
        <f>IF(OpenLCAbasic!K10266="CTUh", "Fill in Manually",IF(OR(K10266="Unit", K10266=""), "", INDEX(LookUps!$E$5:$E$12, MATCH(OpenLCAbasic!K10266,LookUps!$D$5:$D$12,0))))</f>
        <v>Global Warming Potential (GWP) - kg CO2 eq</v>
      </c>
      <c r="M10266" s="154" t="str">
        <f t="shared" si="862"/>
        <v>Low_High_Low_Upgraded_Global Warming Potential (GWP) - kg CO2 eq_Effluent release; wastewater treatment unit; at surface water; m3 wastewater - US_Base_With Amendment_Aerated Static Pile</v>
      </c>
    </row>
    <row r="10267" spans="1:13" s="120" customFormat="1" x14ac:dyDescent="0.25">
      <c r="A10267" s="119"/>
      <c r="B10267" s="138" t="str">
        <f t="shared" si="863"/>
        <v>Aerated Static Pile</v>
      </c>
      <c r="C10267" s="138" t="str">
        <f t="shared" si="864"/>
        <v>Base_With Amendment</v>
      </c>
      <c r="D10267" s="138" t="str">
        <f t="shared" si="866"/>
        <v>High_Low</v>
      </c>
      <c r="E10267" s="138" t="str">
        <f t="shared" si="861"/>
        <v>Low</v>
      </c>
      <c r="F10267" s="138" t="str">
        <f t="shared" si="865"/>
        <v>Upgraded</v>
      </c>
      <c r="G10267" s="153"/>
      <c r="H10267" s="210">
        <v>0.63439999999999996</v>
      </c>
      <c r="I10267" s="160" t="s">
        <v>147</v>
      </c>
      <c r="J10267" s="160">
        <v>5.0500000000000003E-2</v>
      </c>
      <c r="K10267" s="160" t="s">
        <v>23</v>
      </c>
      <c r="L10267" s="154" t="str">
        <f>IF(OpenLCAbasic!K10267="CTUh", "Fill in Manually",IF(OR(K10267="Unit", K10267=""), "", INDEX(LookUps!$E$5:$E$12, MATCH(OpenLCAbasic!K10267,LookUps!$D$5:$D$12,0))))</f>
        <v>Global Warming Potential (GWP) - kg CO2 eq</v>
      </c>
      <c r="M10267" s="154" t="str">
        <f t="shared" si="862"/>
        <v>Low_High_Low_Upgraded_Global Warming Potential (GWP) - kg CO2 eq_Influent Pump Station; wastewater treatment unit; at updated plant - US_Base_With Amendment_Aerated Static Pile</v>
      </c>
    </row>
    <row r="10268" spans="1:13" s="120" customFormat="1" x14ac:dyDescent="0.25">
      <c r="A10268" s="119"/>
      <c r="B10268" s="138" t="str">
        <f t="shared" si="863"/>
        <v>Aerated Static Pile</v>
      </c>
      <c r="C10268" s="138" t="str">
        <f t="shared" si="864"/>
        <v>Base_With Amendment</v>
      </c>
      <c r="D10268" s="138" t="str">
        <f t="shared" si="866"/>
        <v>High_Low</v>
      </c>
      <c r="E10268" s="138" t="str">
        <f t="shared" si="861"/>
        <v>Low</v>
      </c>
      <c r="F10268" s="138" t="str">
        <f t="shared" si="865"/>
        <v>Upgraded</v>
      </c>
      <c r="G10268" s="153"/>
      <c r="H10268" s="210">
        <v>0.4178</v>
      </c>
      <c r="I10268" s="160" t="s">
        <v>53</v>
      </c>
      <c r="J10268" s="160">
        <v>3.3259999999999998E-2</v>
      </c>
      <c r="K10268" s="160" t="s">
        <v>23</v>
      </c>
      <c r="L10268" s="154" t="str">
        <f>IF(OpenLCAbasic!K10268="CTUh", "Fill in Manually",IF(OR(K10268="Unit", K10268=""), "", INDEX(LookUps!$E$5:$E$12, MATCH(OpenLCAbasic!K10268,LookUps!$D$5:$D$12,0))))</f>
        <v>Global Warming Potential (GWP) - kg CO2 eq</v>
      </c>
      <c r="M10268" s="154" t="str">
        <f t="shared" si="862"/>
        <v>Low_High_Low_Upgraded_Global Warming Potential (GWP) - kg CO2 eq_Wet Well and Sump Station; wastewater treatment unit; at updated plant - US_Base_With Amendment_Aerated Static Pile</v>
      </c>
    </row>
    <row r="10269" spans="1:13" s="120" customFormat="1" x14ac:dyDescent="0.25">
      <c r="A10269" s="119"/>
      <c r="B10269" s="138" t="str">
        <f t="shared" si="863"/>
        <v>Aerated Static Pile</v>
      </c>
      <c r="C10269" s="138" t="str">
        <f t="shared" si="864"/>
        <v>Base_With Amendment</v>
      </c>
      <c r="D10269" s="138" t="str">
        <f t="shared" si="866"/>
        <v>High_Low</v>
      </c>
      <c r="E10269" s="138" t="str">
        <f t="shared" si="861"/>
        <v>Low</v>
      </c>
      <c r="F10269" s="138" t="str">
        <f t="shared" si="865"/>
        <v>Upgraded</v>
      </c>
      <c r="G10269" s="153"/>
      <c r="H10269" s="210">
        <v>0.34949999999999998</v>
      </c>
      <c r="I10269" s="160" t="s">
        <v>60</v>
      </c>
      <c r="J10269" s="160">
        <v>2.7820000000000001E-2</v>
      </c>
      <c r="K10269" s="160" t="s">
        <v>23</v>
      </c>
      <c r="L10269" s="154" t="str">
        <f>IF(OpenLCAbasic!K10269="CTUh", "Fill in Manually",IF(OR(K10269="Unit", K10269=""), "", INDEX(LookUps!$E$5:$E$12, MATCH(OpenLCAbasic!K10269,LookUps!$D$5:$D$12,0))))</f>
        <v>Global Warming Potential (GWP) - kg CO2 eq</v>
      </c>
      <c r="M10269" s="154" t="str">
        <f t="shared" si="862"/>
        <v>Low_High_Low_Upgraded_Global Warming Potential (GWP) - kg CO2 eq_Belt filter press; wastewater treatment unit; at updated plant - US_Base_With Amendment_Aerated Static Pile</v>
      </c>
    </row>
    <row r="10270" spans="1:13" s="120" customFormat="1" x14ac:dyDescent="0.25">
      <c r="A10270" s="119"/>
      <c r="B10270" s="138" t="str">
        <f t="shared" si="863"/>
        <v>Aerated Static Pile</v>
      </c>
      <c r="C10270" s="138" t="str">
        <f t="shared" si="864"/>
        <v>Base_With Amendment</v>
      </c>
      <c r="D10270" s="138" t="str">
        <f t="shared" si="866"/>
        <v>High_Low</v>
      </c>
      <c r="E10270" s="138" t="str">
        <f t="shared" si="861"/>
        <v>Low</v>
      </c>
      <c r="F10270" s="138" t="str">
        <f t="shared" si="865"/>
        <v>Upgraded</v>
      </c>
      <c r="G10270" s="153"/>
      <c r="H10270" s="210">
        <v>0.18279999999999999</v>
      </c>
      <c r="I10270" s="160" t="s">
        <v>57</v>
      </c>
      <c r="J10270" s="160">
        <v>1.455E-2</v>
      </c>
      <c r="K10270" s="160" t="s">
        <v>23</v>
      </c>
      <c r="L10270" s="154" t="str">
        <f>IF(OpenLCAbasic!K10270="CTUh", "Fill in Manually",IF(OR(K10270="Unit", K10270=""), "", INDEX(LookUps!$E$5:$E$12, MATCH(OpenLCAbasic!K10270,LookUps!$D$5:$D$12,0))))</f>
        <v>Global Warming Potential (GWP) - kg CO2 eq</v>
      </c>
      <c r="M10270" s="154" t="str">
        <f t="shared" si="862"/>
        <v>Low_High_Low_Upgraded_Global Warming Potential (GWP) - kg CO2 eq_Gravity Belt Thickener; wastewater treatment unit; at updated plant - US_Base_With Amendment_Aerated Static Pile</v>
      </c>
    </row>
    <row r="10271" spans="1:13" s="120" customFormat="1" x14ac:dyDescent="0.25">
      <c r="A10271" s="119"/>
      <c r="B10271" s="138" t="str">
        <f t="shared" si="863"/>
        <v>Aerated Static Pile</v>
      </c>
      <c r="C10271" s="138" t="str">
        <f t="shared" si="864"/>
        <v>Base_With Amendment</v>
      </c>
      <c r="D10271" s="138" t="str">
        <f t="shared" si="866"/>
        <v>High_Low</v>
      </c>
      <c r="E10271" s="138" t="str">
        <f t="shared" si="861"/>
        <v>Low</v>
      </c>
      <c r="F10271" s="138" t="str">
        <f t="shared" si="865"/>
        <v>Upgraded</v>
      </c>
      <c r="G10271" s="153"/>
      <c r="H10271" s="210">
        <v>0.16969999999999999</v>
      </c>
      <c r="I10271" s="160" t="s">
        <v>128</v>
      </c>
      <c r="J10271" s="160">
        <v>1.3509999999999999E-2</v>
      </c>
      <c r="K10271" s="160" t="s">
        <v>23</v>
      </c>
      <c r="L10271" s="154" t="str">
        <f>IF(OpenLCAbasic!K10271="CTUh", "Fill in Manually",IF(OR(K10271="Unit", K10271=""), "", INDEX(LookUps!$E$5:$E$12, MATCH(OpenLCAbasic!K10271,LookUps!$D$5:$D$12,0))))</f>
        <v>Global Warming Potential (GWP) - kg CO2 eq</v>
      </c>
      <c r="M10271" s="154" t="str">
        <f t="shared" si="862"/>
        <v>Low_High_Low_Upgraded_Global Warming Potential (GWP) - kg CO2 eq_Wastewater collection; operation and infrastructure; m3 wastewater_Base_With Amendment_Aerated Static Pile</v>
      </c>
    </row>
    <row r="10272" spans="1:13" s="120" customFormat="1" x14ac:dyDescent="0.25">
      <c r="A10272" s="119"/>
      <c r="B10272" s="138" t="str">
        <f t="shared" si="863"/>
        <v>Aerated Static Pile</v>
      </c>
      <c r="C10272" s="138" t="str">
        <f t="shared" si="864"/>
        <v>Base_With Amendment</v>
      </c>
      <c r="D10272" s="138" t="str">
        <f t="shared" si="866"/>
        <v>High_Low</v>
      </c>
      <c r="E10272" s="138" t="str">
        <f t="shared" si="861"/>
        <v>Low</v>
      </c>
      <c r="F10272" s="138" t="str">
        <f t="shared" si="865"/>
        <v>Upgraded</v>
      </c>
      <c r="G10272" s="153"/>
      <c r="H10272" s="210">
        <v>0.1042</v>
      </c>
      <c r="I10272" s="160" t="s">
        <v>148</v>
      </c>
      <c r="J10272" s="160">
        <v>8.3000000000000001E-3</v>
      </c>
      <c r="K10272" s="160" t="s">
        <v>23</v>
      </c>
      <c r="L10272" s="154" t="str">
        <f>IF(OpenLCAbasic!K10272="CTUh", "Fill in Manually",IF(OR(K10272="Unit", K10272=""), "", INDEX(LookUps!$E$5:$E$12, MATCH(OpenLCAbasic!K10272,LookUps!$D$5:$D$12,0))))</f>
        <v>Global Warming Potential (GWP) - kg CO2 eq</v>
      </c>
      <c r="M10272" s="154" t="str">
        <f t="shared" si="862"/>
        <v>Low_High_Low_Upgraded_Global Warming Potential (GWP) - kg CO2 eq_Control Building; at upgraded wastewater treatment plant - US_Base_With Amendment_Aerated Static Pile</v>
      </c>
    </row>
    <row r="10273" spans="1:13" s="120" customFormat="1" x14ac:dyDescent="0.25">
      <c r="A10273" s="119"/>
      <c r="B10273" s="138" t="str">
        <f t="shared" si="863"/>
        <v>Aerated Static Pile</v>
      </c>
      <c r="C10273" s="138" t="str">
        <f t="shared" si="864"/>
        <v>Base_With Amendment</v>
      </c>
      <c r="D10273" s="138" t="str">
        <f t="shared" si="866"/>
        <v>High_Low</v>
      </c>
      <c r="E10273" s="138" t="str">
        <f t="shared" si="861"/>
        <v>Low</v>
      </c>
      <c r="F10273" s="138" t="str">
        <f t="shared" si="865"/>
        <v>Upgraded</v>
      </c>
      <c r="G10273" s="153"/>
      <c r="H10273" s="210">
        <v>6.3399999999999998E-2</v>
      </c>
      <c r="I10273" s="160" t="s">
        <v>59</v>
      </c>
      <c r="J10273" s="160">
        <v>5.0400000000000002E-3</v>
      </c>
      <c r="K10273" s="160" t="s">
        <v>23</v>
      </c>
      <c r="L10273" s="154" t="str">
        <f>IF(OpenLCAbasic!K10273="CTUh", "Fill in Manually",IF(OR(K10273="Unit", K10273=""), "", INDEX(LookUps!$E$5:$E$12, MATCH(OpenLCAbasic!K10273,LookUps!$D$5:$D$12,0))))</f>
        <v>Global Warming Potential (GWP) - kg CO2 eq</v>
      </c>
      <c r="M10273" s="154" t="str">
        <f t="shared" si="862"/>
        <v>Low_High_Low_Upgraded_Global Warming Potential (GWP) - kg CO2 eq_Blend Tank; wastewater treatment unit; at updated plant - US_Base_With Amendment_Aerated Static Pile</v>
      </c>
    </row>
    <row r="10274" spans="1:13" s="120" customFormat="1" x14ac:dyDescent="0.25">
      <c r="A10274" s="119"/>
      <c r="B10274" s="138" t="str">
        <f t="shared" si="863"/>
        <v>Aerated Static Pile</v>
      </c>
      <c r="C10274" s="138" t="str">
        <f t="shared" si="864"/>
        <v>Base_With Amendment</v>
      </c>
      <c r="D10274" s="138" t="str">
        <f t="shared" si="866"/>
        <v>High_Low</v>
      </c>
      <c r="E10274" s="138" t="str">
        <f t="shared" si="861"/>
        <v>Low</v>
      </c>
      <c r="F10274" s="138" t="str">
        <f t="shared" si="865"/>
        <v>Upgraded</v>
      </c>
      <c r="G10274" s="153"/>
      <c r="H10274" s="210">
        <v>3.0300000000000001E-2</v>
      </c>
      <c r="I10274" s="160" t="s">
        <v>168</v>
      </c>
      <c r="J10274" s="160">
        <v>2.4099999999999998E-3</v>
      </c>
      <c r="K10274" s="160" t="s">
        <v>23</v>
      </c>
      <c r="L10274" s="154" t="str">
        <f>IF(OpenLCAbasic!K10274="CTUh", "Fill in Manually",IF(OR(K10274="Unit", K10274=""), "", INDEX(LookUps!$E$5:$E$12, MATCH(OpenLCAbasic!K10274,LookUps!$D$5:$D$12,0))))</f>
        <v>Global Warming Potential (GWP) - kg CO2 eq</v>
      </c>
      <c r="M10274" s="154" t="str">
        <f t="shared" si="862"/>
        <v>Low_High_Low_Upgraded_Global Warming Potential (GWP) - kg CO2 eq_ClearCove SCP; wastewater treatment unit; at updated plant - US_Base_With Amendment_Aerated Static Pile</v>
      </c>
    </row>
    <row r="10275" spans="1:13" s="120" customFormat="1" x14ac:dyDescent="0.25">
      <c r="A10275" s="119"/>
      <c r="B10275" s="138" t="str">
        <f t="shared" si="863"/>
        <v>Aerated Static Pile</v>
      </c>
      <c r="C10275" s="138" t="str">
        <f t="shared" si="864"/>
        <v>Base_With Amendment</v>
      </c>
      <c r="D10275" s="138" t="str">
        <f t="shared" si="866"/>
        <v>High_Low</v>
      </c>
      <c r="E10275" s="138" t="str">
        <f t="shared" si="861"/>
        <v>Low</v>
      </c>
      <c r="F10275" s="138" t="str">
        <f t="shared" si="865"/>
        <v>Upgraded</v>
      </c>
      <c r="G10275" s="153"/>
      <c r="H10275" s="210">
        <v>-2.1427</v>
      </c>
      <c r="I10275" s="160" t="s">
        <v>149</v>
      </c>
      <c r="J10275" s="160">
        <v>-0.17055999999999999</v>
      </c>
      <c r="K10275" s="160" t="s">
        <v>23</v>
      </c>
      <c r="L10275" s="154" t="str">
        <f>IF(OpenLCAbasic!K10275="CTUh", "Fill in Manually",IF(OR(K10275="Unit", K10275=""), "", INDEX(LookUps!$E$5:$E$12, MATCH(OpenLCAbasic!K10275,LookUps!$D$5:$D$12,0))))</f>
        <v>Global Warming Potential (GWP) - kg CO2 eq</v>
      </c>
      <c r="M10275" s="154" t="str">
        <f t="shared" si="862"/>
        <v>Low_High_Low_Upgraded_Global Warming Potential (GWP) - kg CO2 eq_Anaerobic Digestion; wastewater treatment unit; at updated plant - US_Base_With Amendment_Aerated Static Pile</v>
      </c>
    </row>
    <row r="10276" spans="1:13" s="120" customFormat="1" x14ac:dyDescent="0.25">
      <c r="A10276" s="119"/>
      <c r="B10276" s="138" t="str">
        <f t="shared" si="863"/>
        <v>Aerated Static Pile</v>
      </c>
      <c r="C10276" s="138" t="str">
        <f t="shared" si="864"/>
        <v>Base_With Amendment</v>
      </c>
      <c r="D10276" s="138" t="str">
        <f t="shared" si="866"/>
        <v>High_Low</v>
      </c>
      <c r="E10276" s="138" t="str">
        <f t="shared" si="861"/>
        <v>Low</v>
      </c>
      <c r="F10276" s="138" t="str">
        <f t="shared" si="865"/>
        <v>Upgraded</v>
      </c>
      <c r="G10276" s="153"/>
      <c r="H10276" s="210">
        <v>-12.41</v>
      </c>
      <c r="I10276" s="160" t="s">
        <v>62</v>
      </c>
      <c r="J10276" s="160">
        <v>-0.98782999999999999</v>
      </c>
      <c r="K10276" s="160" t="s">
        <v>23</v>
      </c>
      <c r="L10276" s="154" t="str">
        <f>IF(OpenLCAbasic!K10276="CTUh", "Fill in Manually",IF(OR(K10276="Unit", K10276=""), "", INDEX(LookUps!$E$5:$E$12, MATCH(OpenLCAbasic!K10276,LookUps!$D$5:$D$12,0))))</f>
        <v>Global Warming Potential (GWP) - kg CO2 eq</v>
      </c>
      <c r="M10276" s="154" t="str">
        <f t="shared" si="862"/>
        <v>Low_High_Low_Upgraded_Global Warming Potential (GWP) - kg CO2 eq_Land application of compost; wastewater treatment unit; at updated plant - US_Base_With Amendment_Aerated Static Pile</v>
      </c>
    </row>
    <row r="10277" spans="1:13" s="120" customFormat="1" x14ac:dyDescent="0.25">
      <c r="A10277" s="119"/>
      <c r="B10277" s="138" t="str">
        <f t="shared" si="863"/>
        <v/>
      </c>
      <c r="C10277" s="138" t="str">
        <f t="shared" si="864"/>
        <v/>
      </c>
      <c r="D10277" s="138" t="str">
        <f t="shared" si="866"/>
        <v/>
      </c>
      <c r="E10277" s="138" t="str">
        <f t="shared" si="861"/>
        <v/>
      </c>
      <c r="F10277" s="138" t="str">
        <f t="shared" si="865"/>
        <v/>
      </c>
      <c r="G10277" s="153" t="s">
        <v>51</v>
      </c>
      <c r="H10277" s="160"/>
      <c r="I10277" s="160" t="s">
        <v>47</v>
      </c>
      <c r="J10277" s="160" t="s">
        <v>52</v>
      </c>
      <c r="K10277" s="160" t="s">
        <v>27</v>
      </c>
      <c r="L10277" s="154" t="str">
        <f>IF(OpenLCAbasic!K10277="CTUh", "Fill in Manually",IF(OR(K10277="Unit", K10277=""), "", INDEX(LookUps!$E$5:$E$12, MATCH(OpenLCAbasic!K10277,LookUps!$D$5:$D$12,0))))</f>
        <v/>
      </c>
      <c r="M10277" s="154" t="str">
        <f t="shared" si="862"/>
        <v>____Process__</v>
      </c>
    </row>
    <row r="10278" spans="1:13" s="120" customFormat="1" x14ac:dyDescent="0.25">
      <c r="A10278" s="119"/>
      <c r="B10278" s="138" t="str">
        <f t="shared" si="863"/>
        <v>Aerated Static Pile</v>
      </c>
      <c r="C10278" s="138" t="str">
        <f t="shared" si="864"/>
        <v>Base_With Amendment</v>
      </c>
      <c r="D10278" s="138" t="str">
        <f t="shared" si="866"/>
        <v>High_Low</v>
      </c>
      <c r="E10278" s="138" t="str">
        <f t="shared" si="861"/>
        <v>Low</v>
      </c>
      <c r="F10278" s="138" t="str">
        <f t="shared" si="865"/>
        <v>Upgraded</v>
      </c>
      <c r="G10278" s="153"/>
      <c r="H10278" s="210">
        <v>0.43009999999999998</v>
      </c>
      <c r="I10278" s="160" t="s">
        <v>55</v>
      </c>
      <c r="J10278" s="160">
        <v>2.33E-3</v>
      </c>
      <c r="K10278" s="160" t="s">
        <v>145</v>
      </c>
      <c r="L10278" s="154" t="str">
        <f>IF(OpenLCAbasic!K10278="CTUh", "Fill in Manually",IF(OR(K10278="Unit", K10278=""), "", INDEX(LookUps!$E$5:$E$12, MATCH(OpenLCAbasic!K10278,LookUps!$D$5:$D$12,0))))</f>
        <v>Particulate Matter Formation Potential (PMFP) - kg PM2.5 eq</v>
      </c>
      <c r="M10278" s="154" t="str">
        <f t="shared" si="862"/>
        <v>Low_High_Low_Upgraded_Particulate Matter Formation Potential (PMFP) - kg PM2.5 eq_Aeration Tanks; wastewater treatment unit; at updated plant - US_Base_With Amendment_Aerated Static Pile</v>
      </c>
    </row>
    <row r="10279" spans="1:13" s="120" customFormat="1" x14ac:dyDescent="0.25">
      <c r="A10279" s="119"/>
      <c r="B10279" s="138" t="str">
        <f t="shared" si="863"/>
        <v>Aerated Static Pile</v>
      </c>
      <c r="C10279" s="138" t="str">
        <f t="shared" si="864"/>
        <v>Base_With Amendment</v>
      </c>
      <c r="D10279" s="138" t="str">
        <f t="shared" si="866"/>
        <v>High_Low</v>
      </c>
      <c r="E10279" s="138" t="str">
        <f t="shared" si="861"/>
        <v>Low</v>
      </c>
      <c r="F10279" s="138" t="str">
        <f t="shared" si="865"/>
        <v>Upgraded</v>
      </c>
      <c r="G10279" s="153"/>
      <c r="H10279" s="210">
        <v>0.32679999999999998</v>
      </c>
      <c r="I10279" s="160" t="s">
        <v>435</v>
      </c>
      <c r="J10279" s="160">
        <v>1.7700000000000001E-3</v>
      </c>
      <c r="K10279" s="160" t="s">
        <v>145</v>
      </c>
      <c r="L10279" s="154" t="str">
        <f>IF(OpenLCAbasic!K10279="CTUh", "Fill in Manually",IF(OR(K10279="Unit", K10279=""), "", INDEX(LookUps!$E$5:$E$12, MATCH(OpenLCAbasic!K10279,LookUps!$D$5:$D$12,0))))</f>
        <v>Particulate Matter Formation Potential (PMFP) - kg PM2.5 eq</v>
      </c>
      <c r="M10279" s="154" t="str">
        <f t="shared" si="862"/>
        <v>Low_High_Low_Upgraded_Particulate Matter Formation Potential (PMFP) - kg PM2.5 eq_Biosolids composting; aerated static pile; wastewater treatment unit; at updated plant - US_Base_With Amendment_Aerated Static Pile</v>
      </c>
    </row>
    <row r="10280" spans="1:13" s="120" customFormat="1" x14ac:dyDescent="0.25">
      <c r="A10280" s="119"/>
      <c r="B10280" s="138" t="str">
        <f t="shared" si="863"/>
        <v>Aerated Static Pile</v>
      </c>
      <c r="C10280" s="138" t="str">
        <f t="shared" si="864"/>
        <v>Base_With Amendment</v>
      </c>
      <c r="D10280" s="138" t="str">
        <f t="shared" si="866"/>
        <v>High_Low</v>
      </c>
      <c r="E10280" s="138" t="str">
        <f t="shared" si="861"/>
        <v>Low</v>
      </c>
      <c r="F10280" s="138" t="str">
        <f t="shared" si="865"/>
        <v>Upgraded</v>
      </c>
      <c r="G10280" s="153"/>
      <c r="H10280" s="210">
        <v>0.12520000000000001</v>
      </c>
      <c r="I10280" s="160" t="s">
        <v>54</v>
      </c>
      <c r="J10280" s="160">
        <v>6.8000000000000005E-4</v>
      </c>
      <c r="K10280" s="160" t="s">
        <v>145</v>
      </c>
      <c r="L10280" s="154" t="str">
        <f>IF(OpenLCAbasic!K10280="CTUh", "Fill in Manually",IF(OR(K10280="Unit", K10280=""), "", INDEX(LookUps!$E$5:$E$12, MATCH(OpenLCAbasic!K10280,LookUps!$D$5:$D$12,0))))</f>
        <v>Particulate Matter Formation Potential (PMFP) - kg PM2.5 eq</v>
      </c>
      <c r="M10280" s="154" t="str">
        <f t="shared" si="862"/>
        <v>Low_High_Low_Upgraded_Particulate Matter Formation Potential (PMFP) - kg PM2.5 eq_Clear Cove Primary Clarification; wastewater treatment unit; at updated plant - US_Base_With Amendment_Aerated Static Pile</v>
      </c>
    </row>
    <row r="10281" spans="1:13" s="120" customFormat="1" x14ac:dyDescent="0.25">
      <c r="A10281" s="119"/>
      <c r="B10281" s="138" t="str">
        <f t="shared" si="863"/>
        <v>Aerated Static Pile</v>
      </c>
      <c r="C10281" s="138" t="str">
        <f t="shared" si="864"/>
        <v>Base_With Amendment</v>
      </c>
      <c r="D10281" s="138" t="str">
        <f t="shared" si="866"/>
        <v>High_Low</v>
      </c>
      <c r="E10281" s="138" t="str">
        <f t="shared" ref="E10281:E10344" si="867">IF(ISNUMBER($J10281),"Low","")</f>
        <v>Low</v>
      </c>
      <c r="F10281" s="138" t="str">
        <f t="shared" si="865"/>
        <v>Upgraded</v>
      </c>
      <c r="G10281" s="153"/>
      <c r="H10281" s="210">
        <v>0.1089</v>
      </c>
      <c r="I10281" s="160" t="s">
        <v>58</v>
      </c>
      <c r="J10281" s="160">
        <v>5.9000000000000003E-4</v>
      </c>
      <c r="K10281" s="160" t="s">
        <v>145</v>
      </c>
      <c r="L10281" s="154" t="str">
        <f>IF(OpenLCAbasic!K10281="CTUh", "Fill in Manually",IF(OR(K10281="Unit", K10281=""), "", INDEX(LookUps!$E$5:$E$12, MATCH(OpenLCAbasic!K10281,LookUps!$D$5:$D$12,0))))</f>
        <v>Particulate Matter Formation Potential (PMFP) - kg PM2.5 eq</v>
      </c>
      <c r="M10281" s="154" t="str">
        <f t="shared" si="862"/>
        <v>Low_High_Low_Upgraded_Particulate Matter Formation Potential (PMFP) - kg PM2.5 eq_Pre-Anoxic &amp; Swing tank; wastewater treatment unit; at updated plant - US_Base_With Amendment_Aerated Static Pile</v>
      </c>
    </row>
    <row r="10282" spans="1:13" s="120" customFormat="1" x14ac:dyDescent="0.25">
      <c r="A10282" s="119"/>
      <c r="B10282" s="138" t="str">
        <f t="shared" si="863"/>
        <v>Aerated Static Pile</v>
      </c>
      <c r="C10282" s="138" t="str">
        <f t="shared" si="864"/>
        <v>Base_With Amendment</v>
      </c>
      <c r="D10282" s="138" t="str">
        <f t="shared" si="866"/>
        <v>High_Low</v>
      </c>
      <c r="E10282" s="138" t="str">
        <f t="shared" si="867"/>
        <v>Low</v>
      </c>
      <c r="F10282" s="138" t="str">
        <f t="shared" si="865"/>
        <v>Upgraded</v>
      </c>
      <c r="G10282" s="153"/>
      <c r="H10282" s="210">
        <v>8.5999999999999993E-2</v>
      </c>
      <c r="I10282" s="160" t="s">
        <v>53</v>
      </c>
      <c r="J10282" s="160">
        <v>4.6999999999999999E-4</v>
      </c>
      <c r="K10282" s="160" t="s">
        <v>145</v>
      </c>
      <c r="L10282" s="154" t="str">
        <f>IF(OpenLCAbasic!K10282="CTUh", "Fill in Manually",IF(OR(K10282="Unit", K10282=""), "", INDEX(LookUps!$E$5:$E$12, MATCH(OpenLCAbasic!K10282,LookUps!$D$5:$D$12,0))))</f>
        <v>Particulate Matter Formation Potential (PMFP) - kg PM2.5 eq</v>
      </c>
      <c r="M10282" s="154" t="str">
        <f t="shared" si="862"/>
        <v>Low_High_Low_Upgraded_Particulate Matter Formation Potential (PMFP) - kg PM2.5 eq_Wet Well and Sump Station; wastewater treatment unit; at updated plant - US_Base_With Amendment_Aerated Static Pile</v>
      </c>
    </row>
    <row r="10283" spans="1:13" s="120" customFormat="1" x14ac:dyDescent="0.25">
      <c r="A10283" s="119"/>
      <c r="B10283" s="138" t="str">
        <f t="shared" si="863"/>
        <v>Aerated Static Pile</v>
      </c>
      <c r="C10283" s="138" t="str">
        <f t="shared" si="864"/>
        <v>Base_With Amendment</v>
      </c>
      <c r="D10283" s="138" t="str">
        <f t="shared" si="866"/>
        <v>High_Low</v>
      </c>
      <c r="E10283" s="138" t="str">
        <f t="shared" si="867"/>
        <v>Low</v>
      </c>
      <c r="F10283" s="138" t="str">
        <f t="shared" si="865"/>
        <v>Upgraded</v>
      </c>
      <c r="G10283" s="153"/>
      <c r="H10283" s="210">
        <v>6.1100000000000002E-2</v>
      </c>
      <c r="I10283" s="160" t="s">
        <v>167</v>
      </c>
      <c r="J10283" s="160">
        <v>3.3E-4</v>
      </c>
      <c r="K10283" s="160" t="s">
        <v>145</v>
      </c>
      <c r="L10283" s="154" t="str">
        <f>IF(OpenLCAbasic!K10283="CTUh", "Fill in Manually",IF(OR(K10283="Unit", K10283=""), "", INDEX(LookUps!$E$5:$E$12, MATCH(OpenLCAbasic!K10283,LookUps!$D$5:$D$12,0))))</f>
        <v>Particulate Matter Formation Potential (PMFP) - kg PM2.5 eq</v>
      </c>
      <c r="M10283" s="154" t="str">
        <f t="shared" si="862"/>
        <v>Low_High_Low_Upgraded_Particulate Matter Formation Potential (PMFP) - kg PM2.5 eq_Waste Receiving and Holding; wastewater treatment unit; at updated plant - US_Base_With Amendment_Aerated Static Pile</v>
      </c>
    </row>
    <row r="10284" spans="1:13" s="120" customFormat="1" x14ac:dyDescent="0.25">
      <c r="A10284" s="119"/>
      <c r="B10284" s="138" t="str">
        <f t="shared" si="863"/>
        <v>Aerated Static Pile</v>
      </c>
      <c r="C10284" s="138" t="str">
        <f t="shared" si="864"/>
        <v>Base_With Amendment</v>
      </c>
      <c r="D10284" s="138" t="str">
        <f t="shared" si="866"/>
        <v>High_Low</v>
      </c>
      <c r="E10284" s="138" t="str">
        <f t="shared" si="867"/>
        <v>Low</v>
      </c>
      <c r="F10284" s="138" t="str">
        <f t="shared" si="865"/>
        <v>Upgraded</v>
      </c>
      <c r="G10284" s="153"/>
      <c r="H10284" s="210">
        <v>4.9200000000000001E-2</v>
      </c>
      <c r="I10284" s="160" t="s">
        <v>147</v>
      </c>
      <c r="J10284" s="160">
        <v>2.7E-4</v>
      </c>
      <c r="K10284" s="160" t="s">
        <v>145</v>
      </c>
      <c r="L10284" s="154" t="str">
        <f>IF(OpenLCAbasic!K10284="CTUh", "Fill in Manually",IF(OR(K10284="Unit", K10284=""), "", INDEX(LookUps!$E$5:$E$12, MATCH(OpenLCAbasic!K10284,LookUps!$D$5:$D$12,0))))</f>
        <v>Particulate Matter Formation Potential (PMFP) - kg PM2.5 eq</v>
      </c>
      <c r="M10284" s="154" t="str">
        <f t="shared" si="862"/>
        <v>Low_High_Low_Upgraded_Particulate Matter Formation Potential (PMFP) - kg PM2.5 eq_Influent Pump Station; wastewater treatment unit; at updated plant - US_Base_With Amendment_Aerated Static Pile</v>
      </c>
    </row>
    <row r="10285" spans="1:13" s="120" customFormat="1" x14ac:dyDescent="0.25">
      <c r="A10285" s="119"/>
      <c r="B10285" s="138" t="str">
        <f t="shared" si="863"/>
        <v>Aerated Static Pile</v>
      </c>
      <c r="C10285" s="138" t="str">
        <f t="shared" si="864"/>
        <v>Base_With Amendment</v>
      </c>
      <c r="D10285" s="138" t="str">
        <f t="shared" si="866"/>
        <v>High_Low</v>
      </c>
      <c r="E10285" s="138" t="str">
        <f t="shared" si="867"/>
        <v>Low</v>
      </c>
      <c r="F10285" s="138" t="str">
        <f t="shared" si="865"/>
        <v>Upgraded</v>
      </c>
      <c r="G10285" s="153"/>
      <c r="H10285" s="210">
        <v>4.19E-2</v>
      </c>
      <c r="I10285" s="160" t="s">
        <v>60</v>
      </c>
      <c r="J10285" s="160">
        <v>2.3000000000000001E-4</v>
      </c>
      <c r="K10285" s="160" t="s">
        <v>145</v>
      </c>
      <c r="L10285" s="154" t="str">
        <f>IF(OpenLCAbasic!K10285="CTUh", "Fill in Manually",IF(OR(K10285="Unit", K10285=""), "", INDEX(LookUps!$E$5:$E$12, MATCH(OpenLCAbasic!K10285,LookUps!$D$5:$D$12,0))))</f>
        <v>Particulate Matter Formation Potential (PMFP) - kg PM2.5 eq</v>
      </c>
      <c r="M10285" s="154" t="str">
        <f t="shared" si="862"/>
        <v>Low_High_Low_Upgraded_Particulate Matter Formation Potential (PMFP) - kg PM2.5 eq_Belt filter press; wastewater treatment unit; at updated plant - US_Base_With Amendment_Aerated Static Pile</v>
      </c>
    </row>
    <row r="10286" spans="1:13" s="120" customFormat="1" x14ac:dyDescent="0.25">
      <c r="A10286" s="119"/>
      <c r="B10286" s="138" t="str">
        <f t="shared" si="863"/>
        <v>Aerated Static Pile</v>
      </c>
      <c r="C10286" s="138" t="str">
        <f t="shared" si="864"/>
        <v>Base_With Amendment</v>
      </c>
      <c r="D10286" s="138" t="str">
        <f t="shared" si="866"/>
        <v>High_Low</v>
      </c>
      <c r="E10286" s="138" t="str">
        <f t="shared" si="867"/>
        <v>Low</v>
      </c>
      <c r="F10286" s="138" t="str">
        <f t="shared" si="865"/>
        <v>Upgraded</v>
      </c>
      <c r="G10286" s="153"/>
      <c r="H10286" s="210">
        <v>3.0700000000000002E-2</v>
      </c>
      <c r="I10286" s="160" t="s">
        <v>128</v>
      </c>
      <c r="J10286" s="160">
        <v>1.7000000000000001E-4</v>
      </c>
      <c r="K10286" s="160" t="s">
        <v>145</v>
      </c>
      <c r="L10286" s="154" t="str">
        <f>IF(OpenLCAbasic!K10286="CTUh", "Fill in Manually",IF(OR(K10286="Unit", K10286=""), "", INDEX(LookUps!$E$5:$E$12, MATCH(OpenLCAbasic!K10286,LookUps!$D$5:$D$12,0))))</f>
        <v>Particulate Matter Formation Potential (PMFP) - kg PM2.5 eq</v>
      </c>
      <c r="M10286" s="154" t="str">
        <f t="shared" si="862"/>
        <v>Low_High_Low_Upgraded_Particulate Matter Formation Potential (PMFP) - kg PM2.5 eq_Wastewater collection; operation and infrastructure; m3 wastewater_Base_With Amendment_Aerated Static Pile</v>
      </c>
    </row>
    <row r="10287" spans="1:13" s="120" customFormat="1" x14ac:dyDescent="0.25">
      <c r="A10287" s="119"/>
      <c r="B10287" s="138" t="str">
        <f t="shared" si="863"/>
        <v>Aerated Static Pile</v>
      </c>
      <c r="C10287" s="138" t="str">
        <f t="shared" si="864"/>
        <v>Base_With Amendment</v>
      </c>
      <c r="D10287" s="138" t="str">
        <f t="shared" si="866"/>
        <v>High_Low</v>
      </c>
      <c r="E10287" s="138" t="str">
        <f t="shared" si="867"/>
        <v>Low</v>
      </c>
      <c r="F10287" s="138" t="str">
        <f t="shared" si="865"/>
        <v>Upgraded</v>
      </c>
      <c r="G10287" s="153"/>
      <c r="H10287" s="210">
        <v>2.06E-2</v>
      </c>
      <c r="I10287" s="160" t="s">
        <v>62</v>
      </c>
      <c r="J10287" s="160">
        <v>1.1E-4</v>
      </c>
      <c r="K10287" s="160" t="s">
        <v>145</v>
      </c>
      <c r="L10287" s="154" t="str">
        <f>IF(OpenLCAbasic!K10287="CTUh", "Fill in Manually",IF(OR(K10287="Unit", K10287=""), "", INDEX(LookUps!$E$5:$E$12, MATCH(OpenLCAbasic!K10287,LookUps!$D$5:$D$12,0))))</f>
        <v>Particulate Matter Formation Potential (PMFP) - kg PM2.5 eq</v>
      </c>
      <c r="M10287" s="154" t="str">
        <f t="shared" si="862"/>
        <v>Low_High_Low_Upgraded_Particulate Matter Formation Potential (PMFP) - kg PM2.5 eq_Land application of compost; wastewater treatment unit; at updated plant - US_Base_With Amendment_Aerated Static Pile</v>
      </c>
    </row>
    <row r="10288" spans="1:13" s="120" customFormat="1" x14ac:dyDescent="0.25">
      <c r="A10288" s="119"/>
      <c r="B10288" s="138" t="str">
        <f t="shared" si="863"/>
        <v>Aerated Static Pile</v>
      </c>
      <c r="C10288" s="138" t="str">
        <f t="shared" si="864"/>
        <v>Base_With Amendment</v>
      </c>
      <c r="D10288" s="138" t="str">
        <f t="shared" si="866"/>
        <v>High_Low</v>
      </c>
      <c r="E10288" s="138" t="str">
        <f t="shared" si="867"/>
        <v>Low</v>
      </c>
      <c r="F10288" s="138" t="str">
        <f t="shared" si="865"/>
        <v>Upgraded</v>
      </c>
      <c r="G10288" s="153"/>
      <c r="H10288" s="210">
        <v>1.7500000000000002E-2</v>
      </c>
      <c r="I10288" s="160" t="s">
        <v>57</v>
      </c>
      <c r="J10288" s="211">
        <v>9.5153800000000004E-5</v>
      </c>
      <c r="K10288" s="160" t="s">
        <v>145</v>
      </c>
      <c r="L10288" s="154" t="str">
        <f>IF(OpenLCAbasic!K10288="CTUh", "Fill in Manually",IF(OR(K10288="Unit", K10288=""), "", INDEX(LookUps!$E$5:$E$12, MATCH(OpenLCAbasic!K10288,LookUps!$D$5:$D$12,0))))</f>
        <v>Particulate Matter Formation Potential (PMFP) - kg PM2.5 eq</v>
      </c>
      <c r="M10288" s="154" t="str">
        <f t="shared" si="862"/>
        <v>Low_High_Low_Upgraded_Particulate Matter Formation Potential (PMFP) - kg PM2.5 eq_Gravity Belt Thickener; wastewater treatment unit; at updated plant - US_Base_With Amendment_Aerated Static Pile</v>
      </c>
    </row>
    <row r="10289" spans="1:13" s="120" customFormat="1" x14ac:dyDescent="0.25">
      <c r="A10289" s="119"/>
      <c r="B10289" s="138" t="str">
        <f t="shared" si="863"/>
        <v>Aerated Static Pile</v>
      </c>
      <c r="C10289" s="138" t="str">
        <f t="shared" si="864"/>
        <v>Base_With Amendment</v>
      </c>
      <c r="D10289" s="138" t="str">
        <f t="shared" si="866"/>
        <v>High_Low</v>
      </c>
      <c r="E10289" s="138" t="str">
        <f t="shared" si="867"/>
        <v>Low</v>
      </c>
      <c r="F10289" s="138" t="str">
        <f t="shared" si="865"/>
        <v>Upgraded</v>
      </c>
      <c r="G10289" s="153"/>
      <c r="H10289" s="210">
        <v>1.29E-2</v>
      </c>
      <c r="I10289" s="160" t="s">
        <v>59</v>
      </c>
      <c r="J10289" s="211">
        <v>6.9942200000000003E-5</v>
      </c>
      <c r="K10289" s="160" t="s">
        <v>145</v>
      </c>
      <c r="L10289" s="154" t="str">
        <f>IF(OpenLCAbasic!K10289="CTUh", "Fill in Manually",IF(OR(K10289="Unit", K10289=""), "", INDEX(LookUps!$E$5:$E$12, MATCH(OpenLCAbasic!K10289,LookUps!$D$5:$D$12,0))))</f>
        <v>Particulate Matter Formation Potential (PMFP) - kg PM2.5 eq</v>
      </c>
      <c r="M10289" s="154" t="str">
        <f t="shared" si="862"/>
        <v>Low_High_Low_Upgraded_Particulate Matter Formation Potential (PMFP) - kg PM2.5 eq_Blend Tank; wastewater treatment unit; at updated plant - US_Base_With Amendment_Aerated Static Pile</v>
      </c>
    </row>
    <row r="10290" spans="1:13" s="120" customFormat="1" x14ac:dyDescent="0.25">
      <c r="A10290" s="119"/>
      <c r="B10290" s="138" t="str">
        <f t="shared" si="863"/>
        <v>Aerated Static Pile</v>
      </c>
      <c r="C10290" s="138" t="str">
        <f t="shared" si="864"/>
        <v>Base_With Amendment</v>
      </c>
      <c r="D10290" s="138" t="str">
        <f t="shared" si="866"/>
        <v>High_Low</v>
      </c>
      <c r="E10290" s="138" t="str">
        <f t="shared" si="867"/>
        <v>Low</v>
      </c>
      <c r="F10290" s="138" t="str">
        <f t="shared" si="865"/>
        <v>Upgraded</v>
      </c>
      <c r="G10290" s="153"/>
      <c r="H10290" s="210">
        <v>9.1999999999999998E-3</v>
      </c>
      <c r="I10290" s="160" t="s">
        <v>48</v>
      </c>
      <c r="J10290" s="211">
        <v>4.99741E-5</v>
      </c>
      <c r="K10290" s="160" t="s">
        <v>145</v>
      </c>
      <c r="L10290" s="154" t="str">
        <f>IF(OpenLCAbasic!K10290="CTUh", "Fill in Manually",IF(OR(K10290="Unit", K10290=""), "", INDEX(LookUps!$E$5:$E$12, MATCH(OpenLCAbasic!K10290,LookUps!$D$5:$D$12,0))))</f>
        <v>Particulate Matter Formation Potential (PMFP) - kg PM2.5 eq</v>
      </c>
      <c r="M10290" s="154" t="str">
        <f t="shared" si="862"/>
        <v>Low_High_Low_Upgraded_Particulate Matter Formation Potential (PMFP) - kg PM2.5 eq_Effluent release; wastewater treatment unit; at surface water; m3 wastewater - US_Base_With Amendment_Aerated Static Pile</v>
      </c>
    </row>
    <row r="10291" spans="1:13" s="120" customFormat="1" x14ac:dyDescent="0.25">
      <c r="A10291" s="119"/>
      <c r="B10291" s="138" t="str">
        <f t="shared" si="863"/>
        <v>Aerated Static Pile</v>
      </c>
      <c r="C10291" s="138" t="str">
        <f t="shared" si="864"/>
        <v>Base_With Amendment</v>
      </c>
      <c r="D10291" s="138" t="str">
        <f t="shared" si="866"/>
        <v>High_Low</v>
      </c>
      <c r="E10291" s="138" t="str">
        <f t="shared" si="867"/>
        <v>Low</v>
      </c>
      <c r="F10291" s="138" t="str">
        <f t="shared" si="865"/>
        <v>Upgraded</v>
      </c>
      <c r="G10291" s="153"/>
      <c r="H10291" s="210">
        <v>6.4000000000000003E-3</v>
      </c>
      <c r="I10291" s="160" t="s">
        <v>168</v>
      </c>
      <c r="J10291" s="211">
        <v>3.4562199999999999E-5</v>
      </c>
      <c r="K10291" s="160" t="s">
        <v>145</v>
      </c>
      <c r="L10291" s="154" t="str">
        <f>IF(OpenLCAbasic!K10291="CTUh", "Fill in Manually",IF(OR(K10291="Unit", K10291=""), "", INDEX(LookUps!$E$5:$E$12, MATCH(OpenLCAbasic!K10291,LookUps!$D$5:$D$12,0))))</f>
        <v>Particulate Matter Formation Potential (PMFP) - kg PM2.5 eq</v>
      </c>
      <c r="M10291" s="154" t="str">
        <f t="shared" ref="M10291:M10354" si="868">CONCATENATE(E10291,"_",D10291,"_",F10291,"_",L10291, "_",I10291,"_", C10291,"_", B10291)</f>
        <v>Low_High_Low_Upgraded_Particulate Matter Formation Potential (PMFP) - kg PM2.5 eq_ClearCove SCP; wastewater treatment unit; at updated plant - US_Base_With Amendment_Aerated Static Pile</v>
      </c>
    </row>
    <row r="10292" spans="1:13" s="120" customFormat="1" x14ac:dyDescent="0.25">
      <c r="A10292" s="119"/>
      <c r="B10292" s="138" t="str">
        <f t="shared" si="863"/>
        <v>Aerated Static Pile</v>
      </c>
      <c r="C10292" s="138" t="str">
        <f t="shared" si="864"/>
        <v>Base_With Amendment</v>
      </c>
      <c r="D10292" s="138" t="str">
        <f t="shared" si="866"/>
        <v>High_Low</v>
      </c>
      <c r="E10292" s="138" t="str">
        <f t="shared" si="867"/>
        <v>Low</v>
      </c>
      <c r="F10292" s="138" t="str">
        <f t="shared" si="865"/>
        <v>Upgraded</v>
      </c>
      <c r="G10292" s="153"/>
      <c r="H10292" s="210">
        <v>1.6000000000000001E-3</v>
      </c>
      <c r="I10292" s="160" t="s">
        <v>148</v>
      </c>
      <c r="J10292" s="211">
        <v>8.8212999999999997E-6</v>
      </c>
      <c r="K10292" s="160" t="s">
        <v>145</v>
      </c>
      <c r="L10292" s="154" t="str">
        <f>IF(OpenLCAbasic!K10292="CTUh", "Fill in Manually",IF(OR(K10292="Unit", K10292=""), "", INDEX(LookUps!$E$5:$E$12, MATCH(OpenLCAbasic!K10292,LookUps!$D$5:$D$12,0))))</f>
        <v>Particulate Matter Formation Potential (PMFP) - kg PM2.5 eq</v>
      </c>
      <c r="M10292" s="154" t="str">
        <f t="shared" si="868"/>
        <v>Low_High_Low_Upgraded_Particulate Matter Formation Potential (PMFP) - kg PM2.5 eq_Control Building; at upgraded wastewater treatment plant - US_Base_With Amendment_Aerated Static Pile</v>
      </c>
    </row>
    <row r="10293" spans="1:13" s="120" customFormat="1" x14ac:dyDescent="0.25">
      <c r="A10293" s="119"/>
      <c r="B10293" s="138" t="str">
        <f t="shared" si="863"/>
        <v>Aerated Static Pile</v>
      </c>
      <c r="C10293" s="138" t="str">
        <f t="shared" si="864"/>
        <v>Base_With Amendment</v>
      </c>
      <c r="D10293" s="138" t="str">
        <f t="shared" si="866"/>
        <v>High_Low</v>
      </c>
      <c r="E10293" s="138" t="str">
        <f t="shared" si="867"/>
        <v>Low</v>
      </c>
      <c r="F10293" s="138" t="str">
        <f t="shared" si="865"/>
        <v>Upgraded</v>
      </c>
      <c r="G10293" s="153"/>
      <c r="H10293" s="210">
        <v>-0.32819999999999999</v>
      </c>
      <c r="I10293" s="160" t="s">
        <v>149</v>
      </c>
      <c r="J10293" s="160">
        <v>-1.7799999999999999E-3</v>
      </c>
      <c r="K10293" s="160" t="s">
        <v>145</v>
      </c>
      <c r="L10293" s="154" t="str">
        <f>IF(OpenLCAbasic!K10293="CTUh", "Fill in Manually",IF(OR(K10293="Unit", K10293=""), "", INDEX(LookUps!$E$5:$E$12, MATCH(OpenLCAbasic!K10293,LookUps!$D$5:$D$12,0))))</f>
        <v>Particulate Matter Formation Potential (PMFP) - kg PM2.5 eq</v>
      </c>
      <c r="M10293" s="154" t="str">
        <f t="shared" si="868"/>
        <v>Low_High_Low_Upgraded_Particulate Matter Formation Potential (PMFP) - kg PM2.5 eq_Anaerobic Digestion; wastewater treatment unit; at updated plant - US_Base_With Amendment_Aerated Static Pile</v>
      </c>
    </row>
    <row r="10294" spans="1:13" s="120" customFormat="1" x14ac:dyDescent="0.25">
      <c r="A10294" s="119"/>
      <c r="B10294" s="138" t="str">
        <f t="shared" si="863"/>
        <v/>
      </c>
      <c r="C10294" s="138" t="str">
        <f t="shared" si="864"/>
        <v/>
      </c>
      <c r="D10294" s="138" t="str">
        <f t="shared" si="866"/>
        <v/>
      </c>
      <c r="E10294" s="138" t="str">
        <f t="shared" si="867"/>
        <v/>
      </c>
      <c r="F10294" s="138" t="str">
        <f t="shared" si="865"/>
        <v/>
      </c>
      <c r="G10294" s="153" t="s">
        <v>51</v>
      </c>
      <c r="H10294" s="160"/>
      <c r="I10294" s="160" t="s">
        <v>47</v>
      </c>
      <c r="J10294" s="160" t="s">
        <v>52</v>
      </c>
      <c r="K10294" s="160" t="s">
        <v>27</v>
      </c>
      <c r="L10294" s="154" t="str">
        <f>IF(OpenLCAbasic!K10294="CTUh", "Fill in Manually",IF(OR(K10294="Unit", K10294=""), "", INDEX(LookUps!$E$5:$E$12, MATCH(OpenLCAbasic!K10294,LookUps!$D$5:$D$12,0))))</f>
        <v/>
      </c>
      <c r="M10294" s="154" t="str">
        <f t="shared" si="868"/>
        <v>____Process__</v>
      </c>
    </row>
    <row r="10295" spans="1:13" s="120" customFormat="1" x14ac:dyDescent="0.25">
      <c r="A10295" s="119"/>
      <c r="B10295" s="138" t="str">
        <f t="shared" si="863"/>
        <v>Aerated Static Pile</v>
      </c>
      <c r="C10295" s="138" t="str">
        <f t="shared" si="864"/>
        <v>Base_With Amendment</v>
      </c>
      <c r="D10295" s="138" t="str">
        <f t="shared" si="866"/>
        <v>High_Low</v>
      </c>
      <c r="E10295" s="138" t="str">
        <f t="shared" si="867"/>
        <v>Low</v>
      </c>
      <c r="F10295" s="138" t="str">
        <f t="shared" si="865"/>
        <v>Upgraded</v>
      </c>
      <c r="G10295" s="153"/>
      <c r="H10295" s="210">
        <v>0.4355</v>
      </c>
      <c r="I10295" s="160" t="s">
        <v>55</v>
      </c>
      <c r="J10295" s="160">
        <v>0.16577</v>
      </c>
      <c r="K10295" s="160" t="s">
        <v>25</v>
      </c>
      <c r="L10295" s="154" t="str">
        <f>IF(OpenLCAbasic!K10295="CTUh", "Fill in Manually",IF(OR(K10295="Unit", K10295=""), "", INDEX(LookUps!$E$5:$E$12, MATCH(OpenLCAbasic!K10295,LookUps!$D$5:$D$12,0))))</f>
        <v>Smog Formation Potential (SFP) - kg O3 eq</v>
      </c>
      <c r="M10295" s="154" t="str">
        <f t="shared" si="868"/>
        <v>Low_High_Low_Upgraded_Smog Formation Potential (SFP) - kg O3 eq_Aeration Tanks; wastewater treatment unit; at updated plant - US_Base_With Amendment_Aerated Static Pile</v>
      </c>
    </row>
    <row r="10296" spans="1:13" s="120" customFormat="1" x14ac:dyDescent="0.25">
      <c r="A10296" s="119"/>
      <c r="B10296" s="138" t="str">
        <f t="shared" si="863"/>
        <v>Aerated Static Pile</v>
      </c>
      <c r="C10296" s="138" t="str">
        <f t="shared" si="864"/>
        <v>Base_With Amendment</v>
      </c>
      <c r="D10296" s="138" t="str">
        <f t="shared" si="866"/>
        <v>High_Low</v>
      </c>
      <c r="E10296" s="138" t="str">
        <f t="shared" si="867"/>
        <v>Low</v>
      </c>
      <c r="F10296" s="138" t="str">
        <f t="shared" si="865"/>
        <v>Upgraded</v>
      </c>
      <c r="G10296" s="153"/>
      <c r="H10296" s="210">
        <v>0.33079999999999998</v>
      </c>
      <c r="I10296" s="160" t="s">
        <v>435</v>
      </c>
      <c r="J10296" s="160">
        <v>0.12592999999999999</v>
      </c>
      <c r="K10296" s="160" t="s">
        <v>25</v>
      </c>
      <c r="L10296" s="154" t="str">
        <f>IF(OpenLCAbasic!K10296="CTUh", "Fill in Manually",IF(OR(K10296="Unit", K10296=""), "", INDEX(LookUps!$E$5:$E$12, MATCH(OpenLCAbasic!K10296,LookUps!$D$5:$D$12,0))))</f>
        <v>Smog Formation Potential (SFP) - kg O3 eq</v>
      </c>
      <c r="M10296" s="154" t="str">
        <f t="shared" si="868"/>
        <v>Low_High_Low_Upgraded_Smog Formation Potential (SFP) - kg O3 eq_Biosolids composting; aerated static pile; wastewater treatment unit; at updated plant - US_Base_With Amendment_Aerated Static Pile</v>
      </c>
    </row>
    <row r="10297" spans="1:13" s="120" customFormat="1" x14ac:dyDescent="0.25">
      <c r="A10297" s="119"/>
      <c r="B10297" s="138" t="str">
        <f t="shared" ref="B10297:B10360" si="869">IF(F10297="Legacy","n.a.",IF(F10297="","","Aerated Static Pile"))</f>
        <v>Aerated Static Pile</v>
      </c>
      <c r="C10297" s="138" t="str">
        <f t="shared" ref="C10297:C10360" si="870">IF(ISNUMBER($J10297),"Base_With Amendment","")</f>
        <v>Base_With Amendment</v>
      </c>
      <c r="D10297" s="138" t="str">
        <f t="shared" si="866"/>
        <v>High_Low</v>
      </c>
      <c r="E10297" s="138" t="str">
        <f t="shared" si="867"/>
        <v>Low</v>
      </c>
      <c r="F10297" s="138" t="str">
        <f t="shared" ref="F10297:F10360" si="871">IF(ISNUMBER(J10297),"Upgraded","")</f>
        <v>Upgraded</v>
      </c>
      <c r="G10297" s="153"/>
      <c r="H10297" s="210">
        <v>0.1263</v>
      </c>
      <c r="I10297" s="160" t="s">
        <v>54</v>
      </c>
      <c r="J10297" s="160">
        <v>4.8070000000000002E-2</v>
      </c>
      <c r="K10297" s="160" t="s">
        <v>25</v>
      </c>
      <c r="L10297" s="154" t="str">
        <f>IF(OpenLCAbasic!K10297="CTUh", "Fill in Manually",IF(OR(K10297="Unit", K10297=""), "", INDEX(LookUps!$E$5:$E$12, MATCH(OpenLCAbasic!K10297,LookUps!$D$5:$D$12,0))))</f>
        <v>Smog Formation Potential (SFP) - kg O3 eq</v>
      </c>
      <c r="M10297" s="154" t="str">
        <f t="shared" si="868"/>
        <v>Low_High_Low_Upgraded_Smog Formation Potential (SFP) - kg O3 eq_Clear Cove Primary Clarification; wastewater treatment unit; at updated plant - US_Base_With Amendment_Aerated Static Pile</v>
      </c>
    </row>
    <row r="10298" spans="1:13" s="120" customFormat="1" x14ac:dyDescent="0.25">
      <c r="A10298" s="119"/>
      <c r="B10298" s="138" t="str">
        <f t="shared" si="869"/>
        <v>Aerated Static Pile</v>
      </c>
      <c r="C10298" s="138" t="str">
        <f t="shared" si="870"/>
        <v>Base_With Amendment</v>
      </c>
      <c r="D10298" s="138" t="str">
        <f t="shared" si="866"/>
        <v>High_Low</v>
      </c>
      <c r="E10298" s="138" t="str">
        <f t="shared" si="867"/>
        <v>Low</v>
      </c>
      <c r="F10298" s="138" t="str">
        <f t="shared" si="871"/>
        <v>Upgraded</v>
      </c>
      <c r="G10298" s="153"/>
      <c r="H10298" s="210">
        <v>0.1106</v>
      </c>
      <c r="I10298" s="160" t="s">
        <v>58</v>
      </c>
      <c r="J10298" s="160">
        <v>4.2090000000000002E-2</v>
      </c>
      <c r="K10298" s="160" t="s">
        <v>25</v>
      </c>
      <c r="L10298" s="154" t="str">
        <f>IF(OpenLCAbasic!K10298="CTUh", "Fill in Manually",IF(OR(K10298="Unit", K10298=""), "", INDEX(LookUps!$E$5:$E$12, MATCH(OpenLCAbasic!K10298,LookUps!$D$5:$D$12,0))))</f>
        <v>Smog Formation Potential (SFP) - kg O3 eq</v>
      </c>
      <c r="M10298" s="154" t="str">
        <f t="shared" si="868"/>
        <v>Low_High_Low_Upgraded_Smog Formation Potential (SFP) - kg O3 eq_Pre-Anoxic &amp; Swing tank; wastewater treatment unit; at updated plant - US_Base_With Amendment_Aerated Static Pile</v>
      </c>
    </row>
    <row r="10299" spans="1:13" s="120" customFormat="1" x14ac:dyDescent="0.25">
      <c r="A10299" s="119"/>
      <c r="B10299" s="138" t="str">
        <f t="shared" si="869"/>
        <v>Aerated Static Pile</v>
      </c>
      <c r="C10299" s="138" t="str">
        <f t="shared" si="870"/>
        <v>Base_With Amendment</v>
      </c>
      <c r="D10299" s="138" t="str">
        <f t="shared" si="866"/>
        <v>High_Low</v>
      </c>
      <c r="E10299" s="138" t="str">
        <f t="shared" si="867"/>
        <v>Low</v>
      </c>
      <c r="F10299" s="138" t="str">
        <f t="shared" si="871"/>
        <v>Upgraded</v>
      </c>
      <c r="G10299" s="153"/>
      <c r="H10299" s="210">
        <v>8.8700000000000001E-2</v>
      </c>
      <c r="I10299" s="160" t="s">
        <v>167</v>
      </c>
      <c r="J10299" s="160">
        <v>3.3759999999999998E-2</v>
      </c>
      <c r="K10299" s="160" t="s">
        <v>25</v>
      </c>
      <c r="L10299" s="154" t="str">
        <f>IF(OpenLCAbasic!K10299="CTUh", "Fill in Manually",IF(OR(K10299="Unit", K10299=""), "", INDEX(LookUps!$E$5:$E$12, MATCH(OpenLCAbasic!K10299,LookUps!$D$5:$D$12,0))))</f>
        <v>Smog Formation Potential (SFP) - kg O3 eq</v>
      </c>
      <c r="M10299" s="154" t="str">
        <f t="shared" si="868"/>
        <v>Low_High_Low_Upgraded_Smog Formation Potential (SFP) - kg O3 eq_Waste Receiving and Holding; wastewater treatment unit; at updated plant - US_Base_With Amendment_Aerated Static Pile</v>
      </c>
    </row>
    <row r="10300" spans="1:13" s="120" customFormat="1" x14ac:dyDescent="0.25">
      <c r="A10300" s="119"/>
      <c r="B10300" s="138" t="str">
        <f t="shared" si="869"/>
        <v>Aerated Static Pile</v>
      </c>
      <c r="C10300" s="138" t="str">
        <f t="shared" si="870"/>
        <v>Base_With Amendment</v>
      </c>
      <c r="D10300" s="138" t="str">
        <f t="shared" si="866"/>
        <v>High_Low</v>
      </c>
      <c r="E10300" s="138" t="str">
        <f t="shared" si="867"/>
        <v>Low</v>
      </c>
      <c r="F10300" s="138" t="str">
        <f t="shared" si="871"/>
        <v>Upgraded</v>
      </c>
      <c r="G10300" s="153"/>
      <c r="H10300" s="210">
        <v>8.6999999999999994E-2</v>
      </c>
      <c r="I10300" s="160" t="s">
        <v>53</v>
      </c>
      <c r="J10300" s="160">
        <v>3.313E-2</v>
      </c>
      <c r="K10300" s="160" t="s">
        <v>25</v>
      </c>
      <c r="L10300" s="154" t="str">
        <f>IF(OpenLCAbasic!K10300="CTUh", "Fill in Manually",IF(OR(K10300="Unit", K10300=""), "", INDEX(LookUps!$E$5:$E$12, MATCH(OpenLCAbasic!K10300,LookUps!$D$5:$D$12,0))))</f>
        <v>Smog Formation Potential (SFP) - kg O3 eq</v>
      </c>
      <c r="M10300" s="154" t="str">
        <f t="shared" si="868"/>
        <v>Low_High_Low_Upgraded_Smog Formation Potential (SFP) - kg O3 eq_Wet Well and Sump Station; wastewater treatment unit; at updated plant - US_Base_With Amendment_Aerated Static Pile</v>
      </c>
    </row>
    <row r="10301" spans="1:13" s="120" customFormat="1" x14ac:dyDescent="0.25">
      <c r="A10301" s="119"/>
      <c r="B10301" s="138" t="str">
        <f t="shared" si="869"/>
        <v>Aerated Static Pile</v>
      </c>
      <c r="C10301" s="138" t="str">
        <f t="shared" si="870"/>
        <v>Base_With Amendment</v>
      </c>
      <c r="D10301" s="138" t="str">
        <f t="shared" si="866"/>
        <v>High_Low</v>
      </c>
      <c r="E10301" s="138" t="str">
        <f t="shared" si="867"/>
        <v>Low</v>
      </c>
      <c r="F10301" s="138" t="str">
        <f t="shared" si="871"/>
        <v>Upgraded</v>
      </c>
      <c r="G10301" s="153"/>
      <c r="H10301" s="210">
        <v>5.0999999999999997E-2</v>
      </c>
      <c r="I10301" s="160" t="s">
        <v>147</v>
      </c>
      <c r="J10301" s="160">
        <v>1.9400000000000001E-2</v>
      </c>
      <c r="K10301" s="160" t="s">
        <v>25</v>
      </c>
      <c r="L10301" s="154" t="str">
        <f>IF(OpenLCAbasic!K10301="CTUh", "Fill in Manually",IF(OR(K10301="Unit", K10301=""), "", INDEX(LookUps!$E$5:$E$12, MATCH(OpenLCAbasic!K10301,LookUps!$D$5:$D$12,0))))</f>
        <v>Smog Formation Potential (SFP) - kg O3 eq</v>
      </c>
      <c r="M10301" s="154" t="str">
        <f t="shared" si="868"/>
        <v>Low_High_Low_Upgraded_Smog Formation Potential (SFP) - kg O3 eq_Influent Pump Station; wastewater treatment unit; at updated plant - US_Base_With Amendment_Aerated Static Pile</v>
      </c>
    </row>
    <row r="10302" spans="1:13" s="120" customFormat="1" x14ac:dyDescent="0.25">
      <c r="A10302" s="119"/>
      <c r="B10302" s="138" t="str">
        <f t="shared" si="869"/>
        <v>Aerated Static Pile</v>
      </c>
      <c r="C10302" s="138" t="str">
        <f t="shared" si="870"/>
        <v>Base_With Amendment</v>
      </c>
      <c r="D10302" s="138" t="str">
        <f t="shared" si="866"/>
        <v>High_Low</v>
      </c>
      <c r="E10302" s="138" t="str">
        <f t="shared" si="867"/>
        <v>Low</v>
      </c>
      <c r="F10302" s="138" t="str">
        <f t="shared" si="871"/>
        <v>Upgraded</v>
      </c>
      <c r="G10302" s="153"/>
      <c r="H10302" s="210">
        <v>4.2000000000000003E-2</v>
      </c>
      <c r="I10302" s="160" t="s">
        <v>60</v>
      </c>
      <c r="J10302" s="160">
        <v>1.5990000000000001E-2</v>
      </c>
      <c r="K10302" s="160" t="s">
        <v>25</v>
      </c>
      <c r="L10302" s="154" t="str">
        <f>IF(OpenLCAbasic!K10302="CTUh", "Fill in Manually",IF(OR(K10302="Unit", K10302=""), "", INDEX(LookUps!$E$5:$E$12, MATCH(OpenLCAbasic!K10302,LookUps!$D$5:$D$12,0))))</f>
        <v>Smog Formation Potential (SFP) - kg O3 eq</v>
      </c>
      <c r="M10302" s="154" t="str">
        <f t="shared" si="868"/>
        <v>Low_High_Low_Upgraded_Smog Formation Potential (SFP) - kg O3 eq_Belt filter press; wastewater treatment unit; at updated plant - US_Base_With Amendment_Aerated Static Pile</v>
      </c>
    </row>
    <row r="10303" spans="1:13" s="120" customFormat="1" x14ac:dyDescent="0.25">
      <c r="A10303" s="119"/>
      <c r="B10303" s="138" t="str">
        <f t="shared" si="869"/>
        <v>Aerated Static Pile</v>
      </c>
      <c r="C10303" s="138" t="str">
        <f t="shared" si="870"/>
        <v>Base_With Amendment</v>
      </c>
      <c r="D10303" s="138" t="str">
        <f t="shared" si="866"/>
        <v>High_Low</v>
      </c>
      <c r="E10303" s="138" t="str">
        <f t="shared" si="867"/>
        <v>Low</v>
      </c>
      <c r="F10303" s="138" t="str">
        <f t="shared" si="871"/>
        <v>Upgraded</v>
      </c>
      <c r="G10303" s="153"/>
      <c r="H10303" s="210">
        <v>3.1300000000000001E-2</v>
      </c>
      <c r="I10303" s="160" t="s">
        <v>128</v>
      </c>
      <c r="J10303" s="160">
        <v>1.192E-2</v>
      </c>
      <c r="K10303" s="160" t="s">
        <v>25</v>
      </c>
      <c r="L10303" s="154" t="str">
        <f>IF(OpenLCAbasic!K10303="CTUh", "Fill in Manually",IF(OR(K10303="Unit", K10303=""), "", INDEX(LookUps!$E$5:$E$12, MATCH(OpenLCAbasic!K10303,LookUps!$D$5:$D$12,0))))</f>
        <v>Smog Formation Potential (SFP) - kg O3 eq</v>
      </c>
      <c r="M10303" s="154" t="str">
        <f t="shared" si="868"/>
        <v>Low_High_Low_Upgraded_Smog Formation Potential (SFP) - kg O3 eq_Wastewater collection; operation and infrastructure; m3 wastewater_Base_With Amendment_Aerated Static Pile</v>
      </c>
    </row>
    <row r="10304" spans="1:13" s="120" customFormat="1" x14ac:dyDescent="0.25">
      <c r="A10304" s="119"/>
      <c r="B10304" s="138" t="str">
        <f t="shared" si="869"/>
        <v>Aerated Static Pile</v>
      </c>
      <c r="C10304" s="138" t="str">
        <f t="shared" si="870"/>
        <v>Base_With Amendment</v>
      </c>
      <c r="D10304" s="138" t="str">
        <f t="shared" si="866"/>
        <v>High_Low</v>
      </c>
      <c r="E10304" s="138" t="str">
        <f t="shared" si="867"/>
        <v>Low</v>
      </c>
      <c r="F10304" s="138" t="str">
        <f t="shared" si="871"/>
        <v>Upgraded</v>
      </c>
      <c r="G10304" s="153"/>
      <c r="H10304" s="210">
        <v>1.7500000000000002E-2</v>
      </c>
      <c r="I10304" s="160" t="s">
        <v>57</v>
      </c>
      <c r="J10304" s="160">
        <v>6.6499999999999997E-3</v>
      </c>
      <c r="K10304" s="160" t="s">
        <v>25</v>
      </c>
      <c r="L10304" s="154" t="str">
        <f>IF(OpenLCAbasic!K10304="CTUh", "Fill in Manually",IF(OR(K10304="Unit", K10304=""), "", INDEX(LookUps!$E$5:$E$12, MATCH(OpenLCAbasic!K10304,LookUps!$D$5:$D$12,0))))</f>
        <v>Smog Formation Potential (SFP) - kg O3 eq</v>
      </c>
      <c r="M10304" s="154" t="str">
        <f t="shared" si="868"/>
        <v>Low_High_Low_Upgraded_Smog Formation Potential (SFP) - kg O3 eq_Gravity Belt Thickener; wastewater treatment unit; at updated plant - US_Base_With Amendment_Aerated Static Pile</v>
      </c>
    </row>
    <row r="10305" spans="1:13" s="120" customFormat="1" x14ac:dyDescent="0.25">
      <c r="A10305" s="119"/>
      <c r="B10305" s="138" t="str">
        <f t="shared" si="869"/>
        <v>Aerated Static Pile</v>
      </c>
      <c r="C10305" s="138" t="str">
        <f t="shared" si="870"/>
        <v>Base_With Amendment</v>
      </c>
      <c r="D10305" s="138" t="str">
        <f t="shared" si="866"/>
        <v>High_Low</v>
      </c>
      <c r="E10305" s="138" t="str">
        <f t="shared" si="867"/>
        <v>Low</v>
      </c>
      <c r="F10305" s="138" t="str">
        <f t="shared" si="871"/>
        <v>Upgraded</v>
      </c>
      <c r="G10305" s="153"/>
      <c r="H10305" s="210">
        <v>1.3100000000000001E-2</v>
      </c>
      <c r="I10305" s="160" t="s">
        <v>59</v>
      </c>
      <c r="J10305" s="160">
        <v>4.9699999999999996E-3</v>
      </c>
      <c r="K10305" s="160" t="s">
        <v>25</v>
      </c>
      <c r="L10305" s="154" t="str">
        <f>IF(OpenLCAbasic!K10305="CTUh", "Fill in Manually",IF(OR(K10305="Unit", K10305=""), "", INDEX(LookUps!$E$5:$E$12, MATCH(OpenLCAbasic!K10305,LookUps!$D$5:$D$12,0))))</f>
        <v>Smog Formation Potential (SFP) - kg O3 eq</v>
      </c>
      <c r="M10305" s="154" t="str">
        <f t="shared" si="868"/>
        <v>Low_High_Low_Upgraded_Smog Formation Potential (SFP) - kg O3 eq_Blend Tank; wastewater treatment unit; at updated plant - US_Base_With Amendment_Aerated Static Pile</v>
      </c>
    </row>
    <row r="10306" spans="1:13" s="120" customFormat="1" x14ac:dyDescent="0.25">
      <c r="A10306" s="119"/>
      <c r="B10306" s="138" t="str">
        <f t="shared" si="869"/>
        <v>Aerated Static Pile</v>
      </c>
      <c r="C10306" s="138" t="str">
        <f t="shared" si="870"/>
        <v>Base_With Amendment</v>
      </c>
      <c r="D10306" s="138" t="str">
        <f t="shared" si="866"/>
        <v>High_Low</v>
      </c>
      <c r="E10306" s="138" t="str">
        <f t="shared" si="867"/>
        <v>Low</v>
      </c>
      <c r="F10306" s="138" t="str">
        <f t="shared" si="871"/>
        <v>Upgraded</v>
      </c>
      <c r="G10306" s="153"/>
      <c r="H10306" s="210">
        <v>8.8999999999999999E-3</v>
      </c>
      <c r="I10306" s="160" t="s">
        <v>48</v>
      </c>
      <c r="J10306" s="160">
        <v>3.3899999999999998E-3</v>
      </c>
      <c r="K10306" s="160" t="s">
        <v>25</v>
      </c>
      <c r="L10306" s="154" t="str">
        <f>IF(OpenLCAbasic!K10306="CTUh", "Fill in Manually",IF(OR(K10306="Unit", K10306=""), "", INDEX(LookUps!$E$5:$E$12, MATCH(OpenLCAbasic!K10306,LookUps!$D$5:$D$12,0))))</f>
        <v>Smog Formation Potential (SFP) - kg O3 eq</v>
      </c>
      <c r="M10306" s="154" t="str">
        <f t="shared" si="868"/>
        <v>Low_High_Low_Upgraded_Smog Formation Potential (SFP) - kg O3 eq_Effluent release; wastewater treatment unit; at surface water; m3 wastewater - US_Base_With Amendment_Aerated Static Pile</v>
      </c>
    </row>
    <row r="10307" spans="1:13" s="120" customFormat="1" x14ac:dyDescent="0.25">
      <c r="A10307" s="119"/>
      <c r="B10307" s="138" t="str">
        <f t="shared" si="869"/>
        <v>Aerated Static Pile</v>
      </c>
      <c r="C10307" s="138" t="str">
        <f t="shared" si="870"/>
        <v>Base_With Amendment</v>
      </c>
      <c r="D10307" s="138" t="str">
        <f t="shared" si="866"/>
        <v>High_Low</v>
      </c>
      <c r="E10307" s="138" t="str">
        <f t="shared" si="867"/>
        <v>Low</v>
      </c>
      <c r="F10307" s="138" t="str">
        <f t="shared" si="871"/>
        <v>Upgraded</v>
      </c>
      <c r="G10307" s="153"/>
      <c r="H10307" s="210">
        <v>6.4999999999999997E-3</v>
      </c>
      <c r="I10307" s="160" t="s">
        <v>168</v>
      </c>
      <c r="J10307" s="160">
        <v>2.4599999999999999E-3</v>
      </c>
      <c r="K10307" s="160" t="s">
        <v>25</v>
      </c>
      <c r="L10307" s="154" t="str">
        <f>IF(OpenLCAbasic!K10307="CTUh", "Fill in Manually",IF(OR(K10307="Unit", K10307=""), "", INDEX(LookUps!$E$5:$E$12, MATCH(OpenLCAbasic!K10307,LookUps!$D$5:$D$12,0))))</f>
        <v>Smog Formation Potential (SFP) - kg O3 eq</v>
      </c>
      <c r="M10307" s="154" t="str">
        <f t="shared" si="868"/>
        <v>Low_High_Low_Upgraded_Smog Formation Potential (SFP) - kg O3 eq_ClearCove SCP; wastewater treatment unit; at updated plant - US_Base_With Amendment_Aerated Static Pile</v>
      </c>
    </row>
    <row r="10308" spans="1:13" s="120" customFormat="1" x14ac:dyDescent="0.25">
      <c r="A10308" s="119"/>
      <c r="B10308" s="138" t="str">
        <f t="shared" si="869"/>
        <v>Aerated Static Pile</v>
      </c>
      <c r="C10308" s="138" t="str">
        <f t="shared" si="870"/>
        <v>Base_With Amendment</v>
      </c>
      <c r="D10308" s="138" t="str">
        <f t="shared" si="866"/>
        <v>High_Low</v>
      </c>
      <c r="E10308" s="138" t="str">
        <f t="shared" si="867"/>
        <v>Low</v>
      </c>
      <c r="F10308" s="138" t="str">
        <f t="shared" si="871"/>
        <v>Upgraded</v>
      </c>
      <c r="G10308" s="153"/>
      <c r="H10308" s="210">
        <v>1.4E-3</v>
      </c>
      <c r="I10308" s="160" t="s">
        <v>148</v>
      </c>
      <c r="J10308" s="160">
        <v>5.4000000000000001E-4</v>
      </c>
      <c r="K10308" s="160" t="s">
        <v>25</v>
      </c>
      <c r="L10308" s="154" t="str">
        <f>IF(OpenLCAbasic!K10308="CTUh", "Fill in Manually",IF(OR(K10308="Unit", K10308=""), "", INDEX(LookUps!$E$5:$E$12, MATCH(OpenLCAbasic!K10308,LookUps!$D$5:$D$12,0))))</f>
        <v>Smog Formation Potential (SFP) - kg O3 eq</v>
      </c>
      <c r="M10308" s="154" t="str">
        <f t="shared" si="868"/>
        <v>Low_High_Low_Upgraded_Smog Formation Potential (SFP) - kg O3 eq_Control Building; at upgraded wastewater treatment plant - US_Base_With Amendment_Aerated Static Pile</v>
      </c>
    </row>
    <row r="10309" spans="1:13" s="120" customFormat="1" x14ac:dyDescent="0.25">
      <c r="A10309" s="119"/>
      <c r="B10309" s="138" t="str">
        <f t="shared" si="869"/>
        <v>Aerated Static Pile</v>
      </c>
      <c r="C10309" s="138" t="str">
        <f t="shared" si="870"/>
        <v>Base_With Amendment</v>
      </c>
      <c r="D10309" s="138" t="str">
        <f t="shared" si="866"/>
        <v>High_Low</v>
      </c>
      <c r="E10309" s="138" t="str">
        <f t="shared" si="867"/>
        <v>Low</v>
      </c>
      <c r="F10309" s="138" t="str">
        <f t="shared" si="871"/>
        <v>Upgraded</v>
      </c>
      <c r="G10309" s="153"/>
      <c r="H10309" s="210">
        <v>-1.6199999999999999E-2</v>
      </c>
      <c r="I10309" s="160" t="s">
        <v>62</v>
      </c>
      <c r="J10309" s="160">
        <v>-6.1799999999999997E-3</v>
      </c>
      <c r="K10309" s="160" t="s">
        <v>25</v>
      </c>
      <c r="L10309" s="154" t="str">
        <f>IF(OpenLCAbasic!K10309="CTUh", "Fill in Manually",IF(OR(K10309="Unit", K10309=""), "", INDEX(LookUps!$E$5:$E$12, MATCH(OpenLCAbasic!K10309,LookUps!$D$5:$D$12,0))))</f>
        <v>Smog Formation Potential (SFP) - kg O3 eq</v>
      </c>
      <c r="M10309" s="154" t="str">
        <f t="shared" si="868"/>
        <v>Low_High_Low_Upgraded_Smog Formation Potential (SFP) - kg O3 eq_Land application of compost; wastewater treatment unit; at updated plant - US_Base_With Amendment_Aerated Static Pile</v>
      </c>
    </row>
    <row r="10310" spans="1:13" s="120" customFormat="1" x14ac:dyDescent="0.25">
      <c r="A10310" s="119"/>
      <c r="B10310" s="138" t="str">
        <f t="shared" si="869"/>
        <v>Aerated Static Pile</v>
      </c>
      <c r="C10310" s="138" t="str">
        <f t="shared" si="870"/>
        <v>Base_With Amendment</v>
      </c>
      <c r="D10310" s="138" t="str">
        <f t="shared" si="866"/>
        <v>High_Low</v>
      </c>
      <c r="E10310" s="138" t="str">
        <f t="shared" si="867"/>
        <v>Low</v>
      </c>
      <c r="F10310" s="138" t="str">
        <f t="shared" si="871"/>
        <v>Upgraded</v>
      </c>
      <c r="G10310" s="153"/>
      <c r="H10310" s="210">
        <v>-0.33429999999999999</v>
      </c>
      <c r="I10310" s="160" t="s">
        <v>149</v>
      </c>
      <c r="J10310" s="160">
        <v>-0.12725</v>
      </c>
      <c r="K10310" s="160" t="s">
        <v>25</v>
      </c>
      <c r="L10310" s="154" t="str">
        <f>IF(OpenLCAbasic!K10310="CTUh", "Fill in Manually",IF(OR(K10310="Unit", K10310=""), "", INDEX(LookUps!$E$5:$E$12, MATCH(OpenLCAbasic!K10310,LookUps!$D$5:$D$12,0))))</f>
        <v>Smog Formation Potential (SFP) - kg O3 eq</v>
      </c>
      <c r="M10310" s="154" t="str">
        <f t="shared" si="868"/>
        <v>Low_High_Low_Upgraded_Smog Formation Potential (SFP) - kg O3 eq_Anaerobic Digestion; wastewater treatment unit; at updated plant - US_Base_With Amendment_Aerated Static Pile</v>
      </c>
    </row>
    <row r="10311" spans="1:13" s="120" customFormat="1" x14ac:dyDescent="0.25">
      <c r="A10311" s="119"/>
      <c r="B10311" s="138" t="str">
        <f t="shared" si="869"/>
        <v/>
      </c>
      <c r="C10311" s="138" t="str">
        <f t="shared" si="870"/>
        <v/>
      </c>
      <c r="D10311" s="138" t="str">
        <f t="shared" si="866"/>
        <v/>
      </c>
      <c r="E10311" s="138" t="str">
        <f t="shared" si="867"/>
        <v/>
      </c>
      <c r="F10311" s="138" t="str">
        <f t="shared" si="871"/>
        <v/>
      </c>
      <c r="G10311" s="153" t="s">
        <v>51</v>
      </c>
      <c r="H10311" s="160"/>
      <c r="I10311" s="160" t="s">
        <v>47</v>
      </c>
      <c r="J10311" s="160" t="s">
        <v>52</v>
      </c>
      <c r="K10311" s="160" t="s">
        <v>27</v>
      </c>
      <c r="L10311" s="154" t="str">
        <f>IF(OpenLCAbasic!K10311="CTUh", "Fill in Manually",IF(OR(K10311="Unit", K10311=""), "", INDEX(LookUps!$E$5:$E$12, MATCH(OpenLCAbasic!K10311,LookUps!$D$5:$D$12,0))))</f>
        <v/>
      </c>
      <c r="M10311" s="154" t="str">
        <f t="shared" si="868"/>
        <v>____Process__</v>
      </c>
    </row>
    <row r="10312" spans="1:13" s="120" customFormat="1" x14ac:dyDescent="0.25">
      <c r="A10312" s="119"/>
      <c r="B10312" s="138" t="str">
        <f t="shared" si="869"/>
        <v>Aerated Static Pile</v>
      </c>
      <c r="C10312" s="138" t="str">
        <f t="shared" si="870"/>
        <v>Base_With Amendment</v>
      </c>
      <c r="D10312" s="138" t="str">
        <f t="shared" si="866"/>
        <v>High_Low</v>
      </c>
      <c r="E10312" s="138" t="str">
        <f t="shared" si="867"/>
        <v>Low</v>
      </c>
      <c r="F10312" s="138" t="str">
        <f t="shared" si="871"/>
        <v>Upgraded</v>
      </c>
      <c r="G10312" s="153"/>
      <c r="H10312" s="210">
        <v>0.27600000000000002</v>
      </c>
      <c r="I10312" s="160" t="s">
        <v>167</v>
      </c>
      <c r="J10312" s="160">
        <v>3.4000000000000002E-4</v>
      </c>
      <c r="K10312" s="160" t="s">
        <v>26</v>
      </c>
      <c r="L10312" s="154" t="str">
        <f>IF(OpenLCAbasic!K10312="CTUh", "Fill in Manually",IF(OR(K10312="Unit", K10312=""), "", INDEX(LookUps!$E$5:$E$12, MATCH(OpenLCAbasic!K10312,LookUps!$D$5:$D$12,0))))</f>
        <v>Water Use (WU) - m3 H2O</v>
      </c>
      <c r="M10312" s="154" t="str">
        <f t="shared" si="868"/>
        <v>Low_High_Low_Upgraded_Water Use (WU) - m3 H2O_Waste Receiving and Holding; wastewater treatment unit; at updated plant - US_Base_With Amendment_Aerated Static Pile</v>
      </c>
    </row>
    <row r="10313" spans="1:13" s="120" customFormat="1" x14ac:dyDescent="0.25">
      <c r="A10313" s="119"/>
      <c r="B10313" s="138" t="str">
        <f t="shared" si="869"/>
        <v>Aerated Static Pile</v>
      </c>
      <c r="C10313" s="138" t="str">
        <f t="shared" si="870"/>
        <v>Base_With Amendment</v>
      </c>
      <c r="D10313" s="138" t="str">
        <f t="shared" si="866"/>
        <v>High_Low</v>
      </c>
      <c r="E10313" s="138" t="str">
        <f t="shared" si="867"/>
        <v>Low</v>
      </c>
      <c r="F10313" s="138" t="str">
        <f t="shared" si="871"/>
        <v>Upgraded</v>
      </c>
      <c r="G10313" s="153"/>
      <c r="H10313" s="210">
        <v>0.151</v>
      </c>
      <c r="I10313" s="160" t="s">
        <v>147</v>
      </c>
      <c r="J10313" s="160">
        <v>1.8000000000000001E-4</v>
      </c>
      <c r="K10313" s="160" t="s">
        <v>26</v>
      </c>
      <c r="L10313" s="154" t="str">
        <f>IF(OpenLCAbasic!K10313="CTUh", "Fill in Manually",IF(OR(K10313="Unit", K10313=""), "", INDEX(LookUps!$E$5:$E$12, MATCH(OpenLCAbasic!K10313,LookUps!$D$5:$D$12,0))))</f>
        <v>Water Use (WU) - m3 H2O</v>
      </c>
      <c r="M10313" s="154" t="str">
        <f t="shared" si="868"/>
        <v>Low_High_Low_Upgraded_Water Use (WU) - m3 H2O_Influent Pump Station; wastewater treatment unit; at updated plant - US_Base_With Amendment_Aerated Static Pile</v>
      </c>
    </row>
    <row r="10314" spans="1:13" s="120" customFormat="1" x14ac:dyDescent="0.25">
      <c r="A10314" s="119"/>
      <c r="B10314" s="138" t="str">
        <f t="shared" si="869"/>
        <v>Aerated Static Pile</v>
      </c>
      <c r="C10314" s="138" t="str">
        <f t="shared" si="870"/>
        <v>Base_With Amendment</v>
      </c>
      <c r="D10314" s="138" t="str">
        <f t="shared" si="866"/>
        <v>High_Low</v>
      </c>
      <c r="E10314" s="138" t="str">
        <f t="shared" si="867"/>
        <v>Low</v>
      </c>
      <c r="F10314" s="138" t="str">
        <f t="shared" si="871"/>
        <v>Upgraded</v>
      </c>
      <c r="G10314" s="153"/>
      <c r="H10314" s="210">
        <v>0.1474</v>
      </c>
      <c r="I10314" s="160" t="s">
        <v>54</v>
      </c>
      <c r="J10314" s="160">
        <v>1.8000000000000001E-4</v>
      </c>
      <c r="K10314" s="160" t="s">
        <v>26</v>
      </c>
      <c r="L10314" s="154" t="str">
        <f>IF(OpenLCAbasic!K10314="CTUh", "Fill in Manually",IF(OR(K10314="Unit", K10314=""), "", INDEX(LookUps!$E$5:$E$12, MATCH(OpenLCAbasic!K10314,LookUps!$D$5:$D$12,0))))</f>
        <v>Water Use (WU) - m3 H2O</v>
      </c>
      <c r="M10314" s="154" t="str">
        <f t="shared" si="868"/>
        <v>Low_High_Low_Upgraded_Water Use (WU) - m3 H2O_Clear Cove Primary Clarification; wastewater treatment unit; at updated plant - US_Base_With Amendment_Aerated Static Pile</v>
      </c>
    </row>
    <row r="10315" spans="1:13" s="120" customFormat="1" x14ac:dyDescent="0.25">
      <c r="A10315" s="119"/>
      <c r="B10315" s="138" t="str">
        <f t="shared" si="869"/>
        <v>Aerated Static Pile</v>
      </c>
      <c r="C10315" s="138" t="str">
        <f t="shared" si="870"/>
        <v>Base_With Amendment</v>
      </c>
      <c r="D10315" s="138" t="str">
        <f t="shared" si="866"/>
        <v>High_Low</v>
      </c>
      <c r="E10315" s="138" t="str">
        <f t="shared" si="867"/>
        <v>Low</v>
      </c>
      <c r="F10315" s="138" t="str">
        <f t="shared" si="871"/>
        <v>Upgraded</v>
      </c>
      <c r="G10315" s="153"/>
      <c r="H10315" s="210">
        <v>0.13370000000000001</v>
      </c>
      <c r="I10315" s="160" t="s">
        <v>55</v>
      </c>
      <c r="J10315" s="160">
        <v>1.6000000000000001E-4</v>
      </c>
      <c r="K10315" s="160" t="s">
        <v>26</v>
      </c>
      <c r="L10315" s="154" t="str">
        <f>IF(OpenLCAbasic!K10315="CTUh", "Fill in Manually",IF(OR(K10315="Unit", K10315=""), "", INDEX(LookUps!$E$5:$E$12, MATCH(OpenLCAbasic!K10315,LookUps!$D$5:$D$12,0))))</f>
        <v>Water Use (WU) - m3 H2O</v>
      </c>
      <c r="M10315" s="154" t="str">
        <f t="shared" si="868"/>
        <v>Low_High_Low_Upgraded_Water Use (WU) - m3 H2O_Aeration Tanks; wastewater treatment unit; at updated plant - US_Base_With Amendment_Aerated Static Pile</v>
      </c>
    </row>
    <row r="10316" spans="1:13" s="120" customFormat="1" x14ac:dyDescent="0.25">
      <c r="A10316" s="119"/>
      <c r="B10316" s="138" t="str">
        <f t="shared" si="869"/>
        <v>Aerated Static Pile</v>
      </c>
      <c r="C10316" s="138" t="str">
        <f t="shared" si="870"/>
        <v>Base_With Amendment</v>
      </c>
      <c r="D10316" s="138" t="str">
        <f t="shared" si="866"/>
        <v>High_Low</v>
      </c>
      <c r="E10316" s="138" t="str">
        <f t="shared" si="867"/>
        <v>Low</v>
      </c>
      <c r="F10316" s="138" t="str">
        <f t="shared" si="871"/>
        <v>Upgraded</v>
      </c>
      <c r="G10316" s="153"/>
      <c r="H10316" s="210">
        <v>0.12180000000000001</v>
      </c>
      <c r="I10316" s="160" t="s">
        <v>148</v>
      </c>
      <c r="J10316" s="160">
        <v>1.4999999999999999E-4</v>
      </c>
      <c r="K10316" s="160" t="s">
        <v>26</v>
      </c>
      <c r="L10316" s="154" t="str">
        <f>IF(OpenLCAbasic!K10316="CTUh", "Fill in Manually",IF(OR(K10316="Unit", K10316=""), "", INDEX(LookUps!$E$5:$E$12, MATCH(OpenLCAbasic!K10316,LookUps!$D$5:$D$12,0))))</f>
        <v>Water Use (WU) - m3 H2O</v>
      </c>
      <c r="M10316" s="154" t="str">
        <f t="shared" si="868"/>
        <v>Low_High_Low_Upgraded_Water Use (WU) - m3 H2O_Control Building; at upgraded wastewater treatment plant - US_Base_With Amendment_Aerated Static Pile</v>
      </c>
    </row>
    <row r="10317" spans="1:13" s="120" customFormat="1" x14ac:dyDescent="0.25">
      <c r="A10317" s="119"/>
      <c r="B10317" s="138" t="str">
        <f t="shared" si="869"/>
        <v>Aerated Static Pile</v>
      </c>
      <c r="C10317" s="138" t="str">
        <f t="shared" si="870"/>
        <v>Base_With Amendment</v>
      </c>
      <c r="D10317" s="138" t="str">
        <f t="shared" si="866"/>
        <v>High_Low</v>
      </c>
      <c r="E10317" s="138" t="str">
        <f t="shared" si="867"/>
        <v>Low</v>
      </c>
      <c r="F10317" s="138" t="str">
        <f t="shared" si="871"/>
        <v>Upgraded</v>
      </c>
      <c r="G10317" s="153"/>
      <c r="H10317" s="210">
        <v>5.6500000000000002E-2</v>
      </c>
      <c r="I10317" s="160" t="s">
        <v>48</v>
      </c>
      <c r="J10317" s="211">
        <v>6.8836400000000004E-5</v>
      </c>
      <c r="K10317" s="160" t="s">
        <v>26</v>
      </c>
      <c r="L10317" s="154" t="str">
        <f>IF(OpenLCAbasic!K10317="CTUh", "Fill in Manually",IF(OR(K10317="Unit", K10317=""), "", INDEX(LookUps!$E$5:$E$12, MATCH(OpenLCAbasic!K10317,LookUps!$D$5:$D$12,0))))</f>
        <v>Water Use (WU) - m3 H2O</v>
      </c>
      <c r="M10317" s="154" t="str">
        <f t="shared" si="868"/>
        <v>Low_High_Low_Upgraded_Water Use (WU) - m3 H2O_Effluent release; wastewater treatment unit; at surface water; m3 wastewater - US_Base_With Amendment_Aerated Static Pile</v>
      </c>
    </row>
    <row r="10318" spans="1:13" s="120" customFormat="1" x14ac:dyDescent="0.25">
      <c r="A10318" s="119"/>
      <c r="B10318" s="138" t="str">
        <f t="shared" si="869"/>
        <v>Aerated Static Pile</v>
      </c>
      <c r="C10318" s="138" t="str">
        <f t="shared" si="870"/>
        <v>Base_With Amendment</v>
      </c>
      <c r="D10318" s="138" t="str">
        <f t="shared" si="866"/>
        <v>High_Low</v>
      </c>
      <c r="E10318" s="138" t="str">
        <f t="shared" si="867"/>
        <v>Low</v>
      </c>
      <c r="F10318" s="138" t="str">
        <f t="shared" si="871"/>
        <v>Upgraded</v>
      </c>
      <c r="G10318" s="153"/>
      <c r="H10318" s="210">
        <v>3.9199999999999999E-2</v>
      </c>
      <c r="I10318" s="160" t="s">
        <v>60</v>
      </c>
      <c r="J10318" s="211">
        <v>4.7769200000000003E-5</v>
      </c>
      <c r="K10318" s="160" t="s">
        <v>26</v>
      </c>
      <c r="L10318" s="154" t="str">
        <f>IF(OpenLCAbasic!K10318="CTUh", "Fill in Manually",IF(OR(K10318="Unit", K10318=""), "", INDEX(LookUps!$E$5:$E$12, MATCH(OpenLCAbasic!K10318,LookUps!$D$5:$D$12,0))))</f>
        <v>Water Use (WU) - m3 H2O</v>
      </c>
      <c r="M10318" s="154" t="str">
        <f t="shared" si="868"/>
        <v>Low_High_Low_Upgraded_Water Use (WU) - m3 H2O_Belt filter press; wastewater treatment unit; at updated plant - US_Base_With Amendment_Aerated Static Pile</v>
      </c>
    </row>
    <row r="10319" spans="1:13" s="120" customFormat="1" x14ac:dyDescent="0.25">
      <c r="A10319" s="119"/>
      <c r="B10319" s="138" t="str">
        <f t="shared" si="869"/>
        <v>Aerated Static Pile</v>
      </c>
      <c r="C10319" s="138" t="str">
        <f t="shared" si="870"/>
        <v>Base_With Amendment</v>
      </c>
      <c r="D10319" s="138" t="str">
        <f t="shared" si="866"/>
        <v>High_Low</v>
      </c>
      <c r="E10319" s="138" t="str">
        <f t="shared" si="867"/>
        <v>Low</v>
      </c>
      <c r="F10319" s="138" t="str">
        <f t="shared" si="871"/>
        <v>Upgraded</v>
      </c>
      <c r="G10319" s="153"/>
      <c r="H10319" s="210">
        <v>3.56E-2</v>
      </c>
      <c r="I10319" s="160" t="s">
        <v>58</v>
      </c>
      <c r="J10319" s="211">
        <v>4.3289399999999999E-5</v>
      </c>
      <c r="K10319" s="160" t="s">
        <v>26</v>
      </c>
      <c r="L10319" s="154" t="str">
        <f>IF(OpenLCAbasic!K10319="CTUh", "Fill in Manually",IF(OR(K10319="Unit", K10319=""), "", INDEX(LookUps!$E$5:$E$12, MATCH(OpenLCAbasic!K10319,LookUps!$D$5:$D$12,0))))</f>
        <v>Water Use (WU) - m3 H2O</v>
      </c>
      <c r="M10319" s="154" t="str">
        <f t="shared" si="868"/>
        <v>Low_High_Low_Upgraded_Water Use (WU) - m3 H2O_Pre-Anoxic &amp; Swing tank; wastewater treatment unit; at updated plant - US_Base_With Amendment_Aerated Static Pile</v>
      </c>
    </row>
    <row r="10320" spans="1:13" s="120" customFormat="1" x14ac:dyDescent="0.25">
      <c r="A10320" s="119"/>
      <c r="B10320" s="138" t="str">
        <f t="shared" si="869"/>
        <v>Aerated Static Pile</v>
      </c>
      <c r="C10320" s="138" t="str">
        <f t="shared" si="870"/>
        <v>Base_With Amendment</v>
      </c>
      <c r="D10320" s="138" t="str">
        <f t="shared" si="866"/>
        <v>High_Low</v>
      </c>
      <c r="E10320" s="138" t="str">
        <f t="shared" si="867"/>
        <v>Low</v>
      </c>
      <c r="F10320" s="138" t="str">
        <f t="shared" si="871"/>
        <v>Upgraded</v>
      </c>
      <c r="G10320" s="153"/>
      <c r="H10320" s="210">
        <v>3.4000000000000002E-2</v>
      </c>
      <c r="I10320" s="160" t="s">
        <v>435</v>
      </c>
      <c r="J10320" s="211">
        <v>4.1443200000000003E-5</v>
      </c>
      <c r="K10320" s="160" t="s">
        <v>26</v>
      </c>
      <c r="L10320" s="154" t="str">
        <f>IF(OpenLCAbasic!K10320="CTUh", "Fill in Manually",IF(OR(K10320="Unit", K10320=""), "", INDEX(LookUps!$E$5:$E$12, MATCH(OpenLCAbasic!K10320,LookUps!$D$5:$D$12,0))))</f>
        <v>Water Use (WU) - m3 H2O</v>
      </c>
      <c r="M10320" s="154" t="str">
        <f t="shared" si="868"/>
        <v>Low_High_Low_Upgraded_Water Use (WU) - m3 H2O_Biosolids composting; aerated static pile; wastewater treatment unit; at updated plant - US_Base_With Amendment_Aerated Static Pile</v>
      </c>
    </row>
    <row r="10321" spans="1:13" s="120" customFormat="1" x14ac:dyDescent="0.25">
      <c r="A10321" s="119"/>
      <c r="B10321" s="138" t="str">
        <f t="shared" si="869"/>
        <v>Aerated Static Pile</v>
      </c>
      <c r="C10321" s="138" t="str">
        <f t="shared" si="870"/>
        <v>Base_With Amendment</v>
      </c>
      <c r="D10321" s="138" t="str">
        <f t="shared" ref="D10321:D10327" si="872">IF(ISNUMBER($J10321),"High_Low","")</f>
        <v>High_Low</v>
      </c>
      <c r="E10321" s="138" t="str">
        <f t="shared" si="867"/>
        <v>Low</v>
      </c>
      <c r="F10321" s="138" t="str">
        <f t="shared" si="871"/>
        <v>Upgraded</v>
      </c>
      <c r="G10321" s="153"/>
      <c r="H10321" s="210">
        <v>2.5000000000000001E-2</v>
      </c>
      <c r="I10321" s="160" t="s">
        <v>57</v>
      </c>
      <c r="J10321" s="211">
        <v>3.0408100000000001E-5</v>
      </c>
      <c r="K10321" s="160" t="s">
        <v>26</v>
      </c>
      <c r="L10321" s="154" t="str">
        <f>IF(OpenLCAbasic!K10321="CTUh", "Fill in Manually",IF(OR(K10321="Unit", K10321=""), "", INDEX(LookUps!$E$5:$E$12, MATCH(OpenLCAbasic!K10321,LookUps!$D$5:$D$12,0))))</f>
        <v>Water Use (WU) - m3 H2O</v>
      </c>
      <c r="M10321" s="154" t="str">
        <f t="shared" si="868"/>
        <v>Low_High_Low_Upgraded_Water Use (WU) - m3 H2O_Gravity Belt Thickener; wastewater treatment unit; at updated plant - US_Base_With Amendment_Aerated Static Pile</v>
      </c>
    </row>
    <row r="10322" spans="1:13" s="120" customFormat="1" x14ac:dyDescent="0.25">
      <c r="A10322" s="119"/>
      <c r="B10322" s="138" t="str">
        <f t="shared" si="869"/>
        <v>Aerated Static Pile</v>
      </c>
      <c r="C10322" s="138" t="str">
        <f t="shared" si="870"/>
        <v>Base_With Amendment</v>
      </c>
      <c r="D10322" s="138" t="str">
        <f t="shared" si="872"/>
        <v>High_Low</v>
      </c>
      <c r="E10322" s="138" t="str">
        <f t="shared" si="867"/>
        <v>Low</v>
      </c>
      <c r="F10322" s="138" t="str">
        <f t="shared" si="871"/>
        <v>Upgraded</v>
      </c>
      <c r="G10322" s="153"/>
      <c r="H10322" s="210">
        <v>1.44E-2</v>
      </c>
      <c r="I10322" s="160" t="s">
        <v>53</v>
      </c>
      <c r="J10322" s="211">
        <v>1.75069E-5</v>
      </c>
      <c r="K10322" s="160" t="s">
        <v>26</v>
      </c>
      <c r="L10322" s="154" t="str">
        <f>IF(OpenLCAbasic!K10322="CTUh", "Fill in Manually",IF(OR(K10322="Unit", K10322=""), "", INDEX(LookUps!$E$5:$E$12, MATCH(OpenLCAbasic!K10322,LookUps!$D$5:$D$12,0))))</f>
        <v>Water Use (WU) - m3 H2O</v>
      </c>
      <c r="M10322" s="154" t="str">
        <f t="shared" si="868"/>
        <v>Low_High_Low_Upgraded_Water Use (WU) - m3 H2O_Wet Well and Sump Station; wastewater treatment unit; at updated plant - US_Base_With Amendment_Aerated Static Pile</v>
      </c>
    </row>
    <row r="10323" spans="1:13" s="120" customFormat="1" x14ac:dyDescent="0.25">
      <c r="A10323" s="119"/>
      <c r="B10323" s="138" t="str">
        <f t="shared" si="869"/>
        <v>Aerated Static Pile</v>
      </c>
      <c r="C10323" s="138" t="str">
        <f t="shared" si="870"/>
        <v>Base_With Amendment</v>
      </c>
      <c r="D10323" s="138" t="str">
        <f t="shared" si="872"/>
        <v>High_Low</v>
      </c>
      <c r="E10323" s="138" t="str">
        <f t="shared" si="867"/>
        <v>Low</v>
      </c>
      <c r="F10323" s="138" t="str">
        <f t="shared" si="871"/>
        <v>Upgraded</v>
      </c>
      <c r="G10323" s="153"/>
      <c r="H10323" s="210">
        <v>5.7999999999999996E-3</v>
      </c>
      <c r="I10323" s="160" t="s">
        <v>59</v>
      </c>
      <c r="J10323" s="211">
        <v>7.0179500000000003E-6</v>
      </c>
      <c r="K10323" s="160" t="s">
        <v>26</v>
      </c>
      <c r="L10323" s="154" t="str">
        <f>IF(OpenLCAbasic!K10323="CTUh", "Fill in Manually",IF(OR(K10323="Unit", K10323=""), "", INDEX(LookUps!$E$5:$E$12, MATCH(OpenLCAbasic!K10323,LookUps!$D$5:$D$12,0))))</f>
        <v>Water Use (WU) - m3 H2O</v>
      </c>
      <c r="M10323" s="154" t="str">
        <f t="shared" si="868"/>
        <v>Low_High_Low_Upgraded_Water Use (WU) - m3 H2O_Blend Tank; wastewater treatment unit; at updated plant - US_Base_With Amendment_Aerated Static Pile</v>
      </c>
    </row>
    <row r="10324" spans="1:13" s="120" customFormat="1" x14ac:dyDescent="0.25">
      <c r="A10324" s="119"/>
      <c r="B10324" s="138" t="str">
        <f t="shared" si="869"/>
        <v>Aerated Static Pile</v>
      </c>
      <c r="C10324" s="138" t="str">
        <f t="shared" si="870"/>
        <v>Base_With Amendment</v>
      </c>
      <c r="D10324" s="138" t="str">
        <f t="shared" si="872"/>
        <v>High_Low</v>
      </c>
      <c r="E10324" s="138" t="str">
        <f t="shared" si="867"/>
        <v>Low</v>
      </c>
      <c r="F10324" s="138" t="str">
        <f t="shared" si="871"/>
        <v>Upgraded</v>
      </c>
      <c r="G10324" s="153"/>
      <c r="H10324" s="210">
        <v>4.1999999999999997E-3</v>
      </c>
      <c r="I10324" s="160" t="s">
        <v>128</v>
      </c>
      <c r="J10324" s="211">
        <v>5.0608900000000003E-6</v>
      </c>
      <c r="K10324" s="160" t="s">
        <v>26</v>
      </c>
      <c r="L10324" s="154" t="str">
        <f>IF(OpenLCAbasic!K10324="CTUh", "Fill in Manually",IF(OR(K10324="Unit", K10324=""), "", INDEX(LookUps!$E$5:$E$12, MATCH(OpenLCAbasic!K10324,LookUps!$D$5:$D$12,0))))</f>
        <v>Water Use (WU) - m3 H2O</v>
      </c>
      <c r="M10324" s="154" t="str">
        <f t="shared" si="868"/>
        <v>Low_High_Low_Upgraded_Water Use (WU) - m3 H2O_Wastewater collection; operation and infrastructure; m3 wastewater_Base_With Amendment_Aerated Static Pile</v>
      </c>
    </row>
    <row r="10325" spans="1:13" s="120" customFormat="1" x14ac:dyDescent="0.25">
      <c r="A10325" s="119"/>
      <c r="B10325" s="138" t="str">
        <f t="shared" si="869"/>
        <v>Aerated Static Pile</v>
      </c>
      <c r="C10325" s="138" t="str">
        <f t="shared" si="870"/>
        <v>Base_With Amendment</v>
      </c>
      <c r="D10325" s="138" t="str">
        <f t="shared" si="872"/>
        <v>High_Low</v>
      </c>
      <c r="E10325" s="138" t="str">
        <f t="shared" si="867"/>
        <v>Low</v>
      </c>
      <c r="F10325" s="138" t="str">
        <f t="shared" si="871"/>
        <v>Upgraded</v>
      </c>
      <c r="G10325" s="153"/>
      <c r="H10325" s="210">
        <v>5.9999999999999995E-4</v>
      </c>
      <c r="I10325" s="160" t="s">
        <v>168</v>
      </c>
      <c r="J10325" s="211">
        <v>7.6697000000000004E-7</v>
      </c>
      <c r="K10325" s="160" t="s">
        <v>26</v>
      </c>
      <c r="L10325" s="154" t="str">
        <f>IF(OpenLCAbasic!K10325="CTUh", "Fill in Manually",IF(OR(K10325="Unit", K10325=""), "", INDEX(LookUps!$E$5:$E$12, MATCH(OpenLCAbasic!K10325,LookUps!$D$5:$D$12,0))))</f>
        <v>Water Use (WU) - m3 H2O</v>
      </c>
      <c r="M10325" s="154" t="str">
        <f t="shared" si="868"/>
        <v>Low_High_Low_Upgraded_Water Use (WU) - m3 H2O_ClearCove SCP; wastewater treatment unit; at updated plant - US_Base_With Amendment_Aerated Static Pile</v>
      </c>
    </row>
    <row r="10326" spans="1:13" s="120" customFormat="1" x14ac:dyDescent="0.25">
      <c r="A10326" s="119"/>
      <c r="B10326" s="138" t="str">
        <f t="shared" si="869"/>
        <v>Aerated Static Pile</v>
      </c>
      <c r="C10326" s="138" t="str">
        <f t="shared" si="870"/>
        <v>Base_With Amendment</v>
      </c>
      <c r="D10326" s="138" t="str">
        <f t="shared" si="872"/>
        <v>High_Low</v>
      </c>
      <c r="E10326" s="138" t="str">
        <f t="shared" si="867"/>
        <v>Low</v>
      </c>
      <c r="F10326" s="138" t="str">
        <f t="shared" si="871"/>
        <v>Upgraded</v>
      </c>
      <c r="G10326" s="153"/>
      <c r="H10326" s="210">
        <v>-1.01E-2</v>
      </c>
      <c r="I10326" s="160" t="s">
        <v>149</v>
      </c>
      <c r="J10326" s="211">
        <v>-1.22975E-5</v>
      </c>
      <c r="K10326" s="160" t="s">
        <v>26</v>
      </c>
      <c r="L10326" s="154" t="str">
        <f>IF(OpenLCAbasic!K10326="CTUh", "Fill in Manually",IF(OR(K10326="Unit", K10326=""), "", INDEX(LookUps!$E$5:$E$12, MATCH(OpenLCAbasic!K10326,LookUps!$D$5:$D$12,0))))</f>
        <v>Water Use (WU) - m3 H2O</v>
      </c>
      <c r="M10326" s="154" t="str">
        <f t="shared" si="868"/>
        <v>Low_High_Low_Upgraded_Water Use (WU) - m3 H2O_Anaerobic Digestion; wastewater treatment unit; at updated plant - US_Base_With Amendment_Aerated Static Pile</v>
      </c>
    </row>
    <row r="10327" spans="1:13" s="120" customFormat="1" x14ac:dyDescent="0.25">
      <c r="A10327" s="119"/>
      <c r="B10327" s="138" t="str">
        <f t="shared" si="869"/>
        <v>Aerated Static Pile</v>
      </c>
      <c r="C10327" s="138" t="str">
        <f t="shared" si="870"/>
        <v>Base_With Amendment</v>
      </c>
      <c r="D10327" s="138" t="str">
        <f t="shared" si="872"/>
        <v>High_Low</v>
      </c>
      <c r="E10327" s="138" t="str">
        <f t="shared" si="867"/>
        <v>Low</v>
      </c>
      <c r="F10327" s="138" t="str">
        <f t="shared" si="871"/>
        <v>Upgraded</v>
      </c>
      <c r="G10327" s="153"/>
      <c r="H10327" s="210">
        <v>-2.0350999999999999</v>
      </c>
      <c r="I10327" s="160" t="s">
        <v>62</v>
      </c>
      <c r="J10327" s="160">
        <v>-2.48E-3</v>
      </c>
      <c r="K10327" s="160" t="s">
        <v>26</v>
      </c>
      <c r="L10327" s="154" t="str">
        <f>IF(OpenLCAbasic!K10327="CTUh", "Fill in Manually",IF(OR(K10327="Unit", K10327=""), "", INDEX(LookUps!$E$5:$E$12, MATCH(OpenLCAbasic!K10327,LookUps!$D$5:$D$12,0))))</f>
        <v>Water Use (WU) - m3 H2O</v>
      </c>
      <c r="M10327" s="154" t="str">
        <f t="shared" si="868"/>
        <v>Low_High_Low_Upgraded_Water Use (WU) - m3 H2O_Land application of compost; wastewater treatment unit; at updated plant - US_Base_With Amendment_Aerated Static Pile</v>
      </c>
    </row>
    <row r="10328" spans="1:13" s="120" customFormat="1" x14ac:dyDescent="0.25">
      <c r="A10328" s="119"/>
      <c r="B10328" s="138" t="str">
        <f t="shared" si="869"/>
        <v/>
      </c>
      <c r="C10328" s="138" t="str">
        <f t="shared" si="870"/>
        <v/>
      </c>
      <c r="D10328" s="138" t="str">
        <f>IF(ISNUMBER($J10328),"High_Base","")</f>
        <v/>
      </c>
      <c r="E10328" s="138" t="str">
        <f t="shared" si="867"/>
        <v/>
      </c>
      <c r="F10328" s="138" t="str">
        <f t="shared" si="871"/>
        <v/>
      </c>
      <c r="G10328" s="153" t="s">
        <v>51</v>
      </c>
      <c r="H10328" s="160"/>
      <c r="I10328" s="160" t="s">
        <v>47</v>
      </c>
      <c r="J10328" s="160" t="s">
        <v>52</v>
      </c>
      <c r="K10328" s="160" t="s">
        <v>27</v>
      </c>
      <c r="L10328" s="154" t="str">
        <f>IF(OpenLCAbasic!K10328="CTUh", "Fill in Manually",IF(OR(K10328="Unit", K10328=""), "", INDEX(LookUps!$E$5:$E$12, MATCH(OpenLCAbasic!K10328,LookUps!$D$5:$D$12,0))))</f>
        <v/>
      </c>
      <c r="M10328" s="154" t="str">
        <f t="shared" si="868"/>
        <v>____Process__</v>
      </c>
    </row>
    <row r="10329" spans="1:13" s="120" customFormat="1" x14ac:dyDescent="0.25">
      <c r="A10329" s="119"/>
      <c r="B10329" s="138" t="str">
        <f t="shared" si="869"/>
        <v>Aerated Static Pile</v>
      </c>
      <c r="C10329" s="138" t="str">
        <f t="shared" si="870"/>
        <v>Base_With Amendment</v>
      </c>
      <c r="D10329" s="138" t="str">
        <f t="shared" ref="D10329:D10392" si="873">IF(ISNUMBER($J10329),"High_Base","")</f>
        <v>High_Base</v>
      </c>
      <c r="E10329" s="138" t="str">
        <f t="shared" si="867"/>
        <v>Low</v>
      </c>
      <c r="F10329" s="138" t="str">
        <f t="shared" si="871"/>
        <v>Upgraded</v>
      </c>
      <c r="G10329" s="153"/>
      <c r="H10329" s="210">
        <v>1.4167000000000001</v>
      </c>
      <c r="I10329" s="160" t="s">
        <v>55</v>
      </c>
      <c r="J10329" s="160">
        <v>1.7219999999999999E-2</v>
      </c>
      <c r="K10329" s="160" t="s">
        <v>24</v>
      </c>
      <c r="L10329" s="154" t="str">
        <f>IF(OpenLCAbasic!K10329="CTUh", "Fill in Manually",IF(OR(K10329="Unit", K10329=""), "", INDEX(LookUps!$E$5:$E$12, MATCH(OpenLCAbasic!K10329,LookUps!$D$5:$D$12,0))))</f>
        <v>Acidification Potential (AP) - kg SO2 eq</v>
      </c>
      <c r="M10329" s="154" t="str">
        <f t="shared" si="868"/>
        <v>Low_High_Base_Upgraded_Acidification Potential (AP) - kg SO2 eq_Aeration Tanks; wastewater treatment unit; at updated plant - US_Base_With Amendment_Aerated Static Pile</v>
      </c>
    </row>
    <row r="10330" spans="1:13" s="120" customFormat="1" x14ac:dyDescent="0.25">
      <c r="A10330" s="119"/>
      <c r="B10330" s="138" t="str">
        <f t="shared" si="869"/>
        <v>Aerated Static Pile</v>
      </c>
      <c r="C10330" s="138" t="str">
        <f t="shared" si="870"/>
        <v>Base_With Amendment</v>
      </c>
      <c r="D10330" s="138" t="str">
        <f t="shared" si="873"/>
        <v>High_Base</v>
      </c>
      <c r="E10330" s="138" t="str">
        <f t="shared" si="867"/>
        <v>Low</v>
      </c>
      <c r="F10330" s="138" t="str">
        <f t="shared" si="871"/>
        <v>Upgraded</v>
      </c>
      <c r="G10330" s="153"/>
      <c r="H10330" s="210">
        <v>0.97760000000000002</v>
      </c>
      <c r="I10330" s="160" t="s">
        <v>435</v>
      </c>
      <c r="J10330" s="160">
        <v>1.188E-2</v>
      </c>
      <c r="K10330" s="160" t="s">
        <v>24</v>
      </c>
      <c r="L10330" s="154" t="str">
        <f>IF(OpenLCAbasic!K10330="CTUh", "Fill in Manually",IF(OR(K10330="Unit", K10330=""), "", INDEX(LookUps!$E$5:$E$12, MATCH(OpenLCAbasic!K10330,LookUps!$D$5:$D$12,0))))</f>
        <v>Acidification Potential (AP) - kg SO2 eq</v>
      </c>
      <c r="M10330" s="154" t="str">
        <f t="shared" si="868"/>
        <v>Low_High_Base_Upgraded_Acidification Potential (AP) - kg SO2 eq_Biosolids composting; aerated static pile; wastewater treatment unit; at updated plant - US_Base_With Amendment_Aerated Static Pile</v>
      </c>
    </row>
    <row r="10331" spans="1:13" s="120" customFormat="1" x14ac:dyDescent="0.25">
      <c r="A10331" s="119"/>
      <c r="B10331" s="138" t="str">
        <f t="shared" si="869"/>
        <v>Aerated Static Pile</v>
      </c>
      <c r="C10331" s="138" t="str">
        <f t="shared" si="870"/>
        <v>Base_With Amendment</v>
      </c>
      <c r="D10331" s="138" t="str">
        <f t="shared" si="873"/>
        <v>High_Base</v>
      </c>
      <c r="E10331" s="138" t="str">
        <f t="shared" si="867"/>
        <v>Low</v>
      </c>
      <c r="F10331" s="138" t="str">
        <f t="shared" si="871"/>
        <v>Upgraded</v>
      </c>
      <c r="G10331" s="153"/>
      <c r="H10331" s="210">
        <v>0.46389999999999998</v>
      </c>
      <c r="I10331" s="160" t="s">
        <v>62</v>
      </c>
      <c r="J10331" s="160">
        <v>5.64E-3</v>
      </c>
      <c r="K10331" s="160" t="s">
        <v>24</v>
      </c>
      <c r="L10331" s="154" t="str">
        <f>IF(OpenLCAbasic!K10331="CTUh", "Fill in Manually",IF(OR(K10331="Unit", K10331=""), "", INDEX(LookUps!$E$5:$E$12, MATCH(OpenLCAbasic!K10331,LookUps!$D$5:$D$12,0))))</f>
        <v>Acidification Potential (AP) - kg SO2 eq</v>
      </c>
      <c r="M10331" s="154" t="str">
        <f t="shared" si="868"/>
        <v>Low_High_Base_Upgraded_Acidification Potential (AP) - kg SO2 eq_Land application of compost; wastewater treatment unit; at updated plant - US_Base_With Amendment_Aerated Static Pile</v>
      </c>
    </row>
    <row r="10332" spans="1:13" s="120" customFormat="1" x14ac:dyDescent="0.25">
      <c r="A10332" s="119"/>
      <c r="B10332" s="138" t="str">
        <f t="shared" si="869"/>
        <v>Aerated Static Pile</v>
      </c>
      <c r="C10332" s="138" t="str">
        <f t="shared" si="870"/>
        <v>Base_With Amendment</v>
      </c>
      <c r="D10332" s="138" t="str">
        <f t="shared" si="873"/>
        <v>High_Base</v>
      </c>
      <c r="E10332" s="138" t="str">
        <f t="shared" si="867"/>
        <v>Low</v>
      </c>
      <c r="F10332" s="138" t="str">
        <f t="shared" si="871"/>
        <v>Upgraded</v>
      </c>
      <c r="G10332" s="153"/>
      <c r="H10332" s="210">
        <v>0.4098</v>
      </c>
      <c r="I10332" s="160" t="s">
        <v>54</v>
      </c>
      <c r="J10332" s="160">
        <v>4.9800000000000001E-3</v>
      </c>
      <c r="K10332" s="160" t="s">
        <v>24</v>
      </c>
      <c r="L10332" s="154" t="str">
        <f>IF(OpenLCAbasic!K10332="CTUh", "Fill in Manually",IF(OR(K10332="Unit", K10332=""), "", INDEX(LookUps!$E$5:$E$12, MATCH(OpenLCAbasic!K10332,LookUps!$D$5:$D$12,0))))</f>
        <v>Acidification Potential (AP) - kg SO2 eq</v>
      </c>
      <c r="M10332" s="154" t="str">
        <f t="shared" si="868"/>
        <v>Low_High_Base_Upgraded_Acidification Potential (AP) - kg SO2 eq_Clear Cove Primary Clarification; wastewater treatment unit; at updated plant - US_Base_With Amendment_Aerated Static Pile</v>
      </c>
    </row>
    <row r="10333" spans="1:13" s="120" customFormat="1" x14ac:dyDescent="0.25">
      <c r="A10333" s="119"/>
      <c r="B10333" s="138" t="str">
        <f t="shared" si="869"/>
        <v>Aerated Static Pile</v>
      </c>
      <c r="C10333" s="138" t="str">
        <f t="shared" si="870"/>
        <v>Base_With Amendment</v>
      </c>
      <c r="D10333" s="138" t="str">
        <f t="shared" si="873"/>
        <v>High_Base</v>
      </c>
      <c r="E10333" s="138" t="str">
        <f t="shared" si="867"/>
        <v>Low</v>
      </c>
      <c r="F10333" s="138" t="str">
        <f t="shared" si="871"/>
        <v>Upgraded</v>
      </c>
      <c r="G10333" s="153"/>
      <c r="H10333" s="210">
        <v>0.35899999999999999</v>
      </c>
      <c r="I10333" s="160" t="s">
        <v>58</v>
      </c>
      <c r="J10333" s="160">
        <v>4.3600000000000002E-3</v>
      </c>
      <c r="K10333" s="160" t="s">
        <v>24</v>
      </c>
      <c r="L10333" s="154" t="str">
        <f>IF(OpenLCAbasic!K10333="CTUh", "Fill in Manually",IF(OR(K10333="Unit", K10333=""), "", INDEX(LookUps!$E$5:$E$12, MATCH(OpenLCAbasic!K10333,LookUps!$D$5:$D$12,0))))</f>
        <v>Acidification Potential (AP) - kg SO2 eq</v>
      </c>
      <c r="M10333" s="154" t="str">
        <f t="shared" si="868"/>
        <v>Low_High_Base_Upgraded_Acidification Potential (AP) - kg SO2 eq_Pre-Anoxic &amp; Swing tank; wastewater treatment unit; at updated plant - US_Base_With Amendment_Aerated Static Pile</v>
      </c>
    </row>
    <row r="10334" spans="1:13" s="120" customFormat="1" x14ac:dyDescent="0.25">
      <c r="A10334" s="119"/>
      <c r="B10334" s="138" t="str">
        <f t="shared" si="869"/>
        <v>Aerated Static Pile</v>
      </c>
      <c r="C10334" s="138" t="str">
        <f t="shared" si="870"/>
        <v>Base_With Amendment</v>
      </c>
      <c r="D10334" s="138" t="str">
        <f t="shared" si="873"/>
        <v>High_Base</v>
      </c>
      <c r="E10334" s="138" t="str">
        <f t="shared" si="867"/>
        <v>Low</v>
      </c>
      <c r="F10334" s="138" t="str">
        <f t="shared" si="871"/>
        <v>Upgraded</v>
      </c>
      <c r="G10334" s="153"/>
      <c r="H10334" s="210">
        <v>0.28389999999999999</v>
      </c>
      <c r="I10334" s="160" t="s">
        <v>53</v>
      </c>
      <c r="J10334" s="160">
        <v>3.4499999999999999E-3</v>
      </c>
      <c r="K10334" s="160" t="s">
        <v>24</v>
      </c>
      <c r="L10334" s="154" t="str">
        <f>IF(OpenLCAbasic!K10334="CTUh", "Fill in Manually",IF(OR(K10334="Unit", K10334=""), "", INDEX(LookUps!$E$5:$E$12, MATCH(OpenLCAbasic!K10334,LookUps!$D$5:$D$12,0))))</f>
        <v>Acidification Potential (AP) - kg SO2 eq</v>
      </c>
      <c r="M10334" s="154" t="str">
        <f t="shared" si="868"/>
        <v>Low_High_Base_Upgraded_Acidification Potential (AP) - kg SO2 eq_Wet Well and Sump Station; wastewater treatment unit; at updated plant - US_Base_With Amendment_Aerated Static Pile</v>
      </c>
    </row>
    <row r="10335" spans="1:13" s="120" customFormat="1" x14ac:dyDescent="0.25">
      <c r="A10335" s="119"/>
      <c r="B10335" s="138" t="str">
        <f t="shared" si="869"/>
        <v>Aerated Static Pile</v>
      </c>
      <c r="C10335" s="138" t="str">
        <f t="shared" si="870"/>
        <v>Base_With Amendment</v>
      </c>
      <c r="D10335" s="138" t="str">
        <f t="shared" si="873"/>
        <v>High_Base</v>
      </c>
      <c r="E10335" s="138" t="str">
        <f t="shared" si="867"/>
        <v>Low</v>
      </c>
      <c r="F10335" s="138" t="str">
        <f t="shared" si="871"/>
        <v>Upgraded</v>
      </c>
      <c r="G10335" s="153"/>
      <c r="H10335" s="210">
        <v>0.22239999999999999</v>
      </c>
      <c r="I10335" s="160" t="s">
        <v>167</v>
      </c>
      <c r="J10335" s="160">
        <v>2.7000000000000001E-3</v>
      </c>
      <c r="K10335" s="160" t="s">
        <v>24</v>
      </c>
      <c r="L10335" s="154" t="str">
        <f>IF(OpenLCAbasic!K10335="CTUh", "Fill in Manually",IF(OR(K10335="Unit", K10335=""), "", INDEX(LookUps!$E$5:$E$12, MATCH(OpenLCAbasic!K10335,LookUps!$D$5:$D$12,0))))</f>
        <v>Acidification Potential (AP) - kg SO2 eq</v>
      </c>
      <c r="M10335" s="154" t="str">
        <f t="shared" si="868"/>
        <v>Low_High_Base_Upgraded_Acidification Potential (AP) - kg SO2 eq_Waste Receiving and Holding; wastewater treatment unit; at updated plant - US_Base_With Amendment_Aerated Static Pile</v>
      </c>
    </row>
    <row r="10336" spans="1:13" s="120" customFormat="1" x14ac:dyDescent="0.25">
      <c r="A10336" s="119"/>
      <c r="B10336" s="138" t="str">
        <f t="shared" si="869"/>
        <v>Aerated Static Pile</v>
      </c>
      <c r="C10336" s="138" t="str">
        <f t="shared" si="870"/>
        <v>Base_With Amendment</v>
      </c>
      <c r="D10336" s="138" t="str">
        <f t="shared" si="873"/>
        <v>High_Base</v>
      </c>
      <c r="E10336" s="138" t="str">
        <f t="shared" si="867"/>
        <v>Low</v>
      </c>
      <c r="F10336" s="138" t="str">
        <f t="shared" si="871"/>
        <v>Upgraded</v>
      </c>
      <c r="G10336" s="153"/>
      <c r="H10336" s="210">
        <v>0.17019999999999999</v>
      </c>
      <c r="I10336" s="160" t="s">
        <v>147</v>
      </c>
      <c r="J10336" s="160">
        <v>2.0699999999999998E-3</v>
      </c>
      <c r="K10336" s="160" t="s">
        <v>24</v>
      </c>
      <c r="L10336" s="154" t="str">
        <f>IF(OpenLCAbasic!K10336="CTUh", "Fill in Manually",IF(OR(K10336="Unit", K10336=""), "", INDEX(LookUps!$E$5:$E$12, MATCH(OpenLCAbasic!K10336,LookUps!$D$5:$D$12,0))))</f>
        <v>Acidification Potential (AP) - kg SO2 eq</v>
      </c>
      <c r="M10336" s="154" t="str">
        <f t="shared" si="868"/>
        <v>Low_High_Base_Upgraded_Acidification Potential (AP) - kg SO2 eq_Influent Pump Station; wastewater treatment unit; at updated plant - US_Base_With Amendment_Aerated Static Pile</v>
      </c>
    </row>
    <row r="10337" spans="1:13" s="120" customFormat="1" x14ac:dyDescent="0.25">
      <c r="A10337" s="119"/>
      <c r="B10337" s="138" t="str">
        <f t="shared" si="869"/>
        <v>Aerated Static Pile</v>
      </c>
      <c r="C10337" s="138" t="str">
        <f t="shared" si="870"/>
        <v>Base_With Amendment</v>
      </c>
      <c r="D10337" s="138" t="str">
        <f t="shared" si="873"/>
        <v>High_Base</v>
      </c>
      <c r="E10337" s="138" t="str">
        <f t="shared" si="867"/>
        <v>Low</v>
      </c>
      <c r="F10337" s="138" t="str">
        <f t="shared" si="871"/>
        <v>Upgraded</v>
      </c>
      <c r="G10337" s="153"/>
      <c r="H10337" s="210">
        <v>0.11990000000000001</v>
      </c>
      <c r="I10337" s="160" t="s">
        <v>60</v>
      </c>
      <c r="J10337" s="160">
        <v>1.4599999999999999E-3</v>
      </c>
      <c r="K10337" s="160" t="s">
        <v>24</v>
      </c>
      <c r="L10337" s="154" t="str">
        <f>IF(OpenLCAbasic!K10337="CTUh", "Fill in Manually",IF(OR(K10337="Unit", K10337=""), "", INDEX(LookUps!$E$5:$E$12, MATCH(OpenLCAbasic!K10337,LookUps!$D$5:$D$12,0))))</f>
        <v>Acidification Potential (AP) - kg SO2 eq</v>
      </c>
      <c r="M10337" s="154" t="str">
        <f t="shared" si="868"/>
        <v>Low_High_Base_Upgraded_Acidification Potential (AP) - kg SO2 eq_Belt filter press; wastewater treatment unit; at updated plant - US_Base_With Amendment_Aerated Static Pile</v>
      </c>
    </row>
    <row r="10338" spans="1:13" s="120" customFormat="1" x14ac:dyDescent="0.25">
      <c r="A10338" s="119"/>
      <c r="B10338" s="138" t="str">
        <f t="shared" si="869"/>
        <v>Aerated Static Pile</v>
      </c>
      <c r="C10338" s="138" t="str">
        <f t="shared" si="870"/>
        <v>Base_With Amendment</v>
      </c>
      <c r="D10338" s="138" t="str">
        <f t="shared" si="873"/>
        <v>High_Base</v>
      </c>
      <c r="E10338" s="138" t="str">
        <f t="shared" si="867"/>
        <v>Low</v>
      </c>
      <c r="F10338" s="138" t="str">
        <f t="shared" si="871"/>
        <v>Upgraded</v>
      </c>
      <c r="G10338" s="153"/>
      <c r="H10338" s="210">
        <v>0.1014</v>
      </c>
      <c r="I10338" s="160" t="s">
        <v>128</v>
      </c>
      <c r="J10338" s="160">
        <v>1.23E-3</v>
      </c>
      <c r="K10338" s="160" t="s">
        <v>24</v>
      </c>
      <c r="L10338" s="154" t="str">
        <f>IF(OpenLCAbasic!K10338="CTUh", "Fill in Manually",IF(OR(K10338="Unit", K10338=""), "", INDEX(LookUps!$E$5:$E$12, MATCH(OpenLCAbasic!K10338,LookUps!$D$5:$D$12,0))))</f>
        <v>Acidification Potential (AP) - kg SO2 eq</v>
      </c>
      <c r="M10338" s="154" t="str">
        <f t="shared" si="868"/>
        <v>Low_High_Base_Upgraded_Acidification Potential (AP) - kg SO2 eq_Wastewater collection; operation and infrastructure; m3 wastewater_Base_With Amendment_Aerated Static Pile</v>
      </c>
    </row>
    <row r="10339" spans="1:13" s="120" customFormat="1" x14ac:dyDescent="0.25">
      <c r="A10339" s="119"/>
      <c r="B10339" s="138" t="str">
        <f t="shared" si="869"/>
        <v>Aerated Static Pile</v>
      </c>
      <c r="C10339" s="138" t="str">
        <f t="shared" si="870"/>
        <v>Base_With Amendment</v>
      </c>
      <c r="D10339" s="138" t="str">
        <f t="shared" si="873"/>
        <v>High_Base</v>
      </c>
      <c r="E10339" s="138" t="str">
        <f t="shared" si="867"/>
        <v>Low</v>
      </c>
      <c r="F10339" s="138" t="str">
        <f t="shared" si="871"/>
        <v>Upgraded</v>
      </c>
      <c r="G10339" s="153"/>
      <c r="H10339" s="210">
        <v>5.79E-2</v>
      </c>
      <c r="I10339" s="160" t="s">
        <v>57</v>
      </c>
      <c r="J10339" s="160">
        <v>6.9999999999999999E-4</v>
      </c>
      <c r="K10339" s="160" t="s">
        <v>24</v>
      </c>
      <c r="L10339" s="154" t="str">
        <f>IF(OpenLCAbasic!K10339="CTUh", "Fill in Manually",IF(OR(K10339="Unit", K10339=""), "", INDEX(LookUps!$E$5:$E$12, MATCH(OpenLCAbasic!K10339,LookUps!$D$5:$D$12,0))))</f>
        <v>Acidification Potential (AP) - kg SO2 eq</v>
      </c>
      <c r="M10339" s="154" t="str">
        <f t="shared" si="868"/>
        <v>Low_High_Base_Upgraded_Acidification Potential (AP) - kg SO2 eq_Gravity Belt Thickener; wastewater treatment unit; at updated plant - US_Base_With Amendment_Aerated Static Pile</v>
      </c>
    </row>
    <row r="10340" spans="1:13" s="120" customFormat="1" x14ac:dyDescent="0.25">
      <c r="A10340" s="119"/>
      <c r="B10340" s="138" t="str">
        <f t="shared" si="869"/>
        <v>Aerated Static Pile</v>
      </c>
      <c r="C10340" s="138" t="str">
        <f t="shared" si="870"/>
        <v>Base_With Amendment</v>
      </c>
      <c r="D10340" s="138" t="str">
        <f t="shared" si="873"/>
        <v>High_Base</v>
      </c>
      <c r="E10340" s="138" t="str">
        <f t="shared" si="867"/>
        <v>Low</v>
      </c>
      <c r="F10340" s="138" t="str">
        <f t="shared" si="871"/>
        <v>Upgraded</v>
      </c>
      <c r="G10340" s="153"/>
      <c r="H10340" s="210">
        <v>4.2500000000000003E-2</v>
      </c>
      <c r="I10340" s="160" t="s">
        <v>59</v>
      </c>
      <c r="J10340" s="160">
        <v>5.1999999999999995E-4</v>
      </c>
      <c r="K10340" s="160" t="s">
        <v>24</v>
      </c>
      <c r="L10340" s="154" t="str">
        <f>IF(OpenLCAbasic!K10340="CTUh", "Fill in Manually",IF(OR(K10340="Unit", K10340=""), "", INDEX(LookUps!$E$5:$E$12, MATCH(OpenLCAbasic!K10340,LookUps!$D$5:$D$12,0))))</f>
        <v>Acidification Potential (AP) - kg SO2 eq</v>
      </c>
      <c r="M10340" s="154" t="str">
        <f t="shared" si="868"/>
        <v>Low_High_Base_Upgraded_Acidification Potential (AP) - kg SO2 eq_Blend Tank; wastewater treatment unit; at updated plant - US_Base_With Amendment_Aerated Static Pile</v>
      </c>
    </row>
    <row r="10341" spans="1:13" s="120" customFormat="1" x14ac:dyDescent="0.25">
      <c r="A10341" s="119"/>
      <c r="B10341" s="138" t="str">
        <f t="shared" si="869"/>
        <v>Aerated Static Pile</v>
      </c>
      <c r="C10341" s="138" t="str">
        <f t="shared" si="870"/>
        <v>Base_With Amendment</v>
      </c>
      <c r="D10341" s="138" t="str">
        <f t="shared" si="873"/>
        <v>High_Base</v>
      </c>
      <c r="E10341" s="138" t="str">
        <f t="shared" si="867"/>
        <v>Low</v>
      </c>
      <c r="F10341" s="138" t="str">
        <f t="shared" si="871"/>
        <v>Upgraded</v>
      </c>
      <c r="G10341" s="153"/>
      <c r="H10341" s="210">
        <v>2.8500000000000001E-2</v>
      </c>
      <c r="I10341" s="160" t="s">
        <v>48</v>
      </c>
      <c r="J10341" s="160">
        <v>3.5E-4</v>
      </c>
      <c r="K10341" s="160" t="s">
        <v>24</v>
      </c>
      <c r="L10341" s="154" t="str">
        <f>IF(OpenLCAbasic!K10341="CTUh", "Fill in Manually",IF(OR(K10341="Unit", K10341=""), "", INDEX(LookUps!$E$5:$E$12, MATCH(OpenLCAbasic!K10341,LookUps!$D$5:$D$12,0))))</f>
        <v>Acidification Potential (AP) - kg SO2 eq</v>
      </c>
      <c r="M10341" s="154" t="str">
        <f t="shared" si="868"/>
        <v>Low_High_Base_Upgraded_Acidification Potential (AP) - kg SO2 eq_Effluent release; wastewater treatment unit; at surface water; m3 wastewater - US_Base_With Amendment_Aerated Static Pile</v>
      </c>
    </row>
    <row r="10342" spans="1:13" s="120" customFormat="1" x14ac:dyDescent="0.25">
      <c r="A10342" s="119"/>
      <c r="B10342" s="138" t="str">
        <f t="shared" si="869"/>
        <v>Aerated Static Pile</v>
      </c>
      <c r="C10342" s="138" t="str">
        <f t="shared" si="870"/>
        <v>Base_With Amendment</v>
      </c>
      <c r="D10342" s="138" t="str">
        <f t="shared" si="873"/>
        <v>High_Base</v>
      </c>
      <c r="E10342" s="138" t="str">
        <f t="shared" si="867"/>
        <v>Low</v>
      </c>
      <c r="F10342" s="138" t="str">
        <f t="shared" si="871"/>
        <v>Upgraded</v>
      </c>
      <c r="G10342" s="153"/>
      <c r="H10342" s="210">
        <v>2.1000000000000001E-2</v>
      </c>
      <c r="I10342" s="160" t="s">
        <v>168</v>
      </c>
      <c r="J10342" s="160">
        <v>2.5999999999999998E-4</v>
      </c>
      <c r="K10342" s="160" t="s">
        <v>24</v>
      </c>
      <c r="L10342" s="154" t="str">
        <f>IF(OpenLCAbasic!K10342="CTUh", "Fill in Manually",IF(OR(K10342="Unit", K10342=""), "", INDEX(LookUps!$E$5:$E$12, MATCH(OpenLCAbasic!K10342,LookUps!$D$5:$D$12,0))))</f>
        <v>Acidification Potential (AP) - kg SO2 eq</v>
      </c>
      <c r="M10342" s="154" t="str">
        <f t="shared" si="868"/>
        <v>Low_High_Base_Upgraded_Acidification Potential (AP) - kg SO2 eq_ClearCove SCP; wastewater treatment unit; at updated plant - US_Base_With Amendment_Aerated Static Pile</v>
      </c>
    </row>
    <row r="10343" spans="1:13" s="120" customFormat="1" x14ac:dyDescent="0.25">
      <c r="A10343" s="119"/>
      <c r="B10343" s="138" t="str">
        <f t="shared" si="869"/>
        <v>Aerated Static Pile</v>
      </c>
      <c r="C10343" s="138" t="str">
        <f t="shared" si="870"/>
        <v>Base_With Amendment</v>
      </c>
      <c r="D10343" s="138" t="str">
        <f t="shared" si="873"/>
        <v>High_Base</v>
      </c>
      <c r="E10343" s="138" t="str">
        <f t="shared" si="867"/>
        <v>Low</v>
      </c>
      <c r="F10343" s="138" t="str">
        <f t="shared" si="871"/>
        <v>Upgraded</v>
      </c>
      <c r="G10343" s="153"/>
      <c r="H10343" s="210">
        <v>3.3E-3</v>
      </c>
      <c r="I10343" s="160" t="s">
        <v>148</v>
      </c>
      <c r="J10343" s="211">
        <v>4.0354700000000002E-5</v>
      </c>
      <c r="K10343" s="160" t="s">
        <v>24</v>
      </c>
      <c r="L10343" s="154" t="str">
        <f>IF(OpenLCAbasic!K10343="CTUh", "Fill in Manually",IF(OR(K10343="Unit", K10343=""), "", INDEX(LookUps!$E$5:$E$12, MATCH(OpenLCAbasic!K10343,LookUps!$D$5:$D$12,0))))</f>
        <v>Acidification Potential (AP) - kg SO2 eq</v>
      </c>
      <c r="M10343" s="154" t="str">
        <f t="shared" si="868"/>
        <v>Low_High_Base_Upgraded_Acidification Potential (AP) - kg SO2 eq_Control Building; at upgraded wastewater treatment plant - US_Base_With Amendment_Aerated Static Pile</v>
      </c>
    </row>
    <row r="10344" spans="1:13" s="120" customFormat="1" x14ac:dyDescent="0.25">
      <c r="A10344" s="119"/>
      <c r="B10344" s="138" t="str">
        <f t="shared" si="869"/>
        <v>Aerated Static Pile</v>
      </c>
      <c r="C10344" s="138" t="str">
        <f t="shared" si="870"/>
        <v>Base_With Amendment</v>
      </c>
      <c r="D10344" s="138" t="str">
        <f t="shared" si="873"/>
        <v>High_Base</v>
      </c>
      <c r="E10344" s="138" t="str">
        <f t="shared" si="867"/>
        <v>Low</v>
      </c>
      <c r="F10344" s="138" t="str">
        <f t="shared" si="871"/>
        <v>Upgraded</v>
      </c>
      <c r="G10344" s="153"/>
      <c r="H10344" s="210">
        <v>-3.6781000000000001</v>
      </c>
      <c r="I10344" s="160" t="s">
        <v>149</v>
      </c>
      <c r="J10344" s="160">
        <v>-4.4699999999999997E-2</v>
      </c>
      <c r="K10344" s="160" t="s">
        <v>24</v>
      </c>
      <c r="L10344" s="154" t="str">
        <f>IF(OpenLCAbasic!K10344="CTUh", "Fill in Manually",IF(OR(K10344="Unit", K10344=""), "", INDEX(LookUps!$E$5:$E$12, MATCH(OpenLCAbasic!K10344,LookUps!$D$5:$D$12,0))))</f>
        <v>Acidification Potential (AP) - kg SO2 eq</v>
      </c>
      <c r="M10344" s="154" t="str">
        <f t="shared" si="868"/>
        <v>Low_High_Base_Upgraded_Acidification Potential (AP) - kg SO2 eq_Anaerobic Digestion; wastewater treatment unit; at updated plant - US_Base_With Amendment_Aerated Static Pile</v>
      </c>
    </row>
    <row r="10345" spans="1:13" s="120" customFormat="1" x14ac:dyDescent="0.25">
      <c r="A10345" s="119"/>
      <c r="B10345" s="138" t="str">
        <f t="shared" si="869"/>
        <v/>
      </c>
      <c r="C10345" s="138" t="str">
        <f t="shared" si="870"/>
        <v/>
      </c>
      <c r="D10345" s="138" t="str">
        <f t="shared" si="873"/>
        <v/>
      </c>
      <c r="E10345" s="138" t="str">
        <f t="shared" ref="E10345:E10408" si="874">IF(ISNUMBER($J10345),"Low","")</f>
        <v/>
      </c>
      <c r="F10345" s="138" t="str">
        <f t="shared" si="871"/>
        <v/>
      </c>
      <c r="G10345" s="153" t="s">
        <v>51</v>
      </c>
      <c r="H10345" s="160"/>
      <c r="I10345" s="160" t="s">
        <v>47</v>
      </c>
      <c r="J10345" s="160" t="s">
        <v>52</v>
      </c>
      <c r="K10345" s="160" t="s">
        <v>27</v>
      </c>
      <c r="L10345" s="154" t="str">
        <f>IF(OpenLCAbasic!K10345="CTUh", "Fill in Manually",IF(OR(K10345="Unit", K10345=""), "", INDEX(LookUps!$E$5:$E$12, MATCH(OpenLCAbasic!K10345,LookUps!$D$5:$D$12,0))))</f>
        <v/>
      </c>
      <c r="M10345" s="154" t="str">
        <f t="shared" si="868"/>
        <v>____Process__</v>
      </c>
    </row>
    <row r="10346" spans="1:13" s="120" customFormat="1" x14ac:dyDescent="0.25">
      <c r="A10346" s="119"/>
      <c r="B10346" s="138" t="str">
        <f t="shared" si="869"/>
        <v>Aerated Static Pile</v>
      </c>
      <c r="C10346" s="138" t="str">
        <f t="shared" si="870"/>
        <v>Base_With Amendment</v>
      </c>
      <c r="D10346" s="138" t="str">
        <f t="shared" si="873"/>
        <v>High_Base</v>
      </c>
      <c r="E10346" s="138" t="str">
        <f t="shared" si="874"/>
        <v>Low</v>
      </c>
      <c r="F10346" s="138" t="str">
        <f t="shared" si="871"/>
        <v>Upgraded</v>
      </c>
      <c r="G10346" s="153"/>
      <c r="H10346" s="210">
        <v>4.3510999999999997</v>
      </c>
      <c r="I10346" s="160" t="s">
        <v>167</v>
      </c>
      <c r="J10346" s="160">
        <v>5.1393399999999998</v>
      </c>
      <c r="K10346" s="160" t="s">
        <v>15</v>
      </c>
      <c r="L10346" s="154" t="str">
        <f>IF(OpenLCAbasic!K10346="CTUh", "Fill in Manually",IF(OR(K10346="Unit", K10346=""), "", INDEX(LookUps!$E$5:$E$12, MATCH(OpenLCAbasic!K10346,LookUps!$D$5:$D$12,0))))</f>
        <v>Cumulative Energy Demand (CED) - MJ</v>
      </c>
      <c r="M10346" s="154" t="str">
        <f t="shared" si="868"/>
        <v>Low_High_Base_Upgraded_Cumulative Energy Demand (CED) - MJ_Waste Receiving and Holding; wastewater treatment unit; at updated plant - US_Base_With Amendment_Aerated Static Pile</v>
      </c>
    </row>
    <row r="10347" spans="1:13" s="120" customFormat="1" x14ac:dyDescent="0.25">
      <c r="A10347" s="119"/>
      <c r="B10347" s="138" t="str">
        <f t="shared" si="869"/>
        <v>Aerated Static Pile</v>
      </c>
      <c r="C10347" s="138" t="str">
        <f t="shared" si="870"/>
        <v>Base_With Amendment</v>
      </c>
      <c r="D10347" s="138" t="str">
        <f t="shared" si="873"/>
        <v>High_Base</v>
      </c>
      <c r="E10347" s="138" t="str">
        <f t="shared" si="874"/>
        <v>Low</v>
      </c>
      <c r="F10347" s="138" t="str">
        <f t="shared" si="871"/>
        <v>Upgraded</v>
      </c>
      <c r="G10347" s="153"/>
      <c r="H10347" s="210">
        <v>2.9912000000000001</v>
      </c>
      <c r="I10347" s="160" t="s">
        <v>55</v>
      </c>
      <c r="J10347" s="160">
        <v>3.5330499999999998</v>
      </c>
      <c r="K10347" s="160" t="s">
        <v>15</v>
      </c>
      <c r="L10347" s="154" t="str">
        <f>IF(OpenLCAbasic!K10347="CTUh", "Fill in Manually",IF(OR(K10347="Unit", K10347=""), "", INDEX(LookUps!$E$5:$E$12, MATCH(OpenLCAbasic!K10347,LookUps!$D$5:$D$12,0))))</f>
        <v>Cumulative Energy Demand (CED) - MJ</v>
      </c>
      <c r="M10347" s="154" t="str">
        <f t="shared" si="868"/>
        <v>Low_High_Base_Upgraded_Cumulative Energy Demand (CED) - MJ_Aeration Tanks; wastewater treatment unit; at updated plant - US_Base_With Amendment_Aerated Static Pile</v>
      </c>
    </row>
    <row r="10348" spans="1:13" s="120" customFormat="1" x14ac:dyDescent="0.25">
      <c r="A10348" s="119"/>
      <c r="B10348" s="138" t="str">
        <f t="shared" si="869"/>
        <v>Aerated Static Pile</v>
      </c>
      <c r="C10348" s="138" t="str">
        <f t="shared" si="870"/>
        <v>Base_With Amendment</v>
      </c>
      <c r="D10348" s="138" t="str">
        <f t="shared" si="873"/>
        <v>High_Base</v>
      </c>
      <c r="E10348" s="138" t="str">
        <f t="shared" si="874"/>
        <v>Low</v>
      </c>
      <c r="F10348" s="138" t="str">
        <f t="shared" si="871"/>
        <v>Upgraded</v>
      </c>
      <c r="G10348" s="153"/>
      <c r="H10348" s="210">
        <v>2.0164</v>
      </c>
      <c r="I10348" s="160" t="s">
        <v>435</v>
      </c>
      <c r="J10348" s="160">
        <v>2.3816099999999998</v>
      </c>
      <c r="K10348" s="160" t="s">
        <v>15</v>
      </c>
      <c r="L10348" s="154" t="str">
        <f>IF(OpenLCAbasic!K10348="CTUh", "Fill in Manually",IF(OR(K10348="Unit", K10348=""), "", INDEX(LookUps!$E$5:$E$12, MATCH(OpenLCAbasic!K10348,LookUps!$D$5:$D$12,0))))</f>
        <v>Cumulative Energy Demand (CED) - MJ</v>
      </c>
      <c r="M10348" s="154" t="str">
        <f t="shared" si="868"/>
        <v>Low_High_Base_Upgraded_Cumulative Energy Demand (CED) - MJ_Biosolids composting; aerated static pile; wastewater treatment unit; at updated plant - US_Base_With Amendment_Aerated Static Pile</v>
      </c>
    </row>
    <row r="10349" spans="1:13" s="120" customFormat="1" x14ac:dyDescent="0.25">
      <c r="A10349" s="119"/>
      <c r="B10349" s="138" t="str">
        <f t="shared" si="869"/>
        <v>Aerated Static Pile</v>
      </c>
      <c r="C10349" s="138" t="str">
        <f t="shared" si="870"/>
        <v>Base_With Amendment</v>
      </c>
      <c r="D10349" s="138" t="str">
        <f t="shared" si="873"/>
        <v>High_Base</v>
      </c>
      <c r="E10349" s="138" t="str">
        <f t="shared" si="874"/>
        <v>Low</v>
      </c>
      <c r="F10349" s="138" t="str">
        <f t="shared" si="871"/>
        <v>Upgraded</v>
      </c>
      <c r="G10349" s="153"/>
      <c r="H10349" s="210">
        <v>0.98450000000000004</v>
      </c>
      <c r="I10349" s="160" t="s">
        <v>54</v>
      </c>
      <c r="J10349" s="160">
        <v>1.16289</v>
      </c>
      <c r="K10349" s="160" t="s">
        <v>15</v>
      </c>
      <c r="L10349" s="154" t="str">
        <f>IF(OpenLCAbasic!K10349="CTUh", "Fill in Manually",IF(OR(K10349="Unit", K10349=""), "", INDEX(LookUps!$E$5:$E$12, MATCH(OpenLCAbasic!K10349,LookUps!$D$5:$D$12,0))))</f>
        <v>Cumulative Energy Demand (CED) - MJ</v>
      </c>
      <c r="M10349" s="154" t="str">
        <f t="shared" si="868"/>
        <v>Low_High_Base_Upgraded_Cumulative Energy Demand (CED) - MJ_Clear Cove Primary Clarification; wastewater treatment unit; at updated plant - US_Base_With Amendment_Aerated Static Pile</v>
      </c>
    </row>
    <row r="10350" spans="1:13" s="120" customFormat="1" x14ac:dyDescent="0.25">
      <c r="A10350" s="119"/>
      <c r="B10350" s="138" t="str">
        <f t="shared" si="869"/>
        <v>Aerated Static Pile</v>
      </c>
      <c r="C10350" s="138" t="str">
        <f t="shared" si="870"/>
        <v>Base_With Amendment</v>
      </c>
      <c r="D10350" s="138" t="str">
        <f t="shared" si="873"/>
        <v>High_Base</v>
      </c>
      <c r="E10350" s="138" t="str">
        <f t="shared" si="874"/>
        <v>Low</v>
      </c>
      <c r="F10350" s="138" t="str">
        <f t="shared" si="871"/>
        <v>Upgraded</v>
      </c>
      <c r="G10350" s="153"/>
      <c r="H10350" s="210">
        <v>0.754</v>
      </c>
      <c r="I10350" s="160" t="s">
        <v>58</v>
      </c>
      <c r="J10350" s="160">
        <v>0.89063999999999999</v>
      </c>
      <c r="K10350" s="160" t="s">
        <v>15</v>
      </c>
      <c r="L10350" s="154" t="str">
        <f>IF(OpenLCAbasic!K10350="CTUh", "Fill in Manually",IF(OR(K10350="Unit", K10350=""), "", INDEX(LookUps!$E$5:$E$12, MATCH(OpenLCAbasic!K10350,LookUps!$D$5:$D$12,0))))</f>
        <v>Cumulative Energy Demand (CED) - MJ</v>
      </c>
      <c r="M10350" s="154" t="str">
        <f t="shared" si="868"/>
        <v>Low_High_Base_Upgraded_Cumulative Energy Demand (CED) - MJ_Pre-Anoxic &amp; Swing tank; wastewater treatment unit; at updated plant - US_Base_With Amendment_Aerated Static Pile</v>
      </c>
    </row>
    <row r="10351" spans="1:13" s="120" customFormat="1" x14ac:dyDescent="0.25">
      <c r="A10351" s="119"/>
      <c r="B10351" s="138" t="str">
        <f t="shared" si="869"/>
        <v>Aerated Static Pile</v>
      </c>
      <c r="C10351" s="138" t="str">
        <f t="shared" si="870"/>
        <v>Base_With Amendment</v>
      </c>
      <c r="D10351" s="138" t="str">
        <f t="shared" si="873"/>
        <v>High_Base</v>
      </c>
      <c r="E10351" s="138" t="str">
        <f t="shared" si="874"/>
        <v>Low</v>
      </c>
      <c r="F10351" s="138" t="str">
        <f t="shared" si="871"/>
        <v>Upgraded</v>
      </c>
      <c r="G10351" s="153"/>
      <c r="H10351" s="210">
        <v>0.74760000000000004</v>
      </c>
      <c r="I10351" s="160" t="s">
        <v>147</v>
      </c>
      <c r="J10351" s="160">
        <v>0.88297000000000003</v>
      </c>
      <c r="K10351" s="160" t="s">
        <v>15</v>
      </c>
      <c r="L10351" s="154" t="str">
        <f>IF(OpenLCAbasic!K10351="CTUh", "Fill in Manually",IF(OR(K10351="Unit", K10351=""), "", INDEX(LookUps!$E$5:$E$12, MATCH(OpenLCAbasic!K10351,LookUps!$D$5:$D$12,0))))</f>
        <v>Cumulative Energy Demand (CED) - MJ</v>
      </c>
      <c r="M10351" s="154" t="str">
        <f t="shared" si="868"/>
        <v>Low_High_Base_Upgraded_Cumulative Energy Demand (CED) - MJ_Influent Pump Station; wastewater treatment unit; at updated plant - US_Base_With Amendment_Aerated Static Pile</v>
      </c>
    </row>
    <row r="10352" spans="1:13" s="120" customFormat="1" x14ac:dyDescent="0.25">
      <c r="A10352" s="119"/>
      <c r="B10352" s="138" t="str">
        <f t="shared" si="869"/>
        <v>Aerated Static Pile</v>
      </c>
      <c r="C10352" s="138" t="str">
        <f t="shared" si="870"/>
        <v>Base_With Amendment</v>
      </c>
      <c r="D10352" s="138" t="str">
        <f t="shared" si="873"/>
        <v>High_Base</v>
      </c>
      <c r="E10352" s="138" t="str">
        <f t="shared" si="874"/>
        <v>Low</v>
      </c>
      <c r="F10352" s="138" t="str">
        <f t="shared" si="871"/>
        <v>Upgraded</v>
      </c>
      <c r="G10352" s="153"/>
      <c r="H10352" s="210">
        <v>0.58960000000000001</v>
      </c>
      <c r="I10352" s="160" t="s">
        <v>53</v>
      </c>
      <c r="J10352" s="160">
        <v>0.69645000000000001</v>
      </c>
      <c r="K10352" s="160" t="s">
        <v>15</v>
      </c>
      <c r="L10352" s="154" t="str">
        <f>IF(OpenLCAbasic!K10352="CTUh", "Fill in Manually",IF(OR(K10352="Unit", K10352=""), "", INDEX(LookUps!$E$5:$E$12, MATCH(OpenLCAbasic!K10352,LookUps!$D$5:$D$12,0))))</f>
        <v>Cumulative Energy Demand (CED) - MJ</v>
      </c>
      <c r="M10352" s="154" t="str">
        <f t="shared" si="868"/>
        <v>Low_High_Base_Upgraded_Cumulative Energy Demand (CED) - MJ_Wet Well and Sump Station; wastewater treatment unit; at updated plant - US_Base_With Amendment_Aerated Static Pile</v>
      </c>
    </row>
    <row r="10353" spans="1:13" s="120" customFormat="1" x14ac:dyDescent="0.25">
      <c r="A10353" s="119"/>
      <c r="B10353" s="138" t="str">
        <f t="shared" si="869"/>
        <v>Aerated Static Pile</v>
      </c>
      <c r="C10353" s="138" t="str">
        <f t="shared" si="870"/>
        <v>Base_With Amendment</v>
      </c>
      <c r="D10353" s="138" t="str">
        <f t="shared" si="873"/>
        <v>High_Base</v>
      </c>
      <c r="E10353" s="138" t="str">
        <f t="shared" si="874"/>
        <v>Low</v>
      </c>
      <c r="F10353" s="138" t="str">
        <f t="shared" si="871"/>
        <v>Upgraded</v>
      </c>
      <c r="G10353" s="153"/>
      <c r="H10353" s="210">
        <v>0.46079999999999999</v>
      </c>
      <c r="I10353" s="160" t="s">
        <v>60</v>
      </c>
      <c r="J10353" s="160">
        <v>0.54422999999999999</v>
      </c>
      <c r="K10353" s="160" t="s">
        <v>15</v>
      </c>
      <c r="L10353" s="154" t="str">
        <f>IF(OpenLCAbasic!K10353="CTUh", "Fill in Manually",IF(OR(K10353="Unit", K10353=""), "", INDEX(LookUps!$E$5:$E$12, MATCH(OpenLCAbasic!K10353,LookUps!$D$5:$D$12,0))))</f>
        <v>Cumulative Energy Demand (CED) - MJ</v>
      </c>
      <c r="M10353" s="154" t="str">
        <f t="shared" si="868"/>
        <v>Low_High_Base_Upgraded_Cumulative Energy Demand (CED) - MJ_Belt filter press; wastewater treatment unit; at updated plant - US_Base_With Amendment_Aerated Static Pile</v>
      </c>
    </row>
    <row r="10354" spans="1:13" s="120" customFormat="1" x14ac:dyDescent="0.25">
      <c r="A10354" s="119"/>
      <c r="B10354" s="138" t="str">
        <f t="shared" si="869"/>
        <v>Aerated Static Pile</v>
      </c>
      <c r="C10354" s="138" t="str">
        <f t="shared" si="870"/>
        <v>Base_With Amendment</v>
      </c>
      <c r="D10354" s="138" t="str">
        <f t="shared" si="873"/>
        <v>High_Base</v>
      </c>
      <c r="E10354" s="138" t="str">
        <f t="shared" si="874"/>
        <v>Low</v>
      </c>
      <c r="F10354" s="138" t="str">
        <f t="shared" si="871"/>
        <v>Upgraded</v>
      </c>
      <c r="G10354" s="153"/>
      <c r="H10354" s="210">
        <v>0.2828</v>
      </c>
      <c r="I10354" s="160" t="s">
        <v>57</v>
      </c>
      <c r="J10354" s="160">
        <v>0.33404</v>
      </c>
      <c r="K10354" s="160" t="s">
        <v>15</v>
      </c>
      <c r="L10354" s="154" t="str">
        <f>IF(OpenLCAbasic!K10354="CTUh", "Fill in Manually",IF(OR(K10354="Unit", K10354=""), "", INDEX(LookUps!$E$5:$E$12, MATCH(OpenLCAbasic!K10354,LookUps!$D$5:$D$12,0))))</f>
        <v>Cumulative Energy Demand (CED) - MJ</v>
      </c>
      <c r="M10354" s="154" t="str">
        <f t="shared" si="868"/>
        <v>Low_High_Base_Upgraded_Cumulative Energy Demand (CED) - MJ_Gravity Belt Thickener; wastewater treatment unit; at updated plant - US_Base_With Amendment_Aerated Static Pile</v>
      </c>
    </row>
    <row r="10355" spans="1:13" s="120" customFormat="1" x14ac:dyDescent="0.25">
      <c r="A10355" s="119"/>
      <c r="B10355" s="138" t="str">
        <f t="shared" si="869"/>
        <v>Aerated Static Pile</v>
      </c>
      <c r="C10355" s="138" t="str">
        <f t="shared" si="870"/>
        <v>Base_With Amendment</v>
      </c>
      <c r="D10355" s="138" t="str">
        <f t="shared" si="873"/>
        <v>High_Base</v>
      </c>
      <c r="E10355" s="138" t="str">
        <f t="shared" si="874"/>
        <v>Low</v>
      </c>
      <c r="F10355" s="138" t="str">
        <f t="shared" si="871"/>
        <v>Upgraded</v>
      </c>
      <c r="G10355" s="153"/>
      <c r="H10355" s="210">
        <v>0.21679999999999999</v>
      </c>
      <c r="I10355" s="160" t="s">
        <v>128</v>
      </c>
      <c r="J10355" s="160">
        <v>0.25606000000000001</v>
      </c>
      <c r="K10355" s="160" t="s">
        <v>15</v>
      </c>
      <c r="L10355" s="154" t="str">
        <f>IF(OpenLCAbasic!K10355="CTUh", "Fill in Manually",IF(OR(K10355="Unit", K10355=""), "", INDEX(LookUps!$E$5:$E$12, MATCH(OpenLCAbasic!K10355,LookUps!$D$5:$D$12,0))))</f>
        <v>Cumulative Energy Demand (CED) - MJ</v>
      </c>
      <c r="M10355" s="154" t="str">
        <f t="shared" ref="M10355:M10418" si="875">CONCATENATE(E10355,"_",D10355,"_",F10355,"_",L10355, "_",I10355,"_", C10355,"_", B10355)</f>
        <v>Low_High_Base_Upgraded_Cumulative Energy Demand (CED) - MJ_Wastewater collection; operation and infrastructure; m3 wastewater_Base_With Amendment_Aerated Static Pile</v>
      </c>
    </row>
    <row r="10356" spans="1:13" s="120" customFormat="1" x14ac:dyDescent="0.25">
      <c r="A10356" s="119"/>
      <c r="B10356" s="138" t="str">
        <f t="shared" si="869"/>
        <v>Aerated Static Pile</v>
      </c>
      <c r="C10356" s="138" t="str">
        <f t="shared" si="870"/>
        <v>Base_With Amendment</v>
      </c>
      <c r="D10356" s="138" t="str">
        <f t="shared" si="873"/>
        <v>High_Base</v>
      </c>
      <c r="E10356" s="138" t="str">
        <f t="shared" si="874"/>
        <v>Low</v>
      </c>
      <c r="F10356" s="138" t="str">
        <f t="shared" si="871"/>
        <v>Upgraded</v>
      </c>
      <c r="G10356" s="153"/>
      <c r="H10356" s="210">
        <v>0.1236</v>
      </c>
      <c r="I10356" s="160" t="s">
        <v>148</v>
      </c>
      <c r="J10356" s="160">
        <v>0.14599000000000001</v>
      </c>
      <c r="K10356" s="160" t="s">
        <v>15</v>
      </c>
      <c r="L10356" s="154" t="str">
        <f>IF(OpenLCAbasic!K10356="CTUh", "Fill in Manually",IF(OR(K10356="Unit", K10356=""), "", INDEX(LookUps!$E$5:$E$12, MATCH(OpenLCAbasic!K10356,LookUps!$D$5:$D$12,0))))</f>
        <v>Cumulative Energy Demand (CED) - MJ</v>
      </c>
      <c r="M10356" s="154" t="str">
        <f t="shared" si="875"/>
        <v>Low_High_Base_Upgraded_Cumulative Energy Demand (CED) - MJ_Control Building; at upgraded wastewater treatment plant - US_Base_With Amendment_Aerated Static Pile</v>
      </c>
    </row>
    <row r="10357" spans="1:13" s="120" customFormat="1" x14ac:dyDescent="0.25">
      <c r="A10357" s="119"/>
      <c r="B10357" s="138" t="str">
        <f t="shared" si="869"/>
        <v>Aerated Static Pile</v>
      </c>
      <c r="C10357" s="138" t="str">
        <f t="shared" si="870"/>
        <v>Base_With Amendment</v>
      </c>
      <c r="D10357" s="138" t="str">
        <f t="shared" si="873"/>
        <v>High_Base</v>
      </c>
      <c r="E10357" s="138" t="str">
        <f t="shared" si="874"/>
        <v>Low</v>
      </c>
      <c r="F10357" s="138" t="str">
        <f t="shared" si="871"/>
        <v>Upgraded</v>
      </c>
      <c r="G10357" s="153"/>
      <c r="H10357" s="210">
        <v>0.1128</v>
      </c>
      <c r="I10357" s="160" t="s">
        <v>48</v>
      </c>
      <c r="J10357" s="160">
        <v>0.13321</v>
      </c>
      <c r="K10357" s="160" t="s">
        <v>15</v>
      </c>
      <c r="L10357" s="154" t="str">
        <f>IF(OpenLCAbasic!K10357="CTUh", "Fill in Manually",IF(OR(K10357="Unit", K10357=""), "", INDEX(LookUps!$E$5:$E$12, MATCH(OpenLCAbasic!K10357,LookUps!$D$5:$D$12,0))))</f>
        <v>Cumulative Energy Demand (CED) - MJ</v>
      </c>
      <c r="M10357" s="154" t="str">
        <f t="shared" si="875"/>
        <v>Low_High_Base_Upgraded_Cumulative Energy Demand (CED) - MJ_Effluent release; wastewater treatment unit; at surface water; m3 wastewater - US_Base_With Amendment_Aerated Static Pile</v>
      </c>
    </row>
    <row r="10358" spans="1:13" s="120" customFormat="1" x14ac:dyDescent="0.25">
      <c r="A10358" s="119"/>
      <c r="B10358" s="138" t="str">
        <f t="shared" si="869"/>
        <v>Aerated Static Pile</v>
      </c>
      <c r="C10358" s="138" t="str">
        <f t="shared" si="870"/>
        <v>Base_With Amendment</v>
      </c>
      <c r="D10358" s="138" t="str">
        <f t="shared" si="873"/>
        <v>High_Base</v>
      </c>
      <c r="E10358" s="138" t="str">
        <f t="shared" si="874"/>
        <v>Low</v>
      </c>
      <c r="F10358" s="138" t="str">
        <f t="shared" si="871"/>
        <v>Upgraded</v>
      </c>
      <c r="G10358" s="153"/>
      <c r="H10358" s="210">
        <v>9.01E-2</v>
      </c>
      <c r="I10358" s="160" t="s">
        <v>59</v>
      </c>
      <c r="J10358" s="160">
        <v>0.10638</v>
      </c>
      <c r="K10358" s="160" t="s">
        <v>15</v>
      </c>
      <c r="L10358" s="154" t="str">
        <f>IF(OpenLCAbasic!K10358="CTUh", "Fill in Manually",IF(OR(K10358="Unit", K10358=""), "", INDEX(LookUps!$E$5:$E$12, MATCH(OpenLCAbasic!K10358,LookUps!$D$5:$D$12,0))))</f>
        <v>Cumulative Energy Demand (CED) - MJ</v>
      </c>
      <c r="M10358" s="154" t="str">
        <f t="shared" si="875"/>
        <v>Low_High_Base_Upgraded_Cumulative Energy Demand (CED) - MJ_Blend Tank; wastewater treatment unit; at updated plant - US_Base_With Amendment_Aerated Static Pile</v>
      </c>
    </row>
    <row r="10359" spans="1:13" s="120" customFormat="1" x14ac:dyDescent="0.25">
      <c r="A10359" s="119"/>
      <c r="B10359" s="138" t="str">
        <f t="shared" si="869"/>
        <v>Aerated Static Pile</v>
      </c>
      <c r="C10359" s="138" t="str">
        <f t="shared" si="870"/>
        <v>Base_With Amendment</v>
      </c>
      <c r="D10359" s="138" t="str">
        <f t="shared" si="873"/>
        <v>High_Base</v>
      </c>
      <c r="E10359" s="138" t="str">
        <f t="shared" si="874"/>
        <v>Low</v>
      </c>
      <c r="F10359" s="138" t="str">
        <f t="shared" si="871"/>
        <v>Upgraded</v>
      </c>
      <c r="G10359" s="153"/>
      <c r="H10359" s="210">
        <v>4.3099999999999999E-2</v>
      </c>
      <c r="I10359" s="160" t="s">
        <v>168</v>
      </c>
      <c r="J10359" s="160">
        <v>5.0930000000000003E-2</v>
      </c>
      <c r="K10359" s="160" t="s">
        <v>15</v>
      </c>
      <c r="L10359" s="154" t="str">
        <f>IF(OpenLCAbasic!K10359="CTUh", "Fill in Manually",IF(OR(K10359="Unit", K10359=""), "", INDEX(LookUps!$E$5:$E$12, MATCH(OpenLCAbasic!K10359,LookUps!$D$5:$D$12,0))))</f>
        <v>Cumulative Energy Demand (CED) - MJ</v>
      </c>
      <c r="M10359" s="154" t="str">
        <f t="shared" si="875"/>
        <v>Low_High_Base_Upgraded_Cumulative Energy Demand (CED) - MJ_ClearCove SCP; wastewater treatment unit; at updated plant - US_Base_With Amendment_Aerated Static Pile</v>
      </c>
    </row>
    <row r="10360" spans="1:13" s="120" customFormat="1" x14ac:dyDescent="0.25">
      <c r="A10360" s="119"/>
      <c r="B10360" s="138" t="str">
        <f t="shared" si="869"/>
        <v>Aerated Static Pile</v>
      </c>
      <c r="C10360" s="138" t="str">
        <f t="shared" si="870"/>
        <v>Base_With Amendment</v>
      </c>
      <c r="D10360" s="138" t="str">
        <f t="shared" si="873"/>
        <v>High_Base</v>
      </c>
      <c r="E10360" s="138" t="str">
        <f t="shared" si="874"/>
        <v>Low</v>
      </c>
      <c r="F10360" s="138" t="str">
        <f t="shared" si="871"/>
        <v>Upgraded</v>
      </c>
      <c r="G10360" s="153"/>
      <c r="H10360" s="210">
        <v>-0.75929999999999997</v>
      </c>
      <c r="I10360" s="160" t="s">
        <v>62</v>
      </c>
      <c r="J10360" s="160">
        <v>-0.89685999999999999</v>
      </c>
      <c r="K10360" s="160" t="s">
        <v>15</v>
      </c>
      <c r="L10360" s="154" t="str">
        <f>IF(OpenLCAbasic!K10360="CTUh", "Fill in Manually",IF(OR(K10360="Unit", K10360=""), "", INDEX(LookUps!$E$5:$E$12, MATCH(OpenLCAbasic!K10360,LookUps!$D$5:$D$12,0))))</f>
        <v>Cumulative Energy Demand (CED) - MJ</v>
      </c>
      <c r="M10360" s="154" t="str">
        <f t="shared" si="875"/>
        <v>Low_High_Base_Upgraded_Cumulative Energy Demand (CED) - MJ_Land application of compost; wastewater treatment unit; at updated plant - US_Base_With Amendment_Aerated Static Pile</v>
      </c>
    </row>
    <row r="10361" spans="1:13" s="120" customFormat="1" x14ac:dyDescent="0.25">
      <c r="A10361" s="119"/>
      <c r="B10361" s="138" t="str">
        <f t="shared" ref="B10361:B10424" si="876">IF(F10361="Legacy","n.a.",IF(F10361="","","Aerated Static Pile"))</f>
        <v>Aerated Static Pile</v>
      </c>
      <c r="C10361" s="138" t="str">
        <f t="shared" ref="C10361:C10424" si="877">IF(ISNUMBER($J10361),"Base_With Amendment","")</f>
        <v>Base_With Amendment</v>
      </c>
      <c r="D10361" s="138" t="str">
        <f t="shared" si="873"/>
        <v>High_Base</v>
      </c>
      <c r="E10361" s="138" t="str">
        <f t="shared" si="874"/>
        <v>Low</v>
      </c>
      <c r="F10361" s="138" t="str">
        <f t="shared" ref="F10361:F10424" si="878">IF(ISNUMBER(J10361),"Upgraded","")</f>
        <v>Upgraded</v>
      </c>
      <c r="G10361" s="153"/>
      <c r="H10361" s="210">
        <v>-12.005100000000001</v>
      </c>
      <c r="I10361" s="160" t="s">
        <v>149</v>
      </c>
      <c r="J10361" s="160">
        <v>-14.179790000000001</v>
      </c>
      <c r="K10361" s="160" t="s">
        <v>15</v>
      </c>
      <c r="L10361" s="154" t="str">
        <f>IF(OpenLCAbasic!K10361="CTUh", "Fill in Manually",IF(OR(K10361="Unit", K10361=""), "", INDEX(LookUps!$E$5:$E$12, MATCH(OpenLCAbasic!K10361,LookUps!$D$5:$D$12,0))))</f>
        <v>Cumulative Energy Demand (CED) - MJ</v>
      </c>
      <c r="M10361" s="154" t="str">
        <f t="shared" si="875"/>
        <v>Low_High_Base_Upgraded_Cumulative Energy Demand (CED) - MJ_Anaerobic Digestion; wastewater treatment unit; at updated plant - US_Base_With Amendment_Aerated Static Pile</v>
      </c>
    </row>
    <row r="10362" spans="1:13" s="120" customFormat="1" x14ac:dyDescent="0.25">
      <c r="A10362" s="119"/>
      <c r="B10362" s="138" t="str">
        <f t="shared" si="876"/>
        <v/>
      </c>
      <c r="C10362" s="138" t="str">
        <f t="shared" si="877"/>
        <v/>
      </c>
      <c r="D10362" s="138" t="str">
        <f t="shared" si="873"/>
        <v/>
      </c>
      <c r="E10362" s="138" t="str">
        <f t="shared" si="874"/>
        <v/>
      </c>
      <c r="F10362" s="138" t="str">
        <f t="shared" si="878"/>
        <v/>
      </c>
      <c r="G10362" s="153" t="s">
        <v>51</v>
      </c>
      <c r="H10362" s="160"/>
      <c r="I10362" s="160" t="s">
        <v>47</v>
      </c>
      <c r="J10362" s="160" t="s">
        <v>52</v>
      </c>
      <c r="K10362" s="160" t="s">
        <v>27</v>
      </c>
      <c r="L10362" s="154" t="str">
        <f>IF(OpenLCAbasic!K10362="CTUh", "Fill in Manually",IF(OR(K10362="Unit", K10362=""), "", INDEX(LookUps!$E$5:$E$12, MATCH(OpenLCAbasic!K10362,LookUps!$D$5:$D$12,0))))</f>
        <v/>
      </c>
      <c r="M10362" s="154" t="str">
        <f t="shared" si="875"/>
        <v>____Process__</v>
      </c>
    </row>
    <row r="10363" spans="1:13" s="120" customFormat="1" x14ac:dyDescent="0.25">
      <c r="A10363" s="119"/>
      <c r="B10363" s="138" t="str">
        <f t="shared" si="876"/>
        <v>Aerated Static Pile</v>
      </c>
      <c r="C10363" s="138" t="str">
        <f t="shared" si="877"/>
        <v>Base_With Amendment</v>
      </c>
      <c r="D10363" s="138" t="str">
        <f t="shared" si="873"/>
        <v>High_Base</v>
      </c>
      <c r="E10363" s="138" t="str">
        <f t="shared" si="874"/>
        <v>Low</v>
      </c>
      <c r="F10363" s="138" t="str">
        <f t="shared" si="878"/>
        <v>Upgraded</v>
      </c>
      <c r="G10363" s="153"/>
      <c r="H10363" s="210">
        <v>0.71050000000000002</v>
      </c>
      <c r="I10363" s="160" t="s">
        <v>48</v>
      </c>
      <c r="J10363" s="160">
        <v>1.1610000000000001E-2</v>
      </c>
      <c r="K10363" s="160" t="s">
        <v>13</v>
      </c>
      <c r="L10363" s="154" t="str">
        <f>IF(OpenLCAbasic!K10363="CTUh", "Fill in Manually",IF(OR(K10363="Unit", K10363=""), "", INDEX(LookUps!$E$5:$E$12, MATCH(OpenLCAbasic!K10363,LookUps!$D$5:$D$12,0))))</f>
        <v>Eutrophication Potential (EP) - kg N eq</v>
      </c>
      <c r="M10363" s="154" t="str">
        <f t="shared" si="875"/>
        <v>Low_High_Base_Upgraded_Eutrophication Potential (EP) - kg N eq_Effluent release; wastewater treatment unit; at surface water; m3 wastewater - US_Base_With Amendment_Aerated Static Pile</v>
      </c>
    </row>
    <row r="10364" spans="1:13" s="120" customFormat="1" x14ac:dyDescent="0.25">
      <c r="A10364" s="119"/>
      <c r="B10364" s="138" t="str">
        <f t="shared" si="876"/>
        <v>Aerated Static Pile</v>
      </c>
      <c r="C10364" s="138" t="str">
        <f t="shared" si="877"/>
        <v>Base_With Amendment</v>
      </c>
      <c r="D10364" s="138" t="str">
        <f t="shared" si="873"/>
        <v>High_Base</v>
      </c>
      <c r="E10364" s="138" t="str">
        <f t="shared" si="874"/>
        <v>Low</v>
      </c>
      <c r="F10364" s="138" t="str">
        <f t="shared" si="878"/>
        <v>Upgraded</v>
      </c>
      <c r="G10364" s="153"/>
      <c r="H10364" s="210">
        <v>0.24690000000000001</v>
      </c>
      <c r="I10364" s="160" t="s">
        <v>62</v>
      </c>
      <c r="J10364" s="160">
        <v>4.0400000000000002E-3</v>
      </c>
      <c r="K10364" s="160" t="s">
        <v>13</v>
      </c>
      <c r="L10364" s="154" t="str">
        <f>IF(OpenLCAbasic!K10364="CTUh", "Fill in Manually",IF(OR(K10364="Unit", K10364=""), "", INDEX(LookUps!$E$5:$E$12, MATCH(OpenLCAbasic!K10364,LookUps!$D$5:$D$12,0))))</f>
        <v>Eutrophication Potential (EP) - kg N eq</v>
      </c>
      <c r="M10364" s="154" t="str">
        <f t="shared" si="875"/>
        <v>Low_High_Base_Upgraded_Eutrophication Potential (EP) - kg N eq_Land application of compost; wastewater treatment unit; at updated plant - US_Base_With Amendment_Aerated Static Pile</v>
      </c>
    </row>
    <row r="10365" spans="1:13" s="120" customFormat="1" x14ac:dyDescent="0.25">
      <c r="A10365" s="119"/>
      <c r="B10365" s="138" t="str">
        <f t="shared" si="876"/>
        <v>Aerated Static Pile</v>
      </c>
      <c r="C10365" s="138" t="str">
        <f t="shared" si="877"/>
        <v>Base_With Amendment</v>
      </c>
      <c r="D10365" s="138" t="str">
        <f t="shared" si="873"/>
        <v>High_Base</v>
      </c>
      <c r="E10365" s="138" t="str">
        <f t="shared" si="874"/>
        <v>Low</v>
      </c>
      <c r="F10365" s="138" t="str">
        <f t="shared" si="878"/>
        <v>Upgraded</v>
      </c>
      <c r="G10365" s="153"/>
      <c r="H10365" s="210">
        <v>3.3399999999999999E-2</v>
      </c>
      <c r="I10365" s="160" t="s">
        <v>55</v>
      </c>
      <c r="J10365" s="160">
        <v>5.5000000000000003E-4</v>
      </c>
      <c r="K10365" s="160" t="s">
        <v>13</v>
      </c>
      <c r="L10365" s="154" t="str">
        <f>IF(OpenLCAbasic!K10365="CTUh", "Fill in Manually",IF(OR(K10365="Unit", K10365=""), "", INDEX(LookUps!$E$5:$E$12, MATCH(OpenLCAbasic!K10365,LookUps!$D$5:$D$12,0))))</f>
        <v>Eutrophication Potential (EP) - kg N eq</v>
      </c>
      <c r="M10365" s="154" t="str">
        <f t="shared" si="875"/>
        <v>Low_High_Base_Upgraded_Eutrophication Potential (EP) - kg N eq_Aeration Tanks; wastewater treatment unit; at updated plant - US_Base_With Amendment_Aerated Static Pile</v>
      </c>
    </row>
    <row r="10366" spans="1:13" s="120" customFormat="1" x14ac:dyDescent="0.25">
      <c r="A10366" s="119"/>
      <c r="B10366" s="138" t="str">
        <f t="shared" si="876"/>
        <v>Aerated Static Pile</v>
      </c>
      <c r="C10366" s="138" t="str">
        <f t="shared" si="877"/>
        <v>Base_With Amendment</v>
      </c>
      <c r="D10366" s="138" t="str">
        <f t="shared" si="873"/>
        <v>High_Base</v>
      </c>
      <c r="E10366" s="138" t="str">
        <f t="shared" si="874"/>
        <v>Low</v>
      </c>
      <c r="F10366" s="138" t="str">
        <f t="shared" si="878"/>
        <v>Upgraded</v>
      </c>
      <c r="G10366" s="153"/>
      <c r="H10366" s="210">
        <v>2.23E-2</v>
      </c>
      <c r="I10366" s="160" t="s">
        <v>435</v>
      </c>
      <c r="J10366" s="160">
        <v>3.6999999999999999E-4</v>
      </c>
      <c r="K10366" s="160" t="s">
        <v>13</v>
      </c>
      <c r="L10366" s="154" t="str">
        <f>IF(OpenLCAbasic!K10366="CTUh", "Fill in Manually",IF(OR(K10366="Unit", K10366=""), "", INDEX(LookUps!$E$5:$E$12, MATCH(OpenLCAbasic!K10366,LookUps!$D$5:$D$12,0))))</f>
        <v>Eutrophication Potential (EP) - kg N eq</v>
      </c>
      <c r="M10366" s="154" t="str">
        <f t="shared" si="875"/>
        <v>Low_High_Base_Upgraded_Eutrophication Potential (EP) - kg N eq_Biosolids composting; aerated static pile; wastewater treatment unit; at updated plant - US_Base_With Amendment_Aerated Static Pile</v>
      </c>
    </row>
    <row r="10367" spans="1:13" s="120" customFormat="1" x14ac:dyDescent="0.25">
      <c r="A10367" s="119"/>
      <c r="B10367" s="138" t="str">
        <f t="shared" si="876"/>
        <v>Aerated Static Pile</v>
      </c>
      <c r="C10367" s="138" t="str">
        <f t="shared" si="877"/>
        <v>Base_With Amendment</v>
      </c>
      <c r="D10367" s="138" t="str">
        <f t="shared" si="873"/>
        <v>High_Base</v>
      </c>
      <c r="E10367" s="138" t="str">
        <f t="shared" si="874"/>
        <v>Low</v>
      </c>
      <c r="F10367" s="138" t="str">
        <f t="shared" si="878"/>
        <v>Upgraded</v>
      </c>
      <c r="G10367" s="153"/>
      <c r="H10367" s="210">
        <v>1.5299999999999999E-2</v>
      </c>
      <c r="I10367" s="160" t="s">
        <v>147</v>
      </c>
      <c r="J10367" s="160">
        <v>2.5000000000000001E-4</v>
      </c>
      <c r="K10367" s="160" t="s">
        <v>13</v>
      </c>
      <c r="L10367" s="154" t="str">
        <f>IF(OpenLCAbasic!K10367="CTUh", "Fill in Manually",IF(OR(K10367="Unit", K10367=""), "", INDEX(LookUps!$E$5:$E$12, MATCH(OpenLCAbasic!K10367,LookUps!$D$5:$D$12,0))))</f>
        <v>Eutrophication Potential (EP) - kg N eq</v>
      </c>
      <c r="M10367" s="154" t="str">
        <f t="shared" si="875"/>
        <v>Low_High_Base_Upgraded_Eutrophication Potential (EP) - kg N eq_Influent Pump Station; wastewater treatment unit; at updated plant - US_Base_With Amendment_Aerated Static Pile</v>
      </c>
    </row>
    <row r="10368" spans="1:13" s="120" customFormat="1" x14ac:dyDescent="0.25">
      <c r="A10368" s="119"/>
      <c r="B10368" s="138" t="str">
        <f t="shared" si="876"/>
        <v>Aerated Static Pile</v>
      </c>
      <c r="C10368" s="138" t="str">
        <f t="shared" si="877"/>
        <v>Base_With Amendment</v>
      </c>
      <c r="D10368" s="138" t="str">
        <f t="shared" si="873"/>
        <v>High_Base</v>
      </c>
      <c r="E10368" s="138" t="str">
        <f t="shared" si="874"/>
        <v>Low</v>
      </c>
      <c r="F10368" s="138" t="str">
        <f t="shared" si="878"/>
        <v>Upgraded</v>
      </c>
      <c r="G10368" s="153"/>
      <c r="H10368" s="210">
        <v>1.35E-2</v>
      </c>
      <c r="I10368" s="160" t="s">
        <v>167</v>
      </c>
      <c r="J10368" s="160">
        <v>2.2000000000000001E-4</v>
      </c>
      <c r="K10368" s="160" t="s">
        <v>13</v>
      </c>
      <c r="L10368" s="154" t="str">
        <f>IF(OpenLCAbasic!K10368="CTUh", "Fill in Manually",IF(OR(K10368="Unit", K10368=""), "", INDEX(LookUps!$E$5:$E$12, MATCH(OpenLCAbasic!K10368,LookUps!$D$5:$D$12,0))))</f>
        <v>Eutrophication Potential (EP) - kg N eq</v>
      </c>
      <c r="M10368" s="154" t="str">
        <f t="shared" si="875"/>
        <v>Low_High_Base_Upgraded_Eutrophication Potential (EP) - kg N eq_Waste Receiving and Holding; wastewater treatment unit; at updated plant - US_Base_With Amendment_Aerated Static Pile</v>
      </c>
    </row>
    <row r="10369" spans="1:13" s="120" customFormat="1" x14ac:dyDescent="0.25">
      <c r="A10369" s="119"/>
      <c r="B10369" s="138" t="str">
        <f t="shared" si="876"/>
        <v>Aerated Static Pile</v>
      </c>
      <c r="C10369" s="138" t="str">
        <f t="shared" si="877"/>
        <v>Base_With Amendment</v>
      </c>
      <c r="D10369" s="138" t="str">
        <f t="shared" si="873"/>
        <v>High_Base</v>
      </c>
      <c r="E10369" s="138" t="str">
        <f t="shared" si="874"/>
        <v>Low</v>
      </c>
      <c r="F10369" s="138" t="str">
        <f t="shared" si="878"/>
        <v>Upgraded</v>
      </c>
      <c r="G10369" s="153"/>
      <c r="H10369" s="210">
        <v>1.21E-2</v>
      </c>
      <c r="I10369" s="160" t="s">
        <v>54</v>
      </c>
      <c r="J10369" s="160">
        <v>2.0000000000000001E-4</v>
      </c>
      <c r="K10369" s="160" t="s">
        <v>13</v>
      </c>
      <c r="L10369" s="154" t="str">
        <f>IF(OpenLCAbasic!K10369="CTUh", "Fill in Manually",IF(OR(K10369="Unit", K10369=""), "", INDEX(LookUps!$E$5:$E$12, MATCH(OpenLCAbasic!K10369,LookUps!$D$5:$D$12,0))))</f>
        <v>Eutrophication Potential (EP) - kg N eq</v>
      </c>
      <c r="M10369" s="154" t="str">
        <f t="shared" si="875"/>
        <v>Low_High_Base_Upgraded_Eutrophication Potential (EP) - kg N eq_Clear Cove Primary Clarification; wastewater treatment unit; at updated plant - US_Base_With Amendment_Aerated Static Pile</v>
      </c>
    </row>
    <row r="10370" spans="1:13" s="120" customFormat="1" x14ac:dyDescent="0.25">
      <c r="A10370" s="119"/>
      <c r="B10370" s="138" t="str">
        <f t="shared" si="876"/>
        <v>Aerated Static Pile</v>
      </c>
      <c r="C10370" s="138" t="str">
        <f t="shared" si="877"/>
        <v>Base_With Amendment</v>
      </c>
      <c r="D10370" s="138" t="str">
        <f t="shared" si="873"/>
        <v>High_Base</v>
      </c>
      <c r="E10370" s="138" t="str">
        <f t="shared" si="874"/>
        <v>Low</v>
      </c>
      <c r="F10370" s="138" t="str">
        <f t="shared" si="878"/>
        <v>Upgraded</v>
      </c>
      <c r="G10370" s="153"/>
      <c r="H10370" s="210">
        <v>8.3000000000000001E-3</v>
      </c>
      <c r="I10370" s="160" t="s">
        <v>58</v>
      </c>
      <c r="J10370" s="160">
        <v>1.3999999999999999E-4</v>
      </c>
      <c r="K10370" s="160" t="s">
        <v>13</v>
      </c>
      <c r="L10370" s="154" t="str">
        <f>IF(OpenLCAbasic!K10370="CTUh", "Fill in Manually",IF(OR(K10370="Unit", K10370=""), "", INDEX(LookUps!$E$5:$E$12, MATCH(OpenLCAbasic!K10370,LookUps!$D$5:$D$12,0))))</f>
        <v>Eutrophication Potential (EP) - kg N eq</v>
      </c>
      <c r="M10370" s="154" t="str">
        <f t="shared" si="875"/>
        <v>Low_High_Base_Upgraded_Eutrophication Potential (EP) - kg N eq_Pre-Anoxic &amp; Swing tank; wastewater treatment unit; at updated plant - US_Base_With Amendment_Aerated Static Pile</v>
      </c>
    </row>
    <row r="10371" spans="1:13" s="120" customFormat="1" x14ac:dyDescent="0.25">
      <c r="A10371" s="119"/>
      <c r="B10371" s="138" t="str">
        <f t="shared" si="876"/>
        <v>Aerated Static Pile</v>
      </c>
      <c r="C10371" s="138" t="str">
        <f t="shared" si="877"/>
        <v>Base_With Amendment</v>
      </c>
      <c r="D10371" s="138" t="str">
        <f t="shared" si="873"/>
        <v>High_Base</v>
      </c>
      <c r="E10371" s="138" t="str">
        <f t="shared" si="874"/>
        <v>Low</v>
      </c>
      <c r="F10371" s="138" t="str">
        <f t="shared" si="878"/>
        <v>Upgraded</v>
      </c>
      <c r="G10371" s="153"/>
      <c r="H10371" s="210">
        <v>6.6E-3</v>
      </c>
      <c r="I10371" s="160" t="s">
        <v>53</v>
      </c>
      <c r="J10371" s="160">
        <v>1.1E-4</v>
      </c>
      <c r="K10371" s="160" t="s">
        <v>13</v>
      </c>
      <c r="L10371" s="154" t="str">
        <f>IF(OpenLCAbasic!K10371="CTUh", "Fill in Manually",IF(OR(K10371="Unit", K10371=""), "", INDEX(LookUps!$E$5:$E$12, MATCH(OpenLCAbasic!K10371,LookUps!$D$5:$D$12,0))))</f>
        <v>Eutrophication Potential (EP) - kg N eq</v>
      </c>
      <c r="M10371" s="154" t="str">
        <f t="shared" si="875"/>
        <v>Low_High_Base_Upgraded_Eutrophication Potential (EP) - kg N eq_Wet Well and Sump Station; wastewater treatment unit; at updated plant - US_Base_With Amendment_Aerated Static Pile</v>
      </c>
    </row>
    <row r="10372" spans="1:13" s="120" customFormat="1" x14ac:dyDescent="0.25">
      <c r="A10372" s="119"/>
      <c r="B10372" s="138" t="str">
        <f t="shared" si="876"/>
        <v>Aerated Static Pile</v>
      </c>
      <c r="C10372" s="138" t="str">
        <f t="shared" si="877"/>
        <v>Base_With Amendment</v>
      </c>
      <c r="D10372" s="138" t="str">
        <f t="shared" si="873"/>
        <v>High_Base</v>
      </c>
      <c r="E10372" s="138" t="str">
        <f t="shared" si="874"/>
        <v>Low</v>
      </c>
      <c r="F10372" s="138" t="str">
        <f t="shared" si="878"/>
        <v>Upgraded</v>
      </c>
      <c r="G10372" s="153"/>
      <c r="H10372" s="210">
        <v>5.7999999999999996E-3</v>
      </c>
      <c r="I10372" s="160" t="s">
        <v>60</v>
      </c>
      <c r="J10372" s="211">
        <v>9.5601799999999997E-5</v>
      </c>
      <c r="K10372" s="160" t="s">
        <v>13</v>
      </c>
      <c r="L10372" s="154" t="str">
        <f>IF(OpenLCAbasic!K10372="CTUh", "Fill in Manually",IF(OR(K10372="Unit", K10372=""), "", INDEX(LookUps!$E$5:$E$12, MATCH(OpenLCAbasic!K10372,LookUps!$D$5:$D$12,0))))</f>
        <v>Eutrophication Potential (EP) - kg N eq</v>
      </c>
      <c r="M10372" s="154" t="str">
        <f t="shared" si="875"/>
        <v>Low_High_Base_Upgraded_Eutrophication Potential (EP) - kg N eq_Belt filter press; wastewater treatment unit; at updated plant - US_Base_With Amendment_Aerated Static Pile</v>
      </c>
    </row>
    <row r="10373" spans="1:13" s="120" customFormat="1" x14ac:dyDescent="0.25">
      <c r="A10373" s="119"/>
      <c r="B10373" s="138" t="str">
        <f t="shared" si="876"/>
        <v>Aerated Static Pile</v>
      </c>
      <c r="C10373" s="138" t="str">
        <f t="shared" si="877"/>
        <v>Base_With Amendment</v>
      </c>
      <c r="D10373" s="138" t="str">
        <f t="shared" si="873"/>
        <v>High_Base</v>
      </c>
      <c r="E10373" s="138" t="str">
        <f t="shared" si="874"/>
        <v>Low</v>
      </c>
      <c r="F10373" s="138" t="str">
        <f t="shared" si="878"/>
        <v>Upgraded</v>
      </c>
      <c r="G10373" s="153"/>
      <c r="H10373" s="210">
        <v>3.7000000000000002E-3</v>
      </c>
      <c r="I10373" s="160" t="s">
        <v>57</v>
      </c>
      <c r="J10373" s="211">
        <v>6.0590300000000002E-5</v>
      </c>
      <c r="K10373" s="160" t="s">
        <v>13</v>
      </c>
      <c r="L10373" s="154" t="str">
        <f>IF(OpenLCAbasic!K10373="CTUh", "Fill in Manually",IF(OR(K10373="Unit", K10373=""), "", INDEX(LookUps!$E$5:$E$12, MATCH(OpenLCAbasic!K10373,LookUps!$D$5:$D$12,0))))</f>
        <v>Eutrophication Potential (EP) - kg N eq</v>
      </c>
      <c r="M10373" s="154" t="str">
        <f t="shared" si="875"/>
        <v>Low_High_Base_Upgraded_Eutrophication Potential (EP) - kg N eq_Gravity Belt Thickener; wastewater treatment unit; at updated plant - US_Base_With Amendment_Aerated Static Pile</v>
      </c>
    </row>
    <row r="10374" spans="1:13" s="120" customFormat="1" x14ac:dyDescent="0.25">
      <c r="A10374" s="119"/>
      <c r="B10374" s="138" t="str">
        <f t="shared" si="876"/>
        <v>Aerated Static Pile</v>
      </c>
      <c r="C10374" s="138" t="str">
        <f t="shared" si="877"/>
        <v>Base_With Amendment</v>
      </c>
      <c r="D10374" s="138" t="str">
        <f t="shared" si="873"/>
        <v>High_Base</v>
      </c>
      <c r="E10374" s="138" t="str">
        <f t="shared" si="874"/>
        <v>Low</v>
      </c>
      <c r="F10374" s="138" t="str">
        <f t="shared" si="878"/>
        <v>Upgraded</v>
      </c>
      <c r="G10374" s="153"/>
      <c r="H10374" s="210">
        <v>2.3E-3</v>
      </c>
      <c r="I10374" s="160" t="s">
        <v>128</v>
      </c>
      <c r="J10374" s="211">
        <v>3.7559799999999999E-5</v>
      </c>
      <c r="K10374" s="160" t="s">
        <v>13</v>
      </c>
      <c r="L10374" s="154" t="str">
        <f>IF(OpenLCAbasic!K10374="CTUh", "Fill in Manually",IF(OR(K10374="Unit", K10374=""), "", INDEX(LookUps!$E$5:$E$12, MATCH(OpenLCAbasic!K10374,LookUps!$D$5:$D$12,0))))</f>
        <v>Eutrophication Potential (EP) - kg N eq</v>
      </c>
      <c r="M10374" s="154" t="str">
        <f t="shared" si="875"/>
        <v>Low_High_Base_Upgraded_Eutrophication Potential (EP) - kg N eq_Wastewater collection; operation and infrastructure; m3 wastewater_Base_With Amendment_Aerated Static Pile</v>
      </c>
    </row>
    <row r="10375" spans="1:13" s="120" customFormat="1" x14ac:dyDescent="0.25">
      <c r="A10375" s="119"/>
      <c r="B10375" s="138" t="str">
        <f t="shared" si="876"/>
        <v>Aerated Static Pile</v>
      </c>
      <c r="C10375" s="138" t="str">
        <f t="shared" si="877"/>
        <v>Base_With Amendment</v>
      </c>
      <c r="D10375" s="138" t="str">
        <f t="shared" si="873"/>
        <v>High_Base</v>
      </c>
      <c r="E10375" s="138" t="str">
        <f t="shared" si="874"/>
        <v>Low</v>
      </c>
      <c r="F10375" s="138" t="str">
        <f t="shared" si="878"/>
        <v>Upgraded</v>
      </c>
      <c r="G10375" s="153"/>
      <c r="H10375" s="210">
        <v>2.3E-3</v>
      </c>
      <c r="I10375" s="160" t="s">
        <v>148</v>
      </c>
      <c r="J10375" s="211">
        <v>3.6874600000000001E-5</v>
      </c>
      <c r="K10375" s="160" t="s">
        <v>13</v>
      </c>
      <c r="L10375" s="154" t="str">
        <f>IF(OpenLCAbasic!K10375="CTUh", "Fill in Manually",IF(OR(K10375="Unit", K10375=""), "", INDEX(LookUps!$E$5:$E$12, MATCH(OpenLCAbasic!K10375,LookUps!$D$5:$D$12,0))))</f>
        <v>Eutrophication Potential (EP) - kg N eq</v>
      </c>
      <c r="M10375" s="154" t="str">
        <f t="shared" si="875"/>
        <v>Low_High_Base_Upgraded_Eutrophication Potential (EP) - kg N eq_Control Building; at upgraded wastewater treatment plant - US_Base_With Amendment_Aerated Static Pile</v>
      </c>
    </row>
    <row r="10376" spans="1:13" s="120" customFormat="1" x14ac:dyDescent="0.25">
      <c r="A10376" s="119"/>
      <c r="B10376" s="138" t="str">
        <f t="shared" si="876"/>
        <v>Aerated Static Pile</v>
      </c>
      <c r="C10376" s="138" t="str">
        <f t="shared" si="877"/>
        <v>Base_With Amendment</v>
      </c>
      <c r="D10376" s="138" t="str">
        <f t="shared" si="873"/>
        <v>High_Base</v>
      </c>
      <c r="E10376" s="138" t="str">
        <f t="shared" si="874"/>
        <v>Low</v>
      </c>
      <c r="F10376" s="138" t="str">
        <f t="shared" si="878"/>
        <v>Upgraded</v>
      </c>
      <c r="G10376" s="153"/>
      <c r="H10376" s="210">
        <v>1E-3</v>
      </c>
      <c r="I10376" s="160" t="s">
        <v>59</v>
      </c>
      <c r="J10376" s="211">
        <v>1.6215700000000001E-5</v>
      </c>
      <c r="K10376" s="160" t="s">
        <v>13</v>
      </c>
      <c r="L10376" s="154" t="str">
        <f>IF(OpenLCAbasic!K10376="CTUh", "Fill in Manually",IF(OR(K10376="Unit", K10376=""), "", INDEX(LookUps!$E$5:$E$12, MATCH(OpenLCAbasic!K10376,LookUps!$D$5:$D$12,0))))</f>
        <v>Eutrophication Potential (EP) - kg N eq</v>
      </c>
      <c r="M10376" s="154" t="str">
        <f t="shared" si="875"/>
        <v>Low_High_Base_Upgraded_Eutrophication Potential (EP) - kg N eq_Blend Tank; wastewater treatment unit; at updated plant - US_Base_With Amendment_Aerated Static Pile</v>
      </c>
    </row>
    <row r="10377" spans="1:13" s="120" customFormat="1" x14ac:dyDescent="0.25">
      <c r="A10377" s="119"/>
      <c r="B10377" s="138" t="str">
        <f t="shared" si="876"/>
        <v>Aerated Static Pile</v>
      </c>
      <c r="C10377" s="138" t="str">
        <f t="shared" si="877"/>
        <v>Base_With Amendment</v>
      </c>
      <c r="D10377" s="138" t="str">
        <f t="shared" si="873"/>
        <v>High_Base</v>
      </c>
      <c r="E10377" s="138" t="str">
        <f t="shared" si="874"/>
        <v>Low</v>
      </c>
      <c r="F10377" s="138" t="str">
        <f t="shared" si="878"/>
        <v>Upgraded</v>
      </c>
      <c r="G10377" s="153"/>
      <c r="H10377" s="210">
        <v>5.0000000000000001E-4</v>
      </c>
      <c r="I10377" s="160" t="s">
        <v>168</v>
      </c>
      <c r="J10377" s="211">
        <v>7.7567199999999995E-6</v>
      </c>
      <c r="K10377" s="160" t="s">
        <v>13</v>
      </c>
      <c r="L10377" s="154" t="str">
        <f>IF(OpenLCAbasic!K10377="CTUh", "Fill in Manually",IF(OR(K10377="Unit", K10377=""), "", INDEX(LookUps!$E$5:$E$12, MATCH(OpenLCAbasic!K10377,LookUps!$D$5:$D$12,0))))</f>
        <v>Eutrophication Potential (EP) - kg N eq</v>
      </c>
      <c r="M10377" s="154" t="str">
        <f t="shared" si="875"/>
        <v>Low_High_Base_Upgraded_Eutrophication Potential (EP) - kg N eq_ClearCove SCP; wastewater treatment unit; at updated plant - US_Base_With Amendment_Aerated Static Pile</v>
      </c>
    </row>
    <row r="10378" spans="1:13" s="120" customFormat="1" x14ac:dyDescent="0.25">
      <c r="A10378" s="119"/>
      <c r="B10378" s="138" t="str">
        <f t="shared" si="876"/>
        <v>Aerated Static Pile</v>
      </c>
      <c r="C10378" s="138" t="str">
        <f t="shared" si="877"/>
        <v>Base_With Amendment</v>
      </c>
      <c r="D10378" s="138" t="str">
        <f t="shared" si="873"/>
        <v>High_Base</v>
      </c>
      <c r="E10378" s="138" t="str">
        <f t="shared" si="874"/>
        <v>Low</v>
      </c>
      <c r="F10378" s="138" t="str">
        <f t="shared" si="878"/>
        <v>Upgraded</v>
      </c>
      <c r="G10378" s="153"/>
      <c r="H10378" s="210">
        <v>-8.4599999999999995E-2</v>
      </c>
      <c r="I10378" s="160" t="s">
        <v>149</v>
      </c>
      <c r="J10378" s="160">
        <v>-1.3799999999999999E-3</v>
      </c>
      <c r="K10378" s="160" t="s">
        <v>13</v>
      </c>
      <c r="L10378" s="154" t="str">
        <f>IF(OpenLCAbasic!K10378="CTUh", "Fill in Manually",IF(OR(K10378="Unit", K10378=""), "", INDEX(LookUps!$E$5:$E$12, MATCH(OpenLCAbasic!K10378,LookUps!$D$5:$D$12,0))))</f>
        <v>Eutrophication Potential (EP) - kg N eq</v>
      </c>
      <c r="M10378" s="154" t="str">
        <f t="shared" si="875"/>
        <v>Low_High_Base_Upgraded_Eutrophication Potential (EP) - kg N eq_Anaerobic Digestion; wastewater treatment unit; at updated plant - US_Base_With Amendment_Aerated Static Pile</v>
      </c>
    </row>
    <row r="10379" spans="1:13" s="120" customFormat="1" x14ac:dyDescent="0.25">
      <c r="A10379" s="119"/>
      <c r="B10379" s="138" t="str">
        <f t="shared" si="876"/>
        <v/>
      </c>
      <c r="C10379" s="138" t="str">
        <f t="shared" si="877"/>
        <v/>
      </c>
      <c r="D10379" s="138" t="str">
        <f t="shared" si="873"/>
        <v/>
      </c>
      <c r="E10379" s="138" t="str">
        <f t="shared" si="874"/>
        <v/>
      </c>
      <c r="F10379" s="138" t="str">
        <f t="shared" si="878"/>
        <v/>
      </c>
      <c r="G10379" s="153" t="s">
        <v>51</v>
      </c>
      <c r="H10379" s="160"/>
      <c r="I10379" s="160" t="s">
        <v>47</v>
      </c>
      <c r="J10379" s="160" t="s">
        <v>52</v>
      </c>
      <c r="K10379" s="160" t="s">
        <v>27</v>
      </c>
      <c r="L10379" s="154" t="str">
        <f>IF(OpenLCAbasic!K10379="CTUh", "Fill in Manually",IF(OR(K10379="Unit", K10379=""), "", INDEX(LookUps!$E$5:$E$12, MATCH(OpenLCAbasic!K10379,LookUps!$D$5:$D$12,0))))</f>
        <v/>
      </c>
      <c r="M10379" s="154" t="str">
        <f t="shared" si="875"/>
        <v>____Process__</v>
      </c>
    </row>
    <row r="10380" spans="1:13" s="120" customFormat="1" x14ac:dyDescent="0.25">
      <c r="A10380" s="119"/>
      <c r="B10380" s="138" t="str">
        <f t="shared" si="876"/>
        <v>Aerated Static Pile</v>
      </c>
      <c r="C10380" s="138" t="str">
        <f t="shared" si="877"/>
        <v>Base_With Amendment</v>
      </c>
      <c r="D10380" s="138" t="str">
        <f t="shared" si="873"/>
        <v>High_Base</v>
      </c>
      <c r="E10380" s="138" t="str">
        <f t="shared" si="874"/>
        <v>Low</v>
      </c>
      <c r="F10380" s="138" t="str">
        <f t="shared" si="878"/>
        <v>Upgraded</v>
      </c>
      <c r="G10380" s="153"/>
      <c r="H10380" s="210">
        <v>5.6096000000000004</v>
      </c>
      <c r="I10380" s="160" t="s">
        <v>167</v>
      </c>
      <c r="J10380" s="160">
        <v>0.11719</v>
      </c>
      <c r="K10380" s="160" t="s">
        <v>14</v>
      </c>
      <c r="L10380" s="154" t="str">
        <f>IF(OpenLCAbasic!K10380="CTUh", "Fill in Manually",IF(OR(K10380="Unit", K10380=""), "", INDEX(LookUps!$E$5:$E$12, MATCH(OpenLCAbasic!K10380,LookUps!$D$5:$D$12,0))))</f>
        <v>Fossil Depletion Potential (FDP) - kg oil eq</v>
      </c>
      <c r="M10380" s="154" t="str">
        <f t="shared" si="875"/>
        <v>Low_High_Base_Upgraded_Fossil Depletion Potential (FDP) - kg oil eq_Waste Receiving and Holding; wastewater treatment unit; at updated plant - US_Base_With Amendment_Aerated Static Pile</v>
      </c>
    </row>
    <row r="10381" spans="1:13" s="120" customFormat="1" x14ac:dyDescent="0.25">
      <c r="A10381" s="119"/>
      <c r="B10381" s="138" t="str">
        <f t="shared" si="876"/>
        <v>Aerated Static Pile</v>
      </c>
      <c r="C10381" s="138" t="str">
        <f t="shared" si="877"/>
        <v>Base_With Amendment</v>
      </c>
      <c r="D10381" s="138" t="str">
        <f t="shared" si="873"/>
        <v>High_Base</v>
      </c>
      <c r="E10381" s="138" t="str">
        <f t="shared" si="874"/>
        <v>Low</v>
      </c>
      <c r="F10381" s="138" t="str">
        <f t="shared" si="878"/>
        <v>Upgraded</v>
      </c>
      <c r="G10381" s="153"/>
      <c r="H10381" s="210">
        <v>3.0438999999999998</v>
      </c>
      <c r="I10381" s="160" t="s">
        <v>55</v>
      </c>
      <c r="J10381" s="160">
        <v>6.3589999999999994E-2</v>
      </c>
      <c r="K10381" s="160" t="s">
        <v>14</v>
      </c>
      <c r="L10381" s="154" t="str">
        <f>IF(OpenLCAbasic!K10381="CTUh", "Fill in Manually",IF(OR(K10381="Unit", K10381=""), "", INDEX(LookUps!$E$5:$E$12, MATCH(OpenLCAbasic!K10381,LookUps!$D$5:$D$12,0))))</f>
        <v>Fossil Depletion Potential (FDP) - kg oil eq</v>
      </c>
      <c r="M10381" s="154" t="str">
        <f t="shared" si="875"/>
        <v>Low_High_Base_Upgraded_Fossil Depletion Potential (FDP) - kg oil eq_Aeration Tanks; wastewater treatment unit; at updated plant - US_Base_With Amendment_Aerated Static Pile</v>
      </c>
    </row>
    <row r="10382" spans="1:13" s="120" customFormat="1" x14ac:dyDescent="0.25">
      <c r="A10382" s="119"/>
      <c r="B10382" s="138" t="str">
        <f t="shared" si="876"/>
        <v>Aerated Static Pile</v>
      </c>
      <c r="C10382" s="138" t="str">
        <f t="shared" si="877"/>
        <v>Base_With Amendment</v>
      </c>
      <c r="D10382" s="138" t="str">
        <f t="shared" si="873"/>
        <v>High_Base</v>
      </c>
      <c r="E10382" s="138" t="str">
        <f t="shared" si="874"/>
        <v>Low</v>
      </c>
      <c r="F10382" s="138" t="str">
        <f t="shared" si="878"/>
        <v>Upgraded</v>
      </c>
      <c r="G10382" s="153"/>
      <c r="H10382" s="210">
        <v>2.0541999999999998</v>
      </c>
      <c r="I10382" s="160" t="s">
        <v>435</v>
      </c>
      <c r="J10382" s="160">
        <v>4.292E-2</v>
      </c>
      <c r="K10382" s="160" t="s">
        <v>14</v>
      </c>
      <c r="L10382" s="154" t="str">
        <f>IF(OpenLCAbasic!K10382="CTUh", "Fill in Manually",IF(OR(K10382="Unit", K10382=""), "", INDEX(LookUps!$E$5:$E$12, MATCH(OpenLCAbasic!K10382,LookUps!$D$5:$D$12,0))))</f>
        <v>Fossil Depletion Potential (FDP) - kg oil eq</v>
      </c>
      <c r="M10382" s="154" t="str">
        <f t="shared" si="875"/>
        <v>Low_High_Base_Upgraded_Fossil Depletion Potential (FDP) - kg oil eq_Biosolids composting; aerated static pile; wastewater treatment unit; at updated plant - US_Base_With Amendment_Aerated Static Pile</v>
      </c>
    </row>
    <row r="10383" spans="1:13" s="120" customFormat="1" x14ac:dyDescent="0.25">
      <c r="A10383" s="119"/>
      <c r="B10383" s="138" t="str">
        <f t="shared" si="876"/>
        <v>Aerated Static Pile</v>
      </c>
      <c r="C10383" s="138" t="str">
        <f t="shared" si="877"/>
        <v>Base_With Amendment</v>
      </c>
      <c r="D10383" s="138" t="str">
        <f t="shared" si="873"/>
        <v>High_Base</v>
      </c>
      <c r="E10383" s="138" t="str">
        <f t="shared" si="874"/>
        <v>Low</v>
      </c>
      <c r="F10383" s="138" t="str">
        <f t="shared" si="878"/>
        <v>Upgraded</v>
      </c>
      <c r="G10383" s="153"/>
      <c r="H10383" s="210">
        <v>1.0076000000000001</v>
      </c>
      <c r="I10383" s="160" t="s">
        <v>54</v>
      </c>
      <c r="J10383" s="160">
        <v>2.1049999999999999E-2</v>
      </c>
      <c r="K10383" s="160" t="s">
        <v>14</v>
      </c>
      <c r="L10383" s="154" t="str">
        <f>IF(OpenLCAbasic!K10383="CTUh", "Fill in Manually",IF(OR(K10383="Unit", K10383=""), "", INDEX(LookUps!$E$5:$E$12, MATCH(OpenLCAbasic!K10383,LookUps!$D$5:$D$12,0))))</f>
        <v>Fossil Depletion Potential (FDP) - kg oil eq</v>
      </c>
      <c r="M10383" s="154" t="str">
        <f t="shared" si="875"/>
        <v>Low_High_Base_Upgraded_Fossil Depletion Potential (FDP) - kg oil eq_Clear Cove Primary Clarification; wastewater treatment unit; at updated plant - US_Base_With Amendment_Aerated Static Pile</v>
      </c>
    </row>
    <row r="10384" spans="1:13" s="120" customFormat="1" x14ac:dyDescent="0.25">
      <c r="A10384" s="119"/>
      <c r="B10384" s="138" t="str">
        <f t="shared" si="876"/>
        <v>Aerated Static Pile</v>
      </c>
      <c r="C10384" s="138" t="str">
        <f t="shared" si="877"/>
        <v>Base_With Amendment</v>
      </c>
      <c r="D10384" s="138" t="str">
        <f t="shared" si="873"/>
        <v>High_Base</v>
      </c>
      <c r="E10384" s="138" t="str">
        <f t="shared" si="874"/>
        <v>Low</v>
      </c>
      <c r="F10384" s="138" t="str">
        <f t="shared" si="878"/>
        <v>Upgraded</v>
      </c>
      <c r="G10384" s="153"/>
      <c r="H10384" s="210">
        <v>0.76780000000000004</v>
      </c>
      <c r="I10384" s="160" t="s">
        <v>58</v>
      </c>
      <c r="J10384" s="160">
        <v>1.6039999999999999E-2</v>
      </c>
      <c r="K10384" s="160" t="s">
        <v>14</v>
      </c>
      <c r="L10384" s="154" t="str">
        <f>IF(OpenLCAbasic!K10384="CTUh", "Fill in Manually",IF(OR(K10384="Unit", K10384=""), "", INDEX(LookUps!$E$5:$E$12, MATCH(OpenLCAbasic!K10384,LookUps!$D$5:$D$12,0))))</f>
        <v>Fossil Depletion Potential (FDP) - kg oil eq</v>
      </c>
      <c r="M10384" s="154" t="str">
        <f t="shared" si="875"/>
        <v>Low_High_Base_Upgraded_Fossil Depletion Potential (FDP) - kg oil eq_Pre-Anoxic &amp; Swing tank; wastewater treatment unit; at updated plant - US_Base_With Amendment_Aerated Static Pile</v>
      </c>
    </row>
    <row r="10385" spans="1:13" s="120" customFormat="1" x14ac:dyDescent="0.25">
      <c r="A10385" s="119"/>
      <c r="B10385" s="138" t="str">
        <f t="shared" si="876"/>
        <v>Aerated Static Pile</v>
      </c>
      <c r="C10385" s="138" t="str">
        <f t="shared" si="877"/>
        <v>Base_With Amendment</v>
      </c>
      <c r="D10385" s="138" t="str">
        <f t="shared" si="873"/>
        <v>High_Base</v>
      </c>
      <c r="E10385" s="138" t="str">
        <f t="shared" si="874"/>
        <v>Low</v>
      </c>
      <c r="F10385" s="138" t="str">
        <f t="shared" si="878"/>
        <v>Upgraded</v>
      </c>
      <c r="G10385" s="153"/>
      <c r="H10385" s="210">
        <v>0.72219999999999995</v>
      </c>
      <c r="I10385" s="160" t="s">
        <v>147</v>
      </c>
      <c r="J10385" s="160">
        <v>1.5089999999999999E-2</v>
      </c>
      <c r="K10385" s="160" t="s">
        <v>14</v>
      </c>
      <c r="L10385" s="154" t="str">
        <f>IF(OpenLCAbasic!K10385="CTUh", "Fill in Manually",IF(OR(K10385="Unit", K10385=""), "", INDEX(LookUps!$E$5:$E$12, MATCH(OpenLCAbasic!K10385,LookUps!$D$5:$D$12,0))))</f>
        <v>Fossil Depletion Potential (FDP) - kg oil eq</v>
      </c>
      <c r="M10385" s="154" t="str">
        <f t="shared" si="875"/>
        <v>Low_High_Base_Upgraded_Fossil Depletion Potential (FDP) - kg oil eq_Influent Pump Station; wastewater treatment unit; at updated plant - US_Base_With Amendment_Aerated Static Pile</v>
      </c>
    </row>
    <row r="10386" spans="1:13" s="120" customFormat="1" x14ac:dyDescent="0.25">
      <c r="A10386" s="119"/>
      <c r="B10386" s="138" t="str">
        <f t="shared" si="876"/>
        <v>Aerated Static Pile</v>
      </c>
      <c r="C10386" s="138" t="str">
        <f t="shared" si="877"/>
        <v>Base_With Amendment</v>
      </c>
      <c r="D10386" s="138" t="str">
        <f t="shared" si="873"/>
        <v>High_Base</v>
      </c>
      <c r="E10386" s="138" t="str">
        <f t="shared" si="874"/>
        <v>Low</v>
      </c>
      <c r="F10386" s="138" t="str">
        <f t="shared" si="878"/>
        <v>Upgraded</v>
      </c>
      <c r="G10386" s="153"/>
      <c r="H10386" s="210">
        <v>0.5978</v>
      </c>
      <c r="I10386" s="160" t="s">
        <v>53</v>
      </c>
      <c r="J10386" s="160">
        <v>1.2489999999999999E-2</v>
      </c>
      <c r="K10386" s="160" t="s">
        <v>14</v>
      </c>
      <c r="L10386" s="154" t="str">
        <f>IF(OpenLCAbasic!K10386="CTUh", "Fill in Manually",IF(OR(K10386="Unit", K10386=""), "", INDEX(LookUps!$E$5:$E$12, MATCH(OpenLCAbasic!K10386,LookUps!$D$5:$D$12,0))))</f>
        <v>Fossil Depletion Potential (FDP) - kg oil eq</v>
      </c>
      <c r="M10386" s="154" t="str">
        <f t="shared" si="875"/>
        <v>Low_High_Base_Upgraded_Fossil Depletion Potential (FDP) - kg oil eq_Wet Well and Sump Station; wastewater treatment unit; at updated plant - US_Base_With Amendment_Aerated Static Pile</v>
      </c>
    </row>
    <row r="10387" spans="1:13" s="120" customFormat="1" x14ac:dyDescent="0.25">
      <c r="A10387" s="119"/>
      <c r="B10387" s="138" t="str">
        <f t="shared" si="876"/>
        <v>Aerated Static Pile</v>
      </c>
      <c r="C10387" s="138" t="str">
        <f t="shared" si="877"/>
        <v>Base_With Amendment</v>
      </c>
      <c r="D10387" s="138" t="str">
        <f t="shared" si="873"/>
        <v>High_Base</v>
      </c>
      <c r="E10387" s="138" t="str">
        <f t="shared" si="874"/>
        <v>Low</v>
      </c>
      <c r="F10387" s="138" t="str">
        <f t="shared" si="878"/>
        <v>Upgraded</v>
      </c>
      <c r="G10387" s="153"/>
      <c r="H10387" s="210">
        <v>0.52529999999999999</v>
      </c>
      <c r="I10387" s="160" t="s">
        <v>60</v>
      </c>
      <c r="J10387" s="160">
        <v>1.0970000000000001E-2</v>
      </c>
      <c r="K10387" s="160" t="s">
        <v>14</v>
      </c>
      <c r="L10387" s="154" t="str">
        <f>IF(OpenLCAbasic!K10387="CTUh", "Fill in Manually",IF(OR(K10387="Unit", K10387=""), "", INDEX(LookUps!$E$5:$E$12, MATCH(OpenLCAbasic!K10387,LookUps!$D$5:$D$12,0))))</f>
        <v>Fossil Depletion Potential (FDP) - kg oil eq</v>
      </c>
      <c r="M10387" s="154" t="str">
        <f t="shared" si="875"/>
        <v>Low_High_Base_Upgraded_Fossil Depletion Potential (FDP) - kg oil eq_Belt filter press; wastewater treatment unit; at updated plant - US_Base_With Amendment_Aerated Static Pile</v>
      </c>
    </row>
    <row r="10388" spans="1:13" s="120" customFormat="1" x14ac:dyDescent="0.25">
      <c r="A10388" s="119"/>
      <c r="B10388" s="138" t="str">
        <f t="shared" si="876"/>
        <v>Aerated Static Pile</v>
      </c>
      <c r="C10388" s="138" t="str">
        <f t="shared" si="877"/>
        <v>Base_With Amendment</v>
      </c>
      <c r="D10388" s="138" t="str">
        <f t="shared" si="873"/>
        <v>High_Base</v>
      </c>
      <c r="E10388" s="138" t="str">
        <f t="shared" si="874"/>
        <v>Low</v>
      </c>
      <c r="F10388" s="138" t="str">
        <f t="shared" si="878"/>
        <v>Upgraded</v>
      </c>
      <c r="G10388" s="153"/>
      <c r="H10388" s="210">
        <v>0.33110000000000001</v>
      </c>
      <c r="I10388" s="160" t="s">
        <v>57</v>
      </c>
      <c r="J10388" s="160">
        <v>6.9199999999999999E-3</v>
      </c>
      <c r="K10388" s="160" t="s">
        <v>14</v>
      </c>
      <c r="L10388" s="154" t="str">
        <f>IF(OpenLCAbasic!K10388="CTUh", "Fill in Manually",IF(OR(K10388="Unit", K10388=""), "", INDEX(LookUps!$E$5:$E$12, MATCH(OpenLCAbasic!K10388,LookUps!$D$5:$D$12,0))))</f>
        <v>Fossil Depletion Potential (FDP) - kg oil eq</v>
      </c>
      <c r="M10388" s="154" t="str">
        <f t="shared" si="875"/>
        <v>Low_High_Base_Upgraded_Fossil Depletion Potential (FDP) - kg oil eq_Gravity Belt Thickener; wastewater treatment unit; at updated plant - US_Base_With Amendment_Aerated Static Pile</v>
      </c>
    </row>
    <row r="10389" spans="1:13" s="120" customFormat="1" x14ac:dyDescent="0.25">
      <c r="A10389" s="119"/>
      <c r="B10389" s="138" t="str">
        <f t="shared" si="876"/>
        <v>Aerated Static Pile</v>
      </c>
      <c r="C10389" s="138" t="str">
        <f t="shared" si="877"/>
        <v>Base_With Amendment</v>
      </c>
      <c r="D10389" s="138" t="str">
        <f t="shared" si="873"/>
        <v>High_Base</v>
      </c>
      <c r="E10389" s="138" t="str">
        <f t="shared" si="874"/>
        <v>Low</v>
      </c>
      <c r="F10389" s="138" t="str">
        <f t="shared" si="878"/>
        <v>Upgraded</v>
      </c>
      <c r="G10389" s="153"/>
      <c r="H10389" s="210">
        <v>0.21529999999999999</v>
      </c>
      <c r="I10389" s="160" t="s">
        <v>128</v>
      </c>
      <c r="J10389" s="160">
        <v>4.4999999999999997E-3</v>
      </c>
      <c r="K10389" s="160" t="s">
        <v>14</v>
      </c>
      <c r="L10389" s="154" t="str">
        <f>IF(OpenLCAbasic!K10389="CTUh", "Fill in Manually",IF(OR(K10389="Unit", K10389=""), "", INDEX(LookUps!$E$5:$E$12, MATCH(OpenLCAbasic!K10389,LookUps!$D$5:$D$12,0))))</f>
        <v>Fossil Depletion Potential (FDP) - kg oil eq</v>
      </c>
      <c r="M10389" s="154" t="str">
        <f t="shared" si="875"/>
        <v>Low_High_Base_Upgraded_Fossil Depletion Potential (FDP) - kg oil eq_Wastewater collection; operation and infrastructure; m3 wastewater_Base_With Amendment_Aerated Static Pile</v>
      </c>
    </row>
    <row r="10390" spans="1:13" s="120" customFormat="1" x14ac:dyDescent="0.25">
      <c r="A10390" s="119"/>
      <c r="B10390" s="138" t="str">
        <f t="shared" si="876"/>
        <v>Aerated Static Pile</v>
      </c>
      <c r="C10390" s="138" t="str">
        <f t="shared" si="877"/>
        <v>Base_With Amendment</v>
      </c>
      <c r="D10390" s="138" t="str">
        <f t="shared" si="873"/>
        <v>High_Base</v>
      </c>
      <c r="E10390" s="138" t="str">
        <f t="shared" si="874"/>
        <v>Low</v>
      </c>
      <c r="F10390" s="138" t="str">
        <f t="shared" si="878"/>
        <v>Upgraded</v>
      </c>
      <c r="G10390" s="153"/>
      <c r="H10390" s="210">
        <v>0.13389999999999999</v>
      </c>
      <c r="I10390" s="160" t="s">
        <v>148</v>
      </c>
      <c r="J10390" s="160">
        <v>2.8E-3</v>
      </c>
      <c r="K10390" s="160" t="s">
        <v>14</v>
      </c>
      <c r="L10390" s="154" t="str">
        <f>IF(OpenLCAbasic!K10390="CTUh", "Fill in Manually",IF(OR(K10390="Unit", K10390=""), "", INDEX(LookUps!$E$5:$E$12, MATCH(OpenLCAbasic!K10390,LookUps!$D$5:$D$12,0))))</f>
        <v>Fossil Depletion Potential (FDP) - kg oil eq</v>
      </c>
      <c r="M10390" s="154" t="str">
        <f t="shared" si="875"/>
        <v>Low_High_Base_Upgraded_Fossil Depletion Potential (FDP) - kg oil eq_Control Building; at upgraded wastewater treatment plant - US_Base_With Amendment_Aerated Static Pile</v>
      </c>
    </row>
    <row r="10391" spans="1:13" s="120" customFormat="1" x14ac:dyDescent="0.25">
      <c r="A10391" s="119"/>
      <c r="B10391" s="138" t="str">
        <f t="shared" si="876"/>
        <v>Aerated Static Pile</v>
      </c>
      <c r="C10391" s="138" t="str">
        <f t="shared" si="877"/>
        <v>Base_With Amendment</v>
      </c>
      <c r="D10391" s="138" t="str">
        <f t="shared" si="873"/>
        <v>High_Base</v>
      </c>
      <c r="E10391" s="138" t="str">
        <f t="shared" si="874"/>
        <v>Low</v>
      </c>
      <c r="F10391" s="138" t="str">
        <f t="shared" si="878"/>
        <v>Upgraded</v>
      </c>
      <c r="G10391" s="153"/>
      <c r="H10391" s="210">
        <v>0.11310000000000001</v>
      </c>
      <c r="I10391" s="160" t="s">
        <v>48</v>
      </c>
      <c r="J10391" s="160">
        <v>2.3600000000000001E-3</v>
      </c>
      <c r="K10391" s="160" t="s">
        <v>14</v>
      </c>
      <c r="L10391" s="154" t="str">
        <f>IF(OpenLCAbasic!K10391="CTUh", "Fill in Manually",IF(OR(K10391="Unit", K10391=""), "", INDEX(LookUps!$E$5:$E$12, MATCH(OpenLCAbasic!K10391,LookUps!$D$5:$D$12,0))))</f>
        <v>Fossil Depletion Potential (FDP) - kg oil eq</v>
      </c>
      <c r="M10391" s="154" t="str">
        <f t="shared" si="875"/>
        <v>Low_High_Base_Upgraded_Fossil Depletion Potential (FDP) - kg oil eq_Effluent release; wastewater treatment unit; at surface water; m3 wastewater - US_Base_With Amendment_Aerated Static Pile</v>
      </c>
    </row>
    <row r="10392" spans="1:13" s="120" customFormat="1" x14ac:dyDescent="0.25">
      <c r="A10392" s="119"/>
      <c r="B10392" s="138" t="str">
        <f t="shared" si="876"/>
        <v>Aerated Static Pile</v>
      </c>
      <c r="C10392" s="138" t="str">
        <f t="shared" si="877"/>
        <v>Base_With Amendment</v>
      </c>
      <c r="D10392" s="138" t="str">
        <f t="shared" si="873"/>
        <v>High_Base</v>
      </c>
      <c r="E10392" s="138" t="str">
        <f t="shared" si="874"/>
        <v>Low</v>
      </c>
      <c r="F10392" s="138" t="str">
        <f t="shared" si="878"/>
        <v>Upgraded</v>
      </c>
      <c r="G10392" s="153"/>
      <c r="H10392" s="210">
        <v>9.1899999999999996E-2</v>
      </c>
      <c r="I10392" s="160" t="s">
        <v>59</v>
      </c>
      <c r="J10392" s="160">
        <v>1.92E-3</v>
      </c>
      <c r="K10392" s="160" t="s">
        <v>14</v>
      </c>
      <c r="L10392" s="154" t="str">
        <f>IF(OpenLCAbasic!K10392="CTUh", "Fill in Manually",IF(OR(K10392="Unit", K10392=""), "", INDEX(LookUps!$E$5:$E$12, MATCH(OpenLCAbasic!K10392,LookUps!$D$5:$D$12,0))))</f>
        <v>Fossil Depletion Potential (FDP) - kg oil eq</v>
      </c>
      <c r="M10392" s="154" t="str">
        <f t="shared" si="875"/>
        <v>Low_High_Base_Upgraded_Fossil Depletion Potential (FDP) - kg oil eq_Blend Tank; wastewater treatment unit; at updated plant - US_Base_With Amendment_Aerated Static Pile</v>
      </c>
    </row>
    <row r="10393" spans="1:13" s="120" customFormat="1" x14ac:dyDescent="0.25">
      <c r="A10393" s="119"/>
      <c r="B10393" s="138" t="str">
        <f t="shared" si="876"/>
        <v>Aerated Static Pile</v>
      </c>
      <c r="C10393" s="138" t="str">
        <f t="shared" si="877"/>
        <v>Base_With Amendment</v>
      </c>
      <c r="D10393" s="138" t="str">
        <f t="shared" ref="D10393:D10456" si="879">IF(ISNUMBER($J10393),"High_Base","")</f>
        <v>High_Base</v>
      </c>
      <c r="E10393" s="138" t="str">
        <f t="shared" si="874"/>
        <v>Low</v>
      </c>
      <c r="F10393" s="138" t="str">
        <f t="shared" si="878"/>
        <v>Upgraded</v>
      </c>
      <c r="G10393" s="153"/>
      <c r="H10393" s="210">
        <v>4.3799999999999999E-2</v>
      </c>
      <c r="I10393" s="160" t="s">
        <v>168</v>
      </c>
      <c r="J10393" s="160">
        <v>9.1E-4</v>
      </c>
      <c r="K10393" s="160" t="s">
        <v>14</v>
      </c>
      <c r="L10393" s="154" t="str">
        <f>IF(OpenLCAbasic!K10393="CTUh", "Fill in Manually",IF(OR(K10393="Unit", K10393=""), "", INDEX(LookUps!$E$5:$E$12, MATCH(OpenLCAbasic!K10393,LookUps!$D$5:$D$12,0))))</f>
        <v>Fossil Depletion Potential (FDP) - kg oil eq</v>
      </c>
      <c r="M10393" s="154" t="str">
        <f t="shared" si="875"/>
        <v>Low_High_Base_Upgraded_Fossil Depletion Potential (FDP) - kg oil eq_ClearCove SCP; wastewater treatment unit; at updated plant - US_Base_With Amendment_Aerated Static Pile</v>
      </c>
    </row>
    <row r="10394" spans="1:13" s="120" customFormat="1" x14ac:dyDescent="0.25">
      <c r="A10394" s="119"/>
      <c r="B10394" s="138" t="str">
        <f t="shared" si="876"/>
        <v>Aerated Static Pile</v>
      </c>
      <c r="C10394" s="138" t="str">
        <f t="shared" si="877"/>
        <v>Base_With Amendment</v>
      </c>
      <c r="D10394" s="138" t="str">
        <f t="shared" si="879"/>
        <v>High_Base</v>
      </c>
      <c r="E10394" s="138" t="str">
        <f t="shared" si="874"/>
        <v>Low</v>
      </c>
      <c r="F10394" s="138" t="str">
        <f t="shared" si="878"/>
        <v>Upgraded</v>
      </c>
      <c r="G10394" s="153"/>
      <c r="H10394" s="210">
        <v>-0.61309999999999998</v>
      </c>
      <c r="I10394" s="160" t="s">
        <v>62</v>
      </c>
      <c r="J10394" s="160">
        <v>-1.281E-2</v>
      </c>
      <c r="K10394" s="160" t="s">
        <v>14</v>
      </c>
      <c r="L10394" s="154" t="str">
        <f>IF(OpenLCAbasic!K10394="CTUh", "Fill in Manually",IF(OR(K10394="Unit", K10394=""), "", INDEX(LookUps!$E$5:$E$12, MATCH(OpenLCAbasic!K10394,LookUps!$D$5:$D$12,0))))</f>
        <v>Fossil Depletion Potential (FDP) - kg oil eq</v>
      </c>
      <c r="M10394" s="154" t="str">
        <f t="shared" si="875"/>
        <v>Low_High_Base_Upgraded_Fossil Depletion Potential (FDP) - kg oil eq_Land application of compost; wastewater treatment unit; at updated plant - US_Base_With Amendment_Aerated Static Pile</v>
      </c>
    </row>
    <row r="10395" spans="1:13" s="120" customFormat="1" x14ac:dyDescent="0.25">
      <c r="A10395" s="119"/>
      <c r="B10395" s="138" t="str">
        <f t="shared" si="876"/>
        <v>Aerated Static Pile</v>
      </c>
      <c r="C10395" s="138" t="str">
        <f t="shared" si="877"/>
        <v>Base_With Amendment</v>
      </c>
      <c r="D10395" s="138" t="str">
        <f t="shared" si="879"/>
        <v>High_Base</v>
      </c>
      <c r="E10395" s="138" t="str">
        <f t="shared" si="874"/>
        <v>Low</v>
      </c>
      <c r="F10395" s="138" t="str">
        <f t="shared" si="878"/>
        <v>Upgraded</v>
      </c>
      <c r="G10395" s="153"/>
      <c r="H10395" s="210">
        <v>-13.644500000000001</v>
      </c>
      <c r="I10395" s="160" t="s">
        <v>149</v>
      </c>
      <c r="J10395" s="160">
        <v>-0.28505000000000003</v>
      </c>
      <c r="K10395" s="160" t="s">
        <v>14</v>
      </c>
      <c r="L10395" s="154" t="str">
        <f>IF(OpenLCAbasic!K10395="CTUh", "Fill in Manually",IF(OR(K10395="Unit", K10395=""), "", INDEX(LookUps!$E$5:$E$12, MATCH(OpenLCAbasic!K10395,LookUps!$D$5:$D$12,0))))</f>
        <v>Fossil Depletion Potential (FDP) - kg oil eq</v>
      </c>
      <c r="M10395" s="154" t="str">
        <f t="shared" si="875"/>
        <v>Low_High_Base_Upgraded_Fossil Depletion Potential (FDP) - kg oil eq_Anaerobic Digestion; wastewater treatment unit; at updated plant - US_Base_With Amendment_Aerated Static Pile</v>
      </c>
    </row>
    <row r="10396" spans="1:13" s="120" customFormat="1" x14ac:dyDescent="0.25">
      <c r="A10396" s="119"/>
      <c r="B10396" s="138" t="str">
        <f t="shared" si="876"/>
        <v/>
      </c>
      <c r="C10396" s="138" t="str">
        <f t="shared" si="877"/>
        <v/>
      </c>
      <c r="D10396" s="138" t="str">
        <f t="shared" si="879"/>
        <v/>
      </c>
      <c r="E10396" s="138" t="str">
        <f t="shared" si="874"/>
        <v/>
      </c>
      <c r="F10396" s="138" t="str">
        <f t="shared" si="878"/>
        <v/>
      </c>
      <c r="G10396" s="153" t="s">
        <v>51</v>
      </c>
      <c r="H10396" s="160"/>
      <c r="I10396" s="160" t="s">
        <v>47</v>
      </c>
      <c r="J10396" s="160" t="s">
        <v>52</v>
      </c>
      <c r="K10396" s="160" t="s">
        <v>27</v>
      </c>
      <c r="L10396" s="154" t="str">
        <f>IF(OpenLCAbasic!K10396="CTUh", "Fill in Manually",IF(OR(K10396="Unit", K10396=""), "", INDEX(LookUps!$E$5:$E$12, MATCH(OpenLCAbasic!K10396,LookUps!$D$5:$D$12,0))))</f>
        <v/>
      </c>
      <c r="M10396" s="154" t="str">
        <f t="shared" si="875"/>
        <v>____Process__</v>
      </c>
    </row>
    <row r="10397" spans="1:13" s="120" customFormat="1" x14ac:dyDescent="0.25">
      <c r="A10397" s="119"/>
      <c r="B10397" s="138" t="str">
        <f t="shared" si="876"/>
        <v>Aerated Static Pile</v>
      </c>
      <c r="C10397" s="138" t="str">
        <f t="shared" si="877"/>
        <v>Base_With Amendment</v>
      </c>
      <c r="D10397" s="138" t="str">
        <f t="shared" si="879"/>
        <v>High_Base</v>
      </c>
      <c r="E10397" s="138" t="str">
        <f t="shared" si="874"/>
        <v>Low</v>
      </c>
      <c r="F10397" s="138" t="str">
        <f t="shared" si="878"/>
        <v>Upgraded</v>
      </c>
      <c r="G10397" s="153"/>
      <c r="H10397" s="210">
        <v>0.60919999999999996</v>
      </c>
      <c r="I10397" s="160" t="s">
        <v>58</v>
      </c>
      <c r="J10397" s="160">
        <v>0.24992</v>
      </c>
      <c r="K10397" s="160" t="s">
        <v>23</v>
      </c>
      <c r="L10397" s="154" t="str">
        <f>IF(OpenLCAbasic!K10397="CTUh", "Fill in Manually",IF(OR(K10397="Unit", K10397=""), "", INDEX(LookUps!$E$5:$E$12, MATCH(OpenLCAbasic!K10397,LookUps!$D$5:$D$12,0))))</f>
        <v>Global Warming Potential (GWP) - kg CO2 eq</v>
      </c>
      <c r="M10397" s="154" t="str">
        <f t="shared" si="875"/>
        <v>Low_High_Base_Upgraded_Global Warming Potential (GWP) - kg CO2 eq_Pre-Anoxic &amp; Swing tank; wastewater treatment unit; at updated plant - US_Base_With Amendment_Aerated Static Pile</v>
      </c>
    </row>
    <row r="10398" spans="1:13" s="120" customFormat="1" x14ac:dyDescent="0.25">
      <c r="A10398" s="119"/>
      <c r="B10398" s="138" t="str">
        <f t="shared" si="876"/>
        <v>Aerated Static Pile</v>
      </c>
      <c r="C10398" s="138" t="str">
        <f t="shared" si="877"/>
        <v>Base_With Amendment</v>
      </c>
      <c r="D10398" s="138" t="str">
        <f t="shared" si="879"/>
        <v>High_Base</v>
      </c>
      <c r="E10398" s="138" t="str">
        <f t="shared" si="874"/>
        <v>Low</v>
      </c>
      <c r="F10398" s="138" t="str">
        <f t="shared" si="878"/>
        <v>Upgraded</v>
      </c>
      <c r="G10398" s="153"/>
      <c r="H10398" s="210">
        <v>0.55089999999999995</v>
      </c>
      <c r="I10398" s="160" t="s">
        <v>435</v>
      </c>
      <c r="J10398" s="160">
        <v>0.22597</v>
      </c>
      <c r="K10398" s="160" t="s">
        <v>23</v>
      </c>
      <c r="L10398" s="154" t="str">
        <f>IF(OpenLCAbasic!K10398="CTUh", "Fill in Manually",IF(OR(K10398="Unit", K10398=""), "", INDEX(LookUps!$E$5:$E$12, MATCH(OpenLCAbasic!K10398,LookUps!$D$5:$D$12,0))))</f>
        <v>Global Warming Potential (GWP) - kg CO2 eq</v>
      </c>
      <c r="M10398" s="154" t="str">
        <f t="shared" si="875"/>
        <v>Low_High_Base_Upgraded_Global Warming Potential (GWP) - kg CO2 eq_Biosolids composting; aerated static pile; wastewater treatment unit; at updated plant - US_Base_With Amendment_Aerated Static Pile</v>
      </c>
    </row>
    <row r="10399" spans="1:13" s="120" customFormat="1" x14ac:dyDescent="0.25">
      <c r="A10399" s="119"/>
      <c r="B10399" s="138" t="str">
        <f t="shared" si="876"/>
        <v>Aerated Static Pile</v>
      </c>
      <c r="C10399" s="138" t="str">
        <f t="shared" si="877"/>
        <v>Base_With Amendment</v>
      </c>
      <c r="D10399" s="138" t="str">
        <f t="shared" si="879"/>
        <v>High_Base</v>
      </c>
      <c r="E10399" s="138" t="str">
        <f t="shared" si="874"/>
        <v>Low</v>
      </c>
      <c r="F10399" s="138" t="str">
        <f t="shared" si="878"/>
        <v>Upgraded</v>
      </c>
      <c r="G10399" s="153"/>
      <c r="H10399" s="210">
        <v>0.41010000000000002</v>
      </c>
      <c r="I10399" s="160" t="s">
        <v>55</v>
      </c>
      <c r="J10399" s="160">
        <v>0.16822000000000001</v>
      </c>
      <c r="K10399" s="160" t="s">
        <v>23</v>
      </c>
      <c r="L10399" s="154" t="str">
        <f>IF(OpenLCAbasic!K10399="CTUh", "Fill in Manually",IF(OR(K10399="Unit", K10399=""), "", INDEX(LookUps!$E$5:$E$12, MATCH(OpenLCAbasic!K10399,LookUps!$D$5:$D$12,0))))</f>
        <v>Global Warming Potential (GWP) - kg CO2 eq</v>
      </c>
      <c r="M10399" s="154" t="str">
        <f t="shared" si="875"/>
        <v>Low_High_Base_Upgraded_Global Warming Potential (GWP) - kg CO2 eq_Aeration Tanks; wastewater treatment unit; at updated plant - US_Base_With Amendment_Aerated Static Pile</v>
      </c>
    </row>
    <row r="10400" spans="1:13" s="120" customFormat="1" x14ac:dyDescent="0.25">
      <c r="A10400" s="119"/>
      <c r="B10400" s="138" t="str">
        <f t="shared" si="876"/>
        <v>Aerated Static Pile</v>
      </c>
      <c r="C10400" s="138" t="str">
        <f t="shared" si="877"/>
        <v>Base_With Amendment</v>
      </c>
      <c r="D10400" s="138" t="str">
        <f t="shared" si="879"/>
        <v>High_Base</v>
      </c>
      <c r="E10400" s="138" t="str">
        <f t="shared" si="874"/>
        <v>Low</v>
      </c>
      <c r="F10400" s="138" t="str">
        <f t="shared" si="878"/>
        <v>Upgraded</v>
      </c>
      <c r="G10400" s="153"/>
      <c r="H10400" s="210">
        <v>0.35799999999999998</v>
      </c>
      <c r="I10400" s="160" t="s">
        <v>167</v>
      </c>
      <c r="J10400" s="160">
        <v>0.14685000000000001</v>
      </c>
      <c r="K10400" s="160" t="s">
        <v>23</v>
      </c>
      <c r="L10400" s="154" t="str">
        <f>IF(OpenLCAbasic!K10400="CTUh", "Fill in Manually",IF(OR(K10400="Unit", K10400=""), "", INDEX(LookUps!$E$5:$E$12, MATCH(OpenLCAbasic!K10400,LookUps!$D$5:$D$12,0))))</f>
        <v>Global Warming Potential (GWP) - kg CO2 eq</v>
      </c>
      <c r="M10400" s="154" t="str">
        <f t="shared" si="875"/>
        <v>Low_High_Base_Upgraded_Global Warming Potential (GWP) - kg CO2 eq_Waste Receiving and Holding; wastewater treatment unit; at updated plant - US_Base_With Amendment_Aerated Static Pile</v>
      </c>
    </row>
    <row r="10401" spans="1:13" s="120" customFormat="1" x14ac:dyDescent="0.25">
      <c r="A10401" s="119"/>
      <c r="B10401" s="138" t="str">
        <f t="shared" si="876"/>
        <v>Aerated Static Pile</v>
      </c>
      <c r="C10401" s="138" t="str">
        <f t="shared" si="877"/>
        <v>Base_With Amendment</v>
      </c>
      <c r="D10401" s="138" t="str">
        <f t="shared" si="879"/>
        <v>High_Base</v>
      </c>
      <c r="E10401" s="138" t="str">
        <f t="shared" si="874"/>
        <v>Low</v>
      </c>
      <c r="F10401" s="138" t="str">
        <f t="shared" si="878"/>
        <v>Upgraded</v>
      </c>
      <c r="G10401" s="153"/>
      <c r="H10401" s="210">
        <v>0.13919999999999999</v>
      </c>
      <c r="I10401" s="160" t="s">
        <v>54</v>
      </c>
      <c r="J10401" s="160">
        <v>5.7079999999999999E-2</v>
      </c>
      <c r="K10401" s="160" t="s">
        <v>23</v>
      </c>
      <c r="L10401" s="154" t="str">
        <f>IF(OpenLCAbasic!K10401="CTUh", "Fill in Manually",IF(OR(K10401="Unit", K10401=""), "", INDEX(LookUps!$E$5:$E$12, MATCH(OpenLCAbasic!K10401,LookUps!$D$5:$D$12,0))))</f>
        <v>Global Warming Potential (GWP) - kg CO2 eq</v>
      </c>
      <c r="M10401" s="154" t="str">
        <f t="shared" si="875"/>
        <v>Low_High_Base_Upgraded_Global Warming Potential (GWP) - kg CO2 eq_Clear Cove Primary Clarification; wastewater treatment unit; at updated plant - US_Base_With Amendment_Aerated Static Pile</v>
      </c>
    </row>
    <row r="10402" spans="1:13" s="120" customFormat="1" x14ac:dyDescent="0.25">
      <c r="A10402" s="119"/>
      <c r="B10402" s="138" t="str">
        <f t="shared" si="876"/>
        <v>Aerated Static Pile</v>
      </c>
      <c r="C10402" s="138" t="str">
        <f t="shared" si="877"/>
        <v>Base_With Amendment</v>
      </c>
      <c r="D10402" s="138" t="str">
        <f t="shared" si="879"/>
        <v>High_Base</v>
      </c>
      <c r="E10402" s="138" t="str">
        <f t="shared" si="874"/>
        <v>Low</v>
      </c>
      <c r="F10402" s="138" t="str">
        <f t="shared" si="878"/>
        <v>Upgraded</v>
      </c>
      <c r="G10402" s="153"/>
      <c r="H10402" s="210">
        <v>0.1283</v>
      </c>
      <c r="I10402" s="160" t="s">
        <v>48</v>
      </c>
      <c r="J10402" s="160">
        <v>5.2639999999999999E-2</v>
      </c>
      <c r="K10402" s="160" t="s">
        <v>23</v>
      </c>
      <c r="L10402" s="154" t="str">
        <f>IF(OpenLCAbasic!K10402="CTUh", "Fill in Manually",IF(OR(K10402="Unit", K10402=""), "", INDEX(LookUps!$E$5:$E$12, MATCH(OpenLCAbasic!K10402,LookUps!$D$5:$D$12,0))))</f>
        <v>Global Warming Potential (GWP) - kg CO2 eq</v>
      </c>
      <c r="M10402" s="154" t="str">
        <f t="shared" si="875"/>
        <v>Low_High_Base_Upgraded_Global Warming Potential (GWP) - kg CO2 eq_Effluent release; wastewater treatment unit; at surface water; m3 wastewater - US_Base_With Amendment_Aerated Static Pile</v>
      </c>
    </row>
    <row r="10403" spans="1:13" s="120" customFormat="1" x14ac:dyDescent="0.25">
      <c r="A10403" s="119"/>
      <c r="B10403" s="138" t="str">
        <f t="shared" si="876"/>
        <v>Aerated Static Pile</v>
      </c>
      <c r="C10403" s="138" t="str">
        <f t="shared" si="877"/>
        <v>Base_With Amendment</v>
      </c>
      <c r="D10403" s="138" t="str">
        <f t="shared" si="879"/>
        <v>High_Base</v>
      </c>
      <c r="E10403" s="138" t="str">
        <f t="shared" si="874"/>
        <v>Low</v>
      </c>
      <c r="F10403" s="138" t="str">
        <f t="shared" si="878"/>
        <v>Upgraded</v>
      </c>
      <c r="G10403" s="153"/>
      <c r="H10403" s="210">
        <v>0.1231</v>
      </c>
      <c r="I10403" s="160" t="s">
        <v>147</v>
      </c>
      <c r="J10403" s="160">
        <v>5.0500000000000003E-2</v>
      </c>
      <c r="K10403" s="160" t="s">
        <v>23</v>
      </c>
      <c r="L10403" s="154" t="str">
        <f>IF(OpenLCAbasic!K10403="CTUh", "Fill in Manually",IF(OR(K10403="Unit", K10403=""), "", INDEX(LookUps!$E$5:$E$12, MATCH(OpenLCAbasic!K10403,LookUps!$D$5:$D$12,0))))</f>
        <v>Global Warming Potential (GWP) - kg CO2 eq</v>
      </c>
      <c r="M10403" s="154" t="str">
        <f t="shared" si="875"/>
        <v>Low_High_Base_Upgraded_Global Warming Potential (GWP) - kg CO2 eq_Influent Pump Station; wastewater treatment unit; at updated plant - US_Base_With Amendment_Aerated Static Pile</v>
      </c>
    </row>
    <row r="10404" spans="1:13" s="120" customFormat="1" x14ac:dyDescent="0.25">
      <c r="A10404" s="119"/>
      <c r="B10404" s="138" t="str">
        <f t="shared" si="876"/>
        <v>Aerated Static Pile</v>
      </c>
      <c r="C10404" s="138" t="str">
        <f t="shared" si="877"/>
        <v>Base_With Amendment</v>
      </c>
      <c r="D10404" s="138" t="str">
        <f t="shared" si="879"/>
        <v>High_Base</v>
      </c>
      <c r="E10404" s="138" t="str">
        <f t="shared" si="874"/>
        <v>Low</v>
      </c>
      <c r="F10404" s="138" t="str">
        <f t="shared" si="878"/>
        <v>Upgraded</v>
      </c>
      <c r="G10404" s="153"/>
      <c r="H10404" s="210">
        <v>8.1100000000000005E-2</v>
      </c>
      <c r="I10404" s="160" t="s">
        <v>53</v>
      </c>
      <c r="J10404" s="160">
        <v>3.3259999999999998E-2</v>
      </c>
      <c r="K10404" s="160" t="s">
        <v>23</v>
      </c>
      <c r="L10404" s="154" t="str">
        <f>IF(OpenLCAbasic!K10404="CTUh", "Fill in Manually",IF(OR(K10404="Unit", K10404=""), "", INDEX(LookUps!$E$5:$E$12, MATCH(OpenLCAbasic!K10404,LookUps!$D$5:$D$12,0))))</f>
        <v>Global Warming Potential (GWP) - kg CO2 eq</v>
      </c>
      <c r="M10404" s="154" t="str">
        <f t="shared" si="875"/>
        <v>Low_High_Base_Upgraded_Global Warming Potential (GWP) - kg CO2 eq_Wet Well and Sump Station; wastewater treatment unit; at updated plant - US_Base_With Amendment_Aerated Static Pile</v>
      </c>
    </row>
    <row r="10405" spans="1:13" s="120" customFormat="1" x14ac:dyDescent="0.25">
      <c r="A10405" s="119"/>
      <c r="B10405" s="138" t="str">
        <f t="shared" si="876"/>
        <v>Aerated Static Pile</v>
      </c>
      <c r="C10405" s="138" t="str">
        <f t="shared" si="877"/>
        <v>Base_With Amendment</v>
      </c>
      <c r="D10405" s="138" t="str">
        <f t="shared" si="879"/>
        <v>High_Base</v>
      </c>
      <c r="E10405" s="138" t="str">
        <f t="shared" si="874"/>
        <v>Low</v>
      </c>
      <c r="F10405" s="138" t="str">
        <f t="shared" si="878"/>
        <v>Upgraded</v>
      </c>
      <c r="G10405" s="153"/>
      <c r="H10405" s="210">
        <v>5.8799999999999998E-2</v>
      </c>
      <c r="I10405" s="160" t="s">
        <v>60</v>
      </c>
      <c r="J10405" s="160">
        <v>2.4119999999999999E-2</v>
      </c>
      <c r="K10405" s="160" t="s">
        <v>23</v>
      </c>
      <c r="L10405" s="154" t="str">
        <f>IF(OpenLCAbasic!K10405="CTUh", "Fill in Manually",IF(OR(K10405="Unit", K10405=""), "", INDEX(LookUps!$E$5:$E$12, MATCH(OpenLCAbasic!K10405,LookUps!$D$5:$D$12,0))))</f>
        <v>Global Warming Potential (GWP) - kg CO2 eq</v>
      </c>
      <c r="M10405" s="154" t="str">
        <f t="shared" si="875"/>
        <v>Low_High_Base_Upgraded_Global Warming Potential (GWP) - kg CO2 eq_Belt filter press; wastewater treatment unit; at updated plant - US_Base_With Amendment_Aerated Static Pile</v>
      </c>
    </row>
    <row r="10406" spans="1:13" s="120" customFormat="1" x14ac:dyDescent="0.25">
      <c r="A10406" s="119"/>
      <c r="B10406" s="138" t="str">
        <f t="shared" si="876"/>
        <v>Aerated Static Pile</v>
      </c>
      <c r="C10406" s="138" t="str">
        <f t="shared" si="877"/>
        <v>Base_With Amendment</v>
      </c>
      <c r="D10406" s="138" t="str">
        <f t="shared" si="879"/>
        <v>High_Base</v>
      </c>
      <c r="E10406" s="138" t="str">
        <f t="shared" si="874"/>
        <v>Low</v>
      </c>
      <c r="F10406" s="138" t="str">
        <f t="shared" si="878"/>
        <v>Upgraded</v>
      </c>
      <c r="G10406" s="153"/>
      <c r="H10406" s="210">
        <v>3.5499999999999997E-2</v>
      </c>
      <c r="I10406" s="160" t="s">
        <v>57</v>
      </c>
      <c r="J10406" s="160">
        <v>1.455E-2</v>
      </c>
      <c r="K10406" s="160" t="s">
        <v>23</v>
      </c>
      <c r="L10406" s="154" t="str">
        <f>IF(OpenLCAbasic!K10406="CTUh", "Fill in Manually",IF(OR(K10406="Unit", K10406=""), "", INDEX(LookUps!$E$5:$E$12, MATCH(OpenLCAbasic!K10406,LookUps!$D$5:$D$12,0))))</f>
        <v>Global Warming Potential (GWP) - kg CO2 eq</v>
      </c>
      <c r="M10406" s="154" t="str">
        <f t="shared" si="875"/>
        <v>Low_High_Base_Upgraded_Global Warming Potential (GWP) - kg CO2 eq_Gravity Belt Thickener; wastewater treatment unit; at updated plant - US_Base_With Amendment_Aerated Static Pile</v>
      </c>
    </row>
    <row r="10407" spans="1:13" s="120" customFormat="1" x14ac:dyDescent="0.25">
      <c r="A10407" s="119"/>
      <c r="B10407" s="138" t="str">
        <f t="shared" si="876"/>
        <v>Aerated Static Pile</v>
      </c>
      <c r="C10407" s="138" t="str">
        <f t="shared" si="877"/>
        <v>Base_With Amendment</v>
      </c>
      <c r="D10407" s="138" t="str">
        <f t="shared" si="879"/>
        <v>High_Base</v>
      </c>
      <c r="E10407" s="138" t="str">
        <f t="shared" si="874"/>
        <v>Low</v>
      </c>
      <c r="F10407" s="138" t="str">
        <f t="shared" si="878"/>
        <v>Upgraded</v>
      </c>
      <c r="G10407" s="153"/>
      <c r="H10407" s="210">
        <v>3.2899999999999999E-2</v>
      </c>
      <c r="I10407" s="160" t="s">
        <v>128</v>
      </c>
      <c r="J10407" s="160">
        <v>1.3509999999999999E-2</v>
      </c>
      <c r="K10407" s="160" t="s">
        <v>23</v>
      </c>
      <c r="L10407" s="154" t="str">
        <f>IF(OpenLCAbasic!K10407="CTUh", "Fill in Manually",IF(OR(K10407="Unit", K10407=""), "", INDEX(LookUps!$E$5:$E$12, MATCH(OpenLCAbasic!K10407,LookUps!$D$5:$D$12,0))))</f>
        <v>Global Warming Potential (GWP) - kg CO2 eq</v>
      </c>
      <c r="M10407" s="154" t="str">
        <f t="shared" si="875"/>
        <v>Low_High_Base_Upgraded_Global Warming Potential (GWP) - kg CO2 eq_Wastewater collection; operation and infrastructure; m3 wastewater_Base_With Amendment_Aerated Static Pile</v>
      </c>
    </row>
    <row r="10408" spans="1:13" s="120" customFormat="1" x14ac:dyDescent="0.25">
      <c r="A10408" s="119"/>
      <c r="B10408" s="138" t="str">
        <f t="shared" si="876"/>
        <v>Aerated Static Pile</v>
      </c>
      <c r="C10408" s="138" t="str">
        <f t="shared" si="877"/>
        <v>Base_With Amendment</v>
      </c>
      <c r="D10408" s="138" t="str">
        <f t="shared" si="879"/>
        <v>High_Base</v>
      </c>
      <c r="E10408" s="138" t="str">
        <f t="shared" si="874"/>
        <v>Low</v>
      </c>
      <c r="F10408" s="138" t="str">
        <f t="shared" si="878"/>
        <v>Upgraded</v>
      </c>
      <c r="G10408" s="153"/>
      <c r="H10408" s="210">
        <v>2.0199999999999999E-2</v>
      </c>
      <c r="I10408" s="160" t="s">
        <v>148</v>
      </c>
      <c r="J10408" s="160">
        <v>8.3000000000000001E-3</v>
      </c>
      <c r="K10408" s="160" t="s">
        <v>23</v>
      </c>
      <c r="L10408" s="154" t="str">
        <f>IF(OpenLCAbasic!K10408="CTUh", "Fill in Manually",IF(OR(K10408="Unit", K10408=""), "", INDEX(LookUps!$E$5:$E$12, MATCH(OpenLCAbasic!K10408,LookUps!$D$5:$D$12,0))))</f>
        <v>Global Warming Potential (GWP) - kg CO2 eq</v>
      </c>
      <c r="M10408" s="154" t="str">
        <f t="shared" si="875"/>
        <v>Low_High_Base_Upgraded_Global Warming Potential (GWP) - kg CO2 eq_Control Building; at upgraded wastewater treatment plant - US_Base_With Amendment_Aerated Static Pile</v>
      </c>
    </row>
    <row r="10409" spans="1:13" s="120" customFormat="1" x14ac:dyDescent="0.25">
      <c r="A10409" s="119"/>
      <c r="B10409" s="138" t="str">
        <f t="shared" si="876"/>
        <v>Aerated Static Pile</v>
      </c>
      <c r="C10409" s="138" t="str">
        <f t="shared" si="877"/>
        <v>Base_With Amendment</v>
      </c>
      <c r="D10409" s="138" t="str">
        <f t="shared" si="879"/>
        <v>High_Base</v>
      </c>
      <c r="E10409" s="138" t="str">
        <f t="shared" ref="E10409:E10489" si="880">IF(ISNUMBER($J10409),"Low","")</f>
        <v>Low</v>
      </c>
      <c r="F10409" s="138" t="str">
        <f t="shared" si="878"/>
        <v>Upgraded</v>
      </c>
      <c r="G10409" s="153"/>
      <c r="H10409" s="210">
        <v>1.23E-2</v>
      </c>
      <c r="I10409" s="160" t="s">
        <v>59</v>
      </c>
      <c r="J10409" s="160">
        <v>5.0400000000000002E-3</v>
      </c>
      <c r="K10409" s="160" t="s">
        <v>23</v>
      </c>
      <c r="L10409" s="154" t="str">
        <f>IF(OpenLCAbasic!K10409="CTUh", "Fill in Manually",IF(OR(K10409="Unit", K10409=""), "", INDEX(LookUps!$E$5:$E$12, MATCH(OpenLCAbasic!K10409,LookUps!$D$5:$D$12,0))))</f>
        <v>Global Warming Potential (GWP) - kg CO2 eq</v>
      </c>
      <c r="M10409" s="154" t="str">
        <f t="shared" si="875"/>
        <v>Low_High_Base_Upgraded_Global Warming Potential (GWP) - kg CO2 eq_Blend Tank; wastewater treatment unit; at updated plant - US_Base_With Amendment_Aerated Static Pile</v>
      </c>
    </row>
    <row r="10410" spans="1:13" s="120" customFormat="1" x14ac:dyDescent="0.25">
      <c r="A10410" s="119"/>
      <c r="B10410" s="138" t="str">
        <f t="shared" si="876"/>
        <v>Aerated Static Pile</v>
      </c>
      <c r="C10410" s="138" t="str">
        <f t="shared" si="877"/>
        <v>Base_With Amendment</v>
      </c>
      <c r="D10410" s="138" t="str">
        <f t="shared" si="879"/>
        <v>High_Base</v>
      </c>
      <c r="E10410" s="138" t="str">
        <f t="shared" si="880"/>
        <v>Low</v>
      </c>
      <c r="F10410" s="138" t="str">
        <f t="shared" si="878"/>
        <v>Upgraded</v>
      </c>
      <c r="G10410" s="153"/>
      <c r="H10410" s="210">
        <v>5.8999999999999999E-3</v>
      </c>
      <c r="I10410" s="160" t="s">
        <v>168</v>
      </c>
      <c r="J10410" s="160">
        <v>2.4099999999999998E-3</v>
      </c>
      <c r="K10410" s="160" t="s">
        <v>23</v>
      </c>
      <c r="L10410" s="154" t="str">
        <f>IF(OpenLCAbasic!K10410="CTUh", "Fill in Manually",IF(OR(K10410="Unit", K10410=""), "", INDEX(LookUps!$E$5:$E$12, MATCH(OpenLCAbasic!K10410,LookUps!$D$5:$D$12,0))))</f>
        <v>Global Warming Potential (GWP) - kg CO2 eq</v>
      </c>
      <c r="M10410" s="154" t="str">
        <f t="shared" si="875"/>
        <v>Low_High_Base_Upgraded_Global Warming Potential (GWP) - kg CO2 eq_ClearCove SCP; wastewater treatment unit; at updated plant - US_Base_With Amendment_Aerated Static Pile</v>
      </c>
    </row>
    <row r="10411" spans="1:13" s="120" customFormat="1" x14ac:dyDescent="0.25">
      <c r="A10411" s="119"/>
      <c r="B10411" s="138" t="str">
        <f t="shared" si="876"/>
        <v>Aerated Static Pile</v>
      </c>
      <c r="C10411" s="138" t="str">
        <f t="shared" si="877"/>
        <v>Base_With Amendment</v>
      </c>
      <c r="D10411" s="138" t="str">
        <f t="shared" si="879"/>
        <v>High_Base</v>
      </c>
      <c r="E10411" s="138" t="str">
        <f t="shared" si="880"/>
        <v>Low</v>
      </c>
      <c r="F10411" s="138" t="str">
        <f t="shared" si="878"/>
        <v>Upgraded</v>
      </c>
      <c r="G10411" s="153"/>
      <c r="H10411" s="210">
        <v>-1.3919999999999999</v>
      </c>
      <c r="I10411" s="160" t="s">
        <v>149</v>
      </c>
      <c r="J10411" s="160">
        <v>-0.57099</v>
      </c>
      <c r="K10411" s="160" t="s">
        <v>23</v>
      </c>
      <c r="L10411" s="154" t="str">
        <f>IF(OpenLCAbasic!K10411="CTUh", "Fill in Manually",IF(OR(K10411="Unit", K10411=""), "", INDEX(LookUps!$E$5:$E$12, MATCH(OpenLCAbasic!K10411,LookUps!$D$5:$D$12,0))))</f>
        <v>Global Warming Potential (GWP) - kg CO2 eq</v>
      </c>
      <c r="M10411" s="154" t="str">
        <f t="shared" si="875"/>
        <v>Low_High_Base_Upgraded_Global Warming Potential (GWP) - kg CO2 eq_Anaerobic Digestion; wastewater treatment unit; at updated plant - US_Base_With Amendment_Aerated Static Pile</v>
      </c>
    </row>
    <row r="10412" spans="1:13" s="120" customFormat="1" x14ac:dyDescent="0.25">
      <c r="A10412" s="119"/>
      <c r="B10412" s="138" t="str">
        <f t="shared" si="876"/>
        <v>Aerated Static Pile</v>
      </c>
      <c r="C10412" s="138" t="str">
        <f t="shared" si="877"/>
        <v>Base_With Amendment</v>
      </c>
      <c r="D10412" s="138" t="str">
        <f t="shared" si="879"/>
        <v>High_Base</v>
      </c>
      <c r="E10412" s="138" t="str">
        <f t="shared" si="880"/>
        <v>Low</v>
      </c>
      <c r="F10412" s="138" t="str">
        <f t="shared" si="878"/>
        <v>Upgraded</v>
      </c>
      <c r="G10412" s="153"/>
      <c r="H10412" s="210">
        <v>-2.1735000000000002</v>
      </c>
      <c r="I10412" s="160" t="s">
        <v>62</v>
      </c>
      <c r="J10412" s="160">
        <v>-0.89158000000000004</v>
      </c>
      <c r="K10412" s="160" t="s">
        <v>23</v>
      </c>
      <c r="L10412" s="154" t="str">
        <f>IF(OpenLCAbasic!K10412="CTUh", "Fill in Manually",IF(OR(K10412="Unit", K10412=""), "", INDEX(LookUps!$E$5:$E$12, MATCH(OpenLCAbasic!K10412,LookUps!$D$5:$D$12,0))))</f>
        <v>Global Warming Potential (GWP) - kg CO2 eq</v>
      </c>
      <c r="M10412" s="154" t="str">
        <f t="shared" si="875"/>
        <v>Low_High_Base_Upgraded_Global Warming Potential (GWP) - kg CO2 eq_Land application of compost; wastewater treatment unit; at updated plant - US_Base_With Amendment_Aerated Static Pile</v>
      </c>
    </row>
    <row r="10413" spans="1:13" s="120" customFormat="1" x14ac:dyDescent="0.25">
      <c r="A10413" s="119"/>
      <c r="B10413" s="138" t="str">
        <f t="shared" si="876"/>
        <v/>
      </c>
      <c r="C10413" s="138" t="str">
        <f t="shared" si="877"/>
        <v/>
      </c>
      <c r="D10413" s="138" t="str">
        <f t="shared" si="879"/>
        <v/>
      </c>
      <c r="E10413" s="138" t="str">
        <f t="shared" si="880"/>
        <v/>
      </c>
      <c r="F10413" s="138" t="str">
        <f t="shared" si="878"/>
        <v/>
      </c>
      <c r="G10413" s="153" t="s">
        <v>51</v>
      </c>
      <c r="H10413" s="160"/>
      <c r="I10413" s="160" t="s">
        <v>47</v>
      </c>
      <c r="J10413" s="160" t="s">
        <v>52</v>
      </c>
      <c r="K10413" s="160" t="s">
        <v>27</v>
      </c>
      <c r="L10413" s="154" t="str">
        <f>IF(OpenLCAbasic!K10413="CTUh", "Fill in Manually",IF(OR(K10413="Unit", K10413=""), "", INDEX(LookUps!$E$5:$E$12, MATCH(OpenLCAbasic!K10413,LookUps!$D$5:$D$12,0))))</f>
        <v/>
      </c>
      <c r="M10413" s="154" t="str">
        <f t="shared" si="875"/>
        <v>____Process__</v>
      </c>
    </row>
    <row r="10414" spans="1:13" s="120" customFormat="1" x14ac:dyDescent="0.25">
      <c r="A10414" s="119"/>
      <c r="B10414" s="138" t="str">
        <f t="shared" si="876"/>
        <v>Aerated Static Pile</v>
      </c>
      <c r="C10414" s="138" t="str">
        <f t="shared" si="877"/>
        <v>Base_With Amendment</v>
      </c>
      <c r="D10414" s="138" t="str">
        <f t="shared" si="879"/>
        <v>High_Base</v>
      </c>
      <c r="E10414" s="138" t="str">
        <f t="shared" si="880"/>
        <v>Low</v>
      </c>
      <c r="F10414" s="138" t="str">
        <f t="shared" si="878"/>
        <v>Upgraded</v>
      </c>
      <c r="G10414" s="153"/>
      <c r="H10414" s="210">
        <v>2.4094000000000002</v>
      </c>
      <c r="I10414" s="160" t="s">
        <v>55</v>
      </c>
      <c r="J10414" s="160">
        <v>2.33E-3</v>
      </c>
      <c r="K10414" s="160" t="s">
        <v>145</v>
      </c>
      <c r="L10414" s="154" t="str">
        <f>IF(OpenLCAbasic!K10414="CTUh", "Fill in Manually",IF(OR(K10414="Unit", K10414=""), "", INDEX(LookUps!$E$5:$E$12, MATCH(OpenLCAbasic!K10414,LookUps!$D$5:$D$12,0))))</f>
        <v>Particulate Matter Formation Potential (PMFP) - kg PM2.5 eq</v>
      </c>
      <c r="M10414" s="154" t="str">
        <f t="shared" si="875"/>
        <v>Low_High_Base_Upgraded_Particulate Matter Formation Potential (PMFP) - kg PM2.5 eq_Aeration Tanks; wastewater treatment unit; at updated plant - US_Base_With Amendment_Aerated Static Pile</v>
      </c>
    </row>
    <row r="10415" spans="1:13" s="120" customFormat="1" x14ac:dyDescent="0.25">
      <c r="A10415" s="119"/>
      <c r="B10415" s="138" t="str">
        <f t="shared" si="876"/>
        <v>Aerated Static Pile</v>
      </c>
      <c r="C10415" s="138" t="str">
        <f t="shared" si="877"/>
        <v>Base_With Amendment</v>
      </c>
      <c r="D10415" s="138" t="str">
        <f t="shared" si="879"/>
        <v>High_Base</v>
      </c>
      <c r="E10415" s="138" t="str">
        <f t="shared" si="880"/>
        <v>Low</v>
      </c>
      <c r="F10415" s="138" t="str">
        <f t="shared" si="878"/>
        <v>Upgraded</v>
      </c>
      <c r="G10415" s="153"/>
      <c r="H10415" s="210">
        <v>1.6514</v>
      </c>
      <c r="I10415" s="160" t="s">
        <v>435</v>
      </c>
      <c r="J10415" s="160">
        <v>1.6000000000000001E-3</v>
      </c>
      <c r="K10415" s="160" t="s">
        <v>145</v>
      </c>
      <c r="L10415" s="154" t="str">
        <f>IF(OpenLCAbasic!K10415="CTUh", "Fill in Manually",IF(OR(K10415="Unit", K10415=""), "", INDEX(LookUps!$E$5:$E$12, MATCH(OpenLCAbasic!K10415,LookUps!$D$5:$D$12,0))))</f>
        <v>Particulate Matter Formation Potential (PMFP) - kg PM2.5 eq</v>
      </c>
      <c r="M10415" s="154" t="str">
        <f t="shared" si="875"/>
        <v>Low_High_Base_Upgraded_Particulate Matter Formation Potential (PMFP) - kg PM2.5 eq_Biosolids composting; aerated static pile; wastewater treatment unit; at updated plant - US_Base_With Amendment_Aerated Static Pile</v>
      </c>
    </row>
    <row r="10416" spans="1:13" s="120" customFormat="1" x14ac:dyDescent="0.25">
      <c r="A10416" s="119"/>
      <c r="B10416" s="138" t="str">
        <f t="shared" si="876"/>
        <v>Aerated Static Pile</v>
      </c>
      <c r="C10416" s="138" t="str">
        <f t="shared" si="877"/>
        <v>Base_With Amendment</v>
      </c>
      <c r="D10416" s="138" t="str">
        <f t="shared" si="879"/>
        <v>High_Base</v>
      </c>
      <c r="E10416" s="138" t="str">
        <f t="shared" si="880"/>
        <v>Low</v>
      </c>
      <c r="F10416" s="138" t="str">
        <f t="shared" si="878"/>
        <v>Upgraded</v>
      </c>
      <c r="G10416" s="153"/>
      <c r="H10416" s="210">
        <v>0.70109999999999995</v>
      </c>
      <c r="I10416" s="160" t="s">
        <v>54</v>
      </c>
      <c r="J10416" s="160">
        <v>6.8000000000000005E-4</v>
      </c>
      <c r="K10416" s="160" t="s">
        <v>145</v>
      </c>
      <c r="L10416" s="154" t="str">
        <f>IF(OpenLCAbasic!K10416="CTUh", "Fill in Manually",IF(OR(K10416="Unit", K10416=""), "", INDEX(LookUps!$E$5:$E$12, MATCH(OpenLCAbasic!K10416,LookUps!$D$5:$D$12,0))))</f>
        <v>Particulate Matter Formation Potential (PMFP) - kg PM2.5 eq</v>
      </c>
      <c r="M10416" s="154" t="str">
        <f t="shared" si="875"/>
        <v>Low_High_Base_Upgraded_Particulate Matter Formation Potential (PMFP) - kg PM2.5 eq_Clear Cove Primary Clarification; wastewater treatment unit; at updated plant - US_Base_With Amendment_Aerated Static Pile</v>
      </c>
    </row>
    <row r="10417" spans="1:13" s="120" customFormat="1" x14ac:dyDescent="0.25">
      <c r="A10417" s="119"/>
      <c r="B10417" s="138" t="str">
        <f t="shared" si="876"/>
        <v>Aerated Static Pile</v>
      </c>
      <c r="C10417" s="138" t="str">
        <f t="shared" si="877"/>
        <v>Base_With Amendment</v>
      </c>
      <c r="D10417" s="138" t="str">
        <f t="shared" si="879"/>
        <v>High_Base</v>
      </c>
      <c r="E10417" s="138" t="str">
        <f t="shared" si="880"/>
        <v>Low</v>
      </c>
      <c r="F10417" s="138" t="str">
        <f t="shared" si="878"/>
        <v>Upgraded</v>
      </c>
      <c r="G10417" s="153"/>
      <c r="H10417" s="210">
        <v>0.61029999999999995</v>
      </c>
      <c r="I10417" s="160" t="s">
        <v>58</v>
      </c>
      <c r="J10417" s="160">
        <v>5.9000000000000003E-4</v>
      </c>
      <c r="K10417" s="160" t="s">
        <v>145</v>
      </c>
      <c r="L10417" s="154" t="str">
        <f>IF(OpenLCAbasic!K10417="CTUh", "Fill in Manually",IF(OR(K10417="Unit", K10417=""), "", INDEX(LookUps!$E$5:$E$12, MATCH(OpenLCAbasic!K10417,LookUps!$D$5:$D$12,0))))</f>
        <v>Particulate Matter Formation Potential (PMFP) - kg PM2.5 eq</v>
      </c>
      <c r="M10417" s="154" t="str">
        <f t="shared" si="875"/>
        <v>Low_High_Base_Upgraded_Particulate Matter Formation Potential (PMFP) - kg PM2.5 eq_Pre-Anoxic &amp; Swing tank; wastewater treatment unit; at updated plant - US_Base_With Amendment_Aerated Static Pile</v>
      </c>
    </row>
    <row r="10418" spans="1:13" s="120" customFormat="1" x14ac:dyDescent="0.25">
      <c r="A10418" s="119"/>
      <c r="B10418" s="138" t="str">
        <f t="shared" si="876"/>
        <v>Aerated Static Pile</v>
      </c>
      <c r="C10418" s="138" t="str">
        <f t="shared" si="877"/>
        <v>Base_With Amendment</v>
      </c>
      <c r="D10418" s="138" t="str">
        <f t="shared" si="879"/>
        <v>High_Base</v>
      </c>
      <c r="E10418" s="138" t="str">
        <f t="shared" si="880"/>
        <v>Low</v>
      </c>
      <c r="F10418" s="138" t="str">
        <f t="shared" si="878"/>
        <v>Upgraded</v>
      </c>
      <c r="G10418" s="153"/>
      <c r="H10418" s="210">
        <v>0.48170000000000002</v>
      </c>
      <c r="I10418" s="160" t="s">
        <v>53</v>
      </c>
      <c r="J10418" s="160">
        <v>4.6999999999999999E-4</v>
      </c>
      <c r="K10418" s="160" t="s">
        <v>145</v>
      </c>
      <c r="L10418" s="154" t="str">
        <f>IF(OpenLCAbasic!K10418="CTUh", "Fill in Manually",IF(OR(K10418="Unit", K10418=""), "", INDEX(LookUps!$E$5:$E$12, MATCH(OpenLCAbasic!K10418,LookUps!$D$5:$D$12,0))))</f>
        <v>Particulate Matter Formation Potential (PMFP) - kg PM2.5 eq</v>
      </c>
      <c r="M10418" s="154" t="str">
        <f t="shared" si="875"/>
        <v>Low_High_Base_Upgraded_Particulate Matter Formation Potential (PMFP) - kg PM2.5 eq_Wet Well and Sump Station; wastewater treatment unit; at updated plant - US_Base_With Amendment_Aerated Static Pile</v>
      </c>
    </row>
    <row r="10419" spans="1:13" s="120" customFormat="1" x14ac:dyDescent="0.25">
      <c r="A10419" s="119"/>
      <c r="B10419" s="138" t="str">
        <f t="shared" si="876"/>
        <v>Aerated Static Pile</v>
      </c>
      <c r="C10419" s="138" t="str">
        <f t="shared" si="877"/>
        <v>Base_With Amendment</v>
      </c>
      <c r="D10419" s="138" t="str">
        <f t="shared" si="879"/>
        <v>High_Base</v>
      </c>
      <c r="E10419" s="138" t="str">
        <f t="shared" si="880"/>
        <v>Low</v>
      </c>
      <c r="F10419" s="138" t="str">
        <f t="shared" si="878"/>
        <v>Upgraded</v>
      </c>
      <c r="G10419" s="153"/>
      <c r="H10419" s="210">
        <v>0.34239999999999998</v>
      </c>
      <c r="I10419" s="160" t="s">
        <v>167</v>
      </c>
      <c r="J10419" s="160">
        <v>3.3E-4</v>
      </c>
      <c r="K10419" s="160" t="s">
        <v>145</v>
      </c>
      <c r="L10419" s="154" t="str">
        <f>IF(OpenLCAbasic!K10419="CTUh", "Fill in Manually",IF(OR(K10419="Unit", K10419=""), "", INDEX(LookUps!$E$5:$E$12, MATCH(OpenLCAbasic!K10419,LookUps!$D$5:$D$12,0))))</f>
        <v>Particulate Matter Formation Potential (PMFP) - kg PM2.5 eq</v>
      </c>
      <c r="M10419" s="154" t="str">
        <f t="shared" ref="M10419:M10499" si="881">CONCATENATE(E10419,"_",D10419,"_",F10419,"_",L10419, "_",I10419,"_", C10419,"_", B10419)</f>
        <v>Low_High_Base_Upgraded_Particulate Matter Formation Potential (PMFP) - kg PM2.5 eq_Waste Receiving and Holding; wastewater treatment unit; at updated plant - US_Base_With Amendment_Aerated Static Pile</v>
      </c>
    </row>
    <row r="10420" spans="1:13" s="120" customFormat="1" x14ac:dyDescent="0.25">
      <c r="A10420" s="119"/>
      <c r="B10420" s="138" t="str">
        <f t="shared" si="876"/>
        <v>Aerated Static Pile</v>
      </c>
      <c r="C10420" s="138" t="str">
        <f t="shared" si="877"/>
        <v>Base_With Amendment</v>
      </c>
      <c r="D10420" s="138" t="str">
        <f t="shared" si="879"/>
        <v>High_Base</v>
      </c>
      <c r="E10420" s="138" t="str">
        <f t="shared" si="880"/>
        <v>Low</v>
      </c>
      <c r="F10420" s="138" t="str">
        <f t="shared" si="878"/>
        <v>Upgraded</v>
      </c>
      <c r="G10420" s="153"/>
      <c r="H10420" s="210">
        <v>0.27539999999999998</v>
      </c>
      <c r="I10420" s="160" t="s">
        <v>147</v>
      </c>
      <c r="J10420" s="160">
        <v>2.7E-4</v>
      </c>
      <c r="K10420" s="160" t="s">
        <v>145</v>
      </c>
      <c r="L10420" s="154" t="str">
        <f>IF(OpenLCAbasic!K10420="CTUh", "Fill in Manually",IF(OR(K10420="Unit", K10420=""), "", INDEX(LookUps!$E$5:$E$12, MATCH(OpenLCAbasic!K10420,LookUps!$D$5:$D$12,0))))</f>
        <v>Particulate Matter Formation Potential (PMFP) - kg PM2.5 eq</v>
      </c>
      <c r="M10420" s="154" t="str">
        <f t="shared" si="881"/>
        <v>Low_High_Base_Upgraded_Particulate Matter Formation Potential (PMFP) - kg PM2.5 eq_Influent Pump Station; wastewater treatment unit; at updated plant - US_Base_With Amendment_Aerated Static Pile</v>
      </c>
    </row>
    <row r="10421" spans="1:13" s="120" customFormat="1" x14ac:dyDescent="0.25">
      <c r="A10421" s="119"/>
      <c r="B10421" s="138" t="str">
        <f t="shared" si="876"/>
        <v>Aerated Static Pile</v>
      </c>
      <c r="C10421" s="138" t="str">
        <f t="shared" si="877"/>
        <v>Base_With Amendment</v>
      </c>
      <c r="D10421" s="138" t="str">
        <f t="shared" si="879"/>
        <v>High_Base</v>
      </c>
      <c r="E10421" s="138" t="str">
        <f t="shared" si="880"/>
        <v>Low</v>
      </c>
      <c r="F10421" s="138" t="str">
        <f t="shared" si="878"/>
        <v>Upgraded</v>
      </c>
      <c r="G10421" s="153"/>
      <c r="H10421" s="210">
        <v>0.20349999999999999</v>
      </c>
      <c r="I10421" s="160" t="s">
        <v>60</v>
      </c>
      <c r="J10421" s="160">
        <v>2.0000000000000001E-4</v>
      </c>
      <c r="K10421" s="160" t="s">
        <v>145</v>
      </c>
      <c r="L10421" s="154" t="str">
        <f>IF(OpenLCAbasic!K10421="CTUh", "Fill in Manually",IF(OR(K10421="Unit", K10421=""), "", INDEX(LookUps!$E$5:$E$12, MATCH(OpenLCAbasic!K10421,LookUps!$D$5:$D$12,0))))</f>
        <v>Particulate Matter Formation Potential (PMFP) - kg PM2.5 eq</v>
      </c>
      <c r="M10421" s="154" t="str">
        <f t="shared" si="881"/>
        <v>Low_High_Base_Upgraded_Particulate Matter Formation Potential (PMFP) - kg PM2.5 eq_Belt filter press; wastewater treatment unit; at updated plant - US_Base_With Amendment_Aerated Static Pile</v>
      </c>
    </row>
    <row r="10422" spans="1:13" s="120" customFormat="1" x14ac:dyDescent="0.25">
      <c r="A10422" s="119"/>
      <c r="B10422" s="138" t="str">
        <f t="shared" si="876"/>
        <v>Aerated Static Pile</v>
      </c>
      <c r="C10422" s="138" t="str">
        <f t="shared" si="877"/>
        <v>Base_With Amendment</v>
      </c>
      <c r="D10422" s="138" t="str">
        <f t="shared" si="879"/>
        <v>High_Base</v>
      </c>
      <c r="E10422" s="138" t="str">
        <f t="shared" si="880"/>
        <v>Low</v>
      </c>
      <c r="F10422" s="138" t="str">
        <f t="shared" si="878"/>
        <v>Upgraded</v>
      </c>
      <c r="G10422" s="153"/>
      <c r="H10422" s="210">
        <v>0.17180000000000001</v>
      </c>
      <c r="I10422" s="160" t="s">
        <v>128</v>
      </c>
      <c r="J10422" s="160">
        <v>1.7000000000000001E-4</v>
      </c>
      <c r="K10422" s="160" t="s">
        <v>145</v>
      </c>
      <c r="L10422" s="154" t="str">
        <f>IF(OpenLCAbasic!K10422="CTUh", "Fill in Manually",IF(OR(K10422="Unit", K10422=""), "", INDEX(LookUps!$E$5:$E$12, MATCH(OpenLCAbasic!K10422,LookUps!$D$5:$D$12,0))))</f>
        <v>Particulate Matter Formation Potential (PMFP) - kg PM2.5 eq</v>
      </c>
      <c r="M10422" s="154" t="str">
        <f t="shared" si="881"/>
        <v>Low_High_Base_Upgraded_Particulate Matter Formation Potential (PMFP) - kg PM2.5 eq_Wastewater collection; operation and infrastructure; m3 wastewater_Base_With Amendment_Aerated Static Pile</v>
      </c>
    </row>
    <row r="10423" spans="1:13" s="120" customFormat="1" x14ac:dyDescent="0.25">
      <c r="A10423" s="119"/>
      <c r="B10423" s="138" t="str">
        <f t="shared" si="876"/>
        <v>Aerated Static Pile</v>
      </c>
      <c r="C10423" s="138" t="str">
        <f t="shared" si="877"/>
        <v>Base_With Amendment</v>
      </c>
      <c r="D10423" s="138" t="str">
        <f t="shared" si="879"/>
        <v>High_Base</v>
      </c>
      <c r="E10423" s="138" t="str">
        <f t="shared" si="880"/>
        <v>Low</v>
      </c>
      <c r="F10423" s="138" t="str">
        <f t="shared" si="878"/>
        <v>Upgraded</v>
      </c>
      <c r="G10423" s="153"/>
      <c r="H10423" s="210">
        <v>0.1017</v>
      </c>
      <c r="I10423" s="160" t="s">
        <v>62</v>
      </c>
      <c r="J10423" s="211">
        <v>9.8531399999999997E-5</v>
      </c>
      <c r="K10423" s="160" t="s">
        <v>145</v>
      </c>
      <c r="L10423" s="154" t="str">
        <f>IF(OpenLCAbasic!K10423="CTUh", "Fill in Manually",IF(OR(K10423="Unit", K10423=""), "", INDEX(LookUps!$E$5:$E$12, MATCH(OpenLCAbasic!K10423,LookUps!$D$5:$D$12,0))))</f>
        <v>Particulate Matter Formation Potential (PMFP) - kg PM2.5 eq</v>
      </c>
      <c r="M10423" s="154" t="str">
        <f t="shared" si="881"/>
        <v>Low_High_Base_Upgraded_Particulate Matter Formation Potential (PMFP) - kg PM2.5 eq_Land application of compost; wastewater treatment unit; at updated plant - US_Base_With Amendment_Aerated Static Pile</v>
      </c>
    </row>
    <row r="10424" spans="1:13" s="120" customFormat="1" x14ac:dyDescent="0.25">
      <c r="A10424" s="119"/>
      <c r="B10424" s="138" t="str">
        <f t="shared" si="876"/>
        <v>Aerated Static Pile</v>
      </c>
      <c r="C10424" s="138" t="str">
        <f t="shared" si="877"/>
        <v>Base_With Amendment</v>
      </c>
      <c r="D10424" s="138" t="str">
        <f t="shared" si="879"/>
        <v>High_Base</v>
      </c>
      <c r="E10424" s="138" t="str">
        <f t="shared" si="880"/>
        <v>Low</v>
      </c>
      <c r="F10424" s="138" t="str">
        <f t="shared" si="878"/>
        <v>Upgraded</v>
      </c>
      <c r="G10424" s="153"/>
      <c r="H10424" s="210">
        <v>9.8199999999999996E-2</v>
      </c>
      <c r="I10424" s="160" t="s">
        <v>57</v>
      </c>
      <c r="J10424" s="211">
        <v>9.5153800000000004E-5</v>
      </c>
      <c r="K10424" s="160" t="s">
        <v>145</v>
      </c>
      <c r="L10424" s="154" t="str">
        <f>IF(OpenLCAbasic!K10424="CTUh", "Fill in Manually",IF(OR(K10424="Unit", K10424=""), "", INDEX(LookUps!$E$5:$E$12, MATCH(OpenLCAbasic!K10424,LookUps!$D$5:$D$12,0))))</f>
        <v>Particulate Matter Formation Potential (PMFP) - kg PM2.5 eq</v>
      </c>
      <c r="M10424" s="154" t="str">
        <f t="shared" si="881"/>
        <v>Low_High_Base_Upgraded_Particulate Matter Formation Potential (PMFP) - kg PM2.5 eq_Gravity Belt Thickener; wastewater treatment unit; at updated plant - US_Base_With Amendment_Aerated Static Pile</v>
      </c>
    </row>
    <row r="10425" spans="1:13" s="120" customFormat="1" x14ac:dyDescent="0.25">
      <c r="A10425" s="119"/>
      <c r="B10425" s="138" t="str">
        <f t="shared" ref="B10425:B10505" si="882">IF(F10425="Legacy","n.a.",IF(F10425="","","Aerated Static Pile"))</f>
        <v>Aerated Static Pile</v>
      </c>
      <c r="C10425" s="138" t="str">
        <f t="shared" ref="C10425:C10505" si="883">IF(ISNUMBER($J10425),"Base_With Amendment","")</f>
        <v>Base_With Amendment</v>
      </c>
      <c r="D10425" s="138" t="str">
        <f t="shared" si="879"/>
        <v>High_Base</v>
      </c>
      <c r="E10425" s="138" t="str">
        <f t="shared" si="880"/>
        <v>Low</v>
      </c>
      <c r="F10425" s="138" t="str">
        <f t="shared" ref="F10425:F10505" si="884">IF(ISNUMBER(J10425),"Upgraded","")</f>
        <v>Upgraded</v>
      </c>
      <c r="G10425" s="153"/>
      <c r="H10425" s="210">
        <v>7.22E-2</v>
      </c>
      <c r="I10425" s="160" t="s">
        <v>59</v>
      </c>
      <c r="J10425" s="211">
        <v>6.9942200000000003E-5</v>
      </c>
      <c r="K10425" s="160" t="s">
        <v>145</v>
      </c>
      <c r="L10425" s="154" t="str">
        <f>IF(OpenLCAbasic!K10425="CTUh", "Fill in Manually",IF(OR(K10425="Unit", K10425=""), "", INDEX(LookUps!$E$5:$E$12, MATCH(OpenLCAbasic!K10425,LookUps!$D$5:$D$12,0))))</f>
        <v>Particulate Matter Formation Potential (PMFP) - kg PM2.5 eq</v>
      </c>
      <c r="M10425" s="154" t="str">
        <f t="shared" si="881"/>
        <v>Low_High_Base_Upgraded_Particulate Matter Formation Potential (PMFP) - kg PM2.5 eq_Blend Tank; wastewater treatment unit; at updated plant - US_Base_With Amendment_Aerated Static Pile</v>
      </c>
    </row>
    <row r="10426" spans="1:13" s="120" customFormat="1" x14ac:dyDescent="0.25">
      <c r="A10426" s="119"/>
      <c r="B10426" s="138" t="str">
        <f t="shared" si="882"/>
        <v>Aerated Static Pile</v>
      </c>
      <c r="C10426" s="138" t="str">
        <f t="shared" si="883"/>
        <v>Base_With Amendment</v>
      </c>
      <c r="D10426" s="138" t="str">
        <f t="shared" si="879"/>
        <v>High_Base</v>
      </c>
      <c r="E10426" s="138" t="str">
        <f t="shared" si="880"/>
        <v>Low</v>
      </c>
      <c r="F10426" s="138" t="str">
        <f t="shared" si="884"/>
        <v>Upgraded</v>
      </c>
      <c r="G10426" s="153"/>
      <c r="H10426" s="210">
        <v>5.16E-2</v>
      </c>
      <c r="I10426" s="160" t="s">
        <v>48</v>
      </c>
      <c r="J10426" s="211">
        <v>4.99741E-5</v>
      </c>
      <c r="K10426" s="160" t="s">
        <v>145</v>
      </c>
      <c r="L10426" s="154" t="str">
        <f>IF(OpenLCAbasic!K10426="CTUh", "Fill in Manually",IF(OR(K10426="Unit", K10426=""), "", INDEX(LookUps!$E$5:$E$12, MATCH(OpenLCAbasic!K10426,LookUps!$D$5:$D$12,0))))</f>
        <v>Particulate Matter Formation Potential (PMFP) - kg PM2.5 eq</v>
      </c>
      <c r="M10426" s="154" t="str">
        <f t="shared" si="881"/>
        <v>Low_High_Base_Upgraded_Particulate Matter Formation Potential (PMFP) - kg PM2.5 eq_Effluent release; wastewater treatment unit; at surface water; m3 wastewater - US_Base_With Amendment_Aerated Static Pile</v>
      </c>
    </row>
    <row r="10427" spans="1:13" s="120" customFormat="1" x14ac:dyDescent="0.25">
      <c r="A10427" s="119"/>
      <c r="B10427" s="138" t="str">
        <f t="shared" si="882"/>
        <v>Aerated Static Pile</v>
      </c>
      <c r="C10427" s="138" t="str">
        <f t="shared" si="883"/>
        <v>Base_With Amendment</v>
      </c>
      <c r="D10427" s="138" t="str">
        <f t="shared" si="879"/>
        <v>High_Base</v>
      </c>
      <c r="E10427" s="138" t="str">
        <f t="shared" si="880"/>
        <v>Low</v>
      </c>
      <c r="F10427" s="138" t="str">
        <f t="shared" si="884"/>
        <v>Upgraded</v>
      </c>
      <c r="G10427" s="153"/>
      <c r="H10427" s="210">
        <v>3.5700000000000003E-2</v>
      </c>
      <c r="I10427" s="160" t="s">
        <v>168</v>
      </c>
      <c r="J10427" s="211">
        <v>3.4562199999999999E-5</v>
      </c>
      <c r="K10427" s="160" t="s">
        <v>145</v>
      </c>
      <c r="L10427" s="154" t="str">
        <f>IF(OpenLCAbasic!K10427="CTUh", "Fill in Manually",IF(OR(K10427="Unit", K10427=""), "", INDEX(LookUps!$E$5:$E$12, MATCH(OpenLCAbasic!K10427,LookUps!$D$5:$D$12,0))))</f>
        <v>Particulate Matter Formation Potential (PMFP) - kg PM2.5 eq</v>
      </c>
      <c r="M10427" s="154" t="str">
        <f t="shared" si="881"/>
        <v>Low_High_Base_Upgraded_Particulate Matter Formation Potential (PMFP) - kg PM2.5 eq_ClearCove SCP; wastewater treatment unit; at updated plant - US_Base_With Amendment_Aerated Static Pile</v>
      </c>
    </row>
    <row r="10428" spans="1:13" s="120" customFormat="1" x14ac:dyDescent="0.25">
      <c r="A10428" s="119"/>
      <c r="B10428" s="138" t="str">
        <f t="shared" si="882"/>
        <v>Aerated Static Pile</v>
      </c>
      <c r="C10428" s="138" t="str">
        <f t="shared" si="883"/>
        <v>Base_With Amendment</v>
      </c>
      <c r="D10428" s="138" t="str">
        <f t="shared" si="879"/>
        <v>High_Base</v>
      </c>
      <c r="E10428" s="138" t="str">
        <f t="shared" si="880"/>
        <v>Low</v>
      </c>
      <c r="F10428" s="138" t="str">
        <f t="shared" si="884"/>
        <v>Upgraded</v>
      </c>
      <c r="G10428" s="153"/>
      <c r="H10428" s="210">
        <v>9.1000000000000004E-3</v>
      </c>
      <c r="I10428" s="160" t="s">
        <v>148</v>
      </c>
      <c r="J10428" s="211">
        <v>8.8212999999999997E-6</v>
      </c>
      <c r="K10428" s="160" t="s">
        <v>145</v>
      </c>
      <c r="L10428" s="154" t="str">
        <f>IF(OpenLCAbasic!K10428="CTUh", "Fill in Manually",IF(OR(K10428="Unit", K10428=""), "", INDEX(LookUps!$E$5:$E$12, MATCH(OpenLCAbasic!K10428,LookUps!$D$5:$D$12,0))))</f>
        <v>Particulate Matter Formation Potential (PMFP) - kg PM2.5 eq</v>
      </c>
      <c r="M10428" s="154" t="str">
        <f t="shared" si="881"/>
        <v>Low_High_Base_Upgraded_Particulate Matter Formation Potential (PMFP) - kg PM2.5 eq_Control Building; at upgraded wastewater treatment plant - US_Base_With Amendment_Aerated Static Pile</v>
      </c>
    </row>
    <row r="10429" spans="1:13" s="120" customFormat="1" x14ac:dyDescent="0.25">
      <c r="A10429" s="119"/>
      <c r="B10429" s="138" t="str">
        <f t="shared" si="882"/>
        <v>Aerated Static Pile</v>
      </c>
      <c r="C10429" s="138" t="str">
        <f t="shared" si="883"/>
        <v>Base_With Amendment</v>
      </c>
      <c r="D10429" s="138" t="str">
        <f t="shared" si="879"/>
        <v>High_Base</v>
      </c>
      <c r="E10429" s="138" t="str">
        <f t="shared" si="880"/>
        <v>Low</v>
      </c>
      <c r="F10429" s="138" t="str">
        <f t="shared" si="884"/>
        <v>Upgraded</v>
      </c>
      <c r="G10429" s="153"/>
      <c r="H10429" s="210">
        <v>-6.2157</v>
      </c>
      <c r="I10429" s="160" t="s">
        <v>149</v>
      </c>
      <c r="J10429" s="160">
        <v>-6.0200000000000002E-3</v>
      </c>
      <c r="K10429" s="160" t="s">
        <v>145</v>
      </c>
      <c r="L10429" s="154" t="str">
        <f>IF(OpenLCAbasic!K10429="CTUh", "Fill in Manually",IF(OR(K10429="Unit", K10429=""), "", INDEX(LookUps!$E$5:$E$12, MATCH(OpenLCAbasic!K10429,LookUps!$D$5:$D$12,0))))</f>
        <v>Particulate Matter Formation Potential (PMFP) - kg PM2.5 eq</v>
      </c>
      <c r="M10429" s="154" t="str">
        <f t="shared" si="881"/>
        <v>Low_High_Base_Upgraded_Particulate Matter Formation Potential (PMFP) - kg PM2.5 eq_Anaerobic Digestion; wastewater treatment unit; at updated plant - US_Base_With Amendment_Aerated Static Pile</v>
      </c>
    </row>
    <row r="10430" spans="1:13" s="120" customFormat="1" x14ac:dyDescent="0.25">
      <c r="A10430" s="119"/>
      <c r="B10430" s="138" t="str">
        <f t="shared" si="882"/>
        <v/>
      </c>
      <c r="C10430" s="138" t="str">
        <f t="shared" si="883"/>
        <v/>
      </c>
      <c r="D10430" s="138" t="str">
        <f t="shared" si="879"/>
        <v/>
      </c>
      <c r="E10430" s="138" t="str">
        <f t="shared" si="880"/>
        <v/>
      </c>
      <c r="F10430" s="138" t="str">
        <f t="shared" si="884"/>
        <v/>
      </c>
      <c r="G10430" s="153" t="s">
        <v>51</v>
      </c>
      <c r="H10430" s="160"/>
      <c r="I10430" s="160" t="s">
        <v>47</v>
      </c>
      <c r="J10430" s="160" t="s">
        <v>52</v>
      </c>
      <c r="K10430" s="160" t="s">
        <v>27</v>
      </c>
      <c r="L10430" s="154" t="str">
        <f>IF(OpenLCAbasic!K10430="CTUh", "Fill in Manually",IF(OR(K10430="Unit", K10430=""), "", INDEX(LookUps!$E$5:$E$12, MATCH(OpenLCAbasic!K10430,LookUps!$D$5:$D$12,0))))</f>
        <v/>
      </c>
      <c r="M10430" s="154" t="str">
        <f t="shared" si="881"/>
        <v>____Process__</v>
      </c>
    </row>
    <row r="10431" spans="1:13" s="120" customFormat="1" x14ac:dyDescent="0.25">
      <c r="A10431" s="119"/>
      <c r="B10431" s="138" t="str">
        <f t="shared" si="882"/>
        <v>Aerated Static Pile</v>
      </c>
      <c r="C10431" s="138" t="str">
        <f t="shared" si="883"/>
        <v>Base_With Amendment</v>
      </c>
      <c r="D10431" s="138" t="str">
        <f t="shared" si="879"/>
        <v>High_Base</v>
      </c>
      <c r="E10431" s="138" t="str">
        <f t="shared" si="880"/>
        <v>Low</v>
      </c>
      <c r="F10431" s="138" t="str">
        <f t="shared" si="884"/>
        <v>Upgraded</v>
      </c>
      <c r="G10431" s="153"/>
      <c r="H10431" s="210">
        <v>2.5709</v>
      </c>
      <c r="I10431" s="160" t="s">
        <v>55</v>
      </c>
      <c r="J10431" s="160">
        <v>0.16577</v>
      </c>
      <c r="K10431" s="160" t="s">
        <v>25</v>
      </c>
      <c r="L10431" s="154" t="str">
        <f>IF(OpenLCAbasic!K10431="CTUh", "Fill in Manually",IF(OR(K10431="Unit", K10431=""), "", INDEX(LookUps!$E$5:$E$12, MATCH(OpenLCAbasic!K10431,LookUps!$D$5:$D$12,0))))</f>
        <v>Smog Formation Potential (SFP) - kg O3 eq</v>
      </c>
      <c r="M10431" s="154" t="str">
        <f t="shared" si="881"/>
        <v>Low_High_Base_Upgraded_Smog Formation Potential (SFP) - kg O3 eq_Aeration Tanks; wastewater treatment unit; at updated plant - US_Base_With Amendment_Aerated Static Pile</v>
      </c>
    </row>
    <row r="10432" spans="1:13" s="120" customFormat="1" x14ac:dyDescent="0.25">
      <c r="A10432" s="119"/>
      <c r="B10432" s="138" t="str">
        <f t="shared" si="882"/>
        <v>Aerated Static Pile</v>
      </c>
      <c r="C10432" s="138" t="str">
        <f t="shared" si="883"/>
        <v>Base_With Amendment</v>
      </c>
      <c r="D10432" s="138" t="str">
        <f t="shared" si="879"/>
        <v>High_Base</v>
      </c>
      <c r="E10432" s="138" t="str">
        <f t="shared" si="880"/>
        <v>Low</v>
      </c>
      <c r="F10432" s="138" t="str">
        <f t="shared" si="884"/>
        <v>Upgraded</v>
      </c>
      <c r="G10432" s="153"/>
      <c r="H10432" s="210">
        <v>1.7618</v>
      </c>
      <c r="I10432" s="160" t="s">
        <v>435</v>
      </c>
      <c r="J10432" s="160">
        <v>0.11360000000000001</v>
      </c>
      <c r="K10432" s="160" t="s">
        <v>25</v>
      </c>
      <c r="L10432" s="154" t="str">
        <f>IF(OpenLCAbasic!K10432="CTUh", "Fill in Manually",IF(OR(K10432="Unit", K10432=""), "", INDEX(LookUps!$E$5:$E$12, MATCH(OpenLCAbasic!K10432,LookUps!$D$5:$D$12,0))))</f>
        <v>Smog Formation Potential (SFP) - kg O3 eq</v>
      </c>
      <c r="M10432" s="154" t="str">
        <f t="shared" si="881"/>
        <v>Low_High_Base_Upgraded_Smog Formation Potential (SFP) - kg O3 eq_Biosolids composting; aerated static pile; wastewater treatment unit; at updated plant - US_Base_With Amendment_Aerated Static Pile</v>
      </c>
    </row>
    <row r="10433" spans="1:13" s="120" customFormat="1" x14ac:dyDescent="0.25">
      <c r="A10433" s="119"/>
      <c r="B10433" s="138" t="str">
        <f t="shared" si="882"/>
        <v>Aerated Static Pile</v>
      </c>
      <c r="C10433" s="138" t="str">
        <f t="shared" si="883"/>
        <v>Base_With Amendment</v>
      </c>
      <c r="D10433" s="138" t="str">
        <f t="shared" si="879"/>
        <v>High_Base</v>
      </c>
      <c r="E10433" s="138" t="str">
        <f t="shared" si="880"/>
        <v>Low</v>
      </c>
      <c r="F10433" s="138" t="str">
        <f t="shared" si="884"/>
        <v>Upgraded</v>
      </c>
      <c r="G10433" s="153"/>
      <c r="H10433" s="210">
        <v>0.74560000000000004</v>
      </c>
      <c r="I10433" s="160" t="s">
        <v>54</v>
      </c>
      <c r="J10433" s="160">
        <v>4.8070000000000002E-2</v>
      </c>
      <c r="K10433" s="160" t="s">
        <v>25</v>
      </c>
      <c r="L10433" s="154" t="str">
        <f>IF(OpenLCAbasic!K10433="CTUh", "Fill in Manually",IF(OR(K10433="Unit", K10433=""), "", INDEX(LookUps!$E$5:$E$12, MATCH(OpenLCAbasic!K10433,LookUps!$D$5:$D$12,0))))</f>
        <v>Smog Formation Potential (SFP) - kg O3 eq</v>
      </c>
      <c r="M10433" s="154" t="str">
        <f t="shared" si="881"/>
        <v>Low_High_Base_Upgraded_Smog Formation Potential (SFP) - kg O3 eq_Clear Cove Primary Clarification; wastewater treatment unit; at updated plant - US_Base_With Amendment_Aerated Static Pile</v>
      </c>
    </row>
    <row r="10434" spans="1:13" s="120" customFormat="1" x14ac:dyDescent="0.25">
      <c r="A10434" s="119"/>
      <c r="B10434" s="138" t="str">
        <f t="shared" si="882"/>
        <v>Aerated Static Pile</v>
      </c>
      <c r="C10434" s="138" t="str">
        <f t="shared" si="883"/>
        <v>Base_With Amendment</v>
      </c>
      <c r="D10434" s="138" t="str">
        <f t="shared" si="879"/>
        <v>High_Base</v>
      </c>
      <c r="E10434" s="138" t="str">
        <f t="shared" si="880"/>
        <v>Low</v>
      </c>
      <c r="F10434" s="138" t="str">
        <f t="shared" si="884"/>
        <v>Upgraded</v>
      </c>
      <c r="G10434" s="153"/>
      <c r="H10434" s="210">
        <v>0.65280000000000005</v>
      </c>
      <c r="I10434" s="160" t="s">
        <v>58</v>
      </c>
      <c r="J10434" s="160">
        <v>4.2090000000000002E-2</v>
      </c>
      <c r="K10434" s="160" t="s">
        <v>25</v>
      </c>
      <c r="L10434" s="154" t="str">
        <f>IF(OpenLCAbasic!K10434="CTUh", "Fill in Manually",IF(OR(K10434="Unit", K10434=""), "", INDEX(LookUps!$E$5:$E$12, MATCH(OpenLCAbasic!K10434,LookUps!$D$5:$D$12,0))))</f>
        <v>Smog Formation Potential (SFP) - kg O3 eq</v>
      </c>
      <c r="M10434" s="154" t="str">
        <f t="shared" si="881"/>
        <v>Low_High_Base_Upgraded_Smog Formation Potential (SFP) - kg O3 eq_Pre-Anoxic &amp; Swing tank; wastewater treatment unit; at updated plant - US_Base_With Amendment_Aerated Static Pile</v>
      </c>
    </row>
    <row r="10435" spans="1:13" s="120" customFormat="1" x14ac:dyDescent="0.25">
      <c r="A10435" s="119"/>
      <c r="B10435" s="138" t="str">
        <f t="shared" si="882"/>
        <v>Aerated Static Pile</v>
      </c>
      <c r="C10435" s="138" t="str">
        <f t="shared" si="883"/>
        <v>Base_With Amendment</v>
      </c>
      <c r="D10435" s="138" t="str">
        <f t="shared" si="879"/>
        <v>High_Base</v>
      </c>
      <c r="E10435" s="138" t="str">
        <f t="shared" si="880"/>
        <v>Low</v>
      </c>
      <c r="F10435" s="138" t="str">
        <f t="shared" si="884"/>
        <v>Upgraded</v>
      </c>
      <c r="G10435" s="153"/>
      <c r="H10435" s="210">
        <v>0.52349999999999997</v>
      </c>
      <c r="I10435" s="160" t="s">
        <v>167</v>
      </c>
      <c r="J10435" s="160">
        <v>3.3759999999999998E-2</v>
      </c>
      <c r="K10435" s="160" t="s">
        <v>25</v>
      </c>
      <c r="L10435" s="154" t="str">
        <f>IF(OpenLCAbasic!K10435="CTUh", "Fill in Manually",IF(OR(K10435="Unit", K10435=""), "", INDEX(LookUps!$E$5:$E$12, MATCH(OpenLCAbasic!K10435,LookUps!$D$5:$D$12,0))))</f>
        <v>Smog Formation Potential (SFP) - kg O3 eq</v>
      </c>
      <c r="M10435" s="154" t="str">
        <f t="shared" si="881"/>
        <v>Low_High_Base_Upgraded_Smog Formation Potential (SFP) - kg O3 eq_Waste Receiving and Holding; wastewater treatment unit; at updated plant - US_Base_With Amendment_Aerated Static Pile</v>
      </c>
    </row>
    <row r="10436" spans="1:13" s="120" customFormat="1" x14ac:dyDescent="0.25">
      <c r="A10436" s="119"/>
      <c r="B10436" s="138" t="str">
        <f t="shared" si="882"/>
        <v>Aerated Static Pile</v>
      </c>
      <c r="C10436" s="138" t="str">
        <f t="shared" si="883"/>
        <v>Base_With Amendment</v>
      </c>
      <c r="D10436" s="138" t="str">
        <f t="shared" si="879"/>
        <v>High_Base</v>
      </c>
      <c r="E10436" s="138" t="str">
        <f t="shared" si="880"/>
        <v>Low</v>
      </c>
      <c r="F10436" s="138" t="str">
        <f t="shared" si="884"/>
        <v>Upgraded</v>
      </c>
      <c r="G10436" s="153"/>
      <c r="H10436" s="210">
        <v>0.51370000000000005</v>
      </c>
      <c r="I10436" s="160" t="s">
        <v>53</v>
      </c>
      <c r="J10436" s="160">
        <v>3.313E-2</v>
      </c>
      <c r="K10436" s="160" t="s">
        <v>25</v>
      </c>
      <c r="L10436" s="154" t="str">
        <f>IF(OpenLCAbasic!K10436="CTUh", "Fill in Manually",IF(OR(K10436="Unit", K10436=""), "", INDEX(LookUps!$E$5:$E$12, MATCH(OpenLCAbasic!K10436,LookUps!$D$5:$D$12,0))))</f>
        <v>Smog Formation Potential (SFP) - kg O3 eq</v>
      </c>
      <c r="M10436" s="154" t="str">
        <f t="shared" si="881"/>
        <v>Low_High_Base_Upgraded_Smog Formation Potential (SFP) - kg O3 eq_Wet Well and Sump Station; wastewater treatment unit; at updated plant - US_Base_With Amendment_Aerated Static Pile</v>
      </c>
    </row>
    <row r="10437" spans="1:13" s="120" customFormat="1" x14ac:dyDescent="0.25">
      <c r="A10437" s="119"/>
      <c r="B10437" s="138" t="str">
        <f t="shared" si="882"/>
        <v>Aerated Static Pile</v>
      </c>
      <c r="C10437" s="138" t="str">
        <f t="shared" si="883"/>
        <v>Base_With Amendment</v>
      </c>
      <c r="D10437" s="138" t="str">
        <f t="shared" si="879"/>
        <v>High_Base</v>
      </c>
      <c r="E10437" s="138" t="str">
        <f t="shared" si="880"/>
        <v>Low</v>
      </c>
      <c r="F10437" s="138" t="str">
        <f t="shared" si="884"/>
        <v>Upgraded</v>
      </c>
      <c r="G10437" s="153"/>
      <c r="H10437" s="210">
        <v>0.30080000000000001</v>
      </c>
      <c r="I10437" s="160" t="s">
        <v>147</v>
      </c>
      <c r="J10437" s="160">
        <v>1.9400000000000001E-2</v>
      </c>
      <c r="K10437" s="160" t="s">
        <v>25</v>
      </c>
      <c r="L10437" s="154" t="str">
        <f>IF(OpenLCAbasic!K10437="CTUh", "Fill in Manually",IF(OR(K10437="Unit", K10437=""), "", INDEX(LookUps!$E$5:$E$12, MATCH(OpenLCAbasic!K10437,LookUps!$D$5:$D$12,0))))</f>
        <v>Smog Formation Potential (SFP) - kg O3 eq</v>
      </c>
      <c r="M10437" s="154" t="str">
        <f t="shared" si="881"/>
        <v>Low_High_Base_Upgraded_Smog Formation Potential (SFP) - kg O3 eq_Influent Pump Station; wastewater treatment unit; at updated plant - US_Base_With Amendment_Aerated Static Pile</v>
      </c>
    </row>
    <row r="10438" spans="1:13" s="120" customFormat="1" x14ac:dyDescent="0.25">
      <c r="A10438" s="119"/>
      <c r="B10438" s="138" t="str">
        <f t="shared" si="882"/>
        <v>Aerated Static Pile</v>
      </c>
      <c r="C10438" s="138" t="str">
        <f t="shared" si="883"/>
        <v>Base_With Amendment</v>
      </c>
      <c r="D10438" s="138" t="str">
        <f t="shared" si="879"/>
        <v>High_Base</v>
      </c>
      <c r="E10438" s="138" t="str">
        <f t="shared" si="880"/>
        <v>Low</v>
      </c>
      <c r="F10438" s="138" t="str">
        <f t="shared" si="884"/>
        <v>Upgraded</v>
      </c>
      <c r="G10438" s="153"/>
      <c r="H10438" s="210">
        <v>0.215</v>
      </c>
      <c r="I10438" s="160" t="s">
        <v>60</v>
      </c>
      <c r="J10438" s="160">
        <v>1.387E-2</v>
      </c>
      <c r="K10438" s="160" t="s">
        <v>25</v>
      </c>
      <c r="L10438" s="154" t="str">
        <f>IF(OpenLCAbasic!K10438="CTUh", "Fill in Manually",IF(OR(K10438="Unit", K10438=""), "", INDEX(LookUps!$E$5:$E$12, MATCH(OpenLCAbasic!K10438,LookUps!$D$5:$D$12,0))))</f>
        <v>Smog Formation Potential (SFP) - kg O3 eq</v>
      </c>
      <c r="M10438" s="154" t="str">
        <f t="shared" si="881"/>
        <v>Low_High_Base_Upgraded_Smog Formation Potential (SFP) - kg O3 eq_Belt filter press; wastewater treatment unit; at updated plant - US_Base_With Amendment_Aerated Static Pile</v>
      </c>
    </row>
    <row r="10439" spans="1:13" s="120" customFormat="1" x14ac:dyDescent="0.25">
      <c r="A10439" s="119"/>
      <c r="B10439" s="138" t="str">
        <f t="shared" si="882"/>
        <v>Aerated Static Pile</v>
      </c>
      <c r="C10439" s="138" t="str">
        <f t="shared" si="883"/>
        <v>Base_With Amendment</v>
      </c>
      <c r="D10439" s="138" t="str">
        <f t="shared" si="879"/>
        <v>High_Base</v>
      </c>
      <c r="E10439" s="138" t="str">
        <f t="shared" si="880"/>
        <v>Low</v>
      </c>
      <c r="F10439" s="138" t="str">
        <f t="shared" si="884"/>
        <v>Upgraded</v>
      </c>
      <c r="G10439" s="153"/>
      <c r="H10439" s="210">
        <v>0.18479999999999999</v>
      </c>
      <c r="I10439" s="160" t="s">
        <v>128</v>
      </c>
      <c r="J10439" s="160">
        <v>1.192E-2</v>
      </c>
      <c r="K10439" s="160" t="s">
        <v>25</v>
      </c>
      <c r="L10439" s="154" t="str">
        <f>IF(OpenLCAbasic!K10439="CTUh", "Fill in Manually",IF(OR(K10439="Unit", K10439=""), "", INDEX(LookUps!$E$5:$E$12, MATCH(OpenLCAbasic!K10439,LookUps!$D$5:$D$12,0))))</f>
        <v>Smog Formation Potential (SFP) - kg O3 eq</v>
      </c>
      <c r="M10439" s="154" t="str">
        <f t="shared" si="881"/>
        <v>Low_High_Base_Upgraded_Smog Formation Potential (SFP) - kg O3 eq_Wastewater collection; operation and infrastructure; m3 wastewater_Base_With Amendment_Aerated Static Pile</v>
      </c>
    </row>
    <row r="10440" spans="1:13" s="120" customFormat="1" x14ac:dyDescent="0.25">
      <c r="A10440" s="119"/>
      <c r="B10440" s="138" t="str">
        <f t="shared" si="882"/>
        <v>Aerated Static Pile</v>
      </c>
      <c r="C10440" s="138" t="str">
        <f t="shared" si="883"/>
        <v>Base_With Amendment</v>
      </c>
      <c r="D10440" s="138" t="str">
        <f t="shared" si="879"/>
        <v>High_Base</v>
      </c>
      <c r="E10440" s="138" t="str">
        <f t="shared" si="880"/>
        <v>Low</v>
      </c>
      <c r="F10440" s="138" t="str">
        <f t="shared" si="884"/>
        <v>Upgraded</v>
      </c>
      <c r="G10440" s="153"/>
      <c r="H10440" s="210">
        <v>0.1032</v>
      </c>
      <c r="I10440" s="160" t="s">
        <v>57</v>
      </c>
      <c r="J10440" s="160">
        <v>6.6499999999999997E-3</v>
      </c>
      <c r="K10440" s="160" t="s">
        <v>25</v>
      </c>
      <c r="L10440" s="154" t="str">
        <f>IF(OpenLCAbasic!K10440="CTUh", "Fill in Manually",IF(OR(K10440="Unit", K10440=""), "", INDEX(LookUps!$E$5:$E$12, MATCH(OpenLCAbasic!K10440,LookUps!$D$5:$D$12,0))))</f>
        <v>Smog Formation Potential (SFP) - kg O3 eq</v>
      </c>
      <c r="M10440" s="154" t="str">
        <f t="shared" si="881"/>
        <v>Low_High_Base_Upgraded_Smog Formation Potential (SFP) - kg O3 eq_Gravity Belt Thickener; wastewater treatment unit; at updated plant - US_Base_With Amendment_Aerated Static Pile</v>
      </c>
    </row>
    <row r="10441" spans="1:13" s="120" customFormat="1" x14ac:dyDescent="0.25">
      <c r="A10441" s="119"/>
      <c r="B10441" s="138" t="str">
        <f t="shared" si="882"/>
        <v>Aerated Static Pile</v>
      </c>
      <c r="C10441" s="138" t="str">
        <f t="shared" si="883"/>
        <v>Base_With Amendment</v>
      </c>
      <c r="D10441" s="138" t="str">
        <f t="shared" si="879"/>
        <v>High_Base</v>
      </c>
      <c r="E10441" s="138" t="str">
        <f t="shared" si="880"/>
        <v>Low</v>
      </c>
      <c r="F10441" s="138" t="str">
        <f t="shared" si="884"/>
        <v>Upgraded</v>
      </c>
      <c r="G10441" s="153"/>
      <c r="H10441" s="210">
        <v>7.7100000000000002E-2</v>
      </c>
      <c r="I10441" s="160" t="s">
        <v>59</v>
      </c>
      <c r="J10441" s="160">
        <v>4.9699999999999996E-3</v>
      </c>
      <c r="K10441" s="160" t="s">
        <v>25</v>
      </c>
      <c r="L10441" s="154" t="str">
        <f>IF(OpenLCAbasic!K10441="CTUh", "Fill in Manually",IF(OR(K10441="Unit", K10441=""), "", INDEX(LookUps!$E$5:$E$12, MATCH(OpenLCAbasic!K10441,LookUps!$D$5:$D$12,0))))</f>
        <v>Smog Formation Potential (SFP) - kg O3 eq</v>
      </c>
      <c r="M10441" s="154" t="str">
        <f t="shared" si="881"/>
        <v>Low_High_Base_Upgraded_Smog Formation Potential (SFP) - kg O3 eq_Blend Tank; wastewater treatment unit; at updated plant - US_Base_With Amendment_Aerated Static Pile</v>
      </c>
    </row>
    <row r="10442" spans="1:13" s="120" customFormat="1" x14ac:dyDescent="0.25">
      <c r="A10442" s="119"/>
      <c r="B10442" s="138" t="str">
        <f t="shared" si="882"/>
        <v>Aerated Static Pile</v>
      </c>
      <c r="C10442" s="138" t="str">
        <f t="shared" si="883"/>
        <v>Base_With Amendment</v>
      </c>
      <c r="D10442" s="138" t="str">
        <f t="shared" si="879"/>
        <v>High_Base</v>
      </c>
      <c r="E10442" s="138" t="str">
        <f t="shared" si="880"/>
        <v>Low</v>
      </c>
      <c r="F10442" s="138" t="str">
        <f t="shared" si="884"/>
        <v>Upgraded</v>
      </c>
      <c r="G10442" s="153"/>
      <c r="H10442" s="210">
        <v>5.2499999999999998E-2</v>
      </c>
      <c r="I10442" s="160" t="s">
        <v>48</v>
      </c>
      <c r="J10442" s="160">
        <v>3.3899999999999998E-3</v>
      </c>
      <c r="K10442" s="160" t="s">
        <v>25</v>
      </c>
      <c r="L10442" s="154" t="str">
        <f>IF(OpenLCAbasic!K10442="CTUh", "Fill in Manually",IF(OR(K10442="Unit", K10442=""), "", INDEX(LookUps!$E$5:$E$12, MATCH(OpenLCAbasic!K10442,LookUps!$D$5:$D$12,0))))</f>
        <v>Smog Formation Potential (SFP) - kg O3 eq</v>
      </c>
      <c r="M10442" s="154" t="str">
        <f t="shared" si="881"/>
        <v>Low_High_Base_Upgraded_Smog Formation Potential (SFP) - kg O3 eq_Effluent release; wastewater treatment unit; at surface water; m3 wastewater - US_Base_With Amendment_Aerated Static Pile</v>
      </c>
    </row>
    <row r="10443" spans="1:13" s="120" customFormat="1" x14ac:dyDescent="0.25">
      <c r="A10443" s="119"/>
      <c r="B10443" s="138" t="str">
        <f t="shared" si="882"/>
        <v>Aerated Static Pile</v>
      </c>
      <c r="C10443" s="138" t="str">
        <f t="shared" si="883"/>
        <v>Base_With Amendment</v>
      </c>
      <c r="D10443" s="138" t="str">
        <f t="shared" si="879"/>
        <v>High_Base</v>
      </c>
      <c r="E10443" s="138" t="str">
        <f t="shared" si="880"/>
        <v>Low</v>
      </c>
      <c r="F10443" s="138" t="str">
        <f t="shared" si="884"/>
        <v>Upgraded</v>
      </c>
      <c r="G10443" s="153"/>
      <c r="H10443" s="210">
        <v>3.8100000000000002E-2</v>
      </c>
      <c r="I10443" s="160" t="s">
        <v>168</v>
      </c>
      <c r="J10443" s="160">
        <v>2.4599999999999999E-3</v>
      </c>
      <c r="K10443" s="160" t="s">
        <v>25</v>
      </c>
      <c r="L10443" s="154" t="str">
        <f>IF(OpenLCAbasic!K10443="CTUh", "Fill in Manually",IF(OR(K10443="Unit", K10443=""), "", INDEX(LookUps!$E$5:$E$12, MATCH(OpenLCAbasic!K10443,LookUps!$D$5:$D$12,0))))</f>
        <v>Smog Formation Potential (SFP) - kg O3 eq</v>
      </c>
      <c r="M10443" s="154" t="str">
        <f t="shared" si="881"/>
        <v>Low_High_Base_Upgraded_Smog Formation Potential (SFP) - kg O3 eq_ClearCove SCP; wastewater treatment unit; at updated plant - US_Base_With Amendment_Aerated Static Pile</v>
      </c>
    </row>
    <row r="10444" spans="1:13" s="120" customFormat="1" x14ac:dyDescent="0.25">
      <c r="A10444" s="119"/>
      <c r="B10444" s="138" t="str">
        <f t="shared" si="882"/>
        <v>Aerated Static Pile</v>
      </c>
      <c r="C10444" s="138" t="str">
        <f t="shared" si="883"/>
        <v>Base_With Amendment</v>
      </c>
      <c r="D10444" s="138" t="str">
        <f t="shared" si="879"/>
        <v>High_Base</v>
      </c>
      <c r="E10444" s="138" t="str">
        <f t="shared" si="880"/>
        <v>Low</v>
      </c>
      <c r="F10444" s="138" t="str">
        <f t="shared" si="884"/>
        <v>Upgraded</v>
      </c>
      <c r="G10444" s="153"/>
      <c r="H10444" s="210">
        <v>8.3999999999999995E-3</v>
      </c>
      <c r="I10444" s="160" t="s">
        <v>148</v>
      </c>
      <c r="J10444" s="160">
        <v>5.4000000000000001E-4</v>
      </c>
      <c r="K10444" s="160" t="s">
        <v>25</v>
      </c>
      <c r="L10444" s="154" t="str">
        <f>IF(OpenLCAbasic!K10444="CTUh", "Fill in Manually",IF(OR(K10444="Unit", K10444=""), "", INDEX(LookUps!$E$5:$E$12, MATCH(OpenLCAbasic!K10444,LookUps!$D$5:$D$12,0))))</f>
        <v>Smog Formation Potential (SFP) - kg O3 eq</v>
      </c>
      <c r="M10444" s="154" t="str">
        <f t="shared" si="881"/>
        <v>Low_High_Base_Upgraded_Smog Formation Potential (SFP) - kg O3 eq_Control Building; at upgraded wastewater treatment plant - US_Base_With Amendment_Aerated Static Pile</v>
      </c>
    </row>
    <row r="10445" spans="1:13" s="120" customFormat="1" x14ac:dyDescent="0.25">
      <c r="A10445" s="119"/>
      <c r="B10445" s="138" t="str">
        <f t="shared" si="882"/>
        <v>Aerated Static Pile</v>
      </c>
      <c r="C10445" s="138" t="str">
        <f t="shared" si="883"/>
        <v>Base_With Amendment</v>
      </c>
      <c r="D10445" s="138" t="str">
        <f t="shared" si="879"/>
        <v>High_Base</v>
      </c>
      <c r="E10445" s="138" t="str">
        <f t="shared" si="880"/>
        <v>Low</v>
      </c>
      <c r="F10445" s="138" t="str">
        <f t="shared" si="884"/>
        <v>Upgraded</v>
      </c>
      <c r="G10445" s="153"/>
      <c r="H10445" s="210">
        <v>-8.48E-2</v>
      </c>
      <c r="I10445" s="160" t="s">
        <v>62</v>
      </c>
      <c r="J10445" s="160">
        <v>-5.4599999999999996E-3</v>
      </c>
      <c r="K10445" s="160" t="s">
        <v>25</v>
      </c>
      <c r="L10445" s="154" t="str">
        <f>IF(OpenLCAbasic!K10445="CTUh", "Fill in Manually",IF(OR(K10445="Unit", K10445=""), "", INDEX(LookUps!$E$5:$E$12, MATCH(OpenLCAbasic!K10445,LookUps!$D$5:$D$12,0))))</f>
        <v>Smog Formation Potential (SFP) - kg O3 eq</v>
      </c>
      <c r="M10445" s="154" t="str">
        <f t="shared" si="881"/>
        <v>Low_High_Base_Upgraded_Smog Formation Potential (SFP) - kg O3 eq_Land application of compost; wastewater treatment unit; at updated plant - US_Base_With Amendment_Aerated Static Pile</v>
      </c>
    </row>
    <row r="10446" spans="1:13" s="120" customFormat="1" x14ac:dyDescent="0.25">
      <c r="A10446" s="119"/>
      <c r="B10446" s="138" t="str">
        <f t="shared" si="882"/>
        <v>Aerated Static Pile</v>
      </c>
      <c r="C10446" s="138" t="str">
        <f t="shared" si="883"/>
        <v>Base_With Amendment</v>
      </c>
      <c r="D10446" s="138" t="str">
        <f t="shared" si="879"/>
        <v>High_Base</v>
      </c>
      <c r="E10446" s="138" t="str">
        <f t="shared" si="880"/>
        <v>Low</v>
      </c>
      <c r="F10446" s="138" t="str">
        <f t="shared" si="884"/>
        <v>Upgraded</v>
      </c>
      <c r="G10446" s="153"/>
      <c r="H10446" s="210">
        <v>-6.6635</v>
      </c>
      <c r="I10446" s="160" t="s">
        <v>149</v>
      </c>
      <c r="J10446" s="160">
        <v>-0.42965999999999999</v>
      </c>
      <c r="K10446" s="160" t="s">
        <v>25</v>
      </c>
      <c r="L10446" s="154" t="str">
        <f>IF(OpenLCAbasic!K10446="CTUh", "Fill in Manually",IF(OR(K10446="Unit", K10446=""), "", INDEX(LookUps!$E$5:$E$12, MATCH(OpenLCAbasic!K10446,LookUps!$D$5:$D$12,0))))</f>
        <v>Smog Formation Potential (SFP) - kg O3 eq</v>
      </c>
      <c r="M10446" s="154" t="str">
        <f t="shared" si="881"/>
        <v>Low_High_Base_Upgraded_Smog Formation Potential (SFP) - kg O3 eq_Anaerobic Digestion; wastewater treatment unit; at updated plant - US_Base_With Amendment_Aerated Static Pile</v>
      </c>
    </row>
    <row r="10447" spans="1:13" s="120" customFormat="1" x14ac:dyDescent="0.25">
      <c r="A10447" s="119"/>
      <c r="B10447" s="138" t="str">
        <f t="shared" si="882"/>
        <v/>
      </c>
      <c r="C10447" s="138" t="str">
        <f t="shared" si="883"/>
        <v/>
      </c>
      <c r="D10447" s="138" t="str">
        <f t="shared" si="879"/>
        <v/>
      </c>
      <c r="E10447" s="138" t="str">
        <f t="shared" si="880"/>
        <v/>
      </c>
      <c r="F10447" s="138" t="str">
        <f t="shared" si="884"/>
        <v/>
      </c>
      <c r="G10447" s="153" t="s">
        <v>51</v>
      </c>
      <c r="H10447" s="160"/>
      <c r="I10447" s="160" t="s">
        <v>47</v>
      </c>
      <c r="J10447" s="160" t="s">
        <v>52</v>
      </c>
      <c r="K10447" s="160" t="s">
        <v>27</v>
      </c>
      <c r="L10447" s="154" t="str">
        <f>IF(OpenLCAbasic!K10447="CTUh", "Fill in Manually",IF(OR(K10447="Unit", K10447=""), "", INDEX(LookUps!$E$5:$E$12, MATCH(OpenLCAbasic!K10447,LookUps!$D$5:$D$12,0))))</f>
        <v/>
      </c>
      <c r="M10447" s="154" t="str">
        <f t="shared" si="881"/>
        <v>____Process__</v>
      </c>
    </row>
    <row r="10448" spans="1:13" s="120" customFormat="1" x14ac:dyDescent="0.25">
      <c r="A10448" s="119"/>
      <c r="B10448" s="138" t="str">
        <f t="shared" si="882"/>
        <v>Aerated Static Pile</v>
      </c>
      <c r="C10448" s="138" t="str">
        <f t="shared" si="883"/>
        <v>Base_With Amendment</v>
      </c>
      <c r="D10448" s="138" t="str">
        <f t="shared" si="879"/>
        <v>High_Base</v>
      </c>
      <c r="E10448" s="138" t="str">
        <f t="shared" si="880"/>
        <v>Low</v>
      </c>
      <c r="F10448" s="138" t="str">
        <f t="shared" si="884"/>
        <v>Upgraded</v>
      </c>
      <c r="G10448" s="153"/>
      <c r="H10448" s="210">
        <v>0.32100000000000001</v>
      </c>
      <c r="I10448" s="160" t="s">
        <v>167</v>
      </c>
      <c r="J10448" s="160">
        <v>3.4000000000000002E-4</v>
      </c>
      <c r="K10448" s="160" t="s">
        <v>26</v>
      </c>
      <c r="L10448" s="154" t="str">
        <f>IF(OpenLCAbasic!K10448="CTUh", "Fill in Manually",IF(OR(K10448="Unit", K10448=""), "", INDEX(LookUps!$E$5:$E$12, MATCH(OpenLCAbasic!K10448,LookUps!$D$5:$D$12,0))))</f>
        <v>Water Use (WU) - m3 H2O</v>
      </c>
      <c r="M10448" s="154" t="str">
        <f t="shared" si="881"/>
        <v>Low_High_Base_Upgraded_Water Use (WU) - m3 H2O_Waste Receiving and Holding; wastewater treatment unit; at updated plant - US_Base_With Amendment_Aerated Static Pile</v>
      </c>
    </row>
    <row r="10449" spans="1:13" s="120" customFormat="1" x14ac:dyDescent="0.25">
      <c r="A10449" s="119"/>
      <c r="B10449" s="138" t="str">
        <f t="shared" si="882"/>
        <v>Aerated Static Pile</v>
      </c>
      <c r="C10449" s="138" t="str">
        <f t="shared" si="883"/>
        <v>Base_With Amendment</v>
      </c>
      <c r="D10449" s="138" t="str">
        <f t="shared" si="879"/>
        <v>High_Base</v>
      </c>
      <c r="E10449" s="138" t="str">
        <f t="shared" si="880"/>
        <v>Low</v>
      </c>
      <c r="F10449" s="138" t="str">
        <f t="shared" si="884"/>
        <v>Upgraded</v>
      </c>
      <c r="G10449" s="153"/>
      <c r="H10449" s="210">
        <v>0.17560000000000001</v>
      </c>
      <c r="I10449" s="160" t="s">
        <v>147</v>
      </c>
      <c r="J10449" s="160">
        <v>1.8000000000000001E-4</v>
      </c>
      <c r="K10449" s="160" t="s">
        <v>26</v>
      </c>
      <c r="L10449" s="154" t="str">
        <f>IF(OpenLCAbasic!K10449="CTUh", "Fill in Manually",IF(OR(K10449="Unit", K10449=""), "", INDEX(LookUps!$E$5:$E$12, MATCH(OpenLCAbasic!K10449,LookUps!$D$5:$D$12,0))))</f>
        <v>Water Use (WU) - m3 H2O</v>
      </c>
      <c r="M10449" s="154" t="str">
        <f t="shared" si="881"/>
        <v>Low_High_Base_Upgraded_Water Use (WU) - m3 H2O_Influent Pump Station; wastewater treatment unit; at updated plant - US_Base_With Amendment_Aerated Static Pile</v>
      </c>
    </row>
    <row r="10450" spans="1:13" s="120" customFormat="1" x14ac:dyDescent="0.25">
      <c r="A10450" s="119"/>
      <c r="B10450" s="138" t="str">
        <f t="shared" si="882"/>
        <v>Aerated Static Pile</v>
      </c>
      <c r="C10450" s="138" t="str">
        <f t="shared" si="883"/>
        <v>Base_With Amendment</v>
      </c>
      <c r="D10450" s="138" t="str">
        <f t="shared" si="879"/>
        <v>High_Base</v>
      </c>
      <c r="E10450" s="138" t="str">
        <f t="shared" si="880"/>
        <v>Low</v>
      </c>
      <c r="F10450" s="138" t="str">
        <f t="shared" si="884"/>
        <v>Upgraded</v>
      </c>
      <c r="G10450" s="153"/>
      <c r="H10450" s="210">
        <v>0.1714</v>
      </c>
      <c r="I10450" s="160" t="s">
        <v>54</v>
      </c>
      <c r="J10450" s="160">
        <v>1.8000000000000001E-4</v>
      </c>
      <c r="K10450" s="160" t="s">
        <v>26</v>
      </c>
      <c r="L10450" s="154" t="str">
        <f>IF(OpenLCAbasic!K10450="CTUh", "Fill in Manually",IF(OR(K10450="Unit", K10450=""), "", INDEX(LookUps!$E$5:$E$12, MATCH(OpenLCAbasic!K10450,LookUps!$D$5:$D$12,0))))</f>
        <v>Water Use (WU) - m3 H2O</v>
      </c>
      <c r="M10450" s="154" t="str">
        <f t="shared" si="881"/>
        <v>Low_High_Base_Upgraded_Water Use (WU) - m3 H2O_Clear Cove Primary Clarification; wastewater treatment unit; at updated plant - US_Base_With Amendment_Aerated Static Pile</v>
      </c>
    </row>
    <row r="10451" spans="1:13" s="120" customFormat="1" x14ac:dyDescent="0.25">
      <c r="A10451" s="119"/>
      <c r="B10451" s="138" t="str">
        <f t="shared" si="882"/>
        <v>Aerated Static Pile</v>
      </c>
      <c r="C10451" s="138" t="str">
        <f t="shared" si="883"/>
        <v>Base_With Amendment</v>
      </c>
      <c r="D10451" s="138" t="str">
        <f t="shared" si="879"/>
        <v>High_Base</v>
      </c>
      <c r="E10451" s="138" t="str">
        <f t="shared" si="880"/>
        <v>Low</v>
      </c>
      <c r="F10451" s="138" t="str">
        <f t="shared" si="884"/>
        <v>Upgraded</v>
      </c>
      <c r="G10451" s="153"/>
      <c r="H10451" s="210">
        <v>0.1555</v>
      </c>
      <c r="I10451" s="160" t="s">
        <v>55</v>
      </c>
      <c r="J10451" s="160">
        <v>1.6000000000000001E-4</v>
      </c>
      <c r="K10451" s="160" t="s">
        <v>26</v>
      </c>
      <c r="L10451" s="154" t="str">
        <f>IF(OpenLCAbasic!K10451="CTUh", "Fill in Manually",IF(OR(K10451="Unit", K10451=""), "", INDEX(LookUps!$E$5:$E$12, MATCH(OpenLCAbasic!K10451,LookUps!$D$5:$D$12,0))))</f>
        <v>Water Use (WU) - m3 H2O</v>
      </c>
      <c r="M10451" s="154" t="str">
        <f t="shared" si="881"/>
        <v>Low_High_Base_Upgraded_Water Use (WU) - m3 H2O_Aeration Tanks; wastewater treatment unit; at updated plant - US_Base_With Amendment_Aerated Static Pile</v>
      </c>
    </row>
    <row r="10452" spans="1:13" s="120" customFormat="1" x14ac:dyDescent="0.25">
      <c r="A10452" s="119"/>
      <c r="B10452" s="138" t="str">
        <f t="shared" si="882"/>
        <v>Aerated Static Pile</v>
      </c>
      <c r="C10452" s="138" t="str">
        <f t="shared" si="883"/>
        <v>Base_With Amendment</v>
      </c>
      <c r="D10452" s="138" t="str">
        <f t="shared" si="879"/>
        <v>High_Base</v>
      </c>
      <c r="E10452" s="138" t="str">
        <f t="shared" si="880"/>
        <v>Low</v>
      </c>
      <c r="F10452" s="138" t="str">
        <f t="shared" si="884"/>
        <v>Upgraded</v>
      </c>
      <c r="G10452" s="153"/>
      <c r="H10452" s="210">
        <v>0.1416</v>
      </c>
      <c r="I10452" s="160" t="s">
        <v>148</v>
      </c>
      <c r="J10452" s="160">
        <v>1.4999999999999999E-4</v>
      </c>
      <c r="K10452" s="160" t="s">
        <v>26</v>
      </c>
      <c r="L10452" s="154" t="str">
        <f>IF(OpenLCAbasic!K10452="CTUh", "Fill in Manually",IF(OR(K10452="Unit", K10452=""), "", INDEX(LookUps!$E$5:$E$12, MATCH(OpenLCAbasic!K10452,LookUps!$D$5:$D$12,0))))</f>
        <v>Water Use (WU) - m3 H2O</v>
      </c>
      <c r="M10452" s="154" t="str">
        <f t="shared" si="881"/>
        <v>Low_High_Base_Upgraded_Water Use (WU) - m3 H2O_Control Building; at upgraded wastewater treatment plant - US_Base_With Amendment_Aerated Static Pile</v>
      </c>
    </row>
    <row r="10453" spans="1:13" s="120" customFormat="1" x14ac:dyDescent="0.25">
      <c r="A10453" s="119"/>
      <c r="B10453" s="138" t="str">
        <f t="shared" si="882"/>
        <v>Aerated Static Pile</v>
      </c>
      <c r="C10453" s="138" t="str">
        <f t="shared" si="883"/>
        <v>Base_With Amendment</v>
      </c>
      <c r="D10453" s="138" t="str">
        <f t="shared" si="879"/>
        <v>High_Base</v>
      </c>
      <c r="E10453" s="138" t="str">
        <f t="shared" si="880"/>
        <v>Low</v>
      </c>
      <c r="F10453" s="138" t="str">
        <f t="shared" si="884"/>
        <v>Upgraded</v>
      </c>
      <c r="G10453" s="153"/>
      <c r="H10453" s="210">
        <v>6.5799999999999997E-2</v>
      </c>
      <c r="I10453" s="160" t="s">
        <v>48</v>
      </c>
      <c r="J10453" s="211">
        <v>6.8836400000000004E-5</v>
      </c>
      <c r="K10453" s="160" t="s">
        <v>26</v>
      </c>
      <c r="L10453" s="154" t="str">
        <f>IF(OpenLCAbasic!K10453="CTUh", "Fill in Manually",IF(OR(K10453="Unit", K10453=""), "", INDEX(LookUps!$E$5:$E$12, MATCH(OpenLCAbasic!K10453,LookUps!$D$5:$D$12,0))))</f>
        <v>Water Use (WU) - m3 H2O</v>
      </c>
      <c r="M10453" s="154" t="str">
        <f t="shared" si="881"/>
        <v>Low_High_Base_Upgraded_Water Use (WU) - m3 H2O_Effluent release; wastewater treatment unit; at surface water; m3 wastewater - US_Base_With Amendment_Aerated Static Pile</v>
      </c>
    </row>
    <row r="10454" spans="1:13" s="120" customFormat="1" x14ac:dyDescent="0.25">
      <c r="A10454" s="119"/>
      <c r="B10454" s="138" t="str">
        <f t="shared" si="882"/>
        <v>Aerated Static Pile</v>
      </c>
      <c r="C10454" s="138" t="str">
        <f t="shared" si="883"/>
        <v>Base_With Amendment</v>
      </c>
      <c r="D10454" s="138" t="str">
        <f t="shared" si="879"/>
        <v>High_Base</v>
      </c>
      <c r="E10454" s="138" t="str">
        <f t="shared" si="880"/>
        <v>Low</v>
      </c>
      <c r="F10454" s="138" t="str">
        <f t="shared" si="884"/>
        <v>Upgraded</v>
      </c>
      <c r="G10454" s="153"/>
      <c r="H10454" s="210">
        <v>4.1399999999999999E-2</v>
      </c>
      <c r="I10454" s="160" t="s">
        <v>58</v>
      </c>
      <c r="J10454" s="211">
        <v>4.3289399999999999E-5</v>
      </c>
      <c r="K10454" s="160" t="s">
        <v>26</v>
      </c>
      <c r="L10454" s="154" t="str">
        <f>IF(OpenLCAbasic!K10454="CTUh", "Fill in Manually",IF(OR(K10454="Unit", K10454=""), "", INDEX(LookUps!$E$5:$E$12, MATCH(OpenLCAbasic!K10454,LookUps!$D$5:$D$12,0))))</f>
        <v>Water Use (WU) - m3 H2O</v>
      </c>
      <c r="M10454" s="154" t="str">
        <f t="shared" si="881"/>
        <v>Low_High_Base_Upgraded_Water Use (WU) - m3 H2O_Pre-Anoxic &amp; Swing tank; wastewater treatment unit; at updated plant - US_Base_With Amendment_Aerated Static Pile</v>
      </c>
    </row>
    <row r="10455" spans="1:13" s="120" customFormat="1" x14ac:dyDescent="0.25">
      <c r="A10455" s="119"/>
      <c r="B10455" s="138" t="str">
        <f t="shared" si="882"/>
        <v>Aerated Static Pile</v>
      </c>
      <c r="C10455" s="138" t="str">
        <f t="shared" si="883"/>
        <v>Base_With Amendment</v>
      </c>
      <c r="D10455" s="138" t="str">
        <f t="shared" si="879"/>
        <v>High_Base</v>
      </c>
      <c r="E10455" s="138" t="str">
        <f t="shared" si="880"/>
        <v>Low</v>
      </c>
      <c r="F10455" s="138" t="str">
        <f t="shared" si="884"/>
        <v>Upgraded</v>
      </c>
      <c r="G10455" s="153"/>
      <c r="H10455" s="210">
        <v>3.9600000000000003E-2</v>
      </c>
      <c r="I10455" s="160" t="s">
        <v>60</v>
      </c>
      <c r="J10455" s="211">
        <v>4.1413099999999998E-5</v>
      </c>
      <c r="K10455" s="160" t="s">
        <v>26</v>
      </c>
      <c r="L10455" s="154" t="str">
        <f>IF(OpenLCAbasic!K10455="CTUh", "Fill in Manually",IF(OR(K10455="Unit", K10455=""), "", INDEX(LookUps!$E$5:$E$12, MATCH(OpenLCAbasic!K10455,LookUps!$D$5:$D$12,0))))</f>
        <v>Water Use (WU) - m3 H2O</v>
      </c>
      <c r="M10455" s="154" t="str">
        <f t="shared" si="881"/>
        <v>Low_High_Base_Upgraded_Water Use (WU) - m3 H2O_Belt filter press; wastewater treatment unit; at updated plant - US_Base_With Amendment_Aerated Static Pile</v>
      </c>
    </row>
    <row r="10456" spans="1:13" s="120" customFormat="1" x14ac:dyDescent="0.25">
      <c r="A10456" s="119"/>
      <c r="B10456" s="138" t="str">
        <f t="shared" si="882"/>
        <v>Aerated Static Pile</v>
      </c>
      <c r="C10456" s="138" t="str">
        <f t="shared" si="883"/>
        <v>Base_With Amendment</v>
      </c>
      <c r="D10456" s="138" t="str">
        <f t="shared" si="879"/>
        <v>High_Base</v>
      </c>
      <c r="E10456" s="138" t="str">
        <f t="shared" si="880"/>
        <v>Low</v>
      </c>
      <c r="F10456" s="138" t="str">
        <f t="shared" si="884"/>
        <v>Upgraded</v>
      </c>
      <c r="G10456" s="153"/>
      <c r="H10456" s="210">
        <v>3.56E-2</v>
      </c>
      <c r="I10456" s="160" t="s">
        <v>435</v>
      </c>
      <c r="J10456" s="211">
        <v>3.7308799999999998E-5</v>
      </c>
      <c r="K10456" s="160" t="s">
        <v>26</v>
      </c>
      <c r="L10456" s="154" t="str">
        <f>IF(OpenLCAbasic!K10456="CTUh", "Fill in Manually",IF(OR(K10456="Unit", K10456=""), "", INDEX(LookUps!$E$5:$E$12, MATCH(OpenLCAbasic!K10456,LookUps!$D$5:$D$12,0))))</f>
        <v>Water Use (WU) - m3 H2O</v>
      </c>
      <c r="M10456" s="154" t="str">
        <f t="shared" si="881"/>
        <v>Low_High_Base_Upgraded_Water Use (WU) - m3 H2O_Biosolids composting; aerated static pile; wastewater treatment unit; at updated plant - US_Base_With Amendment_Aerated Static Pile</v>
      </c>
    </row>
    <row r="10457" spans="1:13" s="120" customFormat="1" x14ac:dyDescent="0.25">
      <c r="A10457" s="119"/>
      <c r="B10457" s="138" t="str">
        <f t="shared" si="882"/>
        <v>Aerated Static Pile</v>
      </c>
      <c r="C10457" s="138" t="str">
        <f t="shared" si="883"/>
        <v>Base_With Amendment</v>
      </c>
      <c r="D10457" s="138" t="str">
        <f t="shared" ref="D10457:D10463" si="885">IF(ISNUMBER($J10457),"High_Base","")</f>
        <v>High_Base</v>
      </c>
      <c r="E10457" s="138" t="str">
        <f t="shared" si="880"/>
        <v>Low</v>
      </c>
      <c r="F10457" s="138" t="str">
        <f t="shared" si="884"/>
        <v>Upgraded</v>
      </c>
      <c r="G10457" s="153"/>
      <c r="H10457" s="210">
        <v>2.9000000000000001E-2</v>
      </c>
      <c r="I10457" s="160" t="s">
        <v>57</v>
      </c>
      <c r="J10457" s="211">
        <v>3.0408100000000001E-5</v>
      </c>
      <c r="K10457" s="160" t="s">
        <v>26</v>
      </c>
      <c r="L10457" s="154" t="str">
        <f>IF(OpenLCAbasic!K10457="CTUh", "Fill in Manually",IF(OR(K10457="Unit", K10457=""), "", INDEX(LookUps!$E$5:$E$12, MATCH(OpenLCAbasic!K10457,LookUps!$D$5:$D$12,0))))</f>
        <v>Water Use (WU) - m3 H2O</v>
      </c>
      <c r="M10457" s="154" t="str">
        <f t="shared" si="881"/>
        <v>Low_High_Base_Upgraded_Water Use (WU) - m3 H2O_Gravity Belt Thickener; wastewater treatment unit; at updated plant - US_Base_With Amendment_Aerated Static Pile</v>
      </c>
    </row>
    <row r="10458" spans="1:13" s="120" customFormat="1" x14ac:dyDescent="0.25">
      <c r="A10458" s="119"/>
      <c r="B10458" s="138" t="str">
        <f t="shared" si="882"/>
        <v>Aerated Static Pile</v>
      </c>
      <c r="C10458" s="138" t="str">
        <f t="shared" si="883"/>
        <v>Base_With Amendment</v>
      </c>
      <c r="D10458" s="138" t="str">
        <f t="shared" si="885"/>
        <v>High_Base</v>
      </c>
      <c r="E10458" s="138" t="str">
        <f t="shared" si="880"/>
        <v>Low</v>
      </c>
      <c r="F10458" s="138" t="str">
        <f t="shared" si="884"/>
        <v>Upgraded</v>
      </c>
      <c r="G10458" s="153"/>
      <c r="H10458" s="210">
        <v>1.67E-2</v>
      </c>
      <c r="I10458" s="160" t="s">
        <v>53</v>
      </c>
      <c r="J10458" s="211">
        <v>1.75069E-5</v>
      </c>
      <c r="K10458" s="160" t="s">
        <v>26</v>
      </c>
      <c r="L10458" s="154" t="str">
        <f>IF(OpenLCAbasic!K10458="CTUh", "Fill in Manually",IF(OR(K10458="Unit", K10458=""), "", INDEX(LookUps!$E$5:$E$12, MATCH(OpenLCAbasic!K10458,LookUps!$D$5:$D$12,0))))</f>
        <v>Water Use (WU) - m3 H2O</v>
      </c>
      <c r="M10458" s="154" t="str">
        <f t="shared" si="881"/>
        <v>Low_High_Base_Upgraded_Water Use (WU) - m3 H2O_Wet Well and Sump Station; wastewater treatment unit; at updated plant - US_Base_With Amendment_Aerated Static Pile</v>
      </c>
    </row>
    <row r="10459" spans="1:13" s="120" customFormat="1" x14ac:dyDescent="0.25">
      <c r="A10459" s="119"/>
      <c r="B10459" s="138" t="str">
        <f t="shared" si="882"/>
        <v>Aerated Static Pile</v>
      </c>
      <c r="C10459" s="138" t="str">
        <f t="shared" si="883"/>
        <v>Base_With Amendment</v>
      </c>
      <c r="D10459" s="138" t="str">
        <f t="shared" si="885"/>
        <v>High_Base</v>
      </c>
      <c r="E10459" s="138" t="str">
        <f t="shared" si="880"/>
        <v>Low</v>
      </c>
      <c r="F10459" s="138" t="str">
        <f t="shared" si="884"/>
        <v>Upgraded</v>
      </c>
      <c r="G10459" s="153"/>
      <c r="H10459" s="210">
        <v>6.7000000000000002E-3</v>
      </c>
      <c r="I10459" s="160" t="s">
        <v>59</v>
      </c>
      <c r="J10459" s="211">
        <v>7.0179500000000003E-6</v>
      </c>
      <c r="K10459" s="160" t="s">
        <v>26</v>
      </c>
      <c r="L10459" s="154" t="str">
        <f>IF(OpenLCAbasic!K10459="CTUh", "Fill in Manually",IF(OR(K10459="Unit", K10459=""), "", INDEX(LookUps!$E$5:$E$12, MATCH(OpenLCAbasic!K10459,LookUps!$D$5:$D$12,0))))</f>
        <v>Water Use (WU) - m3 H2O</v>
      </c>
      <c r="M10459" s="154" t="str">
        <f t="shared" si="881"/>
        <v>Low_High_Base_Upgraded_Water Use (WU) - m3 H2O_Blend Tank; wastewater treatment unit; at updated plant - US_Base_With Amendment_Aerated Static Pile</v>
      </c>
    </row>
    <row r="10460" spans="1:13" s="120" customFormat="1" x14ac:dyDescent="0.25">
      <c r="A10460" s="119"/>
      <c r="B10460" s="138" t="str">
        <f t="shared" si="882"/>
        <v>Aerated Static Pile</v>
      </c>
      <c r="C10460" s="138" t="str">
        <f t="shared" si="883"/>
        <v>Base_With Amendment</v>
      </c>
      <c r="D10460" s="138" t="str">
        <f t="shared" si="885"/>
        <v>High_Base</v>
      </c>
      <c r="E10460" s="138" t="str">
        <f t="shared" si="880"/>
        <v>Low</v>
      </c>
      <c r="F10460" s="138" t="str">
        <f t="shared" si="884"/>
        <v>Upgraded</v>
      </c>
      <c r="G10460" s="153"/>
      <c r="H10460" s="210">
        <v>4.7999999999999996E-3</v>
      </c>
      <c r="I10460" s="160" t="s">
        <v>128</v>
      </c>
      <c r="J10460" s="211">
        <v>5.0608900000000003E-6</v>
      </c>
      <c r="K10460" s="160" t="s">
        <v>26</v>
      </c>
      <c r="L10460" s="154" t="str">
        <f>IF(OpenLCAbasic!K10460="CTUh", "Fill in Manually",IF(OR(K10460="Unit", K10460=""), "", INDEX(LookUps!$E$5:$E$12, MATCH(OpenLCAbasic!K10460,LookUps!$D$5:$D$12,0))))</f>
        <v>Water Use (WU) - m3 H2O</v>
      </c>
      <c r="M10460" s="154" t="str">
        <f t="shared" si="881"/>
        <v>Low_High_Base_Upgraded_Water Use (WU) - m3 H2O_Wastewater collection; operation and infrastructure; m3 wastewater_Base_With Amendment_Aerated Static Pile</v>
      </c>
    </row>
    <row r="10461" spans="1:13" s="120" customFormat="1" x14ac:dyDescent="0.25">
      <c r="A10461" s="119"/>
      <c r="B10461" s="138" t="str">
        <f t="shared" si="882"/>
        <v>Aerated Static Pile</v>
      </c>
      <c r="C10461" s="138" t="str">
        <f t="shared" si="883"/>
        <v>Base_With Amendment</v>
      </c>
      <c r="D10461" s="138" t="str">
        <f t="shared" si="885"/>
        <v>High_Base</v>
      </c>
      <c r="E10461" s="138" t="str">
        <f t="shared" si="880"/>
        <v>Low</v>
      </c>
      <c r="F10461" s="138" t="str">
        <f t="shared" si="884"/>
        <v>Upgraded</v>
      </c>
      <c r="G10461" s="153"/>
      <c r="H10461" s="210">
        <v>6.9999999999999999E-4</v>
      </c>
      <c r="I10461" s="160" t="s">
        <v>168</v>
      </c>
      <c r="J10461" s="211">
        <v>7.6697000000000004E-7</v>
      </c>
      <c r="K10461" s="160" t="s">
        <v>26</v>
      </c>
      <c r="L10461" s="154" t="str">
        <f>IF(OpenLCAbasic!K10461="CTUh", "Fill in Manually",IF(OR(K10461="Unit", K10461=""), "", INDEX(LookUps!$E$5:$E$12, MATCH(OpenLCAbasic!K10461,LookUps!$D$5:$D$12,0))))</f>
        <v>Water Use (WU) - m3 H2O</v>
      </c>
      <c r="M10461" s="154" t="str">
        <f t="shared" si="881"/>
        <v>Low_High_Base_Upgraded_Water Use (WU) - m3 H2O_ClearCove SCP; wastewater treatment unit; at updated plant - US_Base_With Amendment_Aerated Static Pile</v>
      </c>
    </row>
    <row r="10462" spans="1:13" s="120" customFormat="1" x14ac:dyDescent="0.25">
      <c r="A10462" s="119"/>
      <c r="B10462" s="138" t="str">
        <f t="shared" si="882"/>
        <v>Aerated Static Pile</v>
      </c>
      <c r="C10462" s="138" t="str">
        <f t="shared" si="883"/>
        <v>Base_With Amendment</v>
      </c>
      <c r="D10462" s="138" t="str">
        <f t="shared" si="885"/>
        <v>High_Base</v>
      </c>
      <c r="E10462" s="138" t="str">
        <f t="shared" si="880"/>
        <v>Low</v>
      </c>
      <c r="F10462" s="138" t="str">
        <f t="shared" si="884"/>
        <v>Upgraded</v>
      </c>
      <c r="G10462" s="153"/>
      <c r="H10462" s="210">
        <v>-0.11020000000000001</v>
      </c>
      <c r="I10462" s="160" t="s">
        <v>149</v>
      </c>
      <c r="J10462" s="160">
        <v>-1.2E-4</v>
      </c>
      <c r="K10462" s="160" t="s">
        <v>26</v>
      </c>
      <c r="L10462" s="154" t="str">
        <f>IF(OpenLCAbasic!K10462="CTUh", "Fill in Manually",IF(OR(K10462="Unit", K10462=""), "", INDEX(LookUps!$E$5:$E$12, MATCH(OpenLCAbasic!K10462,LookUps!$D$5:$D$12,0))))</f>
        <v>Water Use (WU) - m3 H2O</v>
      </c>
      <c r="M10462" s="154" t="str">
        <f t="shared" si="881"/>
        <v>Low_High_Base_Upgraded_Water Use (WU) - m3 H2O_Anaerobic Digestion; wastewater treatment unit; at updated plant - US_Base_With Amendment_Aerated Static Pile</v>
      </c>
    </row>
    <row r="10463" spans="1:13" s="120" customFormat="1" x14ac:dyDescent="0.25">
      <c r="A10463" s="119"/>
      <c r="B10463" s="138" t="str">
        <f t="shared" si="882"/>
        <v>Aerated Static Pile</v>
      </c>
      <c r="C10463" s="138" t="str">
        <f t="shared" si="883"/>
        <v>Base_With Amendment</v>
      </c>
      <c r="D10463" s="138" t="str">
        <f t="shared" si="885"/>
        <v>High_Base</v>
      </c>
      <c r="E10463" s="138" t="str">
        <f t="shared" si="880"/>
        <v>Low</v>
      </c>
      <c r="F10463" s="138" t="str">
        <f t="shared" si="884"/>
        <v>Upgraded</v>
      </c>
      <c r="G10463" s="153"/>
      <c r="H10463" s="210">
        <v>-2.0952000000000002</v>
      </c>
      <c r="I10463" s="160" t="s">
        <v>62</v>
      </c>
      <c r="J10463" s="160">
        <v>-2.1900000000000001E-3</v>
      </c>
      <c r="K10463" s="160" t="s">
        <v>26</v>
      </c>
      <c r="L10463" s="154" t="str">
        <f>IF(OpenLCAbasic!K10463="CTUh", "Fill in Manually",IF(OR(K10463="Unit", K10463=""), "", INDEX(LookUps!$E$5:$E$12, MATCH(OpenLCAbasic!K10463,LookUps!$D$5:$D$12,0))))</f>
        <v>Water Use (WU) - m3 H2O</v>
      </c>
      <c r="M10463" s="154" t="str">
        <f t="shared" si="881"/>
        <v>Low_High_Base_Upgraded_Water Use (WU) - m3 H2O_Land application of compost; wastewater treatment unit; at updated plant - US_Base_With Amendment_Aerated Static Pile</v>
      </c>
    </row>
    <row r="10464" spans="1:13" s="120" customFormat="1" x14ac:dyDescent="0.25">
      <c r="A10464" s="119"/>
      <c r="B10464" s="138" t="str">
        <f t="shared" ref="B10464:B10479" si="886">IF(F10464="Legacy","n.a.",IF(F10464="","","Aerated Static Pile"))</f>
        <v/>
      </c>
      <c r="C10464" s="138" t="str">
        <f t="shared" si="883"/>
        <v/>
      </c>
      <c r="D10464" s="138" t="str">
        <f t="shared" ref="D10464:D10482" si="887">IF(ISNUMBER($J10464),"High_High","")</f>
        <v/>
      </c>
      <c r="E10464" s="138" t="str">
        <f t="shared" si="880"/>
        <v/>
      </c>
      <c r="F10464" s="138" t="str">
        <f t="shared" ref="F10464:F10479" si="888">IF(ISNUMBER(J10464),"Upgraded","")</f>
        <v/>
      </c>
      <c r="G10464" s="153" t="s">
        <v>51</v>
      </c>
      <c r="H10464" s="160"/>
      <c r="I10464" s="160" t="s">
        <v>47</v>
      </c>
      <c r="J10464" s="160" t="s">
        <v>52</v>
      </c>
      <c r="K10464" s="160" t="s">
        <v>27</v>
      </c>
      <c r="L10464" s="154" t="str">
        <f>IF(OpenLCAbasic!K10464="CTUh", "Fill in Manually",IF(OR(K10464="Unit", K10464=""), "", INDEX(LookUps!$E$5:$E$12, MATCH(OpenLCAbasic!K10464,LookUps!$D$5:$D$12,0))))</f>
        <v/>
      </c>
      <c r="M10464" s="154" t="str">
        <f t="shared" ref="M10464:M10483" si="889">CONCATENATE(E10464,"_",D10464,"_",F10464,"_",L10464, "_",I10464,"_", C10464,"_", B10464)</f>
        <v>____Process__</v>
      </c>
    </row>
    <row r="10465" spans="1:13" s="120" customFormat="1" x14ac:dyDescent="0.25">
      <c r="A10465" s="119"/>
      <c r="B10465" s="138" t="str">
        <f t="shared" si="886"/>
        <v>Aerated Static Pile</v>
      </c>
      <c r="C10465" s="138" t="str">
        <f t="shared" si="883"/>
        <v>Base_With Amendment</v>
      </c>
      <c r="D10465" s="138" t="str">
        <f t="shared" si="887"/>
        <v>High_High</v>
      </c>
      <c r="E10465" s="138" t="str">
        <f t="shared" si="880"/>
        <v>Low</v>
      </c>
      <c r="F10465" s="138" t="str">
        <f t="shared" si="888"/>
        <v>Upgraded</v>
      </c>
      <c r="G10465" s="153"/>
      <c r="H10465" s="210">
        <v>0.61629999999999996</v>
      </c>
      <c r="I10465" s="160" t="s">
        <v>167</v>
      </c>
      <c r="J10465" s="160">
        <v>5.1393399999999998</v>
      </c>
      <c r="K10465" s="160" t="s">
        <v>15</v>
      </c>
      <c r="L10465" s="154" t="str">
        <f>IF(OpenLCAbasic!K10465="CTUh", "Fill in Manually",IF(OR(K10465="Unit", K10465=""), "", INDEX(LookUps!$E$5:$E$12, MATCH(OpenLCAbasic!K10465,LookUps!$D$5:$D$12,0))))</f>
        <v>Cumulative Energy Demand (CED) - MJ</v>
      </c>
      <c r="M10465" s="154" t="str">
        <f t="shared" si="889"/>
        <v>Low_High_High_Upgraded_Cumulative Energy Demand (CED) - MJ_Waste Receiving and Holding; wastewater treatment unit; at updated plant - US_Base_With Amendment_Aerated Static Pile</v>
      </c>
    </row>
    <row r="10466" spans="1:13" s="120" customFormat="1" x14ac:dyDescent="0.25">
      <c r="A10466" s="119"/>
      <c r="B10466" s="138" t="str">
        <f t="shared" si="886"/>
        <v>Aerated Static Pile</v>
      </c>
      <c r="C10466" s="138" t="str">
        <f t="shared" si="883"/>
        <v>Base_With Amendment</v>
      </c>
      <c r="D10466" s="138" t="str">
        <f t="shared" si="887"/>
        <v>High_High</v>
      </c>
      <c r="E10466" s="138" t="str">
        <f t="shared" si="880"/>
        <v>Low</v>
      </c>
      <c r="F10466" s="138" t="str">
        <f t="shared" si="888"/>
        <v>Upgraded</v>
      </c>
      <c r="G10466" s="153"/>
      <c r="H10466" s="210">
        <v>0.42370000000000002</v>
      </c>
      <c r="I10466" s="160" t="s">
        <v>55</v>
      </c>
      <c r="J10466" s="160">
        <v>3.5330499999999998</v>
      </c>
      <c r="K10466" s="160" t="s">
        <v>15</v>
      </c>
      <c r="L10466" s="154" t="str">
        <f>IF(OpenLCAbasic!K10466="CTUh", "Fill in Manually",IF(OR(K10466="Unit", K10466=""), "", INDEX(LookUps!$E$5:$E$12, MATCH(OpenLCAbasic!K10466,LookUps!$D$5:$D$12,0))))</f>
        <v>Cumulative Energy Demand (CED) - MJ</v>
      </c>
      <c r="M10466" s="154" t="str">
        <f t="shared" si="889"/>
        <v>Low_High_High_Upgraded_Cumulative Energy Demand (CED) - MJ_Aeration Tanks; wastewater treatment unit; at updated plant - US_Base_With Amendment_Aerated Static Pile</v>
      </c>
    </row>
    <row r="10467" spans="1:13" s="120" customFormat="1" x14ac:dyDescent="0.25">
      <c r="A10467" s="119"/>
      <c r="B10467" s="138" t="str">
        <f t="shared" si="886"/>
        <v>Aerated Static Pile</v>
      </c>
      <c r="C10467" s="138" t="str">
        <f t="shared" si="883"/>
        <v>Base_With Amendment</v>
      </c>
      <c r="D10467" s="138" t="str">
        <f t="shared" si="887"/>
        <v>High_High</v>
      </c>
      <c r="E10467" s="138" t="str">
        <f t="shared" si="880"/>
        <v>Low</v>
      </c>
      <c r="F10467" s="138" t="str">
        <f t="shared" si="888"/>
        <v>Upgraded</v>
      </c>
      <c r="G10467" s="153"/>
      <c r="H10467" s="210">
        <v>0.26669999999999999</v>
      </c>
      <c r="I10467" s="160" t="s">
        <v>435</v>
      </c>
      <c r="J10467" s="160">
        <v>2.2243300000000001</v>
      </c>
      <c r="K10467" s="160" t="s">
        <v>15</v>
      </c>
      <c r="L10467" s="154" t="str">
        <f>IF(OpenLCAbasic!K10467="CTUh", "Fill in Manually",IF(OR(K10467="Unit", K10467=""), "", INDEX(LookUps!$E$5:$E$12, MATCH(OpenLCAbasic!K10467,LookUps!$D$5:$D$12,0))))</f>
        <v>Cumulative Energy Demand (CED) - MJ</v>
      </c>
      <c r="M10467" s="154" t="str">
        <f t="shared" si="889"/>
        <v>Low_High_High_Upgraded_Cumulative Energy Demand (CED) - MJ_Biosolids composting; aerated static pile; wastewater treatment unit; at updated plant - US_Base_With Amendment_Aerated Static Pile</v>
      </c>
    </row>
    <row r="10468" spans="1:13" s="120" customFormat="1" x14ac:dyDescent="0.25">
      <c r="A10468" s="119"/>
      <c r="B10468" s="138" t="str">
        <f t="shared" si="886"/>
        <v>Aerated Static Pile</v>
      </c>
      <c r="C10468" s="138" t="str">
        <f t="shared" si="883"/>
        <v>Base_With Amendment</v>
      </c>
      <c r="D10468" s="138" t="str">
        <f t="shared" si="887"/>
        <v>High_High</v>
      </c>
      <c r="E10468" s="138" t="str">
        <f t="shared" si="880"/>
        <v>Low</v>
      </c>
      <c r="F10468" s="138" t="str">
        <f t="shared" si="888"/>
        <v>Upgraded</v>
      </c>
      <c r="G10468" s="153"/>
      <c r="H10468" s="210">
        <v>0.1394</v>
      </c>
      <c r="I10468" s="160" t="s">
        <v>54</v>
      </c>
      <c r="J10468" s="160">
        <v>1.16289</v>
      </c>
      <c r="K10468" s="160" t="s">
        <v>15</v>
      </c>
      <c r="L10468" s="154" t="str">
        <f>IF(OpenLCAbasic!K10468="CTUh", "Fill in Manually",IF(OR(K10468="Unit", K10468=""), "", INDEX(LookUps!$E$5:$E$12, MATCH(OpenLCAbasic!K10468,LookUps!$D$5:$D$12,0))))</f>
        <v>Cumulative Energy Demand (CED) - MJ</v>
      </c>
      <c r="M10468" s="154" t="str">
        <f t="shared" si="889"/>
        <v>Low_High_High_Upgraded_Cumulative Energy Demand (CED) - MJ_Clear Cove Primary Clarification; wastewater treatment unit; at updated plant - US_Base_With Amendment_Aerated Static Pile</v>
      </c>
    </row>
    <row r="10469" spans="1:13" s="120" customFormat="1" x14ac:dyDescent="0.25">
      <c r="A10469" s="119"/>
      <c r="B10469" s="138" t="str">
        <f t="shared" si="886"/>
        <v>Aerated Static Pile</v>
      </c>
      <c r="C10469" s="138" t="str">
        <f t="shared" si="883"/>
        <v>Base_With Amendment</v>
      </c>
      <c r="D10469" s="138" t="str">
        <f t="shared" si="887"/>
        <v>High_High</v>
      </c>
      <c r="E10469" s="138" t="str">
        <f t="shared" si="880"/>
        <v>Low</v>
      </c>
      <c r="F10469" s="138" t="str">
        <f t="shared" si="888"/>
        <v>Upgraded</v>
      </c>
      <c r="G10469" s="153"/>
      <c r="H10469" s="210">
        <v>0.10680000000000001</v>
      </c>
      <c r="I10469" s="160" t="s">
        <v>58</v>
      </c>
      <c r="J10469" s="160">
        <v>0.89063999999999999</v>
      </c>
      <c r="K10469" s="160" t="s">
        <v>15</v>
      </c>
      <c r="L10469" s="154" t="str">
        <f>IF(OpenLCAbasic!K10469="CTUh", "Fill in Manually",IF(OR(K10469="Unit", K10469=""), "", INDEX(LookUps!$E$5:$E$12, MATCH(OpenLCAbasic!K10469,LookUps!$D$5:$D$12,0))))</f>
        <v>Cumulative Energy Demand (CED) - MJ</v>
      </c>
      <c r="M10469" s="154" t="str">
        <f t="shared" si="889"/>
        <v>Low_High_High_Upgraded_Cumulative Energy Demand (CED) - MJ_Pre-Anoxic &amp; Swing tank; wastewater treatment unit; at updated plant - US_Base_With Amendment_Aerated Static Pile</v>
      </c>
    </row>
    <row r="10470" spans="1:13" s="120" customFormat="1" x14ac:dyDescent="0.25">
      <c r="A10470" s="119"/>
      <c r="B10470" s="138" t="str">
        <f t="shared" si="886"/>
        <v>Aerated Static Pile</v>
      </c>
      <c r="C10470" s="138" t="str">
        <f t="shared" si="883"/>
        <v>Base_With Amendment</v>
      </c>
      <c r="D10470" s="138" t="str">
        <f t="shared" si="887"/>
        <v>High_High</v>
      </c>
      <c r="E10470" s="138" t="str">
        <f t="shared" si="880"/>
        <v>Low</v>
      </c>
      <c r="F10470" s="138" t="str">
        <f t="shared" si="888"/>
        <v>Upgraded</v>
      </c>
      <c r="G10470" s="153"/>
      <c r="H10470" s="210">
        <v>0.10589999999999999</v>
      </c>
      <c r="I10470" s="160" t="s">
        <v>147</v>
      </c>
      <c r="J10470" s="160">
        <v>0.88297000000000003</v>
      </c>
      <c r="K10470" s="160" t="s">
        <v>15</v>
      </c>
      <c r="L10470" s="154" t="str">
        <f>IF(OpenLCAbasic!K10470="CTUh", "Fill in Manually",IF(OR(K10470="Unit", K10470=""), "", INDEX(LookUps!$E$5:$E$12, MATCH(OpenLCAbasic!K10470,LookUps!$D$5:$D$12,0))))</f>
        <v>Cumulative Energy Demand (CED) - MJ</v>
      </c>
      <c r="M10470" s="154" t="str">
        <f t="shared" si="889"/>
        <v>Low_High_High_Upgraded_Cumulative Energy Demand (CED) - MJ_Influent Pump Station; wastewater treatment unit; at updated plant - US_Base_With Amendment_Aerated Static Pile</v>
      </c>
    </row>
    <row r="10471" spans="1:13" s="120" customFormat="1" x14ac:dyDescent="0.25">
      <c r="A10471" s="119"/>
      <c r="B10471" s="138" t="str">
        <f t="shared" si="886"/>
        <v>Aerated Static Pile</v>
      </c>
      <c r="C10471" s="138" t="str">
        <f t="shared" si="883"/>
        <v>Base_With Amendment</v>
      </c>
      <c r="D10471" s="138" t="str">
        <f t="shared" si="887"/>
        <v>High_High</v>
      </c>
      <c r="E10471" s="138" t="str">
        <f t="shared" si="880"/>
        <v>Low</v>
      </c>
      <c r="F10471" s="138" t="str">
        <f t="shared" si="888"/>
        <v>Upgraded</v>
      </c>
      <c r="G10471" s="153"/>
      <c r="H10471" s="210">
        <v>8.3500000000000005E-2</v>
      </c>
      <c r="I10471" s="160" t="s">
        <v>53</v>
      </c>
      <c r="J10471" s="160">
        <v>0.69645000000000001</v>
      </c>
      <c r="K10471" s="160" t="s">
        <v>15</v>
      </c>
      <c r="L10471" s="154" t="str">
        <f>IF(OpenLCAbasic!K10471="CTUh", "Fill in Manually",IF(OR(K10471="Unit", K10471=""), "", INDEX(LookUps!$E$5:$E$12, MATCH(OpenLCAbasic!K10471,LookUps!$D$5:$D$12,0))))</f>
        <v>Cumulative Energy Demand (CED) - MJ</v>
      </c>
      <c r="M10471" s="154" t="str">
        <f t="shared" si="889"/>
        <v>Low_High_High_Upgraded_Cumulative Energy Demand (CED) - MJ_Wet Well and Sump Station; wastewater treatment unit; at updated plant - US_Base_With Amendment_Aerated Static Pile</v>
      </c>
    </row>
    <row r="10472" spans="1:13" s="120" customFormat="1" x14ac:dyDescent="0.25">
      <c r="A10472" s="119"/>
      <c r="B10472" s="138" t="str">
        <f t="shared" si="886"/>
        <v>Aerated Static Pile</v>
      </c>
      <c r="C10472" s="138" t="str">
        <f t="shared" si="883"/>
        <v>Base_With Amendment</v>
      </c>
      <c r="D10472" s="138" t="str">
        <f t="shared" si="887"/>
        <v>High_High</v>
      </c>
      <c r="E10472" s="138" t="str">
        <f t="shared" si="880"/>
        <v>Low</v>
      </c>
      <c r="F10472" s="138" t="str">
        <f t="shared" si="888"/>
        <v>Upgraded</v>
      </c>
      <c r="G10472" s="153"/>
      <c r="H10472" s="210">
        <v>6.1899999999999997E-2</v>
      </c>
      <c r="I10472" s="160" t="s">
        <v>60</v>
      </c>
      <c r="J10472" s="160">
        <v>0.51639000000000002</v>
      </c>
      <c r="K10472" s="160" t="s">
        <v>15</v>
      </c>
      <c r="L10472" s="154" t="str">
        <f>IF(OpenLCAbasic!K10472="CTUh", "Fill in Manually",IF(OR(K10472="Unit", K10472=""), "", INDEX(LookUps!$E$5:$E$12, MATCH(OpenLCAbasic!K10472,LookUps!$D$5:$D$12,0))))</f>
        <v>Cumulative Energy Demand (CED) - MJ</v>
      </c>
      <c r="M10472" s="154" t="str">
        <f t="shared" si="889"/>
        <v>Low_High_High_Upgraded_Cumulative Energy Demand (CED) - MJ_Belt filter press; wastewater treatment unit; at updated plant - US_Base_With Amendment_Aerated Static Pile</v>
      </c>
    </row>
    <row r="10473" spans="1:13" s="120" customFormat="1" x14ac:dyDescent="0.25">
      <c r="A10473" s="119"/>
      <c r="B10473" s="138" t="str">
        <f t="shared" si="886"/>
        <v>Aerated Static Pile</v>
      </c>
      <c r="C10473" s="138" t="str">
        <f t="shared" si="883"/>
        <v>Base_With Amendment</v>
      </c>
      <c r="D10473" s="138" t="str">
        <f t="shared" si="887"/>
        <v>High_High</v>
      </c>
      <c r="E10473" s="138" t="str">
        <f t="shared" si="880"/>
        <v>Low</v>
      </c>
      <c r="F10473" s="138" t="str">
        <f t="shared" si="888"/>
        <v>Upgraded</v>
      </c>
      <c r="G10473" s="153"/>
      <c r="H10473" s="210">
        <v>4.0099999999999997E-2</v>
      </c>
      <c r="I10473" s="160" t="s">
        <v>57</v>
      </c>
      <c r="J10473" s="160">
        <v>0.33404</v>
      </c>
      <c r="K10473" s="160" t="s">
        <v>15</v>
      </c>
      <c r="L10473" s="154" t="str">
        <f>IF(OpenLCAbasic!K10473="CTUh", "Fill in Manually",IF(OR(K10473="Unit", K10473=""), "", INDEX(LookUps!$E$5:$E$12, MATCH(OpenLCAbasic!K10473,LookUps!$D$5:$D$12,0))))</f>
        <v>Cumulative Energy Demand (CED) - MJ</v>
      </c>
      <c r="M10473" s="154" t="str">
        <f t="shared" si="889"/>
        <v>Low_High_High_Upgraded_Cumulative Energy Demand (CED) - MJ_Gravity Belt Thickener; wastewater treatment unit; at updated plant - US_Base_With Amendment_Aerated Static Pile</v>
      </c>
    </row>
    <row r="10474" spans="1:13" s="120" customFormat="1" x14ac:dyDescent="0.25">
      <c r="A10474" s="119"/>
      <c r="B10474" s="138" t="str">
        <f t="shared" si="886"/>
        <v>Aerated Static Pile</v>
      </c>
      <c r="C10474" s="138" t="str">
        <f t="shared" si="883"/>
        <v>Base_With Amendment</v>
      </c>
      <c r="D10474" s="138" t="str">
        <f t="shared" si="887"/>
        <v>High_High</v>
      </c>
      <c r="E10474" s="138" t="str">
        <f t="shared" si="880"/>
        <v>Low</v>
      </c>
      <c r="F10474" s="138" t="str">
        <f t="shared" si="888"/>
        <v>Upgraded</v>
      </c>
      <c r="G10474" s="153"/>
      <c r="H10474" s="210">
        <v>3.0700000000000002E-2</v>
      </c>
      <c r="I10474" s="160" t="s">
        <v>128</v>
      </c>
      <c r="J10474" s="160">
        <v>0.25606000000000001</v>
      </c>
      <c r="K10474" s="160" t="s">
        <v>15</v>
      </c>
      <c r="L10474" s="154" t="str">
        <f>IF(OpenLCAbasic!K10474="CTUh", "Fill in Manually",IF(OR(K10474="Unit", K10474=""), "", INDEX(LookUps!$E$5:$E$12, MATCH(OpenLCAbasic!K10474,LookUps!$D$5:$D$12,0))))</f>
        <v>Cumulative Energy Demand (CED) - MJ</v>
      </c>
      <c r="M10474" s="154" t="str">
        <f t="shared" si="889"/>
        <v>Low_High_High_Upgraded_Cumulative Energy Demand (CED) - MJ_Wastewater collection; operation and infrastructure; m3 wastewater_Base_With Amendment_Aerated Static Pile</v>
      </c>
    </row>
    <row r="10475" spans="1:13" s="120" customFormat="1" x14ac:dyDescent="0.25">
      <c r="A10475" s="119"/>
      <c r="B10475" s="138" t="str">
        <f t="shared" si="886"/>
        <v>Aerated Static Pile</v>
      </c>
      <c r="C10475" s="138" t="str">
        <f t="shared" si="883"/>
        <v>Base_With Amendment</v>
      </c>
      <c r="D10475" s="138" t="str">
        <f t="shared" si="887"/>
        <v>High_High</v>
      </c>
      <c r="E10475" s="138" t="str">
        <f t="shared" si="880"/>
        <v>Low</v>
      </c>
      <c r="F10475" s="138" t="str">
        <f t="shared" si="888"/>
        <v>Upgraded</v>
      </c>
      <c r="G10475" s="153"/>
      <c r="H10475" s="210">
        <v>1.7500000000000002E-2</v>
      </c>
      <c r="I10475" s="160" t="s">
        <v>148</v>
      </c>
      <c r="J10475" s="160">
        <v>0.14599000000000001</v>
      </c>
      <c r="K10475" s="160" t="s">
        <v>15</v>
      </c>
      <c r="L10475" s="154" t="str">
        <f>IF(OpenLCAbasic!K10475="CTUh", "Fill in Manually",IF(OR(K10475="Unit", K10475=""), "", INDEX(LookUps!$E$5:$E$12, MATCH(OpenLCAbasic!K10475,LookUps!$D$5:$D$12,0))))</f>
        <v>Cumulative Energy Demand (CED) - MJ</v>
      </c>
      <c r="M10475" s="154" t="str">
        <f t="shared" si="889"/>
        <v>Low_High_High_Upgraded_Cumulative Energy Demand (CED) - MJ_Control Building; at upgraded wastewater treatment plant - US_Base_With Amendment_Aerated Static Pile</v>
      </c>
    </row>
    <row r="10476" spans="1:13" s="120" customFormat="1" x14ac:dyDescent="0.25">
      <c r="A10476" s="119"/>
      <c r="B10476" s="138" t="str">
        <f t="shared" si="886"/>
        <v>Aerated Static Pile</v>
      </c>
      <c r="C10476" s="138" t="str">
        <f t="shared" si="883"/>
        <v>Base_With Amendment</v>
      </c>
      <c r="D10476" s="138" t="str">
        <f t="shared" si="887"/>
        <v>High_High</v>
      </c>
      <c r="E10476" s="138" t="str">
        <f t="shared" si="880"/>
        <v>Low</v>
      </c>
      <c r="F10476" s="138" t="str">
        <f t="shared" si="888"/>
        <v>Upgraded</v>
      </c>
      <c r="G10476" s="153"/>
      <c r="H10476" s="210">
        <v>1.6E-2</v>
      </c>
      <c r="I10476" s="160" t="s">
        <v>48</v>
      </c>
      <c r="J10476" s="160">
        <v>0.13321</v>
      </c>
      <c r="K10476" s="160" t="s">
        <v>15</v>
      </c>
      <c r="L10476" s="154" t="str">
        <f>IF(OpenLCAbasic!K10476="CTUh", "Fill in Manually",IF(OR(K10476="Unit", K10476=""), "", INDEX(LookUps!$E$5:$E$12, MATCH(OpenLCAbasic!K10476,LookUps!$D$5:$D$12,0))))</f>
        <v>Cumulative Energy Demand (CED) - MJ</v>
      </c>
      <c r="M10476" s="154" t="str">
        <f t="shared" si="889"/>
        <v>Low_High_High_Upgraded_Cumulative Energy Demand (CED) - MJ_Effluent release; wastewater treatment unit; at surface water; m3 wastewater - US_Base_With Amendment_Aerated Static Pile</v>
      </c>
    </row>
    <row r="10477" spans="1:13" s="120" customFormat="1" x14ac:dyDescent="0.25">
      <c r="A10477" s="119"/>
      <c r="B10477" s="138" t="str">
        <f t="shared" si="886"/>
        <v>Aerated Static Pile</v>
      </c>
      <c r="C10477" s="138" t="str">
        <f t="shared" si="883"/>
        <v>Base_With Amendment</v>
      </c>
      <c r="D10477" s="138" t="str">
        <f t="shared" si="887"/>
        <v>High_High</v>
      </c>
      <c r="E10477" s="138" t="str">
        <f t="shared" si="880"/>
        <v>Low</v>
      </c>
      <c r="F10477" s="138" t="str">
        <f t="shared" si="888"/>
        <v>Upgraded</v>
      </c>
      <c r="G10477" s="153"/>
      <c r="H10477" s="210">
        <v>1.2800000000000001E-2</v>
      </c>
      <c r="I10477" s="160" t="s">
        <v>59</v>
      </c>
      <c r="J10477" s="160">
        <v>0.10638</v>
      </c>
      <c r="K10477" s="160" t="s">
        <v>15</v>
      </c>
      <c r="L10477" s="154" t="str">
        <f>IF(OpenLCAbasic!K10477="CTUh", "Fill in Manually",IF(OR(K10477="Unit", K10477=""), "", INDEX(LookUps!$E$5:$E$12, MATCH(OpenLCAbasic!K10477,LookUps!$D$5:$D$12,0))))</f>
        <v>Cumulative Energy Demand (CED) - MJ</v>
      </c>
      <c r="M10477" s="154" t="str">
        <f t="shared" si="889"/>
        <v>Low_High_High_Upgraded_Cumulative Energy Demand (CED) - MJ_Blend Tank; wastewater treatment unit; at updated plant - US_Base_With Amendment_Aerated Static Pile</v>
      </c>
    </row>
    <row r="10478" spans="1:13" s="120" customFormat="1" x14ac:dyDescent="0.25">
      <c r="A10478" s="119"/>
      <c r="B10478" s="138" t="str">
        <f t="shared" si="886"/>
        <v>Aerated Static Pile</v>
      </c>
      <c r="C10478" s="138" t="str">
        <f t="shared" si="883"/>
        <v>Base_With Amendment</v>
      </c>
      <c r="D10478" s="138" t="str">
        <f t="shared" si="887"/>
        <v>High_High</v>
      </c>
      <c r="E10478" s="138" t="str">
        <f t="shared" si="880"/>
        <v>Low</v>
      </c>
      <c r="F10478" s="138" t="str">
        <f t="shared" si="888"/>
        <v>Upgraded</v>
      </c>
      <c r="G10478" s="153"/>
      <c r="H10478" s="210">
        <v>6.1000000000000004E-3</v>
      </c>
      <c r="I10478" s="160" t="s">
        <v>168</v>
      </c>
      <c r="J10478" s="160">
        <v>5.0930000000000003E-2</v>
      </c>
      <c r="K10478" s="160" t="s">
        <v>15</v>
      </c>
      <c r="L10478" s="154" t="str">
        <f>IF(OpenLCAbasic!K10478="CTUh", "Fill in Manually",IF(OR(K10478="Unit", K10478=""), "", INDEX(LookUps!$E$5:$E$12, MATCH(OpenLCAbasic!K10478,LookUps!$D$5:$D$12,0))))</f>
        <v>Cumulative Energy Demand (CED) - MJ</v>
      </c>
      <c r="M10478" s="154" t="str">
        <f t="shared" si="889"/>
        <v>Low_High_High_Upgraded_Cumulative Energy Demand (CED) - MJ_ClearCove SCP; wastewater treatment unit; at updated plant - US_Base_With Amendment_Aerated Static Pile</v>
      </c>
    </row>
    <row r="10479" spans="1:13" s="120" customFormat="1" x14ac:dyDescent="0.25">
      <c r="A10479" s="119"/>
      <c r="B10479" s="138" t="str">
        <f t="shared" si="886"/>
        <v>Aerated Static Pile</v>
      </c>
      <c r="C10479" s="138" t="str">
        <f t="shared" si="883"/>
        <v>Base_With Amendment</v>
      </c>
      <c r="D10479" s="138" t="str">
        <f t="shared" si="887"/>
        <v>High_High</v>
      </c>
      <c r="E10479" s="138" t="str">
        <f t="shared" si="880"/>
        <v>Low</v>
      </c>
      <c r="F10479" s="138" t="str">
        <f t="shared" si="888"/>
        <v>Upgraded</v>
      </c>
      <c r="G10479" s="153"/>
      <c r="H10479" s="210">
        <v>-0.1013</v>
      </c>
      <c r="I10479" s="160" t="s">
        <v>62</v>
      </c>
      <c r="J10479" s="160">
        <v>-0.84469000000000005</v>
      </c>
      <c r="K10479" s="160" t="s">
        <v>15</v>
      </c>
      <c r="L10479" s="154" t="str">
        <f>IF(OpenLCAbasic!K10479="CTUh", "Fill in Manually",IF(OR(K10479="Unit", K10479=""), "", INDEX(LookUps!$E$5:$E$12, MATCH(OpenLCAbasic!K10479,LookUps!$D$5:$D$12,0))))</f>
        <v>Cumulative Energy Demand (CED) - MJ</v>
      </c>
      <c r="M10479" s="154" t="str">
        <f t="shared" si="889"/>
        <v>Low_High_High_Upgraded_Cumulative Energy Demand (CED) - MJ_Land application of compost; wastewater treatment unit; at updated plant - US_Base_With Amendment_Aerated Static Pile</v>
      </c>
    </row>
    <row r="10480" spans="1:13" s="120" customFormat="1" x14ac:dyDescent="0.25">
      <c r="A10480" s="119"/>
      <c r="B10480" s="138" t="str">
        <f t="shared" ref="B10480:B10482" si="890">IF(F10480="Legacy","n.a.",IF(F10480="","","Aerated Static Pile"))</f>
        <v>Aerated Static Pile</v>
      </c>
      <c r="C10480" s="138" t="str">
        <f t="shared" si="883"/>
        <v>Base_With Amendment</v>
      </c>
      <c r="D10480" s="138" t="str">
        <f t="shared" si="887"/>
        <v>High_High</v>
      </c>
      <c r="E10480" s="138" t="str">
        <f t="shared" si="880"/>
        <v>Low</v>
      </c>
      <c r="F10480" s="138" t="str">
        <f t="shared" ref="F10480:F10482" si="891">IF(ISNUMBER(J10480),"Upgraded","")</f>
        <v>Upgraded</v>
      </c>
      <c r="G10480" s="153"/>
      <c r="H10480" s="210">
        <v>-2.8260999999999998</v>
      </c>
      <c r="I10480" s="160" t="s">
        <v>149</v>
      </c>
      <c r="J10480" s="160">
        <v>-23.56711</v>
      </c>
      <c r="K10480" s="160" t="s">
        <v>15</v>
      </c>
      <c r="L10480" s="154" t="str">
        <f>IF(OpenLCAbasic!K10480="CTUh", "Fill in Manually",IF(OR(K10480="Unit", K10480=""), "", INDEX(LookUps!$E$5:$E$12, MATCH(OpenLCAbasic!K10480,LookUps!$D$5:$D$12,0))))</f>
        <v>Cumulative Energy Demand (CED) - MJ</v>
      </c>
      <c r="M10480" s="154" t="str">
        <f t="shared" si="889"/>
        <v>Low_High_High_Upgraded_Cumulative Energy Demand (CED) - MJ_Anaerobic Digestion; wastewater treatment unit; at updated plant - US_Base_With Amendment_Aerated Static Pile</v>
      </c>
    </row>
    <row r="10481" spans="1:13" s="120" customFormat="1" x14ac:dyDescent="0.25">
      <c r="A10481" s="119"/>
      <c r="B10481" s="138" t="str">
        <f t="shared" si="890"/>
        <v/>
      </c>
      <c r="C10481" s="138" t="str">
        <f t="shared" si="883"/>
        <v/>
      </c>
      <c r="D10481" s="138" t="str">
        <f t="shared" si="887"/>
        <v/>
      </c>
      <c r="E10481" s="138" t="str">
        <f t="shared" si="880"/>
        <v/>
      </c>
      <c r="F10481" s="138" t="str">
        <f t="shared" si="891"/>
        <v/>
      </c>
      <c r="G10481" s="153" t="s">
        <v>51</v>
      </c>
      <c r="H10481" s="160"/>
      <c r="I10481" s="160" t="s">
        <v>47</v>
      </c>
      <c r="J10481" s="160" t="s">
        <v>52</v>
      </c>
      <c r="K10481" s="160" t="s">
        <v>27</v>
      </c>
      <c r="L10481" s="154" t="str">
        <f>IF(OpenLCAbasic!K10481="CTUh", "Fill in Manually",IF(OR(K10481="Unit", K10481=""), "", INDEX(LookUps!$E$5:$E$12, MATCH(OpenLCAbasic!K10481,LookUps!$D$5:$D$12,0))))</f>
        <v/>
      </c>
      <c r="M10481" s="154" t="str">
        <f t="shared" si="889"/>
        <v>____Process__</v>
      </c>
    </row>
    <row r="10482" spans="1:13" s="120" customFormat="1" x14ac:dyDescent="0.25">
      <c r="A10482" s="119"/>
      <c r="B10482" s="138" t="str">
        <f t="shared" si="890"/>
        <v>Aerated Static Pile</v>
      </c>
      <c r="C10482" s="138" t="str">
        <f t="shared" si="883"/>
        <v>Base_With Amendment</v>
      </c>
      <c r="D10482" s="138" t="str">
        <f t="shared" si="887"/>
        <v>High_High</v>
      </c>
      <c r="E10482" s="138" t="str">
        <f t="shared" si="880"/>
        <v>Low</v>
      </c>
      <c r="F10482" s="138" t="str">
        <f t="shared" si="891"/>
        <v>Upgraded</v>
      </c>
      <c r="G10482" s="153"/>
      <c r="H10482" s="210">
        <v>0.41820000000000002</v>
      </c>
      <c r="I10482" s="160" t="s">
        <v>55</v>
      </c>
      <c r="J10482" s="160">
        <v>1.7219999999999999E-2</v>
      </c>
      <c r="K10482" s="160" t="s">
        <v>24</v>
      </c>
      <c r="L10482" s="154" t="str">
        <f>IF(OpenLCAbasic!K10482="CTUh", "Fill in Manually",IF(OR(K10482="Unit", K10482=""), "", INDEX(LookUps!$E$5:$E$12, MATCH(OpenLCAbasic!K10482,LookUps!$D$5:$D$12,0))))</f>
        <v>Acidification Potential (AP) - kg SO2 eq</v>
      </c>
      <c r="M10482" s="154" t="str">
        <f t="shared" si="889"/>
        <v>Low_High_High_Upgraded_Acidification Potential (AP) - kg SO2 eq_Aeration Tanks; wastewater treatment unit; at updated plant - US_Base_With Amendment_Aerated Static Pile</v>
      </c>
    </row>
    <row r="10483" spans="1:13" s="120" customFormat="1" x14ac:dyDescent="0.25">
      <c r="A10483" s="119"/>
      <c r="B10483" s="138" t="str">
        <f t="shared" si="882"/>
        <v>Aerated Static Pile</v>
      </c>
      <c r="C10483" s="138" t="str">
        <f t="shared" si="883"/>
        <v>Base_With Amendment</v>
      </c>
      <c r="D10483" s="138" t="str">
        <f t="shared" ref="D10483:D10545" si="892">IF(ISNUMBER($J10483),"High_High","")</f>
        <v>High_High</v>
      </c>
      <c r="E10483" s="138" t="str">
        <f t="shared" si="880"/>
        <v>Low</v>
      </c>
      <c r="F10483" s="138" t="str">
        <f t="shared" si="884"/>
        <v>Upgraded</v>
      </c>
      <c r="G10483" s="153"/>
      <c r="H10483" s="210">
        <v>0.26939999999999997</v>
      </c>
      <c r="I10483" s="160" t="s">
        <v>435</v>
      </c>
      <c r="J10483" s="160">
        <v>1.1089999999999999E-2</v>
      </c>
      <c r="K10483" s="160" t="s">
        <v>24</v>
      </c>
      <c r="L10483" s="154" t="str">
        <f>IF(OpenLCAbasic!K10483="CTUh", "Fill in Manually",IF(OR(K10483="Unit", K10483=""), "", INDEX(LookUps!$E$5:$E$12, MATCH(OpenLCAbasic!K10483,LookUps!$D$5:$D$12,0))))</f>
        <v>Acidification Potential (AP) - kg SO2 eq</v>
      </c>
      <c r="M10483" s="154" t="str">
        <f t="shared" si="889"/>
        <v>Low_High_High_Upgraded_Acidification Potential (AP) - kg SO2 eq_Biosolids composting; aerated static pile; wastewater treatment unit; at updated plant - US_Base_With Amendment_Aerated Static Pile</v>
      </c>
    </row>
    <row r="10484" spans="1:13" s="120" customFormat="1" x14ac:dyDescent="0.25">
      <c r="A10484" s="119"/>
      <c r="B10484" s="138" t="str">
        <f t="shared" si="882"/>
        <v>Aerated Static Pile</v>
      </c>
      <c r="C10484" s="138" t="str">
        <f t="shared" si="883"/>
        <v>Base_With Amendment</v>
      </c>
      <c r="D10484" s="138" t="str">
        <f t="shared" si="892"/>
        <v>High_High</v>
      </c>
      <c r="E10484" s="138" t="str">
        <f t="shared" si="880"/>
        <v>Low</v>
      </c>
      <c r="F10484" s="138" t="str">
        <f t="shared" si="884"/>
        <v>Upgraded</v>
      </c>
      <c r="G10484" s="153"/>
      <c r="H10484" s="210">
        <v>0.12909999999999999</v>
      </c>
      <c r="I10484" s="160" t="s">
        <v>62</v>
      </c>
      <c r="J10484" s="160">
        <v>5.3099999999999996E-3</v>
      </c>
      <c r="K10484" s="160" t="s">
        <v>24</v>
      </c>
      <c r="L10484" s="154" t="str">
        <f>IF(OpenLCAbasic!K10484="CTUh", "Fill in Manually",IF(OR(K10484="Unit", K10484=""), "", INDEX(LookUps!$E$5:$E$12, MATCH(OpenLCAbasic!K10484,LookUps!$D$5:$D$12,0))))</f>
        <v>Acidification Potential (AP) - kg SO2 eq</v>
      </c>
      <c r="M10484" s="154" t="str">
        <f t="shared" si="881"/>
        <v>Low_High_High_Upgraded_Acidification Potential (AP) - kg SO2 eq_Land application of compost; wastewater treatment unit; at updated plant - US_Base_With Amendment_Aerated Static Pile</v>
      </c>
    </row>
    <row r="10485" spans="1:13" s="120" customFormat="1" x14ac:dyDescent="0.25">
      <c r="A10485" s="119"/>
      <c r="B10485" s="138" t="str">
        <f t="shared" si="882"/>
        <v>Aerated Static Pile</v>
      </c>
      <c r="C10485" s="138" t="str">
        <f t="shared" si="883"/>
        <v>Base_With Amendment</v>
      </c>
      <c r="D10485" s="138" t="str">
        <f t="shared" si="892"/>
        <v>High_High</v>
      </c>
      <c r="E10485" s="138" t="str">
        <f t="shared" si="880"/>
        <v>Low</v>
      </c>
      <c r="F10485" s="138" t="str">
        <f t="shared" si="884"/>
        <v>Upgraded</v>
      </c>
      <c r="G10485" s="153"/>
      <c r="H10485" s="210">
        <v>0.121</v>
      </c>
      <c r="I10485" s="160" t="s">
        <v>54</v>
      </c>
      <c r="J10485" s="160">
        <v>4.9800000000000001E-3</v>
      </c>
      <c r="K10485" s="160" t="s">
        <v>24</v>
      </c>
      <c r="L10485" s="154" t="str">
        <f>IF(OpenLCAbasic!K10485="CTUh", "Fill in Manually",IF(OR(K10485="Unit", K10485=""), "", INDEX(LookUps!$E$5:$E$12, MATCH(OpenLCAbasic!K10485,LookUps!$D$5:$D$12,0))))</f>
        <v>Acidification Potential (AP) - kg SO2 eq</v>
      </c>
      <c r="M10485" s="154" t="str">
        <f t="shared" si="881"/>
        <v>Low_High_High_Upgraded_Acidification Potential (AP) - kg SO2 eq_Clear Cove Primary Clarification; wastewater treatment unit; at updated plant - US_Base_With Amendment_Aerated Static Pile</v>
      </c>
    </row>
    <row r="10486" spans="1:13" s="120" customFormat="1" x14ac:dyDescent="0.25">
      <c r="A10486" s="119"/>
      <c r="B10486" s="138" t="str">
        <f t="shared" si="882"/>
        <v>Aerated Static Pile</v>
      </c>
      <c r="C10486" s="138" t="str">
        <f t="shared" si="883"/>
        <v>Base_With Amendment</v>
      </c>
      <c r="D10486" s="138" t="str">
        <f t="shared" si="892"/>
        <v>High_High</v>
      </c>
      <c r="E10486" s="138" t="str">
        <f t="shared" si="880"/>
        <v>Low</v>
      </c>
      <c r="F10486" s="138" t="str">
        <f t="shared" si="884"/>
        <v>Upgraded</v>
      </c>
      <c r="G10486" s="153"/>
      <c r="H10486" s="210">
        <v>0.106</v>
      </c>
      <c r="I10486" s="160" t="s">
        <v>58</v>
      </c>
      <c r="J10486" s="160">
        <v>4.3600000000000002E-3</v>
      </c>
      <c r="K10486" s="160" t="s">
        <v>24</v>
      </c>
      <c r="L10486" s="154" t="str">
        <f>IF(OpenLCAbasic!K10486="CTUh", "Fill in Manually",IF(OR(K10486="Unit", K10486=""), "", INDEX(LookUps!$E$5:$E$12, MATCH(OpenLCAbasic!K10486,LookUps!$D$5:$D$12,0))))</f>
        <v>Acidification Potential (AP) - kg SO2 eq</v>
      </c>
      <c r="M10486" s="154" t="str">
        <f t="shared" si="881"/>
        <v>Low_High_High_Upgraded_Acidification Potential (AP) - kg SO2 eq_Pre-Anoxic &amp; Swing tank; wastewater treatment unit; at updated plant - US_Base_With Amendment_Aerated Static Pile</v>
      </c>
    </row>
    <row r="10487" spans="1:13" s="120" customFormat="1" x14ac:dyDescent="0.25">
      <c r="A10487" s="119"/>
      <c r="B10487" s="138" t="str">
        <f t="shared" si="882"/>
        <v>Aerated Static Pile</v>
      </c>
      <c r="C10487" s="138" t="str">
        <f t="shared" si="883"/>
        <v>Base_With Amendment</v>
      </c>
      <c r="D10487" s="138" t="str">
        <f t="shared" si="892"/>
        <v>High_High</v>
      </c>
      <c r="E10487" s="138" t="str">
        <f t="shared" si="880"/>
        <v>Low</v>
      </c>
      <c r="F10487" s="138" t="str">
        <f t="shared" si="884"/>
        <v>Upgraded</v>
      </c>
      <c r="G10487" s="153"/>
      <c r="H10487" s="210">
        <v>8.3799999999999999E-2</v>
      </c>
      <c r="I10487" s="160" t="s">
        <v>53</v>
      </c>
      <c r="J10487" s="160">
        <v>3.4499999999999999E-3</v>
      </c>
      <c r="K10487" s="160" t="s">
        <v>24</v>
      </c>
      <c r="L10487" s="154" t="str">
        <f>IF(OpenLCAbasic!K10487="CTUh", "Fill in Manually",IF(OR(K10487="Unit", K10487=""), "", INDEX(LookUps!$E$5:$E$12, MATCH(OpenLCAbasic!K10487,LookUps!$D$5:$D$12,0))))</f>
        <v>Acidification Potential (AP) - kg SO2 eq</v>
      </c>
      <c r="M10487" s="154" t="str">
        <f t="shared" si="881"/>
        <v>Low_High_High_Upgraded_Acidification Potential (AP) - kg SO2 eq_Wet Well and Sump Station; wastewater treatment unit; at updated plant - US_Base_With Amendment_Aerated Static Pile</v>
      </c>
    </row>
    <row r="10488" spans="1:13" s="120" customFormat="1" x14ac:dyDescent="0.25">
      <c r="A10488" s="119"/>
      <c r="B10488" s="138" t="str">
        <f t="shared" si="882"/>
        <v>Aerated Static Pile</v>
      </c>
      <c r="C10488" s="138" t="str">
        <f t="shared" si="883"/>
        <v>Base_With Amendment</v>
      </c>
      <c r="D10488" s="138" t="str">
        <f t="shared" si="892"/>
        <v>High_High</v>
      </c>
      <c r="E10488" s="138" t="str">
        <f t="shared" si="880"/>
        <v>Low</v>
      </c>
      <c r="F10488" s="138" t="str">
        <f t="shared" si="884"/>
        <v>Upgraded</v>
      </c>
      <c r="G10488" s="153"/>
      <c r="H10488" s="210">
        <v>6.5699999999999995E-2</v>
      </c>
      <c r="I10488" s="160" t="s">
        <v>167</v>
      </c>
      <c r="J10488" s="160">
        <v>2.7000000000000001E-3</v>
      </c>
      <c r="K10488" s="160" t="s">
        <v>24</v>
      </c>
      <c r="L10488" s="154" t="str">
        <f>IF(OpenLCAbasic!K10488="CTUh", "Fill in Manually",IF(OR(K10488="Unit", K10488=""), "", INDEX(LookUps!$E$5:$E$12, MATCH(OpenLCAbasic!K10488,LookUps!$D$5:$D$12,0))))</f>
        <v>Acidification Potential (AP) - kg SO2 eq</v>
      </c>
      <c r="M10488" s="154" t="str">
        <f t="shared" si="881"/>
        <v>Low_High_High_Upgraded_Acidification Potential (AP) - kg SO2 eq_Waste Receiving and Holding; wastewater treatment unit; at updated plant - US_Base_With Amendment_Aerated Static Pile</v>
      </c>
    </row>
    <row r="10489" spans="1:13" s="120" customFormat="1" x14ac:dyDescent="0.25">
      <c r="A10489" s="119"/>
      <c r="B10489" s="138" t="str">
        <f t="shared" si="882"/>
        <v>Aerated Static Pile</v>
      </c>
      <c r="C10489" s="138" t="str">
        <f t="shared" si="883"/>
        <v>Base_With Amendment</v>
      </c>
      <c r="D10489" s="138" t="str">
        <f t="shared" si="892"/>
        <v>High_High</v>
      </c>
      <c r="E10489" s="138" t="str">
        <f t="shared" si="880"/>
        <v>Low</v>
      </c>
      <c r="F10489" s="138" t="str">
        <f t="shared" si="884"/>
        <v>Upgraded</v>
      </c>
      <c r="G10489" s="153"/>
      <c r="H10489" s="210">
        <v>5.0200000000000002E-2</v>
      </c>
      <c r="I10489" s="160" t="s">
        <v>147</v>
      </c>
      <c r="J10489" s="160">
        <v>2.0699999999999998E-3</v>
      </c>
      <c r="K10489" s="160" t="s">
        <v>24</v>
      </c>
      <c r="L10489" s="154" t="str">
        <f>IF(OpenLCAbasic!K10489="CTUh", "Fill in Manually",IF(OR(K10489="Unit", K10489=""), "", INDEX(LookUps!$E$5:$E$12, MATCH(OpenLCAbasic!K10489,LookUps!$D$5:$D$12,0))))</f>
        <v>Acidification Potential (AP) - kg SO2 eq</v>
      </c>
      <c r="M10489" s="154" t="str">
        <f t="shared" si="881"/>
        <v>Low_High_High_Upgraded_Acidification Potential (AP) - kg SO2 eq_Influent Pump Station; wastewater treatment unit; at updated plant - US_Base_With Amendment_Aerated Static Pile</v>
      </c>
    </row>
    <row r="10490" spans="1:13" s="120" customFormat="1" x14ac:dyDescent="0.25">
      <c r="A10490" s="119"/>
      <c r="B10490" s="138" t="str">
        <f t="shared" si="882"/>
        <v>Aerated Static Pile</v>
      </c>
      <c r="C10490" s="138" t="str">
        <f t="shared" si="883"/>
        <v>Base_With Amendment</v>
      </c>
      <c r="D10490" s="138" t="str">
        <f t="shared" si="892"/>
        <v>High_High</v>
      </c>
      <c r="E10490" s="138" t="str">
        <f t="shared" ref="E10490:E10553" si="893">IF(ISNUMBER($J10490),"Low","")</f>
        <v>Low</v>
      </c>
      <c r="F10490" s="138" t="str">
        <f t="shared" si="884"/>
        <v>Upgraded</v>
      </c>
      <c r="G10490" s="153"/>
      <c r="H10490" s="210">
        <v>3.3599999999999998E-2</v>
      </c>
      <c r="I10490" s="160" t="s">
        <v>60</v>
      </c>
      <c r="J10490" s="160">
        <v>1.3799999999999999E-3</v>
      </c>
      <c r="K10490" s="160" t="s">
        <v>24</v>
      </c>
      <c r="L10490" s="154" t="str">
        <f>IF(OpenLCAbasic!K10490="CTUh", "Fill in Manually",IF(OR(K10490="Unit", K10490=""), "", INDEX(LookUps!$E$5:$E$12, MATCH(OpenLCAbasic!K10490,LookUps!$D$5:$D$12,0))))</f>
        <v>Acidification Potential (AP) - kg SO2 eq</v>
      </c>
      <c r="M10490" s="154" t="str">
        <f t="shared" si="881"/>
        <v>Low_High_High_Upgraded_Acidification Potential (AP) - kg SO2 eq_Belt filter press; wastewater treatment unit; at updated plant - US_Base_With Amendment_Aerated Static Pile</v>
      </c>
    </row>
    <row r="10491" spans="1:13" s="120" customFormat="1" x14ac:dyDescent="0.25">
      <c r="A10491" s="119"/>
      <c r="B10491" s="138" t="str">
        <f t="shared" si="882"/>
        <v>Aerated Static Pile</v>
      </c>
      <c r="C10491" s="138" t="str">
        <f t="shared" si="883"/>
        <v>Base_With Amendment</v>
      </c>
      <c r="D10491" s="138" t="str">
        <f t="shared" si="892"/>
        <v>High_High</v>
      </c>
      <c r="E10491" s="138" t="str">
        <f t="shared" si="893"/>
        <v>Low</v>
      </c>
      <c r="F10491" s="138" t="str">
        <f t="shared" si="884"/>
        <v>Upgraded</v>
      </c>
      <c r="G10491" s="153"/>
      <c r="H10491" s="210">
        <v>2.9899999999999999E-2</v>
      </c>
      <c r="I10491" s="160" t="s">
        <v>128</v>
      </c>
      <c r="J10491" s="160">
        <v>1.23E-3</v>
      </c>
      <c r="K10491" s="160" t="s">
        <v>24</v>
      </c>
      <c r="L10491" s="154" t="str">
        <f>IF(OpenLCAbasic!K10491="CTUh", "Fill in Manually",IF(OR(K10491="Unit", K10491=""), "", INDEX(LookUps!$E$5:$E$12, MATCH(OpenLCAbasic!K10491,LookUps!$D$5:$D$12,0))))</f>
        <v>Acidification Potential (AP) - kg SO2 eq</v>
      </c>
      <c r="M10491" s="154" t="str">
        <f t="shared" si="881"/>
        <v>Low_High_High_Upgraded_Acidification Potential (AP) - kg SO2 eq_Wastewater collection; operation and infrastructure; m3 wastewater_Base_With Amendment_Aerated Static Pile</v>
      </c>
    </row>
    <row r="10492" spans="1:13" s="120" customFormat="1" x14ac:dyDescent="0.25">
      <c r="A10492" s="119"/>
      <c r="B10492" s="138" t="str">
        <f t="shared" si="882"/>
        <v>Aerated Static Pile</v>
      </c>
      <c r="C10492" s="138" t="str">
        <f t="shared" si="883"/>
        <v>Base_With Amendment</v>
      </c>
      <c r="D10492" s="138" t="str">
        <f t="shared" si="892"/>
        <v>High_High</v>
      </c>
      <c r="E10492" s="138" t="str">
        <f t="shared" si="893"/>
        <v>Low</v>
      </c>
      <c r="F10492" s="138" t="str">
        <f t="shared" si="884"/>
        <v>Upgraded</v>
      </c>
      <c r="G10492" s="153"/>
      <c r="H10492" s="210">
        <v>1.7100000000000001E-2</v>
      </c>
      <c r="I10492" s="160" t="s">
        <v>57</v>
      </c>
      <c r="J10492" s="160">
        <v>6.9999999999999999E-4</v>
      </c>
      <c r="K10492" s="160" t="s">
        <v>24</v>
      </c>
      <c r="L10492" s="154" t="str">
        <f>IF(OpenLCAbasic!K10492="CTUh", "Fill in Manually",IF(OR(K10492="Unit", K10492=""), "", INDEX(LookUps!$E$5:$E$12, MATCH(OpenLCAbasic!K10492,LookUps!$D$5:$D$12,0))))</f>
        <v>Acidification Potential (AP) - kg SO2 eq</v>
      </c>
      <c r="M10492" s="154" t="str">
        <f t="shared" si="881"/>
        <v>Low_High_High_Upgraded_Acidification Potential (AP) - kg SO2 eq_Gravity Belt Thickener; wastewater treatment unit; at updated plant - US_Base_With Amendment_Aerated Static Pile</v>
      </c>
    </row>
    <row r="10493" spans="1:13" s="120" customFormat="1" x14ac:dyDescent="0.25">
      <c r="A10493" s="119"/>
      <c r="B10493" s="138" t="str">
        <f t="shared" si="882"/>
        <v>Aerated Static Pile</v>
      </c>
      <c r="C10493" s="138" t="str">
        <f t="shared" si="883"/>
        <v>Base_With Amendment</v>
      </c>
      <c r="D10493" s="138" t="str">
        <f t="shared" si="892"/>
        <v>High_High</v>
      </c>
      <c r="E10493" s="138" t="str">
        <f t="shared" si="893"/>
        <v>Low</v>
      </c>
      <c r="F10493" s="138" t="str">
        <f t="shared" si="884"/>
        <v>Upgraded</v>
      </c>
      <c r="G10493" s="153"/>
      <c r="H10493" s="210">
        <v>1.2500000000000001E-2</v>
      </c>
      <c r="I10493" s="160" t="s">
        <v>59</v>
      </c>
      <c r="J10493" s="160">
        <v>5.1999999999999995E-4</v>
      </c>
      <c r="K10493" s="160" t="s">
        <v>24</v>
      </c>
      <c r="L10493" s="154" t="str">
        <f>IF(OpenLCAbasic!K10493="CTUh", "Fill in Manually",IF(OR(K10493="Unit", K10493=""), "", INDEX(LookUps!$E$5:$E$12, MATCH(OpenLCAbasic!K10493,LookUps!$D$5:$D$12,0))))</f>
        <v>Acidification Potential (AP) - kg SO2 eq</v>
      </c>
      <c r="M10493" s="154" t="str">
        <f t="shared" si="881"/>
        <v>Low_High_High_Upgraded_Acidification Potential (AP) - kg SO2 eq_Blend Tank; wastewater treatment unit; at updated plant - US_Base_With Amendment_Aerated Static Pile</v>
      </c>
    </row>
    <row r="10494" spans="1:13" s="120" customFormat="1" x14ac:dyDescent="0.25">
      <c r="A10494" s="119"/>
      <c r="B10494" s="138" t="str">
        <f t="shared" si="882"/>
        <v>Aerated Static Pile</v>
      </c>
      <c r="C10494" s="138" t="str">
        <f t="shared" si="883"/>
        <v>Base_With Amendment</v>
      </c>
      <c r="D10494" s="138" t="str">
        <f t="shared" si="892"/>
        <v>High_High</v>
      </c>
      <c r="E10494" s="138" t="str">
        <f t="shared" si="893"/>
        <v>Low</v>
      </c>
      <c r="F10494" s="138" t="str">
        <f t="shared" si="884"/>
        <v>Upgraded</v>
      </c>
      <c r="G10494" s="153"/>
      <c r="H10494" s="210">
        <v>8.3999999999999995E-3</v>
      </c>
      <c r="I10494" s="160" t="s">
        <v>48</v>
      </c>
      <c r="J10494" s="160">
        <v>3.5E-4</v>
      </c>
      <c r="K10494" s="160" t="s">
        <v>24</v>
      </c>
      <c r="L10494" s="154" t="str">
        <f>IF(OpenLCAbasic!K10494="CTUh", "Fill in Manually",IF(OR(K10494="Unit", K10494=""), "", INDEX(LookUps!$E$5:$E$12, MATCH(OpenLCAbasic!K10494,LookUps!$D$5:$D$12,0))))</f>
        <v>Acidification Potential (AP) - kg SO2 eq</v>
      </c>
      <c r="M10494" s="154" t="str">
        <f t="shared" si="881"/>
        <v>Low_High_High_Upgraded_Acidification Potential (AP) - kg SO2 eq_Effluent release; wastewater treatment unit; at surface water; m3 wastewater - US_Base_With Amendment_Aerated Static Pile</v>
      </c>
    </row>
    <row r="10495" spans="1:13" s="120" customFormat="1" x14ac:dyDescent="0.25">
      <c r="A10495" s="119"/>
      <c r="B10495" s="138" t="str">
        <f t="shared" si="882"/>
        <v>Aerated Static Pile</v>
      </c>
      <c r="C10495" s="138" t="str">
        <f t="shared" si="883"/>
        <v>Base_With Amendment</v>
      </c>
      <c r="D10495" s="138" t="str">
        <f t="shared" si="892"/>
        <v>High_High</v>
      </c>
      <c r="E10495" s="138" t="str">
        <f t="shared" si="893"/>
        <v>Low</v>
      </c>
      <c r="F10495" s="138" t="str">
        <f t="shared" si="884"/>
        <v>Upgraded</v>
      </c>
      <c r="G10495" s="153"/>
      <c r="H10495" s="210">
        <v>6.1999999999999998E-3</v>
      </c>
      <c r="I10495" s="160" t="s">
        <v>168</v>
      </c>
      <c r="J10495" s="160">
        <v>2.5999999999999998E-4</v>
      </c>
      <c r="K10495" s="160" t="s">
        <v>24</v>
      </c>
      <c r="L10495" s="154" t="str">
        <f>IF(OpenLCAbasic!K10495="CTUh", "Fill in Manually",IF(OR(K10495="Unit", K10495=""), "", INDEX(LookUps!$E$5:$E$12, MATCH(OpenLCAbasic!K10495,LookUps!$D$5:$D$12,0))))</f>
        <v>Acidification Potential (AP) - kg SO2 eq</v>
      </c>
      <c r="M10495" s="154" t="str">
        <f t="shared" si="881"/>
        <v>Low_High_High_Upgraded_Acidification Potential (AP) - kg SO2 eq_ClearCove SCP; wastewater treatment unit; at updated plant - US_Base_With Amendment_Aerated Static Pile</v>
      </c>
    </row>
    <row r="10496" spans="1:13" s="120" customFormat="1" x14ac:dyDescent="0.25">
      <c r="A10496" s="119"/>
      <c r="B10496" s="138" t="str">
        <f t="shared" si="882"/>
        <v>Aerated Static Pile</v>
      </c>
      <c r="C10496" s="138" t="str">
        <f t="shared" si="883"/>
        <v>Base_With Amendment</v>
      </c>
      <c r="D10496" s="138" t="str">
        <f t="shared" si="892"/>
        <v>High_High</v>
      </c>
      <c r="E10496" s="138" t="str">
        <f t="shared" si="893"/>
        <v>Low</v>
      </c>
      <c r="F10496" s="138" t="str">
        <f t="shared" si="884"/>
        <v>Upgraded</v>
      </c>
      <c r="G10496" s="153"/>
      <c r="H10496" s="210">
        <v>1E-3</v>
      </c>
      <c r="I10496" s="160" t="s">
        <v>148</v>
      </c>
      <c r="J10496" s="211">
        <v>4.0354700000000002E-5</v>
      </c>
      <c r="K10496" s="160" t="s">
        <v>24</v>
      </c>
      <c r="L10496" s="154" t="str">
        <f>IF(OpenLCAbasic!K10496="CTUh", "Fill in Manually",IF(OR(K10496="Unit", K10496=""), "", INDEX(LookUps!$E$5:$E$12, MATCH(OpenLCAbasic!K10496,LookUps!$D$5:$D$12,0))))</f>
        <v>Acidification Potential (AP) - kg SO2 eq</v>
      </c>
      <c r="M10496" s="154" t="str">
        <f t="shared" si="881"/>
        <v>Low_High_High_Upgraded_Acidification Potential (AP) - kg SO2 eq_Control Building; at upgraded wastewater treatment plant - US_Base_With Amendment_Aerated Static Pile</v>
      </c>
    </row>
    <row r="10497" spans="1:13" s="120" customFormat="1" x14ac:dyDescent="0.25">
      <c r="A10497" s="119"/>
      <c r="B10497" s="138" t="str">
        <f t="shared" si="882"/>
        <v>Aerated Static Pile</v>
      </c>
      <c r="C10497" s="138" t="str">
        <f t="shared" si="883"/>
        <v>Base_With Amendment</v>
      </c>
      <c r="D10497" s="138" t="str">
        <f t="shared" si="892"/>
        <v>High_High</v>
      </c>
      <c r="E10497" s="138" t="str">
        <f t="shared" si="893"/>
        <v>Low</v>
      </c>
      <c r="F10497" s="138" t="str">
        <f t="shared" si="884"/>
        <v>Upgraded</v>
      </c>
      <c r="G10497" s="153"/>
      <c r="H10497" s="210">
        <v>-2.3521000000000001</v>
      </c>
      <c r="I10497" s="160" t="s">
        <v>149</v>
      </c>
      <c r="J10497" s="160">
        <v>-9.6839999999999996E-2</v>
      </c>
      <c r="K10497" s="160" t="s">
        <v>24</v>
      </c>
      <c r="L10497" s="154" t="str">
        <f>IF(OpenLCAbasic!K10497="CTUh", "Fill in Manually",IF(OR(K10497="Unit", K10497=""), "", INDEX(LookUps!$E$5:$E$12, MATCH(OpenLCAbasic!K10497,LookUps!$D$5:$D$12,0))))</f>
        <v>Acidification Potential (AP) - kg SO2 eq</v>
      </c>
      <c r="M10497" s="154" t="str">
        <f t="shared" si="881"/>
        <v>Low_High_High_Upgraded_Acidification Potential (AP) - kg SO2 eq_Anaerobic Digestion; wastewater treatment unit; at updated plant - US_Base_With Amendment_Aerated Static Pile</v>
      </c>
    </row>
    <row r="10498" spans="1:13" s="120" customFormat="1" x14ac:dyDescent="0.25">
      <c r="A10498" s="119"/>
      <c r="B10498" s="138" t="str">
        <f t="shared" si="882"/>
        <v/>
      </c>
      <c r="C10498" s="138" t="str">
        <f t="shared" si="883"/>
        <v/>
      </c>
      <c r="D10498" s="138" t="str">
        <f t="shared" si="892"/>
        <v/>
      </c>
      <c r="E10498" s="138" t="str">
        <f t="shared" si="893"/>
        <v/>
      </c>
      <c r="F10498" s="138" t="str">
        <f t="shared" si="884"/>
        <v/>
      </c>
      <c r="G10498" s="153" t="s">
        <v>51</v>
      </c>
      <c r="H10498" s="160"/>
      <c r="I10498" s="160" t="s">
        <v>47</v>
      </c>
      <c r="J10498" s="160" t="s">
        <v>52</v>
      </c>
      <c r="K10498" s="160" t="s">
        <v>27</v>
      </c>
      <c r="L10498" s="154" t="str">
        <f>IF(OpenLCAbasic!K10498="CTUh", "Fill in Manually",IF(OR(K10498="Unit", K10498=""), "", INDEX(LookUps!$E$5:$E$12, MATCH(OpenLCAbasic!K10498,LookUps!$D$5:$D$12,0))))</f>
        <v/>
      </c>
      <c r="M10498" s="154" t="str">
        <f t="shared" si="881"/>
        <v>____Process__</v>
      </c>
    </row>
    <row r="10499" spans="1:13" s="120" customFormat="1" x14ac:dyDescent="0.25">
      <c r="A10499" s="119"/>
      <c r="B10499" s="138" t="str">
        <f t="shared" si="882"/>
        <v>Aerated Static Pile</v>
      </c>
      <c r="C10499" s="138" t="str">
        <f t="shared" si="883"/>
        <v>Base_With Amendment</v>
      </c>
      <c r="D10499" s="138" t="str">
        <f t="shared" si="892"/>
        <v>High_High</v>
      </c>
      <c r="E10499" s="138" t="str">
        <f t="shared" si="893"/>
        <v>Low</v>
      </c>
      <c r="F10499" s="138" t="str">
        <f t="shared" si="884"/>
        <v>Upgraded</v>
      </c>
      <c r="G10499" s="153"/>
      <c r="H10499" s="210">
        <v>0.80089999999999995</v>
      </c>
      <c r="I10499" s="160" t="s">
        <v>48</v>
      </c>
      <c r="J10499" s="160">
        <v>1.1610000000000001E-2</v>
      </c>
      <c r="K10499" s="160" t="s">
        <v>13</v>
      </c>
      <c r="L10499" s="154" t="str">
        <f>IF(OpenLCAbasic!K10499="CTUh", "Fill in Manually",IF(OR(K10499="Unit", K10499=""), "", INDEX(LookUps!$E$5:$E$12, MATCH(OpenLCAbasic!K10499,LookUps!$D$5:$D$12,0))))</f>
        <v>Eutrophication Potential (EP) - kg N eq</v>
      </c>
      <c r="M10499" s="154" t="str">
        <f t="shared" si="881"/>
        <v>Low_High_High_Upgraded_Eutrophication Potential (EP) - kg N eq_Effluent release; wastewater treatment unit; at surface water; m3 wastewater - US_Base_With Amendment_Aerated Static Pile</v>
      </c>
    </row>
    <row r="10500" spans="1:13" s="120" customFormat="1" x14ac:dyDescent="0.25">
      <c r="A10500" s="119"/>
      <c r="B10500" s="138" t="str">
        <f t="shared" si="882"/>
        <v>Aerated Static Pile</v>
      </c>
      <c r="C10500" s="138" t="str">
        <f t="shared" si="883"/>
        <v>Base_With Amendment</v>
      </c>
      <c r="D10500" s="138" t="str">
        <f t="shared" si="892"/>
        <v>High_High</v>
      </c>
      <c r="E10500" s="138" t="str">
        <f t="shared" si="893"/>
        <v>Low</v>
      </c>
      <c r="F10500" s="138" t="str">
        <f t="shared" si="884"/>
        <v>Upgraded</v>
      </c>
      <c r="G10500" s="153"/>
      <c r="H10500" s="210">
        <v>0.26200000000000001</v>
      </c>
      <c r="I10500" s="160" t="s">
        <v>62</v>
      </c>
      <c r="J10500" s="160">
        <v>3.8E-3</v>
      </c>
      <c r="K10500" s="160" t="s">
        <v>13</v>
      </c>
      <c r="L10500" s="154" t="str">
        <f>IF(OpenLCAbasic!K10500="CTUh", "Fill in Manually",IF(OR(K10500="Unit", K10500=""), "", INDEX(LookUps!$E$5:$E$12, MATCH(OpenLCAbasic!K10500,LookUps!$D$5:$D$12,0))))</f>
        <v>Eutrophication Potential (EP) - kg N eq</v>
      </c>
      <c r="M10500" s="154" t="str">
        <f t="shared" ref="M10500:M10563" si="894">CONCATENATE(E10500,"_",D10500,"_",F10500,"_",L10500, "_",I10500,"_", C10500,"_", B10500)</f>
        <v>Low_High_High_Upgraded_Eutrophication Potential (EP) - kg N eq_Land application of compost; wastewater treatment unit; at updated plant - US_Base_With Amendment_Aerated Static Pile</v>
      </c>
    </row>
    <row r="10501" spans="1:13" s="120" customFormat="1" x14ac:dyDescent="0.25">
      <c r="A10501" s="119"/>
      <c r="B10501" s="138" t="str">
        <f t="shared" si="882"/>
        <v>Aerated Static Pile</v>
      </c>
      <c r="C10501" s="138" t="str">
        <f t="shared" si="883"/>
        <v>Base_With Amendment</v>
      </c>
      <c r="D10501" s="138" t="str">
        <f t="shared" si="892"/>
        <v>High_High</v>
      </c>
      <c r="E10501" s="138" t="str">
        <f t="shared" si="893"/>
        <v>Low</v>
      </c>
      <c r="F10501" s="138" t="str">
        <f t="shared" si="884"/>
        <v>Upgraded</v>
      </c>
      <c r="G10501" s="153"/>
      <c r="H10501" s="210">
        <v>3.7699999999999997E-2</v>
      </c>
      <c r="I10501" s="160" t="s">
        <v>55</v>
      </c>
      <c r="J10501" s="160">
        <v>5.5000000000000003E-4</v>
      </c>
      <c r="K10501" s="160" t="s">
        <v>13</v>
      </c>
      <c r="L10501" s="154" t="str">
        <f>IF(OpenLCAbasic!K10501="CTUh", "Fill in Manually",IF(OR(K10501="Unit", K10501=""), "", INDEX(LookUps!$E$5:$E$12, MATCH(OpenLCAbasic!K10501,LookUps!$D$5:$D$12,0))))</f>
        <v>Eutrophication Potential (EP) - kg N eq</v>
      </c>
      <c r="M10501" s="154" t="str">
        <f t="shared" si="894"/>
        <v>Low_High_High_Upgraded_Eutrophication Potential (EP) - kg N eq_Aeration Tanks; wastewater treatment unit; at updated plant - US_Base_With Amendment_Aerated Static Pile</v>
      </c>
    </row>
    <row r="10502" spans="1:13" s="120" customFormat="1" x14ac:dyDescent="0.25">
      <c r="A10502" s="119"/>
      <c r="B10502" s="138" t="str">
        <f t="shared" si="882"/>
        <v>Aerated Static Pile</v>
      </c>
      <c r="C10502" s="138" t="str">
        <f t="shared" si="883"/>
        <v>Base_With Amendment</v>
      </c>
      <c r="D10502" s="138" t="str">
        <f t="shared" si="892"/>
        <v>High_High</v>
      </c>
      <c r="E10502" s="138" t="str">
        <f t="shared" si="893"/>
        <v>Low</v>
      </c>
      <c r="F10502" s="138" t="str">
        <f t="shared" si="884"/>
        <v>Upgraded</v>
      </c>
      <c r="G10502" s="153"/>
      <c r="H10502" s="210">
        <v>2.35E-2</v>
      </c>
      <c r="I10502" s="160" t="s">
        <v>435</v>
      </c>
      <c r="J10502" s="160">
        <v>3.4000000000000002E-4</v>
      </c>
      <c r="K10502" s="160" t="s">
        <v>13</v>
      </c>
      <c r="L10502" s="154" t="str">
        <f>IF(OpenLCAbasic!K10502="CTUh", "Fill in Manually",IF(OR(K10502="Unit", K10502=""), "", INDEX(LookUps!$E$5:$E$12, MATCH(OpenLCAbasic!K10502,LookUps!$D$5:$D$12,0))))</f>
        <v>Eutrophication Potential (EP) - kg N eq</v>
      </c>
      <c r="M10502" s="154" t="str">
        <f t="shared" si="894"/>
        <v>Low_High_High_Upgraded_Eutrophication Potential (EP) - kg N eq_Biosolids composting; aerated static pile; wastewater treatment unit; at updated plant - US_Base_With Amendment_Aerated Static Pile</v>
      </c>
    </row>
    <row r="10503" spans="1:13" s="120" customFormat="1" x14ac:dyDescent="0.25">
      <c r="A10503" s="119"/>
      <c r="B10503" s="138" t="str">
        <f t="shared" si="882"/>
        <v>Aerated Static Pile</v>
      </c>
      <c r="C10503" s="138" t="str">
        <f t="shared" si="883"/>
        <v>Base_With Amendment</v>
      </c>
      <c r="D10503" s="138" t="str">
        <f t="shared" si="892"/>
        <v>High_High</v>
      </c>
      <c r="E10503" s="138" t="str">
        <f t="shared" si="893"/>
        <v>Low</v>
      </c>
      <c r="F10503" s="138" t="str">
        <f t="shared" si="884"/>
        <v>Upgraded</v>
      </c>
      <c r="G10503" s="153"/>
      <c r="H10503" s="210">
        <v>1.72E-2</v>
      </c>
      <c r="I10503" s="160" t="s">
        <v>147</v>
      </c>
      <c r="J10503" s="160">
        <v>2.5000000000000001E-4</v>
      </c>
      <c r="K10503" s="160" t="s">
        <v>13</v>
      </c>
      <c r="L10503" s="154" t="str">
        <f>IF(OpenLCAbasic!K10503="CTUh", "Fill in Manually",IF(OR(K10503="Unit", K10503=""), "", INDEX(LookUps!$E$5:$E$12, MATCH(OpenLCAbasic!K10503,LookUps!$D$5:$D$12,0))))</f>
        <v>Eutrophication Potential (EP) - kg N eq</v>
      </c>
      <c r="M10503" s="154" t="str">
        <f t="shared" si="894"/>
        <v>Low_High_High_Upgraded_Eutrophication Potential (EP) - kg N eq_Influent Pump Station; wastewater treatment unit; at updated plant - US_Base_With Amendment_Aerated Static Pile</v>
      </c>
    </row>
    <row r="10504" spans="1:13" s="120" customFormat="1" x14ac:dyDescent="0.25">
      <c r="A10504" s="119"/>
      <c r="B10504" s="138" t="str">
        <f t="shared" si="882"/>
        <v>Aerated Static Pile</v>
      </c>
      <c r="C10504" s="138" t="str">
        <f t="shared" si="883"/>
        <v>Base_With Amendment</v>
      </c>
      <c r="D10504" s="138" t="str">
        <f t="shared" si="892"/>
        <v>High_High</v>
      </c>
      <c r="E10504" s="138" t="str">
        <f t="shared" si="893"/>
        <v>Low</v>
      </c>
      <c r="F10504" s="138" t="str">
        <f t="shared" si="884"/>
        <v>Upgraded</v>
      </c>
      <c r="G10504" s="153"/>
      <c r="H10504" s="210">
        <v>1.52E-2</v>
      </c>
      <c r="I10504" s="160" t="s">
        <v>167</v>
      </c>
      <c r="J10504" s="160">
        <v>2.2000000000000001E-4</v>
      </c>
      <c r="K10504" s="160" t="s">
        <v>13</v>
      </c>
      <c r="L10504" s="154" t="str">
        <f>IF(OpenLCAbasic!K10504="CTUh", "Fill in Manually",IF(OR(K10504="Unit", K10504=""), "", INDEX(LookUps!$E$5:$E$12, MATCH(OpenLCAbasic!K10504,LookUps!$D$5:$D$12,0))))</f>
        <v>Eutrophication Potential (EP) - kg N eq</v>
      </c>
      <c r="M10504" s="154" t="str">
        <f t="shared" si="894"/>
        <v>Low_High_High_Upgraded_Eutrophication Potential (EP) - kg N eq_Waste Receiving and Holding; wastewater treatment unit; at updated plant - US_Base_With Amendment_Aerated Static Pile</v>
      </c>
    </row>
    <row r="10505" spans="1:13" s="120" customFormat="1" x14ac:dyDescent="0.25">
      <c r="A10505" s="119"/>
      <c r="B10505" s="138" t="str">
        <f t="shared" si="882"/>
        <v>Aerated Static Pile</v>
      </c>
      <c r="C10505" s="138" t="str">
        <f t="shared" si="883"/>
        <v>Base_With Amendment</v>
      </c>
      <c r="D10505" s="138" t="str">
        <f t="shared" si="892"/>
        <v>High_High</v>
      </c>
      <c r="E10505" s="138" t="str">
        <f t="shared" si="893"/>
        <v>Low</v>
      </c>
      <c r="F10505" s="138" t="str">
        <f t="shared" si="884"/>
        <v>Upgraded</v>
      </c>
      <c r="G10505" s="153"/>
      <c r="H10505" s="210">
        <v>1.37E-2</v>
      </c>
      <c r="I10505" s="160" t="s">
        <v>54</v>
      </c>
      <c r="J10505" s="160">
        <v>2.0000000000000001E-4</v>
      </c>
      <c r="K10505" s="160" t="s">
        <v>13</v>
      </c>
      <c r="L10505" s="154" t="str">
        <f>IF(OpenLCAbasic!K10505="CTUh", "Fill in Manually",IF(OR(K10505="Unit", K10505=""), "", INDEX(LookUps!$E$5:$E$12, MATCH(OpenLCAbasic!K10505,LookUps!$D$5:$D$12,0))))</f>
        <v>Eutrophication Potential (EP) - kg N eq</v>
      </c>
      <c r="M10505" s="154" t="str">
        <f t="shared" si="894"/>
        <v>Low_High_High_Upgraded_Eutrophication Potential (EP) - kg N eq_Clear Cove Primary Clarification; wastewater treatment unit; at updated plant - US_Base_With Amendment_Aerated Static Pile</v>
      </c>
    </row>
    <row r="10506" spans="1:13" s="120" customFormat="1" x14ac:dyDescent="0.25">
      <c r="A10506" s="119"/>
      <c r="B10506" s="138" t="str">
        <f t="shared" ref="B10506:B10569" si="895">IF(F10506="Legacy","n.a.",IF(F10506="","","Aerated Static Pile"))</f>
        <v>Aerated Static Pile</v>
      </c>
      <c r="C10506" s="138" t="str">
        <f t="shared" ref="C10506:C10569" si="896">IF(ISNUMBER($J10506),"Base_With Amendment","")</f>
        <v>Base_With Amendment</v>
      </c>
      <c r="D10506" s="138" t="str">
        <f t="shared" si="892"/>
        <v>High_High</v>
      </c>
      <c r="E10506" s="138" t="str">
        <f t="shared" si="893"/>
        <v>Low</v>
      </c>
      <c r="F10506" s="138" t="str">
        <f t="shared" ref="F10506:F10569" si="897">IF(ISNUMBER(J10506),"Upgraded","")</f>
        <v>Upgraded</v>
      </c>
      <c r="G10506" s="153"/>
      <c r="H10506" s="210">
        <v>9.4000000000000004E-3</v>
      </c>
      <c r="I10506" s="160" t="s">
        <v>58</v>
      </c>
      <c r="J10506" s="160">
        <v>1.3999999999999999E-4</v>
      </c>
      <c r="K10506" s="160" t="s">
        <v>13</v>
      </c>
      <c r="L10506" s="154" t="str">
        <f>IF(OpenLCAbasic!K10506="CTUh", "Fill in Manually",IF(OR(K10506="Unit", K10506=""), "", INDEX(LookUps!$E$5:$E$12, MATCH(OpenLCAbasic!K10506,LookUps!$D$5:$D$12,0))))</f>
        <v>Eutrophication Potential (EP) - kg N eq</v>
      </c>
      <c r="M10506" s="154" t="str">
        <f t="shared" si="894"/>
        <v>Low_High_High_Upgraded_Eutrophication Potential (EP) - kg N eq_Pre-Anoxic &amp; Swing tank; wastewater treatment unit; at updated plant - US_Base_With Amendment_Aerated Static Pile</v>
      </c>
    </row>
    <row r="10507" spans="1:13" s="120" customFormat="1" x14ac:dyDescent="0.25">
      <c r="A10507" s="119"/>
      <c r="B10507" s="138" t="str">
        <f t="shared" si="895"/>
        <v>Aerated Static Pile</v>
      </c>
      <c r="C10507" s="138" t="str">
        <f t="shared" si="896"/>
        <v>Base_With Amendment</v>
      </c>
      <c r="D10507" s="138" t="str">
        <f t="shared" si="892"/>
        <v>High_High</v>
      </c>
      <c r="E10507" s="138" t="str">
        <f t="shared" si="893"/>
        <v>Low</v>
      </c>
      <c r="F10507" s="138" t="str">
        <f t="shared" si="897"/>
        <v>Upgraded</v>
      </c>
      <c r="G10507" s="153"/>
      <c r="H10507" s="210">
        <v>7.4000000000000003E-3</v>
      </c>
      <c r="I10507" s="160" t="s">
        <v>53</v>
      </c>
      <c r="J10507" s="160">
        <v>1.1E-4</v>
      </c>
      <c r="K10507" s="160" t="s">
        <v>13</v>
      </c>
      <c r="L10507" s="154" t="str">
        <f>IF(OpenLCAbasic!K10507="CTUh", "Fill in Manually",IF(OR(K10507="Unit", K10507=""), "", INDEX(LookUps!$E$5:$E$12, MATCH(OpenLCAbasic!K10507,LookUps!$D$5:$D$12,0))))</f>
        <v>Eutrophication Potential (EP) - kg N eq</v>
      </c>
      <c r="M10507" s="154" t="str">
        <f t="shared" si="894"/>
        <v>Low_High_High_Upgraded_Eutrophication Potential (EP) - kg N eq_Wet Well and Sump Station; wastewater treatment unit; at updated plant - US_Base_With Amendment_Aerated Static Pile</v>
      </c>
    </row>
    <row r="10508" spans="1:13" s="120" customFormat="1" x14ac:dyDescent="0.25">
      <c r="A10508" s="119"/>
      <c r="B10508" s="138" t="str">
        <f t="shared" si="895"/>
        <v>Aerated Static Pile</v>
      </c>
      <c r="C10508" s="138" t="str">
        <f t="shared" si="896"/>
        <v>Base_With Amendment</v>
      </c>
      <c r="D10508" s="138" t="str">
        <f t="shared" si="892"/>
        <v>High_High</v>
      </c>
      <c r="E10508" s="138" t="str">
        <f t="shared" si="893"/>
        <v>Low</v>
      </c>
      <c r="F10508" s="138" t="str">
        <f t="shared" si="897"/>
        <v>Upgraded</v>
      </c>
      <c r="G10508" s="153"/>
      <c r="H10508" s="210">
        <v>6.3E-3</v>
      </c>
      <c r="I10508" s="160" t="s">
        <v>60</v>
      </c>
      <c r="J10508" s="211">
        <v>9.0710800000000006E-5</v>
      </c>
      <c r="K10508" s="160" t="s">
        <v>13</v>
      </c>
      <c r="L10508" s="154" t="str">
        <f>IF(OpenLCAbasic!K10508="CTUh", "Fill in Manually",IF(OR(K10508="Unit", K10508=""), "", INDEX(LookUps!$E$5:$E$12, MATCH(OpenLCAbasic!K10508,LookUps!$D$5:$D$12,0))))</f>
        <v>Eutrophication Potential (EP) - kg N eq</v>
      </c>
      <c r="M10508" s="154" t="str">
        <f t="shared" si="894"/>
        <v>Low_High_High_Upgraded_Eutrophication Potential (EP) - kg N eq_Belt filter press; wastewater treatment unit; at updated plant - US_Base_With Amendment_Aerated Static Pile</v>
      </c>
    </row>
    <row r="10509" spans="1:13" s="120" customFormat="1" x14ac:dyDescent="0.25">
      <c r="A10509" s="119"/>
      <c r="B10509" s="138" t="str">
        <f t="shared" si="895"/>
        <v>Aerated Static Pile</v>
      </c>
      <c r="C10509" s="138" t="str">
        <f t="shared" si="896"/>
        <v>Base_With Amendment</v>
      </c>
      <c r="D10509" s="138" t="str">
        <f t="shared" si="892"/>
        <v>High_High</v>
      </c>
      <c r="E10509" s="138" t="str">
        <f t="shared" si="893"/>
        <v>Low</v>
      </c>
      <c r="F10509" s="138" t="str">
        <f t="shared" si="897"/>
        <v>Upgraded</v>
      </c>
      <c r="G10509" s="153"/>
      <c r="H10509" s="210">
        <v>4.1999999999999997E-3</v>
      </c>
      <c r="I10509" s="160" t="s">
        <v>57</v>
      </c>
      <c r="J10509" s="211">
        <v>6.0590300000000002E-5</v>
      </c>
      <c r="K10509" s="160" t="s">
        <v>13</v>
      </c>
      <c r="L10509" s="154" t="str">
        <f>IF(OpenLCAbasic!K10509="CTUh", "Fill in Manually",IF(OR(K10509="Unit", K10509=""), "", INDEX(LookUps!$E$5:$E$12, MATCH(OpenLCAbasic!K10509,LookUps!$D$5:$D$12,0))))</f>
        <v>Eutrophication Potential (EP) - kg N eq</v>
      </c>
      <c r="M10509" s="154" t="str">
        <f t="shared" si="894"/>
        <v>Low_High_High_Upgraded_Eutrophication Potential (EP) - kg N eq_Gravity Belt Thickener; wastewater treatment unit; at updated plant - US_Base_With Amendment_Aerated Static Pile</v>
      </c>
    </row>
    <row r="10510" spans="1:13" s="120" customFormat="1" x14ac:dyDescent="0.25">
      <c r="A10510" s="119"/>
      <c r="B10510" s="138" t="str">
        <f t="shared" si="895"/>
        <v>Aerated Static Pile</v>
      </c>
      <c r="C10510" s="138" t="str">
        <f t="shared" si="896"/>
        <v>Base_With Amendment</v>
      </c>
      <c r="D10510" s="138" t="str">
        <f t="shared" si="892"/>
        <v>High_High</v>
      </c>
      <c r="E10510" s="138" t="str">
        <f t="shared" si="893"/>
        <v>Low</v>
      </c>
      <c r="F10510" s="138" t="str">
        <f t="shared" si="897"/>
        <v>Upgraded</v>
      </c>
      <c r="G10510" s="153"/>
      <c r="H10510" s="210">
        <v>2.5999999999999999E-3</v>
      </c>
      <c r="I10510" s="160" t="s">
        <v>128</v>
      </c>
      <c r="J10510" s="211">
        <v>3.7559799999999999E-5</v>
      </c>
      <c r="K10510" s="160" t="s">
        <v>13</v>
      </c>
      <c r="L10510" s="154" t="str">
        <f>IF(OpenLCAbasic!K10510="CTUh", "Fill in Manually",IF(OR(K10510="Unit", K10510=""), "", INDEX(LookUps!$E$5:$E$12, MATCH(OpenLCAbasic!K10510,LookUps!$D$5:$D$12,0))))</f>
        <v>Eutrophication Potential (EP) - kg N eq</v>
      </c>
      <c r="M10510" s="154" t="str">
        <f t="shared" si="894"/>
        <v>Low_High_High_Upgraded_Eutrophication Potential (EP) - kg N eq_Wastewater collection; operation and infrastructure; m3 wastewater_Base_With Amendment_Aerated Static Pile</v>
      </c>
    </row>
    <row r="10511" spans="1:13" s="120" customFormat="1" x14ac:dyDescent="0.25">
      <c r="A10511" s="119"/>
      <c r="B10511" s="138" t="str">
        <f t="shared" si="895"/>
        <v>Aerated Static Pile</v>
      </c>
      <c r="C10511" s="138" t="str">
        <f t="shared" si="896"/>
        <v>Base_With Amendment</v>
      </c>
      <c r="D10511" s="138" t="str">
        <f t="shared" si="892"/>
        <v>High_High</v>
      </c>
      <c r="E10511" s="138" t="str">
        <f t="shared" si="893"/>
        <v>Low</v>
      </c>
      <c r="F10511" s="138" t="str">
        <f t="shared" si="897"/>
        <v>Upgraded</v>
      </c>
      <c r="G10511" s="153"/>
      <c r="H10511" s="210">
        <v>2.5000000000000001E-3</v>
      </c>
      <c r="I10511" s="160" t="s">
        <v>148</v>
      </c>
      <c r="J10511" s="211">
        <v>3.6874600000000001E-5</v>
      </c>
      <c r="K10511" s="160" t="s">
        <v>13</v>
      </c>
      <c r="L10511" s="154" t="str">
        <f>IF(OpenLCAbasic!K10511="CTUh", "Fill in Manually",IF(OR(K10511="Unit", K10511=""), "", INDEX(LookUps!$E$5:$E$12, MATCH(OpenLCAbasic!K10511,LookUps!$D$5:$D$12,0))))</f>
        <v>Eutrophication Potential (EP) - kg N eq</v>
      </c>
      <c r="M10511" s="154" t="str">
        <f t="shared" si="894"/>
        <v>Low_High_High_Upgraded_Eutrophication Potential (EP) - kg N eq_Control Building; at upgraded wastewater treatment plant - US_Base_With Amendment_Aerated Static Pile</v>
      </c>
    </row>
    <row r="10512" spans="1:13" s="120" customFormat="1" x14ac:dyDescent="0.25">
      <c r="A10512" s="119"/>
      <c r="B10512" s="138" t="str">
        <f t="shared" si="895"/>
        <v>Aerated Static Pile</v>
      </c>
      <c r="C10512" s="138" t="str">
        <f t="shared" si="896"/>
        <v>Base_With Amendment</v>
      </c>
      <c r="D10512" s="138" t="str">
        <f t="shared" si="892"/>
        <v>High_High</v>
      </c>
      <c r="E10512" s="138" t="str">
        <f t="shared" si="893"/>
        <v>Low</v>
      </c>
      <c r="F10512" s="138" t="str">
        <f t="shared" si="897"/>
        <v>Upgraded</v>
      </c>
      <c r="G10512" s="153"/>
      <c r="H10512" s="210">
        <v>1.1000000000000001E-3</v>
      </c>
      <c r="I10512" s="160" t="s">
        <v>59</v>
      </c>
      <c r="J10512" s="211">
        <v>1.6215700000000001E-5</v>
      </c>
      <c r="K10512" s="160" t="s">
        <v>13</v>
      </c>
      <c r="L10512" s="154" t="str">
        <f>IF(OpenLCAbasic!K10512="CTUh", "Fill in Manually",IF(OR(K10512="Unit", K10512=""), "", INDEX(LookUps!$E$5:$E$12, MATCH(OpenLCAbasic!K10512,LookUps!$D$5:$D$12,0))))</f>
        <v>Eutrophication Potential (EP) - kg N eq</v>
      </c>
      <c r="M10512" s="154" t="str">
        <f t="shared" si="894"/>
        <v>Low_High_High_Upgraded_Eutrophication Potential (EP) - kg N eq_Blend Tank; wastewater treatment unit; at updated plant - US_Base_With Amendment_Aerated Static Pile</v>
      </c>
    </row>
    <row r="10513" spans="1:13" s="120" customFormat="1" x14ac:dyDescent="0.25">
      <c r="A10513" s="119"/>
      <c r="B10513" s="138" t="str">
        <f t="shared" si="895"/>
        <v>Aerated Static Pile</v>
      </c>
      <c r="C10513" s="138" t="str">
        <f t="shared" si="896"/>
        <v>Base_With Amendment</v>
      </c>
      <c r="D10513" s="138" t="str">
        <f t="shared" si="892"/>
        <v>High_High</v>
      </c>
      <c r="E10513" s="138" t="str">
        <f t="shared" si="893"/>
        <v>Low</v>
      </c>
      <c r="F10513" s="138" t="str">
        <f t="shared" si="897"/>
        <v>Upgraded</v>
      </c>
      <c r="G10513" s="153"/>
      <c r="H10513" s="210">
        <v>5.0000000000000001E-4</v>
      </c>
      <c r="I10513" s="160" t="s">
        <v>168</v>
      </c>
      <c r="J10513" s="211">
        <v>7.7567199999999995E-6</v>
      </c>
      <c r="K10513" s="160" t="s">
        <v>13</v>
      </c>
      <c r="L10513" s="154" t="str">
        <f>IF(OpenLCAbasic!K10513="CTUh", "Fill in Manually",IF(OR(K10513="Unit", K10513=""), "", INDEX(LookUps!$E$5:$E$12, MATCH(OpenLCAbasic!K10513,LookUps!$D$5:$D$12,0))))</f>
        <v>Eutrophication Potential (EP) - kg N eq</v>
      </c>
      <c r="M10513" s="154" t="str">
        <f t="shared" si="894"/>
        <v>Low_High_High_Upgraded_Eutrophication Potential (EP) - kg N eq_ClearCove SCP; wastewater treatment unit; at updated plant - US_Base_With Amendment_Aerated Static Pile</v>
      </c>
    </row>
    <row r="10514" spans="1:13" s="120" customFormat="1" x14ac:dyDescent="0.25">
      <c r="A10514" s="119"/>
      <c r="B10514" s="138" t="str">
        <f t="shared" si="895"/>
        <v>Aerated Static Pile</v>
      </c>
      <c r="C10514" s="138" t="str">
        <f t="shared" si="896"/>
        <v>Base_With Amendment</v>
      </c>
      <c r="D10514" s="138" t="str">
        <f t="shared" si="892"/>
        <v>High_High</v>
      </c>
      <c r="E10514" s="138" t="str">
        <f t="shared" si="893"/>
        <v>Low</v>
      </c>
      <c r="F10514" s="138" t="str">
        <f t="shared" si="897"/>
        <v>Upgraded</v>
      </c>
      <c r="G10514" s="153"/>
      <c r="H10514" s="210">
        <v>-0.20430000000000001</v>
      </c>
      <c r="I10514" s="160" t="s">
        <v>149</v>
      </c>
      <c r="J10514" s="160">
        <v>-2.96E-3</v>
      </c>
      <c r="K10514" s="160" t="s">
        <v>13</v>
      </c>
      <c r="L10514" s="154" t="str">
        <f>IF(OpenLCAbasic!K10514="CTUh", "Fill in Manually",IF(OR(K10514="Unit", K10514=""), "", INDEX(LookUps!$E$5:$E$12, MATCH(OpenLCAbasic!K10514,LookUps!$D$5:$D$12,0))))</f>
        <v>Eutrophication Potential (EP) - kg N eq</v>
      </c>
      <c r="M10514" s="154" t="str">
        <f t="shared" si="894"/>
        <v>Low_High_High_Upgraded_Eutrophication Potential (EP) - kg N eq_Anaerobic Digestion; wastewater treatment unit; at updated plant - US_Base_With Amendment_Aerated Static Pile</v>
      </c>
    </row>
    <row r="10515" spans="1:13" s="120" customFormat="1" x14ac:dyDescent="0.25">
      <c r="A10515" s="119"/>
      <c r="B10515" s="138" t="str">
        <f t="shared" si="895"/>
        <v/>
      </c>
      <c r="C10515" s="138" t="str">
        <f t="shared" si="896"/>
        <v/>
      </c>
      <c r="D10515" s="138" t="str">
        <f t="shared" si="892"/>
        <v/>
      </c>
      <c r="E10515" s="138" t="str">
        <f t="shared" si="893"/>
        <v/>
      </c>
      <c r="F10515" s="138" t="str">
        <f t="shared" si="897"/>
        <v/>
      </c>
      <c r="G10515" s="153" t="s">
        <v>51</v>
      </c>
      <c r="H10515" s="160"/>
      <c r="I10515" s="160" t="s">
        <v>47</v>
      </c>
      <c r="J10515" s="160" t="s">
        <v>52</v>
      </c>
      <c r="K10515" s="160" t="s">
        <v>27</v>
      </c>
      <c r="L10515" s="154" t="str">
        <f>IF(OpenLCAbasic!K10515="CTUh", "Fill in Manually",IF(OR(K10515="Unit", K10515=""), "", INDEX(LookUps!$E$5:$E$12, MATCH(OpenLCAbasic!K10515,LookUps!$D$5:$D$12,0))))</f>
        <v/>
      </c>
      <c r="M10515" s="154" t="str">
        <f t="shared" si="894"/>
        <v>____Process__</v>
      </c>
    </row>
    <row r="10516" spans="1:13" s="120" customFormat="1" x14ac:dyDescent="0.25">
      <c r="A10516" s="119"/>
      <c r="B10516" s="138" t="str">
        <f t="shared" si="895"/>
        <v>Aerated Static Pile</v>
      </c>
      <c r="C10516" s="138" t="str">
        <f t="shared" si="896"/>
        <v>Base_With Amendment</v>
      </c>
      <c r="D10516" s="138" t="str">
        <f t="shared" si="892"/>
        <v>High_High</v>
      </c>
      <c r="E10516" s="138" t="str">
        <f t="shared" si="893"/>
        <v>Low</v>
      </c>
      <c r="F10516" s="138" t="str">
        <f t="shared" si="897"/>
        <v>Upgraded</v>
      </c>
      <c r="G10516" s="153"/>
      <c r="H10516" s="210">
        <v>0.81120000000000003</v>
      </c>
      <c r="I10516" s="160" t="s">
        <v>167</v>
      </c>
      <c r="J10516" s="160">
        <v>0.11719</v>
      </c>
      <c r="K10516" s="160" t="s">
        <v>14</v>
      </c>
      <c r="L10516" s="154" t="str">
        <f>IF(OpenLCAbasic!K10516="CTUh", "Fill in Manually",IF(OR(K10516="Unit", K10516=""), "", INDEX(LookUps!$E$5:$E$12, MATCH(OpenLCAbasic!K10516,LookUps!$D$5:$D$12,0))))</f>
        <v>Fossil Depletion Potential (FDP) - kg oil eq</v>
      </c>
      <c r="M10516" s="154" t="str">
        <f t="shared" si="894"/>
        <v>Low_High_High_Upgraded_Fossil Depletion Potential (FDP) - kg oil eq_Waste Receiving and Holding; wastewater treatment unit; at updated plant - US_Base_With Amendment_Aerated Static Pile</v>
      </c>
    </row>
    <row r="10517" spans="1:13" s="120" customFormat="1" x14ac:dyDescent="0.25">
      <c r="A10517" s="119"/>
      <c r="B10517" s="138" t="str">
        <f t="shared" si="895"/>
        <v>Aerated Static Pile</v>
      </c>
      <c r="C10517" s="138" t="str">
        <f t="shared" si="896"/>
        <v>Base_With Amendment</v>
      </c>
      <c r="D10517" s="138" t="str">
        <f t="shared" si="892"/>
        <v>High_High</v>
      </c>
      <c r="E10517" s="138" t="str">
        <f t="shared" si="893"/>
        <v>Low</v>
      </c>
      <c r="F10517" s="138" t="str">
        <f t="shared" si="897"/>
        <v>Upgraded</v>
      </c>
      <c r="G10517" s="153"/>
      <c r="H10517" s="210">
        <v>0.44019999999999998</v>
      </c>
      <c r="I10517" s="160" t="s">
        <v>55</v>
      </c>
      <c r="J10517" s="160">
        <v>6.3589999999999994E-2</v>
      </c>
      <c r="K10517" s="160" t="s">
        <v>14</v>
      </c>
      <c r="L10517" s="154" t="str">
        <f>IF(OpenLCAbasic!K10517="CTUh", "Fill in Manually",IF(OR(K10517="Unit", K10517=""), "", INDEX(LookUps!$E$5:$E$12, MATCH(OpenLCAbasic!K10517,LookUps!$D$5:$D$12,0))))</f>
        <v>Fossil Depletion Potential (FDP) - kg oil eq</v>
      </c>
      <c r="M10517" s="154" t="str">
        <f t="shared" si="894"/>
        <v>Low_High_High_Upgraded_Fossil Depletion Potential (FDP) - kg oil eq_Aeration Tanks; wastewater treatment unit; at updated plant - US_Base_With Amendment_Aerated Static Pile</v>
      </c>
    </row>
    <row r="10518" spans="1:13" s="120" customFormat="1" x14ac:dyDescent="0.25">
      <c r="A10518" s="119"/>
      <c r="B10518" s="138" t="str">
        <f t="shared" si="895"/>
        <v>Aerated Static Pile</v>
      </c>
      <c r="C10518" s="138" t="str">
        <f t="shared" si="896"/>
        <v>Base_With Amendment</v>
      </c>
      <c r="D10518" s="138" t="str">
        <f t="shared" si="892"/>
        <v>High_High</v>
      </c>
      <c r="E10518" s="138" t="str">
        <f t="shared" si="893"/>
        <v>Low</v>
      </c>
      <c r="F10518" s="138" t="str">
        <f t="shared" si="897"/>
        <v>Upgraded</v>
      </c>
      <c r="G10518" s="153"/>
      <c r="H10518" s="210">
        <v>0.27750000000000002</v>
      </c>
      <c r="I10518" s="160" t="s">
        <v>435</v>
      </c>
      <c r="J10518" s="160">
        <v>4.0079999999999998E-2</v>
      </c>
      <c r="K10518" s="160" t="s">
        <v>14</v>
      </c>
      <c r="L10518" s="154" t="str">
        <f>IF(OpenLCAbasic!K10518="CTUh", "Fill in Manually",IF(OR(K10518="Unit", K10518=""), "", INDEX(LookUps!$E$5:$E$12, MATCH(OpenLCAbasic!K10518,LookUps!$D$5:$D$12,0))))</f>
        <v>Fossil Depletion Potential (FDP) - kg oil eq</v>
      </c>
      <c r="M10518" s="154" t="str">
        <f t="shared" si="894"/>
        <v>Low_High_High_Upgraded_Fossil Depletion Potential (FDP) - kg oil eq_Biosolids composting; aerated static pile; wastewater treatment unit; at updated plant - US_Base_With Amendment_Aerated Static Pile</v>
      </c>
    </row>
    <row r="10519" spans="1:13" s="120" customFormat="1" x14ac:dyDescent="0.25">
      <c r="A10519" s="119"/>
      <c r="B10519" s="138" t="str">
        <f t="shared" si="895"/>
        <v>Aerated Static Pile</v>
      </c>
      <c r="C10519" s="138" t="str">
        <f t="shared" si="896"/>
        <v>Base_With Amendment</v>
      </c>
      <c r="D10519" s="138" t="str">
        <f t="shared" si="892"/>
        <v>High_High</v>
      </c>
      <c r="E10519" s="138" t="str">
        <f t="shared" si="893"/>
        <v>Low</v>
      </c>
      <c r="F10519" s="138" t="str">
        <f t="shared" si="897"/>
        <v>Upgraded</v>
      </c>
      <c r="G10519" s="153"/>
      <c r="H10519" s="210">
        <v>0.1457</v>
      </c>
      <c r="I10519" s="160" t="s">
        <v>54</v>
      </c>
      <c r="J10519" s="160">
        <v>2.1049999999999999E-2</v>
      </c>
      <c r="K10519" s="160" t="s">
        <v>14</v>
      </c>
      <c r="L10519" s="154" t="str">
        <f>IF(OpenLCAbasic!K10519="CTUh", "Fill in Manually",IF(OR(K10519="Unit", K10519=""), "", INDEX(LookUps!$E$5:$E$12, MATCH(OpenLCAbasic!K10519,LookUps!$D$5:$D$12,0))))</f>
        <v>Fossil Depletion Potential (FDP) - kg oil eq</v>
      </c>
      <c r="M10519" s="154" t="str">
        <f t="shared" si="894"/>
        <v>Low_High_High_Upgraded_Fossil Depletion Potential (FDP) - kg oil eq_Clear Cove Primary Clarification; wastewater treatment unit; at updated plant - US_Base_With Amendment_Aerated Static Pile</v>
      </c>
    </row>
    <row r="10520" spans="1:13" s="120" customFormat="1" x14ac:dyDescent="0.25">
      <c r="A10520" s="119"/>
      <c r="B10520" s="138" t="str">
        <f t="shared" si="895"/>
        <v>Aerated Static Pile</v>
      </c>
      <c r="C10520" s="138" t="str">
        <f t="shared" si="896"/>
        <v>Base_With Amendment</v>
      </c>
      <c r="D10520" s="138" t="str">
        <f t="shared" si="892"/>
        <v>High_High</v>
      </c>
      <c r="E10520" s="138" t="str">
        <f t="shared" si="893"/>
        <v>Low</v>
      </c>
      <c r="F10520" s="138" t="str">
        <f t="shared" si="897"/>
        <v>Upgraded</v>
      </c>
      <c r="G10520" s="153"/>
      <c r="H10520" s="210">
        <v>0.111</v>
      </c>
      <c r="I10520" s="160" t="s">
        <v>58</v>
      </c>
      <c r="J10520" s="160">
        <v>1.6039999999999999E-2</v>
      </c>
      <c r="K10520" s="160" t="s">
        <v>14</v>
      </c>
      <c r="L10520" s="154" t="str">
        <f>IF(OpenLCAbasic!K10520="CTUh", "Fill in Manually",IF(OR(K10520="Unit", K10520=""), "", INDEX(LookUps!$E$5:$E$12, MATCH(OpenLCAbasic!K10520,LookUps!$D$5:$D$12,0))))</f>
        <v>Fossil Depletion Potential (FDP) - kg oil eq</v>
      </c>
      <c r="M10520" s="154" t="str">
        <f t="shared" si="894"/>
        <v>Low_High_High_Upgraded_Fossil Depletion Potential (FDP) - kg oil eq_Pre-Anoxic &amp; Swing tank; wastewater treatment unit; at updated plant - US_Base_With Amendment_Aerated Static Pile</v>
      </c>
    </row>
    <row r="10521" spans="1:13" s="120" customFormat="1" x14ac:dyDescent="0.25">
      <c r="A10521" s="119"/>
      <c r="B10521" s="138" t="str">
        <f t="shared" si="895"/>
        <v>Aerated Static Pile</v>
      </c>
      <c r="C10521" s="138" t="str">
        <f t="shared" si="896"/>
        <v>Base_With Amendment</v>
      </c>
      <c r="D10521" s="138" t="str">
        <f t="shared" si="892"/>
        <v>High_High</v>
      </c>
      <c r="E10521" s="138" t="str">
        <f t="shared" si="893"/>
        <v>Low</v>
      </c>
      <c r="F10521" s="138" t="str">
        <f t="shared" si="897"/>
        <v>Upgraded</v>
      </c>
      <c r="G10521" s="153"/>
      <c r="H10521" s="210">
        <v>0.10440000000000001</v>
      </c>
      <c r="I10521" s="160" t="s">
        <v>147</v>
      </c>
      <c r="J10521" s="160">
        <v>1.5089999999999999E-2</v>
      </c>
      <c r="K10521" s="160" t="s">
        <v>14</v>
      </c>
      <c r="L10521" s="154" t="str">
        <f>IF(OpenLCAbasic!K10521="CTUh", "Fill in Manually",IF(OR(K10521="Unit", K10521=""), "", INDEX(LookUps!$E$5:$E$12, MATCH(OpenLCAbasic!K10521,LookUps!$D$5:$D$12,0))))</f>
        <v>Fossil Depletion Potential (FDP) - kg oil eq</v>
      </c>
      <c r="M10521" s="154" t="str">
        <f t="shared" si="894"/>
        <v>Low_High_High_Upgraded_Fossil Depletion Potential (FDP) - kg oil eq_Influent Pump Station; wastewater treatment unit; at updated plant - US_Base_With Amendment_Aerated Static Pile</v>
      </c>
    </row>
    <row r="10522" spans="1:13" s="120" customFormat="1" x14ac:dyDescent="0.25">
      <c r="A10522" s="119"/>
      <c r="B10522" s="138" t="str">
        <f t="shared" si="895"/>
        <v>Aerated Static Pile</v>
      </c>
      <c r="C10522" s="138" t="str">
        <f t="shared" si="896"/>
        <v>Base_With Amendment</v>
      </c>
      <c r="D10522" s="138" t="str">
        <f t="shared" si="892"/>
        <v>High_High</v>
      </c>
      <c r="E10522" s="138" t="str">
        <f t="shared" si="893"/>
        <v>Low</v>
      </c>
      <c r="F10522" s="138" t="str">
        <f t="shared" si="897"/>
        <v>Upgraded</v>
      </c>
      <c r="G10522" s="153"/>
      <c r="H10522" s="210">
        <v>8.6400000000000005E-2</v>
      </c>
      <c r="I10522" s="160" t="s">
        <v>53</v>
      </c>
      <c r="J10522" s="160">
        <v>1.2489999999999999E-2</v>
      </c>
      <c r="K10522" s="160" t="s">
        <v>14</v>
      </c>
      <c r="L10522" s="154" t="str">
        <f>IF(OpenLCAbasic!K10522="CTUh", "Fill in Manually",IF(OR(K10522="Unit", K10522=""), "", INDEX(LookUps!$E$5:$E$12, MATCH(OpenLCAbasic!K10522,LookUps!$D$5:$D$12,0))))</f>
        <v>Fossil Depletion Potential (FDP) - kg oil eq</v>
      </c>
      <c r="M10522" s="154" t="str">
        <f t="shared" si="894"/>
        <v>Low_High_High_Upgraded_Fossil Depletion Potential (FDP) - kg oil eq_Wet Well and Sump Station; wastewater treatment unit; at updated plant - US_Base_With Amendment_Aerated Static Pile</v>
      </c>
    </row>
    <row r="10523" spans="1:13" s="120" customFormat="1" x14ac:dyDescent="0.25">
      <c r="A10523" s="119"/>
      <c r="B10523" s="138" t="str">
        <f t="shared" si="895"/>
        <v>Aerated Static Pile</v>
      </c>
      <c r="C10523" s="138" t="str">
        <f t="shared" si="896"/>
        <v>Base_With Amendment</v>
      </c>
      <c r="D10523" s="138" t="str">
        <f t="shared" si="892"/>
        <v>High_High</v>
      </c>
      <c r="E10523" s="138" t="str">
        <f t="shared" si="893"/>
        <v>Low</v>
      </c>
      <c r="F10523" s="138" t="str">
        <f t="shared" si="897"/>
        <v>Upgraded</v>
      </c>
      <c r="G10523" s="153"/>
      <c r="H10523" s="210">
        <v>7.2099999999999997E-2</v>
      </c>
      <c r="I10523" s="160" t="s">
        <v>60</v>
      </c>
      <c r="J10523" s="160">
        <v>1.0410000000000001E-2</v>
      </c>
      <c r="K10523" s="160" t="s">
        <v>14</v>
      </c>
      <c r="L10523" s="154" t="str">
        <f>IF(OpenLCAbasic!K10523="CTUh", "Fill in Manually",IF(OR(K10523="Unit", K10523=""), "", INDEX(LookUps!$E$5:$E$12, MATCH(OpenLCAbasic!K10523,LookUps!$D$5:$D$12,0))))</f>
        <v>Fossil Depletion Potential (FDP) - kg oil eq</v>
      </c>
      <c r="M10523" s="154" t="str">
        <f t="shared" si="894"/>
        <v>Low_High_High_Upgraded_Fossil Depletion Potential (FDP) - kg oil eq_Belt filter press; wastewater treatment unit; at updated plant - US_Base_With Amendment_Aerated Static Pile</v>
      </c>
    </row>
    <row r="10524" spans="1:13" s="120" customFormat="1" x14ac:dyDescent="0.25">
      <c r="A10524" s="119"/>
      <c r="B10524" s="138" t="str">
        <f t="shared" si="895"/>
        <v>Aerated Static Pile</v>
      </c>
      <c r="C10524" s="138" t="str">
        <f t="shared" si="896"/>
        <v>Base_With Amendment</v>
      </c>
      <c r="D10524" s="138" t="str">
        <f t="shared" si="892"/>
        <v>High_High</v>
      </c>
      <c r="E10524" s="138" t="str">
        <f t="shared" si="893"/>
        <v>Low</v>
      </c>
      <c r="F10524" s="138" t="str">
        <f t="shared" si="897"/>
        <v>Upgraded</v>
      </c>
      <c r="G10524" s="153"/>
      <c r="H10524" s="210">
        <v>4.7899999999999998E-2</v>
      </c>
      <c r="I10524" s="160" t="s">
        <v>57</v>
      </c>
      <c r="J10524" s="160">
        <v>6.9199999999999999E-3</v>
      </c>
      <c r="K10524" s="160" t="s">
        <v>14</v>
      </c>
      <c r="L10524" s="154" t="str">
        <f>IF(OpenLCAbasic!K10524="CTUh", "Fill in Manually",IF(OR(K10524="Unit", K10524=""), "", INDEX(LookUps!$E$5:$E$12, MATCH(OpenLCAbasic!K10524,LookUps!$D$5:$D$12,0))))</f>
        <v>Fossil Depletion Potential (FDP) - kg oil eq</v>
      </c>
      <c r="M10524" s="154" t="str">
        <f t="shared" si="894"/>
        <v>Low_High_High_Upgraded_Fossil Depletion Potential (FDP) - kg oil eq_Gravity Belt Thickener; wastewater treatment unit; at updated plant - US_Base_With Amendment_Aerated Static Pile</v>
      </c>
    </row>
    <row r="10525" spans="1:13" s="120" customFormat="1" x14ac:dyDescent="0.25">
      <c r="A10525" s="119"/>
      <c r="B10525" s="138" t="str">
        <f t="shared" si="895"/>
        <v>Aerated Static Pile</v>
      </c>
      <c r="C10525" s="138" t="str">
        <f t="shared" si="896"/>
        <v>Base_With Amendment</v>
      </c>
      <c r="D10525" s="138" t="str">
        <f t="shared" si="892"/>
        <v>High_High</v>
      </c>
      <c r="E10525" s="138" t="str">
        <f t="shared" si="893"/>
        <v>Low</v>
      </c>
      <c r="F10525" s="138" t="str">
        <f t="shared" si="897"/>
        <v>Upgraded</v>
      </c>
      <c r="G10525" s="153"/>
      <c r="H10525" s="210">
        <v>3.1099999999999999E-2</v>
      </c>
      <c r="I10525" s="160" t="s">
        <v>128</v>
      </c>
      <c r="J10525" s="160">
        <v>4.4999999999999997E-3</v>
      </c>
      <c r="K10525" s="160" t="s">
        <v>14</v>
      </c>
      <c r="L10525" s="154" t="str">
        <f>IF(OpenLCAbasic!K10525="CTUh", "Fill in Manually",IF(OR(K10525="Unit", K10525=""), "", INDEX(LookUps!$E$5:$E$12, MATCH(OpenLCAbasic!K10525,LookUps!$D$5:$D$12,0))))</f>
        <v>Fossil Depletion Potential (FDP) - kg oil eq</v>
      </c>
      <c r="M10525" s="154" t="str">
        <f t="shared" si="894"/>
        <v>Low_High_High_Upgraded_Fossil Depletion Potential (FDP) - kg oil eq_Wastewater collection; operation and infrastructure; m3 wastewater_Base_With Amendment_Aerated Static Pile</v>
      </c>
    </row>
    <row r="10526" spans="1:13" s="120" customFormat="1" x14ac:dyDescent="0.25">
      <c r="A10526" s="119"/>
      <c r="B10526" s="138" t="str">
        <f t="shared" si="895"/>
        <v>Aerated Static Pile</v>
      </c>
      <c r="C10526" s="138" t="str">
        <f t="shared" si="896"/>
        <v>Base_With Amendment</v>
      </c>
      <c r="D10526" s="138" t="str">
        <f t="shared" si="892"/>
        <v>High_High</v>
      </c>
      <c r="E10526" s="138" t="str">
        <f t="shared" si="893"/>
        <v>Low</v>
      </c>
      <c r="F10526" s="138" t="str">
        <f t="shared" si="897"/>
        <v>Upgraded</v>
      </c>
      <c r="G10526" s="153"/>
      <c r="H10526" s="210">
        <v>1.9400000000000001E-2</v>
      </c>
      <c r="I10526" s="160" t="s">
        <v>148</v>
      </c>
      <c r="J10526" s="160">
        <v>2.8E-3</v>
      </c>
      <c r="K10526" s="160" t="s">
        <v>14</v>
      </c>
      <c r="L10526" s="154" t="str">
        <f>IF(OpenLCAbasic!K10526="CTUh", "Fill in Manually",IF(OR(K10526="Unit", K10526=""), "", INDEX(LookUps!$E$5:$E$12, MATCH(OpenLCAbasic!K10526,LookUps!$D$5:$D$12,0))))</f>
        <v>Fossil Depletion Potential (FDP) - kg oil eq</v>
      </c>
      <c r="M10526" s="154" t="str">
        <f t="shared" si="894"/>
        <v>Low_High_High_Upgraded_Fossil Depletion Potential (FDP) - kg oil eq_Control Building; at upgraded wastewater treatment plant - US_Base_With Amendment_Aerated Static Pile</v>
      </c>
    </row>
    <row r="10527" spans="1:13" s="120" customFormat="1" x14ac:dyDescent="0.25">
      <c r="A10527" s="119"/>
      <c r="B10527" s="138" t="str">
        <f t="shared" si="895"/>
        <v>Aerated Static Pile</v>
      </c>
      <c r="C10527" s="138" t="str">
        <f t="shared" si="896"/>
        <v>Base_With Amendment</v>
      </c>
      <c r="D10527" s="138" t="str">
        <f t="shared" si="892"/>
        <v>High_High</v>
      </c>
      <c r="E10527" s="138" t="str">
        <f t="shared" si="893"/>
        <v>Low</v>
      </c>
      <c r="F10527" s="138" t="str">
        <f t="shared" si="897"/>
        <v>Upgraded</v>
      </c>
      <c r="G10527" s="153"/>
      <c r="H10527" s="210">
        <v>1.6400000000000001E-2</v>
      </c>
      <c r="I10527" s="160" t="s">
        <v>48</v>
      </c>
      <c r="J10527" s="160">
        <v>2.3600000000000001E-3</v>
      </c>
      <c r="K10527" s="160" t="s">
        <v>14</v>
      </c>
      <c r="L10527" s="154" t="str">
        <f>IF(OpenLCAbasic!K10527="CTUh", "Fill in Manually",IF(OR(K10527="Unit", K10527=""), "", INDEX(LookUps!$E$5:$E$12, MATCH(OpenLCAbasic!K10527,LookUps!$D$5:$D$12,0))))</f>
        <v>Fossil Depletion Potential (FDP) - kg oil eq</v>
      </c>
      <c r="M10527" s="154" t="str">
        <f t="shared" si="894"/>
        <v>Low_High_High_Upgraded_Fossil Depletion Potential (FDP) - kg oil eq_Effluent release; wastewater treatment unit; at surface water; m3 wastewater - US_Base_With Amendment_Aerated Static Pile</v>
      </c>
    </row>
    <row r="10528" spans="1:13" s="120" customFormat="1" x14ac:dyDescent="0.25">
      <c r="A10528" s="119"/>
      <c r="B10528" s="138" t="str">
        <f t="shared" si="895"/>
        <v>Aerated Static Pile</v>
      </c>
      <c r="C10528" s="138" t="str">
        <f t="shared" si="896"/>
        <v>Base_With Amendment</v>
      </c>
      <c r="D10528" s="138" t="str">
        <f t="shared" si="892"/>
        <v>High_High</v>
      </c>
      <c r="E10528" s="138" t="str">
        <f t="shared" si="893"/>
        <v>Low</v>
      </c>
      <c r="F10528" s="138" t="str">
        <f t="shared" si="897"/>
        <v>Upgraded</v>
      </c>
      <c r="G10528" s="153"/>
      <c r="H10528" s="210">
        <v>1.3299999999999999E-2</v>
      </c>
      <c r="I10528" s="160" t="s">
        <v>59</v>
      </c>
      <c r="J10528" s="160">
        <v>1.92E-3</v>
      </c>
      <c r="K10528" s="160" t="s">
        <v>14</v>
      </c>
      <c r="L10528" s="154" t="str">
        <f>IF(OpenLCAbasic!K10528="CTUh", "Fill in Manually",IF(OR(K10528="Unit", K10528=""), "", INDEX(LookUps!$E$5:$E$12, MATCH(OpenLCAbasic!K10528,LookUps!$D$5:$D$12,0))))</f>
        <v>Fossil Depletion Potential (FDP) - kg oil eq</v>
      </c>
      <c r="M10528" s="154" t="str">
        <f t="shared" si="894"/>
        <v>Low_High_High_Upgraded_Fossil Depletion Potential (FDP) - kg oil eq_Blend Tank; wastewater treatment unit; at updated plant - US_Base_With Amendment_Aerated Static Pile</v>
      </c>
    </row>
    <row r="10529" spans="1:13" s="120" customFormat="1" x14ac:dyDescent="0.25">
      <c r="A10529" s="119"/>
      <c r="B10529" s="138" t="str">
        <f t="shared" si="895"/>
        <v>Aerated Static Pile</v>
      </c>
      <c r="C10529" s="138" t="str">
        <f t="shared" si="896"/>
        <v>Base_With Amendment</v>
      </c>
      <c r="D10529" s="138" t="str">
        <f t="shared" si="892"/>
        <v>High_High</v>
      </c>
      <c r="E10529" s="138" t="str">
        <f t="shared" si="893"/>
        <v>Low</v>
      </c>
      <c r="F10529" s="138" t="str">
        <f t="shared" si="897"/>
        <v>Upgraded</v>
      </c>
      <c r="G10529" s="153"/>
      <c r="H10529" s="210">
        <v>6.3E-3</v>
      </c>
      <c r="I10529" s="160" t="s">
        <v>168</v>
      </c>
      <c r="J10529" s="160">
        <v>9.1E-4</v>
      </c>
      <c r="K10529" s="160" t="s">
        <v>14</v>
      </c>
      <c r="L10529" s="154" t="str">
        <f>IF(OpenLCAbasic!K10529="CTUh", "Fill in Manually",IF(OR(K10529="Unit", K10529=""), "", INDEX(LookUps!$E$5:$E$12, MATCH(OpenLCAbasic!K10529,LookUps!$D$5:$D$12,0))))</f>
        <v>Fossil Depletion Potential (FDP) - kg oil eq</v>
      </c>
      <c r="M10529" s="154" t="str">
        <f t="shared" si="894"/>
        <v>Low_High_High_Upgraded_Fossil Depletion Potential (FDP) - kg oil eq_ClearCove SCP; wastewater treatment unit; at updated plant - US_Base_With Amendment_Aerated Static Pile</v>
      </c>
    </row>
    <row r="10530" spans="1:13" s="120" customFormat="1" x14ac:dyDescent="0.25">
      <c r="A10530" s="119"/>
      <c r="B10530" s="138" t="str">
        <f t="shared" si="895"/>
        <v>Aerated Static Pile</v>
      </c>
      <c r="C10530" s="138" t="str">
        <f t="shared" si="896"/>
        <v>Base_With Amendment</v>
      </c>
      <c r="D10530" s="138" t="str">
        <f t="shared" si="892"/>
        <v>High_High</v>
      </c>
      <c r="E10530" s="138" t="str">
        <f t="shared" si="893"/>
        <v>Low</v>
      </c>
      <c r="F10530" s="138" t="str">
        <f t="shared" si="897"/>
        <v>Upgraded</v>
      </c>
      <c r="G10530" s="153"/>
      <c r="H10530" s="210">
        <v>-8.3500000000000005E-2</v>
      </c>
      <c r="I10530" s="160" t="s">
        <v>62</v>
      </c>
      <c r="J10530" s="160">
        <v>-1.2070000000000001E-2</v>
      </c>
      <c r="K10530" s="160" t="s">
        <v>14</v>
      </c>
      <c r="L10530" s="154" t="str">
        <f>IF(OpenLCAbasic!K10530="CTUh", "Fill in Manually",IF(OR(K10530="Unit", K10530=""), "", INDEX(LookUps!$E$5:$E$12, MATCH(OpenLCAbasic!K10530,LookUps!$D$5:$D$12,0))))</f>
        <v>Fossil Depletion Potential (FDP) - kg oil eq</v>
      </c>
      <c r="M10530" s="154" t="str">
        <f t="shared" si="894"/>
        <v>Low_High_High_Upgraded_Fossil Depletion Potential (FDP) - kg oil eq_Land application of compost; wastewater treatment unit; at updated plant - US_Base_With Amendment_Aerated Static Pile</v>
      </c>
    </row>
    <row r="10531" spans="1:13" s="120" customFormat="1" x14ac:dyDescent="0.25">
      <c r="A10531" s="119"/>
      <c r="B10531" s="138" t="str">
        <f t="shared" si="895"/>
        <v>Aerated Static Pile</v>
      </c>
      <c r="C10531" s="138" t="str">
        <f t="shared" si="896"/>
        <v>Base_With Amendment</v>
      </c>
      <c r="D10531" s="138" t="str">
        <f t="shared" si="892"/>
        <v>High_High</v>
      </c>
      <c r="E10531" s="138" t="str">
        <f t="shared" si="893"/>
        <v>Low</v>
      </c>
      <c r="F10531" s="138" t="str">
        <f t="shared" si="897"/>
        <v>Upgraded</v>
      </c>
      <c r="G10531" s="153"/>
      <c r="H10531" s="210">
        <v>-3.0992999999999999</v>
      </c>
      <c r="I10531" s="160" t="s">
        <v>149</v>
      </c>
      <c r="J10531" s="160">
        <v>-0.44775999999999999</v>
      </c>
      <c r="K10531" s="160" t="s">
        <v>14</v>
      </c>
      <c r="L10531" s="154" t="str">
        <f>IF(OpenLCAbasic!K10531="CTUh", "Fill in Manually",IF(OR(K10531="Unit", K10531=""), "", INDEX(LookUps!$E$5:$E$12, MATCH(OpenLCAbasic!K10531,LookUps!$D$5:$D$12,0))))</f>
        <v>Fossil Depletion Potential (FDP) - kg oil eq</v>
      </c>
      <c r="M10531" s="154" t="str">
        <f t="shared" si="894"/>
        <v>Low_High_High_Upgraded_Fossil Depletion Potential (FDP) - kg oil eq_Anaerobic Digestion; wastewater treatment unit; at updated plant - US_Base_With Amendment_Aerated Static Pile</v>
      </c>
    </row>
    <row r="10532" spans="1:13" s="120" customFormat="1" x14ac:dyDescent="0.25">
      <c r="A10532" s="119"/>
      <c r="B10532" s="138" t="str">
        <f t="shared" si="895"/>
        <v/>
      </c>
      <c r="C10532" s="138" t="str">
        <f t="shared" si="896"/>
        <v/>
      </c>
      <c r="D10532" s="138" t="str">
        <f t="shared" si="892"/>
        <v/>
      </c>
      <c r="E10532" s="138" t="str">
        <f t="shared" si="893"/>
        <v/>
      </c>
      <c r="F10532" s="138" t="str">
        <f t="shared" si="897"/>
        <v/>
      </c>
      <c r="G10532" s="153" t="s">
        <v>51</v>
      </c>
      <c r="H10532" s="160"/>
      <c r="I10532" s="160" t="s">
        <v>47</v>
      </c>
      <c r="J10532" s="160" t="s">
        <v>52</v>
      </c>
      <c r="K10532" s="160" t="s">
        <v>27</v>
      </c>
      <c r="L10532" s="154" t="str">
        <f>IF(OpenLCAbasic!K10532="CTUh", "Fill in Manually",IF(OR(K10532="Unit", K10532=""), "", INDEX(LookUps!$E$5:$E$12, MATCH(OpenLCAbasic!K10532,LookUps!$D$5:$D$12,0))))</f>
        <v/>
      </c>
      <c r="M10532" s="154" t="str">
        <f t="shared" si="894"/>
        <v>____Process__</v>
      </c>
    </row>
    <row r="10533" spans="1:13" s="120" customFormat="1" x14ac:dyDescent="0.25">
      <c r="A10533" s="119"/>
      <c r="B10533" s="138" t="str">
        <f t="shared" si="895"/>
        <v>Aerated Static Pile</v>
      </c>
      <c r="C10533" s="138" t="str">
        <f t="shared" si="896"/>
        <v>Base_With Amendment</v>
      </c>
      <c r="D10533" s="138" t="str">
        <f t="shared" si="892"/>
        <v>High_High</v>
      </c>
      <c r="E10533" s="138" t="str">
        <f t="shared" si="893"/>
        <v>Low</v>
      </c>
      <c r="F10533" s="138" t="str">
        <f t="shared" si="897"/>
        <v>Upgraded</v>
      </c>
      <c r="G10533" s="153"/>
      <c r="H10533" s="210">
        <v>0.36359999999999998</v>
      </c>
      <c r="I10533" s="160" t="s">
        <v>58</v>
      </c>
      <c r="J10533" s="160">
        <v>0.24992</v>
      </c>
      <c r="K10533" s="160" t="s">
        <v>23</v>
      </c>
      <c r="L10533" s="154" t="str">
        <f>IF(OpenLCAbasic!K10533="CTUh", "Fill in Manually",IF(OR(K10533="Unit", K10533=""), "", INDEX(LookUps!$E$5:$E$12, MATCH(OpenLCAbasic!K10533,LookUps!$D$5:$D$12,0))))</f>
        <v>Global Warming Potential (GWP) - kg CO2 eq</v>
      </c>
      <c r="M10533" s="154" t="str">
        <f t="shared" si="894"/>
        <v>Low_High_High_Upgraded_Global Warming Potential (GWP) - kg CO2 eq_Pre-Anoxic &amp; Swing tank; wastewater treatment unit; at updated plant - US_Base_With Amendment_Aerated Static Pile</v>
      </c>
    </row>
    <row r="10534" spans="1:13" s="120" customFormat="1" x14ac:dyDescent="0.25">
      <c r="A10534" s="119"/>
      <c r="B10534" s="138" t="str">
        <f t="shared" si="895"/>
        <v>Aerated Static Pile</v>
      </c>
      <c r="C10534" s="138" t="str">
        <f t="shared" si="896"/>
        <v>Base_With Amendment</v>
      </c>
      <c r="D10534" s="138" t="str">
        <f t="shared" si="892"/>
        <v>High_High</v>
      </c>
      <c r="E10534" s="138" t="str">
        <f t="shared" si="893"/>
        <v>Low</v>
      </c>
      <c r="F10534" s="138" t="str">
        <f t="shared" si="897"/>
        <v>Upgraded</v>
      </c>
      <c r="G10534" s="153"/>
      <c r="H10534" s="210">
        <v>0.30509999999999998</v>
      </c>
      <c r="I10534" s="160" t="s">
        <v>435</v>
      </c>
      <c r="J10534" s="160">
        <v>0.20971000000000001</v>
      </c>
      <c r="K10534" s="160" t="s">
        <v>23</v>
      </c>
      <c r="L10534" s="154" t="str">
        <f>IF(OpenLCAbasic!K10534="CTUh", "Fill in Manually",IF(OR(K10534="Unit", K10534=""), "", INDEX(LookUps!$E$5:$E$12, MATCH(OpenLCAbasic!K10534,LookUps!$D$5:$D$12,0))))</f>
        <v>Global Warming Potential (GWP) - kg CO2 eq</v>
      </c>
      <c r="M10534" s="154" t="str">
        <f t="shared" si="894"/>
        <v>Low_High_High_Upgraded_Global Warming Potential (GWP) - kg CO2 eq_Biosolids composting; aerated static pile; wastewater treatment unit; at updated plant - US_Base_With Amendment_Aerated Static Pile</v>
      </c>
    </row>
    <row r="10535" spans="1:13" s="120" customFormat="1" x14ac:dyDescent="0.25">
      <c r="A10535" s="119"/>
      <c r="B10535" s="138" t="str">
        <f t="shared" si="895"/>
        <v>Aerated Static Pile</v>
      </c>
      <c r="C10535" s="138" t="str">
        <f t="shared" si="896"/>
        <v>Base_With Amendment</v>
      </c>
      <c r="D10535" s="138" t="str">
        <f t="shared" si="892"/>
        <v>High_High</v>
      </c>
      <c r="E10535" s="138" t="str">
        <f t="shared" si="893"/>
        <v>Low</v>
      </c>
      <c r="F10535" s="138" t="str">
        <f t="shared" si="897"/>
        <v>Upgraded</v>
      </c>
      <c r="G10535" s="153"/>
      <c r="H10535" s="210">
        <v>0.2447</v>
      </c>
      <c r="I10535" s="160" t="s">
        <v>55</v>
      </c>
      <c r="J10535" s="160">
        <v>0.16822000000000001</v>
      </c>
      <c r="K10535" s="160" t="s">
        <v>23</v>
      </c>
      <c r="L10535" s="154" t="str">
        <f>IF(OpenLCAbasic!K10535="CTUh", "Fill in Manually",IF(OR(K10535="Unit", K10535=""), "", INDEX(LookUps!$E$5:$E$12, MATCH(OpenLCAbasic!K10535,LookUps!$D$5:$D$12,0))))</f>
        <v>Global Warming Potential (GWP) - kg CO2 eq</v>
      </c>
      <c r="M10535" s="154" t="str">
        <f t="shared" si="894"/>
        <v>Low_High_High_Upgraded_Global Warming Potential (GWP) - kg CO2 eq_Aeration Tanks; wastewater treatment unit; at updated plant - US_Base_With Amendment_Aerated Static Pile</v>
      </c>
    </row>
    <row r="10536" spans="1:13" s="120" customFormat="1" x14ac:dyDescent="0.25">
      <c r="A10536" s="119"/>
      <c r="B10536" s="138" t="str">
        <f t="shared" si="895"/>
        <v>Aerated Static Pile</v>
      </c>
      <c r="C10536" s="138" t="str">
        <f t="shared" si="896"/>
        <v>Base_With Amendment</v>
      </c>
      <c r="D10536" s="138" t="str">
        <f t="shared" si="892"/>
        <v>High_High</v>
      </c>
      <c r="E10536" s="138" t="str">
        <f t="shared" si="893"/>
        <v>Low</v>
      </c>
      <c r="F10536" s="138" t="str">
        <f t="shared" si="897"/>
        <v>Upgraded</v>
      </c>
      <c r="G10536" s="153"/>
      <c r="H10536" s="210">
        <v>0.21360000000000001</v>
      </c>
      <c r="I10536" s="160" t="s">
        <v>167</v>
      </c>
      <c r="J10536" s="160">
        <v>0.14685000000000001</v>
      </c>
      <c r="K10536" s="160" t="s">
        <v>23</v>
      </c>
      <c r="L10536" s="154" t="str">
        <f>IF(OpenLCAbasic!K10536="CTUh", "Fill in Manually",IF(OR(K10536="Unit", K10536=""), "", INDEX(LookUps!$E$5:$E$12, MATCH(OpenLCAbasic!K10536,LookUps!$D$5:$D$12,0))))</f>
        <v>Global Warming Potential (GWP) - kg CO2 eq</v>
      </c>
      <c r="M10536" s="154" t="str">
        <f t="shared" si="894"/>
        <v>Low_High_High_Upgraded_Global Warming Potential (GWP) - kg CO2 eq_Waste Receiving and Holding; wastewater treatment unit; at updated plant - US_Base_With Amendment_Aerated Static Pile</v>
      </c>
    </row>
    <row r="10537" spans="1:13" s="120" customFormat="1" x14ac:dyDescent="0.25">
      <c r="A10537" s="119"/>
      <c r="B10537" s="138" t="str">
        <f t="shared" si="895"/>
        <v>Aerated Static Pile</v>
      </c>
      <c r="C10537" s="138" t="str">
        <f t="shared" si="896"/>
        <v>Base_With Amendment</v>
      </c>
      <c r="D10537" s="138" t="str">
        <f t="shared" si="892"/>
        <v>High_High</v>
      </c>
      <c r="E10537" s="138" t="str">
        <f t="shared" si="893"/>
        <v>Low</v>
      </c>
      <c r="F10537" s="138" t="str">
        <f t="shared" si="897"/>
        <v>Upgraded</v>
      </c>
      <c r="G10537" s="153"/>
      <c r="H10537" s="210">
        <v>8.3000000000000004E-2</v>
      </c>
      <c r="I10537" s="160" t="s">
        <v>54</v>
      </c>
      <c r="J10537" s="160">
        <v>5.7079999999999999E-2</v>
      </c>
      <c r="K10537" s="160" t="s">
        <v>23</v>
      </c>
      <c r="L10537" s="154" t="str">
        <f>IF(OpenLCAbasic!K10537="CTUh", "Fill in Manually",IF(OR(K10537="Unit", K10537=""), "", INDEX(LookUps!$E$5:$E$12, MATCH(OpenLCAbasic!K10537,LookUps!$D$5:$D$12,0))))</f>
        <v>Global Warming Potential (GWP) - kg CO2 eq</v>
      </c>
      <c r="M10537" s="154" t="str">
        <f t="shared" si="894"/>
        <v>Low_High_High_Upgraded_Global Warming Potential (GWP) - kg CO2 eq_Clear Cove Primary Clarification; wastewater treatment unit; at updated plant - US_Base_With Amendment_Aerated Static Pile</v>
      </c>
    </row>
    <row r="10538" spans="1:13" s="120" customFormat="1" x14ac:dyDescent="0.25">
      <c r="A10538" s="119"/>
      <c r="B10538" s="138" t="str">
        <f t="shared" si="895"/>
        <v>Aerated Static Pile</v>
      </c>
      <c r="C10538" s="138" t="str">
        <f t="shared" si="896"/>
        <v>Base_With Amendment</v>
      </c>
      <c r="D10538" s="138" t="str">
        <f t="shared" si="892"/>
        <v>High_High</v>
      </c>
      <c r="E10538" s="138" t="str">
        <f t="shared" si="893"/>
        <v>Low</v>
      </c>
      <c r="F10538" s="138" t="str">
        <f t="shared" si="897"/>
        <v>Upgraded</v>
      </c>
      <c r="G10538" s="153"/>
      <c r="H10538" s="210">
        <v>7.6600000000000001E-2</v>
      </c>
      <c r="I10538" s="160" t="s">
        <v>48</v>
      </c>
      <c r="J10538" s="160">
        <v>5.2639999999999999E-2</v>
      </c>
      <c r="K10538" s="160" t="s">
        <v>23</v>
      </c>
      <c r="L10538" s="154" t="str">
        <f>IF(OpenLCAbasic!K10538="CTUh", "Fill in Manually",IF(OR(K10538="Unit", K10538=""), "", INDEX(LookUps!$E$5:$E$12, MATCH(OpenLCAbasic!K10538,LookUps!$D$5:$D$12,0))))</f>
        <v>Global Warming Potential (GWP) - kg CO2 eq</v>
      </c>
      <c r="M10538" s="154" t="str">
        <f t="shared" si="894"/>
        <v>Low_High_High_Upgraded_Global Warming Potential (GWP) - kg CO2 eq_Effluent release; wastewater treatment unit; at surface water; m3 wastewater - US_Base_With Amendment_Aerated Static Pile</v>
      </c>
    </row>
    <row r="10539" spans="1:13" s="120" customFormat="1" x14ac:dyDescent="0.25">
      <c r="A10539" s="119"/>
      <c r="B10539" s="138" t="str">
        <f t="shared" si="895"/>
        <v>Aerated Static Pile</v>
      </c>
      <c r="C10539" s="138" t="str">
        <f t="shared" si="896"/>
        <v>Base_With Amendment</v>
      </c>
      <c r="D10539" s="138" t="str">
        <f t="shared" si="892"/>
        <v>High_High</v>
      </c>
      <c r="E10539" s="138" t="str">
        <f t="shared" si="893"/>
        <v>Low</v>
      </c>
      <c r="F10539" s="138" t="str">
        <f t="shared" si="897"/>
        <v>Upgraded</v>
      </c>
      <c r="G10539" s="153"/>
      <c r="H10539" s="210">
        <v>7.3499999999999996E-2</v>
      </c>
      <c r="I10539" s="160" t="s">
        <v>147</v>
      </c>
      <c r="J10539" s="160">
        <v>5.0500000000000003E-2</v>
      </c>
      <c r="K10539" s="160" t="s">
        <v>23</v>
      </c>
      <c r="L10539" s="154" t="str">
        <f>IF(OpenLCAbasic!K10539="CTUh", "Fill in Manually",IF(OR(K10539="Unit", K10539=""), "", INDEX(LookUps!$E$5:$E$12, MATCH(OpenLCAbasic!K10539,LookUps!$D$5:$D$12,0))))</f>
        <v>Global Warming Potential (GWP) - kg CO2 eq</v>
      </c>
      <c r="M10539" s="154" t="str">
        <f t="shared" si="894"/>
        <v>Low_High_High_Upgraded_Global Warming Potential (GWP) - kg CO2 eq_Influent Pump Station; wastewater treatment unit; at updated plant - US_Base_With Amendment_Aerated Static Pile</v>
      </c>
    </row>
    <row r="10540" spans="1:13" s="120" customFormat="1" x14ac:dyDescent="0.25">
      <c r="A10540" s="119"/>
      <c r="B10540" s="138" t="str">
        <f t="shared" si="895"/>
        <v>Aerated Static Pile</v>
      </c>
      <c r="C10540" s="138" t="str">
        <f t="shared" si="896"/>
        <v>Base_With Amendment</v>
      </c>
      <c r="D10540" s="138" t="str">
        <f t="shared" si="892"/>
        <v>High_High</v>
      </c>
      <c r="E10540" s="138" t="str">
        <f t="shared" si="893"/>
        <v>Low</v>
      </c>
      <c r="F10540" s="138" t="str">
        <f t="shared" si="897"/>
        <v>Upgraded</v>
      </c>
      <c r="G10540" s="153"/>
      <c r="H10540" s="210">
        <v>4.8399999999999999E-2</v>
      </c>
      <c r="I10540" s="160" t="s">
        <v>53</v>
      </c>
      <c r="J10540" s="160">
        <v>3.3259999999999998E-2</v>
      </c>
      <c r="K10540" s="160" t="s">
        <v>23</v>
      </c>
      <c r="L10540" s="154" t="str">
        <f>IF(OpenLCAbasic!K10540="CTUh", "Fill in Manually",IF(OR(K10540="Unit", K10540=""), "", INDEX(LookUps!$E$5:$E$12, MATCH(OpenLCAbasic!K10540,LookUps!$D$5:$D$12,0))))</f>
        <v>Global Warming Potential (GWP) - kg CO2 eq</v>
      </c>
      <c r="M10540" s="154" t="str">
        <f t="shared" si="894"/>
        <v>Low_High_High_Upgraded_Global Warming Potential (GWP) - kg CO2 eq_Wet Well and Sump Station; wastewater treatment unit; at updated plant - US_Base_With Amendment_Aerated Static Pile</v>
      </c>
    </row>
    <row r="10541" spans="1:13" s="120" customFormat="1" x14ac:dyDescent="0.25">
      <c r="A10541" s="119"/>
      <c r="B10541" s="138" t="str">
        <f t="shared" si="895"/>
        <v>Aerated Static Pile</v>
      </c>
      <c r="C10541" s="138" t="str">
        <f t="shared" si="896"/>
        <v>Base_With Amendment</v>
      </c>
      <c r="D10541" s="138" t="str">
        <f t="shared" si="892"/>
        <v>High_High</v>
      </c>
      <c r="E10541" s="138" t="str">
        <f t="shared" si="893"/>
        <v>Low</v>
      </c>
      <c r="F10541" s="138" t="str">
        <f t="shared" si="897"/>
        <v>Upgraded</v>
      </c>
      <c r="G10541" s="153"/>
      <c r="H10541" s="210">
        <v>3.3300000000000003E-2</v>
      </c>
      <c r="I10541" s="160" t="s">
        <v>60</v>
      </c>
      <c r="J10541" s="160">
        <v>2.2880000000000001E-2</v>
      </c>
      <c r="K10541" s="160" t="s">
        <v>23</v>
      </c>
      <c r="L10541" s="154" t="str">
        <f>IF(OpenLCAbasic!K10541="CTUh", "Fill in Manually",IF(OR(K10541="Unit", K10541=""), "", INDEX(LookUps!$E$5:$E$12, MATCH(OpenLCAbasic!K10541,LookUps!$D$5:$D$12,0))))</f>
        <v>Global Warming Potential (GWP) - kg CO2 eq</v>
      </c>
      <c r="M10541" s="154" t="str">
        <f t="shared" si="894"/>
        <v>Low_High_High_Upgraded_Global Warming Potential (GWP) - kg CO2 eq_Belt filter press; wastewater treatment unit; at updated plant - US_Base_With Amendment_Aerated Static Pile</v>
      </c>
    </row>
    <row r="10542" spans="1:13" s="120" customFormat="1" x14ac:dyDescent="0.25">
      <c r="A10542" s="119"/>
      <c r="B10542" s="138" t="str">
        <f t="shared" si="895"/>
        <v>Aerated Static Pile</v>
      </c>
      <c r="C10542" s="138" t="str">
        <f t="shared" si="896"/>
        <v>Base_With Amendment</v>
      </c>
      <c r="D10542" s="138" t="str">
        <f t="shared" si="892"/>
        <v>High_High</v>
      </c>
      <c r="E10542" s="138" t="str">
        <f t="shared" si="893"/>
        <v>Low</v>
      </c>
      <c r="F10542" s="138" t="str">
        <f t="shared" si="897"/>
        <v>Upgraded</v>
      </c>
      <c r="G10542" s="153"/>
      <c r="H10542" s="210">
        <v>2.12E-2</v>
      </c>
      <c r="I10542" s="160" t="s">
        <v>57</v>
      </c>
      <c r="J10542" s="160">
        <v>1.455E-2</v>
      </c>
      <c r="K10542" s="160" t="s">
        <v>23</v>
      </c>
      <c r="L10542" s="154" t="str">
        <f>IF(OpenLCAbasic!K10542="CTUh", "Fill in Manually",IF(OR(K10542="Unit", K10542=""), "", INDEX(LookUps!$E$5:$E$12, MATCH(OpenLCAbasic!K10542,LookUps!$D$5:$D$12,0))))</f>
        <v>Global Warming Potential (GWP) - kg CO2 eq</v>
      </c>
      <c r="M10542" s="154" t="str">
        <f t="shared" si="894"/>
        <v>Low_High_High_Upgraded_Global Warming Potential (GWP) - kg CO2 eq_Gravity Belt Thickener; wastewater treatment unit; at updated plant - US_Base_With Amendment_Aerated Static Pile</v>
      </c>
    </row>
    <row r="10543" spans="1:13" s="120" customFormat="1" x14ac:dyDescent="0.25">
      <c r="A10543" s="119"/>
      <c r="B10543" s="138" t="str">
        <f t="shared" si="895"/>
        <v>Aerated Static Pile</v>
      </c>
      <c r="C10543" s="138" t="str">
        <f t="shared" si="896"/>
        <v>Base_With Amendment</v>
      </c>
      <c r="D10543" s="138" t="str">
        <f t="shared" si="892"/>
        <v>High_High</v>
      </c>
      <c r="E10543" s="138" t="str">
        <f t="shared" si="893"/>
        <v>Low</v>
      </c>
      <c r="F10543" s="138" t="str">
        <f t="shared" si="897"/>
        <v>Upgraded</v>
      </c>
      <c r="G10543" s="153"/>
      <c r="H10543" s="210">
        <v>1.9599999999999999E-2</v>
      </c>
      <c r="I10543" s="160" t="s">
        <v>128</v>
      </c>
      <c r="J10543" s="160">
        <v>1.3509999999999999E-2</v>
      </c>
      <c r="K10543" s="160" t="s">
        <v>23</v>
      </c>
      <c r="L10543" s="154" t="str">
        <f>IF(OpenLCAbasic!K10543="CTUh", "Fill in Manually",IF(OR(K10543="Unit", K10543=""), "", INDEX(LookUps!$E$5:$E$12, MATCH(OpenLCAbasic!K10543,LookUps!$D$5:$D$12,0))))</f>
        <v>Global Warming Potential (GWP) - kg CO2 eq</v>
      </c>
      <c r="M10543" s="154" t="str">
        <f t="shared" si="894"/>
        <v>Low_High_High_Upgraded_Global Warming Potential (GWP) - kg CO2 eq_Wastewater collection; operation and infrastructure; m3 wastewater_Base_With Amendment_Aerated Static Pile</v>
      </c>
    </row>
    <row r="10544" spans="1:13" s="120" customFormat="1" x14ac:dyDescent="0.25">
      <c r="A10544" s="119"/>
      <c r="B10544" s="138" t="str">
        <f t="shared" si="895"/>
        <v>Aerated Static Pile</v>
      </c>
      <c r="C10544" s="138" t="str">
        <f t="shared" si="896"/>
        <v>Base_With Amendment</v>
      </c>
      <c r="D10544" s="138" t="str">
        <f t="shared" si="892"/>
        <v>High_High</v>
      </c>
      <c r="E10544" s="138" t="str">
        <f t="shared" si="893"/>
        <v>Low</v>
      </c>
      <c r="F10544" s="138" t="str">
        <f t="shared" si="897"/>
        <v>Upgraded</v>
      </c>
      <c r="G10544" s="153"/>
      <c r="H10544" s="210">
        <v>1.21E-2</v>
      </c>
      <c r="I10544" s="160" t="s">
        <v>148</v>
      </c>
      <c r="J10544" s="160">
        <v>8.3000000000000001E-3</v>
      </c>
      <c r="K10544" s="160" t="s">
        <v>23</v>
      </c>
      <c r="L10544" s="154" t="str">
        <f>IF(OpenLCAbasic!K10544="CTUh", "Fill in Manually",IF(OR(K10544="Unit", K10544=""), "", INDEX(LookUps!$E$5:$E$12, MATCH(OpenLCAbasic!K10544,LookUps!$D$5:$D$12,0))))</f>
        <v>Global Warming Potential (GWP) - kg CO2 eq</v>
      </c>
      <c r="M10544" s="154" t="str">
        <f t="shared" si="894"/>
        <v>Low_High_High_Upgraded_Global Warming Potential (GWP) - kg CO2 eq_Control Building; at upgraded wastewater treatment plant - US_Base_With Amendment_Aerated Static Pile</v>
      </c>
    </row>
    <row r="10545" spans="1:13" s="120" customFormat="1" x14ac:dyDescent="0.25">
      <c r="A10545" s="119"/>
      <c r="B10545" s="138" t="str">
        <f t="shared" si="895"/>
        <v>Aerated Static Pile</v>
      </c>
      <c r="C10545" s="138" t="str">
        <f t="shared" si="896"/>
        <v>Base_With Amendment</v>
      </c>
      <c r="D10545" s="138" t="str">
        <f t="shared" si="892"/>
        <v>High_High</v>
      </c>
      <c r="E10545" s="138" t="str">
        <f t="shared" si="893"/>
        <v>Low</v>
      </c>
      <c r="F10545" s="138" t="str">
        <f t="shared" si="897"/>
        <v>Upgraded</v>
      </c>
      <c r="G10545" s="153"/>
      <c r="H10545" s="210">
        <v>7.3000000000000001E-3</v>
      </c>
      <c r="I10545" s="160" t="s">
        <v>59</v>
      </c>
      <c r="J10545" s="160">
        <v>5.0400000000000002E-3</v>
      </c>
      <c r="K10545" s="160" t="s">
        <v>23</v>
      </c>
      <c r="L10545" s="154" t="str">
        <f>IF(OpenLCAbasic!K10545="CTUh", "Fill in Manually",IF(OR(K10545="Unit", K10545=""), "", INDEX(LookUps!$E$5:$E$12, MATCH(OpenLCAbasic!K10545,LookUps!$D$5:$D$12,0))))</f>
        <v>Global Warming Potential (GWP) - kg CO2 eq</v>
      </c>
      <c r="M10545" s="154" t="str">
        <f t="shared" si="894"/>
        <v>Low_High_High_Upgraded_Global Warming Potential (GWP) - kg CO2 eq_Blend Tank; wastewater treatment unit; at updated plant - US_Base_With Amendment_Aerated Static Pile</v>
      </c>
    </row>
    <row r="10546" spans="1:13" s="120" customFormat="1" x14ac:dyDescent="0.25">
      <c r="A10546" s="119"/>
      <c r="B10546" s="138" t="str">
        <f t="shared" si="895"/>
        <v>Aerated Static Pile</v>
      </c>
      <c r="C10546" s="138" t="str">
        <f t="shared" si="896"/>
        <v>Base_With Amendment</v>
      </c>
      <c r="D10546" s="138" t="str">
        <f t="shared" ref="D10546:D10599" si="898">IF(ISNUMBER($J10546),"High_High","")</f>
        <v>High_High</v>
      </c>
      <c r="E10546" s="138" t="str">
        <f t="shared" si="893"/>
        <v>Low</v>
      </c>
      <c r="F10546" s="138" t="str">
        <f t="shared" si="897"/>
        <v>Upgraded</v>
      </c>
      <c r="G10546" s="153"/>
      <c r="H10546" s="210">
        <v>3.5000000000000001E-3</v>
      </c>
      <c r="I10546" s="160" t="s">
        <v>168</v>
      </c>
      <c r="J10546" s="160">
        <v>2.4099999999999998E-3</v>
      </c>
      <c r="K10546" s="160" t="s">
        <v>23</v>
      </c>
      <c r="L10546" s="154" t="str">
        <f>IF(OpenLCAbasic!K10546="CTUh", "Fill in Manually",IF(OR(K10546="Unit", K10546=""), "", INDEX(LookUps!$E$5:$E$12, MATCH(OpenLCAbasic!K10546,LookUps!$D$5:$D$12,0))))</f>
        <v>Global Warming Potential (GWP) - kg CO2 eq</v>
      </c>
      <c r="M10546" s="154" t="str">
        <f t="shared" si="894"/>
        <v>Low_High_High_Upgraded_Global Warming Potential (GWP) - kg CO2 eq_ClearCove SCP; wastewater treatment unit; at updated plant - US_Base_With Amendment_Aerated Static Pile</v>
      </c>
    </row>
    <row r="10547" spans="1:13" s="120" customFormat="1" x14ac:dyDescent="0.25">
      <c r="A10547" s="119"/>
      <c r="B10547" s="138" t="str">
        <f t="shared" si="895"/>
        <v>Aerated Static Pile</v>
      </c>
      <c r="C10547" s="138" t="str">
        <f t="shared" si="896"/>
        <v>Base_With Amendment</v>
      </c>
      <c r="D10547" s="138" t="str">
        <f t="shared" si="898"/>
        <v>High_High</v>
      </c>
      <c r="E10547" s="138" t="str">
        <f t="shared" si="893"/>
        <v>Low</v>
      </c>
      <c r="F10547" s="138" t="str">
        <f t="shared" si="897"/>
        <v>Upgraded</v>
      </c>
      <c r="G10547" s="153"/>
      <c r="H10547" s="210">
        <v>-1.2109000000000001</v>
      </c>
      <c r="I10547" s="160" t="s">
        <v>62</v>
      </c>
      <c r="J10547" s="160">
        <v>-0.83233999999999997</v>
      </c>
      <c r="K10547" s="160" t="s">
        <v>23</v>
      </c>
      <c r="L10547" s="154" t="str">
        <f>IF(OpenLCAbasic!K10547="CTUh", "Fill in Manually",IF(OR(K10547="Unit", K10547=""), "", INDEX(LookUps!$E$5:$E$12, MATCH(OpenLCAbasic!K10547,LookUps!$D$5:$D$12,0))))</f>
        <v>Global Warming Potential (GWP) - kg CO2 eq</v>
      </c>
      <c r="M10547" s="154" t="str">
        <f t="shared" si="894"/>
        <v>Low_High_High_Upgraded_Global Warming Potential (GWP) - kg CO2 eq_Land application of compost; wastewater treatment unit; at updated plant - US_Base_With Amendment_Aerated Static Pile</v>
      </c>
    </row>
    <row r="10548" spans="1:13" s="120" customFormat="1" x14ac:dyDescent="0.25">
      <c r="A10548" s="119"/>
      <c r="B10548" s="138" t="str">
        <f t="shared" si="895"/>
        <v>Aerated Static Pile</v>
      </c>
      <c r="C10548" s="138" t="str">
        <f t="shared" si="896"/>
        <v>Base_With Amendment</v>
      </c>
      <c r="D10548" s="138" t="str">
        <f t="shared" si="898"/>
        <v>High_High</v>
      </c>
      <c r="E10548" s="138" t="str">
        <f t="shared" si="893"/>
        <v>Low</v>
      </c>
      <c r="F10548" s="138" t="str">
        <f t="shared" si="897"/>
        <v>Upgraded</v>
      </c>
      <c r="G10548" s="153"/>
      <c r="H10548" s="210">
        <v>-1.2946</v>
      </c>
      <c r="I10548" s="160" t="s">
        <v>149</v>
      </c>
      <c r="J10548" s="160">
        <v>-0.88992000000000004</v>
      </c>
      <c r="K10548" s="160" t="s">
        <v>23</v>
      </c>
      <c r="L10548" s="154" t="str">
        <f>IF(OpenLCAbasic!K10548="CTUh", "Fill in Manually",IF(OR(K10548="Unit", K10548=""), "", INDEX(LookUps!$E$5:$E$12, MATCH(OpenLCAbasic!K10548,LookUps!$D$5:$D$12,0))))</f>
        <v>Global Warming Potential (GWP) - kg CO2 eq</v>
      </c>
      <c r="M10548" s="154" t="str">
        <f t="shared" si="894"/>
        <v>Low_High_High_Upgraded_Global Warming Potential (GWP) - kg CO2 eq_Anaerobic Digestion; wastewater treatment unit; at updated plant - US_Base_With Amendment_Aerated Static Pile</v>
      </c>
    </row>
    <row r="10549" spans="1:13" s="120" customFormat="1" x14ac:dyDescent="0.25">
      <c r="A10549" s="119"/>
      <c r="B10549" s="138" t="str">
        <f t="shared" si="895"/>
        <v/>
      </c>
      <c r="C10549" s="138" t="str">
        <f t="shared" si="896"/>
        <v/>
      </c>
      <c r="D10549" s="138" t="str">
        <f t="shared" si="898"/>
        <v/>
      </c>
      <c r="E10549" s="138" t="str">
        <f t="shared" si="893"/>
        <v/>
      </c>
      <c r="F10549" s="138" t="str">
        <f t="shared" si="897"/>
        <v/>
      </c>
      <c r="G10549" s="153" t="s">
        <v>51</v>
      </c>
      <c r="H10549" s="160"/>
      <c r="I10549" s="160" t="s">
        <v>47</v>
      </c>
      <c r="J10549" s="160" t="s">
        <v>52</v>
      </c>
      <c r="K10549" s="160" t="s">
        <v>27</v>
      </c>
      <c r="L10549" s="154" t="str">
        <f>IF(OpenLCAbasic!K10549="CTUh", "Fill in Manually",IF(OR(K10549="Unit", K10549=""), "", INDEX(LookUps!$E$5:$E$12, MATCH(OpenLCAbasic!K10549,LookUps!$D$5:$D$12,0))))</f>
        <v/>
      </c>
      <c r="M10549" s="154" t="str">
        <f t="shared" si="894"/>
        <v>____Process__</v>
      </c>
    </row>
    <row r="10550" spans="1:13" s="120" customFormat="1" x14ac:dyDescent="0.25">
      <c r="A10550" s="119"/>
      <c r="B10550" s="138" t="str">
        <f t="shared" si="895"/>
        <v>Aerated Static Pile</v>
      </c>
      <c r="C10550" s="138" t="str">
        <f t="shared" si="896"/>
        <v>Base_With Amendment</v>
      </c>
      <c r="D10550" s="138" t="str">
        <f t="shared" si="898"/>
        <v>High_High</v>
      </c>
      <c r="E10550" s="138" t="str">
        <f t="shared" si="893"/>
        <v>Low</v>
      </c>
      <c r="F10550" s="138" t="str">
        <f t="shared" si="897"/>
        <v>Upgraded</v>
      </c>
      <c r="G10550" s="153"/>
      <c r="H10550" s="210">
        <v>0.37519999999999998</v>
      </c>
      <c r="I10550" s="160" t="s">
        <v>55</v>
      </c>
      <c r="J10550" s="160">
        <v>2.33E-3</v>
      </c>
      <c r="K10550" s="160" t="s">
        <v>145</v>
      </c>
      <c r="L10550" s="154" t="str">
        <f>IF(OpenLCAbasic!K10550="CTUh", "Fill in Manually",IF(OR(K10550="Unit", K10550=""), "", INDEX(LookUps!$E$5:$E$12, MATCH(OpenLCAbasic!K10550,LookUps!$D$5:$D$12,0))))</f>
        <v>Particulate Matter Formation Potential (PMFP) - kg PM2.5 eq</v>
      </c>
      <c r="M10550" s="154" t="str">
        <f t="shared" si="894"/>
        <v>Low_High_High_Upgraded_Particulate Matter Formation Potential (PMFP) - kg PM2.5 eq_Aeration Tanks; wastewater treatment unit; at updated plant - US_Base_With Amendment_Aerated Static Pile</v>
      </c>
    </row>
    <row r="10551" spans="1:13" s="120" customFormat="1" x14ac:dyDescent="0.25">
      <c r="A10551" s="119"/>
      <c r="B10551" s="138" t="str">
        <f t="shared" si="895"/>
        <v>Aerated Static Pile</v>
      </c>
      <c r="C10551" s="138" t="str">
        <f t="shared" si="896"/>
        <v>Base_With Amendment</v>
      </c>
      <c r="D10551" s="138" t="str">
        <f t="shared" si="898"/>
        <v>High_High</v>
      </c>
      <c r="E10551" s="138" t="str">
        <f t="shared" si="893"/>
        <v>Low</v>
      </c>
      <c r="F10551" s="138" t="str">
        <f t="shared" si="897"/>
        <v>Upgraded</v>
      </c>
      <c r="G10551" s="153"/>
      <c r="H10551" s="210">
        <v>0.24010000000000001</v>
      </c>
      <c r="I10551" s="160" t="s">
        <v>435</v>
      </c>
      <c r="J10551" s="160">
        <v>1.49E-3</v>
      </c>
      <c r="K10551" s="160" t="s">
        <v>145</v>
      </c>
      <c r="L10551" s="154" t="str">
        <f>IF(OpenLCAbasic!K10551="CTUh", "Fill in Manually",IF(OR(K10551="Unit", K10551=""), "", INDEX(LookUps!$E$5:$E$12, MATCH(OpenLCAbasic!K10551,LookUps!$D$5:$D$12,0))))</f>
        <v>Particulate Matter Formation Potential (PMFP) - kg PM2.5 eq</v>
      </c>
      <c r="M10551" s="154" t="str">
        <f t="shared" si="894"/>
        <v>Low_High_High_Upgraded_Particulate Matter Formation Potential (PMFP) - kg PM2.5 eq_Biosolids composting; aerated static pile; wastewater treatment unit; at updated plant - US_Base_With Amendment_Aerated Static Pile</v>
      </c>
    </row>
    <row r="10552" spans="1:13" s="120" customFormat="1" x14ac:dyDescent="0.25">
      <c r="A10552" s="119"/>
      <c r="B10552" s="138" t="str">
        <f t="shared" si="895"/>
        <v>Aerated Static Pile</v>
      </c>
      <c r="C10552" s="138" t="str">
        <f t="shared" si="896"/>
        <v>Base_With Amendment</v>
      </c>
      <c r="D10552" s="138" t="str">
        <f t="shared" si="898"/>
        <v>High_High</v>
      </c>
      <c r="E10552" s="138" t="str">
        <f t="shared" si="893"/>
        <v>Low</v>
      </c>
      <c r="F10552" s="138" t="str">
        <f t="shared" si="897"/>
        <v>Upgraded</v>
      </c>
      <c r="G10552" s="153"/>
      <c r="H10552" s="210">
        <v>0.10920000000000001</v>
      </c>
      <c r="I10552" s="160" t="s">
        <v>54</v>
      </c>
      <c r="J10552" s="160">
        <v>6.8000000000000005E-4</v>
      </c>
      <c r="K10552" s="160" t="s">
        <v>145</v>
      </c>
      <c r="L10552" s="154" t="str">
        <f>IF(OpenLCAbasic!K10552="CTUh", "Fill in Manually",IF(OR(K10552="Unit", K10552=""), "", INDEX(LookUps!$E$5:$E$12, MATCH(OpenLCAbasic!K10552,LookUps!$D$5:$D$12,0))))</f>
        <v>Particulate Matter Formation Potential (PMFP) - kg PM2.5 eq</v>
      </c>
      <c r="M10552" s="154" t="str">
        <f t="shared" si="894"/>
        <v>Low_High_High_Upgraded_Particulate Matter Formation Potential (PMFP) - kg PM2.5 eq_Clear Cove Primary Clarification; wastewater treatment unit; at updated plant - US_Base_With Amendment_Aerated Static Pile</v>
      </c>
    </row>
    <row r="10553" spans="1:13" s="120" customFormat="1" x14ac:dyDescent="0.25">
      <c r="A10553" s="119"/>
      <c r="B10553" s="138" t="str">
        <f t="shared" si="895"/>
        <v>Aerated Static Pile</v>
      </c>
      <c r="C10553" s="138" t="str">
        <f t="shared" si="896"/>
        <v>Base_With Amendment</v>
      </c>
      <c r="D10553" s="138" t="str">
        <f t="shared" si="898"/>
        <v>High_High</v>
      </c>
      <c r="E10553" s="138" t="str">
        <f t="shared" si="893"/>
        <v>Low</v>
      </c>
      <c r="F10553" s="138" t="str">
        <f t="shared" si="897"/>
        <v>Upgraded</v>
      </c>
      <c r="G10553" s="153"/>
      <c r="H10553" s="210">
        <v>9.5000000000000001E-2</v>
      </c>
      <c r="I10553" s="160" t="s">
        <v>58</v>
      </c>
      <c r="J10553" s="160">
        <v>5.9000000000000003E-4</v>
      </c>
      <c r="K10553" s="160" t="s">
        <v>145</v>
      </c>
      <c r="L10553" s="154" t="str">
        <f>IF(OpenLCAbasic!K10553="CTUh", "Fill in Manually",IF(OR(K10553="Unit", K10553=""), "", INDEX(LookUps!$E$5:$E$12, MATCH(OpenLCAbasic!K10553,LookUps!$D$5:$D$12,0))))</f>
        <v>Particulate Matter Formation Potential (PMFP) - kg PM2.5 eq</v>
      </c>
      <c r="M10553" s="154" t="str">
        <f t="shared" si="894"/>
        <v>Low_High_High_Upgraded_Particulate Matter Formation Potential (PMFP) - kg PM2.5 eq_Pre-Anoxic &amp; Swing tank; wastewater treatment unit; at updated plant - US_Base_With Amendment_Aerated Static Pile</v>
      </c>
    </row>
    <row r="10554" spans="1:13" s="120" customFormat="1" x14ac:dyDescent="0.25">
      <c r="A10554" s="119"/>
      <c r="B10554" s="138" t="str">
        <f t="shared" si="895"/>
        <v>Aerated Static Pile</v>
      </c>
      <c r="C10554" s="138" t="str">
        <f t="shared" si="896"/>
        <v>Base_With Amendment</v>
      </c>
      <c r="D10554" s="138" t="str">
        <f t="shared" si="898"/>
        <v>High_High</v>
      </c>
      <c r="E10554" s="138" t="str">
        <f t="shared" ref="E10554:E10599" si="899">IF(ISNUMBER($J10554),"Low","")</f>
        <v>Low</v>
      </c>
      <c r="F10554" s="138" t="str">
        <f t="shared" si="897"/>
        <v>Upgraded</v>
      </c>
      <c r="G10554" s="153"/>
      <c r="H10554" s="210">
        <v>7.4999999999999997E-2</v>
      </c>
      <c r="I10554" s="160" t="s">
        <v>53</v>
      </c>
      <c r="J10554" s="160">
        <v>4.6999999999999999E-4</v>
      </c>
      <c r="K10554" s="160" t="s">
        <v>145</v>
      </c>
      <c r="L10554" s="154" t="str">
        <f>IF(OpenLCAbasic!K10554="CTUh", "Fill in Manually",IF(OR(K10554="Unit", K10554=""), "", INDEX(LookUps!$E$5:$E$12, MATCH(OpenLCAbasic!K10554,LookUps!$D$5:$D$12,0))))</f>
        <v>Particulate Matter Formation Potential (PMFP) - kg PM2.5 eq</v>
      </c>
      <c r="M10554" s="154" t="str">
        <f t="shared" si="894"/>
        <v>Low_High_High_Upgraded_Particulate Matter Formation Potential (PMFP) - kg PM2.5 eq_Wet Well and Sump Station; wastewater treatment unit; at updated plant - US_Base_With Amendment_Aerated Static Pile</v>
      </c>
    </row>
    <row r="10555" spans="1:13" s="120" customFormat="1" x14ac:dyDescent="0.25">
      <c r="A10555" s="119"/>
      <c r="B10555" s="138" t="str">
        <f t="shared" si="895"/>
        <v>Aerated Static Pile</v>
      </c>
      <c r="C10555" s="138" t="str">
        <f t="shared" si="896"/>
        <v>Base_With Amendment</v>
      </c>
      <c r="D10555" s="138" t="str">
        <f t="shared" si="898"/>
        <v>High_High</v>
      </c>
      <c r="E10555" s="138" t="str">
        <f t="shared" si="899"/>
        <v>Low</v>
      </c>
      <c r="F10555" s="138" t="str">
        <f t="shared" si="897"/>
        <v>Upgraded</v>
      </c>
      <c r="G10555" s="153"/>
      <c r="H10555" s="210">
        <v>5.33E-2</v>
      </c>
      <c r="I10555" s="160" t="s">
        <v>167</v>
      </c>
      <c r="J10555" s="160">
        <v>3.3E-4</v>
      </c>
      <c r="K10555" s="160" t="s">
        <v>145</v>
      </c>
      <c r="L10555" s="154" t="str">
        <f>IF(OpenLCAbasic!K10555="CTUh", "Fill in Manually",IF(OR(K10555="Unit", K10555=""), "", INDEX(LookUps!$E$5:$E$12, MATCH(OpenLCAbasic!K10555,LookUps!$D$5:$D$12,0))))</f>
        <v>Particulate Matter Formation Potential (PMFP) - kg PM2.5 eq</v>
      </c>
      <c r="M10555" s="154" t="str">
        <f t="shared" si="894"/>
        <v>Low_High_High_Upgraded_Particulate Matter Formation Potential (PMFP) - kg PM2.5 eq_Waste Receiving and Holding; wastewater treatment unit; at updated plant - US_Base_With Amendment_Aerated Static Pile</v>
      </c>
    </row>
    <row r="10556" spans="1:13" s="120" customFormat="1" x14ac:dyDescent="0.25">
      <c r="A10556" s="119"/>
      <c r="B10556" s="138" t="str">
        <f t="shared" si="895"/>
        <v>Aerated Static Pile</v>
      </c>
      <c r="C10556" s="138" t="str">
        <f t="shared" si="896"/>
        <v>Base_With Amendment</v>
      </c>
      <c r="D10556" s="138" t="str">
        <f t="shared" si="898"/>
        <v>High_High</v>
      </c>
      <c r="E10556" s="138" t="str">
        <f t="shared" si="899"/>
        <v>Low</v>
      </c>
      <c r="F10556" s="138" t="str">
        <f t="shared" si="897"/>
        <v>Upgraded</v>
      </c>
      <c r="G10556" s="153"/>
      <c r="H10556" s="210">
        <v>4.2900000000000001E-2</v>
      </c>
      <c r="I10556" s="160" t="s">
        <v>147</v>
      </c>
      <c r="J10556" s="160">
        <v>2.7E-4</v>
      </c>
      <c r="K10556" s="160" t="s">
        <v>145</v>
      </c>
      <c r="L10556" s="154" t="str">
        <f>IF(OpenLCAbasic!K10556="CTUh", "Fill in Manually",IF(OR(K10556="Unit", K10556=""), "", INDEX(LookUps!$E$5:$E$12, MATCH(OpenLCAbasic!K10556,LookUps!$D$5:$D$12,0))))</f>
        <v>Particulate Matter Formation Potential (PMFP) - kg PM2.5 eq</v>
      </c>
      <c r="M10556" s="154" t="str">
        <f t="shared" si="894"/>
        <v>Low_High_High_Upgraded_Particulate Matter Formation Potential (PMFP) - kg PM2.5 eq_Influent Pump Station; wastewater treatment unit; at updated plant - US_Base_With Amendment_Aerated Static Pile</v>
      </c>
    </row>
    <row r="10557" spans="1:13" s="120" customFormat="1" x14ac:dyDescent="0.25">
      <c r="A10557" s="119"/>
      <c r="B10557" s="138" t="str">
        <f t="shared" si="895"/>
        <v>Aerated Static Pile</v>
      </c>
      <c r="C10557" s="138" t="str">
        <f t="shared" si="896"/>
        <v>Base_With Amendment</v>
      </c>
      <c r="D10557" s="138" t="str">
        <f t="shared" si="898"/>
        <v>High_High</v>
      </c>
      <c r="E10557" s="138" t="str">
        <f t="shared" si="899"/>
        <v>Low</v>
      </c>
      <c r="F10557" s="138" t="str">
        <f t="shared" si="897"/>
        <v>Upgraded</v>
      </c>
      <c r="G10557" s="153"/>
      <c r="H10557" s="210">
        <v>3.0099999999999998E-2</v>
      </c>
      <c r="I10557" s="160" t="s">
        <v>60</v>
      </c>
      <c r="J10557" s="160">
        <v>1.9000000000000001E-4</v>
      </c>
      <c r="K10557" s="160" t="s">
        <v>145</v>
      </c>
      <c r="L10557" s="154" t="str">
        <f>IF(OpenLCAbasic!K10557="CTUh", "Fill in Manually",IF(OR(K10557="Unit", K10557=""), "", INDEX(LookUps!$E$5:$E$12, MATCH(OpenLCAbasic!K10557,LookUps!$D$5:$D$12,0))))</f>
        <v>Particulate Matter Formation Potential (PMFP) - kg PM2.5 eq</v>
      </c>
      <c r="M10557" s="154" t="str">
        <f t="shared" si="894"/>
        <v>Low_High_High_Upgraded_Particulate Matter Formation Potential (PMFP) - kg PM2.5 eq_Belt filter press; wastewater treatment unit; at updated plant - US_Base_With Amendment_Aerated Static Pile</v>
      </c>
    </row>
    <row r="10558" spans="1:13" s="120" customFormat="1" x14ac:dyDescent="0.25">
      <c r="A10558" s="119"/>
      <c r="B10558" s="138" t="str">
        <f t="shared" si="895"/>
        <v>Aerated Static Pile</v>
      </c>
      <c r="C10558" s="138" t="str">
        <f t="shared" si="896"/>
        <v>Base_With Amendment</v>
      </c>
      <c r="D10558" s="138" t="str">
        <f t="shared" si="898"/>
        <v>High_High</v>
      </c>
      <c r="E10558" s="138" t="str">
        <f t="shared" si="899"/>
        <v>Low</v>
      </c>
      <c r="F10558" s="138" t="str">
        <f t="shared" si="897"/>
        <v>Upgraded</v>
      </c>
      <c r="G10558" s="153"/>
      <c r="H10558" s="210">
        <v>2.6800000000000001E-2</v>
      </c>
      <c r="I10558" s="160" t="s">
        <v>128</v>
      </c>
      <c r="J10558" s="160">
        <v>1.7000000000000001E-4</v>
      </c>
      <c r="K10558" s="160" t="s">
        <v>145</v>
      </c>
      <c r="L10558" s="154" t="str">
        <f>IF(OpenLCAbasic!K10558="CTUh", "Fill in Manually",IF(OR(K10558="Unit", K10558=""), "", INDEX(LookUps!$E$5:$E$12, MATCH(OpenLCAbasic!K10558,LookUps!$D$5:$D$12,0))))</f>
        <v>Particulate Matter Formation Potential (PMFP) - kg PM2.5 eq</v>
      </c>
      <c r="M10558" s="154" t="str">
        <f t="shared" si="894"/>
        <v>Low_High_High_Upgraded_Particulate Matter Formation Potential (PMFP) - kg PM2.5 eq_Wastewater collection; operation and infrastructure; m3 wastewater_Base_With Amendment_Aerated Static Pile</v>
      </c>
    </row>
    <row r="10559" spans="1:13" s="120" customFormat="1" x14ac:dyDescent="0.25">
      <c r="A10559" s="119"/>
      <c r="B10559" s="138" t="str">
        <f t="shared" si="895"/>
        <v>Aerated Static Pile</v>
      </c>
      <c r="C10559" s="138" t="str">
        <f t="shared" si="896"/>
        <v>Base_With Amendment</v>
      </c>
      <c r="D10559" s="138" t="str">
        <f t="shared" si="898"/>
        <v>High_High</v>
      </c>
      <c r="E10559" s="138" t="str">
        <f t="shared" si="899"/>
        <v>Low</v>
      </c>
      <c r="F10559" s="138" t="str">
        <f t="shared" si="897"/>
        <v>Upgraded</v>
      </c>
      <c r="G10559" s="153"/>
      <c r="H10559" s="210">
        <v>1.5299999999999999E-2</v>
      </c>
      <c r="I10559" s="160" t="s">
        <v>57</v>
      </c>
      <c r="J10559" s="211">
        <v>9.5153800000000004E-5</v>
      </c>
      <c r="K10559" s="160" t="s">
        <v>145</v>
      </c>
      <c r="L10559" s="154" t="str">
        <f>IF(OpenLCAbasic!K10559="CTUh", "Fill in Manually",IF(OR(K10559="Unit", K10559=""), "", INDEX(LookUps!$E$5:$E$12, MATCH(OpenLCAbasic!K10559,LookUps!$D$5:$D$12,0))))</f>
        <v>Particulate Matter Formation Potential (PMFP) - kg PM2.5 eq</v>
      </c>
      <c r="M10559" s="154" t="str">
        <f t="shared" si="894"/>
        <v>Low_High_High_Upgraded_Particulate Matter Formation Potential (PMFP) - kg PM2.5 eq_Gravity Belt Thickener; wastewater treatment unit; at updated plant - US_Base_With Amendment_Aerated Static Pile</v>
      </c>
    </row>
    <row r="10560" spans="1:13" s="120" customFormat="1" x14ac:dyDescent="0.25">
      <c r="A10560" s="119"/>
      <c r="B10560" s="138" t="str">
        <f t="shared" si="895"/>
        <v>Aerated Static Pile</v>
      </c>
      <c r="C10560" s="138" t="str">
        <f t="shared" si="896"/>
        <v>Base_With Amendment</v>
      </c>
      <c r="D10560" s="138" t="str">
        <f t="shared" si="898"/>
        <v>High_High</v>
      </c>
      <c r="E10560" s="138" t="str">
        <f t="shared" si="899"/>
        <v>Low</v>
      </c>
      <c r="F10560" s="138" t="str">
        <f t="shared" si="897"/>
        <v>Upgraded</v>
      </c>
      <c r="G10560" s="153"/>
      <c r="H10560" s="210">
        <v>1.49E-2</v>
      </c>
      <c r="I10560" s="160" t="s">
        <v>62</v>
      </c>
      <c r="J10560" s="211">
        <v>9.2968999999999997E-5</v>
      </c>
      <c r="K10560" s="160" t="s">
        <v>145</v>
      </c>
      <c r="L10560" s="154" t="str">
        <f>IF(OpenLCAbasic!K10560="CTUh", "Fill in Manually",IF(OR(K10560="Unit", K10560=""), "", INDEX(LookUps!$E$5:$E$12, MATCH(OpenLCAbasic!K10560,LookUps!$D$5:$D$12,0))))</f>
        <v>Particulate Matter Formation Potential (PMFP) - kg PM2.5 eq</v>
      </c>
      <c r="M10560" s="154" t="str">
        <f t="shared" si="894"/>
        <v>Low_High_High_Upgraded_Particulate Matter Formation Potential (PMFP) - kg PM2.5 eq_Land application of compost; wastewater treatment unit; at updated plant - US_Base_With Amendment_Aerated Static Pile</v>
      </c>
    </row>
    <row r="10561" spans="1:13" s="120" customFormat="1" x14ac:dyDescent="0.25">
      <c r="A10561" s="119"/>
      <c r="B10561" s="138" t="str">
        <f t="shared" si="895"/>
        <v>Aerated Static Pile</v>
      </c>
      <c r="C10561" s="138" t="str">
        <f t="shared" si="896"/>
        <v>Base_With Amendment</v>
      </c>
      <c r="D10561" s="138" t="str">
        <f t="shared" si="898"/>
        <v>High_High</v>
      </c>
      <c r="E10561" s="138" t="str">
        <f t="shared" si="899"/>
        <v>Low</v>
      </c>
      <c r="F10561" s="138" t="str">
        <f t="shared" si="897"/>
        <v>Upgraded</v>
      </c>
      <c r="G10561" s="153"/>
      <c r="H10561" s="210">
        <v>1.12E-2</v>
      </c>
      <c r="I10561" s="160" t="s">
        <v>59</v>
      </c>
      <c r="J10561" s="211">
        <v>6.9942200000000003E-5</v>
      </c>
      <c r="K10561" s="160" t="s">
        <v>145</v>
      </c>
      <c r="L10561" s="154" t="str">
        <f>IF(OpenLCAbasic!K10561="CTUh", "Fill in Manually",IF(OR(K10561="Unit", K10561=""), "", INDEX(LookUps!$E$5:$E$12, MATCH(OpenLCAbasic!K10561,LookUps!$D$5:$D$12,0))))</f>
        <v>Particulate Matter Formation Potential (PMFP) - kg PM2.5 eq</v>
      </c>
      <c r="M10561" s="154" t="str">
        <f t="shared" si="894"/>
        <v>Low_High_High_Upgraded_Particulate Matter Formation Potential (PMFP) - kg PM2.5 eq_Blend Tank; wastewater treatment unit; at updated plant - US_Base_With Amendment_Aerated Static Pile</v>
      </c>
    </row>
    <row r="10562" spans="1:13" s="120" customFormat="1" x14ac:dyDescent="0.25">
      <c r="A10562" s="119"/>
      <c r="B10562" s="138" t="str">
        <f t="shared" si="895"/>
        <v>Aerated Static Pile</v>
      </c>
      <c r="C10562" s="138" t="str">
        <f t="shared" si="896"/>
        <v>Base_With Amendment</v>
      </c>
      <c r="D10562" s="138" t="str">
        <f t="shared" si="898"/>
        <v>High_High</v>
      </c>
      <c r="E10562" s="138" t="str">
        <f t="shared" si="899"/>
        <v>Low</v>
      </c>
      <c r="F10562" s="138" t="str">
        <f t="shared" si="897"/>
        <v>Upgraded</v>
      </c>
      <c r="G10562" s="153"/>
      <c r="H10562" s="210">
        <v>8.0000000000000002E-3</v>
      </c>
      <c r="I10562" s="160" t="s">
        <v>48</v>
      </c>
      <c r="J10562" s="211">
        <v>4.99741E-5</v>
      </c>
      <c r="K10562" s="160" t="s">
        <v>145</v>
      </c>
      <c r="L10562" s="154" t="str">
        <f>IF(OpenLCAbasic!K10562="CTUh", "Fill in Manually",IF(OR(K10562="Unit", K10562=""), "", INDEX(LookUps!$E$5:$E$12, MATCH(OpenLCAbasic!K10562,LookUps!$D$5:$D$12,0))))</f>
        <v>Particulate Matter Formation Potential (PMFP) - kg PM2.5 eq</v>
      </c>
      <c r="M10562" s="154" t="str">
        <f t="shared" si="894"/>
        <v>Low_High_High_Upgraded_Particulate Matter Formation Potential (PMFP) - kg PM2.5 eq_Effluent release; wastewater treatment unit; at surface water; m3 wastewater - US_Base_With Amendment_Aerated Static Pile</v>
      </c>
    </row>
    <row r="10563" spans="1:13" s="120" customFormat="1" x14ac:dyDescent="0.25">
      <c r="A10563" s="119"/>
      <c r="B10563" s="138" t="str">
        <f t="shared" si="895"/>
        <v>Aerated Static Pile</v>
      </c>
      <c r="C10563" s="138" t="str">
        <f t="shared" si="896"/>
        <v>Base_With Amendment</v>
      </c>
      <c r="D10563" s="138" t="str">
        <f t="shared" si="898"/>
        <v>High_High</v>
      </c>
      <c r="E10563" s="138" t="str">
        <f t="shared" si="899"/>
        <v>Low</v>
      </c>
      <c r="F10563" s="138" t="str">
        <f t="shared" si="897"/>
        <v>Upgraded</v>
      </c>
      <c r="G10563" s="153"/>
      <c r="H10563" s="210">
        <v>5.5999999999999999E-3</v>
      </c>
      <c r="I10563" s="160" t="s">
        <v>168</v>
      </c>
      <c r="J10563" s="211">
        <v>3.4562199999999999E-5</v>
      </c>
      <c r="K10563" s="160" t="s">
        <v>145</v>
      </c>
      <c r="L10563" s="154" t="str">
        <f>IF(OpenLCAbasic!K10563="CTUh", "Fill in Manually",IF(OR(K10563="Unit", K10563=""), "", INDEX(LookUps!$E$5:$E$12, MATCH(OpenLCAbasic!K10563,LookUps!$D$5:$D$12,0))))</f>
        <v>Particulate Matter Formation Potential (PMFP) - kg PM2.5 eq</v>
      </c>
      <c r="M10563" s="154" t="str">
        <f t="shared" si="894"/>
        <v>Low_High_High_Upgraded_Particulate Matter Formation Potential (PMFP) - kg PM2.5 eq_ClearCove SCP; wastewater treatment unit; at updated plant - US_Base_With Amendment_Aerated Static Pile</v>
      </c>
    </row>
    <row r="10564" spans="1:13" s="120" customFormat="1" x14ac:dyDescent="0.25">
      <c r="A10564" s="119"/>
      <c r="B10564" s="138" t="str">
        <f t="shared" si="895"/>
        <v>Aerated Static Pile</v>
      </c>
      <c r="C10564" s="138" t="str">
        <f t="shared" si="896"/>
        <v>Base_With Amendment</v>
      </c>
      <c r="D10564" s="138" t="str">
        <f t="shared" si="898"/>
        <v>High_High</v>
      </c>
      <c r="E10564" s="138" t="str">
        <f t="shared" si="899"/>
        <v>Low</v>
      </c>
      <c r="F10564" s="138" t="str">
        <f t="shared" si="897"/>
        <v>Upgraded</v>
      </c>
      <c r="G10564" s="153"/>
      <c r="H10564" s="210">
        <v>1.4E-3</v>
      </c>
      <c r="I10564" s="160" t="s">
        <v>148</v>
      </c>
      <c r="J10564" s="211">
        <v>8.8212999999999997E-6</v>
      </c>
      <c r="K10564" s="160" t="s">
        <v>145</v>
      </c>
      <c r="L10564" s="154" t="str">
        <f>IF(OpenLCAbasic!K10564="CTUh", "Fill in Manually",IF(OR(K10564="Unit", K10564=""), "", INDEX(LookUps!$E$5:$E$12, MATCH(OpenLCAbasic!K10564,LookUps!$D$5:$D$12,0))))</f>
        <v>Particulate Matter Formation Potential (PMFP) - kg PM2.5 eq</v>
      </c>
      <c r="M10564" s="154" t="str">
        <f t="shared" ref="M10564:M10627" si="900">CONCATENATE(E10564,"_",D10564,"_",F10564,"_",L10564, "_",I10564,"_", C10564,"_", B10564)</f>
        <v>Low_High_High_Upgraded_Particulate Matter Formation Potential (PMFP) - kg PM2.5 eq_Control Building; at upgraded wastewater treatment plant - US_Base_With Amendment_Aerated Static Pile</v>
      </c>
    </row>
    <row r="10565" spans="1:13" s="120" customFormat="1" x14ac:dyDescent="0.25">
      <c r="A10565" s="119"/>
      <c r="B10565" s="138" t="str">
        <f t="shared" si="895"/>
        <v>Aerated Static Pile</v>
      </c>
      <c r="C10565" s="138" t="str">
        <f t="shared" si="896"/>
        <v>Base_With Amendment</v>
      </c>
      <c r="D10565" s="138" t="str">
        <f t="shared" si="898"/>
        <v>High_High</v>
      </c>
      <c r="E10565" s="138" t="str">
        <f t="shared" si="899"/>
        <v>Low</v>
      </c>
      <c r="F10565" s="138" t="str">
        <f t="shared" si="897"/>
        <v>Upgraded</v>
      </c>
      <c r="G10565" s="153"/>
      <c r="H10565" s="210">
        <v>-2.1040999999999999</v>
      </c>
      <c r="I10565" s="160" t="s">
        <v>149</v>
      </c>
      <c r="J10565" s="160">
        <v>-1.3089999999999999E-2</v>
      </c>
      <c r="K10565" s="160" t="s">
        <v>145</v>
      </c>
      <c r="L10565" s="154" t="str">
        <f>IF(OpenLCAbasic!K10565="CTUh", "Fill in Manually",IF(OR(K10565="Unit", K10565=""), "", INDEX(LookUps!$E$5:$E$12, MATCH(OpenLCAbasic!K10565,LookUps!$D$5:$D$12,0))))</f>
        <v>Particulate Matter Formation Potential (PMFP) - kg PM2.5 eq</v>
      </c>
      <c r="M10565" s="154" t="str">
        <f t="shared" si="900"/>
        <v>Low_High_High_Upgraded_Particulate Matter Formation Potential (PMFP) - kg PM2.5 eq_Anaerobic Digestion; wastewater treatment unit; at updated plant - US_Base_With Amendment_Aerated Static Pile</v>
      </c>
    </row>
    <row r="10566" spans="1:13" s="120" customFormat="1" x14ac:dyDescent="0.25">
      <c r="A10566" s="119"/>
      <c r="B10566" s="138" t="str">
        <f t="shared" si="895"/>
        <v/>
      </c>
      <c r="C10566" s="138" t="str">
        <f t="shared" si="896"/>
        <v/>
      </c>
      <c r="D10566" s="138" t="str">
        <f t="shared" si="898"/>
        <v/>
      </c>
      <c r="E10566" s="138" t="str">
        <f t="shared" si="899"/>
        <v/>
      </c>
      <c r="F10566" s="138" t="str">
        <f t="shared" si="897"/>
        <v/>
      </c>
      <c r="G10566" s="153" t="s">
        <v>51</v>
      </c>
      <c r="H10566" s="160"/>
      <c r="I10566" s="160" t="s">
        <v>47</v>
      </c>
      <c r="J10566" s="160" t="s">
        <v>52</v>
      </c>
      <c r="K10566" s="160" t="s">
        <v>27</v>
      </c>
      <c r="L10566" s="154" t="str">
        <f>IF(OpenLCAbasic!K10566="CTUh", "Fill in Manually",IF(OR(K10566="Unit", K10566=""), "", INDEX(LookUps!$E$5:$E$12, MATCH(OpenLCAbasic!K10566,LookUps!$D$5:$D$12,0))))</f>
        <v/>
      </c>
      <c r="M10566" s="154" t="str">
        <f t="shared" si="900"/>
        <v>____Process__</v>
      </c>
    </row>
    <row r="10567" spans="1:13" s="120" customFormat="1" x14ac:dyDescent="0.25">
      <c r="A10567" s="119"/>
      <c r="B10567" s="138" t="str">
        <f t="shared" si="895"/>
        <v>Aerated Static Pile</v>
      </c>
      <c r="C10567" s="138" t="str">
        <f t="shared" si="896"/>
        <v>Base_With Amendment</v>
      </c>
      <c r="D10567" s="138" t="str">
        <f t="shared" si="898"/>
        <v>High_High</v>
      </c>
      <c r="E10567" s="138" t="str">
        <f t="shared" si="899"/>
        <v>Low</v>
      </c>
      <c r="F10567" s="138" t="str">
        <f t="shared" si="897"/>
        <v>Upgraded</v>
      </c>
      <c r="G10567" s="153"/>
      <c r="H10567" s="210">
        <v>0.3725</v>
      </c>
      <c r="I10567" s="160" t="s">
        <v>55</v>
      </c>
      <c r="J10567" s="160">
        <v>0.16577</v>
      </c>
      <c r="K10567" s="160" t="s">
        <v>25</v>
      </c>
      <c r="L10567" s="154" t="str">
        <f>IF(OpenLCAbasic!K10567="CTUh", "Fill in Manually",IF(OR(K10567="Unit", K10567=""), "", INDEX(LookUps!$E$5:$E$12, MATCH(OpenLCAbasic!K10567,LookUps!$D$5:$D$12,0))))</f>
        <v>Smog Formation Potential (SFP) - kg O3 eq</v>
      </c>
      <c r="M10567" s="154" t="str">
        <f t="shared" si="900"/>
        <v>Low_High_High_Upgraded_Smog Formation Potential (SFP) - kg O3 eq_Aeration Tanks; wastewater treatment unit; at updated plant - US_Base_With Amendment_Aerated Static Pile</v>
      </c>
    </row>
    <row r="10568" spans="1:13" s="120" customFormat="1" x14ac:dyDescent="0.25">
      <c r="A10568" s="119"/>
      <c r="B10568" s="138" t="str">
        <f t="shared" si="895"/>
        <v>Aerated Static Pile</v>
      </c>
      <c r="C10568" s="138" t="str">
        <f t="shared" si="896"/>
        <v>Base_With Amendment</v>
      </c>
      <c r="D10568" s="138" t="str">
        <f t="shared" si="898"/>
        <v>High_High</v>
      </c>
      <c r="E10568" s="138" t="str">
        <f t="shared" si="899"/>
        <v>Low</v>
      </c>
      <c r="F10568" s="138" t="str">
        <f t="shared" si="897"/>
        <v>Upgraded</v>
      </c>
      <c r="G10568" s="153"/>
      <c r="H10568" s="210">
        <v>0.2384</v>
      </c>
      <c r="I10568" s="160" t="s">
        <v>435</v>
      </c>
      <c r="J10568" s="160">
        <v>0.10607</v>
      </c>
      <c r="K10568" s="160" t="s">
        <v>25</v>
      </c>
      <c r="L10568" s="154" t="str">
        <f>IF(OpenLCAbasic!K10568="CTUh", "Fill in Manually",IF(OR(K10568="Unit", K10568=""), "", INDEX(LookUps!$E$5:$E$12, MATCH(OpenLCAbasic!K10568,LookUps!$D$5:$D$12,0))))</f>
        <v>Smog Formation Potential (SFP) - kg O3 eq</v>
      </c>
      <c r="M10568" s="154" t="str">
        <f t="shared" si="900"/>
        <v>Low_High_High_Upgraded_Smog Formation Potential (SFP) - kg O3 eq_Biosolids composting; aerated static pile; wastewater treatment unit; at updated plant - US_Base_With Amendment_Aerated Static Pile</v>
      </c>
    </row>
    <row r="10569" spans="1:13" s="120" customFormat="1" x14ac:dyDescent="0.25">
      <c r="A10569" s="119"/>
      <c r="B10569" s="138" t="str">
        <f t="shared" si="895"/>
        <v>Aerated Static Pile</v>
      </c>
      <c r="C10569" s="138" t="str">
        <f t="shared" si="896"/>
        <v>Base_With Amendment</v>
      </c>
      <c r="D10569" s="138" t="str">
        <f t="shared" si="898"/>
        <v>High_High</v>
      </c>
      <c r="E10569" s="138" t="str">
        <f t="shared" si="899"/>
        <v>Low</v>
      </c>
      <c r="F10569" s="138" t="str">
        <f t="shared" si="897"/>
        <v>Upgraded</v>
      </c>
      <c r="G10569" s="153"/>
      <c r="H10569" s="210">
        <v>0.108</v>
      </c>
      <c r="I10569" s="160" t="s">
        <v>54</v>
      </c>
      <c r="J10569" s="160">
        <v>4.8070000000000002E-2</v>
      </c>
      <c r="K10569" s="160" t="s">
        <v>25</v>
      </c>
      <c r="L10569" s="154" t="str">
        <f>IF(OpenLCAbasic!K10569="CTUh", "Fill in Manually",IF(OR(K10569="Unit", K10569=""), "", INDEX(LookUps!$E$5:$E$12, MATCH(OpenLCAbasic!K10569,LookUps!$D$5:$D$12,0))))</f>
        <v>Smog Formation Potential (SFP) - kg O3 eq</v>
      </c>
      <c r="M10569" s="154" t="str">
        <f t="shared" si="900"/>
        <v>Low_High_High_Upgraded_Smog Formation Potential (SFP) - kg O3 eq_Clear Cove Primary Clarification; wastewater treatment unit; at updated plant - US_Base_With Amendment_Aerated Static Pile</v>
      </c>
    </row>
    <row r="10570" spans="1:13" s="120" customFormat="1" x14ac:dyDescent="0.25">
      <c r="A10570" s="119"/>
      <c r="B10570" s="138" t="str">
        <f t="shared" ref="B10570:B10633" si="901">IF(F10570="Legacy","n.a.",IF(F10570="","","Aerated Static Pile"))</f>
        <v>Aerated Static Pile</v>
      </c>
      <c r="C10570" s="138" t="str">
        <f t="shared" ref="C10570:C10633" si="902">IF(ISNUMBER($J10570),"Base_With Amendment","")</f>
        <v>Base_With Amendment</v>
      </c>
      <c r="D10570" s="138" t="str">
        <f t="shared" si="898"/>
        <v>High_High</v>
      </c>
      <c r="E10570" s="138" t="str">
        <f t="shared" si="899"/>
        <v>Low</v>
      </c>
      <c r="F10570" s="138" t="str">
        <f t="shared" ref="F10570:F10633" si="903">IF(ISNUMBER(J10570),"Upgraded","")</f>
        <v>Upgraded</v>
      </c>
      <c r="G10570" s="153"/>
      <c r="H10570" s="210">
        <v>9.4600000000000004E-2</v>
      </c>
      <c r="I10570" s="160" t="s">
        <v>58</v>
      </c>
      <c r="J10570" s="160">
        <v>4.2090000000000002E-2</v>
      </c>
      <c r="K10570" s="160" t="s">
        <v>25</v>
      </c>
      <c r="L10570" s="154" t="str">
        <f>IF(OpenLCAbasic!K10570="CTUh", "Fill in Manually",IF(OR(K10570="Unit", K10570=""), "", INDEX(LookUps!$E$5:$E$12, MATCH(OpenLCAbasic!K10570,LookUps!$D$5:$D$12,0))))</f>
        <v>Smog Formation Potential (SFP) - kg O3 eq</v>
      </c>
      <c r="M10570" s="154" t="str">
        <f t="shared" si="900"/>
        <v>Low_High_High_Upgraded_Smog Formation Potential (SFP) - kg O3 eq_Pre-Anoxic &amp; Swing tank; wastewater treatment unit; at updated plant - US_Base_With Amendment_Aerated Static Pile</v>
      </c>
    </row>
    <row r="10571" spans="1:13" s="120" customFormat="1" x14ac:dyDescent="0.25">
      <c r="A10571" s="119"/>
      <c r="B10571" s="138" t="str">
        <f t="shared" si="901"/>
        <v>Aerated Static Pile</v>
      </c>
      <c r="C10571" s="138" t="str">
        <f t="shared" si="902"/>
        <v>Base_With Amendment</v>
      </c>
      <c r="D10571" s="138" t="str">
        <f t="shared" si="898"/>
        <v>High_High</v>
      </c>
      <c r="E10571" s="138" t="str">
        <f t="shared" si="899"/>
        <v>Low</v>
      </c>
      <c r="F10571" s="138" t="str">
        <f t="shared" si="903"/>
        <v>Upgraded</v>
      </c>
      <c r="G10571" s="153"/>
      <c r="H10571" s="210">
        <v>7.5899999999999995E-2</v>
      </c>
      <c r="I10571" s="160" t="s">
        <v>167</v>
      </c>
      <c r="J10571" s="160">
        <v>3.3759999999999998E-2</v>
      </c>
      <c r="K10571" s="160" t="s">
        <v>25</v>
      </c>
      <c r="L10571" s="154" t="str">
        <f>IF(OpenLCAbasic!K10571="CTUh", "Fill in Manually",IF(OR(K10571="Unit", K10571=""), "", INDEX(LookUps!$E$5:$E$12, MATCH(OpenLCAbasic!K10571,LookUps!$D$5:$D$12,0))))</f>
        <v>Smog Formation Potential (SFP) - kg O3 eq</v>
      </c>
      <c r="M10571" s="154" t="str">
        <f t="shared" si="900"/>
        <v>Low_High_High_Upgraded_Smog Formation Potential (SFP) - kg O3 eq_Waste Receiving and Holding; wastewater treatment unit; at updated plant - US_Base_With Amendment_Aerated Static Pile</v>
      </c>
    </row>
    <row r="10572" spans="1:13" s="120" customFormat="1" x14ac:dyDescent="0.25">
      <c r="A10572" s="119"/>
      <c r="B10572" s="138" t="str">
        <f t="shared" si="901"/>
        <v>Aerated Static Pile</v>
      </c>
      <c r="C10572" s="138" t="str">
        <f t="shared" si="902"/>
        <v>Base_With Amendment</v>
      </c>
      <c r="D10572" s="138" t="str">
        <f t="shared" si="898"/>
        <v>High_High</v>
      </c>
      <c r="E10572" s="138" t="str">
        <f t="shared" si="899"/>
        <v>Low</v>
      </c>
      <c r="F10572" s="138" t="str">
        <f t="shared" si="903"/>
        <v>Upgraded</v>
      </c>
      <c r="G10572" s="153"/>
      <c r="H10572" s="210">
        <v>7.4399999999999994E-2</v>
      </c>
      <c r="I10572" s="160" t="s">
        <v>53</v>
      </c>
      <c r="J10572" s="160">
        <v>3.313E-2</v>
      </c>
      <c r="K10572" s="160" t="s">
        <v>25</v>
      </c>
      <c r="L10572" s="154" t="str">
        <f>IF(OpenLCAbasic!K10572="CTUh", "Fill in Manually",IF(OR(K10572="Unit", K10572=""), "", INDEX(LookUps!$E$5:$E$12, MATCH(OpenLCAbasic!K10572,LookUps!$D$5:$D$12,0))))</f>
        <v>Smog Formation Potential (SFP) - kg O3 eq</v>
      </c>
      <c r="M10572" s="154" t="str">
        <f t="shared" si="900"/>
        <v>Low_High_High_Upgraded_Smog Formation Potential (SFP) - kg O3 eq_Wet Well and Sump Station; wastewater treatment unit; at updated plant - US_Base_With Amendment_Aerated Static Pile</v>
      </c>
    </row>
    <row r="10573" spans="1:13" s="120" customFormat="1" x14ac:dyDescent="0.25">
      <c r="A10573" s="119"/>
      <c r="B10573" s="138" t="str">
        <f t="shared" si="901"/>
        <v>Aerated Static Pile</v>
      </c>
      <c r="C10573" s="138" t="str">
        <f t="shared" si="902"/>
        <v>Base_With Amendment</v>
      </c>
      <c r="D10573" s="138" t="str">
        <f t="shared" si="898"/>
        <v>High_High</v>
      </c>
      <c r="E10573" s="138" t="str">
        <f t="shared" si="899"/>
        <v>Low</v>
      </c>
      <c r="F10573" s="138" t="str">
        <f t="shared" si="903"/>
        <v>Upgraded</v>
      </c>
      <c r="G10573" s="153"/>
      <c r="H10573" s="210">
        <v>4.36E-2</v>
      </c>
      <c r="I10573" s="160" t="s">
        <v>147</v>
      </c>
      <c r="J10573" s="160">
        <v>1.9400000000000001E-2</v>
      </c>
      <c r="K10573" s="160" t="s">
        <v>25</v>
      </c>
      <c r="L10573" s="154" t="str">
        <f>IF(OpenLCAbasic!K10573="CTUh", "Fill in Manually",IF(OR(K10573="Unit", K10573=""), "", INDEX(LookUps!$E$5:$E$12, MATCH(OpenLCAbasic!K10573,LookUps!$D$5:$D$12,0))))</f>
        <v>Smog Formation Potential (SFP) - kg O3 eq</v>
      </c>
      <c r="M10573" s="154" t="str">
        <f t="shared" si="900"/>
        <v>Low_High_High_Upgraded_Smog Formation Potential (SFP) - kg O3 eq_Influent Pump Station; wastewater treatment unit; at updated plant - US_Base_With Amendment_Aerated Static Pile</v>
      </c>
    </row>
    <row r="10574" spans="1:13" s="120" customFormat="1" x14ac:dyDescent="0.25">
      <c r="A10574" s="119"/>
      <c r="B10574" s="138" t="str">
        <f t="shared" si="901"/>
        <v>Aerated Static Pile</v>
      </c>
      <c r="C10574" s="138" t="str">
        <f t="shared" si="902"/>
        <v>Base_With Amendment</v>
      </c>
      <c r="D10574" s="138" t="str">
        <f t="shared" si="898"/>
        <v>High_High</v>
      </c>
      <c r="E10574" s="138" t="str">
        <f t="shared" si="899"/>
        <v>Low</v>
      </c>
      <c r="F10574" s="138" t="str">
        <f t="shared" si="903"/>
        <v>Upgraded</v>
      </c>
      <c r="G10574" s="153"/>
      <c r="H10574" s="210">
        <v>2.9600000000000001E-2</v>
      </c>
      <c r="I10574" s="160" t="s">
        <v>60</v>
      </c>
      <c r="J10574" s="160">
        <v>1.316E-2</v>
      </c>
      <c r="K10574" s="160" t="s">
        <v>25</v>
      </c>
      <c r="L10574" s="154" t="str">
        <f>IF(OpenLCAbasic!K10574="CTUh", "Fill in Manually",IF(OR(K10574="Unit", K10574=""), "", INDEX(LookUps!$E$5:$E$12, MATCH(OpenLCAbasic!K10574,LookUps!$D$5:$D$12,0))))</f>
        <v>Smog Formation Potential (SFP) - kg O3 eq</v>
      </c>
      <c r="M10574" s="154" t="str">
        <f t="shared" si="900"/>
        <v>Low_High_High_Upgraded_Smog Formation Potential (SFP) - kg O3 eq_Belt filter press; wastewater treatment unit; at updated plant - US_Base_With Amendment_Aerated Static Pile</v>
      </c>
    </row>
    <row r="10575" spans="1:13" s="120" customFormat="1" x14ac:dyDescent="0.25">
      <c r="A10575" s="119"/>
      <c r="B10575" s="138" t="str">
        <f t="shared" si="901"/>
        <v>Aerated Static Pile</v>
      </c>
      <c r="C10575" s="138" t="str">
        <f t="shared" si="902"/>
        <v>Base_With Amendment</v>
      </c>
      <c r="D10575" s="138" t="str">
        <f t="shared" si="898"/>
        <v>High_High</v>
      </c>
      <c r="E10575" s="138" t="str">
        <f t="shared" si="899"/>
        <v>Low</v>
      </c>
      <c r="F10575" s="138" t="str">
        <f t="shared" si="903"/>
        <v>Upgraded</v>
      </c>
      <c r="G10575" s="153"/>
      <c r="H10575" s="210">
        <v>2.6800000000000001E-2</v>
      </c>
      <c r="I10575" s="160" t="s">
        <v>128</v>
      </c>
      <c r="J10575" s="160">
        <v>1.192E-2</v>
      </c>
      <c r="K10575" s="160" t="s">
        <v>25</v>
      </c>
      <c r="L10575" s="154" t="str">
        <f>IF(OpenLCAbasic!K10575="CTUh", "Fill in Manually",IF(OR(K10575="Unit", K10575=""), "", INDEX(LookUps!$E$5:$E$12, MATCH(OpenLCAbasic!K10575,LookUps!$D$5:$D$12,0))))</f>
        <v>Smog Formation Potential (SFP) - kg O3 eq</v>
      </c>
      <c r="M10575" s="154" t="str">
        <f t="shared" si="900"/>
        <v>Low_High_High_Upgraded_Smog Formation Potential (SFP) - kg O3 eq_Wastewater collection; operation and infrastructure; m3 wastewater_Base_With Amendment_Aerated Static Pile</v>
      </c>
    </row>
    <row r="10576" spans="1:13" s="120" customFormat="1" x14ac:dyDescent="0.25">
      <c r="A10576" s="119"/>
      <c r="B10576" s="138" t="str">
        <f t="shared" si="901"/>
        <v>Aerated Static Pile</v>
      </c>
      <c r="C10576" s="138" t="str">
        <f t="shared" si="902"/>
        <v>Base_With Amendment</v>
      </c>
      <c r="D10576" s="138" t="str">
        <f t="shared" si="898"/>
        <v>High_High</v>
      </c>
      <c r="E10576" s="138" t="str">
        <f t="shared" si="899"/>
        <v>Low</v>
      </c>
      <c r="F10576" s="138" t="str">
        <f t="shared" si="903"/>
        <v>Upgraded</v>
      </c>
      <c r="G10576" s="153"/>
      <c r="H10576" s="210">
        <v>1.49E-2</v>
      </c>
      <c r="I10576" s="160" t="s">
        <v>57</v>
      </c>
      <c r="J10576" s="160">
        <v>6.6499999999999997E-3</v>
      </c>
      <c r="K10576" s="160" t="s">
        <v>25</v>
      </c>
      <c r="L10576" s="154" t="str">
        <f>IF(OpenLCAbasic!K10576="CTUh", "Fill in Manually",IF(OR(K10576="Unit", K10576=""), "", INDEX(LookUps!$E$5:$E$12, MATCH(OpenLCAbasic!K10576,LookUps!$D$5:$D$12,0))))</f>
        <v>Smog Formation Potential (SFP) - kg O3 eq</v>
      </c>
      <c r="M10576" s="154" t="str">
        <f t="shared" si="900"/>
        <v>Low_High_High_Upgraded_Smog Formation Potential (SFP) - kg O3 eq_Gravity Belt Thickener; wastewater treatment unit; at updated plant - US_Base_With Amendment_Aerated Static Pile</v>
      </c>
    </row>
    <row r="10577" spans="1:13" s="120" customFormat="1" x14ac:dyDescent="0.25">
      <c r="A10577" s="119"/>
      <c r="B10577" s="138" t="str">
        <f t="shared" si="901"/>
        <v>Aerated Static Pile</v>
      </c>
      <c r="C10577" s="138" t="str">
        <f t="shared" si="902"/>
        <v>Base_With Amendment</v>
      </c>
      <c r="D10577" s="138" t="str">
        <f t="shared" si="898"/>
        <v>High_High</v>
      </c>
      <c r="E10577" s="138" t="str">
        <f t="shared" si="899"/>
        <v>Low</v>
      </c>
      <c r="F10577" s="138" t="str">
        <f t="shared" si="903"/>
        <v>Upgraded</v>
      </c>
      <c r="G10577" s="153"/>
      <c r="H10577" s="210">
        <v>1.12E-2</v>
      </c>
      <c r="I10577" s="160" t="s">
        <v>59</v>
      </c>
      <c r="J10577" s="160">
        <v>4.9699999999999996E-3</v>
      </c>
      <c r="K10577" s="160" t="s">
        <v>25</v>
      </c>
      <c r="L10577" s="154" t="str">
        <f>IF(OpenLCAbasic!K10577="CTUh", "Fill in Manually",IF(OR(K10577="Unit", K10577=""), "", INDEX(LookUps!$E$5:$E$12, MATCH(OpenLCAbasic!K10577,LookUps!$D$5:$D$12,0))))</f>
        <v>Smog Formation Potential (SFP) - kg O3 eq</v>
      </c>
      <c r="M10577" s="154" t="str">
        <f t="shared" si="900"/>
        <v>Low_High_High_Upgraded_Smog Formation Potential (SFP) - kg O3 eq_Blend Tank; wastewater treatment unit; at updated plant - US_Base_With Amendment_Aerated Static Pile</v>
      </c>
    </row>
    <row r="10578" spans="1:13" s="120" customFormat="1" x14ac:dyDescent="0.25">
      <c r="A10578" s="119"/>
      <c r="B10578" s="138" t="str">
        <f t="shared" si="901"/>
        <v>Aerated Static Pile</v>
      </c>
      <c r="C10578" s="138" t="str">
        <f t="shared" si="902"/>
        <v>Base_With Amendment</v>
      </c>
      <c r="D10578" s="138" t="str">
        <f t="shared" si="898"/>
        <v>High_High</v>
      </c>
      <c r="E10578" s="138" t="str">
        <f t="shared" si="899"/>
        <v>Low</v>
      </c>
      <c r="F10578" s="138" t="str">
        <f t="shared" si="903"/>
        <v>Upgraded</v>
      </c>
      <c r="G10578" s="153"/>
      <c r="H10578" s="210">
        <v>7.6E-3</v>
      </c>
      <c r="I10578" s="160" t="s">
        <v>48</v>
      </c>
      <c r="J10578" s="160">
        <v>3.3899999999999998E-3</v>
      </c>
      <c r="K10578" s="160" t="s">
        <v>25</v>
      </c>
      <c r="L10578" s="154" t="str">
        <f>IF(OpenLCAbasic!K10578="CTUh", "Fill in Manually",IF(OR(K10578="Unit", K10578=""), "", INDEX(LookUps!$E$5:$E$12, MATCH(OpenLCAbasic!K10578,LookUps!$D$5:$D$12,0))))</f>
        <v>Smog Formation Potential (SFP) - kg O3 eq</v>
      </c>
      <c r="M10578" s="154" t="str">
        <f t="shared" si="900"/>
        <v>Low_High_High_Upgraded_Smog Formation Potential (SFP) - kg O3 eq_Effluent release; wastewater treatment unit; at surface water; m3 wastewater - US_Base_With Amendment_Aerated Static Pile</v>
      </c>
    </row>
    <row r="10579" spans="1:13" s="120" customFormat="1" x14ac:dyDescent="0.25">
      <c r="A10579" s="119"/>
      <c r="B10579" s="138" t="str">
        <f t="shared" si="901"/>
        <v>Aerated Static Pile</v>
      </c>
      <c r="C10579" s="138" t="str">
        <f t="shared" si="902"/>
        <v>Base_With Amendment</v>
      </c>
      <c r="D10579" s="138" t="str">
        <f t="shared" si="898"/>
        <v>High_High</v>
      </c>
      <c r="E10579" s="138" t="str">
        <f t="shared" si="899"/>
        <v>Low</v>
      </c>
      <c r="F10579" s="138" t="str">
        <f t="shared" si="903"/>
        <v>Upgraded</v>
      </c>
      <c r="G10579" s="153"/>
      <c r="H10579" s="210">
        <v>5.4999999999999997E-3</v>
      </c>
      <c r="I10579" s="160" t="s">
        <v>168</v>
      </c>
      <c r="J10579" s="160">
        <v>2.4599999999999999E-3</v>
      </c>
      <c r="K10579" s="160" t="s">
        <v>25</v>
      </c>
      <c r="L10579" s="154" t="str">
        <f>IF(OpenLCAbasic!K10579="CTUh", "Fill in Manually",IF(OR(K10579="Unit", K10579=""), "", INDEX(LookUps!$E$5:$E$12, MATCH(OpenLCAbasic!K10579,LookUps!$D$5:$D$12,0))))</f>
        <v>Smog Formation Potential (SFP) - kg O3 eq</v>
      </c>
      <c r="M10579" s="154" t="str">
        <f t="shared" si="900"/>
        <v>Low_High_High_Upgraded_Smog Formation Potential (SFP) - kg O3 eq_ClearCove SCP; wastewater treatment unit; at updated plant - US_Base_With Amendment_Aerated Static Pile</v>
      </c>
    </row>
    <row r="10580" spans="1:13" s="120" customFormat="1" x14ac:dyDescent="0.25">
      <c r="A10580" s="119"/>
      <c r="B10580" s="138" t="str">
        <f t="shared" si="901"/>
        <v>Aerated Static Pile</v>
      </c>
      <c r="C10580" s="138" t="str">
        <f t="shared" si="902"/>
        <v>Base_With Amendment</v>
      </c>
      <c r="D10580" s="138" t="str">
        <f t="shared" si="898"/>
        <v>High_High</v>
      </c>
      <c r="E10580" s="138" t="str">
        <f t="shared" si="899"/>
        <v>Low</v>
      </c>
      <c r="F10580" s="138" t="str">
        <f t="shared" si="903"/>
        <v>Upgraded</v>
      </c>
      <c r="G10580" s="153"/>
      <c r="H10580" s="210">
        <v>1.1999999999999999E-3</v>
      </c>
      <c r="I10580" s="160" t="s">
        <v>148</v>
      </c>
      <c r="J10580" s="160">
        <v>5.4000000000000001E-4</v>
      </c>
      <c r="K10580" s="160" t="s">
        <v>25</v>
      </c>
      <c r="L10580" s="154" t="str">
        <f>IF(OpenLCAbasic!K10580="CTUh", "Fill in Manually",IF(OR(K10580="Unit", K10580=""), "", INDEX(LookUps!$E$5:$E$12, MATCH(OpenLCAbasic!K10580,LookUps!$D$5:$D$12,0))))</f>
        <v>Smog Formation Potential (SFP) - kg O3 eq</v>
      </c>
      <c r="M10580" s="154" t="str">
        <f t="shared" si="900"/>
        <v>Low_High_High_Upgraded_Smog Formation Potential (SFP) - kg O3 eq_Control Building; at upgraded wastewater treatment plant - US_Base_With Amendment_Aerated Static Pile</v>
      </c>
    </row>
    <row r="10581" spans="1:13" s="120" customFormat="1" x14ac:dyDescent="0.25">
      <c r="A10581" s="119"/>
      <c r="B10581" s="138" t="str">
        <f t="shared" si="901"/>
        <v>Aerated Static Pile</v>
      </c>
      <c r="C10581" s="138" t="str">
        <f t="shared" si="902"/>
        <v>Base_With Amendment</v>
      </c>
      <c r="D10581" s="138" t="str">
        <f t="shared" si="898"/>
        <v>High_High</v>
      </c>
      <c r="E10581" s="138" t="str">
        <f t="shared" si="899"/>
        <v>Low</v>
      </c>
      <c r="F10581" s="138" t="str">
        <f t="shared" si="903"/>
        <v>Upgraded</v>
      </c>
      <c r="G10581" s="153"/>
      <c r="H10581" s="210">
        <v>-1.1599999999999999E-2</v>
      </c>
      <c r="I10581" s="160" t="s">
        <v>62</v>
      </c>
      <c r="J10581" s="160">
        <v>-5.1399999999999996E-3</v>
      </c>
      <c r="K10581" s="160" t="s">
        <v>25</v>
      </c>
      <c r="L10581" s="154" t="str">
        <f>IF(OpenLCAbasic!K10581="CTUh", "Fill in Manually",IF(OR(K10581="Unit", K10581=""), "", INDEX(LookUps!$E$5:$E$12, MATCH(OpenLCAbasic!K10581,LookUps!$D$5:$D$12,0))))</f>
        <v>Smog Formation Potential (SFP) - kg O3 eq</v>
      </c>
      <c r="M10581" s="154" t="str">
        <f t="shared" si="900"/>
        <v>Low_High_High_Upgraded_Smog Formation Potential (SFP) - kg O3 eq_Land application of compost; wastewater treatment unit; at updated plant - US_Base_With Amendment_Aerated Static Pile</v>
      </c>
    </row>
    <row r="10582" spans="1:13" s="120" customFormat="1" x14ac:dyDescent="0.25">
      <c r="A10582" s="119"/>
      <c r="B10582" s="138" t="str">
        <f t="shared" si="901"/>
        <v>Aerated Static Pile</v>
      </c>
      <c r="C10582" s="138" t="str">
        <f t="shared" si="902"/>
        <v>Base_With Amendment</v>
      </c>
      <c r="D10582" s="138" t="str">
        <f t="shared" si="898"/>
        <v>High_High</v>
      </c>
      <c r="E10582" s="138" t="str">
        <f t="shared" si="899"/>
        <v>Low</v>
      </c>
      <c r="F10582" s="138" t="str">
        <f t="shared" si="903"/>
        <v>Upgraded</v>
      </c>
      <c r="G10582" s="153"/>
      <c r="H10582" s="210">
        <v>-2.0926</v>
      </c>
      <c r="I10582" s="160" t="s">
        <v>149</v>
      </c>
      <c r="J10582" s="160">
        <v>-0.93125999999999998</v>
      </c>
      <c r="K10582" s="160" t="s">
        <v>25</v>
      </c>
      <c r="L10582" s="154" t="str">
        <f>IF(OpenLCAbasic!K10582="CTUh", "Fill in Manually",IF(OR(K10582="Unit", K10582=""), "", INDEX(LookUps!$E$5:$E$12, MATCH(OpenLCAbasic!K10582,LookUps!$D$5:$D$12,0))))</f>
        <v>Smog Formation Potential (SFP) - kg O3 eq</v>
      </c>
      <c r="M10582" s="154" t="str">
        <f t="shared" si="900"/>
        <v>Low_High_High_Upgraded_Smog Formation Potential (SFP) - kg O3 eq_Anaerobic Digestion; wastewater treatment unit; at updated plant - US_Base_With Amendment_Aerated Static Pile</v>
      </c>
    </row>
    <row r="10583" spans="1:13" s="120" customFormat="1" x14ac:dyDescent="0.25">
      <c r="A10583" s="119"/>
      <c r="B10583" s="138" t="str">
        <f t="shared" si="901"/>
        <v/>
      </c>
      <c r="C10583" s="138" t="str">
        <f t="shared" si="902"/>
        <v/>
      </c>
      <c r="D10583" s="138" t="str">
        <f t="shared" si="898"/>
        <v/>
      </c>
      <c r="E10583" s="138" t="str">
        <f t="shared" si="899"/>
        <v/>
      </c>
      <c r="F10583" s="138" t="str">
        <f t="shared" si="903"/>
        <v/>
      </c>
      <c r="G10583" s="153" t="s">
        <v>51</v>
      </c>
      <c r="H10583" s="160"/>
      <c r="I10583" s="160" t="s">
        <v>47</v>
      </c>
      <c r="J10583" s="160" t="s">
        <v>52</v>
      </c>
      <c r="K10583" s="160" t="s">
        <v>27</v>
      </c>
      <c r="L10583" s="154" t="str">
        <f>IF(OpenLCAbasic!K10583="CTUh", "Fill in Manually",IF(OR(K10583="Unit", K10583=""), "", INDEX(LookUps!$E$5:$E$12, MATCH(OpenLCAbasic!K10583,LookUps!$D$5:$D$12,0))))</f>
        <v/>
      </c>
      <c r="M10583" s="154" t="str">
        <f t="shared" si="900"/>
        <v>____Process__</v>
      </c>
    </row>
    <row r="10584" spans="1:13" s="120" customFormat="1" x14ac:dyDescent="0.25">
      <c r="A10584" s="119"/>
      <c r="B10584" s="138" t="str">
        <f t="shared" si="901"/>
        <v>Aerated Static Pile</v>
      </c>
      <c r="C10584" s="138" t="str">
        <f t="shared" si="902"/>
        <v>Base_With Amendment</v>
      </c>
      <c r="D10584" s="138" t="str">
        <f t="shared" si="898"/>
        <v>High_High</v>
      </c>
      <c r="E10584" s="138" t="str">
        <f t="shared" si="899"/>
        <v>Low</v>
      </c>
      <c r="F10584" s="138" t="str">
        <f t="shared" si="903"/>
        <v>Upgraded</v>
      </c>
      <c r="G10584" s="153"/>
      <c r="H10584" s="210">
        <v>0.31240000000000001</v>
      </c>
      <c r="I10584" s="160" t="s">
        <v>167</v>
      </c>
      <c r="J10584" s="160">
        <v>3.4000000000000002E-4</v>
      </c>
      <c r="K10584" s="160" t="s">
        <v>26</v>
      </c>
      <c r="L10584" s="154" t="str">
        <f>IF(OpenLCAbasic!K10584="CTUh", "Fill in Manually",IF(OR(K10584="Unit", K10584=""), "", INDEX(LookUps!$E$5:$E$12, MATCH(OpenLCAbasic!K10584,LookUps!$D$5:$D$12,0))))</f>
        <v>Water Use (WU) - m3 H2O</v>
      </c>
      <c r="M10584" s="154" t="str">
        <f t="shared" si="900"/>
        <v>Low_High_High_Upgraded_Water Use (WU) - m3 H2O_Waste Receiving and Holding; wastewater treatment unit; at updated plant - US_Base_With Amendment_Aerated Static Pile</v>
      </c>
    </row>
    <row r="10585" spans="1:13" s="120" customFormat="1" x14ac:dyDescent="0.25">
      <c r="A10585" s="119"/>
      <c r="B10585" s="138" t="str">
        <f t="shared" si="901"/>
        <v>Aerated Static Pile</v>
      </c>
      <c r="C10585" s="138" t="str">
        <f t="shared" si="902"/>
        <v>Base_With Amendment</v>
      </c>
      <c r="D10585" s="138" t="str">
        <f t="shared" si="898"/>
        <v>High_High</v>
      </c>
      <c r="E10585" s="138" t="str">
        <f t="shared" si="899"/>
        <v>Low</v>
      </c>
      <c r="F10585" s="138" t="str">
        <f t="shared" si="903"/>
        <v>Upgraded</v>
      </c>
      <c r="G10585" s="153"/>
      <c r="H10585" s="210">
        <v>0.1709</v>
      </c>
      <c r="I10585" s="160" t="s">
        <v>147</v>
      </c>
      <c r="J10585" s="160">
        <v>1.8000000000000001E-4</v>
      </c>
      <c r="K10585" s="160" t="s">
        <v>26</v>
      </c>
      <c r="L10585" s="154" t="str">
        <f>IF(OpenLCAbasic!K10585="CTUh", "Fill in Manually",IF(OR(K10585="Unit", K10585=""), "", INDEX(LookUps!$E$5:$E$12, MATCH(OpenLCAbasic!K10585,LookUps!$D$5:$D$12,0))))</f>
        <v>Water Use (WU) - m3 H2O</v>
      </c>
      <c r="M10585" s="154" t="str">
        <f t="shared" si="900"/>
        <v>Low_High_High_Upgraded_Water Use (WU) - m3 H2O_Influent Pump Station; wastewater treatment unit; at updated plant - US_Base_With Amendment_Aerated Static Pile</v>
      </c>
    </row>
    <row r="10586" spans="1:13" s="120" customFormat="1" x14ac:dyDescent="0.25">
      <c r="A10586" s="119"/>
      <c r="B10586" s="138" t="str">
        <f t="shared" si="901"/>
        <v>Aerated Static Pile</v>
      </c>
      <c r="C10586" s="138" t="str">
        <f t="shared" si="902"/>
        <v>Base_With Amendment</v>
      </c>
      <c r="D10586" s="138" t="str">
        <f t="shared" si="898"/>
        <v>High_High</v>
      </c>
      <c r="E10586" s="138" t="str">
        <f t="shared" si="899"/>
        <v>Low</v>
      </c>
      <c r="F10586" s="138" t="str">
        <f t="shared" si="903"/>
        <v>Upgraded</v>
      </c>
      <c r="G10586" s="153"/>
      <c r="H10586" s="210">
        <v>0.1668</v>
      </c>
      <c r="I10586" s="160" t="s">
        <v>54</v>
      </c>
      <c r="J10586" s="160">
        <v>1.8000000000000001E-4</v>
      </c>
      <c r="K10586" s="160" t="s">
        <v>26</v>
      </c>
      <c r="L10586" s="154" t="str">
        <f>IF(OpenLCAbasic!K10586="CTUh", "Fill in Manually",IF(OR(K10586="Unit", K10586=""), "", INDEX(LookUps!$E$5:$E$12, MATCH(OpenLCAbasic!K10586,LookUps!$D$5:$D$12,0))))</f>
        <v>Water Use (WU) - m3 H2O</v>
      </c>
      <c r="M10586" s="154" t="str">
        <f t="shared" si="900"/>
        <v>Low_High_High_Upgraded_Water Use (WU) - m3 H2O_Clear Cove Primary Clarification; wastewater treatment unit; at updated plant - US_Base_With Amendment_Aerated Static Pile</v>
      </c>
    </row>
    <row r="10587" spans="1:13" s="120" customFormat="1" x14ac:dyDescent="0.25">
      <c r="A10587" s="119"/>
      <c r="B10587" s="138" t="str">
        <f t="shared" si="901"/>
        <v>Aerated Static Pile</v>
      </c>
      <c r="C10587" s="138" t="str">
        <f t="shared" si="902"/>
        <v>Base_With Amendment</v>
      </c>
      <c r="D10587" s="138" t="str">
        <f t="shared" si="898"/>
        <v>High_High</v>
      </c>
      <c r="E10587" s="138" t="str">
        <f t="shared" si="899"/>
        <v>Low</v>
      </c>
      <c r="F10587" s="138" t="str">
        <f t="shared" si="903"/>
        <v>Upgraded</v>
      </c>
      <c r="G10587" s="153"/>
      <c r="H10587" s="210">
        <v>0.15129999999999999</v>
      </c>
      <c r="I10587" s="160" t="s">
        <v>55</v>
      </c>
      <c r="J10587" s="160">
        <v>1.6000000000000001E-4</v>
      </c>
      <c r="K10587" s="160" t="s">
        <v>26</v>
      </c>
      <c r="L10587" s="154" t="str">
        <f>IF(OpenLCAbasic!K10587="CTUh", "Fill in Manually",IF(OR(K10587="Unit", K10587=""), "", INDEX(LookUps!$E$5:$E$12, MATCH(OpenLCAbasic!K10587,LookUps!$D$5:$D$12,0))))</f>
        <v>Water Use (WU) - m3 H2O</v>
      </c>
      <c r="M10587" s="154" t="str">
        <f t="shared" si="900"/>
        <v>Low_High_High_Upgraded_Water Use (WU) - m3 H2O_Aeration Tanks; wastewater treatment unit; at updated plant - US_Base_With Amendment_Aerated Static Pile</v>
      </c>
    </row>
    <row r="10588" spans="1:13" s="120" customFormat="1" x14ac:dyDescent="0.25">
      <c r="A10588" s="119"/>
      <c r="B10588" s="138" t="str">
        <f t="shared" si="901"/>
        <v>Aerated Static Pile</v>
      </c>
      <c r="C10588" s="138" t="str">
        <f t="shared" si="902"/>
        <v>Base_With Amendment</v>
      </c>
      <c r="D10588" s="138" t="str">
        <f t="shared" si="898"/>
        <v>High_High</v>
      </c>
      <c r="E10588" s="138" t="str">
        <f t="shared" si="899"/>
        <v>Low</v>
      </c>
      <c r="F10588" s="138" t="str">
        <f t="shared" si="903"/>
        <v>Upgraded</v>
      </c>
      <c r="G10588" s="153"/>
      <c r="H10588" s="210">
        <v>0.13780000000000001</v>
      </c>
      <c r="I10588" s="160" t="s">
        <v>148</v>
      </c>
      <c r="J10588" s="160">
        <v>1.4999999999999999E-4</v>
      </c>
      <c r="K10588" s="160" t="s">
        <v>26</v>
      </c>
      <c r="L10588" s="154" t="str">
        <f>IF(OpenLCAbasic!K10588="CTUh", "Fill in Manually",IF(OR(K10588="Unit", K10588=""), "", INDEX(LookUps!$E$5:$E$12, MATCH(OpenLCAbasic!K10588,LookUps!$D$5:$D$12,0))))</f>
        <v>Water Use (WU) - m3 H2O</v>
      </c>
      <c r="M10588" s="154" t="str">
        <f t="shared" si="900"/>
        <v>Low_High_High_Upgraded_Water Use (WU) - m3 H2O_Control Building; at upgraded wastewater treatment plant - US_Base_With Amendment_Aerated Static Pile</v>
      </c>
    </row>
    <row r="10589" spans="1:13" s="120" customFormat="1" x14ac:dyDescent="0.25">
      <c r="A10589" s="119"/>
      <c r="B10589" s="138" t="str">
        <f t="shared" si="901"/>
        <v>Aerated Static Pile</v>
      </c>
      <c r="C10589" s="138" t="str">
        <f t="shared" si="902"/>
        <v>Base_With Amendment</v>
      </c>
      <c r="D10589" s="138" t="str">
        <f t="shared" si="898"/>
        <v>High_High</v>
      </c>
      <c r="E10589" s="138" t="str">
        <f t="shared" si="899"/>
        <v>Low</v>
      </c>
      <c r="F10589" s="138" t="str">
        <f t="shared" si="903"/>
        <v>Upgraded</v>
      </c>
      <c r="G10589" s="153"/>
      <c r="H10589" s="210">
        <v>6.4000000000000001E-2</v>
      </c>
      <c r="I10589" s="160" t="s">
        <v>48</v>
      </c>
      <c r="J10589" s="211">
        <v>6.8836400000000004E-5</v>
      </c>
      <c r="K10589" s="160" t="s">
        <v>26</v>
      </c>
      <c r="L10589" s="154" t="str">
        <f>IF(OpenLCAbasic!K10589="CTUh", "Fill in Manually",IF(OR(K10589="Unit", K10589=""), "", INDEX(LookUps!$E$5:$E$12, MATCH(OpenLCAbasic!K10589,LookUps!$D$5:$D$12,0))))</f>
        <v>Water Use (WU) - m3 H2O</v>
      </c>
      <c r="M10589" s="154" t="str">
        <f t="shared" si="900"/>
        <v>Low_High_High_Upgraded_Water Use (WU) - m3 H2O_Effluent release; wastewater treatment unit; at surface water; m3 wastewater - US_Base_With Amendment_Aerated Static Pile</v>
      </c>
    </row>
    <row r="10590" spans="1:13" s="120" customFormat="1" x14ac:dyDescent="0.25">
      <c r="A10590" s="119"/>
      <c r="B10590" s="138" t="str">
        <f t="shared" si="901"/>
        <v>Aerated Static Pile</v>
      </c>
      <c r="C10590" s="138" t="str">
        <f t="shared" si="902"/>
        <v>Base_With Amendment</v>
      </c>
      <c r="D10590" s="138" t="str">
        <f t="shared" si="898"/>
        <v>High_High</v>
      </c>
      <c r="E10590" s="138" t="str">
        <f t="shared" si="899"/>
        <v>Low</v>
      </c>
      <c r="F10590" s="138" t="str">
        <f t="shared" si="903"/>
        <v>Upgraded</v>
      </c>
      <c r="G10590" s="153"/>
      <c r="H10590" s="210">
        <v>4.02E-2</v>
      </c>
      <c r="I10590" s="160" t="s">
        <v>58</v>
      </c>
      <c r="J10590" s="211">
        <v>4.3289399999999999E-5</v>
      </c>
      <c r="K10590" s="160" t="s">
        <v>26</v>
      </c>
      <c r="L10590" s="154" t="str">
        <f>IF(OpenLCAbasic!K10590="CTUh", "Fill in Manually",IF(OR(K10590="Unit", K10590=""), "", INDEX(LookUps!$E$5:$E$12, MATCH(OpenLCAbasic!K10590,LookUps!$D$5:$D$12,0))))</f>
        <v>Water Use (WU) - m3 H2O</v>
      </c>
      <c r="M10590" s="154" t="str">
        <f t="shared" si="900"/>
        <v>Low_High_High_Upgraded_Water Use (WU) - m3 H2O_Pre-Anoxic &amp; Swing tank; wastewater treatment unit; at updated plant - US_Base_With Amendment_Aerated Static Pile</v>
      </c>
    </row>
    <row r="10591" spans="1:13" s="120" customFormat="1" x14ac:dyDescent="0.25">
      <c r="A10591" s="119"/>
      <c r="B10591" s="138" t="str">
        <f t="shared" si="901"/>
        <v>Aerated Static Pile</v>
      </c>
      <c r="C10591" s="138" t="str">
        <f t="shared" si="902"/>
        <v>Base_With Amendment</v>
      </c>
      <c r="D10591" s="138" t="str">
        <f t="shared" si="898"/>
        <v>High_High</v>
      </c>
      <c r="E10591" s="138" t="str">
        <f t="shared" si="899"/>
        <v>Low</v>
      </c>
      <c r="F10591" s="138" t="str">
        <f t="shared" si="903"/>
        <v>Upgraded</v>
      </c>
      <c r="G10591" s="153"/>
      <c r="H10591" s="210">
        <v>3.6499999999999998E-2</v>
      </c>
      <c r="I10591" s="160" t="s">
        <v>60</v>
      </c>
      <c r="J10591" s="211">
        <v>3.9294400000000001E-5</v>
      </c>
      <c r="K10591" s="160" t="s">
        <v>26</v>
      </c>
      <c r="L10591" s="154" t="str">
        <f>IF(OpenLCAbasic!K10591="CTUh", "Fill in Manually",IF(OR(K10591="Unit", K10591=""), "", INDEX(LookUps!$E$5:$E$12, MATCH(OpenLCAbasic!K10591,LookUps!$D$5:$D$12,0))))</f>
        <v>Water Use (WU) - m3 H2O</v>
      </c>
      <c r="M10591" s="154" t="str">
        <f t="shared" si="900"/>
        <v>Low_High_High_Upgraded_Water Use (WU) - m3 H2O_Belt filter press; wastewater treatment unit; at updated plant - US_Base_With Amendment_Aerated Static Pile</v>
      </c>
    </row>
    <row r="10592" spans="1:13" s="120" customFormat="1" x14ac:dyDescent="0.25">
      <c r="A10592" s="119"/>
      <c r="B10592" s="138" t="str">
        <f t="shared" si="901"/>
        <v>Aerated Static Pile</v>
      </c>
      <c r="C10592" s="138" t="str">
        <f t="shared" si="902"/>
        <v>Base_With Amendment</v>
      </c>
      <c r="D10592" s="138" t="str">
        <f t="shared" si="898"/>
        <v>High_High</v>
      </c>
      <c r="E10592" s="138" t="str">
        <f t="shared" si="899"/>
        <v>Low</v>
      </c>
      <c r="F10592" s="138" t="str">
        <f t="shared" si="903"/>
        <v>Upgraded</v>
      </c>
      <c r="G10592" s="153"/>
      <c r="H10592" s="210">
        <v>3.2399999999999998E-2</v>
      </c>
      <c r="I10592" s="160" t="s">
        <v>435</v>
      </c>
      <c r="J10592" s="211">
        <v>3.4866500000000002E-5</v>
      </c>
      <c r="K10592" s="160" t="s">
        <v>26</v>
      </c>
      <c r="L10592" s="154" t="str">
        <f>IF(OpenLCAbasic!K10592="CTUh", "Fill in Manually",IF(OR(K10592="Unit", K10592=""), "", INDEX(LookUps!$E$5:$E$12, MATCH(OpenLCAbasic!K10592,LookUps!$D$5:$D$12,0))))</f>
        <v>Water Use (WU) - m3 H2O</v>
      </c>
      <c r="M10592" s="154" t="str">
        <f t="shared" si="900"/>
        <v>Low_High_High_Upgraded_Water Use (WU) - m3 H2O_Biosolids composting; aerated static pile; wastewater treatment unit; at updated plant - US_Base_With Amendment_Aerated Static Pile</v>
      </c>
    </row>
    <row r="10593" spans="1:13" s="120" customFormat="1" x14ac:dyDescent="0.25">
      <c r="A10593" s="119"/>
      <c r="B10593" s="138" t="str">
        <f t="shared" si="901"/>
        <v>Aerated Static Pile</v>
      </c>
      <c r="C10593" s="138" t="str">
        <f t="shared" si="902"/>
        <v>Base_With Amendment</v>
      </c>
      <c r="D10593" s="138" t="str">
        <f t="shared" si="898"/>
        <v>High_High</v>
      </c>
      <c r="E10593" s="138" t="str">
        <f t="shared" si="899"/>
        <v>Low</v>
      </c>
      <c r="F10593" s="138" t="str">
        <f t="shared" si="903"/>
        <v>Upgraded</v>
      </c>
      <c r="G10593" s="153"/>
      <c r="H10593" s="210">
        <v>2.8299999999999999E-2</v>
      </c>
      <c r="I10593" s="160" t="s">
        <v>57</v>
      </c>
      <c r="J10593" s="211">
        <v>3.0408100000000001E-5</v>
      </c>
      <c r="K10593" s="160" t="s">
        <v>26</v>
      </c>
      <c r="L10593" s="154" t="str">
        <f>IF(OpenLCAbasic!K10593="CTUh", "Fill in Manually",IF(OR(K10593="Unit", K10593=""), "", INDEX(LookUps!$E$5:$E$12, MATCH(OpenLCAbasic!K10593,LookUps!$D$5:$D$12,0))))</f>
        <v>Water Use (WU) - m3 H2O</v>
      </c>
      <c r="M10593" s="154" t="str">
        <f t="shared" si="900"/>
        <v>Low_High_High_Upgraded_Water Use (WU) - m3 H2O_Gravity Belt Thickener; wastewater treatment unit; at updated plant - US_Base_With Amendment_Aerated Static Pile</v>
      </c>
    </row>
    <row r="10594" spans="1:13" s="120" customFormat="1" x14ac:dyDescent="0.25">
      <c r="A10594" s="119"/>
      <c r="B10594" s="138" t="str">
        <f t="shared" si="901"/>
        <v>Aerated Static Pile</v>
      </c>
      <c r="C10594" s="138" t="str">
        <f t="shared" si="902"/>
        <v>Base_With Amendment</v>
      </c>
      <c r="D10594" s="138" t="str">
        <f t="shared" si="898"/>
        <v>High_High</v>
      </c>
      <c r="E10594" s="138" t="str">
        <f t="shared" si="899"/>
        <v>Low</v>
      </c>
      <c r="F10594" s="138" t="str">
        <f t="shared" si="903"/>
        <v>Upgraded</v>
      </c>
      <c r="G10594" s="153"/>
      <c r="H10594" s="210">
        <v>1.6299999999999999E-2</v>
      </c>
      <c r="I10594" s="160" t="s">
        <v>53</v>
      </c>
      <c r="J10594" s="211">
        <v>1.75069E-5</v>
      </c>
      <c r="K10594" s="160" t="s">
        <v>26</v>
      </c>
      <c r="L10594" s="154" t="str">
        <f>IF(OpenLCAbasic!K10594="CTUh", "Fill in Manually",IF(OR(K10594="Unit", K10594=""), "", INDEX(LookUps!$E$5:$E$12, MATCH(OpenLCAbasic!K10594,LookUps!$D$5:$D$12,0))))</f>
        <v>Water Use (WU) - m3 H2O</v>
      </c>
      <c r="M10594" s="154" t="str">
        <f t="shared" si="900"/>
        <v>Low_High_High_Upgraded_Water Use (WU) - m3 H2O_Wet Well and Sump Station; wastewater treatment unit; at updated plant - US_Base_With Amendment_Aerated Static Pile</v>
      </c>
    </row>
    <row r="10595" spans="1:13" s="120" customFormat="1" x14ac:dyDescent="0.25">
      <c r="A10595" s="119"/>
      <c r="B10595" s="138" t="str">
        <f t="shared" si="901"/>
        <v>Aerated Static Pile</v>
      </c>
      <c r="C10595" s="138" t="str">
        <f t="shared" si="902"/>
        <v>Base_With Amendment</v>
      </c>
      <c r="D10595" s="138" t="str">
        <f t="shared" si="898"/>
        <v>High_High</v>
      </c>
      <c r="E10595" s="138" t="str">
        <f t="shared" si="899"/>
        <v>Low</v>
      </c>
      <c r="F10595" s="138" t="str">
        <f t="shared" si="903"/>
        <v>Upgraded</v>
      </c>
      <c r="G10595" s="153"/>
      <c r="H10595" s="210">
        <v>6.4999999999999997E-3</v>
      </c>
      <c r="I10595" s="160" t="s">
        <v>59</v>
      </c>
      <c r="J10595" s="211">
        <v>7.0179500000000003E-6</v>
      </c>
      <c r="K10595" s="160" t="s">
        <v>26</v>
      </c>
      <c r="L10595" s="154" t="str">
        <f>IF(OpenLCAbasic!K10595="CTUh", "Fill in Manually",IF(OR(K10595="Unit", K10595=""), "", INDEX(LookUps!$E$5:$E$12, MATCH(OpenLCAbasic!K10595,LookUps!$D$5:$D$12,0))))</f>
        <v>Water Use (WU) - m3 H2O</v>
      </c>
      <c r="M10595" s="154" t="str">
        <f t="shared" si="900"/>
        <v>Low_High_High_Upgraded_Water Use (WU) - m3 H2O_Blend Tank; wastewater treatment unit; at updated plant - US_Base_With Amendment_Aerated Static Pile</v>
      </c>
    </row>
    <row r="10596" spans="1:13" s="120" customFormat="1" x14ac:dyDescent="0.25">
      <c r="A10596" s="119"/>
      <c r="B10596" s="138" t="str">
        <f t="shared" si="901"/>
        <v>Aerated Static Pile</v>
      </c>
      <c r="C10596" s="138" t="str">
        <f t="shared" si="902"/>
        <v>Base_With Amendment</v>
      </c>
      <c r="D10596" s="138" t="str">
        <f t="shared" si="898"/>
        <v>High_High</v>
      </c>
      <c r="E10596" s="138" t="str">
        <f t="shared" si="899"/>
        <v>Low</v>
      </c>
      <c r="F10596" s="138" t="str">
        <f t="shared" si="903"/>
        <v>Upgraded</v>
      </c>
      <c r="G10596" s="153"/>
      <c r="H10596" s="210">
        <v>4.7000000000000002E-3</v>
      </c>
      <c r="I10596" s="160" t="s">
        <v>128</v>
      </c>
      <c r="J10596" s="211">
        <v>5.0608900000000003E-6</v>
      </c>
      <c r="K10596" s="160" t="s">
        <v>26</v>
      </c>
      <c r="L10596" s="154" t="str">
        <f>IF(OpenLCAbasic!K10596="CTUh", "Fill in Manually",IF(OR(K10596="Unit", K10596=""), "", INDEX(LookUps!$E$5:$E$12, MATCH(OpenLCAbasic!K10596,LookUps!$D$5:$D$12,0))))</f>
        <v>Water Use (WU) - m3 H2O</v>
      </c>
      <c r="M10596" s="154" t="str">
        <f t="shared" si="900"/>
        <v>Low_High_High_Upgraded_Water Use (WU) - m3 H2O_Wastewater collection; operation and infrastructure; m3 wastewater_Base_With Amendment_Aerated Static Pile</v>
      </c>
    </row>
    <row r="10597" spans="1:13" s="120" customFormat="1" x14ac:dyDescent="0.25">
      <c r="A10597" s="119"/>
      <c r="B10597" s="138" t="str">
        <f t="shared" si="901"/>
        <v>Aerated Static Pile</v>
      </c>
      <c r="C10597" s="138" t="str">
        <f t="shared" si="902"/>
        <v>Base_With Amendment</v>
      </c>
      <c r="D10597" s="138" t="str">
        <f t="shared" si="898"/>
        <v>High_High</v>
      </c>
      <c r="E10597" s="138" t="str">
        <f t="shared" si="899"/>
        <v>Low</v>
      </c>
      <c r="F10597" s="138" t="str">
        <f t="shared" si="903"/>
        <v>Upgraded</v>
      </c>
      <c r="G10597" s="153"/>
      <c r="H10597" s="210">
        <v>6.9999999999999999E-4</v>
      </c>
      <c r="I10597" s="160" t="s">
        <v>168</v>
      </c>
      <c r="J10597" s="211">
        <v>7.6697000000000004E-7</v>
      </c>
      <c r="K10597" s="160" t="s">
        <v>26</v>
      </c>
      <c r="L10597" s="154" t="str">
        <f>IF(OpenLCAbasic!K10597="CTUh", "Fill in Manually",IF(OR(K10597="Unit", K10597=""), "", INDEX(LookUps!$E$5:$E$12, MATCH(OpenLCAbasic!K10597,LookUps!$D$5:$D$12,0))))</f>
        <v>Water Use (WU) - m3 H2O</v>
      </c>
      <c r="M10597" s="154" t="str">
        <f t="shared" si="900"/>
        <v>Low_High_High_Upgraded_Water Use (WU) - m3 H2O_ClearCove SCP; wastewater treatment unit; at updated plant - US_Base_With Amendment_Aerated Static Pile</v>
      </c>
    </row>
    <row r="10598" spans="1:13" s="120" customFormat="1" x14ac:dyDescent="0.25">
      <c r="A10598" s="119"/>
      <c r="B10598" s="138" t="str">
        <f t="shared" si="901"/>
        <v>Aerated Static Pile</v>
      </c>
      <c r="C10598" s="138" t="str">
        <f t="shared" si="902"/>
        <v>Base_With Amendment</v>
      </c>
      <c r="D10598" s="138" t="str">
        <f t="shared" si="898"/>
        <v>High_High</v>
      </c>
      <c r="E10598" s="138" t="str">
        <f t="shared" si="899"/>
        <v>Low</v>
      </c>
      <c r="F10598" s="138" t="str">
        <f t="shared" si="903"/>
        <v>Upgraded</v>
      </c>
      <c r="G10598" s="153"/>
      <c r="H10598" s="210">
        <v>-0.25030000000000002</v>
      </c>
      <c r="I10598" s="160" t="s">
        <v>149</v>
      </c>
      <c r="J10598" s="160">
        <v>-2.7E-4</v>
      </c>
      <c r="K10598" s="160" t="s">
        <v>26</v>
      </c>
      <c r="L10598" s="154" t="str">
        <f>IF(OpenLCAbasic!K10598="CTUh", "Fill in Manually",IF(OR(K10598="Unit", K10598=""), "", INDEX(LookUps!$E$5:$E$12, MATCH(OpenLCAbasic!K10598,LookUps!$D$5:$D$12,0))))</f>
        <v>Water Use (WU) - m3 H2O</v>
      </c>
      <c r="M10598" s="154" t="str">
        <f t="shared" si="900"/>
        <v>Low_High_High_Upgraded_Water Use (WU) - m3 H2O_Anaerobic Digestion; wastewater treatment unit; at updated plant - US_Base_With Amendment_Aerated Static Pile</v>
      </c>
    </row>
    <row r="10599" spans="1:13" s="120" customFormat="1" x14ac:dyDescent="0.25">
      <c r="A10599" s="119"/>
      <c r="B10599" s="138" t="str">
        <f t="shared" si="901"/>
        <v>Aerated Static Pile</v>
      </c>
      <c r="C10599" s="138" t="str">
        <f t="shared" si="902"/>
        <v>Base_With Amendment</v>
      </c>
      <c r="D10599" s="138" t="str">
        <f t="shared" si="898"/>
        <v>High_High</v>
      </c>
      <c r="E10599" s="138" t="str">
        <f t="shared" si="899"/>
        <v>Low</v>
      </c>
      <c r="F10599" s="138" t="str">
        <f t="shared" si="903"/>
        <v>Upgraded</v>
      </c>
      <c r="G10599" s="153"/>
      <c r="H10599" s="210">
        <v>-1.9185000000000001</v>
      </c>
      <c r="I10599" s="160" t="s">
        <v>62</v>
      </c>
      <c r="J10599" s="160">
        <v>-2.0600000000000002E-3</v>
      </c>
      <c r="K10599" s="160" t="s">
        <v>26</v>
      </c>
      <c r="L10599" s="154" t="str">
        <f>IF(OpenLCAbasic!K10599="CTUh", "Fill in Manually",IF(OR(K10599="Unit", K10599=""), "", INDEX(LookUps!$E$5:$E$12, MATCH(OpenLCAbasic!K10599,LookUps!$D$5:$D$12,0))))</f>
        <v>Water Use (WU) - m3 H2O</v>
      </c>
      <c r="M10599" s="154" t="str">
        <f t="shared" si="900"/>
        <v>Low_High_High_Upgraded_Water Use (WU) - m3 H2O_Land application of compost; wastewater treatment unit; at updated plant - US_Base_With Amendment_Aerated Static Pile</v>
      </c>
    </row>
    <row r="10600" spans="1:13" s="120" customFormat="1" x14ac:dyDescent="0.25">
      <c r="A10600" s="119"/>
      <c r="B10600" s="138" t="str">
        <f t="shared" si="901"/>
        <v/>
      </c>
      <c r="C10600" s="138" t="str">
        <f t="shared" si="902"/>
        <v/>
      </c>
      <c r="D10600" s="138" t="str">
        <f>IF(ISNUMBER($J10600),"Base_Low","")</f>
        <v/>
      </c>
      <c r="E10600" s="138" t="str">
        <f>IF(ISNUMBER($J10600),"High","")</f>
        <v/>
      </c>
      <c r="F10600" s="138" t="str">
        <f t="shared" si="903"/>
        <v/>
      </c>
      <c r="G10600" s="153" t="s">
        <v>51</v>
      </c>
      <c r="H10600" s="160"/>
      <c r="I10600" s="160" t="s">
        <v>47</v>
      </c>
      <c r="J10600" s="160" t="s">
        <v>52</v>
      </c>
      <c r="K10600" s="160" t="s">
        <v>27</v>
      </c>
      <c r="L10600" s="154" t="str">
        <f>IF(OpenLCAbasic!K10600="CTUh", "Fill in Manually",IF(OR(K10600="Unit", K10600=""), "", INDEX(LookUps!$E$5:$E$12, MATCH(OpenLCAbasic!K10600,LookUps!$D$5:$D$12,0))))</f>
        <v/>
      </c>
      <c r="M10600" s="154" t="str">
        <f t="shared" si="900"/>
        <v>____Process__</v>
      </c>
    </row>
    <row r="10601" spans="1:13" s="120" customFormat="1" x14ac:dyDescent="0.25">
      <c r="A10601" s="119"/>
      <c r="B10601" s="138" t="str">
        <f t="shared" si="901"/>
        <v>Aerated Static Pile</v>
      </c>
      <c r="C10601" s="138" t="str">
        <f t="shared" si="902"/>
        <v>Base_With Amendment</v>
      </c>
      <c r="D10601" s="138" t="str">
        <f t="shared" ref="D10601:D10664" si="904">IF(ISNUMBER($J10601),"Base_Low","")</f>
        <v>Base_Low</v>
      </c>
      <c r="E10601" s="138" t="str">
        <f t="shared" ref="E10601:E10664" si="905">IF(ISNUMBER($J10601),"High","")</f>
        <v>High</v>
      </c>
      <c r="F10601" s="138" t="str">
        <f t="shared" si="903"/>
        <v>Upgraded</v>
      </c>
      <c r="G10601" s="153"/>
      <c r="H10601" s="210">
        <v>0.33750000000000002</v>
      </c>
      <c r="I10601" s="160" t="s">
        <v>55</v>
      </c>
      <c r="J10601" s="160">
        <v>1.7219999999999999E-2</v>
      </c>
      <c r="K10601" s="160" t="s">
        <v>24</v>
      </c>
      <c r="L10601" s="154" t="str">
        <f>IF(OpenLCAbasic!K10601="CTUh", "Fill in Manually",IF(OR(K10601="Unit", K10601=""), "", INDEX(LookUps!$E$5:$E$12, MATCH(OpenLCAbasic!K10601,LookUps!$D$5:$D$12,0))))</f>
        <v>Acidification Potential (AP) - kg SO2 eq</v>
      </c>
      <c r="M10601" s="154" t="str">
        <f t="shared" si="900"/>
        <v>High_Base_Low_Upgraded_Acidification Potential (AP) - kg SO2 eq_Aeration Tanks; wastewater treatment unit; at updated plant - US_Base_With Amendment_Aerated Static Pile</v>
      </c>
    </row>
    <row r="10602" spans="1:13" s="120" customFormat="1" x14ac:dyDescent="0.25">
      <c r="A10602" s="119"/>
      <c r="B10602" s="138" t="str">
        <f t="shared" si="901"/>
        <v>Aerated Static Pile</v>
      </c>
      <c r="C10602" s="138" t="str">
        <f t="shared" si="902"/>
        <v>Base_With Amendment</v>
      </c>
      <c r="D10602" s="138" t="str">
        <f t="shared" si="904"/>
        <v>Base_Low</v>
      </c>
      <c r="E10602" s="138" t="str">
        <f t="shared" si="905"/>
        <v>High</v>
      </c>
      <c r="F10602" s="138" t="str">
        <f t="shared" si="903"/>
        <v>Upgraded</v>
      </c>
      <c r="G10602" s="153"/>
      <c r="H10602" s="210">
        <v>0.1459</v>
      </c>
      <c r="I10602" s="160" t="s">
        <v>435</v>
      </c>
      <c r="J10602" s="160">
        <v>7.4400000000000004E-3</v>
      </c>
      <c r="K10602" s="160" t="s">
        <v>24</v>
      </c>
      <c r="L10602" s="154" t="str">
        <f>IF(OpenLCAbasic!K10602="CTUh", "Fill in Manually",IF(OR(K10602="Unit", K10602=""), "", INDEX(LookUps!$E$5:$E$12, MATCH(OpenLCAbasic!K10602,LookUps!$D$5:$D$12,0))))</f>
        <v>Acidification Potential (AP) - kg SO2 eq</v>
      </c>
      <c r="M10602" s="154" t="str">
        <f t="shared" si="900"/>
        <v>High_Base_Low_Upgraded_Acidification Potential (AP) - kg SO2 eq_Biosolids composting; aerated static pile; wastewater treatment unit; at updated plant - US_Base_With Amendment_Aerated Static Pile</v>
      </c>
    </row>
    <row r="10603" spans="1:13" s="120" customFormat="1" x14ac:dyDescent="0.25">
      <c r="A10603" s="119"/>
      <c r="B10603" s="138" t="str">
        <f t="shared" si="901"/>
        <v>Aerated Static Pile</v>
      </c>
      <c r="C10603" s="138" t="str">
        <f t="shared" si="902"/>
        <v>Base_With Amendment</v>
      </c>
      <c r="D10603" s="138" t="str">
        <f t="shared" si="904"/>
        <v>Base_Low</v>
      </c>
      <c r="E10603" s="138" t="str">
        <f t="shared" si="905"/>
        <v>High</v>
      </c>
      <c r="F10603" s="138" t="str">
        <f t="shared" si="903"/>
        <v>Upgraded</v>
      </c>
      <c r="G10603" s="153"/>
      <c r="H10603" s="210">
        <v>9.7600000000000006E-2</v>
      </c>
      <c r="I10603" s="160" t="s">
        <v>54</v>
      </c>
      <c r="J10603" s="160">
        <v>4.9800000000000001E-3</v>
      </c>
      <c r="K10603" s="160" t="s">
        <v>24</v>
      </c>
      <c r="L10603" s="154" t="str">
        <f>IF(OpenLCAbasic!K10603="CTUh", "Fill in Manually",IF(OR(K10603="Unit", K10603=""), "", INDEX(LookUps!$E$5:$E$12, MATCH(OpenLCAbasic!K10603,LookUps!$D$5:$D$12,0))))</f>
        <v>Acidification Potential (AP) - kg SO2 eq</v>
      </c>
      <c r="M10603" s="154" t="str">
        <f t="shared" si="900"/>
        <v>High_Base_Low_Upgraded_Acidification Potential (AP) - kg SO2 eq_Clear Cove Primary Clarification; wastewater treatment unit; at updated plant - US_Base_With Amendment_Aerated Static Pile</v>
      </c>
    </row>
    <row r="10604" spans="1:13" s="120" customFormat="1" x14ac:dyDescent="0.25">
      <c r="A10604" s="119"/>
      <c r="B10604" s="138" t="str">
        <f t="shared" si="901"/>
        <v>Aerated Static Pile</v>
      </c>
      <c r="C10604" s="138" t="str">
        <f t="shared" si="902"/>
        <v>Base_With Amendment</v>
      </c>
      <c r="D10604" s="138" t="str">
        <f t="shared" si="904"/>
        <v>Base_Low</v>
      </c>
      <c r="E10604" s="138" t="str">
        <f t="shared" si="905"/>
        <v>High</v>
      </c>
      <c r="F10604" s="138" t="str">
        <f t="shared" si="903"/>
        <v>Upgraded</v>
      </c>
      <c r="G10604" s="153"/>
      <c r="H10604" s="210">
        <v>8.4900000000000003E-2</v>
      </c>
      <c r="I10604" s="160" t="s">
        <v>58</v>
      </c>
      <c r="J10604" s="160">
        <v>4.3299999999999996E-3</v>
      </c>
      <c r="K10604" s="160" t="s">
        <v>24</v>
      </c>
      <c r="L10604" s="154" t="str">
        <f>IF(OpenLCAbasic!K10604="CTUh", "Fill in Manually",IF(OR(K10604="Unit", K10604=""), "", INDEX(LookUps!$E$5:$E$12, MATCH(OpenLCAbasic!K10604,LookUps!$D$5:$D$12,0))))</f>
        <v>Acidification Potential (AP) - kg SO2 eq</v>
      </c>
      <c r="M10604" s="154" t="str">
        <f t="shared" si="900"/>
        <v>High_Base_Low_Upgraded_Acidification Potential (AP) - kg SO2 eq_Pre-Anoxic &amp; Swing tank; wastewater treatment unit; at updated plant - US_Base_With Amendment_Aerated Static Pile</v>
      </c>
    </row>
    <row r="10605" spans="1:13" s="120" customFormat="1" x14ac:dyDescent="0.25">
      <c r="A10605" s="119"/>
      <c r="B10605" s="138" t="str">
        <f t="shared" si="901"/>
        <v>Aerated Static Pile</v>
      </c>
      <c r="C10605" s="138" t="str">
        <f t="shared" si="902"/>
        <v>Base_With Amendment</v>
      </c>
      <c r="D10605" s="138" t="str">
        <f t="shared" si="904"/>
        <v>Base_Low</v>
      </c>
      <c r="E10605" s="138" t="str">
        <f t="shared" si="905"/>
        <v>High</v>
      </c>
      <c r="F10605" s="138" t="str">
        <f t="shared" si="903"/>
        <v>Upgraded</v>
      </c>
      <c r="G10605" s="153"/>
      <c r="H10605" s="210">
        <v>6.7599999999999993E-2</v>
      </c>
      <c r="I10605" s="160" t="s">
        <v>53</v>
      </c>
      <c r="J10605" s="160">
        <v>3.4499999999999999E-3</v>
      </c>
      <c r="K10605" s="160" t="s">
        <v>24</v>
      </c>
      <c r="L10605" s="154" t="str">
        <f>IF(OpenLCAbasic!K10605="CTUh", "Fill in Manually",IF(OR(K10605="Unit", K10605=""), "", INDEX(LookUps!$E$5:$E$12, MATCH(OpenLCAbasic!K10605,LookUps!$D$5:$D$12,0))))</f>
        <v>Acidification Potential (AP) - kg SO2 eq</v>
      </c>
      <c r="M10605" s="154" t="str">
        <f t="shared" si="900"/>
        <v>High_Base_Low_Upgraded_Acidification Potential (AP) - kg SO2 eq_Wet Well and Sump Station; wastewater treatment unit; at updated plant - US_Base_With Amendment_Aerated Static Pile</v>
      </c>
    </row>
    <row r="10606" spans="1:13" s="120" customFormat="1" x14ac:dyDescent="0.25">
      <c r="A10606" s="119"/>
      <c r="B10606" s="138" t="str">
        <f t="shared" si="901"/>
        <v>Aerated Static Pile</v>
      </c>
      <c r="C10606" s="138" t="str">
        <f t="shared" si="902"/>
        <v>Base_With Amendment</v>
      </c>
      <c r="D10606" s="138" t="str">
        <f t="shared" si="904"/>
        <v>Base_Low</v>
      </c>
      <c r="E10606" s="138" t="str">
        <f t="shared" si="905"/>
        <v>High</v>
      </c>
      <c r="F10606" s="138" t="str">
        <f t="shared" si="903"/>
        <v>Upgraded</v>
      </c>
      <c r="G10606" s="153"/>
      <c r="H10606" s="210">
        <v>5.11E-2</v>
      </c>
      <c r="I10606" s="160" t="s">
        <v>62</v>
      </c>
      <c r="J10606" s="160">
        <v>2.6099999999999999E-3</v>
      </c>
      <c r="K10606" s="160" t="s">
        <v>24</v>
      </c>
      <c r="L10606" s="154" t="str">
        <f>IF(OpenLCAbasic!K10606="CTUh", "Fill in Manually",IF(OR(K10606="Unit", K10606=""), "", INDEX(LookUps!$E$5:$E$12, MATCH(OpenLCAbasic!K10606,LookUps!$D$5:$D$12,0))))</f>
        <v>Acidification Potential (AP) - kg SO2 eq</v>
      </c>
      <c r="M10606" s="154" t="str">
        <f t="shared" si="900"/>
        <v>High_Base_Low_Upgraded_Acidification Potential (AP) - kg SO2 eq_Land application of compost; wastewater treatment unit; at updated plant - US_Base_With Amendment_Aerated Static Pile</v>
      </c>
    </row>
    <row r="10607" spans="1:13" s="120" customFormat="1" x14ac:dyDescent="0.25">
      <c r="A10607" s="119"/>
      <c r="B10607" s="138" t="str">
        <f t="shared" si="901"/>
        <v>Aerated Static Pile</v>
      </c>
      <c r="C10607" s="138" t="str">
        <f t="shared" si="902"/>
        <v>Base_With Amendment</v>
      </c>
      <c r="D10607" s="138" t="str">
        <f t="shared" si="904"/>
        <v>Base_Low</v>
      </c>
      <c r="E10607" s="138" t="str">
        <f t="shared" si="905"/>
        <v>High</v>
      </c>
      <c r="F10607" s="138" t="str">
        <f t="shared" si="903"/>
        <v>Upgraded</v>
      </c>
      <c r="G10607" s="153"/>
      <c r="H10607" s="210">
        <v>5.0900000000000001E-2</v>
      </c>
      <c r="I10607" s="160" t="s">
        <v>149</v>
      </c>
      <c r="J10607" s="160">
        <v>2.5999999999999999E-3</v>
      </c>
      <c r="K10607" s="160" t="s">
        <v>24</v>
      </c>
      <c r="L10607" s="154" t="str">
        <f>IF(OpenLCAbasic!K10607="CTUh", "Fill in Manually",IF(OR(K10607="Unit", K10607=""), "", INDEX(LookUps!$E$5:$E$12, MATCH(OpenLCAbasic!K10607,LookUps!$D$5:$D$12,0))))</f>
        <v>Acidification Potential (AP) - kg SO2 eq</v>
      </c>
      <c r="M10607" s="154" t="str">
        <f t="shared" si="900"/>
        <v>High_Base_Low_Upgraded_Acidification Potential (AP) - kg SO2 eq_Anaerobic Digestion; wastewater treatment unit; at updated plant - US_Base_With Amendment_Aerated Static Pile</v>
      </c>
    </row>
    <row r="10608" spans="1:13" s="120" customFormat="1" x14ac:dyDescent="0.25">
      <c r="A10608" s="119"/>
      <c r="B10608" s="138" t="str">
        <f t="shared" si="901"/>
        <v>Aerated Static Pile</v>
      </c>
      <c r="C10608" s="138" t="str">
        <f t="shared" si="902"/>
        <v>Base_With Amendment</v>
      </c>
      <c r="D10608" s="138" t="str">
        <f t="shared" si="904"/>
        <v>Base_Low</v>
      </c>
      <c r="E10608" s="138" t="str">
        <f t="shared" si="905"/>
        <v>High</v>
      </c>
      <c r="F10608" s="138" t="str">
        <f t="shared" si="903"/>
        <v>Upgraded</v>
      </c>
      <c r="G10608" s="153"/>
      <c r="H10608" s="210">
        <v>4.65E-2</v>
      </c>
      <c r="I10608" s="160" t="s">
        <v>167</v>
      </c>
      <c r="J10608" s="160">
        <v>2.3800000000000002E-3</v>
      </c>
      <c r="K10608" s="160" t="s">
        <v>24</v>
      </c>
      <c r="L10608" s="154" t="str">
        <f>IF(OpenLCAbasic!K10608="CTUh", "Fill in Manually",IF(OR(K10608="Unit", K10608=""), "", INDEX(LookUps!$E$5:$E$12, MATCH(OpenLCAbasic!K10608,LookUps!$D$5:$D$12,0))))</f>
        <v>Acidification Potential (AP) - kg SO2 eq</v>
      </c>
      <c r="M10608" s="154" t="str">
        <f t="shared" si="900"/>
        <v>High_Base_Low_Upgraded_Acidification Potential (AP) - kg SO2 eq_Waste Receiving and Holding; wastewater treatment unit; at updated plant - US_Base_With Amendment_Aerated Static Pile</v>
      </c>
    </row>
    <row r="10609" spans="1:13" s="120" customFormat="1" x14ac:dyDescent="0.25">
      <c r="A10609" s="119"/>
      <c r="B10609" s="138" t="str">
        <f t="shared" si="901"/>
        <v>Aerated Static Pile</v>
      </c>
      <c r="C10609" s="138" t="str">
        <f t="shared" si="902"/>
        <v>Base_With Amendment</v>
      </c>
      <c r="D10609" s="138" t="str">
        <f t="shared" si="904"/>
        <v>Base_Low</v>
      </c>
      <c r="E10609" s="138" t="str">
        <f t="shared" si="905"/>
        <v>High</v>
      </c>
      <c r="F10609" s="138" t="str">
        <f t="shared" si="903"/>
        <v>Upgraded</v>
      </c>
      <c r="G10609" s="153"/>
      <c r="H10609" s="210">
        <v>4.0500000000000001E-2</v>
      </c>
      <c r="I10609" s="160" t="s">
        <v>147</v>
      </c>
      <c r="J10609" s="160">
        <v>2.0699999999999998E-3</v>
      </c>
      <c r="K10609" s="160" t="s">
        <v>24</v>
      </c>
      <c r="L10609" s="154" t="str">
        <f>IF(OpenLCAbasic!K10609="CTUh", "Fill in Manually",IF(OR(K10609="Unit", K10609=""), "", INDEX(LookUps!$E$5:$E$12, MATCH(OpenLCAbasic!K10609,LookUps!$D$5:$D$12,0))))</f>
        <v>Acidification Potential (AP) - kg SO2 eq</v>
      </c>
      <c r="M10609" s="154" t="str">
        <f t="shared" si="900"/>
        <v>High_Base_Low_Upgraded_Acidification Potential (AP) - kg SO2 eq_Influent Pump Station; wastewater treatment unit; at updated plant - US_Base_With Amendment_Aerated Static Pile</v>
      </c>
    </row>
    <row r="10610" spans="1:13" s="120" customFormat="1" x14ac:dyDescent="0.25">
      <c r="A10610" s="119"/>
      <c r="B10610" s="138" t="str">
        <f t="shared" si="901"/>
        <v>Aerated Static Pile</v>
      </c>
      <c r="C10610" s="138" t="str">
        <f t="shared" si="902"/>
        <v>Base_With Amendment</v>
      </c>
      <c r="D10610" s="138" t="str">
        <f t="shared" si="904"/>
        <v>Base_Low</v>
      </c>
      <c r="E10610" s="138" t="str">
        <f t="shared" si="905"/>
        <v>High</v>
      </c>
      <c r="F10610" s="138" t="str">
        <f t="shared" si="903"/>
        <v>Upgraded</v>
      </c>
      <c r="G10610" s="153"/>
      <c r="H10610" s="210">
        <v>2.4199999999999999E-2</v>
      </c>
      <c r="I10610" s="160" t="s">
        <v>128</v>
      </c>
      <c r="J10610" s="160">
        <v>1.23E-3</v>
      </c>
      <c r="K10610" s="160" t="s">
        <v>24</v>
      </c>
      <c r="L10610" s="154" t="str">
        <f>IF(OpenLCAbasic!K10610="CTUh", "Fill in Manually",IF(OR(K10610="Unit", K10610=""), "", INDEX(LookUps!$E$5:$E$12, MATCH(OpenLCAbasic!K10610,LookUps!$D$5:$D$12,0))))</f>
        <v>Acidification Potential (AP) - kg SO2 eq</v>
      </c>
      <c r="M10610" s="154" t="str">
        <f t="shared" si="900"/>
        <v>High_Base_Low_Upgraded_Acidification Potential (AP) - kg SO2 eq_Wastewater collection; operation and infrastructure; m3 wastewater_Base_With Amendment_Aerated Static Pile</v>
      </c>
    </row>
    <row r="10611" spans="1:13" s="120" customFormat="1" x14ac:dyDescent="0.25">
      <c r="A10611" s="119"/>
      <c r="B10611" s="138" t="str">
        <f t="shared" si="901"/>
        <v>Aerated Static Pile</v>
      </c>
      <c r="C10611" s="138" t="str">
        <f t="shared" si="902"/>
        <v>Base_With Amendment</v>
      </c>
      <c r="D10611" s="138" t="str">
        <f t="shared" si="904"/>
        <v>Base_Low</v>
      </c>
      <c r="E10611" s="138" t="str">
        <f t="shared" si="905"/>
        <v>High</v>
      </c>
      <c r="F10611" s="138" t="str">
        <f t="shared" si="903"/>
        <v>Upgraded</v>
      </c>
      <c r="G10611" s="153"/>
      <c r="H10611" s="210">
        <v>1.6799999999999999E-2</v>
      </c>
      <c r="I10611" s="160" t="s">
        <v>60</v>
      </c>
      <c r="J10611" s="160">
        <v>8.5999999999999998E-4</v>
      </c>
      <c r="K10611" s="160" t="s">
        <v>24</v>
      </c>
      <c r="L10611" s="154" t="str">
        <f>IF(OpenLCAbasic!K10611="CTUh", "Fill in Manually",IF(OR(K10611="Unit", K10611=""), "", INDEX(LookUps!$E$5:$E$12, MATCH(OpenLCAbasic!K10611,LookUps!$D$5:$D$12,0))))</f>
        <v>Acidification Potential (AP) - kg SO2 eq</v>
      </c>
      <c r="M10611" s="154" t="str">
        <f t="shared" si="900"/>
        <v>High_Base_Low_Upgraded_Acidification Potential (AP) - kg SO2 eq_Belt filter press; wastewater treatment unit; at updated plant - US_Base_With Amendment_Aerated Static Pile</v>
      </c>
    </row>
    <row r="10612" spans="1:13" s="120" customFormat="1" x14ac:dyDescent="0.25">
      <c r="A10612" s="119"/>
      <c r="B10612" s="138" t="str">
        <f t="shared" si="901"/>
        <v>Aerated Static Pile</v>
      </c>
      <c r="C10612" s="138" t="str">
        <f t="shared" si="902"/>
        <v>Base_With Amendment</v>
      </c>
      <c r="D10612" s="138" t="str">
        <f t="shared" si="904"/>
        <v>Base_Low</v>
      </c>
      <c r="E10612" s="138" t="str">
        <f t="shared" si="905"/>
        <v>High</v>
      </c>
      <c r="F10612" s="138" t="str">
        <f t="shared" si="903"/>
        <v>Upgraded</v>
      </c>
      <c r="G10612" s="153"/>
      <c r="H10612" s="210">
        <v>1.38E-2</v>
      </c>
      <c r="I10612" s="160" t="s">
        <v>57</v>
      </c>
      <c r="J10612" s="160">
        <v>6.9999999999999999E-4</v>
      </c>
      <c r="K10612" s="160" t="s">
        <v>24</v>
      </c>
      <c r="L10612" s="154" t="str">
        <f>IF(OpenLCAbasic!K10612="CTUh", "Fill in Manually",IF(OR(K10612="Unit", K10612=""), "", INDEX(LookUps!$E$5:$E$12, MATCH(OpenLCAbasic!K10612,LookUps!$D$5:$D$12,0))))</f>
        <v>Acidification Potential (AP) - kg SO2 eq</v>
      </c>
      <c r="M10612" s="154" t="str">
        <f t="shared" si="900"/>
        <v>High_Base_Low_Upgraded_Acidification Potential (AP) - kg SO2 eq_Gravity Belt Thickener; wastewater treatment unit; at updated plant - US_Base_With Amendment_Aerated Static Pile</v>
      </c>
    </row>
    <row r="10613" spans="1:13" s="120" customFormat="1" x14ac:dyDescent="0.25">
      <c r="A10613" s="119"/>
      <c r="B10613" s="138" t="str">
        <f t="shared" si="901"/>
        <v>Aerated Static Pile</v>
      </c>
      <c r="C10613" s="138" t="str">
        <f t="shared" si="902"/>
        <v>Base_With Amendment</v>
      </c>
      <c r="D10613" s="138" t="str">
        <f t="shared" si="904"/>
        <v>Base_Low</v>
      </c>
      <c r="E10613" s="138" t="str">
        <f t="shared" si="905"/>
        <v>High</v>
      </c>
      <c r="F10613" s="138" t="str">
        <f t="shared" si="903"/>
        <v>Upgraded</v>
      </c>
      <c r="G10613" s="153"/>
      <c r="H10613" s="210">
        <v>1.01E-2</v>
      </c>
      <c r="I10613" s="160" t="s">
        <v>59</v>
      </c>
      <c r="J10613" s="160">
        <v>5.1999999999999995E-4</v>
      </c>
      <c r="K10613" s="160" t="s">
        <v>24</v>
      </c>
      <c r="L10613" s="154" t="str">
        <f>IF(OpenLCAbasic!K10613="CTUh", "Fill in Manually",IF(OR(K10613="Unit", K10613=""), "", INDEX(LookUps!$E$5:$E$12, MATCH(OpenLCAbasic!K10613,LookUps!$D$5:$D$12,0))))</f>
        <v>Acidification Potential (AP) - kg SO2 eq</v>
      </c>
      <c r="M10613" s="154" t="str">
        <f t="shared" si="900"/>
        <v>High_Base_Low_Upgraded_Acidification Potential (AP) - kg SO2 eq_Blend Tank; wastewater treatment unit; at updated plant - US_Base_With Amendment_Aerated Static Pile</v>
      </c>
    </row>
    <row r="10614" spans="1:13" s="120" customFormat="1" x14ac:dyDescent="0.25">
      <c r="A10614" s="119"/>
      <c r="B10614" s="138" t="str">
        <f t="shared" si="901"/>
        <v>Aerated Static Pile</v>
      </c>
      <c r="C10614" s="138" t="str">
        <f t="shared" si="902"/>
        <v>Base_With Amendment</v>
      </c>
      <c r="D10614" s="138" t="str">
        <f t="shared" si="904"/>
        <v>Base_Low</v>
      </c>
      <c r="E10614" s="138" t="str">
        <f t="shared" si="905"/>
        <v>High</v>
      </c>
      <c r="F10614" s="138" t="str">
        <f t="shared" si="903"/>
        <v>Upgraded</v>
      </c>
      <c r="G10614" s="153"/>
      <c r="H10614" s="210">
        <v>6.7999999999999996E-3</v>
      </c>
      <c r="I10614" s="160" t="s">
        <v>48</v>
      </c>
      <c r="J10614" s="160">
        <v>3.5E-4</v>
      </c>
      <c r="K10614" s="160" t="s">
        <v>24</v>
      </c>
      <c r="L10614" s="154" t="str">
        <f>IF(OpenLCAbasic!K10614="CTUh", "Fill in Manually",IF(OR(K10614="Unit", K10614=""), "", INDEX(LookUps!$E$5:$E$12, MATCH(OpenLCAbasic!K10614,LookUps!$D$5:$D$12,0))))</f>
        <v>Acidification Potential (AP) - kg SO2 eq</v>
      </c>
      <c r="M10614" s="154" t="str">
        <f t="shared" si="900"/>
        <v>High_Base_Low_Upgraded_Acidification Potential (AP) - kg SO2 eq_Effluent release; wastewater treatment unit; at surface water; m3 wastewater - US_Base_With Amendment_Aerated Static Pile</v>
      </c>
    </row>
    <row r="10615" spans="1:13" s="120" customFormat="1" x14ac:dyDescent="0.25">
      <c r="A10615" s="119"/>
      <c r="B10615" s="138" t="str">
        <f t="shared" si="901"/>
        <v>Aerated Static Pile</v>
      </c>
      <c r="C10615" s="138" t="str">
        <f t="shared" si="902"/>
        <v>Base_With Amendment</v>
      </c>
      <c r="D10615" s="138" t="str">
        <f t="shared" si="904"/>
        <v>Base_Low</v>
      </c>
      <c r="E10615" s="138" t="str">
        <f t="shared" si="905"/>
        <v>High</v>
      </c>
      <c r="F10615" s="138" t="str">
        <f t="shared" si="903"/>
        <v>Upgraded</v>
      </c>
      <c r="G10615" s="153"/>
      <c r="H10615" s="210">
        <v>5.0000000000000001E-3</v>
      </c>
      <c r="I10615" s="160" t="s">
        <v>168</v>
      </c>
      <c r="J10615" s="160">
        <v>2.5999999999999998E-4</v>
      </c>
      <c r="K10615" s="160" t="s">
        <v>24</v>
      </c>
      <c r="L10615" s="154" t="str">
        <f>IF(OpenLCAbasic!K10615="CTUh", "Fill in Manually",IF(OR(K10615="Unit", K10615=""), "", INDEX(LookUps!$E$5:$E$12, MATCH(OpenLCAbasic!K10615,LookUps!$D$5:$D$12,0))))</f>
        <v>Acidification Potential (AP) - kg SO2 eq</v>
      </c>
      <c r="M10615" s="154" t="str">
        <f t="shared" si="900"/>
        <v>High_Base_Low_Upgraded_Acidification Potential (AP) - kg SO2 eq_ClearCove SCP; wastewater treatment unit; at updated plant - US_Base_With Amendment_Aerated Static Pile</v>
      </c>
    </row>
    <row r="10616" spans="1:13" s="120" customFormat="1" x14ac:dyDescent="0.25">
      <c r="A10616" s="119"/>
      <c r="B10616" s="138" t="str">
        <f t="shared" si="901"/>
        <v>Aerated Static Pile</v>
      </c>
      <c r="C10616" s="138" t="str">
        <f t="shared" si="902"/>
        <v>Base_With Amendment</v>
      </c>
      <c r="D10616" s="138" t="str">
        <f t="shared" si="904"/>
        <v>Base_Low</v>
      </c>
      <c r="E10616" s="138" t="str">
        <f t="shared" si="905"/>
        <v>High</v>
      </c>
      <c r="F10616" s="138" t="str">
        <f t="shared" si="903"/>
        <v>Upgraded</v>
      </c>
      <c r="G10616" s="153"/>
      <c r="H10616" s="210">
        <v>8.0000000000000004E-4</v>
      </c>
      <c r="I10616" s="160" t="s">
        <v>148</v>
      </c>
      <c r="J10616" s="211">
        <v>4.0354700000000002E-5</v>
      </c>
      <c r="K10616" s="160" t="s">
        <v>24</v>
      </c>
      <c r="L10616" s="154" t="str">
        <f>IF(OpenLCAbasic!K10616="CTUh", "Fill in Manually",IF(OR(K10616="Unit", K10616=""), "", INDEX(LookUps!$E$5:$E$12, MATCH(OpenLCAbasic!K10616,LookUps!$D$5:$D$12,0))))</f>
        <v>Acidification Potential (AP) - kg SO2 eq</v>
      </c>
      <c r="M10616" s="154" t="str">
        <f t="shared" si="900"/>
        <v>High_Base_Low_Upgraded_Acidification Potential (AP) - kg SO2 eq_Control Building; at upgraded wastewater treatment plant - US_Base_With Amendment_Aerated Static Pile</v>
      </c>
    </row>
    <row r="10617" spans="1:13" s="120" customFormat="1" x14ac:dyDescent="0.25">
      <c r="A10617" s="119"/>
      <c r="B10617" s="138" t="str">
        <f t="shared" si="901"/>
        <v/>
      </c>
      <c r="C10617" s="138" t="str">
        <f t="shared" si="902"/>
        <v/>
      </c>
      <c r="D10617" s="138" t="str">
        <f t="shared" si="904"/>
        <v/>
      </c>
      <c r="E10617" s="138" t="str">
        <f t="shared" si="905"/>
        <v/>
      </c>
      <c r="F10617" s="138" t="str">
        <f t="shared" si="903"/>
        <v/>
      </c>
      <c r="G10617" s="153" t="s">
        <v>51</v>
      </c>
      <c r="H10617" s="160"/>
      <c r="I10617" s="160" t="s">
        <v>47</v>
      </c>
      <c r="J10617" s="160" t="s">
        <v>52</v>
      </c>
      <c r="K10617" s="160" t="s">
        <v>27</v>
      </c>
      <c r="L10617" s="154" t="str">
        <f>IF(OpenLCAbasic!K10617="CTUh", "Fill in Manually",IF(OR(K10617="Unit", K10617=""), "", INDEX(LookUps!$E$5:$E$12, MATCH(OpenLCAbasic!K10617,LookUps!$D$5:$D$12,0))))</f>
        <v/>
      </c>
      <c r="M10617" s="154" t="str">
        <f t="shared" si="900"/>
        <v>____Process__</v>
      </c>
    </row>
    <row r="10618" spans="1:13" s="120" customFormat="1" x14ac:dyDescent="0.25">
      <c r="A10618" s="119"/>
      <c r="B10618" s="138" t="str">
        <f t="shared" si="901"/>
        <v>Aerated Static Pile</v>
      </c>
      <c r="C10618" s="138" t="str">
        <f t="shared" si="902"/>
        <v>Base_With Amendment</v>
      </c>
      <c r="D10618" s="138" t="str">
        <f t="shared" si="904"/>
        <v>Base_Low</v>
      </c>
      <c r="E10618" s="138" t="str">
        <f t="shared" si="905"/>
        <v>High</v>
      </c>
      <c r="F10618" s="138" t="str">
        <f t="shared" si="903"/>
        <v>Upgraded</v>
      </c>
      <c r="G10618" s="153"/>
      <c r="H10618" s="210">
        <v>0.22550000000000001</v>
      </c>
      <c r="I10618" s="160" t="s">
        <v>55</v>
      </c>
      <c r="J10618" s="160">
        <v>3.5330499999999998</v>
      </c>
      <c r="K10618" s="160" t="s">
        <v>15</v>
      </c>
      <c r="L10618" s="154" t="str">
        <f>IF(OpenLCAbasic!K10618="CTUh", "Fill in Manually",IF(OR(K10618="Unit", K10618=""), "", INDEX(LookUps!$E$5:$E$12, MATCH(OpenLCAbasic!K10618,LookUps!$D$5:$D$12,0))))</f>
        <v>Cumulative Energy Demand (CED) - MJ</v>
      </c>
      <c r="M10618" s="154" t="str">
        <f t="shared" si="900"/>
        <v>High_Base_Low_Upgraded_Cumulative Energy Demand (CED) - MJ_Aeration Tanks; wastewater treatment unit; at updated plant - US_Base_With Amendment_Aerated Static Pile</v>
      </c>
    </row>
    <row r="10619" spans="1:13" s="120" customFormat="1" x14ac:dyDescent="0.25">
      <c r="A10619" s="119"/>
      <c r="B10619" s="138" t="str">
        <f t="shared" si="901"/>
        <v>Aerated Static Pile</v>
      </c>
      <c r="C10619" s="138" t="str">
        <f t="shared" si="902"/>
        <v>Base_With Amendment</v>
      </c>
      <c r="D10619" s="138" t="str">
        <f t="shared" si="904"/>
        <v>Base_Low</v>
      </c>
      <c r="E10619" s="138" t="str">
        <f t="shared" si="905"/>
        <v>High</v>
      </c>
      <c r="F10619" s="138" t="str">
        <f t="shared" si="903"/>
        <v>Upgraded</v>
      </c>
      <c r="G10619" s="153"/>
      <c r="H10619" s="210">
        <v>0.2233</v>
      </c>
      <c r="I10619" s="160" t="s">
        <v>167</v>
      </c>
      <c r="J10619" s="160">
        <v>3.4982700000000002</v>
      </c>
      <c r="K10619" s="160" t="s">
        <v>15</v>
      </c>
      <c r="L10619" s="154" t="str">
        <f>IF(OpenLCAbasic!K10619="CTUh", "Fill in Manually",IF(OR(K10619="Unit", K10619=""), "", INDEX(LookUps!$E$5:$E$12, MATCH(OpenLCAbasic!K10619,LookUps!$D$5:$D$12,0))))</f>
        <v>Cumulative Energy Demand (CED) - MJ</v>
      </c>
      <c r="M10619" s="154" t="str">
        <f t="shared" si="900"/>
        <v>High_Base_Low_Upgraded_Cumulative Energy Demand (CED) - MJ_Waste Receiving and Holding; wastewater treatment unit; at updated plant - US_Base_With Amendment_Aerated Static Pile</v>
      </c>
    </row>
    <row r="10620" spans="1:13" s="120" customFormat="1" x14ac:dyDescent="0.25">
      <c r="A10620" s="119"/>
      <c r="B10620" s="138" t="str">
        <f t="shared" si="901"/>
        <v>Aerated Static Pile</v>
      </c>
      <c r="C10620" s="138" t="str">
        <f t="shared" si="902"/>
        <v>Base_With Amendment</v>
      </c>
      <c r="D10620" s="138" t="str">
        <f t="shared" si="904"/>
        <v>Base_Low</v>
      </c>
      <c r="E10620" s="138" t="str">
        <f t="shared" si="905"/>
        <v>High</v>
      </c>
      <c r="F10620" s="138" t="str">
        <f t="shared" si="903"/>
        <v>Upgraded</v>
      </c>
      <c r="G10620" s="153"/>
      <c r="H10620" s="210">
        <v>0.17449999999999999</v>
      </c>
      <c r="I10620" s="160" t="s">
        <v>149</v>
      </c>
      <c r="J10620" s="160">
        <v>2.7332200000000002</v>
      </c>
      <c r="K10620" s="160" t="s">
        <v>15</v>
      </c>
      <c r="L10620" s="154" t="str">
        <f>IF(OpenLCAbasic!K10620="CTUh", "Fill in Manually",IF(OR(K10620="Unit", K10620=""), "", INDEX(LookUps!$E$5:$E$12, MATCH(OpenLCAbasic!K10620,LookUps!$D$5:$D$12,0))))</f>
        <v>Cumulative Energy Demand (CED) - MJ</v>
      </c>
      <c r="M10620" s="154" t="str">
        <f t="shared" si="900"/>
        <v>High_Base_Low_Upgraded_Cumulative Energy Demand (CED) - MJ_Anaerobic Digestion; wastewater treatment unit; at updated plant - US_Base_With Amendment_Aerated Static Pile</v>
      </c>
    </row>
    <row r="10621" spans="1:13" s="120" customFormat="1" x14ac:dyDescent="0.25">
      <c r="A10621" s="119"/>
      <c r="B10621" s="138" t="str">
        <f t="shared" si="901"/>
        <v>Aerated Static Pile</v>
      </c>
      <c r="C10621" s="138" t="str">
        <f t="shared" si="902"/>
        <v>Base_With Amendment</v>
      </c>
      <c r="D10621" s="138" t="str">
        <f t="shared" si="904"/>
        <v>Base_Low</v>
      </c>
      <c r="E10621" s="138" t="str">
        <f t="shared" si="905"/>
        <v>High</v>
      </c>
      <c r="F10621" s="138" t="str">
        <f t="shared" si="903"/>
        <v>Upgraded</v>
      </c>
      <c r="G10621" s="153"/>
      <c r="H10621" s="210">
        <v>8.8499999999999995E-2</v>
      </c>
      <c r="I10621" s="160" t="s">
        <v>435</v>
      </c>
      <c r="J10621" s="160">
        <v>1.3867400000000001</v>
      </c>
      <c r="K10621" s="160" t="s">
        <v>15</v>
      </c>
      <c r="L10621" s="154" t="str">
        <f>IF(OpenLCAbasic!K10621="CTUh", "Fill in Manually",IF(OR(K10621="Unit", K10621=""), "", INDEX(LookUps!$E$5:$E$12, MATCH(OpenLCAbasic!K10621,LookUps!$D$5:$D$12,0))))</f>
        <v>Cumulative Energy Demand (CED) - MJ</v>
      </c>
      <c r="M10621" s="154" t="str">
        <f t="shared" si="900"/>
        <v>High_Base_Low_Upgraded_Cumulative Energy Demand (CED) - MJ_Biosolids composting; aerated static pile; wastewater treatment unit; at updated plant - US_Base_With Amendment_Aerated Static Pile</v>
      </c>
    </row>
    <row r="10622" spans="1:13" s="120" customFormat="1" x14ac:dyDescent="0.25">
      <c r="A10622" s="119"/>
      <c r="B10622" s="138" t="str">
        <f t="shared" si="901"/>
        <v>Aerated Static Pile</v>
      </c>
      <c r="C10622" s="138" t="str">
        <f t="shared" si="902"/>
        <v>Base_With Amendment</v>
      </c>
      <c r="D10622" s="138" t="str">
        <f t="shared" si="904"/>
        <v>Base_Low</v>
      </c>
      <c r="E10622" s="138" t="str">
        <f t="shared" si="905"/>
        <v>High</v>
      </c>
      <c r="F10622" s="138" t="str">
        <f t="shared" si="903"/>
        <v>Upgraded</v>
      </c>
      <c r="G10622" s="153"/>
      <c r="H10622" s="210">
        <v>7.4200000000000002E-2</v>
      </c>
      <c r="I10622" s="160" t="s">
        <v>54</v>
      </c>
      <c r="J10622" s="160">
        <v>1.16289</v>
      </c>
      <c r="K10622" s="160" t="s">
        <v>15</v>
      </c>
      <c r="L10622" s="154" t="str">
        <f>IF(OpenLCAbasic!K10622="CTUh", "Fill in Manually",IF(OR(K10622="Unit", K10622=""), "", INDEX(LookUps!$E$5:$E$12, MATCH(OpenLCAbasic!K10622,LookUps!$D$5:$D$12,0))))</f>
        <v>Cumulative Energy Demand (CED) - MJ</v>
      </c>
      <c r="M10622" s="154" t="str">
        <f t="shared" si="900"/>
        <v>High_Base_Low_Upgraded_Cumulative Energy Demand (CED) - MJ_Clear Cove Primary Clarification; wastewater treatment unit; at updated plant - US_Base_With Amendment_Aerated Static Pile</v>
      </c>
    </row>
    <row r="10623" spans="1:13" s="120" customFormat="1" x14ac:dyDescent="0.25">
      <c r="A10623" s="119"/>
      <c r="B10623" s="138" t="str">
        <f t="shared" si="901"/>
        <v>Aerated Static Pile</v>
      </c>
      <c r="C10623" s="138" t="str">
        <f t="shared" si="902"/>
        <v>Base_With Amendment</v>
      </c>
      <c r="D10623" s="138" t="str">
        <f t="shared" si="904"/>
        <v>Base_Low</v>
      </c>
      <c r="E10623" s="138" t="str">
        <f t="shared" si="905"/>
        <v>High</v>
      </c>
      <c r="F10623" s="138" t="str">
        <f t="shared" si="903"/>
        <v>Upgraded</v>
      </c>
      <c r="G10623" s="153"/>
      <c r="H10623" s="210">
        <v>5.6399999999999999E-2</v>
      </c>
      <c r="I10623" s="160" t="s">
        <v>58</v>
      </c>
      <c r="J10623" s="160">
        <v>0.88417000000000001</v>
      </c>
      <c r="K10623" s="160" t="s">
        <v>15</v>
      </c>
      <c r="L10623" s="154" t="str">
        <f>IF(OpenLCAbasic!K10623="CTUh", "Fill in Manually",IF(OR(K10623="Unit", K10623=""), "", INDEX(LookUps!$E$5:$E$12, MATCH(OpenLCAbasic!K10623,LookUps!$D$5:$D$12,0))))</f>
        <v>Cumulative Energy Demand (CED) - MJ</v>
      </c>
      <c r="M10623" s="154" t="str">
        <f t="shared" si="900"/>
        <v>High_Base_Low_Upgraded_Cumulative Energy Demand (CED) - MJ_Pre-Anoxic &amp; Swing tank; wastewater treatment unit; at updated plant - US_Base_With Amendment_Aerated Static Pile</v>
      </c>
    </row>
    <row r="10624" spans="1:13" s="120" customFormat="1" x14ac:dyDescent="0.25">
      <c r="A10624" s="119"/>
      <c r="B10624" s="138" t="str">
        <f t="shared" si="901"/>
        <v>Aerated Static Pile</v>
      </c>
      <c r="C10624" s="138" t="str">
        <f t="shared" si="902"/>
        <v>Base_With Amendment</v>
      </c>
      <c r="D10624" s="138" t="str">
        <f t="shared" si="904"/>
        <v>Base_Low</v>
      </c>
      <c r="E10624" s="138" t="str">
        <f t="shared" si="905"/>
        <v>High</v>
      </c>
      <c r="F10624" s="138" t="str">
        <f t="shared" si="903"/>
        <v>Upgraded</v>
      </c>
      <c r="G10624" s="153"/>
      <c r="H10624" s="210">
        <v>5.6399999999999999E-2</v>
      </c>
      <c r="I10624" s="160" t="s">
        <v>147</v>
      </c>
      <c r="J10624" s="160">
        <v>0.88297000000000003</v>
      </c>
      <c r="K10624" s="160" t="s">
        <v>15</v>
      </c>
      <c r="L10624" s="154" t="str">
        <f>IF(OpenLCAbasic!K10624="CTUh", "Fill in Manually",IF(OR(K10624="Unit", K10624=""), "", INDEX(LookUps!$E$5:$E$12, MATCH(OpenLCAbasic!K10624,LookUps!$D$5:$D$12,0))))</f>
        <v>Cumulative Energy Demand (CED) - MJ</v>
      </c>
      <c r="M10624" s="154" t="str">
        <f t="shared" si="900"/>
        <v>High_Base_Low_Upgraded_Cumulative Energy Demand (CED) - MJ_Influent Pump Station; wastewater treatment unit; at updated plant - US_Base_With Amendment_Aerated Static Pile</v>
      </c>
    </row>
    <row r="10625" spans="1:13" s="120" customFormat="1" x14ac:dyDescent="0.25">
      <c r="A10625" s="119"/>
      <c r="B10625" s="138" t="str">
        <f t="shared" si="901"/>
        <v>Aerated Static Pile</v>
      </c>
      <c r="C10625" s="138" t="str">
        <f t="shared" si="902"/>
        <v>Base_With Amendment</v>
      </c>
      <c r="D10625" s="138" t="str">
        <f t="shared" si="904"/>
        <v>Base_Low</v>
      </c>
      <c r="E10625" s="138" t="str">
        <f t="shared" si="905"/>
        <v>High</v>
      </c>
      <c r="F10625" s="138" t="str">
        <f t="shared" si="903"/>
        <v>Upgraded</v>
      </c>
      <c r="G10625" s="153"/>
      <c r="H10625" s="210">
        <v>4.4499999999999998E-2</v>
      </c>
      <c r="I10625" s="160" t="s">
        <v>53</v>
      </c>
      <c r="J10625" s="160">
        <v>0.69645000000000001</v>
      </c>
      <c r="K10625" s="160" t="s">
        <v>15</v>
      </c>
      <c r="L10625" s="154" t="str">
        <f>IF(OpenLCAbasic!K10625="CTUh", "Fill in Manually",IF(OR(K10625="Unit", K10625=""), "", INDEX(LookUps!$E$5:$E$12, MATCH(OpenLCAbasic!K10625,LookUps!$D$5:$D$12,0))))</f>
        <v>Cumulative Energy Demand (CED) - MJ</v>
      </c>
      <c r="M10625" s="154" t="str">
        <f t="shared" si="900"/>
        <v>High_Base_Low_Upgraded_Cumulative Energy Demand (CED) - MJ_Wet Well and Sump Station; wastewater treatment unit; at updated plant - US_Base_With Amendment_Aerated Static Pile</v>
      </c>
    </row>
    <row r="10626" spans="1:13" s="120" customFormat="1" x14ac:dyDescent="0.25">
      <c r="A10626" s="119"/>
      <c r="B10626" s="138" t="str">
        <f t="shared" si="901"/>
        <v>Aerated Static Pile</v>
      </c>
      <c r="C10626" s="138" t="str">
        <f t="shared" si="902"/>
        <v>Base_With Amendment</v>
      </c>
      <c r="D10626" s="138" t="str">
        <f t="shared" si="904"/>
        <v>Base_Low</v>
      </c>
      <c r="E10626" s="138" t="str">
        <f t="shared" si="905"/>
        <v>High</v>
      </c>
      <c r="F10626" s="138" t="str">
        <f t="shared" si="903"/>
        <v>Upgraded</v>
      </c>
      <c r="G10626" s="153"/>
      <c r="H10626" s="210">
        <v>2.1299999999999999E-2</v>
      </c>
      <c r="I10626" s="160" t="s">
        <v>57</v>
      </c>
      <c r="J10626" s="160">
        <v>0.33404</v>
      </c>
      <c r="K10626" s="160" t="s">
        <v>15</v>
      </c>
      <c r="L10626" s="154" t="str">
        <f>IF(OpenLCAbasic!K10626="CTUh", "Fill in Manually",IF(OR(K10626="Unit", K10626=""), "", INDEX(LookUps!$E$5:$E$12, MATCH(OpenLCAbasic!K10626,LookUps!$D$5:$D$12,0))))</f>
        <v>Cumulative Energy Demand (CED) - MJ</v>
      </c>
      <c r="M10626" s="154" t="str">
        <f t="shared" si="900"/>
        <v>High_Base_Low_Upgraded_Cumulative Energy Demand (CED) - MJ_Gravity Belt Thickener; wastewater treatment unit; at updated plant - US_Base_With Amendment_Aerated Static Pile</v>
      </c>
    </row>
    <row r="10627" spans="1:13" s="120" customFormat="1" x14ac:dyDescent="0.25">
      <c r="A10627" s="119"/>
      <c r="B10627" s="138" t="str">
        <f t="shared" si="901"/>
        <v>Aerated Static Pile</v>
      </c>
      <c r="C10627" s="138" t="str">
        <f t="shared" si="902"/>
        <v>Base_With Amendment</v>
      </c>
      <c r="D10627" s="138" t="str">
        <f t="shared" si="904"/>
        <v>Base_Low</v>
      </c>
      <c r="E10627" s="138" t="str">
        <f t="shared" si="905"/>
        <v>High</v>
      </c>
      <c r="F10627" s="138" t="str">
        <f t="shared" si="903"/>
        <v>Upgraded</v>
      </c>
      <c r="G10627" s="153"/>
      <c r="H10627" s="210">
        <v>2.0400000000000001E-2</v>
      </c>
      <c r="I10627" s="160" t="s">
        <v>60</v>
      </c>
      <c r="J10627" s="160">
        <v>0.32008999999999999</v>
      </c>
      <c r="K10627" s="160" t="s">
        <v>15</v>
      </c>
      <c r="L10627" s="154" t="str">
        <f>IF(OpenLCAbasic!K10627="CTUh", "Fill in Manually",IF(OR(K10627="Unit", K10627=""), "", INDEX(LookUps!$E$5:$E$12, MATCH(OpenLCAbasic!K10627,LookUps!$D$5:$D$12,0))))</f>
        <v>Cumulative Energy Demand (CED) - MJ</v>
      </c>
      <c r="M10627" s="154" t="str">
        <f t="shared" si="900"/>
        <v>High_Base_Low_Upgraded_Cumulative Energy Demand (CED) - MJ_Belt filter press; wastewater treatment unit; at updated plant - US_Base_With Amendment_Aerated Static Pile</v>
      </c>
    </row>
    <row r="10628" spans="1:13" s="120" customFormat="1" x14ac:dyDescent="0.25">
      <c r="A10628" s="119"/>
      <c r="B10628" s="138" t="str">
        <f t="shared" si="901"/>
        <v>Aerated Static Pile</v>
      </c>
      <c r="C10628" s="138" t="str">
        <f t="shared" si="902"/>
        <v>Base_With Amendment</v>
      </c>
      <c r="D10628" s="138" t="str">
        <f t="shared" si="904"/>
        <v>Base_Low</v>
      </c>
      <c r="E10628" s="138" t="str">
        <f t="shared" si="905"/>
        <v>High</v>
      </c>
      <c r="F10628" s="138" t="str">
        <f t="shared" si="903"/>
        <v>Upgraded</v>
      </c>
      <c r="G10628" s="153"/>
      <c r="H10628" s="210">
        <v>1.6299999999999999E-2</v>
      </c>
      <c r="I10628" s="160" t="s">
        <v>128</v>
      </c>
      <c r="J10628" s="160">
        <v>0.25606000000000001</v>
      </c>
      <c r="K10628" s="160" t="s">
        <v>15</v>
      </c>
      <c r="L10628" s="154" t="str">
        <f>IF(OpenLCAbasic!K10628="CTUh", "Fill in Manually",IF(OR(K10628="Unit", K10628=""), "", INDEX(LookUps!$E$5:$E$12, MATCH(OpenLCAbasic!K10628,LookUps!$D$5:$D$12,0))))</f>
        <v>Cumulative Energy Demand (CED) - MJ</v>
      </c>
      <c r="M10628" s="154" t="str">
        <f t="shared" ref="M10628:M10691" si="906">CONCATENATE(E10628,"_",D10628,"_",F10628,"_",L10628, "_",I10628,"_", C10628,"_", B10628)</f>
        <v>High_Base_Low_Upgraded_Cumulative Energy Demand (CED) - MJ_Wastewater collection; operation and infrastructure; m3 wastewater_Base_With Amendment_Aerated Static Pile</v>
      </c>
    </row>
    <row r="10629" spans="1:13" s="120" customFormat="1" x14ac:dyDescent="0.25">
      <c r="A10629" s="119"/>
      <c r="B10629" s="138" t="str">
        <f t="shared" si="901"/>
        <v>Aerated Static Pile</v>
      </c>
      <c r="C10629" s="138" t="str">
        <f t="shared" si="902"/>
        <v>Base_With Amendment</v>
      </c>
      <c r="D10629" s="138" t="str">
        <f t="shared" si="904"/>
        <v>Base_Low</v>
      </c>
      <c r="E10629" s="138" t="str">
        <f t="shared" si="905"/>
        <v>High</v>
      </c>
      <c r="F10629" s="138" t="str">
        <f t="shared" si="903"/>
        <v>Upgraded</v>
      </c>
      <c r="G10629" s="153"/>
      <c r="H10629" s="210">
        <v>9.2999999999999992E-3</v>
      </c>
      <c r="I10629" s="160" t="s">
        <v>148</v>
      </c>
      <c r="J10629" s="160">
        <v>0.14599000000000001</v>
      </c>
      <c r="K10629" s="160" t="s">
        <v>15</v>
      </c>
      <c r="L10629" s="154" t="str">
        <f>IF(OpenLCAbasic!K10629="CTUh", "Fill in Manually",IF(OR(K10629="Unit", K10629=""), "", INDEX(LookUps!$E$5:$E$12, MATCH(OpenLCAbasic!K10629,LookUps!$D$5:$D$12,0))))</f>
        <v>Cumulative Energy Demand (CED) - MJ</v>
      </c>
      <c r="M10629" s="154" t="str">
        <f t="shared" si="906"/>
        <v>High_Base_Low_Upgraded_Cumulative Energy Demand (CED) - MJ_Control Building; at upgraded wastewater treatment plant - US_Base_With Amendment_Aerated Static Pile</v>
      </c>
    </row>
    <row r="10630" spans="1:13" s="120" customFormat="1" x14ac:dyDescent="0.25">
      <c r="A10630" s="119"/>
      <c r="B10630" s="138" t="str">
        <f t="shared" si="901"/>
        <v>Aerated Static Pile</v>
      </c>
      <c r="C10630" s="138" t="str">
        <f t="shared" si="902"/>
        <v>Base_With Amendment</v>
      </c>
      <c r="D10630" s="138" t="str">
        <f t="shared" si="904"/>
        <v>Base_Low</v>
      </c>
      <c r="E10630" s="138" t="str">
        <f t="shared" si="905"/>
        <v>High</v>
      </c>
      <c r="F10630" s="138" t="str">
        <f t="shared" si="903"/>
        <v>Upgraded</v>
      </c>
      <c r="G10630" s="153"/>
      <c r="H10630" s="210">
        <v>8.5000000000000006E-3</v>
      </c>
      <c r="I10630" s="160" t="s">
        <v>48</v>
      </c>
      <c r="J10630" s="160">
        <v>0.13321</v>
      </c>
      <c r="K10630" s="160" t="s">
        <v>15</v>
      </c>
      <c r="L10630" s="154" t="str">
        <f>IF(OpenLCAbasic!K10630="CTUh", "Fill in Manually",IF(OR(K10630="Unit", K10630=""), "", INDEX(LookUps!$E$5:$E$12, MATCH(OpenLCAbasic!K10630,LookUps!$D$5:$D$12,0))))</f>
        <v>Cumulative Energy Demand (CED) - MJ</v>
      </c>
      <c r="M10630" s="154" t="str">
        <f t="shared" si="906"/>
        <v>High_Base_Low_Upgraded_Cumulative Energy Demand (CED) - MJ_Effluent release; wastewater treatment unit; at surface water; m3 wastewater - US_Base_With Amendment_Aerated Static Pile</v>
      </c>
    </row>
    <row r="10631" spans="1:13" s="120" customFormat="1" x14ac:dyDescent="0.25">
      <c r="A10631" s="119"/>
      <c r="B10631" s="138" t="str">
        <f t="shared" si="901"/>
        <v>Aerated Static Pile</v>
      </c>
      <c r="C10631" s="138" t="str">
        <f t="shared" si="902"/>
        <v>Base_With Amendment</v>
      </c>
      <c r="D10631" s="138" t="str">
        <f t="shared" si="904"/>
        <v>Base_Low</v>
      </c>
      <c r="E10631" s="138" t="str">
        <f t="shared" si="905"/>
        <v>High</v>
      </c>
      <c r="F10631" s="138" t="str">
        <f t="shared" si="903"/>
        <v>Upgraded</v>
      </c>
      <c r="G10631" s="153"/>
      <c r="H10631" s="210">
        <v>6.7999999999999996E-3</v>
      </c>
      <c r="I10631" s="160" t="s">
        <v>59</v>
      </c>
      <c r="J10631" s="160">
        <v>0.10638</v>
      </c>
      <c r="K10631" s="160" t="s">
        <v>15</v>
      </c>
      <c r="L10631" s="154" t="str">
        <f>IF(OpenLCAbasic!K10631="CTUh", "Fill in Manually",IF(OR(K10631="Unit", K10631=""), "", INDEX(LookUps!$E$5:$E$12, MATCH(OpenLCAbasic!K10631,LookUps!$D$5:$D$12,0))))</f>
        <v>Cumulative Energy Demand (CED) - MJ</v>
      </c>
      <c r="M10631" s="154" t="str">
        <f t="shared" si="906"/>
        <v>High_Base_Low_Upgraded_Cumulative Energy Demand (CED) - MJ_Blend Tank; wastewater treatment unit; at updated plant - US_Base_With Amendment_Aerated Static Pile</v>
      </c>
    </row>
    <row r="10632" spans="1:13" s="120" customFormat="1" x14ac:dyDescent="0.25">
      <c r="A10632" s="119"/>
      <c r="B10632" s="138" t="str">
        <f t="shared" si="901"/>
        <v>Aerated Static Pile</v>
      </c>
      <c r="C10632" s="138" t="str">
        <f t="shared" si="902"/>
        <v>Base_With Amendment</v>
      </c>
      <c r="D10632" s="138" t="str">
        <f t="shared" si="904"/>
        <v>Base_Low</v>
      </c>
      <c r="E10632" s="138" t="str">
        <f t="shared" si="905"/>
        <v>High</v>
      </c>
      <c r="F10632" s="138" t="str">
        <f t="shared" si="903"/>
        <v>Upgraded</v>
      </c>
      <c r="G10632" s="153"/>
      <c r="H10632" s="210">
        <v>3.3E-3</v>
      </c>
      <c r="I10632" s="160" t="s">
        <v>168</v>
      </c>
      <c r="J10632" s="160">
        <v>5.0930000000000003E-2</v>
      </c>
      <c r="K10632" s="160" t="s">
        <v>15</v>
      </c>
      <c r="L10632" s="154" t="str">
        <f>IF(OpenLCAbasic!K10632="CTUh", "Fill in Manually",IF(OR(K10632="Unit", K10632=""), "", INDEX(LookUps!$E$5:$E$12, MATCH(OpenLCAbasic!K10632,LookUps!$D$5:$D$12,0))))</f>
        <v>Cumulative Energy Demand (CED) - MJ</v>
      </c>
      <c r="M10632" s="154" t="str">
        <f t="shared" si="906"/>
        <v>High_Base_Low_Upgraded_Cumulative Energy Demand (CED) - MJ_ClearCove SCP; wastewater treatment unit; at updated plant - US_Base_With Amendment_Aerated Static Pile</v>
      </c>
    </row>
    <row r="10633" spans="1:13" s="120" customFormat="1" x14ac:dyDescent="0.25">
      <c r="A10633" s="119"/>
      <c r="B10633" s="138" t="str">
        <f t="shared" si="901"/>
        <v>Aerated Static Pile</v>
      </c>
      <c r="C10633" s="138" t="str">
        <f t="shared" si="902"/>
        <v>Base_With Amendment</v>
      </c>
      <c r="D10633" s="138" t="str">
        <f t="shared" si="904"/>
        <v>Base_Low</v>
      </c>
      <c r="E10633" s="138" t="str">
        <f t="shared" si="905"/>
        <v>High</v>
      </c>
      <c r="F10633" s="138" t="str">
        <f t="shared" si="903"/>
        <v>Upgraded</v>
      </c>
      <c r="G10633" s="153"/>
      <c r="H10633" s="210">
        <v>-2.93E-2</v>
      </c>
      <c r="I10633" s="160" t="s">
        <v>62</v>
      </c>
      <c r="J10633" s="160">
        <v>-0.4587</v>
      </c>
      <c r="K10633" s="160" t="s">
        <v>15</v>
      </c>
      <c r="L10633" s="154" t="str">
        <f>IF(OpenLCAbasic!K10633="CTUh", "Fill in Manually",IF(OR(K10633="Unit", K10633=""), "", INDEX(LookUps!$E$5:$E$12, MATCH(OpenLCAbasic!K10633,LookUps!$D$5:$D$12,0))))</f>
        <v>Cumulative Energy Demand (CED) - MJ</v>
      </c>
      <c r="M10633" s="154" t="str">
        <f t="shared" si="906"/>
        <v>High_Base_Low_Upgraded_Cumulative Energy Demand (CED) - MJ_Land application of compost; wastewater treatment unit; at updated plant - US_Base_With Amendment_Aerated Static Pile</v>
      </c>
    </row>
    <row r="10634" spans="1:13" s="120" customFormat="1" x14ac:dyDescent="0.25">
      <c r="A10634" s="119"/>
      <c r="B10634" s="138" t="str">
        <f t="shared" ref="B10634:B10697" si="907">IF(F10634="Legacy","n.a.",IF(F10634="","","Aerated Static Pile"))</f>
        <v/>
      </c>
      <c r="C10634" s="138" t="str">
        <f t="shared" ref="C10634:C10697" si="908">IF(ISNUMBER($J10634),"Base_With Amendment","")</f>
        <v/>
      </c>
      <c r="D10634" s="138" t="str">
        <f t="shared" si="904"/>
        <v/>
      </c>
      <c r="E10634" s="138" t="str">
        <f t="shared" si="905"/>
        <v/>
      </c>
      <c r="F10634" s="138" t="str">
        <f t="shared" ref="F10634:F10697" si="909">IF(ISNUMBER(J10634),"Upgraded","")</f>
        <v/>
      </c>
      <c r="G10634" s="153" t="s">
        <v>51</v>
      </c>
      <c r="H10634" s="160"/>
      <c r="I10634" s="160" t="s">
        <v>47</v>
      </c>
      <c r="J10634" s="160" t="s">
        <v>52</v>
      </c>
      <c r="K10634" s="160" t="s">
        <v>27</v>
      </c>
      <c r="L10634" s="154" t="str">
        <f>IF(OpenLCAbasic!K10634="CTUh", "Fill in Manually",IF(OR(K10634="Unit", K10634=""), "", INDEX(LookUps!$E$5:$E$12, MATCH(OpenLCAbasic!K10634,LookUps!$D$5:$D$12,0))))</f>
        <v/>
      </c>
      <c r="M10634" s="154" t="str">
        <f t="shared" si="906"/>
        <v>____Process__</v>
      </c>
    </row>
    <row r="10635" spans="1:13" s="120" customFormat="1" x14ac:dyDescent="0.25">
      <c r="A10635" s="119"/>
      <c r="B10635" s="138" t="str">
        <f t="shared" si="907"/>
        <v>Aerated Static Pile</v>
      </c>
      <c r="C10635" s="138" t="str">
        <f t="shared" si="908"/>
        <v>Base_With Amendment</v>
      </c>
      <c r="D10635" s="138" t="str">
        <f t="shared" si="904"/>
        <v>Base_Low</v>
      </c>
      <c r="E10635" s="138" t="str">
        <f t="shared" si="905"/>
        <v>High</v>
      </c>
      <c r="F10635" s="138" t="str">
        <f t="shared" si="909"/>
        <v>Upgraded</v>
      </c>
      <c r="G10635" s="153"/>
      <c r="H10635" s="210">
        <v>0.73699999999999999</v>
      </c>
      <c r="I10635" s="160" t="s">
        <v>48</v>
      </c>
      <c r="J10635" s="160">
        <v>1.1610000000000001E-2</v>
      </c>
      <c r="K10635" s="160" t="s">
        <v>13</v>
      </c>
      <c r="L10635" s="154" t="str">
        <f>IF(OpenLCAbasic!K10635="CTUh", "Fill in Manually",IF(OR(K10635="Unit", K10635=""), "", INDEX(LookUps!$E$5:$E$12, MATCH(OpenLCAbasic!K10635,LookUps!$D$5:$D$12,0))))</f>
        <v>Eutrophication Potential (EP) - kg N eq</v>
      </c>
      <c r="M10635" s="154" t="str">
        <f t="shared" si="906"/>
        <v>High_Base_Low_Upgraded_Eutrophication Potential (EP) - kg N eq_Effluent release; wastewater treatment unit; at surface water; m3 wastewater - US_Base_With Amendment_Aerated Static Pile</v>
      </c>
    </row>
    <row r="10636" spans="1:13" s="120" customFormat="1" x14ac:dyDescent="0.25">
      <c r="A10636" s="119"/>
      <c r="B10636" s="138" t="str">
        <f t="shared" si="907"/>
        <v>Aerated Static Pile</v>
      </c>
      <c r="C10636" s="138" t="str">
        <f t="shared" si="908"/>
        <v>Base_With Amendment</v>
      </c>
      <c r="D10636" s="138" t="str">
        <f t="shared" si="904"/>
        <v>Base_Low</v>
      </c>
      <c r="E10636" s="138" t="str">
        <f t="shared" si="905"/>
        <v>High</v>
      </c>
      <c r="F10636" s="138" t="str">
        <f t="shared" si="909"/>
        <v>Upgraded</v>
      </c>
      <c r="G10636" s="153"/>
      <c r="H10636" s="210">
        <v>0.13900000000000001</v>
      </c>
      <c r="I10636" s="160" t="s">
        <v>62</v>
      </c>
      <c r="J10636" s="160">
        <v>2.1900000000000001E-3</v>
      </c>
      <c r="K10636" s="160" t="s">
        <v>13</v>
      </c>
      <c r="L10636" s="154" t="str">
        <f>IF(OpenLCAbasic!K10636="CTUh", "Fill in Manually",IF(OR(K10636="Unit", K10636=""), "", INDEX(LookUps!$E$5:$E$12, MATCH(OpenLCAbasic!K10636,LookUps!$D$5:$D$12,0))))</f>
        <v>Eutrophication Potential (EP) - kg N eq</v>
      </c>
      <c r="M10636" s="154" t="str">
        <f t="shared" si="906"/>
        <v>High_Base_Low_Upgraded_Eutrophication Potential (EP) - kg N eq_Land application of compost; wastewater treatment unit; at updated plant - US_Base_With Amendment_Aerated Static Pile</v>
      </c>
    </row>
    <row r="10637" spans="1:13" s="120" customFormat="1" x14ac:dyDescent="0.25">
      <c r="A10637" s="119"/>
      <c r="B10637" s="138" t="str">
        <f t="shared" si="907"/>
        <v>Aerated Static Pile</v>
      </c>
      <c r="C10637" s="138" t="str">
        <f t="shared" si="908"/>
        <v>Base_With Amendment</v>
      </c>
      <c r="D10637" s="138" t="str">
        <f t="shared" si="904"/>
        <v>Base_Low</v>
      </c>
      <c r="E10637" s="138" t="str">
        <f t="shared" si="905"/>
        <v>High</v>
      </c>
      <c r="F10637" s="138" t="str">
        <f t="shared" si="909"/>
        <v>Upgraded</v>
      </c>
      <c r="G10637" s="153"/>
      <c r="H10637" s="210">
        <v>3.4700000000000002E-2</v>
      </c>
      <c r="I10637" s="160" t="s">
        <v>55</v>
      </c>
      <c r="J10637" s="160">
        <v>5.5000000000000003E-4</v>
      </c>
      <c r="K10637" s="160" t="s">
        <v>13</v>
      </c>
      <c r="L10637" s="154" t="str">
        <f>IF(OpenLCAbasic!K10637="CTUh", "Fill in Manually",IF(OR(K10637="Unit", K10637=""), "", INDEX(LookUps!$E$5:$E$12, MATCH(OpenLCAbasic!K10637,LookUps!$D$5:$D$12,0))))</f>
        <v>Eutrophication Potential (EP) - kg N eq</v>
      </c>
      <c r="M10637" s="154" t="str">
        <f t="shared" si="906"/>
        <v>High_Base_Low_Upgraded_Eutrophication Potential (EP) - kg N eq_Aeration Tanks; wastewater treatment unit; at updated plant - US_Base_With Amendment_Aerated Static Pile</v>
      </c>
    </row>
    <row r="10638" spans="1:13" s="120" customFormat="1" x14ac:dyDescent="0.25">
      <c r="A10638" s="119"/>
      <c r="B10638" s="138" t="str">
        <f t="shared" si="907"/>
        <v>Aerated Static Pile</v>
      </c>
      <c r="C10638" s="138" t="str">
        <f t="shared" si="908"/>
        <v>Base_With Amendment</v>
      </c>
      <c r="D10638" s="138" t="str">
        <f t="shared" si="904"/>
        <v>Base_Low</v>
      </c>
      <c r="E10638" s="138" t="str">
        <f t="shared" si="905"/>
        <v>High</v>
      </c>
      <c r="F10638" s="138" t="str">
        <f t="shared" si="909"/>
        <v>Upgraded</v>
      </c>
      <c r="G10638" s="153"/>
      <c r="H10638" s="210">
        <v>1.5800000000000002E-2</v>
      </c>
      <c r="I10638" s="160" t="s">
        <v>147</v>
      </c>
      <c r="J10638" s="160">
        <v>2.5000000000000001E-4</v>
      </c>
      <c r="K10638" s="160" t="s">
        <v>13</v>
      </c>
      <c r="L10638" s="154" t="str">
        <f>IF(OpenLCAbasic!K10638="CTUh", "Fill in Manually",IF(OR(K10638="Unit", K10638=""), "", INDEX(LookUps!$E$5:$E$12, MATCH(OpenLCAbasic!K10638,LookUps!$D$5:$D$12,0))))</f>
        <v>Eutrophication Potential (EP) - kg N eq</v>
      </c>
      <c r="M10638" s="154" t="str">
        <f t="shared" si="906"/>
        <v>High_Base_Low_Upgraded_Eutrophication Potential (EP) - kg N eq_Influent Pump Station; wastewater treatment unit; at updated plant - US_Base_With Amendment_Aerated Static Pile</v>
      </c>
    </row>
    <row r="10639" spans="1:13" s="120" customFormat="1" x14ac:dyDescent="0.25">
      <c r="A10639" s="119"/>
      <c r="B10639" s="138" t="str">
        <f t="shared" si="907"/>
        <v>Aerated Static Pile</v>
      </c>
      <c r="C10639" s="138" t="str">
        <f t="shared" si="908"/>
        <v>Base_With Amendment</v>
      </c>
      <c r="D10639" s="138" t="str">
        <f t="shared" si="904"/>
        <v>Base_Low</v>
      </c>
      <c r="E10639" s="138" t="str">
        <f t="shared" si="905"/>
        <v>High</v>
      </c>
      <c r="F10639" s="138" t="str">
        <f t="shared" si="909"/>
        <v>Upgraded</v>
      </c>
      <c r="G10639" s="153"/>
      <c r="H10639" s="210">
        <v>1.5599999999999999E-2</v>
      </c>
      <c r="I10639" s="160" t="s">
        <v>435</v>
      </c>
      <c r="J10639" s="160">
        <v>2.5000000000000001E-4</v>
      </c>
      <c r="K10639" s="160" t="s">
        <v>13</v>
      </c>
      <c r="L10639" s="154" t="str">
        <f>IF(OpenLCAbasic!K10639="CTUh", "Fill in Manually",IF(OR(K10639="Unit", K10639=""), "", INDEX(LookUps!$E$5:$E$12, MATCH(OpenLCAbasic!K10639,LookUps!$D$5:$D$12,0))))</f>
        <v>Eutrophication Potential (EP) - kg N eq</v>
      </c>
      <c r="M10639" s="154" t="str">
        <f t="shared" si="906"/>
        <v>High_Base_Low_Upgraded_Eutrophication Potential (EP) - kg N eq_Biosolids composting; aerated static pile; wastewater treatment unit; at updated plant - US_Base_With Amendment_Aerated Static Pile</v>
      </c>
    </row>
    <row r="10640" spans="1:13" s="120" customFormat="1" x14ac:dyDescent="0.25">
      <c r="A10640" s="119"/>
      <c r="B10640" s="138" t="str">
        <f t="shared" si="907"/>
        <v>Aerated Static Pile</v>
      </c>
      <c r="C10640" s="138" t="str">
        <f t="shared" si="908"/>
        <v>Base_With Amendment</v>
      </c>
      <c r="D10640" s="138" t="str">
        <f t="shared" si="904"/>
        <v>Base_Low</v>
      </c>
      <c r="E10640" s="138" t="str">
        <f t="shared" si="905"/>
        <v>High</v>
      </c>
      <c r="F10640" s="138" t="str">
        <f t="shared" si="909"/>
        <v>Upgraded</v>
      </c>
      <c r="G10640" s="153"/>
      <c r="H10640" s="210">
        <v>1.26E-2</v>
      </c>
      <c r="I10640" s="160" t="s">
        <v>54</v>
      </c>
      <c r="J10640" s="160">
        <v>2.0000000000000001E-4</v>
      </c>
      <c r="K10640" s="160" t="s">
        <v>13</v>
      </c>
      <c r="L10640" s="154" t="str">
        <f>IF(OpenLCAbasic!K10640="CTUh", "Fill in Manually",IF(OR(K10640="Unit", K10640=""), "", INDEX(LookUps!$E$5:$E$12, MATCH(OpenLCAbasic!K10640,LookUps!$D$5:$D$12,0))))</f>
        <v>Eutrophication Potential (EP) - kg N eq</v>
      </c>
      <c r="M10640" s="154" t="str">
        <f t="shared" si="906"/>
        <v>High_Base_Low_Upgraded_Eutrophication Potential (EP) - kg N eq_Clear Cove Primary Clarification; wastewater treatment unit; at updated plant - US_Base_With Amendment_Aerated Static Pile</v>
      </c>
    </row>
    <row r="10641" spans="1:13" s="120" customFormat="1" x14ac:dyDescent="0.25">
      <c r="A10641" s="119"/>
      <c r="B10641" s="138" t="str">
        <f t="shared" si="907"/>
        <v>Aerated Static Pile</v>
      </c>
      <c r="C10641" s="138" t="str">
        <f t="shared" si="908"/>
        <v>Base_With Amendment</v>
      </c>
      <c r="D10641" s="138" t="str">
        <f t="shared" si="904"/>
        <v>Base_Low</v>
      </c>
      <c r="E10641" s="138" t="str">
        <f t="shared" si="905"/>
        <v>High</v>
      </c>
      <c r="F10641" s="138" t="str">
        <f t="shared" si="909"/>
        <v>Upgraded</v>
      </c>
      <c r="G10641" s="153"/>
      <c r="H10641" s="210">
        <v>1.04E-2</v>
      </c>
      <c r="I10641" s="160" t="s">
        <v>167</v>
      </c>
      <c r="J10641" s="160">
        <v>1.6000000000000001E-4</v>
      </c>
      <c r="K10641" s="160" t="s">
        <v>13</v>
      </c>
      <c r="L10641" s="154" t="str">
        <f>IF(OpenLCAbasic!K10641="CTUh", "Fill in Manually",IF(OR(K10641="Unit", K10641=""), "", INDEX(LookUps!$E$5:$E$12, MATCH(OpenLCAbasic!K10641,LookUps!$D$5:$D$12,0))))</f>
        <v>Eutrophication Potential (EP) - kg N eq</v>
      </c>
      <c r="M10641" s="154" t="str">
        <f t="shared" si="906"/>
        <v>High_Base_Low_Upgraded_Eutrophication Potential (EP) - kg N eq_Waste Receiving and Holding; wastewater treatment unit; at updated plant - US_Base_With Amendment_Aerated Static Pile</v>
      </c>
    </row>
    <row r="10642" spans="1:13" s="120" customFormat="1" x14ac:dyDescent="0.25">
      <c r="A10642" s="119"/>
      <c r="B10642" s="138" t="str">
        <f t="shared" si="907"/>
        <v>Aerated Static Pile</v>
      </c>
      <c r="C10642" s="138" t="str">
        <f t="shared" si="908"/>
        <v>Base_With Amendment</v>
      </c>
      <c r="D10642" s="138" t="str">
        <f t="shared" si="904"/>
        <v>Base_Low</v>
      </c>
      <c r="E10642" s="138" t="str">
        <f t="shared" si="905"/>
        <v>High</v>
      </c>
      <c r="F10642" s="138" t="str">
        <f t="shared" si="909"/>
        <v>Upgraded</v>
      </c>
      <c r="G10642" s="153"/>
      <c r="H10642" s="210">
        <v>8.6E-3</v>
      </c>
      <c r="I10642" s="160" t="s">
        <v>58</v>
      </c>
      <c r="J10642" s="160">
        <v>1.3999999999999999E-4</v>
      </c>
      <c r="K10642" s="160" t="s">
        <v>13</v>
      </c>
      <c r="L10642" s="154" t="str">
        <f>IF(OpenLCAbasic!K10642="CTUh", "Fill in Manually",IF(OR(K10642="Unit", K10642=""), "", INDEX(LookUps!$E$5:$E$12, MATCH(OpenLCAbasic!K10642,LookUps!$D$5:$D$12,0))))</f>
        <v>Eutrophication Potential (EP) - kg N eq</v>
      </c>
      <c r="M10642" s="154" t="str">
        <f t="shared" si="906"/>
        <v>High_Base_Low_Upgraded_Eutrophication Potential (EP) - kg N eq_Pre-Anoxic &amp; Swing tank; wastewater treatment unit; at updated plant - US_Base_With Amendment_Aerated Static Pile</v>
      </c>
    </row>
    <row r="10643" spans="1:13" s="120" customFormat="1" x14ac:dyDescent="0.25">
      <c r="A10643" s="119"/>
      <c r="B10643" s="138" t="str">
        <f t="shared" si="907"/>
        <v>Aerated Static Pile</v>
      </c>
      <c r="C10643" s="138" t="str">
        <f t="shared" si="908"/>
        <v>Base_With Amendment</v>
      </c>
      <c r="D10643" s="138" t="str">
        <f t="shared" si="904"/>
        <v>Base_Low</v>
      </c>
      <c r="E10643" s="138" t="str">
        <f t="shared" si="905"/>
        <v>High</v>
      </c>
      <c r="F10643" s="138" t="str">
        <f t="shared" si="909"/>
        <v>Upgraded</v>
      </c>
      <c r="G10643" s="153"/>
      <c r="H10643" s="210">
        <v>6.7999999999999996E-3</v>
      </c>
      <c r="I10643" s="160" t="s">
        <v>53</v>
      </c>
      <c r="J10643" s="160">
        <v>1.1E-4</v>
      </c>
      <c r="K10643" s="160" t="s">
        <v>13</v>
      </c>
      <c r="L10643" s="154" t="str">
        <f>IF(OpenLCAbasic!K10643="CTUh", "Fill in Manually",IF(OR(K10643="Unit", K10643=""), "", INDEX(LookUps!$E$5:$E$12, MATCH(OpenLCAbasic!K10643,LookUps!$D$5:$D$12,0))))</f>
        <v>Eutrophication Potential (EP) - kg N eq</v>
      </c>
      <c r="M10643" s="154" t="str">
        <f t="shared" si="906"/>
        <v>High_Base_Low_Upgraded_Eutrophication Potential (EP) - kg N eq_Wet Well and Sump Station; wastewater treatment unit; at updated plant - US_Base_With Amendment_Aerated Static Pile</v>
      </c>
    </row>
    <row r="10644" spans="1:13" s="120" customFormat="1" x14ac:dyDescent="0.25">
      <c r="A10644" s="119"/>
      <c r="B10644" s="138" t="str">
        <f t="shared" si="907"/>
        <v>Aerated Static Pile</v>
      </c>
      <c r="C10644" s="138" t="str">
        <f t="shared" si="908"/>
        <v>Base_With Amendment</v>
      </c>
      <c r="D10644" s="138" t="str">
        <f t="shared" si="904"/>
        <v>Base_Low</v>
      </c>
      <c r="E10644" s="138" t="str">
        <f t="shared" si="905"/>
        <v>High</v>
      </c>
      <c r="F10644" s="138" t="str">
        <f t="shared" si="909"/>
        <v>Upgraded</v>
      </c>
      <c r="G10644" s="153"/>
      <c r="H10644" s="210">
        <v>5.7999999999999996E-3</v>
      </c>
      <c r="I10644" s="160" t="s">
        <v>149</v>
      </c>
      <c r="J10644" s="211">
        <v>9.1798299999999998E-5</v>
      </c>
      <c r="K10644" s="160" t="s">
        <v>13</v>
      </c>
      <c r="L10644" s="154" t="str">
        <f>IF(OpenLCAbasic!K10644="CTUh", "Fill in Manually",IF(OR(K10644="Unit", K10644=""), "", INDEX(LookUps!$E$5:$E$12, MATCH(OpenLCAbasic!K10644,LookUps!$D$5:$D$12,0))))</f>
        <v>Eutrophication Potential (EP) - kg N eq</v>
      </c>
      <c r="M10644" s="154" t="str">
        <f t="shared" si="906"/>
        <v>High_Base_Low_Upgraded_Eutrophication Potential (EP) - kg N eq_Anaerobic Digestion; wastewater treatment unit; at updated plant - US_Base_With Amendment_Aerated Static Pile</v>
      </c>
    </row>
    <row r="10645" spans="1:13" s="120" customFormat="1" x14ac:dyDescent="0.25">
      <c r="A10645" s="119"/>
      <c r="B10645" s="138" t="str">
        <f t="shared" si="907"/>
        <v>Aerated Static Pile</v>
      </c>
      <c r="C10645" s="138" t="str">
        <f t="shared" si="908"/>
        <v>Base_With Amendment</v>
      </c>
      <c r="D10645" s="138" t="str">
        <f t="shared" si="904"/>
        <v>Base_Low</v>
      </c>
      <c r="E10645" s="138" t="str">
        <f t="shared" si="905"/>
        <v>High</v>
      </c>
      <c r="F10645" s="138" t="str">
        <f t="shared" si="909"/>
        <v>Upgraded</v>
      </c>
      <c r="G10645" s="153"/>
      <c r="H10645" s="210">
        <v>3.8E-3</v>
      </c>
      <c r="I10645" s="160" t="s">
        <v>57</v>
      </c>
      <c r="J10645" s="211">
        <v>6.0590300000000002E-5</v>
      </c>
      <c r="K10645" s="160" t="s">
        <v>13</v>
      </c>
      <c r="L10645" s="154" t="str">
        <f>IF(OpenLCAbasic!K10645="CTUh", "Fill in Manually",IF(OR(K10645="Unit", K10645=""), "", INDEX(LookUps!$E$5:$E$12, MATCH(OpenLCAbasic!K10645,LookUps!$D$5:$D$12,0))))</f>
        <v>Eutrophication Potential (EP) - kg N eq</v>
      </c>
      <c r="M10645" s="154" t="str">
        <f t="shared" si="906"/>
        <v>High_Base_Low_Upgraded_Eutrophication Potential (EP) - kg N eq_Gravity Belt Thickener; wastewater treatment unit; at updated plant - US_Base_With Amendment_Aerated Static Pile</v>
      </c>
    </row>
    <row r="10646" spans="1:13" s="120" customFormat="1" x14ac:dyDescent="0.25">
      <c r="A10646" s="119"/>
      <c r="B10646" s="138" t="str">
        <f t="shared" si="907"/>
        <v>Aerated Static Pile</v>
      </c>
      <c r="C10646" s="138" t="str">
        <f t="shared" si="908"/>
        <v>Base_With Amendment</v>
      </c>
      <c r="D10646" s="138" t="str">
        <f t="shared" si="904"/>
        <v>Base_Low</v>
      </c>
      <c r="E10646" s="138" t="str">
        <f t="shared" si="905"/>
        <v>High</v>
      </c>
      <c r="F10646" s="138" t="str">
        <f t="shared" si="909"/>
        <v>Upgraded</v>
      </c>
      <c r="G10646" s="153"/>
      <c r="H10646" s="210">
        <v>3.5999999999999999E-3</v>
      </c>
      <c r="I10646" s="160" t="s">
        <v>60</v>
      </c>
      <c r="J10646" s="211">
        <v>5.62289E-5</v>
      </c>
      <c r="K10646" s="160" t="s">
        <v>13</v>
      </c>
      <c r="L10646" s="154" t="str">
        <f>IF(OpenLCAbasic!K10646="CTUh", "Fill in Manually",IF(OR(K10646="Unit", K10646=""), "", INDEX(LookUps!$E$5:$E$12, MATCH(OpenLCAbasic!K10646,LookUps!$D$5:$D$12,0))))</f>
        <v>Eutrophication Potential (EP) - kg N eq</v>
      </c>
      <c r="M10646" s="154" t="str">
        <f t="shared" si="906"/>
        <v>High_Base_Low_Upgraded_Eutrophication Potential (EP) - kg N eq_Belt filter press; wastewater treatment unit; at updated plant - US_Base_With Amendment_Aerated Static Pile</v>
      </c>
    </row>
    <row r="10647" spans="1:13" s="120" customFormat="1" x14ac:dyDescent="0.25">
      <c r="A10647" s="119"/>
      <c r="B10647" s="138" t="str">
        <f t="shared" si="907"/>
        <v>Aerated Static Pile</v>
      </c>
      <c r="C10647" s="138" t="str">
        <f t="shared" si="908"/>
        <v>Base_With Amendment</v>
      </c>
      <c r="D10647" s="138" t="str">
        <f t="shared" si="904"/>
        <v>Base_Low</v>
      </c>
      <c r="E10647" s="138" t="str">
        <f t="shared" si="905"/>
        <v>High</v>
      </c>
      <c r="F10647" s="138" t="str">
        <f t="shared" si="909"/>
        <v>Upgraded</v>
      </c>
      <c r="G10647" s="153"/>
      <c r="H10647" s="210">
        <v>2.3999999999999998E-3</v>
      </c>
      <c r="I10647" s="160" t="s">
        <v>128</v>
      </c>
      <c r="J10647" s="211">
        <v>3.7559799999999999E-5</v>
      </c>
      <c r="K10647" s="160" t="s">
        <v>13</v>
      </c>
      <c r="L10647" s="154" t="str">
        <f>IF(OpenLCAbasic!K10647="CTUh", "Fill in Manually",IF(OR(K10647="Unit", K10647=""), "", INDEX(LookUps!$E$5:$E$12, MATCH(OpenLCAbasic!K10647,LookUps!$D$5:$D$12,0))))</f>
        <v>Eutrophication Potential (EP) - kg N eq</v>
      </c>
      <c r="M10647" s="154" t="str">
        <f t="shared" si="906"/>
        <v>High_Base_Low_Upgraded_Eutrophication Potential (EP) - kg N eq_Wastewater collection; operation and infrastructure; m3 wastewater_Base_With Amendment_Aerated Static Pile</v>
      </c>
    </row>
    <row r="10648" spans="1:13" s="120" customFormat="1" x14ac:dyDescent="0.25">
      <c r="A10648" s="119"/>
      <c r="B10648" s="138" t="str">
        <f t="shared" si="907"/>
        <v>Aerated Static Pile</v>
      </c>
      <c r="C10648" s="138" t="str">
        <f t="shared" si="908"/>
        <v>Base_With Amendment</v>
      </c>
      <c r="D10648" s="138" t="str">
        <f t="shared" si="904"/>
        <v>Base_Low</v>
      </c>
      <c r="E10648" s="138" t="str">
        <f t="shared" si="905"/>
        <v>High</v>
      </c>
      <c r="F10648" s="138" t="str">
        <f t="shared" si="909"/>
        <v>Upgraded</v>
      </c>
      <c r="G10648" s="153"/>
      <c r="H10648" s="210">
        <v>2.3E-3</v>
      </c>
      <c r="I10648" s="160" t="s">
        <v>148</v>
      </c>
      <c r="J10648" s="211">
        <v>3.6874600000000001E-5</v>
      </c>
      <c r="K10648" s="160" t="s">
        <v>13</v>
      </c>
      <c r="L10648" s="154" t="str">
        <f>IF(OpenLCAbasic!K10648="CTUh", "Fill in Manually",IF(OR(K10648="Unit", K10648=""), "", INDEX(LookUps!$E$5:$E$12, MATCH(OpenLCAbasic!K10648,LookUps!$D$5:$D$12,0))))</f>
        <v>Eutrophication Potential (EP) - kg N eq</v>
      </c>
      <c r="M10648" s="154" t="str">
        <f t="shared" si="906"/>
        <v>High_Base_Low_Upgraded_Eutrophication Potential (EP) - kg N eq_Control Building; at upgraded wastewater treatment plant - US_Base_With Amendment_Aerated Static Pile</v>
      </c>
    </row>
    <row r="10649" spans="1:13" s="120" customFormat="1" x14ac:dyDescent="0.25">
      <c r="A10649" s="119"/>
      <c r="B10649" s="138" t="str">
        <f t="shared" si="907"/>
        <v>Aerated Static Pile</v>
      </c>
      <c r="C10649" s="138" t="str">
        <f t="shared" si="908"/>
        <v>Base_With Amendment</v>
      </c>
      <c r="D10649" s="138" t="str">
        <f t="shared" si="904"/>
        <v>Base_Low</v>
      </c>
      <c r="E10649" s="138" t="str">
        <f t="shared" si="905"/>
        <v>High</v>
      </c>
      <c r="F10649" s="138" t="str">
        <f t="shared" si="909"/>
        <v>Upgraded</v>
      </c>
      <c r="G10649" s="153"/>
      <c r="H10649" s="210">
        <v>1E-3</v>
      </c>
      <c r="I10649" s="160" t="s">
        <v>59</v>
      </c>
      <c r="J10649" s="211">
        <v>1.6215700000000001E-5</v>
      </c>
      <c r="K10649" s="160" t="s">
        <v>13</v>
      </c>
      <c r="L10649" s="154" t="str">
        <f>IF(OpenLCAbasic!K10649="CTUh", "Fill in Manually",IF(OR(K10649="Unit", K10649=""), "", INDEX(LookUps!$E$5:$E$12, MATCH(OpenLCAbasic!K10649,LookUps!$D$5:$D$12,0))))</f>
        <v>Eutrophication Potential (EP) - kg N eq</v>
      </c>
      <c r="M10649" s="154" t="str">
        <f t="shared" si="906"/>
        <v>High_Base_Low_Upgraded_Eutrophication Potential (EP) - kg N eq_Blend Tank; wastewater treatment unit; at updated plant - US_Base_With Amendment_Aerated Static Pile</v>
      </c>
    </row>
    <row r="10650" spans="1:13" s="120" customFormat="1" x14ac:dyDescent="0.25">
      <c r="A10650" s="119"/>
      <c r="B10650" s="138" t="str">
        <f t="shared" si="907"/>
        <v>Aerated Static Pile</v>
      </c>
      <c r="C10650" s="138" t="str">
        <f t="shared" si="908"/>
        <v>Base_With Amendment</v>
      </c>
      <c r="D10650" s="138" t="str">
        <f t="shared" si="904"/>
        <v>Base_Low</v>
      </c>
      <c r="E10650" s="138" t="str">
        <f t="shared" si="905"/>
        <v>High</v>
      </c>
      <c r="F10650" s="138" t="str">
        <f t="shared" si="909"/>
        <v>Upgraded</v>
      </c>
      <c r="G10650" s="153"/>
      <c r="H10650" s="210">
        <v>5.0000000000000001E-4</v>
      </c>
      <c r="I10650" s="160" t="s">
        <v>168</v>
      </c>
      <c r="J10650" s="211">
        <v>7.7567199999999995E-6</v>
      </c>
      <c r="K10650" s="160" t="s">
        <v>13</v>
      </c>
      <c r="L10650" s="154" t="str">
        <f>IF(OpenLCAbasic!K10650="CTUh", "Fill in Manually",IF(OR(K10650="Unit", K10650=""), "", INDEX(LookUps!$E$5:$E$12, MATCH(OpenLCAbasic!K10650,LookUps!$D$5:$D$12,0))))</f>
        <v>Eutrophication Potential (EP) - kg N eq</v>
      </c>
      <c r="M10650" s="154" t="str">
        <f t="shared" si="906"/>
        <v>High_Base_Low_Upgraded_Eutrophication Potential (EP) - kg N eq_ClearCove SCP; wastewater treatment unit; at updated plant - US_Base_With Amendment_Aerated Static Pile</v>
      </c>
    </row>
    <row r="10651" spans="1:13" s="120" customFormat="1" x14ac:dyDescent="0.25">
      <c r="A10651" s="119"/>
      <c r="B10651" s="138" t="str">
        <f t="shared" si="907"/>
        <v/>
      </c>
      <c r="C10651" s="138" t="str">
        <f t="shared" si="908"/>
        <v/>
      </c>
      <c r="D10651" s="138" t="str">
        <f t="shared" si="904"/>
        <v/>
      </c>
      <c r="E10651" s="138" t="str">
        <f t="shared" si="905"/>
        <v/>
      </c>
      <c r="F10651" s="138" t="str">
        <f t="shared" si="909"/>
        <v/>
      </c>
      <c r="G10651" s="153" t="s">
        <v>51</v>
      </c>
      <c r="H10651" s="160"/>
      <c r="I10651" s="160" t="s">
        <v>47</v>
      </c>
      <c r="J10651" s="160" t="s">
        <v>52</v>
      </c>
      <c r="K10651" s="160" t="s">
        <v>27</v>
      </c>
      <c r="L10651" s="154" t="str">
        <f>IF(OpenLCAbasic!K10651="CTUh", "Fill in Manually",IF(OR(K10651="Unit", K10651=""), "", INDEX(LookUps!$E$5:$E$12, MATCH(OpenLCAbasic!K10651,LookUps!$D$5:$D$12,0))))</f>
        <v/>
      </c>
      <c r="M10651" s="154" t="str">
        <f t="shared" si="906"/>
        <v>____Process__</v>
      </c>
    </row>
    <row r="10652" spans="1:13" s="120" customFormat="1" x14ac:dyDescent="0.25">
      <c r="A10652" s="119"/>
      <c r="B10652" s="138" t="str">
        <f t="shared" si="907"/>
        <v>Aerated Static Pile</v>
      </c>
      <c r="C10652" s="138" t="str">
        <f t="shared" si="908"/>
        <v>Base_With Amendment</v>
      </c>
      <c r="D10652" s="138" t="str">
        <f t="shared" si="904"/>
        <v>Base_Low</v>
      </c>
      <c r="E10652" s="138" t="str">
        <f t="shared" si="905"/>
        <v>High</v>
      </c>
      <c r="F10652" s="138" t="str">
        <f t="shared" si="909"/>
        <v>Upgraded</v>
      </c>
      <c r="G10652" s="153"/>
      <c r="H10652" s="210">
        <v>0.25230000000000002</v>
      </c>
      <c r="I10652" s="160" t="s">
        <v>167</v>
      </c>
      <c r="J10652" s="160">
        <v>7.9170000000000004E-2</v>
      </c>
      <c r="K10652" s="160" t="s">
        <v>14</v>
      </c>
      <c r="L10652" s="154" t="str">
        <f>IF(OpenLCAbasic!K10652="CTUh", "Fill in Manually",IF(OR(K10652="Unit", K10652=""), "", INDEX(LookUps!$E$5:$E$12, MATCH(OpenLCAbasic!K10652,LookUps!$D$5:$D$12,0))))</f>
        <v>Fossil Depletion Potential (FDP) - kg oil eq</v>
      </c>
      <c r="M10652" s="154" t="str">
        <f t="shared" si="906"/>
        <v>High_Base_Low_Upgraded_Fossil Depletion Potential (FDP) - kg oil eq_Waste Receiving and Holding; wastewater treatment unit; at updated plant - US_Base_With Amendment_Aerated Static Pile</v>
      </c>
    </row>
    <row r="10653" spans="1:13" s="120" customFormat="1" x14ac:dyDescent="0.25">
      <c r="A10653" s="119"/>
      <c r="B10653" s="138" t="str">
        <f t="shared" si="907"/>
        <v>Aerated Static Pile</v>
      </c>
      <c r="C10653" s="138" t="str">
        <f t="shared" si="908"/>
        <v>Base_With Amendment</v>
      </c>
      <c r="D10653" s="138" t="str">
        <f t="shared" si="904"/>
        <v>Base_Low</v>
      </c>
      <c r="E10653" s="138" t="str">
        <f t="shared" si="905"/>
        <v>High</v>
      </c>
      <c r="F10653" s="138" t="str">
        <f t="shared" si="909"/>
        <v>Upgraded</v>
      </c>
      <c r="G10653" s="153"/>
      <c r="H10653" s="210">
        <v>0.20269999999999999</v>
      </c>
      <c r="I10653" s="160" t="s">
        <v>55</v>
      </c>
      <c r="J10653" s="160">
        <v>6.3589999999999994E-2</v>
      </c>
      <c r="K10653" s="160" t="s">
        <v>14</v>
      </c>
      <c r="L10653" s="154" t="str">
        <f>IF(OpenLCAbasic!K10653="CTUh", "Fill in Manually",IF(OR(K10653="Unit", K10653=""), "", INDEX(LookUps!$E$5:$E$12, MATCH(OpenLCAbasic!K10653,LookUps!$D$5:$D$12,0))))</f>
        <v>Fossil Depletion Potential (FDP) - kg oil eq</v>
      </c>
      <c r="M10653" s="154" t="str">
        <f t="shared" si="906"/>
        <v>High_Base_Low_Upgraded_Fossil Depletion Potential (FDP) - kg oil eq_Aeration Tanks; wastewater treatment unit; at updated plant - US_Base_With Amendment_Aerated Static Pile</v>
      </c>
    </row>
    <row r="10654" spans="1:13" s="120" customFormat="1" x14ac:dyDescent="0.25">
      <c r="A10654" s="119"/>
      <c r="B10654" s="138" t="str">
        <f t="shared" si="907"/>
        <v>Aerated Static Pile</v>
      </c>
      <c r="C10654" s="138" t="str">
        <f t="shared" si="908"/>
        <v>Base_With Amendment</v>
      </c>
      <c r="D10654" s="138" t="str">
        <f t="shared" si="904"/>
        <v>Base_Low</v>
      </c>
      <c r="E10654" s="138" t="str">
        <f t="shared" si="905"/>
        <v>High</v>
      </c>
      <c r="F10654" s="138" t="str">
        <f t="shared" si="909"/>
        <v>Upgraded</v>
      </c>
      <c r="G10654" s="153"/>
      <c r="H10654" s="210">
        <v>0.19700000000000001</v>
      </c>
      <c r="I10654" s="160" t="s">
        <v>149</v>
      </c>
      <c r="J10654" s="160">
        <v>6.1809999999999997E-2</v>
      </c>
      <c r="K10654" s="160" t="s">
        <v>14</v>
      </c>
      <c r="L10654" s="154" t="str">
        <f>IF(OpenLCAbasic!K10654="CTUh", "Fill in Manually",IF(OR(K10654="Unit", K10654=""), "", INDEX(LookUps!$E$5:$E$12, MATCH(OpenLCAbasic!K10654,LookUps!$D$5:$D$12,0))))</f>
        <v>Fossil Depletion Potential (FDP) - kg oil eq</v>
      </c>
      <c r="M10654" s="154" t="str">
        <f t="shared" si="906"/>
        <v>High_Base_Low_Upgraded_Fossil Depletion Potential (FDP) - kg oil eq_Anaerobic Digestion; wastewater treatment unit; at updated plant - US_Base_With Amendment_Aerated Static Pile</v>
      </c>
    </row>
    <row r="10655" spans="1:13" s="120" customFormat="1" x14ac:dyDescent="0.25">
      <c r="A10655" s="119"/>
      <c r="B10655" s="138" t="str">
        <f t="shared" si="907"/>
        <v>Aerated Static Pile</v>
      </c>
      <c r="C10655" s="138" t="str">
        <f t="shared" si="908"/>
        <v>Base_With Amendment</v>
      </c>
      <c r="D10655" s="138" t="str">
        <f t="shared" si="904"/>
        <v>Base_Low</v>
      </c>
      <c r="E10655" s="138" t="str">
        <f t="shared" si="905"/>
        <v>High</v>
      </c>
      <c r="F10655" s="138" t="str">
        <f t="shared" si="909"/>
        <v>Upgraded</v>
      </c>
      <c r="G10655" s="153"/>
      <c r="H10655" s="210">
        <v>7.9600000000000004E-2</v>
      </c>
      <c r="I10655" s="160" t="s">
        <v>435</v>
      </c>
      <c r="J10655" s="160">
        <v>2.4989999999999998E-2</v>
      </c>
      <c r="K10655" s="160" t="s">
        <v>14</v>
      </c>
      <c r="L10655" s="154" t="str">
        <f>IF(OpenLCAbasic!K10655="CTUh", "Fill in Manually",IF(OR(K10655="Unit", K10655=""), "", INDEX(LookUps!$E$5:$E$12, MATCH(OpenLCAbasic!K10655,LookUps!$D$5:$D$12,0))))</f>
        <v>Fossil Depletion Potential (FDP) - kg oil eq</v>
      </c>
      <c r="M10655" s="154" t="str">
        <f t="shared" si="906"/>
        <v>High_Base_Low_Upgraded_Fossil Depletion Potential (FDP) - kg oil eq_Biosolids composting; aerated static pile; wastewater treatment unit; at updated plant - US_Base_With Amendment_Aerated Static Pile</v>
      </c>
    </row>
    <row r="10656" spans="1:13" s="120" customFormat="1" x14ac:dyDescent="0.25">
      <c r="A10656" s="119"/>
      <c r="B10656" s="138" t="str">
        <f t="shared" si="907"/>
        <v>Aerated Static Pile</v>
      </c>
      <c r="C10656" s="138" t="str">
        <f t="shared" si="908"/>
        <v>Base_With Amendment</v>
      </c>
      <c r="D10656" s="138" t="str">
        <f t="shared" si="904"/>
        <v>Base_Low</v>
      </c>
      <c r="E10656" s="138" t="str">
        <f t="shared" si="905"/>
        <v>High</v>
      </c>
      <c r="F10656" s="138" t="str">
        <f t="shared" si="909"/>
        <v>Upgraded</v>
      </c>
      <c r="G10656" s="153"/>
      <c r="H10656" s="210">
        <v>6.7100000000000007E-2</v>
      </c>
      <c r="I10656" s="160" t="s">
        <v>54</v>
      </c>
      <c r="J10656" s="160">
        <v>2.1049999999999999E-2</v>
      </c>
      <c r="K10656" s="160" t="s">
        <v>14</v>
      </c>
      <c r="L10656" s="154" t="str">
        <f>IF(OpenLCAbasic!K10656="CTUh", "Fill in Manually",IF(OR(K10656="Unit", K10656=""), "", INDEX(LookUps!$E$5:$E$12, MATCH(OpenLCAbasic!K10656,LookUps!$D$5:$D$12,0))))</f>
        <v>Fossil Depletion Potential (FDP) - kg oil eq</v>
      </c>
      <c r="M10656" s="154" t="str">
        <f t="shared" si="906"/>
        <v>High_Base_Low_Upgraded_Fossil Depletion Potential (FDP) - kg oil eq_Clear Cove Primary Clarification; wastewater treatment unit; at updated plant - US_Base_With Amendment_Aerated Static Pile</v>
      </c>
    </row>
    <row r="10657" spans="1:13" s="120" customFormat="1" x14ac:dyDescent="0.25">
      <c r="A10657" s="119"/>
      <c r="B10657" s="138" t="str">
        <f t="shared" si="907"/>
        <v>Aerated Static Pile</v>
      </c>
      <c r="C10657" s="138" t="str">
        <f t="shared" si="908"/>
        <v>Base_With Amendment</v>
      </c>
      <c r="D10657" s="138" t="str">
        <f t="shared" si="904"/>
        <v>Base_Low</v>
      </c>
      <c r="E10657" s="138" t="str">
        <f t="shared" si="905"/>
        <v>High</v>
      </c>
      <c r="F10657" s="138" t="str">
        <f t="shared" si="909"/>
        <v>Upgraded</v>
      </c>
      <c r="G10657" s="153"/>
      <c r="H10657" s="210">
        <v>5.0700000000000002E-2</v>
      </c>
      <c r="I10657" s="160" t="s">
        <v>58</v>
      </c>
      <c r="J10657" s="160">
        <v>1.592E-2</v>
      </c>
      <c r="K10657" s="160" t="s">
        <v>14</v>
      </c>
      <c r="L10657" s="154" t="str">
        <f>IF(OpenLCAbasic!K10657="CTUh", "Fill in Manually",IF(OR(K10657="Unit", K10657=""), "", INDEX(LookUps!$E$5:$E$12, MATCH(OpenLCAbasic!K10657,LookUps!$D$5:$D$12,0))))</f>
        <v>Fossil Depletion Potential (FDP) - kg oil eq</v>
      </c>
      <c r="M10657" s="154" t="str">
        <f t="shared" si="906"/>
        <v>High_Base_Low_Upgraded_Fossil Depletion Potential (FDP) - kg oil eq_Pre-Anoxic &amp; Swing tank; wastewater treatment unit; at updated plant - US_Base_With Amendment_Aerated Static Pile</v>
      </c>
    </row>
    <row r="10658" spans="1:13" s="120" customFormat="1" x14ac:dyDescent="0.25">
      <c r="A10658" s="119"/>
      <c r="B10658" s="138" t="str">
        <f t="shared" si="907"/>
        <v>Aerated Static Pile</v>
      </c>
      <c r="C10658" s="138" t="str">
        <f t="shared" si="908"/>
        <v>Base_With Amendment</v>
      </c>
      <c r="D10658" s="138" t="str">
        <f t="shared" si="904"/>
        <v>Base_Low</v>
      </c>
      <c r="E10658" s="138" t="str">
        <f t="shared" si="905"/>
        <v>High</v>
      </c>
      <c r="F10658" s="138" t="str">
        <f t="shared" si="909"/>
        <v>Upgraded</v>
      </c>
      <c r="G10658" s="153"/>
      <c r="H10658" s="210">
        <v>4.8099999999999997E-2</v>
      </c>
      <c r="I10658" s="160" t="s">
        <v>147</v>
      </c>
      <c r="J10658" s="160">
        <v>1.5089999999999999E-2</v>
      </c>
      <c r="K10658" s="160" t="s">
        <v>14</v>
      </c>
      <c r="L10658" s="154" t="str">
        <f>IF(OpenLCAbasic!K10658="CTUh", "Fill in Manually",IF(OR(K10658="Unit", K10658=""), "", INDEX(LookUps!$E$5:$E$12, MATCH(OpenLCAbasic!K10658,LookUps!$D$5:$D$12,0))))</f>
        <v>Fossil Depletion Potential (FDP) - kg oil eq</v>
      </c>
      <c r="M10658" s="154" t="str">
        <f t="shared" si="906"/>
        <v>High_Base_Low_Upgraded_Fossil Depletion Potential (FDP) - kg oil eq_Influent Pump Station; wastewater treatment unit; at updated plant - US_Base_With Amendment_Aerated Static Pile</v>
      </c>
    </row>
    <row r="10659" spans="1:13" s="120" customFormat="1" x14ac:dyDescent="0.25">
      <c r="A10659" s="119"/>
      <c r="B10659" s="138" t="str">
        <f t="shared" si="907"/>
        <v>Aerated Static Pile</v>
      </c>
      <c r="C10659" s="138" t="str">
        <f t="shared" si="908"/>
        <v>Base_With Amendment</v>
      </c>
      <c r="D10659" s="138" t="str">
        <f t="shared" si="904"/>
        <v>Base_Low</v>
      </c>
      <c r="E10659" s="138" t="str">
        <f t="shared" si="905"/>
        <v>High</v>
      </c>
      <c r="F10659" s="138" t="str">
        <f t="shared" si="909"/>
        <v>Upgraded</v>
      </c>
      <c r="G10659" s="153"/>
      <c r="H10659" s="210">
        <v>3.9800000000000002E-2</v>
      </c>
      <c r="I10659" s="160" t="s">
        <v>53</v>
      </c>
      <c r="J10659" s="160">
        <v>1.2489999999999999E-2</v>
      </c>
      <c r="K10659" s="160" t="s">
        <v>14</v>
      </c>
      <c r="L10659" s="154" t="str">
        <f>IF(OpenLCAbasic!K10659="CTUh", "Fill in Manually",IF(OR(K10659="Unit", K10659=""), "", INDEX(LookUps!$E$5:$E$12, MATCH(OpenLCAbasic!K10659,LookUps!$D$5:$D$12,0))))</f>
        <v>Fossil Depletion Potential (FDP) - kg oil eq</v>
      </c>
      <c r="M10659" s="154" t="str">
        <f t="shared" si="906"/>
        <v>High_Base_Low_Upgraded_Fossil Depletion Potential (FDP) - kg oil eq_Wet Well and Sump Station; wastewater treatment unit; at updated plant - US_Base_With Amendment_Aerated Static Pile</v>
      </c>
    </row>
    <row r="10660" spans="1:13" s="120" customFormat="1" x14ac:dyDescent="0.25">
      <c r="A10660" s="119"/>
      <c r="B10660" s="138" t="str">
        <f t="shared" si="907"/>
        <v>Aerated Static Pile</v>
      </c>
      <c r="C10660" s="138" t="str">
        <f t="shared" si="908"/>
        <v>Base_With Amendment</v>
      </c>
      <c r="D10660" s="138" t="str">
        <f t="shared" si="904"/>
        <v>Base_Low</v>
      </c>
      <c r="E10660" s="138" t="str">
        <f t="shared" si="905"/>
        <v>High</v>
      </c>
      <c r="F10660" s="138" t="str">
        <f t="shared" si="909"/>
        <v>Upgraded</v>
      </c>
      <c r="G10660" s="153"/>
      <c r="H10660" s="210">
        <v>2.1999999999999999E-2</v>
      </c>
      <c r="I10660" s="160" t="s">
        <v>57</v>
      </c>
      <c r="J10660" s="160">
        <v>6.9199999999999999E-3</v>
      </c>
      <c r="K10660" s="160" t="s">
        <v>14</v>
      </c>
      <c r="L10660" s="154" t="str">
        <f>IF(OpenLCAbasic!K10660="CTUh", "Fill in Manually",IF(OR(K10660="Unit", K10660=""), "", INDEX(LookUps!$E$5:$E$12, MATCH(OpenLCAbasic!K10660,LookUps!$D$5:$D$12,0))))</f>
        <v>Fossil Depletion Potential (FDP) - kg oil eq</v>
      </c>
      <c r="M10660" s="154" t="str">
        <f t="shared" si="906"/>
        <v>High_Base_Low_Upgraded_Fossil Depletion Potential (FDP) - kg oil eq_Gravity Belt Thickener; wastewater treatment unit; at updated plant - US_Base_With Amendment_Aerated Static Pile</v>
      </c>
    </row>
    <row r="10661" spans="1:13" s="120" customFormat="1" x14ac:dyDescent="0.25">
      <c r="A10661" s="119"/>
      <c r="B10661" s="138" t="str">
        <f t="shared" si="907"/>
        <v>Aerated Static Pile</v>
      </c>
      <c r="C10661" s="138" t="str">
        <f t="shared" si="908"/>
        <v>Base_With Amendment</v>
      </c>
      <c r="D10661" s="138" t="str">
        <f t="shared" si="904"/>
        <v>Base_Low</v>
      </c>
      <c r="E10661" s="138" t="str">
        <f t="shared" si="905"/>
        <v>High</v>
      </c>
      <c r="F10661" s="138" t="str">
        <f t="shared" si="909"/>
        <v>Upgraded</v>
      </c>
      <c r="G10661" s="153"/>
      <c r="H10661" s="210">
        <v>2.06E-2</v>
      </c>
      <c r="I10661" s="160" t="s">
        <v>60</v>
      </c>
      <c r="J10661" s="160">
        <v>6.45E-3</v>
      </c>
      <c r="K10661" s="160" t="s">
        <v>14</v>
      </c>
      <c r="L10661" s="154" t="str">
        <f>IF(OpenLCAbasic!K10661="CTUh", "Fill in Manually",IF(OR(K10661="Unit", K10661=""), "", INDEX(LookUps!$E$5:$E$12, MATCH(OpenLCAbasic!K10661,LookUps!$D$5:$D$12,0))))</f>
        <v>Fossil Depletion Potential (FDP) - kg oil eq</v>
      </c>
      <c r="M10661" s="154" t="str">
        <f t="shared" si="906"/>
        <v>High_Base_Low_Upgraded_Fossil Depletion Potential (FDP) - kg oil eq_Belt filter press; wastewater treatment unit; at updated plant - US_Base_With Amendment_Aerated Static Pile</v>
      </c>
    </row>
    <row r="10662" spans="1:13" s="120" customFormat="1" x14ac:dyDescent="0.25">
      <c r="A10662" s="119"/>
      <c r="B10662" s="138" t="str">
        <f t="shared" si="907"/>
        <v>Aerated Static Pile</v>
      </c>
      <c r="C10662" s="138" t="str">
        <f t="shared" si="908"/>
        <v>Base_With Amendment</v>
      </c>
      <c r="D10662" s="138" t="str">
        <f t="shared" si="904"/>
        <v>Base_Low</v>
      </c>
      <c r="E10662" s="138" t="str">
        <f t="shared" si="905"/>
        <v>High</v>
      </c>
      <c r="F10662" s="138" t="str">
        <f t="shared" si="909"/>
        <v>Upgraded</v>
      </c>
      <c r="G10662" s="153"/>
      <c r="H10662" s="210">
        <v>1.43E-2</v>
      </c>
      <c r="I10662" s="160" t="s">
        <v>128</v>
      </c>
      <c r="J10662" s="160">
        <v>4.4999999999999997E-3</v>
      </c>
      <c r="K10662" s="160" t="s">
        <v>14</v>
      </c>
      <c r="L10662" s="154" t="str">
        <f>IF(OpenLCAbasic!K10662="CTUh", "Fill in Manually",IF(OR(K10662="Unit", K10662=""), "", INDEX(LookUps!$E$5:$E$12, MATCH(OpenLCAbasic!K10662,LookUps!$D$5:$D$12,0))))</f>
        <v>Fossil Depletion Potential (FDP) - kg oil eq</v>
      </c>
      <c r="M10662" s="154" t="str">
        <f t="shared" si="906"/>
        <v>High_Base_Low_Upgraded_Fossil Depletion Potential (FDP) - kg oil eq_Wastewater collection; operation and infrastructure; m3 wastewater_Base_With Amendment_Aerated Static Pile</v>
      </c>
    </row>
    <row r="10663" spans="1:13" s="120" customFormat="1" x14ac:dyDescent="0.25">
      <c r="A10663" s="119"/>
      <c r="B10663" s="138" t="str">
        <f t="shared" si="907"/>
        <v>Aerated Static Pile</v>
      </c>
      <c r="C10663" s="138" t="str">
        <f t="shared" si="908"/>
        <v>Base_With Amendment</v>
      </c>
      <c r="D10663" s="138" t="str">
        <f t="shared" si="904"/>
        <v>Base_Low</v>
      </c>
      <c r="E10663" s="138" t="str">
        <f t="shared" si="905"/>
        <v>High</v>
      </c>
      <c r="F10663" s="138" t="str">
        <f t="shared" si="909"/>
        <v>Upgraded</v>
      </c>
      <c r="G10663" s="153"/>
      <c r="H10663" s="210">
        <v>8.8999999999999999E-3</v>
      </c>
      <c r="I10663" s="160" t="s">
        <v>148</v>
      </c>
      <c r="J10663" s="160">
        <v>2.8E-3</v>
      </c>
      <c r="K10663" s="160" t="s">
        <v>14</v>
      </c>
      <c r="L10663" s="154" t="str">
        <f>IF(OpenLCAbasic!K10663="CTUh", "Fill in Manually",IF(OR(K10663="Unit", K10663=""), "", INDEX(LookUps!$E$5:$E$12, MATCH(OpenLCAbasic!K10663,LookUps!$D$5:$D$12,0))))</f>
        <v>Fossil Depletion Potential (FDP) - kg oil eq</v>
      </c>
      <c r="M10663" s="154" t="str">
        <f t="shared" si="906"/>
        <v>High_Base_Low_Upgraded_Fossil Depletion Potential (FDP) - kg oil eq_Control Building; at upgraded wastewater treatment plant - US_Base_With Amendment_Aerated Static Pile</v>
      </c>
    </row>
    <row r="10664" spans="1:13" s="120" customFormat="1" x14ac:dyDescent="0.25">
      <c r="A10664" s="119"/>
      <c r="B10664" s="138" t="str">
        <f t="shared" si="907"/>
        <v>Aerated Static Pile</v>
      </c>
      <c r="C10664" s="138" t="str">
        <f t="shared" si="908"/>
        <v>Base_With Amendment</v>
      </c>
      <c r="D10664" s="138" t="str">
        <f t="shared" si="904"/>
        <v>Base_Low</v>
      </c>
      <c r="E10664" s="138" t="str">
        <f t="shared" si="905"/>
        <v>High</v>
      </c>
      <c r="F10664" s="138" t="str">
        <f t="shared" si="909"/>
        <v>Upgraded</v>
      </c>
      <c r="G10664" s="153"/>
      <c r="H10664" s="210">
        <v>7.4999999999999997E-3</v>
      </c>
      <c r="I10664" s="160" t="s">
        <v>48</v>
      </c>
      <c r="J10664" s="160">
        <v>2.3600000000000001E-3</v>
      </c>
      <c r="K10664" s="160" t="s">
        <v>14</v>
      </c>
      <c r="L10664" s="154" t="str">
        <f>IF(OpenLCAbasic!K10664="CTUh", "Fill in Manually",IF(OR(K10664="Unit", K10664=""), "", INDEX(LookUps!$E$5:$E$12, MATCH(OpenLCAbasic!K10664,LookUps!$D$5:$D$12,0))))</f>
        <v>Fossil Depletion Potential (FDP) - kg oil eq</v>
      </c>
      <c r="M10664" s="154" t="str">
        <f t="shared" si="906"/>
        <v>High_Base_Low_Upgraded_Fossil Depletion Potential (FDP) - kg oil eq_Effluent release; wastewater treatment unit; at surface water; m3 wastewater - US_Base_With Amendment_Aerated Static Pile</v>
      </c>
    </row>
    <row r="10665" spans="1:13" s="120" customFormat="1" x14ac:dyDescent="0.25">
      <c r="A10665" s="119"/>
      <c r="B10665" s="138" t="str">
        <f t="shared" si="907"/>
        <v>Aerated Static Pile</v>
      </c>
      <c r="C10665" s="138" t="str">
        <f t="shared" si="908"/>
        <v>Base_With Amendment</v>
      </c>
      <c r="D10665" s="138" t="str">
        <f t="shared" ref="D10665:D10728" si="910">IF(ISNUMBER($J10665),"Base_Low","")</f>
        <v>Base_Low</v>
      </c>
      <c r="E10665" s="138" t="str">
        <f t="shared" ref="E10665:E10728" si="911">IF(ISNUMBER($J10665),"High","")</f>
        <v>High</v>
      </c>
      <c r="F10665" s="138" t="str">
        <f t="shared" si="909"/>
        <v>Upgraded</v>
      </c>
      <c r="G10665" s="153"/>
      <c r="H10665" s="210">
        <v>6.1000000000000004E-3</v>
      </c>
      <c r="I10665" s="160" t="s">
        <v>59</v>
      </c>
      <c r="J10665" s="160">
        <v>1.92E-3</v>
      </c>
      <c r="K10665" s="160" t="s">
        <v>14</v>
      </c>
      <c r="L10665" s="154" t="str">
        <f>IF(OpenLCAbasic!K10665="CTUh", "Fill in Manually",IF(OR(K10665="Unit", K10665=""), "", INDEX(LookUps!$E$5:$E$12, MATCH(OpenLCAbasic!K10665,LookUps!$D$5:$D$12,0))))</f>
        <v>Fossil Depletion Potential (FDP) - kg oil eq</v>
      </c>
      <c r="M10665" s="154" t="str">
        <f t="shared" si="906"/>
        <v>High_Base_Low_Upgraded_Fossil Depletion Potential (FDP) - kg oil eq_Blend Tank; wastewater treatment unit; at updated plant - US_Base_With Amendment_Aerated Static Pile</v>
      </c>
    </row>
    <row r="10666" spans="1:13" s="120" customFormat="1" x14ac:dyDescent="0.25">
      <c r="A10666" s="119"/>
      <c r="B10666" s="138" t="str">
        <f t="shared" si="907"/>
        <v>Aerated Static Pile</v>
      </c>
      <c r="C10666" s="138" t="str">
        <f t="shared" si="908"/>
        <v>Base_With Amendment</v>
      </c>
      <c r="D10666" s="138" t="str">
        <f t="shared" si="910"/>
        <v>Base_Low</v>
      </c>
      <c r="E10666" s="138" t="str">
        <f t="shared" si="911"/>
        <v>High</v>
      </c>
      <c r="F10666" s="138" t="str">
        <f t="shared" si="909"/>
        <v>Upgraded</v>
      </c>
      <c r="G10666" s="153"/>
      <c r="H10666" s="210">
        <v>2.8999999999999998E-3</v>
      </c>
      <c r="I10666" s="160" t="s">
        <v>168</v>
      </c>
      <c r="J10666" s="160">
        <v>9.1E-4</v>
      </c>
      <c r="K10666" s="160" t="s">
        <v>14</v>
      </c>
      <c r="L10666" s="154" t="str">
        <f>IF(OpenLCAbasic!K10666="CTUh", "Fill in Manually",IF(OR(K10666="Unit", K10666=""), "", INDEX(LookUps!$E$5:$E$12, MATCH(OpenLCAbasic!K10666,LookUps!$D$5:$D$12,0))))</f>
        <v>Fossil Depletion Potential (FDP) - kg oil eq</v>
      </c>
      <c r="M10666" s="154" t="str">
        <f t="shared" si="906"/>
        <v>High_Base_Low_Upgraded_Fossil Depletion Potential (FDP) - kg oil eq_ClearCove SCP; wastewater treatment unit; at updated plant - US_Base_With Amendment_Aerated Static Pile</v>
      </c>
    </row>
    <row r="10667" spans="1:13" s="120" customFormat="1" x14ac:dyDescent="0.25">
      <c r="A10667" s="119"/>
      <c r="B10667" s="138" t="str">
        <f t="shared" si="907"/>
        <v>Aerated Static Pile</v>
      </c>
      <c r="C10667" s="138" t="str">
        <f t="shared" si="908"/>
        <v>Base_With Amendment</v>
      </c>
      <c r="D10667" s="138" t="str">
        <f t="shared" si="910"/>
        <v>Base_Low</v>
      </c>
      <c r="E10667" s="138" t="str">
        <f t="shared" si="911"/>
        <v>High</v>
      </c>
      <c r="F10667" s="138" t="str">
        <f t="shared" si="909"/>
        <v>Upgraded</v>
      </c>
      <c r="G10667" s="153"/>
      <c r="H10667" s="210">
        <v>-1.9699999999999999E-2</v>
      </c>
      <c r="I10667" s="160" t="s">
        <v>62</v>
      </c>
      <c r="J10667" s="160">
        <v>-6.1900000000000002E-3</v>
      </c>
      <c r="K10667" s="160" t="s">
        <v>14</v>
      </c>
      <c r="L10667" s="154" t="str">
        <f>IF(OpenLCAbasic!K10667="CTUh", "Fill in Manually",IF(OR(K10667="Unit", K10667=""), "", INDEX(LookUps!$E$5:$E$12, MATCH(OpenLCAbasic!K10667,LookUps!$D$5:$D$12,0))))</f>
        <v>Fossil Depletion Potential (FDP) - kg oil eq</v>
      </c>
      <c r="M10667" s="154" t="str">
        <f t="shared" si="906"/>
        <v>High_Base_Low_Upgraded_Fossil Depletion Potential (FDP) - kg oil eq_Land application of compost; wastewater treatment unit; at updated plant - US_Base_With Amendment_Aerated Static Pile</v>
      </c>
    </row>
    <row r="10668" spans="1:13" s="120" customFormat="1" x14ac:dyDescent="0.25">
      <c r="A10668" s="119"/>
      <c r="B10668" s="138" t="str">
        <f t="shared" si="907"/>
        <v/>
      </c>
      <c r="C10668" s="138" t="str">
        <f t="shared" si="908"/>
        <v/>
      </c>
      <c r="D10668" s="138" t="str">
        <f t="shared" si="910"/>
        <v/>
      </c>
      <c r="E10668" s="138" t="str">
        <f t="shared" si="911"/>
        <v/>
      </c>
      <c r="F10668" s="138" t="str">
        <f t="shared" si="909"/>
        <v/>
      </c>
      <c r="G10668" s="153" t="s">
        <v>51</v>
      </c>
      <c r="H10668" s="160"/>
      <c r="I10668" s="160" t="s">
        <v>47</v>
      </c>
      <c r="J10668" s="160" t="s">
        <v>52</v>
      </c>
      <c r="K10668" s="160" t="s">
        <v>27</v>
      </c>
      <c r="L10668" s="154" t="str">
        <f>IF(OpenLCAbasic!K10668="CTUh", "Fill in Manually",IF(OR(K10668="Unit", K10668=""), "", INDEX(LookUps!$E$5:$E$12, MATCH(OpenLCAbasic!K10668,LookUps!$D$5:$D$12,0))))</f>
        <v/>
      </c>
      <c r="M10668" s="154" t="str">
        <f t="shared" si="906"/>
        <v>____Process__</v>
      </c>
    </row>
    <row r="10669" spans="1:13" s="120" customFormat="1" x14ac:dyDescent="0.25">
      <c r="A10669" s="119"/>
      <c r="B10669" s="138" t="str">
        <f t="shared" si="907"/>
        <v>Aerated Static Pile</v>
      </c>
      <c r="C10669" s="138" t="str">
        <f t="shared" si="908"/>
        <v>Base_With Amendment</v>
      </c>
      <c r="D10669" s="138" t="str">
        <f t="shared" si="910"/>
        <v>Base_Low</v>
      </c>
      <c r="E10669" s="138" t="str">
        <f t="shared" si="911"/>
        <v>High</v>
      </c>
      <c r="F10669" s="138" t="str">
        <f t="shared" si="909"/>
        <v>Upgraded</v>
      </c>
      <c r="G10669" s="153"/>
      <c r="H10669" s="210">
        <v>0.69220000000000004</v>
      </c>
      <c r="I10669" s="160" t="s">
        <v>435</v>
      </c>
      <c r="J10669" s="160">
        <v>0.93728999999999996</v>
      </c>
      <c r="K10669" s="160" t="s">
        <v>23</v>
      </c>
      <c r="L10669" s="154" t="str">
        <f>IF(OpenLCAbasic!K10669="CTUh", "Fill in Manually",IF(OR(K10669="Unit", K10669=""), "", INDEX(LookUps!$E$5:$E$12, MATCH(OpenLCAbasic!K10669,LookUps!$D$5:$D$12,0))))</f>
        <v>Global Warming Potential (GWP) - kg CO2 eq</v>
      </c>
      <c r="M10669" s="154" t="str">
        <f t="shared" si="906"/>
        <v>High_Base_Low_Upgraded_Global Warming Potential (GWP) - kg CO2 eq_Biosolids composting; aerated static pile; wastewater treatment unit; at updated plant - US_Base_With Amendment_Aerated Static Pile</v>
      </c>
    </row>
    <row r="10670" spans="1:13" s="120" customFormat="1" x14ac:dyDescent="0.25">
      <c r="A10670" s="119"/>
      <c r="B10670" s="138" t="str">
        <f t="shared" si="907"/>
        <v>Aerated Static Pile</v>
      </c>
      <c r="C10670" s="138" t="str">
        <f t="shared" si="908"/>
        <v>Base_With Amendment</v>
      </c>
      <c r="D10670" s="138" t="str">
        <f t="shared" si="910"/>
        <v>Base_Low</v>
      </c>
      <c r="E10670" s="138" t="str">
        <f t="shared" si="911"/>
        <v>High</v>
      </c>
      <c r="F10670" s="138" t="str">
        <f t="shared" si="909"/>
        <v>Upgraded</v>
      </c>
      <c r="G10670" s="153"/>
      <c r="H10670" s="210">
        <v>0.17929999999999999</v>
      </c>
      <c r="I10670" s="160" t="s">
        <v>58</v>
      </c>
      <c r="J10670" s="160">
        <v>0.24279999999999999</v>
      </c>
      <c r="K10670" s="160" t="s">
        <v>23</v>
      </c>
      <c r="L10670" s="154" t="str">
        <f>IF(OpenLCAbasic!K10670="CTUh", "Fill in Manually",IF(OR(K10670="Unit", K10670=""), "", INDEX(LookUps!$E$5:$E$12, MATCH(OpenLCAbasic!K10670,LookUps!$D$5:$D$12,0))))</f>
        <v>Global Warming Potential (GWP) - kg CO2 eq</v>
      </c>
      <c r="M10670" s="154" t="str">
        <f t="shared" si="906"/>
        <v>High_Base_Low_Upgraded_Global Warming Potential (GWP) - kg CO2 eq_Pre-Anoxic &amp; Swing tank; wastewater treatment unit; at updated plant - US_Base_With Amendment_Aerated Static Pile</v>
      </c>
    </row>
    <row r="10671" spans="1:13" s="120" customFormat="1" x14ac:dyDescent="0.25">
      <c r="A10671" s="119"/>
      <c r="B10671" s="138" t="str">
        <f t="shared" si="907"/>
        <v>Aerated Static Pile</v>
      </c>
      <c r="C10671" s="138" t="str">
        <f t="shared" si="908"/>
        <v>Base_With Amendment</v>
      </c>
      <c r="D10671" s="138" t="str">
        <f t="shared" si="910"/>
        <v>Base_Low</v>
      </c>
      <c r="E10671" s="138" t="str">
        <f t="shared" si="911"/>
        <v>High</v>
      </c>
      <c r="F10671" s="138" t="str">
        <f t="shared" si="909"/>
        <v>Upgraded</v>
      </c>
      <c r="G10671" s="153"/>
      <c r="H10671" s="210">
        <v>0.12959999999999999</v>
      </c>
      <c r="I10671" s="160" t="s">
        <v>149</v>
      </c>
      <c r="J10671" s="160">
        <v>0.17544999999999999</v>
      </c>
      <c r="K10671" s="160" t="s">
        <v>23</v>
      </c>
      <c r="L10671" s="154" t="str">
        <f>IF(OpenLCAbasic!K10671="CTUh", "Fill in Manually",IF(OR(K10671="Unit", K10671=""), "", INDEX(LookUps!$E$5:$E$12, MATCH(OpenLCAbasic!K10671,LookUps!$D$5:$D$12,0))))</f>
        <v>Global Warming Potential (GWP) - kg CO2 eq</v>
      </c>
      <c r="M10671" s="154" t="str">
        <f t="shared" si="906"/>
        <v>High_Base_Low_Upgraded_Global Warming Potential (GWP) - kg CO2 eq_Anaerobic Digestion; wastewater treatment unit; at updated plant - US_Base_With Amendment_Aerated Static Pile</v>
      </c>
    </row>
    <row r="10672" spans="1:13" s="120" customFormat="1" x14ac:dyDescent="0.25">
      <c r="A10672" s="119"/>
      <c r="B10672" s="138" t="str">
        <f t="shared" si="907"/>
        <v>Aerated Static Pile</v>
      </c>
      <c r="C10672" s="138" t="str">
        <f t="shared" si="908"/>
        <v>Base_With Amendment</v>
      </c>
      <c r="D10672" s="138" t="str">
        <f t="shared" si="910"/>
        <v>Base_Low</v>
      </c>
      <c r="E10672" s="138" t="str">
        <f t="shared" si="911"/>
        <v>High</v>
      </c>
      <c r="F10672" s="138" t="str">
        <f t="shared" si="909"/>
        <v>Upgraded</v>
      </c>
      <c r="G10672" s="153"/>
      <c r="H10672" s="210">
        <v>0.1242</v>
      </c>
      <c r="I10672" s="160" t="s">
        <v>55</v>
      </c>
      <c r="J10672" s="160">
        <v>0.16822000000000001</v>
      </c>
      <c r="K10672" s="160" t="s">
        <v>23</v>
      </c>
      <c r="L10672" s="154" t="str">
        <f>IF(OpenLCAbasic!K10672="CTUh", "Fill in Manually",IF(OR(K10672="Unit", K10672=""), "", INDEX(LookUps!$E$5:$E$12, MATCH(OpenLCAbasic!K10672,LookUps!$D$5:$D$12,0))))</f>
        <v>Global Warming Potential (GWP) - kg CO2 eq</v>
      </c>
      <c r="M10672" s="154" t="str">
        <f t="shared" si="906"/>
        <v>High_Base_Low_Upgraded_Global Warming Potential (GWP) - kg CO2 eq_Aeration Tanks; wastewater treatment unit; at updated plant - US_Base_With Amendment_Aerated Static Pile</v>
      </c>
    </row>
    <row r="10673" spans="1:13" s="120" customFormat="1" x14ac:dyDescent="0.25">
      <c r="A10673" s="119"/>
      <c r="B10673" s="138" t="str">
        <f t="shared" si="907"/>
        <v>Aerated Static Pile</v>
      </c>
      <c r="C10673" s="138" t="str">
        <f t="shared" si="908"/>
        <v>Base_With Amendment</v>
      </c>
      <c r="D10673" s="138" t="str">
        <f t="shared" si="910"/>
        <v>Base_Low</v>
      </c>
      <c r="E10673" s="138" t="str">
        <f t="shared" si="911"/>
        <v>High</v>
      </c>
      <c r="F10673" s="138" t="str">
        <f t="shared" si="909"/>
        <v>Upgraded</v>
      </c>
      <c r="G10673" s="153"/>
      <c r="H10673" s="210">
        <v>7.5600000000000001E-2</v>
      </c>
      <c r="I10673" s="160" t="s">
        <v>167</v>
      </c>
      <c r="J10673" s="160">
        <v>0.10241</v>
      </c>
      <c r="K10673" s="160" t="s">
        <v>23</v>
      </c>
      <c r="L10673" s="154" t="str">
        <f>IF(OpenLCAbasic!K10673="CTUh", "Fill in Manually",IF(OR(K10673="Unit", K10673=""), "", INDEX(LookUps!$E$5:$E$12, MATCH(OpenLCAbasic!K10673,LookUps!$D$5:$D$12,0))))</f>
        <v>Global Warming Potential (GWP) - kg CO2 eq</v>
      </c>
      <c r="M10673" s="154" t="str">
        <f t="shared" si="906"/>
        <v>High_Base_Low_Upgraded_Global Warming Potential (GWP) - kg CO2 eq_Waste Receiving and Holding; wastewater treatment unit; at updated plant - US_Base_With Amendment_Aerated Static Pile</v>
      </c>
    </row>
    <row r="10674" spans="1:13" s="120" customFormat="1" x14ac:dyDescent="0.25">
      <c r="A10674" s="119"/>
      <c r="B10674" s="138" t="str">
        <f t="shared" si="907"/>
        <v>Aerated Static Pile</v>
      </c>
      <c r="C10674" s="138" t="str">
        <f t="shared" si="908"/>
        <v>Base_With Amendment</v>
      </c>
      <c r="D10674" s="138" t="str">
        <f t="shared" si="910"/>
        <v>Base_Low</v>
      </c>
      <c r="E10674" s="138" t="str">
        <f t="shared" si="911"/>
        <v>High</v>
      </c>
      <c r="F10674" s="138" t="str">
        <f t="shared" si="909"/>
        <v>Upgraded</v>
      </c>
      <c r="G10674" s="153"/>
      <c r="H10674" s="210">
        <v>4.2200000000000001E-2</v>
      </c>
      <c r="I10674" s="160" t="s">
        <v>54</v>
      </c>
      <c r="J10674" s="160">
        <v>5.7079999999999999E-2</v>
      </c>
      <c r="K10674" s="160" t="s">
        <v>23</v>
      </c>
      <c r="L10674" s="154" t="str">
        <f>IF(OpenLCAbasic!K10674="CTUh", "Fill in Manually",IF(OR(K10674="Unit", K10674=""), "", INDEX(LookUps!$E$5:$E$12, MATCH(OpenLCAbasic!K10674,LookUps!$D$5:$D$12,0))))</f>
        <v>Global Warming Potential (GWP) - kg CO2 eq</v>
      </c>
      <c r="M10674" s="154" t="str">
        <f t="shared" si="906"/>
        <v>High_Base_Low_Upgraded_Global Warming Potential (GWP) - kg CO2 eq_Clear Cove Primary Clarification; wastewater treatment unit; at updated plant - US_Base_With Amendment_Aerated Static Pile</v>
      </c>
    </row>
    <row r="10675" spans="1:13" s="120" customFormat="1" x14ac:dyDescent="0.25">
      <c r="A10675" s="119"/>
      <c r="B10675" s="138" t="str">
        <f t="shared" si="907"/>
        <v>Aerated Static Pile</v>
      </c>
      <c r="C10675" s="138" t="str">
        <f t="shared" si="908"/>
        <v>Base_With Amendment</v>
      </c>
      <c r="D10675" s="138" t="str">
        <f t="shared" si="910"/>
        <v>Base_Low</v>
      </c>
      <c r="E10675" s="138" t="str">
        <f t="shared" si="911"/>
        <v>High</v>
      </c>
      <c r="F10675" s="138" t="str">
        <f t="shared" si="909"/>
        <v>Upgraded</v>
      </c>
      <c r="G10675" s="153"/>
      <c r="H10675" s="210">
        <v>3.8899999999999997E-2</v>
      </c>
      <c r="I10675" s="160" t="s">
        <v>48</v>
      </c>
      <c r="J10675" s="160">
        <v>5.2639999999999999E-2</v>
      </c>
      <c r="K10675" s="160" t="s">
        <v>23</v>
      </c>
      <c r="L10675" s="154" t="str">
        <f>IF(OpenLCAbasic!K10675="CTUh", "Fill in Manually",IF(OR(K10675="Unit", K10675=""), "", INDEX(LookUps!$E$5:$E$12, MATCH(OpenLCAbasic!K10675,LookUps!$D$5:$D$12,0))))</f>
        <v>Global Warming Potential (GWP) - kg CO2 eq</v>
      </c>
      <c r="M10675" s="154" t="str">
        <f t="shared" si="906"/>
        <v>High_Base_Low_Upgraded_Global Warming Potential (GWP) - kg CO2 eq_Effluent release; wastewater treatment unit; at surface water; m3 wastewater - US_Base_With Amendment_Aerated Static Pile</v>
      </c>
    </row>
    <row r="10676" spans="1:13" s="120" customFormat="1" x14ac:dyDescent="0.25">
      <c r="A10676" s="119"/>
      <c r="B10676" s="138" t="str">
        <f t="shared" si="907"/>
        <v>Aerated Static Pile</v>
      </c>
      <c r="C10676" s="138" t="str">
        <f t="shared" si="908"/>
        <v>Base_With Amendment</v>
      </c>
      <c r="D10676" s="138" t="str">
        <f t="shared" si="910"/>
        <v>Base_Low</v>
      </c>
      <c r="E10676" s="138" t="str">
        <f t="shared" si="911"/>
        <v>High</v>
      </c>
      <c r="F10676" s="138" t="str">
        <f t="shared" si="909"/>
        <v>Upgraded</v>
      </c>
      <c r="G10676" s="153"/>
      <c r="H10676" s="210">
        <v>3.73E-2</v>
      </c>
      <c r="I10676" s="160" t="s">
        <v>147</v>
      </c>
      <c r="J10676" s="160">
        <v>5.0500000000000003E-2</v>
      </c>
      <c r="K10676" s="160" t="s">
        <v>23</v>
      </c>
      <c r="L10676" s="154" t="str">
        <f>IF(OpenLCAbasic!K10676="CTUh", "Fill in Manually",IF(OR(K10676="Unit", K10676=""), "", INDEX(LookUps!$E$5:$E$12, MATCH(OpenLCAbasic!K10676,LookUps!$D$5:$D$12,0))))</f>
        <v>Global Warming Potential (GWP) - kg CO2 eq</v>
      </c>
      <c r="M10676" s="154" t="str">
        <f t="shared" si="906"/>
        <v>High_Base_Low_Upgraded_Global Warming Potential (GWP) - kg CO2 eq_Influent Pump Station; wastewater treatment unit; at updated plant - US_Base_With Amendment_Aerated Static Pile</v>
      </c>
    </row>
    <row r="10677" spans="1:13" s="120" customFormat="1" x14ac:dyDescent="0.25">
      <c r="A10677" s="119"/>
      <c r="B10677" s="138" t="str">
        <f t="shared" si="907"/>
        <v>Aerated Static Pile</v>
      </c>
      <c r="C10677" s="138" t="str">
        <f t="shared" si="908"/>
        <v>Base_With Amendment</v>
      </c>
      <c r="D10677" s="138" t="str">
        <f t="shared" si="910"/>
        <v>Base_Low</v>
      </c>
      <c r="E10677" s="138" t="str">
        <f t="shared" si="911"/>
        <v>High</v>
      </c>
      <c r="F10677" s="138" t="str">
        <f t="shared" si="909"/>
        <v>Upgraded</v>
      </c>
      <c r="G10677" s="153"/>
      <c r="H10677" s="210">
        <v>2.46E-2</v>
      </c>
      <c r="I10677" s="160" t="s">
        <v>53</v>
      </c>
      <c r="J10677" s="160">
        <v>3.3259999999999998E-2</v>
      </c>
      <c r="K10677" s="160" t="s">
        <v>23</v>
      </c>
      <c r="L10677" s="154" t="str">
        <f>IF(OpenLCAbasic!K10677="CTUh", "Fill in Manually",IF(OR(K10677="Unit", K10677=""), "", INDEX(LookUps!$E$5:$E$12, MATCH(OpenLCAbasic!K10677,LookUps!$D$5:$D$12,0))))</f>
        <v>Global Warming Potential (GWP) - kg CO2 eq</v>
      </c>
      <c r="M10677" s="154" t="str">
        <f t="shared" si="906"/>
        <v>High_Base_Low_Upgraded_Global Warming Potential (GWP) - kg CO2 eq_Wet Well and Sump Station; wastewater treatment unit; at updated plant - US_Base_With Amendment_Aerated Static Pile</v>
      </c>
    </row>
    <row r="10678" spans="1:13" s="120" customFormat="1" x14ac:dyDescent="0.25">
      <c r="A10678" s="119"/>
      <c r="B10678" s="138" t="str">
        <f t="shared" si="907"/>
        <v>Aerated Static Pile</v>
      </c>
      <c r="C10678" s="138" t="str">
        <f t="shared" si="908"/>
        <v>Base_With Amendment</v>
      </c>
      <c r="D10678" s="138" t="str">
        <f t="shared" si="910"/>
        <v>Base_Low</v>
      </c>
      <c r="E10678" s="138" t="str">
        <f t="shared" si="911"/>
        <v>High</v>
      </c>
      <c r="F10678" s="138" t="str">
        <f t="shared" si="909"/>
        <v>Upgraded</v>
      </c>
      <c r="G10678" s="153"/>
      <c r="H10678" s="210">
        <v>1.0699999999999999E-2</v>
      </c>
      <c r="I10678" s="160" t="s">
        <v>57</v>
      </c>
      <c r="J10678" s="160">
        <v>1.455E-2</v>
      </c>
      <c r="K10678" s="160" t="s">
        <v>23</v>
      </c>
      <c r="L10678" s="154" t="str">
        <f>IF(OpenLCAbasic!K10678="CTUh", "Fill in Manually",IF(OR(K10678="Unit", K10678=""), "", INDEX(LookUps!$E$5:$E$12, MATCH(OpenLCAbasic!K10678,LookUps!$D$5:$D$12,0))))</f>
        <v>Global Warming Potential (GWP) - kg CO2 eq</v>
      </c>
      <c r="M10678" s="154" t="str">
        <f t="shared" si="906"/>
        <v>High_Base_Low_Upgraded_Global Warming Potential (GWP) - kg CO2 eq_Gravity Belt Thickener; wastewater treatment unit; at updated plant - US_Base_With Amendment_Aerated Static Pile</v>
      </c>
    </row>
    <row r="10679" spans="1:13" s="120" customFormat="1" x14ac:dyDescent="0.25">
      <c r="A10679" s="119"/>
      <c r="B10679" s="138" t="str">
        <f t="shared" si="907"/>
        <v>Aerated Static Pile</v>
      </c>
      <c r="C10679" s="138" t="str">
        <f t="shared" si="908"/>
        <v>Base_With Amendment</v>
      </c>
      <c r="D10679" s="138" t="str">
        <f t="shared" si="910"/>
        <v>Base_Low</v>
      </c>
      <c r="E10679" s="138" t="str">
        <f t="shared" si="911"/>
        <v>High</v>
      </c>
      <c r="F10679" s="138" t="str">
        <f t="shared" si="909"/>
        <v>Upgraded</v>
      </c>
      <c r="G10679" s="153"/>
      <c r="H10679" s="210">
        <v>1.0500000000000001E-2</v>
      </c>
      <c r="I10679" s="160" t="s">
        <v>60</v>
      </c>
      <c r="J10679" s="160">
        <v>1.418E-2</v>
      </c>
      <c r="K10679" s="160" t="s">
        <v>23</v>
      </c>
      <c r="L10679" s="154" t="str">
        <f>IF(OpenLCAbasic!K10679="CTUh", "Fill in Manually",IF(OR(K10679="Unit", K10679=""), "", INDEX(LookUps!$E$5:$E$12, MATCH(OpenLCAbasic!K10679,LookUps!$D$5:$D$12,0))))</f>
        <v>Global Warming Potential (GWP) - kg CO2 eq</v>
      </c>
      <c r="M10679" s="154" t="str">
        <f t="shared" si="906"/>
        <v>High_Base_Low_Upgraded_Global Warming Potential (GWP) - kg CO2 eq_Belt filter press; wastewater treatment unit; at updated plant - US_Base_With Amendment_Aerated Static Pile</v>
      </c>
    </row>
    <row r="10680" spans="1:13" s="120" customFormat="1" x14ac:dyDescent="0.25">
      <c r="A10680" s="119"/>
      <c r="B10680" s="138" t="str">
        <f t="shared" si="907"/>
        <v>Aerated Static Pile</v>
      </c>
      <c r="C10680" s="138" t="str">
        <f t="shared" si="908"/>
        <v>Base_With Amendment</v>
      </c>
      <c r="D10680" s="138" t="str">
        <f t="shared" si="910"/>
        <v>Base_Low</v>
      </c>
      <c r="E10680" s="138" t="str">
        <f t="shared" si="911"/>
        <v>High</v>
      </c>
      <c r="F10680" s="138" t="str">
        <f t="shared" si="909"/>
        <v>Upgraded</v>
      </c>
      <c r="G10680" s="153"/>
      <c r="H10680" s="210">
        <v>0.01</v>
      </c>
      <c r="I10680" s="160" t="s">
        <v>128</v>
      </c>
      <c r="J10680" s="160">
        <v>1.3509999999999999E-2</v>
      </c>
      <c r="K10680" s="160" t="s">
        <v>23</v>
      </c>
      <c r="L10680" s="154" t="str">
        <f>IF(OpenLCAbasic!K10680="CTUh", "Fill in Manually",IF(OR(K10680="Unit", K10680=""), "", INDEX(LookUps!$E$5:$E$12, MATCH(OpenLCAbasic!K10680,LookUps!$D$5:$D$12,0))))</f>
        <v>Global Warming Potential (GWP) - kg CO2 eq</v>
      </c>
      <c r="M10680" s="154" t="str">
        <f t="shared" si="906"/>
        <v>High_Base_Low_Upgraded_Global Warming Potential (GWP) - kg CO2 eq_Wastewater collection; operation and infrastructure; m3 wastewater_Base_With Amendment_Aerated Static Pile</v>
      </c>
    </row>
    <row r="10681" spans="1:13" s="120" customFormat="1" x14ac:dyDescent="0.25">
      <c r="A10681" s="119"/>
      <c r="B10681" s="138" t="str">
        <f t="shared" si="907"/>
        <v>Aerated Static Pile</v>
      </c>
      <c r="C10681" s="138" t="str">
        <f t="shared" si="908"/>
        <v>Base_With Amendment</v>
      </c>
      <c r="D10681" s="138" t="str">
        <f t="shared" si="910"/>
        <v>Base_Low</v>
      </c>
      <c r="E10681" s="138" t="str">
        <f t="shared" si="911"/>
        <v>High</v>
      </c>
      <c r="F10681" s="138" t="str">
        <f t="shared" si="909"/>
        <v>Upgraded</v>
      </c>
      <c r="G10681" s="153"/>
      <c r="H10681" s="210">
        <v>6.1000000000000004E-3</v>
      </c>
      <c r="I10681" s="160" t="s">
        <v>148</v>
      </c>
      <c r="J10681" s="160">
        <v>8.3000000000000001E-3</v>
      </c>
      <c r="K10681" s="160" t="s">
        <v>23</v>
      </c>
      <c r="L10681" s="154" t="str">
        <f>IF(OpenLCAbasic!K10681="CTUh", "Fill in Manually",IF(OR(K10681="Unit", K10681=""), "", INDEX(LookUps!$E$5:$E$12, MATCH(OpenLCAbasic!K10681,LookUps!$D$5:$D$12,0))))</f>
        <v>Global Warming Potential (GWP) - kg CO2 eq</v>
      </c>
      <c r="M10681" s="154" t="str">
        <f t="shared" si="906"/>
        <v>High_Base_Low_Upgraded_Global Warming Potential (GWP) - kg CO2 eq_Control Building; at upgraded wastewater treatment plant - US_Base_With Amendment_Aerated Static Pile</v>
      </c>
    </row>
    <row r="10682" spans="1:13" s="120" customFormat="1" x14ac:dyDescent="0.25">
      <c r="A10682" s="119"/>
      <c r="B10682" s="138" t="str">
        <f t="shared" si="907"/>
        <v>Aerated Static Pile</v>
      </c>
      <c r="C10682" s="138" t="str">
        <f t="shared" si="908"/>
        <v>Base_With Amendment</v>
      </c>
      <c r="D10682" s="138" t="str">
        <f t="shared" si="910"/>
        <v>Base_Low</v>
      </c>
      <c r="E10682" s="138" t="str">
        <f t="shared" si="911"/>
        <v>High</v>
      </c>
      <c r="F10682" s="138" t="str">
        <f t="shared" si="909"/>
        <v>Upgraded</v>
      </c>
      <c r="G10682" s="153"/>
      <c r="H10682" s="210">
        <v>3.7000000000000002E-3</v>
      </c>
      <c r="I10682" s="160" t="s">
        <v>59</v>
      </c>
      <c r="J10682" s="160">
        <v>5.0400000000000002E-3</v>
      </c>
      <c r="K10682" s="160" t="s">
        <v>23</v>
      </c>
      <c r="L10682" s="154" t="str">
        <f>IF(OpenLCAbasic!K10682="CTUh", "Fill in Manually",IF(OR(K10682="Unit", K10682=""), "", INDEX(LookUps!$E$5:$E$12, MATCH(OpenLCAbasic!K10682,LookUps!$D$5:$D$12,0))))</f>
        <v>Global Warming Potential (GWP) - kg CO2 eq</v>
      </c>
      <c r="M10682" s="154" t="str">
        <f t="shared" si="906"/>
        <v>High_Base_Low_Upgraded_Global Warming Potential (GWP) - kg CO2 eq_Blend Tank; wastewater treatment unit; at updated plant - US_Base_With Amendment_Aerated Static Pile</v>
      </c>
    </row>
    <row r="10683" spans="1:13" s="120" customFormat="1" x14ac:dyDescent="0.25">
      <c r="A10683" s="119"/>
      <c r="B10683" s="138" t="str">
        <f t="shared" si="907"/>
        <v>Aerated Static Pile</v>
      </c>
      <c r="C10683" s="138" t="str">
        <f t="shared" si="908"/>
        <v>Base_With Amendment</v>
      </c>
      <c r="D10683" s="138" t="str">
        <f t="shared" si="910"/>
        <v>Base_Low</v>
      </c>
      <c r="E10683" s="138" t="str">
        <f t="shared" si="911"/>
        <v>High</v>
      </c>
      <c r="F10683" s="138" t="str">
        <f t="shared" si="909"/>
        <v>Upgraded</v>
      </c>
      <c r="G10683" s="153"/>
      <c r="H10683" s="210">
        <v>1.8E-3</v>
      </c>
      <c r="I10683" s="160" t="s">
        <v>168</v>
      </c>
      <c r="J10683" s="160">
        <v>2.4099999999999998E-3</v>
      </c>
      <c r="K10683" s="160" t="s">
        <v>23</v>
      </c>
      <c r="L10683" s="154" t="str">
        <f>IF(OpenLCAbasic!K10683="CTUh", "Fill in Manually",IF(OR(K10683="Unit", K10683=""), "", INDEX(LookUps!$E$5:$E$12, MATCH(OpenLCAbasic!K10683,LookUps!$D$5:$D$12,0))))</f>
        <v>Global Warming Potential (GWP) - kg CO2 eq</v>
      </c>
      <c r="M10683" s="154" t="str">
        <f t="shared" si="906"/>
        <v>High_Base_Low_Upgraded_Global Warming Potential (GWP) - kg CO2 eq_ClearCove SCP; wastewater treatment unit; at updated plant - US_Base_With Amendment_Aerated Static Pile</v>
      </c>
    </row>
    <row r="10684" spans="1:13" s="120" customFormat="1" x14ac:dyDescent="0.25">
      <c r="A10684" s="119"/>
      <c r="B10684" s="138" t="str">
        <f t="shared" si="907"/>
        <v>Aerated Static Pile</v>
      </c>
      <c r="C10684" s="138" t="str">
        <f t="shared" si="908"/>
        <v>Base_With Amendment</v>
      </c>
      <c r="D10684" s="138" t="str">
        <f t="shared" si="910"/>
        <v>Base_Low</v>
      </c>
      <c r="E10684" s="138" t="str">
        <f t="shared" si="911"/>
        <v>High</v>
      </c>
      <c r="F10684" s="138" t="str">
        <f t="shared" si="909"/>
        <v>Upgraded</v>
      </c>
      <c r="G10684" s="153"/>
      <c r="H10684" s="210">
        <v>-0.38669999999999999</v>
      </c>
      <c r="I10684" s="160" t="s">
        <v>62</v>
      </c>
      <c r="J10684" s="160">
        <v>-0.52361000000000002</v>
      </c>
      <c r="K10684" s="160" t="s">
        <v>23</v>
      </c>
      <c r="L10684" s="154" t="str">
        <f>IF(OpenLCAbasic!K10684="CTUh", "Fill in Manually",IF(OR(K10684="Unit", K10684=""), "", INDEX(LookUps!$E$5:$E$12, MATCH(OpenLCAbasic!K10684,LookUps!$D$5:$D$12,0))))</f>
        <v>Global Warming Potential (GWP) - kg CO2 eq</v>
      </c>
      <c r="M10684" s="154" t="str">
        <f t="shared" si="906"/>
        <v>High_Base_Low_Upgraded_Global Warming Potential (GWP) - kg CO2 eq_Land application of compost; wastewater treatment unit; at updated plant - US_Base_With Amendment_Aerated Static Pile</v>
      </c>
    </row>
    <row r="10685" spans="1:13" s="120" customFormat="1" x14ac:dyDescent="0.25">
      <c r="A10685" s="119"/>
      <c r="B10685" s="138" t="str">
        <f t="shared" si="907"/>
        <v/>
      </c>
      <c r="C10685" s="138" t="str">
        <f t="shared" si="908"/>
        <v/>
      </c>
      <c r="D10685" s="138" t="str">
        <f t="shared" si="910"/>
        <v/>
      </c>
      <c r="E10685" s="138" t="str">
        <f t="shared" si="911"/>
        <v/>
      </c>
      <c r="F10685" s="138" t="str">
        <f t="shared" si="909"/>
        <v/>
      </c>
      <c r="G10685" s="153" t="s">
        <v>51</v>
      </c>
      <c r="H10685" s="160"/>
      <c r="I10685" s="160" t="s">
        <v>47</v>
      </c>
      <c r="J10685" s="160" t="s">
        <v>52</v>
      </c>
      <c r="K10685" s="160" t="s">
        <v>27</v>
      </c>
      <c r="L10685" s="154" t="str">
        <f>IF(OpenLCAbasic!K10685="CTUh", "Fill in Manually",IF(OR(K10685="Unit", K10685=""), "", INDEX(LookUps!$E$5:$E$12, MATCH(OpenLCAbasic!K10685,LookUps!$D$5:$D$12,0))))</f>
        <v/>
      </c>
      <c r="M10685" s="154" t="str">
        <f t="shared" si="906"/>
        <v>____Process__</v>
      </c>
    </row>
    <row r="10686" spans="1:13" s="120" customFormat="1" x14ac:dyDescent="0.25">
      <c r="A10686" s="119"/>
      <c r="B10686" s="138" t="str">
        <f t="shared" si="907"/>
        <v>Aerated Static Pile</v>
      </c>
      <c r="C10686" s="138" t="str">
        <f t="shared" si="908"/>
        <v>Base_With Amendment</v>
      </c>
      <c r="D10686" s="138" t="str">
        <f t="shared" si="910"/>
        <v>Base_Low</v>
      </c>
      <c r="E10686" s="138" t="str">
        <f t="shared" si="911"/>
        <v>High</v>
      </c>
      <c r="F10686" s="138" t="str">
        <f t="shared" si="909"/>
        <v>Upgraded</v>
      </c>
      <c r="G10686" s="153"/>
      <c r="H10686" s="210">
        <v>0.35909999999999997</v>
      </c>
      <c r="I10686" s="160" t="s">
        <v>55</v>
      </c>
      <c r="J10686" s="160">
        <v>2.33E-3</v>
      </c>
      <c r="K10686" s="160" t="s">
        <v>145</v>
      </c>
      <c r="L10686" s="154" t="str">
        <f>IF(OpenLCAbasic!K10686="CTUh", "Fill in Manually",IF(OR(K10686="Unit", K10686=""), "", INDEX(LookUps!$E$5:$E$12, MATCH(OpenLCAbasic!K10686,LookUps!$D$5:$D$12,0))))</f>
        <v>Particulate Matter Formation Potential (PMFP) - kg PM2.5 eq</v>
      </c>
      <c r="M10686" s="154" t="str">
        <f t="shared" si="906"/>
        <v>High_Base_Low_Upgraded_Particulate Matter Formation Potential (PMFP) - kg PM2.5 eq_Aeration Tanks; wastewater treatment unit; at updated plant - US_Base_With Amendment_Aerated Static Pile</v>
      </c>
    </row>
    <row r="10687" spans="1:13" s="120" customFormat="1" x14ac:dyDescent="0.25">
      <c r="A10687" s="119"/>
      <c r="B10687" s="138" t="str">
        <f t="shared" si="907"/>
        <v>Aerated Static Pile</v>
      </c>
      <c r="C10687" s="138" t="str">
        <f t="shared" si="908"/>
        <v>Base_With Amendment</v>
      </c>
      <c r="D10687" s="138" t="str">
        <f t="shared" si="910"/>
        <v>Base_Low</v>
      </c>
      <c r="E10687" s="138" t="str">
        <f t="shared" si="911"/>
        <v>High</v>
      </c>
      <c r="F10687" s="138" t="str">
        <f t="shared" si="909"/>
        <v>Upgraded</v>
      </c>
      <c r="G10687" s="153"/>
      <c r="H10687" s="210">
        <v>0.1462</v>
      </c>
      <c r="I10687" s="160" t="s">
        <v>435</v>
      </c>
      <c r="J10687" s="160">
        <v>9.5E-4</v>
      </c>
      <c r="K10687" s="160" t="s">
        <v>145</v>
      </c>
      <c r="L10687" s="154" t="str">
        <f>IF(OpenLCAbasic!K10687="CTUh", "Fill in Manually",IF(OR(K10687="Unit", K10687=""), "", INDEX(LookUps!$E$5:$E$12, MATCH(OpenLCAbasic!K10687,LookUps!$D$5:$D$12,0))))</f>
        <v>Particulate Matter Formation Potential (PMFP) - kg PM2.5 eq</v>
      </c>
      <c r="M10687" s="154" t="str">
        <f t="shared" si="906"/>
        <v>High_Base_Low_Upgraded_Particulate Matter Formation Potential (PMFP) - kg PM2.5 eq_Biosolids composting; aerated static pile; wastewater treatment unit; at updated plant - US_Base_With Amendment_Aerated Static Pile</v>
      </c>
    </row>
    <row r="10688" spans="1:13" s="120" customFormat="1" x14ac:dyDescent="0.25">
      <c r="A10688" s="119"/>
      <c r="B10688" s="138" t="str">
        <f t="shared" si="907"/>
        <v>Aerated Static Pile</v>
      </c>
      <c r="C10688" s="138" t="str">
        <f t="shared" si="908"/>
        <v>Base_With Amendment</v>
      </c>
      <c r="D10688" s="138" t="str">
        <f t="shared" si="910"/>
        <v>Base_Low</v>
      </c>
      <c r="E10688" s="138" t="str">
        <f t="shared" si="911"/>
        <v>High</v>
      </c>
      <c r="F10688" s="138" t="str">
        <f t="shared" si="909"/>
        <v>Upgraded</v>
      </c>
      <c r="G10688" s="153"/>
      <c r="H10688" s="210">
        <v>0.1045</v>
      </c>
      <c r="I10688" s="160" t="s">
        <v>54</v>
      </c>
      <c r="J10688" s="160">
        <v>6.8000000000000005E-4</v>
      </c>
      <c r="K10688" s="160" t="s">
        <v>145</v>
      </c>
      <c r="L10688" s="154" t="str">
        <f>IF(OpenLCAbasic!K10688="CTUh", "Fill in Manually",IF(OR(K10688="Unit", K10688=""), "", INDEX(LookUps!$E$5:$E$12, MATCH(OpenLCAbasic!K10688,LookUps!$D$5:$D$12,0))))</f>
        <v>Particulate Matter Formation Potential (PMFP) - kg PM2.5 eq</v>
      </c>
      <c r="M10688" s="154" t="str">
        <f t="shared" si="906"/>
        <v>High_Base_Low_Upgraded_Particulate Matter Formation Potential (PMFP) - kg PM2.5 eq_Clear Cove Primary Clarification; wastewater treatment unit; at updated plant - US_Base_With Amendment_Aerated Static Pile</v>
      </c>
    </row>
    <row r="10689" spans="1:13" s="120" customFormat="1" x14ac:dyDescent="0.25">
      <c r="A10689" s="119"/>
      <c r="B10689" s="138" t="str">
        <f t="shared" si="907"/>
        <v>Aerated Static Pile</v>
      </c>
      <c r="C10689" s="138" t="str">
        <f t="shared" si="908"/>
        <v>Base_With Amendment</v>
      </c>
      <c r="D10689" s="138" t="str">
        <f t="shared" si="910"/>
        <v>Base_Low</v>
      </c>
      <c r="E10689" s="138" t="str">
        <f t="shared" si="911"/>
        <v>High</v>
      </c>
      <c r="F10689" s="138" t="str">
        <f t="shared" si="909"/>
        <v>Upgraded</v>
      </c>
      <c r="G10689" s="153"/>
      <c r="H10689" s="210">
        <v>9.0300000000000005E-2</v>
      </c>
      <c r="I10689" s="160" t="s">
        <v>58</v>
      </c>
      <c r="J10689" s="160">
        <v>5.9000000000000003E-4</v>
      </c>
      <c r="K10689" s="160" t="s">
        <v>145</v>
      </c>
      <c r="L10689" s="154" t="str">
        <f>IF(OpenLCAbasic!K10689="CTUh", "Fill in Manually",IF(OR(K10689="Unit", K10689=""), "", INDEX(LookUps!$E$5:$E$12, MATCH(OpenLCAbasic!K10689,LookUps!$D$5:$D$12,0))))</f>
        <v>Particulate Matter Formation Potential (PMFP) - kg PM2.5 eq</v>
      </c>
      <c r="M10689" s="154" t="str">
        <f t="shared" si="906"/>
        <v>High_Base_Low_Upgraded_Particulate Matter Formation Potential (PMFP) - kg PM2.5 eq_Pre-Anoxic &amp; Swing tank; wastewater treatment unit; at updated plant - US_Base_With Amendment_Aerated Static Pile</v>
      </c>
    </row>
    <row r="10690" spans="1:13" s="120" customFormat="1" x14ac:dyDescent="0.25">
      <c r="A10690" s="119"/>
      <c r="B10690" s="138" t="str">
        <f t="shared" si="907"/>
        <v>Aerated Static Pile</v>
      </c>
      <c r="C10690" s="138" t="str">
        <f t="shared" si="908"/>
        <v>Base_With Amendment</v>
      </c>
      <c r="D10690" s="138" t="str">
        <f t="shared" si="910"/>
        <v>Base_Low</v>
      </c>
      <c r="E10690" s="138" t="str">
        <f t="shared" si="911"/>
        <v>High</v>
      </c>
      <c r="F10690" s="138" t="str">
        <f t="shared" si="909"/>
        <v>Upgraded</v>
      </c>
      <c r="G10690" s="153"/>
      <c r="H10690" s="210">
        <v>7.1800000000000003E-2</v>
      </c>
      <c r="I10690" s="160" t="s">
        <v>53</v>
      </c>
      <c r="J10690" s="160">
        <v>4.6999999999999999E-4</v>
      </c>
      <c r="K10690" s="160" t="s">
        <v>145</v>
      </c>
      <c r="L10690" s="154" t="str">
        <f>IF(OpenLCAbasic!K10690="CTUh", "Fill in Manually",IF(OR(K10690="Unit", K10690=""), "", INDEX(LookUps!$E$5:$E$12, MATCH(OpenLCAbasic!K10690,LookUps!$D$5:$D$12,0))))</f>
        <v>Particulate Matter Formation Potential (PMFP) - kg PM2.5 eq</v>
      </c>
      <c r="M10690" s="154" t="str">
        <f t="shared" si="906"/>
        <v>High_Base_Low_Upgraded_Particulate Matter Formation Potential (PMFP) - kg PM2.5 eq_Wet Well and Sump Station; wastewater treatment unit; at updated plant - US_Base_With Amendment_Aerated Static Pile</v>
      </c>
    </row>
    <row r="10691" spans="1:13" s="120" customFormat="1" x14ac:dyDescent="0.25">
      <c r="A10691" s="119"/>
      <c r="B10691" s="138" t="str">
        <f t="shared" si="907"/>
        <v>Aerated Static Pile</v>
      </c>
      <c r="C10691" s="138" t="str">
        <f t="shared" si="908"/>
        <v>Base_With Amendment</v>
      </c>
      <c r="D10691" s="138" t="str">
        <f t="shared" si="910"/>
        <v>Base_Low</v>
      </c>
      <c r="E10691" s="138" t="str">
        <f t="shared" si="911"/>
        <v>High</v>
      </c>
      <c r="F10691" s="138" t="str">
        <f t="shared" si="909"/>
        <v>Upgraded</v>
      </c>
      <c r="G10691" s="153"/>
      <c r="H10691" s="210">
        <v>5.1900000000000002E-2</v>
      </c>
      <c r="I10691" s="160" t="s">
        <v>149</v>
      </c>
      <c r="J10691" s="160">
        <v>3.4000000000000002E-4</v>
      </c>
      <c r="K10691" s="160" t="s">
        <v>145</v>
      </c>
      <c r="L10691" s="154" t="str">
        <f>IF(OpenLCAbasic!K10691="CTUh", "Fill in Manually",IF(OR(K10691="Unit", K10691=""), "", INDEX(LookUps!$E$5:$E$12, MATCH(OpenLCAbasic!K10691,LookUps!$D$5:$D$12,0))))</f>
        <v>Particulate Matter Formation Potential (PMFP) - kg PM2.5 eq</v>
      </c>
      <c r="M10691" s="154" t="str">
        <f t="shared" si="906"/>
        <v>High_Base_Low_Upgraded_Particulate Matter Formation Potential (PMFP) - kg PM2.5 eq_Anaerobic Digestion; wastewater treatment unit; at updated plant - US_Base_With Amendment_Aerated Static Pile</v>
      </c>
    </row>
    <row r="10692" spans="1:13" s="120" customFormat="1" x14ac:dyDescent="0.25">
      <c r="A10692" s="119"/>
      <c r="B10692" s="138" t="str">
        <f t="shared" si="907"/>
        <v>Aerated Static Pile</v>
      </c>
      <c r="C10692" s="138" t="str">
        <f t="shared" si="908"/>
        <v>Base_With Amendment</v>
      </c>
      <c r="D10692" s="138" t="str">
        <f t="shared" si="910"/>
        <v>Base_Low</v>
      </c>
      <c r="E10692" s="138" t="str">
        <f t="shared" si="911"/>
        <v>High</v>
      </c>
      <c r="F10692" s="138" t="str">
        <f t="shared" si="909"/>
        <v>Upgraded</v>
      </c>
      <c r="G10692" s="153"/>
      <c r="H10692" s="210">
        <v>4.5999999999999999E-2</v>
      </c>
      <c r="I10692" s="160" t="s">
        <v>167</v>
      </c>
      <c r="J10692" s="160">
        <v>2.9999999999999997E-4</v>
      </c>
      <c r="K10692" s="160" t="s">
        <v>145</v>
      </c>
      <c r="L10692" s="154" t="str">
        <f>IF(OpenLCAbasic!K10692="CTUh", "Fill in Manually",IF(OR(K10692="Unit", K10692=""), "", INDEX(LookUps!$E$5:$E$12, MATCH(OpenLCAbasic!K10692,LookUps!$D$5:$D$12,0))))</f>
        <v>Particulate Matter Formation Potential (PMFP) - kg PM2.5 eq</v>
      </c>
      <c r="M10692" s="154" t="str">
        <f t="shared" ref="M10692:M10755" si="912">CONCATENATE(E10692,"_",D10692,"_",F10692,"_",L10692, "_",I10692,"_", C10692,"_", B10692)</f>
        <v>High_Base_Low_Upgraded_Particulate Matter Formation Potential (PMFP) - kg PM2.5 eq_Waste Receiving and Holding; wastewater treatment unit; at updated plant - US_Base_With Amendment_Aerated Static Pile</v>
      </c>
    </row>
    <row r="10693" spans="1:13" s="120" customFormat="1" x14ac:dyDescent="0.25">
      <c r="A10693" s="119"/>
      <c r="B10693" s="138" t="str">
        <f t="shared" si="907"/>
        <v>Aerated Static Pile</v>
      </c>
      <c r="C10693" s="138" t="str">
        <f t="shared" si="908"/>
        <v>Base_With Amendment</v>
      </c>
      <c r="D10693" s="138" t="str">
        <f t="shared" si="910"/>
        <v>Base_Low</v>
      </c>
      <c r="E10693" s="138" t="str">
        <f t="shared" si="911"/>
        <v>High</v>
      </c>
      <c r="F10693" s="138" t="str">
        <f t="shared" si="909"/>
        <v>Upgraded</v>
      </c>
      <c r="G10693" s="153"/>
      <c r="H10693" s="210">
        <v>4.1000000000000002E-2</v>
      </c>
      <c r="I10693" s="160" t="s">
        <v>147</v>
      </c>
      <c r="J10693" s="160">
        <v>2.7E-4</v>
      </c>
      <c r="K10693" s="160" t="s">
        <v>145</v>
      </c>
      <c r="L10693" s="154" t="str">
        <f>IF(OpenLCAbasic!K10693="CTUh", "Fill in Manually",IF(OR(K10693="Unit", K10693=""), "", INDEX(LookUps!$E$5:$E$12, MATCH(OpenLCAbasic!K10693,LookUps!$D$5:$D$12,0))))</f>
        <v>Particulate Matter Formation Potential (PMFP) - kg PM2.5 eq</v>
      </c>
      <c r="M10693" s="154" t="str">
        <f t="shared" si="912"/>
        <v>High_Base_Low_Upgraded_Particulate Matter Formation Potential (PMFP) - kg PM2.5 eq_Influent Pump Station; wastewater treatment unit; at updated plant - US_Base_With Amendment_Aerated Static Pile</v>
      </c>
    </row>
    <row r="10694" spans="1:13" s="120" customFormat="1" x14ac:dyDescent="0.25">
      <c r="A10694" s="119"/>
      <c r="B10694" s="138" t="str">
        <f t="shared" si="907"/>
        <v>Aerated Static Pile</v>
      </c>
      <c r="C10694" s="138" t="str">
        <f t="shared" si="908"/>
        <v>Base_With Amendment</v>
      </c>
      <c r="D10694" s="138" t="str">
        <f t="shared" si="910"/>
        <v>Base_Low</v>
      </c>
      <c r="E10694" s="138" t="str">
        <f t="shared" si="911"/>
        <v>High</v>
      </c>
      <c r="F10694" s="138" t="str">
        <f t="shared" si="909"/>
        <v>Upgraded</v>
      </c>
      <c r="G10694" s="153"/>
      <c r="H10694" s="210">
        <v>2.5600000000000001E-2</v>
      </c>
      <c r="I10694" s="160" t="s">
        <v>128</v>
      </c>
      <c r="J10694" s="160">
        <v>1.7000000000000001E-4</v>
      </c>
      <c r="K10694" s="160" t="s">
        <v>145</v>
      </c>
      <c r="L10694" s="154" t="str">
        <f>IF(OpenLCAbasic!K10694="CTUh", "Fill in Manually",IF(OR(K10694="Unit", K10694=""), "", INDEX(LookUps!$E$5:$E$12, MATCH(OpenLCAbasic!K10694,LookUps!$D$5:$D$12,0))))</f>
        <v>Particulate Matter Formation Potential (PMFP) - kg PM2.5 eq</v>
      </c>
      <c r="M10694" s="154" t="str">
        <f t="shared" si="912"/>
        <v>High_Base_Low_Upgraded_Particulate Matter Formation Potential (PMFP) - kg PM2.5 eq_Wastewater collection; operation and infrastructure; m3 wastewater_Base_With Amendment_Aerated Static Pile</v>
      </c>
    </row>
    <row r="10695" spans="1:13" s="120" customFormat="1" x14ac:dyDescent="0.25">
      <c r="A10695" s="119"/>
      <c r="B10695" s="138" t="str">
        <f t="shared" si="907"/>
        <v>Aerated Static Pile</v>
      </c>
      <c r="C10695" s="138" t="str">
        <f t="shared" si="908"/>
        <v>Base_With Amendment</v>
      </c>
      <c r="D10695" s="138" t="str">
        <f t="shared" si="910"/>
        <v>Base_Low</v>
      </c>
      <c r="E10695" s="138" t="str">
        <f t="shared" si="911"/>
        <v>High</v>
      </c>
      <c r="F10695" s="138" t="str">
        <f t="shared" si="909"/>
        <v>Upgraded</v>
      </c>
      <c r="G10695" s="153"/>
      <c r="H10695" s="210">
        <v>1.78E-2</v>
      </c>
      <c r="I10695" s="160" t="s">
        <v>60</v>
      </c>
      <c r="J10695" s="160">
        <v>1.2E-4</v>
      </c>
      <c r="K10695" s="160" t="s">
        <v>145</v>
      </c>
      <c r="L10695" s="154" t="str">
        <f>IF(OpenLCAbasic!K10695="CTUh", "Fill in Manually",IF(OR(K10695="Unit", K10695=""), "", INDEX(LookUps!$E$5:$E$12, MATCH(OpenLCAbasic!K10695,LookUps!$D$5:$D$12,0))))</f>
        <v>Particulate Matter Formation Potential (PMFP) - kg PM2.5 eq</v>
      </c>
      <c r="M10695" s="154" t="str">
        <f t="shared" si="912"/>
        <v>High_Base_Low_Upgraded_Particulate Matter Formation Potential (PMFP) - kg PM2.5 eq_Belt filter press; wastewater treatment unit; at updated plant - US_Base_With Amendment_Aerated Static Pile</v>
      </c>
    </row>
    <row r="10696" spans="1:13" s="120" customFormat="1" x14ac:dyDescent="0.25">
      <c r="A10696" s="119"/>
      <c r="B10696" s="138" t="str">
        <f t="shared" si="907"/>
        <v>Aerated Static Pile</v>
      </c>
      <c r="C10696" s="138" t="str">
        <f t="shared" si="908"/>
        <v>Base_With Amendment</v>
      </c>
      <c r="D10696" s="138" t="str">
        <f t="shared" si="910"/>
        <v>Base_Low</v>
      </c>
      <c r="E10696" s="138" t="str">
        <f t="shared" si="911"/>
        <v>High</v>
      </c>
      <c r="F10696" s="138" t="str">
        <f t="shared" si="909"/>
        <v>Upgraded</v>
      </c>
      <c r="G10696" s="153"/>
      <c r="H10696" s="210">
        <v>1.46E-2</v>
      </c>
      <c r="I10696" s="160" t="s">
        <v>57</v>
      </c>
      <c r="J10696" s="211">
        <v>9.5153800000000004E-5</v>
      </c>
      <c r="K10696" s="160" t="s">
        <v>145</v>
      </c>
      <c r="L10696" s="154" t="str">
        <f>IF(OpenLCAbasic!K10696="CTUh", "Fill in Manually",IF(OR(K10696="Unit", K10696=""), "", INDEX(LookUps!$E$5:$E$12, MATCH(OpenLCAbasic!K10696,LookUps!$D$5:$D$12,0))))</f>
        <v>Particulate Matter Formation Potential (PMFP) - kg PM2.5 eq</v>
      </c>
      <c r="M10696" s="154" t="str">
        <f t="shared" si="912"/>
        <v>High_Base_Low_Upgraded_Particulate Matter Formation Potential (PMFP) - kg PM2.5 eq_Gravity Belt Thickener; wastewater treatment unit; at updated plant - US_Base_With Amendment_Aerated Static Pile</v>
      </c>
    </row>
    <row r="10697" spans="1:13" s="120" customFormat="1" x14ac:dyDescent="0.25">
      <c r="A10697" s="119"/>
      <c r="B10697" s="138" t="str">
        <f t="shared" si="907"/>
        <v>Aerated Static Pile</v>
      </c>
      <c r="C10697" s="138" t="str">
        <f t="shared" si="908"/>
        <v>Base_With Amendment</v>
      </c>
      <c r="D10697" s="138" t="str">
        <f t="shared" si="910"/>
        <v>Base_Low</v>
      </c>
      <c r="E10697" s="138" t="str">
        <f t="shared" si="911"/>
        <v>High</v>
      </c>
      <c r="F10697" s="138" t="str">
        <f t="shared" si="909"/>
        <v>Upgraded</v>
      </c>
      <c r="G10697" s="153"/>
      <c r="H10697" s="210">
        <v>1.0800000000000001E-2</v>
      </c>
      <c r="I10697" s="160" t="s">
        <v>59</v>
      </c>
      <c r="J10697" s="211">
        <v>6.9942200000000003E-5</v>
      </c>
      <c r="K10697" s="160" t="s">
        <v>145</v>
      </c>
      <c r="L10697" s="154" t="str">
        <f>IF(OpenLCAbasic!K10697="CTUh", "Fill in Manually",IF(OR(K10697="Unit", K10697=""), "", INDEX(LookUps!$E$5:$E$12, MATCH(OpenLCAbasic!K10697,LookUps!$D$5:$D$12,0))))</f>
        <v>Particulate Matter Formation Potential (PMFP) - kg PM2.5 eq</v>
      </c>
      <c r="M10697" s="154" t="str">
        <f t="shared" si="912"/>
        <v>High_Base_Low_Upgraded_Particulate Matter Formation Potential (PMFP) - kg PM2.5 eq_Blend Tank; wastewater treatment unit; at updated plant - US_Base_With Amendment_Aerated Static Pile</v>
      </c>
    </row>
    <row r="10698" spans="1:13" s="120" customFormat="1" x14ac:dyDescent="0.25">
      <c r="A10698" s="119"/>
      <c r="B10698" s="138" t="str">
        <f t="shared" ref="B10698:B10761" si="913">IF(F10698="Legacy","n.a.",IF(F10698="","","Aerated Static Pile"))</f>
        <v>Aerated Static Pile</v>
      </c>
      <c r="C10698" s="138" t="str">
        <f t="shared" ref="C10698:C10761" si="914">IF(ISNUMBER($J10698),"Base_With Amendment","")</f>
        <v>Base_With Amendment</v>
      </c>
      <c r="D10698" s="138" t="str">
        <f t="shared" si="910"/>
        <v>Base_Low</v>
      </c>
      <c r="E10698" s="138" t="str">
        <f t="shared" si="911"/>
        <v>High</v>
      </c>
      <c r="F10698" s="138" t="str">
        <f t="shared" ref="F10698:F10761" si="915">IF(ISNUMBER(J10698),"Upgraded","")</f>
        <v>Upgraded</v>
      </c>
      <c r="G10698" s="153"/>
      <c r="H10698" s="210">
        <v>7.7000000000000002E-3</v>
      </c>
      <c r="I10698" s="160" t="s">
        <v>48</v>
      </c>
      <c r="J10698" s="211">
        <v>4.99741E-5</v>
      </c>
      <c r="K10698" s="160" t="s">
        <v>145</v>
      </c>
      <c r="L10698" s="154" t="str">
        <f>IF(OpenLCAbasic!K10698="CTUh", "Fill in Manually",IF(OR(K10698="Unit", K10698=""), "", INDEX(LookUps!$E$5:$E$12, MATCH(OpenLCAbasic!K10698,LookUps!$D$5:$D$12,0))))</f>
        <v>Particulate Matter Formation Potential (PMFP) - kg PM2.5 eq</v>
      </c>
      <c r="M10698" s="154" t="str">
        <f t="shared" si="912"/>
        <v>High_Base_Low_Upgraded_Particulate Matter Formation Potential (PMFP) - kg PM2.5 eq_Effluent release; wastewater treatment unit; at surface water; m3 wastewater - US_Base_With Amendment_Aerated Static Pile</v>
      </c>
    </row>
    <row r="10699" spans="1:13" s="120" customFormat="1" x14ac:dyDescent="0.25">
      <c r="A10699" s="119"/>
      <c r="B10699" s="138" t="str">
        <f t="shared" si="913"/>
        <v>Aerated Static Pile</v>
      </c>
      <c r="C10699" s="138" t="str">
        <f t="shared" si="914"/>
        <v>Base_With Amendment</v>
      </c>
      <c r="D10699" s="138" t="str">
        <f t="shared" si="910"/>
        <v>Base_Low</v>
      </c>
      <c r="E10699" s="138" t="str">
        <f t="shared" si="911"/>
        <v>High</v>
      </c>
      <c r="F10699" s="138" t="str">
        <f t="shared" si="915"/>
        <v>Upgraded</v>
      </c>
      <c r="G10699" s="153"/>
      <c r="H10699" s="210">
        <v>5.8999999999999999E-3</v>
      </c>
      <c r="I10699" s="160" t="s">
        <v>62</v>
      </c>
      <c r="J10699" s="211">
        <v>3.8018500000000002E-5</v>
      </c>
      <c r="K10699" s="160" t="s">
        <v>145</v>
      </c>
      <c r="L10699" s="154" t="str">
        <f>IF(OpenLCAbasic!K10699="CTUh", "Fill in Manually",IF(OR(K10699="Unit", K10699=""), "", INDEX(LookUps!$E$5:$E$12, MATCH(OpenLCAbasic!K10699,LookUps!$D$5:$D$12,0))))</f>
        <v>Particulate Matter Formation Potential (PMFP) - kg PM2.5 eq</v>
      </c>
      <c r="M10699" s="154" t="str">
        <f t="shared" si="912"/>
        <v>High_Base_Low_Upgraded_Particulate Matter Formation Potential (PMFP) - kg PM2.5 eq_Land application of compost; wastewater treatment unit; at updated plant - US_Base_With Amendment_Aerated Static Pile</v>
      </c>
    </row>
    <row r="10700" spans="1:13" s="120" customFormat="1" x14ac:dyDescent="0.25">
      <c r="A10700" s="119"/>
      <c r="B10700" s="138" t="str">
        <f t="shared" si="913"/>
        <v>Aerated Static Pile</v>
      </c>
      <c r="C10700" s="138" t="str">
        <f t="shared" si="914"/>
        <v>Base_With Amendment</v>
      </c>
      <c r="D10700" s="138" t="str">
        <f t="shared" si="910"/>
        <v>Base_Low</v>
      </c>
      <c r="E10700" s="138" t="str">
        <f t="shared" si="911"/>
        <v>High</v>
      </c>
      <c r="F10700" s="138" t="str">
        <f t="shared" si="915"/>
        <v>Upgraded</v>
      </c>
      <c r="G10700" s="153"/>
      <c r="H10700" s="210">
        <v>5.3E-3</v>
      </c>
      <c r="I10700" s="160" t="s">
        <v>168</v>
      </c>
      <c r="J10700" s="211">
        <v>3.4562199999999999E-5</v>
      </c>
      <c r="K10700" s="160" t="s">
        <v>145</v>
      </c>
      <c r="L10700" s="154" t="str">
        <f>IF(OpenLCAbasic!K10700="CTUh", "Fill in Manually",IF(OR(K10700="Unit", K10700=""), "", INDEX(LookUps!$E$5:$E$12, MATCH(OpenLCAbasic!K10700,LookUps!$D$5:$D$12,0))))</f>
        <v>Particulate Matter Formation Potential (PMFP) - kg PM2.5 eq</v>
      </c>
      <c r="M10700" s="154" t="str">
        <f t="shared" si="912"/>
        <v>High_Base_Low_Upgraded_Particulate Matter Formation Potential (PMFP) - kg PM2.5 eq_ClearCove SCP; wastewater treatment unit; at updated plant - US_Base_With Amendment_Aerated Static Pile</v>
      </c>
    </row>
    <row r="10701" spans="1:13" s="120" customFormat="1" x14ac:dyDescent="0.25">
      <c r="A10701" s="119"/>
      <c r="B10701" s="138" t="str">
        <f t="shared" si="913"/>
        <v>Aerated Static Pile</v>
      </c>
      <c r="C10701" s="138" t="str">
        <f t="shared" si="914"/>
        <v>Base_With Amendment</v>
      </c>
      <c r="D10701" s="138" t="str">
        <f t="shared" si="910"/>
        <v>Base_Low</v>
      </c>
      <c r="E10701" s="138" t="str">
        <f t="shared" si="911"/>
        <v>High</v>
      </c>
      <c r="F10701" s="138" t="str">
        <f t="shared" si="915"/>
        <v>Upgraded</v>
      </c>
      <c r="G10701" s="153"/>
      <c r="H10701" s="210">
        <v>1.4E-3</v>
      </c>
      <c r="I10701" s="160" t="s">
        <v>148</v>
      </c>
      <c r="J10701" s="211">
        <v>8.8212999999999997E-6</v>
      </c>
      <c r="K10701" s="160" t="s">
        <v>145</v>
      </c>
      <c r="L10701" s="154" t="str">
        <f>IF(OpenLCAbasic!K10701="CTUh", "Fill in Manually",IF(OR(K10701="Unit", K10701=""), "", INDEX(LookUps!$E$5:$E$12, MATCH(OpenLCAbasic!K10701,LookUps!$D$5:$D$12,0))))</f>
        <v>Particulate Matter Formation Potential (PMFP) - kg PM2.5 eq</v>
      </c>
      <c r="M10701" s="154" t="str">
        <f t="shared" si="912"/>
        <v>High_Base_Low_Upgraded_Particulate Matter Formation Potential (PMFP) - kg PM2.5 eq_Control Building; at upgraded wastewater treatment plant - US_Base_With Amendment_Aerated Static Pile</v>
      </c>
    </row>
    <row r="10702" spans="1:13" s="120" customFormat="1" x14ac:dyDescent="0.25">
      <c r="A10702" s="119"/>
      <c r="B10702" s="138" t="str">
        <f t="shared" si="913"/>
        <v/>
      </c>
      <c r="C10702" s="138" t="str">
        <f t="shared" si="914"/>
        <v/>
      </c>
      <c r="D10702" s="138" t="str">
        <f t="shared" si="910"/>
        <v/>
      </c>
      <c r="E10702" s="138" t="str">
        <f t="shared" si="911"/>
        <v/>
      </c>
      <c r="F10702" s="138" t="str">
        <f t="shared" si="915"/>
        <v/>
      </c>
      <c r="G10702" s="153" t="s">
        <v>51</v>
      </c>
      <c r="H10702" s="160"/>
      <c r="I10702" s="160" t="s">
        <v>47</v>
      </c>
      <c r="J10702" s="160" t="s">
        <v>52</v>
      </c>
      <c r="K10702" s="160" t="s">
        <v>27</v>
      </c>
      <c r="L10702" s="154" t="str">
        <f>IF(OpenLCAbasic!K10702="CTUh", "Fill in Manually",IF(OR(K10702="Unit", K10702=""), "", INDEX(LookUps!$E$5:$E$12, MATCH(OpenLCAbasic!K10702,LookUps!$D$5:$D$12,0))))</f>
        <v/>
      </c>
      <c r="M10702" s="154" t="str">
        <f t="shared" si="912"/>
        <v>____Process__</v>
      </c>
    </row>
    <row r="10703" spans="1:13" s="120" customFormat="1" x14ac:dyDescent="0.25">
      <c r="A10703" s="119"/>
      <c r="B10703" s="138" t="str">
        <f t="shared" si="913"/>
        <v>Aerated Static Pile</v>
      </c>
      <c r="C10703" s="138" t="str">
        <f t="shared" si="914"/>
        <v>Base_With Amendment</v>
      </c>
      <c r="D10703" s="138" t="str">
        <f t="shared" si="910"/>
        <v>Base_Low</v>
      </c>
      <c r="E10703" s="138" t="str">
        <f t="shared" si="911"/>
        <v>High</v>
      </c>
      <c r="F10703" s="138" t="str">
        <f t="shared" si="915"/>
        <v>Upgraded</v>
      </c>
      <c r="G10703" s="153"/>
      <c r="H10703" s="210">
        <v>0.35859999999999997</v>
      </c>
      <c r="I10703" s="160" t="s">
        <v>55</v>
      </c>
      <c r="J10703" s="160">
        <v>0.16577</v>
      </c>
      <c r="K10703" s="160" t="s">
        <v>25</v>
      </c>
      <c r="L10703" s="154" t="str">
        <f>IF(OpenLCAbasic!K10703="CTUh", "Fill in Manually",IF(OR(K10703="Unit", K10703=""), "", INDEX(LookUps!$E$5:$E$12, MATCH(OpenLCAbasic!K10703,LookUps!$D$5:$D$12,0))))</f>
        <v>Smog Formation Potential (SFP) - kg O3 eq</v>
      </c>
      <c r="M10703" s="154" t="str">
        <f t="shared" si="912"/>
        <v>High_Base_Low_Upgraded_Smog Formation Potential (SFP) - kg O3 eq_Aeration Tanks; wastewater treatment unit; at updated plant - US_Base_With Amendment_Aerated Static Pile</v>
      </c>
    </row>
    <row r="10704" spans="1:13" s="120" customFormat="1" x14ac:dyDescent="0.25">
      <c r="A10704" s="119"/>
      <c r="B10704" s="138" t="str">
        <f t="shared" si="913"/>
        <v>Aerated Static Pile</v>
      </c>
      <c r="C10704" s="138" t="str">
        <f t="shared" si="914"/>
        <v>Base_With Amendment</v>
      </c>
      <c r="D10704" s="138" t="str">
        <f t="shared" si="910"/>
        <v>Base_Low</v>
      </c>
      <c r="E10704" s="138" t="str">
        <f t="shared" si="911"/>
        <v>High</v>
      </c>
      <c r="F10704" s="138" t="str">
        <f t="shared" si="915"/>
        <v>Upgraded</v>
      </c>
      <c r="G10704" s="153"/>
      <c r="H10704" s="210">
        <v>0.1431</v>
      </c>
      <c r="I10704" s="160" t="s">
        <v>435</v>
      </c>
      <c r="J10704" s="160">
        <v>6.6129999999999994E-2</v>
      </c>
      <c r="K10704" s="160" t="s">
        <v>25</v>
      </c>
      <c r="L10704" s="154" t="str">
        <f>IF(OpenLCAbasic!K10704="CTUh", "Fill in Manually",IF(OR(K10704="Unit", K10704=""), "", INDEX(LookUps!$E$5:$E$12, MATCH(OpenLCAbasic!K10704,LookUps!$D$5:$D$12,0))))</f>
        <v>Smog Formation Potential (SFP) - kg O3 eq</v>
      </c>
      <c r="M10704" s="154" t="str">
        <f t="shared" si="912"/>
        <v>High_Base_Low_Upgraded_Smog Formation Potential (SFP) - kg O3 eq_Biosolids composting; aerated static pile; wastewater treatment unit; at updated plant - US_Base_With Amendment_Aerated Static Pile</v>
      </c>
    </row>
    <row r="10705" spans="1:13" s="120" customFormat="1" x14ac:dyDescent="0.25">
      <c r="A10705" s="119"/>
      <c r="B10705" s="138" t="str">
        <f t="shared" si="913"/>
        <v>Aerated Static Pile</v>
      </c>
      <c r="C10705" s="138" t="str">
        <f t="shared" si="914"/>
        <v>Base_With Amendment</v>
      </c>
      <c r="D10705" s="138" t="str">
        <f t="shared" si="910"/>
        <v>Base_Low</v>
      </c>
      <c r="E10705" s="138" t="str">
        <f t="shared" si="911"/>
        <v>High</v>
      </c>
      <c r="F10705" s="138" t="str">
        <f t="shared" si="915"/>
        <v>Upgraded</v>
      </c>
      <c r="G10705" s="153"/>
      <c r="H10705" s="210">
        <v>0.104</v>
      </c>
      <c r="I10705" s="160" t="s">
        <v>54</v>
      </c>
      <c r="J10705" s="160">
        <v>4.8070000000000002E-2</v>
      </c>
      <c r="K10705" s="160" t="s">
        <v>25</v>
      </c>
      <c r="L10705" s="154" t="str">
        <f>IF(OpenLCAbasic!K10705="CTUh", "Fill in Manually",IF(OR(K10705="Unit", K10705=""), "", INDEX(LookUps!$E$5:$E$12, MATCH(OpenLCAbasic!K10705,LookUps!$D$5:$D$12,0))))</f>
        <v>Smog Formation Potential (SFP) - kg O3 eq</v>
      </c>
      <c r="M10705" s="154" t="str">
        <f t="shared" si="912"/>
        <v>High_Base_Low_Upgraded_Smog Formation Potential (SFP) - kg O3 eq_Clear Cove Primary Clarification; wastewater treatment unit; at updated plant - US_Base_With Amendment_Aerated Static Pile</v>
      </c>
    </row>
    <row r="10706" spans="1:13" s="120" customFormat="1" x14ac:dyDescent="0.25">
      <c r="A10706" s="119"/>
      <c r="B10706" s="138" t="str">
        <f t="shared" si="913"/>
        <v>Aerated Static Pile</v>
      </c>
      <c r="C10706" s="138" t="str">
        <f t="shared" si="914"/>
        <v>Base_With Amendment</v>
      </c>
      <c r="D10706" s="138" t="str">
        <f t="shared" si="910"/>
        <v>Base_Low</v>
      </c>
      <c r="E10706" s="138" t="str">
        <f t="shared" si="911"/>
        <v>High</v>
      </c>
      <c r="F10706" s="138" t="str">
        <f t="shared" si="915"/>
        <v>Upgraded</v>
      </c>
      <c r="G10706" s="153"/>
      <c r="H10706" s="210">
        <v>9.0399999999999994E-2</v>
      </c>
      <c r="I10706" s="160" t="s">
        <v>58</v>
      </c>
      <c r="J10706" s="160">
        <v>4.1779999999999998E-2</v>
      </c>
      <c r="K10706" s="160" t="s">
        <v>25</v>
      </c>
      <c r="L10706" s="154" t="str">
        <f>IF(OpenLCAbasic!K10706="CTUh", "Fill in Manually",IF(OR(K10706="Unit", K10706=""), "", INDEX(LookUps!$E$5:$E$12, MATCH(OpenLCAbasic!K10706,LookUps!$D$5:$D$12,0))))</f>
        <v>Smog Formation Potential (SFP) - kg O3 eq</v>
      </c>
      <c r="M10706" s="154" t="str">
        <f t="shared" si="912"/>
        <v>High_Base_Low_Upgraded_Smog Formation Potential (SFP) - kg O3 eq_Pre-Anoxic &amp; Swing tank; wastewater treatment unit; at updated plant - US_Base_With Amendment_Aerated Static Pile</v>
      </c>
    </row>
    <row r="10707" spans="1:13" s="120" customFormat="1" x14ac:dyDescent="0.25">
      <c r="A10707" s="119"/>
      <c r="B10707" s="138" t="str">
        <f t="shared" si="913"/>
        <v>Aerated Static Pile</v>
      </c>
      <c r="C10707" s="138" t="str">
        <f t="shared" si="914"/>
        <v>Base_With Amendment</v>
      </c>
      <c r="D10707" s="138" t="str">
        <f t="shared" si="910"/>
        <v>Base_Low</v>
      </c>
      <c r="E10707" s="138" t="str">
        <f t="shared" si="911"/>
        <v>High</v>
      </c>
      <c r="F10707" s="138" t="str">
        <f t="shared" si="915"/>
        <v>Upgraded</v>
      </c>
      <c r="G10707" s="153"/>
      <c r="H10707" s="210">
        <v>7.17E-2</v>
      </c>
      <c r="I10707" s="160" t="s">
        <v>53</v>
      </c>
      <c r="J10707" s="160">
        <v>3.313E-2</v>
      </c>
      <c r="K10707" s="160" t="s">
        <v>25</v>
      </c>
      <c r="L10707" s="154" t="str">
        <f>IF(OpenLCAbasic!K10707="CTUh", "Fill in Manually",IF(OR(K10707="Unit", K10707=""), "", INDEX(LookUps!$E$5:$E$12, MATCH(OpenLCAbasic!K10707,LookUps!$D$5:$D$12,0))))</f>
        <v>Smog Formation Potential (SFP) - kg O3 eq</v>
      </c>
      <c r="M10707" s="154" t="str">
        <f t="shared" si="912"/>
        <v>High_Base_Low_Upgraded_Smog Formation Potential (SFP) - kg O3 eq_Wet Well and Sump Station; wastewater treatment unit; at updated plant - US_Base_With Amendment_Aerated Static Pile</v>
      </c>
    </row>
    <row r="10708" spans="1:13" s="120" customFormat="1" x14ac:dyDescent="0.25">
      <c r="A10708" s="119"/>
      <c r="B10708" s="138" t="str">
        <f t="shared" si="913"/>
        <v>Aerated Static Pile</v>
      </c>
      <c r="C10708" s="138" t="str">
        <f t="shared" si="914"/>
        <v>Base_With Amendment</v>
      </c>
      <c r="D10708" s="138" t="str">
        <f t="shared" si="910"/>
        <v>Base_Low</v>
      </c>
      <c r="E10708" s="138" t="str">
        <f t="shared" si="911"/>
        <v>High</v>
      </c>
      <c r="F10708" s="138" t="str">
        <f t="shared" si="915"/>
        <v>Upgraded</v>
      </c>
      <c r="G10708" s="153"/>
      <c r="H10708" s="210">
        <v>6.0499999999999998E-2</v>
      </c>
      <c r="I10708" s="160" t="s">
        <v>167</v>
      </c>
      <c r="J10708" s="160">
        <v>2.7949999999999999E-2</v>
      </c>
      <c r="K10708" s="160" t="s">
        <v>25</v>
      </c>
      <c r="L10708" s="154" t="str">
        <f>IF(OpenLCAbasic!K10708="CTUh", "Fill in Manually",IF(OR(K10708="Unit", K10708=""), "", INDEX(LookUps!$E$5:$E$12, MATCH(OpenLCAbasic!K10708,LookUps!$D$5:$D$12,0))))</f>
        <v>Smog Formation Potential (SFP) - kg O3 eq</v>
      </c>
      <c r="M10708" s="154" t="str">
        <f t="shared" si="912"/>
        <v>High_Base_Low_Upgraded_Smog Formation Potential (SFP) - kg O3 eq_Waste Receiving and Holding; wastewater treatment unit; at updated plant - US_Base_With Amendment_Aerated Static Pile</v>
      </c>
    </row>
    <row r="10709" spans="1:13" s="120" customFormat="1" x14ac:dyDescent="0.25">
      <c r="A10709" s="119"/>
      <c r="B10709" s="138" t="str">
        <f t="shared" si="913"/>
        <v>Aerated Static Pile</v>
      </c>
      <c r="C10709" s="138" t="str">
        <f t="shared" si="914"/>
        <v>Base_With Amendment</v>
      </c>
      <c r="D10709" s="138" t="str">
        <f t="shared" si="910"/>
        <v>Base_Low</v>
      </c>
      <c r="E10709" s="138" t="str">
        <f t="shared" si="911"/>
        <v>High</v>
      </c>
      <c r="F10709" s="138" t="str">
        <f t="shared" si="915"/>
        <v>Upgraded</v>
      </c>
      <c r="G10709" s="153"/>
      <c r="H10709" s="210">
        <v>5.3900000000000003E-2</v>
      </c>
      <c r="I10709" s="160" t="s">
        <v>149</v>
      </c>
      <c r="J10709" s="160">
        <v>2.4889999999999999E-2</v>
      </c>
      <c r="K10709" s="160" t="s">
        <v>25</v>
      </c>
      <c r="L10709" s="154" t="str">
        <f>IF(OpenLCAbasic!K10709="CTUh", "Fill in Manually",IF(OR(K10709="Unit", K10709=""), "", INDEX(LookUps!$E$5:$E$12, MATCH(OpenLCAbasic!K10709,LookUps!$D$5:$D$12,0))))</f>
        <v>Smog Formation Potential (SFP) - kg O3 eq</v>
      </c>
      <c r="M10709" s="154" t="str">
        <f t="shared" si="912"/>
        <v>High_Base_Low_Upgraded_Smog Formation Potential (SFP) - kg O3 eq_Anaerobic Digestion; wastewater treatment unit; at updated plant - US_Base_With Amendment_Aerated Static Pile</v>
      </c>
    </row>
    <row r="10710" spans="1:13" s="120" customFormat="1" x14ac:dyDescent="0.25">
      <c r="A10710" s="119"/>
      <c r="B10710" s="138" t="str">
        <f t="shared" si="913"/>
        <v>Aerated Static Pile</v>
      </c>
      <c r="C10710" s="138" t="str">
        <f t="shared" si="914"/>
        <v>Base_With Amendment</v>
      </c>
      <c r="D10710" s="138" t="str">
        <f t="shared" si="910"/>
        <v>Base_Low</v>
      </c>
      <c r="E10710" s="138" t="str">
        <f t="shared" si="911"/>
        <v>High</v>
      </c>
      <c r="F10710" s="138" t="str">
        <f t="shared" si="915"/>
        <v>Upgraded</v>
      </c>
      <c r="G10710" s="153"/>
      <c r="H10710" s="210">
        <v>4.2000000000000003E-2</v>
      </c>
      <c r="I10710" s="160" t="s">
        <v>147</v>
      </c>
      <c r="J10710" s="160">
        <v>1.9400000000000001E-2</v>
      </c>
      <c r="K10710" s="160" t="s">
        <v>25</v>
      </c>
      <c r="L10710" s="154" t="str">
        <f>IF(OpenLCAbasic!K10710="CTUh", "Fill in Manually",IF(OR(K10710="Unit", K10710=""), "", INDEX(LookUps!$E$5:$E$12, MATCH(OpenLCAbasic!K10710,LookUps!$D$5:$D$12,0))))</f>
        <v>Smog Formation Potential (SFP) - kg O3 eq</v>
      </c>
      <c r="M10710" s="154" t="str">
        <f t="shared" si="912"/>
        <v>High_Base_Low_Upgraded_Smog Formation Potential (SFP) - kg O3 eq_Influent Pump Station; wastewater treatment unit; at updated plant - US_Base_With Amendment_Aerated Static Pile</v>
      </c>
    </row>
    <row r="10711" spans="1:13" s="120" customFormat="1" x14ac:dyDescent="0.25">
      <c r="A10711" s="119"/>
      <c r="B10711" s="138" t="str">
        <f t="shared" si="913"/>
        <v>Aerated Static Pile</v>
      </c>
      <c r="C10711" s="138" t="str">
        <f t="shared" si="914"/>
        <v>Base_With Amendment</v>
      </c>
      <c r="D10711" s="138" t="str">
        <f t="shared" si="910"/>
        <v>Base_Low</v>
      </c>
      <c r="E10711" s="138" t="str">
        <f t="shared" si="911"/>
        <v>High</v>
      </c>
      <c r="F10711" s="138" t="str">
        <f t="shared" si="915"/>
        <v>Upgraded</v>
      </c>
      <c r="G10711" s="153"/>
      <c r="H10711" s="210">
        <v>2.58E-2</v>
      </c>
      <c r="I10711" s="160" t="s">
        <v>128</v>
      </c>
      <c r="J10711" s="160">
        <v>1.192E-2</v>
      </c>
      <c r="K10711" s="160" t="s">
        <v>25</v>
      </c>
      <c r="L10711" s="154" t="str">
        <f>IF(OpenLCAbasic!K10711="CTUh", "Fill in Manually",IF(OR(K10711="Unit", K10711=""), "", INDEX(LookUps!$E$5:$E$12, MATCH(OpenLCAbasic!K10711,LookUps!$D$5:$D$12,0))))</f>
        <v>Smog Formation Potential (SFP) - kg O3 eq</v>
      </c>
      <c r="M10711" s="154" t="str">
        <f t="shared" si="912"/>
        <v>High_Base_Low_Upgraded_Smog Formation Potential (SFP) - kg O3 eq_Wastewater collection; operation and infrastructure; m3 wastewater_Base_With Amendment_Aerated Static Pile</v>
      </c>
    </row>
    <row r="10712" spans="1:13" s="120" customFormat="1" x14ac:dyDescent="0.25">
      <c r="A10712" s="119"/>
      <c r="B10712" s="138" t="str">
        <f t="shared" si="913"/>
        <v>Aerated Static Pile</v>
      </c>
      <c r="C10712" s="138" t="str">
        <f t="shared" si="914"/>
        <v>Base_With Amendment</v>
      </c>
      <c r="D10712" s="138" t="str">
        <f t="shared" si="910"/>
        <v>Base_Low</v>
      </c>
      <c r="E10712" s="138" t="str">
        <f t="shared" si="911"/>
        <v>High</v>
      </c>
      <c r="F10712" s="138" t="str">
        <f t="shared" si="915"/>
        <v>Upgraded</v>
      </c>
      <c r="G10712" s="153"/>
      <c r="H10712" s="210">
        <v>1.7600000000000001E-2</v>
      </c>
      <c r="I10712" s="160" t="s">
        <v>60</v>
      </c>
      <c r="J10712" s="160">
        <v>8.1600000000000006E-3</v>
      </c>
      <c r="K10712" s="160" t="s">
        <v>25</v>
      </c>
      <c r="L10712" s="154" t="str">
        <f>IF(OpenLCAbasic!K10712="CTUh", "Fill in Manually",IF(OR(K10712="Unit", K10712=""), "", INDEX(LookUps!$E$5:$E$12, MATCH(OpenLCAbasic!K10712,LookUps!$D$5:$D$12,0))))</f>
        <v>Smog Formation Potential (SFP) - kg O3 eq</v>
      </c>
      <c r="M10712" s="154" t="str">
        <f t="shared" si="912"/>
        <v>High_Base_Low_Upgraded_Smog Formation Potential (SFP) - kg O3 eq_Belt filter press; wastewater treatment unit; at updated plant - US_Base_With Amendment_Aerated Static Pile</v>
      </c>
    </row>
    <row r="10713" spans="1:13" s="120" customFormat="1" x14ac:dyDescent="0.25">
      <c r="A10713" s="119"/>
      <c r="B10713" s="138" t="str">
        <f t="shared" si="913"/>
        <v>Aerated Static Pile</v>
      </c>
      <c r="C10713" s="138" t="str">
        <f t="shared" si="914"/>
        <v>Base_With Amendment</v>
      </c>
      <c r="D10713" s="138" t="str">
        <f t="shared" si="910"/>
        <v>Base_Low</v>
      </c>
      <c r="E10713" s="138" t="str">
        <f t="shared" si="911"/>
        <v>High</v>
      </c>
      <c r="F10713" s="138" t="str">
        <f t="shared" si="915"/>
        <v>Upgraded</v>
      </c>
      <c r="G10713" s="153"/>
      <c r="H10713" s="210">
        <v>1.44E-2</v>
      </c>
      <c r="I10713" s="160" t="s">
        <v>57</v>
      </c>
      <c r="J10713" s="160">
        <v>6.6499999999999997E-3</v>
      </c>
      <c r="K10713" s="160" t="s">
        <v>25</v>
      </c>
      <c r="L10713" s="154" t="str">
        <f>IF(OpenLCAbasic!K10713="CTUh", "Fill in Manually",IF(OR(K10713="Unit", K10713=""), "", INDEX(LookUps!$E$5:$E$12, MATCH(OpenLCAbasic!K10713,LookUps!$D$5:$D$12,0))))</f>
        <v>Smog Formation Potential (SFP) - kg O3 eq</v>
      </c>
      <c r="M10713" s="154" t="str">
        <f t="shared" si="912"/>
        <v>High_Base_Low_Upgraded_Smog Formation Potential (SFP) - kg O3 eq_Gravity Belt Thickener; wastewater treatment unit; at updated plant - US_Base_With Amendment_Aerated Static Pile</v>
      </c>
    </row>
    <row r="10714" spans="1:13" s="120" customFormat="1" x14ac:dyDescent="0.25">
      <c r="A10714" s="119"/>
      <c r="B10714" s="138" t="str">
        <f t="shared" si="913"/>
        <v>Aerated Static Pile</v>
      </c>
      <c r="C10714" s="138" t="str">
        <f t="shared" si="914"/>
        <v>Base_With Amendment</v>
      </c>
      <c r="D10714" s="138" t="str">
        <f t="shared" si="910"/>
        <v>Base_Low</v>
      </c>
      <c r="E10714" s="138" t="str">
        <f t="shared" si="911"/>
        <v>High</v>
      </c>
      <c r="F10714" s="138" t="str">
        <f t="shared" si="915"/>
        <v>Upgraded</v>
      </c>
      <c r="G10714" s="153"/>
      <c r="H10714" s="210">
        <v>1.0800000000000001E-2</v>
      </c>
      <c r="I10714" s="160" t="s">
        <v>59</v>
      </c>
      <c r="J10714" s="160">
        <v>4.9699999999999996E-3</v>
      </c>
      <c r="K10714" s="160" t="s">
        <v>25</v>
      </c>
      <c r="L10714" s="154" t="str">
        <f>IF(OpenLCAbasic!K10714="CTUh", "Fill in Manually",IF(OR(K10714="Unit", K10714=""), "", INDEX(LookUps!$E$5:$E$12, MATCH(OpenLCAbasic!K10714,LookUps!$D$5:$D$12,0))))</f>
        <v>Smog Formation Potential (SFP) - kg O3 eq</v>
      </c>
      <c r="M10714" s="154" t="str">
        <f t="shared" si="912"/>
        <v>High_Base_Low_Upgraded_Smog Formation Potential (SFP) - kg O3 eq_Blend Tank; wastewater treatment unit; at updated plant - US_Base_With Amendment_Aerated Static Pile</v>
      </c>
    </row>
    <row r="10715" spans="1:13" s="120" customFormat="1" x14ac:dyDescent="0.25">
      <c r="A10715" s="119"/>
      <c r="B10715" s="138" t="str">
        <f t="shared" si="913"/>
        <v>Aerated Static Pile</v>
      </c>
      <c r="C10715" s="138" t="str">
        <f t="shared" si="914"/>
        <v>Base_With Amendment</v>
      </c>
      <c r="D10715" s="138" t="str">
        <f t="shared" si="910"/>
        <v>Base_Low</v>
      </c>
      <c r="E10715" s="138" t="str">
        <f t="shared" si="911"/>
        <v>High</v>
      </c>
      <c r="F10715" s="138" t="str">
        <f t="shared" si="915"/>
        <v>Upgraded</v>
      </c>
      <c r="G10715" s="153"/>
      <c r="H10715" s="210">
        <v>7.3000000000000001E-3</v>
      </c>
      <c r="I10715" s="160" t="s">
        <v>48</v>
      </c>
      <c r="J10715" s="160">
        <v>3.3899999999999998E-3</v>
      </c>
      <c r="K10715" s="160" t="s">
        <v>25</v>
      </c>
      <c r="L10715" s="154" t="str">
        <f>IF(OpenLCAbasic!K10715="CTUh", "Fill in Manually",IF(OR(K10715="Unit", K10715=""), "", INDEX(LookUps!$E$5:$E$12, MATCH(OpenLCAbasic!K10715,LookUps!$D$5:$D$12,0))))</f>
        <v>Smog Formation Potential (SFP) - kg O3 eq</v>
      </c>
      <c r="M10715" s="154" t="str">
        <f t="shared" si="912"/>
        <v>High_Base_Low_Upgraded_Smog Formation Potential (SFP) - kg O3 eq_Effluent release; wastewater treatment unit; at surface water; m3 wastewater - US_Base_With Amendment_Aerated Static Pile</v>
      </c>
    </row>
    <row r="10716" spans="1:13" s="120" customFormat="1" x14ac:dyDescent="0.25">
      <c r="A10716" s="119"/>
      <c r="B10716" s="138" t="str">
        <f t="shared" si="913"/>
        <v>Aerated Static Pile</v>
      </c>
      <c r="C10716" s="138" t="str">
        <f t="shared" si="914"/>
        <v>Base_With Amendment</v>
      </c>
      <c r="D10716" s="138" t="str">
        <f t="shared" si="910"/>
        <v>Base_Low</v>
      </c>
      <c r="E10716" s="138" t="str">
        <f t="shared" si="911"/>
        <v>High</v>
      </c>
      <c r="F10716" s="138" t="str">
        <f t="shared" si="915"/>
        <v>Upgraded</v>
      </c>
      <c r="G10716" s="153"/>
      <c r="H10716" s="210">
        <v>5.3E-3</v>
      </c>
      <c r="I10716" s="160" t="s">
        <v>168</v>
      </c>
      <c r="J10716" s="160">
        <v>2.4599999999999999E-3</v>
      </c>
      <c r="K10716" s="160" t="s">
        <v>25</v>
      </c>
      <c r="L10716" s="154" t="str">
        <f>IF(OpenLCAbasic!K10716="CTUh", "Fill in Manually",IF(OR(K10716="Unit", K10716=""), "", INDEX(LookUps!$E$5:$E$12, MATCH(OpenLCAbasic!K10716,LookUps!$D$5:$D$12,0))))</f>
        <v>Smog Formation Potential (SFP) - kg O3 eq</v>
      </c>
      <c r="M10716" s="154" t="str">
        <f t="shared" si="912"/>
        <v>High_Base_Low_Upgraded_Smog Formation Potential (SFP) - kg O3 eq_ClearCove SCP; wastewater treatment unit; at updated plant - US_Base_With Amendment_Aerated Static Pile</v>
      </c>
    </row>
    <row r="10717" spans="1:13" s="120" customFormat="1" x14ac:dyDescent="0.25">
      <c r="A10717" s="119"/>
      <c r="B10717" s="138" t="str">
        <f t="shared" si="913"/>
        <v>Aerated Static Pile</v>
      </c>
      <c r="C10717" s="138" t="str">
        <f t="shared" si="914"/>
        <v>Base_With Amendment</v>
      </c>
      <c r="D10717" s="138" t="str">
        <f t="shared" si="910"/>
        <v>Base_Low</v>
      </c>
      <c r="E10717" s="138" t="str">
        <f t="shared" si="911"/>
        <v>High</v>
      </c>
      <c r="F10717" s="138" t="str">
        <f t="shared" si="915"/>
        <v>Upgraded</v>
      </c>
      <c r="G10717" s="153"/>
      <c r="H10717" s="210">
        <v>1.1999999999999999E-3</v>
      </c>
      <c r="I10717" s="160" t="s">
        <v>148</v>
      </c>
      <c r="J10717" s="160">
        <v>5.4000000000000001E-4</v>
      </c>
      <c r="K10717" s="160" t="s">
        <v>25</v>
      </c>
      <c r="L10717" s="154" t="str">
        <f>IF(OpenLCAbasic!K10717="CTUh", "Fill in Manually",IF(OR(K10717="Unit", K10717=""), "", INDEX(LookUps!$E$5:$E$12, MATCH(OpenLCAbasic!K10717,LookUps!$D$5:$D$12,0))))</f>
        <v>Smog Formation Potential (SFP) - kg O3 eq</v>
      </c>
      <c r="M10717" s="154" t="str">
        <f t="shared" si="912"/>
        <v>High_Base_Low_Upgraded_Smog Formation Potential (SFP) - kg O3 eq_Control Building; at upgraded wastewater treatment plant - US_Base_With Amendment_Aerated Static Pile</v>
      </c>
    </row>
    <row r="10718" spans="1:13" s="120" customFormat="1" x14ac:dyDescent="0.25">
      <c r="A10718" s="119"/>
      <c r="B10718" s="138" t="str">
        <f t="shared" si="913"/>
        <v>Aerated Static Pile</v>
      </c>
      <c r="C10718" s="138" t="str">
        <f t="shared" si="914"/>
        <v>Base_With Amendment</v>
      </c>
      <c r="D10718" s="138" t="str">
        <f t="shared" si="910"/>
        <v>Base_Low</v>
      </c>
      <c r="E10718" s="138" t="str">
        <f t="shared" si="911"/>
        <v>High</v>
      </c>
      <c r="F10718" s="138" t="str">
        <f t="shared" si="915"/>
        <v>Upgraded</v>
      </c>
      <c r="G10718" s="153"/>
      <c r="H10718" s="210">
        <v>-6.4999999999999997E-3</v>
      </c>
      <c r="I10718" s="160" t="s">
        <v>62</v>
      </c>
      <c r="J10718" s="160">
        <v>-2.98E-3</v>
      </c>
      <c r="K10718" s="160" t="s">
        <v>25</v>
      </c>
      <c r="L10718" s="154" t="str">
        <f>IF(OpenLCAbasic!K10718="CTUh", "Fill in Manually",IF(OR(K10718="Unit", K10718=""), "", INDEX(LookUps!$E$5:$E$12, MATCH(OpenLCAbasic!K10718,LookUps!$D$5:$D$12,0))))</f>
        <v>Smog Formation Potential (SFP) - kg O3 eq</v>
      </c>
      <c r="M10718" s="154" t="str">
        <f t="shared" si="912"/>
        <v>High_Base_Low_Upgraded_Smog Formation Potential (SFP) - kg O3 eq_Land application of compost; wastewater treatment unit; at updated plant - US_Base_With Amendment_Aerated Static Pile</v>
      </c>
    </row>
    <row r="10719" spans="1:13" s="120" customFormat="1" x14ac:dyDescent="0.25">
      <c r="A10719" s="119"/>
      <c r="B10719" s="138" t="str">
        <f t="shared" si="913"/>
        <v/>
      </c>
      <c r="C10719" s="138" t="str">
        <f t="shared" si="914"/>
        <v/>
      </c>
      <c r="D10719" s="138" t="str">
        <f t="shared" si="910"/>
        <v/>
      </c>
      <c r="E10719" s="138" t="str">
        <f t="shared" si="911"/>
        <v/>
      </c>
      <c r="F10719" s="138" t="str">
        <f t="shared" si="915"/>
        <v/>
      </c>
      <c r="G10719" s="153" t="s">
        <v>51</v>
      </c>
      <c r="H10719" s="160"/>
      <c r="I10719" s="160" t="s">
        <v>47</v>
      </c>
      <c r="J10719" s="160" t="s">
        <v>52</v>
      </c>
      <c r="K10719" s="160" t="s">
        <v>27</v>
      </c>
      <c r="L10719" s="154" t="str">
        <f>IF(OpenLCAbasic!K10719="CTUh", "Fill in Manually",IF(OR(K10719="Unit", K10719=""), "", INDEX(LookUps!$E$5:$E$12, MATCH(OpenLCAbasic!K10719,LookUps!$D$5:$D$12,0))))</f>
        <v/>
      </c>
      <c r="M10719" s="154" t="str">
        <f t="shared" si="912"/>
        <v>____Process__</v>
      </c>
    </row>
    <row r="10720" spans="1:13" s="120" customFormat="1" x14ac:dyDescent="0.25">
      <c r="A10720" s="119"/>
      <c r="B10720" s="138" t="str">
        <f t="shared" si="913"/>
        <v>Aerated Static Pile</v>
      </c>
      <c r="C10720" s="138" t="str">
        <f t="shared" si="914"/>
        <v>Base_With Amendment</v>
      </c>
      <c r="D10720" s="138" t="str">
        <f t="shared" si="910"/>
        <v>Base_Low</v>
      </c>
      <c r="E10720" s="138" t="str">
        <f t="shared" si="911"/>
        <v>High</v>
      </c>
      <c r="F10720" s="138" t="str">
        <f t="shared" si="915"/>
        <v>Upgraded</v>
      </c>
      <c r="G10720" s="153"/>
      <c r="H10720" s="210">
        <v>2.2841999999999998</v>
      </c>
      <c r="I10720" s="160" t="s">
        <v>167</v>
      </c>
      <c r="J10720" s="160">
        <v>2.3000000000000001E-4</v>
      </c>
      <c r="K10720" s="160" t="s">
        <v>26</v>
      </c>
      <c r="L10720" s="154" t="str">
        <f>IF(OpenLCAbasic!K10720="CTUh", "Fill in Manually",IF(OR(K10720="Unit", K10720=""), "", INDEX(LookUps!$E$5:$E$12, MATCH(OpenLCAbasic!K10720,LookUps!$D$5:$D$12,0))))</f>
        <v>Water Use (WU) - m3 H2O</v>
      </c>
      <c r="M10720" s="154" t="str">
        <f t="shared" si="912"/>
        <v>High_Base_Low_Upgraded_Water Use (WU) - m3 H2O_Waste Receiving and Holding; wastewater treatment unit; at updated plant - US_Base_With Amendment_Aerated Static Pile</v>
      </c>
    </row>
    <row r="10721" spans="1:13" s="120" customFormat="1" x14ac:dyDescent="0.25">
      <c r="A10721" s="119"/>
      <c r="B10721" s="138" t="str">
        <f t="shared" si="913"/>
        <v>Aerated Static Pile</v>
      </c>
      <c r="C10721" s="138" t="str">
        <f t="shared" si="914"/>
        <v>Base_With Amendment</v>
      </c>
      <c r="D10721" s="138" t="str">
        <f t="shared" si="910"/>
        <v>Base_Low</v>
      </c>
      <c r="E10721" s="138" t="str">
        <f t="shared" si="911"/>
        <v>High</v>
      </c>
      <c r="F10721" s="138" t="str">
        <f t="shared" si="915"/>
        <v>Upgraded</v>
      </c>
      <c r="G10721" s="153"/>
      <c r="H10721" s="210">
        <v>1.8075000000000001</v>
      </c>
      <c r="I10721" s="160" t="s">
        <v>147</v>
      </c>
      <c r="J10721" s="160">
        <v>1.8000000000000001E-4</v>
      </c>
      <c r="K10721" s="160" t="s">
        <v>26</v>
      </c>
      <c r="L10721" s="154" t="str">
        <f>IF(OpenLCAbasic!K10721="CTUh", "Fill in Manually",IF(OR(K10721="Unit", K10721=""), "", INDEX(LookUps!$E$5:$E$12, MATCH(OpenLCAbasic!K10721,LookUps!$D$5:$D$12,0))))</f>
        <v>Water Use (WU) - m3 H2O</v>
      </c>
      <c r="M10721" s="154" t="str">
        <f t="shared" si="912"/>
        <v>High_Base_Low_Upgraded_Water Use (WU) - m3 H2O_Influent Pump Station; wastewater treatment unit; at updated plant - US_Base_With Amendment_Aerated Static Pile</v>
      </c>
    </row>
    <row r="10722" spans="1:13" s="120" customFormat="1" x14ac:dyDescent="0.25">
      <c r="A10722" s="119"/>
      <c r="B10722" s="138" t="str">
        <f t="shared" si="913"/>
        <v>Aerated Static Pile</v>
      </c>
      <c r="C10722" s="138" t="str">
        <f t="shared" si="914"/>
        <v>Base_With Amendment</v>
      </c>
      <c r="D10722" s="138" t="str">
        <f t="shared" si="910"/>
        <v>Base_Low</v>
      </c>
      <c r="E10722" s="138" t="str">
        <f t="shared" si="911"/>
        <v>High</v>
      </c>
      <c r="F10722" s="138" t="str">
        <f t="shared" si="915"/>
        <v>Upgraded</v>
      </c>
      <c r="G10722" s="153"/>
      <c r="H10722" s="210">
        <v>1.7636000000000001</v>
      </c>
      <c r="I10722" s="160" t="s">
        <v>54</v>
      </c>
      <c r="J10722" s="160">
        <v>1.8000000000000001E-4</v>
      </c>
      <c r="K10722" s="160" t="s">
        <v>26</v>
      </c>
      <c r="L10722" s="154" t="str">
        <f>IF(OpenLCAbasic!K10722="CTUh", "Fill in Manually",IF(OR(K10722="Unit", K10722=""), "", INDEX(LookUps!$E$5:$E$12, MATCH(OpenLCAbasic!K10722,LookUps!$D$5:$D$12,0))))</f>
        <v>Water Use (WU) - m3 H2O</v>
      </c>
      <c r="M10722" s="154" t="str">
        <f t="shared" si="912"/>
        <v>High_Base_Low_Upgraded_Water Use (WU) - m3 H2O_Clear Cove Primary Clarification; wastewater treatment unit; at updated plant - US_Base_With Amendment_Aerated Static Pile</v>
      </c>
    </row>
    <row r="10723" spans="1:13" s="120" customFormat="1" x14ac:dyDescent="0.25">
      <c r="A10723" s="119"/>
      <c r="B10723" s="138" t="str">
        <f t="shared" si="913"/>
        <v>Aerated Static Pile</v>
      </c>
      <c r="C10723" s="138" t="str">
        <f t="shared" si="914"/>
        <v>Base_With Amendment</v>
      </c>
      <c r="D10723" s="138" t="str">
        <f t="shared" si="910"/>
        <v>Base_Low</v>
      </c>
      <c r="E10723" s="138" t="str">
        <f t="shared" si="911"/>
        <v>High</v>
      </c>
      <c r="F10723" s="138" t="str">
        <f t="shared" si="915"/>
        <v>Upgraded</v>
      </c>
      <c r="G10723" s="153"/>
      <c r="H10723" s="210">
        <v>1.5999000000000001</v>
      </c>
      <c r="I10723" s="160" t="s">
        <v>55</v>
      </c>
      <c r="J10723" s="160">
        <v>1.6000000000000001E-4</v>
      </c>
      <c r="K10723" s="160" t="s">
        <v>26</v>
      </c>
      <c r="L10723" s="154" t="str">
        <f>IF(OpenLCAbasic!K10723="CTUh", "Fill in Manually",IF(OR(K10723="Unit", K10723=""), "", INDEX(LookUps!$E$5:$E$12, MATCH(OpenLCAbasic!K10723,LookUps!$D$5:$D$12,0))))</f>
        <v>Water Use (WU) - m3 H2O</v>
      </c>
      <c r="M10723" s="154" t="str">
        <f t="shared" si="912"/>
        <v>High_Base_Low_Upgraded_Water Use (WU) - m3 H2O_Aeration Tanks; wastewater treatment unit; at updated plant - US_Base_With Amendment_Aerated Static Pile</v>
      </c>
    </row>
    <row r="10724" spans="1:13" s="120" customFormat="1" x14ac:dyDescent="0.25">
      <c r="A10724" s="119"/>
      <c r="B10724" s="138" t="str">
        <f t="shared" si="913"/>
        <v>Aerated Static Pile</v>
      </c>
      <c r="C10724" s="138" t="str">
        <f t="shared" si="914"/>
        <v>Base_With Amendment</v>
      </c>
      <c r="D10724" s="138" t="str">
        <f t="shared" si="910"/>
        <v>Base_Low</v>
      </c>
      <c r="E10724" s="138" t="str">
        <f t="shared" si="911"/>
        <v>High</v>
      </c>
      <c r="F10724" s="138" t="str">
        <f t="shared" si="915"/>
        <v>Upgraded</v>
      </c>
      <c r="G10724" s="153"/>
      <c r="H10724" s="210">
        <v>1.4573</v>
      </c>
      <c r="I10724" s="160" t="s">
        <v>148</v>
      </c>
      <c r="J10724" s="160">
        <v>1.4999999999999999E-4</v>
      </c>
      <c r="K10724" s="160" t="s">
        <v>26</v>
      </c>
      <c r="L10724" s="154" t="str">
        <f>IF(OpenLCAbasic!K10724="CTUh", "Fill in Manually",IF(OR(K10724="Unit", K10724=""), "", INDEX(LookUps!$E$5:$E$12, MATCH(OpenLCAbasic!K10724,LookUps!$D$5:$D$12,0))))</f>
        <v>Water Use (WU) - m3 H2O</v>
      </c>
      <c r="M10724" s="154" t="str">
        <f t="shared" si="912"/>
        <v>High_Base_Low_Upgraded_Water Use (WU) - m3 H2O_Control Building; at upgraded wastewater treatment plant - US_Base_With Amendment_Aerated Static Pile</v>
      </c>
    </row>
    <row r="10725" spans="1:13" s="120" customFormat="1" x14ac:dyDescent="0.25">
      <c r="A10725" s="119"/>
      <c r="B10725" s="138" t="str">
        <f t="shared" si="913"/>
        <v>Aerated Static Pile</v>
      </c>
      <c r="C10725" s="138" t="str">
        <f t="shared" si="914"/>
        <v>Base_With Amendment</v>
      </c>
      <c r="D10725" s="138" t="str">
        <f t="shared" si="910"/>
        <v>Base_Low</v>
      </c>
      <c r="E10725" s="138" t="str">
        <f t="shared" si="911"/>
        <v>High</v>
      </c>
      <c r="F10725" s="138" t="str">
        <f t="shared" si="915"/>
        <v>Upgraded</v>
      </c>
      <c r="G10725" s="153"/>
      <c r="H10725" s="210">
        <v>0.67679999999999996</v>
      </c>
      <c r="I10725" s="160" t="s">
        <v>48</v>
      </c>
      <c r="J10725" s="211">
        <v>6.8836400000000004E-5</v>
      </c>
      <c r="K10725" s="160" t="s">
        <v>26</v>
      </c>
      <c r="L10725" s="154" t="str">
        <f>IF(OpenLCAbasic!K10725="CTUh", "Fill in Manually",IF(OR(K10725="Unit", K10725=""), "", INDEX(LookUps!$E$5:$E$12, MATCH(OpenLCAbasic!K10725,LookUps!$D$5:$D$12,0))))</f>
        <v>Water Use (WU) - m3 H2O</v>
      </c>
      <c r="M10725" s="154" t="str">
        <f t="shared" si="912"/>
        <v>High_Base_Low_Upgraded_Water Use (WU) - m3 H2O_Effluent release; wastewater treatment unit; at surface water; m3 wastewater - US_Base_With Amendment_Aerated Static Pile</v>
      </c>
    </row>
    <row r="10726" spans="1:13" s="120" customFormat="1" x14ac:dyDescent="0.25">
      <c r="A10726" s="119"/>
      <c r="B10726" s="138" t="str">
        <f t="shared" si="913"/>
        <v>Aerated Static Pile</v>
      </c>
      <c r="C10726" s="138" t="str">
        <f t="shared" si="914"/>
        <v>Base_With Amendment</v>
      </c>
      <c r="D10726" s="138" t="str">
        <f t="shared" si="910"/>
        <v>Base_Low</v>
      </c>
      <c r="E10726" s="138" t="str">
        <f t="shared" si="911"/>
        <v>High</v>
      </c>
      <c r="F10726" s="138" t="str">
        <f t="shared" si="915"/>
        <v>Upgraded</v>
      </c>
      <c r="G10726" s="153"/>
      <c r="H10726" s="210">
        <v>0.46529999999999999</v>
      </c>
      <c r="I10726" s="160" t="s">
        <v>149</v>
      </c>
      <c r="J10726" s="211">
        <v>4.7332900000000002E-5</v>
      </c>
      <c r="K10726" s="160" t="s">
        <v>26</v>
      </c>
      <c r="L10726" s="154" t="str">
        <f>IF(OpenLCAbasic!K10726="CTUh", "Fill in Manually",IF(OR(K10726="Unit", K10726=""), "", INDEX(LookUps!$E$5:$E$12, MATCH(OpenLCAbasic!K10726,LookUps!$D$5:$D$12,0))))</f>
        <v>Water Use (WU) - m3 H2O</v>
      </c>
      <c r="M10726" s="154" t="str">
        <f t="shared" si="912"/>
        <v>High_Base_Low_Upgraded_Water Use (WU) - m3 H2O_Anaerobic Digestion; wastewater treatment unit; at updated plant - US_Base_With Amendment_Aerated Static Pile</v>
      </c>
    </row>
    <row r="10727" spans="1:13" s="120" customFormat="1" x14ac:dyDescent="0.25">
      <c r="A10727" s="119"/>
      <c r="B10727" s="138" t="str">
        <f t="shared" si="913"/>
        <v>Aerated Static Pile</v>
      </c>
      <c r="C10727" s="138" t="str">
        <f t="shared" si="914"/>
        <v>Base_With Amendment</v>
      </c>
      <c r="D10727" s="138" t="str">
        <f t="shared" si="910"/>
        <v>Base_Low</v>
      </c>
      <c r="E10727" s="138" t="str">
        <f t="shared" si="911"/>
        <v>High</v>
      </c>
      <c r="F10727" s="138" t="str">
        <f t="shared" si="915"/>
        <v>Upgraded</v>
      </c>
      <c r="G10727" s="153"/>
      <c r="H10727" s="210">
        <v>0.42459999999999998</v>
      </c>
      <c r="I10727" s="160" t="s">
        <v>58</v>
      </c>
      <c r="J10727" s="211">
        <v>4.3192100000000003E-5</v>
      </c>
      <c r="K10727" s="160" t="s">
        <v>26</v>
      </c>
      <c r="L10727" s="154" t="str">
        <f>IF(OpenLCAbasic!K10727="CTUh", "Fill in Manually",IF(OR(K10727="Unit", K10727=""), "", INDEX(LookUps!$E$5:$E$12, MATCH(OpenLCAbasic!K10727,LookUps!$D$5:$D$12,0))))</f>
        <v>Water Use (WU) - m3 H2O</v>
      </c>
      <c r="M10727" s="154" t="str">
        <f t="shared" si="912"/>
        <v>High_Base_Low_Upgraded_Water Use (WU) - m3 H2O_Pre-Anoxic &amp; Swing tank; wastewater treatment unit; at updated plant - US_Base_With Amendment_Aerated Static Pile</v>
      </c>
    </row>
    <row r="10728" spans="1:13" s="120" customFormat="1" x14ac:dyDescent="0.25">
      <c r="A10728" s="119"/>
      <c r="B10728" s="138" t="str">
        <f t="shared" si="913"/>
        <v>Aerated Static Pile</v>
      </c>
      <c r="C10728" s="138" t="str">
        <f t="shared" si="914"/>
        <v>Base_With Amendment</v>
      </c>
      <c r="D10728" s="138" t="str">
        <f t="shared" si="910"/>
        <v>Base_Low</v>
      </c>
      <c r="E10728" s="138" t="str">
        <f t="shared" si="911"/>
        <v>High</v>
      </c>
      <c r="F10728" s="138" t="str">
        <f t="shared" si="915"/>
        <v>Upgraded</v>
      </c>
      <c r="G10728" s="153"/>
      <c r="H10728" s="210">
        <v>0.29899999999999999</v>
      </c>
      <c r="I10728" s="160" t="s">
        <v>57</v>
      </c>
      <c r="J10728" s="211">
        <v>3.0408100000000001E-5</v>
      </c>
      <c r="K10728" s="160" t="s">
        <v>26</v>
      </c>
      <c r="L10728" s="154" t="str">
        <f>IF(OpenLCAbasic!K10728="CTUh", "Fill in Manually",IF(OR(K10728="Unit", K10728=""), "", INDEX(LookUps!$E$5:$E$12, MATCH(OpenLCAbasic!K10728,LookUps!$D$5:$D$12,0))))</f>
        <v>Water Use (WU) - m3 H2O</v>
      </c>
      <c r="M10728" s="154" t="str">
        <f t="shared" si="912"/>
        <v>High_Base_Low_Upgraded_Water Use (WU) - m3 H2O_Gravity Belt Thickener; wastewater treatment unit; at updated plant - US_Base_With Amendment_Aerated Static Pile</v>
      </c>
    </row>
    <row r="10729" spans="1:13" s="120" customFormat="1" x14ac:dyDescent="0.25">
      <c r="A10729" s="119"/>
      <c r="B10729" s="138" t="str">
        <f t="shared" si="913"/>
        <v>Aerated Static Pile</v>
      </c>
      <c r="C10729" s="138" t="str">
        <f t="shared" si="914"/>
        <v>Base_With Amendment</v>
      </c>
      <c r="D10729" s="138" t="str">
        <f t="shared" ref="D10729:D10735" si="916">IF(ISNUMBER($J10729),"Base_Low","")</f>
        <v>Base_Low</v>
      </c>
      <c r="E10729" s="138" t="str">
        <f t="shared" ref="E10729:E10792" si="917">IF(ISNUMBER($J10729),"High","")</f>
        <v>High</v>
      </c>
      <c r="F10729" s="138" t="str">
        <f t="shared" si="915"/>
        <v>Upgraded</v>
      </c>
      <c r="G10729" s="153"/>
      <c r="H10729" s="210">
        <v>0.23949999999999999</v>
      </c>
      <c r="I10729" s="160" t="s">
        <v>60</v>
      </c>
      <c r="J10729" s="211">
        <v>2.4357400000000002E-5</v>
      </c>
      <c r="K10729" s="160" t="s">
        <v>26</v>
      </c>
      <c r="L10729" s="154" t="str">
        <f>IF(OpenLCAbasic!K10729="CTUh", "Fill in Manually",IF(OR(K10729="Unit", K10729=""), "", INDEX(LookUps!$E$5:$E$12, MATCH(OpenLCAbasic!K10729,LookUps!$D$5:$D$12,0))))</f>
        <v>Water Use (WU) - m3 H2O</v>
      </c>
      <c r="M10729" s="154" t="str">
        <f t="shared" si="912"/>
        <v>High_Base_Low_Upgraded_Water Use (WU) - m3 H2O_Belt filter press; wastewater treatment unit; at updated plant - US_Base_With Amendment_Aerated Static Pile</v>
      </c>
    </row>
    <row r="10730" spans="1:13" s="120" customFormat="1" x14ac:dyDescent="0.25">
      <c r="A10730" s="119"/>
      <c r="B10730" s="138" t="str">
        <f t="shared" si="913"/>
        <v>Aerated Static Pile</v>
      </c>
      <c r="C10730" s="138" t="str">
        <f t="shared" si="914"/>
        <v>Base_With Amendment</v>
      </c>
      <c r="D10730" s="138" t="str">
        <f t="shared" si="916"/>
        <v>Base_Low</v>
      </c>
      <c r="E10730" s="138" t="str">
        <f t="shared" si="917"/>
        <v>High</v>
      </c>
      <c r="F10730" s="138" t="str">
        <f t="shared" si="915"/>
        <v>Upgraded</v>
      </c>
      <c r="G10730" s="153"/>
      <c r="H10730" s="210">
        <v>0.2137</v>
      </c>
      <c r="I10730" s="160" t="s">
        <v>435</v>
      </c>
      <c r="J10730" s="211">
        <v>2.1732199999999998E-5</v>
      </c>
      <c r="K10730" s="160" t="s">
        <v>26</v>
      </c>
      <c r="L10730" s="154" t="str">
        <f>IF(OpenLCAbasic!K10730="CTUh", "Fill in Manually",IF(OR(K10730="Unit", K10730=""), "", INDEX(LookUps!$E$5:$E$12, MATCH(OpenLCAbasic!K10730,LookUps!$D$5:$D$12,0))))</f>
        <v>Water Use (WU) - m3 H2O</v>
      </c>
      <c r="M10730" s="154" t="str">
        <f t="shared" si="912"/>
        <v>High_Base_Low_Upgraded_Water Use (WU) - m3 H2O_Biosolids composting; aerated static pile; wastewater treatment unit; at updated plant - US_Base_With Amendment_Aerated Static Pile</v>
      </c>
    </row>
    <row r="10731" spans="1:13" s="120" customFormat="1" x14ac:dyDescent="0.25">
      <c r="A10731" s="119"/>
      <c r="B10731" s="138" t="str">
        <f t="shared" si="913"/>
        <v>Aerated Static Pile</v>
      </c>
      <c r="C10731" s="138" t="str">
        <f t="shared" si="914"/>
        <v>Base_With Amendment</v>
      </c>
      <c r="D10731" s="138" t="str">
        <f t="shared" si="916"/>
        <v>Base_Low</v>
      </c>
      <c r="E10731" s="138" t="str">
        <f t="shared" si="917"/>
        <v>High</v>
      </c>
      <c r="F10731" s="138" t="str">
        <f t="shared" si="915"/>
        <v>Upgraded</v>
      </c>
      <c r="G10731" s="153"/>
      <c r="H10731" s="210">
        <v>0.1721</v>
      </c>
      <c r="I10731" s="160" t="s">
        <v>53</v>
      </c>
      <c r="J10731" s="211">
        <v>1.75069E-5</v>
      </c>
      <c r="K10731" s="160" t="s">
        <v>26</v>
      </c>
      <c r="L10731" s="154" t="str">
        <f>IF(OpenLCAbasic!K10731="CTUh", "Fill in Manually",IF(OR(K10731="Unit", K10731=""), "", INDEX(LookUps!$E$5:$E$12, MATCH(OpenLCAbasic!K10731,LookUps!$D$5:$D$12,0))))</f>
        <v>Water Use (WU) - m3 H2O</v>
      </c>
      <c r="M10731" s="154" t="str">
        <f t="shared" si="912"/>
        <v>High_Base_Low_Upgraded_Water Use (WU) - m3 H2O_Wet Well and Sump Station; wastewater treatment unit; at updated plant - US_Base_With Amendment_Aerated Static Pile</v>
      </c>
    </row>
    <row r="10732" spans="1:13" s="120" customFormat="1" x14ac:dyDescent="0.25">
      <c r="A10732" s="119"/>
      <c r="B10732" s="138" t="str">
        <f t="shared" si="913"/>
        <v>Aerated Static Pile</v>
      </c>
      <c r="C10732" s="138" t="str">
        <f t="shared" si="914"/>
        <v>Base_With Amendment</v>
      </c>
      <c r="D10732" s="138" t="str">
        <f t="shared" si="916"/>
        <v>Base_Low</v>
      </c>
      <c r="E10732" s="138" t="str">
        <f t="shared" si="917"/>
        <v>High</v>
      </c>
      <c r="F10732" s="138" t="str">
        <f t="shared" si="915"/>
        <v>Upgraded</v>
      </c>
      <c r="G10732" s="153"/>
      <c r="H10732" s="210">
        <v>6.9000000000000006E-2</v>
      </c>
      <c r="I10732" s="160" t="s">
        <v>59</v>
      </c>
      <c r="J10732" s="211">
        <v>7.0179500000000003E-6</v>
      </c>
      <c r="K10732" s="160" t="s">
        <v>26</v>
      </c>
      <c r="L10732" s="154" t="str">
        <f>IF(OpenLCAbasic!K10732="CTUh", "Fill in Manually",IF(OR(K10732="Unit", K10732=""), "", INDEX(LookUps!$E$5:$E$12, MATCH(OpenLCAbasic!K10732,LookUps!$D$5:$D$12,0))))</f>
        <v>Water Use (WU) - m3 H2O</v>
      </c>
      <c r="M10732" s="154" t="str">
        <f t="shared" si="912"/>
        <v>High_Base_Low_Upgraded_Water Use (WU) - m3 H2O_Blend Tank; wastewater treatment unit; at updated plant - US_Base_With Amendment_Aerated Static Pile</v>
      </c>
    </row>
    <row r="10733" spans="1:13" s="120" customFormat="1" x14ac:dyDescent="0.25">
      <c r="A10733" s="119"/>
      <c r="B10733" s="138" t="str">
        <f t="shared" si="913"/>
        <v>Aerated Static Pile</v>
      </c>
      <c r="C10733" s="138" t="str">
        <f t="shared" si="914"/>
        <v>Base_With Amendment</v>
      </c>
      <c r="D10733" s="138" t="str">
        <f t="shared" si="916"/>
        <v>Base_Low</v>
      </c>
      <c r="E10733" s="138" t="str">
        <f t="shared" si="917"/>
        <v>High</v>
      </c>
      <c r="F10733" s="138" t="str">
        <f t="shared" si="915"/>
        <v>Upgraded</v>
      </c>
      <c r="G10733" s="153"/>
      <c r="H10733" s="210">
        <v>4.9799999999999997E-2</v>
      </c>
      <c r="I10733" s="160" t="s">
        <v>128</v>
      </c>
      <c r="J10733" s="211">
        <v>5.0608900000000003E-6</v>
      </c>
      <c r="K10733" s="160" t="s">
        <v>26</v>
      </c>
      <c r="L10733" s="154" t="str">
        <f>IF(OpenLCAbasic!K10733="CTUh", "Fill in Manually",IF(OR(K10733="Unit", K10733=""), "", INDEX(LookUps!$E$5:$E$12, MATCH(OpenLCAbasic!K10733,LookUps!$D$5:$D$12,0))))</f>
        <v>Water Use (WU) - m3 H2O</v>
      </c>
      <c r="M10733" s="154" t="str">
        <f t="shared" si="912"/>
        <v>High_Base_Low_Upgraded_Water Use (WU) - m3 H2O_Wastewater collection; operation and infrastructure; m3 wastewater_Base_With Amendment_Aerated Static Pile</v>
      </c>
    </row>
    <row r="10734" spans="1:13" s="120" customFormat="1" x14ac:dyDescent="0.25">
      <c r="A10734" s="119"/>
      <c r="B10734" s="138" t="str">
        <f t="shared" si="913"/>
        <v>Aerated Static Pile</v>
      </c>
      <c r="C10734" s="138" t="str">
        <f t="shared" si="914"/>
        <v>Base_With Amendment</v>
      </c>
      <c r="D10734" s="138" t="str">
        <f t="shared" si="916"/>
        <v>Base_Low</v>
      </c>
      <c r="E10734" s="138" t="str">
        <f t="shared" si="917"/>
        <v>High</v>
      </c>
      <c r="F10734" s="138" t="str">
        <f t="shared" si="915"/>
        <v>Upgraded</v>
      </c>
      <c r="G10734" s="153"/>
      <c r="H10734" s="210">
        <v>7.4999999999999997E-3</v>
      </c>
      <c r="I10734" s="160" t="s">
        <v>168</v>
      </c>
      <c r="J10734" s="211">
        <v>7.6697000000000004E-7</v>
      </c>
      <c r="K10734" s="160" t="s">
        <v>26</v>
      </c>
      <c r="L10734" s="154" t="str">
        <f>IF(OpenLCAbasic!K10734="CTUh", "Fill in Manually",IF(OR(K10734="Unit", K10734=""), "", INDEX(LookUps!$E$5:$E$12, MATCH(OpenLCAbasic!K10734,LookUps!$D$5:$D$12,0))))</f>
        <v>Water Use (WU) - m3 H2O</v>
      </c>
      <c r="M10734" s="154" t="str">
        <f t="shared" si="912"/>
        <v>High_Base_Low_Upgraded_Water Use (WU) - m3 H2O_ClearCove SCP; wastewater treatment unit; at updated plant - US_Base_With Amendment_Aerated Static Pile</v>
      </c>
    </row>
    <row r="10735" spans="1:13" s="120" customFormat="1" x14ac:dyDescent="0.25">
      <c r="A10735" s="119"/>
      <c r="B10735" s="138" t="str">
        <f t="shared" si="913"/>
        <v>Aerated Static Pile</v>
      </c>
      <c r="C10735" s="138" t="str">
        <f t="shared" si="914"/>
        <v>Base_With Amendment</v>
      </c>
      <c r="D10735" s="138" t="str">
        <f t="shared" si="916"/>
        <v>Base_Low</v>
      </c>
      <c r="E10735" s="138" t="str">
        <f t="shared" si="917"/>
        <v>High</v>
      </c>
      <c r="F10735" s="138" t="str">
        <f t="shared" si="915"/>
        <v>Upgraded</v>
      </c>
      <c r="G10735" s="153"/>
      <c r="H10735" s="210">
        <v>-12.5297</v>
      </c>
      <c r="I10735" s="160" t="s">
        <v>62</v>
      </c>
      <c r="J10735" s="160">
        <v>-1.2700000000000001E-3</v>
      </c>
      <c r="K10735" s="160" t="s">
        <v>26</v>
      </c>
      <c r="L10735" s="154" t="str">
        <f>IF(OpenLCAbasic!K10735="CTUh", "Fill in Manually",IF(OR(K10735="Unit", K10735=""), "", INDEX(LookUps!$E$5:$E$12, MATCH(OpenLCAbasic!K10735,LookUps!$D$5:$D$12,0))))</f>
        <v>Water Use (WU) - m3 H2O</v>
      </c>
      <c r="M10735" s="154" t="str">
        <f t="shared" si="912"/>
        <v>High_Base_Low_Upgraded_Water Use (WU) - m3 H2O_Land application of compost; wastewater treatment unit; at updated plant - US_Base_With Amendment_Aerated Static Pile</v>
      </c>
    </row>
    <row r="10736" spans="1:13" s="120" customFormat="1" x14ac:dyDescent="0.25">
      <c r="A10736" s="119"/>
      <c r="B10736" s="138" t="str">
        <f t="shared" si="913"/>
        <v/>
      </c>
      <c r="C10736" s="138" t="str">
        <f t="shared" si="914"/>
        <v/>
      </c>
      <c r="D10736" s="138" t="str">
        <f>IF(ISNUMBER($J10736),"Base_High","")</f>
        <v/>
      </c>
      <c r="E10736" s="138" t="str">
        <f t="shared" si="917"/>
        <v/>
      </c>
      <c r="F10736" s="138" t="str">
        <f t="shared" si="915"/>
        <v/>
      </c>
      <c r="G10736" s="153" t="s">
        <v>51</v>
      </c>
      <c r="H10736" s="160"/>
      <c r="I10736" s="160" t="s">
        <v>47</v>
      </c>
      <c r="J10736" s="160" t="s">
        <v>52</v>
      </c>
      <c r="K10736" s="160" t="s">
        <v>27</v>
      </c>
      <c r="L10736" s="154" t="str">
        <f>IF(OpenLCAbasic!K10736="CTUh", "Fill in Manually",IF(OR(K10736="Unit", K10736=""), "", INDEX(LookUps!$E$5:$E$12, MATCH(OpenLCAbasic!K10736,LookUps!$D$5:$D$12,0))))</f>
        <v/>
      </c>
      <c r="M10736" s="154" t="str">
        <f t="shared" si="912"/>
        <v>____Process__</v>
      </c>
    </row>
    <row r="10737" spans="1:13" s="120" customFormat="1" x14ac:dyDescent="0.25">
      <c r="A10737" s="119"/>
      <c r="B10737" s="138" t="str">
        <f t="shared" si="913"/>
        <v>Aerated Static Pile</v>
      </c>
      <c r="C10737" s="138" t="str">
        <f t="shared" si="914"/>
        <v>Base_With Amendment</v>
      </c>
      <c r="D10737" s="138" t="str">
        <f t="shared" ref="D10737:D10800" si="918">IF(ISNUMBER($J10737),"Base_High","")</f>
        <v>Base_High</v>
      </c>
      <c r="E10737" s="138" t="str">
        <f t="shared" si="917"/>
        <v>High</v>
      </c>
      <c r="F10737" s="138" t="str">
        <f t="shared" si="915"/>
        <v>Upgraded</v>
      </c>
      <c r="G10737" s="153"/>
      <c r="H10737" s="210">
        <v>2.1684000000000001</v>
      </c>
      <c r="I10737" s="160" t="s">
        <v>55</v>
      </c>
      <c r="J10737" s="160">
        <v>1.7219999999999999E-2</v>
      </c>
      <c r="K10737" s="160" t="s">
        <v>24</v>
      </c>
      <c r="L10737" s="154" t="str">
        <f>IF(OpenLCAbasic!K10737="CTUh", "Fill in Manually",IF(OR(K10737="Unit", K10737=""), "", INDEX(LookUps!$E$5:$E$12, MATCH(OpenLCAbasic!K10737,LookUps!$D$5:$D$12,0))))</f>
        <v>Acidification Potential (AP) - kg SO2 eq</v>
      </c>
      <c r="M10737" s="154" t="str">
        <f t="shared" si="912"/>
        <v>High_Base_High_Upgraded_Acidification Potential (AP) - kg SO2 eq_Aeration Tanks; wastewater treatment unit; at updated plant - US_Base_With Amendment_Aerated Static Pile</v>
      </c>
    </row>
    <row r="10738" spans="1:13" s="120" customFormat="1" x14ac:dyDescent="0.25">
      <c r="A10738" s="119"/>
      <c r="B10738" s="138" t="str">
        <f t="shared" si="913"/>
        <v>Aerated Static Pile</v>
      </c>
      <c r="C10738" s="138" t="str">
        <f t="shared" si="914"/>
        <v>Base_With Amendment</v>
      </c>
      <c r="D10738" s="138" t="str">
        <f t="shared" si="918"/>
        <v>Base_High</v>
      </c>
      <c r="E10738" s="138" t="str">
        <f t="shared" si="917"/>
        <v>High</v>
      </c>
      <c r="F10738" s="138" t="str">
        <f t="shared" si="915"/>
        <v>Upgraded</v>
      </c>
      <c r="G10738" s="153"/>
      <c r="H10738" s="210">
        <v>0.79459999999999997</v>
      </c>
      <c r="I10738" s="160" t="s">
        <v>435</v>
      </c>
      <c r="J10738" s="160">
        <v>6.3099999999999996E-3</v>
      </c>
      <c r="K10738" s="160" t="s">
        <v>24</v>
      </c>
      <c r="L10738" s="154" t="str">
        <f>IF(OpenLCAbasic!K10738="CTUh", "Fill in Manually",IF(OR(K10738="Unit", K10738=""), "", INDEX(LookUps!$E$5:$E$12, MATCH(OpenLCAbasic!K10738,LookUps!$D$5:$D$12,0))))</f>
        <v>Acidification Potential (AP) - kg SO2 eq</v>
      </c>
      <c r="M10738" s="154" t="str">
        <f t="shared" si="912"/>
        <v>High_Base_High_Upgraded_Acidification Potential (AP) - kg SO2 eq_Biosolids composting; aerated static pile; wastewater treatment unit; at updated plant - US_Base_With Amendment_Aerated Static Pile</v>
      </c>
    </row>
    <row r="10739" spans="1:13" s="120" customFormat="1" x14ac:dyDescent="0.25">
      <c r="A10739" s="119"/>
      <c r="B10739" s="138" t="str">
        <f t="shared" si="913"/>
        <v>Aerated Static Pile</v>
      </c>
      <c r="C10739" s="138" t="str">
        <f t="shared" si="914"/>
        <v>Base_With Amendment</v>
      </c>
      <c r="D10739" s="138" t="str">
        <f t="shared" si="918"/>
        <v>Base_High</v>
      </c>
      <c r="E10739" s="138" t="str">
        <f t="shared" si="917"/>
        <v>High</v>
      </c>
      <c r="F10739" s="138" t="str">
        <f t="shared" si="915"/>
        <v>Upgraded</v>
      </c>
      <c r="G10739" s="153"/>
      <c r="H10739" s="210">
        <v>0.62719999999999998</v>
      </c>
      <c r="I10739" s="160" t="s">
        <v>54</v>
      </c>
      <c r="J10739" s="160">
        <v>4.9800000000000001E-3</v>
      </c>
      <c r="K10739" s="160" t="s">
        <v>24</v>
      </c>
      <c r="L10739" s="154" t="str">
        <f>IF(OpenLCAbasic!K10739="CTUh", "Fill in Manually",IF(OR(K10739="Unit", K10739=""), "", INDEX(LookUps!$E$5:$E$12, MATCH(OpenLCAbasic!K10739,LookUps!$D$5:$D$12,0))))</f>
        <v>Acidification Potential (AP) - kg SO2 eq</v>
      </c>
      <c r="M10739" s="154" t="str">
        <f t="shared" si="912"/>
        <v>High_Base_High_Upgraded_Acidification Potential (AP) - kg SO2 eq_Clear Cove Primary Clarification; wastewater treatment unit; at updated plant - US_Base_With Amendment_Aerated Static Pile</v>
      </c>
    </row>
    <row r="10740" spans="1:13" s="120" customFormat="1" x14ac:dyDescent="0.25">
      <c r="A10740" s="119"/>
      <c r="B10740" s="138" t="str">
        <f t="shared" si="913"/>
        <v>Aerated Static Pile</v>
      </c>
      <c r="C10740" s="138" t="str">
        <f t="shared" si="914"/>
        <v>Base_With Amendment</v>
      </c>
      <c r="D10740" s="138" t="str">
        <f t="shared" si="918"/>
        <v>Base_High</v>
      </c>
      <c r="E10740" s="138" t="str">
        <f t="shared" si="917"/>
        <v>High</v>
      </c>
      <c r="F10740" s="138" t="str">
        <f t="shared" si="915"/>
        <v>Upgraded</v>
      </c>
      <c r="G10740" s="153"/>
      <c r="H10740" s="210">
        <v>0.54549999999999998</v>
      </c>
      <c r="I10740" s="160" t="s">
        <v>58</v>
      </c>
      <c r="J10740" s="160">
        <v>4.3299999999999996E-3</v>
      </c>
      <c r="K10740" s="160" t="s">
        <v>24</v>
      </c>
      <c r="L10740" s="154" t="str">
        <f>IF(OpenLCAbasic!K10740="CTUh", "Fill in Manually",IF(OR(K10740="Unit", K10740=""), "", INDEX(LookUps!$E$5:$E$12, MATCH(OpenLCAbasic!K10740,LookUps!$D$5:$D$12,0))))</f>
        <v>Acidification Potential (AP) - kg SO2 eq</v>
      </c>
      <c r="M10740" s="154" t="str">
        <f t="shared" si="912"/>
        <v>High_Base_High_Upgraded_Acidification Potential (AP) - kg SO2 eq_Pre-Anoxic &amp; Swing tank; wastewater treatment unit; at updated plant - US_Base_With Amendment_Aerated Static Pile</v>
      </c>
    </row>
    <row r="10741" spans="1:13" s="120" customFormat="1" x14ac:dyDescent="0.25">
      <c r="A10741" s="119"/>
      <c r="B10741" s="138" t="str">
        <f t="shared" si="913"/>
        <v>Aerated Static Pile</v>
      </c>
      <c r="C10741" s="138" t="str">
        <f t="shared" si="914"/>
        <v>Base_With Amendment</v>
      </c>
      <c r="D10741" s="138" t="str">
        <f t="shared" si="918"/>
        <v>Base_High</v>
      </c>
      <c r="E10741" s="138" t="str">
        <f t="shared" si="917"/>
        <v>High</v>
      </c>
      <c r="F10741" s="138" t="str">
        <f t="shared" si="915"/>
        <v>Upgraded</v>
      </c>
      <c r="G10741" s="153"/>
      <c r="H10741" s="210">
        <v>0.43459999999999999</v>
      </c>
      <c r="I10741" s="160" t="s">
        <v>53</v>
      </c>
      <c r="J10741" s="160">
        <v>3.4499999999999999E-3</v>
      </c>
      <c r="K10741" s="160" t="s">
        <v>24</v>
      </c>
      <c r="L10741" s="154" t="str">
        <f>IF(OpenLCAbasic!K10741="CTUh", "Fill in Manually",IF(OR(K10741="Unit", K10741=""), "", INDEX(LookUps!$E$5:$E$12, MATCH(OpenLCAbasic!K10741,LookUps!$D$5:$D$12,0))))</f>
        <v>Acidification Potential (AP) - kg SO2 eq</v>
      </c>
      <c r="M10741" s="154" t="str">
        <f t="shared" si="912"/>
        <v>High_Base_High_Upgraded_Acidification Potential (AP) - kg SO2 eq_Wet Well and Sump Station; wastewater treatment unit; at updated plant - US_Base_With Amendment_Aerated Static Pile</v>
      </c>
    </row>
    <row r="10742" spans="1:13" s="120" customFormat="1" x14ac:dyDescent="0.25">
      <c r="A10742" s="119"/>
      <c r="B10742" s="138" t="str">
        <f t="shared" si="913"/>
        <v>Aerated Static Pile</v>
      </c>
      <c r="C10742" s="138" t="str">
        <f t="shared" si="914"/>
        <v>Base_With Amendment</v>
      </c>
      <c r="D10742" s="138" t="str">
        <f t="shared" si="918"/>
        <v>Base_High</v>
      </c>
      <c r="E10742" s="138" t="str">
        <f t="shared" si="917"/>
        <v>High</v>
      </c>
      <c r="F10742" s="138" t="str">
        <f t="shared" si="915"/>
        <v>Upgraded</v>
      </c>
      <c r="G10742" s="153"/>
      <c r="H10742" s="210">
        <v>0.29909999999999998</v>
      </c>
      <c r="I10742" s="160" t="s">
        <v>167</v>
      </c>
      <c r="J10742" s="160">
        <v>2.3800000000000002E-3</v>
      </c>
      <c r="K10742" s="160" t="s">
        <v>24</v>
      </c>
      <c r="L10742" s="154" t="str">
        <f>IF(OpenLCAbasic!K10742="CTUh", "Fill in Manually",IF(OR(K10742="Unit", K10742=""), "", INDEX(LookUps!$E$5:$E$12, MATCH(OpenLCAbasic!K10742,LookUps!$D$5:$D$12,0))))</f>
        <v>Acidification Potential (AP) - kg SO2 eq</v>
      </c>
      <c r="M10742" s="154" t="str">
        <f t="shared" si="912"/>
        <v>High_Base_High_Upgraded_Acidification Potential (AP) - kg SO2 eq_Waste Receiving and Holding; wastewater treatment unit; at updated plant - US_Base_With Amendment_Aerated Static Pile</v>
      </c>
    </row>
    <row r="10743" spans="1:13" s="120" customFormat="1" x14ac:dyDescent="0.25">
      <c r="A10743" s="119"/>
      <c r="B10743" s="138" t="str">
        <f t="shared" si="913"/>
        <v>Aerated Static Pile</v>
      </c>
      <c r="C10743" s="138" t="str">
        <f t="shared" si="914"/>
        <v>Base_With Amendment</v>
      </c>
      <c r="D10743" s="138" t="str">
        <f t="shared" si="918"/>
        <v>Base_High</v>
      </c>
      <c r="E10743" s="138" t="str">
        <f t="shared" si="917"/>
        <v>High</v>
      </c>
      <c r="F10743" s="138" t="str">
        <f t="shared" si="915"/>
        <v>Upgraded</v>
      </c>
      <c r="G10743" s="153"/>
      <c r="H10743" s="210">
        <v>0.28199999999999997</v>
      </c>
      <c r="I10743" s="160" t="s">
        <v>62</v>
      </c>
      <c r="J10743" s="160">
        <v>2.2399999999999998E-3</v>
      </c>
      <c r="K10743" s="160" t="s">
        <v>24</v>
      </c>
      <c r="L10743" s="154" t="str">
        <f>IF(OpenLCAbasic!K10743="CTUh", "Fill in Manually",IF(OR(K10743="Unit", K10743=""), "", INDEX(LookUps!$E$5:$E$12, MATCH(OpenLCAbasic!K10743,LookUps!$D$5:$D$12,0))))</f>
        <v>Acidification Potential (AP) - kg SO2 eq</v>
      </c>
      <c r="M10743" s="154" t="str">
        <f t="shared" si="912"/>
        <v>High_Base_High_Upgraded_Acidification Potential (AP) - kg SO2 eq_Land application of compost; wastewater treatment unit; at updated plant - US_Base_With Amendment_Aerated Static Pile</v>
      </c>
    </row>
    <row r="10744" spans="1:13" s="120" customFormat="1" x14ac:dyDescent="0.25">
      <c r="A10744" s="119"/>
      <c r="B10744" s="138" t="str">
        <f t="shared" si="913"/>
        <v>Aerated Static Pile</v>
      </c>
      <c r="C10744" s="138" t="str">
        <f t="shared" si="914"/>
        <v>Base_With Amendment</v>
      </c>
      <c r="D10744" s="138" t="str">
        <f t="shared" si="918"/>
        <v>Base_High</v>
      </c>
      <c r="E10744" s="138" t="str">
        <f t="shared" si="917"/>
        <v>High</v>
      </c>
      <c r="F10744" s="138" t="str">
        <f t="shared" si="915"/>
        <v>Upgraded</v>
      </c>
      <c r="G10744" s="153"/>
      <c r="H10744" s="210">
        <v>0.26050000000000001</v>
      </c>
      <c r="I10744" s="160" t="s">
        <v>147</v>
      </c>
      <c r="J10744" s="160">
        <v>2.0699999999999998E-3</v>
      </c>
      <c r="K10744" s="160" t="s">
        <v>24</v>
      </c>
      <c r="L10744" s="154" t="str">
        <f>IF(OpenLCAbasic!K10744="CTUh", "Fill in Manually",IF(OR(K10744="Unit", K10744=""), "", INDEX(LookUps!$E$5:$E$12, MATCH(OpenLCAbasic!K10744,LookUps!$D$5:$D$12,0))))</f>
        <v>Acidification Potential (AP) - kg SO2 eq</v>
      </c>
      <c r="M10744" s="154" t="str">
        <f t="shared" si="912"/>
        <v>High_Base_High_Upgraded_Acidification Potential (AP) - kg SO2 eq_Influent Pump Station; wastewater treatment unit; at updated plant - US_Base_With Amendment_Aerated Static Pile</v>
      </c>
    </row>
    <row r="10745" spans="1:13" s="120" customFormat="1" x14ac:dyDescent="0.25">
      <c r="A10745" s="119"/>
      <c r="B10745" s="138" t="str">
        <f t="shared" si="913"/>
        <v>Aerated Static Pile</v>
      </c>
      <c r="C10745" s="138" t="str">
        <f t="shared" si="914"/>
        <v>Base_With Amendment</v>
      </c>
      <c r="D10745" s="138" t="str">
        <f t="shared" si="918"/>
        <v>Base_High</v>
      </c>
      <c r="E10745" s="138" t="str">
        <f t="shared" si="917"/>
        <v>High</v>
      </c>
      <c r="F10745" s="138" t="str">
        <f t="shared" si="915"/>
        <v>Upgraded</v>
      </c>
      <c r="G10745" s="153"/>
      <c r="H10745" s="210">
        <v>0.15529999999999999</v>
      </c>
      <c r="I10745" s="160" t="s">
        <v>128</v>
      </c>
      <c r="J10745" s="160">
        <v>1.23E-3</v>
      </c>
      <c r="K10745" s="160" t="s">
        <v>24</v>
      </c>
      <c r="L10745" s="154" t="str">
        <f>IF(OpenLCAbasic!K10745="CTUh", "Fill in Manually",IF(OR(K10745="Unit", K10745=""), "", INDEX(LookUps!$E$5:$E$12, MATCH(OpenLCAbasic!K10745,LookUps!$D$5:$D$12,0))))</f>
        <v>Acidification Potential (AP) - kg SO2 eq</v>
      </c>
      <c r="M10745" s="154" t="str">
        <f t="shared" si="912"/>
        <v>High_Base_High_Upgraded_Acidification Potential (AP) - kg SO2 eq_Wastewater collection; operation and infrastructure; m3 wastewater_Base_With Amendment_Aerated Static Pile</v>
      </c>
    </row>
    <row r="10746" spans="1:13" s="120" customFormat="1" x14ac:dyDescent="0.25">
      <c r="A10746" s="119"/>
      <c r="B10746" s="138" t="str">
        <f t="shared" si="913"/>
        <v>Aerated Static Pile</v>
      </c>
      <c r="C10746" s="138" t="str">
        <f t="shared" si="914"/>
        <v>Base_With Amendment</v>
      </c>
      <c r="D10746" s="138" t="str">
        <f t="shared" si="918"/>
        <v>Base_High</v>
      </c>
      <c r="E10746" s="138" t="str">
        <f t="shared" si="917"/>
        <v>High</v>
      </c>
      <c r="F10746" s="138" t="str">
        <f t="shared" si="915"/>
        <v>Upgraded</v>
      </c>
      <c r="G10746" s="153"/>
      <c r="H10746" s="210">
        <v>9.3700000000000006E-2</v>
      </c>
      <c r="I10746" s="160" t="s">
        <v>60</v>
      </c>
      <c r="J10746" s="160">
        <v>7.3999999999999999E-4</v>
      </c>
      <c r="K10746" s="160" t="s">
        <v>24</v>
      </c>
      <c r="L10746" s="154" t="str">
        <f>IF(OpenLCAbasic!K10746="CTUh", "Fill in Manually",IF(OR(K10746="Unit", K10746=""), "", INDEX(LookUps!$E$5:$E$12, MATCH(OpenLCAbasic!K10746,LookUps!$D$5:$D$12,0))))</f>
        <v>Acidification Potential (AP) - kg SO2 eq</v>
      </c>
      <c r="M10746" s="154" t="str">
        <f t="shared" si="912"/>
        <v>High_Base_High_Upgraded_Acidification Potential (AP) - kg SO2 eq_Belt filter press; wastewater treatment unit; at updated plant - US_Base_With Amendment_Aerated Static Pile</v>
      </c>
    </row>
    <row r="10747" spans="1:13" s="120" customFormat="1" x14ac:dyDescent="0.25">
      <c r="A10747" s="119"/>
      <c r="B10747" s="138" t="str">
        <f t="shared" si="913"/>
        <v>Aerated Static Pile</v>
      </c>
      <c r="C10747" s="138" t="str">
        <f t="shared" si="914"/>
        <v>Base_With Amendment</v>
      </c>
      <c r="D10747" s="138" t="str">
        <f t="shared" si="918"/>
        <v>Base_High</v>
      </c>
      <c r="E10747" s="138" t="str">
        <f t="shared" si="917"/>
        <v>High</v>
      </c>
      <c r="F10747" s="138" t="str">
        <f t="shared" si="915"/>
        <v>Upgraded</v>
      </c>
      <c r="G10747" s="153"/>
      <c r="H10747" s="210">
        <v>8.8599999999999998E-2</v>
      </c>
      <c r="I10747" s="160" t="s">
        <v>57</v>
      </c>
      <c r="J10747" s="160">
        <v>6.9999999999999999E-4</v>
      </c>
      <c r="K10747" s="160" t="s">
        <v>24</v>
      </c>
      <c r="L10747" s="154" t="str">
        <f>IF(OpenLCAbasic!K10747="CTUh", "Fill in Manually",IF(OR(K10747="Unit", K10747=""), "", INDEX(LookUps!$E$5:$E$12, MATCH(OpenLCAbasic!K10747,LookUps!$D$5:$D$12,0))))</f>
        <v>Acidification Potential (AP) - kg SO2 eq</v>
      </c>
      <c r="M10747" s="154" t="str">
        <f t="shared" si="912"/>
        <v>High_Base_High_Upgraded_Acidification Potential (AP) - kg SO2 eq_Gravity Belt Thickener; wastewater treatment unit; at updated plant - US_Base_With Amendment_Aerated Static Pile</v>
      </c>
    </row>
    <row r="10748" spans="1:13" s="120" customFormat="1" x14ac:dyDescent="0.25">
      <c r="A10748" s="119"/>
      <c r="B10748" s="138" t="str">
        <f t="shared" si="913"/>
        <v>Aerated Static Pile</v>
      </c>
      <c r="C10748" s="138" t="str">
        <f t="shared" si="914"/>
        <v>Base_With Amendment</v>
      </c>
      <c r="D10748" s="138" t="str">
        <f t="shared" si="918"/>
        <v>Base_High</v>
      </c>
      <c r="E10748" s="138" t="str">
        <f t="shared" si="917"/>
        <v>High</v>
      </c>
      <c r="F10748" s="138" t="str">
        <f t="shared" si="915"/>
        <v>Upgraded</v>
      </c>
      <c r="G10748" s="153"/>
      <c r="H10748" s="210">
        <v>6.5000000000000002E-2</v>
      </c>
      <c r="I10748" s="160" t="s">
        <v>59</v>
      </c>
      <c r="J10748" s="160">
        <v>5.1999999999999995E-4</v>
      </c>
      <c r="K10748" s="160" t="s">
        <v>24</v>
      </c>
      <c r="L10748" s="154" t="str">
        <f>IF(OpenLCAbasic!K10748="CTUh", "Fill in Manually",IF(OR(K10748="Unit", K10748=""), "", INDEX(LookUps!$E$5:$E$12, MATCH(OpenLCAbasic!K10748,LookUps!$D$5:$D$12,0))))</f>
        <v>Acidification Potential (AP) - kg SO2 eq</v>
      </c>
      <c r="M10748" s="154" t="str">
        <f t="shared" si="912"/>
        <v>High_Base_High_Upgraded_Acidification Potential (AP) - kg SO2 eq_Blend Tank; wastewater treatment unit; at updated plant - US_Base_With Amendment_Aerated Static Pile</v>
      </c>
    </row>
    <row r="10749" spans="1:13" s="120" customFormat="1" x14ac:dyDescent="0.25">
      <c r="A10749" s="119"/>
      <c r="B10749" s="138" t="str">
        <f t="shared" si="913"/>
        <v>Aerated Static Pile</v>
      </c>
      <c r="C10749" s="138" t="str">
        <f t="shared" si="914"/>
        <v>Base_With Amendment</v>
      </c>
      <c r="D10749" s="138" t="str">
        <f t="shared" si="918"/>
        <v>Base_High</v>
      </c>
      <c r="E10749" s="138" t="str">
        <f t="shared" si="917"/>
        <v>High</v>
      </c>
      <c r="F10749" s="138" t="str">
        <f t="shared" si="915"/>
        <v>Upgraded</v>
      </c>
      <c r="G10749" s="153"/>
      <c r="H10749" s="210">
        <v>4.36E-2</v>
      </c>
      <c r="I10749" s="160" t="s">
        <v>48</v>
      </c>
      <c r="J10749" s="160">
        <v>3.5E-4</v>
      </c>
      <c r="K10749" s="160" t="s">
        <v>24</v>
      </c>
      <c r="L10749" s="154" t="str">
        <f>IF(OpenLCAbasic!K10749="CTUh", "Fill in Manually",IF(OR(K10749="Unit", K10749=""), "", INDEX(LookUps!$E$5:$E$12, MATCH(OpenLCAbasic!K10749,LookUps!$D$5:$D$12,0))))</f>
        <v>Acidification Potential (AP) - kg SO2 eq</v>
      </c>
      <c r="M10749" s="154" t="str">
        <f t="shared" si="912"/>
        <v>High_Base_High_Upgraded_Acidification Potential (AP) - kg SO2 eq_Effluent release; wastewater treatment unit; at surface water; m3 wastewater - US_Base_With Amendment_Aerated Static Pile</v>
      </c>
    </row>
    <row r="10750" spans="1:13" s="120" customFormat="1" x14ac:dyDescent="0.25">
      <c r="A10750" s="119"/>
      <c r="B10750" s="138" t="str">
        <f t="shared" si="913"/>
        <v>Aerated Static Pile</v>
      </c>
      <c r="C10750" s="138" t="str">
        <f t="shared" si="914"/>
        <v>Base_With Amendment</v>
      </c>
      <c r="D10750" s="138" t="str">
        <f t="shared" si="918"/>
        <v>Base_High</v>
      </c>
      <c r="E10750" s="138" t="str">
        <f t="shared" si="917"/>
        <v>High</v>
      </c>
      <c r="F10750" s="138" t="str">
        <f t="shared" si="915"/>
        <v>Upgraded</v>
      </c>
      <c r="G10750" s="153"/>
      <c r="H10750" s="210">
        <v>3.2099999999999997E-2</v>
      </c>
      <c r="I10750" s="160" t="s">
        <v>168</v>
      </c>
      <c r="J10750" s="160">
        <v>2.5999999999999998E-4</v>
      </c>
      <c r="K10750" s="160" t="s">
        <v>24</v>
      </c>
      <c r="L10750" s="154" t="str">
        <f>IF(OpenLCAbasic!K10750="CTUh", "Fill in Manually",IF(OR(K10750="Unit", K10750=""), "", INDEX(LookUps!$E$5:$E$12, MATCH(OpenLCAbasic!K10750,LookUps!$D$5:$D$12,0))))</f>
        <v>Acidification Potential (AP) - kg SO2 eq</v>
      </c>
      <c r="M10750" s="154" t="str">
        <f t="shared" si="912"/>
        <v>High_Base_High_Upgraded_Acidification Potential (AP) - kg SO2 eq_ClearCove SCP; wastewater treatment unit; at updated plant - US_Base_With Amendment_Aerated Static Pile</v>
      </c>
    </row>
    <row r="10751" spans="1:13" s="120" customFormat="1" x14ac:dyDescent="0.25">
      <c r="A10751" s="119"/>
      <c r="B10751" s="138" t="str">
        <f t="shared" si="913"/>
        <v>Aerated Static Pile</v>
      </c>
      <c r="C10751" s="138" t="str">
        <f t="shared" si="914"/>
        <v>Base_With Amendment</v>
      </c>
      <c r="D10751" s="138" t="str">
        <f t="shared" si="918"/>
        <v>Base_High</v>
      </c>
      <c r="E10751" s="138" t="str">
        <f t="shared" si="917"/>
        <v>High</v>
      </c>
      <c r="F10751" s="138" t="str">
        <f t="shared" si="915"/>
        <v>Upgraded</v>
      </c>
      <c r="G10751" s="153"/>
      <c r="H10751" s="210">
        <v>5.1000000000000004E-3</v>
      </c>
      <c r="I10751" s="160" t="s">
        <v>148</v>
      </c>
      <c r="J10751" s="211">
        <v>4.0354700000000002E-5</v>
      </c>
      <c r="K10751" s="160" t="s">
        <v>24</v>
      </c>
      <c r="L10751" s="154" t="str">
        <f>IF(OpenLCAbasic!K10751="CTUh", "Fill in Manually",IF(OR(K10751="Unit", K10751=""), "", INDEX(LookUps!$E$5:$E$12, MATCH(OpenLCAbasic!K10751,LookUps!$D$5:$D$12,0))))</f>
        <v>Acidification Potential (AP) - kg SO2 eq</v>
      </c>
      <c r="M10751" s="154" t="str">
        <f t="shared" si="912"/>
        <v>High_Base_High_Upgraded_Acidification Potential (AP) - kg SO2 eq_Control Building; at upgraded wastewater treatment plant - US_Base_With Amendment_Aerated Static Pile</v>
      </c>
    </row>
    <row r="10752" spans="1:13" s="120" customFormat="1" x14ac:dyDescent="0.25">
      <c r="A10752" s="119"/>
      <c r="B10752" s="138" t="str">
        <f t="shared" si="913"/>
        <v>Aerated Static Pile</v>
      </c>
      <c r="C10752" s="138" t="str">
        <f t="shared" si="914"/>
        <v>Base_With Amendment</v>
      </c>
      <c r="D10752" s="138" t="str">
        <f t="shared" si="918"/>
        <v>Base_High</v>
      </c>
      <c r="E10752" s="138" t="str">
        <f t="shared" si="917"/>
        <v>High</v>
      </c>
      <c r="F10752" s="138" t="str">
        <f t="shared" si="915"/>
        <v>Upgraded</v>
      </c>
      <c r="G10752" s="153"/>
      <c r="H10752" s="210">
        <v>-4.8954000000000004</v>
      </c>
      <c r="I10752" s="160" t="s">
        <v>149</v>
      </c>
      <c r="J10752" s="160">
        <v>-3.8870000000000002E-2</v>
      </c>
      <c r="K10752" s="160" t="s">
        <v>24</v>
      </c>
      <c r="L10752" s="154" t="str">
        <f>IF(OpenLCAbasic!K10752="CTUh", "Fill in Manually",IF(OR(K10752="Unit", K10752=""), "", INDEX(LookUps!$E$5:$E$12, MATCH(OpenLCAbasic!K10752,LookUps!$D$5:$D$12,0))))</f>
        <v>Acidification Potential (AP) - kg SO2 eq</v>
      </c>
      <c r="M10752" s="154" t="str">
        <f t="shared" si="912"/>
        <v>High_Base_High_Upgraded_Acidification Potential (AP) - kg SO2 eq_Anaerobic Digestion; wastewater treatment unit; at updated plant - US_Base_With Amendment_Aerated Static Pile</v>
      </c>
    </row>
    <row r="10753" spans="1:13" s="120" customFormat="1" x14ac:dyDescent="0.25">
      <c r="A10753" s="119"/>
      <c r="B10753" s="138" t="str">
        <f t="shared" si="913"/>
        <v/>
      </c>
      <c r="C10753" s="138" t="str">
        <f t="shared" si="914"/>
        <v/>
      </c>
      <c r="D10753" s="138" t="str">
        <f t="shared" si="918"/>
        <v/>
      </c>
      <c r="E10753" s="138" t="str">
        <f t="shared" si="917"/>
        <v/>
      </c>
      <c r="F10753" s="138" t="str">
        <f t="shared" si="915"/>
        <v/>
      </c>
      <c r="G10753" s="153" t="s">
        <v>51</v>
      </c>
      <c r="H10753" s="160"/>
      <c r="I10753" s="160" t="s">
        <v>47</v>
      </c>
      <c r="J10753" s="160" t="s">
        <v>52</v>
      </c>
      <c r="K10753" s="160" t="s">
        <v>27</v>
      </c>
      <c r="L10753" s="154" t="str">
        <f>IF(OpenLCAbasic!K10753="CTUh", "Fill in Manually",IF(OR(K10753="Unit", K10753=""), "", INDEX(LookUps!$E$5:$E$12, MATCH(OpenLCAbasic!K10753,LookUps!$D$5:$D$12,0))))</f>
        <v/>
      </c>
      <c r="M10753" s="154" t="str">
        <f t="shared" si="912"/>
        <v>____Process__</v>
      </c>
    </row>
    <row r="10754" spans="1:13" s="120" customFormat="1" x14ac:dyDescent="0.25">
      <c r="A10754" s="119"/>
      <c r="B10754" s="138" t="str">
        <f t="shared" si="913"/>
        <v>Aerated Static Pile</v>
      </c>
      <c r="C10754" s="138" t="str">
        <f t="shared" si="914"/>
        <v>Base_With Amendment</v>
      </c>
      <c r="D10754" s="138" t="str">
        <f t="shared" si="918"/>
        <v>Base_High</v>
      </c>
      <c r="E10754" s="138" t="str">
        <f t="shared" si="917"/>
        <v>High</v>
      </c>
      <c r="F10754" s="138" t="str">
        <f t="shared" si="915"/>
        <v>Upgraded</v>
      </c>
      <c r="G10754" s="153"/>
      <c r="H10754" s="210">
        <v>2.4695</v>
      </c>
      <c r="I10754" s="160" t="s">
        <v>55</v>
      </c>
      <c r="J10754" s="160">
        <v>3.5330499999999998</v>
      </c>
      <c r="K10754" s="160" t="s">
        <v>15</v>
      </c>
      <c r="L10754" s="154" t="str">
        <f>IF(OpenLCAbasic!K10754="CTUh", "Fill in Manually",IF(OR(K10754="Unit", K10754=""), "", INDEX(LookUps!$E$5:$E$12, MATCH(OpenLCAbasic!K10754,LookUps!$D$5:$D$12,0))))</f>
        <v>Cumulative Energy Demand (CED) - MJ</v>
      </c>
      <c r="M10754" s="154" t="str">
        <f t="shared" si="912"/>
        <v>High_Base_High_Upgraded_Cumulative Energy Demand (CED) - MJ_Aeration Tanks; wastewater treatment unit; at updated plant - US_Base_With Amendment_Aerated Static Pile</v>
      </c>
    </row>
    <row r="10755" spans="1:13" s="120" customFormat="1" x14ac:dyDescent="0.25">
      <c r="A10755" s="119"/>
      <c r="B10755" s="138" t="str">
        <f t="shared" si="913"/>
        <v>Aerated Static Pile</v>
      </c>
      <c r="C10755" s="138" t="str">
        <f t="shared" si="914"/>
        <v>Base_With Amendment</v>
      </c>
      <c r="D10755" s="138" t="str">
        <f t="shared" si="918"/>
        <v>Base_High</v>
      </c>
      <c r="E10755" s="138" t="str">
        <f t="shared" si="917"/>
        <v>High</v>
      </c>
      <c r="F10755" s="138" t="str">
        <f t="shared" si="915"/>
        <v>Upgraded</v>
      </c>
      <c r="G10755" s="153"/>
      <c r="H10755" s="210">
        <v>2.4451999999999998</v>
      </c>
      <c r="I10755" s="160" t="s">
        <v>167</v>
      </c>
      <c r="J10755" s="160">
        <v>3.4982700000000002</v>
      </c>
      <c r="K10755" s="160" t="s">
        <v>15</v>
      </c>
      <c r="L10755" s="154" t="str">
        <f>IF(OpenLCAbasic!K10755="CTUh", "Fill in Manually",IF(OR(K10755="Unit", K10755=""), "", INDEX(LookUps!$E$5:$E$12, MATCH(OpenLCAbasic!K10755,LookUps!$D$5:$D$12,0))))</f>
        <v>Cumulative Energy Demand (CED) - MJ</v>
      </c>
      <c r="M10755" s="154" t="str">
        <f t="shared" si="912"/>
        <v>High_Base_High_Upgraded_Cumulative Energy Demand (CED) - MJ_Waste Receiving and Holding; wastewater treatment unit; at updated plant - US_Base_With Amendment_Aerated Static Pile</v>
      </c>
    </row>
    <row r="10756" spans="1:13" s="120" customFormat="1" x14ac:dyDescent="0.25">
      <c r="A10756" s="119"/>
      <c r="B10756" s="138" t="str">
        <f t="shared" si="913"/>
        <v>Aerated Static Pile</v>
      </c>
      <c r="C10756" s="138" t="str">
        <f t="shared" si="914"/>
        <v>Base_With Amendment</v>
      </c>
      <c r="D10756" s="138" t="str">
        <f t="shared" si="918"/>
        <v>Base_High</v>
      </c>
      <c r="E10756" s="138" t="str">
        <f t="shared" si="917"/>
        <v>High</v>
      </c>
      <c r="F10756" s="138" t="str">
        <f t="shared" si="915"/>
        <v>Upgraded</v>
      </c>
      <c r="G10756" s="153"/>
      <c r="H10756" s="210">
        <v>0.82089999999999996</v>
      </c>
      <c r="I10756" s="160" t="s">
        <v>435</v>
      </c>
      <c r="J10756" s="160">
        <v>1.17442</v>
      </c>
      <c r="K10756" s="160" t="s">
        <v>15</v>
      </c>
      <c r="L10756" s="154" t="str">
        <f>IF(OpenLCAbasic!K10756="CTUh", "Fill in Manually",IF(OR(K10756="Unit", K10756=""), "", INDEX(LookUps!$E$5:$E$12, MATCH(OpenLCAbasic!K10756,LookUps!$D$5:$D$12,0))))</f>
        <v>Cumulative Energy Demand (CED) - MJ</v>
      </c>
      <c r="M10756" s="154" t="str">
        <f t="shared" ref="M10756:M10819" si="919">CONCATENATE(E10756,"_",D10756,"_",F10756,"_",L10756, "_",I10756,"_", C10756,"_", B10756)</f>
        <v>High_Base_High_Upgraded_Cumulative Energy Demand (CED) - MJ_Biosolids composting; aerated static pile; wastewater treatment unit; at updated plant - US_Base_With Amendment_Aerated Static Pile</v>
      </c>
    </row>
    <row r="10757" spans="1:13" s="120" customFormat="1" x14ac:dyDescent="0.25">
      <c r="A10757" s="119"/>
      <c r="B10757" s="138" t="str">
        <f t="shared" si="913"/>
        <v>Aerated Static Pile</v>
      </c>
      <c r="C10757" s="138" t="str">
        <f t="shared" si="914"/>
        <v>Base_With Amendment</v>
      </c>
      <c r="D10757" s="138" t="str">
        <f t="shared" si="918"/>
        <v>Base_High</v>
      </c>
      <c r="E10757" s="138" t="str">
        <f t="shared" si="917"/>
        <v>High</v>
      </c>
      <c r="F10757" s="138" t="str">
        <f t="shared" si="915"/>
        <v>Upgraded</v>
      </c>
      <c r="G10757" s="153"/>
      <c r="H10757" s="210">
        <v>0.81279999999999997</v>
      </c>
      <c r="I10757" s="160" t="s">
        <v>54</v>
      </c>
      <c r="J10757" s="160">
        <v>1.16289</v>
      </c>
      <c r="K10757" s="160" t="s">
        <v>15</v>
      </c>
      <c r="L10757" s="154" t="str">
        <f>IF(OpenLCAbasic!K10757="CTUh", "Fill in Manually",IF(OR(K10757="Unit", K10757=""), "", INDEX(LookUps!$E$5:$E$12, MATCH(OpenLCAbasic!K10757,LookUps!$D$5:$D$12,0))))</f>
        <v>Cumulative Energy Demand (CED) - MJ</v>
      </c>
      <c r="M10757" s="154" t="str">
        <f t="shared" si="919"/>
        <v>High_Base_High_Upgraded_Cumulative Energy Demand (CED) - MJ_Clear Cove Primary Clarification; wastewater treatment unit; at updated plant - US_Base_With Amendment_Aerated Static Pile</v>
      </c>
    </row>
    <row r="10758" spans="1:13" s="120" customFormat="1" x14ac:dyDescent="0.25">
      <c r="A10758" s="119"/>
      <c r="B10758" s="138" t="str">
        <f t="shared" si="913"/>
        <v>Aerated Static Pile</v>
      </c>
      <c r="C10758" s="138" t="str">
        <f t="shared" si="914"/>
        <v>Base_With Amendment</v>
      </c>
      <c r="D10758" s="138" t="str">
        <f t="shared" si="918"/>
        <v>Base_High</v>
      </c>
      <c r="E10758" s="138" t="str">
        <f t="shared" si="917"/>
        <v>High</v>
      </c>
      <c r="F10758" s="138" t="str">
        <f t="shared" si="915"/>
        <v>Upgraded</v>
      </c>
      <c r="G10758" s="153"/>
      <c r="H10758" s="210">
        <v>0.61799999999999999</v>
      </c>
      <c r="I10758" s="160" t="s">
        <v>58</v>
      </c>
      <c r="J10758" s="160">
        <v>0.88417000000000001</v>
      </c>
      <c r="K10758" s="160" t="s">
        <v>15</v>
      </c>
      <c r="L10758" s="154" t="str">
        <f>IF(OpenLCAbasic!K10758="CTUh", "Fill in Manually",IF(OR(K10758="Unit", K10758=""), "", INDEX(LookUps!$E$5:$E$12, MATCH(OpenLCAbasic!K10758,LookUps!$D$5:$D$12,0))))</f>
        <v>Cumulative Energy Demand (CED) - MJ</v>
      </c>
      <c r="M10758" s="154" t="str">
        <f t="shared" si="919"/>
        <v>High_Base_High_Upgraded_Cumulative Energy Demand (CED) - MJ_Pre-Anoxic &amp; Swing tank; wastewater treatment unit; at updated plant - US_Base_With Amendment_Aerated Static Pile</v>
      </c>
    </row>
    <row r="10759" spans="1:13" s="120" customFormat="1" x14ac:dyDescent="0.25">
      <c r="A10759" s="119"/>
      <c r="B10759" s="138" t="str">
        <f t="shared" si="913"/>
        <v>Aerated Static Pile</v>
      </c>
      <c r="C10759" s="138" t="str">
        <f t="shared" si="914"/>
        <v>Base_With Amendment</v>
      </c>
      <c r="D10759" s="138" t="str">
        <f t="shared" si="918"/>
        <v>Base_High</v>
      </c>
      <c r="E10759" s="138" t="str">
        <f t="shared" si="917"/>
        <v>High</v>
      </c>
      <c r="F10759" s="138" t="str">
        <f t="shared" si="915"/>
        <v>Upgraded</v>
      </c>
      <c r="G10759" s="153"/>
      <c r="H10759" s="210">
        <v>0.61719999999999997</v>
      </c>
      <c r="I10759" s="160" t="s">
        <v>147</v>
      </c>
      <c r="J10759" s="160">
        <v>0.88297000000000003</v>
      </c>
      <c r="K10759" s="160" t="s">
        <v>15</v>
      </c>
      <c r="L10759" s="154" t="str">
        <f>IF(OpenLCAbasic!K10759="CTUh", "Fill in Manually",IF(OR(K10759="Unit", K10759=""), "", INDEX(LookUps!$E$5:$E$12, MATCH(OpenLCAbasic!K10759,LookUps!$D$5:$D$12,0))))</f>
        <v>Cumulative Energy Demand (CED) - MJ</v>
      </c>
      <c r="M10759" s="154" t="str">
        <f t="shared" si="919"/>
        <v>High_Base_High_Upgraded_Cumulative Energy Demand (CED) - MJ_Influent Pump Station; wastewater treatment unit; at updated plant - US_Base_With Amendment_Aerated Static Pile</v>
      </c>
    </row>
    <row r="10760" spans="1:13" s="120" customFormat="1" x14ac:dyDescent="0.25">
      <c r="A10760" s="119"/>
      <c r="B10760" s="138" t="str">
        <f t="shared" si="913"/>
        <v>Aerated Static Pile</v>
      </c>
      <c r="C10760" s="138" t="str">
        <f t="shared" si="914"/>
        <v>Base_With Amendment</v>
      </c>
      <c r="D10760" s="138" t="str">
        <f t="shared" si="918"/>
        <v>Base_High</v>
      </c>
      <c r="E10760" s="138" t="str">
        <f t="shared" si="917"/>
        <v>High</v>
      </c>
      <c r="F10760" s="138" t="str">
        <f t="shared" si="915"/>
        <v>Upgraded</v>
      </c>
      <c r="G10760" s="153"/>
      <c r="H10760" s="210">
        <v>0.48680000000000001</v>
      </c>
      <c r="I10760" s="160" t="s">
        <v>53</v>
      </c>
      <c r="J10760" s="160">
        <v>0.69645000000000001</v>
      </c>
      <c r="K10760" s="160" t="s">
        <v>15</v>
      </c>
      <c r="L10760" s="154" t="str">
        <f>IF(OpenLCAbasic!K10760="CTUh", "Fill in Manually",IF(OR(K10760="Unit", K10760=""), "", INDEX(LookUps!$E$5:$E$12, MATCH(OpenLCAbasic!K10760,LookUps!$D$5:$D$12,0))))</f>
        <v>Cumulative Energy Demand (CED) - MJ</v>
      </c>
      <c r="M10760" s="154" t="str">
        <f t="shared" si="919"/>
        <v>High_Base_High_Upgraded_Cumulative Energy Demand (CED) - MJ_Wet Well and Sump Station; wastewater treatment unit; at updated plant - US_Base_With Amendment_Aerated Static Pile</v>
      </c>
    </row>
    <row r="10761" spans="1:13" s="120" customFormat="1" x14ac:dyDescent="0.25">
      <c r="A10761" s="119"/>
      <c r="B10761" s="138" t="str">
        <f t="shared" si="913"/>
        <v>Aerated Static Pile</v>
      </c>
      <c r="C10761" s="138" t="str">
        <f t="shared" si="914"/>
        <v>Base_With Amendment</v>
      </c>
      <c r="D10761" s="138" t="str">
        <f t="shared" si="918"/>
        <v>Base_High</v>
      </c>
      <c r="E10761" s="138" t="str">
        <f t="shared" si="917"/>
        <v>High</v>
      </c>
      <c r="F10761" s="138" t="str">
        <f t="shared" si="915"/>
        <v>Upgraded</v>
      </c>
      <c r="G10761" s="153"/>
      <c r="H10761" s="210">
        <v>0.23350000000000001</v>
      </c>
      <c r="I10761" s="160" t="s">
        <v>57</v>
      </c>
      <c r="J10761" s="160">
        <v>0.33404</v>
      </c>
      <c r="K10761" s="160" t="s">
        <v>15</v>
      </c>
      <c r="L10761" s="154" t="str">
        <f>IF(OpenLCAbasic!K10761="CTUh", "Fill in Manually",IF(OR(K10761="Unit", K10761=""), "", INDEX(LookUps!$E$5:$E$12, MATCH(OpenLCAbasic!K10761,LookUps!$D$5:$D$12,0))))</f>
        <v>Cumulative Energy Demand (CED) - MJ</v>
      </c>
      <c r="M10761" s="154" t="str">
        <f t="shared" si="919"/>
        <v>High_Base_High_Upgraded_Cumulative Energy Demand (CED) - MJ_Gravity Belt Thickener; wastewater treatment unit; at updated plant - US_Base_With Amendment_Aerated Static Pile</v>
      </c>
    </row>
    <row r="10762" spans="1:13" s="120" customFormat="1" x14ac:dyDescent="0.25">
      <c r="A10762" s="119"/>
      <c r="B10762" s="138" t="str">
        <f t="shared" ref="B10762:B10825" si="920">IF(F10762="Legacy","n.a.",IF(F10762="","","Aerated Static Pile"))</f>
        <v>Aerated Static Pile</v>
      </c>
      <c r="C10762" s="138" t="str">
        <f t="shared" ref="C10762:C10825" si="921">IF(ISNUMBER($J10762),"Base_With Amendment","")</f>
        <v>Base_With Amendment</v>
      </c>
      <c r="D10762" s="138" t="str">
        <f t="shared" si="918"/>
        <v>Base_High</v>
      </c>
      <c r="E10762" s="138" t="str">
        <f t="shared" si="917"/>
        <v>High</v>
      </c>
      <c r="F10762" s="138" t="str">
        <f t="shared" ref="F10762:F10825" si="922">IF(ISNUMBER(J10762),"Upgraded","")</f>
        <v>Upgraded</v>
      </c>
      <c r="G10762" s="153"/>
      <c r="H10762" s="210">
        <v>0.19409999999999999</v>
      </c>
      <c r="I10762" s="160" t="s">
        <v>60</v>
      </c>
      <c r="J10762" s="160">
        <v>0.27775</v>
      </c>
      <c r="K10762" s="160" t="s">
        <v>15</v>
      </c>
      <c r="L10762" s="154" t="str">
        <f>IF(OpenLCAbasic!K10762="CTUh", "Fill in Manually",IF(OR(K10762="Unit", K10762=""), "", INDEX(LookUps!$E$5:$E$12, MATCH(OpenLCAbasic!K10762,LookUps!$D$5:$D$12,0))))</f>
        <v>Cumulative Energy Demand (CED) - MJ</v>
      </c>
      <c r="M10762" s="154" t="str">
        <f t="shared" si="919"/>
        <v>High_Base_High_Upgraded_Cumulative Energy Demand (CED) - MJ_Belt filter press; wastewater treatment unit; at updated plant - US_Base_With Amendment_Aerated Static Pile</v>
      </c>
    </row>
    <row r="10763" spans="1:13" s="120" customFormat="1" x14ac:dyDescent="0.25">
      <c r="A10763" s="119"/>
      <c r="B10763" s="138" t="str">
        <f t="shared" si="920"/>
        <v>Aerated Static Pile</v>
      </c>
      <c r="C10763" s="138" t="str">
        <f t="shared" si="921"/>
        <v>Base_With Amendment</v>
      </c>
      <c r="D10763" s="138" t="str">
        <f t="shared" si="918"/>
        <v>Base_High</v>
      </c>
      <c r="E10763" s="138" t="str">
        <f t="shared" si="917"/>
        <v>High</v>
      </c>
      <c r="F10763" s="138" t="str">
        <f t="shared" si="922"/>
        <v>Upgraded</v>
      </c>
      <c r="G10763" s="153"/>
      <c r="H10763" s="210">
        <v>0.17899999999999999</v>
      </c>
      <c r="I10763" s="160" t="s">
        <v>128</v>
      </c>
      <c r="J10763" s="160">
        <v>0.25606000000000001</v>
      </c>
      <c r="K10763" s="160" t="s">
        <v>15</v>
      </c>
      <c r="L10763" s="154" t="str">
        <f>IF(OpenLCAbasic!K10763="CTUh", "Fill in Manually",IF(OR(K10763="Unit", K10763=""), "", INDEX(LookUps!$E$5:$E$12, MATCH(OpenLCAbasic!K10763,LookUps!$D$5:$D$12,0))))</f>
        <v>Cumulative Energy Demand (CED) - MJ</v>
      </c>
      <c r="M10763" s="154" t="str">
        <f t="shared" si="919"/>
        <v>High_Base_High_Upgraded_Cumulative Energy Demand (CED) - MJ_Wastewater collection; operation and infrastructure; m3 wastewater_Base_With Amendment_Aerated Static Pile</v>
      </c>
    </row>
    <row r="10764" spans="1:13" s="120" customFormat="1" x14ac:dyDescent="0.25">
      <c r="A10764" s="119"/>
      <c r="B10764" s="138" t="str">
        <f t="shared" si="920"/>
        <v>Aerated Static Pile</v>
      </c>
      <c r="C10764" s="138" t="str">
        <f t="shared" si="921"/>
        <v>Base_With Amendment</v>
      </c>
      <c r="D10764" s="138" t="str">
        <f t="shared" si="918"/>
        <v>Base_High</v>
      </c>
      <c r="E10764" s="138" t="str">
        <f t="shared" si="917"/>
        <v>High</v>
      </c>
      <c r="F10764" s="138" t="str">
        <f t="shared" si="922"/>
        <v>Upgraded</v>
      </c>
      <c r="G10764" s="153"/>
      <c r="H10764" s="210">
        <v>0.10199999999999999</v>
      </c>
      <c r="I10764" s="160" t="s">
        <v>148</v>
      </c>
      <c r="J10764" s="160">
        <v>0.14599000000000001</v>
      </c>
      <c r="K10764" s="160" t="s">
        <v>15</v>
      </c>
      <c r="L10764" s="154" t="str">
        <f>IF(OpenLCAbasic!K10764="CTUh", "Fill in Manually",IF(OR(K10764="Unit", K10764=""), "", INDEX(LookUps!$E$5:$E$12, MATCH(OpenLCAbasic!K10764,LookUps!$D$5:$D$12,0))))</f>
        <v>Cumulative Energy Demand (CED) - MJ</v>
      </c>
      <c r="M10764" s="154" t="str">
        <f t="shared" si="919"/>
        <v>High_Base_High_Upgraded_Cumulative Energy Demand (CED) - MJ_Control Building; at upgraded wastewater treatment plant - US_Base_With Amendment_Aerated Static Pile</v>
      </c>
    </row>
    <row r="10765" spans="1:13" s="120" customFormat="1" x14ac:dyDescent="0.25">
      <c r="A10765" s="119"/>
      <c r="B10765" s="138" t="str">
        <f t="shared" si="920"/>
        <v>Aerated Static Pile</v>
      </c>
      <c r="C10765" s="138" t="str">
        <f t="shared" si="921"/>
        <v>Base_With Amendment</v>
      </c>
      <c r="D10765" s="138" t="str">
        <f t="shared" si="918"/>
        <v>Base_High</v>
      </c>
      <c r="E10765" s="138" t="str">
        <f t="shared" si="917"/>
        <v>High</v>
      </c>
      <c r="F10765" s="138" t="str">
        <f t="shared" si="922"/>
        <v>Upgraded</v>
      </c>
      <c r="G10765" s="153"/>
      <c r="H10765" s="210">
        <v>9.3100000000000002E-2</v>
      </c>
      <c r="I10765" s="160" t="s">
        <v>48</v>
      </c>
      <c r="J10765" s="160">
        <v>0.13321</v>
      </c>
      <c r="K10765" s="160" t="s">
        <v>15</v>
      </c>
      <c r="L10765" s="154" t="str">
        <f>IF(OpenLCAbasic!K10765="CTUh", "Fill in Manually",IF(OR(K10765="Unit", K10765=""), "", INDEX(LookUps!$E$5:$E$12, MATCH(OpenLCAbasic!K10765,LookUps!$D$5:$D$12,0))))</f>
        <v>Cumulative Energy Demand (CED) - MJ</v>
      </c>
      <c r="M10765" s="154" t="str">
        <f t="shared" si="919"/>
        <v>High_Base_High_Upgraded_Cumulative Energy Demand (CED) - MJ_Effluent release; wastewater treatment unit; at surface water; m3 wastewater - US_Base_With Amendment_Aerated Static Pile</v>
      </c>
    </row>
    <row r="10766" spans="1:13" s="120" customFormat="1" x14ac:dyDescent="0.25">
      <c r="A10766" s="119"/>
      <c r="B10766" s="138" t="str">
        <f t="shared" si="920"/>
        <v>Aerated Static Pile</v>
      </c>
      <c r="C10766" s="138" t="str">
        <f t="shared" si="921"/>
        <v>Base_With Amendment</v>
      </c>
      <c r="D10766" s="138" t="str">
        <f t="shared" si="918"/>
        <v>Base_High</v>
      </c>
      <c r="E10766" s="138" t="str">
        <f t="shared" si="917"/>
        <v>High</v>
      </c>
      <c r="F10766" s="138" t="str">
        <f t="shared" si="922"/>
        <v>Upgraded</v>
      </c>
      <c r="G10766" s="153"/>
      <c r="H10766" s="210">
        <v>7.4399999999999994E-2</v>
      </c>
      <c r="I10766" s="160" t="s">
        <v>59</v>
      </c>
      <c r="J10766" s="160">
        <v>0.10638</v>
      </c>
      <c r="K10766" s="160" t="s">
        <v>15</v>
      </c>
      <c r="L10766" s="154" t="str">
        <f>IF(OpenLCAbasic!K10766="CTUh", "Fill in Manually",IF(OR(K10766="Unit", K10766=""), "", INDEX(LookUps!$E$5:$E$12, MATCH(OpenLCAbasic!K10766,LookUps!$D$5:$D$12,0))))</f>
        <v>Cumulative Energy Demand (CED) - MJ</v>
      </c>
      <c r="M10766" s="154" t="str">
        <f t="shared" si="919"/>
        <v>High_Base_High_Upgraded_Cumulative Energy Demand (CED) - MJ_Blend Tank; wastewater treatment unit; at updated plant - US_Base_With Amendment_Aerated Static Pile</v>
      </c>
    </row>
    <row r="10767" spans="1:13" s="120" customFormat="1" x14ac:dyDescent="0.25">
      <c r="A10767" s="119"/>
      <c r="B10767" s="138" t="str">
        <f t="shared" si="920"/>
        <v>Aerated Static Pile</v>
      </c>
      <c r="C10767" s="138" t="str">
        <f t="shared" si="921"/>
        <v>Base_With Amendment</v>
      </c>
      <c r="D10767" s="138" t="str">
        <f t="shared" si="918"/>
        <v>Base_High</v>
      </c>
      <c r="E10767" s="138" t="str">
        <f t="shared" si="917"/>
        <v>High</v>
      </c>
      <c r="F10767" s="138" t="str">
        <f t="shared" si="922"/>
        <v>Upgraded</v>
      </c>
      <c r="G10767" s="153"/>
      <c r="H10767" s="210">
        <v>3.56E-2</v>
      </c>
      <c r="I10767" s="160" t="s">
        <v>168</v>
      </c>
      <c r="J10767" s="160">
        <v>5.0930000000000003E-2</v>
      </c>
      <c r="K10767" s="160" t="s">
        <v>15</v>
      </c>
      <c r="L10767" s="154" t="str">
        <f>IF(OpenLCAbasic!K10767="CTUh", "Fill in Manually",IF(OR(K10767="Unit", K10767=""), "", INDEX(LookUps!$E$5:$E$12, MATCH(OpenLCAbasic!K10767,LookUps!$D$5:$D$12,0))))</f>
        <v>Cumulative Energy Demand (CED) - MJ</v>
      </c>
      <c r="M10767" s="154" t="str">
        <f t="shared" si="919"/>
        <v>High_Base_High_Upgraded_Cumulative Energy Demand (CED) - MJ_ClearCove SCP; wastewater treatment unit; at updated plant - US_Base_With Amendment_Aerated Static Pile</v>
      </c>
    </row>
    <row r="10768" spans="1:13" s="120" customFormat="1" x14ac:dyDescent="0.25">
      <c r="A10768" s="119"/>
      <c r="B10768" s="138" t="str">
        <f t="shared" si="920"/>
        <v>Aerated Static Pile</v>
      </c>
      <c r="C10768" s="138" t="str">
        <f t="shared" si="921"/>
        <v>Base_With Amendment</v>
      </c>
      <c r="D10768" s="138" t="str">
        <f t="shared" si="918"/>
        <v>Base_High</v>
      </c>
      <c r="E10768" s="138" t="str">
        <f t="shared" si="917"/>
        <v>High</v>
      </c>
      <c r="F10768" s="138" t="str">
        <f t="shared" si="922"/>
        <v>Upgraded</v>
      </c>
      <c r="G10768" s="153"/>
      <c r="H10768" s="210">
        <v>-0.27500000000000002</v>
      </c>
      <c r="I10768" s="160" t="s">
        <v>62</v>
      </c>
      <c r="J10768" s="160">
        <v>-0.39335999999999999</v>
      </c>
      <c r="K10768" s="160" t="s">
        <v>15</v>
      </c>
      <c r="L10768" s="154" t="str">
        <f>IF(OpenLCAbasic!K10768="CTUh", "Fill in Manually",IF(OR(K10768="Unit", K10768=""), "", INDEX(LookUps!$E$5:$E$12, MATCH(OpenLCAbasic!K10768,LookUps!$D$5:$D$12,0))))</f>
        <v>Cumulative Energy Demand (CED) - MJ</v>
      </c>
      <c r="M10768" s="154" t="str">
        <f t="shared" si="919"/>
        <v>High_Base_High_Upgraded_Cumulative Energy Demand (CED) - MJ_Land application of compost; wastewater treatment unit; at updated plant - US_Base_With Amendment_Aerated Static Pile</v>
      </c>
    </row>
    <row r="10769" spans="1:13" s="120" customFormat="1" x14ac:dyDescent="0.25">
      <c r="A10769" s="119"/>
      <c r="B10769" s="138" t="str">
        <f t="shared" si="920"/>
        <v>Aerated Static Pile</v>
      </c>
      <c r="C10769" s="138" t="str">
        <f t="shared" si="921"/>
        <v>Base_With Amendment</v>
      </c>
      <c r="D10769" s="138" t="str">
        <f t="shared" si="918"/>
        <v>Base_High</v>
      </c>
      <c r="E10769" s="138" t="str">
        <f t="shared" si="917"/>
        <v>High</v>
      </c>
      <c r="F10769" s="138" t="str">
        <f t="shared" si="922"/>
        <v>Upgraded</v>
      </c>
      <c r="G10769" s="153"/>
      <c r="H10769" s="210">
        <v>-7.9073000000000002</v>
      </c>
      <c r="I10769" s="160" t="s">
        <v>149</v>
      </c>
      <c r="J10769" s="160">
        <v>-11.31259</v>
      </c>
      <c r="K10769" s="160" t="s">
        <v>15</v>
      </c>
      <c r="L10769" s="154" t="str">
        <f>IF(OpenLCAbasic!K10769="CTUh", "Fill in Manually",IF(OR(K10769="Unit", K10769=""), "", INDEX(LookUps!$E$5:$E$12, MATCH(OpenLCAbasic!K10769,LookUps!$D$5:$D$12,0))))</f>
        <v>Cumulative Energy Demand (CED) - MJ</v>
      </c>
      <c r="M10769" s="154" t="str">
        <f t="shared" si="919"/>
        <v>High_Base_High_Upgraded_Cumulative Energy Demand (CED) - MJ_Anaerobic Digestion; wastewater treatment unit; at updated plant - US_Base_With Amendment_Aerated Static Pile</v>
      </c>
    </row>
    <row r="10770" spans="1:13" s="120" customFormat="1" x14ac:dyDescent="0.25">
      <c r="A10770" s="119"/>
      <c r="B10770" s="138" t="str">
        <f t="shared" si="920"/>
        <v/>
      </c>
      <c r="C10770" s="138" t="str">
        <f t="shared" si="921"/>
        <v/>
      </c>
      <c r="D10770" s="138" t="str">
        <f t="shared" si="918"/>
        <v/>
      </c>
      <c r="E10770" s="138" t="str">
        <f t="shared" si="917"/>
        <v/>
      </c>
      <c r="F10770" s="138" t="str">
        <f t="shared" si="922"/>
        <v/>
      </c>
      <c r="G10770" s="153" t="s">
        <v>51</v>
      </c>
      <c r="H10770" s="160"/>
      <c r="I10770" s="160" t="s">
        <v>47</v>
      </c>
      <c r="J10770" s="160" t="s">
        <v>52</v>
      </c>
      <c r="K10770" s="160" t="s">
        <v>27</v>
      </c>
      <c r="L10770" s="154" t="str">
        <f>IF(OpenLCAbasic!K10770="CTUh", "Fill in Manually",IF(OR(K10770="Unit", K10770=""), "", INDEX(LookUps!$E$5:$E$12, MATCH(OpenLCAbasic!K10770,LookUps!$D$5:$D$12,0))))</f>
        <v/>
      </c>
      <c r="M10770" s="154" t="str">
        <f t="shared" si="919"/>
        <v>____Process__</v>
      </c>
    </row>
    <row r="10771" spans="1:13" s="120" customFormat="1" x14ac:dyDescent="0.25">
      <c r="A10771" s="119"/>
      <c r="B10771" s="138" t="str">
        <f t="shared" si="920"/>
        <v>Aerated Static Pile</v>
      </c>
      <c r="C10771" s="138" t="str">
        <f t="shared" si="921"/>
        <v>Base_With Amendment</v>
      </c>
      <c r="D10771" s="138" t="str">
        <f t="shared" si="918"/>
        <v>Base_High</v>
      </c>
      <c r="E10771" s="138" t="str">
        <f t="shared" si="917"/>
        <v>High</v>
      </c>
      <c r="F10771" s="138" t="str">
        <f t="shared" si="922"/>
        <v>Upgraded</v>
      </c>
      <c r="G10771" s="153"/>
      <c r="H10771" s="210">
        <v>0.82289999999999996</v>
      </c>
      <c r="I10771" s="160" t="s">
        <v>48</v>
      </c>
      <c r="J10771" s="160">
        <v>1.1610000000000001E-2</v>
      </c>
      <c r="K10771" s="160" t="s">
        <v>13</v>
      </c>
      <c r="L10771" s="154" t="str">
        <f>IF(OpenLCAbasic!K10771="CTUh", "Fill in Manually",IF(OR(K10771="Unit", K10771=""), "", INDEX(LookUps!$E$5:$E$12, MATCH(OpenLCAbasic!K10771,LookUps!$D$5:$D$12,0))))</f>
        <v>Eutrophication Potential (EP) - kg N eq</v>
      </c>
      <c r="M10771" s="154" t="str">
        <f t="shared" si="919"/>
        <v>High_Base_High_Upgraded_Eutrophication Potential (EP) - kg N eq_Effluent release; wastewater treatment unit; at surface water; m3 wastewater - US_Base_With Amendment_Aerated Static Pile</v>
      </c>
    </row>
    <row r="10772" spans="1:13" s="120" customFormat="1" x14ac:dyDescent="0.25">
      <c r="A10772" s="119"/>
      <c r="B10772" s="138" t="str">
        <f t="shared" si="920"/>
        <v>Aerated Static Pile</v>
      </c>
      <c r="C10772" s="138" t="str">
        <f t="shared" si="921"/>
        <v>Base_With Amendment</v>
      </c>
      <c r="D10772" s="138" t="str">
        <f t="shared" si="918"/>
        <v>Base_High</v>
      </c>
      <c r="E10772" s="138" t="str">
        <f t="shared" si="917"/>
        <v>High</v>
      </c>
      <c r="F10772" s="138" t="str">
        <f t="shared" si="922"/>
        <v>Upgraded</v>
      </c>
      <c r="G10772" s="153"/>
      <c r="H10772" s="210">
        <v>0.1331</v>
      </c>
      <c r="I10772" s="160" t="s">
        <v>62</v>
      </c>
      <c r="J10772" s="160">
        <v>1.8799999999999999E-3</v>
      </c>
      <c r="K10772" s="160" t="s">
        <v>13</v>
      </c>
      <c r="L10772" s="154" t="str">
        <f>IF(OpenLCAbasic!K10772="CTUh", "Fill in Manually",IF(OR(K10772="Unit", K10772=""), "", INDEX(LookUps!$E$5:$E$12, MATCH(OpenLCAbasic!K10772,LookUps!$D$5:$D$12,0))))</f>
        <v>Eutrophication Potential (EP) - kg N eq</v>
      </c>
      <c r="M10772" s="154" t="str">
        <f t="shared" si="919"/>
        <v>High_Base_High_Upgraded_Eutrophication Potential (EP) - kg N eq_Land application of compost; wastewater treatment unit; at updated plant - US_Base_With Amendment_Aerated Static Pile</v>
      </c>
    </row>
    <row r="10773" spans="1:13" s="120" customFormat="1" x14ac:dyDescent="0.25">
      <c r="A10773" s="119"/>
      <c r="B10773" s="138" t="str">
        <f t="shared" si="920"/>
        <v>Aerated Static Pile</v>
      </c>
      <c r="C10773" s="138" t="str">
        <f t="shared" si="921"/>
        <v>Base_With Amendment</v>
      </c>
      <c r="D10773" s="138" t="str">
        <f t="shared" si="918"/>
        <v>Base_High</v>
      </c>
      <c r="E10773" s="138" t="str">
        <f t="shared" si="917"/>
        <v>High</v>
      </c>
      <c r="F10773" s="138" t="str">
        <f t="shared" si="922"/>
        <v>Upgraded</v>
      </c>
      <c r="G10773" s="153"/>
      <c r="H10773" s="210">
        <v>3.8699999999999998E-2</v>
      </c>
      <c r="I10773" s="160" t="s">
        <v>55</v>
      </c>
      <c r="J10773" s="160">
        <v>5.5000000000000003E-4</v>
      </c>
      <c r="K10773" s="160" t="s">
        <v>13</v>
      </c>
      <c r="L10773" s="154" t="str">
        <f>IF(OpenLCAbasic!K10773="CTUh", "Fill in Manually",IF(OR(K10773="Unit", K10773=""), "", INDEX(LookUps!$E$5:$E$12, MATCH(OpenLCAbasic!K10773,LookUps!$D$5:$D$12,0))))</f>
        <v>Eutrophication Potential (EP) - kg N eq</v>
      </c>
      <c r="M10773" s="154" t="str">
        <f t="shared" si="919"/>
        <v>High_Base_High_Upgraded_Eutrophication Potential (EP) - kg N eq_Aeration Tanks; wastewater treatment unit; at updated plant - US_Base_With Amendment_Aerated Static Pile</v>
      </c>
    </row>
    <row r="10774" spans="1:13" s="120" customFormat="1" x14ac:dyDescent="0.25">
      <c r="A10774" s="119"/>
      <c r="B10774" s="138" t="str">
        <f t="shared" si="920"/>
        <v>Aerated Static Pile</v>
      </c>
      <c r="C10774" s="138" t="str">
        <f t="shared" si="921"/>
        <v>Base_With Amendment</v>
      </c>
      <c r="D10774" s="138" t="str">
        <f t="shared" si="918"/>
        <v>Base_High</v>
      </c>
      <c r="E10774" s="138" t="str">
        <f t="shared" si="917"/>
        <v>High</v>
      </c>
      <c r="F10774" s="138" t="str">
        <f t="shared" si="922"/>
        <v>Upgraded</v>
      </c>
      <c r="G10774" s="153"/>
      <c r="H10774" s="210">
        <v>1.77E-2</v>
      </c>
      <c r="I10774" s="160" t="s">
        <v>147</v>
      </c>
      <c r="J10774" s="160">
        <v>2.5000000000000001E-4</v>
      </c>
      <c r="K10774" s="160" t="s">
        <v>13</v>
      </c>
      <c r="L10774" s="154" t="str">
        <f>IF(OpenLCAbasic!K10774="CTUh", "Fill in Manually",IF(OR(K10774="Unit", K10774=""), "", INDEX(LookUps!$E$5:$E$12, MATCH(OpenLCAbasic!K10774,LookUps!$D$5:$D$12,0))))</f>
        <v>Eutrophication Potential (EP) - kg N eq</v>
      </c>
      <c r="M10774" s="154" t="str">
        <f t="shared" si="919"/>
        <v>High_Base_High_Upgraded_Eutrophication Potential (EP) - kg N eq_Influent Pump Station; wastewater treatment unit; at updated plant - US_Base_With Amendment_Aerated Static Pile</v>
      </c>
    </row>
    <row r="10775" spans="1:13" s="120" customFormat="1" x14ac:dyDescent="0.25">
      <c r="A10775" s="119"/>
      <c r="B10775" s="138" t="str">
        <f t="shared" si="920"/>
        <v>Aerated Static Pile</v>
      </c>
      <c r="C10775" s="138" t="str">
        <f t="shared" si="921"/>
        <v>Base_With Amendment</v>
      </c>
      <c r="D10775" s="138" t="str">
        <f t="shared" si="918"/>
        <v>Base_High</v>
      </c>
      <c r="E10775" s="138" t="str">
        <f t="shared" si="917"/>
        <v>High</v>
      </c>
      <c r="F10775" s="138" t="str">
        <f t="shared" si="922"/>
        <v>Upgraded</v>
      </c>
      <c r="G10775" s="153"/>
      <c r="H10775" s="210">
        <v>1.4800000000000001E-2</v>
      </c>
      <c r="I10775" s="160" t="s">
        <v>435</v>
      </c>
      <c r="J10775" s="160">
        <v>2.1000000000000001E-4</v>
      </c>
      <c r="K10775" s="160" t="s">
        <v>13</v>
      </c>
      <c r="L10775" s="154" t="str">
        <f>IF(OpenLCAbasic!K10775="CTUh", "Fill in Manually",IF(OR(K10775="Unit", K10775=""), "", INDEX(LookUps!$E$5:$E$12, MATCH(OpenLCAbasic!K10775,LookUps!$D$5:$D$12,0))))</f>
        <v>Eutrophication Potential (EP) - kg N eq</v>
      </c>
      <c r="M10775" s="154" t="str">
        <f t="shared" si="919"/>
        <v>High_Base_High_Upgraded_Eutrophication Potential (EP) - kg N eq_Biosolids composting; aerated static pile; wastewater treatment unit; at updated plant - US_Base_With Amendment_Aerated Static Pile</v>
      </c>
    </row>
    <row r="10776" spans="1:13" s="120" customFormat="1" x14ac:dyDescent="0.25">
      <c r="A10776" s="119"/>
      <c r="B10776" s="138" t="str">
        <f t="shared" si="920"/>
        <v>Aerated Static Pile</v>
      </c>
      <c r="C10776" s="138" t="str">
        <f t="shared" si="921"/>
        <v>Base_With Amendment</v>
      </c>
      <c r="D10776" s="138" t="str">
        <f t="shared" si="918"/>
        <v>Base_High</v>
      </c>
      <c r="E10776" s="138" t="str">
        <f t="shared" si="917"/>
        <v>High</v>
      </c>
      <c r="F10776" s="138" t="str">
        <f t="shared" si="922"/>
        <v>Upgraded</v>
      </c>
      <c r="G10776" s="153"/>
      <c r="H10776" s="210">
        <v>1.4E-2</v>
      </c>
      <c r="I10776" s="160" t="s">
        <v>54</v>
      </c>
      <c r="J10776" s="160">
        <v>2.0000000000000001E-4</v>
      </c>
      <c r="K10776" s="160" t="s">
        <v>13</v>
      </c>
      <c r="L10776" s="154" t="str">
        <f>IF(OpenLCAbasic!K10776="CTUh", "Fill in Manually",IF(OR(K10776="Unit", K10776=""), "", INDEX(LookUps!$E$5:$E$12, MATCH(OpenLCAbasic!K10776,LookUps!$D$5:$D$12,0))))</f>
        <v>Eutrophication Potential (EP) - kg N eq</v>
      </c>
      <c r="M10776" s="154" t="str">
        <f t="shared" si="919"/>
        <v>High_Base_High_Upgraded_Eutrophication Potential (EP) - kg N eq_Clear Cove Primary Clarification; wastewater treatment unit; at updated plant - US_Base_With Amendment_Aerated Static Pile</v>
      </c>
    </row>
    <row r="10777" spans="1:13" s="120" customFormat="1" x14ac:dyDescent="0.25">
      <c r="A10777" s="119"/>
      <c r="B10777" s="138" t="str">
        <f t="shared" si="920"/>
        <v>Aerated Static Pile</v>
      </c>
      <c r="C10777" s="138" t="str">
        <f t="shared" si="921"/>
        <v>Base_With Amendment</v>
      </c>
      <c r="D10777" s="138" t="str">
        <f t="shared" si="918"/>
        <v>Base_High</v>
      </c>
      <c r="E10777" s="138" t="str">
        <f t="shared" si="917"/>
        <v>High</v>
      </c>
      <c r="F10777" s="138" t="str">
        <f t="shared" si="922"/>
        <v>Upgraded</v>
      </c>
      <c r="G10777" s="153"/>
      <c r="H10777" s="210">
        <v>1.1599999999999999E-2</v>
      </c>
      <c r="I10777" s="160" t="s">
        <v>167</v>
      </c>
      <c r="J10777" s="160">
        <v>1.6000000000000001E-4</v>
      </c>
      <c r="K10777" s="160" t="s">
        <v>13</v>
      </c>
      <c r="L10777" s="154" t="str">
        <f>IF(OpenLCAbasic!K10777="CTUh", "Fill in Manually",IF(OR(K10777="Unit", K10777=""), "", INDEX(LookUps!$E$5:$E$12, MATCH(OpenLCAbasic!K10777,LookUps!$D$5:$D$12,0))))</f>
        <v>Eutrophication Potential (EP) - kg N eq</v>
      </c>
      <c r="M10777" s="154" t="str">
        <f t="shared" si="919"/>
        <v>High_Base_High_Upgraded_Eutrophication Potential (EP) - kg N eq_Waste Receiving and Holding; wastewater treatment unit; at updated plant - US_Base_With Amendment_Aerated Static Pile</v>
      </c>
    </row>
    <row r="10778" spans="1:13" s="120" customFormat="1" x14ac:dyDescent="0.25">
      <c r="A10778" s="119"/>
      <c r="B10778" s="138" t="str">
        <f t="shared" si="920"/>
        <v>Aerated Static Pile</v>
      </c>
      <c r="C10778" s="138" t="str">
        <f t="shared" si="921"/>
        <v>Base_With Amendment</v>
      </c>
      <c r="D10778" s="138" t="str">
        <f t="shared" si="918"/>
        <v>Base_High</v>
      </c>
      <c r="E10778" s="138" t="str">
        <f t="shared" si="917"/>
        <v>High</v>
      </c>
      <c r="F10778" s="138" t="str">
        <f t="shared" si="922"/>
        <v>Upgraded</v>
      </c>
      <c r="G10778" s="153"/>
      <c r="H10778" s="210">
        <v>9.5999999999999992E-3</v>
      </c>
      <c r="I10778" s="160" t="s">
        <v>58</v>
      </c>
      <c r="J10778" s="160">
        <v>1.3999999999999999E-4</v>
      </c>
      <c r="K10778" s="160" t="s">
        <v>13</v>
      </c>
      <c r="L10778" s="154" t="str">
        <f>IF(OpenLCAbasic!K10778="CTUh", "Fill in Manually",IF(OR(K10778="Unit", K10778=""), "", INDEX(LookUps!$E$5:$E$12, MATCH(OpenLCAbasic!K10778,LookUps!$D$5:$D$12,0))))</f>
        <v>Eutrophication Potential (EP) - kg N eq</v>
      </c>
      <c r="M10778" s="154" t="str">
        <f t="shared" si="919"/>
        <v>High_Base_High_Upgraded_Eutrophication Potential (EP) - kg N eq_Pre-Anoxic &amp; Swing tank; wastewater treatment unit; at updated plant - US_Base_With Amendment_Aerated Static Pile</v>
      </c>
    </row>
    <row r="10779" spans="1:13" s="120" customFormat="1" x14ac:dyDescent="0.25">
      <c r="A10779" s="119"/>
      <c r="B10779" s="138" t="str">
        <f t="shared" si="920"/>
        <v>Aerated Static Pile</v>
      </c>
      <c r="C10779" s="138" t="str">
        <f t="shared" si="921"/>
        <v>Base_With Amendment</v>
      </c>
      <c r="D10779" s="138" t="str">
        <f t="shared" si="918"/>
        <v>Base_High</v>
      </c>
      <c r="E10779" s="138" t="str">
        <f t="shared" si="917"/>
        <v>High</v>
      </c>
      <c r="F10779" s="138" t="str">
        <f t="shared" si="922"/>
        <v>Upgraded</v>
      </c>
      <c r="G10779" s="153"/>
      <c r="H10779" s="210">
        <v>7.6E-3</v>
      </c>
      <c r="I10779" s="160" t="s">
        <v>53</v>
      </c>
      <c r="J10779" s="160">
        <v>1.1E-4</v>
      </c>
      <c r="K10779" s="160" t="s">
        <v>13</v>
      </c>
      <c r="L10779" s="154" t="str">
        <f>IF(OpenLCAbasic!K10779="CTUh", "Fill in Manually",IF(OR(K10779="Unit", K10779=""), "", INDEX(LookUps!$E$5:$E$12, MATCH(OpenLCAbasic!K10779,LookUps!$D$5:$D$12,0))))</f>
        <v>Eutrophication Potential (EP) - kg N eq</v>
      </c>
      <c r="M10779" s="154" t="str">
        <f t="shared" si="919"/>
        <v>High_Base_High_Upgraded_Eutrophication Potential (EP) - kg N eq_Wet Well and Sump Station; wastewater treatment unit; at updated plant - US_Base_With Amendment_Aerated Static Pile</v>
      </c>
    </row>
    <row r="10780" spans="1:13" s="120" customFormat="1" x14ac:dyDescent="0.25">
      <c r="A10780" s="119"/>
      <c r="B10780" s="138" t="str">
        <f t="shared" si="920"/>
        <v>Aerated Static Pile</v>
      </c>
      <c r="C10780" s="138" t="str">
        <f t="shared" si="921"/>
        <v>Base_With Amendment</v>
      </c>
      <c r="D10780" s="138" t="str">
        <f t="shared" si="918"/>
        <v>Base_High</v>
      </c>
      <c r="E10780" s="138" t="str">
        <f t="shared" si="917"/>
        <v>High</v>
      </c>
      <c r="F10780" s="138" t="str">
        <f t="shared" si="922"/>
        <v>Upgraded</v>
      </c>
      <c r="G10780" s="153"/>
      <c r="H10780" s="210">
        <v>4.3E-3</v>
      </c>
      <c r="I10780" s="160" t="s">
        <v>57</v>
      </c>
      <c r="J10780" s="211">
        <v>6.0590300000000002E-5</v>
      </c>
      <c r="K10780" s="160" t="s">
        <v>13</v>
      </c>
      <c r="L10780" s="154" t="str">
        <f>IF(OpenLCAbasic!K10780="CTUh", "Fill in Manually",IF(OR(K10780="Unit", K10780=""), "", INDEX(LookUps!$E$5:$E$12, MATCH(OpenLCAbasic!K10780,LookUps!$D$5:$D$12,0))))</f>
        <v>Eutrophication Potential (EP) - kg N eq</v>
      </c>
      <c r="M10780" s="154" t="str">
        <f t="shared" si="919"/>
        <v>High_Base_High_Upgraded_Eutrophication Potential (EP) - kg N eq_Gravity Belt Thickener; wastewater treatment unit; at updated plant - US_Base_With Amendment_Aerated Static Pile</v>
      </c>
    </row>
    <row r="10781" spans="1:13" s="120" customFormat="1" x14ac:dyDescent="0.25">
      <c r="A10781" s="119"/>
      <c r="B10781" s="138" t="str">
        <f t="shared" si="920"/>
        <v>Aerated Static Pile</v>
      </c>
      <c r="C10781" s="138" t="str">
        <f t="shared" si="921"/>
        <v>Base_With Amendment</v>
      </c>
      <c r="D10781" s="138" t="str">
        <f t="shared" si="918"/>
        <v>Base_High</v>
      </c>
      <c r="E10781" s="138" t="str">
        <f t="shared" si="917"/>
        <v>High</v>
      </c>
      <c r="F10781" s="138" t="str">
        <f t="shared" si="922"/>
        <v>Upgraded</v>
      </c>
      <c r="G10781" s="153"/>
      <c r="H10781" s="210">
        <v>3.5000000000000001E-3</v>
      </c>
      <c r="I10781" s="160" t="s">
        <v>60</v>
      </c>
      <c r="J10781" s="211">
        <v>4.8791500000000002E-5</v>
      </c>
      <c r="K10781" s="160" t="s">
        <v>13</v>
      </c>
      <c r="L10781" s="154" t="str">
        <f>IF(OpenLCAbasic!K10781="CTUh", "Fill in Manually",IF(OR(K10781="Unit", K10781=""), "", INDEX(LookUps!$E$5:$E$12, MATCH(OpenLCAbasic!K10781,LookUps!$D$5:$D$12,0))))</f>
        <v>Eutrophication Potential (EP) - kg N eq</v>
      </c>
      <c r="M10781" s="154" t="str">
        <f t="shared" si="919"/>
        <v>High_Base_High_Upgraded_Eutrophication Potential (EP) - kg N eq_Belt filter press; wastewater treatment unit; at updated plant - US_Base_With Amendment_Aerated Static Pile</v>
      </c>
    </row>
    <row r="10782" spans="1:13" s="120" customFormat="1" x14ac:dyDescent="0.25">
      <c r="A10782" s="119"/>
      <c r="B10782" s="138" t="str">
        <f t="shared" si="920"/>
        <v>Aerated Static Pile</v>
      </c>
      <c r="C10782" s="138" t="str">
        <f t="shared" si="921"/>
        <v>Base_With Amendment</v>
      </c>
      <c r="D10782" s="138" t="str">
        <f t="shared" si="918"/>
        <v>Base_High</v>
      </c>
      <c r="E10782" s="138" t="str">
        <f t="shared" si="917"/>
        <v>High</v>
      </c>
      <c r="F10782" s="138" t="str">
        <f t="shared" si="922"/>
        <v>Upgraded</v>
      </c>
      <c r="G10782" s="153"/>
      <c r="H10782" s="210">
        <v>2.7000000000000001E-3</v>
      </c>
      <c r="I10782" s="160" t="s">
        <v>128</v>
      </c>
      <c r="J10782" s="211">
        <v>3.7559799999999999E-5</v>
      </c>
      <c r="K10782" s="160" t="s">
        <v>13</v>
      </c>
      <c r="L10782" s="154" t="str">
        <f>IF(OpenLCAbasic!K10782="CTUh", "Fill in Manually",IF(OR(K10782="Unit", K10782=""), "", INDEX(LookUps!$E$5:$E$12, MATCH(OpenLCAbasic!K10782,LookUps!$D$5:$D$12,0))))</f>
        <v>Eutrophication Potential (EP) - kg N eq</v>
      </c>
      <c r="M10782" s="154" t="str">
        <f t="shared" si="919"/>
        <v>High_Base_High_Upgraded_Eutrophication Potential (EP) - kg N eq_Wastewater collection; operation and infrastructure; m3 wastewater_Base_With Amendment_Aerated Static Pile</v>
      </c>
    </row>
    <row r="10783" spans="1:13" s="120" customFormat="1" x14ac:dyDescent="0.25">
      <c r="A10783" s="119"/>
      <c r="B10783" s="138" t="str">
        <f t="shared" si="920"/>
        <v>Aerated Static Pile</v>
      </c>
      <c r="C10783" s="138" t="str">
        <f t="shared" si="921"/>
        <v>Base_With Amendment</v>
      </c>
      <c r="D10783" s="138" t="str">
        <f t="shared" si="918"/>
        <v>Base_High</v>
      </c>
      <c r="E10783" s="138" t="str">
        <f t="shared" si="917"/>
        <v>High</v>
      </c>
      <c r="F10783" s="138" t="str">
        <f t="shared" si="922"/>
        <v>Upgraded</v>
      </c>
      <c r="G10783" s="153"/>
      <c r="H10783" s="210">
        <v>2.5999999999999999E-3</v>
      </c>
      <c r="I10783" s="160" t="s">
        <v>148</v>
      </c>
      <c r="J10783" s="211">
        <v>3.6874600000000001E-5</v>
      </c>
      <c r="K10783" s="160" t="s">
        <v>13</v>
      </c>
      <c r="L10783" s="154" t="str">
        <f>IF(OpenLCAbasic!K10783="CTUh", "Fill in Manually",IF(OR(K10783="Unit", K10783=""), "", INDEX(LookUps!$E$5:$E$12, MATCH(OpenLCAbasic!K10783,LookUps!$D$5:$D$12,0))))</f>
        <v>Eutrophication Potential (EP) - kg N eq</v>
      </c>
      <c r="M10783" s="154" t="str">
        <f t="shared" si="919"/>
        <v>High_Base_High_Upgraded_Eutrophication Potential (EP) - kg N eq_Control Building; at upgraded wastewater treatment plant - US_Base_With Amendment_Aerated Static Pile</v>
      </c>
    </row>
    <row r="10784" spans="1:13" s="120" customFormat="1" x14ac:dyDescent="0.25">
      <c r="A10784" s="119"/>
      <c r="B10784" s="138" t="str">
        <f t="shared" si="920"/>
        <v>Aerated Static Pile</v>
      </c>
      <c r="C10784" s="138" t="str">
        <f t="shared" si="921"/>
        <v>Base_With Amendment</v>
      </c>
      <c r="D10784" s="138" t="str">
        <f t="shared" si="918"/>
        <v>Base_High</v>
      </c>
      <c r="E10784" s="138" t="str">
        <f t="shared" si="917"/>
        <v>High</v>
      </c>
      <c r="F10784" s="138" t="str">
        <f t="shared" si="922"/>
        <v>Upgraded</v>
      </c>
      <c r="G10784" s="153"/>
      <c r="H10784" s="210">
        <v>1.1000000000000001E-3</v>
      </c>
      <c r="I10784" s="160" t="s">
        <v>59</v>
      </c>
      <c r="J10784" s="211">
        <v>1.6215700000000001E-5</v>
      </c>
      <c r="K10784" s="160" t="s">
        <v>13</v>
      </c>
      <c r="L10784" s="154" t="str">
        <f>IF(OpenLCAbasic!K10784="CTUh", "Fill in Manually",IF(OR(K10784="Unit", K10784=""), "", INDEX(LookUps!$E$5:$E$12, MATCH(OpenLCAbasic!K10784,LookUps!$D$5:$D$12,0))))</f>
        <v>Eutrophication Potential (EP) - kg N eq</v>
      </c>
      <c r="M10784" s="154" t="str">
        <f t="shared" si="919"/>
        <v>High_Base_High_Upgraded_Eutrophication Potential (EP) - kg N eq_Blend Tank; wastewater treatment unit; at updated plant - US_Base_With Amendment_Aerated Static Pile</v>
      </c>
    </row>
    <row r="10785" spans="1:13" s="120" customFormat="1" x14ac:dyDescent="0.25">
      <c r="A10785" s="119"/>
      <c r="B10785" s="138" t="str">
        <f t="shared" si="920"/>
        <v>Aerated Static Pile</v>
      </c>
      <c r="C10785" s="138" t="str">
        <f t="shared" si="921"/>
        <v>Base_With Amendment</v>
      </c>
      <c r="D10785" s="138" t="str">
        <f t="shared" si="918"/>
        <v>Base_High</v>
      </c>
      <c r="E10785" s="138" t="str">
        <f t="shared" si="917"/>
        <v>High</v>
      </c>
      <c r="F10785" s="138" t="str">
        <f t="shared" si="922"/>
        <v>Upgraded</v>
      </c>
      <c r="G10785" s="153"/>
      <c r="H10785" s="210">
        <v>5.0000000000000001E-4</v>
      </c>
      <c r="I10785" s="160" t="s">
        <v>168</v>
      </c>
      <c r="J10785" s="211">
        <v>7.7567199999999995E-6</v>
      </c>
      <c r="K10785" s="160" t="s">
        <v>13</v>
      </c>
      <c r="L10785" s="154" t="str">
        <f>IF(OpenLCAbasic!K10785="CTUh", "Fill in Manually",IF(OR(K10785="Unit", K10785=""), "", INDEX(LookUps!$E$5:$E$12, MATCH(OpenLCAbasic!K10785,LookUps!$D$5:$D$12,0))))</f>
        <v>Eutrophication Potential (EP) - kg N eq</v>
      </c>
      <c r="M10785" s="154" t="str">
        <f t="shared" si="919"/>
        <v>High_Base_High_Upgraded_Eutrophication Potential (EP) - kg N eq_ClearCove SCP; wastewater treatment unit; at updated plant - US_Base_With Amendment_Aerated Static Pile</v>
      </c>
    </row>
    <row r="10786" spans="1:13" s="120" customFormat="1" x14ac:dyDescent="0.25">
      <c r="A10786" s="119"/>
      <c r="B10786" s="138" t="str">
        <f t="shared" si="920"/>
        <v>Aerated Static Pile</v>
      </c>
      <c r="C10786" s="138" t="str">
        <f t="shared" si="921"/>
        <v>Base_With Amendment</v>
      </c>
      <c r="D10786" s="138" t="str">
        <f t="shared" si="918"/>
        <v>Base_High</v>
      </c>
      <c r="E10786" s="138" t="str">
        <f t="shared" si="917"/>
        <v>High</v>
      </c>
      <c r="F10786" s="138" t="str">
        <f t="shared" si="922"/>
        <v>Upgraded</v>
      </c>
      <c r="G10786" s="153"/>
      <c r="H10786" s="210">
        <v>-8.48E-2</v>
      </c>
      <c r="I10786" s="160" t="s">
        <v>149</v>
      </c>
      <c r="J10786" s="160">
        <v>-1.1999999999999999E-3</v>
      </c>
      <c r="K10786" s="160" t="s">
        <v>13</v>
      </c>
      <c r="L10786" s="154" t="str">
        <f>IF(OpenLCAbasic!K10786="CTUh", "Fill in Manually",IF(OR(K10786="Unit", K10786=""), "", INDEX(LookUps!$E$5:$E$12, MATCH(OpenLCAbasic!K10786,LookUps!$D$5:$D$12,0))))</f>
        <v>Eutrophication Potential (EP) - kg N eq</v>
      </c>
      <c r="M10786" s="154" t="str">
        <f t="shared" si="919"/>
        <v>High_Base_High_Upgraded_Eutrophication Potential (EP) - kg N eq_Anaerobic Digestion; wastewater treatment unit; at updated plant - US_Base_With Amendment_Aerated Static Pile</v>
      </c>
    </row>
    <row r="10787" spans="1:13" s="120" customFormat="1" x14ac:dyDescent="0.25">
      <c r="A10787" s="119"/>
      <c r="B10787" s="138" t="str">
        <f t="shared" si="920"/>
        <v/>
      </c>
      <c r="C10787" s="138" t="str">
        <f t="shared" si="921"/>
        <v/>
      </c>
      <c r="D10787" s="138" t="str">
        <f t="shared" si="918"/>
        <v/>
      </c>
      <c r="E10787" s="138" t="str">
        <f t="shared" si="917"/>
        <v/>
      </c>
      <c r="F10787" s="138" t="str">
        <f t="shared" si="922"/>
        <v/>
      </c>
      <c r="G10787" s="153" t="s">
        <v>51</v>
      </c>
      <c r="H10787" s="160"/>
      <c r="I10787" s="160" t="s">
        <v>47</v>
      </c>
      <c r="J10787" s="160" t="s">
        <v>52</v>
      </c>
      <c r="K10787" s="160" t="s">
        <v>27</v>
      </c>
      <c r="L10787" s="154" t="str">
        <f>IF(OpenLCAbasic!K10787="CTUh", "Fill in Manually",IF(OR(K10787="Unit", K10787=""), "", INDEX(LookUps!$E$5:$E$12, MATCH(OpenLCAbasic!K10787,LookUps!$D$5:$D$12,0))))</f>
        <v/>
      </c>
      <c r="M10787" s="154" t="str">
        <f t="shared" si="919"/>
        <v>____Process__</v>
      </c>
    </row>
    <row r="10788" spans="1:13" s="120" customFormat="1" x14ac:dyDescent="0.25">
      <c r="A10788" s="119"/>
      <c r="B10788" s="138" t="str">
        <f t="shared" si="920"/>
        <v>Aerated Static Pile</v>
      </c>
      <c r="C10788" s="138" t="str">
        <f t="shared" si="921"/>
        <v>Base_With Amendment</v>
      </c>
      <c r="D10788" s="138" t="str">
        <f t="shared" si="918"/>
        <v>Base_High</v>
      </c>
      <c r="E10788" s="138" t="str">
        <f t="shared" si="917"/>
        <v>High</v>
      </c>
      <c r="F10788" s="138" t="str">
        <f t="shared" si="922"/>
        <v>Upgraded</v>
      </c>
      <c r="G10788" s="153"/>
      <c r="H10788" s="210">
        <v>3.2378999999999998</v>
      </c>
      <c r="I10788" s="160" t="s">
        <v>167</v>
      </c>
      <c r="J10788" s="160">
        <v>7.9170000000000004E-2</v>
      </c>
      <c r="K10788" s="160" t="s">
        <v>14</v>
      </c>
      <c r="L10788" s="154" t="str">
        <f>IF(OpenLCAbasic!K10788="CTUh", "Fill in Manually",IF(OR(K10788="Unit", K10788=""), "", INDEX(LookUps!$E$5:$E$12, MATCH(OpenLCAbasic!K10788,LookUps!$D$5:$D$12,0))))</f>
        <v>Fossil Depletion Potential (FDP) - kg oil eq</v>
      </c>
      <c r="M10788" s="154" t="str">
        <f t="shared" si="919"/>
        <v>High_Base_High_Upgraded_Fossil Depletion Potential (FDP) - kg oil eq_Waste Receiving and Holding; wastewater treatment unit; at updated plant - US_Base_With Amendment_Aerated Static Pile</v>
      </c>
    </row>
    <row r="10789" spans="1:13" s="120" customFormat="1" x14ac:dyDescent="0.25">
      <c r="A10789" s="119"/>
      <c r="B10789" s="138" t="str">
        <f t="shared" si="920"/>
        <v>Aerated Static Pile</v>
      </c>
      <c r="C10789" s="138" t="str">
        <f t="shared" si="921"/>
        <v>Base_With Amendment</v>
      </c>
      <c r="D10789" s="138" t="str">
        <f t="shared" si="918"/>
        <v>Base_High</v>
      </c>
      <c r="E10789" s="138" t="str">
        <f t="shared" si="917"/>
        <v>High</v>
      </c>
      <c r="F10789" s="138" t="str">
        <f t="shared" si="922"/>
        <v>Upgraded</v>
      </c>
      <c r="G10789" s="153"/>
      <c r="H10789" s="210">
        <v>2.6006999999999998</v>
      </c>
      <c r="I10789" s="160" t="s">
        <v>55</v>
      </c>
      <c r="J10789" s="160">
        <v>6.3589999999999994E-2</v>
      </c>
      <c r="K10789" s="160" t="s">
        <v>14</v>
      </c>
      <c r="L10789" s="154" t="str">
        <f>IF(OpenLCAbasic!K10789="CTUh", "Fill in Manually",IF(OR(K10789="Unit", K10789=""), "", INDEX(LookUps!$E$5:$E$12, MATCH(OpenLCAbasic!K10789,LookUps!$D$5:$D$12,0))))</f>
        <v>Fossil Depletion Potential (FDP) - kg oil eq</v>
      </c>
      <c r="M10789" s="154" t="str">
        <f t="shared" si="919"/>
        <v>High_Base_High_Upgraded_Fossil Depletion Potential (FDP) - kg oil eq_Aeration Tanks; wastewater treatment unit; at updated plant - US_Base_With Amendment_Aerated Static Pile</v>
      </c>
    </row>
    <row r="10790" spans="1:13" s="120" customFormat="1" x14ac:dyDescent="0.25">
      <c r="A10790" s="119"/>
      <c r="B10790" s="138" t="str">
        <f t="shared" si="920"/>
        <v>Aerated Static Pile</v>
      </c>
      <c r="C10790" s="138" t="str">
        <f t="shared" si="921"/>
        <v>Base_With Amendment</v>
      </c>
      <c r="D10790" s="138" t="str">
        <f t="shared" si="918"/>
        <v>Base_High</v>
      </c>
      <c r="E10790" s="138" t="str">
        <f t="shared" si="917"/>
        <v>High</v>
      </c>
      <c r="F10790" s="138" t="str">
        <f t="shared" si="922"/>
        <v>Upgraded</v>
      </c>
      <c r="G10790" s="153"/>
      <c r="H10790" s="210">
        <v>0.86560000000000004</v>
      </c>
      <c r="I10790" s="160" t="s">
        <v>435</v>
      </c>
      <c r="J10790" s="160">
        <v>2.1160000000000002E-2</v>
      </c>
      <c r="K10790" s="160" t="s">
        <v>14</v>
      </c>
      <c r="L10790" s="154" t="str">
        <f>IF(OpenLCAbasic!K10790="CTUh", "Fill in Manually",IF(OR(K10790="Unit", K10790=""), "", INDEX(LookUps!$E$5:$E$12, MATCH(OpenLCAbasic!K10790,LookUps!$D$5:$D$12,0))))</f>
        <v>Fossil Depletion Potential (FDP) - kg oil eq</v>
      </c>
      <c r="M10790" s="154" t="str">
        <f t="shared" si="919"/>
        <v>High_Base_High_Upgraded_Fossil Depletion Potential (FDP) - kg oil eq_Biosolids composting; aerated static pile; wastewater treatment unit; at updated plant - US_Base_With Amendment_Aerated Static Pile</v>
      </c>
    </row>
    <row r="10791" spans="1:13" s="120" customFormat="1" x14ac:dyDescent="0.25">
      <c r="A10791" s="119"/>
      <c r="B10791" s="138" t="str">
        <f t="shared" si="920"/>
        <v>Aerated Static Pile</v>
      </c>
      <c r="C10791" s="138" t="str">
        <f t="shared" si="921"/>
        <v>Base_With Amendment</v>
      </c>
      <c r="D10791" s="138" t="str">
        <f t="shared" si="918"/>
        <v>Base_High</v>
      </c>
      <c r="E10791" s="138" t="str">
        <f t="shared" si="917"/>
        <v>High</v>
      </c>
      <c r="F10791" s="138" t="str">
        <f t="shared" si="922"/>
        <v>Upgraded</v>
      </c>
      <c r="G10791" s="153"/>
      <c r="H10791" s="210">
        <v>0.8609</v>
      </c>
      <c r="I10791" s="160" t="s">
        <v>54</v>
      </c>
      <c r="J10791" s="160">
        <v>2.1049999999999999E-2</v>
      </c>
      <c r="K10791" s="160" t="s">
        <v>14</v>
      </c>
      <c r="L10791" s="154" t="str">
        <f>IF(OpenLCAbasic!K10791="CTUh", "Fill in Manually",IF(OR(K10791="Unit", K10791=""), "", INDEX(LookUps!$E$5:$E$12, MATCH(OpenLCAbasic!K10791,LookUps!$D$5:$D$12,0))))</f>
        <v>Fossil Depletion Potential (FDP) - kg oil eq</v>
      </c>
      <c r="M10791" s="154" t="str">
        <f t="shared" si="919"/>
        <v>High_Base_High_Upgraded_Fossil Depletion Potential (FDP) - kg oil eq_Clear Cove Primary Clarification; wastewater treatment unit; at updated plant - US_Base_With Amendment_Aerated Static Pile</v>
      </c>
    </row>
    <row r="10792" spans="1:13" s="120" customFormat="1" x14ac:dyDescent="0.25">
      <c r="A10792" s="119"/>
      <c r="B10792" s="138" t="str">
        <f t="shared" si="920"/>
        <v>Aerated Static Pile</v>
      </c>
      <c r="C10792" s="138" t="str">
        <f t="shared" si="921"/>
        <v>Base_With Amendment</v>
      </c>
      <c r="D10792" s="138" t="str">
        <f t="shared" si="918"/>
        <v>Base_High</v>
      </c>
      <c r="E10792" s="138" t="str">
        <f t="shared" si="917"/>
        <v>High</v>
      </c>
      <c r="F10792" s="138" t="str">
        <f t="shared" si="922"/>
        <v>Upgraded</v>
      </c>
      <c r="G10792" s="153"/>
      <c r="H10792" s="210">
        <v>0.65129999999999999</v>
      </c>
      <c r="I10792" s="160" t="s">
        <v>58</v>
      </c>
      <c r="J10792" s="160">
        <v>1.592E-2</v>
      </c>
      <c r="K10792" s="160" t="s">
        <v>14</v>
      </c>
      <c r="L10792" s="154" t="str">
        <f>IF(OpenLCAbasic!K10792="CTUh", "Fill in Manually",IF(OR(K10792="Unit", K10792=""), "", INDEX(LookUps!$E$5:$E$12, MATCH(OpenLCAbasic!K10792,LookUps!$D$5:$D$12,0))))</f>
        <v>Fossil Depletion Potential (FDP) - kg oil eq</v>
      </c>
      <c r="M10792" s="154" t="str">
        <f t="shared" si="919"/>
        <v>High_Base_High_Upgraded_Fossil Depletion Potential (FDP) - kg oil eq_Pre-Anoxic &amp; Swing tank; wastewater treatment unit; at updated plant - US_Base_With Amendment_Aerated Static Pile</v>
      </c>
    </row>
    <row r="10793" spans="1:13" s="120" customFormat="1" x14ac:dyDescent="0.25">
      <c r="A10793" s="119"/>
      <c r="B10793" s="138" t="str">
        <f t="shared" si="920"/>
        <v>Aerated Static Pile</v>
      </c>
      <c r="C10793" s="138" t="str">
        <f t="shared" si="921"/>
        <v>Base_With Amendment</v>
      </c>
      <c r="D10793" s="138" t="str">
        <f t="shared" si="918"/>
        <v>Base_High</v>
      </c>
      <c r="E10793" s="138" t="str">
        <f t="shared" ref="E10793:E10856" si="923">IF(ISNUMBER($J10793),"High","")</f>
        <v>High</v>
      </c>
      <c r="F10793" s="138" t="str">
        <f t="shared" si="922"/>
        <v>Upgraded</v>
      </c>
      <c r="G10793" s="153"/>
      <c r="H10793" s="210">
        <v>0.61709999999999998</v>
      </c>
      <c r="I10793" s="160" t="s">
        <v>147</v>
      </c>
      <c r="J10793" s="160">
        <v>1.5089999999999999E-2</v>
      </c>
      <c r="K10793" s="160" t="s">
        <v>14</v>
      </c>
      <c r="L10793" s="154" t="str">
        <f>IF(OpenLCAbasic!K10793="CTUh", "Fill in Manually",IF(OR(K10793="Unit", K10793=""), "", INDEX(LookUps!$E$5:$E$12, MATCH(OpenLCAbasic!K10793,LookUps!$D$5:$D$12,0))))</f>
        <v>Fossil Depletion Potential (FDP) - kg oil eq</v>
      </c>
      <c r="M10793" s="154" t="str">
        <f t="shared" si="919"/>
        <v>High_Base_High_Upgraded_Fossil Depletion Potential (FDP) - kg oil eq_Influent Pump Station; wastewater treatment unit; at updated plant - US_Base_With Amendment_Aerated Static Pile</v>
      </c>
    </row>
    <row r="10794" spans="1:13" s="120" customFormat="1" x14ac:dyDescent="0.25">
      <c r="A10794" s="119"/>
      <c r="B10794" s="138" t="str">
        <f t="shared" si="920"/>
        <v>Aerated Static Pile</v>
      </c>
      <c r="C10794" s="138" t="str">
        <f t="shared" si="921"/>
        <v>Base_With Amendment</v>
      </c>
      <c r="D10794" s="138" t="str">
        <f t="shared" si="918"/>
        <v>Base_High</v>
      </c>
      <c r="E10794" s="138" t="str">
        <f t="shared" si="923"/>
        <v>High</v>
      </c>
      <c r="F10794" s="138" t="str">
        <f t="shared" si="922"/>
        <v>Upgraded</v>
      </c>
      <c r="G10794" s="153"/>
      <c r="H10794" s="210">
        <v>0.51080000000000003</v>
      </c>
      <c r="I10794" s="160" t="s">
        <v>53</v>
      </c>
      <c r="J10794" s="160">
        <v>1.2489999999999999E-2</v>
      </c>
      <c r="K10794" s="160" t="s">
        <v>14</v>
      </c>
      <c r="L10794" s="154" t="str">
        <f>IF(OpenLCAbasic!K10794="CTUh", "Fill in Manually",IF(OR(K10794="Unit", K10794=""), "", INDEX(LookUps!$E$5:$E$12, MATCH(OpenLCAbasic!K10794,LookUps!$D$5:$D$12,0))))</f>
        <v>Fossil Depletion Potential (FDP) - kg oil eq</v>
      </c>
      <c r="M10794" s="154" t="str">
        <f t="shared" si="919"/>
        <v>High_Base_High_Upgraded_Fossil Depletion Potential (FDP) - kg oil eq_Wet Well and Sump Station; wastewater treatment unit; at updated plant - US_Base_With Amendment_Aerated Static Pile</v>
      </c>
    </row>
    <row r="10795" spans="1:13" s="120" customFormat="1" x14ac:dyDescent="0.25">
      <c r="A10795" s="119"/>
      <c r="B10795" s="138" t="str">
        <f t="shared" si="920"/>
        <v>Aerated Static Pile</v>
      </c>
      <c r="C10795" s="138" t="str">
        <f t="shared" si="921"/>
        <v>Base_With Amendment</v>
      </c>
      <c r="D10795" s="138" t="str">
        <f t="shared" si="918"/>
        <v>Base_High</v>
      </c>
      <c r="E10795" s="138" t="str">
        <f t="shared" si="923"/>
        <v>High</v>
      </c>
      <c r="F10795" s="138" t="str">
        <f t="shared" si="922"/>
        <v>Upgraded</v>
      </c>
      <c r="G10795" s="153"/>
      <c r="H10795" s="210">
        <v>0.28289999999999998</v>
      </c>
      <c r="I10795" s="160" t="s">
        <v>57</v>
      </c>
      <c r="J10795" s="160">
        <v>6.9199999999999999E-3</v>
      </c>
      <c r="K10795" s="160" t="s">
        <v>14</v>
      </c>
      <c r="L10795" s="154" t="str">
        <f>IF(OpenLCAbasic!K10795="CTUh", "Fill in Manually",IF(OR(K10795="Unit", K10795=""), "", INDEX(LookUps!$E$5:$E$12, MATCH(OpenLCAbasic!K10795,LookUps!$D$5:$D$12,0))))</f>
        <v>Fossil Depletion Potential (FDP) - kg oil eq</v>
      </c>
      <c r="M10795" s="154" t="str">
        <f t="shared" si="919"/>
        <v>High_Base_High_Upgraded_Fossil Depletion Potential (FDP) - kg oil eq_Gravity Belt Thickener; wastewater treatment unit; at updated plant - US_Base_With Amendment_Aerated Static Pile</v>
      </c>
    </row>
    <row r="10796" spans="1:13" s="120" customFormat="1" x14ac:dyDescent="0.25">
      <c r="A10796" s="119"/>
      <c r="B10796" s="138" t="str">
        <f t="shared" si="920"/>
        <v>Aerated Static Pile</v>
      </c>
      <c r="C10796" s="138" t="str">
        <f t="shared" si="921"/>
        <v>Base_With Amendment</v>
      </c>
      <c r="D10796" s="138" t="str">
        <f t="shared" si="918"/>
        <v>Base_High</v>
      </c>
      <c r="E10796" s="138" t="str">
        <f t="shared" si="923"/>
        <v>High</v>
      </c>
      <c r="F10796" s="138" t="str">
        <f t="shared" si="922"/>
        <v>Upgraded</v>
      </c>
      <c r="G10796" s="153"/>
      <c r="H10796" s="210">
        <v>0.2291</v>
      </c>
      <c r="I10796" s="160" t="s">
        <v>60</v>
      </c>
      <c r="J10796" s="160">
        <v>5.5999999999999999E-3</v>
      </c>
      <c r="K10796" s="160" t="s">
        <v>14</v>
      </c>
      <c r="L10796" s="154" t="str">
        <f>IF(OpenLCAbasic!K10796="CTUh", "Fill in Manually",IF(OR(K10796="Unit", K10796=""), "", INDEX(LookUps!$E$5:$E$12, MATCH(OpenLCAbasic!K10796,LookUps!$D$5:$D$12,0))))</f>
        <v>Fossil Depletion Potential (FDP) - kg oil eq</v>
      </c>
      <c r="M10796" s="154" t="str">
        <f t="shared" si="919"/>
        <v>High_Base_High_Upgraded_Fossil Depletion Potential (FDP) - kg oil eq_Belt filter press; wastewater treatment unit; at updated plant - US_Base_With Amendment_Aerated Static Pile</v>
      </c>
    </row>
    <row r="10797" spans="1:13" s="120" customFormat="1" x14ac:dyDescent="0.25">
      <c r="A10797" s="119"/>
      <c r="B10797" s="138" t="str">
        <f t="shared" si="920"/>
        <v>Aerated Static Pile</v>
      </c>
      <c r="C10797" s="138" t="str">
        <f t="shared" si="921"/>
        <v>Base_With Amendment</v>
      </c>
      <c r="D10797" s="138" t="str">
        <f t="shared" si="918"/>
        <v>Base_High</v>
      </c>
      <c r="E10797" s="138" t="str">
        <f t="shared" si="923"/>
        <v>High</v>
      </c>
      <c r="F10797" s="138" t="str">
        <f t="shared" si="922"/>
        <v>Upgraded</v>
      </c>
      <c r="G10797" s="153"/>
      <c r="H10797" s="210">
        <v>0.184</v>
      </c>
      <c r="I10797" s="160" t="s">
        <v>128</v>
      </c>
      <c r="J10797" s="160">
        <v>4.4999999999999997E-3</v>
      </c>
      <c r="K10797" s="160" t="s">
        <v>14</v>
      </c>
      <c r="L10797" s="154" t="str">
        <f>IF(OpenLCAbasic!K10797="CTUh", "Fill in Manually",IF(OR(K10797="Unit", K10797=""), "", INDEX(LookUps!$E$5:$E$12, MATCH(OpenLCAbasic!K10797,LookUps!$D$5:$D$12,0))))</f>
        <v>Fossil Depletion Potential (FDP) - kg oil eq</v>
      </c>
      <c r="M10797" s="154" t="str">
        <f t="shared" si="919"/>
        <v>High_Base_High_Upgraded_Fossil Depletion Potential (FDP) - kg oil eq_Wastewater collection; operation and infrastructure; m3 wastewater_Base_With Amendment_Aerated Static Pile</v>
      </c>
    </row>
    <row r="10798" spans="1:13" s="120" customFormat="1" x14ac:dyDescent="0.25">
      <c r="A10798" s="119"/>
      <c r="B10798" s="138" t="str">
        <f t="shared" si="920"/>
        <v>Aerated Static Pile</v>
      </c>
      <c r="C10798" s="138" t="str">
        <f t="shared" si="921"/>
        <v>Base_With Amendment</v>
      </c>
      <c r="D10798" s="138" t="str">
        <f t="shared" si="918"/>
        <v>Base_High</v>
      </c>
      <c r="E10798" s="138" t="str">
        <f t="shared" si="923"/>
        <v>High</v>
      </c>
      <c r="F10798" s="138" t="str">
        <f t="shared" si="922"/>
        <v>Upgraded</v>
      </c>
      <c r="G10798" s="153"/>
      <c r="H10798" s="210">
        <v>0.1144</v>
      </c>
      <c r="I10798" s="160" t="s">
        <v>148</v>
      </c>
      <c r="J10798" s="160">
        <v>2.8E-3</v>
      </c>
      <c r="K10798" s="160" t="s">
        <v>14</v>
      </c>
      <c r="L10798" s="154" t="str">
        <f>IF(OpenLCAbasic!K10798="CTUh", "Fill in Manually",IF(OR(K10798="Unit", K10798=""), "", INDEX(LookUps!$E$5:$E$12, MATCH(OpenLCAbasic!K10798,LookUps!$D$5:$D$12,0))))</f>
        <v>Fossil Depletion Potential (FDP) - kg oil eq</v>
      </c>
      <c r="M10798" s="154" t="str">
        <f t="shared" si="919"/>
        <v>High_Base_High_Upgraded_Fossil Depletion Potential (FDP) - kg oil eq_Control Building; at upgraded wastewater treatment plant - US_Base_With Amendment_Aerated Static Pile</v>
      </c>
    </row>
    <row r="10799" spans="1:13" s="120" customFormat="1" x14ac:dyDescent="0.25">
      <c r="A10799" s="119"/>
      <c r="B10799" s="138" t="str">
        <f t="shared" si="920"/>
        <v>Aerated Static Pile</v>
      </c>
      <c r="C10799" s="138" t="str">
        <f t="shared" si="921"/>
        <v>Base_With Amendment</v>
      </c>
      <c r="D10799" s="138" t="str">
        <f t="shared" si="918"/>
        <v>Base_High</v>
      </c>
      <c r="E10799" s="138" t="str">
        <f t="shared" si="923"/>
        <v>High</v>
      </c>
      <c r="F10799" s="138" t="str">
        <f t="shared" si="922"/>
        <v>Upgraded</v>
      </c>
      <c r="G10799" s="153"/>
      <c r="H10799" s="210">
        <v>9.6699999999999994E-2</v>
      </c>
      <c r="I10799" s="160" t="s">
        <v>48</v>
      </c>
      <c r="J10799" s="160">
        <v>2.3600000000000001E-3</v>
      </c>
      <c r="K10799" s="160" t="s">
        <v>14</v>
      </c>
      <c r="L10799" s="154" t="str">
        <f>IF(OpenLCAbasic!K10799="CTUh", "Fill in Manually",IF(OR(K10799="Unit", K10799=""), "", INDEX(LookUps!$E$5:$E$12, MATCH(OpenLCAbasic!K10799,LookUps!$D$5:$D$12,0))))</f>
        <v>Fossil Depletion Potential (FDP) - kg oil eq</v>
      </c>
      <c r="M10799" s="154" t="str">
        <f t="shared" si="919"/>
        <v>High_Base_High_Upgraded_Fossil Depletion Potential (FDP) - kg oil eq_Effluent release; wastewater treatment unit; at surface water; m3 wastewater - US_Base_With Amendment_Aerated Static Pile</v>
      </c>
    </row>
    <row r="10800" spans="1:13" s="120" customFormat="1" x14ac:dyDescent="0.25">
      <c r="A10800" s="119"/>
      <c r="B10800" s="138" t="str">
        <f t="shared" si="920"/>
        <v>Aerated Static Pile</v>
      </c>
      <c r="C10800" s="138" t="str">
        <f t="shared" si="921"/>
        <v>Base_With Amendment</v>
      </c>
      <c r="D10800" s="138" t="str">
        <f t="shared" si="918"/>
        <v>Base_High</v>
      </c>
      <c r="E10800" s="138" t="str">
        <f t="shared" si="923"/>
        <v>High</v>
      </c>
      <c r="F10800" s="138" t="str">
        <f t="shared" si="922"/>
        <v>Upgraded</v>
      </c>
      <c r="G10800" s="153"/>
      <c r="H10800" s="210">
        <v>7.85E-2</v>
      </c>
      <c r="I10800" s="160" t="s">
        <v>59</v>
      </c>
      <c r="J10800" s="160">
        <v>1.92E-3</v>
      </c>
      <c r="K10800" s="160" t="s">
        <v>14</v>
      </c>
      <c r="L10800" s="154" t="str">
        <f>IF(OpenLCAbasic!K10800="CTUh", "Fill in Manually",IF(OR(K10800="Unit", K10800=""), "", INDEX(LookUps!$E$5:$E$12, MATCH(OpenLCAbasic!K10800,LookUps!$D$5:$D$12,0))))</f>
        <v>Fossil Depletion Potential (FDP) - kg oil eq</v>
      </c>
      <c r="M10800" s="154" t="str">
        <f t="shared" si="919"/>
        <v>High_Base_High_Upgraded_Fossil Depletion Potential (FDP) - kg oil eq_Blend Tank; wastewater treatment unit; at updated plant - US_Base_With Amendment_Aerated Static Pile</v>
      </c>
    </row>
    <row r="10801" spans="1:13" s="120" customFormat="1" x14ac:dyDescent="0.25">
      <c r="A10801" s="119"/>
      <c r="B10801" s="138" t="str">
        <f t="shared" si="920"/>
        <v>Aerated Static Pile</v>
      </c>
      <c r="C10801" s="138" t="str">
        <f t="shared" si="921"/>
        <v>Base_With Amendment</v>
      </c>
      <c r="D10801" s="138" t="str">
        <f t="shared" ref="D10801:D10864" si="924">IF(ISNUMBER($J10801),"Base_High","")</f>
        <v>Base_High</v>
      </c>
      <c r="E10801" s="138" t="str">
        <f t="shared" si="923"/>
        <v>High</v>
      </c>
      <c r="F10801" s="138" t="str">
        <f t="shared" si="922"/>
        <v>Upgraded</v>
      </c>
      <c r="G10801" s="153"/>
      <c r="H10801" s="210">
        <v>3.7400000000000003E-2</v>
      </c>
      <c r="I10801" s="160" t="s">
        <v>168</v>
      </c>
      <c r="J10801" s="160">
        <v>9.1E-4</v>
      </c>
      <c r="K10801" s="160" t="s">
        <v>14</v>
      </c>
      <c r="L10801" s="154" t="str">
        <f>IF(OpenLCAbasic!K10801="CTUh", "Fill in Manually",IF(OR(K10801="Unit", K10801=""), "", INDEX(LookUps!$E$5:$E$12, MATCH(OpenLCAbasic!K10801,LookUps!$D$5:$D$12,0))))</f>
        <v>Fossil Depletion Potential (FDP) - kg oil eq</v>
      </c>
      <c r="M10801" s="154" t="str">
        <f t="shared" si="919"/>
        <v>High_Base_High_Upgraded_Fossil Depletion Potential (FDP) - kg oil eq_ClearCove SCP; wastewater treatment unit; at updated plant - US_Base_With Amendment_Aerated Static Pile</v>
      </c>
    </row>
    <row r="10802" spans="1:13" s="120" customFormat="1" x14ac:dyDescent="0.25">
      <c r="A10802" s="119"/>
      <c r="B10802" s="138" t="str">
        <f t="shared" si="920"/>
        <v>Aerated Static Pile</v>
      </c>
      <c r="C10802" s="138" t="str">
        <f t="shared" si="921"/>
        <v>Base_With Amendment</v>
      </c>
      <c r="D10802" s="138" t="str">
        <f t="shared" si="924"/>
        <v>Base_High</v>
      </c>
      <c r="E10802" s="138" t="str">
        <f t="shared" si="923"/>
        <v>High</v>
      </c>
      <c r="F10802" s="138" t="str">
        <f t="shared" si="922"/>
        <v>Upgraded</v>
      </c>
      <c r="G10802" s="153"/>
      <c r="H10802" s="210">
        <v>-0.21709999999999999</v>
      </c>
      <c r="I10802" s="160" t="s">
        <v>62</v>
      </c>
      <c r="J10802" s="160">
        <v>-5.3099999999999996E-3</v>
      </c>
      <c r="K10802" s="160" t="s">
        <v>14</v>
      </c>
      <c r="L10802" s="154" t="str">
        <f>IF(OpenLCAbasic!K10802="CTUh", "Fill in Manually",IF(OR(K10802="Unit", K10802=""), "", INDEX(LookUps!$E$5:$E$12, MATCH(OpenLCAbasic!K10802,LookUps!$D$5:$D$12,0))))</f>
        <v>Fossil Depletion Potential (FDP) - kg oil eq</v>
      </c>
      <c r="M10802" s="154" t="str">
        <f t="shared" si="919"/>
        <v>High_Base_High_Upgraded_Fossil Depletion Potential (FDP) - kg oil eq_Land application of compost; wastewater treatment unit; at updated plant - US_Base_With Amendment_Aerated Static Pile</v>
      </c>
    </row>
    <row r="10803" spans="1:13" s="120" customFormat="1" x14ac:dyDescent="0.25">
      <c r="A10803" s="119"/>
      <c r="B10803" s="138" t="str">
        <f t="shared" si="920"/>
        <v>Aerated Static Pile</v>
      </c>
      <c r="C10803" s="138" t="str">
        <f t="shared" si="921"/>
        <v>Base_With Amendment</v>
      </c>
      <c r="D10803" s="138" t="str">
        <f t="shared" si="924"/>
        <v>Base_High</v>
      </c>
      <c r="E10803" s="138" t="str">
        <f t="shared" si="923"/>
        <v>High</v>
      </c>
      <c r="F10803" s="138" t="str">
        <f t="shared" si="922"/>
        <v>Upgraded</v>
      </c>
      <c r="G10803" s="153"/>
      <c r="H10803" s="210">
        <v>-9.1499000000000006</v>
      </c>
      <c r="I10803" s="160" t="s">
        <v>149</v>
      </c>
      <c r="J10803" s="160">
        <v>-0.22373000000000001</v>
      </c>
      <c r="K10803" s="160" t="s">
        <v>14</v>
      </c>
      <c r="L10803" s="154" t="str">
        <f>IF(OpenLCAbasic!K10803="CTUh", "Fill in Manually",IF(OR(K10803="Unit", K10803=""), "", INDEX(LookUps!$E$5:$E$12, MATCH(OpenLCAbasic!K10803,LookUps!$D$5:$D$12,0))))</f>
        <v>Fossil Depletion Potential (FDP) - kg oil eq</v>
      </c>
      <c r="M10803" s="154" t="str">
        <f t="shared" si="919"/>
        <v>High_Base_High_Upgraded_Fossil Depletion Potential (FDP) - kg oil eq_Anaerobic Digestion; wastewater treatment unit; at updated plant - US_Base_With Amendment_Aerated Static Pile</v>
      </c>
    </row>
    <row r="10804" spans="1:13" s="120" customFormat="1" x14ac:dyDescent="0.25">
      <c r="A10804" s="119"/>
      <c r="B10804" s="138" t="str">
        <f t="shared" si="920"/>
        <v/>
      </c>
      <c r="C10804" s="138" t="str">
        <f t="shared" si="921"/>
        <v/>
      </c>
      <c r="D10804" s="138" t="str">
        <f t="shared" si="924"/>
        <v/>
      </c>
      <c r="E10804" s="138" t="str">
        <f t="shared" si="923"/>
        <v/>
      </c>
      <c r="F10804" s="138" t="str">
        <f t="shared" si="922"/>
        <v/>
      </c>
      <c r="G10804" s="153" t="s">
        <v>51</v>
      </c>
      <c r="H10804" s="160"/>
      <c r="I10804" s="160" t="s">
        <v>47</v>
      </c>
      <c r="J10804" s="160" t="s">
        <v>52</v>
      </c>
      <c r="K10804" s="160" t="s">
        <v>27</v>
      </c>
      <c r="L10804" s="154" t="str">
        <f>IF(OpenLCAbasic!K10804="CTUh", "Fill in Manually",IF(OR(K10804="Unit", K10804=""), "", INDEX(LookUps!$E$5:$E$12, MATCH(OpenLCAbasic!K10804,LookUps!$D$5:$D$12,0))))</f>
        <v/>
      </c>
      <c r="M10804" s="154" t="str">
        <f t="shared" si="919"/>
        <v>____Process__</v>
      </c>
    </row>
    <row r="10805" spans="1:13" s="120" customFormat="1" x14ac:dyDescent="0.25">
      <c r="A10805" s="119"/>
      <c r="B10805" s="138" t="str">
        <f t="shared" si="920"/>
        <v>Aerated Static Pile</v>
      </c>
      <c r="C10805" s="138" t="str">
        <f t="shared" si="921"/>
        <v>Base_With Amendment</v>
      </c>
      <c r="D10805" s="138" t="str">
        <f t="shared" si="924"/>
        <v>Base_High</v>
      </c>
      <c r="E10805" s="138" t="str">
        <f t="shared" si="923"/>
        <v>High</v>
      </c>
      <c r="F10805" s="138" t="str">
        <f t="shared" si="922"/>
        <v>Upgraded</v>
      </c>
      <c r="G10805" s="153"/>
      <c r="H10805" s="210">
        <v>1.1910000000000001</v>
      </c>
      <c r="I10805" s="160" t="s">
        <v>435</v>
      </c>
      <c r="J10805" s="160">
        <v>0.80595000000000006</v>
      </c>
      <c r="K10805" s="160" t="s">
        <v>23</v>
      </c>
      <c r="L10805" s="154" t="str">
        <f>IF(OpenLCAbasic!K10805="CTUh", "Fill in Manually",IF(OR(K10805="Unit", K10805=""), "", INDEX(LookUps!$E$5:$E$12, MATCH(OpenLCAbasic!K10805,LookUps!$D$5:$D$12,0))))</f>
        <v>Global Warming Potential (GWP) - kg CO2 eq</v>
      </c>
      <c r="M10805" s="154" t="str">
        <f t="shared" si="919"/>
        <v>High_Base_High_Upgraded_Global Warming Potential (GWP) - kg CO2 eq_Biosolids composting; aerated static pile; wastewater treatment unit; at updated plant - US_Base_With Amendment_Aerated Static Pile</v>
      </c>
    </row>
    <row r="10806" spans="1:13" s="120" customFormat="1" x14ac:dyDescent="0.25">
      <c r="A10806" s="119"/>
      <c r="B10806" s="138" t="str">
        <f t="shared" si="920"/>
        <v>Aerated Static Pile</v>
      </c>
      <c r="C10806" s="138" t="str">
        <f t="shared" si="921"/>
        <v>Base_With Amendment</v>
      </c>
      <c r="D10806" s="138" t="str">
        <f t="shared" si="924"/>
        <v>Base_High</v>
      </c>
      <c r="E10806" s="138" t="str">
        <f t="shared" si="923"/>
        <v>High</v>
      </c>
      <c r="F10806" s="138" t="str">
        <f t="shared" si="922"/>
        <v>Upgraded</v>
      </c>
      <c r="G10806" s="153"/>
      <c r="H10806" s="210">
        <v>0.35880000000000001</v>
      </c>
      <c r="I10806" s="160" t="s">
        <v>58</v>
      </c>
      <c r="J10806" s="160">
        <v>0.24279999999999999</v>
      </c>
      <c r="K10806" s="160" t="s">
        <v>23</v>
      </c>
      <c r="L10806" s="154" t="str">
        <f>IF(OpenLCAbasic!K10806="CTUh", "Fill in Manually",IF(OR(K10806="Unit", K10806=""), "", INDEX(LookUps!$E$5:$E$12, MATCH(OpenLCAbasic!K10806,LookUps!$D$5:$D$12,0))))</f>
        <v>Global Warming Potential (GWP) - kg CO2 eq</v>
      </c>
      <c r="M10806" s="154" t="str">
        <f t="shared" si="919"/>
        <v>High_Base_High_Upgraded_Global Warming Potential (GWP) - kg CO2 eq_Pre-Anoxic &amp; Swing tank; wastewater treatment unit; at updated plant - US_Base_With Amendment_Aerated Static Pile</v>
      </c>
    </row>
    <row r="10807" spans="1:13" s="120" customFormat="1" x14ac:dyDescent="0.25">
      <c r="A10807" s="119"/>
      <c r="B10807" s="138" t="str">
        <f t="shared" si="920"/>
        <v>Aerated Static Pile</v>
      </c>
      <c r="C10807" s="138" t="str">
        <f t="shared" si="921"/>
        <v>Base_With Amendment</v>
      </c>
      <c r="D10807" s="138" t="str">
        <f t="shared" si="924"/>
        <v>Base_High</v>
      </c>
      <c r="E10807" s="138" t="str">
        <f t="shared" si="923"/>
        <v>High</v>
      </c>
      <c r="F10807" s="138" t="str">
        <f t="shared" si="922"/>
        <v>Upgraded</v>
      </c>
      <c r="G10807" s="153"/>
      <c r="H10807" s="210">
        <v>0.24859999999999999</v>
      </c>
      <c r="I10807" s="160" t="s">
        <v>55</v>
      </c>
      <c r="J10807" s="160">
        <v>0.16822000000000001</v>
      </c>
      <c r="K10807" s="160" t="s">
        <v>23</v>
      </c>
      <c r="L10807" s="154" t="str">
        <f>IF(OpenLCAbasic!K10807="CTUh", "Fill in Manually",IF(OR(K10807="Unit", K10807=""), "", INDEX(LookUps!$E$5:$E$12, MATCH(OpenLCAbasic!K10807,LookUps!$D$5:$D$12,0))))</f>
        <v>Global Warming Potential (GWP) - kg CO2 eq</v>
      </c>
      <c r="M10807" s="154" t="str">
        <f t="shared" si="919"/>
        <v>High_Base_High_Upgraded_Global Warming Potential (GWP) - kg CO2 eq_Aeration Tanks; wastewater treatment unit; at updated plant - US_Base_With Amendment_Aerated Static Pile</v>
      </c>
    </row>
    <row r="10808" spans="1:13" s="120" customFormat="1" x14ac:dyDescent="0.25">
      <c r="A10808" s="119"/>
      <c r="B10808" s="138" t="str">
        <f t="shared" si="920"/>
        <v>Aerated Static Pile</v>
      </c>
      <c r="C10808" s="138" t="str">
        <f t="shared" si="921"/>
        <v>Base_With Amendment</v>
      </c>
      <c r="D10808" s="138" t="str">
        <f t="shared" si="924"/>
        <v>Base_High</v>
      </c>
      <c r="E10808" s="138" t="str">
        <f t="shared" si="923"/>
        <v>High</v>
      </c>
      <c r="F10808" s="138" t="str">
        <f t="shared" si="922"/>
        <v>Upgraded</v>
      </c>
      <c r="G10808" s="153"/>
      <c r="H10808" s="210">
        <v>0.15129999999999999</v>
      </c>
      <c r="I10808" s="160" t="s">
        <v>167</v>
      </c>
      <c r="J10808" s="160">
        <v>0.10241</v>
      </c>
      <c r="K10808" s="160" t="s">
        <v>23</v>
      </c>
      <c r="L10808" s="154" t="str">
        <f>IF(OpenLCAbasic!K10808="CTUh", "Fill in Manually",IF(OR(K10808="Unit", K10808=""), "", INDEX(LookUps!$E$5:$E$12, MATCH(OpenLCAbasic!K10808,LookUps!$D$5:$D$12,0))))</f>
        <v>Global Warming Potential (GWP) - kg CO2 eq</v>
      </c>
      <c r="M10808" s="154" t="str">
        <f t="shared" si="919"/>
        <v>High_Base_High_Upgraded_Global Warming Potential (GWP) - kg CO2 eq_Waste Receiving and Holding; wastewater treatment unit; at updated plant - US_Base_With Amendment_Aerated Static Pile</v>
      </c>
    </row>
    <row r="10809" spans="1:13" s="120" customFormat="1" x14ac:dyDescent="0.25">
      <c r="A10809" s="119"/>
      <c r="B10809" s="138" t="str">
        <f t="shared" si="920"/>
        <v>Aerated Static Pile</v>
      </c>
      <c r="C10809" s="138" t="str">
        <f t="shared" si="921"/>
        <v>Base_With Amendment</v>
      </c>
      <c r="D10809" s="138" t="str">
        <f t="shared" si="924"/>
        <v>Base_High</v>
      </c>
      <c r="E10809" s="138" t="str">
        <f t="shared" si="923"/>
        <v>High</v>
      </c>
      <c r="F10809" s="138" t="str">
        <f t="shared" si="922"/>
        <v>Upgraded</v>
      </c>
      <c r="G10809" s="153"/>
      <c r="H10809" s="210">
        <v>8.4400000000000003E-2</v>
      </c>
      <c r="I10809" s="160" t="s">
        <v>54</v>
      </c>
      <c r="J10809" s="160">
        <v>5.7079999999999999E-2</v>
      </c>
      <c r="K10809" s="160" t="s">
        <v>23</v>
      </c>
      <c r="L10809" s="154" t="str">
        <f>IF(OpenLCAbasic!K10809="CTUh", "Fill in Manually",IF(OR(K10809="Unit", K10809=""), "", INDEX(LookUps!$E$5:$E$12, MATCH(OpenLCAbasic!K10809,LookUps!$D$5:$D$12,0))))</f>
        <v>Global Warming Potential (GWP) - kg CO2 eq</v>
      </c>
      <c r="M10809" s="154" t="str">
        <f t="shared" si="919"/>
        <v>High_Base_High_Upgraded_Global Warming Potential (GWP) - kg CO2 eq_Clear Cove Primary Clarification; wastewater treatment unit; at updated plant - US_Base_With Amendment_Aerated Static Pile</v>
      </c>
    </row>
    <row r="10810" spans="1:13" s="120" customFormat="1" x14ac:dyDescent="0.25">
      <c r="A10810" s="119"/>
      <c r="B10810" s="138" t="str">
        <f t="shared" si="920"/>
        <v>Aerated Static Pile</v>
      </c>
      <c r="C10810" s="138" t="str">
        <f t="shared" si="921"/>
        <v>Base_With Amendment</v>
      </c>
      <c r="D10810" s="138" t="str">
        <f t="shared" si="924"/>
        <v>Base_High</v>
      </c>
      <c r="E10810" s="138" t="str">
        <f t="shared" si="923"/>
        <v>High</v>
      </c>
      <c r="F10810" s="138" t="str">
        <f t="shared" si="922"/>
        <v>Upgraded</v>
      </c>
      <c r="G10810" s="153"/>
      <c r="H10810" s="210">
        <v>7.7799999999999994E-2</v>
      </c>
      <c r="I10810" s="160" t="s">
        <v>48</v>
      </c>
      <c r="J10810" s="160">
        <v>5.2639999999999999E-2</v>
      </c>
      <c r="K10810" s="160" t="s">
        <v>23</v>
      </c>
      <c r="L10810" s="154" t="str">
        <f>IF(OpenLCAbasic!K10810="CTUh", "Fill in Manually",IF(OR(K10810="Unit", K10810=""), "", INDEX(LookUps!$E$5:$E$12, MATCH(OpenLCAbasic!K10810,LookUps!$D$5:$D$12,0))))</f>
        <v>Global Warming Potential (GWP) - kg CO2 eq</v>
      </c>
      <c r="M10810" s="154" t="str">
        <f t="shared" si="919"/>
        <v>High_Base_High_Upgraded_Global Warming Potential (GWP) - kg CO2 eq_Effluent release; wastewater treatment unit; at surface water; m3 wastewater - US_Base_With Amendment_Aerated Static Pile</v>
      </c>
    </row>
    <row r="10811" spans="1:13" s="120" customFormat="1" x14ac:dyDescent="0.25">
      <c r="A10811" s="119"/>
      <c r="B10811" s="138" t="str">
        <f t="shared" si="920"/>
        <v>Aerated Static Pile</v>
      </c>
      <c r="C10811" s="138" t="str">
        <f t="shared" si="921"/>
        <v>Base_With Amendment</v>
      </c>
      <c r="D10811" s="138" t="str">
        <f t="shared" si="924"/>
        <v>Base_High</v>
      </c>
      <c r="E10811" s="138" t="str">
        <f t="shared" si="923"/>
        <v>High</v>
      </c>
      <c r="F10811" s="138" t="str">
        <f t="shared" si="922"/>
        <v>Upgraded</v>
      </c>
      <c r="G10811" s="153"/>
      <c r="H10811" s="210">
        <v>7.46E-2</v>
      </c>
      <c r="I10811" s="160" t="s">
        <v>147</v>
      </c>
      <c r="J10811" s="160">
        <v>5.0500000000000003E-2</v>
      </c>
      <c r="K10811" s="160" t="s">
        <v>23</v>
      </c>
      <c r="L10811" s="154" t="str">
        <f>IF(OpenLCAbasic!K10811="CTUh", "Fill in Manually",IF(OR(K10811="Unit", K10811=""), "", INDEX(LookUps!$E$5:$E$12, MATCH(OpenLCAbasic!K10811,LookUps!$D$5:$D$12,0))))</f>
        <v>Global Warming Potential (GWP) - kg CO2 eq</v>
      </c>
      <c r="M10811" s="154" t="str">
        <f t="shared" si="919"/>
        <v>High_Base_High_Upgraded_Global Warming Potential (GWP) - kg CO2 eq_Influent Pump Station; wastewater treatment unit; at updated plant - US_Base_With Amendment_Aerated Static Pile</v>
      </c>
    </row>
    <row r="10812" spans="1:13" s="120" customFormat="1" x14ac:dyDescent="0.25">
      <c r="A10812" s="119"/>
      <c r="B10812" s="138" t="str">
        <f t="shared" si="920"/>
        <v>Aerated Static Pile</v>
      </c>
      <c r="C10812" s="138" t="str">
        <f t="shared" si="921"/>
        <v>Base_With Amendment</v>
      </c>
      <c r="D10812" s="138" t="str">
        <f t="shared" si="924"/>
        <v>Base_High</v>
      </c>
      <c r="E10812" s="138" t="str">
        <f t="shared" si="923"/>
        <v>High</v>
      </c>
      <c r="F10812" s="138" t="str">
        <f t="shared" si="922"/>
        <v>Upgraded</v>
      </c>
      <c r="G10812" s="153"/>
      <c r="H10812" s="210">
        <v>4.9099999999999998E-2</v>
      </c>
      <c r="I10812" s="160" t="s">
        <v>53</v>
      </c>
      <c r="J10812" s="160">
        <v>3.3259999999999998E-2</v>
      </c>
      <c r="K10812" s="160" t="s">
        <v>23</v>
      </c>
      <c r="L10812" s="154" t="str">
        <f>IF(OpenLCAbasic!K10812="CTUh", "Fill in Manually",IF(OR(K10812="Unit", K10812=""), "", INDEX(LookUps!$E$5:$E$12, MATCH(OpenLCAbasic!K10812,LookUps!$D$5:$D$12,0))))</f>
        <v>Global Warming Potential (GWP) - kg CO2 eq</v>
      </c>
      <c r="M10812" s="154" t="str">
        <f t="shared" si="919"/>
        <v>High_Base_High_Upgraded_Global Warming Potential (GWP) - kg CO2 eq_Wet Well and Sump Station; wastewater treatment unit; at updated plant - US_Base_With Amendment_Aerated Static Pile</v>
      </c>
    </row>
    <row r="10813" spans="1:13" s="120" customFormat="1" x14ac:dyDescent="0.25">
      <c r="A10813" s="119"/>
      <c r="B10813" s="138" t="str">
        <f t="shared" si="920"/>
        <v>Aerated Static Pile</v>
      </c>
      <c r="C10813" s="138" t="str">
        <f t="shared" si="921"/>
        <v>Base_With Amendment</v>
      </c>
      <c r="D10813" s="138" t="str">
        <f t="shared" si="924"/>
        <v>Base_High</v>
      </c>
      <c r="E10813" s="138" t="str">
        <f t="shared" si="923"/>
        <v>High</v>
      </c>
      <c r="F10813" s="138" t="str">
        <f t="shared" si="922"/>
        <v>Upgraded</v>
      </c>
      <c r="G10813" s="153"/>
      <c r="H10813" s="210">
        <v>2.1499999999999998E-2</v>
      </c>
      <c r="I10813" s="160" t="s">
        <v>57</v>
      </c>
      <c r="J10813" s="160">
        <v>1.455E-2</v>
      </c>
      <c r="K10813" s="160" t="s">
        <v>23</v>
      </c>
      <c r="L10813" s="154" t="str">
        <f>IF(OpenLCAbasic!K10813="CTUh", "Fill in Manually",IF(OR(K10813="Unit", K10813=""), "", INDEX(LookUps!$E$5:$E$12, MATCH(OpenLCAbasic!K10813,LookUps!$D$5:$D$12,0))))</f>
        <v>Global Warming Potential (GWP) - kg CO2 eq</v>
      </c>
      <c r="M10813" s="154" t="str">
        <f t="shared" si="919"/>
        <v>High_Base_High_Upgraded_Global Warming Potential (GWP) - kg CO2 eq_Gravity Belt Thickener; wastewater treatment unit; at updated plant - US_Base_With Amendment_Aerated Static Pile</v>
      </c>
    </row>
    <row r="10814" spans="1:13" s="120" customFormat="1" x14ac:dyDescent="0.25">
      <c r="A10814" s="119"/>
      <c r="B10814" s="138" t="str">
        <f t="shared" si="920"/>
        <v>Aerated Static Pile</v>
      </c>
      <c r="C10814" s="138" t="str">
        <f t="shared" si="921"/>
        <v>Base_With Amendment</v>
      </c>
      <c r="D10814" s="138" t="str">
        <f t="shared" si="924"/>
        <v>Base_High</v>
      </c>
      <c r="E10814" s="138" t="str">
        <f t="shared" si="923"/>
        <v>High</v>
      </c>
      <c r="F10814" s="138" t="str">
        <f t="shared" si="922"/>
        <v>Upgraded</v>
      </c>
      <c r="G10814" s="153"/>
      <c r="H10814" s="210">
        <v>0.02</v>
      </c>
      <c r="I10814" s="160" t="s">
        <v>128</v>
      </c>
      <c r="J10814" s="160">
        <v>1.3509999999999999E-2</v>
      </c>
      <c r="K10814" s="160" t="s">
        <v>23</v>
      </c>
      <c r="L10814" s="154" t="str">
        <f>IF(OpenLCAbasic!K10814="CTUh", "Fill in Manually",IF(OR(K10814="Unit", K10814=""), "", INDEX(LookUps!$E$5:$E$12, MATCH(OpenLCAbasic!K10814,LookUps!$D$5:$D$12,0))))</f>
        <v>Global Warming Potential (GWP) - kg CO2 eq</v>
      </c>
      <c r="M10814" s="154" t="str">
        <f t="shared" si="919"/>
        <v>High_Base_High_Upgraded_Global Warming Potential (GWP) - kg CO2 eq_Wastewater collection; operation and infrastructure; m3 wastewater_Base_With Amendment_Aerated Static Pile</v>
      </c>
    </row>
    <row r="10815" spans="1:13" s="120" customFormat="1" x14ac:dyDescent="0.25">
      <c r="A10815" s="119"/>
      <c r="B10815" s="138" t="str">
        <f t="shared" si="920"/>
        <v>Aerated Static Pile</v>
      </c>
      <c r="C10815" s="138" t="str">
        <f t="shared" si="921"/>
        <v>Base_With Amendment</v>
      </c>
      <c r="D10815" s="138" t="str">
        <f t="shared" si="924"/>
        <v>Base_High</v>
      </c>
      <c r="E10815" s="138" t="str">
        <f t="shared" si="923"/>
        <v>High</v>
      </c>
      <c r="F10815" s="138" t="str">
        <f t="shared" si="922"/>
        <v>Upgraded</v>
      </c>
      <c r="G10815" s="153"/>
      <c r="H10815" s="210">
        <v>1.8200000000000001E-2</v>
      </c>
      <c r="I10815" s="160" t="s">
        <v>60</v>
      </c>
      <c r="J10815" s="160">
        <v>1.231E-2</v>
      </c>
      <c r="K10815" s="160" t="s">
        <v>23</v>
      </c>
      <c r="L10815" s="154" t="str">
        <f>IF(OpenLCAbasic!K10815="CTUh", "Fill in Manually",IF(OR(K10815="Unit", K10815=""), "", INDEX(LookUps!$E$5:$E$12, MATCH(OpenLCAbasic!K10815,LookUps!$D$5:$D$12,0))))</f>
        <v>Global Warming Potential (GWP) - kg CO2 eq</v>
      </c>
      <c r="M10815" s="154" t="str">
        <f t="shared" si="919"/>
        <v>High_Base_High_Upgraded_Global Warming Potential (GWP) - kg CO2 eq_Belt filter press; wastewater treatment unit; at updated plant - US_Base_With Amendment_Aerated Static Pile</v>
      </c>
    </row>
    <row r="10816" spans="1:13" s="120" customFormat="1" x14ac:dyDescent="0.25">
      <c r="A10816" s="119"/>
      <c r="B10816" s="138" t="str">
        <f t="shared" si="920"/>
        <v>Aerated Static Pile</v>
      </c>
      <c r="C10816" s="138" t="str">
        <f t="shared" si="921"/>
        <v>Base_With Amendment</v>
      </c>
      <c r="D10816" s="138" t="str">
        <f t="shared" si="924"/>
        <v>Base_High</v>
      </c>
      <c r="E10816" s="138" t="str">
        <f t="shared" si="923"/>
        <v>High</v>
      </c>
      <c r="F10816" s="138" t="str">
        <f t="shared" si="922"/>
        <v>Upgraded</v>
      </c>
      <c r="G10816" s="153"/>
      <c r="H10816" s="210">
        <v>1.23E-2</v>
      </c>
      <c r="I10816" s="160" t="s">
        <v>148</v>
      </c>
      <c r="J10816" s="160">
        <v>8.3000000000000001E-3</v>
      </c>
      <c r="K10816" s="160" t="s">
        <v>23</v>
      </c>
      <c r="L10816" s="154" t="str">
        <f>IF(OpenLCAbasic!K10816="CTUh", "Fill in Manually",IF(OR(K10816="Unit", K10816=""), "", INDEX(LookUps!$E$5:$E$12, MATCH(OpenLCAbasic!K10816,LookUps!$D$5:$D$12,0))))</f>
        <v>Global Warming Potential (GWP) - kg CO2 eq</v>
      </c>
      <c r="M10816" s="154" t="str">
        <f t="shared" si="919"/>
        <v>High_Base_High_Upgraded_Global Warming Potential (GWP) - kg CO2 eq_Control Building; at upgraded wastewater treatment plant - US_Base_With Amendment_Aerated Static Pile</v>
      </c>
    </row>
    <row r="10817" spans="1:13" s="120" customFormat="1" x14ac:dyDescent="0.25">
      <c r="A10817" s="119"/>
      <c r="B10817" s="138" t="str">
        <f t="shared" si="920"/>
        <v>Aerated Static Pile</v>
      </c>
      <c r="C10817" s="138" t="str">
        <f t="shared" si="921"/>
        <v>Base_With Amendment</v>
      </c>
      <c r="D10817" s="138" t="str">
        <f t="shared" si="924"/>
        <v>Base_High</v>
      </c>
      <c r="E10817" s="138" t="str">
        <f t="shared" si="923"/>
        <v>High</v>
      </c>
      <c r="F10817" s="138" t="str">
        <f t="shared" si="922"/>
        <v>Upgraded</v>
      </c>
      <c r="G10817" s="153"/>
      <c r="H10817" s="210">
        <v>7.4999999999999997E-3</v>
      </c>
      <c r="I10817" s="160" t="s">
        <v>59</v>
      </c>
      <c r="J10817" s="160">
        <v>5.0400000000000002E-3</v>
      </c>
      <c r="K10817" s="160" t="s">
        <v>23</v>
      </c>
      <c r="L10817" s="154" t="str">
        <f>IF(OpenLCAbasic!K10817="CTUh", "Fill in Manually",IF(OR(K10817="Unit", K10817=""), "", INDEX(LookUps!$E$5:$E$12, MATCH(OpenLCAbasic!K10817,LookUps!$D$5:$D$12,0))))</f>
        <v>Global Warming Potential (GWP) - kg CO2 eq</v>
      </c>
      <c r="M10817" s="154" t="str">
        <f t="shared" si="919"/>
        <v>High_Base_High_Upgraded_Global Warming Potential (GWP) - kg CO2 eq_Blend Tank; wastewater treatment unit; at updated plant - US_Base_With Amendment_Aerated Static Pile</v>
      </c>
    </row>
    <row r="10818" spans="1:13" s="120" customFormat="1" x14ac:dyDescent="0.25">
      <c r="A10818" s="119"/>
      <c r="B10818" s="138" t="str">
        <f t="shared" si="920"/>
        <v>Aerated Static Pile</v>
      </c>
      <c r="C10818" s="138" t="str">
        <f t="shared" si="921"/>
        <v>Base_With Amendment</v>
      </c>
      <c r="D10818" s="138" t="str">
        <f t="shared" si="924"/>
        <v>Base_High</v>
      </c>
      <c r="E10818" s="138" t="str">
        <f t="shared" si="923"/>
        <v>High</v>
      </c>
      <c r="F10818" s="138" t="str">
        <f t="shared" si="922"/>
        <v>Upgraded</v>
      </c>
      <c r="G10818" s="153"/>
      <c r="H10818" s="210">
        <v>3.5999999999999999E-3</v>
      </c>
      <c r="I10818" s="160" t="s">
        <v>168</v>
      </c>
      <c r="J10818" s="160">
        <v>2.4099999999999998E-3</v>
      </c>
      <c r="K10818" s="160" t="s">
        <v>23</v>
      </c>
      <c r="L10818" s="154" t="str">
        <f>IF(OpenLCAbasic!K10818="CTUh", "Fill in Manually",IF(OR(K10818="Unit", K10818=""), "", INDEX(LookUps!$E$5:$E$12, MATCH(OpenLCAbasic!K10818,LookUps!$D$5:$D$12,0))))</f>
        <v>Global Warming Potential (GWP) - kg CO2 eq</v>
      </c>
      <c r="M10818" s="154" t="str">
        <f t="shared" si="919"/>
        <v>High_Base_High_Upgraded_Global Warming Potential (GWP) - kg CO2 eq_ClearCove SCP; wastewater treatment unit; at updated plant - US_Base_With Amendment_Aerated Static Pile</v>
      </c>
    </row>
    <row r="10819" spans="1:13" s="120" customFormat="1" x14ac:dyDescent="0.25">
      <c r="A10819" s="119"/>
      <c r="B10819" s="138" t="str">
        <f t="shared" si="920"/>
        <v>Aerated Static Pile</v>
      </c>
      <c r="C10819" s="138" t="str">
        <f t="shared" si="921"/>
        <v>Base_With Amendment</v>
      </c>
      <c r="D10819" s="138" t="str">
        <f t="shared" si="924"/>
        <v>Base_High</v>
      </c>
      <c r="E10819" s="138" t="str">
        <f t="shared" si="923"/>
        <v>High</v>
      </c>
      <c r="F10819" s="138" t="str">
        <f t="shared" si="922"/>
        <v>Upgraded</v>
      </c>
      <c r="G10819" s="153"/>
      <c r="H10819" s="210">
        <v>-0.65500000000000003</v>
      </c>
      <c r="I10819" s="160" t="s">
        <v>62</v>
      </c>
      <c r="J10819" s="160">
        <v>-0.44319999999999998</v>
      </c>
      <c r="K10819" s="160" t="s">
        <v>23</v>
      </c>
      <c r="L10819" s="154" t="str">
        <f>IF(OpenLCAbasic!K10819="CTUh", "Fill in Manually",IF(OR(K10819="Unit", K10819=""), "", INDEX(LookUps!$E$5:$E$12, MATCH(OpenLCAbasic!K10819,LookUps!$D$5:$D$12,0))))</f>
        <v>Global Warming Potential (GWP) - kg CO2 eq</v>
      </c>
      <c r="M10819" s="154" t="str">
        <f t="shared" si="919"/>
        <v>High_Base_High_Upgraded_Global Warming Potential (GWP) - kg CO2 eq_Land application of compost; wastewater treatment unit; at updated plant - US_Base_With Amendment_Aerated Static Pile</v>
      </c>
    </row>
    <row r="10820" spans="1:13" s="120" customFormat="1" x14ac:dyDescent="0.25">
      <c r="A10820" s="119"/>
      <c r="B10820" s="138" t="str">
        <f t="shared" si="920"/>
        <v>Aerated Static Pile</v>
      </c>
      <c r="C10820" s="138" t="str">
        <f t="shared" si="921"/>
        <v>Base_With Amendment</v>
      </c>
      <c r="D10820" s="138" t="str">
        <f t="shared" si="924"/>
        <v>Base_High</v>
      </c>
      <c r="E10820" s="138" t="str">
        <f t="shared" si="923"/>
        <v>High</v>
      </c>
      <c r="F10820" s="138" t="str">
        <f t="shared" si="922"/>
        <v>Upgraded</v>
      </c>
      <c r="G10820" s="153"/>
      <c r="H10820" s="210">
        <v>-0.66369999999999996</v>
      </c>
      <c r="I10820" s="160" t="s">
        <v>149</v>
      </c>
      <c r="J10820" s="160">
        <v>-0.44908999999999999</v>
      </c>
      <c r="K10820" s="160" t="s">
        <v>23</v>
      </c>
      <c r="L10820" s="154" t="str">
        <f>IF(OpenLCAbasic!K10820="CTUh", "Fill in Manually",IF(OR(K10820="Unit", K10820=""), "", INDEX(LookUps!$E$5:$E$12, MATCH(OpenLCAbasic!K10820,LookUps!$D$5:$D$12,0))))</f>
        <v>Global Warming Potential (GWP) - kg CO2 eq</v>
      </c>
      <c r="M10820" s="154" t="str">
        <f t="shared" ref="M10820:M10883" si="925">CONCATENATE(E10820,"_",D10820,"_",F10820,"_",L10820, "_",I10820,"_", C10820,"_", B10820)</f>
        <v>High_Base_High_Upgraded_Global Warming Potential (GWP) - kg CO2 eq_Anaerobic Digestion; wastewater treatment unit; at updated plant - US_Base_With Amendment_Aerated Static Pile</v>
      </c>
    </row>
    <row r="10821" spans="1:13" s="120" customFormat="1" x14ac:dyDescent="0.25">
      <c r="A10821" s="119"/>
      <c r="B10821" s="138" t="str">
        <f t="shared" si="920"/>
        <v/>
      </c>
      <c r="C10821" s="138" t="str">
        <f t="shared" si="921"/>
        <v/>
      </c>
      <c r="D10821" s="138" t="str">
        <f t="shared" si="924"/>
        <v/>
      </c>
      <c r="E10821" s="138" t="str">
        <f t="shared" si="923"/>
        <v/>
      </c>
      <c r="F10821" s="138" t="str">
        <f t="shared" si="922"/>
        <v/>
      </c>
      <c r="G10821" s="153" t="s">
        <v>51</v>
      </c>
      <c r="H10821" s="160"/>
      <c r="I10821" s="160" t="s">
        <v>47</v>
      </c>
      <c r="J10821" s="160" t="s">
        <v>52</v>
      </c>
      <c r="K10821" s="160" t="s">
        <v>27</v>
      </c>
      <c r="L10821" s="154" t="str">
        <f>IF(OpenLCAbasic!K10821="CTUh", "Fill in Manually",IF(OR(K10821="Unit", K10821=""), "", INDEX(LookUps!$E$5:$E$12, MATCH(OpenLCAbasic!K10821,LookUps!$D$5:$D$12,0))))</f>
        <v/>
      </c>
      <c r="M10821" s="154" t="str">
        <f t="shared" si="925"/>
        <v>____Process__</v>
      </c>
    </row>
    <row r="10822" spans="1:13" s="120" customFormat="1" x14ac:dyDescent="0.25">
      <c r="A10822" s="119"/>
      <c r="B10822" s="138" t="str">
        <f t="shared" si="920"/>
        <v>Aerated Static Pile</v>
      </c>
      <c r="C10822" s="138" t="str">
        <f t="shared" si="921"/>
        <v>Base_With Amendment</v>
      </c>
      <c r="D10822" s="138" t="str">
        <f t="shared" si="924"/>
        <v>Base_High</v>
      </c>
      <c r="E10822" s="138" t="str">
        <f t="shared" si="923"/>
        <v>High</v>
      </c>
      <c r="F10822" s="138" t="str">
        <f t="shared" si="922"/>
        <v>Upgraded</v>
      </c>
      <c r="G10822" s="153"/>
      <c r="H10822" s="210">
        <v>3.0988000000000002</v>
      </c>
      <c r="I10822" s="160" t="s">
        <v>55</v>
      </c>
      <c r="J10822" s="160">
        <v>2.33E-3</v>
      </c>
      <c r="K10822" s="160" t="s">
        <v>145</v>
      </c>
      <c r="L10822" s="154" t="str">
        <f>IF(OpenLCAbasic!K10822="CTUh", "Fill in Manually",IF(OR(K10822="Unit", K10822=""), "", INDEX(LookUps!$E$5:$E$12, MATCH(OpenLCAbasic!K10822,LookUps!$D$5:$D$12,0))))</f>
        <v>Particulate Matter Formation Potential (PMFP) - kg PM2.5 eq</v>
      </c>
      <c r="M10822" s="154" t="str">
        <f t="shared" si="925"/>
        <v>High_Base_High_Upgraded_Particulate Matter Formation Potential (PMFP) - kg PM2.5 eq_Aeration Tanks; wastewater treatment unit; at updated plant - US_Base_With Amendment_Aerated Static Pile</v>
      </c>
    </row>
    <row r="10823" spans="1:13" s="120" customFormat="1" x14ac:dyDescent="0.25">
      <c r="A10823" s="119"/>
      <c r="B10823" s="138" t="str">
        <f t="shared" si="920"/>
        <v>Aerated Static Pile</v>
      </c>
      <c r="C10823" s="138" t="str">
        <f t="shared" si="921"/>
        <v>Base_With Amendment</v>
      </c>
      <c r="D10823" s="138" t="str">
        <f t="shared" si="924"/>
        <v>Base_High</v>
      </c>
      <c r="E10823" s="138" t="str">
        <f t="shared" si="923"/>
        <v>High</v>
      </c>
      <c r="F10823" s="138" t="str">
        <f t="shared" si="922"/>
        <v>Upgraded</v>
      </c>
      <c r="G10823" s="153"/>
      <c r="H10823" s="210">
        <v>1.0682</v>
      </c>
      <c r="I10823" s="160" t="s">
        <v>435</v>
      </c>
      <c r="J10823" s="160">
        <v>8.0000000000000004E-4</v>
      </c>
      <c r="K10823" s="160" t="s">
        <v>145</v>
      </c>
      <c r="L10823" s="154" t="str">
        <f>IF(OpenLCAbasic!K10823="CTUh", "Fill in Manually",IF(OR(K10823="Unit", K10823=""), "", INDEX(LookUps!$E$5:$E$12, MATCH(OpenLCAbasic!K10823,LookUps!$D$5:$D$12,0))))</f>
        <v>Particulate Matter Formation Potential (PMFP) - kg PM2.5 eq</v>
      </c>
      <c r="M10823" s="154" t="str">
        <f t="shared" si="925"/>
        <v>High_Base_High_Upgraded_Particulate Matter Formation Potential (PMFP) - kg PM2.5 eq_Biosolids composting; aerated static pile; wastewater treatment unit; at updated plant - US_Base_With Amendment_Aerated Static Pile</v>
      </c>
    </row>
    <row r="10824" spans="1:13" s="120" customFormat="1" x14ac:dyDescent="0.25">
      <c r="A10824" s="119"/>
      <c r="B10824" s="138" t="str">
        <f t="shared" si="920"/>
        <v>Aerated Static Pile</v>
      </c>
      <c r="C10824" s="138" t="str">
        <f t="shared" si="921"/>
        <v>Base_With Amendment</v>
      </c>
      <c r="D10824" s="138" t="str">
        <f t="shared" si="924"/>
        <v>Base_High</v>
      </c>
      <c r="E10824" s="138" t="str">
        <f t="shared" si="923"/>
        <v>High</v>
      </c>
      <c r="F10824" s="138" t="str">
        <f t="shared" si="922"/>
        <v>Upgraded</v>
      </c>
      <c r="G10824" s="153"/>
      <c r="H10824" s="210">
        <v>0.90169999999999995</v>
      </c>
      <c r="I10824" s="160" t="s">
        <v>54</v>
      </c>
      <c r="J10824" s="160">
        <v>6.8000000000000005E-4</v>
      </c>
      <c r="K10824" s="160" t="s">
        <v>145</v>
      </c>
      <c r="L10824" s="154" t="str">
        <f>IF(OpenLCAbasic!K10824="CTUh", "Fill in Manually",IF(OR(K10824="Unit", K10824=""), "", INDEX(LookUps!$E$5:$E$12, MATCH(OpenLCAbasic!K10824,LookUps!$D$5:$D$12,0))))</f>
        <v>Particulate Matter Formation Potential (PMFP) - kg PM2.5 eq</v>
      </c>
      <c r="M10824" s="154" t="str">
        <f t="shared" si="925"/>
        <v>High_Base_High_Upgraded_Particulate Matter Formation Potential (PMFP) - kg PM2.5 eq_Clear Cove Primary Clarification; wastewater treatment unit; at updated plant - US_Base_With Amendment_Aerated Static Pile</v>
      </c>
    </row>
    <row r="10825" spans="1:13" s="120" customFormat="1" x14ac:dyDescent="0.25">
      <c r="A10825" s="119"/>
      <c r="B10825" s="138" t="str">
        <f t="shared" si="920"/>
        <v>Aerated Static Pile</v>
      </c>
      <c r="C10825" s="138" t="str">
        <f t="shared" si="921"/>
        <v>Base_With Amendment</v>
      </c>
      <c r="D10825" s="138" t="str">
        <f t="shared" si="924"/>
        <v>Base_High</v>
      </c>
      <c r="E10825" s="138" t="str">
        <f t="shared" si="923"/>
        <v>High</v>
      </c>
      <c r="F10825" s="138" t="str">
        <f t="shared" si="922"/>
        <v>Upgraded</v>
      </c>
      <c r="G10825" s="153"/>
      <c r="H10825" s="210">
        <v>0.77910000000000001</v>
      </c>
      <c r="I10825" s="160" t="s">
        <v>58</v>
      </c>
      <c r="J10825" s="160">
        <v>5.9000000000000003E-4</v>
      </c>
      <c r="K10825" s="160" t="s">
        <v>145</v>
      </c>
      <c r="L10825" s="154" t="str">
        <f>IF(OpenLCAbasic!K10825="CTUh", "Fill in Manually",IF(OR(K10825="Unit", K10825=""), "", INDEX(LookUps!$E$5:$E$12, MATCH(OpenLCAbasic!K10825,LookUps!$D$5:$D$12,0))))</f>
        <v>Particulate Matter Formation Potential (PMFP) - kg PM2.5 eq</v>
      </c>
      <c r="M10825" s="154" t="str">
        <f t="shared" si="925"/>
        <v>High_Base_High_Upgraded_Particulate Matter Formation Potential (PMFP) - kg PM2.5 eq_Pre-Anoxic &amp; Swing tank; wastewater treatment unit; at updated plant - US_Base_With Amendment_Aerated Static Pile</v>
      </c>
    </row>
    <row r="10826" spans="1:13" s="120" customFormat="1" x14ac:dyDescent="0.25">
      <c r="A10826" s="119"/>
      <c r="B10826" s="138" t="str">
        <f t="shared" ref="B10826:B10889" si="926">IF(F10826="Legacy","n.a.",IF(F10826="","","Aerated Static Pile"))</f>
        <v>Aerated Static Pile</v>
      </c>
      <c r="C10826" s="138" t="str">
        <f t="shared" ref="C10826:C10889" si="927">IF(ISNUMBER($J10826),"Base_With Amendment","")</f>
        <v>Base_With Amendment</v>
      </c>
      <c r="D10826" s="138" t="str">
        <f t="shared" si="924"/>
        <v>Base_High</v>
      </c>
      <c r="E10826" s="138" t="str">
        <f t="shared" si="923"/>
        <v>High</v>
      </c>
      <c r="F10826" s="138" t="str">
        <f t="shared" ref="F10826:F10889" si="928">IF(ISNUMBER(J10826),"Upgraded","")</f>
        <v>Upgraded</v>
      </c>
      <c r="G10826" s="153"/>
      <c r="H10826" s="210">
        <v>0.61960000000000004</v>
      </c>
      <c r="I10826" s="160" t="s">
        <v>53</v>
      </c>
      <c r="J10826" s="160">
        <v>4.6999999999999999E-4</v>
      </c>
      <c r="K10826" s="160" t="s">
        <v>145</v>
      </c>
      <c r="L10826" s="154" t="str">
        <f>IF(OpenLCAbasic!K10826="CTUh", "Fill in Manually",IF(OR(K10826="Unit", K10826=""), "", INDEX(LookUps!$E$5:$E$12, MATCH(OpenLCAbasic!K10826,LookUps!$D$5:$D$12,0))))</f>
        <v>Particulate Matter Formation Potential (PMFP) - kg PM2.5 eq</v>
      </c>
      <c r="M10826" s="154" t="str">
        <f t="shared" si="925"/>
        <v>High_Base_High_Upgraded_Particulate Matter Formation Potential (PMFP) - kg PM2.5 eq_Wet Well and Sump Station; wastewater treatment unit; at updated plant - US_Base_With Amendment_Aerated Static Pile</v>
      </c>
    </row>
    <row r="10827" spans="1:13" s="120" customFormat="1" x14ac:dyDescent="0.25">
      <c r="A10827" s="119"/>
      <c r="B10827" s="138" t="str">
        <f t="shared" si="926"/>
        <v>Aerated Static Pile</v>
      </c>
      <c r="C10827" s="138" t="str">
        <f t="shared" si="927"/>
        <v>Base_With Amendment</v>
      </c>
      <c r="D10827" s="138" t="str">
        <f t="shared" si="924"/>
        <v>Base_High</v>
      </c>
      <c r="E10827" s="138" t="str">
        <f t="shared" si="923"/>
        <v>High</v>
      </c>
      <c r="F10827" s="138" t="str">
        <f t="shared" si="928"/>
        <v>Upgraded</v>
      </c>
      <c r="G10827" s="153"/>
      <c r="H10827" s="210">
        <v>0.3972</v>
      </c>
      <c r="I10827" s="160" t="s">
        <v>167</v>
      </c>
      <c r="J10827" s="160">
        <v>2.9999999999999997E-4</v>
      </c>
      <c r="K10827" s="160" t="s">
        <v>145</v>
      </c>
      <c r="L10827" s="154" t="str">
        <f>IF(OpenLCAbasic!K10827="CTUh", "Fill in Manually",IF(OR(K10827="Unit", K10827=""), "", INDEX(LookUps!$E$5:$E$12, MATCH(OpenLCAbasic!K10827,LookUps!$D$5:$D$12,0))))</f>
        <v>Particulate Matter Formation Potential (PMFP) - kg PM2.5 eq</v>
      </c>
      <c r="M10827" s="154" t="str">
        <f t="shared" si="925"/>
        <v>High_Base_High_Upgraded_Particulate Matter Formation Potential (PMFP) - kg PM2.5 eq_Waste Receiving and Holding; wastewater treatment unit; at updated plant - US_Base_With Amendment_Aerated Static Pile</v>
      </c>
    </row>
    <row r="10828" spans="1:13" s="120" customFormat="1" x14ac:dyDescent="0.25">
      <c r="A10828" s="119"/>
      <c r="B10828" s="138" t="str">
        <f t="shared" si="926"/>
        <v>Aerated Static Pile</v>
      </c>
      <c r="C10828" s="138" t="str">
        <f t="shared" si="927"/>
        <v>Base_With Amendment</v>
      </c>
      <c r="D10828" s="138" t="str">
        <f t="shared" si="924"/>
        <v>Base_High</v>
      </c>
      <c r="E10828" s="138" t="str">
        <f t="shared" si="923"/>
        <v>High</v>
      </c>
      <c r="F10828" s="138" t="str">
        <f t="shared" si="928"/>
        <v>Upgraded</v>
      </c>
      <c r="G10828" s="153"/>
      <c r="H10828" s="210">
        <v>0.35410000000000003</v>
      </c>
      <c r="I10828" s="160" t="s">
        <v>147</v>
      </c>
      <c r="J10828" s="160">
        <v>2.7E-4</v>
      </c>
      <c r="K10828" s="160" t="s">
        <v>145</v>
      </c>
      <c r="L10828" s="154" t="str">
        <f>IF(OpenLCAbasic!K10828="CTUh", "Fill in Manually",IF(OR(K10828="Unit", K10828=""), "", INDEX(LookUps!$E$5:$E$12, MATCH(OpenLCAbasic!K10828,LookUps!$D$5:$D$12,0))))</f>
        <v>Particulate Matter Formation Potential (PMFP) - kg PM2.5 eq</v>
      </c>
      <c r="M10828" s="154" t="str">
        <f t="shared" si="925"/>
        <v>High_Base_High_Upgraded_Particulate Matter Formation Potential (PMFP) - kg PM2.5 eq_Influent Pump Station; wastewater treatment unit; at updated plant - US_Base_With Amendment_Aerated Static Pile</v>
      </c>
    </row>
    <row r="10829" spans="1:13" s="120" customFormat="1" x14ac:dyDescent="0.25">
      <c r="A10829" s="119"/>
      <c r="B10829" s="138" t="str">
        <f t="shared" si="926"/>
        <v>Aerated Static Pile</v>
      </c>
      <c r="C10829" s="138" t="str">
        <f t="shared" si="927"/>
        <v>Base_With Amendment</v>
      </c>
      <c r="D10829" s="138" t="str">
        <f t="shared" si="924"/>
        <v>Base_High</v>
      </c>
      <c r="E10829" s="138" t="str">
        <f t="shared" si="923"/>
        <v>High</v>
      </c>
      <c r="F10829" s="138" t="str">
        <f t="shared" si="928"/>
        <v>Upgraded</v>
      </c>
      <c r="G10829" s="153"/>
      <c r="H10829" s="210">
        <v>0.221</v>
      </c>
      <c r="I10829" s="160" t="s">
        <v>128</v>
      </c>
      <c r="J10829" s="160">
        <v>1.7000000000000001E-4</v>
      </c>
      <c r="K10829" s="160" t="s">
        <v>145</v>
      </c>
      <c r="L10829" s="154" t="str">
        <f>IF(OpenLCAbasic!K10829="CTUh", "Fill in Manually",IF(OR(K10829="Unit", K10829=""), "", INDEX(LookUps!$E$5:$E$12, MATCH(OpenLCAbasic!K10829,LookUps!$D$5:$D$12,0))))</f>
        <v>Particulate Matter Formation Potential (PMFP) - kg PM2.5 eq</v>
      </c>
      <c r="M10829" s="154" t="str">
        <f t="shared" si="925"/>
        <v>High_Base_High_Upgraded_Particulate Matter Formation Potential (PMFP) - kg PM2.5 eq_Wastewater collection; operation and infrastructure; m3 wastewater_Base_With Amendment_Aerated Static Pile</v>
      </c>
    </row>
    <row r="10830" spans="1:13" s="120" customFormat="1" x14ac:dyDescent="0.25">
      <c r="A10830" s="119"/>
      <c r="B10830" s="138" t="str">
        <f t="shared" si="926"/>
        <v>Aerated Static Pile</v>
      </c>
      <c r="C10830" s="138" t="str">
        <f t="shared" si="927"/>
        <v>Base_With Amendment</v>
      </c>
      <c r="D10830" s="138" t="str">
        <f t="shared" si="924"/>
        <v>Base_High</v>
      </c>
      <c r="E10830" s="138" t="str">
        <f t="shared" si="923"/>
        <v>High</v>
      </c>
      <c r="F10830" s="138" t="str">
        <f t="shared" si="928"/>
        <v>Upgraded</v>
      </c>
      <c r="G10830" s="153"/>
      <c r="H10830" s="210">
        <v>0.1336</v>
      </c>
      <c r="I10830" s="160" t="s">
        <v>60</v>
      </c>
      <c r="J10830" s="160">
        <v>1E-4</v>
      </c>
      <c r="K10830" s="160" t="s">
        <v>145</v>
      </c>
      <c r="L10830" s="154" t="str">
        <f>IF(OpenLCAbasic!K10830="CTUh", "Fill in Manually",IF(OR(K10830="Unit", K10830=""), "", INDEX(LookUps!$E$5:$E$12, MATCH(OpenLCAbasic!K10830,LookUps!$D$5:$D$12,0))))</f>
        <v>Particulate Matter Formation Potential (PMFP) - kg PM2.5 eq</v>
      </c>
      <c r="M10830" s="154" t="str">
        <f t="shared" si="925"/>
        <v>High_Base_High_Upgraded_Particulate Matter Formation Potential (PMFP) - kg PM2.5 eq_Belt filter press; wastewater treatment unit; at updated plant - US_Base_With Amendment_Aerated Static Pile</v>
      </c>
    </row>
    <row r="10831" spans="1:13" s="120" customFormat="1" x14ac:dyDescent="0.25">
      <c r="A10831" s="119"/>
      <c r="B10831" s="138" t="str">
        <f t="shared" si="926"/>
        <v>Aerated Static Pile</v>
      </c>
      <c r="C10831" s="138" t="str">
        <f t="shared" si="927"/>
        <v>Base_With Amendment</v>
      </c>
      <c r="D10831" s="138" t="str">
        <f t="shared" si="924"/>
        <v>Base_High</v>
      </c>
      <c r="E10831" s="138" t="str">
        <f t="shared" si="923"/>
        <v>High</v>
      </c>
      <c r="F10831" s="138" t="str">
        <f t="shared" si="928"/>
        <v>Upgraded</v>
      </c>
      <c r="G10831" s="153"/>
      <c r="H10831" s="210">
        <v>0.1263</v>
      </c>
      <c r="I10831" s="160" t="s">
        <v>57</v>
      </c>
      <c r="J10831" s="211">
        <v>9.5153800000000004E-5</v>
      </c>
      <c r="K10831" s="160" t="s">
        <v>145</v>
      </c>
      <c r="L10831" s="154" t="str">
        <f>IF(OpenLCAbasic!K10831="CTUh", "Fill in Manually",IF(OR(K10831="Unit", K10831=""), "", INDEX(LookUps!$E$5:$E$12, MATCH(OpenLCAbasic!K10831,LookUps!$D$5:$D$12,0))))</f>
        <v>Particulate Matter Formation Potential (PMFP) - kg PM2.5 eq</v>
      </c>
      <c r="M10831" s="154" t="str">
        <f t="shared" si="925"/>
        <v>High_Base_High_Upgraded_Particulate Matter Formation Potential (PMFP) - kg PM2.5 eq_Gravity Belt Thickener; wastewater treatment unit; at updated plant - US_Base_With Amendment_Aerated Static Pile</v>
      </c>
    </row>
    <row r="10832" spans="1:13" s="120" customFormat="1" x14ac:dyDescent="0.25">
      <c r="A10832" s="119"/>
      <c r="B10832" s="138" t="str">
        <f t="shared" si="926"/>
        <v>Aerated Static Pile</v>
      </c>
      <c r="C10832" s="138" t="str">
        <f t="shared" si="927"/>
        <v>Base_With Amendment</v>
      </c>
      <c r="D10832" s="138" t="str">
        <f t="shared" si="924"/>
        <v>Base_High</v>
      </c>
      <c r="E10832" s="138" t="str">
        <f t="shared" si="923"/>
        <v>High</v>
      </c>
      <c r="F10832" s="138" t="str">
        <f t="shared" si="928"/>
        <v>Upgraded</v>
      </c>
      <c r="G10832" s="153"/>
      <c r="H10832" s="210">
        <v>9.2899999999999996E-2</v>
      </c>
      <c r="I10832" s="160" t="s">
        <v>59</v>
      </c>
      <c r="J10832" s="211">
        <v>6.9942200000000003E-5</v>
      </c>
      <c r="K10832" s="160" t="s">
        <v>145</v>
      </c>
      <c r="L10832" s="154" t="str">
        <f>IF(OpenLCAbasic!K10832="CTUh", "Fill in Manually",IF(OR(K10832="Unit", K10832=""), "", INDEX(LookUps!$E$5:$E$12, MATCH(OpenLCAbasic!K10832,LookUps!$D$5:$D$12,0))))</f>
        <v>Particulate Matter Formation Potential (PMFP) - kg PM2.5 eq</v>
      </c>
      <c r="M10832" s="154" t="str">
        <f t="shared" si="925"/>
        <v>High_Base_High_Upgraded_Particulate Matter Formation Potential (PMFP) - kg PM2.5 eq_Blend Tank; wastewater treatment unit; at updated plant - US_Base_With Amendment_Aerated Static Pile</v>
      </c>
    </row>
    <row r="10833" spans="1:13" s="120" customFormat="1" x14ac:dyDescent="0.25">
      <c r="A10833" s="119"/>
      <c r="B10833" s="138" t="str">
        <f t="shared" si="926"/>
        <v>Aerated Static Pile</v>
      </c>
      <c r="C10833" s="138" t="str">
        <f t="shared" si="927"/>
        <v>Base_With Amendment</v>
      </c>
      <c r="D10833" s="138" t="str">
        <f t="shared" si="924"/>
        <v>Base_High</v>
      </c>
      <c r="E10833" s="138" t="str">
        <f t="shared" si="923"/>
        <v>High</v>
      </c>
      <c r="F10833" s="138" t="str">
        <f t="shared" si="928"/>
        <v>Upgraded</v>
      </c>
      <c r="G10833" s="153"/>
      <c r="H10833" s="210">
        <v>6.6299999999999998E-2</v>
      </c>
      <c r="I10833" s="160" t="s">
        <v>48</v>
      </c>
      <c r="J10833" s="211">
        <v>4.99741E-5</v>
      </c>
      <c r="K10833" s="160" t="s">
        <v>145</v>
      </c>
      <c r="L10833" s="154" t="str">
        <f>IF(OpenLCAbasic!K10833="CTUh", "Fill in Manually",IF(OR(K10833="Unit", K10833=""), "", INDEX(LookUps!$E$5:$E$12, MATCH(OpenLCAbasic!K10833,LookUps!$D$5:$D$12,0))))</f>
        <v>Particulate Matter Formation Potential (PMFP) - kg PM2.5 eq</v>
      </c>
      <c r="M10833" s="154" t="str">
        <f t="shared" si="925"/>
        <v>High_Base_High_Upgraded_Particulate Matter Formation Potential (PMFP) - kg PM2.5 eq_Effluent release; wastewater treatment unit; at surface water; m3 wastewater - US_Base_With Amendment_Aerated Static Pile</v>
      </c>
    </row>
    <row r="10834" spans="1:13" s="120" customFormat="1" x14ac:dyDescent="0.25">
      <c r="A10834" s="119"/>
      <c r="B10834" s="138" t="str">
        <f t="shared" si="926"/>
        <v>Aerated Static Pile</v>
      </c>
      <c r="C10834" s="138" t="str">
        <f t="shared" si="927"/>
        <v>Base_With Amendment</v>
      </c>
      <c r="D10834" s="138" t="str">
        <f t="shared" si="924"/>
        <v>Base_High</v>
      </c>
      <c r="E10834" s="138" t="str">
        <f t="shared" si="923"/>
        <v>High</v>
      </c>
      <c r="F10834" s="138" t="str">
        <f t="shared" si="928"/>
        <v>Upgraded</v>
      </c>
      <c r="G10834" s="153"/>
      <c r="H10834" s="210">
        <v>4.5900000000000003E-2</v>
      </c>
      <c r="I10834" s="160" t="s">
        <v>168</v>
      </c>
      <c r="J10834" s="211">
        <v>3.4562199999999999E-5</v>
      </c>
      <c r="K10834" s="160" t="s">
        <v>145</v>
      </c>
      <c r="L10834" s="154" t="str">
        <f>IF(OpenLCAbasic!K10834="CTUh", "Fill in Manually",IF(OR(K10834="Unit", K10834=""), "", INDEX(LookUps!$E$5:$E$12, MATCH(OpenLCAbasic!K10834,LookUps!$D$5:$D$12,0))))</f>
        <v>Particulate Matter Formation Potential (PMFP) - kg PM2.5 eq</v>
      </c>
      <c r="M10834" s="154" t="str">
        <f t="shared" si="925"/>
        <v>High_Base_High_Upgraded_Particulate Matter Formation Potential (PMFP) - kg PM2.5 eq_ClearCove SCP; wastewater treatment unit; at updated plant - US_Base_With Amendment_Aerated Static Pile</v>
      </c>
    </row>
    <row r="10835" spans="1:13" s="120" customFormat="1" x14ac:dyDescent="0.25">
      <c r="A10835" s="119"/>
      <c r="B10835" s="138" t="str">
        <f t="shared" si="926"/>
        <v>Aerated Static Pile</v>
      </c>
      <c r="C10835" s="138" t="str">
        <f t="shared" si="927"/>
        <v>Base_With Amendment</v>
      </c>
      <c r="D10835" s="138" t="str">
        <f t="shared" si="924"/>
        <v>Base_High</v>
      </c>
      <c r="E10835" s="138" t="str">
        <f t="shared" si="923"/>
        <v>High</v>
      </c>
      <c r="F10835" s="138" t="str">
        <f t="shared" si="928"/>
        <v>Upgraded</v>
      </c>
      <c r="G10835" s="153"/>
      <c r="H10835" s="210">
        <v>4.3400000000000001E-2</v>
      </c>
      <c r="I10835" s="160" t="s">
        <v>62</v>
      </c>
      <c r="J10835" s="211">
        <v>3.2704299999999998E-5</v>
      </c>
      <c r="K10835" s="160" t="s">
        <v>145</v>
      </c>
      <c r="L10835" s="154" t="str">
        <f>IF(OpenLCAbasic!K10835="CTUh", "Fill in Manually",IF(OR(K10835="Unit", K10835=""), "", INDEX(LookUps!$E$5:$E$12, MATCH(OpenLCAbasic!K10835,LookUps!$D$5:$D$12,0))))</f>
        <v>Particulate Matter Formation Potential (PMFP) - kg PM2.5 eq</v>
      </c>
      <c r="M10835" s="154" t="str">
        <f t="shared" si="925"/>
        <v>High_Base_High_Upgraded_Particulate Matter Formation Potential (PMFP) - kg PM2.5 eq_Land application of compost; wastewater treatment unit; at updated plant - US_Base_With Amendment_Aerated Static Pile</v>
      </c>
    </row>
    <row r="10836" spans="1:13" s="120" customFormat="1" x14ac:dyDescent="0.25">
      <c r="A10836" s="119"/>
      <c r="B10836" s="138" t="str">
        <f t="shared" si="926"/>
        <v>Aerated Static Pile</v>
      </c>
      <c r="C10836" s="138" t="str">
        <f t="shared" si="927"/>
        <v>Base_With Amendment</v>
      </c>
      <c r="D10836" s="138" t="str">
        <f t="shared" si="924"/>
        <v>Base_High</v>
      </c>
      <c r="E10836" s="138" t="str">
        <f t="shared" si="923"/>
        <v>High</v>
      </c>
      <c r="F10836" s="138" t="str">
        <f t="shared" si="928"/>
        <v>Upgraded</v>
      </c>
      <c r="G10836" s="153"/>
      <c r="H10836" s="210">
        <v>1.17E-2</v>
      </c>
      <c r="I10836" s="160" t="s">
        <v>148</v>
      </c>
      <c r="J10836" s="211">
        <v>8.8212999999999997E-6</v>
      </c>
      <c r="K10836" s="160" t="s">
        <v>145</v>
      </c>
      <c r="L10836" s="154" t="str">
        <f>IF(OpenLCAbasic!K10836="CTUh", "Fill in Manually",IF(OR(K10836="Unit", K10836=""), "", INDEX(LookUps!$E$5:$E$12, MATCH(OpenLCAbasic!K10836,LookUps!$D$5:$D$12,0))))</f>
        <v>Particulate Matter Formation Potential (PMFP) - kg PM2.5 eq</v>
      </c>
      <c r="M10836" s="154" t="str">
        <f t="shared" si="925"/>
        <v>High_Base_High_Upgraded_Particulate Matter Formation Potential (PMFP) - kg PM2.5 eq_Control Building; at upgraded wastewater treatment plant - US_Base_With Amendment_Aerated Static Pile</v>
      </c>
    </row>
    <row r="10837" spans="1:13" s="120" customFormat="1" x14ac:dyDescent="0.25">
      <c r="A10837" s="119"/>
      <c r="B10837" s="138" t="str">
        <f t="shared" si="926"/>
        <v>Aerated Static Pile</v>
      </c>
      <c r="C10837" s="138" t="str">
        <f t="shared" si="927"/>
        <v>Base_With Amendment</v>
      </c>
      <c r="D10837" s="138" t="str">
        <f t="shared" si="924"/>
        <v>Base_High</v>
      </c>
      <c r="E10837" s="138" t="str">
        <f t="shared" si="923"/>
        <v>High</v>
      </c>
      <c r="F10837" s="138" t="str">
        <f t="shared" si="928"/>
        <v>Upgraded</v>
      </c>
      <c r="G10837" s="153"/>
      <c r="H10837" s="210">
        <v>-6.96</v>
      </c>
      <c r="I10837" s="160" t="s">
        <v>149</v>
      </c>
      <c r="J10837" s="160">
        <v>-5.2399999999999999E-3</v>
      </c>
      <c r="K10837" s="160" t="s">
        <v>145</v>
      </c>
      <c r="L10837" s="154" t="str">
        <f>IF(OpenLCAbasic!K10837="CTUh", "Fill in Manually",IF(OR(K10837="Unit", K10837=""), "", INDEX(LookUps!$E$5:$E$12, MATCH(OpenLCAbasic!K10837,LookUps!$D$5:$D$12,0))))</f>
        <v>Particulate Matter Formation Potential (PMFP) - kg PM2.5 eq</v>
      </c>
      <c r="M10837" s="154" t="str">
        <f t="shared" si="925"/>
        <v>High_Base_High_Upgraded_Particulate Matter Formation Potential (PMFP) - kg PM2.5 eq_Anaerobic Digestion; wastewater treatment unit; at updated plant - US_Base_With Amendment_Aerated Static Pile</v>
      </c>
    </row>
    <row r="10838" spans="1:13" s="120" customFormat="1" x14ac:dyDescent="0.25">
      <c r="A10838" s="119"/>
      <c r="B10838" s="138" t="str">
        <f t="shared" si="926"/>
        <v/>
      </c>
      <c r="C10838" s="138" t="str">
        <f t="shared" si="927"/>
        <v/>
      </c>
      <c r="D10838" s="138" t="str">
        <f t="shared" si="924"/>
        <v/>
      </c>
      <c r="E10838" s="138" t="str">
        <f t="shared" si="923"/>
        <v/>
      </c>
      <c r="F10838" s="138" t="str">
        <f t="shared" si="928"/>
        <v/>
      </c>
      <c r="G10838" s="153" t="s">
        <v>51</v>
      </c>
      <c r="H10838" s="160"/>
      <c r="I10838" s="160" t="s">
        <v>47</v>
      </c>
      <c r="J10838" s="160" t="s">
        <v>52</v>
      </c>
      <c r="K10838" s="160" t="s">
        <v>27</v>
      </c>
      <c r="L10838" s="154" t="str">
        <f>IF(OpenLCAbasic!K10838="CTUh", "Fill in Manually",IF(OR(K10838="Unit", K10838=""), "", INDEX(LookUps!$E$5:$E$12, MATCH(OpenLCAbasic!K10838,LookUps!$D$5:$D$12,0))))</f>
        <v/>
      </c>
      <c r="M10838" s="154" t="str">
        <f t="shared" si="925"/>
        <v>____Process__</v>
      </c>
    </row>
    <row r="10839" spans="1:13" s="120" customFormat="1" x14ac:dyDescent="0.25">
      <c r="A10839" s="119"/>
      <c r="B10839" s="138" t="str">
        <f t="shared" si="926"/>
        <v>Aerated Static Pile</v>
      </c>
      <c r="C10839" s="138" t="str">
        <f t="shared" si="927"/>
        <v>Base_With Amendment</v>
      </c>
      <c r="D10839" s="138" t="str">
        <f t="shared" si="924"/>
        <v>Base_High</v>
      </c>
      <c r="E10839" s="138" t="str">
        <f t="shared" si="923"/>
        <v>High</v>
      </c>
      <c r="F10839" s="138" t="str">
        <f t="shared" si="928"/>
        <v>Upgraded</v>
      </c>
      <c r="G10839" s="153"/>
      <c r="H10839" s="210">
        <v>3.1362999999999999</v>
      </c>
      <c r="I10839" s="160" t="s">
        <v>55</v>
      </c>
      <c r="J10839" s="160">
        <v>0.16577</v>
      </c>
      <c r="K10839" s="160" t="s">
        <v>25</v>
      </c>
      <c r="L10839" s="154" t="str">
        <f>IF(OpenLCAbasic!K10839="CTUh", "Fill in Manually",IF(OR(K10839="Unit", K10839=""), "", INDEX(LookUps!$E$5:$E$12, MATCH(OpenLCAbasic!K10839,LookUps!$D$5:$D$12,0))))</f>
        <v>Smog Formation Potential (SFP) - kg O3 eq</v>
      </c>
      <c r="M10839" s="154" t="str">
        <f t="shared" si="925"/>
        <v>High_Base_High_Upgraded_Smog Formation Potential (SFP) - kg O3 eq_Aeration Tanks; wastewater treatment unit; at updated plant - US_Base_With Amendment_Aerated Static Pile</v>
      </c>
    </row>
    <row r="10840" spans="1:13" s="120" customFormat="1" x14ac:dyDescent="0.25">
      <c r="A10840" s="119"/>
      <c r="B10840" s="138" t="str">
        <f t="shared" si="926"/>
        <v>Aerated Static Pile</v>
      </c>
      <c r="C10840" s="138" t="str">
        <f t="shared" si="927"/>
        <v>Base_With Amendment</v>
      </c>
      <c r="D10840" s="138" t="str">
        <f t="shared" si="924"/>
        <v>Base_High</v>
      </c>
      <c r="E10840" s="138" t="str">
        <f t="shared" si="923"/>
        <v>High</v>
      </c>
      <c r="F10840" s="138" t="str">
        <f t="shared" si="928"/>
        <v>Upgraded</v>
      </c>
      <c r="G10840" s="153"/>
      <c r="H10840" s="210">
        <v>1.0593999999999999</v>
      </c>
      <c r="I10840" s="160" t="s">
        <v>435</v>
      </c>
      <c r="J10840" s="160">
        <v>5.5989999999999998E-2</v>
      </c>
      <c r="K10840" s="160" t="s">
        <v>25</v>
      </c>
      <c r="L10840" s="154" t="str">
        <f>IF(OpenLCAbasic!K10840="CTUh", "Fill in Manually",IF(OR(K10840="Unit", K10840=""), "", INDEX(LookUps!$E$5:$E$12, MATCH(OpenLCAbasic!K10840,LookUps!$D$5:$D$12,0))))</f>
        <v>Smog Formation Potential (SFP) - kg O3 eq</v>
      </c>
      <c r="M10840" s="154" t="str">
        <f t="shared" si="925"/>
        <v>High_Base_High_Upgraded_Smog Formation Potential (SFP) - kg O3 eq_Biosolids composting; aerated static pile; wastewater treatment unit; at updated plant - US_Base_With Amendment_Aerated Static Pile</v>
      </c>
    </row>
    <row r="10841" spans="1:13" s="120" customFormat="1" x14ac:dyDescent="0.25">
      <c r="A10841" s="119"/>
      <c r="B10841" s="138" t="str">
        <f t="shared" si="926"/>
        <v>Aerated Static Pile</v>
      </c>
      <c r="C10841" s="138" t="str">
        <f t="shared" si="927"/>
        <v>Base_With Amendment</v>
      </c>
      <c r="D10841" s="138" t="str">
        <f t="shared" si="924"/>
        <v>Base_High</v>
      </c>
      <c r="E10841" s="138" t="str">
        <f t="shared" si="923"/>
        <v>High</v>
      </c>
      <c r="F10841" s="138" t="str">
        <f t="shared" si="928"/>
        <v>Upgraded</v>
      </c>
      <c r="G10841" s="153"/>
      <c r="H10841" s="210">
        <v>0.90949999999999998</v>
      </c>
      <c r="I10841" s="160" t="s">
        <v>54</v>
      </c>
      <c r="J10841" s="160">
        <v>4.8070000000000002E-2</v>
      </c>
      <c r="K10841" s="160" t="s">
        <v>25</v>
      </c>
      <c r="L10841" s="154" t="str">
        <f>IF(OpenLCAbasic!K10841="CTUh", "Fill in Manually",IF(OR(K10841="Unit", K10841=""), "", INDEX(LookUps!$E$5:$E$12, MATCH(OpenLCAbasic!K10841,LookUps!$D$5:$D$12,0))))</f>
        <v>Smog Formation Potential (SFP) - kg O3 eq</v>
      </c>
      <c r="M10841" s="154" t="str">
        <f t="shared" si="925"/>
        <v>High_Base_High_Upgraded_Smog Formation Potential (SFP) - kg O3 eq_Clear Cove Primary Clarification; wastewater treatment unit; at updated plant - US_Base_With Amendment_Aerated Static Pile</v>
      </c>
    </row>
    <row r="10842" spans="1:13" s="120" customFormat="1" x14ac:dyDescent="0.25">
      <c r="A10842" s="119"/>
      <c r="B10842" s="138" t="str">
        <f t="shared" si="926"/>
        <v>Aerated Static Pile</v>
      </c>
      <c r="C10842" s="138" t="str">
        <f t="shared" si="927"/>
        <v>Base_With Amendment</v>
      </c>
      <c r="D10842" s="138" t="str">
        <f t="shared" si="924"/>
        <v>Base_High</v>
      </c>
      <c r="E10842" s="138" t="str">
        <f t="shared" si="923"/>
        <v>High</v>
      </c>
      <c r="F10842" s="138" t="str">
        <f t="shared" si="928"/>
        <v>Upgraded</v>
      </c>
      <c r="G10842" s="153"/>
      <c r="H10842" s="210">
        <v>0.79039999999999999</v>
      </c>
      <c r="I10842" s="160" t="s">
        <v>58</v>
      </c>
      <c r="J10842" s="160">
        <v>4.1779999999999998E-2</v>
      </c>
      <c r="K10842" s="160" t="s">
        <v>25</v>
      </c>
      <c r="L10842" s="154" t="str">
        <f>IF(OpenLCAbasic!K10842="CTUh", "Fill in Manually",IF(OR(K10842="Unit", K10842=""), "", INDEX(LookUps!$E$5:$E$12, MATCH(OpenLCAbasic!K10842,LookUps!$D$5:$D$12,0))))</f>
        <v>Smog Formation Potential (SFP) - kg O3 eq</v>
      </c>
      <c r="M10842" s="154" t="str">
        <f t="shared" si="925"/>
        <v>High_Base_High_Upgraded_Smog Formation Potential (SFP) - kg O3 eq_Pre-Anoxic &amp; Swing tank; wastewater treatment unit; at updated plant - US_Base_With Amendment_Aerated Static Pile</v>
      </c>
    </row>
    <row r="10843" spans="1:13" s="120" customFormat="1" x14ac:dyDescent="0.25">
      <c r="A10843" s="119"/>
      <c r="B10843" s="138" t="str">
        <f t="shared" si="926"/>
        <v>Aerated Static Pile</v>
      </c>
      <c r="C10843" s="138" t="str">
        <f t="shared" si="927"/>
        <v>Base_With Amendment</v>
      </c>
      <c r="D10843" s="138" t="str">
        <f t="shared" si="924"/>
        <v>Base_High</v>
      </c>
      <c r="E10843" s="138" t="str">
        <f t="shared" si="923"/>
        <v>High</v>
      </c>
      <c r="F10843" s="138" t="str">
        <f t="shared" si="928"/>
        <v>Upgraded</v>
      </c>
      <c r="G10843" s="153"/>
      <c r="H10843" s="210">
        <v>0.62670000000000003</v>
      </c>
      <c r="I10843" s="160" t="s">
        <v>53</v>
      </c>
      <c r="J10843" s="160">
        <v>3.313E-2</v>
      </c>
      <c r="K10843" s="160" t="s">
        <v>25</v>
      </c>
      <c r="L10843" s="154" t="str">
        <f>IF(OpenLCAbasic!K10843="CTUh", "Fill in Manually",IF(OR(K10843="Unit", K10843=""), "", INDEX(LookUps!$E$5:$E$12, MATCH(OpenLCAbasic!K10843,LookUps!$D$5:$D$12,0))))</f>
        <v>Smog Formation Potential (SFP) - kg O3 eq</v>
      </c>
      <c r="M10843" s="154" t="str">
        <f t="shared" si="925"/>
        <v>High_Base_High_Upgraded_Smog Formation Potential (SFP) - kg O3 eq_Wet Well and Sump Station; wastewater treatment unit; at updated plant - US_Base_With Amendment_Aerated Static Pile</v>
      </c>
    </row>
    <row r="10844" spans="1:13" s="120" customFormat="1" x14ac:dyDescent="0.25">
      <c r="A10844" s="119"/>
      <c r="B10844" s="138" t="str">
        <f t="shared" si="926"/>
        <v>Aerated Static Pile</v>
      </c>
      <c r="C10844" s="138" t="str">
        <f t="shared" si="927"/>
        <v>Base_With Amendment</v>
      </c>
      <c r="D10844" s="138" t="str">
        <f t="shared" si="924"/>
        <v>Base_High</v>
      </c>
      <c r="E10844" s="138" t="str">
        <f t="shared" si="923"/>
        <v>High</v>
      </c>
      <c r="F10844" s="138" t="str">
        <f t="shared" si="928"/>
        <v>Upgraded</v>
      </c>
      <c r="G10844" s="153"/>
      <c r="H10844" s="210">
        <v>0.52869999999999995</v>
      </c>
      <c r="I10844" s="160" t="s">
        <v>167</v>
      </c>
      <c r="J10844" s="160">
        <v>2.7949999999999999E-2</v>
      </c>
      <c r="K10844" s="160" t="s">
        <v>25</v>
      </c>
      <c r="L10844" s="154" t="str">
        <f>IF(OpenLCAbasic!K10844="CTUh", "Fill in Manually",IF(OR(K10844="Unit", K10844=""), "", INDEX(LookUps!$E$5:$E$12, MATCH(OpenLCAbasic!K10844,LookUps!$D$5:$D$12,0))))</f>
        <v>Smog Formation Potential (SFP) - kg O3 eq</v>
      </c>
      <c r="M10844" s="154" t="str">
        <f t="shared" si="925"/>
        <v>High_Base_High_Upgraded_Smog Formation Potential (SFP) - kg O3 eq_Waste Receiving and Holding; wastewater treatment unit; at updated plant - US_Base_With Amendment_Aerated Static Pile</v>
      </c>
    </row>
    <row r="10845" spans="1:13" s="120" customFormat="1" x14ac:dyDescent="0.25">
      <c r="A10845" s="119"/>
      <c r="B10845" s="138" t="str">
        <f t="shared" si="926"/>
        <v>Aerated Static Pile</v>
      </c>
      <c r="C10845" s="138" t="str">
        <f t="shared" si="927"/>
        <v>Base_With Amendment</v>
      </c>
      <c r="D10845" s="138" t="str">
        <f t="shared" si="924"/>
        <v>Base_High</v>
      </c>
      <c r="E10845" s="138" t="str">
        <f t="shared" si="923"/>
        <v>High</v>
      </c>
      <c r="F10845" s="138" t="str">
        <f t="shared" si="928"/>
        <v>Upgraded</v>
      </c>
      <c r="G10845" s="153"/>
      <c r="H10845" s="210">
        <v>0.36699999999999999</v>
      </c>
      <c r="I10845" s="160" t="s">
        <v>147</v>
      </c>
      <c r="J10845" s="160">
        <v>1.9400000000000001E-2</v>
      </c>
      <c r="K10845" s="160" t="s">
        <v>25</v>
      </c>
      <c r="L10845" s="154" t="str">
        <f>IF(OpenLCAbasic!K10845="CTUh", "Fill in Manually",IF(OR(K10845="Unit", K10845=""), "", INDEX(LookUps!$E$5:$E$12, MATCH(OpenLCAbasic!K10845,LookUps!$D$5:$D$12,0))))</f>
        <v>Smog Formation Potential (SFP) - kg O3 eq</v>
      </c>
      <c r="M10845" s="154" t="str">
        <f t="shared" si="925"/>
        <v>High_Base_High_Upgraded_Smog Formation Potential (SFP) - kg O3 eq_Influent Pump Station; wastewater treatment unit; at updated plant - US_Base_With Amendment_Aerated Static Pile</v>
      </c>
    </row>
    <row r="10846" spans="1:13" s="120" customFormat="1" x14ac:dyDescent="0.25">
      <c r="A10846" s="119"/>
      <c r="B10846" s="138" t="str">
        <f t="shared" si="926"/>
        <v>Aerated Static Pile</v>
      </c>
      <c r="C10846" s="138" t="str">
        <f t="shared" si="927"/>
        <v>Base_With Amendment</v>
      </c>
      <c r="D10846" s="138" t="str">
        <f t="shared" si="924"/>
        <v>Base_High</v>
      </c>
      <c r="E10846" s="138" t="str">
        <f t="shared" si="923"/>
        <v>High</v>
      </c>
      <c r="F10846" s="138" t="str">
        <f t="shared" si="928"/>
        <v>Upgraded</v>
      </c>
      <c r="G10846" s="153"/>
      <c r="H10846" s="210">
        <v>0.22550000000000001</v>
      </c>
      <c r="I10846" s="160" t="s">
        <v>128</v>
      </c>
      <c r="J10846" s="160">
        <v>1.192E-2</v>
      </c>
      <c r="K10846" s="160" t="s">
        <v>25</v>
      </c>
      <c r="L10846" s="154" t="str">
        <f>IF(OpenLCAbasic!K10846="CTUh", "Fill in Manually",IF(OR(K10846="Unit", K10846=""), "", INDEX(LookUps!$E$5:$E$12, MATCH(OpenLCAbasic!K10846,LookUps!$D$5:$D$12,0))))</f>
        <v>Smog Formation Potential (SFP) - kg O3 eq</v>
      </c>
      <c r="M10846" s="154" t="str">
        <f t="shared" si="925"/>
        <v>High_Base_High_Upgraded_Smog Formation Potential (SFP) - kg O3 eq_Wastewater collection; operation and infrastructure; m3 wastewater_Base_With Amendment_Aerated Static Pile</v>
      </c>
    </row>
    <row r="10847" spans="1:13" s="120" customFormat="1" x14ac:dyDescent="0.25">
      <c r="A10847" s="119"/>
      <c r="B10847" s="138" t="str">
        <f t="shared" si="926"/>
        <v>Aerated Static Pile</v>
      </c>
      <c r="C10847" s="138" t="str">
        <f t="shared" si="927"/>
        <v>Base_With Amendment</v>
      </c>
      <c r="D10847" s="138" t="str">
        <f t="shared" si="924"/>
        <v>Base_High</v>
      </c>
      <c r="E10847" s="138" t="str">
        <f t="shared" si="923"/>
        <v>High</v>
      </c>
      <c r="F10847" s="138" t="str">
        <f t="shared" si="928"/>
        <v>Upgraded</v>
      </c>
      <c r="G10847" s="153"/>
      <c r="H10847" s="210">
        <v>0.13389999999999999</v>
      </c>
      <c r="I10847" s="160" t="s">
        <v>60</v>
      </c>
      <c r="J10847" s="160">
        <v>7.0800000000000004E-3</v>
      </c>
      <c r="K10847" s="160" t="s">
        <v>25</v>
      </c>
      <c r="L10847" s="154" t="str">
        <f>IF(OpenLCAbasic!K10847="CTUh", "Fill in Manually",IF(OR(K10847="Unit", K10847=""), "", INDEX(LookUps!$E$5:$E$12, MATCH(OpenLCAbasic!K10847,LookUps!$D$5:$D$12,0))))</f>
        <v>Smog Formation Potential (SFP) - kg O3 eq</v>
      </c>
      <c r="M10847" s="154" t="str">
        <f t="shared" si="925"/>
        <v>High_Base_High_Upgraded_Smog Formation Potential (SFP) - kg O3 eq_Belt filter press; wastewater treatment unit; at updated plant - US_Base_With Amendment_Aerated Static Pile</v>
      </c>
    </row>
    <row r="10848" spans="1:13" s="120" customFormat="1" x14ac:dyDescent="0.25">
      <c r="A10848" s="119"/>
      <c r="B10848" s="138" t="str">
        <f t="shared" si="926"/>
        <v>Aerated Static Pile</v>
      </c>
      <c r="C10848" s="138" t="str">
        <f t="shared" si="927"/>
        <v>Base_With Amendment</v>
      </c>
      <c r="D10848" s="138" t="str">
        <f t="shared" si="924"/>
        <v>Base_High</v>
      </c>
      <c r="E10848" s="138" t="str">
        <f t="shared" si="923"/>
        <v>High</v>
      </c>
      <c r="F10848" s="138" t="str">
        <f t="shared" si="928"/>
        <v>Upgraded</v>
      </c>
      <c r="G10848" s="153"/>
      <c r="H10848" s="210">
        <v>0.12590000000000001</v>
      </c>
      <c r="I10848" s="160" t="s">
        <v>57</v>
      </c>
      <c r="J10848" s="160">
        <v>6.6499999999999997E-3</v>
      </c>
      <c r="K10848" s="160" t="s">
        <v>25</v>
      </c>
      <c r="L10848" s="154" t="str">
        <f>IF(OpenLCAbasic!K10848="CTUh", "Fill in Manually",IF(OR(K10848="Unit", K10848=""), "", INDEX(LookUps!$E$5:$E$12, MATCH(OpenLCAbasic!K10848,LookUps!$D$5:$D$12,0))))</f>
        <v>Smog Formation Potential (SFP) - kg O3 eq</v>
      </c>
      <c r="M10848" s="154" t="str">
        <f t="shared" si="925"/>
        <v>High_Base_High_Upgraded_Smog Formation Potential (SFP) - kg O3 eq_Gravity Belt Thickener; wastewater treatment unit; at updated plant - US_Base_With Amendment_Aerated Static Pile</v>
      </c>
    </row>
    <row r="10849" spans="1:13" s="120" customFormat="1" x14ac:dyDescent="0.25">
      <c r="A10849" s="119"/>
      <c r="B10849" s="138" t="str">
        <f t="shared" si="926"/>
        <v>Aerated Static Pile</v>
      </c>
      <c r="C10849" s="138" t="str">
        <f t="shared" si="927"/>
        <v>Base_With Amendment</v>
      </c>
      <c r="D10849" s="138" t="str">
        <f t="shared" si="924"/>
        <v>Base_High</v>
      </c>
      <c r="E10849" s="138" t="str">
        <f t="shared" si="923"/>
        <v>High</v>
      </c>
      <c r="F10849" s="138" t="str">
        <f t="shared" si="928"/>
        <v>Upgraded</v>
      </c>
      <c r="G10849" s="153"/>
      <c r="H10849" s="210">
        <v>9.4100000000000003E-2</v>
      </c>
      <c r="I10849" s="160" t="s">
        <v>59</v>
      </c>
      <c r="J10849" s="160">
        <v>4.9699999999999996E-3</v>
      </c>
      <c r="K10849" s="160" t="s">
        <v>25</v>
      </c>
      <c r="L10849" s="154" t="str">
        <f>IF(OpenLCAbasic!K10849="CTUh", "Fill in Manually",IF(OR(K10849="Unit", K10849=""), "", INDEX(LookUps!$E$5:$E$12, MATCH(OpenLCAbasic!K10849,LookUps!$D$5:$D$12,0))))</f>
        <v>Smog Formation Potential (SFP) - kg O3 eq</v>
      </c>
      <c r="M10849" s="154" t="str">
        <f t="shared" si="925"/>
        <v>High_Base_High_Upgraded_Smog Formation Potential (SFP) - kg O3 eq_Blend Tank; wastewater treatment unit; at updated plant - US_Base_With Amendment_Aerated Static Pile</v>
      </c>
    </row>
    <row r="10850" spans="1:13" s="120" customFormat="1" x14ac:dyDescent="0.25">
      <c r="A10850" s="119"/>
      <c r="B10850" s="138" t="str">
        <f t="shared" si="926"/>
        <v>Aerated Static Pile</v>
      </c>
      <c r="C10850" s="138" t="str">
        <f t="shared" si="927"/>
        <v>Base_With Amendment</v>
      </c>
      <c r="D10850" s="138" t="str">
        <f t="shared" si="924"/>
        <v>Base_High</v>
      </c>
      <c r="E10850" s="138" t="str">
        <f t="shared" si="923"/>
        <v>High</v>
      </c>
      <c r="F10850" s="138" t="str">
        <f t="shared" si="928"/>
        <v>Upgraded</v>
      </c>
      <c r="G10850" s="153"/>
      <c r="H10850" s="210">
        <v>6.4000000000000001E-2</v>
      </c>
      <c r="I10850" s="160" t="s">
        <v>48</v>
      </c>
      <c r="J10850" s="160">
        <v>3.3899999999999998E-3</v>
      </c>
      <c r="K10850" s="160" t="s">
        <v>25</v>
      </c>
      <c r="L10850" s="154" t="str">
        <f>IF(OpenLCAbasic!K10850="CTUh", "Fill in Manually",IF(OR(K10850="Unit", K10850=""), "", INDEX(LookUps!$E$5:$E$12, MATCH(OpenLCAbasic!K10850,LookUps!$D$5:$D$12,0))))</f>
        <v>Smog Formation Potential (SFP) - kg O3 eq</v>
      </c>
      <c r="M10850" s="154" t="str">
        <f t="shared" si="925"/>
        <v>High_Base_High_Upgraded_Smog Formation Potential (SFP) - kg O3 eq_Effluent release; wastewater treatment unit; at surface water; m3 wastewater - US_Base_With Amendment_Aerated Static Pile</v>
      </c>
    </row>
    <row r="10851" spans="1:13" s="120" customFormat="1" x14ac:dyDescent="0.25">
      <c r="A10851" s="119"/>
      <c r="B10851" s="138" t="str">
        <f t="shared" si="926"/>
        <v>Aerated Static Pile</v>
      </c>
      <c r="C10851" s="138" t="str">
        <f t="shared" si="927"/>
        <v>Base_With Amendment</v>
      </c>
      <c r="D10851" s="138" t="str">
        <f t="shared" si="924"/>
        <v>Base_High</v>
      </c>
      <c r="E10851" s="138" t="str">
        <f t="shared" si="923"/>
        <v>High</v>
      </c>
      <c r="F10851" s="138" t="str">
        <f t="shared" si="928"/>
        <v>Upgraded</v>
      </c>
      <c r="G10851" s="153"/>
      <c r="H10851" s="210">
        <v>4.65E-2</v>
      </c>
      <c r="I10851" s="160" t="s">
        <v>168</v>
      </c>
      <c r="J10851" s="160">
        <v>2.4599999999999999E-3</v>
      </c>
      <c r="K10851" s="160" t="s">
        <v>25</v>
      </c>
      <c r="L10851" s="154" t="str">
        <f>IF(OpenLCAbasic!K10851="CTUh", "Fill in Manually",IF(OR(K10851="Unit", K10851=""), "", INDEX(LookUps!$E$5:$E$12, MATCH(OpenLCAbasic!K10851,LookUps!$D$5:$D$12,0))))</f>
        <v>Smog Formation Potential (SFP) - kg O3 eq</v>
      </c>
      <c r="M10851" s="154" t="str">
        <f t="shared" si="925"/>
        <v>High_Base_High_Upgraded_Smog Formation Potential (SFP) - kg O3 eq_ClearCove SCP; wastewater treatment unit; at updated plant - US_Base_With Amendment_Aerated Static Pile</v>
      </c>
    </row>
    <row r="10852" spans="1:13" s="120" customFormat="1" x14ac:dyDescent="0.25">
      <c r="A10852" s="119"/>
      <c r="B10852" s="138" t="str">
        <f t="shared" si="926"/>
        <v>Aerated Static Pile</v>
      </c>
      <c r="C10852" s="138" t="str">
        <f t="shared" si="927"/>
        <v>Base_With Amendment</v>
      </c>
      <c r="D10852" s="138" t="str">
        <f t="shared" si="924"/>
        <v>Base_High</v>
      </c>
      <c r="E10852" s="138" t="str">
        <f t="shared" si="923"/>
        <v>High</v>
      </c>
      <c r="F10852" s="138" t="str">
        <f t="shared" si="928"/>
        <v>Upgraded</v>
      </c>
      <c r="G10852" s="153"/>
      <c r="H10852" s="210">
        <v>1.0200000000000001E-2</v>
      </c>
      <c r="I10852" s="160" t="s">
        <v>148</v>
      </c>
      <c r="J10852" s="160">
        <v>5.4000000000000001E-4</v>
      </c>
      <c r="K10852" s="160" t="s">
        <v>25</v>
      </c>
      <c r="L10852" s="154" t="str">
        <f>IF(OpenLCAbasic!K10852="CTUh", "Fill in Manually",IF(OR(K10852="Unit", K10852=""), "", INDEX(LookUps!$E$5:$E$12, MATCH(OpenLCAbasic!K10852,LookUps!$D$5:$D$12,0))))</f>
        <v>Smog Formation Potential (SFP) - kg O3 eq</v>
      </c>
      <c r="M10852" s="154" t="str">
        <f t="shared" si="925"/>
        <v>High_Base_High_Upgraded_Smog Formation Potential (SFP) - kg O3 eq_Control Building; at upgraded wastewater treatment plant - US_Base_With Amendment_Aerated Static Pile</v>
      </c>
    </row>
    <row r="10853" spans="1:13" s="120" customFormat="1" x14ac:dyDescent="0.25">
      <c r="A10853" s="119"/>
      <c r="B10853" s="138" t="str">
        <f t="shared" si="926"/>
        <v>Aerated Static Pile</v>
      </c>
      <c r="C10853" s="138" t="str">
        <f t="shared" si="927"/>
        <v>Base_With Amendment</v>
      </c>
      <c r="D10853" s="138" t="str">
        <f t="shared" si="924"/>
        <v>Base_High</v>
      </c>
      <c r="E10853" s="138" t="str">
        <f t="shared" si="923"/>
        <v>High</v>
      </c>
      <c r="F10853" s="138" t="str">
        <f t="shared" si="928"/>
        <v>Upgraded</v>
      </c>
      <c r="G10853" s="153"/>
      <c r="H10853" s="210">
        <v>-4.8399999999999999E-2</v>
      </c>
      <c r="I10853" s="160" t="s">
        <v>62</v>
      </c>
      <c r="J10853" s="160">
        <v>-2.5600000000000002E-3</v>
      </c>
      <c r="K10853" s="160" t="s">
        <v>25</v>
      </c>
      <c r="L10853" s="154" t="str">
        <f>IF(OpenLCAbasic!K10853="CTUh", "Fill in Manually",IF(OR(K10853="Unit", K10853=""), "", INDEX(LookUps!$E$5:$E$12, MATCH(OpenLCAbasic!K10853,LookUps!$D$5:$D$12,0))))</f>
        <v>Smog Formation Potential (SFP) - kg O3 eq</v>
      </c>
      <c r="M10853" s="154" t="str">
        <f t="shared" si="925"/>
        <v>High_Base_High_Upgraded_Smog Formation Potential (SFP) - kg O3 eq_Land application of compost; wastewater treatment unit; at updated plant - US_Base_With Amendment_Aerated Static Pile</v>
      </c>
    </row>
    <row r="10854" spans="1:13" s="120" customFormat="1" x14ac:dyDescent="0.25">
      <c r="A10854" s="119"/>
      <c r="B10854" s="138" t="str">
        <f t="shared" si="926"/>
        <v>Aerated Static Pile</v>
      </c>
      <c r="C10854" s="138" t="str">
        <f t="shared" si="927"/>
        <v>Base_With Amendment</v>
      </c>
      <c r="D10854" s="138" t="str">
        <f t="shared" si="924"/>
        <v>Base_High</v>
      </c>
      <c r="E10854" s="138" t="str">
        <f t="shared" si="923"/>
        <v>High</v>
      </c>
      <c r="F10854" s="138" t="str">
        <f t="shared" si="928"/>
        <v>Upgraded</v>
      </c>
      <c r="G10854" s="153"/>
      <c r="H10854" s="210">
        <v>-7.0697000000000001</v>
      </c>
      <c r="I10854" s="160" t="s">
        <v>149</v>
      </c>
      <c r="J10854" s="160">
        <v>-0.37367</v>
      </c>
      <c r="K10854" s="160" t="s">
        <v>25</v>
      </c>
      <c r="L10854" s="154" t="str">
        <f>IF(OpenLCAbasic!K10854="CTUh", "Fill in Manually",IF(OR(K10854="Unit", K10854=""), "", INDEX(LookUps!$E$5:$E$12, MATCH(OpenLCAbasic!K10854,LookUps!$D$5:$D$12,0))))</f>
        <v>Smog Formation Potential (SFP) - kg O3 eq</v>
      </c>
      <c r="M10854" s="154" t="str">
        <f t="shared" si="925"/>
        <v>High_Base_High_Upgraded_Smog Formation Potential (SFP) - kg O3 eq_Anaerobic Digestion; wastewater treatment unit; at updated plant - US_Base_With Amendment_Aerated Static Pile</v>
      </c>
    </row>
    <row r="10855" spans="1:13" s="120" customFormat="1" x14ac:dyDescent="0.25">
      <c r="A10855" s="119"/>
      <c r="B10855" s="138" t="str">
        <f t="shared" si="926"/>
        <v/>
      </c>
      <c r="C10855" s="138" t="str">
        <f t="shared" si="927"/>
        <v/>
      </c>
      <c r="D10855" s="138" t="str">
        <f t="shared" si="924"/>
        <v/>
      </c>
      <c r="E10855" s="138" t="str">
        <f t="shared" si="923"/>
        <v/>
      </c>
      <c r="F10855" s="138" t="str">
        <f t="shared" si="928"/>
        <v/>
      </c>
      <c r="G10855" s="153" t="s">
        <v>51</v>
      </c>
      <c r="H10855" s="160"/>
      <c r="I10855" s="160" t="s">
        <v>47</v>
      </c>
      <c r="J10855" s="160" t="s">
        <v>52</v>
      </c>
      <c r="K10855" s="160" t="s">
        <v>27</v>
      </c>
      <c r="L10855" s="154" t="str">
        <f>IF(OpenLCAbasic!K10855="CTUh", "Fill in Manually",IF(OR(K10855="Unit", K10855=""), "", INDEX(LookUps!$E$5:$E$12, MATCH(OpenLCAbasic!K10855,LookUps!$D$5:$D$12,0))))</f>
        <v/>
      </c>
      <c r="M10855" s="154" t="str">
        <f t="shared" si="925"/>
        <v>____Process__</v>
      </c>
    </row>
    <row r="10856" spans="1:13" s="120" customFormat="1" x14ac:dyDescent="0.25">
      <c r="A10856" s="119"/>
      <c r="B10856" s="138" t="str">
        <f t="shared" si="926"/>
        <v>Aerated Static Pile</v>
      </c>
      <c r="C10856" s="138" t="str">
        <f t="shared" si="927"/>
        <v>Base_With Amendment</v>
      </c>
      <c r="D10856" s="138" t="str">
        <f t="shared" si="924"/>
        <v>Base_High</v>
      </c>
      <c r="E10856" s="138" t="str">
        <f t="shared" si="923"/>
        <v>High</v>
      </c>
      <c r="F10856" s="138" t="str">
        <f t="shared" si="928"/>
        <v>Upgraded</v>
      </c>
      <c r="G10856" s="153"/>
      <c r="H10856" s="210">
        <v>3.5236000000000001</v>
      </c>
      <c r="I10856" s="160" t="s">
        <v>167</v>
      </c>
      <c r="J10856" s="160">
        <v>2.3000000000000001E-4</v>
      </c>
      <c r="K10856" s="160" t="s">
        <v>26</v>
      </c>
      <c r="L10856" s="154" t="str">
        <f>IF(OpenLCAbasic!K10856="CTUh", "Fill in Manually",IF(OR(K10856="Unit", K10856=""), "", INDEX(LookUps!$E$5:$E$12, MATCH(OpenLCAbasic!K10856,LookUps!$D$5:$D$12,0))))</f>
        <v>Water Use (WU) - m3 H2O</v>
      </c>
      <c r="M10856" s="154" t="str">
        <f t="shared" si="925"/>
        <v>High_Base_High_Upgraded_Water Use (WU) - m3 H2O_Waste Receiving and Holding; wastewater treatment unit; at updated plant - US_Base_With Amendment_Aerated Static Pile</v>
      </c>
    </row>
    <row r="10857" spans="1:13" s="120" customFormat="1" x14ac:dyDescent="0.25">
      <c r="A10857" s="119"/>
      <c r="B10857" s="138" t="str">
        <f t="shared" si="926"/>
        <v>Aerated Static Pile</v>
      </c>
      <c r="C10857" s="138" t="str">
        <f t="shared" si="927"/>
        <v>Base_With Amendment</v>
      </c>
      <c r="D10857" s="138" t="str">
        <f t="shared" si="924"/>
        <v>Base_High</v>
      </c>
      <c r="E10857" s="138" t="str">
        <f t="shared" ref="E10857:E10920" si="929">IF(ISNUMBER($J10857),"High","")</f>
        <v>High</v>
      </c>
      <c r="F10857" s="138" t="str">
        <f t="shared" si="928"/>
        <v>Upgraded</v>
      </c>
      <c r="G10857" s="153"/>
      <c r="H10857" s="210">
        <v>2.7881999999999998</v>
      </c>
      <c r="I10857" s="160" t="s">
        <v>147</v>
      </c>
      <c r="J10857" s="160">
        <v>1.8000000000000001E-4</v>
      </c>
      <c r="K10857" s="160" t="s">
        <v>26</v>
      </c>
      <c r="L10857" s="154" t="str">
        <f>IF(OpenLCAbasic!K10857="CTUh", "Fill in Manually",IF(OR(K10857="Unit", K10857=""), "", INDEX(LookUps!$E$5:$E$12, MATCH(OpenLCAbasic!K10857,LookUps!$D$5:$D$12,0))))</f>
        <v>Water Use (WU) - m3 H2O</v>
      </c>
      <c r="M10857" s="154" t="str">
        <f t="shared" si="925"/>
        <v>High_Base_High_Upgraded_Water Use (WU) - m3 H2O_Influent Pump Station; wastewater treatment unit; at updated plant - US_Base_With Amendment_Aerated Static Pile</v>
      </c>
    </row>
    <row r="10858" spans="1:13" s="120" customFormat="1" x14ac:dyDescent="0.25">
      <c r="A10858" s="119"/>
      <c r="B10858" s="138" t="str">
        <f t="shared" si="926"/>
        <v>Aerated Static Pile</v>
      </c>
      <c r="C10858" s="138" t="str">
        <f t="shared" si="927"/>
        <v>Base_With Amendment</v>
      </c>
      <c r="D10858" s="138" t="str">
        <f t="shared" si="924"/>
        <v>Base_High</v>
      </c>
      <c r="E10858" s="138" t="str">
        <f t="shared" si="929"/>
        <v>High</v>
      </c>
      <c r="F10858" s="138" t="str">
        <f t="shared" si="928"/>
        <v>Upgraded</v>
      </c>
      <c r="G10858" s="153"/>
      <c r="H10858" s="210">
        <v>2.7204999999999999</v>
      </c>
      <c r="I10858" s="160" t="s">
        <v>54</v>
      </c>
      <c r="J10858" s="160">
        <v>1.8000000000000001E-4</v>
      </c>
      <c r="K10858" s="160" t="s">
        <v>26</v>
      </c>
      <c r="L10858" s="154" t="str">
        <f>IF(OpenLCAbasic!K10858="CTUh", "Fill in Manually",IF(OR(K10858="Unit", K10858=""), "", INDEX(LookUps!$E$5:$E$12, MATCH(OpenLCAbasic!K10858,LookUps!$D$5:$D$12,0))))</f>
        <v>Water Use (WU) - m3 H2O</v>
      </c>
      <c r="M10858" s="154" t="str">
        <f t="shared" si="925"/>
        <v>High_Base_High_Upgraded_Water Use (WU) - m3 H2O_Clear Cove Primary Clarification; wastewater treatment unit; at updated plant - US_Base_With Amendment_Aerated Static Pile</v>
      </c>
    </row>
    <row r="10859" spans="1:13" s="120" customFormat="1" x14ac:dyDescent="0.25">
      <c r="A10859" s="119"/>
      <c r="B10859" s="138" t="str">
        <f t="shared" si="926"/>
        <v>Aerated Static Pile</v>
      </c>
      <c r="C10859" s="138" t="str">
        <f t="shared" si="927"/>
        <v>Base_With Amendment</v>
      </c>
      <c r="D10859" s="138" t="str">
        <f t="shared" si="924"/>
        <v>Base_High</v>
      </c>
      <c r="E10859" s="138" t="str">
        <f t="shared" si="929"/>
        <v>High</v>
      </c>
      <c r="F10859" s="138" t="str">
        <f t="shared" si="928"/>
        <v>Upgraded</v>
      </c>
      <c r="G10859" s="153"/>
      <c r="H10859" s="210">
        <v>2.4679000000000002</v>
      </c>
      <c r="I10859" s="160" t="s">
        <v>55</v>
      </c>
      <c r="J10859" s="160">
        <v>1.6000000000000001E-4</v>
      </c>
      <c r="K10859" s="160" t="s">
        <v>26</v>
      </c>
      <c r="L10859" s="154" t="str">
        <f>IF(OpenLCAbasic!K10859="CTUh", "Fill in Manually",IF(OR(K10859="Unit", K10859=""), "", INDEX(LookUps!$E$5:$E$12, MATCH(OpenLCAbasic!K10859,LookUps!$D$5:$D$12,0))))</f>
        <v>Water Use (WU) - m3 H2O</v>
      </c>
      <c r="M10859" s="154" t="str">
        <f t="shared" si="925"/>
        <v>High_Base_High_Upgraded_Water Use (WU) - m3 H2O_Aeration Tanks; wastewater treatment unit; at updated plant - US_Base_With Amendment_Aerated Static Pile</v>
      </c>
    </row>
    <row r="10860" spans="1:13" s="120" customFormat="1" x14ac:dyDescent="0.25">
      <c r="A10860" s="119"/>
      <c r="B10860" s="138" t="str">
        <f t="shared" si="926"/>
        <v>Aerated Static Pile</v>
      </c>
      <c r="C10860" s="138" t="str">
        <f t="shared" si="927"/>
        <v>Base_With Amendment</v>
      </c>
      <c r="D10860" s="138" t="str">
        <f t="shared" si="924"/>
        <v>Base_High</v>
      </c>
      <c r="E10860" s="138" t="str">
        <f t="shared" si="929"/>
        <v>High</v>
      </c>
      <c r="F10860" s="138" t="str">
        <f t="shared" si="928"/>
        <v>Upgraded</v>
      </c>
      <c r="G10860" s="153"/>
      <c r="H10860" s="210">
        <v>2.2481</v>
      </c>
      <c r="I10860" s="160" t="s">
        <v>148</v>
      </c>
      <c r="J10860" s="160">
        <v>1.4999999999999999E-4</v>
      </c>
      <c r="K10860" s="160" t="s">
        <v>26</v>
      </c>
      <c r="L10860" s="154" t="str">
        <f>IF(OpenLCAbasic!K10860="CTUh", "Fill in Manually",IF(OR(K10860="Unit", K10860=""), "", INDEX(LookUps!$E$5:$E$12, MATCH(OpenLCAbasic!K10860,LookUps!$D$5:$D$12,0))))</f>
        <v>Water Use (WU) - m3 H2O</v>
      </c>
      <c r="M10860" s="154" t="str">
        <f t="shared" si="925"/>
        <v>High_Base_High_Upgraded_Water Use (WU) - m3 H2O_Control Building; at upgraded wastewater treatment plant - US_Base_With Amendment_Aerated Static Pile</v>
      </c>
    </row>
    <row r="10861" spans="1:13" s="120" customFormat="1" x14ac:dyDescent="0.25">
      <c r="A10861" s="119"/>
      <c r="B10861" s="138" t="str">
        <f t="shared" si="926"/>
        <v>Aerated Static Pile</v>
      </c>
      <c r="C10861" s="138" t="str">
        <f t="shared" si="927"/>
        <v>Base_With Amendment</v>
      </c>
      <c r="D10861" s="138" t="str">
        <f t="shared" si="924"/>
        <v>Base_High</v>
      </c>
      <c r="E10861" s="138" t="str">
        <f t="shared" si="929"/>
        <v>High</v>
      </c>
      <c r="F10861" s="138" t="str">
        <f t="shared" si="928"/>
        <v>Upgraded</v>
      </c>
      <c r="G10861" s="153"/>
      <c r="H10861" s="210">
        <v>1.044</v>
      </c>
      <c r="I10861" s="160" t="s">
        <v>48</v>
      </c>
      <c r="J10861" s="211">
        <v>6.8836400000000004E-5</v>
      </c>
      <c r="K10861" s="160" t="s">
        <v>26</v>
      </c>
      <c r="L10861" s="154" t="str">
        <f>IF(OpenLCAbasic!K10861="CTUh", "Fill in Manually",IF(OR(K10861="Unit", K10861=""), "", INDEX(LookUps!$E$5:$E$12, MATCH(OpenLCAbasic!K10861,LookUps!$D$5:$D$12,0))))</f>
        <v>Water Use (WU) - m3 H2O</v>
      </c>
      <c r="M10861" s="154" t="str">
        <f t="shared" si="925"/>
        <v>High_Base_High_Upgraded_Water Use (WU) - m3 H2O_Effluent release; wastewater treatment unit; at surface water; m3 wastewater - US_Base_With Amendment_Aerated Static Pile</v>
      </c>
    </row>
    <row r="10862" spans="1:13" s="120" customFormat="1" x14ac:dyDescent="0.25">
      <c r="A10862" s="119"/>
      <c r="B10862" s="138" t="str">
        <f t="shared" si="926"/>
        <v>Aerated Static Pile</v>
      </c>
      <c r="C10862" s="138" t="str">
        <f t="shared" si="927"/>
        <v>Base_With Amendment</v>
      </c>
      <c r="D10862" s="138" t="str">
        <f t="shared" si="924"/>
        <v>Base_High</v>
      </c>
      <c r="E10862" s="138" t="str">
        <f t="shared" si="929"/>
        <v>High</v>
      </c>
      <c r="F10862" s="138" t="str">
        <f t="shared" si="928"/>
        <v>Upgraded</v>
      </c>
      <c r="G10862" s="153"/>
      <c r="H10862" s="210">
        <v>0.65500000000000003</v>
      </c>
      <c r="I10862" s="160" t="s">
        <v>58</v>
      </c>
      <c r="J10862" s="211">
        <v>4.3192100000000003E-5</v>
      </c>
      <c r="K10862" s="160" t="s">
        <v>26</v>
      </c>
      <c r="L10862" s="154" t="str">
        <f>IF(OpenLCAbasic!K10862="CTUh", "Fill in Manually",IF(OR(K10862="Unit", K10862=""), "", INDEX(LookUps!$E$5:$E$12, MATCH(OpenLCAbasic!K10862,LookUps!$D$5:$D$12,0))))</f>
        <v>Water Use (WU) - m3 H2O</v>
      </c>
      <c r="M10862" s="154" t="str">
        <f t="shared" si="925"/>
        <v>High_Base_High_Upgraded_Water Use (WU) - m3 H2O_Pre-Anoxic &amp; Swing tank; wastewater treatment unit; at updated plant - US_Base_With Amendment_Aerated Static Pile</v>
      </c>
    </row>
    <row r="10863" spans="1:13" s="120" customFormat="1" x14ac:dyDescent="0.25">
      <c r="A10863" s="119"/>
      <c r="B10863" s="138" t="str">
        <f t="shared" si="926"/>
        <v>Aerated Static Pile</v>
      </c>
      <c r="C10863" s="138" t="str">
        <f t="shared" si="927"/>
        <v>Base_With Amendment</v>
      </c>
      <c r="D10863" s="138" t="str">
        <f t="shared" si="924"/>
        <v>Base_High</v>
      </c>
      <c r="E10863" s="138" t="str">
        <f t="shared" si="929"/>
        <v>High</v>
      </c>
      <c r="F10863" s="138" t="str">
        <f t="shared" si="928"/>
        <v>Upgraded</v>
      </c>
      <c r="G10863" s="153"/>
      <c r="H10863" s="210">
        <v>0.4612</v>
      </c>
      <c r="I10863" s="160" t="s">
        <v>57</v>
      </c>
      <c r="J10863" s="211">
        <v>3.0408100000000001E-5</v>
      </c>
      <c r="K10863" s="160" t="s">
        <v>26</v>
      </c>
      <c r="L10863" s="154" t="str">
        <f>IF(OpenLCAbasic!K10863="CTUh", "Fill in Manually",IF(OR(K10863="Unit", K10863=""), "", INDEX(LookUps!$E$5:$E$12, MATCH(OpenLCAbasic!K10863,LookUps!$D$5:$D$12,0))))</f>
        <v>Water Use (WU) - m3 H2O</v>
      </c>
      <c r="M10863" s="154" t="str">
        <f t="shared" si="925"/>
        <v>High_Base_High_Upgraded_Water Use (WU) - m3 H2O_Gravity Belt Thickener; wastewater treatment unit; at updated plant - US_Base_With Amendment_Aerated Static Pile</v>
      </c>
    </row>
    <row r="10864" spans="1:13" s="120" customFormat="1" x14ac:dyDescent="0.25">
      <c r="A10864" s="119"/>
      <c r="B10864" s="138" t="str">
        <f t="shared" si="926"/>
        <v>Aerated Static Pile</v>
      </c>
      <c r="C10864" s="138" t="str">
        <f t="shared" si="927"/>
        <v>Base_With Amendment</v>
      </c>
      <c r="D10864" s="138" t="str">
        <f t="shared" si="924"/>
        <v>Base_High</v>
      </c>
      <c r="E10864" s="138" t="str">
        <f t="shared" si="929"/>
        <v>High</v>
      </c>
      <c r="F10864" s="138" t="str">
        <f t="shared" si="928"/>
        <v>Upgraded</v>
      </c>
      <c r="G10864" s="153"/>
      <c r="H10864" s="210">
        <v>0.32050000000000001</v>
      </c>
      <c r="I10864" s="160" t="s">
        <v>60</v>
      </c>
      <c r="J10864" s="211">
        <v>2.1135600000000001E-5</v>
      </c>
      <c r="K10864" s="160" t="s">
        <v>26</v>
      </c>
      <c r="L10864" s="154" t="str">
        <f>IF(OpenLCAbasic!K10864="CTUh", "Fill in Manually",IF(OR(K10864="Unit", K10864=""), "", INDEX(LookUps!$E$5:$E$12, MATCH(OpenLCAbasic!K10864,LookUps!$D$5:$D$12,0))))</f>
        <v>Water Use (WU) - m3 H2O</v>
      </c>
      <c r="M10864" s="154" t="str">
        <f t="shared" si="925"/>
        <v>High_Base_High_Upgraded_Water Use (WU) - m3 H2O_Belt filter press; wastewater treatment unit; at updated plant - US_Base_With Amendment_Aerated Static Pile</v>
      </c>
    </row>
    <row r="10865" spans="1:13" s="120" customFormat="1" x14ac:dyDescent="0.25">
      <c r="A10865" s="119"/>
      <c r="B10865" s="138" t="str">
        <f t="shared" si="926"/>
        <v>Aerated Static Pile</v>
      </c>
      <c r="C10865" s="138" t="str">
        <f t="shared" si="927"/>
        <v>Base_With Amendment</v>
      </c>
      <c r="D10865" s="138" t="str">
        <f t="shared" ref="D10865:D10871" si="930">IF(ISNUMBER($J10865),"Base_High","")</f>
        <v>Base_High</v>
      </c>
      <c r="E10865" s="138" t="str">
        <f t="shared" si="929"/>
        <v>High</v>
      </c>
      <c r="F10865" s="138" t="str">
        <f t="shared" si="928"/>
        <v>Upgraded</v>
      </c>
      <c r="G10865" s="153"/>
      <c r="H10865" s="210">
        <v>0.27939999999999998</v>
      </c>
      <c r="I10865" s="160" t="s">
        <v>435</v>
      </c>
      <c r="J10865" s="211">
        <v>1.8422699999999999E-5</v>
      </c>
      <c r="K10865" s="160" t="s">
        <v>26</v>
      </c>
      <c r="L10865" s="154" t="str">
        <f>IF(OpenLCAbasic!K10865="CTUh", "Fill in Manually",IF(OR(K10865="Unit", K10865=""), "", INDEX(LookUps!$E$5:$E$12, MATCH(OpenLCAbasic!K10865,LookUps!$D$5:$D$12,0))))</f>
        <v>Water Use (WU) - m3 H2O</v>
      </c>
      <c r="M10865" s="154" t="str">
        <f t="shared" si="925"/>
        <v>High_Base_High_Upgraded_Water Use (WU) - m3 H2O_Biosolids composting; aerated static pile; wastewater treatment unit; at updated plant - US_Base_With Amendment_Aerated Static Pile</v>
      </c>
    </row>
    <row r="10866" spans="1:13" s="120" customFormat="1" x14ac:dyDescent="0.25">
      <c r="A10866" s="119"/>
      <c r="B10866" s="138" t="str">
        <f t="shared" si="926"/>
        <v>Aerated Static Pile</v>
      </c>
      <c r="C10866" s="138" t="str">
        <f t="shared" si="927"/>
        <v>Base_With Amendment</v>
      </c>
      <c r="D10866" s="138" t="str">
        <f t="shared" si="930"/>
        <v>Base_High</v>
      </c>
      <c r="E10866" s="138" t="str">
        <f t="shared" si="929"/>
        <v>High</v>
      </c>
      <c r="F10866" s="138" t="str">
        <f t="shared" si="928"/>
        <v>Upgraded</v>
      </c>
      <c r="G10866" s="153"/>
      <c r="H10866" s="210">
        <v>0.26550000000000001</v>
      </c>
      <c r="I10866" s="160" t="s">
        <v>53</v>
      </c>
      <c r="J10866" s="211">
        <v>1.75069E-5</v>
      </c>
      <c r="K10866" s="160" t="s">
        <v>26</v>
      </c>
      <c r="L10866" s="154" t="str">
        <f>IF(OpenLCAbasic!K10866="CTUh", "Fill in Manually",IF(OR(K10866="Unit", K10866=""), "", INDEX(LookUps!$E$5:$E$12, MATCH(OpenLCAbasic!K10866,LookUps!$D$5:$D$12,0))))</f>
        <v>Water Use (WU) - m3 H2O</v>
      </c>
      <c r="M10866" s="154" t="str">
        <f t="shared" si="925"/>
        <v>High_Base_High_Upgraded_Water Use (WU) - m3 H2O_Wet Well and Sump Station; wastewater treatment unit; at updated plant - US_Base_With Amendment_Aerated Static Pile</v>
      </c>
    </row>
    <row r="10867" spans="1:13" s="120" customFormat="1" x14ac:dyDescent="0.25">
      <c r="A10867" s="119"/>
      <c r="B10867" s="138" t="str">
        <f t="shared" si="926"/>
        <v>Aerated Static Pile</v>
      </c>
      <c r="C10867" s="138" t="str">
        <f t="shared" si="927"/>
        <v>Base_With Amendment</v>
      </c>
      <c r="D10867" s="138" t="str">
        <f t="shared" si="930"/>
        <v>Base_High</v>
      </c>
      <c r="E10867" s="138" t="str">
        <f t="shared" si="929"/>
        <v>High</v>
      </c>
      <c r="F10867" s="138" t="str">
        <f t="shared" si="928"/>
        <v>Upgraded</v>
      </c>
      <c r="G10867" s="153"/>
      <c r="H10867" s="210">
        <v>0.10639999999999999</v>
      </c>
      <c r="I10867" s="160" t="s">
        <v>59</v>
      </c>
      <c r="J10867" s="211">
        <v>7.0179500000000003E-6</v>
      </c>
      <c r="K10867" s="160" t="s">
        <v>26</v>
      </c>
      <c r="L10867" s="154" t="str">
        <f>IF(OpenLCAbasic!K10867="CTUh", "Fill in Manually",IF(OR(K10867="Unit", K10867=""), "", INDEX(LookUps!$E$5:$E$12, MATCH(OpenLCAbasic!K10867,LookUps!$D$5:$D$12,0))))</f>
        <v>Water Use (WU) - m3 H2O</v>
      </c>
      <c r="M10867" s="154" t="str">
        <f t="shared" si="925"/>
        <v>High_Base_High_Upgraded_Water Use (WU) - m3 H2O_Blend Tank; wastewater treatment unit; at updated plant - US_Base_With Amendment_Aerated Static Pile</v>
      </c>
    </row>
    <row r="10868" spans="1:13" s="120" customFormat="1" x14ac:dyDescent="0.25">
      <c r="A10868" s="119"/>
      <c r="B10868" s="138" t="str">
        <f t="shared" si="926"/>
        <v>Aerated Static Pile</v>
      </c>
      <c r="C10868" s="138" t="str">
        <f t="shared" si="927"/>
        <v>Base_With Amendment</v>
      </c>
      <c r="D10868" s="138" t="str">
        <f t="shared" si="930"/>
        <v>Base_High</v>
      </c>
      <c r="E10868" s="138" t="str">
        <f t="shared" si="929"/>
        <v>High</v>
      </c>
      <c r="F10868" s="138" t="str">
        <f t="shared" si="928"/>
        <v>Upgraded</v>
      </c>
      <c r="G10868" s="153"/>
      <c r="H10868" s="210">
        <v>7.6799999999999993E-2</v>
      </c>
      <c r="I10868" s="160" t="s">
        <v>128</v>
      </c>
      <c r="J10868" s="211">
        <v>5.0608900000000003E-6</v>
      </c>
      <c r="K10868" s="160" t="s">
        <v>26</v>
      </c>
      <c r="L10868" s="154" t="str">
        <f>IF(OpenLCAbasic!K10868="CTUh", "Fill in Manually",IF(OR(K10868="Unit", K10868=""), "", INDEX(LookUps!$E$5:$E$12, MATCH(OpenLCAbasic!K10868,LookUps!$D$5:$D$12,0))))</f>
        <v>Water Use (WU) - m3 H2O</v>
      </c>
      <c r="M10868" s="154" t="str">
        <f t="shared" si="925"/>
        <v>High_Base_High_Upgraded_Water Use (WU) - m3 H2O_Wastewater collection; operation and infrastructure; m3 wastewater_Base_With Amendment_Aerated Static Pile</v>
      </c>
    </row>
    <row r="10869" spans="1:13" s="120" customFormat="1" x14ac:dyDescent="0.25">
      <c r="A10869" s="119"/>
      <c r="B10869" s="138" t="str">
        <f t="shared" si="926"/>
        <v>Aerated Static Pile</v>
      </c>
      <c r="C10869" s="138" t="str">
        <f t="shared" si="927"/>
        <v>Base_With Amendment</v>
      </c>
      <c r="D10869" s="138" t="str">
        <f t="shared" si="930"/>
        <v>Base_High</v>
      </c>
      <c r="E10869" s="138" t="str">
        <f t="shared" si="929"/>
        <v>High</v>
      </c>
      <c r="F10869" s="138" t="str">
        <f t="shared" si="928"/>
        <v>Upgraded</v>
      </c>
      <c r="G10869" s="153"/>
      <c r="H10869" s="210">
        <v>1.1599999999999999E-2</v>
      </c>
      <c r="I10869" s="160" t="s">
        <v>168</v>
      </c>
      <c r="J10869" s="211">
        <v>7.6697000000000004E-7</v>
      </c>
      <c r="K10869" s="160" t="s">
        <v>26</v>
      </c>
      <c r="L10869" s="154" t="str">
        <f>IF(OpenLCAbasic!K10869="CTUh", "Fill in Manually",IF(OR(K10869="Unit", K10869=""), "", INDEX(LookUps!$E$5:$E$12, MATCH(OpenLCAbasic!K10869,LookUps!$D$5:$D$12,0))))</f>
        <v>Water Use (WU) - m3 H2O</v>
      </c>
      <c r="M10869" s="154" t="str">
        <f t="shared" si="925"/>
        <v>High_Base_High_Upgraded_Water Use (WU) - m3 H2O_ClearCove SCP; wastewater treatment unit; at updated plant - US_Base_With Amendment_Aerated Static Pile</v>
      </c>
    </row>
    <row r="10870" spans="1:13" s="120" customFormat="1" x14ac:dyDescent="0.25">
      <c r="A10870" s="119"/>
      <c r="B10870" s="138" t="str">
        <f t="shared" si="926"/>
        <v>Aerated Static Pile</v>
      </c>
      <c r="C10870" s="138" t="str">
        <f t="shared" si="927"/>
        <v>Base_With Amendment</v>
      </c>
      <c r="D10870" s="138" t="str">
        <f t="shared" si="930"/>
        <v>Base_High</v>
      </c>
      <c r="E10870" s="138" t="str">
        <f t="shared" si="929"/>
        <v>High</v>
      </c>
      <c r="F10870" s="138" t="str">
        <f t="shared" si="928"/>
        <v>Upgraded</v>
      </c>
      <c r="G10870" s="153"/>
      <c r="H10870" s="210">
        <v>-1.4129</v>
      </c>
      <c r="I10870" s="160" t="s">
        <v>149</v>
      </c>
      <c r="J10870" s="211">
        <v>-9.3162899999999995E-5</v>
      </c>
      <c r="K10870" s="160" t="s">
        <v>26</v>
      </c>
      <c r="L10870" s="154" t="str">
        <f>IF(OpenLCAbasic!K10870="CTUh", "Fill in Manually",IF(OR(K10870="Unit", K10870=""), "", INDEX(LookUps!$E$5:$E$12, MATCH(OpenLCAbasic!K10870,LookUps!$D$5:$D$12,0))))</f>
        <v>Water Use (WU) - m3 H2O</v>
      </c>
      <c r="M10870" s="154" t="str">
        <f t="shared" si="925"/>
        <v>High_Base_High_Upgraded_Water Use (WU) - m3 H2O_Anaerobic Digestion; wastewater treatment unit; at updated plant - US_Base_With Amendment_Aerated Static Pile</v>
      </c>
    </row>
    <row r="10871" spans="1:13" s="120" customFormat="1" x14ac:dyDescent="0.25">
      <c r="A10871" s="119"/>
      <c r="B10871" s="138" t="str">
        <f t="shared" si="926"/>
        <v>Aerated Static Pile</v>
      </c>
      <c r="C10871" s="138" t="str">
        <f t="shared" si="927"/>
        <v>Base_With Amendment</v>
      </c>
      <c r="D10871" s="138" t="str">
        <f t="shared" si="930"/>
        <v>Base_High</v>
      </c>
      <c r="E10871" s="138" t="str">
        <f t="shared" si="929"/>
        <v>High</v>
      </c>
      <c r="F10871" s="138" t="str">
        <f t="shared" si="928"/>
        <v>Upgraded</v>
      </c>
      <c r="G10871" s="153"/>
      <c r="H10871" s="210">
        <v>-16.555800000000001</v>
      </c>
      <c r="I10871" s="160" t="s">
        <v>62</v>
      </c>
      <c r="J10871" s="160">
        <v>-1.09E-3</v>
      </c>
      <c r="K10871" s="160" t="s">
        <v>26</v>
      </c>
      <c r="L10871" s="154" t="str">
        <f>IF(OpenLCAbasic!K10871="CTUh", "Fill in Manually",IF(OR(K10871="Unit", K10871=""), "", INDEX(LookUps!$E$5:$E$12, MATCH(OpenLCAbasic!K10871,LookUps!$D$5:$D$12,0))))</f>
        <v>Water Use (WU) - m3 H2O</v>
      </c>
      <c r="M10871" s="154" t="str">
        <f t="shared" si="925"/>
        <v>High_Base_High_Upgraded_Water Use (WU) - m3 H2O_Land application of compost; wastewater treatment unit; at updated plant - US_Base_With Amendment_Aerated Static Pile</v>
      </c>
    </row>
    <row r="10872" spans="1:13" s="120" customFormat="1" x14ac:dyDescent="0.25">
      <c r="A10872" s="119"/>
      <c r="B10872" s="138" t="str">
        <f t="shared" si="926"/>
        <v/>
      </c>
      <c r="C10872" s="138" t="str">
        <f t="shared" si="927"/>
        <v/>
      </c>
      <c r="D10872" s="138" t="str">
        <f>IF(ISNUMBER($J10872),"Medium_Low","")</f>
        <v/>
      </c>
      <c r="E10872" s="138" t="str">
        <f t="shared" si="929"/>
        <v/>
      </c>
      <c r="F10872" s="138" t="str">
        <f t="shared" si="928"/>
        <v/>
      </c>
      <c r="G10872" s="153" t="s">
        <v>51</v>
      </c>
      <c r="H10872" s="160"/>
      <c r="I10872" s="160" t="s">
        <v>47</v>
      </c>
      <c r="J10872" s="160" t="s">
        <v>52</v>
      </c>
      <c r="K10872" s="160" t="s">
        <v>27</v>
      </c>
      <c r="L10872" s="154" t="str">
        <f>IF(OpenLCAbasic!K10872="CTUh", "Fill in Manually",IF(OR(K10872="Unit", K10872=""), "", INDEX(LookUps!$E$5:$E$12, MATCH(OpenLCAbasic!K10872,LookUps!$D$5:$D$12,0))))</f>
        <v/>
      </c>
      <c r="M10872" s="154" t="str">
        <f t="shared" si="925"/>
        <v>____Process__</v>
      </c>
    </row>
    <row r="10873" spans="1:13" s="120" customFormat="1" x14ac:dyDescent="0.25">
      <c r="A10873" s="119"/>
      <c r="B10873" s="138" t="str">
        <f t="shared" si="926"/>
        <v>Aerated Static Pile</v>
      </c>
      <c r="C10873" s="138" t="str">
        <f t="shared" si="927"/>
        <v>Base_With Amendment</v>
      </c>
      <c r="D10873" s="138" t="str">
        <f t="shared" ref="D10873:D10936" si="931">IF(ISNUMBER($J10873),"Medium_Low","")</f>
        <v>Medium_Low</v>
      </c>
      <c r="E10873" s="138" t="str">
        <f t="shared" si="929"/>
        <v>High</v>
      </c>
      <c r="F10873" s="138" t="str">
        <f t="shared" si="928"/>
        <v>Upgraded</v>
      </c>
      <c r="G10873" s="153"/>
      <c r="H10873" s="210">
        <v>0.34460000000000002</v>
      </c>
      <c r="I10873" s="160" t="s">
        <v>55</v>
      </c>
      <c r="J10873" s="160">
        <v>1.7219999999999999E-2</v>
      </c>
      <c r="K10873" s="160" t="s">
        <v>24</v>
      </c>
      <c r="L10873" s="154" t="str">
        <f>IF(OpenLCAbasic!K10873="CTUh", "Fill in Manually",IF(OR(K10873="Unit", K10873=""), "", INDEX(LookUps!$E$5:$E$12, MATCH(OpenLCAbasic!K10873,LookUps!$D$5:$D$12,0))))</f>
        <v>Acidification Potential (AP) - kg SO2 eq</v>
      </c>
      <c r="M10873" s="154" t="str">
        <f t="shared" si="925"/>
        <v>High_Medium_Low_Upgraded_Acidification Potential (AP) - kg SO2 eq_Aeration Tanks; wastewater treatment unit; at updated plant - US_Base_With Amendment_Aerated Static Pile</v>
      </c>
    </row>
    <row r="10874" spans="1:13" s="120" customFormat="1" x14ac:dyDescent="0.25">
      <c r="A10874" s="119"/>
      <c r="B10874" s="138" t="str">
        <f t="shared" si="926"/>
        <v>Aerated Static Pile</v>
      </c>
      <c r="C10874" s="138" t="str">
        <f t="shared" si="927"/>
        <v>Base_With Amendment</v>
      </c>
      <c r="D10874" s="138" t="str">
        <f t="shared" si="931"/>
        <v>Medium_Low</v>
      </c>
      <c r="E10874" s="138" t="str">
        <f t="shared" si="929"/>
        <v>High</v>
      </c>
      <c r="F10874" s="138" t="str">
        <f t="shared" si="928"/>
        <v>Upgraded</v>
      </c>
      <c r="G10874" s="153"/>
      <c r="H10874" s="210">
        <v>0.20480000000000001</v>
      </c>
      <c r="I10874" s="160" t="s">
        <v>435</v>
      </c>
      <c r="J10874" s="160">
        <v>1.023E-2</v>
      </c>
      <c r="K10874" s="160" t="s">
        <v>24</v>
      </c>
      <c r="L10874" s="154" t="str">
        <f>IF(OpenLCAbasic!K10874="CTUh", "Fill in Manually",IF(OR(K10874="Unit", K10874=""), "", INDEX(LookUps!$E$5:$E$12, MATCH(OpenLCAbasic!K10874,LookUps!$D$5:$D$12,0))))</f>
        <v>Acidification Potential (AP) - kg SO2 eq</v>
      </c>
      <c r="M10874" s="154" t="str">
        <f t="shared" si="925"/>
        <v>High_Medium_Low_Upgraded_Acidification Potential (AP) - kg SO2 eq_Biosolids composting; aerated static pile; wastewater treatment unit; at updated plant - US_Base_With Amendment_Aerated Static Pile</v>
      </c>
    </row>
    <row r="10875" spans="1:13" s="120" customFormat="1" x14ac:dyDescent="0.25">
      <c r="A10875" s="119"/>
      <c r="B10875" s="138" t="str">
        <f t="shared" si="926"/>
        <v>Aerated Static Pile</v>
      </c>
      <c r="C10875" s="138" t="str">
        <f t="shared" si="927"/>
        <v>Base_With Amendment</v>
      </c>
      <c r="D10875" s="138" t="str">
        <f t="shared" si="931"/>
        <v>Medium_Low</v>
      </c>
      <c r="E10875" s="138" t="str">
        <f t="shared" si="929"/>
        <v>High</v>
      </c>
      <c r="F10875" s="138" t="str">
        <f t="shared" si="928"/>
        <v>Upgraded</v>
      </c>
      <c r="G10875" s="153"/>
      <c r="H10875" s="210">
        <v>9.9699999999999997E-2</v>
      </c>
      <c r="I10875" s="160" t="s">
        <v>54</v>
      </c>
      <c r="J10875" s="160">
        <v>4.9800000000000001E-3</v>
      </c>
      <c r="K10875" s="160" t="s">
        <v>24</v>
      </c>
      <c r="L10875" s="154" t="str">
        <f>IF(OpenLCAbasic!K10875="CTUh", "Fill in Manually",IF(OR(K10875="Unit", K10875=""), "", INDEX(LookUps!$E$5:$E$12, MATCH(OpenLCAbasic!K10875,LookUps!$D$5:$D$12,0))))</f>
        <v>Acidification Potential (AP) - kg SO2 eq</v>
      </c>
      <c r="M10875" s="154" t="str">
        <f t="shared" si="925"/>
        <v>High_Medium_Low_Upgraded_Acidification Potential (AP) - kg SO2 eq_Clear Cove Primary Clarification; wastewater treatment unit; at updated plant - US_Base_With Amendment_Aerated Static Pile</v>
      </c>
    </row>
    <row r="10876" spans="1:13" s="120" customFormat="1" x14ac:dyDescent="0.25">
      <c r="A10876" s="119"/>
      <c r="B10876" s="138" t="str">
        <f t="shared" si="926"/>
        <v>Aerated Static Pile</v>
      </c>
      <c r="C10876" s="138" t="str">
        <f t="shared" si="927"/>
        <v>Base_With Amendment</v>
      </c>
      <c r="D10876" s="138" t="str">
        <f t="shared" si="931"/>
        <v>Medium_Low</v>
      </c>
      <c r="E10876" s="138" t="str">
        <f t="shared" si="929"/>
        <v>High</v>
      </c>
      <c r="F10876" s="138" t="str">
        <f t="shared" si="928"/>
        <v>Upgraded</v>
      </c>
      <c r="G10876" s="153"/>
      <c r="H10876" s="210">
        <v>8.6999999999999994E-2</v>
      </c>
      <c r="I10876" s="160" t="s">
        <v>58</v>
      </c>
      <c r="J10876" s="160">
        <v>4.3499999999999997E-3</v>
      </c>
      <c r="K10876" s="160" t="s">
        <v>24</v>
      </c>
      <c r="L10876" s="154" t="str">
        <f>IF(OpenLCAbasic!K10876="CTUh", "Fill in Manually",IF(OR(K10876="Unit", K10876=""), "", INDEX(LookUps!$E$5:$E$12, MATCH(OpenLCAbasic!K10876,LookUps!$D$5:$D$12,0))))</f>
        <v>Acidification Potential (AP) - kg SO2 eq</v>
      </c>
      <c r="M10876" s="154" t="str">
        <f t="shared" si="925"/>
        <v>High_Medium_Low_Upgraded_Acidification Potential (AP) - kg SO2 eq_Pre-Anoxic &amp; Swing tank; wastewater treatment unit; at updated plant - US_Base_With Amendment_Aerated Static Pile</v>
      </c>
    </row>
    <row r="10877" spans="1:13" s="120" customFormat="1" x14ac:dyDescent="0.25">
      <c r="A10877" s="119"/>
      <c r="B10877" s="138" t="str">
        <f t="shared" si="926"/>
        <v>Aerated Static Pile</v>
      </c>
      <c r="C10877" s="138" t="str">
        <f t="shared" si="927"/>
        <v>Base_With Amendment</v>
      </c>
      <c r="D10877" s="138" t="str">
        <f t="shared" si="931"/>
        <v>Medium_Low</v>
      </c>
      <c r="E10877" s="138" t="str">
        <f t="shared" si="929"/>
        <v>High</v>
      </c>
      <c r="F10877" s="138" t="str">
        <f t="shared" si="928"/>
        <v>Upgraded</v>
      </c>
      <c r="G10877" s="153"/>
      <c r="H10877" s="210">
        <v>7.2499999999999995E-2</v>
      </c>
      <c r="I10877" s="160" t="s">
        <v>62</v>
      </c>
      <c r="J10877" s="160">
        <v>3.62E-3</v>
      </c>
      <c r="K10877" s="160" t="s">
        <v>24</v>
      </c>
      <c r="L10877" s="154" t="str">
        <f>IF(OpenLCAbasic!K10877="CTUh", "Fill in Manually",IF(OR(K10877="Unit", K10877=""), "", INDEX(LookUps!$E$5:$E$12, MATCH(OpenLCAbasic!K10877,LookUps!$D$5:$D$12,0))))</f>
        <v>Acidification Potential (AP) - kg SO2 eq</v>
      </c>
      <c r="M10877" s="154" t="str">
        <f t="shared" si="925"/>
        <v>High_Medium_Low_Upgraded_Acidification Potential (AP) - kg SO2 eq_Land application of compost; wastewater treatment unit; at updated plant - US_Base_With Amendment_Aerated Static Pile</v>
      </c>
    </row>
    <row r="10878" spans="1:13" s="120" customFormat="1" x14ac:dyDescent="0.25">
      <c r="A10878" s="119"/>
      <c r="B10878" s="138" t="str">
        <f t="shared" si="926"/>
        <v>Aerated Static Pile</v>
      </c>
      <c r="C10878" s="138" t="str">
        <f t="shared" si="927"/>
        <v>Base_With Amendment</v>
      </c>
      <c r="D10878" s="138" t="str">
        <f t="shared" si="931"/>
        <v>Medium_Low</v>
      </c>
      <c r="E10878" s="138" t="str">
        <f t="shared" si="929"/>
        <v>High</v>
      </c>
      <c r="F10878" s="138" t="str">
        <f t="shared" si="928"/>
        <v>Upgraded</v>
      </c>
      <c r="G10878" s="153"/>
      <c r="H10878" s="210">
        <v>6.9099999999999995E-2</v>
      </c>
      <c r="I10878" s="160" t="s">
        <v>53</v>
      </c>
      <c r="J10878" s="160">
        <v>3.4499999999999999E-3</v>
      </c>
      <c r="K10878" s="160" t="s">
        <v>24</v>
      </c>
      <c r="L10878" s="154" t="str">
        <f>IF(OpenLCAbasic!K10878="CTUh", "Fill in Manually",IF(OR(K10878="Unit", K10878=""), "", INDEX(LookUps!$E$5:$E$12, MATCH(OpenLCAbasic!K10878,LookUps!$D$5:$D$12,0))))</f>
        <v>Acidification Potential (AP) - kg SO2 eq</v>
      </c>
      <c r="M10878" s="154" t="str">
        <f t="shared" si="925"/>
        <v>High_Medium_Low_Upgraded_Acidification Potential (AP) - kg SO2 eq_Wet Well and Sump Station; wastewater treatment unit; at updated plant - US_Base_With Amendment_Aerated Static Pile</v>
      </c>
    </row>
    <row r="10879" spans="1:13" s="120" customFormat="1" x14ac:dyDescent="0.25">
      <c r="A10879" s="119"/>
      <c r="B10879" s="138" t="str">
        <f t="shared" si="926"/>
        <v>Aerated Static Pile</v>
      </c>
      <c r="C10879" s="138" t="str">
        <f t="shared" si="927"/>
        <v>Base_With Amendment</v>
      </c>
      <c r="D10879" s="138" t="str">
        <f t="shared" si="931"/>
        <v>Medium_Low</v>
      </c>
      <c r="E10879" s="138" t="str">
        <f t="shared" si="929"/>
        <v>High</v>
      </c>
      <c r="F10879" s="138" t="str">
        <f t="shared" si="928"/>
        <v>Upgraded</v>
      </c>
      <c r="G10879" s="153"/>
      <c r="H10879" s="210">
        <v>5.0700000000000002E-2</v>
      </c>
      <c r="I10879" s="160" t="s">
        <v>167</v>
      </c>
      <c r="J10879" s="160">
        <v>2.5300000000000001E-3</v>
      </c>
      <c r="K10879" s="160" t="s">
        <v>24</v>
      </c>
      <c r="L10879" s="154" t="str">
        <f>IF(OpenLCAbasic!K10879="CTUh", "Fill in Manually",IF(OR(K10879="Unit", K10879=""), "", INDEX(LookUps!$E$5:$E$12, MATCH(OpenLCAbasic!K10879,LookUps!$D$5:$D$12,0))))</f>
        <v>Acidification Potential (AP) - kg SO2 eq</v>
      </c>
      <c r="M10879" s="154" t="str">
        <f t="shared" si="925"/>
        <v>High_Medium_Low_Upgraded_Acidification Potential (AP) - kg SO2 eq_Waste Receiving and Holding; wastewater treatment unit; at updated plant - US_Base_With Amendment_Aerated Static Pile</v>
      </c>
    </row>
    <row r="10880" spans="1:13" s="120" customFormat="1" x14ac:dyDescent="0.25">
      <c r="A10880" s="119"/>
      <c r="B10880" s="138" t="str">
        <f t="shared" si="926"/>
        <v>Aerated Static Pile</v>
      </c>
      <c r="C10880" s="138" t="str">
        <f t="shared" si="927"/>
        <v>Base_With Amendment</v>
      </c>
      <c r="D10880" s="138" t="str">
        <f t="shared" si="931"/>
        <v>Medium_Low</v>
      </c>
      <c r="E10880" s="138" t="str">
        <f t="shared" si="929"/>
        <v>High</v>
      </c>
      <c r="F10880" s="138" t="str">
        <f t="shared" si="928"/>
        <v>Upgraded</v>
      </c>
      <c r="G10880" s="153"/>
      <c r="H10880" s="210">
        <v>4.1399999999999999E-2</v>
      </c>
      <c r="I10880" s="160" t="s">
        <v>147</v>
      </c>
      <c r="J10880" s="160">
        <v>2.0699999999999998E-3</v>
      </c>
      <c r="K10880" s="160" t="s">
        <v>24</v>
      </c>
      <c r="L10880" s="154" t="str">
        <f>IF(OpenLCAbasic!K10880="CTUh", "Fill in Manually",IF(OR(K10880="Unit", K10880=""), "", INDEX(LookUps!$E$5:$E$12, MATCH(OpenLCAbasic!K10880,LookUps!$D$5:$D$12,0))))</f>
        <v>Acidification Potential (AP) - kg SO2 eq</v>
      </c>
      <c r="M10880" s="154" t="str">
        <f t="shared" si="925"/>
        <v>High_Medium_Low_Upgraded_Acidification Potential (AP) - kg SO2 eq_Influent Pump Station; wastewater treatment unit; at updated plant - US_Base_With Amendment_Aerated Static Pile</v>
      </c>
    </row>
    <row r="10881" spans="1:13" s="120" customFormat="1" x14ac:dyDescent="0.25">
      <c r="A10881" s="119"/>
      <c r="B10881" s="138" t="str">
        <f t="shared" si="926"/>
        <v>Aerated Static Pile</v>
      </c>
      <c r="C10881" s="138" t="str">
        <f t="shared" si="927"/>
        <v>Base_With Amendment</v>
      </c>
      <c r="D10881" s="138" t="str">
        <f t="shared" si="931"/>
        <v>Medium_Low</v>
      </c>
      <c r="E10881" s="138" t="str">
        <f t="shared" si="929"/>
        <v>High</v>
      </c>
      <c r="F10881" s="138" t="str">
        <f t="shared" si="928"/>
        <v>Upgraded</v>
      </c>
      <c r="G10881" s="153"/>
      <c r="H10881" s="210">
        <v>2.47E-2</v>
      </c>
      <c r="I10881" s="160" t="s">
        <v>128</v>
      </c>
      <c r="J10881" s="160">
        <v>1.23E-3</v>
      </c>
      <c r="K10881" s="160" t="s">
        <v>24</v>
      </c>
      <c r="L10881" s="154" t="str">
        <f>IF(OpenLCAbasic!K10881="CTUh", "Fill in Manually",IF(OR(K10881="Unit", K10881=""), "", INDEX(LookUps!$E$5:$E$12, MATCH(OpenLCAbasic!K10881,LookUps!$D$5:$D$12,0))))</f>
        <v>Acidification Potential (AP) - kg SO2 eq</v>
      </c>
      <c r="M10881" s="154" t="str">
        <f t="shared" si="925"/>
        <v>High_Medium_Low_Upgraded_Acidification Potential (AP) - kg SO2 eq_Wastewater collection; operation and infrastructure; m3 wastewater_Base_With Amendment_Aerated Static Pile</v>
      </c>
    </row>
    <row r="10882" spans="1:13" s="120" customFormat="1" x14ac:dyDescent="0.25">
      <c r="A10882" s="119"/>
      <c r="B10882" s="138" t="str">
        <f t="shared" si="926"/>
        <v>Aerated Static Pile</v>
      </c>
      <c r="C10882" s="138" t="str">
        <f t="shared" si="927"/>
        <v>Base_With Amendment</v>
      </c>
      <c r="D10882" s="138" t="str">
        <f t="shared" si="931"/>
        <v>Medium_Low</v>
      </c>
      <c r="E10882" s="138" t="str">
        <f t="shared" si="929"/>
        <v>High</v>
      </c>
      <c r="F10882" s="138" t="str">
        <f t="shared" si="928"/>
        <v>Upgraded</v>
      </c>
      <c r="G10882" s="153"/>
      <c r="H10882" s="210">
        <v>2.41E-2</v>
      </c>
      <c r="I10882" s="160" t="s">
        <v>60</v>
      </c>
      <c r="J10882" s="160">
        <v>1.1999999999999999E-3</v>
      </c>
      <c r="K10882" s="160" t="s">
        <v>24</v>
      </c>
      <c r="L10882" s="154" t="str">
        <f>IF(OpenLCAbasic!K10882="CTUh", "Fill in Manually",IF(OR(K10882="Unit", K10882=""), "", INDEX(LookUps!$E$5:$E$12, MATCH(OpenLCAbasic!K10882,LookUps!$D$5:$D$12,0))))</f>
        <v>Acidification Potential (AP) - kg SO2 eq</v>
      </c>
      <c r="M10882" s="154" t="str">
        <f t="shared" si="925"/>
        <v>High_Medium_Low_Upgraded_Acidification Potential (AP) - kg SO2 eq_Belt filter press; wastewater treatment unit; at updated plant - US_Base_With Amendment_Aerated Static Pile</v>
      </c>
    </row>
    <row r="10883" spans="1:13" s="120" customFormat="1" x14ac:dyDescent="0.25">
      <c r="A10883" s="119"/>
      <c r="B10883" s="138" t="str">
        <f t="shared" si="926"/>
        <v>Aerated Static Pile</v>
      </c>
      <c r="C10883" s="138" t="str">
        <f t="shared" si="927"/>
        <v>Base_With Amendment</v>
      </c>
      <c r="D10883" s="138" t="str">
        <f t="shared" si="931"/>
        <v>Medium_Low</v>
      </c>
      <c r="E10883" s="138" t="str">
        <f t="shared" si="929"/>
        <v>High</v>
      </c>
      <c r="F10883" s="138" t="str">
        <f t="shared" si="928"/>
        <v>Upgraded</v>
      </c>
      <c r="G10883" s="153"/>
      <c r="H10883" s="210">
        <v>1.41E-2</v>
      </c>
      <c r="I10883" s="160" t="s">
        <v>57</v>
      </c>
      <c r="J10883" s="160">
        <v>6.9999999999999999E-4</v>
      </c>
      <c r="K10883" s="160" t="s">
        <v>24</v>
      </c>
      <c r="L10883" s="154" t="str">
        <f>IF(OpenLCAbasic!K10883="CTUh", "Fill in Manually",IF(OR(K10883="Unit", K10883=""), "", INDEX(LookUps!$E$5:$E$12, MATCH(OpenLCAbasic!K10883,LookUps!$D$5:$D$12,0))))</f>
        <v>Acidification Potential (AP) - kg SO2 eq</v>
      </c>
      <c r="M10883" s="154" t="str">
        <f t="shared" si="925"/>
        <v>High_Medium_Low_Upgraded_Acidification Potential (AP) - kg SO2 eq_Gravity Belt Thickener; wastewater treatment unit; at updated plant - US_Base_With Amendment_Aerated Static Pile</v>
      </c>
    </row>
    <row r="10884" spans="1:13" s="120" customFormat="1" x14ac:dyDescent="0.25">
      <c r="A10884" s="119"/>
      <c r="B10884" s="138" t="str">
        <f t="shared" si="926"/>
        <v>Aerated Static Pile</v>
      </c>
      <c r="C10884" s="138" t="str">
        <f t="shared" si="927"/>
        <v>Base_With Amendment</v>
      </c>
      <c r="D10884" s="138" t="str">
        <f t="shared" si="931"/>
        <v>Medium_Low</v>
      </c>
      <c r="E10884" s="138" t="str">
        <f t="shared" si="929"/>
        <v>High</v>
      </c>
      <c r="F10884" s="138" t="str">
        <f t="shared" si="928"/>
        <v>Upgraded</v>
      </c>
      <c r="G10884" s="153"/>
      <c r="H10884" s="210">
        <v>1.03E-2</v>
      </c>
      <c r="I10884" s="160" t="s">
        <v>59</v>
      </c>
      <c r="J10884" s="160">
        <v>5.1999999999999995E-4</v>
      </c>
      <c r="K10884" s="160" t="s">
        <v>24</v>
      </c>
      <c r="L10884" s="154" t="str">
        <f>IF(OpenLCAbasic!K10884="CTUh", "Fill in Manually",IF(OR(K10884="Unit", K10884=""), "", INDEX(LookUps!$E$5:$E$12, MATCH(OpenLCAbasic!K10884,LookUps!$D$5:$D$12,0))))</f>
        <v>Acidification Potential (AP) - kg SO2 eq</v>
      </c>
      <c r="M10884" s="154" t="str">
        <f t="shared" ref="M10884:M10947" si="932">CONCATENATE(E10884,"_",D10884,"_",F10884,"_",L10884, "_",I10884,"_", C10884,"_", B10884)</f>
        <v>High_Medium_Low_Upgraded_Acidification Potential (AP) - kg SO2 eq_Blend Tank; wastewater treatment unit; at updated plant - US_Base_With Amendment_Aerated Static Pile</v>
      </c>
    </row>
    <row r="10885" spans="1:13" s="120" customFormat="1" x14ac:dyDescent="0.25">
      <c r="A10885" s="119"/>
      <c r="B10885" s="138" t="str">
        <f t="shared" si="926"/>
        <v>Aerated Static Pile</v>
      </c>
      <c r="C10885" s="138" t="str">
        <f t="shared" si="927"/>
        <v>Base_With Amendment</v>
      </c>
      <c r="D10885" s="138" t="str">
        <f t="shared" si="931"/>
        <v>Medium_Low</v>
      </c>
      <c r="E10885" s="138" t="str">
        <f t="shared" si="929"/>
        <v>High</v>
      </c>
      <c r="F10885" s="138" t="str">
        <f t="shared" si="928"/>
        <v>Upgraded</v>
      </c>
      <c r="G10885" s="153"/>
      <c r="H10885" s="210">
        <v>6.8999999999999999E-3</v>
      </c>
      <c r="I10885" s="160" t="s">
        <v>48</v>
      </c>
      <c r="J10885" s="160">
        <v>3.5E-4</v>
      </c>
      <c r="K10885" s="160" t="s">
        <v>24</v>
      </c>
      <c r="L10885" s="154" t="str">
        <f>IF(OpenLCAbasic!K10885="CTUh", "Fill in Manually",IF(OR(K10885="Unit", K10885=""), "", INDEX(LookUps!$E$5:$E$12, MATCH(OpenLCAbasic!K10885,LookUps!$D$5:$D$12,0))))</f>
        <v>Acidification Potential (AP) - kg SO2 eq</v>
      </c>
      <c r="M10885" s="154" t="str">
        <f t="shared" si="932"/>
        <v>High_Medium_Low_Upgraded_Acidification Potential (AP) - kg SO2 eq_Effluent release; wastewater treatment unit; at surface water; m3 wastewater - US_Base_With Amendment_Aerated Static Pile</v>
      </c>
    </row>
    <row r="10886" spans="1:13" s="120" customFormat="1" x14ac:dyDescent="0.25">
      <c r="A10886" s="119"/>
      <c r="B10886" s="138" t="str">
        <f t="shared" si="926"/>
        <v>Aerated Static Pile</v>
      </c>
      <c r="C10886" s="138" t="str">
        <f t="shared" si="927"/>
        <v>Base_With Amendment</v>
      </c>
      <c r="D10886" s="138" t="str">
        <f t="shared" si="931"/>
        <v>Medium_Low</v>
      </c>
      <c r="E10886" s="138" t="str">
        <f t="shared" si="929"/>
        <v>High</v>
      </c>
      <c r="F10886" s="138" t="str">
        <f t="shared" si="928"/>
        <v>Upgraded</v>
      </c>
      <c r="G10886" s="153"/>
      <c r="H10886" s="210">
        <v>5.1000000000000004E-3</v>
      </c>
      <c r="I10886" s="160" t="s">
        <v>168</v>
      </c>
      <c r="J10886" s="160">
        <v>2.5999999999999998E-4</v>
      </c>
      <c r="K10886" s="160" t="s">
        <v>24</v>
      </c>
      <c r="L10886" s="154" t="str">
        <f>IF(OpenLCAbasic!K10886="CTUh", "Fill in Manually",IF(OR(K10886="Unit", K10886=""), "", INDEX(LookUps!$E$5:$E$12, MATCH(OpenLCAbasic!K10886,LookUps!$D$5:$D$12,0))))</f>
        <v>Acidification Potential (AP) - kg SO2 eq</v>
      </c>
      <c r="M10886" s="154" t="str">
        <f t="shared" si="932"/>
        <v>High_Medium_Low_Upgraded_Acidification Potential (AP) - kg SO2 eq_ClearCove SCP; wastewater treatment unit; at updated plant - US_Base_With Amendment_Aerated Static Pile</v>
      </c>
    </row>
    <row r="10887" spans="1:13" s="120" customFormat="1" x14ac:dyDescent="0.25">
      <c r="A10887" s="119"/>
      <c r="B10887" s="138" t="str">
        <f t="shared" si="926"/>
        <v>Aerated Static Pile</v>
      </c>
      <c r="C10887" s="138" t="str">
        <f t="shared" si="927"/>
        <v>Base_With Amendment</v>
      </c>
      <c r="D10887" s="138" t="str">
        <f t="shared" si="931"/>
        <v>Medium_Low</v>
      </c>
      <c r="E10887" s="138" t="str">
        <f t="shared" si="929"/>
        <v>High</v>
      </c>
      <c r="F10887" s="138" t="str">
        <f t="shared" si="928"/>
        <v>Upgraded</v>
      </c>
      <c r="G10887" s="153"/>
      <c r="H10887" s="210">
        <v>8.0000000000000004E-4</v>
      </c>
      <c r="I10887" s="160" t="s">
        <v>148</v>
      </c>
      <c r="J10887" s="211">
        <v>4.0354700000000002E-5</v>
      </c>
      <c r="K10887" s="160" t="s">
        <v>24</v>
      </c>
      <c r="L10887" s="154" t="str">
        <f>IF(OpenLCAbasic!K10887="CTUh", "Fill in Manually",IF(OR(K10887="Unit", K10887=""), "", INDEX(LookUps!$E$5:$E$12, MATCH(OpenLCAbasic!K10887,LookUps!$D$5:$D$12,0))))</f>
        <v>Acidification Potential (AP) - kg SO2 eq</v>
      </c>
      <c r="M10887" s="154" t="str">
        <f t="shared" si="932"/>
        <v>High_Medium_Low_Upgraded_Acidification Potential (AP) - kg SO2 eq_Control Building; at upgraded wastewater treatment plant - US_Base_With Amendment_Aerated Static Pile</v>
      </c>
    </row>
    <row r="10888" spans="1:13" s="120" customFormat="1" x14ac:dyDescent="0.25">
      <c r="A10888" s="119"/>
      <c r="B10888" s="138" t="str">
        <f t="shared" si="926"/>
        <v>Aerated Static Pile</v>
      </c>
      <c r="C10888" s="138" t="str">
        <f t="shared" si="927"/>
        <v>Base_With Amendment</v>
      </c>
      <c r="D10888" s="138" t="str">
        <f t="shared" si="931"/>
        <v>Medium_Low</v>
      </c>
      <c r="E10888" s="138" t="str">
        <f t="shared" si="929"/>
        <v>High</v>
      </c>
      <c r="F10888" s="138" t="str">
        <f t="shared" si="928"/>
        <v>Upgraded</v>
      </c>
      <c r="G10888" s="153"/>
      <c r="H10888" s="210">
        <v>-5.5599999999999997E-2</v>
      </c>
      <c r="I10888" s="160" t="s">
        <v>149</v>
      </c>
      <c r="J10888" s="160">
        <v>-2.7799999999999999E-3</v>
      </c>
      <c r="K10888" s="160" t="s">
        <v>24</v>
      </c>
      <c r="L10888" s="154" t="str">
        <f>IF(OpenLCAbasic!K10888="CTUh", "Fill in Manually",IF(OR(K10888="Unit", K10888=""), "", INDEX(LookUps!$E$5:$E$12, MATCH(OpenLCAbasic!K10888,LookUps!$D$5:$D$12,0))))</f>
        <v>Acidification Potential (AP) - kg SO2 eq</v>
      </c>
      <c r="M10888" s="154" t="str">
        <f t="shared" si="932"/>
        <v>High_Medium_Low_Upgraded_Acidification Potential (AP) - kg SO2 eq_Anaerobic Digestion; wastewater treatment unit; at updated plant - US_Base_With Amendment_Aerated Static Pile</v>
      </c>
    </row>
    <row r="10889" spans="1:13" s="120" customFormat="1" x14ac:dyDescent="0.25">
      <c r="A10889" s="119"/>
      <c r="B10889" s="138" t="str">
        <f t="shared" si="926"/>
        <v/>
      </c>
      <c r="C10889" s="138" t="str">
        <f t="shared" si="927"/>
        <v/>
      </c>
      <c r="D10889" s="138" t="str">
        <f t="shared" si="931"/>
        <v/>
      </c>
      <c r="E10889" s="138" t="str">
        <f t="shared" si="929"/>
        <v/>
      </c>
      <c r="F10889" s="138" t="str">
        <f t="shared" si="928"/>
        <v/>
      </c>
      <c r="G10889" s="153" t="s">
        <v>51</v>
      </c>
      <c r="H10889" s="160"/>
      <c r="I10889" s="160" t="s">
        <v>47</v>
      </c>
      <c r="J10889" s="160" t="s">
        <v>52</v>
      </c>
      <c r="K10889" s="160" t="s">
        <v>27</v>
      </c>
      <c r="L10889" s="154" t="str">
        <f>IF(OpenLCAbasic!K10889="CTUh", "Fill in Manually",IF(OR(K10889="Unit", K10889=""), "", INDEX(LookUps!$E$5:$E$12, MATCH(OpenLCAbasic!K10889,LookUps!$D$5:$D$12,0))))</f>
        <v/>
      </c>
      <c r="M10889" s="154" t="str">
        <f t="shared" si="932"/>
        <v>____Process__</v>
      </c>
    </row>
    <row r="10890" spans="1:13" s="120" customFormat="1" x14ac:dyDescent="0.25">
      <c r="A10890" s="119"/>
      <c r="B10890" s="138" t="str">
        <f t="shared" ref="B10890:B10953" si="933">IF(F10890="Legacy","n.a.",IF(F10890="","","Aerated Static Pile"))</f>
        <v>Aerated Static Pile</v>
      </c>
      <c r="C10890" s="138" t="str">
        <f t="shared" ref="C10890:C10953" si="934">IF(ISNUMBER($J10890),"Base_With Amendment","")</f>
        <v>Base_With Amendment</v>
      </c>
      <c r="D10890" s="138" t="str">
        <f t="shared" si="931"/>
        <v>Medium_Low</v>
      </c>
      <c r="E10890" s="138" t="str">
        <f t="shared" si="929"/>
        <v>High</v>
      </c>
      <c r="F10890" s="138" t="str">
        <f t="shared" ref="F10890:F10953" si="935">IF(ISNUMBER(J10890),"Upgraded","")</f>
        <v>Upgraded</v>
      </c>
      <c r="G10890" s="153"/>
      <c r="H10890" s="210">
        <v>0.2959</v>
      </c>
      <c r="I10890" s="160" t="s">
        <v>167</v>
      </c>
      <c r="J10890" s="160">
        <v>4.2789599999999997</v>
      </c>
      <c r="K10890" s="160" t="s">
        <v>15</v>
      </c>
      <c r="L10890" s="154" t="str">
        <f>IF(OpenLCAbasic!K10890="CTUh", "Fill in Manually",IF(OR(K10890="Unit", K10890=""), "", INDEX(LookUps!$E$5:$E$12, MATCH(OpenLCAbasic!K10890,LookUps!$D$5:$D$12,0))))</f>
        <v>Cumulative Energy Demand (CED) - MJ</v>
      </c>
      <c r="M10890" s="154" t="str">
        <f t="shared" si="932"/>
        <v>High_Medium_Low_Upgraded_Cumulative Energy Demand (CED) - MJ_Waste Receiving and Holding; wastewater treatment unit; at updated plant - US_Base_With Amendment_Aerated Static Pile</v>
      </c>
    </row>
    <row r="10891" spans="1:13" s="120" customFormat="1" x14ac:dyDescent="0.25">
      <c r="A10891" s="119"/>
      <c r="B10891" s="138" t="str">
        <f t="shared" si="933"/>
        <v>Aerated Static Pile</v>
      </c>
      <c r="C10891" s="138" t="str">
        <f t="shared" si="934"/>
        <v>Base_With Amendment</v>
      </c>
      <c r="D10891" s="138" t="str">
        <f t="shared" si="931"/>
        <v>Medium_Low</v>
      </c>
      <c r="E10891" s="138" t="str">
        <f t="shared" si="929"/>
        <v>High</v>
      </c>
      <c r="F10891" s="138" t="str">
        <f t="shared" si="935"/>
        <v>Upgraded</v>
      </c>
      <c r="G10891" s="153"/>
      <c r="H10891" s="210">
        <v>0.24429999999999999</v>
      </c>
      <c r="I10891" s="160" t="s">
        <v>55</v>
      </c>
      <c r="J10891" s="160">
        <v>3.5330499999999998</v>
      </c>
      <c r="K10891" s="160" t="s">
        <v>15</v>
      </c>
      <c r="L10891" s="154" t="str">
        <f>IF(OpenLCAbasic!K10891="CTUh", "Fill in Manually",IF(OR(K10891="Unit", K10891=""), "", INDEX(LookUps!$E$5:$E$12, MATCH(OpenLCAbasic!K10891,LookUps!$D$5:$D$12,0))))</f>
        <v>Cumulative Energy Demand (CED) - MJ</v>
      </c>
      <c r="M10891" s="154" t="str">
        <f t="shared" si="932"/>
        <v>High_Medium_Low_Upgraded_Cumulative Energy Demand (CED) - MJ_Aeration Tanks; wastewater treatment unit; at updated plant - US_Base_With Amendment_Aerated Static Pile</v>
      </c>
    </row>
    <row r="10892" spans="1:13" s="120" customFormat="1" x14ac:dyDescent="0.25">
      <c r="A10892" s="119"/>
      <c r="B10892" s="138" t="str">
        <f t="shared" si="933"/>
        <v>Aerated Static Pile</v>
      </c>
      <c r="C10892" s="138" t="str">
        <f t="shared" si="934"/>
        <v>Base_With Amendment</v>
      </c>
      <c r="D10892" s="138" t="str">
        <f t="shared" si="931"/>
        <v>Medium_Low</v>
      </c>
      <c r="E10892" s="138" t="str">
        <f t="shared" si="929"/>
        <v>High</v>
      </c>
      <c r="F10892" s="138" t="str">
        <f t="shared" si="935"/>
        <v>Upgraded</v>
      </c>
      <c r="G10892" s="153"/>
      <c r="H10892" s="210">
        <v>0.13170000000000001</v>
      </c>
      <c r="I10892" s="160" t="s">
        <v>435</v>
      </c>
      <c r="J10892" s="160">
        <v>1.90496</v>
      </c>
      <c r="K10892" s="160" t="s">
        <v>15</v>
      </c>
      <c r="L10892" s="154" t="str">
        <f>IF(OpenLCAbasic!K10892="CTUh", "Fill in Manually",IF(OR(K10892="Unit", K10892=""), "", INDEX(LookUps!$E$5:$E$12, MATCH(OpenLCAbasic!K10892,LookUps!$D$5:$D$12,0))))</f>
        <v>Cumulative Energy Demand (CED) - MJ</v>
      </c>
      <c r="M10892" s="154" t="str">
        <f t="shared" si="932"/>
        <v>High_Medium_Low_Upgraded_Cumulative Energy Demand (CED) - MJ_Biosolids composting; aerated static pile; wastewater treatment unit; at updated plant - US_Base_With Amendment_Aerated Static Pile</v>
      </c>
    </row>
    <row r="10893" spans="1:13" s="120" customFormat="1" x14ac:dyDescent="0.25">
      <c r="A10893" s="119"/>
      <c r="B10893" s="138" t="str">
        <f t="shared" si="933"/>
        <v>Aerated Static Pile</v>
      </c>
      <c r="C10893" s="138" t="str">
        <f t="shared" si="934"/>
        <v>Base_With Amendment</v>
      </c>
      <c r="D10893" s="138" t="str">
        <f t="shared" si="931"/>
        <v>Medium_Low</v>
      </c>
      <c r="E10893" s="138" t="str">
        <f t="shared" si="929"/>
        <v>High</v>
      </c>
      <c r="F10893" s="138" t="str">
        <f t="shared" si="935"/>
        <v>Upgraded</v>
      </c>
      <c r="G10893" s="153"/>
      <c r="H10893" s="210">
        <v>8.0399999999999999E-2</v>
      </c>
      <c r="I10893" s="160" t="s">
        <v>54</v>
      </c>
      <c r="J10893" s="160">
        <v>1.16289</v>
      </c>
      <c r="K10893" s="160" t="s">
        <v>15</v>
      </c>
      <c r="L10893" s="154" t="str">
        <f>IF(OpenLCAbasic!K10893="CTUh", "Fill in Manually",IF(OR(K10893="Unit", K10893=""), "", INDEX(LookUps!$E$5:$E$12, MATCH(OpenLCAbasic!K10893,LookUps!$D$5:$D$12,0))))</f>
        <v>Cumulative Energy Demand (CED) - MJ</v>
      </c>
      <c r="M10893" s="154" t="str">
        <f t="shared" si="932"/>
        <v>High_Medium_Low_Upgraded_Cumulative Energy Demand (CED) - MJ_Clear Cove Primary Clarification; wastewater treatment unit; at updated plant - US_Base_With Amendment_Aerated Static Pile</v>
      </c>
    </row>
    <row r="10894" spans="1:13" s="120" customFormat="1" x14ac:dyDescent="0.25">
      <c r="A10894" s="119"/>
      <c r="B10894" s="138" t="str">
        <f t="shared" si="933"/>
        <v>Aerated Static Pile</v>
      </c>
      <c r="C10894" s="138" t="str">
        <f t="shared" si="934"/>
        <v>Base_With Amendment</v>
      </c>
      <c r="D10894" s="138" t="str">
        <f t="shared" si="931"/>
        <v>Medium_Low</v>
      </c>
      <c r="E10894" s="138" t="str">
        <f t="shared" si="929"/>
        <v>High</v>
      </c>
      <c r="F10894" s="138" t="str">
        <f t="shared" si="935"/>
        <v>Upgraded</v>
      </c>
      <c r="G10894" s="153"/>
      <c r="H10894" s="210">
        <v>6.13E-2</v>
      </c>
      <c r="I10894" s="160" t="s">
        <v>58</v>
      </c>
      <c r="J10894" s="160">
        <v>0.88705000000000001</v>
      </c>
      <c r="K10894" s="160" t="s">
        <v>15</v>
      </c>
      <c r="L10894" s="154" t="str">
        <f>IF(OpenLCAbasic!K10894="CTUh", "Fill in Manually",IF(OR(K10894="Unit", K10894=""), "", INDEX(LookUps!$E$5:$E$12, MATCH(OpenLCAbasic!K10894,LookUps!$D$5:$D$12,0))))</f>
        <v>Cumulative Energy Demand (CED) - MJ</v>
      </c>
      <c r="M10894" s="154" t="str">
        <f t="shared" si="932"/>
        <v>High_Medium_Low_Upgraded_Cumulative Energy Demand (CED) - MJ_Pre-Anoxic &amp; Swing tank; wastewater treatment unit; at updated plant - US_Base_With Amendment_Aerated Static Pile</v>
      </c>
    </row>
    <row r="10895" spans="1:13" s="120" customFormat="1" x14ac:dyDescent="0.25">
      <c r="A10895" s="119"/>
      <c r="B10895" s="138" t="str">
        <f t="shared" si="933"/>
        <v>Aerated Static Pile</v>
      </c>
      <c r="C10895" s="138" t="str">
        <f t="shared" si="934"/>
        <v>Base_With Amendment</v>
      </c>
      <c r="D10895" s="138" t="str">
        <f t="shared" si="931"/>
        <v>Medium_Low</v>
      </c>
      <c r="E10895" s="138" t="str">
        <f t="shared" si="929"/>
        <v>High</v>
      </c>
      <c r="F10895" s="138" t="str">
        <f t="shared" si="935"/>
        <v>Upgraded</v>
      </c>
      <c r="G10895" s="153"/>
      <c r="H10895" s="210">
        <v>6.1100000000000002E-2</v>
      </c>
      <c r="I10895" s="160" t="s">
        <v>147</v>
      </c>
      <c r="J10895" s="160">
        <v>0.88297000000000003</v>
      </c>
      <c r="K10895" s="160" t="s">
        <v>15</v>
      </c>
      <c r="L10895" s="154" t="str">
        <f>IF(OpenLCAbasic!K10895="CTUh", "Fill in Manually",IF(OR(K10895="Unit", K10895=""), "", INDEX(LookUps!$E$5:$E$12, MATCH(OpenLCAbasic!K10895,LookUps!$D$5:$D$12,0))))</f>
        <v>Cumulative Energy Demand (CED) - MJ</v>
      </c>
      <c r="M10895" s="154" t="str">
        <f t="shared" si="932"/>
        <v>High_Medium_Low_Upgraded_Cumulative Energy Demand (CED) - MJ_Influent Pump Station; wastewater treatment unit; at updated plant - US_Base_With Amendment_Aerated Static Pile</v>
      </c>
    </row>
    <row r="10896" spans="1:13" s="120" customFormat="1" x14ac:dyDescent="0.25">
      <c r="A10896" s="119"/>
      <c r="B10896" s="138" t="str">
        <f t="shared" si="933"/>
        <v>Aerated Static Pile</v>
      </c>
      <c r="C10896" s="138" t="str">
        <f t="shared" si="934"/>
        <v>Base_With Amendment</v>
      </c>
      <c r="D10896" s="138" t="str">
        <f t="shared" si="931"/>
        <v>Medium_Low</v>
      </c>
      <c r="E10896" s="138" t="str">
        <f t="shared" si="929"/>
        <v>High</v>
      </c>
      <c r="F10896" s="138" t="str">
        <f t="shared" si="935"/>
        <v>Upgraded</v>
      </c>
      <c r="G10896" s="153"/>
      <c r="H10896" s="210">
        <v>4.82E-2</v>
      </c>
      <c r="I10896" s="160" t="s">
        <v>53</v>
      </c>
      <c r="J10896" s="160">
        <v>0.69645000000000001</v>
      </c>
      <c r="K10896" s="160" t="s">
        <v>15</v>
      </c>
      <c r="L10896" s="154" t="str">
        <f>IF(OpenLCAbasic!K10896="CTUh", "Fill in Manually",IF(OR(K10896="Unit", K10896=""), "", INDEX(LookUps!$E$5:$E$12, MATCH(OpenLCAbasic!K10896,LookUps!$D$5:$D$12,0))))</f>
        <v>Cumulative Energy Demand (CED) - MJ</v>
      </c>
      <c r="M10896" s="154" t="str">
        <f t="shared" si="932"/>
        <v>High_Medium_Low_Upgraded_Cumulative Energy Demand (CED) - MJ_Wet Well and Sump Station; wastewater treatment unit; at updated plant - US_Base_With Amendment_Aerated Static Pile</v>
      </c>
    </row>
    <row r="10897" spans="1:13" s="120" customFormat="1" x14ac:dyDescent="0.25">
      <c r="A10897" s="119"/>
      <c r="B10897" s="138" t="str">
        <f t="shared" si="933"/>
        <v>Aerated Static Pile</v>
      </c>
      <c r="C10897" s="138" t="str">
        <f t="shared" si="934"/>
        <v>Base_With Amendment</v>
      </c>
      <c r="D10897" s="138" t="str">
        <f t="shared" si="931"/>
        <v>Medium_Low</v>
      </c>
      <c r="E10897" s="138" t="str">
        <f t="shared" si="929"/>
        <v>High</v>
      </c>
      <c r="F10897" s="138" t="str">
        <f t="shared" si="935"/>
        <v>Upgraded</v>
      </c>
      <c r="G10897" s="153"/>
      <c r="H10897" s="210">
        <v>3.1099999999999999E-2</v>
      </c>
      <c r="I10897" s="160" t="s">
        <v>60</v>
      </c>
      <c r="J10897" s="160">
        <v>0.44939000000000001</v>
      </c>
      <c r="K10897" s="160" t="s">
        <v>15</v>
      </c>
      <c r="L10897" s="154" t="str">
        <f>IF(OpenLCAbasic!K10897="CTUh", "Fill in Manually",IF(OR(K10897="Unit", K10897=""), "", INDEX(LookUps!$E$5:$E$12, MATCH(OpenLCAbasic!K10897,LookUps!$D$5:$D$12,0))))</f>
        <v>Cumulative Energy Demand (CED) - MJ</v>
      </c>
      <c r="M10897" s="154" t="str">
        <f t="shared" si="932"/>
        <v>High_Medium_Low_Upgraded_Cumulative Energy Demand (CED) - MJ_Belt filter press; wastewater treatment unit; at updated plant - US_Base_With Amendment_Aerated Static Pile</v>
      </c>
    </row>
    <row r="10898" spans="1:13" s="120" customFormat="1" x14ac:dyDescent="0.25">
      <c r="A10898" s="119"/>
      <c r="B10898" s="138" t="str">
        <f t="shared" si="933"/>
        <v>Aerated Static Pile</v>
      </c>
      <c r="C10898" s="138" t="str">
        <f t="shared" si="934"/>
        <v>Base_With Amendment</v>
      </c>
      <c r="D10898" s="138" t="str">
        <f t="shared" si="931"/>
        <v>Medium_Low</v>
      </c>
      <c r="E10898" s="138" t="str">
        <f t="shared" si="929"/>
        <v>High</v>
      </c>
      <c r="F10898" s="138" t="str">
        <f t="shared" si="935"/>
        <v>Upgraded</v>
      </c>
      <c r="G10898" s="153"/>
      <c r="H10898" s="210">
        <v>2.3099999999999999E-2</v>
      </c>
      <c r="I10898" s="160" t="s">
        <v>57</v>
      </c>
      <c r="J10898" s="160">
        <v>0.33404</v>
      </c>
      <c r="K10898" s="160" t="s">
        <v>15</v>
      </c>
      <c r="L10898" s="154" t="str">
        <f>IF(OpenLCAbasic!K10898="CTUh", "Fill in Manually",IF(OR(K10898="Unit", K10898=""), "", INDEX(LookUps!$E$5:$E$12, MATCH(OpenLCAbasic!K10898,LookUps!$D$5:$D$12,0))))</f>
        <v>Cumulative Energy Demand (CED) - MJ</v>
      </c>
      <c r="M10898" s="154" t="str">
        <f t="shared" si="932"/>
        <v>High_Medium_Low_Upgraded_Cumulative Energy Demand (CED) - MJ_Gravity Belt Thickener; wastewater treatment unit; at updated plant - US_Base_With Amendment_Aerated Static Pile</v>
      </c>
    </row>
    <row r="10899" spans="1:13" s="120" customFormat="1" x14ac:dyDescent="0.25">
      <c r="A10899" s="119"/>
      <c r="B10899" s="138" t="str">
        <f t="shared" si="933"/>
        <v>Aerated Static Pile</v>
      </c>
      <c r="C10899" s="138" t="str">
        <f t="shared" si="934"/>
        <v>Base_With Amendment</v>
      </c>
      <c r="D10899" s="138" t="str">
        <f t="shared" si="931"/>
        <v>Medium_Low</v>
      </c>
      <c r="E10899" s="138" t="str">
        <f t="shared" si="929"/>
        <v>High</v>
      </c>
      <c r="F10899" s="138" t="str">
        <f t="shared" si="935"/>
        <v>Upgraded</v>
      </c>
      <c r="G10899" s="153"/>
      <c r="H10899" s="210">
        <v>1.9E-2</v>
      </c>
      <c r="I10899" s="160" t="s">
        <v>149</v>
      </c>
      <c r="J10899" s="160">
        <v>0.27453</v>
      </c>
      <c r="K10899" s="160" t="s">
        <v>15</v>
      </c>
      <c r="L10899" s="154" t="str">
        <f>IF(OpenLCAbasic!K10899="CTUh", "Fill in Manually",IF(OR(K10899="Unit", K10899=""), "", INDEX(LookUps!$E$5:$E$12, MATCH(OpenLCAbasic!K10899,LookUps!$D$5:$D$12,0))))</f>
        <v>Cumulative Energy Demand (CED) - MJ</v>
      </c>
      <c r="M10899" s="154" t="str">
        <f t="shared" si="932"/>
        <v>High_Medium_Low_Upgraded_Cumulative Energy Demand (CED) - MJ_Anaerobic Digestion; wastewater treatment unit; at updated plant - US_Base_With Amendment_Aerated Static Pile</v>
      </c>
    </row>
    <row r="10900" spans="1:13" s="120" customFormat="1" x14ac:dyDescent="0.25">
      <c r="A10900" s="119"/>
      <c r="B10900" s="138" t="str">
        <f t="shared" si="933"/>
        <v>Aerated Static Pile</v>
      </c>
      <c r="C10900" s="138" t="str">
        <f t="shared" si="934"/>
        <v>Base_With Amendment</v>
      </c>
      <c r="D10900" s="138" t="str">
        <f t="shared" si="931"/>
        <v>Medium_Low</v>
      </c>
      <c r="E10900" s="138" t="str">
        <f t="shared" si="929"/>
        <v>High</v>
      </c>
      <c r="F10900" s="138" t="str">
        <f t="shared" si="935"/>
        <v>Upgraded</v>
      </c>
      <c r="G10900" s="153"/>
      <c r="H10900" s="210">
        <v>1.77E-2</v>
      </c>
      <c r="I10900" s="160" t="s">
        <v>128</v>
      </c>
      <c r="J10900" s="160">
        <v>0.25606000000000001</v>
      </c>
      <c r="K10900" s="160" t="s">
        <v>15</v>
      </c>
      <c r="L10900" s="154" t="str">
        <f>IF(OpenLCAbasic!K10900="CTUh", "Fill in Manually",IF(OR(K10900="Unit", K10900=""), "", INDEX(LookUps!$E$5:$E$12, MATCH(OpenLCAbasic!K10900,LookUps!$D$5:$D$12,0))))</f>
        <v>Cumulative Energy Demand (CED) - MJ</v>
      </c>
      <c r="M10900" s="154" t="str">
        <f t="shared" si="932"/>
        <v>High_Medium_Low_Upgraded_Cumulative Energy Demand (CED) - MJ_Wastewater collection; operation and infrastructure; m3 wastewater_Base_With Amendment_Aerated Static Pile</v>
      </c>
    </row>
    <row r="10901" spans="1:13" s="120" customFormat="1" x14ac:dyDescent="0.25">
      <c r="A10901" s="119"/>
      <c r="B10901" s="138" t="str">
        <f t="shared" si="933"/>
        <v>Aerated Static Pile</v>
      </c>
      <c r="C10901" s="138" t="str">
        <f t="shared" si="934"/>
        <v>Base_With Amendment</v>
      </c>
      <c r="D10901" s="138" t="str">
        <f t="shared" si="931"/>
        <v>Medium_Low</v>
      </c>
      <c r="E10901" s="138" t="str">
        <f t="shared" si="929"/>
        <v>High</v>
      </c>
      <c r="F10901" s="138" t="str">
        <f t="shared" si="935"/>
        <v>Upgraded</v>
      </c>
      <c r="G10901" s="153"/>
      <c r="H10901" s="210">
        <v>1.01E-2</v>
      </c>
      <c r="I10901" s="160" t="s">
        <v>148</v>
      </c>
      <c r="J10901" s="160">
        <v>0.14599000000000001</v>
      </c>
      <c r="K10901" s="160" t="s">
        <v>15</v>
      </c>
      <c r="L10901" s="154" t="str">
        <f>IF(OpenLCAbasic!K10901="CTUh", "Fill in Manually",IF(OR(K10901="Unit", K10901=""), "", INDEX(LookUps!$E$5:$E$12, MATCH(OpenLCAbasic!K10901,LookUps!$D$5:$D$12,0))))</f>
        <v>Cumulative Energy Demand (CED) - MJ</v>
      </c>
      <c r="M10901" s="154" t="str">
        <f t="shared" si="932"/>
        <v>High_Medium_Low_Upgraded_Cumulative Energy Demand (CED) - MJ_Control Building; at upgraded wastewater treatment plant - US_Base_With Amendment_Aerated Static Pile</v>
      </c>
    </row>
    <row r="10902" spans="1:13" s="120" customFormat="1" x14ac:dyDescent="0.25">
      <c r="A10902" s="119"/>
      <c r="B10902" s="138" t="str">
        <f t="shared" si="933"/>
        <v>Aerated Static Pile</v>
      </c>
      <c r="C10902" s="138" t="str">
        <f t="shared" si="934"/>
        <v>Base_With Amendment</v>
      </c>
      <c r="D10902" s="138" t="str">
        <f t="shared" si="931"/>
        <v>Medium_Low</v>
      </c>
      <c r="E10902" s="138" t="str">
        <f t="shared" si="929"/>
        <v>High</v>
      </c>
      <c r="F10902" s="138" t="str">
        <f t="shared" si="935"/>
        <v>Upgraded</v>
      </c>
      <c r="G10902" s="153"/>
      <c r="H10902" s="210">
        <v>9.1999999999999998E-3</v>
      </c>
      <c r="I10902" s="160" t="s">
        <v>48</v>
      </c>
      <c r="J10902" s="160">
        <v>0.13321</v>
      </c>
      <c r="K10902" s="160" t="s">
        <v>15</v>
      </c>
      <c r="L10902" s="154" t="str">
        <f>IF(OpenLCAbasic!K10902="CTUh", "Fill in Manually",IF(OR(K10902="Unit", K10902=""), "", INDEX(LookUps!$E$5:$E$12, MATCH(OpenLCAbasic!K10902,LookUps!$D$5:$D$12,0))))</f>
        <v>Cumulative Energy Demand (CED) - MJ</v>
      </c>
      <c r="M10902" s="154" t="str">
        <f t="shared" si="932"/>
        <v>High_Medium_Low_Upgraded_Cumulative Energy Demand (CED) - MJ_Effluent release; wastewater treatment unit; at surface water; m3 wastewater - US_Base_With Amendment_Aerated Static Pile</v>
      </c>
    </row>
    <row r="10903" spans="1:13" s="120" customFormat="1" x14ac:dyDescent="0.25">
      <c r="A10903" s="119"/>
      <c r="B10903" s="138" t="str">
        <f t="shared" si="933"/>
        <v>Aerated Static Pile</v>
      </c>
      <c r="C10903" s="138" t="str">
        <f t="shared" si="934"/>
        <v>Base_With Amendment</v>
      </c>
      <c r="D10903" s="138" t="str">
        <f t="shared" si="931"/>
        <v>Medium_Low</v>
      </c>
      <c r="E10903" s="138" t="str">
        <f t="shared" si="929"/>
        <v>High</v>
      </c>
      <c r="F10903" s="138" t="str">
        <f t="shared" si="935"/>
        <v>Upgraded</v>
      </c>
      <c r="G10903" s="153"/>
      <c r="H10903" s="210">
        <v>7.4000000000000003E-3</v>
      </c>
      <c r="I10903" s="160" t="s">
        <v>59</v>
      </c>
      <c r="J10903" s="160">
        <v>0.10638</v>
      </c>
      <c r="K10903" s="160" t="s">
        <v>15</v>
      </c>
      <c r="L10903" s="154" t="str">
        <f>IF(OpenLCAbasic!K10903="CTUh", "Fill in Manually",IF(OR(K10903="Unit", K10903=""), "", INDEX(LookUps!$E$5:$E$12, MATCH(OpenLCAbasic!K10903,LookUps!$D$5:$D$12,0))))</f>
        <v>Cumulative Energy Demand (CED) - MJ</v>
      </c>
      <c r="M10903" s="154" t="str">
        <f t="shared" si="932"/>
        <v>High_Medium_Low_Upgraded_Cumulative Energy Demand (CED) - MJ_Blend Tank; wastewater treatment unit; at updated plant - US_Base_With Amendment_Aerated Static Pile</v>
      </c>
    </row>
    <row r="10904" spans="1:13" s="120" customFormat="1" x14ac:dyDescent="0.25">
      <c r="A10904" s="119"/>
      <c r="B10904" s="138" t="str">
        <f t="shared" si="933"/>
        <v>Aerated Static Pile</v>
      </c>
      <c r="C10904" s="138" t="str">
        <f t="shared" si="934"/>
        <v>Base_With Amendment</v>
      </c>
      <c r="D10904" s="138" t="str">
        <f t="shared" si="931"/>
        <v>Medium_Low</v>
      </c>
      <c r="E10904" s="138" t="str">
        <f t="shared" si="929"/>
        <v>High</v>
      </c>
      <c r="F10904" s="138" t="str">
        <f t="shared" si="935"/>
        <v>Upgraded</v>
      </c>
      <c r="G10904" s="153"/>
      <c r="H10904" s="210">
        <v>3.5000000000000001E-3</v>
      </c>
      <c r="I10904" s="160" t="s">
        <v>168</v>
      </c>
      <c r="J10904" s="160">
        <v>5.0930000000000003E-2</v>
      </c>
      <c r="K10904" s="160" t="s">
        <v>15</v>
      </c>
      <c r="L10904" s="154" t="str">
        <f>IF(OpenLCAbasic!K10904="CTUh", "Fill in Manually",IF(OR(K10904="Unit", K10904=""), "", INDEX(LookUps!$E$5:$E$12, MATCH(OpenLCAbasic!K10904,LookUps!$D$5:$D$12,0))))</f>
        <v>Cumulative Energy Demand (CED) - MJ</v>
      </c>
      <c r="M10904" s="154" t="str">
        <f t="shared" si="932"/>
        <v>High_Medium_Low_Upgraded_Cumulative Energy Demand (CED) - MJ_ClearCove SCP; wastewater treatment unit; at updated plant - US_Base_With Amendment_Aerated Static Pile</v>
      </c>
    </row>
    <row r="10905" spans="1:13" s="120" customFormat="1" x14ac:dyDescent="0.25">
      <c r="A10905" s="119"/>
      <c r="B10905" s="138" t="str">
        <f t="shared" si="933"/>
        <v>Aerated Static Pile</v>
      </c>
      <c r="C10905" s="138" t="str">
        <f t="shared" si="934"/>
        <v>Base_With Amendment</v>
      </c>
      <c r="D10905" s="138" t="str">
        <f t="shared" si="931"/>
        <v>Medium_Low</v>
      </c>
      <c r="E10905" s="138" t="str">
        <f t="shared" si="929"/>
        <v>High</v>
      </c>
      <c r="F10905" s="138" t="str">
        <f t="shared" si="935"/>
        <v>Upgraded</v>
      </c>
      <c r="G10905" s="153"/>
      <c r="H10905" s="210">
        <v>-4.3999999999999997E-2</v>
      </c>
      <c r="I10905" s="160" t="s">
        <v>62</v>
      </c>
      <c r="J10905" s="160">
        <v>-0.63678999999999997</v>
      </c>
      <c r="K10905" s="160" t="s">
        <v>15</v>
      </c>
      <c r="L10905" s="154" t="str">
        <f>IF(OpenLCAbasic!K10905="CTUh", "Fill in Manually",IF(OR(K10905="Unit", K10905=""), "", INDEX(LookUps!$E$5:$E$12, MATCH(OpenLCAbasic!K10905,LookUps!$D$5:$D$12,0))))</f>
        <v>Cumulative Energy Demand (CED) - MJ</v>
      </c>
      <c r="M10905" s="154" t="str">
        <f t="shared" si="932"/>
        <v>High_Medium_Low_Upgraded_Cumulative Energy Demand (CED) - MJ_Land application of compost; wastewater treatment unit; at updated plant - US_Base_With Amendment_Aerated Static Pile</v>
      </c>
    </row>
    <row r="10906" spans="1:13" s="120" customFormat="1" x14ac:dyDescent="0.25">
      <c r="A10906" s="119"/>
      <c r="B10906" s="138" t="str">
        <f t="shared" si="933"/>
        <v/>
      </c>
      <c r="C10906" s="138" t="str">
        <f t="shared" si="934"/>
        <v/>
      </c>
      <c r="D10906" s="138" t="str">
        <f t="shared" si="931"/>
        <v/>
      </c>
      <c r="E10906" s="138" t="str">
        <f t="shared" si="929"/>
        <v/>
      </c>
      <c r="F10906" s="138" t="str">
        <f t="shared" si="935"/>
        <v/>
      </c>
      <c r="G10906" s="153" t="s">
        <v>51</v>
      </c>
      <c r="H10906" s="160"/>
      <c r="I10906" s="160" t="s">
        <v>47</v>
      </c>
      <c r="J10906" s="160" t="s">
        <v>52</v>
      </c>
      <c r="K10906" s="160" t="s">
        <v>27</v>
      </c>
      <c r="L10906" s="154" t="str">
        <f>IF(OpenLCAbasic!K10906="CTUh", "Fill in Manually",IF(OR(K10906="Unit", K10906=""), "", INDEX(LookUps!$E$5:$E$12, MATCH(OpenLCAbasic!K10906,LookUps!$D$5:$D$12,0))))</f>
        <v/>
      </c>
      <c r="M10906" s="154" t="str">
        <f t="shared" si="932"/>
        <v>____Process__</v>
      </c>
    </row>
    <row r="10907" spans="1:13" s="120" customFormat="1" x14ac:dyDescent="0.25">
      <c r="A10907" s="119"/>
      <c r="B10907" s="138" t="str">
        <f t="shared" si="933"/>
        <v>Aerated Static Pile</v>
      </c>
      <c r="C10907" s="138" t="str">
        <f t="shared" si="934"/>
        <v>Base_With Amendment</v>
      </c>
      <c r="D10907" s="138" t="str">
        <f t="shared" si="931"/>
        <v>Medium_Low</v>
      </c>
      <c r="E10907" s="138" t="str">
        <f t="shared" si="929"/>
        <v>High</v>
      </c>
      <c r="F10907" s="138" t="str">
        <f t="shared" si="935"/>
        <v>Upgraded</v>
      </c>
      <c r="G10907" s="153"/>
      <c r="H10907" s="210">
        <v>0.70040000000000002</v>
      </c>
      <c r="I10907" s="160" t="s">
        <v>48</v>
      </c>
      <c r="J10907" s="160">
        <v>1.1610000000000001E-2</v>
      </c>
      <c r="K10907" s="160" t="s">
        <v>13</v>
      </c>
      <c r="L10907" s="154" t="str">
        <f>IF(OpenLCAbasic!K10907="CTUh", "Fill in Manually",IF(OR(K10907="Unit", K10907=""), "", INDEX(LookUps!$E$5:$E$12, MATCH(OpenLCAbasic!K10907,LookUps!$D$5:$D$12,0))))</f>
        <v>Eutrophication Potential (EP) - kg N eq</v>
      </c>
      <c r="M10907" s="154" t="str">
        <f t="shared" si="932"/>
        <v>High_Medium_Low_Upgraded_Eutrophication Potential (EP) - kg N eq_Effluent release; wastewater treatment unit; at surface water; m3 wastewater - US_Base_With Amendment_Aerated Static Pile</v>
      </c>
    </row>
    <row r="10908" spans="1:13" s="120" customFormat="1" x14ac:dyDescent="0.25">
      <c r="A10908" s="119"/>
      <c r="B10908" s="138" t="str">
        <f t="shared" si="933"/>
        <v>Aerated Static Pile</v>
      </c>
      <c r="C10908" s="138" t="str">
        <f t="shared" si="934"/>
        <v>Base_With Amendment</v>
      </c>
      <c r="D10908" s="138" t="str">
        <f t="shared" si="931"/>
        <v>Medium_Low</v>
      </c>
      <c r="E10908" s="138" t="str">
        <f t="shared" si="929"/>
        <v>High</v>
      </c>
      <c r="F10908" s="138" t="str">
        <f t="shared" si="935"/>
        <v>Upgraded</v>
      </c>
      <c r="G10908" s="153"/>
      <c r="H10908" s="210">
        <v>0.18340000000000001</v>
      </c>
      <c r="I10908" s="160" t="s">
        <v>62</v>
      </c>
      <c r="J10908" s="160">
        <v>3.0400000000000002E-3</v>
      </c>
      <c r="K10908" s="160" t="s">
        <v>13</v>
      </c>
      <c r="L10908" s="154" t="str">
        <f>IF(OpenLCAbasic!K10908="CTUh", "Fill in Manually",IF(OR(K10908="Unit", K10908=""), "", INDEX(LookUps!$E$5:$E$12, MATCH(OpenLCAbasic!K10908,LookUps!$D$5:$D$12,0))))</f>
        <v>Eutrophication Potential (EP) - kg N eq</v>
      </c>
      <c r="M10908" s="154" t="str">
        <f t="shared" si="932"/>
        <v>High_Medium_Low_Upgraded_Eutrophication Potential (EP) - kg N eq_Land application of compost; wastewater treatment unit; at updated plant - US_Base_With Amendment_Aerated Static Pile</v>
      </c>
    </row>
    <row r="10909" spans="1:13" s="120" customFormat="1" x14ac:dyDescent="0.25">
      <c r="A10909" s="119"/>
      <c r="B10909" s="138" t="str">
        <f t="shared" si="933"/>
        <v>Aerated Static Pile</v>
      </c>
      <c r="C10909" s="138" t="str">
        <f t="shared" si="934"/>
        <v>Base_With Amendment</v>
      </c>
      <c r="D10909" s="138" t="str">
        <f t="shared" si="931"/>
        <v>Medium_Low</v>
      </c>
      <c r="E10909" s="138" t="str">
        <f t="shared" si="929"/>
        <v>High</v>
      </c>
      <c r="F10909" s="138" t="str">
        <f t="shared" si="935"/>
        <v>Upgraded</v>
      </c>
      <c r="G10909" s="153"/>
      <c r="H10909" s="210">
        <v>3.3000000000000002E-2</v>
      </c>
      <c r="I10909" s="160" t="s">
        <v>55</v>
      </c>
      <c r="J10909" s="160">
        <v>5.5000000000000003E-4</v>
      </c>
      <c r="K10909" s="160" t="s">
        <v>13</v>
      </c>
      <c r="L10909" s="154" t="str">
        <f>IF(OpenLCAbasic!K10909="CTUh", "Fill in Manually",IF(OR(K10909="Unit", K10909=""), "", INDEX(LookUps!$E$5:$E$12, MATCH(OpenLCAbasic!K10909,LookUps!$D$5:$D$12,0))))</f>
        <v>Eutrophication Potential (EP) - kg N eq</v>
      </c>
      <c r="M10909" s="154" t="str">
        <f t="shared" si="932"/>
        <v>High_Medium_Low_Upgraded_Eutrophication Potential (EP) - kg N eq_Aeration Tanks; wastewater treatment unit; at updated plant - US_Base_With Amendment_Aerated Static Pile</v>
      </c>
    </row>
    <row r="10910" spans="1:13" s="120" customFormat="1" x14ac:dyDescent="0.25">
      <c r="A10910" s="119"/>
      <c r="B10910" s="138" t="str">
        <f t="shared" si="933"/>
        <v>Aerated Static Pile</v>
      </c>
      <c r="C10910" s="138" t="str">
        <f t="shared" si="934"/>
        <v>Base_With Amendment</v>
      </c>
      <c r="D10910" s="138" t="str">
        <f t="shared" si="931"/>
        <v>Medium_Low</v>
      </c>
      <c r="E10910" s="138" t="str">
        <f t="shared" si="929"/>
        <v>High</v>
      </c>
      <c r="F10910" s="138" t="str">
        <f t="shared" si="935"/>
        <v>Upgraded</v>
      </c>
      <c r="G10910" s="153"/>
      <c r="H10910" s="210">
        <v>2.0400000000000001E-2</v>
      </c>
      <c r="I10910" s="160" t="s">
        <v>435</v>
      </c>
      <c r="J10910" s="160">
        <v>3.4000000000000002E-4</v>
      </c>
      <c r="K10910" s="160" t="s">
        <v>13</v>
      </c>
      <c r="L10910" s="154" t="str">
        <f>IF(OpenLCAbasic!K10910="CTUh", "Fill in Manually",IF(OR(K10910="Unit", K10910=""), "", INDEX(LookUps!$E$5:$E$12, MATCH(OpenLCAbasic!K10910,LookUps!$D$5:$D$12,0))))</f>
        <v>Eutrophication Potential (EP) - kg N eq</v>
      </c>
      <c r="M10910" s="154" t="str">
        <f t="shared" si="932"/>
        <v>High_Medium_Low_Upgraded_Eutrophication Potential (EP) - kg N eq_Biosolids composting; aerated static pile; wastewater treatment unit; at updated plant - US_Base_With Amendment_Aerated Static Pile</v>
      </c>
    </row>
    <row r="10911" spans="1:13" s="120" customFormat="1" x14ac:dyDescent="0.25">
      <c r="A10911" s="119"/>
      <c r="B10911" s="138" t="str">
        <f t="shared" si="933"/>
        <v>Aerated Static Pile</v>
      </c>
      <c r="C10911" s="138" t="str">
        <f t="shared" si="934"/>
        <v>Base_With Amendment</v>
      </c>
      <c r="D10911" s="138" t="str">
        <f t="shared" si="931"/>
        <v>Medium_Low</v>
      </c>
      <c r="E10911" s="138" t="str">
        <f t="shared" si="929"/>
        <v>High</v>
      </c>
      <c r="F10911" s="138" t="str">
        <f t="shared" si="935"/>
        <v>Upgraded</v>
      </c>
      <c r="G10911" s="153"/>
      <c r="H10911" s="210">
        <v>1.5100000000000001E-2</v>
      </c>
      <c r="I10911" s="160" t="s">
        <v>147</v>
      </c>
      <c r="J10911" s="160">
        <v>2.5000000000000001E-4</v>
      </c>
      <c r="K10911" s="160" t="s">
        <v>13</v>
      </c>
      <c r="L10911" s="154" t="str">
        <f>IF(OpenLCAbasic!K10911="CTUh", "Fill in Manually",IF(OR(K10911="Unit", K10911=""), "", INDEX(LookUps!$E$5:$E$12, MATCH(OpenLCAbasic!K10911,LookUps!$D$5:$D$12,0))))</f>
        <v>Eutrophication Potential (EP) - kg N eq</v>
      </c>
      <c r="M10911" s="154" t="str">
        <f t="shared" si="932"/>
        <v>High_Medium_Low_Upgraded_Eutrophication Potential (EP) - kg N eq_Influent Pump Station; wastewater treatment unit; at updated plant - US_Base_With Amendment_Aerated Static Pile</v>
      </c>
    </row>
    <row r="10912" spans="1:13" s="120" customFormat="1" x14ac:dyDescent="0.25">
      <c r="A10912" s="119"/>
      <c r="B10912" s="138" t="str">
        <f t="shared" si="933"/>
        <v>Aerated Static Pile</v>
      </c>
      <c r="C10912" s="138" t="str">
        <f t="shared" si="934"/>
        <v>Base_With Amendment</v>
      </c>
      <c r="D10912" s="138" t="str">
        <f t="shared" si="931"/>
        <v>Medium_Low</v>
      </c>
      <c r="E10912" s="138" t="str">
        <f t="shared" si="929"/>
        <v>High</v>
      </c>
      <c r="F10912" s="138" t="str">
        <f t="shared" si="935"/>
        <v>Upgraded</v>
      </c>
      <c r="G10912" s="153"/>
      <c r="H10912" s="210">
        <v>1.2E-2</v>
      </c>
      <c r="I10912" s="160" t="s">
        <v>54</v>
      </c>
      <c r="J10912" s="160">
        <v>2.0000000000000001E-4</v>
      </c>
      <c r="K10912" s="160" t="s">
        <v>13</v>
      </c>
      <c r="L10912" s="154" t="str">
        <f>IF(OpenLCAbasic!K10912="CTUh", "Fill in Manually",IF(OR(K10912="Unit", K10912=""), "", INDEX(LookUps!$E$5:$E$12, MATCH(OpenLCAbasic!K10912,LookUps!$D$5:$D$12,0))))</f>
        <v>Eutrophication Potential (EP) - kg N eq</v>
      </c>
      <c r="M10912" s="154" t="str">
        <f t="shared" si="932"/>
        <v>High_Medium_Low_Upgraded_Eutrophication Potential (EP) - kg N eq_Clear Cove Primary Clarification; wastewater treatment unit; at updated plant - US_Base_With Amendment_Aerated Static Pile</v>
      </c>
    </row>
    <row r="10913" spans="1:13" s="120" customFormat="1" x14ac:dyDescent="0.25">
      <c r="A10913" s="119"/>
      <c r="B10913" s="138" t="str">
        <f t="shared" si="933"/>
        <v>Aerated Static Pile</v>
      </c>
      <c r="C10913" s="138" t="str">
        <f t="shared" si="934"/>
        <v>Base_With Amendment</v>
      </c>
      <c r="D10913" s="138" t="str">
        <f t="shared" si="931"/>
        <v>Medium_Low</v>
      </c>
      <c r="E10913" s="138" t="str">
        <f t="shared" si="929"/>
        <v>High</v>
      </c>
      <c r="F10913" s="138" t="str">
        <f t="shared" si="935"/>
        <v>Upgraded</v>
      </c>
      <c r="G10913" s="153"/>
      <c r="H10913" s="210">
        <v>1.15E-2</v>
      </c>
      <c r="I10913" s="160" t="s">
        <v>167</v>
      </c>
      <c r="J10913" s="160">
        <v>1.9000000000000001E-4</v>
      </c>
      <c r="K10913" s="160" t="s">
        <v>13</v>
      </c>
      <c r="L10913" s="154" t="str">
        <f>IF(OpenLCAbasic!K10913="CTUh", "Fill in Manually",IF(OR(K10913="Unit", K10913=""), "", INDEX(LookUps!$E$5:$E$12, MATCH(OpenLCAbasic!K10913,LookUps!$D$5:$D$12,0))))</f>
        <v>Eutrophication Potential (EP) - kg N eq</v>
      </c>
      <c r="M10913" s="154" t="str">
        <f t="shared" si="932"/>
        <v>High_Medium_Low_Upgraded_Eutrophication Potential (EP) - kg N eq_Waste Receiving and Holding; wastewater treatment unit; at updated plant - US_Base_With Amendment_Aerated Static Pile</v>
      </c>
    </row>
    <row r="10914" spans="1:13" s="120" customFormat="1" x14ac:dyDescent="0.25">
      <c r="A10914" s="119"/>
      <c r="B10914" s="138" t="str">
        <f t="shared" si="933"/>
        <v>Aerated Static Pile</v>
      </c>
      <c r="C10914" s="138" t="str">
        <f t="shared" si="934"/>
        <v>Base_With Amendment</v>
      </c>
      <c r="D10914" s="138" t="str">
        <f t="shared" si="931"/>
        <v>Medium_Low</v>
      </c>
      <c r="E10914" s="138" t="str">
        <f t="shared" si="929"/>
        <v>High</v>
      </c>
      <c r="F10914" s="138" t="str">
        <f t="shared" si="935"/>
        <v>Upgraded</v>
      </c>
      <c r="G10914" s="153"/>
      <c r="H10914" s="210">
        <v>8.2000000000000007E-3</v>
      </c>
      <c r="I10914" s="160" t="s">
        <v>58</v>
      </c>
      <c r="J10914" s="160">
        <v>1.3999999999999999E-4</v>
      </c>
      <c r="K10914" s="160" t="s">
        <v>13</v>
      </c>
      <c r="L10914" s="154" t="str">
        <f>IF(OpenLCAbasic!K10914="CTUh", "Fill in Manually",IF(OR(K10914="Unit", K10914=""), "", INDEX(LookUps!$E$5:$E$12, MATCH(OpenLCAbasic!K10914,LookUps!$D$5:$D$12,0))))</f>
        <v>Eutrophication Potential (EP) - kg N eq</v>
      </c>
      <c r="M10914" s="154" t="str">
        <f t="shared" si="932"/>
        <v>High_Medium_Low_Upgraded_Eutrophication Potential (EP) - kg N eq_Pre-Anoxic &amp; Swing tank; wastewater treatment unit; at updated plant - US_Base_With Amendment_Aerated Static Pile</v>
      </c>
    </row>
    <row r="10915" spans="1:13" s="120" customFormat="1" x14ac:dyDescent="0.25">
      <c r="A10915" s="119"/>
      <c r="B10915" s="138" t="str">
        <f t="shared" si="933"/>
        <v>Aerated Static Pile</v>
      </c>
      <c r="C10915" s="138" t="str">
        <f t="shared" si="934"/>
        <v>Base_With Amendment</v>
      </c>
      <c r="D10915" s="138" t="str">
        <f t="shared" si="931"/>
        <v>Medium_Low</v>
      </c>
      <c r="E10915" s="138" t="str">
        <f t="shared" si="929"/>
        <v>High</v>
      </c>
      <c r="F10915" s="138" t="str">
        <f t="shared" si="935"/>
        <v>Upgraded</v>
      </c>
      <c r="G10915" s="153"/>
      <c r="H10915" s="210">
        <v>6.4999999999999997E-3</v>
      </c>
      <c r="I10915" s="160" t="s">
        <v>53</v>
      </c>
      <c r="J10915" s="160">
        <v>1.1E-4</v>
      </c>
      <c r="K10915" s="160" t="s">
        <v>13</v>
      </c>
      <c r="L10915" s="154" t="str">
        <f>IF(OpenLCAbasic!K10915="CTUh", "Fill in Manually",IF(OR(K10915="Unit", K10915=""), "", INDEX(LookUps!$E$5:$E$12, MATCH(OpenLCAbasic!K10915,LookUps!$D$5:$D$12,0))))</f>
        <v>Eutrophication Potential (EP) - kg N eq</v>
      </c>
      <c r="M10915" s="154" t="str">
        <f t="shared" si="932"/>
        <v>High_Medium_Low_Upgraded_Eutrophication Potential (EP) - kg N eq_Wet Well and Sump Station; wastewater treatment unit; at updated plant - US_Base_With Amendment_Aerated Static Pile</v>
      </c>
    </row>
    <row r="10916" spans="1:13" s="120" customFormat="1" x14ac:dyDescent="0.25">
      <c r="A10916" s="119"/>
      <c r="B10916" s="138" t="str">
        <f t="shared" si="933"/>
        <v>Aerated Static Pile</v>
      </c>
      <c r="C10916" s="138" t="str">
        <f t="shared" si="934"/>
        <v>Base_With Amendment</v>
      </c>
      <c r="D10916" s="138" t="str">
        <f t="shared" si="931"/>
        <v>Medium_Low</v>
      </c>
      <c r="E10916" s="138" t="str">
        <f t="shared" si="929"/>
        <v>High</v>
      </c>
      <c r="F10916" s="138" t="str">
        <f t="shared" si="935"/>
        <v>Upgraded</v>
      </c>
      <c r="G10916" s="153"/>
      <c r="H10916" s="210">
        <v>4.7999999999999996E-3</v>
      </c>
      <c r="I10916" s="160" t="s">
        <v>60</v>
      </c>
      <c r="J10916" s="211">
        <v>7.8941800000000004E-5</v>
      </c>
      <c r="K10916" s="160" t="s">
        <v>13</v>
      </c>
      <c r="L10916" s="154" t="str">
        <f>IF(OpenLCAbasic!K10916="CTUh", "Fill in Manually",IF(OR(K10916="Unit", K10916=""), "", INDEX(LookUps!$E$5:$E$12, MATCH(OpenLCAbasic!K10916,LookUps!$D$5:$D$12,0))))</f>
        <v>Eutrophication Potential (EP) - kg N eq</v>
      </c>
      <c r="M10916" s="154" t="str">
        <f t="shared" si="932"/>
        <v>High_Medium_Low_Upgraded_Eutrophication Potential (EP) - kg N eq_Belt filter press; wastewater treatment unit; at updated plant - US_Base_With Amendment_Aerated Static Pile</v>
      </c>
    </row>
    <row r="10917" spans="1:13" s="120" customFormat="1" x14ac:dyDescent="0.25">
      <c r="A10917" s="119"/>
      <c r="B10917" s="138" t="str">
        <f t="shared" si="933"/>
        <v>Aerated Static Pile</v>
      </c>
      <c r="C10917" s="138" t="str">
        <f t="shared" si="934"/>
        <v>Base_With Amendment</v>
      </c>
      <c r="D10917" s="138" t="str">
        <f t="shared" si="931"/>
        <v>Medium_Low</v>
      </c>
      <c r="E10917" s="138" t="str">
        <f t="shared" si="929"/>
        <v>High</v>
      </c>
      <c r="F10917" s="138" t="str">
        <f t="shared" si="935"/>
        <v>Upgraded</v>
      </c>
      <c r="G10917" s="153"/>
      <c r="H10917" s="210">
        <v>3.7000000000000002E-3</v>
      </c>
      <c r="I10917" s="160" t="s">
        <v>57</v>
      </c>
      <c r="J10917" s="211">
        <v>6.0590300000000002E-5</v>
      </c>
      <c r="K10917" s="160" t="s">
        <v>13</v>
      </c>
      <c r="L10917" s="154" t="str">
        <f>IF(OpenLCAbasic!K10917="CTUh", "Fill in Manually",IF(OR(K10917="Unit", K10917=""), "", INDEX(LookUps!$E$5:$E$12, MATCH(OpenLCAbasic!K10917,LookUps!$D$5:$D$12,0))))</f>
        <v>Eutrophication Potential (EP) - kg N eq</v>
      </c>
      <c r="M10917" s="154" t="str">
        <f t="shared" si="932"/>
        <v>High_Medium_Low_Upgraded_Eutrophication Potential (EP) - kg N eq_Gravity Belt Thickener; wastewater treatment unit; at updated plant - US_Base_With Amendment_Aerated Static Pile</v>
      </c>
    </row>
    <row r="10918" spans="1:13" s="120" customFormat="1" x14ac:dyDescent="0.25">
      <c r="A10918" s="119"/>
      <c r="B10918" s="138" t="str">
        <f t="shared" si="933"/>
        <v>Aerated Static Pile</v>
      </c>
      <c r="C10918" s="138" t="str">
        <f t="shared" si="934"/>
        <v>Base_With Amendment</v>
      </c>
      <c r="D10918" s="138" t="str">
        <f t="shared" si="931"/>
        <v>Medium_Low</v>
      </c>
      <c r="E10918" s="138" t="str">
        <f t="shared" si="929"/>
        <v>High</v>
      </c>
      <c r="F10918" s="138" t="str">
        <f t="shared" si="935"/>
        <v>Upgraded</v>
      </c>
      <c r="G10918" s="153"/>
      <c r="H10918" s="210">
        <v>2.3E-3</v>
      </c>
      <c r="I10918" s="160" t="s">
        <v>128</v>
      </c>
      <c r="J10918" s="211">
        <v>3.7559799999999999E-5</v>
      </c>
      <c r="K10918" s="160" t="s">
        <v>13</v>
      </c>
      <c r="L10918" s="154" t="str">
        <f>IF(OpenLCAbasic!K10918="CTUh", "Fill in Manually",IF(OR(K10918="Unit", K10918=""), "", INDEX(LookUps!$E$5:$E$12, MATCH(OpenLCAbasic!K10918,LookUps!$D$5:$D$12,0))))</f>
        <v>Eutrophication Potential (EP) - kg N eq</v>
      </c>
      <c r="M10918" s="154" t="str">
        <f t="shared" si="932"/>
        <v>High_Medium_Low_Upgraded_Eutrophication Potential (EP) - kg N eq_Wastewater collection; operation and infrastructure; m3 wastewater_Base_With Amendment_Aerated Static Pile</v>
      </c>
    </row>
    <row r="10919" spans="1:13" s="120" customFormat="1" x14ac:dyDescent="0.25">
      <c r="A10919" s="119"/>
      <c r="B10919" s="138" t="str">
        <f t="shared" si="933"/>
        <v>Aerated Static Pile</v>
      </c>
      <c r="C10919" s="138" t="str">
        <f t="shared" si="934"/>
        <v>Base_With Amendment</v>
      </c>
      <c r="D10919" s="138" t="str">
        <f t="shared" si="931"/>
        <v>Medium_Low</v>
      </c>
      <c r="E10919" s="138" t="str">
        <f t="shared" si="929"/>
        <v>High</v>
      </c>
      <c r="F10919" s="138" t="str">
        <f t="shared" si="935"/>
        <v>Upgraded</v>
      </c>
      <c r="G10919" s="153"/>
      <c r="H10919" s="210">
        <v>2.2000000000000001E-3</v>
      </c>
      <c r="I10919" s="160" t="s">
        <v>148</v>
      </c>
      <c r="J10919" s="211">
        <v>3.6874600000000001E-5</v>
      </c>
      <c r="K10919" s="160" t="s">
        <v>13</v>
      </c>
      <c r="L10919" s="154" t="str">
        <f>IF(OpenLCAbasic!K10919="CTUh", "Fill in Manually",IF(OR(K10919="Unit", K10919=""), "", INDEX(LookUps!$E$5:$E$12, MATCH(OpenLCAbasic!K10919,LookUps!$D$5:$D$12,0))))</f>
        <v>Eutrophication Potential (EP) - kg N eq</v>
      </c>
      <c r="M10919" s="154" t="str">
        <f t="shared" si="932"/>
        <v>High_Medium_Low_Upgraded_Eutrophication Potential (EP) - kg N eq_Control Building; at upgraded wastewater treatment plant - US_Base_With Amendment_Aerated Static Pile</v>
      </c>
    </row>
    <row r="10920" spans="1:13" s="120" customFormat="1" x14ac:dyDescent="0.25">
      <c r="A10920" s="119"/>
      <c r="B10920" s="138" t="str">
        <f t="shared" si="933"/>
        <v>Aerated Static Pile</v>
      </c>
      <c r="C10920" s="138" t="str">
        <f t="shared" si="934"/>
        <v>Base_With Amendment</v>
      </c>
      <c r="D10920" s="138" t="str">
        <f t="shared" si="931"/>
        <v>Medium_Low</v>
      </c>
      <c r="E10920" s="138" t="str">
        <f t="shared" si="929"/>
        <v>High</v>
      </c>
      <c r="F10920" s="138" t="str">
        <f t="shared" si="935"/>
        <v>Upgraded</v>
      </c>
      <c r="G10920" s="153"/>
      <c r="H10920" s="210">
        <v>1E-3</v>
      </c>
      <c r="I10920" s="160" t="s">
        <v>59</v>
      </c>
      <c r="J10920" s="211">
        <v>1.6215700000000001E-5</v>
      </c>
      <c r="K10920" s="160" t="s">
        <v>13</v>
      </c>
      <c r="L10920" s="154" t="str">
        <f>IF(OpenLCAbasic!K10920="CTUh", "Fill in Manually",IF(OR(K10920="Unit", K10920=""), "", INDEX(LookUps!$E$5:$E$12, MATCH(OpenLCAbasic!K10920,LookUps!$D$5:$D$12,0))))</f>
        <v>Eutrophication Potential (EP) - kg N eq</v>
      </c>
      <c r="M10920" s="154" t="str">
        <f t="shared" si="932"/>
        <v>High_Medium_Low_Upgraded_Eutrophication Potential (EP) - kg N eq_Blend Tank; wastewater treatment unit; at updated plant - US_Base_With Amendment_Aerated Static Pile</v>
      </c>
    </row>
    <row r="10921" spans="1:13" s="120" customFormat="1" x14ac:dyDescent="0.25">
      <c r="A10921" s="119"/>
      <c r="B10921" s="138" t="str">
        <f t="shared" si="933"/>
        <v>Aerated Static Pile</v>
      </c>
      <c r="C10921" s="138" t="str">
        <f t="shared" si="934"/>
        <v>Base_With Amendment</v>
      </c>
      <c r="D10921" s="138" t="str">
        <f t="shared" si="931"/>
        <v>Medium_Low</v>
      </c>
      <c r="E10921" s="138" t="str">
        <f t="shared" ref="E10921:E10984" si="936">IF(ISNUMBER($J10921),"High","")</f>
        <v>High</v>
      </c>
      <c r="F10921" s="138" t="str">
        <f t="shared" si="935"/>
        <v>Upgraded</v>
      </c>
      <c r="G10921" s="153"/>
      <c r="H10921" s="210">
        <v>5.0000000000000001E-4</v>
      </c>
      <c r="I10921" s="160" t="s">
        <v>168</v>
      </c>
      <c r="J10921" s="211">
        <v>7.7567199999999995E-6</v>
      </c>
      <c r="K10921" s="160" t="s">
        <v>13</v>
      </c>
      <c r="L10921" s="154" t="str">
        <f>IF(OpenLCAbasic!K10921="CTUh", "Fill in Manually",IF(OR(K10921="Unit", K10921=""), "", INDEX(LookUps!$E$5:$E$12, MATCH(OpenLCAbasic!K10921,LookUps!$D$5:$D$12,0))))</f>
        <v>Eutrophication Potential (EP) - kg N eq</v>
      </c>
      <c r="M10921" s="154" t="str">
        <f t="shared" si="932"/>
        <v>High_Medium_Low_Upgraded_Eutrophication Potential (EP) - kg N eq_ClearCove SCP; wastewater treatment unit; at updated plant - US_Base_With Amendment_Aerated Static Pile</v>
      </c>
    </row>
    <row r="10922" spans="1:13" s="120" customFormat="1" x14ac:dyDescent="0.25">
      <c r="A10922" s="119"/>
      <c r="B10922" s="138" t="str">
        <f t="shared" si="933"/>
        <v>Aerated Static Pile</v>
      </c>
      <c r="C10922" s="138" t="str">
        <f t="shared" si="934"/>
        <v>Base_With Amendment</v>
      </c>
      <c r="D10922" s="138" t="str">
        <f t="shared" si="931"/>
        <v>Medium_Low</v>
      </c>
      <c r="E10922" s="138" t="str">
        <f t="shared" si="936"/>
        <v>High</v>
      </c>
      <c r="F10922" s="138" t="str">
        <f t="shared" si="935"/>
        <v>Upgraded</v>
      </c>
      <c r="G10922" s="153"/>
      <c r="H10922" s="210">
        <v>-4.7000000000000002E-3</v>
      </c>
      <c r="I10922" s="160" t="s">
        <v>149</v>
      </c>
      <c r="J10922" s="211">
        <v>-7.8280099999999996E-5</v>
      </c>
      <c r="K10922" s="160" t="s">
        <v>13</v>
      </c>
      <c r="L10922" s="154" t="str">
        <f>IF(OpenLCAbasic!K10922="CTUh", "Fill in Manually",IF(OR(K10922="Unit", K10922=""), "", INDEX(LookUps!$E$5:$E$12, MATCH(OpenLCAbasic!K10922,LookUps!$D$5:$D$12,0))))</f>
        <v>Eutrophication Potential (EP) - kg N eq</v>
      </c>
      <c r="M10922" s="154" t="str">
        <f t="shared" si="932"/>
        <v>High_Medium_Low_Upgraded_Eutrophication Potential (EP) - kg N eq_Anaerobic Digestion; wastewater treatment unit; at updated plant - US_Base_With Amendment_Aerated Static Pile</v>
      </c>
    </row>
    <row r="10923" spans="1:13" s="120" customFormat="1" x14ac:dyDescent="0.25">
      <c r="A10923" s="119"/>
      <c r="B10923" s="138" t="str">
        <f t="shared" si="933"/>
        <v/>
      </c>
      <c r="C10923" s="138" t="str">
        <f t="shared" si="934"/>
        <v/>
      </c>
      <c r="D10923" s="138" t="str">
        <f t="shared" si="931"/>
        <v/>
      </c>
      <c r="E10923" s="138" t="str">
        <f t="shared" si="936"/>
        <v/>
      </c>
      <c r="F10923" s="138" t="str">
        <f t="shared" si="935"/>
        <v/>
      </c>
      <c r="G10923" s="153" t="s">
        <v>51</v>
      </c>
      <c r="H10923" s="160"/>
      <c r="I10923" s="160" t="s">
        <v>47</v>
      </c>
      <c r="J10923" s="160" t="s">
        <v>52</v>
      </c>
      <c r="K10923" s="160" t="s">
        <v>27</v>
      </c>
      <c r="L10923" s="154" t="str">
        <f>IF(OpenLCAbasic!K10923="CTUh", "Fill in Manually",IF(OR(K10923="Unit", K10923=""), "", INDEX(LookUps!$E$5:$E$12, MATCH(OpenLCAbasic!K10923,LookUps!$D$5:$D$12,0))))</f>
        <v/>
      </c>
      <c r="M10923" s="154" t="str">
        <f t="shared" si="932"/>
        <v>____Process__</v>
      </c>
    </row>
    <row r="10924" spans="1:13" s="120" customFormat="1" x14ac:dyDescent="0.25">
      <c r="A10924" s="119"/>
      <c r="B10924" s="138" t="str">
        <f t="shared" si="933"/>
        <v>Aerated Static Pile</v>
      </c>
      <c r="C10924" s="138" t="str">
        <f t="shared" si="934"/>
        <v>Base_With Amendment</v>
      </c>
      <c r="D10924" s="138" t="str">
        <f t="shared" si="931"/>
        <v>Medium_Low</v>
      </c>
      <c r="E10924" s="138" t="str">
        <f t="shared" si="936"/>
        <v>High</v>
      </c>
      <c r="F10924" s="138" t="str">
        <f t="shared" si="935"/>
        <v>Upgraded</v>
      </c>
      <c r="G10924" s="153"/>
      <c r="H10924" s="210">
        <v>0.3362</v>
      </c>
      <c r="I10924" s="160" t="s">
        <v>167</v>
      </c>
      <c r="J10924" s="160">
        <v>9.7259999999999999E-2</v>
      </c>
      <c r="K10924" s="160" t="s">
        <v>14</v>
      </c>
      <c r="L10924" s="154" t="str">
        <f>IF(OpenLCAbasic!K10924="CTUh", "Fill in Manually",IF(OR(K10924="Unit", K10924=""), "", INDEX(LookUps!$E$5:$E$12, MATCH(OpenLCAbasic!K10924,LookUps!$D$5:$D$12,0))))</f>
        <v>Fossil Depletion Potential (FDP) - kg oil eq</v>
      </c>
      <c r="M10924" s="154" t="str">
        <f t="shared" si="932"/>
        <v>High_Medium_Low_Upgraded_Fossil Depletion Potential (FDP) - kg oil eq_Waste Receiving and Holding; wastewater treatment unit; at updated plant - US_Base_With Amendment_Aerated Static Pile</v>
      </c>
    </row>
    <row r="10925" spans="1:13" s="120" customFormat="1" x14ac:dyDescent="0.25">
      <c r="A10925" s="119"/>
      <c r="B10925" s="138" t="str">
        <f t="shared" si="933"/>
        <v>Aerated Static Pile</v>
      </c>
      <c r="C10925" s="138" t="str">
        <f t="shared" si="934"/>
        <v>Base_With Amendment</v>
      </c>
      <c r="D10925" s="138" t="str">
        <f t="shared" si="931"/>
        <v>Medium_Low</v>
      </c>
      <c r="E10925" s="138" t="str">
        <f t="shared" si="936"/>
        <v>High</v>
      </c>
      <c r="F10925" s="138" t="str">
        <f t="shared" si="935"/>
        <v>Upgraded</v>
      </c>
      <c r="G10925" s="153"/>
      <c r="H10925" s="210">
        <v>0.2198</v>
      </c>
      <c r="I10925" s="160" t="s">
        <v>55</v>
      </c>
      <c r="J10925" s="160">
        <v>6.3589999999999994E-2</v>
      </c>
      <c r="K10925" s="160" t="s">
        <v>14</v>
      </c>
      <c r="L10925" s="154" t="str">
        <f>IF(OpenLCAbasic!K10925="CTUh", "Fill in Manually",IF(OR(K10925="Unit", K10925=""), "", INDEX(LookUps!$E$5:$E$12, MATCH(OpenLCAbasic!K10925,LookUps!$D$5:$D$12,0))))</f>
        <v>Fossil Depletion Potential (FDP) - kg oil eq</v>
      </c>
      <c r="M10925" s="154" t="str">
        <f t="shared" si="932"/>
        <v>High_Medium_Low_Upgraded_Fossil Depletion Potential (FDP) - kg oil eq_Aeration Tanks; wastewater treatment unit; at updated plant - US_Base_With Amendment_Aerated Static Pile</v>
      </c>
    </row>
    <row r="10926" spans="1:13" s="120" customFormat="1" x14ac:dyDescent="0.25">
      <c r="A10926" s="119"/>
      <c r="B10926" s="138" t="str">
        <f t="shared" si="933"/>
        <v>Aerated Static Pile</v>
      </c>
      <c r="C10926" s="138" t="str">
        <f t="shared" si="934"/>
        <v>Base_With Amendment</v>
      </c>
      <c r="D10926" s="138" t="str">
        <f t="shared" si="931"/>
        <v>Medium_Low</v>
      </c>
      <c r="E10926" s="138" t="str">
        <f t="shared" si="936"/>
        <v>High</v>
      </c>
      <c r="F10926" s="138" t="str">
        <f t="shared" si="935"/>
        <v>Upgraded</v>
      </c>
      <c r="G10926" s="153"/>
      <c r="H10926" s="210">
        <v>0.1187</v>
      </c>
      <c r="I10926" s="160" t="s">
        <v>435</v>
      </c>
      <c r="J10926" s="160">
        <v>3.4329999999999999E-2</v>
      </c>
      <c r="K10926" s="160" t="s">
        <v>14</v>
      </c>
      <c r="L10926" s="154" t="str">
        <f>IF(OpenLCAbasic!K10926="CTUh", "Fill in Manually",IF(OR(K10926="Unit", K10926=""), "", INDEX(LookUps!$E$5:$E$12, MATCH(OpenLCAbasic!K10926,LookUps!$D$5:$D$12,0))))</f>
        <v>Fossil Depletion Potential (FDP) - kg oil eq</v>
      </c>
      <c r="M10926" s="154" t="str">
        <f t="shared" si="932"/>
        <v>High_Medium_Low_Upgraded_Fossil Depletion Potential (FDP) - kg oil eq_Biosolids composting; aerated static pile; wastewater treatment unit; at updated plant - US_Base_With Amendment_Aerated Static Pile</v>
      </c>
    </row>
    <row r="10927" spans="1:13" s="120" customFormat="1" x14ac:dyDescent="0.25">
      <c r="A10927" s="119"/>
      <c r="B10927" s="138" t="str">
        <f t="shared" si="933"/>
        <v>Aerated Static Pile</v>
      </c>
      <c r="C10927" s="138" t="str">
        <f t="shared" si="934"/>
        <v>Base_With Amendment</v>
      </c>
      <c r="D10927" s="138" t="str">
        <f t="shared" si="931"/>
        <v>Medium_Low</v>
      </c>
      <c r="E10927" s="138" t="str">
        <f t="shared" si="936"/>
        <v>High</v>
      </c>
      <c r="F10927" s="138" t="str">
        <f t="shared" si="935"/>
        <v>Upgraded</v>
      </c>
      <c r="G10927" s="153"/>
      <c r="H10927" s="210">
        <v>7.2800000000000004E-2</v>
      </c>
      <c r="I10927" s="160" t="s">
        <v>54</v>
      </c>
      <c r="J10927" s="160">
        <v>2.1049999999999999E-2</v>
      </c>
      <c r="K10927" s="160" t="s">
        <v>14</v>
      </c>
      <c r="L10927" s="154" t="str">
        <f>IF(OpenLCAbasic!K10927="CTUh", "Fill in Manually",IF(OR(K10927="Unit", K10927=""), "", INDEX(LookUps!$E$5:$E$12, MATCH(OpenLCAbasic!K10927,LookUps!$D$5:$D$12,0))))</f>
        <v>Fossil Depletion Potential (FDP) - kg oil eq</v>
      </c>
      <c r="M10927" s="154" t="str">
        <f t="shared" si="932"/>
        <v>High_Medium_Low_Upgraded_Fossil Depletion Potential (FDP) - kg oil eq_Clear Cove Primary Clarification; wastewater treatment unit; at updated plant - US_Base_With Amendment_Aerated Static Pile</v>
      </c>
    </row>
    <row r="10928" spans="1:13" s="120" customFormat="1" x14ac:dyDescent="0.25">
      <c r="A10928" s="119"/>
      <c r="B10928" s="138" t="str">
        <f t="shared" si="933"/>
        <v>Aerated Static Pile</v>
      </c>
      <c r="C10928" s="138" t="str">
        <f t="shared" si="934"/>
        <v>Base_With Amendment</v>
      </c>
      <c r="D10928" s="138" t="str">
        <f t="shared" si="931"/>
        <v>Medium_Low</v>
      </c>
      <c r="E10928" s="138" t="str">
        <f t="shared" si="936"/>
        <v>High</v>
      </c>
      <c r="F10928" s="138" t="str">
        <f t="shared" si="935"/>
        <v>Upgraded</v>
      </c>
      <c r="G10928" s="153"/>
      <c r="H10928" s="210">
        <v>5.5199999999999999E-2</v>
      </c>
      <c r="I10928" s="160" t="s">
        <v>58</v>
      </c>
      <c r="J10928" s="160">
        <v>1.5980000000000001E-2</v>
      </c>
      <c r="K10928" s="160" t="s">
        <v>14</v>
      </c>
      <c r="L10928" s="154" t="str">
        <f>IF(OpenLCAbasic!K10928="CTUh", "Fill in Manually",IF(OR(K10928="Unit", K10928=""), "", INDEX(LookUps!$E$5:$E$12, MATCH(OpenLCAbasic!K10928,LookUps!$D$5:$D$12,0))))</f>
        <v>Fossil Depletion Potential (FDP) - kg oil eq</v>
      </c>
      <c r="M10928" s="154" t="str">
        <f t="shared" si="932"/>
        <v>High_Medium_Low_Upgraded_Fossil Depletion Potential (FDP) - kg oil eq_Pre-Anoxic &amp; Swing tank; wastewater treatment unit; at updated plant - US_Base_With Amendment_Aerated Static Pile</v>
      </c>
    </row>
    <row r="10929" spans="1:13" s="120" customFormat="1" x14ac:dyDescent="0.25">
      <c r="A10929" s="119"/>
      <c r="B10929" s="138" t="str">
        <f t="shared" si="933"/>
        <v>Aerated Static Pile</v>
      </c>
      <c r="C10929" s="138" t="str">
        <f t="shared" si="934"/>
        <v>Base_With Amendment</v>
      </c>
      <c r="D10929" s="138" t="str">
        <f t="shared" si="931"/>
        <v>Medium_Low</v>
      </c>
      <c r="E10929" s="138" t="str">
        <f t="shared" si="936"/>
        <v>High</v>
      </c>
      <c r="F10929" s="138" t="str">
        <f t="shared" si="935"/>
        <v>Upgraded</v>
      </c>
      <c r="G10929" s="153"/>
      <c r="H10929" s="210">
        <v>5.2200000000000003E-2</v>
      </c>
      <c r="I10929" s="160" t="s">
        <v>147</v>
      </c>
      <c r="J10929" s="160">
        <v>1.5089999999999999E-2</v>
      </c>
      <c r="K10929" s="160" t="s">
        <v>14</v>
      </c>
      <c r="L10929" s="154" t="str">
        <f>IF(OpenLCAbasic!K10929="CTUh", "Fill in Manually",IF(OR(K10929="Unit", K10929=""), "", INDEX(LookUps!$E$5:$E$12, MATCH(OpenLCAbasic!K10929,LookUps!$D$5:$D$12,0))))</f>
        <v>Fossil Depletion Potential (FDP) - kg oil eq</v>
      </c>
      <c r="M10929" s="154" t="str">
        <f t="shared" si="932"/>
        <v>High_Medium_Low_Upgraded_Fossil Depletion Potential (FDP) - kg oil eq_Influent Pump Station; wastewater treatment unit; at updated plant - US_Base_With Amendment_Aerated Static Pile</v>
      </c>
    </row>
    <row r="10930" spans="1:13" s="120" customFormat="1" x14ac:dyDescent="0.25">
      <c r="A10930" s="119"/>
      <c r="B10930" s="138" t="str">
        <f t="shared" si="933"/>
        <v>Aerated Static Pile</v>
      </c>
      <c r="C10930" s="138" t="str">
        <f t="shared" si="934"/>
        <v>Base_With Amendment</v>
      </c>
      <c r="D10930" s="138" t="str">
        <f t="shared" si="931"/>
        <v>Medium_Low</v>
      </c>
      <c r="E10930" s="138" t="str">
        <f t="shared" si="936"/>
        <v>High</v>
      </c>
      <c r="F10930" s="138" t="str">
        <f t="shared" si="935"/>
        <v>Upgraded</v>
      </c>
      <c r="G10930" s="153"/>
      <c r="H10930" s="210">
        <v>4.3200000000000002E-2</v>
      </c>
      <c r="I10930" s="160" t="s">
        <v>53</v>
      </c>
      <c r="J10930" s="160">
        <v>1.2489999999999999E-2</v>
      </c>
      <c r="K10930" s="160" t="s">
        <v>14</v>
      </c>
      <c r="L10930" s="154" t="str">
        <f>IF(OpenLCAbasic!K10930="CTUh", "Fill in Manually",IF(OR(K10930="Unit", K10930=""), "", INDEX(LookUps!$E$5:$E$12, MATCH(OpenLCAbasic!K10930,LookUps!$D$5:$D$12,0))))</f>
        <v>Fossil Depletion Potential (FDP) - kg oil eq</v>
      </c>
      <c r="M10930" s="154" t="str">
        <f t="shared" si="932"/>
        <v>High_Medium_Low_Upgraded_Fossil Depletion Potential (FDP) - kg oil eq_Wet Well and Sump Station; wastewater treatment unit; at updated plant - US_Base_With Amendment_Aerated Static Pile</v>
      </c>
    </row>
    <row r="10931" spans="1:13" s="120" customFormat="1" x14ac:dyDescent="0.25">
      <c r="A10931" s="119"/>
      <c r="B10931" s="138" t="str">
        <f t="shared" si="933"/>
        <v>Aerated Static Pile</v>
      </c>
      <c r="C10931" s="138" t="str">
        <f t="shared" si="934"/>
        <v>Base_With Amendment</v>
      </c>
      <c r="D10931" s="138" t="str">
        <f t="shared" si="931"/>
        <v>Medium_Low</v>
      </c>
      <c r="E10931" s="138" t="str">
        <f t="shared" si="936"/>
        <v>High</v>
      </c>
      <c r="F10931" s="138" t="str">
        <f t="shared" si="935"/>
        <v>Upgraded</v>
      </c>
      <c r="G10931" s="153"/>
      <c r="H10931" s="210">
        <v>3.3399999999999999E-2</v>
      </c>
      <c r="I10931" s="160" t="s">
        <v>149</v>
      </c>
      <c r="J10931" s="160">
        <v>9.6600000000000002E-3</v>
      </c>
      <c r="K10931" s="160" t="s">
        <v>14</v>
      </c>
      <c r="L10931" s="154" t="str">
        <f>IF(OpenLCAbasic!K10931="CTUh", "Fill in Manually",IF(OR(K10931="Unit", K10931=""), "", INDEX(LookUps!$E$5:$E$12, MATCH(OpenLCAbasic!K10931,LookUps!$D$5:$D$12,0))))</f>
        <v>Fossil Depletion Potential (FDP) - kg oil eq</v>
      </c>
      <c r="M10931" s="154" t="str">
        <f t="shared" si="932"/>
        <v>High_Medium_Low_Upgraded_Fossil Depletion Potential (FDP) - kg oil eq_Anaerobic Digestion; wastewater treatment unit; at updated plant - US_Base_With Amendment_Aerated Static Pile</v>
      </c>
    </row>
    <row r="10932" spans="1:13" s="120" customFormat="1" x14ac:dyDescent="0.25">
      <c r="A10932" s="119"/>
      <c r="B10932" s="138" t="str">
        <f t="shared" si="933"/>
        <v>Aerated Static Pile</v>
      </c>
      <c r="C10932" s="138" t="str">
        <f t="shared" si="934"/>
        <v>Base_With Amendment</v>
      </c>
      <c r="D10932" s="138" t="str">
        <f t="shared" si="931"/>
        <v>Medium_Low</v>
      </c>
      <c r="E10932" s="138" t="str">
        <f t="shared" si="936"/>
        <v>High</v>
      </c>
      <c r="F10932" s="138" t="str">
        <f t="shared" si="935"/>
        <v>Upgraded</v>
      </c>
      <c r="G10932" s="153"/>
      <c r="H10932" s="210">
        <v>3.1300000000000001E-2</v>
      </c>
      <c r="I10932" s="160" t="s">
        <v>60</v>
      </c>
      <c r="J10932" s="160">
        <v>9.0600000000000003E-3</v>
      </c>
      <c r="K10932" s="160" t="s">
        <v>14</v>
      </c>
      <c r="L10932" s="154" t="str">
        <f>IF(OpenLCAbasic!K10932="CTUh", "Fill in Manually",IF(OR(K10932="Unit", K10932=""), "", INDEX(LookUps!$E$5:$E$12, MATCH(OpenLCAbasic!K10932,LookUps!$D$5:$D$12,0))))</f>
        <v>Fossil Depletion Potential (FDP) - kg oil eq</v>
      </c>
      <c r="M10932" s="154" t="str">
        <f t="shared" si="932"/>
        <v>High_Medium_Low_Upgraded_Fossil Depletion Potential (FDP) - kg oil eq_Belt filter press; wastewater treatment unit; at updated plant - US_Base_With Amendment_Aerated Static Pile</v>
      </c>
    </row>
    <row r="10933" spans="1:13" s="120" customFormat="1" x14ac:dyDescent="0.25">
      <c r="A10933" s="119"/>
      <c r="B10933" s="138" t="str">
        <f t="shared" si="933"/>
        <v>Aerated Static Pile</v>
      </c>
      <c r="C10933" s="138" t="str">
        <f t="shared" si="934"/>
        <v>Base_With Amendment</v>
      </c>
      <c r="D10933" s="138" t="str">
        <f t="shared" si="931"/>
        <v>Medium_Low</v>
      </c>
      <c r="E10933" s="138" t="str">
        <f t="shared" si="936"/>
        <v>High</v>
      </c>
      <c r="F10933" s="138" t="str">
        <f t="shared" si="935"/>
        <v>Upgraded</v>
      </c>
      <c r="G10933" s="153"/>
      <c r="H10933" s="210">
        <v>2.3900000000000001E-2</v>
      </c>
      <c r="I10933" s="160" t="s">
        <v>57</v>
      </c>
      <c r="J10933" s="160">
        <v>6.9199999999999999E-3</v>
      </c>
      <c r="K10933" s="160" t="s">
        <v>14</v>
      </c>
      <c r="L10933" s="154" t="str">
        <f>IF(OpenLCAbasic!K10933="CTUh", "Fill in Manually",IF(OR(K10933="Unit", K10933=""), "", INDEX(LookUps!$E$5:$E$12, MATCH(OpenLCAbasic!K10933,LookUps!$D$5:$D$12,0))))</f>
        <v>Fossil Depletion Potential (FDP) - kg oil eq</v>
      </c>
      <c r="M10933" s="154" t="str">
        <f t="shared" si="932"/>
        <v>High_Medium_Low_Upgraded_Fossil Depletion Potential (FDP) - kg oil eq_Gravity Belt Thickener; wastewater treatment unit; at updated plant - US_Base_With Amendment_Aerated Static Pile</v>
      </c>
    </row>
    <row r="10934" spans="1:13" s="120" customFormat="1" x14ac:dyDescent="0.25">
      <c r="A10934" s="119"/>
      <c r="B10934" s="138" t="str">
        <f t="shared" si="933"/>
        <v>Aerated Static Pile</v>
      </c>
      <c r="C10934" s="138" t="str">
        <f t="shared" si="934"/>
        <v>Base_With Amendment</v>
      </c>
      <c r="D10934" s="138" t="str">
        <f t="shared" si="931"/>
        <v>Medium_Low</v>
      </c>
      <c r="E10934" s="138" t="str">
        <f t="shared" si="936"/>
        <v>High</v>
      </c>
      <c r="F10934" s="138" t="str">
        <f t="shared" si="935"/>
        <v>Upgraded</v>
      </c>
      <c r="G10934" s="153"/>
      <c r="H10934" s="210">
        <v>1.55E-2</v>
      </c>
      <c r="I10934" s="160" t="s">
        <v>128</v>
      </c>
      <c r="J10934" s="160">
        <v>4.4999999999999997E-3</v>
      </c>
      <c r="K10934" s="160" t="s">
        <v>14</v>
      </c>
      <c r="L10934" s="154" t="str">
        <f>IF(OpenLCAbasic!K10934="CTUh", "Fill in Manually",IF(OR(K10934="Unit", K10934=""), "", INDEX(LookUps!$E$5:$E$12, MATCH(OpenLCAbasic!K10934,LookUps!$D$5:$D$12,0))))</f>
        <v>Fossil Depletion Potential (FDP) - kg oil eq</v>
      </c>
      <c r="M10934" s="154" t="str">
        <f t="shared" si="932"/>
        <v>High_Medium_Low_Upgraded_Fossil Depletion Potential (FDP) - kg oil eq_Wastewater collection; operation and infrastructure; m3 wastewater_Base_With Amendment_Aerated Static Pile</v>
      </c>
    </row>
    <row r="10935" spans="1:13" s="120" customFormat="1" x14ac:dyDescent="0.25">
      <c r="A10935" s="119"/>
      <c r="B10935" s="138" t="str">
        <f t="shared" si="933"/>
        <v>Aerated Static Pile</v>
      </c>
      <c r="C10935" s="138" t="str">
        <f t="shared" si="934"/>
        <v>Base_With Amendment</v>
      </c>
      <c r="D10935" s="138" t="str">
        <f t="shared" si="931"/>
        <v>Medium_Low</v>
      </c>
      <c r="E10935" s="138" t="str">
        <f t="shared" si="936"/>
        <v>High</v>
      </c>
      <c r="F10935" s="138" t="str">
        <f t="shared" si="935"/>
        <v>Upgraded</v>
      </c>
      <c r="G10935" s="153"/>
      <c r="H10935" s="210">
        <v>9.7000000000000003E-3</v>
      </c>
      <c r="I10935" s="160" t="s">
        <v>148</v>
      </c>
      <c r="J10935" s="160">
        <v>2.8E-3</v>
      </c>
      <c r="K10935" s="160" t="s">
        <v>14</v>
      </c>
      <c r="L10935" s="154" t="str">
        <f>IF(OpenLCAbasic!K10935="CTUh", "Fill in Manually",IF(OR(K10935="Unit", K10935=""), "", INDEX(LookUps!$E$5:$E$12, MATCH(OpenLCAbasic!K10935,LookUps!$D$5:$D$12,0))))</f>
        <v>Fossil Depletion Potential (FDP) - kg oil eq</v>
      </c>
      <c r="M10935" s="154" t="str">
        <f t="shared" si="932"/>
        <v>High_Medium_Low_Upgraded_Fossil Depletion Potential (FDP) - kg oil eq_Control Building; at upgraded wastewater treatment plant - US_Base_With Amendment_Aerated Static Pile</v>
      </c>
    </row>
    <row r="10936" spans="1:13" s="120" customFormat="1" x14ac:dyDescent="0.25">
      <c r="A10936" s="119"/>
      <c r="B10936" s="138" t="str">
        <f t="shared" si="933"/>
        <v>Aerated Static Pile</v>
      </c>
      <c r="C10936" s="138" t="str">
        <f t="shared" si="934"/>
        <v>Base_With Amendment</v>
      </c>
      <c r="D10936" s="138" t="str">
        <f t="shared" si="931"/>
        <v>Medium_Low</v>
      </c>
      <c r="E10936" s="138" t="str">
        <f t="shared" si="936"/>
        <v>High</v>
      </c>
      <c r="F10936" s="138" t="str">
        <f t="shared" si="935"/>
        <v>Upgraded</v>
      </c>
      <c r="G10936" s="153"/>
      <c r="H10936" s="210">
        <v>8.2000000000000007E-3</v>
      </c>
      <c r="I10936" s="160" t="s">
        <v>48</v>
      </c>
      <c r="J10936" s="160">
        <v>2.3600000000000001E-3</v>
      </c>
      <c r="K10936" s="160" t="s">
        <v>14</v>
      </c>
      <c r="L10936" s="154" t="str">
        <f>IF(OpenLCAbasic!K10936="CTUh", "Fill in Manually",IF(OR(K10936="Unit", K10936=""), "", INDEX(LookUps!$E$5:$E$12, MATCH(OpenLCAbasic!K10936,LookUps!$D$5:$D$12,0))))</f>
        <v>Fossil Depletion Potential (FDP) - kg oil eq</v>
      </c>
      <c r="M10936" s="154" t="str">
        <f t="shared" si="932"/>
        <v>High_Medium_Low_Upgraded_Fossil Depletion Potential (FDP) - kg oil eq_Effluent release; wastewater treatment unit; at surface water; m3 wastewater - US_Base_With Amendment_Aerated Static Pile</v>
      </c>
    </row>
    <row r="10937" spans="1:13" s="120" customFormat="1" x14ac:dyDescent="0.25">
      <c r="A10937" s="119"/>
      <c r="B10937" s="138" t="str">
        <f t="shared" si="933"/>
        <v>Aerated Static Pile</v>
      </c>
      <c r="C10937" s="138" t="str">
        <f t="shared" si="934"/>
        <v>Base_With Amendment</v>
      </c>
      <c r="D10937" s="138" t="str">
        <f t="shared" ref="D10937:D11000" si="937">IF(ISNUMBER($J10937),"Medium_Low","")</f>
        <v>Medium_Low</v>
      </c>
      <c r="E10937" s="138" t="str">
        <f t="shared" si="936"/>
        <v>High</v>
      </c>
      <c r="F10937" s="138" t="str">
        <f t="shared" si="935"/>
        <v>Upgraded</v>
      </c>
      <c r="G10937" s="153"/>
      <c r="H10937" s="210">
        <v>6.6E-3</v>
      </c>
      <c r="I10937" s="160" t="s">
        <v>59</v>
      </c>
      <c r="J10937" s="160">
        <v>1.92E-3</v>
      </c>
      <c r="K10937" s="160" t="s">
        <v>14</v>
      </c>
      <c r="L10937" s="154" t="str">
        <f>IF(OpenLCAbasic!K10937="CTUh", "Fill in Manually",IF(OR(K10937="Unit", K10937=""), "", INDEX(LookUps!$E$5:$E$12, MATCH(OpenLCAbasic!K10937,LookUps!$D$5:$D$12,0))))</f>
        <v>Fossil Depletion Potential (FDP) - kg oil eq</v>
      </c>
      <c r="M10937" s="154" t="str">
        <f t="shared" si="932"/>
        <v>High_Medium_Low_Upgraded_Fossil Depletion Potential (FDP) - kg oil eq_Blend Tank; wastewater treatment unit; at updated plant - US_Base_With Amendment_Aerated Static Pile</v>
      </c>
    </row>
    <row r="10938" spans="1:13" s="120" customFormat="1" x14ac:dyDescent="0.25">
      <c r="A10938" s="119"/>
      <c r="B10938" s="138" t="str">
        <f t="shared" si="933"/>
        <v>Aerated Static Pile</v>
      </c>
      <c r="C10938" s="138" t="str">
        <f t="shared" si="934"/>
        <v>Base_With Amendment</v>
      </c>
      <c r="D10938" s="138" t="str">
        <f t="shared" si="937"/>
        <v>Medium_Low</v>
      </c>
      <c r="E10938" s="138" t="str">
        <f t="shared" si="936"/>
        <v>High</v>
      </c>
      <c r="F10938" s="138" t="str">
        <f t="shared" si="935"/>
        <v>Upgraded</v>
      </c>
      <c r="G10938" s="153"/>
      <c r="H10938" s="210">
        <v>3.2000000000000002E-3</v>
      </c>
      <c r="I10938" s="160" t="s">
        <v>168</v>
      </c>
      <c r="J10938" s="160">
        <v>9.1E-4</v>
      </c>
      <c r="K10938" s="160" t="s">
        <v>14</v>
      </c>
      <c r="L10938" s="154" t="str">
        <f>IF(OpenLCAbasic!K10938="CTUh", "Fill in Manually",IF(OR(K10938="Unit", K10938=""), "", INDEX(LookUps!$E$5:$E$12, MATCH(OpenLCAbasic!K10938,LookUps!$D$5:$D$12,0))))</f>
        <v>Fossil Depletion Potential (FDP) - kg oil eq</v>
      </c>
      <c r="M10938" s="154" t="str">
        <f t="shared" si="932"/>
        <v>High_Medium_Low_Upgraded_Fossil Depletion Potential (FDP) - kg oil eq_ClearCove SCP; wastewater treatment unit; at updated plant - US_Base_With Amendment_Aerated Static Pile</v>
      </c>
    </row>
    <row r="10939" spans="1:13" s="120" customFormat="1" x14ac:dyDescent="0.25">
      <c r="A10939" s="119"/>
      <c r="B10939" s="138" t="str">
        <f t="shared" si="933"/>
        <v>Aerated Static Pile</v>
      </c>
      <c r="C10939" s="138" t="str">
        <f t="shared" si="934"/>
        <v>Base_With Amendment</v>
      </c>
      <c r="D10939" s="138" t="str">
        <f t="shared" si="937"/>
        <v>Medium_Low</v>
      </c>
      <c r="E10939" s="138" t="str">
        <f t="shared" si="936"/>
        <v>High</v>
      </c>
      <c r="F10939" s="138" t="str">
        <f t="shared" si="935"/>
        <v>Upgraded</v>
      </c>
      <c r="G10939" s="153"/>
      <c r="H10939" s="210">
        <v>-2.9700000000000001E-2</v>
      </c>
      <c r="I10939" s="160" t="s">
        <v>62</v>
      </c>
      <c r="J10939" s="160">
        <v>-8.5900000000000004E-3</v>
      </c>
      <c r="K10939" s="160" t="s">
        <v>14</v>
      </c>
      <c r="L10939" s="154" t="str">
        <f>IF(OpenLCAbasic!K10939="CTUh", "Fill in Manually",IF(OR(K10939="Unit", K10939=""), "", INDEX(LookUps!$E$5:$E$12, MATCH(OpenLCAbasic!K10939,LookUps!$D$5:$D$12,0))))</f>
        <v>Fossil Depletion Potential (FDP) - kg oil eq</v>
      </c>
      <c r="M10939" s="154" t="str">
        <f t="shared" si="932"/>
        <v>High_Medium_Low_Upgraded_Fossil Depletion Potential (FDP) - kg oil eq_Land application of compost; wastewater treatment unit; at updated plant - US_Base_With Amendment_Aerated Static Pile</v>
      </c>
    </row>
    <row r="10940" spans="1:13" s="120" customFormat="1" x14ac:dyDescent="0.25">
      <c r="A10940" s="119"/>
      <c r="B10940" s="138" t="str">
        <f t="shared" si="933"/>
        <v/>
      </c>
      <c r="C10940" s="138" t="str">
        <f t="shared" si="934"/>
        <v/>
      </c>
      <c r="D10940" s="138" t="str">
        <f t="shared" si="937"/>
        <v/>
      </c>
      <c r="E10940" s="138" t="str">
        <f t="shared" si="936"/>
        <v/>
      </c>
      <c r="F10940" s="138" t="str">
        <f t="shared" si="935"/>
        <v/>
      </c>
      <c r="G10940" s="153" t="s">
        <v>51</v>
      </c>
      <c r="H10940" s="160"/>
      <c r="I10940" s="160" t="s">
        <v>47</v>
      </c>
      <c r="J10940" s="160" t="s">
        <v>52</v>
      </c>
      <c r="K10940" s="160" t="s">
        <v>27</v>
      </c>
      <c r="L10940" s="154" t="str">
        <f>IF(OpenLCAbasic!K10940="CTUh", "Fill in Manually",IF(OR(K10940="Unit", K10940=""), "", INDEX(LookUps!$E$5:$E$12, MATCH(OpenLCAbasic!K10940,LookUps!$D$5:$D$12,0))))</f>
        <v/>
      </c>
      <c r="M10940" s="154" t="str">
        <f t="shared" si="932"/>
        <v>____Process__</v>
      </c>
    </row>
    <row r="10941" spans="1:13" s="120" customFormat="1" x14ac:dyDescent="0.25">
      <c r="A10941" s="119"/>
      <c r="B10941" s="138" t="str">
        <f t="shared" si="933"/>
        <v>Aerated Static Pile</v>
      </c>
      <c r="C10941" s="138" t="str">
        <f t="shared" si="934"/>
        <v>Base_With Amendment</v>
      </c>
      <c r="D10941" s="138" t="str">
        <f t="shared" si="937"/>
        <v>Medium_Low</v>
      </c>
      <c r="E10941" s="138" t="str">
        <f t="shared" si="936"/>
        <v>High</v>
      </c>
      <c r="F10941" s="138" t="str">
        <f t="shared" si="935"/>
        <v>Upgraded</v>
      </c>
      <c r="G10941" s="153"/>
      <c r="H10941" s="210">
        <v>0.90349999999999997</v>
      </c>
      <c r="I10941" s="160" t="s">
        <v>435</v>
      </c>
      <c r="J10941" s="160">
        <v>1.30461</v>
      </c>
      <c r="K10941" s="160" t="s">
        <v>23</v>
      </c>
      <c r="L10941" s="154" t="str">
        <f>IF(OpenLCAbasic!K10941="CTUh", "Fill in Manually",IF(OR(K10941="Unit", K10941=""), "", INDEX(LookUps!$E$5:$E$12, MATCH(OpenLCAbasic!K10941,LookUps!$D$5:$D$12,0))))</f>
        <v>Global Warming Potential (GWP) - kg CO2 eq</v>
      </c>
      <c r="M10941" s="154" t="str">
        <f t="shared" si="932"/>
        <v>High_Medium_Low_Upgraded_Global Warming Potential (GWP) - kg CO2 eq_Biosolids composting; aerated static pile; wastewater treatment unit; at updated plant - US_Base_With Amendment_Aerated Static Pile</v>
      </c>
    </row>
    <row r="10942" spans="1:13" s="120" customFormat="1" x14ac:dyDescent="0.25">
      <c r="A10942" s="119"/>
      <c r="B10942" s="138" t="str">
        <f t="shared" si="933"/>
        <v>Aerated Static Pile</v>
      </c>
      <c r="C10942" s="138" t="str">
        <f t="shared" si="934"/>
        <v>Base_With Amendment</v>
      </c>
      <c r="D10942" s="138" t="str">
        <f t="shared" si="937"/>
        <v>Medium_Low</v>
      </c>
      <c r="E10942" s="138" t="str">
        <f t="shared" si="936"/>
        <v>High</v>
      </c>
      <c r="F10942" s="138" t="str">
        <f t="shared" si="935"/>
        <v>Upgraded</v>
      </c>
      <c r="G10942" s="153"/>
      <c r="H10942" s="210">
        <v>0.17019999999999999</v>
      </c>
      <c r="I10942" s="160" t="s">
        <v>58</v>
      </c>
      <c r="J10942" s="160">
        <v>0.24568999999999999</v>
      </c>
      <c r="K10942" s="160" t="s">
        <v>23</v>
      </c>
      <c r="L10942" s="154" t="str">
        <f>IF(OpenLCAbasic!K10942="CTUh", "Fill in Manually",IF(OR(K10942="Unit", K10942=""), "", INDEX(LookUps!$E$5:$E$12, MATCH(OpenLCAbasic!K10942,LookUps!$D$5:$D$12,0))))</f>
        <v>Global Warming Potential (GWP) - kg CO2 eq</v>
      </c>
      <c r="M10942" s="154" t="str">
        <f t="shared" si="932"/>
        <v>High_Medium_Low_Upgraded_Global Warming Potential (GWP) - kg CO2 eq_Pre-Anoxic &amp; Swing tank; wastewater treatment unit; at updated plant - US_Base_With Amendment_Aerated Static Pile</v>
      </c>
    </row>
    <row r="10943" spans="1:13" s="120" customFormat="1" x14ac:dyDescent="0.25">
      <c r="A10943" s="119"/>
      <c r="B10943" s="138" t="str">
        <f t="shared" si="933"/>
        <v>Aerated Static Pile</v>
      </c>
      <c r="C10943" s="138" t="str">
        <f t="shared" si="934"/>
        <v>Base_With Amendment</v>
      </c>
      <c r="D10943" s="138" t="str">
        <f t="shared" si="937"/>
        <v>Medium_Low</v>
      </c>
      <c r="E10943" s="138" t="str">
        <f t="shared" si="936"/>
        <v>High</v>
      </c>
      <c r="F10943" s="138" t="str">
        <f t="shared" si="935"/>
        <v>Upgraded</v>
      </c>
      <c r="G10943" s="153"/>
      <c r="H10943" s="210">
        <v>0.11650000000000001</v>
      </c>
      <c r="I10943" s="160" t="s">
        <v>55</v>
      </c>
      <c r="J10943" s="160">
        <v>0.16822000000000001</v>
      </c>
      <c r="K10943" s="160" t="s">
        <v>23</v>
      </c>
      <c r="L10943" s="154" t="str">
        <f>IF(OpenLCAbasic!K10943="CTUh", "Fill in Manually",IF(OR(K10943="Unit", K10943=""), "", INDEX(LookUps!$E$5:$E$12, MATCH(OpenLCAbasic!K10943,LookUps!$D$5:$D$12,0))))</f>
        <v>Global Warming Potential (GWP) - kg CO2 eq</v>
      </c>
      <c r="M10943" s="154" t="str">
        <f t="shared" si="932"/>
        <v>High_Medium_Low_Upgraded_Global Warming Potential (GWP) - kg CO2 eq_Aeration Tanks; wastewater treatment unit; at updated plant - US_Base_With Amendment_Aerated Static Pile</v>
      </c>
    </row>
    <row r="10944" spans="1:13" s="120" customFormat="1" x14ac:dyDescent="0.25">
      <c r="A10944" s="119"/>
      <c r="B10944" s="138" t="str">
        <f t="shared" si="933"/>
        <v>Aerated Static Pile</v>
      </c>
      <c r="C10944" s="138" t="str">
        <f t="shared" si="934"/>
        <v>Base_With Amendment</v>
      </c>
      <c r="D10944" s="138" t="str">
        <f t="shared" si="937"/>
        <v>Medium_Low</v>
      </c>
      <c r="E10944" s="138" t="str">
        <f t="shared" si="936"/>
        <v>High</v>
      </c>
      <c r="F10944" s="138" t="str">
        <f t="shared" si="935"/>
        <v>Upgraded</v>
      </c>
      <c r="G10944" s="153"/>
      <c r="H10944" s="210">
        <v>8.5599999999999996E-2</v>
      </c>
      <c r="I10944" s="160" t="s">
        <v>167</v>
      </c>
      <c r="J10944" s="160">
        <v>0.12354999999999999</v>
      </c>
      <c r="K10944" s="160" t="s">
        <v>23</v>
      </c>
      <c r="L10944" s="154" t="str">
        <f>IF(OpenLCAbasic!K10944="CTUh", "Fill in Manually",IF(OR(K10944="Unit", K10944=""), "", INDEX(LookUps!$E$5:$E$12, MATCH(OpenLCAbasic!K10944,LookUps!$D$5:$D$12,0))))</f>
        <v>Global Warming Potential (GWP) - kg CO2 eq</v>
      </c>
      <c r="M10944" s="154" t="str">
        <f t="shared" si="932"/>
        <v>High_Medium_Low_Upgraded_Global Warming Potential (GWP) - kg CO2 eq_Waste Receiving and Holding; wastewater treatment unit; at updated plant - US_Base_With Amendment_Aerated Static Pile</v>
      </c>
    </row>
    <row r="10945" spans="1:13" s="120" customFormat="1" x14ac:dyDescent="0.25">
      <c r="A10945" s="119"/>
      <c r="B10945" s="138" t="str">
        <f t="shared" si="933"/>
        <v>Aerated Static Pile</v>
      </c>
      <c r="C10945" s="138" t="str">
        <f t="shared" si="934"/>
        <v>Base_With Amendment</v>
      </c>
      <c r="D10945" s="138" t="str">
        <f t="shared" si="937"/>
        <v>Medium_Low</v>
      </c>
      <c r="E10945" s="138" t="str">
        <f t="shared" si="936"/>
        <v>High</v>
      </c>
      <c r="F10945" s="138" t="str">
        <f t="shared" si="935"/>
        <v>Upgraded</v>
      </c>
      <c r="G10945" s="153"/>
      <c r="H10945" s="210">
        <v>4.41E-2</v>
      </c>
      <c r="I10945" s="160" t="s">
        <v>149</v>
      </c>
      <c r="J10945" s="160">
        <v>6.3659999999999994E-2</v>
      </c>
      <c r="K10945" s="160" t="s">
        <v>23</v>
      </c>
      <c r="L10945" s="154" t="str">
        <f>IF(OpenLCAbasic!K10945="CTUh", "Fill in Manually",IF(OR(K10945="Unit", K10945=""), "", INDEX(LookUps!$E$5:$E$12, MATCH(OpenLCAbasic!K10945,LookUps!$D$5:$D$12,0))))</f>
        <v>Global Warming Potential (GWP) - kg CO2 eq</v>
      </c>
      <c r="M10945" s="154" t="str">
        <f t="shared" si="932"/>
        <v>High_Medium_Low_Upgraded_Global Warming Potential (GWP) - kg CO2 eq_Anaerobic Digestion; wastewater treatment unit; at updated plant - US_Base_With Amendment_Aerated Static Pile</v>
      </c>
    </row>
    <row r="10946" spans="1:13" s="120" customFormat="1" x14ac:dyDescent="0.25">
      <c r="A10946" s="119"/>
      <c r="B10946" s="138" t="str">
        <f t="shared" si="933"/>
        <v>Aerated Static Pile</v>
      </c>
      <c r="C10946" s="138" t="str">
        <f t="shared" si="934"/>
        <v>Base_With Amendment</v>
      </c>
      <c r="D10946" s="138" t="str">
        <f t="shared" si="937"/>
        <v>Medium_Low</v>
      </c>
      <c r="E10946" s="138" t="str">
        <f t="shared" si="936"/>
        <v>High</v>
      </c>
      <c r="F10946" s="138" t="str">
        <f t="shared" si="935"/>
        <v>Upgraded</v>
      </c>
      <c r="G10946" s="153"/>
      <c r="H10946" s="210">
        <v>3.95E-2</v>
      </c>
      <c r="I10946" s="160" t="s">
        <v>54</v>
      </c>
      <c r="J10946" s="160">
        <v>5.7079999999999999E-2</v>
      </c>
      <c r="K10946" s="160" t="s">
        <v>23</v>
      </c>
      <c r="L10946" s="154" t="str">
        <f>IF(OpenLCAbasic!K10946="CTUh", "Fill in Manually",IF(OR(K10946="Unit", K10946=""), "", INDEX(LookUps!$E$5:$E$12, MATCH(OpenLCAbasic!K10946,LookUps!$D$5:$D$12,0))))</f>
        <v>Global Warming Potential (GWP) - kg CO2 eq</v>
      </c>
      <c r="M10946" s="154" t="str">
        <f t="shared" si="932"/>
        <v>High_Medium_Low_Upgraded_Global Warming Potential (GWP) - kg CO2 eq_Clear Cove Primary Clarification; wastewater treatment unit; at updated plant - US_Base_With Amendment_Aerated Static Pile</v>
      </c>
    </row>
    <row r="10947" spans="1:13" s="120" customFormat="1" x14ac:dyDescent="0.25">
      <c r="A10947" s="119"/>
      <c r="B10947" s="138" t="str">
        <f t="shared" si="933"/>
        <v>Aerated Static Pile</v>
      </c>
      <c r="C10947" s="138" t="str">
        <f t="shared" si="934"/>
        <v>Base_With Amendment</v>
      </c>
      <c r="D10947" s="138" t="str">
        <f t="shared" si="937"/>
        <v>Medium_Low</v>
      </c>
      <c r="E10947" s="138" t="str">
        <f t="shared" si="936"/>
        <v>High</v>
      </c>
      <c r="F10947" s="138" t="str">
        <f t="shared" si="935"/>
        <v>Upgraded</v>
      </c>
      <c r="G10947" s="153"/>
      <c r="H10947" s="210">
        <v>3.6499999999999998E-2</v>
      </c>
      <c r="I10947" s="160" t="s">
        <v>48</v>
      </c>
      <c r="J10947" s="160">
        <v>5.2639999999999999E-2</v>
      </c>
      <c r="K10947" s="160" t="s">
        <v>23</v>
      </c>
      <c r="L10947" s="154" t="str">
        <f>IF(OpenLCAbasic!K10947="CTUh", "Fill in Manually",IF(OR(K10947="Unit", K10947=""), "", INDEX(LookUps!$E$5:$E$12, MATCH(OpenLCAbasic!K10947,LookUps!$D$5:$D$12,0))))</f>
        <v>Global Warming Potential (GWP) - kg CO2 eq</v>
      </c>
      <c r="M10947" s="154" t="str">
        <f t="shared" si="932"/>
        <v>High_Medium_Low_Upgraded_Global Warming Potential (GWP) - kg CO2 eq_Effluent release; wastewater treatment unit; at surface water; m3 wastewater - US_Base_With Amendment_Aerated Static Pile</v>
      </c>
    </row>
    <row r="10948" spans="1:13" s="120" customFormat="1" x14ac:dyDescent="0.25">
      <c r="A10948" s="119"/>
      <c r="B10948" s="138" t="str">
        <f t="shared" si="933"/>
        <v>Aerated Static Pile</v>
      </c>
      <c r="C10948" s="138" t="str">
        <f t="shared" si="934"/>
        <v>Base_With Amendment</v>
      </c>
      <c r="D10948" s="138" t="str">
        <f t="shared" si="937"/>
        <v>Medium_Low</v>
      </c>
      <c r="E10948" s="138" t="str">
        <f t="shared" si="936"/>
        <v>High</v>
      </c>
      <c r="F10948" s="138" t="str">
        <f t="shared" si="935"/>
        <v>Upgraded</v>
      </c>
      <c r="G10948" s="153"/>
      <c r="H10948" s="210">
        <v>3.5000000000000003E-2</v>
      </c>
      <c r="I10948" s="160" t="s">
        <v>147</v>
      </c>
      <c r="J10948" s="160">
        <v>5.0500000000000003E-2</v>
      </c>
      <c r="K10948" s="160" t="s">
        <v>23</v>
      </c>
      <c r="L10948" s="154" t="str">
        <f>IF(OpenLCAbasic!K10948="CTUh", "Fill in Manually",IF(OR(K10948="Unit", K10948=""), "", INDEX(LookUps!$E$5:$E$12, MATCH(OpenLCAbasic!K10948,LookUps!$D$5:$D$12,0))))</f>
        <v>Global Warming Potential (GWP) - kg CO2 eq</v>
      </c>
      <c r="M10948" s="154" t="str">
        <f t="shared" ref="M10948:M11011" si="938">CONCATENATE(E10948,"_",D10948,"_",F10948,"_",L10948, "_",I10948,"_", C10948,"_", B10948)</f>
        <v>High_Medium_Low_Upgraded_Global Warming Potential (GWP) - kg CO2 eq_Influent Pump Station; wastewater treatment unit; at updated plant - US_Base_With Amendment_Aerated Static Pile</v>
      </c>
    </row>
    <row r="10949" spans="1:13" s="120" customFormat="1" x14ac:dyDescent="0.25">
      <c r="A10949" s="119"/>
      <c r="B10949" s="138" t="str">
        <f t="shared" si="933"/>
        <v>Aerated Static Pile</v>
      </c>
      <c r="C10949" s="138" t="str">
        <f t="shared" si="934"/>
        <v>Base_With Amendment</v>
      </c>
      <c r="D10949" s="138" t="str">
        <f t="shared" si="937"/>
        <v>Medium_Low</v>
      </c>
      <c r="E10949" s="138" t="str">
        <f t="shared" si="936"/>
        <v>High</v>
      </c>
      <c r="F10949" s="138" t="str">
        <f t="shared" si="935"/>
        <v>Upgraded</v>
      </c>
      <c r="G10949" s="153"/>
      <c r="H10949" s="210">
        <v>2.3E-2</v>
      </c>
      <c r="I10949" s="160" t="s">
        <v>53</v>
      </c>
      <c r="J10949" s="160">
        <v>3.3259999999999998E-2</v>
      </c>
      <c r="K10949" s="160" t="s">
        <v>23</v>
      </c>
      <c r="L10949" s="154" t="str">
        <f>IF(OpenLCAbasic!K10949="CTUh", "Fill in Manually",IF(OR(K10949="Unit", K10949=""), "", INDEX(LookUps!$E$5:$E$12, MATCH(OpenLCAbasic!K10949,LookUps!$D$5:$D$12,0))))</f>
        <v>Global Warming Potential (GWP) - kg CO2 eq</v>
      </c>
      <c r="M10949" s="154" t="str">
        <f t="shared" si="938"/>
        <v>High_Medium_Low_Upgraded_Global Warming Potential (GWP) - kg CO2 eq_Wet Well and Sump Station; wastewater treatment unit; at updated plant - US_Base_With Amendment_Aerated Static Pile</v>
      </c>
    </row>
    <row r="10950" spans="1:13" s="120" customFormat="1" x14ac:dyDescent="0.25">
      <c r="A10950" s="119"/>
      <c r="B10950" s="138" t="str">
        <f t="shared" si="933"/>
        <v>Aerated Static Pile</v>
      </c>
      <c r="C10950" s="138" t="str">
        <f t="shared" si="934"/>
        <v>Base_With Amendment</v>
      </c>
      <c r="D10950" s="138" t="str">
        <f t="shared" si="937"/>
        <v>Medium_Low</v>
      </c>
      <c r="E10950" s="138" t="str">
        <f t="shared" si="936"/>
        <v>High</v>
      </c>
      <c r="F10950" s="138" t="str">
        <f t="shared" si="935"/>
        <v>Upgraded</v>
      </c>
      <c r="G10950" s="153"/>
      <c r="H10950" s="210">
        <v>1.38E-2</v>
      </c>
      <c r="I10950" s="160" t="s">
        <v>60</v>
      </c>
      <c r="J10950" s="160">
        <v>1.9910000000000001E-2</v>
      </c>
      <c r="K10950" s="160" t="s">
        <v>23</v>
      </c>
      <c r="L10950" s="154" t="str">
        <f>IF(OpenLCAbasic!K10950="CTUh", "Fill in Manually",IF(OR(K10950="Unit", K10950=""), "", INDEX(LookUps!$E$5:$E$12, MATCH(OpenLCAbasic!K10950,LookUps!$D$5:$D$12,0))))</f>
        <v>Global Warming Potential (GWP) - kg CO2 eq</v>
      </c>
      <c r="M10950" s="154" t="str">
        <f t="shared" si="938"/>
        <v>High_Medium_Low_Upgraded_Global Warming Potential (GWP) - kg CO2 eq_Belt filter press; wastewater treatment unit; at updated plant - US_Base_With Amendment_Aerated Static Pile</v>
      </c>
    </row>
    <row r="10951" spans="1:13" s="120" customFormat="1" x14ac:dyDescent="0.25">
      <c r="A10951" s="119"/>
      <c r="B10951" s="138" t="str">
        <f t="shared" si="933"/>
        <v>Aerated Static Pile</v>
      </c>
      <c r="C10951" s="138" t="str">
        <f t="shared" si="934"/>
        <v>Base_With Amendment</v>
      </c>
      <c r="D10951" s="138" t="str">
        <f t="shared" si="937"/>
        <v>Medium_Low</v>
      </c>
      <c r="E10951" s="138" t="str">
        <f t="shared" si="936"/>
        <v>High</v>
      </c>
      <c r="F10951" s="138" t="str">
        <f t="shared" si="935"/>
        <v>Upgraded</v>
      </c>
      <c r="G10951" s="153"/>
      <c r="H10951" s="210">
        <v>1.01E-2</v>
      </c>
      <c r="I10951" s="160" t="s">
        <v>57</v>
      </c>
      <c r="J10951" s="160">
        <v>1.455E-2</v>
      </c>
      <c r="K10951" s="160" t="s">
        <v>23</v>
      </c>
      <c r="L10951" s="154" t="str">
        <f>IF(OpenLCAbasic!K10951="CTUh", "Fill in Manually",IF(OR(K10951="Unit", K10951=""), "", INDEX(LookUps!$E$5:$E$12, MATCH(OpenLCAbasic!K10951,LookUps!$D$5:$D$12,0))))</f>
        <v>Global Warming Potential (GWP) - kg CO2 eq</v>
      </c>
      <c r="M10951" s="154" t="str">
        <f t="shared" si="938"/>
        <v>High_Medium_Low_Upgraded_Global Warming Potential (GWP) - kg CO2 eq_Gravity Belt Thickener; wastewater treatment unit; at updated plant - US_Base_With Amendment_Aerated Static Pile</v>
      </c>
    </row>
    <row r="10952" spans="1:13" s="120" customFormat="1" x14ac:dyDescent="0.25">
      <c r="A10952" s="119"/>
      <c r="B10952" s="138" t="str">
        <f t="shared" si="933"/>
        <v>Aerated Static Pile</v>
      </c>
      <c r="C10952" s="138" t="str">
        <f t="shared" si="934"/>
        <v>Base_With Amendment</v>
      </c>
      <c r="D10952" s="138" t="str">
        <f t="shared" si="937"/>
        <v>Medium_Low</v>
      </c>
      <c r="E10952" s="138" t="str">
        <f t="shared" si="936"/>
        <v>High</v>
      </c>
      <c r="F10952" s="138" t="str">
        <f t="shared" si="935"/>
        <v>Upgraded</v>
      </c>
      <c r="G10952" s="153"/>
      <c r="H10952" s="210">
        <v>9.4000000000000004E-3</v>
      </c>
      <c r="I10952" s="160" t="s">
        <v>128</v>
      </c>
      <c r="J10952" s="160">
        <v>1.3509999999999999E-2</v>
      </c>
      <c r="K10952" s="160" t="s">
        <v>23</v>
      </c>
      <c r="L10952" s="154" t="str">
        <f>IF(OpenLCAbasic!K10952="CTUh", "Fill in Manually",IF(OR(K10952="Unit", K10952=""), "", INDEX(LookUps!$E$5:$E$12, MATCH(OpenLCAbasic!K10952,LookUps!$D$5:$D$12,0))))</f>
        <v>Global Warming Potential (GWP) - kg CO2 eq</v>
      </c>
      <c r="M10952" s="154" t="str">
        <f t="shared" si="938"/>
        <v>High_Medium_Low_Upgraded_Global Warming Potential (GWP) - kg CO2 eq_Wastewater collection; operation and infrastructure; m3 wastewater_Base_With Amendment_Aerated Static Pile</v>
      </c>
    </row>
    <row r="10953" spans="1:13" s="120" customFormat="1" x14ac:dyDescent="0.25">
      <c r="A10953" s="119"/>
      <c r="B10953" s="138" t="str">
        <f t="shared" si="933"/>
        <v>Aerated Static Pile</v>
      </c>
      <c r="C10953" s="138" t="str">
        <f t="shared" si="934"/>
        <v>Base_With Amendment</v>
      </c>
      <c r="D10953" s="138" t="str">
        <f t="shared" si="937"/>
        <v>Medium_Low</v>
      </c>
      <c r="E10953" s="138" t="str">
        <f t="shared" si="936"/>
        <v>High</v>
      </c>
      <c r="F10953" s="138" t="str">
        <f t="shared" si="935"/>
        <v>Upgraded</v>
      </c>
      <c r="G10953" s="153"/>
      <c r="H10953" s="210">
        <v>5.7000000000000002E-3</v>
      </c>
      <c r="I10953" s="160" t="s">
        <v>148</v>
      </c>
      <c r="J10953" s="160">
        <v>8.3000000000000001E-3</v>
      </c>
      <c r="K10953" s="160" t="s">
        <v>23</v>
      </c>
      <c r="L10953" s="154" t="str">
        <f>IF(OpenLCAbasic!K10953="CTUh", "Fill in Manually",IF(OR(K10953="Unit", K10953=""), "", INDEX(LookUps!$E$5:$E$12, MATCH(OpenLCAbasic!K10953,LookUps!$D$5:$D$12,0))))</f>
        <v>Global Warming Potential (GWP) - kg CO2 eq</v>
      </c>
      <c r="M10953" s="154" t="str">
        <f t="shared" si="938"/>
        <v>High_Medium_Low_Upgraded_Global Warming Potential (GWP) - kg CO2 eq_Control Building; at upgraded wastewater treatment plant - US_Base_With Amendment_Aerated Static Pile</v>
      </c>
    </row>
    <row r="10954" spans="1:13" s="120" customFormat="1" x14ac:dyDescent="0.25">
      <c r="A10954" s="119"/>
      <c r="B10954" s="138" t="str">
        <f t="shared" ref="B10954:B11017" si="939">IF(F10954="Legacy","n.a.",IF(F10954="","","Aerated Static Pile"))</f>
        <v>Aerated Static Pile</v>
      </c>
      <c r="C10954" s="138" t="str">
        <f t="shared" ref="C10954:C11017" si="940">IF(ISNUMBER($J10954),"Base_With Amendment","")</f>
        <v>Base_With Amendment</v>
      </c>
      <c r="D10954" s="138" t="str">
        <f t="shared" si="937"/>
        <v>Medium_Low</v>
      </c>
      <c r="E10954" s="138" t="str">
        <f t="shared" si="936"/>
        <v>High</v>
      </c>
      <c r="F10954" s="138" t="str">
        <f t="shared" ref="F10954:F11017" si="941">IF(ISNUMBER(J10954),"Upgraded","")</f>
        <v>Upgraded</v>
      </c>
      <c r="G10954" s="153"/>
      <c r="H10954" s="210">
        <v>3.5000000000000001E-3</v>
      </c>
      <c r="I10954" s="160" t="s">
        <v>59</v>
      </c>
      <c r="J10954" s="160">
        <v>5.0400000000000002E-3</v>
      </c>
      <c r="K10954" s="160" t="s">
        <v>23</v>
      </c>
      <c r="L10954" s="154" t="str">
        <f>IF(OpenLCAbasic!K10954="CTUh", "Fill in Manually",IF(OR(K10954="Unit", K10954=""), "", INDEX(LookUps!$E$5:$E$12, MATCH(OpenLCAbasic!K10954,LookUps!$D$5:$D$12,0))))</f>
        <v>Global Warming Potential (GWP) - kg CO2 eq</v>
      </c>
      <c r="M10954" s="154" t="str">
        <f t="shared" si="938"/>
        <v>High_Medium_Low_Upgraded_Global Warming Potential (GWP) - kg CO2 eq_Blend Tank; wastewater treatment unit; at updated plant - US_Base_With Amendment_Aerated Static Pile</v>
      </c>
    </row>
    <row r="10955" spans="1:13" s="120" customFormat="1" x14ac:dyDescent="0.25">
      <c r="A10955" s="119"/>
      <c r="B10955" s="138" t="str">
        <f t="shared" si="939"/>
        <v>Aerated Static Pile</v>
      </c>
      <c r="C10955" s="138" t="str">
        <f t="shared" si="940"/>
        <v>Base_With Amendment</v>
      </c>
      <c r="D10955" s="138" t="str">
        <f t="shared" si="937"/>
        <v>Medium_Low</v>
      </c>
      <c r="E10955" s="138" t="str">
        <f t="shared" si="936"/>
        <v>High</v>
      </c>
      <c r="F10955" s="138" t="str">
        <f t="shared" si="941"/>
        <v>Upgraded</v>
      </c>
      <c r="G10955" s="153"/>
      <c r="H10955" s="210">
        <v>1.6999999999999999E-3</v>
      </c>
      <c r="I10955" s="160" t="s">
        <v>168</v>
      </c>
      <c r="J10955" s="160">
        <v>2.4099999999999998E-3</v>
      </c>
      <c r="K10955" s="160" t="s">
        <v>23</v>
      </c>
      <c r="L10955" s="154" t="str">
        <f>IF(OpenLCAbasic!K10955="CTUh", "Fill in Manually",IF(OR(K10955="Unit", K10955=""), "", INDEX(LookUps!$E$5:$E$12, MATCH(OpenLCAbasic!K10955,LookUps!$D$5:$D$12,0))))</f>
        <v>Global Warming Potential (GWP) - kg CO2 eq</v>
      </c>
      <c r="M10955" s="154" t="str">
        <f t="shared" si="938"/>
        <v>High_Medium_Low_Upgraded_Global Warming Potential (GWP) - kg CO2 eq_ClearCove SCP; wastewater treatment unit; at updated plant - US_Base_With Amendment_Aerated Static Pile</v>
      </c>
    </row>
    <row r="10956" spans="1:13" s="120" customFormat="1" x14ac:dyDescent="0.25">
      <c r="A10956" s="119"/>
      <c r="B10956" s="138" t="str">
        <f t="shared" si="939"/>
        <v>Aerated Static Pile</v>
      </c>
      <c r="C10956" s="138" t="str">
        <f t="shared" si="940"/>
        <v>Base_With Amendment</v>
      </c>
      <c r="D10956" s="138" t="str">
        <f t="shared" si="937"/>
        <v>Medium_Low</v>
      </c>
      <c r="E10956" s="138" t="str">
        <f t="shared" si="936"/>
        <v>High</v>
      </c>
      <c r="F10956" s="138" t="str">
        <f t="shared" si="941"/>
        <v>Upgraded</v>
      </c>
      <c r="G10956" s="153"/>
      <c r="H10956" s="210">
        <v>-0.49790000000000001</v>
      </c>
      <c r="I10956" s="160" t="s">
        <v>62</v>
      </c>
      <c r="J10956" s="160">
        <v>-0.71896000000000004</v>
      </c>
      <c r="K10956" s="160" t="s">
        <v>23</v>
      </c>
      <c r="L10956" s="154" t="str">
        <f>IF(OpenLCAbasic!K10956="CTUh", "Fill in Manually",IF(OR(K10956="Unit", K10956=""), "", INDEX(LookUps!$E$5:$E$12, MATCH(OpenLCAbasic!K10956,LookUps!$D$5:$D$12,0))))</f>
        <v>Global Warming Potential (GWP) - kg CO2 eq</v>
      </c>
      <c r="M10956" s="154" t="str">
        <f t="shared" si="938"/>
        <v>High_Medium_Low_Upgraded_Global Warming Potential (GWP) - kg CO2 eq_Land application of compost; wastewater treatment unit; at updated plant - US_Base_With Amendment_Aerated Static Pile</v>
      </c>
    </row>
    <row r="10957" spans="1:13" s="120" customFormat="1" x14ac:dyDescent="0.25">
      <c r="A10957" s="119"/>
      <c r="B10957" s="138" t="str">
        <f t="shared" si="939"/>
        <v/>
      </c>
      <c r="C10957" s="138" t="str">
        <f t="shared" si="940"/>
        <v/>
      </c>
      <c r="D10957" s="138" t="str">
        <f t="shared" si="937"/>
        <v/>
      </c>
      <c r="E10957" s="138" t="str">
        <f t="shared" si="936"/>
        <v/>
      </c>
      <c r="F10957" s="138" t="str">
        <f t="shared" si="941"/>
        <v/>
      </c>
      <c r="G10957" s="153" t="s">
        <v>51</v>
      </c>
      <c r="H10957" s="160"/>
      <c r="I10957" s="160" t="s">
        <v>47</v>
      </c>
      <c r="J10957" s="160" t="s">
        <v>52</v>
      </c>
      <c r="K10957" s="160" t="s">
        <v>27</v>
      </c>
      <c r="L10957" s="154" t="str">
        <f>IF(OpenLCAbasic!K10957="CTUh", "Fill in Manually",IF(OR(K10957="Unit", K10957=""), "", INDEX(LookUps!$E$5:$E$12, MATCH(OpenLCAbasic!K10957,LookUps!$D$5:$D$12,0))))</f>
        <v/>
      </c>
      <c r="M10957" s="154" t="str">
        <f t="shared" si="938"/>
        <v>____Process__</v>
      </c>
    </row>
    <row r="10958" spans="1:13" s="120" customFormat="1" x14ac:dyDescent="0.25">
      <c r="A10958" s="119"/>
      <c r="B10958" s="138" t="str">
        <f t="shared" si="939"/>
        <v>Aerated Static Pile</v>
      </c>
      <c r="C10958" s="138" t="str">
        <f t="shared" si="940"/>
        <v>Base_With Amendment</v>
      </c>
      <c r="D10958" s="138" t="str">
        <f t="shared" si="937"/>
        <v>Medium_Low</v>
      </c>
      <c r="E10958" s="138" t="str">
        <f t="shared" si="936"/>
        <v>High</v>
      </c>
      <c r="F10958" s="138" t="str">
        <f t="shared" si="941"/>
        <v>Upgraded</v>
      </c>
      <c r="G10958" s="153"/>
      <c r="H10958" s="210">
        <v>0.37559999999999999</v>
      </c>
      <c r="I10958" s="160" t="s">
        <v>55</v>
      </c>
      <c r="J10958" s="160">
        <v>2.33E-3</v>
      </c>
      <c r="K10958" s="160" t="s">
        <v>145</v>
      </c>
      <c r="L10958" s="154" t="str">
        <f>IF(OpenLCAbasic!K10958="CTUh", "Fill in Manually",IF(OR(K10958="Unit", K10958=""), "", INDEX(LookUps!$E$5:$E$12, MATCH(OpenLCAbasic!K10958,LookUps!$D$5:$D$12,0))))</f>
        <v>Particulate Matter Formation Potential (PMFP) - kg PM2.5 eq</v>
      </c>
      <c r="M10958" s="154" t="str">
        <f t="shared" si="938"/>
        <v>High_Medium_Low_Upgraded_Particulate Matter Formation Potential (PMFP) - kg PM2.5 eq_Aeration Tanks; wastewater treatment unit; at updated plant - US_Base_With Amendment_Aerated Static Pile</v>
      </c>
    </row>
    <row r="10959" spans="1:13" s="120" customFormat="1" x14ac:dyDescent="0.25">
      <c r="A10959" s="119"/>
      <c r="B10959" s="138" t="str">
        <f t="shared" si="939"/>
        <v>Aerated Static Pile</v>
      </c>
      <c r="C10959" s="138" t="str">
        <f t="shared" si="940"/>
        <v>Base_With Amendment</v>
      </c>
      <c r="D10959" s="138" t="str">
        <f t="shared" si="937"/>
        <v>Medium_Low</v>
      </c>
      <c r="E10959" s="138" t="str">
        <f t="shared" si="936"/>
        <v>High</v>
      </c>
      <c r="F10959" s="138" t="str">
        <f t="shared" si="941"/>
        <v>Upgraded</v>
      </c>
      <c r="G10959" s="153"/>
      <c r="H10959" s="210">
        <v>0.21</v>
      </c>
      <c r="I10959" s="160" t="s">
        <v>435</v>
      </c>
      <c r="J10959" s="160">
        <v>1.31E-3</v>
      </c>
      <c r="K10959" s="160" t="s">
        <v>145</v>
      </c>
      <c r="L10959" s="154" t="str">
        <f>IF(OpenLCAbasic!K10959="CTUh", "Fill in Manually",IF(OR(K10959="Unit", K10959=""), "", INDEX(LookUps!$E$5:$E$12, MATCH(OpenLCAbasic!K10959,LookUps!$D$5:$D$12,0))))</f>
        <v>Particulate Matter Formation Potential (PMFP) - kg PM2.5 eq</v>
      </c>
      <c r="M10959" s="154" t="str">
        <f t="shared" si="938"/>
        <v>High_Medium_Low_Upgraded_Particulate Matter Formation Potential (PMFP) - kg PM2.5 eq_Biosolids composting; aerated static pile; wastewater treatment unit; at updated plant - US_Base_With Amendment_Aerated Static Pile</v>
      </c>
    </row>
    <row r="10960" spans="1:13" s="120" customFormat="1" x14ac:dyDescent="0.25">
      <c r="A10960" s="119"/>
      <c r="B10960" s="138" t="str">
        <f t="shared" si="939"/>
        <v>Aerated Static Pile</v>
      </c>
      <c r="C10960" s="138" t="str">
        <f t="shared" si="940"/>
        <v>Base_With Amendment</v>
      </c>
      <c r="D10960" s="138" t="str">
        <f t="shared" si="937"/>
        <v>Medium_Low</v>
      </c>
      <c r="E10960" s="138" t="str">
        <f t="shared" si="936"/>
        <v>High</v>
      </c>
      <c r="F10960" s="138" t="str">
        <f t="shared" si="941"/>
        <v>Upgraded</v>
      </c>
      <c r="G10960" s="153"/>
      <c r="H10960" s="210">
        <v>0.10929999999999999</v>
      </c>
      <c r="I10960" s="160" t="s">
        <v>54</v>
      </c>
      <c r="J10960" s="160">
        <v>6.8000000000000005E-4</v>
      </c>
      <c r="K10960" s="160" t="s">
        <v>145</v>
      </c>
      <c r="L10960" s="154" t="str">
        <f>IF(OpenLCAbasic!K10960="CTUh", "Fill in Manually",IF(OR(K10960="Unit", K10960=""), "", INDEX(LookUps!$E$5:$E$12, MATCH(OpenLCAbasic!K10960,LookUps!$D$5:$D$12,0))))</f>
        <v>Particulate Matter Formation Potential (PMFP) - kg PM2.5 eq</v>
      </c>
      <c r="M10960" s="154" t="str">
        <f t="shared" si="938"/>
        <v>High_Medium_Low_Upgraded_Particulate Matter Formation Potential (PMFP) - kg PM2.5 eq_Clear Cove Primary Clarification; wastewater treatment unit; at updated plant - US_Base_With Amendment_Aerated Static Pile</v>
      </c>
    </row>
    <row r="10961" spans="1:13" s="120" customFormat="1" x14ac:dyDescent="0.25">
      <c r="A10961" s="119"/>
      <c r="B10961" s="138" t="str">
        <f t="shared" si="939"/>
        <v>Aerated Static Pile</v>
      </c>
      <c r="C10961" s="138" t="str">
        <f t="shared" si="940"/>
        <v>Base_With Amendment</v>
      </c>
      <c r="D10961" s="138" t="str">
        <f t="shared" si="937"/>
        <v>Medium_Low</v>
      </c>
      <c r="E10961" s="138" t="str">
        <f t="shared" si="936"/>
        <v>High</v>
      </c>
      <c r="F10961" s="138" t="str">
        <f t="shared" si="941"/>
        <v>Upgraded</v>
      </c>
      <c r="G10961" s="153"/>
      <c r="H10961" s="210">
        <v>9.4700000000000006E-2</v>
      </c>
      <c r="I10961" s="160" t="s">
        <v>58</v>
      </c>
      <c r="J10961" s="160">
        <v>5.9000000000000003E-4</v>
      </c>
      <c r="K10961" s="160" t="s">
        <v>145</v>
      </c>
      <c r="L10961" s="154" t="str">
        <f>IF(OpenLCAbasic!K10961="CTUh", "Fill in Manually",IF(OR(K10961="Unit", K10961=""), "", INDEX(LookUps!$E$5:$E$12, MATCH(OpenLCAbasic!K10961,LookUps!$D$5:$D$12,0))))</f>
        <v>Particulate Matter Formation Potential (PMFP) - kg PM2.5 eq</v>
      </c>
      <c r="M10961" s="154" t="str">
        <f t="shared" si="938"/>
        <v>High_Medium_Low_Upgraded_Particulate Matter Formation Potential (PMFP) - kg PM2.5 eq_Pre-Anoxic &amp; Swing tank; wastewater treatment unit; at updated plant - US_Base_With Amendment_Aerated Static Pile</v>
      </c>
    </row>
    <row r="10962" spans="1:13" s="120" customFormat="1" x14ac:dyDescent="0.25">
      <c r="A10962" s="119"/>
      <c r="B10962" s="138" t="str">
        <f t="shared" si="939"/>
        <v>Aerated Static Pile</v>
      </c>
      <c r="C10962" s="138" t="str">
        <f t="shared" si="940"/>
        <v>Base_With Amendment</v>
      </c>
      <c r="D10962" s="138" t="str">
        <f t="shared" si="937"/>
        <v>Medium_Low</v>
      </c>
      <c r="E10962" s="138" t="str">
        <f t="shared" si="936"/>
        <v>High</v>
      </c>
      <c r="F10962" s="138" t="str">
        <f t="shared" si="941"/>
        <v>Upgraded</v>
      </c>
      <c r="G10962" s="153"/>
      <c r="H10962" s="210">
        <v>7.51E-2</v>
      </c>
      <c r="I10962" s="160" t="s">
        <v>53</v>
      </c>
      <c r="J10962" s="160">
        <v>4.6999999999999999E-4</v>
      </c>
      <c r="K10962" s="160" t="s">
        <v>145</v>
      </c>
      <c r="L10962" s="154" t="str">
        <f>IF(OpenLCAbasic!K10962="CTUh", "Fill in Manually",IF(OR(K10962="Unit", K10962=""), "", INDEX(LookUps!$E$5:$E$12, MATCH(OpenLCAbasic!K10962,LookUps!$D$5:$D$12,0))))</f>
        <v>Particulate Matter Formation Potential (PMFP) - kg PM2.5 eq</v>
      </c>
      <c r="M10962" s="154" t="str">
        <f t="shared" si="938"/>
        <v>High_Medium_Low_Upgraded_Particulate Matter Formation Potential (PMFP) - kg PM2.5 eq_Wet Well and Sump Station; wastewater treatment unit; at updated plant - US_Base_With Amendment_Aerated Static Pile</v>
      </c>
    </row>
    <row r="10963" spans="1:13" s="120" customFormat="1" x14ac:dyDescent="0.25">
      <c r="A10963" s="119"/>
      <c r="B10963" s="138" t="str">
        <f t="shared" si="939"/>
        <v>Aerated Static Pile</v>
      </c>
      <c r="C10963" s="138" t="str">
        <f t="shared" si="940"/>
        <v>Base_With Amendment</v>
      </c>
      <c r="D10963" s="138" t="str">
        <f t="shared" si="937"/>
        <v>Medium_Low</v>
      </c>
      <c r="E10963" s="138" t="str">
        <f t="shared" si="936"/>
        <v>High</v>
      </c>
      <c r="F10963" s="138" t="str">
        <f t="shared" si="941"/>
        <v>Upgraded</v>
      </c>
      <c r="G10963" s="153"/>
      <c r="H10963" s="210">
        <v>5.0599999999999999E-2</v>
      </c>
      <c r="I10963" s="160" t="s">
        <v>167</v>
      </c>
      <c r="J10963" s="160">
        <v>3.1E-4</v>
      </c>
      <c r="K10963" s="160" t="s">
        <v>145</v>
      </c>
      <c r="L10963" s="154" t="str">
        <f>IF(OpenLCAbasic!K10963="CTUh", "Fill in Manually",IF(OR(K10963="Unit", K10963=""), "", INDEX(LookUps!$E$5:$E$12, MATCH(OpenLCAbasic!K10963,LookUps!$D$5:$D$12,0))))</f>
        <v>Particulate Matter Formation Potential (PMFP) - kg PM2.5 eq</v>
      </c>
      <c r="M10963" s="154" t="str">
        <f t="shared" si="938"/>
        <v>High_Medium_Low_Upgraded_Particulate Matter Formation Potential (PMFP) - kg PM2.5 eq_Waste Receiving and Holding; wastewater treatment unit; at updated plant - US_Base_With Amendment_Aerated Static Pile</v>
      </c>
    </row>
    <row r="10964" spans="1:13" s="120" customFormat="1" x14ac:dyDescent="0.25">
      <c r="A10964" s="119"/>
      <c r="B10964" s="138" t="str">
        <f t="shared" si="939"/>
        <v>Aerated Static Pile</v>
      </c>
      <c r="C10964" s="138" t="str">
        <f t="shared" si="940"/>
        <v>Base_With Amendment</v>
      </c>
      <c r="D10964" s="138" t="str">
        <f t="shared" si="937"/>
        <v>Medium_Low</v>
      </c>
      <c r="E10964" s="138" t="str">
        <f t="shared" si="936"/>
        <v>High</v>
      </c>
      <c r="F10964" s="138" t="str">
        <f t="shared" si="941"/>
        <v>Upgraded</v>
      </c>
      <c r="G10964" s="153"/>
      <c r="H10964" s="210">
        <v>4.2900000000000001E-2</v>
      </c>
      <c r="I10964" s="160" t="s">
        <v>147</v>
      </c>
      <c r="J10964" s="160">
        <v>2.7E-4</v>
      </c>
      <c r="K10964" s="160" t="s">
        <v>145</v>
      </c>
      <c r="L10964" s="154" t="str">
        <f>IF(OpenLCAbasic!K10964="CTUh", "Fill in Manually",IF(OR(K10964="Unit", K10964=""), "", INDEX(LookUps!$E$5:$E$12, MATCH(OpenLCAbasic!K10964,LookUps!$D$5:$D$12,0))))</f>
        <v>Particulate Matter Formation Potential (PMFP) - kg PM2.5 eq</v>
      </c>
      <c r="M10964" s="154" t="str">
        <f t="shared" si="938"/>
        <v>High_Medium_Low_Upgraded_Particulate Matter Formation Potential (PMFP) - kg PM2.5 eq_Influent Pump Station; wastewater treatment unit; at updated plant - US_Base_With Amendment_Aerated Static Pile</v>
      </c>
    </row>
    <row r="10965" spans="1:13" s="120" customFormat="1" x14ac:dyDescent="0.25">
      <c r="A10965" s="119"/>
      <c r="B10965" s="138" t="str">
        <f t="shared" si="939"/>
        <v>Aerated Static Pile</v>
      </c>
      <c r="C10965" s="138" t="str">
        <f t="shared" si="940"/>
        <v>Base_With Amendment</v>
      </c>
      <c r="D10965" s="138" t="str">
        <f t="shared" si="937"/>
        <v>Medium_Low</v>
      </c>
      <c r="E10965" s="138" t="str">
        <f t="shared" si="936"/>
        <v>High</v>
      </c>
      <c r="F10965" s="138" t="str">
        <f t="shared" si="941"/>
        <v>Upgraded</v>
      </c>
      <c r="G10965" s="153"/>
      <c r="H10965" s="210">
        <v>2.6800000000000001E-2</v>
      </c>
      <c r="I10965" s="160" t="s">
        <v>128</v>
      </c>
      <c r="J10965" s="160">
        <v>1.7000000000000001E-4</v>
      </c>
      <c r="K10965" s="160" t="s">
        <v>145</v>
      </c>
      <c r="L10965" s="154" t="str">
        <f>IF(OpenLCAbasic!K10965="CTUh", "Fill in Manually",IF(OR(K10965="Unit", K10965=""), "", INDEX(LookUps!$E$5:$E$12, MATCH(OpenLCAbasic!K10965,LookUps!$D$5:$D$12,0))))</f>
        <v>Particulate Matter Formation Potential (PMFP) - kg PM2.5 eq</v>
      </c>
      <c r="M10965" s="154" t="str">
        <f t="shared" si="938"/>
        <v>High_Medium_Low_Upgraded_Particulate Matter Formation Potential (PMFP) - kg PM2.5 eq_Wastewater collection; operation and infrastructure; m3 wastewater_Base_With Amendment_Aerated Static Pile</v>
      </c>
    </row>
    <row r="10966" spans="1:13" s="120" customFormat="1" x14ac:dyDescent="0.25">
      <c r="A10966" s="119"/>
      <c r="B10966" s="138" t="str">
        <f t="shared" si="939"/>
        <v>Aerated Static Pile</v>
      </c>
      <c r="C10966" s="138" t="str">
        <f t="shared" si="940"/>
        <v>Base_With Amendment</v>
      </c>
      <c r="D10966" s="138" t="str">
        <f t="shared" si="937"/>
        <v>Medium_Low</v>
      </c>
      <c r="E10966" s="138" t="str">
        <f t="shared" si="936"/>
        <v>High</v>
      </c>
      <c r="F10966" s="138" t="str">
        <f t="shared" si="941"/>
        <v>Upgraded</v>
      </c>
      <c r="G10966" s="153"/>
      <c r="H10966" s="210">
        <v>2.6200000000000001E-2</v>
      </c>
      <c r="I10966" s="160" t="s">
        <v>60</v>
      </c>
      <c r="J10966" s="160">
        <v>1.6000000000000001E-4</v>
      </c>
      <c r="K10966" s="160" t="s">
        <v>145</v>
      </c>
      <c r="L10966" s="154" t="str">
        <f>IF(OpenLCAbasic!K10966="CTUh", "Fill in Manually",IF(OR(K10966="Unit", K10966=""), "", INDEX(LookUps!$E$5:$E$12, MATCH(OpenLCAbasic!K10966,LookUps!$D$5:$D$12,0))))</f>
        <v>Particulate Matter Formation Potential (PMFP) - kg PM2.5 eq</v>
      </c>
      <c r="M10966" s="154" t="str">
        <f t="shared" si="938"/>
        <v>High_Medium_Low_Upgraded_Particulate Matter Formation Potential (PMFP) - kg PM2.5 eq_Belt filter press; wastewater treatment unit; at updated plant - US_Base_With Amendment_Aerated Static Pile</v>
      </c>
    </row>
    <row r="10967" spans="1:13" s="120" customFormat="1" x14ac:dyDescent="0.25">
      <c r="A10967" s="119"/>
      <c r="B10967" s="138" t="str">
        <f t="shared" si="939"/>
        <v>Aerated Static Pile</v>
      </c>
      <c r="C10967" s="138" t="str">
        <f t="shared" si="940"/>
        <v>Base_With Amendment</v>
      </c>
      <c r="D10967" s="138" t="str">
        <f t="shared" si="937"/>
        <v>Medium_Low</v>
      </c>
      <c r="E10967" s="138" t="str">
        <f t="shared" si="936"/>
        <v>High</v>
      </c>
      <c r="F10967" s="138" t="str">
        <f t="shared" si="941"/>
        <v>Upgraded</v>
      </c>
      <c r="G10967" s="153"/>
      <c r="H10967" s="210">
        <v>1.5299999999999999E-2</v>
      </c>
      <c r="I10967" s="160" t="s">
        <v>57</v>
      </c>
      <c r="J10967" s="211">
        <v>9.5153800000000004E-5</v>
      </c>
      <c r="K10967" s="160" t="s">
        <v>145</v>
      </c>
      <c r="L10967" s="154" t="str">
        <f>IF(OpenLCAbasic!K10967="CTUh", "Fill in Manually",IF(OR(K10967="Unit", K10967=""), "", INDEX(LookUps!$E$5:$E$12, MATCH(OpenLCAbasic!K10967,LookUps!$D$5:$D$12,0))))</f>
        <v>Particulate Matter Formation Potential (PMFP) - kg PM2.5 eq</v>
      </c>
      <c r="M10967" s="154" t="str">
        <f t="shared" si="938"/>
        <v>High_Medium_Low_Upgraded_Particulate Matter Formation Potential (PMFP) - kg PM2.5 eq_Gravity Belt Thickener; wastewater treatment unit; at updated plant - US_Base_With Amendment_Aerated Static Pile</v>
      </c>
    </row>
    <row r="10968" spans="1:13" s="120" customFormat="1" x14ac:dyDescent="0.25">
      <c r="A10968" s="119"/>
      <c r="B10968" s="138" t="str">
        <f t="shared" si="939"/>
        <v>Aerated Static Pile</v>
      </c>
      <c r="C10968" s="138" t="str">
        <f t="shared" si="940"/>
        <v>Base_With Amendment</v>
      </c>
      <c r="D10968" s="138" t="str">
        <f t="shared" si="937"/>
        <v>Medium_Low</v>
      </c>
      <c r="E10968" s="138" t="str">
        <f t="shared" si="936"/>
        <v>High</v>
      </c>
      <c r="F10968" s="138" t="str">
        <f t="shared" si="941"/>
        <v>Upgraded</v>
      </c>
      <c r="G10968" s="153"/>
      <c r="H10968" s="210">
        <v>1.1299999999999999E-2</v>
      </c>
      <c r="I10968" s="160" t="s">
        <v>59</v>
      </c>
      <c r="J10968" s="211">
        <v>6.9942200000000003E-5</v>
      </c>
      <c r="K10968" s="160" t="s">
        <v>145</v>
      </c>
      <c r="L10968" s="154" t="str">
        <f>IF(OpenLCAbasic!K10968="CTUh", "Fill in Manually",IF(OR(K10968="Unit", K10968=""), "", INDEX(LookUps!$E$5:$E$12, MATCH(OpenLCAbasic!K10968,LookUps!$D$5:$D$12,0))))</f>
        <v>Particulate Matter Formation Potential (PMFP) - kg PM2.5 eq</v>
      </c>
      <c r="M10968" s="154" t="str">
        <f t="shared" si="938"/>
        <v>High_Medium_Low_Upgraded_Particulate Matter Formation Potential (PMFP) - kg PM2.5 eq_Blend Tank; wastewater treatment unit; at updated plant - US_Base_With Amendment_Aerated Static Pile</v>
      </c>
    </row>
    <row r="10969" spans="1:13" s="120" customFormat="1" x14ac:dyDescent="0.25">
      <c r="A10969" s="119"/>
      <c r="B10969" s="138" t="str">
        <f t="shared" si="939"/>
        <v>Aerated Static Pile</v>
      </c>
      <c r="C10969" s="138" t="str">
        <f t="shared" si="940"/>
        <v>Base_With Amendment</v>
      </c>
      <c r="D10969" s="138" t="str">
        <f t="shared" si="937"/>
        <v>Medium_Low</v>
      </c>
      <c r="E10969" s="138" t="str">
        <f t="shared" si="936"/>
        <v>High</v>
      </c>
      <c r="F10969" s="138" t="str">
        <f t="shared" si="941"/>
        <v>Upgraded</v>
      </c>
      <c r="G10969" s="153"/>
      <c r="H10969" s="210">
        <v>8.5000000000000006E-3</v>
      </c>
      <c r="I10969" s="160" t="s">
        <v>62</v>
      </c>
      <c r="J10969" s="211">
        <v>5.28514E-5</v>
      </c>
      <c r="K10969" s="160" t="s">
        <v>145</v>
      </c>
      <c r="L10969" s="154" t="str">
        <f>IF(OpenLCAbasic!K10969="CTUh", "Fill in Manually",IF(OR(K10969="Unit", K10969=""), "", INDEX(LookUps!$E$5:$E$12, MATCH(OpenLCAbasic!K10969,LookUps!$D$5:$D$12,0))))</f>
        <v>Particulate Matter Formation Potential (PMFP) - kg PM2.5 eq</v>
      </c>
      <c r="M10969" s="154" t="str">
        <f t="shared" si="938"/>
        <v>High_Medium_Low_Upgraded_Particulate Matter Formation Potential (PMFP) - kg PM2.5 eq_Land application of compost; wastewater treatment unit; at updated plant - US_Base_With Amendment_Aerated Static Pile</v>
      </c>
    </row>
    <row r="10970" spans="1:13" s="120" customFormat="1" x14ac:dyDescent="0.25">
      <c r="A10970" s="119"/>
      <c r="B10970" s="138" t="str">
        <f t="shared" si="939"/>
        <v>Aerated Static Pile</v>
      </c>
      <c r="C10970" s="138" t="str">
        <f t="shared" si="940"/>
        <v>Base_With Amendment</v>
      </c>
      <c r="D10970" s="138" t="str">
        <f t="shared" si="937"/>
        <v>Medium_Low</v>
      </c>
      <c r="E10970" s="138" t="str">
        <f t="shared" si="936"/>
        <v>High</v>
      </c>
      <c r="F10970" s="138" t="str">
        <f t="shared" si="941"/>
        <v>Upgraded</v>
      </c>
      <c r="G10970" s="153"/>
      <c r="H10970" s="210">
        <v>8.0000000000000002E-3</v>
      </c>
      <c r="I10970" s="160" t="s">
        <v>48</v>
      </c>
      <c r="J10970" s="211">
        <v>4.99741E-5</v>
      </c>
      <c r="K10970" s="160" t="s">
        <v>145</v>
      </c>
      <c r="L10970" s="154" t="str">
        <f>IF(OpenLCAbasic!K10970="CTUh", "Fill in Manually",IF(OR(K10970="Unit", K10970=""), "", INDEX(LookUps!$E$5:$E$12, MATCH(OpenLCAbasic!K10970,LookUps!$D$5:$D$12,0))))</f>
        <v>Particulate Matter Formation Potential (PMFP) - kg PM2.5 eq</v>
      </c>
      <c r="M10970" s="154" t="str">
        <f t="shared" si="938"/>
        <v>High_Medium_Low_Upgraded_Particulate Matter Formation Potential (PMFP) - kg PM2.5 eq_Effluent release; wastewater treatment unit; at surface water; m3 wastewater - US_Base_With Amendment_Aerated Static Pile</v>
      </c>
    </row>
    <row r="10971" spans="1:13" s="120" customFormat="1" x14ac:dyDescent="0.25">
      <c r="A10971" s="119"/>
      <c r="B10971" s="138" t="str">
        <f t="shared" si="939"/>
        <v>Aerated Static Pile</v>
      </c>
      <c r="C10971" s="138" t="str">
        <f t="shared" si="940"/>
        <v>Base_With Amendment</v>
      </c>
      <c r="D10971" s="138" t="str">
        <f t="shared" si="937"/>
        <v>Medium_Low</v>
      </c>
      <c r="E10971" s="138" t="str">
        <f t="shared" si="936"/>
        <v>High</v>
      </c>
      <c r="F10971" s="138" t="str">
        <f t="shared" si="941"/>
        <v>Upgraded</v>
      </c>
      <c r="G10971" s="153"/>
      <c r="H10971" s="210">
        <v>5.5999999999999999E-3</v>
      </c>
      <c r="I10971" s="160" t="s">
        <v>168</v>
      </c>
      <c r="J10971" s="211">
        <v>3.4562199999999999E-5</v>
      </c>
      <c r="K10971" s="160" t="s">
        <v>145</v>
      </c>
      <c r="L10971" s="154" t="str">
        <f>IF(OpenLCAbasic!K10971="CTUh", "Fill in Manually",IF(OR(K10971="Unit", K10971=""), "", INDEX(LookUps!$E$5:$E$12, MATCH(OpenLCAbasic!K10971,LookUps!$D$5:$D$12,0))))</f>
        <v>Particulate Matter Formation Potential (PMFP) - kg PM2.5 eq</v>
      </c>
      <c r="M10971" s="154" t="str">
        <f t="shared" si="938"/>
        <v>High_Medium_Low_Upgraded_Particulate Matter Formation Potential (PMFP) - kg PM2.5 eq_ClearCove SCP; wastewater treatment unit; at updated plant - US_Base_With Amendment_Aerated Static Pile</v>
      </c>
    </row>
    <row r="10972" spans="1:13" s="120" customFormat="1" x14ac:dyDescent="0.25">
      <c r="A10972" s="119"/>
      <c r="B10972" s="138" t="str">
        <f t="shared" si="939"/>
        <v>Aerated Static Pile</v>
      </c>
      <c r="C10972" s="138" t="str">
        <f t="shared" si="940"/>
        <v>Base_With Amendment</v>
      </c>
      <c r="D10972" s="138" t="str">
        <f t="shared" si="937"/>
        <v>Medium_Low</v>
      </c>
      <c r="E10972" s="138" t="str">
        <f t="shared" si="936"/>
        <v>High</v>
      </c>
      <c r="F10972" s="138" t="str">
        <f t="shared" si="941"/>
        <v>Upgraded</v>
      </c>
      <c r="G10972" s="153"/>
      <c r="H10972" s="210">
        <v>1.4E-3</v>
      </c>
      <c r="I10972" s="160" t="s">
        <v>148</v>
      </c>
      <c r="J10972" s="211">
        <v>8.8212999999999997E-6</v>
      </c>
      <c r="K10972" s="160" t="s">
        <v>145</v>
      </c>
      <c r="L10972" s="154" t="str">
        <f>IF(OpenLCAbasic!K10972="CTUh", "Fill in Manually",IF(OR(K10972="Unit", K10972=""), "", INDEX(LookUps!$E$5:$E$12, MATCH(OpenLCAbasic!K10972,LookUps!$D$5:$D$12,0))))</f>
        <v>Particulate Matter Formation Potential (PMFP) - kg PM2.5 eq</v>
      </c>
      <c r="M10972" s="154" t="str">
        <f t="shared" si="938"/>
        <v>High_Medium_Low_Upgraded_Particulate Matter Formation Potential (PMFP) - kg PM2.5 eq_Control Building; at upgraded wastewater treatment plant - US_Base_With Amendment_Aerated Static Pile</v>
      </c>
    </row>
    <row r="10973" spans="1:13" s="120" customFormat="1" x14ac:dyDescent="0.25">
      <c r="A10973" s="119"/>
      <c r="B10973" s="138" t="str">
        <f t="shared" si="939"/>
        <v>Aerated Static Pile</v>
      </c>
      <c r="C10973" s="138" t="str">
        <f t="shared" si="940"/>
        <v>Base_With Amendment</v>
      </c>
      <c r="D10973" s="138" t="str">
        <f t="shared" si="937"/>
        <v>Medium_Low</v>
      </c>
      <c r="E10973" s="138" t="str">
        <f t="shared" si="936"/>
        <v>High</v>
      </c>
      <c r="F10973" s="138" t="str">
        <f t="shared" si="941"/>
        <v>Upgraded</v>
      </c>
      <c r="G10973" s="153"/>
      <c r="H10973" s="210">
        <v>-6.1400000000000003E-2</v>
      </c>
      <c r="I10973" s="160" t="s">
        <v>149</v>
      </c>
      <c r="J10973" s="160">
        <v>-3.8000000000000002E-4</v>
      </c>
      <c r="K10973" s="160" t="s">
        <v>145</v>
      </c>
      <c r="L10973" s="154" t="str">
        <f>IF(OpenLCAbasic!K10973="CTUh", "Fill in Manually",IF(OR(K10973="Unit", K10973=""), "", INDEX(LookUps!$E$5:$E$12, MATCH(OpenLCAbasic!K10973,LookUps!$D$5:$D$12,0))))</f>
        <v>Particulate Matter Formation Potential (PMFP) - kg PM2.5 eq</v>
      </c>
      <c r="M10973" s="154" t="str">
        <f t="shared" si="938"/>
        <v>High_Medium_Low_Upgraded_Particulate Matter Formation Potential (PMFP) - kg PM2.5 eq_Anaerobic Digestion; wastewater treatment unit; at updated plant - US_Base_With Amendment_Aerated Static Pile</v>
      </c>
    </row>
    <row r="10974" spans="1:13" s="120" customFormat="1" x14ac:dyDescent="0.25">
      <c r="A10974" s="119"/>
      <c r="B10974" s="138" t="str">
        <f t="shared" si="939"/>
        <v/>
      </c>
      <c r="C10974" s="138" t="str">
        <f t="shared" si="940"/>
        <v/>
      </c>
      <c r="D10974" s="138" t="str">
        <f t="shared" si="937"/>
        <v/>
      </c>
      <c r="E10974" s="138" t="str">
        <f t="shared" si="936"/>
        <v/>
      </c>
      <c r="F10974" s="138" t="str">
        <f t="shared" si="941"/>
        <v/>
      </c>
      <c r="G10974" s="153" t="s">
        <v>51</v>
      </c>
      <c r="H10974" s="160"/>
      <c r="I10974" s="160" t="s">
        <v>47</v>
      </c>
      <c r="J10974" s="160" t="s">
        <v>52</v>
      </c>
      <c r="K10974" s="160" t="s">
        <v>27</v>
      </c>
      <c r="L10974" s="154" t="str">
        <f>IF(OpenLCAbasic!K10974="CTUh", "Fill in Manually",IF(OR(K10974="Unit", K10974=""), "", INDEX(LookUps!$E$5:$E$12, MATCH(OpenLCAbasic!K10974,LookUps!$D$5:$D$12,0))))</f>
        <v/>
      </c>
      <c r="M10974" s="154" t="str">
        <f t="shared" si="938"/>
        <v>____Process__</v>
      </c>
    </row>
    <row r="10975" spans="1:13" s="120" customFormat="1" x14ac:dyDescent="0.25">
      <c r="A10975" s="119"/>
      <c r="B10975" s="138" t="str">
        <f t="shared" si="939"/>
        <v>Aerated Static Pile</v>
      </c>
      <c r="C10975" s="138" t="str">
        <f t="shared" si="940"/>
        <v>Base_With Amendment</v>
      </c>
      <c r="D10975" s="138" t="str">
        <f t="shared" si="937"/>
        <v>Medium_Low</v>
      </c>
      <c r="E10975" s="138" t="str">
        <f t="shared" si="936"/>
        <v>High</v>
      </c>
      <c r="F10975" s="138" t="str">
        <f t="shared" si="941"/>
        <v>Upgraded</v>
      </c>
      <c r="G10975" s="153"/>
      <c r="H10975" s="210">
        <v>0.3765</v>
      </c>
      <c r="I10975" s="160" t="s">
        <v>55</v>
      </c>
      <c r="J10975" s="160">
        <v>0.16577</v>
      </c>
      <c r="K10975" s="160" t="s">
        <v>25</v>
      </c>
      <c r="L10975" s="154" t="str">
        <f>IF(OpenLCAbasic!K10975="CTUh", "Fill in Manually",IF(OR(K10975="Unit", K10975=""), "", INDEX(LookUps!$E$5:$E$12, MATCH(OpenLCAbasic!K10975,LookUps!$D$5:$D$12,0))))</f>
        <v>Smog Formation Potential (SFP) - kg O3 eq</v>
      </c>
      <c r="M10975" s="154" t="str">
        <f t="shared" si="938"/>
        <v>High_Medium_Low_Upgraded_Smog Formation Potential (SFP) - kg O3 eq_Aeration Tanks; wastewater treatment unit; at updated plant - US_Base_With Amendment_Aerated Static Pile</v>
      </c>
    </row>
    <row r="10976" spans="1:13" s="120" customFormat="1" x14ac:dyDescent="0.25">
      <c r="A10976" s="119"/>
      <c r="B10976" s="138" t="str">
        <f t="shared" si="939"/>
        <v>Aerated Static Pile</v>
      </c>
      <c r="C10976" s="138" t="str">
        <f t="shared" si="940"/>
        <v>Base_With Amendment</v>
      </c>
      <c r="D10976" s="138" t="str">
        <f t="shared" si="937"/>
        <v>Medium_Low</v>
      </c>
      <c r="E10976" s="138" t="str">
        <f t="shared" si="936"/>
        <v>High</v>
      </c>
      <c r="F10976" s="138" t="str">
        <f t="shared" si="941"/>
        <v>Upgraded</v>
      </c>
      <c r="G10976" s="153"/>
      <c r="H10976" s="210">
        <v>0.20630000000000001</v>
      </c>
      <c r="I10976" s="160" t="s">
        <v>435</v>
      </c>
      <c r="J10976" s="160">
        <v>9.0829999999999994E-2</v>
      </c>
      <c r="K10976" s="160" t="s">
        <v>25</v>
      </c>
      <c r="L10976" s="154" t="str">
        <f>IF(OpenLCAbasic!K10976="CTUh", "Fill in Manually",IF(OR(K10976="Unit", K10976=""), "", INDEX(LookUps!$E$5:$E$12, MATCH(OpenLCAbasic!K10976,LookUps!$D$5:$D$12,0))))</f>
        <v>Smog Formation Potential (SFP) - kg O3 eq</v>
      </c>
      <c r="M10976" s="154" t="str">
        <f t="shared" si="938"/>
        <v>High_Medium_Low_Upgraded_Smog Formation Potential (SFP) - kg O3 eq_Biosolids composting; aerated static pile; wastewater treatment unit; at updated plant - US_Base_With Amendment_Aerated Static Pile</v>
      </c>
    </row>
    <row r="10977" spans="1:13" s="120" customFormat="1" x14ac:dyDescent="0.25">
      <c r="A10977" s="119"/>
      <c r="B10977" s="138" t="str">
        <f t="shared" si="939"/>
        <v>Aerated Static Pile</v>
      </c>
      <c r="C10977" s="138" t="str">
        <f t="shared" si="940"/>
        <v>Base_With Amendment</v>
      </c>
      <c r="D10977" s="138" t="str">
        <f t="shared" si="937"/>
        <v>Medium_Low</v>
      </c>
      <c r="E10977" s="138" t="str">
        <f t="shared" si="936"/>
        <v>High</v>
      </c>
      <c r="F10977" s="138" t="str">
        <f t="shared" si="941"/>
        <v>Upgraded</v>
      </c>
      <c r="G10977" s="153"/>
      <c r="H10977" s="210">
        <v>0.10920000000000001</v>
      </c>
      <c r="I10977" s="160" t="s">
        <v>54</v>
      </c>
      <c r="J10977" s="160">
        <v>4.8070000000000002E-2</v>
      </c>
      <c r="K10977" s="160" t="s">
        <v>25</v>
      </c>
      <c r="L10977" s="154" t="str">
        <f>IF(OpenLCAbasic!K10977="CTUh", "Fill in Manually",IF(OR(K10977="Unit", K10977=""), "", INDEX(LookUps!$E$5:$E$12, MATCH(OpenLCAbasic!K10977,LookUps!$D$5:$D$12,0))))</f>
        <v>Smog Formation Potential (SFP) - kg O3 eq</v>
      </c>
      <c r="M10977" s="154" t="str">
        <f t="shared" si="938"/>
        <v>High_Medium_Low_Upgraded_Smog Formation Potential (SFP) - kg O3 eq_Clear Cove Primary Clarification; wastewater treatment unit; at updated plant - US_Base_With Amendment_Aerated Static Pile</v>
      </c>
    </row>
    <row r="10978" spans="1:13" s="120" customFormat="1" x14ac:dyDescent="0.25">
      <c r="A10978" s="119"/>
      <c r="B10978" s="138" t="str">
        <f t="shared" si="939"/>
        <v>Aerated Static Pile</v>
      </c>
      <c r="C10978" s="138" t="str">
        <f t="shared" si="940"/>
        <v>Base_With Amendment</v>
      </c>
      <c r="D10978" s="138" t="str">
        <f t="shared" si="937"/>
        <v>Medium_Low</v>
      </c>
      <c r="E10978" s="138" t="str">
        <f t="shared" si="936"/>
        <v>High</v>
      </c>
      <c r="F10978" s="138" t="str">
        <f t="shared" si="941"/>
        <v>Upgraded</v>
      </c>
      <c r="G10978" s="153"/>
      <c r="H10978" s="210">
        <v>9.5200000000000007E-2</v>
      </c>
      <c r="I10978" s="160" t="s">
        <v>58</v>
      </c>
      <c r="J10978" s="160">
        <v>4.1919999999999999E-2</v>
      </c>
      <c r="K10978" s="160" t="s">
        <v>25</v>
      </c>
      <c r="L10978" s="154" t="str">
        <f>IF(OpenLCAbasic!K10978="CTUh", "Fill in Manually",IF(OR(K10978="Unit", K10978=""), "", INDEX(LookUps!$E$5:$E$12, MATCH(OpenLCAbasic!K10978,LookUps!$D$5:$D$12,0))))</f>
        <v>Smog Formation Potential (SFP) - kg O3 eq</v>
      </c>
      <c r="M10978" s="154" t="str">
        <f t="shared" si="938"/>
        <v>High_Medium_Low_Upgraded_Smog Formation Potential (SFP) - kg O3 eq_Pre-Anoxic &amp; Swing tank; wastewater treatment unit; at updated plant - US_Base_With Amendment_Aerated Static Pile</v>
      </c>
    </row>
    <row r="10979" spans="1:13" s="120" customFormat="1" x14ac:dyDescent="0.25">
      <c r="A10979" s="119"/>
      <c r="B10979" s="138" t="str">
        <f t="shared" si="939"/>
        <v>Aerated Static Pile</v>
      </c>
      <c r="C10979" s="138" t="str">
        <f t="shared" si="940"/>
        <v>Base_With Amendment</v>
      </c>
      <c r="D10979" s="138" t="str">
        <f t="shared" si="937"/>
        <v>Medium_Low</v>
      </c>
      <c r="E10979" s="138" t="str">
        <f t="shared" si="936"/>
        <v>High</v>
      </c>
      <c r="F10979" s="138" t="str">
        <f t="shared" si="941"/>
        <v>Upgraded</v>
      </c>
      <c r="G10979" s="153"/>
      <c r="H10979" s="210">
        <v>7.5200000000000003E-2</v>
      </c>
      <c r="I10979" s="160" t="s">
        <v>53</v>
      </c>
      <c r="J10979" s="160">
        <v>3.313E-2</v>
      </c>
      <c r="K10979" s="160" t="s">
        <v>25</v>
      </c>
      <c r="L10979" s="154" t="str">
        <f>IF(OpenLCAbasic!K10979="CTUh", "Fill in Manually",IF(OR(K10979="Unit", K10979=""), "", INDEX(LookUps!$E$5:$E$12, MATCH(OpenLCAbasic!K10979,LookUps!$D$5:$D$12,0))))</f>
        <v>Smog Formation Potential (SFP) - kg O3 eq</v>
      </c>
      <c r="M10979" s="154" t="str">
        <f t="shared" si="938"/>
        <v>High_Medium_Low_Upgraded_Smog Formation Potential (SFP) - kg O3 eq_Wet Well and Sump Station; wastewater treatment unit; at updated plant - US_Base_With Amendment_Aerated Static Pile</v>
      </c>
    </row>
    <row r="10980" spans="1:13" s="120" customFormat="1" x14ac:dyDescent="0.25">
      <c r="A10980" s="119"/>
      <c r="B10980" s="138" t="str">
        <f t="shared" si="939"/>
        <v>Aerated Static Pile</v>
      </c>
      <c r="C10980" s="138" t="str">
        <f t="shared" si="940"/>
        <v>Base_With Amendment</v>
      </c>
      <c r="D10980" s="138" t="str">
        <f t="shared" si="937"/>
        <v>Medium_Low</v>
      </c>
      <c r="E10980" s="138" t="str">
        <f t="shared" si="936"/>
        <v>High</v>
      </c>
      <c r="F10980" s="138" t="str">
        <f t="shared" si="941"/>
        <v>Upgraded</v>
      </c>
      <c r="G10980" s="153"/>
      <c r="H10980" s="210">
        <v>6.9699999999999998E-2</v>
      </c>
      <c r="I10980" s="160" t="s">
        <v>167</v>
      </c>
      <c r="J10980" s="160">
        <v>3.0710000000000001E-2</v>
      </c>
      <c r="K10980" s="160" t="s">
        <v>25</v>
      </c>
      <c r="L10980" s="154" t="str">
        <f>IF(OpenLCAbasic!K10980="CTUh", "Fill in Manually",IF(OR(K10980="Unit", K10980=""), "", INDEX(LookUps!$E$5:$E$12, MATCH(OpenLCAbasic!K10980,LookUps!$D$5:$D$12,0))))</f>
        <v>Smog Formation Potential (SFP) - kg O3 eq</v>
      </c>
      <c r="M10980" s="154" t="str">
        <f t="shared" si="938"/>
        <v>High_Medium_Low_Upgraded_Smog Formation Potential (SFP) - kg O3 eq_Waste Receiving and Holding; wastewater treatment unit; at updated plant - US_Base_With Amendment_Aerated Static Pile</v>
      </c>
    </row>
    <row r="10981" spans="1:13" s="120" customFormat="1" x14ac:dyDescent="0.25">
      <c r="A10981" s="119"/>
      <c r="B10981" s="138" t="str">
        <f t="shared" si="939"/>
        <v>Aerated Static Pile</v>
      </c>
      <c r="C10981" s="138" t="str">
        <f t="shared" si="940"/>
        <v>Base_With Amendment</v>
      </c>
      <c r="D10981" s="138" t="str">
        <f t="shared" si="937"/>
        <v>Medium_Low</v>
      </c>
      <c r="E10981" s="138" t="str">
        <f t="shared" si="936"/>
        <v>High</v>
      </c>
      <c r="F10981" s="138" t="str">
        <f t="shared" si="941"/>
        <v>Upgraded</v>
      </c>
      <c r="G10981" s="153"/>
      <c r="H10981" s="210">
        <v>4.41E-2</v>
      </c>
      <c r="I10981" s="160" t="s">
        <v>147</v>
      </c>
      <c r="J10981" s="160">
        <v>1.9400000000000001E-2</v>
      </c>
      <c r="K10981" s="160" t="s">
        <v>25</v>
      </c>
      <c r="L10981" s="154" t="str">
        <f>IF(OpenLCAbasic!K10981="CTUh", "Fill in Manually",IF(OR(K10981="Unit", K10981=""), "", INDEX(LookUps!$E$5:$E$12, MATCH(OpenLCAbasic!K10981,LookUps!$D$5:$D$12,0))))</f>
        <v>Smog Formation Potential (SFP) - kg O3 eq</v>
      </c>
      <c r="M10981" s="154" t="str">
        <f t="shared" si="938"/>
        <v>High_Medium_Low_Upgraded_Smog Formation Potential (SFP) - kg O3 eq_Influent Pump Station; wastewater treatment unit; at updated plant - US_Base_With Amendment_Aerated Static Pile</v>
      </c>
    </row>
    <row r="10982" spans="1:13" s="120" customFormat="1" x14ac:dyDescent="0.25">
      <c r="A10982" s="119"/>
      <c r="B10982" s="138" t="str">
        <f t="shared" si="939"/>
        <v>Aerated Static Pile</v>
      </c>
      <c r="C10982" s="138" t="str">
        <f t="shared" si="940"/>
        <v>Base_With Amendment</v>
      </c>
      <c r="D10982" s="138" t="str">
        <f t="shared" si="937"/>
        <v>Medium_Low</v>
      </c>
      <c r="E10982" s="138" t="str">
        <f t="shared" si="936"/>
        <v>High</v>
      </c>
      <c r="F10982" s="138" t="str">
        <f t="shared" si="941"/>
        <v>Upgraded</v>
      </c>
      <c r="G10982" s="153"/>
      <c r="H10982" s="210">
        <v>2.7099999999999999E-2</v>
      </c>
      <c r="I10982" s="160" t="s">
        <v>128</v>
      </c>
      <c r="J10982" s="160">
        <v>1.192E-2</v>
      </c>
      <c r="K10982" s="160" t="s">
        <v>25</v>
      </c>
      <c r="L10982" s="154" t="str">
        <f>IF(OpenLCAbasic!K10982="CTUh", "Fill in Manually",IF(OR(K10982="Unit", K10982=""), "", INDEX(LookUps!$E$5:$E$12, MATCH(OpenLCAbasic!K10982,LookUps!$D$5:$D$12,0))))</f>
        <v>Smog Formation Potential (SFP) - kg O3 eq</v>
      </c>
      <c r="M10982" s="154" t="str">
        <f t="shared" si="938"/>
        <v>High_Medium_Low_Upgraded_Smog Formation Potential (SFP) - kg O3 eq_Wastewater collection; operation and infrastructure; m3 wastewater_Base_With Amendment_Aerated Static Pile</v>
      </c>
    </row>
    <row r="10983" spans="1:13" s="120" customFormat="1" x14ac:dyDescent="0.25">
      <c r="A10983" s="119"/>
      <c r="B10983" s="138" t="str">
        <f t="shared" si="939"/>
        <v>Aerated Static Pile</v>
      </c>
      <c r="C10983" s="138" t="str">
        <f t="shared" si="940"/>
        <v>Base_With Amendment</v>
      </c>
      <c r="D10983" s="138" t="str">
        <f t="shared" si="937"/>
        <v>Medium_Low</v>
      </c>
      <c r="E10983" s="138" t="str">
        <f t="shared" si="936"/>
        <v>High</v>
      </c>
      <c r="F10983" s="138" t="str">
        <f t="shared" si="941"/>
        <v>Upgraded</v>
      </c>
      <c r="G10983" s="153"/>
      <c r="H10983" s="210">
        <v>2.5999999999999999E-2</v>
      </c>
      <c r="I10983" s="160" t="s">
        <v>60</v>
      </c>
      <c r="J10983" s="160">
        <v>1.145E-2</v>
      </c>
      <c r="K10983" s="160" t="s">
        <v>25</v>
      </c>
      <c r="L10983" s="154" t="str">
        <f>IF(OpenLCAbasic!K10983="CTUh", "Fill in Manually",IF(OR(K10983="Unit", K10983=""), "", INDEX(LookUps!$E$5:$E$12, MATCH(OpenLCAbasic!K10983,LookUps!$D$5:$D$12,0))))</f>
        <v>Smog Formation Potential (SFP) - kg O3 eq</v>
      </c>
      <c r="M10983" s="154" t="str">
        <f t="shared" si="938"/>
        <v>High_Medium_Low_Upgraded_Smog Formation Potential (SFP) - kg O3 eq_Belt filter press; wastewater treatment unit; at updated plant - US_Base_With Amendment_Aerated Static Pile</v>
      </c>
    </row>
    <row r="10984" spans="1:13" s="120" customFormat="1" x14ac:dyDescent="0.25">
      <c r="A10984" s="119"/>
      <c r="B10984" s="138" t="str">
        <f t="shared" si="939"/>
        <v>Aerated Static Pile</v>
      </c>
      <c r="C10984" s="138" t="str">
        <f t="shared" si="940"/>
        <v>Base_With Amendment</v>
      </c>
      <c r="D10984" s="138" t="str">
        <f t="shared" si="937"/>
        <v>Medium_Low</v>
      </c>
      <c r="E10984" s="138" t="str">
        <f t="shared" si="936"/>
        <v>High</v>
      </c>
      <c r="F10984" s="138" t="str">
        <f t="shared" si="941"/>
        <v>Upgraded</v>
      </c>
      <c r="G10984" s="153"/>
      <c r="H10984" s="210">
        <v>1.5100000000000001E-2</v>
      </c>
      <c r="I10984" s="160" t="s">
        <v>57</v>
      </c>
      <c r="J10984" s="160">
        <v>6.6499999999999997E-3</v>
      </c>
      <c r="K10984" s="160" t="s">
        <v>25</v>
      </c>
      <c r="L10984" s="154" t="str">
        <f>IF(OpenLCAbasic!K10984="CTUh", "Fill in Manually",IF(OR(K10984="Unit", K10984=""), "", INDEX(LookUps!$E$5:$E$12, MATCH(OpenLCAbasic!K10984,LookUps!$D$5:$D$12,0))))</f>
        <v>Smog Formation Potential (SFP) - kg O3 eq</v>
      </c>
      <c r="M10984" s="154" t="str">
        <f t="shared" si="938"/>
        <v>High_Medium_Low_Upgraded_Smog Formation Potential (SFP) - kg O3 eq_Gravity Belt Thickener; wastewater treatment unit; at updated plant - US_Base_With Amendment_Aerated Static Pile</v>
      </c>
    </row>
    <row r="10985" spans="1:13" s="120" customFormat="1" x14ac:dyDescent="0.25">
      <c r="A10985" s="119"/>
      <c r="B10985" s="138" t="str">
        <f t="shared" si="939"/>
        <v>Aerated Static Pile</v>
      </c>
      <c r="C10985" s="138" t="str">
        <f t="shared" si="940"/>
        <v>Base_With Amendment</v>
      </c>
      <c r="D10985" s="138" t="str">
        <f t="shared" si="937"/>
        <v>Medium_Low</v>
      </c>
      <c r="E10985" s="138" t="str">
        <f t="shared" ref="E10985:E11048" si="942">IF(ISNUMBER($J10985),"High","")</f>
        <v>High</v>
      </c>
      <c r="F10985" s="138" t="str">
        <f t="shared" si="941"/>
        <v>Upgraded</v>
      </c>
      <c r="G10985" s="153"/>
      <c r="H10985" s="210">
        <v>1.1299999999999999E-2</v>
      </c>
      <c r="I10985" s="160" t="s">
        <v>59</v>
      </c>
      <c r="J10985" s="160">
        <v>4.9699999999999996E-3</v>
      </c>
      <c r="K10985" s="160" t="s">
        <v>25</v>
      </c>
      <c r="L10985" s="154" t="str">
        <f>IF(OpenLCAbasic!K10985="CTUh", "Fill in Manually",IF(OR(K10985="Unit", K10985=""), "", INDEX(LookUps!$E$5:$E$12, MATCH(OpenLCAbasic!K10985,LookUps!$D$5:$D$12,0))))</f>
        <v>Smog Formation Potential (SFP) - kg O3 eq</v>
      </c>
      <c r="M10985" s="154" t="str">
        <f t="shared" si="938"/>
        <v>High_Medium_Low_Upgraded_Smog Formation Potential (SFP) - kg O3 eq_Blend Tank; wastewater treatment unit; at updated plant - US_Base_With Amendment_Aerated Static Pile</v>
      </c>
    </row>
    <row r="10986" spans="1:13" s="120" customFormat="1" x14ac:dyDescent="0.25">
      <c r="A10986" s="119"/>
      <c r="B10986" s="138" t="str">
        <f t="shared" si="939"/>
        <v>Aerated Static Pile</v>
      </c>
      <c r="C10986" s="138" t="str">
        <f t="shared" si="940"/>
        <v>Base_With Amendment</v>
      </c>
      <c r="D10986" s="138" t="str">
        <f t="shared" si="937"/>
        <v>Medium_Low</v>
      </c>
      <c r="E10986" s="138" t="str">
        <f t="shared" si="942"/>
        <v>High</v>
      </c>
      <c r="F10986" s="138" t="str">
        <f t="shared" si="941"/>
        <v>Upgraded</v>
      </c>
      <c r="G10986" s="153"/>
      <c r="H10986" s="210">
        <v>7.7000000000000002E-3</v>
      </c>
      <c r="I10986" s="160" t="s">
        <v>48</v>
      </c>
      <c r="J10986" s="160">
        <v>3.3899999999999998E-3</v>
      </c>
      <c r="K10986" s="160" t="s">
        <v>25</v>
      </c>
      <c r="L10986" s="154" t="str">
        <f>IF(OpenLCAbasic!K10986="CTUh", "Fill in Manually",IF(OR(K10986="Unit", K10986=""), "", INDEX(LookUps!$E$5:$E$12, MATCH(OpenLCAbasic!K10986,LookUps!$D$5:$D$12,0))))</f>
        <v>Smog Formation Potential (SFP) - kg O3 eq</v>
      </c>
      <c r="M10986" s="154" t="str">
        <f t="shared" si="938"/>
        <v>High_Medium_Low_Upgraded_Smog Formation Potential (SFP) - kg O3 eq_Effluent release; wastewater treatment unit; at surface water; m3 wastewater - US_Base_With Amendment_Aerated Static Pile</v>
      </c>
    </row>
    <row r="10987" spans="1:13" s="120" customFormat="1" x14ac:dyDescent="0.25">
      <c r="A10987" s="119"/>
      <c r="B10987" s="138" t="str">
        <f t="shared" si="939"/>
        <v>Aerated Static Pile</v>
      </c>
      <c r="C10987" s="138" t="str">
        <f t="shared" si="940"/>
        <v>Base_With Amendment</v>
      </c>
      <c r="D10987" s="138" t="str">
        <f t="shared" si="937"/>
        <v>Medium_Low</v>
      </c>
      <c r="E10987" s="138" t="str">
        <f t="shared" si="942"/>
        <v>High</v>
      </c>
      <c r="F10987" s="138" t="str">
        <f t="shared" si="941"/>
        <v>Upgraded</v>
      </c>
      <c r="G10987" s="153"/>
      <c r="H10987" s="210">
        <v>5.5999999999999999E-3</v>
      </c>
      <c r="I10987" s="160" t="s">
        <v>168</v>
      </c>
      <c r="J10987" s="160">
        <v>2.4599999999999999E-3</v>
      </c>
      <c r="K10987" s="160" t="s">
        <v>25</v>
      </c>
      <c r="L10987" s="154" t="str">
        <f>IF(OpenLCAbasic!K10987="CTUh", "Fill in Manually",IF(OR(K10987="Unit", K10987=""), "", INDEX(LookUps!$E$5:$E$12, MATCH(OpenLCAbasic!K10987,LookUps!$D$5:$D$12,0))))</f>
        <v>Smog Formation Potential (SFP) - kg O3 eq</v>
      </c>
      <c r="M10987" s="154" t="str">
        <f t="shared" si="938"/>
        <v>High_Medium_Low_Upgraded_Smog Formation Potential (SFP) - kg O3 eq_ClearCove SCP; wastewater treatment unit; at updated plant - US_Base_With Amendment_Aerated Static Pile</v>
      </c>
    </row>
    <row r="10988" spans="1:13" s="120" customFormat="1" x14ac:dyDescent="0.25">
      <c r="A10988" s="119"/>
      <c r="B10988" s="138" t="str">
        <f t="shared" si="939"/>
        <v>Aerated Static Pile</v>
      </c>
      <c r="C10988" s="138" t="str">
        <f t="shared" si="940"/>
        <v>Base_With Amendment</v>
      </c>
      <c r="D10988" s="138" t="str">
        <f t="shared" si="937"/>
        <v>Medium_Low</v>
      </c>
      <c r="E10988" s="138" t="str">
        <f t="shared" si="942"/>
        <v>High</v>
      </c>
      <c r="F10988" s="138" t="str">
        <f t="shared" si="941"/>
        <v>Upgraded</v>
      </c>
      <c r="G10988" s="153"/>
      <c r="H10988" s="210">
        <v>1.1999999999999999E-3</v>
      </c>
      <c r="I10988" s="160" t="s">
        <v>148</v>
      </c>
      <c r="J10988" s="160">
        <v>5.4000000000000001E-4</v>
      </c>
      <c r="K10988" s="160" t="s">
        <v>25</v>
      </c>
      <c r="L10988" s="154" t="str">
        <f>IF(OpenLCAbasic!K10988="CTUh", "Fill in Manually",IF(OR(K10988="Unit", K10988=""), "", INDEX(LookUps!$E$5:$E$12, MATCH(OpenLCAbasic!K10988,LookUps!$D$5:$D$12,0))))</f>
        <v>Smog Formation Potential (SFP) - kg O3 eq</v>
      </c>
      <c r="M10988" s="154" t="str">
        <f t="shared" si="938"/>
        <v>High_Medium_Low_Upgraded_Smog Formation Potential (SFP) - kg O3 eq_Control Building; at upgraded wastewater treatment plant - US_Base_With Amendment_Aerated Static Pile</v>
      </c>
    </row>
    <row r="10989" spans="1:13" s="120" customFormat="1" x14ac:dyDescent="0.25">
      <c r="A10989" s="119"/>
      <c r="B10989" s="138" t="str">
        <f t="shared" si="939"/>
        <v>Aerated Static Pile</v>
      </c>
      <c r="C10989" s="138" t="str">
        <f t="shared" si="940"/>
        <v>Base_With Amendment</v>
      </c>
      <c r="D10989" s="138" t="str">
        <f t="shared" si="937"/>
        <v>Medium_Low</v>
      </c>
      <c r="E10989" s="138" t="str">
        <f t="shared" si="942"/>
        <v>High</v>
      </c>
      <c r="F10989" s="138" t="str">
        <f t="shared" si="941"/>
        <v>Upgraded</v>
      </c>
      <c r="G10989" s="153"/>
      <c r="H10989" s="210">
        <v>-9.4000000000000004E-3</v>
      </c>
      <c r="I10989" s="160" t="s">
        <v>62</v>
      </c>
      <c r="J10989" s="160">
        <v>-4.1399999999999996E-3</v>
      </c>
      <c r="K10989" s="160" t="s">
        <v>25</v>
      </c>
      <c r="L10989" s="154" t="str">
        <f>IF(OpenLCAbasic!K10989="CTUh", "Fill in Manually",IF(OR(K10989="Unit", K10989=""), "", INDEX(LookUps!$E$5:$E$12, MATCH(OpenLCAbasic!K10989,LookUps!$D$5:$D$12,0))))</f>
        <v>Smog Formation Potential (SFP) - kg O3 eq</v>
      </c>
      <c r="M10989" s="154" t="str">
        <f t="shared" si="938"/>
        <v>High_Medium_Low_Upgraded_Smog Formation Potential (SFP) - kg O3 eq_Land application of compost; wastewater treatment unit; at updated plant - US_Base_With Amendment_Aerated Static Pile</v>
      </c>
    </row>
    <row r="10990" spans="1:13" s="120" customFormat="1" x14ac:dyDescent="0.25">
      <c r="A10990" s="119"/>
      <c r="B10990" s="138" t="str">
        <f t="shared" si="939"/>
        <v>Aerated Static Pile</v>
      </c>
      <c r="C10990" s="138" t="str">
        <f t="shared" si="940"/>
        <v>Base_With Amendment</v>
      </c>
      <c r="D10990" s="138" t="str">
        <f t="shared" si="937"/>
        <v>Medium_Low</v>
      </c>
      <c r="E10990" s="138" t="str">
        <f t="shared" si="942"/>
        <v>High</v>
      </c>
      <c r="F10990" s="138" t="str">
        <f t="shared" si="941"/>
        <v>Upgraded</v>
      </c>
      <c r="G10990" s="153"/>
      <c r="H10990" s="210">
        <v>-6.0699999999999997E-2</v>
      </c>
      <c r="I10990" s="160" t="s">
        <v>149</v>
      </c>
      <c r="J10990" s="160">
        <v>-2.673E-2</v>
      </c>
      <c r="K10990" s="160" t="s">
        <v>25</v>
      </c>
      <c r="L10990" s="154" t="str">
        <f>IF(OpenLCAbasic!K10990="CTUh", "Fill in Manually",IF(OR(K10990="Unit", K10990=""), "", INDEX(LookUps!$E$5:$E$12, MATCH(OpenLCAbasic!K10990,LookUps!$D$5:$D$12,0))))</f>
        <v>Smog Formation Potential (SFP) - kg O3 eq</v>
      </c>
      <c r="M10990" s="154" t="str">
        <f t="shared" si="938"/>
        <v>High_Medium_Low_Upgraded_Smog Formation Potential (SFP) - kg O3 eq_Anaerobic Digestion; wastewater treatment unit; at updated plant - US_Base_With Amendment_Aerated Static Pile</v>
      </c>
    </row>
    <row r="10991" spans="1:13" s="120" customFormat="1" x14ac:dyDescent="0.25">
      <c r="A10991" s="119"/>
      <c r="B10991" s="138" t="str">
        <f t="shared" si="939"/>
        <v/>
      </c>
      <c r="C10991" s="138" t="str">
        <f t="shared" si="940"/>
        <v/>
      </c>
      <c r="D10991" s="138" t="str">
        <f t="shared" si="937"/>
        <v/>
      </c>
      <c r="E10991" s="138" t="str">
        <f t="shared" si="942"/>
        <v/>
      </c>
      <c r="F10991" s="138" t="str">
        <f t="shared" si="941"/>
        <v/>
      </c>
      <c r="G10991" s="153" t="s">
        <v>51</v>
      </c>
      <c r="H10991" s="160"/>
      <c r="I10991" s="160" t="s">
        <v>47</v>
      </c>
      <c r="J10991" s="160" t="s">
        <v>52</v>
      </c>
      <c r="K10991" s="160" t="s">
        <v>27</v>
      </c>
      <c r="L10991" s="154" t="str">
        <f>IF(OpenLCAbasic!K10991="CTUh", "Fill in Manually",IF(OR(K10991="Unit", K10991=""), "", INDEX(LookUps!$E$5:$E$12, MATCH(OpenLCAbasic!K10991,LookUps!$D$5:$D$12,0))))</f>
        <v/>
      </c>
      <c r="M10991" s="154" t="str">
        <f t="shared" si="938"/>
        <v>____Process__</v>
      </c>
    </row>
    <row r="10992" spans="1:13" s="120" customFormat="1" x14ac:dyDescent="0.25">
      <c r="A10992" s="119"/>
      <c r="B10992" s="138" t="str">
        <f t="shared" si="939"/>
        <v>Aerated Static Pile</v>
      </c>
      <c r="C10992" s="138" t="str">
        <f t="shared" si="940"/>
        <v>Base_With Amendment</v>
      </c>
      <c r="D10992" s="138" t="str">
        <f t="shared" si="937"/>
        <v>Medium_Low</v>
      </c>
      <c r="E10992" s="138" t="str">
        <f t="shared" si="942"/>
        <v>High</v>
      </c>
      <c r="F10992" s="138" t="str">
        <f t="shared" si="941"/>
        <v>Upgraded</v>
      </c>
      <c r="G10992" s="153"/>
      <c r="H10992" s="210">
        <v>0.51370000000000005</v>
      </c>
      <c r="I10992" s="160" t="s">
        <v>167</v>
      </c>
      <c r="J10992" s="160">
        <v>2.7999999999999998E-4</v>
      </c>
      <c r="K10992" s="160" t="s">
        <v>26</v>
      </c>
      <c r="L10992" s="154" t="str">
        <f>IF(OpenLCAbasic!K10992="CTUh", "Fill in Manually",IF(OR(K10992="Unit", K10992=""), "", INDEX(LookUps!$E$5:$E$12, MATCH(OpenLCAbasic!K10992,LookUps!$D$5:$D$12,0))))</f>
        <v>Water Use (WU) - m3 H2O</v>
      </c>
      <c r="M10992" s="154" t="str">
        <f t="shared" si="938"/>
        <v>High_Medium_Low_Upgraded_Water Use (WU) - m3 H2O_Waste Receiving and Holding; wastewater treatment unit; at updated plant - US_Base_With Amendment_Aerated Static Pile</v>
      </c>
    </row>
    <row r="10993" spans="1:13" s="120" customFormat="1" x14ac:dyDescent="0.25">
      <c r="A10993" s="119"/>
      <c r="B10993" s="138" t="str">
        <f t="shared" si="939"/>
        <v>Aerated Static Pile</v>
      </c>
      <c r="C10993" s="138" t="str">
        <f t="shared" si="940"/>
        <v>Base_With Amendment</v>
      </c>
      <c r="D10993" s="138" t="str">
        <f t="shared" si="937"/>
        <v>Medium_Low</v>
      </c>
      <c r="E10993" s="138" t="str">
        <f t="shared" si="942"/>
        <v>High</v>
      </c>
      <c r="F10993" s="138" t="str">
        <f t="shared" si="941"/>
        <v>Upgraded</v>
      </c>
      <c r="G10993" s="153"/>
      <c r="H10993" s="210">
        <v>0.33529999999999999</v>
      </c>
      <c r="I10993" s="160" t="s">
        <v>147</v>
      </c>
      <c r="J10993" s="160">
        <v>1.8000000000000001E-4</v>
      </c>
      <c r="K10993" s="160" t="s">
        <v>26</v>
      </c>
      <c r="L10993" s="154" t="str">
        <f>IF(OpenLCAbasic!K10993="CTUh", "Fill in Manually",IF(OR(K10993="Unit", K10993=""), "", INDEX(LookUps!$E$5:$E$12, MATCH(OpenLCAbasic!K10993,LookUps!$D$5:$D$12,0))))</f>
        <v>Water Use (WU) - m3 H2O</v>
      </c>
      <c r="M10993" s="154" t="str">
        <f t="shared" si="938"/>
        <v>High_Medium_Low_Upgraded_Water Use (WU) - m3 H2O_Influent Pump Station; wastewater treatment unit; at updated plant - US_Base_With Amendment_Aerated Static Pile</v>
      </c>
    </row>
    <row r="10994" spans="1:13" s="120" customFormat="1" x14ac:dyDescent="0.25">
      <c r="A10994" s="119"/>
      <c r="B10994" s="138" t="str">
        <f t="shared" si="939"/>
        <v>Aerated Static Pile</v>
      </c>
      <c r="C10994" s="138" t="str">
        <f t="shared" si="940"/>
        <v>Base_With Amendment</v>
      </c>
      <c r="D10994" s="138" t="str">
        <f t="shared" si="937"/>
        <v>Medium_Low</v>
      </c>
      <c r="E10994" s="138" t="str">
        <f t="shared" si="942"/>
        <v>High</v>
      </c>
      <c r="F10994" s="138" t="str">
        <f t="shared" si="941"/>
        <v>Upgraded</v>
      </c>
      <c r="G10994" s="153"/>
      <c r="H10994" s="210">
        <v>0.32719999999999999</v>
      </c>
      <c r="I10994" s="160" t="s">
        <v>54</v>
      </c>
      <c r="J10994" s="160">
        <v>1.8000000000000001E-4</v>
      </c>
      <c r="K10994" s="160" t="s">
        <v>26</v>
      </c>
      <c r="L10994" s="154" t="str">
        <f>IF(OpenLCAbasic!K10994="CTUh", "Fill in Manually",IF(OR(K10994="Unit", K10994=""), "", INDEX(LookUps!$E$5:$E$12, MATCH(OpenLCAbasic!K10994,LookUps!$D$5:$D$12,0))))</f>
        <v>Water Use (WU) - m3 H2O</v>
      </c>
      <c r="M10994" s="154" t="str">
        <f t="shared" si="938"/>
        <v>High_Medium_Low_Upgraded_Water Use (WU) - m3 H2O_Clear Cove Primary Clarification; wastewater treatment unit; at updated plant - US_Base_With Amendment_Aerated Static Pile</v>
      </c>
    </row>
    <row r="10995" spans="1:13" s="120" customFormat="1" x14ac:dyDescent="0.25">
      <c r="A10995" s="119"/>
      <c r="B10995" s="138" t="str">
        <f t="shared" si="939"/>
        <v>Aerated Static Pile</v>
      </c>
      <c r="C10995" s="138" t="str">
        <f t="shared" si="940"/>
        <v>Base_With Amendment</v>
      </c>
      <c r="D10995" s="138" t="str">
        <f t="shared" si="937"/>
        <v>Medium_Low</v>
      </c>
      <c r="E10995" s="138" t="str">
        <f t="shared" si="942"/>
        <v>High</v>
      </c>
      <c r="F10995" s="138" t="str">
        <f t="shared" si="941"/>
        <v>Upgraded</v>
      </c>
      <c r="G10995" s="153"/>
      <c r="H10995" s="210">
        <v>0.29680000000000001</v>
      </c>
      <c r="I10995" s="160" t="s">
        <v>55</v>
      </c>
      <c r="J10995" s="160">
        <v>1.6000000000000001E-4</v>
      </c>
      <c r="K10995" s="160" t="s">
        <v>26</v>
      </c>
      <c r="L10995" s="154" t="str">
        <f>IF(OpenLCAbasic!K10995="CTUh", "Fill in Manually",IF(OR(K10995="Unit", K10995=""), "", INDEX(LookUps!$E$5:$E$12, MATCH(OpenLCAbasic!K10995,LookUps!$D$5:$D$12,0))))</f>
        <v>Water Use (WU) - m3 H2O</v>
      </c>
      <c r="M10995" s="154" t="str">
        <f t="shared" si="938"/>
        <v>High_Medium_Low_Upgraded_Water Use (WU) - m3 H2O_Aeration Tanks; wastewater treatment unit; at updated plant - US_Base_With Amendment_Aerated Static Pile</v>
      </c>
    </row>
    <row r="10996" spans="1:13" s="120" customFormat="1" x14ac:dyDescent="0.25">
      <c r="A10996" s="119"/>
      <c r="B10996" s="138" t="str">
        <f t="shared" si="939"/>
        <v>Aerated Static Pile</v>
      </c>
      <c r="C10996" s="138" t="str">
        <f t="shared" si="940"/>
        <v>Base_With Amendment</v>
      </c>
      <c r="D10996" s="138" t="str">
        <f t="shared" si="937"/>
        <v>Medium_Low</v>
      </c>
      <c r="E10996" s="138" t="str">
        <f t="shared" si="942"/>
        <v>High</v>
      </c>
      <c r="F10996" s="138" t="str">
        <f t="shared" si="941"/>
        <v>Upgraded</v>
      </c>
      <c r="G10996" s="153"/>
      <c r="H10996" s="210">
        <v>0.27039999999999997</v>
      </c>
      <c r="I10996" s="160" t="s">
        <v>148</v>
      </c>
      <c r="J10996" s="160">
        <v>1.4999999999999999E-4</v>
      </c>
      <c r="K10996" s="160" t="s">
        <v>26</v>
      </c>
      <c r="L10996" s="154" t="str">
        <f>IF(OpenLCAbasic!K10996="CTUh", "Fill in Manually",IF(OR(K10996="Unit", K10996=""), "", INDEX(LookUps!$E$5:$E$12, MATCH(OpenLCAbasic!K10996,LookUps!$D$5:$D$12,0))))</f>
        <v>Water Use (WU) - m3 H2O</v>
      </c>
      <c r="M10996" s="154" t="str">
        <f t="shared" si="938"/>
        <v>High_Medium_Low_Upgraded_Water Use (WU) - m3 H2O_Control Building; at upgraded wastewater treatment plant - US_Base_With Amendment_Aerated Static Pile</v>
      </c>
    </row>
    <row r="10997" spans="1:13" s="120" customFormat="1" x14ac:dyDescent="0.25">
      <c r="A10997" s="119"/>
      <c r="B10997" s="138" t="str">
        <f t="shared" si="939"/>
        <v>Aerated Static Pile</v>
      </c>
      <c r="C10997" s="138" t="str">
        <f t="shared" si="940"/>
        <v>Base_With Amendment</v>
      </c>
      <c r="D10997" s="138" t="str">
        <f t="shared" si="937"/>
        <v>Medium_Low</v>
      </c>
      <c r="E10997" s="138" t="str">
        <f t="shared" si="942"/>
        <v>High</v>
      </c>
      <c r="F10997" s="138" t="str">
        <f t="shared" si="941"/>
        <v>Upgraded</v>
      </c>
      <c r="G10997" s="153"/>
      <c r="H10997" s="210">
        <v>0.12559999999999999</v>
      </c>
      <c r="I10997" s="160" t="s">
        <v>48</v>
      </c>
      <c r="J10997" s="211">
        <v>6.8836400000000004E-5</v>
      </c>
      <c r="K10997" s="160" t="s">
        <v>26</v>
      </c>
      <c r="L10997" s="154" t="str">
        <f>IF(OpenLCAbasic!K10997="CTUh", "Fill in Manually",IF(OR(K10997="Unit", K10997=""), "", INDEX(LookUps!$E$5:$E$12, MATCH(OpenLCAbasic!K10997,LookUps!$D$5:$D$12,0))))</f>
        <v>Water Use (WU) - m3 H2O</v>
      </c>
      <c r="M10997" s="154" t="str">
        <f t="shared" si="938"/>
        <v>High_Medium_Low_Upgraded_Water Use (WU) - m3 H2O_Effluent release; wastewater treatment unit; at surface water; m3 wastewater - US_Base_With Amendment_Aerated Static Pile</v>
      </c>
    </row>
    <row r="10998" spans="1:13" s="120" customFormat="1" x14ac:dyDescent="0.25">
      <c r="A10998" s="119"/>
      <c r="B10998" s="138" t="str">
        <f t="shared" si="939"/>
        <v>Aerated Static Pile</v>
      </c>
      <c r="C10998" s="138" t="str">
        <f t="shared" si="940"/>
        <v>Base_With Amendment</v>
      </c>
      <c r="D10998" s="138" t="str">
        <f t="shared" si="937"/>
        <v>Medium_Low</v>
      </c>
      <c r="E10998" s="138" t="str">
        <f t="shared" si="942"/>
        <v>High</v>
      </c>
      <c r="F10998" s="138" t="str">
        <f t="shared" si="941"/>
        <v>Upgraded</v>
      </c>
      <c r="G10998" s="153"/>
      <c r="H10998" s="210">
        <v>7.8899999999999998E-2</v>
      </c>
      <c r="I10998" s="160" t="s">
        <v>58</v>
      </c>
      <c r="J10998" s="211">
        <v>4.3235300000000003E-5</v>
      </c>
      <c r="K10998" s="160" t="s">
        <v>26</v>
      </c>
      <c r="L10998" s="154" t="str">
        <f>IF(OpenLCAbasic!K10998="CTUh", "Fill in Manually",IF(OR(K10998="Unit", K10998=""), "", INDEX(LookUps!$E$5:$E$12, MATCH(OpenLCAbasic!K10998,LookUps!$D$5:$D$12,0))))</f>
        <v>Water Use (WU) - m3 H2O</v>
      </c>
      <c r="M10998" s="154" t="str">
        <f t="shared" si="938"/>
        <v>High_Medium_Low_Upgraded_Water Use (WU) - m3 H2O_Pre-Anoxic &amp; Swing tank; wastewater treatment unit; at updated plant - US_Base_With Amendment_Aerated Static Pile</v>
      </c>
    </row>
    <row r="10999" spans="1:13" s="120" customFormat="1" x14ac:dyDescent="0.25">
      <c r="A10999" s="119"/>
      <c r="B10999" s="138" t="str">
        <f t="shared" si="939"/>
        <v>Aerated Static Pile</v>
      </c>
      <c r="C10999" s="138" t="str">
        <f t="shared" si="940"/>
        <v>Base_With Amendment</v>
      </c>
      <c r="D10999" s="138" t="str">
        <f t="shared" si="937"/>
        <v>Medium_Low</v>
      </c>
      <c r="E10999" s="138" t="str">
        <f t="shared" si="942"/>
        <v>High</v>
      </c>
      <c r="F10999" s="138" t="str">
        <f t="shared" si="941"/>
        <v>Upgraded</v>
      </c>
      <c r="G10999" s="153"/>
      <c r="H10999" s="210">
        <v>6.2399999999999997E-2</v>
      </c>
      <c r="I10999" s="160" t="s">
        <v>60</v>
      </c>
      <c r="J10999" s="211">
        <v>3.4196200000000003E-5</v>
      </c>
      <c r="K10999" s="160" t="s">
        <v>26</v>
      </c>
      <c r="L10999" s="154" t="str">
        <f>IF(OpenLCAbasic!K10999="CTUh", "Fill in Manually",IF(OR(K10999="Unit", K10999=""), "", INDEX(LookUps!$E$5:$E$12, MATCH(OpenLCAbasic!K10999,LookUps!$D$5:$D$12,0))))</f>
        <v>Water Use (WU) - m3 H2O</v>
      </c>
      <c r="M10999" s="154" t="str">
        <f t="shared" si="938"/>
        <v>High_Medium_Low_Upgraded_Water Use (WU) - m3 H2O_Belt filter press; wastewater treatment unit; at updated plant - US_Base_With Amendment_Aerated Static Pile</v>
      </c>
    </row>
    <row r="11000" spans="1:13" s="120" customFormat="1" x14ac:dyDescent="0.25">
      <c r="A11000" s="119"/>
      <c r="B11000" s="138" t="str">
        <f t="shared" si="939"/>
        <v>Aerated Static Pile</v>
      </c>
      <c r="C11000" s="138" t="str">
        <f t="shared" si="940"/>
        <v>Base_With Amendment</v>
      </c>
      <c r="D11000" s="138" t="str">
        <f t="shared" si="937"/>
        <v>Medium_Low</v>
      </c>
      <c r="E11000" s="138" t="str">
        <f t="shared" si="942"/>
        <v>High</v>
      </c>
      <c r="F11000" s="138" t="str">
        <f t="shared" si="941"/>
        <v>Upgraded</v>
      </c>
      <c r="G11000" s="153"/>
      <c r="H11000" s="210">
        <v>5.5500000000000001E-2</v>
      </c>
      <c r="I11000" s="160" t="s">
        <v>57</v>
      </c>
      <c r="J11000" s="211">
        <v>3.0408100000000001E-5</v>
      </c>
      <c r="K11000" s="160" t="s">
        <v>26</v>
      </c>
      <c r="L11000" s="154" t="str">
        <f>IF(OpenLCAbasic!K11000="CTUh", "Fill in Manually",IF(OR(K11000="Unit", K11000=""), "", INDEX(LookUps!$E$5:$E$12, MATCH(OpenLCAbasic!K11000,LookUps!$D$5:$D$12,0))))</f>
        <v>Water Use (WU) - m3 H2O</v>
      </c>
      <c r="M11000" s="154" t="str">
        <f t="shared" si="938"/>
        <v>High_Medium_Low_Upgraded_Water Use (WU) - m3 H2O_Gravity Belt Thickener; wastewater treatment unit; at updated plant - US_Base_With Amendment_Aerated Static Pile</v>
      </c>
    </row>
    <row r="11001" spans="1:13" s="120" customFormat="1" x14ac:dyDescent="0.25">
      <c r="A11001" s="119"/>
      <c r="B11001" s="138" t="str">
        <f t="shared" si="939"/>
        <v>Aerated Static Pile</v>
      </c>
      <c r="C11001" s="138" t="str">
        <f t="shared" si="940"/>
        <v>Base_With Amendment</v>
      </c>
      <c r="D11001" s="138" t="str">
        <f t="shared" ref="D11001:D11007" si="943">IF(ISNUMBER($J11001),"Medium_Low","")</f>
        <v>Medium_Low</v>
      </c>
      <c r="E11001" s="138" t="str">
        <f t="shared" si="942"/>
        <v>High</v>
      </c>
      <c r="F11001" s="138" t="str">
        <f t="shared" si="941"/>
        <v>Upgraded</v>
      </c>
      <c r="G11001" s="153"/>
      <c r="H11001" s="210">
        <v>5.45E-2</v>
      </c>
      <c r="I11001" s="160" t="s">
        <v>435</v>
      </c>
      <c r="J11001" s="211">
        <v>2.9879400000000001E-5</v>
      </c>
      <c r="K11001" s="160" t="s">
        <v>26</v>
      </c>
      <c r="L11001" s="154" t="str">
        <f>IF(OpenLCAbasic!K11001="CTUh", "Fill in Manually",IF(OR(K11001="Unit", K11001=""), "", INDEX(LookUps!$E$5:$E$12, MATCH(OpenLCAbasic!K11001,LookUps!$D$5:$D$12,0))))</f>
        <v>Water Use (WU) - m3 H2O</v>
      </c>
      <c r="M11001" s="154" t="str">
        <f t="shared" si="938"/>
        <v>High_Medium_Low_Upgraded_Water Use (WU) - m3 H2O_Biosolids composting; aerated static pile; wastewater treatment unit; at updated plant - US_Base_With Amendment_Aerated Static Pile</v>
      </c>
    </row>
    <row r="11002" spans="1:13" s="120" customFormat="1" x14ac:dyDescent="0.25">
      <c r="A11002" s="119"/>
      <c r="B11002" s="138" t="str">
        <f t="shared" si="939"/>
        <v>Aerated Static Pile</v>
      </c>
      <c r="C11002" s="138" t="str">
        <f t="shared" si="940"/>
        <v>Base_With Amendment</v>
      </c>
      <c r="D11002" s="138" t="str">
        <f t="shared" si="943"/>
        <v>Medium_Low</v>
      </c>
      <c r="E11002" s="138" t="str">
        <f t="shared" si="942"/>
        <v>High</v>
      </c>
      <c r="F11002" s="138" t="str">
        <f t="shared" si="941"/>
        <v>Upgraded</v>
      </c>
      <c r="G11002" s="153"/>
      <c r="H11002" s="210">
        <v>4.99E-2</v>
      </c>
      <c r="I11002" s="160" t="s">
        <v>149</v>
      </c>
      <c r="J11002" s="211">
        <v>2.7368600000000001E-5</v>
      </c>
      <c r="K11002" s="160" t="s">
        <v>26</v>
      </c>
      <c r="L11002" s="154" t="str">
        <f>IF(OpenLCAbasic!K11002="CTUh", "Fill in Manually",IF(OR(K11002="Unit", K11002=""), "", INDEX(LookUps!$E$5:$E$12, MATCH(OpenLCAbasic!K11002,LookUps!$D$5:$D$12,0))))</f>
        <v>Water Use (WU) - m3 H2O</v>
      </c>
      <c r="M11002" s="154" t="str">
        <f t="shared" si="938"/>
        <v>High_Medium_Low_Upgraded_Water Use (WU) - m3 H2O_Anaerobic Digestion; wastewater treatment unit; at updated plant - US_Base_With Amendment_Aerated Static Pile</v>
      </c>
    </row>
    <row r="11003" spans="1:13" s="120" customFormat="1" x14ac:dyDescent="0.25">
      <c r="A11003" s="119"/>
      <c r="B11003" s="138" t="str">
        <f t="shared" si="939"/>
        <v>Aerated Static Pile</v>
      </c>
      <c r="C11003" s="138" t="str">
        <f t="shared" si="940"/>
        <v>Base_With Amendment</v>
      </c>
      <c r="D11003" s="138" t="str">
        <f t="shared" si="943"/>
        <v>Medium_Low</v>
      </c>
      <c r="E11003" s="138" t="str">
        <f t="shared" si="942"/>
        <v>High</v>
      </c>
      <c r="F11003" s="138" t="str">
        <f t="shared" si="941"/>
        <v>Upgraded</v>
      </c>
      <c r="G11003" s="153"/>
      <c r="H11003" s="210">
        <v>3.1899999999999998E-2</v>
      </c>
      <c r="I11003" s="160" t="s">
        <v>53</v>
      </c>
      <c r="J11003" s="211">
        <v>1.75069E-5</v>
      </c>
      <c r="K11003" s="160" t="s">
        <v>26</v>
      </c>
      <c r="L11003" s="154" t="str">
        <f>IF(OpenLCAbasic!K11003="CTUh", "Fill in Manually",IF(OR(K11003="Unit", K11003=""), "", INDEX(LookUps!$E$5:$E$12, MATCH(OpenLCAbasic!K11003,LookUps!$D$5:$D$12,0))))</f>
        <v>Water Use (WU) - m3 H2O</v>
      </c>
      <c r="M11003" s="154" t="str">
        <f t="shared" si="938"/>
        <v>High_Medium_Low_Upgraded_Water Use (WU) - m3 H2O_Wet Well and Sump Station; wastewater treatment unit; at updated plant - US_Base_With Amendment_Aerated Static Pile</v>
      </c>
    </row>
    <row r="11004" spans="1:13" s="120" customFormat="1" x14ac:dyDescent="0.25">
      <c r="A11004" s="119"/>
      <c r="B11004" s="138" t="str">
        <f t="shared" si="939"/>
        <v>Aerated Static Pile</v>
      </c>
      <c r="C11004" s="138" t="str">
        <f t="shared" si="940"/>
        <v>Base_With Amendment</v>
      </c>
      <c r="D11004" s="138" t="str">
        <f t="shared" si="943"/>
        <v>Medium_Low</v>
      </c>
      <c r="E11004" s="138" t="str">
        <f t="shared" si="942"/>
        <v>High</v>
      </c>
      <c r="F11004" s="138" t="str">
        <f t="shared" si="941"/>
        <v>Upgraded</v>
      </c>
      <c r="G11004" s="153"/>
      <c r="H11004" s="210">
        <v>1.2800000000000001E-2</v>
      </c>
      <c r="I11004" s="160" t="s">
        <v>59</v>
      </c>
      <c r="J11004" s="211">
        <v>7.0179500000000003E-6</v>
      </c>
      <c r="K11004" s="160" t="s">
        <v>26</v>
      </c>
      <c r="L11004" s="154" t="str">
        <f>IF(OpenLCAbasic!K11004="CTUh", "Fill in Manually",IF(OR(K11004="Unit", K11004=""), "", INDEX(LookUps!$E$5:$E$12, MATCH(OpenLCAbasic!K11004,LookUps!$D$5:$D$12,0))))</f>
        <v>Water Use (WU) - m3 H2O</v>
      </c>
      <c r="M11004" s="154" t="str">
        <f t="shared" si="938"/>
        <v>High_Medium_Low_Upgraded_Water Use (WU) - m3 H2O_Blend Tank; wastewater treatment unit; at updated plant - US_Base_With Amendment_Aerated Static Pile</v>
      </c>
    </row>
    <row r="11005" spans="1:13" s="120" customFormat="1" x14ac:dyDescent="0.25">
      <c r="A11005" s="119"/>
      <c r="B11005" s="138" t="str">
        <f t="shared" si="939"/>
        <v>Aerated Static Pile</v>
      </c>
      <c r="C11005" s="138" t="str">
        <f t="shared" si="940"/>
        <v>Base_With Amendment</v>
      </c>
      <c r="D11005" s="138" t="str">
        <f t="shared" si="943"/>
        <v>Medium_Low</v>
      </c>
      <c r="E11005" s="138" t="str">
        <f t="shared" si="942"/>
        <v>High</v>
      </c>
      <c r="F11005" s="138" t="str">
        <f t="shared" si="941"/>
        <v>Upgraded</v>
      </c>
      <c r="G11005" s="153"/>
      <c r="H11005" s="210">
        <v>9.1999999999999998E-3</v>
      </c>
      <c r="I11005" s="160" t="s">
        <v>128</v>
      </c>
      <c r="J11005" s="211">
        <v>5.0608900000000003E-6</v>
      </c>
      <c r="K11005" s="160" t="s">
        <v>26</v>
      </c>
      <c r="L11005" s="154" t="str">
        <f>IF(OpenLCAbasic!K11005="CTUh", "Fill in Manually",IF(OR(K11005="Unit", K11005=""), "", INDEX(LookUps!$E$5:$E$12, MATCH(OpenLCAbasic!K11005,LookUps!$D$5:$D$12,0))))</f>
        <v>Water Use (WU) - m3 H2O</v>
      </c>
      <c r="M11005" s="154" t="str">
        <f t="shared" si="938"/>
        <v>High_Medium_Low_Upgraded_Water Use (WU) - m3 H2O_Wastewater collection; operation and infrastructure; m3 wastewater_Base_With Amendment_Aerated Static Pile</v>
      </c>
    </row>
    <row r="11006" spans="1:13" s="120" customFormat="1" x14ac:dyDescent="0.25">
      <c r="A11006" s="119"/>
      <c r="B11006" s="138" t="str">
        <f t="shared" si="939"/>
        <v>Aerated Static Pile</v>
      </c>
      <c r="C11006" s="138" t="str">
        <f t="shared" si="940"/>
        <v>Base_With Amendment</v>
      </c>
      <c r="D11006" s="138" t="str">
        <f t="shared" si="943"/>
        <v>Medium_Low</v>
      </c>
      <c r="E11006" s="138" t="str">
        <f t="shared" si="942"/>
        <v>High</v>
      </c>
      <c r="F11006" s="138" t="str">
        <f t="shared" si="941"/>
        <v>Upgraded</v>
      </c>
      <c r="G11006" s="153"/>
      <c r="H11006" s="210">
        <v>1.4E-3</v>
      </c>
      <c r="I11006" s="160" t="s">
        <v>168</v>
      </c>
      <c r="J11006" s="211">
        <v>7.6697000000000004E-7</v>
      </c>
      <c r="K11006" s="160" t="s">
        <v>26</v>
      </c>
      <c r="L11006" s="154" t="str">
        <f>IF(OpenLCAbasic!K11006="CTUh", "Fill in Manually",IF(OR(K11006="Unit", K11006=""), "", INDEX(LookUps!$E$5:$E$12, MATCH(OpenLCAbasic!K11006,LookUps!$D$5:$D$12,0))))</f>
        <v>Water Use (WU) - m3 H2O</v>
      </c>
      <c r="M11006" s="154" t="str">
        <f t="shared" si="938"/>
        <v>High_Medium_Low_Upgraded_Water Use (WU) - m3 H2O_ClearCove SCP; wastewater treatment unit; at updated plant - US_Base_With Amendment_Aerated Static Pile</v>
      </c>
    </row>
    <row r="11007" spans="1:13" s="120" customFormat="1" x14ac:dyDescent="0.25">
      <c r="A11007" s="119"/>
      <c r="B11007" s="138" t="str">
        <f t="shared" si="939"/>
        <v>Aerated Static Pile</v>
      </c>
      <c r="C11007" s="138" t="str">
        <f t="shared" si="940"/>
        <v>Base_With Amendment</v>
      </c>
      <c r="D11007" s="138" t="str">
        <f t="shared" si="943"/>
        <v>Medium_Low</v>
      </c>
      <c r="E11007" s="138" t="str">
        <f t="shared" si="942"/>
        <v>High</v>
      </c>
      <c r="F11007" s="138" t="str">
        <f t="shared" si="941"/>
        <v>Upgraded</v>
      </c>
      <c r="G11007" s="153"/>
      <c r="H11007" s="210">
        <v>-3.2254</v>
      </c>
      <c r="I11007" s="160" t="s">
        <v>62</v>
      </c>
      <c r="J11007" s="160">
        <v>-1.7700000000000001E-3</v>
      </c>
      <c r="K11007" s="160" t="s">
        <v>26</v>
      </c>
      <c r="L11007" s="154" t="str">
        <f>IF(OpenLCAbasic!K11007="CTUh", "Fill in Manually",IF(OR(K11007="Unit", K11007=""), "", INDEX(LookUps!$E$5:$E$12, MATCH(OpenLCAbasic!K11007,LookUps!$D$5:$D$12,0))))</f>
        <v>Water Use (WU) - m3 H2O</v>
      </c>
      <c r="M11007" s="154" t="str">
        <f t="shared" si="938"/>
        <v>High_Medium_Low_Upgraded_Water Use (WU) - m3 H2O_Land application of compost; wastewater treatment unit; at updated plant - US_Base_With Amendment_Aerated Static Pile</v>
      </c>
    </row>
    <row r="11008" spans="1:13" s="120" customFormat="1" x14ac:dyDescent="0.25">
      <c r="A11008" s="119"/>
      <c r="B11008" s="138" t="str">
        <f t="shared" si="939"/>
        <v/>
      </c>
      <c r="C11008" s="138" t="str">
        <f t="shared" si="940"/>
        <v/>
      </c>
      <c r="D11008" s="138" t="str">
        <f>IF(ISNUMBER($J11008),"Medium_Base","")</f>
        <v/>
      </c>
      <c r="E11008" s="138" t="str">
        <f t="shared" si="942"/>
        <v/>
      </c>
      <c r="F11008" s="138" t="str">
        <f t="shared" si="941"/>
        <v/>
      </c>
      <c r="G11008" s="153" t="s">
        <v>51</v>
      </c>
      <c r="H11008" s="160"/>
      <c r="I11008" s="160" t="s">
        <v>47</v>
      </c>
      <c r="J11008" s="160" t="s">
        <v>52</v>
      </c>
      <c r="K11008" s="160" t="s">
        <v>27</v>
      </c>
      <c r="L11008" s="154" t="str">
        <f>IF(OpenLCAbasic!K11008="CTUh", "Fill in Manually",IF(OR(K11008="Unit", K11008=""), "", INDEX(LookUps!$E$5:$E$12, MATCH(OpenLCAbasic!K11008,LookUps!$D$5:$D$12,0))))</f>
        <v/>
      </c>
      <c r="M11008" s="154" t="str">
        <f t="shared" si="938"/>
        <v>____Process__</v>
      </c>
    </row>
    <row r="11009" spans="1:13" s="120" customFormat="1" x14ac:dyDescent="0.25">
      <c r="A11009" s="119"/>
      <c r="B11009" s="138" t="str">
        <f t="shared" si="939"/>
        <v>Aerated Static Pile</v>
      </c>
      <c r="C11009" s="138" t="str">
        <f t="shared" si="940"/>
        <v>Base_With Amendment</v>
      </c>
      <c r="D11009" s="138" t="str">
        <f t="shared" ref="D11009:D11072" si="944">IF(ISNUMBER($J11009),"Medium_Base","")</f>
        <v>Medium_Base</v>
      </c>
      <c r="E11009" s="138" t="str">
        <f t="shared" si="942"/>
        <v>High</v>
      </c>
      <c r="F11009" s="138" t="str">
        <f t="shared" si="941"/>
        <v>Upgraded</v>
      </c>
      <c r="G11009" s="153"/>
      <c r="H11009" s="210">
        <v>0.54569999999999996</v>
      </c>
      <c r="I11009" s="160" t="s">
        <v>55</v>
      </c>
      <c r="J11009" s="160">
        <v>1.7219999999999999E-2</v>
      </c>
      <c r="K11009" s="160" t="s">
        <v>24</v>
      </c>
      <c r="L11009" s="154" t="str">
        <f>IF(OpenLCAbasic!K11009="CTUh", "Fill in Manually",IF(OR(K11009="Unit", K11009=""), "", INDEX(LookUps!$E$5:$E$12, MATCH(OpenLCAbasic!K11009,LookUps!$D$5:$D$12,0))))</f>
        <v>Acidification Potential (AP) - kg SO2 eq</v>
      </c>
      <c r="M11009" s="154" t="str">
        <f t="shared" si="938"/>
        <v>High_Medium_Base_Upgraded_Acidification Potential (AP) - kg SO2 eq_Aeration Tanks; wastewater treatment unit; at updated plant - US_Base_With Amendment_Aerated Static Pile</v>
      </c>
    </row>
    <row r="11010" spans="1:13" s="120" customFormat="1" x14ac:dyDescent="0.25">
      <c r="A11010" s="119"/>
      <c r="B11010" s="138" t="str">
        <f t="shared" si="939"/>
        <v>Aerated Static Pile</v>
      </c>
      <c r="C11010" s="138" t="str">
        <f t="shared" si="940"/>
        <v>Base_With Amendment</v>
      </c>
      <c r="D11010" s="138" t="str">
        <f t="shared" si="944"/>
        <v>Medium_Base</v>
      </c>
      <c r="E11010" s="138" t="str">
        <f t="shared" si="942"/>
        <v>High</v>
      </c>
      <c r="F11010" s="138" t="str">
        <f t="shared" si="941"/>
        <v>Upgraded</v>
      </c>
      <c r="G11010" s="153"/>
      <c r="H11010" s="210">
        <v>0.29399999999999998</v>
      </c>
      <c r="I11010" s="160" t="s">
        <v>435</v>
      </c>
      <c r="J11010" s="160">
        <v>9.2800000000000001E-3</v>
      </c>
      <c r="K11010" s="160" t="s">
        <v>24</v>
      </c>
      <c r="L11010" s="154" t="str">
        <f>IF(OpenLCAbasic!K11010="CTUh", "Fill in Manually",IF(OR(K11010="Unit", K11010=""), "", INDEX(LookUps!$E$5:$E$12, MATCH(OpenLCAbasic!K11010,LookUps!$D$5:$D$12,0))))</f>
        <v>Acidification Potential (AP) - kg SO2 eq</v>
      </c>
      <c r="M11010" s="154" t="str">
        <f t="shared" si="938"/>
        <v>High_Medium_Base_Upgraded_Acidification Potential (AP) - kg SO2 eq_Biosolids composting; aerated static pile; wastewater treatment unit; at updated plant - US_Base_With Amendment_Aerated Static Pile</v>
      </c>
    </row>
    <row r="11011" spans="1:13" s="120" customFormat="1" x14ac:dyDescent="0.25">
      <c r="A11011" s="119"/>
      <c r="B11011" s="138" t="str">
        <f t="shared" si="939"/>
        <v>Aerated Static Pile</v>
      </c>
      <c r="C11011" s="138" t="str">
        <f t="shared" si="940"/>
        <v>Base_With Amendment</v>
      </c>
      <c r="D11011" s="138" t="str">
        <f t="shared" si="944"/>
        <v>Medium_Base</v>
      </c>
      <c r="E11011" s="138" t="str">
        <f t="shared" si="942"/>
        <v>High</v>
      </c>
      <c r="F11011" s="138" t="str">
        <f t="shared" si="941"/>
        <v>Upgraded</v>
      </c>
      <c r="G11011" s="153"/>
      <c r="H11011" s="210">
        <v>0.1578</v>
      </c>
      <c r="I11011" s="160" t="s">
        <v>54</v>
      </c>
      <c r="J11011" s="160">
        <v>4.9800000000000001E-3</v>
      </c>
      <c r="K11011" s="160" t="s">
        <v>24</v>
      </c>
      <c r="L11011" s="154" t="str">
        <f>IF(OpenLCAbasic!K11011="CTUh", "Fill in Manually",IF(OR(K11011="Unit", K11011=""), "", INDEX(LookUps!$E$5:$E$12, MATCH(OpenLCAbasic!K11011,LookUps!$D$5:$D$12,0))))</f>
        <v>Acidification Potential (AP) - kg SO2 eq</v>
      </c>
      <c r="M11011" s="154" t="str">
        <f t="shared" si="938"/>
        <v>High_Medium_Base_Upgraded_Acidification Potential (AP) - kg SO2 eq_Clear Cove Primary Clarification; wastewater treatment unit; at updated plant - US_Base_With Amendment_Aerated Static Pile</v>
      </c>
    </row>
    <row r="11012" spans="1:13" s="120" customFormat="1" x14ac:dyDescent="0.25">
      <c r="A11012" s="119"/>
      <c r="B11012" s="138" t="str">
        <f t="shared" si="939"/>
        <v>Aerated Static Pile</v>
      </c>
      <c r="C11012" s="138" t="str">
        <f t="shared" si="940"/>
        <v>Base_With Amendment</v>
      </c>
      <c r="D11012" s="138" t="str">
        <f t="shared" si="944"/>
        <v>Medium_Base</v>
      </c>
      <c r="E11012" s="138" t="str">
        <f t="shared" si="942"/>
        <v>High</v>
      </c>
      <c r="F11012" s="138" t="str">
        <f t="shared" si="941"/>
        <v>Upgraded</v>
      </c>
      <c r="G11012" s="153"/>
      <c r="H11012" s="210">
        <v>0.13769999999999999</v>
      </c>
      <c r="I11012" s="160" t="s">
        <v>58</v>
      </c>
      <c r="J11012" s="160">
        <v>4.3499999999999997E-3</v>
      </c>
      <c r="K11012" s="160" t="s">
        <v>24</v>
      </c>
      <c r="L11012" s="154" t="str">
        <f>IF(OpenLCAbasic!K11012="CTUh", "Fill in Manually",IF(OR(K11012="Unit", K11012=""), "", INDEX(LookUps!$E$5:$E$12, MATCH(OpenLCAbasic!K11012,LookUps!$D$5:$D$12,0))))</f>
        <v>Acidification Potential (AP) - kg SO2 eq</v>
      </c>
      <c r="M11012" s="154" t="str">
        <f t="shared" ref="M11012:M11075" si="945">CONCATENATE(E11012,"_",D11012,"_",F11012,"_",L11012, "_",I11012,"_", C11012,"_", B11012)</f>
        <v>High_Medium_Base_Upgraded_Acidification Potential (AP) - kg SO2 eq_Pre-Anoxic &amp; Swing tank; wastewater treatment unit; at updated plant - US_Base_With Amendment_Aerated Static Pile</v>
      </c>
    </row>
    <row r="11013" spans="1:13" s="120" customFormat="1" x14ac:dyDescent="0.25">
      <c r="A11013" s="119"/>
      <c r="B11013" s="138" t="str">
        <f t="shared" si="939"/>
        <v>Aerated Static Pile</v>
      </c>
      <c r="C11013" s="138" t="str">
        <f t="shared" si="940"/>
        <v>Base_With Amendment</v>
      </c>
      <c r="D11013" s="138" t="str">
        <f t="shared" si="944"/>
        <v>Medium_Base</v>
      </c>
      <c r="E11013" s="138" t="str">
        <f t="shared" si="942"/>
        <v>High</v>
      </c>
      <c r="F11013" s="138" t="str">
        <f t="shared" si="941"/>
        <v>Upgraded</v>
      </c>
      <c r="G11013" s="153"/>
      <c r="H11013" s="210">
        <v>0.1094</v>
      </c>
      <c r="I11013" s="160" t="s">
        <v>53</v>
      </c>
      <c r="J11013" s="160">
        <v>3.4499999999999999E-3</v>
      </c>
      <c r="K11013" s="160" t="s">
        <v>24</v>
      </c>
      <c r="L11013" s="154" t="str">
        <f>IF(OpenLCAbasic!K11013="CTUh", "Fill in Manually",IF(OR(K11013="Unit", K11013=""), "", INDEX(LookUps!$E$5:$E$12, MATCH(OpenLCAbasic!K11013,LookUps!$D$5:$D$12,0))))</f>
        <v>Acidification Potential (AP) - kg SO2 eq</v>
      </c>
      <c r="M11013" s="154" t="str">
        <f t="shared" si="945"/>
        <v>High_Medium_Base_Upgraded_Acidification Potential (AP) - kg SO2 eq_Wet Well and Sump Station; wastewater treatment unit; at updated plant - US_Base_With Amendment_Aerated Static Pile</v>
      </c>
    </row>
    <row r="11014" spans="1:13" s="120" customFormat="1" x14ac:dyDescent="0.25">
      <c r="A11014" s="119"/>
      <c r="B11014" s="138" t="str">
        <f t="shared" si="939"/>
        <v>Aerated Static Pile</v>
      </c>
      <c r="C11014" s="138" t="str">
        <f t="shared" si="940"/>
        <v>Base_With Amendment</v>
      </c>
      <c r="D11014" s="138" t="str">
        <f t="shared" si="944"/>
        <v>Medium_Base</v>
      </c>
      <c r="E11014" s="138" t="str">
        <f t="shared" si="942"/>
        <v>High</v>
      </c>
      <c r="F11014" s="138" t="str">
        <f t="shared" si="941"/>
        <v>Upgraded</v>
      </c>
      <c r="G11014" s="153"/>
      <c r="H11014" s="210">
        <v>0.1027</v>
      </c>
      <c r="I11014" s="160" t="s">
        <v>62</v>
      </c>
      <c r="J11014" s="160">
        <v>3.2399999999999998E-3</v>
      </c>
      <c r="K11014" s="160" t="s">
        <v>24</v>
      </c>
      <c r="L11014" s="154" t="str">
        <f>IF(OpenLCAbasic!K11014="CTUh", "Fill in Manually",IF(OR(K11014="Unit", K11014=""), "", INDEX(LookUps!$E$5:$E$12, MATCH(OpenLCAbasic!K11014,LookUps!$D$5:$D$12,0))))</f>
        <v>Acidification Potential (AP) - kg SO2 eq</v>
      </c>
      <c r="M11014" s="154" t="str">
        <f t="shared" si="945"/>
        <v>High_Medium_Base_Upgraded_Acidification Potential (AP) - kg SO2 eq_Land application of compost; wastewater treatment unit; at updated plant - US_Base_With Amendment_Aerated Static Pile</v>
      </c>
    </row>
    <row r="11015" spans="1:13" s="120" customFormat="1" x14ac:dyDescent="0.25">
      <c r="A11015" s="119"/>
      <c r="B11015" s="138" t="str">
        <f t="shared" si="939"/>
        <v>Aerated Static Pile</v>
      </c>
      <c r="C11015" s="138" t="str">
        <f t="shared" si="940"/>
        <v>Base_With Amendment</v>
      </c>
      <c r="D11015" s="138" t="str">
        <f t="shared" si="944"/>
        <v>Medium_Base</v>
      </c>
      <c r="E11015" s="138" t="str">
        <f t="shared" si="942"/>
        <v>High</v>
      </c>
      <c r="F11015" s="138" t="str">
        <f t="shared" si="941"/>
        <v>Upgraded</v>
      </c>
      <c r="G11015" s="153"/>
      <c r="H11015" s="210">
        <v>8.0199999999999994E-2</v>
      </c>
      <c r="I11015" s="160" t="s">
        <v>167</v>
      </c>
      <c r="J11015" s="160">
        <v>2.5300000000000001E-3</v>
      </c>
      <c r="K11015" s="160" t="s">
        <v>24</v>
      </c>
      <c r="L11015" s="154" t="str">
        <f>IF(OpenLCAbasic!K11015="CTUh", "Fill in Manually",IF(OR(K11015="Unit", K11015=""), "", INDEX(LookUps!$E$5:$E$12, MATCH(OpenLCAbasic!K11015,LookUps!$D$5:$D$12,0))))</f>
        <v>Acidification Potential (AP) - kg SO2 eq</v>
      </c>
      <c r="M11015" s="154" t="str">
        <f t="shared" si="945"/>
        <v>High_Medium_Base_Upgraded_Acidification Potential (AP) - kg SO2 eq_Waste Receiving and Holding; wastewater treatment unit; at updated plant - US_Base_With Amendment_Aerated Static Pile</v>
      </c>
    </row>
    <row r="11016" spans="1:13" s="120" customFormat="1" x14ac:dyDescent="0.25">
      <c r="A11016" s="119"/>
      <c r="B11016" s="138" t="str">
        <f t="shared" si="939"/>
        <v>Aerated Static Pile</v>
      </c>
      <c r="C11016" s="138" t="str">
        <f t="shared" si="940"/>
        <v>Base_With Amendment</v>
      </c>
      <c r="D11016" s="138" t="str">
        <f t="shared" si="944"/>
        <v>Medium_Base</v>
      </c>
      <c r="E11016" s="138" t="str">
        <f t="shared" si="942"/>
        <v>High</v>
      </c>
      <c r="F11016" s="138" t="str">
        <f t="shared" si="941"/>
        <v>Upgraded</v>
      </c>
      <c r="G11016" s="153"/>
      <c r="H11016" s="210">
        <v>6.5600000000000006E-2</v>
      </c>
      <c r="I11016" s="160" t="s">
        <v>147</v>
      </c>
      <c r="J11016" s="160">
        <v>2.0699999999999998E-3</v>
      </c>
      <c r="K11016" s="160" t="s">
        <v>24</v>
      </c>
      <c r="L11016" s="154" t="str">
        <f>IF(OpenLCAbasic!K11016="CTUh", "Fill in Manually",IF(OR(K11016="Unit", K11016=""), "", INDEX(LookUps!$E$5:$E$12, MATCH(OpenLCAbasic!K11016,LookUps!$D$5:$D$12,0))))</f>
        <v>Acidification Potential (AP) - kg SO2 eq</v>
      </c>
      <c r="M11016" s="154" t="str">
        <f t="shared" si="945"/>
        <v>High_Medium_Base_Upgraded_Acidification Potential (AP) - kg SO2 eq_Influent Pump Station; wastewater treatment unit; at updated plant - US_Base_With Amendment_Aerated Static Pile</v>
      </c>
    </row>
    <row r="11017" spans="1:13" s="120" customFormat="1" x14ac:dyDescent="0.25">
      <c r="A11017" s="119"/>
      <c r="B11017" s="138" t="str">
        <f t="shared" si="939"/>
        <v>Aerated Static Pile</v>
      </c>
      <c r="C11017" s="138" t="str">
        <f t="shared" si="940"/>
        <v>Base_With Amendment</v>
      </c>
      <c r="D11017" s="138" t="str">
        <f t="shared" si="944"/>
        <v>Medium_Base</v>
      </c>
      <c r="E11017" s="138" t="str">
        <f t="shared" si="942"/>
        <v>High</v>
      </c>
      <c r="F11017" s="138" t="str">
        <f t="shared" si="941"/>
        <v>Upgraded</v>
      </c>
      <c r="G11017" s="153"/>
      <c r="H11017" s="210">
        <v>3.9100000000000003E-2</v>
      </c>
      <c r="I11017" s="160" t="s">
        <v>128</v>
      </c>
      <c r="J11017" s="160">
        <v>1.23E-3</v>
      </c>
      <c r="K11017" s="160" t="s">
        <v>24</v>
      </c>
      <c r="L11017" s="154" t="str">
        <f>IF(OpenLCAbasic!K11017="CTUh", "Fill in Manually",IF(OR(K11017="Unit", K11017=""), "", INDEX(LookUps!$E$5:$E$12, MATCH(OpenLCAbasic!K11017,LookUps!$D$5:$D$12,0))))</f>
        <v>Acidification Potential (AP) - kg SO2 eq</v>
      </c>
      <c r="M11017" s="154" t="str">
        <f t="shared" si="945"/>
        <v>High_Medium_Base_Upgraded_Acidification Potential (AP) - kg SO2 eq_Wastewater collection; operation and infrastructure; m3 wastewater_Base_With Amendment_Aerated Static Pile</v>
      </c>
    </row>
    <row r="11018" spans="1:13" s="120" customFormat="1" x14ac:dyDescent="0.25">
      <c r="A11018" s="119"/>
      <c r="B11018" s="138" t="str">
        <f t="shared" ref="B11018:B11081" si="946">IF(F11018="Legacy","n.a.",IF(F11018="","","Aerated Static Pile"))</f>
        <v>Aerated Static Pile</v>
      </c>
      <c r="C11018" s="138" t="str">
        <f t="shared" ref="C11018:C11081" si="947">IF(ISNUMBER($J11018),"Base_With Amendment","")</f>
        <v>Base_With Amendment</v>
      </c>
      <c r="D11018" s="138" t="str">
        <f t="shared" si="944"/>
        <v>Medium_Base</v>
      </c>
      <c r="E11018" s="138" t="str">
        <f t="shared" si="942"/>
        <v>High</v>
      </c>
      <c r="F11018" s="138" t="str">
        <f t="shared" ref="F11018:F11081" si="948">IF(ISNUMBER(J11018),"Upgraded","")</f>
        <v>Upgraded</v>
      </c>
      <c r="G11018" s="153"/>
      <c r="H11018" s="210">
        <v>3.3799999999999997E-2</v>
      </c>
      <c r="I11018" s="160" t="s">
        <v>60</v>
      </c>
      <c r="J11018" s="160">
        <v>1.07E-3</v>
      </c>
      <c r="K11018" s="160" t="s">
        <v>24</v>
      </c>
      <c r="L11018" s="154" t="str">
        <f>IF(OpenLCAbasic!K11018="CTUh", "Fill in Manually",IF(OR(K11018="Unit", K11018=""), "", INDEX(LookUps!$E$5:$E$12, MATCH(OpenLCAbasic!K11018,LookUps!$D$5:$D$12,0))))</f>
        <v>Acidification Potential (AP) - kg SO2 eq</v>
      </c>
      <c r="M11018" s="154" t="str">
        <f t="shared" si="945"/>
        <v>High_Medium_Base_Upgraded_Acidification Potential (AP) - kg SO2 eq_Belt filter press; wastewater treatment unit; at updated plant - US_Base_With Amendment_Aerated Static Pile</v>
      </c>
    </row>
    <row r="11019" spans="1:13" s="120" customFormat="1" x14ac:dyDescent="0.25">
      <c r="A11019" s="119"/>
      <c r="B11019" s="138" t="str">
        <f t="shared" si="946"/>
        <v>Aerated Static Pile</v>
      </c>
      <c r="C11019" s="138" t="str">
        <f t="shared" si="947"/>
        <v>Base_With Amendment</v>
      </c>
      <c r="D11019" s="138" t="str">
        <f t="shared" si="944"/>
        <v>Medium_Base</v>
      </c>
      <c r="E11019" s="138" t="str">
        <f t="shared" si="942"/>
        <v>High</v>
      </c>
      <c r="F11019" s="138" t="str">
        <f t="shared" si="948"/>
        <v>Upgraded</v>
      </c>
      <c r="G11019" s="153"/>
      <c r="H11019" s="210">
        <v>2.23E-2</v>
      </c>
      <c r="I11019" s="160" t="s">
        <v>57</v>
      </c>
      <c r="J11019" s="160">
        <v>6.9999999999999999E-4</v>
      </c>
      <c r="K11019" s="160" t="s">
        <v>24</v>
      </c>
      <c r="L11019" s="154" t="str">
        <f>IF(OpenLCAbasic!K11019="CTUh", "Fill in Manually",IF(OR(K11019="Unit", K11019=""), "", INDEX(LookUps!$E$5:$E$12, MATCH(OpenLCAbasic!K11019,LookUps!$D$5:$D$12,0))))</f>
        <v>Acidification Potential (AP) - kg SO2 eq</v>
      </c>
      <c r="M11019" s="154" t="str">
        <f t="shared" si="945"/>
        <v>High_Medium_Base_Upgraded_Acidification Potential (AP) - kg SO2 eq_Gravity Belt Thickener; wastewater treatment unit; at updated plant - US_Base_With Amendment_Aerated Static Pile</v>
      </c>
    </row>
    <row r="11020" spans="1:13" s="120" customFormat="1" x14ac:dyDescent="0.25">
      <c r="A11020" s="119"/>
      <c r="B11020" s="138" t="str">
        <f t="shared" si="946"/>
        <v>Aerated Static Pile</v>
      </c>
      <c r="C11020" s="138" t="str">
        <f t="shared" si="947"/>
        <v>Base_With Amendment</v>
      </c>
      <c r="D11020" s="138" t="str">
        <f t="shared" si="944"/>
        <v>Medium_Base</v>
      </c>
      <c r="E11020" s="138" t="str">
        <f t="shared" si="942"/>
        <v>High</v>
      </c>
      <c r="F11020" s="138" t="str">
        <f t="shared" si="948"/>
        <v>Upgraded</v>
      </c>
      <c r="G11020" s="153"/>
      <c r="H11020" s="210">
        <v>1.6400000000000001E-2</v>
      </c>
      <c r="I11020" s="160" t="s">
        <v>59</v>
      </c>
      <c r="J11020" s="160">
        <v>5.1999999999999995E-4</v>
      </c>
      <c r="K11020" s="160" t="s">
        <v>24</v>
      </c>
      <c r="L11020" s="154" t="str">
        <f>IF(OpenLCAbasic!K11020="CTUh", "Fill in Manually",IF(OR(K11020="Unit", K11020=""), "", INDEX(LookUps!$E$5:$E$12, MATCH(OpenLCAbasic!K11020,LookUps!$D$5:$D$12,0))))</f>
        <v>Acidification Potential (AP) - kg SO2 eq</v>
      </c>
      <c r="M11020" s="154" t="str">
        <f t="shared" si="945"/>
        <v>High_Medium_Base_Upgraded_Acidification Potential (AP) - kg SO2 eq_Blend Tank; wastewater treatment unit; at updated plant - US_Base_With Amendment_Aerated Static Pile</v>
      </c>
    </row>
    <row r="11021" spans="1:13" s="120" customFormat="1" x14ac:dyDescent="0.25">
      <c r="A11021" s="119"/>
      <c r="B11021" s="138" t="str">
        <f t="shared" si="946"/>
        <v>Aerated Static Pile</v>
      </c>
      <c r="C11021" s="138" t="str">
        <f t="shared" si="947"/>
        <v>Base_With Amendment</v>
      </c>
      <c r="D11021" s="138" t="str">
        <f t="shared" si="944"/>
        <v>Medium_Base</v>
      </c>
      <c r="E11021" s="138" t="str">
        <f t="shared" si="942"/>
        <v>High</v>
      </c>
      <c r="F11021" s="138" t="str">
        <f t="shared" si="948"/>
        <v>Upgraded</v>
      </c>
      <c r="G11021" s="153"/>
      <c r="H11021" s="210">
        <v>1.0999999999999999E-2</v>
      </c>
      <c r="I11021" s="160" t="s">
        <v>48</v>
      </c>
      <c r="J11021" s="160">
        <v>3.5E-4</v>
      </c>
      <c r="K11021" s="160" t="s">
        <v>24</v>
      </c>
      <c r="L11021" s="154" t="str">
        <f>IF(OpenLCAbasic!K11021="CTUh", "Fill in Manually",IF(OR(K11021="Unit", K11021=""), "", INDEX(LookUps!$E$5:$E$12, MATCH(OpenLCAbasic!K11021,LookUps!$D$5:$D$12,0))))</f>
        <v>Acidification Potential (AP) - kg SO2 eq</v>
      </c>
      <c r="M11021" s="154" t="str">
        <f t="shared" si="945"/>
        <v>High_Medium_Base_Upgraded_Acidification Potential (AP) - kg SO2 eq_Effluent release; wastewater treatment unit; at surface water; m3 wastewater - US_Base_With Amendment_Aerated Static Pile</v>
      </c>
    </row>
    <row r="11022" spans="1:13" s="120" customFormat="1" x14ac:dyDescent="0.25">
      <c r="A11022" s="119"/>
      <c r="B11022" s="138" t="str">
        <f t="shared" si="946"/>
        <v>Aerated Static Pile</v>
      </c>
      <c r="C11022" s="138" t="str">
        <f t="shared" si="947"/>
        <v>Base_With Amendment</v>
      </c>
      <c r="D11022" s="138" t="str">
        <f t="shared" si="944"/>
        <v>Medium_Base</v>
      </c>
      <c r="E11022" s="138" t="str">
        <f t="shared" si="942"/>
        <v>High</v>
      </c>
      <c r="F11022" s="138" t="str">
        <f t="shared" si="948"/>
        <v>Upgraded</v>
      </c>
      <c r="G11022" s="153"/>
      <c r="H11022" s="210">
        <v>8.0999999999999996E-3</v>
      </c>
      <c r="I11022" s="160" t="s">
        <v>168</v>
      </c>
      <c r="J11022" s="160">
        <v>2.5999999999999998E-4</v>
      </c>
      <c r="K11022" s="160" t="s">
        <v>24</v>
      </c>
      <c r="L11022" s="154" t="str">
        <f>IF(OpenLCAbasic!K11022="CTUh", "Fill in Manually",IF(OR(K11022="Unit", K11022=""), "", INDEX(LookUps!$E$5:$E$12, MATCH(OpenLCAbasic!K11022,LookUps!$D$5:$D$12,0))))</f>
        <v>Acidification Potential (AP) - kg SO2 eq</v>
      </c>
      <c r="M11022" s="154" t="str">
        <f t="shared" si="945"/>
        <v>High_Medium_Base_Upgraded_Acidification Potential (AP) - kg SO2 eq_ClearCove SCP; wastewater treatment unit; at updated plant - US_Base_With Amendment_Aerated Static Pile</v>
      </c>
    </row>
    <row r="11023" spans="1:13" s="120" customFormat="1" x14ac:dyDescent="0.25">
      <c r="A11023" s="119"/>
      <c r="B11023" s="138" t="str">
        <f t="shared" si="946"/>
        <v>Aerated Static Pile</v>
      </c>
      <c r="C11023" s="138" t="str">
        <f t="shared" si="947"/>
        <v>Base_With Amendment</v>
      </c>
      <c r="D11023" s="138" t="str">
        <f t="shared" si="944"/>
        <v>Medium_Base</v>
      </c>
      <c r="E11023" s="138" t="str">
        <f t="shared" si="942"/>
        <v>High</v>
      </c>
      <c r="F11023" s="138" t="str">
        <f t="shared" si="948"/>
        <v>Upgraded</v>
      </c>
      <c r="G11023" s="153"/>
      <c r="H11023" s="210">
        <v>1.2999999999999999E-3</v>
      </c>
      <c r="I11023" s="160" t="s">
        <v>148</v>
      </c>
      <c r="J11023" s="211">
        <v>4.0354700000000002E-5</v>
      </c>
      <c r="K11023" s="160" t="s">
        <v>24</v>
      </c>
      <c r="L11023" s="154" t="str">
        <f>IF(OpenLCAbasic!K11023="CTUh", "Fill in Manually",IF(OR(K11023="Unit", K11023=""), "", INDEX(LookUps!$E$5:$E$12, MATCH(OpenLCAbasic!K11023,LookUps!$D$5:$D$12,0))))</f>
        <v>Acidification Potential (AP) - kg SO2 eq</v>
      </c>
      <c r="M11023" s="154" t="str">
        <f t="shared" si="945"/>
        <v>High_Medium_Base_Upgraded_Acidification Potential (AP) - kg SO2 eq_Control Building; at upgraded wastewater treatment plant - US_Base_With Amendment_Aerated Static Pile</v>
      </c>
    </row>
    <row r="11024" spans="1:13" s="120" customFormat="1" x14ac:dyDescent="0.25">
      <c r="A11024" s="119"/>
      <c r="B11024" s="138" t="str">
        <f t="shared" si="946"/>
        <v>Aerated Static Pile</v>
      </c>
      <c r="C11024" s="138" t="str">
        <f t="shared" si="947"/>
        <v>Base_With Amendment</v>
      </c>
      <c r="D11024" s="138" t="str">
        <f t="shared" si="944"/>
        <v>Medium_Base</v>
      </c>
      <c r="E11024" s="138" t="str">
        <f t="shared" si="942"/>
        <v>High</v>
      </c>
      <c r="F11024" s="138" t="str">
        <f t="shared" si="948"/>
        <v>Upgraded</v>
      </c>
      <c r="G11024" s="153"/>
      <c r="H11024" s="210">
        <v>-0.62490000000000001</v>
      </c>
      <c r="I11024" s="160" t="s">
        <v>149</v>
      </c>
      <c r="J11024" s="160">
        <v>-1.9720000000000001E-2</v>
      </c>
      <c r="K11024" s="160" t="s">
        <v>24</v>
      </c>
      <c r="L11024" s="154" t="str">
        <f>IF(OpenLCAbasic!K11024="CTUh", "Fill in Manually",IF(OR(K11024="Unit", K11024=""), "", INDEX(LookUps!$E$5:$E$12, MATCH(OpenLCAbasic!K11024,LookUps!$D$5:$D$12,0))))</f>
        <v>Acidification Potential (AP) - kg SO2 eq</v>
      </c>
      <c r="M11024" s="154" t="str">
        <f t="shared" si="945"/>
        <v>High_Medium_Base_Upgraded_Acidification Potential (AP) - kg SO2 eq_Anaerobic Digestion; wastewater treatment unit; at updated plant - US_Base_With Amendment_Aerated Static Pile</v>
      </c>
    </row>
    <row r="11025" spans="1:13" s="120" customFormat="1" x14ac:dyDescent="0.25">
      <c r="A11025" s="119"/>
      <c r="B11025" s="138" t="str">
        <f t="shared" si="946"/>
        <v/>
      </c>
      <c r="C11025" s="138" t="str">
        <f t="shared" si="947"/>
        <v/>
      </c>
      <c r="D11025" s="138" t="str">
        <f t="shared" si="944"/>
        <v/>
      </c>
      <c r="E11025" s="138" t="str">
        <f t="shared" si="942"/>
        <v/>
      </c>
      <c r="F11025" s="138" t="str">
        <f t="shared" si="948"/>
        <v/>
      </c>
      <c r="G11025" s="153" t="s">
        <v>51</v>
      </c>
      <c r="H11025" s="160"/>
      <c r="I11025" s="160" t="s">
        <v>47</v>
      </c>
      <c r="J11025" s="160" t="s">
        <v>52</v>
      </c>
      <c r="K11025" s="160" t="s">
        <v>27</v>
      </c>
      <c r="L11025" s="154" t="str">
        <f>IF(OpenLCAbasic!K11025="CTUh", "Fill in Manually",IF(OR(K11025="Unit", K11025=""), "", INDEX(LookUps!$E$5:$E$12, MATCH(OpenLCAbasic!K11025,LookUps!$D$5:$D$12,0))))</f>
        <v/>
      </c>
      <c r="M11025" s="154" t="str">
        <f t="shared" si="945"/>
        <v>____Process__</v>
      </c>
    </row>
    <row r="11026" spans="1:13" s="120" customFormat="1" x14ac:dyDescent="0.25">
      <c r="A11026" s="119"/>
      <c r="B11026" s="138" t="str">
        <f t="shared" si="946"/>
        <v>Aerated Static Pile</v>
      </c>
      <c r="C11026" s="138" t="str">
        <f t="shared" si="947"/>
        <v>Base_With Amendment</v>
      </c>
      <c r="D11026" s="138" t="str">
        <f t="shared" si="944"/>
        <v>Medium_Base</v>
      </c>
      <c r="E11026" s="138" t="str">
        <f t="shared" si="942"/>
        <v>High</v>
      </c>
      <c r="F11026" s="138" t="str">
        <f t="shared" si="948"/>
        <v>Upgraded</v>
      </c>
      <c r="G11026" s="153"/>
      <c r="H11026" s="210">
        <v>0.78639999999999999</v>
      </c>
      <c r="I11026" s="160" t="s">
        <v>167</v>
      </c>
      <c r="J11026" s="160">
        <v>4.2789599999999997</v>
      </c>
      <c r="K11026" s="160" t="s">
        <v>15</v>
      </c>
      <c r="L11026" s="154" t="str">
        <f>IF(OpenLCAbasic!K11026="CTUh", "Fill in Manually",IF(OR(K11026="Unit", K11026=""), "", INDEX(LookUps!$E$5:$E$12, MATCH(OpenLCAbasic!K11026,LookUps!$D$5:$D$12,0))))</f>
        <v>Cumulative Energy Demand (CED) - MJ</v>
      </c>
      <c r="M11026" s="154" t="str">
        <f t="shared" si="945"/>
        <v>High_Medium_Base_Upgraded_Cumulative Energy Demand (CED) - MJ_Waste Receiving and Holding; wastewater treatment unit; at updated plant - US_Base_With Amendment_Aerated Static Pile</v>
      </c>
    </row>
    <row r="11027" spans="1:13" s="120" customFormat="1" x14ac:dyDescent="0.25">
      <c r="A11027" s="119"/>
      <c r="B11027" s="138" t="str">
        <f t="shared" si="946"/>
        <v>Aerated Static Pile</v>
      </c>
      <c r="C11027" s="138" t="str">
        <f t="shared" si="947"/>
        <v>Base_With Amendment</v>
      </c>
      <c r="D11027" s="138" t="str">
        <f t="shared" si="944"/>
        <v>Medium_Base</v>
      </c>
      <c r="E11027" s="138" t="str">
        <f t="shared" si="942"/>
        <v>High</v>
      </c>
      <c r="F11027" s="138" t="str">
        <f t="shared" si="948"/>
        <v>Upgraded</v>
      </c>
      <c r="G11027" s="153"/>
      <c r="H11027" s="210">
        <v>0.64929999999999999</v>
      </c>
      <c r="I11027" s="160" t="s">
        <v>55</v>
      </c>
      <c r="J11027" s="160">
        <v>3.5330499999999998</v>
      </c>
      <c r="K11027" s="160" t="s">
        <v>15</v>
      </c>
      <c r="L11027" s="154" t="str">
        <f>IF(OpenLCAbasic!K11027="CTUh", "Fill in Manually",IF(OR(K11027="Unit", K11027=""), "", INDEX(LookUps!$E$5:$E$12, MATCH(OpenLCAbasic!K11027,LookUps!$D$5:$D$12,0))))</f>
        <v>Cumulative Energy Demand (CED) - MJ</v>
      </c>
      <c r="M11027" s="154" t="str">
        <f t="shared" si="945"/>
        <v>High_Medium_Base_Upgraded_Cumulative Energy Demand (CED) - MJ_Aeration Tanks; wastewater treatment unit; at updated plant - US_Base_With Amendment_Aerated Static Pile</v>
      </c>
    </row>
    <row r="11028" spans="1:13" s="120" customFormat="1" x14ac:dyDescent="0.25">
      <c r="A11028" s="119"/>
      <c r="B11028" s="138" t="str">
        <f t="shared" si="946"/>
        <v>Aerated Static Pile</v>
      </c>
      <c r="C11028" s="138" t="str">
        <f t="shared" si="947"/>
        <v>Base_With Amendment</v>
      </c>
      <c r="D11028" s="138" t="str">
        <f t="shared" si="944"/>
        <v>Medium_Base</v>
      </c>
      <c r="E11028" s="138" t="str">
        <f t="shared" si="942"/>
        <v>High</v>
      </c>
      <c r="F11028" s="138" t="str">
        <f t="shared" si="948"/>
        <v>Upgraded</v>
      </c>
      <c r="G11028" s="153"/>
      <c r="H11028" s="210">
        <v>0.31680000000000003</v>
      </c>
      <c r="I11028" s="160" t="s">
        <v>435</v>
      </c>
      <c r="J11028" s="160">
        <v>1.72374</v>
      </c>
      <c r="K11028" s="160" t="s">
        <v>15</v>
      </c>
      <c r="L11028" s="154" t="str">
        <f>IF(OpenLCAbasic!K11028="CTUh", "Fill in Manually",IF(OR(K11028="Unit", K11028=""), "", INDEX(LookUps!$E$5:$E$12, MATCH(OpenLCAbasic!K11028,LookUps!$D$5:$D$12,0))))</f>
        <v>Cumulative Energy Demand (CED) - MJ</v>
      </c>
      <c r="M11028" s="154" t="str">
        <f t="shared" si="945"/>
        <v>High_Medium_Base_Upgraded_Cumulative Energy Demand (CED) - MJ_Biosolids composting; aerated static pile; wastewater treatment unit; at updated plant - US_Base_With Amendment_Aerated Static Pile</v>
      </c>
    </row>
    <row r="11029" spans="1:13" s="120" customFormat="1" x14ac:dyDescent="0.25">
      <c r="A11029" s="119"/>
      <c r="B11029" s="138" t="str">
        <f t="shared" si="946"/>
        <v>Aerated Static Pile</v>
      </c>
      <c r="C11029" s="138" t="str">
        <f t="shared" si="947"/>
        <v>Base_With Amendment</v>
      </c>
      <c r="D11029" s="138" t="str">
        <f t="shared" si="944"/>
        <v>Medium_Base</v>
      </c>
      <c r="E11029" s="138" t="str">
        <f t="shared" si="942"/>
        <v>High</v>
      </c>
      <c r="F11029" s="138" t="str">
        <f t="shared" si="948"/>
        <v>Upgraded</v>
      </c>
      <c r="G11029" s="153"/>
      <c r="H11029" s="210">
        <v>0.2137</v>
      </c>
      <c r="I11029" s="160" t="s">
        <v>54</v>
      </c>
      <c r="J11029" s="160">
        <v>1.16289</v>
      </c>
      <c r="K11029" s="160" t="s">
        <v>15</v>
      </c>
      <c r="L11029" s="154" t="str">
        <f>IF(OpenLCAbasic!K11029="CTUh", "Fill in Manually",IF(OR(K11029="Unit", K11029=""), "", INDEX(LookUps!$E$5:$E$12, MATCH(OpenLCAbasic!K11029,LookUps!$D$5:$D$12,0))))</f>
        <v>Cumulative Energy Demand (CED) - MJ</v>
      </c>
      <c r="M11029" s="154" t="str">
        <f t="shared" si="945"/>
        <v>High_Medium_Base_Upgraded_Cumulative Energy Demand (CED) - MJ_Clear Cove Primary Clarification; wastewater treatment unit; at updated plant - US_Base_With Amendment_Aerated Static Pile</v>
      </c>
    </row>
    <row r="11030" spans="1:13" s="120" customFormat="1" x14ac:dyDescent="0.25">
      <c r="A11030" s="119"/>
      <c r="B11030" s="138" t="str">
        <f t="shared" si="946"/>
        <v>Aerated Static Pile</v>
      </c>
      <c r="C11030" s="138" t="str">
        <f t="shared" si="947"/>
        <v>Base_With Amendment</v>
      </c>
      <c r="D11030" s="138" t="str">
        <f t="shared" si="944"/>
        <v>Medium_Base</v>
      </c>
      <c r="E11030" s="138" t="str">
        <f t="shared" si="942"/>
        <v>High</v>
      </c>
      <c r="F11030" s="138" t="str">
        <f t="shared" si="948"/>
        <v>Upgraded</v>
      </c>
      <c r="G11030" s="153"/>
      <c r="H11030" s="210">
        <v>0.16300000000000001</v>
      </c>
      <c r="I11030" s="160" t="s">
        <v>58</v>
      </c>
      <c r="J11030" s="160">
        <v>0.88705000000000001</v>
      </c>
      <c r="K11030" s="160" t="s">
        <v>15</v>
      </c>
      <c r="L11030" s="154" t="str">
        <f>IF(OpenLCAbasic!K11030="CTUh", "Fill in Manually",IF(OR(K11030="Unit", K11030=""), "", INDEX(LookUps!$E$5:$E$12, MATCH(OpenLCAbasic!K11030,LookUps!$D$5:$D$12,0))))</f>
        <v>Cumulative Energy Demand (CED) - MJ</v>
      </c>
      <c r="M11030" s="154" t="str">
        <f t="shared" si="945"/>
        <v>High_Medium_Base_Upgraded_Cumulative Energy Demand (CED) - MJ_Pre-Anoxic &amp; Swing tank; wastewater treatment unit; at updated plant - US_Base_With Amendment_Aerated Static Pile</v>
      </c>
    </row>
    <row r="11031" spans="1:13" s="120" customFormat="1" x14ac:dyDescent="0.25">
      <c r="A11031" s="119"/>
      <c r="B11031" s="138" t="str">
        <f t="shared" si="946"/>
        <v>Aerated Static Pile</v>
      </c>
      <c r="C11031" s="138" t="str">
        <f t="shared" si="947"/>
        <v>Base_With Amendment</v>
      </c>
      <c r="D11031" s="138" t="str">
        <f t="shared" si="944"/>
        <v>Medium_Base</v>
      </c>
      <c r="E11031" s="138" t="str">
        <f t="shared" si="942"/>
        <v>High</v>
      </c>
      <c r="F11031" s="138" t="str">
        <f t="shared" si="948"/>
        <v>Upgraded</v>
      </c>
      <c r="G11031" s="153"/>
      <c r="H11031" s="210">
        <v>0.1623</v>
      </c>
      <c r="I11031" s="160" t="s">
        <v>147</v>
      </c>
      <c r="J11031" s="160">
        <v>0.88297000000000003</v>
      </c>
      <c r="K11031" s="160" t="s">
        <v>15</v>
      </c>
      <c r="L11031" s="154" t="str">
        <f>IF(OpenLCAbasic!K11031="CTUh", "Fill in Manually",IF(OR(K11031="Unit", K11031=""), "", INDEX(LookUps!$E$5:$E$12, MATCH(OpenLCAbasic!K11031,LookUps!$D$5:$D$12,0))))</f>
        <v>Cumulative Energy Demand (CED) - MJ</v>
      </c>
      <c r="M11031" s="154" t="str">
        <f t="shared" si="945"/>
        <v>High_Medium_Base_Upgraded_Cumulative Energy Demand (CED) - MJ_Influent Pump Station; wastewater treatment unit; at updated plant - US_Base_With Amendment_Aerated Static Pile</v>
      </c>
    </row>
    <row r="11032" spans="1:13" s="120" customFormat="1" x14ac:dyDescent="0.25">
      <c r="A11032" s="119"/>
      <c r="B11032" s="138" t="str">
        <f t="shared" si="946"/>
        <v>Aerated Static Pile</v>
      </c>
      <c r="C11032" s="138" t="str">
        <f t="shared" si="947"/>
        <v>Base_With Amendment</v>
      </c>
      <c r="D11032" s="138" t="str">
        <f t="shared" si="944"/>
        <v>Medium_Base</v>
      </c>
      <c r="E11032" s="138" t="str">
        <f t="shared" si="942"/>
        <v>High</v>
      </c>
      <c r="F11032" s="138" t="str">
        <f t="shared" si="948"/>
        <v>Upgraded</v>
      </c>
      <c r="G11032" s="153"/>
      <c r="H11032" s="210">
        <v>0.128</v>
      </c>
      <c r="I11032" s="160" t="s">
        <v>53</v>
      </c>
      <c r="J11032" s="160">
        <v>0.69645000000000001</v>
      </c>
      <c r="K11032" s="160" t="s">
        <v>15</v>
      </c>
      <c r="L11032" s="154" t="str">
        <f>IF(OpenLCAbasic!K11032="CTUh", "Fill in Manually",IF(OR(K11032="Unit", K11032=""), "", INDEX(LookUps!$E$5:$E$12, MATCH(OpenLCAbasic!K11032,LookUps!$D$5:$D$12,0))))</f>
        <v>Cumulative Energy Demand (CED) - MJ</v>
      </c>
      <c r="M11032" s="154" t="str">
        <f t="shared" si="945"/>
        <v>High_Medium_Base_Upgraded_Cumulative Energy Demand (CED) - MJ_Wet Well and Sump Station; wastewater treatment unit; at updated plant - US_Base_With Amendment_Aerated Static Pile</v>
      </c>
    </row>
    <row r="11033" spans="1:13" s="120" customFormat="1" x14ac:dyDescent="0.25">
      <c r="A11033" s="119"/>
      <c r="B11033" s="138" t="str">
        <f t="shared" si="946"/>
        <v>Aerated Static Pile</v>
      </c>
      <c r="C11033" s="138" t="str">
        <f t="shared" si="947"/>
        <v>Base_With Amendment</v>
      </c>
      <c r="D11033" s="138" t="str">
        <f t="shared" si="944"/>
        <v>Medium_Base</v>
      </c>
      <c r="E11033" s="138" t="str">
        <f t="shared" si="942"/>
        <v>High</v>
      </c>
      <c r="F11033" s="138" t="str">
        <f t="shared" si="948"/>
        <v>Upgraded</v>
      </c>
      <c r="G11033" s="153"/>
      <c r="H11033" s="210">
        <v>7.3200000000000001E-2</v>
      </c>
      <c r="I11033" s="160" t="s">
        <v>60</v>
      </c>
      <c r="J11033" s="160">
        <v>0.39804</v>
      </c>
      <c r="K11033" s="160" t="s">
        <v>15</v>
      </c>
      <c r="L11033" s="154" t="str">
        <f>IF(OpenLCAbasic!K11033="CTUh", "Fill in Manually",IF(OR(K11033="Unit", K11033=""), "", INDEX(LookUps!$E$5:$E$12, MATCH(OpenLCAbasic!K11033,LookUps!$D$5:$D$12,0))))</f>
        <v>Cumulative Energy Demand (CED) - MJ</v>
      </c>
      <c r="M11033" s="154" t="str">
        <f t="shared" si="945"/>
        <v>High_Medium_Base_Upgraded_Cumulative Energy Demand (CED) - MJ_Belt filter press; wastewater treatment unit; at updated plant - US_Base_With Amendment_Aerated Static Pile</v>
      </c>
    </row>
    <row r="11034" spans="1:13" s="120" customFormat="1" x14ac:dyDescent="0.25">
      <c r="A11034" s="119"/>
      <c r="B11034" s="138" t="str">
        <f t="shared" si="946"/>
        <v>Aerated Static Pile</v>
      </c>
      <c r="C11034" s="138" t="str">
        <f t="shared" si="947"/>
        <v>Base_With Amendment</v>
      </c>
      <c r="D11034" s="138" t="str">
        <f t="shared" si="944"/>
        <v>Medium_Base</v>
      </c>
      <c r="E11034" s="138" t="str">
        <f t="shared" si="942"/>
        <v>High</v>
      </c>
      <c r="F11034" s="138" t="str">
        <f t="shared" si="948"/>
        <v>Upgraded</v>
      </c>
      <c r="G11034" s="153"/>
      <c r="H11034" s="210">
        <v>6.1400000000000003E-2</v>
      </c>
      <c r="I11034" s="160" t="s">
        <v>57</v>
      </c>
      <c r="J11034" s="160">
        <v>0.33404</v>
      </c>
      <c r="K11034" s="160" t="s">
        <v>15</v>
      </c>
      <c r="L11034" s="154" t="str">
        <f>IF(OpenLCAbasic!K11034="CTUh", "Fill in Manually",IF(OR(K11034="Unit", K11034=""), "", INDEX(LookUps!$E$5:$E$12, MATCH(OpenLCAbasic!K11034,LookUps!$D$5:$D$12,0))))</f>
        <v>Cumulative Energy Demand (CED) - MJ</v>
      </c>
      <c r="M11034" s="154" t="str">
        <f t="shared" si="945"/>
        <v>High_Medium_Base_Upgraded_Cumulative Energy Demand (CED) - MJ_Gravity Belt Thickener; wastewater treatment unit; at updated plant - US_Base_With Amendment_Aerated Static Pile</v>
      </c>
    </row>
    <row r="11035" spans="1:13" s="120" customFormat="1" x14ac:dyDescent="0.25">
      <c r="A11035" s="119"/>
      <c r="B11035" s="138" t="str">
        <f t="shared" si="946"/>
        <v>Aerated Static Pile</v>
      </c>
      <c r="C11035" s="138" t="str">
        <f t="shared" si="947"/>
        <v>Base_With Amendment</v>
      </c>
      <c r="D11035" s="138" t="str">
        <f t="shared" si="944"/>
        <v>Medium_Base</v>
      </c>
      <c r="E11035" s="138" t="str">
        <f t="shared" si="942"/>
        <v>High</v>
      </c>
      <c r="F11035" s="138" t="str">
        <f t="shared" si="948"/>
        <v>Upgraded</v>
      </c>
      <c r="G11035" s="153"/>
      <c r="H11035" s="210">
        <v>4.7100000000000003E-2</v>
      </c>
      <c r="I11035" s="160" t="s">
        <v>128</v>
      </c>
      <c r="J11035" s="160">
        <v>0.25606000000000001</v>
      </c>
      <c r="K11035" s="160" t="s">
        <v>15</v>
      </c>
      <c r="L11035" s="154" t="str">
        <f>IF(OpenLCAbasic!K11035="CTUh", "Fill in Manually",IF(OR(K11035="Unit", K11035=""), "", INDEX(LookUps!$E$5:$E$12, MATCH(OpenLCAbasic!K11035,LookUps!$D$5:$D$12,0))))</f>
        <v>Cumulative Energy Demand (CED) - MJ</v>
      </c>
      <c r="M11035" s="154" t="str">
        <f t="shared" si="945"/>
        <v>High_Medium_Base_Upgraded_Cumulative Energy Demand (CED) - MJ_Wastewater collection; operation and infrastructure; m3 wastewater_Base_With Amendment_Aerated Static Pile</v>
      </c>
    </row>
    <row r="11036" spans="1:13" s="120" customFormat="1" x14ac:dyDescent="0.25">
      <c r="A11036" s="119"/>
      <c r="B11036" s="138" t="str">
        <f t="shared" si="946"/>
        <v>Aerated Static Pile</v>
      </c>
      <c r="C11036" s="138" t="str">
        <f t="shared" si="947"/>
        <v>Base_With Amendment</v>
      </c>
      <c r="D11036" s="138" t="str">
        <f t="shared" si="944"/>
        <v>Medium_Base</v>
      </c>
      <c r="E11036" s="138" t="str">
        <f t="shared" si="942"/>
        <v>High</v>
      </c>
      <c r="F11036" s="138" t="str">
        <f t="shared" si="948"/>
        <v>Upgraded</v>
      </c>
      <c r="G11036" s="153"/>
      <c r="H11036" s="210">
        <v>2.6800000000000001E-2</v>
      </c>
      <c r="I11036" s="160" t="s">
        <v>148</v>
      </c>
      <c r="J11036" s="160">
        <v>0.14599000000000001</v>
      </c>
      <c r="K11036" s="160" t="s">
        <v>15</v>
      </c>
      <c r="L11036" s="154" t="str">
        <f>IF(OpenLCAbasic!K11036="CTUh", "Fill in Manually",IF(OR(K11036="Unit", K11036=""), "", INDEX(LookUps!$E$5:$E$12, MATCH(OpenLCAbasic!K11036,LookUps!$D$5:$D$12,0))))</f>
        <v>Cumulative Energy Demand (CED) - MJ</v>
      </c>
      <c r="M11036" s="154" t="str">
        <f t="shared" si="945"/>
        <v>High_Medium_Base_Upgraded_Cumulative Energy Demand (CED) - MJ_Control Building; at upgraded wastewater treatment plant - US_Base_With Amendment_Aerated Static Pile</v>
      </c>
    </row>
    <row r="11037" spans="1:13" s="120" customFormat="1" x14ac:dyDescent="0.25">
      <c r="A11037" s="119"/>
      <c r="B11037" s="138" t="str">
        <f t="shared" si="946"/>
        <v>Aerated Static Pile</v>
      </c>
      <c r="C11037" s="138" t="str">
        <f t="shared" si="947"/>
        <v>Base_With Amendment</v>
      </c>
      <c r="D11037" s="138" t="str">
        <f t="shared" si="944"/>
        <v>Medium_Base</v>
      </c>
      <c r="E11037" s="138" t="str">
        <f t="shared" si="942"/>
        <v>High</v>
      </c>
      <c r="F11037" s="138" t="str">
        <f t="shared" si="948"/>
        <v>Upgraded</v>
      </c>
      <c r="G11037" s="153"/>
      <c r="H11037" s="210">
        <v>2.4500000000000001E-2</v>
      </c>
      <c r="I11037" s="160" t="s">
        <v>48</v>
      </c>
      <c r="J11037" s="160">
        <v>0.13321</v>
      </c>
      <c r="K11037" s="160" t="s">
        <v>15</v>
      </c>
      <c r="L11037" s="154" t="str">
        <f>IF(OpenLCAbasic!K11037="CTUh", "Fill in Manually",IF(OR(K11037="Unit", K11037=""), "", INDEX(LookUps!$E$5:$E$12, MATCH(OpenLCAbasic!K11037,LookUps!$D$5:$D$12,0))))</f>
        <v>Cumulative Energy Demand (CED) - MJ</v>
      </c>
      <c r="M11037" s="154" t="str">
        <f t="shared" si="945"/>
        <v>High_Medium_Base_Upgraded_Cumulative Energy Demand (CED) - MJ_Effluent release; wastewater treatment unit; at surface water; m3 wastewater - US_Base_With Amendment_Aerated Static Pile</v>
      </c>
    </row>
    <row r="11038" spans="1:13" s="120" customFormat="1" x14ac:dyDescent="0.25">
      <c r="A11038" s="119"/>
      <c r="B11038" s="138" t="str">
        <f t="shared" si="946"/>
        <v>Aerated Static Pile</v>
      </c>
      <c r="C11038" s="138" t="str">
        <f t="shared" si="947"/>
        <v>Base_With Amendment</v>
      </c>
      <c r="D11038" s="138" t="str">
        <f t="shared" si="944"/>
        <v>Medium_Base</v>
      </c>
      <c r="E11038" s="138" t="str">
        <f t="shared" si="942"/>
        <v>High</v>
      </c>
      <c r="F11038" s="138" t="str">
        <f t="shared" si="948"/>
        <v>Upgraded</v>
      </c>
      <c r="G11038" s="153"/>
      <c r="H11038" s="210">
        <v>1.9599999999999999E-2</v>
      </c>
      <c r="I11038" s="160" t="s">
        <v>59</v>
      </c>
      <c r="J11038" s="160">
        <v>0.10638</v>
      </c>
      <c r="K11038" s="160" t="s">
        <v>15</v>
      </c>
      <c r="L11038" s="154" t="str">
        <f>IF(OpenLCAbasic!K11038="CTUh", "Fill in Manually",IF(OR(K11038="Unit", K11038=""), "", INDEX(LookUps!$E$5:$E$12, MATCH(OpenLCAbasic!K11038,LookUps!$D$5:$D$12,0))))</f>
        <v>Cumulative Energy Demand (CED) - MJ</v>
      </c>
      <c r="M11038" s="154" t="str">
        <f t="shared" si="945"/>
        <v>High_Medium_Base_Upgraded_Cumulative Energy Demand (CED) - MJ_Blend Tank; wastewater treatment unit; at updated plant - US_Base_With Amendment_Aerated Static Pile</v>
      </c>
    </row>
    <row r="11039" spans="1:13" s="120" customFormat="1" x14ac:dyDescent="0.25">
      <c r="A11039" s="119"/>
      <c r="B11039" s="138" t="str">
        <f t="shared" si="946"/>
        <v>Aerated Static Pile</v>
      </c>
      <c r="C11039" s="138" t="str">
        <f t="shared" si="947"/>
        <v>Base_With Amendment</v>
      </c>
      <c r="D11039" s="138" t="str">
        <f t="shared" si="944"/>
        <v>Medium_Base</v>
      </c>
      <c r="E11039" s="138" t="str">
        <f t="shared" si="942"/>
        <v>High</v>
      </c>
      <c r="F11039" s="138" t="str">
        <f t="shared" si="948"/>
        <v>Upgraded</v>
      </c>
      <c r="G11039" s="153"/>
      <c r="H11039" s="210">
        <v>9.4000000000000004E-3</v>
      </c>
      <c r="I11039" s="160" t="s">
        <v>168</v>
      </c>
      <c r="J11039" s="160">
        <v>5.0930000000000003E-2</v>
      </c>
      <c r="K11039" s="160" t="s">
        <v>15</v>
      </c>
      <c r="L11039" s="154" t="str">
        <f>IF(OpenLCAbasic!K11039="CTUh", "Fill in Manually",IF(OR(K11039="Unit", K11039=""), "", INDEX(LookUps!$E$5:$E$12, MATCH(OpenLCAbasic!K11039,LookUps!$D$5:$D$12,0))))</f>
        <v>Cumulative Energy Demand (CED) - MJ</v>
      </c>
      <c r="M11039" s="154" t="str">
        <f t="shared" si="945"/>
        <v>High_Medium_Base_Upgraded_Cumulative Energy Demand (CED) - MJ_ClearCove SCP; wastewater treatment unit; at updated plant - US_Base_With Amendment_Aerated Static Pile</v>
      </c>
    </row>
    <row r="11040" spans="1:13" s="120" customFormat="1" x14ac:dyDescent="0.25">
      <c r="A11040" s="119"/>
      <c r="B11040" s="138" t="str">
        <f t="shared" si="946"/>
        <v>Aerated Static Pile</v>
      </c>
      <c r="C11040" s="138" t="str">
        <f t="shared" si="947"/>
        <v>Base_With Amendment</v>
      </c>
      <c r="D11040" s="138" t="str">
        <f t="shared" si="944"/>
        <v>Medium_Base</v>
      </c>
      <c r="E11040" s="138" t="str">
        <f t="shared" si="942"/>
        <v>High</v>
      </c>
      <c r="F11040" s="138" t="str">
        <f t="shared" si="948"/>
        <v>Upgraded</v>
      </c>
      <c r="G11040" s="153"/>
      <c r="H11040" s="210">
        <v>-0.1048</v>
      </c>
      <c r="I11040" s="160" t="s">
        <v>62</v>
      </c>
      <c r="J11040" s="160">
        <v>-0.56996999999999998</v>
      </c>
      <c r="K11040" s="160" t="s">
        <v>15</v>
      </c>
      <c r="L11040" s="154" t="str">
        <f>IF(OpenLCAbasic!K11040="CTUh", "Fill in Manually",IF(OR(K11040="Unit", K11040=""), "", INDEX(LookUps!$E$5:$E$12, MATCH(OpenLCAbasic!K11040,LookUps!$D$5:$D$12,0))))</f>
        <v>Cumulative Energy Demand (CED) - MJ</v>
      </c>
      <c r="M11040" s="154" t="str">
        <f t="shared" si="945"/>
        <v>High_Medium_Base_Upgraded_Cumulative Energy Demand (CED) - MJ_Land application of compost; wastewater treatment unit; at updated plant - US_Base_With Amendment_Aerated Static Pile</v>
      </c>
    </row>
    <row r="11041" spans="1:13" s="120" customFormat="1" x14ac:dyDescent="0.25">
      <c r="A11041" s="119"/>
      <c r="B11041" s="138" t="str">
        <f t="shared" si="946"/>
        <v>Aerated Static Pile</v>
      </c>
      <c r="C11041" s="138" t="str">
        <f t="shared" si="947"/>
        <v>Base_With Amendment</v>
      </c>
      <c r="D11041" s="138" t="str">
        <f t="shared" si="944"/>
        <v>Medium_Base</v>
      </c>
      <c r="E11041" s="138" t="str">
        <f t="shared" si="942"/>
        <v>High</v>
      </c>
      <c r="F11041" s="138" t="str">
        <f t="shared" si="948"/>
        <v>Upgraded</v>
      </c>
      <c r="G11041" s="153"/>
      <c r="H11041" s="210">
        <v>-1.5767</v>
      </c>
      <c r="I11041" s="160" t="s">
        <v>149</v>
      </c>
      <c r="J11041" s="160">
        <v>-8.5788899999999995</v>
      </c>
      <c r="K11041" s="160" t="s">
        <v>15</v>
      </c>
      <c r="L11041" s="154" t="str">
        <f>IF(OpenLCAbasic!K11041="CTUh", "Fill in Manually",IF(OR(K11041="Unit", K11041=""), "", INDEX(LookUps!$E$5:$E$12, MATCH(OpenLCAbasic!K11041,LookUps!$D$5:$D$12,0))))</f>
        <v>Cumulative Energy Demand (CED) - MJ</v>
      </c>
      <c r="M11041" s="154" t="str">
        <f t="shared" si="945"/>
        <v>High_Medium_Base_Upgraded_Cumulative Energy Demand (CED) - MJ_Anaerobic Digestion; wastewater treatment unit; at updated plant - US_Base_With Amendment_Aerated Static Pile</v>
      </c>
    </row>
    <row r="11042" spans="1:13" s="120" customFormat="1" x14ac:dyDescent="0.25">
      <c r="A11042" s="119"/>
      <c r="B11042" s="138" t="str">
        <f t="shared" si="946"/>
        <v/>
      </c>
      <c r="C11042" s="138" t="str">
        <f t="shared" si="947"/>
        <v/>
      </c>
      <c r="D11042" s="138" t="str">
        <f t="shared" si="944"/>
        <v/>
      </c>
      <c r="E11042" s="138" t="str">
        <f t="shared" si="942"/>
        <v/>
      </c>
      <c r="F11042" s="138" t="str">
        <f t="shared" si="948"/>
        <v/>
      </c>
      <c r="G11042" s="153" t="s">
        <v>51</v>
      </c>
      <c r="H11042" s="160"/>
      <c r="I11042" s="160" t="s">
        <v>47</v>
      </c>
      <c r="J11042" s="160" t="s">
        <v>52</v>
      </c>
      <c r="K11042" s="160" t="s">
        <v>27</v>
      </c>
      <c r="L11042" s="154" t="str">
        <f>IF(OpenLCAbasic!K11042="CTUh", "Fill in Manually",IF(OR(K11042="Unit", K11042=""), "", INDEX(LookUps!$E$5:$E$12, MATCH(OpenLCAbasic!K11042,LookUps!$D$5:$D$12,0))))</f>
        <v/>
      </c>
      <c r="M11042" s="154" t="str">
        <f t="shared" si="945"/>
        <v>____Process__</v>
      </c>
    </row>
    <row r="11043" spans="1:13" s="120" customFormat="1" x14ac:dyDescent="0.25">
      <c r="A11043" s="119"/>
      <c r="B11043" s="138" t="str">
        <f t="shared" si="946"/>
        <v>Aerated Static Pile</v>
      </c>
      <c r="C11043" s="138" t="str">
        <f t="shared" si="947"/>
        <v>Base_With Amendment</v>
      </c>
      <c r="D11043" s="138" t="str">
        <f t="shared" si="944"/>
        <v>Medium_Base</v>
      </c>
      <c r="E11043" s="138" t="str">
        <f t="shared" si="942"/>
        <v>High</v>
      </c>
      <c r="F11043" s="138" t="str">
        <f t="shared" si="948"/>
        <v>Upgraded</v>
      </c>
      <c r="G11043" s="153"/>
      <c r="H11043" s="210">
        <v>0.74060000000000004</v>
      </c>
      <c r="I11043" s="160" t="s">
        <v>48</v>
      </c>
      <c r="J11043" s="160">
        <v>1.1610000000000001E-2</v>
      </c>
      <c r="K11043" s="160" t="s">
        <v>13</v>
      </c>
      <c r="L11043" s="154" t="str">
        <f>IF(OpenLCAbasic!K11043="CTUh", "Fill in Manually",IF(OR(K11043="Unit", K11043=""), "", INDEX(LookUps!$E$5:$E$12, MATCH(OpenLCAbasic!K11043,LookUps!$D$5:$D$12,0))))</f>
        <v>Eutrophication Potential (EP) - kg N eq</v>
      </c>
      <c r="M11043" s="154" t="str">
        <f t="shared" si="945"/>
        <v>High_Medium_Base_Upgraded_Eutrophication Potential (EP) - kg N eq_Effluent release; wastewater treatment unit; at surface water; m3 wastewater - US_Base_With Amendment_Aerated Static Pile</v>
      </c>
    </row>
    <row r="11044" spans="1:13" s="120" customFormat="1" x14ac:dyDescent="0.25">
      <c r="A11044" s="119"/>
      <c r="B11044" s="138" t="str">
        <f t="shared" si="946"/>
        <v>Aerated Static Pile</v>
      </c>
      <c r="C11044" s="138" t="str">
        <f t="shared" si="947"/>
        <v>Base_With Amendment</v>
      </c>
      <c r="D11044" s="138" t="str">
        <f t="shared" si="944"/>
        <v>Medium_Base</v>
      </c>
      <c r="E11044" s="138" t="str">
        <f t="shared" si="942"/>
        <v>High</v>
      </c>
      <c r="F11044" s="138" t="str">
        <f t="shared" si="948"/>
        <v>Upgraded</v>
      </c>
      <c r="G11044" s="153"/>
      <c r="H11044" s="210">
        <v>0.17369999999999999</v>
      </c>
      <c r="I11044" s="160" t="s">
        <v>62</v>
      </c>
      <c r="J11044" s="160">
        <v>2.7200000000000002E-3</v>
      </c>
      <c r="K11044" s="160" t="s">
        <v>13</v>
      </c>
      <c r="L11044" s="154" t="str">
        <f>IF(OpenLCAbasic!K11044="CTUh", "Fill in Manually",IF(OR(K11044="Unit", K11044=""), "", INDEX(LookUps!$E$5:$E$12, MATCH(OpenLCAbasic!K11044,LookUps!$D$5:$D$12,0))))</f>
        <v>Eutrophication Potential (EP) - kg N eq</v>
      </c>
      <c r="M11044" s="154" t="str">
        <f t="shared" si="945"/>
        <v>High_Medium_Base_Upgraded_Eutrophication Potential (EP) - kg N eq_Land application of compost; wastewater treatment unit; at updated plant - US_Base_With Amendment_Aerated Static Pile</v>
      </c>
    </row>
    <row r="11045" spans="1:13" s="120" customFormat="1" x14ac:dyDescent="0.25">
      <c r="A11045" s="119"/>
      <c r="B11045" s="138" t="str">
        <f t="shared" si="946"/>
        <v>Aerated Static Pile</v>
      </c>
      <c r="C11045" s="138" t="str">
        <f t="shared" si="947"/>
        <v>Base_With Amendment</v>
      </c>
      <c r="D11045" s="138" t="str">
        <f t="shared" si="944"/>
        <v>Medium_Base</v>
      </c>
      <c r="E11045" s="138" t="str">
        <f t="shared" si="942"/>
        <v>High</v>
      </c>
      <c r="F11045" s="138" t="str">
        <f t="shared" si="948"/>
        <v>Upgraded</v>
      </c>
      <c r="G11045" s="153"/>
      <c r="H11045" s="210">
        <v>3.49E-2</v>
      </c>
      <c r="I11045" s="160" t="s">
        <v>55</v>
      </c>
      <c r="J11045" s="160">
        <v>5.5000000000000003E-4</v>
      </c>
      <c r="K11045" s="160" t="s">
        <v>13</v>
      </c>
      <c r="L11045" s="154" t="str">
        <f>IF(OpenLCAbasic!K11045="CTUh", "Fill in Manually",IF(OR(K11045="Unit", K11045=""), "", INDEX(LookUps!$E$5:$E$12, MATCH(OpenLCAbasic!K11045,LookUps!$D$5:$D$12,0))))</f>
        <v>Eutrophication Potential (EP) - kg N eq</v>
      </c>
      <c r="M11045" s="154" t="str">
        <f t="shared" si="945"/>
        <v>High_Medium_Base_Upgraded_Eutrophication Potential (EP) - kg N eq_Aeration Tanks; wastewater treatment unit; at updated plant - US_Base_With Amendment_Aerated Static Pile</v>
      </c>
    </row>
    <row r="11046" spans="1:13" s="120" customFormat="1" x14ac:dyDescent="0.25">
      <c r="A11046" s="119"/>
      <c r="B11046" s="138" t="str">
        <f t="shared" si="946"/>
        <v>Aerated Static Pile</v>
      </c>
      <c r="C11046" s="138" t="str">
        <f t="shared" si="947"/>
        <v>Base_With Amendment</v>
      </c>
      <c r="D11046" s="138" t="str">
        <f t="shared" si="944"/>
        <v>Medium_Base</v>
      </c>
      <c r="E11046" s="138" t="str">
        <f t="shared" si="942"/>
        <v>High</v>
      </c>
      <c r="F11046" s="138" t="str">
        <f t="shared" si="948"/>
        <v>Upgraded</v>
      </c>
      <c r="G11046" s="153"/>
      <c r="H11046" s="210">
        <v>1.9599999999999999E-2</v>
      </c>
      <c r="I11046" s="160" t="s">
        <v>435</v>
      </c>
      <c r="J11046" s="160">
        <v>3.1E-4</v>
      </c>
      <c r="K11046" s="160" t="s">
        <v>13</v>
      </c>
      <c r="L11046" s="154" t="str">
        <f>IF(OpenLCAbasic!K11046="CTUh", "Fill in Manually",IF(OR(K11046="Unit", K11046=""), "", INDEX(LookUps!$E$5:$E$12, MATCH(OpenLCAbasic!K11046,LookUps!$D$5:$D$12,0))))</f>
        <v>Eutrophication Potential (EP) - kg N eq</v>
      </c>
      <c r="M11046" s="154" t="str">
        <f t="shared" si="945"/>
        <v>High_Medium_Base_Upgraded_Eutrophication Potential (EP) - kg N eq_Biosolids composting; aerated static pile; wastewater treatment unit; at updated plant - US_Base_With Amendment_Aerated Static Pile</v>
      </c>
    </row>
    <row r="11047" spans="1:13" s="120" customFormat="1" x14ac:dyDescent="0.25">
      <c r="A11047" s="119"/>
      <c r="B11047" s="138" t="str">
        <f t="shared" si="946"/>
        <v>Aerated Static Pile</v>
      </c>
      <c r="C11047" s="138" t="str">
        <f t="shared" si="947"/>
        <v>Base_With Amendment</v>
      </c>
      <c r="D11047" s="138" t="str">
        <f t="shared" si="944"/>
        <v>Medium_Base</v>
      </c>
      <c r="E11047" s="138" t="str">
        <f t="shared" si="942"/>
        <v>High</v>
      </c>
      <c r="F11047" s="138" t="str">
        <f t="shared" si="948"/>
        <v>Upgraded</v>
      </c>
      <c r="G11047" s="153"/>
      <c r="H11047" s="210">
        <v>1.5900000000000001E-2</v>
      </c>
      <c r="I11047" s="160" t="s">
        <v>147</v>
      </c>
      <c r="J11047" s="160">
        <v>2.5000000000000001E-4</v>
      </c>
      <c r="K11047" s="160" t="s">
        <v>13</v>
      </c>
      <c r="L11047" s="154" t="str">
        <f>IF(OpenLCAbasic!K11047="CTUh", "Fill in Manually",IF(OR(K11047="Unit", K11047=""), "", INDEX(LookUps!$E$5:$E$12, MATCH(OpenLCAbasic!K11047,LookUps!$D$5:$D$12,0))))</f>
        <v>Eutrophication Potential (EP) - kg N eq</v>
      </c>
      <c r="M11047" s="154" t="str">
        <f t="shared" si="945"/>
        <v>High_Medium_Base_Upgraded_Eutrophication Potential (EP) - kg N eq_Influent Pump Station; wastewater treatment unit; at updated plant - US_Base_With Amendment_Aerated Static Pile</v>
      </c>
    </row>
    <row r="11048" spans="1:13" s="120" customFormat="1" x14ac:dyDescent="0.25">
      <c r="A11048" s="119"/>
      <c r="B11048" s="138" t="str">
        <f t="shared" si="946"/>
        <v>Aerated Static Pile</v>
      </c>
      <c r="C11048" s="138" t="str">
        <f t="shared" si="947"/>
        <v>Base_With Amendment</v>
      </c>
      <c r="D11048" s="138" t="str">
        <f t="shared" si="944"/>
        <v>Medium_Base</v>
      </c>
      <c r="E11048" s="138" t="str">
        <f t="shared" si="942"/>
        <v>High</v>
      </c>
      <c r="F11048" s="138" t="str">
        <f t="shared" si="948"/>
        <v>Upgraded</v>
      </c>
      <c r="G11048" s="153"/>
      <c r="H11048" s="210">
        <v>1.26E-2</v>
      </c>
      <c r="I11048" s="160" t="s">
        <v>54</v>
      </c>
      <c r="J11048" s="160">
        <v>2.0000000000000001E-4</v>
      </c>
      <c r="K11048" s="160" t="s">
        <v>13</v>
      </c>
      <c r="L11048" s="154" t="str">
        <f>IF(OpenLCAbasic!K11048="CTUh", "Fill in Manually",IF(OR(K11048="Unit", K11048=""), "", INDEX(LookUps!$E$5:$E$12, MATCH(OpenLCAbasic!K11048,LookUps!$D$5:$D$12,0))))</f>
        <v>Eutrophication Potential (EP) - kg N eq</v>
      </c>
      <c r="M11048" s="154" t="str">
        <f t="shared" si="945"/>
        <v>High_Medium_Base_Upgraded_Eutrophication Potential (EP) - kg N eq_Clear Cove Primary Clarification; wastewater treatment unit; at updated plant - US_Base_With Amendment_Aerated Static Pile</v>
      </c>
    </row>
    <row r="11049" spans="1:13" s="120" customFormat="1" x14ac:dyDescent="0.25">
      <c r="A11049" s="119"/>
      <c r="B11049" s="138" t="str">
        <f t="shared" si="946"/>
        <v>Aerated Static Pile</v>
      </c>
      <c r="C11049" s="138" t="str">
        <f t="shared" si="947"/>
        <v>Base_With Amendment</v>
      </c>
      <c r="D11049" s="138" t="str">
        <f t="shared" si="944"/>
        <v>Medium_Base</v>
      </c>
      <c r="E11049" s="138" t="str">
        <f t="shared" ref="E11049:E11112" si="949">IF(ISNUMBER($J11049),"High","")</f>
        <v>High</v>
      </c>
      <c r="F11049" s="138" t="str">
        <f t="shared" si="948"/>
        <v>Upgraded</v>
      </c>
      <c r="G11049" s="153"/>
      <c r="H11049" s="210">
        <v>1.2200000000000001E-2</v>
      </c>
      <c r="I11049" s="160" t="s">
        <v>167</v>
      </c>
      <c r="J11049" s="160">
        <v>1.9000000000000001E-4</v>
      </c>
      <c r="K11049" s="160" t="s">
        <v>13</v>
      </c>
      <c r="L11049" s="154" t="str">
        <f>IF(OpenLCAbasic!K11049="CTUh", "Fill in Manually",IF(OR(K11049="Unit", K11049=""), "", INDEX(LookUps!$E$5:$E$12, MATCH(OpenLCAbasic!K11049,LookUps!$D$5:$D$12,0))))</f>
        <v>Eutrophication Potential (EP) - kg N eq</v>
      </c>
      <c r="M11049" s="154" t="str">
        <f t="shared" si="945"/>
        <v>High_Medium_Base_Upgraded_Eutrophication Potential (EP) - kg N eq_Waste Receiving and Holding; wastewater treatment unit; at updated plant - US_Base_With Amendment_Aerated Static Pile</v>
      </c>
    </row>
    <row r="11050" spans="1:13" s="120" customFormat="1" x14ac:dyDescent="0.25">
      <c r="A11050" s="119"/>
      <c r="B11050" s="138" t="str">
        <f t="shared" si="946"/>
        <v>Aerated Static Pile</v>
      </c>
      <c r="C11050" s="138" t="str">
        <f t="shared" si="947"/>
        <v>Base_With Amendment</v>
      </c>
      <c r="D11050" s="138" t="str">
        <f t="shared" si="944"/>
        <v>Medium_Base</v>
      </c>
      <c r="E11050" s="138" t="str">
        <f t="shared" si="949"/>
        <v>High</v>
      </c>
      <c r="F11050" s="138" t="str">
        <f t="shared" si="948"/>
        <v>Upgraded</v>
      </c>
      <c r="G11050" s="153"/>
      <c r="H11050" s="210">
        <v>8.6999999999999994E-3</v>
      </c>
      <c r="I11050" s="160" t="s">
        <v>58</v>
      </c>
      <c r="J11050" s="160">
        <v>1.3999999999999999E-4</v>
      </c>
      <c r="K11050" s="160" t="s">
        <v>13</v>
      </c>
      <c r="L11050" s="154" t="str">
        <f>IF(OpenLCAbasic!K11050="CTUh", "Fill in Manually",IF(OR(K11050="Unit", K11050=""), "", INDEX(LookUps!$E$5:$E$12, MATCH(OpenLCAbasic!K11050,LookUps!$D$5:$D$12,0))))</f>
        <v>Eutrophication Potential (EP) - kg N eq</v>
      </c>
      <c r="M11050" s="154" t="str">
        <f t="shared" si="945"/>
        <v>High_Medium_Base_Upgraded_Eutrophication Potential (EP) - kg N eq_Pre-Anoxic &amp; Swing tank; wastewater treatment unit; at updated plant - US_Base_With Amendment_Aerated Static Pile</v>
      </c>
    </row>
    <row r="11051" spans="1:13" s="120" customFormat="1" x14ac:dyDescent="0.25">
      <c r="A11051" s="119"/>
      <c r="B11051" s="138" t="str">
        <f t="shared" si="946"/>
        <v>Aerated Static Pile</v>
      </c>
      <c r="C11051" s="138" t="str">
        <f t="shared" si="947"/>
        <v>Base_With Amendment</v>
      </c>
      <c r="D11051" s="138" t="str">
        <f t="shared" si="944"/>
        <v>Medium_Base</v>
      </c>
      <c r="E11051" s="138" t="str">
        <f t="shared" si="949"/>
        <v>High</v>
      </c>
      <c r="F11051" s="138" t="str">
        <f t="shared" si="948"/>
        <v>Upgraded</v>
      </c>
      <c r="G11051" s="153"/>
      <c r="H11051" s="210">
        <v>6.8999999999999999E-3</v>
      </c>
      <c r="I11051" s="160" t="s">
        <v>53</v>
      </c>
      <c r="J11051" s="160">
        <v>1.1E-4</v>
      </c>
      <c r="K11051" s="160" t="s">
        <v>13</v>
      </c>
      <c r="L11051" s="154" t="str">
        <f>IF(OpenLCAbasic!K11051="CTUh", "Fill in Manually",IF(OR(K11051="Unit", K11051=""), "", INDEX(LookUps!$E$5:$E$12, MATCH(OpenLCAbasic!K11051,LookUps!$D$5:$D$12,0))))</f>
        <v>Eutrophication Potential (EP) - kg N eq</v>
      </c>
      <c r="M11051" s="154" t="str">
        <f t="shared" si="945"/>
        <v>High_Medium_Base_Upgraded_Eutrophication Potential (EP) - kg N eq_Wet Well and Sump Station; wastewater treatment unit; at updated plant - US_Base_With Amendment_Aerated Static Pile</v>
      </c>
    </row>
    <row r="11052" spans="1:13" s="120" customFormat="1" x14ac:dyDescent="0.25">
      <c r="A11052" s="119"/>
      <c r="B11052" s="138" t="str">
        <f t="shared" si="946"/>
        <v>Aerated Static Pile</v>
      </c>
      <c r="C11052" s="138" t="str">
        <f t="shared" si="947"/>
        <v>Base_With Amendment</v>
      </c>
      <c r="D11052" s="138" t="str">
        <f t="shared" si="944"/>
        <v>Medium_Base</v>
      </c>
      <c r="E11052" s="138" t="str">
        <f t="shared" si="949"/>
        <v>High</v>
      </c>
      <c r="F11052" s="138" t="str">
        <f t="shared" si="948"/>
        <v>Upgraded</v>
      </c>
      <c r="G11052" s="153"/>
      <c r="H11052" s="210">
        <v>4.4999999999999997E-3</v>
      </c>
      <c r="I11052" s="160" t="s">
        <v>60</v>
      </c>
      <c r="J11052" s="211">
        <v>6.9922100000000006E-5</v>
      </c>
      <c r="K11052" s="160" t="s">
        <v>13</v>
      </c>
      <c r="L11052" s="154" t="str">
        <f>IF(OpenLCAbasic!K11052="CTUh", "Fill in Manually",IF(OR(K11052="Unit", K11052=""), "", INDEX(LookUps!$E$5:$E$12, MATCH(OpenLCAbasic!K11052,LookUps!$D$5:$D$12,0))))</f>
        <v>Eutrophication Potential (EP) - kg N eq</v>
      </c>
      <c r="M11052" s="154" t="str">
        <f t="shared" si="945"/>
        <v>High_Medium_Base_Upgraded_Eutrophication Potential (EP) - kg N eq_Belt filter press; wastewater treatment unit; at updated plant - US_Base_With Amendment_Aerated Static Pile</v>
      </c>
    </row>
    <row r="11053" spans="1:13" s="120" customFormat="1" x14ac:dyDescent="0.25">
      <c r="A11053" s="119"/>
      <c r="B11053" s="138" t="str">
        <f t="shared" si="946"/>
        <v>Aerated Static Pile</v>
      </c>
      <c r="C11053" s="138" t="str">
        <f t="shared" si="947"/>
        <v>Base_With Amendment</v>
      </c>
      <c r="D11053" s="138" t="str">
        <f t="shared" si="944"/>
        <v>Medium_Base</v>
      </c>
      <c r="E11053" s="138" t="str">
        <f t="shared" si="949"/>
        <v>High</v>
      </c>
      <c r="F11053" s="138" t="str">
        <f t="shared" si="948"/>
        <v>Upgraded</v>
      </c>
      <c r="G11053" s="153"/>
      <c r="H11053" s="210">
        <v>3.8999999999999998E-3</v>
      </c>
      <c r="I11053" s="160" t="s">
        <v>57</v>
      </c>
      <c r="J11053" s="211">
        <v>6.0590300000000002E-5</v>
      </c>
      <c r="K11053" s="160" t="s">
        <v>13</v>
      </c>
      <c r="L11053" s="154" t="str">
        <f>IF(OpenLCAbasic!K11053="CTUh", "Fill in Manually",IF(OR(K11053="Unit", K11053=""), "", INDEX(LookUps!$E$5:$E$12, MATCH(OpenLCAbasic!K11053,LookUps!$D$5:$D$12,0))))</f>
        <v>Eutrophication Potential (EP) - kg N eq</v>
      </c>
      <c r="M11053" s="154" t="str">
        <f t="shared" si="945"/>
        <v>High_Medium_Base_Upgraded_Eutrophication Potential (EP) - kg N eq_Gravity Belt Thickener; wastewater treatment unit; at updated plant - US_Base_With Amendment_Aerated Static Pile</v>
      </c>
    </row>
    <row r="11054" spans="1:13" s="120" customFormat="1" x14ac:dyDescent="0.25">
      <c r="A11054" s="119"/>
      <c r="B11054" s="138" t="str">
        <f t="shared" si="946"/>
        <v>Aerated Static Pile</v>
      </c>
      <c r="C11054" s="138" t="str">
        <f t="shared" si="947"/>
        <v>Base_With Amendment</v>
      </c>
      <c r="D11054" s="138" t="str">
        <f t="shared" si="944"/>
        <v>Medium_Base</v>
      </c>
      <c r="E11054" s="138" t="str">
        <f t="shared" si="949"/>
        <v>High</v>
      </c>
      <c r="F11054" s="138" t="str">
        <f t="shared" si="948"/>
        <v>Upgraded</v>
      </c>
      <c r="G11054" s="153"/>
      <c r="H11054" s="210">
        <v>2.3999999999999998E-3</v>
      </c>
      <c r="I11054" s="160" t="s">
        <v>128</v>
      </c>
      <c r="J11054" s="211">
        <v>3.7559799999999999E-5</v>
      </c>
      <c r="K11054" s="160" t="s">
        <v>13</v>
      </c>
      <c r="L11054" s="154" t="str">
        <f>IF(OpenLCAbasic!K11054="CTUh", "Fill in Manually",IF(OR(K11054="Unit", K11054=""), "", INDEX(LookUps!$E$5:$E$12, MATCH(OpenLCAbasic!K11054,LookUps!$D$5:$D$12,0))))</f>
        <v>Eutrophication Potential (EP) - kg N eq</v>
      </c>
      <c r="M11054" s="154" t="str">
        <f t="shared" si="945"/>
        <v>High_Medium_Base_Upgraded_Eutrophication Potential (EP) - kg N eq_Wastewater collection; operation and infrastructure; m3 wastewater_Base_With Amendment_Aerated Static Pile</v>
      </c>
    </row>
    <row r="11055" spans="1:13" s="120" customFormat="1" x14ac:dyDescent="0.25">
      <c r="A11055" s="119"/>
      <c r="B11055" s="138" t="str">
        <f t="shared" si="946"/>
        <v>Aerated Static Pile</v>
      </c>
      <c r="C11055" s="138" t="str">
        <f t="shared" si="947"/>
        <v>Base_With Amendment</v>
      </c>
      <c r="D11055" s="138" t="str">
        <f t="shared" si="944"/>
        <v>Medium_Base</v>
      </c>
      <c r="E11055" s="138" t="str">
        <f t="shared" si="949"/>
        <v>High</v>
      </c>
      <c r="F11055" s="138" t="str">
        <f t="shared" si="948"/>
        <v>Upgraded</v>
      </c>
      <c r="G11055" s="153"/>
      <c r="H11055" s="210">
        <v>2.3999999999999998E-3</v>
      </c>
      <c r="I11055" s="160" t="s">
        <v>148</v>
      </c>
      <c r="J11055" s="211">
        <v>3.6874600000000001E-5</v>
      </c>
      <c r="K11055" s="160" t="s">
        <v>13</v>
      </c>
      <c r="L11055" s="154" t="str">
        <f>IF(OpenLCAbasic!K11055="CTUh", "Fill in Manually",IF(OR(K11055="Unit", K11055=""), "", INDEX(LookUps!$E$5:$E$12, MATCH(OpenLCAbasic!K11055,LookUps!$D$5:$D$12,0))))</f>
        <v>Eutrophication Potential (EP) - kg N eq</v>
      </c>
      <c r="M11055" s="154" t="str">
        <f t="shared" si="945"/>
        <v>High_Medium_Base_Upgraded_Eutrophication Potential (EP) - kg N eq_Control Building; at upgraded wastewater treatment plant - US_Base_With Amendment_Aerated Static Pile</v>
      </c>
    </row>
    <row r="11056" spans="1:13" s="120" customFormat="1" x14ac:dyDescent="0.25">
      <c r="A11056" s="119"/>
      <c r="B11056" s="138" t="str">
        <f t="shared" si="946"/>
        <v>Aerated Static Pile</v>
      </c>
      <c r="C11056" s="138" t="str">
        <f t="shared" si="947"/>
        <v>Base_With Amendment</v>
      </c>
      <c r="D11056" s="138" t="str">
        <f t="shared" si="944"/>
        <v>Medium_Base</v>
      </c>
      <c r="E11056" s="138" t="str">
        <f t="shared" si="949"/>
        <v>High</v>
      </c>
      <c r="F11056" s="138" t="str">
        <f t="shared" si="948"/>
        <v>Upgraded</v>
      </c>
      <c r="G11056" s="153"/>
      <c r="H11056" s="210">
        <v>1E-3</v>
      </c>
      <c r="I11056" s="160" t="s">
        <v>59</v>
      </c>
      <c r="J11056" s="211">
        <v>1.6215700000000001E-5</v>
      </c>
      <c r="K11056" s="160" t="s">
        <v>13</v>
      </c>
      <c r="L11056" s="154" t="str">
        <f>IF(OpenLCAbasic!K11056="CTUh", "Fill in Manually",IF(OR(K11056="Unit", K11056=""), "", INDEX(LookUps!$E$5:$E$12, MATCH(OpenLCAbasic!K11056,LookUps!$D$5:$D$12,0))))</f>
        <v>Eutrophication Potential (EP) - kg N eq</v>
      </c>
      <c r="M11056" s="154" t="str">
        <f t="shared" si="945"/>
        <v>High_Medium_Base_Upgraded_Eutrophication Potential (EP) - kg N eq_Blend Tank; wastewater treatment unit; at updated plant - US_Base_With Amendment_Aerated Static Pile</v>
      </c>
    </row>
    <row r="11057" spans="1:13" s="120" customFormat="1" x14ac:dyDescent="0.25">
      <c r="A11057" s="119"/>
      <c r="B11057" s="138" t="str">
        <f t="shared" si="946"/>
        <v>Aerated Static Pile</v>
      </c>
      <c r="C11057" s="138" t="str">
        <f t="shared" si="947"/>
        <v>Base_With Amendment</v>
      </c>
      <c r="D11057" s="138" t="str">
        <f t="shared" si="944"/>
        <v>Medium_Base</v>
      </c>
      <c r="E11057" s="138" t="str">
        <f t="shared" si="949"/>
        <v>High</v>
      </c>
      <c r="F11057" s="138" t="str">
        <f t="shared" si="948"/>
        <v>Upgraded</v>
      </c>
      <c r="G11057" s="153"/>
      <c r="H11057" s="210">
        <v>5.0000000000000001E-4</v>
      </c>
      <c r="I11057" s="160" t="s">
        <v>168</v>
      </c>
      <c r="J11057" s="211">
        <v>7.7567199999999995E-6</v>
      </c>
      <c r="K11057" s="160" t="s">
        <v>13</v>
      </c>
      <c r="L11057" s="154" t="str">
        <f>IF(OpenLCAbasic!K11057="CTUh", "Fill in Manually",IF(OR(K11057="Unit", K11057=""), "", INDEX(LookUps!$E$5:$E$12, MATCH(OpenLCAbasic!K11057,LookUps!$D$5:$D$12,0))))</f>
        <v>Eutrophication Potential (EP) - kg N eq</v>
      </c>
      <c r="M11057" s="154" t="str">
        <f t="shared" si="945"/>
        <v>High_Medium_Base_Upgraded_Eutrophication Potential (EP) - kg N eq_ClearCove SCP; wastewater treatment unit; at updated plant - US_Base_With Amendment_Aerated Static Pile</v>
      </c>
    </row>
    <row r="11058" spans="1:13" s="120" customFormat="1" x14ac:dyDescent="0.25">
      <c r="A11058" s="119"/>
      <c r="B11058" s="138" t="str">
        <f t="shared" si="946"/>
        <v>Aerated Static Pile</v>
      </c>
      <c r="C11058" s="138" t="str">
        <f t="shared" si="947"/>
        <v>Base_With Amendment</v>
      </c>
      <c r="D11058" s="138" t="str">
        <f t="shared" si="944"/>
        <v>Medium_Base</v>
      </c>
      <c r="E11058" s="138" t="str">
        <f t="shared" si="949"/>
        <v>High</v>
      </c>
      <c r="F11058" s="138" t="str">
        <f t="shared" si="948"/>
        <v>Upgraded</v>
      </c>
      <c r="G11058" s="153"/>
      <c r="H11058" s="210">
        <v>-3.95E-2</v>
      </c>
      <c r="I11058" s="160" t="s">
        <v>149</v>
      </c>
      <c r="J11058" s="160">
        <v>-6.2E-4</v>
      </c>
      <c r="K11058" s="160" t="s">
        <v>13</v>
      </c>
      <c r="L11058" s="154" t="str">
        <f>IF(OpenLCAbasic!K11058="CTUh", "Fill in Manually",IF(OR(K11058="Unit", K11058=""), "", INDEX(LookUps!$E$5:$E$12, MATCH(OpenLCAbasic!K11058,LookUps!$D$5:$D$12,0))))</f>
        <v>Eutrophication Potential (EP) - kg N eq</v>
      </c>
      <c r="M11058" s="154" t="str">
        <f t="shared" si="945"/>
        <v>High_Medium_Base_Upgraded_Eutrophication Potential (EP) - kg N eq_Anaerobic Digestion; wastewater treatment unit; at updated plant - US_Base_With Amendment_Aerated Static Pile</v>
      </c>
    </row>
    <row r="11059" spans="1:13" s="120" customFormat="1" x14ac:dyDescent="0.25">
      <c r="A11059" s="119"/>
      <c r="B11059" s="138" t="str">
        <f t="shared" si="946"/>
        <v/>
      </c>
      <c r="C11059" s="138" t="str">
        <f t="shared" si="947"/>
        <v/>
      </c>
      <c r="D11059" s="138" t="str">
        <f t="shared" si="944"/>
        <v/>
      </c>
      <c r="E11059" s="138" t="str">
        <f t="shared" si="949"/>
        <v/>
      </c>
      <c r="F11059" s="138" t="str">
        <f t="shared" si="948"/>
        <v/>
      </c>
      <c r="G11059" s="153" t="s">
        <v>51</v>
      </c>
      <c r="H11059" s="160"/>
      <c r="I11059" s="160" t="s">
        <v>47</v>
      </c>
      <c r="J11059" s="160" t="s">
        <v>52</v>
      </c>
      <c r="K11059" s="160" t="s">
        <v>27</v>
      </c>
      <c r="L11059" s="154" t="str">
        <f>IF(OpenLCAbasic!K11059="CTUh", "Fill in Manually",IF(OR(K11059="Unit", K11059=""), "", INDEX(LookUps!$E$5:$E$12, MATCH(OpenLCAbasic!K11059,LookUps!$D$5:$D$12,0))))</f>
        <v/>
      </c>
      <c r="M11059" s="154" t="str">
        <f t="shared" si="945"/>
        <v>____Process__</v>
      </c>
    </row>
    <row r="11060" spans="1:13" s="120" customFormat="1" x14ac:dyDescent="0.25">
      <c r="A11060" s="119"/>
      <c r="B11060" s="138" t="str">
        <f t="shared" si="946"/>
        <v>Aerated Static Pile</v>
      </c>
      <c r="C11060" s="138" t="str">
        <f t="shared" si="947"/>
        <v>Base_With Amendment</v>
      </c>
      <c r="D11060" s="138" t="str">
        <f t="shared" si="944"/>
        <v>Medium_Base</v>
      </c>
      <c r="E11060" s="138" t="str">
        <f t="shared" si="949"/>
        <v>High</v>
      </c>
      <c r="F11060" s="138" t="str">
        <f t="shared" si="948"/>
        <v>Upgraded</v>
      </c>
      <c r="G11060" s="153"/>
      <c r="H11060" s="210">
        <v>1.0201</v>
      </c>
      <c r="I11060" s="160" t="s">
        <v>167</v>
      </c>
      <c r="J11060" s="160">
        <v>9.7259999999999999E-2</v>
      </c>
      <c r="K11060" s="160" t="s">
        <v>14</v>
      </c>
      <c r="L11060" s="154" t="str">
        <f>IF(OpenLCAbasic!K11060="CTUh", "Fill in Manually",IF(OR(K11060="Unit", K11060=""), "", INDEX(LookUps!$E$5:$E$12, MATCH(OpenLCAbasic!K11060,LookUps!$D$5:$D$12,0))))</f>
        <v>Fossil Depletion Potential (FDP) - kg oil eq</v>
      </c>
      <c r="M11060" s="154" t="str">
        <f t="shared" si="945"/>
        <v>High_Medium_Base_Upgraded_Fossil Depletion Potential (FDP) - kg oil eq_Waste Receiving and Holding; wastewater treatment unit; at updated plant - US_Base_With Amendment_Aerated Static Pile</v>
      </c>
    </row>
    <row r="11061" spans="1:13" s="120" customFormat="1" x14ac:dyDescent="0.25">
      <c r="A11061" s="119"/>
      <c r="B11061" s="138" t="str">
        <f t="shared" si="946"/>
        <v>Aerated Static Pile</v>
      </c>
      <c r="C11061" s="138" t="str">
        <f t="shared" si="947"/>
        <v>Base_With Amendment</v>
      </c>
      <c r="D11061" s="138" t="str">
        <f t="shared" si="944"/>
        <v>Medium_Base</v>
      </c>
      <c r="E11061" s="138" t="str">
        <f t="shared" si="949"/>
        <v>High</v>
      </c>
      <c r="F11061" s="138" t="str">
        <f t="shared" si="948"/>
        <v>Upgraded</v>
      </c>
      <c r="G11061" s="153"/>
      <c r="H11061" s="210">
        <v>0.66700000000000004</v>
      </c>
      <c r="I11061" s="160" t="s">
        <v>55</v>
      </c>
      <c r="J11061" s="160">
        <v>6.3589999999999994E-2</v>
      </c>
      <c r="K11061" s="160" t="s">
        <v>14</v>
      </c>
      <c r="L11061" s="154" t="str">
        <f>IF(OpenLCAbasic!K11061="CTUh", "Fill in Manually",IF(OR(K11061="Unit", K11061=""), "", INDEX(LookUps!$E$5:$E$12, MATCH(OpenLCAbasic!K11061,LookUps!$D$5:$D$12,0))))</f>
        <v>Fossil Depletion Potential (FDP) - kg oil eq</v>
      </c>
      <c r="M11061" s="154" t="str">
        <f t="shared" si="945"/>
        <v>High_Medium_Base_Upgraded_Fossil Depletion Potential (FDP) - kg oil eq_Aeration Tanks; wastewater treatment unit; at updated plant - US_Base_With Amendment_Aerated Static Pile</v>
      </c>
    </row>
    <row r="11062" spans="1:13" s="120" customFormat="1" x14ac:dyDescent="0.25">
      <c r="A11062" s="119"/>
      <c r="B11062" s="138" t="str">
        <f t="shared" si="946"/>
        <v>Aerated Static Pile</v>
      </c>
      <c r="C11062" s="138" t="str">
        <f t="shared" si="947"/>
        <v>Base_With Amendment</v>
      </c>
      <c r="D11062" s="138" t="str">
        <f t="shared" si="944"/>
        <v>Medium_Base</v>
      </c>
      <c r="E11062" s="138" t="str">
        <f t="shared" si="949"/>
        <v>High</v>
      </c>
      <c r="F11062" s="138" t="str">
        <f t="shared" si="948"/>
        <v>Upgraded</v>
      </c>
      <c r="G11062" s="153"/>
      <c r="H11062" s="210">
        <v>0.32579999999999998</v>
      </c>
      <c r="I11062" s="160" t="s">
        <v>435</v>
      </c>
      <c r="J11062" s="160">
        <v>3.1060000000000001E-2</v>
      </c>
      <c r="K11062" s="160" t="s">
        <v>14</v>
      </c>
      <c r="L11062" s="154" t="str">
        <f>IF(OpenLCAbasic!K11062="CTUh", "Fill in Manually",IF(OR(K11062="Unit", K11062=""), "", INDEX(LookUps!$E$5:$E$12, MATCH(OpenLCAbasic!K11062,LookUps!$D$5:$D$12,0))))</f>
        <v>Fossil Depletion Potential (FDP) - kg oil eq</v>
      </c>
      <c r="M11062" s="154" t="str">
        <f t="shared" si="945"/>
        <v>High_Medium_Base_Upgraded_Fossil Depletion Potential (FDP) - kg oil eq_Biosolids composting; aerated static pile; wastewater treatment unit; at updated plant - US_Base_With Amendment_Aerated Static Pile</v>
      </c>
    </row>
    <row r="11063" spans="1:13" s="120" customFormat="1" x14ac:dyDescent="0.25">
      <c r="A11063" s="119"/>
      <c r="B11063" s="138" t="str">
        <f t="shared" si="946"/>
        <v>Aerated Static Pile</v>
      </c>
      <c r="C11063" s="138" t="str">
        <f t="shared" si="947"/>
        <v>Base_With Amendment</v>
      </c>
      <c r="D11063" s="138" t="str">
        <f t="shared" si="944"/>
        <v>Medium_Base</v>
      </c>
      <c r="E11063" s="138" t="str">
        <f t="shared" si="949"/>
        <v>High</v>
      </c>
      <c r="F11063" s="138" t="str">
        <f t="shared" si="948"/>
        <v>Upgraded</v>
      </c>
      <c r="G11063" s="153"/>
      <c r="H11063" s="210">
        <v>0.2208</v>
      </c>
      <c r="I11063" s="160" t="s">
        <v>54</v>
      </c>
      <c r="J11063" s="160">
        <v>2.1049999999999999E-2</v>
      </c>
      <c r="K11063" s="160" t="s">
        <v>14</v>
      </c>
      <c r="L11063" s="154" t="str">
        <f>IF(OpenLCAbasic!K11063="CTUh", "Fill in Manually",IF(OR(K11063="Unit", K11063=""), "", INDEX(LookUps!$E$5:$E$12, MATCH(OpenLCAbasic!K11063,LookUps!$D$5:$D$12,0))))</f>
        <v>Fossil Depletion Potential (FDP) - kg oil eq</v>
      </c>
      <c r="M11063" s="154" t="str">
        <f t="shared" si="945"/>
        <v>High_Medium_Base_Upgraded_Fossil Depletion Potential (FDP) - kg oil eq_Clear Cove Primary Clarification; wastewater treatment unit; at updated plant - US_Base_With Amendment_Aerated Static Pile</v>
      </c>
    </row>
    <row r="11064" spans="1:13" s="120" customFormat="1" x14ac:dyDescent="0.25">
      <c r="A11064" s="119"/>
      <c r="B11064" s="138" t="str">
        <f t="shared" si="946"/>
        <v>Aerated Static Pile</v>
      </c>
      <c r="C11064" s="138" t="str">
        <f t="shared" si="947"/>
        <v>Base_With Amendment</v>
      </c>
      <c r="D11064" s="138" t="str">
        <f t="shared" si="944"/>
        <v>Medium_Base</v>
      </c>
      <c r="E11064" s="138" t="str">
        <f t="shared" si="949"/>
        <v>High</v>
      </c>
      <c r="F11064" s="138" t="str">
        <f t="shared" si="948"/>
        <v>Upgraded</v>
      </c>
      <c r="G11064" s="153"/>
      <c r="H11064" s="210">
        <v>0.1676</v>
      </c>
      <c r="I11064" s="160" t="s">
        <v>58</v>
      </c>
      <c r="J11064" s="160">
        <v>1.5980000000000001E-2</v>
      </c>
      <c r="K11064" s="160" t="s">
        <v>14</v>
      </c>
      <c r="L11064" s="154" t="str">
        <f>IF(OpenLCAbasic!K11064="CTUh", "Fill in Manually",IF(OR(K11064="Unit", K11064=""), "", INDEX(LookUps!$E$5:$E$12, MATCH(OpenLCAbasic!K11064,LookUps!$D$5:$D$12,0))))</f>
        <v>Fossil Depletion Potential (FDP) - kg oil eq</v>
      </c>
      <c r="M11064" s="154" t="str">
        <f t="shared" si="945"/>
        <v>High_Medium_Base_Upgraded_Fossil Depletion Potential (FDP) - kg oil eq_Pre-Anoxic &amp; Swing tank; wastewater treatment unit; at updated plant - US_Base_With Amendment_Aerated Static Pile</v>
      </c>
    </row>
    <row r="11065" spans="1:13" s="120" customFormat="1" x14ac:dyDescent="0.25">
      <c r="A11065" s="119"/>
      <c r="B11065" s="138" t="str">
        <f t="shared" si="946"/>
        <v>Aerated Static Pile</v>
      </c>
      <c r="C11065" s="138" t="str">
        <f t="shared" si="947"/>
        <v>Base_With Amendment</v>
      </c>
      <c r="D11065" s="138" t="str">
        <f t="shared" si="944"/>
        <v>Medium_Base</v>
      </c>
      <c r="E11065" s="138" t="str">
        <f t="shared" si="949"/>
        <v>High</v>
      </c>
      <c r="F11065" s="138" t="str">
        <f t="shared" si="948"/>
        <v>Upgraded</v>
      </c>
      <c r="G11065" s="153"/>
      <c r="H11065" s="210">
        <v>0.15820000000000001</v>
      </c>
      <c r="I11065" s="160" t="s">
        <v>147</v>
      </c>
      <c r="J11065" s="160">
        <v>1.5089999999999999E-2</v>
      </c>
      <c r="K11065" s="160" t="s">
        <v>14</v>
      </c>
      <c r="L11065" s="154" t="str">
        <f>IF(OpenLCAbasic!K11065="CTUh", "Fill in Manually",IF(OR(K11065="Unit", K11065=""), "", INDEX(LookUps!$E$5:$E$12, MATCH(OpenLCAbasic!K11065,LookUps!$D$5:$D$12,0))))</f>
        <v>Fossil Depletion Potential (FDP) - kg oil eq</v>
      </c>
      <c r="M11065" s="154" t="str">
        <f t="shared" si="945"/>
        <v>High_Medium_Base_Upgraded_Fossil Depletion Potential (FDP) - kg oil eq_Influent Pump Station; wastewater treatment unit; at updated plant - US_Base_With Amendment_Aerated Static Pile</v>
      </c>
    </row>
    <row r="11066" spans="1:13" s="120" customFormat="1" x14ac:dyDescent="0.25">
      <c r="A11066" s="119"/>
      <c r="B11066" s="138" t="str">
        <f t="shared" si="946"/>
        <v>Aerated Static Pile</v>
      </c>
      <c r="C11066" s="138" t="str">
        <f t="shared" si="947"/>
        <v>Base_With Amendment</v>
      </c>
      <c r="D11066" s="138" t="str">
        <f t="shared" si="944"/>
        <v>Medium_Base</v>
      </c>
      <c r="E11066" s="138" t="str">
        <f t="shared" si="949"/>
        <v>High</v>
      </c>
      <c r="F11066" s="138" t="str">
        <f t="shared" si="948"/>
        <v>Upgraded</v>
      </c>
      <c r="G11066" s="153"/>
      <c r="H11066" s="210">
        <v>0.13100000000000001</v>
      </c>
      <c r="I11066" s="160" t="s">
        <v>53</v>
      </c>
      <c r="J11066" s="160">
        <v>1.2489999999999999E-2</v>
      </c>
      <c r="K11066" s="160" t="s">
        <v>14</v>
      </c>
      <c r="L11066" s="154" t="str">
        <f>IF(OpenLCAbasic!K11066="CTUh", "Fill in Manually",IF(OR(K11066="Unit", K11066=""), "", INDEX(LookUps!$E$5:$E$12, MATCH(OpenLCAbasic!K11066,LookUps!$D$5:$D$12,0))))</f>
        <v>Fossil Depletion Potential (FDP) - kg oil eq</v>
      </c>
      <c r="M11066" s="154" t="str">
        <f t="shared" si="945"/>
        <v>High_Medium_Base_Upgraded_Fossil Depletion Potential (FDP) - kg oil eq_Wet Well and Sump Station; wastewater treatment unit; at updated plant - US_Base_With Amendment_Aerated Static Pile</v>
      </c>
    </row>
    <row r="11067" spans="1:13" s="120" customFormat="1" x14ac:dyDescent="0.25">
      <c r="A11067" s="119"/>
      <c r="B11067" s="138" t="str">
        <f t="shared" si="946"/>
        <v>Aerated Static Pile</v>
      </c>
      <c r="C11067" s="138" t="str">
        <f t="shared" si="947"/>
        <v>Base_With Amendment</v>
      </c>
      <c r="D11067" s="138" t="str">
        <f t="shared" si="944"/>
        <v>Medium_Base</v>
      </c>
      <c r="E11067" s="138" t="str">
        <f t="shared" si="949"/>
        <v>High</v>
      </c>
      <c r="F11067" s="138" t="str">
        <f t="shared" si="948"/>
        <v>Upgraded</v>
      </c>
      <c r="G11067" s="153"/>
      <c r="H11067" s="210">
        <v>8.4199999999999997E-2</v>
      </c>
      <c r="I11067" s="160" t="s">
        <v>60</v>
      </c>
      <c r="J11067" s="160">
        <v>8.0300000000000007E-3</v>
      </c>
      <c r="K11067" s="160" t="s">
        <v>14</v>
      </c>
      <c r="L11067" s="154" t="str">
        <f>IF(OpenLCAbasic!K11067="CTUh", "Fill in Manually",IF(OR(K11067="Unit", K11067=""), "", INDEX(LookUps!$E$5:$E$12, MATCH(OpenLCAbasic!K11067,LookUps!$D$5:$D$12,0))))</f>
        <v>Fossil Depletion Potential (FDP) - kg oil eq</v>
      </c>
      <c r="M11067" s="154" t="str">
        <f t="shared" si="945"/>
        <v>High_Medium_Base_Upgraded_Fossil Depletion Potential (FDP) - kg oil eq_Belt filter press; wastewater treatment unit; at updated plant - US_Base_With Amendment_Aerated Static Pile</v>
      </c>
    </row>
    <row r="11068" spans="1:13" s="120" customFormat="1" x14ac:dyDescent="0.25">
      <c r="A11068" s="119"/>
      <c r="B11068" s="138" t="str">
        <f t="shared" si="946"/>
        <v>Aerated Static Pile</v>
      </c>
      <c r="C11068" s="138" t="str">
        <f t="shared" si="947"/>
        <v>Base_With Amendment</v>
      </c>
      <c r="D11068" s="138" t="str">
        <f t="shared" si="944"/>
        <v>Medium_Base</v>
      </c>
      <c r="E11068" s="138" t="str">
        <f t="shared" si="949"/>
        <v>High</v>
      </c>
      <c r="F11068" s="138" t="str">
        <f t="shared" si="948"/>
        <v>Upgraded</v>
      </c>
      <c r="G11068" s="153"/>
      <c r="H11068" s="210">
        <v>7.2499999999999995E-2</v>
      </c>
      <c r="I11068" s="160" t="s">
        <v>57</v>
      </c>
      <c r="J11068" s="160">
        <v>6.9199999999999999E-3</v>
      </c>
      <c r="K11068" s="160" t="s">
        <v>14</v>
      </c>
      <c r="L11068" s="154" t="str">
        <f>IF(OpenLCAbasic!K11068="CTUh", "Fill in Manually",IF(OR(K11068="Unit", K11068=""), "", INDEX(LookUps!$E$5:$E$12, MATCH(OpenLCAbasic!K11068,LookUps!$D$5:$D$12,0))))</f>
        <v>Fossil Depletion Potential (FDP) - kg oil eq</v>
      </c>
      <c r="M11068" s="154" t="str">
        <f t="shared" si="945"/>
        <v>High_Medium_Base_Upgraded_Fossil Depletion Potential (FDP) - kg oil eq_Gravity Belt Thickener; wastewater treatment unit; at updated plant - US_Base_With Amendment_Aerated Static Pile</v>
      </c>
    </row>
    <row r="11069" spans="1:13" s="120" customFormat="1" x14ac:dyDescent="0.25">
      <c r="A11069" s="119"/>
      <c r="B11069" s="138" t="str">
        <f t="shared" si="946"/>
        <v>Aerated Static Pile</v>
      </c>
      <c r="C11069" s="138" t="str">
        <f t="shared" si="947"/>
        <v>Base_With Amendment</v>
      </c>
      <c r="D11069" s="138" t="str">
        <f t="shared" si="944"/>
        <v>Medium_Base</v>
      </c>
      <c r="E11069" s="138" t="str">
        <f t="shared" si="949"/>
        <v>High</v>
      </c>
      <c r="F11069" s="138" t="str">
        <f t="shared" si="948"/>
        <v>Upgraded</v>
      </c>
      <c r="G11069" s="153"/>
      <c r="H11069" s="210">
        <v>4.7199999999999999E-2</v>
      </c>
      <c r="I11069" s="160" t="s">
        <v>128</v>
      </c>
      <c r="J11069" s="160">
        <v>4.4999999999999997E-3</v>
      </c>
      <c r="K11069" s="160" t="s">
        <v>14</v>
      </c>
      <c r="L11069" s="154" t="str">
        <f>IF(OpenLCAbasic!K11069="CTUh", "Fill in Manually",IF(OR(K11069="Unit", K11069=""), "", INDEX(LookUps!$E$5:$E$12, MATCH(OpenLCAbasic!K11069,LookUps!$D$5:$D$12,0))))</f>
        <v>Fossil Depletion Potential (FDP) - kg oil eq</v>
      </c>
      <c r="M11069" s="154" t="str">
        <f t="shared" si="945"/>
        <v>High_Medium_Base_Upgraded_Fossil Depletion Potential (FDP) - kg oil eq_Wastewater collection; operation and infrastructure; m3 wastewater_Base_With Amendment_Aerated Static Pile</v>
      </c>
    </row>
    <row r="11070" spans="1:13" s="120" customFormat="1" x14ac:dyDescent="0.25">
      <c r="A11070" s="119"/>
      <c r="B11070" s="138" t="str">
        <f t="shared" si="946"/>
        <v>Aerated Static Pile</v>
      </c>
      <c r="C11070" s="138" t="str">
        <f t="shared" si="947"/>
        <v>Base_With Amendment</v>
      </c>
      <c r="D11070" s="138" t="str">
        <f t="shared" si="944"/>
        <v>Medium_Base</v>
      </c>
      <c r="E11070" s="138" t="str">
        <f t="shared" si="949"/>
        <v>High</v>
      </c>
      <c r="F11070" s="138" t="str">
        <f t="shared" si="948"/>
        <v>Upgraded</v>
      </c>
      <c r="G11070" s="153"/>
      <c r="H11070" s="210">
        <v>2.93E-2</v>
      </c>
      <c r="I11070" s="160" t="s">
        <v>148</v>
      </c>
      <c r="J11070" s="160">
        <v>2.8E-3</v>
      </c>
      <c r="K11070" s="160" t="s">
        <v>14</v>
      </c>
      <c r="L11070" s="154" t="str">
        <f>IF(OpenLCAbasic!K11070="CTUh", "Fill in Manually",IF(OR(K11070="Unit", K11070=""), "", INDEX(LookUps!$E$5:$E$12, MATCH(OpenLCAbasic!K11070,LookUps!$D$5:$D$12,0))))</f>
        <v>Fossil Depletion Potential (FDP) - kg oil eq</v>
      </c>
      <c r="M11070" s="154" t="str">
        <f t="shared" si="945"/>
        <v>High_Medium_Base_Upgraded_Fossil Depletion Potential (FDP) - kg oil eq_Control Building; at upgraded wastewater treatment plant - US_Base_With Amendment_Aerated Static Pile</v>
      </c>
    </row>
    <row r="11071" spans="1:13" s="120" customFormat="1" x14ac:dyDescent="0.25">
      <c r="A11071" s="119"/>
      <c r="B11071" s="138" t="str">
        <f t="shared" si="946"/>
        <v>Aerated Static Pile</v>
      </c>
      <c r="C11071" s="138" t="str">
        <f t="shared" si="947"/>
        <v>Base_With Amendment</v>
      </c>
      <c r="D11071" s="138" t="str">
        <f t="shared" si="944"/>
        <v>Medium_Base</v>
      </c>
      <c r="E11071" s="138" t="str">
        <f t="shared" si="949"/>
        <v>High</v>
      </c>
      <c r="F11071" s="138" t="str">
        <f t="shared" si="948"/>
        <v>Upgraded</v>
      </c>
      <c r="G11071" s="153"/>
      <c r="H11071" s="210">
        <v>2.4799999999999999E-2</v>
      </c>
      <c r="I11071" s="160" t="s">
        <v>48</v>
      </c>
      <c r="J11071" s="160">
        <v>2.3600000000000001E-3</v>
      </c>
      <c r="K11071" s="160" t="s">
        <v>14</v>
      </c>
      <c r="L11071" s="154" t="str">
        <f>IF(OpenLCAbasic!K11071="CTUh", "Fill in Manually",IF(OR(K11071="Unit", K11071=""), "", INDEX(LookUps!$E$5:$E$12, MATCH(OpenLCAbasic!K11071,LookUps!$D$5:$D$12,0))))</f>
        <v>Fossil Depletion Potential (FDP) - kg oil eq</v>
      </c>
      <c r="M11071" s="154" t="str">
        <f t="shared" si="945"/>
        <v>High_Medium_Base_Upgraded_Fossil Depletion Potential (FDP) - kg oil eq_Effluent release; wastewater treatment unit; at surface water; m3 wastewater - US_Base_With Amendment_Aerated Static Pile</v>
      </c>
    </row>
    <row r="11072" spans="1:13" s="120" customFormat="1" x14ac:dyDescent="0.25">
      <c r="A11072" s="119"/>
      <c r="B11072" s="138" t="str">
        <f t="shared" si="946"/>
        <v>Aerated Static Pile</v>
      </c>
      <c r="C11072" s="138" t="str">
        <f t="shared" si="947"/>
        <v>Base_With Amendment</v>
      </c>
      <c r="D11072" s="138" t="str">
        <f t="shared" si="944"/>
        <v>Medium_Base</v>
      </c>
      <c r="E11072" s="138" t="str">
        <f t="shared" si="949"/>
        <v>High</v>
      </c>
      <c r="F11072" s="138" t="str">
        <f t="shared" si="948"/>
        <v>Upgraded</v>
      </c>
      <c r="G11072" s="153"/>
      <c r="H11072" s="210">
        <v>2.01E-2</v>
      </c>
      <c r="I11072" s="160" t="s">
        <v>59</v>
      </c>
      <c r="J11072" s="160">
        <v>1.92E-3</v>
      </c>
      <c r="K11072" s="160" t="s">
        <v>14</v>
      </c>
      <c r="L11072" s="154" t="str">
        <f>IF(OpenLCAbasic!K11072="CTUh", "Fill in Manually",IF(OR(K11072="Unit", K11072=""), "", INDEX(LookUps!$E$5:$E$12, MATCH(OpenLCAbasic!K11072,LookUps!$D$5:$D$12,0))))</f>
        <v>Fossil Depletion Potential (FDP) - kg oil eq</v>
      </c>
      <c r="M11072" s="154" t="str">
        <f t="shared" si="945"/>
        <v>High_Medium_Base_Upgraded_Fossil Depletion Potential (FDP) - kg oil eq_Blend Tank; wastewater treatment unit; at updated plant - US_Base_With Amendment_Aerated Static Pile</v>
      </c>
    </row>
    <row r="11073" spans="1:13" s="120" customFormat="1" x14ac:dyDescent="0.25">
      <c r="A11073" s="119"/>
      <c r="B11073" s="138" t="str">
        <f t="shared" si="946"/>
        <v>Aerated Static Pile</v>
      </c>
      <c r="C11073" s="138" t="str">
        <f t="shared" si="947"/>
        <v>Base_With Amendment</v>
      </c>
      <c r="D11073" s="138" t="str">
        <f t="shared" ref="D11073:D11136" si="950">IF(ISNUMBER($J11073),"Medium_Base","")</f>
        <v>Medium_Base</v>
      </c>
      <c r="E11073" s="138" t="str">
        <f t="shared" si="949"/>
        <v>High</v>
      </c>
      <c r="F11073" s="138" t="str">
        <f t="shared" si="948"/>
        <v>Upgraded</v>
      </c>
      <c r="G11073" s="153"/>
      <c r="H11073" s="210">
        <v>9.5999999999999992E-3</v>
      </c>
      <c r="I11073" s="160" t="s">
        <v>168</v>
      </c>
      <c r="J11073" s="160">
        <v>9.1E-4</v>
      </c>
      <c r="K11073" s="160" t="s">
        <v>14</v>
      </c>
      <c r="L11073" s="154" t="str">
        <f>IF(OpenLCAbasic!K11073="CTUh", "Fill in Manually",IF(OR(K11073="Unit", K11073=""), "", INDEX(LookUps!$E$5:$E$12, MATCH(OpenLCAbasic!K11073,LookUps!$D$5:$D$12,0))))</f>
        <v>Fossil Depletion Potential (FDP) - kg oil eq</v>
      </c>
      <c r="M11073" s="154" t="str">
        <f t="shared" si="945"/>
        <v>High_Medium_Base_Upgraded_Fossil Depletion Potential (FDP) - kg oil eq_ClearCove SCP; wastewater treatment unit; at updated plant - US_Base_With Amendment_Aerated Static Pile</v>
      </c>
    </row>
    <row r="11074" spans="1:13" s="120" customFormat="1" x14ac:dyDescent="0.25">
      <c r="A11074" s="119"/>
      <c r="B11074" s="138" t="str">
        <f t="shared" si="946"/>
        <v>Aerated Static Pile</v>
      </c>
      <c r="C11074" s="138" t="str">
        <f t="shared" si="947"/>
        <v>Base_With Amendment</v>
      </c>
      <c r="D11074" s="138" t="str">
        <f t="shared" si="950"/>
        <v>Medium_Base</v>
      </c>
      <c r="E11074" s="138" t="str">
        <f t="shared" si="949"/>
        <v>High</v>
      </c>
      <c r="F11074" s="138" t="str">
        <f t="shared" si="948"/>
        <v>Upgraded</v>
      </c>
      <c r="G11074" s="153"/>
      <c r="H11074" s="210">
        <v>-8.0600000000000005E-2</v>
      </c>
      <c r="I11074" s="160" t="s">
        <v>62</v>
      </c>
      <c r="J11074" s="160">
        <v>-7.6899999999999998E-3</v>
      </c>
      <c r="K11074" s="160" t="s">
        <v>14</v>
      </c>
      <c r="L11074" s="154" t="str">
        <f>IF(OpenLCAbasic!K11074="CTUh", "Fill in Manually",IF(OR(K11074="Unit", K11074=""), "", INDEX(LookUps!$E$5:$E$12, MATCH(OpenLCAbasic!K11074,LookUps!$D$5:$D$12,0))))</f>
        <v>Fossil Depletion Potential (FDP) - kg oil eq</v>
      </c>
      <c r="M11074" s="154" t="str">
        <f t="shared" si="945"/>
        <v>High_Medium_Base_Upgraded_Fossil Depletion Potential (FDP) - kg oil eq_Land application of compost; wastewater treatment unit; at updated plant - US_Base_With Amendment_Aerated Static Pile</v>
      </c>
    </row>
    <row r="11075" spans="1:13" s="120" customFormat="1" x14ac:dyDescent="0.25">
      <c r="A11075" s="119"/>
      <c r="B11075" s="138" t="str">
        <f t="shared" si="946"/>
        <v>Aerated Static Pile</v>
      </c>
      <c r="C11075" s="138" t="str">
        <f t="shared" si="947"/>
        <v>Base_With Amendment</v>
      </c>
      <c r="D11075" s="138" t="str">
        <f t="shared" si="950"/>
        <v>Medium_Base</v>
      </c>
      <c r="E11075" s="138" t="str">
        <f t="shared" si="949"/>
        <v>High</v>
      </c>
      <c r="F11075" s="138" t="str">
        <f t="shared" si="948"/>
        <v>Upgraded</v>
      </c>
      <c r="G11075" s="153"/>
      <c r="H11075" s="210">
        <v>-1.8976</v>
      </c>
      <c r="I11075" s="160" t="s">
        <v>149</v>
      </c>
      <c r="J11075" s="160">
        <v>-0.18092</v>
      </c>
      <c r="K11075" s="160" t="s">
        <v>14</v>
      </c>
      <c r="L11075" s="154" t="str">
        <f>IF(OpenLCAbasic!K11075="CTUh", "Fill in Manually",IF(OR(K11075="Unit", K11075=""), "", INDEX(LookUps!$E$5:$E$12, MATCH(OpenLCAbasic!K11075,LookUps!$D$5:$D$12,0))))</f>
        <v>Fossil Depletion Potential (FDP) - kg oil eq</v>
      </c>
      <c r="M11075" s="154" t="str">
        <f t="shared" si="945"/>
        <v>High_Medium_Base_Upgraded_Fossil Depletion Potential (FDP) - kg oil eq_Anaerobic Digestion; wastewater treatment unit; at updated plant - US_Base_With Amendment_Aerated Static Pile</v>
      </c>
    </row>
    <row r="11076" spans="1:13" s="120" customFormat="1" x14ac:dyDescent="0.25">
      <c r="A11076" s="119"/>
      <c r="B11076" s="138" t="str">
        <f t="shared" si="946"/>
        <v/>
      </c>
      <c r="C11076" s="138" t="str">
        <f t="shared" si="947"/>
        <v/>
      </c>
      <c r="D11076" s="138" t="str">
        <f t="shared" si="950"/>
        <v/>
      </c>
      <c r="E11076" s="138" t="str">
        <f t="shared" si="949"/>
        <v/>
      </c>
      <c r="F11076" s="138" t="str">
        <f t="shared" si="948"/>
        <v/>
      </c>
      <c r="G11076" s="153" t="s">
        <v>51</v>
      </c>
      <c r="H11076" s="160"/>
      <c r="I11076" s="160" t="s">
        <v>47</v>
      </c>
      <c r="J11076" s="160" t="s">
        <v>52</v>
      </c>
      <c r="K11076" s="160" t="s">
        <v>27</v>
      </c>
      <c r="L11076" s="154" t="str">
        <f>IF(OpenLCAbasic!K11076="CTUh", "Fill in Manually",IF(OR(K11076="Unit", K11076=""), "", INDEX(LookUps!$E$5:$E$12, MATCH(OpenLCAbasic!K11076,LookUps!$D$5:$D$12,0))))</f>
        <v/>
      </c>
      <c r="M11076" s="154" t="str">
        <f t="shared" ref="M11076:M11139" si="951">CONCATENATE(E11076,"_",D11076,"_",F11076,"_",L11076, "_",I11076,"_", C11076,"_", B11076)</f>
        <v>____Process__</v>
      </c>
    </row>
    <row r="11077" spans="1:13" s="120" customFormat="1" x14ac:dyDescent="0.25">
      <c r="A11077" s="119"/>
      <c r="B11077" s="138" t="str">
        <f t="shared" si="946"/>
        <v>Aerated Static Pile</v>
      </c>
      <c r="C11077" s="138" t="str">
        <f t="shared" si="947"/>
        <v>Base_With Amendment</v>
      </c>
      <c r="D11077" s="138" t="str">
        <f t="shared" si="950"/>
        <v>Medium_Base</v>
      </c>
      <c r="E11077" s="138" t="str">
        <f t="shared" si="949"/>
        <v>High</v>
      </c>
      <c r="F11077" s="138" t="str">
        <f t="shared" si="948"/>
        <v>Upgraded</v>
      </c>
      <c r="G11077" s="153"/>
      <c r="H11077" s="210">
        <v>1.2349000000000001</v>
      </c>
      <c r="I11077" s="160" t="s">
        <v>435</v>
      </c>
      <c r="J11077" s="160">
        <v>1.2008700000000001</v>
      </c>
      <c r="K11077" s="160" t="s">
        <v>23</v>
      </c>
      <c r="L11077" s="154" t="str">
        <f>IF(OpenLCAbasic!K11077="CTUh", "Fill in Manually",IF(OR(K11077="Unit", K11077=""), "", INDEX(LookUps!$E$5:$E$12, MATCH(OpenLCAbasic!K11077,LookUps!$D$5:$D$12,0))))</f>
        <v>Global Warming Potential (GWP) - kg CO2 eq</v>
      </c>
      <c r="M11077" s="154" t="str">
        <f t="shared" si="951"/>
        <v>High_Medium_Base_Upgraded_Global Warming Potential (GWP) - kg CO2 eq_Biosolids composting; aerated static pile; wastewater treatment unit; at updated plant - US_Base_With Amendment_Aerated Static Pile</v>
      </c>
    </row>
    <row r="11078" spans="1:13" s="120" customFormat="1" x14ac:dyDescent="0.25">
      <c r="A11078" s="119"/>
      <c r="B11078" s="138" t="str">
        <f t="shared" si="946"/>
        <v>Aerated Static Pile</v>
      </c>
      <c r="C11078" s="138" t="str">
        <f t="shared" si="947"/>
        <v>Base_With Amendment</v>
      </c>
      <c r="D11078" s="138" t="str">
        <f t="shared" si="950"/>
        <v>Medium_Base</v>
      </c>
      <c r="E11078" s="138" t="str">
        <f t="shared" si="949"/>
        <v>High</v>
      </c>
      <c r="F11078" s="138" t="str">
        <f t="shared" si="948"/>
        <v>Upgraded</v>
      </c>
      <c r="G11078" s="153"/>
      <c r="H11078" s="210">
        <v>0.25269999999999998</v>
      </c>
      <c r="I11078" s="160" t="s">
        <v>58</v>
      </c>
      <c r="J11078" s="160">
        <v>0.24568999999999999</v>
      </c>
      <c r="K11078" s="160" t="s">
        <v>23</v>
      </c>
      <c r="L11078" s="154" t="str">
        <f>IF(OpenLCAbasic!K11078="CTUh", "Fill in Manually",IF(OR(K11078="Unit", K11078=""), "", INDEX(LookUps!$E$5:$E$12, MATCH(OpenLCAbasic!K11078,LookUps!$D$5:$D$12,0))))</f>
        <v>Global Warming Potential (GWP) - kg CO2 eq</v>
      </c>
      <c r="M11078" s="154" t="str">
        <f t="shared" si="951"/>
        <v>High_Medium_Base_Upgraded_Global Warming Potential (GWP) - kg CO2 eq_Pre-Anoxic &amp; Swing tank; wastewater treatment unit; at updated plant - US_Base_With Amendment_Aerated Static Pile</v>
      </c>
    </row>
    <row r="11079" spans="1:13" s="120" customFormat="1" x14ac:dyDescent="0.25">
      <c r="A11079" s="119"/>
      <c r="B11079" s="138" t="str">
        <f t="shared" si="946"/>
        <v>Aerated Static Pile</v>
      </c>
      <c r="C11079" s="138" t="str">
        <f t="shared" si="947"/>
        <v>Base_With Amendment</v>
      </c>
      <c r="D11079" s="138" t="str">
        <f t="shared" si="950"/>
        <v>Medium_Base</v>
      </c>
      <c r="E11079" s="138" t="str">
        <f t="shared" si="949"/>
        <v>High</v>
      </c>
      <c r="F11079" s="138" t="str">
        <f t="shared" si="948"/>
        <v>Upgraded</v>
      </c>
      <c r="G11079" s="153"/>
      <c r="H11079" s="210">
        <v>0.17299999999999999</v>
      </c>
      <c r="I11079" s="160" t="s">
        <v>55</v>
      </c>
      <c r="J11079" s="160">
        <v>0.16822000000000001</v>
      </c>
      <c r="K11079" s="160" t="s">
        <v>23</v>
      </c>
      <c r="L11079" s="154" t="str">
        <f>IF(OpenLCAbasic!K11079="CTUh", "Fill in Manually",IF(OR(K11079="Unit", K11079=""), "", INDEX(LookUps!$E$5:$E$12, MATCH(OpenLCAbasic!K11079,LookUps!$D$5:$D$12,0))))</f>
        <v>Global Warming Potential (GWP) - kg CO2 eq</v>
      </c>
      <c r="M11079" s="154" t="str">
        <f t="shared" si="951"/>
        <v>High_Medium_Base_Upgraded_Global Warming Potential (GWP) - kg CO2 eq_Aeration Tanks; wastewater treatment unit; at updated plant - US_Base_With Amendment_Aerated Static Pile</v>
      </c>
    </row>
    <row r="11080" spans="1:13" s="120" customFormat="1" x14ac:dyDescent="0.25">
      <c r="A11080" s="119"/>
      <c r="B11080" s="138" t="str">
        <f t="shared" si="946"/>
        <v>Aerated Static Pile</v>
      </c>
      <c r="C11080" s="138" t="str">
        <f t="shared" si="947"/>
        <v>Base_With Amendment</v>
      </c>
      <c r="D11080" s="138" t="str">
        <f t="shared" si="950"/>
        <v>Medium_Base</v>
      </c>
      <c r="E11080" s="138" t="str">
        <f t="shared" si="949"/>
        <v>High</v>
      </c>
      <c r="F11080" s="138" t="str">
        <f t="shared" si="948"/>
        <v>Upgraded</v>
      </c>
      <c r="G11080" s="153"/>
      <c r="H11080" s="210">
        <v>0.12709999999999999</v>
      </c>
      <c r="I11080" s="160" t="s">
        <v>167</v>
      </c>
      <c r="J11080" s="160">
        <v>0.12354999999999999</v>
      </c>
      <c r="K11080" s="160" t="s">
        <v>23</v>
      </c>
      <c r="L11080" s="154" t="str">
        <f>IF(OpenLCAbasic!K11080="CTUh", "Fill in Manually",IF(OR(K11080="Unit", K11080=""), "", INDEX(LookUps!$E$5:$E$12, MATCH(OpenLCAbasic!K11080,LookUps!$D$5:$D$12,0))))</f>
        <v>Global Warming Potential (GWP) - kg CO2 eq</v>
      </c>
      <c r="M11080" s="154" t="str">
        <f t="shared" si="951"/>
        <v>High_Medium_Base_Upgraded_Global Warming Potential (GWP) - kg CO2 eq_Waste Receiving and Holding; wastewater treatment unit; at updated plant - US_Base_With Amendment_Aerated Static Pile</v>
      </c>
    </row>
    <row r="11081" spans="1:13" s="120" customFormat="1" x14ac:dyDescent="0.25">
      <c r="A11081" s="119"/>
      <c r="B11081" s="138" t="str">
        <f t="shared" si="946"/>
        <v>Aerated Static Pile</v>
      </c>
      <c r="C11081" s="138" t="str">
        <f t="shared" si="947"/>
        <v>Base_With Amendment</v>
      </c>
      <c r="D11081" s="138" t="str">
        <f t="shared" si="950"/>
        <v>Medium_Base</v>
      </c>
      <c r="E11081" s="138" t="str">
        <f t="shared" si="949"/>
        <v>High</v>
      </c>
      <c r="F11081" s="138" t="str">
        <f t="shared" si="948"/>
        <v>Upgraded</v>
      </c>
      <c r="G11081" s="153"/>
      <c r="H11081" s="210">
        <v>5.8700000000000002E-2</v>
      </c>
      <c r="I11081" s="160" t="s">
        <v>54</v>
      </c>
      <c r="J11081" s="160">
        <v>5.7079999999999999E-2</v>
      </c>
      <c r="K11081" s="160" t="s">
        <v>23</v>
      </c>
      <c r="L11081" s="154" t="str">
        <f>IF(OpenLCAbasic!K11081="CTUh", "Fill in Manually",IF(OR(K11081="Unit", K11081=""), "", INDEX(LookUps!$E$5:$E$12, MATCH(OpenLCAbasic!K11081,LookUps!$D$5:$D$12,0))))</f>
        <v>Global Warming Potential (GWP) - kg CO2 eq</v>
      </c>
      <c r="M11081" s="154" t="str">
        <f t="shared" si="951"/>
        <v>High_Medium_Base_Upgraded_Global Warming Potential (GWP) - kg CO2 eq_Clear Cove Primary Clarification; wastewater treatment unit; at updated plant - US_Base_With Amendment_Aerated Static Pile</v>
      </c>
    </row>
    <row r="11082" spans="1:13" s="120" customFormat="1" x14ac:dyDescent="0.25">
      <c r="A11082" s="119"/>
      <c r="B11082" s="138" t="str">
        <f t="shared" ref="B11082:B11145" si="952">IF(F11082="Legacy","n.a.",IF(F11082="","","Aerated Static Pile"))</f>
        <v>Aerated Static Pile</v>
      </c>
      <c r="C11082" s="138" t="str">
        <f t="shared" ref="C11082:C11145" si="953">IF(ISNUMBER($J11082),"Base_With Amendment","")</f>
        <v>Base_With Amendment</v>
      </c>
      <c r="D11082" s="138" t="str">
        <f t="shared" si="950"/>
        <v>Medium_Base</v>
      </c>
      <c r="E11082" s="138" t="str">
        <f t="shared" si="949"/>
        <v>High</v>
      </c>
      <c r="F11082" s="138" t="str">
        <f t="shared" ref="F11082:F11145" si="954">IF(ISNUMBER(J11082),"Upgraded","")</f>
        <v>Upgraded</v>
      </c>
      <c r="G11082" s="153"/>
      <c r="H11082" s="210">
        <v>5.4100000000000002E-2</v>
      </c>
      <c r="I11082" s="160" t="s">
        <v>48</v>
      </c>
      <c r="J11082" s="160">
        <v>5.2639999999999999E-2</v>
      </c>
      <c r="K11082" s="160" t="s">
        <v>23</v>
      </c>
      <c r="L11082" s="154" t="str">
        <f>IF(OpenLCAbasic!K11082="CTUh", "Fill in Manually",IF(OR(K11082="Unit", K11082=""), "", INDEX(LookUps!$E$5:$E$12, MATCH(OpenLCAbasic!K11082,LookUps!$D$5:$D$12,0))))</f>
        <v>Global Warming Potential (GWP) - kg CO2 eq</v>
      </c>
      <c r="M11082" s="154" t="str">
        <f t="shared" si="951"/>
        <v>High_Medium_Base_Upgraded_Global Warming Potential (GWP) - kg CO2 eq_Effluent release; wastewater treatment unit; at surface water; m3 wastewater - US_Base_With Amendment_Aerated Static Pile</v>
      </c>
    </row>
    <row r="11083" spans="1:13" s="120" customFormat="1" x14ac:dyDescent="0.25">
      <c r="A11083" s="119"/>
      <c r="B11083" s="138" t="str">
        <f t="shared" si="952"/>
        <v>Aerated Static Pile</v>
      </c>
      <c r="C11083" s="138" t="str">
        <f t="shared" si="953"/>
        <v>Base_With Amendment</v>
      </c>
      <c r="D11083" s="138" t="str">
        <f t="shared" si="950"/>
        <v>Medium_Base</v>
      </c>
      <c r="E11083" s="138" t="str">
        <f t="shared" si="949"/>
        <v>High</v>
      </c>
      <c r="F11083" s="138" t="str">
        <f t="shared" si="954"/>
        <v>Upgraded</v>
      </c>
      <c r="G11083" s="153"/>
      <c r="H11083" s="210">
        <v>5.1900000000000002E-2</v>
      </c>
      <c r="I11083" s="160" t="s">
        <v>147</v>
      </c>
      <c r="J11083" s="160">
        <v>5.0500000000000003E-2</v>
      </c>
      <c r="K11083" s="160" t="s">
        <v>23</v>
      </c>
      <c r="L11083" s="154" t="str">
        <f>IF(OpenLCAbasic!K11083="CTUh", "Fill in Manually",IF(OR(K11083="Unit", K11083=""), "", INDEX(LookUps!$E$5:$E$12, MATCH(OpenLCAbasic!K11083,LookUps!$D$5:$D$12,0))))</f>
        <v>Global Warming Potential (GWP) - kg CO2 eq</v>
      </c>
      <c r="M11083" s="154" t="str">
        <f t="shared" si="951"/>
        <v>High_Medium_Base_Upgraded_Global Warming Potential (GWP) - kg CO2 eq_Influent Pump Station; wastewater treatment unit; at updated plant - US_Base_With Amendment_Aerated Static Pile</v>
      </c>
    </row>
    <row r="11084" spans="1:13" s="120" customFormat="1" x14ac:dyDescent="0.25">
      <c r="A11084" s="119"/>
      <c r="B11084" s="138" t="str">
        <f t="shared" si="952"/>
        <v>Aerated Static Pile</v>
      </c>
      <c r="C11084" s="138" t="str">
        <f t="shared" si="953"/>
        <v>Base_With Amendment</v>
      </c>
      <c r="D11084" s="138" t="str">
        <f t="shared" si="950"/>
        <v>Medium_Base</v>
      </c>
      <c r="E11084" s="138" t="str">
        <f t="shared" si="949"/>
        <v>High</v>
      </c>
      <c r="F11084" s="138" t="str">
        <f t="shared" si="954"/>
        <v>Upgraded</v>
      </c>
      <c r="G11084" s="153"/>
      <c r="H11084" s="210">
        <v>3.4200000000000001E-2</v>
      </c>
      <c r="I11084" s="160" t="s">
        <v>53</v>
      </c>
      <c r="J11084" s="160">
        <v>3.3259999999999998E-2</v>
      </c>
      <c r="K11084" s="160" t="s">
        <v>23</v>
      </c>
      <c r="L11084" s="154" t="str">
        <f>IF(OpenLCAbasic!K11084="CTUh", "Fill in Manually",IF(OR(K11084="Unit", K11084=""), "", INDEX(LookUps!$E$5:$E$12, MATCH(OpenLCAbasic!K11084,LookUps!$D$5:$D$12,0))))</f>
        <v>Global Warming Potential (GWP) - kg CO2 eq</v>
      </c>
      <c r="M11084" s="154" t="str">
        <f t="shared" si="951"/>
        <v>High_Medium_Base_Upgraded_Global Warming Potential (GWP) - kg CO2 eq_Wet Well and Sump Station; wastewater treatment unit; at updated plant - US_Base_With Amendment_Aerated Static Pile</v>
      </c>
    </row>
    <row r="11085" spans="1:13" s="120" customFormat="1" x14ac:dyDescent="0.25">
      <c r="A11085" s="119"/>
      <c r="B11085" s="138" t="str">
        <f t="shared" si="952"/>
        <v>Aerated Static Pile</v>
      </c>
      <c r="C11085" s="138" t="str">
        <f t="shared" si="953"/>
        <v>Base_With Amendment</v>
      </c>
      <c r="D11085" s="138" t="str">
        <f t="shared" si="950"/>
        <v>Medium_Base</v>
      </c>
      <c r="E11085" s="138" t="str">
        <f t="shared" si="949"/>
        <v>High</v>
      </c>
      <c r="F11085" s="138" t="str">
        <f t="shared" si="954"/>
        <v>Upgraded</v>
      </c>
      <c r="G11085" s="153"/>
      <c r="H11085" s="210">
        <v>1.8100000000000002E-2</v>
      </c>
      <c r="I11085" s="160" t="s">
        <v>60</v>
      </c>
      <c r="J11085" s="160">
        <v>1.7639999999999999E-2</v>
      </c>
      <c r="K11085" s="160" t="s">
        <v>23</v>
      </c>
      <c r="L11085" s="154" t="str">
        <f>IF(OpenLCAbasic!K11085="CTUh", "Fill in Manually",IF(OR(K11085="Unit", K11085=""), "", INDEX(LookUps!$E$5:$E$12, MATCH(OpenLCAbasic!K11085,LookUps!$D$5:$D$12,0))))</f>
        <v>Global Warming Potential (GWP) - kg CO2 eq</v>
      </c>
      <c r="M11085" s="154" t="str">
        <f t="shared" si="951"/>
        <v>High_Medium_Base_Upgraded_Global Warming Potential (GWP) - kg CO2 eq_Belt filter press; wastewater treatment unit; at updated plant - US_Base_With Amendment_Aerated Static Pile</v>
      </c>
    </row>
    <row r="11086" spans="1:13" s="120" customFormat="1" x14ac:dyDescent="0.25">
      <c r="A11086" s="119"/>
      <c r="B11086" s="138" t="str">
        <f t="shared" si="952"/>
        <v>Aerated Static Pile</v>
      </c>
      <c r="C11086" s="138" t="str">
        <f t="shared" si="953"/>
        <v>Base_With Amendment</v>
      </c>
      <c r="D11086" s="138" t="str">
        <f t="shared" si="950"/>
        <v>Medium_Base</v>
      </c>
      <c r="E11086" s="138" t="str">
        <f t="shared" si="949"/>
        <v>High</v>
      </c>
      <c r="F11086" s="138" t="str">
        <f t="shared" si="954"/>
        <v>Upgraded</v>
      </c>
      <c r="G11086" s="153"/>
      <c r="H11086" s="210">
        <v>1.4999999999999999E-2</v>
      </c>
      <c r="I11086" s="160" t="s">
        <v>57</v>
      </c>
      <c r="J11086" s="160">
        <v>1.455E-2</v>
      </c>
      <c r="K11086" s="160" t="s">
        <v>23</v>
      </c>
      <c r="L11086" s="154" t="str">
        <f>IF(OpenLCAbasic!K11086="CTUh", "Fill in Manually",IF(OR(K11086="Unit", K11086=""), "", INDEX(LookUps!$E$5:$E$12, MATCH(OpenLCAbasic!K11086,LookUps!$D$5:$D$12,0))))</f>
        <v>Global Warming Potential (GWP) - kg CO2 eq</v>
      </c>
      <c r="M11086" s="154" t="str">
        <f t="shared" si="951"/>
        <v>High_Medium_Base_Upgraded_Global Warming Potential (GWP) - kg CO2 eq_Gravity Belt Thickener; wastewater treatment unit; at updated plant - US_Base_With Amendment_Aerated Static Pile</v>
      </c>
    </row>
    <row r="11087" spans="1:13" s="120" customFormat="1" x14ac:dyDescent="0.25">
      <c r="A11087" s="119"/>
      <c r="B11087" s="138" t="str">
        <f t="shared" si="952"/>
        <v>Aerated Static Pile</v>
      </c>
      <c r="C11087" s="138" t="str">
        <f t="shared" si="953"/>
        <v>Base_With Amendment</v>
      </c>
      <c r="D11087" s="138" t="str">
        <f t="shared" si="950"/>
        <v>Medium_Base</v>
      </c>
      <c r="E11087" s="138" t="str">
        <f t="shared" si="949"/>
        <v>High</v>
      </c>
      <c r="F11087" s="138" t="str">
        <f t="shared" si="954"/>
        <v>Upgraded</v>
      </c>
      <c r="G11087" s="153"/>
      <c r="H11087" s="210">
        <v>1.3899999999999999E-2</v>
      </c>
      <c r="I11087" s="160" t="s">
        <v>128</v>
      </c>
      <c r="J11087" s="160">
        <v>1.3509999999999999E-2</v>
      </c>
      <c r="K11087" s="160" t="s">
        <v>23</v>
      </c>
      <c r="L11087" s="154" t="str">
        <f>IF(OpenLCAbasic!K11087="CTUh", "Fill in Manually",IF(OR(K11087="Unit", K11087=""), "", INDEX(LookUps!$E$5:$E$12, MATCH(OpenLCAbasic!K11087,LookUps!$D$5:$D$12,0))))</f>
        <v>Global Warming Potential (GWP) - kg CO2 eq</v>
      </c>
      <c r="M11087" s="154" t="str">
        <f t="shared" si="951"/>
        <v>High_Medium_Base_Upgraded_Global Warming Potential (GWP) - kg CO2 eq_Wastewater collection; operation and infrastructure; m3 wastewater_Base_With Amendment_Aerated Static Pile</v>
      </c>
    </row>
    <row r="11088" spans="1:13" s="120" customFormat="1" x14ac:dyDescent="0.25">
      <c r="A11088" s="119"/>
      <c r="B11088" s="138" t="str">
        <f t="shared" si="952"/>
        <v>Aerated Static Pile</v>
      </c>
      <c r="C11088" s="138" t="str">
        <f t="shared" si="953"/>
        <v>Base_With Amendment</v>
      </c>
      <c r="D11088" s="138" t="str">
        <f t="shared" si="950"/>
        <v>Medium_Base</v>
      </c>
      <c r="E11088" s="138" t="str">
        <f t="shared" si="949"/>
        <v>High</v>
      </c>
      <c r="F11088" s="138" t="str">
        <f t="shared" si="954"/>
        <v>Upgraded</v>
      </c>
      <c r="G11088" s="153"/>
      <c r="H11088" s="210">
        <v>8.5000000000000006E-3</v>
      </c>
      <c r="I11088" s="160" t="s">
        <v>148</v>
      </c>
      <c r="J11088" s="160">
        <v>8.3000000000000001E-3</v>
      </c>
      <c r="K11088" s="160" t="s">
        <v>23</v>
      </c>
      <c r="L11088" s="154" t="str">
        <f>IF(OpenLCAbasic!K11088="CTUh", "Fill in Manually",IF(OR(K11088="Unit", K11088=""), "", INDEX(LookUps!$E$5:$E$12, MATCH(OpenLCAbasic!K11088,LookUps!$D$5:$D$12,0))))</f>
        <v>Global Warming Potential (GWP) - kg CO2 eq</v>
      </c>
      <c r="M11088" s="154" t="str">
        <f t="shared" si="951"/>
        <v>High_Medium_Base_Upgraded_Global Warming Potential (GWP) - kg CO2 eq_Control Building; at upgraded wastewater treatment plant - US_Base_With Amendment_Aerated Static Pile</v>
      </c>
    </row>
    <row r="11089" spans="1:13" s="120" customFormat="1" x14ac:dyDescent="0.25">
      <c r="A11089" s="119"/>
      <c r="B11089" s="138" t="str">
        <f t="shared" si="952"/>
        <v>Aerated Static Pile</v>
      </c>
      <c r="C11089" s="138" t="str">
        <f t="shared" si="953"/>
        <v>Base_With Amendment</v>
      </c>
      <c r="D11089" s="138" t="str">
        <f t="shared" si="950"/>
        <v>Medium_Base</v>
      </c>
      <c r="E11089" s="138" t="str">
        <f t="shared" si="949"/>
        <v>High</v>
      </c>
      <c r="F11089" s="138" t="str">
        <f t="shared" si="954"/>
        <v>Upgraded</v>
      </c>
      <c r="G11089" s="153"/>
      <c r="H11089" s="210">
        <v>5.1999999999999998E-3</v>
      </c>
      <c r="I11089" s="160" t="s">
        <v>59</v>
      </c>
      <c r="J11089" s="160">
        <v>5.0400000000000002E-3</v>
      </c>
      <c r="K11089" s="160" t="s">
        <v>23</v>
      </c>
      <c r="L11089" s="154" t="str">
        <f>IF(OpenLCAbasic!K11089="CTUh", "Fill in Manually",IF(OR(K11089="Unit", K11089=""), "", INDEX(LookUps!$E$5:$E$12, MATCH(OpenLCAbasic!K11089,LookUps!$D$5:$D$12,0))))</f>
        <v>Global Warming Potential (GWP) - kg CO2 eq</v>
      </c>
      <c r="M11089" s="154" t="str">
        <f t="shared" si="951"/>
        <v>High_Medium_Base_Upgraded_Global Warming Potential (GWP) - kg CO2 eq_Blend Tank; wastewater treatment unit; at updated plant - US_Base_With Amendment_Aerated Static Pile</v>
      </c>
    </row>
    <row r="11090" spans="1:13" s="120" customFormat="1" x14ac:dyDescent="0.25">
      <c r="A11090" s="119"/>
      <c r="B11090" s="138" t="str">
        <f t="shared" si="952"/>
        <v>Aerated Static Pile</v>
      </c>
      <c r="C11090" s="138" t="str">
        <f t="shared" si="953"/>
        <v>Base_With Amendment</v>
      </c>
      <c r="D11090" s="138" t="str">
        <f t="shared" si="950"/>
        <v>Medium_Base</v>
      </c>
      <c r="E11090" s="138" t="str">
        <f t="shared" si="949"/>
        <v>High</v>
      </c>
      <c r="F11090" s="138" t="str">
        <f t="shared" si="954"/>
        <v>Upgraded</v>
      </c>
      <c r="G11090" s="153"/>
      <c r="H11090" s="210">
        <v>2.5000000000000001E-3</v>
      </c>
      <c r="I11090" s="160" t="s">
        <v>168</v>
      </c>
      <c r="J11090" s="160">
        <v>2.4099999999999998E-3</v>
      </c>
      <c r="K11090" s="160" t="s">
        <v>23</v>
      </c>
      <c r="L11090" s="154" t="str">
        <f>IF(OpenLCAbasic!K11090="CTUh", "Fill in Manually",IF(OR(K11090="Unit", K11090=""), "", INDEX(LookUps!$E$5:$E$12, MATCH(OpenLCAbasic!K11090,LookUps!$D$5:$D$12,0))))</f>
        <v>Global Warming Potential (GWP) - kg CO2 eq</v>
      </c>
      <c r="M11090" s="154" t="str">
        <f t="shared" si="951"/>
        <v>High_Medium_Base_Upgraded_Global Warming Potential (GWP) - kg CO2 eq_ClearCove SCP; wastewater treatment unit; at updated plant - US_Base_With Amendment_Aerated Static Pile</v>
      </c>
    </row>
    <row r="11091" spans="1:13" s="120" customFormat="1" x14ac:dyDescent="0.25">
      <c r="A11091" s="119"/>
      <c r="B11091" s="138" t="str">
        <f t="shared" si="952"/>
        <v>Aerated Static Pile</v>
      </c>
      <c r="C11091" s="138" t="str">
        <f t="shared" si="953"/>
        <v>Base_With Amendment</v>
      </c>
      <c r="D11091" s="138" t="str">
        <f t="shared" si="950"/>
        <v>Medium_Base</v>
      </c>
      <c r="E11091" s="138" t="str">
        <f t="shared" si="949"/>
        <v>High</v>
      </c>
      <c r="F11091" s="138" t="str">
        <f t="shared" si="954"/>
        <v>Upgraded</v>
      </c>
      <c r="G11091" s="153"/>
      <c r="H11091" s="210">
        <v>-0.3805</v>
      </c>
      <c r="I11091" s="160" t="s">
        <v>149</v>
      </c>
      <c r="J11091" s="160">
        <v>-0.36997999999999998</v>
      </c>
      <c r="K11091" s="160" t="s">
        <v>23</v>
      </c>
      <c r="L11091" s="154" t="str">
        <f>IF(OpenLCAbasic!K11091="CTUh", "Fill in Manually",IF(OR(K11091="Unit", K11091=""), "", INDEX(LookUps!$E$5:$E$12, MATCH(OpenLCAbasic!K11091,LookUps!$D$5:$D$12,0))))</f>
        <v>Global Warming Potential (GWP) - kg CO2 eq</v>
      </c>
      <c r="M11091" s="154" t="str">
        <f t="shared" si="951"/>
        <v>High_Medium_Base_Upgraded_Global Warming Potential (GWP) - kg CO2 eq_Anaerobic Digestion; wastewater treatment unit; at updated plant - US_Base_With Amendment_Aerated Static Pile</v>
      </c>
    </row>
    <row r="11092" spans="1:13" s="120" customFormat="1" x14ac:dyDescent="0.25">
      <c r="A11092" s="119"/>
      <c r="B11092" s="138" t="str">
        <f t="shared" si="952"/>
        <v>Aerated Static Pile</v>
      </c>
      <c r="C11092" s="138" t="str">
        <f t="shared" si="953"/>
        <v>Base_With Amendment</v>
      </c>
      <c r="D11092" s="138" t="str">
        <f t="shared" si="950"/>
        <v>Medium_Base</v>
      </c>
      <c r="E11092" s="138" t="str">
        <f t="shared" si="949"/>
        <v>High</v>
      </c>
      <c r="F11092" s="138" t="str">
        <f t="shared" si="954"/>
        <v>Upgraded</v>
      </c>
      <c r="G11092" s="153"/>
      <c r="H11092" s="210">
        <v>-0.66930000000000001</v>
      </c>
      <c r="I11092" s="160" t="s">
        <v>62</v>
      </c>
      <c r="J11092" s="160">
        <v>-0.65086999999999995</v>
      </c>
      <c r="K11092" s="160" t="s">
        <v>23</v>
      </c>
      <c r="L11092" s="154" t="str">
        <f>IF(OpenLCAbasic!K11092="CTUh", "Fill in Manually",IF(OR(K11092="Unit", K11092=""), "", INDEX(LookUps!$E$5:$E$12, MATCH(OpenLCAbasic!K11092,LookUps!$D$5:$D$12,0))))</f>
        <v>Global Warming Potential (GWP) - kg CO2 eq</v>
      </c>
      <c r="M11092" s="154" t="str">
        <f t="shared" si="951"/>
        <v>High_Medium_Base_Upgraded_Global Warming Potential (GWP) - kg CO2 eq_Land application of compost; wastewater treatment unit; at updated plant - US_Base_With Amendment_Aerated Static Pile</v>
      </c>
    </row>
    <row r="11093" spans="1:13" s="120" customFormat="1" x14ac:dyDescent="0.25">
      <c r="A11093" s="119"/>
      <c r="B11093" s="138" t="str">
        <f t="shared" si="952"/>
        <v/>
      </c>
      <c r="C11093" s="138" t="str">
        <f t="shared" si="953"/>
        <v/>
      </c>
      <c r="D11093" s="138" t="str">
        <f t="shared" si="950"/>
        <v/>
      </c>
      <c r="E11093" s="138" t="str">
        <f t="shared" si="949"/>
        <v/>
      </c>
      <c r="F11093" s="138" t="str">
        <f t="shared" si="954"/>
        <v/>
      </c>
      <c r="G11093" s="153" t="s">
        <v>51</v>
      </c>
      <c r="H11093" s="160"/>
      <c r="I11093" s="160" t="s">
        <v>47</v>
      </c>
      <c r="J11093" s="160" t="s">
        <v>52</v>
      </c>
      <c r="K11093" s="160" t="s">
        <v>27</v>
      </c>
      <c r="L11093" s="154" t="str">
        <f>IF(OpenLCAbasic!K11093="CTUh", "Fill in Manually",IF(OR(K11093="Unit", K11093=""), "", INDEX(LookUps!$E$5:$E$12, MATCH(OpenLCAbasic!K11093,LookUps!$D$5:$D$12,0))))</f>
        <v/>
      </c>
      <c r="M11093" s="154" t="str">
        <f t="shared" si="951"/>
        <v>____Process__</v>
      </c>
    </row>
    <row r="11094" spans="1:13" s="120" customFormat="1" x14ac:dyDescent="0.25">
      <c r="A11094" s="119"/>
      <c r="B11094" s="138" t="str">
        <f t="shared" si="952"/>
        <v>Aerated Static Pile</v>
      </c>
      <c r="C11094" s="138" t="str">
        <f t="shared" si="953"/>
        <v>Base_With Amendment</v>
      </c>
      <c r="D11094" s="138" t="str">
        <f t="shared" si="950"/>
        <v>Medium_Base</v>
      </c>
      <c r="E11094" s="138" t="str">
        <f t="shared" si="949"/>
        <v>High</v>
      </c>
      <c r="F11094" s="138" t="str">
        <f t="shared" si="954"/>
        <v>Upgraded</v>
      </c>
      <c r="G11094" s="153"/>
      <c r="H11094" s="210">
        <v>0.61309999999999998</v>
      </c>
      <c r="I11094" s="160" t="s">
        <v>55</v>
      </c>
      <c r="J11094" s="160">
        <v>2.33E-3</v>
      </c>
      <c r="K11094" s="160" t="s">
        <v>145</v>
      </c>
      <c r="L11094" s="154" t="str">
        <f>IF(OpenLCAbasic!K11094="CTUh", "Fill in Manually",IF(OR(K11094="Unit", K11094=""), "", INDEX(LookUps!$E$5:$E$12, MATCH(OpenLCAbasic!K11094,LookUps!$D$5:$D$12,0))))</f>
        <v>Particulate Matter Formation Potential (PMFP) - kg PM2.5 eq</v>
      </c>
      <c r="M11094" s="154" t="str">
        <f t="shared" si="951"/>
        <v>High_Medium_Base_Upgraded_Particulate Matter Formation Potential (PMFP) - kg PM2.5 eq_Aeration Tanks; wastewater treatment unit; at updated plant - US_Base_With Amendment_Aerated Static Pile</v>
      </c>
    </row>
    <row r="11095" spans="1:13" s="120" customFormat="1" x14ac:dyDescent="0.25">
      <c r="A11095" s="119"/>
      <c r="B11095" s="138" t="str">
        <f t="shared" si="952"/>
        <v>Aerated Static Pile</v>
      </c>
      <c r="C11095" s="138" t="str">
        <f t="shared" si="953"/>
        <v>Base_With Amendment</v>
      </c>
      <c r="D11095" s="138" t="str">
        <f t="shared" si="950"/>
        <v>Medium_Base</v>
      </c>
      <c r="E11095" s="138" t="str">
        <f t="shared" si="949"/>
        <v>High</v>
      </c>
      <c r="F11095" s="138" t="str">
        <f t="shared" si="954"/>
        <v>Upgraded</v>
      </c>
      <c r="G11095" s="153"/>
      <c r="H11095" s="210">
        <v>0.31040000000000001</v>
      </c>
      <c r="I11095" s="160" t="s">
        <v>435</v>
      </c>
      <c r="J11095" s="160">
        <v>1.1800000000000001E-3</v>
      </c>
      <c r="K11095" s="160" t="s">
        <v>145</v>
      </c>
      <c r="L11095" s="154" t="str">
        <f>IF(OpenLCAbasic!K11095="CTUh", "Fill in Manually",IF(OR(K11095="Unit", K11095=""), "", INDEX(LookUps!$E$5:$E$12, MATCH(OpenLCAbasic!K11095,LookUps!$D$5:$D$12,0))))</f>
        <v>Particulate Matter Formation Potential (PMFP) - kg PM2.5 eq</v>
      </c>
      <c r="M11095" s="154" t="str">
        <f t="shared" si="951"/>
        <v>High_Medium_Base_Upgraded_Particulate Matter Formation Potential (PMFP) - kg PM2.5 eq_Biosolids composting; aerated static pile; wastewater treatment unit; at updated plant - US_Base_With Amendment_Aerated Static Pile</v>
      </c>
    </row>
    <row r="11096" spans="1:13" s="120" customFormat="1" x14ac:dyDescent="0.25">
      <c r="A11096" s="119"/>
      <c r="B11096" s="138" t="str">
        <f t="shared" si="952"/>
        <v>Aerated Static Pile</v>
      </c>
      <c r="C11096" s="138" t="str">
        <f t="shared" si="953"/>
        <v>Base_With Amendment</v>
      </c>
      <c r="D11096" s="138" t="str">
        <f t="shared" si="950"/>
        <v>Medium_Base</v>
      </c>
      <c r="E11096" s="138" t="str">
        <f t="shared" si="949"/>
        <v>High</v>
      </c>
      <c r="F11096" s="138" t="str">
        <f t="shared" si="954"/>
        <v>Upgraded</v>
      </c>
      <c r="G11096" s="153"/>
      <c r="H11096" s="210">
        <v>0.1784</v>
      </c>
      <c r="I11096" s="160" t="s">
        <v>54</v>
      </c>
      <c r="J11096" s="160">
        <v>6.8000000000000005E-4</v>
      </c>
      <c r="K11096" s="160" t="s">
        <v>145</v>
      </c>
      <c r="L11096" s="154" t="str">
        <f>IF(OpenLCAbasic!K11096="CTUh", "Fill in Manually",IF(OR(K11096="Unit", K11096=""), "", INDEX(LookUps!$E$5:$E$12, MATCH(OpenLCAbasic!K11096,LookUps!$D$5:$D$12,0))))</f>
        <v>Particulate Matter Formation Potential (PMFP) - kg PM2.5 eq</v>
      </c>
      <c r="M11096" s="154" t="str">
        <f t="shared" si="951"/>
        <v>High_Medium_Base_Upgraded_Particulate Matter Formation Potential (PMFP) - kg PM2.5 eq_Clear Cove Primary Clarification; wastewater treatment unit; at updated plant - US_Base_With Amendment_Aerated Static Pile</v>
      </c>
    </row>
    <row r="11097" spans="1:13" s="120" customFormat="1" x14ac:dyDescent="0.25">
      <c r="A11097" s="119"/>
      <c r="B11097" s="138" t="str">
        <f t="shared" si="952"/>
        <v>Aerated Static Pile</v>
      </c>
      <c r="C11097" s="138" t="str">
        <f t="shared" si="953"/>
        <v>Base_With Amendment</v>
      </c>
      <c r="D11097" s="138" t="str">
        <f t="shared" si="950"/>
        <v>Medium_Base</v>
      </c>
      <c r="E11097" s="138" t="str">
        <f t="shared" si="949"/>
        <v>High</v>
      </c>
      <c r="F11097" s="138" t="str">
        <f t="shared" si="954"/>
        <v>Upgraded</v>
      </c>
      <c r="G11097" s="153"/>
      <c r="H11097" s="210">
        <v>0.1547</v>
      </c>
      <c r="I11097" s="160" t="s">
        <v>58</v>
      </c>
      <c r="J11097" s="160">
        <v>5.9000000000000003E-4</v>
      </c>
      <c r="K11097" s="160" t="s">
        <v>145</v>
      </c>
      <c r="L11097" s="154" t="str">
        <f>IF(OpenLCAbasic!K11097="CTUh", "Fill in Manually",IF(OR(K11097="Unit", K11097=""), "", INDEX(LookUps!$E$5:$E$12, MATCH(OpenLCAbasic!K11097,LookUps!$D$5:$D$12,0))))</f>
        <v>Particulate Matter Formation Potential (PMFP) - kg PM2.5 eq</v>
      </c>
      <c r="M11097" s="154" t="str">
        <f t="shared" si="951"/>
        <v>High_Medium_Base_Upgraded_Particulate Matter Formation Potential (PMFP) - kg PM2.5 eq_Pre-Anoxic &amp; Swing tank; wastewater treatment unit; at updated plant - US_Base_With Amendment_Aerated Static Pile</v>
      </c>
    </row>
    <row r="11098" spans="1:13" s="120" customFormat="1" x14ac:dyDescent="0.25">
      <c r="A11098" s="119"/>
      <c r="B11098" s="138" t="str">
        <f t="shared" si="952"/>
        <v>Aerated Static Pile</v>
      </c>
      <c r="C11098" s="138" t="str">
        <f t="shared" si="953"/>
        <v>Base_With Amendment</v>
      </c>
      <c r="D11098" s="138" t="str">
        <f t="shared" si="950"/>
        <v>Medium_Base</v>
      </c>
      <c r="E11098" s="138" t="str">
        <f t="shared" si="949"/>
        <v>High</v>
      </c>
      <c r="F11098" s="138" t="str">
        <f t="shared" si="954"/>
        <v>Upgraded</v>
      </c>
      <c r="G11098" s="153"/>
      <c r="H11098" s="210">
        <v>0.1226</v>
      </c>
      <c r="I11098" s="160" t="s">
        <v>53</v>
      </c>
      <c r="J11098" s="160">
        <v>4.6999999999999999E-4</v>
      </c>
      <c r="K11098" s="160" t="s">
        <v>145</v>
      </c>
      <c r="L11098" s="154" t="str">
        <f>IF(OpenLCAbasic!K11098="CTUh", "Fill in Manually",IF(OR(K11098="Unit", K11098=""), "", INDEX(LookUps!$E$5:$E$12, MATCH(OpenLCAbasic!K11098,LookUps!$D$5:$D$12,0))))</f>
        <v>Particulate Matter Formation Potential (PMFP) - kg PM2.5 eq</v>
      </c>
      <c r="M11098" s="154" t="str">
        <f t="shared" si="951"/>
        <v>High_Medium_Base_Upgraded_Particulate Matter Formation Potential (PMFP) - kg PM2.5 eq_Wet Well and Sump Station; wastewater treatment unit; at updated plant - US_Base_With Amendment_Aerated Static Pile</v>
      </c>
    </row>
    <row r="11099" spans="1:13" s="120" customFormat="1" x14ac:dyDescent="0.25">
      <c r="A11099" s="119"/>
      <c r="B11099" s="138" t="str">
        <f t="shared" si="952"/>
        <v>Aerated Static Pile</v>
      </c>
      <c r="C11099" s="138" t="str">
        <f t="shared" si="953"/>
        <v>Base_With Amendment</v>
      </c>
      <c r="D11099" s="138" t="str">
        <f t="shared" si="950"/>
        <v>Medium_Base</v>
      </c>
      <c r="E11099" s="138" t="str">
        <f t="shared" si="949"/>
        <v>High</v>
      </c>
      <c r="F11099" s="138" t="str">
        <f t="shared" si="954"/>
        <v>Upgraded</v>
      </c>
      <c r="G11099" s="153"/>
      <c r="H11099" s="210">
        <v>8.2699999999999996E-2</v>
      </c>
      <c r="I11099" s="160" t="s">
        <v>167</v>
      </c>
      <c r="J11099" s="160">
        <v>3.1E-4</v>
      </c>
      <c r="K11099" s="160" t="s">
        <v>145</v>
      </c>
      <c r="L11099" s="154" t="str">
        <f>IF(OpenLCAbasic!K11099="CTUh", "Fill in Manually",IF(OR(K11099="Unit", K11099=""), "", INDEX(LookUps!$E$5:$E$12, MATCH(OpenLCAbasic!K11099,LookUps!$D$5:$D$12,0))))</f>
        <v>Particulate Matter Formation Potential (PMFP) - kg PM2.5 eq</v>
      </c>
      <c r="M11099" s="154" t="str">
        <f t="shared" si="951"/>
        <v>High_Medium_Base_Upgraded_Particulate Matter Formation Potential (PMFP) - kg PM2.5 eq_Waste Receiving and Holding; wastewater treatment unit; at updated plant - US_Base_With Amendment_Aerated Static Pile</v>
      </c>
    </row>
    <row r="11100" spans="1:13" s="120" customFormat="1" x14ac:dyDescent="0.25">
      <c r="A11100" s="119"/>
      <c r="B11100" s="138" t="str">
        <f t="shared" si="952"/>
        <v>Aerated Static Pile</v>
      </c>
      <c r="C11100" s="138" t="str">
        <f t="shared" si="953"/>
        <v>Base_With Amendment</v>
      </c>
      <c r="D11100" s="138" t="str">
        <f t="shared" si="950"/>
        <v>Medium_Base</v>
      </c>
      <c r="E11100" s="138" t="str">
        <f t="shared" si="949"/>
        <v>High</v>
      </c>
      <c r="F11100" s="138" t="str">
        <f t="shared" si="954"/>
        <v>Upgraded</v>
      </c>
      <c r="G11100" s="153"/>
      <c r="H11100" s="210">
        <v>7.0099999999999996E-2</v>
      </c>
      <c r="I11100" s="160" t="s">
        <v>147</v>
      </c>
      <c r="J11100" s="160">
        <v>2.7E-4</v>
      </c>
      <c r="K11100" s="160" t="s">
        <v>145</v>
      </c>
      <c r="L11100" s="154" t="str">
        <f>IF(OpenLCAbasic!K11100="CTUh", "Fill in Manually",IF(OR(K11100="Unit", K11100=""), "", INDEX(LookUps!$E$5:$E$12, MATCH(OpenLCAbasic!K11100,LookUps!$D$5:$D$12,0))))</f>
        <v>Particulate Matter Formation Potential (PMFP) - kg PM2.5 eq</v>
      </c>
      <c r="M11100" s="154" t="str">
        <f t="shared" si="951"/>
        <v>High_Medium_Base_Upgraded_Particulate Matter Formation Potential (PMFP) - kg PM2.5 eq_Influent Pump Station; wastewater treatment unit; at updated plant - US_Base_With Amendment_Aerated Static Pile</v>
      </c>
    </row>
    <row r="11101" spans="1:13" s="120" customFormat="1" x14ac:dyDescent="0.25">
      <c r="A11101" s="119"/>
      <c r="B11101" s="138" t="str">
        <f t="shared" si="952"/>
        <v>Aerated Static Pile</v>
      </c>
      <c r="C11101" s="138" t="str">
        <f t="shared" si="953"/>
        <v>Base_With Amendment</v>
      </c>
      <c r="D11101" s="138" t="str">
        <f t="shared" si="950"/>
        <v>Medium_Base</v>
      </c>
      <c r="E11101" s="138" t="str">
        <f t="shared" si="949"/>
        <v>High</v>
      </c>
      <c r="F11101" s="138" t="str">
        <f t="shared" si="954"/>
        <v>Upgraded</v>
      </c>
      <c r="G11101" s="153"/>
      <c r="H11101" s="210">
        <v>4.3700000000000003E-2</v>
      </c>
      <c r="I11101" s="160" t="s">
        <v>128</v>
      </c>
      <c r="J11101" s="160">
        <v>1.7000000000000001E-4</v>
      </c>
      <c r="K11101" s="160" t="s">
        <v>145</v>
      </c>
      <c r="L11101" s="154" t="str">
        <f>IF(OpenLCAbasic!K11101="CTUh", "Fill in Manually",IF(OR(K11101="Unit", K11101=""), "", INDEX(LookUps!$E$5:$E$12, MATCH(OpenLCAbasic!K11101,LookUps!$D$5:$D$12,0))))</f>
        <v>Particulate Matter Formation Potential (PMFP) - kg PM2.5 eq</v>
      </c>
      <c r="M11101" s="154" t="str">
        <f t="shared" si="951"/>
        <v>High_Medium_Base_Upgraded_Particulate Matter Formation Potential (PMFP) - kg PM2.5 eq_Wastewater collection; operation and infrastructure; m3 wastewater_Base_With Amendment_Aerated Static Pile</v>
      </c>
    </row>
    <row r="11102" spans="1:13" s="120" customFormat="1" x14ac:dyDescent="0.25">
      <c r="A11102" s="119"/>
      <c r="B11102" s="138" t="str">
        <f t="shared" si="952"/>
        <v>Aerated Static Pile</v>
      </c>
      <c r="C11102" s="138" t="str">
        <f t="shared" si="953"/>
        <v>Base_With Amendment</v>
      </c>
      <c r="D11102" s="138" t="str">
        <f t="shared" si="950"/>
        <v>Medium_Base</v>
      </c>
      <c r="E11102" s="138" t="str">
        <f t="shared" si="949"/>
        <v>High</v>
      </c>
      <c r="F11102" s="138" t="str">
        <f t="shared" si="954"/>
        <v>Upgraded</v>
      </c>
      <c r="G11102" s="153"/>
      <c r="H11102" s="210">
        <v>3.7900000000000003E-2</v>
      </c>
      <c r="I11102" s="160" t="s">
        <v>60</v>
      </c>
      <c r="J11102" s="160">
        <v>1.3999999999999999E-4</v>
      </c>
      <c r="K11102" s="160" t="s">
        <v>145</v>
      </c>
      <c r="L11102" s="154" t="str">
        <f>IF(OpenLCAbasic!K11102="CTUh", "Fill in Manually",IF(OR(K11102="Unit", K11102=""), "", INDEX(LookUps!$E$5:$E$12, MATCH(OpenLCAbasic!K11102,LookUps!$D$5:$D$12,0))))</f>
        <v>Particulate Matter Formation Potential (PMFP) - kg PM2.5 eq</v>
      </c>
      <c r="M11102" s="154" t="str">
        <f t="shared" si="951"/>
        <v>High_Medium_Base_Upgraded_Particulate Matter Formation Potential (PMFP) - kg PM2.5 eq_Belt filter press; wastewater treatment unit; at updated plant - US_Base_With Amendment_Aerated Static Pile</v>
      </c>
    </row>
    <row r="11103" spans="1:13" s="120" customFormat="1" x14ac:dyDescent="0.25">
      <c r="A11103" s="119"/>
      <c r="B11103" s="138" t="str">
        <f t="shared" si="952"/>
        <v>Aerated Static Pile</v>
      </c>
      <c r="C11103" s="138" t="str">
        <f t="shared" si="953"/>
        <v>Base_With Amendment</v>
      </c>
      <c r="D11103" s="138" t="str">
        <f t="shared" si="950"/>
        <v>Medium_Base</v>
      </c>
      <c r="E11103" s="138" t="str">
        <f t="shared" si="949"/>
        <v>High</v>
      </c>
      <c r="F11103" s="138" t="str">
        <f t="shared" si="954"/>
        <v>Upgraded</v>
      </c>
      <c r="G11103" s="153"/>
      <c r="H11103" s="210">
        <v>2.5000000000000001E-2</v>
      </c>
      <c r="I11103" s="160" t="s">
        <v>57</v>
      </c>
      <c r="J11103" s="211">
        <v>9.5153800000000004E-5</v>
      </c>
      <c r="K11103" s="160" t="s">
        <v>145</v>
      </c>
      <c r="L11103" s="154" t="str">
        <f>IF(OpenLCAbasic!K11103="CTUh", "Fill in Manually",IF(OR(K11103="Unit", K11103=""), "", INDEX(LookUps!$E$5:$E$12, MATCH(OpenLCAbasic!K11103,LookUps!$D$5:$D$12,0))))</f>
        <v>Particulate Matter Formation Potential (PMFP) - kg PM2.5 eq</v>
      </c>
      <c r="M11103" s="154" t="str">
        <f t="shared" si="951"/>
        <v>High_Medium_Base_Upgraded_Particulate Matter Formation Potential (PMFP) - kg PM2.5 eq_Gravity Belt Thickener; wastewater treatment unit; at updated plant - US_Base_With Amendment_Aerated Static Pile</v>
      </c>
    </row>
    <row r="11104" spans="1:13" s="120" customFormat="1" x14ac:dyDescent="0.25">
      <c r="A11104" s="119"/>
      <c r="B11104" s="138" t="str">
        <f t="shared" si="952"/>
        <v>Aerated Static Pile</v>
      </c>
      <c r="C11104" s="138" t="str">
        <f t="shared" si="953"/>
        <v>Base_With Amendment</v>
      </c>
      <c r="D11104" s="138" t="str">
        <f t="shared" si="950"/>
        <v>Medium_Base</v>
      </c>
      <c r="E11104" s="138" t="str">
        <f t="shared" si="949"/>
        <v>High</v>
      </c>
      <c r="F11104" s="138" t="str">
        <f t="shared" si="954"/>
        <v>Upgraded</v>
      </c>
      <c r="G11104" s="153"/>
      <c r="H11104" s="210">
        <v>1.84E-2</v>
      </c>
      <c r="I11104" s="160" t="s">
        <v>59</v>
      </c>
      <c r="J11104" s="211">
        <v>6.9942200000000003E-5</v>
      </c>
      <c r="K11104" s="160" t="s">
        <v>145</v>
      </c>
      <c r="L11104" s="154" t="str">
        <f>IF(OpenLCAbasic!K11104="CTUh", "Fill in Manually",IF(OR(K11104="Unit", K11104=""), "", INDEX(LookUps!$E$5:$E$12, MATCH(OpenLCAbasic!K11104,LookUps!$D$5:$D$12,0))))</f>
        <v>Particulate Matter Formation Potential (PMFP) - kg PM2.5 eq</v>
      </c>
      <c r="M11104" s="154" t="str">
        <f t="shared" si="951"/>
        <v>High_Medium_Base_Upgraded_Particulate Matter Formation Potential (PMFP) - kg PM2.5 eq_Blend Tank; wastewater treatment unit; at updated plant - US_Base_With Amendment_Aerated Static Pile</v>
      </c>
    </row>
    <row r="11105" spans="1:13" s="120" customFormat="1" x14ac:dyDescent="0.25">
      <c r="A11105" s="119"/>
      <c r="B11105" s="138" t="str">
        <f t="shared" si="952"/>
        <v>Aerated Static Pile</v>
      </c>
      <c r="C11105" s="138" t="str">
        <f t="shared" si="953"/>
        <v>Base_With Amendment</v>
      </c>
      <c r="D11105" s="138" t="str">
        <f t="shared" si="950"/>
        <v>Medium_Base</v>
      </c>
      <c r="E11105" s="138" t="str">
        <f t="shared" si="949"/>
        <v>High</v>
      </c>
      <c r="F11105" s="138" t="str">
        <f t="shared" si="954"/>
        <v>Upgraded</v>
      </c>
      <c r="G11105" s="153"/>
      <c r="H11105" s="210">
        <v>1.3100000000000001E-2</v>
      </c>
      <c r="I11105" s="160" t="s">
        <v>48</v>
      </c>
      <c r="J11105" s="211">
        <v>4.99741E-5</v>
      </c>
      <c r="K11105" s="160" t="s">
        <v>145</v>
      </c>
      <c r="L11105" s="154" t="str">
        <f>IF(OpenLCAbasic!K11105="CTUh", "Fill in Manually",IF(OR(K11105="Unit", K11105=""), "", INDEX(LookUps!$E$5:$E$12, MATCH(OpenLCAbasic!K11105,LookUps!$D$5:$D$12,0))))</f>
        <v>Particulate Matter Formation Potential (PMFP) - kg PM2.5 eq</v>
      </c>
      <c r="M11105" s="154" t="str">
        <f t="shared" si="951"/>
        <v>High_Medium_Base_Upgraded_Particulate Matter Formation Potential (PMFP) - kg PM2.5 eq_Effluent release; wastewater treatment unit; at surface water; m3 wastewater - US_Base_With Amendment_Aerated Static Pile</v>
      </c>
    </row>
    <row r="11106" spans="1:13" s="120" customFormat="1" x14ac:dyDescent="0.25">
      <c r="A11106" s="119"/>
      <c r="B11106" s="138" t="str">
        <f t="shared" si="952"/>
        <v>Aerated Static Pile</v>
      </c>
      <c r="C11106" s="138" t="str">
        <f t="shared" si="953"/>
        <v>Base_With Amendment</v>
      </c>
      <c r="D11106" s="138" t="str">
        <f t="shared" si="950"/>
        <v>Medium_Base</v>
      </c>
      <c r="E11106" s="138" t="str">
        <f t="shared" si="949"/>
        <v>High</v>
      </c>
      <c r="F11106" s="138" t="str">
        <f t="shared" si="954"/>
        <v>Upgraded</v>
      </c>
      <c r="G11106" s="153"/>
      <c r="H11106" s="210">
        <v>1.24E-2</v>
      </c>
      <c r="I11106" s="160" t="s">
        <v>62</v>
      </c>
      <c r="J11106" s="211">
        <v>4.7185199999999997E-5</v>
      </c>
      <c r="K11106" s="160" t="s">
        <v>145</v>
      </c>
      <c r="L11106" s="154" t="str">
        <f>IF(OpenLCAbasic!K11106="CTUh", "Fill in Manually",IF(OR(K11106="Unit", K11106=""), "", INDEX(LookUps!$E$5:$E$12, MATCH(OpenLCAbasic!K11106,LookUps!$D$5:$D$12,0))))</f>
        <v>Particulate Matter Formation Potential (PMFP) - kg PM2.5 eq</v>
      </c>
      <c r="M11106" s="154" t="str">
        <f t="shared" si="951"/>
        <v>High_Medium_Base_Upgraded_Particulate Matter Formation Potential (PMFP) - kg PM2.5 eq_Land application of compost; wastewater treatment unit; at updated plant - US_Base_With Amendment_Aerated Static Pile</v>
      </c>
    </row>
    <row r="11107" spans="1:13" s="120" customFormat="1" x14ac:dyDescent="0.25">
      <c r="A11107" s="119"/>
      <c r="B11107" s="138" t="str">
        <f t="shared" si="952"/>
        <v>Aerated Static Pile</v>
      </c>
      <c r="C11107" s="138" t="str">
        <f t="shared" si="953"/>
        <v>Base_With Amendment</v>
      </c>
      <c r="D11107" s="138" t="str">
        <f t="shared" si="950"/>
        <v>Medium_Base</v>
      </c>
      <c r="E11107" s="138" t="str">
        <f t="shared" si="949"/>
        <v>High</v>
      </c>
      <c r="F11107" s="138" t="str">
        <f t="shared" si="954"/>
        <v>Upgraded</v>
      </c>
      <c r="G11107" s="153"/>
      <c r="H11107" s="210">
        <v>9.1000000000000004E-3</v>
      </c>
      <c r="I11107" s="160" t="s">
        <v>168</v>
      </c>
      <c r="J11107" s="211">
        <v>3.4562199999999999E-5</v>
      </c>
      <c r="K11107" s="160" t="s">
        <v>145</v>
      </c>
      <c r="L11107" s="154" t="str">
        <f>IF(OpenLCAbasic!K11107="CTUh", "Fill in Manually",IF(OR(K11107="Unit", K11107=""), "", INDEX(LookUps!$E$5:$E$12, MATCH(OpenLCAbasic!K11107,LookUps!$D$5:$D$12,0))))</f>
        <v>Particulate Matter Formation Potential (PMFP) - kg PM2.5 eq</v>
      </c>
      <c r="M11107" s="154" t="str">
        <f t="shared" si="951"/>
        <v>High_Medium_Base_Upgraded_Particulate Matter Formation Potential (PMFP) - kg PM2.5 eq_ClearCove SCP; wastewater treatment unit; at updated plant - US_Base_With Amendment_Aerated Static Pile</v>
      </c>
    </row>
    <row r="11108" spans="1:13" s="120" customFormat="1" x14ac:dyDescent="0.25">
      <c r="A11108" s="119"/>
      <c r="B11108" s="138" t="str">
        <f t="shared" si="952"/>
        <v>Aerated Static Pile</v>
      </c>
      <c r="C11108" s="138" t="str">
        <f t="shared" si="953"/>
        <v>Base_With Amendment</v>
      </c>
      <c r="D11108" s="138" t="str">
        <f t="shared" si="950"/>
        <v>Medium_Base</v>
      </c>
      <c r="E11108" s="138" t="str">
        <f t="shared" si="949"/>
        <v>High</v>
      </c>
      <c r="F11108" s="138" t="str">
        <f t="shared" si="954"/>
        <v>Upgraded</v>
      </c>
      <c r="G11108" s="153"/>
      <c r="H11108" s="210">
        <v>2.3E-3</v>
      </c>
      <c r="I11108" s="160" t="s">
        <v>148</v>
      </c>
      <c r="J11108" s="211">
        <v>8.8212999999999997E-6</v>
      </c>
      <c r="K11108" s="160" t="s">
        <v>145</v>
      </c>
      <c r="L11108" s="154" t="str">
        <f>IF(OpenLCAbasic!K11108="CTUh", "Fill in Manually",IF(OR(K11108="Unit", K11108=""), "", INDEX(LookUps!$E$5:$E$12, MATCH(OpenLCAbasic!K11108,LookUps!$D$5:$D$12,0))))</f>
        <v>Particulate Matter Formation Potential (PMFP) - kg PM2.5 eq</v>
      </c>
      <c r="M11108" s="154" t="str">
        <f t="shared" si="951"/>
        <v>High_Medium_Base_Upgraded_Particulate Matter Formation Potential (PMFP) - kg PM2.5 eq_Control Building; at upgraded wastewater treatment plant - US_Base_With Amendment_Aerated Static Pile</v>
      </c>
    </row>
    <row r="11109" spans="1:13" s="120" customFormat="1" x14ac:dyDescent="0.25">
      <c r="A11109" s="119"/>
      <c r="B11109" s="138" t="str">
        <f t="shared" si="952"/>
        <v>Aerated Static Pile</v>
      </c>
      <c r="C11109" s="138" t="str">
        <f t="shared" si="953"/>
        <v>Base_With Amendment</v>
      </c>
      <c r="D11109" s="138" t="str">
        <f t="shared" si="950"/>
        <v>Medium_Base</v>
      </c>
      <c r="E11109" s="138" t="str">
        <f t="shared" si="949"/>
        <v>High</v>
      </c>
      <c r="F11109" s="138" t="str">
        <f t="shared" si="954"/>
        <v>Upgraded</v>
      </c>
      <c r="G11109" s="153"/>
      <c r="H11109" s="210">
        <v>-0.69379999999999997</v>
      </c>
      <c r="I11109" s="160" t="s">
        <v>149</v>
      </c>
      <c r="J11109" s="160">
        <v>-2.64E-3</v>
      </c>
      <c r="K11109" s="160" t="s">
        <v>145</v>
      </c>
      <c r="L11109" s="154" t="str">
        <f>IF(OpenLCAbasic!K11109="CTUh", "Fill in Manually",IF(OR(K11109="Unit", K11109=""), "", INDEX(LookUps!$E$5:$E$12, MATCH(OpenLCAbasic!K11109,LookUps!$D$5:$D$12,0))))</f>
        <v>Particulate Matter Formation Potential (PMFP) - kg PM2.5 eq</v>
      </c>
      <c r="M11109" s="154" t="str">
        <f t="shared" si="951"/>
        <v>High_Medium_Base_Upgraded_Particulate Matter Formation Potential (PMFP) - kg PM2.5 eq_Anaerobic Digestion; wastewater treatment unit; at updated plant - US_Base_With Amendment_Aerated Static Pile</v>
      </c>
    </row>
    <row r="11110" spans="1:13" s="120" customFormat="1" x14ac:dyDescent="0.25">
      <c r="A11110" s="119"/>
      <c r="B11110" s="138" t="str">
        <f t="shared" si="952"/>
        <v/>
      </c>
      <c r="C11110" s="138" t="str">
        <f t="shared" si="953"/>
        <v/>
      </c>
      <c r="D11110" s="138" t="str">
        <f t="shared" si="950"/>
        <v/>
      </c>
      <c r="E11110" s="138" t="str">
        <f t="shared" si="949"/>
        <v/>
      </c>
      <c r="F11110" s="138" t="str">
        <f t="shared" si="954"/>
        <v/>
      </c>
      <c r="G11110" s="153" t="s">
        <v>51</v>
      </c>
      <c r="H11110" s="160"/>
      <c r="I11110" s="160" t="s">
        <v>47</v>
      </c>
      <c r="J11110" s="160" t="s">
        <v>52</v>
      </c>
      <c r="K11110" s="160" t="s">
        <v>27</v>
      </c>
      <c r="L11110" s="154" t="str">
        <f>IF(OpenLCAbasic!K11110="CTUh", "Fill in Manually",IF(OR(K11110="Unit", K11110=""), "", INDEX(LookUps!$E$5:$E$12, MATCH(OpenLCAbasic!K11110,LookUps!$D$5:$D$12,0))))</f>
        <v/>
      </c>
      <c r="M11110" s="154" t="str">
        <f t="shared" si="951"/>
        <v>____Process__</v>
      </c>
    </row>
    <row r="11111" spans="1:13" s="120" customFormat="1" x14ac:dyDescent="0.25">
      <c r="A11111" s="119"/>
      <c r="B11111" s="138" t="str">
        <f t="shared" si="952"/>
        <v>Aerated Static Pile</v>
      </c>
      <c r="C11111" s="138" t="str">
        <f t="shared" si="953"/>
        <v>Base_With Amendment</v>
      </c>
      <c r="D11111" s="138" t="str">
        <f t="shared" si="950"/>
        <v>Medium_Base</v>
      </c>
      <c r="E11111" s="138" t="str">
        <f t="shared" si="949"/>
        <v>High</v>
      </c>
      <c r="F11111" s="138" t="str">
        <f t="shared" si="954"/>
        <v>Upgraded</v>
      </c>
      <c r="G11111" s="153"/>
      <c r="H11111" s="210">
        <v>0.61809999999999998</v>
      </c>
      <c r="I11111" s="160" t="s">
        <v>55</v>
      </c>
      <c r="J11111" s="160">
        <v>0.16577</v>
      </c>
      <c r="K11111" s="160" t="s">
        <v>25</v>
      </c>
      <c r="L11111" s="154" t="str">
        <f>IF(OpenLCAbasic!K11111="CTUh", "Fill in Manually",IF(OR(K11111="Unit", K11111=""), "", INDEX(LookUps!$E$5:$E$12, MATCH(OpenLCAbasic!K11111,LookUps!$D$5:$D$12,0))))</f>
        <v>Smog Formation Potential (SFP) - kg O3 eq</v>
      </c>
      <c r="M11111" s="154" t="str">
        <f t="shared" si="951"/>
        <v>High_Medium_Base_Upgraded_Smog Formation Potential (SFP) - kg O3 eq_Aeration Tanks; wastewater treatment unit; at updated plant - US_Base_With Amendment_Aerated Static Pile</v>
      </c>
    </row>
    <row r="11112" spans="1:13" s="120" customFormat="1" x14ac:dyDescent="0.25">
      <c r="A11112" s="119"/>
      <c r="B11112" s="138" t="str">
        <f t="shared" si="952"/>
        <v>Aerated Static Pile</v>
      </c>
      <c r="C11112" s="138" t="str">
        <f t="shared" si="953"/>
        <v>Base_With Amendment</v>
      </c>
      <c r="D11112" s="138" t="str">
        <f t="shared" si="950"/>
        <v>Medium_Base</v>
      </c>
      <c r="E11112" s="138" t="str">
        <f t="shared" si="949"/>
        <v>High</v>
      </c>
      <c r="F11112" s="138" t="str">
        <f t="shared" si="954"/>
        <v>Upgraded</v>
      </c>
      <c r="G11112" s="153"/>
      <c r="H11112" s="210">
        <v>0.30649999999999999</v>
      </c>
      <c r="I11112" s="160" t="s">
        <v>435</v>
      </c>
      <c r="J11112" s="160">
        <v>8.2210000000000005E-2</v>
      </c>
      <c r="K11112" s="160" t="s">
        <v>25</v>
      </c>
      <c r="L11112" s="154" t="str">
        <f>IF(OpenLCAbasic!K11112="CTUh", "Fill in Manually",IF(OR(K11112="Unit", K11112=""), "", INDEX(LookUps!$E$5:$E$12, MATCH(OpenLCAbasic!K11112,LookUps!$D$5:$D$12,0))))</f>
        <v>Smog Formation Potential (SFP) - kg O3 eq</v>
      </c>
      <c r="M11112" s="154" t="str">
        <f t="shared" si="951"/>
        <v>High_Medium_Base_Upgraded_Smog Formation Potential (SFP) - kg O3 eq_Biosolids composting; aerated static pile; wastewater treatment unit; at updated plant - US_Base_With Amendment_Aerated Static Pile</v>
      </c>
    </row>
    <row r="11113" spans="1:13" s="120" customFormat="1" x14ac:dyDescent="0.25">
      <c r="A11113" s="119"/>
      <c r="B11113" s="138" t="str">
        <f t="shared" si="952"/>
        <v>Aerated Static Pile</v>
      </c>
      <c r="C11113" s="138" t="str">
        <f t="shared" si="953"/>
        <v>Base_With Amendment</v>
      </c>
      <c r="D11113" s="138" t="str">
        <f t="shared" si="950"/>
        <v>Medium_Base</v>
      </c>
      <c r="E11113" s="138" t="str">
        <f t="shared" ref="E11113:E11176" si="955">IF(ISNUMBER($J11113),"High","")</f>
        <v>High</v>
      </c>
      <c r="F11113" s="138" t="str">
        <f t="shared" si="954"/>
        <v>Upgraded</v>
      </c>
      <c r="G11113" s="153"/>
      <c r="H11113" s="210">
        <v>0.1792</v>
      </c>
      <c r="I11113" s="160" t="s">
        <v>54</v>
      </c>
      <c r="J11113" s="160">
        <v>4.8070000000000002E-2</v>
      </c>
      <c r="K11113" s="160" t="s">
        <v>25</v>
      </c>
      <c r="L11113" s="154" t="str">
        <f>IF(OpenLCAbasic!K11113="CTUh", "Fill in Manually",IF(OR(K11113="Unit", K11113=""), "", INDEX(LookUps!$E$5:$E$12, MATCH(OpenLCAbasic!K11113,LookUps!$D$5:$D$12,0))))</f>
        <v>Smog Formation Potential (SFP) - kg O3 eq</v>
      </c>
      <c r="M11113" s="154" t="str">
        <f t="shared" si="951"/>
        <v>High_Medium_Base_Upgraded_Smog Formation Potential (SFP) - kg O3 eq_Clear Cove Primary Clarification; wastewater treatment unit; at updated plant - US_Base_With Amendment_Aerated Static Pile</v>
      </c>
    </row>
    <row r="11114" spans="1:13" s="120" customFormat="1" x14ac:dyDescent="0.25">
      <c r="A11114" s="119"/>
      <c r="B11114" s="138" t="str">
        <f t="shared" si="952"/>
        <v>Aerated Static Pile</v>
      </c>
      <c r="C11114" s="138" t="str">
        <f t="shared" si="953"/>
        <v>Base_With Amendment</v>
      </c>
      <c r="D11114" s="138" t="str">
        <f t="shared" si="950"/>
        <v>Medium_Base</v>
      </c>
      <c r="E11114" s="138" t="str">
        <f t="shared" si="955"/>
        <v>High</v>
      </c>
      <c r="F11114" s="138" t="str">
        <f t="shared" si="954"/>
        <v>Upgraded</v>
      </c>
      <c r="G11114" s="153"/>
      <c r="H11114" s="210">
        <v>0.15629999999999999</v>
      </c>
      <c r="I11114" s="160" t="s">
        <v>58</v>
      </c>
      <c r="J11114" s="160">
        <v>4.1919999999999999E-2</v>
      </c>
      <c r="K11114" s="160" t="s">
        <v>25</v>
      </c>
      <c r="L11114" s="154" t="str">
        <f>IF(OpenLCAbasic!K11114="CTUh", "Fill in Manually",IF(OR(K11114="Unit", K11114=""), "", INDEX(LookUps!$E$5:$E$12, MATCH(OpenLCAbasic!K11114,LookUps!$D$5:$D$12,0))))</f>
        <v>Smog Formation Potential (SFP) - kg O3 eq</v>
      </c>
      <c r="M11114" s="154" t="str">
        <f t="shared" si="951"/>
        <v>High_Medium_Base_Upgraded_Smog Formation Potential (SFP) - kg O3 eq_Pre-Anoxic &amp; Swing tank; wastewater treatment unit; at updated plant - US_Base_With Amendment_Aerated Static Pile</v>
      </c>
    </row>
    <row r="11115" spans="1:13" s="120" customFormat="1" x14ac:dyDescent="0.25">
      <c r="A11115" s="119"/>
      <c r="B11115" s="138" t="str">
        <f t="shared" si="952"/>
        <v>Aerated Static Pile</v>
      </c>
      <c r="C11115" s="138" t="str">
        <f t="shared" si="953"/>
        <v>Base_With Amendment</v>
      </c>
      <c r="D11115" s="138" t="str">
        <f t="shared" si="950"/>
        <v>Medium_Base</v>
      </c>
      <c r="E11115" s="138" t="str">
        <f t="shared" si="955"/>
        <v>High</v>
      </c>
      <c r="F11115" s="138" t="str">
        <f t="shared" si="954"/>
        <v>Upgraded</v>
      </c>
      <c r="G11115" s="153"/>
      <c r="H11115" s="210">
        <v>0.1235</v>
      </c>
      <c r="I11115" s="160" t="s">
        <v>53</v>
      </c>
      <c r="J11115" s="160">
        <v>3.313E-2</v>
      </c>
      <c r="K11115" s="160" t="s">
        <v>25</v>
      </c>
      <c r="L11115" s="154" t="str">
        <f>IF(OpenLCAbasic!K11115="CTUh", "Fill in Manually",IF(OR(K11115="Unit", K11115=""), "", INDEX(LookUps!$E$5:$E$12, MATCH(OpenLCAbasic!K11115,LookUps!$D$5:$D$12,0))))</f>
        <v>Smog Formation Potential (SFP) - kg O3 eq</v>
      </c>
      <c r="M11115" s="154" t="str">
        <f t="shared" si="951"/>
        <v>High_Medium_Base_Upgraded_Smog Formation Potential (SFP) - kg O3 eq_Wet Well and Sump Station; wastewater treatment unit; at updated plant - US_Base_With Amendment_Aerated Static Pile</v>
      </c>
    </row>
    <row r="11116" spans="1:13" s="120" customFormat="1" x14ac:dyDescent="0.25">
      <c r="A11116" s="119"/>
      <c r="B11116" s="138" t="str">
        <f t="shared" si="952"/>
        <v>Aerated Static Pile</v>
      </c>
      <c r="C11116" s="138" t="str">
        <f t="shared" si="953"/>
        <v>Base_With Amendment</v>
      </c>
      <c r="D11116" s="138" t="str">
        <f t="shared" si="950"/>
        <v>Medium_Base</v>
      </c>
      <c r="E11116" s="138" t="str">
        <f t="shared" si="955"/>
        <v>High</v>
      </c>
      <c r="F11116" s="138" t="str">
        <f t="shared" si="954"/>
        <v>Upgraded</v>
      </c>
      <c r="G11116" s="153"/>
      <c r="H11116" s="210">
        <v>0.1145</v>
      </c>
      <c r="I11116" s="160" t="s">
        <v>167</v>
      </c>
      <c r="J11116" s="160">
        <v>3.0710000000000001E-2</v>
      </c>
      <c r="K11116" s="160" t="s">
        <v>25</v>
      </c>
      <c r="L11116" s="154" t="str">
        <f>IF(OpenLCAbasic!K11116="CTUh", "Fill in Manually",IF(OR(K11116="Unit", K11116=""), "", INDEX(LookUps!$E$5:$E$12, MATCH(OpenLCAbasic!K11116,LookUps!$D$5:$D$12,0))))</f>
        <v>Smog Formation Potential (SFP) - kg O3 eq</v>
      </c>
      <c r="M11116" s="154" t="str">
        <f t="shared" si="951"/>
        <v>High_Medium_Base_Upgraded_Smog Formation Potential (SFP) - kg O3 eq_Waste Receiving and Holding; wastewater treatment unit; at updated plant - US_Base_With Amendment_Aerated Static Pile</v>
      </c>
    </row>
    <row r="11117" spans="1:13" s="120" customFormat="1" x14ac:dyDescent="0.25">
      <c r="A11117" s="119"/>
      <c r="B11117" s="138" t="str">
        <f t="shared" si="952"/>
        <v>Aerated Static Pile</v>
      </c>
      <c r="C11117" s="138" t="str">
        <f t="shared" si="953"/>
        <v>Base_With Amendment</v>
      </c>
      <c r="D11117" s="138" t="str">
        <f t="shared" si="950"/>
        <v>Medium_Base</v>
      </c>
      <c r="E11117" s="138" t="str">
        <f t="shared" si="955"/>
        <v>High</v>
      </c>
      <c r="F11117" s="138" t="str">
        <f t="shared" si="954"/>
        <v>Upgraded</v>
      </c>
      <c r="G11117" s="153"/>
      <c r="H11117" s="210">
        <v>7.2300000000000003E-2</v>
      </c>
      <c r="I11117" s="160" t="s">
        <v>147</v>
      </c>
      <c r="J11117" s="160">
        <v>1.9400000000000001E-2</v>
      </c>
      <c r="K11117" s="160" t="s">
        <v>25</v>
      </c>
      <c r="L11117" s="154" t="str">
        <f>IF(OpenLCAbasic!K11117="CTUh", "Fill in Manually",IF(OR(K11117="Unit", K11117=""), "", INDEX(LookUps!$E$5:$E$12, MATCH(OpenLCAbasic!K11117,LookUps!$D$5:$D$12,0))))</f>
        <v>Smog Formation Potential (SFP) - kg O3 eq</v>
      </c>
      <c r="M11117" s="154" t="str">
        <f t="shared" si="951"/>
        <v>High_Medium_Base_Upgraded_Smog Formation Potential (SFP) - kg O3 eq_Influent Pump Station; wastewater treatment unit; at updated plant - US_Base_With Amendment_Aerated Static Pile</v>
      </c>
    </row>
    <row r="11118" spans="1:13" s="120" customFormat="1" x14ac:dyDescent="0.25">
      <c r="A11118" s="119"/>
      <c r="B11118" s="138" t="str">
        <f t="shared" si="952"/>
        <v>Aerated Static Pile</v>
      </c>
      <c r="C11118" s="138" t="str">
        <f t="shared" si="953"/>
        <v>Base_With Amendment</v>
      </c>
      <c r="D11118" s="138" t="str">
        <f t="shared" si="950"/>
        <v>Medium_Base</v>
      </c>
      <c r="E11118" s="138" t="str">
        <f t="shared" si="955"/>
        <v>High</v>
      </c>
      <c r="F11118" s="138" t="str">
        <f t="shared" si="954"/>
        <v>Upgraded</v>
      </c>
      <c r="G11118" s="153"/>
      <c r="H11118" s="210">
        <v>4.4400000000000002E-2</v>
      </c>
      <c r="I11118" s="160" t="s">
        <v>128</v>
      </c>
      <c r="J11118" s="160">
        <v>1.192E-2</v>
      </c>
      <c r="K11118" s="160" t="s">
        <v>25</v>
      </c>
      <c r="L11118" s="154" t="str">
        <f>IF(OpenLCAbasic!K11118="CTUh", "Fill in Manually",IF(OR(K11118="Unit", K11118=""), "", INDEX(LookUps!$E$5:$E$12, MATCH(OpenLCAbasic!K11118,LookUps!$D$5:$D$12,0))))</f>
        <v>Smog Formation Potential (SFP) - kg O3 eq</v>
      </c>
      <c r="M11118" s="154" t="str">
        <f t="shared" si="951"/>
        <v>High_Medium_Base_Upgraded_Smog Formation Potential (SFP) - kg O3 eq_Wastewater collection; operation and infrastructure; m3 wastewater_Base_With Amendment_Aerated Static Pile</v>
      </c>
    </row>
    <row r="11119" spans="1:13" s="120" customFormat="1" x14ac:dyDescent="0.25">
      <c r="A11119" s="119"/>
      <c r="B11119" s="138" t="str">
        <f t="shared" si="952"/>
        <v>Aerated Static Pile</v>
      </c>
      <c r="C11119" s="138" t="str">
        <f t="shared" si="953"/>
        <v>Base_With Amendment</v>
      </c>
      <c r="D11119" s="138" t="str">
        <f t="shared" si="950"/>
        <v>Medium_Base</v>
      </c>
      <c r="E11119" s="138" t="str">
        <f t="shared" si="955"/>
        <v>High</v>
      </c>
      <c r="F11119" s="138" t="str">
        <f t="shared" si="954"/>
        <v>Upgraded</v>
      </c>
      <c r="G11119" s="153"/>
      <c r="H11119" s="210">
        <v>3.78E-2</v>
      </c>
      <c r="I11119" s="160" t="s">
        <v>60</v>
      </c>
      <c r="J11119" s="160">
        <v>1.014E-2</v>
      </c>
      <c r="K11119" s="160" t="s">
        <v>25</v>
      </c>
      <c r="L11119" s="154" t="str">
        <f>IF(OpenLCAbasic!K11119="CTUh", "Fill in Manually",IF(OR(K11119="Unit", K11119=""), "", INDEX(LookUps!$E$5:$E$12, MATCH(OpenLCAbasic!K11119,LookUps!$D$5:$D$12,0))))</f>
        <v>Smog Formation Potential (SFP) - kg O3 eq</v>
      </c>
      <c r="M11119" s="154" t="str">
        <f t="shared" si="951"/>
        <v>High_Medium_Base_Upgraded_Smog Formation Potential (SFP) - kg O3 eq_Belt filter press; wastewater treatment unit; at updated plant - US_Base_With Amendment_Aerated Static Pile</v>
      </c>
    </row>
    <row r="11120" spans="1:13" s="120" customFormat="1" x14ac:dyDescent="0.25">
      <c r="A11120" s="119"/>
      <c r="B11120" s="138" t="str">
        <f t="shared" si="952"/>
        <v>Aerated Static Pile</v>
      </c>
      <c r="C11120" s="138" t="str">
        <f t="shared" si="953"/>
        <v>Base_With Amendment</v>
      </c>
      <c r="D11120" s="138" t="str">
        <f t="shared" si="950"/>
        <v>Medium_Base</v>
      </c>
      <c r="E11120" s="138" t="str">
        <f t="shared" si="955"/>
        <v>High</v>
      </c>
      <c r="F11120" s="138" t="str">
        <f t="shared" si="954"/>
        <v>Upgraded</v>
      </c>
      <c r="G11120" s="153"/>
      <c r="H11120" s="210">
        <v>2.4799999999999999E-2</v>
      </c>
      <c r="I11120" s="160" t="s">
        <v>57</v>
      </c>
      <c r="J11120" s="160">
        <v>6.6499999999999997E-3</v>
      </c>
      <c r="K11120" s="160" t="s">
        <v>25</v>
      </c>
      <c r="L11120" s="154" t="str">
        <f>IF(OpenLCAbasic!K11120="CTUh", "Fill in Manually",IF(OR(K11120="Unit", K11120=""), "", INDEX(LookUps!$E$5:$E$12, MATCH(OpenLCAbasic!K11120,LookUps!$D$5:$D$12,0))))</f>
        <v>Smog Formation Potential (SFP) - kg O3 eq</v>
      </c>
      <c r="M11120" s="154" t="str">
        <f t="shared" si="951"/>
        <v>High_Medium_Base_Upgraded_Smog Formation Potential (SFP) - kg O3 eq_Gravity Belt Thickener; wastewater treatment unit; at updated plant - US_Base_With Amendment_Aerated Static Pile</v>
      </c>
    </row>
    <row r="11121" spans="1:13" s="120" customFormat="1" x14ac:dyDescent="0.25">
      <c r="A11121" s="119"/>
      <c r="B11121" s="138" t="str">
        <f t="shared" si="952"/>
        <v>Aerated Static Pile</v>
      </c>
      <c r="C11121" s="138" t="str">
        <f t="shared" si="953"/>
        <v>Base_With Amendment</v>
      </c>
      <c r="D11121" s="138" t="str">
        <f t="shared" si="950"/>
        <v>Medium_Base</v>
      </c>
      <c r="E11121" s="138" t="str">
        <f t="shared" si="955"/>
        <v>High</v>
      </c>
      <c r="F11121" s="138" t="str">
        <f t="shared" si="954"/>
        <v>Upgraded</v>
      </c>
      <c r="G11121" s="153"/>
      <c r="H11121" s="210">
        <v>1.8499999999999999E-2</v>
      </c>
      <c r="I11121" s="160" t="s">
        <v>59</v>
      </c>
      <c r="J11121" s="160">
        <v>4.9699999999999996E-3</v>
      </c>
      <c r="K11121" s="160" t="s">
        <v>25</v>
      </c>
      <c r="L11121" s="154" t="str">
        <f>IF(OpenLCAbasic!K11121="CTUh", "Fill in Manually",IF(OR(K11121="Unit", K11121=""), "", INDEX(LookUps!$E$5:$E$12, MATCH(OpenLCAbasic!K11121,LookUps!$D$5:$D$12,0))))</f>
        <v>Smog Formation Potential (SFP) - kg O3 eq</v>
      </c>
      <c r="M11121" s="154" t="str">
        <f t="shared" si="951"/>
        <v>High_Medium_Base_Upgraded_Smog Formation Potential (SFP) - kg O3 eq_Blend Tank; wastewater treatment unit; at updated plant - US_Base_With Amendment_Aerated Static Pile</v>
      </c>
    </row>
    <row r="11122" spans="1:13" s="120" customFormat="1" x14ac:dyDescent="0.25">
      <c r="A11122" s="119"/>
      <c r="B11122" s="138" t="str">
        <f t="shared" si="952"/>
        <v>Aerated Static Pile</v>
      </c>
      <c r="C11122" s="138" t="str">
        <f t="shared" si="953"/>
        <v>Base_With Amendment</v>
      </c>
      <c r="D11122" s="138" t="str">
        <f t="shared" si="950"/>
        <v>Medium_Base</v>
      </c>
      <c r="E11122" s="138" t="str">
        <f t="shared" si="955"/>
        <v>High</v>
      </c>
      <c r="F11122" s="138" t="str">
        <f t="shared" si="954"/>
        <v>Upgraded</v>
      </c>
      <c r="G11122" s="153"/>
      <c r="H11122" s="210">
        <v>1.26E-2</v>
      </c>
      <c r="I11122" s="160" t="s">
        <v>48</v>
      </c>
      <c r="J11122" s="160">
        <v>3.3899999999999998E-3</v>
      </c>
      <c r="K11122" s="160" t="s">
        <v>25</v>
      </c>
      <c r="L11122" s="154" t="str">
        <f>IF(OpenLCAbasic!K11122="CTUh", "Fill in Manually",IF(OR(K11122="Unit", K11122=""), "", INDEX(LookUps!$E$5:$E$12, MATCH(OpenLCAbasic!K11122,LookUps!$D$5:$D$12,0))))</f>
        <v>Smog Formation Potential (SFP) - kg O3 eq</v>
      </c>
      <c r="M11122" s="154" t="str">
        <f t="shared" si="951"/>
        <v>High_Medium_Base_Upgraded_Smog Formation Potential (SFP) - kg O3 eq_Effluent release; wastewater treatment unit; at surface water; m3 wastewater - US_Base_With Amendment_Aerated Static Pile</v>
      </c>
    </row>
    <row r="11123" spans="1:13" s="120" customFormat="1" x14ac:dyDescent="0.25">
      <c r="A11123" s="119"/>
      <c r="B11123" s="138" t="str">
        <f t="shared" si="952"/>
        <v>Aerated Static Pile</v>
      </c>
      <c r="C11123" s="138" t="str">
        <f t="shared" si="953"/>
        <v>Base_With Amendment</v>
      </c>
      <c r="D11123" s="138" t="str">
        <f t="shared" si="950"/>
        <v>Medium_Base</v>
      </c>
      <c r="E11123" s="138" t="str">
        <f t="shared" si="955"/>
        <v>High</v>
      </c>
      <c r="F11123" s="138" t="str">
        <f t="shared" si="954"/>
        <v>Upgraded</v>
      </c>
      <c r="G11123" s="153"/>
      <c r="H11123" s="210">
        <v>9.1999999999999998E-3</v>
      </c>
      <c r="I11123" s="160" t="s">
        <v>168</v>
      </c>
      <c r="J11123" s="160">
        <v>2.4599999999999999E-3</v>
      </c>
      <c r="K11123" s="160" t="s">
        <v>25</v>
      </c>
      <c r="L11123" s="154" t="str">
        <f>IF(OpenLCAbasic!K11123="CTUh", "Fill in Manually",IF(OR(K11123="Unit", K11123=""), "", INDEX(LookUps!$E$5:$E$12, MATCH(OpenLCAbasic!K11123,LookUps!$D$5:$D$12,0))))</f>
        <v>Smog Formation Potential (SFP) - kg O3 eq</v>
      </c>
      <c r="M11123" s="154" t="str">
        <f t="shared" si="951"/>
        <v>High_Medium_Base_Upgraded_Smog Formation Potential (SFP) - kg O3 eq_ClearCove SCP; wastewater treatment unit; at updated plant - US_Base_With Amendment_Aerated Static Pile</v>
      </c>
    </row>
    <row r="11124" spans="1:13" s="120" customFormat="1" x14ac:dyDescent="0.25">
      <c r="A11124" s="119"/>
      <c r="B11124" s="138" t="str">
        <f t="shared" si="952"/>
        <v>Aerated Static Pile</v>
      </c>
      <c r="C11124" s="138" t="str">
        <f t="shared" si="953"/>
        <v>Base_With Amendment</v>
      </c>
      <c r="D11124" s="138" t="str">
        <f t="shared" si="950"/>
        <v>Medium_Base</v>
      </c>
      <c r="E11124" s="138" t="str">
        <f t="shared" si="955"/>
        <v>High</v>
      </c>
      <c r="F11124" s="138" t="str">
        <f t="shared" si="954"/>
        <v>Upgraded</v>
      </c>
      <c r="G11124" s="153"/>
      <c r="H11124" s="210">
        <v>2E-3</v>
      </c>
      <c r="I11124" s="160" t="s">
        <v>148</v>
      </c>
      <c r="J11124" s="160">
        <v>5.4000000000000001E-4</v>
      </c>
      <c r="K11124" s="160" t="s">
        <v>25</v>
      </c>
      <c r="L11124" s="154" t="str">
        <f>IF(OpenLCAbasic!K11124="CTUh", "Fill in Manually",IF(OR(K11124="Unit", K11124=""), "", INDEX(LookUps!$E$5:$E$12, MATCH(OpenLCAbasic!K11124,LookUps!$D$5:$D$12,0))))</f>
        <v>Smog Formation Potential (SFP) - kg O3 eq</v>
      </c>
      <c r="M11124" s="154" t="str">
        <f t="shared" si="951"/>
        <v>High_Medium_Base_Upgraded_Smog Formation Potential (SFP) - kg O3 eq_Control Building; at upgraded wastewater treatment plant - US_Base_With Amendment_Aerated Static Pile</v>
      </c>
    </row>
    <row r="11125" spans="1:13" s="120" customFormat="1" x14ac:dyDescent="0.25">
      <c r="A11125" s="119"/>
      <c r="B11125" s="138" t="str">
        <f t="shared" si="952"/>
        <v>Aerated Static Pile</v>
      </c>
      <c r="C11125" s="138" t="str">
        <f t="shared" si="953"/>
        <v>Base_With Amendment</v>
      </c>
      <c r="D11125" s="138" t="str">
        <f t="shared" si="950"/>
        <v>Medium_Base</v>
      </c>
      <c r="E11125" s="138" t="str">
        <f t="shared" si="955"/>
        <v>High</v>
      </c>
      <c r="F11125" s="138" t="str">
        <f t="shared" si="954"/>
        <v>Upgraded</v>
      </c>
      <c r="G11125" s="153"/>
      <c r="H11125" s="210">
        <v>-1.38E-2</v>
      </c>
      <c r="I11125" s="160" t="s">
        <v>62</v>
      </c>
      <c r="J11125" s="160">
        <v>-3.7100000000000002E-3</v>
      </c>
      <c r="K11125" s="160" t="s">
        <v>25</v>
      </c>
      <c r="L11125" s="154" t="str">
        <f>IF(OpenLCAbasic!K11125="CTUh", "Fill in Manually",IF(OR(K11125="Unit", K11125=""), "", INDEX(LookUps!$E$5:$E$12, MATCH(OpenLCAbasic!K11125,LookUps!$D$5:$D$12,0))))</f>
        <v>Smog Formation Potential (SFP) - kg O3 eq</v>
      </c>
      <c r="M11125" s="154" t="str">
        <f t="shared" si="951"/>
        <v>High_Medium_Base_Upgraded_Smog Formation Potential (SFP) - kg O3 eq_Land application of compost; wastewater treatment unit; at updated plant - US_Base_With Amendment_Aerated Static Pile</v>
      </c>
    </row>
    <row r="11126" spans="1:13" s="120" customFormat="1" x14ac:dyDescent="0.25">
      <c r="A11126" s="119"/>
      <c r="B11126" s="138" t="str">
        <f t="shared" si="952"/>
        <v>Aerated Static Pile</v>
      </c>
      <c r="C11126" s="138" t="str">
        <f t="shared" si="953"/>
        <v>Base_With Amendment</v>
      </c>
      <c r="D11126" s="138" t="str">
        <f t="shared" si="950"/>
        <v>Medium_Base</v>
      </c>
      <c r="E11126" s="138" t="str">
        <f t="shared" si="955"/>
        <v>High</v>
      </c>
      <c r="F11126" s="138" t="str">
        <f t="shared" si="954"/>
        <v>Upgraded</v>
      </c>
      <c r="G11126" s="153"/>
      <c r="H11126" s="210">
        <v>-0.70599999999999996</v>
      </c>
      <c r="I11126" s="160" t="s">
        <v>149</v>
      </c>
      <c r="J11126" s="160">
        <v>-0.18936</v>
      </c>
      <c r="K11126" s="160" t="s">
        <v>25</v>
      </c>
      <c r="L11126" s="154" t="str">
        <f>IF(OpenLCAbasic!K11126="CTUh", "Fill in Manually",IF(OR(K11126="Unit", K11126=""), "", INDEX(LookUps!$E$5:$E$12, MATCH(OpenLCAbasic!K11126,LookUps!$D$5:$D$12,0))))</f>
        <v>Smog Formation Potential (SFP) - kg O3 eq</v>
      </c>
      <c r="M11126" s="154" t="str">
        <f t="shared" si="951"/>
        <v>High_Medium_Base_Upgraded_Smog Formation Potential (SFP) - kg O3 eq_Anaerobic Digestion; wastewater treatment unit; at updated plant - US_Base_With Amendment_Aerated Static Pile</v>
      </c>
    </row>
    <row r="11127" spans="1:13" s="120" customFormat="1" x14ac:dyDescent="0.25">
      <c r="A11127" s="119"/>
      <c r="B11127" s="138" t="str">
        <f t="shared" si="952"/>
        <v/>
      </c>
      <c r="C11127" s="138" t="str">
        <f t="shared" si="953"/>
        <v/>
      </c>
      <c r="D11127" s="138" t="str">
        <f t="shared" si="950"/>
        <v/>
      </c>
      <c r="E11127" s="138" t="str">
        <f t="shared" si="955"/>
        <v/>
      </c>
      <c r="F11127" s="138" t="str">
        <f t="shared" si="954"/>
        <v/>
      </c>
      <c r="G11127" s="153" t="s">
        <v>51</v>
      </c>
      <c r="H11127" s="160"/>
      <c r="I11127" s="160" t="s">
        <v>47</v>
      </c>
      <c r="J11127" s="160" t="s">
        <v>52</v>
      </c>
      <c r="K11127" s="160" t="s">
        <v>27</v>
      </c>
      <c r="L11127" s="154" t="str">
        <f>IF(OpenLCAbasic!K11127="CTUh", "Fill in Manually",IF(OR(K11127="Unit", K11127=""), "", INDEX(LookUps!$E$5:$E$12, MATCH(OpenLCAbasic!K11127,LookUps!$D$5:$D$12,0))))</f>
        <v/>
      </c>
      <c r="M11127" s="154" t="str">
        <f t="shared" si="951"/>
        <v>____Process__</v>
      </c>
    </row>
    <row r="11128" spans="1:13" s="120" customFormat="1" x14ac:dyDescent="0.25">
      <c r="A11128" s="119"/>
      <c r="B11128" s="138" t="str">
        <f t="shared" si="952"/>
        <v>Aerated Static Pile</v>
      </c>
      <c r="C11128" s="138" t="str">
        <f t="shared" si="953"/>
        <v>Base_With Amendment</v>
      </c>
      <c r="D11128" s="138" t="str">
        <f t="shared" si="950"/>
        <v>Medium_Base</v>
      </c>
      <c r="E11128" s="138" t="str">
        <f t="shared" si="955"/>
        <v>High</v>
      </c>
      <c r="F11128" s="138" t="str">
        <f t="shared" si="954"/>
        <v>Upgraded</v>
      </c>
      <c r="G11128" s="153"/>
      <c r="H11128" s="210">
        <v>0.64459999999999995</v>
      </c>
      <c r="I11128" s="160" t="s">
        <v>167</v>
      </c>
      <c r="J11128" s="160">
        <v>2.7999999999999998E-4</v>
      </c>
      <c r="K11128" s="160" t="s">
        <v>26</v>
      </c>
      <c r="L11128" s="154" t="str">
        <f>IF(OpenLCAbasic!K11128="CTUh", "Fill in Manually",IF(OR(K11128="Unit", K11128=""), "", INDEX(LookUps!$E$5:$E$12, MATCH(OpenLCAbasic!K11128,LookUps!$D$5:$D$12,0))))</f>
        <v>Water Use (WU) - m3 H2O</v>
      </c>
      <c r="M11128" s="154" t="str">
        <f t="shared" si="951"/>
        <v>High_Medium_Base_Upgraded_Water Use (WU) - m3 H2O_Waste Receiving and Holding; wastewater treatment unit; at updated plant - US_Base_With Amendment_Aerated Static Pile</v>
      </c>
    </row>
    <row r="11129" spans="1:13" s="120" customFormat="1" x14ac:dyDescent="0.25">
      <c r="A11129" s="119"/>
      <c r="B11129" s="138" t="str">
        <f t="shared" si="952"/>
        <v>Aerated Static Pile</v>
      </c>
      <c r="C11129" s="138" t="str">
        <f t="shared" si="953"/>
        <v>Base_With Amendment</v>
      </c>
      <c r="D11129" s="138" t="str">
        <f t="shared" si="950"/>
        <v>Medium_Base</v>
      </c>
      <c r="E11129" s="138" t="str">
        <f t="shared" si="955"/>
        <v>High</v>
      </c>
      <c r="F11129" s="138" t="str">
        <f t="shared" si="954"/>
        <v>Upgraded</v>
      </c>
      <c r="G11129" s="153"/>
      <c r="H11129" s="210">
        <v>0.42080000000000001</v>
      </c>
      <c r="I11129" s="160" t="s">
        <v>147</v>
      </c>
      <c r="J11129" s="160">
        <v>1.8000000000000001E-4</v>
      </c>
      <c r="K11129" s="160" t="s">
        <v>26</v>
      </c>
      <c r="L11129" s="154" t="str">
        <f>IF(OpenLCAbasic!K11129="CTUh", "Fill in Manually",IF(OR(K11129="Unit", K11129=""), "", INDEX(LookUps!$E$5:$E$12, MATCH(OpenLCAbasic!K11129,LookUps!$D$5:$D$12,0))))</f>
        <v>Water Use (WU) - m3 H2O</v>
      </c>
      <c r="M11129" s="154" t="str">
        <f t="shared" si="951"/>
        <v>High_Medium_Base_Upgraded_Water Use (WU) - m3 H2O_Influent Pump Station; wastewater treatment unit; at updated plant - US_Base_With Amendment_Aerated Static Pile</v>
      </c>
    </row>
    <row r="11130" spans="1:13" s="120" customFormat="1" x14ac:dyDescent="0.25">
      <c r="A11130" s="119"/>
      <c r="B11130" s="138" t="str">
        <f t="shared" si="952"/>
        <v>Aerated Static Pile</v>
      </c>
      <c r="C11130" s="138" t="str">
        <f t="shared" si="953"/>
        <v>Base_With Amendment</v>
      </c>
      <c r="D11130" s="138" t="str">
        <f t="shared" si="950"/>
        <v>Medium_Base</v>
      </c>
      <c r="E11130" s="138" t="str">
        <f t="shared" si="955"/>
        <v>High</v>
      </c>
      <c r="F11130" s="138" t="str">
        <f t="shared" si="954"/>
        <v>Upgraded</v>
      </c>
      <c r="G11130" s="153"/>
      <c r="H11130" s="210">
        <v>0.41060000000000002</v>
      </c>
      <c r="I11130" s="160" t="s">
        <v>54</v>
      </c>
      <c r="J11130" s="160">
        <v>1.8000000000000001E-4</v>
      </c>
      <c r="K11130" s="160" t="s">
        <v>26</v>
      </c>
      <c r="L11130" s="154" t="str">
        <f>IF(OpenLCAbasic!K11130="CTUh", "Fill in Manually",IF(OR(K11130="Unit", K11130=""), "", INDEX(LookUps!$E$5:$E$12, MATCH(OpenLCAbasic!K11130,LookUps!$D$5:$D$12,0))))</f>
        <v>Water Use (WU) - m3 H2O</v>
      </c>
      <c r="M11130" s="154" t="str">
        <f t="shared" si="951"/>
        <v>High_Medium_Base_Upgraded_Water Use (WU) - m3 H2O_Clear Cove Primary Clarification; wastewater treatment unit; at updated plant - US_Base_With Amendment_Aerated Static Pile</v>
      </c>
    </row>
    <row r="11131" spans="1:13" s="120" customFormat="1" x14ac:dyDescent="0.25">
      <c r="A11131" s="119"/>
      <c r="B11131" s="138" t="str">
        <f t="shared" si="952"/>
        <v>Aerated Static Pile</v>
      </c>
      <c r="C11131" s="138" t="str">
        <f t="shared" si="953"/>
        <v>Base_With Amendment</v>
      </c>
      <c r="D11131" s="138" t="str">
        <f t="shared" si="950"/>
        <v>Medium_Base</v>
      </c>
      <c r="E11131" s="138" t="str">
        <f t="shared" si="955"/>
        <v>High</v>
      </c>
      <c r="F11131" s="138" t="str">
        <f t="shared" si="954"/>
        <v>Upgraded</v>
      </c>
      <c r="G11131" s="153"/>
      <c r="H11131" s="210">
        <v>0.37240000000000001</v>
      </c>
      <c r="I11131" s="160" t="s">
        <v>55</v>
      </c>
      <c r="J11131" s="160">
        <v>1.6000000000000001E-4</v>
      </c>
      <c r="K11131" s="160" t="s">
        <v>26</v>
      </c>
      <c r="L11131" s="154" t="str">
        <f>IF(OpenLCAbasic!K11131="CTUh", "Fill in Manually",IF(OR(K11131="Unit", K11131=""), "", INDEX(LookUps!$E$5:$E$12, MATCH(OpenLCAbasic!K11131,LookUps!$D$5:$D$12,0))))</f>
        <v>Water Use (WU) - m3 H2O</v>
      </c>
      <c r="M11131" s="154" t="str">
        <f t="shared" si="951"/>
        <v>High_Medium_Base_Upgraded_Water Use (WU) - m3 H2O_Aeration Tanks; wastewater treatment unit; at updated plant - US_Base_With Amendment_Aerated Static Pile</v>
      </c>
    </row>
    <row r="11132" spans="1:13" s="120" customFormat="1" x14ac:dyDescent="0.25">
      <c r="A11132" s="119"/>
      <c r="B11132" s="138" t="str">
        <f t="shared" si="952"/>
        <v>Aerated Static Pile</v>
      </c>
      <c r="C11132" s="138" t="str">
        <f t="shared" si="953"/>
        <v>Base_With Amendment</v>
      </c>
      <c r="D11132" s="138" t="str">
        <f t="shared" si="950"/>
        <v>Medium_Base</v>
      </c>
      <c r="E11132" s="138" t="str">
        <f t="shared" si="955"/>
        <v>High</v>
      </c>
      <c r="F11132" s="138" t="str">
        <f t="shared" si="954"/>
        <v>Upgraded</v>
      </c>
      <c r="G11132" s="153"/>
      <c r="H11132" s="210">
        <v>0.33929999999999999</v>
      </c>
      <c r="I11132" s="160" t="s">
        <v>148</v>
      </c>
      <c r="J11132" s="160">
        <v>1.4999999999999999E-4</v>
      </c>
      <c r="K11132" s="160" t="s">
        <v>26</v>
      </c>
      <c r="L11132" s="154" t="str">
        <f>IF(OpenLCAbasic!K11132="CTUh", "Fill in Manually",IF(OR(K11132="Unit", K11132=""), "", INDEX(LookUps!$E$5:$E$12, MATCH(OpenLCAbasic!K11132,LookUps!$D$5:$D$12,0))))</f>
        <v>Water Use (WU) - m3 H2O</v>
      </c>
      <c r="M11132" s="154" t="str">
        <f t="shared" si="951"/>
        <v>High_Medium_Base_Upgraded_Water Use (WU) - m3 H2O_Control Building; at upgraded wastewater treatment plant - US_Base_With Amendment_Aerated Static Pile</v>
      </c>
    </row>
    <row r="11133" spans="1:13" s="120" customFormat="1" x14ac:dyDescent="0.25">
      <c r="A11133" s="119"/>
      <c r="B11133" s="138" t="str">
        <f t="shared" si="952"/>
        <v>Aerated Static Pile</v>
      </c>
      <c r="C11133" s="138" t="str">
        <f t="shared" si="953"/>
        <v>Base_With Amendment</v>
      </c>
      <c r="D11133" s="138" t="str">
        <f t="shared" si="950"/>
        <v>Medium_Base</v>
      </c>
      <c r="E11133" s="138" t="str">
        <f t="shared" si="955"/>
        <v>High</v>
      </c>
      <c r="F11133" s="138" t="str">
        <f t="shared" si="954"/>
        <v>Upgraded</v>
      </c>
      <c r="G11133" s="153"/>
      <c r="H11133" s="210">
        <v>0.1575</v>
      </c>
      <c r="I11133" s="160" t="s">
        <v>48</v>
      </c>
      <c r="J11133" s="211">
        <v>6.8836400000000004E-5</v>
      </c>
      <c r="K11133" s="160" t="s">
        <v>26</v>
      </c>
      <c r="L11133" s="154" t="str">
        <f>IF(OpenLCAbasic!K11133="CTUh", "Fill in Manually",IF(OR(K11133="Unit", K11133=""), "", INDEX(LookUps!$E$5:$E$12, MATCH(OpenLCAbasic!K11133,LookUps!$D$5:$D$12,0))))</f>
        <v>Water Use (WU) - m3 H2O</v>
      </c>
      <c r="M11133" s="154" t="str">
        <f t="shared" si="951"/>
        <v>High_Medium_Base_Upgraded_Water Use (WU) - m3 H2O_Effluent release; wastewater treatment unit; at surface water; m3 wastewater - US_Base_With Amendment_Aerated Static Pile</v>
      </c>
    </row>
    <row r="11134" spans="1:13" s="120" customFormat="1" x14ac:dyDescent="0.25">
      <c r="A11134" s="119"/>
      <c r="B11134" s="138" t="str">
        <f t="shared" si="952"/>
        <v>Aerated Static Pile</v>
      </c>
      <c r="C11134" s="138" t="str">
        <f t="shared" si="953"/>
        <v>Base_With Amendment</v>
      </c>
      <c r="D11134" s="138" t="str">
        <f t="shared" si="950"/>
        <v>Medium_Base</v>
      </c>
      <c r="E11134" s="138" t="str">
        <f t="shared" si="955"/>
        <v>High</v>
      </c>
      <c r="F11134" s="138" t="str">
        <f t="shared" si="954"/>
        <v>Upgraded</v>
      </c>
      <c r="G11134" s="153"/>
      <c r="H11134" s="210">
        <v>9.9000000000000005E-2</v>
      </c>
      <c r="I11134" s="160" t="s">
        <v>58</v>
      </c>
      <c r="J11134" s="211">
        <v>4.3235300000000003E-5</v>
      </c>
      <c r="K11134" s="160" t="s">
        <v>26</v>
      </c>
      <c r="L11134" s="154" t="str">
        <f>IF(OpenLCAbasic!K11134="CTUh", "Fill in Manually",IF(OR(K11134="Unit", K11134=""), "", INDEX(LookUps!$E$5:$E$12, MATCH(OpenLCAbasic!K11134,LookUps!$D$5:$D$12,0))))</f>
        <v>Water Use (WU) - m3 H2O</v>
      </c>
      <c r="M11134" s="154" t="str">
        <f t="shared" si="951"/>
        <v>High_Medium_Base_Upgraded_Water Use (WU) - m3 H2O_Pre-Anoxic &amp; Swing tank; wastewater treatment unit; at updated plant - US_Base_With Amendment_Aerated Static Pile</v>
      </c>
    </row>
    <row r="11135" spans="1:13" s="120" customFormat="1" x14ac:dyDescent="0.25">
      <c r="A11135" s="119"/>
      <c r="B11135" s="138" t="str">
        <f t="shared" si="952"/>
        <v>Aerated Static Pile</v>
      </c>
      <c r="C11135" s="138" t="str">
        <f t="shared" si="953"/>
        <v>Base_With Amendment</v>
      </c>
      <c r="D11135" s="138" t="str">
        <f t="shared" si="950"/>
        <v>Medium_Base</v>
      </c>
      <c r="E11135" s="138" t="str">
        <f t="shared" si="955"/>
        <v>High</v>
      </c>
      <c r="F11135" s="138" t="str">
        <f t="shared" si="954"/>
        <v>Upgraded</v>
      </c>
      <c r="G11135" s="153"/>
      <c r="H11135" s="210">
        <v>6.9599999999999995E-2</v>
      </c>
      <c r="I11135" s="160" t="s">
        <v>57</v>
      </c>
      <c r="J11135" s="211">
        <v>3.0408100000000001E-5</v>
      </c>
      <c r="K11135" s="160" t="s">
        <v>26</v>
      </c>
      <c r="L11135" s="154" t="str">
        <f>IF(OpenLCAbasic!K11135="CTUh", "Fill in Manually",IF(OR(K11135="Unit", K11135=""), "", INDEX(LookUps!$E$5:$E$12, MATCH(OpenLCAbasic!K11135,LookUps!$D$5:$D$12,0))))</f>
        <v>Water Use (WU) - m3 H2O</v>
      </c>
      <c r="M11135" s="154" t="str">
        <f t="shared" si="951"/>
        <v>High_Medium_Base_Upgraded_Water Use (WU) - m3 H2O_Gravity Belt Thickener; wastewater treatment unit; at updated plant - US_Base_With Amendment_Aerated Static Pile</v>
      </c>
    </row>
    <row r="11136" spans="1:13" s="120" customFormat="1" x14ac:dyDescent="0.25">
      <c r="A11136" s="119"/>
      <c r="B11136" s="138" t="str">
        <f t="shared" si="952"/>
        <v>Aerated Static Pile</v>
      </c>
      <c r="C11136" s="138" t="str">
        <f t="shared" si="953"/>
        <v>Base_With Amendment</v>
      </c>
      <c r="D11136" s="138" t="str">
        <f t="shared" si="950"/>
        <v>Medium_Base</v>
      </c>
      <c r="E11136" s="138" t="str">
        <f t="shared" si="955"/>
        <v>High</v>
      </c>
      <c r="F11136" s="138" t="str">
        <f t="shared" si="954"/>
        <v>Upgraded</v>
      </c>
      <c r="G11136" s="153"/>
      <c r="H11136" s="210">
        <v>6.93E-2</v>
      </c>
      <c r="I11136" s="160" t="s">
        <v>60</v>
      </c>
      <c r="J11136" s="211">
        <v>3.0289000000000001E-5</v>
      </c>
      <c r="K11136" s="160" t="s">
        <v>26</v>
      </c>
      <c r="L11136" s="154" t="str">
        <f>IF(OpenLCAbasic!K11136="CTUh", "Fill in Manually",IF(OR(K11136="Unit", K11136=""), "", INDEX(LookUps!$E$5:$E$12, MATCH(OpenLCAbasic!K11136,LookUps!$D$5:$D$12,0))))</f>
        <v>Water Use (WU) - m3 H2O</v>
      </c>
      <c r="M11136" s="154" t="str">
        <f t="shared" si="951"/>
        <v>High_Medium_Base_Upgraded_Water Use (WU) - m3 H2O_Belt filter press; wastewater treatment unit; at updated plant - US_Base_With Amendment_Aerated Static Pile</v>
      </c>
    </row>
    <row r="11137" spans="1:13" s="120" customFormat="1" x14ac:dyDescent="0.25">
      <c r="A11137" s="119"/>
      <c r="B11137" s="138" t="str">
        <f t="shared" si="952"/>
        <v>Aerated Static Pile</v>
      </c>
      <c r="C11137" s="138" t="str">
        <f t="shared" si="953"/>
        <v>Base_With Amendment</v>
      </c>
      <c r="D11137" s="138" t="str">
        <f t="shared" ref="D11137:D11143" si="956">IF(ISNUMBER($J11137),"Medium_Base","")</f>
        <v>Medium_Base</v>
      </c>
      <c r="E11137" s="138" t="str">
        <f t="shared" si="955"/>
        <v>High</v>
      </c>
      <c r="F11137" s="138" t="str">
        <f t="shared" si="954"/>
        <v>Upgraded</v>
      </c>
      <c r="G11137" s="153"/>
      <c r="H11137" s="210">
        <v>6.1800000000000001E-2</v>
      </c>
      <c r="I11137" s="160" t="s">
        <v>435</v>
      </c>
      <c r="J11137" s="211">
        <v>2.7014099999999999E-5</v>
      </c>
      <c r="K11137" s="160" t="s">
        <v>26</v>
      </c>
      <c r="L11137" s="154" t="str">
        <f>IF(OpenLCAbasic!K11137="CTUh", "Fill in Manually",IF(OR(K11137="Unit", K11137=""), "", INDEX(LookUps!$E$5:$E$12, MATCH(OpenLCAbasic!K11137,LookUps!$D$5:$D$12,0))))</f>
        <v>Water Use (WU) - m3 H2O</v>
      </c>
      <c r="M11137" s="154" t="str">
        <f t="shared" si="951"/>
        <v>High_Medium_Base_Upgraded_Water Use (WU) - m3 H2O_Biosolids composting; aerated static pile; wastewater treatment unit; at updated plant - US_Base_With Amendment_Aerated Static Pile</v>
      </c>
    </row>
    <row r="11138" spans="1:13" s="120" customFormat="1" x14ac:dyDescent="0.25">
      <c r="A11138" s="119"/>
      <c r="B11138" s="138" t="str">
        <f t="shared" si="952"/>
        <v>Aerated Static Pile</v>
      </c>
      <c r="C11138" s="138" t="str">
        <f t="shared" si="953"/>
        <v>Base_With Amendment</v>
      </c>
      <c r="D11138" s="138" t="str">
        <f t="shared" si="956"/>
        <v>Medium_Base</v>
      </c>
      <c r="E11138" s="138" t="str">
        <f t="shared" si="955"/>
        <v>High</v>
      </c>
      <c r="F11138" s="138" t="str">
        <f t="shared" si="954"/>
        <v>Upgraded</v>
      </c>
      <c r="G11138" s="153"/>
      <c r="H11138" s="210">
        <v>4.0099999999999997E-2</v>
      </c>
      <c r="I11138" s="160" t="s">
        <v>53</v>
      </c>
      <c r="J11138" s="211">
        <v>1.75069E-5</v>
      </c>
      <c r="K11138" s="160" t="s">
        <v>26</v>
      </c>
      <c r="L11138" s="154" t="str">
        <f>IF(OpenLCAbasic!K11138="CTUh", "Fill in Manually",IF(OR(K11138="Unit", K11138=""), "", INDEX(LookUps!$E$5:$E$12, MATCH(OpenLCAbasic!K11138,LookUps!$D$5:$D$12,0))))</f>
        <v>Water Use (WU) - m3 H2O</v>
      </c>
      <c r="M11138" s="154" t="str">
        <f t="shared" si="951"/>
        <v>High_Medium_Base_Upgraded_Water Use (WU) - m3 H2O_Wet Well and Sump Station; wastewater treatment unit; at updated plant - US_Base_With Amendment_Aerated Static Pile</v>
      </c>
    </row>
    <row r="11139" spans="1:13" s="120" customFormat="1" x14ac:dyDescent="0.25">
      <c r="A11139" s="119"/>
      <c r="B11139" s="138" t="str">
        <f t="shared" si="952"/>
        <v>Aerated Static Pile</v>
      </c>
      <c r="C11139" s="138" t="str">
        <f t="shared" si="953"/>
        <v>Base_With Amendment</v>
      </c>
      <c r="D11139" s="138" t="str">
        <f t="shared" si="956"/>
        <v>Medium_Base</v>
      </c>
      <c r="E11139" s="138" t="str">
        <f t="shared" si="955"/>
        <v>High</v>
      </c>
      <c r="F11139" s="138" t="str">
        <f t="shared" si="954"/>
        <v>Upgraded</v>
      </c>
      <c r="G11139" s="153"/>
      <c r="H11139" s="210">
        <v>1.61E-2</v>
      </c>
      <c r="I11139" s="160" t="s">
        <v>59</v>
      </c>
      <c r="J11139" s="211">
        <v>7.0179500000000003E-6</v>
      </c>
      <c r="K11139" s="160" t="s">
        <v>26</v>
      </c>
      <c r="L11139" s="154" t="str">
        <f>IF(OpenLCAbasic!K11139="CTUh", "Fill in Manually",IF(OR(K11139="Unit", K11139=""), "", INDEX(LookUps!$E$5:$E$12, MATCH(OpenLCAbasic!K11139,LookUps!$D$5:$D$12,0))))</f>
        <v>Water Use (WU) - m3 H2O</v>
      </c>
      <c r="M11139" s="154" t="str">
        <f t="shared" si="951"/>
        <v>High_Medium_Base_Upgraded_Water Use (WU) - m3 H2O_Blend Tank; wastewater treatment unit; at updated plant - US_Base_With Amendment_Aerated Static Pile</v>
      </c>
    </row>
    <row r="11140" spans="1:13" s="120" customFormat="1" x14ac:dyDescent="0.25">
      <c r="A11140" s="119"/>
      <c r="B11140" s="138" t="str">
        <f t="shared" si="952"/>
        <v>Aerated Static Pile</v>
      </c>
      <c r="C11140" s="138" t="str">
        <f t="shared" si="953"/>
        <v>Base_With Amendment</v>
      </c>
      <c r="D11140" s="138" t="str">
        <f t="shared" si="956"/>
        <v>Medium_Base</v>
      </c>
      <c r="E11140" s="138" t="str">
        <f t="shared" si="955"/>
        <v>High</v>
      </c>
      <c r="F11140" s="138" t="str">
        <f t="shared" si="954"/>
        <v>Upgraded</v>
      </c>
      <c r="G11140" s="153"/>
      <c r="H11140" s="210">
        <v>1.1599999999999999E-2</v>
      </c>
      <c r="I11140" s="160" t="s">
        <v>128</v>
      </c>
      <c r="J11140" s="211">
        <v>5.0608900000000003E-6</v>
      </c>
      <c r="K11140" s="160" t="s">
        <v>26</v>
      </c>
      <c r="L11140" s="154" t="str">
        <f>IF(OpenLCAbasic!K11140="CTUh", "Fill in Manually",IF(OR(K11140="Unit", K11140=""), "", INDEX(LookUps!$E$5:$E$12, MATCH(OpenLCAbasic!K11140,LookUps!$D$5:$D$12,0))))</f>
        <v>Water Use (WU) - m3 H2O</v>
      </c>
      <c r="M11140" s="154" t="str">
        <f t="shared" ref="M11140:M11203" si="957">CONCATENATE(E11140,"_",D11140,"_",F11140,"_",L11140, "_",I11140,"_", C11140,"_", B11140)</f>
        <v>High_Medium_Base_Upgraded_Water Use (WU) - m3 H2O_Wastewater collection; operation and infrastructure; m3 wastewater_Base_With Amendment_Aerated Static Pile</v>
      </c>
    </row>
    <row r="11141" spans="1:13" s="120" customFormat="1" x14ac:dyDescent="0.25">
      <c r="A11141" s="119"/>
      <c r="B11141" s="138" t="str">
        <f t="shared" si="952"/>
        <v>Aerated Static Pile</v>
      </c>
      <c r="C11141" s="138" t="str">
        <f t="shared" si="953"/>
        <v>Base_With Amendment</v>
      </c>
      <c r="D11141" s="138" t="str">
        <f t="shared" si="956"/>
        <v>Medium_Base</v>
      </c>
      <c r="E11141" s="138" t="str">
        <f t="shared" si="955"/>
        <v>High</v>
      </c>
      <c r="F11141" s="138" t="str">
        <f t="shared" si="954"/>
        <v>Upgraded</v>
      </c>
      <c r="G11141" s="153"/>
      <c r="H11141" s="210">
        <v>1.8E-3</v>
      </c>
      <c r="I11141" s="160" t="s">
        <v>168</v>
      </c>
      <c r="J11141" s="211">
        <v>7.6697000000000004E-7</v>
      </c>
      <c r="K11141" s="160" t="s">
        <v>26</v>
      </c>
      <c r="L11141" s="154" t="str">
        <f>IF(OpenLCAbasic!K11141="CTUh", "Fill in Manually",IF(OR(K11141="Unit", K11141=""), "", INDEX(LookUps!$E$5:$E$12, MATCH(OpenLCAbasic!K11141,LookUps!$D$5:$D$12,0))))</f>
        <v>Water Use (WU) - m3 H2O</v>
      </c>
      <c r="M11141" s="154" t="str">
        <f t="shared" si="957"/>
        <v>High_Medium_Base_Upgraded_Water Use (WU) - m3 H2O_ClearCove SCP; wastewater treatment unit; at updated plant - US_Base_With Amendment_Aerated Static Pile</v>
      </c>
    </row>
    <row r="11142" spans="1:13" s="120" customFormat="1" x14ac:dyDescent="0.25">
      <c r="A11142" s="119"/>
      <c r="B11142" s="138" t="str">
        <f t="shared" si="952"/>
        <v>Aerated Static Pile</v>
      </c>
      <c r="C11142" s="138" t="str">
        <f t="shared" si="953"/>
        <v>Base_With Amendment</v>
      </c>
      <c r="D11142" s="138" t="str">
        <f t="shared" si="956"/>
        <v>Medium_Base</v>
      </c>
      <c r="E11142" s="138" t="str">
        <f t="shared" si="955"/>
        <v>High</v>
      </c>
      <c r="F11142" s="138" t="str">
        <f t="shared" si="954"/>
        <v>Upgraded</v>
      </c>
      <c r="G11142" s="153"/>
      <c r="H11142" s="210">
        <v>-8.8300000000000003E-2</v>
      </c>
      <c r="I11142" s="160" t="s">
        <v>149</v>
      </c>
      <c r="J11142" s="211">
        <v>-3.8591399999999998E-5</v>
      </c>
      <c r="K11142" s="160" t="s">
        <v>26</v>
      </c>
      <c r="L11142" s="154" t="str">
        <f>IF(OpenLCAbasic!K11142="CTUh", "Fill in Manually",IF(OR(K11142="Unit", K11142=""), "", INDEX(LookUps!$E$5:$E$12, MATCH(OpenLCAbasic!K11142,LookUps!$D$5:$D$12,0))))</f>
        <v>Water Use (WU) - m3 H2O</v>
      </c>
      <c r="M11142" s="154" t="str">
        <f t="shared" si="957"/>
        <v>High_Medium_Base_Upgraded_Water Use (WU) - m3 H2O_Anaerobic Digestion; wastewater treatment unit; at updated plant - US_Base_With Amendment_Aerated Static Pile</v>
      </c>
    </row>
    <row r="11143" spans="1:13" s="120" customFormat="1" x14ac:dyDescent="0.25">
      <c r="A11143" s="119"/>
      <c r="B11143" s="138" t="str">
        <f t="shared" si="952"/>
        <v>Aerated Static Pile</v>
      </c>
      <c r="C11143" s="138" t="str">
        <f t="shared" si="953"/>
        <v>Base_With Amendment</v>
      </c>
      <c r="D11143" s="138" t="str">
        <f t="shared" si="956"/>
        <v>Medium_Base</v>
      </c>
      <c r="E11143" s="138" t="str">
        <f t="shared" si="955"/>
        <v>High</v>
      </c>
      <c r="F11143" s="138" t="str">
        <f t="shared" si="954"/>
        <v>Upgraded</v>
      </c>
      <c r="G11143" s="153"/>
      <c r="H11143" s="210">
        <v>-3.6261000000000001</v>
      </c>
      <c r="I11143" s="160" t="s">
        <v>62</v>
      </c>
      <c r="J11143" s="160">
        <v>-1.58E-3</v>
      </c>
      <c r="K11143" s="160" t="s">
        <v>26</v>
      </c>
      <c r="L11143" s="154" t="str">
        <f>IF(OpenLCAbasic!K11143="CTUh", "Fill in Manually",IF(OR(K11143="Unit", K11143=""), "", INDEX(LookUps!$E$5:$E$12, MATCH(OpenLCAbasic!K11143,LookUps!$D$5:$D$12,0))))</f>
        <v>Water Use (WU) - m3 H2O</v>
      </c>
      <c r="M11143" s="154" t="str">
        <f t="shared" si="957"/>
        <v>High_Medium_Base_Upgraded_Water Use (WU) - m3 H2O_Land application of compost; wastewater treatment unit; at updated plant - US_Base_With Amendment_Aerated Static Pile</v>
      </c>
    </row>
    <row r="11144" spans="1:13" s="120" customFormat="1" x14ac:dyDescent="0.25">
      <c r="A11144" s="119"/>
      <c r="B11144" s="138" t="str">
        <f t="shared" si="952"/>
        <v/>
      </c>
      <c r="C11144" s="138" t="str">
        <f t="shared" si="953"/>
        <v/>
      </c>
      <c r="D11144" s="138" t="str">
        <f>IF(ISNUMBER($J11144),"Medium_High","")</f>
        <v/>
      </c>
      <c r="E11144" s="138" t="str">
        <f t="shared" si="955"/>
        <v/>
      </c>
      <c r="F11144" s="138" t="str">
        <f t="shared" si="954"/>
        <v/>
      </c>
      <c r="G11144" s="153" t="s">
        <v>51</v>
      </c>
      <c r="H11144" s="160"/>
      <c r="I11144" s="160" t="s">
        <v>47</v>
      </c>
      <c r="J11144" s="160" t="s">
        <v>52</v>
      </c>
      <c r="K11144" s="160" t="s">
        <v>27</v>
      </c>
      <c r="L11144" s="154" t="str">
        <f>IF(OpenLCAbasic!K11144="CTUh", "Fill in Manually",IF(OR(K11144="Unit", K11144=""), "", INDEX(LookUps!$E$5:$E$12, MATCH(OpenLCAbasic!K11144,LookUps!$D$5:$D$12,0))))</f>
        <v/>
      </c>
      <c r="M11144" s="154" t="str">
        <f t="shared" si="957"/>
        <v>____Process__</v>
      </c>
    </row>
    <row r="11145" spans="1:13" s="120" customFormat="1" x14ac:dyDescent="0.25">
      <c r="A11145" s="119"/>
      <c r="B11145" s="138" t="str">
        <f t="shared" si="952"/>
        <v>Aerated Static Pile</v>
      </c>
      <c r="C11145" s="138" t="str">
        <f t="shared" si="953"/>
        <v>Base_With Amendment</v>
      </c>
      <c r="D11145" s="138" t="str">
        <f t="shared" ref="D11145:D11208" si="958">IF(ISNUMBER($J11145),"Medium_High","")</f>
        <v>Medium_High</v>
      </c>
      <c r="E11145" s="138" t="str">
        <f t="shared" si="955"/>
        <v>High</v>
      </c>
      <c r="F11145" s="138" t="str">
        <f t="shared" si="954"/>
        <v>Upgraded</v>
      </c>
      <c r="G11145" s="153"/>
      <c r="H11145" s="210">
        <v>2.3706</v>
      </c>
      <c r="I11145" s="160" t="s">
        <v>55</v>
      </c>
      <c r="J11145" s="160">
        <v>1.7219999999999999E-2</v>
      </c>
      <c r="K11145" s="160" t="s">
        <v>24</v>
      </c>
      <c r="L11145" s="154" t="str">
        <f>IF(OpenLCAbasic!K11145="CTUh", "Fill in Manually",IF(OR(K11145="Unit", K11145=""), "", INDEX(LookUps!$E$5:$E$12, MATCH(OpenLCAbasic!K11145,LookUps!$D$5:$D$12,0))))</f>
        <v>Acidification Potential (AP) - kg SO2 eq</v>
      </c>
      <c r="M11145" s="154" t="str">
        <f t="shared" si="957"/>
        <v>High_Medium_High_Upgraded_Acidification Potential (AP) - kg SO2 eq_Aeration Tanks; wastewater treatment unit; at updated plant - US_Base_With Amendment_Aerated Static Pile</v>
      </c>
    </row>
    <row r="11146" spans="1:13" s="120" customFormat="1" x14ac:dyDescent="0.25">
      <c r="A11146" s="119"/>
      <c r="B11146" s="138" t="str">
        <f t="shared" ref="B11146:B11209" si="959">IF(F11146="Legacy","n.a.",IF(F11146="","","Aerated Static Pile"))</f>
        <v>Aerated Static Pile</v>
      </c>
      <c r="C11146" s="138" t="str">
        <f t="shared" ref="C11146:C11209" si="960">IF(ISNUMBER($J11146),"Base_With Amendment","")</f>
        <v>Base_With Amendment</v>
      </c>
      <c r="D11146" s="138" t="str">
        <f t="shared" si="958"/>
        <v>Medium_High</v>
      </c>
      <c r="E11146" s="138" t="str">
        <f t="shared" si="955"/>
        <v>High</v>
      </c>
      <c r="F11146" s="138" t="str">
        <f t="shared" ref="F11146:F11209" si="961">IF(ISNUMBER(J11146),"Upgraded","")</f>
        <v>Upgraded</v>
      </c>
      <c r="G11146" s="153"/>
      <c r="H11146" s="210">
        <v>1.2279</v>
      </c>
      <c r="I11146" s="160" t="s">
        <v>435</v>
      </c>
      <c r="J11146" s="160">
        <v>8.9200000000000008E-3</v>
      </c>
      <c r="K11146" s="160" t="s">
        <v>24</v>
      </c>
      <c r="L11146" s="154" t="str">
        <f>IF(OpenLCAbasic!K11146="CTUh", "Fill in Manually",IF(OR(K11146="Unit", K11146=""), "", INDEX(LookUps!$E$5:$E$12, MATCH(OpenLCAbasic!K11146,LookUps!$D$5:$D$12,0))))</f>
        <v>Acidification Potential (AP) - kg SO2 eq</v>
      </c>
      <c r="M11146" s="154" t="str">
        <f t="shared" si="957"/>
        <v>High_Medium_High_Upgraded_Acidification Potential (AP) - kg SO2 eq_Biosolids composting; aerated static pile; wastewater treatment unit; at updated plant - US_Base_With Amendment_Aerated Static Pile</v>
      </c>
    </row>
    <row r="11147" spans="1:13" s="120" customFormat="1" x14ac:dyDescent="0.25">
      <c r="A11147" s="119"/>
      <c r="B11147" s="138" t="str">
        <f t="shared" si="959"/>
        <v>Aerated Static Pile</v>
      </c>
      <c r="C11147" s="138" t="str">
        <f t="shared" si="960"/>
        <v>Base_With Amendment</v>
      </c>
      <c r="D11147" s="138" t="str">
        <f t="shared" si="958"/>
        <v>Medium_High</v>
      </c>
      <c r="E11147" s="138" t="str">
        <f t="shared" si="955"/>
        <v>High</v>
      </c>
      <c r="F11147" s="138" t="str">
        <f t="shared" si="961"/>
        <v>Upgraded</v>
      </c>
      <c r="G11147" s="153"/>
      <c r="H11147" s="210">
        <v>0.68569999999999998</v>
      </c>
      <c r="I11147" s="160" t="s">
        <v>54</v>
      </c>
      <c r="J11147" s="160">
        <v>4.9800000000000001E-3</v>
      </c>
      <c r="K11147" s="160" t="s">
        <v>24</v>
      </c>
      <c r="L11147" s="154" t="str">
        <f>IF(OpenLCAbasic!K11147="CTUh", "Fill in Manually",IF(OR(K11147="Unit", K11147=""), "", INDEX(LookUps!$E$5:$E$12, MATCH(OpenLCAbasic!K11147,LookUps!$D$5:$D$12,0))))</f>
        <v>Acidification Potential (AP) - kg SO2 eq</v>
      </c>
      <c r="M11147" s="154" t="str">
        <f t="shared" si="957"/>
        <v>High_Medium_High_Upgraded_Acidification Potential (AP) - kg SO2 eq_Clear Cove Primary Clarification; wastewater treatment unit; at updated plant - US_Base_With Amendment_Aerated Static Pile</v>
      </c>
    </row>
    <row r="11148" spans="1:13" s="120" customFormat="1" x14ac:dyDescent="0.25">
      <c r="A11148" s="119"/>
      <c r="B11148" s="138" t="str">
        <f t="shared" si="959"/>
        <v>Aerated Static Pile</v>
      </c>
      <c r="C11148" s="138" t="str">
        <f t="shared" si="960"/>
        <v>Base_With Amendment</v>
      </c>
      <c r="D11148" s="138" t="str">
        <f t="shared" si="958"/>
        <v>Medium_High</v>
      </c>
      <c r="E11148" s="138" t="str">
        <f t="shared" si="955"/>
        <v>High</v>
      </c>
      <c r="F11148" s="138" t="str">
        <f t="shared" si="961"/>
        <v>Upgraded</v>
      </c>
      <c r="G11148" s="153"/>
      <c r="H11148" s="210">
        <v>0.59830000000000005</v>
      </c>
      <c r="I11148" s="160" t="s">
        <v>58</v>
      </c>
      <c r="J11148" s="160">
        <v>4.3499999999999997E-3</v>
      </c>
      <c r="K11148" s="160" t="s">
        <v>24</v>
      </c>
      <c r="L11148" s="154" t="str">
        <f>IF(OpenLCAbasic!K11148="CTUh", "Fill in Manually",IF(OR(K11148="Unit", K11148=""), "", INDEX(LookUps!$E$5:$E$12, MATCH(OpenLCAbasic!K11148,LookUps!$D$5:$D$12,0))))</f>
        <v>Acidification Potential (AP) - kg SO2 eq</v>
      </c>
      <c r="M11148" s="154" t="str">
        <f t="shared" si="957"/>
        <v>High_Medium_High_Upgraded_Acidification Potential (AP) - kg SO2 eq_Pre-Anoxic &amp; Swing tank; wastewater treatment unit; at updated plant - US_Base_With Amendment_Aerated Static Pile</v>
      </c>
    </row>
    <row r="11149" spans="1:13" s="120" customFormat="1" x14ac:dyDescent="0.25">
      <c r="A11149" s="119"/>
      <c r="B11149" s="138" t="str">
        <f t="shared" si="959"/>
        <v>Aerated Static Pile</v>
      </c>
      <c r="C11149" s="138" t="str">
        <f t="shared" si="960"/>
        <v>Base_With Amendment</v>
      </c>
      <c r="D11149" s="138" t="str">
        <f t="shared" si="958"/>
        <v>Medium_High</v>
      </c>
      <c r="E11149" s="138" t="str">
        <f t="shared" si="955"/>
        <v>High</v>
      </c>
      <c r="F11149" s="138" t="str">
        <f t="shared" si="961"/>
        <v>Upgraded</v>
      </c>
      <c r="G11149" s="153"/>
      <c r="H11149" s="210">
        <v>0.47510000000000002</v>
      </c>
      <c r="I11149" s="160" t="s">
        <v>53</v>
      </c>
      <c r="J11149" s="160">
        <v>3.4499999999999999E-3</v>
      </c>
      <c r="K11149" s="160" t="s">
        <v>24</v>
      </c>
      <c r="L11149" s="154" t="str">
        <f>IF(OpenLCAbasic!K11149="CTUh", "Fill in Manually",IF(OR(K11149="Unit", K11149=""), "", INDEX(LookUps!$E$5:$E$12, MATCH(OpenLCAbasic!K11149,LookUps!$D$5:$D$12,0))))</f>
        <v>Acidification Potential (AP) - kg SO2 eq</v>
      </c>
      <c r="M11149" s="154" t="str">
        <f t="shared" si="957"/>
        <v>High_Medium_High_Upgraded_Acidification Potential (AP) - kg SO2 eq_Wet Well and Sump Station; wastewater treatment unit; at updated plant - US_Base_With Amendment_Aerated Static Pile</v>
      </c>
    </row>
    <row r="11150" spans="1:13" s="120" customFormat="1" x14ac:dyDescent="0.25">
      <c r="A11150" s="119"/>
      <c r="B11150" s="138" t="str">
        <f t="shared" si="959"/>
        <v>Aerated Static Pile</v>
      </c>
      <c r="C11150" s="138" t="str">
        <f t="shared" si="960"/>
        <v>Base_With Amendment</v>
      </c>
      <c r="D11150" s="138" t="str">
        <f t="shared" si="958"/>
        <v>Medium_High</v>
      </c>
      <c r="E11150" s="138" t="str">
        <f t="shared" si="955"/>
        <v>High</v>
      </c>
      <c r="F11150" s="138" t="str">
        <f t="shared" si="961"/>
        <v>Upgraded</v>
      </c>
      <c r="G11150" s="153"/>
      <c r="H11150" s="210">
        <v>0.42859999999999998</v>
      </c>
      <c r="I11150" s="160" t="s">
        <v>62</v>
      </c>
      <c r="J11150" s="160">
        <v>3.1099999999999999E-3</v>
      </c>
      <c r="K11150" s="160" t="s">
        <v>24</v>
      </c>
      <c r="L11150" s="154" t="str">
        <f>IF(OpenLCAbasic!K11150="CTUh", "Fill in Manually",IF(OR(K11150="Unit", K11150=""), "", INDEX(LookUps!$E$5:$E$12, MATCH(OpenLCAbasic!K11150,LookUps!$D$5:$D$12,0))))</f>
        <v>Acidification Potential (AP) - kg SO2 eq</v>
      </c>
      <c r="M11150" s="154" t="str">
        <f t="shared" si="957"/>
        <v>High_Medium_High_Upgraded_Acidification Potential (AP) - kg SO2 eq_Land application of compost; wastewater treatment unit; at updated plant - US_Base_With Amendment_Aerated Static Pile</v>
      </c>
    </row>
    <row r="11151" spans="1:13" s="120" customFormat="1" x14ac:dyDescent="0.25">
      <c r="A11151" s="119"/>
      <c r="B11151" s="138" t="str">
        <f t="shared" si="959"/>
        <v>Aerated Static Pile</v>
      </c>
      <c r="C11151" s="138" t="str">
        <f t="shared" si="960"/>
        <v>Base_With Amendment</v>
      </c>
      <c r="D11151" s="138" t="str">
        <f t="shared" si="958"/>
        <v>Medium_High</v>
      </c>
      <c r="E11151" s="138" t="str">
        <f t="shared" si="955"/>
        <v>High</v>
      </c>
      <c r="F11151" s="138" t="str">
        <f t="shared" si="961"/>
        <v>Upgraded</v>
      </c>
      <c r="G11151" s="153"/>
      <c r="H11151" s="210">
        <v>0.34849999999999998</v>
      </c>
      <c r="I11151" s="160" t="s">
        <v>167</v>
      </c>
      <c r="J11151" s="160">
        <v>2.5300000000000001E-3</v>
      </c>
      <c r="K11151" s="160" t="s">
        <v>24</v>
      </c>
      <c r="L11151" s="154" t="str">
        <f>IF(OpenLCAbasic!K11151="CTUh", "Fill in Manually",IF(OR(K11151="Unit", K11151=""), "", INDEX(LookUps!$E$5:$E$12, MATCH(OpenLCAbasic!K11151,LookUps!$D$5:$D$12,0))))</f>
        <v>Acidification Potential (AP) - kg SO2 eq</v>
      </c>
      <c r="M11151" s="154" t="str">
        <f t="shared" si="957"/>
        <v>High_Medium_High_Upgraded_Acidification Potential (AP) - kg SO2 eq_Waste Receiving and Holding; wastewater treatment unit; at updated plant - US_Base_With Amendment_Aerated Static Pile</v>
      </c>
    </row>
    <row r="11152" spans="1:13" s="120" customFormat="1" x14ac:dyDescent="0.25">
      <c r="A11152" s="119"/>
      <c r="B11152" s="138" t="str">
        <f t="shared" si="959"/>
        <v>Aerated Static Pile</v>
      </c>
      <c r="C11152" s="138" t="str">
        <f t="shared" si="960"/>
        <v>Base_With Amendment</v>
      </c>
      <c r="D11152" s="138" t="str">
        <f t="shared" si="958"/>
        <v>Medium_High</v>
      </c>
      <c r="E11152" s="138" t="str">
        <f t="shared" si="955"/>
        <v>High</v>
      </c>
      <c r="F11152" s="138" t="str">
        <f t="shared" si="961"/>
        <v>Upgraded</v>
      </c>
      <c r="G11152" s="153"/>
      <c r="H11152" s="210">
        <v>0.2848</v>
      </c>
      <c r="I11152" s="160" t="s">
        <v>147</v>
      </c>
      <c r="J11152" s="160">
        <v>2.0699999999999998E-3</v>
      </c>
      <c r="K11152" s="160" t="s">
        <v>24</v>
      </c>
      <c r="L11152" s="154" t="str">
        <f>IF(OpenLCAbasic!K11152="CTUh", "Fill in Manually",IF(OR(K11152="Unit", K11152=""), "", INDEX(LookUps!$E$5:$E$12, MATCH(OpenLCAbasic!K11152,LookUps!$D$5:$D$12,0))))</f>
        <v>Acidification Potential (AP) - kg SO2 eq</v>
      </c>
      <c r="M11152" s="154" t="str">
        <f t="shared" si="957"/>
        <v>High_Medium_High_Upgraded_Acidification Potential (AP) - kg SO2 eq_Influent Pump Station; wastewater treatment unit; at updated plant - US_Base_With Amendment_Aerated Static Pile</v>
      </c>
    </row>
    <row r="11153" spans="1:13" s="120" customFormat="1" x14ac:dyDescent="0.25">
      <c r="A11153" s="119"/>
      <c r="B11153" s="138" t="str">
        <f t="shared" si="959"/>
        <v>Aerated Static Pile</v>
      </c>
      <c r="C11153" s="138" t="str">
        <f t="shared" si="960"/>
        <v>Base_With Amendment</v>
      </c>
      <c r="D11153" s="138" t="str">
        <f t="shared" si="958"/>
        <v>Medium_High</v>
      </c>
      <c r="E11153" s="138" t="str">
        <f t="shared" si="955"/>
        <v>High</v>
      </c>
      <c r="F11153" s="138" t="str">
        <f t="shared" si="961"/>
        <v>Upgraded</v>
      </c>
      <c r="G11153" s="153"/>
      <c r="H11153" s="210">
        <v>0.16980000000000001</v>
      </c>
      <c r="I11153" s="160" t="s">
        <v>128</v>
      </c>
      <c r="J11153" s="160">
        <v>1.23E-3</v>
      </c>
      <c r="K11153" s="160" t="s">
        <v>24</v>
      </c>
      <c r="L11153" s="154" t="str">
        <f>IF(OpenLCAbasic!K11153="CTUh", "Fill in Manually",IF(OR(K11153="Unit", K11153=""), "", INDEX(LookUps!$E$5:$E$12, MATCH(OpenLCAbasic!K11153,LookUps!$D$5:$D$12,0))))</f>
        <v>Acidification Potential (AP) - kg SO2 eq</v>
      </c>
      <c r="M11153" s="154" t="str">
        <f t="shared" si="957"/>
        <v>High_Medium_High_Upgraded_Acidification Potential (AP) - kg SO2 eq_Wastewater collection; operation and infrastructure; m3 wastewater_Base_With Amendment_Aerated Static Pile</v>
      </c>
    </row>
    <row r="11154" spans="1:13" s="120" customFormat="1" x14ac:dyDescent="0.25">
      <c r="A11154" s="119"/>
      <c r="B11154" s="138" t="str">
        <f t="shared" si="959"/>
        <v>Aerated Static Pile</v>
      </c>
      <c r="C11154" s="138" t="str">
        <f t="shared" si="960"/>
        <v>Base_With Amendment</v>
      </c>
      <c r="D11154" s="138" t="str">
        <f t="shared" si="958"/>
        <v>Medium_High</v>
      </c>
      <c r="E11154" s="138" t="str">
        <f t="shared" si="955"/>
        <v>High</v>
      </c>
      <c r="F11154" s="138" t="str">
        <f t="shared" si="961"/>
        <v>Upgraded</v>
      </c>
      <c r="G11154" s="153"/>
      <c r="H11154" s="210">
        <v>0.1404</v>
      </c>
      <c r="I11154" s="160" t="s">
        <v>60</v>
      </c>
      <c r="J11154" s="160">
        <v>1.0200000000000001E-3</v>
      </c>
      <c r="K11154" s="160" t="s">
        <v>24</v>
      </c>
      <c r="L11154" s="154" t="str">
        <f>IF(OpenLCAbasic!K11154="CTUh", "Fill in Manually",IF(OR(K11154="Unit", K11154=""), "", INDEX(LookUps!$E$5:$E$12, MATCH(OpenLCAbasic!K11154,LookUps!$D$5:$D$12,0))))</f>
        <v>Acidification Potential (AP) - kg SO2 eq</v>
      </c>
      <c r="M11154" s="154" t="str">
        <f t="shared" si="957"/>
        <v>High_Medium_High_Upgraded_Acidification Potential (AP) - kg SO2 eq_Belt filter press; wastewater treatment unit; at updated plant - US_Base_With Amendment_Aerated Static Pile</v>
      </c>
    </row>
    <row r="11155" spans="1:13" s="120" customFormat="1" x14ac:dyDescent="0.25">
      <c r="A11155" s="119"/>
      <c r="B11155" s="138" t="str">
        <f t="shared" si="959"/>
        <v>Aerated Static Pile</v>
      </c>
      <c r="C11155" s="138" t="str">
        <f t="shared" si="960"/>
        <v>Base_With Amendment</v>
      </c>
      <c r="D11155" s="138" t="str">
        <f t="shared" si="958"/>
        <v>Medium_High</v>
      </c>
      <c r="E11155" s="138" t="str">
        <f t="shared" si="955"/>
        <v>High</v>
      </c>
      <c r="F11155" s="138" t="str">
        <f t="shared" si="961"/>
        <v>Upgraded</v>
      </c>
      <c r="G11155" s="153"/>
      <c r="H11155" s="210">
        <v>9.69E-2</v>
      </c>
      <c r="I11155" s="160" t="s">
        <v>57</v>
      </c>
      <c r="J11155" s="160">
        <v>6.9999999999999999E-4</v>
      </c>
      <c r="K11155" s="160" t="s">
        <v>24</v>
      </c>
      <c r="L11155" s="154" t="str">
        <f>IF(OpenLCAbasic!K11155="CTUh", "Fill in Manually",IF(OR(K11155="Unit", K11155=""), "", INDEX(LookUps!$E$5:$E$12, MATCH(OpenLCAbasic!K11155,LookUps!$D$5:$D$12,0))))</f>
        <v>Acidification Potential (AP) - kg SO2 eq</v>
      </c>
      <c r="M11155" s="154" t="str">
        <f t="shared" si="957"/>
        <v>High_Medium_High_Upgraded_Acidification Potential (AP) - kg SO2 eq_Gravity Belt Thickener; wastewater treatment unit; at updated plant - US_Base_With Amendment_Aerated Static Pile</v>
      </c>
    </row>
    <row r="11156" spans="1:13" s="120" customFormat="1" x14ac:dyDescent="0.25">
      <c r="A11156" s="119"/>
      <c r="B11156" s="138" t="str">
        <f t="shared" si="959"/>
        <v>Aerated Static Pile</v>
      </c>
      <c r="C11156" s="138" t="str">
        <f t="shared" si="960"/>
        <v>Base_With Amendment</v>
      </c>
      <c r="D11156" s="138" t="str">
        <f t="shared" si="958"/>
        <v>Medium_High</v>
      </c>
      <c r="E11156" s="138" t="str">
        <f t="shared" si="955"/>
        <v>High</v>
      </c>
      <c r="F11156" s="138" t="str">
        <f t="shared" si="961"/>
        <v>Upgraded</v>
      </c>
      <c r="G11156" s="153"/>
      <c r="H11156" s="210">
        <v>7.1099999999999997E-2</v>
      </c>
      <c r="I11156" s="160" t="s">
        <v>59</v>
      </c>
      <c r="J11156" s="160">
        <v>5.1999999999999995E-4</v>
      </c>
      <c r="K11156" s="160" t="s">
        <v>24</v>
      </c>
      <c r="L11156" s="154" t="str">
        <f>IF(OpenLCAbasic!K11156="CTUh", "Fill in Manually",IF(OR(K11156="Unit", K11156=""), "", INDEX(LookUps!$E$5:$E$12, MATCH(OpenLCAbasic!K11156,LookUps!$D$5:$D$12,0))))</f>
        <v>Acidification Potential (AP) - kg SO2 eq</v>
      </c>
      <c r="M11156" s="154" t="str">
        <f t="shared" si="957"/>
        <v>High_Medium_High_Upgraded_Acidification Potential (AP) - kg SO2 eq_Blend Tank; wastewater treatment unit; at updated plant - US_Base_With Amendment_Aerated Static Pile</v>
      </c>
    </row>
    <row r="11157" spans="1:13" s="120" customFormat="1" x14ac:dyDescent="0.25">
      <c r="A11157" s="119"/>
      <c r="B11157" s="138" t="str">
        <f t="shared" si="959"/>
        <v>Aerated Static Pile</v>
      </c>
      <c r="C11157" s="138" t="str">
        <f t="shared" si="960"/>
        <v>Base_With Amendment</v>
      </c>
      <c r="D11157" s="138" t="str">
        <f t="shared" si="958"/>
        <v>Medium_High</v>
      </c>
      <c r="E11157" s="138" t="str">
        <f t="shared" si="955"/>
        <v>High</v>
      </c>
      <c r="F11157" s="138" t="str">
        <f t="shared" si="961"/>
        <v>Upgraded</v>
      </c>
      <c r="G11157" s="153"/>
      <c r="H11157" s="210">
        <v>4.7699999999999999E-2</v>
      </c>
      <c r="I11157" s="160" t="s">
        <v>48</v>
      </c>
      <c r="J11157" s="160">
        <v>3.5E-4</v>
      </c>
      <c r="K11157" s="160" t="s">
        <v>24</v>
      </c>
      <c r="L11157" s="154" t="str">
        <f>IF(OpenLCAbasic!K11157="CTUh", "Fill in Manually",IF(OR(K11157="Unit", K11157=""), "", INDEX(LookUps!$E$5:$E$12, MATCH(OpenLCAbasic!K11157,LookUps!$D$5:$D$12,0))))</f>
        <v>Acidification Potential (AP) - kg SO2 eq</v>
      </c>
      <c r="M11157" s="154" t="str">
        <f t="shared" si="957"/>
        <v>High_Medium_High_Upgraded_Acidification Potential (AP) - kg SO2 eq_Effluent release; wastewater treatment unit; at surface water; m3 wastewater - US_Base_With Amendment_Aerated Static Pile</v>
      </c>
    </row>
    <row r="11158" spans="1:13" s="120" customFormat="1" x14ac:dyDescent="0.25">
      <c r="A11158" s="119"/>
      <c r="B11158" s="138" t="str">
        <f t="shared" si="959"/>
        <v>Aerated Static Pile</v>
      </c>
      <c r="C11158" s="138" t="str">
        <f t="shared" si="960"/>
        <v>Base_With Amendment</v>
      </c>
      <c r="D11158" s="138" t="str">
        <f t="shared" si="958"/>
        <v>Medium_High</v>
      </c>
      <c r="E11158" s="138" t="str">
        <f t="shared" si="955"/>
        <v>High</v>
      </c>
      <c r="F11158" s="138" t="str">
        <f t="shared" si="961"/>
        <v>Upgraded</v>
      </c>
      <c r="G11158" s="153"/>
      <c r="H11158" s="210">
        <v>3.5099999999999999E-2</v>
      </c>
      <c r="I11158" s="160" t="s">
        <v>168</v>
      </c>
      <c r="J11158" s="160">
        <v>2.5999999999999998E-4</v>
      </c>
      <c r="K11158" s="160" t="s">
        <v>24</v>
      </c>
      <c r="L11158" s="154" t="str">
        <f>IF(OpenLCAbasic!K11158="CTUh", "Fill in Manually",IF(OR(K11158="Unit", K11158=""), "", INDEX(LookUps!$E$5:$E$12, MATCH(OpenLCAbasic!K11158,LookUps!$D$5:$D$12,0))))</f>
        <v>Acidification Potential (AP) - kg SO2 eq</v>
      </c>
      <c r="M11158" s="154" t="str">
        <f t="shared" si="957"/>
        <v>High_Medium_High_Upgraded_Acidification Potential (AP) - kg SO2 eq_ClearCove SCP; wastewater treatment unit; at updated plant - US_Base_With Amendment_Aerated Static Pile</v>
      </c>
    </row>
    <row r="11159" spans="1:13" s="120" customFormat="1" x14ac:dyDescent="0.25">
      <c r="A11159" s="119"/>
      <c r="B11159" s="138" t="str">
        <f t="shared" si="959"/>
        <v>Aerated Static Pile</v>
      </c>
      <c r="C11159" s="138" t="str">
        <f t="shared" si="960"/>
        <v>Base_With Amendment</v>
      </c>
      <c r="D11159" s="138" t="str">
        <f t="shared" si="958"/>
        <v>Medium_High</v>
      </c>
      <c r="E11159" s="138" t="str">
        <f t="shared" si="955"/>
        <v>High</v>
      </c>
      <c r="F11159" s="138" t="str">
        <f t="shared" si="961"/>
        <v>Upgraded</v>
      </c>
      <c r="G11159" s="153"/>
      <c r="H11159" s="210">
        <v>5.5999999999999999E-3</v>
      </c>
      <c r="I11159" s="160" t="s">
        <v>148</v>
      </c>
      <c r="J11159" s="211">
        <v>4.0354700000000002E-5</v>
      </c>
      <c r="K11159" s="160" t="s">
        <v>24</v>
      </c>
      <c r="L11159" s="154" t="str">
        <f>IF(OpenLCAbasic!K11159="CTUh", "Fill in Manually",IF(OR(K11159="Unit", K11159=""), "", INDEX(LookUps!$E$5:$E$12, MATCH(OpenLCAbasic!K11159,LookUps!$D$5:$D$12,0))))</f>
        <v>Acidification Potential (AP) - kg SO2 eq</v>
      </c>
      <c r="M11159" s="154" t="str">
        <f t="shared" si="957"/>
        <v>High_Medium_High_Upgraded_Acidification Potential (AP) - kg SO2 eq_Control Building; at upgraded wastewater treatment plant - US_Base_With Amendment_Aerated Static Pile</v>
      </c>
    </row>
    <row r="11160" spans="1:13" s="120" customFormat="1" x14ac:dyDescent="0.25">
      <c r="A11160" s="119"/>
      <c r="B11160" s="138" t="str">
        <f t="shared" si="959"/>
        <v>Aerated Static Pile</v>
      </c>
      <c r="C11160" s="138" t="str">
        <f t="shared" si="960"/>
        <v>Base_With Amendment</v>
      </c>
      <c r="D11160" s="138" t="str">
        <f t="shared" si="958"/>
        <v>Medium_High</v>
      </c>
      <c r="E11160" s="138" t="str">
        <f t="shared" si="955"/>
        <v>High</v>
      </c>
      <c r="F11160" s="138" t="str">
        <f t="shared" si="961"/>
        <v>Upgraded</v>
      </c>
      <c r="G11160" s="153"/>
      <c r="H11160" s="210">
        <v>-7.9861000000000004</v>
      </c>
      <c r="I11160" s="160" t="s">
        <v>149</v>
      </c>
      <c r="J11160" s="160">
        <v>-5.8009999999999999E-2</v>
      </c>
      <c r="K11160" s="160" t="s">
        <v>24</v>
      </c>
      <c r="L11160" s="154" t="str">
        <f>IF(OpenLCAbasic!K11160="CTUh", "Fill in Manually",IF(OR(K11160="Unit", K11160=""), "", INDEX(LookUps!$E$5:$E$12, MATCH(OpenLCAbasic!K11160,LookUps!$D$5:$D$12,0))))</f>
        <v>Acidification Potential (AP) - kg SO2 eq</v>
      </c>
      <c r="M11160" s="154" t="str">
        <f t="shared" si="957"/>
        <v>High_Medium_High_Upgraded_Acidification Potential (AP) - kg SO2 eq_Anaerobic Digestion; wastewater treatment unit; at updated plant - US_Base_With Amendment_Aerated Static Pile</v>
      </c>
    </row>
    <row r="11161" spans="1:13" s="120" customFormat="1" x14ac:dyDescent="0.25">
      <c r="A11161" s="119"/>
      <c r="B11161" s="138" t="str">
        <f t="shared" si="959"/>
        <v/>
      </c>
      <c r="C11161" s="138" t="str">
        <f t="shared" si="960"/>
        <v/>
      </c>
      <c r="D11161" s="138" t="str">
        <f t="shared" si="958"/>
        <v/>
      </c>
      <c r="E11161" s="138" t="str">
        <f t="shared" si="955"/>
        <v/>
      </c>
      <c r="F11161" s="138" t="str">
        <f t="shared" si="961"/>
        <v/>
      </c>
      <c r="G11161" s="153" t="s">
        <v>51</v>
      </c>
      <c r="H11161" s="160"/>
      <c r="I11161" s="160" t="s">
        <v>47</v>
      </c>
      <c r="J11161" s="160" t="s">
        <v>52</v>
      </c>
      <c r="K11161" s="160" t="s">
        <v>27</v>
      </c>
      <c r="L11161" s="154" t="str">
        <f>IF(OpenLCAbasic!K11161="CTUh", "Fill in Manually",IF(OR(K11161="Unit", K11161=""), "", INDEX(LookUps!$E$5:$E$12, MATCH(OpenLCAbasic!K11161,LookUps!$D$5:$D$12,0))))</f>
        <v/>
      </c>
      <c r="M11161" s="154" t="str">
        <f t="shared" si="957"/>
        <v>____Process__</v>
      </c>
    </row>
    <row r="11162" spans="1:13" s="120" customFormat="1" x14ac:dyDescent="0.25">
      <c r="A11162" s="119"/>
      <c r="B11162" s="138" t="str">
        <f t="shared" si="959"/>
        <v>Aerated Static Pile</v>
      </c>
      <c r="C11162" s="138" t="str">
        <f t="shared" si="960"/>
        <v>Base_With Amendment</v>
      </c>
      <c r="D11162" s="138" t="str">
        <f t="shared" si="958"/>
        <v>Medium_High</v>
      </c>
      <c r="E11162" s="138" t="str">
        <f t="shared" si="955"/>
        <v>High</v>
      </c>
      <c r="F11162" s="138" t="str">
        <f t="shared" si="961"/>
        <v>Upgraded</v>
      </c>
      <c r="G11162" s="153"/>
      <c r="H11162" s="210">
        <v>2.835</v>
      </c>
      <c r="I11162" s="160" t="s">
        <v>167</v>
      </c>
      <c r="J11162" s="160">
        <v>4.2789599999999997</v>
      </c>
      <c r="K11162" s="160" t="s">
        <v>15</v>
      </c>
      <c r="L11162" s="154" t="str">
        <f>IF(OpenLCAbasic!K11162="CTUh", "Fill in Manually",IF(OR(K11162="Unit", K11162=""), "", INDEX(LookUps!$E$5:$E$12, MATCH(OpenLCAbasic!K11162,LookUps!$D$5:$D$12,0))))</f>
        <v>Cumulative Energy Demand (CED) - MJ</v>
      </c>
      <c r="M11162" s="154" t="str">
        <f t="shared" si="957"/>
        <v>High_Medium_High_Upgraded_Cumulative Energy Demand (CED) - MJ_Waste Receiving and Holding; wastewater treatment unit; at updated plant - US_Base_With Amendment_Aerated Static Pile</v>
      </c>
    </row>
    <row r="11163" spans="1:13" s="120" customFormat="1" x14ac:dyDescent="0.25">
      <c r="A11163" s="119"/>
      <c r="B11163" s="138" t="str">
        <f t="shared" si="959"/>
        <v>Aerated Static Pile</v>
      </c>
      <c r="C11163" s="138" t="str">
        <f t="shared" si="960"/>
        <v>Base_With Amendment</v>
      </c>
      <c r="D11163" s="138" t="str">
        <f t="shared" si="958"/>
        <v>Medium_High</v>
      </c>
      <c r="E11163" s="138" t="str">
        <f t="shared" si="955"/>
        <v>High</v>
      </c>
      <c r="F11163" s="138" t="str">
        <f t="shared" si="961"/>
        <v>Upgraded</v>
      </c>
      <c r="G11163" s="153"/>
      <c r="H11163" s="210">
        <v>2.3408000000000002</v>
      </c>
      <c r="I11163" s="160" t="s">
        <v>55</v>
      </c>
      <c r="J11163" s="160">
        <v>3.5330499999999998</v>
      </c>
      <c r="K11163" s="160" t="s">
        <v>15</v>
      </c>
      <c r="L11163" s="154" t="str">
        <f>IF(OpenLCAbasic!K11163="CTUh", "Fill in Manually",IF(OR(K11163="Unit", K11163=""), "", INDEX(LookUps!$E$5:$E$12, MATCH(OpenLCAbasic!K11163,LookUps!$D$5:$D$12,0))))</f>
        <v>Cumulative Energy Demand (CED) - MJ</v>
      </c>
      <c r="M11163" s="154" t="str">
        <f t="shared" si="957"/>
        <v>High_Medium_High_Upgraded_Cumulative Energy Demand (CED) - MJ_Aeration Tanks; wastewater treatment unit; at updated plant - US_Base_With Amendment_Aerated Static Pile</v>
      </c>
    </row>
    <row r="11164" spans="1:13" s="120" customFormat="1" x14ac:dyDescent="0.25">
      <c r="A11164" s="119"/>
      <c r="B11164" s="138" t="str">
        <f t="shared" si="959"/>
        <v>Aerated Static Pile</v>
      </c>
      <c r="C11164" s="138" t="str">
        <f t="shared" si="960"/>
        <v>Base_With Amendment</v>
      </c>
      <c r="D11164" s="138" t="str">
        <f t="shared" si="958"/>
        <v>Medium_High</v>
      </c>
      <c r="E11164" s="138" t="str">
        <f t="shared" si="955"/>
        <v>High</v>
      </c>
      <c r="F11164" s="138" t="str">
        <f t="shared" si="961"/>
        <v>Upgraded</v>
      </c>
      <c r="G11164" s="153"/>
      <c r="H11164" s="210">
        <v>1.1006</v>
      </c>
      <c r="I11164" s="160" t="s">
        <v>435</v>
      </c>
      <c r="J11164" s="160">
        <v>1.66113</v>
      </c>
      <c r="K11164" s="160" t="s">
        <v>15</v>
      </c>
      <c r="L11164" s="154" t="str">
        <f>IF(OpenLCAbasic!K11164="CTUh", "Fill in Manually",IF(OR(K11164="Unit", K11164=""), "", INDEX(LookUps!$E$5:$E$12, MATCH(OpenLCAbasic!K11164,LookUps!$D$5:$D$12,0))))</f>
        <v>Cumulative Energy Demand (CED) - MJ</v>
      </c>
      <c r="M11164" s="154" t="str">
        <f t="shared" si="957"/>
        <v>High_Medium_High_Upgraded_Cumulative Energy Demand (CED) - MJ_Biosolids composting; aerated static pile; wastewater treatment unit; at updated plant - US_Base_With Amendment_Aerated Static Pile</v>
      </c>
    </row>
    <row r="11165" spans="1:13" s="120" customFormat="1" x14ac:dyDescent="0.25">
      <c r="A11165" s="119"/>
      <c r="B11165" s="138" t="str">
        <f t="shared" si="959"/>
        <v>Aerated Static Pile</v>
      </c>
      <c r="C11165" s="138" t="str">
        <f t="shared" si="960"/>
        <v>Base_With Amendment</v>
      </c>
      <c r="D11165" s="138" t="str">
        <f t="shared" si="958"/>
        <v>Medium_High</v>
      </c>
      <c r="E11165" s="138" t="str">
        <f t="shared" si="955"/>
        <v>High</v>
      </c>
      <c r="F11165" s="138" t="str">
        <f t="shared" si="961"/>
        <v>Upgraded</v>
      </c>
      <c r="G11165" s="153"/>
      <c r="H11165" s="210">
        <v>0.77049999999999996</v>
      </c>
      <c r="I11165" s="160" t="s">
        <v>54</v>
      </c>
      <c r="J11165" s="160">
        <v>1.16289</v>
      </c>
      <c r="K11165" s="160" t="s">
        <v>15</v>
      </c>
      <c r="L11165" s="154" t="str">
        <f>IF(OpenLCAbasic!K11165="CTUh", "Fill in Manually",IF(OR(K11165="Unit", K11165=""), "", INDEX(LookUps!$E$5:$E$12, MATCH(OpenLCAbasic!K11165,LookUps!$D$5:$D$12,0))))</f>
        <v>Cumulative Energy Demand (CED) - MJ</v>
      </c>
      <c r="M11165" s="154" t="str">
        <f t="shared" si="957"/>
        <v>High_Medium_High_Upgraded_Cumulative Energy Demand (CED) - MJ_Clear Cove Primary Clarification; wastewater treatment unit; at updated plant - US_Base_With Amendment_Aerated Static Pile</v>
      </c>
    </row>
    <row r="11166" spans="1:13" s="120" customFormat="1" x14ac:dyDescent="0.25">
      <c r="A11166" s="119"/>
      <c r="B11166" s="138" t="str">
        <f t="shared" si="959"/>
        <v>Aerated Static Pile</v>
      </c>
      <c r="C11166" s="138" t="str">
        <f t="shared" si="960"/>
        <v>Base_With Amendment</v>
      </c>
      <c r="D11166" s="138" t="str">
        <f t="shared" si="958"/>
        <v>Medium_High</v>
      </c>
      <c r="E11166" s="138" t="str">
        <f t="shared" si="955"/>
        <v>High</v>
      </c>
      <c r="F11166" s="138" t="str">
        <f t="shared" si="961"/>
        <v>Upgraded</v>
      </c>
      <c r="G11166" s="153"/>
      <c r="H11166" s="210">
        <v>0.5877</v>
      </c>
      <c r="I11166" s="160" t="s">
        <v>58</v>
      </c>
      <c r="J11166" s="160">
        <v>0.88705000000000001</v>
      </c>
      <c r="K11166" s="160" t="s">
        <v>15</v>
      </c>
      <c r="L11166" s="154" t="str">
        <f>IF(OpenLCAbasic!K11166="CTUh", "Fill in Manually",IF(OR(K11166="Unit", K11166=""), "", INDEX(LookUps!$E$5:$E$12, MATCH(OpenLCAbasic!K11166,LookUps!$D$5:$D$12,0))))</f>
        <v>Cumulative Energy Demand (CED) - MJ</v>
      </c>
      <c r="M11166" s="154" t="str">
        <f t="shared" si="957"/>
        <v>High_Medium_High_Upgraded_Cumulative Energy Demand (CED) - MJ_Pre-Anoxic &amp; Swing tank; wastewater treatment unit; at updated plant - US_Base_With Amendment_Aerated Static Pile</v>
      </c>
    </row>
    <row r="11167" spans="1:13" s="120" customFormat="1" x14ac:dyDescent="0.25">
      <c r="A11167" s="119"/>
      <c r="B11167" s="138" t="str">
        <f t="shared" si="959"/>
        <v>Aerated Static Pile</v>
      </c>
      <c r="C11167" s="138" t="str">
        <f t="shared" si="960"/>
        <v>Base_With Amendment</v>
      </c>
      <c r="D11167" s="138" t="str">
        <f t="shared" si="958"/>
        <v>Medium_High</v>
      </c>
      <c r="E11167" s="138" t="str">
        <f t="shared" si="955"/>
        <v>High</v>
      </c>
      <c r="F11167" s="138" t="str">
        <f t="shared" si="961"/>
        <v>Upgraded</v>
      </c>
      <c r="G11167" s="153"/>
      <c r="H11167" s="210">
        <v>0.58499999999999996</v>
      </c>
      <c r="I11167" s="160" t="s">
        <v>147</v>
      </c>
      <c r="J11167" s="160">
        <v>0.88297000000000003</v>
      </c>
      <c r="K11167" s="160" t="s">
        <v>15</v>
      </c>
      <c r="L11167" s="154" t="str">
        <f>IF(OpenLCAbasic!K11167="CTUh", "Fill in Manually",IF(OR(K11167="Unit", K11167=""), "", INDEX(LookUps!$E$5:$E$12, MATCH(OpenLCAbasic!K11167,LookUps!$D$5:$D$12,0))))</f>
        <v>Cumulative Energy Demand (CED) - MJ</v>
      </c>
      <c r="M11167" s="154" t="str">
        <f t="shared" si="957"/>
        <v>High_Medium_High_Upgraded_Cumulative Energy Demand (CED) - MJ_Influent Pump Station; wastewater treatment unit; at updated plant - US_Base_With Amendment_Aerated Static Pile</v>
      </c>
    </row>
    <row r="11168" spans="1:13" s="120" customFormat="1" x14ac:dyDescent="0.25">
      <c r="A11168" s="119"/>
      <c r="B11168" s="138" t="str">
        <f t="shared" si="959"/>
        <v>Aerated Static Pile</v>
      </c>
      <c r="C11168" s="138" t="str">
        <f t="shared" si="960"/>
        <v>Base_With Amendment</v>
      </c>
      <c r="D11168" s="138" t="str">
        <f t="shared" si="958"/>
        <v>Medium_High</v>
      </c>
      <c r="E11168" s="138" t="str">
        <f t="shared" si="955"/>
        <v>High</v>
      </c>
      <c r="F11168" s="138" t="str">
        <f t="shared" si="961"/>
        <v>Upgraded</v>
      </c>
      <c r="G11168" s="153"/>
      <c r="H11168" s="210">
        <v>0.46139999999999998</v>
      </c>
      <c r="I11168" s="160" t="s">
        <v>53</v>
      </c>
      <c r="J11168" s="160">
        <v>0.69645000000000001</v>
      </c>
      <c r="K11168" s="160" t="s">
        <v>15</v>
      </c>
      <c r="L11168" s="154" t="str">
        <f>IF(OpenLCAbasic!K11168="CTUh", "Fill in Manually",IF(OR(K11168="Unit", K11168=""), "", INDEX(LookUps!$E$5:$E$12, MATCH(OpenLCAbasic!K11168,LookUps!$D$5:$D$12,0))))</f>
        <v>Cumulative Energy Demand (CED) - MJ</v>
      </c>
      <c r="M11168" s="154" t="str">
        <f t="shared" si="957"/>
        <v>High_Medium_High_Upgraded_Cumulative Energy Demand (CED) - MJ_Wet Well and Sump Station; wastewater treatment unit; at updated plant - US_Base_With Amendment_Aerated Static Pile</v>
      </c>
    </row>
    <row r="11169" spans="1:13" s="120" customFormat="1" x14ac:dyDescent="0.25">
      <c r="A11169" s="119"/>
      <c r="B11169" s="138" t="str">
        <f t="shared" si="959"/>
        <v>Aerated Static Pile</v>
      </c>
      <c r="C11169" s="138" t="str">
        <f t="shared" si="960"/>
        <v>Base_With Amendment</v>
      </c>
      <c r="D11169" s="138" t="str">
        <f t="shared" si="958"/>
        <v>Medium_High</v>
      </c>
      <c r="E11169" s="138" t="str">
        <f t="shared" si="955"/>
        <v>High</v>
      </c>
      <c r="F11169" s="138" t="str">
        <f t="shared" si="961"/>
        <v>Upgraded</v>
      </c>
      <c r="G11169" s="153"/>
      <c r="H11169" s="210">
        <v>0.25240000000000001</v>
      </c>
      <c r="I11169" s="160" t="s">
        <v>60</v>
      </c>
      <c r="J11169" s="160">
        <v>0.38092999999999999</v>
      </c>
      <c r="K11169" s="160" t="s">
        <v>15</v>
      </c>
      <c r="L11169" s="154" t="str">
        <f>IF(OpenLCAbasic!K11169="CTUh", "Fill in Manually",IF(OR(K11169="Unit", K11169=""), "", INDEX(LookUps!$E$5:$E$12, MATCH(OpenLCAbasic!K11169,LookUps!$D$5:$D$12,0))))</f>
        <v>Cumulative Energy Demand (CED) - MJ</v>
      </c>
      <c r="M11169" s="154" t="str">
        <f t="shared" si="957"/>
        <v>High_Medium_High_Upgraded_Cumulative Energy Demand (CED) - MJ_Belt filter press; wastewater treatment unit; at updated plant - US_Base_With Amendment_Aerated Static Pile</v>
      </c>
    </row>
    <row r="11170" spans="1:13" s="120" customFormat="1" x14ac:dyDescent="0.25">
      <c r="A11170" s="119"/>
      <c r="B11170" s="138" t="str">
        <f t="shared" si="959"/>
        <v>Aerated Static Pile</v>
      </c>
      <c r="C11170" s="138" t="str">
        <f t="shared" si="960"/>
        <v>Base_With Amendment</v>
      </c>
      <c r="D11170" s="138" t="str">
        <f t="shared" si="958"/>
        <v>Medium_High</v>
      </c>
      <c r="E11170" s="138" t="str">
        <f t="shared" si="955"/>
        <v>High</v>
      </c>
      <c r="F11170" s="138" t="str">
        <f t="shared" si="961"/>
        <v>Upgraded</v>
      </c>
      <c r="G11170" s="153"/>
      <c r="H11170" s="210">
        <v>0.2213</v>
      </c>
      <c r="I11170" s="160" t="s">
        <v>57</v>
      </c>
      <c r="J11170" s="160">
        <v>0.33404</v>
      </c>
      <c r="K11170" s="160" t="s">
        <v>15</v>
      </c>
      <c r="L11170" s="154" t="str">
        <f>IF(OpenLCAbasic!K11170="CTUh", "Fill in Manually",IF(OR(K11170="Unit", K11170=""), "", INDEX(LookUps!$E$5:$E$12, MATCH(OpenLCAbasic!K11170,LookUps!$D$5:$D$12,0))))</f>
        <v>Cumulative Energy Demand (CED) - MJ</v>
      </c>
      <c r="M11170" s="154" t="str">
        <f t="shared" si="957"/>
        <v>High_Medium_High_Upgraded_Cumulative Energy Demand (CED) - MJ_Gravity Belt Thickener; wastewater treatment unit; at updated plant - US_Base_With Amendment_Aerated Static Pile</v>
      </c>
    </row>
    <row r="11171" spans="1:13" s="120" customFormat="1" x14ac:dyDescent="0.25">
      <c r="A11171" s="119"/>
      <c r="B11171" s="138" t="str">
        <f t="shared" si="959"/>
        <v>Aerated Static Pile</v>
      </c>
      <c r="C11171" s="138" t="str">
        <f t="shared" si="960"/>
        <v>Base_With Amendment</v>
      </c>
      <c r="D11171" s="138" t="str">
        <f t="shared" si="958"/>
        <v>Medium_High</v>
      </c>
      <c r="E11171" s="138" t="str">
        <f t="shared" si="955"/>
        <v>High</v>
      </c>
      <c r="F11171" s="138" t="str">
        <f t="shared" si="961"/>
        <v>Upgraded</v>
      </c>
      <c r="G11171" s="153"/>
      <c r="H11171" s="210">
        <v>0.16969999999999999</v>
      </c>
      <c r="I11171" s="160" t="s">
        <v>128</v>
      </c>
      <c r="J11171" s="160">
        <v>0.25606000000000001</v>
      </c>
      <c r="K11171" s="160" t="s">
        <v>15</v>
      </c>
      <c r="L11171" s="154" t="str">
        <f>IF(OpenLCAbasic!K11171="CTUh", "Fill in Manually",IF(OR(K11171="Unit", K11171=""), "", INDEX(LookUps!$E$5:$E$12, MATCH(OpenLCAbasic!K11171,LookUps!$D$5:$D$12,0))))</f>
        <v>Cumulative Energy Demand (CED) - MJ</v>
      </c>
      <c r="M11171" s="154" t="str">
        <f t="shared" si="957"/>
        <v>High_Medium_High_Upgraded_Cumulative Energy Demand (CED) - MJ_Wastewater collection; operation and infrastructure; m3 wastewater_Base_With Amendment_Aerated Static Pile</v>
      </c>
    </row>
    <row r="11172" spans="1:13" s="120" customFormat="1" x14ac:dyDescent="0.25">
      <c r="A11172" s="119"/>
      <c r="B11172" s="138" t="str">
        <f t="shared" si="959"/>
        <v>Aerated Static Pile</v>
      </c>
      <c r="C11172" s="138" t="str">
        <f t="shared" si="960"/>
        <v>Base_With Amendment</v>
      </c>
      <c r="D11172" s="138" t="str">
        <f t="shared" si="958"/>
        <v>Medium_High</v>
      </c>
      <c r="E11172" s="138" t="str">
        <f t="shared" si="955"/>
        <v>High</v>
      </c>
      <c r="F11172" s="138" t="str">
        <f t="shared" si="961"/>
        <v>Upgraded</v>
      </c>
      <c r="G11172" s="153"/>
      <c r="H11172" s="210">
        <v>9.6699999999999994E-2</v>
      </c>
      <c r="I11172" s="160" t="s">
        <v>148</v>
      </c>
      <c r="J11172" s="160">
        <v>0.14599000000000001</v>
      </c>
      <c r="K11172" s="160" t="s">
        <v>15</v>
      </c>
      <c r="L11172" s="154" t="str">
        <f>IF(OpenLCAbasic!K11172="CTUh", "Fill in Manually",IF(OR(K11172="Unit", K11172=""), "", INDEX(LookUps!$E$5:$E$12, MATCH(OpenLCAbasic!K11172,LookUps!$D$5:$D$12,0))))</f>
        <v>Cumulative Energy Demand (CED) - MJ</v>
      </c>
      <c r="M11172" s="154" t="str">
        <f t="shared" si="957"/>
        <v>High_Medium_High_Upgraded_Cumulative Energy Demand (CED) - MJ_Control Building; at upgraded wastewater treatment plant - US_Base_With Amendment_Aerated Static Pile</v>
      </c>
    </row>
    <row r="11173" spans="1:13" s="120" customFormat="1" x14ac:dyDescent="0.25">
      <c r="A11173" s="119"/>
      <c r="B11173" s="138" t="str">
        <f t="shared" si="959"/>
        <v>Aerated Static Pile</v>
      </c>
      <c r="C11173" s="138" t="str">
        <f t="shared" si="960"/>
        <v>Base_With Amendment</v>
      </c>
      <c r="D11173" s="138" t="str">
        <f t="shared" si="958"/>
        <v>Medium_High</v>
      </c>
      <c r="E11173" s="138" t="str">
        <f t="shared" si="955"/>
        <v>High</v>
      </c>
      <c r="F11173" s="138" t="str">
        <f t="shared" si="961"/>
        <v>Upgraded</v>
      </c>
      <c r="G11173" s="153"/>
      <c r="H11173" s="210">
        <v>8.8300000000000003E-2</v>
      </c>
      <c r="I11173" s="160" t="s">
        <v>48</v>
      </c>
      <c r="J11173" s="160">
        <v>0.13321</v>
      </c>
      <c r="K11173" s="160" t="s">
        <v>15</v>
      </c>
      <c r="L11173" s="154" t="str">
        <f>IF(OpenLCAbasic!K11173="CTUh", "Fill in Manually",IF(OR(K11173="Unit", K11173=""), "", INDEX(LookUps!$E$5:$E$12, MATCH(OpenLCAbasic!K11173,LookUps!$D$5:$D$12,0))))</f>
        <v>Cumulative Energy Demand (CED) - MJ</v>
      </c>
      <c r="M11173" s="154" t="str">
        <f t="shared" si="957"/>
        <v>High_Medium_High_Upgraded_Cumulative Energy Demand (CED) - MJ_Effluent release; wastewater treatment unit; at surface water; m3 wastewater - US_Base_With Amendment_Aerated Static Pile</v>
      </c>
    </row>
    <row r="11174" spans="1:13" s="120" customFormat="1" x14ac:dyDescent="0.25">
      <c r="A11174" s="119"/>
      <c r="B11174" s="138" t="str">
        <f t="shared" si="959"/>
        <v>Aerated Static Pile</v>
      </c>
      <c r="C11174" s="138" t="str">
        <f t="shared" si="960"/>
        <v>Base_With Amendment</v>
      </c>
      <c r="D11174" s="138" t="str">
        <f t="shared" si="958"/>
        <v>Medium_High</v>
      </c>
      <c r="E11174" s="138" t="str">
        <f t="shared" si="955"/>
        <v>High</v>
      </c>
      <c r="F11174" s="138" t="str">
        <f t="shared" si="961"/>
        <v>Upgraded</v>
      </c>
      <c r="G11174" s="153"/>
      <c r="H11174" s="210">
        <v>7.0499999999999993E-2</v>
      </c>
      <c r="I11174" s="160" t="s">
        <v>59</v>
      </c>
      <c r="J11174" s="160">
        <v>0.10638</v>
      </c>
      <c r="K11174" s="160" t="s">
        <v>15</v>
      </c>
      <c r="L11174" s="154" t="str">
        <f>IF(OpenLCAbasic!K11174="CTUh", "Fill in Manually",IF(OR(K11174="Unit", K11174=""), "", INDEX(LookUps!$E$5:$E$12, MATCH(OpenLCAbasic!K11174,LookUps!$D$5:$D$12,0))))</f>
        <v>Cumulative Energy Demand (CED) - MJ</v>
      </c>
      <c r="M11174" s="154" t="str">
        <f t="shared" si="957"/>
        <v>High_Medium_High_Upgraded_Cumulative Energy Demand (CED) - MJ_Blend Tank; wastewater treatment unit; at updated plant - US_Base_With Amendment_Aerated Static Pile</v>
      </c>
    </row>
    <row r="11175" spans="1:13" s="120" customFormat="1" x14ac:dyDescent="0.25">
      <c r="A11175" s="119"/>
      <c r="B11175" s="138" t="str">
        <f t="shared" si="959"/>
        <v>Aerated Static Pile</v>
      </c>
      <c r="C11175" s="138" t="str">
        <f t="shared" si="960"/>
        <v>Base_With Amendment</v>
      </c>
      <c r="D11175" s="138" t="str">
        <f t="shared" si="958"/>
        <v>Medium_High</v>
      </c>
      <c r="E11175" s="138" t="str">
        <f t="shared" si="955"/>
        <v>High</v>
      </c>
      <c r="F11175" s="138" t="str">
        <f t="shared" si="961"/>
        <v>Upgraded</v>
      </c>
      <c r="G11175" s="153"/>
      <c r="H11175" s="210">
        <v>3.3700000000000001E-2</v>
      </c>
      <c r="I11175" s="160" t="s">
        <v>168</v>
      </c>
      <c r="J11175" s="160">
        <v>5.0930000000000003E-2</v>
      </c>
      <c r="K11175" s="160" t="s">
        <v>15</v>
      </c>
      <c r="L11175" s="154" t="str">
        <f>IF(OpenLCAbasic!K11175="CTUh", "Fill in Manually",IF(OR(K11175="Unit", K11175=""), "", INDEX(LookUps!$E$5:$E$12, MATCH(OpenLCAbasic!K11175,LookUps!$D$5:$D$12,0))))</f>
        <v>Cumulative Energy Demand (CED) - MJ</v>
      </c>
      <c r="M11175" s="154" t="str">
        <f t="shared" si="957"/>
        <v>High_Medium_High_Upgraded_Cumulative Energy Demand (CED) - MJ_ClearCove SCP; wastewater treatment unit; at updated plant - US_Base_With Amendment_Aerated Static Pile</v>
      </c>
    </row>
    <row r="11176" spans="1:13" s="120" customFormat="1" x14ac:dyDescent="0.25">
      <c r="A11176" s="119"/>
      <c r="B11176" s="138" t="str">
        <f t="shared" si="959"/>
        <v>Aerated Static Pile</v>
      </c>
      <c r="C11176" s="138" t="str">
        <f t="shared" si="960"/>
        <v>Base_With Amendment</v>
      </c>
      <c r="D11176" s="138" t="str">
        <f t="shared" si="958"/>
        <v>Medium_High</v>
      </c>
      <c r="E11176" s="138" t="str">
        <f t="shared" si="955"/>
        <v>High</v>
      </c>
      <c r="F11176" s="138" t="str">
        <f t="shared" si="961"/>
        <v>Upgraded</v>
      </c>
      <c r="G11176" s="153"/>
      <c r="H11176" s="210">
        <v>-0.36280000000000001</v>
      </c>
      <c r="I11176" s="160" t="s">
        <v>62</v>
      </c>
      <c r="J11176" s="160">
        <v>-0.54757999999999996</v>
      </c>
      <c r="K11176" s="160" t="s">
        <v>15</v>
      </c>
      <c r="L11176" s="154" t="str">
        <f>IF(OpenLCAbasic!K11176="CTUh", "Fill in Manually",IF(OR(K11176="Unit", K11176=""), "", INDEX(LookUps!$E$5:$E$12, MATCH(OpenLCAbasic!K11176,LookUps!$D$5:$D$12,0))))</f>
        <v>Cumulative Energy Demand (CED) - MJ</v>
      </c>
      <c r="M11176" s="154" t="str">
        <f t="shared" si="957"/>
        <v>High_Medium_High_Upgraded_Cumulative Energy Demand (CED) - MJ_Land application of compost; wastewater treatment unit; at updated plant - US_Base_With Amendment_Aerated Static Pile</v>
      </c>
    </row>
    <row r="11177" spans="1:13" s="120" customFormat="1" x14ac:dyDescent="0.25">
      <c r="A11177" s="119"/>
      <c r="B11177" s="138" t="str">
        <f t="shared" si="959"/>
        <v>Aerated Static Pile</v>
      </c>
      <c r="C11177" s="138" t="str">
        <f t="shared" si="960"/>
        <v>Base_With Amendment</v>
      </c>
      <c r="D11177" s="138" t="str">
        <f t="shared" si="958"/>
        <v>Medium_High</v>
      </c>
      <c r="E11177" s="138" t="str">
        <f t="shared" ref="E11177:E11240" si="962">IF(ISNUMBER($J11177),"High","")</f>
        <v>High</v>
      </c>
      <c r="F11177" s="138" t="str">
        <f t="shared" si="961"/>
        <v>Upgraded</v>
      </c>
      <c r="G11177" s="153"/>
      <c r="H11177" s="210">
        <v>-10.2508</v>
      </c>
      <c r="I11177" s="160" t="s">
        <v>149</v>
      </c>
      <c r="J11177" s="160">
        <v>-15.471780000000001</v>
      </c>
      <c r="K11177" s="160" t="s">
        <v>15</v>
      </c>
      <c r="L11177" s="154" t="str">
        <f>IF(OpenLCAbasic!K11177="CTUh", "Fill in Manually",IF(OR(K11177="Unit", K11177=""), "", INDEX(LookUps!$E$5:$E$12, MATCH(OpenLCAbasic!K11177,LookUps!$D$5:$D$12,0))))</f>
        <v>Cumulative Energy Demand (CED) - MJ</v>
      </c>
      <c r="M11177" s="154" t="str">
        <f t="shared" si="957"/>
        <v>High_Medium_High_Upgraded_Cumulative Energy Demand (CED) - MJ_Anaerobic Digestion; wastewater treatment unit; at updated plant - US_Base_With Amendment_Aerated Static Pile</v>
      </c>
    </row>
    <row r="11178" spans="1:13" s="120" customFormat="1" x14ac:dyDescent="0.25">
      <c r="A11178" s="119"/>
      <c r="B11178" s="138" t="str">
        <f t="shared" si="959"/>
        <v/>
      </c>
      <c r="C11178" s="138" t="str">
        <f t="shared" si="960"/>
        <v/>
      </c>
      <c r="D11178" s="138" t="str">
        <f t="shared" si="958"/>
        <v/>
      </c>
      <c r="E11178" s="138" t="str">
        <f t="shared" si="962"/>
        <v/>
      </c>
      <c r="F11178" s="138" t="str">
        <f t="shared" si="961"/>
        <v/>
      </c>
      <c r="G11178" s="153" t="s">
        <v>51</v>
      </c>
      <c r="H11178" s="160"/>
      <c r="I11178" s="160" t="s">
        <v>47</v>
      </c>
      <c r="J11178" s="160" t="s">
        <v>52</v>
      </c>
      <c r="K11178" s="160" t="s">
        <v>27</v>
      </c>
      <c r="L11178" s="154" t="str">
        <f>IF(OpenLCAbasic!K11178="CTUh", "Fill in Manually",IF(OR(K11178="Unit", K11178=""), "", INDEX(LookUps!$E$5:$E$12, MATCH(OpenLCAbasic!K11178,LookUps!$D$5:$D$12,0))))</f>
        <v/>
      </c>
      <c r="M11178" s="154" t="str">
        <f t="shared" si="957"/>
        <v>____Process__</v>
      </c>
    </row>
    <row r="11179" spans="1:13" s="120" customFormat="1" x14ac:dyDescent="0.25">
      <c r="A11179" s="119"/>
      <c r="B11179" s="138" t="str">
        <f t="shared" si="959"/>
        <v>Aerated Static Pile</v>
      </c>
      <c r="C11179" s="138" t="str">
        <f t="shared" si="960"/>
        <v>Base_With Amendment</v>
      </c>
      <c r="D11179" s="138" t="str">
        <f t="shared" si="958"/>
        <v>Medium_High</v>
      </c>
      <c r="E11179" s="138" t="str">
        <f t="shared" si="962"/>
        <v>High</v>
      </c>
      <c r="F11179" s="138" t="str">
        <f t="shared" si="961"/>
        <v>Upgraded</v>
      </c>
      <c r="G11179" s="153"/>
      <c r="H11179" s="210">
        <v>0.80659999999999998</v>
      </c>
      <c r="I11179" s="160" t="s">
        <v>48</v>
      </c>
      <c r="J11179" s="160">
        <v>1.1610000000000001E-2</v>
      </c>
      <c r="K11179" s="160" t="s">
        <v>13</v>
      </c>
      <c r="L11179" s="154" t="str">
        <f>IF(OpenLCAbasic!K11179="CTUh", "Fill in Manually",IF(OR(K11179="Unit", K11179=""), "", INDEX(LookUps!$E$5:$E$12, MATCH(OpenLCAbasic!K11179,LookUps!$D$5:$D$12,0))))</f>
        <v>Eutrophication Potential (EP) - kg N eq</v>
      </c>
      <c r="M11179" s="154" t="str">
        <f t="shared" si="957"/>
        <v>High_Medium_High_Upgraded_Eutrophication Potential (EP) - kg N eq_Effluent release; wastewater treatment unit; at surface water; m3 wastewater - US_Base_With Amendment_Aerated Static Pile</v>
      </c>
    </row>
    <row r="11180" spans="1:13" s="120" customFormat="1" x14ac:dyDescent="0.25">
      <c r="A11180" s="119"/>
      <c r="B11180" s="138" t="str">
        <f t="shared" si="959"/>
        <v>Aerated Static Pile</v>
      </c>
      <c r="C11180" s="138" t="str">
        <f t="shared" si="960"/>
        <v>Base_With Amendment</v>
      </c>
      <c r="D11180" s="138" t="str">
        <f t="shared" si="958"/>
        <v>Medium_High</v>
      </c>
      <c r="E11180" s="138" t="str">
        <f t="shared" si="962"/>
        <v>High</v>
      </c>
      <c r="F11180" s="138" t="str">
        <f t="shared" si="961"/>
        <v>Upgraded</v>
      </c>
      <c r="G11180" s="153"/>
      <c r="H11180" s="210">
        <v>0.1817</v>
      </c>
      <c r="I11180" s="160" t="s">
        <v>62</v>
      </c>
      <c r="J11180" s="160">
        <v>2.6199999999999999E-3</v>
      </c>
      <c r="K11180" s="160" t="s">
        <v>13</v>
      </c>
      <c r="L11180" s="154" t="str">
        <f>IF(OpenLCAbasic!K11180="CTUh", "Fill in Manually",IF(OR(K11180="Unit", K11180=""), "", INDEX(LookUps!$E$5:$E$12, MATCH(OpenLCAbasic!K11180,LookUps!$D$5:$D$12,0))))</f>
        <v>Eutrophication Potential (EP) - kg N eq</v>
      </c>
      <c r="M11180" s="154" t="str">
        <f t="shared" si="957"/>
        <v>High_Medium_High_Upgraded_Eutrophication Potential (EP) - kg N eq_Land application of compost; wastewater treatment unit; at updated plant - US_Base_With Amendment_Aerated Static Pile</v>
      </c>
    </row>
    <row r="11181" spans="1:13" s="120" customFormat="1" x14ac:dyDescent="0.25">
      <c r="A11181" s="119"/>
      <c r="B11181" s="138" t="str">
        <f t="shared" si="959"/>
        <v>Aerated Static Pile</v>
      </c>
      <c r="C11181" s="138" t="str">
        <f t="shared" si="960"/>
        <v>Base_With Amendment</v>
      </c>
      <c r="D11181" s="138" t="str">
        <f t="shared" si="958"/>
        <v>Medium_High</v>
      </c>
      <c r="E11181" s="138" t="str">
        <f t="shared" si="962"/>
        <v>High</v>
      </c>
      <c r="F11181" s="138" t="str">
        <f t="shared" si="961"/>
        <v>Upgraded</v>
      </c>
      <c r="G11181" s="153"/>
      <c r="H11181" s="210">
        <v>3.7999999999999999E-2</v>
      </c>
      <c r="I11181" s="160" t="s">
        <v>55</v>
      </c>
      <c r="J11181" s="160">
        <v>5.5000000000000003E-4</v>
      </c>
      <c r="K11181" s="160" t="s">
        <v>13</v>
      </c>
      <c r="L11181" s="154" t="str">
        <f>IF(OpenLCAbasic!K11181="CTUh", "Fill in Manually",IF(OR(K11181="Unit", K11181=""), "", INDEX(LookUps!$E$5:$E$12, MATCH(OpenLCAbasic!K11181,LookUps!$D$5:$D$12,0))))</f>
        <v>Eutrophication Potential (EP) - kg N eq</v>
      </c>
      <c r="M11181" s="154" t="str">
        <f t="shared" si="957"/>
        <v>High_Medium_High_Upgraded_Eutrophication Potential (EP) - kg N eq_Aeration Tanks; wastewater treatment unit; at updated plant - US_Base_With Amendment_Aerated Static Pile</v>
      </c>
    </row>
    <row r="11182" spans="1:13" s="120" customFormat="1" x14ac:dyDescent="0.25">
      <c r="A11182" s="119"/>
      <c r="B11182" s="138" t="str">
        <f t="shared" si="959"/>
        <v>Aerated Static Pile</v>
      </c>
      <c r="C11182" s="138" t="str">
        <f t="shared" si="960"/>
        <v>Base_With Amendment</v>
      </c>
      <c r="D11182" s="138" t="str">
        <f t="shared" si="958"/>
        <v>Medium_High</v>
      </c>
      <c r="E11182" s="138" t="str">
        <f t="shared" si="962"/>
        <v>High</v>
      </c>
      <c r="F11182" s="138" t="str">
        <f t="shared" si="961"/>
        <v>Upgraded</v>
      </c>
      <c r="G11182" s="153"/>
      <c r="H11182" s="210">
        <v>2.0500000000000001E-2</v>
      </c>
      <c r="I11182" s="160" t="s">
        <v>435</v>
      </c>
      <c r="J11182" s="160">
        <v>2.9E-4</v>
      </c>
      <c r="K11182" s="160" t="s">
        <v>13</v>
      </c>
      <c r="L11182" s="154" t="str">
        <f>IF(OpenLCAbasic!K11182="CTUh", "Fill in Manually",IF(OR(K11182="Unit", K11182=""), "", INDEX(LookUps!$E$5:$E$12, MATCH(OpenLCAbasic!K11182,LookUps!$D$5:$D$12,0))))</f>
        <v>Eutrophication Potential (EP) - kg N eq</v>
      </c>
      <c r="M11182" s="154" t="str">
        <f t="shared" si="957"/>
        <v>High_Medium_High_Upgraded_Eutrophication Potential (EP) - kg N eq_Biosolids composting; aerated static pile; wastewater treatment unit; at updated plant - US_Base_With Amendment_Aerated Static Pile</v>
      </c>
    </row>
    <row r="11183" spans="1:13" s="120" customFormat="1" x14ac:dyDescent="0.25">
      <c r="A11183" s="119"/>
      <c r="B11183" s="138" t="str">
        <f t="shared" si="959"/>
        <v>Aerated Static Pile</v>
      </c>
      <c r="C11183" s="138" t="str">
        <f t="shared" si="960"/>
        <v>Base_With Amendment</v>
      </c>
      <c r="D11183" s="138" t="str">
        <f t="shared" si="958"/>
        <v>Medium_High</v>
      </c>
      <c r="E11183" s="138" t="str">
        <f t="shared" si="962"/>
        <v>High</v>
      </c>
      <c r="F11183" s="138" t="str">
        <f t="shared" si="961"/>
        <v>Upgraded</v>
      </c>
      <c r="G11183" s="153"/>
      <c r="H11183" s="210">
        <v>1.7299999999999999E-2</v>
      </c>
      <c r="I11183" s="160" t="s">
        <v>147</v>
      </c>
      <c r="J11183" s="160">
        <v>2.5000000000000001E-4</v>
      </c>
      <c r="K11183" s="160" t="s">
        <v>13</v>
      </c>
      <c r="L11183" s="154" t="str">
        <f>IF(OpenLCAbasic!K11183="CTUh", "Fill in Manually",IF(OR(K11183="Unit", K11183=""), "", INDEX(LookUps!$E$5:$E$12, MATCH(OpenLCAbasic!K11183,LookUps!$D$5:$D$12,0))))</f>
        <v>Eutrophication Potential (EP) - kg N eq</v>
      </c>
      <c r="M11183" s="154" t="str">
        <f t="shared" si="957"/>
        <v>High_Medium_High_Upgraded_Eutrophication Potential (EP) - kg N eq_Influent Pump Station; wastewater treatment unit; at updated plant - US_Base_With Amendment_Aerated Static Pile</v>
      </c>
    </row>
    <row r="11184" spans="1:13" s="120" customFormat="1" x14ac:dyDescent="0.25">
      <c r="A11184" s="119"/>
      <c r="B11184" s="138" t="str">
        <f t="shared" si="959"/>
        <v>Aerated Static Pile</v>
      </c>
      <c r="C11184" s="138" t="str">
        <f t="shared" si="960"/>
        <v>Base_With Amendment</v>
      </c>
      <c r="D11184" s="138" t="str">
        <f t="shared" si="958"/>
        <v>Medium_High</v>
      </c>
      <c r="E11184" s="138" t="str">
        <f t="shared" si="962"/>
        <v>High</v>
      </c>
      <c r="F11184" s="138" t="str">
        <f t="shared" si="961"/>
        <v>Upgraded</v>
      </c>
      <c r="G11184" s="153"/>
      <c r="H11184" s="210">
        <v>1.38E-2</v>
      </c>
      <c r="I11184" s="160" t="s">
        <v>54</v>
      </c>
      <c r="J11184" s="160">
        <v>2.0000000000000001E-4</v>
      </c>
      <c r="K11184" s="160" t="s">
        <v>13</v>
      </c>
      <c r="L11184" s="154" t="str">
        <f>IF(OpenLCAbasic!K11184="CTUh", "Fill in Manually",IF(OR(K11184="Unit", K11184=""), "", INDEX(LookUps!$E$5:$E$12, MATCH(OpenLCAbasic!K11184,LookUps!$D$5:$D$12,0))))</f>
        <v>Eutrophication Potential (EP) - kg N eq</v>
      </c>
      <c r="M11184" s="154" t="str">
        <f t="shared" si="957"/>
        <v>High_Medium_High_Upgraded_Eutrophication Potential (EP) - kg N eq_Clear Cove Primary Clarification; wastewater treatment unit; at updated plant - US_Base_With Amendment_Aerated Static Pile</v>
      </c>
    </row>
    <row r="11185" spans="1:13" s="120" customFormat="1" x14ac:dyDescent="0.25">
      <c r="A11185" s="119"/>
      <c r="B11185" s="138" t="str">
        <f t="shared" si="959"/>
        <v>Aerated Static Pile</v>
      </c>
      <c r="C11185" s="138" t="str">
        <f t="shared" si="960"/>
        <v>Base_With Amendment</v>
      </c>
      <c r="D11185" s="138" t="str">
        <f t="shared" si="958"/>
        <v>Medium_High</v>
      </c>
      <c r="E11185" s="138" t="str">
        <f t="shared" si="962"/>
        <v>High</v>
      </c>
      <c r="F11185" s="138" t="str">
        <f t="shared" si="961"/>
        <v>Upgraded</v>
      </c>
      <c r="G11185" s="153"/>
      <c r="H11185" s="210">
        <v>1.32E-2</v>
      </c>
      <c r="I11185" s="160" t="s">
        <v>167</v>
      </c>
      <c r="J11185" s="160">
        <v>1.9000000000000001E-4</v>
      </c>
      <c r="K11185" s="160" t="s">
        <v>13</v>
      </c>
      <c r="L11185" s="154" t="str">
        <f>IF(OpenLCAbasic!K11185="CTUh", "Fill in Manually",IF(OR(K11185="Unit", K11185=""), "", INDEX(LookUps!$E$5:$E$12, MATCH(OpenLCAbasic!K11185,LookUps!$D$5:$D$12,0))))</f>
        <v>Eutrophication Potential (EP) - kg N eq</v>
      </c>
      <c r="M11185" s="154" t="str">
        <f t="shared" si="957"/>
        <v>High_Medium_High_Upgraded_Eutrophication Potential (EP) - kg N eq_Waste Receiving and Holding; wastewater treatment unit; at updated plant - US_Base_With Amendment_Aerated Static Pile</v>
      </c>
    </row>
    <row r="11186" spans="1:13" s="120" customFormat="1" x14ac:dyDescent="0.25">
      <c r="A11186" s="119"/>
      <c r="B11186" s="138" t="str">
        <f t="shared" si="959"/>
        <v>Aerated Static Pile</v>
      </c>
      <c r="C11186" s="138" t="str">
        <f t="shared" si="960"/>
        <v>Base_With Amendment</v>
      </c>
      <c r="D11186" s="138" t="str">
        <f t="shared" si="958"/>
        <v>Medium_High</v>
      </c>
      <c r="E11186" s="138" t="str">
        <f t="shared" si="962"/>
        <v>High</v>
      </c>
      <c r="F11186" s="138" t="str">
        <f t="shared" si="961"/>
        <v>Upgraded</v>
      </c>
      <c r="G11186" s="153"/>
      <c r="H11186" s="210">
        <v>9.4000000000000004E-3</v>
      </c>
      <c r="I11186" s="160" t="s">
        <v>58</v>
      </c>
      <c r="J11186" s="160">
        <v>1.3999999999999999E-4</v>
      </c>
      <c r="K11186" s="160" t="s">
        <v>13</v>
      </c>
      <c r="L11186" s="154" t="str">
        <f>IF(OpenLCAbasic!K11186="CTUh", "Fill in Manually",IF(OR(K11186="Unit", K11186=""), "", INDEX(LookUps!$E$5:$E$12, MATCH(OpenLCAbasic!K11186,LookUps!$D$5:$D$12,0))))</f>
        <v>Eutrophication Potential (EP) - kg N eq</v>
      </c>
      <c r="M11186" s="154" t="str">
        <f t="shared" si="957"/>
        <v>High_Medium_High_Upgraded_Eutrophication Potential (EP) - kg N eq_Pre-Anoxic &amp; Swing tank; wastewater treatment unit; at updated plant - US_Base_With Amendment_Aerated Static Pile</v>
      </c>
    </row>
    <row r="11187" spans="1:13" s="120" customFormat="1" x14ac:dyDescent="0.25">
      <c r="A11187" s="119"/>
      <c r="B11187" s="138" t="str">
        <f t="shared" si="959"/>
        <v>Aerated Static Pile</v>
      </c>
      <c r="C11187" s="138" t="str">
        <f t="shared" si="960"/>
        <v>Base_With Amendment</v>
      </c>
      <c r="D11187" s="138" t="str">
        <f t="shared" si="958"/>
        <v>Medium_High</v>
      </c>
      <c r="E11187" s="138" t="str">
        <f t="shared" si="962"/>
        <v>High</v>
      </c>
      <c r="F11187" s="138" t="str">
        <f t="shared" si="961"/>
        <v>Upgraded</v>
      </c>
      <c r="G11187" s="153"/>
      <c r="H11187" s="210">
        <v>7.4999999999999997E-3</v>
      </c>
      <c r="I11187" s="160" t="s">
        <v>53</v>
      </c>
      <c r="J11187" s="160">
        <v>1.1E-4</v>
      </c>
      <c r="K11187" s="160" t="s">
        <v>13</v>
      </c>
      <c r="L11187" s="154" t="str">
        <f>IF(OpenLCAbasic!K11187="CTUh", "Fill in Manually",IF(OR(K11187="Unit", K11187=""), "", INDEX(LookUps!$E$5:$E$12, MATCH(OpenLCAbasic!K11187,LookUps!$D$5:$D$12,0))))</f>
        <v>Eutrophication Potential (EP) - kg N eq</v>
      </c>
      <c r="M11187" s="154" t="str">
        <f t="shared" si="957"/>
        <v>High_Medium_High_Upgraded_Eutrophication Potential (EP) - kg N eq_Wet Well and Sump Station; wastewater treatment unit; at updated plant - US_Base_With Amendment_Aerated Static Pile</v>
      </c>
    </row>
    <row r="11188" spans="1:13" s="120" customFormat="1" x14ac:dyDescent="0.25">
      <c r="A11188" s="119"/>
      <c r="B11188" s="138" t="str">
        <f t="shared" si="959"/>
        <v>Aerated Static Pile</v>
      </c>
      <c r="C11188" s="138" t="str">
        <f t="shared" si="960"/>
        <v>Base_With Amendment</v>
      </c>
      <c r="D11188" s="138" t="str">
        <f t="shared" si="958"/>
        <v>Medium_High</v>
      </c>
      <c r="E11188" s="138" t="str">
        <f t="shared" si="962"/>
        <v>High</v>
      </c>
      <c r="F11188" s="138" t="str">
        <f t="shared" si="961"/>
        <v>Upgraded</v>
      </c>
      <c r="G11188" s="153"/>
      <c r="H11188" s="210">
        <v>4.5999999999999999E-3</v>
      </c>
      <c r="I11188" s="160" t="s">
        <v>60</v>
      </c>
      <c r="J11188" s="211">
        <v>6.69155E-5</v>
      </c>
      <c r="K11188" s="160" t="s">
        <v>13</v>
      </c>
      <c r="L11188" s="154" t="str">
        <f>IF(OpenLCAbasic!K11188="CTUh", "Fill in Manually",IF(OR(K11188="Unit", K11188=""), "", INDEX(LookUps!$E$5:$E$12, MATCH(OpenLCAbasic!K11188,LookUps!$D$5:$D$12,0))))</f>
        <v>Eutrophication Potential (EP) - kg N eq</v>
      </c>
      <c r="M11188" s="154" t="str">
        <f t="shared" si="957"/>
        <v>High_Medium_High_Upgraded_Eutrophication Potential (EP) - kg N eq_Belt filter press; wastewater treatment unit; at updated plant - US_Base_With Amendment_Aerated Static Pile</v>
      </c>
    </row>
    <row r="11189" spans="1:13" s="120" customFormat="1" x14ac:dyDescent="0.25">
      <c r="A11189" s="119"/>
      <c r="B11189" s="138" t="str">
        <f t="shared" si="959"/>
        <v>Aerated Static Pile</v>
      </c>
      <c r="C11189" s="138" t="str">
        <f t="shared" si="960"/>
        <v>Base_With Amendment</v>
      </c>
      <c r="D11189" s="138" t="str">
        <f t="shared" si="958"/>
        <v>Medium_High</v>
      </c>
      <c r="E11189" s="138" t="str">
        <f t="shared" si="962"/>
        <v>High</v>
      </c>
      <c r="F11189" s="138" t="str">
        <f t="shared" si="961"/>
        <v>Upgraded</v>
      </c>
      <c r="G11189" s="153"/>
      <c r="H11189" s="210">
        <v>4.1999999999999997E-3</v>
      </c>
      <c r="I11189" s="160" t="s">
        <v>57</v>
      </c>
      <c r="J11189" s="211">
        <v>6.0590300000000002E-5</v>
      </c>
      <c r="K11189" s="160" t="s">
        <v>13</v>
      </c>
      <c r="L11189" s="154" t="str">
        <f>IF(OpenLCAbasic!K11189="CTUh", "Fill in Manually",IF(OR(K11189="Unit", K11189=""), "", INDEX(LookUps!$E$5:$E$12, MATCH(OpenLCAbasic!K11189,LookUps!$D$5:$D$12,0))))</f>
        <v>Eutrophication Potential (EP) - kg N eq</v>
      </c>
      <c r="M11189" s="154" t="str">
        <f t="shared" si="957"/>
        <v>High_Medium_High_Upgraded_Eutrophication Potential (EP) - kg N eq_Gravity Belt Thickener; wastewater treatment unit; at updated plant - US_Base_With Amendment_Aerated Static Pile</v>
      </c>
    </row>
    <row r="11190" spans="1:13" s="120" customFormat="1" x14ac:dyDescent="0.25">
      <c r="A11190" s="119"/>
      <c r="B11190" s="138" t="str">
        <f t="shared" si="959"/>
        <v>Aerated Static Pile</v>
      </c>
      <c r="C11190" s="138" t="str">
        <f t="shared" si="960"/>
        <v>Base_With Amendment</v>
      </c>
      <c r="D11190" s="138" t="str">
        <f t="shared" si="958"/>
        <v>Medium_High</v>
      </c>
      <c r="E11190" s="138" t="str">
        <f t="shared" si="962"/>
        <v>High</v>
      </c>
      <c r="F11190" s="138" t="str">
        <f t="shared" si="961"/>
        <v>Upgraded</v>
      </c>
      <c r="G11190" s="153"/>
      <c r="H11190" s="210">
        <v>2.5999999999999999E-3</v>
      </c>
      <c r="I11190" s="160" t="s">
        <v>128</v>
      </c>
      <c r="J11190" s="211">
        <v>3.7559799999999999E-5</v>
      </c>
      <c r="K11190" s="160" t="s">
        <v>13</v>
      </c>
      <c r="L11190" s="154" t="str">
        <f>IF(OpenLCAbasic!K11190="CTUh", "Fill in Manually",IF(OR(K11190="Unit", K11190=""), "", INDEX(LookUps!$E$5:$E$12, MATCH(OpenLCAbasic!K11190,LookUps!$D$5:$D$12,0))))</f>
        <v>Eutrophication Potential (EP) - kg N eq</v>
      </c>
      <c r="M11190" s="154" t="str">
        <f t="shared" si="957"/>
        <v>High_Medium_High_Upgraded_Eutrophication Potential (EP) - kg N eq_Wastewater collection; operation and infrastructure; m3 wastewater_Base_With Amendment_Aerated Static Pile</v>
      </c>
    </row>
    <row r="11191" spans="1:13" s="120" customFormat="1" x14ac:dyDescent="0.25">
      <c r="A11191" s="119"/>
      <c r="B11191" s="138" t="str">
        <f t="shared" si="959"/>
        <v>Aerated Static Pile</v>
      </c>
      <c r="C11191" s="138" t="str">
        <f t="shared" si="960"/>
        <v>Base_With Amendment</v>
      </c>
      <c r="D11191" s="138" t="str">
        <f t="shared" si="958"/>
        <v>Medium_High</v>
      </c>
      <c r="E11191" s="138" t="str">
        <f t="shared" si="962"/>
        <v>High</v>
      </c>
      <c r="F11191" s="138" t="str">
        <f t="shared" si="961"/>
        <v>Upgraded</v>
      </c>
      <c r="G11191" s="153"/>
      <c r="H11191" s="210">
        <v>2.5999999999999999E-3</v>
      </c>
      <c r="I11191" s="160" t="s">
        <v>148</v>
      </c>
      <c r="J11191" s="211">
        <v>3.6874600000000001E-5</v>
      </c>
      <c r="K11191" s="160" t="s">
        <v>13</v>
      </c>
      <c r="L11191" s="154" t="str">
        <f>IF(OpenLCAbasic!K11191="CTUh", "Fill in Manually",IF(OR(K11191="Unit", K11191=""), "", INDEX(LookUps!$E$5:$E$12, MATCH(OpenLCAbasic!K11191,LookUps!$D$5:$D$12,0))))</f>
        <v>Eutrophication Potential (EP) - kg N eq</v>
      </c>
      <c r="M11191" s="154" t="str">
        <f t="shared" si="957"/>
        <v>High_Medium_High_Upgraded_Eutrophication Potential (EP) - kg N eq_Control Building; at upgraded wastewater treatment plant - US_Base_With Amendment_Aerated Static Pile</v>
      </c>
    </row>
    <row r="11192" spans="1:13" s="120" customFormat="1" x14ac:dyDescent="0.25">
      <c r="A11192" s="119"/>
      <c r="B11192" s="138" t="str">
        <f t="shared" si="959"/>
        <v>Aerated Static Pile</v>
      </c>
      <c r="C11192" s="138" t="str">
        <f t="shared" si="960"/>
        <v>Base_With Amendment</v>
      </c>
      <c r="D11192" s="138" t="str">
        <f t="shared" si="958"/>
        <v>Medium_High</v>
      </c>
      <c r="E11192" s="138" t="str">
        <f t="shared" si="962"/>
        <v>High</v>
      </c>
      <c r="F11192" s="138" t="str">
        <f t="shared" si="961"/>
        <v>Upgraded</v>
      </c>
      <c r="G11192" s="153"/>
      <c r="H11192" s="210">
        <v>1.1000000000000001E-3</v>
      </c>
      <c r="I11192" s="160" t="s">
        <v>59</v>
      </c>
      <c r="J11192" s="211">
        <v>1.6215700000000001E-5</v>
      </c>
      <c r="K11192" s="160" t="s">
        <v>13</v>
      </c>
      <c r="L11192" s="154" t="str">
        <f>IF(OpenLCAbasic!K11192="CTUh", "Fill in Manually",IF(OR(K11192="Unit", K11192=""), "", INDEX(LookUps!$E$5:$E$12, MATCH(OpenLCAbasic!K11192,LookUps!$D$5:$D$12,0))))</f>
        <v>Eutrophication Potential (EP) - kg N eq</v>
      </c>
      <c r="M11192" s="154" t="str">
        <f t="shared" si="957"/>
        <v>High_Medium_High_Upgraded_Eutrophication Potential (EP) - kg N eq_Blend Tank; wastewater treatment unit; at updated plant - US_Base_With Amendment_Aerated Static Pile</v>
      </c>
    </row>
    <row r="11193" spans="1:13" s="120" customFormat="1" x14ac:dyDescent="0.25">
      <c r="A11193" s="119"/>
      <c r="B11193" s="138" t="str">
        <f t="shared" si="959"/>
        <v>Aerated Static Pile</v>
      </c>
      <c r="C11193" s="138" t="str">
        <f t="shared" si="960"/>
        <v>Base_With Amendment</v>
      </c>
      <c r="D11193" s="138" t="str">
        <f t="shared" si="958"/>
        <v>Medium_High</v>
      </c>
      <c r="E11193" s="138" t="str">
        <f t="shared" si="962"/>
        <v>High</v>
      </c>
      <c r="F11193" s="138" t="str">
        <f t="shared" si="961"/>
        <v>Upgraded</v>
      </c>
      <c r="G11193" s="153"/>
      <c r="H11193" s="210">
        <v>5.0000000000000001E-4</v>
      </c>
      <c r="I11193" s="160" t="s">
        <v>168</v>
      </c>
      <c r="J11193" s="211">
        <v>7.7567199999999995E-6</v>
      </c>
      <c r="K11193" s="160" t="s">
        <v>13</v>
      </c>
      <c r="L11193" s="154" t="str">
        <f>IF(OpenLCAbasic!K11193="CTUh", "Fill in Manually",IF(OR(K11193="Unit", K11193=""), "", INDEX(LookUps!$E$5:$E$12, MATCH(OpenLCAbasic!K11193,LookUps!$D$5:$D$12,0))))</f>
        <v>Eutrophication Potential (EP) - kg N eq</v>
      </c>
      <c r="M11193" s="154" t="str">
        <f t="shared" si="957"/>
        <v>High_Medium_High_Upgraded_Eutrophication Potential (EP) - kg N eq_ClearCove SCP; wastewater treatment unit; at updated plant - US_Base_With Amendment_Aerated Static Pile</v>
      </c>
    </row>
    <row r="11194" spans="1:13" s="120" customFormat="1" x14ac:dyDescent="0.25">
      <c r="A11194" s="119"/>
      <c r="B11194" s="138" t="str">
        <f t="shared" si="959"/>
        <v>Aerated Static Pile</v>
      </c>
      <c r="C11194" s="138" t="str">
        <f t="shared" si="960"/>
        <v>Base_With Amendment</v>
      </c>
      <c r="D11194" s="138" t="str">
        <f t="shared" si="958"/>
        <v>Medium_High</v>
      </c>
      <c r="E11194" s="138" t="str">
        <f t="shared" si="962"/>
        <v>High</v>
      </c>
      <c r="F11194" s="138" t="str">
        <f t="shared" si="961"/>
        <v>Upgraded</v>
      </c>
      <c r="G11194" s="153"/>
      <c r="H11194" s="210">
        <v>-0.1236</v>
      </c>
      <c r="I11194" s="160" t="s">
        <v>149</v>
      </c>
      <c r="J11194" s="160">
        <v>-1.7799999999999999E-3</v>
      </c>
      <c r="K11194" s="160" t="s">
        <v>13</v>
      </c>
      <c r="L11194" s="154" t="str">
        <f>IF(OpenLCAbasic!K11194="CTUh", "Fill in Manually",IF(OR(K11194="Unit", K11194=""), "", INDEX(LookUps!$E$5:$E$12, MATCH(OpenLCAbasic!K11194,LookUps!$D$5:$D$12,0))))</f>
        <v>Eutrophication Potential (EP) - kg N eq</v>
      </c>
      <c r="M11194" s="154" t="str">
        <f t="shared" si="957"/>
        <v>High_Medium_High_Upgraded_Eutrophication Potential (EP) - kg N eq_Anaerobic Digestion; wastewater treatment unit; at updated plant - US_Base_With Amendment_Aerated Static Pile</v>
      </c>
    </row>
    <row r="11195" spans="1:13" s="120" customFormat="1" x14ac:dyDescent="0.25">
      <c r="A11195" s="119"/>
      <c r="B11195" s="138" t="str">
        <f t="shared" si="959"/>
        <v/>
      </c>
      <c r="C11195" s="138" t="str">
        <f t="shared" si="960"/>
        <v/>
      </c>
      <c r="D11195" s="138" t="str">
        <f t="shared" si="958"/>
        <v/>
      </c>
      <c r="E11195" s="138" t="str">
        <f t="shared" si="962"/>
        <v/>
      </c>
      <c r="F11195" s="138" t="str">
        <f t="shared" si="961"/>
        <v/>
      </c>
      <c r="G11195" s="153" t="s">
        <v>51</v>
      </c>
      <c r="H11195" s="160"/>
      <c r="I11195" s="160" t="s">
        <v>47</v>
      </c>
      <c r="J11195" s="160" t="s">
        <v>52</v>
      </c>
      <c r="K11195" s="160" t="s">
        <v>27</v>
      </c>
      <c r="L11195" s="154" t="str">
        <f>IF(OpenLCAbasic!K11195="CTUh", "Fill in Manually",IF(OR(K11195="Unit", K11195=""), "", INDEX(LookUps!$E$5:$E$12, MATCH(OpenLCAbasic!K11195,LookUps!$D$5:$D$12,0))))</f>
        <v/>
      </c>
      <c r="M11195" s="154" t="str">
        <f t="shared" si="957"/>
        <v>____Process__</v>
      </c>
    </row>
    <row r="11196" spans="1:13" s="120" customFormat="1" x14ac:dyDescent="0.25">
      <c r="A11196" s="119"/>
      <c r="B11196" s="138" t="str">
        <f t="shared" si="959"/>
        <v>Aerated Static Pile</v>
      </c>
      <c r="C11196" s="138" t="str">
        <f t="shared" si="960"/>
        <v>Base_With Amendment</v>
      </c>
      <c r="D11196" s="138" t="str">
        <f t="shared" si="958"/>
        <v>Medium_High</v>
      </c>
      <c r="E11196" s="138" t="str">
        <f t="shared" si="962"/>
        <v>High</v>
      </c>
      <c r="F11196" s="138" t="str">
        <f t="shared" si="961"/>
        <v>Upgraded</v>
      </c>
      <c r="G11196" s="153"/>
      <c r="H11196" s="210">
        <v>3.8449</v>
      </c>
      <c r="I11196" s="160" t="s">
        <v>167</v>
      </c>
      <c r="J11196" s="160">
        <v>9.7259999999999999E-2</v>
      </c>
      <c r="K11196" s="160" t="s">
        <v>14</v>
      </c>
      <c r="L11196" s="154" t="str">
        <f>IF(OpenLCAbasic!K11196="CTUh", "Fill in Manually",IF(OR(K11196="Unit", K11196=""), "", INDEX(LookUps!$E$5:$E$12, MATCH(OpenLCAbasic!K11196,LookUps!$D$5:$D$12,0))))</f>
        <v>Fossil Depletion Potential (FDP) - kg oil eq</v>
      </c>
      <c r="M11196" s="154" t="str">
        <f t="shared" si="957"/>
        <v>High_Medium_High_Upgraded_Fossil Depletion Potential (FDP) - kg oil eq_Waste Receiving and Holding; wastewater treatment unit; at updated plant - US_Base_With Amendment_Aerated Static Pile</v>
      </c>
    </row>
    <row r="11197" spans="1:13" s="120" customFormat="1" x14ac:dyDescent="0.25">
      <c r="A11197" s="119"/>
      <c r="B11197" s="138" t="str">
        <f t="shared" si="959"/>
        <v>Aerated Static Pile</v>
      </c>
      <c r="C11197" s="138" t="str">
        <f t="shared" si="960"/>
        <v>Base_With Amendment</v>
      </c>
      <c r="D11197" s="138" t="str">
        <f t="shared" si="958"/>
        <v>Medium_High</v>
      </c>
      <c r="E11197" s="138" t="str">
        <f t="shared" si="962"/>
        <v>High</v>
      </c>
      <c r="F11197" s="138" t="str">
        <f t="shared" si="961"/>
        <v>Upgraded</v>
      </c>
      <c r="G11197" s="153"/>
      <c r="H11197" s="210">
        <v>2.5139999999999998</v>
      </c>
      <c r="I11197" s="160" t="s">
        <v>55</v>
      </c>
      <c r="J11197" s="160">
        <v>6.3589999999999994E-2</v>
      </c>
      <c r="K11197" s="160" t="s">
        <v>14</v>
      </c>
      <c r="L11197" s="154" t="str">
        <f>IF(OpenLCAbasic!K11197="CTUh", "Fill in Manually",IF(OR(K11197="Unit", K11197=""), "", INDEX(LookUps!$E$5:$E$12, MATCH(OpenLCAbasic!K11197,LookUps!$D$5:$D$12,0))))</f>
        <v>Fossil Depletion Potential (FDP) - kg oil eq</v>
      </c>
      <c r="M11197" s="154" t="str">
        <f t="shared" si="957"/>
        <v>High_Medium_High_Upgraded_Fossil Depletion Potential (FDP) - kg oil eq_Aeration Tanks; wastewater treatment unit; at updated plant - US_Base_With Amendment_Aerated Static Pile</v>
      </c>
    </row>
    <row r="11198" spans="1:13" s="120" customFormat="1" x14ac:dyDescent="0.25">
      <c r="A11198" s="119"/>
      <c r="B11198" s="138" t="str">
        <f t="shared" si="959"/>
        <v>Aerated Static Pile</v>
      </c>
      <c r="C11198" s="138" t="str">
        <f t="shared" si="960"/>
        <v>Base_With Amendment</v>
      </c>
      <c r="D11198" s="138" t="str">
        <f t="shared" si="958"/>
        <v>Medium_High</v>
      </c>
      <c r="E11198" s="138" t="str">
        <f t="shared" si="962"/>
        <v>High</v>
      </c>
      <c r="F11198" s="138" t="str">
        <f t="shared" si="961"/>
        <v>Upgraded</v>
      </c>
      <c r="G11198" s="153"/>
      <c r="H11198" s="210">
        <v>1.1833</v>
      </c>
      <c r="I11198" s="160" t="s">
        <v>435</v>
      </c>
      <c r="J11198" s="160">
        <v>2.9929999999999998E-2</v>
      </c>
      <c r="K11198" s="160" t="s">
        <v>14</v>
      </c>
      <c r="L11198" s="154" t="str">
        <f>IF(OpenLCAbasic!K11198="CTUh", "Fill in Manually",IF(OR(K11198="Unit", K11198=""), "", INDEX(LookUps!$E$5:$E$12, MATCH(OpenLCAbasic!K11198,LookUps!$D$5:$D$12,0))))</f>
        <v>Fossil Depletion Potential (FDP) - kg oil eq</v>
      </c>
      <c r="M11198" s="154" t="str">
        <f t="shared" si="957"/>
        <v>High_Medium_High_Upgraded_Fossil Depletion Potential (FDP) - kg oil eq_Biosolids composting; aerated static pile; wastewater treatment unit; at updated plant - US_Base_With Amendment_Aerated Static Pile</v>
      </c>
    </row>
    <row r="11199" spans="1:13" s="120" customFormat="1" x14ac:dyDescent="0.25">
      <c r="A11199" s="119"/>
      <c r="B11199" s="138" t="str">
        <f t="shared" si="959"/>
        <v>Aerated Static Pile</v>
      </c>
      <c r="C11199" s="138" t="str">
        <f t="shared" si="960"/>
        <v>Base_With Amendment</v>
      </c>
      <c r="D11199" s="138" t="str">
        <f t="shared" si="958"/>
        <v>Medium_High</v>
      </c>
      <c r="E11199" s="138" t="str">
        <f t="shared" si="962"/>
        <v>High</v>
      </c>
      <c r="F11199" s="138" t="str">
        <f t="shared" si="961"/>
        <v>Upgraded</v>
      </c>
      <c r="G11199" s="153"/>
      <c r="H11199" s="210">
        <v>0.83220000000000005</v>
      </c>
      <c r="I11199" s="160" t="s">
        <v>54</v>
      </c>
      <c r="J11199" s="160">
        <v>2.1049999999999999E-2</v>
      </c>
      <c r="K11199" s="160" t="s">
        <v>14</v>
      </c>
      <c r="L11199" s="154" t="str">
        <f>IF(OpenLCAbasic!K11199="CTUh", "Fill in Manually",IF(OR(K11199="Unit", K11199=""), "", INDEX(LookUps!$E$5:$E$12, MATCH(OpenLCAbasic!K11199,LookUps!$D$5:$D$12,0))))</f>
        <v>Fossil Depletion Potential (FDP) - kg oil eq</v>
      </c>
      <c r="M11199" s="154" t="str">
        <f t="shared" si="957"/>
        <v>High_Medium_High_Upgraded_Fossil Depletion Potential (FDP) - kg oil eq_Clear Cove Primary Clarification; wastewater treatment unit; at updated plant - US_Base_With Amendment_Aerated Static Pile</v>
      </c>
    </row>
    <row r="11200" spans="1:13" s="120" customFormat="1" x14ac:dyDescent="0.25">
      <c r="A11200" s="119"/>
      <c r="B11200" s="138" t="str">
        <f t="shared" si="959"/>
        <v>Aerated Static Pile</v>
      </c>
      <c r="C11200" s="138" t="str">
        <f t="shared" si="960"/>
        <v>Base_With Amendment</v>
      </c>
      <c r="D11200" s="138" t="str">
        <f t="shared" si="958"/>
        <v>Medium_High</v>
      </c>
      <c r="E11200" s="138" t="str">
        <f t="shared" si="962"/>
        <v>High</v>
      </c>
      <c r="F11200" s="138" t="str">
        <f t="shared" si="961"/>
        <v>Upgraded</v>
      </c>
      <c r="G11200" s="153"/>
      <c r="H11200" s="210">
        <v>0.63160000000000005</v>
      </c>
      <c r="I11200" s="160" t="s">
        <v>58</v>
      </c>
      <c r="J11200" s="160">
        <v>1.5980000000000001E-2</v>
      </c>
      <c r="K11200" s="160" t="s">
        <v>14</v>
      </c>
      <c r="L11200" s="154" t="str">
        <f>IF(OpenLCAbasic!K11200="CTUh", "Fill in Manually",IF(OR(K11200="Unit", K11200=""), "", INDEX(LookUps!$E$5:$E$12, MATCH(OpenLCAbasic!K11200,LookUps!$D$5:$D$12,0))))</f>
        <v>Fossil Depletion Potential (FDP) - kg oil eq</v>
      </c>
      <c r="M11200" s="154" t="str">
        <f t="shared" si="957"/>
        <v>High_Medium_High_Upgraded_Fossil Depletion Potential (FDP) - kg oil eq_Pre-Anoxic &amp; Swing tank; wastewater treatment unit; at updated plant - US_Base_With Amendment_Aerated Static Pile</v>
      </c>
    </row>
    <row r="11201" spans="1:13" s="120" customFormat="1" x14ac:dyDescent="0.25">
      <c r="A11201" s="119"/>
      <c r="B11201" s="138" t="str">
        <f t="shared" si="959"/>
        <v>Aerated Static Pile</v>
      </c>
      <c r="C11201" s="138" t="str">
        <f t="shared" si="960"/>
        <v>Base_With Amendment</v>
      </c>
      <c r="D11201" s="138" t="str">
        <f t="shared" si="958"/>
        <v>Medium_High</v>
      </c>
      <c r="E11201" s="138" t="str">
        <f t="shared" si="962"/>
        <v>High</v>
      </c>
      <c r="F11201" s="138" t="str">
        <f t="shared" si="961"/>
        <v>Upgraded</v>
      </c>
      <c r="G11201" s="153"/>
      <c r="H11201" s="210">
        <v>0.59650000000000003</v>
      </c>
      <c r="I11201" s="160" t="s">
        <v>147</v>
      </c>
      <c r="J11201" s="160">
        <v>1.5089999999999999E-2</v>
      </c>
      <c r="K11201" s="160" t="s">
        <v>14</v>
      </c>
      <c r="L11201" s="154" t="str">
        <f>IF(OpenLCAbasic!K11201="CTUh", "Fill in Manually",IF(OR(K11201="Unit", K11201=""), "", INDEX(LookUps!$E$5:$E$12, MATCH(OpenLCAbasic!K11201,LookUps!$D$5:$D$12,0))))</f>
        <v>Fossil Depletion Potential (FDP) - kg oil eq</v>
      </c>
      <c r="M11201" s="154" t="str">
        <f t="shared" si="957"/>
        <v>High_Medium_High_Upgraded_Fossil Depletion Potential (FDP) - kg oil eq_Influent Pump Station; wastewater treatment unit; at updated plant - US_Base_With Amendment_Aerated Static Pile</v>
      </c>
    </row>
    <row r="11202" spans="1:13" s="120" customFormat="1" x14ac:dyDescent="0.25">
      <c r="A11202" s="119"/>
      <c r="B11202" s="138" t="str">
        <f t="shared" si="959"/>
        <v>Aerated Static Pile</v>
      </c>
      <c r="C11202" s="138" t="str">
        <f t="shared" si="960"/>
        <v>Base_With Amendment</v>
      </c>
      <c r="D11202" s="138" t="str">
        <f t="shared" si="958"/>
        <v>Medium_High</v>
      </c>
      <c r="E11202" s="138" t="str">
        <f t="shared" si="962"/>
        <v>High</v>
      </c>
      <c r="F11202" s="138" t="str">
        <f t="shared" si="961"/>
        <v>Upgraded</v>
      </c>
      <c r="G11202" s="153"/>
      <c r="H11202" s="210">
        <v>0.49370000000000003</v>
      </c>
      <c r="I11202" s="160" t="s">
        <v>53</v>
      </c>
      <c r="J11202" s="160">
        <v>1.2489999999999999E-2</v>
      </c>
      <c r="K11202" s="160" t="s">
        <v>14</v>
      </c>
      <c r="L11202" s="154" t="str">
        <f>IF(OpenLCAbasic!K11202="CTUh", "Fill in Manually",IF(OR(K11202="Unit", K11202=""), "", INDEX(LookUps!$E$5:$E$12, MATCH(OpenLCAbasic!K11202,LookUps!$D$5:$D$12,0))))</f>
        <v>Fossil Depletion Potential (FDP) - kg oil eq</v>
      </c>
      <c r="M11202" s="154" t="str">
        <f t="shared" si="957"/>
        <v>High_Medium_High_Upgraded_Fossil Depletion Potential (FDP) - kg oil eq_Wet Well and Sump Station; wastewater treatment unit; at updated plant - US_Base_With Amendment_Aerated Static Pile</v>
      </c>
    </row>
    <row r="11203" spans="1:13" s="120" customFormat="1" x14ac:dyDescent="0.25">
      <c r="A11203" s="119"/>
      <c r="B11203" s="138" t="str">
        <f t="shared" si="959"/>
        <v>Aerated Static Pile</v>
      </c>
      <c r="C11203" s="138" t="str">
        <f t="shared" si="960"/>
        <v>Base_With Amendment</v>
      </c>
      <c r="D11203" s="138" t="str">
        <f t="shared" si="958"/>
        <v>Medium_High</v>
      </c>
      <c r="E11203" s="138" t="str">
        <f t="shared" si="962"/>
        <v>High</v>
      </c>
      <c r="F11203" s="138" t="str">
        <f t="shared" si="961"/>
        <v>Upgraded</v>
      </c>
      <c r="G11203" s="153"/>
      <c r="H11203" s="210">
        <v>0.30370000000000003</v>
      </c>
      <c r="I11203" s="160" t="s">
        <v>60</v>
      </c>
      <c r="J11203" s="160">
        <v>7.6800000000000002E-3</v>
      </c>
      <c r="K11203" s="160" t="s">
        <v>14</v>
      </c>
      <c r="L11203" s="154" t="str">
        <f>IF(OpenLCAbasic!K11203="CTUh", "Fill in Manually",IF(OR(K11203="Unit", K11203=""), "", INDEX(LookUps!$E$5:$E$12, MATCH(OpenLCAbasic!K11203,LookUps!$D$5:$D$12,0))))</f>
        <v>Fossil Depletion Potential (FDP) - kg oil eq</v>
      </c>
      <c r="M11203" s="154" t="str">
        <f t="shared" si="957"/>
        <v>High_Medium_High_Upgraded_Fossil Depletion Potential (FDP) - kg oil eq_Belt filter press; wastewater treatment unit; at updated plant - US_Base_With Amendment_Aerated Static Pile</v>
      </c>
    </row>
    <row r="11204" spans="1:13" s="120" customFormat="1" x14ac:dyDescent="0.25">
      <c r="A11204" s="119"/>
      <c r="B11204" s="138" t="str">
        <f t="shared" si="959"/>
        <v>Aerated Static Pile</v>
      </c>
      <c r="C11204" s="138" t="str">
        <f t="shared" si="960"/>
        <v>Base_With Amendment</v>
      </c>
      <c r="D11204" s="138" t="str">
        <f t="shared" si="958"/>
        <v>Medium_High</v>
      </c>
      <c r="E11204" s="138" t="str">
        <f t="shared" si="962"/>
        <v>High</v>
      </c>
      <c r="F11204" s="138" t="str">
        <f t="shared" si="961"/>
        <v>Upgraded</v>
      </c>
      <c r="G11204" s="153"/>
      <c r="H11204" s="210">
        <v>0.27339999999999998</v>
      </c>
      <c r="I11204" s="160" t="s">
        <v>57</v>
      </c>
      <c r="J11204" s="160">
        <v>6.9199999999999999E-3</v>
      </c>
      <c r="K11204" s="160" t="s">
        <v>14</v>
      </c>
      <c r="L11204" s="154" t="str">
        <f>IF(OpenLCAbasic!K11204="CTUh", "Fill in Manually",IF(OR(K11204="Unit", K11204=""), "", INDEX(LookUps!$E$5:$E$12, MATCH(OpenLCAbasic!K11204,LookUps!$D$5:$D$12,0))))</f>
        <v>Fossil Depletion Potential (FDP) - kg oil eq</v>
      </c>
      <c r="M11204" s="154" t="str">
        <f t="shared" ref="M11204:M11267" si="963">CONCATENATE(E11204,"_",D11204,"_",F11204,"_",L11204, "_",I11204,"_", C11204,"_", B11204)</f>
        <v>High_Medium_High_Upgraded_Fossil Depletion Potential (FDP) - kg oil eq_Gravity Belt Thickener; wastewater treatment unit; at updated plant - US_Base_With Amendment_Aerated Static Pile</v>
      </c>
    </row>
    <row r="11205" spans="1:13" s="120" customFormat="1" x14ac:dyDescent="0.25">
      <c r="A11205" s="119"/>
      <c r="B11205" s="138" t="str">
        <f t="shared" si="959"/>
        <v>Aerated Static Pile</v>
      </c>
      <c r="C11205" s="138" t="str">
        <f t="shared" si="960"/>
        <v>Base_With Amendment</v>
      </c>
      <c r="D11205" s="138" t="str">
        <f t="shared" si="958"/>
        <v>Medium_High</v>
      </c>
      <c r="E11205" s="138" t="str">
        <f t="shared" si="962"/>
        <v>High</v>
      </c>
      <c r="F11205" s="138" t="str">
        <f t="shared" si="961"/>
        <v>Upgraded</v>
      </c>
      <c r="G11205" s="153"/>
      <c r="H11205" s="210">
        <v>0.1779</v>
      </c>
      <c r="I11205" s="160" t="s">
        <v>128</v>
      </c>
      <c r="J11205" s="160">
        <v>4.4999999999999997E-3</v>
      </c>
      <c r="K11205" s="160" t="s">
        <v>14</v>
      </c>
      <c r="L11205" s="154" t="str">
        <f>IF(OpenLCAbasic!K11205="CTUh", "Fill in Manually",IF(OR(K11205="Unit", K11205=""), "", INDEX(LookUps!$E$5:$E$12, MATCH(OpenLCAbasic!K11205,LookUps!$D$5:$D$12,0))))</f>
        <v>Fossil Depletion Potential (FDP) - kg oil eq</v>
      </c>
      <c r="M11205" s="154" t="str">
        <f t="shared" si="963"/>
        <v>High_Medium_High_Upgraded_Fossil Depletion Potential (FDP) - kg oil eq_Wastewater collection; operation and infrastructure; m3 wastewater_Base_With Amendment_Aerated Static Pile</v>
      </c>
    </row>
    <row r="11206" spans="1:13" s="120" customFormat="1" x14ac:dyDescent="0.25">
      <c r="A11206" s="119"/>
      <c r="B11206" s="138" t="str">
        <f t="shared" si="959"/>
        <v>Aerated Static Pile</v>
      </c>
      <c r="C11206" s="138" t="str">
        <f t="shared" si="960"/>
        <v>Base_With Amendment</v>
      </c>
      <c r="D11206" s="138" t="str">
        <f t="shared" si="958"/>
        <v>Medium_High</v>
      </c>
      <c r="E11206" s="138" t="str">
        <f t="shared" si="962"/>
        <v>High</v>
      </c>
      <c r="F11206" s="138" t="str">
        <f t="shared" si="961"/>
        <v>Upgraded</v>
      </c>
      <c r="G11206" s="153"/>
      <c r="H11206" s="210">
        <v>0.1106</v>
      </c>
      <c r="I11206" s="160" t="s">
        <v>148</v>
      </c>
      <c r="J11206" s="160">
        <v>2.8E-3</v>
      </c>
      <c r="K11206" s="160" t="s">
        <v>14</v>
      </c>
      <c r="L11206" s="154" t="str">
        <f>IF(OpenLCAbasic!K11206="CTUh", "Fill in Manually",IF(OR(K11206="Unit", K11206=""), "", INDEX(LookUps!$E$5:$E$12, MATCH(OpenLCAbasic!K11206,LookUps!$D$5:$D$12,0))))</f>
        <v>Fossil Depletion Potential (FDP) - kg oil eq</v>
      </c>
      <c r="M11206" s="154" t="str">
        <f t="shared" si="963"/>
        <v>High_Medium_High_Upgraded_Fossil Depletion Potential (FDP) - kg oil eq_Control Building; at upgraded wastewater treatment plant - US_Base_With Amendment_Aerated Static Pile</v>
      </c>
    </row>
    <row r="11207" spans="1:13" s="120" customFormat="1" x14ac:dyDescent="0.25">
      <c r="A11207" s="119"/>
      <c r="B11207" s="138" t="str">
        <f t="shared" si="959"/>
        <v>Aerated Static Pile</v>
      </c>
      <c r="C11207" s="138" t="str">
        <f t="shared" si="960"/>
        <v>Base_With Amendment</v>
      </c>
      <c r="D11207" s="138" t="str">
        <f t="shared" si="958"/>
        <v>Medium_High</v>
      </c>
      <c r="E11207" s="138" t="str">
        <f t="shared" si="962"/>
        <v>High</v>
      </c>
      <c r="F11207" s="138" t="str">
        <f t="shared" si="961"/>
        <v>Upgraded</v>
      </c>
      <c r="G11207" s="153"/>
      <c r="H11207" s="210">
        <v>9.3399999999999997E-2</v>
      </c>
      <c r="I11207" s="160" t="s">
        <v>48</v>
      </c>
      <c r="J11207" s="160">
        <v>2.3600000000000001E-3</v>
      </c>
      <c r="K11207" s="160" t="s">
        <v>14</v>
      </c>
      <c r="L11207" s="154" t="str">
        <f>IF(OpenLCAbasic!K11207="CTUh", "Fill in Manually",IF(OR(K11207="Unit", K11207=""), "", INDEX(LookUps!$E$5:$E$12, MATCH(OpenLCAbasic!K11207,LookUps!$D$5:$D$12,0))))</f>
        <v>Fossil Depletion Potential (FDP) - kg oil eq</v>
      </c>
      <c r="M11207" s="154" t="str">
        <f t="shared" si="963"/>
        <v>High_Medium_High_Upgraded_Fossil Depletion Potential (FDP) - kg oil eq_Effluent release; wastewater treatment unit; at surface water; m3 wastewater - US_Base_With Amendment_Aerated Static Pile</v>
      </c>
    </row>
    <row r="11208" spans="1:13" s="120" customFormat="1" x14ac:dyDescent="0.25">
      <c r="A11208" s="119"/>
      <c r="B11208" s="138" t="str">
        <f t="shared" si="959"/>
        <v>Aerated Static Pile</v>
      </c>
      <c r="C11208" s="138" t="str">
        <f t="shared" si="960"/>
        <v>Base_With Amendment</v>
      </c>
      <c r="D11208" s="138" t="str">
        <f t="shared" si="958"/>
        <v>Medium_High</v>
      </c>
      <c r="E11208" s="138" t="str">
        <f t="shared" si="962"/>
        <v>High</v>
      </c>
      <c r="F11208" s="138" t="str">
        <f t="shared" si="961"/>
        <v>Upgraded</v>
      </c>
      <c r="G11208" s="153"/>
      <c r="H11208" s="210">
        <v>7.5899999999999995E-2</v>
      </c>
      <c r="I11208" s="160" t="s">
        <v>59</v>
      </c>
      <c r="J11208" s="160">
        <v>1.92E-3</v>
      </c>
      <c r="K11208" s="160" t="s">
        <v>14</v>
      </c>
      <c r="L11208" s="154" t="str">
        <f>IF(OpenLCAbasic!K11208="CTUh", "Fill in Manually",IF(OR(K11208="Unit", K11208=""), "", INDEX(LookUps!$E$5:$E$12, MATCH(OpenLCAbasic!K11208,LookUps!$D$5:$D$12,0))))</f>
        <v>Fossil Depletion Potential (FDP) - kg oil eq</v>
      </c>
      <c r="M11208" s="154" t="str">
        <f t="shared" si="963"/>
        <v>High_Medium_High_Upgraded_Fossil Depletion Potential (FDP) - kg oil eq_Blend Tank; wastewater treatment unit; at updated plant - US_Base_With Amendment_Aerated Static Pile</v>
      </c>
    </row>
    <row r="11209" spans="1:13" s="120" customFormat="1" x14ac:dyDescent="0.25">
      <c r="A11209" s="119"/>
      <c r="B11209" s="138" t="str">
        <f t="shared" si="959"/>
        <v>Aerated Static Pile</v>
      </c>
      <c r="C11209" s="138" t="str">
        <f t="shared" si="960"/>
        <v>Base_With Amendment</v>
      </c>
      <c r="D11209" s="138" t="str">
        <f t="shared" ref="D11209:D11272" si="964">IF(ISNUMBER($J11209),"Medium_High","")</f>
        <v>Medium_High</v>
      </c>
      <c r="E11209" s="138" t="str">
        <f t="shared" si="962"/>
        <v>High</v>
      </c>
      <c r="F11209" s="138" t="str">
        <f t="shared" si="961"/>
        <v>Upgraded</v>
      </c>
      <c r="G11209" s="153"/>
      <c r="H11209" s="210">
        <v>3.6200000000000003E-2</v>
      </c>
      <c r="I11209" s="160" t="s">
        <v>168</v>
      </c>
      <c r="J11209" s="160">
        <v>9.1E-4</v>
      </c>
      <c r="K11209" s="160" t="s">
        <v>14</v>
      </c>
      <c r="L11209" s="154" t="str">
        <f>IF(OpenLCAbasic!K11209="CTUh", "Fill in Manually",IF(OR(K11209="Unit", K11209=""), "", INDEX(LookUps!$E$5:$E$12, MATCH(OpenLCAbasic!K11209,LookUps!$D$5:$D$12,0))))</f>
        <v>Fossil Depletion Potential (FDP) - kg oil eq</v>
      </c>
      <c r="M11209" s="154" t="str">
        <f t="shared" si="963"/>
        <v>High_Medium_High_Upgraded_Fossil Depletion Potential (FDP) - kg oil eq_ClearCove SCP; wastewater treatment unit; at updated plant - US_Base_With Amendment_Aerated Static Pile</v>
      </c>
    </row>
    <row r="11210" spans="1:13" s="120" customFormat="1" x14ac:dyDescent="0.25">
      <c r="A11210" s="119"/>
      <c r="B11210" s="138" t="str">
        <f t="shared" ref="B11210:B11273" si="965">IF(F11210="Legacy","n.a.",IF(F11210="","","Aerated Static Pile"))</f>
        <v>Aerated Static Pile</v>
      </c>
      <c r="C11210" s="138" t="str">
        <f t="shared" ref="C11210:C11273" si="966">IF(ISNUMBER($J11210),"Base_With Amendment","")</f>
        <v>Base_With Amendment</v>
      </c>
      <c r="D11210" s="138" t="str">
        <f t="shared" si="964"/>
        <v>Medium_High</v>
      </c>
      <c r="E11210" s="138" t="str">
        <f t="shared" si="962"/>
        <v>High</v>
      </c>
      <c r="F11210" s="138" t="str">
        <f t="shared" ref="F11210:F11273" si="967">IF(ISNUMBER(J11210),"Upgraded","")</f>
        <v>Upgraded</v>
      </c>
      <c r="G11210" s="153"/>
      <c r="H11210" s="210">
        <v>-0.29189999999999999</v>
      </c>
      <c r="I11210" s="160" t="s">
        <v>62</v>
      </c>
      <c r="J11210" s="160">
        <v>-7.3800000000000003E-3</v>
      </c>
      <c r="K11210" s="160" t="s">
        <v>14</v>
      </c>
      <c r="L11210" s="154" t="str">
        <f>IF(OpenLCAbasic!K11210="CTUh", "Fill in Manually",IF(OR(K11210="Unit", K11210=""), "", INDEX(LookUps!$E$5:$E$12, MATCH(OpenLCAbasic!K11210,LookUps!$D$5:$D$12,0))))</f>
        <v>Fossil Depletion Potential (FDP) - kg oil eq</v>
      </c>
      <c r="M11210" s="154" t="str">
        <f t="shared" si="963"/>
        <v>High_Medium_High_Upgraded_Fossil Depletion Potential (FDP) - kg oil eq_Land application of compost; wastewater treatment unit; at updated plant - US_Base_With Amendment_Aerated Static Pile</v>
      </c>
    </row>
    <row r="11211" spans="1:13" s="120" customFormat="1" x14ac:dyDescent="0.25">
      <c r="A11211" s="119"/>
      <c r="B11211" s="138" t="str">
        <f t="shared" si="965"/>
        <v>Aerated Static Pile</v>
      </c>
      <c r="C11211" s="138" t="str">
        <f t="shared" si="966"/>
        <v>Base_With Amendment</v>
      </c>
      <c r="D11211" s="138" t="str">
        <f t="shared" si="964"/>
        <v>Medium_High</v>
      </c>
      <c r="E11211" s="138" t="str">
        <f t="shared" si="962"/>
        <v>High</v>
      </c>
      <c r="F11211" s="138" t="str">
        <f t="shared" si="967"/>
        <v>Upgraded</v>
      </c>
      <c r="G11211" s="153"/>
      <c r="H11211" s="210">
        <v>-11.875299999999999</v>
      </c>
      <c r="I11211" s="160" t="s">
        <v>149</v>
      </c>
      <c r="J11211" s="160">
        <v>-0.30038999999999999</v>
      </c>
      <c r="K11211" s="160" t="s">
        <v>14</v>
      </c>
      <c r="L11211" s="154" t="str">
        <f>IF(OpenLCAbasic!K11211="CTUh", "Fill in Manually",IF(OR(K11211="Unit", K11211=""), "", INDEX(LookUps!$E$5:$E$12, MATCH(OpenLCAbasic!K11211,LookUps!$D$5:$D$12,0))))</f>
        <v>Fossil Depletion Potential (FDP) - kg oil eq</v>
      </c>
      <c r="M11211" s="154" t="str">
        <f t="shared" si="963"/>
        <v>High_Medium_High_Upgraded_Fossil Depletion Potential (FDP) - kg oil eq_Anaerobic Digestion; wastewater treatment unit; at updated plant - US_Base_With Amendment_Aerated Static Pile</v>
      </c>
    </row>
    <row r="11212" spans="1:13" s="120" customFormat="1" x14ac:dyDescent="0.25">
      <c r="A11212" s="119"/>
      <c r="B11212" s="138" t="str">
        <f t="shared" si="965"/>
        <v/>
      </c>
      <c r="C11212" s="138" t="str">
        <f t="shared" si="966"/>
        <v/>
      </c>
      <c r="D11212" s="138" t="str">
        <f t="shared" si="964"/>
        <v/>
      </c>
      <c r="E11212" s="138" t="str">
        <f t="shared" si="962"/>
        <v/>
      </c>
      <c r="F11212" s="138" t="str">
        <f t="shared" si="967"/>
        <v/>
      </c>
      <c r="G11212" s="153" t="s">
        <v>51</v>
      </c>
      <c r="H11212" s="160"/>
      <c r="I11212" s="160" t="s">
        <v>47</v>
      </c>
      <c r="J11212" s="160" t="s">
        <v>52</v>
      </c>
      <c r="K11212" s="160" t="s">
        <v>27</v>
      </c>
      <c r="L11212" s="154" t="str">
        <f>IF(OpenLCAbasic!K11212="CTUh", "Fill in Manually",IF(OR(K11212="Unit", K11212=""), "", INDEX(LookUps!$E$5:$E$12, MATCH(OpenLCAbasic!K11212,LookUps!$D$5:$D$12,0))))</f>
        <v/>
      </c>
      <c r="M11212" s="154" t="str">
        <f t="shared" si="963"/>
        <v>____Process__</v>
      </c>
    </row>
    <row r="11213" spans="1:13" s="120" customFormat="1" x14ac:dyDescent="0.25">
      <c r="A11213" s="119"/>
      <c r="B11213" s="138" t="str">
        <f t="shared" si="965"/>
        <v>Aerated Static Pile</v>
      </c>
      <c r="C11213" s="138" t="str">
        <f t="shared" si="966"/>
        <v>Base_With Amendment</v>
      </c>
      <c r="D11213" s="138" t="str">
        <f t="shared" si="964"/>
        <v>Medium_High</v>
      </c>
      <c r="E11213" s="138" t="str">
        <f t="shared" si="962"/>
        <v>High</v>
      </c>
      <c r="F11213" s="138" t="str">
        <f t="shared" si="967"/>
        <v>Upgraded</v>
      </c>
      <c r="G11213" s="153"/>
      <c r="H11213" s="210">
        <v>1.633</v>
      </c>
      <c r="I11213" s="160" t="s">
        <v>435</v>
      </c>
      <c r="J11213" s="160">
        <v>1.12676</v>
      </c>
      <c r="K11213" s="160" t="s">
        <v>23</v>
      </c>
      <c r="L11213" s="154" t="str">
        <f>IF(OpenLCAbasic!K11213="CTUh", "Fill in Manually",IF(OR(K11213="Unit", K11213=""), "", INDEX(LookUps!$E$5:$E$12, MATCH(OpenLCAbasic!K11213,LookUps!$D$5:$D$12,0))))</f>
        <v>Global Warming Potential (GWP) - kg CO2 eq</v>
      </c>
      <c r="M11213" s="154" t="str">
        <f t="shared" si="963"/>
        <v>High_Medium_High_Upgraded_Global Warming Potential (GWP) - kg CO2 eq_Biosolids composting; aerated static pile; wastewater treatment unit; at updated plant - US_Base_With Amendment_Aerated Static Pile</v>
      </c>
    </row>
    <row r="11214" spans="1:13" s="120" customFormat="1" x14ac:dyDescent="0.25">
      <c r="A11214" s="119"/>
      <c r="B11214" s="138" t="str">
        <f t="shared" si="965"/>
        <v>Aerated Static Pile</v>
      </c>
      <c r="C11214" s="138" t="str">
        <f t="shared" si="966"/>
        <v>Base_With Amendment</v>
      </c>
      <c r="D11214" s="138" t="str">
        <f t="shared" si="964"/>
        <v>Medium_High</v>
      </c>
      <c r="E11214" s="138" t="str">
        <f t="shared" si="962"/>
        <v>High</v>
      </c>
      <c r="F11214" s="138" t="str">
        <f t="shared" si="967"/>
        <v>Upgraded</v>
      </c>
      <c r="G11214" s="153"/>
      <c r="H11214" s="210">
        <v>0.35610000000000003</v>
      </c>
      <c r="I11214" s="160" t="s">
        <v>58</v>
      </c>
      <c r="J11214" s="160">
        <v>0.24568999999999999</v>
      </c>
      <c r="K11214" s="160" t="s">
        <v>23</v>
      </c>
      <c r="L11214" s="154" t="str">
        <f>IF(OpenLCAbasic!K11214="CTUh", "Fill in Manually",IF(OR(K11214="Unit", K11214=""), "", INDEX(LookUps!$E$5:$E$12, MATCH(OpenLCAbasic!K11214,LookUps!$D$5:$D$12,0))))</f>
        <v>Global Warming Potential (GWP) - kg CO2 eq</v>
      </c>
      <c r="M11214" s="154" t="str">
        <f t="shared" si="963"/>
        <v>High_Medium_High_Upgraded_Global Warming Potential (GWP) - kg CO2 eq_Pre-Anoxic &amp; Swing tank; wastewater treatment unit; at updated plant - US_Base_With Amendment_Aerated Static Pile</v>
      </c>
    </row>
    <row r="11215" spans="1:13" s="120" customFormat="1" x14ac:dyDescent="0.25">
      <c r="A11215" s="119"/>
      <c r="B11215" s="138" t="str">
        <f t="shared" si="965"/>
        <v>Aerated Static Pile</v>
      </c>
      <c r="C11215" s="138" t="str">
        <f t="shared" si="966"/>
        <v>Base_With Amendment</v>
      </c>
      <c r="D11215" s="138" t="str">
        <f t="shared" si="964"/>
        <v>Medium_High</v>
      </c>
      <c r="E11215" s="138" t="str">
        <f t="shared" si="962"/>
        <v>High</v>
      </c>
      <c r="F11215" s="138" t="str">
        <f t="shared" si="967"/>
        <v>Upgraded</v>
      </c>
      <c r="G11215" s="153"/>
      <c r="H11215" s="210">
        <v>0.24379999999999999</v>
      </c>
      <c r="I11215" s="160" t="s">
        <v>55</v>
      </c>
      <c r="J11215" s="160">
        <v>0.16822000000000001</v>
      </c>
      <c r="K11215" s="160" t="s">
        <v>23</v>
      </c>
      <c r="L11215" s="154" t="str">
        <f>IF(OpenLCAbasic!K11215="CTUh", "Fill in Manually",IF(OR(K11215="Unit", K11215=""), "", INDEX(LookUps!$E$5:$E$12, MATCH(OpenLCAbasic!K11215,LookUps!$D$5:$D$12,0))))</f>
        <v>Global Warming Potential (GWP) - kg CO2 eq</v>
      </c>
      <c r="M11215" s="154" t="str">
        <f t="shared" si="963"/>
        <v>High_Medium_High_Upgraded_Global Warming Potential (GWP) - kg CO2 eq_Aeration Tanks; wastewater treatment unit; at updated plant - US_Base_With Amendment_Aerated Static Pile</v>
      </c>
    </row>
    <row r="11216" spans="1:13" s="120" customFormat="1" x14ac:dyDescent="0.25">
      <c r="A11216" s="119"/>
      <c r="B11216" s="138" t="str">
        <f t="shared" si="965"/>
        <v>Aerated Static Pile</v>
      </c>
      <c r="C11216" s="138" t="str">
        <f t="shared" si="966"/>
        <v>Base_With Amendment</v>
      </c>
      <c r="D11216" s="138" t="str">
        <f t="shared" si="964"/>
        <v>Medium_High</v>
      </c>
      <c r="E11216" s="138" t="str">
        <f t="shared" si="962"/>
        <v>High</v>
      </c>
      <c r="F11216" s="138" t="str">
        <f t="shared" si="967"/>
        <v>Upgraded</v>
      </c>
      <c r="G11216" s="153"/>
      <c r="H11216" s="210">
        <v>0.17910000000000001</v>
      </c>
      <c r="I11216" s="160" t="s">
        <v>167</v>
      </c>
      <c r="J11216" s="160">
        <v>0.12354999999999999</v>
      </c>
      <c r="K11216" s="160" t="s">
        <v>23</v>
      </c>
      <c r="L11216" s="154" t="str">
        <f>IF(OpenLCAbasic!K11216="CTUh", "Fill in Manually",IF(OR(K11216="Unit", K11216=""), "", INDEX(LookUps!$E$5:$E$12, MATCH(OpenLCAbasic!K11216,LookUps!$D$5:$D$12,0))))</f>
        <v>Global Warming Potential (GWP) - kg CO2 eq</v>
      </c>
      <c r="M11216" s="154" t="str">
        <f t="shared" si="963"/>
        <v>High_Medium_High_Upgraded_Global Warming Potential (GWP) - kg CO2 eq_Waste Receiving and Holding; wastewater treatment unit; at updated plant - US_Base_With Amendment_Aerated Static Pile</v>
      </c>
    </row>
    <row r="11217" spans="1:13" s="120" customFormat="1" x14ac:dyDescent="0.25">
      <c r="A11217" s="119"/>
      <c r="B11217" s="138" t="str">
        <f t="shared" si="965"/>
        <v>Aerated Static Pile</v>
      </c>
      <c r="C11217" s="138" t="str">
        <f t="shared" si="966"/>
        <v>Base_With Amendment</v>
      </c>
      <c r="D11217" s="138" t="str">
        <f t="shared" si="964"/>
        <v>Medium_High</v>
      </c>
      <c r="E11217" s="138" t="str">
        <f t="shared" si="962"/>
        <v>High</v>
      </c>
      <c r="F11217" s="138" t="str">
        <f t="shared" si="967"/>
        <v>Upgraded</v>
      </c>
      <c r="G11217" s="153"/>
      <c r="H11217" s="210">
        <v>8.2699999999999996E-2</v>
      </c>
      <c r="I11217" s="160" t="s">
        <v>54</v>
      </c>
      <c r="J11217" s="160">
        <v>5.7079999999999999E-2</v>
      </c>
      <c r="K11217" s="160" t="s">
        <v>23</v>
      </c>
      <c r="L11217" s="154" t="str">
        <f>IF(OpenLCAbasic!K11217="CTUh", "Fill in Manually",IF(OR(K11217="Unit", K11217=""), "", INDEX(LookUps!$E$5:$E$12, MATCH(OpenLCAbasic!K11217,LookUps!$D$5:$D$12,0))))</f>
        <v>Global Warming Potential (GWP) - kg CO2 eq</v>
      </c>
      <c r="M11217" s="154" t="str">
        <f t="shared" si="963"/>
        <v>High_Medium_High_Upgraded_Global Warming Potential (GWP) - kg CO2 eq_Clear Cove Primary Clarification; wastewater treatment unit; at updated plant - US_Base_With Amendment_Aerated Static Pile</v>
      </c>
    </row>
    <row r="11218" spans="1:13" s="120" customFormat="1" x14ac:dyDescent="0.25">
      <c r="A11218" s="119"/>
      <c r="B11218" s="138" t="str">
        <f t="shared" si="965"/>
        <v>Aerated Static Pile</v>
      </c>
      <c r="C11218" s="138" t="str">
        <f t="shared" si="966"/>
        <v>Base_With Amendment</v>
      </c>
      <c r="D11218" s="138" t="str">
        <f t="shared" si="964"/>
        <v>Medium_High</v>
      </c>
      <c r="E11218" s="138" t="str">
        <f t="shared" si="962"/>
        <v>High</v>
      </c>
      <c r="F11218" s="138" t="str">
        <f t="shared" si="967"/>
        <v>Upgraded</v>
      </c>
      <c r="G11218" s="153"/>
      <c r="H11218" s="210">
        <v>7.6300000000000007E-2</v>
      </c>
      <c r="I11218" s="160" t="s">
        <v>48</v>
      </c>
      <c r="J11218" s="160">
        <v>5.2639999999999999E-2</v>
      </c>
      <c r="K11218" s="160" t="s">
        <v>23</v>
      </c>
      <c r="L11218" s="154" t="str">
        <f>IF(OpenLCAbasic!K11218="CTUh", "Fill in Manually",IF(OR(K11218="Unit", K11218=""), "", INDEX(LookUps!$E$5:$E$12, MATCH(OpenLCAbasic!K11218,LookUps!$D$5:$D$12,0))))</f>
        <v>Global Warming Potential (GWP) - kg CO2 eq</v>
      </c>
      <c r="M11218" s="154" t="str">
        <f t="shared" si="963"/>
        <v>High_Medium_High_Upgraded_Global Warming Potential (GWP) - kg CO2 eq_Effluent release; wastewater treatment unit; at surface water; m3 wastewater - US_Base_With Amendment_Aerated Static Pile</v>
      </c>
    </row>
    <row r="11219" spans="1:13" s="120" customFormat="1" x14ac:dyDescent="0.25">
      <c r="A11219" s="119"/>
      <c r="B11219" s="138" t="str">
        <f t="shared" si="965"/>
        <v>Aerated Static Pile</v>
      </c>
      <c r="C11219" s="138" t="str">
        <f t="shared" si="966"/>
        <v>Base_With Amendment</v>
      </c>
      <c r="D11219" s="138" t="str">
        <f t="shared" si="964"/>
        <v>Medium_High</v>
      </c>
      <c r="E11219" s="138" t="str">
        <f t="shared" si="962"/>
        <v>High</v>
      </c>
      <c r="F11219" s="138" t="str">
        <f t="shared" si="967"/>
        <v>Upgraded</v>
      </c>
      <c r="G11219" s="153"/>
      <c r="H11219" s="210">
        <v>7.3200000000000001E-2</v>
      </c>
      <c r="I11219" s="160" t="s">
        <v>147</v>
      </c>
      <c r="J11219" s="160">
        <v>5.0500000000000003E-2</v>
      </c>
      <c r="K11219" s="160" t="s">
        <v>23</v>
      </c>
      <c r="L11219" s="154" t="str">
        <f>IF(OpenLCAbasic!K11219="CTUh", "Fill in Manually",IF(OR(K11219="Unit", K11219=""), "", INDEX(LookUps!$E$5:$E$12, MATCH(OpenLCAbasic!K11219,LookUps!$D$5:$D$12,0))))</f>
        <v>Global Warming Potential (GWP) - kg CO2 eq</v>
      </c>
      <c r="M11219" s="154" t="str">
        <f t="shared" si="963"/>
        <v>High_Medium_High_Upgraded_Global Warming Potential (GWP) - kg CO2 eq_Influent Pump Station; wastewater treatment unit; at updated plant - US_Base_With Amendment_Aerated Static Pile</v>
      </c>
    </row>
    <row r="11220" spans="1:13" s="120" customFormat="1" x14ac:dyDescent="0.25">
      <c r="A11220" s="119"/>
      <c r="B11220" s="138" t="str">
        <f t="shared" si="965"/>
        <v>Aerated Static Pile</v>
      </c>
      <c r="C11220" s="138" t="str">
        <f t="shared" si="966"/>
        <v>Base_With Amendment</v>
      </c>
      <c r="D11220" s="138" t="str">
        <f t="shared" si="964"/>
        <v>Medium_High</v>
      </c>
      <c r="E11220" s="138" t="str">
        <f t="shared" si="962"/>
        <v>High</v>
      </c>
      <c r="F11220" s="138" t="str">
        <f t="shared" si="967"/>
        <v>Upgraded</v>
      </c>
      <c r="G11220" s="153"/>
      <c r="H11220" s="210">
        <v>4.82E-2</v>
      </c>
      <c r="I11220" s="160" t="s">
        <v>53</v>
      </c>
      <c r="J11220" s="160">
        <v>3.3259999999999998E-2</v>
      </c>
      <c r="K11220" s="160" t="s">
        <v>23</v>
      </c>
      <c r="L11220" s="154" t="str">
        <f>IF(OpenLCAbasic!K11220="CTUh", "Fill in Manually",IF(OR(K11220="Unit", K11220=""), "", INDEX(LookUps!$E$5:$E$12, MATCH(OpenLCAbasic!K11220,LookUps!$D$5:$D$12,0))))</f>
        <v>Global Warming Potential (GWP) - kg CO2 eq</v>
      </c>
      <c r="M11220" s="154" t="str">
        <f t="shared" si="963"/>
        <v>High_Medium_High_Upgraded_Global Warming Potential (GWP) - kg CO2 eq_Wet Well and Sump Station; wastewater treatment unit; at updated plant - US_Base_With Amendment_Aerated Static Pile</v>
      </c>
    </row>
    <row r="11221" spans="1:13" s="120" customFormat="1" x14ac:dyDescent="0.25">
      <c r="A11221" s="119"/>
      <c r="B11221" s="138" t="str">
        <f t="shared" si="965"/>
        <v>Aerated Static Pile</v>
      </c>
      <c r="C11221" s="138" t="str">
        <f t="shared" si="966"/>
        <v>Base_With Amendment</v>
      </c>
      <c r="D11221" s="138" t="str">
        <f t="shared" si="964"/>
        <v>Medium_High</v>
      </c>
      <c r="E11221" s="138" t="str">
        <f t="shared" si="962"/>
        <v>High</v>
      </c>
      <c r="F11221" s="138" t="str">
        <f t="shared" si="967"/>
        <v>Upgraded</v>
      </c>
      <c r="G11221" s="153"/>
      <c r="H11221" s="210">
        <v>2.4500000000000001E-2</v>
      </c>
      <c r="I11221" s="160" t="s">
        <v>60</v>
      </c>
      <c r="J11221" s="160">
        <v>1.6879999999999999E-2</v>
      </c>
      <c r="K11221" s="160" t="s">
        <v>23</v>
      </c>
      <c r="L11221" s="154" t="str">
        <f>IF(OpenLCAbasic!K11221="CTUh", "Fill in Manually",IF(OR(K11221="Unit", K11221=""), "", INDEX(LookUps!$E$5:$E$12, MATCH(OpenLCAbasic!K11221,LookUps!$D$5:$D$12,0))))</f>
        <v>Global Warming Potential (GWP) - kg CO2 eq</v>
      </c>
      <c r="M11221" s="154" t="str">
        <f t="shared" si="963"/>
        <v>High_Medium_High_Upgraded_Global Warming Potential (GWP) - kg CO2 eq_Belt filter press; wastewater treatment unit; at updated plant - US_Base_With Amendment_Aerated Static Pile</v>
      </c>
    </row>
    <row r="11222" spans="1:13" s="120" customFormat="1" x14ac:dyDescent="0.25">
      <c r="A11222" s="119"/>
      <c r="B11222" s="138" t="str">
        <f t="shared" si="965"/>
        <v>Aerated Static Pile</v>
      </c>
      <c r="C11222" s="138" t="str">
        <f t="shared" si="966"/>
        <v>Base_With Amendment</v>
      </c>
      <c r="D11222" s="138" t="str">
        <f t="shared" si="964"/>
        <v>Medium_High</v>
      </c>
      <c r="E11222" s="138" t="str">
        <f t="shared" si="962"/>
        <v>High</v>
      </c>
      <c r="F11222" s="138" t="str">
        <f t="shared" si="967"/>
        <v>Upgraded</v>
      </c>
      <c r="G11222" s="153"/>
      <c r="H11222" s="210">
        <v>2.1100000000000001E-2</v>
      </c>
      <c r="I11222" s="160" t="s">
        <v>57</v>
      </c>
      <c r="J11222" s="160">
        <v>1.455E-2</v>
      </c>
      <c r="K11222" s="160" t="s">
        <v>23</v>
      </c>
      <c r="L11222" s="154" t="str">
        <f>IF(OpenLCAbasic!K11222="CTUh", "Fill in Manually",IF(OR(K11222="Unit", K11222=""), "", INDEX(LookUps!$E$5:$E$12, MATCH(OpenLCAbasic!K11222,LookUps!$D$5:$D$12,0))))</f>
        <v>Global Warming Potential (GWP) - kg CO2 eq</v>
      </c>
      <c r="M11222" s="154" t="str">
        <f t="shared" si="963"/>
        <v>High_Medium_High_Upgraded_Global Warming Potential (GWP) - kg CO2 eq_Gravity Belt Thickener; wastewater treatment unit; at updated plant - US_Base_With Amendment_Aerated Static Pile</v>
      </c>
    </row>
    <row r="11223" spans="1:13" s="120" customFormat="1" x14ac:dyDescent="0.25">
      <c r="A11223" s="119"/>
      <c r="B11223" s="138" t="str">
        <f t="shared" si="965"/>
        <v>Aerated Static Pile</v>
      </c>
      <c r="C11223" s="138" t="str">
        <f t="shared" si="966"/>
        <v>Base_With Amendment</v>
      </c>
      <c r="D11223" s="138" t="str">
        <f t="shared" si="964"/>
        <v>Medium_High</v>
      </c>
      <c r="E11223" s="138" t="str">
        <f t="shared" si="962"/>
        <v>High</v>
      </c>
      <c r="F11223" s="138" t="str">
        <f t="shared" si="967"/>
        <v>Upgraded</v>
      </c>
      <c r="G11223" s="153"/>
      <c r="H11223" s="210">
        <v>1.9599999999999999E-2</v>
      </c>
      <c r="I11223" s="160" t="s">
        <v>128</v>
      </c>
      <c r="J11223" s="160">
        <v>1.3509999999999999E-2</v>
      </c>
      <c r="K11223" s="160" t="s">
        <v>23</v>
      </c>
      <c r="L11223" s="154" t="str">
        <f>IF(OpenLCAbasic!K11223="CTUh", "Fill in Manually",IF(OR(K11223="Unit", K11223=""), "", INDEX(LookUps!$E$5:$E$12, MATCH(OpenLCAbasic!K11223,LookUps!$D$5:$D$12,0))))</f>
        <v>Global Warming Potential (GWP) - kg CO2 eq</v>
      </c>
      <c r="M11223" s="154" t="str">
        <f t="shared" si="963"/>
        <v>High_Medium_High_Upgraded_Global Warming Potential (GWP) - kg CO2 eq_Wastewater collection; operation and infrastructure; m3 wastewater_Base_With Amendment_Aerated Static Pile</v>
      </c>
    </row>
    <row r="11224" spans="1:13" s="120" customFormat="1" x14ac:dyDescent="0.25">
      <c r="A11224" s="119"/>
      <c r="B11224" s="138" t="str">
        <f t="shared" si="965"/>
        <v>Aerated Static Pile</v>
      </c>
      <c r="C11224" s="138" t="str">
        <f t="shared" si="966"/>
        <v>Base_With Amendment</v>
      </c>
      <c r="D11224" s="138" t="str">
        <f t="shared" si="964"/>
        <v>Medium_High</v>
      </c>
      <c r="E11224" s="138" t="str">
        <f t="shared" si="962"/>
        <v>High</v>
      </c>
      <c r="F11224" s="138" t="str">
        <f t="shared" si="967"/>
        <v>Upgraded</v>
      </c>
      <c r="G11224" s="153"/>
      <c r="H11224" s="210">
        <v>1.2E-2</v>
      </c>
      <c r="I11224" s="160" t="s">
        <v>148</v>
      </c>
      <c r="J11224" s="160">
        <v>8.3000000000000001E-3</v>
      </c>
      <c r="K11224" s="160" t="s">
        <v>23</v>
      </c>
      <c r="L11224" s="154" t="str">
        <f>IF(OpenLCAbasic!K11224="CTUh", "Fill in Manually",IF(OR(K11224="Unit", K11224=""), "", INDEX(LookUps!$E$5:$E$12, MATCH(OpenLCAbasic!K11224,LookUps!$D$5:$D$12,0))))</f>
        <v>Global Warming Potential (GWP) - kg CO2 eq</v>
      </c>
      <c r="M11224" s="154" t="str">
        <f t="shared" si="963"/>
        <v>High_Medium_High_Upgraded_Global Warming Potential (GWP) - kg CO2 eq_Control Building; at upgraded wastewater treatment plant - US_Base_With Amendment_Aerated Static Pile</v>
      </c>
    </row>
    <row r="11225" spans="1:13" s="120" customFormat="1" x14ac:dyDescent="0.25">
      <c r="A11225" s="119"/>
      <c r="B11225" s="138" t="str">
        <f t="shared" si="965"/>
        <v>Aerated Static Pile</v>
      </c>
      <c r="C11225" s="138" t="str">
        <f t="shared" si="966"/>
        <v>Base_With Amendment</v>
      </c>
      <c r="D11225" s="138" t="str">
        <f t="shared" si="964"/>
        <v>Medium_High</v>
      </c>
      <c r="E11225" s="138" t="str">
        <f t="shared" si="962"/>
        <v>High</v>
      </c>
      <c r="F11225" s="138" t="str">
        <f t="shared" si="967"/>
        <v>Upgraded</v>
      </c>
      <c r="G11225" s="153"/>
      <c r="H11225" s="210">
        <v>7.3000000000000001E-3</v>
      </c>
      <c r="I11225" s="160" t="s">
        <v>59</v>
      </c>
      <c r="J11225" s="160">
        <v>5.0400000000000002E-3</v>
      </c>
      <c r="K11225" s="160" t="s">
        <v>23</v>
      </c>
      <c r="L11225" s="154" t="str">
        <f>IF(OpenLCAbasic!K11225="CTUh", "Fill in Manually",IF(OR(K11225="Unit", K11225=""), "", INDEX(LookUps!$E$5:$E$12, MATCH(OpenLCAbasic!K11225,LookUps!$D$5:$D$12,0))))</f>
        <v>Global Warming Potential (GWP) - kg CO2 eq</v>
      </c>
      <c r="M11225" s="154" t="str">
        <f t="shared" si="963"/>
        <v>High_Medium_High_Upgraded_Global Warming Potential (GWP) - kg CO2 eq_Blend Tank; wastewater treatment unit; at updated plant - US_Base_With Amendment_Aerated Static Pile</v>
      </c>
    </row>
    <row r="11226" spans="1:13" s="120" customFormat="1" x14ac:dyDescent="0.25">
      <c r="A11226" s="119"/>
      <c r="B11226" s="138" t="str">
        <f t="shared" si="965"/>
        <v>Aerated Static Pile</v>
      </c>
      <c r="C11226" s="138" t="str">
        <f t="shared" si="966"/>
        <v>Base_With Amendment</v>
      </c>
      <c r="D11226" s="138" t="str">
        <f t="shared" si="964"/>
        <v>Medium_High</v>
      </c>
      <c r="E11226" s="138" t="str">
        <f t="shared" si="962"/>
        <v>High</v>
      </c>
      <c r="F11226" s="138" t="str">
        <f t="shared" si="967"/>
        <v>Upgraded</v>
      </c>
      <c r="G11226" s="153"/>
      <c r="H11226" s="210">
        <v>3.5000000000000001E-3</v>
      </c>
      <c r="I11226" s="160" t="s">
        <v>168</v>
      </c>
      <c r="J11226" s="160">
        <v>2.4099999999999998E-3</v>
      </c>
      <c r="K11226" s="160" t="s">
        <v>23</v>
      </c>
      <c r="L11226" s="154" t="str">
        <f>IF(OpenLCAbasic!K11226="CTUh", "Fill in Manually",IF(OR(K11226="Unit", K11226=""), "", INDEX(LookUps!$E$5:$E$12, MATCH(OpenLCAbasic!K11226,LookUps!$D$5:$D$12,0))))</f>
        <v>Global Warming Potential (GWP) - kg CO2 eq</v>
      </c>
      <c r="M11226" s="154" t="str">
        <f t="shared" si="963"/>
        <v>High_Medium_High_Upgraded_Global Warming Potential (GWP) - kg CO2 eq_ClearCove SCP; wastewater treatment unit; at updated plant - US_Base_With Amendment_Aerated Static Pile</v>
      </c>
    </row>
    <row r="11227" spans="1:13" s="120" customFormat="1" x14ac:dyDescent="0.25">
      <c r="A11227" s="119"/>
      <c r="B11227" s="138" t="str">
        <f t="shared" si="965"/>
        <v>Aerated Static Pile</v>
      </c>
      <c r="C11227" s="138" t="str">
        <f t="shared" si="966"/>
        <v>Base_With Amendment</v>
      </c>
      <c r="D11227" s="138" t="str">
        <f t="shared" si="964"/>
        <v>Medium_High</v>
      </c>
      <c r="E11227" s="138" t="str">
        <f t="shared" si="962"/>
        <v>High</v>
      </c>
      <c r="F11227" s="138" t="str">
        <f t="shared" si="967"/>
        <v>Upgraded</v>
      </c>
      <c r="G11227" s="153"/>
      <c r="H11227" s="210">
        <v>-0.87109999999999999</v>
      </c>
      <c r="I11227" s="160" t="s">
        <v>149</v>
      </c>
      <c r="J11227" s="160">
        <v>-0.60107999999999995</v>
      </c>
      <c r="K11227" s="160" t="s">
        <v>23</v>
      </c>
      <c r="L11227" s="154" t="str">
        <f>IF(OpenLCAbasic!K11227="CTUh", "Fill in Manually",IF(OR(K11227="Unit", K11227=""), "", INDEX(LookUps!$E$5:$E$12, MATCH(OpenLCAbasic!K11227,LookUps!$D$5:$D$12,0))))</f>
        <v>Global Warming Potential (GWP) - kg CO2 eq</v>
      </c>
      <c r="M11227" s="154" t="str">
        <f t="shared" si="963"/>
        <v>High_Medium_High_Upgraded_Global Warming Potential (GWP) - kg CO2 eq_Anaerobic Digestion; wastewater treatment unit; at updated plant - US_Base_With Amendment_Aerated Static Pile</v>
      </c>
    </row>
    <row r="11228" spans="1:13" s="120" customFormat="1" x14ac:dyDescent="0.25">
      <c r="A11228" s="119"/>
      <c r="B11228" s="138" t="str">
        <f t="shared" si="965"/>
        <v>Aerated Static Pile</v>
      </c>
      <c r="C11228" s="138" t="str">
        <f t="shared" si="966"/>
        <v>Base_With Amendment</v>
      </c>
      <c r="D11228" s="138" t="str">
        <f t="shared" si="964"/>
        <v>Medium_High</v>
      </c>
      <c r="E11228" s="138" t="str">
        <f t="shared" si="962"/>
        <v>High</v>
      </c>
      <c r="F11228" s="138" t="str">
        <f t="shared" si="967"/>
        <v>Upgraded</v>
      </c>
      <c r="G11228" s="153"/>
      <c r="H11228" s="210">
        <v>-0.90910000000000002</v>
      </c>
      <c r="I11228" s="160" t="s">
        <v>62</v>
      </c>
      <c r="J11228" s="160">
        <v>-0.62729999999999997</v>
      </c>
      <c r="K11228" s="160" t="s">
        <v>23</v>
      </c>
      <c r="L11228" s="154" t="str">
        <f>IF(OpenLCAbasic!K11228="CTUh", "Fill in Manually",IF(OR(K11228="Unit", K11228=""), "", INDEX(LookUps!$E$5:$E$12, MATCH(OpenLCAbasic!K11228,LookUps!$D$5:$D$12,0))))</f>
        <v>Global Warming Potential (GWP) - kg CO2 eq</v>
      </c>
      <c r="M11228" s="154" t="str">
        <f t="shared" si="963"/>
        <v>High_Medium_High_Upgraded_Global Warming Potential (GWP) - kg CO2 eq_Land application of compost; wastewater treatment unit; at updated plant - US_Base_With Amendment_Aerated Static Pile</v>
      </c>
    </row>
    <row r="11229" spans="1:13" s="120" customFormat="1" x14ac:dyDescent="0.25">
      <c r="A11229" s="119"/>
      <c r="B11229" s="138" t="str">
        <f t="shared" si="965"/>
        <v/>
      </c>
      <c r="C11229" s="138" t="str">
        <f t="shared" si="966"/>
        <v/>
      </c>
      <c r="D11229" s="138" t="str">
        <f t="shared" si="964"/>
        <v/>
      </c>
      <c r="E11229" s="138" t="str">
        <f t="shared" si="962"/>
        <v/>
      </c>
      <c r="F11229" s="138" t="str">
        <f t="shared" si="967"/>
        <v/>
      </c>
      <c r="G11229" s="153" t="s">
        <v>51</v>
      </c>
      <c r="H11229" s="160"/>
      <c r="I11229" s="160" t="s">
        <v>47</v>
      </c>
      <c r="J11229" s="160" t="s">
        <v>52</v>
      </c>
      <c r="K11229" s="160" t="s">
        <v>27</v>
      </c>
      <c r="L11229" s="154" t="str">
        <f>IF(OpenLCAbasic!K11229="CTUh", "Fill in Manually",IF(OR(K11229="Unit", K11229=""), "", INDEX(LookUps!$E$5:$E$12, MATCH(OpenLCAbasic!K11229,LookUps!$D$5:$D$12,0))))</f>
        <v/>
      </c>
      <c r="M11229" s="154" t="str">
        <f t="shared" si="963"/>
        <v>____Process__</v>
      </c>
    </row>
    <row r="11230" spans="1:13" s="120" customFormat="1" x14ac:dyDescent="0.25">
      <c r="A11230" s="119"/>
      <c r="B11230" s="138" t="str">
        <f t="shared" si="965"/>
        <v>Aerated Static Pile</v>
      </c>
      <c r="C11230" s="138" t="str">
        <f t="shared" si="966"/>
        <v>Base_With Amendment</v>
      </c>
      <c r="D11230" s="138" t="str">
        <f t="shared" si="964"/>
        <v>Medium_High</v>
      </c>
      <c r="E11230" s="138" t="str">
        <f t="shared" si="962"/>
        <v>High</v>
      </c>
      <c r="F11230" s="138" t="str">
        <f t="shared" si="967"/>
        <v>Upgraded</v>
      </c>
      <c r="G11230" s="153"/>
      <c r="H11230" s="210">
        <v>1.6265000000000001</v>
      </c>
      <c r="I11230" s="160" t="s">
        <v>55</v>
      </c>
      <c r="J11230" s="160">
        <v>2.33E-3</v>
      </c>
      <c r="K11230" s="160" t="s">
        <v>145</v>
      </c>
      <c r="L11230" s="154" t="str">
        <f>IF(OpenLCAbasic!K11230="CTUh", "Fill in Manually",IF(OR(K11230="Unit", K11230=""), "", INDEX(LookUps!$E$5:$E$12, MATCH(OpenLCAbasic!K11230,LookUps!$D$5:$D$12,0))))</f>
        <v>Particulate Matter Formation Potential (PMFP) - kg PM2.5 eq</v>
      </c>
      <c r="M11230" s="154" t="str">
        <f t="shared" si="963"/>
        <v>High_Medium_High_Upgraded_Particulate Matter Formation Potential (PMFP) - kg PM2.5 eq_Aeration Tanks; wastewater treatment unit; at updated plant - US_Base_With Amendment_Aerated Static Pile</v>
      </c>
    </row>
    <row r="11231" spans="1:13" s="120" customFormat="1" x14ac:dyDescent="0.25">
      <c r="A11231" s="119"/>
      <c r="B11231" s="138" t="str">
        <f t="shared" si="965"/>
        <v>Aerated Static Pile</v>
      </c>
      <c r="C11231" s="138" t="str">
        <f t="shared" si="966"/>
        <v>Base_With Amendment</v>
      </c>
      <c r="D11231" s="138" t="str">
        <f t="shared" si="964"/>
        <v>Medium_High</v>
      </c>
      <c r="E11231" s="138" t="str">
        <f t="shared" si="962"/>
        <v>High</v>
      </c>
      <c r="F11231" s="138" t="str">
        <f t="shared" si="967"/>
        <v>Upgraded</v>
      </c>
      <c r="G11231" s="153"/>
      <c r="H11231" s="210">
        <v>0.79310000000000003</v>
      </c>
      <c r="I11231" s="160" t="s">
        <v>435</v>
      </c>
      <c r="J11231" s="160">
        <v>1.14E-3</v>
      </c>
      <c r="K11231" s="160" t="s">
        <v>145</v>
      </c>
      <c r="L11231" s="154" t="str">
        <f>IF(OpenLCAbasic!K11231="CTUh", "Fill in Manually",IF(OR(K11231="Unit", K11231=""), "", INDEX(LookUps!$E$5:$E$12, MATCH(OpenLCAbasic!K11231,LookUps!$D$5:$D$12,0))))</f>
        <v>Particulate Matter Formation Potential (PMFP) - kg PM2.5 eq</v>
      </c>
      <c r="M11231" s="154" t="str">
        <f t="shared" si="963"/>
        <v>High_Medium_High_Upgraded_Particulate Matter Formation Potential (PMFP) - kg PM2.5 eq_Biosolids composting; aerated static pile; wastewater treatment unit; at updated plant - US_Base_With Amendment_Aerated Static Pile</v>
      </c>
    </row>
    <row r="11232" spans="1:13" s="120" customFormat="1" x14ac:dyDescent="0.25">
      <c r="A11232" s="119"/>
      <c r="B11232" s="138" t="str">
        <f t="shared" si="965"/>
        <v>Aerated Static Pile</v>
      </c>
      <c r="C11232" s="138" t="str">
        <f t="shared" si="966"/>
        <v>Base_With Amendment</v>
      </c>
      <c r="D11232" s="138" t="str">
        <f t="shared" si="964"/>
        <v>Medium_High</v>
      </c>
      <c r="E11232" s="138" t="str">
        <f t="shared" si="962"/>
        <v>High</v>
      </c>
      <c r="F11232" s="138" t="str">
        <f t="shared" si="967"/>
        <v>Upgraded</v>
      </c>
      <c r="G11232" s="153"/>
      <c r="H11232" s="210">
        <v>0.4733</v>
      </c>
      <c r="I11232" s="160" t="s">
        <v>54</v>
      </c>
      <c r="J11232" s="160">
        <v>6.8000000000000005E-4</v>
      </c>
      <c r="K11232" s="160" t="s">
        <v>145</v>
      </c>
      <c r="L11232" s="154" t="str">
        <f>IF(OpenLCAbasic!K11232="CTUh", "Fill in Manually",IF(OR(K11232="Unit", K11232=""), "", INDEX(LookUps!$E$5:$E$12, MATCH(OpenLCAbasic!K11232,LookUps!$D$5:$D$12,0))))</f>
        <v>Particulate Matter Formation Potential (PMFP) - kg PM2.5 eq</v>
      </c>
      <c r="M11232" s="154" t="str">
        <f t="shared" si="963"/>
        <v>High_Medium_High_Upgraded_Particulate Matter Formation Potential (PMFP) - kg PM2.5 eq_Clear Cove Primary Clarification; wastewater treatment unit; at updated plant - US_Base_With Amendment_Aerated Static Pile</v>
      </c>
    </row>
    <row r="11233" spans="1:13" s="120" customFormat="1" x14ac:dyDescent="0.25">
      <c r="A11233" s="119"/>
      <c r="B11233" s="138" t="str">
        <f t="shared" si="965"/>
        <v>Aerated Static Pile</v>
      </c>
      <c r="C11233" s="138" t="str">
        <f t="shared" si="966"/>
        <v>Base_With Amendment</v>
      </c>
      <c r="D11233" s="138" t="str">
        <f t="shared" si="964"/>
        <v>Medium_High</v>
      </c>
      <c r="E11233" s="138" t="str">
        <f t="shared" si="962"/>
        <v>High</v>
      </c>
      <c r="F11233" s="138" t="str">
        <f t="shared" si="967"/>
        <v>Upgraded</v>
      </c>
      <c r="G11233" s="153"/>
      <c r="H11233" s="210">
        <v>0.4103</v>
      </c>
      <c r="I11233" s="160" t="s">
        <v>58</v>
      </c>
      <c r="J11233" s="160">
        <v>5.9000000000000003E-4</v>
      </c>
      <c r="K11233" s="160" t="s">
        <v>145</v>
      </c>
      <c r="L11233" s="154" t="str">
        <f>IF(OpenLCAbasic!K11233="CTUh", "Fill in Manually",IF(OR(K11233="Unit", K11233=""), "", INDEX(LookUps!$E$5:$E$12, MATCH(OpenLCAbasic!K11233,LookUps!$D$5:$D$12,0))))</f>
        <v>Particulate Matter Formation Potential (PMFP) - kg PM2.5 eq</v>
      </c>
      <c r="M11233" s="154" t="str">
        <f t="shared" si="963"/>
        <v>High_Medium_High_Upgraded_Particulate Matter Formation Potential (PMFP) - kg PM2.5 eq_Pre-Anoxic &amp; Swing tank; wastewater treatment unit; at updated plant - US_Base_With Amendment_Aerated Static Pile</v>
      </c>
    </row>
    <row r="11234" spans="1:13" s="120" customFormat="1" x14ac:dyDescent="0.25">
      <c r="A11234" s="119"/>
      <c r="B11234" s="138" t="str">
        <f t="shared" si="965"/>
        <v>Aerated Static Pile</v>
      </c>
      <c r="C11234" s="138" t="str">
        <f t="shared" si="966"/>
        <v>Base_With Amendment</v>
      </c>
      <c r="D11234" s="138" t="str">
        <f t="shared" si="964"/>
        <v>Medium_High</v>
      </c>
      <c r="E11234" s="138" t="str">
        <f t="shared" si="962"/>
        <v>High</v>
      </c>
      <c r="F11234" s="138" t="str">
        <f t="shared" si="967"/>
        <v>Upgraded</v>
      </c>
      <c r="G11234" s="153"/>
      <c r="H11234" s="210">
        <v>0.32519999999999999</v>
      </c>
      <c r="I11234" s="160" t="s">
        <v>53</v>
      </c>
      <c r="J11234" s="160">
        <v>4.6999999999999999E-4</v>
      </c>
      <c r="K11234" s="160" t="s">
        <v>145</v>
      </c>
      <c r="L11234" s="154" t="str">
        <f>IF(OpenLCAbasic!K11234="CTUh", "Fill in Manually",IF(OR(K11234="Unit", K11234=""), "", INDEX(LookUps!$E$5:$E$12, MATCH(OpenLCAbasic!K11234,LookUps!$D$5:$D$12,0))))</f>
        <v>Particulate Matter Formation Potential (PMFP) - kg PM2.5 eq</v>
      </c>
      <c r="M11234" s="154" t="str">
        <f t="shared" si="963"/>
        <v>High_Medium_High_Upgraded_Particulate Matter Formation Potential (PMFP) - kg PM2.5 eq_Wet Well and Sump Station; wastewater treatment unit; at updated plant - US_Base_With Amendment_Aerated Static Pile</v>
      </c>
    </row>
    <row r="11235" spans="1:13" s="120" customFormat="1" x14ac:dyDescent="0.25">
      <c r="A11235" s="119"/>
      <c r="B11235" s="138" t="str">
        <f t="shared" si="965"/>
        <v>Aerated Static Pile</v>
      </c>
      <c r="C11235" s="138" t="str">
        <f t="shared" si="966"/>
        <v>Base_With Amendment</v>
      </c>
      <c r="D11235" s="138" t="str">
        <f t="shared" si="964"/>
        <v>Medium_High</v>
      </c>
      <c r="E11235" s="138" t="str">
        <f t="shared" si="962"/>
        <v>High</v>
      </c>
      <c r="F11235" s="138" t="str">
        <f t="shared" si="967"/>
        <v>Upgraded</v>
      </c>
      <c r="G11235" s="153"/>
      <c r="H11235" s="210">
        <v>0.21929999999999999</v>
      </c>
      <c r="I11235" s="160" t="s">
        <v>167</v>
      </c>
      <c r="J11235" s="160">
        <v>3.1E-4</v>
      </c>
      <c r="K11235" s="160" t="s">
        <v>145</v>
      </c>
      <c r="L11235" s="154" t="str">
        <f>IF(OpenLCAbasic!K11235="CTUh", "Fill in Manually",IF(OR(K11235="Unit", K11235=""), "", INDEX(LookUps!$E$5:$E$12, MATCH(OpenLCAbasic!K11235,LookUps!$D$5:$D$12,0))))</f>
        <v>Particulate Matter Formation Potential (PMFP) - kg PM2.5 eq</v>
      </c>
      <c r="M11235" s="154" t="str">
        <f t="shared" si="963"/>
        <v>High_Medium_High_Upgraded_Particulate Matter Formation Potential (PMFP) - kg PM2.5 eq_Waste Receiving and Holding; wastewater treatment unit; at updated plant - US_Base_With Amendment_Aerated Static Pile</v>
      </c>
    </row>
    <row r="11236" spans="1:13" s="120" customFormat="1" x14ac:dyDescent="0.25">
      <c r="A11236" s="119"/>
      <c r="B11236" s="138" t="str">
        <f t="shared" si="965"/>
        <v>Aerated Static Pile</v>
      </c>
      <c r="C11236" s="138" t="str">
        <f t="shared" si="966"/>
        <v>Base_With Amendment</v>
      </c>
      <c r="D11236" s="138" t="str">
        <f t="shared" si="964"/>
        <v>Medium_High</v>
      </c>
      <c r="E11236" s="138" t="str">
        <f t="shared" si="962"/>
        <v>High</v>
      </c>
      <c r="F11236" s="138" t="str">
        <f t="shared" si="967"/>
        <v>Upgraded</v>
      </c>
      <c r="G11236" s="153"/>
      <c r="H11236" s="210">
        <v>0.18590000000000001</v>
      </c>
      <c r="I11236" s="160" t="s">
        <v>147</v>
      </c>
      <c r="J11236" s="160">
        <v>2.7E-4</v>
      </c>
      <c r="K11236" s="160" t="s">
        <v>145</v>
      </c>
      <c r="L11236" s="154" t="str">
        <f>IF(OpenLCAbasic!K11236="CTUh", "Fill in Manually",IF(OR(K11236="Unit", K11236=""), "", INDEX(LookUps!$E$5:$E$12, MATCH(OpenLCAbasic!K11236,LookUps!$D$5:$D$12,0))))</f>
        <v>Particulate Matter Formation Potential (PMFP) - kg PM2.5 eq</v>
      </c>
      <c r="M11236" s="154" t="str">
        <f t="shared" si="963"/>
        <v>High_Medium_High_Upgraded_Particulate Matter Formation Potential (PMFP) - kg PM2.5 eq_Influent Pump Station; wastewater treatment unit; at updated plant - US_Base_With Amendment_Aerated Static Pile</v>
      </c>
    </row>
    <row r="11237" spans="1:13" s="120" customFormat="1" x14ac:dyDescent="0.25">
      <c r="A11237" s="119"/>
      <c r="B11237" s="138" t="str">
        <f t="shared" si="965"/>
        <v>Aerated Static Pile</v>
      </c>
      <c r="C11237" s="138" t="str">
        <f t="shared" si="966"/>
        <v>Base_With Amendment</v>
      </c>
      <c r="D11237" s="138" t="str">
        <f t="shared" si="964"/>
        <v>Medium_High</v>
      </c>
      <c r="E11237" s="138" t="str">
        <f t="shared" si="962"/>
        <v>High</v>
      </c>
      <c r="F11237" s="138" t="str">
        <f t="shared" si="967"/>
        <v>Upgraded</v>
      </c>
      <c r="G11237" s="153"/>
      <c r="H11237" s="210">
        <v>0.11600000000000001</v>
      </c>
      <c r="I11237" s="160" t="s">
        <v>128</v>
      </c>
      <c r="J11237" s="160">
        <v>1.7000000000000001E-4</v>
      </c>
      <c r="K11237" s="160" t="s">
        <v>145</v>
      </c>
      <c r="L11237" s="154" t="str">
        <f>IF(OpenLCAbasic!K11237="CTUh", "Fill in Manually",IF(OR(K11237="Unit", K11237=""), "", INDEX(LookUps!$E$5:$E$12, MATCH(OpenLCAbasic!K11237,LookUps!$D$5:$D$12,0))))</f>
        <v>Particulate Matter Formation Potential (PMFP) - kg PM2.5 eq</v>
      </c>
      <c r="M11237" s="154" t="str">
        <f t="shared" si="963"/>
        <v>High_Medium_High_Upgraded_Particulate Matter Formation Potential (PMFP) - kg PM2.5 eq_Wastewater collection; operation and infrastructure; m3 wastewater_Base_With Amendment_Aerated Static Pile</v>
      </c>
    </row>
    <row r="11238" spans="1:13" s="120" customFormat="1" x14ac:dyDescent="0.25">
      <c r="A11238" s="119"/>
      <c r="B11238" s="138" t="str">
        <f t="shared" si="965"/>
        <v>Aerated Static Pile</v>
      </c>
      <c r="C11238" s="138" t="str">
        <f t="shared" si="966"/>
        <v>Base_With Amendment</v>
      </c>
      <c r="D11238" s="138" t="str">
        <f t="shared" si="964"/>
        <v>Medium_High</v>
      </c>
      <c r="E11238" s="138" t="str">
        <f t="shared" si="962"/>
        <v>High</v>
      </c>
      <c r="F11238" s="138" t="str">
        <f t="shared" si="967"/>
        <v>Upgraded</v>
      </c>
      <c r="G11238" s="153"/>
      <c r="H11238" s="210">
        <v>9.6199999999999994E-2</v>
      </c>
      <c r="I11238" s="160" t="s">
        <v>60</v>
      </c>
      <c r="J11238" s="160">
        <v>1.3999999999999999E-4</v>
      </c>
      <c r="K11238" s="160" t="s">
        <v>145</v>
      </c>
      <c r="L11238" s="154" t="str">
        <f>IF(OpenLCAbasic!K11238="CTUh", "Fill in Manually",IF(OR(K11238="Unit", K11238=""), "", INDEX(LookUps!$E$5:$E$12, MATCH(OpenLCAbasic!K11238,LookUps!$D$5:$D$12,0))))</f>
        <v>Particulate Matter Formation Potential (PMFP) - kg PM2.5 eq</v>
      </c>
      <c r="M11238" s="154" t="str">
        <f t="shared" si="963"/>
        <v>High_Medium_High_Upgraded_Particulate Matter Formation Potential (PMFP) - kg PM2.5 eq_Belt filter press; wastewater treatment unit; at updated plant - US_Base_With Amendment_Aerated Static Pile</v>
      </c>
    </row>
    <row r="11239" spans="1:13" s="120" customFormat="1" x14ac:dyDescent="0.25">
      <c r="A11239" s="119"/>
      <c r="B11239" s="138" t="str">
        <f t="shared" si="965"/>
        <v>Aerated Static Pile</v>
      </c>
      <c r="C11239" s="138" t="str">
        <f t="shared" si="966"/>
        <v>Base_With Amendment</v>
      </c>
      <c r="D11239" s="138" t="str">
        <f t="shared" si="964"/>
        <v>Medium_High</v>
      </c>
      <c r="E11239" s="138" t="str">
        <f t="shared" si="962"/>
        <v>High</v>
      </c>
      <c r="F11239" s="138" t="str">
        <f t="shared" si="967"/>
        <v>Upgraded</v>
      </c>
      <c r="G11239" s="153"/>
      <c r="H11239" s="210">
        <v>6.6299999999999998E-2</v>
      </c>
      <c r="I11239" s="160" t="s">
        <v>57</v>
      </c>
      <c r="J11239" s="211">
        <v>9.5153800000000004E-5</v>
      </c>
      <c r="K11239" s="160" t="s">
        <v>145</v>
      </c>
      <c r="L11239" s="154" t="str">
        <f>IF(OpenLCAbasic!K11239="CTUh", "Fill in Manually",IF(OR(K11239="Unit", K11239=""), "", INDEX(LookUps!$E$5:$E$12, MATCH(OpenLCAbasic!K11239,LookUps!$D$5:$D$12,0))))</f>
        <v>Particulate Matter Formation Potential (PMFP) - kg PM2.5 eq</v>
      </c>
      <c r="M11239" s="154" t="str">
        <f t="shared" si="963"/>
        <v>High_Medium_High_Upgraded_Particulate Matter Formation Potential (PMFP) - kg PM2.5 eq_Gravity Belt Thickener; wastewater treatment unit; at updated plant - US_Base_With Amendment_Aerated Static Pile</v>
      </c>
    </row>
    <row r="11240" spans="1:13" s="120" customFormat="1" x14ac:dyDescent="0.25">
      <c r="A11240" s="119"/>
      <c r="B11240" s="138" t="str">
        <f t="shared" si="965"/>
        <v>Aerated Static Pile</v>
      </c>
      <c r="C11240" s="138" t="str">
        <f t="shared" si="966"/>
        <v>Base_With Amendment</v>
      </c>
      <c r="D11240" s="138" t="str">
        <f t="shared" si="964"/>
        <v>Medium_High</v>
      </c>
      <c r="E11240" s="138" t="str">
        <f t="shared" si="962"/>
        <v>High</v>
      </c>
      <c r="F11240" s="138" t="str">
        <f t="shared" si="967"/>
        <v>Upgraded</v>
      </c>
      <c r="G11240" s="153"/>
      <c r="H11240" s="210">
        <v>4.87E-2</v>
      </c>
      <c r="I11240" s="160" t="s">
        <v>59</v>
      </c>
      <c r="J11240" s="211">
        <v>6.9942200000000003E-5</v>
      </c>
      <c r="K11240" s="160" t="s">
        <v>145</v>
      </c>
      <c r="L11240" s="154" t="str">
        <f>IF(OpenLCAbasic!K11240="CTUh", "Fill in Manually",IF(OR(K11240="Unit", K11240=""), "", INDEX(LookUps!$E$5:$E$12, MATCH(OpenLCAbasic!K11240,LookUps!$D$5:$D$12,0))))</f>
        <v>Particulate Matter Formation Potential (PMFP) - kg PM2.5 eq</v>
      </c>
      <c r="M11240" s="154" t="str">
        <f t="shared" si="963"/>
        <v>High_Medium_High_Upgraded_Particulate Matter Formation Potential (PMFP) - kg PM2.5 eq_Blend Tank; wastewater treatment unit; at updated plant - US_Base_With Amendment_Aerated Static Pile</v>
      </c>
    </row>
    <row r="11241" spans="1:13" s="120" customFormat="1" x14ac:dyDescent="0.25">
      <c r="A11241" s="119"/>
      <c r="B11241" s="138" t="str">
        <f t="shared" si="965"/>
        <v>Aerated Static Pile</v>
      </c>
      <c r="C11241" s="138" t="str">
        <f t="shared" si="966"/>
        <v>Base_With Amendment</v>
      </c>
      <c r="D11241" s="138" t="str">
        <f t="shared" si="964"/>
        <v>Medium_High</v>
      </c>
      <c r="E11241" s="138" t="str">
        <f t="shared" ref="E11241:E11304" si="968">IF(ISNUMBER($J11241),"High","")</f>
        <v>High</v>
      </c>
      <c r="F11241" s="138" t="str">
        <f t="shared" si="967"/>
        <v>Upgraded</v>
      </c>
      <c r="G11241" s="153"/>
      <c r="H11241" s="210">
        <v>3.4799999999999998E-2</v>
      </c>
      <c r="I11241" s="160" t="s">
        <v>48</v>
      </c>
      <c r="J11241" s="211">
        <v>4.99741E-5</v>
      </c>
      <c r="K11241" s="160" t="s">
        <v>145</v>
      </c>
      <c r="L11241" s="154" t="str">
        <f>IF(OpenLCAbasic!K11241="CTUh", "Fill in Manually",IF(OR(K11241="Unit", K11241=""), "", INDEX(LookUps!$E$5:$E$12, MATCH(OpenLCAbasic!K11241,LookUps!$D$5:$D$12,0))))</f>
        <v>Particulate Matter Formation Potential (PMFP) - kg PM2.5 eq</v>
      </c>
      <c r="M11241" s="154" t="str">
        <f t="shared" si="963"/>
        <v>High_Medium_High_Upgraded_Particulate Matter Formation Potential (PMFP) - kg PM2.5 eq_Effluent release; wastewater treatment unit; at surface water; m3 wastewater - US_Base_With Amendment_Aerated Static Pile</v>
      </c>
    </row>
    <row r="11242" spans="1:13" s="120" customFormat="1" x14ac:dyDescent="0.25">
      <c r="A11242" s="119"/>
      <c r="B11242" s="138" t="str">
        <f t="shared" si="965"/>
        <v>Aerated Static Pile</v>
      </c>
      <c r="C11242" s="138" t="str">
        <f t="shared" si="966"/>
        <v>Base_With Amendment</v>
      </c>
      <c r="D11242" s="138" t="str">
        <f t="shared" si="964"/>
        <v>Medium_High</v>
      </c>
      <c r="E11242" s="138" t="str">
        <f t="shared" si="968"/>
        <v>High</v>
      </c>
      <c r="F11242" s="138" t="str">
        <f t="shared" si="967"/>
        <v>Upgraded</v>
      </c>
      <c r="G11242" s="153"/>
      <c r="H11242" s="210">
        <v>3.1600000000000003E-2</v>
      </c>
      <c r="I11242" s="160" t="s">
        <v>62</v>
      </c>
      <c r="J11242" s="211">
        <v>4.5337699999999998E-5</v>
      </c>
      <c r="K11242" s="160" t="s">
        <v>145</v>
      </c>
      <c r="L11242" s="154" t="str">
        <f>IF(OpenLCAbasic!K11242="CTUh", "Fill in Manually",IF(OR(K11242="Unit", K11242=""), "", INDEX(LookUps!$E$5:$E$12, MATCH(OpenLCAbasic!K11242,LookUps!$D$5:$D$12,0))))</f>
        <v>Particulate Matter Formation Potential (PMFP) - kg PM2.5 eq</v>
      </c>
      <c r="M11242" s="154" t="str">
        <f t="shared" si="963"/>
        <v>High_Medium_High_Upgraded_Particulate Matter Formation Potential (PMFP) - kg PM2.5 eq_Land application of compost; wastewater treatment unit; at updated plant - US_Base_With Amendment_Aerated Static Pile</v>
      </c>
    </row>
    <row r="11243" spans="1:13" s="120" customFormat="1" x14ac:dyDescent="0.25">
      <c r="A11243" s="119"/>
      <c r="B11243" s="138" t="str">
        <f t="shared" si="965"/>
        <v>Aerated Static Pile</v>
      </c>
      <c r="C11243" s="138" t="str">
        <f t="shared" si="966"/>
        <v>Base_With Amendment</v>
      </c>
      <c r="D11243" s="138" t="str">
        <f t="shared" si="964"/>
        <v>Medium_High</v>
      </c>
      <c r="E11243" s="138" t="str">
        <f t="shared" si="968"/>
        <v>High</v>
      </c>
      <c r="F11243" s="138" t="str">
        <f t="shared" si="967"/>
        <v>Upgraded</v>
      </c>
      <c r="G11243" s="153"/>
      <c r="H11243" s="210">
        <v>2.41E-2</v>
      </c>
      <c r="I11243" s="160" t="s">
        <v>168</v>
      </c>
      <c r="J11243" s="211">
        <v>3.4562199999999999E-5</v>
      </c>
      <c r="K11243" s="160" t="s">
        <v>145</v>
      </c>
      <c r="L11243" s="154" t="str">
        <f>IF(OpenLCAbasic!K11243="CTUh", "Fill in Manually",IF(OR(K11243="Unit", K11243=""), "", INDEX(LookUps!$E$5:$E$12, MATCH(OpenLCAbasic!K11243,LookUps!$D$5:$D$12,0))))</f>
        <v>Particulate Matter Formation Potential (PMFP) - kg PM2.5 eq</v>
      </c>
      <c r="M11243" s="154" t="str">
        <f t="shared" si="963"/>
        <v>High_Medium_High_Upgraded_Particulate Matter Formation Potential (PMFP) - kg PM2.5 eq_ClearCove SCP; wastewater treatment unit; at updated plant - US_Base_With Amendment_Aerated Static Pile</v>
      </c>
    </row>
    <row r="11244" spans="1:13" s="120" customFormat="1" x14ac:dyDescent="0.25">
      <c r="A11244" s="119"/>
      <c r="B11244" s="138" t="str">
        <f t="shared" si="965"/>
        <v>Aerated Static Pile</v>
      </c>
      <c r="C11244" s="138" t="str">
        <f t="shared" si="966"/>
        <v>Base_With Amendment</v>
      </c>
      <c r="D11244" s="138" t="str">
        <f t="shared" si="964"/>
        <v>Medium_High</v>
      </c>
      <c r="E11244" s="138" t="str">
        <f t="shared" si="968"/>
        <v>High</v>
      </c>
      <c r="F11244" s="138" t="str">
        <f t="shared" si="967"/>
        <v>Upgraded</v>
      </c>
      <c r="G11244" s="153"/>
      <c r="H11244" s="210">
        <v>6.1000000000000004E-3</v>
      </c>
      <c r="I11244" s="160" t="s">
        <v>148</v>
      </c>
      <c r="J11244" s="211">
        <v>8.8212999999999997E-6</v>
      </c>
      <c r="K11244" s="160" t="s">
        <v>145</v>
      </c>
      <c r="L11244" s="154" t="str">
        <f>IF(OpenLCAbasic!K11244="CTUh", "Fill in Manually",IF(OR(K11244="Unit", K11244=""), "", INDEX(LookUps!$E$5:$E$12, MATCH(OpenLCAbasic!K11244,LookUps!$D$5:$D$12,0))))</f>
        <v>Particulate Matter Formation Potential (PMFP) - kg PM2.5 eq</v>
      </c>
      <c r="M11244" s="154" t="str">
        <f t="shared" si="963"/>
        <v>High_Medium_High_Upgraded_Particulate Matter Formation Potential (PMFP) - kg PM2.5 eq_Control Building; at upgraded wastewater treatment plant - US_Base_With Amendment_Aerated Static Pile</v>
      </c>
    </row>
    <row r="11245" spans="1:13" s="120" customFormat="1" x14ac:dyDescent="0.25">
      <c r="A11245" s="119"/>
      <c r="B11245" s="138" t="str">
        <f t="shared" si="965"/>
        <v>Aerated Static Pile</v>
      </c>
      <c r="C11245" s="138" t="str">
        <f t="shared" si="966"/>
        <v>Base_With Amendment</v>
      </c>
      <c r="D11245" s="138" t="str">
        <f t="shared" si="964"/>
        <v>Medium_High</v>
      </c>
      <c r="E11245" s="138" t="str">
        <f t="shared" si="968"/>
        <v>High</v>
      </c>
      <c r="F11245" s="138" t="str">
        <f t="shared" si="967"/>
        <v>Upgraded</v>
      </c>
      <c r="G11245" s="153"/>
      <c r="H11245" s="210">
        <v>-5.4573999999999998</v>
      </c>
      <c r="I11245" s="160" t="s">
        <v>149</v>
      </c>
      <c r="J11245" s="160">
        <v>-7.8300000000000002E-3</v>
      </c>
      <c r="K11245" s="160" t="s">
        <v>145</v>
      </c>
      <c r="L11245" s="154" t="str">
        <f>IF(OpenLCAbasic!K11245="CTUh", "Fill in Manually",IF(OR(K11245="Unit", K11245=""), "", INDEX(LookUps!$E$5:$E$12, MATCH(OpenLCAbasic!K11245,LookUps!$D$5:$D$12,0))))</f>
        <v>Particulate Matter Formation Potential (PMFP) - kg PM2.5 eq</v>
      </c>
      <c r="M11245" s="154" t="str">
        <f t="shared" si="963"/>
        <v>High_Medium_High_Upgraded_Particulate Matter Formation Potential (PMFP) - kg PM2.5 eq_Anaerobic Digestion; wastewater treatment unit; at updated plant - US_Base_With Amendment_Aerated Static Pile</v>
      </c>
    </row>
    <row r="11246" spans="1:13" s="120" customFormat="1" x14ac:dyDescent="0.25">
      <c r="A11246" s="119"/>
      <c r="B11246" s="138" t="str">
        <f t="shared" si="965"/>
        <v/>
      </c>
      <c r="C11246" s="138" t="str">
        <f t="shared" si="966"/>
        <v/>
      </c>
      <c r="D11246" s="138" t="str">
        <f t="shared" si="964"/>
        <v/>
      </c>
      <c r="E11246" s="138" t="str">
        <f t="shared" si="968"/>
        <v/>
      </c>
      <c r="F11246" s="138" t="str">
        <f t="shared" si="967"/>
        <v/>
      </c>
      <c r="G11246" s="153" t="s">
        <v>51</v>
      </c>
      <c r="H11246" s="160"/>
      <c r="I11246" s="160" t="s">
        <v>47</v>
      </c>
      <c r="J11246" s="160" t="s">
        <v>52</v>
      </c>
      <c r="K11246" s="160" t="s">
        <v>27</v>
      </c>
      <c r="L11246" s="154" t="str">
        <f>IF(OpenLCAbasic!K11246="CTUh", "Fill in Manually",IF(OR(K11246="Unit", K11246=""), "", INDEX(LookUps!$E$5:$E$12, MATCH(OpenLCAbasic!K11246,LookUps!$D$5:$D$12,0))))</f>
        <v/>
      </c>
      <c r="M11246" s="154" t="str">
        <f t="shared" si="963"/>
        <v>____Process__</v>
      </c>
    </row>
    <row r="11247" spans="1:13" s="120" customFormat="1" x14ac:dyDescent="0.25">
      <c r="A11247" s="119"/>
      <c r="B11247" s="138" t="str">
        <f t="shared" si="965"/>
        <v>Aerated Static Pile</v>
      </c>
      <c r="C11247" s="138" t="str">
        <f t="shared" si="966"/>
        <v>Base_With Amendment</v>
      </c>
      <c r="D11247" s="138" t="str">
        <f t="shared" si="964"/>
        <v>Medium_High</v>
      </c>
      <c r="E11247" s="138" t="str">
        <f t="shared" si="968"/>
        <v>High</v>
      </c>
      <c r="F11247" s="138" t="str">
        <f t="shared" si="967"/>
        <v>Upgraded</v>
      </c>
      <c r="G11247" s="153"/>
      <c r="H11247" s="210">
        <v>1.6029</v>
      </c>
      <c r="I11247" s="160" t="s">
        <v>55</v>
      </c>
      <c r="J11247" s="160">
        <v>0.16577</v>
      </c>
      <c r="K11247" s="160" t="s">
        <v>25</v>
      </c>
      <c r="L11247" s="154" t="str">
        <f>IF(OpenLCAbasic!K11247="CTUh", "Fill in Manually",IF(OR(K11247="Unit", K11247=""), "", INDEX(LookUps!$E$5:$E$12, MATCH(OpenLCAbasic!K11247,LookUps!$D$5:$D$12,0))))</f>
        <v>Smog Formation Potential (SFP) - kg O3 eq</v>
      </c>
      <c r="M11247" s="154" t="str">
        <f t="shared" si="963"/>
        <v>High_Medium_High_Upgraded_Smog Formation Potential (SFP) - kg O3 eq_Aeration Tanks; wastewater treatment unit; at updated plant - US_Base_With Amendment_Aerated Static Pile</v>
      </c>
    </row>
    <row r="11248" spans="1:13" s="120" customFormat="1" x14ac:dyDescent="0.25">
      <c r="A11248" s="119"/>
      <c r="B11248" s="138" t="str">
        <f t="shared" si="965"/>
        <v>Aerated Static Pile</v>
      </c>
      <c r="C11248" s="138" t="str">
        <f t="shared" si="966"/>
        <v>Base_With Amendment</v>
      </c>
      <c r="D11248" s="138" t="str">
        <f t="shared" si="964"/>
        <v>Medium_High</v>
      </c>
      <c r="E11248" s="138" t="str">
        <f t="shared" si="968"/>
        <v>High</v>
      </c>
      <c r="F11248" s="138" t="str">
        <f t="shared" si="967"/>
        <v>Upgraded</v>
      </c>
      <c r="G11248" s="153"/>
      <c r="H11248" s="210">
        <v>0.7661</v>
      </c>
      <c r="I11248" s="160" t="s">
        <v>435</v>
      </c>
      <c r="J11248" s="160">
        <v>7.9229999999999995E-2</v>
      </c>
      <c r="K11248" s="160" t="s">
        <v>25</v>
      </c>
      <c r="L11248" s="154" t="str">
        <f>IF(OpenLCAbasic!K11248="CTUh", "Fill in Manually",IF(OR(K11248="Unit", K11248=""), "", INDEX(LookUps!$E$5:$E$12, MATCH(OpenLCAbasic!K11248,LookUps!$D$5:$D$12,0))))</f>
        <v>Smog Formation Potential (SFP) - kg O3 eq</v>
      </c>
      <c r="M11248" s="154" t="str">
        <f t="shared" si="963"/>
        <v>High_Medium_High_Upgraded_Smog Formation Potential (SFP) - kg O3 eq_Biosolids composting; aerated static pile; wastewater treatment unit; at updated plant - US_Base_With Amendment_Aerated Static Pile</v>
      </c>
    </row>
    <row r="11249" spans="1:13" s="120" customFormat="1" x14ac:dyDescent="0.25">
      <c r="A11249" s="119"/>
      <c r="B11249" s="138" t="str">
        <f t="shared" si="965"/>
        <v>Aerated Static Pile</v>
      </c>
      <c r="C11249" s="138" t="str">
        <f t="shared" si="966"/>
        <v>Base_With Amendment</v>
      </c>
      <c r="D11249" s="138" t="str">
        <f t="shared" si="964"/>
        <v>Medium_High</v>
      </c>
      <c r="E11249" s="138" t="str">
        <f t="shared" si="968"/>
        <v>High</v>
      </c>
      <c r="F11249" s="138" t="str">
        <f t="shared" si="967"/>
        <v>Upgraded</v>
      </c>
      <c r="G11249" s="153"/>
      <c r="H11249" s="210">
        <v>0.46479999999999999</v>
      </c>
      <c r="I11249" s="160" t="s">
        <v>54</v>
      </c>
      <c r="J11249" s="160">
        <v>4.8070000000000002E-2</v>
      </c>
      <c r="K11249" s="160" t="s">
        <v>25</v>
      </c>
      <c r="L11249" s="154" t="str">
        <f>IF(OpenLCAbasic!K11249="CTUh", "Fill in Manually",IF(OR(K11249="Unit", K11249=""), "", INDEX(LookUps!$E$5:$E$12, MATCH(OpenLCAbasic!K11249,LookUps!$D$5:$D$12,0))))</f>
        <v>Smog Formation Potential (SFP) - kg O3 eq</v>
      </c>
      <c r="M11249" s="154" t="str">
        <f t="shared" si="963"/>
        <v>High_Medium_High_Upgraded_Smog Formation Potential (SFP) - kg O3 eq_Clear Cove Primary Clarification; wastewater treatment unit; at updated plant - US_Base_With Amendment_Aerated Static Pile</v>
      </c>
    </row>
    <row r="11250" spans="1:13" s="120" customFormat="1" x14ac:dyDescent="0.25">
      <c r="A11250" s="119"/>
      <c r="B11250" s="138" t="str">
        <f t="shared" si="965"/>
        <v>Aerated Static Pile</v>
      </c>
      <c r="C11250" s="138" t="str">
        <f t="shared" si="966"/>
        <v>Base_With Amendment</v>
      </c>
      <c r="D11250" s="138" t="str">
        <f t="shared" si="964"/>
        <v>Medium_High</v>
      </c>
      <c r="E11250" s="138" t="str">
        <f t="shared" si="968"/>
        <v>High</v>
      </c>
      <c r="F11250" s="138" t="str">
        <f t="shared" si="967"/>
        <v>Upgraded</v>
      </c>
      <c r="G11250" s="153"/>
      <c r="H11250" s="210">
        <v>0.40529999999999999</v>
      </c>
      <c r="I11250" s="160" t="s">
        <v>58</v>
      </c>
      <c r="J11250" s="160">
        <v>4.1919999999999999E-2</v>
      </c>
      <c r="K11250" s="160" t="s">
        <v>25</v>
      </c>
      <c r="L11250" s="154" t="str">
        <f>IF(OpenLCAbasic!K11250="CTUh", "Fill in Manually",IF(OR(K11250="Unit", K11250=""), "", INDEX(LookUps!$E$5:$E$12, MATCH(OpenLCAbasic!K11250,LookUps!$D$5:$D$12,0))))</f>
        <v>Smog Formation Potential (SFP) - kg O3 eq</v>
      </c>
      <c r="M11250" s="154" t="str">
        <f t="shared" si="963"/>
        <v>High_Medium_High_Upgraded_Smog Formation Potential (SFP) - kg O3 eq_Pre-Anoxic &amp; Swing tank; wastewater treatment unit; at updated plant - US_Base_With Amendment_Aerated Static Pile</v>
      </c>
    </row>
    <row r="11251" spans="1:13" s="120" customFormat="1" x14ac:dyDescent="0.25">
      <c r="A11251" s="119"/>
      <c r="B11251" s="138" t="str">
        <f t="shared" si="965"/>
        <v>Aerated Static Pile</v>
      </c>
      <c r="C11251" s="138" t="str">
        <f t="shared" si="966"/>
        <v>Base_With Amendment</v>
      </c>
      <c r="D11251" s="138" t="str">
        <f t="shared" si="964"/>
        <v>Medium_High</v>
      </c>
      <c r="E11251" s="138" t="str">
        <f t="shared" si="968"/>
        <v>High</v>
      </c>
      <c r="F11251" s="138" t="str">
        <f t="shared" si="967"/>
        <v>Upgraded</v>
      </c>
      <c r="G11251" s="153"/>
      <c r="H11251" s="210">
        <v>0.32029999999999997</v>
      </c>
      <c r="I11251" s="160" t="s">
        <v>53</v>
      </c>
      <c r="J11251" s="160">
        <v>3.313E-2</v>
      </c>
      <c r="K11251" s="160" t="s">
        <v>25</v>
      </c>
      <c r="L11251" s="154" t="str">
        <f>IF(OpenLCAbasic!K11251="CTUh", "Fill in Manually",IF(OR(K11251="Unit", K11251=""), "", INDEX(LookUps!$E$5:$E$12, MATCH(OpenLCAbasic!K11251,LookUps!$D$5:$D$12,0))))</f>
        <v>Smog Formation Potential (SFP) - kg O3 eq</v>
      </c>
      <c r="M11251" s="154" t="str">
        <f t="shared" si="963"/>
        <v>High_Medium_High_Upgraded_Smog Formation Potential (SFP) - kg O3 eq_Wet Well and Sump Station; wastewater treatment unit; at updated plant - US_Base_With Amendment_Aerated Static Pile</v>
      </c>
    </row>
    <row r="11252" spans="1:13" s="120" customFormat="1" x14ac:dyDescent="0.25">
      <c r="A11252" s="119"/>
      <c r="B11252" s="138" t="str">
        <f t="shared" si="965"/>
        <v>Aerated Static Pile</v>
      </c>
      <c r="C11252" s="138" t="str">
        <f t="shared" si="966"/>
        <v>Base_With Amendment</v>
      </c>
      <c r="D11252" s="138" t="str">
        <f t="shared" si="964"/>
        <v>Medium_High</v>
      </c>
      <c r="E11252" s="138" t="str">
        <f t="shared" si="968"/>
        <v>High</v>
      </c>
      <c r="F11252" s="138" t="str">
        <f t="shared" si="967"/>
        <v>Upgraded</v>
      </c>
      <c r="G11252" s="153"/>
      <c r="H11252" s="210">
        <v>0.2969</v>
      </c>
      <c r="I11252" s="160" t="s">
        <v>167</v>
      </c>
      <c r="J11252" s="160">
        <v>3.0710000000000001E-2</v>
      </c>
      <c r="K11252" s="160" t="s">
        <v>25</v>
      </c>
      <c r="L11252" s="154" t="str">
        <f>IF(OpenLCAbasic!K11252="CTUh", "Fill in Manually",IF(OR(K11252="Unit", K11252=""), "", INDEX(LookUps!$E$5:$E$12, MATCH(OpenLCAbasic!K11252,LookUps!$D$5:$D$12,0))))</f>
        <v>Smog Formation Potential (SFP) - kg O3 eq</v>
      </c>
      <c r="M11252" s="154" t="str">
        <f t="shared" si="963"/>
        <v>High_Medium_High_Upgraded_Smog Formation Potential (SFP) - kg O3 eq_Waste Receiving and Holding; wastewater treatment unit; at updated plant - US_Base_With Amendment_Aerated Static Pile</v>
      </c>
    </row>
    <row r="11253" spans="1:13" s="120" customFormat="1" x14ac:dyDescent="0.25">
      <c r="A11253" s="119"/>
      <c r="B11253" s="138" t="str">
        <f t="shared" si="965"/>
        <v>Aerated Static Pile</v>
      </c>
      <c r="C11253" s="138" t="str">
        <f t="shared" si="966"/>
        <v>Base_With Amendment</v>
      </c>
      <c r="D11253" s="138" t="str">
        <f t="shared" si="964"/>
        <v>Medium_High</v>
      </c>
      <c r="E11253" s="138" t="str">
        <f t="shared" si="968"/>
        <v>High</v>
      </c>
      <c r="F11253" s="138" t="str">
        <f t="shared" si="967"/>
        <v>Upgraded</v>
      </c>
      <c r="G11253" s="153"/>
      <c r="H11253" s="210">
        <v>0.18759999999999999</v>
      </c>
      <c r="I11253" s="160" t="s">
        <v>147</v>
      </c>
      <c r="J11253" s="160">
        <v>1.9400000000000001E-2</v>
      </c>
      <c r="K11253" s="160" t="s">
        <v>25</v>
      </c>
      <c r="L11253" s="154" t="str">
        <f>IF(OpenLCAbasic!K11253="CTUh", "Fill in Manually",IF(OR(K11253="Unit", K11253=""), "", INDEX(LookUps!$E$5:$E$12, MATCH(OpenLCAbasic!K11253,LookUps!$D$5:$D$12,0))))</f>
        <v>Smog Formation Potential (SFP) - kg O3 eq</v>
      </c>
      <c r="M11253" s="154" t="str">
        <f t="shared" si="963"/>
        <v>High_Medium_High_Upgraded_Smog Formation Potential (SFP) - kg O3 eq_Influent Pump Station; wastewater treatment unit; at updated plant - US_Base_With Amendment_Aerated Static Pile</v>
      </c>
    </row>
    <row r="11254" spans="1:13" s="120" customFormat="1" x14ac:dyDescent="0.25">
      <c r="A11254" s="119"/>
      <c r="B11254" s="138" t="str">
        <f t="shared" si="965"/>
        <v>Aerated Static Pile</v>
      </c>
      <c r="C11254" s="138" t="str">
        <f t="shared" si="966"/>
        <v>Base_With Amendment</v>
      </c>
      <c r="D11254" s="138" t="str">
        <f t="shared" si="964"/>
        <v>Medium_High</v>
      </c>
      <c r="E11254" s="138" t="str">
        <f t="shared" si="968"/>
        <v>High</v>
      </c>
      <c r="F11254" s="138" t="str">
        <f t="shared" si="967"/>
        <v>Upgraded</v>
      </c>
      <c r="G11254" s="153"/>
      <c r="H11254" s="210">
        <v>0.1152</v>
      </c>
      <c r="I11254" s="160" t="s">
        <v>128</v>
      </c>
      <c r="J11254" s="160">
        <v>1.192E-2</v>
      </c>
      <c r="K11254" s="160" t="s">
        <v>25</v>
      </c>
      <c r="L11254" s="154" t="str">
        <f>IF(OpenLCAbasic!K11254="CTUh", "Fill in Manually",IF(OR(K11254="Unit", K11254=""), "", INDEX(LookUps!$E$5:$E$12, MATCH(OpenLCAbasic!K11254,LookUps!$D$5:$D$12,0))))</f>
        <v>Smog Formation Potential (SFP) - kg O3 eq</v>
      </c>
      <c r="M11254" s="154" t="str">
        <f t="shared" si="963"/>
        <v>High_Medium_High_Upgraded_Smog Formation Potential (SFP) - kg O3 eq_Wastewater collection; operation and infrastructure; m3 wastewater_Base_With Amendment_Aerated Static Pile</v>
      </c>
    </row>
    <row r="11255" spans="1:13" s="120" customFormat="1" x14ac:dyDescent="0.25">
      <c r="A11255" s="119"/>
      <c r="B11255" s="138" t="str">
        <f t="shared" si="965"/>
        <v>Aerated Static Pile</v>
      </c>
      <c r="C11255" s="138" t="str">
        <f t="shared" si="966"/>
        <v>Base_With Amendment</v>
      </c>
      <c r="D11255" s="138" t="str">
        <f t="shared" si="964"/>
        <v>Medium_High</v>
      </c>
      <c r="E11255" s="138" t="str">
        <f t="shared" si="968"/>
        <v>High</v>
      </c>
      <c r="F11255" s="138" t="str">
        <f t="shared" si="967"/>
        <v>Upgraded</v>
      </c>
      <c r="G11255" s="153"/>
      <c r="H11255" s="210">
        <v>9.3799999999999994E-2</v>
      </c>
      <c r="I11255" s="160" t="s">
        <v>60</v>
      </c>
      <c r="J11255" s="160">
        <v>9.7099999999999999E-3</v>
      </c>
      <c r="K11255" s="160" t="s">
        <v>25</v>
      </c>
      <c r="L11255" s="154" t="str">
        <f>IF(OpenLCAbasic!K11255="CTUh", "Fill in Manually",IF(OR(K11255="Unit", K11255=""), "", INDEX(LookUps!$E$5:$E$12, MATCH(OpenLCAbasic!K11255,LookUps!$D$5:$D$12,0))))</f>
        <v>Smog Formation Potential (SFP) - kg O3 eq</v>
      </c>
      <c r="M11255" s="154" t="str">
        <f t="shared" si="963"/>
        <v>High_Medium_High_Upgraded_Smog Formation Potential (SFP) - kg O3 eq_Belt filter press; wastewater treatment unit; at updated plant - US_Base_With Amendment_Aerated Static Pile</v>
      </c>
    </row>
    <row r="11256" spans="1:13" s="120" customFormat="1" x14ac:dyDescent="0.25">
      <c r="A11256" s="119"/>
      <c r="B11256" s="138" t="str">
        <f t="shared" si="965"/>
        <v>Aerated Static Pile</v>
      </c>
      <c r="C11256" s="138" t="str">
        <f t="shared" si="966"/>
        <v>Base_With Amendment</v>
      </c>
      <c r="D11256" s="138" t="str">
        <f t="shared" si="964"/>
        <v>Medium_High</v>
      </c>
      <c r="E11256" s="138" t="str">
        <f t="shared" si="968"/>
        <v>High</v>
      </c>
      <c r="F11256" s="138" t="str">
        <f t="shared" si="967"/>
        <v>Upgraded</v>
      </c>
      <c r="G11256" s="153"/>
      <c r="H11256" s="210">
        <v>6.4299999999999996E-2</v>
      </c>
      <c r="I11256" s="160" t="s">
        <v>57</v>
      </c>
      <c r="J11256" s="160">
        <v>6.6499999999999997E-3</v>
      </c>
      <c r="K11256" s="160" t="s">
        <v>25</v>
      </c>
      <c r="L11256" s="154" t="str">
        <f>IF(OpenLCAbasic!K11256="CTUh", "Fill in Manually",IF(OR(K11256="Unit", K11256=""), "", INDEX(LookUps!$E$5:$E$12, MATCH(OpenLCAbasic!K11256,LookUps!$D$5:$D$12,0))))</f>
        <v>Smog Formation Potential (SFP) - kg O3 eq</v>
      </c>
      <c r="M11256" s="154" t="str">
        <f t="shared" si="963"/>
        <v>High_Medium_High_Upgraded_Smog Formation Potential (SFP) - kg O3 eq_Gravity Belt Thickener; wastewater treatment unit; at updated plant - US_Base_With Amendment_Aerated Static Pile</v>
      </c>
    </row>
    <row r="11257" spans="1:13" s="120" customFormat="1" x14ac:dyDescent="0.25">
      <c r="A11257" s="119"/>
      <c r="B11257" s="138" t="str">
        <f t="shared" si="965"/>
        <v>Aerated Static Pile</v>
      </c>
      <c r="C11257" s="138" t="str">
        <f t="shared" si="966"/>
        <v>Base_With Amendment</v>
      </c>
      <c r="D11257" s="138" t="str">
        <f t="shared" si="964"/>
        <v>Medium_High</v>
      </c>
      <c r="E11257" s="138" t="str">
        <f t="shared" si="968"/>
        <v>High</v>
      </c>
      <c r="F11257" s="138" t="str">
        <f t="shared" si="967"/>
        <v>Upgraded</v>
      </c>
      <c r="G11257" s="153"/>
      <c r="H11257" s="210">
        <v>4.8099999999999997E-2</v>
      </c>
      <c r="I11257" s="160" t="s">
        <v>59</v>
      </c>
      <c r="J11257" s="160">
        <v>4.9699999999999996E-3</v>
      </c>
      <c r="K11257" s="160" t="s">
        <v>25</v>
      </c>
      <c r="L11257" s="154" t="str">
        <f>IF(OpenLCAbasic!K11257="CTUh", "Fill in Manually",IF(OR(K11257="Unit", K11257=""), "", INDEX(LookUps!$E$5:$E$12, MATCH(OpenLCAbasic!K11257,LookUps!$D$5:$D$12,0))))</f>
        <v>Smog Formation Potential (SFP) - kg O3 eq</v>
      </c>
      <c r="M11257" s="154" t="str">
        <f t="shared" si="963"/>
        <v>High_Medium_High_Upgraded_Smog Formation Potential (SFP) - kg O3 eq_Blend Tank; wastewater treatment unit; at updated plant - US_Base_With Amendment_Aerated Static Pile</v>
      </c>
    </row>
    <row r="11258" spans="1:13" s="120" customFormat="1" x14ac:dyDescent="0.25">
      <c r="A11258" s="119"/>
      <c r="B11258" s="138" t="str">
        <f t="shared" si="965"/>
        <v>Aerated Static Pile</v>
      </c>
      <c r="C11258" s="138" t="str">
        <f t="shared" si="966"/>
        <v>Base_With Amendment</v>
      </c>
      <c r="D11258" s="138" t="str">
        <f t="shared" si="964"/>
        <v>Medium_High</v>
      </c>
      <c r="E11258" s="138" t="str">
        <f t="shared" si="968"/>
        <v>High</v>
      </c>
      <c r="F11258" s="138" t="str">
        <f t="shared" si="967"/>
        <v>Upgraded</v>
      </c>
      <c r="G11258" s="153"/>
      <c r="H11258" s="210">
        <v>3.27E-2</v>
      </c>
      <c r="I11258" s="160" t="s">
        <v>48</v>
      </c>
      <c r="J11258" s="160">
        <v>3.3899999999999998E-3</v>
      </c>
      <c r="K11258" s="160" t="s">
        <v>25</v>
      </c>
      <c r="L11258" s="154" t="str">
        <f>IF(OpenLCAbasic!K11258="CTUh", "Fill in Manually",IF(OR(K11258="Unit", K11258=""), "", INDEX(LookUps!$E$5:$E$12, MATCH(OpenLCAbasic!K11258,LookUps!$D$5:$D$12,0))))</f>
        <v>Smog Formation Potential (SFP) - kg O3 eq</v>
      </c>
      <c r="M11258" s="154" t="str">
        <f t="shared" si="963"/>
        <v>High_Medium_High_Upgraded_Smog Formation Potential (SFP) - kg O3 eq_Effluent release; wastewater treatment unit; at surface water; m3 wastewater - US_Base_With Amendment_Aerated Static Pile</v>
      </c>
    </row>
    <row r="11259" spans="1:13" s="120" customFormat="1" x14ac:dyDescent="0.25">
      <c r="A11259" s="119"/>
      <c r="B11259" s="138" t="str">
        <f t="shared" si="965"/>
        <v>Aerated Static Pile</v>
      </c>
      <c r="C11259" s="138" t="str">
        <f t="shared" si="966"/>
        <v>Base_With Amendment</v>
      </c>
      <c r="D11259" s="138" t="str">
        <f t="shared" si="964"/>
        <v>Medium_High</v>
      </c>
      <c r="E11259" s="138" t="str">
        <f t="shared" si="968"/>
        <v>High</v>
      </c>
      <c r="F11259" s="138" t="str">
        <f t="shared" si="967"/>
        <v>Upgraded</v>
      </c>
      <c r="G11259" s="153"/>
      <c r="H11259" s="210">
        <v>2.3699999999999999E-2</v>
      </c>
      <c r="I11259" s="160" t="s">
        <v>168</v>
      </c>
      <c r="J11259" s="160">
        <v>2.4599999999999999E-3</v>
      </c>
      <c r="K11259" s="160" t="s">
        <v>25</v>
      </c>
      <c r="L11259" s="154" t="str">
        <f>IF(OpenLCAbasic!K11259="CTUh", "Fill in Manually",IF(OR(K11259="Unit", K11259=""), "", INDEX(LookUps!$E$5:$E$12, MATCH(OpenLCAbasic!K11259,LookUps!$D$5:$D$12,0))))</f>
        <v>Smog Formation Potential (SFP) - kg O3 eq</v>
      </c>
      <c r="M11259" s="154" t="str">
        <f t="shared" si="963"/>
        <v>High_Medium_High_Upgraded_Smog Formation Potential (SFP) - kg O3 eq_ClearCove SCP; wastewater treatment unit; at updated plant - US_Base_With Amendment_Aerated Static Pile</v>
      </c>
    </row>
    <row r="11260" spans="1:13" s="120" customFormat="1" x14ac:dyDescent="0.25">
      <c r="A11260" s="119"/>
      <c r="B11260" s="138" t="str">
        <f t="shared" si="965"/>
        <v>Aerated Static Pile</v>
      </c>
      <c r="C11260" s="138" t="str">
        <f t="shared" si="966"/>
        <v>Base_With Amendment</v>
      </c>
      <c r="D11260" s="138" t="str">
        <f t="shared" si="964"/>
        <v>Medium_High</v>
      </c>
      <c r="E11260" s="138" t="str">
        <f t="shared" si="968"/>
        <v>High</v>
      </c>
      <c r="F11260" s="138" t="str">
        <f t="shared" si="967"/>
        <v>Upgraded</v>
      </c>
      <c r="G11260" s="153"/>
      <c r="H11260" s="210">
        <v>5.1999999999999998E-3</v>
      </c>
      <c r="I11260" s="160" t="s">
        <v>148</v>
      </c>
      <c r="J11260" s="160">
        <v>5.4000000000000001E-4</v>
      </c>
      <c r="K11260" s="160" t="s">
        <v>25</v>
      </c>
      <c r="L11260" s="154" t="str">
        <f>IF(OpenLCAbasic!K11260="CTUh", "Fill in Manually",IF(OR(K11260="Unit", K11260=""), "", INDEX(LookUps!$E$5:$E$12, MATCH(OpenLCAbasic!K11260,LookUps!$D$5:$D$12,0))))</f>
        <v>Smog Formation Potential (SFP) - kg O3 eq</v>
      </c>
      <c r="M11260" s="154" t="str">
        <f t="shared" si="963"/>
        <v>High_Medium_High_Upgraded_Smog Formation Potential (SFP) - kg O3 eq_Control Building; at upgraded wastewater treatment plant - US_Base_With Amendment_Aerated Static Pile</v>
      </c>
    </row>
    <row r="11261" spans="1:13" s="120" customFormat="1" x14ac:dyDescent="0.25">
      <c r="A11261" s="119"/>
      <c r="B11261" s="138" t="str">
        <f t="shared" si="965"/>
        <v>Aerated Static Pile</v>
      </c>
      <c r="C11261" s="138" t="str">
        <f t="shared" si="966"/>
        <v>Base_With Amendment</v>
      </c>
      <c r="D11261" s="138" t="str">
        <f t="shared" si="964"/>
        <v>Medium_High</v>
      </c>
      <c r="E11261" s="138" t="str">
        <f t="shared" si="968"/>
        <v>High</v>
      </c>
      <c r="F11261" s="138" t="str">
        <f t="shared" si="967"/>
        <v>Upgraded</v>
      </c>
      <c r="G11261" s="153"/>
      <c r="H11261" s="210">
        <v>-3.44E-2</v>
      </c>
      <c r="I11261" s="160" t="s">
        <v>62</v>
      </c>
      <c r="J11261" s="160">
        <v>-3.5599999999999998E-3</v>
      </c>
      <c r="K11261" s="160" t="s">
        <v>25</v>
      </c>
      <c r="L11261" s="154" t="str">
        <f>IF(OpenLCAbasic!K11261="CTUh", "Fill in Manually",IF(OR(K11261="Unit", K11261=""), "", INDEX(LookUps!$E$5:$E$12, MATCH(OpenLCAbasic!K11261,LookUps!$D$5:$D$12,0))))</f>
        <v>Smog Formation Potential (SFP) - kg O3 eq</v>
      </c>
      <c r="M11261" s="154" t="str">
        <f t="shared" si="963"/>
        <v>High_Medium_High_Upgraded_Smog Formation Potential (SFP) - kg O3 eq_Land application of compost; wastewater treatment unit; at updated plant - US_Base_With Amendment_Aerated Static Pile</v>
      </c>
    </row>
    <row r="11262" spans="1:13" s="120" customFormat="1" x14ac:dyDescent="0.25">
      <c r="A11262" s="119"/>
      <c r="B11262" s="138" t="str">
        <f t="shared" si="965"/>
        <v>Aerated Static Pile</v>
      </c>
      <c r="C11262" s="138" t="str">
        <f t="shared" si="966"/>
        <v>Base_With Amendment</v>
      </c>
      <c r="D11262" s="138" t="str">
        <f t="shared" si="964"/>
        <v>Medium_High</v>
      </c>
      <c r="E11262" s="138" t="str">
        <f t="shared" si="968"/>
        <v>High</v>
      </c>
      <c r="F11262" s="138" t="str">
        <f t="shared" si="967"/>
        <v>Upgraded</v>
      </c>
      <c r="G11262" s="153"/>
      <c r="H11262" s="210">
        <v>-5.3928000000000003</v>
      </c>
      <c r="I11262" s="160" t="s">
        <v>149</v>
      </c>
      <c r="J11262" s="160">
        <v>-0.55771000000000004</v>
      </c>
      <c r="K11262" s="160" t="s">
        <v>25</v>
      </c>
      <c r="L11262" s="154" t="str">
        <f>IF(OpenLCAbasic!K11262="CTUh", "Fill in Manually",IF(OR(K11262="Unit", K11262=""), "", INDEX(LookUps!$E$5:$E$12, MATCH(OpenLCAbasic!K11262,LookUps!$D$5:$D$12,0))))</f>
        <v>Smog Formation Potential (SFP) - kg O3 eq</v>
      </c>
      <c r="M11262" s="154" t="str">
        <f t="shared" si="963"/>
        <v>High_Medium_High_Upgraded_Smog Formation Potential (SFP) - kg O3 eq_Anaerobic Digestion; wastewater treatment unit; at updated plant - US_Base_With Amendment_Aerated Static Pile</v>
      </c>
    </row>
    <row r="11263" spans="1:13" s="120" customFormat="1" x14ac:dyDescent="0.25">
      <c r="A11263" s="119"/>
      <c r="B11263" s="138" t="str">
        <f t="shared" si="965"/>
        <v/>
      </c>
      <c r="C11263" s="138" t="str">
        <f t="shared" si="966"/>
        <v/>
      </c>
      <c r="D11263" s="138" t="str">
        <f t="shared" si="964"/>
        <v/>
      </c>
      <c r="E11263" s="138" t="str">
        <f t="shared" si="968"/>
        <v/>
      </c>
      <c r="F11263" s="138" t="str">
        <f t="shared" si="967"/>
        <v/>
      </c>
      <c r="G11263" s="153" t="s">
        <v>51</v>
      </c>
      <c r="H11263" s="160"/>
      <c r="I11263" s="160" t="s">
        <v>47</v>
      </c>
      <c r="J11263" s="160" t="s">
        <v>52</v>
      </c>
      <c r="K11263" s="160" t="s">
        <v>27</v>
      </c>
      <c r="L11263" s="154" t="str">
        <f>IF(OpenLCAbasic!K11263="CTUh", "Fill in Manually",IF(OR(K11263="Unit", K11263=""), "", INDEX(LookUps!$E$5:$E$12, MATCH(OpenLCAbasic!K11263,LookUps!$D$5:$D$12,0))))</f>
        <v/>
      </c>
      <c r="M11263" s="154" t="str">
        <f t="shared" si="963"/>
        <v>____Process__</v>
      </c>
    </row>
    <row r="11264" spans="1:13" s="120" customFormat="1" x14ac:dyDescent="0.25">
      <c r="A11264" s="119"/>
      <c r="B11264" s="138" t="str">
        <f t="shared" si="965"/>
        <v>Aerated Static Pile</v>
      </c>
      <c r="C11264" s="138" t="str">
        <f t="shared" si="966"/>
        <v>Base_With Amendment</v>
      </c>
      <c r="D11264" s="138" t="str">
        <f t="shared" si="964"/>
        <v>Medium_High</v>
      </c>
      <c r="E11264" s="138" t="str">
        <f t="shared" si="968"/>
        <v>High</v>
      </c>
      <c r="F11264" s="138" t="str">
        <f t="shared" si="967"/>
        <v>Upgraded</v>
      </c>
      <c r="G11264" s="153"/>
      <c r="H11264" s="210">
        <v>0.57489999999999997</v>
      </c>
      <c r="I11264" s="160" t="s">
        <v>167</v>
      </c>
      <c r="J11264" s="160">
        <v>2.7999999999999998E-4</v>
      </c>
      <c r="K11264" s="160" t="s">
        <v>26</v>
      </c>
      <c r="L11264" s="154" t="str">
        <f>IF(OpenLCAbasic!K11264="CTUh", "Fill in Manually",IF(OR(K11264="Unit", K11264=""), "", INDEX(LookUps!$E$5:$E$12, MATCH(OpenLCAbasic!K11264,LookUps!$D$5:$D$12,0))))</f>
        <v>Water Use (WU) - m3 H2O</v>
      </c>
      <c r="M11264" s="154" t="str">
        <f t="shared" si="963"/>
        <v>High_Medium_High_Upgraded_Water Use (WU) - m3 H2O_Waste Receiving and Holding; wastewater treatment unit; at updated plant - US_Base_With Amendment_Aerated Static Pile</v>
      </c>
    </row>
    <row r="11265" spans="1:13" s="120" customFormat="1" x14ac:dyDescent="0.25">
      <c r="A11265" s="119"/>
      <c r="B11265" s="138" t="str">
        <f t="shared" si="965"/>
        <v>Aerated Static Pile</v>
      </c>
      <c r="C11265" s="138" t="str">
        <f t="shared" si="966"/>
        <v>Base_With Amendment</v>
      </c>
      <c r="D11265" s="138" t="str">
        <f t="shared" si="964"/>
        <v>Medium_High</v>
      </c>
      <c r="E11265" s="138" t="str">
        <f t="shared" si="968"/>
        <v>High</v>
      </c>
      <c r="F11265" s="138" t="str">
        <f t="shared" si="967"/>
        <v>Upgraded</v>
      </c>
      <c r="G11265" s="153"/>
      <c r="H11265" s="210">
        <v>0.37530000000000002</v>
      </c>
      <c r="I11265" s="160" t="s">
        <v>147</v>
      </c>
      <c r="J11265" s="160">
        <v>1.8000000000000001E-4</v>
      </c>
      <c r="K11265" s="160" t="s">
        <v>26</v>
      </c>
      <c r="L11265" s="154" t="str">
        <f>IF(OpenLCAbasic!K11265="CTUh", "Fill in Manually",IF(OR(K11265="Unit", K11265=""), "", INDEX(LookUps!$E$5:$E$12, MATCH(OpenLCAbasic!K11265,LookUps!$D$5:$D$12,0))))</f>
        <v>Water Use (WU) - m3 H2O</v>
      </c>
      <c r="M11265" s="154" t="str">
        <f t="shared" si="963"/>
        <v>High_Medium_High_Upgraded_Water Use (WU) - m3 H2O_Influent Pump Station; wastewater treatment unit; at updated plant - US_Base_With Amendment_Aerated Static Pile</v>
      </c>
    </row>
    <row r="11266" spans="1:13" s="120" customFormat="1" x14ac:dyDescent="0.25">
      <c r="A11266" s="119"/>
      <c r="B11266" s="138" t="str">
        <f t="shared" si="965"/>
        <v>Aerated Static Pile</v>
      </c>
      <c r="C11266" s="138" t="str">
        <f t="shared" si="966"/>
        <v>Base_With Amendment</v>
      </c>
      <c r="D11266" s="138" t="str">
        <f t="shared" si="964"/>
        <v>Medium_High</v>
      </c>
      <c r="E11266" s="138" t="str">
        <f t="shared" si="968"/>
        <v>High</v>
      </c>
      <c r="F11266" s="138" t="str">
        <f t="shared" si="967"/>
        <v>Upgraded</v>
      </c>
      <c r="G11266" s="153"/>
      <c r="H11266" s="210">
        <v>0.36620000000000003</v>
      </c>
      <c r="I11266" s="160" t="s">
        <v>54</v>
      </c>
      <c r="J11266" s="160">
        <v>1.8000000000000001E-4</v>
      </c>
      <c r="K11266" s="160" t="s">
        <v>26</v>
      </c>
      <c r="L11266" s="154" t="str">
        <f>IF(OpenLCAbasic!K11266="CTUh", "Fill in Manually",IF(OR(K11266="Unit", K11266=""), "", INDEX(LookUps!$E$5:$E$12, MATCH(OpenLCAbasic!K11266,LookUps!$D$5:$D$12,0))))</f>
        <v>Water Use (WU) - m3 H2O</v>
      </c>
      <c r="M11266" s="154" t="str">
        <f t="shared" si="963"/>
        <v>High_Medium_High_Upgraded_Water Use (WU) - m3 H2O_Clear Cove Primary Clarification; wastewater treatment unit; at updated plant - US_Base_With Amendment_Aerated Static Pile</v>
      </c>
    </row>
    <row r="11267" spans="1:13" s="120" customFormat="1" x14ac:dyDescent="0.25">
      <c r="A11267" s="119"/>
      <c r="B11267" s="138" t="str">
        <f t="shared" si="965"/>
        <v>Aerated Static Pile</v>
      </c>
      <c r="C11267" s="138" t="str">
        <f t="shared" si="966"/>
        <v>Base_With Amendment</v>
      </c>
      <c r="D11267" s="138" t="str">
        <f t="shared" si="964"/>
        <v>Medium_High</v>
      </c>
      <c r="E11267" s="138" t="str">
        <f t="shared" si="968"/>
        <v>High</v>
      </c>
      <c r="F11267" s="138" t="str">
        <f t="shared" si="967"/>
        <v>Upgraded</v>
      </c>
      <c r="G11267" s="153"/>
      <c r="H11267" s="210">
        <v>0.3322</v>
      </c>
      <c r="I11267" s="160" t="s">
        <v>55</v>
      </c>
      <c r="J11267" s="160">
        <v>1.6000000000000001E-4</v>
      </c>
      <c r="K11267" s="160" t="s">
        <v>26</v>
      </c>
      <c r="L11267" s="154" t="str">
        <f>IF(OpenLCAbasic!K11267="CTUh", "Fill in Manually",IF(OR(K11267="Unit", K11267=""), "", INDEX(LookUps!$E$5:$E$12, MATCH(OpenLCAbasic!K11267,LookUps!$D$5:$D$12,0))))</f>
        <v>Water Use (WU) - m3 H2O</v>
      </c>
      <c r="M11267" s="154" t="str">
        <f t="shared" si="963"/>
        <v>High_Medium_High_Upgraded_Water Use (WU) - m3 H2O_Aeration Tanks; wastewater treatment unit; at updated plant - US_Base_With Amendment_Aerated Static Pile</v>
      </c>
    </row>
    <row r="11268" spans="1:13" s="120" customFormat="1" x14ac:dyDescent="0.25">
      <c r="A11268" s="119"/>
      <c r="B11268" s="138" t="str">
        <f t="shared" si="965"/>
        <v>Aerated Static Pile</v>
      </c>
      <c r="C11268" s="138" t="str">
        <f t="shared" si="966"/>
        <v>Base_With Amendment</v>
      </c>
      <c r="D11268" s="138" t="str">
        <f t="shared" si="964"/>
        <v>Medium_High</v>
      </c>
      <c r="E11268" s="138" t="str">
        <f t="shared" si="968"/>
        <v>High</v>
      </c>
      <c r="F11268" s="138" t="str">
        <f t="shared" si="967"/>
        <v>Upgraded</v>
      </c>
      <c r="G11268" s="153"/>
      <c r="H11268" s="210">
        <v>0.30259999999999998</v>
      </c>
      <c r="I11268" s="160" t="s">
        <v>148</v>
      </c>
      <c r="J11268" s="160">
        <v>1.4999999999999999E-4</v>
      </c>
      <c r="K11268" s="160" t="s">
        <v>26</v>
      </c>
      <c r="L11268" s="154" t="str">
        <f>IF(OpenLCAbasic!K11268="CTUh", "Fill in Manually",IF(OR(K11268="Unit", K11268=""), "", INDEX(LookUps!$E$5:$E$12, MATCH(OpenLCAbasic!K11268,LookUps!$D$5:$D$12,0))))</f>
        <v>Water Use (WU) - m3 H2O</v>
      </c>
      <c r="M11268" s="154" t="str">
        <f t="shared" ref="M11268:M11331" si="969">CONCATENATE(E11268,"_",D11268,"_",F11268,"_",L11268, "_",I11268,"_", C11268,"_", B11268)</f>
        <v>High_Medium_High_Upgraded_Water Use (WU) - m3 H2O_Control Building; at upgraded wastewater treatment plant - US_Base_With Amendment_Aerated Static Pile</v>
      </c>
    </row>
    <row r="11269" spans="1:13" s="120" customFormat="1" x14ac:dyDescent="0.25">
      <c r="A11269" s="119"/>
      <c r="B11269" s="138" t="str">
        <f t="shared" si="965"/>
        <v>Aerated Static Pile</v>
      </c>
      <c r="C11269" s="138" t="str">
        <f t="shared" si="966"/>
        <v>Base_With Amendment</v>
      </c>
      <c r="D11269" s="138" t="str">
        <f t="shared" si="964"/>
        <v>Medium_High</v>
      </c>
      <c r="E11269" s="138" t="str">
        <f t="shared" si="968"/>
        <v>High</v>
      </c>
      <c r="F11269" s="138" t="str">
        <f t="shared" si="967"/>
        <v>Upgraded</v>
      </c>
      <c r="G11269" s="153"/>
      <c r="H11269" s="210">
        <v>0.14050000000000001</v>
      </c>
      <c r="I11269" s="160" t="s">
        <v>48</v>
      </c>
      <c r="J11269" s="211">
        <v>6.8836400000000004E-5</v>
      </c>
      <c r="K11269" s="160" t="s">
        <v>26</v>
      </c>
      <c r="L11269" s="154" t="str">
        <f>IF(OpenLCAbasic!K11269="CTUh", "Fill in Manually",IF(OR(K11269="Unit", K11269=""), "", INDEX(LookUps!$E$5:$E$12, MATCH(OpenLCAbasic!K11269,LookUps!$D$5:$D$12,0))))</f>
        <v>Water Use (WU) - m3 H2O</v>
      </c>
      <c r="M11269" s="154" t="str">
        <f t="shared" si="969"/>
        <v>High_Medium_High_Upgraded_Water Use (WU) - m3 H2O_Effluent release; wastewater treatment unit; at surface water; m3 wastewater - US_Base_With Amendment_Aerated Static Pile</v>
      </c>
    </row>
    <row r="11270" spans="1:13" s="120" customFormat="1" x14ac:dyDescent="0.25">
      <c r="A11270" s="119"/>
      <c r="B11270" s="138" t="str">
        <f t="shared" si="965"/>
        <v>Aerated Static Pile</v>
      </c>
      <c r="C11270" s="138" t="str">
        <f t="shared" si="966"/>
        <v>Base_With Amendment</v>
      </c>
      <c r="D11270" s="138" t="str">
        <f t="shared" si="964"/>
        <v>Medium_High</v>
      </c>
      <c r="E11270" s="138" t="str">
        <f t="shared" si="968"/>
        <v>High</v>
      </c>
      <c r="F11270" s="138" t="str">
        <f t="shared" si="967"/>
        <v>Upgraded</v>
      </c>
      <c r="G11270" s="153"/>
      <c r="H11270" s="210">
        <v>8.8300000000000003E-2</v>
      </c>
      <c r="I11270" s="160" t="s">
        <v>58</v>
      </c>
      <c r="J11270" s="211">
        <v>4.3235300000000003E-5</v>
      </c>
      <c r="K11270" s="160" t="s">
        <v>26</v>
      </c>
      <c r="L11270" s="154" t="str">
        <f>IF(OpenLCAbasic!K11270="CTUh", "Fill in Manually",IF(OR(K11270="Unit", K11270=""), "", INDEX(LookUps!$E$5:$E$12, MATCH(OpenLCAbasic!K11270,LookUps!$D$5:$D$12,0))))</f>
        <v>Water Use (WU) - m3 H2O</v>
      </c>
      <c r="M11270" s="154" t="str">
        <f t="shared" si="969"/>
        <v>High_Medium_High_Upgraded_Water Use (WU) - m3 H2O_Pre-Anoxic &amp; Swing tank; wastewater treatment unit; at updated plant - US_Base_With Amendment_Aerated Static Pile</v>
      </c>
    </row>
    <row r="11271" spans="1:13" s="120" customFormat="1" x14ac:dyDescent="0.25">
      <c r="A11271" s="119"/>
      <c r="B11271" s="138" t="str">
        <f t="shared" si="965"/>
        <v>Aerated Static Pile</v>
      </c>
      <c r="C11271" s="138" t="str">
        <f t="shared" si="966"/>
        <v>Base_With Amendment</v>
      </c>
      <c r="D11271" s="138" t="str">
        <f t="shared" si="964"/>
        <v>Medium_High</v>
      </c>
      <c r="E11271" s="138" t="str">
        <f t="shared" si="968"/>
        <v>High</v>
      </c>
      <c r="F11271" s="138" t="str">
        <f t="shared" si="967"/>
        <v>Upgraded</v>
      </c>
      <c r="G11271" s="153"/>
      <c r="H11271" s="210">
        <v>6.2100000000000002E-2</v>
      </c>
      <c r="I11271" s="160" t="s">
        <v>57</v>
      </c>
      <c r="J11271" s="211">
        <v>3.0408100000000001E-5</v>
      </c>
      <c r="K11271" s="160" t="s">
        <v>26</v>
      </c>
      <c r="L11271" s="154" t="str">
        <f>IF(OpenLCAbasic!K11271="CTUh", "Fill in Manually",IF(OR(K11271="Unit", K11271=""), "", INDEX(LookUps!$E$5:$E$12, MATCH(OpenLCAbasic!K11271,LookUps!$D$5:$D$12,0))))</f>
        <v>Water Use (WU) - m3 H2O</v>
      </c>
      <c r="M11271" s="154" t="str">
        <f t="shared" si="969"/>
        <v>High_Medium_High_Upgraded_Water Use (WU) - m3 H2O_Gravity Belt Thickener; wastewater treatment unit; at updated plant - US_Base_With Amendment_Aerated Static Pile</v>
      </c>
    </row>
    <row r="11272" spans="1:13" s="120" customFormat="1" x14ac:dyDescent="0.25">
      <c r="A11272" s="119"/>
      <c r="B11272" s="138" t="str">
        <f t="shared" si="965"/>
        <v>Aerated Static Pile</v>
      </c>
      <c r="C11272" s="138" t="str">
        <f t="shared" si="966"/>
        <v>Base_With Amendment</v>
      </c>
      <c r="D11272" s="138" t="str">
        <f t="shared" si="964"/>
        <v>Medium_High</v>
      </c>
      <c r="E11272" s="138" t="str">
        <f t="shared" si="968"/>
        <v>High</v>
      </c>
      <c r="F11272" s="138" t="str">
        <f t="shared" si="967"/>
        <v>Upgraded</v>
      </c>
      <c r="G11272" s="153"/>
      <c r="H11272" s="210">
        <v>5.9200000000000003E-2</v>
      </c>
      <c r="I11272" s="160" t="s">
        <v>60</v>
      </c>
      <c r="J11272" s="211">
        <v>2.8986600000000001E-5</v>
      </c>
      <c r="K11272" s="160" t="s">
        <v>26</v>
      </c>
      <c r="L11272" s="154" t="str">
        <f>IF(OpenLCAbasic!K11272="CTUh", "Fill in Manually",IF(OR(K11272="Unit", K11272=""), "", INDEX(LookUps!$E$5:$E$12, MATCH(OpenLCAbasic!K11272,LookUps!$D$5:$D$12,0))))</f>
        <v>Water Use (WU) - m3 H2O</v>
      </c>
      <c r="M11272" s="154" t="str">
        <f t="shared" si="969"/>
        <v>High_Medium_High_Upgraded_Water Use (WU) - m3 H2O_Belt filter press; wastewater treatment unit; at updated plant - US_Base_With Amendment_Aerated Static Pile</v>
      </c>
    </row>
    <row r="11273" spans="1:13" s="120" customFormat="1" x14ac:dyDescent="0.25">
      <c r="A11273" s="119"/>
      <c r="B11273" s="138" t="str">
        <f t="shared" si="965"/>
        <v>Aerated Static Pile</v>
      </c>
      <c r="C11273" s="138" t="str">
        <f t="shared" si="966"/>
        <v>Base_With Amendment</v>
      </c>
      <c r="D11273" s="138" t="str">
        <f t="shared" ref="D11273:D11279" si="970">IF(ISNUMBER($J11273),"Medium_High","")</f>
        <v>Medium_High</v>
      </c>
      <c r="E11273" s="138" t="str">
        <f t="shared" si="968"/>
        <v>High</v>
      </c>
      <c r="F11273" s="138" t="str">
        <f t="shared" si="967"/>
        <v>Upgraded</v>
      </c>
      <c r="G11273" s="153"/>
      <c r="H11273" s="210">
        <v>5.3100000000000001E-2</v>
      </c>
      <c r="I11273" s="160" t="s">
        <v>435</v>
      </c>
      <c r="J11273" s="211">
        <v>2.6025700000000001E-5</v>
      </c>
      <c r="K11273" s="160" t="s">
        <v>26</v>
      </c>
      <c r="L11273" s="154" t="str">
        <f>IF(OpenLCAbasic!K11273="CTUh", "Fill in Manually",IF(OR(K11273="Unit", K11273=""), "", INDEX(LookUps!$E$5:$E$12, MATCH(OpenLCAbasic!K11273,LookUps!$D$5:$D$12,0))))</f>
        <v>Water Use (WU) - m3 H2O</v>
      </c>
      <c r="M11273" s="154" t="str">
        <f t="shared" si="969"/>
        <v>High_Medium_High_Upgraded_Water Use (WU) - m3 H2O_Biosolids composting; aerated static pile; wastewater treatment unit; at updated plant - US_Base_With Amendment_Aerated Static Pile</v>
      </c>
    </row>
    <row r="11274" spans="1:13" s="120" customFormat="1" x14ac:dyDescent="0.25">
      <c r="A11274" s="119"/>
      <c r="B11274" s="138" t="str">
        <f t="shared" ref="B11274:B11337" si="971">IF(F11274="Legacy","n.a.",IF(F11274="","","Aerated Static Pile"))</f>
        <v>Aerated Static Pile</v>
      </c>
      <c r="C11274" s="138" t="str">
        <f t="shared" ref="C11274:C11337" si="972">IF(ISNUMBER($J11274),"Base_With Amendment","")</f>
        <v>Base_With Amendment</v>
      </c>
      <c r="D11274" s="138" t="str">
        <f t="shared" si="970"/>
        <v>Medium_High</v>
      </c>
      <c r="E11274" s="138" t="str">
        <f t="shared" si="968"/>
        <v>High</v>
      </c>
      <c r="F11274" s="138" t="str">
        <f t="shared" ref="F11274:F11337" si="973">IF(ISNUMBER(J11274),"Upgraded","")</f>
        <v>Upgraded</v>
      </c>
      <c r="G11274" s="153"/>
      <c r="H11274" s="210">
        <v>3.5700000000000003E-2</v>
      </c>
      <c r="I11274" s="160" t="s">
        <v>53</v>
      </c>
      <c r="J11274" s="211">
        <v>1.75069E-5</v>
      </c>
      <c r="K11274" s="160" t="s">
        <v>26</v>
      </c>
      <c r="L11274" s="154" t="str">
        <f>IF(OpenLCAbasic!K11274="CTUh", "Fill in Manually",IF(OR(K11274="Unit", K11274=""), "", INDEX(LookUps!$E$5:$E$12, MATCH(OpenLCAbasic!K11274,LookUps!$D$5:$D$12,0))))</f>
        <v>Water Use (WU) - m3 H2O</v>
      </c>
      <c r="M11274" s="154" t="str">
        <f t="shared" si="969"/>
        <v>High_Medium_High_Upgraded_Water Use (WU) - m3 H2O_Wet Well and Sump Station; wastewater treatment unit; at updated plant - US_Base_With Amendment_Aerated Static Pile</v>
      </c>
    </row>
    <row r="11275" spans="1:13" s="120" customFormat="1" x14ac:dyDescent="0.25">
      <c r="A11275" s="119"/>
      <c r="B11275" s="138" t="str">
        <f t="shared" si="971"/>
        <v>Aerated Static Pile</v>
      </c>
      <c r="C11275" s="138" t="str">
        <f t="shared" si="972"/>
        <v>Base_With Amendment</v>
      </c>
      <c r="D11275" s="138" t="str">
        <f t="shared" si="970"/>
        <v>Medium_High</v>
      </c>
      <c r="E11275" s="138" t="str">
        <f t="shared" si="968"/>
        <v>High</v>
      </c>
      <c r="F11275" s="138" t="str">
        <f t="shared" si="973"/>
        <v>Upgraded</v>
      </c>
      <c r="G11275" s="153"/>
      <c r="H11275" s="210">
        <v>1.43E-2</v>
      </c>
      <c r="I11275" s="160" t="s">
        <v>59</v>
      </c>
      <c r="J11275" s="211">
        <v>7.0179500000000003E-6</v>
      </c>
      <c r="K11275" s="160" t="s">
        <v>26</v>
      </c>
      <c r="L11275" s="154" t="str">
        <f>IF(OpenLCAbasic!K11275="CTUh", "Fill in Manually",IF(OR(K11275="Unit", K11275=""), "", INDEX(LookUps!$E$5:$E$12, MATCH(OpenLCAbasic!K11275,LookUps!$D$5:$D$12,0))))</f>
        <v>Water Use (WU) - m3 H2O</v>
      </c>
      <c r="M11275" s="154" t="str">
        <f t="shared" si="969"/>
        <v>High_Medium_High_Upgraded_Water Use (WU) - m3 H2O_Blend Tank; wastewater treatment unit; at updated plant - US_Base_With Amendment_Aerated Static Pile</v>
      </c>
    </row>
    <row r="11276" spans="1:13" s="120" customFormat="1" x14ac:dyDescent="0.25">
      <c r="A11276" s="119"/>
      <c r="B11276" s="138" t="str">
        <f t="shared" si="971"/>
        <v>Aerated Static Pile</v>
      </c>
      <c r="C11276" s="138" t="str">
        <f t="shared" si="972"/>
        <v>Base_With Amendment</v>
      </c>
      <c r="D11276" s="138" t="str">
        <f t="shared" si="970"/>
        <v>Medium_High</v>
      </c>
      <c r="E11276" s="138" t="str">
        <f t="shared" si="968"/>
        <v>High</v>
      </c>
      <c r="F11276" s="138" t="str">
        <f t="shared" si="973"/>
        <v>Upgraded</v>
      </c>
      <c r="G11276" s="153"/>
      <c r="H11276" s="210">
        <v>1.03E-2</v>
      </c>
      <c r="I11276" s="160" t="s">
        <v>128</v>
      </c>
      <c r="J11276" s="211">
        <v>5.0608900000000003E-6</v>
      </c>
      <c r="K11276" s="160" t="s">
        <v>26</v>
      </c>
      <c r="L11276" s="154" t="str">
        <f>IF(OpenLCAbasic!K11276="CTUh", "Fill in Manually",IF(OR(K11276="Unit", K11276=""), "", INDEX(LookUps!$E$5:$E$12, MATCH(OpenLCAbasic!K11276,LookUps!$D$5:$D$12,0))))</f>
        <v>Water Use (WU) - m3 H2O</v>
      </c>
      <c r="M11276" s="154" t="str">
        <f t="shared" si="969"/>
        <v>High_Medium_High_Upgraded_Water Use (WU) - m3 H2O_Wastewater collection; operation and infrastructure; m3 wastewater_Base_With Amendment_Aerated Static Pile</v>
      </c>
    </row>
    <row r="11277" spans="1:13" s="120" customFormat="1" x14ac:dyDescent="0.25">
      <c r="A11277" s="119"/>
      <c r="B11277" s="138" t="str">
        <f t="shared" si="971"/>
        <v>Aerated Static Pile</v>
      </c>
      <c r="C11277" s="138" t="str">
        <f t="shared" si="972"/>
        <v>Base_With Amendment</v>
      </c>
      <c r="D11277" s="138" t="str">
        <f t="shared" si="970"/>
        <v>Medium_High</v>
      </c>
      <c r="E11277" s="138" t="str">
        <f t="shared" si="968"/>
        <v>High</v>
      </c>
      <c r="F11277" s="138" t="str">
        <f t="shared" si="973"/>
        <v>Upgraded</v>
      </c>
      <c r="G11277" s="153"/>
      <c r="H11277" s="210">
        <v>1.6000000000000001E-3</v>
      </c>
      <c r="I11277" s="160" t="s">
        <v>168</v>
      </c>
      <c r="J11277" s="211">
        <v>7.6697000000000004E-7</v>
      </c>
      <c r="K11277" s="160" t="s">
        <v>26</v>
      </c>
      <c r="L11277" s="154" t="str">
        <f>IF(OpenLCAbasic!K11277="CTUh", "Fill in Manually",IF(OR(K11277="Unit", K11277=""), "", INDEX(LookUps!$E$5:$E$12, MATCH(OpenLCAbasic!K11277,LookUps!$D$5:$D$12,0))))</f>
        <v>Water Use (WU) - m3 H2O</v>
      </c>
      <c r="M11277" s="154" t="str">
        <f t="shared" si="969"/>
        <v>High_Medium_High_Upgraded_Water Use (WU) - m3 H2O_ClearCove SCP; wastewater treatment unit; at updated plant - US_Base_With Amendment_Aerated Static Pile</v>
      </c>
    </row>
    <row r="11278" spans="1:13" s="120" customFormat="1" x14ac:dyDescent="0.25">
      <c r="A11278" s="119"/>
      <c r="B11278" s="138" t="str">
        <f t="shared" si="971"/>
        <v>Aerated Static Pile</v>
      </c>
      <c r="C11278" s="138" t="str">
        <f t="shared" si="972"/>
        <v>Base_With Amendment</v>
      </c>
      <c r="D11278" s="138" t="str">
        <f t="shared" si="970"/>
        <v>Medium_High</v>
      </c>
      <c r="E11278" s="138" t="str">
        <f t="shared" si="968"/>
        <v>High</v>
      </c>
      <c r="F11278" s="138" t="str">
        <f t="shared" si="973"/>
        <v>Upgraded</v>
      </c>
      <c r="G11278" s="153"/>
      <c r="H11278" s="210">
        <v>-0.3095</v>
      </c>
      <c r="I11278" s="160" t="s">
        <v>149</v>
      </c>
      <c r="J11278" s="160">
        <v>-1.4999999999999999E-4</v>
      </c>
      <c r="K11278" s="160" t="s">
        <v>26</v>
      </c>
      <c r="L11278" s="154" t="str">
        <f>IF(OpenLCAbasic!K11278="CTUh", "Fill in Manually",IF(OR(K11278="Unit", K11278=""), "", INDEX(LookUps!$E$5:$E$12, MATCH(OpenLCAbasic!K11278,LookUps!$D$5:$D$12,0))))</f>
        <v>Water Use (WU) - m3 H2O</v>
      </c>
      <c r="M11278" s="154" t="str">
        <f t="shared" si="969"/>
        <v>High_Medium_High_Upgraded_Water Use (WU) - m3 H2O_Anaerobic Digestion; wastewater treatment unit; at updated plant - US_Base_With Amendment_Aerated Static Pile</v>
      </c>
    </row>
    <row r="11279" spans="1:13" s="120" customFormat="1" x14ac:dyDescent="0.25">
      <c r="A11279" s="119"/>
      <c r="B11279" s="138" t="str">
        <f t="shared" si="971"/>
        <v>Aerated Static Pile</v>
      </c>
      <c r="C11279" s="138" t="str">
        <f t="shared" si="972"/>
        <v>Base_With Amendment</v>
      </c>
      <c r="D11279" s="138" t="str">
        <f t="shared" si="970"/>
        <v>Medium_High</v>
      </c>
      <c r="E11279" s="138" t="str">
        <f t="shared" si="968"/>
        <v>High</v>
      </c>
      <c r="F11279" s="138" t="str">
        <f t="shared" si="973"/>
        <v>Upgraded</v>
      </c>
      <c r="G11279" s="153"/>
      <c r="H11279" s="210">
        <v>-3.1067</v>
      </c>
      <c r="I11279" s="160" t="s">
        <v>62</v>
      </c>
      <c r="J11279" s="160">
        <v>-1.5200000000000001E-3</v>
      </c>
      <c r="K11279" s="160" t="s">
        <v>26</v>
      </c>
      <c r="L11279" s="154" t="str">
        <f>IF(OpenLCAbasic!K11279="CTUh", "Fill in Manually",IF(OR(K11279="Unit", K11279=""), "", INDEX(LookUps!$E$5:$E$12, MATCH(OpenLCAbasic!K11279,LookUps!$D$5:$D$12,0))))</f>
        <v>Water Use (WU) - m3 H2O</v>
      </c>
      <c r="M11279" s="154" t="str">
        <f t="shared" si="969"/>
        <v>High_Medium_High_Upgraded_Water Use (WU) - m3 H2O_Land application of compost; wastewater treatment unit; at updated plant - US_Base_With Amendment_Aerated Static Pile</v>
      </c>
    </row>
    <row r="11280" spans="1:13" s="120" customFormat="1" x14ac:dyDescent="0.25">
      <c r="A11280" s="119"/>
      <c r="B11280" s="138" t="str">
        <f t="shared" si="971"/>
        <v/>
      </c>
      <c r="C11280" s="138" t="str">
        <f t="shared" si="972"/>
        <v/>
      </c>
      <c r="D11280" s="138" t="str">
        <f>IF(ISNUMBER($J11280),"High_Low","")</f>
        <v/>
      </c>
      <c r="E11280" s="138" t="str">
        <f t="shared" si="968"/>
        <v/>
      </c>
      <c r="F11280" s="138" t="str">
        <f t="shared" si="973"/>
        <v/>
      </c>
      <c r="G11280" s="153" t="s">
        <v>51</v>
      </c>
      <c r="H11280" s="160"/>
      <c r="I11280" s="160" t="s">
        <v>47</v>
      </c>
      <c r="J11280" s="160" t="s">
        <v>52</v>
      </c>
      <c r="K11280" s="160" t="s">
        <v>27</v>
      </c>
      <c r="L11280" s="154" t="str">
        <f>IF(OpenLCAbasic!K11280="CTUh", "Fill in Manually",IF(OR(K11280="Unit", K11280=""), "", INDEX(LookUps!$E$5:$E$12, MATCH(OpenLCAbasic!K11280,LookUps!$D$5:$D$12,0))))</f>
        <v/>
      </c>
      <c r="M11280" s="154" t="str">
        <f t="shared" si="969"/>
        <v>____Process__</v>
      </c>
    </row>
    <row r="11281" spans="1:13" s="120" customFormat="1" x14ac:dyDescent="0.25">
      <c r="A11281" s="119"/>
      <c r="B11281" s="138" t="str">
        <f t="shared" si="971"/>
        <v>Aerated Static Pile</v>
      </c>
      <c r="C11281" s="138" t="str">
        <f t="shared" si="972"/>
        <v>Base_With Amendment</v>
      </c>
      <c r="D11281" s="138" t="str">
        <f t="shared" ref="D11281:D11344" si="974">IF(ISNUMBER($J11281),"High_Low","")</f>
        <v>High_Low</v>
      </c>
      <c r="E11281" s="138" t="str">
        <f t="shared" si="968"/>
        <v>High</v>
      </c>
      <c r="F11281" s="138" t="str">
        <f t="shared" si="973"/>
        <v>Upgraded</v>
      </c>
      <c r="G11281" s="153"/>
      <c r="H11281" s="210">
        <v>0.378</v>
      </c>
      <c r="I11281" s="160" t="s">
        <v>55</v>
      </c>
      <c r="J11281" s="160">
        <v>1.7219999999999999E-2</v>
      </c>
      <c r="K11281" s="160" t="s">
        <v>24</v>
      </c>
      <c r="L11281" s="154" t="str">
        <f>IF(OpenLCAbasic!K11281="CTUh", "Fill in Manually",IF(OR(K11281="Unit", K11281=""), "", INDEX(LookUps!$E$5:$E$12, MATCH(OpenLCAbasic!K11281,LookUps!$D$5:$D$12,0))))</f>
        <v>Acidification Potential (AP) - kg SO2 eq</v>
      </c>
      <c r="M11281" s="154" t="str">
        <f t="shared" si="969"/>
        <v>High_High_Low_Upgraded_Acidification Potential (AP) - kg SO2 eq_Aeration Tanks; wastewater treatment unit; at updated plant - US_Base_With Amendment_Aerated Static Pile</v>
      </c>
    </row>
    <row r="11282" spans="1:13" s="120" customFormat="1" x14ac:dyDescent="0.25">
      <c r="A11282" s="119"/>
      <c r="B11282" s="138" t="str">
        <f t="shared" si="971"/>
        <v>Aerated Static Pile</v>
      </c>
      <c r="C11282" s="138" t="str">
        <f t="shared" si="972"/>
        <v>Base_With Amendment</v>
      </c>
      <c r="D11282" s="138" t="str">
        <f t="shared" si="974"/>
        <v>High_Low</v>
      </c>
      <c r="E11282" s="138" t="str">
        <f t="shared" si="968"/>
        <v>High</v>
      </c>
      <c r="F11282" s="138" t="str">
        <f t="shared" si="973"/>
        <v>Upgraded</v>
      </c>
      <c r="G11282" s="153"/>
      <c r="H11282" s="210">
        <v>0.31159999999999999</v>
      </c>
      <c r="I11282" s="160" t="s">
        <v>435</v>
      </c>
      <c r="J11282" s="160">
        <v>1.4200000000000001E-2</v>
      </c>
      <c r="K11282" s="160" t="s">
        <v>24</v>
      </c>
      <c r="L11282" s="154" t="str">
        <f>IF(OpenLCAbasic!K11282="CTUh", "Fill in Manually",IF(OR(K11282="Unit", K11282=""), "", INDEX(LookUps!$E$5:$E$12, MATCH(OpenLCAbasic!K11282,LookUps!$D$5:$D$12,0))))</f>
        <v>Acidification Potential (AP) - kg SO2 eq</v>
      </c>
      <c r="M11282" s="154" t="str">
        <f t="shared" si="969"/>
        <v>High_High_Low_Upgraded_Acidification Potential (AP) - kg SO2 eq_Biosolids composting; aerated static pile; wastewater treatment unit; at updated plant - US_Base_With Amendment_Aerated Static Pile</v>
      </c>
    </row>
    <row r="11283" spans="1:13" s="120" customFormat="1" x14ac:dyDescent="0.25">
      <c r="A11283" s="119"/>
      <c r="B11283" s="138" t="str">
        <f t="shared" si="971"/>
        <v>Aerated Static Pile</v>
      </c>
      <c r="C11283" s="138" t="str">
        <f t="shared" si="972"/>
        <v>Base_With Amendment</v>
      </c>
      <c r="D11283" s="138" t="str">
        <f t="shared" si="974"/>
        <v>High_Low</v>
      </c>
      <c r="E11283" s="138" t="str">
        <f t="shared" si="968"/>
        <v>High</v>
      </c>
      <c r="F11283" s="138" t="str">
        <f t="shared" si="973"/>
        <v>Upgraded</v>
      </c>
      <c r="G11283" s="153"/>
      <c r="H11283" s="210">
        <v>0.11070000000000001</v>
      </c>
      <c r="I11283" s="160" t="s">
        <v>62</v>
      </c>
      <c r="J11283" s="160">
        <v>5.0400000000000002E-3</v>
      </c>
      <c r="K11283" s="160" t="s">
        <v>24</v>
      </c>
      <c r="L11283" s="154" t="str">
        <f>IF(OpenLCAbasic!K11283="CTUh", "Fill in Manually",IF(OR(K11283="Unit", K11283=""), "", INDEX(LookUps!$E$5:$E$12, MATCH(OpenLCAbasic!K11283,LookUps!$D$5:$D$12,0))))</f>
        <v>Acidification Potential (AP) - kg SO2 eq</v>
      </c>
      <c r="M11283" s="154" t="str">
        <f t="shared" si="969"/>
        <v>High_High_Low_Upgraded_Acidification Potential (AP) - kg SO2 eq_Land application of compost; wastewater treatment unit; at updated plant - US_Base_With Amendment_Aerated Static Pile</v>
      </c>
    </row>
    <row r="11284" spans="1:13" s="120" customFormat="1" x14ac:dyDescent="0.25">
      <c r="A11284" s="119"/>
      <c r="B11284" s="138" t="str">
        <f t="shared" si="971"/>
        <v>Aerated Static Pile</v>
      </c>
      <c r="C11284" s="138" t="str">
        <f t="shared" si="972"/>
        <v>Base_With Amendment</v>
      </c>
      <c r="D11284" s="138" t="str">
        <f t="shared" si="974"/>
        <v>High_Low</v>
      </c>
      <c r="E11284" s="138" t="str">
        <f t="shared" si="968"/>
        <v>High</v>
      </c>
      <c r="F11284" s="138" t="str">
        <f t="shared" si="973"/>
        <v>Upgraded</v>
      </c>
      <c r="G11284" s="153"/>
      <c r="H11284" s="210">
        <v>0.10929999999999999</v>
      </c>
      <c r="I11284" s="160" t="s">
        <v>54</v>
      </c>
      <c r="J11284" s="160">
        <v>4.9800000000000001E-3</v>
      </c>
      <c r="K11284" s="160" t="s">
        <v>24</v>
      </c>
      <c r="L11284" s="154" t="str">
        <f>IF(OpenLCAbasic!K11284="CTUh", "Fill in Manually",IF(OR(K11284="Unit", K11284=""), "", INDEX(LookUps!$E$5:$E$12, MATCH(OpenLCAbasic!K11284,LookUps!$D$5:$D$12,0))))</f>
        <v>Acidification Potential (AP) - kg SO2 eq</v>
      </c>
      <c r="M11284" s="154" t="str">
        <f t="shared" si="969"/>
        <v>High_High_Low_Upgraded_Acidification Potential (AP) - kg SO2 eq_Clear Cove Primary Clarification; wastewater treatment unit; at updated plant - US_Base_With Amendment_Aerated Static Pile</v>
      </c>
    </row>
    <row r="11285" spans="1:13" s="120" customFormat="1" x14ac:dyDescent="0.25">
      <c r="A11285" s="119"/>
      <c r="B11285" s="138" t="str">
        <f t="shared" si="971"/>
        <v>Aerated Static Pile</v>
      </c>
      <c r="C11285" s="138" t="str">
        <f t="shared" si="972"/>
        <v>Base_With Amendment</v>
      </c>
      <c r="D11285" s="138" t="str">
        <f t="shared" si="974"/>
        <v>High_Low</v>
      </c>
      <c r="E11285" s="138" t="str">
        <f t="shared" si="968"/>
        <v>High</v>
      </c>
      <c r="F11285" s="138" t="str">
        <f t="shared" si="973"/>
        <v>Upgraded</v>
      </c>
      <c r="G11285" s="153"/>
      <c r="H11285" s="210">
        <v>9.5799999999999996E-2</v>
      </c>
      <c r="I11285" s="160" t="s">
        <v>58</v>
      </c>
      <c r="J11285" s="160">
        <v>4.3600000000000002E-3</v>
      </c>
      <c r="K11285" s="160" t="s">
        <v>24</v>
      </c>
      <c r="L11285" s="154" t="str">
        <f>IF(OpenLCAbasic!K11285="CTUh", "Fill in Manually",IF(OR(K11285="Unit", K11285=""), "", INDEX(LookUps!$E$5:$E$12, MATCH(OpenLCAbasic!K11285,LookUps!$D$5:$D$12,0))))</f>
        <v>Acidification Potential (AP) - kg SO2 eq</v>
      </c>
      <c r="M11285" s="154" t="str">
        <f t="shared" si="969"/>
        <v>High_High_Low_Upgraded_Acidification Potential (AP) - kg SO2 eq_Pre-Anoxic &amp; Swing tank; wastewater treatment unit; at updated plant - US_Base_With Amendment_Aerated Static Pile</v>
      </c>
    </row>
    <row r="11286" spans="1:13" s="120" customFormat="1" x14ac:dyDescent="0.25">
      <c r="A11286" s="119"/>
      <c r="B11286" s="138" t="str">
        <f t="shared" si="971"/>
        <v>Aerated Static Pile</v>
      </c>
      <c r="C11286" s="138" t="str">
        <f t="shared" si="972"/>
        <v>Base_With Amendment</v>
      </c>
      <c r="D11286" s="138" t="str">
        <f t="shared" si="974"/>
        <v>High_Low</v>
      </c>
      <c r="E11286" s="138" t="str">
        <f t="shared" si="968"/>
        <v>High</v>
      </c>
      <c r="F11286" s="138" t="str">
        <f t="shared" si="973"/>
        <v>Upgraded</v>
      </c>
      <c r="G11286" s="153"/>
      <c r="H11286" s="210">
        <v>7.5700000000000003E-2</v>
      </c>
      <c r="I11286" s="160" t="s">
        <v>53</v>
      </c>
      <c r="J11286" s="160">
        <v>3.4499999999999999E-3</v>
      </c>
      <c r="K11286" s="160" t="s">
        <v>24</v>
      </c>
      <c r="L11286" s="154" t="str">
        <f>IF(OpenLCAbasic!K11286="CTUh", "Fill in Manually",IF(OR(K11286="Unit", K11286=""), "", INDEX(LookUps!$E$5:$E$12, MATCH(OpenLCAbasic!K11286,LookUps!$D$5:$D$12,0))))</f>
        <v>Acidification Potential (AP) - kg SO2 eq</v>
      </c>
      <c r="M11286" s="154" t="str">
        <f t="shared" si="969"/>
        <v>High_High_Low_Upgraded_Acidification Potential (AP) - kg SO2 eq_Wet Well and Sump Station; wastewater treatment unit; at updated plant - US_Base_With Amendment_Aerated Static Pile</v>
      </c>
    </row>
    <row r="11287" spans="1:13" s="120" customFormat="1" x14ac:dyDescent="0.25">
      <c r="A11287" s="119"/>
      <c r="B11287" s="138" t="str">
        <f t="shared" si="971"/>
        <v>Aerated Static Pile</v>
      </c>
      <c r="C11287" s="138" t="str">
        <f t="shared" si="972"/>
        <v>Base_With Amendment</v>
      </c>
      <c r="D11287" s="138" t="str">
        <f t="shared" si="974"/>
        <v>High_Low</v>
      </c>
      <c r="E11287" s="138" t="str">
        <f t="shared" si="968"/>
        <v>High</v>
      </c>
      <c r="F11287" s="138" t="str">
        <f t="shared" si="973"/>
        <v>Upgraded</v>
      </c>
      <c r="G11287" s="153"/>
      <c r="H11287" s="210">
        <v>5.9299999999999999E-2</v>
      </c>
      <c r="I11287" s="160" t="s">
        <v>167</v>
      </c>
      <c r="J11287" s="160">
        <v>2.7000000000000001E-3</v>
      </c>
      <c r="K11287" s="160" t="s">
        <v>24</v>
      </c>
      <c r="L11287" s="154" t="str">
        <f>IF(OpenLCAbasic!K11287="CTUh", "Fill in Manually",IF(OR(K11287="Unit", K11287=""), "", INDEX(LookUps!$E$5:$E$12, MATCH(OpenLCAbasic!K11287,LookUps!$D$5:$D$12,0))))</f>
        <v>Acidification Potential (AP) - kg SO2 eq</v>
      </c>
      <c r="M11287" s="154" t="str">
        <f t="shared" si="969"/>
        <v>High_High_Low_Upgraded_Acidification Potential (AP) - kg SO2 eq_Waste Receiving and Holding; wastewater treatment unit; at updated plant - US_Base_With Amendment_Aerated Static Pile</v>
      </c>
    </row>
    <row r="11288" spans="1:13" s="120" customFormat="1" x14ac:dyDescent="0.25">
      <c r="A11288" s="119"/>
      <c r="B11288" s="138" t="str">
        <f t="shared" si="971"/>
        <v>Aerated Static Pile</v>
      </c>
      <c r="C11288" s="138" t="str">
        <f t="shared" si="972"/>
        <v>Base_With Amendment</v>
      </c>
      <c r="D11288" s="138" t="str">
        <f t="shared" si="974"/>
        <v>High_Low</v>
      </c>
      <c r="E11288" s="138" t="str">
        <f t="shared" si="968"/>
        <v>High</v>
      </c>
      <c r="F11288" s="138" t="str">
        <f t="shared" si="973"/>
        <v>Upgraded</v>
      </c>
      <c r="G11288" s="153"/>
      <c r="H11288" s="210">
        <v>4.5400000000000003E-2</v>
      </c>
      <c r="I11288" s="160" t="s">
        <v>147</v>
      </c>
      <c r="J11288" s="160">
        <v>2.0699999999999998E-3</v>
      </c>
      <c r="K11288" s="160" t="s">
        <v>24</v>
      </c>
      <c r="L11288" s="154" t="str">
        <f>IF(OpenLCAbasic!K11288="CTUh", "Fill in Manually",IF(OR(K11288="Unit", K11288=""), "", INDEX(LookUps!$E$5:$E$12, MATCH(OpenLCAbasic!K11288,LookUps!$D$5:$D$12,0))))</f>
        <v>Acidification Potential (AP) - kg SO2 eq</v>
      </c>
      <c r="M11288" s="154" t="str">
        <f t="shared" si="969"/>
        <v>High_High_Low_Upgraded_Acidification Potential (AP) - kg SO2 eq_Influent Pump Station; wastewater treatment unit; at updated plant - US_Base_With Amendment_Aerated Static Pile</v>
      </c>
    </row>
    <row r="11289" spans="1:13" s="120" customFormat="1" x14ac:dyDescent="0.25">
      <c r="A11289" s="119"/>
      <c r="B11289" s="138" t="str">
        <f t="shared" si="971"/>
        <v>Aerated Static Pile</v>
      </c>
      <c r="C11289" s="138" t="str">
        <f t="shared" si="972"/>
        <v>Base_With Amendment</v>
      </c>
      <c r="D11289" s="138" t="str">
        <f t="shared" si="974"/>
        <v>High_Low</v>
      </c>
      <c r="E11289" s="138" t="str">
        <f t="shared" si="968"/>
        <v>High</v>
      </c>
      <c r="F11289" s="138" t="str">
        <f t="shared" si="973"/>
        <v>Upgraded</v>
      </c>
      <c r="G11289" s="153"/>
      <c r="H11289" s="210">
        <v>3.6900000000000002E-2</v>
      </c>
      <c r="I11289" s="160" t="s">
        <v>60</v>
      </c>
      <c r="J11289" s="160">
        <v>1.6800000000000001E-3</v>
      </c>
      <c r="K11289" s="160" t="s">
        <v>24</v>
      </c>
      <c r="L11289" s="154" t="str">
        <f>IF(OpenLCAbasic!K11289="CTUh", "Fill in Manually",IF(OR(K11289="Unit", K11289=""), "", INDEX(LookUps!$E$5:$E$12, MATCH(OpenLCAbasic!K11289,LookUps!$D$5:$D$12,0))))</f>
        <v>Acidification Potential (AP) - kg SO2 eq</v>
      </c>
      <c r="M11289" s="154" t="str">
        <f t="shared" si="969"/>
        <v>High_High_Low_Upgraded_Acidification Potential (AP) - kg SO2 eq_Belt filter press; wastewater treatment unit; at updated plant - US_Base_With Amendment_Aerated Static Pile</v>
      </c>
    </row>
    <row r="11290" spans="1:13" s="120" customFormat="1" x14ac:dyDescent="0.25">
      <c r="A11290" s="119"/>
      <c r="B11290" s="138" t="str">
        <f t="shared" si="971"/>
        <v>Aerated Static Pile</v>
      </c>
      <c r="C11290" s="138" t="str">
        <f t="shared" si="972"/>
        <v>Base_With Amendment</v>
      </c>
      <c r="D11290" s="138" t="str">
        <f t="shared" si="974"/>
        <v>High_Low</v>
      </c>
      <c r="E11290" s="138" t="str">
        <f t="shared" si="968"/>
        <v>High</v>
      </c>
      <c r="F11290" s="138" t="str">
        <f t="shared" si="973"/>
        <v>Upgraded</v>
      </c>
      <c r="G11290" s="153"/>
      <c r="H11290" s="210">
        <v>2.7099999999999999E-2</v>
      </c>
      <c r="I11290" s="160" t="s">
        <v>128</v>
      </c>
      <c r="J11290" s="160">
        <v>1.23E-3</v>
      </c>
      <c r="K11290" s="160" t="s">
        <v>24</v>
      </c>
      <c r="L11290" s="154" t="str">
        <f>IF(OpenLCAbasic!K11290="CTUh", "Fill in Manually",IF(OR(K11290="Unit", K11290=""), "", INDEX(LookUps!$E$5:$E$12, MATCH(OpenLCAbasic!K11290,LookUps!$D$5:$D$12,0))))</f>
        <v>Acidification Potential (AP) - kg SO2 eq</v>
      </c>
      <c r="M11290" s="154" t="str">
        <f t="shared" si="969"/>
        <v>High_High_Low_Upgraded_Acidification Potential (AP) - kg SO2 eq_Wastewater collection; operation and infrastructure; m3 wastewater_Base_With Amendment_Aerated Static Pile</v>
      </c>
    </row>
    <row r="11291" spans="1:13" s="120" customFormat="1" x14ac:dyDescent="0.25">
      <c r="A11291" s="119"/>
      <c r="B11291" s="138" t="str">
        <f t="shared" si="971"/>
        <v>Aerated Static Pile</v>
      </c>
      <c r="C11291" s="138" t="str">
        <f t="shared" si="972"/>
        <v>Base_With Amendment</v>
      </c>
      <c r="D11291" s="138" t="str">
        <f t="shared" si="974"/>
        <v>High_Low</v>
      </c>
      <c r="E11291" s="138" t="str">
        <f t="shared" si="968"/>
        <v>High</v>
      </c>
      <c r="F11291" s="138" t="str">
        <f t="shared" si="973"/>
        <v>Upgraded</v>
      </c>
      <c r="G11291" s="153"/>
      <c r="H11291" s="210">
        <v>1.55E-2</v>
      </c>
      <c r="I11291" s="160" t="s">
        <v>57</v>
      </c>
      <c r="J11291" s="160">
        <v>6.9999999999999999E-4</v>
      </c>
      <c r="K11291" s="160" t="s">
        <v>24</v>
      </c>
      <c r="L11291" s="154" t="str">
        <f>IF(OpenLCAbasic!K11291="CTUh", "Fill in Manually",IF(OR(K11291="Unit", K11291=""), "", INDEX(LookUps!$E$5:$E$12, MATCH(OpenLCAbasic!K11291,LookUps!$D$5:$D$12,0))))</f>
        <v>Acidification Potential (AP) - kg SO2 eq</v>
      </c>
      <c r="M11291" s="154" t="str">
        <f t="shared" si="969"/>
        <v>High_High_Low_Upgraded_Acidification Potential (AP) - kg SO2 eq_Gravity Belt Thickener; wastewater treatment unit; at updated plant - US_Base_With Amendment_Aerated Static Pile</v>
      </c>
    </row>
    <row r="11292" spans="1:13" s="120" customFormat="1" x14ac:dyDescent="0.25">
      <c r="A11292" s="119"/>
      <c r="B11292" s="138" t="str">
        <f t="shared" si="971"/>
        <v>Aerated Static Pile</v>
      </c>
      <c r="C11292" s="138" t="str">
        <f t="shared" si="972"/>
        <v>Base_With Amendment</v>
      </c>
      <c r="D11292" s="138" t="str">
        <f t="shared" si="974"/>
        <v>High_Low</v>
      </c>
      <c r="E11292" s="138" t="str">
        <f t="shared" si="968"/>
        <v>High</v>
      </c>
      <c r="F11292" s="138" t="str">
        <f t="shared" si="973"/>
        <v>Upgraded</v>
      </c>
      <c r="G11292" s="153"/>
      <c r="H11292" s="210">
        <v>1.1299999999999999E-2</v>
      </c>
      <c r="I11292" s="160" t="s">
        <v>59</v>
      </c>
      <c r="J11292" s="160">
        <v>5.1999999999999995E-4</v>
      </c>
      <c r="K11292" s="160" t="s">
        <v>24</v>
      </c>
      <c r="L11292" s="154" t="str">
        <f>IF(OpenLCAbasic!K11292="CTUh", "Fill in Manually",IF(OR(K11292="Unit", K11292=""), "", INDEX(LookUps!$E$5:$E$12, MATCH(OpenLCAbasic!K11292,LookUps!$D$5:$D$12,0))))</f>
        <v>Acidification Potential (AP) - kg SO2 eq</v>
      </c>
      <c r="M11292" s="154" t="str">
        <f t="shared" si="969"/>
        <v>High_High_Low_Upgraded_Acidification Potential (AP) - kg SO2 eq_Blend Tank; wastewater treatment unit; at updated plant - US_Base_With Amendment_Aerated Static Pile</v>
      </c>
    </row>
    <row r="11293" spans="1:13" s="120" customFormat="1" x14ac:dyDescent="0.25">
      <c r="A11293" s="119"/>
      <c r="B11293" s="138" t="str">
        <f t="shared" si="971"/>
        <v>Aerated Static Pile</v>
      </c>
      <c r="C11293" s="138" t="str">
        <f t="shared" si="972"/>
        <v>Base_With Amendment</v>
      </c>
      <c r="D11293" s="138" t="str">
        <f t="shared" si="974"/>
        <v>High_Low</v>
      </c>
      <c r="E11293" s="138" t="str">
        <f t="shared" si="968"/>
        <v>High</v>
      </c>
      <c r="F11293" s="138" t="str">
        <f t="shared" si="973"/>
        <v>Upgraded</v>
      </c>
      <c r="G11293" s="153"/>
      <c r="H11293" s="210">
        <v>7.6E-3</v>
      </c>
      <c r="I11293" s="160" t="s">
        <v>48</v>
      </c>
      <c r="J11293" s="160">
        <v>3.5E-4</v>
      </c>
      <c r="K11293" s="160" t="s">
        <v>24</v>
      </c>
      <c r="L11293" s="154" t="str">
        <f>IF(OpenLCAbasic!K11293="CTUh", "Fill in Manually",IF(OR(K11293="Unit", K11293=""), "", INDEX(LookUps!$E$5:$E$12, MATCH(OpenLCAbasic!K11293,LookUps!$D$5:$D$12,0))))</f>
        <v>Acidification Potential (AP) - kg SO2 eq</v>
      </c>
      <c r="M11293" s="154" t="str">
        <f t="shared" si="969"/>
        <v>High_High_Low_Upgraded_Acidification Potential (AP) - kg SO2 eq_Effluent release; wastewater treatment unit; at surface water; m3 wastewater - US_Base_With Amendment_Aerated Static Pile</v>
      </c>
    </row>
    <row r="11294" spans="1:13" s="120" customFormat="1" x14ac:dyDescent="0.25">
      <c r="A11294" s="119"/>
      <c r="B11294" s="138" t="str">
        <f t="shared" si="971"/>
        <v>Aerated Static Pile</v>
      </c>
      <c r="C11294" s="138" t="str">
        <f t="shared" si="972"/>
        <v>Base_With Amendment</v>
      </c>
      <c r="D11294" s="138" t="str">
        <f t="shared" si="974"/>
        <v>High_Low</v>
      </c>
      <c r="E11294" s="138" t="str">
        <f t="shared" si="968"/>
        <v>High</v>
      </c>
      <c r="F11294" s="138" t="str">
        <f t="shared" si="973"/>
        <v>Upgraded</v>
      </c>
      <c r="G11294" s="153"/>
      <c r="H11294" s="210">
        <v>5.5999999999999999E-3</v>
      </c>
      <c r="I11294" s="160" t="s">
        <v>168</v>
      </c>
      <c r="J11294" s="160">
        <v>2.5999999999999998E-4</v>
      </c>
      <c r="K11294" s="160" t="s">
        <v>24</v>
      </c>
      <c r="L11294" s="154" t="str">
        <f>IF(OpenLCAbasic!K11294="CTUh", "Fill in Manually",IF(OR(K11294="Unit", K11294=""), "", INDEX(LookUps!$E$5:$E$12, MATCH(OpenLCAbasic!K11294,LookUps!$D$5:$D$12,0))))</f>
        <v>Acidification Potential (AP) - kg SO2 eq</v>
      </c>
      <c r="M11294" s="154" t="str">
        <f t="shared" si="969"/>
        <v>High_High_Low_Upgraded_Acidification Potential (AP) - kg SO2 eq_ClearCove SCP; wastewater treatment unit; at updated plant - US_Base_With Amendment_Aerated Static Pile</v>
      </c>
    </row>
    <row r="11295" spans="1:13" s="120" customFormat="1" x14ac:dyDescent="0.25">
      <c r="A11295" s="119"/>
      <c r="B11295" s="138" t="str">
        <f t="shared" si="971"/>
        <v>Aerated Static Pile</v>
      </c>
      <c r="C11295" s="138" t="str">
        <f t="shared" si="972"/>
        <v>Base_With Amendment</v>
      </c>
      <c r="D11295" s="138" t="str">
        <f t="shared" si="974"/>
        <v>High_Low</v>
      </c>
      <c r="E11295" s="138" t="str">
        <f t="shared" si="968"/>
        <v>High</v>
      </c>
      <c r="F11295" s="138" t="str">
        <f t="shared" si="973"/>
        <v>Upgraded</v>
      </c>
      <c r="G11295" s="153"/>
      <c r="H11295" s="210">
        <v>8.9999999999999998E-4</v>
      </c>
      <c r="I11295" s="160" t="s">
        <v>148</v>
      </c>
      <c r="J11295" s="211">
        <v>4.0354700000000002E-5</v>
      </c>
      <c r="K11295" s="160" t="s">
        <v>24</v>
      </c>
      <c r="L11295" s="154" t="str">
        <f>IF(OpenLCAbasic!K11295="CTUh", "Fill in Manually",IF(OR(K11295="Unit", K11295=""), "", INDEX(LookUps!$E$5:$E$12, MATCH(OpenLCAbasic!K11295,LookUps!$D$5:$D$12,0))))</f>
        <v>Acidification Potential (AP) - kg SO2 eq</v>
      </c>
      <c r="M11295" s="154" t="str">
        <f t="shared" si="969"/>
        <v>High_High_Low_Upgraded_Acidification Potential (AP) - kg SO2 eq_Control Building; at upgraded wastewater treatment plant - US_Base_With Amendment_Aerated Static Pile</v>
      </c>
    </row>
    <row r="11296" spans="1:13" s="120" customFormat="1" x14ac:dyDescent="0.25">
      <c r="A11296" s="119"/>
      <c r="B11296" s="138" t="str">
        <f t="shared" si="971"/>
        <v>Aerated Static Pile</v>
      </c>
      <c r="C11296" s="138" t="str">
        <f t="shared" si="972"/>
        <v>Base_With Amendment</v>
      </c>
      <c r="D11296" s="138" t="str">
        <f t="shared" si="974"/>
        <v>High_Low</v>
      </c>
      <c r="E11296" s="138" t="str">
        <f t="shared" si="968"/>
        <v>High</v>
      </c>
      <c r="F11296" s="138" t="str">
        <f t="shared" si="973"/>
        <v>Upgraded</v>
      </c>
      <c r="G11296" s="153"/>
      <c r="H11296" s="210">
        <v>-0.2908</v>
      </c>
      <c r="I11296" s="160" t="s">
        <v>149</v>
      </c>
      <c r="J11296" s="160">
        <v>-1.325E-2</v>
      </c>
      <c r="K11296" s="160" t="s">
        <v>24</v>
      </c>
      <c r="L11296" s="154" t="str">
        <f>IF(OpenLCAbasic!K11296="CTUh", "Fill in Manually",IF(OR(K11296="Unit", K11296=""), "", INDEX(LookUps!$E$5:$E$12, MATCH(OpenLCAbasic!K11296,LookUps!$D$5:$D$12,0))))</f>
        <v>Acidification Potential (AP) - kg SO2 eq</v>
      </c>
      <c r="M11296" s="154" t="str">
        <f t="shared" si="969"/>
        <v>High_High_Low_Upgraded_Acidification Potential (AP) - kg SO2 eq_Anaerobic Digestion; wastewater treatment unit; at updated plant - US_Base_With Amendment_Aerated Static Pile</v>
      </c>
    </row>
    <row r="11297" spans="1:13" s="120" customFormat="1" x14ac:dyDescent="0.25">
      <c r="A11297" s="119"/>
      <c r="B11297" s="138" t="str">
        <f t="shared" si="971"/>
        <v/>
      </c>
      <c r="C11297" s="138" t="str">
        <f t="shared" si="972"/>
        <v/>
      </c>
      <c r="D11297" s="138" t="str">
        <f t="shared" si="974"/>
        <v/>
      </c>
      <c r="E11297" s="138" t="str">
        <f t="shared" si="968"/>
        <v/>
      </c>
      <c r="F11297" s="138" t="str">
        <f t="shared" si="973"/>
        <v/>
      </c>
      <c r="G11297" s="153" t="s">
        <v>51</v>
      </c>
      <c r="H11297" s="160"/>
      <c r="I11297" s="160" t="s">
        <v>47</v>
      </c>
      <c r="J11297" s="160" t="s">
        <v>52</v>
      </c>
      <c r="K11297" s="160" t="s">
        <v>27</v>
      </c>
      <c r="L11297" s="154" t="str">
        <f>IF(OpenLCAbasic!K11297="CTUh", "Fill in Manually",IF(OR(K11297="Unit", K11297=""), "", INDEX(LookUps!$E$5:$E$12, MATCH(OpenLCAbasic!K11297,LookUps!$D$5:$D$12,0))))</f>
        <v/>
      </c>
      <c r="M11297" s="154" t="str">
        <f t="shared" si="969"/>
        <v>____Process__</v>
      </c>
    </row>
    <row r="11298" spans="1:13" s="120" customFormat="1" x14ac:dyDescent="0.25">
      <c r="A11298" s="119"/>
      <c r="B11298" s="138" t="str">
        <f t="shared" si="971"/>
        <v>Aerated Static Pile</v>
      </c>
      <c r="C11298" s="138" t="str">
        <f t="shared" si="972"/>
        <v>Base_With Amendment</v>
      </c>
      <c r="D11298" s="138" t="str">
        <f t="shared" si="974"/>
        <v>High_Low</v>
      </c>
      <c r="E11298" s="138" t="str">
        <f t="shared" si="968"/>
        <v>High</v>
      </c>
      <c r="F11298" s="138" t="str">
        <f t="shared" si="973"/>
        <v>Upgraded</v>
      </c>
      <c r="G11298" s="153"/>
      <c r="H11298" s="210">
        <v>0.47070000000000001</v>
      </c>
      <c r="I11298" s="160" t="s">
        <v>167</v>
      </c>
      <c r="J11298" s="160">
        <v>5.1393399999999998</v>
      </c>
      <c r="K11298" s="160" t="s">
        <v>15</v>
      </c>
      <c r="L11298" s="154" t="str">
        <f>IF(OpenLCAbasic!K11298="CTUh", "Fill in Manually",IF(OR(K11298="Unit", K11298=""), "", INDEX(LookUps!$E$5:$E$12, MATCH(OpenLCAbasic!K11298,LookUps!$D$5:$D$12,0))))</f>
        <v>Cumulative Energy Demand (CED) - MJ</v>
      </c>
      <c r="M11298" s="154" t="str">
        <f t="shared" si="969"/>
        <v>High_High_Low_Upgraded_Cumulative Energy Demand (CED) - MJ_Waste Receiving and Holding; wastewater treatment unit; at updated plant - US_Base_With Amendment_Aerated Static Pile</v>
      </c>
    </row>
    <row r="11299" spans="1:13" s="120" customFormat="1" x14ac:dyDescent="0.25">
      <c r="A11299" s="119"/>
      <c r="B11299" s="138" t="str">
        <f t="shared" si="971"/>
        <v>Aerated Static Pile</v>
      </c>
      <c r="C11299" s="138" t="str">
        <f t="shared" si="972"/>
        <v>Base_With Amendment</v>
      </c>
      <c r="D11299" s="138" t="str">
        <f t="shared" si="974"/>
        <v>High_Low</v>
      </c>
      <c r="E11299" s="138" t="str">
        <f t="shared" si="968"/>
        <v>High</v>
      </c>
      <c r="F11299" s="138" t="str">
        <f t="shared" si="973"/>
        <v>Upgraded</v>
      </c>
      <c r="G11299" s="153"/>
      <c r="H11299" s="210">
        <v>0.3236</v>
      </c>
      <c r="I11299" s="160" t="s">
        <v>55</v>
      </c>
      <c r="J11299" s="160">
        <v>3.5330499999999998</v>
      </c>
      <c r="K11299" s="160" t="s">
        <v>15</v>
      </c>
      <c r="L11299" s="154" t="str">
        <f>IF(OpenLCAbasic!K11299="CTUh", "Fill in Manually",IF(OR(K11299="Unit", K11299=""), "", INDEX(LookUps!$E$5:$E$12, MATCH(OpenLCAbasic!K11299,LookUps!$D$5:$D$12,0))))</f>
        <v>Cumulative Energy Demand (CED) - MJ</v>
      </c>
      <c r="M11299" s="154" t="str">
        <f t="shared" si="969"/>
        <v>High_High_Low_Upgraded_Cumulative Energy Demand (CED) - MJ_Aeration Tanks; wastewater treatment unit; at updated plant - US_Base_With Amendment_Aerated Static Pile</v>
      </c>
    </row>
    <row r="11300" spans="1:13" s="120" customFormat="1" x14ac:dyDescent="0.25">
      <c r="A11300" s="119"/>
      <c r="B11300" s="138" t="str">
        <f t="shared" si="971"/>
        <v>Aerated Static Pile</v>
      </c>
      <c r="C11300" s="138" t="str">
        <f t="shared" si="972"/>
        <v>Base_With Amendment</v>
      </c>
      <c r="D11300" s="138" t="str">
        <f t="shared" si="974"/>
        <v>High_Low</v>
      </c>
      <c r="E11300" s="138" t="str">
        <f t="shared" si="968"/>
        <v>High</v>
      </c>
      <c r="F11300" s="138" t="str">
        <f t="shared" si="973"/>
        <v>Upgraded</v>
      </c>
      <c r="G11300" s="153"/>
      <c r="H11300" s="210">
        <v>0.2419</v>
      </c>
      <c r="I11300" s="160" t="s">
        <v>435</v>
      </c>
      <c r="J11300" s="160">
        <v>2.6414200000000001</v>
      </c>
      <c r="K11300" s="160" t="s">
        <v>15</v>
      </c>
      <c r="L11300" s="154" t="str">
        <f>IF(OpenLCAbasic!K11300="CTUh", "Fill in Manually",IF(OR(K11300="Unit", K11300=""), "", INDEX(LookUps!$E$5:$E$12, MATCH(OpenLCAbasic!K11300,LookUps!$D$5:$D$12,0))))</f>
        <v>Cumulative Energy Demand (CED) - MJ</v>
      </c>
      <c r="M11300" s="154" t="str">
        <f t="shared" si="969"/>
        <v>High_High_Low_Upgraded_Cumulative Energy Demand (CED) - MJ_Biosolids composting; aerated static pile; wastewater treatment unit; at updated plant - US_Base_With Amendment_Aerated Static Pile</v>
      </c>
    </row>
    <row r="11301" spans="1:13" s="120" customFormat="1" x14ac:dyDescent="0.25">
      <c r="A11301" s="119"/>
      <c r="B11301" s="138" t="str">
        <f t="shared" si="971"/>
        <v>Aerated Static Pile</v>
      </c>
      <c r="C11301" s="138" t="str">
        <f t="shared" si="972"/>
        <v>Base_With Amendment</v>
      </c>
      <c r="D11301" s="138" t="str">
        <f t="shared" si="974"/>
        <v>High_Low</v>
      </c>
      <c r="E11301" s="138" t="str">
        <f t="shared" si="968"/>
        <v>High</v>
      </c>
      <c r="F11301" s="138" t="str">
        <f t="shared" si="973"/>
        <v>Upgraded</v>
      </c>
      <c r="G11301" s="153"/>
      <c r="H11301" s="210">
        <v>0.1065</v>
      </c>
      <c r="I11301" s="160" t="s">
        <v>54</v>
      </c>
      <c r="J11301" s="160">
        <v>1.16289</v>
      </c>
      <c r="K11301" s="160" t="s">
        <v>15</v>
      </c>
      <c r="L11301" s="154" t="str">
        <f>IF(OpenLCAbasic!K11301="CTUh", "Fill in Manually",IF(OR(K11301="Unit", K11301=""), "", INDEX(LookUps!$E$5:$E$12, MATCH(OpenLCAbasic!K11301,LookUps!$D$5:$D$12,0))))</f>
        <v>Cumulative Energy Demand (CED) - MJ</v>
      </c>
      <c r="M11301" s="154" t="str">
        <f t="shared" si="969"/>
        <v>High_High_Low_Upgraded_Cumulative Energy Demand (CED) - MJ_Clear Cove Primary Clarification; wastewater treatment unit; at updated plant - US_Base_With Amendment_Aerated Static Pile</v>
      </c>
    </row>
    <row r="11302" spans="1:13" s="120" customFormat="1" x14ac:dyDescent="0.25">
      <c r="A11302" s="119"/>
      <c r="B11302" s="138" t="str">
        <f t="shared" si="971"/>
        <v>Aerated Static Pile</v>
      </c>
      <c r="C11302" s="138" t="str">
        <f t="shared" si="972"/>
        <v>Base_With Amendment</v>
      </c>
      <c r="D11302" s="138" t="str">
        <f t="shared" si="974"/>
        <v>High_Low</v>
      </c>
      <c r="E11302" s="138" t="str">
        <f t="shared" si="968"/>
        <v>High</v>
      </c>
      <c r="F11302" s="138" t="str">
        <f t="shared" si="973"/>
        <v>Upgraded</v>
      </c>
      <c r="G11302" s="153"/>
      <c r="H11302" s="210">
        <v>8.1600000000000006E-2</v>
      </c>
      <c r="I11302" s="160" t="s">
        <v>58</v>
      </c>
      <c r="J11302" s="160">
        <v>0.89063999999999999</v>
      </c>
      <c r="K11302" s="160" t="s">
        <v>15</v>
      </c>
      <c r="L11302" s="154" t="str">
        <f>IF(OpenLCAbasic!K11302="CTUh", "Fill in Manually",IF(OR(K11302="Unit", K11302=""), "", INDEX(LookUps!$E$5:$E$12, MATCH(OpenLCAbasic!K11302,LookUps!$D$5:$D$12,0))))</f>
        <v>Cumulative Energy Demand (CED) - MJ</v>
      </c>
      <c r="M11302" s="154" t="str">
        <f t="shared" si="969"/>
        <v>High_High_Low_Upgraded_Cumulative Energy Demand (CED) - MJ_Pre-Anoxic &amp; Swing tank; wastewater treatment unit; at updated plant - US_Base_With Amendment_Aerated Static Pile</v>
      </c>
    </row>
    <row r="11303" spans="1:13" s="120" customFormat="1" x14ac:dyDescent="0.25">
      <c r="A11303" s="119"/>
      <c r="B11303" s="138" t="str">
        <f t="shared" si="971"/>
        <v>Aerated Static Pile</v>
      </c>
      <c r="C11303" s="138" t="str">
        <f t="shared" si="972"/>
        <v>Base_With Amendment</v>
      </c>
      <c r="D11303" s="138" t="str">
        <f t="shared" si="974"/>
        <v>High_Low</v>
      </c>
      <c r="E11303" s="138" t="str">
        <f t="shared" si="968"/>
        <v>High</v>
      </c>
      <c r="F11303" s="138" t="str">
        <f t="shared" si="973"/>
        <v>Upgraded</v>
      </c>
      <c r="G11303" s="153"/>
      <c r="H11303" s="210">
        <v>8.09E-2</v>
      </c>
      <c r="I11303" s="160" t="s">
        <v>147</v>
      </c>
      <c r="J11303" s="160">
        <v>0.88297000000000003</v>
      </c>
      <c r="K11303" s="160" t="s">
        <v>15</v>
      </c>
      <c r="L11303" s="154" t="str">
        <f>IF(OpenLCAbasic!K11303="CTUh", "Fill in Manually",IF(OR(K11303="Unit", K11303=""), "", INDEX(LookUps!$E$5:$E$12, MATCH(OpenLCAbasic!K11303,LookUps!$D$5:$D$12,0))))</f>
        <v>Cumulative Energy Demand (CED) - MJ</v>
      </c>
      <c r="M11303" s="154" t="str">
        <f t="shared" si="969"/>
        <v>High_High_Low_Upgraded_Cumulative Energy Demand (CED) - MJ_Influent Pump Station; wastewater treatment unit; at updated plant - US_Base_With Amendment_Aerated Static Pile</v>
      </c>
    </row>
    <row r="11304" spans="1:13" s="120" customFormat="1" x14ac:dyDescent="0.25">
      <c r="A11304" s="119"/>
      <c r="B11304" s="138" t="str">
        <f t="shared" si="971"/>
        <v>Aerated Static Pile</v>
      </c>
      <c r="C11304" s="138" t="str">
        <f t="shared" si="972"/>
        <v>Base_With Amendment</v>
      </c>
      <c r="D11304" s="138" t="str">
        <f t="shared" si="974"/>
        <v>High_Low</v>
      </c>
      <c r="E11304" s="138" t="str">
        <f t="shared" si="968"/>
        <v>High</v>
      </c>
      <c r="F11304" s="138" t="str">
        <f t="shared" si="973"/>
        <v>Upgraded</v>
      </c>
      <c r="G11304" s="153"/>
      <c r="H11304" s="210">
        <v>6.3799999999999996E-2</v>
      </c>
      <c r="I11304" s="160" t="s">
        <v>53</v>
      </c>
      <c r="J11304" s="160">
        <v>0.69645000000000001</v>
      </c>
      <c r="K11304" s="160" t="s">
        <v>15</v>
      </c>
      <c r="L11304" s="154" t="str">
        <f>IF(OpenLCAbasic!K11304="CTUh", "Fill in Manually",IF(OR(K11304="Unit", K11304=""), "", INDEX(LookUps!$E$5:$E$12, MATCH(OpenLCAbasic!K11304,LookUps!$D$5:$D$12,0))))</f>
        <v>Cumulative Energy Demand (CED) - MJ</v>
      </c>
      <c r="M11304" s="154" t="str">
        <f t="shared" si="969"/>
        <v>High_High_Low_Upgraded_Cumulative Energy Demand (CED) - MJ_Wet Well and Sump Station; wastewater treatment unit; at updated plant - US_Base_With Amendment_Aerated Static Pile</v>
      </c>
    </row>
    <row r="11305" spans="1:13" s="120" customFormat="1" x14ac:dyDescent="0.25">
      <c r="A11305" s="119"/>
      <c r="B11305" s="138" t="str">
        <f t="shared" si="971"/>
        <v>Aerated Static Pile</v>
      </c>
      <c r="C11305" s="138" t="str">
        <f t="shared" si="972"/>
        <v>Base_With Amendment</v>
      </c>
      <c r="D11305" s="138" t="str">
        <f t="shared" si="974"/>
        <v>High_Low</v>
      </c>
      <c r="E11305" s="138" t="str">
        <f t="shared" ref="E11305:E11368" si="975">IF(ISNUMBER($J11305),"High","")</f>
        <v>High</v>
      </c>
      <c r="F11305" s="138" t="str">
        <f t="shared" si="973"/>
        <v>Upgraded</v>
      </c>
      <c r="G11305" s="153"/>
      <c r="H11305" s="210">
        <v>5.7500000000000002E-2</v>
      </c>
      <c r="I11305" s="160" t="s">
        <v>60</v>
      </c>
      <c r="J11305" s="160">
        <v>0.62775999999999998</v>
      </c>
      <c r="K11305" s="160" t="s">
        <v>15</v>
      </c>
      <c r="L11305" s="154" t="str">
        <f>IF(OpenLCAbasic!K11305="CTUh", "Fill in Manually",IF(OR(K11305="Unit", K11305=""), "", INDEX(LookUps!$E$5:$E$12, MATCH(OpenLCAbasic!K11305,LookUps!$D$5:$D$12,0))))</f>
        <v>Cumulative Energy Demand (CED) - MJ</v>
      </c>
      <c r="M11305" s="154" t="str">
        <f t="shared" si="969"/>
        <v>High_High_Low_Upgraded_Cumulative Energy Demand (CED) - MJ_Belt filter press; wastewater treatment unit; at updated plant - US_Base_With Amendment_Aerated Static Pile</v>
      </c>
    </row>
    <row r="11306" spans="1:13" s="120" customFormat="1" x14ac:dyDescent="0.25">
      <c r="A11306" s="119"/>
      <c r="B11306" s="138" t="str">
        <f t="shared" si="971"/>
        <v>Aerated Static Pile</v>
      </c>
      <c r="C11306" s="138" t="str">
        <f t="shared" si="972"/>
        <v>Base_With Amendment</v>
      </c>
      <c r="D11306" s="138" t="str">
        <f t="shared" si="974"/>
        <v>High_Low</v>
      </c>
      <c r="E11306" s="138" t="str">
        <f t="shared" si="975"/>
        <v>High</v>
      </c>
      <c r="F11306" s="138" t="str">
        <f t="shared" si="973"/>
        <v>Upgraded</v>
      </c>
      <c r="G11306" s="153"/>
      <c r="H11306" s="210">
        <v>3.0599999999999999E-2</v>
      </c>
      <c r="I11306" s="160" t="s">
        <v>57</v>
      </c>
      <c r="J11306" s="160">
        <v>0.33404</v>
      </c>
      <c r="K11306" s="160" t="s">
        <v>15</v>
      </c>
      <c r="L11306" s="154" t="str">
        <f>IF(OpenLCAbasic!K11306="CTUh", "Fill in Manually",IF(OR(K11306="Unit", K11306=""), "", INDEX(LookUps!$E$5:$E$12, MATCH(OpenLCAbasic!K11306,LookUps!$D$5:$D$12,0))))</f>
        <v>Cumulative Energy Demand (CED) - MJ</v>
      </c>
      <c r="M11306" s="154" t="str">
        <f t="shared" si="969"/>
        <v>High_High_Low_Upgraded_Cumulative Energy Demand (CED) - MJ_Gravity Belt Thickener; wastewater treatment unit; at updated plant - US_Base_With Amendment_Aerated Static Pile</v>
      </c>
    </row>
    <row r="11307" spans="1:13" s="120" customFormat="1" x14ac:dyDescent="0.25">
      <c r="A11307" s="119"/>
      <c r="B11307" s="138" t="str">
        <f t="shared" si="971"/>
        <v>Aerated Static Pile</v>
      </c>
      <c r="C11307" s="138" t="str">
        <f t="shared" si="972"/>
        <v>Base_With Amendment</v>
      </c>
      <c r="D11307" s="138" t="str">
        <f t="shared" si="974"/>
        <v>High_Low</v>
      </c>
      <c r="E11307" s="138" t="str">
        <f t="shared" si="975"/>
        <v>High</v>
      </c>
      <c r="F11307" s="138" t="str">
        <f t="shared" si="973"/>
        <v>Upgraded</v>
      </c>
      <c r="G11307" s="153"/>
      <c r="H11307" s="210">
        <v>2.35E-2</v>
      </c>
      <c r="I11307" s="160" t="s">
        <v>128</v>
      </c>
      <c r="J11307" s="160">
        <v>0.25606000000000001</v>
      </c>
      <c r="K11307" s="160" t="s">
        <v>15</v>
      </c>
      <c r="L11307" s="154" t="str">
        <f>IF(OpenLCAbasic!K11307="CTUh", "Fill in Manually",IF(OR(K11307="Unit", K11307=""), "", INDEX(LookUps!$E$5:$E$12, MATCH(OpenLCAbasic!K11307,LookUps!$D$5:$D$12,0))))</f>
        <v>Cumulative Energy Demand (CED) - MJ</v>
      </c>
      <c r="M11307" s="154" t="str">
        <f t="shared" si="969"/>
        <v>High_High_Low_Upgraded_Cumulative Energy Demand (CED) - MJ_Wastewater collection; operation and infrastructure; m3 wastewater_Base_With Amendment_Aerated Static Pile</v>
      </c>
    </row>
    <row r="11308" spans="1:13" s="120" customFormat="1" x14ac:dyDescent="0.25">
      <c r="A11308" s="119"/>
      <c r="B11308" s="138" t="str">
        <f t="shared" si="971"/>
        <v>Aerated Static Pile</v>
      </c>
      <c r="C11308" s="138" t="str">
        <f t="shared" si="972"/>
        <v>Base_With Amendment</v>
      </c>
      <c r="D11308" s="138" t="str">
        <f t="shared" si="974"/>
        <v>High_Low</v>
      </c>
      <c r="E11308" s="138" t="str">
        <f t="shared" si="975"/>
        <v>High</v>
      </c>
      <c r="F11308" s="138" t="str">
        <f t="shared" si="973"/>
        <v>Upgraded</v>
      </c>
      <c r="G11308" s="153"/>
      <c r="H11308" s="210">
        <v>1.34E-2</v>
      </c>
      <c r="I11308" s="160" t="s">
        <v>148</v>
      </c>
      <c r="J11308" s="160">
        <v>0.14599000000000001</v>
      </c>
      <c r="K11308" s="160" t="s">
        <v>15</v>
      </c>
      <c r="L11308" s="154" t="str">
        <f>IF(OpenLCAbasic!K11308="CTUh", "Fill in Manually",IF(OR(K11308="Unit", K11308=""), "", INDEX(LookUps!$E$5:$E$12, MATCH(OpenLCAbasic!K11308,LookUps!$D$5:$D$12,0))))</f>
        <v>Cumulative Energy Demand (CED) - MJ</v>
      </c>
      <c r="M11308" s="154" t="str">
        <f t="shared" si="969"/>
        <v>High_High_Low_Upgraded_Cumulative Energy Demand (CED) - MJ_Control Building; at upgraded wastewater treatment plant - US_Base_With Amendment_Aerated Static Pile</v>
      </c>
    </row>
    <row r="11309" spans="1:13" s="120" customFormat="1" x14ac:dyDescent="0.25">
      <c r="A11309" s="119"/>
      <c r="B11309" s="138" t="str">
        <f t="shared" si="971"/>
        <v>Aerated Static Pile</v>
      </c>
      <c r="C11309" s="138" t="str">
        <f t="shared" si="972"/>
        <v>Base_With Amendment</v>
      </c>
      <c r="D11309" s="138" t="str">
        <f t="shared" si="974"/>
        <v>High_Low</v>
      </c>
      <c r="E11309" s="138" t="str">
        <f t="shared" si="975"/>
        <v>High</v>
      </c>
      <c r="F11309" s="138" t="str">
        <f t="shared" si="973"/>
        <v>Upgraded</v>
      </c>
      <c r="G11309" s="153"/>
      <c r="H11309" s="210">
        <v>1.2200000000000001E-2</v>
      </c>
      <c r="I11309" s="160" t="s">
        <v>48</v>
      </c>
      <c r="J11309" s="160">
        <v>0.13321</v>
      </c>
      <c r="K11309" s="160" t="s">
        <v>15</v>
      </c>
      <c r="L11309" s="154" t="str">
        <f>IF(OpenLCAbasic!K11309="CTUh", "Fill in Manually",IF(OR(K11309="Unit", K11309=""), "", INDEX(LookUps!$E$5:$E$12, MATCH(OpenLCAbasic!K11309,LookUps!$D$5:$D$12,0))))</f>
        <v>Cumulative Energy Demand (CED) - MJ</v>
      </c>
      <c r="M11309" s="154" t="str">
        <f t="shared" si="969"/>
        <v>High_High_Low_Upgraded_Cumulative Energy Demand (CED) - MJ_Effluent release; wastewater treatment unit; at surface water; m3 wastewater - US_Base_With Amendment_Aerated Static Pile</v>
      </c>
    </row>
    <row r="11310" spans="1:13" s="120" customFormat="1" x14ac:dyDescent="0.25">
      <c r="A11310" s="119"/>
      <c r="B11310" s="138" t="str">
        <f t="shared" si="971"/>
        <v>Aerated Static Pile</v>
      </c>
      <c r="C11310" s="138" t="str">
        <f t="shared" si="972"/>
        <v>Base_With Amendment</v>
      </c>
      <c r="D11310" s="138" t="str">
        <f t="shared" si="974"/>
        <v>High_Low</v>
      </c>
      <c r="E11310" s="138" t="str">
        <f t="shared" si="975"/>
        <v>High</v>
      </c>
      <c r="F11310" s="138" t="str">
        <f t="shared" si="973"/>
        <v>Upgraded</v>
      </c>
      <c r="G11310" s="153"/>
      <c r="H11310" s="210">
        <v>9.7000000000000003E-3</v>
      </c>
      <c r="I11310" s="160" t="s">
        <v>59</v>
      </c>
      <c r="J11310" s="160">
        <v>0.10638</v>
      </c>
      <c r="K11310" s="160" t="s">
        <v>15</v>
      </c>
      <c r="L11310" s="154" t="str">
        <f>IF(OpenLCAbasic!K11310="CTUh", "Fill in Manually",IF(OR(K11310="Unit", K11310=""), "", INDEX(LookUps!$E$5:$E$12, MATCH(OpenLCAbasic!K11310,LookUps!$D$5:$D$12,0))))</f>
        <v>Cumulative Energy Demand (CED) - MJ</v>
      </c>
      <c r="M11310" s="154" t="str">
        <f t="shared" si="969"/>
        <v>High_High_Low_Upgraded_Cumulative Energy Demand (CED) - MJ_Blend Tank; wastewater treatment unit; at updated plant - US_Base_With Amendment_Aerated Static Pile</v>
      </c>
    </row>
    <row r="11311" spans="1:13" s="120" customFormat="1" x14ac:dyDescent="0.25">
      <c r="A11311" s="119"/>
      <c r="B11311" s="138" t="str">
        <f t="shared" si="971"/>
        <v>Aerated Static Pile</v>
      </c>
      <c r="C11311" s="138" t="str">
        <f t="shared" si="972"/>
        <v>Base_With Amendment</v>
      </c>
      <c r="D11311" s="138" t="str">
        <f t="shared" si="974"/>
        <v>High_Low</v>
      </c>
      <c r="E11311" s="138" t="str">
        <f t="shared" si="975"/>
        <v>High</v>
      </c>
      <c r="F11311" s="138" t="str">
        <f t="shared" si="973"/>
        <v>Upgraded</v>
      </c>
      <c r="G11311" s="153"/>
      <c r="H11311" s="210">
        <v>4.7000000000000002E-3</v>
      </c>
      <c r="I11311" s="160" t="s">
        <v>168</v>
      </c>
      <c r="J11311" s="160">
        <v>5.0930000000000003E-2</v>
      </c>
      <c r="K11311" s="160" t="s">
        <v>15</v>
      </c>
      <c r="L11311" s="154" t="str">
        <f>IF(OpenLCAbasic!K11311="CTUh", "Fill in Manually",IF(OR(K11311="Unit", K11311=""), "", INDEX(LookUps!$E$5:$E$12, MATCH(OpenLCAbasic!K11311,LookUps!$D$5:$D$12,0))))</f>
        <v>Cumulative Energy Demand (CED) - MJ</v>
      </c>
      <c r="M11311" s="154" t="str">
        <f t="shared" si="969"/>
        <v>High_High_Low_Upgraded_Cumulative Energy Demand (CED) - MJ_ClearCove SCP; wastewater treatment unit; at updated plant - US_Base_With Amendment_Aerated Static Pile</v>
      </c>
    </row>
    <row r="11312" spans="1:13" s="120" customFormat="1" x14ac:dyDescent="0.25">
      <c r="A11312" s="119"/>
      <c r="B11312" s="138" t="str">
        <f t="shared" si="971"/>
        <v>Aerated Static Pile</v>
      </c>
      <c r="C11312" s="138" t="str">
        <f t="shared" si="972"/>
        <v>Base_With Amendment</v>
      </c>
      <c r="D11312" s="138" t="str">
        <f t="shared" si="974"/>
        <v>High_Low</v>
      </c>
      <c r="E11312" s="138" t="str">
        <f t="shared" si="975"/>
        <v>High</v>
      </c>
      <c r="F11312" s="138" t="str">
        <f t="shared" si="973"/>
        <v>Upgraded</v>
      </c>
      <c r="G11312" s="153"/>
      <c r="H11312" s="210">
        <v>-8.1199999999999994E-2</v>
      </c>
      <c r="I11312" s="160" t="s">
        <v>62</v>
      </c>
      <c r="J11312" s="160">
        <v>-0.88626000000000005</v>
      </c>
      <c r="K11312" s="160" t="s">
        <v>15</v>
      </c>
      <c r="L11312" s="154" t="str">
        <f>IF(OpenLCAbasic!K11312="CTUh", "Fill in Manually",IF(OR(K11312="Unit", K11312=""), "", INDEX(LookUps!$E$5:$E$12, MATCH(OpenLCAbasic!K11312,LookUps!$D$5:$D$12,0))))</f>
        <v>Cumulative Energy Demand (CED) - MJ</v>
      </c>
      <c r="M11312" s="154" t="str">
        <f t="shared" si="969"/>
        <v>High_High_Low_Upgraded_Cumulative Energy Demand (CED) - MJ_Land application of compost; wastewater treatment unit; at updated plant - US_Base_With Amendment_Aerated Static Pile</v>
      </c>
    </row>
    <row r="11313" spans="1:13" s="120" customFormat="1" x14ac:dyDescent="0.25">
      <c r="A11313" s="119"/>
      <c r="B11313" s="138" t="str">
        <f t="shared" si="971"/>
        <v>Aerated Static Pile</v>
      </c>
      <c r="C11313" s="138" t="str">
        <f t="shared" si="972"/>
        <v>Base_With Amendment</v>
      </c>
      <c r="D11313" s="138" t="str">
        <f t="shared" si="974"/>
        <v>High_Low</v>
      </c>
      <c r="E11313" s="138" t="str">
        <f t="shared" si="975"/>
        <v>High</v>
      </c>
      <c r="F11313" s="138" t="str">
        <f t="shared" si="973"/>
        <v>Upgraded</v>
      </c>
      <c r="G11313" s="153"/>
      <c r="H11313" s="210">
        <v>-0.43940000000000001</v>
      </c>
      <c r="I11313" s="160" t="s">
        <v>149</v>
      </c>
      <c r="J11313" s="160">
        <v>-4.7974600000000001</v>
      </c>
      <c r="K11313" s="160" t="s">
        <v>15</v>
      </c>
      <c r="L11313" s="154" t="str">
        <f>IF(OpenLCAbasic!K11313="CTUh", "Fill in Manually",IF(OR(K11313="Unit", K11313=""), "", INDEX(LookUps!$E$5:$E$12, MATCH(OpenLCAbasic!K11313,LookUps!$D$5:$D$12,0))))</f>
        <v>Cumulative Energy Demand (CED) - MJ</v>
      </c>
      <c r="M11313" s="154" t="str">
        <f t="shared" si="969"/>
        <v>High_High_Low_Upgraded_Cumulative Energy Demand (CED) - MJ_Anaerobic Digestion; wastewater treatment unit; at updated plant - US_Base_With Amendment_Aerated Static Pile</v>
      </c>
    </row>
    <row r="11314" spans="1:13" s="120" customFormat="1" x14ac:dyDescent="0.25">
      <c r="A11314" s="119"/>
      <c r="B11314" s="138" t="str">
        <f t="shared" si="971"/>
        <v/>
      </c>
      <c r="C11314" s="138" t="str">
        <f t="shared" si="972"/>
        <v/>
      </c>
      <c r="D11314" s="138" t="str">
        <f t="shared" si="974"/>
        <v/>
      </c>
      <c r="E11314" s="138" t="str">
        <f t="shared" si="975"/>
        <v/>
      </c>
      <c r="F11314" s="138" t="str">
        <f t="shared" si="973"/>
        <v/>
      </c>
      <c r="G11314" s="153" t="s">
        <v>51</v>
      </c>
      <c r="H11314" s="160"/>
      <c r="I11314" s="160" t="s">
        <v>47</v>
      </c>
      <c r="J11314" s="160" t="s">
        <v>52</v>
      </c>
      <c r="K11314" s="160" t="s">
        <v>27</v>
      </c>
      <c r="L11314" s="154" t="str">
        <f>IF(OpenLCAbasic!K11314="CTUh", "Fill in Manually",IF(OR(K11314="Unit", K11314=""), "", INDEX(LookUps!$E$5:$E$12, MATCH(OpenLCAbasic!K11314,LookUps!$D$5:$D$12,0))))</f>
        <v/>
      </c>
      <c r="M11314" s="154" t="str">
        <f t="shared" si="969"/>
        <v>____Process__</v>
      </c>
    </row>
    <row r="11315" spans="1:13" s="120" customFormat="1" x14ac:dyDescent="0.25">
      <c r="A11315" s="119"/>
      <c r="B11315" s="138" t="str">
        <f t="shared" si="971"/>
        <v>Aerated Static Pile</v>
      </c>
      <c r="C11315" s="138" t="str">
        <f t="shared" si="972"/>
        <v>Base_With Amendment</v>
      </c>
      <c r="D11315" s="138" t="str">
        <f t="shared" si="974"/>
        <v>High_Low</v>
      </c>
      <c r="E11315" s="138" t="str">
        <f t="shared" si="975"/>
        <v>High</v>
      </c>
      <c r="F11315" s="138" t="str">
        <f t="shared" si="973"/>
        <v>Upgraded</v>
      </c>
      <c r="G11315" s="153"/>
      <c r="H11315" s="210">
        <v>0.65869999999999995</v>
      </c>
      <c r="I11315" s="160" t="s">
        <v>48</v>
      </c>
      <c r="J11315" s="160">
        <v>1.1610000000000001E-2</v>
      </c>
      <c r="K11315" s="160" t="s">
        <v>13</v>
      </c>
      <c r="L11315" s="154" t="str">
        <f>IF(OpenLCAbasic!K11315="CTUh", "Fill in Manually",IF(OR(K11315="Unit", K11315=""), "", INDEX(LookUps!$E$5:$E$12, MATCH(OpenLCAbasic!K11315,LookUps!$D$5:$D$12,0))))</f>
        <v>Eutrophication Potential (EP) - kg N eq</v>
      </c>
      <c r="M11315" s="154" t="str">
        <f t="shared" si="969"/>
        <v>High_High_Low_Upgraded_Eutrophication Potential (EP) - kg N eq_Effluent release; wastewater treatment unit; at surface water; m3 wastewater - US_Base_With Amendment_Aerated Static Pile</v>
      </c>
    </row>
    <row r="11316" spans="1:13" s="120" customFormat="1" x14ac:dyDescent="0.25">
      <c r="A11316" s="119"/>
      <c r="B11316" s="138" t="str">
        <f t="shared" si="971"/>
        <v>Aerated Static Pile</v>
      </c>
      <c r="C11316" s="138" t="str">
        <f t="shared" si="972"/>
        <v>Base_With Amendment</v>
      </c>
      <c r="D11316" s="138" t="str">
        <f t="shared" si="974"/>
        <v>High_Low</v>
      </c>
      <c r="E11316" s="138" t="str">
        <f t="shared" si="975"/>
        <v>High</v>
      </c>
      <c r="F11316" s="138" t="str">
        <f t="shared" si="973"/>
        <v>Upgraded</v>
      </c>
      <c r="G11316" s="153"/>
      <c r="H11316" s="210">
        <v>0.24</v>
      </c>
      <c r="I11316" s="160" t="s">
        <v>62</v>
      </c>
      <c r="J11316" s="160">
        <v>4.2300000000000003E-3</v>
      </c>
      <c r="K11316" s="160" t="s">
        <v>13</v>
      </c>
      <c r="L11316" s="154" t="str">
        <f>IF(OpenLCAbasic!K11316="CTUh", "Fill in Manually",IF(OR(K11316="Unit", K11316=""), "", INDEX(LookUps!$E$5:$E$12, MATCH(OpenLCAbasic!K11316,LookUps!$D$5:$D$12,0))))</f>
        <v>Eutrophication Potential (EP) - kg N eq</v>
      </c>
      <c r="M11316" s="154" t="str">
        <f t="shared" si="969"/>
        <v>High_High_Low_Upgraded_Eutrophication Potential (EP) - kg N eq_Land application of compost; wastewater treatment unit; at updated plant - US_Base_With Amendment_Aerated Static Pile</v>
      </c>
    </row>
    <row r="11317" spans="1:13" s="120" customFormat="1" x14ac:dyDescent="0.25">
      <c r="A11317" s="119"/>
      <c r="B11317" s="138" t="str">
        <f t="shared" si="971"/>
        <v>Aerated Static Pile</v>
      </c>
      <c r="C11317" s="138" t="str">
        <f t="shared" si="972"/>
        <v>Base_With Amendment</v>
      </c>
      <c r="D11317" s="138" t="str">
        <f t="shared" si="974"/>
        <v>High_Low</v>
      </c>
      <c r="E11317" s="138" t="str">
        <f t="shared" si="975"/>
        <v>High</v>
      </c>
      <c r="F11317" s="138" t="str">
        <f t="shared" si="973"/>
        <v>Upgraded</v>
      </c>
      <c r="G11317" s="153"/>
      <c r="H11317" s="210">
        <v>3.1E-2</v>
      </c>
      <c r="I11317" s="160" t="s">
        <v>55</v>
      </c>
      <c r="J11317" s="160">
        <v>5.5000000000000003E-4</v>
      </c>
      <c r="K11317" s="160" t="s">
        <v>13</v>
      </c>
      <c r="L11317" s="154" t="str">
        <f>IF(OpenLCAbasic!K11317="CTUh", "Fill in Manually",IF(OR(K11317="Unit", K11317=""), "", INDEX(LookUps!$E$5:$E$12, MATCH(OpenLCAbasic!K11317,LookUps!$D$5:$D$12,0))))</f>
        <v>Eutrophication Potential (EP) - kg N eq</v>
      </c>
      <c r="M11317" s="154" t="str">
        <f t="shared" si="969"/>
        <v>High_High_Low_Upgraded_Eutrophication Potential (EP) - kg N eq_Aeration Tanks; wastewater treatment unit; at updated plant - US_Base_With Amendment_Aerated Static Pile</v>
      </c>
    </row>
    <row r="11318" spans="1:13" s="120" customFormat="1" x14ac:dyDescent="0.25">
      <c r="A11318" s="119"/>
      <c r="B11318" s="138" t="str">
        <f t="shared" si="971"/>
        <v>Aerated Static Pile</v>
      </c>
      <c r="C11318" s="138" t="str">
        <f t="shared" si="972"/>
        <v>Base_With Amendment</v>
      </c>
      <c r="D11318" s="138" t="str">
        <f t="shared" si="974"/>
        <v>High_Low</v>
      </c>
      <c r="E11318" s="138" t="str">
        <f t="shared" si="975"/>
        <v>High</v>
      </c>
      <c r="F11318" s="138" t="str">
        <f t="shared" si="973"/>
        <v>Upgraded</v>
      </c>
      <c r="G11318" s="153"/>
      <c r="H11318" s="210">
        <v>2.6599999999999999E-2</v>
      </c>
      <c r="I11318" s="160" t="s">
        <v>435</v>
      </c>
      <c r="J11318" s="160">
        <v>4.6999999999999999E-4</v>
      </c>
      <c r="K11318" s="160" t="s">
        <v>13</v>
      </c>
      <c r="L11318" s="154" t="str">
        <f>IF(OpenLCAbasic!K11318="CTUh", "Fill in Manually",IF(OR(K11318="Unit", K11318=""), "", INDEX(LookUps!$E$5:$E$12, MATCH(OpenLCAbasic!K11318,LookUps!$D$5:$D$12,0))))</f>
        <v>Eutrophication Potential (EP) - kg N eq</v>
      </c>
      <c r="M11318" s="154" t="str">
        <f t="shared" si="969"/>
        <v>High_High_Low_Upgraded_Eutrophication Potential (EP) - kg N eq_Biosolids composting; aerated static pile; wastewater treatment unit; at updated plant - US_Base_With Amendment_Aerated Static Pile</v>
      </c>
    </row>
    <row r="11319" spans="1:13" s="120" customFormat="1" x14ac:dyDescent="0.25">
      <c r="A11319" s="119"/>
      <c r="B11319" s="138" t="str">
        <f t="shared" si="971"/>
        <v>Aerated Static Pile</v>
      </c>
      <c r="C11319" s="138" t="str">
        <f t="shared" si="972"/>
        <v>Base_With Amendment</v>
      </c>
      <c r="D11319" s="138" t="str">
        <f t="shared" si="974"/>
        <v>High_Low</v>
      </c>
      <c r="E11319" s="138" t="str">
        <f t="shared" si="975"/>
        <v>High</v>
      </c>
      <c r="F11319" s="138" t="str">
        <f t="shared" si="973"/>
        <v>Upgraded</v>
      </c>
      <c r="G11319" s="153"/>
      <c r="H11319" s="210">
        <v>1.4200000000000001E-2</v>
      </c>
      <c r="I11319" s="160" t="s">
        <v>147</v>
      </c>
      <c r="J11319" s="160">
        <v>2.5000000000000001E-4</v>
      </c>
      <c r="K11319" s="160" t="s">
        <v>13</v>
      </c>
      <c r="L11319" s="154" t="str">
        <f>IF(OpenLCAbasic!K11319="CTUh", "Fill in Manually",IF(OR(K11319="Unit", K11319=""), "", INDEX(LookUps!$E$5:$E$12, MATCH(OpenLCAbasic!K11319,LookUps!$D$5:$D$12,0))))</f>
        <v>Eutrophication Potential (EP) - kg N eq</v>
      </c>
      <c r="M11319" s="154" t="str">
        <f t="shared" si="969"/>
        <v>High_High_Low_Upgraded_Eutrophication Potential (EP) - kg N eq_Influent Pump Station; wastewater treatment unit; at updated plant - US_Base_With Amendment_Aerated Static Pile</v>
      </c>
    </row>
    <row r="11320" spans="1:13" s="120" customFormat="1" x14ac:dyDescent="0.25">
      <c r="A11320" s="119"/>
      <c r="B11320" s="138" t="str">
        <f t="shared" si="971"/>
        <v>Aerated Static Pile</v>
      </c>
      <c r="C11320" s="138" t="str">
        <f t="shared" si="972"/>
        <v>Base_With Amendment</v>
      </c>
      <c r="D11320" s="138" t="str">
        <f t="shared" si="974"/>
        <v>High_Low</v>
      </c>
      <c r="E11320" s="138" t="str">
        <f t="shared" si="975"/>
        <v>High</v>
      </c>
      <c r="F11320" s="138" t="str">
        <f t="shared" si="973"/>
        <v>Upgraded</v>
      </c>
      <c r="G11320" s="153"/>
      <c r="H11320" s="210">
        <v>1.2500000000000001E-2</v>
      </c>
      <c r="I11320" s="160" t="s">
        <v>167</v>
      </c>
      <c r="J11320" s="160">
        <v>2.2000000000000001E-4</v>
      </c>
      <c r="K11320" s="160" t="s">
        <v>13</v>
      </c>
      <c r="L11320" s="154" t="str">
        <f>IF(OpenLCAbasic!K11320="CTUh", "Fill in Manually",IF(OR(K11320="Unit", K11320=""), "", INDEX(LookUps!$E$5:$E$12, MATCH(OpenLCAbasic!K11320,LookUps!$D$5:$D$12,0))))</f>
        <v>Eutrophication Potential (EP) - kg N eq</v>
      </c>
      <c r="M11320" s="154" t="str">
        <f t="shared" si="969"/>
        <v>High_High_Low_Upgraded_Eutrophication Potential (EP) - kg N eq_Waste Receiving and Holding; wastewater treatment unit; at updated plant - US_Base_With Amendment_Aerated Static Pile</v>
      </c>
    </row>
    <row r="11321" spans="1:13" s="120" customFormat="1" x14ac:dyDescent="0.25">
      <c r="A11321" s="119"/>
      <c r="B11321" s="138" t="str">
        <f t="shared" si="971"/>
        <v>Aerated Static Pile</v>
      </c>
      <c r="C11321" s="138" t="str">
        <f t="shared" si="972"/>
        <v>Base_With Amendment</v>
      </c>
      <c r="D11321" s="138" t="str">
        <f t="shared" si="974"/>
        <v>High_Low</v>
      </c>
      <c r="E11321" s="138" t="str">
        <f t="shared" si="975"/>
        <v>High</v>
      </c>
      <c r="F11321" s="138" t="str">
        <f t="shared" si="973"/>
        <v>Upgraded</v>
      </c>
      <c r="G11321" s="153"/>
      <c r="H11321" s="210">
        <v>1.12E-2</v>
      </c>
      <c r="I11321" s="160" t="s">
        <v>54</v>
      </c>
      <c r="J11321" s="160">
        <v>2.0000000000000001E-4</v>
      </c>
      <c r="K11321" s="160" t="s">
        <v>13</v>
      </c>
      <c r="L11321" s="154" t="str">
        <f>IF(OpenLCAbasic!K11321="CTUh", "Fill in Manually",IF(OR(K11321="Unit", K11321=""), "", INDEX(LookUps!$E$5:$E$12, MATCH(OpenLCAbasic!K11321,LookUps!$D$5:$D$12,0))))</f>
        <v>Eutrophication Potential (EP) - kg N eq</v>
      </c>
      <c r="M11321" s="154" t="str">
        <f t="shared" si="969"/>
        <v>High_High_Low_Upgraded_Eutrophication Potential (EP) - kg N eq_Clear Cove Primary Clarification; wastewater treatment unit; at updated plant - US_Base_With Amendment_Aerated Static Pile</v>
      </c>
    </row>
    <row r="11322" spans="1:13" s="120" customFormat="1" x14ac:dyDescent="0.25">
      <c r="A11322" s="119"/>
      <c r="B11322" s="138" t="str">
        <f t="shared" si="971"/>
        <v>Aerated Static Pile</v>
      </c>
      <c r="C11322" s="138" t="str">
        <f t="shared" si="972"/>
        <v>Base_With Amendment</v>
      </c>
      <c r="D11322" s="138" t="str">
        <f t="shared" si="974"/>
        <v>High_Low</v>
      </c>
      <c r="E11322" s="138" t="str">
        <f t="shared" si="975"/>
        <v>High</v>
      </c>
      <c r="F11322" s="138" t="str">
        <f t="shared" si="973"/>
        <v>Upgraded</v>
      </c>
      <c r="G11322" s="153"/>
      <c r="H11322" s="210">
        <v>7.7000000000000002E-3</v>
      </c>
      <c r="I11322" s="160" t="s">
        <v>58</v>
      </c>
      <c r="J11322" s="160">
        <v>1.3999999999999999E-4</v>
      </c>
      <c r="K11322" s="160" t="s">
        <v>13</v>
      </c>
      <c r="L11322" s="154" t="str">
        <f>IF(OpenLCAbasic!K11322="CTUh", "Fill in Manually",IF(OR(K11322="Unit", K11322=""), "", INDEX(LookUps!$E$5:$E$12, MATCH(OpenLCAbasic!K11322,LookUps!$D$5:$D$12,0))))</f>
        <v>Eutrophication Potential (EP) - kg N eq</v>
      </c>
      <c r="M11322" s="154" t="str">
        <f t="shared" si="969"/>
        <v>High_High_Low_Upgraded_Eutrophication Potential (EP) - kg N eq_Pre-Anoxic &amp; Swing tank; wastewater treatment unit; at updated plant - US_Base_With Amendment_Aerated Static Pile</v>
      </c>
    </row>
    <row r="11323" spans="1:13" s="120" customFormat="1" x14ac:dyDescent="0.25">
      <c r="A11323" s="119"/>
      <c r="B11323" s="138" t="str">
        <f t="shared" si="971"/>
        <v>Aerated Static Pile</v>
      </c>
      <c r="C11323" s="138" t="str">
        <f t="shared" si="972"/>
        <v>Base_With Amendment</v>
      </c>
      <c r="D11323" s="138" t="str">
        <f t="shared" si="974"/>
        <v>High_Low</v>
      </c>
      <c r="E11323" s="138" t="str">
        <f t="shared" si="975"/>
        <v>High</v>
      </c>
      <c r="F11323" s="138" t="str">
        <f t="shared" si="973"/>
        <v>Upgraded</v>
      </c>
      <c r="G11323" s="153"/>
      <c r="H11323" s="210">
        <v>6.3E-3</v>
      </c>
      <c r="I11323" s="160" t="s">
        <v>60</v>
      </c>
      <c r="J11323" s="160">
        <v>1.1E-4</v>
      </c>
      <c r="K11323" s="160" t="s">
        <v>13</v>
      </c>
      <c r="L11323" s="154" t="str">
        <f>IF(OpenLCAbasic!K11323="CTUh", "Fill in Manually",IF(OR(K11323="Unit", K11323=""), "", INDEX(LookUps!$E$5:$E$12, MATCH(OpenLCAbasic!K11323,LookUps!$D$5:$D$12,0))))</f>
        <v>Eutrophication Potential (EP) - kg N eq</v>
      </c>
      <c r="M11323" s="154" t="str">
        <f t="shared" si="969"/>
        <v>High_High_Low_Upgraded_Eutrophication Potential (EP) - kg N eq_Belt filter press; wastewater treatment unit; at updated plant - US_Base_With Amendment_Aerated Static Pile</v>
      </c>
    </row>
    <row r="11324" spans="1:13" s="120" customFormat="1" x14ac:dyDescent="0.25">
      <c r="A11324" s="119"/>
      <c r="B11324" s="138" t="str">
        <f t="shared" si="971"/>
        <v>Aerated Static Pile</v>
      </c>
      <c r="C11324" s="138" t="str">
        <f t="shared" si="972"/>
        <v>Base_With Amendment</v>
      </c>
      <c r="D11324" s="138" t="str">
        <f t="shared" si="974"/>
        <v>High_Low</v>
      </c>
      <c r="E11324" s="138" t="str">
        <f t="shared" si="975"/>
        <v>High</v>
      </c>
      <c r="F11324" s="138" t="str">
        <f t="shared" si="973"/>
        <v>Upgraded</v>
      </c>
      <c r="G11324" s="153"/>
      <c r="H11324" s="210">
        <v>6.1000000000000004E-3</v>
      </c>
      <c r="I11324" s="160" t="s">
        <v>53</v>
      </c>
      <c r="J11324" s="211">
        <v>1.1E-4</v>
      </c>
      <c r="K11324" s="160" t="s">
        <v>13</v>
      </c>
      <c r="L11324" s="154" t="str">
        <f>IF(OpenLCAbasic!K11324="CTUh", "Fill in Manually",IF(OR(K11324="Unit", K11324=""), "", INDEX(LookUps!$E$5:$E$12, MATCH(OpenLCAbasic!K11324,LookUps!$D$5:$D$12,0))))</f>
        <v>Eutrophication Potential (EP) - kg N eq</v>
      </c>
      <c r="M11324" s="154" t="str">
        <f t="shared" si="969"/>
        <v>High_High_Low_Upgraded_Eutrophication Potential (EP) - kg N eq_Wet Well and Sump Station; wastewater treatment unit; at updated plant - US_Base_With Amendment_Aerated Static Pile</v>
      </c>
    </row>
    <row r="11325" spans="1:13" s="120" customFormat="1" x14ac:dyDescent="0.25">
      <c r="A11325" s="119"/>
      <c r="B11325" s="138" t="str">
        <f t="shared" si="971"/>
        <v>Aerated Static Pile</v>
      </c>
      <c r="C11325" s="138" t="str">
        <f t="shared" si="972"/>
        <v>Base_With Amendment</v>
      </c>
      <c r="D11325" s="138" t="str">
        <f t="shared" si="974"/>
        <v>High_Low</v>
      </c>
      <c r="E11325" s="138" t="str">
        <f t="shared" si="975"/>
        <v>High</v>
      </c>
      <c r="F11325" s="138" t="str">
        <f t="shared" si="973"/>
        <v>Upgraded</v>
      </c>
      <c r="G11325" s="153"/>
      <c r="H11325" s="210">
        <v>3.3999999999999998E-3</v>
      </c>
      <c r="I11325" s="160" t="s">
        <v>57</v>
      </c>
      <c r="J11325" s="211">
        <v>6.0590300000000002E-5</v>
      </c>
      <c r="K11325" s="160" t="s">
        <v>13</v>
      </c>
      <c r="L11325" s="154" t="str">
        <f>IF(OpenLCAbasic!K11325="CTUh", "Fill in Manually",IF(OR(K11325="Unit", K11325=""), "", INDEX(LookUps!$E$5:$E$12, MATCH(OpenLCAbasic!K11325,LookUps!$D$5:$D$12,0))))</f>
        <v>Eutrophication Potential (EP) - kg N eq</v>
      </c>
      <c r="M11325" s="154" t="str">
        <f t="shared" si="969"/>
        <v>High_High_Low_Upgraded_Eutrophication Potential (EP) - kg N eq_Gravity Belt Thickener; wastewater treatment unit; at updated plant - US_Base_With Amendment_Aerated Static Pile</v>
      </c>
    </row>
    <row r="11326" spans="1:13" s="120" customFormat="1" x14ac:dyDescent="0.25">
      <c r="A11326" s="119"/>
      <c r="B11326" s="138" t="str">
        <f t="shared" si="971"/>
        <v>Aerated Static Pile</v>
      </c>
      <c r="C11326" s="138" t="str">
        <f t="shared" si="972"/>
        <v>Base_With Amendment</v>
      </c>
      <c r="D11326" s="138" t="str">
        <f t="shared" si="974"/>
        <v>High_Low</v>
      </c>
      <c r="E11326" s="138" t="str">
        <f t="shared" si="975"/>
        <v>High</v>
      </c>
      <c r="F11326" s="138" t="str">
        <f t="shared" si="973"/>
        <v>Upgraded</v>
      </c>
      <c r="G11326" s="153"/>
      <c r="H11326" s="210">
        <v>2.0999999999999999E-3</v>
      </c>
      <c r="I11326" s="160" t="s">
        <v>128</v>
      </c>
      <c r="J11326" s="211">
        <v>3.7559799999999999E-5</v>
      </c>
      <c r="K11326" s="160" t="s">
        <v>13</v>
      </c>
      <c r="L11326" s="154" t="str">
        <f>IF(OpenLCAbasic!K11326="CTUh", "Fill in Manually",IF(OR(K11326="Unit", K11326=""), "", INDEX(LookUps!$E$5:$E$12, MATCH(OpenLCAbasic!K11326,LookUps!$D$5:$D$12,0))))</f>
        <v>Eutrophication Potential (EP) - kg N eq</v>
      </c>
      <c r="M11326" s="154" t="str">
        <f t="shared" si="969"/>
        <v>High_High_Low_Upgraded_Eutrophication Potential (EP) - kg N eq_Wastewater collection; operation and infrastructure; m3 wastewater_Base_With Amendment_Aerated Static Pile</v>
      </c>
    </row>
    <row r="11327" spans="1:13" s="120" customFormat="1" x14ac:dyDescent="0.25">
      <c r="A11327" s="119"/>
      <c r="B11327" s="138" t="str">
        <f t="shared" si="971"/>
        <v>Aerated Static Pile</v>
      </c>
      <c r="C11327" s="138" t="str">
        <f t="shared" si="972"/>
        <v>Base_With Amendment</v>
      </c>
      <c r="D11327" s="138" t="str">
        <f t="shared" si="974"/>
        <v>High_Low</v>
      </c>
      <c r="E11327" s="138" t="str">
        <f t="shared" si="975"/>
        <v>High</v>
      </c>
      <c r="F11327" s="138" t="str">
        <f t="shared" si="973"/>
        <v>Upgraded</v>
      </c>
      <c r="G11327" s="153"/>
      <c r="H11327" s="210">
        <v>2.0999999999999999E-3</v>
      </c>
      <c r="I11327" s="160" t="s">
        <v>148</v>
      </c>
      <c r="J11327" s="211">
        <v>3.6874600000000001E-5</v>
      </c>
      <c r="K11327" s="160" t="s">
        <v>13</v>
      </c>
      <c r="L11327" s="154" t="str">
        <f>IF(OpenLCAbasic!K11327="CTUh", "Fill in Manually",IF(OR(K11327="Unit", K11327=""), "", INDEX(LookUps!$E$5:$E$12, MATCH(OpenLCAbasic!K11327,LookUps!$D$5:$D$12,0))))</f>
        <v>Eutrophication Potential (EP) - kg N eq</v>
      </c>
      <c r="M11327" s="154" t="str">
        <f t="shared" si="969"/>
        <v>High_High_Low_Upgraded_Eutrophication Potential (EP) - kg N eq_Control Building; at upgraded wastewater treatment plant - US_Base_With Amendment_Aerated Static Pile</v>
      </c>
    </row>
    <row r="11328" spans="1:13" s="120" customFormat="1" x14ac:dyDescent="0.25">
      <c r="A11328" s="119"/>
      <c r="B11328" s="138" t="str">
        <f t="shared" si="971"/>
        <v>Aerated Static Pile</v>
      </c>
      <c r="C11328" s="138" t="str">
        <f t="shared" si="972"/>
        <v>Base_With Amendment</v>
      </c>
      <c r="D11328" s="138" t="str">
        <f t="shared" si="974"/>
        <v>High_Low</v>
      </c>
      <c r="E11328" s="138" t="str">
        <f t="shared" si="975"/>
        <v>High</v>
      </c>
      <c r="F11328" s="138" t="str">
        <f t="shared" si="973"/>
        <v>Upgraded</v>
      </c>
      <c r="G11328" s="153"/>
      <c r="H11328" s="210">
        <v>8.9999999999999998E-4</v>
      </c>
      <c r="I11328" s="160" t="s">
        <v>59</v>
      </c>
      <c r="J11328" s="211">
        <v>1.6215700000000001E-5</v>
      </c>
      <c r="K11328" s="160" t="s">
        <v>13</v>
      </c>
      <c r="L11328" s="154" t="str">
        <f>IF(OpenLCAbasic!K11328="CTUh", "Fill in Manually",IF(OR(K11328="Unit", K11328=""), "", INDEX(LookUps!$E$5:$E$12, MATCH(OpenLCAbasic!K11328,LookUps!$D$5:$D$12,0))))</f>
        <v>Eutrophication Potential (EP) - kg N eq</v>
      </c>
      <c r="M11328" s="154" t="str">
        <f t="shared" si="969"/>
        <v>High_High_Low_Upgraded_Eutrophication Potential (EP) - kg N eq_Blend Tank; wastewater treatment unit; at updated plant - US_Base_With Amendment_Aerated Static Pile</v>
      </c>
    </row>
    <row r="11329" spans="1:13" s="120" customFormat="1" x14ac:dyDescent="0.25">
      <c r="A11329" s="119"/>
      <c r="B11329" s="138" t="str">
        <f t="shared" si="971"/>
        <v>Aerated Static Pile</v>
      </c>
      <c r="C11329" s="138" t="str">
        <f t="shared" si="972"/>
        <v>Base_With Amendment</v>
      </c>
      <c r="D11329" s="138" t="str">
        <f t="shared" si="974"/>
        <v>High_Low</v>
      </c>
      <c r="E11329" s="138" t="str">
        <f t="shared" si="975"/>
        <v>High</v>
      </c>
      <c r="F11329" s="138" t="str">
        <f t="shared" si="973"/>
        <v>Upgraded</v>
      </c>
      <c r="G11329" s="153"/>
      <c r="H11329" s="210">
        <v>4.0000000000000002E-4</v>
      </c>
      <c r="I11329" s="160" t="s">
        <v>168</v>
      </c>
      <c r="J11329" s="211">
        <v>7.7567199999999995E-6</v>
      </c>
      <c r="K11329" s="160" t="s">
        <v>13</v>
      </c>
      <c r="L11329" s="154" t="str">
        <f>IF(OpenLCAbasic!K11329="CTUh", "Fill in Manually",IF(OR(K11329="Unit", K11329=""), "", INDEX(LookUps!$E$5:$E$12, MATCH(OpenLCAbasic!K11329,LookUps!$D$5:$D$12,0))))</f>
        <v>Eutrophication Potential (EP) - kg N eq</v>
      </c>
      <c r="M11329" s="154" t="str">
        <f t="shared" si="969"/>
        <v>High_High_Low_Upgraded_Eutrophication Potential (EP) - kg N eq_ClearCove SCP; wastewater treatment unit; at updated plant - US_Base_With Amendment_Aerated Static Pile</v>
      </c>
    </row>
    <row r="11330" spans="1:13" s="120" customFormat="1" x14ac:dyDescent="0.25">
      <c r="A11330" s="119"/>
      <c r="B11330" s="138" t="str">
        <f t="shared" si="971"/>
        <v>Aerated Static Pile</v>
      </c>
      <c r="C11330" s="138" t="str">
        <f t="shared" si="972"/>
        <v>Base_With Amendment</v>
      </c>
      <c r="D11330" s="138" t="str">
        <f t="shared" si="974"/>
        <v>High_Low</v>
      </c>
      <c r="E11330" s="138" t="str">
        <f t="shared" si="975"/>
        <v>High</v>
      </c>
      <c r="F11330" s="138" t="str">
        <f t="shared" si="973"/>
        <v>Upgraded</v>
      </c>
      <c r="G11330" s="153"/>
      <c r="H11330" s="210">
        <v>-2.3300000000000001E-2</v>
      </c>
      <c r="I11330" s="160" t="s">
        <v>149</v>
      </c>
      <c r="J11330" s="160">
        <v>-4.0999999999999999E-4</v>
      </c>
      <c r="K11330" s="160" t="s">
        <v>13</v>
      </c>
      <c r="L11330" s="154" t="str">
        <f>IF(OpenLCAbasic!K11330="CTUh", "Fill in Manually",IF(OR(K11330="Unit", K11330=""), "", INDEX(LookUps!$E$5:$E$12, MATCH(OpenLCAbasic!K11330,LookUps!$D$5:$D$12,0))))</f>
        <v>Eutrophication Potential (EP) - kg N eq</v>
      </c>
      <c r="M11330" s="154" t="str">
        <f t="shared" si="969"/>
        <v>High_High_Low_Upgraded_Eutrophication Potential (EP) - kg N eq_Anaerobic Digestion; wastewater treatment unit; at updated plant - US_Base_With Amendment_Aerated Static Pile</v>
      </c>
    </row>
    <row r="11331" spans="1:13" s="120" customFormat="1" x14ac:dyDescent="0.25">
      <c r="A11331" s="119"/>
      <c r="B11331" s="138" t="str">
        <f t="shared" si="971"/>
        <v/>
      </c>
      <c r="C11331" s="138" t="str">
        <f t="shared" si="972"/>
        <v/>
      </c>
      <c r="D11331" s="138" t="str">
        <f t="shared" si="974"/>
        <v/>
      </c>
      <c r="E11331" s="138" t="str">
        <f t="shared" si="975"/>
        <v/>
      </c>
      <c r="F11331" s="138" t="str">
        <f t="shared" si="973"/>
        <v/>
      </c>
      <c r="G11331" s="153" t="s">
        <v>51</v>
      </c>
      <c r="H11331" s="160"/>
      <c r="I11331" s="160" t="s">
        <v>47</v>
      </c>
      <c r="J11331" s="160" t="s">
        <v>52</v>
      </c>
      <c r="K11331" s="160" t="s">
        <v>27</v>
      </c>
      <c r="L11331" s="154" t="str">
        <f>IF(OpenLCAbasic!K11331="CTUh", "Fill in Manually",IF(OR(K11331="Unit", K11331=""), "", INDEX(LookUps!$E$5:$E$12, MATCH(OpenLCAbasic!K11331,LookUps!$D$5:$D$12,0))))</f>
        <v/>
      </c>
      <c r="M11331" s="154" t="str">
        <f t="shared" si="969"/>
        <v>____Process__</v>
      </c>
    </row>
    <row r="11332" spans="1:13" s="120" customFormat="1" x14ac:dyDescent="0.25">
      <c r="A11332" s="119"/>
      <c r="B11332" s="138" t="str">
        <f t="shared" si="971"/>
        <v>Aerated Static Pile</v>
      </c>
      <c r="C11332" s="138" t="str">
        <f t="shared" si="972"/>
        <v>Base_With Amendment</v>
      </c>
      <c r="D11332" s="138" t="str">
        <f t="shared" si="974"/>
        <v>High_Low</v>
      </c>
      <c r="E11332" s="138" t="str">
        <f t="shared" si="975"/>
        <v>High</v>
      </c>
      <c r="F11332" s="138" t="str">
        <f t="shared" si="973"/>
        <v>Upgraded</v>
      </c>
      <c r="G11332" s="153"/>
      <c r="H11332" s="210">
        <v>0.54630000000000001</v>
      </c>
      <c r="I11332" s="160" t="s">
        <v>167</v>
      </c>
      <c r="J11332" s="160">
        <v>0.11719</v>
      </c>
      <c r="K11332" s="160" t="s">
        <v>14</v>
      </c>
      <c r="L11332" s="154" t="str">
        <f>IF(OpenLCAbasic!K11332="CTUh", "Fill in Manually",IF(OR(K11332="Unit", K11332=""), "", INDEX(LookUps!$E$5:$E$12, MATCH(OpenLCAbasic!K11332,LookUps!$D$5:$D$12,0))))</f>
        <v>Fossil Depletion Potential (FDP) - kg oil eq</v>
      </c>
      <c r="M11332" s="154" t="str">
        <f t="shared" ref="M11332:M11395" si="976">CONCATENATE(E11332,"_",D11332,"_",F11332,"_",L11332, "_",I11332,"_", C11332,"_", B11332)</f>
        <v>High_High_Low_Upgraded_Fossil Depletion Potential (FDP) - kg oil eq_Waste Receiving and Holding; wastewater treatment unit; at updated plant - US_Base_With Amendment_Aerated Static Pile</v>
      </c>
    </row>
    <row r="11333" spans="1:13" s="120" customFormat="1" x14ac:dyDescent="0.25">
      <c r="A11333" s="119"/>
      <c r="B11333" s="138" t="str">
        <f t="shared" si="971"/>
        <v>Aerated Static Pile</v>
      </c>
      <c r="C11333" s="138" t="str">
        <f t="shared" si="972"/>
        <v>Base_With Amendment</v>
      </c>
      <c r="D11333" s="138" t="str">
        <f t="shared" si="974"/>
        <v>High_Low</v>
      </c>
      <c r="E11333" s="138" t="str">
        <f t="shared" si="975"/>
        <v>High</v>
      </c>
      <c r="F11333" s="138" t="str">
        <f t="shared" si="973"/>
        <v>Upgraded</v>
      </c>
      <c r="G11333" s="153"/>
      <c r="H11333" s="210">
        <v>0.2964</v>
      </c>
      <c r="I11333" s="160" t="s">
        <v>55</v>
      </c>
      <c r="J11333" s="160">
        <v>6.3589999999999994E-2</v>
      </c>
      <c r="K11333" s="160" t="s">
        <v>14</v>
      </c>
      <c r="L11333" s="154" t="str">
        <f>IF(OpenLCAbasic!K11333="CTUh", "Fill in Manually",IF(OR(K11333="Unit", K11333=""), "", INDEX(LookUps!$E$5:$E$12, MATCH(OpenLCAbasic!K11333,LookUps!$D$5:$D$12,0))))</f>
        <v>Fossil Depletion Potential (FDP) - kg oil eq</v>
      </c>
      <c r="M11333" s="154" t="str">
        <f t="shared" si="976"/>
        <v>High_High_Low_Upgraded_Fossil Depletion Potential (FDP) - kg oil eq_Aeration Tanks; wastewater treatment unit; at updated plant - US_Base_With Amendment_Aerated Static Pile</v>
      </c>
    </row>
    <row r="11334" spans="1:13" s="120" customFormat="1" x14ac:dyDescent="0.25">
      <c r="A11334" s="119"/>
      <c r="B11334" s="138" t="str">
        <f t="shared" si="971"/>
        <v>Aerated Static Pile</v>
      </c>
      <c r="C11334" s="138" t="str">
        <f t="shared" si="972"/>
        <v>Base_With Amendment</v>
      </c>
      <c r="D11334" s="138" t="str">
        <f t="shared" si="974"/>
        <v>High_Low</v>
      </c>
      <c r="E11334" s="138" t="str">
        <f t="shared" si="975"/>
        <v>High</v>
      </c>
      <c r="F11334" s="138" t="str">
        <f t="shared" si="973"/>
        <v>Upgraded</v>
      </c>
      <c r="G11334" s="153"/>
      <c r="H11334" s="210">
        <v>0.22189999999999999</v>
      </c>
      <c r="I11334" s="160" t="s">
        <v>435</v>
      </c>
      <c r="J11334" s="160">
        <v>4.7600000000000003E-2</v>
      </c>
      <c r="K11334" s="160" t="s">
        <v>14</v>
      </c>
      <c r="L11334" s="154" t="str">
        <f>IF(OpenLCAbasic!K11334="CTUh", "Fill in Manually",IF(OR(K11334="Unit", K11334=""), "", INDEX(LookUps!$E$5:$E$12, MATCH(OpenLCAbasic!K11334,LookUps!$D$5:$D$12,0))))</f>
        <v>Fossil Depletion Potential (FDP) - kg oil eq</v>
      </c>
      <c r="M11334" s="154" t="str">
        <f t="shared" si="976"/>
        <v>High_High_Low_Upgraded_Fossil Depletion Potential (FDP) - kg oil eq_Biosolids composting; aerated static pile; wastewater treatment unit; at updated plant - US_Base_With Amendment_Aerated Static Pile</v>
      </c>
    </row>
    <row r="11335" spans="1:13" s="120" customFormat="1" x14ac:dyDescent="0.25">
      <c r="A11335" s="119"/>
      <c r="B11335" s="138" t="str">
        <f t="shared" si="971"/>
        <v>Aerated Static Pile</v>
      </c>
      <c r="C11335" s="138" t="str">
        <f t="shared" si="972"/>
        <v>Base_With Amendment</v>
      </c>
      <c r="D11335" s="138" t="str">
        <f t="shared" si="974"/>
        <v>High_Low</v>
      </c>
      <c r="E11335" s="138" t="str">
        <f t="shared" si="975"/>
        <v>High</v>
      </c>
      <c r="F11335" s="138" t="str">
        <f t="shared" si="973"/>
        <v>Upgraded</v>
      </c>
      <c r="G11335" s="153"/>
      <c r="H11335" s="210">
        <v>9.8100000000000007E-2</v>
      </c>
      <c r="I11335" s="160" t="s">
        <v>54</v>
      </c>
      <c r="J11335" s="160">
        <v>2.1049999999999999E-2</v>
      </c>
      <c r="K11335" s="160" t="s">
        <v>14</v>
      </c>
      <c r="L11335" s="154" t="str">
        <f>IF(OpenLCAbasic!K11335="CTUh", "Fill in Manually",IF(OR(K11335="Unit", K11335=""), "", INDEX(LookUps!$E$5:$E$12, MATCH(OpenLCAbasic!K11335,LookUps!$D$5:$D$12,0))))</f>
        <v>Fossil Depletion Potential (FDP) - kg oil eq</v>
      </c>
      <c r="M11335" s="154" t="str">
        <f t="shared" si="976"/>
        <v>High_High_Low_Upgraded_Fossil Depletion Potential (FDP) - kg oil eq_Clear Cove Primary Clarification; wastewater treatment unit; at updated plant - US_Base_With Amendment_Aerated Static Pile</v>
      </c>
    </row>
    <row r="11336" spans="1:13" s="120" customFormat="1" x14ac:dyDescent="0.25">
      <c r="A11336" s="119"/>
      <c r="B11336" s="138" t="str">
        <f t="shared" si="971"/>
        <v>Aerated Static Pile</v>
      </c>
      <c r="C11336" s="138" t="str">
        <f t="shared" si="972"/>
        <v>Base_With Amendment</v>
      </c>
      <c r="D11336" s="138" t="str">
        <f t="shared" si="974"/>
        <v>High_Low</v>
      </c>
      <c r="E11336" s="138" t="str">
        <f t="shared" si="975"/>
        <v>High</v>
      </c>
      <c r="F11336" s="138" t="str">
        <f t="shared" si="973"/>
        <v>Upgraded</v>
      </c>
      <c r="G11336" s="153"/>
      <c r="H11336" s="210">
        <v>7.4800000000000005E-2</v>
      </c>
      <c r="I11336" s="160" t="s">
        <v>58</v>
      </c>
      <c r="J11336" s="160">
        <v>1.6039999999999999E-2</v>
      </c>
      <c r="K11336" s="160" t="s">
        <v>14</v>
      </c>
      <c r="L11336" s="154" t="str">
        <f>IF(OpenLCAbasic!K11336="CTUh", "Fill in Manually",IF(OR(K11336="Unit", K11336=""), "", INDEX(LookUps!$E$5:$E$12, MATCH(OpenLCAbasic!K11336,LookUps!$D$5:$D$12,0))))</f>
        <v>Fossil Depletion Potential (FDP) - kg oil eq</v>
      </c>
      <c r="M11336" s="154" t="str">
        <f t="shared" si="976"/>
        <v>High_High_Low_Upgraded_Fossil Depletion Potential (FDP) - kg oil eq_Pre-Anoxic &amp; Swing tank; wastewater treatment unit; at updated plant - US_Base_With Amendment_Aerated Static Pile</v>
      </c>
    </row>
    <row r="11337" spans="1:13" s="120" customFormat="1" x14ac:dyDescent="0.25">
      <c r="A11337" s="119"/>
      <c r="B11337" s="138" t="str">
        <f t="shared" si="971"/>
        <v>Aerated Static Pile</v>
      </c>
      <c r="C11337" s="138" t="str">
        <f t="shared" si="972"/>
        <v>Base_With Amendment</v>
      </c>
      <c r="D11337" s="138" t="str">
        <f t="shared" si="974"/>
        <v>High_Low</v>
      </c>
      <c r="E11337" s="138" t="str">
        <f t="shared" si="975"/>
        <v>High</v>
      </c>
      <c r="F11337" s="138" t="str">
        <f t="shared" si="973"/>
        <v>Upgraded</v>
      </c>
      <c r="G11337" s="153"/>
      <c r="H11337" s="210">
        <v>7.0300000000000001E-2</v>
      </c>
      <c r="I11337" s="160" t="s">
        <v>147</v>
      </c>
      <c r="J11337" s="160">
        <v>1.5089999999999999E-2</v>
      </c>
      <c r="K11337" s="160" t="s">
        <v>14</v>
      </c>
      <c r="L11337" s="154" t="str">
        <f>IF(OpenLCAbasic!K11337="CTUh", "Fill in Manually",IF(OR(K11337="Unit", K11337=""), "", INDEX(LookUps!$E$5:$E$12, MATCH(OpenLCAbasic!K11337,LookUps!$D$5:$D$12,0))))</f>
        <v>Fossil Depletion Potential (FDP) - kg oil eq</v>
      </c>
      <c r="M11337" s="154" t="str">
        <f t="shared" si="976"/>
        <v>High_High_Low_Upgraded_Fossil Depletion Potential (FDP) - kg oil eq_Influent Pump Station; wastewater treatment unit; at updated plant - US_Base_With Amendment_Aerated Static Pile</v>
      </c>
    </row>
    <row r="11338" spans="1:13" s="120" customFormat="1" x14ac:dyDescent="0.25">
      <c r="A11338" s="119"/>
      <c r="B11338" s="138" t="str">
        <f t="shared" ref="B11338:B11401" si="977">IF(F11338="Legacy","n.a.",IF(F11338="","","Aerated Static Pile"))</f>
        <v>Aerated Static Pile</v>
      </c>
      <c r="C11338" s="138" t="str">
        <f t="shared" ref="C11338:C11401" si="978">IF(ISNUMBER($J11338),"Base_With Amendment","")</f>
        <v>Base_With Amendment</v>
      </c>
      <c r="D11338" s="138" t="str">
        <f t="shared" si="974"/>
        <v>High_Low</v>
      </c>
      <c r="E11338" s="138" t="str">
        <f t="shared" si="975"/>
        <v>High</v>
      </c>
      <c r="F11338" s="138" t="str">
        <f t="shared" ref="F11338:F11401" si="979">IF(ISNUMBER(J11338),"Upgraded","")</f>
        <v>Upgraded</v>
      </c>
      <c r="G11338" s="153"/>
      <c r="H11338" s="210">
        <v>5.8999999999999997E-2</v>
      </c>
      <c r="I11338" s="160" t="s">
        <v>60</v>
      </c>
      <c r="J11338" s="160">
        <v>1.2659999999999999E-2</v>
      </c>
      <c r="K11338" s="160" t="s">
        <v>14</v>
      </c>
      <c r="L11338" s="154" t="str">
        <f>IF(OpenLCAbasic!K11338="CTUh", "Fill in Manually",IF(OR(K11338="Unit", K11338=""), "", INDEX(LookUps!$E$5:$E$12, MATCH(OpenLCAbasic!K11338,LookUps!$D$5:$D$12,0))))</f>
        <v>Fossil Depletion Potential (FDP) - kg oil eq</v>
      </c>
      <c r="M11338" s="154" t="str">
        <f t="shared" si="976"/>
        <v>High_High_Low_Upgraded_Fossil Depletion Potential (FDP) - kg oil eq_Belt filter press; wastewater treatment unit; at updated plant - US_Base_With Amendment_Aerated Static Pile</v>
      </c>
    </row>
    <row r="11339" spans="1:13" s="120" customFormat="1" x14ac:dyDescent="0.25">
      <c r="A11339" s="119"/>
      <c r="B11339" s="138" t="str">
        <f t="shared" si="977"/>
        <v>Aerated Static Pile</v>
      </c>
      <c r="C11339" s="138" t="str">
        <f t="shared" si="978"/>
        <v>Base_With Amendment</v>
      </c>
      <c r="D11339" s="138" t="str">
        <f t="shared" si="974"/>
        <v>High_Low</v>
      </c>
      <c r="E11339" s="138" t="str">
        <f t="shared" si="975"/>
        <v>High</v>
      </c>
      <c r="F11339" s="138" t="str">
        <f t="shared" si="979"/>
        <v>Upgraded</v>
      </c>
      <c r="G11339" s="153"/>
      <c r="H11339" s="210">
        <v>5.8200000000000002E-2</v>
      </c>
      <c r="I11339" s="160" t="s">
        <v>53</v>
      </c>
      <c r="J11339" s="160">
        <v>1.2489999999999999E-2</v>
      </c>
      <c r="K11339" s="160" t="s">
        <v>14</v>
      </c>
      <c r="L11339" s="154" t="str">
        <f>IF(OpenLCAbasic!K11339="CTUh", "Fill in Manually",IF(OR(K11339="Unit", K11339=""), "", INDEX(LookUps!$E$5:$E$12, MATCH(OpenLCAbasic!K11339,LookUps!$D$5:$D$12,0))))</f>
        <v>Fossil Depletion Potential (FDP) - kg oil eq</v>
      </c>
      <c r="M11339" s="154" t="str">
        <f t="shared" si="976"/>
        <v>High_High_Low_Upgraded_Fossil Depletion Potential (FDP) - kg oil eq_Wet Well and Sump Station; wastewater treatment unit; at updated plant - US_Base_With Amendment_Aerated Static Pile</v>
      </c>
    </row>
    <row r="11340" spans="1:13" s="120" customFormat="1" x14ac:dyDescent="0.25">
      <c r="A11340" s="119"/>
      <c r="B11340" s="138" t="str">
        <f t="shared" si="977"/>
        <v>Aerated Static Pile</v>
      </c>
      <c r="C11340" s="138" t="str">
        <f t="shared" si="978"/>
        <v>Base_With Amendment</v>
      </c>
      <c r="D11340" s="138" t="str">
        <f t="shared" si="974"/>
        <v>High_Low</v>
      </c>
      <c r="E11340" s="138" t="str">
        <f t="shared" si="975"/>
        <v>High</v>
      </c>
      <c r="F11340" s="138" t="str">
        <f t="shared" si="979"/>
        <v>Upgraded</v>
      </c>
      <c r="G11340" s="153"/>
      <c r="H11340" s="210">
        <v>3.2199999999999999E-2</v>
      </c>
      <c r="I11340" s="160" t="s">
        <v>57</v>
      </c>
      <c r="J11340" s="160">
        <v>6.9199999999999999E-3</v>
      </c>
      <c r="K11340" s="160" t="s">
        <v>14</v>
      </c>
      <c r="L11340" s="154" t="str">
        <f>IF(OpenLCAbasic!K11340="CTUh", "Fill in Manually",IF(OR(K11340="Unit", K11340=""), "", INDEX(LookUps!$E$5:$E$12, MATCH(OpenLCAbasic!K11340,LookUps!$D$5:$D$12,0))))</f>
        <v>Fossil Depletion Potential (FDP) - kg oil eq</v>
      </c>
      <c r="M11340" s="154" t="str">
        <f t="shared" si="976"/>
        <v>High_High_Low_Upgraded_Fossil Depletion Potential (FDP) - kg oil eq_Gravity Belt Thickener; wastewater treatment unit; at updated plant - US_Base_With Amendment_Aerated Static Pile</v>
      </c>
    </row>
    <row r="11341" spans="1:13" s="120" customFormat="1" x14ac:dyDescent="0.25">
      <c r="A11341" s="119"/>
      <c r="B11341" s="138" t="str">
        <f t="shared" si="977"/>
        <v>Aerated Static Pile</v>
      </c>
      <c r="C11341" s="138" t="str">
        <f t="shared" si="978"/>
        <v>Base_With Amendment</v>
      </c>
      <c r="D11341" s="138" t="str">
        <f t="shared" si="974"/>
        <v>High_Low</v>
      </c>
      <c r="E11341" s="138" t="str">
        <f t="shared" si="975"/>
        <v>High</v>
      </c>
      <c r="F11341" s="138" t="str">
        <f t="shared" si="979"/>
        <v>Upgraded</v>
      </c>
      <c r="G11341" s="153"/>
      <c r="H11341" s="210">
        <v>2.1000000000000001E-2</v>
      </c>
      <c r="I11341" s="160" t="s">
        <v>128</v>
      </c>
      <c r="J11341" s="160">
        <v>4.4999999999999997E-3</v>
      </c>
      <c r="K11341" s="160" t="s">
        <v>14</v>
      </c>
      <c r="L11341" s="154" t="str">
        <f>IF(OpenLCAbasic!K11341="CTUh", "Fill in Manually",IF(OR(K11341="Unit", K11341=""), "", INDEX(LookUps!$E$5:$E$12, MATCH(OpenLCAbasic!K11341,LookUps!$D$5:$D$12,0))))</f>
        <v>Fossil Depletion Potential (FDP) - kg oil eq</v>
      </c>
      <c r="M11341" s="154" t="str">
        <f t="shared" si="976"/>
        <v>High_High_Low_Upgraded_Fossil Depletion Potential (FDP) - kg oil eq_Wastewater collection; operation and infrastructure; m3 wastewater_Base_With Amendment_Aerated Static Pile</v>
      </c>
    </row>
    <row r="11342" spans="1:13" s="120" customFormat="1" x14ac:dyDescent="0.25">
      <c r="A11342" s="119"/>
      <c r="B11342" s="138" t="str">
        <f t="shared" si="977"/>
        <v>Aerated Static Pile</v>
      </c>
      <c r="C11342" s="138" t="str">
        <f t="shared" si="978"/>
        <v>Base_With Amendment</v>
      </c>
      <c r="D11342" s="138" t="str">
        <f t="shared" si="974"/>
        <v>High_Low</v>
      </c>
      <c r="E11342" s="138" t="str">
        <f t="shared" si="975"/>
        <v>High</v>
      </c>
      <c r="F11342" s="138" t="str">
        <f t="shared" si="979"/>
        <v>Upgraded</v>
      </c>
      <c r="G11342" s="153"/>
      <c r="H11342" s="210">
        <v>1.2999999999999999E-2</v>
      </c>
      <c r="I11342" s="160" t="s">
        <v>148</v>
      </c>
      <c r="J11342" s="160">
        <v>2.8E-3</v>
      </c>
      <c r="K11342" s="160" t="s">
        <v>14</v>
      </c>
      <c r="L11342" s="154" t="str">
        <f>IF(OpenLCAbasic!K11342="CTUh", "Fill in Manually",IF(OR(K11342="Unit", K11342=""), "", INDEX(LookUps!$E$5:$E$12, MATCH(OpenLCAbasic!K11342,LookUps!$D$5:$D$12,0))))</f>
        <v>Fossil Depletion Potential (FDP) - kg oil eq</v>
      </c>
      <c r="M11342" s="154" t="str">
        <f t="shared" si="976"/>
        <v>High_High_Low_Upgraded_Fossil Depletion Potential (FDP) - kg oil eq_Control Building; at upgraded wastewater treatment plant - US_Base_With Amendment_Aerated Static Pile</v>
      </c>
    </row>
    <row r="11343" spans="1:13" s="120" customFormat="1" x14ac:dyDescent="0.25">
      <c r="A11343" s="119"/>
      <c r="B11343" s="138" t="str">
        <f t="shared" si="977"/>
        <v>Aerated Static Pile</v>
      </c>
      <c r="C11343" s="138" t="str">
        <f t="shared" si="978"/>
        <v>Base_With Amendment</v>
      </c>
      <c r="D11343" s="138" t="str">
        <f t="shared" si="974"/>
        <v>High_Low</v>
      </c>
      <c r="E11343" s="138" t="str">
        <f t="shared" si="975"/>
        <v>High</v>
      </c>
      <c r="F11343" s="138" t="str">
        <f t="shared" si="979"/>
        <v>Upgraded</v>
      </c>
      <c r="G11343" s="153"/>
      <c r="H11343" s="210">
        <v>1.0999999999999999E-2</v>
      </c>
      <c r="I11343" s="160" t="s">
        <v>48</v>
      </c>
      <c r="J11343" s="160">
        <v>2.3600000000000001E-3</v>
      </c>
      <c r="K11343" s="160" t="s">
        <v>14</v>
      </c>
      <c r="L11343" s="154" t="str">
        <f>IF(OpenLCAbasic!K11343="CTUh", "Fill in Manually",IF(OR(K11343="Unit", K11343=""), "", INDEX(LookUps!$E$5:$E$12, MATCH(OpenLCAbasic!K11343,LookUps!$D$5:$D$12,0))))</f>
        <v>Fossil Depletion Potential (FDP) - kg oil eq</v>
      </c>
      <c r="M11343" s="154" t="str">
        <f t="shared" si="976"/>
        <v>High_High_Low_Upgraded_Fossil Depletion Potential (FDP) - kg oil eq_Effluent release; wastewater treatment unit; at surface water; m3 wastewater - US_Base_With Amendment_Aerated Static Pile</v>
      </c>
    </row>
    <row r="11344" spans="1:13" s="120" customFormat="1" x14ac:dyDescent="0.25">
      <c r="A11344" s="119"/>
      <c r="B11344" s="138" t="str">
        <f t="shared" si="977"/>
        <v>Aerated Static Pile</v>
      </c>
      <c r="C11344" s="138" t="str">
        <f t="shared" si="978"/>
        <v>Base_With Amendment</v>
      </c>
      <c r="D11344" s="138" t="str">
        <f t="shared" si="974"/>
        <v>High_Low</v>
      </c>
      <c r="E11344" s="138" t="str">
        <f t="shared" si="975"/>
        <v>High</v>
      </c>
      <c r="F11344" s="138" t="str">
        <f t="shared" si="979"/>
        <v>Upgraded</v>
      </c>
      <c r="G11344" s="153"/>
      <c r="H11344" s="210">
        <v>8.8999999999999999E-3</v>
      </c>
      <c r="I11344" s="160" t="s">
        <v>59</v>
      </c>
      <c r="J11344" s="160">
        <v>1.92E-3</v>
      </c>
      <c r="K11344" s="160" t="s">
        <v>14</v>
      </c>
      <c r="L11344" s="154" t="str">
        <f>IF(OpenLCAbasic!K11344="CTUh", "Fill in Manually",IF(OR(K11344="Unit", K11344=""), "", INDEX(LookUps!$E$5:$E$12, MATCH(OpenLCAbasic!K11344,LookUps!$D$5:$D$12,0))))</f>
        <v>Fossil Depletion Potential (FDP) - kg oil eq</v>
      </c>
      <c r="M11344" s="154" t="str">
        <f t="shared" si="976"/>
        <v>High_High_Low_Upgraded_Fossil Depletion Potential (FDP) - kg oil eq_Blend Tank; wastewater treatment unit; at updated plant - US_Base_With Amendment_Aerated Static Pile</v>
      </c>
    </row>
    <row r="11345" spans="1:13" s="120" customFormat="1" x14ac:dyDescent="0.25">
      <c r="A11345" s="119"/>
      <c r="B11345" s="138" t="str">
        <f t="shared" si="977"/>
        <v>Aerated Static Pile</v>
      </c>
      <c r="C11345" s="138" t="str">
        <f t="shared" si="978"/>
        <v>Base_With Amendment</v>
      </c>
      <c r="D11345" s="138" t="str">
        <f t="shared" ref="D11345:D11408" si="980">IF(ISNUMBER($J11345),"High_Low","")</f>
        <v>High_Low</v>
      </c>
      <c r="E11345" s="138" t="str">
        <f t="shared" si="975"/>
        <v>High</v>
      </c>
      <c r="F11345" s="138" t="str">
        <f t="shared" si="979"/>
        <v>Upgraded</v>
      </c>
      <c r="G11345" s="153"/>
      <c r="H11345" s="210">
        <v>4.3E-3</v>
      </c>
      <c r="I11345" s="160" t="s">
        <v>168</v>
      </c>
      <c r="J11345" s="160">
        <v>9.1E-4</v>
      </c>
      <c r="K11345" s="160" t="s">
        <v>14</v>
      </c>
      <c r="L11345" s="154" t="str">
        <f>IF(OpenLCAbasic!K11345="CTUh", "Fill in Manually",IF(OR(K11345="Unit", K11345=""), "", INDEX(LookUps!$E$5:$E$12, MATCH(OpenLCAbasic!K11345,LookUps!$D$5:$D$12,0))))</f>
        <v>Fossil Depletion Potential (FDP) - kg oil eq</v>
      </c>
      <c r="M11345" s="154" t="str">
        <f t="shared" si="976"/>
        <v>High_High_Low_Upgraded_Fossil Depletion Potential (FDP) - kg oil eq_ClearCove SCP; wastewater treatment unit; at updated plant - US_Base_With Amendment_Aerated Static Pile</v>
      </c>
    </row>
    <row r="11346" spans="1:13" s="120" customFormat="1" x14ac:dyDescent="0.25">
      <c r="A11346" s="119"/>
      <c r="B11346" s="138" t="str">
        <f t="shared" si="977"/>
        <v>Aerated Static Pile</v>
      </c>
      <c r="C11346" s="138" t="str">
        <f t="shared" si="978"/>
        <v>Base_With Amendment</v>
      </c>
      <c r="D11346" s="138" t="str">
        <f t="shared" si="980"/>
        <v>High_Low</v>
      </c>
      <c r="E11346" s="138" t="str">
        <f t="shared" si="975"/>
        <v>High</v>
      </c>
      <c r="F11346" s="138" t="str">
        <f t="shared" si="979"/>
        <v>Upgraded</v>
      </c>
      <c r="G11346" s="153"/>
      <c r="H11346" s="210">
        <v>-5.57E-2</v>
      </c>
      <c r="I11346" s="160" t="s">
        <v>62</v>
      </c>
      <c r="J11346" s="160">
        <v>-1.196E-2</v>
      </c>
      <c r="K11346" s="160" t="s">
        <v>14</v>
      </c>
      <c r="L11346" s="154" t="str">
        <f>IF(OpenLCAbasic!K11346="CTUh", "Fill in Manually",IF(OR(K11346="Unit", K11346=""), "", INDEX(LookUps!$E$5:$E$12, MATCH(OpenLCAbasic!K11346,LookUps!$D$5:$D$12,0))))</f>
        <v>Fossil Depletion Potential (FDP) - kg oil eq</v>
      </c>
      <c r="M11346" s="154" t="str">
        <f t="shared" si="976"/>
        <v>High_High_Low_Upgraded_Fossil Depletion Potential (FDP) - kg oil eq_Land application of compost; wastewater treatment unit; at updated plant - US_Base_With Amendment_Aerated Static Pile</v>
      </c>
    </row>
    <row r="11347" spans="1:13" s="120" customFormat="1" x14ac:dyDescent="0.25">
      <c r="A11347" s="119"/>
      <c r="B11347" s="138" t="str">
        <f t="shared" si="977"/>
        <v>Aerated Static Pile</v>
      </c>
      <c r="C11347" s="138" t="str">
        <f t="shared" si="978"/>
        <v>Base_With Amendment</v>
      </c>
      <c r="D11347" s="138" t="str">
        <f t="shared" si="980"/>
        <v>High_Low</v>
      </c>
      <c r="E11347" s="138" t="str">
        <f t="shared" si="975"/>
        <v>High</v>
      </c>
      <c r="F11347" s="138" t="str">
        <f t="shared" si="979"/>
        <v>Upgraded</v>
      </c>
      <c r="G11347" s="153"/>
      <c r="H11347" s="210">
        <v>-0.45979999999999999</v>
      </c>
      <c r="I11347" s="160" t="s">
        <v>149</v>
      </c>
      <c r="J11347" s="160">
        <v>-9.8640000000000005E-2</v>
      </c>
      <c r="K11347" s="160" t="s">
        <v>14</v>
      </c>
      <c r="L11347" s="154" t="str">
        <f>IF(OpenLCAbasic!K11347="CTUh", "Fill in Manually",IF(OR(K11347="Unit", K11347=""), "", INDEX(LookUps!$E$5:$E$12, MATCH(OpenLCAbasic!K11347,LookUps!$D$5:$D$12,0))))</f>
        <v>Fossil Depletion Potential (FDP) - kg oil eq</v>
      </c>
      <c r="M11347" s="154" t="str">
        <f t="shared" si="976"/>
        <v>High_High_Low_Upgraded_Fossil Depletion Potential (FDP) - kg oil eq_Anaerobic Digestion; wastewater treatment unit; at updated plant - US_Base_With Amendment_Aerated Static Pile</v>
      </c>
    </row>
    <row r="11348" spans="1:13" s="120" customFormat="1" x14ac:dyDescent="0.25">
      <c r="A11348" s="119"/>
      <c r="B11348" s="138" t="str">
        <f t="shared" si="977"/>
        <v/>
      </c>
      <c r="C11348" s="138" t="str">
        <f t="shared" si="978"/>
        <v/>
      </c>
      <c r="D11348" s="138" t="str">
        <f t="shared" si="980"/>
        <v/>
      </c>
      <c r="E11348" s="138" t="str">
        <f t="shared" si="975"/>
        <v/>
      </c>
      <c r="F11348" s="138" t="str">
        <f t="shared" si="979"/>
        <v/>
      </c>
      <c r="G11348" s="153" t="s">
        <v>51</v>
      </c>
      <c r="H11348" s="160"/>
      <c r="I11348" s="160" t="s">
        <v>47</v>
      </c>
      <c r="J11348" s="160" t="s">
        <v>52</v>
      </c>
      <c r="K11348" s="160" t="s">
        <v>27</v>
      </c>
      <c r="L11348" s="154" t="str">
        <f>IF(OpenLCAbasic!K11348="CTUh", "Fill in Manually",IF(OR(K11348="Unit", K11348=""), "", INDEX(LookUps!$E$5:$E$12, MATCH(OpenLCAbasic!K11348,LookUps!$D$5:$D$12,0))))</f>
        <v/>
      </c>
      <c r="M11348" s="154" t="str">
        <f t="shared" si="976"/>
        <v>____Process__</v>
      </c>
    </row>
    <row r="11349" spans="1:13" s="120" customFormat="1" x14ac:dyDescent="0.25">
      <c r="A11349" s="119"/>
      <c r="B11349" s="138" t="str">
        <f t="shared" si="977"/>
        <v>Aerated Static Pile</v>
      </c>
      <c r="C11349" s="138" t="str">
        <f t="shared" si="978"/>
        <v>Base_With Amendment</v>
      </c>
      <c r="D11349" s="138" t="str">
        <f t="shared" si="980"/>
        <v>High_Low</v>
      </c>
      <c r="E11349" s="138" t="str">
        <f t="shared" si="975"/>
        <v>High</v>
      </c>
      <c r="F11349" s="138" t="str">
        <f t="shared" si="979"/>
        <v>Upgraded</v>
      </c>
      <c r="G11349" s="153"/>
      <c r="H11349" s="210">
        <v>1.2271000000000001</v>
      </c>
      <c r="I11349" s="160" t="s">
        <v>435</v>
      </c>
      <c r="J11349" s="160">
        <v>1.8223100000000001</v>
      </c>
      <c r="K11349" s="160" t="s">
        <v>23</v>
      </c>
      <c r="L11349" s="154" t="str">
        <f>IF(OpenLCAbasic!K11349="CTUh", "Fill in Manually",IF(OR(K11349="Unit", K11349=""), "", INDEX(LookUps!$E$5:$E$12, MATCH(OpenLCAbasic!K11349,LookUps!$D$5:$D$12,0))))</f>
        <v>Global Warming Potential (GWP) - kg CO2 eq</v>
      </c>
      <c r="M11349" s="154" t="str">
        <f t="shared" si="976"/>
        <v>High_High_Low_Upgraded_Global Warming Potential (GWP) - kg CO2 eq_Biosolids composting; aerated static pile; wastewater treatment unit; at updated plant - US_Base_With Amendment_Aerated Static Pile</v>
      </c>
    </row>
    <row r="11350" spans="1:13" s="120" customFormat="1" x14ac:dyDescent="0.25">
      <c r="A11350" s="119"/>
      <c r="B11350" s="138" t="str">
        <f t="shared" si="977"/>
        <v>Aerated Static Pile</v>
      </c>
      <c r="C11350" s="138" t="str">
        <f t="shared" si="978"/>
        <v>Base_With Amendment</v>
      </c>
      <c r="D11350" s="138" t="str">
        <f t="shared" si="980"/>
        <v>High_Low</v>
      </c>
      <c r="E11350" s="138" t="str">
        <f t="shared" si="975"/>
        <v>High</v>
      </c>
      <c r="F11350" s="138" t="str">
        <f t="shared" si="979"/>
        <v>Upgraded</v>
      </c>
      <c r="G11350" s="153"/>
      <c r="H11350" s="210">
        <v>0.16830000000000001</v>
      </c>
      <c r="I11350" s="160" t="s">
        <v>58</v>
      </c>
      <c r="J11350" s="160">
        <v>0.24992</v>
      </c>
      <c r="K11350" s="160" t="s">
        <v>23</v>
      </c>
      <c r="L11350" s="154" t="str">
        <f>IF(OpenLCAbasic!K11350="CTUh", "Fill in Manually",IF(OR(K11350="Unit", K11350=""), "", INDEX(LookUps!$E$5:$E$12, MATCH(OpenLCAbasic!K11350,LookUps!$D$5:$D$12,0))))</f>
        <v>Global Warming Potential (GWP) - kg CO2 eq</v>
      </c>
      <c r="M11350" s="154" t="str">
        <f t="shared" si="976"/>
        <v>High_High_Low_Upgraded_Global Warming Potential (GWP) - kg CO2 eq_Pre-Anoxic &amp; Swing tank; wastewater treatment unit; at updated plant - US_Base_With Amendment_Aerated Static Pile</v>
      </c>
    </row>
    <row r="11351" spans="1:13" s="120" customFormat="1" x14ac:dyDescent="0.25">
      <c r="A11351" s="119"/>
      <c r="B11351" s="138" t="str">
        <f t="shared" si="977"/>
        <v>Aerated Static Pile</v>
      </c>
      <c r="C11351" s="138" t="str">
        <f t="shared" si="978"/>
        <v>Base_With Amendment</v>
      </c>
      <c r="D11351" s="138" t="str">
        <f t="shared" si="980"/>
        <v>High_Low</v>
      </c>
      <c r="E11351" s="138" t="str">
        <f t="shared" si="975"/>
        <v>High</v>
      </c>
      <c r="F11351" s="138" t="str">
        <f t="shared" si="979"/>
        <v>Upgraded</v>
      </c>
      <c r="G11351" s="153"/>
      <c r="H11351" s="210">
        <v>0.1133</v>
      </c>
      <c r="I11351" s="160" t="s">
        <v>55</v>
      </c>
      <c r="J11351" s="160">
        <v>0.16822000000000001</v>
      </c>
      <c r="K11351" s="160" t="s">
        <v>23</v>
      </c>
      <c r="L11351" s="154" t="str">
        <f>IF(OpenLCAbasic!K11351="CTUh", "Fill in Manually",IF(OR(K11351="Unit", K11351=""), "", INDEX(LookUps!$E$5:$E$12, MATCH(OpenLCAbasic!K11351,LookUps!$D$5:$D$12,0))))</f>
        <v>Global Warming Potential (GWP) - kg CO2 eq</v>
      </c>
      <c r="M11351" s="154" t="str">
        <f t="shared" si="976"/>
        <v>High_High_Low_Upgraded_Global Warming Potential (GWP) - kg CO2 eq_Aeration Tanks; wastewater treatment unit; at updated plant - US_Base_With Amendment_Aerated Static Pile</v>
      </c>
    </row>
    <row r="11352" spans="1:13" s="120" customFormat="1" x14ac:dyDescent="0.25">
      <c r="A11352" s="119"/>
      <c r="B11352" s="138" t="str">
        <f t="shared" si="977"/>
        <v>Aerated Static Pile</v>
      </c>
      <c r="C11352" s="138" t="str">
        <f t="shared" si="978"/>
        <v>Base_With Amendment</v>
      </c>
      <c r="D11352" s="138" t="str">
        <f t="shared" si="980"/>
        <v>High_Low</v>
      </c>
      <c r="E11352" s="138" t="str">
        <f t="shared" si="975"/>
        <v>High</v>
      </c>
      <c r="F11352" s="138" t="str">
        <f t="shared" si="979"/>
        <v>Upgraded</v>
      </c>
      <c r="G11352" s="153"/>
      <c r="H11352" s="210">
        <v>9.8900000000000002E-2</v>
      </c>
      <c r="I11352" s="160" t="s">
        <v>167</v>
      </c>
      <c r="J11352" s="160">
        <v>0.14685000000000001</v>
      </c>
      <c r="K11352" s="160" t="s">
        <v>23</v>
      </c>
      <c r="L11352" s="154" t="str">
        <f>IF(OpenLCAbasic!K11352="CTUh", "Fill in Manually",IF(OR(K11352="Unit", K11352=""), "", INDEX(LookUps!$E$5:$E$12, MATCH(OpenLCAbasic!K11352,LookUps!$D$5:$D$12,0))))</f>
        <v>Global Warming Potential (GWP) - kg CO2 eq</v>
      </c>
      <c r="M11352" s="154" t="str">
        <f t="shared" si="976"/>
        <v>High_High_Low_Upgraded_Global Warming Potential (GWP) - kg CO2 eq_Waste Receiving and Holding; wastewater treatment unit; at updated plant - US_Base_With Amendment_Aerated Static Pile</v>
      </c>
    </row>
    <row r="11353" spans="1:13" s="120" customFormat="1" x14ac:dyDescent="0.25">
      <c r="A11353" s="119"/>
      <c r="B11353" s="138" t="str">
        <f t="shared" si="977"/>
        <v>Aerated Static Pile</v>
      </c>
      <c r="C11353" s="138" t="str">
        <f t="shared" si="978"/>
        <v>Base_With Amendment</v>
      </c>
      <c r="D11353" s="138" t="str">
        <f t="shared" si="980"/>
        <v>High_Low</v>
      </c>
      <c r="E11353" s="138" t="str">
        <f t="shared" si="975"/>
        <v>High</v>
      </c>
      <c r="F11353" s="138" t="str">
        <f t="shared" si="979"/>
        <v>Upgraded</v>
      </c>
      <c r="G11353" s="153"/>
      <c r="H11353" s="210">
        <v>3.8399999999999997E-2</v>
      </c>
      <c r="I11353" s="160" t="s">
        <v>54</v>
      </c>
      <c r="J11353" s="160">
        <v>5.7079999999999999E-2</v>
      </c>
      <c r="K11353" s="160" t="s">
        <v>23</v>
      </c>
      <c r="L11353" s="154" t="str">
        <f>IF(OpenLCAbasic!K11353="CTUh", "Fill in Manually",IF(OR(K11353="Unit", K11353=""), "", INDEX(LookUps!$E$5:$E$12, MATCH(OpenLCAbasic!K11353,LookUps!$D$5:$D$12,0))))</f>
        <v>Global Warming Potential (GWP) - kg CO2 eq</v>
      </c>
      <c r="M11353" s="154" t="str">
        <f t="shared" si="976"/>
        <v>High_High_Low_Upgraded_Global Warming Potential (GWP) - kg CO2 eq_Clear Cove Primary Clarification; wastewater treatment unit; at updated plant - US_Base_With Amendment_Aerated Static Pile</v>
      </c>
    </row>
    <row r="11354" spans="1:13" s="120" customFormat="1" x14ac:dyDescent="0.25">
      <c r="A11354" s="119"/>
      <c r="B11354" s="138" t="str">
        <f t="shared" si="977"/>
        <v>Aerated Static Pile</v>
      </c>
      <c r="C11354" s="138" t="str">
        <f t="shared" si="978"/>
        <v>Base_With Amendment</v>
      </c>
      <c r="D11354" s="138" t="str">
        <f t="shared" si="980"/>
        <v>High_Low</v>
      </c>
      <c r="E11354" s="138" t="str">
        <f t="shared" si="975"/>
        <v>High</v>
      </c>
      <c r="F11354" s="138" t="str">
        <f t="shared" si="979"/>
        <v>Upgraded</v>
      </c>
      <c r="G11354" s="153"/>
      <c r="H11354" s="210">
        <v>3.5400000000000001E-2</v>
      </c>
      <c r="I11354" s="160" t="s">
        <v>48</v>
      </c>
      <c r="J11354" s="160">
        <v>5.2639999999999999E-2</v>
      </c>
      <c r="K11354" s="160" t="s">
        <v>23</v>
      </c>
      <c r="L11354" s="154" t="str">
        <f>IF(OpenLCAbasic!K11354="CTUh", "Fill in Manually",IF(OR(K11354="Unit", K11354=""), "", INDEX(LookUps!$E$5:$E$12, MATCH(OpenLCAbasic!K11354,LookUps!$D$5:$D$12,0))))</f>
        <v>Global Warming Potential (GWP) - kg CO2 eq</v>
      </c>
      <c r="M11354" s="154" t="str">
        <f t="shared" si="976"/>
        <v>High_High_Low_Upgraded_Global Warming Potential (GWP) - kg CO2 eq_Effluent release; wastewater treatment unit; at surface water; m3 wastewater - US_Base_With Amendment_Aerated Static Pile</v>
      </c>
    </row>
    <row r="11355" spans="1:13" s="120" customFormat="1" x14ac:dyDescent="0.25">
      <c r="A11355" s="119"/>
      <c r="B11355" s="138" t="str">
        <f t="shared" si="977"/>
        <v>Aerated Static Pile</v>
      </c>
      <c r="C11355" s="138" t="str">
        <f t="shared" si="978"/>
        <v>Base_With Amendment</v>
      </c>
      <c r="D11355" s="138" t="str">
        <f t="shared" si="980"/>
        <v>High_Low</v>
      </c>
      <c r="E11355" s="138" t="str">
        <f t="shared" si="975"/>
        <v>High</v>
      </c>
      <c r="F11355" s="138" t="str">
        <f t="shared" si="979"/>
        <v>Upgraded</v>
      </c>
      <c r="G11355" s="153"/>
      <c r="H11355" s="210">
        <v>3.4000000000000002E-2</v>
      </c>
      <c r="I11355" s="160" t="s">
        <v>147</v>
      </c>
      <c r="J11355" s="160">
        <v>5.0500000000000003E-2</v>
      </c>
      <c r="K11355" s="160" t="s">
        <v>23</v>
      </c>
      <c r="L11355" s="154" t="str">
        <f>IF(OpenLCAbasic!K11355="CTUh", "Fill in Manually",IF(OR(K11355="Unit", K11355=""), "", INDEX(LookUps!$E$5:$E$12, MATCH(OpenLCAbasic!K11355,LookUps!$D$5:$D$12,0))))</f>
        <v>Global Warming Potential (GWP) - kg CO2 eq</v>
      </c>
      <c r="M11355" s="154" t="str">
        <f t="shared" si="976"/>
        <v>High_High_Low_Upgraded_Global Warming Potential (GWP) - kg CO2 eq_Influent Pump Station; wastewater treatment unit; at updated plant - US_Base_With Amendment_Aerated Static Pile</v>
      </c>
    </row>
    <row r="11356" spans="1:13" s="120" customFormat="1" x14ac:dyDescent="0.25">
      <c r="A11356" s="119"/>
      <c r="B11356" s="138" t="str">
        <f t="shared" si="977"/>
        <v>Aerated Static Pile</v>
      </c>
      <c r="C11356" s="138" t="str">
        <f t="shared" si="978"/>
        <v>Base_With Amendment</v>
      </c>
      <c r="D11356" s="138" t="str">
        <f t="shared" si="980"/>
        <v>High_Low</v>
      </c>
      <c r="E11356" s="138" t="str">
        <f t="shared" si="975"/>
        <v>High</v>
      </c>
      <c r="F11356" s="138" t="str">
        <f t="shared" si="979"/>
        <v>Upgraded</v>
      </c>
      <c r="G11356" s="153"/>
      <c r="H11356" s="210">
        <v>2.24E-2</v>
      </c>
      <c r="I11356" s="160" t="s">
        <v>53</v>
      </c>
      <c r="J11356" s="160">
        <v>3.3259999999999998E-2</v>
      </c>
      <c r="K11356" s="160" t="s">
        <v>23</v>
      </c>
      <c r="L11356" s="154" t="str">
        <f>IF(OpenLCAbasic!K11356="CTUh", "Fill in Manually",IF(OR(K11356="Unit", K11356=""), "", INDEX(LookUps!$E$5:$E$12, MATCH(OpenLCAbasic!K11356,LookUps!$D$5:$D$12,0))))</f>
        <v>Global Warming Potential (GWP) - kg CO2 eq</v>
      </c>
      <c r="M11356" s="154" t="str">
        <f t="shared" si="976"/>
        <v>High_High_Low_Upgraded_Global Warming Potential (GWP) - kg CO2 eq_Wet Well and Sump Station; wastewater treatment unit; at updated plant - US_Base_With Amendment_Aerated Static Pile</v>
      </c>
    </row>
    <row r="11357" spans="1:13" s="120" customFormat="1" x14ac:dyDescent="0.25">
      <c r="A11357" s="119"/>
      <c r="B11357" s="138" t="str">
        <f t="shared" si="977"/>
        <v>Aerated Static Pile</v>
      </c>
      <c r="C11357" s="138" t="str">
        <f t="shared" si="978"/>
        <v>Base_With Amendment</v>
      </c>
      <c r="D11357" s="138" t="str">
        <f t="shared" si="980"/>
        <v>High_Low</v>
      </c>
      <c r="E11357" s="138" t="str">
        <f t="shared" si="975"/>
        <v>High</v>
      </c>
      <c r="F11357" s="138" t="str">
        <f t="shared" si="979"/>
        <v>Upgraded</v>
      </c>
      <c r="G11357" s="153"/>
      <c r="H11357" s="210">
        <v>1.8700000000000001E-2</v>
      </c>
      <c r="I11357" s="160" t="s">
        <v>60</v>
      </c>
      <c r="J11357" s="160">
        <v>2.7820000000000001E-2</v>
      </c>
      <c r="K11357" s="160" t="s">
        <v>23</v>
      </c>
      <c r="L11357" s="154" t="str">
        <f>IF(OpenLCAbasic!K11357="CTUh", "Fill in Manually",IF(OR(K11357="Unit", K11357=""), "", INDEX(LookUps!$E$5:$E$12, MATCH(OpenLCAbasic!K11357,LookUps!$D$5:$D$12,0))))</f>
        <v>Global Warming Potential (GWP) - kg CO2 eq</v>
      </c>
      <c r="M11357" s="154" t="str">
        <f t="shared" si="976"/>
        <v>High_High_Low_Upgraded_Global Warming Potential (GWP) - kg CO2 eq_Belt filter press; wastewater treatment unit; at updated plant - US_Base_With Amendment_Aerated Static Pile</v>
      </c>
    </row>
    <row r="11358" spans="1:13" s="120" customFormat="1" x14ac:dyDescent="0.25">
      <c r="A11358" s="119"/>
      <c r="B11358" s="138" t="str">
        <f t="shared" si="977"/>
        <v>Aerated Static Pile</v>
      </c>
      <c r="C11358" s="138" t="str">
        <f t="shared" si="978"/>
        <v>Base_With Amendment</v>
      </c>
      <c r="D11358" s="138" t="str">
        <f t="shared" si="980"/>
        <v>High_Low</v>
      </c>
      <c r="E11358" s="138" t="str">
        <f t="shared" si="975"/>
        <v>High</v>
      </c>
      <c r="F11358" s="138" t="str">
        <f t="shared" si="979"/>
        <v>Upgraded</v>
      </c>
      <c r="G11358" s="153"/>
      <c r="H11358" s="210">
        <v>9.7999999999999997E-3</v>
      </c>
      <c r="I11358" s="160" t="s">
        <v>57</v>
      </c>
      <c r="J11358" s="160">
        <v>1.455E-2</v>
      </c>
      <c r="K11358" s="160" t="s">
        <v>23</v>
      </c>
      <c r="L11358" s="154" t="str">
        <f>IF(OpenLCAbasic!K11358="CTUh", "Fill in Manually",IF(OR(K11358="Unit", K11358=""), "", INDEX(LookUps!$E$5:$E$12, MATCH(OpenLCAbasic!K11358,LookUps!$D$5:$D$12,0))))</f>
        <v>Global Warming Potential (GWP) - kg CO2 eq</v>
      </c>
      <c r="M11358" s="154" t="str">
        <f t="shared" si="976"/>
        <v>High_High_Low_Upgraded_Global Warming Potential (GWP) - kg CO2 eq_Gravity Belt Thickener; wastewater treatment unit; at updated plant - US_Base_With Amendment_Aerated Static Pile</v>
      </c>
    </row>
    <row r="11359" spans="1:13" s="120" customFormat="1" x14ac:dyDescent="0.25">
      <c r="A11359" s="119"/>
      <c r="B11359" s="138" t="str">
        <f t="shared" si="977"/>
        <v>Aerated Static Pile</v>
      </c>
      <c r="C11359" s="138" t="str">
        <f t="shared" si="978"/>
        <v>Base_With Amendment</v>
      </c>
      <c r="D11359" s="138" t="str">
        <f t="shared" si="980"/>
        <v>High_Low</v>
      </c>
      <c r="E11359" s="138" t="str">
        <f t="shared" si="975"/>
        <v>High</v>
      </c>
      <c r="F11359" s="138" t="str">
        <f t="shared" si="979"/>
        <v>Upgraded</v>
      </c>
      <c r="G11359" s="153"/>
      <c r="H11359" s="210">
        <v>9.1000000000000004E-3</v>
      </c>
      <c r="I11359" s="160" t="s">
        <v>128</v>
      </c>
      <c r="J11359" s="160">
        <v>1.3509999999999999E-2</v>
      </c>
      <c r="K11359" s="160" t="s">
        <v>23</v>
      </c>
      <c r="L11359" s="154" t="str">
        <f>IF(OpenLCAbasic!K11359="CTUh", "Fill in Manually",IF(OR(K11359="Unit", K11359=""), "", INDEX(LookUps!$E$5:$E$12, MATCH(OpenLCAbasic!K11359,LookUps!$D$5:$D$12,0))))</f>
        <v>Global Warming Potential (GWP) - kg CO2 eq</v>
      </c>
      <c r="M11359" s="154" t="str">
        <f t="shared" si="976"/>
        <v>High_High_Low_Upgraded_Global Warming Potential (GWP) - kg CO2 eq_Wastewater collection; operation and infrastructure; m3 wastewater_Base_With Amendment_Aerated Static Pile</v>
      </c>
    </row>
    <row r="11360" spans="1:13" s="120" customFormat="1" x14ac:dyDescent="0.25">
      <c r="A11360" s="119"/>
      <c r="B11360" s="138" t="str">
        <f t="shared" si="977"/>
        <v>Aerated Static Pile</v>
      </c>
      <c r="C11360" s="138" t="str">
        <f t="shared" si="978"/>
        <v>Base_With Amendment</v>
      </c>
      <c r="D11360" s="138" t="str">
        <f t="shared" si="980"/>
        <v>High_Low</v>
      </c>
      <c r="E11360" s="138" t="str">
        <f t="shared" si="975"/>
        <v>High</v>
      </c>
      <c r="F11360" s="138" t="str">
        <f t="shared" si="979"/>
        <v>Upgraded</v>
      </c>
      <c r="G11360" s="153"/>
      <c r="H11360" s="210">
        <v>5.5999999999999999E-3</v>
      </c>
      <c r="I11360" s="160" t="s">
        <v>148</v>
      </c>
      <c r="J11360" s="160">
        <v>8.3000000000000001E-3</v>
      </c>
      <c r="K11360" s="160" t="s">
        <v>23</v>
      </c>
      <c r="L11360" s="154" t="str">
        <f>IF(OpenLCAbasic!K11360="CTUh", "Fill in Manually",IF(OR(K11360="Unit", K11360=""), "", INDEX(LookUps!$E$5:$E$12, MATCH(OpenLCAbasic!K11360,LookUps!$D$5:$D$12,0))))</f>
        <v>Global Warming Potential (GWP) - kg CO2 eq</v>
      </c>
      <c r="M11360" s="154" t="str">
        <f t="shared" si="976"/>
        <v>High_High_Low_Upgraded_Global Warming Potential (GWP) - kg CO2 eq_Control Building; at upgraded wastewater treatment plant - US_Base_With Amendment_Aerated Static Pile</v>
      </c>
    </row>
    <row r="11361" spans="1:13" s="120" customFormat="1" x14ac:dyDescent="0.25">
      <c r="A11361" s="119"/>
      <c r="B11361" s="138" t="str">
        <f t="shared" si="977"/>
        <v>Aerated Static Pile</v>
      </c>
      <c r="C11361" s="138" t="str">
        <f t="shared" si="978"/>
        <v>Base_With Amendment</v>
      </c>
      <c r="D11361" s="138" t="str">
        <f t="shared" si="980"/>
        <v>High_Low</v>
      </c>
      <c r="E11361" s="138" t="str">
        <f t="shared" si="975"/>
        <v>High</v>
      </c>
      <c r="F11361" s="138" t="str">
        <f t="shared" si="979"/>
        <v>Upgraded</v>
      </c>
      <c r="G11361" s="153"/>
      <c r="H11361" s="210">
        <v>3.3999999999999998E-3</v>
      </c>
      <c r="I11361" s="160" t="s">
        <v>59</v>
      </c>
      <c r="J11361" s="160">
        <v>5.0400000000000002E-3</v>
      </c>
      <c r="K11361" s="160" t="s">
        <v>23</v>
      </c>
      <c r="L11361" s="154" t="str">
        <f>IF(OpenLCAbasic!K11361="CTUh", "Fill in Manually",IF(OR(K11361="Unit", K11361=""), "", INDEX(LookUps!$E$5:$E$12, MATCH(OpenLCAbasic!K11361,LookUps!$D$5:$D$12,0))))</f>
        <v>Global Warming Potential (GWP) - kg CO2 eq</v>
      </c>
      <c r="M11361" s="154" t="str">
        <f t="shared" si="976"/>
        <v>High_High_Low_Upgraded_Global Warming Potential (GWP) - kg CO2 eq_Blend Tank; wastewater treatment unit; at updated plant - US_Base_With Amendment_Aerated Static Pile</v>
      </c>
    </row>
    <row r="11362" spans="1:13" s="120" customFormat="1" x14ac:dyDescent="0.25">
      <c r="A11362" s="119"/>
      <c r="B11362" s="138" t="str">
        <f t="shared" si="977"/>
        <v>Aerated Static Pile</v>
      </c>
      <c r="C11362" s="138" t="str">
        <f t="shared" si="978"/>
        <v>Base_With Amendment</v>
      </c>
      <c r="D11362" s="138" t="str">
        <f t="shared" si="980"/>
        <v>High_Low</v>
      </c>
      <c r="E11362" s="138" t="str">
        <f t="shared" si="975"/>
        <v>High</v>
      </c>
      <c r="F11362" s="138" t="str">
        <f t="shared" si="979"/>
        <v>Upgraded</v>
      </c>
      <c r="G11362" s="153"/>
      <c r="H11362" s="210">
        <v>1.6000000000000001E-3</v>
      </c>
      <c r="I11362" s="160" t="s">
        <v>168</v>
      </c>
      <c r="J11362" s="160">
        <v>2.4099999999999998E-3</v>
      </c>
      <c r="K11362" s="160" t="s">
        <v>23</v>
      </c>
      <c r="L11362" s="154" t="str">
        <f>IF(OpenLCAbasic!K11362="CTUh", "Fill in Manually",IF(OR(K11362="Unit", K11362=""), "", INDEX(LookUps!$E$5:$E$12, MATCH(OpenLCAbasic!K11362,LookUps!$D$5:$D$12,0))))</f>
        <v>Global Warming Potential (GWP) - kg CO2 eq</v>
      </c>
      <c r="M11362" s="154" t="str">
        <f t="shared" si="976"/>
        <v>High_High_Low_Upgraded_Global Warming Potential (GWP) - kg CO2 eq_ClearCove SCP; wastewater treatment unit; at updated plant - US_Base_With Amendment_Aerated Static Pile</v>
      </c>
    </row>
    <row r="11363" spans="1:13" s="120" customFormat="1" x14ac:dyDescent="0.25">
      <c r="A11363" s="119"/>
      <c r="B11363" s="138" t="str">
        <f t="shared" si="977"/>
        <v>Aerated Static Pile</v>
      </c>
      <c r="C11363" s="138" t="str">
        <f t="shared" si="978"/>
        <v>Base_With Amendment</v>
      </c>
      <c r="D11363" s="138" t="str">
        <f t="shared" si="980"/>
        <v>High_Low</v>
      </c>
      <c r="E11363" s="138" t="str">
        <f t="shared" si="975"/>
        <v>High</v>
      </c>
      <c r="F11363" s="138" t="str">
        <f t="shared" si="979"/>
        <v>Upgraded</v>
      </c>
      <c r="G11363" s="153"/>
      <c r="H11363" s="210">
        <v>-0.1148</v>
      </c>
      <c r="I11363" s="160" t="s">
        <v>149</v>
      </c>
      <c r="J11363" s="160">
        <v>-0.17055999999999999</v>
      </c>
      <c r="K11363" s="160" t="s">
        <v>23</v>
      </c>
      <c r="L11363" s="154" t="str">
        <f>IF(OpenLCAbasic!K11363="CTUh", "Fill in Manually",IF(OR(K11363="Unit", K11363=""), "", INDEX(LookUps!$E$5:$E$12, MATCH(OpenLCAbasic!K11363,LookUps!$D$5:$D$12,0))))</f>
        <v>Global Warming Potential (GWP) - kg CO2 eq</v>
      </c>
      <c r="M11363" s="154" t="str">
        <f t="shared" si="976"/>
        <v>High_High_Low_Upgraded_Global Warming Potential (GWP) - kg CO2 eq_Anaerobic Digestion; wastewater treatment unit; at updated plant - US_Base_With Amendment_Aerated Static Pile</v>
      </c>
    </row>
    <row r="11364" spans="1:13" s="120" customFormat="1" x14ac:dyDescent="0.25">
      <c r="A11364" s="119"/>
      <c r="B11364" s="138" t="str">
        <f t="shared" si="977"/>
        <v>Aerated Static Pile</v>
      </c>
      <c r="C11364" s="138" t="str">
        <f t="shared" si="978"/>
        <v>Base_With Amendment</v>
      </c>
      <c r="D11364" s="138" t="str">
        <f t="shared" si="980"/>
        <v>High_Low</v>
      </c>
      <c r="E11364" s="138" t="str">
        <f t="shared" si="975"/>
        <v>High</v>
      </c>
      <c r="F11364" s="138" t="str">
        <f t="shared" si="979"/>
        <v>Upgraded</v>
      </c>
      <c r="G11364" s="153"/>
      <c r="H11364" s="210">
        <v>-0.67120000000000002</v>
      </c>
      <c r="I11364" s="160" t="s">
        <v>62</v>
      </c>
      <c r="J11364" s="160">
        <v>-0.99675999999999998</v>
      </c>
      <c r="K11364" s="160" t="s">
        <v>23</v>
      </c>
      <c r="L11364" s="154" t="str">
        <f>IF(OpenLCAbasic!K11364="CTUh", "Fill in Manually",IF(OR(K11364="Unit", K11364=""), "", INDEX(LookUps!$E$5:$E$12, MATCH(OpenLCAbasic!K11364,LookUps!$D$5:$D$12,0))))</f>
        <v>Global Warming Potential (GWP) - kg CO2 eq</v>
      </c>
      <c r="M11364" s="154" t="str">
        <f t="shared" si="976"/>
        <v>High_High_Low_Upgraded_Global Warming Potential (GWP) - kg CO2 eq_Land application of compost; wastewater treatment unit; at updated plant - US_Base_With Amendment_Aerated Static Pile</v>
      </c>
    </row>
    <row r="11365" spans="1:13" s="120" customFormat="1" x14ac:dyDescent="0.25">
      <c r="A11365" s="119"/>
      <c r="B11365" s="138" t="str">
        <f t="shared" si="977"/>
        <v/>
      </c>
      <c r="C11365" s="138" t="str">
        <f t="shared" si="978"/>
        <v/>
      </c>
      <c r="D11365" s="138" t="str">
        <f t="shared" si="980"/>
        <v/>
      </c>
      <c r="E11365" s="138" t="str">
        <f t="shared" si="975"/>
        <v/>
      </c>
      <c r="F11365" s="138" t="str">
        <f t="shared" si="979"/>
        <v/>
      </c>
      <c r="G11365" s="153" t="s">
        <v>51</v>
      </c>
      <c r="H11365" s="160"/>
      <c r="I11365" s="160" t="s">
        <v>47</v>
      </c>
      <c r="J11365" s="160" t="s">
        <v>52</v>
      </c>
      <c r="K11365" s="160" t="s">
        <v>27</v>
      </c>
      <c r="L11365" s="154" t="str">
        <f>IF(OpenLCAbasic!K11365="CTUh", "Fill in Manually",IF(OR(K11365="Unit", K11365=""), "", INDEX(LookUps!$E$5:$E$12, MATCH(OpenLCAbasic!K11365,LookUps!$D$5:$D$12,0))))</f>
        <v/>
      </c>
      <c r="M11365" s="154" t="str">
        <f t="shared" si="976"/>
        <v>____Process__</v>
      </c>
    </row>
    <row r="11366" spans="1:13" s="120" customFormat="1" x14ac:dyDescent="0.25">
      <c r="A11366" s="119"/>
      <c r="B11366" s="138" t="str">
        <f t="shared" si="977"/>
        <v>Aerated Static Pile</v>
      </c>
      <c r="C11366" s="138" t="str">
        <f t="shared" si="978"/>
        <v>Base_With Amendment</v>
      </c>
      <c r="D11366" s="138" t="str">
        <f t="shared" si="980"/>
        <v>High_Low</v>
      </c>
      <c r="E11366" s="138" t="str">
        <f t="shared" si="975"/>
        <v>High</v>
      </c>
      <c r="F11366" s="138" t="str">
        <f t="shared" si="979"/>
        <v>Upgraded</v>
      </c>
      <c r="G11366" s="153"/>
      <c r="H11366" s="210">
        <v>0.43030000000000002</v>
      </c>
      <c r="I11366" s="160" t="s">
        <v>55</v>
      </c>
      <c r="J11366" s="160">
        <v>2.33E-3</v>
      </c>
      <c r="K11366" s="160" t="s">
        <v>145</v>
      </c>
      <c r="L11366" s="154" t="str">
        <f>IF(OpenLCAbasic!K11366="CTUh", "Fill in Manually",IF(OR(K11366="Unit", K11366=""), "", INDEX(LookUps!$E$5:$E$12, MATCH(OpenLCAbasic!K11366,LookUps!$D$5:$D$12,0))))</f>
        <v>Particulate Matter Formation Potential (PMFP) - kg PM2.5 eq</v>
      </c>
      <c r="M11366" s="154" t="str">
        <f t="shared" si="976"/>
        <v>High_High_Low_Upgraded_Particulate Matter Formation Potential (PMFP) - kg PM2.5 eq_Aeration Tanks; wastewater treatment unit; at updated plant - US_Base_With Amendment_Aerated Static Pile</v>
      </c>
    </row>
    <row r="11367" spans="1:13" s="120" customFormat="1" x14ac:dyDescent="0.25">
      <c r="A11367" s="119"/>
      <c r="B11367" s="138" t="str">
        <f t="shared" si="977"/>
        <v>Aerated Static Pile</v>
      </c>
      <c r="C11367" s="138" t="str">
        <f t="shared" si="978"/>
        <v>Base_With Amendment</v>
      </c>
      <c r="D11367" s="138" t="str">
        <f t="shared" si="980"/>
        <v>High_Low</v>
      </c>
      <c r="E11367" s="138" t="str">
        <f t="shared" si="975"/>
        <v>High</v>
      </c>
      <c r="F11367" s="138" t="str">
        <f t="shared" si="979"/>
        <v>Upgraded</v>
      </c>
      <c r="G11367" s="153"/>
      <c r="H11367" s="210">
        <v>0.33360000000000001</v>
      </c>
      <c r="I11367" s="160" t="s">
        <v>435</v>
      </c>
      <c r="J11367" s="160">
        <v>1.81E-3</v>
      </c>
      <c r="K11367" s="160" t="s">
        <v>145</v>
      </c>
      <c r="L11367" s="154" t="str">
        <f>IF(OpenLCAbasic!K11367="CTUh", "Fill in Manually",IF(OR(K11367="Unit", K11367=""), "", INDEX(LookUps!$E$5:$E$12, MATCH(OpenLCAbasic!K11367,LookUps!$D$5:$D$12,0))))</f>
        <v>Particulate Matter Formation Potential (PMFP) - kg PM2.5 eq</v>
      </c>
      <c r="M11367" s="154" t="str">
        <f t="shared" si="976"/>
        <v>High_High_Low_Upgraded_Particulate Matter Formation Potential (PMFP) - kg PM2.5 eq_Biosolids composting; aerated static pile; wastewater treatment unit; at updated plant - US_Base_With Amendment_Aerated Static Pile</v>
      </c>
    </row>
    <row r="11368" spans="1:13" s="120" customFormat="1" x14ac:dyDescent="0.25">
      <c r="A11368" s="119"/>
      <c r="B11368" s="138" t="str">
        <f t="shared" si="977"/>
        <v>Aerated Static Pile</v>
      </c>
      <c r="C11368" s="138" t="str">
        <f t="shared" si="978"/>
        <v>Base_With Amendment</v>
      </c>
      <c r="D11368" s="138" t="str">
        <f t="shared" si="980"/>
        <v>High_Low</v>
      </c>
      <c r="E11368" s="138" t="str">
        <f t="shared" si="975"/>
        <v>High</v>
      </c>
      <c r="F11368" s="138" t="str">
        <f t="shared" si="979"/>
        <v>Upgraded</v>
      </c>
      <c r="G11368" s="153"/>
      <c r="H11368" s="210">
        <v>0.12520000000000001</v>
      </c>
      <c r="I11368" s="160" t="s">
        <v>54</v>
      </c>
      <c r="J11368" s="160">
        <v>6.8000000000000005E-4</v>
      </c>
      <c r="K11368" s="160" t="s">
        <v>145</v>
      </c>
      <c r="L11368" s="154" t="str">
        <f>IF(OpenLCAbasic!K11368="CTUh", "Fill in Manually",IF(OR(K11368="Unit", K11368=""), "", INDEX(LookUps!$E$5:$E$12, MATCH(OpenLCAbasic!K11368,LookUps!$D$5:$D$12,0))))</f>
        <v>Particulate Matter Formation Potential (PMFP) - kg PM2.5 eq</v>
      </c>
      <c r="M11368" s="154" t="str">
        <f t="shared" si="976"/>
        <v>High_High_Low_Upgraded_Particulate Matter Formation Potential (PMFP) - kg PM2.5 eq_Clear Cove Primary Clarification; wastewater treatment unit; at updated plant - US_Base_With Amendment_Aerated Static Pile</v>
      </c>
    </row>
    <row r="11369" spans="1:13" s="120" customFormat="1" x14ac:dyDescent="0.25">
      <c r="A11369" s="119"/>
      <c r="B11369" s="138" t="str">
        <f t="shared" si="977"/>
        <v>Aerated Static Pile</v>
      </c>
      <c r="C11369" s="138" t="str">
        <f t="shared" si="978"/>
        <v>Base_With Amendment</v>
      </c>
      <c r="D11369" s="138" t="str">
        <f t="shared" si="980"/>
        <v>High_Low</v>
      </c>
      <c r="E11369" s="138" t="str">
        <f t="shared" ref="E11369:E11432" si="981">IF(ISNUMBER($J11369),"High","")</f>
        <v>High</v>
      </c>
      <c r="F11369" s="138" t="str">
        <f t="shared" si="979"/>
        <v>Upgraded</v>
      </c>
      <c r="G11369" s="153"/>
      <c r="H11369" s="210">
        <v>0.109</v>
      </c>
      <c r="I11369" s="160" t="s">
        <v>58</v>
      </c>
      <c r="J11369" s="160">
        <v>5.9000000000000003E-4</v>
      </c>
      <c r="K11369" s="160" t="s">
        <v>145</v>
      </c>
      <c r="L11369" s="154" t="str">
        <f>IF(OpenLCAbasic!K11369="CTUh", "Fill in Manually",IF(OR(K11369="Unit", K11369=""), "", INDEX(LookUps!$E$5:$E$12, MATCH(OpenLCAbasic!K11369,LookUps!$D$5:$D$12,0))))</f>
        <v>Particulate Matter Formation Potential (PMFP) - kg PM2.5 eq</v>
      </c>
      <c r="M11369" s="154" t="str">
        <f t="shared" si="976"/>
        <v>High_High_Low_Upgraded_Particulate Matter Formation Potential (PMFP) - kg PM2.5 eq_Pre-Anoxic &amp; Swing tank; wastewater treatment unit; at updated plant - US_Base_With Amendment_Aerated Static Pile</v>
      </c>
    </row>
    <row r="11370" spans="1:13" s="120" customFormat="1" x14ac:dyDescent="0.25">
      <c r="A11370" s="119"/>
      <c r="B11370" s="138" t="str">
        <f t="shared" si="977"/>
        <v>Aerated Static Pile</v>
      </c>
      <c r="C11370" s="138" t="str">
        <f t="shared" si="978"/>
        <v>Base_With Amendment</v>
      </c>
      <c r="D11370" s="138" t="str">
        <f t="shared" si="980"/>
        <v>High_Low</v>
      </c>
      <c r="E11370" s="138" t="str">
        <f t="shared" si="981"/>
        <v>High</v>
      </c>
      <c r="F11370" s="138" t="str">
        <f t="shared" si="979"/>
        <v>Upgraded</v>
      </c>
      <c r="G11370" s="153"/>
      <c r="H11370" s="210">
        <v>8.5999999999999993E-2</v>
      </c>
      <c r="I11370" s="160" t="s">
        <v>53</v>
      </c>
      <c r="J11370" s="160">
        <v>4.6999999999999999E-4</v>
      </c>
      <c r="K11370" s="160" t="s">
        <v>145</v>
      </c>
      <c r="L11370" s="154" t="str">
        <f>IF(OpenLCAbasic!K11370="CTUh", "Fill in Manually",IF(OR(K11370="Unit", K11370=""), "", INDEX(LookUps!$E$5:$E$12, MATCH(OpenLCAbasic!K11370,LookUps!$D$5:$D$12,0))))</f>
        <v>Particulate Matter Formation Potential (PMFP) - kg PM2.5 eq</v>
      </c>
      <c r="M11370" s="154" t="str">
        <f t="shared" si="976"/>
        <v>High_High_Low_Upgraded_Particulate Matter Formation Potential (PMFP) - kg PM2.5 eq_Wet Well and Sump Station; wastewater treatment unit; at updated plant - US_Base_With Amendment_Aerated Static Pile</v>
      </c>
    </row>
    <row r="11371" spans="1:13" s="120" customFormat="1" x14ac:dyDescent="0.25">
      <c r="A11371" s="119"/>
      <c r="B11371" s="138" t="str">
        <f t="shared" si="977"/>
        <v>Aerated Static Pile</v>
      </c>
      <c r="C11371" s="138" t="str">
        <f t="shared" si="978"/>
        <v>Base_With Amendment</v>
      </c>
      <c r="D11371" s="138" t="str">
        <f t="shared" si="980"/>
        <v>High_Low</v>
      </c>
      <c r="E11371" s="138" t="str">
        <f t="shared" si="981"/>
        <v>High</v>
      </c>
      <c r="F11371" s="138" t="str">
        <f t="shared" si="979"/>
        <v>Upgraded</v>
      </c>
      <c r="G11371" s="153"/>
      <c r="H11371" s="210">
        <v>6.1199999999999997E-2</v>
      </c>
      <c r="I11371" s="160" t="s">
        <v>167</v>
      </c>
      <c r="J11371" s="160">
        <v>3.3E-4</v>
      </c>
      <c r="K11371" s="160" t="s">
        <v>145</v>
      </c>
      <c r="L11371" s="154" t="str">
        <f>IF(OpenLCAbasic!K11371="CTUh", "Fill in Manually",IF(OR(K11371="Unit", K11371=""), "", INDEX(LookUps!$E$5:$E$12, MATCH(OpenLCAbasic!K11371,LookUps!$D$5:$D$12,0))))</f>
        <v>Particulate Matter Formation Potential (PMFP) - kg PM2.5 eq</v>
      </c>
      <c r="M11371" s="154" t="str">
        <f t="shared" si="976"/>
        <v>High_High_Low_Upgraded_Particulate Matter Formation Potential (PMFP) - kg PM2.5 eq_Waste Receiving and Holding; wastewater treatment unit; at updated plant - US_Base_With Amendment_Aerated Static Pile</v>
      </c>
    </row>
    <row r="11372" spans="1:13" s="120" customFormat="1" x14ac:dyDescent="0.25">
      <c r="A11372" s="119"/>
      <c r="B11372" s="138" t="str">
        <f t="shared" si="977"/>
        <v>Aerated Static Pile</v>
      </c>
      <c r="C11372" s="138" t="str">
        <f t="shared" si="978"/>
        <v>Base_With Amendment</v>
      </c>
      <c r="D11372" s="138" t="str">
        <f t="shared" si="980"/>
        <v>High_Low</v>
      </c>
      <c r="E11372" s="138" t="str">
        <f t="shared" si="981"/>
        <v>High</v>
      </c>
      <c r="F11372" s="138" t="str">
        <f t="shared" si="979"/>
        <v>Upgraded</v>
      </c>
      <c r="G11372" s="153"/>
      <c r="H11372" s="210">
        <v>4.9200000000000001E-2</v>
      </c>
      <c r="I11372" s="160" t="s">
        <v>147</v>
      </c>
      <c r="J11372" s="160">
        <v>2.7E-4</v>
      </c>
      <c r="K11372" s="160" t="s">
        <v>145</v>
      </c>
      <c r="L11372" s="154" t="str">
        <f>IF(OpenLCAbasic!K11372="CTUh", "Fill in Manually",IF(OR(K11372="Unit", K11372=""), "", INDEX(LookUps!$E$5:$E$12, MATCH(OpenLCAbasic!K11372,LookUps!$D$5:$D$12,0))))</f>
        <v>Particulate Matter Formation Potential (PMFP) - kg PM2.5 eq</v>
      </c>
      <c r="M11372" s="154" t="str">
        <f t="shared" si="976"/>
        <v>High_High_Low_Upgraded_Particulate Matter Formation Potential (PMFP) - kg PM2.5 eq_Influent Pump Station; wastewater treatment unit; at updated plant - US_Base_With Amendment_Aerated Static Pile</v>
      </c>
    </row>
    <row r="11373" spans="1:13" s="120" customFormat="1" x14ac:dyDescent="0.25">
      <c r="A11373" s="119"/>
      <c r="B11373" s="138" t="str">
        <f t="shared" si="977"/>
        <v>Aerated Static Pile</v>
      </c>
      <c r="C11373" s="138" t="str">
        <f t="shared" si="978"/>
        <v>Base_With Amendment</v>
      </c>
      <c r="D11373" s="138" t="str">
        <f t="shared" si="980"/>
        <v>High_Low</v>
      </c>
      <c r="E11373" s="138" t="str">
        <f t="shared" si="981"/>
        <v>High</v>
      </c>
      <c r="F11373" s="138" t="str">
        <f t="shared" si="979"/>
        <v>Upgraded</v>
      </c>
      <c r="G11373" s="153"/>
      <c r="H11373" s="210">
        <v>4.19E-2</v>
      </c>
      <c r="I11373" s="160" t="s">
        <v>60</v>
      </c>
      <c r="J11373" s="160">
        <v>2.3000000000000001E-4</v>
      </c>
      <c r="K11373" s="160" t="s">
        <v>145</v>
      </c>
      <c r="L11373" s="154" t="str">
        <f>IF(OpenLCAbasic!K11373="CTUh", "Fill in Manually",IF(OR(K11373="Unit", K11373=""), "", INDEX(LookUps!$E$5:$E$12, MATCH(OpenLCAbasic!K11373,LookUps!$D$5:$D$12,0))))</f>
        <v>Particulate Matter Formation Potential (PMFP) - kg PM2.5 eq</v>
      </c>
      <c r="M11373" s="154" t="str">
        <f t="shared" si="976"/>
        <v>High_High_Low_Upgraded_Particulate Matter Formation Potential (PMFP) - kg PM2.5 eq_Belt filter press; wastewater treatment unit; at updated plant - US_Base_With Amendment_Aerated Static Pile</v>
      </c>
    </row>
    <row r="11374" spans="1:13" s="120" customFormat="1" x14ac:dyDescent="0.25">
      <c r="A11374" s="119"/>
      <c r="B11374" s="138" t="str">
        <f t="shared" si="977"/>
        <v>Aerated Static Pile</v>
      </c>
      <c r="C11374" s="138" t="str">
        <f t="shared" si="978"/>
        <v>Base_With Amendment</v>
      </c>
      <c r="D11374" s="138" t="str">
        <f t="shared" si="980"/>
        <v>High_Low</v>
      </c>
      <c r="E11374" s="138" t="str">
        <f t="shared" si="981"/>
        <v>High</v>
      </c>
      <c r="F11374" s="138" t="str">
        <f t="shared" si="979"/>
        <v>Upgraded</v>
      </c>
      <c r="G11374" s="153"/>
      <c r="H11374" s="210">
        <v>3.0700000000000002E-2</v>
      </c>
      <c r="I11374" s="160" t="s">
        <v>128</v>
      </c>
      <c r="J11374" s="160">
        <v>1.7000000000000001E-4</v>
      </c>
      <c r="K11374" s="160" t="s">
        <v>145</v>
      </c>
      <c r="L11374" s="154" t="str">
        <f>IF(OpenLCAbasic!K11374="CTUh", "Fill in Manually",IF(OR(K11374="Unit", K11374=""), "", INDEX(LookUps!$E$5:$E$12, MATCH(OpenLCAbasic!K11374,LookUps!$D$5:$D$12,0))))</f>
        <v>Particulate Matter Formation Potential (PMFP) - kg PM2.5 eq</v>
      </c>
      <c r="M11374" s="154" t="str">
        <f t="shared" si="976"/>
        <v>High_High_Low_Upgraded_Particulate Matter Formation Potential (PMFP) - kg PM2.5 eq_Wastewater collection; operation and infrastructure; m3 wastewater_Base_With Amendment_Aerated Static Pile</v>
      </c>
    </row>
    <row r="11375" spans="1:13" s="120" customFormat="1" x14ac:dyDescent="0.25">
      <c r="A11375" s="119"/>
      <c r="B11375" s="138" t="str">
        <f t="shared" si="977"/>
        <v>Aerated Static Pile</v>
      </c>
      <c r="C11375" s="138" t="str">
        <f t="shared" si="978"/>
        <v>Base_With Amendment</v>
      </c>
      <c r="D11375" s="138" t="str">
        <f t="shared" si="980"/>
        <v>High_Low</v>
      </c>
      <c r="E11375" s="138" t="str">
        <f t="shared" si="981"/>
        <v>High</v>
      </c>
      <c r="F11375" s="138" t="str">
        <f t="shared" si="979"/>
        <v>Upgraded</v>
      </c>
      <c r="G11375" s="153"/>
      <c r="H11375" s="210">
        <v>1.7500000000000002E-2</v>
      </c>
      <c r="I11375" s="160" t="s">
        <v>57</v>
      </c>
      <c r="J11375" s="211">
        <v>9.5153800000000004E-5</v>
      </c>
      <c r="K11375" s="160" t="s">
        <v>145</v>
      </c>
      <c r="L11375" s="154" t="str">
        <f>IF(OpenLCAbasic!K11375="CTUh", "Fill in Manually",IF(OR(K11375="Unit", K11375=""), "", INDEX(LookUps!$E$5:$E$12, MATCH(OpenLCAbasic!K11375,LookUps!$D$5:$D$12,0))))</f>
        <v>Particulate Matter Formation Potential (PMFP) - kg PM2.5 eq</v>
      </c>
      <c r="M11375" s="154" t="str">
        <f t="shared" si="976"/>
        <v>High_High_Low_Upgraded_Particulate Matter Formation Potential (PMFP) - kg PM2.5 eq_Gravity Belt Thickener; wastewater treatment unit; at updated plant - US_Base_With Amendment_Aerated Static Pile</v>
      </c>
    </row>
    <row r="11376" spans="1:13" s="120" customFormat="1" x14ac:dyDescent="0.25">
      <c r="A11376" s="119"/>
      <c r="B11376" s="138" t="str">
        <f t="shared" si="977"/>
        <v>Aerated Static Pile</v>
      </c>
      <c r="C11376" s="138" t="str">
        <f t="shared" si="978"/>
        <v>Base_With Amendment</v>
      </c>
      <c r="D11376" s="138" t="str">
        <f t="shared" si="980"/>
        <v>High_Low</v>
      </c>
      <c r="E11376" s="138" t="str">
        <f t="shared" si="981"/>
        <v>High</v>
      </c>
      <c r="F11376" s="138" t="str">
        <f t="shared" si="979"/>
        <v>Upgraded</v>
      </c>
      <c r="G11376" s="153"/>
      <c r="H11376" s="210">
        <v>1.3599999999999999E-2</v>
      </c>
      <c r="I11376" s="160" t="s">
        <v>62</v>
      </c>
      <c r="J11376" s="211">
        <v>7.3606600000000001E-5</v>
      </c>
      <c r="K11376" s="160" t="s">
        <v>145</v>
      </c>
      <c r="L11376" s="154" t="str">
        <f>IF(OpenLCAbasic!K11376="CTUh", "Fill in Manually",IF(OR(K11376="Unit", K11376=""), "", INDEX(LookUps!$E$5:$E$12, MATCH(OpenLCAbasic!K11376,LookUps!$D$5:$D$12,0))))</f>
        <v>Particulate Matter Formation Potential (PMFP) - kg PM2.5 eq</v>
      </c>
      <c r="M11376" s="154" t="str">
        <f t="shared" si="976"/>
        <v>High_High_Low_Upgraded_Particulate Matter Formation Potential (PMFP) - kg PM2.5 eq_Land application of compost; wastewater treatment unit; at updated plant - US_Base_With Amendment_Aerated Static Pile</v>
      </c>
    </row>
    <row r="11377" spans="1:13" s="120" customFormat="1" x14ac:dyDescent="0.25">
      <c r="A11377" s="119"/>
      <c r="B11377" s="138" t="str">
        <f t="shared" si="977"/>
        <v>Aerated Static Pile</v>
      </c>
      <c r="C11377" s="138" t="str">
        <f t="shared" si="978"/>
        <v>Base_With Amendment</v>
      </c>
      <c r="D11377" s="138" t="str">
        <f t="shared" si="980"/>
        <v>High_Low</v>
      </c>
      <c r="E11377" s="138" t="str">
        <f t="shared" si="981"/>
        <v>High</v>
      </c>
      <c r="F11377" s="138" t="str">
        <f t="shared" si="979"/>
        <v>Upgraded</v>
      </c>
      <c r="G11377" s="153"/>
      <c r="H11377" s="210">
        <v>1.29E-2</v>
      </c>
      <c r="I11377" s="160" t="s">
        <v>59</v>
      </c>
      <c r="J11377" s="211">
        <v>6.9942200000000003E-5</v>
      </c>
      <c r="K11377" s="160" t="s">
        <v>145</v>
      </c>
      <c r="L11377" s="154" t="str">
        <f>IF(OpenLCAbasic!K11377="CTUh", "Fill in Manually",IF(OR(K11377="Unit", K11377=""), "", INDEX(LookUps!$E$5:$E$12, MATCH(OpenLCAbasic!K11377,LookUps!$D$5:$D$12,0))))</f>
        <v>Particulate Matter Formation Potential (PMFP) - kg PM2.5 eq</v>
      </c>
      <c r="M11377" s="154" t="str">
        <f t="shared" si="976"/>
        <v>High_High_Low_Upgraded_Particulate Matter Formation Potential (PMFP) - kg PM2.5 eq_Blend Tank; wastewater treatment unit; at updated plant - US_Base_With Amendment_Aerated Static Pile</v>
      </c>
    </row>
    <row r="11378" spans="1:13" s="120" customFormat="1" x14ac:dyDescent="0.25">
      <c r="A11378" s="119"/>
      <c r="B11378" s="138" t="str">
        <f t="shared" si="977"/>
        <v>Aerated Static Pile</v>
      </c>
      <c r="C11378" s="138" t="str">
        <f t="shared" si="978"/>
        <v>Base_With Amendment</v>
      </c>
      <c r="D11378" s="138" t="str">
        <f t="shared" si="980"/>
        <v>High_Low</v>
      </c>
      <c r="E11378" s="138" t="str">
        <f t="shared" si="981"/>
        <v>High</v>
      </c>
      <c r="F11378" s="138" t="str">
        <f t="shared" si="979"/>
        <v>Upgraded</v>
      </c>
      <c r="G11378" s="153"/>
      <c r="H11378" s="210">
        <v>9.1999999999999998E-3</v>
      </c>
      <c r="I11378" s="160" t="s">
        <v>48</v>
      </c>
      <c r="J11378" s="211">
        <v>4.99741E-5</v>
      </c>
      <c r="K11378" s="160" t="s">
        <v>145</v>
      </c>
      <c r="L11378" s="154" t="str">
        <f>IF(OpenLCAbasic!K11378="CTUh", "Fill in Manually",IF(OR(K11378="Unit", K11378=""), "", INDEX(LookUps!$E$5:$E$12, MATCH(OpenLCAbasic!K11378,LookUps!$D$5:$D$12,0))))</f>
        <v>Particulate Matter Formation Potential (PMFP) - kg PM2.5 eq</v>
      </c>
      <c r="M11378" s="154" t="str">
        <f t="shared" si="976"/>
        <v>High_High_Low_Upgraded_Particulate Matter Formation Potential (PMFP) - kg PM2.5 eq_Effluent release; wastewater treatment unit; at surface water; m3 wastewater - US_Base_With Amendment_Aerated Static Pile</v>
      </c>
    </row>
    <row r="11379" spans="1:13" s="120" customFormat="1" x14ac:dyDescent="0.25">
      <c r="A11379" s="119"/>
      <c r="B11379" s="138" t="str">
        <f t="shared" si="977"/>
        <v>Aerated Static Pile</v>
      </c>
      <c r="C11379" s="138" t="str">
        <f t="shared" si="978"/>
        <v>Base_With Amendment</v>
      </c>
      <c r="D11379" s="138" t="str">
        <f t="shared" si="980"/>
        <v>High_Low</v>
      </c>
      <c r="E11379" s="138" t="str">
        <f t="shared" si="981"/>
        <v>High</v>
      </c>
      <c r="F11379" s="138" t="str">
        <f t="shared" si="979"/>
        <v>Upgraded</v>
      </c>
      <c r="G11379" s="153"/>
      <c r="H11379" s="210">
        <v>6.4000000000000003E-3</v>
      </c>
      <c r="I11379" s="160" t="s">
        <v>168</v>
      </c>
      <c r="J11379" s="211">
        <v>3.4562199999999999E-5</v>
      </c>
      <c r="K11379" s="160" t="s">
        <v>145</v>
      </c>
      <c r="L11379" s="154" t="str">
        <f>IF(OpenLCAbasic!K11379="CTUh", "Fill in Manually",IF(OR(K11379="Unit", K11379=""), "", INDEX(LookUps!$E$5:$E$12, MATCH(OpenLCAbasic!K11379,LookUps!$D$5:$D$12,0))))</f>
        <v>Particulate Matter Formation Potential (PMFP) - kg PM2.5 eq</v>
      </c>
      <c r="M11379" s="154" t="str">
        <f t="shared" si="976"/>
        <v>High_High_Low_Upgraded_Particulate Matter Formation Potential (PMFP) - kg PM2.5 eq_ClearCove SCP; wastewater treatment unit; at updated plant - US_Base_With Amendment_Aerated Static Pile</v>
      </c>
    </row>
    <row r="11380" spans="1:13" s="120" customFormat="1" x14ac:dyDescent="0.25">
      <c r="A11380" s="119"/>
      <c r="B11380" s="138" t="str">
        <f t="shared" si="977"/>
        <v>Aerated Static Pile</v>
      </c>
      <c r="C11380" s="138" t="str">
        <f t="shared" si="978"/>
        <v>Base_With Amendment</v>
      </c>
      <c r="D11380" s="138" t="str">
        <f t="shared" si="980"/>
        <v>High_Low</v>
      </c>
      <c r="E11380" s="138" t="str">
        <f t="shared" si="981"/>
        <v>High</v>
      </c>
      <c r="F11380" s="138" t="str">
        <f t="shared" si="979"/>
        <v>Upgraded</v>
      </c>
      <c r="G11380" s="153"/>
      <c r="H11380" s="210">
        <v>1.6000000000000001E-3</v>
      </c>
      <c r="I11380" s="160" t="s">
        <v>148</v>
      </c>
      <c r="J11380" s="211">
        <v>8.8212999999999997E-6</v>
      </c>
      <c r="K11380" s="160" t="s">
        <v>145</v>
      </c>
      <c r="L11380" s="154" t="str">
        <f>IF(OpenLCAbasic!K11380="CTUh", "Fill in Manually",IF(OR(K11380="Unit", K11380=""), "", INDEX(LookUps!$E$5:$E$12, MATCH(OpenLCAbasic!K11380,LookUps!$D$5:$D$12,0))))</f>
        <v>Particulate Matter Formation Potential (PMFP) - kg PM2.5 eq</v>
      </c>
      <c r="M11380" s="154" t="str">
        <f t="shared" si="976"/>
        <v>High_High_Low_Upgraded_Particulate Matter Formation Potential (PMFP) - kg PM2.5 eq_Control Building; at upgraded wastewater treatment plant - US_Base_With Amendment_Aerated Static Pile</v>
      </c>
    </row>
    <row r="11381" spans="1:13" s="120" customFormat="1" x14ac:dyDescent="0.25">
      <c r="A11381" s="119"/>
      <c r="B11381" s="138" t="str">
        <f t="shared" si="977"/>
        <v>Aerated Static Pile</v>
      </c>
      <c r="C11381" s="138" t="str">
        <f t="shared" si="978"/>
        <v>Base_With Amendment</v>
      </c>
      <c r="D11381" s="138" t="str">
        <f t="shared" si="980"/>
        <v>High_Low</v>
      </c>
      <c r="E11381" s="138" t="str">
        <f t="shared" si="981"/>
        <v>High</v>
      </c>
      <c r="F11381" s="138" t="str">
        <f t="shared" si="979"/>
        <v>Upgraded</v>
      </c>
      <c r="G11381" s="153"/>
      <c r="H11381" s="210">
        <v>-0.32829999999999998</v>
      </c>
      <c r="I11381" s="160" t="s">
        <v>149</v>
      </c>
      <c r="J11381" s="160">
        <v>-1.7799999999999999E-3</v>
      </c>
      <c r="K11381" s="160" t="s">
        <v>145</v>
      </c>
      <c r="L11381" s="154" t="str">
        <f>IF(OpenLCAbasic!K11381="CTUh", "Fill in Manually",IF(OR(K11381="Unit", K11381=""), "", INDEX(LookUps!$E$5:$E$12, MATCH(OpenLCAbasic!K11381,LookUps!$D$5:$D$12,0))))</f>
        <v>Particulate Matter Formation Potential (PMFP) - kg PM2.5 eq</v>
      </c>
      <c r="M11381" s="154" t="str">
        <f t="shared" si="976"/>
        <v>High_High_Low_Upgraded_Particulate Matter Formation Potential (PMFP) - kg PM2.5 eq_Anaerobic Digestion; wastewater treatment unit; at updated plant - US_Base_With Amendment_Aerated Static Pile</v>
      </c>
    </row>
    <row r="11382" spans="1:13" s="120" customFormat="1" x14ac:dyDescent="0.25">
      <c r="A11382" s="119"/>
      <c r="B11382" s="138" t="str">
        <f t="shared" si="977"/>
        <v/>
      </c>
      <c r="C11382" s="138" t="str">
        <f t="shared" si="978"/>
        <v/>
      </c>
      <c r="D11382" s="138" t="str">
        <f t="shared" si="980"/>
        <v/>
      </c>
      <c r="E11382" s="138" t="str">
        <f t="shared" si="981"/>
        <v/>
      </c>
      <c r="F11382" s="138" t="str">
        <f t="shared" si="979"/>
        <v/>
      </c>
      <c r="G11382" s="153" t="s">
        <v>51</v>
      </c>
      <c r="H11382" s="160"/>
      <c r="I11382" s="160" t="s">
        <v>47</v>
      </c>
      <c r="J11382" s="160" t="s">
        <v>52</v>
      </c>
      <c r="K11382" s="160" t="s">
        <v>27</v>
      </c>
      <c r="L11382" s="154" t="str">
        <f>IF(OpenLCAbasic!K11382="CTUh", "Fill in Manually",IF(OR(K11382="Unit", K11382=""), "", INDEX(LookUps!$E$5:$E$12, MATCH(OpenLCAbasic!K11382,LookUps!$D$5:$D$12,0))))</f>
        <v/>
      </c>
      <c r="M11382" s="154" t="str">
        <f t="shared" si="976"/>
        <v>____Process__</v>
      </c>
    </row>
    <row r="11383" spans="1:13" s="120" customFormat="1" x14ac:dyDescent="0.25">
      <c r="A11383" s="119"/>
      <c r="B11383" s="138" t="str">
        <f t="shared" si="977"/>
        <v>Aerated Static Pile</v>
      </c>
      <c r="C11383" s="138" t="str">
        <f t="shared" si="978"/>
        <v>Base_With Amendment</v>
      </c>
      <c r="D11383" s="138" t="str">
        <f t="shared" si="980"/>
        <v>High_Low</v>
      </c>
      <c r="E11383" s="138" t="str">
        <f t="shared" si="981"/>
        <v>High</v>
      </c>
      <c r="F11383" s="138" t="str">
        <f t="shared" si="979"/>
        <v>Upgraded</v>
      </c>
      <c r="G11383" s="153"/>
      <c r="H11383" s="210">
        <v>0.435</v>
      </c>
      <c r="I11383" s="160" t="s">
        <v>55</v>
      </c>
      <c r="J11383" s="160">
        <v>0.16577</v>
      </c>
      <c r="K11383" s="160" t="s">
        <v>25</v>
      </c>
      <c r="L11383" s="154" t="str">
        <f>IF(OpenLCAbasic!K11383="CTUh", "Fill in Manually",IF(OR(K11383="Unit", K11383=""), "", INDEX(LookUps!$E$5:$E$12, MATCH(OpenLCAbasic!K11383,LookUps!$D$5:$D$12,0))))</f>
        <v>Smog Formation Potential (SFP) - kg O3 eq</v>
      </c>
      <c r="M11383" s="154" t="str">
        <f t="shared" si="976"/>
        <v>High_High_Low_Upgraded_Smog Formation Potential (SFP) - kg O3 eq_Aeration Tanks; wastewater treatment unit; at updated plant - US_Base_With Amendment_Aerated Static Pile</v>
      </c>
    </row>
    <row r="11384" spans="1:13" s="120" customFormat="1" x14ac:dyDescent="0.25">
      <c r="A11384" s="119"/>
      <c r="B11384" s="138" t="str">
        <f t="shared" si="977"/>
        <v>Aerated Static Pile</v>
      </c>
      <c r="C11384" s="138" t="str">
        <f t="shared" si="978"/>
        <v>Base_With Amendment</v>
      </c>
      <c r="D11384" s="138" t="str">
        <f t="shared" si="980"/>
        <v>High_Low</v>
      </c>
      <c r="E11384" s="138" t="str">
        <f t="shared" si="981"/>
        <v>High</v>
      </c>
      <c r="F11384" s="138" t="str">
        <f t="shared" si="979"/>
        <v>Upgraded</v>
      </c>
      <c r="G11384" s="153"/>
      <c r="H11384" s="210">
        <v>0.33050000000000002</v>
      </c>
      <c r="I11384" s="160" t="s">
        <v>435</v>
      </c>
      <c r="J11384" s="160">
        <v>0.12592999999999999</v>
      </c>
      <c r="K11384" s="160" t="s">
        <v>25</v>
      </c>
      <c r="L11384" s="154" t="str">
        <f>IF(OpenLCAbasic!K11384="CTUh", "Fill in Manually",IF(OR(K11384="Unit", K11384=""), "", INDEX(LookUps!$E$5:$E$12, MATCH(OpenLCAbasic!K11384,LookUps!$D$5:$D$12,0))))</f>
        <v>Smog Formation Potential (SFP) - kg O3 eq</v>
      </c>
      <c r="M11384" s="154" t="str">
        <f t="shared" si="976"/>
        <v>High_High_Low_Upgraded_Smog Formation Potential (SFP) - kg O3 eq_Biosolids composting; aerated static pile; wastewater treatment unit; at updated plant - US_Base_With Amendment_Aerated Static Pile</v>
      </c>
    </row>
    <row r="11385" spans="1:13" s="120" customFormat="1" x14ac:dyDescent="0.25">
      <c r="A11385" s="119"/>
      <c r="B11385" s="138" t="str">
        <f t="shared" si="977"/>
        <v>Aerated Static Pile</v>
      </c>
      <c r="C11385" s="138" t="str">
        <f t="shared" si="978"/>
        <v>Base_With Amendment</v>
      </c>
      <c r="D11385" s="138" t="str">
        <f t="shared" si="980"/>
        <v>High_Low</v>
      </c>
      <c r="E11385" s="138" t="str">
        <f t="shared" si="981"/>
        <v>High</v>
      </c>
      <c r="F11385" s="138" t="str">
        <f t="shared" si="979"/>
        <v>Upgraded</v>
      </c>
      <c r="G11385" s="153"/>
      <c r="H11385" s="210">
        <v>0.12620000000000001</v>
      </c>
      <c r="I11385" s="160" t="s">
        <v>54</v>
      </c>
      <c r="J11385" s="160">
        <v>4.8070000000000002E-2</v>
      </c>
      <c r="K11385" s="160" t="s">
        <v>25</v>
      </c>
      <c r="L11385" s="154" t="str">
        <f>IF(OpenLCAbasic!K11385="CTUh", "Fill in Manually",IF(OR(K11385="Unit", K11385=""), "", INDEX(LookUps!$E$5:$E$12, MATCH(OpenLCAbasic!K11385,LookUps!$D$5:$D$12,0))))</f>
        <v>Smog Formation Potential (SFP) - kg O3 eq</v>
      </c>
      <c r="M11385" s="154" t="str">
        <f t="shared" si="976"/>
        <v>High_High_Low_Upgraded_Smog Formation Potential (SFP) - kg O3 eq_Clear Cove Primary Clarification; wastewater treatment unit; at updated plant - US_Base_With Amendment_Aerated Static Pile</v>
      </c>
    </row>
    <row r="11386" spans="1:13" s="120" customFormat="1" x14ac:dyDescent="0.25">
      <c r="A11386" s="119"/>
      <c r="B11386" s="138" t="str">
        <f t="shared" si="977"/>
        <v>Aerated Static Pile</v>
      </c>
      <c r="C11386" s="138" t="str">
        <f t="shared" si="978"/>
        <v>Base_With Amendment</v>
      </c>
      <c r="D11386" s="138" t="str">
        <f t="shared" si="980"/>
        <v>High_Low</v>
      </c>
      <c r="E11386" s="138" t="str">
        <f t="shared" si="981"/>
        <v>High</v>
      </c>
      <c r="F11386" s="138" t="str">
        <f t="shared" si="979"/>
        <v>Upgraded</v>
      </c>
      <c r="G11386" s="153"/>
      <c r="H11386" s="210">
        <v>0.1105</v>
      </c>
      <c r="I11386" s="160" t="s">
        <v>58</v>
      </c>
      <c r="J11386" s="160">
        <v>4.2090000000000002E-2</v>
      </c>
      <c r="K11386" s="160" t="s">
        <v>25</v>
      </c>
      <c r="L11386" s="154" t="str">
        <f>IF(OpenLCAbasic!K11386="CTUh", "Fill in Manually",IF(OR(K11386="Unit", K11386=""), "", INDEX(LookUps!$E$5:$E$12, MATCH(OpenLCAbasic!K11386,LookUps!$D$5:$D$12,0))))</f>
        <v>Smog Formation Potential (SFP) - kg O3 eq</v>
      </c>
      <c r="M11386" s="154" t="str">
        <f t="shared" si="976"/>
        <v>High_High_Low_Upgraded_Smog Formation Potential (SFP) - kg O3 eq_Pre-Anoxic &amp; Swing tank; wastewater treatment unit; at updated plant - US_Base_With Amendment_Aerated Static Pile</v>
      </c>
    </row>
    <row r="11387" spans="1:13" s="120" customFormat="1" x14ac:dyDescent="0.25">
      <c r="A11387" s="119"/>
      <c r="B11387" s="138" t="str">
        <f t="shared" si="977"/>
        <v>Aerated Static Pile</v>
      </c>
      <c r="C11387" s="138" t="str">
        <f t="shared" si="978"/>
        <v>Base_With Amendment</v>
      </c>
      <c r="D11387" s="138" t="str">
        <f t="shared" si="980"/>
        <v>High_Low</v>
      </c>
      <c r="E11387" s="138" t="str">
        <f t="shared" si="981"/>
        <v>High</v>
      </c>
      <c r="F11387" s="138" t="str">
        <f t="shared" si="979"/>
        <v>Upgraded</v>
      </c>
      <c r="G11387" s="153"/>
      <c r="H11387" s="210">
        <v>8.8599999999999998E-2</v>
      </c>
      <c r="I11387" s="160" t="s">
        <v>167</v>
      </c>
      <c r="J11387" s="160">
        <v>3.3759999999999998E-2</v>
      </c>
      <c r="K11387" s="160" t="s">
        <v>25</v>
      </c>
      <c r="L11387" s="154" t="str">
        <f>IF(OpenLCAbasic!K11387="CTUh", "Fill in Manually",IF(OR(K11387="Unit", K11387=""), "", INDEX(LookUps!$E$5:$E$12, MATCH(OpenLCAbasic!K11387,LookUps!$D$5:$D$12,0))))</f>
        <v>Smog Formation Potential (SFP) - kg O3 eq</v>
      </c>
      <c r="M11387" s="154" t="str">
        <f t="shared" si="976"/>
        <v>High_High_Low_Upgraded_Smog Formation Potential (SFP) - kg O3 eq_Waste Receiving and Holding; wastewater treatment unit; at updated plant - US_Base_With Amendment_Aerated Static Pile</v>
      </c>
    </row>
    <row r="11388" spans="1:13" s="120" customFormat="1" x14ac:dyDescent="0.25">
      <c r="A11388" s="119"/>
      <c r="B11388" s="138" t="str">
        <f t="shared" si="977"/>
        <v>Aerated Static Pile</v>
      </c>
      <c r="C11388" s="138" t="str">
        <f t="shared" si="978"/>
        <v>Base_With Amendment</v>
      </c>
      <c r="D11388" s="138" t="str">
        <f t="shared" si="980"/>
        <v>High_Low</v>
      </c>
      <c r="E11388" s="138" t="str">
        <f t="shared" si="981"/>
        <v>High</v>
      </c>
      <c r="F11388" s="138" t="str">
        <f t="shared" si="979"/>
        <v>Upgraded</v>
      </c>
      <c r="G11388" s="153"/>
      <c r="H11388" s="210">
        <v>8.6900000000000005E-2</v>
      </c>
      <c r="I11388" s="160" t="s">
        <v>53</v>
      </c>
      <c r="J11388" s="160">
        <v>3.313E-2</v>
      </c>
      <c r="K11388" s="160" t="s">
        <v>25</v>
      </c>
      <c r="L11388" s="154" t="str">
        <f>IF(OpenLCAbasic!K11388="CTUh", "Fill in Manually",IF(OR(K11388="Unit", K11388=""), "", INDEX(LookUps!$E$5:$E$12, MATCH(OpenLCAbasic!K11388,LookUps!$D$5:$D$12,0))))</f>
        <v>Smog Formation Potential (SFP) - kg O3 eq</v>
      </c>
      <c r="M11388" s="154" t="str">
        <f t="shared" si="976"/>
        <v>High_High_Low_Upgraded_Smog Formation Potential (SFP) - kg O3 eq_Wet Well and Sump Station; wastewater treatment unit; at updated plant - US_Base_With Amendment_Aerated Static Pile</v>
      </c>
    </row>
    <row r="11389" spans="1:13" s="120" customFormat="1" x14ac:dyDescent="0.25">
      <c r="A11389" s="119"/>
      <c r="B11389" s="138" t="str">
        <f t="shared" si="977"/>
        <v>Aerated Static Pile</v>
      </c>
      <c r="C11389" s="138" t="str">
        <f t="shared" si="978"/>
        <v>Base_With Amendment</v>
      </c>
      <c r="D11389" s="138" t="str">
        <f t="shared" si="980"/>
        <v>High_Low</v>
      </c>
      <c r="E11389" s="138" t="str">
        <f t="shared" si="981"/>
        <v>High</v>
      </c>
      <c r="F11389" s="138" t="str">
        <f t="shared" si="979"/>
        <v>Upgraded</v>
      </c>
      <c r="G11389" s="153"/>
      <c r="H11389" s="210">
        <v>5.0900000000000001E-2</v>
      </c>
      <c r="I11389" s="160" t="s">
        <v>147</v>
      </c>
      <c r="J11389" s="160">
        <v>1.9400000000000001E-2</v>
      </c>
      <c r="K11389" s="160" t="s">
        <v>25</v>
      </c>
      <c r="L11389" s="154" t="str">
        <f>IF(OpenLCAbasic!K11389="CTUh", "Fill in Manually",IF(OR(K11389="Unit", K11389=""), "", INDEX(LookUps!$E$5:$E$12, MATCH(OpenLCAbasic!K11389,LookUps!$D$5:$D$12,0))))</f>
        <v>Smog Formation Potential (SFP) - kg O3 eq</v>
      </c>
      <c r="M11389" s="154" t="str">
        <f t="shared" si="976"/>
        <v>High_High_Low_Upgraded_Smog Formation Potential (SFP) - kg O3 eq_Influent Pump Station; wastewater treatment unit; at updated plant - US_Base_With Amendment_Aerated Static Pile</v>
      </c>
    </row>
    <row r="11390" spans="1:13" s="120" customFormat="1" x14ac:dyDescent="0.25">
      <c r="A11390" s="119"/>
      <c r="B11390" s="138" t="str">
        <f t="shared" si="977"/>
        <v>Aerated Static Pile</v>
      </c>
      <c r="C11390" s="138" t="str">
        <f t="shared" si="978"/>
        <v>Base_With Amendment</v>
      </c>
      <c r="D11390" s="138" t="str">
        <f t="shared" si="980"/>
        <v>High_Low</v>
      </c>
      <c r="E11390" s="138" t="str">
        <f t="shared" si="981"/>
        <v>High</v>
      </c>
      <c r="F11390" s="138" t="str">
        <f t="shared" si="979"/>
        <v>Upgraded</v>
      </c>
      <c r="G11390" s="153"/>
      <c r="H11390" s="210">
        <v>4.2000000000000003E-2</v>
      </c>
      <c r="I11390" s="160" t="s">
        <v>60</v>
      </c>
      <c r="J11390" s="160">
        <v>1.5990000000000001E-2</v>
      </c>
      <c r="K11390" s="160" t="s">
        <v>25</v>
      </c>
      <c r="L11390" s="154" t="str">
        <f>IF(OpenLCAbasic!K11390="CTUh", "Fill in Manually",IF(OR(K11390="Unit", K11390=""), "", INDEX(LookUps!$E$5:$E$12, MATCH(OpenLCAbasic!K11390,LookUps!$D$5:$D$12,0))))</f>
        <v>Smog Formation Potential (SFP) - kg O3 eq</v>
      </c>
      <c r="M11390" s="154" t="str">
        <f t="shared" si="976"/>
        <v>High_High_Low_Upgraded_Smog Formation Potential (SFP) - kg O3 eq_Belt filter press; wastewater treatment unit; at updated plant - US_Base_With Amendment_Aerated Static Pile</v>
      </c>
    </row>
    <row r="11391" spans="1:13" s="120" customFormat="1" x14ac:dyDescent="0.25">
      <c r="A11391" s="119"/>
      <c r="B11391" s="138" t="str">
        <f t="shared" si="977"/>
        <v>Aerated Static Pile</v>
      </c>
      <c r="C11391" s="138" t="str">
        <f t="shared" si="978"/>
        <v>Base_With Amendment</v>
      </c>
      <c r="D11391" s="138" t="str">
        <f t="shared" si="980"/>
        <v>High_Low</v>
      </c>
      <c r="E11391" s="138" t="str">
        <f t="shared" si="981"/>
        <v>High</v>
      </c>
      <c r="F11391" s="138" t="str">
        <f t="shared" si="979"/>
        <v>Upgraded</v>
      </c>
      <c r="G11391" s="153"/>
      <c r="H11391" s="210">
        <v>3.1300000000000001E-2</v>
      </c>
      <c r="I11391" s="160" t="s">
        <v>128</v>
      </c>
      <c r="J11391" s="160">
        <v>1.192E-2</v>
      </c>
      <c r="K11391" s="160" t="s">
        <v>25</v>
      </c>
      <c r="L11391" s="154" t="str">
        <f>IF(OpenLCAbasic!K11391="CTUh", "Fill in Manually",IF(OR(K11391="Unit", K11391=""), "", INDEX(LookUps!$E$5:$E$12, MATCH(OpenLCAbasic!K11391,LookUps!$D$5:$D$12,0))))</f>
        <v>Smog Formation Potential (SFP) - kg O3 eq</v>
      </c>
      <c r="M11391" s="154" t="str">
        <f t="shared" si="976"/>
        <v>High_High_Low_Upgraded_Smog Formation Potential (SFP) - kg O3 eq_Wastewater collection; operation and infrastructure; m3 wastewater_Base_With Amendment_Aerated Static Pile</v>
      </c>
    </row>
    <row r="11392" spans="1:13" s="120" customFormat="1" x14ac:dyDescent="0.25">
      <c r="A11392" s="119"/>
      <c r="B11392" s="138" t="str">
        <f t="shared" si="977"/>
        <v>Aerated Static Pile</v>
      </c>
      <c r="C11392" s="138" t="str">
        <f t="shared" si="978"/>
        <v>Base_With Amendment</v>
      </c>
      <c r="D11392" s="138" t="str">
        <f t="shared" si="980"/>
        <v>High_Low</v>
      </c>
      <c r="E11392" s="138" t="str">
        <f t="shared" si="981"/>
        <v>High</v>
      </c>
      <c r="F11392" s="138" t="str">
        <f t="shared" si="979"/>
        <v>Upgraded</v>
      </c>
      <c r="G11392" s="153"/>
      <c r="H11392" s="210">
        <v>1.7500000000000002E-2</v>
      </c>
      <c r="I11392" s="160" t="s">
        <v>57</v>
      </c>
      <c r="J11392" s="160">
        <v>6.6499999999999997E-3</v>
      </c>
      <c r="K11392" s="160" t="s">
        <v>25</v>
      </c>
      <c r="L11392" s="154" t="str">
        <f>IF(OpenLCAbasic!K11392="CTUh", "Fill in Manually",IF(OR(K11392="Unit", K11392=""), "", INDEX(LookUps!$E$5:$E$12, MATCH(OpenLCAbasic!K11392,LookUps!$D$5:$D$12,0))))</f>
        <v>Smog Formation Potential (SFP) - kg O3 eq</v>
      </c>
      <c r="M11392" s="154" t="str">
        <f t="shared" si="976"/>
        <v>High_High_Low_Upgraded_Smog Formation Potential (SFP) - kg O3 eq_Gravity Belt Thickener; wastewater treatment unit; at updated plant - US_Base_With Amendment_Aerated Static Pile</v>
      </c>
    </row>
    <row r="11393" spans="1:13" s="120" customFormat="1" x14ac:dyDescent="0.25">
      <c r="A11393" s="119"/>
      <c r="B11393" s="138" t="str">
        <f t="shared" si="977"/>
        <v>Aerated Static Pile</v>
      </c>
      <c r="C11393" s="138" t="str">
        <f t="shared" si="978"/>
        <v>Base_With Amendment</v>
      </c>
      <c r="D11393" s="138" t="str">
        <f t="shared" si="980"/>
        <v>High_Low</v>
      </c>
      <c r="E11393" s="138" t="str">
        <f t="shared" si="981"/>
        <v>High</v>
      </c>
      <c r="F11393" s="138" t="str">
        <f t="shared" si="979"/>
        <v>Upgraded</v>
      </c>
      <c r="G11393" s="153"/>
      <c r="H11393" s="210">
        <v>1.3100000000000001E-2</v>
      </c>
      <c r="I11393" s="160" t="s">
        <v>59</v>
      </c>
      <c r="J11393" s="160">
        <v>4.9699999999999996E-3</v>
      </c>
      <c r="K11393" s="160" t="s">
        <v>25</v>
      </c>
      <c r="L11393" s="154" t="str">
        <f>IF(OpenLCAbasic!K11393="CTUh", "Fill in Manually",IF(OR(K11393="Unit", K11393=""), "", INDEX(LookUps!$E$5:$E$12, MATCH(OpenLCAbasic!K11393,LookUps!$D$5:$D$12,0))))</f>
        <v>Smog Formation Potential (SFP) - kg O3 eq</v>
      </c>
      <c r="M11393" s="154" t="str">
        <f t="shared" si="976"/>
        <v>High_High_Low_Upgraded_Smog Formation Potential (SFP) - kg O3 eq_Blend Tank; wastewater treatment unit; at updated plant - US_Base_With Amendment_Aerated Static Pile</v>
      </c>
    </row>
    <row r="11394" spans="1:13" s="120" customFormat="1" x14ac:dyDescent="0.25">
      <c r="A11394" s="119"/>
      <c r="B11394" s="138" t="str">
        <f t="shared" si="977"/>
        <v>Aerated Static Pile</v>
      </c>
      <c r="C11394" s="138" t="str">
        <f t="shared" si="978"/>
        <v>Base_With Amendment</v>
      </c>
      <c r="D11394" s="138" t="str">
        <f t="shared" si="980"/>
        <v>High_Low</v>
      </c>
      <c r="E11394" s="138" t="str">
        <f t="shared" si="981"/>
        <v>High</v>
      </c>
      <c r="F11394" s="138" t="str">
        <f t="shared" si="979"/>
        <v>Upgraded</v>
      </c>
      <c r="G11394" s="153"/>
      <c r="H11394" s="210">
        <v>8.8999999999999999E-3</v>
      </c>
      <c r="I11394" s="160" t="s">
        <v>48</v>
      </c>
      <c r="J11394" s="160">
        <v>3.3899999999999998E-3</v>
      </c>
      <c r="K11394" s="160" t="s">
        <v>25</v>
      </c>
      <c r="L11394" s="154" t="str">
        <f>IF(OpenLCAbasic!K11394="CTUh", "Fill in Manually",IF(OR(K11394="Unit", K11394=""), "", INDEX(LookUps!$E$5:$E$12, MATCH(OpenLCAbasic!K11394,LookUps!$D$5:$D$12,0))))</f>
        <v>Smog Formation Potential (SFP) - kg O3 eq</v>
      </c>
      <c r="M11394" s="154" t="str">
        <f t="shared" si="976"/>
        <v>High_High_Low_Upgraded_Smog Formation Potential (SFP) - kg O3 eq_Effluent release; wastewater treatment unit; at surface water; m3 wastewater - US_Base_With Amendment_Aerated Static Pile</v>
      </c>
    </row>
    <row r="11395" spans="1:13" s="120" customFormat="1" x14ac:dyDescent="0.25">
      <c r="A11395" s="119"/>
      <c r="B11395" s="138" t="str">
        <f t="shared" si="977"/>
        <v>Aerated Static Pile</v>
      </c>
      <c r="C11395" s="138" t="str">
        <f t="shared" si="978"/>
        <v>Base_With Amendment</v>
      </c>
      <c r="D11395" s="138" t="str">
        <f t="shared" si="980"/>
        <v>High_Low</v>
      </c>
      <c r="E11395" s="138" t="str">
        <f t="shared" si="981"/>
        <v>High</v>
      </c>
      <c r="F11395" s="138" t="str">
        <f t="shared" si="979"/>
        <v>Upgraded</v>
      </c>
      <c r="G11395" s="153"/>
      <c r="H11395" s="210">
        <v>6.4000000000000003E-3</v>
      </c>
      <c r="I11395" s="160" t="s">
        <v>168</v>
      </c>
      <c r="J11395" s="160">
        <v>2.4599999999999999E-3</v>
      </c>
      <c r="K11395" s="160" t="s">
        <v>25</v>
      </c>
      <c r="L11395" s="154" t="str">
        <f>IF(OpenLCAbasic!K11395="CTUh", "Fill in Manually",IF(OR(K11395="Unit", K11395=""), "", INDEX(LookUps!$E$5:$E$12, MATCH(OpenLCAbasic!K11395,LookUps!$D$5:$D$12,0))))</f>
        <v>Smog Formation Potential (SFP) - kg O3 eq</v>
      </c>
      <c r="M11395" s="154" t="str">
        <f t="shared" si="976"/>
        <v>High_High_Low_Upgraded_Smog Formation Potential (SFP) - kg O3 eq_ClearCove SCP; wastewater treatment unit; at updated plant - US_Base_With Amendment_Aerated Static Pile</v>
      </c>
    </row>
    <row r="11396" spans="1:13" s="120" customFormat="1" x14ac:dyDescent="0.25">
      <c r="A11396" s="119"/>
      <c r="B11396" s="138" t="str">
        <f t="shared" si="977"/>
        <v>Aerated Static Pile</v>
      </c>
      <c r="C11396" s="138" t="str">
        <f t="shared" si="978"/>
        <v>Base_With Amendment</v>
      </c>
      <c r="D11396" s="138" t="str">
        <f t="shared" si="980"/>
        <v>High_Low</v>
      </c>
      <c r="E11396" s="138" t="str">
        <f t="shared" si="981"/>
        <v>High</v>
      </c>
      <c r="F11396" s="138" t="str">
        <f t="shared" si="979"/>
        <v>Upgraded</v>
      </c>
      <c r="G11396" s="153"/>
      <c r="H11396" s="210">
        <v>1.4E-3</v>
      </c>
      <c r="I11396" s="160" t="s">
        <v>148</v>
      </c>
      <c r="J11396" s="160">
        <v>5.4000000000000001E-4</v>
      </c>
      <c r="K11396" s="160" t="s">
        <v>25</v>
      </c>
      <c r="L11396" s="154" t="str">
        <f>IF(OpenLCAbasic!K11396="CTUh", "Fill in Manually",IF(OR(K11396="Unit", K11396=""), "", INDEX(LookUps!$E$5:$E$12, MATCH(OpenLCAbasic!K11396,LookUps!$D$5:$D$12,0))))</f>
        <v>Smog Formation Potential (SFP) - kg O3 eq</v>
      </c>
      <c r="M11396" s="154" t="str">
        <f t="shared" ref="M11396:M11459" si="982">CONCATENATE(E11396,"_",D11396,"_",F11396,"_",L11396, "_",I11396,"_", C11396,"_", B11396)</f>
        <v>High_High_Low_Upgraded_Smog Formation Potential (SFP) - kg O3 eq_Control Building; at upgraded wastewater treatment plant - US_Base_With Amendment_Aerated Static Pile</v>
      </c>
    </row>
    <row r="11397" spans="1:13" s="120" customFormat="1" x14ac:dyDescent="0.25">
      <c r="A11397" s="119"/>
      <c r="B11397" s="138" t="str">
        <f t="shared" si="977"/>
        <v>Aerated Static Pile</v>
      </c>
      <c r="C11397" s="138" t="str">
        <f t="shared" si="978"/>
        <v>Base_With Amendment</v>
      </c>
      <c r="D11397" s="138" t="str">
        <f t="shared" si="980"/>
        <v>High_Low</v>
      </c>
      <c r="E11397" s="138" t="str">
        <f t="shared" si="981"/>
        <v>High</v>
      </c>
      <c r="F11397" s="138" t="str">
        <f t="shared" si="979"/>
        <v>Upgraded</v>
      </c>
      <c r="G11397" s="153"/>
      <c r="H11397" s="210">
        <v>-1.5100000000000001E-2</v>
      </c>
      <c r="I11397" s="160" t="s">
        <v>62</v>
      </c>
      <c r="J11397" s="160">
        <v>-5.7600000000000004E-3</v>
      </c>
      <c r="K11397" s="160" t="s">
        <v>25</v>
      </c>
      <c r="L11397" s="154" t="str">
        <f>IF(OpenLCAbasic!K11397="CTUh", "Fill in Manually",IF(OR(K11397="Unit", K11397=""), "", INDEX(LookUps!$E$5:$E$12, MATCH(OpenLCAbasic!K11397,LookUps!$D$5:$D$12,0))))</f>
        <v>Smog Formation Potential (SFP) - kg O3 eq</v>
      </c>
      <c r="M11397" s="154" t="str">
        <f t="shared" si="982"/>
        <v>High_High_Low_Upgraded_Smog Formation Potential (SFP) - kg O3 eq_Land application of compost; wastewater treatment unit; at updated plant - US_Base_With Amendment_Aerated Static Pile</v>
      </c>
    </row>
    <row r="11398" spans="1:13" s="120" customFormat="1" x14ac:dyDescent="0.25">
      <c r="A11398" s="119"/>
      <c r="B11398" s="138" t="str">
        <f t="shared" si="977"/>
        <v>Aerated Static Pile</v>
      </c>
      <c r="C11398" s="138" t="str">
        <f t="shared" si="978"/>
        <v>Base_With Amendment</v>
      </c>
      <c r="D11398" s="138" t="str">
        <f t="shared" si="980"/>
        <v>High_Low</v>
      </c>
      <c r="E11398" s="138" t="str">
        <f t="shared" si="981"/>
        <v>High</v>
      </c>
      <c r="F11398" s="138" t="str">
        <f t="shared" si="979"/>
        <v>Upgraded</v>
      </c>
      <c r="G11398" s="153"/>
      <c r="H11398" s="210">
        <v>-0.33400000000000002</v>
      </c>
      <c r="I11398" s="160" t="s">
        <v>149</v>
      </c>
      <c r="J11398" s="160">
        <v>-0.12725</v>
      </c>
      <c r="K11398" s="160" t="s">
        <v>25</v>
      </c>
      <c r="L11398" s="154" t="str">
        <f>IF(OpenLCAbasic!K11398="CTUh", "Fill in Manually",IF(OR(K11398="Unit", K11398=""), "", INDEX(LookUps!$E$5:$E$12, MATCH(OpenLCAbasic!K11398,LookUps!$D$5:$D$12,0))))</f>
        <v>Smog Formation Potential (SFP) - kg O3 eq</v>
      </c>
      <c r="M11398" s="154" t="str">
        <f t="shared" si="982"/>
        <v>High_High_Low_Upgraded_Smog Formation Potential (SFP) - kg O3 eq_Anaerobic Digestion; wastewater treatment unit; at updated plant - US_Base_With Amendment_Aerated Static Pile</v>
      </c>
    </row>
    <row r="11399" spans="1:13" s="120" customFormat="1" x14ac:dyDescent="0.25">
      <c r="A11399" s="119"/>
      <c r="B11399" s="138" t="str">
        <f t="shared" si="977"/>
        <v/>
      </c>
      <c r="C11399" s="138" t="str">
        <f t="shared" si="978"/>
        <v/>
      </c>
      <c r="D11399" s="138" t="str">
        <f t="shared" si="980"/>
        <v/>
      </c>
      <c r="E11399" s="138" t="str">
        <f t="shared" si="981"/>
        <v/>
      </c>
      <c r="F11399" s="138" t="str">
        <f t="shared" si="979"/>
        <v/>
      </c>
      <c r="G11399" s="153" t="s">
        <v>51</v>
      </c>
      <c r="H11399" s="160"/>
      <c r="I11399" s="160" t="s">
        <v>47</v>
      </c>
      <c r="J11399" s="160" t="s">
        <v>52</v>
      </c>
      <c r="K11399" s="160" t="s">
        <v>27</v>
      </c>
      <c r="L11399" s="154" t="str">
        <f>IF(OpenLCAbasic!K11399="CTUh", "Fill in Manually",IF(OR(K11399="Unit", K11399=""), "", INDEX(LookUps!$E$5:$E$12, MATCH(OpenLCAbasic!K11399,LookUps!$D$5:$D$12,0))))</f>
        <v/>
      </c>
      <c r="M11399" s="154" t="str">
        <f t="shared" si="982"/>
        <v>____Process__</v>
      </c>
    </row>
    <row r="11400" spans="1:13" s="120" customFormat="1" x14ac:dyDescent="0.25">
      <c r="A11400" s="119"/>
      <c r="B11400" s="138" t="str">
        <f t="shared" si="977"/>
        <v>Aerated Static Pile</v>
      </c>
      <c r="C11400" s="138" t="str">
        <f t="shared" si="978"/>
        <v>Base_With Amendment</v>
      </c>
      <c r="D11400" s="138" t="str">
        <f t="shared" si="980"/>
        <v>High_Low</v>
      </c>
      <c r="E11400" s="138" t="str">
        <f t="shared" si="981"/>
        <v>High</v>
      </c>
      <c r="F11400" s="138" t="str">
        <f t="shared" si="979"/>
        <v>Upgraded</v>
      </c>
      <c r="G11400" s="153"/>
      <c r="H11400" s="210">
        <v>0.27979999999999999</v>
      </c>
      <c r="I11400" s="160" t="s">
        <v>167</v>
      </c>
      <c r="J11400" s="160">
        <v>3.4000000000000002E-4</v>
      </c>
      <c r="K11400" s="160" t="s">
        <v>26</v>
      </c>
      <c r="L11400" s="154" t="str">
        <f>IF(OpenLCAbasic!K11400="CTUh", "Fill in Manually",IF(OR(K11400="Unit", K11400=""), "", INDEX(LookUps!$E$5:$E$12, MATCH(OpenLCAbasic!K11400,LookUps!$D$5:$D$12,0))))</f>
        <v>Water Use (WU) - m3 H2O</v>
      </c>
      <c r="M11400" s="154" t="str">
        <f t="shared" si="982"/>
        <v>High_High_Low_Upgraded_Water Use (WU) - m3 H2O_Waste Receiving and Holding; wastewater treatment unit; at updated plant - US_Base_With Amendment_Aerated Static Pile</v>
      </c>
    </row>
    <row r="11401" spans="1:13" s="120" customFormat="1" x14ac:dyDescent="0.25">
      <c r="A11401" s="119"/>
      <c r="B11401" s="138" t="str">
        <f t="shared" si="977"/>
        <v>Aerated Static Pile</v>
      </c>
      <c r="C11401" s="138" t="str">
        <f t="shared" si="978"/>
        <v>Base_With Amendment</v>
      </c>
      <c r="D11401" s="138" t="str">
        <f t="shared" si="980"/>
        <v>High_Low</v>
      </c>
      <c r="E11401" s="138" t="str">
        <f t="shared" si="981"/>
        <v>High</v>
      </c>
      <c r="F11401" s="138" t="str">
        <f t="shared" si="979"/>
        <v>Upgraded</v>
      </c>
      <c r="G11401" s="153"/>
      <c r="H11401" s="210">
        <v>0.15310000000000001</v>
      </c>
      <c r="I11401" s="160" t="s">
        <v>147</v>
      </c>
      <c r="J11401" s="160">
        <v>1.8000000000000001E-4</v>
      </c>
      <c r="K11401" s="160" t="s">
        <v>26</v>
      </c>
      <c r="L11401" s="154" t="str">
        <f>IF(OpenLCAbasic!K11401="CTUh", "Fill in Manually",IF(OR(K11401="Unit", K11401=""), "", INDEX(LookUps!$E$5:$E$12, MATCH(OpenLCAbasic!K11401,LookUps!$D$5:$D$12,0))))</f>
        <v>Water Use (WU) - m3 H2O</v>
      </c>
      <c r="M11401" s="154" t="str">
        <f t="shared" si="982"/>
        <v>High_High_Low_Upgraded_Water Use (WU) - m3 H2O_Influent Pump Station; wastewater treatment unit; at updated plant - US_Base_With Amendment_Aerated Static Pile</v>
      </c>
    </row>
    <row r="11402" spans="1:13" s="120" customFormat="1" x14ac:dyDescent="0.25">
      <c r="A11402" s="119"/>
      <c r="B11402" s="138" t="str">
        <f t="shared" ref="B11402:B11465" si="983">IF(F11402="Legacy","n.a.",IF(F11402="","","Aerated Static Pile"))</f>
        <v>Aerated Static Pile</v>
      </c>
      <c r="C11402" s="138" t="str">
        <f t="shared" ref="C11402:C11465" si="984">IF(ISNUMBER($J11402),"Base_With Amendment","")</f>
        <v>Base_With Amendment</v>
      </c>
      <c r="D11402" s="138" t="str">
        <f t="shared" si="980"/>
        <v>High_Low</v>
      </c>
      <c r="E11402" s="138" t="str">
        <f t="shared" si="981"/>
        <v>High</v>
      </c>
      <c r="F11402" s="138" t="str">
        <f t="shared" ref="F11402:F11465" si="985">IF(ISNUMBER(J11402),"Upgraded","")</f>
        <v>Upgraded</v>
      </c>
      <c r="G11402" s="153"/>
      <c r="H11402" s="210">
        <v>0.14940000000000001</v>
      </c>
      <c r="I11402" s="160" t="s">
        <v>54</v>
      </c>
      <c r="J11402" s="160">
        <v>1.8000000000000001E-4</v>
      </c>
      <c r="K11402" s="160" t="s">
        <v>26</v>
      </c>
      <c r="L11402" s="154" t="str">
        <f>IF(OpenLCAbasic!K11402="CTUh", "Fill in Manually",IF(OR(K11402="Unit", K11402=""), "", INDEX(LookUps!$E$5:$E$12, MATCH(OpenLCAbasic!K11402,LookUps!$D$5:$D$12,0))))</f>
        <v>Water Use (WU) - m3 H2O</v>
      </c>
      <c r="M11402" s="154" t="str">
        <f t="shared" si="982"/>
        <v>High_High_Low_Upgraded_Water Use (WU) - m3 H2O_Clear Cove Primary Clarification; wastewater treatment unit; at updated plant - US_Base_With Amendment_Aerated Static Pile</v>
      </c>
    </row>
    <row r="11403" spans="1:13" s="120" customFormat="1" x14ac:dyDescent="0.25">
      <c r="A11403" s="119"/>
      <c r="B11403" s="138" t="str">
        <f t="shared" si="983"/>
        <v>Aerated Static Pile</v>
      </c>
      <c r="C11403" s="138" t="str">
        <f t="shared" si="984"/>
        <v>Base_With Amendment</v>
      </c>
      <c r="D11403" s="138" t="str">
        <f t="shared" si="980"/>
        <v>High_Low</v>
      </c>
      <c r="E11403" s="138" t="str">
        <f t="shared" si="981"/>
        <v>High</v>
      </c>
      <c r="F11403" s="138" t="str">
        <f t="shared" si="985"/>
        <v>Upgraded</v>
      </c>
      <c r="G11403" s="153"/>
      <c r="H11403" s="210">
        <v>0.13550000000000001</v>
      </c>
      <c r="I11403" s="160" t="s">
        <v>55</v>
      </c>
      <c r="J11403" s="160">
        <v>1.6000000000000001E-4</v>
      </c>
      <c r="K11403" s="160" t="s">
        <v>26</v>
      </c>
      <c r="L11403" s="154" t="str">
        <f>IF(OpenLCAbasic!K11403="CTUh", "Fill in Manually",IF(OR(K11403="Unit", K11403=""), "", INDEX(LookUps!$E$5:$E$12, MATCH(OpenLCAbasic!K11403,LookUps!$D$5:$D$12,0))))</f>
        <v>Water Use (WU) - m3 H2O</v>
      </c>
      <c r="M11403" s="154" t="str">
        <f t="shared" si="982"/>
        <v>High_High_Low_Upgraded_Water Use (WU) - m3 H2O_Aeration Tanks; wastewater treatment unit; at updated plant - US_Base_With Amendment_Aerated Static Pile</v>
      </c>
    </row>
    <row r="11404" spans="1:13" s="120" customFormat="1" x14ac:dyDescent="0.25">
      <c r="A11404" s="119"/>
      <c r="B11404" s="138" t="str">
        <f t="shared" si="983"/>
        <v>Aerated Static Pile</v>
      </c>
      <c r="C11404" s="138" t="str">
        <f t="shared" si="984"/>
        <v>Base_With Amendment</v>
      </c>
      <c r="D11404" s="138" t="str">
        <f t="shared" si="980"/>
        <v>High_Low</v>
      </c>
      <c r="E11404" s="138" t="str">
        <f t="shared" si="981"/>
        <v>High</v>
      </c>
      <c r="F11404" s="138" t="str">
        <f t="shared" si="985"/>
        <v>Upgraded</v>
      </c>
      <c r="G11404" s="153"/>
      <c r="H11404" s="210">
        <v>0.1235</v>
      </c>
      <c r="I11404" s="160" t="s">
        <v>148</v>
      </c>
      <c r="J11404" s="160">
        <v>1.4999999999999999E-4</v>
      </c>
      <c r="K11404" s="160" t="s">
        <v>26</v>
      </c>
      <c r="L11404" s="154" t="str">
        <f>IF(OpenLCAbasic!K11404="CTUh", "Fill in Manually",IF(OR(K11404="Unit", K11404=""), "", INDEX(LookUps!$E$5:$E$12, MATCH(OpenLCAbasic!K11404,LookUps!$D$5:$D$12,0))))</f>
        <v>Water Use (WU) - m3 H2O</v>
      </c>
      <c r="M11404" s="154" t="str">
        <f t="shared" si="982"/>
        <v>High_High_Low_Upgraded_Water Use (WU) - m3 H2O_Control Building; at upgraded wastewater treatment plant - US_Base_With Amendment_Aerated Static Pile</v>
      </c>
    </row>
    <row r="11405" spans="1:13" s="120" customFormat="1" x14ac:dyDescent="0.25">
      <c r="A11405" s="119"/>
      <c r="B11405" s="138" t="str">
        <f t="shared" si="983"/>
        <v>Aerated Static Pile</v>
      </c>
      <c r="C11405" s="138" t="str">
        <f t="shared" si="984"/>
        <v>Base_With Amendment</v>
      </c>
      <c r="D11405" s="138" t="str">
        <f t="shared" si="980"/>
        <v>High_Low</v>
      </c>
      <c r="E11405" s="138" t="str">
        <f t="shared" si="981"/>
        <v>High</v>
      </c>
      <c r="F11405" s="138" t="str">
        <f t="shared" si="985"/>
        <v>Upgraded</v>
      </c>
      <c r="G11405" s="153"/>
      <c r="H11405" s="210">
        <v>5.7299999999999997E-2</v>
      </c>
      <c r="I11405" s="160" t="s">
        <v>48</v>
      </c>
      <c r="J11405" s="211">
        <v>6.8836400000000004E-5</v>
      </c>
      <c r="K11405" s="160" t="s">
        <v>26</v>
      </c>
      <c r="L11405" s="154" t="str">
        <f>IF(OpenLCAbasic!K11405="CTUh", "Fill in Manually",IF(OR(K11405="Unit", K11405=""), "", INDEX(LookUps!$E$5:$E$12, MATCH(OpenLCAbasic!K11405,LookUps!$D$5:$D$12,0))))</f>
        <v>Water Use (WU) - m3 H2O</v>
      </c>
      <c r="M11405" s="154" t="str">
        <f t="shared" si="982"/>
        <v>High_High_Low_Upgraded_Water Use (WU) - m3 H2O_Effluent release; wastewater treatment unit; at surface water; m3 wastewater - US_Base_With Amendment_Aerated Static Pile</v>
      </c>
    </row>
    <row r="11406" spans="1:13" s="120" customFormat="1" x14ac:dyDescent="0.25">
      <c r="A11406" s="119"/>
      <c r="B11406" s="138" t="str">
        <f t="shared" si="983"/>
        <v>Aerated Static Pile</v>
      </c>
      <c r="C11406" s="138" t="str">
        <f t="shared" si="984"/>
        <v>Base_With Amendment</v>
      </c>
      <c r="D11406" s="138" t="str">
        <f t="shared" si="980"/>
        <v>High_Low</v>
      </c>
      <c r="E11406" s="138" t="str">
        <f t="shared" si="981"/>
        <v>High</v>
      </c>
      <c r="F11406" s="138" t="str">
        <f t="shared" si="985"/>
        <v>Upgraded</v>
      </c>
      <c r="G11406" s="153"/>
      <c r="H11406" s="210">
        <v>3.9800000000000002E-2</v>
      </c>
      <c r="I11406" s="160" t="s">
        <v>60</v>
      </c>
      <c r="J11406" s="211">
        <v>4.7769200000000003E-5</v>
      </c>
      <c r="K11406" s="160" t="s">
        <v>26</v>
      </c>
      <c r="L11406" s="154" t="str">
        <f>IF(OpenLCAbasic!K11406="CTUh", "Fill in Manually",IF(OR(K11406="Unit", K11406=""), "", INDEX(LookUps!$E$5:$E$12, MATCH(OpenLCAbasic!K11406,LookUps!$D$5:$D$12,0))))</f>
        <v>Water Use (WU) - m3 H2O</v>
      </c>
      <c r="M11406" s="154" t="str">
        <f t="shared" si="982"/>
        <v>High_High_Low_Upgraded_Water Use (WU) - m3 H2O_Belt filter press; wastewater treatment unit; at updated plant - US_Base_With Amendment_Aerated Static Pile</v>
      </c>
    </row>
    <row r="11407" spans="1:13" s="120" customFormat="1" x14ac:dyDescent="0.25">
      <c r="A11407" s="119"/>
      <c r="B11407" s="138" t="str">
        <f t="shared" si="983"/>
        <v>Aerated Static Pile</v>
      </c>
      <c r="C11407" s="138" t="str">
        <f t="shared" si="984"/>
        <v>Base_With Amendment</v>
      </c>
      <c r="D11407" s="138" t="str">
        <f t="shared" si="980"/>
        <v>High_Low</v>
      </c>
      <c r="E11407" s="138" t="str">
        <f t="shared" si="981"/>
        <v>High</v>
      </c>
      <c r="F11407" s="138" t="str">
        <f t="shared" si="985"/>
        <v>Upgraded</v>
      </c>
      <c r="G11407" s="153"/>
      <c r="H11407" s="210">
        <v>3.61E-2</v>
      </c>
      <c r="I11407" s="160" t="s">
        <v>58</v>
      </c>
      <c r="J11407" s="211">
        <v>4.3289399999999999E-5</v>
      </c>
      <c r="K11407" s="160" t="s">
        <v>26</v>
      </c>
      <c r="L11407" s="154" t="str">
        <f>IF(OpenLCAbasic!K11407="CTUh", "Fill in Manually",IF(OR(K11407="Unit", K11407=""), "", INDEX(LookUps!$E$5:$E$12, MATCH(OpenLCAbasic!K11407,LookUps!$D$5:$D$12,0))))</f>
        <v>Water Use (WU) - m3 H2O</v>
      </c>
      <c r="M11407" s="154" t="str">
        <f t="shared" si="982"/>
        <v>High_High_Low_Upgraded_Water Use (WU) - m3 H2O_Pre-Anoxic &amp; Swing tank; wastewater treatment unit; at updated plant - US_Base_With Amendment_Aerated Static Pile</v>
      </c>
    </row>
    <row r="11408" spans="1:13" s="120" customFormat="1" x14ac:dyDescent="0.25">
      <c r="A11408" s="119"/>
      <c r="B11408" s="138" t="str">
        <f t="shared" si="983"/>
        <v>Aerated Static Pile</v>
      </c>
      <c r="C11408" s="138" t="str">
        <f t="shared" si="984"/>
        <v>Base_With Amendment</v>
      </c>
      <c r="D11408" s="138" t="str">
        <f t="shared" si="980"/>
        <v>High_Low</v>
      </c>
      <c r="E11408" s="138" t="str">
        <f t="shared" si="981"/>
        <v>High</v>
      </c>
      <c r="F11408" s="138" t="str">
        <f t="shared" si="985"/>
        <v>Upgraded</v>
      </c>
      <c r="G11408" s="153"/>
      <c r="H11408" s="210">
        <v>3.4500000000000003E-2</v>
      </c>
      <c r="I11408" s="160" t="s">
        <v>435</v>
      </c>
      <c r="J11408" s="211">
        <v>4.1443200000000003E-5</v>
      </c>
      <c r="K11408" s="160" t="s">
        <v>26</v>
      </c>
      <c r="L11408" s="154" t="str">
        <f>IF(OpenLCAbasic!K11408="CTUh", "Fill in Manually",IF(OR(K11408="Unit", K11408=""), "", INDEX(LookUps!$E$5:$E$12, MATCH(OpenLCAbasic!K11408,LookUps!$D$5:$D$12,0))))</f>
        <v>Water Use (WU) - m3 H2O</v>
      </c>
      <c r="M11408" s="154" t="str">
        <f t="shared" si="982"/>
        <v>High_High_Low_Upgraded_Water Use (WU) - m3 H2O_Biosolids composting; aerated static pile; wastewater treatment unit; at updated plant - US_Base_With Amendment_Aerated Static Pile</v>
      </c>
    </row>
    <row r="11409" spans="1:13" s="120" customFormat="1" x14ac:dyDescent="0.25">
      <c r="A11409" s="119"/>
      <c r="B11409" s="138" t="str">
        <f t="shared" si="983"/>
        <v>Aerated Static Pile</v>
      </c>
      <c r="C11409" s="138" t="str">
        <f t="shared" si="984"/>
        <v>Base_With Amendment</v>
      </c>
      <c r="D11409" s="138" t="str">
        <f t="shared" ref="D11409:D11415" si="986">IF(ISNUMBER($J11409),"High_Low","")</f>
        <v>High_Low</v>
      </c>
      <c r="E11409" s="138" t="str">
        <f t="shared" si="981"/>
        <v>High</v>
      </c>
      <c r="F11409" s="138" t="str">
        <f t="shared" si="985"/>
        <v>Upgraded</v>
      </c>
      <c r="G11409" s="153"/>
      <c r="H11409" s="210">
        <v>2.53E-2</v>
      </c>
      <c r="I11409" s="160" t="s">
        <v>57</v>
      </c>
      <c r="J11409" s="211">
        <v>3.0408100000000001E-5</v>
      </c>
      <c r="K11409" s="160" t="s">
        <v>26</v>
      </c>
      <c r="L11409" s="154" t="str">
        <f>IF(OpenLCAbasic!K11409="CTUh", "Fill in Manually",IF(OR(K11409="Unit", K11409=""), "", INDEX(LookUps!$E$5:$E$12, MATCH(OpenLCAbasic!K11409,LookUps!$D$5:$D$12,0))))</f>
        <v>Water Use (WU) - m3 H2O</v>
      </c>
      <c r="M11409" s="154" t="str">
        <f t="shared" si="982"/>
        <v>High_High_Low_Upgraded_Water Use (WU) - m3 H2O_Gravity Belt Thickener; wastewater treatment unit; at updated plant - US_Base_With Amendment_Aerated Static Pile</v>
      </c>
    </row>
    <row r="11410" spans="1:13" s="120" customFormat="1" x14ac:dyDescent="0.25">
      <c r="A11410" s="119"/>
      <c r="B11410" s="138" t="str">
        <f t="shared" si="983"/>
        <v>Aerated Static Pile</v>
      </c>
      <c r="C11410" s="138" t="str">
        <f t="shared" si="984"/>
        <v>Base_With Amendment</v>
      </c>
      <c r="D11410" s="138" t="str">
        <f t="shared" si="986"/>
        <v>High_Low</v>
      </c>
      <c r="E11410" s="138" t="str">
        <f t="shared" si="981"/>
        <v>High</v>
      </c>
      <c r="F11410" s="138" t="str">
        <f t="shared" si="985"/>
        <v>Upgraded</v>
      </c>
      <c r="G11410" s="153"/>
      <c r="H11410" s="210">
        <v>1.46E-2</v>
      </c>
      <c r="I11410" s="160" t="s">
        <v>53</v>
      </c>
      <c r="J11410" s="211">
        <v>1.75069E-5</v>
      </c>
      <c r="K11410" s="160" t="s">
        <v>26</v>
      </c>
      <c r="L11410" s="154" t="str">
        <f>IF(OpenLCAbasic!K11410="CTUh", "Fill in Manually",IF(OR(K11410="Unit", K11410=""), "", INDEX(LookUps!$E$5:$E$12, MATCH(OpenLCAbasic!K11410,LookUps!$D$5:$D$12,0))))</f>
        <v>Water Use (WU) - m3 H2O</v>
      </c>
      <c r="M11410" s="154" t="str">
        <f t="shared" si="982"/>
        <v>High_High_Low_Upgraded_Water Use (WU) - m3 H2O_Wet Well and Sump Station; wastewater treatment unit; at updated plant - US_Base_With Amendment_Aerated Static Pile</v>
      </c>
    </row>
    <row r="11411" spans="1:13" s="120" customFormat="1" x14ac:dyDescent="0.25">
      <c r="A11411" s="119"/>
      <c r="B11411" s="138" t="str">
        <f t="shared" si="983"/>
        <v>Aerated Static Pile</v>
      </c>
      <c r="C11411" s="138" t="str">
        <f t="shared" si="984"/>
        <v>Base_With Amendment</v>
      </c>
      <c r="D11411" s="138" t="str">
        <f t="shared" si="986"/>
        <v>High_Low</v>
      </c>
      <c r="E11411" s="138" t="str">
        <f t="shared" si="981"/>
        <v>High</v>
      </c>
      <c r="F11411" s="138" t="str">
        <f t="shared" si="985"/>
        <v>Upgraded</v>
      </c>
      <c r="G11411" s="153"/>
      <c r="H11411" s="210">
        <v>5.7999999999999996E-3</v>
      </c>
      <c r="I11411" s="160" t="s">
        <v>59</v>
      </c>
      <c r="J11411" s="211">
        <v>7.0179500000000003E-6</v>
      </c>
      <c r="K11411" s="160" t="s">
        <v>26</v>
      </c>
      <c r="L11411" s="154" t="str">
        <f>IF(OpenLCAbasic!K11411="CTUh", "Fill in Manually",IF(OR(K11411="Unit", K11411=""), "", INDEX(LookUps!$E$5:$E$12, MATCH(OpenLCAbasic!K11411,LookUps!$D$5:$D$12,0))))</f>
        <v>Water Use (WU) - m3 H2O</v>
      </c>
      <c r="M11411" s="154" t="str">
        <f t="shared" si="982"/>
        <v>High_High_Low_Upgraded_Water Use (WU) - m3 H2O_Blend Tank; wastewater treatment unit; at updated plant - US_Base_With Amendment_Aerated Static Pile</v>
      </c>
    </row>
    <row r="11412" spans="1:13" s="120" customFormat="1" x14ac:dyDescent="0.25">
      <c r="A11412" s="119"/>
      <c r="B11412" s="138" t="str">
        <f t="shared" si="983"/>
        <v>Aerated Static Pile</v>
      </c>
      <c r="C11412" s="138" t="str">
        <f t="shared" si="984"/>
        <v>Base_With Amendment</v>
      </c>
      <c r="D11412" s="138" t="str">
        <f t="shared" si="986"/>
        <v>High_Low</v>
      </c>
      <c r="E11412" s="138" t="str">
        <f t="shared" si="981"/>
        <v>High</v>
      </c>
      <c r="F11412" s="138" t="str">
        <f t="shared" si="985"/>
        <v>Upgraded</v>
      </c>
      <c r="G11412" s="153"/>
      <c r="H11412" s="210">
        <v>4.1999999999999997E-3</v>
      </c>
      <c r="I11412" s="160" t="s">
        <v>128</v>
      </c>
      <c r="J11412" s="211">
        <v>5.0608900000000003E-6</v>
      </c>
      <c r="K11412" s="160" t="s">
        <v>26</v>
      </c>
      <c r="L11412" s="154" t="str">
        <f>IF(OpenLCAbasic!K11412="CTUh", "Fill in Manually",IF(OR(K11412="Unit", K11412=""), "", INDEX(LookUps!$E$5:$E$12, MATCH(OpenLCAbasic!K11412,LookUps!$D$5:$D$12,0))))</f>
        <v>Water Use (WU) - m3 H2O</v>
      </c>
      <c r="M11412" s="154" t="str">
        <f t="shared" si="982"/>
        <v>High_High_Low_Upgraded_Water Use (WU) - m3 H2O_Wastewater collection; operation and infrastructure; m3 wastewater_Base_With Amendment_Aerated Static Pile</v>
      </c>
    </row>
    <row r="11413" spans="1:13" s="120" customFormat="1" x14ac:dyDescent="0.25">
      <c r="A11413" s="119"/>
      <c r="B11413" s="138" t="str">
        <f t="shared" si="983"/>
        <v>Aerated Static Pile</v>
      </c>
      <c r="C11413" s="138" t="str">
        <f t="shared" si="984"/>
        <v>Base_With Amendment</v>
      </c>
      <c r="D11413" s="138" t="str">
        <f t="shared" si="986"/>
        <v>High_Low</v>
      </c>
      <c r="E11413" s="138" t="str">
        <f t="shared" si="981"/>
        <v>High</v>
      </c>
      <c r="F11413" s="138" t="str">
        <f t="shared" si="985"/>
        <v>Upgraded</v>
      </c>
      <c r="G11413" s="153"/>
      <c r="H11413" s="210">
        <v>5.9999999999999995E-4</v>
      </c>
      <c r="I11413" s="160" t="s">
        <v>168</v>
      </c>
      <c r="J11413" s="211">
        <v>7.6697000000000004E-7</v>
      </c>
      <c r="K11413" s="160" t="s">
        <v>26</v>
      </c>
      <c r="L11413" s="154" t="str">
        <f>IF(OpenLCAbasic!K11413="CTUh", "Fill in Manually",IF(OR(K11413="Unit", K11413=""), "", INDEX(LookUps!$E$5:$E$12, MATCH(OpenLCAbasic!K11413,LookUps!$D$5:$D$12,0))))</f>
        <v>Water Use (WU) - m3 H2O</v>
      </c>
      <c r="M11413" s="154" t="str">
        <f t="shared" si="982"/>
        <v>High_High_Low_Upgraded_Water Use (WU) - m3 H2O_ClearCove SCP; wastewater treatment unit; at updated plant - US_Base_With Amendment_Aerated Static Pile</v>
      </c>
    </row>
    <row r="11414" spans="1:13" s="120" customFormat="1" x14ac:dyDescent="0.25">
      <c r="A11414" s="119"/>
      <c r="B11414" s="138" t="str">
        <f t="shared" si="983"/>
        <v>Aerated Static Pile</v>
      </c>
      <c r="C11414" s="138" t="str">
        <f t="shared" si="984"/>
        <v>Base_With Amendment</v>
      </c>
      <c r="D11414" s="138" t="str">
        <f t="shared" si="986"/>
        <v>High_Low</v>
      </c>
      <c r="E11414" s="138" t="str">
        <f t="shared" si="981"/>
        <v>High</v>
      </c>
      <c r="F11414" s="138" t="str">
        <f t="shared" si="985"/>
        <v>Upgraded</v>
      </c>
      <c r="G11414" s="153"/>
      <c r="H11414" s="210">
        <v>-1.0200000000000001E-2</v>
      </c>
      <c r="I11414" s="160" t="s">
        <v>149</v>
      </c>
      <c r="J11414" s="211">
        <v>-1.22975E-5</v>
      </c>
      <c r="K11414" s="160" t="s">
        <v>26</v>
      </c>
      <c r="L11414" s="154" t="str">
        <f>IF(OpenLCAbasic!K11414="CTUh", "Fill in Manually",IF(OR(K11414="Unit", K11414=""), "", INDEX(LookUps!$E$5:$E$12, MATCH(OpenLCAbasic!K11414,LookUps!$D$5:$D$12,0))))</f>
        <v>Water Use (WU) - m3 H2O</v>
      </c>
      <c r="M11414" s="154" t="str">
        <f t="shared" si="982"/>
        <v>High_High_Low_Upgraded_Water Use (WU) - m3 H2O_Anaerobic Digestion; wastewater treatment unit; at updated plant - US_Base_With Amendment_Aerated Static Pile</v>
      </c>
    </row>
    <row r="11415" spans="1:13" s="120" customFormat="1" x14ac:dyDescent="0.25">
      <c r="A11415" s="119"/>
      <c r="B11415" s="138" t="str">
        <f t="shared" si="983"/>
        <v>Aerated Static Pile</v>
      </c>
      <c r="C11415" s="138" t="str">
        <f t="shared" si="984"/>
        <v>Base_With Amendment</v>
      </c>
      <c r="D11415" s="138" t="str">
        <f t="shared" si="986"/>
        <v>High_Low</v>
      </c>
      <c r="E11415" s="138" t="str">
        <f t="shared" si="981"/>
        <v>High</v>
      </c>
      <c r="F11415" s="138" t="str">
        <f t="shared" si="985"/>
        <v>Upgraded</v>
      </c>
      <c r="G11415" s="153"/>
      <c r="H11415" s="210">
        <v>-2.0495000000000001</v>
      </c>
      <c r="I11415" s="160" t="s">
        <v>62</v>
      </c>
      <c r="J11415" s="160">
        <v>-2.4599999999999999E-3</v>
      </c>
      <c r="K11415" s="160" t="s">
        <v>26</v>
      </c>
      <c r="L11415" s="154" t="str">
        <f>IF(OpenLCAbasic!K11415="CTUh", "Fill in Manually",IF(OR(K11415="Unit", K11415=""), "", INDEX(LookUps!$E$5:$E$12, MATCH(OpenLCAbasic!K11415,LookUps!$D$5:$D$12,0))))</f>
        <v>Water Use (WU) - m3 H2O</v>
      </c>
      <c r="M11415" s="154" t="str">
        <f t="shared" si="982"/>
        <v>High_High_Low_Upgraded_Water Use (WU) - m3 H2O_Land application of compost; wastewater treatment unit; at updated plant - US_Base_With Amendment_Aerated Static Pile</v>
      </c>
    </row>
    <row r="11416" spans="1:13" s="120" customFormat="1" x14ac:dyDescent="0.25">
      <c r="A11416" s="119"/>
      <c r="B11416" s="138" t="str">
        <f t="shared" si="983"/>
        <v/>
      </c>
      <c r="C11416" s="138" t="str">
        <f t="shared" si="984"/>
        <v/>
      </c>
      <c r="D11416" s="138" t="str">
        <f>IF(ISNUMBER($J11416),"High_Base","")</f>
        <v/>
      </c>
      <c r="E11416" s="138" t="str">
        <f t="shared" si="981"/>
        <v/>
      </c>
      <c r="F11416" s="138" t="str">
        <f t="shared" si="985"/>
        <v/>
      </c>
      <c r="G11416" s="153" t="s">
        <v>51</v>
      </c>
      <c r="H11416" s="160"/>
      <c r="I11416" s="160" t="s">
        <v>47</v>
      </c>
      <c r="J11416" s="160" t="s">
        <v>52</v>
      </c>
      <c r="K11416" s="160" t="s">
        <v>27</v>
      </c>
      <c r="L11416" s="154" t="str">
        <f>IF(OpenLCAbasic!K11416="CTUh", "Fill in Manually",IF(OR(K11416="Unit", K11416=""), "", INDEX(LookUps!$E$5:$E$12, MATCH(OpenLCAbasic!K11416,LookUps!$D$5:$D$12,0))))</f>
        <v/>
      </c>
      <c r="M11416" s="154" t="str">
        <f t="shared" si="982"/>
        <v>____Process__</v>
      </c>
    </row>
    <row r="11417" spans="1:13" s="120" customFormat="1" x14ac:dyDescent="0.25">
      <c r="A11417" s="119"/>
      <c r="B11417" s="138" t="str">
        <f t="shared" si="983"/>
        <v>Aerated Static Pile</v>
      </c>
      <c r="C11417" s="138" t="str">
        <f t="shared" si="984"/>
        <v>Base_With Amendment</v>
      </c>
      <c r="D11417" s="138" t="str">
        <f t="shared" ref="D11417:D11480" si="987">IF(ISNUMBER($J11417),"High_Base","")</f>
        <v>High_Base</v>
      </c>
      <c r="E11417" s="138" t="str">
        <f t="shared" si="981"/>
        <v>High</v>
      </c>
      <c r="F11417" s="138" t="str">
        <f t="shared" si="985"/>
        <v>Upgraded</v>
      </c>
      <c r="G11417" s="153"/>
      <c r="H11417" s="210">
        <v>1.446</v>
      </c>
      <c r="I11417" s="160" t="s">
        <v>55</v>
      </c>
      <c r="J11417" s="160">
        <v>1.7219999999999999E-2</v>
      </c>
      <c r="K11417" s="160" t="s">
        <v>24</v>
      </c>
      <c r="L11417" s="154" t="str">
        <f>IF(OpenLCAbasic!K11417="CTUh", "Fill in Manually",IF(OR(K11417="Unit", K11417=""), "", INDEX(LookUps!$E$5:$E$12, MATCH(OpenLCAbasic!K11417,LookUps!$D$5:$D$12,0))))</f>
        <v>Acidification Potential (AP) - kg SO2 eq</v>
      </c>
      <c r="M11417" s="154" t="str">
        <f t="shared" si="982"/>
        <v>High_High_Base_Upgraded_Acidification Potential (AP) - kg SO2 eq_Aeration Tanks; wastewater treatment unit; at updated plant - US_Base_With Amendment_Aerated Static Pile</v>
      </c>
    </row>
    <row r="11418" spans="1:13" s="120" customFormat="1" x14ac:dyDescent="0.25">
      <c r="A11418" s="119"/>
      <c r="B11418" s="138" t="str">
        <f t="shared" si="983"/>
        <v>Aerated Static Pile</v>
      </c>
      <c r="C11418" s="138" t="str">
        <f t="shared" si="984"/>
        <v>Base_With Amendment</v>
      </c>
      <c r="D11418" s="138" t="str">
        <f t="shared" si="987"/>
        <v>High_Base</v>
      </c>
      <c r="E11418" s="138" t="str">
        <f t="shared" si="981"/>
        <v>High</v>
      </c>
      <c r="F11418" s="138" t="str">
        <f t="shared" si="985"/>
        <v>Upgraded</v>
      </c>
      <c r="G11418" s="153"/>
      <c r="H11418" s="210">
        <v>1.0767</v>
      </c>
      <c r="I11418" s="160" t="s">
        <v>435</v>
      </c>
      <c r="J11418" s="160">
        <v>1.282E-2</v>
      </c>
      <c r="K11418" s="160" t="s">
        <v>24</v>
      </c>
      <c r="L11418" s="154" t="str">
        <f>IF(OpenLCAbasic!K11418="CTUh", "Fill in Manually",IF(OR(K11418="Unit", K11418=""), "", INDEX(LookUps!$E$5:$E$12, MATCH(OpenLCAbasic!K11418,LookUps!$D$5:$D$12,0))))</f>
        <v>Acidification Potential (AP) - kg SO2 eq</v>
      </c>
      <c r="M11418" s="154" t="str">
        <f t="shared" si="982"/>
        <v>High_High_Base_Upgraded_Acidification Potential (AP) - kg SO2 eq_Biosolids composting; aerated static pile; wastewater treatment unit; at updated plant - US_Base_With Amendment_Aerated Static Pile</v>
      </c>
    </row>
    <row r="11419" spans="1:13" s="120" customFormat="1" x14ac:dyDescent="0.25">
      <c r="A11419" s="119"/>
      <c r="B11419" s="138" t="str">
        <f t="shared" si="983"/>
        <v>Aerated Static Pile</v>
      </c>
      <c r="C11419" s="138" t="str">
        <f t="shared" si="984"/>
        <v>Base_With Amendment</v>
      </c>
      <c r="D11419" s="138" t="str">
        <f t="shared" si="987"/>
        <v>High_Base</v>
      </c>
      <c r="E11419" s="138" t="str">
        <f t="shared" si="981"/>
        <v>High</v>
      </c>
      <c r="F11419" s="138" t="str">
        <f t="shared" si="985"/>
        <v>Upgraded</v>
      </c>
      <c r="G11419" s="153"/>
      <c r="H11419" s="210">
        <v>0.41820000000000002</v>
      </c>
      <c r="I11419" s="160" t="s">
        <v>54</v>
      </c>
      <c r="J11419" s="160">
        <v>4.9800000000000001E-3</v>
      </c>
      <c r="K11419" s="160" t="s">
        <v>24</v>
      </c>
      <c r="L11419" s="154" t="str">
        <f>IF(OpenLCAbasic!K11419="CTUh", "Fill in Manually",IF(OR(K11419="Unit", K11419=""), "", INDEX(LookUps!$E$5:$E$12, MATCH(OpenLCAbasic!K11419,LookUps!$D$5:$D$12,0))))</f>
        <v>Acidification Potential (AP) - kg SO2 eq</v>
      </c>
      <c r="M11419" s="154" t="str">
        <f t="shared" si="982"/>
        <v>High_High_Base_Upgraded_Acidification Potential (AP) - kg SO2 eq_Clear Cove Primary Clarification; wastewater treatment unit; at updated plant - US_Base_With Amendment_Aerated Static Pile</v>
      </c>
    </row>
    <row r="11420" spans="1:13" s="120" customFormat="1" x14ac:dyDescent="0.25">
      <c r="A11420" s="119"/>
      <c r="B11420" s="138" t="str">
        <f t="shared" si="983"/>
        <v>Aerated Static Pile</v>
      </c>
      <c r="C11420" s="138" t="str">
        <f t="shared" si="984"/>
        <v>Base_With Amendment</v>
      </c>
      <c r="D11420" s="138" t="str">
        <f t="shared" si="987"/>
        <v>High_Base</v>
      </c>
      <c r="E11420" s="138" t="str">
        <f t="shared" si="981"/>
        <v>High</v>
      </c>
      <c r="F11420" s="138" t="str">
        <f t="shared" si="985"/>
        <v>Upgraded</v>
      </c>
      <c r="G11420" s="153"/>
      <c r="H11420" s="210">
        <v>0.37390000000000001</v>
      </c>
      <c r="I11420" s="160" t="s">
        <v>62</v>
      </c>
      <c r="J11420" s="160">
        <v>4.45E-3</v>
      </c>
      <c r="K11420" s="160" t="s">
        <v>24</v>
      </c>
      <c r="L11420" s="154" t="str">
        <f>IF(OpenLCAbasic!K11420="CTUh", "Fill in Manually",IF(OR(K11420="Unit", K11420=""), "", INDEX(LookUps!$E$5:$E$12, MATCH(OpenLCAbasic!K11420,LookUps!$D$5:$D$12,0))))</f>
        <v>Acidification Potential (AP) - kg SO2 eq</v>
      </c>
      <c r="M11420" s="154" t="str">
        <f t="shared" si="982"/>
        <v>High_High_Base_Upgraded_Acidification Potential (AP) - kg SO2 eq_Land application of compost; wastewater treatment unit; at updated plant - US_Base_With Amendment_Aerated Static Pile</v>
      </c>
    </row>
    <row r="11421" spans="1:13" s="120" customFormat="1" x14ac:dyDescent="0.25">
      <c r="A11421" s="119"/>
      <c r="B11421" s="138" t="str">
        <f t="shared" si="983"/>
        <v>Aerated Static Pile</v>
      </c>
      <c r="C11421" s="138" t="str">
        <f t="shared" si="984"/>
        <v>Base_With Amendment</v>
      </c>
      <c r="D11421" s="138" t="str">
        <f t="shared" si="987"/>
        <v>High_Base</v>
      </c>
      <c r="E11421" s="138" t="str">
        <f t="shared" si="981"/>
        <v>High</v>
      </c>
      <c r="F11421" s="138" t="str">
        <f t="shared" si="985"/>
        <v>Upgraded</v>
      </c>
      <c r="G11421" s="153"/>
      <c r="H11421" s="210">
        <v>0.3664</v>
      </c>
      <c r="I11421" s="160" t="s">
        <v>58</v>
      </c>
      <c r="J11421" s="160">
        <v>4.3600000000000002E-3</v>
      </c>
      <c r="K11421" s="160" t="s">
        <v>24</v>
      </c>
      <c r="L11421" s="154" t="str">
        <f>IF(OpenLCAbasic!K11421="CTUh", "Fill in Manually",IF(OR(K11421="Unit", K11421=""), "", INDEX(LookUps!$E$5:$E$12, MATCH(OpenLCAbasic!K11421,LookUps!$D$5:$D$12,0))))</f>
        <v>Acidification Potential (AP) - kg SO2 eq</v>
      </c>
      <c r="M11421" s="154" t="str">
        <f t="shared" si="982"/>
        <v>High_High_Base_Upgraded_Acidification Potential (AP) - kg SO2 eq_Pre-Anoxic &amp; Swing tank; wastewater treatment unit; at updated plant - US_Base_With Amendment_Aerated Static Pile</v>
      </c>
    </row>
    <row r="11422" spans="1:13" s="120" customFormat="1" x14ac:dyDescent="0.25">
      <c r="A11422" s="119"/>
      <c r="B11422" s="138" t="str">
        <f t="shared" si="983"/>
        <v>Aerated Static Pile</v>
      </c>
      <c r="C11422" s="138" t="str">
        <f t="shared" si="984"/>
        <v>Base_With Amendment</v>
      </c>
      <c r="D11422" s="138" t="str">
        <f t="shared" si="987"/>
        <v>High_Base</v>
      </c>
      <c r="E11422" s="138" t="str">
        <f t="shared" si="981"/>
        <v>High</v>
      </c>
      <c r="F11422" s="138" t="str">
        <f t="shared" si="985"/>
        <v>Upgraded</v>
      </c>
      <c r="G11422" s="153"/>
      <c r="H11422" s="210">
        <v>0.2898</v>
      </c>
      <c r="I11422" s="160" t="s">
        <v>53</v>
      </c>
      <c r="J11422" s="160">
        <v>3.4499999999999999E-3</v>
      </c>
      <c r="K11422" s="160" t="s">
        <v>24</v>
      </c>
      <c r="L11422" s="154" t="str">
        <f>IF(OpenLCAbasic!K11422="CTUh", "Fill in Manually",IF(OR(K11422="Unit", K11422=""), "", INDEX(LookUps!$E$5:$E$12, MATCH(OpenLCAbasic!K11422,LookUps!$D$5:$D$12,0))))</f>
        <v>Acidification Potential (AP) - kg SO2 eq</v>
      </c>
      <c r="M11422" s="154" t="str">
        <f t="shared" si="982"/>
        <v>High_High_Base_Upgraded_Acidification Potential (AP) - kg SO2 eq_Wet Well and Sump Station; wastewater treatment unit; at updated plant - US_Base_With Amendment_Aerated Static Pile</v>
      </c>
    </row>
    <row r="11423" spans="1:13" s="120" customFormat="1" x14ac:dyDescent="0.25">
      <c r="A11423" s="119"/>
      <c r="B11423" s="138" t="str">
        <f t="shared" si="983"/>
        <v>Aerated Static Pile</v>
      </c>
      <c r="C11423" s="138" t="str">
        <f t="shared" si="984"/>
        <v>Base_With Amendment</v>
      </c>
      <c r="D11423" s="138" t="str">
        <f t="shared" si="987"/>
        <v>High_Base</v>
      </c>
      <c r="E11423" s="138" t="str">
        <f t="shared" si="981"/>
        <v>High</v>
      </c>
      <c r="F11423" s="138" t="str">
        <f t="shared" si="985"/>
        <v>Upgraded</v>
      </c>
      <c r="G11423" s="153"/>
      <c r="H11423" s="210">
        <v>0.22700000000000001</v>
      </c>
      <c r="I11423" s="160" t="s">
        <v>167</v>
      </c>
      <c r="J11423" s="160">
        <v>2.7000000000000001E-3</v>
      </c>
      <c r="K11423" s="160" t="s">
        <v>24</v>
      </c>
      <c r="L11423" s="154" t="str">
        <f>IF(OpenLCAbasic!K11423="CTUh", "Fill in Manually",IF(OR(K11423="Unit", K11423=""), "", INDEX(LookUps!$E$5:$E$12, MATCH(OpenLCAbasic!K11423,LookUps!$D$5:$D$12,0))))</f>
        <v>Acidification Potential (AP) - kg SO2 eq</v>
      </c>
      <c r="M11423" s="154" t="str">
        <f t="shared" si="982"/>
        <v>High_High_Base_Upgraded_Acidification Potential (AP) - kg SO2 eq_Waste Receiving and Holding; wastewater treatment unit; at updated plant - US_Base_With Amendment_Aerated Static Pile</v>
      </c>
    </row>
    <row r="11424" spans="1:13" s="120" customFormat="1" x14ac:dyDescent="0.25">
      <c r="A11424" s="119"/>
      <c r="B11424" s="138" t="str">
        <f t="shared" si="983"/>
        <v>Aerated Static Pile</v>
      </c>
      <c r="C11424" s="138" t="str">
        <f t="shared" si="984"/>
        <v>Base_With Amendment</v>
      </c>
      <c r="D11424" s="138" t="str">
        <f t="shared" si="987"/>
        <v>High_Base</v>
      </c>
      <c r="E11424" s="138" t="str">
        <f t="shared" si="981"/>
        <v>High</v>
      </c>
      <c r="F11424" s="138" t="str">
        <f t="shared" si="985"/>
        <v>Upgraded</v>
      </c>
      <c r="G11424" s="153"/>
      <c r="H11424" s="210">
        <v>0.17369999999999999</v>
      </c>
      <c r="I11424" s="160" t="s">
        <v>147</v>
      </c>
      <c r="J11424" s="160">
        <v>2.0699999999999998E-3</v>
      </c>
      <c r="K11424" s="160" t="s">
        <v>24</v>
      </c>
      <c r="L11424" s="154" t="str">
        <f>IF(OpenLCAbasic!K11424="CTUh", "Fill in Manually",IF(OR(K11424="Unit", K11424=""), "", INDEX(LookUps!$E$5:$E$12, MATCH(OpenLCAbasic!K11424,LookUps!$D$5:$D$12,0))))</f>
        <v>Acidification Potential (AP) - kg SO2 eq</v>
      </c>
      <c r="M11424" s="154" t="str">
        <f t="shared" si="982"/>
        <v>High_High_Base_Upgraded_Acidification Potential (AP) - kg SO2 eq_Influent Pump Station; wastewater treatment unit; at updated plant - US_Base_With Amendment_Aerated Static Pile</v>
      </c>
    </row>
    <row r="11425" spans="1:13" s="120" customFormat="1" x14ac:dyDescent="0.25">
      <c r="A11425" s="119"/>
      <c r="B11425" s="138" t="str">
        <f t="shared" si="983"/>
        <v>Aerated Static Pile</v>
      </c>
      <c r="C11425" s="138" t="str">
        <f t="shared" si="984"/>
        <v>Base_With Amendment</v>
      </c>
      <c r="D11425" s="138" t="str">
        <f t="shared" si="987"/>
        <v>High_Base</v>
      </c>
      <c r="E11425" s="138" t="str">
        <f t="shared" si="981"/>
        <v>High</v>
      </c>
      <c r="F11425" s="138" t="str">
        <f t="shared" si="985"/>
        <v>Upgraded</v>
      </c>
      <c r="G11425" s="153"/>
      <c r="H11425" s="210">
        <v>0.12239999999999999</v>
      </c>
      <c r="I11425" s="160" t="s">
        <v>60</v>
      </c>
      <c r="J11425" s="160">
        <v>1.4599999999999999E-3</v>
      </c>
      <c r="K11425" s="160" t="s">
        <v>24</v>
      </c>
      <c r="L11425" s="154" t="str">
        <f>IF(OpenLCAbasic!K11425="CTUh", "Fill in Manually",IF(OR(K11425="Unit", K11425=""), "", INDEX(LookUps!$E$5:$E$12, MATCH(OpenLCAbasic!K11425,LookUps!$D$5:$D$12,0))))</f>
        <v>Acidification Potential (AP) - kg SO2 eq</v>
      </c>
      <c r="M11425" s="154" t="str">
        <f t="shared" si="982"/>
        <v>High_High_Base_Upgraded_Acidification Potential (AP) - kg SO2 eq_Belt filter press; wastewater treatment unit; at updated plant - US_Base_With Amendment_Aerated Static Pile</v>
      </c>
    </row>
    <row r="11426" spans="1:13" s="120" customFormat="1" x14ac:dyDescent="0.25">
      <c r="A11426" s="119"/>
      <c r="B11426" s="138" t="str">
        <f t="shared" si="983"/>
        <v>Aerated Static Pile</v>
      </c>
      <c r="C11426" s="138" t="str">
        <f t="shared" si="984"/>
        <v>Base_With Amendment</v>
      </c>
      <c r="D11426" s="138" t="str">
        <f t="shared" si="987"/>
        <v>High_Base</v>
      </c>
      <c r="E11426" s="138" t="str">
        <f t="shared" si="981"/>
        <v>High</v>
      </c>
      <c r="F11426" s="138" t="str">
        <f t="shared" si="985"/>
        <v>Upgraded</v>
      </c>
      <c r="G11426" s="153"/>
      <c r="H11426" s="210">
        <v>0.10349999999999999</v>
      </c>
      <c r="I11426" s="160" t="s">
        <v>128</v>
      </c>
      <c r="J11426" s="160">
        <v>1.23E-3</v>
      </c>
      <c r="K11426" s="160" t="s">
        <v>24</v>
      </c>
      <c r="L11426" s="154" t="str">
        <f>IF(OpenLCAbasic!K11426="CTUh", "Fill in Manually",IF(OR(K11426="Unit", K11426=""), "", INDEX(LookUps!$E$5:$E$12, MATCH(OpenLCAbasic!K11426,LookUps!$D$5:$D$12,0))))</f>
        <v>Acidification Potential (AP) - kg SO2 eq</v>
      </c>
      <c r="M11426" s="154" t="str">
        <f t="shared" si="982"/>
        <v>High_High_Base_Upgraded_Acidification Potential (AP) - kg SO2 eq_Wastewater collection; operation and infrastructure; m3 wastewater_Base_With Amendment_Aerated Static Pile</v>
      </c>
    </row>
    <row r="11427" spans="1:13" s="120" customFormat="1" x14ac:dyDescent="0.25">
      <c r="A11427" s="119"/>
      <c r="B11427" s="138" t="str">
        <f t="shared" si="983"/>
        <v>Aerated Static Pile</v>
      </c>
      <c r="C11427" s="138" t="str">
        <f t="shared" si="984"/>
        <v>Base_With Amendment</v>
      </c>
      <c r="D11427" s="138" t="str">
        <f t="shared" si="987"/>
        <v>High_Base</v>
      </c>
      <c r="E11427" s="138" t="str">
        <f t="shared" si="981"/>
        <v>High</v>
      </c>
      <c r="F11427" s="138" t="str">
        <f t="shared" si="985"/>
        <v>Upgraded</v>
      </c>
      <c r="G11427" s="153"/>
      <c r="H11427" s="210">
        <v>5.91E-2</v>
      </c>
      <c r="I11427" s="160" t="s">
        <v>57</v>
      </c>
      <c r="J11427" s="160">
        <v>6.9999999999999999E-4</v>
      </c>
      <c r="K11427" s="160" t="s">
        <v>24</v>
      </c>
      <c r="L11427" s="154" t="str">
        <f>IF(OpenLCAbasic!K11427="CTUh", "Fill in Manually",IF(OR(K11427="Unit", K11427=""), "", INDEX(LookUps!$E$5:$E$12, MATCH(OpenLCAbasic!K11427,LookUps!$D$5:$D$12,0))))</f>
        <v>Acidification Potential (AP) - kg SO2 eq</v>
      </c>
      <c r="M11427" s="154" t="str">
        <f t="shared" si="982"/>
        <v>High_High_Base_Upgraded_Acidification Potential (AP) - kg SO2 eq_Gravity Belt Thickener; wastewater treatment unit; at updated plant - US_Base_With Amendment_Aerated Static Pile</v>
      </c>
    </row>
    <row r="11428" spans="1:13" s="120" customFormat="1" x14ac:dyDescent="0.25">
      <c r="A11428" s="119"/>
      <c r="B11428" s="138" t="str">
        <f t="shared" si="983"/>
        <v>Aerated Static Pile</v>
      </c>
      <c r="C11428" s="138" t="str">
        <f t="shared" si="984"/>
        <v>Base_With Amendment</v>
      </c>
      <c r="D11428" s="138" t="str">
        <f t="shared" si="987"/>
        <v>High_Base</v>
      </c>
      <c r="E11428" s="138" t="str">
        <f t="shared" si="981"/>
        <v>High</v>
      </c>
      <c r="F11428" s="138" t="str">
        <f t="shared" si="985"/>
        <v>Upgraded</v>
      </c>
      <c r="G11428" s="153"/>
      <c r="H11428" s="210">
        <v>4.3400000000000001E-2</v>
      </c>
      <c r="I11428" s="160" t="s">
        <v>59</v>
      </c>
      <c r="J11428" s="160">
        <v>5.1999999999999995E-4</v>
      </c>
      <c r="K11428" s="160" t="s">
        <v>24</v>
      </c>
      <c r="L11428" s="154" t="str">
        <f>IF(OpenLCAbasic!K11428="CTUh", "Fill in Manually",IF(OR(K11428="Unit", K11428=""), "", INDEX(LookUps!$E$5:$E$12, MATCH(OpenLCAbasic!K11428,LookUps!$D$5:$D$12,0))))</f>
        <v>Acidification Potential (AP) - kg SO2 eq</v>
      </c>
      <c r="M11428" s="154" t="str">
        <f t="shared" si="982"/>
        <v>High_High_Base_Upgraded_Acidification Potential (AP) - kg SO2 eq_Blend Tank; wastewater treatment unit; at updated plant - US_Base_With Amendment_Aerated Static Pile</v>
      </c>
    </row>
    <row r="11429" spans="1:13" s="120" customFormat="1" x14ac:dyDescent="0.25">
      <c r="A11429" s="119"/>
      <c r="B11429" s="138" t="str">
        <f t="shared" si="983"/>
        <v>Aerated Static Pile</v>
      </c>
      <c r="C11429" s="138" t="str">
        <f t="shared" si="984"/>
        <v>Base_With Amendment</v>
      </c>
      <c r="D11429" s="138" t="str">
        <f t="shared" si="987"/>
        <v>High_Base</v>
      </c>
      <c r="E11429" s="138" t="str">
        <f t="shared" si="981"/>
        <v>High</v>
      </c>
      <c r="F11429" s="138" t="str">
        <f t="shared" si="985"/>
        <v>Upgraded</v>
      </c>
      <c r="G11429" s="153"/>
      <c r="H11429" s="210">
        <v>2.9100000000000001E-2</v>
      </c>
      <c r="I11429" s="160" t="s">
        <v>48</v>
      </c>
      <c r="J11429" s="160">
        <v>3.5E-4</v>
      </c>
      <c r="K11429" s="160" t="s">
        <v>24</v>
      </c>
      <c r="L11429" s="154" t="str">
        <f>IF(OpenLCAbasic!K11429="CTUh", "Fill in Manually",IF(OR(K11429="Unit", K11429=""), "", INDEX(LookUps!$E$5:$E$12, MATCH(OpenLCAbasic!K11429,LookUps!$D$5:$D$12,0))))</f>
        <v>Acidification Potential (AP) - kg SO2 eq</v>
      </c>
      <c r="M11429" s="154" t="str">
        <f t="shared" si="982"/>
        <v>High_High_Base_Upgraded_Acidification Potential (AP) - kg SO2 eq_Effluent release; wastewater treatment unit; at surface water; m3 wastewater - US_Base_With Amendment_Aerated Static Pile</v>
      </c>
    </row>
    <row r="11430" spans="1:13" s="120" customFormat="1" x14ac:dyDescent="0.25">
      <c r="A11430" s="119"/>
      <c r="B11430" s="138" t="str">
        <f t="shared" si="983"/>
        <v>Aerated Static Pile</v>
      </c>
      <c r="C11430" s="138" t="str">
        <f t="shared" si="984"/>
        <v>Base_With Amendment</v>
      </c>
      <c r="D11430" s="138" t="str">
        <f t="shared" si="987"/>
        <v>High_Base</v>
      </c>
      <c r="E11430" s="138" t="str">
        <f t="shared" si="981"/>
        <v>High</v>
      </c>
      <c r="F11430" s="138" t="str">
        <f t="shared" si="985"/>
        <v>Upgraded</v>
      </c>
      <c r="G11430" s="153"/>
      <c r="H11430" s="210">
        <v>2.1399999999999999E-2</v>
      </c>
      <c r="I11430" s="160" t="s">
        <v>168</v>
      </c>
      <c r="J11430" s="160">
        <v>2.5999999999999998E-4</v>
      </c>
      <c r="K11430" s="160" t="s">
        <v>24</v>
      </c>
      <c r="L11430" s="154" t="str">
        <f>IF(OpenLCAbasic!K11430="CTUh", "Fill in Manually",IF(OR(K11430="Unit", K11430=""), "", INDEX(LookUps!$E$5:$E$12, MATCH(OpenLCAbasic!K11430,LookUps!$D$5:$D$12,0))))</f>
        <v>Acidification Potential (AP) - kg SO2 eq</v>
      </c>
      <c r="M11430" s="154" t="str">
        <f t="shared" si="982"/>
        <v>High_High_Base_Upgraded_Acidification Potential (AP) - kg SO2 eq_ClearCove SCP; wastewater treatment unit; at updated plant - US_Base_With Amendment_Aerated Static Pile</v>
      </c>
    </row>
    <row r="11431" spans="1:13" s="120" customFormat="1" x14ac:dyDescent="0.25">
      <c r="A11431" s="119"/>
      <c r="B11431" s="138" t="str">
        <f t="shared" si="983"/>
        <v>Aerated Static Pile</v>
      </c>
      <c r="C11431" s="138" t="str">
        <f t="shared" si="984"/>
        <v>Base_With Amendment</v>
      </c>
      <c r="D11431" s="138" t="str">
        <f t="shared" si="987"/>
        <v>High_Base</v>
      </c>
      <c r="E11431" s="138" t="str">
        <f t="shared" si="981"/>
        <v>High</v>
      </c>
      <c r="F11431" s="138" t="str">
        <f t="shared" si="985"/>
        <v>Upgraded</v>
      </c>
      <c r="G11431" s="153"/>
      <c r="H11431" s="210">
        <v>3.3999999999999998E-3</v>
      </c>
      <c r="I11431" s="160" t="s">
        <v>148</v>
      </c>
      <c r="J11431" s="211">
        <v>4.0354700000000002E-5</v>
      </c>
      <c r="K11431" s="160" t="s">
        <v>24</v>
      </c>
      <c r="L11431" s="154" t="str">
        <f>IF(OpenLCAbasic!K11431="CTUh", "Fill in Manually",IF(OR(K11431="Unit", K11431=""), "", INDEX(LookUps!$E$5:$E$12, MATCH(OpenLCAbasic!K11431,LookUps!$D$5:$D$12,0))))</f>
        <v>Acidification Potential (AP) - kg SO2 eq</v>
      </c>
      <c r="M11431" s="154" t="str">
        <f t="shared" si="982"/>
        <v>High_High_Base_Upgraded_Acidification Potential (AP) - kg SO2 eq_Control Building; at upgraded wastewater treatment plant - US_Base_With Amendment_Aerated Static Pile</v>
      </c>
    </row>
    <row r="11432" spans="1:13" s="120" customFormat="1" x14ac:dyDescent="0.25">
      <c r="A11432" s="119"/>
      <c r="B11432" s="138" t="str">
        <f t="shared" si="983"/>
        <v>Aerated Static Pile</v>
      </c>
      <c r="C11432" s="138" t="str">
        <f t="shared" si="984"/>
        <v>Base_With Amendment</v>
      </c>
      <c r="D11432" s="138" t="str">
        <f t="shared" si="987"/>
        <v>High_Base</v>
      </c>
      <c r="E11432" s="138" t="str">
        <f t="shared" si="981"/>
        <v>High</v>
      </c>
      <c r="F11432" s="138" t="str">
        <f t="shared" si="985"/>
        <v>Upgraded</v>
      </c>
      <c r="G11432" s="153"/>
      <c r="H11432" s="210">
        <v>-3.754</v>
      </c>
      <c r="I11432" s="160" t="s">
        <v>149</v>
      </c>
      <c r="J11432" s="160">
        <v>-4.4699999999999997E-2</v>
      </c>
      <c r="K11432" s="160" t="s">
        <v>24</v>
      </c>
      <c r="L11432" s="154" t="str">
        <f>IF(OpenLCAbasic!K11432="CTUh", "Fill in Manually",IF(OR(K11432="Unit", K11432=""), "", INDEX(LookUps!$E$5:$E$12, MATCH(OpenLCAbasic!K11432,LookUps!$D$5:$D$12,0))))</f>
        <v>Acidification Potential (AP) - kg SO2 eq</v>
      </c>
      <c r="M11432" s="154" t="str">
        <f t="shared" si="982"/>
        <v>High_High_Base_Upgraded_Acidification Potential (AP) - kg SO2 eq_Anaerobic Digestion; wastewater treatment unit; at updated plant - US_Base_With Amendment_Aerated Static Pile</v>
      </c>
    </row>
    <row r="11433" spans="1:13" s="120" customFormat="1" x14ac:dyDescent="0.25">
      <c r="A11433" s="119"/>
      <c r="B11433" s="138" t="str">
        <f t="shared" si="983"/>
        <v/>
      </c>
      <c r="C11433" s="138" t="str">
        <f t="shared" si="984"/>
        <v/>
      </c>
      <c r="D11433" s="138" t="str">
        <f t="shared" si="987"/>
        <v/>
      </c>
      <c r="E11433" s="138" t="str">
        <f t="shared" ref="E11433:E11496" si="988">IF(ISNUMBER($J11433),"High","")</f>
        <v/>
      </c>
      <c r="F11433" s="138" t="str">
        <f t="shared" si="985"/>
        <v/>
      </c>
      <c r="G11433" s="153" t="s">
        <v>51</v>
      </c>
      <c r="H11433" s="160"/>
      <c r="I11433" s="160" t="s">
        <v>47</v>
      </c>
      <c r="J11433" s="160" t="s">
        <v>52</v>
      </c>
      <c r="K11433" s="160" t="s">
        <v>27</v>
      </c>
      <c r="L11433" s="154" t="str">
        <f>IF(OpenLCAbasic!K11433="CTUh", "Fill in Manually",IF(OR(K11433="Unit", K11433=""), "", INDEX(LookUps!$E$5:$E$12, MATCH(OpenLCAbasic!K11433,LookUps!$D$5:$D$12,0))))</f>
        <v/>
      </c>
      <c r="M11433" s="154" t="str">
        <f t="shared" si="982"/>
        <v>____Process__</v>
      </c>
    </row>
    <row r="11434" spans="1:13" s="120" customFormat="1" x14ac:dyDescent="0.25">
      <c r="A11434" s="119"/>
      <c r="B11434" s="138" t="str">
        <f t="shared" si="983"/>
        <v>Aerated Static Pile</v>
      </c>
      <c r="C11434" s="138" t="str">
        <f t="shared" si="984"/>
        <v>Base_With Amendment</v>
      </c>
      <c r="D11434" s="138" t="str">
        <f t="shared" si="987"/>
        <v>High_Base</v>
      </c>
      <c r="E11434" s="138" t="str">
        <f t="shared" si="988"/>
        <v>High</v>
      </c>
      <c r="F11434" s="138" t="str">
        <f t="shared" si="985"/>
        <v>Upgraded</v>
      </c>
      <c r="G11434" s="153"/>
      <c r="H11434" s="210">
        <v>3.9698000000000002</v>
      </c>
      <c r="I11434" s="160" t="s">
        <v>167</v>
      </c>
      <c r="J11434" s="160">
        <v>5.1393399999999998</v>
      </c>
      <c r="K11434" s="160" t="s">
        <v>15</v>
      </c>
      <c r="L11434" s="154" t="str">
        <f>IF(OpenLCAbasic!K11434="CTUh", "Fill in Manually",IF(OR(K11434="Unit", K11434=""), "", INDEX(LookUps!$E$5:$E$12, MATCH(OpenLCAbasic!K11434,LookUps!$D$5:$D$12,0))))</f>
        <v>Cumulative Energy Demand (CED) - MJ</v>
      </c>
      <c r="M11434" s="154" t="str">
        <f t="shared" si="982"/>
        <v>High_High_Base_Upgraded_Cumulative Energy Demand (CED) - MJ_Waste Receiving and Holding; wastewater treatment unit; at updated plant - US_Base_With Amendment_Aerated Static Pile</v>
      </c>
    </row>
    <row r="11435" spans="1:13" s="120" customFormat="1" x14ac:dyDescent="0.25">
      <c r="A11435" s="119"/>
      <c r="B11435" s="138" t="str">
        <f t="shared" si="983"/>
        <v>Aerated Static Pile</v>
      </c>
      <c r="C11435" s="138" t="str">
        <f t="shared" si="984"/>
        <v>Base_With Amendment</v>
      </c>
      <c r="D11435" s="138" t="str">
        <f t="shared" si="987"/>
        <v>High_Base</v>
      </c>
      <c r="E11435" s="138" t="str">
        <f t="shared" si="988"/>
        <v>High</v>
      </c>
      <c r="F11435" s="138" t="str">
        <f t="shared" si="985"/>
        <v>Upgraded</v>
      </c>
      <c r="G11435" s="153"/>
      <c r="H11435" s="210">
        <v>2.7290000000000001</v>
      </c>
      <c r="I11435" s="160" t="s">
        <v>55</v>
      </c>
      <c r="J11435" s="160">
        <v>3.5330499999999998</v>
      </c>
      <c r="K11435" s="160" t="s">
        <v>15</v>
      </c>
      <c r="L11435" s="154" t="str">
        <f>IF(OpenLCAbasic!K11435="CTUh", "Fill in Manually",IF(OR(K11435="Unit", K11435=""), "", INDEX(LookUps!$E$5:$E$12, MATCH(OpenLCAbasic!K11435,LookUps!$D$5:$D$12,0))))</f>
        <v>Cumulative Energy Demand (CED) - MJ</v>
      </c>
      <c r="M11435" s="154" t="str">
        <f t="shared" si="982"/>
        <v>High_High_Base_Upgraded_Cumulative Energy Demand (CED) - MJ_Aeration Tanks; wastewater treatment unit; at updated plant - US_Base_With Amendment_Aerated Static Pile</v>
      </c>
    </row>
    <row r="11436" spans="1:13" s="120" customFormat="1" x14ac:dyDescent="0.25">
      <c r="A11436" s="119"/>
      <c r="B11436" s="138" t="str">
        <f t="shared" si="983"/>
        <v>Aerated Static Pile</v>
      </c>
      <c r="C11436" s="138" t="str">
        <f t="shared" si="984"/>
        <v>Base_With Amendment</v>
      </c>
      <c r="D11436" s="138" t="str">
        <f t="shared" si="987"/>
        <v>High_Base</v>
      </c>
      <c r="E11436" s="138" t="str">
        <f t="shared" si="988"/>
        <v>High</v>
      </c>
      <c r="F11436" s="138" t="str">
        <f t="shared" si="985"/>
        <v>Upgraded</v>
      </c>
      <c r="G11436" s="153"/>
      <c r="H11436" s="210">
        <v>1.8395999999999999</v>
      </c>
      <c r="I11436" s="160" t="s">
        <v>435</v>
      </c>
      <c r="J11436" s="160">
        <v>2.3816099999999998</v>
      </c>
      <c r="K11436" s="160" t="s">
        <v>15</v>
      </c>
      <c r="L11436" s="154" t="str">
        <f>IF(OpenLCAbasic!K11436="CTUh", "Fill in Manually",IF(OR(K11436="Unit", K11436=""), "", INDEX(LookUps!$E$5:$E$12, MATCH(OpenLCAbasic!K11436,LookUps!$D$5:$D$12,0))))</f>
        <v>Cumulative Energy Demand (CED) - MJ</v>
      </c>
      <c r="M11436" s="154" t="str">
        <f t="shared" si="982"/>
        <v>High_High_Base_Upgraded_Cumulative Energy Demand (CED) - MJ_Biosolids composting; aerated static pile; wastewater treatment unit; at updated plant - US_Base_With Amendment_Aerated Static Pile</v>
      </c>
    </row>
    <row r="11437" spans="1:13" s="120" customFormat="1" x14ac:dyDescent="0.25">
      <c r="A11437" s="119"/>
      <c r="B11437" s="138" t="str">
        <f t="shared" si="983"/>
        <v>Aerated Static Pile</v>
      </c>
      <c r="C11437" s="138" t="str">
        <f t="shared" si="984"/>
        <v>Base_With Amendment</v>
      </c>
      <c r="D11437" s="138" t="str">
        <f t="shared" si="987"/>
        <v>High_Base</v>
      </c>
      <c r="E11437" s="138" t="str">
        <f t="shared" si="988"/>
        <v>High</v>
      </c>
      <c r="F11437" s="138" t="str">
        <f t="shared" si="985"/>
        <v>Upgraded</v>
      </c>
      <c r="G11437" s="153"/>
      <c r="H11437" s="210">
        <v>0.89829999999999999</v>
      </c>
      <c r="I11437" s="160" t="s">
        <v>54</v>
      </c>
      <c r="J11437" s="160">
        <v>1.16289</v>
      </c>
      <c r="K11437" s="160" t="s">
        <v>15</v>
      </c>
      <c r="L11437" s="154" t="str">
        <f>IF(OpenLCAbasic!K11437="CTUh", "Fill in Manually",IF(OR(K11437="Unit", K11437=""), "", INDEX(LookUps!$E$5:$E$12, MATCH(OpenLCAbasic!K11437,LookUps!$D$5:$D$12,0))))</f>
        <v>Cumulative Energy Demand (CED) - MJ</v>
      </c>
      <c r="M11437" s="154" t="str">
        <f t="shared" si="982"/>
        <v>High_High_Base_Upgraded_Cumulative Energy Demand (CED) - MJ_Clear Cove Primary Clarification; wastewater treatment unit; at updated plant - US_Base_With Amendment_Aerated Static Pile</v>
      </c>
    </row>
    <row r="11438" spans="1:13" s="120" customFormat="1" x14ac:dyDescent="0.25">
      <c r="A11438" s="119"/>
      <c r="B11438" s="138" t="str">
        <f t="shared" si="983"/>
        <v>Aerated Static Pile</v>
      </c>
      <c r="C11438" s="138" t="str">
        <f t="shared" si="984"/>
        <v>Base_With Amendment</v>
      </c>
      <c r="D11438" s="138" t="str">
        <f t="shared" si="987"/>
        <v>High_Base</v>
      </c>
      <c r="E11438" s="138" t="str">
        <f t="shared" si="988"/>
        <v>High</v>
      </c>
      <c r="F11438" s="138" t="str">
        <f t="shared" si="985"/>
        <v>Upgraded</v>
      </c>
      <c r="G11438" s="153"/>
      <c r="H11438" s="210">
        <v>0.68799999999999994</v>
      </c>
      <c r="I11438" s="160" t="s">
        <v>58</v>
      </c>
      <c r="J11438" s="160">
        <v>0.89063999999999999</v>
      </c>
      <c r="K11438" s="160" t="s">
        <v>15</v>
      </c>
      <c r="L11438" s="154" t="str">
        <f>IF(OpenLCAbasic!K11438="CTUh", "Fill in Manually",IF(OR(K11438="Unit", K11438=""), "", INDEX(LookUps!$E$5:$E$12, MATCH(OpenLCAbasic!K11438,LookUps!$D$5:$D$12,0))))</f>
        <v>Cumulative Energy Demand (CED) - MJ</v>
      </c>
      <c r="M11438" s="154" t="str">
        <f t="shared" si="982"/>
        <v>High_High_Base_Upgraded_Cumulative Energy Demand (CED) - MJ_Pre-Anoxic &amp; Swing tank; wastewater treatment unit; at updated plant - US_Base_With Amendment_Aerated Static Pile</v>
      </c>
    </row>
    <row r="11439" spans="1:13" s="120" customFormat="1" x14ac:dyDescent="0.25">
      <c r="A11439" s="119"/>
      <c r="B11439" s="138" t="str">
        <f t="shared" si="983"/>
        <v>Aerated Static Pile</v>
      </c>
      <c r="C11439" s="138" t="str">
        <f t="shared" si="984"/>
        <v>Base_With Amendment</v>
      </c>
      <c r="D11439" s="138" t="str">
        <f t="shared" si="987"/>
        <v>High_Base</v>
      </c>
      <c r="E11439" s="138" t="str">
        <f t="shared" si="988"/>
        <v>High</v>
      </c>
      <c r="F11439" s="138" t="str">
        <f t="shared" si="985"/>
        <v>Upgraded</v>
      </c>
      <c r="G11439" s="153"/>
      <c r="H11439" s="210">
        <v>0.68200000000000005</v>
      </c>
      <c r="I11439" s="160" t="s">
        <v>147</v>
      </c>
      <c r="J11439" s="160">
        <v>0.88297000000000003</v>
      </c>
      <c r="K11439" s="160" t="s">
        <v>15</v>
      </c>
      <c r="L11439" s="154" t="str">
        <f>IF(OpenLCAbasic!K11439="CTUh", "Fill in Manually",IF(OR(K11439="Unit", K11439=""), "", INDEX(LookUps!$E$5:$E$12, MATCH(OpenLCAbasic!K11439,LookUps!$D$5:$D$12,0))))</f>
        <v>Cumulative Energy Demand (CED) - MJ</v>
      </c>
      <c r="M11439" s="154" t="str">
        <f t="shared" si="982"/>
        <v>High_High_Base_Upgraded_Cumulative Energy Demand (CED) - MJ_Influent Pump Station; wastewater treatment unit; at updated plant - US_Base_With Amendment_Aerated Static Pile</v>
      </c>
    </row>
    <row r="11440" spans="1:13" s="120" customFormat="1" x14ac:dyDescent="0.25">
      <c r="A11440" s="119"/>
      <c r="B11440" s="138" t="str">
        <f t="shared" si="983"/>
        <v>Aerated Static Pile</v>
      </c>
      <c r="C11440" s="138" t="str">
        <f t="shared" si="984"/>
        <v>Base_With Amendment</v>
      </c>
      <c r="D11440" s="138" t="str">
        <f t="shared" si="987"/>
        <v>High_Base</v>
      </c>
      <c r="E11440" s="138" t="str">
        <f t="shared" si="988"/>
        <v>High</v>
      </c>
      <c r="F11440" s="138" t="str">
        <f t="shared" si="985"/>
        <v>Upgraded</v>
      </c>
      <c r="G11440" s="153"/>
      <c r="H11440" s="210">
        <v>0.53800000000000003</v>
      </c>
      <c r="I11440" s="160" t="s">
        <v>53</v>
      </c>
      <c r="J11440" s="160">
        <v>0.69645000000000001</v>
      </c>
      <c r="K11440" s="160" t="s">
        <v>15</v>
      </c>
      <c r="L11440" s="154" t="str">
        <f>IF(OpenLCAbasic!K11440="CTUh", "Fill in Manually",IF(OR(K11440="Unit", K11440=""), "", INDEX(LookUps!$E$5:$E$12, MATCH(OpenLCAbasic!K11440,LookUps!$D$5:$D$12,0))))</f>
        <v>Cumulative Energy Demand (CED) - MJ</v>
      </c>
      <c r="M11440" s="154" t="str">
        <f t="shared" si="982"/>
        <v>High_High_Base_Upgraded_Cumulative Energy Demand (CED) - MJ_Wet Well and Sump Station; wastewater treatment unit; at updated plant - US_Base_With Amendment_Aerated Static Pile</v>
      </c>
    </row>
    <row r="11441" spans="1:13" s="120" customFormat="1" x14ac:dyDescent="0.25">
      <c r="A11441" s="119"/>
      <c r="B11441" s="138" t="str">
        <f t="shared" si="983"/>
        <v>Aerated Static Pile</v>
      </c>
      <c r="C11441" s="138" t="str">
        <f t="shared" si="984"/>
        <v>Base_With Amendment</v>
      </c>
      <c r="D11441" s="138" t="str">
        <f t="shared" si="987"/>
        <v>High_Base</v>
      </c>
      <c r="E11441" s="138" t="str">
        <f t="shared" si="988"/>
        <v>High</v>
      </c>
      <c r="F11441" s="138" t="str">
        <f t="shared" si="985"/>
        <v>Upgraded</v>
      </c>
      <c r="G11441" s="153"/>
      <c r="H11441" s="210">
        <v>0.4204</v>
      </c>
      <c r="I11441" s="160" t="s">
        <v>60</v>
      </c>
      <c r="J11441" s="160">
        <v>0.54422999999999999</v>
      </c>
      <c r="K11441" s="160" t="s">
        <v>15</v>
      </c>
      <c r="L11441" s="154" t="str">
        <f>IF(OpenLCAbasic!K11441="CTUh", "Fill in Manually",IF(OR(K11441="Unit", K11441=""), "", INDEX(LookUps!$E$5:$E$12, MATCH(OpenLCAbasic!K11441,LookUps!$D$5:$D$12,0))))</f>
        <v>Cumulative Energy Demand (CED) - MJ</v>
      </c>
      <c r="M11441" s="154" t="str">
        <f t="shared" si="982"/>
        <v>High_High_Base_Upgraded_Cumulative Energy Demand (CED) - MJ_Belt filter press; wastewater treatment unit; at updated plant - US_Base_With Amendment_Aerated Static Pile</v>
      </c>
    </row>
    <row r="11442" spans="1:13" s="120" customFormat="1" x14ac:dyDescent="0.25">
      <c r="A11442" s="119"/>
      <c r="B11442" s="138" t="str">
        <f t="shared" si="983"/>
        <v>Aerated Static Pile</v>
      </c>
      <c r="C11442" s="138" t="str">
        <f t="shared" si="984"/>
        <v>Base_With Amendment</v>
      </c>
      <c r="D11442" s="138" t="str">
        <f t="shared" si="987"/>
        <v>High_Base</v>
      </c>
      <c r="E11442" s="138" t="str">
        <f t="shared" si="988"/>
        <v>High</v>
      </c>
      <c r="F11442" s="138" t="str">
        <f t="shared" si="985"/>
        <v>Upgraded</v>
      </c>
      <c r="G11442" s="153"/>
      <c r="H11442" s="210">
        <v>0.25800000000000001</v>
      </c>
      <c r="I11442" s="160" t="s">
        <v>57</v>
      </c>
      <c r="J11442" s="160">
        <v>0.33404</v>
      </c>
      <c r="K11442" s="160" t="s">
        <v>15</v>
      </c>
      <c r="L11442" s="154" t="str">
        <f>IF(OpenLCAbasic!K11442="CTUh", "Fill in Manually",IF(OR(K11442="Unit", K11442=""), "", INDEX(LookUps!$E$5:$E$12, MATCH(OpenLCAbasic!K11442,LookUps!$D$5:$D$12,0))))</f>
        <v>Cumulative Energy Demand (CED) - MJ</v>
      </c>
      <c r="M11442" s="154" t="str">
        <f t="shared" si="982"/>
        <v>High_High_Base_Upgraded_Cumulative Energy Demand (CED) - MJ_Gravity Belt Thickener; wastewater treatment unit; at updated plant - US_Base_With Amendment_Aerated Static Pile</v>
      </c>
    </row>
    <row r="11443" spans="1:13" s="120" customFormat="1" x14ac:dyDescent="0.25">
      <c r="A11443" s="119"/>
      <c r="B11443" s="138" t="str">
        <f t="shared" si="983"/>
        <v>Aerated Static Pile</v>
      </c>
      <c r="C11443" s="138" t="str">
        <f t="shared" si="984"/>
        <v>Base_With Amendment</v>
      </c>
      <c r="D11443" s="138" t="str">
        <f t="shared" si="987"/>
        <v>High_Base</v>
      </c>
      <c r="E11443" s="138" t="str">
        <f t="shared" si="988"/>
        <v>High</v>
      </c>
      <c r="F11443" s="138" t="str">
        <f t="shared" si="985"/>
        <v>Upgraded</v>
      </c>
      <c r="G11443" s="153"/>
      <c r="H11443" s="210">
        <v>0.1978</v>
      </c>
      <c r="I11443" s="160" t="s">
        <v>128</v>
      </c>
      <c r="J11443" s="160">
        <v>0.25606000000000001</v>
      </c>
      <c r="K11443" s="160" t="s">
        <v>15</v>
      </c>
      <c r="L11443" s="154" t="str">
        <f>IF(OpenLCAbasic!K11443="CTUh", "Fill in Manually",IF(OR(K11443="Unit", K11443=""), "", INDEX(LookUps!$E$5:$E$12, MATCH(OpenLCAbasic!K11443,LookUps!$D$5:$D$12,0))))</f>
        <v>Cumulative Energy Demand (CED) - MJ</v>
      </c>
      <c r="M11443" s="154" t="str">
        <f t="shared" si="982"/>
        <v>High_High_Base_Upgraded_Cumulative Energy Demand (CED) - MJ_Wastewater collection; operation and infrastructure; m3 wastewater_Base_With Amendment_Aerated Static Pile</v>
      </c>
    </row>
    <row r="11444" spans="1:13" s="120" customFormat="1" x14ac:dyDescent="0.25">
      <c r="A11444" s="119"/>
      <c r="B11444" s="138" t="str">
        <f t="shared" si="983"/>
        <v>Aerated Static Pile</v>
      </c>
      <c r="C11444" s="138" t="str">
        <f t="shared" si="984"/>
        <v>Base_With Amendment</v>
      </c>
      <c r="D11444" s="138" t="str">
        <f t="shared" si="987"/>
        <v>High_Base</v>
      </c>
      <c r="E11444" s="138" t="str">
        <f t="shared" si="988"/>
        <v>High</v>
      </c>
      <c r="F11444" s="138" t="str">
        <f t="shared" si="985"/>
        <v>Upgraded</v>
      </c>
      <c r="G11444" s="153"/>
      <c r="H11444" s="210">
        <v>0.1128</v>
      </c>
      <c r="I11444" s="160" t="s">
        <v>148</v>
      </c>
      <c r="J11444" s="160">
        <v>0.14599000000000001</v>
      </c>
      <c r="K11444" s="160" t="s">
        <v>15</v>
      </c>
      <c r="L11444" s="154" t="str">
        <f>IF(OpenLCAbasic!K11444="CTUh", "Fill in Manually",IF(OR(K11444="Unit", K11444=""), "", INDEX(LookUps!$E$5:$E$12, MATCH(OpenLCAbasic!K11444,LookUps!$D$5:$D$12,0))))</f>
        <v>Cumulative Energy Demand (CED) - MJ</v>
      </c>
      <c r="M11444" s="154" t="str">
        <f t="shared" si="982"/>
        <v>High_High_Base_Upgraded_Cumulative Energy Demand (CED) - MJ_Control Building; at upgraded wastewater treatment plant - US_Base_With Amendment_Aerated Static Pile</v>
      </c>
    </row>
    <row r="11445" spans="1:13" s="120" customFormat="1" x14ac:dyDescent="0.25">
      <c r="A11445" s="119"/>
      <c r="B11445" s="138" t="str">
        <f t="shared" si="983"/>
        <v>Aerated Static Pile</v>
      </c>
      <c r="C11445" s="138" t="str">
        <f t="shared" si="984"/>
        <v>Base_With Amendment</v>
      </c>
      <c r="D11445" s="138" t="str">
        <f t="shared" si="987"/>
        <v>High_Base</v>
      </c>
      <c r="E11445" s="138" t="str">
        <f t="shared" si="988"/>
        <v>High</v>
      </c>
      <c r="F11445" s="138" t="str">
        <f t="shared" si="985"/>
        <v>Upgraded</v>
      </c>
      <c r="G11445" s="153"/>
      <c r="H11445" s="210">
        <v>0.10290000000000001</v>
      </c>
      <c r="I11445" s="160" t="s">
        <v>48</v>
      </c>
      <c r="J11445" s="160">
        <v>0.13321</v>
      </c>
      <c r="K11445" s="160" t="s">
        <v>15</v>
      </c>
      <c r="L11445" s="154" t="str">
        <f>IF(OpenLCAbasic!K11445="CTUh", "Fill in Manually",IF(OR(K11445="Unit", K11445=""), "", INDEX(LookUps!$E$5:$E$12, MATCH(OpenLCAbasic!K11445,LookUps!$D$5:$D$12,0))))</f>
        <v>Cumulative Energy Demand (CED) - MJ</v>
      </c>
      <c r="M11445" s="154" t="str">
        <f t="shared" si="982"/>
        <v>High_High_Base_Upgraded_Cumulative Energy Demand (CED) - MJ_Effluent release; wastewater treatment unit; at surface water; m3 wastewater - US_Base_With Amendment_Aerated Static Pile</v>
      </c>
    </row>
    <row r="11446" spans="1:13" s="120" customFormat="1" x14ac:dyDescent="0.25">
      <c r="A11446" s="119"/>
      <c r="B11446" s="138" t="str">
        <f t="shared" si="983"/>
        <v>Aerated Static Pile</v>
      </c>
      <c r="C11446" s="138" t="str">
        <f t="shared" si="984"/>
        <v>Base_With Amendment</v>
      </c>
      <c r="D11446" s="138" t="str">
        <f t="shared" si="987"/>
        <v>High_Base</v>
      </c>
      <c r="E11446" s="138" t="str">
        <f t="shared" si="988"/>
        <v>High</v>
      </c>
      <c r="F11446" s="138" t="str">
        <f t="shared" si="985"/>
        <v>Upgraded</v>
      </c>
      <c r="G11446" s="153"/>
      <c r="H11446" s="210">
        <v>8.2199999999999995E-2</v>
      </c>
      <c r="I11446" s="160" t="s">
        <v>59</v>
      </c>
      <c r="J11446" s="160">
        <v>0.10638</v>
      </c>
      <c r="K11446" s="160" t="s">
        <v>15</v>
      </c>
      <c r="L11446" s="154" t="str">
        <f>IF(OpenLCAbasic!K11446="CTUh", "Fill in Manually",IF(OR(K11446="Unit", K11446=""), "", INDEX(LookUps!$E$5:$E$12, MATCH(OpenLCAbasic!K11446,LookUps!$D$5:$D$12,0))))</f>
        <v>Cumulative Energy Demand (CED) - MJ</v>
      </c>
      <c r="M11446" s="154" t="str">
        <f t="shared" si="982"/>
        <v>High_High_Base_Upgraded_Cumulative Energy Demand (CED) - MJ_Blend Tank; wastewater treatment unit; at updated plant - US_Base_With Amendment_Aerated Static Pile</v>
      </c>
    </row>
    <row r="11447" spans="1:13" s="120" customFormat="1" x14ac:dyDescent="0.25">
      <c r="A11447" s="119"/>
      <c r="B11447" s="138" t="str">
        <f t="shared" si="983"/>
        <v>Aerated Static Pile</v>
      </c>
      <c r="C11447" s="138" t="str">
        <f t="shared" si="984"/>
        <v>Base_With Amendment</v>
      </c>
      <c r="D11447" s="138" t="str">
        <f t="shared" si="987"/>
        <v>High_Base</v>
      </c>
      <c r="E11447" s="138" t="str">
        <f t="shared" si="988"/>
        <v>High</v>
      </c>
      <c r="F11447" s="138" t="str">
        <f t="shared" si="985"/>
        <v>Upgraded</v>
      </c>
      <c r="G11447" s="153"/>
      <c r="H11447" s="210">
        <v>3.9300000000000002E-2</v>
      </c>
      <c r="I11447" s="160" t="s">
        <v>168</v>
      </c>
      <c r="J11447" s="160">
        <v>5.0930000000000003E-2</v>
      </c>
      <c r="K11447" s="160" t="s">
        <v>15</v>
      </c>
      <c r="L11447" s="154" t="str">
        <f>IF(OpenLCAbasic!K11447="CTUh", "Fill in Manually",IF(OR(K11447="Unit", K11447=""), "", INDEX(LookUps!$E$5:$E$12, MATCH(OpenLCAbasic!K11447,LookUps!$D$5:$D$12,0))))</f>
        <v>Cumulative Energy Demand (CED) - MJ</v>
      </c>
      <c r="M11447" s="154" t="str">
        <f t="shared" si="982"/>
        <v>High_High_Base_Upgraded_Cumulative Energy Demand (CED) - MJ_ClearCove SCP; wastewater treatment unit; at updated plant - US_Base_With Amendment_Aerated Static Pile</v>
      </c>
    </row>
    <row r="11448" spans="1:13" s="120" customFormat="1" x14ac:dyDescent="0.25">
      <c r="A11448" s="119"/>
      <c r="B11448" s="138" t="str">
        <f t="shared" si="983"/>
        <v>Aerated Static Pile</v>
      </c>
      <c r="C11448" s="138" t="str">
        <f t="shared" si="984"/>
        <v>Base_With Amendment</v>
      </c>
      <c r="D11448" s="138" t="str">
        <f t="shared" si="987"/>
        <v>High_Base</v>
      </c>
      <c r="E11448" s="138" t="str">
        <f t="shared" si="988"/>
        <v>High</v>
      </c>
      <c r="F11448" s="138" t="str">
        <f t="shared" si="985"/>
        <v>Upgraded</v>
      </c>
      <c r="G11448" s="153"/>
      <c r="H11448" s="210">
        <v>-0.60509999999999997</v>
      </c>
      <c r="I11448" s="160" t="s">
        <v>62</v>
      </c>
      <c r="J11448" s="160">
        <v>-0.78339000000000003</v>
      </c>
      <c r="K11448" s="160" t="s">
        <v>15</v>
      </c>
      <c r="L11448" s="154" t="str">
        <f>IF(OpenLCAbasic!K11448="CTUh", "Fill in Manually",IF(OR(K11448="Unit", K11448=""), "", INDEX(LookUps!$E$5:$E$12, MATCH(OpenLCAbasic!K11448,LookUps!$D$5:$D$12,0))))</f>
        <v>Cumulative Energy Demand (CED) - MJ</v>
      </c>
      <c r="M11448" s="154" t="str">
        <f t="shared" si="982"/>
        <v>High_High_Base_Upgraded_Cumulative Energy Demand (CED) - MJ_Land application of compost; wastewater treatment unit; at updated plant - US_Base_With Amendment_Aerated Static Pile</v>
      </c>
    </row>
    <row r="11449" spans="1:13" s="120" customFormat="1" x14ac:dyDescent="0.25">
      <c r="A11449" s="119"/>
      <c r="B11449" s="138" t="str">
        <f t="shared" si="983"/>
        <v>Aerated Static Pile</v>
      </c>
      <c r="C11449" s="138" t="str">
        <f t="shared" si="984"/>
        <v>Base_With Amendment</v>
      </c>
      <c r="D11449" s="138" t="str">
        <f t="shared" si="987"/>
        <v>High_Base</v>
      </c>
      <c r="E11449" s="138" t="str">
        <f t="shared" si="988"/>
        <v>High</v>
      </c>
      <c r="F11449" s="138" t="str">
        <f t="shared" si="985"/>
        <v>Upgraded</v>
      </c>
      <c r="G11449" s="153"/>
      <c r="H11449" s="210">
        <v>-10.9529</v>
      </c>
      <c r="I11449" s="160" t="s">
        <v>149</v>
      </c>
      <c r="J11449" s="160">
        <v>-14.179790000000001</v>
      </c>
      <c r="K11449" s="160" t="s">
        <v>15</v>
      </c>
      <c r="L11449" s="154" t="str">
        <f>IF(OpenLCAbasic!K11449="CTUh", "Fill in Manually",IF(OR(K11449="Unit", K11449=""), "", INDEX(LookUps!$E$5:$E$12, MATCH(OpenLCAbasic!K11449,LookUps!$D$5:$D$12,0))))</f>
        <v>Cumulative Energy Demand (CED) - MJ</v>
      </c>
      <c r="M11449" s="154" t="str">
        <f t="shared" si="982"/>
        <v>High_High_Base_Upgraded_Cumulative Energy Demand (CED) - MJ_Anaerobic Digestion; wastewater treatment unit; at updated plant - US_Base_With Amendment_Aerated Static Pile</v>
      </c>
    </row>
    <row r="11450" spans="1:13" s="120" customFormat="1" x14ac:dyDescent="0.25">
      <c r="A11450" s="119"/>
      <c r="B11450" s="138" t="str">
        <f t="shared" si="983"/>
        <v/>
      </c>
      <c r="C11450" s="138" t="str">
        <f t="shared" si="984"/>
        <v/>
      </c>
      <c r="D11450" s="138" t="str">
        <f t="shared" si="987"/>
        <v/>
      </c>
      <c r="E11450" s="138" t="str">
        <f t="shared" si="988"/>
        <v/>
      </c>
      <c r="F11450" s="138" t="str">
        <f t="shared" si="985"/>
        <v/>
      </c>
      <c r="G11450" s="153" t="s">
        <v>51</v>
      </c>
      <c r="H11450" s="160"/>
      <c r="I11450" s="160" t="s">
        <v>47</v>
      </c>
      <c r="J11450" s="160" t="s">
        <v>52</v>
      </c>
      <c r="K11450" s="160" t="s">
        <v>27</v>
      </c>
      <c r="L11450" s="154" t="str">
        <f>IF(OpenLCAbasic!K11450="CTUh", "Fill in Manually",IF(OR(K11450="Unit", K11450=""), "", INDEX(LookUps!$E$5:$E$12, MATCH(OpenLCAbasic!K11450,LookUps!$D$5:$D$12,0))))</f>
        <v/>
      </c>
      <c r="M11450" s="154" t="str">
        <f t="shared" si="982"/>
        <v>____Process__</v>
      </c>
    </row>
    <row r="11451" spans="1:13" s="120" customFormat="1" x14ac:dyDescent="0.25">
      <c r="A11451" s="119"/>
      <c r="B11451" s="138" t="str">
        <f t="shared" si="983"/>
        <v>Aerated Static Pile</v>
      </c>
      <c r="C11451" s="138" t="str">
        <f t="shared" si="984"/>
        <v>Base_With Amendment</v>
      </c>
      <c r="D11451" s="138" t="str">
        <f t="shared" si="987"/>
        <v>High_Base</v>
      </c>
      <c r="E11451" s="138" t="str">
        <f t="shared" si="988"/>
        <v>High</v>
      </c>
      <c r="F11451" s="138" t="str">
        <f t="shared" si="985"/>
        <v>Upgraded</v>
      </c>
      <c r="G11451" s="153"/>
      <c r="H11451" s="210">
        <v>0.7208</v>
      </c>
      <c r="I11451" s="160" t="s">
        <v>48</v>
      </c>
      <c r="J11451" s="160">
        <v>1.1610000000000001E-2</v>
      </c>
      <c r="K11451" s="160" t="s">
        <v>13</v>
      </c>
      <c r="L11451" s="154" t="str">
        <f>IF(OpenLCAbasic!K11451="CTUh", "Fill in Manually",IF(OR(K11451="Unit", K11451=""), "", INDEX(LookUps!$E$5:$E$12, MATCH(OpenLCAbasic!K11451,LookUps!$D$5:$D$12,0))))</f>
        <v>Eutrophication Potential (EP) - kg N eq</v>
      </c>
      <c r="M11451" s="154" t="str">
        <f t="shared" si="982"/>
        <v>High_High_Base_Upgraded_Eutrophication Potential (EP) - kg N eq_Effluent release; wastewater treatment unit; at surface water; m3 wastewater - US_Base_With Amendment_Aerated Static Pile</v>
      </c>
    </row>
    <row r="11452" spans="1:13" s="120" customFormat="1" x14ac:dyDescent="0.25">
      <c r="A11452" s="119"/>
      <c r="B11452" s="138" t="str">
        <f t="shared" si="983"/>
        <v>Aerated Static Pile</v>
      </c>
      <c r="C11452" s="138" t="str">
        <f t="shared" si="984"/>
        <v>Base_With Amendment</v>
      </c>
      <c r="D11452" s="138" t="str">
        <f t="shared" si="987"/>
        <v>High_Base</v>
      </c>
      <c r="E11452" s="138" t="str">
        <f t="shared" si="988"/>
        <v>High</v>
      </c>
      <c r="F11452" s="138" t="str">
        <f t="shared" si="985"/>
        <v>Upgraded</v>
      </c>
      <c r="G11452" s="153"/>
      <c r="H11452" s="210">
        <v>0.23230000000000001</v>
      </c>
      <c r="I11452" s="160" t="s">
        <v>62</v>
      </c>
      <c r="J11452" s="160">
        <v>3.7399999999999998E-3</v>
      </c>
      <c r="K11452" s="160" t="s">
        <v>13</v>
      </c>
      <c r="L11452" s="154" t="str">
        <f>IF(OpenLCAbasic!K11452="CTUh", "Fill in Manually",IF(OR(K11452="Unit", K11452=""), "", INDEX(LookUps!$E$5:$E$12, MATCH(OpenLCAbasic!K11452,LookUps!$D$5:$D$12,0))))</f>
        <v>Eutrophication Potential (EP) - kg N eq</v>
      </c>
      <c r="M11452" s="154" t="str">
        <f t="shared" si="982"/>
        <v>High_High_Base_Upgraded_Eutrophication Potential (EP) - kg N eq_Land application of compost; wastewater treatment unit; at updated plant - US_Base_With Amendment_Aerated Static Pile</v>
      </c>
    </row>
    <row r="11453" spans="1:13" s="120" customFormat="1" x14ac:dyDescent="0.25">
      <c r="A11453" s="119"/>
      <c r="B11453" s="138" t="str">
        <f t="shared" si="983"/>
        <v>Aerated Static Pile</v>
      </c>
      <c r="C11453" s="138" t="str">
        <f t="shared" si="984"/>
        <v>Base_With Amendment</v>
      </c>
      <c r="D11453" s="138" t="str">
        <f t="shared" si="987"/>
        <v>High_Base</v>
      </c>
      <c r="E11453" s="138" t="str">
        <f t="shared" si="988"/>
        <v>High</v>
      </c>
      <c r="F11453" s="138" t="str">
        <f t="shared" si="985"/>
        <v>Upgraded</v>
      </c>
      <c r="G11453" s="153"/>
      <c r="H11453" s="210">
        <v>3.39E-2</v>
      </c>
      <c r="I11453" s="160" t="s">
        <v>55</v>
      </c>
      <c r="J11453" s="160">
        <v>5.5000000000000003E-4</v>
      </c>
      <c r="K11453" s="160" t="s">
        <v>13</v>
      </c>
      <c r="L11453" s="154" t="str">
        <f>IF(OpenLCAbasic!K11453="CTUh", "Fill in Manually",IF(OR(K11453="Unit", K11453=""), "", INDEX(LookUps!$E$5:$E$12, MATCH(OpenLCAbasic!K11453,LookUps!$D$5:$D$12,0))))</f>
        <v>Eutrophication Potential (EP) - kg N eq</v>
      </c>
      <c r="M11453" s="154" t="str">
        <f t="shared" si="982"/>
        <v>High_High_Base_Upgraded_Eutrophication Potential (EP) - kg N eq_Aeration Tanks; wastewater treatment unit; at updated plant - US_Base_With Amendment_Aerated Static Pile</v>
      </c>
    </row>
    <row r="11454" spans="1:13" s="120" customFormat="1" x14ac:dyDescent="0.25">
      <c r="A11454" s="119"/>
      <c r="B11454" s="138" t="str">
        <f t="shared" si="983"/>
        <v>Aerated Static Pile</v>
      </c>
      <c r="C11454" s="138" t="str">
        <f t="shared" si="984"/>
        <v>Base_With Amendment</v>
      </c>
      <c r="D11454" s="138" t="str">
        <f t="shared" si="987"/>
        <v>High_Base</v>
      </c>
      <c r="E11454" s="138" t="str">
        <f t="shared" si="988"/>
        <v>High</v>
      </c>
      <c r="F11454" s="138" t="str">
        <f t="shared" si="985"/>
        <v>Upgraded</v>
      </c>
      <c r="G11454" s="153"/>
      <c r="H11454" s="210">
        <v>2.64E-2</v>
      </c>
      <c r="I11454" s="160" t="s">
        <v>435</v>
      </c>
      <c r="J11454" s="160">
        <v>4.2000000000000002E-4</v>
      </c>
      <c r="K11454" s="160" t="s">
        <v>13</v>
      </c>
      <c r="L11454" s="154" t="str">
        <f>IF(OpenLCAbasic!K11454="CTUh", "Fill in Manually",IF(OR(K11454="Unit", K11454=""), "", INDEX(LookUps!$E$5:$E$12, MATCH(OpenLCAbasic!K11454,LookUps!$D$5:$D$12,0))))</f>
        <v>Eutrophication Potential (EP) - kg N eq</v>
      </c>
      <c r="M11454" s="154" t="str">
        <f t="shared" si="982"/>
        <v>High_High_Base_Upgraded_Eutrophication Potential (EP) - kg N eq_Biosolids composting; aerated static pile; wastewater treatment unit; at updated plant - US_Base_With Amendment_Aerated Static Pile</v>
      </c>
    </row>
    <row r="11455" spans="1:13" s="120" customFormat="1" x14ac:dyDescent="0.25">
      <c r="A11455" s="119"/>
      <c r="B11455" s="138" t="str">
        <f t="shared" si="983"/>
        <v>Aerated Static Pile</v>
      </c>
      <c r="C11455" s="138" t="str">
        <f t="shared" si="984"/>
        <v>Base_With Amendment</v>
      </c>
      <c r="D11455" s="138" t="str">
        <f t="shared" si="987"/>
        <v>High_Base</v>
      </c>
      <c r="E11455" s="138" t="str">
        <f t="shared" si="988"/>
        <v>High</v>
      </c>
      <c r="F11455" s="138" t="str">
        <f t="shared" si="985"/>
        <v>Upgraded</v>
      </c>
      <c r="G11455" s="153"/>
      <c r="H11455" s="210">
        <v>1.55E-2</v>
      </c>
      <c r="I11455" s="160" t="s">
        <v>147</v>
      </c>
      <c r="J11455" s="160">
        <v>2.5000000000000001E-4</v>
      </c>
      <c r="K11455" s="160" t="s">
        <v>13</v>
      </c>
      <c r="L11455" s="154" t="str">
        <f>IF(OpenLCAbasic!K11455="CTUh", "Fill in Manually",IF(OR(K11455="Unit", K11455=""), "", INDEX(LookUps!$E$5:$E$12, MATCH(OpenLCAbasic!K11455,LookUps!$D$5:$D$12,0))))</f>
        <v>Eutrophication Potential (EP) - kg N eq</v>
      </c>
      <c r="M11455" s="154" t="str">
        <f t="shared" si="982"/>
        <v>High_High_Base_Upgraded_Eutrophication Potential (EP) - kg N eq_Influent Pump Station; wastewater treatment unit; at updated plant - US_Base_With Amendment_Aerated Static Pile</v>
      </c>
    </row>
    <row r="11456" spans="1:13" s="120" customFormat="1" x14ac:dyDescent="0.25">
      <c r="A11456" s="119"/>
      <c r="B11456" s="138" t="str">
        <f t="shared" si="983"/>
        <v>Aerated Static Pile</v>
      </c>
      <c r="C11456" s="138" t="str">
        <f t="shared" si="984"/>
        <v>Base_With Amendment</v>
      </c>
      <c r="D11456" s="138" t="str">
        <f t="shared" si="987"/>
        <v>High_Base</v>
      </c>
      <c r="E11456" s="138" t="str">
        <f t="shared" si="988"/>
        <v>High</v>
      </c>
      <c r="F11456" s="138" t="str">
        <f t="shared" si="985"/>
        <v>Upgraded</v>
      </c>
      <c r="G11456" s="153"/>
      <c r="H11456" s="210">
        <v>1.37E-2</v>
      </c>
      <c r="I11456" s="160" t="s">
        <v>167</v>
      </c>
      <c r="J11456" s="160">
        <v>2.2000000000000001E-4</v>
      </c>
      <c r="K11456" s="160" t="s">
        <v>13</v>
      </c>
      <c r="L11456" s="154" t="str">
        <f>IF(OpenLCAbasic!K11456="CTUh", "Fill in Manually",IF(OR(K11456="Unit", K11456=""), "", INDEX(LookUps!$E$5:$E$12, MATCH(OpenLCAbasic!K11456,LookUps!$D$5:$D$12,0))))</f>
        <v>Eutrophication Potential (EP) - kg N eq</v>
      </c>
      <c r="M11456" s="154" t="str">
        <f t="shared" si="982"/>
        <v>High_High_Base_Upgraded_Eutrophication Potential (EP) - kg N eq_Waste Receiving and Holding; wastewater treatment unit; at updated plant - US_Base_With Amendment_Aerated Static Pile</v>
      </c>
    </row>
    <row r="11457" spans="1:13" s="120" customFormat="1" x14ac:dyDescent="0.25">
      <c r="A11457" s="119"/>
      <c r="B11457" s="138" t="str">
        <f t="shared" si="983"/>
        <v>Aerated Static Pile</v>
      </c>
      <c r="C11457" s="138" t="str">
        <f t="shared" si="984"/>
        <v>Base_With Amendment</v>
      </c>
      <c r="D11457" s="138" t="str">
        <f t="shared" si="987"/>
        <v>High_Base</v>
      </c>
      <c r="E11457" s="138" t="str">
        <f t="shared" si="988"/>
        <v>High</v>
      </c>
      <c r="F11457" s="138" t="str">
        <f t="shared" si="985"/>
        <v>Upgraded</v>
      </c>
      <c r="G11457" s="153"/>
      <c r="H11457" s="210">
        <v>1.23E-2</v>
      </c>
      <c r="I11457" s="160" t="s">
        <v>54</v>
      </c>
      <c r="J11457" s="160">
        <v>2.0000000000000001E-4</v>
      </c>
      <c r="K11457" s="160" t="s">
        <v>13</v>
      </c>
      <c r="L11457" s="154" t="str">
        <f>IF(OpenLCAbasic!K11457="CTUh", "Fill in Manually",IF(OR(K11457="Unit", K11457=""), "", INDEX(LookUps!$E$5:$E$12, MATCH(OpenLCAbasic!K11457,LookUps!$D$5:$D$12,0))))</f>
        <v>Eutrophication Potential (EP) - kg N eq</v>
      </c>
      <c r="M11457" s="154" t="str">
        <f t="shared" si="982"/>
        <v>High_High_Base_Upgraded_Eutrophication Potential (EP) - kg N eq_Clear Cove Primary Clarification; wastewater treatment unit; at updated plant - US_Base_With Amendment_Aerated Static Pile</v>
      </c>
    </row>
    <row r="11458" spans="1:13" s="120" customFormat="1" x14ac:dyDescent="0.25">
      <c r="A11458" s="119"/>
      <c r="B11458" s="138" t="str">
        <f t="shared" si="983"/>
        <v>Aerated Static Pile</v>
      </c>
      <c r="C11458" s="138" t="str">
        <f t="shared" si="984"/>
        <v>Base_With Amendment</v>
      </c>
      <c r="D11458" s="138" t="str">
        <f t="shared" si="987"/>
        <v>High_Base</v>
      </c>
      <c r="E11458" s="138" t="str">
        <f t="shared" si="988"/>
        <v>High</v>
      </c>
      <c r="F11458" s="138" t="str">
        <f t="shared" si="985"/>
        <v>Upgraded</v>
      </c>
      <c r="G11458" s="153"/>
      <c r="H11458" s="210">
        <v>8.5000000000000006E-3</v>
      </c>
      <c r="I11458" s="160" t="s">
        <v>58</v>
      </c>
      <c r="J11458" s="160">
        <v>1.3999999999999999E-4</v>
      </c>
      <c r="K11458" s="160" t="s">
        <v>13</v>
      </c>
      <c r="L11458" s="154" t="str">
        <f>IF(OpenLCAbasic!K11458="CTUh", "Fill in Manually",IF(OR(K11458="Unit", K11458=""), "", INDEX(LookUps!$E$5:$E$12, MATCH(OpenLCAbasic!K11458,LookUps!$D$5:$D$12,0))))</f>
        <v>Eutrophication Potential (EP) - kg N eq</v>
      </c>
      <c r="M11458" s="154" t="str">
        <f t="shared" si="982"/>
        <v>High_High_Base_Upgraded_Eutrophication Potential (EP) - kg N eq_Pre-Anoxic &amp; Swing tank; wastewater treatment unit; at updated plant - US_Base_With Amendment_Aerated Static Pile</v>
      </c>
    </row>
    <row r="11459" spans="1:13" s="120" customFormat="1" x14ac:dyDescent="0.25">
      <c r="A11459" s="119"/>
      <c r="B11459" s="138" t="str">
        <f t="shared" si="983"/>
        <v>Aerated Static Pile</v>
      </c>
      <c r="C11459" s="138" t="str">
        <f t="shared" si="984"/>
        <v>Base_With Amendment</v>
      </c>
      <c r="D11459" s="138" t="str">
        <f t="shared" si="987"/>
        <v>High_Base</v>
      </c>
      <c r="E11459" s="138" t="str">
        <f t="shared" si="988"/>
        <v>High</v>
      </c>
      <c r="F11459" s="138" t="str">
        <f t="shared" si="985"/>
        <v>Upgraded</v>
      </c>
      <c r="G11459" s="153"/>
      <c r="H11459" s="210">
        <v>6.7000000000000002E-3</v>
      </c>
      <c r="I11459" s="160" t="s">
        <v>53</v>
      </c>
      <c r="J11459" s="160">
        <v>1.1E-4</v>
      </c>
      <c r="K11459" s="160" t="s">
        <v>13</v>
      </c>
      <c r="L11459" s="154" t="str">
        <f>IF(OpenLCAbasic!K11459="CTUh", "Fill in Manually",IF(OR(K11459="Unit", K11459=""), "", INDEX(LookUps!$E$5:$E$12, MATCH(OpenLCAbasic!K11459,LookUps!$D$5:$D$12,0))))</f>
        <v>Eutrophication Potential (EP) - kg N eq</v>
      </c>
      <c r="M11459" s="154" t="str">
        <f t="shared" si="982"/>
        <v>High_High_Base_Upgraded_Eutrophication Potential (EP) - kg N eq_Wet Well and Sump Station; wastewater treatment unit; at updated plant - US_Base_With Amendment_Aerated Static Pile</v>
      </c>
    </row>
    <row r="11460" spans="1:13" s="120" customFormat="1" x14ac:dyDescent="0.25">
      <c r="A11460" s="119"/>
      <c r="B11460" s="138" t="str">
        <f t="shared" si="983"/>
        <v>Aerated Static Pile</v>
      </c>
      <c r="C11460" s="138" t="str">
        <f t="shared" si="984"/>
        <v>Base_With Amendment</v>
      </c>
      <c r="D11460" s="138" t="str">
        <f t="shared" si="987"/>
        <v>High_Base</v>
      </c>
      <c r="E11460" s="138" t="str">
        <f t="shared" si="988"/>
        <v>High</v>
      </c>
      <c r="F11460" s="138" t="str">
        <f t="shared" si="985"/>
        <v>Upgraded</v>
      </c>
      <c r="G11460" s="153"/>
      <c r="H11460" s="210">
        <v>5.8999999999999999E-3</v>
      </c>
      <c r="I11460" s="160" t="s">
        <v>60</v>
      </c>
      <c r="J11460" s="211">
        <v>9.5601799999999997E-5</v>
      </c>
      <c r="K11460" s="160" t="s">
        <v>13</v>
      </c>
      <c r="L11460" s="154" t="str">
        <f>IF(OpenLCAbasic!K11460="CTUh", "Fill in Manually",IF(OR(K11460="Unit", K11460=""), "", INDEX(LookUps!$E$5:$E$12, MATCH(OpenLCAbasic!K11460,LookUps!$D$5:$D$12,0))))</f>
        <v>Eutrophication Potential (EP) - kg N eq</v>
      </c>
      <c r="M11460" s="154" t="str">
        <f t="shared" ref="M11460:M11523" si="989">CONCATENATE(E11460,"_",D11460,"_",F11460,"_",L11460, "_",I11460,"_", C11460,"_", B11460)</f>
        <v>High_High_Base_Upgraded_Eutrophication Potential (EP) - kg N eq_Belt filter press; wastewater treatment unit; at updated plant - US_Base_With Amendment_Aerated Static Pile</v>
      </c>
    </row>
    <row r="11461" spans="1:13" s="120" customFormat="1" x14ac:dyDescent="0.25">
      <c r="A11461" s="119"/>
      <c r="B11461" s="138" t="str">
        <f t="shared" si="983"/>
        <v>Aerated Static Pile</v>
      </c>
      <c r="C11461" s="138" t="str">
        <f t="shared" si="984"/>
        <v>Base_With Amendment</v>
      </c>
      <c r="D11461" s="138" t="str">
        <f t="shared" si="987"/>
        <v>High_Base</v>
      </c>
      <c r="E11461" s="138" t="str">
        <f t="shared" si="988"/>
        <v>High</v>
      </c>
      <c r="F11461" s="138" t="str">
        <f t="shared" si="985"/>
        <v>Upgraded</v>
      </c>
      <c r="G11461" s="153"/>
      <c r="H11461" s="210">
        <v>3.8E-3</v>
      </c>
      <c r="I11461" s="160" t="s">
        <v>57</v>
      </c>
      <c r="J11461" s="211">
        <v>6.0590300000000002E-5</v>
      </c>
      <c r="K11461" s="160" t="s">
        <v>13</v>
      </c>
      <c r="L11461" s="154" t="str">
        <f>IF(OpenLCAbasic!K11461="CTUh", "Fill in Manually",IF(OR(K11461="Unit", K11461=""), "", INDEX(LookUps!$E$5:$E$12, MATCH(OpenLCAbasic!K11461,LookUps!$D$5:$D$12,0))))</f>
        <v>Eutrophication Potential (EP) - kg N eq</v>
      </c>
      <c r="M11461" s="154" t="str">
        <f t="shared" si="989"/>
        <v>High_High_Base_Upgraded_Eutrophication Potential (EP) - kg N eq_Gravity Belt Thickener; wastewater treatment unit; at updated plant - US_Base_With Amendment_Aerated Static Pile</v>
      </c>
    </row>
    <row r="11462" spans="1:13" s="120" customFormat="1" x14ac:dyDescent="0.25">
      <c r="A11462" s="119"/>
      <c r="B11462" s="138" t="str">
        <f t="shared" si="983"/>
        <v>Aerated Static Pile</v>
      </c>
      <c r="C11462" s="138" t="str">
        <f t="shared" si="984"/>
        <v>Base_With Amendment</v>
      </c>
      <c r="D11462" s="138" t="str">
        <f t="shared" si="987"/>
        <v>High_Base</v>
      </c>
      <c r="E11462" s="138" t="str">
        <f t="shared" si="988"/>
        <v>High</v>
      </c>
      <c r="F11462" s="138" t="str">
        <f t="shared" si="985"/>
        <v>Upgraded</v>
      </c>
      <c r="G11462" s="153"/>
      <c r="H11462" s="210">
        <v>2.3E-3</v>
      </c>
      <c r="I11462" s="160" t="s">
        <v>128</v>
      </c>
      <c r="J11462" s="211">
        <v>3.7559799999999999E-5</v>
      </c>
      <c r="K11462" s="160" t="s">
        <v>13</v>
      </c>
      <c r="L11462" s="154" t="str">
        <f>IF(OpenLCAbasic!K11462="CTUh", "Fill in Manually",IF(OR(K11462="Unit", K11462=""), "", INDEX(LookUps!$E$5:$E$12, MATCH(OpenLCAbasic!K11462,LookUps!$D$5:$D$12,0))))</f>
        <v>Eutrophication Potential (EP) - kg N eq</v>
      </c>
      <c r="M11462" s="154" t="str">
        <f t="shared" si="989"/>
        <v>High_High_Base_Upgraded_Eutrophication Potential (EP) - kg N eq_Wastewater collection; operation and infrastructure; m3 wastewater_Base_With Amendment_Aerated Static Pile</v>
      </c>
    </row>
    <row r="11463" spans="1:13" s="120" customFormat="1" x14ac:dyDescent="0.25">
      <c r="A11463" s="119"/>
      <c r="B11463" s="138" t="str">
        <f t="shared" si="983"/>
        <v>Aerated Static Pile</v>
      </c>
      <c r="C11463" s="138" t="str">
        <f t="shared" si="984"/>
        <v>Base_With Amendment</v>
      </c>
      <c r="D11463" s="138" t="str">
        <f t="shared" si="987"/>
        <v>High_Base</v>
      </c>
      <c r="E11463" s="138" t="str">
        <f t="shared" si="988"/>
        <v>High</v>
      </c>
      <c r="F11463" s="138" t="str">
        <f t="shared" si="985"/>
        <v>Upgraded</v>
      </c>
      <c r="G11463" s="153"/>
      <c r="H11463" s="210">
        <v>2.3E-3</v>
      </c>
      <c r="I11463" s="160" t="s">
        <v>148</v>
      </c>
      <c r="J11463" s="211">
        <v>3.6874600000000001E-5</v>
      </c>
      <c r="K11463" s="160" t="s">
        <v>13</v>
      </c>
      <c r="L11463" s="154" t="str">
        <f>IF(OpenLCAbasic!K11463="CTUh", "Fill in Manually",IF(OR(K11463="Unit", K11463=""), "", INDEX(LookUps!$E$5:$E$12, MATCH(OpenLCAbasic!K11463,LookUps!$D$5:$D$12,0))))</f>
        <v>Eutrophication Potential (EP) - kg N eq</v>
      </c>
      <c r="M11463" s="154" t="str">
        <f t="shared" si="989"/>
        <v>High_High_Base_Upgraded_Eutrophication Potential (EP) - kg N eq_Control Building; at upgraded wastewater treatment plant - US_Base_With Amendment_Aerated Static Pile</v>
      </c>
    </row>
    <row r="11464" spans="1:13" s="120" customFormat="1" x14ac:dyDescent="0.25">
      <c r="A11464" s="119"/>
      <c r="B11464" s="138" t="str">
        <f t="shared" si="983"/>
        <v>Aerated Static Pile</v>
      </c>
      <c r="C11464" s="138" t="str">
        <f t="shared" si="984"/>
        <v>Base_With Amendment</v>
      </c>
      <c r="D11464" s="138" t="str">
        <f t="shared" si="987"/>
        <v>High_Base</v>
      </c>
      <c r="E11464" s="138" t="str">
        <f t="shared" si="988"/>
        <v>High</v>
      </c>
      <c r="F11464" s="138" t="str">
        <f t="shared" si="985"/>
        <v>Upgraded</v>
      </c>
      <c r="G11464" s="153"/>
      <c r="H11464" s="210">
        <v>1E-3</v>
      </c>
      <c r="I11464" s="160" t="s">
        <v>59</v>
      </c>
      <c r="J11464" s="211">
        <v>1.6215700000000001E-5</v>
      </c>
      <c r="K11464" s="160" t="s">
        <v>13</v>
      </c>
      <c r="L11464" s="154" t="str">
        <f>IF(OpenLCAbasic!K11464="CTUh", "Fill in Manually",IF(OR(K11464="Unit", K11464=""), "", INDEX(LookUps!$E$5:$E$12, MATCH(OpenLCAbasic!K11464,LookUps!$D$5:$D$12,0))))</f>
        <v>Eutrophication Potential (EP) - kg N eq</v>
      </c>
      <c r="M11464" s="154" t="str">
        <f t="shared" si="989"/>
        <v>High_High_Base_Upgraded_Eutrophication Potential (EP) - kg N eq_Blend Tank; wastewater treatment unit; at updated plant - US_Base_With Amendment_Aerated Static Pile</v>
      </c>
    </row>
    <row r="11465" spans="1:13" s="120" customFormat="1" x14ac:dyDescent="0.25">
      <c r="A11465" s="119"/>
      <c r="B11465" s="138" t="str">
        <f t="shared" si="983"/>
        <v>Aerated Static Pile</v>
      </c>
      <c r="C11465" s="138" t="str">
        <f t="shared" si="984"/>
        <v>Base_With Amendment</v>
      </c>
      <c r="D11465" s="138" t="str">
        <f t="shared" si="987"/>
        <v>High_Base</v>
      </c>
      <c r="E11465" s="138" t="str">
        <f t="shared" si="988"/>
        <v>High</v>
      </c>
      <c r="F11465" s="138" t="str">
        <f t="shared" si="985"/>
        <v>Upgraded</v>
      </c>
      <c r="G11465" s="153"/>
      <c r="H11465" s="210">
        <v>5.0000000000000001E-4</v>
      </c>
      <c r="I11465" s="160" t="s">
        <v>168</v>
      </c>
      <c r="J11465" s="211">
        <v>7.7567199999999995E-6</v>
      </c>
      <c r="K11465" s="160" t="s">
        <v>13</v>
      </c>
      <c r="L11465" s="154" t="str">
        <f>IF(OpenLCAbasic!K11465="CTUh", "Fill in Manually",IF(OR(K11465="Unit", K11465=""), "", INDEX(LookUps!$E$5:$E$12, MATCH(OpenLCAbasic!K11465,LookUps!$D$5:$D$12,0))))</f>
        <v>Eutrophication Potential (EP) - kg N eq</v>
      </c>
      <c r="M11465" s="154" t="str">
        <f t="shared" si="989"/>
        <v>High_High_Base_Upgraded_Eutrophication Potential (EP) - kg N eq_ClearCove SCP; wastewater treatment unit; at updated plant - US_Base_With Amendment_Aerated Static Pile</v>
      </c>
    </row>
    <row r="11466" spans="1:13" s="120" customFormat="1" x14ac:dyDescent="0.25">
      <c r="A11466" s="119"/>
      <c r="B11466" s="138" t="str">
        <f t="shared" ref="B11466:B11529" si="990">IF(F11466="Legacy","n.a.",IF(F11466="","","Aerated Static Pile"))</f>
        <v>Aerated Static Pile</v>
      </c>
      <c r="C11466" s="138" t="str">
        <f t="shared" ref="C11466:C11529" si="991">IF(ISNUMBER($J11466),"Base_With Amendment","")</f>
        <v>Base_With Amendment</v>
      </c>
      <c r="D11466" s="138" t="str">
        <f t="shared" si="987"/>
        <v>High_Base</v>
      </c>
      <c r="E11466" s="138" t="str">
        <f t="shared" si="988"/>
        <v>High</v>
      </c>
      <c r="F11466" s="138" t="str">
        <f t="shared" ref="F11466:F11529" si="992">IF(ISNUMBER(J11466),"Upgraded","")</f>
        <v>Upgraded</v>
      </c>
      <c r="G11466" s="153"/>
      <c r="H11466" s="210">
        <v>-8.5800000000000001E-2</v>
      </c>
      <c r="I11466" s="160" t="s">
        <v>149</v>
      </c>
      <c r="J11466" s="160">
        <v>-1.3799999999999999E-3</v>
      </c>
      <c r="K11466" s="160" t="s">
        <v>13</v>
      </c>
      <c r="L11466" s="154" t="str">
        <f>IF(OpenLCAbasic!K11466="CTUh", "Fill in Manually",IF(OR(K11466="Unit", K11466=""), "", INDEX(LookUps!$E$5:$E$12, MATCH(OpenLCAbasic!K11466,LookUps!$D$5:$D$12,0))))</f>
        <v>Eutrophication Potential (EP) - kg N eq</v>
      </c>
      <c r="M11466" s="154" t="str">
        <f t="shared" si="989"/>
        <v>High_High_Base_Upgraded_Eutrophication Potential (EP) - kg N eq_Anaerobic Digestion; wastewater treatment unit; at updated plant - US_Base_With Amendment_Aerated Static Pile</v>
      </c>
    </row>
    <row r="11467" spans="1:13" s="120" customFormat="1" x14ac:dyDescent="0.25">
      <c r="A11467" s="119"/>
      <c r="B11467" s="138" t="str">
        <f t="shared" si="990"/>
        <v/>
      </c>
      <c r="C11467" s="138" t="str">
        <f t="shared" si="991"/>
        <v/>
      </c>
      <c r="D11467" s="138" t="str">
        <f t="shared" si="987"/>
        <v/>
      </c>
      <c r="E11467" s="138" t="str">
        <f t="shared" si="988"/>
        <v/>
      </c>
      <c r="F11467" s="138" t="str">
        <f t="shared" si="992"/>
        <v/>
      </c>
      <c r="G11467" s="153" t="s">
        <v>51</v>
      </c>
      <c r="H11467" s="160"/>
      <c r="I11467" s="160" t="s">
        <v>47</v>
      </c>
      <c r="J11467" s="160" t="s">
        <v>52</v>
      </c>
      <c r="K11467" s="160" t="s">
        <v>27</v>
      </c>
      <c r="L11467" s="154" t="str">
        <f>IF(OpenLCAbasic!K11467="CTUh", "Fill in Manually",IF(OR(K11467="Unit", K11467=""), "", INDEX(LookUps!$E$5:$E$12, MATCH(OpenLCAbasic!K11467,LookUps!$D$5:$D$12,0))))</f>
        <v/>
      </c>
      <c r="M11467" s="154" t="str">
        <f t="shared" si="989"/>
        <v>____Process__</v>
      </c>
    </row>
    <row r="11468" spans="1:13" s="120" customFormat="1" x14ac:dyDescent="0.25">
      <c r="A11468" s="119"/>
      <c r="B11468" s="138" t="str">
        <f t="shared" si="990"/>
        <v>Aerated Static Pile</v>
      </c>
      <c r="C11468" s="138" t="str">
        <f t="shared" si="991"/>
        <v>Base_With Amendment</v>
      </c>
      <c r="D11468" s="138" t="str">
        <f t="shared" si="987"/>
        <v>High_Base</v>
      </c>
      <c r="E11468" s="138" t="str">
        <f t="shared" si="988"/>
        <v>High</v>
      </c>
      <c r="F11468" s="138" t="str">
        <f t="shared" si="992"/>
        <v>Upgraded</v>
      </c>
      <c r="G11468" s="153"/>
      <c r="H11468" s="210">
        <v>5.0650000000000004</v>
      </c>
      <c r="I11468" s="160" t="s">
        <v>167</v>
      </c>
      <c r="J11468" s="160">
        <v>0.11719</v>
      </c>
      <c r="K11468" s="160" t="s">
        <v>14</v>
      </c>
      <c r="L11468" s="154" t="str">
        <f>IF(OpenLCAbasic!K11468="CTUh", "Fill in Manually",IF(OR(K11468="Unit", K11468=""), "", INDEX(LookUps!$E$5:$E$12, MATCH(OpenLCAbasic!K11468,LookUps!$D$5:$D$12,0))))</f>
        <v>Fossil Depletion Potential (FDP) - kg oil eq</v>
      </c>
      <c r="M11468" s="154" t="str">
        <f t="shared" si="989"/>
        <v>High_High_Base_Upgraded_Fossil Depletion Potential (FDP) - kg oil eq_Waste Receiving and Holding; wastewater treatment unit; at updated plant - US_Base_With Amendment_Aerated Static Pile</v>
      </c>
    </row>
    <row r="11469" spans="1:13" s="120" customFormat="1" x14ac:dyDescent="0.25">
      <c r="A11469" s="119"/>
      <c r="B11469" s="138" t="str">
        <f t="shared" si="990"/>
        <v>Aerated Static Pile</v>
      </c>
      <c r="C11469" s="138" t="str">
        <f t="shared" si="991"/>
        <v>Base_With Amendment</v>
      </c>
      <c r="D11469" s="138" t="str">
        <f t="shared" si="987"/>
        <v>High_Base</v>
      </c>
      <c r="E11469" s="138" t="str">
        <f t="shared" si="988"/>
        <v>High</v>
      </c>
      <c r="F11469" s="138" t="str">
        <f t="shared" si="992"/>
        <v>Upgraded</v>
      </c>
      <c r="G11469" s="153"/>
      <c r="H11469" s="210">
        <v>2.7484000000000002</v>
      </c>
      <c r="I11469" s="160" t="s">
        <v>55</v>
      </c>
      <c r="J11469" s="160">
        <v>6.3589999999999994E-2</v>
      </c>
      <c r="K11469" s="160" t="s">
        <v>14</v>
      </c>
      <c r="L11469" s="154" t="str">
        <f>IF(OpenLCAbasic!K11469="CTUh", "Fill in Manually",IF(OR(K11469="Unit", K11469=""), "", INDEX(LookUps!$E$5:$E$12, MATCH(OpenLCAbasic!K11469,LookUps!$D$5:$D$12,0))))</f>
        <v>Fossil Depletion Potential (FDP) - kg oil eq</v>
      </c>
      <c r="M11469" s="154" t="str">
        <f t="shared" si="989"/>
        <v>High_High_Base_Upgraded_Fossil Depletion Potential (FDP) - kg oil eq_Aeration Tanks; wastewater treatment unit; at updated plant - US_Base_With Amendment_Aerated Static Pile</v>
      </c>
    </row>
    <row r="11470" spans="1:13" s="120" customFormat="1" x14ac:dyDescent="0.25">
      <c r="A11470" s="119"/>
      <c r="B11470" s="138" t="str">
        <f t="shared" si="990"/>
        <v>Aerated Static Pile</v>
      </c>
      <c r="C11470" s="138" t="str">
        <f t="shared" si="991"/>
        <v>Base_With Amendment</v>
      </c>
      <c r="D11470" s="138" t="str">
        <f t="shared" si="987"/>
        <v>High_Base</v>
      </c>
      <c r="E11470" s="138" t="str">
        <f t="shared" si="988"/>
        <v>High</v>
      </c>
      <c r="F11470" s="138" t="str">
        <f t="shared" si="992"/>
        <v>Upgraded</v>
      </c>
      <c r="G11470" s="153"/>
      <c r="H11470" s="210">
        <v>1.8548</v>
      </c>
      <c r="I11470" s="160" t="s">
        <v>435</v>
      </c>
      <c r="J11470" s="160">
        <v>4.292E-2</v>
      </c>
      <c r="K11470" s="160" t="s">
        <v>14</v>
      </c>
      <c r="L11470" s="154" t="str">
        <f>IF(OpenLCAbasic!K11470="CTUh", "Fill in Manually",IF(OR(K11470="Unit", K11470=""), "", INDEX(LookUps!$E$5:$E$12, MATCH(OpenLCAbasic!K11470,LookUps!$D$5:$D$12,0))))</f>
        <v>Fossil Depletion Potential (FDP) - kg oil eq</v>
      </c>
      <c r="M11470" s="154" t="str">
        <f t="shared" si="989"/>
        <v>High_High_Base_Upgraded_Fossil Depletion Potential (FDP) - kg oil eq_Biosolids composting; aerated static pile; wastewater treatment unit; at updated plant - US_Base_With Amendment_Aerated Static Pile</v>
      </c>
    </row>
    <row r="11471" spans="1:13" s="120" customFormat="1" x14ac:dyDescent="0.25">
      <c r="A11471" s="119"/>
      <c r="B11471" s="138" t="str">
        <f t="shared" si="990"/>
        <v>Aerated Static Pile</v>
      </c>
      <c r="C11471" s="138" t="str">
        <f t="shared" si="991"/>
        <v>Base_With Amendment</v>
      </c>
      <c r="D11471" s="138" t="str">
        <f t="shared" si="987"/>
        <v>High_Base</v>
      </c>
      <c r="E11471" s="138" t="str">
        <f t="shared" si="988"/>
        <v>High</v>
      </c>
      <c r="F11471" s="138" t="str">
        <f t="shared" si="992"/>
        <v>Upgraded</v>
      </c>
      <c r="G11471" s="153"/>
      <c r="H11471" s="210">
        <v>0.90980000000000005</v>
      </c>
      <c r="I11471" s="160" t="s">
        <v>54</v>
      </c>
      <c r="J11471" s="160">
        <v>2.1049999999999999E-2</v>
      </c>
      <c r="K11471" s="160" t="s">
        <v>14</v>
      </c>
      <c r="L11471" s="154" t="str">
        <f>IF(OpenLCAbasic!K11471="CTUh", "Fill in Manually",IF(OR(K11471="Unit", K11471=""), "", INDEX(LookUps!$E$5:$E$12, MATCH(OpenLCAbasic!K11471,LookUps!$D$5:$D$12,0))))</f>
        <v>Fossil Depletion Potential (FDP) - kg oil eq</v>
      </c>
      <c r="M11471" s="154" t="str">
        <f t="shared" si="989"/>
        <v>High_High_Base_Upgraded_Fossil Depletion Potential (FDP) - kg oil eq_Clear Cove Primary Clarification; wastewater treatment unit; at updated plant - US_Base_With Amendment_Aerated Static Pile</v>
      </c>
    </row>
    <row r="11472" spans="1:13" s="120" customFormat="1" x14ac:dyDescent="0.25">
      <c r="A11472" s="119"/>
      <c r="B11472" s="138" t="str">
        <f t="shared" si="990"/>
        <v>Aerated Static Pile</v>
      </c>
      <c r="C11472" s="138" t="str">
        <f t="shared" si="991"/>
        <v>Base_With Amendment</v>
      </c>
      <c r="D11472" s="138" t="str">
        <f t="shared" si="987"/>
        <v>High_Base</v>
      </c>
      <c r="E11472" s="138" t="str">
        <f t="shared" si="988"/>
        <v>High</v>
      </c>
      <c r="F11472" s="138" t="str">
        <f t="shared" si="992"/>
        <v>Upgraded</v>
      </c>
      <c r="G11472" s="153"/>
      <c r="H11472" s="210">
        <v>0.69330000000000003</v>
      </c>
      <c r="I11472" s="160" t="s">
        <v>58</v>
      </c>
      <c r="J11472" s="160">
        <v>1.6039999999999999E-2</v>
      </c>
      <c r="K11472" s="160" t="s">
        <v>14</v>
      </c>
      <c r="L11472" s="154" t="str">
        <f>IF(OpenLCAbasic!K11472="CTUh", "Fill in Manually",IF(OR(K11472="Unit", K11472=""), "", INDEX(LookUps!$E$5:$E$12, MATCH(OpenLCAbasic!K11472,LookUps!$D$5:$D$12,0))))</f>
        <v>Fossil Depletion Potential (FDP) - kg oil eq</v>
      </c>
      <c r="M11472" s="154" t="str">
        <f t="shared" si="989"/>
        <v>High_High_Base_Upgraded_Fossil Depletion Potential (FDP) - kg oil eq_Pre-Anoxic &amp; Swing tank; wastewater treatment unit; at updated plant - US_Base_With Amendment_Aerated Static Pile</v>
      </c>
    </row>
    <row r="11473" spans="1:13" s="120" customFormat="1" x14ac:dyDescent="0.25">
      <c r="A11473" s="119"/>
      <c r="B11473" s="138" t="str">
        <f t="shared" si="990"/>
        <v>Aerated Static Pile</v>
      </c>
      <c r="C11473" s="138" t="str">
        <f t="shared" si="991"/>
        <v>Base_With Amendment</v>
      </c>
      <c r="D11473" s="138" t="str">
        <f t="shared" si="987"/>
        <v>High_Base</v>
      </c>
      <c r="E11473" s="138" t="str">
        <f t="shared" si="988"/>
        <v>High</v>
      </c>
      <c r="F11473" s="138" t="str">
        <f t="shared" si="992"/>
        <v>Upgraded</v>
      </c>
      <c r="G11473" s="153"/>
      <c r="H11473" s="210">
        <v>0.65210000000000001</v>
      </c>
      <c r="I11473" s="160" t="s">
        <v>147</v>
      </c>
      <c r="J11473" s="160">
        <v>1.5089999999999999E-2</v>
      </c>
      <c r="K11473" s="160" t="s">
        <v>14</v>
      </c>
      <c r="L11473" s="154" t="str">
        <f>IF(OpenLCAbasic!K11473="CTUh", "Fill in Manually",IF(OR(K11473="Unit", K11473=""), "", INDEX(LookUps!$E$5:$E$12, MATCH(OpenLCAbasic!K11473,LookUps!$D$5:$D$12,0))))</f>
        <v>Fossil Depletion Potential (FDP) - kg oil eq</v>
      </c>
      <c r="M11473" s="154" t="str">
        <f t="shared" si="989"/>
        <v>High_High_Base_Upgraded_Fossil Depletion Potential (FDP) - kg oil eq_Influent Pump Station; wastewater treatment unit; at updated plant - US_Base_With Amendment_Aerated Static Pile</v>
      </c>
    </row>
    <row r="11474" spans="1:13" s="120" customFormat="1" x14ac:dyDescent="0.25">
      <c r="A11474" s="119"/>
      <c r="B11474" s="138" t="str">
        <f t="shared" si="990"/>
        <v>Aerated Static Pile</v>
      </c>
      <c r="C11474" s="138" t="str">
        <f t="shared" si="991"/>
        <v>Base_With Amendment</v>
      </c>
      <c r="D11474" s="138" t="str">
        <f t="shared" si="987"/>
        <v>High_Base</v>
      </c>
      <c r="E11474" s="138" t="str">
        <f t="shared" si="988"/>
        <v>High</v>
      </c>
      <c r="F11474" s="138" t="str">
        <f t="shared" si="992"/>
        <v>Upgraded</v>
      </c>
      <c r="G11474" s="153"/>
      <c r="H11474" s="210">
        <v>0.53979999999999995</v>
      </c>
      <c r="I11474" s="160" t="s">
        <v>53</v>
      </c>
      <c r="J11474" s="160">
        <v>1.2489999999999999E-2</v>
      </c>
      <c r="K11474" s="160" t="s">
        <v>14</v>
      </c>
      <c r="L11474" s="154" t="str">
        <f>IF(OpenLCAbasic!K11474="CTUh", "Fill in Manually",IF(OR(K11474="Unit", K11474=""), "", INDEX(LookUps!$E$5:$E$12, MATCH(OpenLCAbasic!K11474,LookUps!$D$5:$D$12,0))))</f>
        <v>Fossil Depletion Potential (FDP) - kg oil eq</v>
      </c>
      <c r="M11474" s="154" t="str">
        <f t="shared" si="989"/>
        <v>High_High_Base_Upgraded_Fossil Depletion Potential (FDP) - kg oil eq_Wet Well and Sump Station; wastewater treatment unit; at updated plant - US_Base_With Amendment_Aerated Static Pile</v>
      </c>
    </row>
    <row r="11475" spans="1:13" s="120" customFormat="1" x14ac:dyDescent="0.25">
      <c r="A11475" s="119"/>
      <c r="B11475" s="138" t="str">
        <f t="shared" si="990"/>
        <v>Aerated Static Pile</v>
      </c>
      <c r="C11475" s="138" t="str">
        <f t="shared" si="991"/>
        <v>Base_With Amendment</v>
      </c>
      <c r="D11475" s="138" t="str">
        <f t="shared" si="987"/>
        <v>High_Base</v>
      </c>
      <c r="E11475" s="138" t="str">
        <f t="shared" si="988"/>
        <v>High</v>
      </c>
      <c r="F11475" s="138" t="str">
        <f t="shared" si="992"/>
        <v>Upgraded</v>
      </c>
      <c r="G11475" s="153"/>
      <c r="H11475" s="210">
        <v>0.4743</v>
      </c>
      <c r="I11475" s="160" t="s">
        <v>60</v>
      </c>
      <c r="J11475" s="160">
        <v>1.0970000000000001E-2</v>
      </c>
      <c r="K11475" s="160" t="s">
        <v>14</v>
      </c>
      <c r="L11475" s="154" t="str">
        <f>IF(OpenLCAbasic!K11475="CTUh", "Fill in Manually",IF(OR(K11475="Unit", K11475=""), "", INDEX(LookUps!$E$5:$E$12, MATCH(OpenLCAbasic!K11475,LookUps!$D$5:$D$12,0))))</f>
        <v>Fossil Depletion Potential (FDP) - kg oil eq</v>
      </c>
      <c r="M11475" s="154" t="str">
        <f t="shared" si="989"/>
        <v>High_High_Base_Upgraded_Fossil Depletion Potential (FDP) - kg oil eq_Belt filter press; wastewater treatment unit; at updated plant - US_Base_With Amendment_Aerated Static Pile</v>
      </c>
    </row>
    <row r="11476" spans="1:13" s="120" customFormat="1" x14ac:dyDescent="0.25">
      <c r="A11476" s="119"/>
      <c r="B11476" s="138" t="str">
        <f t="shared" si="990"/>
        <v>Aerated Static Pile</v>
      </c>
      <c r="C11476" s="138" t="str">
        <f t="shared" si="991"/>
        <v>Base_With Amendment</v>
      </c>
      <c r="D11476" s="138" t="str">
        <f t="shared" si="987"/>
        <v>High_Base</v>
      </c>
      <c r="E11476" s="138" t="str">
        <f t="shared" si="988"/>
        <v>High</v>
      </c>
      <c r="F11476" s="138" t="str">
        <f t="shared" si="992"/>
        <v>Upgraded</v>
      </c>
      <c r="G11476" s="153"/>
      <c r="H11476" s="210">
        <v>0.2989</v>
      </c>
      <c r="I11476" s="160" t="s">
        <v>57</v>
      </c>
      <c r="J11476" s="160">
        <v>6.9199999999999999E-3</v>
      </c>
      <c r="K11476" s="160" t="s">
        <v>14</v>
      </c>
      <c r="L11476" s="154" t="str">
        <f>IF(OpenLCAbasic!K11476="CTUh", "Fill in Manually",IF(OR(K11476="Unit", K11476=""), "", INDEX(LookUps!$E$5:$E$12, MATCH(OpenLCAbasic!K11476,LookUps!$D$5:$D$12,0))))</f>
        <v>Fossil Depletion Potential (FDP) - kg oil eq</v>
      </c>
      <c r="M11476" s="154" t="str">
        <f t="shared" si="989"/>
        <v>High_High_Base_Upgraded_Fossil Depletion Potential (FDP) - kg oil eq_Gravity Belt Thickener; wastewater treatment unit; at updated plant - US_Base_With Amendment_Aerated Static Pile</v>
      </c>
    </row>
    <row r="11477" spans="1:13" s="120" customFormat="1" x14ac:dyDescent="0.25">
      <c r="A11477" s="119"/>
      <c r="B11477" s="138" t="str">
        <f t="shared" si="990"/>
        <v>Aerated Static Pile</v>
      </c>
      <c r="C11477" s="138" t="str">
        <f t="shared" si="991"/>
        <v>Base_With Amendment</v>
      </c>
      <c r="D11477" s="138" t="str">
        <f t="shared" si="987"/>
        <v>High_Base</v>
      </c>
      <c r="E11477" s="138" t="str">
        <f t="shared" si="988"/>
        <v>High</v>
      </c>
      <c r="F11477" s="138" t="str">
        <f t="shared" si="992"/>
        <v>Upgraded</v>
      </c>
      <c r="G11477" s="153"/>
      <c r="H11477" s="210">
        <v>0.19439999999999999</v>
      </c>
      <c r="I11477" s="160" t="s">
        <v>128</v>
      </c>
      <c r="J11477" s="160">
        <v>4.4999999999999997E-3</v>
      </c>
      <c r="K11477" s="160" t="s">
        <v>14</v>
      </c>
      <c r="L11477" s="154" t="str">
        <f>IF(OpenLCAbasic!K11477="CTUh", "Fill in Manually",IF(OR(K11477="Unit", K11477=""), "", INDEX(LookUps!$E$5:$E$12, MATCH(OpenLCAbasic!K11477,LookUps!$D$5:$D$12,0))))</f>
        <v>Fossil Depletion Potential (FDP) - kg oil eq</v>
      </c>
      <c r="M11477" s="154" t="str">
        <f t="shared" si="989"/>
        <v>High_High_Base_Upgraded_Fossil Depletion Potential (FDP) - kg oil eq_Wastewater collection; operation and infrastructure; m3 wastewater_Base_With Amendment_Aerated Static Pile</v>
      </c>
    </row>
    <row r="11478" spans="1:13" s="120" customFormat="1" x14ac:dyDescent="0.25">
      <c r="A11478" s="119"/>
      <c r="B11478" s="138" t="str">
        <f t="shared" si="990"/>
        <v>Aerated Static Pile</v>
      </c>
      <c r="C11478" s="138" t="str">
        <f t="shared" si="991"/>
        <v>Base_With Amendment</v>
      </c>
      <c r="D11478" s="138" t="str">
        <f t="shared" si="987"/>
        <v>High_Base</v>
      </c>
      <c r="E11478" s="138" t="str">
        <f t="shared" si="988"/>
        <v>High</v>
      </c>
      <c r="F11478" s="138" t="str">
        <f t="shared" si="992"/>
        <v>Upgraded</v>
      </c>
      <c r="G11478" s="153"/>
      <c r="H11478" s="210">
        <v>0.12089999999999999</v>
      </c>
      <c r="I11478" s="160" t="s">
        <v>148</v>
      </c>
      <c r="J11478" s="160">
        <v>2.8E-3</v>
      </c>
      <c r="K11478" s="160" t="s">
        <v>14</v>
      </c>
      <c r="L11478" s="154" t="str">
        <f>IF(OpenLCAbasic!K11478="CTUh", "Fill in Manually",IF(OR(K11478="Unit", K11478=""), "", INDEX(LookUps!$E$5:$E$12, MATCH(OpenLCAbasic!K11478,LookUps!$D$5:$D$12,0))))</f>
        <v>Fossil Depletion Potential (FDP) - kg oil eq</v>
      </c>
      <c r="M11478" s="154" t="str">
        <f t="shared" si="989"/>
        <v>High_High_Base_Upgraded_Fossil Depletion Potential (FDP) - kg oil eq_Control Building; at upgraded wastewater treatment plant - US_Base_With Amendment_Aerated Static Pile</v>
      </c>
    </row>
    <row r="11479" spans="1:13" s="120" customFormat="1" x14ac:dyDescent="0.25">
      <c r="A11479" s="119"/>
      <c r="B11479" s="138" t="str">
        <f t="shared" si="990"/>
        <v>Aerated Static Pile</v>
      </c>
      <c r="C11479" s="138" t="str">
        <f t="shared" si="991"/>
        <v>Base_With Amendment</v>
      </c>
      <c r="D11479" s="138" t="str">
        <f t="shared" si="987"/>
        <v>High_Base</v>
      </c>
      <c r="E11479" s="138" t="str">
        <f t="shared" si="988"/>
        <v>High</v>
      </c>
      <c r="F11479" s="138" t="str">
        <f t="shared" si="992"/>
        <v>Upgraded</v>
      </c>
      <c r="G11479" s="153"/>
      <c r="H11479" s="210">
        <v>0.1022</v>
      </c>
      <c r="I11479" s="160" t="s">
        <v>48</v>
      </c>
      <c r="J11479" s="160">
        <v>2.3600000000000001E-3</v>
      </c>
      <c r="K11479" s="160" t="s">
        <v>14</v>
      </c>
      <c r="L11479" s="154" t="str">
        <f>IF(OpenLCAbasic!K11479="CTUh", "Fill in Manually",IF(OR(K11479="Unit", K11479=""), "", INDEX(LookUps!$E$5:$E$12, MATCH(OpenLCAbasic!K11479,LookUps!$D$5:$D$12,0))))</f>
        <v>Fossil Depletion Potential (FDP) - kg oil eq</v>
      </c>
      <c r="M11479" s="154" t="str">
        <f t="shared" si="989"/>
        <v>High_High_Base_Upgraded_Fossil Depletion Potential (FDP) - kg oil eq_Effluent release; wastewater treatment unit; at surface water; m3 wastewater - US_Base_With Amendment_Aerated Static Pile</v>
      </c>
    </row>
    <row r="11480" spans="1:13" s="120" customFormat="1" x14ac:dyDescent="0.25">
      <c r="A11480" s="119"/>
      <c r="B11480" s="138" t="str">
        <f t="shared" si="990"/>
        <v>Aerated Static Pile</v>
      </c>
      <c r="C11480" s="138" t="str">
        <f t="shared" si="991"/>
        <v>Base_With Amendment</v>
      </c>
      <c r="D11480" s="138" t="str">
        <f t="shared" si="987"/>
        <v>High_Base</v>
      </c>
      <c r="E11480" s="138" t="str">
        <f t="shared" si="988"/>
        <v>High</v>
      </c>
      <c r="F11480" s="138" t="str">
        <f t="shared" si="992"/>
        <v>Upgraded</v>
      </c>
      <c r="G11480" s="153"/>
      <c r="H11480" s="210">
        <v>8.3000000000000004E-2</v>
      </c>
      <c r="I11480" s="160" t="s">
        <v>59</v>
      </c>
      <c r="J11480" s="160">
        <v>1.92E-3</v>
      </c>
      <c r="K11480" s="160" t="s">
        <v>14</v>
      </c>
      <c r="L11480" s="154" t="str">
        <f>IF(OpenLCAbasic!K11480="CTUh", "Fill in Manually",IF(OR(K11480="Unit", K11480=""), "", INDEX(LookUps!$E$5:$E$12, MATCH(OpenLCAbasic!K11480,LookUps!$D$5:$D$12,0))))</f>
        <v>Fossil Depletion Potential (FDP) - kg oil eq</v>
      </c>
      <c r="M11480" s="154" t="str">
        <f t="shared" si="989"/>
        <v>High_High_Base_Upgraded_Fossil Depletion Potential (FDP) - kg oil eq_Blend Tank; wastewater treatment unit; at updated plant - US_Base_With Amendment_Aerated Static Pile</v>
      </c>
    </row>
    <row r="11481" spans="1:13" s="120" customFormat="1" x14ac:dyDescent="0.25">
      <c r="A11481" s="119"/>
      <c r="B11481" s="138" t="str">
        <f t="shared" si="990"/>
        <v>Aerated Static Pile</v>
      </c>
      <c r="C11481" s="138" t="str">
        <f t="shared" si="991"/>
        <v>Base_With Amendment</v>
      </c>
      <c r="D11481" s="138" t="str">
        <f t="shared" ref="D11481:D11544" si="993">IF(ISNUMBER($J11481),"High_Base","")</f>
        <v>High_Base</v>
      </c>
      <c r="E11481" s="138" t="str">
        <f t="shared" si="988"/>
        <v>High</v>
      </c>
      <c r="F11481" s="138" t="str">
        <f t="shared" si="992"/>
        <v>Upgraded</v>
      </c>
      <c r="G11481" s="153"/>
      <c r="H11481" s="210">
        <v>3.95E-2</v>
      </c>
      <c r="I11481" s="160" t="s">
        <v>168</v>
      </c>
      <c r="J11481" s="160">
        <v>9.1E-4</v>
      </c>
      <c r="K11481" s="160" t="s">
        <v>14</v>
      </c>
      <c r="L11481" s="154" t="str">
        <f>IF(OpenLCAbasic!K11481="CTUh", "Fill in Manually",IF(OR(K11481="Unit", K11481=""), "", INDEX(LookUps!$E$5:$E$12, MATCH(OpenLCAbasic!K11481,LookUps!$D$5:$D$12,0))))</f>
        <v>Fossil Depletion Potential (FDP) - kg oil eq</v>
      </c>
      <c r="M11481" s="154" t="str">
        <f t="shared" si="989"/>
        <v>High_High_Base_Upgraded_Fossil Depletion Potential (FDP) - kg oil eq_ClearCove SCP; wastewater treatment unit; at updated plant - US_Base_With Amendment_Aerated Static Pile</v>
      </c>
    </row>
    <row r="11482" spans="1:13" s="120" customFormat="1" x14ac:dyDescent="0.25">
      <c r="A11482" s="119"/>
      <c r="B11482" s="138" t="str">
        <f t="shared" si="990"/>
        <v>Aerated Static Pile</v>
      </c>
      <c r="C11482" s="138" t="str">
        <f t="shared" si="991"/>
        <v>Base_With Amendment</v>
      </c>
      <c r="D11482" s="138" t="str">
        <f t="shared" si="993"/>
        <v>High_Base</v>
      </c>
      <c r="E11482" s="138" t="str">
        <f t="shared" si="988"/>
        <v>High</v>
      </c>
      <c r="F11482" s="138" t="str">
        <f t="shared" si="992"/>
        <v>Upgraded</v>
      </c>
      <c r="G11482" s="153"/>
      <c r="H11482" s="210">
        <v>-0.45650000000000002</v>
      </c>
      <c r="I11482" s="160" t="s">
        <v>62</v>
      </c>
      <c r="J11482" s="160">
        <v>-1.056E-2</v>
      </c>
      <c r="K11482" s="160" t="s">
        <v>14</v>
      </c>
      <c r="L11482" s="154" t="str">
        <f>IF(OpenLCAbasic!K11482="CTUh", "Fill in Manually",IF(OR(K11482="Unit", K11482=""), "", INDEX(LookUps!$E$5:$E$12, MATCH(OpenLCAbasic!K11482,LookUps!$D$5:$D$12,0))))</f>
        <v>Fossil Depletion Potential (FDP) - kg oil eq</v>
      </c>
      <c r="M11482" s="154" t="str">
        <f t="shared" si="989"/>
        <v>High_High_Base_Upgraded_Fossil Depletion Potential (FDP) - kg oil eq_Land application of compost; wastewater treatment unit; at updated plant - US_Base_With Amendment_Aerated Static Pile</v>
      </c>
    </row>
    <row r="11483" spans="1:13" s="120" customFormat="1" x14ac:dyDescent="0.25">
      <c r="A11483" s="119"/>
      <c r="B11483" s="138" t="str">
        <f t="shared" si="990"/>
        <v>Aerated Static Pile</v>
      </c>
      <c r="C11483" s="138" t="str">
        <f t="shared" si="991"/>
        <v>Base_With Amendment</v>
      </c>
      <c r="D11483" s="138" t="str">
        <f t="shared" si="993"/>
        <v>High_Base</v>
      </c>
      <c r="E11483" s="138" t="str">
        <f t="shared" si="988"/>
        <v>High</v>
      </c>
      <c r="F11483" s="138" t="str">
        <f t="shared" si="992"/>
        <v>Upgraded</v>
      </c>
      <c r="G11483" s="153"/>
      <c r="H11483" s="210">
        <v>-12.319800000000001</v>
      </c>
      <c r="I11483" s="160" t="s">
        <v>149</v>
      </c>
      <c r="J11483" s="160">
        <v>-0.28505000000000003</v>
      </c>
      <c r="K11483" s="160" t="s">
        <v>14</v>
      </c>
      <c r="L11483" s="154" t="str">
        <f>IF(OpenLCAbasic!K11483="CTUh", "Fill in Manually",IF(OR(K11483="Unit", K11483=""), "", INDEX(LookUps!$E$5:$E$12, MATCH(OpenLCAbasic!K11483,LookUps!$D$5:$D$12,0))))</f>
        <v>Fossil Depletion Potential (FDP) - kg oil eq</v>
      </c>
      <c r="M11483" s="154" t="str">
        <f t="shared" si="989"/>
        <v>High_High_Base_Upgraded_Fossil Depletion Potential (FDP) - kg oil eq_Anaerobic Digestion; wastewater treatment unit; at updated plant - US_Base_With Amendment_Aerated Static Pile</v>
      </c>
    </row>
    <row r="11484" spans="1:13" s="120" customFormat="1" x14ac:dyDescent="0.25">
      <c r="A11484" s="119"/>
      <c r="B11484" s="138" t="str">
        <f t="shared" si="990"/>
        <v/>
      </c>
      <c r="C11484" s="138" t="str">
        <f t="shared" si="991"/>
        <v/>
      </c>
      <c r="D11484" s="138" t="str">
        <f t="shared" si="993"/>
        <v/>
      </c>
      <c r="E11484" s="138" t="str">
        <f t="shared" si="988"/>
        <v/>
      </c>
      <c r="F11484" s="138" t="str">
        <f t="shared" si="992"/>
        <v/>
      </c>
      <c r="G11484" s="153" t="s">
        <v>51</v>
      </c>
      <c r="H11484" s="160"/>
      <c r="I11484" s="160" t="s">
        <v>47</v>
      </c>
      <c r="J11484" s="160" t="s">
        <v>52</v>
      </c>
      <c r="K11484" s="160" t="s">
        <v>27</v>
      </c>
      <c r="L11484" s="154" t="str">
        <f>IF(OpenLCAbasic!K11484="CTUh", "Fill in Manually",IF(OR(K11484="Unit", K11484=""), "", INDEX(LookUps!$E$5:$E$12, MATCH(OpenLCAbasic!K11484,LookUps!$D$5:$D$12,0))))</f>
        <v/>
      </c>
      <c r="M11484" s="154" t="str">
        <f t="shared" si="989"/>
        <v>____Process__</v>
      </c>
    </row>
    <row r="11485" spans="1:13" s="120" customFormat="1" x14ac:dyDescent="0.25">
      <c r="A11485" s="119"/>
      <c r="B11485" s="138" t="str">
        <f t="shared" si="990"/>
        <v>Aerated Static Pile</v>
      </c>
      <c r="C11485" s="138" t="str">
        <f t="shared" si="991"/>
        <v>Base_With Amendment</v>
      </c>
      <c r="D11485" s="138" t="str">
        <f t="shared" si="993"/>
        <v>High_Base</v>
      </c>
      <c r="E11485" s="138" t="str">
        <f t="shared" si="988"/>
        <v>High</v>
      </c>
      <c r="F11485" s="138" t="str">
        <f t="shared" si="992"/>
        <v>Upgraded</v>
      </c>
      <c r="G11485" s="153"/>
      <c r="H11485" s="210">
        <v>1.6303000000000001</v>
      </c>
      <c r="I11485" s="160" t="s">
        <v>435</v>
      </c>
      <c r="J11485" s="160">
        <v>1.6658299999999999</v>
      </c>
      <c r="K11485" s="160" t="s">
        <v>23</v>
      </c>
      <c r="L11485" s="154" t="str">
        <f>IF(OpenLCAbasic!K11485="CTUh", "Fill in Manually",IF(OR(K11485="Unit", K11485=""), "", INDEX(LookUps!$E$5:$E$12, MATCH(OpenLCAbasic!K11485,LookUps!$D$5:$D$12,0))))</f>
        <v>Global Warming Potential (GWP) - kg CO2 eq</v>
      </c>
      <c r="M11485" s="154" t="str">
        <f t="shared" si="989"/>
        <v>High_High_Base_Upgraded_Global Warming Potential (GWP) - kg CO2 eq_Biosolids composting; aerated static pile; wastewater treatment unit; at updated plant - US_Base_With Amendment_Aerated Static Pile</v>
      </c>
    </row>
    <row r="11486" spans="1:13" s="120" customFormat="1" x14ac:dyDescent="0.25">
      <c r="A11486" s="119"/>
      <c r="B11486" s="138" t="str">
        <f t="shared" si="990"/>
        <v>Aerated Static Pile</v>
      </c>
      <c r="C11486" s="138" t="str">
        <f t="shared" si="991"/>
        <v>Base_With Amendment</v>
      </c>
      <c r="D11486" s="138" t="str">
        <f t="shared" si="993"/>
        <v>High_Base</v>
      </c>
      <c r="E11486" s="138" t="str">
        <f t="shared" si="988"/>
        <v>High</v>
      </c>
      <c r="F11486" s="138" t="str">
        <f t="shared" si="992"/>
        <v>Upgraded</v>
      </c>
      <c r="G11486" s="153"/>
      <c r="H11486" s="210">
        <v>0.24460000000000001</v>
      </c>
      <c r="I11486" s="160" t="s">
        <v>58</v>
      </c>
      <c r="J11486" s="160">
        <v>0.24992</v>
      </c>
      <c r="K11486" s="160" t="s">
        <v>23</v>
      </c>
      <c r="L11486" s="154" t="str">
        <f>IF(OpenLCAbasic!K11486="CTUh", "Fill in Manually",IF(OR(K11486="Unit", K11486=""), "", INDEX(LookUps!$E$5:$E$12, MATCH(OpenLCAbasic!K11486,LookUps!$D$5:$D$12,0))))</f>
        <v>Global Warming Potential (GWP) - kg CO2 eq</v>
      </c>
      <c r="M11486" s="154" t="str">
        <f t="shared" si="989"/>
        <v>High_High_Base_Upgraded_Global Warming Potential (GWP) - kg CO2 eq_Pre-Anoxic &amp; Swing tank; wastewater treatment unit; at updated plant - US_Base_With Amendment_Aerated Static Pile</v>
      </c>
    </row>
    <row r="11487" spans="1:13" s="120" customFormat="1" x14ac:dyDescent="0.25">
      <c r="A11487" s="119"/>
      <c r="B11487" s="138" t="str">
        <f t="shared" si="990"/>
        <v>Aerated Static Pile</v>
      </c>
      <c r="C11487" s="138" t="str">
        <f t="shared" si="991"/>
        <v>Base_With Amendment</v>
      </c>
      <c r="D11487" s="138" t="str">
        <f t="shared" si="993"/>
        <v>High_Base</v>
      </c>
      <c r="E11487" s="138" t="str">
        <f t="shared" si="988"/>
        <v>High</v>
      </c>
      <c r="F11487" s="138" t="str">
        <f t="shared" si="992"/>
        <v>Upgraded</v>
      </c>
      <c r="G11487" s="153"/>
      <c r="H11487" s="210">
        <v>0.1646</v>
      </c>
      <c r="I11487" s="160" t="s">
        <v>55</v>
      </c>
      <c r="J11487" s="160">
        <v>0.16822000000000001</v>
      </c>
      <c r="K11487" s="160" t="s">
        <v>23</v>
      </c>
      <c r="L11487" s="154" t="str">
        <f>IF(OpenLCAbasic!K11487="CTUh", "Fill in Manually",IF(OR(K11487="Unit", K11487=""), "", INDEX(LookUps!$E$5:$E$12, MATCH(OpenLCAbasic!K11487,LookUps!$D$5:$D$12,0))))</f>
        <v>Global Warming Potential (GWP) - kg CO2 eq</v>
      </c>
      <c r="M11487" s="154" t="str">
        <f t="shared" si="989"/>
        <v>High_High_Base_Upgraded_Global Warming Potential (GWP) - kg CO2 eq_Aeration Tanks; wastewater treatment unit; at updated plant - US_Base_With Amendment_Aerated Static Pile</v>
      </c>
    </row>
    <row r="11488" spans="1:13" s="120" customFormat="1" x14ac:dyDescent="0.25">
      <c r="A11488" s="119"/>
      <c r="B11488" s="138" t="str">
        <f t="shared" si="990"/>
        <v>Aerated Static Pile</v>
      </c>
      <c r="C11488" s="138" t="str">
        <f t="shared" si="991"/>
        <v>Base_With Amendment</v>
      </c>
      <c r="D11488" s="138" t="str">
        <f t="shared" si="993"/>
        <v>High_Base</v>
      </c>
      <c r="E11488" s="138" t="str">
        <f t="shared" si="988"/>
        <v>High</v>
      </c>
      <c r="F11488" s="138" t="str">
        <f t="shared" si="992"/>
        <v>Upgraded</v>
      </c>
      <c r="G11488" s="153"/>
      <c r="H11488" s="210">
        <v>0.14369999999999999</v>
      </c>
      <c r="I11488" s="160" t="s">
        <v>167</v>
      </c>
      <c r="J11488" s="160">
        <v>0.14685000000000001</v>
      </c>
      <c r="K11488" s="160" t="s">
        <v>23</v>
      </c>
      <c r="L11488" s="154" t="str">
        <f>IF(OpenLCAbasic!K11488="CTUh", "Fill in Manually",IF(OR(K11488="Unit", K11488=""), "", INDEX(LookUps!$E$5:$E$12, MATCH(OpenLCAbasic!K11488,LookUps!$D$5:$D$12,0))))</f>
        <v>Global Warming Potential (GWP) - kg CO2 eq</v>
      </c>
      <c r="M11488" s="154" t="str">
        <f t="shared" si="989"/>
        <v>High_High_Base_Upgraded_Global Warming Potential (GWP) - kg CO2 eq_Waste Receiving and Holding; wastewater treatment unit; at updated plant - US_Base_With Amendment_Aerated Static Pile</v>
      </c>
    </row>
    <row r="11489" spans="1:13" s="120" customFormat="1" x14ac:dyDescent="0.25">
      <c r="A11489" s="119"/>
      <c r="B11489" s="138" t="str">
        <f t="shared" si="990"/>
        <v>Aerated Static Pile</v>
      </c>
      <c r="C11489" s="138" t="str">
        <f t="shared" si="991"/>
        <v>Base_With Amendment</v>
      </c>
      <c r="D11489" s="138" t="str">
        <f t="shared" si="993"/>
        <v>High_Base</v>
      </c>
      <c r="E11489" s="138" t="str">
        <f t="shared" si="988"/>
        <v>High</v>
      </c>
      <c r="F11489" s="138" t="str">
        <f t="shared" si="992"/>
        <v>Upgraded</v>
      </c>
      <c r="G11489" s="153"/>
      <c r="H11489" s="210">
        <v>5.5899999999999998E-2</v>
      </c>
      <c r="I11489" s="160" t="s">
        <v>54</v>
      </c>
      <c r="J11489" s="160">
        <v>5.7079999999999999E-2</v>
      </c>
      <c r="K11489" s="160" t="s">
        <v>23</v>
      </c>
      <c r="L11489" s="154" t="str">
        <f>IF(OpenLCAbasic!K11489="CTUh", "Fill in Manually",IF(OR(K11489="Unit", K11489=""), "", INDEX(LookUps!$E$5:$E$12, MATCH(OpenLCAbasic!K11489,LookUps!$D$5:$D$12,0))))</f>
        <v>Global Warming Potential (GWP) - kg CO2 eq</v>
      </c>
      <c r="M11489" s="154" t="str">
        <f t="shared" si="989"/>
        <v>High_High_Base_Upgraded_Global Warming Potential (GWP) - kg CO2 eq_Clear Cove Primary Clarification; wastewater treatment unit; at updated plant - US_Base_With Amendment_Aerated Static Pile</v>
      </c>
    </row>
    <row r="11490" spans="1:13" s="120" customFormat="1" x14ac:dyDescent="0.25">
      <c r="A11490" s="119"/>
      <c r="B11490" s="138" t="str">
        <f t="shared" si="990"/>
        <v>Aerated Static Pile</v>
      </c>
      <c r="C11490" s="138" t="str">
        <f t="shared" si="991"/>
        <v>Base_With Amendment</v>
      </c>
      <c r="D11490" s="138" t="str">
        <f t="shared" si="993"/>
        <v>High_Base</v>
      </c>
      <c r="E11490" s="138" t="str">
        <f t="shared" si="988"/>
        <v>High</v>
      </c>
      <c r="F11490" s="138" t="str">
        <f t="shared" si="992"/>
        <v>Upgraded</v>
      </c>
      <c r="G11490" s="153"/>
      <c r="H11490" s="210">
        <v>5.1499999999999997E-2</v>
      </c>
      <c r="I11490" s="160" t="s">
        <v>48</v>
      </c>
      <c r="J11490" s="160">
        <v>5.2639999999999999E-2</v>
      </c>
      <c r="K11490" s="160" t="s">
        <v>23</v>
      </c>
      <c r="L11490" s="154" t="str">
        <f>IF(OpenLCAbasic!K11490="CTUh", "Fill in Manually",IF(OR(K11490="Unit", K11490=""), "", INDEX(LookUps!$E$5:$E$12, MATCH(OpenLCAbasic!K11490,LookUps!$D$5:$D$12,0))))</f>
        <v>Global Warming Potential (GWP) - kg CO2 eq</v>
      </c>
      <c r="M11490" s="154" t="str">
        <f t="shared" si="989"/>
        <v>High_High_Base_Upgraded_Global Warming Potential (GWP) - kg CO2 eq_Effluent release; wastewater treatment unit; at surface water; m3 wastewater - US_Base_With Amendment_Aerated Static Pile</v>
      </c>
    </row>
    <row r="11491" spans="1:13" s="120" customFormat="1" x14ac:dyDescent="0.25">
      <c r="A11491" s="119"/>
      <c r="B11491" s="138" t="str">
        <f t="shared" si="990"/>
        <v>Aerated Static Pile</v>
      </c>
      <c r="C11491" s="138" t="str">
        <f t="shared" si="991"/>
        <v>Base_With Amendment</v>
      </c>
      <c r="D11491" s="138" t="str">
        <f t="shared" si="993"/>
        <v>High_Base</v>
      </c>
      <c r="E11491" s="138" t="str">
        <f t="shared" si="988"/>
        <v>High</v>
      </c>
      <c r="F11491" s="138" t="str">
        <f t="shared" si="992"/>
        <v>Upgraded</v>
      </c>
      <c r="G11491" s="153"/>
      <c r="H11491" s="210">
        <v>4.9399999999999999E-2</v>
      </c>
      <c r="I11491" s="160" t="s">
        <v>147</v>
      </c>
      <c r="J11491" s="160">
        <v>5.0500000000000003E-2</v>
      </c>
      <c r="K11491" s="160" t="s">
        <v>23</v>
      </c>
      <c r="L11491" s="154" t="str">
        <f>IF(OpenLCAbasic!K11491="CTUh", "Fill in Manually",IF(OR(K11491="Unit", K11491=""), "", INDEX(LookUps!$E$5:$E$12, MATCH(OpenLCAbasic!K11491,LookUps!$D$5:$D$12,0))))</f>
        <v>Global Warming Potential (GWP) - kg CO2 eq</v>
      </c>
      <c r="M11491" s="154" t="str">
        <f t="shared" si="989"/>
        <v>High_High_Base_Upgraded_Global Warming Potential (GWP) - kg CO2 eq_Influent Pump Station; wastewater treatment unit; at updated plant - US_Base_With Amendment_Aerated Static Pile</v>
      </c>
    </row>
    <row r="11492" spans="1:13" s="120" customFormat="1" x14ac:dyDescent="0.25">
      <c r="A11492" s="119"/>
      <c r="B11492" s="138" t="str">
        <f t="shared" si="990"/>
        <v>Aerated Static Pile</v>
      </c>
      <c r="C11492" s="138" t="str">
        <f t="shared" si="991"/>
        <v>Base_With Amendment</v>
      </c>
      <c r="D11492" s="138" t="str">
        <f t="shared" si="993"/>
        <v>High_Base</v>
      </c>
      <c r="E11492" s="138" t="str">
        <f t="shared" si="988"/>
        <v>High</v>
      </c>
      <c r="F11492" s="138" t="str">
        <f t="shared" si="992"/>
        <v>Upgraded</v>
      </c>
      <c r="G11492" s="153"/>
      <c r="H11492" s="210">
        <v>3.2500000000000001E-2</v>
      </c>
      <c r="I11492" s="160" t="s">
        <v>53</v>
      </c>
      <c r="J11492" s="160">
        <v>3.3259999999999998E-2</v>
      </c>
      <c r="K11492" s="160" t="s">
        <v>23</v>
      </c>
      <c r="L11492" s="154" t="str">
        <f>IF(OpenLCAbasic!K11492="CTUh", "Fill in Manually",IF(OR(K11492="Unit", K11492=""), "", INDEX(LookUps!$E$5:$E$12, MATCH(OpenLCAbasic!K11492,LookUps!$D$5:$D$12,0))))</f>
        <v>Global Warming Potential (GWP) - kg CO2 eq</v>
      </c>
      <c r="M11492" s="154" t="str">
        <f t="shared" si="989"/>
        <v>High_High_Base_Upgraded_Global Warming Potential (GWP) - kg CO2 eq_Wet Well and Sump Station; wastewater treatment unit; at updated plant - US_Base_With Amendment_Aerated Static Pile</v>
      </c>
    </row>
    <row r="11493" spans="1:13" s="120" customFormat="1" x14ac:dyDescent="0.25">
      <c r="A11493" s="119"/>
      <c r="B11493" s="138" t="str">
        <f t="shared" si="990"/>
        <v>Aerated Static Pile</v>
      </c>
      <c r="C11493" s="138" t="str">
        <f t="shared" si="991"/>
        <v>Base_With Amendment</v>
      </c>
      <c r="D11493" s="138" t="str">
        <f t="shared" si="993"/>
        <v>High_Base</v>
      </c>
      <c r="E11493" s="138" t="str">
        <f t="shared" si="988"/>
        <v>High</v>
      </c>
      <c r="F11493" s="138" t="str">
        <f t="shared" si="992"/>
        <v>Upgraded</v>
      </c>
      <c r="G11493" s="153"/>
      <c r="H11493" s="210">
        <v>2.3599999999999999E-2</v>
      </c>
      <c r="I11493" s="160" t="s">
        <v>60</v>
      </c>
      <c r="J11493" s="160">
        <v>2.4119999999999999E-2</v>
      </c>
      <c r="K11493" s="160" t="s">
        <v>23</v>
      </c>
      <c r="L11493" s="154" t="str">
        <f>IF(OpenLCAbasic!K11493="CTUh", "Fill in Manually",IF(OR(K11493="Unit", K11493=""), "", INDEX(LookUps!$E$5:$E$12, MATCH(OpenLCAbasic!K11493,LookUps!$D$5:$D$12,0))))</f>
        <v>Global Warming Potential (GWP) - kg CO2 eq</v>
      </c>
      <c r="M11493" s="154" t="str">
        <f t="shared" si="989"/>
        <v>High_High_Base_Upgraded_Global Warming Potential (GWP) - kg CO2 eq_Belt filter press; wastewater treatment unit; at updated plant - US_Base_With Amendment_Aerated Static Pile</v>
      </c>
    </row>
    <row r="11494" spans="1:13" s="120" customFormat="1" x14ac:dyDescent="0.25">
      <c r="A11494" s="119"/>
      <c r="B11494" s="138" t="str">
        <f t="shared" si="990"/>
        <v>Aerated Static Pile</v>
      </c>
      <c r="C11494" s="138" t="str">
        <f t="shared" si="991"/>
        <v>Base_With Amendment</v>
      </c>
      <c r="D11494" s="138" t="str">
        <f t="shared" si="993"/>
        <v>High_Base</v>
      </c>
      <c r="E11494" s="138" t="str">
        <f t="shared" si="988"/>
        <v>High</v>
      </c>
      <c r="F11494" s="138" t="str">
        <f t="shared" si="992"/>
        <v>Upgraded</v>
      </c>
      <c r="G11494" s="153"/>
      <c r="H11494" s="210">
        <v>1.4200000000000001E-2</v>
      </c>
      <c r="I11494" s="160" t="s">
        <v>57</v>
      </c>
      <c r="J11494" s="160">
        <v>1.455E-2</v>
      </c>
      <c r="K11494" s="160" t="s">
        <v>23</v>
      </c>
      <c r="L11494" s="154" t="str">
        <f>IF(OpenLCAbasic!K11494="CTUh", "Fill in Manually",IF(OR(K11494="Unit", K11494=""), "", INDEX(LookUps!$E$5:$E$12, MATCH(OpenLCAbasic!K11494,LookUps!$D$5:$D$12,0))))</f>
        <v>Global Warming Potential (GWP) - kg CO2 eq</v>
      </c>
      <c r="M11494" s="154" t="str">
        <f t="shared" si="989"/>
        <v>High_High_Base_Upgraded_Global Warming Potential (GWP) - kg CO2 eq_Gravity Belt Thickener; wastewater treatment unit; at updated plant - US_Base_With Amendment_Aerated Static Pile</v>
      </c>
    </row>
    <row r="11495" spans="1:13" s="120" customFormat="1" x14ac:dyDescent="0.25">
      <c r="A11495" s="119"/>
      <c r="B11495" s="138" t="str">
        <f t="shared" si="990"/>
        <v>Aerated Static Pile</v>
      </c>
      <c r="C11495" s="138" t="str">
        <f t="shared" si="991"/>
        <v>Base_With Amendment</v>
      </c>
      <c r="D11495" s="138" t="str">
        <f t="shared" si="993"/>
        <v>High_Base</v>
      </c>
      <c r="E11495" s="138" t="str">
        <f t="shared" si="988"/>
        <v>High</v>
      </c>
      <c r="F11495" s="138" t="str">
        <f t="shared" si="992"/>
        <v>Upgraded</v>
      </c>
      <c r="G11495" s="153"/>
      <c r="H11495" s="210">
        <v>1.32E-2</v>
      </c>
      <c r="I11495" s="160" t="s">
        <v>128</v>
      </c>
      <c r="J11495" s="160">
        <v>1.3509999999999999E-2</v>
      </c>
      <c r="K11495" s="160" t="s">
        <v>23</v>
      </c>
      <c r="L11495" s="154" t="str">
        <f>IF(OpenLCAbasic!K11495="CTUh", "Fill in Manually",IF(OR(K11495="Unit", K11495=""), "", INDEX(LookUps!$E$5:$E$12, MATCH(OpenLCAbasic!K11495,LookUps!$D$5:$D$12,0))))</f>
        <v>Global Warming Potential (GWP) - kg CO2 eq</v>
      </c>
      <c r="M11495" s="154" t="str">
        <f t="shared" si="989"/>
        <v>High_High_Base_Upgraded_Global Warming Potential (GWP) - kg CO2 eq_Wastewater collection; operation and infrastructure; m3 wastewater_Base_With Amendment_Aerated Static Pile</v>
      </c>
    </row>
    <row r="11496" spans="1:13" s="120" customFormat="1" x14ac:dyDescent="0.25">
      <c r="A11496" s="119"/>
      <c r="B11496" s="138" t="str">
        <f t="shared" si="990"/>
        <v>Aerated Static Pile</v>
      </c>
      <c r="C11496" s="138" t="str">
        <f t="shared" si="991"/>
        <v>Base_With Amendment</v>
      </c>
      <c r="D11496" s="138" t="str">
        <f t="shared" si="993"/>
        <v>High_Base</v>
      </c>
      <c r="E11496" s="138" t="str">
        <f t="shared" si="988"/>
        <v>High</v>
      </c>
      <c r="F11496" s="138" t="str">
        <f t="shared" si="992"/>
        <v>Upgraded</v>
      </c>
      <c r="G11496" s="153"/>
      <c r="H11496" s="210">
        <v>8.0999999999999996E-3</v>
      </c>
      <c r="I11496" s="160" t="s">
        <v>148</v>
      </c>
      <c r="J11496" s="160">
        <v>8.3000000000000001E-3</v>
      </c>
      <c r="K11496" s="160" t="s">
        <v>23</v>
      </c>
      <c r="L11496" s="154" t="str">
        <f>IF(OpenLCAbasic!K11496="CTUh", "Fill in Manually",IF(OR(K11496="Unit", K11496=""), "", INDEX(LookUps!$E$5:$E$12, MATCH(OpenLCAbasic!K11496,LookUps!$D$5:$D$12,0))))</f>
        <v>Global Warming Potential (GWP) - kg CO2 eq</v>
      </c>
      <c r="M11496" s="154" t="str">
        <f t="shared" si="989"/>
        <v>High_High_Base_Upgraded_Global Warming Potential (GWP) - kg CO2 eq_Control Building; at upgraded wastewater treatment plant - US_Base_With Amendment_Aerated Static Pile</v>
      </c>
    </row>
    <row r="11497" spans="1:13" s="120" customFormat="1" x14ac:dyDescent="0.25">
      <c r="A11497" s="119"/>
      <c r="B11497" s="138" t="str">
        <f t="shared" si="990"/>
        <v>Aerated Static Pile</v>
      </c>
      <c r="C11497" s="138" t="str">
        <f t="shared" si="991"/>
        <v>Base_With Amendment</v>
      </c>
      <c r="D11497" s="138" t="str">
        <f t="shared" si="993"/>
        <v>High_Base</v>
      </c>
      <c r="E11497" s="138" t="str">
        <f t="shared" ref="E11497:E11560" si="994">IF(ISNUMBER($J11497),"High","")</f>
        <v>High</v>
      </c>
      <c r="F11497" s="138" t="str">
        <f t="shared" si="992"/>
        <v>Upgraded</v>
      </c>
      <c r="G11497" s="153"/>
      <c r="H11497" s="210">
        <v>4.8999999999999998E-3</v>
      </c>
      <c r="I11497" s="160" t="s">
        <v>59</v>
      </c>
      <c r="J11497" s="160">
        <v>5.0400000000000002E-3</v>
      </c>
      <c r="K11497" s="160" t="s">
        <v>23</v>
      </c>
      <c r="L11497" s="154" t="str">
        <f>IF(OpenLCAbasic!K11497="CTUh", "Fill in Manually",IF(OR(K11497="Unit", K11497=""), "", INDEX(LookUps!$E$5:$E$12, MATCH(OpenLCAbasic!K11497,LookUps!$D$5:$D$12,0))))</f>
        <v>Global Warming Potential (GWP) - kg CO2 eq</v>
      </c>
      <c r="M11497" s="154" t="str">
        <f t="shared" si="989"/>
        <v>High_High_Base_Upgraded_Global Warming Potential (GWP) - kg CO2 eq_Blend Tank; wastewater treatment unit; at updated plant - US_Base_With Amendment_Aerated Static Pile</v>
      </c>
    </row>
    <row r="11498" spans="1:13" s="120" customFormat="1" x14ac:dyDescent="0.25">
      <c r="A11498" s="119"/>
      <c r="B11498" s="138" t="str">
        <f t="shared" si="990"/>
        <v>Aerated Static Pile</v>
      </c>
      <c r="C11498" s="138" t="str">
        <f t="shared" si="991"/>
        <v>Base_With Amendment</v>
      </c>
      <c r="D11498" s="138" t="str">
        <f t="shared" si="993"/>
        <v>High_Base</v>
      </c>
      <c r="E11498" s="138" t="str">
        <f t="shared" si="994"/>
        <v>High</v>
      </c>
      <c r="F11498" s="138" t="str">
        <f t="shared" si="992"/>
        <v>Upgraded</v>
      </c>
      <c r="G11498" s="153"/>
      <c r="H11498" s="210">
        <v>2.3999999999999998E-3</v>
      </c>
      <c r="I11498" s="160" t="s">
        <v>168</v>
      </c>
      <c r="J11498" s="160">
        <v>2.4099999999999998E-3</v>
      </c>
      <c r="K11498" s="160" t="s">
        <v>23</v>
      </c>
      <c r="L11498" s="154" t="str">
        <f>IF(OpenLCAbasic!K11498="CTUh", "Fill in Manually",IF(OR(K11498="Unit", K11498=""), "", INDEX(LookUps!$E$5:$E$12, MATCH(OpenLCAbasic!K11498,LookUps!$D$5:$D$12,0))))</f>
        <v>Global Warming Potential (GWP) - kg CO2 eq</v>
      </c>
      <c r="M11498" s="154" t="str">
        <f t="shared" si="989"/>
        <v>High_High_Base_Upgraded_Global Warming Potential (GWP) - kg CO2 eq_ClearCove SCP; wastewater treatment unit; at updated plant - US_Base_With Amendment_Aerated Static Pile</v>
      </c>
    </row>
    <row r="11499" spans="1:13" s="120" customFormat="1" x14ac:dyDescent="0.25">
      <c r="A11499" s="119"/>
      <c r="B11499" s="138" t="str">
        <f t="shared" si="990"/>
        <v>Aerated Static Pile</v>
      </c>
      <c r="C11499" s="138" t="str">
        <f t="shared" si="991"/>
        <v>Base_With Amendment</v>
      </c>
      <c r="D11499" s="138" t="str">
        <f t="shared" si="993"/>
        <v>High_Base</v>
      </c>
      <c r="E11499" s="138" t="str">
        <f t="shared" si="994"/>
        <v>High</v>
      </c>
      <c r="F11499" s="138" t="str">
        <f t="shared" si="992"/>
        <v>Upgraded</v>
      </c>
      <c r="G11499" s="153"/>
      <c r="H11499" s="210">
        <v>-0.55879999999999996</v>
      </c>
      <c r="I11499" s="160" t="s">
        <v>149</v>
      </c>
      <c r="J11499" s="160">
        <v>-0.57099</v>
      </c>
      <c r="K11499" s="160" t="s">
        <v>23</v>
      </c>
      <c r="L11499" s="154" t="str">
        <f>IF(OpenLCAbasic!K11499="CTUh", "Fill in Manually",IF(OR(K11499="Unit", K11499=""), "", INDEX(LookUps!$E$5:$E$12, MATCH(OpenLCAbasic!K11499,LookUps!$D$5:$D$12,0))))</f>
        <v>Global Warming Potential (GWP) - kg CO2 eq</v>
      </c>
      <c r="M11499" s="154" t="str">
        <f t="shared" si="989"/>
        <v>High_High_Base_Upgraded_Global Warming Potential (GWP) - kg CO2 eq_Anaerobic Digestion; wastewater treatment unit; at updated plant - US_Base_With Amendment_Aerated Static Pile</v>
      </c>
    </row>
    <row r="11500" spans="1:13" s="120" customFormat="1" x14ac:dyDescent="0.25">
      <c r="A11500" s="119"/>
      <c r="B11500" s="138" t="str">
        <f t="shared" si="990"/>
        <v>Aerated Static Pile</v>
      </c>
      <c r="C11500" s="138" t="str">
        <f t="shared" si="991"/>
        <v>Base_With Amendment</v>
      </c>
      <c r="D11500" s="138" t="str">
        <f t="shared" si="993"/>
        <v>High_Base</v>
      </c>
      <c r="E11500" s="138" t="str">
        <f t="shared" si="994"/>
        <v>High</v>
      </c>
      <c r="F11500" s="138" t="str">
        <f t="shared" si="992"/>
        <v>Upgraded</v>
      </c>
      <c r="G11500" s="153"/>
      <c r="H11500" s="210">
        <v>-0.88029999999999997</v>
      </c>
      <c r="I11500" s="160" t="s">
        <v>62</v>
      </c>
      <c r="J11500" s="160">
        <v>-0.89946999999999999</v>
      </c>
      <c r="K11500" s="160" t="s">
        <v>23</v>
      </c>
      <c r="L11500" s="154" t="str">
        <f>IF(OpenLCAbasic!K11500="CTUh", "Fill in Manually",IF(OR(K11500="Unit", K11500=""), "", INDEX(LookUps!$E$5:$E$12, MATCH(OpenLCAbasic!K11500,LookUps!$D$5:$D$12,0))))</f>
        <v>Global Warming Potential (GWP) - kg CO2 eq</v>
      </c>
      <c r="M11500" s="154" t="str">
        <f t="shared" si="989"/>
        <v>High_High_Base_Upgraded_Global Warming Potential (GWP) - kg CO2 eq_Land application of compost; wastewater treatment unit; at updated plant - US_Base_With Amendment_Aerated Static Pile</v>
      </c>
    </row>
    <row r="11501" spans="1:13" s="120" customFormat="1" x14ac:dyDescent="0.25">
      <c r="A11501" s="119"/>
      <c r="B11501" s="138" t="str">
        <f t="shared" si="990"/>
        <v/>
      </c>
      <c r="C11501" s="138" t="str">
        <f t="shared" si="991"/>
        <v/>
      </c>
      <c r="D11501" s="138" t="str">
        <f t="shared" si="993"/>
        <v/>
      </c>
      <c r="E11501" s="138" t="str">
        <f t="shared" si="994"/>
        <v/>
      </c>
      <c r="F11501" s="138" t="str">
        <f t="shared" si="992"/>
        <v/>
      </c>
      <c r="G11501" s="153" t="s">
        <v>51</v>
      </c>
      <c r="H11501" s="160"/>
      <c r="I11501" s="160" t="s">
        <v>47</v>
      </c>
      <c r="J11501" s="160" t="s">
        <v>52</v>
      </c>
      <c r="K11501" s="160" t="s">
        <v>27</v>
      </c>
      <c r="L11501" s="154" t="str">
        <f>IF(OpenLCAbasic!K11501="CTUh", "Fill in Manually",IF(OR(K11501="Unit", K11501=""), "", INDEX(LookUps!$E$5:$E$12, MATCH(OpenLCAbasic!K11501,LookUps!$D$5:$D$12,0))))</f>
        <v/>
      </c>
      <c r="M11501" s="154" t="str">
        <f t="shared" si="989"/>
        <v>____Process__</v>
      </c>
    </row>
    <row r="11502" spans="1:13" s="120" customFormat="1" x14ac:dyDescent="0.25">
      <c r="A11502" s="119"/>
      <c r="B11502" s="138" t="str">
        <f t="shared" si="990"/>
        <v>Aerated Static Pile</v>
      </c>
      <c r="C11502" s="138" t="str">
        <f t="shared" si="991"/>
        <v>Base_With Amendment</v>
      </c>
      <c r="D11502" s="138" t="str">
        <f t="shared" si="993"/>
        <v>High_Base</v>
      </c>
      <c r="E11502" s="138" t="str">
        <f t="shared" si="994"/>
        <v>High</v>
      </c>
      <c r="F11502" s="138" t="str">
        <f t="shared" si="992"/>
        <v>Upgraded</v>
      </c>
      <c r="G11502" s="153"/>
      <c r="H11502" s="210">
        <v>2.4104999999999999</v>
      </c>
      <c r="I11502" s="160" t="s">
        <v>55</v>
      </c>
      <c r="J11502" s="160">
        <v>2.33E-3</v>
      </c>
      <c r="K11502" s="160" t="s">
        <v>145</v>
      </c>
      <c r="L11502" s="154" t="str">
        <f>IF(OpenLCAbasic!K11502="CTUh", "Fill in Manually",IF(OR(K11502="Unit", K11502=""), "", INDEX(LookUps!$E$5:$E$12, MATCH(OpenLCAbasic!K11502,LookUps!$D$5:$D$12,0))))</f>
        <v>Particulate Matter Formation Potential (PMFP) - kg PM2.5 eq</v>
      </c>
      <c r="M11502" s="154" t="str">
        <f t="shared" si="989"/>
        <v>High_High_Base_Upgraded_Particulate Matter Formation Potential (PMFP) - kg PM2.5 eq_Aeration Tanks; wastewater treatment unit; at updated plant - US_Base_With Amendment_Aerated Static Pile</v>
      </c>
    </row>
    <row r="11503" spans="1:13" s="120" customFormat="1" x14ac:dyDescent="0.25">
      <c r="A11503" s="119"/>
      <c r="B11503" s="138" t="str">
        <f t="shared" si="990"/>
        <v>Aerated Static Pile</v>
      </c>
      <c r="C11503" s="138" t="str">
        <f t="shared" si="991"/>
        <v>Base_With Amendment</v>
      </c>
      <c r="D11503" s="138" t="str">
        <f t="shared" si="993"/>
        <v>High_Base</v>
      </c>
      <c r="E11503" s="138" t="str">
        <f t="shared" si="994"/>
        <v>High</v>
      </c>
      <c r="F11503" s="138" t="str">
        <f t="shared" si="992"/>
        <v>Upgraded</v>
      </c>
      <c r="G11503" s="153"/>
      <c r="H11503" s="210">
        <v>1.6866000000000001</v>
      </c>
      <c r="I11503" s="160" t="s">
        <v>435</v>
      </c>
      <c r="J11503" s="160">
        <v>1.6299999999999999E-3</v>
      </c>
      <c r="K11503" s="160" t="s">
        <v>145</v>
      </c>
      <c r="L11503" s="154" t="str">
        <f>IF(OpenLCAbasic!K11503="CTUh", "Fill in Manually",IF(OR(K11503="Unit", K11503=""), "", INDEX(LookUps!$E$5:$E$12, MATCH(OpenLCAbasic!K11503,LookUps!$D$5:$D$12,0))))</f>
        <v>Particulate Matter Formation Potential (PMFP) - kg PM2.5 eq</v>
      </c>
      <c r="M11503" s="154" t="str">
        <f t="shared" si="989"/>
        <v>High_High_Base_Upgraded_Particulate Matter Formation Potential (PMFP) - kg PM2.5 eq_Biosolids composting; aerated static pile; wastewater treatment unit; at updated plant - US_Base_With Amendment_Aerated Static Pile</v>
      </c>
    </row>
    <row r="11504" spans="1:13" s="120" customFormat="1" x14ac:dyDescent="0.25">
      <c r="A11504" s="119"/>
      <c r="B11504" s="138" t="str">
        <f t="shared" si="990"/>
        <v>Aerated Static Pile</v>
      </c>
      <c r="C11504" s="138" t="str">
        <f t="shared" si="991"/>
        <v>Base_With Amendment</v>
      </c>
      <c r="D11504" s="138" t="str">
        <f t="shared" si="993"/>
        <v>High_Base</v>
      </c>
      <c r="E11504" s="138" t="str">
        <f t="shared" si="994"/>
        <v>High</v>
      </c>
      <c r="F11504" s="138" t="str">
        <f t="shared" si="992"/>
        <v>Upgraded</v>
      </c>
      <c r="G11504" s="153"/>
      <c r="H11504" s="210">
        <v>0.70140000000000002</v>
      </c>
      <c r="I11504" s="160" t="s">
        <v>54</v>
      </c>
      <c r="J11504" s="160">
        <v>6.8000000000000005E-4</v>
      </c>
      <c r="K11504" s="160" t="s">
        <v>145</v>
      </c>
      <c r="L11504" s="154" t="str">
        <f>IF(OpenLCAbasic!K11504="CTUh", "Fill in Manually",IF(OR(K11504="Unit", K11504=""), "", INDEX(LookUps!$E$5:$E$12, MATCH(OpenLCAbasic!K11504,LookUps!$D$5:$D$12,0))))</f>
        <v>Particulate Matter Formation Potential (PMFP) - kg PM2.5 eq</v>
      </c>
      <c r="M11504" s="154" t="str">
        <f t="shared" si="989"/>
        <v>High_High_Base_Upgraded_Particulate Matter Formation Potential (PMFP) - kg PM2.5 eq_Clear Cove Primary Clarification; wastewater treatment unit; at updated plant - US_Base_With Amendment_Aerated Static Pile</v>
      </c>
    </row>
    <row r="11505" spans="1:13" s="120" customFormat="1" x14ac:dyDescent="0.25">
      <c r="A11505" s="119"/>
      <c r="B11505" s="138" t="str">
        <f t="shared" si="990"/>
        <v>Aerated Static Pile</v>
      </c>
      <c r="C11505" s="138" t="str">
        <f t="shared" si="991"/>
        <v>Base_With Amendment</v>
      </c>
      <c r="D11505" s="138" t="str">
        <f t="shared" si="993"/>
        <v>High_Base</v>
      </c>
      <c r="E11505" s="138" t="str">
        <f t="shared" si="994"/>
        <v>High</v>
      </c>
      <c r="F11505" s="138" t="str">
        <f t="shared" si="992"/>
        <v>Upgraded</v>
      </c>
      <c r="G11505" s="153"/>
      <c r="H11505" s="210">
        <v>0.61060000000000003</v>
      </c>
      <c r="I11505" s="160" t="s">
        <v>58</v>
      </c>
      <c r="J11505" s="160">
        <v>5.9000000000000003E-4</v>
      </c>
      <c r="K11505" s="160" t="s">
        <v>145</v>
      </c>
      <c r="L11505" s="154" t="str">
        <f>IF(OpenLCAbasic!K11505="CTUh", "Fill in Manually",IF(OR(K11505="Unit", K11505=""), "", INDEX(LookUps!$E$5:$E$12, MATCH(OpenLCAbasic!K11505,LookUps!$D$5:$D$12,0))))</f>
        <v>Particulate Matter Formation Potential (PMFP) - kg PM2.5 eq</v>
      </c>
      <c r="M11505" s="154" t="str">
        <f t="shared" si="989"/>
        <v>High_High_Base_Upgraded_Particulate Matter Formation Potential (PMFP) - kg PM2.5 eq_Pre-Anoxic &amp; Swing tank; wastewater treatment unit; at updated plant - US_Base_With Amendment_Aerated Static Pile</v>
      </c>
    </row>
    <row r="11506" spans="1:13" s="120" customFormat="1" x14ac:dyDescent="0.25">
      <c r="A11506" s="119"/>
      <c r="B11506" s="138" t="str">
        <f t="shared" si="990"/>
        <v>Aerated Static Pile</v>
      </c>
      <c r="C11506" s="138" t="str">
        <f t="shared" si="991"/>
        <v>Base_With Amendment</v>
      </c>
      <c r="D11506" s="138" t="str">
        <f t="shared" si="993"/>
        <v>High_Base</v>
      </c>
      <c r="E11506" s="138" t="str">
        <f t="shared" si="994"/>
        <v>High</v>
      </c>
      <c r="F11506" s="138" t="str">
        <f t="shared" si="992"/>
        <v>Upgraded</v>
      </c>
      <c r="G11506" s="153"/>
      <c r="H11506" s="210">
        <v>0.4819</v>
      </c>
      <c r="I11506" s="160" t="s">
        <v>53</v>
      </c>
      <c r="J11506" s="160">
        <v>4.6999999999999999E-4</v>
      </c>
      <c r="K11506" s="160" t="s">
        <v>145</v>
      </c>
      <c r="L11506" s="154" t="str">
        <f>IF(OpenLCAbasic!K11506="CTUh", "Fill in Manually",IF(OR(K11506="Unit", K11506=""), "", INDEX(LookUps!$E$5:$E$12, MATCH(OpenLCAbasic!K11506,LookUps!$D$5:$D$12,0))))</f>
        <v>Particulate Matter Formation Potential (PMFP) - kg PM2.5 eq</v>
      </c>
      <c r="M11506" s="154" t="str">
        <f t="shared" si="989"/>
        <v>High_High_Base_Upgraded_Particulate Matter Formation Potential (PMFP) - kg PM2.5 eq_Wet Well and Sump Station; wastewater treatment unit; at updated plant - US_Base_With Amendment_Aerated Static Pile</v>
      </c>
    </row>
    <row r="11507" spans="1:13" s="120" customFormat="1" x14ac:dyDescent="0.25">
      <c r="A11507" s="119"/>
      <c r="B11507" s="138" t="str">
        <f t="shared" si="990"/>
        <v>Aerated Static Pile</v>
      </c>
      <c r="C11507" s="138" t="str">
        <f t="shared" si="991"/>
        <v>Base_With Amendment</v>
      </c>
      <c r="D11507" s="138" t="str">
        <f t="shared" si="993"/>
        <v>High_Base</v>
      </c>
      <c r="E11507" s="138" t="str">
        <f t="shared" si="994"/>
        <v>High</v>
      </c>
      <c r="F11507" s="138" t="str">
        <f t="shared" si="992"/>
        <v>Upgraded</v>
      </c>
      <c r="G11507" s="153"/>
      <c r="H11507" s="210">
        <v>0.34260000000000002</v>
      </c>
      <c r="I11507" s="160" t="s">
        <v>167</v>
      </c>
      <c r="J11507" s="160">
        <v>3.3E-4</v>
      </c>
      <c r="K11507" s="160" t="s">
        <v>145</v>
      </c>
      <c r="L11507" s="154" t="str">
        <f>IF(OpenLCAbasic!K11507="CTUh", "Fill in Manually",IF(OR(K11507="Unit", K11507=""), "", INDEX(LookUps!$E$5:$E$12, MATCH(OpenLCAbasic!K11507,LookUps!$D$5:$D$12,0))))</f>
        <v>Particulate Matter Formation Potential (PMFP) - kg PM2.5 eq</v>
      </c>
      <c r="M11507" s="154" t="str">
        <f t="shared" si="989"/>
        <v>High_High_Base_Upgraded_Particulate Matter Formation Potential (PMFP) - kg PM2.5 eq_Waste Receiving and Holding; wastewater treatment unit; at updated plant - US_Base_With Amendment_Aerated Static Pile</v>
      </c>
    </row>
    <row r="11508" spans="1:13" s="120" customFormat="1" x14ac:dyDescent="0.25">
      <c r="A11508" s="119"/>
      <c r="B11508" s="138" t="str">
        <f t="shared" si="990"/>
        <v>Aerated Static Pile</v>
      </c>
      <c r="C11508" s="138" t="str">
        <f t="shared" si="991"/>
        <v>Base_With Amendment</v>
      </c>
      <c r="D11508" s="138" t="str">
        <f t="shared" si="993"/>
        <v>High_Base</v>
      </c>
      <c r="E11508" s="138" t="str">
        <f t="shared" si="994"/>
        <v>High</v>
      </c>
      <c r="F11508" s="138" t="str">
        <f t="shared" si="992"/>
        <v>Upgraded</v>
      </c>
      <c r="G11508" s="153"/>
      <c r="H11508" s="210">
        <v>0.27550000000000002</v>
      </c>
      <c r="I11508" s="160" t="s">
        <v>147</v>
      </c>
      <c r="J11508" s="160">
        <v>2.7E-4</v>
      </c>
      <c r="K11508" s="160" t="s">
        <v>145</v>
      </c>
      <c r="L11508" s="154" t="str">
        <f>IF(OpenLCAbasic!K11508="CTUh", "Fill in Manually",IF(OR(K11508="Unit", K11508=""), "", INDEX(LookUps!$E$5:$E$12, MATCH(OpenLCAbasic!K11508,LookUps!$D$5:$D$12,0))))</f>
        <v>Particulate Matter Formation Potential (PMFP) - kg PM2.5 eq</v>
      </c>
      <c r="M11508" s="154" t="str">
        <f t="shared" si="989"/>
        <v>High_High_Base_Upgraded_Particulate Matter Formation Potential (PMFP) - kg PM2.5 eq_Influent Pump Station; wastewater treatment unit; at updated plant - US_Base_With Amendment_Aerated Static Pile</v>
      </c>
    </row>
    <row r="11509" spans="1:13" s="120" customFormat="1" x14ac:dyDescent="0.25">
      <c r="A11509" s="119"/>
      <c r="B11509" s="138" t="str">
        <f t="shared" si="990"/>
        <v>Aerated Static Pile</v>
      </c>
      <c r="C11509" s="138" t="str">
        <f t="shared" si="991"/>
        <v>Base_With Amendment</v>
      </c>
      <c r="D11509" s="138" t="str">
        <f t="shared" si="993"/>
        <v>High_Base</v>
      </c>
      <c r="E11509" s="138" t="str">
        <f t="shared" si="994"/>
        <v>High</v>
      </c>
      <c r="F11509" s="138" t="str">
        <f t="shared" si="992"/>
        <v>Upgraded</v>
      </c>
      <c r="G11509" s="153"/>
      <c r="H11509" s="210">
        <v>0.2036</v>
      </c>
      <c r="I11509" s="160" t="s">
        <v>60</v>
      </c>
      <c r="J11509" s="160">
        <v>2.0000000000000001E-4</v>
      </c>
      <c r="K11509" s="160" t="s">
        <v>145</v>
      </c>
      <c r="L11509" s="154" t="str">
        <f>IF(OpenLCAbasic!K11509="CTUh", "Fill in Manually",IF(OR(K11509="Unit", K11509=""), "", INDEX(LookUps!$E$5:$E$12, MATCH(OpenLCAbasic!K11509,LookUps!$D$5:$D$12,0))))</f>
        <v>Particulate Matter Formation Potential (PMFP) - kg PM2.5 eq</v>
      </c>
      <c r="M11509" s="154" t="str">
        <f t="shared" si="989"/>
        <v>High_High_Base_Upgraded_Particulate Matter Formation Potential (PMFP) - kg PM2.5 eq_Belt filter press; wastewater treatment unit; at updated plant - US_Base_With Amendment_Aerated Static Pile</v>
      </c>
    </row>
    <row r="11510" spans="1:13" s="120" customFormat="1" x14ac:dyDescent="0.25">
      <c r="A11510" s="119"/>
      <c r="B11510" s="138" t="str">
        <f t="shared" si="990"/>
        <v>Aerated Static Pile</v>
      </c>
      <c r="C11510" s="138" t="str">
        <f t="shared" si="991"/>
        <v>Base_With Amendment</v>
      </c>
      <c r="D11510" s="138" t="str">
        <f t="shared" si="993"/>
        <v>High_Base</v>
      </c>
      <c r="E11510" s="138" t="str">
        <f t="shared" si="994"/>
        <v>High</v>
      </c>
      <c r="F11510" s="138" t="str">
        <f t="shared" si="992"/>
        <v>Upgraded</v>
      </c>
      <c r="G11510" s="153"/>
      <c r="H11510" s="210">
        <v>0.1719</v>
      </c>
      <c r="I11510" s="160" t="s">
        <v>128</v>
      </c>
      <c r="J11510" s="160">
        <v>1.7000000000000001E-4</v>
      </c>
      <c r="K11510" s="160" t="s">
        <v>145</v>
      </c>
      <c r="L11510" s="154" t="str">
        <f>IF(OpenLCAbasic!K11510="CTUh", "Fill in Manually",IF(OR(K11510="Unit", K11510=""), "", INDEX(LookUps!$E$5:$E$12, MATCH(OpenLCAbasic!K11510,LookUps!$D$5:$D$12,0))))</f>
        <v>Particulate Matter Formation Potential (PMFP) - kg PM2.5 eq</v>
      </c>
      <c r="M11510" s="154" t="str">
        <f t="shared" si="989"/>
        <v>High_High_Base_Upgraded_Particulate Matter Formation Potential (PMFP) - kg PM2.5 eq_Wastewater collection; operation and infrastructure; m3 wastewater_Base_With Amendment_Aerated Static Pile</v>
      </c>
    </row>
    <row r="11511" spans="1:13" s="120" customFormat="1" x14ac:dyDescent="0.25">
      <c r="A11511" s="119"/>
      <c r="B11511" s="138" t="str">
        <f t="shared" si="990"/>
        <v>Aerated Static Pile</v>
      </c>
      <c r="C11511" s="138" t="str">
        <f t="shared" si="991"/>
        <v>Base_With Amendment</v>
      </c>
      <c r="D11511" s="138" t="str">
        <f t="shared" si="993"/>
        <v>High_Base</v>
      </c>
      <c r="E11511" s="138" t="str">
        <f t="shared" si="994"/>
        <v>High</v>
      </c>
      <c r="F11511" s="138" t="str">
        <f t="shared" si="992"/>
        <v>Upgraded</v>
      </c>
      <c r="G11511" s="153"/>
      <c r="H11511" s="210">
        <v>9.8299999999999998E-2</v>
      </c>
      <c r="I11511" s="160" t="s">
        <v>57</v>
      </c>
      <c r="J11511" s="211">
        <v>9.5153800000000004E-5</v>
      </c>
      <c r="K11511" s="160" t="s">
        <v>145</v>
      </c>
      <c r="L11511" s="154" t="str">
        <f>IF(OpenLCAbasic!K11511="CTUh", "Fill in Manually",IF(OR(K11511="Unit", K11511=""), "", INDEX(LookUps!$E$5:$E$12, MATCH(OpenLCAbasic!K11511,LookUps!$D$5:$D$12,0))))</f>
        <v>Particulate Matter Formation Potential (PMFP) - kg PM2.5 eq</v>
      </c>
      <c r="M11511" s="154" t="str">
        <f t="shared" si="989"/>
        <v>High_High_Base_Upgraded_Particulate Matter Formation Potential (PMFP) - kg PM2.5 eq_Gravity Belt Thickener; wastewater treatment unit; at updated plant - US_Base_With Amendment_Aerated Static Pile</v>
      </c>
    </row>
    <row r="11512" spans="1:13" s="120" customFormat="1" x14ac:dyDescent="0.25">
      <c r="A11512" s="119"/>
      <c r="B11512" s="138" t="str">
        <f t="shared" si="990"/>
        <v>Aerated Static Pile</v>
      </c>
      <c r="C11512" s="138" t="str">
        <f t="shared" si="991"/>
        <v>Base_With Amendment</v>
      </c>
      <c r="D11512" s="138" t="str">
        <f t="shared" si="993"/>
        <v>High_Base</v>
      </c>
      <c r="E11512" s="138" t="str">
        <f t="shared" si="994"/>
        <v>High</v>
      </c>
      <c r="F11512" s="138" t="str">
        <f t="shared" si="992"/>
        <v>Upgraded</v>
      </c>
      <c r="G11512" s="153"/>
      <c r="H11512" s="210">
        <v>7.22E-2</v>
      </c>
      <c r="I11512" s="160" t="s">
        <v>59</v>
      </c>
      <c r="J11512" s="211">
        <v>6.9942200000000003E-5</v>
      </c>
      <c r="K11512" s="160" t="s">
        <v>145</v>
      </c>
      <c r="L11512" s="154" t="str">
        <f>IF(OpenLCAbasic!K11512="CTUh", "Fill in Manually",IF(OR(K11512="Unit", K11512=""), "", INDEX(LookUps!$E$5:$E$12, MATCH(OpenLCAbasic!K11512,LookUps!$D$5:$D$12,0))))</f>
        <v>Particulate Matter Formation Potential (PMFP) - kg PM2.5 eq</v>
      </c>
      <c r="M11512" s="154" t="str">
        <f t="shared" si="989"/>
        <v>High_High_Base_Upgraded_Particulate Matter Formation Potential (PMFP) - kg PM2.5 eq_Blend Tank; wastewater treatment unit; at updated plant - US_Base_With Amendment_Aerated Static Pile</v>
      </c>
    </row>
    <row r="11513" spans="1:13" s="120" customFormat="1" x14ac:dyDescent="0.25">
      <c r="A11513" s="119"/>
      <c r="B11513" s="138" t="str">
        <f t="shared" si="990"/>
        <v>Aerated Static Pile</v>
      </c>
      <c r="C11513" s="138" t="str">
        <f t="shared" si="991"/>
        <v>Base_With Amendment</v>
      </c>
      <c r="D11513" s="138" t="str">
        <f t="shared" si="993"/>
        <v>High_Base</v>
      </c>
      <c r="E11513" s="138" t="str">
        <f t="shared" si="994"/>
        <v>High</v>
      </c>
      <c r="F11513" s="138" t="str">
        <f t="shared" si="992"/>
        <v>Upgraded</v>
      </c>
      <c r="G11513" s="153"/>
      <c r="H11513" s="210">
        <v>6.6900000000000001E-2</v>
      </c>
      <c r="I11513" s="160" t="s">
        <v>62</v>
      </c>
      <c r="J11513" s="211">
        <v>6.47831E-5</v>
      </c>
      <c r="K11513" s="160" t="s">
        <v>145</v>
      </c>
      <c r="L11513" s="154" t="str">
        <f>IF(OpenLCAbasic!K11513="CTUh", "Fill in Manually",IF(OR(K11513="Unit", K11513=""), "", INDEX(LookUps!$E$5:$E$12, MATCH(OpenLCAbasic!K11513,LookUps!$D$5:$D$12,0))))</f>
        <v>Particulate Matter Formation Potential (PMFP) - kg PM2.5 eq</v>
      </c>
      <c r="M11513" s="154" t="str">
        <f t="shared" si="989"/>
        <v>High_High_Base_Upgraded_Particulate Matter Formation Potential (PMFP) - kg PM2.5 eq_Land application of compost; wastewater treatment unit; at updated plant - US_Base_With Amendment_Aerated Static Pile</v>
      </c>
    </row>
    <row r="11514" spans="1:13" s="120" customFormat="1" x14ac:dyDescent="0.25">
      <c r="A11514" s="119"/>
      <c r="B11514" s="138" t="str">
        <f t="shared" si="990"/>
        <v>Aerated Static Pile</v>
      </c>
      <c r="C11514" s="138" t="str">
        <f t="shared" si="991"/>
        <v>Base_With Amendment</v>
      </c>
      <c r="D11514" s="138" t="str">
        <f t="shared" si="993"/>
        <v>High_Base</v>
      </c>
      <c r="E11514" s="138" t="str">
        <f t="shared" si="994"/>
        <v>High</v>
      </c>
      <c r="F11514" s="138" t="str">
        <f t="shared" si="992"/>
        <v>Upgraded</v>
      </c>
      <c r="G11514" s="153"/>
      <c r="H11514" s="210">
        <v>5.16E-2</v>
      </c>
      <c r="I11514" s="160" t="s">
        <v>48</v>
      </c>
      <c r="J11514" s="211">
        <v>4.99741E-5</v>
      </c>
      <c r="K11514" s="160" t="s">
        <v>145</v>
      </c>
      <c r="L11514" s="154" t="str">
        <f>IF(OpenLCAbasic!K11514="CTUh", "Fill in Manually",IF(OR(K11514="Unit", K11514=""), "", INDEX(LookUps!$E$5:$E$12, MATCH(OpenLCAbasic!K11514,LookUps!$D$5:$D$12,0))))</f>
        <v>Particulate Matter Formation Potential (PMFP) - kg PM2.5 eq</v>
      </c>
      <c r="M11514" s="154" t="str">
        <f t="shared" si="989"/>
        <v>High_High_Base_Upgraded_Particulate Matter Formation Potential (PMFP) - kg PM2.5 eq_Effluent release; wastewater treatment unit; at surface water; m3 wastewater - US_Base_With Amendment_Aerated Static Pile</v>
      </c>
    </row>
    <row r="11515" spans="1:13" s="120" customFormat="1" x14ac:dyDescent="0.25">
      <c r="A11515" s="119"/>
      <c r="B11515" s="138" t="str">
        <f t="shared" si="990"/>
        <v>Aerated Static Pile</v>
      </c>
      <c r="C11515" s="138" t="str">
        <f t="shared" si="991"/>
        <v>Base_With Amendment</v>
      </c>
      <c r="D11515" s="138" t="str">
        <f t="shared" si="993"/>
        <v>High_Base</v>
      </c>
      <c r="E11515" s="138" t="str">
        <f t="shared" si="994"/>
        <v>High</v>
      </c>
      <c r="F11515" s="138" t="str">
        <f t="shared" si="992"/>
        <v>Upgraded</v>
      </c>
      <c r="G11515" s="153"/>
      <c r="H11515" s="210">
        <v>3.5700000000000003E-2</v>
      </c>
      <c r="I11515" s="160" t="s">
        <v>168</v>
      </c>
      <c r="J11515" s="211">
        <v>3.4562199999999999E-5</v>
      </c>
      <c r="K11515" s="160" t="s">
        <v>145</v>
      </c>
      <c r="L11515" s="154" t="str">
        <f>IF(OpenLCAbasic!K11515="CTUh", "Fill in Manually",IF(OR(K11515="Unit", K11515=""), "", INDEX(LookUps!$E$5:$E$12, MATCH(OpenLCAbasic!K11515,LookUps!$D$5:$D$12,0))))</f>
        <v>Particulate Matter Formation Potential (PMFP) - kg PM2.5 eq</v>
      </c>
      <c r="M11515" s="154" t="str">
        <f t="shared" si="989"/>
        <v>High_High_Base_Upgraded_Particulate Matter Formation Potential (PMFP) - kg PM2.5 eq_ClearCove SCP; wastewater treatment unit; at updated plant - US_Base_With Amendment_Aerated Static Pile</v>
      </c>
    </row>
    <row r="11516" spans="1:13" s="120" customFormat="1" x14ac:dyDescent="0.25">
      <c r="A11516" s="119"/>
      <c r="B11516" s="138" t="str">
        <f t="shared" si="990"/>
        <v>Aerated Static Pile</v>
      </c>
      <c r="C11516" s="138" t="str">
        <f t="shared" si="991"/>
        <v>Base_With Amendment</v>
      </c>
      <c r="D11516" s="138" t="str">
        <f t="shared" si="993"/>
        <v>High_Base</v>
      </c>
      <c r="E11516" s="138" t="str">
        <f t="shared" si="994"/>
        <v>High</v>
      </c>
      <c r="F11516" s="138" t="str">
        <f t="shared" si="992"/>
        <v>Upgraded</v>
      </c>
      <c r="G11516" s="153"/>
      <c r="H11516" s="210">
        <v>9.1000000000000004E-3</v>
      </c>
      <c r="I11516" s="160" t="s">
        <v>148</v>
      </c>
      <c r="J11516" s="211">
        <v>8.8212999999999997E-6</v>
      </c>
      <c r="K11516" s="160" t="s">
        <v>145</v>
      </c>
      <c r="L11516" s="154" t="str">
        <f>IF(OpenLCAbasic!K11516="CTUh", "Fill in Manually",IF(OR(K11516="Unit", K11516=""), "", INDEX(LookUps!$E$5:$E$12, MATCH(OpenLCAbasic!K11516,LookUps!$D$5:$D$12,0))))</f>
        <v>Particulate Matter Formation Potential (PMFP) - kg PM2.5 eq</v>
      </c>
      <c r="M11516" s="154" t="str">
        <f t="shared" si="989"/>
        <v>High_High_Base_Upgraded_Particulate Matter Formation Potential (PMFP) - kg PM2.5 eq_Control Building; at upgraded wastewater treatment plant - US_Base_With Amendment_Aerated Static Pile</v>
      </c>
    </row>
    <row r="11517" spans="1:13" s="120" customFormat="1" x14ac:dyDescent="0.25">
      <c r="A11517" s="119"/>
      <c r="B11517" s="138" t="str">
        <f t="shared" si="990"/>
        <v>Aerated Static Pile</v>
      </c>
      <c r="C11517" s="138" t="str">
        <f t="shared" si="991"/>
        <v>Base_With Amendment</v>
      </c>
      <c r="D11517" s="138" t="str">
        <f t="shared" si="993"/>
        <v>High_Base</v>
      </c>
      <c r="E11517" s="138" t="str">
        <f t="shared" si="994"/>
        <v>High</v>
      </c>
      <c r="F11517" s="138" t="str">
        <f t="shared" si="992"/>
        <v>Upgraded</v>
      </c>
      <c r="G11517" s="153"/>
      <c r="H11517" s="210">
        <v>-6.2183999999999999</v>
      </c>
      <c r="I11517" s="160" t="s">
        <v>149</v>
      </c>
      <c r="J11517" s="160">
        <v>-6.0200000000000002E-3</v>
      </c>
      <c r="K11517" s="160" t="s">
        <v>145</v>
      </c>
      <c r="L11517" s="154" t="str">
        <f>IF(OpenLCAbasic!K11517="CTUh", "Fill in Manually",IF(OR(K11517="Unit", K11517=""), "", INDEX(LookUps!$E$5:$E$12, MATCH(OpenLCAbasic!K11517,LookUps!$D$5:$D$12,0))))</f>
        <v>Particulate Matter Formation Potential (PMFP) - kg PM2.5 eq</v>
      </c>
      <c r="M11517" s="154" t="str">
        <f t="shared" si="989"/>
        <v>High_High_Base_Upgraded_Particulate Matter Formation Potential (PMFP) - kg PM2.5 eq_Anaerobic Digestion; wastewater treatment unit; at updated plant - US_Base_With Amendment_Aerated Static Pile</v>
      </c>
    </row>
    <row r="11518" spans="1:13" s="120" customFormat="1" x14ac:dyDescent="0.25">
      <c r="A11518" s="119"/>
      <c r="B11518" s="138" t="str">
        <f t="shared" si="990"/>
        <v/>
      </c>
      <c r="C11518" s="138" t="str">
        <f t="shared" si="991"/>
        <v/>
      </c>
      <c r="D11518" s="138" t="str">
        <f t="shared" si="993"/>
        <v/>
      </c>
      <c r="E11518" s="138" t="str">
        <f t="shared" si="994"/>
        <v/>
      </c>
      <c r="F11518" s="138" t="str">
        <f t="shared" si="992"/>
        <v/>
      </c>
      <c r="G11518" s="153" t="s">
        <v>51</v>
      </c>
      <c r="H11518" s="160"/>
      <c r="I11518" s="160" t="s">
        <v>47</v>
      </c>
      <c r="J11518" s="160" t="s">
        <v>52</v>
      </c>
      <c r="K11518" s="160" t="s">
        <v>27</v>
      </c>
      <c r="L11518" s="154" t="str">
        <f>IF(OpenLCAbasic!K11518="CTUh", "Fill in Manually",IF(OR(K11518="Unit", K11518=""), "", INDEX(LookUps!$E$5:$E$12, MATCH(OpenLCAbasic!K11518,LookUps!$D$5:$D$12,0))))</f>
        <v/>
      </c>
      <c r="M11518" s="154" t="str">
        <f t="shared" si="989"/>
        <v>____Process__</v>
      </c>
    </row>
    <row r="11519" spans="1:13" s="120" customFormat="1" x14ac:dyDescent="0.25">
      <c r="A11519" s="119"/>
      <c r="B11519" s="138" t="str">
        <f t="shared" si="990"/>
        <v>Aerated Static Pile</v>
      </c>
      <c r="C11519" s="138" t="str">
        <f t="shared" si="991"/>
        <v>Base_With Amendment</v>
      </c>
      <c r="D11519" s="138" t="str">
        <f t="shared" si="993"/>
        <v>High_Base</v>
      </c>
      <c r="E11519" s="138" t="str">
        <f t="shared" si="994"/>
        <v>High</v>
      </c>
      <c r="F11519" s="138" t="str">
        <f t="shared" si="992"/>
        <v>Upgraded</v>
      </c>
      <c r="G11519" s="153"/>
      <c r="H11519" s="210">
        <v>2.5562999999999998</v>
      </c>
      <c r="I11519" s="160" t="s">
        <v>55</v>
      </c>
      <c r="J11519" s="160">
        <v>0.16577</v>
      </c>
      <c r="K11519" s="160" t="s">
        <v>25</v>
      </c>
      <c r="L11519" s="154" t="str">
        <f>IF(OpenLCAbasic!K11519="CTUh", "Fill in Manually",IF(OR(K11519="Unit", K11519=""), "", INDEX(LookUps!$E$5:$E$12, MATCH(OpenLCAbasic!K11519,LookUps!$D$5:$D$12,0))))</f>
        <v>Smog Formation Potential (SFP) - kg O3 eq</v>
      </c>
      <c r="M11519" s="154" t="str">
        <f t="shared" si="989"/>
        <v>High_High_Base_Upgraded_Smog Formation Potential (SFP) - kg O3 eq_Aeration Tanks; wastewater treatment unit; at updated plant - US_Base_With Amendment_Aerated Static Pile</v>
      </c>
    </row>
    <row r="11520" spans="1:13" s="120" customFormat="1" x14ac:dyDescent="0.25">
      <c r="A11520" s="119"/>
      <c r="B11520" s="138" t="str">
        <f t="shared" si="990"/>
        <v>Aerated Static Pile</v>
      </c>
      <c r="C11520" s="138" t="str">
        <f t="shared" si="991"/>
        <v>Base_With Amendment</v>
      </c>
      <c r="D11520" s="138" t="str">
        <f t="shared" si="993"/>
        <v>High_Base</v>
      </c>
      <c r="E11520" s="138" t="str">
        <f t="shared" si="994"/>
        <v>High</v>
      </c>
      <c r="F11520" s="138" t="str">
        <f t="shared" si="992"/>
        <v>Upgraded</v>
      </c>
      <c r="G11520" s="153"/>
      <c r="H11520" s="210">
        <v>1.7518</v>
      </c>
      <c r="I11520" s="160" t="s">
        <v>435</v>
      </c>
      <c r="J11520" s="160">
        <v>0.11360000000000001</v>
      </c>
      <c r="K11520" s="160" t="s">
        <v>25</v>
      </c>
      <c r="L11520" s="154" t="str">
        <f>IF(OpenLCAbasic!K11520="CTUh", "Fill in Manually",IF(OR(K11520="Unit", K11520=""), "", INDEX(LookUps!$E$5:$E$12, MATCH(OpenLCAbasic!K11520,LookUps!$D$5:$D$12,0))))</f>
        <v>Smog Formation Potential (SFP) - kg O3 eq</v>
      </c>
      <c r="M11520" s="154" t="str">
        <f t="shared" si="989"/>
        <v>High_High_Base_Upgraded_Smog Formation Potential (SFP) - kg O3 eq_Biosolids composting; aerated static pile; wastewater treatment unit; at updated plant - US_Base_With Amendment_Aerated Static Pile</v>
      </c>
    </row>
    <row r="11521" spans="1:13" s="120" customFormat="1" x14ac:dyDescent="0.25">
      <c r="A11521" s="119"/>
      <c r="B11521" s="138" t="str">
        <f t="shared" si="990"/>
        <v>Aerated Static Pile</v>
      </c>
      <c r="C11521" s="138" t="str">
        <f t="shared" si="991"/>
        <v>Base_With Amendment</v>
      </c>
      <c r="D11521" s="138" t="str">
        <f t="shared" si="993"/>
        <v>High_Base</v>
      </c>
      <c r="E11521" s="138" t="str">
        <f t="shared" si="994"/>
        <v>High</v>
      </c>
      <c r="F11521" s="138" t="str">
        <f t="shared" si="992"/>
        <v>Upgraded</v>
      </c>
      <c r="G11521" s="153"/>
      <c r="H11521" s="210">
        <v>0.74129999999999996</v>
      </c>
      <c r="I11521" s="160" t="s">
        <v>54</v>
      </c>
      <c r="J11521" s="160">
        <v>4.8070000000000002E-2</v>
      </c>
      <c r="K11521" s="160" t="s">
        <v>25</v>
      </c>
      <c r="L11521" s="154" t="str">
        <f>IF(OpenLCAbasic!K11521="CTUh", "Fill in Manually",IF(OR(K11521="Unit", K11521=""), "", INDEX(LookUps!$E$5:$E$12, MATCH(OpenLCAbasic!K11521,LookUps!$D$5:$D$12,0))))</f>
        <v>Smog Formation Potential (SFP) - kg O3 eq</v>
      </c>
      <c r="M11521" s="154" t="str">
        <f t="shared" si="989"/>
        <v>High_High_Base_Upgraded_Smog Formation Potential (SFP) - kg O3 eq_Clear Cove Primary Clarification; wastewater treatment unit; at updated plant - US_Base_With Amendment_Aerated Static Pile</v>
      </c>
    </row>
    <row r="11522" spans="1:13" s="120" customFormat="1" x14ac:dyDescent="0.25">
      <c r="A11522" s="119"/>
      <c r="B11522" s="138" t="str">
        <f t="shared" si="990"/>
        <v>Aerated Static Pile</v>
      </c>
      <c r="C11522" s="138" t="str">
        <f t="shared" si="991"/>
        <v>Base_With Amendment</v>
      </c>
      <c r="D11522" s="138" t="str">
        <f t="shared" si="993"/>
        <v>High_Base</v>
      </c>
      <c r="E11522" s="138" t="str">
        <f t="shared" si="994"/>
        <v>High</v>
      </c>
      <c r="F11522" s="138" t="str">
        <f t="shared" si="992"/>
        <v>Upgraded</v>
      </c>
      <c r="G11522" s="153"/>
      <c r="H11522" s="210">
        <v>0.64910000000000001</v>
      </c>
      <c r="I11522" s="160" t="s">
        <v>58</v>
      </c>
      <c r="J11522" s="160">
        <v>4.2090000000000002E-2</v>
      </c>
      <c r="K11522" s="160" t="s">
        <v>25</v>
      </c>
      <c r="L11522" s="154" t="str">
        <f>IF(OpenLCAbasic!K11522="CTUh", "Fill in Manually",IF(OR(K11522="Unit", K11522=""), "", INDEX(LookUps!$E$5:$E$12, MATCH(OpenLCAbasic!K11522,LookUps!$D$5:$D$12,0))))</f>
        <v>Smog Formation Potential (SFP) - kg O3 eq</v>
      </c>
      <c r="M11522" s="154" t="str">
        <f t="shared" si="989"/>
        <v>High_High_Base_Upgraded_Smog Formation Potential (SFP) - kg O3 eq_Pre-Anoxic &amp; Swing tank; wastewater treatment unit; at updated plant - US_Base_With Amendment_Aerated Static Pile</v>
      </c>
    </row>
    <row r="11523" spans="1:13" s="120" customFormat="1" x14ac:dyDescent="0.25">
      <c r="A11523" s="119"/>
      <c r="B11523" s="138" t="str">
        <f t="shared" si="990"/>
        <v>Aerated Static Pile</v>
      </c>
      <c r="C11523" s="138" t="str">
        <f t="shared" si="991"/>
        <v>Base_With Amendment</v>
      </c>
      <c r="D11523" s="138" t="str">
        <f t="shared" si="993"/>
        <v>High_Base</v>
      </c>
      <c r="E11523" s="138" t="str">
        <f t="shared" si="994"/>
        <v>High</v>
      </c>
      <c r="F11523" s="138" t="str">
        <f t="shared" si="992"/>
        <v>Upgraded</v>
      </c>
      <c r="G11523" s="153"/>
      <c r="H11523" s="210">
        <v>0.52049999999999996</v>
      </c>
      <c r="I11523" s="160" t="s">
        <v>167</v>
      </c>
      <c r="J11523" s="160">
        <v>3.3759999999999998E-2</v>
      </c>
      <c r="K11523" s="160" t="s">
        <v>25</v>
      </c>
      <c r="L11523" s="154" t="str">
        <f>IF(OpenLCAbasic!K11523="CTUh", "Fill in Manually",IF(OR(K11523="Unit", K11523=""), "", INDEX(LookUps!$E$5:$E$12, MATCH(OpenLCAbasic!K11523,LookUps!$D$5:$D$12,0))))</f>
        <v>Smog Formation Potential (SFP) - kg O3 eq</v>
      </c>
      <c r="M11523" s="154" t="str">
        <f t="shared" si="989"/>
        <v>High_High_Base_Upgraded_Smog Formation Potential (SFP) - kg O3 eq_Waste Receiving and Holding; wastewater treatment unit; at updated plant - US_Base_With Amendment_Aerated Static Pile</v>
      </c>
    </row>
    <row r="11524" spans="1:13" s="120" customFormat="1" x14ac:dyDescent="0.25">
      <c r="A11524" s="119"/>
      <c r="B11524" s="138" t="str">
        <f t="shared" si="990"/>
        <v>Aerated Static Pile</v>
      </c>
      <c r="C11524" s="138" t="str">
        <f t="shared" si="991"/>
        <v>Base_With Amendment</v>
      </c>
      <c r="D11524" s="138" t="str">
        <f t="shared" si="993"/>
        <v>High_Base</v>
      </c>
      <c r="E11524" s="138" t="str">
        <f t="shared" si="994"/>
        <v>High</v>
      </c>
      <c r="F11524" s="138" t="str">
        <f t="shared" si="992"/>
        <v>Upgraded</v>
      </c>
      <c r="G11524" s="153"/>
      <c r="H11524" s="210">
        <v>0.51080000000000003</v>
      </c>
      <c r="I11524" s="160" t="s">
        <v>53</v>
      </c>
      <c r="J11524" s="160">
        <v>3.313E-2</v>
      </c>
      <c r="K11524" s="160" t="s">
        <v>25</v>
      </c>
      <c r="L11524" s="154" t="str">
        <f>IF(OpenLCAbasic!K11524="CTUh", "Fill in Manually",IF(OR(K11524="Unit", K11524=""), "", INDEX(LookUps!$E$5:$E$12, MATCH(OpenLCAbasic!K11524,LookUps!$D$5:$D$12,0))))</f>
        <v>Smog Formation Potential (SFP) - kg O3 eq</v>
      </c>
      <c r="M11524" s="154" t="str">
        <f t="shared" ref="M11524:M11587" si="995">CONCATENATE(E11524,"_",D11524,"_",F11524,"_",L11524, "_",I11524,"_", C11524,"_", B11524)</f>
        <v>High_High_Base_Upgraded_Smog Formation Potential (SFP) - kg O3 eq_Wet Well and Sump Station; wastewater treatment unit; at updated plant - US_Base_With Amendment_Aerated Static Pile</v>
      </c>
    </row>
    <row r="11525" spans="1:13" s="120" customFormat="1" x14ac:dyDescent="0.25">
      <c r="A11525" s="119"/>
      <c r="B11525" s="138" t="str">
        <f t="shared" si="990"/>
        <v>Aerated Static Pile</v>
      </c>
      <c r="C11525" s="138" t="str">
        <f t="shared" si="991"/>
        <v>Base_With Amendment</v>
      </c>
      <c r="D11525" s="138" t="str">
        <f t="shared" si="993"/>
        <v>High_Base</v>
      </c>
      <c r="E11525" s="138" t="str">
        <f t="shared" si="994"/>
        <v>High</v>
      </c>
      <c r="F11525" s="138" t="str">
        <f t="shared" si="992"/>
        <v>Upgraded</v>
      </c>
      <c r="G11525" s="153"/>
      <c r="H11525" s="210">
        <v>0.29909999999999998</v>
      </c>
      <c r="I11525" s="160" t="s">
        <v>147</v>
      </c>
      <c r="J11525" s="160">
        <v>1.9400000000000001E-2</v>
      </c>
      <c r="K11525" s="160" t="s">
        <v>25</v>
      </c>
      <c r="L11525" s="154" t="str">
        <f>IF(OpenLCAbasic!K11525="CTUh", "Fill in Manually",IF(OR(K11525="Unit", K11525=""), "", INDEX(LookUps!$E$5:$E$12, MATCH(OpenLCAbasic!K11525,LookUps!$D$5:$D$12,0))))</f>
        <v>Smog Formation Potential (SFP) - kg O3 eq</v>
      </c>
      <c r="M11525" s="154" t="str">
        <f t="shared" si="995"/>
        <v>High_High_Base_Upgraded_Smog Formation Potential (SFP) - kg O3 eq_Influent Pump Station; wastewater treatment unit; at updated plant - US_Base_With Amendment_Aerated Static Pile</v>
      </c>
    </row>
    <row r="11526" spans="1:13" s="120" customFormat="1" x14ac:dyDescent="0.25">
      <c r="A11526" s="119"/>
      <c r="B11526" s="138" t="str">
        <f t="shared" si="990"/>
        <v>Aerated Static Pile</v>
      </c>
      <c r="C11526" s="138" t="str">
        <f t="shared" si="991"/>
        <v>Base_With Amendment</v>
      </c>
      <c r="D11526" s="138" t="str">
        <f t="shared" si="993"/>
        <v>High_Base</v>
      </c>
      <c r="E11526" s="138" t="str">
        <f t="shared" si="994"/>
        <v>High</v>
      </c>
      <c r="F11526" s="138" t="str">
        <f t="shared" si="992"/>
        <v>Upgraded</v>
      </c>
      <c r="G11526" s="153"/>
      <c r="H11526" s="210">
        <v>0.21379999999999999</v>
      </c>
      <c r="I11526" s="160" t="s">
        <v>60</v>
      </c>
      <c r="J11526" s="160">
        <v>1.387E-2</v>
      </c>
      <c r="K11526" s="160" t="s">
        <v>25</v>
      </c>
      <c r="L11526" s="154" t="str">
        <f>IF(OpenLCAbasic!K11526="CTUh", "Fill in Manually",IF(OR(K11526="Unit", K11526=""), "", INDEX(LookUps!$E$5:$E$12, MATCH(OpenLCAbasic!K11526,LookUps!$D$5:$D$12,0))))</f>
        <v>Smog Formation Potential (SFP) - kg O3 eq</v>
      </c>
      <c r="M11526" s="154" t="str">
        <f t="shared" si="995"/>
        <v>High_High_Base_Upgraded_Smog Formation Potential (SFP) - kg O3 eq_Belt filter press; wastewater treatment unit; at updated plant - US_Base_With Amendment_Aerated Static Pile</v>
      </c>
    </row>
    <row r="11527" spans="1:13" s="120" customFormat="1" x14ac:dyDescent="0.25">
      <c r="A11527" s="119"/>
      <c r="B11527" s="138" t="str">
        <f t="shared" si="990"/>
        <v>Aerated Static Pile</v>
      </c>
      <c r="C11527" s="138" t="str">
        <f t="shared" si="991"/>
        <v>Base_With Amendment</v>
      </c>
      <c r="D11527" s="138" t="str">
        <f t="shared" si="993"/>
        <v>High_Base</v>
      </c>
      <c r="E11527" s="138" t="str">
        <f t="shared" si="994"/>
        <v>High</v>
      </c>
      <c r="F11527" s="138" t="str">
        <f t="shared" si="992"/>
        <v>Upgraded</v>
      </c>
      <c r="G11527" s="153"/>
      <c r="H11527" s="210">
        <v>0.18379999999999999</v>
      </c>
      <c r="I11527" s="160" t="s">
        <v>128</v>
      </c>
      <c r="J11527" s="160">
        <v>1.192E-2</v>
      </c>
      <c r="K11527" s="160" t="s">
        <v>25</v>
      </c>
      <c r="L11527" s="154" t="str">
        <f>IF(OpenLCAbasic!K11527="CTUh", "Fill in Manually",IF(OR(K11527="Unit", K11527=""), "", INDEX(LookUps!$E$5:$E$12, MATCH(OpenLCAbasic!K11527,LookUps!$D$5:$D$12,0))))</f>
        <v>Smog Formation Potential (SFP) - kg O3 eq</v>
      </c>
      <c r="M11527" s="154" t="str">
        <f t="shared" si="995"/>
        <v>High_High_Base_Upgraded_Smog Formation Potential (SFP) - kg O3 eq_Wastewater collection; operation and infrastructure; m3 wastewater_Base_With Amendment_Aerated Static Pile</v>
      </c>
    </row>
    <row r="11528" spans="1:13" s="120" customFormat="1" x14ac:dyDescent="0.25">
      <c r="A11528" s="119"/>
      <c r="B11528" s="138" t="str">
        <f t="shared" si="990"/>
        <v>Aerated Static Pile</v>
      </c>
      <c r="C11528" s="138" t="str">
        <f t="shared" si="991"/>
        <v>Base_With Amendment</v>
      </c>
      <c r="D11528" s="138" t="str">
        <f t="shared" si="993"/>
        <v>High_Base</v>
      </c>
      <c r="E11528" s="138" t="str">
        <f t="shared" si="994"/>
        <v>High</v>
      </c>
      <c r="F11528" s="138" t="str">
        <f t="shared" si="992"/>
        <v>Upgraded</v>
      </c>
      <c r="G11528" s="153"/>
      <c r="H11528" s="210">
        <v>0.1026</v>
      </c>
      <c r="I11528" s="160" t="s">
        <v>57</v>
      </c>
      <c r="J11528" s="160">
        <v>6.6499999999999997E-3</v>
      </c>
      <c r="K11528" s="160" t="s">
        <v>25</v>
      </c>
      <c r="L11528" s="154" t="str">
        <f>IF(OpenLCAbasic!K11528="CTUh", "Fill in Manually",IF(OR(K11528="Unit", K11528=""), "", INDEX(LookUps!$E$5:$E$12, MATCH(OpenLCAbasic!K11528,LookUps!$D$5:$D$12,0))))</f>
        <v>Smog Formation Potential (SFP) - kg O3 eq</v>
      </c>
      <c r="M11528" s="154" t="str">
        <f t="shared" si="995"/>
        <v>High_High_Base_Upgraded_Smog Formation Potential (SFP) - kg O3 eq_Gravity Belt Thickener; wastewater treatment unit; at updated plant - US_Base_With Amendment_Aerated Static Pile</v>
      </c>
    </row>
    <row r="11529" spans="1:13" s="120" customFormat="1" x14ac:dyDescent="0.25">
      <c r="A11529" s="119"/>
      <c r="B11529" s="138" t="str">
        <f t="shared" si="990"/>
        <v>Aerated Static Pile</v>
      </c>
      <c r="C11529" s="138" t="str">
        <f t="shared" si="991"/>
        <v>Base_With Amendment</v>
      </c>
      <c r="D11529" s="138" t="str">
        <f t="shared" si="993"/>
        <v>High_Base</v>
      </c>
      <c r="E11529" s="138" t="str">
        <f t="shared" si="994"/>
        <v>High</v>
      </c>
      <c r="F11529" s="138" t="str">
        <f t="shared" si="992"/>
        <v>Upgraded</v>
      </c>
      <c r="G11529" s="153"/>
      <c r="H11529" s="210">
        <v>7.6700000000000004E-2</v>
      </c>
      <c r="I11529" s="160" t="s">
        <v>59</v>
      </c>
      <c r="J11529" s="160">
        <v>4.9699999999999996E-3</v>
      </c>
      <c r="K11529" s="160" t="s">
        <v>25</v>
      </c>
      <c r="L11529" s="154" t="str">
        <f>IF(OpenLCAbasic!K11529="CTUh", "Fill in Manually",IF(OR(K11529="Unit", K11529=""), "", INDEX(LookUps!$E$5:$E$12, MATCH(OpenLCAbasic!K11529,LookUps!$D$5:$D$12,0))))</f>
        <v>Smog Formation Potential (SFP) - kg O3 eq</v>
      </c>
      <c r="M11529" s="154" t="str">
        <f t="shared" si="995"/>
        <v>High_High_Base_Upgraded_Smog Formation Potential (SFP) - kg O3 eq_Blend Tank; wastewater treatment unit; at updated plant - US_Base_With Amendment_Aerated Static Pile</v>
      </c>
    </row>
    <row r="11530" spans="1:13" s="120" customFormat="1" x14ac:dyDescent="0.25">
      <c r="A11530" s="119"/>
      <c r="B11530" s="138" t="str">
        <f t="shared" ref="B11530:B11593" si="996">IF(F11530="Legacy","n.a.",IF(F11530="","","Aerated Static Pile"))</f>
        <v>Aerated Static Pile</v>
      </c>
      <c r="C11530" s="138" t="str">
        <f t="shared" ref="C11530:C11593" si="997">IF(ISNUMBER($J11530),"Base_With Amendment","")</f>
        <v>Base_With Amendment</v>
      </c>
      <c r="D11530" s="138" t="str">
        <f t="shared" si="993"/>
        <v>High_Base</v>
      </c>
      <c r="E11530" s="138" t="str">
        <f t="shared" si="994"/>
        <v>High</v>
      </c>
      <c r="F11530" s="138" t="str">
        <f t="shared" ref="F11530:F11593" si="998">IF(ISNUMBER(J11530),"Upgraded","")</f>
        <v>Upgraded</v>
      </c>
      <c r="G11530" s="153"/>
      <c r="H11530" s="210">
        <v>5.2200000000000003E-2</v>
      </c>
      <c r="I11530" s="160" t="s">
        <v>48</v>
      </c>
      <c r="J11530" s="160">
        <v>3.3899999999999998E-3</v>
      </c>
      <c r="K11530" s="160" t="s">
        <v>25</v>
      </c>
      <c r="L11530" s="154" t="str">
        <f>IF(OpenLCAbasic!K11530="CTUh", "Fill in Manually",IF(OR(K11530="Unit", K11530=""), "", INDEX(LookUps!$E$5:$E$12, MATCH(OpenLCAbasic!K11530,LookUps!$D$5:$D$12,0))))</f>
        <v>Smog Formation Potential (SFP) - kg O3 eq</v>
      </c>
      <c r="M11530" s="154" t="str">
        <f t="shared" si="995"/>
        <v>High_High_Base_Upgraded_Smog Formation Potential (SFP) - kg O3 eq_Effluent release; wastewater treatment unit; at surface water; m3 wastewater - US_Base_With Amendment_Aerated Static Pile</v>
      </c>
    </row>
    <row r="11531" spans="1:13" s="120" customFormat="1" x14ac:dyDescent="0.25">
      <c r="A11531" s="119"/>
      <c r="B11531" s="138" t="str">
        <f t="shared" si="996"/>
        <v>Aerated Static Pile</v>
      </c>
      <c r="C11531" s="138" t="str">
        <f t="shared" si="997"/>
        <v>Base_With Amendment</v>
      </c>
      <c r="D11531" s="138" t="str">
        <f t="shared" si="993"/>
        <v>High_Base</v>
      </c>
      <c r="E11531" s="138" t="str">
        <f t="shared" si="994"/>
        <v>High</v>
      </c>
      <c r="F11531" s="138" t="str">
        <f t="shared" si="998"/>
        <v>Upgraded</v>
      </c>
      <c r="G11531" s="153"/>
      <c r="H11531" s="210">
        <v>3.7900000000000003E-2</v>
      </c>
      <c r="I11531" s="160" t="s">
        <v>168</v>
      </c>
      <c r="J11531" s="160">
        <v>2.4599999999999999E-3</v>
      </c>
      <c r="K11531" s="160" t="s">
        <v>25</v>
      </c>
      <c r="L11531" s="154" t="str">
        <f>IF(OpenLCAbasic!K11531="CTUh", "Fill in Manually",IF(OR(K11531="Unit", K11531=""), "", INDEX(LookUps!$E$5:$E$12, MATCH(OpenLCAbasic!K11531,LookUps!$D$5:$D$12,0))))</f>
        <v>Smog Formation Potential (SFP) - kg O3 eq</v>
      </c>
      <c r="M11531" s="154" t="str">
        <f t="shared" si="995"/>
        <v>High_High_Base_Upgraded_Smog Formation Potential (SFP) - kg O3 eq_ClearCove SCP; wastewater treatment unit; at updated plant - US_Base_With Amendment_Aerated Static Pile</v>
      </c>
    </row>
    <row r="11532" spans="1:13" s="120" customFormat="1" x14ac:dyDescent="0.25">
      <c r="A11532" s="119"/>
      <c r="B11532" s="138" t="str">
        <f t="shared" si="996"/>
        <v>Aerated Static Pile</v>
      </c>
      <c r="C11532" s="138" t="str">
        <f t="shared" si="997"/>
        <v>Base_With Amendment</v>
      </c>
      <c r="D11532" s="138" t="str">
        <f t="shared" si="993"/>
        <v>High_Base</v>
      </c>
      <c r="E11532" s="138" t="str">
        <f t="shared" si="994"/>
        <v>High</v>
      </c>
      <c r="F11532" s="138" t="str">
        <f t="shared" si="998"/>
        <v>Upgraded</v>
      </c>
      <c r="G11532" s="153"/>
      <c r="H11532" s="210">
        <v>8.3000000000000001E-3</v>
      </c>
      <c r="I11532" s="160" t="s">
        <v>148</v>
      </c>
      <c r="J11532" s="160">
        <v>5.4000000000000001E-4</v>
      </c>
      <c r="K11532" s="160" t="s">
        <v>25</v>
      </c>
      <c r="L11532" s="154" t="str">
        <f>IF(OpenLCAbasic!K11532="CTUh", "Fill in Manually",IF(OR(K11532="Unit", K11532=""), "", INDEX(LookUps!$E$5:$E$12, MATCH(OpenLCAbasic!K11532,LookUps!$D$5:$D$12,0))))</f>
        <v>Smog Formation Potential (SFP) - kg O3 eq</v>
      </c>
      <c r="M11532" s="154" t="str">
        <f t="shared" si="995"/>
        <v>High_High_Base_Upgraded_Smog Formation Potential (SFP) - kg O3 eq_Control Building; at upgraded wastewater treatment plant - US_Base_With Amendment_Aerated Static Pile</v>
      </c>
    </row>
    <row r="11533" spans="1:13" s="120" customFormat="1" x14ac:dyDescent="0.25">
      <c r="A11533" s="119"/>
      <c r="B11533" s="138" t="str">
        <f t="shared" si="996"/>
        <v>Aerated Static Pile</v>
      </c>
      <c r="C11533" s="138" t="str">
        <f t="shared" si="997"/>
        <v>Base_With Amendment</v>
      </c>
      <c r="D11533" s="138" t="str">
        <f t="shared" si="993"/>
        <v>High_Base</v>
      </c>
      <c r="E11533" s="138" t="str">
        <f t="shared" si="994"/>
        <v>High</v>
      </c>
      <c r="F11533" s="138" t="str">
        <f t="shared" si="998"/>
        <v>Upgraded</v>
      </c>
      <c r="G11533" s="153"/>
      <c r="H11533" s="210">
        <v>-7.8600000000000003E-2</v>
      </c>
      <c r="I11533" s="160" t="s">
        <v>62</v>
      </c>
      <c r="J11533" s="160">
        <v>-5.1000000000000004E-3</v>
      </c>
      <c r="K11533" s="160" t="s">
        <v>25</v>
      </c>
      <c r="L11533" s="154" t="str">
        <f>IF(OpenLCAbasic!K11533="CTUh", "Fill in Manually",IF(OR(K11533="Unit", K11533=""), "", INDEX(LookUps!$E$5:$E$12, MATCH(OpenLCAbasic!K11533,LookUps!$D$5:$D$12,0))))</f>
        <v>Smog Formation Potential (SFP) - kg O3 eq</v>
      </c>
      <c r="M11533" s="154" t="str">
        <f t="shared" si="995"/>
        <v>High_High_Base_Upgraded_Smog Formation Potential (SFP) - kg O3 eq_Land application of compost; wastewater treatment unit; at updated plant - US_Base_With Amendment_Aerated Static Pile</v>
      </c>
    </row>
    <row r="11534" spans="1:13" s="120" customFormat="1" x14ac:dyDescent="0.25">
      <c r="A11534" s="119"/>
      <c r="B11534" s="138" t="str">
        <f t="shared" si="996"/>
        <v>Aerated Static Pile</v>
      </c>
      <c r="C11534" s="138" t="str">
        <f t="shared" si="997"/>
        <v>Base_With Amendment</v>
      </c>
      <c r="D11534" s="138" t="str">
        <f t="shared" si="993"/>
        <v>High_Base</v>
      </c>
      <c r="E11534" s="138" t="str">
        <f t="shared" si="994"/>
        <v>High</v>
      </c>
      <c r="F11534" s="138" t="str">
        <f t="shared" si="998"/>
        <v>Upgraded</v>
      </c>
      <c r="G11534" s="153"/>
      <c r="H11534" s="210">
        <v>-6.6257000000000001</v>
      </c>
      <c r="I11534" s="160" t="s">
        <v>149</v>
      </c>
      <c r="J11534" s="160">
        <v>-0.42965999999999999</v>
      </c>
      <c r="K11534" s="160" t="s">
        <v>25</v>
      </c>
      <c r="L11534" s="154" t="str">
        <f>IF(OpenLCAbasic!K11534="CTUh", "Fill in Manually",IF(OR(K11534="Unit", K11534=""), "", INDEX(LookUps!$E$5:$E$12, MATCH(OpenLCAbasic!K11534,LookUps!$D$5:$D$12,0))))</f>
        <v>Smog Formation Potential (SFP) - kg O3 eq</v>
      </c>
      <c r="M11534" s="154" t="str">
        <f t="shared" si="995"/>
        <v>High_High_Base_Upgraded_Smog Formation Potential (SFP) - kg O3 eq_Anaerobic Digestion; wastewater treatment unit; at updated plant - US_Base_With Amendment_Aerated Static Pile</v>
      </c>
    </row>
    <row r="11535" spans="1:13" s="120" customFormat="1" x14ac:dyDescent="0.25">
      <c r="A11535" s="119"/>
      <c r="B11535" s="138" t="str">
        <f t="shared" si="996"/>
        <v/>
      </c>
      <c r="C11535" s="138" t="str">
        <f t="shared" si="997"/>
        <v/>
      </c>
      <c r="D11535" s="138" t="str">
        <f t="shared" si="993"/>
        <v/>
      </c>
      <c r="E11535" s="138" t="str">
        <f t="shared" si="994"/>
        <v/>
      </c>
      <c r="F11535" s="138" t="str">
        <f t="shared" si="998"/>
        <v/>
      </c>
      <c r="G11535" s="153" t="s">
        <v>51</v>
      </c>
      <c r="H11535" s="160"/>
      <c r="I11535" s="160" t="s">
        <v>47</v>
      </c>
      <c r="J11535" s="160" t="s">
        <v>52</v>
      </c>
      <c r="K11535" s="160" t="s">
        <v>27</v>
      </c>
      <c r="L11535" s="154" t="str">
        <f>IF(OpenLCAbasic!K11535="CTUh", "Fill in Manually",IF(OR(K11535="Unit", K11535=""), "", INDEX(LookUps!$E$5:$E$12, MATCH(OpenLCAbasic!K11535,LookUps!$D$5:$D$12,0))))</f>
        <v/>
      </c>
      <c r="M11535" s="154" t="str">
        <f t="shared" si="995"/>
        <v>____Process__</v>
      </c>
    </row>
    <row r="11536" spans="1:13" s="120" customFormat="1" x14ac:dyDescent="0.25">
      <c r="A11536" s="119"/>
      <c r="B11536" s="138" t="str">
        <f t="shared" si="996"/>
        <v>Aerated Static Pile</v>
      </c>
      <c r="C11536" s="138" t="str">
        <f t="shared" si="997"/>
        <v>Base_With Amendment</v>
      </c>
      <c r="D11536" s="138" t="str">
        <f t="shared" si="993"/>
        <v>High_Base</v>
      </c>
      <c r="E11536" s="138" t="str">
        <f t="shared" si="994"/>
        <v>High</v>
      </c>
      <c r="F11536" s="138" t="str">
        <f t="shared" si="998"/>
        <v>Upgraded</v>
      </c>
      <c r="G11536" s="153"/>
      <c r="H11536" s="210">
        <v>0.3256</v>
      </c>
      <c r="I11536" s="160" t="s">
        <v>167</v>
      </c>
      <c r="J11536" s="160">
        <v>3.4000000000000002E-4</v>
      </c>
      <c r="K11536" s="160" t="s">
        <v>26</v>
      </c>
      <c r="L11536" s="154" t="str">
        <f>IF(OpenLCAbasic!K11536="CTUh", "Fill in Manually",IF(OR(K11536="Unit", K11536=""), "", INDEX(LookUps!$E$5:$E$12, MATCH(OpenLCAbasic!K11536,LookUps!$D$5:$D$12,0))))</f>
        <v>Water Use (WU) - m3 H2O</v>
      </c>
      <c r="M11536" s="154" t="str">
        <f t="shared" si="995"/>
        <v>High_High_Base_Upgraded_Water Use (WU) - m3 H2O_Waste Receiving and Holding; wastewater treatment unit; at updated plant - US_Base_With Amendment_Aerated Static Pile</v>
      </c>
    </row>
    <row r="11537" spans="1:13" s="120" customFormat="1" x14ac:dyDescent="0.25">
      <c r="A11537" s="119"/>
      <c r="B11537" s="138" t="str">
        <f t="shared" si="996"/>
        <v>Aerated Static Pile</v>
      </c>
      <c r="C11537" s="138" t="str">
        <f t="shared" si="997"/>
        <v>Base_With Amendment</v>
      </c>
      <c r="D11537" s="138" t="str">
        <f t="shared" si="993"/>
        <v>High_Base</v>
      </c>
      <c r="E11537" s="138" t="str">
        <f t="shared" si="994"/>
        <v>High</v>
      </c>
      <c r="F11537" s="138" t="str">
        <f t="shared" si="998"/>
        <v>Upgraded</v>
      </c>
      <c r="G11537" s="153"/>
      <c r="H11537" s="210">
        <v>0.17810000000000001</v>
      </c>
      <c r="I11537" s="160" t="s">
        <v>147</v>
      </c>
      <c r="J11537" s="160">
        <v>1.8000000000000001E-4</v>
      </c>
      <c r="K11537" s="160" t="s">
        <v>26</v>
      </c>
      <c r="L11537" s="154" t="str">
        <f>IF(OpenLCAbasic!K11537="CTUh", "Fill in Manually",IF(OR(K11537="Unit", K11537=""), "", INDEX(LookUps!$E$5:$E$12, MATCH(OpenLCAbasic!K11537,LookUps!$D$5:$D$12,0))))</f>
        <v>Water Use (WU) - m3 H2O</v>
      </c>
      <c r="M11537" s="154" t="str">
        <f t="shared" si="995"/>
        <v>High_High_Base_Upgraded_Water Use (WU) - m3 H2O_Influent Pump Station; wastewater treatment unit; at updated plant - US_Base_With Amendment_Aerated Static Pile</v>
      </c>
    </row>
    <row r="11538" spans="1:13" s="120" customFormat="1" x14ac:dyDescent="0.25">
      <c r="A11538" s="119"/>
      <c r="B11538" s="138" t="str">
        <f t="shared" si="996"/>
        <v>Aerated Static Pile</v>
      </c>
      <c r="C11538" s="138" t="str">
        <f t="shared" si="997"/>
        <v>Base_With Amendment</v>
      </c>
      <c r="D11538" s="138" t="str">
        <f t="shared" si="993"/>
        <v>High_Base</v>
      </c>
      <c r="E11538" s="138" t="str">
        <f t="shared" si="994"/>
        <v>High</v>
      </c>
      <c r="F11538" s="138" t="str">
        <f t="shared" si="998"/>
        <v>Upgraded</v>
      </c>
      <c r="G11538" s="153"/>
      <c r="H11538" s="210">
        <v>0.17380000000000001</v>
      </c>
      <c r="I11538" s="160" t="s">
        <v>54</v>
      </c>
      <c r="J11538" s="160">
        <v>1.8000000000000001E-4</v>
      </c>
      <c r="K11538" s="160" t="s">
        <v>26</v>
      </c>
      <c r="L11538" s="154" t="str">
        <f>IF(OpenLCAbasic!K11538="CTUh", "Fill in Manually",IF(OR(K11538="Unit", K11538=""), "", INDEX(LookUps!$E$5:$E$12, MATCH(OpenLCAbasic!K11538,LookUps!$D$5:$D$12,0))))</f>
        <v>Water Use (WU) - m3 H2O</v>
      </c>
      <c r="M11538" s="154" t="str">
        <f t="shared" si="995"/>
        <v>High_High_Base_Upgraded_Water Use (WU) - m3 H2O_Clear Cove Primary Clarification; wastewater treatment unit; at updated plant - US_Base_With Amendment_Aerated Static Pile</v>
      </c>
    </row>
    <row r="11539" spans="1:13" s="120" customFormat="1" x14ac:dyDescent="0.25">
      <c r="A11539" s="119"/>
      <c r="B11539" s="138" t="str">
        <f t="shared" si="996"/>
        <v>Aerated Static Pile</v>
      </c>
      <c r="C11539" s="138" t="str">
        <f t="shared" si="997"/>
        <v>Base_With Amendment</v>
      </c>
      <c r="D11539" s="138" t="str">
        <f t="shared" si="993"/>
        <v>High_Base</v>
      </c>
      <c r="E11539" s="138" t="str">
        <f t="shared" si="994"/>
        <v>High</v>
      </c>
      <c r="F11539" s="138" t="str">
        <f t="shared" si="998"/>
        <v>Upgraded</v>
      </c>
      <c r="G11539" s="153"/>
      <c r="H11539" s="210">
        <v>0.15770000000000001</v>
      </c>
      <c r="I11539" s="160" t="s">
        <v>55</v>
      </c>
      <c r="J11539" s="160">
        <v>1.6000000000000001E-4</v>
      </c>
      <c r="K11539" s="160" t="s">
        <v>26</v>
      </c>
      <c r="L11539" s="154" t="str">
        <f>IF(OpenLCAbasic!K11539="CTUh", "Fill in Manually",IF(OR(K11539="Unit", K11539=""), "", INDEX(LookUps!$E$5:$E$12, MATCH(OpenLCAbasic!K11539,LookUps!$D$5:$D$12,0))))</f>
        <v>Water Use (WU) - m3 H2O</v>
      </c>
      <c r="M11539" s="154" t="str">
        <f t="shared" si="995"/>
        <v>High_High_Base_Upgraded_Water Use (WU) - m3 H2O_Aeration Tanks; wastewater treatment unit; at updated plant - US_Base_With Amendment_Aerated Static Pile</v>
      </c>
    </row>
    <row r="11540" spans="1:13" s="120" customFormat="1" x14ac:dyDescent="0.25">
      <c r="A11540" s="119"/>
      <c r="B11540" s="138" t="str">
        <f t="shared" si="996"/>
        <v>Aerated Static Pile</v>
      </c>
      <c r="C11540" s="138" t="str">
        <f t="shared" si="997"/>
        <v>Base_With Amendment</v>
      </c>
      <c r="D11540" s="138" t="str">
        <f t="shared" si="993"/>
        <v>High_Base</v>
      </c>
      <c r="E11540" s="138" t="str">
        <f t="shared" si="994"/>
        <v>High</v>
      </c>
      <c r="F11540" s="138" t="str">
        <f t="shared" si="998"/>
        <v>Upgraded</v>
      </c>
      <c r="G11540" s="153"/>
      <c r="H11540" s="210">
        <v>0.14360000000000001</v>
      </c>
      <c r="I11540" s="160" t="s">
        <v>148</v>
      </c>
      <c r="J11540" s="160">
        <v>1.4999999999999999E-4</v>
      </c>
      <c r="K11540" s="160" t="s">
        <v>26</v>
      </c>
      <c r="L11540" s="154" t="str">
        <f>IF(OpenLCAbasic!K11540="CTUh", "Fill in Manually",IF(OR(K11540="Unit", K11540=""), "", INDEX(LookUps!$E$5:$E$12, MATCH(OpenLCAbasic!K11540,LookUps!$D$5:$D$12,0))))</f>
        <v>Water Use (WU) - m3 H2O</v>
      </c>
      <c r="M11540" s="154" t="str">
        <f t="shared" si="995"/>
        <v>High_High_Base_Upgraded_Water Use (WU) - m3 H2O_Control Building; at upgraded wastewater treatment plant - US_Base_With Amendment_Aerated Static Pile</v>
      </c>
    </row>
    <row r="11541" spans="1:13" s="120" customFormat="1" x14ac:dyDescent="0.25">
      <c r="A11541" s="119"/>
      <c r="B11541" s="138" t="str">
        <f t="shared" si="996"/>
        <v>Aerated Static Pile</v>
      </c>
      <c r="C11541" s="138" t="str">
        <f t="shared" si="997"/>
        <v>Base_With Amendment</v>
      </c>
      <c r="D11541" s="138" t="str">
        <f t="shared" si="993"/>
        <v>High_Base</v>
      </c>
      <c r="E11541" s="138" t="str">
        <f t="shared" si="994"/>
        <v>High</v>
      </c>
      <c r="F11541" s="138" t="str">
        <f t="shared" si="998"/>
        <v>Upgraded</v>
      </c>
      <c r="G11541" s="153"/>
      <c r="H11541" s="210">
        <v>6.6699999999999995E-2</v>
      </c>
      <c r="I11541" s="160" t="s">
        <v>48</v>
      </c>
      <c r="J11541" s="211">
        <v>6.8836400000000004E-5</v>
      </c>
      <c r="K11541" s="160" t="s">
        <v>26</v>
      </c>
      <c r="L11541" s="154" t="str">
        <f>IF(OpenLCAbasic!K11541="CTUh", "Fill in Manually",IF(OR(K11541="Unit", K11541=""), "", INDEX(LookUps!$E$5:$E$12, MATCH(OpenLCAbasic!K11541,LookUps!$D$5:$D$12,0))))</f>
        <v>Water Use (WU) - m3 H2O</v>
      </c>
      <c r="M11541" s="154" t="str">
        <f t="shared" si="995"/>
        <v>High_High_Base_Upgraded_Water Use (WU) - m3 H2O_Effluent release; wastewater treatment unit; at surface water; m3 wastewater - US_Base_With Amendment_Aerated Static Pile</v>
      </c>
    </row>
    <row r="11542" spans="1:13" s="120" customFormat="1" x14ac:dyDescent="0.25">
      <c r="A11542" s="119"/>
      <c r="B11542" s="138" t="str">
        <f t="shared" si="996"/>
        <v>Aerated Static Pile</v>
      </c>
      <c r="C11542" s="138" t="str">
        <f t="shared" si="997"/>
        <v>Base_With Amendment</v>
      </c>
      <c r="D11542" s="138" t="str">
        <f t="shared" si="993"/>
        <v>High_Base</v>
      </c>
      <c r="E11542" s="138" t="str">
        <f t="shared" si="994"/>
        <v>High</v>
      </c>
      <c r="F11542" s="138" t="str">
        <f t="shared" si="998"/>
        <v>Upgraded</v>
      </c>
      <c r="G11542" s="153"/>
      <c r="H11542" s="210">
        <v>4.19E-2</v>
      </c>
      <c r="I11542" s="160" t="s">
        <v>58</v>
      </c>
      <c r="J11542" s="211">
        <v>4.3289399999999999E-5</v>
      </c>
      <c r="K11542" s="160" t="s">
        <v>26</v>
      </c>
      <c r="L11542" s="154" t="str">
        <f>IF(OpenLCAbasic!K11542="CTUh", "Fill in Manually",IF(OR(K11542="Unit", K11542=""), "", INDEX(LookUps!$E$5:$E$12, MATCH(OpenLCAbasic!K11542,LookUps!$D$5:$D$12,0))))</f>
        <v>Water Use (WU) - m3 H2O</v>
      </c>
      <c r="M11542" s="154" t="str">
        <f t="shared" si="995"/>
        <v>High_High_Base_Upgraded_Water Use (WU) - m3 H2O_Pre-Anoxic &amp; Swing tank; wastewater treatment unit; at updated plant - US_Base_With Amendment_Aerated Static Pile</v>
      </c>
    </row>
    <row r="11543" spans="1:13" s="120" customFormat="1" x14ac:dyDescent="0.25">
      <c r="A11543" s="119"/>
      <c r="B11543" s="138" t="str">
        <f t="shared" si="996"/>
        <v>Aerated Static Pile</v>
      </c>
      <c r="C11543" s="138" t="str">
        <f t="shared" si="997"/>
        <v>Base_With Amendment</v>
      </c>
      <c r="D11543" s="138" t="str">
        <f t="shared" si="993"/>
        <v>High_Base</v>
      </c>
      <c r="E11543" s="138" t="str">
        <f t="shared" si="994"/>
        <v>High</v>
      </c>
      <c r="F11543" s="138" t="str">
        <f t="shared" si="998"/>
        <v>Upgraded</v>
      </c>
      <c r="G11543" s="153"/>
      <c r="H11543" s="210">
        <v>4.0099999999999997E-2</v>
      </c>
      <c r="I11543" s="160" t="s">
        <v>60</v>
      </c>
      <c r="J11543" s="211">
        <v>4.1413099999999998E-5</v>
      </c>
      <c r="K11543" s="160" t="s">
        <v>26</v>
      </c>
      <c r="L11543" s="154" t="str">
        <f>IF(OpenLCAbasic!K11543="CTUh", "Fill in Manually",IF(OR(K11543="Unit", K11543=""), "", INDEX(LookUps!$E$5:$E$12, MATCH(OpenLCAbasic!K11543,LookUps!$D$5:$D$12,0))))</f>
        <v>Water Use (WU) - m3 H2O</v>
      </c>
      <c r="M11543" s="154" t="str">
        <f t="shared" si="995"/>
        <v>High_High_Base_Upgraded_Water Use (WU) - m3 H2O_Belt filter press; wastewater treatment unit; at updated plant - US_Base_With Amendment_Aerated Static Pile</v>
      </c>
    </row>
    <row r="11544" spans="1:13" s="120" customFormat="1" x14ac:dyDescent="0.25">
      <c r="A11544" s="119"/>
      <c r="B11544" s="138" t="str">
        <f t="shared" si="996"/>
        <v>Aerated Static Pile</v>
      </c>
      <c r="C11544" s="138" t="str">
        <f t="shared" si="997"/>
        <v>Base_With Amendment</v>
      </c>
      <c r="D11544" s="138" t="str">
        <f t="shared" si="993"/>
        <v>High_Base</v>
      </c>
      <c r="E11544" s="138" t="str">
        <f t="shared" si="994"/>
        <v>High</v>
      </c>
      <c r="F11544" s="138" t="str">
        <f t="shared" si="998"/>
        <v>Upgraded</v>
      </c>
      <c r="G11544" s="153"/>
      <c r="H11544" s="210">
        <v>3.6200000000000003E-2</v>
      </c>
      <c r="I11544" s="160" t="s">
        <v>435</v>
      </c>
      <c r="J11544" s="211">
        <v>3.7308799999999998E-5</v>
      </c>
      <c r="K11544" s="160" t="s">
        <v>26</v>
      </c>
      <c r="L11544" s="154" t="str">
        <f>IF(OpenLCAbasic!K11544="CTUh", "Fill in Manually",IF(OR(K11544="Unit", K11544=""), "", INDEX(LookUps!$E$5:$E$12, MATCH(OpenLCAbasic!K11544,LookUps!$D$5:$D$12,0))))</f>
        <v>Water Use (WU) - m3 H2O</v>
      </c>
      <c r="M11544" s="154" t="str">
        <f t="shared" si="995"/>
        <v>High_High_Base_Upgraded_Water Use (WU) - m3 H2O_Biosolids composting; aerated static pile; wastewater treatment unit; at updated plant - US_Base_With Amendment_Aerated Static Pile</v>
      </c>
    </row>
    <row r="11545" spans="1:13" s="120" customFormat="1" x14ac:dyDescent="0.25">
      <c r="A11545" s="119"/>
      <c r="B11545" s="138" t="str">
        <f t="shared" si="996"/>
        <v>Aerated Static Pile</v>
      </c>
      <c r="C11545" s="138" t="str">
        <f t="shared" si="997"/>
        <v>Base_With Amendment</v>
      </c>
      <c r="D11545" s="138" t="str">
        <f t="shared" ref="D11545:D11551" si="999">IF(ISNUMBER($J11545),"High_Base","")</f>
        <v>High_Base</v>
      </c>
      <c r="E11545" s="138" t="str">
        <f t="shared" si="994"/>
        <v>High</v>
      </c>
      <c r="F11545" s="138" t="str">
        <f t="shared" si="998"/>
        <v>Upgraded</v>
      </c>
      <c r="G11545" s="153"/>
      <c r="H11545" s="210">
        <v>2.9499999999999998E-2</v>
      </c>
      <c r="I11545" s="160" t="s">
        <v>57</v>
      </c>
      <c r="J11545" s="211">
        <v>3.0408100000000001E-5</v>
      </c>
      <c r="K11545" s="160" t="s">
        <v>26</v>
      </c>
      <c r="L11545" s="154" t="str">
        <f>IF(OpenLCAbasic!K11545="CTUh", "Fill in Manually",IF(OR(K11545="Unit", K11545=""), "", INDEX(LookUps!$E$5:$E$12, MATCH(OpenLCAbasic!K11545,LookUps!$D$5:$D$12,0))))</f>
        <v>Water Use (WU) - m3 H2O</v>
      </c>
      <c r="M11545" s="154" t="str">
        <f t="shared" si="995"/>
        <v>High_High_Base_Upgraded_Water Use (WU) - m3 H2O_Gravity Belt Thickener; wastewater treatment unit; at updated plant - US_Base_With Amendment_Aerated Static Pile</v>
      </c>
    </row>
    <row r="11546" spans="1:13" s="120" customFormat="1" x14ac:dyDescent="0.25">
      <c r="A11546" s="119"/>
      <c r="B11546" s="138" t="str">
        <f t="shared" si="996"/>
        <v>Aerated Static Pile</v>
      </c>
      <c r="C11546" s="138" t="str">
        <f t="shared" si="997"/>
        <v>Base_With Amendment</v>
      </c>
      <c r="D11546" s="138" t="str">
        <f t="shared" si="999"/>
        <v>High_Base</v>
      </c>
      <c r="E11546" s="138" t="str">
        <f t="shared" si="994"/>
        <v>High</v>
      </c>
      <c r="F11546" s="138" t="str">
        <f t="shared" si="998"/>
        <v>Upgraded</v>
      </c>
      <c r="G11546" s="153"/>
      <c r="H11546" s="210">
        <v>1.7000000000000001E-2</v>
      </c>
      <c r="I11546" s="160" t="s">
        <v>53</v>
      </c>
      <c r="J11546" s="211">
        <v>1.75069E-5</v>
      </c>
      <c r="K11546" s="160" t="s">
        <v>26</v>
      </c>
      <c r="L11546" s="154" t="str">
        <f>IF(OpenLCAbasic!K11546="CTUh", "Fill in Manually",IF(OR(K11546="Unit", K11546=""), "", INDEX(LookUps!$E$5:$E$12, MATCH(OpenLCAbasic!K11546,LookUps!$D$5:$D$12,0))))</f>
        <v>Water Use (WU) - m3 H2O</v>
      </c>
      <c r="M11546" s="154" t="str">
        <f t="shared" si="995"/>
        <v>High_High_Base_Upgraded_Water Use (WU) - m3 H2O_Wet Well and Sump Station; wastewater treatment unit; at updated plant - US_Base_With Amendment_Aerated Static Pile</v>
      </c>
    </row>
    <row r="11547" spans="1:13" s="120" customFormat="1" x14ac:dyDescent="0.25">
      <c r="A11547" s="119"/>
      <c r="B11547" s="138" t="str">
        <f t="shared" si="996"/>
        <v>Aerated Static Pile</v>
      </c>
      <c r="C11547" s="138" t="str">
        <f t="shared" si="997"/>
        <v>Base_With Amendment</v>
      </c>
      <c r="D11547" s="138" t="str">
        <f t="shared" si="999"/>
        <v>High_Base</v>
      </c>
      <c r="E11547" s="138" t="str">
        <f t="shared" si="994"/>
        <v>High</v>
      </c>
      <c r="F11547" s="138" t="str">
        <f t="shared" si="998"/>
        <v>Upgraded</v>
      </c>
      <c r="G11547" s="153"/>
      <c r="H11547" s="210">
        <v>6.7999999999999996E-3</v>
      </c>
      <c r="I11547" s="160" t="s">
        <v>59</v>
      </c>
      <c r="J11547" s="211">
        <v>7.0179500000000003E-6</v>
      </c>
      <c r="K11547" s="160" t="s">
        <v>26</v>
      </c>
      <c r="L11547" s="154" t="str">
        <f>IF(OpenLCAbasic!K11547="CTUh", "Fill in Manually",IF(OR(K11547="Unit", K11547=""), "", INDEX(LookUps!$E$5:$E$12, MATCH(OpenLCAbasic!K11547,LookUps!$D$5:$D$12,0))))</f>
        <v>Water Use (WU) - m3 H2O</v>
      </c>
      <c r="M11547" s="154" t="str">
        <f t="shared" si="995"/>
        <v>High_High_Base_Upgraded_Water Use (WU) - m3 H2O_Blend Tank; wastewater treatment unit; at updated plant - US_Base_With Amendment_Aerated Static Pile</v>
      </c>
    </row>
    <row r="11548" spans="1:13" s="120" customFormat="1" x14ac:dyDescent="0.25">
      <c r="A11548" s="119"/>
      <c r="B11548" s="138" t="str">
        <f t="shared" si="996"/>
        <v>Aerated Static Pile</v>
      </c>
      <c r="C11548" s="138" t="str">
        <f t="shared" si="997"/>
        <v>Base_With Amendment</v>
      </c>
      <c r="D11548" s="138" t="str">
        <f t="shared" si="999"/>
        <v>High_Base</v>
      </c>
      <c r="E11548" s="138" t="str">
        <f t="shared" si="994"/>
        <v>High</v>
      </c>
      <c r="F11548" s="138" t="str">
        <f t="shared" si="998"/>
        <v>Upgraded</v>
      </c>
      <c r="G11548" s="153"/>
      <c r="H11548" s="210">
        <v>4.8999999999999998E-3</v>
      </c>
      <c r="I11548" s="160" t="s">
        <v>128</v>
      </c>
      <c r="J11548" s="211">
        <v>5.0608900000000003E-6</v>
      </c>
      <c r="K11548" s="160" t="s">
        <v>26</v>
      </c>
      <c r="L11548" s="154" t="str">
        <f>IF(OpenLCAbasic!K11548="CTUh", "Fill in Manually",IF(OR(K11548="Unit", K11548=""), "", INDEX(LookUps!$E$5:$E$12, MATCH(OpenLCAbasic!K11548,LookUps!$D$5:$D$12,0))))</f>
        <v>Water Use (WU) - m3 H2O</v>
      </c>
      <c r="M11548" s="154" t="str">
        <f t="shared" si="995"/>
        <v>High_High_Base_Upgraded_Water Use (WU) - m3 H2O_Wastewater collection; operation and infrastructure; m3 wastewater_Base_With Amendment_Aerated Static Pile</v>
      </c>
    </row>
    <row r="11549" spans="1:13" s="120" customFormat="1" x14ac:dyDescent="0.25">
      <c r="A11549" s="119"/>
      <c r="B11549" s="138" t="str">
        <f t="shared" si="996"/>
        <v>Aerated Static Pile</v>
      </c>
      <c r="C11549" s="138" t="str">
        <f t="shared" si="997"/>
        <v>Base_With Amendment</v>
      </c>
      <c r="D11549" s="138" t="str">
        <f t="shared" si="999"/>
        <v>High_Base</v>
      </c>
      <c r="E11549" s="138" t="str">
        <f t="shared" si="994"/>
        <v>High</v>
      </c>
      <c r="F11549" s="138" t="str">
        <f t="shared" si="998"/>
        <v>Upgraded</v>
      </c>
      <c r="G11549" s="153"/>
      <c r="H11549" s="210">
        <v>6.9999999999999999E-4</v>
      </c>
      <c r="I11549" s="160" t="s">
        <v>168</v>
      </c>
      <c r="J11549" s="211">
        <v>7.6697000000000004E-7</v>
      </c>
      <c r="K11549" s="160" t="s">
        <v>26</v>
      </c>
      <c r="L11549" s="154" t="str">
        <f>IF(OpenLCAbasic!K11549="CTUh", "Fill in Manually",IF(OR(K11549="Unit", K11549=""), "", INDEX(LookUps!$E$5:$E$12, MATCH(OpenLCAbasic!K11549,LookUps!$D$5:$D$12,0))))</f>
        <v>Water Use (WU) - m3 H2O</v>
      </c>
      <c r="M11549" s="154" t="str">
        <f t="shared" si="995"/>
        <v>High_High_Base_Upgraded_Water Use (WU) - m3 H2O_ClearCove SCP; wastewater treatment unit; at updated plant - US_Base_With Amendment_Aerated Static Pile</v>
      </c>
    </row>
    <row r="11550" spans="1:13" s="120" customFormat="1" x14ac:dyDescent="0.25">
      <c r="A11550" s="119"/>
      <c r="B11550" s="138" t="str">
        <f t="shared" si="996"/>
        <v>Aerated Static Pile</v>
      </c>
      <c r="C11550" s="138" t="str">
        <f t="shared" si="997"/>
        <v>Base_With Amendment</v>
      </c>
      <c r="D11550" s="138" t="str">
        <f t="shared" si="999"/>
        <v>High_Base</v>
      </c>
      <c r="E11550" s="138" t="str">
        <f t="shared" si="994"/>
        <v>High</v>
      </c>
      <c r="F11550" s="138" t="str">
        <f t="shared" si="998"/>
        <v>Upgraded</v>
      </c>
      <c r="G11550" s="153"/>
      <c r="H11550" s="210">
        <v>-0.1118</v>
      </c>
      <c r="I11550" s="160" t="s">
        <v>149</v>
      </c>
      <c r="J11550" s="160">
        <v>-1.2E-4</v>
      </c>
      <c r="K11550" s="160" t="s">
        <v>26</v>
      </c>
      <c r="L11550" s="154" t="str">
        <f>IF(OpenLCAbasic!K11550="CTUh", "Fill in Manually",IF(OR(K11550="Unit", K11550=""), "", INDEX(LookUps!$E$5:$E$12, MATCH(OpenLCAbasic!K11550,LookUps!$D$5:$D$12,0))))</f>
        <v>Water Use (WU) - m3 H2O</v>
      </c>
      <c r="M11550" s="154" t="str">
        <f t="shared" si="995"/>
        <v>High_High_Base_Upgraded_Water Use (WU) - m3 H2O_Anaerobic Digestion; wastewater treatment unit; at updated plant - US_Base_With Amendment_Aerated Static Pile</v>
      </c>
    </row>
    <row r="11551" spans="1:13" s="120" customFormat="1" x14ac:dyDescent="0.25">
      <c r="A11551" s="119"/>
      <c r="B11551" s="138" t="str">
        <f t="shared" si="996"/>
        <v>Aerated Static Pile</v>
      </c>
      <c r="C11551" s="138" t="str">
        <f t="shared" si="997"/>
        <v>Base_With Amendment</v>
      </c>
      <c r="D11551" s="138" t="str">
        <f t="shared" si="999"/>
        <v>High_Base</v>
      </c>
      <c r="E11551" s="138" t="str">
        <f t="shared" si="994"/>
        <v>High</v>
      </c>
      <c r="F11551" s="138" t="str">
        <f t="shared" si="998"/>
        <v>Upgraded</v>
      </c>
      <c r="G11551" s="153"/>
      <c r="H11551" s="210">
        <v>-2.1107999999999998</v>
      </c>
      <c r="I11551" s="160" t="s">
        <v>62</v>
      </c>
      <c r="J11551" s="160">
        <v>-2.1800000000000001E-3</v>
      </c>
      <c r="K11551" s="160" t="s">
        <v>26</v>
      </c>
      <c r="L11551" s="154" t="str">
        <f>IF(OpenLCAbasic!K11551="CTUh", "Fill in Manually",IF(OR(K11551="Unit", K11551=""), "", INDEX(LookUps!$E$5:$E$12, MATCH(OpenLCAbasic!K11551,LookUps!$D$5:$D$12,0))))</f>
        <v>Water Use (WU) - m3 H2O</v>
      </c>
      <c r="M11551" s="154" t="str">
        <f t="shared" si="995"/>
        <v>High_High_Base_Upgraded_Water Use (WU) - m3 H2O_Land application of compost; wastewater treatment unit; at updated plant - US_Base_With Amendment_Aerated Static Pile</v>
      </c>
    </row>
    <row r="11552" spans="1:13" s="120" customFormat="1" x14ac:dyDescent="0.25">
      <c r="A11552" s="119"/>
      <c r="B11552" s="138" t="str">
        <f t="shared" si="996"/>
        <v/>
      </c>
      <c r="C11552" s="138" t="str">
        <f t="shared" si="997"/>
        <v/>
      </c>
      <c r="D11552" s="138" t="str">
        <f>IF(ISNUMBER($J11552),"High_High","")</f>
        <v/>
      </c>
      <c r="E11552" s="138" t="str">
        <f t="shared" si="994"/>
        <v/>
      </c>
      <c r="F11552" s="138" t="str">
        <f t="shared" si="998"/>
        <v/>
      </c>
      <c r="G11552" s="153" t="s">
        <v>51</v>
      </c>
      <c r="H11552" s="160"/>
      <c r="I11552" s="160" t="s">
        <v>47</v>
      </c>
      <c r="J11552" s="160" t="s">
        <v>52</v>
      </c>
      <c r="K11552" s="160" t="s">
        <v>27</v>
      </c>
      <c r="L11552" s="154" t="str">
        <f>IF(OpenLCAbasic!K11552="CTUh", "Fill in Manually",IF(OR(K11552="Unit", K11552=""), "", INDEX(LookUps!$E$5:$E$12, MATCH(OpenLCAbasic!K11552,LookUps!$D$5:$D$12,0))))</f>
        <v/>
      </c>
      <c r="M11552" s="154" t="str">
        <f t="shared" si="995"/>
        <v>____Process__</v>
      </c>
    </row>
    <row r="11553" spans="1:13" s="120" customFormat="1" x14ac:dyDescent="0.25">
      <c r="A11553" s="119"/>
      <c r="B11553" s="138" t="str">
        <f t="shared" si="996"/>
        <v>Aerated Static Pile</v>
      </c>
      <c r="C11553" s="138" t="str">
        <f t="shared" si="997"/>
        <v>Base_With Amendment</v>
      </c>
      <c r="D11553" s="138" t="str">
        <f t="shared" ref="D11553:D11616" si="1000">IF(ISNUMBER($J11553),"High_High","")</f>
        <v>High_High</v>
      </c>
      <c r="E11553" s="138" t="str">
        <f t="shared" si="994"/>
        <v>High</v>
      </c>
      <c r="F11553" s="138" t="str">
        <f t="shared" si="998"/>
        <v>Upgraded</v>
      </c>
      <c r="G11553" s="153"/>
      <c r="H11553" s="210">
        <v>0.41560000000000002</v>
      </c>
      <c r="I11553" s="160" t="s">
        <v>55</v>
      </c>
      <c r="J11553" s="160">
        <v>1.7219999999999999E-2</v>
      </c>
      <c r="K11553" s="160" t="s">
        <v>24</v>
      </c>
      <c r="L11553" s="154" t="str">
        <f>IF(OpenLCAbasic!K11553="CTUh", "Fill in Manually",IF(OR(K11553="Unit", K11553=""), "", INDEX(LookUps!$E$5:$E$12, MATCH(OpenLCAbasic!K11553,LookUps!$D$5:$D$12,0))))</f>
        <v>Acidification Potential (AP) - kg SO2 eq</v>
      </c>
      <c r="M11553" s="154" t="str">
        <f t="shared" si="995"/>
        <v>High_High_High_Upgraded_Acidification Potential (AP) - kg SO2 eq_Aeration Tanks; wastewater treatment unit; at updated plant - US_Base_With Amendment_Aerated Static Pile</v>
      </c>
    </row>
    <row r="11554" spans="1:13" s="120" customFormat="1" x14ac:dyDescent="0.25">
      <c r="A11554" s="119"/>
      <c r="B11554" s="138" t="str">
        <f t="shared" si="996"/>
        <v>Aerated Static Pile</v>
      </c>
      <c r="C11554" s="138" t="str">
        <f t="shared" si="997"/>
        <v>Base_With Amendment</v>
      </c>
      <c r="D11554" s="138" t="str">
        <f t="shared" si="1000"/>
        <v>High_High</v>
      </c>
      <c r="E11554" s="138" t="str">
        <f t="shared" si="994"/>
        <v>High</v>
      </c>
      <c r="F11554" s="138" t="str">
        <f t="shared" si="998"/>
        <v>Upgraded</v>
      </c>
      <c r="G11554" s="153"/>
      <c r="H11554" s="210">
        <v>0.28849999999999998</v>
      </c>
      <c r="I11554" s="160" t="s">
        <v>435</v>
      </c>
      <c r="J11554" s="160">
        <v>1.1950000000000001E-2</v>
      </c>
      <c r="K11554" s="160" t="s">
        <v>24</v>
      </c>
      <c r="L11554" s="154" t="str">
        <f>IF(OpenLCAbasic!K11554="CTUh", "Fill in Manually",IF(OR(K11554="Unit", K11554=""), "", INDEX(LookUps!$E$5:$E$12, MATCH(OpenLCAbasic!K11554,LookUps!$D$5:$D$12,0))))</f>
        <v>Acidification Potential (AP) - kg SO2 eq</v>
      </c>
      <c r="M11554" s="154" t="str">
        <f t="shared" si="995"/>
        <v>High_High_High_Upgraded_Acidification Potential (AP) - kg SO2 eq_Biosolids composting; aerated static pile; wastewater treatment unit; at updated plant - US_Base_With Amendment_Aerated Static Pile</v>
      </c>
    </row>
    <row r="11555" spans="1:13" s="120" customFormat="1" x14ac:dyDescent="0.25">
      <c r="A11555" s="119"/>
      <c r="B11555" s="138" t="str">
        <f t="shared" si="996"/>
        <v>Aerated Static Pile</v>
      </c>
      <c r="C11555" s="138" t="str">
        <f t="shared" si="997"/>
        <v>Base_With Amendment</v>
      </c>
      <c r="D11555" s="138" t="str">
        <f t="shared" si="1000"/>
        <v>High_High</v>
      </c>
      <c r="E11555" s="138" t="str">
        <f t="shared" si="994"/>
        <v>High</v>
      </c>
      <c r="F11555" s="138" t="str">
        <f t="shared" si="998"/>
        <v>Upgraded</v>
      </c>
      <c r="G11555" s="153"/>
      <c r="H11555" s="210">
        <v>0.1202</v>
      </c>
      <c r="I11555" s="160" t="s">
        <v>54</v>
      </c>
      <c r="J11555" s="160">
        <v>4.9800000000000001E-3</v>
      </c>
      <c r="K11555" s="160" t="s">
        <v>24</v>
      </c>
      <c r="L11555" s="154" t="str">
        <f>IF(OpenLCAbasic!K11555="CTUh", "Fill in Manually",IF(OR(K11555="Unit", K11555=""), "", INDEX(LookUps!$E$5:$E$12, MATCH(OpenLCAbasic!K11555,LookUps!$D$5:$D$12,0))))</f>
        <v>Acidification Potential (AP) - kg SO2 eq</v>
      </c>
      <c r="M11555" s="154" t="str">
        <f t="shared" si="995"/>
        <v>High_High_High_Upgraded_Acidification Potential (AP) - kg SO2 eq_Clear Cove Primary Clarification; wastewater treatment unit; at updated plant - US_Base_With Amendment_Aerated Static Pile</v>
      </c>
    </row>
    <row r="11556" spans="1:13" s="120" customFormat="1" x14ac:dyDescent="0.25">
      <c r="A11556" s="119"/>
      <c r="B11556" s="138" t="str">
        <f t="shared" si="996"/>
        <v>Aerated Static Pile</v>
      </c>
      <c r="C11556" s="138" t="str">
        <f t="shared" si="997"/>
        <v>Base_With Amendment</v>
      </c>
      <c r="D11556" s="138" t="str">
        <f t="shared" si="1000"/>
        <v>High_High</v>
      </c>
      <c r="E11556" s="138" t="str">
        <f t="shared" si="994"/>
        <v>High</v>
      </c>
      <c r="F11556" s="138" t="str">
        <f t="shared" si="998"/>
        <v>Upgraded</v>
      </c>
      <c r="G11556" s="153"/>
      <c r="H11556" s="210">
        <v>0.1053</v>
      </c>
      <c r="I11556" s="160" t="s">
        <v>58</v>
      </c>
      <c r="J11556" s="160">
        <v>4.3600000000000002E-3</v>
      </c>
      <c r="K11556" s="160" t="s">
        <v>24</v>
      </c>
      <c r="L11556" s="154" t="str">
        <f>IF(OpenLCAbasic!K11556="CTUh", "Fill in Manually",IF(OR(K11556="Unit", K11556=""), "", INDEX(LookUps!$E$5:$E$12, MATCH(OpenLCAbasic!K11556,LookUps!$D$5:$D$12,0))))</f>
        <v>Acidification Potential (AP) - kg SO2 eq</v>
      </c>
      <c r="M11556" s="154" t="str">
        <f t="shared" si="995"/>
        <v>High_High_High_Upgraded_Acidification Potential (AP) - kg SO2 eq_Pre-Anoxic &amp; Swing tank; wastewater treatment unit; at updated plant - US_Base_With Amendment_Aerated Static Pile</v>
      </c>
    </row>
    <row r="11557" spans="1:13" s="120" customFormat="1" x14ac:dyDescent="0.25">
      <c r="A11557" s="119"/>
      <c r="B11557" s="138" t="str">
        <f t="shared" si="996"/>
        <v>Aerated Static Pile</v>
      </c>
      <c r="C11557" s="138" t="str">
        <f t="shared" si="997"/>
        <v>Base_With Amendment</v>
      </c>
      <c r="D11557" s="138" t="str">
        <f t="shared" si="1000"/>
        <v>High_High</v>
      </c>
      <c r="E11557" s="138" t="str">
        <f t="shared" si="994"/>
        <v>High</v>
      </c>
      <c r="F11557" s="138" t="str">
        <f t="shared" si="998"/>
        <v>Upgraded</v>
      </c>
      <c r="G11557" s="153"/>
      <c r="H11557" s="210">
        <v>0.1013</v>
      </c>
      <c r="I11557" s="160" t="s">
        <v>62</v>
      </c>
      <c r="J11557" s="160">
        <v>4.1999999999999997E-3</v>
      </c>
      <c r="K11557" s="160" t="s">
        <v>24</v>
      </c>
      <c r="L11557" s="154" t="str">
        <f>IF(OpenLCAbasic!K11557="CTUh", "Fill in Manually",IF(OR(K11557="Unit", K11557=""), "", INDEX(LookUps!$E$5:$E$12, MATCH(OpenLCAbasic!K11557,LookUps!$D$5:$D$12,0))))</f>
        <v>Acidification Potential (AP) - kg SO2 eq</v>
      </c>
      <c r="M11557" s="154" t="str">
        <f t="shared" si="995"/>
        <v>High_High_High_Upgraded_Acidification Potential (AP) - kg SO2 eq_Land application of compost; wastewater treatment unit; at updated plant - US_Base_With Amendment_Aerated Static Pile</v>
      </c>
    </row>
    <row r="11558" spans="1:13" s="120" customFormat="1" x14ac:dyDescent="0.25">
      <c r="A11558" s="119"/>
      <c r="B11558" s="138" t="str">
        <f t="shared" si="996"/>
        <v>Aerated Static Pile</v>
      </c>
      <c r="C11558" s="138" t="str">
        <f t="shared" si="997"/>
        <v>Base_With Amendment</v>
      </c>
      <c r="D11558" s="138" t="str">
        <f t="shared" si="1000"/>
        <v>High_High</v>
      </c>
      <c r="E11558" s="138" t="str">
        <f t="shared" si="994"/>
        <v>High</v>
      </c>
      <c r="F11558" s="138" t="str">
        <f t="shared" si="998"/>
        <v>Upgraded</v>
      </c>
      <c r="G11558" s="153"/>
      <c r="H11558" s="210">
        <v>8.3299999999999999E-2</v>
      </c>
      <c r="I11558" s="160" t="s">
        <v>53</v>
      </c>
      <c r="J11558" s="160">
        <v>3.4499999999999999E-3</v>
      </c>
      <c r="K11558" s="160" t="s">
        <v>24</v>
      </c>
      <c r="L11558" s="154" t="str">
        <f>IF(OpenLCAbasic!K11558="CTUh", "Fill in Manually",IF(OR(K11558="Unit", K11558=""), "", INDEX(LookUps!$E$5:$E$12, MATCH(OpenLCAbasic!K11558,LookUps!$D$5:$D$12,0))))</f>
        <v>Acidification Potential (AP) - kg SO2 eq</v>
      </c>
      <c r="M11558" s="154" t="str">
        <f t="shared" si="995"/>
        <v>High_High_High_Upgraded_Acidification Potential (AP) - kg SO2 eq_Wet Well and Sump Station; wastewater treatment unit; at updated plant - US_Base_With Amendment_Aerated Static Pile</v>
      </c>
    </row>
    <row r="11559" spans="1:13" s="120" customFormat="1" x14ac:dyDescent="0.25">
      <c r="A11559" s="119"/>
      <c r="B11559" s="138" t="str">
        <f t="shared" si="996"/>
        <v>Aerated Static Pile</v>
      </c>
      <c r="C11559" s="138" t="str">
        <f t="shared" si="997"/>
        <v>Base_With Amendment</v>
      </c>
      <c r="D11559" s="138" t="str">
        <f t="shared" si="1000"/>
        <v>High_High</v>
      </c>
      <c r="E11559" s="138" t="str">
        <f t="shared" si="994"/>
        <v>High</v>
      </c>
      <c r="F11559" s="138" t="str">
        <f t="shared" si="998"/>
        <v>Upgraded</v>
      </c>
      <c r="G11559" s="153"/>
      <c r="H11559" s="210">
        <v>6.5199999999999994E-2</v>
      </c>
      <c r="I11559" s="160" t="s">
        <v>167</v>
      </c>
      <c r="J11559" s="160">
        <v>2.7000000000000001E-3</v>
      </c>
      <c r="K11559" s="160" t="s">
        <v>24</v>
      </c>
      <c r="L11559" s="154" t="str">
        <f>IF(OpenLCAbasic!K11559="CTUh", "Fill in Manually",IF(OR(K11559="Unit", K11559=""), "", INDEX(LookUps!$E$5:$E$12, MATCH(OpenLCAbasic!K11559,LookUps!$D$5:$D$12,0))))</f>
        <v>Acidification Potential (AP) - kg SO2 eq</v>
      </c>
      <c r="M11559" s="154" t="str">
        <f t="shared" si="995"/>
        <v>High_High_High_Upgraded_Acidification Potential (AP) - kg SO2 eq_Waste Receiving and Holding; wastewater treatment unit; at updated plant - US_Base_With Amendment_Aerated Static Pile</v>
      </c>
    </row>
    <row r="11560" spans="1:13" s="120" customFormat="1" x14ac:dyDescent="0.25">
      <c r="A11560" s="119"/>
      <c r="B11560" s="138" t="str">
        <f t="shared" si="996"/>
        <v>Aerated Static Pile</v>
      </c>
      <c r="C11560" s="138" t="str">
        <f t="shared" si="997"/>
        <v>Base_With Amendment</v>
      </c>
      <c r="D11560" s="138" t="str">
        <f t="shared" si="1000"/>
        <v>High_High</v>
      </c>
      <c r="E11560" s="138" t="str">
        <f t="shared" si="994"/>
        <v>High</v>
      </c>
      <c r="F11560" s="138" t="str">
        <f t="shared" si="998"/>
        <v>Upgraded</v>
      </c>
      <c r="G11560" s="153"/>
      <c r="H11560" s="210">
        <v>4.99E-2</v>
      </c>
      <c r="I11560" s="160" t="s">
        <v>147</v>
      </c>
      <c r="J11560" s="160">
        <v>2.0699999999999998E-3</v>
      </c>
      <c r="K11560" s="160" t="s">
        <v>24</v>
      </c>
      <c r="L11560" s="154" t="str">
        <f>IF(OpenLCAbasic!K11560="CTUh", "Fill in Manually",IF(OR(K11560="Unit", K11560=""), "", INDEX(LookUps!$E$5:$E$12, MATCH(OpenLCAbasic!K11560,LookUps!$D$5:$D$12,0))))</f>
        <v>Acidification Potential (AP) - kg SO2 eq</v>
      </c>
      <c r="M11560" s="154" t="str">
        <f t="shared" si="995"/>
        <v>High_High_High_Upgraded_Acidification Potential (AP) - kg SO2 eq_Influent Pump Station; wastewater treatment unit; at updated plant - US_Base_With Amendment_Aerated Static Pile</v>
      </c>
    </row>
    <row r="11561" spans="1:13" s="120" customFormat="1" x14ac:dyDescent="0.25">
      <c r="A11561" s="119"/>
      <c r="B11561" s="138" t="str">
        <f t="shared" si="996"/>
        <v>Aerated Static Pile</v>
      </c>
      <c r="C11561" s="138" t="str">
        <f t="shared" si="997"/>
        <v>Base_With Amendment</v>
      </c>
      <c r="D11561" s="138" t="str">
        <f t="shared" si="1000"/>
        <v>High_High</v>
      </c>
      <c r="E11561" s="138" t="str">
        <f t="shared" ref="E11561:E11624" si="1001">IF(ISNUMBER($J11561),"High","")</f>
        <v>High</v>
      </c>
      <c r="F11561" s="138" t="str">
        <f t="shared" si="998"/>
        <v>Upgraded</v>
      </c>
      <c r="G11561" s="153"/>
      <c r="H11561" s="210">
        <v>3.3399999999999999E-2</v>
      </c>
      <c r="I11561" s="160" t="s">
        <v>60</v>
      </c>
      <c r="J11561" s="160">
        <v>1.3799999999999999E-3</v>
      </c>
      <c r="K11561" s="160" t="s">
        <v>24</v>
      </c>
      <c r="L11561" s="154" t="str">
        <f>IF(OpenLCAbasic!K11561="CTUh", "Fill in Manually",IF(OR(K11561="Unit", K11561=""), "", INDEX(LookUps!$E$5:$E$12, MATCH(OpenLCAbasic!K11561,LookUps!$D$5:$D$12,0))))</f>
        <v>Acidification Potential (AP) - kg SO2 eq</v>
      </c>
      <c r="M11561" s="154" t="str">
        <f t="shared" si="995"/>
        <v>High_High_High_Upgraded_Acidification Potential (AP) - kg SO2 eq_Belt filter press; wastewater treatment unit; at updated plant - US_Base_With Amendment_Aerated Static Pile</v>
      </c>
    </row>
    <row r="11562" spans="1:13" s="120" customFormat="1" x14ac:dyDescent="0.25">
      <c r="A11562" s="119"/>
      <c r="B11562" s="138" t="str">
        <f t="shared" si="996"/>
        <v>Aerated Static Pile</v>
      </c>
      <c r="C11562" s="138" t="str">
        <f t="shared" si="997"/>
        <v>Base_With Amendment</v>
      </c>
      <c r="D11562" s="138" t="str">
        <f t="shared" si="1000"/>
        <v>High_High</v>
      </c>
      <c r="E11562" s="138" t="str">
        <f t="shared" si="1001"/>
        <v>High</v>
      </c>
      <c r="F11562" s="138" t="str">
        <f t="shared" si="998"/>
        <v>Upgraded</v>
      </c>
      <c r="G11562" s="153"/>
      <c r="H11562" s="210">
        <v>2.98E-2</v>
      </c>
      <c r="I11562" s="160" t="s">
        <v>128</v>
      </c>
      <c r="J11562" s="160">
        <v>1.23E-3</v>
      </c>
      <c r="K11562" s="160" t="s">
        <v>24</v>
      </c>
      <c r="L11562" s="154" t="str">
        <f>IF(OpenLCAbasic!K11562="CTUh", "Fill in Manually",IF(OR(K11562="Unit", K11562=""), "", INDEX(LookUps!$E$5:$E$12, MATCH(OpenLCAbasic!K11562,LookUps!$D$5:$D$12,0))))</f>
        <v>Acidification Potential (AP) - kg SO2 eq</v>
      </c>
      <c r="M11562" s="154" t="str">
        <f t="shared" si="995"/>
        <v>High_High_High_Upgraded_Acidification Potential (AP) - kg SO2 eq_Wastewater collection; operation and infrastructure; m3 wastewater_Base_With Amendment_Aerated Static Pile</v>
      </c>
    </row>
    <row r="11563" spans="1:13" s="120" customFormat="1" x14ac:dyDescent="0.25">
      <c r="A11563" s="119"/>
      <c r="B11563" s="138" t="str">
        <f t="shared" si="996"/>
        <v>Aerated Static Pile</v>
      </c>
      <c r="C11563" s="138" t="str">
        <f t="shared" si="997"/>
        <v>Base_With Amendment</v>
      </c>
      <c r="D11563" s="138" t="str">
        <f t="shared" si="1000"/>
        <v>High_High</v>
      </c>
      <c r="E11563" s="138" t="str">
        <f t="shared" si="1001"/>
        <v>High</v>
      </c>
      <c r="F11563" s="138" t="str">
        <f t="shared" si="998"/>
        <v>Upgraded</v>
      </c>
      <c r="G11563" s="153"/>
      <c r="H11563" s="210">
        <v>1.7000000000000001E-2</v>
      </c>
      <c r="I11563" s="160" t="s">
        <v>57</v>
      </c>
      <c r="J11563" s="160">
        <v>6.9999999999999999E-4</v>
      </c>
      <c r="K11563" s="160" t="s">
        <v>24</v>
      </c>
      <c r="L11563" s="154" t="str">
        <f>IF(OpenLCAbasic!K11563="CTUh", "Fill in Manually",IF(OR(K11563="Unit", K11563=""), "", INDEX(LookUps!$E$5:$E$12, MATCH(OpenLCAbasic!K11563,LookUps!$D$5:$D$12,0))))</f>
        <v>Acidification Potential (AP) - kg SO2 eq</v>
      </c>
      <c r="M11563" s="154" t="str">
        <f t="shared" si="995"/>
        <v>High_High_High_Upgraded_Acidification Potential (AP) - kg SO2 eq_Gravity Belt Thickener; wastewater treatment unit; at updated plant - US_Base_With Amendment_Aerated Static Pile</v>
      </c>
    </row>
    <row r="11564" spans="1:13" s="120" customFormat="1" x14ac:dyDescent="0.25">
      <c r="A11564" s="119"/>
      <c r="B11564" s="138" t="str">
        <f t="shared" si="996"/>
        <v>Aerated Static Pile</v>
      </c>
      <c r="C11564" s="138" t="str">
        <f t="shared" si="997"/>
        <v>Base_With Amendment</v>
      </c>
      <c r="D11564" s="138" t="str">
        <f t="shared" si="1000"/>
        <v>High_High</v>
      </c>
      <c r="E11564" s="138" t="str">
        <f t="shared" si="1001"/>
        <v>High</v>
      </c>
      <c r="F11564" s="138" t="str">
        <f t="shared" si="998"/>
        <v>Upgraded</v>
      </c>
      <c r="G11564" s="153"/>
      <c r="H11564" s="210">
        <v>1.2500000000000001E-2</v>
      </c>
      <c r="I11564" s="160" t="s">
        <v>59</v>
      </c>
      <c r="J11564" s="160">
        <v>5.1999999999999995E-4</v>
      </c>
      <c r="K11564" s="160" t="s">
        <v>24</v>
      </c>
      <c r="L11564" s="154" t="str">
        <f>IF(OpenLCAbasic!K11564="CTUh", "Fill in Manually",IF(OR(K11564="Unit", K11564=""), "", INDEX(LookUps!$E$5:$E$12, MATCH(OpenLCAbasic!K11564,LookUps!$D$5:$D$12,0))))</f>
        <v>Acidification Potential (AP) - kg SO2 eq</v>
      </c>
      <c r="M11564" s="154" t="str">
        <f t="shared" si="995"/>
        <v>High_High_High_Upgraded_Acidification Potential (AP) - kg SO2 eq_Blend Tank; wastewater treatment unit; at updated plant - US_Base_With Amendment_Aerated Static Pile</v>
      </c>
    </row>
    <row r="11565" spans="1:13" s="120" customFormat="1" x14ac:dyDescent="0.25">
      <c r="A11565" s="119"/>
      <c r="B11565" s="138" t="str">
        <f t="shared" si="996"/>
        <v>Aerated Static Pile</v>
      </c>
      <c r="C11565" s="138" t="str">
        <f t="shared" si="997"/>
        <v>Base_With Amendment</v>
      </c>
      <c r="D11565" s="138" t="str">
        <f t="shared" si="1000"/>
        <v>High_High</v>
      </c>
      <c r="E11565" s="138" t="str">
        <f t="shared" si="1001"/>
        <v>High</v>
      </c>
      <c r="F11565" s="138" t="str">
        <f t="shared" si="998"/>
        <v>Upgraded</v>
      </c>
      <c r="G11565" s="153"/>
      <c r="H11565" s="210">
        <v>8.3999999999999995E-3</v>
      </c>
      <c r="I11565" s="160" t="s">
        <v>48</v>
      </c>
      <c r="J11565" s="160">
        <v>3.5E-4</v>
      </c>
      <c r="K11565" s="160" t="s">
        <v>24</v>
      </c>
      <c r="L11565" s="154" t="str">
        <f>IF(OpenLCAbasic!K11565="CTUh", "Fill in Manually",IF(OR(K11565="Unit", K11565=""), "", INDEX(LookUps!$E$5:$E$12, MATCH(OpenLCAbasic!K11565,LookUps!$D$5:$D$12,0))))</f>
        <v>Acidification Potential (AP) - kg SO2 eq</v>
      </c>
      <c r="M11565" s="154" t="str">
        <f t="shared" si="995"/>
        <v>High_High_High_Upgraded_Acidification Potential (AP) - kg SO2 eq_Effluent release; wastewater treatment unit; at surface water; m3 wastewater - US_Base_With Amendment_Aerated Static Pile</v>
      </c>
    </row>
    <row r="11566" spans="1:13" s="120" customFormat="1" x14ac:dyDescent="0.25">
      <c r="A11566" s="119"/>
      <c r="B11566" s="138" t="str">
        <f t="shared" si="996"/>
        <v>Aerated Static Pile</v>
      </c>
      <c r="C11566" s="138" t="str">
        <f t="shared" si="997"/>
        <v>Base_With Amendment</v>
      </c>
      <c r="D11566" s="138" t="str">
        <f t="shared" si="1000"/>
        <v>High_High</v>
      </c>
      <c r="E11566" s="138" t="str">
        <f t="shared" si="1001"/>
        <v>High</v>
      </c>
      <c r="F11566" s="138" t="str">
        <f t="shared" si="998"/>
        <v>Upgraded</v>
      </c>
      <c r="G11566" s="153"/>
      <c r="H11566" s="210">
        <v>6.1999999999999998E-3</v>
      </c>
      <c r="I11566" s="160" t="s">
        <v>168</v>
      </c>
      <c r="J11566" s="160">
        <v>2.5999999999999998E-4</v>
      </c>
      <c r="K11566" s="160" t="s">
        <v>24</v>
      </c>
      <c r="L11566" s="154" t="str">
        <f>IF(OpenLCAbasic!K11566="CTUh", "Fill in Manually",IF(OR(K11566="Unit", K11566=""), "", INDEX(LookUps!$E$5:$E$12, MATCH(OpenLCAbasic!K11566,LookUps!$D$5:$D$12,0))))</f>
        <v>Acidification Potential (AP) - kg SO2 eq</v>
      </c>
      <c r="M11566" s="154" t="str">
        <f t="shared" si="995"/>
        <v>High_High_High_Upgraded_Acidification Potential (AP) - kg SO2 eq_ClearCove SCP; wastewater treatment unit; at updated plant - US_Base_With Amendment_Aerated Static Pile</v>
      </c>
    </row>
    <row r="11567" spans="1:13" s="120" customFormat="1" x14ac:dyDescent="0.25">
      <c r="A11567" s="119"/>
      <c r="B11567" s="138" t="str">
        <f t="shared" si="996"/>
        <v>Aerated Static Pile</v>
      </c>
      <c r="C11567" s="138" t="str">
        <f t="shared" si="997"/>
        <v>Base_With Amendment</v>
      </c>
      <c r="D11567" s="138" t="str">
        <f t="shared" si="1000"/>
        <v>High_High</v>
      </c>
      <c r="E11567" s="138" t="str">
        <f t="shared" si="1001"/>
        <v>High</v>
      </c>
      <c r="F11567" s="138" t="str">
        <f t="shared" si="998"/>
        <v>Upgraded</v>
      </c>
      <c r="G11567" s="153"/>
      <c r="H11567" s="210">
        <v>1E-3</v>
      </c>
      <c r="I11567" s="160" t="s">
        <v>148</v>
      </c>
      <c r="J11567" s="211">
        <v>4.0354700000000002E-5</v>
      </c>
      <c r="K11567" s="160" t="s">
        <v>24</v>
      </c>
      <c r="L11567" s="154" t="str">
        <f>IF(OpenLCAbasic!K11567="CTUh", "Fill in Manually",IF(OR(K11567="Unit", K11567=""), "", INDEX(LookUps!$E$5:$E$12, MATCH(OpenLCAbasic!K11567,LookUps!$D$5:$D$12,0))))</f>
        <v>Acidification Potential (AP) - kg SO2 eq</v>
      </c>
      <c r="M11567" s="154" t="str">
        <f t="shared" si="995"/>
        <v>High_High_High_Upgraded_Acidification Potential (AP) - kg SO2 eq_Control Building; at upgraded wastewater treatment plant - US_Base_With Amendment_Aerated Static Pile</v>
      </c>
    </row>
    <row r="11568" spans="1:13" s="120" customFormat="1" x14ac:dyDescent="0.25">
      <c r="A11568" s="119"/>
      <c r="B11568" s="138" t="str">
        <f t="shared" si="996"/>
        <v>Aerated Static Pile</v>
      </c>
      <c r="C11568" s="138" t="str">
        <f t="shared" si="997"/>
        <v>Base_With Amendment</v>
      </c>
      <c r="D11568" s="138" t="str">
        <f t="shared" si="1000"/>
        <v>High_High</v>
      </c>
      <c r="E11568" s="138" t="str">
        <f t="shared" si="1001"/>
        <v>High</v>
      </c>
      <c r="F11568" s="138" t="str">
        <f t="shared" si="998"/>
        <v>Upgraded</v>
      </c>
      <c r="G11568" s="153"/>
      <c r="H11568" s="210">
        <v>-2.3374999999999999</v>
      </c>
      <c r="I11568" s="160" t="s">
        <v>149</v>
      </c>
      <c r="J11568" s="160">
        <v>-9.6839999999999996E-2</v>
      </c>
      <c r="K11568" s="160" t="s">
        <v>24</v>
      </c>
      <c r="L11568" s="154" t="str">
        <f>IF(OpenLCAbasic!K11568="CTUh", "Fill in Manually",IF(OR(K11568="Unit", K11568=""), "", INDEX(LookUps!$E$5:$E$12, MATCH(OpenLCAbasic!K11568,LookUps!$D$5:$D$12,0))))</f>
        <v>Acidification Potential (AP) - kg SO2 eq</v>
      </c>
      <c r="M11568" s="154" t="str">
        <f t="shared" si="995"/>
        <v>High_High_High_Upgraded_Acidification Potential (AP) - kg SO2 eq_Anaerobic Digestion; wastewater treatment unit; at updated plant - US_Base_With Amendment_Aerated Static Pile</v>
      </c>
    </row>
    <row r="11569" spans="1:13" s="120" customFormat="1" x14ac:dyDescent="0.25">
      <c r="A11569" s="119"/>
      <c r="B11569" s="138" t="str">
        <f t="shared" si="996"/>
        <v/>
      </c>
      <c r="C11569" s="138" t="str">
        <f t="shared" si="997"/>
        <v/>
      </c>
      <c r="D11569" s="138" t="str">
        <f t="shared" si="1000"/>
        <v/>
      </c>
      <c r="E11569" s="138" t="str">
        <f t="shared" si="1001"/>
        <v/>
      </c>
      <c r="F11569" s="138" t="str">
        <f t="shared" si="998"/>
        <v/>
      </c>
      <c r="G11569" s="153" t="s">
        <v>51</v>
      </c>
      <c r="H11569" s="160"/>
      <c r="I11569" s="160" t="s">
        <v>47</v>
      </c>
      <c r="J11569" s="160" t="s">
        <v>52</v>
      </c>
      <c r="K11569" s="160" t="s">
        <v>27</v>
      </c>
      <c r="L11569" s="154" t="str">
        <f>IF(OpenLCAbasic!K11569="CTUh", "Fill in Manually",IF(OR(K11569="Unit", K11569=""), "", INDEX(LookUps!$E$5:$E$12, MATCH(OpenLCAbasic!K11569,LookUps!$D$5:$D$12,0))))</f>
        <v/>
      </c>
      <c r="M11569" s="154" t="str">
        <f t="shared" si="995"/>
        <v>____Process__</v>
      </c>
    </row>
    <row r="11570" spans="1:13" s="120" customFormat="1" x14ac:dyDescent="0.25">
      <c r="A11570" s="119"/>
      <c r="B11570" s="138" t="str">
        <f t="shared" si="996"/>
        <v>Aerated Static Pile</v>
      </c>
      <c r="C11570" s="138" t="str">
        <f t="shared" si="997"/>
        <v>Base_With Amendment</v>
      </c>
      <c r="D11570" s="138" t="str">
        <f t="shared" si="1000"/>
        <v>High_High</v>
      </c>
      <c r="E11570" s="138" t="str">
        <f t="shared" si="1001"/>
        <v>High</v>
      </c>
      <c r="F11570" s="138" t="str">
        <f t="shared" si="998"/>
        <v>Upgraded</v>
      </c>
      <c r="G11570" s="153"/>
      <c r="H11570" s="210">
        <v>0.62429999999999997</v>
      </c>
      <c r="I11570" s="160" t="s">
        <v>167</v>
      </c>
      <c r="J11570" s="160">
        <v>5.1393399999999998</v>
      </c>
      <c r="K11570" s="160" t="s">
        <v>15</v>
      </c>
      <c r="L11570" s="154" t="str">
        <f>IF(OpenLCAbasic!K11570="CTUh", "Fill in Manually",IF(OR(K11570="Unit", K11570=""), "", INDEX(LookUps!$E$5:$E$12, MATCH(OpenLCAbasic!K11570,LookUps!$D$5:$D$12,0))))</f>
        <v>Cumulative Energy Demand (CED) - MJ</v>
      </c>
      <c r="M11570" s="154" t="str">
        <f t="shared" si="995"/>
        <v>High_High_High_Upgraded_Cumulative Energy Demand (CED) - MJ_Waste Receiving and Holding; wastewater treatment unit; at updated plant - US_Base_With Amendment_Aerated Static Pile</v>
      </c>
    </row>
    <row r="11571" spans="1:13" s="120" customFormat="1" x14ac:dyDescent="0.25">
      <c r="A11571" s="119"/>
      <c r="B11571" s="138" t="str">
        <f t="shared" si="996"/>
        <v>Aerated Static Pile</v>
      </c>
      <c r="C11571" s="138" t="str">
        <f t="shared" si="997"/>
        <v>Base_With Amendment</v>
      </c>
      <c r="D11571" s="138" t="str">
        <f t="shared" si="1000"/>
        <v>High_High</v>
      </c>
      <c r="E11571" s="138" t="str">
        <f t="shared" si="1001"/>
        <v>High</v>
      </c>
      <c r="F11571" s="138" t="str">
        <f t="shared" si="998"/>
        <v>Upgraded</v>
      </c>
      <c r="G11571" s="153"/>
      <c r="H11571" s="210">
        <v>0.42920000000000003</v>
      </c>
      <c r="I11571" s="160" t="s">
        <v>55</v>
      </c>
      <c r="J11571" s="160">
        <v>3.5330499999999998</v>
      </c>
      <c r="K11571" s="160" t="s">
        <v>15</v>
      </c>
      <c r="L11571" s="154" t="str">
        <f>IF(OpenLCAbasic!K11571="CTUh", "Fill in Manually",IF(OR(K11571="Unit", K11571=""), "", INDEX(LookUps!$E$5:$E$12, MATCH(OpenLCAbasic!K11571,LookUps!$D$5:$D$12,0))))</f>
        <v>Cumulative Energy Demand (CED) - MJ</v>
      </c>
      <c r="M11571" s="154" t="str">
        <f t="shared" si="995"/>
        <v>High_High_High_Upgraded_Cumulative Energy Demand (CED) - MJ_Aeration Tanks; wastewater treatment unit; at updated plant - US_Base_With Amendment_Aerated Static Pile</v>
      </c>
    </row>
    <row r="11572" spans="1:13" s="120" customFormat="1" x14ac:dyDescent="0.25">
      <c r="A11572" s="119"/>
      <c r="B11572" s="138" t="str">
        <f t="shared" si="996"/>
        <v>Aerated Static Pile</v>
      </c>
      <c r="C11572" s="138" t="str">
        <f t="shared" si="997"/>
        <v>Base_With Amendment</v>
      </c>
      <c r="D11572" s="138" t="str">
        <f t="shared" si="1000"/>
        <v>High_High</v>
      </c>
      <c r="E11572" s="138" t="str">
        <f t="shared" si="1001"/>
        <v>High</v>
      </c>
      <c r="F11572" s="138" t="str">
        <f t="shared" si="998"/>
        <v>Upgraded</v>
      </c>
      <c r="G11572" s="153"/>
      <c r="H11572" s="210">
        <v>0.2702</v>
      </c>
      <c r="I11572" s="160" t="s">
        <v>435</v>
      </c>
      <c r="J11572" s="160">
        <v>2.2243300000000001</v>
      </c>
      <c r="K11572" s="160" t="s">
        <v>15</v>
      </c>
      <c r="L11572" s="154" t="str">
        <f>IF(OpenLCAbasic!K11572="CTUh", "Fill in Manually",IF(OR(K11572="Unit", K11572=""), "", INDEX(LookUps!$E$5:$E$12, MATCH(OpenLCAbasic!K11572,LookUps!$D$5:$D$12,0))))</f>
        <v>Cumulative Energy Demand (CED) - MJ</v>
      </c>
      <c r="M11572" s="154" t="str">
        <f t="shared" si="995"/>
        <v>High_High_High_Upgraded_Cumulative Energy Demand (CED) - MJ_Biosolids composting; aerated static pile; wastewater treatment unit; at updated plant - US_Base_With Amendment_Aerated Static Pile</v>
      </c>
    </row>
    <row r="11573" spans="1:13" s="120" customFormat="1" x14ac:dyDescent="0.25">
      <c r="A11573" s="119"/>
      <c r="B11573" s="138" t="str">
        <f t="shared" si="996"/>
        <v>Aerated Static Pile</v>
      </c>
      <c r="C11573" s="138" t="str">
        <f t="shared" si="997"/>
        <v>Base_With Amendment</v>
      </c>
      <c r="D11573" s="138" t="str">
        <f t="shared" si="1000"/>
        <v>High_High</v>
      </c>
      <c r="E11573" s="138" t="str">
        <f t="shared" si="1001"/>
        <v>High</v>
      </c>
      <c r="F11573" s="138" t="str">
        <f t="shared" si="998"/>
        <v>Upgraded</v>
      </c>
      <c r="G11573" s="153"/>
      <c r="H11573" s="210">
        <v>0.14130000000000001</v>
      </c>
      <c r="I11573" s="160" t="s">
        <v>54</v>
      </c>
      <c r="J11573" s="160">
        <v>1.16289</v>
      </c>
      <c r="K11573" s="160" t="s">
        <v>15</v>
      </c>
      <c r="L11573" s="154" t="str">
        <f>IF(OpenLCAbasic!K11573="CTUh", "Fill in Manually",IF(OR(K11573="Unit", K11573=""), "", INDEX(LookUps!$E$5:$E$12, MATCH(OpenLCAbasic!K11573,LookUps!$D$5:$D$12,0))))</f>
        <v>Cumulative Energy Demand (CED) - MJ</v>
      </c>
      <c r="M11573" s="154" t="str">
        <f t="shared" si="995"/>
        <v>High_High_High_Upgraded_Cumulative Energy Demand (CED) - MJ_Clear Cove Primary Clarification; wastewater treatment unit; at updated plant - US_Base_With Amendment_Aerated Static Pile</v>
      </c>
    </row>
    <row r="11574" spans="1:13" s="120" customFormat="1" x14ac:dyDescent="0.25">
      <c r="A11574" s="119"/>
      <c r="B11574" s="138" t="str">
        <f t="shared" si="996"/>
        <v>Aerated Static Pile</v>
      </c>
      <c r="C11574" s="138" t="str">
        <f t="shared" si="997"/>
        <v>Base_With Amendment</v>
      </c>
      <c r="D11574" s="138" t="str">
        <f t="shared" si="1000"/>
        <v>High_High</v>
      </c>
      <c r="E11574" s="138" t="str">
        <f t="shared" si="1001"/>
        <v>High</v>
      </c>
      <c r="F11574" s="138" t="str">
        <f t="shared" si="998"/>
        <v>Upgraded</v>
      </c>
      <c r="G11574" s="153"/>
      <c r="H11574" s="210">
        <v>0.1082</v>
      </c>
      <c r="I11574" s="160" t="s">
        <v>58</v>
      </c>
      <c r="J11574" s="160">
        <v>0.89063999999999999</v>
      </c>
      <c r="K11574" s="160" t="s">
        <v>15</v>
      </c>
      <c r="L11574" s="154" t="str">
        <f>IF(OpenLCAbasic!K11574="CTUh", "Fill in Manually",IF(OR(K11574="Unit", K11574=""), "", INDEX(LookUps!$E$5:$E$12, MATCH(OpenLCAbasic!K11574,LookUps!$D$5:$D$12,0))))</f>
        <v>Cumulative Energy Demand (CED) - MJ</v>
      </c>
      <c r="M11574" s="154" t="str">
        <f t="shared" si="995"/>
        <v>High_High_High_Upgraded_Cumulative Energy Demand (CED) - MJ_Pre-Anoxic &amp; Swing tank; wastewater treatment unit; at updated plant - US_Base_With Amendment_Aerated Static Pile</v>
      </c>
    </row>
    <row r="11575" spans="1:13" s="120" customFormat="1" x14ac:dyDescent="0.25">
      <c r="A11575" s="119"/>
      <c r="B11575" s="138" t="str">
        <f t="shared" si="996"/>
        <v>Aerated Static Pile</v>
      </c>
      <c r="C11575" s="138" t="str">
        <f t="shared" si="997"/>
        <v>Base_With Amendment</v>
      </c>
      <c r="D11575" s="138" t="str">
        <f t="shared" si="1000"/>
        <v>High_High</v>
      </c>
      <c r="E11575" s="138" t="str">
        <f t="shared" si="1001"/>
        <v>High</v>
      </c>
      <c r="F11575" s="138" t="str">
        <f t="shared" si="998"/>
        <v>Upgraded</v>
      </c>
      <c r="G11575" s="153"/>
      <c r="H11575" s="210">
        <v>0.10730000000000001</v>
      </c>
      <c r="I11575" s="160" t="s">
        <v>147</v>
      </c>
      <c r="J11575" s="160">
        <v>0.88297000000000003</v>
      </c>
      <c r="K11575" s="160" t="s">
        <v>15</v>
      </c>
      <c r="L11575" s="154" t="str">
        <f>IF(OpenLCAbasic!K11575="CTUh", "Fill in Manually",IF(OR(K11575="Unit", K11575=""), "", INDEX(LookUps!$E$5:$E$12, MATCH(OpenLCAbasic!K11575,LookUps!$D$5:$D$12,0))))</f>
        <v>Cumulative Energy Demand (CED) - MJ</v>
      </c>
      <c r="M11575" s="154" t="str">
        <f t="shared" si="995"/>
        <v>High_High_High_Upgraded_Cumulative Energy Demand (CED) - MJ_Influent Pump Station; wastewater treatment unit; at updated plant - US_Base_With Amendment_Aerated Static Pile</v>
      </c>
    </row>
    <row r="11576" spans="1:13" s="120" customFormat="1" x14ac:dyDescent="0.25">
      <c r="A11576" s="119"/>
      <c r="B11576" s="138" t="str">
        <f t="shared" si="996"/>
        <v>Aerated Static Pile</v>
      </c>
      <c r="C11576" s="138" t="str">
        <f t="shared" si="997"/>
        <v>Base_With Amendment</v>
      </c>
      <c r="D11576" s="138" t="str">
        <f t="shared" si="1000"/>
        <v>High_High</v>
      </c>
      <c r="E11576" s="138" t="str">
        <f t="shared" si="1001"/>
        <v>High</v>
      </c>
      <c r="F11576" s="138" t="str">
        <f t="shared" si="998"/>
        <v>Upgraded</v>
      </c>
      <c r="G11576" s="153"/>
      <c r="H11576" s="210">
        <v>8.4599999999999995E-2</v>
      </c>
      <c r="I11576" s="160" t="s">
        <v>53</v>
      </c>
      <c r="J11576" s="160">
        <v>0.69645000000000001</v>
      </c>
      <c r="K11576" s="160" t="s">
        <v>15</v>
      </c>
      <c r="L11576" s="154" t="str">
        <f>IF(OpenLCAbasic!K11576="CTUh", "Fill in Manually",IF(OR(K11576="Unit", K11576=""), "", INDEX(LookUps!$E$5:$E$12, MATCH(OpenLCAbasic!K11576,LookUps!$D$5:$D$12,0))))</f>
        <v>Cumulative Energy Demand (CED) - MJ</v>
      </c>
      <c r="M11576" s="154" t="str">
        <f t="shared" si="995"/>
        <v>High_High_High_Upgraded_Cumulative Energy Demand (CED) - MJ_Wet Well and Sump Station; wastewater treatment unit; at updated plant - US_Base_With Amendment_Aerated Static Pile</v>
      </c>
    </row>
    <row r="11577" spans="1:13" s="120" customFormat="1" x14ac:dyDescent="0.25">
      <c r="A11577" s="119"/>
      <c r="B11577" s="138" t="str">
        <f t="shared" si="996"/>
        <v>Aerated Static Pile</v>
      </c>
      <c r="C11577" s="138" t="str">
        <f t="shared" si="997"/>
        <v>Base_With Amendment</v>
      </c>
      <c r="D11577" s="138" t="str">
        <f t="shared" si="1000"/>
        <v>High_High</v>
      </c>
      <c r="E11577" s="138" t="str">
        <f t="shared" si="1001"/>
        <v>High</v>
      </c>
      <c r="F11577" s="138" t="str">
        <f t="shared" si="998"/>
        <v>Upgraded</v>
      </c>
      <c r="G11577" s="153"/>
      <c r="H11577" s="210">
        <v>6.2700000000000006E-2</v>
      </c>
      <c r="I11577" s="160" t="s">
        <v>60</v>
      </c>
      <c r="J11577" s="160">
        <v>0.51639000000000002</v>
      </c>
      <c r="K11577" s="160" t="s">
        <v>15</v>
      </c>
      <c r="L11577" s="154" t="str">
        <f>IF(OpenLCAbasic!K11577="CTUh", "Fill in Manually",IF(OR(K11577="Unit", K11577=""), "", INDEX(LookUps!$E$5:$E$12, MATCH(OpenLCAbasic!K11577,LookUps!$D$5:$D$12,0))))</f>
        <v>Cumulative Energy Demand (CED) - MJ</v>
      </c>
      <c r="M11577" s="154" t="str">
        <f t="shared" si="995"/>
        <v>High_High_High_Upgraded_Cumulative Energy Demand (CED) - MJ_Belt filter press; wastewater treatment unit; at updated plant - US_Base_With Amendment_Aerated Static Pile</v>
      </c>
    </row>
    <row r="11578" spans="1:13" s="120" customFormat="1" x14ac:dyDescent="0.25">
      <c r="A11578" s="119"/>
      <c r="B11578" s="138" t="str">
        <f t="shared" si="996"/>
        <v>Aerated Static Pile</v>
      </c>
      <c r="C11578" s="138" t="str">
        <f t="shared" si="997"/>
        <v>Base_With Amendment</v>
      </c>
      <c r="D11578" s="138" t="str">
        <f t="shared" si="1000"/>
        <v>High_High</v>
      </c>
      <c r="E11578" s="138" t="str">
        <f t="shared" si="1001"/>
        <v>High</v>
      </c>
      <c r="F11578" s="138" t="str">
        <f t="shared" si="998"/>
        <v>Upgraded</v>
      </c>
      <c r="G11578" s="153"/>
      <c r="H11578" s="210">
        <v>4.0599999999999997E-2</v>
      </c>
      <c r="I11578" s="160" t="s">
        <v>57</v>
      </c>
      <c r="J11578" s="160">
        <v>0.33404</v>
      </c>
      <c r="K11578" s="160" t="s">
        <v>15</v>
      </c>
      <c r="L11578" s="154" t="str">
        <f>IF(OpenLCAbasic!K11578="CTUh", "Fill in Manually",IF(OR(K11578="Unit", K11578=""), "", INDEX(LookUps!$E$5:$E$12, MATCH(OpenLCAbasic!K11578,LookUps!$D$5:$D$12,0))))</f>
        <v>Cumulative Energy Demand (CED) - MJ</v>
      </c>
      <c r="M11578" s="154" t="str">
        <f t="shared" si="995"/>
        <v>High_High_High_Upgraded_Cumulative Energy Demand (CED) - MJ_Gravity Belt Thickener; wastewater treatment unit; at updated plant - US_Base_With Amendment_Aerated Static Pile</v>
      </c>
    </row>
    <row r="11579" spans="1:13" s="120" customFormat="1" x14ac:dyDescent="0.25">
      <c r="A11579" s="119"/>
      <c r="B11579" s="138" t="str">
        <f t="shared" si="996"/>
        <v>Aerated Static Pile</v>
      </c>
      <c r="C11579" s="138" t="str">
        <f t="shared" si="997"/>
        <v>Base_With Amendment</v>
      </c>
      <c r="D11579" s="138" t="str">
        <f t="shared" si="1000"/>
        <v>High_High</v>
      </c>
      <c r="E11579" s="138" t="str">
        <f t="shared" si="1001"/>
        <v>High</v>
      </c>
      <c r="F11579" s="138" t="str">
        <f t="shared" si="998"/>
        <v>Upgraded</v>
      </c>
      <c r="G11579" s="153"/>
      <c r="H11579" s="210">
        <v>3.1099999999999999E-2</v>
      </c>
      <c r="I11579" s="160" t="s">
        <v>128</v>
      </c>
      <c r="J11579" s="160">
        <v>0.25606000000000001</v>
      </c>
      <c r="K11579" s="160" t="s">
        <v>15</v>
      </c>
      <c r="L11579" s="154" t="str">
        <f>IF(OpenLCAbasic!K11579="CTUh", "Fill in Manually",IF(OR(K11579="Unit", K11579=""), "", INDEX(LookUps!$E$5:$E$12, MATCH(OpenLCAbasic!K11579,LookUps!$D$5:$D$12,0))))</f>
        <v>Cumulative Energy Demand (CED) - MJ</v>
      </c>
      <c r="M11579" s="154" t="str">
        <f t="shared" si="995"/>
        <v>High_High_High_Upgraded_Cumulative Energy Demand (CED) - MJ_Wastewater collection; operation and infrastructure; m3 wastewater_Base_With Amendment_Aerated Static Pile</v>
      </c>
    </row>
    <row r="11580" spans="1:13" s="120" customFormat="1" x14ac:dyDescent="0.25">
      <c r="A11580" s="119"/>
      <c r="B11580" s="138" t="str">
        <f t="shared" si="996"/>
        <v>Aerated Static Pile</v>
      </c>
      <c r="C11580" s="138" t="str">
        <f t="shared" si="997"/>
        <v>Base_With Amendment</v>
      </c>
      <c r="D11580" s="138" t="str">
        <f t="shared" si="1000"/>
        <v>High_High</v>
      </c>
      <c r="E11580" s="138" t="str">
        <f t="shared" si="1001"/>
        <v>High</v>
      </c>
      <c r="F11580" s="138" t="str">
        <f t="shared" si="998"/>
        <v>Upgraded</v>
      </c>
      <c r="G11580" s="153"/>
      <c r="H11580" s="210">
        <v>1.77E-2</v>
      </c>
      <c r="I11580" s="160" t="s">
        <v>148</v>
      </c>
      <c r="J11580" s="160">
        <v>0.14599000000000001</v>
      </c>
      <c r="K11580" s="160" t="s">
        <v>15</v>
      </c>
      <c r="L11580" s="154" t="str">
        <f>IF(OpenLCAbasic!K11580="CTUh", "Fill in Manually",IF(OR(K11580="Unit", K11580=""), "", INDEX(LookUps!$E$5:$E$12, MATCH(OpenLCAbasic!K11580,LookUps!$D$5:$D$12,0))))</f>
        <v>Cumulative Energy Demand (CED) - MJ</v>
      </c>
      <c r="M11580" s="154" t="str">
        <f t="shared" si="995"/>
        <v>High_High_High_Upgraded_Cumulative Energy Demand (CED) - MJ_Control Building; at upgraded wastewater treatment plant - US_Base_With Amendment_Aerated Static Pile</v>
      </c>
    </row>
    <row r="11581" spans="1:13" s="120" customFormat="1" x14ac:dyDescent="0.25">
      <c r="A11581" s="119"/>
      <c r="B11581" s="138" t="str">
        <f t="shared" si="996"/>
        <v>Aerated Static Pile</v>
      </c>
      <c r="C11581" s="138" t="str">
        <f t="shared" si="997"/>
        <v>Base_With Amendment</v>
      </c>
      <c r="D11581" s="138" t="str">
        <f t="shared" si="1000"/>
        <v>High_High</v>
      </c>
      <c r="E11581" s="138" t="str">
        <f t="shared" si="1001"/>
        <v>High</v>
      </c>
      <c r="F11581" s="138" t="str">
        <f t="shared" si="998"/>
        <v>Upgraded</v>
      </c>
      <c r="G11581" s="153"/>
      <c r="H11581" s="210">
        <v>1.6199999999999999E-2</v>
      </c>
      <c r="I11581" s="160" t="s">
        <v>48</v>
      </c>
      <c r="J11581" s="160">
        <v>0.13321</v>
      </c>
      <c r="K11581" s="160" t="s">
        <v>15</v>
      </c>
      <c r="L11581" s="154" t="str">
        <f>IF(OpenLCAbasic!K11581="CTUh", "Fill in Manually",IF(OR(K11581="Unit", K11581=""), "", INDEX(LookUps!$E$5:$E$12, MATCH(OpenLCAbasic!K11581,LookUps!$D$5:$D$12,0))))</f>
        <v>Cumulative Energy Demand (CED) - MJ</v>
      </c>
      <c r="M11581" s="154" t="str">
        <f t="shared" si="995"/>
        <v>High_High_High_Upgraded_Cumulative Energy Demand (CED) - MJ_Effluent release; wastewater treatment unit; at surface water; m3 wastewater - US_Base_With Amendment_Aerated Static Pile</v>
      </c>
    </row>
    <row r="11582" spans="1:13" s="120" customFormat="1" x14ac:dyDescent="0.25">
      <c r="A11582" s="119"/>
      <c r="B11582" s="138" t="str">
        <f t="shared" si="996"/>
        <v>Aerated Static Pile</v>
      </c>
      <c r="C11582" s="138" t="str">
        <f t="shared" si="997"/>
        <v>Base_With Amendment</v>
      </c>
      <c r="D11582" s="138" t="str">
        <f t="shared" si="1000"/>
        <v>High_High</v>
      </c>
      <c r="E11582" s="138" t="str">
        <f t="shared" si="1001"/>
        <v>High</v>
      </c>
      <c r="F11582" s="138" t="str">
        <f t="shared" si="998"/>
        <v>Upgraded</v>
      </c>
      <c r="G11582" s="153"/>
      <c r="H11582" s="210">
        <v>1.29E-2</v>
      </c>
      <c r="I11582" s="160" t="s">
        <v>59</v>
      </c>
      <c r="J11582" s="160">
        <v>0.10638</v>
      </c>
      <c r="K11582" s="160" t="s">
        <v>15</v>
      </c>
      <c r="L11582" s="154" t="str">
        <f>IF(OpenLCAbasic!K11582="CTUh", "Fill in Manually",IF(OR(K11582="Unit", K11582=""), "", INDEX(LookUps!$E$5:$E$12, MATCH(OpenLCAbasic!K11582,LookUps!$D$5:$D$12,0))))</f>
        <v>Cumulative Energy Demand (CED) - MJ</v>
      </c>
      <c r="M11582" s="154" t="str">
        <f t="shared" si="995"/>
        <v>High_High_High_Upgraded_Cumulative Energy Demand (CED) - MJ_Blend Tank; wastewater treatment unit; at updated plant - US_Base_With Amendment_Aerated Static Pile</v>
      </c>
    </row>
    <row r="11583" spans="1:13" s="120" customFormat="1" x14ac:dyDescent="0.25">
      <c r="A11583" s="119"/>
      <c r="B11583" s="138" t="str">
        <f t="shared" si="996"/>
        <v>Aerated Static Pile</v>
      </c>
      <c r="C11583" s="138" t="str">
        <f t="shared" si="997"/>
        <v>Base_With Amendment</v>
      </c>
      <c r="D11583" s="138" t="str">
        <f t="shared" si="1000"/>
        <v>High_High</v>
      </c>
      <c r="E11583" s="138" t="str">
        <f t="shared" si="1001"/>
        <v>High</v>
      </c>
      <c r="F11583" s="138" t="str">
        <f t="shared" si="998"/>
        <v>Upgraded</v>
      </c>
      <c r="G11583" s="153"/>
      <c r="H11583" s="210">
        <v>6.1999999999999998E-3</v>
      </c>
      <c r="I11583" s="160" t="s">
        <v>168</v>
      </c>
      <c r="J11583" s="160">
        <v>5.0930000000000003E-2</v>
      </c>
      <c r="K11583" s="160" t="s">
        <v>15</v>
      </c>
      <c r="L11583" s="154" t="str">
        <f>IF(OpenLCAbasic!K11583="CTUh", "Fill in Manually",IF(OR(K11583="Unit", K11583=""), "", INDEX(LookUps!$E$5:$E$12, MATCH(OpenLCAbasic!K11583,LookUps!$D$5:$D$12,0))))</f>
        <v>Cumulative Energy Demand (CED) - MJ</v>
      </c>
      <c r="M11583" s="154" t="str">
        <f t="shared" si="995"/>
        <v>High_High_High_Upgraded_Cumulative Energy Demand (CED) - MJ_ClearCove SCP; wastewater treatment unit; at updated plant - US_Base_With Amendment_Aerated Static Pile</v>
      </c>
    </row>
    <row r="11584" spans="1:13" s="120" customFormat="1" x14ac:dyDescent="0.25">
      <c r="A11584" s="119"/>
      <c r="B11584" s="138" t="str">
        <f t="shared" si="996"/>
        <v>Aerated Static Pile</v>
      </c>
      <c r="C11584" s="138" t="str">
        <f t="shared" si="997"/>
        <v>Base_With Amendment</v>
      </c>
      <c r="D11584" s="138" t="str">
        <f t="shared" si="1000"/>
        <v>High_High</v>
      </c>
      <c r="E11584" s="138" t="str">
        <f t="shared" si="1001"/>
        <v>High</v>
      </c>
      <c r="F11584" s="138" t="str">
        <f t="shared" si="998"/>
        <v>Upgraded</v>
      </c>
      <c r="G11584" s="153"/>
      <c r="H11584" s="210">
        <v>-8.9599999999999999E-2</v>
      </c>
      <c r="I11584" s="160" t="s">
        <v>62</v>
      </c>
      <c r="J11584" s="160">
        <v>-0.73780999999999997</v>
      </c>
      <c r="K11584" s="160" t="s">
        <v>15</v>
      </c>
      <c r="L11584" s="154" t="str">
        <f>IF(OpenLCAbasic!K11584="CTUh", "Fill in Manually",IF(OR(K11584="Unit", K11584=""), "", INDEX(LookUps!$E$5:$E$12, MATCH(OpenLCAbasic!K11584,LookUps!$D$5:$D$12,0))))</f>
        <v>Cumulative Energy Demand (CED) - MJ</v>
      </c>
      <c r="M11584" s="154" t="str">
        <f t="shared" si="995"/>
        <v>High_High_High_Upgraded_Cumulative Energy Demand (CED) - MJ_Land application of compost; wastewater treatment unit; at updated plant - US_Base_With Amendment_Aerated Static Pile</v>
      </c>
    </row>
    <row r="11585" spans="1:13" s="120" customFormat="1" x14ac:dyDescent="0.25">
      <c r="A11585" s="119"/>
      <c r="B11585" s="138" t="str">
        <f t="shared" si="996"/>
        <v>Aerated Static Pile</v>
      </c>
      <c r="C11585" s="138" t="str">
        <f t="shared" si="997"/>
        <v>Base_With Amendment</v>
      </c>
      <c r="D11585" s="138" t="str">
        <f t="shared" si="1000"/>
        <v>High_High</v>
      </c>
      <c r="E11585" s="138" t="str">
        <f t="shared" si="1001"/>
        <v>High</v>
      </c>
      <c r="F11585" s="138" t="str">
        <f t="shared" si="998"/>
        <v>Upgraded</v>
      </c>
      <c r="G11585" s="153"/>
      <c r="H11585" s="210">
        <v>-2.8628</v>
      </c>
      <c r="I11585" s="160" t="s">
        <v>149</v>
      </c>
      <c r="J11585" s="160">
        <v>-23.56711</v>
      </c>
      <c r="K11585" s="160" t="s">
        <v>15</v>
      </c>
      <c r="L11585" s="154" t="str">
        <f>IF(OpenLCAbasic!K11585="CTUh", "Fill in Manually",IF(OR(K11585="Unit", K11585=""), "", INDEX(LookUps!$E$5:$E$12, MATCH(OpenLCAbasic!K11585,LookUps!$D$5:$D$12,0))))</f>
        <v>Cumulative Energy Demand (CED) - MJ</v>
      </c>
      <c r="M11585" s="154" t="str">
        <f t="shared" si="995"/>
        <v>High_High_High_Upgraded_Cumulative Energy Demand (CED) - MJ_Anaerobic Digestion; wastewater treatment unit; at updated plant - US_Base_With Amendment_Aerated Static Pile</v>
      </c>
    </row>
    <row r="11586" spans="1:13" s="120" customFormat="1" x14ac:dyDescent="0.25">
      <c r="A11586" s="119"/>
      <c r="B11586" s="138" t="str">
        <f t="shared" si="996"/>
        <v/>
      </c>
      <c r="C11586" s="138" t="str">
        <f t="shared" si="997"/>
        <v/>
      </c>
      <c r="D11586" s="138" t="str">
        <f t="shared" si="1000"/>
        <v/>
      </c>
      <c r="E11586" s="138" t="str">
        <f t="shared" si="1001"/>
        <v/>
      </c>
      <c r="F11586" s="138" t="str">
        <f t="shared" si="998"/>
        <v/>
      </c>
      <c r="G11586" s="153" t="s">
        <v>51</v>
      </c>
      <c r="H11586" s="160"/>
      <c r="I11586" s="160" t="s">
        <v>47</v>
      </c>
      <c r="J11586" s="160" t="s">
        <v>52</v>
      </c>
      <c r="K11586" s="160" t="s">
        <v>27</v>
      </c>
      <c r="L11586" s="154" t="str">
        <f>IF(OpenLCAbasic!K11586="CTUh", "Fill in Manually",IF(OR(K11586="Unit", K11586=""), "", INDEX(LookUps!$E$5:$E$12, MATCH(OpenLCAbasic!K11586,LookUps!$D$5:$D$12,0))))</f>
        <v/>
      </c>
      <c r="M11586" s="154" t="str">
        <f t="shared" si="995"/>
        <v>____Process__</v>
      </c>
    </row>
    <row r="11587" spans="1:13" s="120" customFormat="1" x14ac:dyDescent="0.25">
      <c r="A11587" s="119"/>
      <c r="B11587" s="138" t="str">
        <f t="shared" si="996"/>
        <v>Aerated Static Pile</v>
      </c>
      <c r="C11587" s="138" t="str">
        <f t="shared" si="997"/>
        <v>Base_With Amendment</v>
      </c>
      <c r="D11587" s="138" t="str">
        <f t="shared" si="1000"/>
        <v>High_High</v>
      </c>
      <c r="E11587" s="138" t="str">
        <f t="shared" si="1001"/>
        <v>High</v>
      </c>
      <c r="F11587" s="138" t="str">
        <f t="shared" si="998"/>
        <v>Upgraded</v>
      </c>
      <c r="G11587" s="153"/>
      <c r="H11587" s="210">
        <v>0.81330000000000002</v>
      </c>
      <c r="I11587" s="160" t="s">
        <v>48</v>
      </c>
      <c r="J11587" s="160">
        <v>1.1610000000000001E-2</v>
      </c>
      <c r="K11587" s="160" t="s">
        <v>13</v>
      </c>
      <c r="L11587" s="154" t="str">
        <f>IF(OpenLCAbasic!K11587="CTUh", "Fill in Manually",IF(OR(K11587="Unit", K11587=""), "", INDEX(LookUps!$E$5:$E$12, MATCH(OpenLCAbasic!K11587,LookUps!$D$5:$D$12,0))))</f>
        <v>Eutrophication Potential (EP) - kg N eq</v>
      </c>
      <c r="M11587" s="154" t="str">
        <f t="shared" si="995"/>
        <v>High_High_High_Upgraded_Eutrophication Potential (EP) - kg N eq_Effluent release; wastewater treatment unit; at surface water; m3 wastewater - US_Base_With Amendment_Aerated Static Pile</v>
      </c>
    </row>
    <row r="11588" spans="1:13" s="120" customFormat="1" x14ac:dyDescent="0.25">
      <c r="A11588" s="119"/>
      <c r="B11588" s="138" t="str">
        <f t="shared" si="996"/>
        <v>Aerated Static Pile</v>
      </c>
      <c r="C11588" s="138" t="str">
        <f t="shared" si="997"/>
        <v>Base_With Amendment</v>
      </c>
      <c r="D11588" s="138" t="str">
        <f t="shared" si="1000"/>
        <v>High_High</v>
      </c>
      <c r="E11588" s="138" t="str">
        <f t="shared" si="1001"/>
        <v>High</v>
      </c>
      <c r="F11588" s="138" t="str">
        <f t="shared" si="998"/>
        <v>Upgraded</v>
      </c>
      <c r="G11588" s="153"/>
      <c r="H11588" s="210">
        <v>0.24679999999999999</v>
      </c>
      <c r="I11588" s="160" t="s">
        <v>62</v>
      </c>
      <c r="J11588" s="160">
        <v>3.5200000000000001E-3</v>
      </c>
      <c r="K11588" s="160" t="s">
        <v>13</v>
      </c>
      <c r="L11588" s="154" t="str">
        <f>IF(OpenLCAbasic!K11588="CTUh", "Fill in Manually",IF(OR(K11588="Unit", K11588=""), "", INDEX(LookUps!$E$5:$E$12, MATCH(OpenLCAbasic!K11588,LookUps!$D$5:$D$12,0))))</f>
        <v>Eutrophication Potential (EP) - kg N eq</v>
      </c>
      <c r="M11588" s="154" t="str">
        <f t="shared" ref="M11588:M11651" si="1002">CONCATENATE(E11588,"_",D11588,"_",F11588,"_",L11588, "_",I11588,"_", C11588,"_", B11588)</f>
        <v>High_High_High_Upgraded_Eutrophication Potential (EP) - kg N eq_Land application of compost; wastewater treatment unit; at updated plant - US_Base_With Amendment_Aerated Static Pile</v>
      </c>
    </row>
    <row r="11589" spans="1:13" s="120" customFormat="1" x14ac:dyDescent="0.25">
      <c r="A11589" s="119"/>
      <c r="B11589" s="138" t="str">
        <f t="shared" si="996"/>
        <v>Aerated Static Pile</v>
      </c>
      <c r="C11589" s="138" t="str">
        <f t="shared" si="997"/>
        <v>Base_With Amendment</v>
      </c>
      <c r="D11589" s="138" t="str">
        <f t="shared" si="1000"/>
        <v>High_High</v>
      </c>
      <c r="E11589" s="138" t="str">
        <f t="shared" si="1001"/>
        <v>High</v>
      </c>
      <c r="F11589" s="138" t="str">
        <f t="shared" si="998"/>
        <v>Upgraded</v>
      </c>
      <c r="G11589" s="153"/>
      <c r="H11589" s="210">
        <v>3.8300000000000001E-2</v>
      </c>
      <c r="I11589" s="160" t="s">
        <v>55</v>
      </c>
      <c r="J11589" s="160">
        <v>5.5000000000000003E-4</v>
      </c>
      <c r="K11589" s="160" t="s">
        <v>13</v>
      </c>
      <c r="L11589" s="154" t="str">
        <f>IF(OpenLCAbasic!K11589="CTUh", "Fill in Manually",IF(OR(K11589="Unit", K11589=""), "", INDEX(LookUps!$E$5:$E$12, MATCH(OpenLCAbasic!K11589,LookUps!$D$5:$D$12,0))))</f>
        <v>Eutrophication Potential (EP) - kg N eq</v>
      </c>
      <c r="M11589" s="154" t="str">
        <f t="shared" si="1002"/>
        <v>High_High_High_Upgraded_Eutrophication Potential (EP) - kg N eq_Aeration Tanks; wastewater treatment unit; at updated plant - US_Base_With Amendment_Aerated Static Pile</v>
      </c>
    </row>
    <row r="11590" spans="1:13" s="120" customFormat="1" x14ac:dyDescent="0.25">
      <c r="A11590" s="119"/>
      <c r="B11590" s="138" t="str">
        <f t="shared" si="996"/>
        <v>Aerated Static Pile</v>
      </c>
      <c r="C11590" s="138" t="str">
        <f t="shared" si="997"/>
        <v>Base_With Amendment</v>
      </c>
      <c r="D11590" s="138" t="str">
        <f t="shared" si="1000"/>
        <v>High_High</v>
      </c>
      <c r="E11590" s="138" t="str">
        <f t="shared" si="1001"/>
        <v>High</v>
      </c>
      <c r="F11590" s="138" t="str">
        <f t="shared" si="998"/>
        <v>Upgraded</v>
      </c>
      <c r="G11590" s="153"/>
      <c r="H11590" s="210">
        <v>2.7699999999999999E-2</v>
      </c>
      <c r="I11590" s="160" t="s">
        <v>435</v>
      </c>
      <c r="J11590" s="160">
        <v>4.0000000000000002E-4</v>
      </c>
      <c r="K11590" s="160" t="s">
        <v>13</v>
      </c>
      <c r="L11590" s="154" t="str">
        <f>IF(OpenLCAbasic!K11590="CTUh", "Fill in Manually",IF(OR(K11590="Unit", K11590=""), "", INDEX(LookUps!$E$5:$E$12, MATCH(OpenLCAbasic!K11590,LookUps!$D$5:$D$12,0))))</f>
        <v>Eutrophication Potential (EP) - kg N eq</v>
      </c>
      <c r="M11590" s="154" t="str">
        <f t="shared" si="1002"/>
        <v>High_High_High_Upgraded_Eutrophication Potential (EP) - kg N eq_Biosolids composting; aerated static pile; wastewater treatment unit; at updated plant - US_Base_With Amendment_Aerated Static Pile</v>
      </c>
    </row>
    <row r="11591" spans="1:13" s="120" customFormat="1" x14ac:dyDescent="0.25">
      <c r="A11591" s="119"/>
      <c r="B11591" s="138" t="str">
        <f t="shared" si="996"/>
        <v>Aerated Static Pile</v>
      </c>
      <c r="C11591" s="138" t="str">
        <f t="shared" si="997"/>
        <v>Base_With Amendment</v>
      </c>
      <c r="D11591" s="138" t="str">
        <f t="shared" si="1000"/>
        <v>High_High</v>
      </c>
      <c r="E11591" s="138" t="str">
        <f t="shared" si="1001"/>
        <v>High</v>
      </c>
      <c r="F11591" s="138" t="str">
        <f t="shared" si="998"/>
        <v>Upgraded</v>
      </c>
      <c r="G11591" s="153"/>
      <c r="H11591" s="210">
        <v>1.7500000000000002E-2</v>
      </c>
      <c r="I11591" s="160" t="s">
        <v>147</v>
      </c>
      <c r="J11591" s="160">
        <v>2.5000000000000001E-4</v>
      </c>
      <c r="K11591" s="160" t="s">
        <v>13</v>
      </c>
      <c r="L11591" s="154" t="str">
        <f>IF(OpenLCAbasic!K11591="CTUh", "Fill in Manually",IF(OR(K11591="Unit", K11591=""), "", INDEX(LookUps!$E$5:$E$12, MATCH(OpenLCAbasic!K11591,LookUps!$D$5:$D$12,0))))</f>
        <v>Eutrophication Potential (EP) - kg N eq</v>
      </c>
      <c r="M11591" s="154" t="str">
        <f t="shared" si="1002"/>
        <v>High_High_High_Upgraded_Eutrophication Potential (EP) - kg N eq_Influent Pump Station; wastewater treatment unit; at updated plant - US_Base_With Amendment_Aerated Static Pile</v>
      </c>
    </row>
    <row r="11592" spans="1:13" s="120" customFormat="1" x14ac:dyDescent="0.25">
      <c r="A11592" s="119"/>
      <c r="B11592" s="138" t="str">
        <f t="shared" si="996"/>
        <v>Aerated Static Pile</v>
      </c>
      <c r="C11592" s="138" t="str">
        <f t="shared" si="997"/>
        <v>Base_With Amendment</v>
      </c>
      <c r="D11592" s="138" t="str">
        <f t="shared" si="1000"/>
        <v>High_High</v>
      </c>
      <c r="E11592" s="138" t="str">
        <f t="shared" si="1001"/>
        <v>High</v>
      </c>
      <c r="F11592" s="138" t="str">
        <f t="shared" si="998"/>
        <v>Upgraded</v>
      </c>
      <c r="G11592" s="153"/>
      <c r="H11592" s="210">
        <v>1.54E-2</v>
      </c>
      <c r="I11592" s="160" t="s">
        <v>167</v>
      </c>
      <c r="J11592" s="160">
        <v>2.2000000000000001E-4</v>
      </c>
      <c r="K11592" s="160" t="s">
        <v>13</v>
      </c>
      <c r="L11592" s="154" t="str">
        <f>IF(OpenLCAbasic!K11592="CTUh", "Fill in Manually",IF(OR(K11592="Unit", K11592=""), "", INDEX(LookUps!$E$5:$E$12, MATCH(OpenLCAbasic!K11592,LookUps!$D$5:$D$12,0))))</f>
        <v>Eutrophication Potential (EP) - kg N eq</v>
      </c>
      <c r="M11592" s="154" t="str">
        <f t="shared" si="1002"/>
        <v>High_High_High_Upgraded_Eutrophication Potential (EP) - kg N eq_Waste Receiving and Holding; wastewater treatment unit; at updated plant - US_Base_With Amendment_Aerated Static Pile</v>
      </c>
    </row>
    <row r="11593" spans="1:13" s="120" customFormat="1" x14ac:dyDescent="0.25">
      <c r="A11593" s="119"/>
      <c r="B11593" s="138" t="str">
        <f t="shared" si="996"/>
        <v>Aerated Static Pile</v>
      </c>
      <c r="C11593" s="138" t="str">
        <f t="shared" si="997"/>
        <v>Base_With Amendment</v>
      </c>
      <c r="D11593" s="138" t="str">
        <f t="shared" si="1000"/>
        <v>High_High</v>
      </c>
      <c r="E11593" s="138" t="str">
        <f t="shared" si="1001"/>
        <v>High</v>
      </c>
      <c r="F11593" s="138" t="str">
        <f t="shared" si="998"/>
        <v>Upgraded</v>
      </c>
      <c r="G11593" s="153"/>
      <c r="H11593" s="210">
        <v>1.3899999999999999E-2</v>
      </c>
      <c r="I11593" s="160" t="s">
        <v>54</v>
      </c>
      <c r="J11593" s="160">
        <v>2.0000000000000001E-4</v>
      </c>
      <c r="K11593" s="160" t="s">
        <v>13</v>
      </c>
      <c r="L11593" s="154" t="str">
        <f>IF(OpenLCAbasic!K11593="CTUh", "Fill in Manually",IF(OR(K11593="Unit", K11593=""), "", INDEX(LookUps!$E$5:$E$12, MATCH(OpenLCAbasic!K11593,LookUps!$D$5:$D$12,0))))</f>
        <v>Eutrophication Potential (EP) - kg N eq</v>
      </c>
      <c r="M11593" s="154" t="str">
        <f t="shared" si="1002"/>
        <v>High_High_High_Upgraded_Eutrophication Potential (EP) - kg N eq_Clear Cove Primary Clarification; wastewater treatment unit; at updated plant - US_Base_With Amendment_Aerated Static Pile</v>
      </c>
    </row>
    <row r="11594" spans="1:13" s="120" customFormat="1" x14ac:dyDescent="0.25">
      <c r="A11594" s="119"/>
      <c r="B11594" s="138" t="str">
        <f t="shared" ref="B11594:B11657" si="1003">IF(F11594="Legacy","n.a.",IF(F11594="","","Aerated Static Pile"))</f>
        <v>Aerated Static Pile</v>
      </c>
      <c r="C11594" s="138" t="str">
        <f t="shared" ref="C11594:C11657" si="1004">IF(ISNUMBER($J11594),"Base_With Amendment","")</f>
        <v>Base_With Amendment</v>
      </c>
      <c r="D11594" s="138" t="str">
        <f t="shared" si="1000"/>
        <v>High_High</v>
      </c>
      <c r="E11594" s="138" t="str">
        <f t="shared" si="1001"/>
        <v>High</v>
      </c>
      <c r="F11594" s="138" t="str">
        <f t="shared" ref="F11594:F11657" si="1005">IF(ISNUMBER(J11594),"Upgraded","")</f>
        <v>Upgraded</v>
      </c>
      <c r="G11594" s="153"/>
      <c r="H11594" s="210">
        <v>9.4999999999999998E-3</v>
      </c>
      <c r="I11594" s="160" t="s">
        <v>58</v>
      </c>
      <c r="J11594" s="160">
        <v>1.3999999999999999E-4</v>
      </c>
      <c r="K11594" s="160" t="s">
        <v>13</v>
      </c>
      <c r="L11594" s="154" t="str">
        <f>IF(OpenLCAbasic!K11594="CTUh", "Fill in Manually",IF(OR(K11594="Unit", K11594=""), "", INDEX(LookUps!$E$5:$E$12, MATCH(OpenLCAbasic!K11594,LookUps!$D$5:$D$12,0))))</f>
        <v>Eutrophication Potential (EP) - kg N eq</v>
      </c>
      <c r="M11594" s="154" t="str">
        <f t="shared" si="1002"/>
        <v>High_High_High_Upgraded_Eutrophication Potential (EP) - kg N eq_Pre-Anoxic &amp; Swing tank; wastewater treatment unit; at updated plant - US_Base_With Amendment_Aerated Static Pile</v>
      </c>
    </row>
    <row r="11595" spans="1:13" s="120" customFormat="1" x14ac:dyDescent="0.25">
      <c r="A11595" s="119"/>
      <c r="B11595" s="138" t="str">
        <f t="shared" si="1003"/>
        <v>Aerated Static Pile</v>
      </c>
      <c r="C11595" s="138" t="str">
        <f t="shared" si="1004"/>
        <v>Base_With Amendment</v>
      </c>
      <c r="D11595" s="138" t="str">
        <f t="shared" si="1000"/>
        <v>High_High</v>
      </c>
      <c r="E11595" s="138" t="str">
        <f t="shared" si="1001"/>
        <v>High</v>
      </c>
      <c r="F11595" s="138" t="str">
        <f t="shared" si="1005"/>
        <v>Upgraded</v>
      </c>
      <c r="G11595" s="153"/>
      <c r="H11595" s="210">
        <v>7.4999999999999997E-3</v>
      </c>
      <c r="I11595" s="160" t="s">
        <v>53</v>
      </c>
      <c r="J11595" s="160">
        <v>1.1E-4</v>
      </c>
      <c r="K11595" s="160" t="s">
        <v>13</v>
      </c>
      <c r="L11595" s="154" t="str">
        <f>IF(OpenLCAbasic!K11595="CTUh", "Fill in Manually",IF(OR(K11595="Unit", K11595=""), "", INDEX(LookUps!$E$5:$E$12, MATCH(OpenLCAbasic!K11595,LookUps!$D$5:$D$12,0))))</f>
        <v>Eutrophication Potential (EP) - kg N eq</v>
      </c>
      <c r="M11595" s="154" t="str">
        <f t="shared" si="1002"/>
        <v>High_High_High_Upgraded_Eutrophication Potential (EP) - kg N eq_Wet Well and Sump Station; wastewater treatment unit; at updated plant - US_Base_With Amendment_Aerated Static Pile</v>
      </c>
    </row>
    <row r="11596" spans="1:13" s="120" customFormat="1" x14ac:dyDescent="0.25">
      <c r="A11596" s="119"/>
      <c r="B11596" s="138" t="str">
        <f t="shared" si="1003"/>
        <v>Aerated Static Pile</v>
      </c>
      <c r="C11596" s="138" t="str">
        <f t="shared" si="1004"/>
        <v>Base_With Amendment</v>
      </c>
      <c r="D11596" s="138" t="str">
        <f t="shared" si="1000"/>
        <v>High_High</v>
      </c>
      <c r="E11596" s="138" t="str">
        <f t="shared" si="1001"/>
        <v>High</v>
      </c>
      <c r="F11596" s="138" t="str">
        <f t="shared" si="1005"/>
        <v>Upgraded</v>
      </c>
      <c r="G11596" s="153"/>
      <c r="H11596" s="210">
        <v>6.4000000000000003E-3</v>
      </c>
      <c r="I11596" s="160" t="s">
        <v>60</v>
      </c>
      <c r="J11596" s="211">
        <v>9.0710800000000006E-5</v>
      </c>
      <c r="K11596" s="160" t="s">
        <v>13</v>
      </c>
      <c r="L11596" s="154" t="str">
        <f>IF(OpenLCAbasic!K11596="CTUh", "Fill in Manually",IF(OR(K11596="Unit", K11596=""), "", INDEX(LookUps!$E$5:$E$12, MATCH(OpenLCAbasic!K11596,LookUps!$D$5:$D$12,0))))</f>
        <v>Eutrophication Potential (EP) - kg N eq</v>
      </c>
      <c r="M11596" s="154" t="str">
        <f t="shared" si="1002"/>
        <v>High_High_High_Upgraded_Eutrophication Potential (EP) - kg N eq_Belt filter press; wastewater treatment unit; at updated plant - US_Base_With Amendment_Aerated Static Pile</v>
      </c>
    </row>
    <row r="11597" spans="1:13" s="120" customFormat="1" x14ac:dyDescent="0.25">
      <c r="A11597" s="119"/>
      <c r="B11597" s="138" t="str">
        <f t="shared" si="1003"/>
        <v>Aerated Static Pile</v>
      </c>
      <c r="C11597" s="138" t="str">
        <f t="shared" si="1004"/>
        <v>Base_With Amendment</v>
      </c>
      <c r="D11597" s="138" t="str">
        <f t="shared" si="1000"/>
        <v>High_High</v>
      </c>
      <c r="E11597" s="138" t="str">
        <f t="shared" si="1001"/>
        <v>High</v>
      </c>
      <c r="F11597" s="138" t="str">
        <f t="shared" si="1005"/>
        <v>Upgraded</v>
      </c>
      <c r="G11597" s="153"/>
      <c r="H11597" s="210">
        <v>4.1999999999999997E-3</v>
      </c>
      <c r="I11597" s="160" t="s">
        <v>57</v>
      </c>
      <c r="J11597" s="211">
        <v>6.0590300000000002E-5</v>
      </c>
      <c r="K11597" s="160" t="s">
        <v>13</v>
      </c>
      <c r="L11597" s="154" t="str">
        <f>IF(OpenLCAbasic!K11597="CTUh", "Fill in Manually",IF(OR(K11597="Unit", K11597=""), "", INDEX(LookUps!$E$5:$E$12, MATCH(OpenLCAbasic!K11597,LookUps!$D$5:$D$12,0))))</f>
        <v>Eutrophication Potential (EP) - kg N eq</v>
      </c>
      <c r="M11597" s="154" t="str">
        <f t="shared" si="1002"/>
        <v>High_High_High_Upgraded_Eutrophication Potential (EP) - kg N eq_Gravity Belt Thickener; wastewater treatment unit; at updated plant - US_Base_With Amendment_Aerated Static Pile</v>
      </c>
    </row>
    <row r="11598" spans="1:13" s="120" customFormat="1" x14ac:dyDescent="0.25">
      <c r="A11598" s="119"/>
      <c r="B11598" s="138" t="str">
        <f t="shared" si="1003"/>
        <v>Aerated Static Pile</v>
      </c>
      <c r="C11598" s="138" t="str">
        <f t="shared" si="1004"/>
        <v>Base_With Amendment</v>
      </c>
      <c r="D11598" s="138" t="str">
        <f t="shared" si="1000"/>
        <v>High_High</v>
      </c>
      <c r="E11598" s="138" t="str">
        <f t="shared" si="1001"/>
        <v>High</v>
      </c>
      <c r="F11598" s="138" t="str">
        <f t="shared" si="1005"/>
        <v>Upgraded</v>
      </c>
      <c r="G11598" s="153"/>
      <c r="H11598" s="210">
        <v>2.5999999999999999E-3</v>
      </c>
      <c r="I11598" s="160" t="s">
        <v>128</v>
      </c>
      <c r="J11598" s="211">
        <v>3.7559799999999999E-5</v>
      </c>
      <c r="K11598" s="160" t="s">
        <v>13</v>
      </c>
      <c r="L11598" s="154" t="str">
        <f>IF(OpenLCAbasic!K11598="CTUh", "Fill in Manually",IF(OR(K11598="Unit", K11598=""), "", INDEX(LookUps!$E$5:$E$12, MATCH(OpenLCAbasic!K11598,LookUps!$D$5:$D$12,0))))</f>
        <v>Eutrophication Potential (EP) - kg N eq</v>
      </c>
      <c r="M11598" s="154" t="str">
        <f t="shared" si="1002"/>
        <v>High_High_High_Upgraded_Eutrophication Potential (EP) - kg N eq_Wastewater collection; operation and infrastructure; m3 wastewater_Base_With Amendment_Aerated Static Pile</v>
      </c>
    </row>
    <row r="11599" spans="1:13" s="120" customFormat="1" x14ac:dyDescent="0.25">
      <c r="A11599" s="119"/>
      <c r="B11599" s="138" t="str">
        <f t="shared" si="1003"/>
        <v>Aerated Static Pile</v>
      </c>
      <c r="C11599" s="138" t="str">
        <f t="shared" si="1004"/>
        <v>Base_With Amendment</v>
      </c>
      <c r="D11599" s="138" t="str">
        <f t="shared" si="1000"/>
        <v>High_High</v>
      </c>
      <c r="E11599" s="138" t="str">
        <f t="shared" si="1001"/>
        <v>High</v>
      </c>
      <c r="F11599" s="138" t="str">
        <f t="shared" si="1005"/>
        <v>Upgraded</v>
      </c>
      <c r="G11599" s="153"/>
      <c r="H11599" s="210">
        <v>2.5999999999999999E-3</v>
      </c>
      <c r="I11599" s="160" t="s">
        <v>148</v>
      </c>
      <c r="J11599" s="211">
        <v>3.6874600000000001E-5</v>
      </c>
      <c r="K11599" s="160" t="s">
        <v>13</v>
      </c>
      <c r="L11599" s="154" t="str">
        <f>IF(OpenLCAbasic!K11599="CTUh", "Fill in Manually",IF(OR(K11599="Unit", K11599=""), "", INDEX(LookUps!$E$5:$E$12, MATCH(OpenLCAbasic!K11599,LookUps!$D$5:$D$12,0))))</f>
        <v>Eutrophication Potential (EP) - kg N eq</v>
      </c>
      <c r="M11599" s="154" t="str">
        <f t="shared" si="1002"/>
        <v>High_High_High_Upgraded_Eutrophication Potential (EP) - kg N eq_Control Building; at upgraded wastewater treatment plant - US_Base_With Amendment_Aerated Static Pile</v>
      </c>
    </row>
    <row r="11600" spans="1:13" s="120" customFormat="1" x14ac:dyDescent="0.25">
      <c r="A11600" s="119"/>
      <c r="B11600" s="138" t="str">
        <f t="shared" si="1003"/>
        <v>Aerated Static Pile</v>
      </c>
      <c r="C11600" s="138" t="str">
        <f t="shared" si="1004"/>
        <v>Base_With Amendment</v>
      </c>
      <c r="D11600" s="138" t="str">
        <f t="shared" si="1000"/>
        <v>High_High</v>
      </c>
      <c r="E11600" s="138" t="str">
        <f t="shared" si="1001"/>
        <v>High</v>
      </c>
      <c r="F11600" s="138" t="str">
        <f t="shared" si="1005"/>
        <v>Upgraded</v>
      </c>
      <c r="G11600" s="153"/>
      <c r="H11600" s="210">
        <v>1.1000000000000001E-3</v>
      </c>
      <c r="I11600" s="160" t="s">
        <v>59</v>
      </c>
      <c r="J11600" s="211">
        <v>1.6215700000000001E-5</v>
      </c>
      <c r="K11600" s="160" t="s">
        <v>13</v>
      </c>
      <c r="L11600" s="154" t="str">
        <f>IF(OpenLCAbasic!K11600="CTUh", "Fill in Manually",IF(OR(K11600="Unit", K11600=""), "", INDEX(LookUps!$E$5:$E$12, MATCH(OpenLCAbasic!K11600,LookUps!$D$5:$D$12,0))))</f>
        <v>Eutrophication Potential (EP) - kg N eq</v>
      </c>
      <c r="M11600" s="154" t="str">
        <f t="shared" si="1002"/>
        <v>High_High_High_Upgraded_Eutrophication Potential (EP) - kg N eq_Blend Tank; wastewater treatment unit; at updated plant - US_Base_With Amendment_Aerated Static Pile</v>
      </c>
    </row>
    <row r="11601" spans="1:13" s="120" customFormat="1" x14ac:dyDescent="0.25">
      <c r="A11601" s="119"/>
      <c r="B11601" s="138" t="str">
        <f t="shared" si="1003"/>
        <v>Aerated Static Pile</v>
      </c>
      <c r="C11601" s="138" t="str">
        <f t="shared" si="1004"/>
        <v>Base_With Amendment</v>
      </c>
      <c r="D11601" s="138" t="str">
        <f t="shared" si="1000"/>
        <v>High_High</v>
      </c>
      <c r="E11601" s="138" t="str">
        <f t="shared" si="1001"/>
        <v>High</v>
      </c>
      <c r="F11601" s="138" t="str">
        <f t="shared" si="1005"/>
        <v>Upgraded</v>
      </c>
      <c r="G11601" s="153"/>
      <c r="H11601" s="210">
        <v>5.0000000000000001E-4</v>
      </c>
      <c r="I11601" s="160" t="s">
        <v>168</v>
      </c>
      <c r="J11601" s="211">
        <v>7.7567199999999995E-6</v>
      </c>
      <c r="K11601" s="160" t="s">
        <v>13</v>
      </c>
      <c r="L11601" s="154" t="str">
        <f>IF(OpenLCAbasic!K11601="CTUh", "Fill in Manually",IF(OR(K11601="Unit", K11601=""), "", INDEX(LookUps!$E$5:$E$12, MATCH(OpenLCAbasic!K11601,LookUps!$D$5:$D$12,0))))</f>
        <v>Eutrophication Potential (EP) - kg N eq</v>
      </c>
      <c r="M11601" s="154" t="str">
        <f t="shared" si="1002"/>
        <v>High_High_High_Upgraded_Eutrophication Potential (EP) - kg N eq_ClearCove SCP; wastewater treatment unit; at updated plant - US_Base_With Amendment_Aerated Static Pile</v>
      </c>
    </row>
    <row r="11602" spans="1:13" s="120" customFormat="1" x14ac:dyDescent="0.25">
      <c r="A11602" s="119"/>
      <c r="B11602" s="138" t="str">
        <f t="shared" si="1003"/>
        <v>Aerated Static Pile</v>
      </c>
      <c r="C11602" s="138" t="str">
        <f t="shared" si="1004"/>
        <v>Base_With Amendment</v>
      </c>
      <c r="D11602" s="138" t="str">
        <f t="shared" si="1000"/>
        <v>High_High</v>
      </c>
      <c r="E11602" s="138" t="str">
        <f t="shared" si="1001"/>
        <v>High</v>
      </c>
      <c r="F11602" s="138" t="str">
        <f t="shared" si="1005"/>
        <v>Upgraded</v>
      </c>
      <c r="G11602" s="153"/>
      <c r="H11602" s="210">
        <v>-0.20749999999999999</v>
      </c>
      <c r="I11602" s="160" t="s">
        <v>149</v>
      </c>
      <c r="J11602" s="160">
        <v>-2.96E-3</v>
      </c>
      <c r="K11602" s="160" t="s">
        <v>13</v>
      </c>
      <c r="L11602" s="154" t="str">
        <f>IF(OpenLCAbasic!K11602="CTUh", "Fill in Manually",IF(OR(K11602="Unit", K11602=""), "", INDEX(LookUps!$E$5:$E$12, MATCH(OpenLCAbasic!K11602,LookUps!$D$5:$D$12,0))))</f>
        <v>Eutrophication Potential (EP) - kg N eq</v>
      </c>
      <c r="M11602" s="154" t="str">
        <f t="shared" si="1002"/>
        <v>High_High_High_Upgraded_Eutrophication Potential (EP) - kg N eq_Anaerobic Digestion; wastewater treatment unit; at updated plant - US_Base_With Amendment_Aerated Static Pile</v>
      </c>
    </row>
    <row r="11603" spans="1:13" s="120" customFormat="1" x14ac:dyDescent="0.25">
      <c r="A11603" s="119"/>
      <c r="B11603" s="138" t="str">
        <f t="shared" si="1003"/>
        <v/>
      </c>
      <c r="C11603" s="138" t="str">
        <f t="shared" si="1004"/>
        <v/>
      </c>
      <c r="D11603" s="138" t="str">
        <f t="shared" si="1000"/>
        <v/>
      </c>
      <c r="E11603" s="138" t="str">
        <f t="shared" si="1001"/>
        <v/>
      </c>
      <c r="F11603" s="138" t="str">
        <f t="shared" si="1005"/>
        <v/>
      </c>
      <c r="G11603" s="153" t="s">
        <v>51</v>
      </c>
      <c r="H11603" s="160"/>
      <c r="I11603" s="160" t="s">
        <v>47</v>
      </c>
      <c r="J11603" s="160" t="s">
        <v>52</v>
      </c>
      <c r="K11603" s="160" t="s">
        <v>27</v>
      </c>
      <c r="L11603" s="154" t="str">
        <f>IF(OpenLCAbasic!K11603="CTUh", "Fill in Manually",IF(OR(K11603="Unit", K11603=""), "", INDEX(LookUps!$E$5:$E$12, MATCH(OpenLCAbasic!K11603,LookUps!$D$5:$D$12,0))))</f>
        <v/>
      </c>
      <c r="M11603" s="154" t="str">
        <f t="shared" si="1002"/>
        <v>____Process__</v>
      </c>
    </row>
    <row r="11604" spans="1:13" s="120" customFormat="1" x14ac:dyDescent="0.25">
      <c r="A11604" s="119"/>
      <c r="B11604" s="138" t="str">
        <f t="shared" si="1003"/>
        <v>Aerated Static Pile</v>
      </c>
      <c r="C11604" s="138" t="str">
        <f t="shared" si="1004"/>
        <v>Base_With Amendment</v>
      </c>
      <c r="D11604" s="138" t="str">
        <f t="shared" si="1000"/>
        <v>High_High</v>
      </c>
      <c r="E11604" s="138" t="str">
        <f t="shared" si="1001"/>
        <v>High</v>
      </c>
      <c r="F11604" s="138" t="str">
        <f t="shared" si="1005"/>
        <v>Upgraded</v>
      </c>
      <c r="G11604" s="153"/>
      <c r="H11604" s="210">
        <v>0.82320000000000004</v>
      </c>
      <c r="I11604" s="160" t="s">
        <v>167</v>
      </c>
      <c r="J11604" s="160">
        <v>0.11719</v>
      </c>
      <c r="K11604" s="160" t="s">
        <v>14</v>
      </c>
      <c r="L11604" s="154" t="str">
        <f>IF(OpenLCAbasic!K11604="CTUh", "Fill in Manually",IF(OR(K11604="Unit", K11604=""), "", INDEX(LookUps!$E$5:$E$12, MATCH(OpenLCAbasic!K11604,LookUps!$D$5:$D$12,0))))</f>
        <v>Fossil Depletion Potential (FDP) - kg oil eq</v>
      </c>
      <c r="M11604" s="154" t="str">
        <f t="shared" si="1002"/>
        <v>High_High_High_Upgraded_Fossil Depletion Potential (FDP) - kg oil eq_Waste Receiving and Holding; wastewater treatment unit; at updated plant - US_Base_With Amendment_Aerated Static Pile</v>
      </c>
    </row>
    <row r="11605" spans="1:13" s="120" customFormat="1" x14ac:dyDescent="0.25">
      <c r="A11605" s="119"/>
      <c r="B11605" s="138" t="str">
        <f t="shared" si="1003"/>
        <v>Aerated Static Pile</v>
      </c>
      <c r="C11605" s="138" t="str">
        <f t="shared" si="1004"/>
        <v>Base_With Amendment</v>
      </c>
      <c r="D11605" s="138" t="str">
        <f t="shared" si="1000"/>
        <v>High_High</v>
      </c>
      <c r="E11605" s="138" t="str">
        <f t="shared" si="1001"/>
        <v>High</v>
      </c>
      <c r="F11605" s="138" t="str">
        <f t="shared" si="1005"/>
        <v>Upgraded</v>
      </c>
      <c r="G11605" s="153"/>
      <c r="H11605" s="210">
        <v>0.44669999999999999</v>
      </c>
      <c r="I11605" s="160" t="s">
        <v>55</v>
      </c>
      <c r="J11605" s="160">
        <v>6.3589999999999994E-2</v>
      </c>
      <c r="K11605" s="160" t="s">
        <v>14</v>
      </c>
      <c r="L11605" s="154" t="str">
        <f>IF(OpenLCAbasic!K11605="CTUh", "Fill in Manually",IF(OR(K11605="Unit", K11605=""), "", INDEX(LookUps!$E$5:$E$12, MATCH(OpenLCAbasic!K11605,LookUps!$D$5:$D$12,0))))</f>
        <v>Fossil Depletion Potential (FDP) - kg oil eq</v>
      </c>
      <c r="M11605" s="154" t="str">
        <f t="shared" si="1002"/>
        <v>High_High_High_Upgraded_Fossil Depletion Potential (FDP) - kg oil eq_Aeration Tanks; wastewater treatment unit; at updated plant - US_Base_With Amendment_Aerated Static Pile</v>
      </c>
    </row>
    <row r="11606" spans="1:13" s="120" customFormat="1" x14ac:dyDescent="0.25">
      <c r="A11606" s="119"/>
      <c r="B11606" s="138" t="str">
        <f t="shared" si="1003"/>
        <v>Aerated Static Pile</v>
      </c>
      <c r="C11606" s="138" t="str">
        <f t="shared" si="1004"/>
        <v>Base_With Amendment</v>
      </c>
      <c r="D11606" s="138" t="str">
        <f t="shared" si="1000"/>
        <v>High_High</v>
      </c>
      <c r="E11606" s="138" t="str">
        <f t="shared" si="1001"/>
        <v>High</v>
      </c>
      <c r="F11606" s="138" t="str">
        <f t="shared" si="1005"/>
        <v>Upgraded</v>
      </c>
      <c r="G11606" s="153"/>
      <c r="H11606" s="210">
        <v>0.28160000000000002</v>
      </c>
      <c r="I11606" s="160" t="s">
        <v>435</v>
      </c>
      <c r="J11606" s="160">
        <v>4.0079999999999998E-2</v>
      </c>
      <c r="K11606" s="160" t="s">
        <v>14</v>
      </c>
      <c r="L11606" s="154" t="str">
        <f>IF(OpenLCAbasic!K11606="CTUh", "Fill in Manually",IF(OR(K11606="Unit", K11606=""), "", INDEX(LookUps!$E$5:$E$12, MATCH(OpenLCAbasic!K11606,LookUps!$D$5:$D$12,0))))</f>
        <v>Fossil Depletion Potential (FDP) - kg oil eq</v>
      </c>
      <c r="M11606" s="154" t="str">
        <f t="shared" si="1002"/>
        <v>High_High_High_Upgraded_Fossil Depletion Potential (FDP) - kg oil eq_Biosolids composting; aerated static pile; wastewater treatment unit; at updated plant - US_Base_With Amendment_Aerated Static Pile</v>
      </c>
    </row>
    <row r="11607" spans="1:13" s="120" customFormat="1" x14ac:dyDescent="0.25">
      <c r="A11607" s="119"/>
      <c r="B11607" s="138" t="str">
        <f t="shared" si="1003"/>
        <v>Aerated Static Pile</v>
      </c>
      <c r="C11607" s="138" t="str">
        <f t="shared" si="1004"/>
        <v>Base_With Amendment</v>
      </c>
      <c r="D11607" s="138" t="str">
        <f t="shared" si="1000"/>
        <v>High_High</v>
      </c>
      <c r="E11607" s="138" t="str">
        <f t="shared" si="1001"/>
        <v>High</v>
      </c>
      <c r="F11607" s="138" t="str">
        <f t="shared" si="1005"/>
        <v>Upgraded</v>
      </c>
      <c r="G11607" s="153"/>
      <c r="H11607" s="210">
        <v>0.1479</v>
      </c>
      <c r="I11607" s="160" t="s">
        <v>54</v>
      </c>
      <c r="J11607" s="160">
        <v>2.1049999999999999E-2</v>
      </c>
      <c r="K11607" s="160" t="s">
        <v>14</v>
      </c>
      <c r="L11607" s="154" t="str">
        <f>IF(OpenLCAbasic!K11607="CTUh", "Fill in Manually",IF(OR(K11607="Unit", K11607=""), "", INDEX(LookUps!$E$5:$E$12, MATCH(OpenLCAbasic!K11607,LookUps!$D$5:$D$12,0))))</f>
        <v>Fossil Depletion Potential (FDP) - kg oil eq</v>
      </c>
      <c r="M11607" s="154" t="str">
        <f t="shared" si="1002"/>
        <v>High_High_High_Upgraded_Fossil Depletion Potential (FDP) - kg oil eq_Clear Cove Primary Clarification; wastewater treatment unit; at updated plant - US_Base_With Amendment_Aerated Static Pile</v>
      </c>
    </row>
    <row r="11608" spans="1:13" s="120" customFormat="1" x14ac:dyDescent="0.25">
      <c r="A11608" s="119"/>
      <c r="B11608" s="138" t="str">
        <f t="shared" si="1003"/>
        <v>Aerated Static Pile</v>
      </c>
      <c r="C11608" s="138" t="str">
        <f t="shared" si="1004"/>
        <v>Base_With Amendment</v>
      </c>
      <c r="D11608" s="138" t="str">
        <f t="shared" si="1000"/>
        <v>High_High</v>
      </c>
      <c r="E11608" s="138" t="str">
        <f t="shared" si="1001"/>
        <v>High</v>
      </c>
      <c r="F11608" s="138" t="str">
        <f t="shared" si="1005"/>
        <v>Upgraded</v>
      </c>
      <c r="G11608" s="153"/>
      <c r="H11608" s="210">
        <v>0.11269999999999999</v>
      </c>
      <c r="I11608" s="160" t="s">
        <v>58</v>
      </c>
      <c r="J11608" s="160">
        <v>1.6039999999999999E-2</v>
      </c>
      <c r="K11608" s="160" t="s">
        <v>14</v>
      </c>
      <c r="L11608" s="154" t="str">
        <f>IF(OpenLCAbasic!K11608="CTUh", "Fill in Manually",IF(OR(K11608="Unit", K11608=""), "", INDEX(LookUps!$E$5:$E$12, MATCH(OpenLCAbasic!K11608,LookUps!$D$5:$D$12,0))))</f>
        <v>Fossil Depletion Potential (FDP) - kg oil eq</v>
      </c>
      <c r="M11608" s="154" t="str">
        <f t="shared" si="1002"/>
        <v>High_High_High_Upgraded_Fossil Depletion Potential (FDP) - kg oil eq_Pre-Anoxic &amp; Swing tank; wastewater treatment unit; at updated plant - US_Base_With Amendment_Aerated Static Pile</v>
      </c>
    </row>
    <row r="11609" spans="1:13" s="120" customFormat="1" x14ac:dyDescent="0.25">
      <c r="A11609" s="119"/>
      <c r="B11609" s="138" t="str">
        <f t="shared" si="1003"/>
        <v>Aerated Static Pile</v>
      </c>
      <c r="C11609" s="138" t="str">
        <f t="shared" si="1004"/>
        <v>Base_With Amendment</v>
      </c>
      <c r="D11609" s="138" t="str">
        <f t="shared" si="1000"/>
        <v>High_High</v>
      </c>
      <c r="E11609" s="138" t="str">
        <f t="shared" si="1001"/>
        <v>High</v>
      </c>
      <c r="F11609" s="138" t="str">
        <f t="shared" si="1005"/>
        <v>Upgraded</v>
      </c>
      <c r="G11609" s="153"/>
      <c r="H11609" s="210">
        <v>0.106</v>
      </c>
      <c r="I11609" s="160" t="s">
        <v>147</v>
      </c>
      <c r="J11609" s="160">
        <v>1.5089999999999999E-2</v>
      </c>
      <c r="K11609" s="160" t="s">
        <v>14</v>
      </c>
      <c r="L11609" s="154" t="str">
        <f>IF(OpenLCAbasic!K11609="CTUh", "Fill in Manually",IF(OR(K11609="Unit", K11609=""), "", INDEX(LookUps!$E$5:$E$12, MATCH(OpenLCAbasic!K11609,LookUps!$D$5:$D$12,0))))</f>
        <v>Fossil Depletion Potential (FDP) - kg oil eq</v>
      </c>
      <c r="M11609" s="154" t="str">
        <f t="shared" si="1002"/>
        <v>High_High_High_Upgraded_Fossil Depletion Potential (FDP) - kg oil eq_Influent Pump Station; wastewater treatment unit; at updated plant - US_Base_With Amendment_Aerated Static Pile</v>
      </c>
    </row>
    <row r="11610" spans="1:13" s="120" customFormat="1" x14ac:dyDescent="0.25">
      <c r="A11610" s="119"/>
      <c r="B11610" s="138" t="str">
        <f t="shared" si="1003"/>
        <v>Aerated Static Pile</v>
      </c>
      <c r="C11610" s="138" t="str">
        <f t="shared" si="1004"/>
        <v>Base_With Amendment</v>
      </c>
      <c r="D11610" s="138" t="str">
        <f t="shared" si="1000"/>
        <v>High_High</v>
      </c>
      <c r="E11610" s="138" t="str">
        <f t="shared" si="1001"/>
        <v>High</v>
      </c>
      <c r="F11610" s="138" t="str">
        <f t="shared" si="1005"/>
        <v>Upgraded</v>
      </c>
      <c r="G11610" s="153"/>
      <c r="H11610" s="210">
        <v>8.77E-2</v>
      </c>
      <c r="I11610" s="160" t="s">
        <v>53</v>
      </c>
      <c r="J11610" s="160">
        <v>1.2489999999999999E-2</v>
      </c>
      <c r="K11610" s="160" t="s">
        <v>14</v>
      </c>
      <c r="L11610" s="154" t="str">
        <f>IF(OpenLCAbasic!K11610="CTUh", "Fill in Manually",IF(OR(K11610="Unit", K11610=""), "", INDEX(LookUps!$E$5:$E$12, MATCH(OpenLCAbasic!K11610,LookUps!$D$5:$D$12,0))))</f>
        <v>Fossil Depletion Potential (FDP) - kg oil eq</v>
      </c>
      <c r="M11610" s="154" t="str">
        <f t="shared" si="1002"/>
        <v>High_High_High_Upgraded_Fossil Depletion Potential (FDP) - kg oil eq_Wet Well and Sump Station; wastewater treatment unit; at updated plant - US_Base_With Amendment_Aerated Static Pile</v>
      </c>
    </row>
    <row r="11611" spans="1:13" s="120" customFormat="1" x14ac:dyDescent="0.25">
      <c r="A11611" s="119"/>
      <c r="B11611" s="138" t="str">
        <f t="shared" si="1003"/>
        <v>Aerated Static Pile</v>
      </c>
      <c r="C11611" s="138" t="str">
        <f t="shared" si="1004"/>
        <v>Base_With Amendment</v>
      </c>
      <c r="D11611" s="138" t="str">
        <f t="shared" si="1000"/>
        <v>High_High</v>
      </c>
      <c r="E11611" s="138" t="str">
        <f t="shared" si="1001"/>
        <v>High</v>
      </c>
      <c r="F11611" s="138" t="str">
        <f t="shared" si="1005"/>
        <v>Upgraded</v>
      </c>
      <c r="G11611" s="153"/>
      <c r="H11611" s="210">
        <v>7.3099999999999998E-2</v>
      </c>
      <c r="I11611" s="160" t="s">
        <v>60</v>
      </c>
      <c r="J11611" s="160">
        <v>1.0410000000000001E-2</v>
      </c>
      <c r="K11611" s="160" t="s">
        <v>14</v>
      </c>
      <c r="L11611" s="154" t="str">
        <f>IF(OpenLCAbasic!K11611="CTUh", "Fill in Manually",IF(OR(K11611="Unit", K11611=""), "", INDEX(LookUps!$E$5:$E$12, MATCH(OpenLCAbasic!K11611,LookUps!$D$5:$D$12,0))))</f>
        <v>Fossil Depletion Potential (FDP) - kg oil eq</v>
      </c>
      <c r="M11611" s="154" t="str">
        <f t="shared" si="1002"/>
        <v>High_High_High_Upgraded_Fossil Depletion Potential (FDP) - kg oil eq_Belt filter press; wastewater treatment unit; at updated plant - US_Base_With Amendment_Aerated Static Pile</v>
      </c>
    </row>
    <row r="11612" spans="1:13" s="120" customFormat="1" x14ac:dyDescent="0.25">
      <c r="A11612" s="119"/>
      <c r="B11612" s="138" t="str">
        <f t="shared" si="1003"/>
        <v>Aerated Static Pile</v>
      </c>
      <c r="C11612" s="138" t="str">
        <f t="shared" si="1004"/>
        <v>Base_With Amendment</v>
      </c>
      <c r="D11612" s="138" t="str">
        <f t="shared" si="1000"/>
        <v>High_High</v>
      </c>
      <c r="E11612" s="138" t="str">
        <f t="shared" si="1001"/>
        <v>High</v>
      </c>
      <c r="F11612" s="138" t="str">
        <f t="shared" si="1005"/>
        <v>Upgraded</v>
      </c>
      <c r="G11612" s="153"/>
      <c r="H11612" s="210">
        <v>4.8599999999999997E-2</v>
      </c>
      <c r="I11612" s="160" t="s">
        <v>57</v>
      </c>
      <c r="J11612" s="160">
        <v>6.9199999999999999E-3</v>
      </c>
      <c r="K11612" s="160" t="s">
        <v>14</v>
      </c>
      <c r="L11612" s="154" t="str">
        <f>IF(OpenLCAbasic!K11612="CTUh", "Fill in Manually",IF(OR(K11612="Unit", K11612=""), "", INDEX(LookUps!$E$5:$E$12, MATCH(OpenLCAbasic!K11612,LookUps!$D$5:$D$12,0))))</f>
        <v>Fossil Depletion Potential (FDP) - kg oil eq</v>
      </c>
      <c r="M11612" s="154" t="str">
        <f t="shared" si="1002"/>
        <v>High_High_High_Upgraded_Fossil Depletion Potential (FDP) - kg oil eq_Gravity Belt Thickener; wastewater treatment unit; at updated plant - US_Base_With Amendment_Aerated Static Pile</v>
      </c>
    </row>
    <row r="11613" spans="1:13" s="120" customFormat="1" x14ac:dyDescent="0.25">
      <c r="A11613" s="119"/>
      <c r="B11613" s="138" t="str">
        <f t="shared" si="1003"/>
        <v>Aerated Static Pile</v>
      </c>
      <c r="C11613" s="138" t="str">
        <f t="shared" si="1004"/>
        <v>Base_With Amendment</v>
      </c>
      <c r="D11613" s="138" t="str">
        <f t="shared" si="1000"/>
        <v>High_High</v>
      </c>
      <c r="E11613" s="138" t="str">
        <f t="shared" si="1001"/>
        <v>High</v>
      </c>
      <c r="F11613" s="138" t="str">
        <f t="shared" si="1005"/>
        <v>Upgraded</v>
      </c>
      <c r="G11613" s="153"/>
      <c r="H11613" s="210">
        <v>3.1600000000000003E-2</v>
      </c>
      <c r="I11613" s="160" t="s">
        <v>128</v>
      </c>
      <c r="J11613" s="160">
        <v>4.4999999999999997E-3</v>
      </c>
      <c r="K11613" s="160" t="s">
        <v>14</v>
      </c>
      <c r="L11613" s="154" t="str">
        <f>IF(OpenLCAbasic!K11613="CTUh", "Fill in Manually",IF(OR(K11613="Unit", K11613=""), "", INDEX(LookUps!$E$5:$E$12, MATCH(OpenLCAbasic!K11613,LookUps!$D$5:$D$12,0))))</f>
        <v>Fossil Depletion Potential (FDP) - kg oil eq</v>
      </c>
      <c r="M11613" s="154" t="str">
        <f t="shared" si="1002"/>
        <v>High_High_High_Upgraded_Fossil Depletion Potential (FDP) - kg oil eq_Wastewater collection; operation and infrastructure; m3 wastewater_Base_With Amendment_Aerated Static Pile</v>
      </c>
    </row>
    <row r="11614" spans="1:13" s="120" customFormat="1" x14ac:dyDescent="0.25">
      <c r="A11614" s="119"/>
      <c r="B11614" s="138" t="str">
        <f t="shared" si="1003"/>
        <v>Aerated Static Pile</v>
      </c>
      <c r="C11614" s="138" t="str">
        <f t="shared" si="1004"/>
        <v>Base_With Amendment</v>
      </c>
      <c r="D11614" s="138" t="str">
        <f t="shared" si="1000"/>
        <v>High_High</v>
      </c>
      <c r="E11614" s="138" t="str">
        <f t="shared" si="1001"/>
        <v>High</v>
      </c>
      <c r="F11614" s="138" t="str">
        <f t="shared" si="1005"/>
        <v>Upgraded</v>
      </c>
      <c r="G11614" s="153"/>
      <c r="H11614" s="210">
        <v>1.9699999999999999E-2</v>
      </c>
      <c r="I11614" s="160" t="s">
        <v>148</v>
      </c>
      <c r="J11614" s="160">
        <v>2.8E-3</v>
      </c>
      <c r="K11614" s="160" t="s">
        <v>14</v>
      </c>
      <c r="L11614" s="154" t="str">
        <f>IF(OpenLCAbasic!K11614="CTUh", "Fill in Manually",IF(OR(K11614="Unit", K11614=""), "", INDEX(LookUps!$E$5:$E$12, MATCH(OpenLCAbasic!K11614,LookUps!$D$5:$D$12,0))))</f>
        <v>Fossil Depletion Potential (FDP) - kg oil eq</v>
      </c>
      <c r="M11614" s="154" t="str">
        <f t="shared" si="1002"/>
        <v>High_High_High_Upgraded_Fossil Depletion Potential (FDP) - kg oil eq_Control Building; at upgraded wastewater treatment plant - US_Base_With Amendment_Aerated Static Pile</v>
      </c>
    </row>
    <row r="11615" spans="1:13" s="120" customFormat="1" x14ac:dyDescent="0.25">
      <c r="A11615" s="119"/>
      <c r="B11615" s="138" t="str">
        <f t="shared" si="1003"/>
        <v>Aerated Static Pile</v>
      </c>
      <c r="C11615" s="138" t="str">
        <f t="shared" si="1004"/>
        <v>Base_With Amendment</v>
      </c>
      <c r="D11615" s="138" t="str">
        <f t="shared" si="1000"/>
        <v>High_High</v>
      </c>
      <c r="E11615" s="138" t="str">
        <f t="shared" si="1001"/>
        <v>High</v>
      </c>
      <c r="F11615" s="138" t="str">
        <f t="shared" si="1005"/>
        <v>Upgraded</v>
      </c>
      <c r="G11615" s="153"/>
      <c r="H11615" s="210">
        <v>1.66E-2</v>
      </c>
      <c r="I11615" s="160" t="s">
        <v>48</v>
      </c>
      <c r="J11615" s="160">
        <v>2.3600000000000001E-3</v>
      </c>
      <c r="K11615" s="160" t="s">
        <v>14</v>
      </c>
      <c r="L11615" s="154" t="str">
        <f>IF(OpenLCAbasic!K11615="CTUh", "Fill in Manually",IF(OR(K11615="Unit", K11615=""), "", INDEX(LookUps!$E$5:$E$12, MATCH(OpenLCAbasic!K11615,LookUps!$D$5:$D$12,0))))</f>
        <v>Fossil Depletion Potential (FDP) - kg oil eq</v>
      </c>
      <c r="M11615" s="154" t="str">
        <f t="shared" si="1002"/>
        <v>High_High_High_Upgraded_Fossil Depletion Potential (FDP) - kg oil eq_Effluent release; wastewater treatment unit; at surface water; m3 wastewater - US_Base_With Amendment_Aerated Static Pile</v>
      </c>
    </row>
    <row r="11616" spans="1:13" s="120" customFormat="1" x14ac:dyDescent="0.25">
      <c r="A11616" s="119"/>
      <c r="B11616" s="138" t="str">
        <f t="shared" si="1003"/>
        <v>Aerated Static Pile</v>
      </c>
      <c r="C11616" s="138" t="str">
        <f t="shared" si="1004"/>
        <v>Base_With Amendment</v>
      </c>
      <c r="D11616" s="138" t="str">
        <f t="shared" si="1000"/>
        <v>High_High</v>
      </c>
      <c r="E11616" s="138" t="str">
        <f t="shared" si="1001"/>
        <v>High</v>
      </c>
      <c r="F11616" s="138" t="str">
        <f t="shared" si="1005"/>
        <v>Upgraded</v>
      </c>
      <c r="G11616" s="153"/>
      <c r="H11616" s="210">
        <v>1.35E-2</v>
      </c>
      <c r="I11616" s="160" t="s">
        <v>59</v>
      </c>
      <c r="J11616" s="160">
        <v>1.92E-3</v>
      </c>
      <c r="K11616" s="160" t="s">
        <v>14</v>
      </c>
      <c r="L11616" s="154" t="str">
        <f>IF(OpenLCAbasic!K11616="CTUh", "Fill in Manually",IF(OR(K11616="Unit", K11616=""), "", INDEX(LookUps!$E$5:$E$12, MATCH(OpenLCAbasic!K11616,LookUps!$D$5:$D$12,0))))</f>
        <v>Fossil Depletion Potential (FDP) - kg oil eq</v>
      </c>
      <c r="M11616" s="154" t="str">
        <f t="shared" si="1002"/>
        <v>High_High_High_Upgraded_Fossil Depletion Potential (FDP) - kg oil eq_Blend Tank; wastewater treatment unit; at updated plant - US_Base_With Amendment_Aerated Static Pile</v>
      </c>
    </row>
    <row r="11617" spans="1:13" s="120" customFormat="1" x14ac:dyDescent="0.25">
      <c r="A11617" s="119"/>
      <c r="B11617" s="138" t="str">
        <f t="shared" si="1003"/>
        <v>Aerated Static Pile</v>
      </c>
      <c r="C11617" s="138" t="str">
        <f t="shared" si="1004"/>
        <v>Base_With Amendment</v>
      </c>
      <c r="D11617" s="138" t="str">
        <f t="shared" ref="D11617:D11680" si="1006">IF(ISNUMBER($J11617),"High_High","")</f>
        <v>High_High</v>
      </c>
      <c r="E11617" s="138" t="str">
        <f t="shared" si="1001"/>
        <v>High</v>
      </c>
      <c r="F11617" s="138" t="str">
        <f t="shared" si="1005"/>
        <v>Upgraded</v>
      </c>
      <c r="G11617" s="153"/>
      <c r="H11617" s="210">
        <v>6.4000000000000003E-3</v>
      </c>
      <c r="I11617" s="160" t="s">
        <v>168</v>
      </c>
      <c r="J11617" s="160">
        <v>9.1E-4</v>
      </c>
      <c r="K11617" s="160" t="s">
        <v>14</v>
      </c>
      <c r="L11617" s="154" t="str">
        <f>IF(OpenLCAbasic!K11617="CTUh", "Fill in Manually",IF(OR(K11617="Unit", K11617=""), "", INDEX(LookUps!$E$5:$E$12, MATCH(OpenLCAbasic!K11617,LookUps!$D$5:$D$12,0))))</f>
        <v>Fossil Depletion Potential (FDP) - kg oil eq</v>
      </c>
      <c r="M11617" s="154" t="str">
        <f t="shared" si="1002"/>
        <v>High_High_High_Upgraded_Fossil Depletion Potential (FDP) - kg oil eq_ClearCove SCP; wastewater treatment unit; at updated plant - US_Base_With Amendment_Aerated Static Pile</v>
      </c>
    </row>
    <row r="11618" spans="1:13" s="120" customFormat="1" x14ac:dyDescent="0.25">
      <c r="A11618" s="119"/>
      <c r="B11618" s="138" t="str">
        <f t="shared" si="1003"/>
        <v>Aerated Static Pile</v>
      </c>
      <c r="C11618" s="138" t="str">
        <f t="shared" si="1004"/>
        <v>Base_With Amendment</v>
      </c>
      <c r="D11618" s="138" t="str">
        <f t="shared" si="1006"/>
        <v>High_High</v>
      </c>
      <c r="E11618" s="138" t="str">
        <f t="shared" si="1001"/>
        <v>High</v>
      </c>
      <c r="F11618" s="138" t="str">
        <f t="shared" si="1005"/>
        <v>Upgraded</v>
      </c>
      <c r="G11618" s="153"/>
      <c r="H11618" s="210">
        <v>-6.9900000000000004E-2</v>
      </c>
      <c r="I11618" s="160" t="s">
        <v>62</v>
      </c>
      <c r="J11618" s="160">
        <v>-9.9500000000000005E-3</v>
      </c>
      <c r="K11618" s="160" t="s">
        <v>14</v>
      </c>
      <c r="L11618" s="154" t="str">
        <f>IF(OpenLCAbasic!K11618="CTUh", "Fill in Manually",IF(OR(K11618="Unit", K11618=""), "", INDEX(LookUps!$E$5:$E$12, MATCH(OpenLCAbasic!K11618,LookUps!$D$5:$D$12,0))))</f>
        <v>Fossil Depletion Potential (FDP) - kg oil eq</v>
      </c>
      <c r="M11618" s="154" t="str">
        <f t="shared" si="1002"/>
        <v>High_High_High_Upgraded_Fossil Depletion Potential (FDP) - kg oil eq_Land application of compost; wastewater treatment unit; at updated plant - US_Base_With Amendment_Aerated Static Pile</v>
      </c>
    </row>
    <row r="11619" spans="1:13" s="120" customFormat="1" x14ac:dyDescent="0.25">
      <c r="A11619" s="119"/>
      <c r="B11619" s="138" t="str">
        <f t="shared" si="1003"/>
        <v>Aerated Static Pile</v>
      </c>
      <c r="C11619" s="138" t="str">
        <f t="shared" si="1004"/>
        <v>Base_With Amendment</v>
      </c>
      <c r="D11619" s="138" t="str">
        <f t="shared" si="1006"/>
        <v>High_High</v>
      </c>
      <c r="E11619" s="138" t="str">
        <f t="shared" si="1001"/>
        <v>High</v>
      </c>
      <c r="F11619" s="138" t="str">
        <f t="shared" si="1005"/>
        <v>Upgraded</v>
      </c>
      <c r="G11619" s="153"/>
      <c r="H11619" s="210">
        <v>-3.1454</v>
      </c>
      <c r="I11619" s="160" t="s">
        <v>149</v>
      </c>
      <c r="J11619" s="160">
        <v>-0.44775999999999999</v>
      </c>
      <c r="K11619" s="160" t="s">
        <v>14</v>
      </c>
      <c r="L11619" s="154" t="str">
        <f>IF(OpenLCAbasic!K11619="CTUh", "Fill in Manually",IF(OR(K11619="Unit", K11619=""), "", INDEX(LookUps!$E$5:$E$12, MATCH(OpenLCAbasic!K11619,LookUps!$D$5:$D$12,0))))</f>
        <v>Fossil Depletion Potential (FDP) - kg oil eq</v>
      </c>
      <c r="M11619" s="154" t="str">
        <f t="shared" si="1002"/>
        <v>High_High_High_Upgraded_Fossil Depletion Potential (FDP) - kg oil eq_Anaerobic Digestion; wastewater treatment unit; at updated plant - US_Base_With Amendment_Aerated Static Pile</v>
      </c>
    </row>
    <row r="11620" spans="1:13" s="120" customFormat="1" x14ac:dyDescent="0.25">
      <c r="A11620" s="119"/>
      <c r="B11620" s="138" t="str">
        <f t="shared" si="1003"/>
        <v/>
      </c>
      <c r="C11620" s="138" t="str">
        <f t="shared" si="1004"/>
        <v/>
      </c>
      <c r="D11620" s="138" t="str">
        <f t="shared" si="1006"/>
        <v/>
      </c>
      <c r="E11620" s="138" t="str">
        <f t="shared" si="1001"/>
        <v/>
      </c>
      <c r="F11620" s="138" t="str">
        <f t="shared" si="1005"/>
        <v/>
      </c>
      <c r="G11620" s="153" t="s">
        <v>51</v>
      </c>
      <c r="H11620" s="160"/>
      <c r="I11620" s="160" t="s">
        <v>47</v>
      </c>
      <c r="J11620" s="160" t="s">
        <v>52</v>
      </c>
      <c r="K11620" s="160" t="s">
        <v>27</v>
      </c>
      <c r="L11620" s="154" t="str">
        <f>IF(OpenLCAbasic!K11620="CTUh", "Fill in Manually",IF(OR(K11620="Unit", K11620=""), "", INDEX(LookUps!$E$5:$E$12, MATCH(OpenLCAbasic!K11620,LookUps!$D$5:$D$12,0))))</f>
        <v/>
      </c>
      <c r="M11620" s="154" t="str">
        <f t="shared" si="1002"/>
        <v>____Process__</v>
      </c>
    </row>
    <row r="11621" spans="1:13" s="120" customFormat="1" x14ac:dyDescent="0.25">
      <c r="A11621" s="119"/>
      <c r="B11621" s="138" t="str">
        <f t="shared" si="1003"/>
        <v>Aerated Static Pile</v>
      </c>
      <c r="C11621" s="138" t="str">
        <f t="shared" si="1004"/>
        <v>Base_With Amendment</v>
      </c>
      <c r="D11621" s="138" t="str">
        <f t="shared" si="1006"/>
        <v>High_High</v>
      </c>
      <c r="E11621" s="138" t="str">
        <f t="shared" si="1001"/>
        <v>High</v>
      </c>
      <c r="F11621" s="138" t="str">
        <f t="shared" si="1005"/>
        <v>Upgraded</v>
      </c>
      <c r="G11621" s="153"/>
      <c r="H11621" s="210">
        <v>2.4552999999999998</v>
      </c>
      <c r="I11621" s="160" t="s">
        <v>435</v>
      </c>
      <c r="J11621" s="160">
        <v>1.5260499999999999</v>
      </c>
      <c r="K11621" s="160" t="s">
        <v>23</v>
      </c>
      <c r="L11621" s="154" t="str">
        <f>IF(OpenLCAbasic!K11621="CTUh", "Fill in Manually",IF(OR(K11621="Unit", K11621=""), "", INDEX(LookUps!$E$5:$E$12, MATCH(OpenLCAbasic!K11621,LookUps!$D$5:$D$12,0))))</f>
        <v>Global Warming Potential (GWP) - kg CO2 eq</v>
      </c>
      <c r="M11621" s="154" t="str">
        <f t="shared" si="1002"/>
        <v>High_High_High_Upgraded_Global Warming Potential (GWP) - kg CO2 eq_Biosolids composting; aerated static pile; wastewater treatment unit; at updated plant - US_Base_With Amendment_Aerated Static Pile</v>
      </c>
    </row>
    <row r="11622" spans="1:13" s="120" customFormat="1" x14ac:dyDescent="0.25">
      <c r="A11622" s="119"/>
      <c r="B11622" s="138" t="str">
        <f t="shared" si="1003"/>
        <v>Aerated Static Pile</v>
      </c>
      <c r="C11622" s="138" t="str">
        <f t="shared" si="1004"/>
        <v>Base_With Amendment</v>
      </c>
      <c r="D11622" s="138" t="str">
        <f t="shared" si="1006"/>
        <v>High_High</v>
      </c>
      <c r="E11622" s="138" t="str">
        <f t="shared" si="1001"/>
        <v>High</v>
      </c>
      <c r="F11622" s="138" t="str">
        <f t="shared" si="1005"/>
        <v>Upgraded</v>
      </c>
      <c r="G11622" s="153"/>
      <c r="H11622" s="210">
        <v>0.40210000000000001</v>
      </c>
      <c r="I11622" s="160" t="s">
        <v>58</v>
      </c>
      <c r="J11622" s="160">
        <v>0.24992</v>
      </c>
      <c r="K11622" s="160" t="s">
        <v>23</v>
      </c>
      <c r="L11622" s="154" t="str">
        <f>IF(OpenLCAbasic!K11622="CTUh", "Fill in Manually",IF(OR(K11622="Unit", K11622=""), "", INDEX(LookUps!$E$5:$E$12, MATCH(OpenLCAbasic!K11622,LookUps!$D$5:$D$12,0))))</f>
        <v>Global Warming Potential (GWP) - kg CO2 eq</v>
      </c>
      <c r="M11622" s="154" t="str">
        <f t="shared" si="1002"/>
        <v>High_High_High_Upgraded_Global Warming Potential (GWP) - kg CO2 eq_Pre-Anoxic &amp; Swing tank; wastewater treatment unit; at updated plant - US_Base_With Amendment_Aerated Static Pile</v>
      </c>
    </row>
    <row r="11623" spans="1:13" s="120" customFormat="1" x14ac:dyDescent="0.25">
      <c r="A11623" s="119"/>
      <c r="B11623" s="138" t="str">
        <f t="shared" si="1003"/>
        <v>Aerated Static Pile</v>
      </c>
      <c r="C11623" s="138" t="str">
        <f t="shared" si="1004"/>
        <v>Base_With Amendment</v>
      </c>
      <c r="D11623" s="138" t="str">
        <f t="shared" si="1006"/>
        <v>High_High</v>
      </c>
      <c r="E11623" s="138" t="str">
        <f t="shared" si="1001"/>
        <v>High</v>
      </c>
      <c r="F11623" s="138" t="str">
        <f t="shared" si="1005"/>
        <v>Upgraded</v>
      </c>
      <c r="G11623" s="153"/>
      <c r="H11623" s="210">
        <v>0.2707</v>
      </c>
      <c r="I11623" s="160" t="s">
        <v>55</v>
      </c>
      <c r="J11623" s="160">
        <v>0.16822000000000001</v>
      </c>
      <c r="K11623" s="160" t="s">
        <v>23</v>
      </c>
      <c r="L11623" s="154" t="str">
        <f>IF(OpenLCAbasic!K11623="CTUh", "Fill in Manually",IF(OR(K11623="Unit", K11623=""), "", INDEX(LookUps!$E$5:$E$12, MATCH(OpenLCAbasic!K11623,LookUps!$D$5:$D$12,0))))</f>
        <v>Global Warming Potential (GWP) - kg CO2 eq</v>
      </c>
      <c r="M11623" s="154" t="str">
        <f t="shared" si="1002"/>
        <v>High_High_High_Upgraded_Global Warming Potential (GWP) - kg CO2 eq_Aeration Tanks; wastewater treatment unit; at updated plant - US_Base_With Amendment_Aerated Static Pile</v>
      </c>
    </row>
    <row r="11624" spans="1:13" s="120" customFormat="1" x14ac:dyDescent="0.25">
      <c r="A11624" s="119"/>
      <c r="B11624" s="138" t="str">
        <f t="shared" si="1003"/>
        <v>Aerated Static Pile</v>
      </c>
      <c r="C11624" s="138" t="str">
        <f t="shared" si="1004"/>
        <v>Base_With Amendment</v>
      </c>
      <c r="D11624" s="138" t="str">
        <f t="shared" si="1006"/>
        <v>High_High</v>
      </c>
      <c r="E11624" s="138" t="str">
        <f t="shared" si="1001"/>
        <v>High</v>
      </c>
      <c r="F11624" s="138" t="str">
        <f t="shared" si="1005"/>
        <v>Upgraded</v>
      </c>
      <c r="G11624" s="153"/>
      <c r="H11624" s="210">
        <v>0.23630000000000001</v>
      </c>
      <c r="I11624" s="160" t="s">
        <v>167</v>
      </c>
      <c r="J11624" s="160">
        <v>0.14685000000000001</v>
      </c>
      <c r="K11624" s="160" t="s">
        <v>23</v>
      </c>
      <c r="L11624" s="154" t="str">
        <f>IF(OpenLCAbasic!K11624="CTUh", "Fill in Manually",IF(OR(K11624="Unit", K11624=""), "", INDEX(LookUps!$E$5:$E$12, MATCH(OpenLCAbasic!K11624,LookUps!$D$5:$D$12,0))))</f>
        <v>Global Warming Potential (GWP) - kg CO2 eq</v>
      </c>
      <c r="M11624" s="154" t="str">
        <f t="shared" si="1002"/>
        <v>High_High_High_Upgraded_Global Warming Potential (GWP) - kg CO2 eq_Waste Receiving and Holding; wastewater treatment unit; at updated plant - US_Base_With Amendment_Aerated Static Pile</v>
      </c>
    </row>
    <row r="11625" spans="1:13" s="120" customFormat="1" x14ac:dyDescent="0.25">
      <c r="A11625" s="119"/>
      <c r="B11625" s="138" t="str">
        <f t="shared" si="1003"/>
        <v>Aerated Static Pile</v>
      </c>
      <c r="C11625" s="138" t="str">
        <f t="shared" si="1004"/>
        <v>Base_With Amendment</v>
      </c>
      <c r="D11625" s="138" t="str">
        <f t="shared" si="1006"/>
        <v>High_High</v>
      </c>
      <c r="E11625" s="138" t="str">
        <f t="shared" ref="E11625:E11687" si="1007">IF(ISNUMBER($J11625),"High","")</f>
        <v>High</v>
      </c>
      <c r="F11625" s="138" t="str">
        <f t="shared" si="1005"/>
        <v>Upgraded</v>
      </c>
      <c r="G11625" s="153"/>
      <c r="H11625" s="210">
        <v>9.1800000000000007E-2</v>
      </c>
      <c r="I11625" s="160" t="s">
        <v>54</v>
      </c>
      <c r="J11625" s="160">
        <v>5.7079999999999999E-2</v>
      </c>
      <c r="K11625" s="160" t="s">
        <v>23</v>
      </c>
      <c r="L11625" s="154" t="str">
        <f>IF(OpenLCAbasic!K11625="CTUh", "Fill in Manually",IF(OR(K11625="Unit", K11625=""), "", INDEX(LookUps!$E$5:$E$12, MATCH(OpenLCAbasic!K11625,LookUps!$D$5:$D$12,0))))</f>
        <v>Global Warming Potential (GWP) - kg CO2 eq</v>
      </c>
      <c r="M11625" s="154" t="str">
        <f t="shared" si="1002"/>
        <v>High_High_High_Upgraded_Global Warming Potential (GWP) - kg CO2 eq_Clear Cove Primary Clarification; wastewater treatment unit; at updated plant - US_Base_With Amendment_Aerated Static Pile</v>
      </c>
    </row>
    <row r="11626" spans="1:13" s="120" customFormat="1" x14ac:dyDescent="0.25">
      <c r="A11626" s="119"/>
      <c r="B11626" s="138" t="str">
        <f t="shared" si="1003"/>
        <v>Aerated Static Pile</v>
      </c>
      <c r="C11626" s="138" t="str">
        <f t="shared" si="1004"/>
        <v>Base_With Amendment</v>
      </c>
      <c r="D11626" s="138" t="str">
        <f t="shared" si="1006"/>
        <v>High_High</v>
      </c>
      <c r="E11626" s="138" t="str">
        <f t="shared" si="1007"/>
        <v>High</v>
      </c>
      <c r="F11626" s="138" t="str">
        <f t="shared" si="1005"/>
        <v>Upgraded</v>
      </c>
      <c r="G11626" s="153"/>
      <c r="H11626" s="210">
        <v>8.4699999999999998E-2</v>
      </c>
      <c r="I11626" s="160" t="s">
        <v>48</v>
      </c>
      <c r="J11626" s="160">
        <v>5.2639999999999999E-2</v>
      </c>
      <c r="K11626" s="160" t="s">
        <v>23</v>
      </c>
      <c r="L11626" s="154" t="str">
        <f>IF(OpenLCAbasic!K11626="CTUh", "Fill in Manually",IF(OR(K11626="Unit", K11626=""), "", INDEX(LookUps!$E$5:$E$12, MATCH(OpenLCAbasic!K11626,LookUps!$D$5:$D$12,0))))</f>
        <v>Global Warming Potential (GWP) - kg CO2 eq</v>
      </c>
      <c r="M11626" s="154" t="str">
        <f t="shared" si="1002"/>
        <v>High_High_High_Upgraded_Global Warming Potential (GWP) - kg CO2 eq_Effluent release; wastewater treatment unit; at surface water; m3 wastewater - US_Base_With Amendment_Aerated Static Pile</v>
      </c>
    </row>
    <row r="11627" spans="1:13" s="120" customFormat="1" x14ac:dyDescent="0.25">
      <c r="A11627" s="119"/>
      <c r="B11627" s="138" t="str">
        <f t="shared" si="1003"/>
        <v>Aerated Static Pile</v>
      </c>
      <c r="C11627" s="138" t="str">
        <f t="shared" si="1004"/>
        <v>Base_With Amendment</v>
      </c>
      <c r="D11627" s="138" t="str">
        <f t="shared" si="1006"/>
        <v>High_High</v>
      </c>
      <c r="E11627" s="138" t="str">
        <f t="shared" si="1007"/>
        <v>High</v>
      </c>
      <c r="F11627" s="138" t="str">
        <f t="shared" si="1005"/>
        <v>Upgraded</v>
      </c>
      <c r="G11627" s="153"/>
      <c r="H11627" s="210">
        <v>8.1299999999999997E-2</v>
      </c>
      <c r="I11627" s="160" t="s">
        <v>147</v>
      </c>
      <c r="J11627" s="160">
        <v>5.0500000000000003E-2</v>
      </c>
      <c r="K11627" s="160" t="s">
        <v>23</v>
      </c>
      <c r="L11627" s="154" t="str">
        <f>IF(OpenLCAbasic!K11627="CTUh", "Fill in Manually",IF(OR(K11627="Unit", K11627=""), "", INDEX(LookUps!$E$5:$E$12, MATCH(OpenLCAbasic!K11627,LookUps!$D$5:$D$12,0))))</f>
        <v>Global Warming Potential (GWP) - kg CO2 eq</v>
      </c>
      <c r="M11627" s="154" t="str">
        <f t="shared" si="1002"/>
        <v>High_High_High_Upgraded_Global Warming Potential (GWP) - kg CO2 eq_Influent Pump Station; wastewater treatment unit; at updated plant - US_Base_With Amendment_Aerated Static Pile</v>
      </c>
    </row>
    <row r="11628" spans="1:13" s="120" customFormat="1" x14ac:dyDescent="0.25">
      <c r="A11628" s="119"/>
      <c r="B11628" s="138" t="str">
        <f t="shared" si="1003"/>
        <v>Aerated Static Pile</v>
      </c>
      <c r="C11628" s="138" t="str">
        <f t="shared" si="1004"/>
        <v>Base_With Amendment</v>
      </c>
      <c r="D11628" s="138" t="str">
        <f t="shared" si="1006"/>
        <v>High_High</v>
      </c>
      <c r="E11628" s="138" t="str">
        <f t="shared" si="1007"/>
        <v>High</v>
      </c>
      <c r="F11628" s="138" t="str">
        <f t="shared" si="1005"/>
        <v>Upgraded</v>
      </c>
      <c r="G11628" s="153"/>
      <c r="H11628" s="210">
        <v>5.3499999999999999E-2</v>
      </c>
      <c r="I11628" s="160" t="s">
        <v>53</v>
      </c>
      <c r="J11628" s="160">
        <v>3.3259999999999998E-2</v>
      </c>
      <c r="K11628" s="160" t="s">
        <v>23</v>
      </c>
      <c r="L11628" s="154" t="str">
        <f>IF(OpenLCAbasic!K11628="CTUh", "Fill in Manually",IF(OR(K11628="Unit", K11628=""), "", INDEX(LookUps!$E$5:$E$12, MATCH(OpenLCAbasic!K11628,LookUps!$D$5:$D$12,0))))</f>
        <v>Global Warming Potential (GWP) - kg CO2 eq</v>
      </c>
      <c r="M11628" s="154" t="str">
        <f t="shared" si="1002"/>
        <v>High_High_High_Upgraded_Global Warming Potential (GWP) - kg CO2 eq_Wet Well and Sump Station; wastewater treatment unit; at updated plant - US_Base_With Amendment_Aerated Static Pile</v>
      </c>
    </row>
    <row r="11629" spans="1:13" s="120" customFormat="1" x14ac:dyDescent="0.25">
      <c r="A11629" s="119"/>
      <c r="B11629" s="138" t="str">
        <f t="shared" si="1003"/>
        <v>Aerated Static Pile</v>
      </c>
      <c r="C11629" s="138" t="str">
        <f t="shared" si="1004"/>
        <v>Base_With Amendment</v>
      </c>
      <c r="D11629" s="138" t="str">
        <f t="shared" si="1006"/>
        <v>High_High</v>
      </c>
      <c r="E11629" s="138" t="str">
        <f t="shared" si="1007"/>
        <v>High</v>
      </c>
      <c r="F11629" s="138" t="str">
        <f t="shared" si="1005"/>
        <v>Upgraded</v>
      </c>
      <c r="G11629" s="153"/>
      <c r="H11629" s="210">
        <v>3.6799999999999999E-2</v>
      </c>
      <c r="I11629" s="160" t="s">
        <v>60</v>
      </c>
      <c r="J11629" s="160">
        <v>2.2880000000000001E-2</v>
      </c>
      <c r="K11629" s="160" t="s">
        <v>23</v>
      </c>
      <c r="L11629" s="154" t="str">
        <f>IF(OpenLCAbasic!K11629="CTUh", "Fill in Manually",IF(OR(K11629="Unit", K11629=""), "", INDEX(LookUps!$E$5:$E$12, MATCH(OpenLCAbasic!K11629,LookUps!$D$5:$D$12,0))))</f>
        <v>Global Warming Potential (GWP) - kg CO2 eq</v>
      </c>
      <c r="M11629" s="154" t="str">
        <f t="shared" si="1002"/>
        <v>High_High_High_Upgraded_Global Warming Potential (GWP) - kg CO2 eq_Belt filter press; wastewater treatment unit; at updated plant - US_Base_With Amendment_Aerated Static Pile</v>
      </c>
    </row>
    <row r="11630" spans="1:13" s="120" customFormat="1" x14ac:dyDescent="0.25">
      <c r="A11630" s="119"/>
      <c r="B11630" s="138" t="str">
        <f t="shared" si="1003"/>
        <v>Aerated Static Pile</v>
      </c>
      <c r="C11630" s="138" t="str">
        <f t="shared" si="1004"/>
        <v>Base_With Amendment</v>
      </c>
      <c r="D11630" s="138" t="str">
        <f t="shared" si="1006"/>
        <v>High_High</v>
      </c>
      <c r="E11630" s="138" t="str">
        <f t="shared" si="1007"/>
        <v>High</v>
      </c>
      <c r="F11630" s="138" t="str">
        <f t="shared" si="1005"/>
        <v>Upgraded</v>
      </c>
      <c r="G11630" s="153"/>
      <c r="H11630" s="210">
        <v>2.3400000000000001E-2</v>
      </c>
      <c r="I11630" s="160" t="s">
        <v>57</v>
      </c>
      <c r="J11630" s="160">
        <v>1.455E-2</v>
      </c>
      <c r="K11630" s="160" t="s">
        <v>23</v>
      </c>
      <c r="L11630" s="154" t="str">
        <f>IF(OpenLCAbasic!K11630="CTUh", "Fill in Manually",IF(OR(K11630="Unit", K11630=""), "", INDEX(LookUps!$E$5:$E$12, MATCH(OpenLCAbasic!K11630,LookUps!$D$5:$D$12,0))))</f>
        <v>Global Warming Potential (GWP) - kg CO2 eq</v>
      </c>
      <c r="M11630" s="154" t="str">
        <f t="shared" si="1002"/>
        <v>High_High_High_Upgraded_Global Warming Potential (GWP) - kg CO2 eq_Gravity Belt Thickener; wastewater treatment unit; at updated plant - US_Base_With Amendment_Aerated Static Pile</v>
      </c>
    </row>
    <row r="11631" spans="1:13" s="120" customFormat="1" x14ac:dyDescent="0.25">
      <c r="A11631" s="119"/>
      <c r="B11631" s="138" t="str">
        <f t="shared" si="1003"/>
        <v>Aerated Static Pile</v>
      </c>
      <c r="C11631" s="138" t="str">
        <f t="shared" si="1004"/>
        <v>Base_With Amendment</v>
      </c>
      <c r="D11631" s="138" t="str">
        <f t="shared" si="1006"/>
        <v>High_High</v>
      </c>
      <c r="E11631" s="138" t="str">
        <f t="shared" si="1007"/>
        <v>High</v>
      </c>
      <c r="F11631" s="138" t="str">
        <f t="shared" si="1005"/>
        <v>Upgraded</v>
      </c>
      <c r="G11631" s="153"/>
      <c r="H11631" s="210">
        <v>2.1700000000000001E-2</v>
      </c>
      <c r="I11631" s="160" t="s">
        <v>128</v>
      </c>
      <c r="J11631" s="160">
        <v>1.3509999999999999E-2</v>
      </c>
      <c r="K11631" s="160" t="s">
        <v>23</v>
      </c>
      <c r="L11631" s="154" t="str">
        <f>IF(OpenLCAbasic!K11631="CTUh", "Fill in Manually",IF(OR(K11631="Unit", K11631=""), "", INDEX(LookUps!$E$5:$E$12, MATCH(OpenLCAbasic!K11631,LookUps!$D$5:$D$12,0))))</f>
        <v>Global Warming Potential (GWP) - kg CO2 eq</v>
      </c>
      <c r="M11631" s="154" t="str">
        <f t="shared" si="1002"/>
        <v>High_High_High_Upgraded_Global Warming Potential (GWP) - kg CO2 eq_Wastewater collection; operation and infrastructure; m3 wastewater_Base_With Amendment_Aerated Static Pile</v>
      </c>
    </row>
    <row r="11632" spans="1:13" s="120" customFormat="1" x14ac:dyDescent="0.25">
      <c r="A11632" s="119"/>
      <c r="B11632" s="138" t="str">
        <f t="shared" si="1003"/>
        <v>Aerated Static Pile</v>
      </c>
      <c r="C11632" s="138" t="str">
        <f t="shared" si="1004"/>
        <v>Base_With Amendment</v>
      </c>
      <c r="D11632" s="138" t="str">
        <f t="shared" si="1006"/>
        <v>High_High</v>
      </c>
      <c r="E11632" s="138" t="str">
        <f t="shared" si="1007"/>
        <v>High</v>
      </c>
      <c r="F11632" s="138" t="str">
        <f t="shared" si="1005"/>
        <v>Upgraded</v>
      </c>
      <c r="G11632" s="153"/>
      <c r="H11632" s="210">
        <v>1.3299999999999999E-2</v>
      </c>
      <c r="I11632" s="160" t="s">
        <v>148</v>
      </c>
      <c r="J11632" s="160">
        <v>8.3000000000000001E-3</v>
      </c>
      <c r="K11632" s="160" t="s">
        <v>23</v>
      </c>
      <c r="L11632" s="154" t="str">
        <f>IF(OpenLCAbasic!K11632="CTUh", "Fill in Manually",IF(OR(K11632="Unit", K11632=""), "", INDEX(LookUps!$E$5:$E$12, MATCH(OpenLCAbasic!K11632,LookUps!$D$5:$D$12,0))))</f>
        <v>Global Warming Potential (GWP) - kg CO2 eq</v>
      </c>
      <c r="M11632" s="154" t="str">
        <f t="shared" si="1002"/>
        <v>High_High_High_Upgraded_Global Warming Potential (GWP) - kg CO2 eq_Control Building; at upgraded wastewater treatment plant - US_Base_With Amendment_Aerated Static Pile</v>
      </c>
    </row>
    <row r="11633" spans="1:13" s="120" customFormat="1" x14ac:dyDescent="0.25">
      <c r="A11633" s="119"/>
      <c r="B11633" s="138" t="str">
        <f t="shared" si="1003"/>
        <v>Aerated Static Pile</v>
      </c>
      <c r="C11633" s="138" t="str">
        <f t="shared" si="1004"/>
        <v>Base_With Amendment</v>
      </c>
      <c r="D11633" s="138" t="str">
        <f t="shared" si="1006"/>
        <v>High_High</v>
      </c>
      <c r="E11633" s="138" t="str">
        <f t="shared" si="1007"/>
        <v>High</v>
      </c>
      <c r="F11633" s="138" t="str">
        <f t="shared" si="1005"/>
        <v>Upgraded</v>
      </c>
      <c r="G11633" s="153"/>
      <c r="H11633" s="210">
        <v>8.0999999999999996E-3</v>
      </c>
      <c r="I11633" s="160" t="s">
        <v>59</v>
      </c>
      <c r="J11633" s="160">
        <v>5.0400000000000002E-3</v>
      </c>
      <c r="K11633" s="160" t="s">
        <v>23</v>
      </c>
      <c r="L11633" s="154" t="str">
        <f>IF(OpenLCAbasic!K11633="CTUh", "Fill in Manually",IF(OR(K11633="Unit", K11633=""), "", INDEX(LookUps!$E$5:$E$12, MATCH(OpenLCAbasic!K11633,LookUps!$D$5:$D$12,0))))</f>
        <v>Global Warming Potential (GWP) - kg CO2 eq</v>
      </c>
      <c r="M11633" s="154" t="str">
        <f t="shared" si="1002"/>
        <v>High_High_High_Upgraded_Global Warming Potential (GWP) - kg CO2 eq_Blend Tank; wastewater treatment unit; at updated plant - US_Base_With Amendment_Aerated Static Pile</v>
      </c>
    </row>
    <row r="11634" spans="1:13" s="120" customFormat="1" x14ac:dyDescent="0.25">
      <c r="A11634" s="119"/>
      <c r="B11634" s="138" t="str">
        <f t="shared" si="1003"/>
        <v>Aerated Static Pile</v>
      </c>
      <c r="C11634" s="138" t="str">
        <f t="shared" si="1004"/>
        <v>Base_With Amendment</v>
      </c>
      <c r="D11634" s="138" t="str">
        <f t="shared" si="1006"/>
        <v>High_High</v>
      </c>
      <c r="E11634" s="138" t="str">
        <f t="shared" si="1007"/>
        <v>High</v>
      </c>
      <c r="F11634" s="138" t="str">
        <f t="shared" si="1005"/>
        <v>Upgraded</v>
      </c>
      <c r="G11634" s="153"/>
      <c r="H11634" s="210">
        <v>3.8999999999999998E-3</v>
      </c>
      <c r="I11634" s="160" t="s">
        <v>168</v>
      </c>
      <c r="J11634" s="160">
        <v>2.4099999999999998E-3</v>
      </c>
      <c r="K11634" s="160" t="s">
        <v>23</v>
      </c>
      <c r="L11634" s="154" t="str">
        <f>IF(OpenLCAbasic!K11634="CTUh", "Fill in Manually",IF(OR(K11634="Unit", K11634=""), "", INDEX(LookUps!$E$5:$E$12, MATCH(OpenLCAbasic!K11634,LookUps!$D$5:$D$12,0))))</f>
        <v>Global Warming Potential (GWP) - kg CO2 eq</v>
      </c>
      <c r="M11634" s="154" t="str">
        <f t="shared" si="1002"/>
        <v>High_High_High_Upgraded_Global Warming Potential (GWP) - kg CO2 eq_ClearCove SCP; wastewater treatment unit; at updated plant - US_Base_With Amendment_Aerated Static Pile</v>
      </c>
    </row>
    <row r="11635" spans="1:13" s="120" customFormat="1" x14ac:dyDescent="0.25">
      <c r="A11635" s="119"/>
      <c r="B11635" s="138" t="str">
        <f t="shared" si="1003"/>
        <v>Aerated Static Pile</v>
      </c>
      <c r="C11635" s="138" t="str">
        <f t="shared" si="1004"/>
        <v>Base_With Amendment</v>
      </c>
      <c r="D11635" s="138" t="str">
        <f t="shared" si="1006"/>
        <v>High_High</v>
      </c>
      <c r="E11635" s="138" t="str">
        <f t="shared" si="1007"/>
        <v>High</v>
      </c>
      <c r="F11635" s="138" t="str">
        <f t="shared" si="1005"/>
        <v>Upgraded</v>
      </c>
      <c r="G11635" s="153"/>
      <c r="H11635" s="210">
        <v>-1.3512</v>
      </c>
      <c r="I11635" s="160" t="s">
        <v>62</v>
      </c>
      <c r="J11635" s="160">
        <v>-0.83977000000000002</v>
      </c>
      <c r="K11635" s="160" t="s">
        <v>23</v>
      </c>
      <c r="L11635" s="154" t="str">
        <f>IF(OpenLCAbasic!K11635="CTUh", "Fill in Manually",IF(OR(K11635="Unit", K11635=""), "", INDEX(LookUps!$E$5:$E$12, MATCH(OpenLCAbasic!K11635,LookUps!$D$5:$D$12,0))))</f>
        <v>Global Warming Potential (GWP) - kg CO2 eq</v>
      </c>
      <c r="M11635" s="154" t="str">
        <f t="shared" si="1002"/>
        <v>High_High_High_Upgraded_Global Warming Potential (GWP) - kg CO2 eq_Land application of compost; wastewater treatment unit; at updated plant - US_Base_With Amendment_Aerated Static Pile</v>
      </c>
    </row>
    <row r="11636" spans="1:13" s="120" customFormat="1" x14ac:dyDescent="0.25">
      <c r="A11636" s="119"/>
      <c r="B11636" s="138" t="str">
        <f t="shared" si="1003"/>
        <v>Aerated Static Pile</v>
      </c>
      <c r="C11636" s="138" t="str">
        <f t="shared" si="1004"/>
        <v>Base_With Amendment</v>
      </c>
      <c r="D11636" s="138" t="str">
        <f t="shared" si="1006"/>
        <v>High_High</v>
      </c>
      <c r="E11636" s="138" t="str">
        <f t="shared" si="1007"/>
        <v>High</v>
      </c>
      <c r="F11636" s="138" t="str">
        <f t="shared" si="1005"/>
        <v>Upgraded</v>
      </c>
      <c r="G11636" s="153"/>
      <c r="H11636" s="210">
        <v>-1.4318</v>
      </c>
      <c r="I11636" s="160" t="s">
        <v>149</v>
      </c>
      <c r="J11636" s="160">
        <v>-0.88992000000000004</v>
      </c>
      <c r="K11636" s="160" t="s">
        <v>23</v>
      </c>
      <c r="L11636" s="154" t="str">
        <f>IF(OpenLCAbasic!K11636="CTUh", "Fill in Manually",IF(OR(K11636="Unit", K11636=""), "", INDEX(LookUps!$E$5:$E$12, MATCH(OpenLCAbasic!K11636,LookUps!$D$5:$D$12,0))))</f>
        <v>Global Warming Potential (GWP) - kg CO2 eq</v>
      </c>
      <c r="M11636" s="154" t="str">
        <f t="shared" si="1002"/>
        <v>High_High_High_Upgraded_Global Warming Potential (GWP) - kg CO2 eq_Anaerobic Digestion; wastewater treatment unit; at updated plant - US_Base_With Amendment_Aerated Static Pile</v>
      </c>
    </row>
    <row r="11637" spans="1:13" s="120" customFormat="1" x14ac:dyDescent="0.25">
      <c r="A11637" s="119"/>
      <c r="B11637" s="138" t="str">
        <f t="shared" si="1003"/>
        <v/>
      </c>
      <c r="C11637" s="138" t="str">
        <f t="shared" si="1004"/>
        <v/>
      </c>
      <c r="D11637" s="138" t="str">
        <f t="shared" si="1006"/>
        <v/>
      </c>
      <c r="E11637" s="138" t="str">
        <f t="shared" si="1007"/>
        <v/>
      </c>
      <c r="F11637" s="138" t="str">
        <f t="shared" si="1005"/>
        <v/>
      </c>
      <c r="G11637" s="153" t="s">
        <v>51</v>
      </c>
      <c r="H11637" s="160"/>
      <c r="I11637" s="160" t="s">
        <v>47</v>
      </c>
      <c r="J11637" s="160" t="s">
        <v>52</v>
      </c>
      <c r="K11637" s="160" t="s">
        <v>27</v>
      </c>
      <c r="L11637" s="154" t="str">
        <f>IF(OpenLCAbasic!K11637="CTUh", "Fill in Manually",IF(OR(K11637="Unit", K11637=""), "", INDEX(LookUps!$E$5:$E$12, MATCH(OpenLCAbasic!K11637,LookUps!$D$5:$D$12,0))))</f>
        <v/>
      </c>
      <c r="M11637" s="154" t="str">
        <f t="shared" si="1002"/>
        <v>____Process__</v>
      </c>
    </row>
    <row r="11638" spans="1:13" s="120" customFormat="1" x14ac:dyDescent="0.25">
      <c r="A11638" s="119"/>
      <c r="B11638" s="138" t="str">
        <f t="shared" si="1003"/>
        <v>Aerated Static Pile</v>
      </c>
      <c r="C11638" s="138" t="str">
        <f t="shared" si="1004"/>
        <v>Base_With Amendment</v>
      </c>
      <c r="D11638" s="138" t="str">
        <f t="shared" si="1006"/>
        <v>High_High</v>
      </c>
      <c r="E11638" s="138" t="str">
        <f t="shared" si="1007"/>
        <v>High</v>
      </c>
      <c r="F11638" s="138" t="str">
        <f t="shared" si="1005"/>
        <v>Upgraded</v>
      </c>
      <c r="G11638" s="153"/>
      <c r="H11638" s="210">
        <v>0.37509999999999999</v>
      </c>
      <c r="I11638" s="160" t="s">
        <v>55</v>
      </c>
      <c r="J11638" s="160">
        <v>2.33E-3</v>
      </c>
      <c r="K11638" s="160" t="s">
        <v>145</v>
      </c>
      <c r="L11638" s="154" t="str">
        <f>IF(OpenLCAbasic!K11638="CTUh", "Fill in Manually",IF(OR(K11638="Unit", K11638=""), "", INDEX(LookUps!$E$5:$E$12, MATCH(OpenLCAbasic!K11638,LookUps!$D$5:$D$12,0))))</f>
        <v>Particulate Matter Formation Potential (PMFP) - kg PM2.5 eq</v>
      </c>
      <c r="M11638" s="154" t="str">
        <f t="shared" si="1002"/>
        <v>High_High_High_Upgraded_Particulate Matter Formation Potential (PMFP) - kg PM2.5 eq_Aeration Tanks; wastewater treatment unit; at updated plant - US_Base_With Amendment_Aerated Static Pile</v>
      </c>
    </row>
    <row r="11639" spans="1:13" s="120" customFormat="1" x14ac:dyDescent="0.25">
      <c r="A11639" s="119"/>
      <c r="B11639" s="138" t="str">
        <f t="shared" si="1003"/>
        <v>Aerated Static Pile</v>
      </c>
      <c r="C11639" s="138" t="str">
        <f t="shared" si="1004"/>
        <v>Base_With Amendment</v>
      </c>
      <c r="D11639" s="138" t="str">
        <f t="shared" si="1006"/>
        <v>High_High</v>
      </c>
      <c r="E11639" s="138" t="str">
        <f t="shared" si="1007"/>
        <v>High</v>
      </c>
      <c r="F11639" s="138" t="str">
        <f t="shared" si="1005"/>
        <v>Upgraded</v>
      </c>
      <c r="G11639" s="153"/>
      <c r="H11639" s="210">
        <v>0.245</v>
      </c>
      <c r="I11639" s="160" t="s">
        <v>435</v>
      </c>
      <c r="J11639" s="160">
        <v>1.5200000000000001E-3</v>
      </c>
      <c r="K11639" s="160" t="s">
        <v>145</v>
      </c>
      <c r="L11639" s="154" t="str">
        <f>IF(OpenLCAbasic!K11639="CTUh", "Fill in Manually",IF(OR(K11639="Unit", K11639=""), "", INDEX(LookUps!$E$5:$E$12, MATCH(OpenLCAbasic!K11639,LookUps!$D$5:$D$12,0))))</f>
        <v>Particulate Matter Formation Potential (PMFP) - kg PM2.5 eq</v>
      </c>
      <c r="M11639" s="154" t="str">
        <f t="shared" si="1002"/>
        <v>High_High_High_Upgraded_Particulate Matter Formation Potential (PMFP) - kg PM2.5 eq_Biosolids composting; aerated static pile; wastewater treatment unit; at updated plant - US_Base_With Amendment_Aerated Static Pile</v>
      </c>
    </row>
    <row r="11640" spans="1:13" s="120" customFormat="1" x14ac:dyDescent="0.25">
      <c r="A11640" s="119"/>
      <c r="B11640" s="138" t="str">
        <f t="shared" si="1003"/>
        <v>Aerated Static Pile</v>
      </c>
      <c r="C11640" s="138" t="str">
        <f t="shared" si="1004"/>
        <v>Base_With Amendment</v>
      </c>
      <c r="D11640" s="138" t="str">
        <f t="shared" si="1006"/>
        <v>High_High</v>
      </c>
      <c r="E11640" s="138" t="str">
        <f t="shared" si="1007"/>
        <v>High</v>
      </c>
      <c r="F11640" s="138" t="str">
        <f t="shared" si="1005"/>
        <v>Upgraded</v>
      </c>
      <c r="G11640" s="153"/>
      <c r="H11640" s="210">
        <v>0.10920000000000001</v>
      </c>
      <c r="I11640" s="160" t="s">
        <v>54</v>
      </c>
      <c r="J11640" s="160">
        <v>6.8000000000000005E-4</v>
      </c>
      <c r="K11640" s="160" t="s">
        <v>145</v>
      </c>
      <c r="L11640" s="154" t="str">
        <f>IF(OpenLCAbasic!K11640="CTUh", "Fill in Manually",IF(OR(K11640="Unit", K11640=""), "", INDEX(LookUps!$E$5:$E$12, MATCH(OpenLCAbasic!K11640,LookUps!$D$5:$D$12,0))))</f>
        <v>Particulate Matter Formation Potential (PMFP) - kg PM2.5 eq</v>
      </c>
      <c r="M11640" s="154" t="str">
        <f t="shared" si="1002"/>
        <v>High_High_High_Upgraded_Particulate Matter Formation Potential (PMFP) - kg PM2.5 eq_Clear Cove Primary Clarification; wastewater treatment unit; at updated plant - US_Base_With Amendment_Aerated Static Pile</v>
      </c>
    </row>
    <row r="11641" spans="1:13" s="120" customFormat="1" x14ac:dyDescent="0.25">
      <c r="A11641" s="119"/>
      <c r="B11641" s="138" t="str">
        <f t="shared" si="1003"/>
        <v>Aerated Static Pile</v>
      </c>
      <c r="C11641" s="138" t="str">
        <f t="shared" si="1004"/>
        <v>Base_With Amendment</v>
      </c>
      <c r="D11641" s="138" t="str">
        <f t="shared" si="1006"/>
        <v>High_High</v>
      </c>
      <c r="E11641" s="138" t="str">
        <f t="shared" si="1007"/>
        <v>High</v>
      </c>
      <c r="F11641" s="138" t="str">
        <f t="shared" si="1005"/>
        <v>Upgraded</v>
      </c>
      <c r="G11641" s="153"/>
      <c r="H11641" s="210">
        <v>9.5000000000000001E-2</v>
      </c>
      <c r="I11641" s="160" t="s">
        <v>58</v>
      </c>
      <c r="J11641" s="160">
        <v>5.9000000000000003E-4</v>
      </c>
      <c r="K11641" s="160" t="s">
        <v>145</v>
      </c>
      <c r="L11641" s="154" t="str">
        <f>IF(OpenLCAbasic!K11641="CTUh", "Fill in Manually",IF(OR(K11641="Unit", K11641=""), "", INDEX(LookUps!$E$5:$E$12, MATCH(OpenLCAbasic!K11641,LookUps!$D$5:$D$12,0))))</f>
        <v>Particulate Matter Formation Potential (PMFP) - kg PM2.5 eq</v>
      </c>
      <c r="M11641" s="154" t="str">
        <f t="shared" si="1002"/>
        <v>High_High_High_Upgraded_Particulate Matter Formation Potential (PMFP) - kg PM2.5 eq_Pre-Anoxic &amp; Swing tank; wastewater treatment unit; at updated plant - US_Base_With Amendment_Aerated Static Pile</v>
      </c>
    </row>
    <row r="11642" spans="1:13" s="120" customFormat="1" x14ac:dyDescent="0.25">
      <c r="A11642" s="119"/>
      <c r="B11642" s="138" t="str">
        <f t="shared" si="1003"/>
        <v>Aerated Static Pile</v>
      </c>
      <c r="C11642" s="138" t="str">
        <f t="shared" si="1004"/>
        <v>Base_With Amendment</v>
      </c>
      <c r="D11642" s="138" t="str">
        <f t="shared" si="1006"/>
        <v>High_High</v>
      </c>
      <c r="E11642" s="138" t="str">
        <f t="shared" si="1007"/>
        <v>High</v>
      </c>
      <c r="F11642" s="138" t="str">
        <f t="shared" si="1005"/>
        <v>Upgraded</v>
      </c>
      <c r="G11642" s="153"/>
      <c r="H11642" s="210">
        <v>7.4999999999999997E-2</v>
      </c>
      <c r="I11642" s="160" t="s">
        <v>53</v>
      </c>
      <c r="J11642" s="160">
        <v>4.6999999999999999E-4</v>
      </c>
      <c r="K11642" s="160" t="s">
        <v>145</v>
      </c>
      <c r="L11642" s="154" t="str">
        <f>IF(OpenLCAbasic!K11642="CTUh", "Fill in Manually",IF(OR(K11642="Unit", K11642=""), "", INDEX(LookUps!$E$5:$E$12, MATCH(OpenLCAbasic!K11642,LookUps!$D$5:$D$12,0))))</f>
        <v>Particulate Matter Formation Potential (PMFP) - kg PM2.5 eq</v>
      </c>
      <c r="M11642" s="154" t="str">
        <f t="shared" si="1002"/>
        <v>High_High_High_Upgraded_Particulate Matter Formation Potential (PMFP) - kg PM2.5 eq_Wet Well and Sump Station; wastewater treatment unit; at updated plant - US_Base_With Amendment_Aerated Static Pile</v>
      </c>
    </row>
    <row r="11643" spans="1:13" s="120" customFormat="1" x14ac:dyDescent="0.25">
      <c r="A11643" s="119"/>
      <c r="B11643" s="138" t="str">
        <f t="shared" si="1003"/>
        <v>Aerated Static Pile</v>
      </c>
      <c r="C11643" s="138" t="str">
        <f t="shared" si="1004"/>
        <v>Base_With Amendment</v>
      </c>
      <c r="D11643" s="138" t="str">
        <f t="shared" si="1006"/>
        <v>High_High</v>
      </c>
      <c r="E11643" s="138" t="str">
        <f t="shared" si="1007"/>
        <v>High</v>
      </c>
      <c r="F11643" s="138" t="str">
        <f t="shared" si="1005"/>
        <v>Upgraded</v>
      </c>
      <c r="G11643" s="153"/>
      <c r="H11643" s="210">
        <v>5.33E-2</v>
      </c>
      <c r="I11643" s="160" t="s">
        <v>167</v>
      </c>
      <c r="J11643" s="160">
        <v>3.3E-4</v>
      </c>
      <c r="K11643" s="160" t="s">
        <v>145</v>
      </c>
      <c r="L11643" s="154" t="str">
        <f>IF(OpenLCAbasic!K11643="CTUh", "Fill in Manually",IF(OR(K11643="Unit", K11643=""), "", INDEX(LookUps!$E$5:$E$12, MATCH(OpenLCAbasic!K11643,LookUps!$D$5:$D$12,0))))</f>
        <v>Particulate Matter Formation Potential (PMFP) - kg PM2.5 eq</v>
      </c>
      <c r="M11643" s="154" t="str">
        <f t="shared" si="1002"/>
        <v>High_High_High_Upgraded_Particulate Matter Formation Potential (PMFP) - kg PM2.5 eq_Waste Receiving and Holding; wastewater treatment unit; at updated plant - US_Base_With Amendment_Aerated Static Pile</v>
      </c>
    </row>
    <row r="11644" spans="1:13" s="120" customFormat="1" x14ac:dyDescent="0.25">
      <c r="A11644" s="119"/>
      <c r="B11644" s="138" t="str">
        <f t="shared" si="1003"/>
        <v>Aerated Static Pile</v>
      </c>
      <c r="C11644" s="138" t="str">
        <f t="shared" si="1004"/>
        <v>Base_With Amendment</v>
      </c>
      <c r="D11644" s="138" t="str">
        <f t="shared" si="1006"/>
        <v>High_High</v>
      </c>
      <c r="E11644" s="138" t="str">
        <f t="shared" si="1007"/>
        <v>High</v>
      </c>
      <c r="F11644" s="138" t="str">
        <f t="shared" si="1005"/>
        <v>Upgraded</v>
      </c>
      <c r="G11644" s="153"/>
      <c r="H11644" s="210">
        <v>4.2900000000000001E-2</v>
      </c>
      <c r="I11644" s="160" t="s">
        <v>147</v>
      </c>
      <c r="J11644" s="160">
        <v>2.7E-4</v>
      </c>
      <c r="K11644" s="160" t="s">
        <v>145</v>
      </c>
      <c r="L11644" s="154" t="str">
        <f>IF(OpenLCAbasic!K11644="CTUh", "Fill in Manually",IF(OR(K11644="Unit", K11644=""), "", INDEX(LookUps!$E$5:$E$12, MATCH(OpenLCAbasic!K11644,LookUps!$D$5:$D$12,0))))</f>
        <v>Particulate Matter Formation Potential (PMFP) - kg PM2.5 eq</v>
      </c>
      <c r="M11644" s="154" t="str">
        <f t="shared" si="1002"/>
        <v>High_High_High_Upgraded_Particulate Matter Formation Potential (PMFP) - kg PM2.5 eq_Influent Pump Station; wastewater treatment unit; at updated plant - US_Base_With Amendment_Aerated Static Pile</v>
      </c>
    </row>
    <row r="11645" spans="1:13" s="120" customFormat="1" x14ac:dyDescent="0.25">
      <c r="A11645" s="119"/>
      <c r="B11645" s="138" t="str">
        <f t="shared" si="1003"/>
        <v>Aerated Static Pile</v>
      </c>
      <c r="C11645" s="138" t="str">
        <f t="shared" si="1004"/>
        <v>Base_With Amendment</v>
      </c>
      <c r="D11645" s="138" t="str">
        <f t="shared" si="1006"/>
        <v>High_High</v>
      </c>
      <c r="E11645" s="138" t="str">
        <f t="shared" si="1007"/>
        <v>High</v>
      </c>
      <c r="F11645" s="138" t="str">
        <f t="shared" si="1005"/>
        <v>Upgraded</v>
      </c>
      <c r="G11645" s="153"/>
      <c r="H11645" s="210">
        <v>3.0099999999999998E-2</v>
      </c>
      <c r="I11645" s="160" t="s">
        <v>60</v>
      </c>
      <c r="J11645" s="160">
        <v>1.9000000000000001E-4</v>
      </c>
      <c r="K11645" s="160" t="s">
        <v>145</v>
      </c>
      <c r="L11645" s="154" t="str">
        <f>IF(OpenLCAbasic!K11645="CTUh", "Fill in Manually",IF(OR(K11645="Unit", K11645=""), "", INDEX(LookUps!$E$5:$E$12, MATCH(OpenLCAbasic!K11645,LookUps!$D$5:$D$12,0))))</f>
        <v>Particulate Matter Formation Potential (PMFP) - kg PM2.5 eq</v>
      </c>
      <c r="M11645" s="154" t="str">
        <f t="shared" si="1002"/>
        <v>High_High_High_Upgraded_Particulate Matter Formation Potential (PMFP) - kg PM2.5 eq_Belt filter press; wastewater treatment unit; at updated plant - US_Base_With Amendment_Aerated Static Pile</v>
      </c>
    </row>
    <row r="11646" spans="1:13" s="120" customFormat="1" x14ac:dyDescent="0.25">
      <c r="A11646" s="119"/>
      <c r="B11646" s="138" t="str">
        <f t="shared" si="1003"/>
        <v>Aerated Static Pile</v>
      </c>
      <c r="C11646" s="138" t="str">
        <f t="shared" si="1004"/>
        <v>Base_With Amendment</v>
      </c>
      <c r="D11646" s="138" t="str">
        <f t="shared" si="1006"/>
        <v>High_High</v>
      </c>
      <c r="E11646" s="138" t="str">
        <f t="shared" si="1007"/>
        <v>High</v>
      </c>
      <c r="F11646" s="138" t="str">
        <f t="shared" si="1005"/>
        <v>Upgraded</v>
      </c>
      <c r="G11646" s="153"/>
      <c r="H11646" s="210">
        <v>2.6800000000000001E-2</v>
      </c>
      <c r="I11646" s="160" t="s">
        <v>128</v>
      </c>
      <c r="J11646" s="160">
        <v>1.7000000000000001E-4</v>
      </c>
      <c r="K11646" s="160" t="s">
        <v>145</v>
      </c>
      <c r="L11646" s="154" t="str">
        <f>IF(OpenLCAbasic!K11646="CTUh", "Fill in Manually",IF(OR(K11646="Unit", K11646=""), "", INDEX(LookUps!$E$5:$E$12, MATCH(OpenLCAbasic!K11646,LookUps!$D$5:$D$12,0))))</f>
        <v>Particulate Matter Formation Potential (PMFP) - kg PM2.5 eq</v>
      </c>
      <c r="M11646" s="154" t="str">
        <f t="shared" si="1002"/>
        <v>High_High_High_Upgraded_Particulate Matter Formation Potential (PMFP) - kg PM2.5 eq_Wastewater collection; operation and infrastructure; m3 wastewater_Base_With Amendment_Aerated Static Pile</v>
      </c>
    </row>
    <row r="11647" spans="1:13" s="120" customFormat="1" x14ac:dyDescent="0.25">
      <c r="A11647" s="119"/>
      <c r="B11647" s="138" t="str">
        <f t="shared" si="1003"/>
        <v>Aerated Static Pile</v>
      </c>
      <c r="C11647" s="138" t="str">
        <f t="shared" si="1004"/>
        <v>Base_With Amendment</v>
      </c>
      <c r="D11647" s="138" t="str">
        <f t="shared" si="1006"/>
        <v>High_High</v>
      </c>
      <c r="E11647" s="138" t="str">
        <f t="shared" si="1007"/>
        <v>High</v>
      </c>
      <c r="F11647" s="138" t="str">
        <f t="shared" si="1005"/>
        <v>Upgraded</v>
      </c>
      <c r="G11647" s="153"/>
      <c r="H11647" s="210">
        <v>1.5299999999999999E-2</v>
      </c>
      <c r="I11647" s="160" t="s">
        <v>57</v>
      </c>
      <c r="J11647" s="211">
        <v>9.5153800000000004E-5</v>
      </c>
      <c r="K11647" s="160" t="s">
        <v>145</v>
      </c>
      <c r="L11647" s="154" t="str">
        <f>IF(OpenLCAbasic!K11647="CTUh", "Fill in Manually",IF(OR(K11647="Unit", K11647=""), "", INDEX(LookUps!$E$5:$E$12, MATCH(OpenLCAbasic!K11647,LookUps!$D$5:$D$12,0))))</f>
        <v>Particulate Matter Formation Potential (PMFP) - kg PM2.5 eq</v>
      </c>
      <c r="M11647" s="154" t="str">
        <f t="shared" si="1002"/>
        <v>High_High_High_Upgraded_Particulate Matter Formation Potential (PMFP) - kg PM2.5 eq_Gravity Belt Thickener; wastewater treatment unit; at updated plant - US_Base_With Amendment_Aerated Static Pile</v>
      </c>
    </row>
    <row r="11648" spans="1:13" s="120" customFormat="1" x14ac:dyDescent="0.25">
      <c r="A11648" s="119"/>
      <c r="B11648" s="138" t="str">
        <f t="shared" si="1003"/>
        <v>Aerated Static Pile</v>
      </c>
      <c r="C11648" s="138" t="str">
        <f t="shared" si="1004"/>
        <v>Base_With Amendment</v>
      </c>
      <c r="D11648" s="138" t="str">
        <f t="shared" si="1006"/>
        <v>High_High</v>
      </c>
      <c r="E11648" s="138" t="str">
        <f t="shared" si="1007"/>
        <v>High</v>
      </c>
      <c r="F11648" s="138" t="str">
        <f t="shared" si="1005"/>
        <v>Upgraded</v>
      </c>
      <c r="G11648" s="153"/>
      <c r="H11648" s="210">
        <v>1.12E-2</v>
      </c>
      <c r="I11648" s="160" t="s">
        <v>59</v>
      </c>
      <c r="J11648" s="211">
        <v>6.9942200000000003E-5</v>
      </c>
      <c r="K11648" s="160" t="s">
        <v>145</v>
      </c>
      <c r="L11648" s="154" t="str">
        <f>IF(OpenLCAbasic!K11648="CTUh", "Fill in Manually",IF(OR(K11648="Unit", K11648=""), "", INDEX(LookUps!$E$5:$E$12, MATCH(OpenLCAbasic!K11648,LookUps!$D$5:$D$12,0))))</f>
        <v>Particulate Matter Formation Potential (PMFP) - kg PM2.5 eq</v>
      </c>
      <c r="M11648" s="154" t="str">
        <f t="shared" si="1002"/>
        <v>High_High_High_Upgraded_Particulate Matter Formation Potential (PMFP) - kg PM2.5 eq_Blend Tank; wastewater treatment unit; at updated plant - US_Base_With Amendment_Aerated Static Pile</v>
      </c>
    </row>
    <row r="11649" spans="1:13" s="120" customFormat="1" x14ac:dyDescent="0.25">
      <c r="A11649" s="119"/>
      <c r="B11649" s="138" t="str">
        <f t="shared" si="1003"/>
        <v>Aerated Static Pile</v>
      </c>
      <c r="C11649" s="138" t="str">
        <f t="shared" si="1004"/>
        <v>Base_With Amendment</v>
      </c>
      <c r="D11649" s="138" t="str">
        <f t="shared" si="1006"/>
        <v>High_High</v>
      </c>
      <c r="E11649" s="138" t="str">
        <f t="shared" si="1007"/>
        <v>High</v>
      </c>
      <c r="F11649" s="138" t="str">
        <f t="shared" si="1005"/>
        <v>Upgraded</v>
      </c>
      <c r="G11649" s="153"/>
      <c r="H11649" s="210">
        <v>9.7999999999999997E-3</v>
      </c>
      <c r="I11649" s="160" t="s">
        <v>62</v>
      </c>
      <c r="J11649" s="211">
        <v>6.1178299999999997E-5</v>
      </c>
      <c r="K11649" s="160" t="s">
        <v>145</v>
      </c>
      <c r="L11649" s="154" t="str">
        <f>IF(OpenLCAbasic!K11649="CTUh", "Fill in Manually",IF(OR(K11649="Unit", K11649=""), "", INDEX(LookUps!$E$5:$E$12, MATCH(OpenLCAbasic!K11649,LookUps!$D$5:$D$12,0))))</f>
        <v>Particulate Matter Formation Potential (PMFP) - kg PM2.5 eq</v>
      </c>
      <c r="M11649" s="154" t="str">
        <f t="shared" si="1002"/>
        <v>High_High_High_Upgraded_Particulate Matter Formation Potential (PMFP) - kg PM2.5 eq_Land application of compost; wastewater treatment unit; at updated plant - US_Base_With Amendment_Aerated Static Pile</v>
      </c>
    </row>
    <row r="11650" spans="1:13" s="120" customFormat="1" x14ac:dyDescent="0.25">
      <c r="A11650" s="119"/>
      <c r="B11650" s="138" t="str">
        <f t="shared" si="1003"/>
        <v>Aerated Static Pile</v>
      </c>
      <c r="C11650" s="138" t="str">
        <f t="shared" si="1004"/>
        <v>Base_With Amendment</v>
      </c>
      <c r="D11650" s="138" t="str">
        <f t="shared" si="1006"/>
        <v>High_High</v>
      </c>
      <c r="E11650" s="138" t="str">
        <f t="shared" si="1007"/>
        <v>High</v>
      </c>
      <c r="F11650" s="138" t="str">
        <f t="shared" si="1005"/>
        <v>Upgraded</v>
      </c>
      <c r="G11650" s="153"/>
      <c r="H11650" s="210">
        <v>8.0000000000000002E-3</v>
      </c>
      <c r="I11650" s="160" t="s">
        <v>48</v>
      </c>
      <c r="J11650" s="211">
        <v>4.99741E-5</v>
      </c>
      <c r="K11650" s="160" t="s">
        <v>145</v>
      </c>
      <c r="L11650" s="154" t="str">
        <f>IF(OpenLCAbasic!K11650="CTUh", "Fill in Manually",IF(OR(K11650="Unit", K11650=""), "", INDEX(LookUps!$E$5:$E$12, MATCH(OpenLCAbasic!K11650,LookUps!$D$5:$D$12,0))))</f>
        <v>Particulate Matter Formation Potential (PMFP) - kg PM2.5 eq</v>
      </c>
      <c r="M11650" s="154" t="str">
        <f t="shared" si="1002"/>
        <v>High_High_High_Upgraded_Particulate Matter Formation Potential (PMFP) - kg PM2.5 eq_Effluent release; wastewater treatment unit; at surface water; m3 wastewater - US_Base_With Amendment_Aerated Static Pile</v>
      </c>
    </row>
    <row r="11651" spans="1:13" s="120" customFormat="1" x14ac:dyDescent="0.25">
      <c r="A11651" s="119"/>
      <c r="B11651" s="138" t="str">
        <f t="shared" si="1003"/>
        <v>Aerated Static Pile</v>
      </c>
      <c r="C11651" s="138" t="str">
        <f t="shared" si="1004"/>
        <v>Base_With Amendment</v>
      </c>
      <c r="D11651" s="138" t="str">
        <f t="shared" si="1006"/>
        <v>High_High</v>
      </c>
      <c r="E11651" s="138" t="str">
        <f t="shared" si="1007"/>
        <v>High</v>
      </c>
      <c r="F11651" s="138" t="str">
        <f t="shared" si="1005"/>
        <v>Upgraded</v>
      </c>
      <c r="G11651" s="153"/>
      <c r="H11651" s="210">
        <v>5.5999999999999999E-3</v>
      </c>
      <c r="I11651" s="160" t="s">
        <v>168</v>
      </c>
      <c r="J11651" s="211">
        <v>3.4562199999999999E-5</v>
      </c>
      <c r="K11651" s="160" t="s">
        <v>145</v>
      </c>
      <c r="L11651" s="154" t="str">
        <f>IF(OpenLCAbasic!K11651="CTUh", "Fill in Manually",IF(OR(K11651="Unit", K11651=""), "", INDEX(LookUps!$E$5:$E$12, MATCH(OpenLCAbasic!K11651,LookUps!$D$5:$D$12,0))))</f>
        <v>Particulate Matter Formation Potential (PMFP) - kg PM2.5 eq</v>
      </c>
      <c r="M11651" s="154" t="str">
        <f t="shared" si="1002"/>
        <v>High_High_High_Upgraded_Particulate Matter Formation Potential (PMFP) - kg PM2.5 eq_ClearCove SCP; wastewater treatment unit; at updated plant - US_Base_With Amendment_Aerated Static Pile</v>
      </c>
    </row>
    <row r="11652" spans="1:13" s="120" customFormat="1" x14ac:dyDescent="0.25">
      <c r="A11652" s="119"/>
      <c r="B11652" s="138" t="str">
        <f t="shared" si="1003"/>
        <v>Aerated Static Pile</v>
      </c>
      <c r="C11652" s="138" t="str">
        <f t="shared" si="1004"/>
        <v>Base_With Amendment</v>
      </c>
      <c r="D11652" s="138" t="str">
        <f t="shared" si="1006"/>
        <v>High_High</v>
      </c>
      <c r="E11652" s="138" t="str">
        <f t="shared" si="1007"/>
        <v>High</v>
      </c>
      <c r="F11652" s="138" t="str">
        <f t="shared" si="1005"/>
        <v>Upgraded</v>
      </c>
      <c r="G11652" s="153"/>
      <c r="H11652" s="210">
        <v>1.4E-3</v>
      </c>
      <c r="I11652" s="160" t="s">
        <v>148</v>
      </c>
      <c r="J11652" s="211">
        <v>8.8212999999999997E-6</v>
      </c>
      <c r="K11652" s="160" t="s">
        <v>145</v>
      </c>
      <c r="L11652" s="154" t="str">
        <f>IF(OpenLCAbasic!K11652="CTUh", "Fill in Manually",IF(OR(K11652="Unit", K11652=""), "", INDEX(LookUps!$E$5:$E$12, MATCH(OpenLCAbasic!K11652,LookUps!$D$5:$D$12,0))))</f>
        <v>Particulate Matter Formation Potential (PMFP) - kg PM2.5 eq</v>
      </c>
      <c r="M11652" s="154" t="str">
        <f t="shared" ref="M11652:M11715" si="1008">CONCATENATE(E11652,"_",D11652,"_",F11652,"_",L11652, "_",I11652,"_", C11652,"_", B11652)</f>
        <v>High_High_High_Upgraded_Particulate Matter Formation Potential (PMFP) - kg PM2.5 eq_Control Building; at upgraded wastewater treatment plant - US_Base_With Amendment_Aerated Static Pile</v>
      </c>
    </row>
    <row r="11653" spans="1:13" s="120" customFormat="1" x14ac:dyDescent="0.25">
      <c r="A11653" s="119"/>
      <c r="B11653" s="138" t="str">
        <f t="shared" si="1003"/>
        <v>Aerated Static Pile</v>
      </c>
      <c r="C11653" s="138" t="str">
        <f t="shared" si="1004"/>
        <v>Base_With Amendment</v>
      </c>
      <c r="D11653" s="138" t="str">
        <f t="shared" si="1006"/>
        <v>High_High</v>
      </c>
      <c r="E11653" s="138" t="str">
        <f t="shared" si="1007"/>
        <v>High</v>
      </c>
      <c r="F11653" s="138" t="str">
        <f t="shared" si="1005"/>
        <v>Upgraded</v>
      </c>
      <c r="G11653" s="153"/>
      <c r="H11653" s="210">
        <v>-2.1036000000000001</v>
      </c>
      <c r="I11653" s="160" t="s">
        <v>149</v>
      </c>
      <c r="J11653" s="160">
        <v>-1.3089999999999999E-2</v>
      </c>
      <c r="K11653" s="160" t="s">
        <v>145</v>
      </c>
      <c r="L11653" s="154" t="str">
        <f>IF(OpenLCAbasic!K11653="CTUh", "Fill in Manually",IF(OR(K11653="Unit", K11653=""), "", INDEX(LookUps!$E$5:$E$12, MATCH(OpenLCAbasic!K11653,LookUps!$D$5:$D$12,0))))</f>
        <v>Particulate Matter Formation Potential (PMFP) - kg PM2.5 eq</v>
      </c>
      <c r="M11653" s="154" t="str">
        <f t="shared" si="1008"/>
        <v>High_High_High_Upgraded_Particulate Matter Formation Potential (PMFP) - kg PM2.5 eq_Anaerobic Digestion; wastewater treatment unit; at updated plant - US_Base_With Amendment_Aerated Static Pile</v>
      </c>
    </row>
    <row r="11654" spans="1:13" s="120" customFormat="1" x14ac:dyDescent="0.25">
      <c r="A11654" s="119"/>
      <c r="B11654" s="138" t="str">
        <f t="shared" si="1003"/>
        <v/>
      </c>
      <c r="C11654" s="138" t="str">
        <f t="shared" si="1004"/>
        <v/>
      </c>
      <c r="D11654" s="138" t="str">
        <f t="shared" si="1006"/>
        <v/>
      </c>
      <c r="E11654" s="138" t="str">
        <f t="shared" si="1007"/>
        <v/>
      </c>
      <c r="F11654" s="138" t="str">
        <f t="shared" si="1005"/>
        <v/>
      </c>
      <c r="G11654" s="153" t="s">
        <v>51</v>
      </c>
      <c r="H11654" s="160"/>
      <c r="I11654" s="160" t="s">
        <v>47</v>
      </c>
      <c r="J11654" s="160" t="s">
        <v>52</v>
      </c>
      <c r="K11654" s="160" t="s">
        <v>27</v>
      </c>
      <c r="L11654" s="154" t="str">
        <f>IF(OpenLCAbasic!K11654="CTUh", "Fill in Manually",IF(OR(K11654="Unit", K11654=""), "", INDEX(LookUps!$E$5:$E$12, MATCH(OpenLCAbasic!K11654,LookUps!$D$5:$D$12,0))))</f>
        <v/>
      </c>
      <c r="M11654" s="154" t="str">
        <f t="shared" si="1008"/>
        <v>____Process__</v>
      </c>
    </row>
    <row r="11655" spans="1:13" s="120" customFormat="1" x14ac:dyDescent="0.25">
      <c r="A11655" s="119"/>
      <c r="B11655" s="138" t="str">
        <f t="shared" si="1003"/>
        <v>Aerated Static Pile</v>
      </c>
      <c r="C11655" s="138" t="str">
        <f t="shared" si="1004"/>
        <v>Base_With Amendment</v>
      </c>
      <c r="D11655" s="138" t="str">
        <f t="shared" si="1006"/>
        <v>High_High</v>
      </c>
      <c r="E11655" s="138" t="str">
        <f t="shared" si="1007"/>
        <v>High</v>
      </c>
      <c r="F11655" s="138" t="str">
        <f t="shared" si="1005"/>
        <v>Upgraded</v>
      </c>
      <c r="G11655" s="153"/>
      <c r="H11655" s="210">
        <v>0.37280000000000002</v>
      </c>
      <c r="I11655" s="160" t="s">
        <v>55</v>
      </c>
      <c r="J11655" s="160">
        <v>0.16577</v>
      </c>
      <c r="K11655" s="160" t="s">
        <v>25</v>
      </c>
      <c r="L11655" s="154" t="str">
        <f>IF(OpenLCAbasic!K11655="CTUh", "Fill in Manually",IF(OR(K11655="Unit", K11655=""), "", INDEX(LookUps!$E$5:$E$12, MATCH(OpenLCAbasic!K11655,LookUps!$D$5:$D$12,0))))</f>
        <v>Smog Formation Potential (SFP) - kg O3 eq</v>
      </c>
      <c r="M11655" s="154" t="str">
        <f t="shared" si="1008"/>
        <v>High_High_High_Upgraded_Smog Formation Potential (SFP) - kg O3 eq_Aeration Tanks; wastewater treatment unit; at updated plant - US_Base_With Amendment_Aerated Static Pile</v>
      </c>
    </row>
    <row r="11656" spans="1:13" s="120" customFormat="1" x14ac:dyDescent="0.25">
      <c r="A11656" s="119"/>
      <c r="B11656" s="138" t="str">
        <f t="shared" si="1003"/>
        <v>Aerated Static Pile</v>
      </c>
      <c r="C11656" s="138" t="str">
        <f t="shared" si="1004"/>
        <v>Base_With Amendment</v>
      </c>
      <c r="D11656" s="138" t="str">
        <f t="shared" si="1006"/>
        <v>High_High</v>
      </c>
      <c r="E11656" s="138" t="str">
        <f t="shared" si="1007"/>
        <v>High</v>
      </c>
      <c r="F11656" s="138" t="str">
        <f t="shared" si="1005"/>
        <v>Upgraded</v>
      </c>
      <c r="G11656" s="153"/>
      <c r="H11656" s="210">
        <v>0.23849999999999999</v>
      </c>
      <c r="I11656" s="160" t="s">
        <v>435</v>
      </c>
      <c r="J11656" s="160">
        <v>0.10607</v>
      </c>
      <c r="K11656" s="160" t="s">
        <v>25</v>
      </c>
      <c r="L11656" s="154" t="str">
        <f>IF(OpenLCAbasic!K11656="CTUh", "Fill in Manually",IF(OR(K11656="Unit", K11656=""), "", INDEX(LookUps!$E$5:$E$12, MATCH(OpenLCAbasic!K11656,LookUps!$D$5:$D$12,0))))</f>
        <v>Smog Formation Potential (SFP) - kg O3 eq</v>
      </c>
      <c r="M11656" s="154" t="str">
        <f t="shared" si="1008"/>
        <v>High_High_High_Upgraded_Smog Formation Potential (SFP) - kg O3 eq_Biosolids composting; aerated static pile; wastewater treatment unit; at updated plant - US_Base_With Amendment_Aerated Static Pile</v>
      </c>
    </row>
    <row r="11657" spans="1:13" s="120" customFormat="1" x14ac:dyDescent="0.25">
      <c r="A11657" s="119"/>
      <c r="B11657" s="138" t="str">
        <f t="shared" si="1003"/>
        <v>Aerated Static Pile</v>
      </c>
      <c r="C11657" s="138" t="str">
        <f t="shared" si="1004"/>
        <v>Base_With Amendment</v>
      </c>
      <c r="D11657" s="138" t="str">
        <f t="shared" si="1006"/>
        <v>High_High</v>
      </c>
      <c r="E11657" s="138" t="str">
        <f t="shared" si="1007"/>
        <v>High</v>
      </c>
      <c r="F11657" s="138" t="str">
        <f t="shared" si="1005"/>
        <v>Upgraded</v>
      </c>
      <c r="G11657" s="153"/>
      <c r="H11657" s="210">
        <v>0.1081</v>
      </c>
      <c r="I11657" s="160" t="s">
        <v>54</v>
      </c>
      <c r="J11657" s="160">
        <v>4.8070000000000002E-2</v>
      </c>
      <c r="K11657" s="160" t="s">
        <v>25</v>
      </c>
      <c r="L11657" s="154" t="str">
        <f>IF(OpenLCAbasic!K11657="CTUh", "Fill in Manually",IF(OR(K11657="Unit", K11657=""), "", INDEX(LookUps!$E$5:$E$12, MATCH(OpenLCAbasic!K11657,LookUps!$D$5:$D$12,0))))</f>
        <v>Smog Formation Potential (SFP) - kg O3 eq</v>
      </c>
      <c r="M11657" s="154" t="str">
        <f t="shared" si="1008"/>
        <v>High_High_High_Upgraded_Smog Formation Potential (SFP) - kg O3 eq_Clear Cove Primary Clarification; wastewater treatment unit; at updated plant - US_Base_With Amendment_Aerated Static Pile</v>
      </c>
    </row>
    <row r="11658" spans="1:13" s="120" customFormat="1" x14ac:dyDescent="0.25">
      <c r="A11658" s="119"/>
      <c r="B11658" s="138" t="str">
        <f t="shared" ref="B11658:B11688" si="1009">IF(F11658="Legacy","n.a.",IF(F11658="","","Aerated Static Pile"))</f>
        <v>Aerated Static Pile</v>
      </c>
      <c r="C11658" s="138" t="str">
        <f t="shared" ref="C11658:C11687" si="1010">IF(ISNUMBER($J11658),"Base_With Amendment","")</f>
        <v>Base_With Amendment</v>
      </c>
      <c r="D11658" s="138" t="str">
        <f t="shared" si="1006"/>
        <v>High_High</v>
      </c>
      <c r="E11658" s="138" t="str">
        <f t="shared" si="1007"/>
        <v>High</v>
      </c>
      <c r="F11658" s="138" t="str">
        <f t="shared" ref="F11658:F11688" si="1011">IF(ISNUMBER(J11658),"Upgraded","")</f>
        <v>Upgraded</v>
      </c>
      <c r="G11658" s="153"/>
      <c r="H11658" s="210">
        <v>9.4700000000000006E-2</v>
      </c>
      <c r="I11658" s="160" t="s">
        <v>58</v>
      </c>
      <c r="J11658" s="160">
        <v>4.2090000000000002E-2</v>
      </c>
      <c r="K11658" s="160" t="s">
        <v>25</v>
      </c>
      <c r="L11658" s="154" t="str">
        <f>IF(OpenLCAbasic!K11658="CTUh", "Fill in Manually",IF(OR(K11658="Unit", K11658=""), "", INDEX(LookUps!$E$5:$E$12, MATCH(OpenLCAbasic!K11658,LookUps!$D$5:$D$12,0))))</f>
        <v>Smog Formation Potential (SFP) - kg O3 eq</v>
      </c>
      <c r="M11658" s="154" t="str">
        <f t="shared" si="1008"/>
        <v>High_High_High_Upgraded_Smog Formation Potential (SFP) - kg O3 eq_Pre-Anoxic &amp; Swing tank; wastewater treatment unit; at updated plant - US_Base_With Amendment_Aerated Static Pile</v>
      </c>
    </row>
    <row r="11659" spans="1:13" s="120" customFormat="1" x14ac:dyDescent="0.25">
      <c r="A11659" s="119"/>
      <c r="B11659" s="138" t="str">
        <f t="shared" si="1009"/>
        <v>Aerated Static Pile</v>
      </c>
      <c r="C11659" s="138" t="str">
        <f t="shared" si="1010"/>
        <v>Base_With Amendment</v>
      </c>
      <c r="D11659" s="138" t="str">
        <f t="shared" si="1006"/>
        <v>High_High</v>
      </c>
      <c r="E11659" s="138" t="str">
        <f t="shared" si="1007"/>
        <v>High</v>
      </c>
      <c r="F11659" s="138" t="str">
        <f t="shared" si="1011"/>
        <v>Upgraded</v>
      </c>
      <c r="G11659" s="153"/>
      <c r="H11659" s="210">
        <v>7.5899999999999995E-2</v>
      </c>
      <c r="I11659" s="160" t="s">
        <v>167</v>
      </c>
      <c r="J11659" s="160">
        <v>3.3759999999999998E-2</v>
      </c>
      <c r="K11659" s="160" t="s">
        <v>25</v>
      </c>
      <c r="L11659" s="154" t="str">
        <f>IF(OpenLCAbasic!K11659="CTUh", "Fill in Manually",IF(OR(K11659="Unit", K11659=""), "", INDEX(LookUps!$E$5:$E$12, MATCH(OpenLCAbasic!K11659,LookUps!$D$5:$D$12,0))))</f>
        <v>Smog Formation Potential (SFP) - kg O3 eq</v>
      </c>
      <c r="M11659" s="154" t="str">
        <f t="shared" si="1008"/>
        <v>High_High_High_Upgraded_Smog Formation Potential (SFP) - kg O3 eq_Waste Receiving and Holding; wastewater treatment unit; at updated plant - US_Base_With Amendment_Aerated Static Pile</v>
      </c>
    </row>
    <row r="11660" spans="1:13" s="120" customFormat="1" x14ac:dyDescent="0.25">
      <c r="A11660" s="119"/>
      <c r="B11660" s="138" t="str">
        <f t="shared" si="1009"/>
        <v>Aerated Static Pile</v>
      </c>
      <c r="C11660" s="138" t="str">
        <f t="shared" si="1010"/>
        <v>Base_With Amendment</v>
      </c>
      <c r="D11660" s="138" t="str">
        <f t="shared" si="1006"/>
        <v>High_High</v>
      </c>
      <c r="E11660" s="138" t="str">
        <f t="shared" si="1007"/>
        <v>High</v>
      </c>
      <c r="F11660" s="138" t="str">
        <f t="shared" si="1011"/>
        <v>Upgraded</v>
      </c>
      <c r="G11660" s="153"/>
      <c r="H11660" s="210">
        <v>7.4499999999999997E-2</v>
      </c>
      <c r="I11660" s="160" t="s">
        <v>53</v>
      </c>
      <c r="J11660" s="160">
        <v>3.313E-2</v>
      </c>
      <c r="K11660" s="160" t="s">
        <v>25</v>
      </c>
      <c r="L11660" s="154" t="str">
        <f>IF(OpenLCAbasic!K11660="CTUh", "Fill in Manually",IF(OR(K11660="Unit", K11660=""), "", INDEX(LookUps!$E$5:$E$12, MATCH(OpenLCAbasic!K11660,LookUps!$D$5:$D$12,0))))</f>
        <v>Smog Formation Potential (SFP) - kg O3 eq</v>
      </c>
      <c r="M11660" s="154" t="str">
        <f t="shared" si="1008"/>
        <v>High_High_High_Upgraded_Smog Formation Potential (SFP) - kg O3 eq_Wet Well and Sump Station; wastewater treatment unit; at updated plant - US_Base_With Amendment_Aerated Static Pile</v>
      </c>
    </row>
    <row r="11661" spans="1:13" s="120" customFormat="1" x14ac:dyDescent="0.25">
      <c r="A11661" s="119"/>
      <c r="B11661" s="138" t="str">
        <f t="shared" si="1009"/>
        <v>Aerated Static Pile</v>
      </c>
      <c r="C11661" s="138" t="str">
        <f t="shared" si="1010"/>
        <v>Base_With Amendment</v>
      </c>
      <c r="D11661" s="138" t="str">
        <f t="shared" si="1006"/>
        <v>High_High</v>
      </c>
      <c r="E11661" s="138" t="str">
        <f t="shared" si="1007"/>
        <v>High</v>
      </c>
      <c r="F11661" s="138" t="str">
        <f t="shared" si="1011"/>
        <v>Upgraded</v>
      </c>
      <c r="G11661" s="153"/>
      <c r="H11661" s="210">
        <v>4.36E-2</v>
      </c>
      <c r="I11661" s="160" t="s">
        <v>147</v>
      </c>
      <c r="J11661" s="160">
        <v>1.9400000000000001E-2</v>
      </c>
      <c r="K11661" s="160" t="s">
        <v>25</v>
      </c>
      <c r="L11661" s="154" t="str">
        <f>IF(OpenLCAbasic!K11661="CTUh", "Fill in Manually",IF(OR(K11661="Unit", K11661=""), "", INDEX(LookUps!$E$5:$E$12, MATCH(OpenLCAbasic!K11661,LookUps!$D$5:$D$12,0))))</f>
        <v>Smog Formation Potential (SFP) - kg O3 eq</v>
      </c>
      <c r="M11661" s="154" t="str">
        <f t="shared" si="1008"/>
        <v>High_High_High_Upgraded_Smog Formation Potential (SFP) - kg O3 eq_Influent Pump Station; wastewater treatment unit; at updated plant - US_Base_With Amendment_Aerated Static Pile</v>
      </c>
    </row>
    <row r="11662" spans="1:13" s="120" customFormat="1" x14ac:dyDescent="0.25">
      <c r="A11662" s="119"/>
      <c r="B11662" s="138" t="str">
        <f t="shared" si="1009"/>
        <v>Aerated Static Pile</v>
      </c>
      <c r="C11662" s="138" t="str">
        <f t="shared" si="1010"/>
        <v>Base_With Amendment</v>
      </c>
      <c r="D11662" s="138" t="str">
        <f t="shared" si="1006"/>
        <v>High_High</v>
      </c>
      <c r="E11662" s="138" t="str">
        <f t="shared" si="1007"/>
        <v>High</v>
      </c>
      <c r="F11662" s="138" t="str">
        <f t="shared" si="1011"/>
        <v>Upgraded</v>
      </c>
      <c r="G11662" s="153"/>
      <c r="H11662" s="210">
        <v>2.9600000000000001E-2</v>
      </c>
      <c r="I11662" s="160" t="s">
        <v>60</v>
      </c>
      <c r="J11662" s="160">
        <v>1.316E-2</v>
      </c>
      <c r="K11662" s="160" t="s">
        <v>25</v>
      </c>
      <c r="L11662" s="154" t="str">
        <f>IF(OpenLCAbasic!K11662="CTUh", "Fill in Manually",IF(OR(K11662="Unit", K11662=""), "", INDEX(LookUps!$E$5:$E$12, MATCH(OpenLCAbasic!K11662,LookUps!$D$5:$D$12,0))))</f>
        <v>Smog Formation Potential (SFP) - kg O3 eq</v>
      </c>
      <c r="M11662" s="154" t="str">
        <f t="shared" si="1008"/>
        <v>High_High_High_Upgraded_Smog Formation Potential (SFP) - kg O3 eq_Belt filter press; wastewater treatment unit; at updated plant - US_Base_With Amendment_Aerated Static Pile</v>
      </c>
    </row>
    <row r="11663" spans="1:13" s="120" customFormat="1" x14ac:dyDescent="0.25">
      <c r="A11663" s="119"/>
      <c r="B11663" s="138" t="str">
        <f t="shared" si="1009"/>
        <v>Aerated Static Pile</v>
      </c>
      <c r="C11663" s="138" t="str">
        <f t="shared" si="1010"/>
        <v>Base_With Amendment</v>
      </c>
      <c r="D11663" s="138" t="str">
        <f t="shared" si="1006"/>
        <v>High_High</v>
      </c>
      <c r="E11663" s="138" t="str">
        <f t="shared" si="1007"/>
        <v>High</v>
      </c>
      <c r="F11663" s="138" t="str">
        <f t="shared" si="1011"/>
        <v>Upgraded</v>
      </c>
      <c r="G11663" s="153"/>
      <c r="H11663" s="210">
        <v>2.6800000000000001E-2</v>
      </c>
      <c r="I11663" s="160" t="s">
        <v>128</v>
      </c>
      <c r="J11663" s="160">
        <v>1.192E-2</v>
      </c>
      <c r="K11663" s="160" t="s">
        <v>25</v>
      </c>
      <c r="L11663" s="154" t="str">
        <f>IF(OpenLCAbasic!K11663="CTUh", "Fill in Manually",IF(OR(K11663="Unit", K11663=""), "", INDEX(LookUps!$E$5:$E$12, MATCH(OpenLCAbasic!K11663,LookUps!$D$5:$D$12,0))))</f>
        <v>Smog Formation Potential (SFP) - kg O3 eq</v>
      </c>
      <c r="M11663" s="154" t="str">
        <f t="shared" si="1008"/>
        <v>High_High_High_Upgraded_Smog Formation Potential (SFP) - kg O3 eq_Wastewater collection; operation and infrastructure; m3 wastewater_Base_With Amendment_Aerated Static Pile</v>
      </c>
    </row>
    <row r="11664" spans="1:13" s="120" customFormat="1" x14ac:dyDescent="0.25">
      <c r="A11664" s="119"/>
      <c r="B11664" s="138" t="str">
        <f t="shared" si="1009"/>
        <v>Aerated Static Pile</v>
      </c>
      <c r="C11664" s="138" t="str">
        <f t="shared" si="1010"/>
        <v>Base_With Amendment</v>
      </c>
      <c r="D11664" s="138" t="str">
        <f t="shared" si="1006"/>
        <v>High_High</v>
      </c>
      <c r="E11664" s="138" t="str">
        <f t="shared" si="1007"/>
        <v>High</v>
      </c>
      <c r="F11664" s="138" t="str">
        <f t="shared" si="1011"/>
        <v>Upgraded</v>
      </c>
      <c r="G11664" s="153"/>
      <c r="H11664" s="210">
        <v>1.4999999999999999E-2</v>
      </c>
      <c r="I11664" s="160" t="s">
        <v>57</v>
      </c>
      <c r="J11664" s="160">
        <v>6.6499999999999997E-3</v>
      </c>
      <c r="K11664" s="160" t="s">
        <v>25</v>
      </c>
      <c r="L11664" s="154" t="str">
        <f>IF(OpenLCAbasic!K11664="CTUh", "Fill in Manually",IF(OR(K11664="Unit", K11664=""), "", INDEX(LookUps!$E$5:$E$12, MATCH(OpenLCAbasic!K11664,LookUps!$D$5:$D$12,0))))</f>
        <v>Smog Formation Potential (SFP) - kg O3 eq</v>
      </c>
      <c r="M11664" s="154" t="str">
        <f t="shared" si="1008"/>
        <v>High_High_High_Upgraded_Smog Formation Potential (SFP) - kg O3 eq_Gravity Belt Thickener; wastewater treatment unit; at updated plant - US_Base_With Amendment_Aerated Static Pile</v>
      </c>
    </row>
    <row r="11665" spans="1:13" s="120" customFormat="1" x14ac:dyDescent="0.25">
      <c r="A11665" s="119"/>
      <c r="B11665" s="138" t="str">
        <f t="shared" si="1009"/>
        <v>Aerated Static Pile</v>
      </c>
      <c r="C11665" s="138" t="str">
        <f t="shared" si="1010"/>
        <v>Base_With Amendment</v>
      </c>
      <c r="D11665" s="138" t="str">
        <f t="shared" si="1006"/>
        <v>High_High</v>
      </c>
      <c r="E11665" s="138" t="str">
        <f t="shared" si="1007"/>
        <v>High</v>
      </c>
      <c r="F11665" s="138" t="str">
        <f t="shared" si="1011"/>
        <v>Upgraded</v>
      </c>
      <c r="G11665" s="153"/>
      <c r="H11665" s="210">
        <v>1.12E-2</v>
      </c>
      <c r="I11665" s="160" t="s">
        <v>59</v>
      </c>
      <c r="J11665" s="160">
        <v>4.9699999999999996E-3</v>
      </c>
      <c r="K11665" s="160" t="s">
        <v>25</v>
      </c>
      <c r="L11665" s="154" t="str">
        <f>IF(OpenLCAbasic!K11665="CTUh", "Fill in Manually",IF(OR(K11665="Unit", K11665=""), "", INDEX(LookUps!$E$5:$E$12, MATCH(OpenLCAbasic!K11665,LookUps!$D$5:$D$12,0))))</f>
        <v>Smog Formation Potential (SFP) - kg O3 eq</v>
      </c>
      <c r="M11665" s="154" t="str">
        <f t="shared" si="1008"/>
        <v>High_High_High_Upgraded_Smog Formation Potential (SFP) - kg O3 eq_Blend Tank; wastewater treatment unit; at updated plant - US_Base_With Amendment_Aerated Static Pile</v>
      </c>
    </row>
    <row r="11666" spans="1:13" s="120" customFormat="1" x14ac:dyDescent="0.25">
      <c r="A11666" s="119"/>
      <c r="B11666" s="138" t="str">
        <f t="shared" si="1009"/>
        <v>Aerated Static Pile</v>
      </c>
      <c r="C11666" s="138" t="str">
        <f t="shared" si="1010"/>
        <v>Base_With Amendment</v>
      </c>
      <c r="D11666" s="138" t="str">
        <f t="shared" si="1006"/>
        <v>High_High</v>
      </c>
      <c r="E11666" s="138" t="str">
        <f t="shared" si="1007"/>
        <v>High</v>
      </c>
      <c r="F11666" s="138" t="str">
        <f t="shared" si="1011"/>
        <v>Upgraded</v>
      </c>
      <c r="G11666" s="153"/>
      <c r="H11666" s="210">
        <v>7.6E-3</v>
      </c>
      <c r="I11666" s="160" t="s">
        <v>48</v>
      </c>
      <c r="J11666" s="160">
        <v>3.3899999999999998E-3</v>
      </c>
      <c r="K11666" s="160" t="s">
        <v>25</v>
      </c>
      <c r="L11666" s="154" t="str">
        <f>IF(OpenLCAbasic!K11666="CTUh", "Fill in Manually",IF(OR(K11666="Unit", K11666=""), "", INDEX(LookUps!$E$5:$E$12, MATCH(OpenLCAbasic!K11666,LookUps!$D$5:$D$12,0))))</f>
        <v>Smog Formation Potential (SFP) - kg O3 eq</v>
      </c>
      <c r="M11666" s="154" t="str">
        <f t="shared" si="1008"/>
        <v>High_High_High_Upgraded_Smog Formation Potential (SFP) - kg O3 eq_Effluent release; wastewater treatment unit; at surface water; m3 wastewater - US_Base_With Amendment_Aerated Static Pile</v>
      </c>
    </row>
    <row r="11667" spans="1:13" s="120" customFormat="1" x14ac:dyDescent="0.25">
      <c r="A11667" s="119"/>
      <c r="B11667" s="138" t="str">
        <f t="shared" si="1009"/>
        <v>Aerated Static Pile</v>
      </c>
      <c r="C11667" s="138" t="str">
        <f t="shared" si="1010"/>
        <v>Base_With Amendment</v>
      </c>
      <c r="D11667" s="138" t="str">
        <f t="shared" si="1006"/>
        <v>High_High</v>
      </c>
      <c r="E11667" s="138" t="str">
        <f t="shared" si="1007"/>
        <v>High</v>
      </c>
      <c r="F11667" s="138" t="str">
        <f t="shared" si="1011"/>
        <v>Upgraded</v>
      </c>
      <c r="G11667" s="153"/>
      <c r="H11667" s="210">
        <v>5.4999999999999997E-3</v>
      </c>
      <c r="I11667" s="160" t="s">
        <v>168</v>
      </c>
      <c r="J11667" s="160">
        <v>2.4599999999999999E-3</v>
      </c>
      <c r="K11667" s="160" t="s">
        <v>25</v>
      </c>
      <c r="L11667" s="154" t="str">
        <f>IF(OpenLCAbasic!K11667="CTUh", "Fill in Manually",IF(OR(K11667="Unit", K11667=""), "", INDEX(LookUps!$E$5:$E$12, MATCH(OpenLCAbasic!K11667,LookUps!$D$5:$D$12,0))))</f>
        <v>Smog Formation Potential (SFP) - kg O3 eq</v>
      </c>
      <c r="M11667" s="154" t="str">
        <f t="shared" si="1008"/>
        <v>High_High_High_Upgraded_Smog Formation Potential (SFP) - kg O3 eq_ClearCove SCP; wastewater treatment unit; at updated plant - US_Base_With Amendment_Aerated Static Pile</v>
      </c>
    </row>
    <row r="11668" spans="1:13" s="120" customFormat="1" x14ac:dyDescent="0.25">
      <c r="A11668" s="119"/>
      <c r="B11668" s="138" t="str">
        <f t="shared" si="1009"/>
        <v>Aerated Static Pile</v>
      </c>
      <c r="C11668" s="138" t="str">
        <f t="shared" si="1010"/>
        <v>Base_With Amendment</v>
      </c>
      <c r="D11668" s="138" t="str">
        <f t="shared" si="1006"/>
        <v>High_High</v>
      </c>
      <c r="E11668" s="138" t="str">
        <f t="shared" si="1007"/>
        <v>High</v>
      </c>
      <c r="F11668" s="138" t="str">
        <f t="shared" si="1011"/>
        <v>Upgraded</v>
      </c>
      <c r="G11668" s="153"/>
      <c r="H11668" s="210">
        <v>1.1999999999999999E-3</v>
      </c>
      <c r="I11668" s="160" t="s">
        <v>148</v>
      </c>
      <c r="J11668" s="160">
        <v>5.4000000000000001E-4</v>
      </c>
      <c r="K11668" s="160" t="s">
        <v>25</v>
      </c>
      <c r="L11668" s="154" t="str">
        <f>IF(OpenLCAbasic!K11668="CTUh", "Fill in Manually",IF(OR(K11668="Unit", K11668=""), "", INDEX(LookUps!$E$5:$E$12, MATCH(OpenLCAbasic!K11668,LookUps!$D$5:$D$12,0))))</f>
        <v>Smog Formation Potential (SFP) - kg O3 eq</v>
      </c>
      <c r="M11668" s="154" t="str">
        <f t="shared" si="1008"/>
        <v>High_High_High_Upgraded_Smog Formation Potential (SFP) - kg O3 eq_Control Building; at upgraded wastewater treatment plant - US_Base_With Amendment_Aerated Static Pile</v>
      </c>
    </row>
    <row r="11669" spans="1:13" s="120" customFormat="1" x14ac:dyDescent="0.25">
      <c r="A11669" s="119"/>
      <c r="B11669" s="138" t="str">
        <f t="shared" si="1009"/>
        <v>Aerated Static Pile</v>
      </c>
      <c r="C11669" s="138" t="str">
        <f t="shared" si="1010"/>
        <v>Base_With Amendment</v>
      </c>
      <c r="D11669" s="138" t="str">
        <f t="shared" si="1006"/>
        <v>High_High</v>
      </c>
      <c r="E11669" s="138" t="str">
        <f t="shared" si="1007"/>
        <v>High</v>
      </c>
      <c r="F11669" s="138" t="str">
        <f t="shared" si="1011"/>
        <v>Upgraded</v>
      </c>
      <c r="G11669" s="153"/>
      <c r="H11669" s="210">
        <v>-1.0800000000000001E-2</v>
      </c>
      <c r="I11669" s="160" t="s">
        <v>62</v>
      </c>
      <c r="J11669" s="160">
        <v>-4.7999999999999996E-3</v>
      </c>
      <c r="K11669" s="160" t="s">
        <v>25</v>
      </c>
      <c r="L11669" s="154" t="str">
        <f>IF(OpenLCAbasic!K11669="CTUh", "Fill in Manually",IF(OR(K11669="Unit", K11669=""), "", INDEX(LookUps!$E$5:$E$12, MATCH(OpenLCAbasic!K11669,LookUps!$D$5:$D$12,0))))</f>
        <v>Smog Formation Potential (SFP) - kg O3 eq</v>
      </c>
      <c r="M11669" s="154" t="str">
        <f t="shared" si="1008"/>
        <v>High_High_High_Upgraded_Smog Formation Potential (SFP) - kg O3 eq_Land application of compost; wastewater treatment unit; at updated plant - US_Base_With Amendment_Aerated Static Pile</v>
      </c>
    </row>
    <row r="11670" spans="1:13" s="120" customFormat="1" x14ac:dyDescent="0.25">
      <c r="A11670" s="119"/>
      <c r="B11670" s="138" t="str">
        <f t="shared" si="1009"/>
        <v>Aerated Static Pile</v>
      </c>
      <c r="C11670" s="138" t="str">
        <f t="shared" si="1010"/>
        <v>Base_With Amendment</v>
      </c>
      <c r="D11670" s="138" t="str">
        <f t="shared" si="1006"/>
        <v>High_High</v>
      </c>
      <c r="E11670" s="138" t="str">
        <f t="shared" si="1007"/>
        <v>High</v>
      </c>
      <c r="F11670" s="138" t="str">
        <f t="shared" si="1011"/>
        <v>Upgraded</v>
      </c>
      <c r="G11670" s="153"/>
      <c r="H11670" s="210">
        <v>-2.0941999999999998</v>
      </c>
      <c r="I11670" s="160" t="s">
        <v>149</v>
      </c>
      <c r="J11670" s="160">
        <v>-0.93125999999999998</v>
      </c>
      <c r="K11670" s="160" t="s">
        <v>25</v>
      </c>
      <c r="L11670" s="154" t="str">
        <f>IF(OpenLCAbasic!K11670="CTUh", "Fill in Manually",IF(OR(K11670="Unit", K11670=""), "", INDEX(LookUps!$E$5:$E$12, MATCH(OpenLCAbasic!K11670,LookUps!$D$5:$D$12,0))))</f>
        <v>Smog Formation Potential (SFP) - kg O3 eq</v>
      </c>
      <c r="M11670" s="154" t="str">
        <f t="shared" si="1008"/>
        <v>High_High_High_Upgraded_Smog Formation Potential (SFP) - kg O3 eq_Anaerobic Digestion; wastewater treatment unit; at updated plant - US_Base_With Amendment_Aerated Static Pile</v>
      </c>
    </row>
    <row r="11671" spans="1:13" s="120" customFormat="1" x14ac:dyDescent="0.25">
      <c r="A11671" s="119"/>
      <c r="B11671" s="138" t="str">
        <f t="shared" si="1009"/>
        <v/>
      </c>
      <c r="C11671" s="138" t="str">
        <f t="shared" si="1010"/>
        <v/>
      </c>
      <c r="D11671" s="138" t="str">
        <f t="shared" si="1006"/>
        <v/>
      </c>
      <c r="E11671" s="138" t="str">
        <f t="shared" si="1007"/>
        <v/>
      </c>
      <c r="F11671" s="138" t="str">
        <f t="shared" si="1011"/>
        <v/>
      </c>
      <c r="G11671" s="153" t="s">
        <v>51</v>
      </c>
      <c r="H11671" s="160"/>
      <c r="I11671" s="160" t="s">
        <v>47</v>
      </c>
      <c r="J11671" s="160" t="s">
        <v>52</v>
      </c>
      <c r="K11671" s="160" t="s">
        <v>27</v>
      </c>
      <c r="L11671" s="154" t="str">
        <f>IF(OpenLCAbasic!K11671="CTUh", "Fill in Manually",IF(OR(K11671="Unit", K11671=""), "", INDEX(LookUps!$E$5:$E$12, MATCH(OpenLCAbasic!K11671,LookUps!$D$5:$D$12,0))))</f>
        <v/>
      </c>
      <c r="M11671" s="154" t="str">
        <f t="shared" si="1008"/>
        <v>____Process__</v>
      </c>
    </row>
    <row r="11672" spans="1:13" s="120" customFormat="1" x14ac:dyDescent="0.25">
      <c r="A11672" s="119"/>
      <c r="B11672" s="138" t="str">
        <f t="shared" si="1009"/>
        <v>Aerated Static Pile</v>
      </c>
      <c r="C11672" s="138" t="str">
        <f t="shared" si="1010"/>
        <v>Base_With Amendment</v>
      </c>
      <c r="D11672" s="138" t="str">
        <f t="shared" si="1006"/>
        <v>High_High</v>
      </c>
      <c r="E11672" s="138" t="str">
        <f t="shared" si="1007"/>
        <v>High</v>
      </c>
      <c r="F11672" s="138" t="str">
        <f t="shared" si="1011"/>
        <v>Upgraded</v>
      </c>
      <c r="G11672" s="153"/>
      <c r="H11672" s="210">
        <v>0.3165</v>
      </c>
      <c r="I11672" s="160" t="s">
        <v>167</v>
      </c>
      <c r="J11672" s="160">
        <v>3.4000000000000002E-4</v>
      </c>
      <c r="K11672" s="160" t="s">
        <v>26</v>
      </c>
      <c r="L11672" s="154" t="str">
        <f>IF(OpenLCAbasic!K11672="CTUh", "Fill in Manually",IF(OR(K11672="Unit", K11672=""), "", INDEX(LookUps!$E$5:$E$12, MATCH(OpenLCAbasic!K11672,LookUps!$D$5:$D$12,0))))</f>
        <v>Water Use (WU) - m3 H2O</v>
      </c>
      <c r="M11672" s="154" t="str">
        <f t="shared" si="1008"/>
        <v>High_High_High_Upgraded_Water Use (WU) - m3 H2O_Waste Receiving and Holding; wastewater treatment unit; at updated plant - US_Base_With Amendment_Aerated Static Pile</v>
      </c>
    </row>
    <row r="11673" spans="1:13" s="120" customFormat="1" x14ac:dyDescent="0.25">
      <c r="A11673" s="119"/>
      <c r="B11673" s="138" t="str">
        <f t="shared" si="1009"/>
        <v>Aerated Static Pile</v>
      </c>
      <c r="C11673" s="138" t="str">
        <f t="shared" si="1010"/>
        <v>Base_With Amendment</v>
      </c>
      <c r="D11673" s="138" t="str">
        <f t="shared" si="1006"/>
        <v>High_High</v>
      </c>
      <c r="E11673" s="138" t="str">
        <f t="shared" si="1007"/>
        <v>High</v>
      </c>
      <c r="F11673" s="138" t="str">
        <f t="shared" si="1011"/>
        <v>Upgraded</v>
      </c>
      <c r="G11673" s="153"/>
      <c r="H11673" s="210">
        <v>0.17319999999999999</v>
      </c>
      <c r="I11673" s="160" t="s">
        <v>147</v>
      </c>
      <c r="J11673" s="160">
        <v>1.8000000000000001E-4</v>
      </c>
      <c r="K11673" s="160" t="s">
        <v>26</v>
      </c>
      <c r="L11673" s="154" t="str">
        <f>IF(OpenLCAbasic!K11673="CTUh", "Fill in Manually",IF(OR(K11673="Unit", K11673=""), "", INDEX(LookUps!$E$5:$E$12, MATCH(OpenLCAbasic!K11673,LookUps!$D$5:$D$12,0))))</f>
        <v>Water Use (WU) - m3 H2O</v>
      </c>
      <c r="M11673" s="154" t="str">
        <f t="shared" si="1008"/>
        <v>High_High_High_Upgraded_Water Use (WU) - m3 H2O_Influent Pump Station; wastewater treatment unit; at updated plant - US_Base_With Amendment_Aerated Static Pile</v>
      </c>
    </row>
    <row r="11674" spans="1:13" s="120" customFormat="1" x14ac:dyDescent="0.25">
      <c r="A11674" s="119"/>
      <c r="B11674" s="138" t="str">
        <f t="shared" si="1009"/>
        <v>Aerated Static Pile</v>
      </c>
      <c r="C11674" s="138" t="str">
        <f t="shared" si="1010"/>
        <v>Base_With Amendment</v>
      </c>
      <c r="D11674" s="138" t="str">
        <f t="shared" si="1006"/>
        <v>High_High</v>
      </c>
      <c r="E11674" s="138" t="str">
        <f t="shared" si="1007"/>
        <v>High</v>
      </c>
      <c r="F11674" s="138" t="str">
        <f t="shared" si="1011"/>
        <v>Upgraded</v>
      </c>
      <c r="G11674" s="153"/>
      <c r="H11674" s="210">
        <v>0.16900000000000001</v>
      </c>
      <c r="I11674" s="160" t="s">
        <v>54</v>
      </c>
      <c r="J11674" s="160">
        <v>1.8000000000000001E-4</v>
      </c>
      <c r="K11674" s="160" t="s">
        <v>26</v>
      </c>
      <c r="L11674" s="154" t="str">
        <f>IF(OpenLCAbasic!K11674="CTUh", "Fill in Manually",IF(OR(K11674="Unit", K11674=""), "", INDEX(LookUps!$E$5:$E$12, MATCH(OpenLCAbasic!K11674,LookUps!$D$5:$D$12,0))))</f>
        <v>Water Use (WU) - m3 H2O</v>
      </c>
      <c r="M11674" s="154" t="str">
        <f t="shared" si="1008"/>
        <v>High_High_High_Upgraded_Water Use (WU) - m3 H2O_Clear Cove Primary Clarification; wastewater treatment unit; at updated plant - US_Base_With Amendment_Aerated Static Pile</v>
      </c>
    </row>
    <row r="11675" spans="1:13" s="120" customFormat="1" x14ac:dyDescent="0.25">
      <c r="A11675" s="119"/>
      <c r="B11675" s="138" t="str">
        <f t="shared" si="1009"/>
        <v>Aerated Static Pile</v>
      </c>
      <c r="C11675" s="138" t="str">
        <f t="shared" si="1010"/>
        <v>Base_With Amendment</v>
      </c>
      <c r="D11675" s="138" t="str">
        <f t="shared" si="1006"/>
        <v>High_High</v>
      </c>
      <c r="E11675" s="138" t="str">
        <f t="shared" si="1007"/>
        <v>High</v>
      </c>
      <c r="F11675" s="138" t="str">
        <f t="shared" si="1011"/>
        <v>Upgraded</v>
      </c>
      <c r="G11675" s="153"/>
      <c r="H11675" s="210">
        <v>0.15329999999999999</v>
      </c>
      <c r="I11675" s="160" t="s">
        <v>55</v>
      </c>
      <c r="J11675" s="160">
        <v>1.6000000000000001E-4</v>
      </c>
      <c r="K11675" s="160" t="s">
        <v>26</v>
      </c>
      <c r="L11675" s="154" t="str">
        <f>IF(OpenLCAbasic!K11675="CTUh", "Fill in Manually",IF(OR(K11675="Unit", K11675=""), "", INDEX(LookUps!$E$5:$E$12, MATCH(OpenLCAbasic!K11675,LookUps!$D$5:$D$12,0))))</f>
        <v>Water Use (WU) - m3 H2O</v>
      </c>
      <c r="M11675" s="154" t="str">
        <f t="shared" si="1008"/>
        <v>High_High_High_Upgraded_Water Use (WU) - m3 H2O_Aeration Tanks; wastewater treatment unit; at updated plant - US_Base_With Amendment_Aerated Static Pile</v>
      </c>
    </row>
    <row r="11676" spans="1:13" s="120" customFormat="1" x14ac:dyDescent="0.25">
      <c r="A11676" s="119"/>
      <c r="B11676" s="138" t="str">
        <f t="shared" si="1009"/>
        <v>Aerated Static Pile</v>
      </c>
      <c r="C11676" s="138" t="str">
        <f t="shared" si="1010"/>
        <v>Base_With Amendment</v>
      </c>
      <c r="D11676" s="138" t="str">
        <f t="shared" si="1006"/>
        <v>High_High</v>
      </c>
      <c r="E11676" s="138" t="str">
        <f t="shared" si="1007"/>
        <v>High</v>
      </c>
      <c r="F11676" s="138" t="str">
        <f t="shared" si="1011"/>
        <v>Upgraded</v>
      </c>
      <c r="G11676" s="153"/>
      <c r="H11676" s="210">
        <v>0.1396</v>
      </c>
      <c r="I11676" s="160" t="s">
        <v>148</v>
      </c>
      <c r="J11676" s="160">
        <v>1.4999999999999999E-4</v>
      </c>
      <c r="K11676" s="160" t="s">
        <v>26</v>
      </c>
      <c r="L11676" s="154" t="str">
        <f>IF(OpenLCAbasic!K11676="CTUh", "Fill in Manually",IF(OR(K11676="Unit", K11676=""), "", INDEX(LookUps!$E$5:$E$12, MATCH(OpenLCAbasic!K11676,LookUps!$D$5:$D$12,0))))</f>
        <v>Water Use (WU) - m3 H2O</v>
      </c>
      <c r="M11676" s="154" t="str">
        <f t="shared" si="1008"/>
        <v>High_High_High_Upgraded_Water Use (WU) - m3 H2O_Control Building; at upgraded wastewater treatment plant - US_Base_With Amendment_Aerated Static Pile</v>
      </c>
    </row>
    <row r="11677" spans="1:13" s="120" customFormat="1" x14ac:dyDescent="0.25">
      <c r="A11677" s="119"/>
      <c r="B11677" s="138" t="str">
        <f t="shared" si="1009"/>
        <v>Aerated Static Pile</v>
      </c>
      <c r="C11677" s="138" t="str">
        <f t="shared" si="1010"/>
        <v>Base_With Amendment</v>
      </c>
      <c r="D11677" s="138" t="str">
        <f t="shared" si="1006"/>
        <v>High_High</v>
      </c>
      <c r="E11677" s="138" t="str">
        <f t="shared" si="1007"/>
        <v>High</v>
      </c>
      <c r="F11677" s="138" t="str">
        <f t="shared" si="1011"/>
        <v>Upgraded</v>
      </c>
      <c r="G11677" s="153"/>
      <c r="H11677" s="210">
        <v>6.4799999999999996E-2</v>
      </c>
      <c r="I11677" s="160" t="s">
        <v>48</v>
      </c>
      <c r="J11677" s="211">
        <v>6.8836400000000004E-5</v>
      </c>
      <c r="K11677" s="160" t="s">
        <v>26</v>
      </c>
      <c r="L11677" s="154" t="str">
        <f>IF(OpenLCAbasic!K11677="CTUh", "Fill in Manually",IF(OR(K11677="Unit", K11677=""), "", INDEX(LookUps!$E$5:$E$12, MATCH(OpenLCAbasic!K11677,LookUps!$D$5:$D$12,0))))</f>
        <v>Water Use (WU) - m3 H2O</v>
      </c>
      <c r="M11677" s="154" t="str">
        <f t="shared" si="1008"/>
        <v>High_High_High_Upgraded_Water Use (WU) - m3 H2O_Effluent release; wastewater treatment unit; at surface water; m3 wastewater - US_Base_With Amendment_Aerated Static Pile</v>
      </c>
    </row>
    <row r="11678" spans="1:13" s="120" customFormat="1" x14ac:dyDescent="0.25">
      <c r="A11678" s="119"/>
      <c r="B11678" s="138" t="str">
        <f t="shared" si="1009"/>
        <v>Aerated Static Pile</v>
      </c>
      <c r="C11678" s="138" t="str">
        <f t="shared" si="1010"/>
        <v>Base_With Amendment</v>
      </c>
      <c r="D11678" s="138" t="str">
        <f t="shared" si="1006"/>
        <v>High_High</v>
      </c>
      <c r="E11678" s="138" t="str">
        <f t="shared" si="1007"/>
        <v>High</v>
      </c>
      <c r="F11678" s="138" t="str">
        <f t="shared" si="1011"/>
        <v>Upgraded</v>
      </c>
      <c r="G11678" s="153"/>
      <c r="H11678" s="210">
        <v>4.0800000000000003E-2</v>
      </c>
      <c r="I11678" s="160" t="s">
        <v>58</v>
      </c>
      <c r="J11678" s="211">
        <v>4.3289399999999999E-5</v>
      </c>
      <c r="K11678" s="160" t="s">
        <v>26</v>
      </c>
      <c r="L11678" s="154" t="str">
        <f>IF(OpenLCAbasic!K11678="CTUh", "Fill in Manually",IF(OR(K11678="Unit", K11678=""), "", INDEX(LookUps!$E$5:$E$12, MATCH(OpenLCAbasic!K11678,LookUps!$D$5:$D$12,0))))</f>
        <v>Water Use (WU) - m3 H2O</v>
      </c>
      <c r="M11678" s="154" t="str">
        <f t="shared" si="1008"/>
        <v>High_High_High_Upgraded_Water Use (WU) - m3 H2O_Pre-Anoxic &amp; Swing tank; wastewater treatment unit; at updated plant - US_Base_With Amendment_Aerated Static Pile</v>
      </c>
    </row>
    <row r="11679" spans="1:13" s="120" customFormat="1" x14ac:dyDescent="0.25">
      <c r="A11679" s="119"/>
      <c r="B11679" s="138" t="str">
        <f t="shared" si="1009"/>
        <v>Aerated Static Pile</v>
      </c>
      <c r="C11679" s="138" t="str">
        <f t="shared" si="1010"/>
        <v>Base_With Amendment</v>
      </c>
      <c r="D11679" s="138" t="str">
        <f t="shared" si="1006"/>
        <v>High_High</v>
      </c>
      <c r="E11679" s="138" t="str">
        <f t="shared" si="1007"/>
        <v>High</v>
      </c>
      <c r="F11679" s="138" t="str">
        <f t="shared" si="1011"/>
        <v>Upgraded</v>
      </c>
      <c r="G11679" s="153"/>
      <c r="H11679" s="210">
        <v>3.6999999999999998E-2</v>
      </c>
      <c r="I11679" s="160" t="s">
        <v>60</v>
      </c>
      <c r="J11679" s="211">
        <v>3.9294400000000001E-5</v>
      </c>
      <c r="K11679" s="160" t="s">
        <v>26</v>
      </c>
      <c r="L11679" s="154" t="str">
        <f>IF(OpenLCAbasic!K11679="CTUh", "Fill in Manually",IF(OR(K11679="Unit", K11679=""), "", INDEX(LookUps!$E$5:$E$12, MATCH(OpenLCAbasic!K11679,LookUps!$D$5:$D$12,0))))</f>
        <v>Water Use (WU) - m3 H2O</v>
      </c>
      <c r="M11679" s="154" t="str">
        <f t="shared" si="1008"/>
        <v>High_High_High_Upgraded_Water Use (WU) - m3 H2O_Belt filter press; wastewater treatment unit; at updated plant - US_Base_With Amendment_Aerated Static Pile</v>
      </c>
    </row>
    <row r="11680" spans="1:13" s="120" customFormat="1" x14ac:dyDescent="0.25">
      <c r="A11680" s="119"/>
      <c r="B11680" s="138" t="str">
        <f t="shared" si="1009"/>
        <v>Aerated Static Pile</v>
      </c>
      <c r="C11680" s="138" t="str">
        <f t="shared" si="1010"/>
        <v>Base_With Amendment</v>
      </c>
      <c r="D11680" s="138" t="str">
        <f t="shared" si="1006"/>
        <v>High_High</v>
      </c>
      <c r="E11680" s="138" t="str">
        <f t="shared" si="1007"/>
        <v>High</v>
      </c>
      <c r="F11680" s="138" t="str">
        <f t="shared" si="1011"/>
        <v>Upgraded</v>
      </c>
      <c r="G11680" s="153"/>
      <c r="H11680" s="210">
        <v>3.2800000000000003E-2</v>
      </c>
      <c r="I11680" s="160" t="s">
        <v>435</v>
      </c>
      <c r="J11680" s="211">
        <v>3.4866500000000002E-5</v>
      </c>
      <c r="K11680" s="160" t="s">
        <v>26</v>
      </c>
      <c r="L11680" s="154" t="str">
        <f>IF(OpenLCAbasic!K11680="CTUh", "Fill in Manually",IF(OR(K11680="Unit", K11680=""), "", INDEX(LookUps!$E$5:$E$12, MATCH(OpenLCAbasic!K11680,LookUps!$D$5:$D$12,0))))</f>
        <v>Water Use (WU) - m3 H2O</v>
      </c>
      <c r="M11680" s="154" t="str">
        <f t="shared" si="1008"/>
        <v>High_High_High_Upgraded_Water Use (WU) - m3 H2O_Biosolids composting; aerated static pile; wastewater treatment unit; at updated plant - US_Base_With Amendment_Aerated Static Pile</v>
      </c>
    </row>
    <row r="11681" spans="1:13" s="120" customFormat="1" x14ac:dyDescent="0.25">
      <c r="A11681" s="119"/>
      <c r="B11681" s="138" t="str">
        <f t="shared" si="1009"/>
        <v>Aerated Static Pile</v>
      </c>
      <c r="C11681" s="138" t="str">
        <f t="shared" si="1010"/>
        <v>Base_With Amendment</v>
      </c>
      <c r="D11681" s="138" t="str">
        <f t="shared" ref="D11681:D11687" si="1012">IF(ISNUMBER($J11681),"High_High","")</f>
        <v>High_High</v>
      </c>
      <c r="E11681" s="138" t="str">
        <f t="shared" si="1007"/>
        <v>High</v>
      </c>
      <c r="F11681" s="138" t="str">
        <f t="shared" si="1011"/>
        <v>Upgraded</v>
      </c>
      <c r="G11681" s="153"/>
      <c r="H11681" s="210">
        <v>2.86E-2</v>
      </c>
      <c r="I11681" s="160" t="s">
        <v>57</v>
      </c>
      <c r="J11681" s="211">
        <v>3.0408100000000001E-5</v>
      </c>
      <c r="K11681" s="160" t="s">
        <v>26</v>
      </c>
      <c r="L11681" s="154" t="str">
        <f>IF(OpenLCAbasic!K11681="CTUh", "Fill in Manually",IF(OR(K11681="Unit", K11681=""), "", INDEX(LookUps!$E$5:$E$12, MATCH(OpenLCAbasic!K11681,LookUps!$D$5:$D$12,0))))</f>
        <v>Water Use (WU) - m3 H2O</v>
      </c>
      <c r="M11681" s="154" t="str">
        <f t="shared" si="1008"/>
        <v>High_High_High_Upgraded_Water Use (WU) - m3 H2O_Gravity Belt Thickener; wastewater treatment unit; at updated plant - US_Base_With Amendment_Aerated Static Pile</v>
      </c>
    </row>
    <row r="11682" spans="1:13" s="120" customFormat="1" x14ac:dyDescent="0.25">
      <c r="A11682" s="119"/>
      <c r="B11682" s="138" t="str">
        <f t="shared" si="1009"/>
        <v>Aerated Static Pile</v>
      </c>
      <c r="C11682" s="138" t="str">
        <f t="shared" si="1010"/>
        <v>Base_With Amendment</v>
      </c>
      <c r="D11682" s="138" t="str">
        <f t="shared" si="1012"/>
        <v>High_High</v>
      </c>
      <c r="E11682" s="138" t="str">
        <f t="shared" si="1007"/>
        <v>High</v>
      </c>
      <c r="F11682" s="138" t="str">
        <f t="shared" si="1011"/>
        <v>Upgraded</v>
      </c>
      <c r="G11682" s="153"/>
      <c r="H11682" s="210">
        <v>1.6500000000000001E-2</v>
      </c>
      <c r="I11682" s="160" t="s">
        <v>53</v>
      </c>
      <c r="J11682" s="211">
        <v>1.75069E-5</v>
      </c>
      <c r="K11682" s="160" t="s">
        <v>26</v>
      </c>
      <c r="L11682" s="154" t="str">
        <f>IF(OpenLCAbasic!K11682="CTUh", "Fill in Manually",IF(OR(K11682="Unit", K11682=""), "", INDEX(LookUps!$E$5:$E$12, MATCH(OpenLCAbasic!K11682,LookUps!$D$5:$D$12,0))))</f>
        <v>Water Use (WU) - m3 H2O</v>
      </c>
      <c r="M11682" s="154" t="str">
        <f t="shared" si="1008"/>
        <v>High_High_High_Upgraded_Water Use (WU) - m3 H2O_Wet Well and Sump Station; wastewater treatment unit; at updated plant - US_Base_With Amendment_Aerated Static Pile</v>
      </c>
    </row>
    <row r="11683" spans="1:13" s="120" customFormat="1" x14ac:dyDescent="0.25">
      <c r="A11683" s="119"/>
      <c r="B11683" s="138" t="str">
        <f t="shared" si="1009"/>
        <v>Aerated Static Pile</v>
      </c>
      <c r="C11683" s="138" t="str">
        <f t="shared" si="1010"/>
        <v>Base_With Amendment</v>
      </c>
      <c r="D11683" s="138" t="str">
        <f t="shared" si="1012"/>
        <v>High_High</v>
      </c>
      <c r="E11683" s="138" t="str">
        <f t="shared" si="1007"/>
        <v>High</v>
      </c>
      <c r="F11683" s="138" t="str">
        <f t="shared" si="1011"/>
        <v>Upgraded</v>
      </c>
      <c r="G11683" s="153"/>
      <c r="H11683" s="210">
        <v>6.6E-3</v>
      </c>
      <c r="I11683" s="160" t="s">
        <v>59</v>
      </c>
      <c r="J11683" s="211">
        <v>7.0179500000000003E-6</v>
      </c>
      <c r="K11683" s="160" t="s">
        <v>26</v>
      </c>
      <c r="L11683" s="154" t="str">
        <f>IF(OpenLCAbasic!K11683="CTUh", "Fill in Manually",IF(OR(K11683="Unit", K11683=""), "", INDEX(LookUps!$E$5:$E$12, MATCH(OpenLCAbasic!K11683,LookUps!$D$5:$D$12,0))))</f>
        <v>Water Use (WU) - m3 H2O</v>
      </c>
      <c r="M11683" s="154" t="str">
        <f t="shared" si="1008"/>
        <v>High_High_High_Upgraded_Water Use (WU) - m3 H2O_Blend Tank; wastewater treatment unit; at updated plant - US_Base_With Amendment_Aerated Static Pile</v>
      </c>
    </row>
    <row r="11684" spans="1:13" s="120" customFormat="1" x14ac:dyDescent="0.25">
      <c r="A11684" s="119"/>
      <c r="B11684" s="138" t="str">
        <f t="shared" si="1009"/>
        <v>Aerated Static Pile</v>
      </c>
      <c r="C11684" s="138" t="str">
        <f t="shared" si="1010"/>
        <v>Base_With Amendment</v>
      </c>
      <c r="D11684" s="138" t="str">
        <f t="shared" si="1012"/>
        <v>High_High</v>
      </c>
      <c r="E11684" s="138" t="str">
        <f t="shared" si="1007"/>
        <v>High</v>
      </c>
      <c r="F11684" s="138" t="str">
        <f t="shared" si="1011"/>
        <v>Upgraded</v>
      </c>
      <c r="G11684" s="153"/>
      <c r="H11684" s="210">
        <v>4.7999999999999996E-3</v>
      </c>
      <c r="I11684" s="160" t="s">
        <v>128</v>
      </c>
      <c r="J11684" s="211">
        <v>5.0608900000000003E-6</v>
      </c>
      <c r="K11684" s="160" t="s">
        <v>26</v>
      </c>
      <c r="L11684" s="154" t="str">
        <f>IF(OpenLCAbasic!K11684="CTUh", "Fill in Manually",IF(OR(K11684="Unit", K11684=""), "", INDEX(LookUps!$E$5:$E$12, MATCH(OpenLCAbasic!K11684,LookUps!$D$5:$D$12,0))))</f>
        <v>Water Use (WU) - m3 H2O</v>
      </c>
      <c r="M11684" s="154" t="str">
        <f t="shared" si="1008"/>
        <v>High_High_High_Upgraded_Water Use (WU) - m3 H2O_Wastewater collection; operation and infrastructure; m3 wastewater_Base_With Amendment_Aerated Static Pile</v>
      </c>
    </row>
    <row r="11685" spans="1:13" s="120" customFormat="1" x14ac:dyDescent="0.25">
      <c r="A11685" s="119"/>
      <c r="B11685" s="138" t="str">
        <f t="shared" si="1009"/>
        <v>Aerated Static Pile</v>
      </c>
      <c r="C11685" s="138" t="str">
        <f t="shared" si="1010"/>
        <v>Base_With Amendment</v>
      </c>
      <c r="D11685" s="138" t="str">
        <f t="shared" si="1012"/>
        <v>High_High</v>
      </c>
      <c r="E11685" s="138" t="str">
        <f t="shared" si="1007"/>
        <v>High</v>
      </c>
      <c r="F11685" s="138" t="str">
        <f t="shared" si="1011"/>
        <v>Upgraded</v>
      </c>
      <c r="G11685" s="153"/>
      <c r="H11685" s="210">
        <v>6.9999999999999999E-4</v>
      </c>
      <c r="I11685" s="160" t="s">
        <v>168</v>
      </c>
      <c r="J11685" s="211">
        <v>7.6697000000000004E-7</v>
      </c>
      <c r="K11685" s="160" t="s">
        <v>26</v>
      </c>
      <c r="L11685" s="154" t="str">
        <f>IF(OpenLCAbasic!K11685="CTUh", "Fill in Manually",IF(OR(K11685="Unit", K11685=""), "", INDEX(LookUps!$E$5:$E$12, MATCH(OpenLCAbasic!K11685,LookUps!$D$5:$D$12,0))))</f>
        <v>Water Use (WU) - m3 H2O</v>
      </c>
      <c r="M11685" s="154" t="str">
        <f t="shared" si="1008"/>
        <v>High_High_High_Upgraded_Water Use (WU) - m3 H2O_ClearCove SCP; wastewater treatment unit; at updated plant - US_Base_With Amendment_Aerated Static Pile</v>
      </c>
    </row>
    <row r="11686" spans="1:13" s="120" customFormat="1" x14ac:dyDescent="0.25">
      <c r="A11686" s="119"/>
      <c r="B11686" s="138" t="str">
        <f t="shared" si="1009"/>
        <v>Aerated Static Pile</v>
      </c>
      <c r="C11686" s="138" t="str">
        <f t="shared" si="1010"/>
        <v>Base_With Amendment</v>
      </c>
      <c r="D11686" s="138" t="str">
        <f t="shared" si="1012"/>
        <v>High_High</v>
      </c>
      <c r="E11686" s="138" t="str">
        <f t="shared" si="1007"/>
        <v>High</v>
      </c>
      <c r="F11686" s="138" t="str">
        <f t="shared" si="1011"/>
        <v>Upgraded</v>
      </c>
      <c r="G11686" s="153"/>
      <c r="H11686" s="210">
        <v>-0.25359999999999999</v>
      </c>
      <c r="I11686" s="160" t="s">
        <v>149</v>
      </c>
      <c r="J11686" s="160">
        <v>-2.7E-4</v>
      </c>
      <c r="K11686" s="160" t="s">
        <v>26</v>
      </c>
      <c r="L11686" s="154" t="str">
        <f>IF(OpenLCAbasic!K11686="CTUh", "Fill in Manually",IF(OR(K11686="Unit", K11686=""), "", INDEX(LookUps!$E$5:$E$12, MATCH(OpenLCAbasic!K11686,LookUps!$D$5:$D$12,0))))</f>
        <v>Water Use (WU) - m3 H2O</v>
      </c>
      <c r="M11686" s="154" t="str">
        <f t="shared" si="1008"/>
        <v>High_High_High_Upgraded_Water Use (WU) - m3 H2O_Anaerobic Digestion; wastewater treatment unit; at updated plant - US_Base_With Amendment_Aerated Static Pile</v>
      </c>
    </row>
    <row r="11687" spans="1:13" s="120" customFormat="1" x14ac:dyDescent="0.25">
      <c r="A11687" s="119"/>
      <c r="B11687" s="138" t="str">
        <f t="shared" si="1009"/>
        <v>Aerated Static Pile</v>
      </c>
      <c r="C11687" s="138" t="str">
        <f t="shared" si="1010"/>
        <v>Base_With Amendment</v>
      </c>
      <c r="D11687" s="138" t="str">
        <f t="shared" si="1012"/>
        <v>High_High</v>
      </c>
      <c r="E11687" s="138" t="str">
        <f t="shared" si="1007"/>
        <v>High</v>
      </c>
      <c r="F11687" s="138" t="str">
        <f t="shared" si="1011"/>
        <v>Upgraded</v>
      </c>
      <c r="G11687" s="153"/>
      <c r="H11687" s="210">
        <v>-1.9305000000000001</v>
      </c>
      <c r="I11687" s="160" t="s">
        <v>62</v>
      </c>
      <c r="J11687" s="160">
        <v>-2.0500000000000002E-3</v>
      </c>
      <c r="K11687" s="160" t="s">
        <v>26</v>
      </c>
      <c r="L11687" s="154" t="str">
        <f>IF(OpenLCAbasic!K11687="CTUh", "Fill in Manually",IF(OR(K11687="Unit", K11687=""), "", INDEX(LookUps!$E$5:$E$12, MATCH(OpenLCAbasic!K11687,LookUps!$D$5:$D$12,0))))</f>
        <v>Water Use (WU) - m3 H2O</v>
      </c>
      <c r="M11687" s="154" t="str">
        <f t="shared" si="1008"/>
        <v>High_High_High_Upgraded_Water Use (WU) - m3 H2O_Land application of compost; wastewater treatment unit; at updated plant - US_Base_With Amendment_Aerated Static Pile</v>
      </c>
    </row>
    <row r="11688" spans="1:13" s="120" customFormat="1" x14ac:dyDescent="0.25">
      <c r="A11688" s="119"/>
      <c r="B11688" s="138" t="str">
        <f t="shared" si="1009"/>
        <v/>
      </c>
      <c r="C11688" s="138" t="str">
        <f>IF(ISNUMBER($J11688),"Without Amendment","")</f>
        <v/>
      </c>
      <c r="D11688" s="138" t="str">
        <f>IF(ISNUMBER($J11688),"Base_Low","")</f>
        <v/>
      </c>
      <c r="E11688" s="138" t="str">
        <f>IF(ISNUMBER($J11688),"Base","")</f>
        <v/>
      </c>
      <c r="F11688" s="138" t="str">
        <f t="shared" si="1011"/>
        <v/>
      </c>
      <c r="G11688" s="153" t="s">
        <v>51</v>
      </c>
      <c r="H11688" s="160"/>
      <c r="I11688" s="160" t="s">
        <v>47</v>
      </c>
      <c r="J11688" s="160" t="s">
        <v>52</v>
      </c>
      <c r="K11688" s="160" t="s">
        <v>27</v>
      </c>
      <c r="L11688" s="154" t="str">
        <f>IF(OpenLCAbasic!K11688="CTUh", "Fill in Manually",IF(OR(K11688="Unit", K11688=""), "", INDEX(LookUps!$E$5:$E$12, MATCH(OpenLCAbasic!K11688,LookUps!$D$5:$D$12,0))))</f>
        <v/>
      </c>
      <c r="M11688" s="154" t="str">
        <f t="shared" si="1008"/>
        <v>____Process__</v>
      </c>
    </row>
    <row r="11689" spans="1:13" s="120" customFormat="1" x14ac:dyDescent="0.25">
      <c r="A11689" s="119"/>
      <c r="B11689" s="138" t="str">
        <f t="shared" ref="B11689:B11752" si="1013">IF(F11689="Legacy","n.a.",IF(F11689="","","Aerated Static Pile"))</f>
        <v>Aerated Static Pile</v>
      </c>
      <c r="C11689" s="138" t="str">
        <f t="shared" ref="C11689:C11752" si="1014">IF(ISNUMBER($J11689),"Without Amendment","")</f>
        <v>Without Amendment</v>
      </c>
      <c r="D11689" s="138" t="str">
        <f t="shared" ref="D11689:D11752" si="1015">IF(ISNUMBER($J11689),"Base_Low","")</f>
        <v>Base_Low</v>
      </c>
      <c r="E11689" s="138" t="str">
        <f t="shared" ref="E11689:E11752" si="1016">IF(ISNUMBER($J11689),"Base","")</f>
        <v>Base</v>
      </c>
      <c r="F11689" s="138" t="str">
        <f t="shared" ref="F11689:F11752" si="1017">IF(ISNUMBER(J11689),"Upgraded","")</f>
        <v>Upgraded</v>
      </c>
      <c r="G11689" s="153"/>
      <c r="H11689" s="210">
        <v>0.3831</v>
      </c>
      <c r="I11689" s="160" t="s">
        <v>55</v>
      </c>
      <c r="J11689" s="160">
        <v>1.7219999999999999E-2</v>
      </c>
      <c r="K11689" s="160" t="s">
        <v>24</v>
      </c>
      <c r="L11689" s="154" t="str">
        <f>IF(OpenLCAbasic!K11689="CTUh", "Fill in Manually",IF(OR(K11689="Unit", K11689=""), "", INDEX(LookUps!$E$5:$E$12, MATCH(OpenLCAbasic!K11689,LookUps!$D$5:$D$12,0))))</f>
        <v>Acidification Potential (AP) - kg SO2 eq</v>
      </c>
      <c r="M11689" s="154" t="str">
        <f t="shared" si="1008"/>
        <v>Base_Base_Low_Upgraded_Acidification Potential (AP) - kg SO2 eq_Aeration Tanks; wastewater treatment unit; at updated plant - US_Without Amendment_Aerated Static Pile</v>
      </c>
    </row>
    <row r="11690" spans="1:13" s="120" customFormat="1" x14ac:dyDescent="0.25">
      <c r="A11690" s="119"/>
      <c r="B11690" s="138" t="str">
        <f t="shared" si="1013"/>
        <v>Aerated Static Pile</v>
      </c>
      <c r="C11690" s="138" t="str">
        <f t="shared" si="1014"/>
        <v>Without Amendment</v>
      </c>
      <c r="D11690" s="138" t="str">
        <f t="shared" si="1015"/>
        <v>Base_Low</v>
      </c>
      <c r="E11690" s="138" t="str">
        <f t="shared" si="1016"/>
        <v>Base</v>
      </c>
      <c r="F11690" s="138" t="str">
        <f t="shared" si="1017"/>
        <v>Upgraded</v>
      </c>
      <c r="G11690" s="153"/>
      <c r="H11690" s="210">
        <v>0.1108</v>
      </c>
      <c r="I11690" s="160" t="s">
        <v>54</v>
      </c>
      <c r="J11690" s="160">
        <v>4.9800000000000001E-3</v>
      </c>
      <c r="K11690" s="160" t="s">
        <v>24</v>
      </c>
      <c r="L11690" s="154" t="str">
        <f>IF(OpenLCAbasic!K11690="CTUh", "Fill in Manually",IF(OR(K11690="Unit", K11690=""), "", INDEX(LookUps!$E$5:$E$12, MATCH(OpenLCAbasic!K11690,LookUps!$D$5:$D$12,0))))</f>
        <v>Acidification Potential (AP) - kg SO2 eq</v>
      </c>
      <c r="M11690" s="154" t="str">
        <f t="shared" si="1008"/>
        <v>Base_Base_Low_Upgraded_Acidification Potential (AP) - kg SO2 eq_Clear Cove Primary Clarification; wastewater treatment unit; at updated plant - US_Without Amendment_Aerated Static Pile</v>
      </c>
    </row>
    <row r="11691" spans="1:13" s="120" customFormat="1" x14ac:dyDescent="0.25">
      <c r="A11691" s="119"/>
      <c r="B11691" s="138" t="str">
        <f t="shared" si="1013"/>
        <v>Aerated Static Pile</v>
      </c>
      <c r="C11691" s="138" t="str">
        <f t="shared" si="1014"/>
        <v>Without Amendment</v>
      </c>
      <c r="D11691" s="138" t="str">
        <f t="shared" si="1015"/>
        <v>Base_Low</v>
      </c>
      <c r="E11691" s="138" t="str">
        <f t="shared" si="1016"/>
        <v>Base</v>
      </c>
      <c r="F11691" s="138" t="str">
        <f t="shared" si="1017"/>
        <v>Upgraded</v>
      </c>
      <c r="G11691" s="153"/>
      <c r="H11691" s="210">
        <v>9.64E-2</v>
      </c>
      <c r="I11691" s="160" t="s">
        <v>58</v>
      </c>
      <c r="J11691" s="160">
        <v>4.3299999999999996E-3</v>
      </c>
      <c r="K11691" s="160" t="s">
        <v>24</v>
      </c>
      <c r="L11691" s="154" t="str">
        <f>IF(OpenLCAbasic!K11691="CTUh", "Fill in Manually",IF(OR(K11691="Unit", K11691=""), "", INDEX(LookUps!$E$5:$E$12, MATCH(OpenLCAbasic!K11691,LookUps!$D$5:$D$12,0))))</f>
        <v>Acidification Potential (AP) - kg SO2 eq</v>
      </c>
      <c r="M11691" s="154" t="str">
        <f t="shared" si="1008"/>
        <v>Base_Base_Low_Upgraded_Acidification Potential (AP) - kg SO2 eq_Pre-Anoxic &amp; Swing tank; wastewater treatment unit; at updated plant - US_Without Amendment_Aerated Static Pile</v>
      </c>
    </row>
    <row r="11692" spans="1:13" s="120" customFormat="1" x14ac:dyDescent="0.25">
      <c r="A11692" s="119"/>
      <c r="B11692" s="138" t="str">
        <f t="shared" si="1013"/>
        <v>Aerated Static Pile</v>
      </c>
      <c r="C11692" s="138" t="str">
        <f t="shared" si="1014"/>
        <v>Without Amendment</v>
      </c>
      <c r="D11692" s="138" t="str">
        <f t="shared" si="1015"/>
        <v>Base_Low</v>
      </c>
      <c r="E11692" s="138" t="str">
        <f t="shared" si="1016"/>
        <v>Base</v>
      </c>
      <c r="F11692" s="138" t="str">
        <f t="shared" si="1017"/>
        <v>Upgraded</v>
      </c>
      <c r="G11692" s="153"/>
      <c r="H11692" s="210">
        <v>7.6799999999999993E-2</v>
      </c>
      <c r="I11692" s="160" t="s">
        <v>53</v>
      </c>
      <c r="J11692" s="160">
        <v>3.4499999999999999E-3</v>
      </c>
      <c r="K11692" s="160" t="s">
        <v>24</v>
      </c>
      <c r="L11692" s="154" t="str">
        <f>IF(OpenLCAbasic!K11692="CTUh", "Fill in Manually",IF(OR(K11692="Unit", K11692=""), "", INDEX(LookUps!$E$5:$E$12, MATCH(OpenLCAbasic!K11692,LookUps!$D$5:$D$12,0))))</f>
        <v>Acidification Potential (AP) - kg SO2 eq</v>
      </c>
      <c r="M11692" s="154" t="str">
        <f t="shared" si="1008"/>
        <v>Base_Base_Low_Upgraded_Acidification Potential (AP) - kg SO2 eq_Wet Well and Sump Station; wastewater treatment unit; at updated plant - US_Without Amendment_Aerated Static Pile</v>
      </c>
    </row>
    <row r="11693" spans="1:13" s="120" customFormat="1" x14ac:dyDescent="0.25">
      <c r="A11693" s="119"/>
      <c r="B11693" s="138" t="str">
        <f t="shared" si="1013"/>
        <v>Aerated Static Pile</v>
      </c>
      <c r="C11693" s="138" t="str">
        <f t="shared" si="1014"/>
        <v>Without Amendment</v>
      </c>
      <c r="D11693" s="138" t="str">
        <f t="shared" si="1015"/>
        <v>Base_Low</v>
      </c>
      <c r="E11693" s="138" t="str">
        <f t="shared" si="1016"/>
        <v>Base</v>
      </c>
      <c r="F11693" s="138" t="str">
        <f t="shared" si="1017"/>
        <v>Upgraded</v>
      </c>
      <c r="G11693" s="153"/>
      <c r="H11693" s="210">
        <v>5.7700000000000001E-2</v>
      </c>
      <c r="I11693" s="160" t="s">
        <v>149</v>
      </c>
      <c r="J11693" s="160">
        <v>2.5999999999999999E-3</v>
      </c>
      <c r="K11693" s="160" t="s">
        <v>24</v>
      </c>
      <c r="L11693" s="154" t="str">
        <f>IF(OpenLCAbasic!K11693="CTUh", "Fill in Manually",IF(OR(K11693="Unit", K11693=""), "", INDEX(LookUps!$E$5:$E$12, MATCH(OpenLCAbasic!K11693,LookUps!$D$5:$D$12,0))))</f>
        <v>Acidification Potential (AP) - kg SO2 eq</v>
      </c>
      <c r="M11693" s="154" t="str">
        <f t="shared" si="1008"/>
        <v>Base_Base_Low_Upgraded_Acidification Potential (AP) - kg SO2 eq_Anaerobic Digestion; wastewater treatment unit; at updated plant - US_Without Amendment_Aerated Static Pile</v>
      </c>
    </row>
    <row r="11694" spans="1:13" s="120" customFormat="1" x14ac:dyDescent="0.25">
      <c r="A11694" s="119"/>
      <c r="B11694" s="138" t="str">
        <f t="shared" si="1013"/>
        <v>Aerated Static Pile</v>
      </c>
      <c r="C11694" s="138" t="str">
        <f t="shared" si="1014"/>
        <v>Without Amendment</v>
      </c>
      <c r="D11694" s="138" t="str">
        <f t="shared" si="1015"/>
        <v>Base_Low</v>
      </c>
      <c r="E11694" s="138" t="str">
        <f t="shared" si="1016"/>
        <v>Base</v>
      </c>
      <c r="F11694" s="138" t="str">
        <f t="shared" si="1017"/>
        <v>Upgraded</v>
      </c>
      <c r="G11694" s="153"/>
      <c r="H11694" s="210">
        <v>5.28E-2</v>
      </c>
      <c r="I11694" s="160" t="s">
        <v>167</v>
      </c>
      <c r="J11694" s="160">
        <v>2.3800000000000002E-3</v>
      </c>
      <c r="K11694" s="160" t="s">
        <v>24</v>
      </c>
      <c r="L11694" s="154" t="str">
        <f>IF(OpenLCAbasic!K11694="CTUh", "Fill in Manually",IF(OR(K11694="Unit", K11694=""), "", INDEX(LookUps!$E$5:$E$12, MATCH(OpenLCAbasic!K11694,LookUps!$D$5:$D$12,0))))</f>
        <v>Acidification Potential (AP) - kg SO2 eq</v>
      </c>
      <c r="M11694" s="154" t="str">
        <f t="shared" si="1008"/>
        <v>Base_Base_Low_Upgraded_Acidification Potential (AP) - kg SO2 eq_Waste Receiving and Holding; wastewater treatment unit; at updated plant - US_Without Amendment_Aerated Static Pile</v>
      </c>
    </row>
    <row r="11695" spans="1:13" s="120" customFormat="1" x14ac:dyDescent="0.25">
      <c r="A11695" s="119"/>
      <c r="B11695" s="138" t="str">
        <f t="shared" si="1013"/>
        <v>Aerated Static Pile</v>
      </c>
      <c r="C11695" s="138" t="str">
        <f t="shared" si="1014"/>
        <v>Without Amendment</v>
      </c>
      <c r="D11695" s="138" t="str">
        <f t="shared" si="1015"/>
        <v>Base_Low</v>
      </c>
      <c r="E11695" s="138" t="str">
        <f t="shared" si="1016"/>
        <v>Base</v>
      </c>
      <c r="F11695" s="138" t="str">
        <f t="shared" si="1017"/>
        <v>Upgraded</v>
      </c>
      <c r="G11695" s="153"/>
      <c r="H11695" s="210">
        <v>4.5999999999999999E-2</v>
      </c>
      <c r="I11695" s="160" t="s">
        <v>147</v>
      </c>
      <c r="J11695" s="160">
        <v>2.0699999999999998E-3</v>
      </c>
      <c r="K11695" s="160" t="s">
        <v>24</v>
      </c>
      <c r="L11695" s="154" t="str">
        <f>IF(OpenLCAbasic!K11695="CTUh", "Fill in Manually",IF(OR(K11695="Unit", K11695=""), "", INDEX(LookUps!$E$5:$E$12, MATCH(OpenLCAbasic!K11695,LookUps!$D$5:$D$12,0))))</f>
        <v>Acidification Potential (AP) - kg SO2 eq</v>
      </c>
      <c r="M11695" s="154" t="str">
        <f t="shared" si="1008"/>
        <v>Base_Base_Low_Upgraded_Acidification Potential (AP) - kg SO2 eq_Influent Pump Station; wastewater treatment unit; at updated plant - US_Without Amendment_Aerated Static Pile</v>
      </c>
    </row>
    <row r="11696" spans="1:13" s="120" customFormat="1" x14ac:dyDescent="0.25">
      <c r="A11696" s="119"/>
      <c r="B11696" s="138" t="str">
        <f t="shared" si="1013"/>
        <v>Aerated Static Pile</v>
      </c>
      <c r="C11696" s="138" t="str">
        <f t="shared" si="1014"/>
        <v>Without Amendment</v>
      </c>
      <c r="D11696" s="138" t="str">
        <f t="shared" si="1015"/>
        <v>Base_Low</v>
      </c>
      <c r="E11696" s="138" t="str">
        <f t="shared" si="1016"/>
        <v>Base</v>
      </c>
      <c r="F11696" s="138" t="str">
        <f t="shared" si="1017"/>
        <v>Upgraded</v>
      </c>
      <c r="G11696" s="153"/>
      <c r="H11696" s="210">
        <v>4.5499999999999999E-2</v>
      </c>
      <c r="I11696" s="160" t="s">
        <v>435</v>
      </c>
      <c r="J11696" s="160">
        <v>2.0500000000000002E-3</v>
      </c>
      <c r="K11696" s="160" t="s">
        <v>24</v>
      </c>
      <c r="L11696" s="154" t="str">
        <f>IF(OpenLCAbasic!K11696="CTUh", "Fill in Manually",IF(OR(K11696="Unit", K11696=""), "", INDEX(LookUps!$E$5:$E$12, MATCH(OpenLCAbasic!K11696,LookUps!$D$5:$D$12,0))))</f>
        <v>Acidification Potential (AP) - kg SO2 eq</v>
      </c>
      <c r="M11696" s="154" t="str">
        <f t="shared" si="1008"/>
        <v>Base_Base_Low_Upgraded_Acidification Potential (AP) - kg SO2 eq_Biosolids composting; aerated static pile; wastewater treatment unit; at updated plant - US_Without Amendment_Aerated Static Pile</v>
      </c>
    </row>
    <row r="11697" spans="1:13" s="120" customFormat="1" x14ac:dyDescent="0.25">
      <c r="A11697" s="119"/>
      <c r="B11697" s="138" t="str">
        <f t="shared" si="1013"/>
        <v>Aerated Static Pile</v>
      </c>
      <c r="C11697" s="138" t="str">
        <f t="shared" si="1014"/>
        <v>Without Amendment</v>
      </c>
      <c r="D11697" s="138" t="str">
        <f t="shared" si="1015"/>
        <v>Base_Low</v>
      </c>
      <c r="E11697" s="138" t="str">
        <f t="shared" si="1016"/>
        <v>Base</v>
      </c>
      <c r="F11697" s="138" t="str">
        <f t="shared" si="1017"/>
        <v>Upgraded</v>
      </c>
      <c r="G11697" s="153"/>
      <c r="H11697" s="210">
        <v>4.2900000000000001E-2</v>
      </c>
      <c r="I11697" s="160" t="s">
        <v>62</v>
      </c>
      <c r="J11697" s="160">
        <v>1.9300000000000001E-3</v>
      </c>
      <c r="K11697" s="160" t="s">
        <v>24</v>
      </c>
      <c r="L11697" s="154" t="str">
        <f>IF(OpenLCAbasic!K11697="CTUh", "Fill in Manually",IF(OR(K11697="Unit", K11697=""), "", INDEX(LookUps!$E$5:$E$12, MATCH(OpenLCAbasic!K11697,LookUps!$D$5:$D$12,0))))</f>
        <v>Acidification Potential (AP) - kg SO2 eq</v>
      </c>
      <c r="M11697" s="154" t="str">
        <f t="shared" si="1008"/>
        <v>Base_Base_Low_Upgraded_Acidification Potential (AP) - kg SO2 eq_Land application of compost; wastewater treatment unit; at updated plant - US_Without Amendment_Aerated Static Pile</v>
      </c>
    </row>
    <row r="11698" spans="1:13" s="120" customFormat="1" x14ac:dyDescent="0.25">
      <c r="A11698" s="119"/>
      <c r="B11698" s="138" t="str">
        <f t="shared" si="1013"/>
        <v>Aerated Static Pile</v>
      </c>
      <c r="C11698" s="138" t="str">
        <f t="shared" si="1014"/>
        <v>Without Amendment</v>
      </c>
      <c r="D11698" s="138" t="str">
        <f t="shared" si="1015"/>
        <v>Base_Low</v>
      </c>
      <c r="E11698" s="138" t="str">
        <f t="shared" si="1016"/>
        <v>Base</v>
      </c>
      <c r="F11698" s="138" t="str">
        <f t="shared" si="1017"/>
        <v>Upgraded</v>
      </c>
      <c r="G11698" s="153"/>
      <c r="H11698" s="210">
        <v>2.7400000000000001E-2</v>
      </c>
      <c r="I11698" s="160" t="s">
        <v>128</v>
      </c>
      <c r="J11698" s="160">
        <v>1.23E-3</v>
      </c>
      <c r="K11698" s="160" t="s">
        <v>24</v>
      </c>
      <c r="L11698" s="154" t="str">
        <f>IF(OpenLCAbasic!K11698="CTUh", "Fill in Manually",IF(OR(K11698="Unit", K11698=""), "", INDEX(LookUps!$E$5:$E$12, MATCH(OpenLCAbasic!K11698,LookUps!$D$5:$D$12,0))))</f>
        <v>Acidification Potential (AP) - kg SO2 eq</v>
      </c>
      <c r="M11698" s="154" t="str">
        <f t="shared" si="1008"/>
        <v>Base_Base_Low_Upgraded_Acidification Potential (AP) - kg SO2 eq_Wastewater collection; operation and infrastructure; m3 wastewater_Without Amendment_Aerated Static Pile</v>
      </c>
    </row>
    <row r="11699" spans="1:13" s="120" customFormat="1" x14ac:dyDescent="0.25">
      <c r="A11699" s="119"/>
      <c r="B11699" s="138" t="str">
        <f t="shared" si="1013"/>
        <v>Aerated Static Pile</v>
      </c>
      <c r="C11699" s="138" t="str">
        <f t="shared" si="1014"/>
        <v>Without Amendment</v>
      </c>
      <c r="D11699" s="138" t="str">
        <f t="shared" si="1015"/>
        <v>Base_Low</v>
      </c>
      <c r="E11699" s="138" t="str">
        <f t="shared" si="1016"/>
        <v>Base</v>
      </c>
      <c r="F11699" s="138" t="str">
        <f t="shared" si="1017"/>
        <v>Upgraded</v>
      </c>
      <c r="G11699" s="153"/>
      <c r="H11699" s="210">
        <v>1.9099999999999999E-2</v>
      </c>
      <c r="I11699" s="160" t="s">
        <v>60</v>
      </c>
      <c r="J11699" s="160">
        <v>8.5999999999999998E-4</v>
      </c>
      <c r="K11699" s="160" t="s">
        <v>24</v>
      </c>
      <c r="L11699" s="154" t="str">
        <f>IF(OpenLCAbasic!K11699="CTUh", "Fill in Manually",IF(OR(K11699="Unit", K11699=""), "", INDEX(LookUps!$E$5:$E$12, MATCH(OpenLCAbasic!K11699,LookUps!$D$5:$D$12,0))))</f>
        <v>Acidification Potential (AP) - kg SO2 eq</v>
      </c>
      <c r="M11699" s="154" t="str">
        <f t="shared" si="1008"/>
        <v>Base_Base_Low_Upgraded_Acidification Potential (AP) - kg SO2 eq_Belt filter press; wastewater treatment unit; at updated plant - US_Without Amendment_Aerated Static Pile</v>
      </c>
    </row>
    <row r="11700" spans="1:13" s="120" customFormat="1" x14ac:dyDescent="0.25">
      <c r="A11700" s="119"/>
      <c r="B11700" s="138" t="str">
        <f t="shared" si="1013"/>
        <v>Aerated Static Pile</v>
      </c>
      <c r="C11700" s="138" t="str">
        <f t="shared" si="1014"/>
        <v>Without Amendment</v>
      </c>
      <c r="D11700" s="138" t="str">
        <f t="shared" si="1015"/>
        <v>Base_Low</v>
      </c>
      <c r="E11700" s="138" t="str">
        <f t="shared" si="1016"/>
        <v>Base</v>
      </c>
      <c r="F11700" s="138" t="str">
        <f t="shared" si="1017"/>
        <v>Upgraded</v>
      </c>
      <c r="G11700" s="153"/>
      <c r="H11700" s="210">
        <v>1.5699999999999999E-2</v>
      </c>
      <c r="I11700" s="160" t="s">
        <v>57</v>
      </c>
      <c r="J11700" s="160">
        <v>6.9999999999999999E-4</v>
      </c>
      <c r="K11700" s="160" t="s">
        <v>24</v>
      </c>
      <c r="L11700" s="154" t="str">
        <f>IF(OpenLCAbasic!K11700="CTUh", "Fill in Manually",IF(OR(K11700="Unit", K11700=""), "", INDEX(LookUps!$E$5:$E$12, MATCH(OpenLCAbasic!K11700,LookUps!$D$5:$D$12,0))))</f>
        <v>Acidification Potential (AP) - kg SO2 eq</v>
      </c>
      <c r="M11700" s="154" t="str">
        <f t="shared" si="1008"/>
        <v>Base_Base_Low_Upgraded_Acidification Potential (AP) - kg SO2 eq_Gravity Belt Thickener; wastewater treatment unit; at updated plant - US_Without Amendment_Aerated Static Pile</v>
      </c>
    </row>
    <row r="11701" spans="1:13" s="120" customFormat="1" x14ac:dyDescent="0.25">
      <c r="A11701" s="119"/>
      <c r="B11701" s="138" t="str">
        <f t="shared" si="1013"/>
        <v>Aerated Static Pile</v>
      </c>
      <c r="C11701" s="138" t="str">
        <f t="shared" si="1014"/>
        <v>Without Amendment</v>
      </c>
      <c r="D11701" s="138" t="str">
        <f t="shared" si="1015"/>
        <v>Base_Low</v>
      </c>
      <c r="E11701" s="138" t="str">
        <f t="shared" si="1016"/>
        <v>Base</v>
      </c>
      <c r="F11701" s="138" t="str">
        <f t="shared" si="1017"/>
        <v>Upgraded</v>
      </c>
      <c r="G11701" s="153"/>
      <c r="H11701" s="210">
        <v>1.15E-2</v>
      </c>
      <c r="I11701" s="160" t="s">
        <v>59</v>
      </c>
      <c r="J11701" s="160">
        <v>5.1999999999999995E-4</v>
      </c>
      <c r="K11701" s="160" t="s">
        <v>24</v>
      </c>
      <c r="L11701" s="154" t="str">
        <f>IF(OpenLCAbasic!K11701="CTUh", "Fill in Manually",IF(OR(K11701="Unit", K11701=""), "", INDEX(LookUps!$E$5:$E$12, MATCH(OpenLCAbasic!K11701,LookUps!$D$5:$D$12,0))))</f>
        <v>Acidification Potential (AP) - kg SO2 eq</v>
      </c>
      <c r="M11701" s="154" t="str">
        <f t="shared" si="1008"/>
        <v>Base_Base_Low_Upgraded_Acidification Potential (AP) - kg SO2 eq_Blend Tank; wastewater treatment unit; at updated plant - US_Without Amendment_Aerated Static Pile</v>
      </c>
    </row>
    <row r="11702" spans="1:13" s="120" customFormat="1" x14ac:dyDescent="0.25">
      <c r="A11702" s="119"/>
      <c r="B11702" s="138" t="str">
        <f t="shared" si="1013"/>
        <v>Aerated Static Pile</v>
      </c>
      <c r="C11702" s="138" t="str">
        <f t="shared" si="1014"/>
        <v>Without Amendment</v>
      </c>
      <c r="D11702" s="138" t="str">
        <f t="shared" si="1015"/>
        <v>Base_Low</v>
      </c>
      <c r="E11702" s="138" t="str">
        <f t="shared" si="1016"/>
        <v>Base</v>
      </c>
      <c r="F11702" s="138" t="str">
        <f t="shared" si="1017"/>
        <v>Upgraded</v>
      </c>
      <c r="G11702" s="153"/>
      <c r="H11702" s="210">
        <v>7.7000000000000002E-3</v>
      </c>
      <c r="I11702" s="160" t="s">
        <v>48</v>
      </c>
      <c r="J11702" s="160">
        <v>3.5E-4</v>
      </c>
      <c r="K11702" s="160" t="s">
        <v>24</v>
      </c>
      <c r="L11702" s="154" t="str">
        <f>IF(OpenLCAbasic!K11702="CTUh", "Fill in Manually",IF(OR(K11702="Unit", K11702=""), "", INDEX(LookUps!$E$5:$E$12, MATCH(OpenLCAbasic!K11702,LookUps!$D$5:$D$12,0))))</f>
        <v>Acidification Potential (AP) - kg SO2 eq</v>
      </c>
      <c r="M11702" s="154" t="str">
        <f t="shared" si="1008"/>
        <v>Base_Base_Low_Upgraded_Acidification Potential (AP) - kg SO2 eq_Effluent release; wastewater treatment unit; at surface water; m3 wastewater - US_Without Amendment_Aerated Static Pile</v>
      </c>
    </row>
    <row r="11703" spans="1:13" s="120" customFormat="1" x14ac:dyDescent="0.25">
      <c r="A11703" s="119"/>
      <c r="B11703" s="138" t="str">
        <f t="shared" si="1013"/>
        <v>Aerated Static Pile</v>
      </c>
      <c r="C11703" s="138" t="str">
        <f t="shared" si="1014"/>
        <v>Without Amendment</v>
      </c>
      <c r="D11703" s="138" t="str">
        <f t="shared" si="1015"/>
        <v>Base_Low</v>
      </c>
      <c r="E11703" s="138" t="str">
        <f t="shared" si="1016"/>
        <v>Base</v>
      </c>
      <c r="F11703" s="138" t="str">
        <f t="shared" si="1017"/>
        <v>Upgraded</v>
      </c>
      <c r="G11703" s="153"/>
      <c r="H11703" s="210">
        <v>5.7000000000000002E-3</v>
      </c>
      <c r="I11703" s="160" t="s">
        <v>168</v>
      </c>
      <c r="J11703" s="160">
        <v>2.5999999999999998E-4</v>
      </c>
      <c r="K11703" s="160" t="s">
        <v>24</v>
      </c>
      <c r="L11703" s="154" t="str">
        <f>IF(OpenLCAbasic!K11703="CTUh", "Fill in Manually",IF(OR(K11703="Unit", K11703=""), "", INDEX(LookUps!$E$5:$E$12, MATCH(OpenLCAbasic!K11703,LookUps!$D$5:$D$12,0))))</f>
        <v>Acidification Potential (AP) - kg SO2 eq</v>
      </c>
      <c r="M11703" s="154" t="str">
        <f t="shared" si="1008"/>
        <v>Base_Base_Low_Upgraded_Acidification Potential (AP) - kg SO2 eq_ClearCove SCP; wastewater treatment unit; at updated plant - US_Without Amendment_Aerated Static Pile</v>
      </c>
    </row>
    <row r="11704" spans="1:13" s="120" customFormat="1" x14ac:dyDescent="0.25">
      <c r="A11704" s="119"/>
      <c r="B11704" s="138" t="str">
        <f t="shared" si="1013"/>
        <v>Aerated Static Pile</v>
      </c>
      <c r="C11704" s="138" t="str">
        <f t="shared" si="1014"/>
        <v>Without Amendment</v>
      </c>
      <c r="D11704" s="138" t="str">
        <f t="shared" si="1015"/>
        <v>Base_Low</v>
      </c>
      <c r="E11704" s="138" t="str">
        <f t="shared" si="1016"/>
        <v>Base</v>
      </c>
      <c r="F11704" s="138" t="str">
        <f t="shared" si="1017"/>
        <v>Upgraded</v>
      </c>
      <c r="G11704" s="153"/>
      <c r="H11704" s="210">
        <v>8.9999999999999998E-4</v>
      </c>
      <c r="I11704" s="160" t="s">
        <v>148</v>
      </c>
      <c r="J11704" s="211">
        <v>4.0354700000000002E-5</v>
      </c>
      <c r="K11704" s="160" t="s">
        <v>24</v>
      </c>
      <c r="L11704" s="154" t="str">
        <f>IF(OpenLCAbasic!K11704="CTUh", "Fill in Manually",IF(OR(K11704="Unit", K11704=""), "", INDEX(LookUps!$E$5:$E$12, MATCH(OpenLCAbasic!K11704,LookUps!$D$5:$D$12,0))))</f>
        <v>Acidification Potential (AP) - kg SO2 eq</v>
      </c>
      <c r="M11704" s="154" t="str">
        <f t="shared" si="1008"/>
        <v>Base_Base_Low_Upgraded_Acidification Potential (AP) - kg SO2 eq_Control Building; at upgraded wastewater treatment plant - US_Without Amendment_Aerated Static Pile</v>
      </c>
    </row>
    <row r="11705" spans="1:13" s="120" customFormat="1" x14ac:dyDescent="0.25">
      <c r="A11705" s="119"/>
      <c r="B11705" s="138" t="str">
        <f t="shared" si="1013"/>
        <v/>
      </c>
      <c r="C11705" s="138" t="str">
        <f t="shared" si="1014"/>
        <v/>
      </c>
      <c r="D11705" s="138" t="str">
        <f t="shared" si="1015"/>
        <v/>
      </c>
      <c r="E11705" s="138" t="str">
        <f t="shared" si="1016"/>
        <v/>
      </c>
      <c r="F11705" s="138" t="str">
        <f t="shared" si="1017"/>
        <v/>
      </c>
      <c r="G11705" s="153" t="s">
        <v>51</v>
      </c>
      <c r="H11705" s="160"/>
      <c r="I11705" s="160" t="s">
        <v>47</v>
      </c>
      <c r="J11705" s="160" t="s">
        <v>52</v>
      </c>
      <c r="K11705" s="160" t="s">
        <v>27</v>
      </c>
      <c r="L11705" s="154" t="str">
        <f>IF(OpenLCAbasic!K11705="CTUh", "Fill in Manually",IF(OR(K11705="Unit", K11705=""), "", INDEX(LookUps!$E$5:$E$12, MATCH(OpenLCAbasic!K11705,LookUps!$D$5:$D$12,0))))</f>
        <v/>
      </c>
      <c r="M11705" s="154" t="str">
        <f t="shared" si="1008"/>
        <v>____Process__</v>
      </c>
    </row>
    <row r="11706" spans="1:13" s="120" customFormat="1" x14ac:dyDescent="0.25">
      <c r="A11706" s="119"/>
      <c r="B11706" s="138" t="str">
        <f t="shared" si="1013"/>
        <v>Aerated Static Pile</v>
      </c>
      <c r="C11706" s="138" t="str">
        <f t="shared" si="1014"/>
        <v>Without Amendment</v>
      </c>
      <c r="D11706" s="138" t="str">
        <f t="shared" si="1015"/>
        <v>Base_Low</v>
      </c>
      <c r="E11706" s="138" t="str">
        <f t="shared" si="1016"/>
        <v>Base</v>
      </c>
      <c r="F11706" s="138" t="str">
        <f t="shared" si="1017"/>
        <v>Upgraded</v>
      </c>
      <c r="G11706" s="153"/>
      <c r="H11706" s="210">
        <v>0.23860000000000001</v>
      </c>
      <c r="I11706" s="160" t="s">
        <v>55</v>
      </c>
      <c r="J11706" s="160">
        <v>3.5330499999999998</v>
      </c>
      <c r="K11706" s="160" t="s">
        <v>15</v>
      </c>
      <c r="L11706" s="154" t="str">
        <f>IF(OpenLCAbasic!K11706="CTUh", "Fill in Manually",IF(OR(K11706="Unit", K11706=""), "", INDEX(LookUps!$E$5:$E$12, MATCH(OpenLCAbasic!K11706,LookUps!$D$5:$D$12,0))))</f>
        <v>Cumulative Energy Demand (CED) - MJ</v>
      </c>
      <c r="M11706" s="154" t="str">
        <f t="shared" si="1008"/>
        <v>Base_Base_Low_Upgraded_Cumulative Energy Demand (CED) - MJ_Aeration Tanks; wastewater treatment unit; at updated plant - US_Without Amendment_Aerated Static Pile</v>
      </c>
    </row>
    <row r="11707" spans="1:13" s="120" customFormat="1" x14ac:dyDescent="0.25">
      <c r="A11707" s="119"/>
      <c r="B11707" s="138" t="str">
        <f t="shared" si="1013"/>
        <v>Aerated Static Pile</v>
      </c>
      <c r="C11707" s="138" t="str">
        <f t="shared" si="1014"/>
        <v>Without Amendment</v>
      </c>
      <c r="D11707" s="138" t="str">
        <f t="shared" si="1015"/>
        <v>Base_Low</v>
      </c>
      <c r="E11707" s="138" t="str">
        <f t="shared" si="1016"/>
        <v>Base</v>
      </c>
      <c r="F11707" s="138" t="str">
        <f t="shared" si="1017"/>
        <v>Upgraded</v>
      </c>
      <c r="G11707" s="153"/>
      <c r="H11707" s="210">
        <v>0.23619999999999999</v>
      </c>
      <c r="I11707" s="160" t="s">
        <v>167</v>
      </c>
      <c r="J11707" s="160">
        <v>3.4982700000000002</v>
      </c>
      <c r="K11707" s="160" t="s">
        <v>15</v>
      </c>
      <c r="L11707" s="154" t="str">
        <f>IF(OpenLCAbasic!K11707="CTUh", "Fill in Manually",IF(OR(K11707="Unit", K11707=""), "", INDEX(LookUps!$E$5:$E$12, MATCH(OpenLCAbasic!K11707,LookUps!$D$5:$D$12,0))))</f>
        <v>Cumulative Energy Demand (CED) - MJ</v>
      </c>
      <c r="M11707" s="154" t="str">
        <f t="shared" si="1008"/>
        <v>Base_Base_Low_Upgraded_Cumulative Energy Demand (CED) - MJ_Waste Receiving and Holding; wastewater treatment unit; at updated plant - US_Without Amendment_Aerated Static Pile</v>
      </c>
    </row>
    <row r="11708" spans="1:13" s="120" customFormat="1" x14ac:dyDescent="0.25">
      <c r="A11708" s="119"/>
      <c r="B11708" s="138" t="str">
        <f t="shared" si="1013"/>
        <v>Aerated Static Pile</v>
      </c>
      <c r="C11708" s="138" t="str">
        <f t="shared" si="1014"/>
        <v>Without Amendment</v>
      </c>
      <c r="D11708" s="138" t="str">
        <f t="shared" si="1015"/>
        <v>Base_Low</v>
      </c>
      <c r="E11708" s="138" t="str">
        <f t="shared" si="1016"/>
        <v>Base</v>
      </c>
      <c r="F11708" s="138" t="str">
        <f t="shared" si="1017"/>
        <v>Upgraded</v>
      </c>
      <c r="G11708" s="153"/>
      <c r="H11708" s="210">
        <v>0.18459999999999999</v>
      </c>
      <c r="I11708" s="160" t="s">
        <v>149</v>
      </c>
      <c r="J11708" s="160">
        <v>2.7332200000000002</v>
      </c>
      <c r="K11708" s="160" t="s">
        <v>15</v>
      </c>
      <c r="L11708" s="154" t="str">
        <f>IF(OpenLCAbasic!K11708="CTUh", "Fill in Manually",IF(OR(K11708="Unit", K11708=""), "", INDEX(LookUps!$E$5:$E$12, MATCH(OpenLCAbasic!K11708,LookUps!$D$5:$D$12,0))))</f>
        <v>Cumulative Energy Demand (CED) - MJ</v>
      </c>
      <c r="M11708" s="154" t="str">
        <f t="shared" si="1008"/>
        <v>Base_Base_Low_Upgraded_Cumulative Energy Demand (CED) - MJ_Anaerobic Digestion; wastewater treatment unit; at updated plant - US_Without Amendment_Aerated Static Pile</v>
      </c>
    </row>
    <row r="11709" spans="1:13" s="120" customFormat="1" x14ac:dyDescent="0.25">
      <c r="A11709" s="119"/>
      <c r="B11709" s="138" t="str">
        <f t="shared" si="1013"/>
        <v>Aerated Static Pile</v>
      </c>
      <c r="C11709" s="138" t="str">
        <f t="shared" si="1014"/>
        <v>Without Amendment</v>
      </c>
      <c r="D11709" s="138" t="str">
        <f t="shared" si="1015"/>
        <v>Base_Low</v>
      </c>
      <c r="E11709" s="138" t="str">
        <f t="shared" si="1016"/>
        <v>Base</v>
      </c>
      <c r="F11709" s="138" t="str">
        <f t="shared" si="1017"/>
        <v>Upgraded</v>
      </c>
      <c r="G11709" s="153"/>
      <c r="H11709" s="210">
        <v>7.85E-2</v>
      </c>
      <c r="I11709" s="160" t="s">
        <v>54</v>
      </c>
      <c r="J11709" s="160">
        <v>1.16289</v>
      </c>
      <c r="K11709" s="160" t="s">
        <v>15</v>
      </c>
      <c r="L11709" s="154" t="str">
        <f>IF(OpenLCAbasic!K11709="CTUh", "Fill in Manually",IF(OR(K11709="Unit", K11709=""), "", INDEX(LookUps!$E$5:$E$12, MATCH(OpenLCAbasic!K11709,LookUps!$D$5:$D$12,0))))</f>
        <v>Cumulative Energy Demand (CED) - MJ</v>
      </c>
      <c r="M11709" s="154" t="str">
        <f t="shared" si="1008"/>
        <v>Base_Base_Low_Upgraded_Cumulative Energy Demand (CED) - MJ_Clear Cove Primary Clarification; wastewater treatment unit; at updated plant - US_Without Amendment_Aerated Static Pile</v>
      </c>
    </row>
    <row r="11710" spans="1:13" s="120" customFormat="1" x14ac:dyDescent="0.25">
      <c r="A11710" s="119"/>
      <c r="B11710" s="138" t="str">
        <f t="shared" si="1013"/>
        <v>Aerated Static Pile</v>
      </c>
      <c r="C11710" s="138" t="str">
        <f t="shared" si="1014"/>
        <v>Without Amendment</v>
      </c>
      <c r="D11710" s="138" t="str">
        <f t="shared" si="1015"/>
        <v>Base_Low</v>
      </c>
      <c r="E11710" s="138" t="str">
        <f t="shared" si="1016"/>
        <v>Base</v>
      </c>
      <c r="F11710" s="138" t="str">
        <f t="shared" si="1017"/>
        <v>Upgraded</v>
      </c>
      <c r="G11710" s="153"/>
      <c r="H11710" s="210">
        <v>5.9700000000000003E-2</v>
      </c>
      <c r="I11710" s="160" t="s">
        <v>58</v>
      </c>
      <c r="J11710" s="160">
        <v>0.88417000000000001</v>
      </c>
      <c r="K11710" s="160" t="s">
        <v>15</v>
      </c>
      <c r="L11710" s="154" t="str">
        <f>IF(OpenLCAbasic!K11710="CTUh", "Fill in Manually",IF(OR(K11710="Unit", K11710=""), "", INDEX(LookUps!$E$5:$E$12, MATCH(OpenLCAbasic!K11710,LookUps!$D$5:$D$12,0))))</f>
        <v>Cumulative Energy Demand (CED) - MJ</v>
      </c>
      <c r="M11710" s="154" t="str">
        <f t="shared" si="1008"/>
        <v>Base_Base_Low_Upgraded_Cumulative Energy Demand (CED) - MJ_Pre-Anoxic &amp; Swing tank; wastewater treatment unit; at updated plant - US_Without Amendment_Aerated Static Pile</v>
      </c>
    </row>
    <row r="11711" spans="1:13" s="120" customFormat="1" x14ac:dyDescent="0.25">
      <c r="A11711" s="119"/>
      <c r="B11711" s="138" t="str">
        <f t="shared" si="1013"/>
        <v>Aerated Static Pile</v>
      </c>
      <c r="C11711" s="138" t="str">
        <f t="shared" si="1014"/>
        <v>Without Amendment</v>
      </c>
      <c r="D11711" s="138" t="str">
        <f t="shared" si="1015"/>
        <v>Base_Low</v>
      </c>
      <c r="E11711" s="138" t="str">
        <f t="shared" si="1016"/>
        <v>Base</v>
      </c>
      <c r="F11711" s="138" t="str">
        <f t="shared" si="1017"/>
        <v>Upgraded</v>
      </c>
      <c r="G11711" s="153"/>
      <c r="H11711" s="210">
        <v>5.96E-2</v>
      </c>
      <c r="I11711" s="160" t="s">
        <v>147</v>
      </c>
      <c r="J11711" s="160">
        <v>0.88297000000000003</v>
      </c>
      <c r="K11711" s="160" t="s">
        <v>15</v>
      </c>
      <c r="L11711" s="154" t="str">
        <f>IF(OpenLCAbasic!K11711="CTUh", "Fill in Manually",IF(OR(K11711="Unit", K11711=""), "", INDEX(LookUps!$E$5:$E$12, MATCH(OpenLCAbasic!K11711,LookUps!$D$5:$D$12,0))))</f>
        <v>Cumulative Energy Demand (CED) - MJ</v>
      </c>
      <c r="M11711" s="154" t="str">
        <f t="shared" si="1008"/>
        <v>Base_Base_Low_Upgraded_Cumulative Energy Demand (CED) - MJ_Influent Pump Station; wastewater treatment unit; at updated plant - US_Without Amendment_Aerated Static Pile</v>
      </c>
    </row>
    <row r="11712" spans="1:13" s="120" customFormat="1" x14ac:dyDescent="0.25">
      <c r="A11712" s="119"/>
      <c r="B11712" s="138" t="str">
        <f t="shared" si="1013"/>
        <v>Aerated Static Pile</v>
      </c>
      <c r="C11712" s="138" t="str">
        <f t="shared" si="1014"/>
        <v>Without Amendment</v>
      </c>
      <c r="D11712" s="138" t="str">
        <f t="shared" si="1015"/>
        <v>Base_Low</v>
      </c>
      <c r="E11712" s="138" t="str">
        <f t="shared" si="1016"/>
        <v>Base</v>
      </c>
      <c r="F11712" s="138" t="str">
        <f t="shared" si="1017"/>
        <v>Upgraded</v>
      </c>
      <c r="G11712" s="153"/>
      <c r="H11712" s="210">
        <v>4.7E-2</v>
      </c>
      <c r="I11712" s="160" t="s">
        <v>53</v>
      </c>
      <c r="J11712" s="160">
        <v>0.69645000000000001</v>
      </c>
      <c r="K11712" s="160" t="s">
        <v>15</v>
      </c>
      <c r="L11712" s="154" t="str">
        <f>IF(OpenLCAbasic!K11712="CTUh", "Fill in Manually",IF(OR(K11712="Unit", K11712=""), "", INDEX(LookUps!$E$5:$E$12, MATCH(OpenLCAbasic!K11712,LookUps!$D$5:$D$12,0))))</f>
        <v>Cumulative Energy Demand (CED) - MJ</v>
      </c>
      <c r="M11712" s="154" t="str">
        <f t="shared" si="1008"/>
        <v>Base_Base_Low_Upgraded_Cumulative Energy Demand (CED) - MJ_Wet Well and Sump Station; wastewater treatment unit; at updated plant - US_Without Amendment_Aerated Static Pile</v>
      </c>
    </row>
    <row r="11713" spans="1:13" s="120" customFormat="1" x14ac:dyDescent="0.25">
      <c r="A11713" s="119"/>
      <c r="B11713" s="138" t="str">
        <f t="shared" si="1013"/>
        <v>Aerated Static Pile</v>
      </c>
      <c r="C11713" s="138" t="str">
        <f t="shared" si="1014"/>
        <v>Without Amendment</v>
      </c>
      <c r="D11713" s="138" t="str">
        <f t="shared" si="1015"/>
        <v>Base_Low</v>
      </c>
      <c r="E11713" s="138" t="str">
        <f t="shared" si="1016"/>
        <v>Base</v>
      </c>
      <c r="F11713" s="138" t="str">
        <f t="shared" si="1017"/>
        <v>Upgraded</v>
      </c>
      <c r="G11713" s="153"/>
      <c r="H11713" s="210">
        <v>2.6100000000000002E-2</v>
      </c>
      <c r="I11713" s="160" t="s">
        <v>435</v>
      </c>
      <c r="J11713" s="160">
        <v>0.38619999999999999</v>
      </c>
      <c r="K11713" s="160" t="s">
        <v>15</v>
      </c>
      <c r="L11713" s="154" t="str">
        <f>IF(OpenLCAbasic!K11713="CTUh", "Fill in Manually",IF(OR(K11713="Unit", K11713=""), "", INDEX(LookUps!$E$5:$E$12, MATCH(OpenLCAbasic!K11713,LookUps!$D$5:$D$12,0))))</f>
        <v>Cumulative Energy Demand (CED) - MJ</v>
      </c>
      <c r="M11713" s="154" t="str">
        <f t="shared" si="1008"/>
        <v>Base_Base_Low_Upgraded_Cumulative Energy Demand (CED) - MJ_Biosolids composting; aerated static pile; wastewater treatment unit; at updated plant - US_Without Amendment_Aerated Static Pile</v>
      </c>
    </row>
    <row r="11714" spans="1:13" s="120" customFormat="1" x14ac:dyDescent="0.25">
      <c r="A11714" s="119"/>
      <c r="B11714" s="138" t="str">
        <f t="shared" si="1013"/>
        <v>Aerated Static Pile</v>
      </c>
      <c r="C11714" s="138" t="str">
        <f t="shared" si="1014"/>
        <v>Without Amendment</v>
      </c>
      <c r="D11714" s="138" t="str">
        <f t="shared" si="1015"/>
        <v>Base_Low</v>
      </c>
      <c r="E11714" s="138" t="str">
        <f t="shared" si="1016"/>
        <v>Base</v>
      </c>
      <c r="F11714" s="138" t="str">
        <f t="shared" si="1017"/>
        <v>Upgraded</v>
      </c>
      <c r="G11714" s="153"/>
      <c r="H11714" s="210">
        <v>2.2599999999999999E-2</v>
      </c>
      <c r="I11714" s="160" t="s">
        <v>57</v>
      </c>
      <c r="J11714" s="160">
        <v>0.33404</v>
      </c>
      <c r="K11714" s="160" t="s">
        <v>15</v>
      </c>
      <c r="L11714" s="154" t="str">
        <f>IF(OpenLCAbasic!K11714="CTUh", "Fill in Manually",IF(OR(K11714="Unit", K11714=""), "", INDEX(LookUps!$E$5:$E$12, MATCH(OpenLCAbasic!K11714,LookUps!$D$5:$D$12,0))))</f>
        <v>Cumulative Energy Demand (CED) - MJ</v>
      </c>
      <c r="M11714" s="154" t="str">
        <f t="shared" si="1008"/>
        <v>Base_Base_Low_Upgraded_Cumulative Energy Demand (CED) - MJ_Gravity Belt Thickener; wastewater treatment unit; at updated plant - US_Without Amendment_Aerated Static Pile</v>
      </c>
    </row>
    <row r="11715" spans="1:13" s="120" customFormat="1" x14ac:dyDescent="0.25">
      <c r="A11715" s="119"/>
      <c r="B11715" s="138" t="str">
        <f t="shared" si="1013"/>
        <v>Aerated Static Pile</v>
      </c>
      <c r="C11715" s="138" t="str">
        <f t="shared" si="1014"/>
        <v>Without Amendment</v>
      </c>
      <c r="D11715" s="138" t="str">
        <f t="shared" si="1015"/>
        <v>Base_Low</v>
      </c>
      <c r="E11715" s="138" t="str">
        <f t="shared" si="1016"/>
        <v>Base</v>
      </c>
      <c r="F11715" s="138" t="str">
        <f t="shared" si="1017"/>
        <v>Upgraded</v>
      </c>
      <c r="G11715" s="153"/>
      <c r="H11715" s="210">
        <v>2.1600000000000001E-2</v>
      </c>
      <c r="I11715" s="160" t="s">
        <v>60</v>
      </c>
      <c r="J11715" s="160">
        <v>0.32008999999999999</v>
      </c>
      <c r="K11715" s="160" t="s">
        <v>15</v>
      </c>
      <c r="L11715" s="154" t="str">
        <f>IF(OpenLCAbasic!K11715="CTUh", "Fill in Manually",IF(OR(K11715="Unit", K11715=""), "", INDEX(LookUps!$E$5:$E$12, MATCH(OpenLCAbasic!K11715,LookUps!$D$5:$D$12,0))))</f>
        <v>Cumulative Energy Demand (CED) - MJ</v>
      </c>
      <c r="M11715" s="154" t="str">
        <f t="shared" si="1008"/>
        <v>Base_Base_Low_Upgraded_Cumulative Energy Demand (CED) - MJ_Belt filter press; wastewater treatment unit; at updated plant - US_Without Amendment_Aerated Static Pile</v>
      </c>
    </row>
    <row r="11716" spans="1:13" s="120" customFormat="1" x14ac:dyDescent="0.25">
      <c r="A11716" s="119"/>
      <c r="B11716" s="138" t="str">
        <f t="shared" si="1013"/>
        <v>Aerated Static Pile</v>
      </c>
      <c r="C11716" s="138" t="str">
        <f t="shared" si="1014"/>
        <v>Without Amendment</v>
      </c>
      <c r="D11716" s="138" t="str">
        <f t="shared" si="1015"/>
        <v>Base_Low</v>
      </c>
      <c r="E11716" s="138" t="str">
        <f t="shared" si="1016"/>
        <v>Base</v>
      </c>
      <c r="F11716" s="138" t="str">
        <f t="shared" si="1017"/>
        <v>Upgraded</v>
      </c>
      <c r="G11716" s="153"/>
      <c r="H11716" s="210">
        <v>1.7299999999999999E-2</v>
      </c>
      <c r="I11716" s="160" t="s">
        <v>128</v>
      </c>
      <c r="J11716" s="160">
        <v>0.25606000000000001</v>
      </c>
      <c r="K11716" s="160" t="s">
        <v>15</v>
      </c>
      <c r="L11716" s="154" t="str">
        <f>IF(OpenLCAbasic!K11716="CTUh", "Fill in Manually",IF(OR(K11716="Unit", K11716=""), "", INDEX(LookUps!$E$5:$E$12, MATCH(OpenLCAbasic!K11716,LookUps!$D$5:$D$12,0))))</f>
        <v>Cumulative Energy Demand (CED) - MJ</v>
      </c>
      <c r="M11716" s="154" t="str">
        <f t="shared" ref="M11716:M11779" si="1018">CONCATENATE(E11716,"_",D11716,"_",F11716,"_",L11716, "_",I11716,"_", C11716,"_", B11716)</f>
        <v>Base_Base_Low_Upgraded_Cumulative Energy Demand (CED) - MJ_Wastewater collection; operation and infrastructure; m3 wastewater_Without Amendment_Aerated Static Pile</v>
      </c>
    </row>
    <row r="11717" spans="1:13" s="120" customFormat="1" x14ac:dyDescent="0.25">
      <c r="A11717" s="119"/>
      <c r="B11717" s="138" t="str">
        <f t="shared" si="1013"/>
        <v>Aerated Static Pile</v>
      </c>
      <c r="C11717" s="138" t="str">
        <f t="shared" si="1014"/>
        <v>Without Amendment</v>
      </c>
      <c r="D11717" s="138" t="str">
        <f t="shared" si="1015"/>
        <v>Base_Low</v>
      </c>
      <c r="E11717" s="138" t="str">
        <f t="shared" si="1016"/>
        <v>Base</v>
      </c>
      <c r="F11717" s="138" t="str">
        <f t="shared" si="1017"/>
        <v>Upgraded</v>
      </c>
      <c r="G11717" s="153"/>
      <c r="H11717" s="210">
        <v>9.9000000000000008E-3</v>
      </c>
      <c r="I11717" s="160" t="s">
        <v>148</v>
      </c>
      <c r="J11717" s="160">
        <v>0.14599000000000001</v>
      </c>
      <c r="K11717" s="160" t="s">
        <v>15</v>
      </c>
      <c r="L11717" s="154" t="str">
        <f>IF(OpenLCAbasic!K11717="CTUh", "Fill in Manually",IF(OR(K11717="Unit", K11717=""), "", INDEX(LookUps!$E$5:$E$12, MATCH(OpenLCAbasic!K11717,LookUps!$D$5:$D$12,0))))</f>
        <v>Cumulative Energy Demand (CED) - MJ</v>
      </c>
      <c r="M11717" s="154" t="str">
        <f t="shared" si="1018"/>
        <v>Base_Base_Low_Upgraded_Cumulative Energy Demand (CED) - MJ_Control Building; at upgraded wastewater treatment plant - US_Without Amendment_Aerated Static Pile</v>
      </c>
    </row>
    <row r="11718" spans="1:13" s="120" customFormat="1" x14ac:dyDescent="0.25">
      <c r="A11718" s="119"/>
      <c r="B11718" s="138" t="str">
        <f t="shared" si="1013"/>
        <v>Aerated Static Pile</v>
      </c>
      <c r="C11718" s="138" t="str">
        <f t="shared" si="1014"/>
        <v>Without Amendment</v>
      </c>
      <c r="D11718" s="138" t="str">
        <f t="shared" si="1015"/>
        <v>Base_Low</v>
      </c>
      <c r="E11718" s="138" t="str">
        <f t="shared" si="1016"/>
        <v>Base</v>
      </c>
      <c r="F11718" s="138" t="str">
        <f t="shared" si="1017"/>
        <v>Upgraded</v>
      </c>
      <c r="G11718" s="153"/>
      <c r="H11718" s="210">
        <v>8.9999999999999993E-3</v>
      </c>
      <c r="I11718" s="160" t="s">
        <v>48</v>
      </c>
      <c r="J11718" s="160">
        <v>0.13321</v>
      </c>
      <c r="K11718" s="160" t="s">
        <v>15</v>
      </c>
      <c r="L11718" s="154" t="str">
        <f>IF(OpenLCAbasic!K11718="CTUh", "Fill in Manually",IF(OR(K11718="Unit", K11718=""), "", INDEX(LookUps!$E$5:$E$12, MATCH(OpenLCAbasic!K11718,LookUps!$D$5:$D$12,0))))</f>
        <v>Cumulative Energy Demand (CED) - MJ</v>
      </c>
      <c r="M11718" s="154" t="str">
        <f t="shared" si="1018"/>
        <v>Base_Base_Low_Upgraded_Cumulative Energy Demand (CED) - MJ_Effluent release; wastewater treatment unit; at surface water; m3 wastewater - US_Without Amendment_Aerated Static Pile</v>
      </c>
    </row>
    <row r="11719" spans="1:13" s="120" customFormat="1" x14ac:dyDescent="0.25">
      <c r="A11719" s="119"/>
      <c r="B11719" s="138" t="str">
        <f t="shared" si="1013"/>
        <v>Aerated Static Pile</v>
      </c>
      <c r="C11719" s="138" t="str">
        <f t="shared" si="1014"/>
        <v>Without Amendment</v>
      </c>
      <c r="D11719" s="138" t="str">
        <f t="shared" si="1015"/>
        <v>Base_Low</v>
      </c>
      <c r="E11719" s="138" t="str">
        <f t="shared" si="1016"/>
        <v>Base</v>
      </c>
      <c r="F11719" s="138" t="str">
        <f t="shared" si="1017"/>
        <v>Upgraded</v>
      </c>
      <c r="G11719" s="153"/>
      <c r="H11719" s="210">
        <v>7.1999999999999998E-3</v>
      </c>
      <c r="I11719" s="160" t="s">
        <v>59</v>
      </c>
      <c r="J11719" s="160">
        <v>0.10638</v>
      </c>
      <c r="K11719" s="160" t="s">
        <v>15</v>
      </c>
      <c r="L11719" s="154" t="str">
        <f>IF(OpenLCAbasic!K11719="CTUh", "Fill in Manually",IF(OR(K11719="Unit", K11719=""), "", INDEX(LookUps!$E$5:$E$12, MATCH(OpenLCAbasic!K11719,LookUps!$D$5:$D$12,0))))</f>
        <v>Cumulative Energy Demand (CED) - MJ</v>
      </c>
      <c r="M11719" s="154" t="str">
        <f t="shared" si="1018"/>
        <v>Base_Base_Low_Upgraded_Cumulative Energy Demand (CED) - MJ_Blend Tank; wastewater treatment unit; at updated plant - US_Without Amendment_Aerated Static Pile</v>
      </c>
    </row>
    <row r="11720" spans="1:13" s="120" customFormat="1" x14ac:dyDescent="0.25">
      <c r="A11720" s="119"/>
      <c r="B11720" s="138" t="str">
        <f t="shared" si="1013"/>
        <v>Aerated Static Pile</v>
      </c>
      <c r="C11720" s="138" t="str">
        <f t="shared" si="1014"/>
        <v>Without Amendment</v>
      </c>
      <c r="D11720" s="138" t="str">
        <f t="shared" si="1015"/>
        <v>Base_Low</v>
      </c>
      <c r="E11720" s="138" t="str">
        <f t="shared" si="1016"/>
        <v>Base</v>
      </c>
      <c r="F11720" s="138" t="str">
        <f t="shared" si="1017"/>
        <v>Upgraded</v>
      </c>
      <c r="G11720" s="153"/>
      <c r="H11720" s="210">
        <v>3.3999999999999998E-3</v>
      </c>
      <c r="I11720" s="160" t="s">
        <v>168</v>
      </c>
      <c r="J11720" s="160">
        <v>5.0930000000000003E-2</v>
      </c>
      <c r="K11720" s="160" t="s">
        <v>15</v>
      </c>
      <c r="L11720" s="154" t="str">
        <f>IF(OpenLCAbasic!K11720="CTUh", "Fill in Manually",IF(OR(K11720="Unit", K11720=""), "", INDEX(LookUps!$E$5:$E$12, MATCH(OpenLCAbasic!K11720,LookUps!$D$5:$D$12,0))))</f>
        <v>Cumulative Energy Demand (CED) - MJ</v>
      </c>
      <c r="M11720" s="154" t="str">
        <f t="shared" si="1018"/>
        <v>Base_Base_Low_Upgraded_Cumulative Energy Demand (CED) - MJ_ClearCove SCP; wastewater treatment unit; at updated plant - US_Without Amendment_Aerated Static Pile</v>
      </c>
    </row>
    <row r="11721" spans="1:13" s="120" customFormat="1" x14ac:dyDescent="0.25">
      <c r="A11721" s="119"/>
      <c r="B11721" s="138" t="str">
        <f t="shared" si="1013"/>
        <v>Aerated Static Pile</v>
      </c>
      <c r="C11721" s="138" t="str">
        <f t="shared" si="1014"/>
        <v>Without Amendment</v>
      </c>
      <c r="D11721" s="138" t="str">
        <f t="shared" si="1015"/>
        <v>Base_Low</v>
      </c>
      <c r="E11721" s="138" t="str">
        <f t="shared" si="1016"/>
        <v>Base</v>
      </c>
      <c r="F11721" s="138" t="str">
        <f t="shared" si="1017"/>
        <v>Upgraded</v>
      </c>
      <c r="G11721" s="153"/>
      <c r="H11721" s="210">
        <v>-2.12E-2</v>
      </c>
      <c r="I11721" s="160" t="s">
        <v>62</v>
      </c>
      <c r="J11721" s="160">
        <v>-0.31424999999999997</v>
      </c>
      <c r="K11721" s="160" t="s">
        <v>15</v>
      </c>
      <c r="L11721" s="154" t="str">
        <f>IF(OpenLCAbasic!K11721="CTUh", "Fill in Manually",IF(OR(K11721="Unit", K11721=""), "", INDEX(LookUps!$E$5:$E$12, MATCH(OpenLCAbasic!K11721,LookUps!$D$5:$D$12,0))))</f>
        <v>Cumulative Energy Demand (CED) - MJ</v>
      </c>
      <c r="M11721" s="154" t="str">
        <f t="shared" si="1018"/>
        <v>Base_Base_Low_Upgraded_Cumulative Energy Demand (CED) - MJ_Land application of compost; wastewater treatment unit; at updated plant - US_Without Amendment_Aerated Static Pile</v>
      </c>
    </row>
    <row r="11722" spans="1:13" s="120" customFormat="1" x14ac:dyDescent="0.25">
      <c r="A11722" s="119"/>
      <c r="B11722" s="138" t="str">
        <f t="shared" si="1013"/>
        <v/>
      </c>
      <c r="C11722" s="138" t="str">
        <f t="shared" si="1014"/>
        <v/>
      </c>
      <c r="D11722" s="138" t="str">
        <f t="shared" si="1015"/>
        <v/>
      </c>
      <c r="E11722" s="138" t="str">
        <f t="shared" si="1016"/>
        <v/>
      </c>
      <c r="F11722" s="138" t="str">
        <f t="shared" si="1017"/>
        <v/>
      </c>
      <c r="G11722" s="153" t="s">
        <v>51</v>
      </c>
      <c r="H11722" s="160"/>
      <c r="I11722" s="160" t="s">
        <v>47</v>
      </c>
      <c r="J11722" s="160" t="s">
        <v>52</v>
      </c>
      <c r="K11722" s="160" t="s">
        <v>27</v>
      </c>
      <c r="L11722" s="154" t="str">
        <f>IF(OpenLCAbasic!K11722="CTUh", "Fill in Manually",IF(OR(K11722="Unit", K11722=""), "", INDEX(LookUps!$E$5:$E$12, MATCH(OpenLCAbasic!K11722,LookUps!$D$5:$D$12,0))))</f>
        <v/>
      </c>
      <c r="M11722" s="154" t="str">
        <f t="shared" si="1018"/>
        <v>____Process__</v>
      </c>
    </row>
    <row r="11723" spans="1:13" s="120" customFormat="1" x14ac:dyDescent="0.25">
      <c r="A11723" s="119"/>
      <c r="B11723" s="138" t="str">
        <f t="shared" si="1013"/>
        <v>Aerated Static Pile</v>
      </c>
      <c r="C11723" s="138" t="str">
        <f t="shared" si="1014"/>
        <v>Without Amendment</v>
      </c>
      <c r="D11723" s="138" t="str">
        <f t="shared" si="1015"/>
        <v>Base_Low</v>
      </c>
      <c r="E11723" s="138" t="str">
        <f t="shared" si="1016"/>
        <v>Base</v>
      </c>
      <c r="F11723" s="138" t="str">
        <f t="shared" si="1017"/>
        <v>Upgraded</v>
      </c>
      <c r="G11723" s="153"/>
      <c r="H11723" s="210">
        <v>0.78339999999999999</v>
      </c>
      <c r="I11723" s="160" t="s">
        <v>48</v>
      </c>
      <c r="J11723" s="160">
        <v>1.1610000000000001E-2</v>
      </c>
      <c r="K11723" s="160" t="s">
        <v>13</v>
      </c>
      <c r="L11723" s="154" t="str">
        <f>IF(OpenLCAbasic!K11723="CTUh", "Fill in Manually",IF(OR(K11723="Unit", K11723=""), "", INDEX(LookUps!$E$5:$E$12, MATCH(OpenLCAbasic!K11723,LookUps!$D$5:$D$12,0))))</f>
        <v>Eutrophication Potential (EP) - kg N eq</v>
      </c>
      <c r="M11723" s="154" t="str">
        <f t="shared" si="1018"/>
        <v>Base_Base_Low_Upgraded_Eutrophication Potential (EP) - kg N eq_Effluent release; wastewater treatment unit; at surface water; m3 wastewater - US_Without Amendment_Aerated Static Pile</v>
      </c>
    </row>
    <row r="11724" spans="1:13" s="120" customFormat="1" x14ac:dyDescent="0.25">
      <c r="A11724" s="119"/>
      <c r="B11724" s="138" t="str">
        <f t="shared" si="1013"/>
        <v>Aerated Static Pile</v>
      </c>
      <c r="C11724" s="138" t="str">
        <f t="shared" si="1014"/>
        <v>Without Amendment</v>
      </c>
      <c r="D11724" s="138" t="str">
        <f t="shared" si="1015"/>
        <v>Base_Low</v>
      </c>
      <c r="E11724" s="138" t="str">
        <f t="shared" si="1016"/>
        <v>Base</v>
      </c>
      <c r="F11724" s="138" t="str">
        <f t="shared" si="1017"/>
        <v>Upgraded</v>
      </c>
      <c r="G11724" s="153"/>
      <c r="H11724" s="210">
        <v>9.6699999999999994E-2</v>
      </c>
      <c r="I11724" s="160" t="s">
        <v>62</v>
      </c>
      <c r="J11724" s="160">
        <v>1.4300000000000001E-3</v>
      </c>
      <c r="K11724" s="160" t="s">
        <v>13</v>
      </c>
      <c r="L11724" s="154" t="str">
        <f>IF(OpenLCAbasic!K11724="CTUh", "Fill in Manually",IF(OR(K11724="Unit", K11724=""), "", INDEX(LookUps!$E$5:$E$12, MATCH(OpenLCAbasic!K11724,LookUps!$D$5:$D$12,0))))</f>
        <v>Eutrophication Potential (EP) - kg N eq</v>
      </c>
      <c r="M11724" s="154" t="str">
        <f t="shared" si="1018"/>
        <v>Base_Base_Low_Upgraded_Eutrophication Potential (EP) - kg N eq_Land application of compost; wastewater treatment unit; at updated plant - US_Without Amendment_Aerated Static Pile</v>
      </c>
    </row>
    <row r="11725" spans="1:13" s="120" customFormat="1" x14ac:dyDescent="0.25">
      <c r="A11725" s="119"/>
      <c r="B11725" s="138" t="str">
        <f t="shared" si="1013"/>
        <v>Aerated Static Pile</v>
      </c>
      <c r="C11725" s="138" t="str">
        <f t="shared" si="1014"/>
        <v>Without Amendment</v>
      </c>
      <c r="D11725" s="138" t="str">
        <f t="shared" si="1015"/>
        <v>Base_Low</v>
      </c>
      <c r="E11725" s="138" t="str">
        <f t="shared" si="1016"/>
        <v>Base</v>
      </c>
      <c r="F11725" s="138" t="str">
        <f t="shared" si="1017"/>
        <v>Upgraded</v>
      </c>
      <c r="G11725" s="153"/>
      <c r="H11725" s="210">
        <v>3.6900000000000002E-2</v>
      </c>
      <c r="I11725" s="160" t="s">
        <v>55</v>
      </c>
      <c r="J11725" s="160">
        <v>5.5000000000000003E-4</v>
      </c>
      <c r="K11725" s="160" t="s">
        <v>13</v>
      </c>
      <c r="L11725" s="154" t="str">
        <f>IF(OpenLCAbasic!K11725="CTUh", "Fill in Manually",IF(OR(K11725="Unit", K11725=""), "", INDEX(LookUps!$E$5:$E$12, MATCH(OpenLCAbasic!K11725,LookUps!$D$5:$D$12,0))))</f>
        <v>Eutrophication Potential (EP) - kg N eq</v>
      </c>
      <c r="M11725" s="154" t="str">
        <f t="shared" si="1018"/>
        <v>Base_Base_Low_Upgraded_Eutrophication Potential (EP) - kg N eq_Aeration Tanks; wastewater treatment unit; at updated plant - US_Without Amendment_Aerated Static Pile</v>
      </c>
    </row>
    <row r="11726" spans="1:13" s="120" customFormat="1" x14ac:dyDescent="0.25">
      <c r="A11726" s="119"/>
      <c r="B11726" s="138" t="str">
        <f t="shared" si="1013"/>
        <v>Aerated Static Pile</v>
      </c>
      <c r="C11726" s="138" t="str">
        <f t="shared" si="1014"/>
        <v>Without Amendment</v>
      </c>
      <c r="D11726" s="138" t="str">
        <f t="shared" si="1015"/>
        <v>Base_Low</v>
      </c>
      <c r="E11726" s="138" t="str">
        <f t="shared" si="1016"/>
        <v>Base</v>
      </c>
      <c r="F11726" s="138" t="str">
        <f t="shared" si="1017"/>
        <v>Upgraded</v>
      </c>
      <c r="G11726" s="153"/>
      <c r="H11726" s="210">
        <v>1.6799999999999999E-2</v>
      </c>
      <c r="I11726" s="160" t="s">
        <v>147</v>
      </c>
      <c r="J11726" s="160">
        <v>2.5000000000000001E-4</v>
      </c>
      <c r="K11726" s="160" t="s">
        <v>13</v>
      </c>
      <c r="L11726" s="154" t="str">
        <f>IF(OpenLCAbasic!K11726="CTUh", "Fill in Manually",IF(OR(K11726="Unit", K11726=""), "", INDEX(LookUps!$E$5:$E$12, MATCH(OpenLCAbasic!K11726,LookUps!$D$5:$D$12,0))))</f>
        <v>Eutrophication Potential (EP) - kg N eq</v>
      </c>
      <c r="M11726" s="154" t="str">
        <f t="shared" si="1018"/>
        <v>Base_Base_Low_Upgraded_Eutrophication Potential (EP) - kg N eq_Influent Pump Station; wastewater treatment unit; at updated plant - US_Without Amendment_Aerated Static Pile</v>
      </c>
    </row>
    <row r="11727" spans="1:13" s="120" customFormat="1" x14ac:dyDescent="0.25">
      <c r="A11727" s="119"/>
      <c r="B11727" s="138" t="str">
        <f t="shared" si="1013"/>
        <v>Aerated Static Pile</v>
      </c>
      <c r="C11727" s="138" t="str">
        <f t="shared" si="1014"/>
        <v>Without Amendment</v>
      </c>
      <c r="D11727" s="138" t="str">
        <f t="shared" si="1015"/>
        <v>Base_Low</v>
      </c>
      <c r="E11727" s="138" t="str">
        <f t="shared" si="1016"/>
        <v>Base</v>
      </c>
      <c r="F11727" s="138" t="str">
        <f t="shared" si="1017"/>
        <v>Upgraded</v>
      </c>
      <c r="G11727" s="153"/>
      <c r="H11727" s="210">
        <v>1.34E-2</v>
      </c>
      <c r="I11727" s="160" t="s">
        <v>54</v>
      </c>
      <c r="J11727" s="160">
        <v>2.0000000000000001E-4</v>
      </c>
      <c r="K11727" s="160" t="s">
        <v>13</v>
      </c>
      <c r="L11727" s="154" t="str">
        <f>IF(OpenLCAbasic!K11727="CTUh", "Fill in Manually",IF(OR(K11727="Unit", K11727=""), "", INDEX(LookUps!$E$5:$E$12, MATCH(OpenLCAbasic!K11727,LookUps!$D$5:$D$12,0))))</f>
        <v>Eutrophication Potential (EP) - kg N eq</v>
      </c>
      <c r="M11727" s="154" t="str">
        <f t="shared" si="1018"/>
        <v>Base_Base_Low_Upgraded_Eutrophication Potential (EP) - kg N eq_Clear Cove Primary Clarification; wastewater treatment unit; at updated plant - US_Without Amendment_Aerated Static Pile</v>
      </c>
    </row>
    <row r="11728" spans="1:13" s="120" customFormat="1" x14ac:dyDescent="0.25">
      <c r="A11728" s="119"/>
      <c r="B11728" s="138" t="str">
        <f t="shared" si="1013"/>
        <v>Aerated Static Pile</v>
      </c>
      <c r="C11728" s="138" t="str">
        <f t="shared" si="1014"/>
        <v>Without Amendment</v>
      </c>
      <c r="D11728" s="138" t="str">
        <f t="shared" si="1015"/>
        <v>Base_Low</v>
      </c>
      <c r="E11728" s="138" t="str">
        <f t="shared" si="1016"/>
        <v>Base</v>
      </c>
      <c r="F11728" s="138" t="str">
        <f t="shared" si="1017"/>
        <v>Upgraded</v>
      </c>
      <c r="G11728" s="153"/>
      <c r="H11728" s="210">
        <v>1.11E-2</v>
      </c>
      <c r="I11728" s="160" t="s">
        <v>167</v>
      </c>
      <c r="J11728" s="160">
        <v>1.6000000000000001E-4</v>
      </c>
      <c r="K11728" s="160" t="s">
        <v>13</v>
      </c>
      <c r="L11728" s="154" t="str">
        <f>IF(OpenLCAbasic!K11728="CTUh", "Fill in Manually",IF(OR(K11728="Unit", K11728=""), "", INDEX(LookUps!$E$5:$E$12, MATCH(OpenLCAbasic!K11728,LookUps!$D$5:$D$12,0))))</f>
        <v>Eutrophication Potential (EP) - kg N eq</v>
      </c>
      <c r="M11728" s="154" t="str">
        <f t="shared" si="1018"/>
        <v>Base_Base_Low_Upgraded_Eutrophication Potential (EP) - kg N eq_Waste Receiving and Holding; wastewater treatment unit; at updated plant - US_Without Amendment_Aerated Static Pile</v>
      </c>
    </row>
    <row r="11729" spans="1:13" s="120" customFormat="1" x14ac:dyDescent="0.25">
      <c r="A11729" s="119"/>
      <c r="B11729" s="138" t="str">
        <f t="shared" si="1013"/>
        <v>Aerated Static Pile</v>
      </c>
      <c r="C11729" s="138" t="str">
        <f t="shared" si="1014"/>
        <v>Without Amendment</v>
      </c>
      <c r="D11729" s="138" t="str">
        <f t="shared" si="1015"/>
        <v>Base_Low</v>
      </c>
      <c r="E11729" s="138" t="str">
        <f t="shared" si="1016"/>
        <v>Base</v>
      </c>
      <c r="F11729" s="138" t="str">
        <f t="shared" si="1017"/>
        <v>Upgraded</v>
      </c>
      <c r="G11729" s="153"/>
      <c r="H11729" s="210">
        <v>9.1000000000000004E-3</v>
      </c>
      <c r="I11729" s="160" t="s">
        <v>58</v>
      </c>
      <c r="J11729" s="160">
        <v>1.3999999999999999E-4</v>
      </c>
      <c r="K11729" s="160" t="s">
        <v>13</v>
      </c>
      <c r="L11729" s="154" t="str">
        <f>IF(OpenLCAbasic!K11729="CTUh", "Fill in Manually",IF(OR(K11729="Unit", K11729=""), "", INDEX(LookUps!$E$5:$E$12, MATCH(OpenLCAbasic!K11729,LookUps!$D$5:$D$12,0))))</f>
        <v>Eutrophication Potential (EP) - kg N eq</v>
      </c>
      <c r="M11729" s="154" t="str">
        <f t="shared" si="1018"/>
        <v>Base_Base_Low_Upgraded_Eutrophication Potential (EP) - kg N eq_Pre-Anoxic &amp; Swing tank; wastewater treatment unit; at updated plant - US_Without Amendment_Aerated Static Pile</v>
      </c>
    </row>
    <row r="11730" spans="1:13" s="120" customFormat="1" x14ac:dyDescent="0.25">
      <c r="A11730" s="119"/>
      <c r="B11730" s="138" t="str">
        <f t="shared" si="1013"/>
        <v>Aerated Static Pile</v>
      </c>
      <c r="C11730" s="138" t="str">
        <f t="shared" si="1014"/>
        <v>Without Amendment</v>
      </c>
      <c r="D11730" s="138" t="str">
        <f t="shared" si="1015"/>
        <v>Base_Low</v>
      </c>
      <c r="E11730" s="138" t="str">
        <f t="shared" si="1016"/>
        <v>Base</v>
      </c>
      <c r="F11730" s="138" t="str">
        <f t="shared" si="1017"/>
        <v>Upgraded</v>
      </c>
      <c r="G11730" s="153"/>
      <c r="H11730" s="210">
        <v>7.3000000000000001E-3</v>
      </c>
      <c r="I11730" s="160" t="s">
        <v>53</v>
      </c>
      <c r="J11730" s="160">
        <v>1.1E-4</v>
      </c>
      <c r="K11730" s="160" t="s">
        <v>13</v>
      </c>
      <c r="L11730" s="154" t="str">
        <f>IF(OpenLCAbasic!K11730="CTUh", "Fill in Manually",IF(OR(K11730="Unit", K11730=""), "", INDEX(LookUps!$E$5:$E$12, MATCH(OpenLCAbasic!K11730,LookUps!$D$5:$D$12,0))))</f>
        <v>Eutrophication Potential (EP) - kg N eq</v>
      </c>
      <c r="M11730" s="154" t="str">
        <f t="shared" si="1018"/>
        <v>Base_Base_Low_Upgraded_Eutrophication Potential (EP) - kg N eq_Wet Well and Sump Station; wastewater treatment unit; at updated plant - US_Without Amendment_Aerated Static Pile</v>
      </c>
    </row>
    <row r="11731" spans="1:13" s="120" customFormat="1" x14ac:dyDescent="0.25">
      <c r="A11731" s="119"/>
      <c r="B11731" s="138" t="str">
        <f t="shared" si="1013"/>
        <v>Aerated Static Pile</v>
      </c>
      <c r="C11731" s="138" t="str">
        <f t="shared" si="1014"/>
        <v>Without Amendment</v>
      </c>
      <c r="D11731" s="138" t="str">
        <f t="shared" si="1015"/>
        <v>Base_Low</v>
      </c>
      <c r="E11731" s="138" t="str">
        <f t="shared" si="1016"/>
        <v>Base</v>
      </c>
      <c r="F11731" s="138" t="str">
        <f t="shared" si="1017"/>
        <v>Upgraded</v>
      </c>
      <c r="G11731" s="153"/>
      <c r="H11731" s="210">
        <v>6.1999999999999998E-3</v>
      </c>
      <c r="I11731" s="160" t="s">
        <v>149</v>
      </c>
      <c r="J11731" s="211">
        <v>9.1798299999999998E-5</v>
      </c>
      <c r="K11731" s="160" t="s">
        <v>13</v>
      </c>
      <c r="L11731" s="154" t="str">
        <f>IF(OpenLCAbasic!K11731="CTUh", "Fill in Manually",IF(OR(K11731="Unit", K11731=""), "", INDEX(LookUps!$E$5:$E$12, MATCH(OpenLCAbasic!K11731,LookUps!$D$5:$D$12,0))))</f>
        <v>Eutrophication Potential (EP) - kg N eq</v>
      </c>
      <c r="M11731" s="154" t="str">
        <f t="shared" si="1018"/>
        <v>Base_Base_Low_Upgraded_Eutrophication Potential (EP) - kg N eq_Anaerobic Digestion; wastewater treatment unit; at updated plant - US_Without Amendment_Aerated Static Pile</v>
      </c>
    </row>
    <row r="11732" spans="1:13" s="120" customFormat="1" x14ac:dyDescent="0.25">
      <c r="A11732" s="119"/>
      <c r="B11732" s="138" t="str">
        <f t="shared" si="1013"/>
        <v>Aerated Static Pile</v>
      </c>
      <c r="C11732" s="138" t="str">
        <f t="shared" si="1014"/>
        <v>Without Amendment</v>
      </c>
      <c r="D11732" s="138" t="str">
        <f t="shared" si="1015"/>
        <v>Base_Low</v>
      </c>
      <c r="E11732" s="138" t="str">
        <f t="shared" si="1016"/>
        <v>Base</v>
      </c>
      <c r="F11732" s="138" t="str">
        <f t="shared" si="1017"/>
        <v>Upgraded</v>
      </c>
      <c r="G11732" s="153"/>
      <c r="H11732" s="210">
        <v>4.7000000000000002E-3</v>
      </c>
      <c r="I11732" s="160" t="s">
        <v>435</v>
      </c>
      <c r="J11732" s="211">
        <v>6.9173199999999997E-5</v>
      </c>
      <c r="K11732" s="160" t="s">
        <v>13</v>
      </c>
      <c r="L11732" s="154" t="str">
        <f>IF(OpenLCAbasic!K11732="CTUh", "Fill in Manually",IF(OR(K11732="Unit", K11732=""), "", INDEX(LookUps!$E$5:$E$12, MATCH(OpenLCAbasic!K11732,LookUps!$D$5:$D$12,0))))</f>
        <v>Eutrophication Potential (EP) - kg N eq</v>
      </c>
      <c r="M11732" s="154" t="str">
        <f t="shared" si="1018"/>
        <v>Base_Base_Low_Upgraded_Eutrophication Potential (EP) - kg N eq_Biosolids composting; aerated static pile; wastewater treatment unit; at updated plant - US_Without Amendment_Aerated Static Pile</v>
      </c>
    </row>
    <row r="11733" spans="1:13" s="120" customFormat="1" x14ac:dyDescent="0.25">
      <c r="A11733" s="119"/>
      <c r="B11733" s="138" t="str">
        <f t="shared" si="1013"/>
        <v>Aerated Static Pile</v>
      </c>
      <c r="C11733" s="138" t="str">
        <f t="shared" si="1014"/>
        <v>Without Amendment</v>
      </c>
      <c r="D11733" s="138" t="str">
        <f t="shared" si="1015"/>
        <v>Base_Low</v>
      </c>
      <c r="E11733" s="138" t="str">
        <f t="shared" si="1016"/>
        <v>Base</v>
      </c>
      <c r="F11733" s="138" t="str">
        <f t="shared" si="1017"/>
        <v>Upgraded</v>
      </c>
      <c r="G11733" s="153"/>
      <c r="H11733" s="210">
        <v>4.1000000000000003E-3</v>
      </c>
      <c r="I11733" s="160" t="s">
        <v>57</v>
      </c>
      <c r="J11733" s="211">
        <v>6.0590300000000002E-5</v>
      </c>
      <c r="K11733" s="160" t="s">
        <v>13</v>
      </c>
      <c r="L11733" s="154" t="str">
        <f>IF(OpenLCAbasic!K11733="CTUh", "Fill in Manually",IF(OR(K11733="Unit", K11733=""), "", INDEX(LookUps!$E$5:$E$12, MATCH(OpenLCAbasic!K11733,LookUps!$D$5:$D$12,0))))</f>
        <v>Eutrophication Potential (EP) - kg N eq</v>
      </c>
      <c r="M11733" s="154" t="str">
        <f t="shared" si="1018"/>
        <v>Base_Base_Low_Upgraded_Eutrophication Potential (EP) - kg N eq_Gravity Belt Thickener; wastewater treatment unit; at updated plant - US_Without Amendment_Aerated Static Pile</v>
      </c>
    </row>
    <row r="11734" spans="1:13" s="120" customFormat="1" x14ac:dyDescent="0.25">
      <c r="A11734" s="119"/>
      <c r="B11734" s="138" t="str">
        <f t="shared" si="1013"/>
        <v>Aerated Static Pile</v>
      </c>
      <c r="C11734" s="138" t="str">
        <f t="shared" si="1014"/>
        <v>Without Amendment</v>
      </c>
      <c r="D11734" s="138" t="str">
        <f t="shared" si="1015"/>
        <v>Base_Low</v>
      </c>
      <c r="E11734" s="138" t="str">
        <f t="shared" si="1016"/>
        <v>Base</v>
      </c>
      <c r="F11734" s="138" t="str">
        <f t="shared" si="1017"/>
        <v>Upgraded</v>
      </c>
      <c r="G11734" s="153"/>
      <c r="H11734" s="210">
        <v>3.8E-3</v>
      </c>
      <c r="I11734" s="160" t="s">
        <v>60</v>
      </c>
      <c r="J11734" s="211">
        <v>5.62289E-5</v>
      </c>
      <c r="K11734" s="160" t="s">
        <v>13</v>
      </c>
      <c r="L11734" s="154" t="str">
        <f>IF(OpenLCAbasic!K11734="CTUh", "Fill in Manually",IF(OR(K11734="Unit", K11734=""), "", INDEX(LookUps!$E$5:$E$12, MATCH(OpenLCAbasic!K11734,LookUps!$D$5:$D$12,0))))</f>
        <v>Eutrophication Potential (EP) - kg N eq</v>
      </c>
      <c r="M11734" s="154" t="str">
        <f t="shared" si="1018"/>
        <v>Base_Base_Low_Upgraded_Eutrophication Potential (EP) - kg N eq_Belt filter press; wastewater treatment unit; at updated plant - US_Without Amendment_Aerated Static Pile</v>
      </c>
    </row>
    <row r="11735" spans="1:13" s="120" customFormat="1" x14ac:dyDescent="0.25">
      <c r="A11735" s="119"/>
      <c r="B11735" s="138" t="str">
        <f t="shared" si="1013"/>
        <v>Aerated Static Pile</v>
      </c>
      <c r="C11735" s="138" t="str">
        <f t="shared" si="1014"/>
        <v>Without Amendment</v>
      </c>
      <c r="D11735" s="138" t="str">
        <f t="shared" si="1015"/>
        <v>Base_Low</v>
      </c>
      <c r="E11735" s="138" t="str">
        <f t="shared" si="1016"/>
        <v>Base</v>
      </c>
      <c r="F11735" s="138" t="str">
        <f t="shared" si="1017"/>
        <v>Upgraded</v>
      </c>
      <c r="G11735" s="153"/>
      <c r="H11735" s="210">
        <v>2.5000000000000001E-3</v>
      </c>
      <c r="I11735" s="160" t="s">
        <v>128</v>
      </c>
      <c r="J11735" s="211">
        <v>3.7559799999999999E-5</v>
      </c>
      <c r="K11735" s="160" t="s">
        <v>13</v>
      </c>
      <c r="L11735" s="154" t="str">
        <f>IF(OpenLCAbasic!K11735="CTUh", "Fill in Manually",IF(OR(K11735="Unit", K11735=""), "", INDEX(LookUps!$E$5:$E$12, MATCH(OpenLCAbasic!K11735,LookUps!$D$5:$D$12,0))))</f>
        <v>Eutrophication Potential (EP) - kg N eq</v>
      </c>
      <c r="M11735" s="154" t="str">
        <f t="shared" si="1018"/>
        <v>Base_Base_Low_Upgraded_Eutrophication Potential (EP) - kg N eq_Wastewater collection; operation and infrastructure; m3 wastewater_Without Amendment_Aerated Static Pile</v>
      </c>
    </row>
    <row r="11736" spans="1:13" s="120" customFormat="1" x14ac:dyDescent="0.25">
      <c r="A11736" s="119"/>
      <c r="B11736" s="138" t="str">
        <f t="shared" si="1013"/>
        <v>Aerated Static Pile</v>
      </c>
      <c r="C11736" s="138" t="str">
        <f t="shared" si="1014"/>
        <v>Without Amendment</v>
      </c>
      <c r="D11736" s="138" t="str">
        <f t="shared" si="1015"/>
        <v>Base_Low</v>
      </c>
      <c r="E11736" s="138" t="str">
        <f t="shared" si="1016"/>
        <v>Base</v>
      </c>
      <c r="F11736" s="138" t="str">
        <f t="shared" si="1017"/>
        <v>Upgraded</v>
      </c>
      <c r="G11736" s="153"/>
      <c r="H11736" s="210">
        <v>2.5000000000000001E-3</v>
      </c>
      <c r="I11736" s="160" t="s">
        <v>148</v>
      </c>
      <c r="J11736" s="211">
        <v>3.6874600000000001E-5</v>
      </c>
      <c r="K11736" s="160" t="s">
        <v>13</v>
      </c>
      <c r="L11736" s="154" t="str">
        <f>IF(OpenLCAbasic!K11736="CTUh", "Fill in Manually",IF(OR(K11736="Unit", K11736=""), "", INDEX(LookUps!$E$5:$E$12, MATCH(OpenLCAbasic!K11736,LookUps!$D$5:$D$12,0))))</f>
        <v>Eutrophication Potential (EP) - kg N eq</v>
      </c>
      <c r="M11736" s="154" t="str">
        <f t="shared" si="1018"/>
        <v>Base_Base_Low_Upgraded_Eutrophication Potential (EP) - kg N eq_Control Building; at upgraded wastewater treatment plant - US_Without Amendment_Aerated Static Pile</v>
      </c>
    </row>
    <row r="11737" spans="1:13" s="120" customFormat="1" x14ac:dyDescent="0.25">
      <c r="A11737" s="119"/>
      <c r="B11737" s="138" t="str">
        <f t="shared" si="1013"/>
        <v>Aerated Static Pile</v>
      </c>
      <c r="C11737" s="138" t="str">
        <f t="shared" si="1014"/>
        <v>Without Amendment</v>
      </c>
      <c r="D11737" s="138" t="str">
        <f t="shared" si="1015"/>
        <v>Base_Low</v>
      </c>
      <c r="E11737" s="138" t="str">
        <f t="shared" si="1016"/>
        <v>Base</v>
      </c>
      <c r="F11737" s="138" t="str">
        <f t="shared" si="1017"/>
        <v>Upgraded</v>
      </c>
      <c r="G11737" s="153"/>
      <c r="H11737" s="210">
        <v>1.1000000000000001E-3</v>
      </c>
      <c r="I11737" s="160" t="s">
        <v>59</v>
      </c>
      <c r="J11737" s="211">
        <v>1.6215700000000001E-5</v>
      </c>
      <c r="K11737" s="160" t="s">
        <v>13</v>
      </c>
      <c r="L11737" s="154" t="str">
        <f>IF(OpenLCAbasic!K11737="CTUh", "Fill in Manually",IF(OR(K11737="Unit", K11737=""), "", INDEX(LookUps!$E$5:$E$12, MATCH(OpenLCAbasic!K11737,LookUps!$D$5:$D$12,0))))</f>
        <v>Eutrophication Potential (EP) - kg N eq</v>
      </c>
      <c r="M11737" s="154" t="str">
        <f t="shared" si="1018"/>
        <v>Base_Base_Low_Upgraded_Eutrophication Potential (EP) - kg N eq_Blend Tank; wastewater treatment unit; at updated plant - US_Without Amendment_Aerated Static Pile</v>
      </c>
    </row>
    <row r="11738" spans="1:13" s="120" customFormat="1" x14ac:dyDescent="0.25">
      <c r="A11738" s="119"/>
      <c r="B11738" s="138" t="str">
        <f t="shared" si="1013"/>
        <v>Aerated Static Pile</v>
      </c>
      <c r="C11738" s="138" t="str">
        <f t="shared" si="1014"/>
        <v>Without Amendment</v>
      </c>
      <c r="D11738" s="138" t="str">
        <f t="shared" si="1015"/>
        <v>Base_Low</v>
      </c>
      <c r="E11738" s="138" t="str">
        <f t="shared" si="1016"/>
        <v>Base</v>
      </c>
      <c r="F11738" s="138" t="str">
        <f t="shared" si="1017"/>
        <v>Upgraded</v>
      </c>
      <c r="G11738" s="153"/>
      <c r="H11738" s="210">
        <v>5.0000000000000001E-4</v>
      </c>
      <c r="I11738" s="160" t="s">
        <v>168</v>
      </c>
      <c r="J11738" s="211">
        <v>7.7567199999999995E-6</v>
      </c>
      <c r="K11738" s="160" t="s">
        <v>13</v>
      </c>
      <c r="L11738" s="154" t="str">
        <f>IF(OpenLCAbasic!K11738="CTUh", "Fill in Manually",IF(OR(K11738="Unit", K11738=""), "", INDEX(LookUps!$E$5:$E$12, MATCH(OpenLCAbasic!K11738,LookUps!$D$5:$D$12,0))))</f>
        <v>Eutrophication Potential (EP) - kg N eq</v>
      </c>
      <c r="M11738" s="154" t="str">
        <f t="shared" si="1018"/>
        <v>Base_Base_Low_Upgraded_Eutrophication Potential (EP) - kg N eq_ClearCove SCP; wastewater treatment unit; at updated plant - US_Without Amendment_Aerated Static Pile</v>
      </c>
    </row>
    <row r="11739" spans="1:13" s="120" customFormat="1" x14ac:dyDescent="0.25">
      <c r="A11739" s="119"/>
      <c r="B11739" s="138" t="str">
        <f t="shared" si="1013"/>
        <v/>
      </c>
      <c r="C11739" s="138" t="str">
        <f t="shared" si="1014"/>
        <v/>
      </c>
      <c r="D11739" s="138" t="str">
        <f t="shared" si="1015"/>
        <v/>
      </c>
      <c r="E11739" s="138" t="str">
        <f t="shared" si="1016"/>
        <v/>
      </c>
      <c r="F11739" s="138" t="str">
        <f t="shared" si="1017"/>
        <v/>
      </c>
      <c r="G11739" s="153" t="s">
        <v>51</v>
      </c>
      <c r="H11739" s="160"/>
      <c r="I11739" s="160" t="s">
        <v>47</v>
      </c>
      <c r="J11739" s="160" t="s">
        <v>52</v>
      </c>
      <c r="K11739" s="160" t="s">
        <v>27</v>
      </c>
      <c r="L11739" s="154" t="str">
        <f>IF(OpenLCAbasic!K11739="CTUh", "Fill in Manually",IF(OR(K11739="Unit", K11739=""), "", INDEX(LookUps!$E$5:$E$12, MATCH(OpenLCAbasic!K11739,LookUps!$D$5:$D$12,0))))</f>
        <v/>
      </c>
      <c r="M11739" s="154" t="str">
        <f t="shared" si="1018"/>
        <v>____Process__</v>
      </c>
    </row>
    <row r="11740" spans="1:13" s="120" customFormat="1" x14ac:dyDescent="0.25">
      <c r="A11740" s="119"/>
      <c r="B11740" s="138" t="str">
        <f t="shared" si="1013"/>
        <v>Aerated Static Pile</v>
      </c>
      <c r="C11740" s="138" t="str">
        <f t="shared" si="1014"/>
        <v>Without Amendment</v>
      </c>
      <c r="D11740" s="138" t="str">
        <f t="shared" si="1015"/>
        <v>Base_Low</v>
      </c>
      <c r="E11740" s="138" t="str">
        <f t="shared" si="1016"/>
        <v>Base</v>
      </c>
      <c r="F11740" s="138" t="str">
        <f t="shared" si="1017"/>
        <v>Upgraded</v>
      </c>
      <c r="G11740" s="153"/>
      <c r="H11740" s="210">
        <v>0.2661</v>
      </c>
      <c r="I11740" s="160" t="s">
        <v>167</v>
      </c>
      <c r="J11740" s="160">
        <v>7.9170000000000004E-2</v>
      </c>
      <c r="K11740" s="160" t="s">
        <v>14</v>
      </c>
      <c r="L11740" s="154" t="str">
        <f>IF(OpenLCAbasic!K11740="CTUh", "Fill in Manually",IF(OR(K11740="Unit", K11740=""), "", INDEX(LookUps!$E$5:$E$12, MATCH(OpenLCAbasic!K11740,LookUps!$D$5:$D$12,0))))</f>
        <v>Fossil Depletion Potential (FDP) - kg oil eq</v>
      </c>
      <c r="M11740" s="154" t="str">
        <f t="shared" si="1018"/>
        <v>Base_Base_Low_Upgraded_Fossil Depletion Potential (FDP) - kg oil eq_Waste Receiving and Holding; wastewater treatment unit; at updated plant - US_Without Amendment_Aerated Static Pile</v>
      </c>
    </row>
    <row r="11741" spans="1:13" s="120" customFormat="1" x14ac:dyDescent="0.25">
      <c r="A11741" s="119"/>
      <c r="B11741" s="138" t="str">
        <f t="shared" si="1013"/>
        <v>Aerated Static Pile</v>
      </c>
      <c r="C11741" s="138" t="str">
        <f t="shared" si="1014"/>
        <v>Without Amendment</v>
      </c>
      <c r="D11741" s="138" t="str">
        <f t="shared" si="1015"/>
        <v>Base_Low</v>
      </c>
      <c r="E11741" s="138" t="str">
        <f t="shared" si="1016"/>
        <v>Base</v>
      </c>
      <c r="F11741" s="138" t="str">
        <f t="shared" si="1017"/>
        <v>Upgraded</v>
      </c>
      <c r="G11741" s="153"/>
      <c r="H11741" s="210">
        <v>0.2137</v>
      </c>
      <c r="I11741" s="160" t="s">
        <v>55</v>
      </c>
      <c r="J11741" s="160">
        <v>6.3589999999999994E-2</v>
      </c>
      <c r="K11741" s="160" t="s">
        <v>14</v>
      </c>
      <c r="L11741" s="154" t="str">
        <f>IF(OpenLCAbasic!K11741="CTUh", "Fill in Manually",IF(OR(K11741="Unit", K11741=""), "", INDEX(LookUps!$E$5:$E$12, MATCH(OpenLCAbasic!K11741,LookUps!$D$5:$D$12,0))))</f>
        <v>Fossil Depletion Potential (FDP) - kg oil eq</v>
      </c>
      <c r="M11741" s="154" t="str">
        <f t="shared" si="1018"/>
        <v>Base_Base_Low_Upgraded_Fossil Depletion Potential (FDP) - kg oil eq_Aeration Tanks; wastewater treatment unit; at updated plant - US_Without Amendment_Aerated Static Pile</v>
      </c>
    </row>
    <row r="11742" spans="1:13" s="120" customFormat="1" x14ac:dyDescent="0.25">
      <c r="A11742" s="119"/>
      <c r="B11742" s="138" t="str">
        <f t="shared" si="1013"/>
        <v>Aerated Static Pile</v>
      </c>
      <c r="C11742" s="138" t="str">
        <f t="shared" si="1014"/>
        <v>Without Amendment</v>
      </c>
      <c r="D11742" s="138" t="str">
        <f t="shared" si="1015"/>
        <v>Base_Low</v>
      </c>
      <c r="E11742" s="138" t="str">
        <f t="shared" si="1016"/>
        <v>Base</v>
      </c>
      <c r="F11742" s="138" t="str">
        <f t="shared" si="1017"/>
        <v>Upgraded</v>
      </c>
      <c r="G11742" s="153"/>
      <c r="H11742" s="210">
        <v>0.2077</v>
      </c>
      <c r="I11742" s="160" t="s">
        <v>149</v>
      </c>
      <c r="J11742" s="160">
        <v>6.1809999999999997E-2</v>
      </c>
      <c r="K11742" s="160" t="s">
        <v>14</v>
      </c>
      <c r="L11742" s="154" t="str">
        <f>IF(OpenLCAbasic!K11742="CTUh", "Fill in Manually",IF(OR(K11742="Unit", K11742=""), "", INDEX(LookUps!$E$5:$E$12, MATCH(OpenLCAbasic!K11742,LookUps!$D$5:$D$12,0))))</f>
        <v>Fossil Depletion Potential (FDP) - kg oil eq</v>
      </c>
      <c r="M11742" s="154" t="str">
        <f t="shared" si="1018"/>
        <v>Base_Base_Low_Upgraded_Fossil Depletion Potential (FDP) - kg oil eq_Anaerobic Digestion; wastewater treatment unit; at updated plant - US_Without Amendment_Aerated Static Pile</v>
      </c>
    </row>
    <row r="11743" spans="1:13" s="120" customFormat="1" x14ac:dyDescent="0.25">
      <c r="A11743" s="119"/>
      <c r="B11743" s="138" t="str">
        <f t="shared" si="1013"/>
        <v>Aerated Static Pile</v>
      </c>
      <c r="C11743" s="138" t="str">
        <f t="shared" si="1014"/>
        <v>Without Amendment</v>
      </c>
      <c r="D11743" s="138" t="str">
        <f t="shared" si="1015"/>
        <v>Base_Low</v>
      </c>
      <c r="E11743" s="138" t="str">
        <f t="shared" si="1016"/>
        <v>Base</v>
      </c>
      <c r="F11743" s="138" t="str">
        <f t="shared" si="1017"/>
        <v>Upgraded</v>
      </c>
      <c r="G11743" s="153"/>
      <c r="H11743" s="210">
        <v>7.0699999999999999E-2</v>
      </c>
      <c r="I11743" s="160" t="s">
        <v>54</v>
      </c>
      <c r="J11743" s="160">
        <v>2.1049999999999999E-2</v>
      </c>
      <c r="K11743" s="160" t="s">
        <v>14</v>
      </c>
      <c r="L11743" s="154" t="str">
        <f>IF(OpenLCAbasic!K11743="CTUh", "Fill in Manually",IF(OR(K11743="Unit", K11743=""), "", INDEX(LookUps!$E$5:$E$12, MATCH(OpenLCAbasic!K11743,LookUps!$D$5:$D$12,0))))</f>
        <v>Fossil Depletion Potential (FDP) - kg oil eq</v>
      </c>
      <c r="M11743" s="154" t="str">
        <f t="shared" si="1018"/>
        <v>Base_Base_Low_Upgraded_Fossil Depletion Potential (FDP) - kg oil eq_Clear Cove Primary Clarification; wastewater treatment unit; at updated plant - US_Without Amendment_Aerated Static Pile</v>
      </c>
    </row>
    <row r="11744" spans="1:13" s="120" customFormat="1" x14ac:dyDescent="0.25">
      <c r="A11744" s="119"/>
      <c r="B11744" s="138" t="str">
        <f t="shared" si="1013"/>
        <v>Aerated Static Pile</v>
      </c>
      <c r="C11744" s="138" t="str">
        <f t="shared" si="1014"/>
        <v>Without Amendment</v>
      </c>
      <c r="D11744" s="138" t="str">
        <f t="shared" si="1015"/>
        <v>Base_Low</v>
      </c>
      <c r="E11744" s="138" t="str">
        <f t="shared" si="1016"/>
        <v>Base</v>
      </c>
      <c r="F11744" s="138" t="str">
        <f t="shared" si="1017"/>
        <v>Upgraded</v>
      </c>
      <c r="G11744" s="153"/>
      <c r="H11744" s="210">
        <v>5.3499999999999999E-2</v>
      </c>
      <c r="I11744" s="160" t="s">
        <v>58</v>
      </c>
      <c r="J11744" s="160">
        <v>1.592E-2</v>
      </c>
      <c r="K11744" s="160" t="s">
        <v>14</v>
      </c>
      <c r="L11744" s="154" t="str">
        <f>IF(OpenLCAbasic!K11744="CTUh", "Fill in Manually",IF(OR(K11744="Unit", K11744=""), "", INDEX(LookUps!$E$5:$E$12, MATCH(OpenLCAbasic!K11744,LookUps!$D$5:$D$12,0))))</f>
        <v>Fossil Depletion Potential (FDP) - kg oil eq</v>
      </c>
      <c r="M11744" s="154" t="str">
        <f t="shared" si="1018"/>
        <v>Base_Base_Low_Upgraded_Fossil Depletion Potential (FDP) - kg oil eq_Pre-Anoxic &amp; Swing tank; wastewater treatment unit; at updated plant - US_Without Amendment_Aerated Static Pile</v>
      </c>
    </row>
    <row r="11745" spans="1:13" s="120" customFormat="1" x14ac:dyDescent="0.25">
      <c r="A11745" s="119"/>
      <c r="B11745" s="138" t="str">
        <f t="shared" si="1013"/>
        <v>Aerated Static Pile</v>
      </c>
      <c r="C11745" s="138" t="str">
        <f t="shared" si="1014"/>
        <v>Without Amendment</v>
      </c>
      <c r="D11745" s="138" t="str">
        <f t="shared" si="1015"/>
        <v>Base_Low</v>
      </c>
      <c r="E11745" s="138" t="str">
        <f t="shared" si="1016"/>
        <v>Base</v>
      </c>
      <c r="F11745" s="138" t="str">
        <f t="shared" si="1017"/>
        <v>Upgraded</v>
      </c>
      <c r="G11745" s="153"/>
      <c r="H11745" s="210">
        <v>5.0700000000000002E-2</v>
      </c>
      <c r="I11745" s="160" t="s">
        <v>147</v>
      </c>
      <c r="J11745" s="160">
        <v>1.5089999999999999E-2</v>
      </c>
      <c r="K11745" s="160" t="s">
        <v>14</v>
      </c>
      <c r="L11745" s="154" t="str">
        <f>IF(OpenLCAbasic!K11745="CTUh", "Fill in Manually",IF(OR(K11745="Unit", K11745=""), "", INDEX(LookUps!$E$5:$E$12, MATCH(OpenLCAbasic!K11745,LookUps!$D$5:$D$12,0))))</f>
        <v>Fossil Depletion Potential (FDP) - kg oil eq</v>
      </c>
      <c r="M11745" s="154" t="str">
        <f t="shared" si="1018"/>
        <v>Base_Base_Low_Upgraded_Fossil Depletion Potential (FDP) - kg oil eq_Influent Pump Station; wastewater treatment unit; at updated plant - US_Without Amendment_Aerated Static Pile</v>
      </c>
    </row>
    <row r="11746" spans="1:13" s="120" customFormat="1" x14ac:dyDescent="0.25">
      <c r="A11746" s="119"/>
      <c r="B11746" s="138" t="str">
        <f t="shared" si="1013"/>
        <v>Aerated Static Pile</v>
      </c>
      <c r="C11746" s="138" t="str">
        <f t="shared" si="1014"/>
        <v>Without Amendment</v>
      </c>
      <c r="D11746" s="138" t="str">
        <f t="shared" si="1015"/>
        <v>Base_Low</v>
      </c>
      <c r="E11746" s="138" t="str">
        <f t="shared" si="1016"/>
        <v>Base</v>
      </c>
      <c r="F11746" s="138" t="str">
        <f t="shared" si="1017"/>
        <v>Upgraded</v>
      </c>
      <c r="G11746" s="153"/>
      <c r="H11746" s="210">
        <v>4.2000000000000003E-2</v>
      </c>
      <c r="I11746" s="160" t="s">
        <v>53</v>
      </c>
      <c r="J11746" s="160">
        <v>1.2489999999999999E-2</v>
      </c>
      <c r="K11746" s="160" t="s">
        <v>14</v>
      </c>
      <c r="L11746" s="154" t="str">
        <f>IF(OpenLCAbasic!K11746="CTUh", "Fill in Manually",IF(OR(K11746="Unit", K11746=""), "", INDEX(LookUps!$E$5:$E$12, MATCH(OpenLCAbasic!K11746,LookUps!$D$5:$D$12,0))))</f>
        <v>Fossil Depletion Potential (FDP) - kg oil eq</v>
      </c>
      <c r="M11746" s="154" t="str">
        <f t="shared" si="1018"/>
        <v>Base_Base_Low_Upgraded_Fossil Depletion Potential (FDP) - kg oil eq_Wet Well and Sump Station; wastewater treatment unit; at updated plant - US_Without Amendment_Aerated Static Pile</v>
      </c>
    </row>
    <row r="11747" spans="1:13" s="120" customFormat="1" x14ac:dyDescent="0.25">
      <c r="A11747" s="119"/>
      <c r="B11747" s="138" t="str">
        <f t="shared" si="1013"/>
        <v>Aerated Static Pile</v>
      </c>
      <c r="C11747" s="138" t="str">
        <f t="shared" si="1014"/>
        <v>Without Amendment</v>
      </c>
      <c r="D11747" s="138" t="str">
        <f t="shared" si="1015"/>
        <v>Base_Low</v>
      </c>
      <c r="E11747" s="138" t="str">
        <f t="shared" si="1016"/>
        <v>Base</v>
      </c>
      <c r="F11747" s="138" t="str">
        <f t="shared" si="1017"/>
        <v>Upgraded</v>
      </c>
      <c r="G11747" s="153"/>
      <c r="H11747" s="210">
        <v>2.3599999999999999E-2</v>
      </c>
      <c r="I11747" s="160" t="s">
        <v>435</v>
      </c>
      <c r="J11747" s="160">
        <v>7.0200000000000002E-3</v>
      </c>
      <c r="K11747" s="160" t="s">
        <v>14</v>
      </c>
      <c r="L11747" s="154" t="str">
        <f>IF(OpenLCAbasic!K11747="CTUh", "Fill in Manually",IF(OR(K11747="Unit", K11747=""), "", INDEX(LookUps!$E$5:$E$12, MATCH(OpenLCAbasic!K11747,LookUps!$D$5:$D$12,0))))</f>
        <v>Fossil Depletion Potential (FDP) - kg oil eq</v>
      </c>
      <c r="M11747" s="154" t="str">
        <f t="shared" si="1018"/>
        <v>Base_Base_Low_Upgraded_Fossil Depletion Potential (FDP) - kg oil eq_Biosolids composting; aerated static pile; wastewater treatment unit; at updated plant - US_Without Amendment_Aerated Static Pile</v>
      </c>
    </row>
    <row r="11748" spans="1:13" s="120" customFormat="1" x14ac:dyDescent="0.25">
      <c r="A11748" s="119"/>
      <c r="B11748" s="138" t="str">
        <f t="shared" si="1013"/>
        <v>Aerated Static Pile</v>
      </c>
      <c r="C11748" s="138" t="str">
        <f t="shared" si="1014"/>
        <v>Without Amendment</v>
      </c>
      <c r="D11748" s="138" t="str">
        <f t="shared" si="1015"/>
        <v>Base_Low</v>
      </c>
      <c r="E11748" s="138" t="str">
        <f t="shared" si="1016"/>
        <v>Base</v>
      </c>
      <c r="F11748" s="138" t="str">
        <f t="shared" si="1017"/>
        <v>Upgraded</v>
      </c>
      <c r="G11748" s="153"/>
      <c r="H11748" s="210">
        <v>2.3199999999999998E-2</v>
      </c>
      <c r="I11748" s="160" t="s">
        <v>57</v>
      </c>
      <c r="J11748" s="160">
        <v>6.9199999999999999E-3</v>
      </c>
      <c r="K11748" s="160" t="s">
        <v>14</v>
      </c>
      <c r="L11748" s="154" t="str">
        <f>IF(OpenLCAbasic!K11748="CTUh", "Fill in Manually",IF(OR(K11748="Unit", K11748=""), "", INDEX(LookUps!$E$5:$E$12, MATCH(OpenLCAbasic!K11748,LookUps!$D$5:$D$12,0))))</f>
        <v>Fossil Depletion Potential (FDP) - kg oil eq</v>
      </c>
      <c r="M11748" s="154" t="str">
        <f t="shared" si="1018"/>
        <v>Base_Base_Low_Upgraded_Fossil Depletion Potential (FDP) - kg oil eq_Gravity Belt Thickener; wastewater treatment unit; at updated plant - US_Without Amendment_Aerated Static Pile</v>
      </c>
    </row>
    <row r="11749" spans="1:13" s="120" customFormat="1" x14ac:dyDescent="0.25">
      <c r="A11749" s="119"/>
      <c r="B11749" s="138" t="str">
        <f t="shared" si="1013"/>
        <v>Aerated Static Pile</v>
      </c>
      <c r="C11749" s="138" t="str">
        <f t="shared" si="1014"/>
        <v>Without Amendment</v>
      </c>
      <c r="D11749" s="138" t="str">
        <f t="shared" si="1015"/>
        <v>Base_Low</v>
      </c>
      <c r="E11749" s="138" t="str">
        <f t="shared" si="1016"/>
        <v>Base</v>
      </c>
      <c r="F11749" s="138" t="str">
        <f t="shared" si="1017"/>
        <v>Upgraded</v>
      </c>
      <c r="G11749" s="153"/>
      <c r="H11749" s="210">
        <v>2.1700000000000001E-2</v>
      </c>
      <c r="I11749" s="160" t="s">
        <v>60</v>
      </c>
      <c r="J11749" s="160">
        <v>6.45E-3</v>
      </c>
      <c r="K11749" s="160" t="s">
        <v>14</v>
      </c>
      <c r="L11749" s="154" t="str">
        <f>IF(OpenLCAbasic!K11749="CTUh", "Fill in Manually",IF(OR(K11749="Unit", K11749=""), "", INDEX(LookUps!$E$5:$E$12, MATCH(OpenLCAbasic!K11749,LookUps!$D$5:$D$12,0))))</f>
        <v>Fossil Depletion Potential (FDP) - kg oil eq</v>
      </c>
      <c r="M11749" s="154" t="str">
        <f t="shared" si="1018"/>
        <v>Base_Base_Low_Upgraded_Fossil Depletion Potential (FDP) - kg oil eq_Belt filter press; wastewater treatment unit; at updated plant - US_Without Amendment_Aerated Static Pile</v>
      </c>
    </row>
    <row r="11750" spans="1:13" s="120" customFormat="1" x14ac:dyDescent="0.25">
      <c r="A11750" s="119"/>
      <c r="B11750" s="138" t="str">
        <f t="shared" si="1013"/>
        <v>Aerated Static Pile</v>
      </c>
      <c r="C11750" s="138" t="str">
        <f t="shared" si="1014"/>
        <v>Without Amendment</v>
      </c>
      <c r="D11750" s="138" t="str">
        <f t="shared" si="1015"/>
        <v>Base_Low</v>
      </c>
      <c r="E11750" s="138" t="str">
        <f t="shared" si="1016"/>
        <v>Base</v>
      </c>
      <c r="F11750" s="138" t="str">
        <f t="shared" si="1017"/>
        <v>Upgraded</v>
      </c>
      <c r="G11750" s="153"/>
      <c r="H11750" s="210">
        <v>1.5100000000000001E-2</v>
      </c>
      <c r="I11750" s="160" t="s">
        <v>128</v>
      </c>
      <c r="J11750" s="160">
        <v>4.4999999999999997E-3</v>
      </c>
      <c r="K11750" s="160" t="s">
        <v>14</v>
      </c>
      <c r="L11750" s="154" t="str">
        <f>IF(OpenLCAbasic!K11750="CTUh", "Fill in Manually",IF(OR(K11750="Unit", K11750=""), "", INDEX(LookUps!$E$5:$E$12, MATCH(OpenLCAbasic!K11750,LookUps!$D$5:$D$12,0))))</f>
        <v>Fossil Depletion Potential (FDP) - kg oil eq</v>
      </c>
      <c r="M11750" s="154" t="str">
        <f t="shared" si="1018"/>
        <v>Base_Base_Low_Upgraded_Fossil Depletion Potential (FDP) - kg oil eq_Wastewater collection; operation and infrastructure; m3 wastewater_Without Amendment_Aerated Static Pile</v>
      </c>
    </row>
    <row r="11751" spans="1:13" s="120" customFormat="1" x14ac:dyDescent="0.25">
      <c r="A11751" s="119"/>
      <c r="B11751" s="138" t="str">
        <f t="shared" si="1013"/>
        <v>Aerated Static Pile</v>
      </c>
      <c r="C11751" s="138" t="str">
        <f t="shared" si="1014"/>
        <v>Without Amendment</v>
      </c>
      <c r="D11751" s="138" t="str">
        <f t="shared" si="1015"/>
        <v>Base_Low</v>
      </c>
      <c r="E11751" s="138" t="str">
        <f t="shared" si="1016"/>
        <v>Base</v>
      </c>
      <c r="F11751" s="138" t="str">
        <f t="shared" si="1017"/>
        <v>Upgraded</v>
      </c>
      <c r="G11751" s="153"/>
      <c r="H11751" s="210">
        <v>9.4000000000000004E-3</v>
      </c>
      <c r="I11751" s="160" t="s">
        <v>148</v>
      </c>
      <c r="J11751" s="160">
        <v>2.8E-3</v>
      </c>
      <c r="K11751" s="160" t="s">
        <v>14</v>
      </c>
      <c r="L11751" s="154" t="str">
        <f>IF(OpenLCAbasic!K11751="CTUh", "Fill in Manually",IF(OR(K11751="Unit", K11751=""), "", INDEX(LookUps!$E$5:$E$12, MATCH(OpenLCAbasic!K11751,LookUps!$D$5:$D$12,0))))</f>
        <v>Fossil Depletion Potential (FDP) - kg oil eq</v>
      </c>
      <c r="M11751" s="154" t="str">
        <f t="shared" si="1018"/>
        <v>Base_Base_Low_Upgraded_Fossil Depletion Potential (FDP) - kg oil eq_Control Building; at upgraded wastewater treatment plant - US_Without Amendment_Aerated Static Pile</v>
      </c>
    </row>
    <row r="11752" spans="1:13" s="120" customFormat="1" x14ac:dyDescent="0.25">
      <c r="A11752" s="119"/>
      <c r="B11752" s="138" t="str">
        <f t="shared" si="1013"/>
        <v>Aerated Static Pile</v>
      </c>
      <c r="C11752" s="138" t="str">
        <f t="shared" si="1014"/>
        <v>Without Amendment</v>
      </c>
      <c r="D11752" s="138" t="str">
        <f t="shared" si="1015"/>
        <v>Base_Low</v>
      </c>
      <c r="E11752" s="138" t="str">
        <f t="shared" si="1016"/>
        <v>Base</v>
      </c>
      <c r="F11752" s="138" t="str">
        <f t="shared" si="1017"/>
        <v>Upgraded</v>
      </c>
      <c r="G11752" s="153"/>
      <c r="H11752" s="210">
        <v>7.9000000000000008E-3</v>
      </c>
      <c r="I11752" s="160" t="s">
        <v>48</v>
      </c>
      <c r="J11752" s="160">
        <v>2.3600000000000001E-3</v>
      </c>
      <c r="K11752" s="160" t="s">
        <v>14</v>
      </c>
      <c r="L11752" s="154" t="str">
        <f>IF(OpenLCAbasic!K11752="CTUh", "Fill in Manually",IF(OR(K11752="Unit", K11752=""), "", INDEX(LookUps!$E$5:$E$12, MATCH(OpenLCAbasic!K11752,LookUps!$D$5:$D$12,0))))</f>
        <v>Fossil Depletion Potential (FDP) - kg oil eq</v>
      </c>
      <c r="M11752" s="154" t="str">
        <f t="shared" si="1018"/>
        <v>Base_Base_Low_Upgraded_Fossil Depletion Potential (FDP) - kg oil eq_Effluent release; wastewater treatment unit; at surface water; m3 wastewater - US_Without Amendment_Aerated Static Pile</v>
      </c>
    </row>
    <row r="11753" spans="1:13" s="120" customFormat="1" x14ac:dyDescent="0.25">
      <c r="A11753" s="119"/>
      <c r="B11753" s="138" t="str">
        <f t="shared" ref="B11753:B11816" si="1019">IF(F11753="Legacy","n.a.",IF(F11753="","","Aerated Static Pile"))</f>
        <v>Aerated Static Pile</v>
      </c>
      <c r="C11753" s="138" t="str">
        <f t="shared" ref="C11753:C11816" si="1020">IF(ISNUMBER($J11753),"Without Amendment","")</f>
        <v>Without Amendment</v>
      </c>
      <c r="D11753" s="138" t="str">
        <f t="shared" ref="D11753:D11816" si="1021">IF(ISNUMBER($J11753),"Base_Low","")</f>
        <v>Base_Low</v>
      </c>
      <c r="E11753" s="138" t="str">
        <f t="shared" ref="E11753:E11816" si="1022">IF(ISNUMBER($J11753),"Base","")</f>
        <v>Base</v>
      </c>
      <c r="F11753" s="138" t="str">
        <f t="shared" ref="F11753:F11816" si="1023">IF(ISNUMBER(J11753),"Upgraded","")</f>
        <v>Upgraded</v>
      </c>
      <c r="G11753" s="153"/>
      <c r="H11753" s="210">
        <v>6.4999999999999997E-3</v>
      </c>
      <c r="I11753" s="160" t="s">
        <v>59</v>
      </c>
      <c r="J11753" s="160">
        <v>1.92E-3</v>
      </c>
      <c r="K11753" s="160" t="s">
        <v>14</v>
      </c>
      <c r="L11753" s="154" t="str">
        <f>IF(OpenLCAbasic!K11753="CTUh", "Fill in Manually",IF(OR(K11753="Unit", K11753=""), "", INDEX(LookUps!$E$5:$E$12, MATCH(OpenLCAbasic!K11753,LookUps!$D$5:$D$12,0))))</f>
        <v>Fossil Depletion Potential (FDP) - kg oil eq</v>
      </c>
      <c r="M11753" s="154" t="str">
        <f t="shared" si="1018"/>
        <v>Base_Base_Low_Upgraded_Fossil Depletion Potential (FDP) - kg oil eq_Blend Tank; wastewater treatment unit; at updated plant - US_Without Amendment_Aerated Static Pile</v>
      </c>
    </row>
    <row r="11754" spans="1:13" s="120" customFormat="1" x14ac:dyDescent="0.25">
      <c r="A11754" s="119"/>
      <c r="B11754" s="138" t="str">
        <f t="shared" si="1019"/>
        <v>Aerated Static Pile</v>
      </c>
      <c r="C11754" s="138" t="str">
        <f t="shared" si="1020"/>
        <v>Without Amendment</v>
      </c>
      <c r="D11754" s="138" t="str">
        <f t="shared" si="1021"/>
        <v>Base_Low</v>
      </c>
      <c r="E11754" s="138" t="str">
        <f t="shared" si="1022"/>
        <v>Base</v>
      </c>
      <c r="F11754" s="138" t="str">
        <f t="shared" si="1023"/>
        <v>Upgraded</v>
      </c>
      <c r="G11754" s="153"/>
      <c r="H11754" s="210">
        <v>3.0999999999999999E-3</v>
      </c>
      <c r="I11754" s="160" t="s">
        <v>168</v>
      </c>
      <c r="J11754" s="160">
        <v>9.1E-4</v>
      </c>
      <c r="K11754" s="160" t="s">
        <v>14</v>
      </c>
      <c r="L11754" s="154" t="str">
        <f>IF(OpenLCAbasic!K11754="CTUh", "Fill in Manually",IF(OR(K11754="Unit", K11754=""), "", INDEX(LookUps!$E$5:$E$12, MATCH(OpenLCAbasic!K11754,LookUps!$D$5:$D$12,0))))</f>
        <v>Fossil Depletion Potential (FDP) - kg oil eq</v>
      </c>
      <c r="M11754" s="154" t="str">
        <f t="shared" si="1018"/>
        <v>Base_Base_Low_Upgraded_Fossil Depletion Potential (FDP) - kg oil eq_ClearCove SCP; wastewater treatment unit; at updated plant - US_Without Amendment_Aerated Static Pile</v>
      </c>
    </row>
    <row r="11755" spans="1:13" s="120" customFormat="1" x14ac:dyDescent="0.25">
      <c r="A11755" s="119"/>
      <c r="B11755" s="138" t="str">
        <f t="shared" si="1019"/>
        <v>Aerated Static Pile</v>
      </c>
      <c r="C11755" s="138" t="str">
        <f t="shared" si="1020"/>
        <v>Without Amendment</v>
      </c>
      <c r="D11755" s="138" t="str">
        <f t="shared" si="1021"/>
        <v>Base_Low</v>
      </c>
      <c r="E11755" s="138" t="str">
        <f t="shared" si="1022"/>
        <v>Base</v>
      </c>
      <c r="F11755" s="138" t="str">
        <f t="shared" si="1023"/>
        <v>Upgraded</v>
      </c>
      <c r="G11755" s="153"/>
      <c r="H11755" s="210">
        <v>-1.4999999999999999E-2</v>
      </c>
      <c r="I11755" s="160" t="s">
        <v>62</v>
      </c>
      <c r="J11755" s="160">
        <v>-4.4600000000000004E-3</v>
      </c>
      <c r="K11755" s="160" t="s">
        <v>14</v>
      </c>
      <c r="L11755" s="154" t="str">
        <f>IF(OpenLCAbasic!K11755="CTUh", "Fill in Manually",IF(OR(K11755="Unit", K11755=""), "", INDEX(LookUps!$E$5:$E$12, MATCH(OpenLCAbasic!K11755,LookUps!$D$5:$D$12,0))))</f>
        <v>Fossil Depletion Potential (FDP) - kg oil eq</v>
      </c>
      <c r="M11755" s="154" t="str">
        <f t="shared" si="1018"/>
        <v>Base_Base_Low_Upgraded_Fossil Depletion Potential (FDP) - kg oil eq_Land application of compost; wastewater treatment unit; at updated plant - US_Without Amendment_Aerated Static Pile</v>
      </c>
    </row>
    <row r="11756" spans="1:13" s="120" customFormat="1" x14ac:dyDescent="0.25">
      <c r="A11756" s="119"/>
      <c r="B11756" s="138" t="str">
        <f t="shared" si="1019"/>
        <v/>
      </c>
      <c r="C11756" s="138" t="str">
        <f t="shared" si="1020"/>
        <v/>
      </c>
      <c r="D11756" s="138" t="str">
        <f t="shared" si="1021"/>
        <v/>
      </c>
      <c r="E11756" s="138" t="str">
        <f t="shared" si="1022"/>
        <v/>
      </c>
      <c r="F11756" s="138" t="str">
        <f t="shared" si="1023"/>
        <v/>
      </c>
      <c r="G11756" s="153" t="s">
        <v>51</v>
      </c>
      <c r="H11756" s="160"/>
      <c r="I11756" s="160" t="s">
        <v>47</v>
      </c>
      <c r="J11756" s="160" t="s">
        <v>52</v>
      </c>
      <c r="K11756" s="160" t="s">
        <v>27</v>
      </c>
      <c r="L11756" s="154" t="str">
        <f>IF(OpenLCAbasic!K11756="CTUh", "Fill in Manually",IF(OR(K11756="Unit", K11756=""), "", INDEX(LookUps!$E$5:$E$12, MATCH(OpenLCAbasic!K11756,LookUps!$D$5:$D$12,0))))</f>
        <v/>
      </c>
      <c r="M11756" s="154" t="str">
        <f t="shared" si="1018"/>
        <v>____Process__</v>
      </c>
    </row>
    <row r="11757" spans="1:13" s="120" customFormat="1" x14ac:dyDescent="0.25">
      <c r="A11757" s="119"/>
      <c r="B11757" s="138" t="str">
        <f t="shared" si="1019"/>
        <v>Aerated Static Pile</v>
      </c>
      <c r="C11757" s="138" t="str">
        <f t="shared" si="1020"/>
        <v>Without Amendment</v>
      </c>
      <c r="D11757" s="138" t="str">
        <f t="shared" si="1021"/>
        <v>Base_Low</v>
      </c>
      <c r="E11757" s="138" t="str">
        <f t="shared" si="1022"/>
        <v>Base</v>
      </c>
      <c r="F11757" s="138" t="str">
        <f t="shared" si="1023"/>
        <v>Upgraded</v>
      </c>
      <c r="G11757" s="153"/>
      <c r="H11757" s="210">
        <v>0.30299999999999999</v>
      </c>
      <c r="I11757" s="160" t="s">
        <v>435</v>
      </c>
      <c r="J11757" s="160">
        <v>0.34242</v>
      </c>
      <c r="K11757" s="160" t="s">
        <v>23</v>
      </c>
      <c r="L11757" s="154" t="str">
        <f>IF(OpenLCAbasic!K11757="CTUh", "Fill in Manually",IF(OR(K11757="Unit", K11757=""), "", INDEX(LookUps!$E$5:$E$12, MATCH(OpenLCAbasic!K11757,LookUps!$D$5:$D$12,0))))</f>
        <v>Global Warming Potential (GWP) - kg CO2 eq</v>
      </c>
      <c r="M11757" s="154" t="str">
        <f t="shared" si="1018"/>
        <v>Base_Base_Low_Upgraded_Global Warming Potential (GWP) - kg CO2 eq_Biosolids composting; aerated static pile; wastewater treatment unit; at updated plant - US_Without Amendment_Aerated Static Pile</v>
      </c>
    </row>
    <row r="11758" spans="1:13" s="120" customFormat="1" x14ac:dyDescent="0.25">
      <c r="A11758" s="119"/>
      <c r="B11758" s="138" t="str">
        <f t="shared" si="1019"/>
        <v>Aerated Static Pile</v>
      </c>
      <c r="C11758" s="138" t="str">
        <f t="shared" si="1020"/>
        <v>Without Amendment</v>
      </c>
      <c r="D11758" s="138" t="str">
        <f t="shared" si="1021"/>
        <v>Base_Low</v>
      </c>
      <c r="E11758" s="138" t="str">
        <f t="shared" si="1022"/>
        <v>Base</v>
      </c>
      <c r="F11758" s="138" t="str">
        <f t="shared" si="1023"/>
        <v>Upgraded</v>
      </c>
      <c r="G11758" s="153"/>
      <c r="H11758" s="210">
        <v>0.21479999999999999</v>
      </c>
      <c r="I11758" s="160" t="s">
        <v>58</v>
      </c>
      <c r="J11758" s="160">
        <v>0.24279999999999999</v>
      </c>
      <c r="K11758" s="160" t="s">
        <v>23</v>
      </c>
      <c r="L11758" s="154" t="str">
        <f>IF(OpenLCAbasic!K11758="CTUh", "Fill in Manually",IF(OR(K11758="Unit", K11758=""), "", INDEX(LookUps!$E$5:$E$12, MATCH(OpenLCAbasic!K11758,LookUps!$D$5:$D$12,0))))</f>
        <v>Global Warming Potential (GWP) - kg CO2 eq</v>
      </c>
      <c r="M11758" s="154" t="str">
        <f t="shared" si="1018"/>
        <v>Base_Base_Low_Upgraded_Global Warming Potential (GWP) - kg CO2 eq_Pre-Anoxic &amp; Swing tank; wastewater treatment unit; at updated plant - US_Without Amendment_Aerated Static Pile</v>
      </c>
    </row>
    <row r="11759" spans="1:13" s="120" customFormat="1" x14ac:dyDescent="0.25">
      <c r="A11759" s="119"/>
      <c r="B11759" s="138" t="str">
        <f t="shared" si="1019"/>
        <v>Aerated Static Pile</v>
      </c>
      <c r="C11759" s="138" t="str">
        <f t="shared" si="1020"/>
        <v>Without Amendment</v>
      </c>
      <c r="D11759" s="138" t="str">
        <f t="shared" si="1021"/>
        <v>Base_Low</v>
      </c>
      <c r="E11759" s="138" t="str">
        <f t="shared" si="1022"/>
        <v>Base</v>
      </c>
      <c r="F11759" s="138" t="str">
        <f t="shared" si="1023"/>
        <v>Upgraded</v>
      </c>
      <c r="G11759" s="153"/>
      <c r="H11759" s="210">
        <v>0.1552</v>
      </c>
      <c r="I11759" s="160" t="s">
        <v>149</v>
      </c>
      <c r="J11759" s="160">
        <v>0.17544999999999999</v>
      </c>
      <c r="K11759" s="160" t="s">
        <v>23</v>
      </c>
      <c r="L11759" s="154" t="str">
        <f>IF(OpenLCAbasic!K11759="CTUh", "Fill in Manually",IF(OR(K11759="Unit", K11759=""), "", INDEX(LookUps!$E$5:$E$12, MATCH(OpenLCAbasic!K11759,LookUps!$D$5:$D$12,0))))</f>
        <v>Global Warming Potential (GWP) - kg CO2 eq</v>
      </c>
      <c r="M11759" s="154" t="str">
        <f t="shared" si="1018"/>
        <v>Base_Base_Low_Upgraded_Global Warming Potential (GWP) - kg CO2 eq_Anaerobic Digestion; wastewater treatment unit; at updated plant - US_Without Amendment_Aerated Static Pile</v>
      </c>
    </row>
    <row r="11760" spans="1:13" s="120" customFormat="1" x14ac:dyDescent="0.25">
      <c r="A11760" s="119"/>
      <c r="B11760" s="138" t="str">
        <f t="shared" si="1019"/>
        <v>Aerated Static Pile</v>
      </c>
      <c r="C11760" s="138" t="str">
        <f t="shared" si="1020"/>
        <v>Without Amendment</v>
      </c>
      <c r="D11760" s="138" t="str">
        <f t="shared" si="1021"/>
        <v>Base_Low</v>
      </c>
      <c r="E11760" s="138" t="str">
        <f t="shared" si="1022"/>
        <v>Base</v>
      </c>
      <c r="F11760" s="138" t="str">
        <f t="shared" si="1023"/>
        <v>Upgraded</v>
      </c>
      <c r="G11760" s="153"/>
      <c r="H11760" s="210">
        <v>0.14879999999999999</v>
      </c>
      <c r="I11760" s="160" t="s">
        <v>55</v>
      </c>
      <c r="J11760" s="160">
        <v>0.16822000000000001</v>
      </c>
      <c r="K11760" s="160" t="s">
        <v>23</v>
      </c>
      <c r="L11760" s="154" t="str">
        <f>IF(OpenLCAbasic!K11760="CTUh", "Fill in Manually",IF(OR(K11760="Unit", K11760=""), "", INDEX(LookUps!$E$5:$E$12, MATCH(OpenLCAbasic!K11760,LookUps!$D$5:$D$12,0))))</f>
        <v>Global Warming Potential (GWP) - kg CO2 eq</v>
      </c>
      <c r="M11760" s="154" t="str">
        <f t="shared" si="1018"/>
        <v>Base_Base_Low_Upgraded_Global Warming Potential (GWP) - kg CO2 eq_Aeration Tanks; wastewater treatment unit; at updated plant - US_Without Amendment_Aerated Static Pile</v>
      </c>
    </row>
    <row r="11761" spans="1:13" s="120" customFormat="1" x14ac:dyDescent="0.25">
      <c r="A11761" s="119"/>
      <c r="B11761" s="138" t="str">
        <f t="shared" si="1019"/>
        <v>Aerated Static Pile</v>
      </c>
      <c r="C11761" s="138" t="str">
        <f t="shared" si="1020"/>
        <v>Without Amendment</v>
      </c>
      <c r="D11761" s="138" t="str">
        <f t="shared" si="1021"/>
        <v>Base_Low</v>
      </c>
      <c r="E11761" s="138" t="str">
        <f t="shared" si="1022"/>
        <v>Base</v>
      </c>
      <c r="F11761" s="138" t="str">
        <f t="shared" si="1023"/>
        <v>Upgraded</v>
      </c>
      <c r="G11761" s="153"/>
      <c r="H11761" s="210">
        <v>9.06E-2</v>
      </c>
      <c r="I11761" s="160" t="s">
        <v>167</v>
      </c>
      <c r="J11761" s="160">
        <v>0.10241</v>
      </c>
      <c r="K11761" s="160" t="s">
        <v>23</v>
      </c>
      <c r="L11761" s="154" t="str">
        <f>IF(OpenLCAbasic!K11761="CTUh", "Fill in Manually",IF(OR(K11761="Unit", K11761=""), "", INDEX(LookUps!$E$5:$E$12, MATCH(OpenLCAbasic!K11761,LookUps!$D$5:$D$12,0))))</f>
        <v>Global Warming Potential (GWP) - kg CO2 eq</v>
      </c>
      <c r="M11761" s="154" t="str">
        <f t="shared" si="1018"/>
        <v>Base_Base_Low_Upgraded_Global Warming Potential (GWP) - kg CO2 eq_Waste Receiving and Holding; wastewater treatment unit; at updated plant - US_Without Amendment_Aerated Static Pile</v>
      </c>
    </row>
    <row r="11762" spans="1:13" s="120" customFormat="1" x14ac:dyDescent="0.25">
      <c r="A11762" s="119"/>
      <c r="B11762" s="138" t="str">
        <f t="shared" si="1019"/>
        <v>Aerated Static Pile</v>
      </c>
      <c r="C11762" s="138" t="str">
        <f t="shared" si="1020"/>
        <v>Without Amendment</v>
      </c>
      <c r="D11762" s="138" t="str">
        <f t="shared" si="1021"/>
        <v>Base_Low</v>
      </c>
      <c r="E11762" s="138" t="str">
        <f t="shared" si="1022"/>
        <v>Base</v>
      </c>
      <c r="F11762" s="138" t="str">
        <f t="shared" si="1023"/>
        <v>Upgraded</v>
      </c>
      <c r="G11762" s="153"/>
      <c r="H11762" s="210">
        <v>5.0500000000000003E-2</v>
      </c>
      <c r="I11762" s="160" t="s">
        <v>54</v>
      </c>
      <c r="J11762" s="160">
        <v>5.7079999999999999E-2</v>
      </c>
      <c r="K11762" s="160" t="s">
        <v>23</v>
      </c>
      <c r="L11762" s="154" t="str">
        <f>IF(OpenLCAbasic!K11762="CTUh", "Fill in Manually",IF(OR(K11762="Unit", K11762=""), "", INDEX(LookUps!$E$5:$E$12, MATCH(OpenLCAbasic!K11762,LookUps!$D$5:$D$12,0))))</f>
        <v>Global Warming Potential (GWP) - kg CO2 eq</v>
      </c>
      <c r="M11762" s="154" t="str">
        <f t="shared" si="1018"/>
        <v>Base_Base_Low_Upgraded_Global Warming Potential (GWP) - kg CO2 eq_Clear Cove Primary Clarification; wastewater treatment unit; at updated plant - US_Without Amendment_Aerated Static Pile</v>
      </c>
    </row>
    <row r="11763" spans="1:13" s="120" customFormat="1" x14ac:dyDescent="0.25">
      <c r="A11763" s="119"/>
      <c r="B11763" s="138" t="str">
        <f t="shared" si="1019"/>
        <v>Aerated Static Pile</v>
      </c>
      <c r="C11763" s="138" t="str">
        <f t="shared" si="1020"/>
        <v>Without Amendment</v>
      </c>
      <c r="D11763" s="138" t="str">
        <f t="shared" si="1021"/>
        <v>Base_Low</v>
      </c>
      <c r="E11763" s="138" t="str">
        <f t="shared" si="1022"/>
        <v>Base</v>
      </c>
      <c r="F11763" s="138" t="str">
        <f t="shared" si="1023"/>
        <v>Upgraded</v>
      </c>
      <c r="G11763" s="153"/>
      <c r="H11763" s="210">
        <v>4.6600000000000003E-2</v>
      </c>
      <c r="I11763" s="160" t="s">
        <v>48</v>
      </c>
      <c r="J11763" s="160">
        <v>5.2639999999999999E-2</v>
      </c>
      <c r="K11763" s="160" t="s">
        <v>23</v>
      </c>
      <c r="L11763" s="154" t="str">
        <f>IF(OpenLCAbasic!K11763="CTUh", "Fill in Manually",IF(OR(K11763="Unit", K11763=""), "", INDEX(LookUps!$E$5:$E$12, MATCH(OpenLCAbasic!K11763,LookUps!$D$5:$D$12,0))))</f>
        <v>Global Warming Potential (GWP) - kg CO2 eq</v>
      </c>
      <c r="M11763" s="154" t="str">
        <f t="shared" si="1018"/>
        <v>Base_Base_Low_Upgraded_Global Warming Potential (GWP) - kg CO2 eq_Effluent release; wastewater treatment unit; at surface water; m3 wastewater - US_Without Amendment_Aerated Static Pile</v>
      </c>
    </row>
    <row r="11764" spans="1:13" s="120" customFormat="1" x14ac:dyDescent="0.25">
      <c r="A11764" s="119"/>
      <c r="B11764" s="138" t="str">
        <f t="shared" si="1019"/>
        <v>Aerated Static Pile</v>
      </c>
      <c r="C11764" s="138" t="str">
        <f t="shared" si="1020"/>
        <v>Without Amendment</v>
      </c>
      <c r="D11764" s="138" t="str">
        <f t="shared" si="1021"/>
        <v>Base_Low</v>
      </c>
      <c r="E11764" s="138" t="str">
        <f t="shared" si="1022"/>
        <v>Base</v>
      </c>
      <c r="F11764" s="138" t="str">
        <f t="shared" si="1023"/>
        <v>Upgraded</v>
      </c>
      <c r="G11764" s="153"/>
      <c r="H11764" s="210">
        <v>4.4699999999999997E-2</v>
      </c>
      <c r="I11764" s="160" t="s">
        <v>147</v>
      </c>
      <c r="J11764" s="160">
        <v>5.0500000000000003E-2</v>
      </c>
      <c r="K11764" s="160" t="s">
        <v>23</v>
      </c>
      <c r="L11764" s="154" t="str">
        <f>IF(OpenLCAbasic!K11764="CTUh", "Fill in Manually",IF(OR(K11764="Unit", K11764=""), "", INDEX(LookUps!$E$5:$E$12, MATCH(OpenLCAbasic!K11764,LookUps!$D$5:$D$12,0))))</f>
        <v>Global Warming Potential (GWP) - kg CO2 eq</v>
      </c>
      <c r="M11764" s="154" t="str">
        <f t="shared" si="1018"/>
        <v>Base_Base_Low_Upgraded_Global Warming Potential (GWP) - kg CO2 eq_Influent Pump Station; wastewater treatment unit; at updated plant - US_Without Amendment_Aerated Static Pile</v>
      </c>
    </row>
    <row r="11765" spans="1:13" s="120" customFormat="1" x14ac:dyDescent="0.25">
      <c r="A11765" s="119"/>
      <c r="B11765" s="138" t="str">
        <f t="shared" si="1019"/>
        <v>Aerated Static Pile</v>
      </c>
      <c r="C11765" s="138" t="str">
        <f t="shared" si="1020"/>
        <v>Without Amendment</v>
      </c>
      <c r="D11765" s="138" t="str">
        <f t="shared" si="1021"/>
        <v>Base_Low</v>
      </c>
      <c r="E11765" s="138" t="str">
        <f t="shared" si="1022"/>
        <v>Base</v>
      </c>
      <c r="F11765" s="138" t="str">
        <f t="shared" si="1023"/>
        <v>Upgraded</v>
      </c>
      <c r="G11765" s="153"/>
      <c r="H11765" s="210">
        <v>2.9399999999999999E-2</v>
      </c>
      <c r="I11765" s="160" t="s">
        <v>53</v>
      </c>
      <c r="J11765" s="160">
        <v>3.3259999999999998E-2</v>
      </c>
      <c r="K11765" s="160" t="s">
        <v>23</v>
      </c>
      <c r="L11765" s="154" t="str">
        <f>IF(OpenLCAbasic!K11765="CTUh", "Fill in Manually",IF(OR(K11765="Unit", K11765=""), "", INDEX(LookUps!$E$5:$E$12, MATCH(OpenLCAbasic!K11765,LookUps!$D$5:$D$12,0))))</f>
        <v>Global Warming Potential (GWP) - kg CO2 eq</v>
      </c>
      <c r="M11765" s="154" t="str">
        <f t="shared" si="1018"/>
        <v>Base_Base_Low_Upgraded_Global Warming Potential (GWP) - kg CO2 eq_Wet Well and Sump Station; wastewater treatment unit; at updated plant - US_Without Amendment_Aerated Static Pile</v>
      </c>
    </row>
    <row r="11766" spans="1:13" s="120" customFormat="1" x14ac:dyDescent="0.25">
      <c r="A11766" s="119"/>
      <c r="B11766" s="138" t="str">
        <f t="shared" si="1019"/>
        <v>Aerated Static Pile</v>
      </c>
      <c r="C11766" s="138" t="str">
        <f t="shared" si="1020"/>
        <v>Without Amendment</v>
      </c>
      <c r="D11766" s="138" t="str">
        <f t="shared" si="1021"/>
        <v>Base_Low</v>
      </c>
      <c r="E11766" s="138" t="str">
        <f t="shared" si="1022"/>
        <v>Base</v>
      </c>
      <c r="F11766" s="138" t="str">
        <f t="shared" si="1023"/>
        <v>Upgraded</v>
      </c>
      <c r="G11766" s="153"/>
      <c r="H11766" s="210">
        <v>1.29E-2</v>
      </c>
      <c r="I11766" s="160" t="s">
        <v>57</v>
      </c>
      <c r="J11766" s="160">
        <v>1.455E-2</v>
      </c>
      <c r="K11766" s="160" t="s">
        <v>23</v>
      </c>
      <c r="L11766" s="154" t="str">
        <f>IF(OpenLCAbasic!K11766="CTUh", "Fill in Manually",IF(OR(K11766="Unit", K11766=""), "", INDEX(LookUps!$E$5:$E$12, MATCH(OpenLCAbasic!K11766,LookUps!$D$5:$D$12,0))))</f>
        <v>Global Warming Potential (GWP) - kg CO2 eq</v>
      </c>
      <c r="M11766" s="154" t="str">
        <f t="shared" si="1018"/>
        <v>Base_Base_Low_Upgraded_Global Warming Potential (GWP) - kg CO2 eq_Gravity Belt Thickener; wastewater treatment unit; at updated plant - US_Without Amendment_Aerated Static Pile</v>
      </c>
    </row>
    <row r="11767" spans="1:13" s="120" customFormat="1" x14ac:dyDescent="0.25">
      <c r="A11767" s="119"/>
      <c r="B11767" s="138" t="str">
        <f t="shared" si="1019"/>
        <v>Aerated Static Pile</v>
      </c>
      <c r="C11767" s="138" t="str">
        <f t="shared" si="1020"/>
        <v>Without Amendment</v>
      </c>
      <c r="D11767" s="138" t="str">
        <f t="shared" si="1021"/>
        <v>Base_Low</v>
      </c>
      <c r="E11767" s="138" t="str">
        <f t="shared" si="1022"/>
        <v>Base</v>
      </c>
      <c r="F11767" s="138" t="str">
        <f t="shared" si="1023"/>
        <v>Upgraded</v>
      </c>
      <c r="G11767" s="153"/>
      <c r="H11767" s="210">
        <v>1.2500000000000001E-2</v>
      </c>
      <c r="I11767" s="160" t="s">
        <v>60</v>
      </c>
      <c r="J11767" s="160">
        <v>1.418E-2</v>
      </c>
      <c r="K11767" s="160" t="s">
        <v>23</v>
      </c>
      <c r="L11767" s="154" t="str">
        <f>IF(OpenLCAbasic!K11767="CTUh", "Fill in Manually",IF(OR(K11767="Unit", K11767=""), "", INDEX(LookUps!$E$5:$E$12, MATCH(OpenLCAbasic!K11767,LookUps!$D$5:$D$12,0))))</f>
        <v>Global Warming Potential (GWP) - kg CO2 eq</v>
      </c>
      <c r="M11767" s="154" t="str">
        <f t="shared" si="1018"/>
        <v>Base_Base_Low_Upgraded_Global Warming Potential (GWP) - kg CO2 eq_Belt filter press; wastewater treatment unit; at updated plant - US_Without Amendment_Aerated Static Pile</v>
      </c>
    </row>
    <row r="11768" spans="1:13" s="120" customFormat="1" x14ac:dyDescent="0.25">
      <c r="A11768" s="119"/>
      <c r="B11768" s="138" t="str">
        <f t="shared" si="1019"/>
        <v>Aerated Static Pile</v>
      </c>
      <c r="C11768" s="138" t="str">
        <f t="shared" si="1020"/>
        <v>Without Amendment</v>
      </c>
      <c r="D11768" s="138" t="str">
        <f t="shared" si="1021"/>
        <v>Base_Low</v>
      </c>
      <c r="E11768" s="138" t="str">
        <f t="shared" si="1022"/>
        <v>Base</v>
      </c>
      <c r="F11768" s="138" t="str">
        <f t="shared" si="1023"/>
        <v>Upgraded</v>
      </c>
      <c r="G11768" s="153"/>
      <c r="H11768" s="210">
        <v>1.1900000000000001E-2</v>
      </c>
      <c r="I11768" s="160" t="s">
        <v>128</v>
      </c>
      <c r="J11768" s="160">
        <v>1.3509999999999999E-2</v>
      </c>
      <c r="K11768" s="160" t="s">
        <v>23</v>
      </c>
      <c r="L11768" s="154" t="str">
        <f>IF(OpenLCAbasic!K11768="CTUh", "Fill in Manually",IF(OR(K11768="Unit", K11768=""), "", INDEX(LookUps!$E$5:$E$12, MATCH(OpenLCAbasic!K11768,LookUps!$D$5:$D$12,0))))</f>
        <v>Global Warming Potential (GWP) - kg CO2 eq</v>
      </c>
      <c r="M11768" s="154" t="str">
        <f t="shared" si="1018"/>
        <v>Base_Base_Low_Upgraded_Global Warming Potential (GWP) - kg CO2 eq_Wastewater collection; operation and infrastructure; m3 wastewater_Without Amendment_Aerated Static Pile</v>
      </c>
    </row>
    <row r="11769" spans="1:13" s="120" customFormat="1" x14ac:dyDescent="0.25">
      <c r="A11769" s="119"/>
      <c r="B11769" s="138" t="str">
        <f t="shared" si="1019"/>
        <v>Aerated Static Pile</v>
      </c>
      <c r="C11769" s="138" t="str">
        <f t="shared" si="1020"/>
        <v>Without Amendment</v>
      </c>
      <c r="D11769" s="138" t="str">
        <f t="shared" si="1021"/>
        <v>Base_Low</v>
      </c>
      <c r="E11769" s="138" t="str">
        <f t="shared" si="1022"/>
        <v>Base</v>
      </c>
      <c r="F11769" s="138" t="str">
        <f t="shared" si="1023"/>
        <v>Upgraded</v>
      </c>
      <c r="G11769" s="153"/>
      <c r="H11769" s="210">
        <v>7.3000000000000001E-3</v>
      </c>
      <c r="I11769" s="160" t="s">
        <v>148</v>
      </c>
      <c r="J11769" s="160">
        <v>8.3000000000000001E-3</v>
      </c>
      <c r="K11769" s="160" t="s">
        <v>23</v>
      </c>
      <c r="L11769" s="154" t="str">
        <f>IF(OpenLCAbasic!K11769="CTUh", "Fill in Manually",IF(OR(K11769="Unit", K11769=""), "", INDEX(LookUps!$E$5:$E$12, MATCH(OpenLCAbasic!K11769,LookUps!$D$5:$D$12,0))))</f>
        <v>Global Warming Potential (GWP) - kg CO2 eq</v>
      </c>
      <c r="M11769" s="154" t="str">
        <f t="shared" si="1018"/>
        <v>Base_Base_Low_Upgraded_Global Warming Potential (GWP) - kg CO2 eq_Control Building; at upgraded wastewater treatment plant - US_Without Amendment_Aerated Static Pile</v>
      </c>
    </row>
    <row r="11770" spans="1:13" s="120" customFormat="1" x14ac:dyDescent="0.25">
      <c r="A11770" s="119"/>
      <c r="B11770" s="138" t="str">
        <f t="shared" si="1019"/>
        <v>Aerated Static Pile</v>
      </c>
      <c r="C11770" s="138" t="str">
        <f t="shared" si="1020"/>
        <v>Without Amendment</v>
      </c>
      <c r="D11770" s="138" t="str">
        <f t="shared" si="1021"/>
        <v>Base_Low</v>
      </c>
      <c r="E11770" s="138" t="str">
        <f t="shared" si="1022"/>
        <v>Base</v>
      </c>
      <c r="F11770" s="138" t="str">
        <f t="shared" si="1023"/>
        <v>Upgraded</v>
      </c>
      <c r="G11770" s="153"/>
      <c r="H11770" s="210">
        <v>4.4999999999999997E-3</v>
      </c>
      <c r="I11770" s="160" t="s">
        <v>59</v>
      </c>
      <c r="J11770" s="160">
        <v>5.0400000000000002E-3</v>
      </c>
      <c r="K11770" s="160" t="s">
        <v>23</v>
      </c>
      <c r="L11770" s="154" t="str">
        <f>IF(OpenLCAbasic!K11770="CTUh", "Fill in Manually",IF(OR(K11770="Unit", K11770=""), "", INDEX(LookUps!$E$5:$E$12, MATCH(OpenLCAbasic!K11770,LookUps!$D$5:$D$12,0))))</f>
        <v>Global Warming Potential (GWP) - kg CO2 eq</v>
      </c>
      <c r="M11770" s="154" t="str">
        <f t="shared" si="1018"/>
        <v>Base_Base_Low_Upgraded_Global Warming Potential (GWP) - kg CO2 eq_Blend Tank; wastewater treatment unit; at updated plant - US_Without Amendment_Aerated Static Pile</v>
      </c>
    </row>
    <row r="11771" spans="1:13" s="120" customFormat="1" x14ac:dyDescent="0.25">
      <c r="A11771" s="119"/>
      <c r="B11771" s="138" t="str">
        <f t="shared" si="1019"/>
        <v>Aerated Static Pile</v>
      </c>
      <c r="C11771" s="138" t="str">
        <f t="shared" si="1020"/>
        <v>Without Amendment</v>
      </c>
      <c r="D11771" s="138" t="str">
        <f t="shared" si="1021"/>
        <v>Base_Low</v>
      </c>
      <c r="E11771" s="138" t="str">
        <f t="shared" si="1022"/>
        <v>Base</v>
      </c>
      <c r="F11771" s="138" t="str">
        <f t="shared" si="1023"/>
        <v>Upgraded</v>
      </c>
      <c r="G11771" s="153"/>
      <c r="H11771" s="210">
        <v>2.0999999999999999E-3</v>
      </c>
      <c r="I11771" s="160" t="s">
        <v>168</v>
      </c>
      <c r="J11771" s="160">
        <v>2.4099999999999998E-3</v>
      </c>
      <c r="K11771" s="160" t="s">
        <v>23</v>
      </c>
      <c r="L11771" s="154" t="str">
        <f>IF(OpenLCAbasic!K11771="CTUh", "Fill in Manually",IF(OR(K11771="Unit", K11771=""), "", INDEX(LookUps!$E$5:$E$12, MATCH(OpenLCAbasic!K11771,LookUps!$D$5:$D$12,0))))</f>
        <v>Global Warming Potential (GWP) - kg CO2 eq</v>
      </c>
      <c r="M11771" s="154" t="str">
        <f t="shared" si="1018"/>
        <v>Base_Base_Low_Upgraded_Global Warming Potential (GWP) - kg CO2 eq_ClearCove SCP; wastewater treatment unit; at updated plant - US_Without Amendment_Aerated Static Pile</v>
      </c>
    </row>
    <row r="11772" spans="1:13" s="120" customFormat="1" x14ac:dyDescent="0.25">
      <c r="A11772" s="119"/>
      <c r="B11772" s="138" t="str">
        <f t="shared" si="1019"/>
        <v>Aerated Static Pile</v>
      </c>
      <c r="C11772" s="138" t="str">
        <f t="shared" si="1020"/>
        <v>Without Amendment</v>
      </c>
      <c r="D11772" s="138" t="str">
        <f t="shared" si="1021"/>
        <v>Base_Low</v>
      </c>
      <c r="E11772" s="138" t="str">
        <f t="shared" si="1022"/>
        <v>Base</v>
      </c>
      <c r="F11772" s="138" t="str">
        <f t="shared" si="1023"/>
        <v>Upgraded</v>
      </c>
      <c r="G11772" s="153"/>
      <c r="H11772" s="210">
        <v>-0.13489999999999999</v>
      </c>
      <c r="I11772" s="160" t="s">
        <v>62</v>
      </c>
      <c r="J11772" s="160">
        <v>-0.15248</v>
      </c>
      <c r="K11772" s="160" t="s">
        <v>23</v>
      </c>
      <c r="L11772" s="154" t="str">
        <f>IF(OpenLCAbasic!K11772="CTUh", "Fill in Manually",IF(OR(K11772="Unit", K11772=""), "", INDEX(LookUps!$E$5:$E$12, MATCH(OpenLCAbasic!K11772,LookUps!$D$5:$D$12,0))))</f>
        <v>Global Warming Potential (GWP) - kg CO2 eq</v>
      </c>
      <c r="M11772" s="154" t="str">
        <f t="shared" si="1018"/>
        <v>Base_Base_Low_Upgraded_Global Warming Potential (GWP) - kg CO2 eq_Land application of compost; wastewater treatment unit; at updated plant - US_Without Amendment_Aerated Static Pile</v>
      </c>
    </row>
    <row r="11773" spans="1:13" s="120" customFormat="1" x14ac:dyDescent="0.25">
      <c r="A11773" s="119"/>
      <c r="B11773" s="138" t="str">
        <f t="shared" si="1019"/>
        <v/>
      </c>
      <c r="C11773" s="138" t="str">
        <f t="shared" si="1020"/>
        <v/>
      </c>
      <c r="D11773" s="138" t="str">
        <f t="shared" si="1021"/>
        <v/>
      </c>
      <c r="E11773" s="138" t="str">
        <f t="shared" si="1022"/>
        <v/>
      </c>
      <c r="F11773" s="138" t="str">
        <f t="shared" si="1023"/>
        <v/>
      </c>
      <c r="G11773" s="153" t="s">
        <v>51</v>
      </c>
      <c r="H11773" s="160"/>
      <c r="I11773" s="160" t="s">
        <v>47</v>
      </c>
      <c r="J11773" s="160" t="s">
        <v>52</v>
      </c>
      <c r="K11773" s="160" t="s">
        <v>27</v>
      </c>
      <c r="L11773" s="154" t="str">
        <f>IF(OpenLCAbasic!K11773="CTUh", "Fill in Manually",IF(OR(K11773="Unit", K11773=""), "", INDEX(LookUps!$E$5:$E$12, MATCH(OpenLCAbasic!K11773,LookUps!$D$5:$D$12,0))))</f>
        <v/>
      </c>
      <c r="M11773" s="154" t="str">
        <f t="shared" si="1018"/>
        <v>____Process__</v>
      </c>
    </row>
    <row r="11774" spans="1:13" s="120" customFormat="1" x14ac:dyDescent="0.25">
      <c r="A11774" s="119"/>
      <c r="B11774" s="138" t="str">
        <f t="shared" si="1019"/>
        <v>Aerated Static Pile</v>
      </c>
      <c r="C11774" s="138" t="str">
        <f t="shared" si="1020"/>
        <v>Without Amendment</v>
      </c>
      <c r="D11774" s="138" t="str">
        <f t="shared" si="1021"/>
        <v>Base_Low</v>
      </c>
      <c r="E11774" s="138" t="str">
        <f t="shared" si="1022"/>
        <v>Base</v>
      </c>
      <c r="F11774" s="138" t="str">
        <f t="shared" si="1023"/>
        <v>Upgraded</v>
      </c>
      <c r="G11774" s="153"/>
      <c r="H11774" s="210">
        <v>0.40239999999999998</v>
      </c>
      <c r="I11774" s="160" t="s">
        <v>55</v>
      </c>
      <c r="J11774" s="160">
        <v>2.33E-3</v>
      </c>
      <c r="K11774" s="160" t="s">
        <v>145</v>
      </c>
      <c r="L11774" s="154" t="str">
        <f>IF(OpenLCAbasic!K11774="CTUh", "Fill in Manually",IF(OR(K11774="Unit", K11774=""), "", INDEX(LookUps!$E$5:$E$12, MATCH(OpenLCAbasic!K11774,LookUps!$D$5:$D$12,0))))</f>
        <v>Particulate Matter Formation Potential (PMFP) - kg PM2.5 eq</v>
      </c>
      <c r="M11774" s="154" t="str">
        <f t="shared" si="1018"/>
        <v>Base_Base_Low_Upgraded_Particulate Matter Formation Potential (PMFP) - kg PM2.5 eq_Aeration Tanks; wastewater treatment unit; at updated plant - US_Without Amendment_Aerated Static Pile</v>
      </c>
    </row>
    <row r="11775" spans="1:13" s="120" customFormat="1" x14ac:dyDescent="0.25">
      <c r="A11775" s="119"/>
      <c r="B11775" s="138" t="str">
        <f t="shared" si="1019"/>
        <v>Aerated Static Pile</v>
      </c>
      <c r="C11775" s="138" t="str">
        <f t="shared" si="1020"/>
        <v>Without Amendment</v>
      </c>
      <c r="D11775" s="138" t="str">
        <f t="shared" si="1021"/>
        <v>Base_Low</v>
      </c>
      <c r="E11775" s="138" t="str">
        <f t="shared" si="1022"/>
        <v>Base</v>
      </c>
      <c r="F11775" s="138" t="str">
        <f t="shared" si="1023"/>
        <v>Upgraded</v>
      </c>
      <c r="G11775" s="153"/>
      <c r="H11775" s="210">
        <v>0.1171</v>
      </c>
      <c r="I11775" s="160" t="s">
        <v>54</v>
      </c>
      <c r="J11775" s="160">
        <v>6.8000000000000005E-4</v>
      </c>
      <c r="K11775" s="160" t="s">
        <v>145</v>
      </c>
      <c r="L11775" s="154" t="str">
        <f>IF(OpenLCAbasic!K11775="CTUh", "Fill in Manually",IF(OR(K11775="Unit", K11775=""), "", INDEX(LookUps!$E$5:$E$12, MATCH(OpenLCAbasic!K11775,LookUps!$D$5:$D$12,0))))</f>
        <v>Particulate Matter Formation Potential (PMFP) - kg PM2.5 eq</v>
      </c>
      <c r="M11775" s="154" t="str">
        <f t="shared" si="1018"/>
        <v>Base_Base_Low_Upgraded_Particulate Matter Formation Potential (PMFP) - kg PM2.5 eq_Clear Cove Primary Clarification; wastewater treatment unit; at updated plant - US_Without Amendment_Aerated Static Pile</v>
      </c>
    </row>
    <row r="11776" spans="1:13" s="120" customFormat="1" x14ac:dyDescent="0.25">
      <c r="A11776" s="119"/>
      <c r="B11776" s="138" t="str">
        <f t="shared" si="1019"/>
        <v>Aerated Static Pile</v>
      </c>
      <c r="C11776" s="138" t="str">
        <f t="shared" si="1020"/>
        <v>Without Amendment</v>
      </c>
      <c r="D11776" s="138" t="str">
        <f t="shared" si="1021"/>
        <v>Base_Low</v>
      </c>
      <c r="E11776" s="138" t="str">
        <f t="shared" si="1022"/>
        <v>Base</v>
      </c>
      <c r="F11776" s="138" t="str">
        <f t="shared" si="1023"/>
        <v>Upgraded</v>
      </c>
      <c r="G11776" s="153"/>
      <c r="H11776" s="210">
        <v>0.1012</v>
      </c>
      <c r="I11776" s="160" t="s">
        <v>58</v>
      </c>
      <c r="J11776" s="160">
        <v>5.9000000000000003E-4</v>
      </c>
      <c r="K11776" s="160" t="s">
        <v>145</v>
      </c>
      <c r="L11776" s="154" t="str">
        <f>IF(OpenLCAbasic!K11776="CTUh", "Fill in Manually",IF(OR(K11776="Unit", K11776=""), "", INDEX(LookUps!$E$5:$E$12, MATCH(OpenLCAbasic!K11776,LookUps!$D$5:$D$12,0))))</f>
        <v>Particulate Matter Formation Potential (PMFP) - kg PM2.5 eq</v>
      </c>
      <c r="M11776" s="154" t="str">
        <f t="shared" si="1018"/>
        <v>Base_Base_Low_Upgraded_Particulate Matter Formation Potential (PMFP) - kg PM2.5 eq_Pre-Anoxic &amp; Swing tank; wastewater treatment unit; at updated plant - US_Without Amendment_Aerated Static Pile</v>
      </c>
    </row>
    <row r="11777" spans="1:13" s="120" customFormat="1" x14ac:dyDescent="0.25">
      <c r="A11777" s="119"/>
      <c r="B11777" s="138" t="str">
        <f t="shared" si="1019"/>
        <v>Aerated Static Pile</v>
      </c>
      <c r="C11777" s="138" t="str">
        <f t="shared" si="1020"/>
        <v>Without Amendment</v>
      </c>
      <c r="D11777" s="138" t="str">
        <f t="shared" si="1021"/>
        <v>Base_Low</v>
      </c>
      <c r="E11777" s="138" t="str">
        <f t="shared" si="1022"/>
        <v>Base</v>
      </c>
      <c r="F11777" s="138" t="str">
        <f t="shared" si="1023"/>
        <v>Upgraded</v>
      </c>
      <c r="G11777" s="153"/>
      <c r="H11777" s="210">
        <v>8.0399999999999999E-2</v>
      </c>
      <c r="I11777" s="160" t="s">
        <v>53</v>
      </c>
      <c r="J11777" s="160">
        <v>4.6999999999999999E-4</v>
      </c>
      <c r="K11777" s="160" t="s">
        <v>145</v>
      </c>
      <c r="L11777" s="154" t="str">
        <f>IF(OpenLCAbasic!K11777="CTUh", "Fill in Manually",IF(OR(K11777="Unit", K11777=""), "", INDEX(LookUps!$E$5:$E$12, MATCH(OpenLCAbasic!K11777,LookUps!$D$5:$D$12,0))))</f>
        <v>Particulate Matter Formation Potential (PMFP) - kg PM2.5 eq</v>
      </c>
      <c r="M11777" s="154" t="str">
        <f t="shared" si="1018"/>
        <v>Base_Base_Low_Upgraded_Particulate Matter Formation Potential (PMFP) - kg PM2.5 eq_Wet Well and Sump Station; wastewater treatment unit; at updated plant - US_Without Amendment_Aerated Static Pile</v>
      </c>
    </row>
    <row r="11778" spans="1:13" s="120" customFormat="1" x14ac:dyDescent="0.25">
      <c r="A11778" s="119"/>
      <c r="B11778" s="138" t="str">
        <f t="shared" si="1019"/>
        <v>Aerated Static Pile</v>
      </c>
      <c r="C11778" s="138" t="str">
        <f t="shared" si="1020"/>
        <v>Without Amendment</v>
      </c>
      <c r="D11778" s="138" t="str">
        <f t="shared" si="1021"/>
        <v>Base_Low</v>
      </c>
      <c r="E11778" s="138" t="str">
        <f t="shared" si="1022"/>
        <v>Base</v>
      </c>
      <c r="F11778" s="138" t="str">
        <f t="shared" si="1023"/>
        <v>Upgraded</v>
      </c>
      <c r="G11778" s="153"/>
      <c r="H11778" s="210">
        <v>5.8200000000000002E-2</v>
      </c>
      <c r="I11778" s="160" t="s">
        <v>149</v>
      </c>
      <c r="J11778" s="160">
        <v>3.4000000000000002E-4</v>
      </c>
      <c r="K11778" s="160" t="s">
        <v>145</v>
      </c>
      <c r="L11778" s="154" t="str">
        <f>IF(OpenLCAbasic!K11778="CTUh", "Fill in Manually",IF(OR(K11778="Unit", K11778=""), "", INDEX(LookUps!$E$5:$E$12, MATCH(OpenLCAbasic!K11778,LookUps!$D$5:$D$12,0))))</f>
        <v>Particulate Matter Formation Potential (PMFP) - kg PM2.5 eq</v>
      </c>
      <c r="M11778" s="154" t="str">
        <f t="shared" si="1018"/>
        <v>Base_Base_Low_Upgraded_Particulate Matter Formation Potential (PMFP) - kg PM2.5 eq_Anaerobic Digestion; wastewater treatment unit; at updated plant - US_Without Amendment_Aerated Static Pile</v>
      </c>
    </row>
    <row r="11779" spans="1:13" s="120" customFormat="1" x14ac:dyDescent="0.25">
      <c r="A11779" s="119"/>
      <c r="B11779" s="138" t="str">
        <f t="shared" si="1019"/>
        <v>Aerated Static Pile</v>
      </c>
      <c r="C11779" s="138" t="str">
        <f t="shared" si="1020"/>
        <v>Without Amendment</v>
      </c>
      <c r="D11779" s="138" t="str">
        <f t="shared" si="1021"/>
        <v>Base_Low</v>
      </c>
      <c r="E11779" s="138" t="str">
        <f t="shared" si="1022"/>
        <v>Base</v>
      </c>
      <c r="F11779" s="138" t="str">
        <f t="shared" si="1023"/>
        <v>Upgraded</v>
      </c>
      <c r="G11779" s="153"/>
      <c r="H11779" s="210">
        <v>5.16E-2</v>
      </c>
      <c r="I11779" s="160" t="s">
        <v>167</v>
      </c>
      <c r="J11779" s="160">
        <v>2.9999999999999997E-4</v>
      </c>
      <c r="K11779" s="160" t="s">
        <v>145</v>
      </c>
      <c r="L11779" s="154" t="str">
        <f>IF(OpenLCAbasic!K11779="CTUh", "Fill in Manually",IF(OR(K11779="Unit", K11779=""), "", INDEX(LookUps!$E$5:$E$12, MATCH(OpenLCAbasic!K11779,LookUps!$D$5:$D$12,0))))</f>
        <v>Particulate Matter Formation Potential (PMFP) - kg PM2.5 eq</v>
      </c>
      <c r="M11779" s="154" t="str">
        <f t="shared" si="1018"/>
        <v>Base_Base_Low_Upgraded_Particulate Matter Formation Potential (PMFP) - kg PM2.5 eq_Waste Receiving and Holding; wastewater treatment unit; at updated plant - US_Without Amendment_Aerated Static Pile</v>
      </c>
    </row>
    <row r="11780" spans="1:13" s="120" customFormat="1" x14ac:dyDescent="0.25">
      <c r="A11780" s="119"/>
      <c r="B11780" s="138" t="str">
        <f t="shared" si="1019"/>
        <v>Aerated Static Pile</v>
      </c>
      <c r="C11780" s="138" t="str">
        <f t="shared" si="1020"/>
        <v>Without Amendment</v>
      </c>
      <c r="D11780" s="138" t="str">
        <f t="shared" si="1021"/>
        <v>Base_Low</v>
      </c>
      <c r="E11780" s="138" t="str">
        <f t="shared" si="1022"/>
        <v>Base</v>
      </c>
      <c r="F11780" s="138" t="str">
        <f t="shared" si="1023"/>
        <v>Upgraded</v>
      </c>
      <c r="G11780" s="153"/>
      <c r="H11780" s="210">
        <v>4.5999999999999999E-2</v>
      </c>
      <c r="I11780" s="160" t="s">
        <v>147</v>
      </c>
      <c r="J11780" s="160">
        <v>2.7E-4</v>
      </c>
      <c r="K11780" s="160" t="s">
        <v>145</v>
      </c>
      <c r="L11780" s="154" t="str">
        <f>IF(OpenLCAbasic!K11780="CTUh", "Fill in Manually",IF(OR(K11780="Unit", K11780=""), "", INDEX(LookUps!$E$5:$E$12, MATCH(OpenLCAbasic!K11780,LookUps!$D$5:$D$12,0))))</f>
        <v>Particulate Matter Formation Potential (PMFP) - kg PM2.5 eq</v>
      </c>
      <c r="M11780" s="154" t="str">
        <f t="shared" ref="M11780:M11843" si="1024">CONCATENATE(E11780,"_",D11780,"_",F11780,"_",L11780, "_",I11780,"_", C11780,"_", B11780)</f>
        <v>Base_Base_Low_Upgraded_Particulate Matter Formation Potential (PMFP) - kg PM2.5 eq_Influent Pump Station; wastewater treatment unit; at updated plant - US_Without Amendment_Aerated Static Pile</v>
      </c>
    </row>
    <row r="11781" spans="1:13" s="120" customFormat="1" x14ac:dyDescent="0.25">
      <c r="A11781" s="119"/>
      <c r="B11781" s="138" t="str">
        <f t="shared" si="1019"/>
        <v>Aerated Static Pile</v>
      </c>
      <c r="C11781" s="138" t="str">
        <f t="shared" si="1020"/>
        <v>Without Amendment</v>
      </c>
      <c r="D11781" s="138" t="str">
        <f t="shared" si="1021"/>
        <v>Base_Low</v>
      </c>
      <c r="E11781" s="138" t="str">
        <f t="shared" si="1022"/>
        <v>Base</v>
      </c>
      <c r="F11781" s="138" t="str">
        <f t="shared" si="1023"/>
        <v>Upgraded</v>
      </c>
      <c r="G11781" s="153"/>
      <c r="H11781" s="210">
        <v>4.4400000000000002E-2</v>
      </c>
      <c r="I11781" s="160" t="s">
        <v>435</v>
      </c>
      <c r="J11781" s="160">
        <v>2.5999999999999998E-4</v>
      </c>
      <c r="K11781" s="160" t="s">
        <v>145</v>
      </c>
      <c r="L11781" s="154" t="str">
        <f>IF(OpenLCAbasic!K11781="CTUh", "Fill in Manually",IF(OR(K11781="Unit", K11781=""), "", INDEX(LookUps!$E$5:$E$12, MATCH(OpenLCAbasic!K11781,LookUps!$D$5:$D$12,0))))</f>
        <v>Particulate Matter Formation Potential (PMFP) - kg PM2.5 eq</v>
      </c>
      <c r="M11781" s="154" t="str">
        <f t="shared" si="1024"/>
        <v>Base_Base_Low_Upgraded_Particulate Matter Formation Potential (PMFP) - kg PM2.5 eq_Biosolids composting; aerated static pile; wastewater treatment unit; at updated plant - US_Without Amendment_Aerated Static Pile</v>
      </c>
    </row>
    <row r="11782" spans="1:13" s="120" customFormat="1" x14ac:dyDescent="0.25">
      <c r="A11782" s="119"/>
      <c r="B11782" s="138" t="str">
        <f t="shared" si="1019"/>
        <v>Aerated Static Pile</v>
      </c>
      <c r="C11782" s="138" t="str">
        <f t="shared" si="1020"/>
        <v>Without Amendment</v>
      </c>
      <c r="D11782" s="138" t="str">
        <f t="shared" si="1021"/>
        <v>Base_Low</v>
      </c>
      <c r="E11782" s="138" t="str">
        <f t="shared" si="1022"/>
        <v>Base</v>
      </c>
      <c r="F11782" s="138" t="str">
        <f t="shared" si="1023"/>
        <v>Upgraded</v>
      </c>
      <c r="G11782" s="153"/>
      <c r="H11782" s="210">
        <v>2.87E-2</v>
      </c>
      <c r="I11782" s="160" t="s">
        <v>128</v>
      </c>
      <c r="J11782" s="160">
        <v>1.7000000000000001E-4</v>
      </c>
      <c r="K11782" s="160" t="s">
        <v>145</v>
      </c>
      <c r="L11782" s="154" t="str">
        <f>IF(OpenLCAbasic!K11782="CTUh", "Fill in Manually",IF(OR(K11782="Unit", K11782=""), "", INDEX(LookUps!$E$5:$E$12, MATCH(OpenLCAbasic!K11782,LookUps!$D$5:$D$12,0))))</f>
        <v>Particulate Matter Formation Potential (PMFP) - kg PM2.5 eq</v>
      </c>
      <c r="M11782" s="154" t="str">
        <f t="shared" si="1024"/>
        <v>Base_Base_Low_Upgraded_Particulate Matter Formation Potential (PMFP) - kg PM2.5 eq_Wastewater collection; operation and infrastructure; m3 wastewater_Without Amendment_Aerated Static Pile</v>
      </c>
    </row>
    <row r="11783" spans="1:13" s="120" customFormat="1" x14ac:dyDescent="0.25">
      <c r="A11783" s="119"/>
      <c r="B11783" s="138" t="str">
        <f t="shared" si="1019"/>
        <v>Aerated Static Pile</v>
      </c>
      <c r="C11783" s="138" t="str">
        <f t="shared" si="1020"/>
        <v>Without Amendment</v>
      </c>
      <c r="D11783" s="138" t="str">
        <f t="shared" si="1021"/>
        <v>Base_Low</v>
      </c>
      <c r="E11783" s="138" t="str">
        <f t="shared" si="1022"/>
        <v>Base</v>
      </c>
      <c r="F11783" s="138" t="str">
        <f t="shared" si="1023"/>
        <v>Upgraded</v>
      </c>
      <c r="G11783" s="153"/>
      <c r="H11783" s="210">
        <v>0.02</v>
      </c>
      <c r="I11783" s="160" t="s">
        <v>60</v>
      </c>
      <c r="J11783" s="160">
        <v>1.2E-4</v>
      </c>
      <c r="K11783" s="160" t="s">
        <v>145</v>
      </c>
      <c r="L11783" s="154" t="str">
        <f>IF(OpenLCAbasic!K11783="CTUh", "Fill in Manually",IF(OR(K11783="Unit", K11783=""), "", INDEX(LookUps!$E$5:$E$12, MATCH(OpenLCAbasic!K11783,LookUps!$D$5:$D$12,0))))</f>
        <v>Particulate Matter Formation Potential (PMFP) - kg PM2.5 eq</v>
      </c>
      <c r="M11783" s="154" t="str">
        <f t="shared" si="1024"/>
        <v>Base_Base_Low_Upgraded_Particulate Matter Formation Potential (PMFP) - kg PM2.5 eq_Belt filter press; wastewater treatment unit; at updated plant - US_Without Amendment_Aerated Static Pile</v>
      </c>
    </row>
    <row r="11784" spans="1:13" s="120" customFormat="1" x14ac:dyDescent="0.25">
      <c r="A11784" s="119"/>
      <c r="B11784" s="138" t="str">
        <f t="shared" si="1019"/>
        <v>Aerated Static Pile</v>
      </c>
      <c r="C11784" s="138" t="str">
        <f t="shared" si="1020"/>
        <v>Without Amendment</v>
      </c>
      <c r="D11784" s="138" t="str">
        <f t="shared" si="1021"/>
        <v>Base_Low</v>
      </c>
      <c r="E11784" s="138" t="str">
        <f t="shared" si="1022"/>
        <v>Base</v>
      </c>
      <c r="F11784" s="138" t="str">
        <f t="shared" si="1023"/>
        <v>Upgraded</v>
      </c>
      <c r="G11784" s="153"/>
      <c r="H11784" s="210">
        <v>1.6400000000000001E-2</v>
      </c>
      <c r="I11784" s="160" t="s">
        <v>57</v>
      </c>
      <c r="J11784" s="211">
        <v>9.5153800000000004E-5</v>
      </c>
      <c r="K11784" s="160" t="s">
        <v>145</v>
      </c>
      <c r="L11784" s="154" t="str">
        <f>IF(OpenLCAbasic!K11784="CTUh", "Fill in Manually",IF(OR(K11784="Unit", K11784=""), "", INDEX(LookUps!$E$5:$E$12, MATCH(OpenLCAbasic!K11784,LookUps!$D$5:$D$12,0))))</f>
        <v>Particulate Matter Formation Potential (PMFP) - kg PM2.5 eq</v>
      </c>
      <c r="M11784" s="154" t="str">
        <f t="shared" si="1024"/>
        <v>Base_Base_Low_Upgraded_Particulate Matter Formation Potential (PMFP) - kg PM2.5 eq_Gravity Belt Thickener; wastewater treatment unit; at updated plant - US_Without Amendment_Aerated Static Pile</v>
      </c>
    </row>
    <row r="11785" spans="1:13" s="120" customFormat="1" x14ac:dyDescent="0.25">
      <c r="A11785" s="119"/>
      <c r="B11785" s="138" t="str">
        <f t="shared" si="1019"/>
        <v>Aerated Static Pile</v>
      </c>
      <c r="C11785" s="138" t="str">
        <f t="shared" si="1020"/>
        <v>Without Amendment</v>
      </c>
      <c r="D11785" s="138" t="str">
        <f t="shared" si="1021"/>
        <v>Base_Low</v>
      </c>
      <c r="E11785" s="138" t="str">
        <f t="shared" si="1022"/>
        <v>Base</v>
      </c>
      <c r="F11785" s="138" t="str">
        <f t="shared" si="1023"/>
        <v>Upgraded</v>
      </c>
      <c r="G11785" s="153"/>
      <c r="H11785" s="210">
        <v>1.21E-2</v>
      </c>
      <c r="I11785" s="160" t="s">
        <v>59</v>
      </c>
      <c r="J11785" s="211">
        <v>6.9942200000000003E-5</v>
      </c>
      <c r="K11785" s="160" t="s">
        <v>145</v>
      </c>
      <c r="L11785" s="154" t="str">
        <f>IF(OpenLCAbasic!K11785="CTUh", "Fill in Manually",IF(OR(K11785="Unit", K11785=""), "", INDEX(LookUps!$E$5:$E$12, MATCH(OpenLCAbasic!K11785,LookUps!$D$5:$D$12,0))))</f>
        <v>Particulate Matter Formation Potential (PMFP) - kg PM2.5 eq</v>
      </c>
      <c r="M11785" s="154" t="str">
        <f t="shared" si="1024"/>
        <v>Base_Base_Low_Upgraded_Particulate Matter Formation Potential (PMFP) - kg PM2.5 eq_Blend Tank; wastewater treatment unit; at updated plant - US_Without Amendment_Aerated Static Pile</v>
      </c>
    </row>
    <row r="11786" spans="1:13" s="120" customFormat="1" x14ac:dyDescent="0.25">
      <c r="A11786" s="119"/>
      <c r="B11786" s="138" t="str">
        <f t="shared" si="1019"/>
        <v>Aerated Static Pile</v>
      </c>
      <c r="C11786" s="138" t="str">
        <f t="shared" si="1020"/>
        <v>Without Amendment</v>
      </c>
      <c r="D11786" s="138" t="str">
        <f t="shared" si="1021"/>
        <v>Base_Low</v>
      </c>
      <c r="E11786" s="138" t="str">
        <f t="shared" si="1022"/>
        <v>Base</v>
      </c>
      <c r="F11786" s="138" t="str">
        <f t="shared" si="1023"/>
        <v>Upgraded</v>
      </c>
      <c r="G11786" s="153"/>
      <c r="H11786" s="210">
        <v>8.6E-3</v>
      </c>
      <c r="I11786" s="160" t="s">
        <v>48</v>
      </c>
      <c r="J11786" s="211">
        <v>4.99741E-5</v>
      </c>
      <c r="K11786" s="160" t="s">
        <v>145</v>
      </c>
      <c r="L11786" s="154" t="str">
        <f>IF(OpenLCAbasic!K11786="CTUh", "Fill in Manually",IF(OR(K11786="Unit", K11786=""), "", INDEX(LookUps!$E$5:$E$12, MATCH(OpenLCAbasic!K11786,LookUps!$D$5:$D$12,0))))</f>
        <v>Particulate Matter Formation Potential (PMFP) - kg PM2.5 eq</v>
      </c>
      <c r="M11786" s="154" t="str">
        <f t="shared" si="1024"/>
        <v>Base_Base_Low_Upgraded_Particulate Matter Formation Potential (PMFP) - kg PM2.5 eq_Effluent release; wastewater treatment unit; at surface water; m3 wastewater - US_Without Amendment_Aerated Static Pile</v>
      </c>
    </row>
    <row r="11787" spans="1:13" s="120" customFormat="1" x14ac:dyDescent="0.25">
      <c r="A11787" s="119"/>
      <c r="B11787" s="138" t="str">
        <f t="shared" si="1019"/>
        <v>Aerated Static Pile</v>
      </c>
      <c r="C11787" s="138" t="str">
        <f t="shared" si="1020"/>
        <v>Without Amendment</v>
      </c>
      <c r="D11787" s="138" t="str">
        <f t="shared" si="1021"/>
        <v>Base_Low</v>
      </c>
      <c r="E11787" s="138" t="str">
        <f t="shared" si="1022"/>
        <v>Base</v>
      </c>
      <c r="F11787" s="138" t="str">
        <f t="shared" si="1023"/>
        <v>Upgraded</v>
      </c>
      <c r="G11787" s="153"/>
      <c r="H11787" s="210">
        <v>6.0000000000000001E-3</v>
      </c>
      <c r="I11787" s="160" t="s">
        <v>168</v>
      </c>
      <c r="J11787" s="211">
        <v>3.4562199999999999E-5</v>
      </c>
      <c r="K11787" s="160" t="s">
        <v>145</v>
      </c>
      <c r="L11787" s="154" t="str">
        <f>IF(OpenLCAbasic!K11787="CTUh", "Fill in Manually",IF(OR(K11787="Unit", K11787=""), "", INDEX(LookUps!$E$5:$E$12, MATCH(OpenLCAbasic!K11787,LookUps!$D$5:$D$12,0))))</f>
        <v>Particulate Matter Formation Potential (PMFP) - kg PM2.5 eq</v>
      </c>
      <c r="M11787" s="154" t="str">
        <f t="shared" si="1024"/>
        <v>Base_Base_Low_Upgraded_Particulate Matter Formation Potential (PMFP) - kg PM2.5 eq_ClearCove SCP; wastewater treatment unit; at updated plant - US_Without Amendment_Aerated Static Pile</v>
      </c>
    </row>
    <row r="11788" spans="1:13" s="120" customFormat="1" x14ac:dyDescent="0.25">
      <c r="A11788" s="119"/>
      <c r="B11788" s="138" t="str">
        <f t="shared" si="1019"/>
        <v>Aerated Static Pile</v>
      </c>
      <c r="C11788" s="138" t="str">
        <f t="shared" si="1020"/>
        <v>Without Amendment</v>
      </c>
      <c r="D11788" s="138" t="str">
        <f t="shared" si="1021"/>
        <v>Base_Low</v>
      </c>
      <c r="E11788" s="138" t="str">
        <f t="shared" si="1022"/>
        <v>Base</v>
      </c>
      <c r="F11788" s="138" t="str">
        <f t="shared" si="1023"/>
        <v>Upgraded</v>
      </c>
      <c r="G11788" s="153"/>
      <c r="H11788" s="210">
        <v>5.5999999999999999E-3</v>
      </c>
      <c r="I11788" s="160" t="s">
        <v>62</v>
      </c>
      <c r="J11788" s="211">
        <v>3.2604800000000003E-5</v>
      </c>
      <c r="K11788" s="160" t="s">
        <v>145</v>
      </c>
      <c r="L11788" s="154" t="str">
        <f>IF(OpenLCAbasic!K11788="CTUh", "Fill in Manually",IF(OR(K11788="Unit", K11788=""), "", INDEX(LookUps!$E$5:$E$12, MATCH(OpenLCAbasic!K11788,LookUps!$D$5:$D$12,0))))</f>
        <v>Particulate Matter Formation Potential (PMFP) - kg PM2.5 eq</v>
      </c>
      <c r="M11788" s="154" t="str">
        <f t="shared" si="1024"/>
        <v>Base_Base_Low_Upgraded_Particulate Matter Formation Potential (PMFP) - kg PM2.5 eq_Land application of compost; wastewater treatment unit; at updated plant - US_Without Amendment_Aerated Static Pile</v>
      </c>
    </row>
    <row r="11789" spans="1:13" s="120" customFormat="1" x14ac:dyDescent="0.25">
      <c r="A11789" s="119"/>
      <c r="B11789" s="138" t="str">
        <f t="shared" si="1019"/>
        <v>Aerated Static Pile</v>
      </c>
      <c r="C11789" s="138" t="str">
        <f t="shared" si="1020"/>
        <v>Without Amendment</v>
      </c>
      <c r="D11789" s="138" t="str">
        <f t="shared" si="1021"/>
        <v>Base_Low</v>
      </c>
      <c r="E11789" s="138" t="str">
        <f t="shared" si="1022"/>
        <v>Base</v>
      </c>
      <c r="F11789" s="138" t="str">
        <f t="shared" si="1023"/>
        <v>Upgraded</v>
      </c>
      <c r="G11789" s="153"/>
      <c r="H11789" s="210">
        <v>1.5E-3</v>
      </c>
      <c r="I11789" s="160" t="s">
        <v>148</v>
      </c>
      <c r="J11789" s="211">
        <v>8.8212999999999997E-6</v>
      </c>
      <c r="K11789" s="160" t="s">
        <v>145</v>
      </c>
      <c r="L11789" s="154" t="str">
        <f>IF(OpenLCAbasic!K11789="CTUh", "Fill in Manually",IF(OR(K11789="Unit", K11789=""), "", INDEX(LookUps!$E$5:$E$12, MATCH(OpenLCAbasic!K11789,LookUps!$D$5:$D$12,0))))</f>
        <v>Particulate Matter Formation Potential (PMFP) - kg PM2.5 eq</v>
      </c>
      <c r="M11789" s="154" t="str">
        <f t="shared" si="1024"/>
        <v>Base_Base_Low_Upgraded_Particulate Matter Formation Potential (PMFP) - kg PM2.5 eq_Control Building; at upgraded wastewater treatment plant - US_Without Amendment_Aerated Static Pile</v>
      </c>
    </row>
    <row r="11790" spans="1:13" s="120" customFormat="1" x14ac:dyDescent="0.25">
      <c r="A11790" s="119"/>
      <c r="B11790" s="138" t="str">
        <f t="shared" si="1019"/>
        <v/>
      </c>
      <c r="C11790" s="138" t="str">
        <f t="shared" si="1020"/>
        <v/>
      </c>
      <c r="D11790" s="138" t="str">
        <f t="shared" si="1021"/>
        <v/>
      </c>
      <c r="E11790" s="138" t="str">
        <f t="shared" si="1022"/>
        <v/>
      </c>
      <c r="F11790" s="138" t="str">
        <f t="shared" si="1023"/>
        <v/>
      </c>
      <c r="G11790" s="153" t="s">
        <v>51</v>
      </c>
      <c r="H11790" s="160"/>
      <c r="I11790" s="160" t="s">
        <v>47</v>
      </c>
      <c r="J11790" s="160" t="s">
        <v>52</v>
      </c>
      <c r="K11790" s="160" t="s">
        <v>27</v>
      </c>
      <c r="L11790" s="154" t="str">
        <f>IF(OpenLCAbasic!K11790="CTUh", "Fill in Manually",IF(OR(K11790="Unit", K11790=""), "", INDEX(LookUps!$E$5:$E$12, MATCH(OpenLCAbasic!K11790,LookUps!$D$5:$D$12,0))))</f>
        <v/>
      </c>
      <c r="M11790" s="154" t="str">
        <f t="shared" si="1024"/>
        <v>____Process__</v>
      </c>
    </row>
    <row r="11791" spans="1:13" s="120" customFormat="1" x14ac:dyDescent="0.25">
      <c r="A11791" s="119"/>
      <c r="B11791" s="138" t="str">
        <f t="shared" si="1019"/>
        <v>Aerated Static Pile</v>
      </c>
      <c r="C11791" s="138" t="str">
        <f t="shared" si="1020"/>
        <v>Without Amendment</v>
      </c>
      <c r="D11791" s="138" t="str">
        <f t="shared" si="1021"/>
        <v>Base_Low</v>
      </c>
      <c r="E11791" s="138" t="str">
        <f t="shared" si="1022"/>
        <v>Base</v>
      </c>
      <c r="F11791" s="138" t="str">
        <f t="shared" si="1023"/>
        <v>Upgraded</v>
      </c>
      <c r="G11791" s="153"/>
      <c r="H11791" s="210">
        <v>0.39950000000000002</v>
      </c>
      <c r="I11791" s="160" t="s">
        <v>55</v>
      </c>
      <c r="J11791" s="160">
        <v>0.16577</v>
      </c>
      <c r="K11791" s="160" t="s">
        <v>25</v>
      </c>
      <c r="L11791" s="154" t="str">
        <f>IF(OpenLCAbasic!K11791="CTUh", "Fill in Manually",IF(OR(K11791="Unit", K11791=""), "", INDEX(LookUps!$E$5:$E$12, MATCH(OpenLCAbasic!K11791,LookUps!$D$5:$D$12,0))))</f>
        <v>Smog Formation Potential (SFP) - kg O3 eq</v>
      </c>
      <c r="M11791" s="154" t="str">
        <f t="shared" si="1024"/>
        <v>Base_Base_Low_Upgraded_Smog Formation Potential (SFP) - kg O3 eq_Aeration Tanks; wastewater treatment unit; at updated plant - US_Without Amendment_Aerated Static Pile</v>
      </c>
    </row>
    <row r="11792" spans="1:13" s="120" customFormat="1" x14ac:dyDescent="0.25">
      <c r="A11792" s="119"/>
      <c r="B11792" s="138" t="str">
        <f t="shared" si="1019"/>
        <v>Aerated Static Pile</v>
      </c>
      <c r="C11792" s="138" t="str">
        <f t="shared" si="1020"/>
        <v>Without Amendment</v>
      </c>
      <c r="D11792" s="138" t="str">
        <f t="shared" si="1021"/>
        <v>Base_Low</v>
      </c>
      <c r="E11792" s="138" t="str">
        <f t="shared" si="1022"/>
        <v>Base</v>
      </c>
      <c r="F11792" s="138" t="str">
        <f t="shared" si="1023"/>
        <v>Upgraded</v>
      </c>
      <c r="G11792" s="153"/>
      <c r="H11792" s="210">
        <v>0.1158</v>
      </c>
      <c r="I11792" s="160" t="s">
        <v>54</v>
      </c>
      <c r="J11792" s="160">
        <v>4.8070000000000002E-2</v>
      </c>
      <c r="K11792" s="160" t="s">
        <v>25</v>
      </c>
      <c r="L11792" s="154" t="str">
        <f>IF(OpenLCAbasic!K11792="CTUh", "Fill in Manually",IF(OR(K11792="Unit", K11792=""), "", INDEX(LookUps!$E$5:$E$12, MATCH(OpenLCAbasic!K11792,LookUps!$D$5:$D$12,0))))</f>
        <v>Smog Formation Potential (SFP) - kg O3 eq</v>
      </c>
      <c r="M11792" s="154" t="str">
        <f t="shared" si="1024"/>
        <v>Base_Base_Low_Upgraded_Smog Formation Potential (SFP) - kg O3 eq_Clear Cove Primary Clarification; wastewater treatment unit; at updated plant - US_Without Amendment_Aerated Static Pile</v>
      </c>
    </row>
    <row r="11793" spans="1:13" s="120" customFormat="1" x14ac:dyDescent="0.25">
      <c r="A11793" s="119"/>
      <c r="B11793" s="138" t="str">
        <f t="shared" si="1019"/>
        <v>Aerated Static Pile</v>
      </c>
      <c r="C11793" s="138" t="str">
        <f t="shared" si="1020"/>
        <v>Without Amendment</v>
      </c>
      <c r="D11793" s="138" t="str">
        <f t="shared" si="1021"/>
        <v>Base_Low</v>
      </c>
      <c r="E11793" s="138" t="str">
        <f t="shared" si="1022"/>
        <v>Base</v>
      </c>
      <c r="F11793" s="138" t="str">
        <f t="shared" si="1023"/>
        <v>Upgraded</v>
      </c>
      <c r="G11793" s="153"/>
      <c r="H11793" s="210">
        <v>0.1007</v>
      </c>
      <c r="I11793" s="160" t="s">
        <v>58</v>
      </c>
      <c r="J11793" s="160">
        <v>4.1779999999999998E-2</v>
      </c>
      <c r="K11793" s="160" t="s">
        <v>25</v>
      </c>
      <c r="L11793" s="154" t="str">
        <f>IF(OpenLCAbasic!K11793="CTUh", "Fill in Manually",IF(OR(K11793="Unit", K11793=""), "", INDEX(LookUps!$E$5:$E$12, MATCH(OpenLCAbasic!K11793,LookUps!$D$5:$D$12,0))))</f>
        <v>Smog Formation Potential (SFP) - kg O3 eq</v>
      </c>
      <c r="M11793" s="154" t="str">
        <f t="shared" si="1024"/>
        <v>Base_Base_Low_Upgraded_Smog Formation Potential (SFP) - kg O3 eq_Pre-Anoxic &amp; Swing tank; wastewater treatment unit; at updated plant - US_Without Amendment_Aerated Static Pile</v>
      </c>
    </row>
    <row r="11794" spans="1:13" s="120" customFormat="1" x14ac:dyDescent="0.25">
      <c r="A11794" s="119"/>
      <c r="B11794" s="138" t="str">
        <f t="shared" si="1019"/>
        <v>Aerated Static Pile</v>
      </c>
      <c r="C11794" s="138" t="str">
        <f t="shared" si="1020"/>
        <v>Without Amendment</v>
      </c>
      <c r="D11794" s="138" t="str">
        <f t="shared" si="1021"/>
        <v>Base_Low</v>
      </c>
      <c r="E11794" s="138" t="str">
        <f t="shared" si="1022"/>
        <v>Base</v>
      </c>
      <c r="F11794" s="138" t="str">
        <f t="shared" si="1023"/>
        <v>Upgraded</v>
      </c>
      <c r="G11794" s="153"/>
      <c r="H11794" s="210">
        <v>7.9799999999999996E-2</v>
      </c>
      <c r="I11794" s="160" t="s">
        <v>53</v>
      </c>
      <c r="J11794" s="160">
        <v>3.313E-2</v>
      </c>
      <c r="K11794" s="160" t="s">
        <v>25</v>
      </c>
      <c r="L11794" s="154" t="str">
        <f>IF(OpenLCAbasic!K11794="CTUh", "Fill in Manually",IF(OR(K11794="Unit", K11794=""), "", INDEX(LookUps!$E$5:$E$12, MATCH(OpenLCAbasic!K11794,LookUps!$D$5:$D$12,0))))</f>
        <v>Smog Formation Potential (SFP) - kg O3 eq</v>
      </c>
      <c r="M11794" s="154" t="str">
        <f t="shared" si="1024"/>
        <v>Base_Base_Low_Upgraded_Smog Formation Potential (SFP) - kg O3 eq_Wet Well and Sump Station; wastewater treatment unit; at updated plant - US_Without Amendment_Aerated Static Pile</v>
      </c>
    </row>
    <row r="11795" spans="1:13" s="120" customFormat="1" x14ac:dyDescent="0.25">
      <c r="A11795" s="119"/>
      <c r="B11795" s="138" t="str">
        <f t="shared" si="1019"/>
        <v>Aerated Static Pile</v>
      </c>
      <c r="C11795" s="138" t="str">
        <f t="shared" si="1020"/>
        <v>Without Amendment</v>
      </c>
      <c r="D11795" s="138" t="str">
        <f t="shared" si="1021"/>
        <v>Base_Low</v>
      </c>
      <c r="E11795" s="138" t="str">
        <f t="shared" si="1022"/>
        <v>Base</v>
      </c>
      <c r="F11795" s="138" t="str">
        <f t="shared" si="1023"/>
        <v>Upgraded</v>
      </c>
      <c r="G11795" s="153"/>
      <c r="H11795" s="210">
        <v>6.7299999999999999E-2</v>
      </c>
      <c r="I11795" s="160" t="s">
        <v>167</v>
      </c>
      <c r="J11795" s="160">
        <v>2.7949999999999999E-2</v>
      </c>
      <c r="K11795" s="160" t="s">
        <v>25</v>
      </c>
      <c r="L11795" s="154" t="str">
        <f>IF(OpenLCAbasic!K11795="CTUh", "Fill in Manually",IF(OR(K11795="Unit", K11795=""), "", INDEX(LookUps!$E$5:$E$12, MATCH(OpenLCAbasic!K11795,LookUps!$D$5:$D$12,0))))</f>
        <v>Smog Formation Potential (SFP) - kg O3 eq</v>
      </c>
      <c r="M11795" s="154" t="str">
        <f t="shared" si="1024"/>
        <v>Base_Base_Low_Upgraded_Smog Formation Potential (SFP) - kg O3 eq_Waste Receiving and Holding; wastewater treatment unit; at updated plant - US_Without Amendment_Aerated Static Pile</v>
      </c>
    </row>
    <row r="11796" spans="1:13" s="120" customFormat="1" x14ac:dyDescent="0.25">
      <c r="A11796" s="119"/>
      <c r="B11796" s="138" t="str">
        <f t="shared" si="1019"/>
        <v>Aerated Static Pile</v>
      </c>
      <c r="C11796" s="138" t="str">
        <f t="shared" si="1020"/>
        <v>Without Amendment</v>
      </c>
      <c r="D11796" s="138" t="str">
        <f t="shared" si="1021"/>
        <v>Base_Low</v>
      </c>
      <c r="E11796" s="138" t="str">
        <f t="shared" si="1022"/>
        <v>Base</v>
      </c>
      <c r="F11796" s="138" t="str">
        <f t="shared" si="1023"/>
        <v>Upgraded</v>
      </c>
      <c r="G11796" s="153"/>
      <c r="H11796" s="210">
        <v>0.06</v>
      </c>
      <c r="I11796" s="160" t="s">
        <v>149</v>
      </c>
      <c r="J11796" s="160">
        <v>2.4889999999999999E-2</v>
      </c>
      <c r="K11796" s="160" t="s">
        <v>25</v>
      </c>
      <c r="L11796" s="154" t="str">
        <f>IF(OpenLCAbasic!K11796="CTUh", "Fill in Manually",IF(OR(K11796="Unit", K11796=""), "", INDEX(LookUps!$E$5:$E$12, MATCH(OpenLCAbasic!K11796,LookUps!$D$5:$D$12,0))))</f>
        <v>Smog Formation Potential (SFP) - kg O3 eq</v>
      </c>
      <c r="M11796" s="154" t="str">
        <f t="shared" si="1024"/>
        <v>Base_Base_Low_Upgraded_Smog Formation Potential (SFP) - kg O3 eq_Anaerobic Digestion; wastewater treatment unit; at updated plant - US_Without Amendment_Aerated Static Pile</v>
      </c>
    </row>
    <row r="11797" spans="1:13" s="120" customFormat="1" x14ac:dyDescent="0.25">
      <c r="A11797" s="119"/>
      <c r="B11797" s="138" t="str">
        <f t="shared" si="1019"/>
        <v>Aerated Static Pile</v>
      </c>
      <c r="C11797" s="138" t="str">
        <f t="shared" si="1020"/>
        <v>Without Amendment</v>
      </c>
      <c r="D11797" s="138" t="str">
        <f t="shared" si="1021"/>
        <v>Base_Low</v>
      </c>
      <c r="E11797" s="138" t="str">
        <f t="shared" si="1022"/>
        <v>Base</v>
      </c>
      <c r="F11797" s="138" t="str">
        <f t="shared" si="1023"/>
        <v>Upgraded</v>
      </c>
      <c r="G11797" s="153"/>
      <c r="H11797" s="210">
        <v>4.6699999999999998E-2</v>
      </c>
      <c r="I11797" s="160" t="s">
        <v>147</v>
      </c>
      <c r="J11797" s="160">
        <v>1.9400000000000001E-2</v>
      </c>
      <c r="K11797" s="160" t="s">
        <v>25</v>
      </c>
      <c r="L11797" s="154" t="str">
        <f>IF(OpenLCAbasic!K11797="CTUh", "Fill in Manually",IF(OR(K11797="Unit", K11797=""), "", INDEX(LookUps!$E$5:$E$12, MATCH(OpenLCAbasic!K11797,LookUps!$D$5:$D$12,0))))</f>
        <v>Smog Formation Potential (SFP) - kg O3 eq</v>
      </c>
      <c r="M11797" s="154" t="str">
        <f t="shared" si="1024"/>
        <v>Base_Base_Low_Upgraded_Smog Formation Potential (SFP) - kg O3 eq_Influent Pump Station; wastewater treatment unit; at updated plant - US_Without Amendment_Aerated Static Pile</v>
      </c>
    </row>
    <row r="11798" spans="1:13" s="120" customFormat="1" x14ac:dyDescent="0.25">
      <c r="A11798" s="119"/>
      <c r="B11798" s="138" t="str">
        <f t="shared" si="1019"/>
        <v>Aerated Static Pile</v>
      </c>
      <c r="C11798" s="138" t="str">
        <f t="shared" si="1020"/>
        <v>Without Amendment</v>
      </c>
      <c r="D11798" s="138" t="str">
        <f t="shared" si="1021"/>
        <v>Base_Low</v>
      </c>
      <c r="E11798" s="138" t="str">
        <f t="shared" si="1022"/>
        <v>Base</v>
      </c>
      <c r="F11798" s="138" t="str">
        <f t="shared" si="1023"/>
        <v>Upgraded</v>
      </c>
      <c r="G11798" s="153"/>
      <c r="H11798" s="210">
        <v>4.2999999999999997E-2</v>
      </c>
      <c r="I11798" s="160" t="s">
        <v>435</v>
      </c>
      <c r="J11798" s="160">
        <v>1.7840000000000002E-2</v>
      </c>
      <c r="K11798" s="160" t="s">
        <v>25</v>
      </c>
      <c r="L11798" s="154" t="str">
        <f>IF(OpenLCAbasic!K11798="CTUh", "Fill in Manually",IF(OR(K11798="Unit", K11798=""), "", INDEX(LookUps!$E$5:$E$12, MATCH(OpenLCAbasic!K11798,LookUps!$D$5:$D$12,0))))</f>
        <v>Smog Formation Potential (SFP) - kg O3 eq</v>
      </c>
      <c r="M11798" s="154" t="str">
        <f t="shared" si="1024"/>
        <v>Base_Base_Low_Upgraded_Smog Formation Potential (SFP) - kg O3 eq_Biosolids composting; aerated static pile; wastewater treatment unit; at updated plant - US_Without Amendment_Aerated Static Pile</v>
      </c>
    </row>
    <row r="11799" spans="1:13" s="120" customFormat="1" x14ac:dyDescent="0.25">
      <c r="A11799" s="119"/>
      <c r="B11799" s="138" t="str">
        <f t="shared" si="1019"/>
        <v>Aerated Static Pile</v>
      </c>
      <c r="C11799" s="138" t="str">
        <f t="shared" si="1020"/>
        <v>Without Amendment</v>
      </c>
      <c r="D11799" s="138" t="str">
        <f t="shared" si="1021"/>
        <v>Base_Low</v>
      </c>
      <c r="E11799" s="138" t="str">
        <f t="shared" si="1022"/>
        <v>Base</v>
      </c>
      <c r="F11799" s="138" t="str">
        <f t="shared" si="1023"/>
        <v>Upgraded</v>
      </c>
      <c r="G11799" s="153"/>
      <c r="H11799" s="210">
        <v>2.87E-2</v>
      </c>
      <c r="I11799" s="160" t="s">
        <v>128</v>
      </c>
      <c r="J11799" s="160">
        <v>1.192E-2</v>
      </c>
      <c r="K11799" s="160" t="s">
        <v>25</v>
      </c>
      <c r="L11799" s="154" t="str">
        <f>IF(OpenLCAbasic!K11799="CTUh", "Fill in Manually",IF(OR(K11799="Unit", K11799=""), "", INDEX(LookUps!$E$5:$E$12, MATCH(OpenLCAbasic!K11799,LookUps!$D$5:$D$12,0))))</f>
        <v>Smog Formation Potential (SFP) - kg O3 eq</v>
      </c>
      <c r="M11799" s="154" t="str">
        <f t="shared" si="1024"/>
        <v>Base_Base_Low_Upgraded_Smog Formation Potential (SFP) - kg O3 eq_Wastewater collection; operation and infrastructure; m3 wastewater_Without Amendment_Aerated Static Pile</v>
      </c>
    </row>
    <row r="11800" spans="1:13" s="120" customFormat="1" x14ac:dyDescent="0.25">
      <c r="A11800" s="119"/>
      <c r="B11800" s="138" t="str">
        <f t="shared" si="1019"/>
        <v>Aerated Static Pile</v>
      </c>
      <c r="C11800" s="138" t="str">
        <f t="shared" si="1020"/>
        <v>Without Amendment</v>
      </c>
      <c r="D11800" s="138" t="str">
        <f t="shared" si="1021"/>
        <v>Base_Low</v>
      </c>
      <c r="E11800" s="138" t="str">
        <f t="shared" si="1022"/>
        <v>Base</v>
      </c>
      <c r="F11800" s="138" t="str">
        <f t="shared" si="1023"/>
        <v>Upgraded</v>
      </c>
      <c r="G11800" s="153"/>
      <c r="H11800" s="210">
        <v>1.9699999999999999E-2</v>
      </c>
      <c r="I11800" s="160" t="s">
        <v>60</v>
      </c>
      <c r="J11800" s="160">
        <v>8.1600000000000006E-3</v>
      </c>
      <c r="K11800" s="160" t="s">
        <v>25</v>
      </c>
      <c r="L11800" s="154" t="str">
        <f>IF(OpenLCAbasic!K11800="CTUh", "Fill in Manually",IF(OR(K11800="Unit", K11800=""), "", INDEX(LookUps!$E$5:$E$12, MATCH(OpenLCAbasic!K11800,LookUps!$D$5:$D$12,0))))</f>
        <v>Smog Formation Potential (SFP) - kg O3 eq</v>
      </c>
      <c r="M11800" s="154" t="str">
        <f t="shared" si="1024"/>
        <v>Base_Base_Low_Upgraded_Smog Formation Potential (SFP) - kg O3 eq_Belt filter press; wastewater treatment unit; at updated plant - US_Without Amendment_Aerated Static Pile</v>
      </c>
    </row>
    <row r="11801" spans="1:13" s="120" customFormat="1" x14ac:dyDescent="0.25">
      <c r="A11801" s="119"/>
      <c r="B11801" s="138" t="str">
        <f t="shared" si="1019"/>
        <v>Aerated Static Pile</v>
      </c>
      <c r="C11801" s="138" t="str">
        <f t="shared" si="1020"/>
        <v>Without Amendment</v>
      </c>
      <c r="D11801" s="138" t="str">
        <f t="shared" si="1021"/>
        <v>Base_Low</v>
      </c>
      <c r="E11801" s="138" t="str">
        <f t="shared" si="1022"/>
        <v>Base</v>
      </c>
      <c r="F11801" s="138" t="str">
        <f t="shared" si="1023"/>
        <v>Upgraded</v>
      </c>
      <c r="G11801" s="153"/>
      <c r="H11801" s="210">
        <v>1.6E-2</v>
      </c>
      <c r="I11801" s="160" t="s">
        <v>57</v>
      </c>
      <c r="J11801" s="160">
        <v>6.6499999999999997E-3</v>
      </c>
      <c r="K11801" s="160" t="s">
        <v>25</v>
      </c>
      <c r="L11801" s="154" t="str">
        <f>IF(OpenLCAbasic!K11801="CTUh", "Fill in Manually",IF(OR(K11801="Unit", K11801=""), "", INDEX(LookUps!$E$5:$E$12, MATCH(OpenLCAbasic!K11801,LookUps!$D$5:$D$12,0))))</f>
        <v>Smog Formation Potential (SFP) - kg O3 eq</v>
      </c>
      <c r="M11801" s="154" t="str">
        <f t="shared" si="1024"/>
        <v>Base_Base_Low_Upgraded_Smog Formation Potential (SFP) - kg O3 eq_Gravity Belt Thickener; wastewater treatment unit; at updated plant - US_Without Amendment_Aerated Static Pile</v>
      </c>
    </row>
    <row r="11802" spans="1:13" s="120" customFormat="1" x14ac:dyDescent="0.25">
      <c r="A11802" s="119"/>
      <c r="B11802" s="138" t="str">
        <f t="shared" si="1019"/>
        <v>Aerated Static Pile</v>
      </c>
      <c r="C11802" s="138" t="str">
        <f t="shared" si="1020"/>
        <v>Without Amendment</v>
      </c>
      <c r="D11802" s="138" t="str">
        <f t="shared" si="1021"/>
        <v>Base_Low</v>
      </c>
      <c r="E11802" s="138" t="str">
        <f t="shared" si="1022"/>
        <v>Base</v>
      </c>
      <c r="F11802" s="138" t="str">
        <f t="shared" si="1023"/>
        <v>Upgraded</v>
      </c>
      <c r="G11802" s="153"/>
      <c r="H11802" s="210">
        <v>1.2E-2</v>
      </c>
      <c r="I11802" s="160" t="s">
        <v>59</v>
      </c>
      <c r="J11802" s="160">
        <v>4.9699999999999996E-3</v>
      </c>
      <c r="K11802" s="160" t="s">
        <v>25</v>
      </c>
      <c r="L11802" s="154" t="str">
        <f>IF(OpenLCAbasic!K11802="CTUh", "Fill in Manually",IF(OR(K11802="Unit", K11802=""), "", INDEX(LookUps!$E$5:$E$12, MATCH(OpenLCAbasic!K11802,LookUps!$D$5:$D$12,0))))</f>
        <v>Smog Formation Potential (SFP) - kg O3 eq</v>
      </c>
      <c r="M11802" s="154" t="str">
        <f t="shared" si="1024"/>
        <v>Base_Base_Low_Upgraded_Smog Formation Potential (SFP) - kg O3 eq_Blend Tank; wastewater treatment unit; at updated plant - US_Without Amendment_Aerated Static Pile</v>
      </c>
    </row>
    <row r="11803" spans="1:13" s="120" customFormat="1" x14ac:dyDescent="0.25">
      <c r="A11803" s="119"/>
      <c r="B11803" s="138" t="str">
        <f t="shared" si="1019"/>
        <v>Aerated Static Pile</v>
      </c>
      <c r="C11803" s="138" t="str">
        <f t="shared" si="1020"/>
        <v>Without Amendment</v>
      </c>
      <c r="D11803" s="138" t="str">
        <f t="shared" si="1021"/>
        <v>Base_Low</v>
      </c>
      <c r="E11803" s="138" t="str">
        <f t="shared" si="1022"/>
        <v>Base</v>
      </c>
      <c r="F11803" s="138" t="str">
        <f t="shared" si="1023"/>
        <v>Upgraded</v>
      </c>
      <c r="G11803" s="153"/>
      <c r="H11803" s="210">
        <v>8.2000000000000007E-3</v>
      </c>
      <c r="I11803" s="160" t="s">
        <v>48</v>
      </c>
      <c r="J11803" s="160">
        <v>3.3899999999999998E-3</v>
      </c>
      <c r="K11803" s="160" t="s">
        <v>25</v>
      </c>
      <c r="L11803" s="154" t="str">
        <f>IF(OpenLCAbasic!K11803="CTUh", "Fill in Manually",IF(OR(K11803="Unit", K11803=""), "", INDEX(LookUps!$E$5:$E$12, MATCH(OpenLCAbasic!K11803,LookUps!$D$5:$D$12,0))))</f>
        <v>Smog Formation Potential (SFP) - kg O3 eq</v>
      </c>
      <c r="M11803" s="154" t="str">
        <f t="shared" si="1024"/>
        <v>Base_Base_Low_Upgraded_Smog Formation Potential (SFP) - kg O3 eq_Effluent release; wastewater treatment unit; at surface water; m3 wastewater - US_Without Amendment_Aerated Static Pile</v>
      </c>
    </row>
    <row r="11804" spans="1:13" s="120" customFormat="1" x14ac:dyDescent="0.25">
      <c r="A11804" s="119"/>
      <c r="B11804" s="138" t="str">
        <f t="shared" si="1019"/>
        <v>Aerated Static Pile</v>
      </c>
      <c r="C11804" s="138" t="str">
        <f t="shared" si="1020"/>
        <v>Without Amendment</v>
      </c>
      <c r="D11804" s="138" t="str">
        <f t="shared" si="1021"/>
        <v>Base_Low</v>
      </c>
      <c r="E11804" s="138" t="str">
        <f t="shared" si="1022"/>
        <v>Base</v>
      </c>
      <c r="F11804" s="138" t="str">
        <f t="shared" si="1023"/>
        <v>Upgraded</v>
      </c>
      <c r="G11804" s="153"/>
      <c r="H11804" s="210">
        <v>5.8999999999999999E-3</v>
      </c>
      <c r="I11804" s="160" t="s">
        <v>168</v>
      </c>
      <c r="J11804" s="160">
        <v>2.4599999999999999E-3</v>
      </c>
      <c r="K11804" s="160" t="s">
        <v>25</v>
      </c>
      <c r="L11804" s="154" t="str">
        <f>IF(OpenLCAbasic!K11804="CTUh", "Fill in Manually",IF(OR(K11804="Unit", K11804=""), "", INDEX(LookUps!$E$5:$E$12, MATCH(OpenLCAbasic!K11804,LookUps!$D$5:$D$12,0))))</f>
        <v>Smog Formation Potential (SFP) - kg O3 eq</v>
      </c>
      <c r="M11804" s="154" t="str">
        <f t="shared" si="1024"/>
        <v>Base_Base_Low_Upgraded_Smog Formation Potential (SFP) - kg O3 eq_ClearCove SCP; wastewater treatment unit; at updated plant - US_Without Amendment_Aerated Static Pile</v>
      </c>
    </row>
    <row r="11805" spans="1:13" s="120" customFormat="1" x14ac:dyDescent="0.25">
      <c r="A11805" s="119"/>
      <c r="B11805" s="138" t="str">
        <f t="shared" si="1019"/>
        <v>Aerated Static Pile</v>
      </c>
      <c r="C11805" s="138" t="str">
        <f t="shared" si="1020"/>
        <v>Without Amendment</v>
      </c>
      <c r="D11805" s="138" t="str">
        <f t="shared" si="1021"/>
        <v>Base_Low</v>
      </c>
      <c r="E11805" s="138" t="str">
        <f t="shared" si="1022"/>
        <v>Base</v>
      </c>
      <c r="F11805" s="138" t="str">
        <f t="shared" si="1023"/>
        <v>Upgraded</v>
      </c>
      <c r="G11805" s="153"/>
      <c r="H11805" s="210">
        <v>1.2999999999999999E-3</v>
      </c>
      <c r="I11805" s="160" t="s">
        <v>148</v>
      </c>
      <c r="J11805" s="160">
        <v>5.4000000000000001E-4</v>
      </c>
      <c r="K11805" s="160" t="s">
        <v>25</v>
      </c>
      <c r="L11805" s="154" t="str">
        <f>IF(OpenLCAbasic!K11805="CTUh", "Fill in Manually",IF(OR(K11805="Unit", K11805=""), "", INDEX(LookUps!$E$5:$E$12, MATCH(OpenLCAbasic!K11805,LookUps!$D$5:$D$12,0))))</f>
        <v>Smog Formation Potential (SFP) - kg O3 eq</v>
      </c>
      <c r="M11805" s="154" t="str">
        <f t="shared" si="1024"/>
        <v>Base_Base_Low_Upgraded_Smog Formation Potential (SFP) - kg O3 eq_Control Building; at upgraded wastewater treatment plant - US_Without Amendment_Aerated Static Pile</v>
      </c>
    </row>
    <row r="11806" spans="1:13" s="120" customFormat="1" x14ac:dyDescent="0.25">
      <c r="A11806" s="119"/>
      <c r="B11806" s="138" t="str">
        <f t="shared" si="1019"/>
        <v>Aerated Static Pile</v>
      </c>
      <c r="C11806" s="138" t="str">
        <f t="shared" si="1020"/>
        <v>Without Amendment</v>
      </c>
      <c r="D11806" s="138" t="str">
        <f t="shared" si="1021"/>
        <v>Base_Low</v>
      </c>
      <c r="E11806" s="138" t="str">
        <f t="shared" si="1022"/>
        <v>Base</v>
      </c>
      <c r="F11806" s="138" t="str">
        <f t="shared" si="1023"/>
        <v>Upgraded</v>
      </c>
      <c r="G11806" s="153"/>
      <c r="H11806" s="210">
        <v>-4.7000000000000002E-3</v>
      </c>
      <c r="I11806" s="160" t="s">
        <v>62</v>
      </c>
      <c r="J11806" s="160">
        <v>-1.9300000000000001E-3</v>
      </c>
      <c r="K11806" s="160" t="s">
        <v>25</v>
      </c>
      <c r="L11806" s="154" t="str">
        <f>IF(OpenLCAbasic!K11806="CTUh", "Fill in Manually",IF(OR(K11806="Unit", K11806=""), "", INDEX(LookUps!$E$5:$E$12, MATCH(OpenLCAbasic!K11806,LookUps!$D$5:$D$12,0))))</f>
        <v>Smog Formation Potential (SFP) - kg O3 eq</v>
      </c>
      <c r="M11806" s="154" t="str">
        <f t="shared" si="1024"/>
        <v>Base_Base_Low_Upgraded_Smog Formation Potential (SFP) - kg O3 eq_Land application of compost; wastewater treatment unit; at updated plant - US_Without Amendment_Aerated Static Pile</v>
      </c>
    </row>
    <row r="11807" spans="1:13" s="120" customFormat="1" x14ac:dyDescent="0.25">
      <c r="A11807" s="119"/>
      <c r="B11807" s="138" t="str">
        <f t="shared" si="1019"/>
        <v/>
      </c>
      <c r="C11807" s="138" t="str">
        <f t="shared" si="1020"/>
        <v/>
      </c>
      <c r="D11807" s="138" t="str">
        <f t="shared" si="1021"/>
        <v/>
      </c>
      <c r="E11807" s="138" t="str">
        <f t="shared" si="1022"/>
        <v/>
      </c>
      <c r="F11807" s="138" t="str">
        <f t="shared" si="1023"/>
        <v/>
      </c>
      <c r="G11807" s="153" t="s">
        <v>51</v>
      </c>
      <c r="H11807" s="160"/>
      <c r="I11807" s="160" t="s">
        <v>47</v>
      </c>
      <c r="J11807" s="160" t="s">
        <v>52</v>
      </c>
      <c r="K11807" s="160" t="s">
        <v>27</v>
      </c>
      <c r="L11807" s="154" t="str">
        <f>IF(OpenLCAbasic!K11807="CTUh", "Fill in Manually",IF(OR(K11807="Unit", K11807=""), "", INDEX(LookUps!$E$5:$E$12, MATCH(OpenLCAbasic!K11807,LookUps!$D$5:$D$12,0))))</f>
        <v/>
      </c>
      <c r="M11807" s="154" t="str">
        <f t="shared" si="1024"/>
        <v>____Process__</v>
      </c>
    </row>
    <row r="11808" spans="1:13" s="120" customFormat="1" x14ac:dyDescent="0.25">
      <c r="A11808" s="119"/>
      <c r="B11808" s="138" t="str">
        <f t="shared" si="1019"/>
        <v>Aerated Static Pile</v>
      </c>
      <c r="C11808" s="138" t="str">
        <f t="shared" si="1020"/>
        <v>Without Amendment</v>
      </c>
      <c r="D11808" s="138" t="str">
        <f t="shared" si="1021"/>
        <v>Base_Low</v>
      </c>
      <c r="E11808" s="138" t="str">
        <f t="shared" si="1022"/>
        <v>Base</v>
      </c>
      <c r="F11808" s="138" t="str">
        <f t="shared" si="1023"/>
        <v>Upgraded</v>
      </c>
      <c r="G11808" s="153"/>
      <c r="H11808" s="210">
        <v>0.61850000000000005</v>
      </c>
      <c r="I11808" s="160" t="s">
        <v>167</v>
      </c>
      <c r="J11808" s="160">
        <v>2.3000000000000001E-4</v>
      </c>
      <c r="K11808" s="160" t="s">
        <v>26</v>
      </c>
      <c r="L11808" s="154" t="str">
        <f>IF(OpenLCAbasic!K11808="CTUh", "Fill in Manually",IF(OR(K11808="Unit", K11808=""), "", INDEX(LookUps!$E$5:$E$12, MATCH(OpenLCAbasic!K11808,LookUps!$D$5:$D$12,0))))</f>
        <v>Water Use (WU) - m3 H2O</v>
      </c>
      <c r="M11808" s="154" t="str">
        <f t="shared" si="1024"/>
        <v>Base_Base_Low_Upgraded_Water Use (WU) - m3 H2O_Waste Receiving and Holding; wastewater treatment unit; at updated plant - US_Without Amendment_Aerated Static Pile</v>
      </c>
    </row>
    <row r="11809" spans="1:13" s="120" customFormat="1" x14ac:dyDescent="0.25">
      <c r="A11809" s="119"/>
      <c r="B11809" s="138" t="str">
        <f t="shared" si="1019"/>
        <v>Aerated Static Pile</v>
      </c>
      <c r="C11809" s="138" t="str">
        <f t="shared" si="1020"/>
        <v>Without Amendment</v>
      </c>
      <c r="D11809" s="138" t="str">
        <f t="shared" si="1021"/>
        <v>Base_Low</v>
      </c>
      <c r="E11809" s="138" t="str">
        <f t="shared" si="1022"/>
        <v>Base</v>
      </c>
      <c r="F11809" s="138" t="str">
        <f t="shared" si="1023"/>
        <v>Upgraded</v>
      </c>
      <c r="G11809" s="153"/>
      <c r="H11809" s="210">
        <v>0.4894</v>
      </c>
      <c r="I11809" s="160" t="s">
        <v>147</v>
      </c>
      <c r="J11809" s="160">
        <v>1.8000000000000001E-4</v>
      </c>
      <c r="K11809" s="160" t="s">
        <v>26</v>
      </c>
      <c r="L11809" s="154" t="str">
        <f>IF(OpenLCAbasic!K11809="CTUh", "Fill in Manually",IF(OR(K11809="Unit", K11809=""), "", INDEX(LookUps!$E$5:$E$12, MATCH(OpenLCAbasic!K11809,LookUps!$D$5:$D$12,0))))</f>
        <v>Water Use (WU) - m3 H2O</v>
      </c>
      <c r="M11809" s="154" t="str">
        <f t="shared" si="1024"/>
        <v>Base_Base_Low_Upgraded_Water Use (WU) - m3 H2O_Influent Pump Station; wastewater treatment unit; at updated plant - US_Without Amendment_Aerated Static Pile</v>
      </c>
    </row>
    <row r="11810" spans="1:13" s="120" customFormat="1" x14ac:dyDescent="0.25">
      <c r="A11810" s="119"/>
      <c r="B11810" s="138" t="str">
        <f t="shared" si="1019"/>
        <v>Aerated Static Pile</v>
      </c>
      <c r="C11810" s="138" t="str">
        <f t="shared" si="1020"/>
        <v>Without Amendment</v>
      </c>
      <c r="D11810" s="138" t="str">
        <f t="shared" si="1021"/>
        <v>Base_Low</v>
      </c>
      <c r="E11810" s="138" t="str">
        <f t="shared" si="1022"/>
        <v>Base</v>
      </c>
      <c r="F11810" s="138" t="str">
        <f t="shared" si="1023"/>
        <v>Upgraded</v>
      </c>
      <c r="G11810" s="153"/>
      <c r="H11810" s="210">
        <v>0.47749999999999998</v>
      </c>
      <c r="I11810" s="160" t="s">
        <v>54</v>
      </c>
      <c r="J11810" s="160">
        <v>1.8000000000000001E-4</v>
      </c>
      <c r="K11810" s="160" t="s">
        <v>26</v>
      </c>
      <c r="L11810" s="154" t="str">
        <f>IF(OpenLCAbasic!K11810="CTUh", "Fill in Manually",IF(OR(K11810="Unit", K11810=""), "", INDEX(LookUps!$E$5:$E$12, MATCH(OpenLCAbasic!K11810,LookUps!$D$5:$D$12,0))))</f>
        <v>Water Use (WU) - m3 H2O</v>
      </c>
      <c r="M11810" s="154" t="str">
        <f t="shared" si="1024"/>
        <v>Base_Base_Low_Upgraded_Water Use (WU) - m3 H2O_Clear Cove Primary Clarification; wastewater treatment unit; at updated plant - US_Without Amendment_Aerated Static Pile</v>
      </c>
    </row>
    <row r="11811" spans="1:13" s="120" customFormat="1" x14ac:dyDescent="0.25">
      <c r="A11811" s="119"/>
      <c r="B11811" s="138" t="str">
        <f t="shared" si="1019"/>
        <v>Aerated Static Pile</v>
      </c>
      <c r="C11811" s="138" t="str">
        <f t="shared" si="1020"/>
        <v>Without Amendment</v>
      </c>
      <c r="D11811" s="138" t="str">
        <f t="shared" si="1021"/>
        <v>Base_Low</v>
      </c>
      <c r="E11811" s="138" t="str">
        <f t="shared" si="1022"/>
        <v>Base</v>
      </c>
      <c r="F11811" s="138" t="str">
        <f t="shared" si="1023"/>
        <v>Upgraded</v>
      </c>
      <c r="G11811" s="153"/>
      <c r="H11811" s="210">
        <v>0.43319999999999997</v>
      </c>
      <c r="I11811" s="160" t="s">
        <v>55</v>
      </c>
      <c r="J11811" s="160">
        <v>1.6000000000000001E-4</v>
      </c>
      <c r="K11811" s="160" t="s">
        <v>26</v>
      </c>
      <c r="L11811" s="154" t="str">
        <f>IF(OpenLCAbasic!K11811="CTUh", "Fill in Manually",IF(OR(K11811="Unit", K11811=""), "", INDEX(LookUps!$E$5:$E$12, MATCH(OpenLCAbasic!K11811,LookUps!$D$5:$D$12,0))))</f>
        <v>Water Use (WU) - m3 H2O</v>
      </c>
      <c r="M11811" s="154" t="str">
        <f t="shared" si="1024"/>
        <v>Base_Base_Low_Upgraded_Water Use (WU) - m3 H2O_Aeration Tanks; wastewater treatment unit; at updated plant - US_Without Amendment_Aerated Static Pile</v>
      </c>
    </row>
    <row r="11812" spans="1:13" s="120" customFormat="1" x14ac:dyDescent="0.25">
      <c r="A11812" s="119"/>
      <c r="B11812" s="138" t="str">
        <f t="shared" si="1019"/>
        <v>Aerated Static Pile</v>
      </c>
      <c r="C11812" s="138" t="str">
        <f t="shared" si="1020"/>
        <v>Without Amendment</v>
      </c>
      <c r="D11812" s="138" t="str">
        <f t="shared" si="1021"/>
        <v>Base_Low</v>
      </c>
      <c r="E11812" s="138" t="str">
        <f t="shared" si="1022"/>
        <v>Base</v>
      </c>
      <c r="F11812" s="138" t="str">
        <f t="shared" si="1023"/>
        <v>Upgraded</v>
      </c>
      <c r="G11812" s="153"/>
      <c r="H11812" s="210">
        <v>0.39460000000000001</v>
      </c>
      <c r="I11812" s="160" t="s">
        <v>148</v>
      </c>
      <c r="J11812" s="160">
        <v>1.4999999999999999E-4</v>
      </c>
      <c r="K11812" s="160" t="s">
        <v>26</v>
      </c>
      <c r="L11812" s="154" t="str">
        <f>IF(OpenLCAbasic!K11812="CTUh", "Fill in Manually",IF(OR(K11812="Unit", K11812=""), "", INDEX(LookUps!$E$5:$E$12, MATCH(OpenLCAbasic!K11812,LookUps!$D$5:$D$12,0))))</f>
        <v>Water Use (WU) - m3 H2O</v>
      </c>
      <c r="M11812" s="154" t="str">
        <f t="shared" si="1024"/>
        <v>Base_Base_Low_Upgraded_Water Use (WU) - m3 H2O_Control Building; at upgraded wastewater treatment plant - US_Without Amendment_Aerated Static Pile</v>
      </c>
    </row>
    <row r="11813" spans="1:13" s="120" customFormat="1" x14ac:dyDescent="0.25">
      <c r="A11813" s="119"/>
      <c r="B11813" s="138" t="str">
        <f t="shared" si="1019"/>
        <v>Aerated Static Pile</v>
      </c>
      <c r="C11813" s="138" t="str">
        <f t="shared" si="1020"/>
        <v>Without Amendment</v>
      </c>
      <c r="D11813" s="138" t="str">
        <f t="shared" si="1021"/>
        <v>Base_Low</v>
      </c>
      <c r="E11813" s="138" t="str">
        <f t="shared" si="1022"/>
        <v>Base</v>
      </c>
      <c r="F11813" s="138" t="str">
        <f t="shared" si="1023"/>
        <v>Upgraded</v>
      </c>
      <c r="G11813" s="153"/>
      <c r="H11813" s="210">
        <v>0.18329999999999999</v>
      </c>
      <c r="I11813" s="160" t="s">
        <v>48</v>
      </c>
      <c r="J11813" s="211">
        <v>6.8836400000000004E-5</v>
      </c>
      <c r="K11813" s="160" t="s">
        <v>26</v>
      </c>
      <c r="L11813" s="154" t="str">
        <f>IF(OpenLCAbasic!K11813="CTUh", "Fill in Manually",IF(OR(K11813="Unit", K11813=""), "", INDEX(LookUps!$E$5:$E$12, MATCH(OpenLCAbasic!K11813,LookUps!$D$5:$D$12,0))))</f>
        <v>Water Use (WU) - m3 H2O</v>
      </c>
      <c r="M11813" s="154" t="str">
        <f t="shared" si="1024"/>
        <v>Base_Base_Low_Upgraded_Water Use (WU) - m3 H2O_Effluent release; wastewater treatment unit; at surface water; m3 wastewater - US_Without Amendment_Aerated Static Pile</v>
      </c>
    </row>
    <row r="11814" spans="1:13" s="120" customFormat="1" x14ac:dyDescent="0.25">
      <c r="A11814" s="119"/>
      <c r="B11814" s="138" t="str">
        <f t="shared" si="1019"/>
        <v>Aerated Static Pile</v>
      </c>
      <c r="C11814" s="138" t="str">
        <f t="shared" si="1020"/>
        <v>Without Amendment</v>
      </c>
      <c r="D11814" s="138" t="str">
        <f t="shared" si="1021"/>
        <v>Base_Low</v>
      </c>
      <c r="E11814" s="138" t="str">
        <f t="shared" si="1022"/>
        <v>Base</v>
      </c>
      <c r="F11814" s="138" t="str">
        <f t="shared" si="1023"/>
        <v>Upgraded</v>
      </c>
      <c r="G11814" s="153"/>
      <c r="H11814" s="210">
        <v>0.126</v>
      </c>
      <c r="I11814" s="160" t="s">
        <v>149</v>
      </c>
      <c r="J11814" s="211">
        <v>4.7332900000000002E-5</v>
      </c>
      <c r="K11814" s="160" t="s">
        <v>26</v>
      </c>
      <c r="L11814" s="154" t="str">
        <f>IF(OpenLCAbasic!K11814="CTUh", "Fill in Manually",IF(OR(K11814="Unit", K11814=""), "", INDEX(LookUps!$E$5:$E$12, MATCH(OpenLCAbasic!K11814,LookUps!$D$5:$D$12,0))))</f>
        <v>Water Use (WU) - m3 H2O</v>
      </c>
      <c r="M11814" s="154" t="str">
        <f t="shared" si="1024"/>
        <v>Base_Base_Low_Upgraded_Water Use (WU) - m3 H2O_Anaerobic Digestion; wastewater treatment unit; at updated plant - US_Without Amendment_Aerated Static Pile</v>
      </c>
    </row>
    <row r="11815" spans="1:13" s="120" customFormat="1" x14ac:dyDescent="0.25">
      <c r="A11815" s="119"/>
      <c r="B11815" s="138" t="str">
        <f t="shared" si="1019"/>
        <v>Aerated Static Pile</v>
      </c>
      <c r="C11815" s="138" t="str">
        <f t="shared" si="1020"/>
        <v>Without Amendment</v>
      </c>
      <c r="D11815" s="138" t="str">
        <f t="shared" si="1021"/>
        <v>Base_Low</v>
      </c>
      <c r="E11815" s="138" t="str">
        <f t="shared" si="1022"/>
        <v>Base</v>
      </c>
      <c r="F11815" s="138" t="str">
        <f t="shared" si="1023"/>
        <v>Upgraded</v>
      </c>
      <c r="G11815" s="153"/>
      <c r="H11815" s="210">
        <v>0.115</v>
      </c>
      <c r="I11815" s="160" t="s">
        <v>58</v>
      </c>
      <c r="J11815" s="211">
        <v>4.3192100000000003E-5</v>
      </c>
      <c r="K11815" s="160" t="s">
        <v>26</v>
      </c>
      <c r="L11815" s="154" t="str">
        <f>IF(OpenLCAbasic!K11815="CTUh", "Fill in Manually",IF(OR(K11815="Unit", K11815=""), "", INDEX(LookUps!$E$5:$E$12, MATCH(OpenLCAbasic!K11815,LookUps!$D$5:$D$12,0))))</f>
        <v>Water Use (WU) - m3 H2O</v>
      </c>
      <c r="M11815" s="154" t="str">
        <f t="shared" si="1024"/>
        <v>Base_Base_Low_Upgraded_Water Use (WU) - m3 H2O_Pre-Anoxic &amp; Swing tank; wastewater treatment unit; at updated plant - US_Without Amendment_Aerated Static Pile</v>
      </c>
    </row>
    <row r="11816" spans="1:13" s="120" customFormat="1" x14ac:dyDescent="0.25">
      <c r="A11816" s="119"/>
      <c r="B11816" s="138" t="str">
        <f t="shared" si="1019"/>
        <v>Aerated Static Pile</v>
      </c>
      <c r="C11816" s="138" t="str">
        <f t="shared" si="1020"/>
        <v>Without Amendment</v>
      </c>
      <c r="D11816" s="138" t="str">
        <f t="shared" si="1021"/>
        <v>Base_Low</v>
      </c>
      <c r="E11816" s="138" t="str">
        <f t="shared" si="1022"/>
        <v>Base</v>
      </c>
      <c r="F11816" s="138" t="str">
        <f t="shared" si="1023"/>
        <v>Upgraded</v>
      </c>
      <c r="G11816" s="153"/>
      <c r="H11816" s="210">
        <v>8.1000000000000003E-2</v>
      </c>
      <c r="I11816" s="160" t="s">
        <v>57</v>
      </c>
      <c r="J11816" s="211">
        <v>3.0408100000000001E-5</v>
      </c>
      <c r="K11816" s="160" t="s">
        <v>26</v>
      </c>
      <c r="L11816" s="154" t="str">
        <f>IF(OpenLCAbasic!K11816="CTUh", "Fill in Manually",IF(OR(K11816="Unit", K11816=""), "", INDEX(LookUps!$E$5:$E$12, MATCH(OpenLCAbasic!K11816,LookUps!$D$5:$D$12,0))))</f>
        <v>Water Use (WU) - m3 H2O</v>
      </c>
      <c r="M11816" s="154" t="str">
        <f t="shared" si="1024"/>
        <v>Base_Base_Low_Upgraded_Water Use (WU) - m3 H2O_Gravity Belt Thickener; wastewater treatment unit; at updated plant - US_Without Amendment_Aerated Static Pile</v>
      </c>
    </row>
    <row r="11817" spans="1:13" s="120" customFormat="1" x14ac:dyDescent="0.25">
      <c r="A11817" s="119"/>
      <c r="B11817" s="138" t="str">
        <f t="shared" ref="B11817:B11880" si="1025">IF(F11817="Legacy","n.a.",IF(F11817="","","Aerated Static Pile"))</f>
        <v>Aerated Static Pile</v>
      </c>
      <c r="C11817" s="138" t="str">
        <f t="shared" ref="C11817:C11880" si="1026">IF(ISNUMBER($J11817),"Without Amendment","")</f>
        <v>Without Amendment</v>
      </c>
      <c r="D11817" s="138" t="str">
        <f t="shared" ref="D11817:D11823" si="1027">IF(ISNUMBER($J11817),"Base_Low","")</f>
        <v>Base_Low</v>
      </c>
      <c r="E11817" s="138" t="str">
        <f t="shared" ref="E11817:E11880" si="1028">IF(ISNUMBER($J11817),"Base","")</f>
        <v>Base</v>
      </c>
      <c r="F11817" s="138" t="str">
        <f t="shared" ref="F11817:F11880" si="1029">IF(ISNUMBER(J11817),"Upgraded","")</f>
        <v>Upgraded</v>
      </c>
      <c r="G11817" s="153"/>
      <c r="H11817" s="210">
        <v>6.4799999999999996E-2</v>
      </c>
      <c r="I11817" s="160" t="s">
        <v>60</v>
      </c>
      <c r="J11817" s="211">
        <v>2.4357400000000002E-5</v>
      </c>
      <c r="K11817" s="160" t="s">
        <v>26</v>
      </c>
      <c r="L11817" s="154" t="str">
        <f>IF(OpenLCAbasic!K11817="CTUh", "Fill in Manually",IF(OR(K11817="Unit", K11817=""), "", INDEX(LookUps!$E$5:$E$12, MATCH(OpenLCAbasic!K11817,LookUps!$D$5:$D$12,0))))</f>
        <v>Water Use (WU) - m3 H2O</v>
      </c>
      <c r="M11817" s="154" t="str">
        <f t="shared" si="1024"/>
        <v>Base_Base_Low_Upgraded_Water Use (WU) - m3 H2O_Belt filter press; wastewater treatment unit; at updated plant - US_Without Amendment_Aerated Static Pile</v>
      </c>
    </row>
    <row r="11818" spans="1:13" s="120" customFormat="1" x14ac:dyDescent="0.25">
      <c r="A11818" s="119"/>
      <c r="B11818" s="138" t="str">
        <f t="shared" si="1025"/>
        <v>Aerated Static Pile</v>
      </c>
      <c r="C11818" s="138" t="str">
        <f t="shared" si="1026"/>
        <v>Without Amendment</v>
      </c>
      <c r="D11818" s="138" t="str">
        <f t="shared" si="1027"/>
        <v>Base_Low</v>
      </c>
      <c r="E11818" s="138" t="str">
        <f t="shared" si="1028"/>
        <v>Base</v>
      </c>
      <c r="F11818" s="138" t="str">
        <f t="shared" si="1029"/>
        <v>Upgraded</v>
      </c>
      <c r="G11818" s="153"/>
      <c r="H11818" s="210">
        <v>4.6600000000000003E-2</v>
      </c>
      <c r="I11818" s="160" t="s">
        <v>53</v>
      </c>
      <c r="J11818" s="211">
        <v>1.75069E-5</v>
      </c>
      <c r="K11818" s="160" t="s">
        <v>26</v>
      </c>
      <c r="L11818" s="154" t="str">
        <f>IF(OpenLCAbasic!K11818="CTUh", "Fill in Manually",IF(OR(K11818="Unit", K11818=""), "", INDEX(LookUps!$E$5:$E$12, MATCH(OpenLCAbasic!K11818,LookUps!$D$5:$D$12,0))))</f>
        <v>Water Use (WU) - m3 H2O</v>
      </c>
      <c r="M11818" s="154" t="str">
        <f t="shared" si="1024"/>
        <v>Base_Base_Low_Upgraded_Water Use (WU) - m3 H2O_Wet Well and Sump Station; wastewater treatment unit; at updated plant - US_Without Amendment_Aerated Static Pile</v>
      </c>
    </row>
    <row r="11819" spans="1:13" s="120" customFormat="1" x14ac:dyDescent="0.25">
      <c r="A11819" s="119"/>
      <c r="B11819" s="138" t="str">
        <f t="shared" si="1025"/>
        <v>Aerated Static Pile</v>
      </c>
      <c r="C11819" s="138" t="str">
        <f t="shared" si="1026"/>
        <v>Without Amendment</v>
      </c>
      <c r="D11819" s="138" t="str">
        <f t="shared" si="1027"/>
        <v>Base_Low</v>
      </c>
      <c r="E11819" s="138" t="str">
        <f t="shared" si="1028"/>
        <v>Base</v>
      </c>
      <c r="F11819" s="138" t="str">
        <f t="shared" si="1029"/>
        <v>Upgraded</v>
      </c>
      <c r="G11819" s="153"/>
      <c r="H11819" s="210">
        <v>1.8700000000000001E-2</v>
      </c>
      <c r="I11819" s="160" t="s">
        <v>59</v>
      </c>
      <c r="J11819" s="211">
        <v>7.0179500000000003E-6</v>
      </c>
      <c r="K11819" s="160" t="s">
        <v>26</v>
      </c>
      <c r="L11819" s="154" t="str">
        <f>IF(OpenLCAbasic!K11819="CTUh", "Fill in Manually",IF(OR(K11819="Unit", K11819=""), "", INDEX(LookUps!$E$5:$E$12, MATCH(OpenLCAbasic!K11819,LookUps!$D$5:$D$12,0))))</f>
        <v>Water Use (WU) - m3 H2O</v>
      </c>
      <c r="M11819" s="154" t="str">
        <f t="shared" si="1024"/>
        <v>Base_Base_Low_Upgraded_Water Use (WU) - m3 H2O_Blend Tank; wastewater treatment unit; at updated plant - US_Without Amendment_Aerated Static Pile</v>
      </c>
    </row>
    <row r="11820" spans="1:13" s="120" customFormat="1" x14ac:dyDescent="0.25">
      <c r="A11820" s="119"/>
      <c r="B11820" s="138" t="str">
        <f t="shared" si="1025"/>
        <v>Aerated Static Pile</v>
      </c>
      <c r="C11820" s="138" t="str">
        <f t="shared" si="1026"/>
        <v>Without Amendment</v>
      </c>
      <c r="D11820" s="138" t="str">
        <f t="shared" si="1027"/>
        <v>Base_Low</v>
      </c>
      <c r="E11820" s="138" t="str">
        <f t="shared" si="1028"/>
        <v>Base</v>
      </c>
      <c r="F11820" s="138" t="str">
        <f t="shared" si="1029"/>
        <v>Upgraded</v>
      </c>
      <c r="G11820" s="153"/>
      <c r="H11820" s="210">
        <v>1.78E-2</v>
      </c>
      <c r="I11820" s="160" t="s">
        <v>435</v>
      </c>
      <c r="J11820" s="211">
        <v>6.6684800000000001E-6</v>
      </c>
      <c r="K11820" s="160" t="s">
        <v>26</v>
      </c>
      <c r="L11820" s="154" t="str">
        <f>IF(OpenLCAbasic!K11820="CTUh", "Fill in Manually",IF(OR(K11820="Unit", K11820=""), "", INDEX(LookUps!$E$5:$E$12, MATCH(OpenLCAbasic!K11820,LookUps!$D$5:$D$12,0))))</f>
        <v>Water Use (WU) - m3 H2O</v>
      </c>
      <c r="M11820" s="154" t="str">
        <f t="shared" si="1024"/>
        <v>Base_Base_Low_Upgraded_Water Use (WU) - m3 H2O_Biosolids composting; aerated static pile; wastewater treatment unit; at updated plant - US_Without Amendment_Aerated Static Pile</v>
      </c>
    </row>
    <row r="11821" spans="1:13" s="120" customFormat="1" x14ac:dyDescent="0.25">
      <c r="A11821" s="119"/>
      <c r="B11821" s="138" t="str">
        <f t="shared" si="1025"/>
        <v>Aerated Static Pile</v>
      </c>
      <c r="C11821" s="138" t="str">
        <f t="shared" si="1026"/>
        <v>Without Amendment</v>
      </c>
      <c r="D11821" s="138" t="str">
        <f t="shared" si="1027"/>
        <v>Base_Low</v>
      </c>
      <c r="E11821" s="138" t="str">
        <f t="shared" si="1028"/>
        <v>Base</v>
      </c>
      <c r="F11821" s="138" t="str">
        <f t="shared" si="1029"/>
        <v>Upgraded</v>
      </c>
      <c r="G11821" s="153"/>
      <c r="H11821" s="210">
        <v>1.35E-2</v>
      </c>
      <c r="I11821" s="160" t="s">
        <v>128</v>
      </c>
      <c r="J11821" s="211">
        <v>5.0608900000000003E-6</v>
      </c>
      <c r="K11821" s="160" t="s">
        <v>26</v>
      </c>
      <c r="L11821" s="154" t="str">
        <f>IF(OpenLCAbasic!K11821="CTUh", "Fill in Manually",IF(OR(K11821="Unit", K11821=""), "", INDEX(LookUps!$E$5:$E$12, MATCH(OpenLCAbasic!K11821,LookUps!$D$5:$D$12,0))))</f>
        <v>Water Use (WU) - m3 H2O</v>
      </c>
      <c r="M11821" s="154" t="str">
        <f t="shared" si="1024"/>
        <v>Base_Base_Low_Upgraded_Water Use (WU) - m3 H2O_Wastewater collection; operation and infrastructure; m3 wastewater_Without Amendment_Aerated Static Pile</v>
      </c>
    </row>
    <row r="11822" spans="1:13" s="120" customFormat="1" x14ac:dyDescent="0.25">
      <c r="A11822" s="119"/>
      <c r="B11822" s="138" t="str">
        <f t="shared" si="1025"/>
        <v>Aerated Static Pile</v>
      </c>
      <c r="C11822" s="138" t="str">
        <f t="shared" si="1026"/>
        <v>Without Amendment</v>
      </c>
      <c r="D11822" s="138" t="str">
        <f t="shared" si="1027"/>
        <v>Base_Low</v>
      </c>
      <c r="E11822" s="138" t="str">
        <f t="shared" si="1028"/>
        <v>Base</v>
      </c>
      <c r="F11822" s="138" t="str">
        <f t="shared" si="1029"/>
        <v>Upgraded</v>
      </c>
      <c r="G11822" s="153"/>
      <c r="H11822" s="210">
        <v>2E-3</v>
      </c>
      <c r="I11822" s="160" t="s">
        <v>168</v>
      </c>
      <c r="J11822" s="211">
        <v>7.6697000000000004E-7</v>
      </c>
      <c r="K11822" s="160" t="s">
        <v>26</v>
      </c>
      <c r="L11822" s="154" t="str">
        <f>IF(OpenLCAbasic!K11822="CTUh", "Fill in Manually",IF(OR(K11822="Unit", K11822=""), "", INDEX(LookUps!$E$5:$E$12, MATCH(OpenLCAbasic!K11822,LookUps!$D$5:$D$12,0))))</f>
        <v>Water Use (WU) - m3 H2O</v>
      </c>
      <c r="M11822" s="154" t="str">
        <f t="shared" si="1024"/>
        <v>Base_Base_Low_Upgraded_Water Use (WU) - m3 H2O_ClearCove SCP; wastewater treatment unit; at updated plant - US_Without Amendment_Aerated Static Pile</v>
      </c>
    </row>
    <row r="11823" spans="1:13" s="120" customFormat="1" x14ac:dyDescent="0.25">
      <c r="A11823" s="119"/>
      <c r="B11823" s="138" t="str">
        <f t="shared" si="1025"/>
        <v>Aerated Static Pile</v>
      </c>
      <c r="C11823" s="138" t="str">
        <f t="shared" si="1026"/>
        <v>Without Amendment</v>
      </c>
      <c r="D11823" s="138" t="str">
        <f t="shared" si="1027"/>
        <v>Base_Low</v>
      </c>
      <c r="E11823" s="138" t="str">
        <f t="shared" si="1028"/>
        <v>Base</v>
      </c>
      <c r="F11823" s="138" t="str">
        <f t="shared" si="1029"/>
        <v>Upgraded</v>
      </c>
      <c r="G11823" s="153"/>
      <c r="H11823" s="210">
        <v>-2.0819999999999999</v>
      </c>
      <c r="I11823" s="160" t="s">
        <v>62</v>
      </c>
      <c r="J11823" s="160">
        <v>-7.7999999999999999E-4</v>
      </c>
      <c r="K11823" s="160" t="s">
        <v>26</v>
      </c>
      <c r="L11823" s="154" t="str">
        <f>IF(OpenLCAbasic!K11823="CTUh", "Fill in Manually",IF(OR(K11823="Unit", K11823=""), "", INDEX(LookUps!$E$5:$E$12, MATCH(OpenLCAbasic!K11823,LookUps!$D$5:$D$12,0))))</f>
        <v>Water Use (WU) - m3 H2O</v>
      </c>
      <c r="M11823" s="154" t="str">
        <f t="shared" si="1024"/>
        <v>Base_Base_Low_Upgraded_Water Use (WU) - m3 H2O_Land application of compost; wastewater treatment unit; at updated plant - US_Without Amendment_Aerated Static Pile</v>
      </c>
    </row>
    <row r="11824" spans="1:13" s="120" customFormat="1" x14ac:dyDescent="0.25">
      <c r="A11824" s="119"/>
      <c r="B11824" s="138" t="str">
        <f t="shared" si="1025"/>
        <v/>
      </c>
      <c r="C11824" s="138" t="str">
        <f t="shared" si="1026"/>
        <v/>
      </c>
      <c r="D11824" s="138" t="str">
        <f>IF(ISNUMBER($J11824),"Base_High","")</f>
        <v/>
      </c>
      <c r="E11824" s="138" t="str">
        <f t="shared" si="1028"/>
        <v/>
      </c>
      <c r="F11824" s="138" t="str">
        <f t="shared" si="1029"/>
        <v/>
      </c>
      <c r="G11824" s="153" t="s">
        <v>51</v>
      </c>
      <c r="H11824" s="160"/>
      <c r="I11824" s="160" t="s">
        <v>47</v>
      </c>
      <c r="J11824" s="160" t="s">
        <v>52</v>
      </c>
      <c r="K11824" s="160" t="s">
        <v>27</v>
      </c>
      <c r="L11824" s="154" t="str">
        <f>IF(OpenLCAbasic!K11824="CTUh", "Fill in Manually",IF(OR(K11824="Unit", K11824=""), "", INDEX(LookUps!$E$5:$E$12, MATCH(OpenLCAbasic!K11824,LookUps!$D$5:$D$12,0))))</f>
        <v/>
      </c>
      <c r="M11824" s="154" t="str">
        <f t="shared" si="1024"/>
        <v>____Process__</v>
      </c>
    </row>
    <row r="11825" spans="1:13" s="120" customFormat="1" x14ac:dyDescent="0.25">
      <c r="A11825" s="119"/>
      <c r="B11825" s="138" t="str">
        <f t="shared" si="1025"/>
        <v>Aerated Static Pile</v>
      </c>
      <c r="C11825" s="138" t="str">
        <f t="shared" si="1026"/>
        <v>Without Amendment</v>
      </c>
      <c r="D11825" s="138" t="str">
        <f t="shared" ref="D11825:D11888" si="1030">IF(ISNUMBER($J11825),"Base_High","")</f>
        <v>Base_High</v>
      </c>
      <c r="E11825" s="138" t="str">
        <f t="shared" si="1028"/>
        <v>Base</v>
      </c>
      <c r="F11825" s="138" t="str">
        <f t="shared" si="1029"/>
        <v>Upgraded</v>
      </c>
      <c r="G11825" s="153"/>
      <c r="H11825" s="210">
        <v>6.0606999999999998</v>
      </c>
      <c r="I11825" s="160" t="s">
        <v>55</v>
      </c>
      <c r="J11825" s="160">
        <v>1.7219999999999999E-2</v>
      </c>
      <c r="K11825" s="160" t="s">
        <v>24</v>
      </c>
      <c r="L11825" s="154" t="str">
        <f>IF(OpenLCAbasic!K11825="CTUh", "Fill in Manually",IF(OR(K11825="Unit", K11825=""), "", INDEX(LookUps!$E$5:$E$12, MATCH(OpenLCAbasic!K11825,LookUps!$D$5:$D$12,0))))</f>
        <v>Acidification Potential (AP) - kg SO2 eq</v>
      </c>
      <c r="M11825" s="154" t="str">
        <f t="shared" si="1024"/>
        <v>Base_Base_High_Upgraded_Acidification Potential (AP) - kg SO2 eq_Aeration Tanks; wastewater treatment unit; at updated plant - US_Without Amendment_Aerated Static Pile</v>
      </c>
    </row>
    <row r="11826" spans="1:13" s="120" customFormat="1" x14ac:dyDescent="0.25">
      <c r="A11826" s="119"/>
      <c r="B11826" s="138" t="str">
        <f t="shared" si="1025"/>
        <v>Aerated Static Pile</v>
      </c>
      <c r="C11826" s="138" t="str">
        <f t="shared" si="1026"/>
        <v>Without Amendment</v>
      </c>
      <c r="D11826" s="138" t="str">
        <f t="shared" si="1030"/>
        <v>Base_High</v>
      </c>
      <c r="E11826" s="138" t="str">
        <f t="shared" si="1028"/>
        <v>Base</v>
      </c>
      <c r="F11826" s="138" t="str">
        <f t="shared" si="1029"/>
        <v>Upgraded</v>
      </c>
      <c r="G11826" s="153"/>
      <c r="H11826" s="210">
        <v>1.7528999999999999</v>
      </c>
      <c r="I11826" s="160" t="s">
        <v>54</v>
      </c>
      <c r="J11826" s="160">
        <v>4.9800000000000001E-3</v>
      </c>
      <c r="K11826" s="160" t="s">
        <v>24</v>
      </c>
      <c r="L11826" s="154" t="str">
        <f>IF(OpenLCAbasic!K11826="CTUh", "Fill in Manually",IF(OR(K11826="Unit", K11826=""), "", INDEX(LookUps!$E$5:$E$12, MATCH(OpenLCAbasic!K11826,LookUps!$D$5:$D$12,0))))</f>
        <v>Acidification Potential (AP) - kg SO2 eq</v>
      </c>
      <c r="M11826" s="154" t="str">
        <f t="shared" si="1024"/>
        <v>Base_Base_High_Upgraded_Acidification Potential (AP) - kg SO2 eq_Clear Cove Primary Clarification; wastewater treatment unit; at updated plant - US_Without Amendment_Aerated Static Pile</v>
      </c>
    </row>
    <row r="11827" spans="1:13" s="120" customFormat="1" x14ac:dyDescent="0.25">
      <c r="A11827" s="119"/>
      <c r="B11827" s="138" t="str">
        <f t="shared" si="1025"/>
        <v>Aerated Static Pile</v>
      </c>
      <c r="C11827" s="138" t="str">
        <f t="shared" si="1026"/>
        <v>Without Amendment</v>
      </c>
      <c r="D11827" s="138" t="str">
        <f t="shared" si="1030"/>
        <v>Base_High</v>
      </c>
      <c r="E11827" s="138" t="str">
        <f t="shared" si="1028"/>
        <v>Base</v>
      </c>
      <c r="F11827" s="138" t="str">
        <f t="shared" si="1029"/>
        <v>Upgraded</v>
      </c>
      <c r="G11827" s="153"/>
      <c r="H11827" s="210">
        <v>1.5245</v>
      </c>
      <c r="I11827" s="160" t="s">
        <v>58</v>
      </c>
      <c r="J11827" s="160">
        <v>4.3299999999999996E-3</v>
      </c>
      <c r="K11827" s="160" t="s">
        <v>24</v>
      </c>
      <c r="L11827" s="154" t="str">
        <f>IF(OpenLCAbasic!K11827="CTUh", "Fill in Manually",IF(OR(K11827="Unit", K11827=""), "", INDEX(LookUps!$E$5:$E$12, MATCH(OpenLCAbasic!K11827,LookUps!$D$5:$D$12,0))))</f>
        <v>Acidification Potential (AP) - kg SO2 eq</v>
      </c>
      <c r="M11827" s="154" t="str">
        <f t="shared" si="1024"/>
        <v>Base_Base_High_Upgraded_Acidification Potential (AP) - kg SO2 eq_Pre-Anoxic &amp; Swing tank; wastewater treatment unit; at updated plant - US_Without Amendment_Aerated Static Pile</v>
      </c>
    </row>
    <row r="11828" spans="1:13" s="120" customFormat="1" x14ac:dyDescent="0.25">
      <c r="A11828" s="119"/>
      <c r="B11828" s="138" t="str">
        <f t="shared" si="1025"/>
        <v>Aerated Static Pile</v>
      </c>
      <c r="C11828" s="138" t="str">
        <f t="shared" si="1026"/>
        <v>Without Amendment</v>
      </c>
      <c r="D11828" s="138" t="str">
        <f t="shared" si="1030"/>
        <v>Base_High</v>
      </c>
      <c r="E11828" s="138" t="str">
        <f t="shared" si="1028"/>
        <v>Base</v>
      </c>
      <c r="F11828" s="138" t="str">
        <f t="shared" si="1029"/>
        <v>Upgraded</v>
      </c>
      <c r="G11828" s="153"/>
      <c r="H11828" s="210">
        <v>1.2145999999999999</v>
      </c>
      <c r="I11828" s="160" t="s">
        <v>53</v>
      </c>
      <c r="J11828" s="160">
        <v>3.4499999999999999E-3</v>
      </c>
      <c r="K11828" s="160" t="s">
        <v>24</v>
      </c>
      <c r="L11828" s="154" t="str">
        <f>IF(OpenLCAbasic!K11828="CTUh", "Fill in Manually",IF(OR(K11828="Unit", K11828=""), "", INDEX(LookUps!$E$5:$E$12, MATCH(OpenLCAbasic!K11828,LookUps!$D$5:$D$12,0))))</f>
        <v>Acidification Potential (AP) - kg SO2 eq</v>
      </c>
      <c r="M11828" s="154" t="str">
        <f t="shared" si="1024"/>
        <v>Base_Base_High_Upgraded_Acidification Potential (AP) - kg SO2 eq_Wet Well and Sump Station; wastewater treatment unit; at updated plant - US_Without Amendment_Aerated Static Pile</v>
      </c>
    </row>
    <row r="11829" spans="1:13" s="120" customFormat="1" x14ac:dyDescent="0.25">
      <c r="A11829" s="119"/>
      <c r="B11829" s="138" t="str">
        <f t="shared" si="1025"/>
        <v>Aerated Static Pile</v>
      </c>
      <c r="C11829" s="138" t="str">
        <f t="shared" si="1026"/>
        <v>Without Amendment</v>
      </c>
      <c r="D11829" s="138" t="str">
        <f t="shared" si="1030"/>
        <v>Base_High</v>
      </c>
      <c r="E11829" s="138" t="str">
        <f t="shared" si="1028"/>
        <v>Base</v>
      </c>
      <c r="F11829" s="138" t="str">
        <f t="shared" si="1029"/>
        <v>Upgraded</v>
      </c>
      <c r="G11829" s="153"/>
      <c r="H11829" s="210">
        <v>0.83599999999999997</v>
      </c>
      <c r="I11829" s="160" t="s">
        <v>167</v>
      </c>
      <c r="J11829" s="160">
        <v>2.3800000000000002E-3</v>
      </c>
      <c r="K11829" s="160" t="s">
        <v>24</v>
      </c>
      <c r="L11829" s="154" t="str">
        <f>IF(OpenLCAbasic!K11829="CTUh", "Fill in Manually",IF(OR(K11829="Unit", K11829=""), "", INDEX(LookUps!$E$5:$E$12, MATCH(OpenLCAbasic!K11829,LookUps!$D$5:$D$12,0))))</f>
        <v>Acidification Potential (AP) - kg SO2 eq</v>
      </c>
      <c r="M11829" s="154" t="str">
        <f t="shared" si="1024"/>
        <v>Base_Base_High_Upgraded_Acidification Potential (AP) - kg SO2 eq_Waste Receiving and Holding; wastewater treatment unit; at updated plant - US_Without Amendment_Aerated Static Pile</v>
      </c>
    </row>
    <row r="11830" spans="1:13" s="120" customFormat="1" x14ac:dyDescent="0.25">
      <c r="A11830" s="119"/>
      <c r="B11830" s="138" t="str">
        <f t="shared" si="1025"/>
        <v>Aerated Static Pile</v>
      </c>
      <c r="C11830" s="138" t="str">
        <f t="shared" si="1026"/>
        <v>Without Amendment</v>
      </c>
      <c r="D11830" s="138" t="str">
        <f t="shared" si="1030"/>
        <v>Base_High</v>
      </c>
      <c r="E11830" s="138" t="str">
        <f t="shared" si="1028"/>
        <v>Base</v>
      </c>
      <c r="F11830" s="138" t="str">
        <f t="shared" si="1029"/>
        <v>Upgraded</v>
      </c>
      <c r="G11830" s="153"/>
      <c r="H11830" s="210">
        <v>0.72809999999999997</v>
      </c>
      <c r="I11830" s="160" t="s">
        <v>147</v>
      </c>
      <c r="J11830" s="160">
        <v>2.0699999999999998E-3</v>
      </c>
      <c r="K11830" s="160" t="s">
        <v>24</v>
      </c>
      <c r="L11830" s="154" t="str">
        <f>IF(OpenLCAbasic!K11830="CTUh", "Fill in Manually",IF(OR(K11830="Unit", K11830=""), "", INDEX(LookUps!$E$5:$E$12, MATCH(OpenLCAbasic!K11830,LookUps!$D$5:$D$12,0))))</f>
        <v>Acidification Potential (AP) - kg SO2 eq</v>
      </c>
      <c r="M11830" s="154" t="str">
        <f t="shared" si="1024"/>
        <v>Base_Base_High_Upgraded_Acidification Potential (AP) - kg SO2 eq_Influent Pump Station; wastewater treatment unit; at updated plant - US_Without Amendment_Aerated Static Pile</v>
      </c>
    </row>
    <row r="11831" spans="1:13" s="120" customFormat="1" x14ac:dyDescent="0.25">
      <c r="A11831" s="119"/>
      <c r="B11831" s="138" t="str">
        <f t="shared" si="1025"/>
        <v>Aerated Static Pile</v>
      </c>
      <c r="C11831" s="138" t="str">
        <f t="shared" si="1026"/>
        <v>Without Amendment</v>
      </c>
      <c r="D11831" s="138" t="str">
        <f t="shared" si="1030"/>
        <v>Base_High</v>
      </c>
      <c r="E11831" s="138" t="str">
        <f t="shared" si="1028"/>
        <v>Base</v>
      </c>
      <c r="F11831" s="138" t="str">
        <f t="shared" si="1029"/>
        <v>Upgraded</v>
      </c>
      <c r="G11831" s="153"/>
      <c r="H11831" s="210">
        <v>0.62509999999999999</v>
      </c>
      <c r="I11831" s="160" t="s">
        <v>435</v>
      </c>
      <c r="J11831" s="160">
        <v>1.7799999999999999E-3</v>
      </c>
      <c r="K11831" s="160" t="s">
        <v>24</v>
      </c>
      <c r="L11831" s="154" t="str">
        <f>IF(OpenLCAbasic!K11831="CTUh", "Fill in Manually",IF(OR(K11831="Unit", K11831=""), "", INDEX(LookUps!$E$5:$E$12, MATCH(OpenLCAbasic!K11831,LookUps!$D$5:$D$12,0))))</f>
        <v>Acidification Potential (AP) - kg SO2 eq</v>
      </c>
      <c r="M11831" s="154" t="str">
        <f t="shared" si="1024"/>
        <v>Base_Base_High_Upgraded_Acidification Potential (AP) - kg SO2 eq_Biosolids composting; aerated static pile; wastewater treatment unit; at updated plant - US_Without Amendment_Aerated Static Pile</v>
      </c>
    </row>
    <row r="11832" spans="1:13" s="120" customFormat="1" x14ac:dyDescent="0.25">
      <c r="A11832" s="119"/>
      <c r="B11832" s="138" t="str">
        <f t="shared" si="1025"/>
        <v>Aerated Static Pile</v>
      </c>
      <c r="C11832" s="138" t="str">
        <f t="shared" si="1026"/>
        <v>Without Amendment</v>
      </c>
      <c r="D11832" s="138" t="str">
        <f t="shared" si="1030"/>
        <v>Base_High</v>
      </c>
      <c r="E11832" s="138" t="str">
        <f t="shared" si="1028"/>
        <v>Base</v>
      </c>
      <c r="F11832" s="138" t="str">
        <f t="shared" si="1029"/>
        <v>Upgraded</v>
      </c>
      <c r="G11832" s="153"/>
      <c r="H11832" s="210">
        <v>0.58909999999999996</v>
      </c>
      <c r="I11832" s="160" t="s">
        <v>62</v>
      </c>
      <c r="J11832" s="160">
        <v>1.67E-3</v>
      </c>
      <c r="K11832" s="160" t="s">
        <v>24</v>
      </c>
      <c r="L11832" s="154" t="str">
        <f>IF(OpenLCAbasic!K11832="CTUh", "Fill in Manually",IF(OR(K11832="Unit", K11832=""), "", INDEX(LookUps!$E$5:$E$12, MATCH(OpenLCAbasic!K11832,LookUps!$D$5:$D$12,0))))</f>
        <v>Acidification Potential (AP) - kg SO2 eq</v>
      </c>
      <c r="M11832" s="154" t="str">
        <f t="shared" si="1024"/>
        <v>Base_Base_High_Upgraded_Acidification Potential (AP) - kg SO2 eq_Land application of compost; wastewater treatment unit; at updated plant - US_Without Amendment_Aerated Static Pile</v>
      </c>
    </row>
    <row r="11833" spans="1:13" s="120" customFormat="1" x14ac:dyDescent="0.25">
      <c r="A11833" s="119"/>
      <c r="B11833" s="138" t="str">
        <f t="shared" si="1025"/>
        <v>Aerated Static Pile</v>
      </c>
      <c r="C11833" s="138" t="str">
        <f t="shared" si="1026"/>
        <v>Without Amendment</v>
      </c>
      <c r="D11833" s="138" t="str">
        <f t="shared" si="1030"/>
        <v>Base_High</v>
      </c>
      <c r="E11833" s="138" t="str">
        <f t="shared" si="1028"/>
        <v>Base</v>
      </c>
      <c r="F11833" s="138" t="str">
        <f t="shared" si="1029"/>
        <v>Upgraded</v>
      </c>
      <c r="G11833" s="153"/>
      <c r="H11833" s="210">
        <v>0.434</v>
      </c>
      <c r="I11833" s="160" t="s">
        <v>128</v>
      </c>
      <c r="J11833" s="160">
        <v>1.23E-3</v>
      </c>
      <c r="K11833" s="160" t="s">
        <v>24</v>
      </c>
      <c r="L11833" s="154" t="str">
        <f>IF(OpenLCAbasic!K11833="CTUh", "Fill in Manually",IF(OR(K11833="Unit", K11833=""), "", INDEX(LookUps!$E$5:$E$12, MATCH(OpenLCAbasic!K11833,LookUps!$D$5:$D$12,0))))</f>
        <v>Acidification Potential (AP) - kg SO2 eq</v>
      </c>
      <c r="M11833" s="154" t="str">
        <f t="shared" si="1024"/>
        <v>Base_Base_High_Upgraded_Acidification Potential (AP) - kg SO2 eq_Wastewater collection; operation and infrastructure; m3 wastewater_Without Amendment_Aerated Static Pile</v>
      </c>
    </row>
    <row r="11834" spans="1:13" s="120" customFormat="1" x14ac:dyDescent="0.25">
      <c r="A11834" s="119"/>
      <c r="B11834" s="138" t="str">
        <f t="shared" si="1025"/>
        <v>Aerated Static Pile</v>
      </c>
      <c r="C11834" s="138" t="str">
        <f t="shared" si="1026"/>
        <v>Without Amendment</v>
      </c>
      <c r="D11834" s="138" t="str">
        <f t="shared" si="1030"/>
        <v>Base_High</v>
      </c>
      <c r="E11834" s="138" t="str">
        <f t="shared" si="1028"/>
        <v>Base</v>
      </c>
      <c r="F11834" s="138" t="str">
        <f t="shared" si="1029"/>
        <v>Upgraded</v>
      </c>
      <c r="G11834" s="153"/>
      <c r="H11834" s="210">
        <v>0.26179999999999998</v>
      </c>
      <c r="I11834" s="160" t="s">
        <v>60</v>
      </c>
      <c r="J11834" s="160">
        <v>7.3999999999999999E-4</v>
      </c>
      <c r="K11834" s="160" t="s">
        <v>24</v>
      </c>
      <c r="L11834" s="154" t="str">
        <f>IF(OpenLCAbasic!K11834="CTUh", "Fill in Manually",IF(OR(K11834="Unit", K11834=""), "", INDEX(LookUps!$E$5:$E$12, MATCH(OpenLCAbasic!K11834,LookUps!$D$5:$D$12,0))))</f>
        <v>Acidification Potential (AP) - kg SO2 eq</v>
      </c>
      <c r="M11834" s="154" t="str">
        <f t="shared" si="1024"/>
        <v>Base_Base_High_Upgraded_Acidification Potential (AP) - kg SO2 eq_Belt filter press; wastewater treatment unit; at updated plant - US_Without Amendment_Aerated Static Pile</v>
      </c>
    </row>
    <row r="11835" spans="1:13" s="120" customFormat="1" x14ac:dyDescent="0.25">
      <c r="A11835" s="119"/>
      <c r="B11835" s="138" t="str">
        <f t="shared" si="1025"/>
        <v>Aerated Static Pile</v>
      </c>
      <c r="C11835" s="138" t="str">
        <f t="shared" si="1026"/>
        <v>Without Amendment</v>
      </c>
      <c r="D11835" s="138" t="str">
        <f t="shared" si="1030"/>
        <v>Base_High</v>
      </c>
      <c r="E11835" s="138" t="str">
        <f t="shared" si="1028"/>
        <v>Base</v>
      </c>
      <c r="F11835" s="138" t="str">
        <f t="shared" si="1029"/>
        <v>Upgraded</v>
      </c>
      <c r="G11835" s="153"/>
      <c r="H11835" s="210">
        <v>0.24779999999999999</v>
      </c>
      <c r="I11835" s="160" t="s">
        <v>57</v>
      </c>
      <c r="J11835" s="160">
        <v>6.9999999999999999E-4</v>
      </c>
      <c r="K11835" s="160" t="s">
        <v>24</v>
      </c>
      <c r="L11835" s="154" t="str">
        <f>IF(OpenLCAbasic!K11835="CTUh", "Fill in Manually",IF(OR(K11835="Unit", K11835=""), "", INDEX(LookUps!$E$5:$E$12, MATCH(OpenLCAbasic!K11835,LookUps!$D$5:$D$12,0))))</f>
        <v>Acidification Potential (AP) - kg SO2 eq</v>
      </c>
      <c r="M11835" s="154" t="str">
        <f t="shared" si="1024"/>
        <v>Base_Base_High_Upgraded_Acidification Potential (AP) - kg SO2 eq_Gravity Belt Thickener; wastewater treatment unit; at updated plant - US_Without Amendment_Aerated Static Pile</v>
      </c>
    </row>
    <row r="11836" spans="1:13" s="120" customFormat="1" x14ac:dyDescent="0.25">
      <c r="A11836" s="119"/>
      <c r="B11836" s="138" t="str">
        <f t="shared" si="1025"/>
        <v>Aerated Static Pile</v>
      </c>
      <c r="C11836" s="138" t="str">
        <f t="shared" si="1026"/>
        <v>Without Amendment</v>
      </c>
      <c r="D11836" s="138" t="str">
        <f t="shared" si="1030"/>
        <v>Base_High</v>
      </c>
      <c r="E11836" s="138" t="str">
        <f t="shared" si="1028"/>
        <v>Base</v>
      </c>
      <c r="F11836" s="138" t="str">
        <f t="shared" si="1029"/>
        <v>Upgraded</v>
      </c>
      <c r="G11836" s="153"/>
      <c r="H11836" s="210">
        <v>0.1817</v>
      </c>
      <c r="I11836" s="160" t="s">
        <v>59</v>
      </c>
      <c r="J11836" s="160">
        <v>5.1999999999999995E-4</v>
      </c>
      <c r="K11836" s="160" t="s">
        <v>24</v>
      </c>
      <c r="L11836" s="154" t="str">
        <f>IF(OpenLCAbasic!K11836="CTUh", "Fill in Manually",IF(OR(K11836="Unit", K11836=""), "", INDEX(LookUps!$E$5:$E$12, MATCH(OpenLCAbasic!K11836,LookUps!$D$5:$D$12,0))))</f>
        <v>Acidification Potential (AP) - kg SO2 eq</v>
      </c>
      <c r="M11836" s="154" t="str">
        <f t="shared" si="1024"/>
        <v>Base_Base_High_Upgraded_Acidification Potential (AP) - kg SO2 eq_Blend Tank; wastewater treatment unit; at updated plant - US_Without Amendment_Aerated Static Pile</v>
      </c>
    </row>
    <row r="11837" spans="1:13" s="120" customFormat="1" x14ac:dyDescent="0.25">
      <c r="A11837" s="119"/>
      <c r="B11837" s="138" t="str">
        <f t="shared" si="1025"/>
        <v>Aerated Static Pile</v>
      </c>
      <c r="C11837" s="138" t="str">
        <f t="shared" si="1026"/>
        <v>Without Amendment</v>
      </c>
      <c r="D11837" s="138" t="str">
        <f t="shared" si="1030"/>
        <v>Base_High</v>
      </c>
      <c r="E11837" s="138" t="str">
        <f t="shared" si="1028"/>
        <v>Base</v>
      </c>
      <c r="F11837" s="138" t="str">
        <f t="shared" si="1029"/>
        <v>Upgraded</v>
      </c>
      <c r="G11837" s="153"/>
      <c r="H11837" s="210">
        <v>0.122</v>
      </c>
      <c r="I11837" s="160" t="s">
        <v>48</v>
      </c>
      <c r="J11837" s="160">
        <v>3.5E-4</v>
      </c>
      <c r="K11837" s="160" t="s">
        <v>24</v>
      </c>
      <c r="L11837" s="154" t="str">
        <f>IF(OpenLCAbasic!K11837="CTUh", "Fill in Manually",IF(OR(K11837="Unit", K11837=""), "", INDEX(LookUps!$E$5:$E$12, MATCH(OpenLCAbasic!K11837,LookUps!$D$5:$D$12,0))))</f>
        <v>Acidification Potential (AP) - kg SO2 eq</v>
      </c>
      <c r="M11837" s="154" t="str">
        <f t="shared" si="1024"/>
        <v>Base_Base_High_Upgraded_Acidification Potential (AP) - kg SO2 eq_Effluent release; wastewater treatment unit; at surface water; m3 wastewater - US_Without Amendment_Aerated Static Pile</v>
      </c>
    </row>
    <row r="11838" spans="1:13" s="120" customFormat="1" x14ac:dyDescent="0.25">
      <c r="A11838" s="119"/>
      <c r="B11838" s="138" t="str">
        <f t="shared" si="1025"/>
        <v>Aerated Static Pile</v>
      </c>
      <c r="C11838" s="138" t="str">
        <f t="shared" si="1026"/>
        <v>Without Amendment</v>
      </c>
      <c r="D11838" s="138" t="str">
        <f t="shared" si="1030"/>
        <v>Base_High</v>
      </c>
      <c r="E11838" s="138" t="str">
        <f t="shared" si="1028"/>
        <v>Base</v>
      </c>
      <c r="F11838" s="138" t="str">
        <f t="shared" si="1029"/>
        <v>Upgraded</v>
      </c>
      <c r="G11838" s="153"/>
      <c r="H11838" s="210">
        <v>8.9800000000000005E-2</v>
      </c>
      <c r="I11838" s="160" t="s">
        <v>168</v>
      </c>
      <c r="J11838" s="160">
        <v>2.5999999999999998E-4</v>
      </c>
      <c r="K11838" s="160" t="s">
        <v>24</v>
      </c>
      <c r="L11838" s="154" t="str">
        <f>IF(OpenLCAbasic!K11838="CTUh", "Fill in Manually",IF(OR(K11838="Unit", K11838=""), "", INDEX(LookUps!$E$5:$E$12, MATCH(OpenLCAbasic!K11838,LookUps!$D$5:$D$12,0))))</f>
        <v>Acidification Potential (AP) - kg SO2 eq</v>
      </c>
      <c r="M11838" s="154" t="str">
        <f t="shared" si="1024"/>
        <v>Base_Base_High_Upgraded_Acidification Potential (AP) - kg SO2 eq_ClearCove SCP; wastewater treatment unit; at updated plant - US_Without Amendment_Aerated Static Pile</v>
      </c>
    </row>
    <row r="11839" spans="1:13" s="120" customFormat="1" x14ac:dyDescent="0.25">
      <c r="A11839" s="119"/>
      <c r="B11839" s="138" t="str">
        <f t="shared" si="1025"/>
        <v>Aerated Static Pile</v>
      </c>
      <c r="C11839" s="138" t="str">
        <f t="shared" si="1026"/>
        <v>Without Amendment</v>
      </c>
      <c r="D11839" s="138" t="str">
        <f t="shared" si="1030"/>
        <v>Base_High</v>
      </c>
      <c r="E11839" s="138" t="str">
        <f t="shared" si="1028"/>
        <v>Base</v>
      </c>
      <c r="F11839" s="138" t="str">
        <f t="shared" si="1029"/>
        <v>Upgraded</v>
      </c>
      <c r="G11839" s="153"/>
      <c r="H11839" s="210">
        <v>1.4200000000000001E-2</v>
      </c>
      <c r="I11839" s="160" t="s">
        <v>148</v>
      </c>
      <c r="J11839" s="211">
        <v>4.0354700000000002E-5</v>
      </c>
      <c r="K11839" s="160" t="s">
        <v>24</v>
      </c>
      <c r="L11839" s="154" t="str">
        <f>IF(OpenLCAbasic!K11839="CTUh", "Fill in Manually",IF(OR(K11839="Unit", K11839=""), "", INDEX(LookUps!$E$5:$E$12, MATCH(OpenLCAbasic!K11839,LookUps!$D$5:$D$12,0))))</f>
        <v>Acidification Potential (AP) - kg SO2 eq</v>
      </c>
      <c r="M11839" s="154" t="str">
        <f t="shared" si="1024"/>
        <v>Base_Base_High_Upgraded_Acidification Potential (AP) - kg SO2 eq_Control Building; at upgraded wastewater treatment plant - US_Without Amendment_Aerated Static Pile</v>
      </c>
    </row>
    <row r="11840" spans="1:13" s="120" customFormat="1" x14ac:dyDescent="0.25">
      <c r="A11840" s="119"/>
      <c r="B11840" s="138" t="str">
        <f t="shared" si="1025"/>
        <v>Aerated Static Pile</v>
      </c>
      <c r="C11840" s="138" t="str">
        <f t="shared" si="1026"/>
        <v>Without Amendment</v>
      </c>
      <c r="D11840" s="138" t="str">
        <f t="shared" si="1030"/>
        <v>Base_High</v>
      </c>
      <c r="E11840" s="138" t="str">
        <f t="shared" si="1028"/>
        <v>Base</v>
      </c>
      <c r="F11840" s="138" t="str">
        <f t="shared" si="1029"/>
        <v>Upgraded</v>
      </c>
      <c r="G11840" s="153"/>
      <c r="H11840" s="210">
        <v>-13.6822</v>
      </c>
      <c r="I11840" s="160" t="s">
        <v>149</v>
      </c>
      <c r="J11840" s="160">
        <v>-3.8870000000000002E-2</v>
      </c>
      <c r="K11840" s="160" t="s">
        <v>24</v>
      </c>
      <c r="L11840" s="154" t="str">
        <f>IF(OpenLCAbasic!K11840="CTUh", "Fill in Manually",IF(OR(K11840="Unit", K11840=""), "", INDEX(LookUps!$E$5:$E$12, MATCH(OpenLCAbasic!K11840,LookUps!$D$5:$D$12,0))))</f>
        <v>Acidification Potential (AP) - kg SO2 eq</v>
      </c>
      <c r="M11840" s="154" t="str">
        <f t="shared" si="1024"/>
        <v>Base_Base_High_Upgraded_Acidification Potential (AP) - kg SO2 eq_Anaerobic Digestion; wastewater treatment unit; at updated plant - US_Without Amendment_Aerated Static Pile</v>
      </c>
    </row>
    <row r="11841" spans="1:13" s="120" customFormat="1" x14ac:dyDescent="0.25">
      <c r="A11841" s="119"/>
      <c r="B11841" s="138" t="str">
        <f t="shared" si="1025"/>
        <v/>
      </c>
      <c r="C11841" s="138" t="str">
        <f t="shared" si="1026"/>
        <v/>
      </c>
      <c r="D11841" s="138" t="str">
        <f t="shared" si="1030"/>
        <v/>
      </c>
      <c r="E11841" s="138" t="str">
        <f t="shared" si="1028"/>
        <v/>
      </c>
      <c r="F11841" s="138" t="str">
        <f t="shared" si="1029"/>
        <v/>
      </c>
      <c r="G11841" s="153" t="s">
        <v>51</v>
      </c>
      <c r="H11841" s="160"/>
      <c r="I11841" s="160" t="s">
        <v>47</v>
      </c>
      <c r="J11841" s="160" t="s">
        <v>52</v>
      </c>
      <c r="K11841" s="160" t="s">
        <v>27</v>
      </c>
      <c r="L11841" s="154" t="str">
        <f>IF(OpenLCAbasic!K11841="CTUh", "Fill in Manually",IF(OR(K11841="Unit", K11841=""), "", INDEX(LookUps!$E$5:$E$12, MATCH(OpenLCAbasic!K11841,LookUps!$D$5:$D$12,0))))</f>
        <v/>
      </c>
      <c r="M11841" s="154" t="str">
        <f t="shared" si="1024"/>
        <v>____Process__</v>
      </c>
    </row>
    <row r="11842" spans="1:13" s="120" customFormat="1" x14ac:dyDescent="0.25">
      <c r="A11842" s="119"/>
      <c r="B11842" s="138" t="str">
        <f t="shared" si="1025"/>
        <v>Aerated Static Pile</v>
      </c>
      <c r="C11842" s="138" t="str">
        <f t="shared" si="1026"/>
        <v>Without Amendment</v>
      </c>
      <c r="D11842" s="138" t="str">
        <f t="shared" si="1030"/>
        <v>Base_High</v>
      </c>
      <c r="E11842" s="138" t="str">
        <f t="shared" si="1028"/>
        <v>Base</v>
      </c>
      <c r="F11842" s="138" t="str">
        <f t="shared" si="1029"/>
        <v>Upgraded</v>
      </c>
      <c r="G11842" s="153"/>
      <c r="H11842" s="210">
        <v>4.9621000000000004</v>
      </c>
      <c r="I11842" s="160" t="s">
        <v>55</v>
      </c>
      <c r="J11842" s="160">
        <v>3.5330499999999998</v>
      </c>
      <c r="K11842" s="160" t="s">
        <v>15</v>
      </c>
      <c r="L11842" s="154" t="str">
        <f>IF(OpenLCAbasic!K11842="CTUh", "Fill in Manually",IF(OR(K11842="Unit", K11842=""), "", INDEX(LookUps!$E$5:$E$12, MATCH(OpenLCAbasic!K11842,LookUps!$D$5:$D$12,0))))</f>
        <v>Cumulative Energy Demand (CED) - MJ</v>
      </c>
      <c r="M11842" s="154" t="str">
        <f t="shared" si="1024"/>
        <v>Base_Base_High_Upgraded_Cumulative Energy Demand (CED) - MJ_Aeration Tanks; wastewater treatment unit; at updated plant - US_Without Amendment_Aerated Static Pile</v>
      </c>
    </row>
    <row r="11843" spans="1:13" s="120" customFormat="1" x14ac:dyDescent="0.25">
      <c r="A11843" s="119"/>
      <c r="B11843" s="138" t="str">
        <f t="shared" si="1025"/>
        <v>Aerated Static Pile</v>
      </c>
      <c r="C11843" s="138" t="str">
        <f t="shared" si="1026"/>
        <v>Without Amendment</v>
      </c>
      <c r="D11843" s="138" t="str">
        <f t="shared" si="1030"/>
        <v>Base_High</v>
      </c>
      <c r="E11843" s="138" t="str">
        <f t="shared" si="1028"/>
        <v>Base</v>
      </c>
      <c r="F11843" s="138" t="str">
        <f t="shared" si="1029"/>
        <v>Upgraded</v>
      </c>
      <c r="G11843" s="153"/>
      <c r="H11843" s="210">
        <v>4.9132999999999996</v>
      </c>
      <c r="I11843" s="160" t="s">
        <v>167</v>
      </c>
      <c r="J11843" s="160">
        <v>3.4982700000000002</v>
      </c>
      <c r="K11843" s="160" t="s">
        <v>15</v>
      </c>
      <c r="L11843" s="154" t="str">
        <f>IF(OpenLCAbasic!K11843="CTUh", "Fill in Manually",IF(OR(K11843="Unit", K11843=""), "", INDEX(LookUps!$E$5:$E$12, MATCH(OpenLCAbasic!K11843,LookUps!$D$5:$D$12,0))))</f>
        <v>Cumulative Energy Demand (CED) - MJ</v>
      </c>
      <c r="M11843" s="154" t="str">
        <f t="shared" si="1024"/>
        <v>Base_Base_High_Upgraded_Cumulative Energy Demand (CED) - MJ_Waste Receiving and Holding; wastewater treatment unit; at updated plant - US_Without Amendment_Aerated Static Pile</v>
      </c>
    </row>
    <row r="11844" spans="1:13" s="120" customFormat="1" x14ac:dyDescent="0.25">
      <c r="A11844" s="119"/>
      <c r="B11844" s="138" t="str">
        <f t="shared" si="1025"/>
        <v>Aerated Static Pile</v>
      </c>
      <c r="C11844" s="138" t="str">
        <f t="shared" si="1026"/>
        <v>Without Amendment</v>
      </c>
      <c r="D11844" s="138" t="str">
        <f t="shared" si="1030"/>
        <v>Base_High</v>
      </c>
      <c r="E11844" s="138" t="str">
        <f t="shared" si="1028"/>
        <v>Base</v>
      </c>
      <c r="F11844" s="138" t="str">
        <f t="shared" si="1029"/>
        <v>Upgraded</v>
      </c>
      <c r="G11844" s="153"/>
      <c r="H11844" s="210">
        <v>1.6333</v>
      </c>
      <c r="I11844" s="160" t="s">
        <v>54</v>
      </c>
      <c r="J11844" s="160">
        <v>1.16289</v>
      </c>
      <c r="K11844" s="160" t="s">
        <v>15</v>
      </c>
      <c r="L11844" s="154" t="str">
        <f>IF(OpenLCAbasic!K11844="CTUh", "Fill in Manually",IF(OR(K11844="Unit", K11844=""), "", INDEX(LookUps!$E$5:$E$12, MATCH(OpenLCAbasic!K11844,LookUps!$D$5:$D$12,0))))</f>
        <v>Cumulative Energy Demand (CED) - MJ</v>
      </c>
      <c r="M11844" s="154" t="str">
        <f t="shared" ref="M11844:M11907" si="1031">CONCATENATE(E11844,"_",D11844,"_",F11844,"_",L11844, "_",I11844,"_", C11844,"_", B11844)</f>
        <v>Base_Base_High_Upgraded_Cumulative Energy Demand (CED) - MJ_Clear Cove Primary Clarification; wastewater treatment unit; at updated plant - US_Without Amendment_Aerated Static Pile</v>
      </c>
    </row>
    <row r="11845" spans="1:13" s="120" customFormat="1" x14ac:dyDescent="0.25">
      <c r="A11845" s="119"/>
      <c r="B11845" s="138" t="str">
        <f t="shared" si="1025"/>
        <v>Aerated Static Pile</v>
      </c>
      <c r="C11845" s="138" t="str">
        <f t="shared" si="1026"/>
        <v>Without Amendment</v>
      </c>
      <c r="D11845" s="138" t="str">
        <f t="shared" si="1030"/>
        <v>Base_High</v>
      </c>
      <c r="E11845" s="138" t="str">
        <f t="shared" si="1028"/>
        <v>Base</v>
      </c>
      <c r="F11845" s="138" t="str">
        <f t="shared" si="1029"/>
        <v>Upgraded</v>
      </c>
      <c r="G11845" s="153"/>
      <c r="H11845" s="210">
        <v>1.2418</v>
      </c>
      <c r="I11845" s="160" t="s">
        <v>58</v>
      </c>
      <c r="J11845" s="160">
        <v>0.88417000000000001</v>
      </c>
      <c r="K11845" s="160" t="s">
        <v>15</v>
      </c>
      <c r="L11845" s="154" t="str">
        <f>IF(OpenLCAbasic!K11845="CTUh", "Fill in Manually",IF(OR(K11845="Unit", K11845=""), "", INDEX(LookUps!$E$5:$E$12, MATCH(OpenLCAbasic!K11845,LookUps!$D$5:$D$12,0))))</f>
        <v>Cumulative Energy Demand (CED) - MJ</v>
      </c>
      <c r="M11845" s="154" t="str">
        <f t="shared" si="1031"/>
        <v>Base_Base_High_Upgraded_Cumulative Energy Demand (CED) - MJ_Pre-Anoxic &amp; Swing tank; wastewater treatment unit; at updated plant - US_Without Amendment_Aerated Static Pile</v>
      </c>
    </row>
    <row r="11846" spans="1:13" s="120" customFormat="1" x14ac:dyDescent="0.25">
      <c r="A11846" s="119"/>
      <c r="B11846" s="138" t="str">
        <f t="shared" si="1025"/>
        <v>Aerated Static Pile</v>
      </c>
      <c r="C11846" s="138" t="str">
        <f t="shared" si="1026"/>
        <v>Without Amendment</v>
      </c>
      <c r="D11846" s="138" t="str">
        <f t="shared" si="1030"/>
        <v>Base_High</v>
      </c>
      <c r="E11846" s="138" t="str">
        <f t="shared" si="1028"/>
        <v>Base</v>
      </c>
      <c r="F11846" s="138" t="str">
        <f t="shared" si="1029"/>
        <v>Upgraded</v>
      </c>
      <c r="G11846" s="153"/>
      <c r="H11846" s="210">
        <v>1.2401</v>
      </c>
      <c r="I11846" s="160" t="s">
        <v>147</v>
      </c>
      <c r="J11846" s="160">
        <v>0.88297000000000003</v>
      </c>
      <c r="K11846" s="160" t="s">
        <v>15</v>
      </c>
      <c r="L11846" s="154" t="str">
        <f>IF(OpenLCAbasic!K11846="CTUh", "Fill in Manually",IF(OR(K11846="Unit", K11846=""), "", INDEX(LookUps!$E$5:$E$12, MATCH(OpenLCAbasic!K11846,LookUps!$D$5:$D$12,0))))</f>
        <v>Cumulative Energy Demand (CED) - MJ</v>
      </c>
      <c r="M11846" s="154" t="str">
        <f t="shared" si="1031"/>
        <v>Base_Base_High_Upgraded_Cumulative Energy Demand (CED) - MJ_Influent Pump Station; wastewater treatment unit; at updated plant - US_Without Amendment_Aerated Static Pile</v>
      </c>
    </row>
    <row r="11847" spans="1:13" s="120" customFormat="1" x14ac:dyDescent="0.25">
      <c r="A11847" s="119"/>
      <c r="B11847" s="138" t="str">
        <f t="shared" si="1025"/>
        <v>Aerated Static Pile</v>
      </c>
      <c r="C11847" s="138" t="str">
        <f t="shared" si="1026"/>
        <v>Without Amendment</v>
      </c>
      <c r="D11847" s="138" t="str">
        <f t="shared" si="1030"/>
        <v>Base_High</v>
      </c>
      <c r="E11847" s="138" t="str">
        <f t="shared" si="1028"/>
        <v>Base</v>
      </c>
      <c r="F11847" s="138" t="str">
        <f t="shared" si="1029"/>
        <v>Upgraded</v>
      </c>
      <c r="G11847" s="153"/>
      <c r="H11847" s="210">
        <v>0.97819999999999996</v>
      </c>
      <c r="I11847" s="160" t="s">
        <v>53</v>
      </c>
      <c r="J11847" s="160">
        <v>0.69645000000000001</v>
      </c>
      <c r="K11847" s="160" t="s">
        <v>15</v>
      </c>
      <c r="L11847" s="154" t="str">
        <f>IF(OpenLCAbasic!K11847="CTUh", "Fill in Manually",IF(OR(K11847="Unit", K11847=""), "", INDEX(LookUps!$E$5:$E$12, MATCH(OpenLCAbasic!K11847,LookUps!$D$5:$D$12,0))))</f>
        <v>Cumulative Energy Demand (CED) - MJ</v>
      </c>
      <c r="M11847" s="154" t="str">
        <f t="shared" si="1031"/>
        <v>Base_Base_High_Upgraded_Cumulative Energy Demand (CED) - MJ_Wet Well and Sump Station; wastewater treatment unit; at updated plant - US_Without Amendment_Aerated Static Pile</v>
      </c>
    </row>
    <row r="11848" spans="1:13" s="120" customFormat="1" x14ac:dyDescent="0.25">
      <c r="A11848" s="119"/>
      <c r="B11848" s="138" t="str">
        <f t="shared" si="1025"/>
        <v>Aerated Static Pile</v>
      </c>
      <c r="C11848" s="138" t="str">
        <f t="shared" si="1026"/>
        <v>Without Amendment</v>
      </c>
      <c r="D11848" s="138" t="str">
        <f t="shared" si="1030"/>
        <v>Base_High</v>
      </c>
      <c r="E11848" s="138" t="str">
        <f t="shared" si="1028"/>
        <v>Base</v>
      </c>
      <c r="F11848" s="138" t="str">
        <f t="shared" si="1029"/>
        <v>Upgraded</v>
      </c>
      <c r="G11848" s="153"/>
      <c r="H11848" s="210">
        <v>0.47070000000000001</v>
      </c>
      <c r="I11848" s="160" t="s">
        <v>435</v>
      </c>
      <c r="J11848" s="160">
        <v>0.33511999999999997</v>
      </c>
      <c r="K11848" s="160" t="s">
        <v>15</v>
      </c>
      <c r="L11848" s="154" t="str">
        <f>IF(OpenLCAbasic!K11848="CTUh", "Fill in Manually",IF(OR(K11848="Unit", K11848=""), "", INDEX(LookUps!$E$5:$E$12, MATCH(OpenLCAbasic!K11848,LookUps!$D$5:$D$12,0))))</f>
        <v>Cumulative Energy Demand (CED) - MJ</v>
      </c>
      <c r="M11848" s="154" t="str">
        <f t="shared" si="1031"/>
        <v>Base_Base_High_Upgraded_Cumulative Energy Demand (CED) - MJ_Biosolids composting; aerated static pile; wastewater treatment unit; at updated plant - US_Without Amendment_Aerated Static Pile</v>
      </c>
    </row>
    <row r="11849" spans="1:13" s="120" customFormat="1" x14ac:dyDescent="0.25">
      <c r="A11849" s="119"/>
      <c r="B11849" s="138" t="str">
        <f t="shared" si="1025"/>
        <v>Aerated Static Pile</v>
      </c>
      <c r="C11849" s="138" t="str">
        <f t="shared" si="1026"/>
        <v>Without Amendment</v>
      </c>
      <c r="D11849" s="138" t="str">
        <f t="shared" si="1030"/>
        <v>Base_High</v>
      </c>
      <c r="E11849" s="138" t="str">
        <f t="shared" si="1028"/>
        <v>Base</v>
      </c>
      <c r="F11849" s="138" t="str">
        <f t="shared" si="1029"/>
        <v>Upgraded</v>
      </c>
      <c r="G11849" s="153"/>
      <c r="H11849" s="210">
        <v>0.46920000000000001</v>
      </c>
      <c r="I11849" s="160" t="s">
        <v>57</v>
      </c>
      <c r="J11849" s="160">
        <v>0.33404</v>
      </c>
      <c r="K11849" s="160" t="s">
        <v>15</v>
      </c>
      <c r="L11849" s="154" t="str">
        <f>IF(OpenLCAbasic!K11849="CTUh", "Fill in Manually",IF(OR(K11849="Unit", K11849=""), "", INDEX(LookUps!$E$5:$E$12, MATCH(OpenLCAbasic!K11849,LookUps!$D$5:$D$12,0))))</f>
        <v>Cumulative Energy Demand (CED) - MJ</v>
      </c>
      <c r="M11849" s="154" t="str">
        <f t="shared" si="1031"/>
        <v>Base_Base_High_Upgraded_Cumulative Energy Demand (CED) - MJ_Gravity Belt Thickener; wastewater treatment unit; at updated plant - US_Without Amendment_Aerated Static Pile</v>
      </c>
    </row>
    <row r="11850" spans="1:13" s="120" customFormat="1" x14ac:dyDescent="0.25">
      <c r="A11850" s="119"/>
      <c r="B11850" s="138" t="str">
        <f t="shared" si="1025"/>
        <v>Aerated Static Pile</v>
      </c>
      <c r="C11850" s="138" t="str">
        <f t="shared" si="1026"/>
        <v>Without Amendment</v>
      </c>
      <c r="D11850" s="138" t="str">
        <f t="shared" si="1030"/>
        <v>Base_High</v>
      </c>
      <c r="E11850" s="138" t="str">
        <f t="shared" si="1028"/>
        <v>Base</v>
      </c>
      <c r="F11850" s="138" t="str">
        <f t="shared" si="1029"/>
        <v>Upgraded</v>
      </c>
      <c r="G11850" s="153"/>
      <c r="H11850" s="210">
        <v>0.3901</v>
      </c>
      <c r="I11850" s="160" t="s">
        <v>60</v>
      </c>
      <c r="J11850" s="160">
        <v>0.27775</v>
      </c>
      <c r="K11850" s="160" t="s">
        <v>15</v>
      </c>
      <c r="L11850" s="154" t="str">
        <f>IF(OpenLCAbasic!K11850="CTUh", "Fill in Manually",IF(OR(K11850="Unit", K11850=""), "", INDEX(LookUps!$E$5:$E$12, MATCH(OpenLCAbasic!K11850,LookUps!$D$5:$D$12,0))))</f>
        <v>Cumulative Energy Demand (CED) - MJ</v>
      </c>
      <c r="M11850" s="154" t="str">
        <f t="shared" si="1031"/>
        <v>Base_Base_High_Upgraded_Cumulative Energy Demand (CED) - MJ_Belt filter press; wastewater treatment unit; at updated plant - US_Without Amendment_Aerated Static Pile</v>
      </c>
    </row>
    <row r="11851" spans="1:13" s="120" customFormat="1" x14ac:dyDescent="0.25">
      <c r="A11851" s="119"/>
      <c r="B11851" s="138" t="str">
        <f t="shared" si="1025"/>
        <v>Aerated Static Pile</v>
      </c>
      <c r="C11851" s="138" t="str">
        <f t="shared" si="1026"/>
        <v>Without Amendment</v>
      </c>
      <c r="D11851" s="138" t="str">
        <f t="shared" si="1030"/>
        <v>Base_High</v>
      </c>
      <c r="E11851" s="138" t="str">
        <f t="shared" si="1028"/>
        <v>Base</v>
      </c>
      <c r="F11851" s="138" t="str">
        <f t="shared" si="1029"/>
        <v>Upgraded</v>
      </c>
      <c r="G11851" s="153"/>
      <c r="H11851" s="210">
        <v>0.35959999999999998</v>
      </c>
      <c r="I11851" s="160" t="s">
        <v>128</v>
      </c>
      <c r="J11851" s="160">
        <v>0.25606000000000001</v>
      </c>
      <c r="K11851" s="160" t="s">
        <v>15</v>
      </c>
      <c r="L11851" s="154" t="str">
        <f>IF(OpenLCAbasic!K11851="CTUh", "Fill in Manually",IF(OR(K11851="Unit", K11851=""), "", INDEX(LookUps!$E$5:$E$12, MATCH(OpenLCAbasic!K11851,LookUps!$D$5:$D$12,0))))</f>
        <v>Cumulative Energy Demand (CED) - MJ</v>
      </c>
      <c r="M11851" s="154" t="str">
        <f t="shared" si="1031"/>
        <v>Base_Base_High_Upgraded_Cumulative Energy Demand (CED) - MJ_Wastewater collection; operation and infrastructure; m3 wastewater_Without Amendment_Aerated Static Pile</v>
      </c>
    </row>
    <row r="11852" spans="1:13" s="120" customFormat="1" x14ac:dyDescent="0.25">
      <c r="A11852" s="119"/>
      <c r="B11852" s="138" t="str">
        <f t="shared" si="1025"/>
        <v>Aerated Static Pile</v>
      </c>
      <c r="C11852" s="138" t="str">
        <f t="shared" si="1026"/>
        <v>Without Amendment</v>
      </c>
      <c r="D11852" s="138" t="str">
        <f t="shared" si="1030"/>
        <v>Base_High</v>
      </c>
      <c r="E11852" s="138" t="str">
        <f t="shared" si="1028"/>
        <v>Base</v>
      </c>
      <c r="F11852" s="138" t="str">
        <f t="shared" si="1029"/>
        <v>Upgraded</v>
      </c>
      <c r="G11852" s="153"/>
      <c r="H11852" s="210">
        <v>0.20499999999999999</v>
      </c>
      <c r="I11852" s="160" t="s">
        <v>148</v>
      </c>
      <c r="J11852" s="160">
        <v>0.14599000000000001</v>
      </c>
      <c r="K11852" s="160" t="s">
        <v>15</v>
      </c>
      <c r="L11852" s="154" t="str">
        <f>IF(OpenLCAbasic!K11852="CTUh", "Fill in Manually",IF(OR(K11852="Unit", K11852=""), "", INDEX(LookUps!$E$5:$E$12, MATCH(OpenLCAbasic!K11852,LookUps!$D$5:$D$12,0))))</f>
        <v>Cumulative Energy Demand (CED) - MJ</v>
      </c>
      <c r="M11852" s="154" t="str">
        <f t="shared" si="1031"/>
        <v>Base_Base_High_Upgraded_Cumulative Energy Demand (CED) - MJ_Control Building; at upgraded wastewater treatment plant - US_Without Amendment_Aerated Static Pile</v>
      </c>
    </row>
    <row r="11853" spans="1:13" s="120" customFormat="1" x14ac:dyDescent="0.25">
      <c r="A11853" s="119"/>
      <c r="B11853" s="138" t="str">
        <f t="shared" si="1025"/>
        <v>Aerated Static Pile</v>
      </c>
      <c r="C11853" s="138" t="str">
        <f t="shared" si="1026"/>
        <v>Without Amendment</v>
      </c>
      <c r="D11853" s="138" t="str">
        <f t="shared" si="1030"/>
        <v>Base_High</v>
      </c>
      <c r="E11853" s="138" t="str">
        <f t="shared" si="1028"/>
        <v>Base</v>
      </c>
      <c r="F11853" s="138" t="str">
        <f t="shared" si="1029"/>
        <v>Upgraded</v>
      </c>
      <c r="G11853" s="153"/>
      <c r="H11853" s="210">
        <v>0.18709999999999999</v>
      </c>
      <c r="I11853" s="160" t="s">
        <v>48</v>
      </c>
      <c r="J11853" s="160">
        <v>0.13321</v>
      </c>
      <c r="K11853" s="160" t="s">
        <v>15</v>
      </c>
      <c r="L11853" s="154" t="str">
        <f>IF(OpenLCAbasic!K11853="CTUh", "Fill in Manually",IF(OR(K11853="Unit", K11853=""), "", INDEX(LookUps!$E$5:$E$12, MATCH(OpenLCAbasic!K11853,LookUps!$D$5:$D$12,0))))</f>
        <v>Cumulative Energy Demand (CED) - MJ</v>
      </c>
      <c r="M11853" s="154" t="str">
        <f t="shared" si="1031"/>
        <v>Base_Base_High_Upgraded_Cumulative Energy Demand (CED) - MJ_Effluent release; wastewater treatment unit; at surface water; m3 wastewater - US_Without Amendment_Aerated Static Pile</v>
      </c>
    </row>
    <row r="11854" spans="1:13" s="120" customFormat="1" x14ac:dyDescent="0.25">
      <c r="A11854" s="119"/>
      <c r="B11854" s="138" t="str">
        <f t="shared" si="1025"/>
        <v>Aerated Static Pile</v>
      </c>
      <c r="C11854" s="138" t="str">
        <f t="shared" si="1026"/>
        <v>Without Amendment</v>
      </c>
      <c r="D11854" s="138" t="str">
        <f t="shared" si="1030"/>
        <v>Base_High</v>
      </c>
      <c r="E11854" s="138" t="str">
        <f t="shared" si="1028"/>
        <v>Base</v>
      </c>
      <c r="F11854" s="138" t="str">
        <f t="shared" si="1029"/>
        <v>Upgraded</v>
      </c>
      <c r="G11854" s="153"/>
      <c r="H11854" s="210">
        <v>0.14940000000000001</v>
      </c>
      <c r="I11854" s="160" t="s">
        <v>59</v>
      </c>
      <c r="J11854" s="160">
        <v>0.10638</v>
      </c>
      <c r="K11854" s="160" t="s">
        <v>15</v>
      </c>
      <c r="L11854" s="154" t="str">
        <f>IF(OpenLCAbasic!K11854="CTUh", "Fill in Manually",IF(OR(K11854="Unit", K11854=""), "", INDEX(LookUps!$E$5:$E$12, MATCH(OpenLCAbasic!K11854,LookUps!$D$5:$D$12,0))))</f>
        <v>Cumulative Energy Demand (CED) - MJ</v>
      </c>
      <c r="M11854" s="154" t="str">
        <f t="shared" si="1031"/>
        <v>Base_Base_High_Upgraded_Cumulative Energy Demand (CED) - MJ_Blend Tank; wastewater treatment unit; at updated plant - US_Without Amendment_Aerated Static Pile</v>
      </c>
    </row>
    <row r="11855" spans="1:13" s="120" customFormat="1" x14ac:dyDescent="0.25">
      <c r="A11855" s="119"/>
      <c r="B11855" s="138" t="str">
        <f t="shared" si="1025"/>
        <v>Aerated Static Pile</v>
      </c>
      <c r="C11855" s="138" t="str">
        <f t="shared" si="1026"/>
        <v>Without Amendment</v>
      </c>
      <c r="D11855" s="138" t="str">
        <f t="shared" si="1030"/>
        <v>Base_High</v>
      </c>
      <c r="E11855" s="138" t="str">
        <f t="shared" si="1028"/>
        <v>Base</v>
      </c>
      <c r="F11855" s="138" t="str">
        <f t="shared" si="1029"/>
        <v>Upgraded</v>
      </c>
      <c r="G11855" s="153"/>
      <c r="H11855" s="210">
        <v>7.1499999999999994E-2</v>
      </c>
      <c r="I11855" s="160" t="s">
        <v>168</v>
      </c>
      <c r="J11855" s="160">
        <v>5.0930000000000003E-2</v>
      </c>
      <c r="K11855" s="160" t="s">
        <v>15</v>
      </c>
      <c r="L11855" s="154" t="str">
        <f>IF(OpenLCAbasic!K11855="CTUh", "Fill in Manually",IF(OR(K11855="Unit", K11855=""), "", INDEX(LookUps!$E$5:$E$12, MATCH(OpenLCAbasic!K11855,LookUps!$D$5:$D$12,0))))</f>
        <v>Cumulative Energy Demand (CED) - MJ</v>
      </c>
      <c r="M11855" s="154" t="str">
        <f t="shared" si="1031"/>
        <v>Base_Base_High_Upgraded_Cumulative Energy Demand (CED) - MJ_ClearCove SCP; wastewater treatment unit; at updated plant - US_Without Amendment_Aerated Static Pile</v>
      </c>
    </row>
    <row r="11856" spans="1:13" s="120" customFormat="1" x14ac:dyDescent="0.25">
      <c r="A11856" s="119"/>
      <c r="B11856" s="138" t="str">
        <f t="shared" si="1025"/>
        <v>Aerated Static Pile</v>
      </c>
      <c r="C11856" s="138" t="str">
        <f t="shared" si="1026"/>
        <v>Without Amendment</v>
      </c>
      <c r="D11856" s="138" t="str">
        <f t="shared" si="1030"/>
        <v>Base_High</v>
      </c>
      <c r="E11856" s="138" t="str">
        <f t="shared" si="1028"/>
        <v>Base</v>
      </c>
      <c r="F11856" s="138" t="str">
        <f t="shared" si="1029"/>
        <v>Upgraded</v>
      </c>
      <c r="G11856" s="153"/>
      <c r="H11856" s="210">
        <v>-0.38300000000000001</v>
      </c>
      <c r="I11856" s="160" t="s">
        <v>62</v>
      </c>
      <c r="J11856" s="160">
        <v>-0.2727</v>
      </c>
      <c r="K11856" s="160" t="s">
        <v>15</v>
      </c>
      <c r="L11856" s="154" t="str">
        <f>IF(OpenLCAbasic!K11856="CTUh", "Fill in Manually",IF(OR(K11856="Unit", K11856=""), "", INDEX(LookUps!$E$5:$E$12, MATCH(OpenLCAbasic!K11856,LookUps!$D$5:$D$12,0))))</f>
        <v>Cumulative Energy Demand (CED) - MJ</v>
      </c>
      <c r="M11856" s="154" t="str">
        <f t="shared" si="1031"/>
        <v>Base_Base_High_Upgraded_Cumulative Energy Demand (CED) - MJ_Land application of compost; wastewater treatment unit; at updated plant - US_Without Amendment_Aerated Static Pile</v>
      </c>
    </row>
    <row r="11857" spans="1:13" s="120" customFormat="1" x14ac:dyDescent="0.25">
      <c r="A11857" s="119"/>
      <c r="B11857" s="138" t="str">
        <f t="shared" si="1025"/>
        <v>Aerated Static Pile</v>
      </c>
      <c r="C11857" s="138" t="str">
        <f t="shared" si="1026"/>
        <v>Without Amendment</v>
      </c>
      <c r="D11857" s="138" t="str">
        <f t="shared" si="1030"/>
        <v>Base_High</v>
      </c>
      <c r="E11857" s="138" t="str">
        <f t="shared" si="1028"/>
        <v>Base</v>
      </c>
      <c r="F11857" s="138" t="str">
        <f t="shared" si="1029"/>
        <v>Upgraded</v>
      </c>
      <c r="G11857" s="153"/>
      <c r="H11857" s="210">
        <v>-15.888299999999999</v>
      </c>
      <c r="I11857" s="160" t="s">
        <v>149</v>
      </c>
      <c r="J11857" s="160">
        <v>-11.31259</v>
      </c>
      <c r="K11857" s="160" t="s">
        <v>15</v>
      </c>
      <c r="L11857" s="154" t="str">
        <f>IF(OpenLCAbasic!K11857="CTUh", "Fill in Manually",IF(OR(K11857="Unit", K11857=""), "", INDEX(LookUps!$E$5:$E$12, MATCH(OpenLCAbasic!K11857,LookUps!$D$5:$D$12,0))))</f>
        <v>Cumulative Energy Demand (CED) - MJ</v>
      </c>
      <c r="M11857" s="154" t="str">
        <f t="shared" si="1031"/>
        <v>Base_Base_High_Upgraded_Cumulative Energy Demand (CED) - MJ_Anaerobic Digestion; wastewater treatment unit; at updated plant - US_Without Amendment_Aerated Static Pile</v>
      </c>
    </row>
    <row r="11858" spans="1:13" s="120" customFormat="1" x14ac:dyDescent="0.25">
      <c r="A11858" s="119"/>
      <c r="B11858" s="138" t="str">
        <f t="shared" si="1025"/>
        <v/>
      </c>
      <c r="C11858" s="138" t="str">
        <f t="shared" si="1026"/>
        <v/>
      </c>
      <c r="D11858" s="138" t="str">
        <f t="shared" si="1030"/>
        <v/>
      </c>
      <c r="E11858" s="138" t="str">
        <f t="shared" si="1028"/>
        <v/>
      </c>
      <c r="F11858" s="138" t="str">
        <f t="shared" si="1029"/>
        <v/>
      </c>
      <c r="G11858" s="153" t="s">
        <v>51</v>
      </c>
      <c r="H11858" s="160"/>
      <c r="I11858" s="160" t="s">
        <v>47</v>
      </c>
      <c r="J11858" s="160" t="s">
        <v>52</v>
      </c>
      <c r="K11858" s="160" t="s">
        <v>27</v>
      </c>
      <c r="L11858" s="154" t="str">
        <f>IF(OpenLCAbasic!K11858="CTUh", "Fill in Manually",IF(OR(K11858="Unit", K11858=""), "", INDEX(LookUps!$E$5:$E$12, MATCH(OpenLCAbasic!K11858,LookUps!$D$5:$D$12,0))))</f>
        <v/>
      </c>
      <c r="M11858" s="154" t="str">
        <f t="shared" si="1031"/>
        <v>____Process__</v>
      </c>
    </row>
    <row r="11859" spans="1:13" s="120" customFormat="1" x14ac:dyDescent="0.25">
      <c r="A11859" s="119"/>
      <c r="B11859" s="138" t="str">
        <f t="shared" si="1025"/>
        <v>Aerated Static Pile</v>
      </c>
      <c r="C11859" s="138" t="str">
        <f t="shared" si="1026"/>
        <v>Without Amendment</v>
      </c>
      <c r="D11859" s="138" t="str">
        <f t="shared" si="1030"/>
        <v>Base_High</v>
      </c>
      <c r="E11859" s="138" t="str">
        <f t="shared" si="1028"/>
        <v>Base</v>
      </c>
      <c r="F11859" s="138" t="str">
        <f t="shared" si="1029"/>
        <v>Upgraded</v>
      </c>
      <c r="G11859" s="153"/>
      <c r="H11859" s="210">
        <v>0.87129999999999996</v>
      </c>
      <c r="I11859" s="160" t="s">
        <v>48</v>
      </c>
      <c r="J11859" s="160">
        <v>1.1610000000000001E-2</v>
      </c>
      <c r="K11859" s="160" t="s">
        <v>13</v>
      </c>
      <c r="L11859" s="154" t="str">
        <f>IF(OpenLCAbasic!K11859="CTUh", "Fill in Manually",IF(OR(K11859="Unit", K11859=""), "", INDEX(LookUps!$E$5:$E$12, MATCH(OpenLCAbasic!K11859,LookUps!$D$5:$D$12,0))))</f>
        <v>Eutrophication Potential (EP) - kg N eq</v>
      </c>
      <c r="M11859" s="154" t="str">
        <f t="shared" si="1031"/>
        <v>Base_Base_High_Upgraded_Eutrophication Potential (EP) - kg N eq_Effluent release; wastewater treatment unit; at surface water; m3 wastewater - US_Without Amendment_Aerated Static Pile</v>
      </c>
    </row>
    <row r="11860" spans="1:13" s="120" customFormat="1" x14ac:dyDescent="0.25">
      <c r="A11860" s="119"/>
      <c r="B11860" s="138" t="str">
        <f t="shared" si="1025"/>
        <v>Aerated Static Pile</v>
      </c>
      <c r="C11860" s="138" t="str">
        <f t="shared" si="1026"/>
        <v>Without Amendment</v>
      </c>
      <c r="D11860" s="138" t="str">
        <f t="shared" si="1030"/>
        <v>Base_High</v>
      </c>
      <c r="E11860" s="138" t="str">
        <f t="shared" si="1028"/>
        <v>Base</v>
      </c>
      <c r="F11860" s="138" t="str">
        <f t="shared" si="1029"/>
        <v>Upgraded</v>
      </c>
      <c r="G11860" s="153"/>
      <c r="H11860" s="210">
        <v>9.3299999999999994E-2</v>
      </c>
      <c r="I11860" s="160" t="s">
        <v>62</v>
      </c>
      <c r="J11860" s="160">
        <v>1.24E-3</v>
      </c>
      <c r="K11860" s="160" t="s">
        <v>13</v>
      </c>
      <c r="L11860" s="154" t="str">
        <f>IF(OpenLCAbasic!K11860="CTUh", "Fill in Manually",IF(OR(K11860="Unit", K11860=""), "", INDEX(LookUps!$E$5:$E$12, MATCH(OpenLCAbasic!K11860,LookUps!$D$5:$D$12,0))))</f>
        <v>Eutrophication Potential (EP) - kg N eq</v>
      </c>
      <c r="M11860" s="154" t="str">
        <f t="shared" si="1031"/>
        <v>Base_Base_High_Upgraded_Eutrophication Potential (EP) - kg N eq_Land application of compost; wastewater treatment unit; at updated plant - US_Without Amendment_Aerated Static Pile</v>
      </c>
    </row>
    <row r="11861" spans="1:13" s="120" customFormat="1" x14ac:dyDescent="0.25">
      <c r="A11861" s="119"/>
      <c r="B11861" s="138" t="str">
        <f t="shared" si="1025"/>
        <v>Aerated Static Pile</v>
      </c>
      <c r="C11861" s="138" t="str">
        <f t="shared" si="1026"/>
        <v>Without Amendment</v>
      </c>
      <c r="D11861" s="138" t="str">
        <f t="shared" si="1030"/>
        <v>Base_High</v>
      </c>
      <c r="E11861" s="138" t="str">
        <f t="shared" si="1028"/>
        <v>Base</v>
      </c>
      <c r="F11861" s="138" t="str">
        <f t="shared" si="1029"/>
        <v>Upgraded</v>
      </c>
      <c r="G11861" s="153"/>
      <c r="H11861" s="210">
        <v>4.1000000000000002E-2</v>
      </c>
      <c r="I11861" s="160" t="s">
        <v>55</v>
      </c>
      <c r="J11861" s="160">
        <v>5.5000000000000003E-4</v>
      </c>
      <c r="K11861" s="160" t="s">
        <v>13</v>
      </c>
      <c r="L11861" s="154" t="str">
        <f>IF(OpenLCAbasic!K11861="CTUh", "Fill in Manually",IF(OR(K11861="Unit", K11861=""), "", INDEX(LookUps!$E$5:$E$12, MATCH(OpenLCAbasic!K11861,LookUps!$D$5:$D$12,0))))</f>
        <v>Eutrophication Potential (EP) - kg N eq</v>
      </c>
      <c r="M11861" s="154" t="str">
        <f t="shared" si="1031"/>
        <v>Base_Base_High_Upgraded_Eutrophication Potential (EP) - kg N eq_Aeration Tanks; wastewater treatment unit; at updated plant - US_Without Amendment_Aerated Static Pile</v>
      </c>
    </row>
    <row r="11862" spans="1:13" s="120" customFormat="1" x14ac:dyDescent="0.25">
      <c r="A11862" s="119"/>
      <c r="B11862" s="138" t="str">
        <f t="shared" si="1025"/>
        <v>Aerated Static Pile</v>
      </c>
      <c r="C11862" s="138" t="str">
        <f t="shared" si="1026"/>
        <v>Without Amendment</v>
      </c>
      <c r="D11862" s="138" t="str">
        <f t="shared" si="1030"/>
        <v>Base_High</v>
      </c>
      <c r="E11862" s="138" t="str">
        <f t="shared" si="1028"/>
        <v>Base</v>
      </c>
      <c r="F11862" s="138" t="str">
        <f t="shared" si="1029"/>
        <v>Upgraded</v>
      </c>
      <c r="G11862" s="153"/>
      <c r="H11862" s="210">
        <v>1.8700000000000001E-2</v>
      </c>
      <c r="I11862" s="160" t="s">
        <v>147</v>
      </c>
      <c r="J11862" s="160">
        <v>2.5000000000000001E-4</v>
      </c>
      <c r="K11862" s="160" t="s">
        <v>13</v>
      </c>
      <c r="L11862" s="154" t="str">
        <f>IF(OpenLCAbasic!K11862="CTUh", "Fill in Manually",IF(OR(K11862="Unit", K11862=""), "", INDEX(LookUps!$E$5:$E$12, MATCH(OpenLCAbasic!K11862,LookUps!$D$5:$D$12,0))))</f>
        <v>Eutrophication Potential (EP) - kg N eq</v>
      </c>
      <c r="M11862" s="154" t="str">
        <f t="shared" si="1031"/>
        <v>Base_Base_High_Upgraded_Eutrophication Potential (EP) - kg N eq_Influent Pump Station; wastewater treatment unit; at updated plant - US_Without Amendment_Aerated Static Pile</v>
      </c>
    </row>
    <row r="11863" spans="1:13" s="120" customFormat="1" x14ac:dyDescent="0.25">
      <c r="A11863" s="119"/>
      <c r="B11863" s="138" t="str">
        <f t="shared" si="1025"/>
        <v>Aerated Static Pile</v>
      </c>
      <c r="C11863" s="138" t="str">
        <f t="shared" si="1026"/>
        <v>Without Amendment</v>
      </c>
      <c r="D11863" s="138" t="str">
        <f t="shared" si="1030"/>
        <v>Base_High</v>
      </c>
      <c r="E11863" s="138" t="str">
        <f t="shared" si="1028"/>
        <v>Base</v>
      </c>
      <c r="F11863" s="138" t="str">
        <f t="shared" si="1029"/>
        <v>Upgraded</v>
      </c>
      <c r="G11863" s="153"/>
      <c r="H11863" s="210">
        <v>1.49E-2</v>
      </c>
      <c r="I11863" s="160" t="s">
        <v>54</v>
      </c>
      <c r="J11863" s="160">
        <v>2.0000000000000001E-4</v>
      </c>
      <c r="K11863" s="160" t="s">
        <v>13</v>
      </c>
      <c r="L11863" s="154" t="str">
        <f>IF(OpenLCAbasic!K11863="CTUh", "Fill in Manually",IF(OR(K11863="Unit", K11863=""), "", INDEX(LookUps!$E$5:$E$12, MATCH(OpenLCAbasic!K11863,LookUps!$D$5:$D$12,0))))</f>
        <v>Eutrophication Potential (EP) - kg N eq</v>
      </c>
      <c r="M11863" s="154" t="str">
        <f t="shared" si="1031"/>
        <v>Base_Base_High_Upgraded_Eutrophication Potential (EP) - kg N eq_Clear Cove Primary Clarification; wastewater treatment unit; at updated plant - US_Without Amendment_Aerated Static Pile</v>
      </c>
    </row>
    <row r="11864" spans="1:13" s="120" customFormat="1" x14ac:dyDescent="0.25">
      <c r="A11864" s="119"/>
      <c r="B11864" s="138" t="str">
        <f t="shared" si="1025"/>
        <v>Aerated Static Pile</v>
      </c>
      <c r="C11864" s="138" t="str">
        <f t="shared" si="1026"/>
        <v>Without Amendment</v>
      </c>
      <c r="D11864" s="138" t="str">
        <f t="shared" si="1030"/>
        <v>Base_High</v>
      </c>
      <c r="E11864" s="138" t="str">
        <f t="shared" si="1028"/>
        <v>Base</v>
      </c>
      <c r="F11864" s="138" t="str">
        <f t="shared" si="1029"/>
        <v>Upgraded</v>
      </c>
      <c r="G11864" s="153"/>
      <c r="H11864" s="210">
        <v>1.23E-2</v>
      </c>
      <c r="I11864" s="160" t="s">
        <v>167</v>
      </c>
      <c r="J11864" s="160">
        <v>1.6000000000000001E-4</v>
      </c>
      <c r="K11864" s="160" t="s">
        <v>13</v>
      </c>
      <c r="L11864" s="154" t="str">
        <f>IF(OpenLCAbasic!K11864="CTUh", "Fill in Manually",IF(OR(K11864="Unit", K11864=""), "", INDEX(LookUps!$E$5:$E$12, MATCH(OpenLCAbasic!K11864,LookUps!$D$5:$D$12,0))))</f>
        <v>Eutrophication Potential (EP) - kg N eq</v>
      </c>
      <c r="M11864" s="154" t="str">
        <f t="shared" si="1031"/>
        <v>Base_Base_High_Upgraded_Eutrophication Potential (EP) - kg N eq_Waste Receiving and Holding; wastewater treatment unit; at updated plant - US_Without Amendment_Aerated Static Pile</v>
      </c>
    </row>
    <row r="11865" spans="1:13" s="120" customFormat="1" x14ac:dyDescent="0.25">
      <c r="A11865" s="119"/>
      <c r="B11865" s="138" t="str">
        <f t="shared" si="1025"/>
        <v>Aerated Static Pile</v>
      </c>
      <c r="C11865" s="138" t="str">
        <f t="shared" si="1026"/>
        <v>Without Amendment</v>
      </c>
      <c r="D11865" s="138" t="str">
        <f t="shared" si="1030"/>
        <v>Base_High</v>
      </c>
      <c r="E11865" s="138" t="str">
        <f t="shared" si="1028"/>
        <v>Base</v>
      </c>
      <c r="F11865" s="138" t="str">
        <f t="shared" si="1029"/>
        <v>Upgraded</v>
      </c>
      <c r="G11865" s="153"/>
      <c r="H11865" s="210">
        <v>1.01E-2</v>
      </c>
      <c r="I11865" s="160" t="s">
        <v>58</v>
      </c>
      <c r="J11865" s="160">
        <v>1.3999999999999999E-4</v>
      </c>
      <c r="K11865" s="160" t="s">
        <v>13</v>
      </c>
      <c r="L11865" s="154" t="str">
        <f>IF(OpenLCAbasic!K11865="CTUh", "Fill in Manually",IF(OR(K11865="Unit", K11865=""), "", INDEX(LookUps!$E$5:$E$12, MATCH(OpenLCAbasic!K11865,LookUps!$D$5:$D$12,0))))</f>
        <v>Eutrophication Potential (EP) - kg N eq</v>
      </c>
      <c r="M11865" s="154" t="str">
        <f t="shared" si="1031"/>
        <v>Base_Base_High_Upgraded_Eutrophication Potential (EP) - kg N eq_Pre-Anoxic &amp; Swing tank; wastewater treatment unit; at updated plant - US_Without Amendment_Aerated Static Pile</v>
      </c>
    </row>
    <row r="11866" spans="1:13" s="120" customFormat="1" x14ac:dyDescent="0.25">
      <c r="A11866" s="119"/>
      <c r="B11866" s="138" t="str">
        <f t="shared" si="1025"/>
        <v>Aerated Static Pile</v>
      </c>
      <c r="C11866" s="138" t="str">
        <f t="shared" si="1026"/>
        <v>Without Amendment</v>
      </c>
      <c r="D11866" s="138" t="str">
        <f t="shared" si="1030"/>
        <v>Base_High</v>
      </c>
      <c r="E11866" s="138" t="str">
        <f t="shared" si="1028"/>
        <v>Base</v>
      </c>
      <c r="F11866" s="138" t="str">
        <f t="shared" si="1029"/>
        <v>Upgraded</v>
      </c>
      <c r="G11866" s="153"/>
      <c r="H11866" s="210">
        <v>8.0999999999999996E-3</v>
      </c>
      <c r="I11866" s="160" t="s">
        <v>53</v>
      </c>
      <c r="J11866" s="160">
        <v>1.1E-4</v>
      </c>
      <c r="K11866" s="160" t="s">
        <v>13</v>
      </c>
      <c r="L11866" s="154" t="str">
        <f>IF(OpenLCAbasic!K11866="CTUh", "Fill in Manually",IF(OR(K11866="Unit", K11866=""), "", INDEX(LookUps!$E$5:$E$12, MATCH(OpenLCAbasic!K11866,LookUps!$D$5:$D$12,0))))</f>
        <v>Eutrophication Potential (EP) - kg N eq</v>
      </c>
      <c r="M11866" s="154" t="str">
        <f t="shared" si="1031"/>
        <v>Base_Base_High_Upgraded_Eutrophication Potential (EP) - kg N eq_Wet Well and Sump Station; wastewater treatment unit; at updated plant - US_Without Amendment_Aerated Static Pile</v>
      </c>
    </row>
    <row r="11867" spans="1:13" s="120" customFormat="1" x14ac:dyDescent="0.25">
      <c r="A11867" s="119"/>
      <c r="B11867" s="138" t="str">
        <f t="shared" si="1025"/>
        <v>Aerated Static Pile</v>
      </c>
      <c r="C11867" s="138" t="str">
        <f t="shared" si="1026"/>
        <v>Without Amendment</v>
      </c>
      <c r="D11867" s="138" t="str">
        <f t="shared" si="1030"/>
        <v>Base_High</v>
      </c>
      <c r="E11867" s="138" t="str">
        <f t="shared" si="1028"/>
        <v>Base</v>
      </c>
      <c r="F11867" s="138" t="str">
        <f t="shared" si="1029"/>
        <v>Upgraded</v>
      </c>
      <c r="G11867" s="153"/>
      <c r="H11867" s="210">
        <v>4.4999999999999997E-3</v>
      </c>
      <c r="I11867" s="160" t="s">
        <v>57</v>
      </c>
      <c r="J11867" s="211">
        <v>6.0590300000000002E-5</v>
      </c>
      <c r="K11867" s="160" t="s">
        <v>13</v>
      </c>
      <c r="L11867" s="154" t="str">
        <f>IF(OpenLCAbasic!K11867="CTUh", "Fill in Manually",IF(OR(K11867="Unit", K11867=""), "", INDEX(LookUps!$E$5:$E$12, MATCH(OpenLCAbasic!K11867,LookUps!$D$5:$D$12,0))))</f>
        <v>Eutrophication Potential (EP) - kg N eq</v>
      </c>
      <c r="M11867" s="154" t="str">
        <f t="shared" si="1031"/>
        <v>Base_Base_High_Upgraded_Eutrophication Potential (EP) - kg N eq_Gravity Belt Thickener; wastewater treatment unit; at updated plant - US_Without Amendment_Aerated Static Pile</v>
      </c>
    </row>
    <row r="11868" spans="1:13" s="120" customFormat="1" x14ac:dyDescent="0.25">
      <c r="A11868" s="119"/>
      <c r="B11868" s="138" t="str">
        <f t="shared" si="1025"/>
        <v>Aerated Static Pile</v>
      </c>
      <c r="C11868" s="138" t="str">
        <f t="shared" si="1026"/>
        <v>Without Amendment</v>
      </c>
      <c r="D11868" s="138" t="str">
        <f t="shared" si="1030"/>
        <v>Base_High</v>
      </c>
      <c r="E11868" s="138" t="str">
        <f t="shared" si="1028"/>
        <v>Base</v>
      </c>
      <c r="F11868" s="138" t="str">
        <f t="shared" si="1029"/>
        <v>Upgraded</v>
      </c>
      <c r="G11868" s="153"/>
      <c r="H11868" s="210">
        <v>4.4999999999999997E-3</v>
      </c>
      <c r="I11868" s="160" t="s">
        <v>435</v>
      </c>
      <c r="J11868" s="211">
        <v>6.0060099999999998E-5</v>
      </c>
      <c r="K11868" s="160" t="s">
        <v>13</v>
      </c>
      <c r="L11868" s="154" t="str">
        <f>IF(OpenLCAbasic!K11868="CTUh", "Fill in Manually",IF(OR(K11868="Unit", K11868=""), "", INDEX(LookUps!$E$5:$E$12, MATCH(OpenLCAbasic!K11868,LookUps!$D$5:$D$12,0))))</f>
        <v>Eutrophication Potential (EP) - kg N eq</v>
      </c>
      <c r="M11868" s="154" t="str">
        <f t="shared" si="1031"/>
        <v>Base_Base_High_Upgraded_Eutrophication Potential (EP) - kg N eq_Biosolids composting; aerated static pile; wastewater treatment unit; at updated plant - US_Without Amendment_Aerated Static Pile</v>
      </c>
    </row>
    <row r="11869" spans="1:13" s="120" customFormat="1" x14ac:dyDescent="0.25">
      <c r="A11869" s="119"/>
      <c r="B11869" s="138" t="str">
        <f t="shared" si="1025"/>
        <v>Aerated Static Pile</v>
      </c>
      <c r="C11869" s="138" t="str">
        <f t="shared" si="1026"/>
        <v>Without Amendment</v>
      </c>
      <c r="D11869" s="138" t="str">
        <f t="shared" si="1030"/>
        <v>Base_High</v>
      </c>
      <c r="E11869" s="138" t="str">
        <f t="shared" si="1028"/>
        <v>Base</v>
      </c>
      <c r="F11869" s="138" t="str">
        <f t="shared" si="1029"/>
        <v>Upgraded</v>
      </c>
      <c r="G11869" s="153"/>
      <c r="H11869" s="210">
        <v>3.7000000000000002E-3</v>
      </c>
      <c r="I11869" s="160" t="s">
        <v>60</v>
      </c>
      <c r="J11869" s="211">
        <v>4.8791500000000002E-5</v>
      </c>
      <c r="K11869" s="160" t="s">
        <v>13</v>
      </c>
      <c r="L11869" s="154" t="str">
        <f>IF(OpenLCAbasic!K11869="CTUh", "Fill in Manually",IF(OR(K11869="Unit", K11869=""), "", INDEX(LookUps!$E$5:$E$12, MATCH(OpenLCAbasic!K11869,LookUps!$D$5:$D$12,0))))</f>
        <v>Eutrophication Potential (EP) - kg N eq</v>
      </c>
      <c r="M11869" s="154" t="str">
        <f t="shared" si="1031"/>
        <v>Base_Base_High_Upgraded_Eutrophication Potential (EP) - kg N eq_Belt filter press; wastewater treatment unit; at updated plant - US_Without Amendment_Aerated Static Pile</v>
      </c>
    </row>
    <row r="11870" spans="1:13" s="120" customFormat="1" x14ac:dyDescent="0.25">
      <c r="A11870" s="119"/>
      <c r="B11870" s="138" t="str">
        <f t="shared" si="1025"/>
        <v>Aerated Static Pile</v>
      </c>
      <c r="C11870" s="138" t="str">
        <f t="shared" si="1026"/>
        <v>Without Amendment</v>
      </c>
      <c r="D11870" s="138" t="str">
        <f t="shared" si="1030"/>
        <v>Base_High</v>
      </c>
      <c r="E11870" s="138" t="str">
        <f t="shared" si="1028"/>
        <v>Base</v>
      </c>
      <c r="F11870" s="138" t="str">
        <f t="shared" si="1029"/>
        <v>Upgraded</v>
      </c>
      <c r="G11870" s="153"/>
      <c r="H11870" s="210">
        <v>2.8E-3</v>
      </c>
      <c r="I11870" s="160" t="s">
        <v>128</v>
      </c>
      <c r="J11870" s="211">
        <v>3.7559799999999999E-5</v>
      </c>
      <c r="K11870" s="160" t="s">
        <v>13</v>
      </c>
      <c r="L11870" s="154" t="str">
        <f>IF(OpenLCAbasic!K11870="CTUh", "Fill in Manually",IF(OR(K11870="Unit", K11870=""), "", INDEX(LookUps!$E$5:$E$12, MATCH(OpenLCAbasic!K11870,LookUps!$D$5:$D$12,0))))</f>
        <v>Eutrophication Potential (EP) - kg N eq</v>
      </c>
      <c r="M11870" s="154" t="str">
        <f t="shared" si="1031"/>
        <v>Base_Base_High_Upgraded_Eutrophication Potential (EP) - kg N eq_Wastewater collection; operation and infrastructure; m3 wastewater_Without Amendment_Aerated Static Pile</v>
      </c>
    </row>
    <row r="11871" spans="1:13" s="120" customFormat="1" x14ac:dyDescent="0.25">
      <c r="A11871" s="119"/>
      <c r="B11871" s="138" t="str">
        <f t="shared" si="1025"/>
        <v>Aerated Static Pile</v>
      </c>
      <c r="C11871" s="138" t="str">
        <f t="shared" si="1026"/>
        <v>Without Amendment</v>
      </c>
      <c r="D11871" s="138" t="str">
        <f t="shared" si="1030"/>
        <v>Base_High</v>
      </c>
      <c r="E11871" s="138" t="str">
        <f t="shared" si="1028"/>
        <v>Base</v>
      </c>
      <c r="F11871" s="138" t="str">
        <f t="shared" si="1029"/>
        <v>Upgraded</v>
      </c>
      <c r="G11871" s="153"/>
      <c r="H11871" s="210">
        <v>2.8E-3</v>
      </c>
      <c r="I11871" s="160" t="s">
        <v>148</v>
      </c>
      <c r="J11871" s="211">
        <v>3.6874600000000001E-5</v>
      </c>
      <c r="K11871" s="160" t="s">
        <v>13</v>
      </c>
      <c r="L11871" s="154" t="str">
        <f>IF(OpenLCAbasic!K11871="CTUh", "Fill in Manually",IF(OR(K11871="Unit", K11871=""), "", INDEX(LookUps!$E$5:$E$12, MATCH(OpenLCAbasic!K11871,LookUps!$D$5:$D$12,0))))</f>
        <v>Eutrophication Potential (EP) - kg N eq</v>
      </c>
      <c r="M11871" s="154" t="str">
        <f t="shared" si="1031"/>
        <v>Base_Base_High_Upgraded_Eutrophication Potential (EP) - kg N eq_Control Building; at upgraded wastewater treatment plant - US_Without Amendment_Aerated Static Pile</v>
      </c>
    </row>
    <row r="11872" spans="1:13" s="120" customFormat="1" x14ac:dyDescent="0.25">
      <c r="A11872" s="119"/>
      <c r="B11872" s="138" t="str">
        <f t="shared" si="1025"/>
        <v>Aerated Static Pile</v>
      </c>
      <c r="C11872" s="138" t="str">
        <f t="shared" si="1026"/>
        <v>Without Amendment</v>
      </c>
      <c r="D11872" s="138" t="str">
        <f t="shared" si="1030"/>
        <v>Base_High</v>
      </c>
      <c r="E11872" s="138" t="str">
        <f t="shared" si="1028"/>
        <v>Base</v>
      </c>
      <c r="F11872" s="138" t="str">
        <f t="shared" si="1029"/>
        <v>Upgraded</v>
      </c>
      <c r="G11872" s="153"/>
      <c r="H11872" s="210">
        <v>1.1999999999999999E-3</v>
      </c>
      <c r="I11872" s="160" t="s">
        <v>59</v>
      </c>
      <c r="J11872" s="211">
        <v>1.6215700000000001E-5</v>
      </c>
      <c r="K11872" s="160" t="s">
        <v>13</v>
      </c>
      <c r="L11872" s="154" t="str">
        <f>IF(OpenLCAbasic!K11872="CTUh", "Fill in Manually",IF(OR(K11872="Unit", K11872=""), "", INDEX(LookUps!$E$5:$E$12, MATCH(OpenLCAbasic!K11872,LookUps!$D$5:$D$12,0))))</f>
        <v>Eutrophication Potential (EP) - kg N eq</v>
      </c>
      <c r="M11872" s="154" t="str">
        <f t="shared" si="1031"/>
        <v>Base_Base_High_Upgraded_Eutrophication Potential (EP) - kg N eq_Blend Tank; wastewater treatment unit; at updated plant - US_Without Amendment_Aerated Static Pile</v>
      </c>
    </row>
    <row r="11873" spans="1:13" s="120" customFormat="1" x14ac:dyDescent="0.25">
      <c r="A11873" s="119"/>
      <c r="B11873" s="138" t="str">
        <f t="shared" si="1025"/>
        <v>Aerated Static Pile</v>
      </c>
      <c r="C11873" s="138" t="str">
        <f t="shared" si="1026"/>
        <v>Without Amendment</v>
      </c>
      <c r="D11873" s="138" t="str">
        <f t="shared" si="1030"/>
        <v>Base_High</v>
      </c>
      <c r="E11873" s="138" t="str">
        <f t="shared" si="1028"/>
        <v>Base</v>
      </c>
      <c r="F11873" s="138" t="str">
        <f t="shared" si="1029"/>
        <v>Upgraded</v>
      </c>
      <c r="G11873" s="153"/>
      <c r="H11873" s="210">
        <v>5.9999999999999995E-4</v>
      </c>
      <c r="I11873" s="160" t="s">
        <v>168</v>
      </c>
      <c r="J11873" s="211">
        <v>7.7567199999999995E-6</v>
      </c>
      <c r="K11873" s="160" t="s">
        <v>13</v>
      </c>
      <c r="L11873" s="154" t="str">
        <f>IF(OpenLCAbasic!K11873="CTUh", "Fill in Manually",IF(OR(K11873="Unit", K11873=""), "", INDEX(LookUps!$E$5:$E$12, MATCH(OpenLCAbasic!K11873,LookUps!$D$5:$D$12,0))))</f>
        <v>Eutrophication Potential (EP) - kg N eq</v>
      </c>
      <c r="M11873" s="154" t="str">
        <f t="shared" si="1031"/>
        <v>Base_Base_High_Upgraded_Eutrophication Potential (EP) - kg N eq_ClearCove SCP; wastewater treatment unit; at updated plant - US_Without Amendment_Aerated Static Pile</v>
      </c>
    </row>
    <row r="11874" spans="1:13" s="120" customFormat="1" x14ac:dyDescent="0.25">
      <c r="A11874" s="119"/>
      <c r="B11874" s="138" t="str">
        <f t="shared" si="1025"/>
        <v>Aerated Static Pile</v>
      </c>
      <c r="C11874" s="138" t="str">
        <f t="shared" si="1026"/>
        <v>Without Amendment</v>
      </c>
      <c r="D11874" s="138" t="str">
        <f t="shared" si="1030"/>
        <v>Base_High</v>
      </c>
      <c r="E11874" s="138" t="str">
        <f t="shared" si="1028"/>
        <v>Base</v>
      </c>
      <c r="F11874" s="138" t="str">
        <f t="shared" si="1029"/>
        <v>Upgraded</v>
      </c>
      <c r="G11874" s="153"/>
      <c r="H11874" s="210">
        <v>-8.9800000000000005E-2</v>
      </c>
      <c r="I11874" s="160" t="s">
        <v>149</v>
      </c>
      <c r="J11874" s="160">
        <v>-1.1999999999999999E-3</v>
      </c>
      <c r="K11874" s="160" t="s">
        <v>13</v>
      </c>
      <c r="L11874" s="154" t="str">
        <f>IF(OpenLCAbasic!K11874="CTUh", "Fill in Manually",IF(OR(K11874="Unit", K11874=""), "", INDEX(LookUps!$E$5:$E$12, MATCH(OpenLCAbasic!K11874,LookUps!$D$5:$D$12,0))))</f>
        <v>Eutrophication Potential (EP) - kg N eq</v>
      </c>
      <c r="M11874" s="154" t="str">
        <f t="shared" si="1031"/>
        <v>Base_Base_High_Upgraded_Eutrophication Potential (EP) - kg N eq_Anaerobic Digestion; wastewater treatment unit; at updated plant - US_Without Amendment_Aerated Static Pile</v>
      </c>
    </row>
    <row r="11875" spans="1:13" s="120" customFormat="1" x14ac:dyDescent="0.25">
      <c r="A11875" s="119"/>
      <c r="B11875" s="138" t="str">
        <f t="shared" si="1025"/>
        <v/>
      </c>
      <c r="C11875" s="138" t="str">
        <f t="shared" si="1026"/>
        <v/>
      </c>
      <c r="D11875" s="138" t="str">
        <f t="shared" si="1030"/>
        <v/>
      </c>
      <c r="E11875" s="138" t="str">
        <f t="shared" si="1028"/>
        <v/>
      </c>
      <c r="F11875" s="138" t="str">
        <f t="shared" si="1029"/>
        <v/>
      </c>
      <c r="G11875" s="153" t="s">
        <v>51</v>
      </c>
      <c r="H11875" s="160"/>
      <c r="I11875" s="160" t="s">
        <v>47</v>
      </c>
      <c r="J11875" s="160" t="s">
        <v>52</v>
      </c>
      <c r="K11875" s="160" t="s">
        <v>27</v>
      </c>
      <c r="L11875" s="154" t="str">
        <f>IF(OpenLCAbasic!K11875="CTUh", "Fill in Manually",IF(OR(K11875="Unit", K11875=""), "", INDEX(LookUps!$E$5:$E$12, MATCH(OpenLCAbasic!K11875,LookUps!$D$5:$D$12,0))))</f>
        <v/>
      </c>
      <c r="M11875" s="154" t="str">
        <f t="shared" si="1031"/>
        <v>____Process__</v>
      </c>
    </row>
    <row r="11876" spans="1:13" s="120" customFormat="1" x14ac:dyDescent="0.25">
      <c r="A11876" s="119"/>
      <c r="B11876" s="138" t="str">
        <f t="shared" si="1025"/>
        <v>Aerated Static Pile</v>
      </c>
      <c r="C11876" s="138" t="str">
        <f t="shared" si="1026"/>
        <v>Without Amendment</v>
      </c>
      <c r="D11876" s="138" t="str">
        <f t="shared" si="1030"/>
        <v>Base_High</v>
      </c>
      <c r="E11876" s="138" t="str">
        <f t="shared" si="1028"/>
        <v>Base</v>
      </c>
      <c r="F11876" s="138" t="str">
        <f t="shared" si="1029"/>
        <v>Upgraded</v>
      </c>
      <c r="G11876" s="153"/>
      <c r="H11876" s="210">
        <v>7.3147000000000002</v>
      </c>
      <c r="I11876" s="160" t="s">
        <v>167</v>
      </c>
      <c r="J11876" s="160">
        <v>7.9170000000000004E-2</v>
      </c>
      <c r="K11876" s="160" t="s">
        <v>14</v>
      </c>
      <c r="L11876" s="154" t="str">
        <f>IF(OpenLCAbasic!K11876="CTUh", "Fill in Manually",IF(OR(K11876="Unit", K11876=""), "", INDEX(LookUps!$E$5:$E$12, MATCH(OpenLCAbasic!K11876,LookUps!$D$5:$D$12,0))))</f>
        <v>Fossil Depletion Potential (FDP) - kg oil eq</v>
      </c>
      <c r="M11876" s="154" t="str">
        <f t="shared" si="1031"/>
        <v>Base_Base_High_Upgraded_Fossil Depletion Potential (FDP) - kg oil eq_Waste Receiving and Holding; wastewater treatment unit; at updated plant - US_Without Amendment_Aerated Static Pile</v>
      </c>
    </row>
    <row r="11877" spans="1:13" s="120" customFormat="1" x14ac:dyDescent="0.25">
      <c r="A11877" s="119"/>
      <c r="B11877" s="138" t="str">
        <f t="shared" si="1025"/>
        <v>Aerated Static Pile</v>
      </c>
      <c r="C11877" s="138" t="str">
        <f t="shared" si="1026"/>
        <v>Without Amendment</v>
      </c>
      <c r="D11877" s="138" t="str">
        <f t="shared" si="1030"/>
        <v>Base_High</v>
      </c>
      <c r="E11877" s="138" t="str">
        <f t="shared" si="1028"/>
        <v>Base</v>
      </c>
      <c r="F11877" s="138" t="str">
        <f t="shared" si="1029"/>
        <v>Upgraded</v>
      </c>
      <c r="G11877" s="153"/>
      <c r="H11877" s="210">
        <v>5.8754</v>
      </c>
      <c r="I11877" s="160" t="s">
        <v>55</v>
      </c>
      <c r="J11877" s="160">
        <v>6.3589999999999994E-2</v>
      </c>
      <c r="K11877" s="160" t="s">
        <v>14</v>
      </c>
      <c r="L11877" s="154" t="str">
        <f>IF(OpenLCAbasic!K11877="CTUh", "Fill in Manually",IF(OR(K11877="Unit", K11877=""), "", INDEX(LookUps!$E$5:$E$12, MATCH(OpenLCAbasic!K11877,LookUps!$D$5:$D$12,0))))</f>
        <v>Fossil Depletion Potential (FDP) - kg oil eq</v>
      </c>
      <c r="M11877" s="154" t="str">
        <f t="shared" si="1031"/>
        <v>Base_Base_High_Upgraded_Fossil Depletion Potential (FDP) - kg oil eq_Aeration Tanks; wastewater treatment unit; at updated plant - US_Without Amendment_Aerated Static Pile</v>
      </c>
    </row>
    <row r="11878" spans="1:13" s="120" customFormat="1" x14ac:dyDescent="0.25">
      <c r="A11878" s="119"/>
      <c r="B11878" s="138" t="str">
        <f t="shared" si="1025"/>
        <v>Aerated Static Pile</v>
      </c>
      <c r="C11878" s="138" t="str">
        <f t="shared" si="1026"/>
        <v>Without Amendment</v>
      </c>
      <c r="D11878" s="138" t="str">
        <f t="shared" si="1030"/>
        <v>Base_High</v>
      </c>
      <c r="E11878" s="138" t="str">
        <f t="shared" si="1028"/>
        <v>Base</v>
      </c>
      <c r="F11878" s="138" t="str">
        <f t="shared" si="1029"/>
        <v>Upgraded</v>
      </c>
      <c r="G11878" s="153"/>
      <c r="H11878" s="210">
        <v>1.9449000000000001</v>
      </c>
      <c r="I11878" s="160" t="s">
        <v>54</v>
      </c>
      <c r="J11878" s="160">
        <v>2.1049999999999999E-2</v>
      </c>
      <c r="K11878" s="160" t="s">
        <v>14</v>
      </c>
      <c r="L11878" s="154" t="str">
        <f>IF(OpenLCAbasic!K11878="CTUh", "Fill in Manually",IF(OR(K11878="Unit", K11878=""), "", INDEX(LookUps!$E$5:$E$12, MATCH(OpenLCAbasic!K11878,LookUps!$D$5:$D$12,0))))</f>
        <v>Fossil Depletion Potential (FDP) - kg oil eq</v>
      </c>
      <c r="M11878" s="154" t="str">
        <f t="shared" si="1031"/>
        <v>Base_Base_High_Upgraded_Fossil Depletion Potential (FDP) - kg oil eq_Clear Cove Primary Clarification; wastewater treatment unit; at updated plant - US_Without Amendment_Aerated Static Pile</v>
      </c>
    </row>
    <row r="11879" spans="1:13" s="120" customFormat="1" x14ac:dyDescent="0.25">
      <c r="A11879" s="119"/>
      <c r="B11879" s="138" t="str">
        <f t="shared" si="1025"/>
        <v>Aerated Static Pile</v>
      </c>
      <c r="C11879" s="138" t="str">
        <f t="shared" si="1026"/>
        <v>Without Amendment</v>
      </c>
      <c r="D11879" s="138" t="str">
        <f t="shared" si="1030"/>
        <v>Base_High</v>
      </c>
      <c r="E11879" s="138" t="str">
        <f t="shared" si="1028"/>
        <v>Base</v>
      </c>
      <c r="F11879" s="138" t="str">
        <f t="shared" si="1029"/>
        <v>Upgraded</v>
      </c>
      <c r="G11879" s="153"/>
      <c r="H11879" s="210">
        <v>1.4713000000000001</v>
      </c>
      <c r="I11879" s="160" t="s">
        <v>58</v>
      </c>
      <c r="J11879" s="160">
        <v>1.592E-2</v>
      </c>
      <c r="K11879" s="160" t="s">
        <v>14</v>
      </c>
      <c r="L11879" s="154" t="str">
        <f>IF(OpenLCAbasic!K11879="CTUh", "Fill in Manually",IF(OR(K11879="Unit", K11879=""), "", INDEX(LookUps!$E$5:$E$12, MATCH(OpenLCAbasic!K11879,LookUps!$D$5:$D$12,0))))</f>
        <v>Fossil Depletion Potential (FDP) - kg oil eq</v>
      </c>
      <c r="M11879" s="154" t="str">
        <f t="shared" si="1031"/>
        <v>Base_Base_High_Upgraded_Fossil Depletion Potential (FDP) - kg oil eq_Pre-Anoxic &amp; Swing tank; wastewater treatment unit; at updated plant - US_Without Amendment_Aerated Static Pile</v>
      </c>
    </row>
    <row r="11880" spans="1:13" s="120" customFormat="1" x14ac:dyDescent="0.25">
      <c r="A11880" s="119"/>
      <c r="B11880" s="138" t="str">
        <f t="shared" si="1025"/>
        <v>Aerated Static Pile</v>
      </c>
      <c r="C11880" s="138" t="str">
        <f t="shared" si="1026"/>
        <v>Without Amendment</v>
      </c>
      <c r="D11880" s="138" t="str">
        <f t="shared" si="1030"/>
        <v>Base_High</v>
      </c>
      <c r="E11880" s="138" t="str">
        <f t="shared" si="1028"/>
        <v>Base</v>
      </c>
      <c r="F11880" s="138" t="str">
        <f t="shared" si="1029"/>
        <v>Upgraded</v>
      </c>
      <c r="G11880" s="153"/>
      <c r="H11880" s="210">
        <v>1.3939999999999999</v>
      </c>
      <c r="I11880" s="160" t="s">
        <v>147</v>
      </c>
      <c r="J11880" s="160">
        <v>1.5089999999999999E-2</v>
      </c>
      <c r="K11880" s="160" t="s">
        <v>14</v>
      </c>
      <c r="L11880" s="154" t="str">
        <f>IF(OpenLCAbasic!K11880="CTUh", "Fill in Manually",IF(OR(K11880="Unit", K11880=""), "", INDEX(LookUps!$E$5:$E$12, MATCH(OpenLCAbasic!K11880,LookUps!$D$5:$D$12,0))))</f>
        <v>Fossil Depletion Potential (FDP) - kg oil eq</v>
      </c>
      <c r="M11880" s="154" t="str">
        <f t="shared" si="1031"/>
        <v>Base_Base_High_Upgraded_Fossil Depletion Potential (FDP) - kg oil eq_Influent Pump Station; wastewater treatment unit; at updated plant - US_Without Amendment_Aerated Static Pile</v>
      </c>
    </row>
    <row r="11881" spans="1:13" s="120" customFormat="1" x14ac:dyDescent="0.25">
      <c r="A11881" s="119"/>
      <c r="B11881" s="138" t="str">
        <f t="shared" ref="B11881:B11944" si="1032">IF(F11881="Legacy","n.a.",IF(F11881="","","Aerated Static Pile"))</f>
        <v>Aerated Static Pile</v>
      </c>
      <c r="C11881" s="138" t="str">
        <f t="shared" ref="C11881:C11944" si="1033">IF(ISNUMBER($J11881),"Without Amendment","")</f>
        <v>Without Amendment</v>
      </c>
      <c r="D11881" s="138" t="str">
        <f t="shared" si="1030"/>
        <v>Base_High</v>
      </c>
      <c r="E11881" s="138" t="str">
        <f t="shared" ref="E11881:E11944" si="1034">IF(ISNUMBER($J11881),"Base","")</f>
        <v>Base</v>
      </c>
      <c r="F11881" s="138" t="str">
        <f t="shared" ref="F11881:F11944" si="1035">IF(ISNUMBER(J11881),"Upgraded","")</f>
        <v>Upgraded</v>
      </c>
      <c r="G11881" s="153"/>
      <c r="H11881" s="210">
        <v>1.1538999999999999</v>
      </c>
      <c r="I11881" s="160" t="s">
        <v>53</v>
      </c>
      <c r="J11881" s="160">
        <v>1.2489999999999999E-2</v>
      </c>
      <c r="K11881" s="160" t="s">
        <v>14</v>
      </c>
      <c r="L11881" s="154" t="str">
        <f>IF(OpenLCAbasic!K11881="CTUh", "Fill in Manually",IF(OR(K11881="Unit", K11881=""), "", INDEX(LookUps!$E$5:$E$12, MATCH(OpenLCAbasic!K11881,LookUps!$D$5:$D$12,0))))</f>
        <v>Fossil Depletion Potential (FDP) - kg oil eq</v>
      </c>
      <c r="M11881" s="154" t="str">
        <f t="shared" si="1031"/>
        <v>Base_Base_High_Upgraded_Fossil Depletion Potential (FDP) - kg oil eq_Wet Well and Sump Station; wastewater treatment unit; at updated plant - US_Without Amendment_Aerated Static Pile</v>
      </c>
    </row>
    <row r="11882" spans="1:13" s="120" customFormat="1" x14ac:dyDescent="0.25">
      <c r="A11882" s="119"/>
      <c r="B11882" s="138" t="str">
        <f t="shared" si="1032"/>
        <v>Aerated Static Pile</v>
      </c>
      <c r="C11882" s="138" t="str">
        <f t="shared" si="1033"/>
        <v>Without Amendment</v>
      </c>
      <c r="D11882" s="138" t="str">
        <f t="shared" si="1030"/>
        <v>Base_High</v>
      </c>
      <c r="E11882" s="138" t="str">
        <f t="shared" si="1034"/>
        <v>Base</v>
      </c>
      <c r="F11882" s="138" t="str">
        <f t="shared" si="1035"/>
        <v>Upgraded</v>
      </c>
      <c r="G11882" s="153"/>
      <c r="H11882" s="210">
        <v>0.63900000000000001</v>
      </c>
      <c r="I11882" s="160" t="s">
        <v>57</v>
      </c>
      <c r="J11882" s="160">
        <v>6.9199999999999999E-3</v>
      </c>
      <c r="K11882" s="160" t="s">
        <v>14</v>
      </c>
      <c r="L11882" s="154" t="str">
        <f>IF(OpenLCAbasic!K11882="CTUh", "Fill in Manually",IF(OR(K11882="Unit", K11882=""), "", INDEX(LookUps!$E$5:$E$12, MATCH(OpenLCAbasic!K11882,LookUps!$D$5:$D$12,0))))</f>
        <v>Fossil Depletion Potential (FDP) - kg oil eq</v>
      </c>
      <c r="M11882" s="154" t="str">
        <f t="shared" si="1031"/>
        <v>Base_Base_High_Upgraded_Fossil Depletion Potential (FDP) - kg oil eq_Gravity Belt Thickener; wastewater treatment unit; at updated plant - US_Without Amendment_Aerated Static Pile</v>
      </c>
    </row>
    <row r="11883" spans="1:13" s="120" customFormat="1" x14ac:dyDescent="0.25">
      <c r="A11883" s="119"/>
      <c r="B11883" s="138" t="str">
        <f t="shared" si="1032"/>
        <v>Aerated Static Pile</v>
      </c>
      <c r="C11883" s="138" t="str">
        <f t="shared" si="1033"/>
        <v>Without Amendment</v>
      </c>
      <c r="D11883" s="138" t="str">
        <f t="shared" si="1030"/>
        <v>Base_High</v>
      </c>
      <c r="E11883" s="138" t="str">
        <f t="shared" si="1034"/>
        <v>Base</v>
      </c>
      <c r="F11883" s="138" t="str">
        <f t="shared" si="1035"/>
        <v>Upgraded</v>
      </c>
      <c r="G11883" s="153"/>
      <c r="H11883" s="210">
        <v>0.56310000000000004</v>
      </c>
      <c r="I11883" s="160" t="s">
        <v>435</v>
      </c>
      <c r="J11883" s="160">
        <v>6.0899999999999999E-3</v>
      </c>
      <c r="K11883" s="160" t="s">
        <v>14</v>
      </c>
      <c r="L11883" s="154" t="str">
        <f>IF(OpenLCAbasic!K11883="CTUh", "Fill in Manually",IF(OR(K11883="Unit", K11883=""), "", INDEX(LookUps!$E$5:$E$12, MATCH(OpenLCAbasic!K11883,LookUps!$D$5:$D$12,0))))</f>
        <v>Fossil Depletion Potential (FDP) - kg oil eq</v>
      </c>
      <c r="M11883" s="154" t="str">
        <f t="shared" si="1031"/>
        <v>Base_Base_High_Upgraded_Fossil Depletion Potential (FDP) - kg oil eq_Biosolids composting; aerated static pile; wastewater treatment unit; at updated plant - US_Without Amendment_Aerated Static Pile</v>
      </c>
    </row>
    <row r="11884" spans="1:13" s="120" customFormat="1" x14ac:dyDescent="0.25">
      <c r="A11884" s="119"/>
      <c r="B11884" s="138" t="str">
        <f t="shared" si="1032"/>
        <v>Aerated Static Pile</v>
      </c>
      <c r="C11884" s="138" t="str">
        <f t="shared" si="1033"/>
        <v>Without Amendment</v>
      </c>
      <c r="D11884" s="138" t="str">
        <f t="shared" si="1030"/>
        <v>Base_High</v>
      </c>
      <c r="E11884" s="138" t="str">
        <f t="shared" si="1034"/>
        <v>Base</v>
      </c>
      <c r="F11884" s="138" t="str">
        <f t="shared" si="1035"/>
        <v>Upgraded</v>
      </c>
      <c r="G11884" s="153"/>
      <c r="H11884" s="210">
        <v>0.51749999999999996</v>
      </c>
      <c r="I11884" s="160" t="s">
        <v>60</v>
      </c>
      <c r="J11884" s="160">
        <v>5.5999999999999999E-3</v>
      </c>
      <c r="K11884" s="160" t="s">
        <v>14</v>
      </c>
      <c r="L11884" s="154" t="str">
        <f>IF(OpenLCAbasic!K11884="CTUh", "Fill in Manually",IF(OR(K11884="Unit", K11884=""), "", INDEX(LookUps!$E$5:$E$12, MATCH(OpenLCAbasic!K11884,LookUps!$D$5:$D$12,0))))</f>
        <v>Fossil Depletion Potential (FDP) - kg oil eq</v>
      </c>
      <c r="M11884" s="154" t="str">
        <f t="shared" si="1031"/>
        <v>Base_Base_High_Upgraded_Fossil Depletion Potential (FDP) - kg oil eq_Belt filter press; wastewater treatment unit; at updated plant - US_Without Amendment_Aerated Static Pile</v>
      </c>
    </row>
    <row r="11885" spans="1:13" s="120" customFormat="1" x14ac:dyDescent="0.25">
      <c r="A11885" s="119"/>
      <c r="B11885" s="138" t="str">
        <f t="shared" si="1032"/>
        <v>Aerated Static Pile</v>
      </c>
      <c r="C11885" s="138" t="str">
        <f t="shared" si="1033"/>
        <v>Without Amendment</v>
      </c>
      <c r="D11885" s="138" t="str">
        <f t="shared" si="1030"/>
        <v>Base_High</v>
      </c>
      <c r="E11885" s="138" t="str">
        <f t="shared" si="1034"/>
        <v>Base</v>
      </c>
      <c r="F11885" s="138" t="str">
        <f t="shared" si="1035"/>
        <v>Upgraded</v>
      </c>
      <c r="G11885" s="153"/>
      <c r="H11885" s="210">
        <v>0.41570000000000001</v>
      </c>
      <c r="I11885" s="160" t="s">
        <v>128</v>
      </c>
      <c r="J11885" s="160">
        <v>4.4999999999999997E-3</v>
      </c>
      <c r="K11885" s="160" t="s">
        <v>14</v>
      </c>
      <c r="L11885" s="154" t="str">
        <f>IF(OpenLCAbasic!K11885="CTUh", "Fill in Manually",IF(OR(K11885="Unit", K11885=""), "", INDEX(LookUps!$E$5:$E$12, MATCH(OpenLCAbasic!K11885,LookUps!$D$5:$D$12,0))))</f>
        <v>Fossil Depletion Potential (FDP) - kg oil eq</v>
      </c>
      <c r="M11885" s="154" t="str">
        <f t="shared" si="1031"/>
        <v>Base_Base_High_Upgraded_Fossil Depletion Potential (FDP) - kg oil eq_Wastewater collection; operation and infrastructure; m3 wastewater_Without Amendment_Aerated Static Pile</v>
      </c>
    </row>
    <row r="11886" spans="1:13" s="120" customFormat="1" x14ac:dyDescent="0.25">
      <c r="A11886" s="119"/>
      <c r="B11886" s="138" t="str">
        <f t="shared" si="1032"/>
        <v>Aerated Static Pile</v>
      </c>
      <c r="C11886" s="138" t="str">
        <f t="shared" si="1033"/>
        <v>Without Amendment</v>
      </c>
      <c r="D11886" s="138" t="str">
        <f t="shared" si="1030"/>
        <v>Base_High</v>
      </c>
      <c r="E11886" s="138" t="str">
        <f t="shared" si="1034"/>
        <v>Base</v>
      </c>
      <c r="F11886" s="138" t="str">
        <f t="shared" si="1035"/>
        <v>Upgraded</v>
      </c>
      <c r="G11886" s="153"/>
      <c r="H11886" s="210">
        <v>0.25850000000000001</v>
      </c>
      <c r="I11886" s="160" t="s">
        <v>148</v>
      </c>
      <c r="J11886" s="160">
        <v>2.8E-3</v>
      </c>
      <c r="K11886" s="160" t="s">
        <v>14</v>
      </c>
      <c r="L11886" s="154" t="str">
        <f>IF(OpenLCAbasic!K11886="CTUh", "Fill in Manually",IF(OR(K11886="Unit", K11886=""), "", INDEX(LookUps!$E$5:$E$12, MATCH(OpenLCAbasic!K11886,LookUps!$D$5:$D$12,0))))</f>
        <v>Fossil Depletion Potential (FDP) - kg oil eq</v>
      </c>
      <c r="M11886" s="154" t="str">
        <f t="shared" si="1031"/>
        <v>Base_Base_High_Upgraded_Fossil Depletion Potential (FDP) - kg oil eq_Control Building; at upgraded wastewater treatment plant - US_Without Amendment_Aerated Static Pile</v>
      </c>
    </row>
    <row r="11887" spans="1:13" s="120" customFormat="1" x14ac:dyDescent="0.25">
      <c r="A11887" s="119"/>
      <c r="B11887" s="138" t="str">
        <f t="shared" si="1032"/>
        <v>Aerated Static Pile</v>
      </c>
      <c r="C11887" s="138" t="str">
        <f t="shared" si="1033"/>
        <v>Without Amendment</v>
      </c>
      <c r="D11887" s="138" t="str">
        <f t="shared" si="1030"/>
        <v>Base_High</v>
      </c>
      <c r="E11887" s="138" t="str">
        <f t="shared" si="1034"/>
        <v>Base</v>
      </c>
      <c r="F11887" s="138" t="str">
        <f t="shared" si="1035"/>
        <v>Upgraded</v>
      </c>
      <c r="G11887" s="153"/>
      <c r="H11887" s="210">
        <v>0.21840000000000001</v>
      </c>
      <c r="I11887" s="160" t="s">
        <v>48</v>
      </c>
      <c r="J11887" s="160">
        <v>2.3600000000000001E-3</v>
      </c>
      <c r="K11887" s="160" t="s">
        <v>14</v>
      </c>
      <c r="L11887" s="154" t="str">
        <f>IF(OpenLCAbasic!K11887="CTUh", "Fill in Manually",IF(OR(K11887="Unit", K11887=""), "", INDEX(LookUps!$E$5:$E$12, MATCH(OpenLCAbasic!K11887,LookUps!$D$5:$D$12,0))))</f>
        <v>Fossil Depletion Potential (FDP) - kg oil eq</v>
      </c>
      <c r="M11887" s="154" t="str">
        <f t="shared" si="1031"/>
        <v>Base_Base_High_Upgraded_Fossil Depletion Potential (FDP) - kg oil eq_Effluent release; wastewater treatment unit; at surface water; m3 wastewater - US_Without Amendment_Aerated Static Pile</v>
      </c>
    </row>
    <row r="11888" spans="1:13" s="120" customFormat="1" x14ac:dyDescent="0.25">
      <c r="A11888" s="119"/>
      <c r="B11888" s="138" t="str">
        <f t="shared" si="1032"/>
        <v>Aerated Static Pile</v>
      </c>
      <c r="C11888" s="138" t="str">
        <f t="shared" si="1033"/>
        <v>Without Amendment</v>
      </c>
      <c r="D11888" s="138" t="str">
        <f t="shared" si="1030"/>
        <v>Base_High</v>
      </c>
      <c r="E11888" s="138" t="str">
        <f t="shared" si="1034"/>
        <v>Base</v>
      </c>
      <c r="F11888" s="138" t="str">
        <f t="shared" si="1035"/>
        <v>Upgraded</v>
      </c>
      <c r="G11888" s="153"/>
      <c r="H11888" s="210">
        <v>0.1774</v>
      </c>
      <c r="I11888" s="160" t="s">
        <v>59</v>
      </c>
      <c r="J11888" s="160">
        <v>1.92E-3</v>
      </c>
      <c r="K11888" s="160" t="s">
        <v>14</v>
      </c>
      <c r="L11888" s="154" t="str">
        <f>IF(OpenLCAbasic!K11888="CTUh", "Fill in Manually",IF(OR(K11888="Unit", K11888=""), "", INDEX(LookUps!$E$5:$E$12, MATCH(OpenLCAbasic!K11888,LookUps!$D$5:$D$12,0))))</f>
        <v>Fossil Depletion Potential (FDP) - kg oil eq</v>
      </c>
      <c r="M11888" s="154" t="str">
        <f t="shared" si="1031"/>
        <v>Base_Base_High_Upgraded_Fossil Depletion Potential (FDP) - kg oil eq_Blend Tank; wastewater treatment unit; at updated plant - US_Without Amendment_Aerated Static Pile</v>
      </c>
    </row>
    <row r="11889" spans="1:13" s="120" customFormat="1" x14ac:dyDescent="0.25">
      <c r="A11889" s="119"/>
      <c r="B11889" s="138" t="str">
        <f t="shared" si="1032"/>
        <v>Aerated Static Pile</v>
      </c>
      <c r="C11889" s="138" t="str">
        <f t="shared" si="1033"/>
        <v>Without Amendment</v>
      </c>
      <c r="D11889" s="138" t="str">
        <f t="shared" ref="D11889:D11952" si="1036">IF(ISNUMBER($J11889),"Base_High","")</f>
        <v>Base_High</v>
      </c>
      <c r="E11889" s="138" t="str">
        <f t="shared" si="1034"/>
        <v>Base</v>
      </c>
      <c r="F11889" s="138" t="str">
        <f t="shared" si="1035"/>
        <v>Upgraded</v>
      </c>
      <c r="G11889" s="153"/>
      <c r="H11889" s="210">
        <v>8.4500000000000006E-2</v>
      </c>
      <c r="I11889" s="160" t="s">
        <v>168</v>
      </c>
      <c r="J11889" s="160">
        <v>9.1E-4</v>
      </c>
      <c r="K11889" s="160" t="s">
        <v>14</v>
      </c>
      <c r="L11889" s="154" t="str">
        <f>IF(OpenLCAbasic!K11889="CTUh", "Fill in Manually",IF(OR(K11889="Unit", K11889=""), "", INDEX(LookUps!$E$5:$E$12, MATCH(OpenLCAbasic!K11889,LookUps!$D$5:$D$12,0))))</f>
        <v>Fossil Depletion Potential (FDP) - kg oil eq</v>
      </c>
      <c r="M11889" s="154" t="str">
        <f t="shared" si="1031"/>
        <v>Base_Base_High_Upgraded_Fossil Depletion Potential (FDP) - kg oil eq_ClearCove SCP; wastewater treatment unit; at updated plant - US_Without Amendment_Aerated Static Pile</v>
      </c>
    </row>
    <row r="11890" spans="1:13" s="120" customFormat="1" x14ac:dyDescent="0.25">
      <c r="A11890" s="119"/>
      <c r="B11890" s="138" t="str">
        <f t="shared" si="1032"/>
        <v>Aerated Static Pile</v>
      </c>
      <c r="C11890" s="138" t="str">
        <f t="shared" si="1033"/>
        <v>Without Amendment</v>
      </c>
      <c r="D11890" s="138" t="str">
        <f t="shared" si="1036"/>
        <v>Base_High</v>
      </c>
      <c r="E11890" s="138" t="str">
        <f t="shared" si="1034"/>
        <v>Base</v>
      </c>
      <c r="F11890" s="138" t="str">
        <f t="shared" si="1035"/>
        <v>Upgraded</v>
      </c>
      <c r="G11890" s="153"/>
      <c r="H11890" s="210">
        <v>-0.35720000000000002</v>
      </c>
      <c r="I11890" s="160" t="s">
        <v>62</v>
      </c>
      <c r="J11890" s="160">
        <v>-3.8700000000000002E-3</v>
      </c>
      <c r="K11890" s="160" t="s">
        <v>14</v>
      </c>
      <c r="L11890" s="154" t="str">
        <f>IF(OpenLCAbasic!K11890="CTUh", "Fill in Manually",IF(OR(K11890="Unit", K11890=""), "", INDEX(LookUps!$E$5:$E$12, MATCH(OpenLCAbasic!K11890,LookUps!$D$5:$D$12,0))))</f>
        <v>Fossil Depletion Potential (FDP) - kg oil eq</v>
      </c>
      <c r="M11890" s="154" t="str">
        <f t="shared" si="1031"/>
        <v>Base_Base_High_Upgraded_Fossil Depletion Potential (FDP) - kg oil eq_Land application of compost; wastewater treatment unit; at updated plant - US_Without Amendment_Aerated Static Pile</v>
      </c>
    </row>
    <row r="11891" spans="1:13" s="120" customFormat="1" x14ac:dyDescent="0.25">
      <c r="A11891" s="119"/>
      <c r="B11891" s="138" t="str">
        <f t="shared" si="1032"/>
        <v>Aerated Static Pile</v>
      </c>
      <c r="C11891" s="138" t="str">
        <f t="shared" si="1033"/>
        <v>Without Amendment</v>
      </c>
      <c r="D11891" s="138" t="str">
        <f t="shared" si="1036"/>
        <v>Base_High</v>
      </c>
      <c r="E11891" s="138" t="str">
        <f t="shared" si="1034"/>
        <v>Base</v>
      </c>
      <c r="F11891" s="138" t="str">
        <f t="shared" si="1035"/>
        <v>Upgraded</v>
      </c>
      <c r="G11891" s="153"/>
      <c r="H11891" s="210">
        <v>-20.670999999999999</v>
      </c>
      <c r="I11891" s="160" t="s">
        <v>149</v>
      </c>
      <c r="J11891" s="160">
        <v>-0.22373000000000001</v>
      </c>
      <c r="K11891" s="160" t="s">
        <v>14</v>
      </c>
      <c r="L11891" s="154" t="str">
        <f>IF(OpenLCAbasic!K11891="CTUh", "Fill in Manually",IF(OR(K11891="Unit", K11891=""), "", INDEX(LookUps!$E$5:$E$12, MATCH(OpenLCAbasic!K11891,LookUps!$D$5:$D$12,0))))</f>
        <v>Fossil Depletion Potential (FDP) - kg oil eq</v>
      </c>
      <c r="M11891" s="154" t="str">
        <f t="shared" si="1031"/>
        <v>Base_Base_High_Upgraded_Fossil Depletion Potential (FDP) - kg oil eq_Anaerobic Digestion; wastewater treatment unit; at updated plant - US_Without Amendment_Aerated Static Pile</v>
      </c>
    </row>
    <row r="11892" spans="1:13" s="120" customFormat="1" x14ac:dyDescent="0.25">
      <c r="A11892" s="119"/>
      <c r="B11892" s="138" t="str">
        <f t="shared" si="1032"/>
        <v/>
      </c>
      <c r="C11892" s="138" t="str">
        <f t="shared" si="1033"/>
        <v/>
      </c>
      <c r="D11892" s="138" t="str">
        <f t="shared" si="1036"/>
        <v/>
      </c>
      <c r="E11892" s="138" t="str">
        <f t="shared" si="1034"/>
        <v/>
      </c>
      <c r="F11892" s="138" t="str">
        <f t="shared" si="1035"/>
        <v/>
      </c>
      <c r="G11892" s="153" t="s">
        <v>51</v>
      </c>
      <c r="H11892" s="160"/>
      <c r="I11892" s="160" t="s">
        <v>47</v>
      </c>
      <c r="J11892" s="160" t="s">
        <v>52</v>
      </c>
      <c r="K11892" s="160" t="s">
        <v>27</v>
      </c>
      <c r="L11892" s="154" t="str">
        <f>IF(OpenLCAbasic!K11892="CTUh", "Fill in Manually",IF(OR(K11892="Unit", K11892=""), "", INDEX(LookUps!$E$5:$E$12, MATCH(OpenLCAbasic!K11892,LookUps!$D$5:$D$12,0))))</f>
        <v/>
      </c>
      <c r="M11892" s="154" t="str">
        <f t="shared" si="1031"/>
        <v>____Process__</v>
      </c>
    </row>
    <row r="11893" spans="1:13" s="120" customFormat="1" x14ac:dyDescent="0.25">
      <c r="A11893" s="119"/>
      <c r="B11893" s="138" t="str">
        <f t="shared" si="1032"/>
        <v>Aerated Static Pile</v>
      </c>
      <c r="C11893" s="138" t="str">
        <f t="shared" si="1033"/>
        <v>Without Amendment</v>
      </c>
      <c r="D11893" s="138" t="str">
        <f t="shared" si="1036"/>
        <v>Base_High</v>
      </c>
      <c r="E11893" s="138" t="str">
        <f t="shared" si="1034"/>
        <v>Base</v>
      </c>
      <c r="F11893" s="138" t="str">
        <f t="shared" si="1035"/>
        <v>Upgraded</v>
      </c>
      <c r="G11893" s="153"/>
      <c r="H11893" s="210">
        <v>0.62109999999999999</v>
      </c>
      <c r="I11893" s="160" t="s">
        <v>435</v>
      </c>
      <c r="J11893" s="160">
        <v>0.29783999999999999</v>
      </c>
      <c r="K11893" s="160" t="s">
        <v>23</v>
      </c>
      <c r="L11893" s="154" t="str">
        <f>IF(OpenLCAbasic!K11893="CTUh", "Fill in Manually",IF(OR(K11893="Unit", K11893=""), "", INDEX(LookUps!$E$5:$E$12, MATCH(OpenLCAbasic!K11893,LookUps!$D$5:$D$12,0))))</f>
        <v>Global Warming Potential (GWP) - kg CO2 eq</v>
      </c>
      <c r="M11893" s="154" t="str">
        <f t="shared" si="1031"/>
        <v>Base_Base_High_Upgraded_Global Warming Potential (GWP) - kg CO2 eq_Biosolids composting; aerated static pile; wastewater treatment unit; at updated plant - US_Without Amendment_Aerated Static Pile</v>
      </c>
    </row>
    <row r="11894" spans="1:13" s="120" customFormat="1" x14ac:dyDescent="0.25">
      <c r="A11894" s="119"/>
      <c r="B11894" s="138" t="str">
        <f t="shared" si="1032"/>
        <v>Aerated Static Pile</v>
      </c>
      <c r="C11894" s="138" t="str">
        <f t="shared" si="1033"/>
        <v>Without Amendment</v>
      </c>
      <c r="D11894" s="138" t="str">
        <f t="shared" si="1036"/>
        <v>Base_High</v>
      </c>
      <c r="E11894" s="138" t="str">
        <f t="shared" si="1034"/>
        <v>Base</v>
      </c>
      <c r="F11894" s="138" t="str">
        <f t="shared" si="1035"/>
        <v>Upgraded</v>
      </c>
      <c r="G11894" s="153"/>
      <c r="H11894" s="210">
        <v>0.50629999999999997</v>
      </c>
      <c r="I11894" s="160" t="s">
        <v>58</v>
      </c>
      <c r="J11894" s="160">
        <v>0.24279999999999999</v>
      </c>
      <c r="K11894" s="160" t="s">
        <v>23</v>
      </c>
      <c r="L11894" s="154" t="str">
        <f>IF(OpenLCAbasic!K11894="CTUh", "Fill in Manually",IF(OR(K11894="Unit", K11894=""), "", INDEX(LookUps!$E$5:$E$12, MATCH(OpenLCAbasic!K11894,LookUps!$D$5:$D$12,0))))</f>
        <v>Global Warming Potential (GWP) - kg CO2 eq</v>
      </c>
      <c r="M11894" s="154" t="str">
        <f t="shared" si="1031"/>
        <v>Base_Base_High_Upgraded_Global Warming Potential (GWP) - kg CO2 eq_Pre-Anoxic &amp; Swing tank; wastewater treatment unit; at updated plant - US_Without Amendment_Aerated Static Pile</v>
      </c>
    </row>
    <row r="11895" spans="1:13" s="120" customFormat="1" x14ac:dyDescent="0.25">
      <c r="A11895" s="119"/>
      <c r="B11895" s="138" t="str">
        <f t="shared" si="1032"/>
        <v>Aerated Static Pile</v>
      </c>
      <c r="C11895" s="138" t="str">
        <f t="shared" si="1033"/>
        <v>Without Amendment</v>
      </c>
      <c r="D11895" s="138" t="str">
        <f t="shared" si="1036"/>
        <v>Base_High</v>
      </c>
      <c r="E11895" s="138" t="str">
        <f t="shared" si="1034"/>
        <v>Base</v>
      </c>
      <c r="F11895" s="138" t="str">
        <f t="shared" si="1035"/>
        <v>Upgraded</v>
      </c>
      <c r="G11895" s="153"/>
      <c r="H11895" s="210">
        <v>0.3508</v>
      </c>
      <c r="I11895" s="160" t="s">
        <v>55</v>
      </c>
      <c r="J11895" s="160">
        <v>0.16822000000000001</v>
      </c>
      <c r="K11895" s="160" t="s">
        <v>23</v>
      </c>
      <c r="L11895" s="154" t="str">
        <f>IF(OpenLCAbasic!K11895="CTUh", "Fill in Manually",IF(OR(K11895="Unit", K11895=""), "", INDEX(LookUps!$E$5:$E$12, MATCH(OpenLCAbasic!K11895,LookUps!$D$5:$D$12,0))))</f>
        <v>Global Warming Potential (GWP) - kg CO2 eq</v>
      </c>
      <c r="M11895" s="154" t="str">
        <f t="shared" si="1031"/>
        <v>Base_Base_High_Upgraded_Global Warming Potential (GWP) - kg CO2 eq_Aeration Tanks; wastewater treatment unit; at updated plant - US_Without Amendment_Aerated Static Pile</v>
      </c>
    </row>
    <row r="11896" spans="1:13" s="120" customFormat="1" x14ac:dyDescent="0.25">
      <c r="A11896" s="119"/>
      <c r="B11896" s="138" t="str">
        <f t="shared" si="1032"/>
        <v>Aerated Static Pile</v>
      </c>
      <c r="C11896" s="138" t="str">
        <f t="shared" si="1033"/>
        <v>Without Amendment</v>
      </c>
      <c r="D11896" s="138" t="str">
        <f t="shared" si="1036"/>
        <v>Base_High</v>
      </c>
      <c r="E11896" s="138" t="str">
        <f t="shared" si="1034"/>
        <v>Base</v>
      </c>
      <c r="F11896" s="138" t="str">
        <f t="shared" si="1035"/>
        <v>Upgraded</v>
      </c>
      <c r="G11896" s="153"/>
      <c r="H11896" s="210">
        <v>0.2135</v>
      </c>
      <c r="I11896" s="160" t="s">
        <v>167</v>
      </c>
      <c r="J11896" s="160">
        <v>0.10241</v>
      </c>
      <c r="K11896" s="160" t="s">
        <v>23</v>
      </c>
      <c r="L11896" s="154" t="str">
        <f>IF(OpenLCAbasic!K11896="CTUh", "Fill in Manually",IF(OR(K11896="Unit", K11896=""), "", INDEX(LookUps!$E$5:$E$12, MATCH(OpenLCAbasic!K11896,LookUps!$D$5:$D$12,0))))</f>
        <v>Global Warming Potential (GWP) - kg CO2 eq</v>
      </c>
      <c r="M11896" s="154" t="str">
        <f t="shared" si="1031"/>
        <v>Base_Base_High_Upgraded_Global Warming Potential (GWP) - kg CO2 eq_Waste Receiving and Holding; wastewater treatment unit; at updated plant - US_Without Amendment_Aerated Static Pile</v>
      </c>
    </row>
    <row r="11897" spans="1:13" s="120" customFormat="1" x14ac:dyDescent="0.25">
      <c r="A11897" s="119"/>
      <c r="B11897" s="138" t="str">
        <f t="shared" si="1032"/>
        <v>Aerated Static Pile</v>
      </c>
      <c r="C11897" s="138" t="str">
        <f t="shared" si="1033"/>
        <v>Without Amendment</v>
      </c>
      <c r="D11897" s="138" t="str">
        <f t="shared" si="1036"/>
        <v>Base_High</v>
      </c>
      <c r="E11897" s="138" t="str">
        <f t="shared" si="1034"/>
        <v>Base</v>
      </c>
      <c r="F11897" s="138" t="str">
        <f t="shared" si="1035"/>
        <v>Upgraded</v>
      </c>
      <c r="G11897" s="153"/>
      <c r="H11897" s="210">
        <v>0.11899999999999999</v>
      </c>
      <c r="I11897" s="160" t="s">
        <v>54</v>
      </c>
      <c r="J11897" s="160">
        <v>5.7079999999999999E-2</v>
      </c>
      <c r="K11897" s="160" t="s">
        <v>23</v>
      </c>
      <c r="L11897" s="154" t="str">
        <f>IF(OpenLCAbasic!K11897="CTUh", "Fill in Manually",IF(OR(K11897="Unit", K11897=""), "", INDEX(LookUps!$E$5:$E$12, MATCH(OpenLCAbasic!K11897,LookUps!$D$5:$D$12,0))))</f>
        <v>Global Warming Potential (GWP) - kg CO2 eq</v>
      </c>
      <c r="M11897" s="154" t="str">
        <f t="shared" si="1031"/>
        <v>Base_Base_High_Upgraded_Global Warming Potential (GWP) - kg CO2 eq_Clear Cove Primary Clarification; wastewater treatment unit; at updated plant - US_Without Amendment_Aerated Static Pile</v>
      </c>
    </row>
    <row r="11898" spans="1:13" s="120" customFormat="1" x14ac:dyDescent="0.25">
      <c r="A11898" s="119"/>
      <c r="B11898" s="138" t="str">
        <f t="shared" si="1032"/>
        <v>Aerated Static Pile</v>
      </c>
      <c r="C11898" s="138" t="str">
        <f t="shared" si="1033"/>
        <v>Without Amendment</v>
      </c>
      <c r="D11898" s="138" t="str">
        <f t="shared" si="1036"/>
        <v>Base_High</v>
      </c>
      <c r="E11898" s="138" t="str">
        <f t="shared" si="1034"/>
        <v>Base</v>
      </c>
      <c r="F11898" s="138" t="str">
        <f t="shared" si="1035"/>
        <v>Upgraded</v>
      </c>
      <c r="G11898" s="153"/>
      <c r="H11898" s="210">
        <v>0.10979999999999999</v>
      </c>
      <c r="I11898" s="160" t="s">
        <v>48</v>
      </c>
      <c r="J11898" s="160">
        <v>5.2639999999999999E-2</v>
      </c>
      <c r="K11898" s="160" t="s">
        <v>23</v>
      </c>
      <c r="L11898" s="154" t="str">
        <f>IF(OpenLCAbasic!K11898="CTUh", "Fill in Manually",IF(OR(K11898="Unit", K11898=""), "", INDEX(LookUps!$E$5:$E$12, MATCH(OpenLCAbasic!K11898,LookUps!$D$5:$D$12,0))))</f>
        <v>Global Warming Potential (GWP) - kg CO2 eq</v>
      </c>
      <c r="M11898" s="154" t="str">
        <f t="shared" si="1031"/>
        <v>Base_Base_High_Upgraded_Global Warming Potential (GWP) - kg CO2 eq_Effluent release; wastewater treatment unit; at surface water; m3 wastewater - US_Without Amendment_Aerated Static Pile</v>
      </c>
    </row>
    <row r="11899" spans="1:13" s="120" customFormat="1" x14ac:dyDescent="0.25">
      <c r="A11899" s="119"/>
      <c r="B11899" s="138" t="str">
        <f t="shared" si="1032"/>
        <v>Aerated Static Pile</v>
      </c>
      <c r="C11899" s="138" t="str">
        <f t="shared" si="1033"/>
        <v>Without Amendment</v>
      </c>
      <c r="D11899" s="138" t="str">
        <f t="shared" si="1036"/>
        <v>Base_High</v>
      </c>
      <c r="E11899" s="138" t="str">
        <f t="shared" si="1034"/>
        <v>Base</v>
      </c>
      <c r="F11899" s="138" t="str">
        <f t="shared" si="1035"/>
        <v>Upgraded</v>
      </c>
      <c r="G11899" s="153"/>
      <c r="H11899" s="210">
        <v>0.1053</v>
      </c>
      <c r="I11899" s="160" t="s">
        <v>147</v>
      </c>
      <c r="J11899" s="160">
        <v>5.0500000000000003E-2</v>
      </c>
      <c r="K11899" s="160" t="s">
        <v>23</v>
      </c>
      <c r="L11899" s="154" t="str">
        <f>IF(OpenLCAbasic!K11899="CTUh", "Fill in Manually",IF(OR(K11899="Unit", K11899=""), "", INDEX(LookUps!$E$5:$E$12, MATCH(OpenLCAbasic!K11899,LookUps!$D$5:$D$12,0))))</f>
        <v>Global Warming Potential (GWP) - kg CO2 eq</v>
      </c>
      <c r="M11899" s="154" t="str">
        <f t="shared" si="1031"/>
        <v>Base_Base_High_Upgraded_Global Warming Potential (GWP) - kg CO2 eq_Influent Pump Station; wastewater treatment unit; at updated plant - US_Without Amendment_Aerated Static Pile</v>
      </c>
    </row>
    <row r="11900" spans="1:13" s="120" customFormat="1" x14ac:dyDescent="0.25">
      <c r="A11900" s="119"/>
      <c r="B11900" s="138" t="str">
        <f t="shared" si="1032"/>
        <v>Aerated Static Pile</v>
      </c>
      <c r="C11900" s="138" t="str">
        <f t="shared" si="1033"/>
        <v>Without Amendment</v>
      </c>
      <c r="D11900" s="138" t="str">
        <f t="shared" si="1036"/>
        <v>Base_High</v>
      </c>
      <c r="E11900" s="138" t="str">
        <f t="shared" si="1034"/>
        <v>Base</v>
      </c>
      <c r="F11900" s="138" t="str">
        <f t="shared" si="1035"/>
        <v>Upgraded</v>
      </c>
      <c r="G11900" s="153"/>
      <c r="H11900" s="210">
        <v>6.93E-2</v>
      </c>
      <c r="I11900" s="160" t="s">
        <v>53</v>
      </c>
      <c r="J11900" s="160">
        <v>3.3259999999999998E-2</v>
      </c>
      <c r="K11900" s="160" t="s">
        <v>23</v>
      </c>
      <c r="L11900" s="154" t="str">
        <f>IF(OpenLCAbasic!K11900="CTUh", "Fill in Manually",IF(OR(K11900="Unit", K11900=""), "", INDEX(LookUps!$E$5:$E$12, MATCH(OpenLCAbasic!K11900,LookUps!$D$5:$D$12,0))))</f>
        <v>Global Warming Potential (GWP) - kg CO2 eq</v>
      </c>
      <c r="M11900" s="154" t="str">
        <f t="shared" si="1031"/>
        <v>Base_Base_High_Upgraded_Global Warming Potential (GWP) - kg CO2 eq_Wet Well and Sump Station; wastewater treatment unit; at updated plant - US_Without Amendment_Aerated Static Pile</v>
      </c>
    </row>
    <row r="11901" spans="1:13" s="120" customFormat="1" x14ac:dyDescent="0.25">
      <c r="A11901" s="119"/>
      <c r="B11901" s="138" t="str">
        <f t="shared" si="1032"/>
        <v>Aerated Static Pile</v>
      </c>
      <c r="C11901" s="138" t="str">
        <f t="shared" si="1033"/>
        <v>Without Amendment</v>
      </c>
      <c r="D11901" s="138" t="str">
        <f t="shared" si="1036"/>
        <v>Base_High</v>
      </c>
      <c r="E11901" s="138" t="str">
        <f t="shared" si="1034"/>
        <v>Base</v>
      </c>
      <c r="F11901" s="138" t="str">
        <f t="shared" si="1035"/>
        <v>Upgraded</v>
      </c>
      <c r="G11901" s="153"/>
      <c r="H11901" s="210">
        <v>3.0300000000000001E-2</v>
      </c>
      <c r="I11901" s="160" t="s">
        <v>57</v>
      </c>
      <c r="J11901" s="160">
        <v>1.455E-2</v>
      </c>
      <c r="K11901" s="160" t="s">
        <v>23</v>
      </c>
      <c r="L11901" s="154" t="str">
        <f>IF(OpenLCAbasic!K11901="CTUh", "Fill in Manually",IF(OR(K11901="Unit", K11901=""), "", INDEX(LookUps!$E$5:$E$12, MATCH(OpenLCAbasic!K11901,LookUps!$D$5:$D$12,0))))</f>
        <v>Global Warming Potential (GWP) - kg CO2 eq</v>
      </c>
      <c r="M11901" s="154" t="str">
        <f t="shared" si="1031"/>
        <v>Base_Base_High_Upgraded_Global Warming Potential (GWP) - kg CO2 eq_Gravity Belt Thickener; wastewater treatment unit; at updated plant - US_Without Amendment_Aerated Static Pile</v>
      </c>
    </row>
    <row r="11902" spans="1:13" s="120" customFormat="1" x14ac:dyDescent="0.25">
      <c r="A11902" s="119"/>
      <c r="B11902" s="138" t="str">
        <f t="shared" si="1032"/>
        <v>Aerated Static Pile</v>
      </c>
      <c r="C11902" s="138" t="str">
        <f t="shared" si="1033"/>
        <v>Without Amendment</v>
      </c>
      <c r="D11902" s="138" t="str">
        <f t="shared" si="1036"/>
        <v>Base_High</v>
      </c>
      <c r="E11902" s="138" t="str">
        <f t="shared" si="1034"/>
        <v>Base</v>
      </c>
      <c r="F11902" s="138" t="str">
        <f t="shared" si="1035"/>
        <v>Upgraded</v>
      </c>
      <c r="G11902" s="153"/>
      <c r="H11902" s="210">
        <v>2.8199999999999999E-2</v>
      </c>
      <c r="I11902" s="160" t="s">
        <v>128</v>
      </c>
      <c r="J11902" s="160">
        <v>1.3509999999999999E-2</v>
      </c>
      <c r="K11902" s="160" t="s">
        <v>23</v>
      </c>
      <c r="L11902" s="154" t="str">
        <f>IF(OpenLCAbasic!K11902="CTUh", "Fill in Manually",IF(OR(K11902="Unit", K11902=""), "", INDEX(LookUps!$E$5:$E$12, MATCH(OpenLCAbasic!K11902,LookUps!$D$5:$D$12,0))))</f>
        <v>Global Warming Potential (GWP) - kg CO2 eq</v>
      </c>
      <c r="M11902" s="154" t="str">
        <f t="shared" si="1031"/>
        <v>Base_Base_High_Upgraded_Global Warming Potential (GWP) - kg CO2 eq_Wastewater collection; operation and infrastructure; m3 wastewater_Without Amendment_Aerated Static Pile</v>
      </c>
    </row>
    <row r="11903" spans="1:13" s="120" customFormat="1" x14ac:dyDescent="0.25">
      <c r="A11903" s="119"/>
      <c r="B11903" s="138" t="str">
        <f t="shared" si="1032"/>
        <v>Aerated Static Pile</v>
      </c>
      <c r="C11903" s="138" t="str">
        <f t="shared" si="1033"/>
        <v>Without Amendment</v>
      </c>
      <c r="D11903" s="138" t="str">
        <f t="shared" si="1036"/>
        <v>Base_High</v>
      </c>
      <c r="E11903" s="138" t="str">
        <f t="shared" si="1034"/>
        <v>Base</v>
      </c>
      <c r="F11903" s="138" t="str">
        <f t="shared" si="1035"/>
        <v>Upgraded</v>
      </c>
      <c r="G11903" s="153"/>
      <c r="H11903" s="210">
        <v>2.5700000000000001E-2</v>
      </c>
      <c r="I11903" s="160" t="s">
        <v>60</v>
      </c>
      <c r="J11903" s="160">
        <v>1.231E-2</v>
      </c>
      <c r="K11903" s="160" t="s">
        <v>23</v>
      </c>
      <c r="L11903" s="154" t="str">
        <f>IF(OpenLCAbasic!K11903="CTUh", "Fill in Manually",IF(OR(K11903="Unit", K11903=""), "", INDEX(LookUps!$E$5:$E$12, MATCH(OpenLCAbasic!K11903,LookUps!$D$5:$D$12,0))))</f>
        <v>Global Warming Potential (GWP) - kg CO2 eq</v>
      </c>
      <c r="M11903" s="154" t="str">
        <f t="shared" si="1031"/>
        <v>Base_Base_High_Upgraded_Global Warming Potential (GWP) - kg CO2 eq_Belt filter press; wastewater treatment unit; at updated plant - US_Without Amendment_Aerated Static Pile</v>
      </c>
    </row>
    <row r="11904" spans="1:13" s="120" customFormat="1" x14ac:dyDescent="0.25">
      <c r="A11904" s="119"/>
      <c r="B11904" s="138" t="str">
        <f t="shared" si="1032"/>
        <v>Aerated Static Pile</v>
      </c>
      <c r="C11904" s="138" t="str">
        <f t="shared" si="1033"/>
        <v>Without Amendment</v>
      </c>
      <c r="D11904" s="138" t="str">
        <f t="shared" si="1036"/>
        <v>Base_High</v>
      </c>
      <c r="E11904" s="138" t="str">
        <f t="shared" si="1034"/>
        <v>Base</v>
      </c>
      <c r="F11904" s="138" t="str">
        <f t="shared" si="1035"/>
        <v>Upgraded</v>
      </c>
      <c r="G11904" s="153"/>
      <c r="H11904" s="210">
        <v>1.7299999999999999E-2</v>
      </c>
      <c r="I11904" s="160" t="s">
        <v>148</v>
      </c>
      <c r="J11904" s="160">
        <v>8.3000000000000001E-3</v>
      </c>
      <c r="K11904" s="160" t="s">
        <v>23</v>
      </c>
      <c r="L11904" s="154" t="str">
        <f>IF(OpenLCAbasic!K11904="CTUh", "Fill in Manually",IF(OR(K11904="Unit", K11904=""), "", INDEX(LookUps!$E$5:$E$12, MATCH(OpenLCAbasic!K11904,LookUps!$D$5:$D$12,0))))</f>
        <v>Global Warming Potential (GWP) - kg CO2 eq</v>
      </c>
      <c r="M11904" s="154" t="str">
        <f t="shared" si="1031"/>
        <v>Base_Base_High_Upgraded_Global Warming Potential (GWP) - kg CO2 eq_Control Building; at upgraded wastewater treatment plant - US_Without Amendment_Aerated Static Pile</v>
      </c>
    </row>
    <row r="11905" spans="1:13" s="120" customFormat="1" x14ac:dyDescent="0.25">
      <c r="A11905" s="119"/>
      <c r="B11905" s="138" t="str">
        <f t="shared" si="1032"/>
        <v>Aerated Static Pile</v>
      </c>
      <c r="C11905" s="138" t="str">
        <f t="shared" si="1033"/>
        <v>Without Amendment</v>
      </c>
      <c r="D11905" s="138" t="str">
        <f t="shared" si="1036"/>
        <v>Base_High</v>
      </c>
      <c r="E11905" s="138" t="str">
        <f t="shared" si="1034"/>
        <v>Base</v>
      </c>
      <c r="F11905" s="138" t="str">
        <f t="shared" si="1035"/>
        <v>Upgraded</v>
      </c>
      <c r="G11905" s="153"/>
      <c r="H11905" s="210">
        <v>1.0500000000000001E-2</v>
      </c>
      <c r="I11905" s="160" t="s">
        <v>59</v>
      </c>
      <c r="J11905" s="160">
        <v>5.0400000000000002E-3</v>
      </c>
      <c r="K11905" s="160" t="s">
        <v>23</v>
      </c>
      <c r="L11905" s="154" t="str">
        <f>IF(OpenLCAbasic!K11905="CTUh", "Fill in Manually",IF(OR(K11905="Unit", K11905=""), "", INDEX(LookUps!$E$5:$E$12, MATCH(OpenLCAbasic!K11905,LookUps!$D$5:$D$12,0))))</f>
        <v>Global Warming Potential (GWP) - kg CO2 eq</v>
      </c>
      <c r="M11905" s="154" t="str">
        <f t="shared" si="1031"/>
        <v>Base_Base_High_Upgraded_Global Warming Potential (GWP) - kg CO2 eq_Blend Tank; wastewater treatment unit; at updated plant - US_Without Amendment_Aerated Static Pile</v>
      </c>
    </row>
    <row r="11906" spans="1:13" s="120" customFormat="1" x14ac:dyDescent="0.25">
      <c r="A11906" s="119"/>
      <c r="B11906" s="138" t="str">
        <f t="shared" si="1032"/>
        <v>Aerated Static Pile</v>
      </c>
      <c r="C11906" s="138" t="str">
        <f t="shared" si="1033"/>
        <v>Without Amendment</v>
      </c>
      <c r="D11906" s="138" t="str">
        <f t="shared" si="1036"/>
        <v>Base_High</v>
      </c>
      <c r="E11906" s="138" t="str">
        <f t="shared" si="1034"/>
        <v>Base</v>
      </c>
      <c r="F11906" s="138" t="str">
        <f t="shared" si="1035"/>
        <v>Upgraded</v>
      </c>
      <c r="G11906" s="153"/>
      <c r="H11906" s="210">
        <v>5.0000000000000001E-3</v>
      </c>
      <c r="I11906" s="160" t="s">
        <v>168</v>
      </c>
      <c r="J11906" s="160">
        <v>2.4099999999999998E-3</v>
      </c>
      <c r="K11906" s="160" t="s">
        <v>23</v>
      </c>
      <c r="L11906" s="154" t="str">
        <f>IF(OpenLCAbasic!K11906="CTUh", "Fill in Manually",IF(OR(K11906="Unit", K11906=""), "", INDEX(LookUps!$E$5:$E$12, MATCH(OpenLCAbasic!K11906,LookUps!$D$5:$D$12,0))))</f>
        <v>Global Warming Potential (GWP) - kg CO2 eq</v>
      </c>
      <c r="M11906" s="154" t="str">
        <f t="shared" si="1031"/>
        <v>Base_Base_High_Upgraded_Global Warming Potential (GWP) - kg CO2 eq_ClearCove SCP; wastewater treatment unit; at updated plant - US_Without Amendment_Aerated Static Pile</v>
      </c>
    </row>
    <row r="11907" spans="1:13" s="120" customFormat="1" x14ac:dyDescent="0.25">
      <c r="A11907" s="119"/>
      <c r="B11907" s="138" t="str">
        <f t="shared" si="1032"/>
        <v>Aerated Static Pile</v>
      </c>
      <c r="C11907" s="138" t="str">
        <f t="shared" si="1033"/>
        <v>Without Amendment</v>
      </c>
      <c r="D11907" s="138" t="str">
        <f t="shared" si="1036"/>
        <v>Base_High</v>
      </c>
      <c r="E11907" s="138" t="str">
        <f t="shared" si="1034"/>
        <v>Base</v>
      </c>
      <c r="F11907" s="138" t="str">
        <f t="shared" si="1035"/>
        <v>Upgraded</v>
      </c>
      <c r="G11907" s="153"/>
      <c r="H11907" s="210">
        <v>-0.2757</v>
      </c>
      <c r="I11907" s="160" t="s">
        <v>62</v>
      </c>
      <c r="J11907" s="160">
        <v>-0.13220999999999999</v>
      </c>
      <c r="K11907" s="160" t="s">
        <v>23</v>
      </c>
      <c r="L11907" s="154" t="str">
        <f>IF(OpenLCAbasic!K11907="CTUh", "Fill in Manually",IF(OR(K11907="Unit", K11907=""), "", INDEX(LookUps!$E$5:$E$12, MATCH(OpenLCAbasic!K11907,LookUps!$D$5:$D$12,0))))</f>
        <v>Global Warming Potential (GWP) - kg CO2 eq</v>
      </c>
      <c r="M11907" s="154" t="str">
        <f t="shared" si="1031"/>
        <v>Base_Base_High_Upgraded_Global Warming Potential (GWP) - kg CO2 eq_Land application of compost; wastewater treatment unit; at updated plant - US_Without Amendment_Aerated Static Pile</v>
      </c>
    </row>
    <row r="11908" spans="1:13" s="120" customFormat="1" x14ac:dyDescent="0.25">
      <c r="A11908" s="119"/>
      <c r="B11908" s="138" t="str">
        <f t="shared" si="1032"/>
        <v>Aerated Static Pile</v>
      </c>
      <c r="C11908" s="138" t="str">
        <f t="shared" si="1033"/>
        <v>Without Amendment</v>
      </c>
      <c r="D11908" s="138" t="str">
        <f t="shared" si="1036"/>
        <v>Base_High</v>
      </c>
      <c r="E11908" s="138" t="str">
        <f t="shared" si="1034"/>
        <v>Base</v>
      </c>
      <c r="F11908" s="138" t="str">
        <f t="shared" si="1035"/>
        <v>Upgraded</v>
      </c>
      <c r="G11908" s="153"/>
      <c r="H11908" s="210">
        <v>-0.93640000000000001</v>
      </c>
      <c r="I11908" s="160" t="s">
        <v>149</v>
      </c>
      <c r="J11908" s="160">
        <v>-0.44908999999999999</v>
      </c>
      <c r="K11908" s="160" t="s">
        <v>23</v>
      </c>
      <c r="L11908" s="154" t="str">
        <f>IF(OpenLCAbasic!K11908="CTUh", "Fill in Manually",IF(OR(K11908="Unit", K11908=""), "", INDEX(LookUps!$E$5:$E$12, MATCH(OpenLCAbasic!K11908,LookUps!$D$5:$D$12,0))))</f>
        <v>Global Warming Potential (GWP) - kg CO2 eq</v>
      </c>
      <c r="M11908" s="154" t="str">
        <f t="shared" ref="M11908:M11971" si="1037">CONCATENATE(E11908,"_",D11908,"_",F11908,"_",L11908, "_",I11908,"_", C11908,"_", B11908)</f>
        <v>Base_Base_High_Upgraded_Global Warming Potential (GWP) - kg CO2 eq_Anaerobic Digestion; wastewater treatment unit; at updated plant - US_Without Amendment_Aerated Static Pile</v>
      </c>
    </row>
    <row r="11909" spans="1:13" s="120" customFormat="1" x14ac:dyDescent="0.25">
      <c r="A11909" s="119"/>
      <c r="B11909" s="138" t="str">
        <f t="shared" si="1032"/>
        <v/>
      </c>
      <c r="C11909" s="138" t="str">
        <f t="shared" si="1033"/>
        <v/>
      </c>
      <c r="D11909" s="138" t="str">
        <f t="shared" si="1036"/>
        <v/>
      </c>
      <c r="E11909" s="138" t="str">
        <f t="shared" si="1034"/>
        <v/>
      </c>
      <c r="F11909" s="138" t="str">
        <f t="shared" si="1035"/>
        <v/>
      </c>
      <c r="G11909" s="153" t="s">
        <v>51</v>
      </c>
      <c r="H11909" s="160"/>
      <c r="I11909" s="160" t="s">
        <v>47</v>
      </c>
      <c r="J11909" s="160" t="s">
        <v>52</v>
      </c>
      <c r="K11909" s="160" t="s">
        <v>27</v>
      </c>
      <c r="L11909" s="154" t="str">
        <f>IF(OpenLCAbasic!K11909="CTUh", "Fill in Manually",IF(OR(K11909="Unit", K11909=""), "", INDEX(LookUps!$E$5:$E$12, MATCH(OpenLCAbasic!K11909,LookUps!$D$5:$D$12,0))))</f>
        <v/>
      </c>
      <c r="M11909" s="154" t="str">
        <f t="shared" si="1037"/>
        <v>____Process__</v>
      </c>
    </row>
    <row r="11910" spans="1:13" s="120" customFormat="1" x14ac:dyDescent="0.25">
      <c r="A11910" s="119"/>
      <c r="B11910" s="138" t="str">
        <f t="shared" si="1032"/>
        <v>Aerated Static Pile</v>
      </c>
      <c r="C11910" s="138" t="str">
        <f t="shared" si="1033"/>
        <v>Without Amendment</v>
      </c>
      <c r="D11910" s="138" t="str">
        <f t="shared" si="1036"/>
        <v>Base_High</v>
      </c>
      <c r="E11910" s="138" t="str">
        <f t="shared" si="1034"/>
        <v>Base</v>
      </c>
      <c r="F11910" s="138" t="str">
        <f t="shared" si="1035"/>
        <v>Upgraded</v>
      </c>
      <c r="G11910" s="153"/>
      <c r="H11910" s="210">
        <v>13.9353</v>
      </c>
      <c r="I11910" s="160" t="s">
        <v>55</v>
      </c>
      <c r="J11910" s="160">
        <v>2.33E-3</v>
      </c>
      <c r="K11910" s="160" t="s">
        <v>145</v>
      </c>
      <c r="L11910" s="154" t="str">
        <f>IF(OpenLCAbasic!K11910="CTUh", "Fill in Manually",IF(OR(K11910="Unit", K11910=""), "", INDEX(LookUps!$E$5:$E$12, MATCH(OpenLCAbasic!K11910,LookUps!$D$5:$D$12,0))))</f>
        <v>Particulate Matter Formation Potential (PMFP) - kg PM2.5 eq</v>
      </c>
      <c r="M11910" s="154" t="str">
        <f t="shared" si="1037"/>
        <v>Base_Base_High_Upgraded_Particulate Matter Formation Potential (PMFP) - kg PM2.5 eq_Aeration Tanks; wastewater treatment unit; at updated plant - US_Without Amendment_Aerated Static Pile</v>
      </c>
    </row>
    <row r="11911" spans="1:13" s="120" customFormat="1" x14ac:dyDescent="0.25">
      <c r="A11911" s="119"/>
      <c r="B11911" s="138" t="str">
        <f t="shared" si="1032"/>
        <v>Aerated Static Pile</v>
      </c>
      <c r="C11911" s="138" t="str">
        <f t="shared" si="1033"/>
        <v>Without Amendment</v>
      </c>
      <c r="D11911" s="138" t="str">
        <f t="shared" si="1036"/>
        <v>Base_High</v>
      </c>
      <c r="E11911" s="138" t="str">
        <f t="shared" si="1034"/>
        <v>Base</v>
      </c>
      <c r="F11911" s="138" t="str">
        <f t="shared" si="1035"/>
        <v>Upgraded</v>
      </c>
      <c r="G11911" s="153"/>
      <c r="H11911" s="210">
        <v>4.0549999999999997</v>
      </c>
      <c r="I11911" s="160" t="s">
        <v>54</v>
      </c>
      <c r="J11911" s="160">
        <v>6.8000000000000005E-4</v>
      </c>
      <c r="K11911" s="160" t="s">
        <v>145</v>
      </c>
      <c r="L11911" s="154" t="str">
        <f>IF(OpenLCAbasic!K11911="CTUh", "Fill in Manually",IF(OR(K11911="Unit", K11911=""), "", INDEX(LookUps!$E$5:$E$12, MATCH(OpenLCAbasic!K11911,LookUps!$D$5:$D$12,0))))</f>
        <v>Particulate Matter Formation Potential (PMFP) - kg PM2.5 eq</v>
      </c>
      <c r="M11911" s="154" t="str">
        <f t="shared" si="1037"/>
        <v>Base_Base_High_Upgraded_Particulate Matter Formation Potential (PMFP) - kg PM2.5 eq_Clear Cove Primary Clarification; wastewater treatment unit; at updated plant - US_Without Amendment_Aerated Static Pile</v>
      </c>
    </row>
    <row r="11912" spans="1:13" s="120" customFormat="1" x14ac:dyDescent="0.25">
      <c r="A11912" s="119"/>
      <c r="B11912" s="138" t="str">
        <f t="shared" si="1032"/>
        <v>Aerated Static Pile</v>
      </c>
      <c r="C11912" s="138" t="str">
        <f t="shared" si="1033"/>
        <v>Without Amendment</v>
      </c>
      <c r="D11912" s="138" t="str">
        <f t="shared" si="1036"/>
        <v>Base_High</v>
      </c>
      <c r="E11912" s="138" t="str">
        <f t="shared" si="1034"/>
        <v>Base</v>
      </c>
      <c r="F11912" s="138" t="str">
        <f t="shared" si="1035"/>
        <v>Upgraded</v>
      </c>
      <c r="G11912" s="153"/>
      <c r="H11912" s="210">
        <v>3.5034999999999998</v>
      </c>
      <c r="I11912" s="160" t="s">
        <v>58</v>
      </c>
      <c r="J11912" s="160">
        <v>5.9000000000000003E-4</v>
      </c>
      <c r="K11912" s="160" t="s">
        <v>145</v>
      </c>
      <c r="L11912" s="154" t="str">
        <f>IF(OpenLCAbasic!K11912="CTUh", "Fill in Manually",IF(OR(K11912="Unit", K11912=""), "", INDEX(LookUps!$E$5:$E$12, MATCH(OpenLCAbasic!K11912,LookUps!$D$5:$D$12,0))))</f>
        <v>Particulate Matter Formation Potential (PMFP) - kg PM2.5 eq</v>
      </c>
      <c r="M11912" s="154" t="str">
        <f t="shared" si="1037"/>
        <v>Base_Base_High_Upgraded_Particulate Matter Formation Potential (PMFP) - kg PM2.5 eq_Pre-Anoxic &amp; Swing tank; wastewater treatment unit; at updated plant - US_Without Amendment_Aerated Static Pile</v>
      </c>
    </row>
    <row r="11913" spans="1:13" s="120" customFormat="1" x14ac:dyDescent="0.25">
      <c r="A11913" s="119"/>
      <c r="B11913" s="138" t="str">
        <f t="shared" si="1032"/>
        <v>Aerated Static Pile</v>
      </c>
      <c r="C11913" s="138" t="str">
        <f t="shared" si="1033"/>
        <v>Without Amendment</v>
      </c>
      <c r="D11913" s="138" t="str">
        <f t="shared" si="1036"/>
        <v>Base_High</v>
      </c>
      <c r="E11913" s="138" t="str">
        <f t="shared" si="1034"/>
        <v>Base</v>
      </c>
      <c r="F11913" s="138" t="str">
        <f t="shared" si="1035"/>
        <v>Upgraded</v>
      </c>
      <c r="G11913" s="153"/>
      <c r="H11913" s="210">
        <v>2.7862</v>
      </c>
      <c r="I11913" s="160" t="s">
        <v>53</v>
      </c>
      <c r="J11913" s="160">
        <v>4.6999999999999999E-4</v>
      </c>
      <c r="K11913" s="160" t="s">
        <v>145</v>
      </c>
      <c r="L11913" s="154" t="str">
        <f>IF(OpenLCAbasic!K11913="CTUh", "Fill in Manually",IF(OR(K11913="Unit", K11913=""), "", INDEX(LookUps!$E$5:$E$12, MATCH(OpenLCAbasic!K11913,LookUps!$D$5:$D$12,0))))</f>
        <v>Particulate Matter Formation Potential (PMFP) - kg PM2.5 eq</v>
      </c>
      <c r="M11913" s="154" t="str">
        <f t="shared" si="1037"/>
        <v>Base_Base_High_Upgraded_Particulate Matter Formation Potential (PMFP) - kg PM2.5 eq_Wet Well and Sump Station; wastewater treatment unit; at updated plant - US_Without Amendment_Aerated Static Pile</v>
      </c>
    </row>
    <row r="11914" spans="1:13" s="120" customFormat="1" x14ac:dyDescent="0.25">
      <c r="A11914" s="119"/>
      <c r="B11914" s="138" t="str">
        <f t="shared" si="1032"/>
        <v>Aerated Static Pile</v>
      </c>
      <c r="C11914" s="138" t="str">
        <f t="shared" si="1033"/>
        <v>Without Amendment</v>
      </c>
      <c r="D11914" s="138" t="str">
        <f t="shared" si="1036"/>
        <v>Base_High</v>
      </c>
      <c r="E11914" s="138" t="str">
        <f t="shared" si="1034"/>
        <v>Base</v>
      </c>
      <c r="F11914" s="138" t="str">
        <f t="shared" si="1035"/>
        <v>Upgraded</v>
      </c>
      <c r="G11914" s="153"/>
      <c r="H11914" s="210">
        <v>1.7862</v>
      </c>
      <c r="I11914" s="160" t="s">
        <v>167</v>
      </c>
      <c r="J11914" s="160">
        <v>2.9999999999999997E-4</v>
      </c>
      <c r="K11914" s="160" t="s">
        <v>145</v>
      </c>
      <c r="L11914" s="154" t="str">
        <f>IF(OpenLCAbasic!K11914="CTUh", "Fill in Manually",IF(OR(K11914="Unit", K11914=""), "", INDEX(LookUps!$E$5:$E$12, MATCH(OpenLCAbasic!K11914,LookUps!$D$5:$D$12,0))))</f>
        <v>Particulate Matter Formation Potential (PMFP) - kg PM2.5 eq</v>
      </c>
      <c r="M11914" s="154" t="str">
        <f t="shared" si="1037"/>
        <v>Base_Base_High_Upgraded_Particulate Matter Formation Potential (PMFP) - kg PM2.5 eq_Waste Receiving and Holding; wastewater treatment unit; at updated plant - US_Without Amendment_Aerated Static Pile</v>
      </c>
    </row>
    <row r="11915" spans="1:13" s="120" customFormat="1" x14ac:dyDescent="0.25">
      <c r="A11915" s="119"/>
      <c r="B11915" s="138" t="str">
        <f t="shared" si="1032"/>
        <v>Aerated Static Pile</v>
      </c>
      <c r="C11915" s="138" t="str">
        <f t="shared" si="1033"/>
        <v>Without Amendment</v>
      </c>
      <c r="D11915" s="138" t="str">
        <f t="shared" si="1036"/>
        <v>Base_High</v>
      </c>
      <c r="E11915" s="138" t="str">
        <f t="shared" si="1034"/>
        <v>Base</v>
      </c>
      <c r="F11915" s="138" t="str">
        <f t="shared" si="1035"/>
        <v>Upgraded</v>
      </c>
      <c r="G11915" s="153"/>
      <c r="H11915" s="210">
        <v>1.5926</v>
      </c>
      <c r="I11915" s="160" t="s">
        <v>147</v>
      </c>
      <c r="J11915" s="160">
        <v>2.7E-4</v>
      </c>
      <c r="K11915" s="160" t="s">
        <v>145</v>
      </c>
      <c r="L11915" s="154" t="str">
        <f>IF(OpenLCAbasic!K11915="CTUh", "Fill in Manually",IF(OR(K11915="Unit", K11915=""), "", INDEX(LookUps!$E$5:$E$12, MATCH(OpenLCAbasic!K11915,LookUps!$D$5:$D$12,0))))</f>
        <v>Particulate Matter Formation Potential (PMFP) - kg PM2.5 eq</v>
      </c>
      <c r="M11915" s="154" t="str">
        <f t="shared" si="1037"/>
        <v>Base_Base_High_Upgraded_Particulate Matter Formation Potential (PMFP) - kg PM2.5 eq_Influent Pump Station; wastewater treatment unit; at updated plant - US_Without Amendment_Aerated Static Pile</v>
      </c>
    </row>
    <row r="11916" spans="1:13" s="120" customFormat="1" x14ac:dyDescent="0.25">
      <c r="A11916" s="119"/>
      <c r="B11916" s="138" t="str">
        <f t="shared" si="1032"/>
        <v>Aerated Static Pile</v>
      </c>
      <c r="C11916" s="138" t="str">
        <f t="shared" si="1033"/>
        <v>Without Amendment</v>
      </c>
      <c r="D11916" s="138" t="str">
        <f t="shared" si="1036"/>
        <v>Base_High</v>
      </c>
      <c r="E11916" s="138" t="str">
        <f t="shared" si="1034"/>
        <v>Base</v>
      </c>
      <c r="F11916" s="138" t="str">
        <f t="shared" si="1035"/>
        <v>Upgraded</v>
      </c>
      <c r="G11916" s="153"/>
      <c r="H11916" s="210">
        <v>1.333</v>
      </c>
      <c r="I11916" s="160" t="s">
        <v>435</v>
      </c>
      <c r="J11916" s="160">
        <v>2.2000000000000001E-4</v>
      </c>
      <c r="K11916" s="160" t="s">
        <v>145</v>
      </c>
      <c r="L11916" s="154" t="str">
        <f>IF(OpenLCAbasic!K11916="CTUh", "Fill in Manually",IF(OR(K11916="Unit", K11916=""), "", INDEX(LookUps!$E$5:$E$12, MATCH(OpenLCAbasic!K11916,LookUps!$D$5:$D$12,0))))</f>
        <v>Particulate Matter Formation Potential (PMFP) - kg PM2.5 eq</v>
      </c>
      <c r="M11916" s="154" t="str">
        <f t="shared" si="1037"/>
        <v>Base_Base_High_Upgraded_Particulate Matter Formation Potential (PMFP) - kg PM2.5 eq_Biosolids composting; aerated static pile; wastewater treatment unit; at updated plant - US_Without Amendment_Aerated Static Pile</v>
      </c>
    </row>
    <row r="11917" spans="1:13" s="120" customFormat="1" x14ac:dyDescent="0.25">
      <c r="A11917" s="119"/>
      <c r="B11917" s="138" t="str">
        <f t="shared" si="1032"/>
        <v>Aerated Static Pile</v>
      </c>
      <c r="C11917" s="138" t="str">
        <f t="shared" si="1033"/>
        <v>Without Amendment</v>
      </c>
      <c r="D11917" s="138" t="str">
        <f t="shared" si="1036"/>
        <v>Base_High</v>
      </c>
      <c r="E11917" s="138" t="str">
        <f t="shared" si="1034"/>
        <v>Base</v>
      </c>
      <c r="F11917" s="138" t="str">
        <f t="shared" si="1035"/>
        <v>Upgraded</v>
      </c>
      <c r="G11917" s="153"/>
      <c r="H11917" s="210">
        <v>0.99390000000000001</v>
      </c>
      <c r="I11917" s="160" t="s">
        <v>128</v>
      </c>
      <c r="J11917" s="160">
        <v>1.7000000000000001E-4</v>
      </c>
      <c r="K11917" s="160" t="s">
        <v>145</v>
      </c>
      <c r="L11917" s="154" t="str">
        <f>IF(OpenLCAbasic!K11917="CTUh", "Fill in Manually",IF(OR(K11917="Unit", K11917=""), "", INDEX(LookUps!$E$5:$E$12, MATCH(OpenLCAbasic!K11917,LookUps!$D$5:$D$12,0))))</f>
        <v>Particulate Matter Formation Potential (PMFP) - kg PM2.5 eq</v>
      </c>
      <c r="M11917" s="154" t="str">
        <f t="shared" si="1037"/>
        <v>Base_Base_High_Upgraded_Particulate Matter Formation Potential (PMFP) - kg PM2.5 eq_Wastewater collection; operation and infrastructure; m3 wastewater_Without Amendment_Aerated Static Pile</v>
      </c>
    </row>
    <row r="11918" spans="1:13" s="120" customFormat="1" x14ac:dyDescent="0.25">
      <c r="A11918" s="119"/>
      <c r="B11918" s="138" t="str">
        <f t="shared" si="1032"/>
        <v>Aerated Static Pile</v>
      </c>
      <c r="C11918" s="138" t="str">
        <f t="shared" si="1033"/>
        <v>Without Amendment</v>
      </c>
      <c r="D11918" s="138" t="str">
        <f t="shared" si="1036"/>
        <v>Base_High</v>
      </c>
      <c r="E11918" s="138" t="str">
        <f t="shared" si="1034"/>
        <v>Base</v>
      </c>
      <c r="F11918" s="138" t="str">
        <f t="shared" si="1035"/>
        <v>Upgraded</v>
      </c>
      <c r="G11918" s="153"/>
      <c r="H11918" s="210">
        <v>0.60070000000000001</v>
      </c>
      <c r="I11918" s="160" t="s">
        <v>60</v>
      </c>
      <c r="J11918" s="160">
        <v>1E-4</v>
      </c>
      <c r="K11918" s="160" t="s">
        <v>145</v>
      </c>
      <c r="L11918" s="154" t="str">
        <f>IF(OpenLCAbasic!K11918="CTUh", "Fill in Manually",IF(OR(K11918="Unit", K11918=""), "", INDEX(LookUps!$E$5:$E$12, MATCH(OpenLCAbasic!K11918,LookUps!$D$5:$D$12,0))))</f>
        <v>Particulate Matter Formation Potential (PMFP) - kg PM2.5 eq</v>
      </c>
      <c r="M11918" s="154" t="str">
        <f t="shared" si="1037"/>
        <v>Base_Base_High_Upgraded_Particulate Matter Formation Potential (PMFP) - kg PM2.5 eq_Belt filter press; wastewater treatment unit; at updated plant - US_Without Amendment_Aerated Static Pile</v>
      </c>
    </row>
    <row r="11919" spans="1:13" s="120" customFormat="1" x14ac:dyDescent="0.25">
      <c r="A11919" s="119"/>
      <c r="B11919" s="138" t="str">
        <f t="shared" si="1032"/>
        <v>Aerated Static Pile</v>
      </c>
      <c r="C11919" s="138" t="str">
        <f t="shared" si="1033"/>
        <v>Without Amendment</v>
      </c>
      <c r="D11919" s="138" t="str">
        <f t="shared" si="1036"/>
        <v>Base_High</v>
      </c>
      <c r="E11919" s="138" t="str">
        <f t="shared" si="1034"/>
        <v>Base</v>
      </c>
      <c r="F11919" s="138" t="str">
        <f t="shared" si="1035"/>
        <v>Upgraded</v>
      </c>
      <c r="G11919" s="153"/>
      <c r="H11919" s="210">
        <v>0.56810000000000005</v>
      </c>
      <c r="I11919" s="160" t="s">
        <v>57</v>
      </c>
      <c r="J11919" s="211">
        <v>9.5153800000000004E-5</v>
      </c>
      <c r="K11919" s="160" t="s">
        <v>145</v>
      </c>
      <c r="L11919" s="154" t="str">
        <f>IF(OpenLCAbasic!K11919="CTUh", "Fill in Manually",IF(OR(K11919="Unit", K11919=""), "", INDEX(LookUps!$E$5:$E$12, MATCH(OpenLCAbasic!K11919,LookUps!$D$5:$D$12,0))))</f>
        <v>Particulate Matter Formation Potential (PMFP) - kg PM2.5 eq</v>
      </c>
      <c r="M11919" s="154" t="str">
        <f t="shared" si="1037"/>
        <v>Base_Base_High_Upgraded_Particulate Matter Formation Potential (PMFP) - kg PM2.5 eq_Gravity Belt Thickener; wastewater treatment unit; at updated plant - US_Without Amendment_Aerated Static Pile</v>
      </c>
    </row>
    <row r="11920" spans="1:13" s="120" customFormat="1" x14ac:dyDescent="0.25">
      <c r="A11920" s="119"/>
      <c r="B11920" s="138" t="str">
        <f t="shared" si="1032"/>
        <v>Aerated Static Pile</v>
      </c>
      <c r="C11920" s="138" t="str">
        <f t="shared" si="1033"/>
        <v>Without Amendment</v>
      </c>
      <c r="D11920" s="138" t="str">
        <f t="shared" si="1036"/>
        <v>Base_High</v>
      </c>
      <c r="E11920" s="138" t="str">
        <f t="shared" si="1034"/>
        <v>Base</v>
      </c>
      <c r="F11920" s="138" t="str">
        <f t="shared" si="1035"/>
        <v>Upgraded</v>
      </c>
      <c r="G11920" s="153"/>
      <c r="H11920" s="210">
        <v>0.41760000000000003</v>
      </c>
      <c r="I11920" s="160" t="s">
        <v>59</v>
      </c>
      <c r="J11920" s="211">
        <v>6.9942200000000003E-5</v>
      </c>
      <c r="K11920" s="160" t="s">
        <v>145</v>
      </c>
      <c r="L11920" s="154" t="str">
        <f>IF(OpenLCAbasic!K11920="CTUh", "Fill in Manually",IF(OR(K11920="Unit", K11920=""), "", INDEX(LookUps!$E$5:$E$12, MATCH(OpenLCAbasic!K11920,LookUps!$D$5:$D$12,0))))</f>
        <v>Particulate Matter Formation Potential (PMFP) - kg PM2.5 eq</v>
      </c>
      <c r="M11920" s="154" t="str">
        <f t="shared" si="1037"/>
        <v>Base_Base_High_Upgraded_Particulate Matter Formation Potential (PMFP) - kg PM2.5 eq_Blend Tank; wastewater treatment unit; at updated plant - US_Without Amendment_Aerated Static Pile</v>
      </c>
    </row>
    <row r="11921" spans="1:13" s="120" customFormat="1" x14ac:dyDescent="0.25">
      <c r="A11921" s="119"/>
      <c r="B11921" s="138" t="str">
        <f t="shared" si="1032"/>
        <v>Aerated Static Pile</v>
      </c>
      <c r="C11921" s="138" t="str">
        <f t="shared" si="1033"/>
        <v>Without Amendment</v>
      </c>
      <c r="D11921" s="138" t="str">
        <f t="shared" si="1036"/>
        <v>Base_High</v>
      </c>
      <c r="E11921" s="138" t="str">
        <f t="shared" si="1034"/>
        <v>Base</v>
      </c>
      <c r="F11921" s="138" t="str">
        <f t="shared" si="1035"/>
        <v>Upgraded</v>
      </c>
      <c r="G11921" s="153"/>
      <c r="H11921" s="210">
        <v>0.2984</v>
      </c>
      <c r="I11921" s="160" t="s">
        <v>48</v>
      </c>
      <c r="J11921" s="211">
        <v>4.99741E-5</v>
      </c>
      <c r="K11921" s="160" t="s">
        <v>145</v>
      </c>
      <c r="L11921" s="154" t="str">
        <f>IF(OpenLCAbasic!K11921="CTUh", "Fill in Manually",IF(OR(K11921="Unit", K11921=""), "", INDEX(LookUps!$E$5:$E$12, MATCH(OpenLCAbasic!K11921,LookUps!$D$5:$D$12,0))))</f>
        <v>Particulate Matter Formation Potential (PMFP) - kg PM2.5 eq</v>
      </c>
      <c r="M11921" s="154" t="str">
        <f t="shared" si="1037"/>
        <v>Base_Base_High_Upgraded_Particulate Matter Formation Potential (PMFP) - kg PM2.5 eq_Effluent release; wastewater treatment unit; at surface water; m3 wastewater - US_Without Amendment_Aerated Static Pile</v>
      </c>
    </row>
    <row r="11922" spans="1:13" s="120" customFormat="1" x14ac:dyDescent="0.25">
      <c r="A11922" s="119"/>
      <c r="B11922" s="138" t="str">
        <f t="shared" si="1032"/>
        <v>Aerated Static Pile</v>
      </c>
      <c r="C11922" s="138" t="str">
        <f t="shared" si="1033"/>
        <v>Without Amendment</v>
      </c>
      <c r="D11922" s="138" t="str">
        <f t="shared" si="1036"/>
        <v>Base_High</v>
      </c>
      <c r="E11922" s="138" t="str">
        <f t="shared" si="1034"/>
        <v>Base</v>
      </c>
      <c r="F11922" s="138" t="str">
        <f t="shared" si="1035"/>
        <v>Upgraded</v>
      </c>
      <c r="G11922" s="153"/>
      <c r="H11922" s="210">
        <v>0.2064</v>
      </c>
      <c r="I11922" s="160" t="s">
        <v>168</v>
      </c>
      <c r="J11922" s="211">
        <v>3.4562199999999999E-5</v>
      </c>
      <c r="K11922" s="160" t="s">
        <v>145</v>
      </c>
      <c r="L11922" s="154" t="str">
        <f>IF(OpenLCAbasic!K11922="CTUh", "Fill in Manually",IF(OR(K11922="Unit", K11922=""), "", INDEX(LookUps!$E$5:$E$12, MATCH(OpenLCAbasic!K11922,LookUps!$D$5:$D$12,0))))</f>
        <v>Particulate Matter Formation Potential (PMFP) - kg PM2.5 eq</v>
      </c>
      <c r="M11922" s="154" t="str">
        <f t="shared" si="1037"/>
        <v>Base_Base_High_Upgraded_Particulate Matter Formation Potential (PMFP) - kg PM2.5 eq_ClearCove SCP; wastewater treatment unit; at updated plant - US_Without Amendment_Aerated Static Pile</v>
      </c>
    </row>
    <row r="11923" spans="1:13" s="120" customFormat="1" x14ac:dyDescent="0.25">
      <c r="A11923" s="119"/>
      <c r="B11923" s="138" t="str">
        <f t="shared" si="1032"/>
        <v>Aerated Static Pile</v>
      </c>
      <c r="C11923" s="138" t="str">
        <f t="shared" si="1033"/>
        <v>Without Amendment</v>
      </c>
      <c r="D11923" s="138" t="str">
        <f t="shared" si="1036"/>
        <v>Base_High</v>
      </c>
      <c r="E11923" s="138" t="str">
        <f t="shared" si="1034"/>
        <v>Base</v>
      </c>
      <c r="F11923" s="138" t="str">
        <f t="shared" si="1035"/>
        <v>Upgraded</v>
      </c>
      <c r="G11923" s="153"/>
      <c r="H11923" s="210">
        <v>0.1691</v>
      </c>
      <c r="I11923" s="160" t="s">
        <v>62</v>
      </c>
      <c r="J11923" s="211">
        <v>2.8314500000000001E-5</v>
      </c>
      <c r="K11923" s="160" t="s">
        <v>145</v>
      </c>
      <c r="L11923" s="154" t="str">
        <f>IF(OpenLCAbasic!K11923="CTUh", "Fill in Manually",IF(OR(K11923="Unit", K11923=""), "", INDEX(LookUps!$E$5:$E$12, MATCH(OpenLCAbasic!K11923,LookUps!$D$5:$D$12,0))))</f>
        <v>Particulate Matter Formation Potential (PMFP) - kg PM2.5 eq</v>
      </c>
      <c r="M11923" s="154" t="str">
        <f t="shared" si="1037"/>
        <v>Base_Base_High_Upgraded_Particulate Matter Formation Potential (PMFP) - kg PM2.5 eq_Land application of compost; wastewater treatment unit; at updated plant - US_Without Amendment_Aerated Static Pile</v>
      </c>
    </row>
    <row r="11924" spans="1:13" s="120" customFormat="1" x14ac:dyDescent="0.25">
      <c r="A11924" s="119"/>
      <c r="B11924" s="138" t="str">
        <f t="shared" si="1032"/>
        <v>Aerated Static Pile</v>
      </c>
      <c r="C11924" s="138" t="str">
        <f t="shared" si="1033"/>
        <v>Without Amendment</v>
      </c>
      <c r="D11924" s="138" t="str">
        <f t="shared" si="1036"/>
        <v>Base_High</v>
      </c>
      <c r="E11924" s="138" t="str">
        <f t="shared" si="1034"/>
        <v>Base</v>
      </c>
      <c r="F11924" s="138" t="str">
        <f t="shared" si="1035"/>
        <v>Upgraded</v>
      </c>
      <c r="G11924" s="153"/>
      <c r="H11924" s="210">
        <v>5.2699999999999997E-2</v>
      </c>
      <c r="I11924" s="160" t="s">
        <v>148</v>
      </c>
      <c r="J11924" s="211">
        <v>8.8212999999999997E-6</v>
      </c>
      <c r="K11924" s="160" t="s">
        <v>145</v>
      </c>
      <c r="L11924" s="154" t="str">
        <f>IF(OpenLCAbasic!K11924="CTUh", "Fill in Manually",IF(OR(K11924="Unit", K11924=""), "", INDEX(LookUps!$E$5:$E$12, MATCH(OpenLCAbasic!K11924,LookUps!$D$5:$D$12,0))))</f>
        <v>Particulate Matter Formation Potential (PMFP) - kg PM2.5 eq</v>
      </c>
      <c r="M11924" s="154" t="str">
        <f t="shared" si="1037"/>
        <v>Base_Base_High_Upgraded_Particulate Matter Formation Potential (PMFP) - kg PM2.5 eq_Control Building; at upgraded wastewater treatment plant - US_Without Amendment_Aerated Static Pile</v>
      </c>
    </row>
    <row r="11925" spans="1:13" s="120" customFormat="1" x14ac:dyDescent="0.25">
      <c r="A11925" s="119"/>
      <c r="B11925" s="138" t="str">
        <f t="shared" si="1032"/>
        <v>Aerated Static Pile</v>
      </c>
      <c r="C11925" s="138" t="str">
        <f t="shared" si="1033"/>
        <v>Without Amendment</v>
      </c>
      <c r="D11925" s="138" t="str">
        <f t="shared" si="1036"/>
        <v>Base_High</v>
      </c>
      <c r="E11925" s="138" t="str">
        <f t="shared" si="1034"/>
        <v>Base</v>
      </c>
      <c r="F11925" s="138" t="str">
        <f t="shared" si="1035"/>
        <v>Upgraded</v>
      </c>
      <c r="G11925" s="153"/>
      <c r="H11925" s="210">
        <v>-31.2987</v>
      </c>
      <c r="I11925" s="160" t="s">
        <v>149</v>
      </c>
      <c r="J11925" s="160">
        <v>-5.2399999999999999E-3</v>
      </c>
      <c r="K11925" s="160" t="s">
        <v>145</v>
      </c>
      <c r="L11925" s="154" t="str">
        <f>IF(OpenLCAbasic!K11925="CTUh", "Fill in Manually",IF(OR(K11925="Unit", K11925=""), "", INDEX(LookUps!$E$5:$E$12, MATCH(OpenLCAbasic!K11925,LookUps!$D$5:$D$12,0))))</f>
        <v>Particulate Matter Formation Potential (PMFP) - kg PM2.5 eq</v>
      </c>
      <c r="M11925" s="154" t="str">
        <f t="shared" si="1037"/>
        <v>Base_Base_High_Upgraded_Particulate Matter Formation Potential (PMFP) - kg PM2.5 eq_Anaerobic Digestion; wastewater treatment unit; at updated plant - US_Without Amendment_Aerated Static Pile</v>
      </c>
    </row>
    <row r="11926" spans="1:13" s="120" customFormat="1" x14ac:dyDescent="0.25">
      <c r="A11926" s="119"/>
      <c r="B11926" s="138" t="str">
        <f t="shared" si="1032"/>
        <v/>
      </c>
      <c r="C11926" s="138" t="str">
        <f t="shared" si="1033"/>
        <v/>
      </c>
      <c r="D11926" s="138" t="str">
        <f t="shared" si="1036"/>
        <v/>
      </c>
      <c r="E11926" s="138" t="str">
        <f t="shared" si="1034"/>
        <v/>
      </c>
      <c r="F11926" s="138" t="str">
        <f t="shared" si="1035"/>
        <v/>
      </c>
      <c r="G11926" s="153" t="s">
        <v>51</v>
      </c>
      <c r="H11926" s="160"/>
      <c r="I11926" s="160" t="s">
        <v>47</v>
      </c>
      <c r="J11926" s="160" t="s">
        <v>52</v>
      </c>
      <c r="K11926" s="160" t="s">
        <v>27</v>
      </c>
      <c r="L11926" s="154" t="str">
        <f>IF(OpenLCAbasic!K11926="CTUh", "Fill in Manually",IF(OR(K11926="Unit", K11926=""), "", INDEX(LookUps!$E$5:$E$12, MATCH(OpenLCAbasic!K11926,LookUps!$D$5:$D$12,0))))</f>
        <v/>
      </c>
      <c r="M11926" s="154" t="str">
        <f t="shared" si="1037"/>
        <v>____Process__</v>
      </c>
    </row>
    <row r="11927" spans="1:13" s="120" customFormat="1" x14ac:dyDescent="0.25">
      <c r="A11927" s="119"/>
      <c r="B11927" s="138" t="str">
        <f t="shared" si="1032"/>
        <v>Aerated Static Pile</v>
      </c>
      <c r="C11927" s="138" t="str">
        <f t="shared" si="1033"/>
        <v>Without Amendment</v>
      </c>
      <c r="D11927" s="138" t="str">
        <f t="shared" si="1036"/>
        <v>Base_High</v>
      </c>
      <c r="E11927" s="138" t="str">
        <f t="shared" si="1034"/>
        <v>Base</v>
      </c>
      <c r="F11927" s="138" t="str">
        <f t="shared" si="1035"/>
        <v>Upgraded</v>
      </c>
      <c r="G11927" s="153"/>
      <c r="H11927" s="210">
        <v>12.5341</v>
      </c>
      <c r="I11927" s="160" t="s">
        <v>55</v>
      </c>
      <c r="J11927" s="160">
        <v>0.16577</v>
      </c>
      <c r="K11927" s="160" t="s">
        <v>25</v>
      </c>
      <c r="L11927" s="154" t="str">
        <f>IF(OpenLCAbasic!K11927="CTUh", "Fill in Manually",IF(OR(K11927="Unit", K11927=""), "", INDEX(LookUps!$E$5:$E$12, MATCH(OpenLCAbasic!K11927,LookUps!$D$5:$D$12,0))))</f>
        <v>Smog Formation Potential (SFP) - kg O3 eq</v>
      </c>
      <c r="M11927" s="154" t="str">
        <f t="shared" si="1037"/>
        <v>Base_Base_High_Upgraded_Smog Formation Potential (SFP) - kg O3 eq_Aeration Tanks; wastewater treatment unit; at updated plant - US_Without Amendment_Aerated Static Pile</v>
      </c>
    </row>
    <row r="11928" spans="1:13" s="120" customFormat="1" x14ac:dyDescent="0.25">
      <c r="A11928" s="119"/>
      <c r="B11928" s="138" t="str">
        <f t="shared" si="1032"/>
        <v>Aerated Static Pile</v>
      </c>
      <c r="C11928" s="138" t="str">
        <f t="shared" si="1033"/>
        <v>Without Amendment</v>
      </c>
      <c r="D11928" s="138" t="str">
        <f t="shared" si="1036"/>
        <v>Base_High</v>
      </c>
      <c r="E11928" s="138" t="str">
        <f t="shared" si="1034"/>
        <v>Base</v>
      </c>
      <c r="F11928" s="138" t="str">
        <f t="shared" si="1035"/>
        <v>Upgraded</v>
      </c>
      <c r="G11928" s="153"/>
      <c r="H11928" s="210">
        <v>3.6349</v>
      </c>
      <c r="I11928" s="160" t="s">
        <v>54</v>
      </c>
      <c r="J11928" s="160">
        <v>4.8070000000000002E-2</v>
      </c>
      <c r="K11928" s="160" t="s">
        <v>25</v>
      </c>
      <c r="L11928" s="154" t="str">
        <f>IF(OpenLCAbasic!K11928="CTUh", "Fill in Manually",IF(OR(K11928="Unit", K11928=""), "", INDEX(LookUps!$E$5:$E$12, MATCH(OpenLCAbasic!K11928,LookUps!$D$5:$D$12,0))))</f>
        <v>Smog Formation Potential (SFP) - kg O3 eq</v>
      </c>
      <c r="M11928" s="154" t="str">
        <f t="shared" si="1037"/>
        <v>Base_Base_High_Upgraded_Smog Formation Potential (SFP) - kg O3 eq_Clear Cove Primary Clarification; wastewater treatment unit; at updated plant - US_Without Amendment_Aerated Static Pile</v>
      </c>
    </row>
    <row r="11929" spans="1:13" s="120" customFormat="1" x14ac:dyDescent="0.25">
      <c r="A11929" s="119"/>
      <c r="B11929" s="138" t="str">
        <f t="shared" si="1032"/>
        <v>Aerated Static Pile</v>
      </c>
      <c r="C11929" s="138" t="str">
        <f t="shared" si="1033"/>
        <v>Without Amendment</v>
      </c>
      <c r="D11929" s="138" t="str">
        <f t="shared" si="1036"/>
        <v>Base_High</v>
      </c>
      <c r="E11929" s="138" t="str">
        <f t="shared" si="1034"/>
        <v>Base</v>
      </c>
      <c r="F11929" s="138" t="str">
        <f t="shared" si="1035"/>
        <v>Upgraded</v>
      </c>
      <c r="G11929" s="153"/>
      <c r="H11929" s="210">
        <v>3.1589999999999998</v>
      </c>
      <c r="I11929" s="160" t="s">
        <v>58</v>
      </c>
      <c r="J11929" s="160">
        <v>4.1779999999999998E-2</v>
      </c>
      <c r="K11929" s="160" t="s">
        <v>25</v>
      </c>
      <c r="L11929" s="154" t="str">
        <f>IF(OpenLCAbasic!K11929="CTUh", "Fill in Manually",IF(OR(K11929="Unit", K11929=""), "", INDEX(LookUps!$E$5:$E$12, MATCH(OpenLCAbasic!K11929,LookUps!$D$5:$D$12,0))))</f>
        <v>Smog Formation Potential (SFP) - kg O3 eq</v>
      </c>
      <c r="M11929" s="154" t="str">
        <f t="shared" si="1037"/>
        <v>Base_Base_High_Upgraded_Smog Formation Potential (SFP) - kg O3 eq_Pre-Anoxic &amp; Swing tank; wastewater treatment unit; at updated plant - US_Without Amendment_Aerated Static Pile</v>
      </c>
    </row>
    <row r="11930" spans="1:13" s="120" customFormat="1" x14ac:dyDescent="0.25">
      <c r="A11930" s="119"/>
      <c r="B11930" s="138" t="str">
        <f t="shared" si="1032"/>
        <v>Aerated Static Pile</v>
      </c>
      <c r="C11930" s="138" t="str">
        <f t="shared" si="1033"/>
        <v>Without Amendment</v>
      </c>
      <c r="D11930" s="138" t="str">
        <f t="shared" si="1036"/>
        <v>Base_High</v>
      </c>
      <c r="E11930" s="138" t="str">
        <f t="shared" si="1034"/>
        <v>Base</v>
      </c>
      <c r="F11930" s="138" t="str">
        <f t="shared" si="1035"/>
        <v>Upgraded</v>
      </c>
      <c r="G11930" s="153"/>
      <c r="H11930" s="210">
        <v>2.5045999999999999</v>
      </c>
      <c r="I11930" s="160" t="s">
        <v>53</v>
      </c>
      <c r="J11930" s="160">
        <v>3.313E-2</v>
      </c>
      <c r="K11930" s="160" t="s">
        <v>25</v>
      </c>
      <c r="L11930" s="154" t="str">
        <f>IF(OpenLCAbasic!K11930="CTUh", "Fill in Manually",IF(OR(K11930="Unit", K11930=""), "", INDEX(LookUps!$E$5:$E$12, MATCH(OpenLCAbasic!K11930,LookUps!$D$5:$D$12,0))))</f>
        <v>Smog Formation Potential (SFP) - kg O3 eq</v>
      </c>
      <c r="M11930" s="154" t="str">
        <f t="shared" si="1037"/>
        <v>Base_Base_High_Upgraded_Smog Formation Potential (SFP) - kg O3 eq_Wet Well and Sump Station; wastewater treatment unit; at updated plant - US_Without Amendment_Aerated Static Pile</v>
      </c>
    </row>
    <row r="11931" spans="1:13" s="120" customFormat="1" x14ac:dyDescent="0.25">
      <c r="A11931" s="119"/>
      <c r="B11931" s="138" t="str">
        <f t="shared" si="1032"/>
        <v>Aerated Static Pile</v>
      </c>
      <c r="C11931" s="138" t="str">
        <f t="shared" si="1033"/>
        <v>Without Amendment</v>
      </c>
      <c r="D11931" s="138" t="str">
        <f t="shared" si="1036"/>
        <v>Base_High</v>
      </c>
      <c r="E11931" s="138" t="str">
        <f t="shared" si="1034"/>
        <v>Base</v>
      </c>
      <c r="F11931" s="138" t="str">
        <f t="shared" si="1035"/>
        <v>Upgraded</v>
      </c>
      <c r="G11931" s="153"/>
      <c r="H11931" s="210">
        <v>2.113</v>
      </c>
      <c r="I11931" s="160" t="s">
        <v>167</v>
      </c>
      <c r="J11931" s="160">
        <v>2.7949999999999999E-2</v>
      </c>
      <c r="K11931" s="160" t="s">
        <v>25</v>
      </c>
      <c r="L11931" s="154" t="str">
        <f>IF(OpenLCAbasic!K11931="CTUh", "Fill in Manually",IF(OR(K11931="Unit", K11931=""), "", INDEX(LookUps!$E$5:$E$12, MATCH(OpenLCAbasic!K11931,LookUps!$D$5:$D$12,0))))</f>
        <v>Smog Formation Potential (SFP) - kg O3 eq</v>
      </c>
      <c r="M11931" s="154" t="str">
        <f t="shared" si="1037"/>
        <v>Base_Base_High_Upgraded_Smog Formation Potential (SFP) - kg O3 eq_Waste Receiving and Holding; wastewater treatment unit; at updated plant - US_Without Amendment_Aerated Static Pile</v>
      </c>
    </row>
    <row r="11932" spans="1:13" s="120" customFormat="1" x14ac:dyDescent="0.25">
      <c r="A11932" s="119"/>
      <c r="B11932" s="138" t="str">
        <f t="shared" si="1032"/>
        <v>Aerated Static Pile</v>
      </c>
      <c r="C11932" s="138" t="str">
        <f t="shared" si="1033"/>
        <v>Without Amendment</v>
      </c>
      <c r="D11932" s="138" t="str">
        <f t="shared" si="1036"/>
        <v>Base_High</v>
      </c>
      <c r="E11932" s="138" t="str">
        <f t="shared" si="1034"/>
        <v>Base</v>
      </c>
      <c r="F11932" s="138" t="str">
        <f t="shared" si="1035"/>
        <v>Upgraded</v>
      </c>
      <c r="G11932" s="153"/>
      <c r="H11932" s="210">
        <v>1.4666999999999999</v>
      </c>
      <c r="I11932" s="160" t="s">
        <v>147</v>
      </c>
      <c r="J11932" s="160">
        <v>1.9400000000000001E-2</v>
      </c>
      <c r="K11932" s="160" t="s">
        <v>25</v>
      </c>
      <c r="L11932" s="154" t="str">
        <f>IF(OpenLCAbasic!K11932="CTUh", "Fill in Manually",IF(OR(K11932="Unit", K11932=""), "", INDEX(LookUps!$E$5:$E$12, MATCH(OpenLCAbasic!K11932,LookUps!$D$5:$D$12,0))))</f>
        <v>Smog Formation Potential (SFP) - kg O3 eq</v>
      </c>
      <c r="M11932" s="154" t="str">
        <f t="shared" si="1037"/>
        <v>Base_Base_High_Upgraded_Smog Formation Potential (SFP) - kg O3 eq_Influent Pump Station; wastewater treatment unit; at updated plant - US_Without Amendment_Aerated Static Pile</v>
      </c>
    </row>
    <row r="11933" spans="1:13" s="120" customFormat="1" x14ac:dyDescent="0.25">
      <c r="A11933" s="119"/>
      <c r="B11933" s="138" t="str">
        <f t="shared" si="1032"/>
        <v>Aerated Static Pile</v>
      </c>
      <c r="C11933" s="138" t="str">
        <f t="shared" si="1033"/>
        <v>Without Amendment</v>
      </c>
      <c r="D11933" s="138" t="str">
        <f t="shared" si="1036"/>
        <v>Base_High</v>
      </c>
      <c r="E11933" s="138" t="str">
        <f t="shared" si="1034"/>
        <v>Base</v>
      </c>
      <c r="F11933" s="138" t="str">
        <f t="shared" si="1035"/>
        <v>Upgraded</v>
      </c>
      <c r="G11933" s="153"/>
      <c r="H11933" s="210">
        <v>1.1707000000000001</v>
      </c>
      <c r="I11933" s="160" t="s">
        <v>435</v>
      </c>
      <c r="J11933" s="160">
        <v>1.5480000000000001E-2</v>
      </c>
      <c r="K11933" s="160" t="s">
        <v>25</v>
      </c>
      <c r="L11933" s="154" t="str">
        <f>IF(OpenLCAbasic!K11933="CTUh", "Fill in Manually",IF(OR(K11933="Unit", K11933=""), "", INDEX(LookUps!$E$5:$E$12, MATCH(OpenLCAbasic!K11933,LookUps!$D$5:$D$12,0))))</f>
        <v>Smog Formation Potential (SFP) - kg O3 eq</v>
      </c>
      <c r="M11933" s="154" t="str">
        <f t="shared" si="1037"/>
        <v>Base_Base_High_Upgraded_Smog Formation Potential (SFP) - kg O3 eq_Biosolids composting; aerated static pile; wastewater treatment unit; at updated plant - US_Without Amendment_Aerated Static Pile</v>
      </c>
    </row>
    <row r="11934" spans="1:13" s="120" customFormat="1" x14ac:dyDescent="0.25">
      <c r="A11934" s="119"/>
      <c r="B11934" s="138" t="str">
        <f t="shared" si="1032"/>
        <v>Aerated Static Pile</v>
      </c>
      <c r="C11934" s="138" t="str">
        <f t="shared" si="1033"/>
        <v>Without Amendment</v>
      </c>
      <c r="D11934" s="138" t="str">
        <f t="shared" si="1036"/>
        <v>Base_High</v>
      </c>
      <c r="E11934" s="138" t="str">
        <f t="shared" si="1034"/>
        <v>Base</v>
      </c>
      <c r="F11934" s="138" t="str">
        <f t="shared" si="1035"/>
        <v>Upgraded</v>
      </c>
      <c r="G11934" s="153"/>
      <c r="H11934" s="210">
        <v>0.90110000000000001</v>
      </c>
      <c r="I11934" s="160" t="s">
        <v>128</v>
      </c>
      <c r="J11934" s="160">
        <v>1.192E-2</v>
      </c>
      <c r="K11934" s="160" t="s">
        <v>25</v>
      </c>
      <c r="L11934" s="154" t="str">
        <f>IF(OpenLCAbasic!K11934="CTUh", "Fill in Manually",IF(OR(K11934="Unit", K11934=""), "", INDEX(LookUps!$E$5:$E$12, MATCH(OpenLCAbasic!K11934,LookUps!$D$5:$D$12,0))))</f>
        <v>Smog Formation Potential (SFP) - kg O3 eq</v>
      </c>
      <c r="M11934" s="154" t="str">
        <f t="shared" si="1037"/>
        <v>Base_Base_High_Upgraded_Smog Formation Potential (SFP) - kg O3 eq_Wastewater collection; operation and infrastructure; m3 wastewater_Without Amendment_Aerated Static Pile</v>
      </c>
    </row>
    <row r="11935" spans="1:13" s="120" customFormat="1" x14ac:dyDescent="0.25">
      <c r="A11935" s="119"/>
      <c r="B11935" s="138" t="str">
        <f t="shared" si="1032"/>
        <v>Aerated Static Pile</v>
      </c>
      <c r="C11935" s="138" t="str">
        <f t="shared" si="1033"/>
        <v>Without Amendment</v>
      </c>
      <c r="D11935" s="138" t="str">
        <f t="shared" si="1036"/>
        <v>Base_High</v>
      </c>
      <c r="E11935" s="138" t="str">
        <f t="shared" si="1034"/>
        <v>Base</v>
      </c>
      <c r="F11935" s="138" t="str">
        <f t="shared" si="1035"/>
        <v>Upgraded</v>
      </c>
      <c r="G11935" s="153"/>
      <c r="H11935" s="210">
        <v>0.53510000000000002</v>
      </c>
      <c r="I11935" s="160" t="s">
        <v>60</v>
      </c>
      <c r="J11935" s="160">
        <v>7.0800000000000004E-3</v>
      </c>
      <c r="K11935" s="160" t="s">
        <v>25</v>
      </c>
      <c r="L11935" s="154" t="str">
        <f>IF(OpenLCAbasic!K11935="CTUh", "Fill in Manually",IF(OR(K11935="Unit", K11935=""), "", INDEX(LookUps!$E$5:$E$12, MATCH(OpenLCAbasic!K11935,LookUps!$D$5:$D$12,0))))</f>
        <v>Smog Formation Potential (SFP) - kg O3 eq</v>
      </c>
      <c r="M11935" s="154" t="str">
        <f t="shared" si="1037"/>
        <v>Base_Base_High_Upgraded_Smog Formation Potential (SFP) - kg O3 eq_Belt filter press; wastewater treatment unit; at updated plant - US_Without Amendment_Aerated Static Pile</v>
      </c>
    </row>
    <row r="11936" spans="1:13" s="120" customFormat="1" x14ac:dyDescent="0.25">
      <c r="A11936" s="119"/>
      <c r="B11936" s="138" t="str">
        <f t="shared" si="1032"/>
        <v>Aerated Static Pile</v>
      </c>
      <c r="C11936" s="138" t="str">
        <f t="shared" si="1033"/>
        <v>Without Amendment</v>
      </c>
      <c r="D11936" s="138" t="str">
        <f t="shared" si="1036"/>
        <v>Base_High</v>
      </c>
      <c r="E11936" s="138" t="str">
        <f t="shared" si="1034"/>
        <v>Base</v>
      </c>
      <c r="F11936" s="138" t="str">
        <f t="shared" si="1035"/>
        <v>Upgraded</v>
      </c>
      <c r="G11936" s="153"/>
      <c r="H11936" s="210">
        <v>0.503</v>
      </c>
      <c r="I11936" s="160" t="s">
        <v>57</v>
      </c>
      <c r="J11936" s="160">
        <v>6.6499999999999997E-3</v>
      </c>
      <c r="K11936" s="160" t="s">
        <v>25</v>
      </c>
      <c r="L11936" s="154" t="str">
        <f>IF(OpenLCAbasic!K11936="CTUh", "Fill in Manually",IF(OR(K11936="Unit", K11936=""), "", INDEX(LookUps!$E$5:$E$12, MATCH(OpenLCAbasic!K11936,LookUps!$D$5:$D$12,0))))</f>
        <v>Smog Formation Potential (SFP) - kg O3 eq</v>
      </c>
      <c r="M11936" s="154" t="str">
        <f t="shared" si="1037"/>
        <v>Base_Base_High_Upgraded_Smog Formation Potential (SFP) - kg O3 eq_Gravity Belt Thickener; wastewater treatment unit; at updated plant - US_Without Amendment_Aerated Static Pile</v>
      </c>
    </row>
    <row r="11937" spans="1:13" s="120" customFormat="1" x14ac:dyDescent="0.25">
      <c r="A11937" s="119"/>
      <c r="B11937" s="138" t="str">
        <f t="shared" si="1032"/>
        <v>Aerated Static Pile</v>
      </c>
      <c r="C11937" s="138" t="str">
        <f t="shared" si="1033"/>
        <v>Without Amendment</v>
      </c>
      <c r="D11937" s="138" t="str">
        <f t="shared" si="1036"/>
        <v>Base_High</v>
      </c>
      <c r="E11937" s="138" t="str">
        <f t="shared" si="1034"/>
        <v>Base</v>
      </c>
      <c r="F11937" s="138" t="str">
        <f t="shared" si="1035"/>
        <v>Upgraded</v>
      </c>
      <c r="G11937" s="153"/>
      <c r="H11937" s="210">
        <v>0.376</v>
      </c>
      <c r="I11937" s="160" t="s">
        <v>59</v>
      </c>
      <c r="J11937" s="160">
        <v>4.9699999999999996E-3</v>
      </c>
      <c r="K11937" s="160" t="s">
        <v>25</v>
      </c>
      <c r="L11937" s="154" t="str">
        <f>IF(OpenLCAbasic!K11937="CTUh", "Fill in Manually",IF(OR(K11937="Unit", K11937=""), "", INDEX(LookUps!$E$5:$E$12, MATCH(OpenLCAbasic!K11937,LookUps!$D$5:$D$12,0))))</f>
        <v>Smog Formation Potential (SFP) - kg O3 eq</v>
      </c>
      <c r="M11937" s="154" t="str">
        <f t="shared" si="1037"/>
        <v>Base_Base_High_Upgraded_Smog Formation Potential (SFP) - kg O3 eq_Blend Tank; wastewater treatment unit; at updated plant - US_Without Amendment_Aerated Static Pile</v>
      </c>
    </row>
    <row r="11938" spans="1:13" s="120" customFormat="1" x14ac:dyDescent="0.25">
      <c r="A11938" s="119"/>
      <c r="B11938" s="138" t="str">
        <f t="shared" si="1032"/>
        <v>Aerated Static Pile</v>
      </c>
      <c r="C11938" s="138" t="str">
        <f t="shared" si="1033"/>
        <v>Without Amendment</v>
      </c>
      <c r="D11938" s="138" t="str">
        <f t="shared" si="1036"/>
        <v>Base_High</v>
      </c>
      <c r="E11938" s="138" t="str">
        <f t="shared" si="1034"/>
        <v>Base</v>
      </c>
      <c r="F11938" s="138" t="str">
        <f t="shared" si="1035"/>
        <v>Upgraded</v>
      </c>
      <c r="G11938" s="153"/>
      <c r="H11938" s="210">
        <v>0.25600000000000001</v>
      </c>
      <c r="I11938" s="160" t="s">
        <v>48</v>
      </c>
      <c r="J11938" s="160">
        <v>3.3899999999999998E-3</v>
      </c>
      <c r="K11938" s="160" t="s">
        <v>25</v>
      </c>
      <c r="L11938" s="154" t="str">
        <f>IF(OpenLCAbasic!K11938="CTUh", "Fill in Manually",IF(OR(K11938="Unit", K11938=""), "", INDEX(LookUps!$E$5:$E$12, MATCH(OpenLCAbasic!K11938,LookUps!$D$5:$D$12,0))))</f>
        <v>Smog Formation Potential (SFP) - kg O3 eq</v>
      </c>
      <c r="M11938" s="154" t="str">
        <f t="shared" si="1037"/>
        <v>Base_Base_High_Upgraded_Smog Formation Potential (SFP) - kg O3 eq_Effluent release; wastewater treatment unit; at surface water; m3 wastewater - US_Without Amendment_Aerated Static Pile</v>
      </c>
    </row>
    <row r="11939" spans="1:13" s="120" customFormat="1" x14ac:dyDescent="0.25">
      <c r="A11939" s="119"/>
      <c r="B11939" s="138" t="str">
        <f t="shared" si="1032"/>
        <v>Aerated Static Pile</v>
      </c>
      <c r="C11939" s="138" t="str">
        <f t="shared" si="1033"/>
        <v>Without Amendment</v>
      </c>
      <c r="D11939" s="138" t="str">
        <f t="shared" si="1036"/>
        <v>Base_High</v>
      </c>
      <c r="E11939" s="138" t="str">
        <f t="shared" si="1034"/>
        <v>Base</v>
      </c>
      <c r="F11939" s="138" t="str">
        <f t="shared" si="1035"/>
        <v>Upgraded</v>
      </c>
      <c r="G11939" s="153"/>
      <c r="H11939" s="210">
        <v>0.18559999999999999</v>
      </c>
      <c r="I11939" s="160" t="s">
        <v>168</v>
      </c>
      <c r="J11939" s="160">
        <v>2.4599999999999999E-3</v>
      </c>
      <c r="K11939" s="160" t="s">
        <v>25</v>
      </c>
      <c r="L11939" s="154" t="str">
        <f>IF(OpenLCAbasic!K11939="CTUh", "Fill in Manually",IF(OR(K11939="Unit", K11939=""), "", INDEX(LookUps!$E$5:$E$12, MATCH(OpenLCAbasic!K11939,LookUps!$D$5:$D$12,0))))</f>
        <v>Smog Formation Potential (SFP) - kg O3 eq</v>
      </c>
      <c r="M11939" s="154" t="str">
        <f t="shared" si="1037"/>
        <v>Base_Base_High_Upgraded_Smog Formation Potential (SFP) - kg O3 eq_ClearCove SCP; wastewater treatment unit; at updated plant - US_Without Amendment_Aerated Static Pile</v>
      </c>
    </row>
    <row r="11940" spans="1:13" s="120" customFormat="1" x14ac:dyDescent="0.25">
      <c r="A11940" s="119"/>
      <c r="B11940" s="138" t="str">
        <f t="shared" si="1032"/>
        <v>Aerated Static Pile</v>
      </c>
      <c r="C11940" s="138" t="str">
        <f t="shared" si="1033"/>
        <v>Without Amendment</v>
      </c>
      <c r="D11940" s="138" t="str">
        <f t="shared" si="1036"/>
        <v>Base_High</v>
      </c>
      <c r="E11940" s="138" t="str">
        <f t="shared" si="1034"/>
        <v>Base</v>
      </c>
      <c r="F11940" s="138" t="str">
        <f t="shared" si="1035"/>
        <v>Upgraded</v>
      </c>
      <c r="G11940" s="153"/>
      <c r="H11940" s="210">
        <v>4.07E-2</v>
      </c>
      <c r="I11940" s="160" t="s">
        <v>148</v>
      </c>
      <c r="J11940" s="160">
        <v>5.4000000000000001E-4</v>
      </c>
      <c r="K11940" s="160" t="s">
        <v>25</v>
      </c>
      <c r="L11940" s="154" t="str">
        <f>IF(OpenLCAbasic!K11940="CTUh", "Fill in Manually",IF(OR(K11940="Unit", K11940=""), "", INDEX(LookUps!$E$5:$E$12, MATCH(OpenLCAbasic!K11940,LookUps!$D$5:$D$12,0))))</f>
        <v>Smog Formation Potential (SFP) - kg O3 eq</v>
      </c>
      <c r="M11940" s="154" t="str">
        <f t="shared" si="1037"/>
        <v>Base_Base_High_Upgraded_Smog Formation Potential (SFP) - kg O3 eq_Control Building; at upgraded wastewater treatment plant - US_Without Amendment_Aerated Static Pile</v>
      </c>
    </row>
    <row r="11941" spans="1:13" s="120" customFormat="1" x14ac:dyDescent="0.25">
      <c r="A11941" s="119"/>
      <c r="B11941" s="138" t="str">
        <f t="shared" si="1032"/>
        <v>Aerated Static Pile</v>
      </c>
      <c r="C11941" s="138" t="str">
        <f t="shared" si="1033"/>
        <v>Without Amendment</v>
      </c>
      <c r="D11941" s="138" t="str">
        <f t="shared" si="1036"/>
        <v>Base_High</v>
      </c>
      <c r="E11941" s="138" t="str">
        <f t="shared" si="1034"/>
        <v>Base</v>
      </c>
      <c r="F11941" s="138" t="str">
        <f t="shared" si="1035"/>
        <v>Upgraded</v>
      </c>
      <c r="G11941" s="153"/>
      <c r="H11941" s="210">
        <v>-0.12670000000000001</v>
      </c>
      <c r="I11941" s="160" t="s">
        <v>62</v>
      </c>
      <c r="J11941" s="160">
        <v>-1.6800000000000001E-3</v>
      </c>
      <c r="K11941" s="160" t="s">
        <v>25</v>
      </c>
      <c r="L11941" s="154" t="str">
        <f>IF(OpenLCAbasic!K11941="CTUh", "Fill in Manually",IF(OR(K11941="Unit", K11941=""), "", INDEX(LookUps!$E$5:$E$12, MATCH(OpenLCAbasic!K11941,LookUps!$D$5:$D$12,0))))</f>
        <v>Smog Formation Potential (SFP) - kg O3 eq</v>
      </c>
      <c r="M11941" s="154" t="str">
        <f t="shared" si="1037"/>
        <v>Base_Base_High_Upgraded_Smog Formation Potential (SFP) - kg O3 eq_Land application of compost; wastewater treatment unit; at updated plant - US_Without Amendment_Aerated Static Pile</v>
      </c>
    </row>
    <row r="11942" spans="1:13" s="120" customFormat="1" x14ac:dyDescent="0.25">
      <c r="A11942" s="119"/>
      <c r="B11942" s="138" t="str">
        <f t="shared" si="1032"/>
        <v>Aerated Static Pile</v>
      </c>
      <c r="C11942" s="138" t="str">
        <f t="shared" si="1033"/>
        <v>Without Amendment</v>
      </c>
      <c r="D11942" s="138" t="str">
        <f t="shared" si="1036"/>
        <v>Base_High</v>
      </c>
      <c r="E11942" s="138" t="str">
        <f t="shared" si="1034"/>
        <v>Base</v>
      </c>
      <c r="F11942" s="138" t="str">
        <f t="shared" si="1035"/>
        <v>Upgraded</v>
      </c>
      <c r="G11942" s="153"/>
      <c r="H11942" s="210">
        <v>-28.253799999999998</v>
      </c>
      <c r="I11942" s="160" t="s">
        <v>149</v>
      </c>
      <c r="J11942" s="160">
        <v>-0.37367</v>
      </c>
      <c r="K11942" s="160" t="s">
        <v>25</v>
      </c>
      <c r="L11942" s="154" t="str">
        <f>IF(OpenLCAbasic!K11942="CTUh", "Fill in Manually",IF(OR(K11942="Unit", K11942=""), "", INDEX(LookUps!$E$5:$E$12, MATCH(OpenLCAbasic!K11942,LookUps!$D$5:$D$12,0))))</f>
        <v>Smog Formation Potential (SFP) - kg O3 eq</v>
      </c>
      <c r="M11942" s="154" t="str">
        <f t="shared" si="1037"/>
        <v>Base_Base_High_Upgraded_Smog Formation Potential (SFP) - kg O3 eq_Anaerobic Digestion; wastewater treatment unit; at updated plant - US_Without Amendment_Aerated Static Pile</v>
      </c>
    </row>
    <row r="11943" spans="1:13" s="120" customFormat="1" x14ac:dyDescent="0.25">
      <c r="A11943" s="119"/>
      <c r="B11943" s="138" t="str">
        <f t="shared" si="1032"/>
        <v/>
      </c>
      <c r="C11943" s="138" t="str">
        <f t="shared" si="1033"/>
        <v/>
      </c>
      <c r="D11943" s="138" t="str">
        <f t="shared" si="1036"/>
        <v/>
      </c>
      <c r="E11943" s="138" t="str">
        <f t="shared" si="1034"/>
        <v/>
      </c>
      <c r="F11943" s="138" t="str">
        <f t="shared" si="1035"/>
        <v/>
      </c>
      <c r="G11943" s="153" t="s">
        <v>51</v>
      </c>
      <c r="H11943" s="160"/>
      <c r="I11943" s="160" t="s">
        <v>47</v>
      </c>
      <c r="J11943" s="160" t="s">
        <v>52</v>
      </c>
      <c r="K11943" s="160" t="s">
        <v>27</v>
      </c>
      <c r="L11943" s="154" t="str">
        <f>IF(OpenLCAbasic!K11943="CTUh", "Fill in Manually",IF(OR(K11943="Unit", K11943=""), "", INDEX(LookUps!$E$5:$E$12, MATCH(OpenLCAbasic!K11943,LookUps!$D$5:$D$12,0))))</f>
        <v/>
      </c>
      <c r="M11943" s="154" t="str">
        <f t="shared" si="1037"/>
        <v>____Process__</v>
      </c>
    </row>
    <row r="11944" spans="1:13" s="120" customFormat="1" x14ac:dyDescent="0.25">
      <c r="A11944" s="119"/>
      <c r="B11944" s="138" t="str">
        <f t="shared" si="1032"/>
        <v>Aerated Static Pile</v>
      </c>
      <c r="C11944" s="138" t="str">
        <f t="shared" si="1033"/>
        <v>Without Amendment</v>
      </c>
      <c r="D11944" s="138" t="str">
        <f t="shared" si="1036"/>
        <v>Base_High</v>
      </c>
      <c r="E11944" s="138" t="str">
        <f t="shared" si="1034"/>
        <v>Base</v>
      </c>
      <c r="F11944" s="138" t="str">
        <f t="shared" si="1035"/>
        <v>Upgraded</v>
      </c>
      <c r="G11944" s="153"/>
      <c r="H11944" s="210">
        <v>0.6946</v>
      </c>
      <c r="I11944" s="160" t="s">
        <v>167</v>
      </c>
      <c r="J11944" s="160">
        <v>2.3000000000000001E-4</v>
      </c>
      <c r="K11944" s="160" t="s">
        <v>26</v>
      </c>
      <c r="L11944" s="154" t="str">
        <f>IF(OpenLCAbasic!K11944="CTUh", "Fill in Manually",IF(OR(K11944="Unit", K11944=""), "", INDEX(LookUps!$E$5:$E$12, MATCH(OpenLCAbasic!K11944,LookUps!$D$5:$D$12,0))))</f>
        <v>Water Use (WU) - m3 H2O</v>
      </c>
      <c r="M11944" s="154" t="str">
        <f t="shared" si="1037"/>
        <v>Base_Base_High_Upgraded_Water Use (WU) - m3 H2O_Waste Receiving and Holding; wastewater treatment unit; at updated plant - US_Without Amendment_Aerated Static Pile</v>
      </c>
    </row>
    <row r="11945" spans="1:13" s="120" customFormat="1" x14ac:dyDescent="0.25">
      <c r="A11945" s="119"/>
      <c r="B11945" s="138" t="str">
        <f t="shared" ref="B11945:B12008" si="1038">IF(F11945="Legacy","n.a.",IF(F11945="","","Aerated Static Pile"))</f>
        <v>Aerated Static Pile</v>
      </c>
      <c r="C11945" s="138" t="str">
        <f t="shared" ref="C11945:C12008" si="1039">IF(ISNUMBER($J11945),"Without Amendment","")</f>
        <v>Without Amendment</v>
      </c>
      <c r="D11945" s="138" t="str">
        <f t="shared" si="1036"/>
        <v>Base_High</v>
      </c>
      <c r="E11945" s="138" t="str">
        <f t="shared" ref="E11945:E12008" si="1040">IF(ISNUMBER($J11945),"Base","")</f>
        <v>Base</v>
      </c>
      <c r="F11945" s="138" t="str">
        <f t="shared" ref="F11945:F12008" si="1041">IF(ISNUMBER(J11945),"Upgraded","")</f>
        <v>Upgraded</v>
      </c>
      <c r="G11945" s="153"/>
      <c r="H11945" s="210">
        <v>0.54969999999999997</v>
      </c>
      <c r="I11945" s="160" t="s">
        <v>147</v>
      </c>
      <c r="J11945" s="160">
        <v>1.8000000000000001E-4</v>
      </c>
      <c r="K11945" s="160" t="s">
        <v>26</v>
      </c>
      <c r="L11945" s="154" t="str">
        <f>IF(OpenLCAbasic!K11945="CTUh", "Fill in Manually",IF(OR(K11945="Unit", K11945=""), "", INDEX(LookUps!$E$5:$E$12, MATCH(OpenLCAbasic!K11945,LookUps!$D$5:$D$12,0))))</f>
        <v>Water Use (WU) - m3 H2O</v>
      </c>
      <c r="M11945" s="154" t="str">
        <f t="shared" si="1037"/>
        <v>Base_Base_High_Upgraded_Water Use (WU) - m3 H2O_Influent Pump Station; wastewater treatment unit; at updated plant - US_Without Amendment_Aerated Static Pile</v>
      </c>
    </row>
    <row r="11946" spans="1:13" s="120" customFormat="1" x14ac:dyDescent="0.25">
      <c r="A11946" s="119"/>
      <c r="B11946" s="138" t="str">
        <f t="shared" si="1038"/>
        <v>Aerated Static Pile</v>
      </c>
      <c r="C11946" s="138" t="str">
        <f t="shared" si="1039"/>
        <v>Without Amendment</v>
      </c>
      <c r="D11946" s="138" t="str">
        <f t="shared" si="1036"/>
        <v>Base_High</v>
      </c>
      <c r="E11946" s="138" t="str">
        <f t="shared" si="1040"/>
        <v>Base</v>
      </c>
      <c r="F11946" s="138" t="str">
        <f t="shared" si="1041"/>
        <v>Upgraded</v>
      </c>
      <c r="G11946" s="153"/>
      <c r="H11946" s="210">
        <v>0.5363</v>
      </c>
      <c r="I11946" s="160" t="s">
        <v>54</v>
      </c>
      <c r="J11946" s="160">
        <v>1.8000000000000001E-4</v>
      </c>
      <c r="K11946" s="160" t="s">
        <v>26</v>
      </c>
      <c r="L11946" s="154" t="str">
        <f>IF(OpenLCAbasic!K11946="CTUh", "Fill in Manually",IF(OR(K11946="Unit", K11946=""), "", INDEX(LookUps!$E$5:$E$12, MATCH(OpenLCAbasic!K11946,LookUps!$D$5:$D$12,0))))</f>
        <v>Water Use (WU) - m3 H2O</v>
      </c>
      <c r="M11946" s="154" t="str">
        <f t="shared" si="1037"/>
        <v>Base_Base_High_Upgraded_Water Use (WU) - m3 H2O_Clear Cove Primary Clarification; wastewater treatment unit; at updated plant - US_Without Amendment_Aerated Static Pile</v>
      </c>
    </row>
    <row r="11947" spans="1:13" s="120" customFormat="1" x14ac:dyDescent="0.25">
      <c r="A11947" s="119"/>
      <c r="B11947" s="138" t="str">
        <f t="shared" si="1038"/>
        <v>Aerated Static Pile</v>
      </c>
      <c r="C11947" s="138" t="str">
        <f t="shared" si="1039"/>
        <v>Without Amendment</v>
      </c>
      <c r="D11947" s="138" t="str">
        <f t="shared" si="1036"/>
        <v>Base_High</v>
      </c>
      <c r="E11947" s="138" t="str">
        <f t="shared" si="1040"/>
        <v>Base</v>
      </c>
      <c r="F11947" s="138" t="str">
        <f t="shared" si="1041"/>
        <v>Upgraded</v>
      </c>
      <c r="G11947" s="153"/>
      <c r="H11947" s="210">
        <v>0.48649999999999999</v>
      </c>
      <c r="I11947" s="160" t="s">
        <v>55</v>
      </c>
      <c r="J11947" s="160">
        <v>1.6000000000000001E-4</v>
      </c>
      <c r="K11947" s="160" t="s">
        <v>26</v>
      </c>
      <c r="L11947" s="154" t="str">
        <f>IF(OpenLCAbasic!K11947="CTUh", "Fill in Manually",IF(OR(K11947="Unit", K11947=""), "", INDEX(LookUps!$E$5:$E$12, MATCH(OpenLCAbasic!K11947,LookUps!$D$5:$D$12,0))))</f>
        <v>Water Use (WU) - m3 H2O</v>
      </c>
      <c r="M11947" s="154" t="str">
        <f t="shared" si="1037"/>
        <v>Base_Base_High_Upgraded_Water Use (WU) - m3 H2O_Aeration Tanks; wastewater treatment unit; at updated plant - US_Without Amendment_Aerated Static Pile</v>
      </c>
    </row>
    <row r="11948" spans="1:13" s="120" customFormat="1" x14ac:dyDescent="0.25">
      <c r="A11948" s="119"/>
      <c r="B11948" s="138" t="str">
        <f t="shared" si="1038"/>
        <v>Aerated Static Pile</v>
      </c>
      <c r="C11948" s="138" t="str">
        <f t="shared" si="1039"/>
        <v>Without Amendment</v>
      </c>
      <c r="D11948" s="138" t="str">
        <f t="shared" si="1036"/>
        <v>Base_High</v>
      </c>
      <c r="E11948" s="138" t="str">
        <f t="shared" si="1040"/>
        <v>Base</v>
      </c>
      <c r="F11948" s="138" t="str">
        <f t="shared" si="1041"/>
        <v>Upgraded</v>
      </c>
      <c r="G11948" s="153"/>
      <c r="H11948" s="210">
        <v>0.44319999999999998</v>
      </c>
      <c r="I11948" s="160" t="s">
        <v>148</v>
      </c>
      <c r="J11948" s="160">
        <v>1.4999999999999999E-4</v>
      </c>
      <c r="K11948" s="160" t="s">
        <v>26</v>
      </c>
      <c r="L11948" s="154" t="str">
        <f>IF(OpenLCAbasic!K11948="CTUh", "Fill in Manually",IF(OR(K11948="Unit", K11948=""), "", INDEX(LookUps!$E$5:$E$12, MATCH(OpenLCAbasic!K11948,LookUps!$D$5:$D$12,0))))</f>
        <v>Water Use (WU) - m3 H2O</v>
      </c>
      <c r="M11948" s="154" t="str">
        <f t="shared" si="1037"/>
        <v>Base_Base_High_Upgraded_Water Use (WU) - m3 H2O_Control Building; at upgraded wastewater treatment plant - US_Without Amendment_Aerated Static Pile</v>
      </c>
    </row>
    <row r="11949" spans="1:13" s="120" customFormat="1" x14ac:dyDescent="0.25">
      <c r="A11949" s="119"/>
      <c r="B11949" s="138" t="str">
        <f t="shared" si="1038"/>
        <v>Aerated Static Pile</v>
      </c>
      <c r="C11949" s="138" t="str">
        <f t="shared" si="1039"/>
        <v>Without Amendment</v>
      </c>
      <c r="D11949" s="138" t="str">
        <f t="shared" si="1036"/>
        <v>Base_High</v>
      </c>
      <c r="E11949" s="138" t="str">
        <f t="shared" si="1040"/>
        <v>Base</v>
      </c>
      <c r="F11949" s="138" t="str">
        <f t="shared" si="1041"/>
        <v>Upgraded</v>
      </c>
      <c r="G11949" s="153"/>
      <c r="H11949" s="210">
        <v>0.20580000000000001</v>
      </c>
      <c r="I11949" s="160" t="s">
        <v>48</v>
      </c>
      <c r="J11949" s="211">
        <v>6.8836400000000004E-5</v>
      </c>
      <c r="K11949" s="160" t="s">
        <v>26</v>
      </c>
      <c r="L11949" s="154" t="str">
        <f>IF(OpenLCAbasic!K11949="CTUh", "Fill in Manually",IF(OR(K11949="Unit", K11949=""), "", INDEX(LookUps!$E$5:$E$12, MATCH(OpenLCAbasic!K11949,LookUps!$D$5:$D$12,0))))</f>
        <v>Water Use (WU) - m3 H2O</v>
      </c>
      <c r="M11949" s="154" t="str">
        <f t="shared" si="1037"/>
        <v>Base_Base_High_Upgraded_Water Use (WU) - m3 H2O_Effluent release; wastewater treatment unit; at surface water; m3 wastewater - US_Without Amendment_Aerated Static Pile</v>
      </c>
    </row>
    <row r="11950" spans="1:13" s="120" customFormat="1" x14ac:dyDescent="0.25">
      <c r="A11950" s="119"/>
      <c r="B11950" s="138" t="str">
        <f t="shared" si="1038"/>
        <v>Aerated Static Pile</v>
      </c>
      <c r="C11950" s="138" t="str">
        <f t="shared" si="1039"/>
        <v>Without Amendment</v>
      </c>
      <c r="D11950" s="138" t="str">
        <f t="shared" si="1036"/>
        <v>Base_High</v>
      </c>
      <c r="E11950" s="138" t="str">
        <f t="shared" si="1040"/>
        <v>Base</v>
      </c>
      <c r="F11950" s="138" t="str">
        <f t="shared" si="1041"/>
        <v>Upgraded</v>
      </c>
      <c r="G11950" s="153"/>
      <c r="H11950" s="210">
        <v>0.12909999999999999</v>
      </c>
      <c r="I11950" s="160" t="s">
        <v>58</v>
      </c>
      <c r="J11950" s="211">
        <v>4.3192100000000003E-5</v>
      </c>
      <c r="K11950" s="160" t="s">
        <v>26</v>
      </c>
      <c r="L11950" s="154" t="str">
        <f>IF(OpenLCAbasic!K11950="CTUh", "Fill in Manually",IF(OR(K11950="Unit", K11950=""), "", INDEX(LookUps!$E$5:$E$12, MATCH(OpenLCAbasic!K11950,LookUps!$D$5:$D$12,0))))</f>
        <v>Water Use (WU) - m3 H2O</v>
      </c>
      <c r="M11950" s="154" t="str">
        <f t="shared" si="1037"/>
        <v>Base_Base_High_Upgraded_Water Use (WU) - m3 H2O_Pre-Anoxic &amp; Swing tank; wastewater treatment unit; at updated plant - US_Without Amendment_Aerated Static Pile</v>
      </c>
    </row>
    <row r="11951" spans="1:13" s="120" customFormat="1" x14ac:dyDescent="0.25">
      <c r="A11951" s="119"/>
      <c r="B11951" s="138" t="str">
        <f t="shared" si="1038"/>
        <v>Aerated Static Pile</v>
      </c>
      <c r="C11951" s="138" t="str">
        <f t="shared" si="1039"/>
        <v>Without Amendment</v>
      </c>
      <c r="D11951" s="138" t="str">
        <f t="shared" si="1036"/>
        <v>Base_High</v>
      </c>
      <c r="E11951" s="138" t="str">
        <f t="shared" si="1040"/>
        <v>Base</v>
      </c>
      <c r="F11951" s="138" t="str">
        <f t="shared" si="1041"/>
        <v>Upgraded</v>
      </c>
      <c r="G11951" s="153"/>
      <c r="H11951" s="210">
        <v>9.0899999999999995E-2</v>
      </c>
      <c r="I11951" s="160" t="s">
        <v>57</v>
      </c>
      <c r="J11951" s="211">
        <v>3.0408100000000001E-5</v>
      </c>
      <c r="K11951" s="160" t="s">
        <v>26</v>
      </c>
      <c r="L11951" s="154" t="str">
        <f>IF(OpenLCAbasic!K11951="CTUh", "Fill in Manually",IF(OR(K11951="Unit", K11951=""), "", INDEX(LookUps!$E$5:$E$12, MATCH(OpenLCAbasic!K11951,LookUps!$D$5:$D$12,0))))</f>
        <v>Water Use (WU) - m3 H2O</v>
      </c>
      <c r="M11951" s="154" t="str">
        <f t="shared" si="1037"/>
        <v>Base_Base_High_Upgraded_Water Use (WU) - m3 H2O_Gravity Belt Thickener; wastewater treatment unit; at updated plant - US_Without Amendment_Aerated Static Pile</v>
      </c>
    </row>
    <row r="11952" spans="1:13" s="120" customFormat="1" x14ac:dyDescent="0.25">
      <c r="A11952" s="119"/>
      <c r="B11952" s="138" t="str">
        <f t="shared" si="1038"/>
        <v>Aerated Static Pile</v>
      </c>
      <c r="C11952" s="138" t="str">
        <f t="shared" si="1039"/>
        <v>Without Amendment</v>
      </c>
      <c r="D11952" s="138" t="str">
        <f t="shared" si="1036"/>
        <v>Base_High</v>
      </c>
      <c r="E11952" s="138" t="str">
        <f t="shared" si="1040"/>
        <v>Base</v>
      </c>
      <c r="F11952" s="138" t="str">
        <f t="shared" si="1041"/>
        <v>Upgraded</v>
      </c>
      <c r="G11952" s="153"/>
      <c r="H11952" s="210">
        <v>6.3200000000000006E-2</v>
      </c>
      <c r="I11952" s="160" t="s">
        <v>60</v>
      </c>
      <c r="J11952" s="211">
        <v>2.1135600000000001E-5</v>
      </c>
      <c r="K11952" s="160" t="s">
        <v>26</v>
      </c>
      <c r="L11952" s="154" t="str">
        <f>IF(OpenLCAbasic!K11952="CTUh", "Fill in Manually",IF(OR(K11952="Unit", K11952=""), "", INDEX(LookUps!$E$5:$E$12, MATCH(OpenLCAbasic!K11952,LookUps!$D$5:$D$12,0))))</f>
        <v>Water Use (WU) - m3 H2O</v>
      </c>
      <c r="M11952" s="154" t="str">
        <f t="shared" si="1037"/>
        <v>Base_Base_High_Upgraded_Water Use (WU) - m3 H2O_Belt filter press; wastewater treatment unit; at updated plant - US_Without Amendment_Aerated Static Pile</v>
      </c>
    </row>
    <row r="11953" spans="1:13" s="120" customFormat="1" x14ac:dyDescent="0.25">
      <c r="A11953" s="119"/>
      <c r="B11953" s="138" t="str">
        <f t="shared" si="1038"/>
        <v>Aerated Static Pile</v>
      </c>
      <c r="C11953" s="138" t="str">
        <f t="shared" si="1039"/>
        <v>Without Amendment</v>
      </c>
      <c r="D11953" s="138" t="str">
        <f t="shared" ref="D11953:D11959" si="1042">IF(ISNUMBER($J11953),"Base_High","")</f>
        <v>Base_High</v>
      </c>
      <c r="E11953" s="138" t="str">
        <f t="shared" si="1040"/>
        <v>Base</v>
      </c>
      <c r="F11953" s="138" t="str">
        <f t="shared" si="1041"/>
        <v>Upgraded</v>
      </c>
      <c r="G11953" s="153"/>
      <c r="H11953" s="210">
        <v>5.2299999999999999E-2</v>
      </c>
      <c r="I11953" s="160" t="s">
        <v>53</v>
      </c>
      <c r="J11953" s="211">
        <v>1.75069E-5</v>
      </c>
      <c r="K11953" s="160" t="s">
        <v>26</v>
      </c>
      <c r="L11953" s="154" t="str">
        <f>IF(OpenLCAbasic!K11953="CTUh", "Fill in Manually",IF(OR(K11953="Unit", K11953=""), "", INDEX(LookUps!$E$5:$E$12, MATCH(OpenLCAbasic!K11953,LookUps!$D$5:$D$12,0))))</f>
        <v>Water Use (WU) - m3 H2O</v>
      </c>
      <c r="M11953" s="154" t="str">
        <f t="shared" si="1037"/>
        <v>Base_Base_High_Upgraded_Water Use (WU) - m3 H2O_Wet Well and Sump Station; wastewater treatment unit; at updated plant - US_Without Amendment_Aerated Static Pile</v>
      </c>
    </row>
    <row r="11954" spans="1:13" s="120" customFormat="1" x14ac:dyDescent="0.25">
      <c r="A11954" s="119"/>
      <c r="B11954" s="138" t="str">
        <f t="shared" si="1038"/>
        <v>Aerated Static Pile</v>
      </c>
      <c r="C11954" s="138" t="str">
        <f t="shared" si="1039"/>
        <v>Without Amendment</v>
      </c>
      <c r="D11954" s="138" t="str">
        <f t="shared" si="1042"/>
        <v>Base_High</v>
      </c>
      <c r="E11954" s="138" t="str">
        <f t="shared" si="1040"/>
        <v>Base</v>
      </c>
      <c r="F11954" s="138" t="str">
        <f t="shared" si="1041"/>
        <v>Upgraded</v>
      </c>
      <c r="G11954" s="153"/>
      <c r="H11954" s="210">
        <v>2.1000000000000001E-2</v>
      </c>
      <c r="I11954" s="160" t="s">
        <v>59</v>
      </c>
      <c r="J11954" s="211">
        <v>7.0179500000000003E-6</v>
      </c>
      <c r="K11954" s="160" t="s">
        <v>26</v>
      </c>
      <c r="L11954" s="154" t="str">
        <f>IF(OpenLCAbasic!K11954="CTUh", "Fill in Manually",IF(OR(K11954="Unit", K11954=""), "", INDEX(LookUps!$E$5:$E$12, MATCH(OpenLCAbasic!K11954,LookUps!$D$5:$D$12,0))))</f>
        <v>Water Use (WU) - m3 H2O</v>
      </c>
      <c r="M11954" s="154" t="str">
        <f t="shared" si="1037"/>
        <v>Base_Base_High_Upgraded_Water Use (WU) - m3 H2O_Blend Tank; wastewater treatment unit; at updated plant - US_Without Amendment_Aerated Static Pile</v>
      </c>
    </row>
    <row r="11955" spans="1:13" s="120" customFormat="1" x14ac:dyDescent="0.25">
      <c r="A11955" s="119"/>
      <c r="B11955" s="138" t="str">
        <f t="shared" si="1038"/>
        <v>Aerated Static Pile</v>
      </c>
      <c r="C11955" s="138" t="str">
        <f t="shared" si="1039"/>
        <v>Without Amendment</v>
      </c>
      <c r="D11955" s="138" t="str">
        <f t="shared" si="1042"/>
        <v>Base_High</v>
      </c>
      <c r="E11955" s="138" t="str">
        <f t="shared" si="1040"/>
        <v>Base</v>
      </c>
      <c r="F11955" s="138" t="str">
        <f t="shared" si="1041"/>
        <v>Upgraded</v>
      </c>
      <c r="G11955" s="153"/>
      <c r="H11955" s="210">
        <v>1.7299999999999999E-2</v>
      </c>
      <c r="I11955" s="160" t="s">
        <v>435</v>
      </c>
      <c r="J11955" s="211">
        <v>5.7864299999999998E-6</v>
      </c>
      <c r="K11955" s="160" t="s">
        <v>26</v>
      </c>
      <c r="L11955" s="154" t="str">
        <f>IF(OpenLCAbasic!K11955="CTUh", "Fill in Manually",IF(OR(K11955="Unit", K11955=""), "", INDEX(LookUps!$E$5:$E$12, MATCH(OpenLCAbasic!K11955,LookUps!$D$5:$D$12,0))))</f>
        <v>Water Use (WU) - m3 H2O</v>
      </c>
      <c r="M11955" s="154" t="str">
        <f t="shared" si="1037"/>
        <v>Base_Base_High_Upgraded_Water Use (WU) - m3 H2O_Biosolids composting; aerated static pile; wastewater treatment unit; at updated plant - US_Without Amendment_Aerated Static Pile</v>
      </c>
    </row>
    <row r="11956" spans="1:13" s="120" customFormat="1" x14ac:dyDescent="0.25">
      <c r="A11956" s="119"/>
      <c r="B11956" s="138" t="str">
        <f t="shared" si="1038"/>
        <v>Aerated Static Pile</v>
      </c>
      <c r="C11956" s="138" t="str">
        <f t="shared" si="1039"/>
        <v>Without Amendment</v>
      </c>
      <c r="D11956" s="138" t="str">
        <f t="shared" si="1042"/>
        <v>Base_High</v>
      </c>
      <c r="E11956" s="138" t="str">
        <f t="shared" si="1040"/>
        <v>Base</v>
      </c>
      <c r="F11956" s="138" t="str">
        <f t="shared" si="1041"/>
        <v>Upgraded</v>
      </c>
      <c r="G11956" s="153"/>
      <c r="H11956" s="210">
        <v>1.5100000000000001E-2</v>
      </c>
      <c r="I11956" s="160" t="s">
        <v>128</v>
      </c>
      <c r="J11956" s="211">
        <v>5.0608900000000003E-6</v>
      </c>
      <c r="K11956" s="160" t="s">
        <v>26</v>
      </c>
      <c r="L11956" s="154" t="str">
        <f>IF(OpenLCAbasic!K11956="CTUh", "Fill in Manually",IF(OR(K11956="Unit", K11956=""), "", INDEX(LookUps!$E$5:$E$12, MATCH(OpenLCAbasic!K11956,LookUps!$D$5:$D$12,0))))</f>
        <v>Water Use (WU) - m3 H2O</v>
      </c>
      <c r="M11956" s="154" t="str">
        <f t="shared" si="1037"/>
        <v>Base_Base_High_Upgraded_Water Use (WU) - m3 H2O_Wastewater collection; operation and infrastructure; m3 wastewater_Without Amendment_Aerated Static Pile</v>
      </c>
    </row>
    <row r="11957" spans="1:13" s="120" customFormat="1" x14ac:dyDescent="0.25">
      <c r="A11957" s="119"/>
      <c r="B11957" s="138" t="str">
        <f t="shared" si="1038"/>
        <v>Aerated Static Pile</v>
      </c>
      <c r="C11957" s="138" t="str">
        <f t="shared" si="1039"/>
        <v>Without Amendment</v>
      </c>
      <c r="D11957" s="138" t="str">
        <f t="shared" si="1042"/>
        <v>Base_High</v>
      </c>
      <c r="E11957" s="138" t="str">
        <f t="shared" si="1040"/>
        <v>Base</v>
      </c>
      <c r="F11957" s="138" t="str">
        <f t="shared" si="1041"/>
        <v>Upgraded</v>
      </c>
      <c r="G11957" s="153"/>
      <c r="H11957" s="210">
        <v>2.3E-3</v>
      </c>
      <c r="I11957" s="160" t="s">
        <v>168</v>
      </c>
      <c r="J11957" s="211">
        <v>7.6697000000000004E-7</v>
      </c>
      <c r="K11957" s="160" t="s">
        <v>26</v>
      </c>
      <c r="L11957" s="154" t="str">
        <f>IF(OpenLCAbasic!K11957="CTUh", "Fill in Manually",IF(OR(K11957="Unit", K11957=""), "", INDEX(LookUps!$E$5:$E$12, MATCH(OpenLCAbasic!K11957,LookUps!$D$5:$D$12,0))))</f>
        <v>Water Use (WU) - m3 H2O</v>
      </c>
      <c r="M11957" s="154" t="str">
        <f t="shared" si="1037"/>
        <v>Base_Base_High_Upgraded_Water Use (WU) - m3 H2O_ClearCove SCP; wastewater treatment unit; at updated plant - US_Without Amendment_Aerated Static Pile</v>
      </c>
    </row>
    <row r="11958" spans="1:13" s="120" customFormat="1" x14ac:dyDescent="0.25">
      <c r="A11958" s="119"/>
      <c r="B11958" s="138" t="str">
        <f t="shared" si="1038"/>
        <v>Aerated Static Pile</v>
      </c>
      <c r="C11958" s="138" t="str">
        <f t="shared" si="1039"/>
        <v>Without Amendment</v>
      </c>
      <c r="D11958" s="138" t="str">
        <f t="shared" si="1042"/>
        <v>Base_High</v>
      </c>
      <c r="E11958" s="138" t="str">
        <f t="shared" si="1040"/>
        <v>Base</v>
      </c>
      <c r="F11958" s="138" t="str">
        <f t="shared" si="1041"/>
        <v>Upgraded</v>
      </c>
      <c r="G11958" s="153"/>
      <c r="H11958" s="210">
        <v>-0.27850000000000003</v>
      </c>
      <c r="I11958" s="160" t="s">
        <v>149</v>
      </c>
      <c r="J11958" s="211">
        <v>-9.3162899999999995E-5</v>
      </c>
      <c r="K11958" s="160" t="s">
        <v>26</v>
      </c>
      <c r="L11958" s="154" t="str">
        <f>IF(OpenLCAbasic!K11958="CTUh", "Fill in Manually",IF(OR(K11958="Unit", K11958=""), "", INDEX(LookUps!$E$5:$E$12, MATCH(OpenLCAbasic!K11958,LookUps!$D$5:$D$12,0))))</f>
        <v>Water Use (WU) - m3 H2O</v>
      </c>
      <c r="M11958" s="154" t="str">
        <f t="shared" si="1037"/>
        <v>Base_Base_High_Upgraded_Water Use (WU) - m3 H2O_Anaerobic Digestion; wastewater treatment unit; at updated plant - US_Without Amendment_Aerated Static Pile</v>
      </c>
    </row>
    <row r="11959" spans="1:13" s="120" customFormat="1" x14ac:dyDescent="0.25">
      <c r="A11959" s="119"/>
      <c r="B11959" s="138" t="str">
        <f t="shared" si="1038"/>
        <v>Aerated Static Pile</v>
      </c>
      <c r="C11959" s="138" t="str">
        <f t="shared" si="1039"/>
        <v>Without Amendment</v>
      </c>
      <c r="D11959" s="138" t="str">
        <f t="shared" si="1042"/>
        <v>Base_High</v>
      </c>
      <c r="E11959" s="138" t="str">
        <f t="shared" si="1040"/>
        <v>Base</v>
      </c>
      <c r="F11959" s="138" t="str">
        <f t="shared" si="1041"/>
        <v>Upgraded</v>
      </c>
      <c r="G11959" s="153"/>
      <c r="H11959" s="210">
        <v>-2.0289000000000001</v>
      </c>
      <c r="I11959" s="160" t="s">
        <v>62</v>
      </c>
      <c r="J11959" s="160">
        <v>-6.8000000000000005E-4</v>
      </c>
      <c r="K11959" s="160" t="s">
        <v>26</v>
      </c>
      <c r="L11959" s="154" t="str">
        <f>IF(OpenLCAbasic!K11959="CTUh", "Fill in Manually",IF(OR(K11959="Unit", K11959=""), "", INDEX(LookUps!$E$5:$E$12, MATCH(OpenLCAbasic!K11959,LookUps!$D$5:$D$12,0))))</f>
        <v>Water Use (WU) - m3 H2O</v>
      </c>
      <c r="M11959" s="154" t="str">
        <f t="shared" si="1037"/>
        <v>Base_Base_High_Upgraded_Water Use (WU) - m3 H2O_Land application of compost; wastewater treatment unit; at updated plant - US_Without Amendment_Aerated Static Pile</v>
      </c>
    </row>
    <row r="11960" spans="1:13" s="120" customFormat="1" x14ac:dyDescent="0.25">
      <c r="A11960" s="119"/>
      <c r="B11960" s="138" t="str">
        <f t="shared" si="1038"/>
        <v/>
      </c>
      <c r="C11960" s="138" t="str">
        <f t="shared" si="1039"/>
        <v/>
      </c>
      <c r="D11960" s="138" t="str">
        <f>IF(ISNUMBER($J11960),"Medium_Low","")</f>
        <v/>
      </c>
      <c r="E11960" s="138" t="str">
        <f t="shared" si="1040"/>
        <v/>
      </c>
      <c r="F11960" s="138" t="str">
        <f t="shared" si="1041"/>
        <v/>
      </c>
      <c r="G11960" s="153" t="s">
        <v>51</v>
      </c>
      <c r="H11960" s="160"/>
      <c r="I11960" s="160" t="s">
        <v>47</v>
      </c>
      <c r="J11960" s="160" t="s">
        <v>52</v>
      </c>
      <c r="K11960" s="160" t="s">
        <v>27</v>
      </c>
      <c r="L11960" s="154" t="str">
        <f>IF(OpenLCAbasic!K11960="CTUh", "Fill in Manually",IF(OR(K11960="Unit", K11960=""), "", INDEX(LookUps!$E$5:$E$12, MATCH(OpenLCAbasic!K11960,LookUps!$D$5:$D$12,0))))</f>
        <v/>
      </c>
      <c r="M11960" s="154" t="str">
        <f t="shared" si="1037"/>
        <v>____Process__</v>
      </c>
    </row>
    <row r="11961" spans="1:13" s="120" customFormat="1" x14ac:dyDescent="0.25">
      <c r="A11961" s="119"/>
      <c r="B11961" s="138" t="str">
        <f t="shared" si="1038"/>
        <v>Aerated Static Pile</v>
      </c>
      <c r="C11961" s="138" t="str">
        <f t="shared" si="1039"/>
        <v>Without Amendment</v>
      </c>
      <c r="D11961" s="138" t="str">
        <f t="shared" ref="D11961:D12024" si="1043">IF(ISNUMBER($J11961),"Medium_Low","")</f>
        <v>Medium_Low</v>
      </c>
      <c r="E11961" s="138" t="str">
        <f t="shared" si="1040"/>
        <v>Base</v>
      </c>
      <c r="F11961" s="138" t="str">
        <f t="shared" si="1041"/>
        <v>Upgraded</v>
      </c>
      <c r="G11961" s="153"/>
      <c r="H11961" s="210">
        <v>0.41299999999999998</v>
      </c>
      <c r="I11961" s="160" t="s">
        <v>55</v>
      </c>
      <c r="J11961" s="160">
        <v>1.7219999999999999E-2</v>
      </c>
      <c r="K11961" s="160" t="s">
        <v>24</v>
      </c>
      <c r="L11961" s="154" t="str">
        <f>IF(OpenLCAbasic!K11961="CTUh", "Fill in Manually",IF(OR(K11961="Unit", K11961=""), "", INDEX(LookUps!$E$5:$E$12, MATCH(OpenLCAbasic!K11961,LookUps!$D$5:$D$12,0))))</f>
        <v>Acidification Potential (AP) - kg SO2 eq</v>
      </c>
      <c r="M11961" s="154" t="str">
        <f t="shared" si="1037"/>
        <v>Base_Medium_Low_Upgraded_Acidification Potential (AP) - kg SO2 eq_Aeration Tanks; wastewater treatment unit; at updated plant - US_Without Amendment_Aerated Static Pile</v>
      </c>
    </row>
    <row r="11962" spans="1:13" s="120" customFormat="1" x14ac:dyDescent="0.25">
      <c r="A11962" s="119"/>
      <c r="B11962" s="138" t="str">
        <f t="shared" si="1038"/>
        <v>Aerated Static Pile</v>
      </c>
      <c r="C11962" s="138" t="str">
        <f t="shared" si="1039"/>
        <v>Without Amendment</v>
      </c>
      <c r="D11962" s="138" t="str">
        <f t="shared" si="1043"/>
        <v>Medium_Low</v>
      </c>
      <c r="E11962" s="138" t="str">
        <f t="shared" si="1040"/>
        <v>Base</v>
      </c>
      <c r="F11962" s="138" t="str">
        <f t="shared" si="1041"/>
        <v>Upgraded</v>
      </c>
      <c r="G11962" s="153"/>
      <c r="H11962" s="210">
        <v>0.11940000000000001</v>
      </c>
      <c r="I11962" s="160" t="s">
        <v>54</v>
      </c>
      <c r="J11962" s="160">
        <v>4.9800000000000001E-3</v>
      </c>
      <c r="K11962" s="160" t="s">
        <v>24</v>
      </c>
      <c r="L11962" s="154" t="str">
        <f>IF(OpenLCAbasic!K11962="CTUh", "Fill in Manually",IF(OR(K11962="Unit", K11962=""), "", INDEX(LookUps!$E$5:$E$12, MATCH(OpenLCAbasic!K11962,LookUps!$D$5:$D$12,0))))</f>
        <v>Acidification Potential (AP) - kg SO2 eq</v>
      </c>
      <c r="M11962" s="154" t="str">
        <f t="shared" si="1037"/>
        <v>Base_Medium_Low_Upgraded_Acidification Potential (AP) - kg SO2 eq_Clear Cove Primary Clarification; wastewater treatment unit; at updated plant - US_Without Amendment_Aerated Static Pile</v>
      </c>
    </row>
    <row r="11963" spans="1:13" s="120" customFormat="1" x14ac:dyDescent="0.25">
      <c r="A11963" s="119"/>
      <c r="B11963" s="138" t="str">
        <f t="shared" si="1038"/>
        <v>Aerated Static Pile</v>
      </c>
      <c r="C11963" s="138" t="str">
        <f t="shared" si="1039"/>
        <v>Without Amendment</v>
      </c>
      <c r="D11963" s="138" t="str">
        <f t="shared" si="1043"/>
        <v>Medium_Low</v>
      </c>
      <c r="E11963" s="138" t="str">
        <f t="shared" si="1040"/>
        <v>Base</v>
      </c>
      <c r="F11963" s="138" t="str">
        <f t="shared" si="1041"/>
        <v>Upgraded</v>
      </c>
      <c r="G11963" s="153"/>
      <c r="H11963" s="210">
        <v>0.1042</v>
      </c>
      <c r="I11963" s="160" t="s">
        <v>58</v>
      </c>
      <c r="J11963" s="160">
        <v>4.3499999999999997E-3</v>
      </c>
      <c r="K11963" s="160" t="s">
        <v>24</v>
      </c>
      <c r="L11963" s="154" t="str">
        <f>IF(OpenLCAbasic!K11963="CTUh", "Fill in Manually",IF(OR(K11963="Unit", K11963=""), "", INDEX(LookUps!$E$5:$E$12, MATCH(OpenLCAbasic!K11963,LookUps!$D$5:$D$12,0))))</f>
        <v>Acidification Potential (AP) - kg SO2 eq</v>
      </c>
      <c r="M11963" s="154" t="str">
        <f t="shared" si="1037"/>
        <v>Base_Medium_Low_Upgraded_Acidification Potential (AP) - kg SO2 eq_Pre-Anoxic &amp; Swing tank; wastewater treatment unit; at updated plant - US_Without Amendment_Aerated Static Pile</v>
      </c>
    </row>
    <row r="11964" spans="1:13" s="120" customFormat="1" x14ac:dyDescent="0.25">
      <c r="A11964" s="119"/>
      <c r="B11964" s="138" t="str">
        <f t="shared" si="1038"/>
        <v>Aerated Static Pile</v>
      </c>
      <c r="C11964" s="138" t="str">
        <f t="shared" si="1039"/>
        <v>Without Amendment</v>
      </c>
      <c r="D11964" s="138" t="str">
        <f t="shared" si="1043"/>
        <v>Medium_Low</v>
      </c>
      <c r="E11964" s="138" t="str">
        <f t="shared" si="1040"/>
        <v>Base</v>
      </c>
      <c r="F11964" s="138" t="str">
        <f t="shared" si="1041"/>
        <v>Upgraded</v>
      </c>
      <c r="G11964" s="153"/>
      <c r="H11964" s="210">
        <v>8.2799999999999999E-2</v>
      </c>
      <c r="I11964" s="160" t="s">
        <v>53</v>
      </c>
      <c r="J11964" s="160">
        <v>3.4499999999999999E-3</v>
      </c>
      <c r="K11964" s="160" t="s">
        <v>24</v>
      </c>
      <c r="L11964" s="154" t="str">
        <f>IF(OpenLCAbasic!K11964="CTUh", "Fill in Manually",IF(OR(K11964="Unit", K11964=""), "", INDEX(LookUps!$E$5:$E$12, MATCH(OpenLCAbasic!K11964,LookUps!$D$5:$D$12,0))))</f>
        <v>Acidification Potential (AP) - kg SO2 eq</v>
      </c>
      <c r="M11964" s="154" t="str">
        <f t="shared" si="1037"/>
        <v>Base_Medium_Low_Upgraded_Acidification Potential (AP) - kg SO2 eq_Wet Well and Sump Station; wastewater treatment unit; at updated plant - US_Without Amendment_Aerated Static Pile</v>
      </c>
    </row>
    <row r="11965" spans="1:13" s="120" customFormat="1" x14ac:dyDescent="0.25">
      <c r="A11965" s="119"/>
      <c r="B11965" s="138" t="str">
        <f t="shared" si="1038"/>
        <v>Aerated Static Pile</v>
      </c>
      <c r="C11965" s="138" t="str">
        <f t="shared" si="1039"/>
        <v>Without Amendment</v>
      </c>
      <c r="D11965" s="138" t="str">
        <f t="shared" si="1043"/>
        <v>Medium_Low</v>
      </c>
      <c r="E11965" s="138" t="str">
        <f t="shared" si="1040"/>
        <v>Base</v>
      </c>
      <c r="F11965" s="138" t="str">
        <f t="shared" si="1041"/>
        <v>Upgraded</v>
      </c>
      <c r="G11965" s="153"/>
      <c r="H11965" s="210">
        <v>6.8900000000000003E-2</v>
      </c>
      <c r="I11965" s="160" t="s">
        <v>435</v>
      </c>
      <c r="J11965" s="160">
        <v>2.8700000000000002E-3</v>
      </c>
      <c r="K11965" s="160" t="s">
        <v>24</v>
      </c>
      <c r="L11965" s="154" t="str">
        <f>IF(OpenLCAbasic!K11965="CTUh", "Fill in Manually",IF(OR(K11965="Unit", K11965=""), "", INDEX(LookUps!$E$5:$E$12, MATCH(OpenLCAbasic!K11965,LookUps!$D$5:$D$12,0))))</f>
        <v>Acidification Potential (AP) - kg SO2 eq</v>
      </c>
      <c r="M11965" s="154" t="str">
        <f t="shared" si="1037"/>
        <v>Base_Medium_Low_Upgraded_Acidification Potential (AP) - kg SO2 eq_Biosolids composting; aerated static pile; wastewater treatment unit; at updated plant - US_Without Amendment_Aerated Static Pile</v>
      </c>
    </row>
    <row r="11966" spans="1:13" s="120" customFormat="1" x14ac:dyDescent="0.25">
      <c r="A11966" s="119"/>
      <c r="B11966" s="138" t="str">
        <f t="shared" si="1038"/>
        <v>Aerated Static Pile</v>
      </c>
      <c r="C11966" s="138" t="str">
        <f t="shared" si="1039"/>
        <v>Without Amendment</v>
      </c>
      <c r="D11966" s="138" t="str">
        <f t="shared" si="1043"/>
        <v>Medium_Low</v>
      </c>
      <c r="E11966" s="138" t="str">
        <f t="shared" si="1040"/>
        <v>Base</v>
      </c>
      <c r="F11966" s="138" t="str">
        <f t="shared" si="1041"/>
        <v>Upgraded</v>
      </c>
      <c r="G11966" s="153"/>
      <c r="H11966" s="210">
        <v>6.4899999999999999E-2</v>
      </c>
      <c r="I11966" s="160" t="s">
        <v>62</v>
      </c>
      <c r="J11966" s="160">
        <v>2.7100000000000002E-3</v>
      </c>
      <c r="K11966" s="160" t="s">
        <v>24</v>
      </c>
      <c r="L11966" s="154" t="str">
        <f>IF(OpenLCAbasic!K11966="CTUh", "Fill in Manually",IF(OR(K11966="Unit", K11966=""), "", INDEX(LookUps!$E$5:$E$12, MATCH(OpenLCAbasic!K11966,LookUps!$D$5:$D$12,0))))</f>
        <v>Acidification Potential (AP) - kg SO2 eq</v>
      </c>
      <c r="M11966" s="154" t="str">
        <f t="shared" si="1037"/>
        <v>Base_Medium_Low_Upgraded_Acidification Potential (AP) - kg SO2 eq_Land application of compost; wastewater treatment unit; at updated plant - US_Without Amendment_Aerated Static Pile</v>
      </c>
    </row>
    <row r="11967" spans="1:13" s="120" customFormat="1" x14ac:dyDescent="0.25">
      <c r="A11967" s="119"/>
      <c r="B11967" s="138" t="str">
        <f t="shared" si="1038"/>
        <v>Aerated Static Pile</v>
      </c>
      <c r="C11967" s="138" t="str">
        <f t="shared" si="1039"/>
        <v>Without Amendment</v>
      </c>
      <c r="D11967" s="138" t="str">
        <f t="shared" si="1043"/>
        <v>Medium_Low</v>
      </c>
      <c r="E11967" s="138" t="str">
        <f t="shared" si="1040"/>
        <v>Base</v>
      </c>
      <c r="F11967" s="138" t="str">
        <f t="shared" si="1041"/>
        <v>Upgraded</v>
      </c>
      <c r="G11967" s="153"/>
      <c r="H11967" s="210">
        <v>6.0699999999999997E-2</v>
      </c>
      <c r="I11967" s="160" t="s">
        <v>167</v>
      </c>
      <c r="J11967" s="160">
        <v>2.5300000000000001E-3</v>
      </c>
      <c r="K11967" s="160" t="s">
        <v>24</v>
      </c>
      <c r="L11967" s="154" t="str">
        <f>IF(OpenLCAbasic!K11967="CTUh", "Fill in Manually",IF(OR(K11967="Unit", K11967=""), "", INDEX(LookUps!$E$5:$E$12, MATCH(OpenLCAbasic!K11967,LookUps!$D$5:$D$12,0))))</f>
        <v>Acidification Potential (AP) - kg SO2 eq</v>
      </c>
      <c r="M11967" s="154" t="str">
        <f t="shared" si="1037"/>
        <v>Base_Medium_Low_Upgraded_Acidification Potential (AP) - kg SO2 eq_Waste Receiving and Holding; wastewater treatment unit; at updated plant - US_Without Amendment_Aerated Static Pile</v>
      </c>
    </row>
    <row r="11968" spans="1:13" s="120" customFormat="1" x14ac:dyDescent="0.25">
      <c r="A11968" s="119"/>
      <c r="B11968" s="138" t="str">
        <f t="shared" si="1038"/>
        <v>Aerated Static Pile</v>
      </c>
      <c r="C11968" s="138" t="str">
        <f t="shared" si="1039"/>
        <v>Without Amendment</v>
      </c>
      <c r="D11968" s="138" t="str">
        <f t="shared" si="1043"/>
        <v>Medium_Low</v>
      </c>
      <c r="E11968" s="138" t="str">
        <f t="shared" si="1040"/>
        <v>Base</v>
      </c>
      <c r="F11968" s="138" t="str">
        <f t="shared" si="1041"/>
        <v>Upgraded</v>
      </c>
      <c r="G11968" s="153"/>
      <c r="H11968" s="210">
        <v>4.9599999999999998E-2</v>
      </c>
      <c r="I11968" s="160" t="s">
        <v>147</v>
      </c>
      <c r="J11968" s="160">
        <v>2.0699999999999998E-3</v>
      </c>
      <c r="K11968" s="160" t="s">
        <v>24</v>
      </c>
      <c r="L11968" s="154" t="str">
        <f>IF(OpenLCAbasic!K11968="CTUh", "Fill in Manually",IF(OR(K11968="Unit", K11968=""), "", INDEX(LookUps!$E$5:$E$12, MATCH(OpenLCAbasic!K11968,LookUps!$D$5:$D$12,0))))</f>
        <v>Acidification Potential (AP) - kg SO2 eq</v>
      </c>
      <c r="M11968" s="154" t="str">
        <f t="shared" si="1037"/>
        <v>Base_Medium_Low_Upgraded_Acidification Potential (AP) - kg SO2 eq_Influent Pump Station; wastewater treatment unit; at updated plant - US_Without Amendment_Aerated Static Pile</v>
      </c>
    </row>
    <row r="11969" spans="1:13" s="120" customFormat="1" x14ac:dyDescent="0.25">
      <c r="A11969" s="119"/>
      <c r="B11969" s="138" t="str">
        <f t="shared" si="1038"/>
        <v>Aerated Static Pile</v>
      </c>
      <c r="C11969" s="138" t="str">
        <f t="shared" si="1039"/>
        <v>Without Amendment</v>
      </c>
      <c r="D11969" s="138" t="str">
        <f t="shared" si="1043"/>
        <v>Medium_Low</v>
      </c>
      <c r="E11969" s="138" t="str">
        <f t="shared" si="1040"/>
        <v>Base</v>
      </c>
      <c r="F11969" s="138" t="str">
        <f t="shared" si="1041"/>
        <v>Upgraded</v>
      </c>
      <c r="G11969" s="153"/>
      <c r="H11969" s="210">
        <v>2.9600000000000001E-2</v>
      </c>
      <c r="I11969" s="160" t="s">
        <v>128</v>
      </c>
      <c r="J11969" s="160">
        <v>1.23E-3</v>
      </c>
      <c r="K11969" s="160" t="s">
        <v>24</v>
      </c>
      <c r="L11969" s="154" t="str">
        <f>IF(OpenLCAbasic!K11969="CTUh", "Fill in Manually",IF(OR(K11969="Unit", K11969=""), "", INDEX(LookUps!$E$5:$E$12, MATCH(OpenLCAbasic!K11969,LookUps!$D$5:$D$12,0))))</f>
        <v>Acidification Potential (AP) - kg SO2 eq</v>
      </c>
      <c r="M11969" s="154" t="str">
        <f t="shared" si="1037"/>
        <v>Base_Medium_Low_Upgraded_Acidification Potential (AP) - kg SO2 eq_Wastewater collection; operation and infrastructure; m3 wastewater_Without Amendment_Aerated Static Pile</v>
      </c>
    </row>
    <row r="11970" spans="1:13" s="120" customFormat="1" x14ac:dyDescent="0.25">
      <c r="A11970" s="119"/>
      <c r="B11970" s="138" t="str">
        <f t="shared" si="1038"/>
        <v>Aerated Static Pile</v>
      </c>
      <c r="C11970" s="138" t="str">
        <f t="shared" si="1039"/>
        <v>Without Amendment</v>
      </c>
      <c r="D11970" s="138" t="str">
        <f t="shared" si="1043"/>
        <v>Medium_Low</v>
      </c>
      <c r="E11970" s="138" t="str">
        <f t="shared" si="1040"/>
        <v>Base</v>
      </c>
      <c r="F11970" s="138" t="str">
        <f t="shared" si="1041"/>
        <v>Upgraded</v>
      </c>
      <c r="G11970" s="153"/>
      <c r="H11970" s="210">
        <v>2.8899999999999999E-2</v>
      </c>
      <c r="I11970" s="160" t="s">
        <v>60</v>
      </c>
      <c r="J11970" s="160">
        <v>1.1999999999999999E-3</v>
      </c>
      <c r="K11970" s="160" t="s">
        <v>24</v>
      </c>
      <c r="L11970" s="154" t="str">
        <f>IF(OpenLCAbasic!K11970="CTUh", "Fill in Manually",IF(OR(K11970="Unit", K11970=""), "", INDEX(LookUps!$E$5:$E$12, MATCH(OpenLCAbasic!K11970,LookUps!$D$5:$D$12,0))))</f>
        <v>Acidification Potential (AP) - kg SO2 eq</v>
      </c>
      <c r="M11970" s="154" t="str">
        <f t="shared" si="1037"/>
        <v>Base_Medium_Low_Upgraded_Acidification Potential (AP) - kg SO2 eq_Belt filter press; wastewater treatment unit; at updated plant - US_Without Amendment_Aerated Static Pile</v>
      </c>
    </row>
    <row r="11971" spans="1:13" s="120" customFormat="1" x14ac:dyDescent="0.25">
      <c r="A11971" s="119"/>
      <c r="B11971" s="138" t="str">
        <f t="shared" si="1038"/>
        <v>Aerated Static Pile</v>
      </c>
      <c r="C11971" s="138" t="str">
        <f t="shared" si="1039"/>
        <v>Without Amendment</v>
      </c>
      <c r="D11971" s="138" t="str">
        <f t="shared" si="1043"/>
        <v>Medium_Low</v>
      </c>
      <c r="E11971" s="138" t="str">
        <f t="shared" si="1040"/>
        <v>Base</v>
      </c>
      <c r="F11971" s="138" t="str">
        <f t="shared" si="1041"/>
        <v>Upgraded</v>
      </c>
      <c r="G11971" s="153"/>
      <c r="H11971" s="210">
        <v>1.6899999999999998E-2</v>
      </c>
      <c r="I11971" s="160" t="s">
        <v>57</v>
      </c>
      <c r="J11971" s="160">
        <v>6.9999999999999999E-4</v>
      </c>
      <c r="K11971" s="160" t="s">
        <v>24</v>
      </c>
      <c r="L11971" s="154" t="str">
        <f>IF(OpenLCAbasic!K11971="CTUh", "Fill in Manually",IF(OR(K11971="Unit", K11971=""), "", INDEX(LookUps!$E$5:$E$12, MATCH(OpenLCAbasic!K11971,LookUps!$D$5:$D$12,0))))</f>
        <v>Acidification Potential (AP) - kg SO2 eq</v>
      </c>
      <c r="M11971" s="154" t="str">
        <f t="shared" si="1037"/>
        <v>Base_Medium_Low_Upgraded_Acidification Potential (AP) - kg SO2 eq_Gravity Belt Thickener; wastewater treatment unit; at updated plant - US_Without Amendment_Aerated Static Pile</v>
      </c>
    </row>
    <row r="11972" spans="1:13" s="120" customFormat="1" x14ac:dyDescent="0.25">
      <c r="A11972" s="119"/>
      <c r="B11972" s="138" t="str">
        <f t="shared" si="1038"/>
        <v>Aerated Static Pile</v>
      </c>
      <c r="C11972" s="138" t="str">
        <f t="shared" si="1039"/>
        <v>Without Amendment</v>
      </c>
      <c r="D11972" s="138" t="str">
        <f t="shared" si="1043"/>
        <v>Medium_Low</v>
      </c>
      <c r="E11972" s="138" t="str">
        <f t="shared" si="1040"/>
        <v>Base</v>
      </c>
      <c r="F11972" s="138" t="str">
        <f t="shared" si="1041"/>
        <v>Upgraded</v>
      </c>
      <c r="G11972" s="153"/>
      <c r="H11972" s="210">
        <v>1.24E-2</v>
      </c>
      <c r="I11972" s="160" t="s">
        <v>59</v>
      </c>
      <c r="J11972" s="160">
        <v>5.1999999999999995E-4</v>
      </c>
      <c r="K11972" s="160" t="s">
        <v>24</v>
      </c>
      <c r="L11972" s="154" t="str">
        <f>IF(OpenLCAbasic!K11972="CTUh", "Fill in Manually",IF(OR(K11972="Unit", K11972=""), "", INDEX(LookUps!$E$5:$E$12, MATCH(OpenLCAbasic!K11972,LookUps!$D$5:$D$12,0))))</f>
        <v>Acidification Potential (AP) - kg SO2 eq</v>
      </c>
      <c r="M11972" s="154" t="str">
        <f t="shared" ref="M11972:M12035" si="1044">CONCATENATE(E11972,"_",D11972,"_",F11972,"_",L11972, "_",I11972,"_", C11972,"_", B11972)</f>
        <v>Base_Medium_Low_Upgraded_Acidification Potential (AP) - kg SO2 eq_Blend Tank; wastewater treatment unit; at updated plant - US_Without Amendment_Aerated Static Pile</v>
      </c>
    </row>
    <row r="11973" spans="1:13" s="120" customFormat="1" x14ac:dyDescent="0.25">
      <c r="A11973" s="119"/>
      <c r="B11973" s="138" t="str">
        <f t="shared" si="1038"/>
        <v>Aerated Static Pile</v>
      </c>
      <c r="C11973" s="138" t="str">
        <f t="shared" si="1039"/>
        <v>Without Amendment</v>
      </c>
      <c r="D11973" s="138" t="str">
        <f t="shared" si="1043"/>
        <v>Medium_Low</v>
      </c>
      <c r="E11973" s="138" t="str">
        <f t="shared" si="1040"/>
        <v>Base</v>
      </c>
      <c r="F11973" s="138" t="str">
        <f t="shared" si="1041"/>
        <v>Upgraded</v>
      </c>
      <c r="G11973" s="153"/>
      <c r="H11973" s="210">
        <v>8.3000000000000001E-3</v>
      </c>
      <c r="I11973" s="160" t="s">
        <v>48</v>
      </c>
      <c r="J11973" s="160">
        <v>3.5E-4</v>
      </c>
      <c r="K11973" s="160" t="s">
        <v>24</v>
      </c>
      <c r="L11973" s="154" t="str">
        <f>IF(OpenLCAbasic!K11973="CTUh", "Fill in Manually",IF(OR(K11973="Unit", K11973=""), "", INDEX(LookUps!$E$5:$E$12, MATCH(OpenLCAbasic!K11973,LookUps!$D$5:$D$12,0))))</f>
        <v>Acidification Potential (AP) - kg SO2 eq</v>
      </c>
      <c r="M11973" s="154" t="str">
        <f t="shared" si="1044"/>
        <v>Base_Medium_Low_Upgraded_Acidification Potential (AP) - kg SO2 eq_Effluent release; wastewater treatment unit; at surface water; m3 wastewater - US_Without Amendment_Aerated Static Pile</v>
      </c>
    </row>
    <row r="11974" spans="1:13" s="120" customFormat="1" x14ac:dyDescent="0.25">
      <c r="A11974" s="119"/>
      <c r="B11974" s="138" t="str">
        <f t="shared" si="1038"/>
        <v>Aerated Static Pile</v>
      </c>
      <c r="C11974" s="138" t="str">
        <f t="shared" si="1039"/>
        <v>Without Amendment</v>
      </c>
      <c r="D11974" s="138" t="str">
        <f t="shared" si="1043"/>
        <v>Medium_Low</v>
      </c>
      <c r="E11974" s="138" t="str">
        <f t="shared" si="1040"/>
        <v>Base</v>
      </c>
      <c r="F11974" s="138" t="str">
        <f t="shared" si="1041"/>
        <v>Upgraded</v>
      </c>
      <c r="G11974" s="153"/>
      <c r="H11974" s="210">
        <v>6.1000000000000004E-3</v>
      </c>
      <c r="I11974" s="160" t="s">
        <v>168</v>
      </c>
      <c r="J11974" s="160">
        <v>2.5999999999999998E-4</v>
      </c>
      <c r="K11974" s="160" t="s">
        <v>24</v>
      </c>
      <c r="L11974" s="154" t="str">
        <f>IF(OpenLCAbasic!K11974="CTUh", "Fill in Manually",IF(OR(K11974="Unit", K11974=""), "", INDEX(LookUps!$E$5:$E$12, MATCH(OpenLCAbasic!K11974,LookUps!$D$5:$D$12,0))))</f>
        <v>Acidification Potential (AP) - kg SO2 eq</v>
      </c>
      <c r="M11974" s="154" t="str">
        <f t="shared" si="1044"/>
        <v>Base_Medium_Low_Upgraded_Acidification Potential (AP) - kg SO2 eq_ClearCove SCP; wastewater treatment unit; at updated plant - US_Without Amendment_Aerated Static Pile</v>
      </c>
    </row>
    <row r="11975" spans="1:13" s="120" customFormat="1" x14ac:dyDescent="0.25">
      <c r="A11975" s="119"/>
      <c r="B11975" s="138" t="str">
        <f t="shared" si="1038"/>
        <v>Aerated Static Pile</v>
      </c>
      <c r="C11975" s="138" t="str">
        <f t="shared" si="1039"/>
        <v>Without Amendment</v>
      </c>
      <c r="D11975" s="138" t="str">
        <f t="shared" si="1043"/>
        <v>Medium_Low</v>
      </c>
      <c r="E11975" s="138" t="str">
        <f t="shared" si="1040"/>
        <v>Base</v>
      </c>
      <c r="F11975" s="138" t="str">
        <f t="shared" si="1041"/>
        <v>Upgraded</v>
      </c>
      <c r="G11975" s="153"/>
      <c r="H11975" s="210">
        <v>1E-3</v>
      </c>
      <c r="I11975" s="160" t="s">
        <v>148</v>
      </c>
      <c r="J11975" s="211">
        <v>4.0354700000000002E-5</v>
      </c>
      <c r="K11975" s="160" t="s">
        <v>24</v>
      </c>
      <c r="L11975" s="154" t="str">
        <f>IF(OpenLCAbasic!K11975="CTUh", "Fill in Manually",IF(OR(K11975="Unit", K11975=""), "", INDEX(LookUps!$E$5:$E$12, MATCH(OpenLCAbasic!K11975,LookUps!$D$5:$D$12,0))))</f>
        <v>Acidification Potential (AP) - kg SO2 eq</v>
      </c>
      <c r="M11975" s="154" t="str">
        <f t="shared" si="1044"/>
        <v>Base_Medium_Low_Upgraded_Acidification Potential (AP) - kg SO2 eq_Control Building; at upgraded wastewater treatment plant - US_Without Amendment_Aerated Static Pile</v>
      </c>
    </row>
    <row r="11976" spans="1:13" s="120" customFormat="1" x14ac:dyDescent="0.25">
      <c r="A11976" s="119"/>
      <c r="B11976" s="138" t="str">
        <f t="shared" si="1038"/>
        <v>Aerated Static Pile</v>
      </c>
      <c r="C11976" s="138" t="str">
        <f t="shared" si="1039"/>
        <v>Without Amendment</v>
      </c>
      <c r="D11976" s="138" t="str">
        <f t="shared" si="1043"/>
        <v>Medium_Low</v>
      </c>
      <c r="E11976" s="138" t="str">
        <f t="shared" si="1040"/>
        <v>Base</v>
      </c>
      <c r="F11976" s="138" t="str">
        <f t="shared" si="1041"/>
        <v>Upgraded</v>
      </c>
      <c r="G11976" s="153"/>
      <c r="H11976" s="210">
        <v>-6.6699999999999995E-2</v>
      </c>
      <c r="I11976" s="160" t="s">
        <v>149</v>
      </c>
      <c r="J11976" s="160">
        <v>-2.7799999999999999E-3</v>
      </c>
      <c r="K11976" s="160" t="s">
        <v>24</v>
      </c>
      <c r="L11976" s="154" t="str">
        <f>IF(OpenLCAbasic!K11976="CTUh", "Fill in Manually",IF(OR(K11976="Unit", K11976=""), "", INDEX(LookUps!$E$5:$E$12, MATCH(OpenLCAbasic!K11976,LookUps!$D$5:$D$12,0))))</f>
        <v>Acidification Potential (AP) - kg SO2 eq</v>
      </c>
      <c r="M11976" s="154" t="str">
        <f t="shared" si="1044"/>
        <v>Base_Medium_Low_Upgraded_Acidification Potential (AP) - kg SO2 eq_Anaerobic Digestion; wastewater treatment unit; at updated plant - US_Without Amendment_Aerated Static Pile</v>
      </c>
    </row>
    <row r="11977" spans="1:13" s="120" customFormat="1" x14ac:dyDescent="0.25">
      <c r="A11977" s="119"/>
      <c r="B11977" s="138" t="str">
        <f t="shared" si="1038"/>
        <v/>
      </c>
      <c r="C11977" s="138" t="str">
        <f t="shared" si="1039"/>
        <v/>
      </c>
      <c r="D11977" s="138" t="str">
        <f t="shared" si="1043"/>
        <v/>
      </c>
      <c r="E11977" s="138" t="str">
        <f t="shared" si="1040"/>
        <v/>
      </c>
      <c r="F11977" s="138" t="str">
        <f t="shared" si="1041"/>
        <v/>
      </c>
      <c r="G11977" s="153" t="s">
        <v>51</v>
      </c>
      <c r="H11977" s="160"/>
      <c r="I11977" s="160" t="s">
        <v>47</v>
      </c>
      <c r="J11977" s="160" t="s">
        <v>52</v>
      </c>
      <c r="K11977" s="160" t="s">
        <v>27</v>
      </c>
      <c r="L11977" s="154" t="str">
        <f>IF(OpenLCAbasic!K11977="CTUh", "Fill in Manually",IF(OR(K11977="Unit", K11977=""), "", INDEX(LookUps!$E$5:$E$12, MATCH(OpenLCAbasic!K11977,LookUps!$D$5:$D$12,0))))</f>
        <v/>
      </c>
      <c r="M11977" s="154" t="str">
        <f t="shared" si="1044"/>
        <v>____Process__</v>
      </c>
    </row>
    <row r="11978" spans="1:13" s="120" customFormat="1" x14ac:dyDescent="0.25">
      <c r="A11978" s="119"/>
      <c r="B11978" s="138" t="str">
        <f t="shared" si="1038"/>
        <v>Aerated Static Pile</v>
      </c>
      <c r="C11978" s="138" t="str">
        <f t="shared" si="1039"/>
        <v>Without Amendment</v>
      </c>
      <c r="D11978" s="138" t="str">
        <f t="shared" si="1043"/>
        <v>Medium_Low</v>
      </c>
      <c r="E11978" s="138" t="str">
        <f t="shared" si="1040"/>
        <v>Base</v>
      </c>
      <c r="F11978" s="138" t="str">
        <f t="shared" si="1041"/>
        <v>Upgraded</v>
      </c>
      <c r="G11978" s="153"/>
      <c r="H11978" s="210">
        <v>0.32190000000000002</v>
      </c>
      <c r="I11978" s="160" t="s">
        <v>167</v>
      </c>
      <c r="J11978" s="160">
        <v>4.2789599999999997</v>
      </c>
      <c r="K11978" s="160" t="s">
        <v>15</v>
      </c>
      <c r="L11978" s="154" t="str">
        <f>IF(OpenLCAbasic!K11978="CTUh", "Fill in Manually",IF(OR(K11978="Unit", K11978=""), "", INDEX(LookUps!$E$5:$E$12, MATCH(OpenLCAbasic!K11978,LookUps!$D$5:$D$12,0))))</f>
        <v>Cumulative Energy Demand (CED) - MJ</v>
      </c>
      <c r="M11978" s="154" t="str">
        <f t="shared" si="1044"/>
        <v>Base_Medium_Low_Upgraded_Cumulative Energy Demand (CED) - MJ_Waste Receiving and Holding; wastewater treatment unit; at updated plant - US_Without Amendment_Aerated Static Pile</v>
      </c>
    </row>
    <row r="11979" spans="1:13" s="120" customFormat="1" x14ac:dyDescent="0.25">
      <c r="A11979" s="119"/>
      <c r="B11979" s="138" t="str">
        <f t="shared" si="1038"/>
        <v>Aerated Static Pile</v>
      </c>
      <c r="C11979" s="138" t="str">
        <f t="shared" si="1039"/>
        <v>Without Amendment</v>
      </c>
      <c r="D11979" s="138" t="str">
        <f t="shared" si="1043"/>
        <v>Medium_Low</v>
      </c>
      <c r="E11979" s="138" t="str">
        <f t="shared" si="1040"/>
        <v>Base</v>
      </c>
      <c r="F11979" s="138" t="str">
        <f t="shared" si="1041"/>
        <v>Upgraded</v>
      </c>
      <c r="G11979" s="153"/>
      <c r="H11979" s="210">
        <v>0.26579999999999998</v>
      </c>
      <c r="I11979" s="160" t="s">
        <v>55</v>
      </c>
      <c r="J11979" s="160">
        <v>3.5330499999999998</v>
      </c>
      <c r="K11979" s="160" t="s">
        <v>15</v>
      </c>
      <c r="L11979" s="154" t="str">
        <f>IF(OpenLCAbasic!K11979="CTUh", "Fill in Manually",IF(OR(K11979="Unit", K11979=""), "", INDEX(LookUps!$E$5:$E$12, MATCH(OpenLCAbasic!K11979,LookUps!$D$5:$D$12,0))))</f>
        <v>Cumulative Energy Demand (CED) - MJ</v>
      </c>
      <c r="M11979" s="154" t="str">
        <f t="shared" si="1044"/>
        <v>Base_Medium_Low_Upgraded_Cumulative Energy Demand (CED) - MJ_Aeration Tanks; wastewater treatment unit; at updated plant - US_Without Amendment_Aerated Static Pile</v>
      </c>
    </row>
    <row r="11980" spans="1:13" s="120" customFormat="1" x14ac:dyDescent="0.25">
      <c r="A11980" s="119"/>
      <c r="B11980" s="138" t="str">
        <f t="shared" si="1038"/>
        <v>Aerated Static Pile</v>
      </c>
      <c r="C11980" s="138" t="str">
        <f t="shared" si="1039"/>
        <v>Without Amendment</v>
      </c>
      <c r="D11980" s="138" t="str">
        <f t="shared" si="1043"/>
        <v>Medium_Low</v>
      </c>
      <c r="E11980" s="138" t="str">
        <f t="shared" si="1040"/>
        <v>Base</v>
      </c>
      <c r="F11980" s="138" t="str">
        <f t="shared" si="1041"/>
        <v>Upgraded</v>
      </c>
      <c r="G11980" s="153"/>
      <c r="H11980" s="210">
        <v>8.7499999999999994E-2</v>
      </c>
      <c r="I11980" s="160" t="s">
        <v>54</v>
      </c>
      <c r="J11980" s="160">
        <v>1.16289</v>
      </c>
      <c r="K11980" s="160" t="s">
        <v>15</v>
      </c>
      <c r="L11980" s="154" t="str">
        <f>IF(OpenLCAbasic!K11980="CTUh", "Fill in Manually",IF(OR(K11980="Unit", K11980=""), "", INDEX(LookUps!$E$5:$E$12, MATCH(OpenLCAbasic!K11980,LookUps!$D$5:$D$12,0))))</f>
        <v>Cumulative Energy Demand (CED) - MJ</v>
      </c>
      <c r="M11980" s="154" t="str">
        <f t="shared" si="1044"/>
        <v>Base_Medium_Low_Upgraded_Cumulative Energy Demand (CED) - MJ_Clear Cove Primary Clarification; wastewater treatment unit; at updated plant - US_Without Amendment_Aerated Static Pile</v>
      </c>
    </row>
    <row r="11981" spans="1:13" s="120" customFormat="1" x14ac:dyDescent="0.25">
      <c r="A11981" s="119"/>
      <c r="B11981" s="138" t="str">
        <f t="shared" si="1038"/>
        <v>Aerated Static Pile</v>
      </c>
      <c r="C11981" s="138" t="str">
        <f t="shared" si="1039"/>
        <v>Without Amendment</v>
      </c>
      <c r="D11981" s="138" t="str">
        <f t="shared" si="1043"/>
        <v>Medium_Low</v>
      </c>
      <c r="E11981" s="138" t="str">
        <f t="shared" si="1040"/>
        <v>Base</v>
      </c>
      <c r="F11981" s="138" t="str">
        <f t="shared" si="1041"/>
        <v>Upgraded</v>
      </c>
      <c r="G11981" s="153"/>
      <c r="H11981" s="210">
        <v>6.6699999999999995E-2</v>
      </c>
      <c r="I11981" s="160" t="s">
        <v>58</v>
      </c>
      <c r="J11981" s="160">
        <v>0.88705000000000001</v>
      </c>
      <c r="K11981" s="160" t="s">
        <v>15</v>
      </c>
      <c r="L11981" s="154" t="str">
        <f>IF(OpenLCAbasic!K11981="CTUh", "Fill in Manually",IF(OR(K11981="Unit", K11981=""), "", INDEX(LookUps!$E$5:$E$12, MATCH(OpenLCAbasic!K11981,LookUps!$D$5:$D$12,0))))</f>
        <v>Cumulative Energy Demand (CED) - MJ</v>
      </c>
      <c r="M11981" s="154" t="str">
        <f t="shared" si="1044"/>
        <v>Base_Medium_Low_Upgraded_Cumulative Energy Demand (CED) - MJ_Pre-Anoxic &amp; Swing tank; wastewater treatment unit; at updated plant - US_Without Amendment_Aerated Static Pile</v>
      </c>
    </row>
    <row r="11982" spans="1:13" s="120" customFormat="1" x14ac:dyDescent="0.25">
      <c r="A11982" s="119"/>
      <c r="B11982" s="138" t="str">
        <f t="shared" si="1038"/>
        <v>Aerated Static Pile</v>
      </c>
      <c r="C11982" s="138" t="str">
        <f t="shared" si="1039"/>
        <v>Without Amendment</v>
      </c>
      <c r="D11982" s="138" t="str">
        <f t="shared" si="1043"/>
        <v>Medium_Low</v>
      </c>
      <c r="E11982" s="138" t="str">
        <f t="shared" si="1040"/>
        <v>Base</v>
      </c>
      <c r="F11982" s="138" t="str">
        <f t="shared" si="1041"/>
        <v>Upgraded</v>
      </c>
      <c r="G11982" s="153"/>
      <c r="H11982" s="210">
        <v>6.6400000000000001E-2</v>
      </c>
      <c r="I11982" s="160" t="s">
        <v>147</v>
      </c>
      <c r="J11982" s="160">
        <v>0.88297000000000003</v>
      </c>
      <c r="K11982" s="160" t="s">
        <v>15</v>
      </c>
      <c r="L11982" s="154" t="str">
        <f>IF(OpenLCAbasic!K11982="CTUh", "Fill in Manually",IF(OR(K11982="Unit", K11982=""), "", INDEX(LookUps!$E$5:$E$12, MATCH(OpenLCAbasic!K11982,LookUps!$D$5:$D$12,0))))</f>
        <v>Cumulative Energy Demand (CED) - MJ</v>
      </c>
      <c r="M11982" s="154" t="str">
        <f t="shared" si="1044"/>
        <v>Base_Medium_Low_Upgraded_Cumulative Energy Demand (CED) - MJ_Influent Pump Station; wastewater treatment unit; at updated plant - US_Without Amendment_Aerated Static Pile</v>
      </c>
    </row>
    <row r="11983" spans="1:13" s="120" customFormat="1" x14ac:dyDescent="0.25">
      <c r="A11983" s="119"/>
      <c r="B11983" s="138" t="str">
        <f t="shared" si="1038"/>
        <v>Aerated Static Pile</v>
      </c>
      <c r="C11983" s="138" t="str">
        <f t="shared" si="1039"/>
        <v>Without Amendment</v>
      </c>
      <c r="D11983" s="138" t="str">
        <f t="shared" si="1043"/>
        <v>Medium_Low</v>
      </c>
      <c r="E11983" s="138" t="str">
        <f t="shared" si="1040"/>
        <v>Base</v>
      </c>
      <c r="F11983" s="138" t="str">
        <f t="shared" si="1041"/>
        <v>Upgraded</v>
      </c>
      <c r="G11983" s="153"/>
      <c r="H11983" s="210">
        <v>5.2400000000000002E-2</v>
      </c>
      <c r="I11983" s="160" t="s">
        <v>53</v>
      </c>
      <c r="J11983" s="160">
        <v>0.69645000000000001</v>
      </c>
      <c r="K11983" s="160" t="s">
        <v>15</v>
      </c>
      <c r="L11983" s="154" t="str">
        <f>IF(OpenLCAbasic!K11983="CTUh", "Fill in Manually",IF(OR(K11983="Unit", K11983=""), "", INDEX(LookUps!$E$5:$E$12, MATCH(OpenLCAbasic!K11983,LookUps!$D$5:$D$12,0))))</f>
        <v>Cumulative Energy Demand (CED) - MJ</v>
      </c>
      <c r="M11983" s="154" t="str">
        <f t="shared" si="1044"/>
        <v>Base_Medium_Low_Upgraded_Cumulative Energy Demand (CED) - MJ_Wet Well and Sump Station; wastewater treatment unit; at updated plant - US_Without Amendment_Aerated Static Pile</v>
      </c>
    </row>
    <row r="11984" spans="1:13" s="120" customFormat="1" x14ac:dyDescent="0.25">
      <c r="A11984" s="119"/>
      <c r="B11984" s="138" t="str">
        <f t="shared" si="1038"/>
        <v>Aerated Static Pile</v>
      </c>
      <c r="C11984" s="138" t="str">
        <f t="shared" si="1039"/>
        <v>Without Amendment</v>
      </c>
      <c r="D11984" s="138" t="str">
        <f t="shared" si="1043"/>
        <v>Medium_Low</v>
      </c>
      <c r="E11984" s="138" t="str">
        <f t="shared" si="1040"/>
        <v>Base</v>
      </c>
      <c r="F11984" s="138" t="str">
        <f t="shared" si="1041"/>
        <v>Upgraded</v>
      </c>
      <c r="G11984" s="153"/>
      <c r="H11984" s="210">
        <v>4.0800000000000003E-2</v>
      </c>
      <c r="I11984" s="160" t="s">
        <v>435</v>
      </c>
      <c r="J11984" s="160">
        <v>0.54220000000000002</v>
      </c>
      <c r="K11984" s="160" t="s">
        <v>15</v>
      </c>
      <c r="L11984" s="154" t="str">
        <f>IF(OpenLCAbasic!K11984="CTUh", "Fill in Manually",IF(OR(K11984="Unit", K11984=""), "", INDEX(LookUps!$E$5:$E$12, MATCH(OpenLCAbasic!K11984,LookUps!$D$5:$D$12,0))))</f>
        <v>Cumulative Energy Demand (CED) - MJ</v>
      </c>
      <c r="M11984" s="154" t="str">
        <f t="shared" si="1044"/>
        <v>Base_Medium_Low_Upgraded_Cumulative Energy Demand (CED) - MJ_Biosolids composting; aerated static pile; wastewater treatment unit; at updated plant - US_Without Amendment_Aerated Static Pile</v>
      </c>
    </row>
    <row r="11985" spans="1:13" s="120" customFormat="1" x14ac:dyDescent="0.25">
      <c r="A11985" s="119"/>
      <c r="B11985" s="138" t="str">
        <f t="shared" si="1038"/>
        <v>Aerated Static Pile</v>
      </c>
      <c r="C11985" s="138" t="str">
        <f t="shared" si="1039"/>
        <v>Without Amendment</v>
      </c>
      <c r="D11985" s="138" t="str">
        <f t="shared" si="1043"/>
        <v>Medium_Low</v>
      </c>
      <c r="E11985" s="138" t="str">
        <f t="shared" si="1040"/>
        <v>Base</v>
      </c>
      <c r="F11985" s="138" t="str">
        <f t="shared" si="1041"/>
        <v>Upgraded</v>
      </c>
      <c r="G11985" s="153"/>
      <c r="H11985" s="210">
        <v>3.3799999999999997E-2</v>
      </c>
      <c r="I11985" s="160" t="s">
        <v>60</v>
      </c>
      <c r="J11985" s="160">
        <v>0.44939000000000001</v>
      </c>
      <c r="K11985" s="160" t="s">
        <v>15</v>
      </c>
      <c r="L11985" s="154" t="str">
        <f>IF(OpenLCAbasic!K11985="CTUh", "Fill in Manually",IF(OR(K11985="Unit", K11985=""), "", INDEX(LookUps!$E$5:$E$12, MATCH(OpenLCAbasic!K11985,LookUps!$D$5:$D$12,0))))</f>
        <v>Cumulative Energy Demand (CED) - MJ</v>
      </c>
      <c r="M11985" s="154" t="str">
        <f t="shared" si="1044"/>
        <v>Base_Medium_Low_Upgraded_Cumulative Energy Demand (CED) - MJ_Belt filter press; wastewater treatment unit; at updated plant - US_Without Amendment_Aerated Static Pile</v>
      </c>
    </row>
    <row r="11986" spans="1:13" s="120" customFormat="1" x14ac:dyDescent="0.25">
      <c r="A11986" s="119"/>
      <c r="B11986" s="138" t="str">
        <f t="shared" si="1038"/>
        <v>Aerated Static Pile</v>
      </c>
      <c r="C11986" s="138" t="str">
        <f t="shared" si="1039"/>
        <v>Without Amendment</v>
      </c>
      <c r="D11986" s="138" t="str">
        <f t="shared" si="1043"/>
        <v>Medium_Low</v>
      </c>
      <c r="E11986" s="138" t="str">
        <f t="shared" si="1040"/>
        <v>Base</v>
      </c>
      <c r="F11986" s="138" t="str">
        <f t="shared" si="1041"/>
        <v>Upgraded</v>
      </c>
      <c r="G11986" s="153"/>
      <c r="H11986" s="210">
        <v>2.5100000000000001E-2</v>
      </c>
      <c r="I11986" s="160" t="s">
        <v>57</v>
      </c>
      <c r="J11986" s="160">
        <v>0.33404</v>
      </c>
      <c r="K11986" s="160" t="s">
        <v>15</v>
      </c>
      <c r="L11986" s="154" t="str">
        <f>IF(OpenLCAbasic!K11986="CTUh", "Fill in Manually",IF(OR(K11986="Unit", K11986=""), "", INDEX(LookUps!$E$5:$E$12, MATCH(OpenLCAbasic!K11986,LookUps!$D$5:$D$12,0))))</f>
        <v>Cumulative Energy Demand (CED) - MJ</v>
      </c>
      <c r="M11986" s="154" t="str">
        <f t="shared" si="1044"/>
        <v>Base_Medium_Low_Upgraded_Cumulative Energy Demand (CED) - MJ_Gravity Belt Thickener; wastewater treatment unit; at updated plant - US_Without Amendment_Aerated Static Pile</v>
      </c>
    </row>
    <row r="11987" spans="1:13" s="120" customFormat="1" x14ac:dyDescent="0.25">
      <c r="A11987" s="119"/>
      <c r="B11987" s="138" t="str">
        <f t="shared" si="1038"/>
        <v>Aerated Static Pile</v>
      </c>
      <c r="C11987" s="138" t="str">
        <f t="shared" si="1039"/>
        <v>Without Amendment</v>
      </c>
      <c r="D11987" s="138" t="str">
        <f t="shared" si="1043"/>
        <v>Medium_Low</v>
      </c>
      <c r="E11987" s="138" t="str">
        <f t="shared" si="1040"/>
        <v>Base</v>
      </c>
      <c r="F11987" s="138" t="str">
        <f t="shared" si="1041"/>
        <v>Upgraded</v>
      </c>
      <c r="G11987" s="153"/>
      <c r="H11987" s="210">
        <v>2.07E-2</v>
      </c>
      <c r="I11987" s="160" t="s">
        <v>149</v>
      </c>
      <c r="J11987" s="160">
        <v>0.27453</v>
      </c>
      <c r="K11987" s="160" t="s">
        <v>15</v>
      </c>
      <c r="L11987" s="154" t="str">
        <f>IF(OpenLCAbasic!K11987="CTUh", "Fill in Manually",IF(OR(K11987="Unit", K11987=""), "", INDEX(LookUps!$E$5:$E$12, MATCH(OpenLCAbasic!K11987,LookUps!$D$5:$D$12,0))))</f>
        <v>Cumulative Energy Demand (CED) - MJ</v>
      </c>
      <c r="M11987" s="154" t="str">
        <f t="shared" si="1044"/>
        <v>Base_Medium_Low_Upgraded_Cumulative Energy Demand (CED) - MJ_Anaerobic Digestion; wastewater treatment unit; at updated plant - US_Without Amendment_Aerated Static Pile</v>
      </c>
    </row>
    <row r="11988" spans="1:13" s="120" customFormat="1" x14ac:dyDescent="0.25">
      <c r="A11988" s="119"/>
      <c r="B11988" s="138" t="str">
        <f t="shared" si="1038"/>
        <v>Aerated Static Pile</v>
      </c>
      <c r="C11988" s="138" t="str">
        <f t="shared" si="1039"/>
        <v>Without Amendment</v>
      </c>
      <c r="D11988" s="138" t="str">
        <f t="shared" si="1043"/>
        <v>Medium_Low</v>
      </c>
      <c r="E11988" s="138" t="str">
        <f t="shared" si="1040"/>
        <v>Base</v>
      </c>
      <c r="F11988" s="138" t="str">
        <f t="shared" si="1041"/>
        <v>Upgraded</v>
      </c>
      <c r="G11988" s="153"/>
      <c r="H11988" s="210">
        <v>1.9300000000000001E-2</v>
      </c>
      <c r="I11988" s="160" t="s">
        <v>128</v>
      </c>
      <c r="J11988" s="160">
        <v>0.25606000000000001</v>
      </c>
      <c r="K11988" s="160" t="s">
        <v>15</v>
      </c>
      <c r="L11988" s="154" t="str">
        <f>IF(OpenLCAbasic!K11988="CTUh", "Fill in Manually",IF(OR(K11988="Unit", K11988=""), "", INDEX(LookUps!$E$5:$E$12, MATCH(OpenLCAbasic!K11988,LookUps!$D$5:$D$12,0))))</f>
        <v>Cumulative Energy Demand (CED) - MJ</v>
      </c>
      <c r="M11988" s="154" t="str">
        <f t="shared" si="1044"/>
        <v>Base_Medium_Low_Upgraded_Cumulative Energy Demand (CED) - MJ_Wastewater collection; operation and infrastructure; m3 wastewater_Without Amendment_Aerated Static Pile</v>
      </c>
    </row>
    <row r="11989" spans="1:13" s="120" customFormat="1" x14ac:dyDescent="0.25">
      <c r="A11989" s="119"/>
      <c r="B11989" s="138" t="str">
        <f t="shared" si="1038"/>
        <v>Aerated Static Pile</v>
      </c>
      <c r="C11989" s="138" t="str">
        <f t="shared" si="1039"/>
        <v>Without Amendment</v>
      </c>
      <c r="D11989" s="138" t="str">
        <f t="shared" si="1043"/>
        <v>Medium_Low</v>
      </c>
      <c r="E11989" s="138" t="str">
        <f t="shared" si="1040"/>
        <v>Base</v>
      </c>
      <c r="F11989" s="138" t="str">
        <f t="shared" si="1041"/>
        <v>Upgraded</v>
      </c>
      <c r="G11989" s="153"/>
      <c r="H11989" s="210">
        <v>1.0999999999999999E-2</v>
      </c>
      <c r="I11989" s="160" t="s">
        <v>148</v>
      </c>
      <c r="J11989" s="160">
        <v>0.14599000000000001</v>
      </c>
      <c r="K11989" s="160" t="s">
        <v>15</v>
      </c>
      <c r="L11989" s="154" t="str">
        <f>IF(OpenLCAbasic!K11989="CTUh", "Fill in Manually",IF(OR(K11989="Unit", K11989=""), "", INDEX(LookUps!$E$5:$E$12, MATCH(OpenLCAbasic!K11989,LookUps!$D$5:$D$12,0))))</f>
        <v>Cumulative Energy Demand (CED) - MJ</v>
      </c>
      <c r="M11989" s="154" t="str">
        <f t="shared" si="1044"/>
        <v>Base_Medium_Low_Upgraded_Cumulative Energy Demand (CED) - MJ_Control Building; at upgraded wastewater treatment plant - US_Without Amendment_Aerated Static Pile</v>
      </c>
    </row>
    <row r="11990" spans="1:13" s="120" customFormat="1" x14ac:dyDescent="0.25">
      <c r="A11990" s="119"/>
      <c r="B11990" s="138" t="str">
        <f t="shared" si="1038"/>
        <v>Aerated Static Pile</v>
      </c>
      <c r="C11990" s="138" t="str">
        <f t="shared" si="1039"/>
        <v>Without Amendment</v>
      </c>
      <c r="D11990" s="138" t="str">
        <f t="shared" si="1043"/>
        <v>Medium_Low</v>
      </c>
      <c r="E11990" s="138" t="str">
        <f t="shared" si="1040"/>
        <v>Base</v>
      </c>
      <c r="F11990" s="138" t="str">
        <f t="shared" si="1041"/>
        <v>Upgraded</v>
      </c>
      <c r="G11990" s="153"/>
      <c r="H11990" s="210">
        <v>0.01</v>
      </c>
      <c r="I11990" s="160" t="s">
        <v>48</v>
      </c>
      <c r="J11990" s="160">
        <v>0.13321</v>
      </c>
      <c r="K11990" s="160" t="s">
        <v>15</v>
      </c>
      <c r="L11990" s="154" t="str">
        <f>IF(OpenLCAbasic!K11990="CTUh", "Fill in Manually",IF(OR(K11990="Unit", K11990=""), "", INDEX(LookUps!$E$5:$E$12, MATCH(OpenLCAbasic!K11990,LookUps!$D$5:$D$12,0))))</f>
        <v>Cumulative Energy Demand (CED) - MJ</v>
      </c>
      <c r="M11990" s="154" t="str">
        <f t="shared" si="1044"/>
        <v>Base_Medium_Low_Upgraded_Cumulative Energy Demand (CED) - MJ_Effluent release; wastewater treatment unit; at surface water; m3 wastewater - US_Without Amendment_Aerated Static Pile</v>
      </c>
    </row>
    <row r="11991" spans="1:13" s="120" customFormat="1" x14ac:dyDescent="0.25">
      <c r="A11991" s="119"/>
      <c r="B11991" s="138" t="str">
        <f t="shared" si="1038"/>
        <v>Aerated Static Pile</v>
      </c>
      <c r="C11991" s="138" t="str">
        <f t="shared" si="1039"/>
        <v>Without Amendment</v>
      </c>
      <c r="D11991" s="138" t="str">
        <f t="shared" si="1043"/>
        <v>Medium_Low</v>
      </c>
      <c r="E11991" s="138" t="str">
        <f t="shared" si="1040"/>
        <v>Base</v>
      </c>
      <c r="F11991" s="138" t="str">
        <f t="shared" si="1041"/>
        <v>Upgraded</v>
      </c>
      <c r="G11991" s="153"/>
      <c r="H11991" s="210">
        <v>8.0000000000000002E-3</v>
      </c>
      <c r="I11991" s="160" t="s">
        <v>59</v>
      </c>
      <c r="J11991" s="160">
        <v>0.10638</v>
      </c>
      <c r="K11991" s="160" t="s">
        <v>15</v>
      </c>
      <c r="L11991" s="154" t="str">
        <f>IF(OpenLCAbasic!K11991="CTUh", "Fill in Manually",IF(OR(K11991="Unit", K11991=""), "", INDEX(LookUps!$E$5:$E$12, MATCH(OpenLCAbasic!K11991,LookUps!$D$5:$D$12,0))))</f>
        <v>Cumulative Energy Demand (CED) - MJ</v>
      </c>
      <c r="M11991" s="154" t="str">
        <f t="shared" si="1044"/>
        <v>Base_Medium_Low_Upgraded_Cumulative Energy Demand (CED) - MJ_Blend Tank; wastewater treatment unit; at updated plant - US_Without Amendment_Aerated Static Pile</v>
      </c>
    </row>
    <row r="11992" spans="1:13" s="120" customFormat="1" x14ac:dyDescent="0.25">
      <c r="A11992" s="119"/>
      <c r="B11992" s="138" t="str">
        <f t="shared" si="1038"/>
        <v>Aerated Static Pile</v>
      </c>
      <c r="C11992" s="138" t="str">
        <f t="shared" si="1039"/>
        <v>Without Amendment</v>
      </c>
      <c r="D11992" s="138" t="str">
        <f t="shared" si="1043"/>
        <v>Medium_Low</v>
      </c>
      <c r="E11992" s="138" t="str">
        <f t="shared" si="1040"/>
        <v>Base</v>
      </c>
      <c r="F11992" s="138" t="str">
        <f t="shared" si="1041"/>
        <v>Upgraded</v>
      </c>
      <c r="G11992" s="153"/>
      <c r="H11992" s="210">
        <v>3.8E-3</v>
      </c>
      <c r="I11992" s="160" t="s">
        <v>168</v>
      </c>
      <c r="J11992" s="160">
        <v>5.0930000000000003E-2</v>
      </c>
      <c r="K11992" s="160" t="s">
        <v>15</v>
      </c>
      <c r="L11992" s="154" t="str">
        <f>IF(OpenLCAbasic!K11992="CTUh", "Fill in Manually",IF(OR(K11992="Unit", K11992=""), "", INDEX(LookUps!$E$5:$E$12, MATCH(OpenLCAbasic!K11992,LookUps!$D$5:$D$12,0))))</f>
        <v>Cumulative Energy Demand (CED) - MJ</v>
      </c>
      <c r="M11992" s="154" t="str">
        <f t="shared" si="1044"/>
        <v>Base_Medium_Low_Upgraded_Cumulative Energy Demand (CED) - MJ_ClearCove SCP; wastewater treatment unit; at updated plant - US_Without Amendment_Aerated Static Pile</v>
      </c>
    </row>
    <row r="11993" spans="1:13" s="120" customFormat="1" x14ac:dyDescent="0.25">
      <c r="A11993" s="119"/>
      <c r="B11993" s="138" t="str">
        <f t="shared" si="1038"/>
        <v>Aerated Static Pile</v>
      </c>
      <c r="C11993" s="138" t="str">
        <f t="shared" si="1039"/>
        <v>Without Amendment</v>
      </c>
      <c r="D11993" s="138" t="str">
        <f t="shared" si="1043"/>
        <v>Medium_Low</v>
      </c>
      <c r="E11993" s="138" t="str">
        <f t="shared" si="1040"/>
        <v>Base</v>
      </c>
      <c r="F11993" s="138" t="str">
        <f t="shared" si="1041"/>
        <v>Upgraded</v>
      </c>
      <c r="G11993" s="153"/>
      <c r="H11993" s="210">
        <v>-3.32E-2</v>
      </c>
      <c r="I11993" s="160" t="s">
        <v>62</v>
      </c>
      <c r="J11993" s="160">
        <v>-0.44119999999999998</v>
      </c>
      <c r="K11993" s="160" t="s">
        <v>15</v>
      </c>
      <c r="L11993" s="154" t="str">
        <f>IF(OpenLCAbasic!K11993="CTUh", "Fill in Manually",IF(OR(K11993="Unit", K11993=""), "", INDEX(LookUps!$E$5:$E$12, MATCH(OpenLCAbasic!K11993,LookUps!$D$5:$D$12,0))))</f>
        <v>Cumulative Energy Demand (CED) - MJ</v>
      </c>
      <c r="M11993" s="154" t="str">
        <f t="shared" si="1044"/>
        <v>Base_Medium_Low_Upgraded_Cumulative Energy Demand (CED) - MJ_Land application of compost; wastewater treatment unit; at updated plant - US_Without Amendment_Aerated Static Pile</v>
      </c>
    </row>
    <row r="11994" spans="1:13" s="120" customFormat="1" x14ac:dyDescent="0.25">
      <c r="A11994" s="119"/>
      <c r="B11994" s="138" t="str">
        <f t="shared" si="1038"/>
        <v/>
      </c>
      <c r="C11994" s="138" t="str">
        <f t="shared" si="1039"/>
        <v/>
      </c>
      <c r="D11994" s="138" t="str">
        <f t="shared" si="1043"/>
        <v/>
      </c>
      <c r="E11994" s="138" t="str">
        <f t="shared" si="1040"/>
        <v/>
      </c>
      <c r="F11994" s="138" t="str">
        <f t="shared" si="1041"/>
        <v/>
      </c>
      <c r="G11994" s="153" t="s">
        <v>51</v>
      </c>
      <c r="H11994" s="160"/>
      <c r="I11994" s="160" t="s">
        <v>47</v>
      </c>
      <c r="J11994" s="160" t="s">
        <v>52</v>
      </c>
      <c r="K11994" s="160" t="s">
        <v>27</v>
      </c>
      <c r="L11994" s="154" t="str">
        <f>IF(OpenLCAbasic!K11994="CTUh", "Fill in Manually",IF(OR(K11994="Unit", K11994=""), "", INDEX(LookUps!$E$5:$E$12, MATCH(OpenLCAbasic!K11994,LookUps!$D$5:$D$12,0))))</f>
        <v/>
      </c>
      <c r="M11994" s="154" t="str">
        <f t="shared" si="1044"/>
        <v>____Process__</v>
      </c>
    </row>
    <row r="11995" spans="1:13" s="120" customFormat="1" x14ac:dyDescent="0.25">
      <c r="A11995" s="119"/>
      <c r="B11995" s="138" t="str">
        <f t="shared" si="1038"/>
        <v>Aerated Static Pile</v>
      </c>
      <c r="C11995" s="138" t="str">
        <f t="shared" si="1039"/>
        <v>Without Amendment</v>
      </c>
      <c r="D11995" s="138" t="str">
        <f t="shared" si="1043"/>
        <v>Medium_Low</v>
      </c>
      <c r="E11995" s="138" t="str">
        <f t="shared" si="1040"/>
        <v>Base</v>
      </c>
      <c r="F11995" s="138" t="str">
        <f t="shared" si="1041"/>
        <v>Upgraded</v>
      </c>
      <c r="G11995" s="153"/>
      <c r="H11995" s="210">
        <v>0.75849999999999995</v>
      </c>
      <c r="I11995" s="160" t="s">
        <v>48</v>
      </c>
      <c r="J11995" s="160">
        <v>1.1610000000000001E-2</v>
      </c>
      <c r="K11995" s="160" t="s">
        <v>13</v>
      </c>
      <c r="L11995" s="154" t="str">
        <f>IF(OpenLCAbasic!K11995="CTUh", "Fill in Manually",IF(OR(K11995="Unit", K11995=""), "", INDEX(LookUps!$E$5:$E$12, MATCH(OpenLCAbasic!K11995,LookUps!$D$5:$D$12,0))))</f>
        <v>Eutrophication Potential (EP) - kg N eq</v>
      </c>
      <c r="M11995" s="154" t="str">
        <f t="shared" si="1044"/>
        <v>Base_Medium_Low_Upgraded_Eutrophication Potential (EP) - kg N eq_Effluent release; wastewater treatment unit; at surface water; m3 wastewater - US_Without Amendment_Aerated Static Pile</v>
      </c>
    </row>
    <row r="11996" spans="1:13" s="120" customFormat="1" x14ac:dyDescent="0.25">
      <c r="A11996" s="119"/>
      <c r="B11996" s="138" t="str">
        <f t="shared" si="1038"/>
        <v>Aerated Static Pile</v>
      </c>
      <c r="C11996" s="138" t="str">
        <f t="shared" si="1039"/>
        <v>Without Amendment</v>
      </c>
      <c r="D11996" s="138" t="str">
        <f t="shared" si="1043"/>
        <v>Medium_Low</v>
      </c>
      <c r="E11996" s="138" t="str">
        <f t="shared" si="1040"/>
        <v>Base</v>
      </c>
      <c r="F11996" s="138" t="str">
        <f t="shared" si="1041"/>
        <v>Upgraded</v>
      </c>
      <c r="G11996" s="153"/>
      <c r="H11996" s="210">
        <v>0.13139999999999999</v>
      </c>
      <c r="I11996" s="160" t="s">
        <v>62</v>
      </c>
      <c r="J11996" s="160">
        <v>2.0100000000000001E-3</v>
      </c>
      <c r="K11996" s="160" t="s">
        <v>13</v>
      </c>
      <c r="L11996" s="154" t="str">
        <f>IF(OpenLCAbasic!K11996="CTUh", "Fill in Manually",IF(OR(K11996="Unit", K11996=""), "", INDEX(LookUps!$E$5:$E$12, MATCH(OpenLCAbasic!K11996,LookUps!$D$5:$D$12,0))))</f>
        <v>Eutrophication Potential (EP) - kg N eq</v>
      </c>
      <c r="M11996" s="154" t="str">
        <f t="shared" si="1044"/>
        <v>Base_Medium_Low_Upgraded_Eutrophication Potential (EP) - kg N eq_Land application of compost; wastewater treatment unit; at updated plant - US_Without Amendment_Aerated Static Pile</v>
      </c>
    </row>
    <row r="11997" spans="1:13" s="120" customFormat="1" x14ac:dyDescent="0.25">
      <c r="A11997" s="119"/>
      <c r="B11997" s="138" t="str">
        <f t="shared" si="1038"/>
        <v>Aerated Static Pile</v>
      </c>
      <c r="C11997" s="138" t="str">
        <f t="shared" si="1039"/>
        <v>Without Amendment</v>
      </c>
      <c r="D11997" s="138" t="str">
        <f t="shared" si="1043"/>
        <v>Medium_Low</v>
      </c>
      <c r="E11997" s="138" t="str">
        <f t="shared" si="1040"/>
        <v>Base</v>
      </c>
      <c r="F11997" s="138" t="str">
        <f t="shared" si="1041"/>
        <v>Upgraded</v>
      </c>
      <c r="G11997" s="153"/>
      <c r="H11997" s="210">
        <v>3.5700000000000003E-2</v>
      </c>
      <c r="I11997" s="160" t="s">
        <v>55</v>
      </c>
      <c r="J11997" s="160">
        <v>5.5000000000000003E-4</v>
      </c>
      <c r="K11997" s="160" t="s">
        <v>13</v>
      </c>
      <c r="L11997" s="154" t="str">
        <f>IF(OpenLCAbasic!K11997="CTUh", "Fill in Manually",IF(OR(K11997="Unit", K11997=""), "", INDEX(LookUps!$E$5:$E$12, MATCH(OpenLCAbasic!K11997,LookUps!$D$5:$D$12,0))))</f>
        <v>Eutrophication Potential (EP) - kg N eq</v>
      </c>
      <c r="M11997" s="154" t="str">
        <f t="shared" si="1044"/>
        <v>Base_Medium_Low_Upgraded_Eutrophication Potential (EP) - kg N eq_Aeration Tanks; wastewater treatment unit; at updated plant - US_Without Amendment_Aerated Static Pile</v>
      </c>
    </row>
    <row r="11998" spans="1:13" s="120" customFormat="1" x14ac:dyDescent="0.25">
      <c r="A11998" s="119"/>
      <c r="B11998" s="138" t="str">
        <f t="shared" si="1038"/>
        <v>Aerated Static Pile</v>
      </c>
      <c r="C11998" s="138" t="str">
        <f t="shared" si="1039"/>
        <v>Without Amendment</v>
      </c>
      <c r="D11998" s="138" t="str">
        <f t="shared" si="1043"/>
        <v>Medium_Low</v>
      </c>
      <c r="E11998" s="138" t="str">
        <f t="shared" si="1040"/>
        <v>Base</v>
      </c>
      <c r="F11998" s="138" t="str">
        <f t="shared" si="1041"/>
        <v>Upgraded</v>
      </c>
      <c r="G11998" s="153"/>
      <c r="H11998" s="210">
        <v>1.6299999999999999E-2</v>
      </c>
      <c r="I11998" s="160" t="s">
        <v>147</v>
      </c>
      <c r="J11998" s="160">
        <v>2.5000000000000001E-4</v>
      </c>
      <c r="K11998" s="160" t="s">
        <v>13</v>
      </c>
      <c r="L11998" s="154" t="str">
        <f>IF(OpenLCAbasic!K11998="CTUh", "Fill in Manually",IF(OR(K11998="Unit", K11998=""), "", INDEX(LookUps!$E$5:$E$12, MATCH(OpenLCAbasic!K11998,LookUps!$D$5:$D$12,0))))</f>
        <v>Eutrophication Potential (EP) - kg N eq</v>
      </c>
      <c r="M11998" s="154" t="str">
        <f t="shared" si="1044"/>
        <v>Base_Medium_Low_Upgraded_Eutrophication Potential (EP) - kg N eq_Influent Pump Station; wastewater treatment unit; at updated plant - US_Without Amendment_Aerated Static Pile</v>
      </c>
    </row>
    <row r="11999" spans="1:13" s="120" customFormat="1" x14ac:dyDescent="0.25">
      <c r="A11999" s="119"/>
      <c r="B11999" s="138" t="str">
        <f t="shared" si="1038"/>
        <v>Aerated Static Pile</v>
      </c>
      <c r="C11999" s="138" t="str">
        <f t="shared" si="1039"/>
        <v>Without Amendment</v>
      </c>
      <c r="D11999" s="138" t="str">
        <f t="shared" si="1043"/>
        <v>Medium_Low</v>
      </c>
      <c r="E11999" s="138" t="str">
        <f t="shared" si="1040"/>
        <v>Base</v>
      </c>
      <c r="F11999" s="138" t="str">
        <f t="shared" si="1041"/>
        <v>Upgraded</v>
      </c>
      <c r="G11999" s="153"/>
      <c r="H11999" s="210">
        <v>1.29E-2</v>
      </c>
      <c r="I11999" s="160" t="s">
        <v>54</v>
      </c>
      <c r="J11999" s="160">
        <v>2.0000000000000001E-4</v>
      </c>
      <c r="K11999" s="160" t="s">
        <v>13</v>
      </c>
      <c r="L11999" s="154" t="str">
        <f>IF(OpenLCAbasic!K11999="CTUh", "Fill in Manually",IF(OR(K11999="Unit", K11999=""), "", INDEX(LookUps!$E$5:$E$12, MATCH(OpenLCAbasic!K11999,LookUps!$D$5:$D$12,0))))</f>
        <v>Eutrophication Potential (EP) - kg N eq</v>
      </c>
      <c r="M11999" s="154" t="str">
        <f t="shared" si="1044"/>
        <v>Base_Medium_Low_Upgraded_Eutrophication Potential (EP) - kg N eq_Clear Cove Primary Clarification; wastewater treatment unit; at updated plant - US_Without Amendment_Aerated Static Pile</v>
      </c>
    </row>
    <row r="12000" spans="1:13" s="120" customFormat="1" x14ac:dyDescent="0.25">
      <c r="A12000" s="119"/>
      <c r="B12000" s="138" t="str">
        <f t="shared" si="1038"/>
        <v>Aerated Static Pile</v>
      </c>
      <c r="C12000" s="138" t="str">
        <f t="shared" si="1039"/>
        <v>Without Amendment</v>
      </c>
      <c r="D12000" s="138" t="str">
        <f t="shared" si="1043"/>
        <v>Medium_Low</v>
      </c>
      <c r="E12000" s="138" t="str">
        <f t="shared" si="1040"/>
        <v>Base</v>
      </c>
      <c r="F12000" s="138" t="str">
        <f t="shared" si="1041"/>
        <v>Upgraded</v>
      </c>
      <c r="G12000" s="153"/>
      <c r="H12000" s="210">
        <v>1.2500000000000001E-2</v>
      </c>
      <c r="I12000" s="160" t="s">
        <v>167</v>
      </c>
      <c r="J12000" s="160">
        <v>1.9000000000000001E-4</v>
      </c>
      <c r="K12000" s="160" t="s">
        <v>13</v>
      </c>
      <c r="L12000" s="154" t="str">
        <f>IF(OpenLCAbasic!K12000="CTUh", "Fill in Manually",IF(OR(K12000="Unit", K12000=""), "", INDEX(LookUps!$E$5:$E$12, MATCH(OpenLCAbasic!K12000,LookUps!$D$5:$D$12,0))))</f>
        <v>Eutrophication Potential (EP) - kg N eq</v>
      </c>
      <c r="M12000" s="154" t="str">
        <f t="shared" si="1044"/>
        <v>Base_Medium_Low_Upgraded_Eutrophication Potential (EP) - kg N eq_Waste Receiving and Holding; wastewater treatment unit; at updated plant - US_Without Amendment_Aerated Static Pile</v>
      </c>
    </row>
    <row r="12001" spans="1:13" s="120" customFormat="1" x14ac:dyDescent="0.25">
      <c r="A12001" s="119"/>
      <c r="B12001" s="138" t="str">
        <f t="shared" si="1038"/>
        <v>Aerated Static Pile</v>
      </c>
      <c r="C12001" s="138" t="str">
        <f t="shared" si="1039"/>
        <v>Without Amendment</v>
      </c>
      <c r="D12001" s="138" t="str">
        <f t="shared" si="1043"/>
        <v>Medium_Low</v>
      </c>
      <c r="E12001" s="138" t="str">
        <f t="shared" si="1040"/>
        <v>Base</v>
      </c>
      <c r="F12001" s="138" t="str">
        <f t="shared" si="1041"/>
        <v>Upgraded</v>
      </c>
      <c r="G12001" s="153"/>
      <c r="H12001" s="210">
        <v>8.8999999999999999E-3</v>
      </c>
      <c r="I12001" s="160" t="s">
        <v>58</v>
      </c>
      <c r="J12001" s="160">
        <v>1.3999999999999999E-4</v>
      </c>
      <c r="K12001" s="160" t="s">
        <v>13</v>
      </c>
      <c r="L12001" s="154" t="str">
        <f>IF(OpenLCAbasic!K12001="CTUh", "Fill in Manually",IF(OR(K12001="Unit", K12001=""), "", INDEX(LookUps!$E$5:$E$12, MATCH(OpenLCAbasic!K12001,LookUps!$D$5:$D$12,0))))</f>
        <v>Eutrophication Potential (EP) - kg N eq</v>
      </c>
      <c r="M12001" s="154" t="str">
        <f t="shared" si="1044"/>
        <v>Base_Medium_Low_Upgraded_Eutrophication Potential (EP) - kg N eq_Pre-Anoxic &amp; Swing tank; wastewater treatment unit; at updated plant - US_Without Amendment_Aerated Static Pile</v>
      </c>
    </row>
    <row r="12002" spans="1:13" s="120" customFormat="1" x14ac:dyDescent="0.25">
      <c r="A12002" s="119"/>
      <c r="B12002" s="138" t="str">
        <f t="shared" si="1038"/>
        <v>Aerated Static Pile</v>
      </c>
      <c r="C12002" s="138" t="str">
        <f t="shared" si="1039"/>
        <v>Without Amendment</v>
      </c>
      <c r="D12002" s="138" t="str">
        <f t="shared" si="1043"/>
        <v>Medium_Low</v>
      </c>
      <c r="E12002" s="138" t="str">
        <f t="shared" si="1040"/>
        <v>Base</v>
      </c>
      <c r="F12002" s="138" t="str">
        <f t="shared" si="1041"/>
        <v>Upgraded</v>
      </c>
      <c r="G12002" s="153"/>
      <c r="H12002" s="210">
        <v>7.0000000000000001E-3</v>
      </c>
      <c r="I12002" s="160" t="s">
        <v>53</v>
      </c>
      <c r="J12002" s="160">
        <v>1.1E-4</v>
      </c>
      <c r="K12002" s="160" t="s">
        <v>13</v>
      </c>
      <c r="L12002" s="154" t="str">
        <f>IF(OpenLCAbasic!K12002="CTUh", "Fill in Manually",IF(OR(K12002="Unit", K12002=""), "", INDEX(LookUps!$E$5:$E$12, MATCH(OpenLCAbasic!K12002,LookUps!$D$5:$D$12,0))))</f>
        <v>Eutrophication Potential (EP) - kg N eq</v>
      </c>
      <c r="M12002" s="154" t="str">
        <f t="shared" si="1044"/>
        <v>Base_Medium_Low_Upgraded_Eutrophication Potential (EP) - kg N eq_Wet Well and Sump Station; wastewater treatment unit; at updated plant - US_Without Amendment_Aerated Static Pile</v>
      </c>
    </row>
    <row r="12003" spans="1:13" s="120" customFormat="1" x14ac:dyDescent="0.25">
      <c r="A12003" s="119"/>
      <c r="B12003" s="138" t="str">
        <f t="shared" si="1038"/>
        <v>Aerated Static Pile</v>
      </c>
      <c r="C12003" s="138" t="str">
        <f t="shared" si="1039"/>
        <v>Without Amendment</v>
      </c>
      <c r="D12003" s="138" t="str">
        <f t="shared" si="1043"/>
        <v>Medium_Low</v>
      </c>
      <c r="E12003" s="138" t="str">
        <f t="shared" si="1040"/>
        <v>Base</v>
      </c>
      <c r="F12003" s="138" t="str">
        <f t="shared" si="1041"/>
        <v>Upgraded</v>
      </c>
      <c r="G12003" s="153"/>
      <c r="H12003" s="210">
        <v>6.3E-3</v>
      </c>
      <c r="I12003" s="160" t="s">
        <v>435</v>
      </c>
      <c r="J12003" s="211">
        <v>9.7174200000000002E-5</v>
      </c>
      <c r="K12003" s="160" t="s">
        <v>13</v>
      </c>
      <c r="L12003" s="154" t="str">
        <f>IF(OpenLCAbasic!K12003="CTUh", "Fill in Manually",IF(OR(K12003="Unit", K12003=""), "", INDEX(LookUps!$E$5:$E$12, MATCH(OpenLCAbasic!K12003,LookUps!$D$5:$D$12,0))))</f>
        <v>Eutrophication Potential (EP) - kg N eq</v>
      </c>
      <c r="M12003" s="154" t="str">
        <f t="shared" si="1044"/>
        <v>Base_Medium_Low_Upgraded_Eutrophication Potential (EP) - kg N eq_Biosolids composting; aerated static pile; wastewater treatment unit; at updated plant - US_Without Amendment_Aerated Static Pile</v>
      </c>
    </row>
    <row r="12004" spans="1:13" s="120" customFormat="1" x14ac:dyDescent="0.25">
      <c r="A12004" s="119"/>
      <c r="B12004" s="138" t="str">
        <f t="shared" si="1038"/>
        <v>Aerated Static Pile</v>
      </c>
      <c r="C12004" s="138" t="str">
        <f t="shared" si="1039"/>
        <v>Without Amendment</v>
      </c>
      <c r="D12004" s="138" t="str">
        <f t="shared" si="1043"/>
        <v>Medium_Low</v>
      </c>
      <c r="E12004" s="138" t="str">
        <f t="shared" si="1040"/>
        <v>Base</v>
      </c>
      <c r="F12004" s="138" t="str">
        <f t="shared" si="1041"/>
        <v>Upgraded</v>
      </c>
      <c r="G12004" s="153"/>
      <c r="H12004" s="210">
        <v>5.1999999999999998E-3</v>
      </c>
      <c r="I12004" s="160" t="s">
        <v>60</v>
      </c>
      <c r="J12004" s="211">
        <v>7.8941800000000004E-5</v>
      </c>
      <c r="K12004" s="160" t="s">
        <v>13</v>
      </c>
      <c r="L12004" s="154" t="str">
        <f>IF(OpenLCAbasic!K12004="CTUh", "Fill in Manually",IF(OR(K12004="Unit", K12004=""), "", INDEX(LookUps!$E$5:$E$12, MATCH(OpenLCAbasic!K12004,LookUps!$D$5:$D$12,0))))</f>
        <v>Eutrophication Potential (EP) - kg N eq</v>
      </c>
      <c r="M12004" s="154" t="str">
        <f t="shared" si="1044"/>
        <v>Base_Medium_Low_Upgraded_Eutrophication Potential (EP) - kg N eq_Belt filter press; wastewater treatment unit; at updated plant - US_Without Amendment_Aerated Static Pile</v>
      </c>
    </row>
    <row r="12005" spans="1:13" s="120" customFormat="1" x14ac:dyDescent="0.25">
      <c r="A12005" s="119"/>
      <c r="B12005" s="138" t="str">
        <f t="shared" si="1038"/>
        <v>Aerated Static Pile</v>
      </c>
      <c r="C12005" s="138" t="str">
        <f t="shared" si="1039"/>
        <v>Without Amendment</v>
      </c>
      <c r="D12005" s="138" t="str">
        <f t="shared" si="1043"/>
        <v>Medium_Low</v>
      </c>
      <c r="E12005" s="138" t="str">
        <f t="shared" si="1040"/>
        <v>Base</v>
      </c>
      <c r="F12005" s="138" t="str">
        <f t="shared" si="1041"/>
        <v>Upgraded</v>
      </c>
      <c r="G12005" s="153"/>
      <c r="H12005" s="210">
        <v>4.0000000000000001E-3</v>
      </c>
      <c r="I12005" s="160" t="s">
        <v>57</v>
      </c>
      <c r="J12005" s="211">
        <v>6.0590300000000002E-5</v>
      </c>
      <c r="K12005" s="160" t="s">
        <v>13</v>
      </c>
      <c r="L12005" s="154" t="str">
        <f>IF(OpenLCAbasic!K12005="CTUh", "Fill in Manually",IF(OR(K12005="Unit", K12005=""), "", INDEX(LookUps!$E$5:$E$12, MATCH(OpenLCAbasic!K12005,LookUps!$D$5:$D$12,0))))</f>
        <v>Eutrophication Potential (EP) - kg N eq</v>
      </c>
      <c r="M12005" s="154" t="str">
        <f t="shared" si="1044"/>
        <v>Base_Medium_Low_Upgraded_Eutrophication Potential (EP) - kg N eq_Gravity Belt Thickener; wastewater treatment unit; at updated plant - US_Without Amendment_Aerated Static Pile</v>
      </c>
    </row>
    <row r="12006" spans="1:13" s="120" customFormat="1" x14ac:dyDescent="0.25">
      <c r="A12006" s="119"/>
      <c r="B12006" s="138" t="str">
        <f t="shared" si="1038"/>
        <v>Aerated Static Pile</v>
      </c>
      <c r="C12006" s="138" t="str">
        <f t="shared" si="1039"/>
        <v>Without Amendment</v>
      </c>
      <c r="D12006" s="138" t="str">
        <f t="shared" si="1043"/>
        <v>Medium_Low</v>
      </c>
      <c r="E12006" s="138" t="str">
        <f t="shared" si="1040"/>
        <v>Base</v>
      </c>
      <c r="F12006" s="138" t="str">
        <f t="shared" si="1041"/>
        <v>Upgraded</v>
      </c>
      <c r="G12006" s="153"/>
      <c r="H12006" s="210">
        <v>2.5000000000000001E-3</v>
      </c>
      <c r="I12006" s="160" t="s">
        <v>128</v>
      </c>
      <c r="J12006" s="211">
        <v>3.7559799999999999E-5</v>
      </c>
      <c r="K12006" s="160" t="s">
        <v>13</v>
      </c>
      <c r="L12006" s="154" t="str">
        <f>IF(OpenLCAbasic!K12006="CTUh", "Fill in Manually",IF(OR(K12006="Unit", K12006=""), "", INDEX(LookUps!$E$5:$E$12, MATCH(OpenLCAbasic!K12006,LookUps!$D$5:$D$12,0))))</f>
        <v>Eutrophication Potential (EP) - kg N eq</v>
      </c>
      <c r="M12006" s="154" t="str">
        <f t="shared" si="1044"/>
        <v>Base_Medium_Low_Upgraded_Eutrophication Potential (EP) - kg N eq_Wastewater collection; operation and infrastructure; m3 wastewater_Without Amendment_Aerated Static Pile</v>
      </c>
    </row>
    <row r="12007" spans="1:13" s="120" customFormat="1" x14ac:dyDescent="0.25">
      <c r="A12007" s="119"/>
      <c r="B12007" s="138" t="str">
        <f t="shared" si="1038"/>
        <v>Aerated Static Pile</v>
      </c>
      <c r="C12007" s="138" t="str">
        <f t="shared" si="1039"/>
        <v>Without Amendment</v>
      </c>
      <c r="D12007" s="138" t="str">
        <f t="shared" si="1043"/>
        <v>Medium_Low</v>
      </c>
      <c r="E12007" s="138" t="str">
        <f t="shared" si="1040"/>
        <v>Base</v>
      </c>
      <c r="F12007" s="138" t="str">
        <f t="shared" si="1041"/>
        <v>Upgraded</v>
      </c>
      <c r="G12007" s="153"/>
      <c r="H12007" s="210">
        <v>2.3999999999999998E-3</v>
      </c>
      <c r="I12007" s="160" t="s">
        <v>148</v>
      </c>
      <c r="J12007" s="211">
        <v>3.6874600000000001E-5</v>
      </c>
      <c r="K12007" s="160" t="s">
        <v>13</v>
      </c>
      <c r="L12007" s="154" t="str">
        <f>IF(OpenLCAbasic!K12007="CTUh", "Fill in Manually",IF(OR(K12007="Unit", K12007=""), "", INDEX(LookUps!$E$5:$E$12, MATCH(OpenLCAbasic!K12007,LookUps!$D$5:$D$12,0))))</f>
        <v>Eutrophication Potential (EP) - kg N eq</v>
      </c>
      <c r="M12007" s="154" t="str">
        <f t="shared" si="1044"/>
        <v>Base_Medium_Low_Upgraded_Eutrophication Potential (EP) - kg N eq_Control Building; at upgraded wastewater treatment plant - US_Without Amendment_Aerated Static Pile</v>
      </c>
    </row>
    <row r="12008" spans="1:13" s="120" customFormat="1" x14ac:dyDescent="0.25">
      <c r="A12008" s="119"/>
      <c r="B12008" s="138" t="str">
        <f t="shared" si="1038"/>
        <v>Aerated Static Pile</v>
      </c>
      <c r="C12008" s="138" t="str">
        <f t="shared" si="1039"/>
        <v>Without Amendment</v>
      </c>
      <c r="D12008" s="138" t="str">
        <f t="shared" si="1043"/>
        <v>Medium_Low</v>
      </c>
      <c r="E12008" s="138" t="str">
        <f t="shared" si="1040"/>
        <v>Base</v>
      </c>
      <c r="F12008" s="138" t="str">
        <f t="shared" si="1041"/>
        <v>Upgraded</v>
      </c>
      <c r="G12008" s="153"/>
      <c r="H12008" s="210">
        <v>1.1000000000000001E-3</v>
      </c>
      <c r="I12008" s="160" t="s">
        <v>59</v>
      </c>
      <c r="J12008" s="211">
        <v>1.6215700000000001E-5</v>
      </c>
      <c r="K12008" s="160" t="s">
        <v>13</v>
      </c>
      <c r="L12008" s="154" t="str">
        <f>IF(OpenLCAbasic!K12008="CTUh", "Fill in Manually",IF(OR(K12008="Unit", K12008=""), "", INDEX(LookUps!$E$5:$E$12, MATCH(OpenLCAbasic!K12008,LookUps!$D$5:$D$12,0))))</f>
        <v>Eutrophication Potential (EP) - kg N eq</v>
      </c>
      <c r="M12008" s="154" t="str">
        <f t="shared" si="1044"/>
        <v>Base_Medium_Low_Upgraded_Eutrophication Potential (EP) - kg N eq_Blend Tank; wastewater treatment unit; at updated plant - US_Without Amendment_Aerated Static Pile</v>
      </c>
    </row>
    <row r="12009" spans="1:13" s="120" customFormat="1" x14ac:dyDescent="0.25">
      <c r="A12009" s="119"/>
      <c r="B12009" s="138" t="str">
        <f t="shared" ref="B12009:B12072" si="1045">IF(F12009="Legacy","n.a.",IF(F12009="","","Aerated Static Pile"))</f>
        <v>Aerated Static Pile</v>
      </c>
      <c r="C12009" s="138" t="str">
        <f t="shared" ref="C12009:C12072" si="1046">IF(ISNUMBER($J12009),"Without Amendment","")</f>
        <v>Without Amendment</v>
      </c>
      <c r="D12009" s="138" t="str">
        <f t="shared" si="1043"/>
        <v>Medium_Low</v>
      </c>
      <c r="E12009" s="138" t="str">
        <f t="shared" ref="E12009:E12072" si="1047">IF(ISNUMBER($J12009),"Base","")</f>
        <v>Base</v>
      </c>
      <c r="F12009" s="138" t="str">
        <f t="shared" ref="F12009:F12072" si="1048">IF(ISNUMBER(J12009),"Upgraded","")</f>
        <v>Upgraded</v>
      </c>
      <c r="G12009" s="153"/>
      <c r="H12009" s="210">
        <v>5.0000000000000001E-4</v>
      </c>
      <c r="I12009" s="160" t="s">
        <v>168</v>
      </c>
      <c r="J12009" s="211">
        <v>7.7567199999999995E-6</v>
      </c>
      <c r="K12009" s="160" t="s">
        <v>13</v>
      </c>
      <c r="L12009" s="154" t="str">
        <f>IF(OpenLCAbasic!K12009="CTUh", "Fill in Manually",IF(OR(K12009="Unit", K12009=""), "", INDEX(LookUps!$E$5:$E$12, MATCH(OpenLCAbasic!K12009,LookUps!$D$5:$D$12,0))))</f>
        <v>Eutrophication Potential (EP) - kg N eq</v>
      </c>
      <c r="M12009" s="154" t="str">
        <f t="shared" si="1044"/>
        <v>Base_Medium_Low_Upgraded_Eutrophication Potential (EP) - kg N eq_ClearCove SCP; wastewater treatment unit; at updated plant - US_Without Amendment_Aerated Static Pile</v>
      </c>
    </row>
    <row r="12010" spans="1:13" s="120" customFormat="1" x14ac:dyDescent="0.25">
      <c r="A12010" s="119"/>
      <c r="B12010" s="138" t="str">
        <f t="shared" si="1045"/>
        <v>Aerated Static Pile</v>
      </c>
      <c r="C12010" s="138" t="str">
        <f t="shared" si="1046"/>
        <v>Without Amendment</v>
      </c>
      <c r="D12010" s="138" t="str">
        <f t="shared" si="1043"/>
        <v>Medium_Low</v>
      </c>
      <c r="E12010" s="138" t="str">
        <f t="shared" si="1047"/>
        <v>Base</v>
      </c>
      <c r="F12010" s="138" t="str">
        <f t="shared" si="1048"/>
        <v>Upgraded</v>
      </c>
      <c r="G12010" s="153"/>
      <c r="H12010" s="210">
        <v>-5.1000000000000004E-3</v>
      </c>
      <c r="I12010" s="160" t="s">
        <v>149</v>
      </c>
      <c r="J12010" s="211">
        <v>-7.8280099999999996E-5</v>
      </c>
      <c r="K12010" s="160" t="s">
        <v>13</v>
      </c>
      <c r="L12010" s="154" t="str">
        <f>IF(OpenLCAbasic!K12010="CTUh", "Fill in Manually",IF(OR(K12010="Unit", K12010=""), "", INDEX(LookUps!$E$5:$E$12, MATCH(OpenLCAbasic!K12010,LookUps!$D$5:$D$12,0))))</f>
        <v>Eutrophication Potential (EP) - kg N eq</v>
      </c>
      <c r="M12010" s="154" t="str">
        <f t="shared" si="1044"/>
        <v>Base_Medium_Low_Upgraded_Eutrophication Potential (EP) - kg N eq_Anaerobic Digestion; wastewater treatment unit; at updated plant - US_Without Amendment_Aerated Static Pile</v>
      </c>
    </row>
    <row r="12011" spans="1:13" s="120" customFormat="1" x14ac:dyDescent="0.25">
      <c r="A12011" s="119"/>
      <c r="B12011" s="138" t="str">
        <f t="shared" si="1045"/>
        <v/>
      </c>
      <c r="C12011" s="138" t="str">
        <f t="shared" si="1046"/>
        <v/>
      </c>
      <c r="D12011" s="138" t="str">
        <f t="shared" si="1043"/>
        <v/>
      </c>
      <c r="E12011" s="138" t="str">
        <f t="shared" si="1047"/>
        <v/>
      </c>
      <c r="F12011" s="138" t="str">
        <f t="shared" si="1048"/>
        <v/>
      </c>
      <c r="G12011" s="153" t="s">
        <v>51</v>
      </c>
      <c r="H12011" s="160"/>
      <c r="I12011" s="160" t="s">
        <v>47</v>
      </c>
      <c r="J12011" s="160" t="s">
        <v>52</v>
      </c>
      <c r="K12011" s="160" t="s">
        <v>27</v>
      </c>
      <c r="L12011" s="154" t="str">
        <f>IF(OpenLCAbasic!K12011="CTUh", "Fill in Manually",IF(OR(K12011="Unit", K12011=""), "", INDEX(LookUps!$E$5:$E$12, MATCH(OpenLCAbasic!K12011,LookUps!$D$5:$D$12,0))))</f>
        <v/>
      </c>
      <c r="M12011" s="154" t="str">
        <f t="shared" si="1044"/>
        <v>____Process__</v>
      </c>
    </row>
    <row r="12012" spans="1:13" s="120" customFormat="1" x14ac:dyDescent="0.25">
      <c r="A12012" s="119"/>
      <c r="B12012" s="138" t="str">
        <f t="shared" si="1045"/>
        <v>Aerated Static Pile</v>
      </c>
      <c r="C12012" s="138" t="str">
        <f t="shared" si="1046"/>
        <v>Without Amendment</v>
      </c>
      <c r="D12012" s="138" t="str">
        <f t="shared" si="1043"/>
        <v>Medium_Low</v>
      </c>
      <c r="E12012" s="138" t="str">
        <f t="shared" si="1047"/>
        <v>Base</v>
      </c>
      <c r="F12012" s="138" t="str">
        <f t="shared" si="1048"/>
        <v>Upgraded</v>
      </c>
      <c r="G12012" s="153"/>
      <c r="H12012" s="210">
        <v>0.36399999999999999</v>
      </c>
      <c r="I12012" s="160" t="s">
        <v>167</v>
      </c>
      <c r="J12012" s="160">
        <v>9.7259999999999999E-2</v>
      </c>
      <c r="K12012" s="160" t="s">
        <v>14</v>
      </c>
      <c r="L12012" s="154" t="str">
        <f>IF(OpenLCAbasic!K12012="CTUh", "Fill in Manually",IF(OR(K12012="Unit", K12012=""), "", INDEX(LookUps!$E$5:$E$12, MATCH(OpenLCAbasic!K12012,LookUps!$D$5:$D$12,0))))</f>
        <v>Fossil Depletion Potential (FDP) - kg oil eq</v>
      </c>
      <c r="M12012" s="154" t="str">
        <f t="shared" si="1044"/>
        <v>Base_Medium_Low_Upgraded_Fossil Depletion Potential (FDP) - kg oil eq_Waste Receiving and Holding; wastewater treatment unit; at updated plant - US_Without Amendment_Aerated Static Pile</v>
      </c>
    </row>
    <row r="12013" spans="1:13" s="120" customFormat="1" x14ac:dyDescent="0.25">
      <c r="A12013" s="119"/>
      <c r="B12013" s="138" t="str">
        <f t="shared" si="1045"/>
        <v>Aerated Static Pile</v>
      </c>
      <c r="C12013" s="138" t="str">
        <f t="shared" si="1046"/>
        <v>Without Amendment</v>
      </c>
      <c r="D12013" s="138" t="str">
        <f t="shared" si="1043"/>
        <v>Medium_Low</v>
      </c>
      <c r="E12013" s="138" t="str">
        <f t="shared" si="1047"/>
        <v>Base</v>
      </c>
      <c r="F12013" s="138" t="str">
        <f t="shared" si="1048"/>
        <v>Upgraded</v>
      </c>
      <c r="G12013" s="153"/>
      <c r="H12013" s="210">
        <v>0.23799999999999999</v>
      </c>
      <c r="I12013" s="160" t="s">
        <v>55</v>
      </c>
      <c r="J12013" s="160">
        <v>6.3589999999999994E-2</v>
      </c>
      <c r="K12013" s="160" t="s">
        <v>14</v>
      </c>
      <c r="L12013" s="154" t="str">
        <f>IF(OpenLCAbasic!K12013="CTUh", "Fill in Manually",IF(OR(K12013="Unit", K12013=""), "", INDEX(LookUps!$E$5:$E$12, MATCH(OpenLCAbasic!K12013,LookUps!$D$5:$D$12,0))))</f>
        <v>Fossil Depletion Potential (FDP) - kg oil eq</v>
      </c>
      <c r="M12013" s="154" t="str">
        <f t="shared" si="1044"/>
        <v>Base_Medium_Low_Upgraded_Fossil Depletion Potential (FDP) - kg oil eq_Aeration Tanks; wastewater treatment unit; at updated plant - US_Without Amendment_Aerated Static Pile</v>
      </c>
    </row>
    <row r="12014" spans="1:13" s="120" customFormat="1" x14ac:dyDescent="0.25">
      <c r="A12014" s="119"/>
      <c r="B12014" s="138" t="str">
        <f t="shared" si="1045"/>
        <v>Aerated Static Pile</v>
      </c>
      <c r="C12014" s="138" t="str">
        <f t="shared" si="1046"/>
        <v>Without Amendment</v>
      </c>
      <c r="D12014" s="138" t="str">
        <f t="shared" si="1043"/>
        <v>Medium_Low</v>
      </c>
      <c r="E12014" s="138" t="str">
        <f t="shared" si="1047"/>
        <v>Base</v>
      </c>
      <c r="F12014" s="138" t="str">
        <f t="shared" si="1048"/>
        <v>Upgraded</v>
      </c>
      <c r="G12014" s="153"/>
      <c r="H12014" s="210">
        <v>7.8799999999999995E-2</v>
      </c>
      <c r="I12014" s="160" t="s">
        <v>54</v>
      </c>
      <c r="J12014" s="160">
        <v>2.1049999999999999E-2</v>
      </c>
      <c r="K12014" s="160" t="s">
        <v>14</v>
      </c>
      <c r="L12014" s="154" t="str">
        <f>IF(OpenLCAbasic!K12014="CTUh", "Fill in Manually",IF(OR(K12014="Unit", K12014=""), "", INDEX(LookUps!$E$5:$E$12, MATCH(OpenLCAbasic!K12014,LookUps!$D$5:$D$12,0))))</f>
        <v>Fossil Depletion Potential (FDP) - kg oil eq</v>
      </c>
      <c r="M12014" s="154" t="str">
        <f t="shared" si="1044"/>
        <v>Base_Medium_Low_Upgraded_Fossil Depletion Potential (FDP) - kg oil eq_Clear Cove Primary Clarification; wastewater treatment unit; at updated plant - US_Without Amendment_Aerated Static Pile</v>
      </c>
    </row>
    <row r="12015" spans="1:13" s="120" customFormat="1" x14ac:dyDescent="0.25">
      <c r="A12015" s="119"/>
      <c r="B12015" s="138" t="str">
        <f t="shared" si="1045"/>
        <v>Aerated Static Pile</v>
      </c>
      <c r="C12015" s="138" t="str">
        <f t="shared" si="1046"/>
        <v>Without Amendment</v>
      </c>
      <c r="D12015" s="138" t="str">
        <f t="shared" si="1043"/>
        <v>Medium_Low</v>
      </c>
      <c r="E12015" s="138" t="str">
        <f t="shared" si="1047"/>
        <v>Base</v>
      </c>
      <c r="F12015" s="138" t="str">
        <f t="shared" si="1048"/>
        <v>Upgraded</v>
      </c>
      <c r="G12015" s="153"/>
      <c r="H12015" s="210">
        <v>5.9799999999999999E-2</v>
      </c>
      <c r="I12015" s="160" t="s">
        <v>58</v>
      </c>
      <c r="J12015" s="160">
        <v>1.5980000000000001E-2</v>
      </c>
      <c r="K12015" s="160" t="s">
        <v>14</v>
      </c>
      <c r="L12015" s="154" t="str">
        <f>IF(OpenLCAbasic!K12015="CTUh", "Fill in Manually",IF(OR(K12015="Unit", K12015=""), "", INDEX(LookUps!$E$5:$E$12, MATCH(OpenLCAbasic!K12015,LookUps!$D$5:$D$12,0))))</f>
        <v>Fossil Depletion Potential (FDP) - kg oil eq</v>
      </c>
      <c r="M12015" s="154" t="str">
        <f t="shared" si="1044"/>
        <v>Base_Medium_Low_Upgraded_Fossil Depletion Potential (FDP) - kg oil eq_Pre-Anoxic &amp; Swing tank; wastewater treatment unit; at updated plant - US_Without Amendment_Aerated Static Pile</v>
      </c>
    </row>
    <row r="12016" spans="1:13" s="120" customFormat="1" x14ac:dyDescent="0.25">
      <c r="A12016" s="119"/>
      <c r="B12016" s="138" t="str">
        <f t="shared" si="1045"/>
        <v>Aerated Static Pile</v>
      </c>
      <c r="C12016" s="138" t="str">
        <f t="shared" si="1046"/>
        <v>Without Amendment</v>
      </c>
      <c r="D12016" s="138" t="str">
        <f t="shared" si="1043"/>
        <v>Medium_Low</v>
      </c>
      <c r="E12016" s="138" t="str">
        <f t="shared" si="1047"/>
        <v>Base</v>
      </c>
      <c r="F12016" s="138" t="str">
        <f t="shared" si="1048"/>
        <v>Upgraded</v>
      </c>
      <c r="G12016" s="153"/>
      <c r="H12016" s="210">
        <v>5.6500000000000002E-2</v>
      </c>
      <c r="I12016" s="160" t="s">
        <v>147</v>
      </c>
      <c r="J12016" s="160">
        <v>1.5089999999999999E-2</v>
      </c>
      <c r="K12016" s="160" t="s">
        <v>14</v>
      </c>
      <c r="L12016" s="154" t="str">
        <f>IF(OpenLCAbasic!K12016="CTUh", "Fill in Manually",IF(OR(K12016="Unit", K12016=""), "", INDEX(LookUps!$E$5:$E$12, MATCH(OpenLCAbasic!K12016,LookUps!$D$5:$D$12,0))))</f>
        <v>Fossil Depletion Potential (FDP) - kg oil eq</v>
      </c>
      <c r="M12016" s="154" t="str">
        <f t="shared" si="1044"/>
        <v>Base_Medium_Low_Upgraded_Fossil Depletion Potential (FDP) - kg oil eq_Influent Pump Station; wastewater treatment unit; at updated plant - US_Without Amendment_Aerated Static Pile</v>
      </c>
    </row>
    <row r="12017" spans="1:13" s="120" customFormat="1" x14ac:dyDescent="0.25">
      <c r="A12017" s="119"/>
      <c r="B12017" s="138" t="str">
        <f t="shared" si="1045"/>
        <v>Aerated Static Pile</v>
      </c>
      <c r="C12017" s="138" t="str">
        <f t="shared" si="1046"/>
        <v>Without Amendment</v>
      </c>
      <c r="D12017" s="138" t="str">
        <f t="shared" si="1043"/>
        <v>Medium_Low</v>
      </c>
      <c r="E12017" s="138" t="str">
        <f t="shared" si="1047"/>
        <v>Base</v>
      </c>
      <c r="F12017" s="138" t="str">
        <f t="shared" si="1048"/>
        <v>Upgraded</v>
      </c>
      <c r="G12017" s="153"/>
      <c r="H12017" s="210">
        <v>4.6699999999999998E-2</v>
      </c>
      <c r="I12017" s="160" t="s">
        <v>53</v>
      </c>
      <c r="J12017" s="160">
        <v>1.2489999999999999E-2</v>
      </c>
      <c r="K12017" s="160" t="s">
        <v>14</v>
      </c>
      <c r="L12017" s="154" t="str">
        <f>IF(OpenLCAbasic!K12017="CTUh", "Fill in Manually",IF(OR(K12017="Unit", K12017=""), "", INDEX(LookUps!$E$5:$E$12, MATCH(OpenLCAbasic!K12017,LookUps!$D$5:$D$12,0))))</f>
        <v>Fossil Depletion Potential (FDP) - kg oil eq</v>
      </c>
      <c r="M12017" s="154" t="str">
        <f t="shared" si="1044"/>
        <v>Base_Medium_Low_Upgraded_Fossil Depletion Potential (FDP) - kg oil eq_Wet Well and Sump Station; wastewater treatment unit; at updated plant - US_Without Amendment_Aerated Static Pile</v>
      </c>
    </row>
    <row r="12018" spans="1:13" s="120" customFormat="1" x14ac:dyDescent="0.25">
      <c r="A12018" s="119"/>
      <c r="B12018" s="138" t="str">
        <f t="shared" si="1045"/>
        <v>Aerated Static Pile</v>
      </c>
      <c r="C12018" s="138" t="str">
        <f t="shared" si="1046"/>
        <v>Without Amendment</v>
      </c>
      <c r="D12018" s="138" t="str">
        <f t="shared" si="1043"/>
        <v>Medium_Low</v>
      </c>
      <c r="E12018" s="138" t="str">
        <f t="shared" si="1047"/>
        <v>Base</v>
      </c>
      <c r="F12018" s="138" t="str">
        <f t="shared" si="1048"/>
        <v>Upgraded</v>
      </c>
      <c r="G12018" s="153"/>
      <c r="H12018" s="210">
        <v>3.6900000000000002E-2</v>
      </c>
      <c r="I12018" s="160" t="s">
        <v>435</v>
      </c>
      <c r="J12018" s="160">
        <v>9.8600000000000007E-3</v>
      </c>
      <c r="K12018" s="160" t="s">
        <v>14</v>
      </c>
      <c r="L12018" s="154" t="str">
        <f>IF(OpenLCAbasic!K12018="CTUh", "Fill in Manually",IF(OR(K12018="Unit", K12018=""), "", INDEX(LookUps!$E$5:$E$12, MATCH(OpenLCAbasic!K12018,LookUps!$D$5:$D$12,0))))</f>
        <v>Fossil Depletion Potential (FDP) - kg oil eq</v>
      </c>
      <c r="M12018" s="154" t="str">
        <f t="shared" si="1044"/>
        <v>Base_Medium_Low_Upgraded_Fossil Depletion Potential (FDP) - kg oil eq_Biosolids composting; aerated static pile; wastewater treatment unit; at updated plant - US_Without Amendment_Aerated Static Pile</v>
      </c>
    </row>
    <row r="12019" spans="1:13" s="120" customFormat="1" x14ac:dyDescent="0.25">
      <c r="A12019" s="119"/>
      <c r="B12019" s="138" t="str">
        <f t="shared" si="1045"/>
        <v>Aerated Static Pile</v>
      </c>
      <c r="C12019" s="138" t="str">
        <f t="shared" si="1046"/>
        <v>Without Amendment</v>
      </c>
      <c r="D12019" s="138" t="str">
        <f t="shared" si="1043"/>
        <v>Medium_Low</v>
      </c>
      <c r="E12019" s="138" t="str">
        <f t="shared" si="1047"/>
        <v>Base</v>
      </c>
      <c r="F12019" s="138" t="str">
        <f t="shared" si="1048"/>
        <v>Upgraded</v>
      </c>
      <c r="G12019" s="153"/>
      <c r="H12019" s="210">
        <v>3.61E-2</v>
      </c>
      <c r="I12019" s="160" t="s">
        <v>149</v>
      </c>
      <c r="J12019" s="160">
        <v>9.6600000000000002E-3</v>
      </c>
      <c r="K12019" s="160" t="s">
        <v>14</v>
      </c>
      <c r="L12019" s="154" t="str">
        <f>IF(OpenLCAbasic!K12019="CTUh", "Fill in Manually",IF(OR(K12019="Unit", K12019=""), "", INDEX(LookUps!$E$5:$E$12, MATCH(OpenLCAbasic!K12019,LookUps!$D$5:$D$12,0))))</f>
        <v>Fossil Depletion Potential (FDP) - kg oil eq</v>
      </c>
      <c r="M12019" s="154" t="str">
        <f t="shared" si="1044"/>
        <v>Base_Medium_Low_Upgraded_Fossil Depletion Potential (FDP) - kg oil eq_Anaerobic Digestion; wastewater treatment unit; at updated plant - US_Without Amendment_Aerated Static Pile</v>
      </c>
    </row>
    <row r="12020" spans="1:13" s="120" customFormat="1" x14ac:dyDescent="0.25">
      <c r="A12020" s="119"/>
      <c r="B12020" s="138" t="str">
        <f t="shared" si="1045"/>
        <v>Aerated Static Pile</v>
      </c>
      <c r="C12020" s="138" t="str">
        <f t="shared" si="1046"/>
        <v>Without Amendment</v>
      </c>
      <c r="D12020" s="138" t="str">
        <f t="shared" si="1043"/>
        <v>Medium_Low</v>
      </c>
      <c r="E12020" s="138" t="str">
        <f t="shared" si="1047"/>
        <v>Base</v>
      </c>
      <c r="F12020" s="138" t="str">
        <f t="shared" si="1048"/>
        <v>Upgraded</v>
      </c>
      <c r="G12020" s="153"/>
      <c r="H12020" s="210">
        <v>3.39E-2</v>
      </c>
      <c r="I12020" s="160" t="s">
        <v>60</v>
      </c>
      <c r="J12020" s="160">
        <v>9.0600000000000003E-3</v>
      </c>
      <c r="K12020" s="160" t="s">
        <v>14</v>
      </c>
      <c r="L12020" s="154" t="str">
        <f>IF(OpenLCAbasic!K12020="CTUh", "Fill in Manually",IF(OR(K12020="Unit", K12020=""), "", INDEX(LookUps!$E$5:$E$12, MATCH(OpenLCAbasic!K12020,LookUps!$D$5:$D$12,0))))</f>
        <v>Fossil Depletion Potential (FDP) - kg oil eq</v>
      </c>
      <c r="M12020" s="154" t="str">
        <f t="shared" si="1044"/>
        <v>Base_Medium_Low_Upgraded_Fossil Depletion Potential (FDP) - kg oil eq_Belt filter press; wastewater treatment unit; at updated plant - US_Without Amendment_Aerated Static Pile</v>
      </c>
    </row>
    <row r="12021" spans="1:13" s="120" customFormat="1" x14ac:dyDescent="0.25">
      <c r="A12021" s="119"/>
      <c r="B12021" s="138" t="str">
        <f t="shared" si="1045"/>
        <v>Aerated Static Pile</v>
      </c>
      <c r="C12021" s="138" t="str">
        <f t="shared" si="1046"/>
        <v>Without Amendment</v>
      </c>
      <c r="D12021" s="138" t="str">
        <f t="shared" si="1043"/>
        <v>Medium_Low</v>
      </c>
      <c r="E12021" s="138" t="str">
        <f t="shared" si="1047"/>
        <v>Base</v>
      </c>
      <c r="F12021" s="138" t="str">
        <f t="shared" si="1048"/>
        <v>Upgraded</v>
      </c>
      <c r="G12021" s="153"/>
      <c r="H12021" s="210">
        <v>2.5899999999999999E-2</v>
      </c>
      <c r="I12021" s="160" t="s">
        <v>57</v>
      </c>
      <c r="J12021" s="160">
        <v>6.9199999999999999E-3</v>
      </c>
      <c r="K12021" s="160" t="s">
        <v>14</v>
      </c>
      <c r="L12021" s="154" t="str">
        <f>IF(OpenLCAbasic!K12021="CTUh", "Fill in Manually",IF(OR(K12021="Unit", K12021=""), "", INDEX(LookUps!$E$5:$E$12, MATCH(OpenLCAbasic!K12021,LookUps!$D$5:$D$12,0))))</f>
        <v>Fossil Depletion Potential (FDP) - kg oil eq</v>
      </c>
      <c r="M12021" s="154" t="str">
        <f t="shared" si="1044"/>
        <v>Base_Medium_Low_Upgraded_Fossil Depletion Potential (FDP) - kg oil eq_Gravity Belt Thickener; wastewater treatment unit; at updated plant - US_Without Amendment_Aerated Static Pile</v>
      </c>
    </row>
    <row r="12022" spans="1:13" s="120" customFormat="1" x14ac:dyDescent="0.25">
      <c r="A12022" s="119"/>
      <c r="B12022" s="138" t="str">
        <f t="shared" si="1045"/>
        <v>Aerated Static Pile</v>
      </c>
      <c r="C12022" s="138" t="str">
        <f t="shared" si="1046"/>
        <v>Without Amendment</v>
      </c>
      <c r="D12022" s="138" t="str">
        <f t="shared" si="1043"/>
        <v>Medium_Low</v>
      </c>
      <c r="E12022" s="138" t="str">
        <f t="shared" si="1047"/>
        <v>Base</v>
      </c>
      <c r="F12022" s="138" t="str">
        <f t="shared" si="1048"/>
        <v>Upgraded</v>
      </c>
      <c r="G12022" s="153"/>
      <c r="H12022" s="210">
        <v>1.6799999999999999E-2</v>
      </c>
      <c r="I12022" s="160" t="s">
        <v>128</v>
      </c>
      <c r="J12022" s="160">
        <v>4.4999999999999997E-3</v>
      </c>
      <c r="K12022" s="160" t="s">
        <v>14</v>
      </c>
      <c r="L12022" s="154" t="str">
        <f>IF(OpenLCAbasic!K12022="CTUh", "Fill in Manually",IF(OR(K12022="Unit", K12022=""), "", INDEX(LookUps!$E$5:$E$12, MATCH(OpenLCAbasic!K12022,LookUps!$D$5:$D$12,0))))</f>
        <v>Fossil Depletion Potential (FDP) - kg oil eq</v>
      </c>
      <c r="M12022" s="154" t="str">
        <f t="shared" si="1044"/>
        <v>Base_Medium_Low_Upgraded_Fossil Depletion Potential (FDP) - kg oil eq_Wastewater collection; operation and infrastructure; m3 wastewater_Without Amendment_Aerated Static Pile</v>
      </c>
    </row>
    <row r="12023" spans="1:13" s="120" customFormat="1" x14ac:dyDescent="0.25">
      <c r="A12023" s="119"/>
      <c r="B12023" s="138" t="str">
        <f t="shared" si="1045"/>
        <v>Aerated Static Pile</v>
      </c>
      <c r="C12023" s="138" t="str">
        <f t="shared" si="1046"/>
        <v>Without Amendment</v>
      </c>
      <c r="D12023" s="138" t="str">
        <f t="shared" si="1043"/>
        <v>Medium_Low</v>
      </c>
      <c r="E12023" s="138" t="str">
        <f t="shared" si="1047"/>
        <v>Base</v>
      </c>
      <c r="F12023" s="138" t="str">
        <f t="shared" si="1048"/>
        <v>Upgraded</v>
      </c>
      <c r="G12023" s="153"/>
      <c r="H12023" s="210">
        <v>1.0500000000000001E-2</v>
      </c>
      <c r="I12023" s="160" t="s">
        <v>148</v>
      </c>
      <c r="J12023" s="160">
        <v>2.8E-3</v>
      </c>
      <c r="K12023" s="160" t="s">
        <v>14</v>
      </c>
      <c r="L12023" s="154" t="str">
        <f>IF(OpenLCAbasic!K12023="CTUh", "Fill in Manually",IF(OR(K12023="Unit", K12023=""), "", INDEX(LookUps!$E$5:$E$12, MATCH(OpenLCAbasic!K12023,LookUps!$D$5:$D$12,0))))</f>
        <v>Fossil Depletion Potential (FDP) - kg oil eq</v>
      </c>
      <c r="M12023" s="154" t="str">
        <f t="shared" si="1044"/>
        <v>Base_Medium_Low_Upgraded_Fossil Depletion Potential (FDP) - kg oil eq_Control Building; at upgraded wastewater treatment plant - US_Without Amendment_Aerated Static Pile</v>
      </c>
    </row>
    <row r="12024" spans="1:13" s="120" customFormat="1" x14ac:dyDescent="0.25">
      <c r="A12024" s="119"/>
      <c r="B12024" s="138" t="str">
        <f t="shared" si="1045"/>
        <v>Aerated Static Pile</v>
      </c>
      <c r="C12024" s="138" t="str">
        <f t="shared" si="1046"/>
        <v>Without Amendment</v>
      </c>
      <c r="D12024" s="138" t="str">
        <f t="shared" si="1043"/>
        <v>Medium_Low</v>
      </c>
      <c r="E12024" s="138" t="str">
        <f t="shared" si="1047"/>
        <v>Base</v>
      </c>
      <c r="F12024" s="138" t="str">
        <f t="shared" si="1048"/>
        <v>Upgraded</v>
      </c>
      <c r="G12024" s="153"/>
      <c r="H12024" s="210">
        <v>8.8000000000000005E-3</v>
      </c>
      <c r="I12024" s="160" t="s">
        <v>48</v>
      </c>
      <c r="J12024" s="160">
        <v>2.3600000000000001E-3</v>
      </c>
      <c r="K12024" s="160" t="s">
        <v>14</v>
      </c>
      <c r="L12024" s="154" t="str">
        <f>IF(OpenLCAbasic!K12024="CTUh", "Fill in Manually",IF(OR(K12024="Unit", K12024=""), "", INDEX(LookUps!$E$5:$E$12, MATCH(OpenLCAbasic!K12024,LookUps!$D$5:$D$12,0))))</f>
        <v>Fossil Depletion Potential (FDP) - kg oil eq</v>
      </c>
      <c r="M12024" s="154" t="str">
        <f t="shared" si="1044"/>
        <v>Base_Medium_Low_Upgraded_Fossil Depletion Potential (FDP) - kg oil eq_Effluent release; wastewater treatment unit; at surface water; m3 wastewater - US_Without Amendment_Aerated Static Pile</v>
      </c>
    </row>
    <row r="12025" spans="1:13" s="120" customFormat="1" x14ac:dyDescent="0.25">
      <c r="A12025" s="119"/>
      <c r="B12025" s="138" t="str">
        <f t="shared" si="1045"/>
        <v>Aerated Static Pile</v>
      </c>
      <c r="C12025" s="138" t="str">
        <f t="shared" si="1046"/>
        <v>Without Amendment</v>
      </c>
      <c r="D12025" s="138" t="str">
        <f t="shared" ref="D12025:D12088" si="1049">IF(ISNUMBER($J12025),"Medium_Low","")</f>
        <v>Medium_Low</v>
      </c>
      <c r="E12025" s="138" t="str">
        <f t="shared" si="1047"/>
        <v>Base</v>
      </c>
      <c r="F12025" s="138" t="str">
        <f t="shared" si="1048"/>
        <v>Upgraded</v>
      </c>
      <c r="G12025" s="153"/>
      <c r="H12025" s="210">
        <v>7.1999999999999998E-3</v>
      </c>
      <c r="I12025" s="160" t="s">
        <v>59</v>
      </c>
      <c r="J12025" s="160">
        <v>1.92E-3</v>
      </c>
      <c r="K12025" s="160" t="s">
        <v>14</v>
      </c>
      <c r="L12025" s="154" t="str">
        <f>IF(OpenLCAbasic!K12025="CTUh", "Fill in Manually",IF(OR(K12025="Unit", K12025=""), "", INDEX(LookUps!$E$5:$E$12, MATCH(OpenLCAbasic!K12025,LookUps!$D$5:$D$12,0))))</f>
        <v>Fossil Depletion Potential (FDP) - kg oil eq</v>
      </c>
      <c r="M12025" s="154" t="str">
        <f t="shared" si="1044"/>
        <v>Base_Medium_Low_Upgraded_Fossil Depletion Potential (FDP) - kg oil eq_Blend Tank; wastewater treatment unit; at updated plant - US_Without Amendment_Aerated Static Pile</v>
      </c>
    </row>
    <row r="12026" spans="1:13" s="120" customFormat="1" x14ac:dyDescent="0.25">
      <c r="A12026" s="119"/>
      <c r="B12026" s="138" t="str">
        <f t="shared" si="1045"/>
        <v>Aerated Static Pile</v>
      </c>
      <c r="C12026" s="138" t="str">
        <f t="shared" si="1046"/>
        <v>Without Amendment</v>
      </c>
      <c r="D12026" s="138" t="str">
        <f t="shared" si="1049"/>
        <v>Medium_Low</v>
      </c>
      <c r="E12026" s="138" t="str">
        <f t="shared" si="1047"/>
        <v>Base</v>
      </c>
      <c r="F12026" s="138" t="str">
        <f t="shared" si="1048"/>
        <v>Upgraded</v>
      </c>
      <c r="G12026" s="153"/>
      <c r="H12026" s="210">
        <v>3.3999999999999998E-3</v>
      </c>
      <c r="I12026" s="160" t="s">
        <v>168</v>
      </c>
      <c r="J12026" s="160">
        <v>9.1E-4</v>
      </c>
      <c r="K12026" s="160" t="s">
        <v>14</v>
      </c>
      <c r="L12026" s="154" t="str">
        <f>IF(OpenLCAbasic!K12026="CTUh", "Fill in Manually",IF(OR(K12026="Unit", K12026=""), "", INDEX(LookUps!$E$5:$E$12, MATCH(OpenLCAbasic!K12026,LookUps!$D$5:$D$12,0))))</f>
        <v>Fossil Depletion Potential (FDP) - kg oil eq</v>
      </c>
      <c r="M12026" s="154" t="str">
        <f t="shared" si="1044"/>
        <v>Base_Medium_Low_Upgraded_Fossil Depletion Potential (FDP) - kg oil eq_ClearCove SCP; wastewater treatment unit; at updated plant - US_Without Amendment_Aerated Static Pile</v>
      </c>
    </row>
    <row r="12027" spans="1:13" s="120" customFormat="1" x14ac:dyDescent="0.25">
      <c r="A12027" s="119"/>
      <c r="B12027" s="138" t="str">
        <f t="shared" si="1045"/>
        <v>Aerated Static Pile</v>
      </c>
      <c r="C12027" s="138" t="str">
        <f t="shared" si="1046"/>
        <v>Without Amendment</v>
      </c>
      <c r="D12027" s="138" t="str">
        <f t="shared" si="1049"/>
        <v>Medium_Low</v>
      </c>
      <c r="E12027" s="138" t="str">
        <f t="shared" si="1047"/>
        <v>Base</v>
      </c>
      <c r="F12027" s="138" t="str">
        <f t="shared" si="1048"/>
        <v>Upgraded</v>
      </c>
      <c r="G12027" s="153"/>
      <c r="H12027" s="210">
        <v>-2.3400000000000001E-2</v>
      </c>
      <c r="I12027" s="160" t="s">
        <v>62</v>
      </c>
      <c r="J12027" s="160">
        <v>-6.2599999999999999E-3</v>
      </c>
      <c r="K12027" s="160" t="s">
        <v>14</v>
      </c>
      <c r="L12027" s="154" t="str">
        <f>IF(OpenLCAbasic!K12027="CTUh", "Fill in Manually",IF(OR(K12027="Unit", K12027=""), "", INDEX(LookUps!$E$5:$E$12, MATCH(OpenLCAbasic!K12027,LookUps!$D$5:$D$12,0))))</f>
        <v>Fossil Depletion Potential (FDP) - kg oil eq</v>
      </c>
      <c r="M12027" s="154" t="str">
        <f t="shared" si="1044"/>
        <v>Base_Medium_Low_Upgraded_Fossil Depletion Potential (FDP) - kg oil eq_Land application of compost; wastewater treatment unit; at updated plant - US_Without Amendment_Aerated Static Pile</v>
      </c>
    </row>
    <row r="12028" spans="1:13" s="120" customFormat="1" x14ac:dyDescent="0.25">
      <c r="A12028" s="119"/>
      <c r="B12028" s="138" t="str">
        <f t="shared" si="1045"/>
        <v/>
      </c>
      <c r="C12028" s="138" t="str">
        <f t="shared" si="1046"/>
        <v/>
      </c>
      <c r="D12028" s="138" t="str">
        <f t="shared" si="1049"/>
        <v/>
      </c>
      <c r="E12028" s="138" t="str">
        <f t="shared" si="1047"/>
        <v/>
      </c>
      <c r="F12028" s="138" t="str">
        <f t="shared" si="1048"/>
        <v/>
      </c>
      <c r="G12028" s="153" t="s">
        <v>51</v>
      </c>
      <c r="H12028" s="160"/>
      <c r="I12028" s="160" t="s">
        <v>47</v>
      </c>
      <c r="J12028" s="160" t="s">
        <v>52</v>
      </c>
      <c r="K12028" s="160" t="s">
        <v>27</v>
      </c>
      <c r="L12028" s="154" t="str">
        <f>IF(OpenLCAbasic!K12028="CTUh", "Fill in Manually",IF(OR(K12028="Unit", K12028=""), "", INDEX(LookUps!$E$5:$E$12, MATCH(OpenLCAbasic!K12028,LookUps!$D$5:$D$12,0))))</f>
        <v/>
      </c>
      <c r="M12028" s="154" t="str">
        <f t="shared" si="1044"/>
        <v>____Process__</v>
      </c>
    </row>
    <row r="12029" spans="1:13" s="120" customFormat="1" x14ac:dyDescent="0.25">
      <c r="A12029" s="119"/>
      <c r="B12029" s="138" t="str">
        <f t="shared" si="1045"/>
        <v>Aerated Static Pile</v>
      </c>
      <c r="C12029" s="138" t="str">
        <f t="shared" si="1046"/>
        <v>Without Amendment</v>
      </c>
      <c r="D12029" s="138" t="str">
        <f t="shared" si="1049"/>
        <v>Medium_Low</v>
      </c>
      <c r="E12029" s="138" t="str">
        <f t="shared" si="1047"/>
        <v>Base</v>
      </c>
      <c r="F12029" s="138" t="str">
        <f t="shared" si="1048"/>
        <v>Upgraded</v>
      </c>
      <c r="G12029" s="153"/>
      <c r="H12029" s="210">
        <v>0.4279</v>
      </c>
      <c r="I12029" s="160" t="s">
        <v>435</v>
      </c>
      <c r="J12029" s="160">
        <v>0.48203000000000001</v>
      </c>
      <c r="K12029" s="160" t="s">
        <v>23</v>
      </c>
      <c r="L12029" s="154" t="str">
        <f>IF(OpenLCAbasic!K12029="CTUh", "Fill in Manually",IF(OR(K12029="Unit", K12029=""), "", INDEX(LookUps!$E$5:$E$12, MATCH(OpenLCAbasic!K12029,LookUps!$D$5:$D$12,0))))</f>
        <v>Global Warming Potential (GWP) - kg CO2 eq</v>
      </c>
      <c r="M12029" s="154" t="str">
        <f t="shared" si="1044"/>
        <v>Base_Medium_Low_Upgraded_Global Warming Potential (GWP) - kg CO2 eq_Biosolids composting; aerated static pile; wastewater treatment unit; at updated plant - US_Without Amendment_Aerated Static Pile</v>
      </c>
    </row>
    <row r="12030" spans="1:13" s="120" customFormat="1" x14ac:dyDescent="0.25">
      <c r="A12030" s="119"/>
      <c r="B12030" s="138" t="str">
        <f t="shared" si="1045"/>
        <v>Aerated Static Pile</v>
      </c>
      <c r="C12030" s="138" t="str">
        <f t="shared" si="1046"/>
        <v>Without Amendment</v>
      </c>
      <c r="D12030" s="138" t="str">
        <f t="shared" si="1049"/>
        <v>Medium_Low</v>
      </c>
      <c r="E12030" s="138" t="str">
        <f t="shared" si="1047"/>
        <v>Base</v>
      </c>
      <c r="F12030" s="138" t="str">
        <f t="shared" si="1048"/>
        <v>Upgraded</v>
      </c>
      <c r="G12030" s="153"/>
      <c r="H12030" s="210">
        <v>0.21809999999999999</v>
      </c>
      <c r="I12030" s="160" t="s">
        <v>58</v>
      </c>
      <c r="J12030" s="160">
        <v>0.24568999999999999</v>
      </c>
      <c r="K12030" s="160" t="s">
        <v>23</v>
      </c>
      <c r="L12030" s="154" t="str">
        <f>IF(OpenLCAbasic!K12030="CTUh", "Fill in Manually",IF(OR(K12030="Unit", K12030=""), "", INDEX(LookUps!$E$5:$E$12, MATCH(OpenLCAbasic!K12030,LookUps!$D$5:$D$12,0))))</f>
        <v>Global Warming Potential (GWP) - kg CO2 eq</v>
      </c>
      <c r="M12030" s="154" t="str">
        <f t="shared" si="1044"/>
        <v>Base_Medium_Low_Upgraded_Global Warming Potential (GWP) - kg CO2 eq_Pre-Anoxic &amp; Swing tank; wastewater treatment unit; at updated plant - US_Without Amendment_Aerated Static Pile</v>
      </c>
    </row>
    <row r="12031" spans="1:13" s="120" customFormat="1" x14ac:dyDescent="0.25">
      <c r="A12031" s="119"/>
      <c r="B12031" s="138" t="str">
        <f t="shared" si="1045"/>
        <v>Aerated Static Pile</v>
      </c>
      <c r="C12031" s="138" t="str">
        <f t="shared" si="1046"/>
        <v>Without Amendment</v>
      </c>
      <c r="D12031" s="138" t="str">
        <f t="shared" si="1049"/>
        <v>Medium_Low</v>
      </c>
      <c r="E12031" s="138" t="str">
        <f t="shared" si="1047"/>
        <v>Base</v>
      </c>
      <c r="F12031" s="138" t="str">
        <f t="shared" si="1048"/>
        <v>Upgraded</v>
      </c>
      <c r="G12031" s="153"/>
      <c r="H12031" s="210">
        <v>0.14929999999999999</v>
      </c>
      <c r="I12031" s="160" t="s">
        <v>55</v>
      </c>
      <c r="J12031" s="160">
        <v>0.16822000000000001</v>
      </c>
      <c r="K12031" s="160" t="s">
        <v>23</v>
      </c>
      <c r="L12031" s="154" t="str">
        <f>IF(OpenLCAbasic!K12031="CTUh", "Fill in Manually",IF(OR(K12031="Unit", K12031=""), "", INDEX(LookUps!$E$5:$E$12, MATCH(OpenLCAbasic!K12031,LookUps!$D$5:$D$12,0))))</f>
        <v>Global Warming Potential (GWP) - kg CO2 eq</v>
      </c>
      <c r="M12031" s="154" t="str">
        <f t="shared" si="1044"/>
        <v>Base_Medium_Low_Upgraded_Global Warming Potential (GWP) - kg CO2 eq_Aeration Tanks; wastewater treatment unit; at updated plant - US_Without Amendment_Aerated Static Pile</v>
      </c>
    </row>
    <row r="12032" spans="1:13" s="120" customFormat="1" x14ac:dyDescent="0.25">
      <c r="A12032" s="119"/>
      <c r="B12032" s="138" t="str">
        <f t="shared" si="1045"/>
        <v>Aerated Static Pile</v>
      </c>
      <c r="C12032" s="138" t="str">
        <f t="shared" si="1046"/>
        <v>Without Amendment</v>
      </c>
      <c r="D12032" s="138" t="str">
        <f t="shared" si="1049"/>
        <v>Medium_Low</v>
      </c>
      <c r="E12032" s="138" t="str">
        <f t="shared" si="1047"/>
        <v>Base</v>
      </c>
      <c r="F12032" s="138" t="str">
        <f t="shared" si="1048"/>
        <v>Upgraded</v>
      </c>
      <c r="G12032" s="153"/>
      <c r="H12032" s="210">
        <v>0.10970000000000001</v>
      </c>
      <c r="I12032" s="160" t="s">
        <v>167</v>
      </c>
      <c r="J12032" s="160">
        <v>0.12354999999999999</v>
      </c>
      <c r="K12032" s="160" t="s">
        <v>23</v>
      </c>
      <c r="L12032" s="154" t="str">
        <f>IF(OpenLCAbasic!K12032="CTUh", "Fill in Manually",IF(OR(K12032="Unit", K12032=""), "", INDEX(LookUps!$E$5:$E$12, MATCH(OpenLCAbasic!K12032,LookUps!$D$5:$D$12,0))))</f>
        <v>Global Warming Potential (GWP) - kg CO2 eq</v>
      </c>
      <c r="M12032" s="154" t="str">
        <f t="shared" si="1044"/>
        <v>Base_Medium_Low_Upgraded_Global Warming Potential (GWP) - kg CO2 eq_Waste Receiving and Holding; wastewater treatment unit; at updated plant - US_Without Amendment_Aerated Static Pile</v>
      </c>
    </row>
    <row r="12033" spans="1:13" s="120" customFormat="1" x14ac:dyDescent="0.25">
      <c r="A12033" s="119"/>
      <c r="B12033" s="138" t="str">
        <f t="shared" si="1045"/>
        <v>Aerated Static Pile</v>
      </c>
      <c r="C12033" s="138" t="str">
        <f t="shared" si="1046"/>
        <v>Without Amendment</v>
      </c>
      <c r="D12033" s="138" t="str">
        <f t="shared" si="1049"/>
        <v>Medium_Low</v>
      </c>
      <c r="E12033" s="138" t="str">
        <f t="shared" si="1047"/>
        <v>Base</v>
      </c>
      <c r="F12033" s="138" t="str">
        <f t="shared" si="1048"/>
        <v>Upgraded</v>
      </c>
      <c r="G12033" s="153"/>
      <c r="H12033" s="210">
        <v>5.6500000000000002E-2</v>
      </c>
      <c r="I12033" s="160" t="s">
        <v>149</v>
      </c>
      <c r="J12033" s="160">
        <v>6.3659999999999994E-2</v>
      </c>
      <c r="K12033" s="160" t="s">
        <v>23</v>
      </c>
      <c r="L12033" s="154" t="str">
        <f>IF(OpenLCAbasic!K12033="CTUh", "Fill in Manually",IF(OR(K12033="Unit", K12033=""), "", INDEX(LookUps!$E$5:$E$12, MATCH(OpenLCAbasic!K12033,LookUps!$D$5:$D$12,0))))</f>
        <v>Global Warming Potential (GWP) - kg CO2 eq</v>
      </c>
      <c r="M12033" s="154" t="str">
        <f t="shared" si="1044"/>
        <v>Base_Medium_Low_Upgraded_Global Warming Potential (GWP) - kg CO2 eq_Anaerobic Digestion; wastewater treatment unit; at updated plant - US_Without Amendment_Aerated Static Pile</v>
      </c>
    </row>
    <row r="12034" spans="1:13" s="120" customFormat="1" x14ac:dyDescent="0.25">
      <c r="A12034" s="119"/>
      <c r="B12034" s="138" t="str">
        <f t="shared" si="1045"/>
        <v>Aerated Static Pile</v>
      </c>
      <c r="C12034" s="138" t="str">
        <f t="shared" si="1046"/>
        <v>Without Amendment</v>
      </c>
      <c r="D12034" s="138" t="str">
        <f t="shared" si="1049"/>
        <v>Medium_Low</v>
      </c>
      <c r="E12034" s="138" t="str">
        <f t="shared" si="1047"/>
        <v>Base</v>
      </c>
      <c r="F12034" s="138" t="str">
        <f t="shared" si="1048"/>
        <v>Upgraded</v>
      </c>
      <c r="G12034" s="153"/>
      <c r="H12034" s="210">
        <v>5.0700000000000002E-2</v>
      </c>
      <c r="I12034" s="160" t="s">
        <v>54</v>
      </c>
      <c r="J12034" s="160">
        <v>5.7079999999999999E-2</v>
      </c>
      <c r="K12034" s="160" t="s">
        <v>23</v>
      </c>
      <c r="L12034" s="154" t="str">
        <f>IF(OpenLCAbasic!K12034="CTUh", "Fill in Manually",IF(OR(K12034="Unit", K12034=""), "", INDEX(LookUps!$E$5:$E$12, MATCH(OpenLCAbasic!K12034,LookUps!$D$5:$D$12,0))))</f>
        <v>Global Warming Potential (GWP) - kg CO2 eq</v>
      </c>
      <c r="M12034" s="154" t="str">
        <f t="shared" si="1044"/>
        <v>Base_Medium_Low_Upgraded_Global Warming Potential (GWP) - kg CO2 eq_Clear Cove Primary Clarification; wastewater treatment unit; at updated plant - US_Without Amendment_Aerated Static Pile</v>
      </c>
    </row>
    <row r="12035" spans="1:13" s="120" customFormat="1" x14ac:dyDescent="0.25">
      <c r="A12035" s="119"/>
      <c r="B12035" s="138" t="str">
        <f t="shared" si="1045"/>
        <v>Aerated Static Pile</v>
      </c>
      <c r="C12035" s="138" t="str">
        <f t="shared" si="1046"/>
        <v>Without Amendment</v>
      </c>
      <c r="D12035" s="138" t="str">
        <f t="shared" si="1049"/>
        <v>Medium_Low</v>
      </c>
      <c r="E12035" s="138" t="str">
        <f t="shared" si="1047"/>
        <v>Base</v>
      </c>
      <c r="F12035" s="138" t="str">
        <f t="shared" si="1048"/>
        <v>Upgraded</v>
      </c>
      <c r="G12035" s="153"/>
      <c r="H12035" s="210">
        <v>4.6699999999999998E-2</v>
      </c>
      <c r="I12035" s="160" t="s">
        <v>48</v>
      </c>
      <c r="J12035" s="160">
        <v>5.2639999999999999E-2</v>
      </c>
      <c r="K12035" s="160" t="s">
        <v>23</v>
      </c>
      <c r="L12035" s="154" t="str">
        <f>IF(OpenLCAbasic!K12035="CTUh", "Fill in Manually",IF(OR(K12035="Unit", K12035=""), "", INDEX(LookUps!$E$5:$E$12, MATCH(OpenLCAbasic!K12035,LookUps!$D$5:$D$12,0))))</f>
        <v>Global Warming Potential (GWP) - kg CO2 eq</v>
      </c>
      <c r="M12035" s="154" t="str">
        <f t="shared" si="1044"/>
        <v>Base_Medium_Low_Upgraded_Global Warming Potential (GWP) - kg CO2 eq_Effluent release; wastewater treatment unit; at surface water; m3 wastewater - US_Without Amendment_Aerated Static Pile</v>
      </c>
    </row>
    <row r="12036" spans="1:13" s="120" customFormat="1" x14ac:dyDescent="0.25">
      <c r="A12036" s="119"/>
      <c r="B12036" s="138" t="str">
        <f t="shared" si="1045"/>
        <v>Aerated Static Pile</v>
      </c>
      <c r="C12036" s="138" t="str">
        <f t="shared" si="1046"/>
        <v>Without Amendment</v>
      </c>
      <c r="D12036" s="138" t="str">
        <f t="shared" si="1049"/>
        <v>Medium_Low</v>
      </c>
      <c r="E12036" s="138" t="str">
        <f t="shared" si="1047"/>
        <v>Base</v>
      </c>
      <c r="F12036" s="138" t="str">
        <f t="shared" si="1048"/>
        <v>Upgraded</v>
      </c>
      <c r="G12036" s="153"/>
      <c r="H12036" s="210">
        <v>4.48E-2</v>
      </c>
      <c r="I12036" s="160" t="s">
        <v>147</v>
      </c>
      <c r="J12036" s="160">
        <v>5.0500000000000003E-2</v>
      </c>
      <c r="K12036" s="160" t="s">
        <v>23</v>
      </c>
      <c r="L12036" s="154" t="str">
        <f>IF(OpenLCAbasic!K12036="CTUh", "Fill in Manually",IF(OR(K12036="Unit", K12036=""), "", INDEX(LookUps!$E$5:$E$12, MATCH(OpenLCAbasic!K12036,LookUps!$D$5:$D$12,0))))</f>
        <v>Global Warming Potential (GWP) - kg CO2 eq</v>
      </c>
      <c r="M12036" s="154" t="str">
        <f t="shared" ref="M12036:M12099" si="1050">CONCATENATE(E12036,"_",D12036,"_",F12036,"_",L12036, "_",I12036,"_", C12036,"_", B12036)</f>
        <v>Base_Medium_Low_Upgraded_Global Warming Potential (GWP) - kg CO2 eq_Influent Pump Station; wastewater treatment unit; at updated plant - US_Without Amendment_Aerated Static Pile</v>
      </c>
    </row>
    <row r="12037" spans="1:13" s="120" customFormat="1" x14ac:dyDescent="0.25">
      <c r="A12037" s="119"/>
      <c r="B12037" s="138" t="str">
        <f t="shared" si="1045"/>
        <v>Aerated Static Pile</v>
      </c>
      <c r="C12037" s="138" t="str">
        <f t="shared" si="1046"/>
        <v>Without Amendment</v>
      </c>
      <c r="D12037" s="138" t="str">
        <f t="shared" si="1049"/>
        <v>Medium_Low</v>
      </c>
      <c r="E12037" s="138" t="str">
        <f t="shared" si="1047"/>
        <v>Base</v>
      </c>
      <c r="F12037" s="138" t="str">
        <f t="shared" si="1048"/>
        <v>Upgraded</v>
      </c>
      <c r="G12037" s="153"/>
      <c r="H12037" s="210">
        <v>2.9499999999999998E-2</v>
      </c>
      <c r="I12037" s="160" t="s">
        <v>53</v>
      </c>
      <c r="J12037" s="160">
        <v>3.3259999999999998E-2</v>
      </c>
      <c r="K12037" s="160" t="s">
        <v>23</v>
      </c>
      <c r="L12037" s="154" t="str">
        <f>IF(OpenLCAbasic!K12037="CTUh", "Fill in Manually",IF(OR(K12037="Unit", K12037=""), "", INDEX(LookUps!$E$5:$E$12, MATCH(OpenLCAbasic!K12037,LookUps!$D$5:$D$12,0))))</f>
        <v>Global Warming Potential (GWP) - kg CO2 eq</v>
      </c>
      <c r="M12037" s="154" t="str">
        <f t="shared" si="1050"/>
        <v>Base_Medium_Low_Upgraded_Global Warming Potential (GWP) - kg CO2 eq_Wet Well and Sump Station; wastewater treatment unit; at updated plant - US_Without Amendment_Aerated Static Pile</v>
      </c>
    </row>
    <row r="12038" spans="1:13" s="120" customFormat="1" x14ac:dyDescent="0.25">
      <c r="A12038" s="119"/>
      <c r="B12038" s="138" t="str">
        <f t="shared" si="1045"/>
        <v>Aerated Static Pile</v>
      </c>
      <c r="C12038" s="138" t="str">
        <f t="shared" si="1046"/>
        <v>Without Amendment</v>
      </c>
      <c r="D12038" s="138" t="str">
        <f t="shared" si="1049"/>
        <v>Medium_Low</v>
      </c>
      <c r="E12038" s="138" t="str">
        <f t="shared" si="1047"/>
        <v>Base</v>
      </c>
      <c r="F12038" s="138" t="str">
        <f t="shared" si="1048"/>
        <v>Upgraded</v>
      </c>
      <c r="G12038" s="153"/>
      <c r="H12038" s="210">
        <v>1.77E-2</v>
      </c>
      <c r="I12038" s="160" t="s">
        <v>60</v>
      </c>
      <c r="J12038" s="160">
        <v>1.9910000000000001E-2</v>
      </c>
      <c r="K12038" s="160" t="s">
        <v>23</v>
      </c>
      <c r="L12038" s="154" t="str">
        <f>IF(OpenLCAbasic!K12038="CTUh", "Fill in Manually",IF(OR(K12038="Unit", K12038=""), "", INDEX(LookUps!$E$5:$E$12, MATCH(OpenLCAbasic!K12038,LookUps!$D$5:$D$12,0))))</f>
        <v>Global Warming Potential (GWP) - kg CO2 eq</v>
      </c>
      <c r="M12038" s="154" t="str">
        <f t="shared" si="1050"/>
        <v>Base_Medium_Low_Upgraded_Global Warming Potential (GWP) - kg CO2 eq_Belt filter press; wastewater treatment unit; at updated plant - US_Without Amendment_Aerated Static Pile</v>
      </c>
    </row>
    <row r="12039" spans="1:13" s="120" customFormat="1" x14ac:dyDescent="0.25">
      <c r="A12039" s="119"/>
      <c r="B12039" s="138" t="str">
        <f t="shared" si="1045"/>
        <v>Aerated Static Pile</v>
      </c>
      <c r="C12039" s="138" t="str">
        <f t="shared" si="1046"/>
        <v>Without Amendment</v>
      </c>
      <c r="D12039" s="138" t="str">
        <f t="shared" si="1049"/>
        <v>Medium_Low</v>
      </c>
      <c r="E12039" s="138" t="str">
        <f t="shared" si="1047"/>
        <v>Base</v>
      </c>
      <c r="F12039" s="138" t="str">
        <f t="shared" si="1048"/>
        <v>Upgraded</v>
      </c>
      <c r="G12039" s="153"/>
      <c r="H12039" s="210">
        <v>1.29E-2</v>
      </c>
      <c r="I12039" s="160" t="s">
        <v>57</v>
      </c>
      <c r="J12039" s="160">
        <v>1.455E-2</v>
      </c>
      <c r="K12039" s="160" t="s">
        <v>23</v>
      </c>
      <c r="L12039" s="154" t="str">
        <f>IF(OpenLCAbasic!K12039="CTUh", "Fill in Manually",IF(OR(K12039="Unit", K12039=""), "", INDEX(LookUps!$E$5:$E$12, MATCH(OpenLCAbasic!K12039,LookUps!$D$5:$D$12,0))))</f>
        <v>Global Warming Potential (GWP) - kg CO2 eq</v>
      </c>
      <c r="M12039" s="154" t="str">
        <f t="shared" si="1050"/>
        <v>Base_Medium_Low_Upgraded_Global Warming Potential (GWP) - kg CO2 eq_Gravity Belt Thickener; wastewater treatment unit; at updated plant - US_Without Amendment_Aerated Static Pile</v>
      </c>
    </row>
    <row r="12040" spans="1:13" s="120" customFormat="1" x14ac:dyDescent="0.25">
      <c r="A12040" s="119"/>
      <c r="B12040" s="138" t="str">
        <f t="shared" si="1045"/>
        <v>Aerated Static Pile</v>
      </c>
      <c r="C12040" s="138" t="str">
        <f t="shared" si="1046"/>
        <v>Without Amendment</v>
      </c>
      <c r="D12040" s="138" t="str">
        <f t="shared" si="1049"/>
        <v>Medium_Low</v>
      </c>
      <c r="E12040" s="138" t="str">
        <f t="shared" si="1047"/>
        <v>Base</v>
      </c>
      <c r="F12040" s="138" t="str">
        <f t="shared" si="1048"/>
        <v>Upgraded</v>
      </c>
      <c r="G12040" s="153"/>
      <c r="H12040" s="210">
        <v>1.2E-2</v>
      </c>
      <c r="I12040" s="160" t="s">
        <v>128</v>
      </c>
      <c r="J12040" s="160">
        <v>1.3509999999999999E-2</v>
      </c>
      <c r="K12040" s="160" t="s">
        <v>23</v>
      </c>
      <c r="L12040" s="154" t="str">
        <f>IF(OpenLCAbasic!K12040="CTUh", "Fill in Manually",IF(OR(K12040="Unit", K12040=""), "", INDEX(LookUps!$E$5:$E$12, MATCH(OpenLCAbasic!K12040,LookUps!$D$5:$D$12,0))))</f>
        <v>Global Warming Potential (GWP) - kg CO2 eq</v>
      </c>
      <c r="M12040" s="154" t="str">
        <f t="shared" si="1050"/>
        <v>Base_Medium_Low_Upgraded_Global Warming Potential (GWP) - kg CO2 eq_Wastewater collection; operation and infrastructure; m3 wastewater_Without Amendment_Aerated Static Pile</v>
      </c>
    </row>
    <row r="12041" spans="1:13" s="120" customFormat="1" x14ac:dyDescent="0.25">
      <c r="A12041" s="119"/>
      <c r="B12041" s="138" t="str">
        <f t="shared" si="1045"/>
        <v>Aerated Static Pile</v>
      </c>
      <c r="C12041" s="138" t="str">
        <f t="shared" si="1046"/>
        <v>Without Amendment</v>
      </c>
      <c r="D12041" s="138" t="str">
        <f t="shared" si="1049"/>
        <v>Medium_Low</v>
      </c>
      <c r="E12041" s="138" t="str">
        <f t="shared" si="1047"/>
        <v>Base</v>
      </c>
      <c r="F12041" s="138" t="str">
        <f t="shared" si="1048"/>
        <v>Upgraded</v>
      </c>
      <c r="G12041" s="153"/>
      <c r="H12041" s="210">
        <v>7.4000000000000003E-3</v>
      </c>
      <c r="I12041" s="160" t="s">
        <v>148</v>
      </c>
      <c r="J12041" s="160">
        <v>8.3000000000000001E-3</v>
      </c>
      <c r="K12041" s="160" t="s">
        <v>23</v>
      </c>
      <c r="L12041" s="154" t="str">
        <f>IF(OpenLCAbasic!K12041="CTUh", "Fill in Manually",IF(OR(K12041="Unit", K12041=""), "", INDEX(LookUps!$E$5:$E$12, MATCH(OpenLCAbasic!K12041,LookUps!$D$5:$D$12,0))))</f>
        <v>Global Warming Potential (GWP) - kg CO2 eq</v>
      </c>
      <c r="M12041" s="154" t="str">
        <f t="shared" si="1050"/>
        <v>Base_Medium_Low_Upgraded_Global Warming Potential (GWP) - kg CO2 eq_Control Building; at upgraded wastewater treatment plant - US_Without Amendment_Aerated Static Pile</v>
      </c>
    </row>
    <row r="12042" spans="1:13" s="120" customFormat="1" x14ac:dyDescent="0.25">
      <c r="A12042" s="119"/>
      <c r="B12042" s="138" t="str">
        <f t="shared" si="1045"/>
        <v>Aerated Static Pile</v>
      </c>
      <c r="C12042" s="138" t="str">
        <f t="shared" si="1046"/>
        <v>Without Amendment</v>
      </c>
      <c r="D12042" s="138" t="str">
        <f t="shared" si="1049"/>
        <v>Medium_Low</v>
      </c>
      <c r="E12042" s="138" t="str">
        <f t="shared" si="1047"/>
        <v>Base</v>
      </c>
      <c r="F12042" s="138" t="str">
        <f t="shared" si="1048"/>
        <v>Upgraded</v>
      </c>
      <c r="G12042" s="153"/>
      <c r="H12042" s="210">
        <v>4.4999999999999997E-3</v>
      </c>
      <c r="I12042" s="160" t="s">
        <v>59</v>
      </c>
      <c r="J12042" s="160">
        <v>5.0400000000000002E-3</v>
      </c>
      <c r="K12042" s="160" t="s">
        <v>23</v>
      </c>
      <c r="L12042" s="154" t="str">
        <f>IF(OpenLCAbasic!K12042="CTUh", "Fill in Manually",IF(OR(K12042="Unit", K12042=""), "", INDEX(LookUps!$E$5:$E$12, MATCH(OpenLCAbasic!K12042,LookUps!$D$5:$D$12,0))))</f>
        <v>Global Warming Potential (GWP) - kg CO2 eq</v>
      </c>
      <c r="M12042" s="154" t="str">
        <f t="shared" si="1050"/>
        <v>Base_Medium_Low_Upgraded_Global Warming Potential (GWP) - kg CO2 eq_Blend Tank; wastewater treatment unit; at updated plant - US_Without Amendment_Aerated Static Pile</v>
      </c>
    </row>
    <row r="12043" spans="1:13" s="120" customFormat="1" x14ac:dyDescent="0.25">
      <c r="A12043" s="119"/>
      <c r="B12043" s="138" t="str">
        <f t="shared" si="1045"/>
        <v>Aerated Static Pile</v>
      </c>
      <c r="C12043" s="138" t="str">
        <f t="shared" si="1046"/>
        <v>Without Amendment</v>
      </c>
      <c r="D12043" s="138" t="str">
        <f t="shared" si="1049"/>
        <v>Medium_Low</v>
      </c>
      <c r="E12043" s="138" t="str">
        <f t="shared" si="1047"/>
        <v>Base</v>
      </c>
      <c r="F12043" s="138" t="str">
        <f t="shared" si="1048"/>
        <v>Upgraded</v>
      </c>
      <c r="G12043" s="153"/>
      <c r="H12043" s="210">
        <v>2.0999999999999999E-3</v>
      </c>
      <c r="I12043" s="160" t="s">
        <v>168</v>
      </c>
      <c r="J12043" s="160">
        <v>2.4099999999999998E-3</v>
      </c>
      <c r="K12043" s="160" t="s">
        <v>23</v>
      </c>
      <c r="L12043" s="154" t="str">
        <f>IF(OpenLCAbasic!K12043="CTUh", "Fill in Manually",IF(OR(K12043="Unit", K12043=""), "", INDEX(LookUps!$E$5:$E$12, MATCH(OpenLCAbasic!K12043,LookUps!$D$5:$D$12,0))))</f>
        <v>Global Warming Potential (GWP) - kg CO2 eq</v>
      </c>
      <c r="M12043" s="154" t="str">
        <f t="shared" si="1050"/>
        <v>Base_Medium_Low_Upgraded_Global Warming Potential (GWP) - kg CO2 eq_ClearCove SCP; wastewater treatment unit; at updated plant - US_Without Amendment_Aerated Static Pile</v>
      </c>
    </row>
    <row r="12044" spans="1:13" s="120" customFormat="1" x14ac:dyDescent="0.25">
      <c r="A12044" s="119"/>
      <c r="B12044" s="138" t="str">
        <f t="shared" si="1045"/>
        <v>Aerated Static Pile</v>
      </c>
      <c r="C12044" s="138" t="str">
        <f t="shared" si="1046"/>
        <v>Without Amendment</v>
      </c>
      <c r="D12044" s="138" t="str">
        <f t="shared" si="1049"/>
        <v>Medium_Low</v>
      </c>
      <c r="E12044" s="138" t="str">
        <f t="shared" si="1047"/>
        <v>Base</v>
      </c>
      <c r="F12044" s="138" t="str">
        <f t="shared" si="1048"/>
        <v>Upgraded</v>
      </c>
      <c r="G12044" s="153"/>
      <c r="H12044" s="210">
        <v>-0.1898</v>
      </c>
      <c r="I12044" s="160" t="s">
        <v>62</v>
      </c>
      <c r="J12044" s="160">
        <v>-0.21379999999999999</v>
      </c>
      <c r="K12044" s="160" t="s">
        <v>23</v>
      </c>
      <c r="L12044" s="154" t="str">
        <f>IF(OpenLCAbasic!K12044="CTUh", "Fill in Manually",IF(OR(K12044="Unit", K12044=""), "", INDEX(LookUps!$E$5:$E$12, MATCH(OpenLCAbasic!K12044,LookUps!$D$5:$D$12,0))))</f>
        <v>Global Warming Potential (GWP) - kg CO2 eq</v>
      </c>
      <c r="M12044" s="154" t="str">
        <f t="shared" si="1050"/>
        <v>Base_Medium_Low_Upgraded_Global Warming Potential (GWP) - kg CO2 eq_Land application of compost; wastewater treatment unit; at updated plant - US_Without Amendment_Aerated Static Pile</v>
      </c>
    </row>
    <row r="12045" spans="1:13" s="120" customFormat="1" x14ac:dyDescent="0.25">
      <c r="A12045" s="119"/>
      <c r="B12045" s="138" t="str">
        <f t="shared" si="1045"/>
        <v/>
      </c>
      <c r="C12045" s="138" t="str">
        <f t="shared" si="1046"/>
        <v/>
      </c>
      <c r="D12045" s="138" t="str">
        <f t="shared" si="1049"/>
        <v/>
      </c>
      <c r="E12045" s="138" t="str">
        <f t="shared" si="1047"/>
        <v/>
      </c>
      <c r="F12045" s="138" t="str">
        <f t="shared" si="1048"/>
        <v/>
      </c>
      <c r="G12045" s="153" t="s">
        <v>51</v>
      </c>
      <c r="H12045" s="160"/>
      <c r="I12045" s="160" t="s">
        <v>47</v>
      </c>
      <c r="J12045" s="160" t="s">
        <v>52</v>
      </c>
      <c r="K12045" s="160" t="s">
        <v>27</v>
      </c>
      <c r="L12045" s="154" t="str">
        <f>IF(OpenLCAbasic!K12045="CTUh", "Fill in Manually",IF(OR(K12045="Unit", K12045=""), "", INDEX(LookUps!$E$5:$E$12, MATCH(OpenLCAbasic!K12045,LookUps!$D$5:$D$12,0))))</f>
        <v/>
      </c>
      <c r="M12045" s="154" t="str">
        <f t="shared" si="1050"/>
        <v>____Process__</v>
      </c>
    </row>
    <row r="12046" spans="1:13" s="120" customFormat="1" x14ac:dyDescent="0.25">
      <c r="A12046" s="119"/>
      <c r="B12046" s="138" t="str">
        <f t="shared" si="1045"/>
        <v>Aerated Static Pile</v>
      </c>
      <c r="C12046" s="138" t="str">
        <f t="shared" si="1046"/>
        <v>Without Amendment</v>
      </c>
      <c r="D12046" s="138" t="str">
        <f t="shared" si="1049"/>
        <v>Medium_Low</v>
      </c>
      <c r="E12046" s="138" t="str">
        <f t="shared" si="1047"/>
        <v>Base</v>
      </c>
      <c r="F12046" s="138" t="str">
        <f t="shared" si="1048"/>
        <v>Upgraded</v>
      </c>
      <c r="G12046" s="153"/>
      <c r="H12046" s="210">
        <v>0.44350000000000001</v>
      </c>
      <c r="I12046" s="160" t="s">
        <v>55</v>
      </c>
      <c r="J12046" s="160">
        <v>2.33E-3</v>
      </c>
      <c r="K12046" s="160" t="s">
        <v>145</v>
      </c>
      <c r="L12046" s="154" t="str">
        <f>IF(OpenLCAbasic!K12046="CTUh", "Fill in Manually",IF(OR(K12046="Unit", K12046=""), "", INDEX(LookUps!$E$5:$E$12, MATCH(OpenLCAbasic!K12046,LookUps!$D$5:$D$12,0))))</f>
        <v>Particulate Matter Formation Potential (PMFP) - kg PM2.5 eq</v>
      </c>
      <c r="M12046" s="154" t="str">
        <f t="shared" si="1050"/>
        <v>Base_Medium_Low_Upgraded_Particulate Matter Formation Potential (PMFP) - kg PM2.5 eq_Aeration Tanks; wastewater treatment unit; at updated plant - US_Without Amendment_Aerated Static Pile</v>
      </c>
    </row>
    <row r="12047" spans="1:13" s="120" customFormat="1" x14ac:dyDescent="0.25">
      <c r="A12047" s="119"/>
      <c r="B12047" s="138" t="str">
        <f t="shared" si="1045"/>
        <v>Aerated Static Pile</v>
      </c>
      <c r="C12047" s="138" t="str">
        <f t="shared" si="1046"/>
        <v>Without Amendment</v>
      </c>
      <c r="D12047" s="138" t="str">
        <f t="shared" si="1049"/>
        <v>Medium_Low</v>
      </c>
      <c r="E12047" s="138" t="str">
        <f t="shared" si="1047"/>
        <v>Base</v>
      </c>
      <c r="F12047" s="138" t="str">
        <f t="shared" si="1048"/>
        <v>Upgraded</v>
      </c>
      <c r="G12047" s="153"/>
      <c r="H12047" s="210">
        <v>0.129</v>
      </c>
      <c r="I12047" s="160" t="s">
        <v>54</v>
      </c>
      <c r="J12047" s="160">
        <v>6.8000000000000005E-4</v>
      </c>
      <c r="K12047" s="160" t="s">
        <v>145</v>
      </c>
      <c r="L12047" s="154" t="str">
        <f>IF(OpenLCAbasic!K12047="CTUh", "Fill in Manually",IF(OR(K12047="Unit", K12047=""), "", INDEX(LookUps!$E$5:$E$12, MATCH(OpenLCAbasic!K12047,LookUps!$D$5:$D$12,0))))</f>
        <v>Particulate Matter Formation Potential (PMFP) - kg PM2.5 eq</v>
      </c>
      <c r="M12047" s="154" t="str">
        <f t="shared" si="1050"/>
        <v>Base_Medium_Low_Upgraded_Particulate Matter Formation Potential (PMFP) - kg PM2.5 eq_Clear Cove Primary Clarification; wastewater treatment unit; at updated plant - US_Without Amendment_Aerated Static Pile</v>
      </c>
    </row>
    <row r="12048" spans="1:13" s="120" customFormat="1" x14ac:dyDescent="0.25">
      <c r="A12048" s="119"/>
      <c r="B12048" s="138" t="str">
        <f t="shared" si="1045"/>
        <v>Aerated Static Pile</v>
      </c>
      <c r="C12048" s="138" t="str">
        <f t="shared" si="1046"/>
        <v>Without Amendment</v>
      </c>
      <c r="D12048" s="138" t="str">
        <f t="shared" si="1049"/>
        <v>Medium_Low</v>
      </c>
      <c r="E12048" s="138" t="str">
        <f t="shared" si="1047"/>
        <v>Base</v>
      </c>
      <c r="F12048" s="138" t="str">
        <f t="shared" si="1048"/>
        <v>Upgraded</v>
      </c>
      <c r="G12048" s="153"/>
      <c r="H12048" s="210">
        <v>0.1119</v>
      </c>
      <c r="I12048" s="160" t="s">
        <v>58</v>
      </c>
      <c r="J12048" s="160">
        <v>5.9000000000000003E-4</v>
      </c>
      <c r="K12048" s="160" t="s">
        <v>145</v>
      </c>
      <c r="L12048" s="154" t="str">
        <f>IF(OpenLCAbasic!K12048="CTUh", "Fill in Manually",IF(OR(K12048="Unit", K12048=""), "", INDEX(LookUps!$E$5:$E$12, MATCH(OpenLCAbasic!K12048,LookUps!$D$5:$D$12,0))))</f>
        <v>Particulate Matter Formation Potential (PMFP) - kg PM2.5 eq</v>
      </c>
      <c r="M12048" s="154" t="str">
        <f t="shared" si="1050"/>
        <v>Base_Medium_Low_Upgraded_Particulate Matter Formation Potential (PMFP) - kg PM2.5 eq_Pre-Anoxic &amp; Swing tank; wastewater treatment unit; at updated plant - US_Without Amendment_Aerated Static Pile</v>
      </c>
    </row>
    <row r="12049" spans="1:13" s="120" customFormat="1" x14ac:dyDescent="0.25">
      <c r="A12049" s="119"/>
      <c r="B12049" s="138" t="str">
        <f t="shared" si="1045"/>
        <v>Aerated Static Pile</v>
      </c>
      <c r="C12049" s="138" t="str">
        <f t="shared" si="1046"/>
        <v>Without Amendment</v>
      </c>
      <c r="D12049" s="138" t="str">
        <f t="shared" si="1049"/>
        <v>Medium_Low</v>
      </c>
      <c r="E12049" s="138" t="str">
        <f t="shared" si="1047"/>
        <v>Base</v>
      </c>
      <c r="F12049" s="138" t="str">
        <f t="shared" si="1048"/>
        <v>Upgraded</v>
      </c>
      <c r="G12049" s="153"/>
      <c r="H12049" s="210">
        <v>8.8700000000000001E-2</v>
      </c>
      <c r="I12049" s="160" t="s">
        <v>53</v>
      </c>
      <c r="J12049" s="160">
        <v>4.6999999999999999E-4</v>
      </c>
      <c r="K12049" s="160" t="s">
        <v>145</v>
      </c>
      <c r="L12049" s="154" t="str">
        <f>IF(OpenLCAbasic!K12049="CTUh", "Fill in Manually",IF(OR(K12049="Unit", K12049=""), "", INDEX(LookUps!$E$5:$E$12, MATCH(OpenLCAbasic!K12049,LookUps!$D$5:$D$12,0))))</f>
        <v>Particulate Matter Formation Potential (PMFP) - kg PM2.5 eq</v>
      </c>
      <c r="M12049" s="154" t="str">
        <f t="shared" si="1050"/>
        <v>Base_Medium_Low_Upgraded_Particulate Matter Formation Potential (PMFP) - kg PM2.5 eq_Wet Well and Sump Station; wastewater treatment unit; at updated plant - US_Without Amendment_Aerated Static Pile</v>
      </c>
    </row>
    <row r="12050" spans="1:13" s="120" customFormat="1" x14ac:dyDescent="0.25">
      <c r="A12050" s="119"/>
      <c r="B12050" s="138" t="str">
        <f t="shared" si="1045"/>
        <v>Aerated Static Pile</v>
      </c>
      <c r="C12050" s="138" t="str">
        <f t="shared" si="1046"/>
        <v>Without Amendment</v>
      </c>
      <c r="D12050" s="138" t="str">
        <f t="shared" si="1049"/>
        <v>Medium_Low</v>
      </c>
      <c r="E12050" s="138" t="str">
        <f t="shared" si="1047"/>
        <v>Base</v>
      </c>
      <c r="F12050" s="138" t="str">
        <f t="shared" si="1048"/>
        <v>Upgraded</v>
      </c>
      <c r="G12050" s="153"/>
      <c r="H12050" s="210">
        <v>6.8599999999999994E-2</v>
      </c>
      <c r="I12050" s="160" t="s">
        <v>435</v>
      </c>
      <c r="J12050" s="160">
        <v>3.6000000000000002E-4</v>
      </c>
      <c r="K12050" s="160" t="s">
        <v>145</v>
      </c>
      <c r="L12050" s="154" t="str">
        <f>IF(OpenLCAbasic!K12050="CTUh", "Fill in Manually",IF(OR(K12050="Unit", K12050=""), "", INDEX(LookUps!$E$5:$E$12, MATCH(OpenLCAbasic!K12050,LookUps!$D$5:$D$12,0))))</f>
        <v>Particulate Matter Formation Potential (PMFP) - kg PM2.5 eq</v>
      </c>
      <c r="M12050" s="154" t="str">
        <f t="shared" si="1050"/>
        <v>Base_Medium_Low_Upgraded_Particulate Matter Formation Potential (PMFP) - kg PM2.5 eq_Biosolids composting; aerated static pile; wastewater treatment unit; at updated plant - US_Without Amendment_Aerated Static Pile</v>
      </c>
    </row>
    <row r="12051" spans="1:13" s="120" customFormat="1" x14ac:dyDescent="0.25">
      <c r="A12051" s="119"/>
      <c r="B12051" s="138" t="str">
        <f t="shared" si="1045"/>
        <v>Aerated Static Pile</v>
      </c>
      <c r="C12051" s="138" t="str">
        <f t="shared" si="1046"/>
        <v>Without Amendment</v>
      </c>
      <c r="D12051" s="138" t="str">
        <f t="shared" si="1049"/>
        <v>Medium_Low</v>
      </c>
      <c r="E12051" s="138" t="str">
        <f t="shared" si="1047"/>
        <v>Base</v>
      </c>
      <c r="F12051" s="138" t="str">
        <f t="shared" si="1048"/>
        <v>Upgraded</v>
      </c>
      <c r="G12051" s="153"/>
      <c r="H12051" s="210">
        <v>5.9799999999999999E-2</v>
      </c>
      <c r="I12051" s="160" t="s">
        <v>167</v>
      </c>
      <c r="J12051" s="160">
        <v>3.1E-4</v>
      </c>
      <c r="K12051" s="160" t="s">
        <v>145</v>
      </c>
      <c r="L12051" s="154" t="str">
        <f>IF(OpenLCAbasic!K12051="CTUh", "Fill in Manually",IF(OR(K12051="Unit", K12051=""), "", INDEX(LookUps!$E$5:$E$12, MATCH(OpenLCAbasic!K12051,LookUps!$D$5:$D$12,0))))</f>
        <v>Particulate Matter Formation Potential (PMFP) - kg PM2.5 eq</v>
      </c>
      <c r="M12051" s="154" t="str">
        <f t="shared" si="1050"/>
        <v>Base_Medium_Low_Upgraded_Particulate Matter Formation Potential (PMFP) - kg PM2.5 eq_Waste Receiving and Holding; wastewater treatment unit; at updated plant - US_Without Amendment_Aerated Static Pile</v>
      </c>
    </row>
    <row r="12052" spans="1:13" s="120" customFormat="1" x14ac:dyDescent="0.25">
      <c r="A12052" s="119"/>
      <c r="B12052" s="138" t="str">
        <f t="shared" si="1045"/>
        <v>Aerated Static Pile</v>
      </c>
      <c r="C12052" s="138" t="str">
        <f t="shared" si="1046"/>
        <v>Without Amendment</v>
      </c>
      <c r="D12052" s="138" t="str">
        <f t="shared" si="1049"/>
        <v>Medium_Low</v>
      </c>
      <c r="E12052" s="138" t="str">
        <f t="shared" si="1047"/>
        <v>Base</v>
      </c>
      <c r="F12052" s="138" t="str">
        <f t="shared" si="1048"/>
        <v>Upgraded</v>
      </c>
      <c r="G12052" s="153"/>
      <c r="H12052" s="210">
        <v>5.0700000000000002E-2</v>
      </c>
      <c r="I12052" s="160" t="s">
        <v>147</v>
      </c>
      <c r="J12052" s="160">
        <v>2.7E-4</v>
      </c>
      <c r="K12052" s="160" t="s">
        <v>145</v>
      </c>
      <c r="L12052" s="154" t="str">
        <f>IF(OpenLCAbasic!K12052="CTUh", "Fill in Manually",IF(OR(K12052="Unit", K12052=""), "", INDEX(LookUps!$E$5:$E$12, MATCH(OpenLCAbasic!K12052,LookUps!$D$5:$D$12,0))))</f>
        <v>Particulate Matter Formation Potential (PMFP) - kg PM2.5 eq</v>
      </c>
      <c r="M12052" s="154" t="str">
        <f t="shared" si="1050"/>
        <v>Base_Medium_Low_Upgraded_Particulate Matter Formation Potential (PMFP) - kg PM2.5 eq_Influent Pump Station; wastewater treatment unit; at updated plant - US_Without Amendment_Aerated Static Pile</v>
      </c>
    </row>
    <row r="12053" spans="1:13" s="120" customFormat="1" x14ac:dyDescent="0.25">
      <c r="A12053" s="119"/>
      <c r="B12053" s="138" t="str">
        <f t="shared" si="1045"/>
        <v>Aerated Static Pile</v>
      </c>
      <c r="C12053" s="138" t="str">
        <f t="shared" si="1046"/>
        <v>Without Amendment</v>
      </c>
      <c r="D12053" s="138" t="str">
        <f t="shared" si="1049"/>
        <v>Medium_Low</v>
      </c>
      <c r="E12053" s="138" t="str">
        <f t="shared" si="1047"/>
        <v>Base</v>
      </c>
      <c r="F12053" s="138" t="str">
        <f t="shared" si="1048"/>
        <v>Upgraded</v>
      </c>
      <c r="G12053" s="153"/>
      <c r="H12053" s="210">
        <v>3.1600000000000003E-2</v>
      </c>
      <c r="I12053" s="160" t="s">
        <v>128</v>
      </c>
      <c r="J12053" s="160">
        <v>1.7000000000000001E-4</v>
      </c>
      <c r="K12053" s="160" t="s">
        <v>145</v>
      </c>
      <c r="L12053" s="154" t="str">
        <f>IF(OpenLCAbasic!K12053="CTUh", "Fill in Manually",IF(OR(K12053="Unit", K12053=""), "", INDEX(LookUps!$E$5:$E$12, MATCH(OpenLCAbasic!K12053,LookUps!$D$5:$D$12,0))))</f>
        <v>Particulate Matter Formation Potential (PMFP) - kg PM2.5 eq</v>
      </c>
      <c r="M12053" s="154" t="str">
        <f t="shared" si="1050"/>
        <v>Base_Medium_Low_Upgraded_Particulate Matter Formation Potential (PMFP) - kg PM2.5 eq_Wastewater collection; operation and infrastructure; m3 wastewater_Without Amendment_Aerated Static Pile</v>
      </c>
    </row>
    <row r="12054" spans="1:13" s="120" customFormat="1" x14ac:dyDescent="0.25">
      <c r="A12054" s="119"/>
      <c r="B12054" s="138" t="str">
        <f t="shared" si="1045"/>
        <v>Aerated Static Pile</v>
      </c>
      <c r="C12054" s="138" t="str">
        <f t="shared" si="1046"/>
        <v>Without Amendment</v>
      </c>
      <c r="D12054" s="138" t="str">
        <f t="shared" si="1049"/>
        <v>Medium_Low</v>
      </c>
      <c r="E12054" s="138" t="str">
        <f t="shared" si="1047"/>
        <v>Base</v>
      </c>
      <c r="F12054" s="138" t="str">
        <f t="shared" si="1048"/>
        <v>Upgraded</v>
      </c>
      <c r="G12054" s="153"/>
      <c r="H12054" s="210">
        <v>3.09E-2</v>
      </c>
      <c r="I12054" s="160" t="s">
        <v>60</v>
      </c>
      <c r="J12054" s="160">
        <v>1.6000000000000001E-4</v>
      </c>
      <c r="K12054" s="160" t="s">
        <v>145</v>
      </c>
      <c r="L12054" s="154" t="str">
        <f>IF(OpenLCAbasic!K12054="CTUh", "Fill in Manually",IF(OR(K12054="Unit", K12054=""), "", INDEX(LookUps!$E$5:$E$12, MATCH(OpenLCAbasic!K12054,LookUps!$D$5:$D$12,0))))</f>
        <v>Particulate Matter Formation Potential (PMFP) - kg PM2.5 eq</v>
      </c>
      <c r="M12054" s="154" t="str">
        <f t="shared" si="1050"/>
        <v>Base_Medium_Low_Upgraded_Particulate Matter Formation Potential (PMFP) - kg PM2.5 eq_Belt filter press; wastewater treatment unit; at updated plant - US_Without Amendment_Aerated Static Pile</v>
      </c>
    </row>
    <row r="12055" spans="1:13" s="120" customFormat="1" x14ac:dyDescent="0.25">
      <c r="A12055" s="119"/>
      <c r="B12055" s="138" t="str">
        <f t="shared" si="1045"/>
        <v>Aerated Static Pile</v>
      </c>
      <c r="C12055" s="138" t="str">
        <f t="shared" si="1046"/>
        <v>Without Amendment</v>
      </c>
      <c r="D12055" s="138" t="str">
        <f t="shared" si="1049"/>
        <v>Medium_Low</v>
      </c>
      <c r="E12055" s="138" t="str">
        <f t="shared" si="1047"/>
        <v>Base</v>
      </c>
      <c r="F12055" s="138" t="str">
        <f t="shared" si="1048"/>
        <v>Upgraded</v>
      </c>
      <c r="G12055" s="153"/>
      <c r="H12055" s="210">
        <v>1.8100000000000002E-2</v>
      </c>
      <c r="I12055" s="160" t="s">
        <v>57</v>
      </c>
      <c r="J12055" s="211">
        <v>9.5153800000000004E-5</v>
      </c>
      <c r="K12055" s="160" t="s">
        <v>145</v>
      </c>
      <c r="L12055" s="154" t="str">
        <f>IF(OpenLCAbasic!K12055="CTUh", "Fill in Manually",IF(OR(K12055="Unit", K12055=""), "", INDEX(LookUps!$E$5:$E$12, MATCH(OpenLCAbasic!K12055,LookUps!$D$5:$D$12,0))))</f>
        <v>Particulate Matter Formation Potential (PMFP) - kg PM2.5 eq</v>
      </c>
      <c r="M12055" s="154" t="str">
        <f t="shared" si="1050"/>
        <v>Base_Medium_Low_Upgraded_Particulate Matter Formation Potential (PMFP) - kg PM2.5 eq_Gravity Belt Thickener; wastewater treatment unit; at updated plant - US_Without Amendment_Aerated Static Pile</v>
      </c>
    </row>
    <row r="12056" spans="1:13" s="120" customFormat="1" x14ac:dyDescent="0.25">
      <c r="A12056" s="119"/>
      <c r="B12056" s="138" t="str">
        <f t="shared" si="1045"/>
        <v>Aerated Static Pile</v>
      </c>
      <c r="C12056" s="138" t="str">
        <f t="shared" si="1046"/>
        <v>Without Amendment</v>
      </c>
      <c r="D12056" s="138" t="str">
        <f t="shared" si="1049"/>
        <v>Medium_Low</v>
      </c>
      <c r="E12056" s="138" t="str">
        <f t="shared" si="1047"/>
        <v>Base</v>
      </c>
      <c r="F12056" s="138" t="str">
        <f t="shared" si="1048"/>
        <v>Upgraded</v>
      </c>
      <c r="G12056" s="153"/>
      <c r="H12056" s="210">
        <v>1.3299999999999999E-2</v>
      </c>
      <c r="I12056" s="160" t="s">
        <v>59</v>
      </c>
      <c r="J12056" s="211">
        <v>6.9942200000000003E-5</v>
      </c>
      <c r="K12056" s="160" t="s">
        <v>145</v>
      </c>
      <c r="L12056" s="154" t="str">
        <f>IF(OpenLCAbasic!K12056="CTUh", "Fill in Manually",IF(OR(K12056="Unit", K12056=""), "", INDEX(LookUps!$E$5:$E$12, MATCH(OpenLCAbasic!K12056,LookUps!$D$5:$D$12,0))))</f>
        <v>Particulate Matter Formation Potential (PMFP) - kg PM2.5 eq</v>
      </c>
      <c r="M12056" s="154" t="str">
        <f t="shared" si="1050"/>
        <v>Base_Medium_Low_Upgraded_Particulate Matter Formation Potential (PMFP) - kg PM2.5 eq_Blend Tank; wastewater treatment unit; at updated plant - US_Without Amendment_Aerated Static Pile</v>
      </c>
    </row>
    <row r="12057" spans="1:13" s="120" customFormat="1" x14ac:dyDescent="0.25">
      <c r="A12057" s="119"/>
      <c r="B12057" s="138" t="str">
        <f t="shared" si="1045"/>
        <v>Aerated Static Pile</v>
      </c>
      <c r="C12057" s="138" t="str">
        <f t="shared" si="1046"/>
        <v>Without Amendment</v>
      </c>
      <c r="D12057" s="138" t="str">
        <f t="shared" si="1049"/>
        <v>Medium_Low</v>
      </c>
      <c r="E12057" s="138" t="str">
        <f t="shared" si="1047"/>
        <v>Base</v>
      </c>
      <c r="F12057" s="138" t="str">
        <f t="shared" si="1048"/>
        <v>Upgraded</v>
      </c>
      <c r="G12057" s="153"/>
      <c r="H12057" s="210">
        <v>9.4999999999999998E-3</v>
      </c>
      <c r="I12057" s="160" t="s">
        <v>48</v>
      </c>
      <c r="J12057" s="211">
        <v>4.99741E-5</v>
      </c>
      <c r="K12057" s="160" t="s">
        <v>145</v>
      </c>
      <c r="L12057" s="154" t="str">
        <f>IF(OpenLCAbasic!K12057="CTUh", "Fill in Manually",IF(OR(K12057="Unit", K12057=""), "", INDEX(LookUps!$E$5:$E$12, MATCH(OpenLCAbasic!K12057,LookUps!$D$5:$D$12,0))))</f>
        <v>Particulate Matter Formation Potential (PMFP) - kg PM2.5 eq</v>
      </c>
      <c r="M12057" s="154" t="str">
        <f t="shared" si="1050"/>
        <v>Base_Medium_Low_Upgraded_Particulate Matter Formation Potential (PMFP) - kg PM2.5 eq_Effluent release; wastewater treatment unit; at surface water; m3 wastewater - US_Without Amendment_Aerated Static Pile</v>
      </c>
    </row>
    <row r="12058" spans="1:13" s="120" customFormat="1" x14ac:dyDescent="0.25">
      <c r="A12058" s="119"/>
      <c r="B12058" s="138" t="str">
        <f t="shared" si="1045"/>
        <v>Aerated Static Pile</v>
      </c>
      <c r="C12058" s="138" t="str">
        <f t="shared" si="1046"/>
        <v>Without Amendment</v>
      </c>
      <c r="D12058" s="138" t="str">
        <f t="shared" si="1049"/>
        <v>Medium_Low</v>
      </c>
      <c r="E12058" s="138" t="str">
        <f t="shared" si="1047"/>
        <v>Base</v>
      </c>
      <c r="F12058" s="138" t="str">
        <f t="shared" si="1048"/>
        <v>Upgraded</v>
      </c>
      <c r="G12058" s="153"/>
      <c r="H12058" s="210">
        <v>8.6999999999999994E-3</v>
      </c>
      <c r="I12058" s="160" t="s">
        <v>62</v>
      </c>
      <c r="J12058" s="211">
        <v>4.5791599999999997E-5</v>
      </c>
      <c r="K12058" s="160" t="s">
        <v>145</v>
      </c>
      <c r="L12058" s="154" t="str">
        <f>IF(OpenLCAbasic!K12058="CTUh", "Fill in Manually",IF(OR(K12058="Unit", K12058=""), "", INDEX(LookUps!$E$5:$E$12, MATCH(OpenLCAbasic!K12058,LookUps!$D$5:$D$12,0))))</f>
        <v>Particulate Matter Formation Potential (PMFP) - kg PM2.5 eq</v>
      </c>
      <c r="M12058" s="154" t="str">
        <f t="shared" si="1050"/>
        <v>Base_Medium_Low_Upgraded_Particulate Matter Formation Potential (PMFP) - kg PM2.5 eq_Land application of compost; wastewater treatment unit; at updated plant - US_Without Amendment_Aerated Static Pile</v>
      </c>
    </row>
    <row r="12059" spans="1:13" s="120" customFormat="1" x14ac:dyDescent="0.25">
      <c r="A12059" s="119"/>
      <c r="B12059" s="138" t="str">
        <f t="shared" si="1045"/>
        <v>Aerated Static Pile</v>
      </c>
      <c r="C12059" s="138" t="str">
        <f t="shared" si="1046"/>
        <v>Without Amendment</v>
      </c>
      <c r="D12059" s="138" t="str">
        <f t="shared" si="1049"/>
        <v>Medium_Low</v>
      </c>
      <c r="E12059" s="138" t="str">
        <f t="shared" si="1047"/>
        <v>Base</v>
      </c>
      <c r="F12059" s="138" t="str">
        <f t="shared" si="1048"/>
        <v>Upgraded</v>
      </c>
      <c r="G12059" s="153"/>
      <c r="H12059" s="210">
        <v>6.6E-3</v>
      </c>
      <c r="I12059" s="160" t="s">
        <v>168</v>
      </c>
      <c r="J12059" s="211">
        <v>3.4562199999999999E-5</v>
      </c>
      <c r="K12059" s="160" t="s">
        <v>145</v>
      </c>
      <c r="L12059" s="154" t="str">
        <f>IF(OpenLCAbasic!K12059="CTUh", "Fill in Manually",IF(OR(K12059="Unit", K12059=""), "", INDEX(LookUps!$E$5:$E$12, MATCH(OpenLCAbasic!K12059,LookUps!$D$5:$D$12,0))))</f>
        <v>Particulate Matter Formation Potential (PMFP) - kg PM2.5 eq</v>
      </c>
      <c r="M12059" s="154" t="str">
        <f t="shared" si="1050"/>
        <v>Base_Medium_Low_Upgraded_Particulate Matter Formation Potential (PMFP) - kg PM2.5 eq_ClearCove SCP; wastewater treatment unit; at updated plant - US_Without Amendment_Aerated Static Pile</v>
      </c>
    </row>
    <row r="12060" spans="1:13" s="120" customFormat="1" x14ac:dyDescent="0.25">
      <c r="A12060" s="119"/>
      <c r="B12060" s="138" t="str">
        <f t="shared" si="1045"/>
        <v>Aerated Static Pile</v>
      </c>
      <c r="C12060" s="138" t="str">
        <f t="shared" si="1046"/>
        <v>Without Amendment</v>
      </c>
      <c r="D12060" s="138" t="str">
        <f t="shared" si="1049"/>
        <v>Medium_Low</v>
      </c>
      <c r="E12060" s="138" t="str">
        <f t="shared" si="1047"/>
        <v>Base</v>
      </c>
      <c r="F12060" s="138" t="str">
        <f t="shared" si="1048"/>
        <v>Upgraded</v>
      </c>
      <c r="G12060" s="153"/>
      <c r="H12060" s="210">
        <v>1.6999999999999999E-3</v>
      </c>
      <c r="I12060" s="160" t="s">
        <v>148</v>
      </c>
      <c r="J12060" s="211">
        <v>8.8212999999999997E-6</v>
      </c>
      <c r="K12060" s="160" t="s">
        <v>145</v>
      </c>
      <c r="L12060" s="154" t="str">
        <f>IF(OpenLCAbasic!K12060="CTUh", "Fill in Manually",IF(OR(K12060="Unit", K12060=""), "", INDEX(LookUps!$E$5:$E$12, MATCH(OpenLCAbasic!K12060,LookUps!$D$5:$D$12,0))))</f>
        <v>Particulate Matter Formation Potential (PMFP) - kg PM2.5 eq</v>
      </c>
      <c r="M12060" s="154" t="str">
        <f t="shared" si="1050"/>
        <v>Base_Medium_Low_Upgraded_Particulate Matter Formation Potential (PMFP) - kg PM2.5 eq_Control Building; at upgraded wastewater treatment plant - US_Without Amendment_Aerated Static Pile</v>
      </c>
    </row>
    <row r="12061" spans="1:13" s="120" customFormat="1" x14ac:dyDescent="0.25">
      <c r="A12061" s="119"/>
      <c r="B12061" s="138" t="str">
        <f t="shared" si="1045"/>
        <v>Aerated Static Pile</v>
      </c>
      <c r="C12061" s="138" t="str">
        <f t="shared" si="1046"/>
        <v>Without Amendment</v>
      </c>
      <c r="D12061" s="138" t="str">
        <f t="shared" si="1049"/>
        <v>Medium_Low</v>
      </c>
      <c r="E12061" s="138" t="str">
        <f t="shared" si="1047"/>
        <v>Base</v>
      </c>
      <c r="F12061" s="138" t="str">
        <f t="shared" si="1048"/>
        <v>Upgraded</v>
      </c>
      <c r="G12061" s="153"/>
      <c r="H12061" s="210">
        <v>-7.2499999999999995E-2</v>
      </c>
      <c r="I12061" s="160" t="s">
        <v>149</v>
      </c>
      <c r="J12061" s="160">
        <v>-3.8000000000000002E-4</v>
      </c>
      <c r="K12061" s="160" t="s">
        <v>145</v>
      </c>
      <c r="L12061" s="154" t="str">
        <f>IF(OpenLCAbasic!K12061="CTUh", "Fill in Manually",IF(OR(K12061="Unit", K12061=""), "", INDEX(LookUps!$E$5:$E$12, MATCH(OpenLCAbasic!K12061,LookUps!$D$5:$D$12,0))))</f>
        <v>Particulate Matter Formation Potential (PMFP) - kg PM2.5 eq</v>
      </c>
      <c r="M12061" s="154" t="str">
        <f t="shared" si="1050"/>
        <v>Base_Medium_Low_Upgraded_Particulate Matter Formation Potential (PMFP) - kg PM2.5 eq_Anaerobic Digestion; wastewater treatment unit; at updated plant - US_Without Amendment_Aerated Static Pile</v>
      </c>
    </row>
    <row r="12062" spans="1:13" s="120" customFormat="1" x14ac:dyDescent="0.25">
      <c r="A12062" s="119"/>
      <c r="B12062" s="138" t="str">
        <f t="shared" si="1045"/>
        <v/>
      </c>
      <c r="C12062" s="138" t="str">
        <f t="shared" si="1046"/>
        <v/>
      </c>
      <c r="D12062" s="138" t="str">
        <f t="shared" si="1049"/>
        <v/>
      </c>
      <c r="E12062" s="138" t="str">
        <f t="shared" si="1047"/>
        <v/>
      </c>
      <c r="F12062" s="138" t="str">
        <f t="shared" si="1048"/>
        <v/>
      </c>
      <c r="G12062" s="153" t="s">
        <v>51</v>
      </c>
      <c r="H12062" s="160"/>
      <c r="I12062" s="160" t="s">
        <v>47</v>
      </c>
      <c r="J12062" s="160" t="s">
        <v>52</v>
      </c>
      <c r="K12062" s="160" t="s">
        <v>27</v>
      </c>
      <c r="L12062" s="154" t="str">
        <f>IF(OpenLCAbasic!K12062="CTUh", "Fill in Manually",IF(OR(K12062="Unit", K12062=""), "", INDEX(LookUps!$E$5:$E$12, MATCH(OpenLCAbasic!K12062,LookUps!$D$5:$D$12,0))))</f>
        <v/>
      </c>
      <c r="M12062" s="154" t="str">
        <f t="shared" si="1050"/>
        <v>____Process__</v>
      </c>
    </row>
    <row r="12063" spans="1:13" s="120" customFormat="1" x14ac:dyDescent="0.25">
      <c r="A12063" s="119"/>
      <c r="B12063" s="138" t="str">
        <f t="shared" si="1045"/>
        <v>Aerated Static Pile</v>
      </c>
      <c r="C12063" s="138" t="str">
        <f t="shared" si="1046"/>
        <v>Without Amendment</v>
      </c>
      <c r="D12063" s="138" t="str">
        <f t="shared" si="1049"/>
        <v>Medium_Low</v>
      </c>
      <c r="E12063" s="138" t="str">
        <f t="shared" si="1047"/>
        <v>Base</v>
      </c>
      <c r="F12063" s="138" t="str">
        <f t="shared" si="1048"/>
        <v>Upgraded</v>
      </c>
      <c r="G12063" s="153"/>
      <c r="H12063" s="210">
        <v>0.44090000000000001</v>
      </c>
      <c r="I12063" s="160" t="s">
        <v>55</v>
      </c>
      <c r="J12063" s="160">
        <v>0.16577</v>
      </c>
      <c r="K12063" s="160" t="s">
        <v>25</v>
      </c>
      <c r="L12063" s="154" t="str">
        <f>IF(OpenLCAbasic!K12063="CTUh", "Fill in Manually",IF(OR(K12063="Unit", K12063=""), "", INDEX(LookUps!$E$5:$E$12, MATCH(OpenLCAbasic!K12063,LookUps!$D$5:$D$12,0))))</f>
        <v>Smog Formation Potential (SFP) - kg O3 eq</v>
      </c>
      <c r="M12063" s="154" t="str">
        <f t="shared" si="1050"/>
        <v>Base_Medium_Low_Upgraded_Smog Formation Potential (SFP) - kg O3 eq_Aeration Tanks; wastewater treatment unit; at updated plant - US_Without Amendment_Aerated Static Pile</v>
      </c>
    </row>
    <row r="12064" spans="1:13" s="120" customFormat="1" x14ac:dyDescent="0.25">
      <c r="A12064" s="119"/>
      <c r="B12064" s="138" t="str">
        <f t="shared" si="1045"/>
        <v>Aerated Static Pile</v>
      </c>
      <c r="C12064" s="138" t="str">
        <f t="shared" si="1046"/>
        <v>Without Amendment</v>
      </c>
      <c r="D12064" s="138" t="str">
        <f t="shared" si="1049"/>
        <v>Medium_Low</v>
      </c>
      <c r="E12064" s="138" t="str">
        <f t="shared" si="1047"/>
        <v>Base</v>
      </c>
      <c r="F12064" s="138" t="str">
        <f t="shared" si="1048"/>
        <v>Upgraded</v>
      </c>
      <c r="G12064" s="153"/>
      <c r="H12064" s="210">
        <v>0.12790000000000001</v>
      </c>
      <c r="I12064" s="160" t="s">
        <v>54</v>
      </c>
      <c r="J12064" s="160">
        <v>4.8070000000000002E-2</v>
      </c>
      <c r="K12064" s="160" t="s">
        <v>25</v>
      </c>
      <c r="L12064" s="154" t="str">
        <f>IF(OpenLCAbasic!K12064="CTUh", "Fill in Manually",IF(OR(K12064="Unit", K12064=""), "", INDEX(LookUps!$E$5:$E$12, MATCH(OpenLCAbasic!K12064,LookUps!$D$5:$D$12,0))))</f>
        <v>Smog Formation Potential (SFP) - kg O3 eq</v>
      </c>
      <c r="M12064" s="154" t="str">
        <f t="shared" si="1050"/>
        <v>Base_Medium_Low_Upgraded_Smog Formation Potential (SFP) - kg O3 eq_Clear Cove Primary Clarification; wastewater treatment unit; at updated plant - US_Without Amendment_Aerated Static Pile</v>
      </c>
    </row>
    <row r="12065" spans="1:13" s="120" customFormat="1" x14ac:dyDescent="0.25">
      <c r="A12065" s="119"/>
      <c r="B12065" s="138" t="str">
        <f t="shared" si="1045"/>
        <v>Aerated Static Pile</v>
      </c>
      <c r="C12065" s="138" t="str">
        <f t="shared" si="1046"/>
        <v>Without Amendment</v>
      </c>
      <c r="D12065" s="138" t="str">
        <f t="shared" si="1049"/>
        <v>Medium_Low</v>
      </c>
      <c r="E12065" s="138" t="str">
        <f t="shared" si="1047"/>
        <v>Base</v>
      </c>
      <c r="F12065" s="138" t="str">
        <f t="shared" si="1048"/>
        <v>Upgraded</v>
      </c>
      <c r="G12065" s="153"/>
      <c r="H12065" s="210">
        <v>0.1115</v>
      </c>
      <c r="I12065" s="160" t="s">
        <v>58</v>
      </c>
      <c r="J12065" s="160">
        <v>4.1919999999999999E-2</v>
      </c>
      <c r="K12065" s="160" t="s">
        <v>25</v>
      </c>
      <c r="L12065" s="154" t="str">
        <f>IF(OpenLCAbasic!K12065="CTUh", "Fill in Manually",IF(OR(K12065="Unit", K12065=""), "", INDEX(LookUps!$E$5:$E$12, MATCH(OpenLCAbasic!K12065,LookUps!$D$5:$D$12,0))))</f>
        <v>Smog Formation Potential (SFP) - kg O3 eq</v>
      </c>
      <c r="M12065" s="154" t="str">
        <f t="shared" si="1050"/>
        <v>Base_Medium_Low_Upgraded_Smog Formation Potential (SFP) - kg O3 eq_Pre-Anoxic &amp; Swing tank; wastewater treatment unit; at updated plant - US_Without Amendment_Aerated Static Pile</v>
      </c>
    </row>
    <row r="12066" spans="1:13" s="120" customFormat="1" x14ac:dyDescent="0.25">
      <c r="A12066" s="119"/>
      <c r="B12066" s="138" t="str">
        <f t="shared" si="1045"/>
        <v>Aerated Static Pile</v>
      </c>
      <c r="C12066" s="138" t="str">
        <f t="shared" si="1046"/>
        <v>Without Amendment</v>
      </c>
      <c r="D12066" s="138" t="str">
        <f t="shared" si="1049"/>
        <v>Medium_Low</v>
      </c>
      <c r="E12066" s="138" t="str">
        <f t="shared" si="1047"/>
        <v>Base</v>
      </c>
      <c r="F12066" s="138" t="str">
        <f t="shared" si="1048"/>
        <v>Upgraded</v>
      </c>
      <c r="G12066" s="153"/>
      <c r="H12066" s="210">
        <v>8.8099999999999998E-2</v>
      </c>
      <c r="I12066" s="160" t="s">
        <v>53</v>
      </c>
      <c r="J12066" s="160">
        <v>3.313E-2</v>
      </c>
      <c r="K12066" s="160" t="s">
        <v>25</v>
      </c>
      <c r="L12066" s="154" t="str">
        <f>IF(OpenLCAbasic!K12066="CTUh", "Fill in Manually",IF(OR(K12066="Unit", K12066=""), "", INDEX(LookUps!$E$5:$E$12, MATCH(OpenLCAbasic!K12066,LookUps!$D$5:$D$12,0))))</f>
        <v>Smog Formation Potential (SFP) - kg O3 eq</v>
      </c>
      <c r="M12066" s="154" t="str">
        <f t="shared" si="1050"/>
        <v>Base_Medium_Low_Upgraded_Smog Formation Potential (SFP) - kg O3 eq_Wet Well and Sump Station; wastewater treatment unit; at updated plant - US_Without Amendment_Aerated Static Pile</v>
      </c>
    </row>
    <row r="12067" spans="1:13" s="120" customFormat="1" x14ac:dyDescent="0.25">
      <c r="A12067" s="119"/>
      <c r="B12067" s="138" t="str">
        <f t="shared" si="1045"/>
        <v>Aerated Static Pile</v>
      </c>
      <c r="C12067" s="138" t="str">
        <f t="shared" si="1046"/>
        <v>Without Amendment</v>
      </c>
      <c r="D12067" s="138" t="str">
        <f t="shared" si="1049"/>
        <v>Medium_Low</v>
      </c>
      <c r="E12067" s="138" t="str">
        <f t="shared" si="1047"/>
        <v>Base</v>
      </c>
      <c r="F12067" s="138" t="str">
        <f t="shared" si="1048"/>
        <v>Upgraded</v>
      </c>
      <c r="G12067" s="153"/>
      <c r="H12067" s="210">
        <v>8.1699999999999995E-2</v>
      </c>
      <c r="I12067" s="160" t="s">
        <v>167</v>
      </c>
      <c r="J12067" s="160">
        <v>3.0710000000000001E-2</v>
      </c>
      <c r="K12067" s="160" t="s">
        <v>25</v>
      </c>
      <c r="L12067" s="154" t="str">
        <f>IF(OpenLCAbasic!K12067="CTUh", "Fill in Manually",IF(OR(K12067="Unit", K12067=""), "", INDEX(LookUps!$E$5:$E$12, MATCH(OpenLCAbasic!K12067,LookUps!$D$5:$D$12,0))))</f>
        <v>Smog Formation Potential (SFP) - kg O3 eq</v>
      </c>
      <c r="M12067" s="154" t="str">
        <f t="shared" si="1050"/>
        <v>Base_Medium_Low_Upgraded_Smog Formation Potential (SFP) - kg O3 eq_Waste Receiving and Holding; wastewater treatment unit; at updated plant - US_Without Amendment_Aerated Static Pile</v>
      </c>
    </row>
    <row r="12068" spans="1:13" s="120" customFormat="1" x14ac:dyDescent="0.25">
      <c r="A12068" s="119"/>
      <c r="B12068" s="138" t="str">
        <f t="shared" si="1045"/>
        <v>Aerated Static Pile</v>
      </c>
      <c r="C12068" s="138" t="str">
        <f t="shared" si="1046"/>
        <v>Without Amendment</v>
      </c>
      <c r="D12068" s="138" t="str">
        <f t="shared" si="1049"/>
        <v>Medium_Low</v>
      </c>
      <c r="E12068" s="138" t="str">
        <f t="shared" si="1047"/>
        <v>Base</v>
      </c>
      <c r="F12068" s="138" t="str">
        <f t="shared" si="1048"/>
        <v>Upgraded</v>
      </c>
      <c r="G12068" s="153"/>
      <c r="H12068" s="210">
        <v>6.6600000000000006E-2</v>
      </c>
      <c r="I12068" s="160" t="s">
        <v>435</v>
      </c>
      <c r="J12068" s="160">
        <v>2.5049999999999999E-2</v>
      </c>
      <c r="K12068" s="160" t="s">
        <v>25</v>
      </c>
      <c r="L12068" s="154" t="str">
        <f>IF(OpenLCAbasic!K12068="CTUh", "Fill in Manually",IF(OR(K12068="Unit", K12068=""), "", INDEX(LookUps!$E$5:$E$12, MATCH(OpenLCAbasic!K12068,LookUps!$D$5:$D$12,0))))</f>
        <v>Smog Formation Potential (SFP) - kg O3 eq</v>
      </c>
      <c r="M12068" s="154" t="str">
        <f t="shared" si="1050"/>
        <v>Base_Medium_Low_Upgraded_Smog Formation Potential (SFP) - kg O3 eq_Biosolids composting; aerated static pile; wastewater treatment unit; at updated plant - US_Without Amendment_Aerated Static Pile</v>
      </c>
    </row>
    <row r="12069" spans="1:13" s="120" customFormat="1" x14ac:dyDescent="0.25">
      <c r="A12069" s="119"/>
      <c r="B12069" s="138" t="str">
        <f t="shared" si="1045"/>
        <v>Aerated Static Pile</v>
      </c>
      <c r="C12069" s="138" t="str">
        <f t="shared" si="1046"/>
        <v>Without Amendment</v>
      </c>
      <c r="D12069" s="138" t="str">
        <f t="shared" si="1049"/>
        <v>Medium_Low</v>
      </c>
      <c r="E12069" s="138" t="str">
        <f t="shared" si="1047"/>
        <v>Base</v>
      </c>
      <c r="F12069" s="138" t="str">
        <f t="shared" si="1048"/>
        <v>Upgraded</v>
      </c>
      <c r="G12069" s="153"/>
      <c r="H12069" s="210">
        <v>5.16E-2</v>
      </c>
      <c r="I12069" s="160" t="s">
        <v>147</v>
      </c>
      <c r="J12069" s="160">
        <v>1.9400000000000001E-2</v>
      </c>
      <c r="K12069" s="160" t="s">
        <v>25</v>
      </c>
      <c r="L12069" s="154" t="str">
        <f>IF(OpenLCAbasic!K12069="CTUh", "Fill in Manually",IF(OR(K12069="Unit", K12069=""), "", INDEX(LookUps!$E$5:$E$12, MATCH(OpenLCAbasic!K12069,LookUps!$D$5:$D$12,0))))</f>
        <v>Smog Formation Potential (SFP) - kg O3 eq</v>
      </c>
      <c r="M12069" s="154" t="str">
        <f t="shared" si="1050"/>
        <v>Base_Medium_Low_Upgraded_Smog Formation Potential (SFP) - kg O3 eq_Influent Pump Station; wastewater treatment unit; at updated plant - US_Without Amendment_Aerated Static Pile</v>
      </c>
    </row>
    <row r="12070" spans="1:13" s="120" customFormat="1" x14ac:dyDescent="0.25">
      <c r="A12070" s="119"/>
      <c r="B12070" s="138" t="str">
        <f t="shared" si="1045"/>
        <v>Aerated Static Pile</v>
      </c>
      <c r="C12070" s="138" t="str">
        <f t="shared" si="1046"/>
        <v>Without Amendment</v>
      </c>
      <c r="D12070" s="138" t="str">
        <f t="shared" si="1049"/>
        <v>Medium_Low</v>
      </c>
      <c r="E12070" s="138" t="str">
        <f t="shared" si="1047"/>
        <v>Base</v>
      </c>
      <c r="F12070" s="138" t="str">
        <f t="shared" si="1048"/>
        <v>Upgraded</v>
      </c>
      <c r="G12070" s="153"/>
      <c r="H12070" s="210">
        <v>3.1699999999999999E-2</v>
      </c>
      <c r="I12070" s="160" t="s">
        <v>128</v>
      </c>
      <c r="J12070" s="160">
        <v>1.192E-2</v>
      </c>
      <c r="K12070" s="160" t="s">
        <v>25</v>
      </c>
      <c r="L12070" s="154" t="str">
        <f>IF(OpenLCAbasic!K12070="CTUh", "Fill in Manually",IF(OR(K12070="Unit", K12070=""), "", INDEX(LookUps!$E$5:$E$12, MATCH(OpenLCAbasic!K12070,LookUps!$D$5:$D$12,0))))</f>
        <v>Smog Formation Potential (SFP) - kg O3 eq</v>
      </c>
      <c r="M12070" s="154" t="str">
        <f t="shared" si="1050"/>
        <v>Base_Medium_Low_Upgraded_Smog Formation Potential (SFP) - kg O3 eq_Wastewater collection; operation and infrastructure; m3 wastewater_Without Amendment_Aerated Static Pile</v>
      </c>
    </row>
    <row r="12071" spans="1:13" s="120" customFormat="1" x14ac:dyDescent="0.25">
      <c r="A12071" s="119"/>
      <c r="B12071" s="138" t="str">
        <f t="shared" si="1045"/>
        <v>Aerated Static Pile</v>
      </c>
      <c r="C12071" s="138" t="str">
        <f t="shared" si="1046"/>
        <v>Without Amendment</v>
      </c>
      <c r="D12071" s="138" t="str">
        <f t="shared" si="1049"/>
        <v>Medium_Low</v>
      </c>
      <c r="E12071" s="138" t="str">
        <f t="shared" si="1047"/>
        <v>Base</v>
      </c>
      <c r="F12071" s="138" t="str">
        <f t="shared" si="1048"/>
        <v>Upgraded</v>
      </c>
      <c r="G12071" s="153"/>
      <c r="H12071" s="210">
        <v>3.0499999999999999E-2</v>
      </c>
      <c r="I12071" s="160" t="s">
        <v>60</v>
      </c>
      <c r="J12071" s="160">
        <v>1.145E-2</v>
      </c>
      <c r="K12071" s="160" t="s">
        <v>25</v>
      </c>
      <c r="L12071" s="154" t="str">
        <f>IF(OpenLCAbasic!K12071="CTUh", "Fill in Manually",IF(OR(K12071="Unit", K12071=""), "", INDEX(LookUps!$E$5:$E$12, MATCH(OpenLCAbasic!K12071,LookUps!$D$5:$D$12,0))))</f>
        <v>Smog Formation Potential (SFP) - kg O3 eq</v>
      </c>
      <c r="M12071" s="154" t="str">
        <f t="shared" si="1050"/>
        <v>Base_Medium_Low_Upgraded_Smog Formation Potential (SFP) - kg O3 eq_Belt filter press; wastewater treatment unit; at updated plant - US_Without Amendment_Aerated Static Pile</v>
      </c>
    </row>
    <row r="12072" spans="1:13" s="120" customFormat="1" x14ac:dyDescent="0.25">
      <c r="A12072" s="119"/>
      <c r="B12072" s="138" t="str">
        <f t="shared" si="1045"/>
        <v>Aerated Static Pile</v>
      </c>
      <c r="C12072" s="138" t="str">
        <f t="shared" si="1046"/>
        <v>Without Amendment</v>
      </c>
      <c r="D12072" s="138" t="str">
        <f t="shared" si="1049"/>
        <v>Medium_Low</v>
      </c>
      <c r="E12072" s="138" t="str">
        <f t="shared" si="1047"/>
        <v>Base</v>
      </c>
      <c r="F12072" s="138" t="str">
        <f t="shared" si="1048"/>
        <v>Upgraded</v>
      </c>
      <c r="G12072" s="153"/>
      <c r="H12072" s="210">
        <v>1.77E-2</v>
      </c>
      <c r="I12072" s="160" t="s">
        <v>57</v>
      </c>
      <c r="J12072" s="160">
        <v>6.6499999999999997E-3</v>
      </c>
      <c r="K12072" s="160" t="s">
        <v>25</v>
      </c>
      <c r="L12072" s="154" t="str">
        <f>IF(OpenLCAbasic!K12072="CTUh", "Fill in Manually",IF(OR(K12072="Unit", K12072=""), "", INDEX(LookUps!$E$5:$E$12, MATCH(OpenLCAbasic!K12072,LookUps!$D$5:$D$12,0))))</f>
        <v>Smog Formation Potential (SFP) - kg O3 eq</v>
      </c>
      <c r="M12072" s="154" t="str">
        <f t="shared" si="1050"/>
        <v>Base_Medium_Low_Upgraded_Smog Formation Potential (SFP) - kg O3 eq_Gravity Belt Thickener; wastewater treatment unit; at updated plant - US_Without Amendment_Aerated Static Pile</v>
      </c>
    </row>
    <row r="12073" spans="1:13" s="120" customFormat="1" x14ac:dyDescent="0.25">
      <c r="A12073" s="119"/>
      <c r="B12073" s="138" t="str">
        <f t="shared" ref="B12073:B12136" si="1051">IF(F12073="Legacy","n.a.",IF(F12073="","","Aerated Static Pile"))</f>
        <v>Aerated Static Pile</v>
      </c>
      <c r="C12073" s="138" t="str">
        <f t="shared" ref="C12073:C12136" si="1052">IF(ISNUMBER($J12073),"Without Amendment","")</f>
        <v>Without Amendment</v>
      </c>
      <c r="D12073" s="138" t="str">
        <f t="shared" si="1049"/>
        <v>Medium_Low</v>
      </c>
      <c r="E12073" s="138" t="str">
        <f t="shared" ref="E12073:E12136" si="1053">IF(ISNUMBER($J12073),"Base","")</f>
        <v>Base</v>
      </c>
      <c r="F12073" s="138" t="str">
        <f t="shared" ref="F12073:F12136" si="1054">IF(ISNUMBER(J12073),"Upgraded","")</f>
        <v>Upgraded</v>
      </c>
      <c r="G12073" s="153"/>
      <c r="H12073" s="210">
        <v>1.32E-2</v>
      </c>
      <c r="I12073" s="160" t="s">
        <v>59</v>
      </c>
      <c r="J12073" s="160">
        <v>4.9699999999999996E-3</v>
      </c>
      <c r="K12073" s="160" t="s">
        <v>25</v>
      </c>
      <c r="L12073" s="154" t="str">
        <f>IF(OpenLCAbasic!K12073="CTUh", "Fill in Manually",IF(OR(K12073="Unit", K12073=""), "", INDEX(LookUps!$E$5:$E$12, MATCH(OpenLCAbasic!K12073,LookUps!$D$5:$D$12,0))))</f>
        <v>Smog Formation Potential (SFP) - kg O3 eq</v>
      </c>
      <c r="M12073" s="154" t="str">
        <f t="shared" si="1050"/>
        <v>Base_Medium_Low_Upgraded_Smog Formation Potential (SFP) - kg O3 eq_Blend Tank; wastewater treatment unit; at updated plant - US_Without Amendment_Aerated Static Pile</v>
      </c>
    </row>
    <row r="12074" spans="1:13" s="120" customFormat="1" x14ac:dyDescent="0.25">
      <c r="A12074" s="119"/>
      <c r="B12074" s="138" t="str">
        <f t="shared" si="1051"/>
        <v>Aerated Static Pile</v>
      </c>
      <c r="C12074" s="138" t="str">
        <f t="shared" si="1052"/>
        <v>Without Amendment</v>
      </c>
      <c r="D12074" s="138" t="str">
        <f t="shared" si="1049"/>
        <v>Medium_Low</v>
      </c>
      <c r="E12074" s="138" t="str">
        <f t="shared" si="1053"/>
        <v>Base</v>
      </c>
      <c r="F12074" s="138" t="str">
        <f t="shared" si="1054"/>
        <v>Upgraded</v>
      </c>
      <c r="G12074" s="153"/>
      <c r="H12074" s="210">
        <v>8.9999999999999993E-3</v>
      </c>
      <c r="I12074" s="160" t="s">
        <v>48</v>
      </c>
      <c r="J12074" s="160">
        <v>3.3899999999999998E-3</v>
      </c>
      <c r="K12074" s="160" t="s">
        <v>25</v>
      </c>
      <c r="L12074" s="154" t="str">
        <f>IF(OpenLCAbasic!K12074="CTUh", "Fill in Manually",IF(OR(K12074="Unit", K12074=""), "", INDEX(LookUps!$E$5:$E$12, MATCH(OpenLCAbasic!K12074,LookUps!$D$5:$D$12,0))))</f>
        <v>Smog Formation Potential (SFP) - kg O3 eq</v>
      </c>
      <c r="M12074" s="154" t="str">
        <f t="shared" si="1050"/>
        <v>Base_Medium_Low_Upgraded_Smog Formation Potential (SFP) - kg O3 eq_Effluent release; wastewater treatment unit; at surface water; m3 wastewater - US_Without Amendment_Aerated Static Pile</v>
      </c>
    </row>
    <row r="12075" spans="1:13" s="120" customFormat="1" x14ac:dyDescent="0.25">
      <c r="A12075" s="119"/>
      <c r="B12075" s="138" t="str">
        <f t="shared" si="1051"/>
        <v>Aerated Static Pile</v>
      </c>
      <c r="C12075" s="138" t="str">
        <f t="shared" si="1052"/>
        <v>Without Amendment</v>
      </c>
      <c r="D12075" s="138" t="str">
        <f t="shared" si="1049"/>
        <v>Medium_Low</v>
      </c>
      <c r="E12075" s="138" t="str">
        <f t="shared" si="1053"/>
        <v>Base</v>
      </c>
      <c r="F12075" s="138" t="str">
        <f t="shared" si="1054"/>
        <v>Upgraded</v>
      </c>
      <c r="G12075" s="153"/>
      <c r="H12075" s="210">
        <v>6.4999999999999997E-3</v>
      </c>
      <c r="I12075" s="160" t="s">
        <v>168</v>
      </c>
      <c r="J12075" s="160">
        <v>2.4599999999999999E-3</v>
      </c>
      <c r="K12075" s="160" t="s">
        <v>25</v>
      </c>
      <c r="L12075" s="154" t="str">
        <f>IF(OpenLCAbasic!K12075="CTUh", "Fill in Manually",IF(OR(K12075="Unit", K12075=""), "", INDEX(LookUps!$E$5:$E$12, MATCH(OpenLCAbasic!K12075,LookUps!$D$5:$D$12,0))))</f>
        <v>Smog Formation Potential (SFP) - kg O3 eq</v>
      </c>
      <c r="M12075" s="154" t="str">
        <f t="shared" si="1050"/>
        <v>Base_Medium_Low_Upgraded_Smog Formation Potential (SFP) - kg O3 eq_ClearCove SCP; wastewater treatment unit; at updated plant - US_Without Amendment_Aerated Static Pile</v>
      </c>
    </row>
    <row r="12076" spans="1:13" s="120" customFormat="1" x14ac:dyDescent="0.25">
      <c r="A12076" s="119"/>
      <c r="B12076" s="138" t="str">
        <f t="shared" si="1051"/>
        <v>Aerated Static Pile</v>
      </c>
      <c r="C12076" s="138" t="str">
        <f t="shared" si="1052"/>
        <v>Without Amendment</v>
      </c>
      <c r="D12076" s="138" t="str">
        <f t="shared" si="1049"/>
        <v>Medium_Low</v>
      </c>
      <c r="E12076" s="138" t="str">
        <f t="shared" si="1053"/>
        <v>Base</v>
      </c>
      <c r="F12076" s="138" t="str">
        <f t="shared" si="1054"/>
        <v>Upgraded</v>
      </c>
      <c r="G12076" s="153"/>
      <c r="H12076" s="210">
        <v>1.4E-3</v>
      </c>
      <c r="I12076" s="160" t="s">
        <v>148</v>
      </c>
      <c r="J12076" s="160">
        <v>5.4000000000000001E-4</v>
      </c>
      <c r="K12076" s="160" t="s">
        <v>25</v>
      </c>
      <c r="L12076" s="154" t="str">
        <f>IF(OpenLCAbasic!K12076="CTUh", "Fill in Manually",IF(OR(K12076="Unit", K12076=""), "", INDEX(LookUps!$E$5:$E$12, MATCH(OpenLCAbasic!K12076,LookUps!$D$5:$D$12,0))))</f>
        <v>Smog Formation Potential (SFP) - kg O3 eq</v>
      </c>
      <c r="M12076" s="154" t="str">
        <f t="shared" si="1050"/>
        <v>Base_Medium_Low_Upgraded_Smog Formation Potential (SFP) - kg O3 eq_Control Building; at upgraded wastewater treatment plant - US_Without Amendment_Aerated Static Pile</v>
      </c>
    </row>
    <row r="12077" spans="1:13" s="120" customFormat="1" x14ac:dyDescent="0.25">
      <c r="A12077" s="119"/>
      <c r="B12077" s="138" t="str">
        <f t="shared" si="1051"/>
        <v>Aerated Static Pile</v>
      </c>
      <c r="C12077" s="138" t="str">
        <f t="shared" si="1052"/>
        <v>Without Amendment</v>
      </c>
      <c r="D12077" s="138" t="str">
        <f t="shared" si="1049"/>
        <v>Medium_Low</v>
      </c>
      <c r="E12077" s="138" t="str">
        <f t="shared" si="1053"/>
        <v>Base</v>
      </c>
      <c r="F12077" s="138" t="str">
        <f t="shared" si="1054"/>
        <v>Upgraded</v>
      </c>
      <c r="G12077" s="153"/>
      <c r="H12077" s="210">
        <v>-7.1999999999999998E-3</v>
      </c>
      <c r="I12077" s="160" t="s">
        <v>62</v>
      </c>
      <c r="J12077" s="160">
        <v>-2.7100000000000002E-3</v>
      </c>
      <c r="K12077" s="160" t="s">
        <v>25</v>
      </c>
      <c r="L12077" s="154" t="str">
        <f>IF(OpenLCAbasic!K12077="CTUh", "Fill in Manually",IF(OR(K12077="Unit", K12077=""), "", INDEX(LookUps!$E$5:$E$12, MATCH(OpenLCAbasic!K12077,LookUps!$D$5:$D$12,0))))</f>
        <v>Smog Formation Potential (SFP) - kg O3 eq</v>
      </c>
      <c r="M12077" s="154" t="str">
        <f t="shared" si="1050"/>
        <v>Base_Medium_Low_Upgraded_Smog Formation Potential (SFP) - kg O3 eq_Land application of compost; wastewater treatment unit; at updated plant - US_Without Amendment_Aerated Static Pile</v>
      </c>
    </row>
    <row r="12078" spans="1:13" s="120" customFormat="1" x14ac:dyDescent="0.25">
      <c r="A12078" s="119"/>
      <c r="B12078" s="138" t="str">
        <f t="shared" si="1051"/>
        <v>Aerated Static Pile</v>
      </c>
      <c r="C12078" s="138" t="str">
        <f t="shared" si="1052"/>
        <v>Without Amendment</v>
      </c>
      <c r="D12078" s="138" t="str">
        <f t="shared" si="1049"/>
        <v>Medium_Low</v>
      </c>
      <c r="E12078" s="138" t="str">
        <f t="shared" si="1053"/>
        <v>Base</v>
      </c>
      <c r="F12078" s="138" t="str">
        <f t="shared" si="1054"/>
        <v>Upgraded</v>
      </c>
      <c r="G12078" s="153"/>
      <c r="H12078" s="210">
        <v>-7.1099999999999997E-2</v>
      </c>
      <c r="I12078" s="160" t="s">
        <v>149</v>
      </c>
      <c r="J12078" s="160">
        <v>-2.673E-2</v>
      </c>
      <c r="K12078" s="160" t="s">
        <v>25</v>
      </c>
      <c r="L12078" s="154" t="str">
        <f>IF(OpenLCAbasic!K12078="CTUh", "Fill in Manually",IF(OR(K12078="Unit", K12078=""), "", INDEX(LookUps!$E$5:$E$12, MATCH(OpenLCAbasic!K12078,LookUps!$D$5:$D$12,0))))</f>
        <v>Smog Formation Potential (SFP) - kg O3 eq</v>
      </c>
      <c r="M12078" s="154" t="str">
        <f t="shared" si="1050"/>
        <v>Base_Medium_Low_Upgraded_Smog Formation Potential (SFP) - kg O3 eq_Anaerobic Digestion; wastewater treatment unit; at updated plant - US_Without Amendment_Aerated Static Pile</v>
      </c>
    </row>
    <row r="12079" spans="1:13" s="120" customFormat="1" x14ac:dyDescent="0.25">
      <c r="A12079" s="119"/>
      <c r="B12079" s="138" t="str">
        <f t="shared" si="1051"/>
        <v/>
      </c>
      <c r="C12079" s="138" t="str">
        <f t="shared" si="1052"/>
        <v/>
      </c>
      <c r="D12079" s="138" t="str">
        <f t="shared" si="1049"/>
        <v/>
      </c>
      <c r="E12079" s="138" t="str">
        <f t="shared" si="1053"/>
        <v/>
      </c>
      <c r="F12079" s="138" t="str">
        <f t="shared" si="1054"/>
        <v/>
      </c>
      <c r="G12079" s="153" t="s">
        <v>51</v>
      </c>
      <c r="H12079" s="160"/>
      <c r="I12079" s="160" t="s">
        <v>47</v>
      </c>
      <c r="J12079" s="160" t="s">
        <v>52</v>
      </c>
      <c r="K12079" s="160" t="s">
        <v>27</v>
      </c>
      <c r="L12079" s="154" t="str">
        <f>IF(OpenLCAbasic!K12079="CTUh", "Fill in Manually",IF(OR(K12079="Unit", K12079=""), "", INDEX(LookUps!$E$5:$E$12, MATCH(OpenLCAbasic!K12079,LookUps!$D$5:$D$12,0))))</f>
        <v/>
      </c>
      <c r="M12079" s="154" t="str">
        <f t="shared" si="1050"/>
        <v>____Process__</v>
      </c>
    </row>
    <row r="12080" spans="1:13" s="120" customFormat="1" x14ac:dyDescent="0.25">
      <c r="A12080" s="119"/>
      <c r="B12080" s="138" t="str">
        <f t="shared" si="1051"/>
        <v>Aerated Static Pile</v>
      </c>
      <c r="C12080" s="138" t="str">
        <f t="shared" si="1052"/>
        <v>Without Amendment</v>
      </c>
      <c r="D12080" s="138" t="str">
        <f t="shared" si="1049"/>
        <v>Medium_Low</v>
      </c>
      <c r="E12080" s="138" t="str">
        <f t="shared" si="1053"/>
        <v>Base</v>
      </c>
      <c r="F12080" s="138" t="str">
        <f t="shared" si="1054"/>
        <v>Upgraded</v>
      </c>
      <c r="G12080" s="153"/>
      <c r="H12080" s="210">
        <v>2.7707999999999999</v>
      </c>
      <c r="I12080" s="160" t="s">
        <v>167</v>
      </c>
      <c r="J12080" s="160">
        <v>2.7999999999999998E-4</v>
      </c>
      <c r="K12080" s="160" t="s">
        <v>26</v>
      </c>
      <c r="L12080" s="154" t="str">
        <f>IF(OpenLCAbasic!K12080="CTUh", "Fill in Manually",IF(OR(K12080="Unit", K12080=""), "", INDEX(LookUps!$E$5:$E$12, MATCH(OpenLCAbasic!K12080,LookUps!$D$5:$D$12,0))))</f>
        <v>Water Use (WU) - m3 H2O</v>
      </c>
      <c r="M12080" s="154" t="str">
        <f t="shared" si="1050"/>
        <v>Base_Medium_Low_Upgraded_Water Use (WU) - m3 H2O_Waste Receiving and Holding; wastewater treatment unit; at updated plant - US_Without Amendment_Aerated Static Pile</v>
      </c>
    </row>
    <row r="12081" spans="1:13" s="120" customFormat="1" x14ac:dyDescent="0.25">
      <c r="A12081" s="119"/>
      <c r="B12081" s="138" t="str">
        <f t="shared" si="1051"/>
        <v>Aerated Static Pile</v>
      </c>
      <c r="C12081" s="138" t="str">
        <f t="shared" si="1052"/>
        <v>Without Amendment</v>
      </c>
      <c r="D12081" s="138" t="str">
        <f t="shared" si="1049"/>
        <v>Medium_Low</v>
      </c>
      <c r="E12081" s="138" t="str">
        <f t="shared" si="1053"/>
        <v>Base</v>
      </c>
      <c r="F12081" s="138" t="str">
        <f t="shared" si="1054"/>
        <v>Upgraded</v>
      </c>
      <c r="G12081" s="153"/>
      <c r="H12081" s="210">
        <v>1.8087</v>
      </c>
      <c r="I12081" s="160" t="s">
        <v>147</v>
      </c>
      <c r="J12081" s="160">
        <v>1.8000000000000001E-4</v>
      </c>
      <c r="K12081" s="160" t="s">
        <v>26</v>
      </c>
      <c r="L12081" s="154" t="str">
        <f>IF(OpenLCAbasic!K12081="CTUh", "Fill in Manually",IF(OR(K12081="Unit", K12081=""), "", INDEX(LookUps!$E$5:$E$12, MATCH(OpenLCAbasic!K12081,LookUps!$D$5:$D$12,0))))</f>
        <v>Water Use (WU) - m3 H2O</v>
      </c>
      <c r="M12081" s="154" t="str">
        <f t="shared" si="1050"/>
        <v>Base_Medium_Low_Upgraded_Water Use (WU) - m3 H2O_Influent Pump Station; wastewater treatment unit; at updated plant - US_Without Amendment_Aerated Static Pile</v>
      </c>
    </row>
    <row r="12082" spans="1:13" s="120" customFormat="1" x14ac:dyDescent="0.25">
      <c r="A12082" s="119"/>
      <c r="B12082" s="138" t="str">
        <f t="shared" si="1051"/>
        <v>Aerated Static Pile</v>
      </c>
      <c r="C12082" s="138" t="str">
        <f t="shared" si="1052"/>
        <v>Without Amendment</v>
      </c>
      <c r="D12082" s="138" t="str">
        <f t="shared" si="1049"/>
        <v>Medium_Low</v>
      </c>
      <c r="E12082" s="138" t="str">
        <f t="shared" si="1053"/>
        <v>Base</v>
      </c>
      <c r="F12082" s="138" t="str">
        <f t="shared" si="1054"/>
        <v>Upgraded</v>
      </c>
      <c r="G12082" s="153"/>
      <c r="H12082" s="210">
        <v>1.7647999999999999</v>
      </c>
      <c r="I12082" s="160" t="s">
        <v>54</v>
      </c>
      <c r="J12082" s="160">
        <v>1.8000000000000001E-4</v>
      </c>
      <c r="K12082" s="160" t="s">
        <v>26</v>
      </c>
      <c r="L12082" s="154" t="str">
        <f>IF(OpenLCAbasic!K12082="CTUh", "Fill in Manually",IF(OR(K12082="Unit", K12082=""), "", INDEX(LookUps!$E$5:$E$12, MATCH(OpenLCAbasic!K12082,LookUps!$D$5:$D$12,0))))</f>
        <v>Water Use (WU) - m3 H2O</v>
      </c>
      <c r="M12082" s="154" t="str">
        <f t="shared" si="1050"/>
        <v>Base_Medium_Low_Upgraded_Water Use (WU) - m3 H2O_Clear Cove Primary Clarification; wastewater treatment unit; at updated plant - US_Without Amendment_Aerated Static Pile</v>
      </c>
    </row>
    <row r="12083" spans="1:13" s="120" customFormat="1" x14ac:dyDescent="0.25">
      <c r="A12083" s="119"/>
      <c r="B12083" s="138" t="str">
        <f t="shared" si="1051"/>
        <v>Aerated Static Pile</v>
      </c>
      <c r="C12083" s="138" t="str">
        <f t="shared" si="1052"/>
        <v>Without Amendment</v>
      </c>
      <c r="D12083" s="138" t="str">
        <f t="shared" si="1049"/>
        <v>Medium_Low</v>
      </c>
      <c r="E12083" s="138" t="str">
        <f t="shared" si="1053"/>
        <v>Base</v>
      </c>
      <c r="F12083" s="138" t="str">
        <f t="shared" si="1054"/>
        <v>Upgraded</v>
      </c>
      <c r="G12083" s="153"/>
      <c r="H12083" s="210">
        <v>1.6009</v>
      </c>
      <c r="I12083" s="160" t="s">
        <v>55</v>
      </c>
      <c r="J12083" s="160">
        <v>1.6000000000000001E-4</v>
      </c>
      <c r="K12083" s="160" t="s">
        <v>26</v>
      </c>
      <c r="L12083" s="154" t="str">
        <f>IF(OpenLCAbasic!K12083="CTUh", "Fill in Manually",IF(OR(K12083="Unit", K12083=""), "", INDEX(LookUps!$E$5:$E$12, MATCH(OpenLCAbasic!K12083,LookUps!$D$5:$D$12,0))))</f>
        <v>Water Use (WU) - m3 H2O</v>
      </c>
      <c r="M12083" s="154" t="str">
        <f t="shared" si="1050"/>
        <v>Base_Medium_Low_Upgraded_Water Use (WU) - m3 H2O_Aeration Tanks; wastewater treatment unit; at updated plant - US_Without Amendment_Aerated Static Pile</v>
      </c>
    </row>
    <row r="12084" spans="1:13" s="120" customFormat="1" x14ac:dyDescent="0.25">
      <c r="A12084" s="119"/>
      <c r="B12084" s="138" t="str">
        <f t="shared" si="1051"/>
        <v>Aerated Static Pile</v>
      </c>
      <c r="C12084" s="138" t="str">
        <f t="shared" si="1052"/>
        <v>Without Amendment</v>
      </c>
      <c r="D12084" s="138" t="str">
        <f t="shared" si="1049"/>
        <v>Medium_Low</v>
      </c>
      <c r="E12084" s="138" t="str">
        <f t="shared" si="1053"/>
        <v>Base</v>
      </c>
      <c r="F12084" s="138" t="str">
        <f t="shared" si="1054"/>
        <v>Upgraded</v>
      </c>
      <c r="G12084" s="153"/>
      <c r="H12084" s="210">
        <v>1.4582999999999999</v>
      </c>
      <c r="I12084" s="160" t="s">
        <v>148</v>
      </c>
      <c r="J12084" s="160">
        <v>1.4999999999999999E-4</v>
      </c>
      <c r="K12084" s="160" t="s">
        <v>26</v>
      </c>
      <c r="L12084" s="154" t="str">
        <f>IF(OpenLCAbasic!K12084="CTUh", "Fill in Manually",IF(OR(K12084="Unit", K12084=""), "", INDEX(LookUps!$E$5:$E$12, MATCH(OpenLCAbasic!K12084,LookUps!$D$5:$D$12,0))))</f>
        <v>Water Use (WU) - m3 H2O</v>
      </c>
      <c r="M12084" s="154" t="str">
        <f t="shared" si="1050"/>
        <v>Base_Medium_Low_Upgraded_Water Use (WU) - m3 H2O_Control Building; at upgraded wastewater treatment plant - US_Without Amendment_Aerated Static Pile</v>
      </c>
    </row>
    <row r="12085" spans="1:13" s="120" customFormat="1" x14ac:dyDescent="0.25">
      <c r="A12085" s="119"/>
      <c r="B12085" s="138" t="str">
        <f t="shared" si="1051"/>
        <v>Aerated Static Pile</v>
      </c>
      <c r="C12085" s="138" t="str">
        <f t="shared" si="1052"/>
        <v>Without Amendment</v>
      </c>
      <c r="D12085" s="138" t="str">
        <f t="shared" si="1049"/>
        <v>Medium_Low</v>
      </c>
      <c r="E12085" s="138" t="str">
        <f t="shared" si="1053"/>
        <v>Base</v>
      </c>
      <c r="F12085" s="138" t="str">
        <f t="shared" si="1054"/>
        <v>Upgraded</v>
      </c>
      <c r="G12085" s="153"/>
      <c r="H12085" s="210">
        <v>0.67720000000000002</v>
      </c>
      <c r="I12085" s="160" t="s">
        <v>48</v>
      </c>
      <c r="J12085" s="211">
        <v>6.8836400000000004E-5</v>
      </c>
      <c r="K12085" s="160" t="s">
        <v>26</v>
      </c>
      <c r="L12085" s="154" t="str">
        <f>IF(OpenLCAbasic!K12085="CTUh", "Fill in Manually",IF(OR(K12085="Unit", K12085=""), "", INDEX(LookUps!$E$5:$E$12, MATCH(OpenLCAbasic!K12085,LookUps!$D$5:$D$12,0))))</f>
        <v>Water Use (WU) - m3 H2O</v>
      </c>
      <c r="M12085" s="154" t="str">
        <f t="shared" si="1050"/>
        <v>Base_Medium_Low_Upgraded_Water Use (WU) - m3 H2O_Effluent release; wastewater treatment unit; at surface water; m3 wastewater - US_Without Amendment_Aerated Static Pile</v>
      </c>
    </row>
    <row r="12086" spans="1:13" s="120" customFormat="1" x14ac:dyDescent="0.25">
      <c r="A12086" s="119"/>
      <c r="B12086" s="138" t="str">
        <f t="shared" si="1051"/>
        <v>Aerated Static Pile</v>
      </c>
      <c r="C12086" s="138" t="str">
        <f t="shared" si="1052"/>
        <v>Without Amendment</v>
      </c>
      <c r="D12086" s="138" t="str">
        <f t="shared" si="1049"/>
        <v>Medium_Low</v>
      </c>
      <c r="E12086" s="138" t="str">
        <f t="shared" si="1053"/>
        <v>Base</v>
      </c>
      <c r="F12086" s="138" t="str">
        <f t="shared" si="1054"/>
        <v>Upgraded</v>
      </c>
      <c r="G12086" s="153"/>
      <c r="H12086" s="210">
        <v>0.42530000000000001</v>
      </c>
      <c r="I12086" s="160" t="s">
        <v>58</v>
      </c>
      <c r="J12086" s="211">
        <v>4.3235300000000003E-5</v>
      </c>
      <c r="K12086" s="160" t="s">
        <v>26</v>
      </c>
      <c r="L12086" s="154" t="str">
        <f>IF(OpenLCAbasic!K12086="CTUh", "Fill in Manually",IF(OR(K12086="Unit", K12086=""), "", INDEX(LookUps!$E$5:$E$12, MATCH(OpenLCAbasic!K12086,LookUps!$D$5:$D$12,0))))</f>
        <v>Water Use (WU) - m3 H2O</v>
      </c>
      <c r="M12086" s="154" t="str">
        <f t="shared" si="1050"/>
        <v>Base_Medium_Low_Upgraded_Water Use (WU) - m3 H2O_Pre-Anoxic &amp; Swing tank; wastewater treatment unit; at updated plant - US_Without Amendment_Aerated Static Pile</v>
      </c>
    </row>
    <row r="12087" spans="1:13" s="120" customFormat="1" x14ac:dyDescent="0.25">
      <c r="A12087" s="119"/>
      <c r="B12087" s="138" t="str">
        <f t="shared" si="1051"/>
        <v>Aerated Static Pile</v>
      </c>
      <c r="C12087" s="138" t="str">
        <f t="shared" si="1052"/>
        <v>Without Amendment</v>
      </c>
      <c r="D12087" s="138" t="str">
        <f t="shared" si="1049"/>
        <v>Medium_Low</v>
      </c>
      <c r="E12087" s="138" t="str">
        <f t="shared" si="1053"/>
        <v>Base</v>
      </c>
      <c r="F12087" s="138" t="str">
        <f t="shared" si="1054"/>
        <v>Upgraded</v>
      </c>
      <c r="G12087" s="153"/>
      <c r="H12087" s="210">
        <v>0.33639999999999998</v>
      </c>
      <c r="I12087" s="160" t="s">
        <v>60</v>
      </c>
      <c r="J12087" s="211">
        <v>3.4196200000000003E-5</v>
      </c>
      <c r="K12087" s="160" t="s">
        <v>26</v>
      </c>
      <c r="L12087" s="154" t="str">
        <f>IF(OpenLCAbasic!K12087="CTUh", "Fill in Manually",IF(OR(K12087="Unit", K12087=""), "", INDEX(LookUps!$E$5:$E$12, MATCH(OpenLCAbasic!K12087,LookUps!$D$5:$D$12,0))))</f>
        <v>Water Use (WU) - m3 H2O</v>
      </c>
      <c r="M12087" s="154" t="str">
        <f t="shared" si="1050"/>
        <v>Base_Medium_Low_Upgraded_Water Use (WU) - m3 H2O_Belt filter press; wastewater treatment unit; at updated plant - US_Without Amendment_Aerated Static Pile</v>
      </c>
    </row>
    <row r="12088" spans="1:13" s="120" customFormat="1" x14ac:dyDescent="0.25">
      <c r="A12088" s="119"/>
      <c r="B12088" s="138" t="str">
        <f t="shared" si="1051"/>
        <v>Aerated Static Pile</v>
      </c>
      <c r="C12088" s="138" t="str">
        <f t="shared" si="1052"/>
        <v>Without Amendment</v>
      </c>
      <c r="D12088" s="138" t="str">
        <f t="shared" si="1049"/>
        <v>Medium_Low</v>
      </c>
      <c r="E12088" s="138" t="str">
        <f t="shared" si="1053"/>
        <v>Base</v>
      </c>
      <c r="F12088" s="138" t="str">
        <f t="shared" si="1054"/>
        <v>Upgraded</v>
      </c>
      <c r="G12088" s="153"/>
      <c r="H12088" s="210">
        <v>0.29920000000000002</v>
      </c>
      <c r="I12088" s="160" t="s">
        <v>57</v>
      </c>
      <c r="J12088" s="211">
        <v>3.0408100000000001E-5</v>
      </c>
      <c r="K12088" s="160" t="s">
        <v>26</v>
      </c>
      <c r="L12088" s="154" t="str">
        <f>IF(OpenLCAbasic!K12088="CTUh", "Fill in Manually",IF(OR(K12088="Unit", K12088=""), "", INDEX(LookUps!$E$5:$E$12, MATCH(OpenLCAbasic!K12088,LookUps!$D$5:$D$12,0))))</f>
        <v>Water Use (WU) - m3 H2O</v>
      </c>
      <c r="M12088" s="154" t="str">
        <f t="shared" si="1050"/>
        <v>Base_Medium_Low_Upgraded_Water Use (WU) - m3 H2O_Gravity Belt Thickener; wastewater treatment unit; at updated plant - US_Without Amendment_Aerated Static Pile</v>
      </c>
    </row>
    <row r="12089" spans="1:13" s="120" customFormat="1" x14ac:dyDescent="0.25">
      <c r="A12089" s="119"/>
      <c r="B12089" s="138" t="str">
        <f t="shared" si="1051"/>
        <v>Aerated Static Pile</v>
      </c>
      <c r="C12089" s="138" t="str">
        <f t="shared" si="1052"/>
        <v>Without Amendment</v>
      </c>
      <c r="D12089" s="138" t="str">
        <f t="shared" ref="D12089:D12095" si="1055">IF(ISNUMBER($J12089),"Medium_Low","")</f>
        <v>Medium_Low</v>
      </c>
      <c r="E12089" s="138" t="str">
        <f t="shared" si="1053"/>
        <v>Base</v>
      </c>
      <c r="F12089" s="138" t="str">
        <f t="shared" si="1054"/>
        <v>Upgraded</v>
      </c>
      <c r="G12089" s="153"/>
      <c r="H12089" s="210">
        <v>0.26929999999999998</v>
      </c>
      <c r="I12089" s="160" t="s">
        <v>149</v>
      </c>
      <c r="J12089" s="211">
        <v>2.7368600000000001E-5</v>
      </c>
      <c r="K12089" s="160" t="s">
        <v>26</v>
      </c>
      <c r="L12089" s="154" t="str">
        <f>IF(OpenLCAbasic!K12089="CTUh", "Fill in Manually",IF(OR(K12089="Unit", K12089=""), "", INDEX(LookUps!$E$5:$E$12, MATCH(OpenLCAbasic!K12089,LookUps!$D$5:$D$12,0))))</f>
        <v>Water Use (WU) - m3 H2O</v>
      </c>
      <c r="M12089" s="154" t="str">
        <f t="shared" si="1050"/>
        <v>Base_Medium_Low_Upgraded_Water Use (WU) - m3 H2O_Anaerobic Digestion; wastewater treatment unit; at updated plant - US_Without Amendment_Aerated Static Pile</v>
      </c>
    </row>
    <row r="12090" spans="1:13" s="120" customFormat="1" x14ac:dyDescent="0.25">
      <c r="A12090" s="119"/>
      <c r="B12090" s="138" t="str">
        <f t="shared" si="1051"/>
        <v>Aerated Static Pile</v>
      </c>
      <c r="C12090" s="138" t="str">
        <f t="shared" si="1052"/>
        <v>Without Amendment</v>
      </c>
      <c r="D12090" s="138" t="str">
        <f t="shared" si="1055"/>
        <v>Medium_Low</v>
      </c>
      <c r="E12090" s="138" t="str">
        <f t="shared" si="1053"/>
        <v>Base</v>
      </c>
      <c r="F12090" s="138" t="str">
        <f t="shared" si="1054"/>
        <v>Upgraded</v>
      </c>
      <c r="G12090" s="153"/>
      <c r="H12090" s="210">
        <v>0.17219999999999999</v>
      </c>
      <c r="I12090" s="160" t="s">
        <v>53</v>
      </c>
      <c r="J12090" s="211">
        <v>1.75069E-5</v>
      </c>
      <c r="K12090" s="160" t="s">
        <v>26</v>
      </c>
      <c r="L12090" s="154" t="str">
        <f>IF(OpenLCAbasic!K12090="CTUh", "Fill in Manually",IF(OR(K12090="Unit", K12090=""), "", INDEX(LookUps!$E$5:$E$12, MATCH(OpenLCAbasic!K12090,LookUps!$D$5:$D$12,0))))</f>
        <v>Water Use (WU) - m3 H2O</v>
      </c>
      <c r="M12090" s="154" t="str">
        <f t="shared" si="1050"/>
        <v>Base_Medium_Low_Upgraded_Water Use (WU) - m3 H2O_Wet Well and Sump Station; wastewater treatment unit; at updated plant - US_Without Amendment_Aerated Static Pile</v>
      </c>
    </row>
    <row r="12091" spans="1:13" s="120" customFormat="1" x14ac:dyDescent="0.25">
      <c r="A12091" s="119"/>
      <c r="B12091" s="138" t="str">
        <f t="shared" si="1051"/>
        <v>Aerated Static Pile</v>
      </c>
      <c r="C12091" s="138" t="str">
        <f t="shared" si="1052"/>
        <v>Without Amendment</v>
      </c>
      <c r="D12091" s="138" t="str">
        <f t="shared" si="1055"/>
        <v>Medium_Low</v>
      </c>
      <c r="E12091" s="138" t="str">
        <f t="shared" si="1053"/>
        <v>Base</v>
      </c>
      <c r="F12091" s="138" t="str">
        <f t="shared" si="1054"/>
        <v>Upgraded</v>
      </c>
      <c r="G12091" s="153"/>
      <c r="H12091" s="210">
        <v>9.2100000000000001E-2</v>
      </c>
      <c r="I12091" s="160" t="s">
        <v>435</v>
      </c>
      <c r="J12091" s="211">
        <v>9.3621199999999994E-6</v>
      </c>
      <c r="K12091" s="160" t="s">
        <v>26</v>
      </c>
      <c r="L12091" s="154" t="str">
        <f>IF(OpenLCAbasic!K12091="CTUh", "Fill in Manually",IF(OR(K12091="Unit", K12091=""), "", INDEX(LookUps!$E$5:$E$12, MATCH(OpenLCAbasic!K12091,LookUps!$D$5:$D$12,0))))</f>
        <v>Water Use (WU) - m3 H2O</v>
      </c>
      <c r="M12091" s="154" t="str">
        <f t="shared" si="1050"/>
        <v>Base_Medium_Low_Upgraded_Water Use (WU) - m3 H2O_Biosolids composting; aerated static pile; wastewater treatment unit; at updated plant - US_Without Amendment_Aerated Static Pile</v>
      </c>
    </row>
    <row r="12092" spans="1:13" s="120" customFormat="1" x14ac:dyDescent="0.25">
      <c r="A12092" s="119"/>
      <c r="B12092" s="138" t="str">
        <f t="shared" si="1051"/>
        <v>Aerated Static Pile</v>
      </c>
      <c r="C12092" s="138" t="str">
        <f t="shared" si="1052"/>
        <v>Without Amendment</v>
      </c>
      <c r="D12092" s="138" t="str">
        <f t="shared" si="1055"/>
        <v>Medium_Low</v>
      </c>
      <c r="E12092" s="138" t="str">
        <f t="shared" si="1053"/>
        <v>Base</v>
      </c>
      <c r="F12092" s="138" t="str">
        <f t="shared" si="1054"/>
        <v>Upgraded</v>
      </c>
      <c r="G12092" s="153"/>
      <c r="H12092" s="210">
        <v>6.9000000000000006E-2</v>
      </c>
      <c r="I12092" s="160" t="s">
        <v>59</v>
      </c>
      <c r="J12092" s="211">
        <v>7.0179500000000003E-6</v>
      </c>
      <c r="K12092" s="160" t="s">
        <v>26</v>
      </c>
      <c r="L12092" s="154" t="str">
        <f>IF(OpenLCAbasic!K12092="CTUh", "Fill in Manually",IF(OR(K12092="Unit", K12092=""), "", INDEX(LookUps!$E$5:$E$12, MATCH(OpenLCAbasic!K12092,LookUps!$D$5:$D$12,0))))</f>
        <v>Water Use (WU) - m3 H2O</v>
      </c>
      <c r="M12092" s="154" t="str">
        <f t="shared" si="1050"/>
        <v>Base_Medium_Low_Upgraded_Water Use (WU) - m3 H2O_Blend Tank; wastewater treatment unit; at updated plant - US_Without Amendment_Aerated Static Pile</v>
      </c>
    </row>
    <row r="12093" spans="1:13" s="120" customFormat="1" x14ac:dyDescent="0.25">
      <c r="A12093" s="119"/>
      <c r="B12093" s="138" t="str">
        <f t="shared" si="1051"/>
        <v>Aerated Static Pile</v>
      </c>
      <c r="C12093" s="138" t="str">
        <f t="shared" si="1052"/>
        <v>Without Amendment</v>
      </c>
      <c r="D12093" s="138" t="str">
        <f t="shared" si="1055"/>
        <v>Medium_Low</v>
      </c>
      <c r="E12093" s="138" t="str">
        <f t="shared" si="1053"/>
        <v>Base</v>
      </c>
      <c r="F12093" s="138" t="str">
        <f t="shared" si="1054"/>
        <v>Upgraded</v>
      </c>
      <c r="G12093" s="153"/>
      <c r="H12093" s="210">
        <v>4.9799999999999997E-2</v>
      </c>
      <c r="I12093" s="160" t="s">
        <v>128</v>
      </c>
      <c r="J12093" s="211">
        <v>5.0608900000000003E-6</v>
      </c>
      <c r="K12093" s="160" t="s">
        <v>26</v>
      </c>
      <c r="L12093" s="154" t="str">
        <f>IF(OpenLCAbasic!K12093="CTUh", "Fill in Manually",IF(OR(K12093="Unit", K12093=""), "", INDEX(LookUps!$E$5:$E$12, MATCH(OpenLCAbasic!K12093,LookUps!$D$5:$D$12,0))))</f>
        <v>Water Use (WU) - m3 H2O</v>
      </c>
      <c r="M12093" s="154" t="str">
        <f t="shared" si="1050"/>
        <v>Base_Medium_Low_Upgraded_Water Use (WU) - m3 H2O_Wastewater collection; operation and infrastructure; m3 wastewater_Without Amendment_Aerated Static Pile</v>
      </c>
    </row>
    <row r="12094" spans="1:13" s="120" customFormat="1" x14ac:dyDescent="0.25">
      <c r="A12094" s="119"/>
      <c r="B12094" s="138" t="str">
        <f t="shared" si="1051"/>
        <v>Aerated Static Pile</v>
      </c>
      <c r="C12094" s="138" t="str">
        <f t="shared" si="1052"/>
        <v>Without Amendment</v>
      </c>
      <c r="D12094" s="138" t="str">
        <f t="shared" si="1055"/>
        <v>Medium_Low</v>
      </c>
      <c r="E12094" s="138" t="str">
        <f t="shared" si="1053"/>
        <v>Base</v>
      </c>
      <c r="F12094" s="138" t="str">
        <f t="shared" si="1054"/>
        <v>Upgraded</v>
      </c>
      <c r="G12094" s="153"/>
      <c r="H12094" s="210">
        <v>7.4999999999999997E-3</v>
      </c>
      <c r="I12094" s="160" t="s">
        <v>168</v>
      </c>
      <c r="J12094" s="211">
        <v>7.6697000000000004E-7</v>
      </c>
      <c r="K12094" s="160" t="s">
        <v>26</v>
      </c>
      <c r="L12094" s="154" t="str">
        <f>IF(OpenLCAbasic!K12094="CTUh", "Fill in Manually",IF(OR(K12094="Unit", K12094=""), "", INDEX(LookUps!$E$5:$E$12, MATCH(OpenLCAbasic!K12094,LookUps!$D$5:$D$12,0))))</f>
        <v>Water Use (WU) - m3 H2O</v>
      </c>
      <c r="M12094" s="154" t="str">
        <f t="shared" si="1050"/>
        <v>Base_Medium_Low_Upgraded_Water Use (WU) - m3 H2O_ClearCove SCP; wastewater treatment unit; at updated plant - US_Without Amendment_Aerated Static Pile</v>
      </c>
    </row>
    <row r="12095" spans="1:13" s="120" customFormat="1" x14ac:dyDescent="0.25">
      <c r="A12095" s="119"/>
      <c r="B12095" s="138" t="str">
        <f t="shared" si="1051"/>
        <v>Aerated Static Pile</v>
      </c>
      <c r="C12095" s="138" t="str">
        <f t="shared" si="1052"/>
        <v>Without Amendment</v>
      </c>
      <c r="D12095" s="138" t="str">
        <f t="shared" si="1055"/>
        <v>Medium_Low</v>
      </c>
      <c r="E12095" s="138" t="str">
        <f t="shared" si="1053"/>
        <v>Base</v>
      </c>
      <c r="F12095" s="138" t="str">
        <f t="shared" si="1054"/>
        <v>Upgraded</v>
      </c>
      <c r="G12095" s="153"/>
      <c r="H12095" s="210">
        <v>-10.801600000000001</v>
      </c>
      <c r="I12095" s="160" t="s">
        <v>62</v>
      </c>
      <c r="J12095" s="160">
        <v>-1.1000000000000001E-3</v>
      </c>
      <c r="K12095" s="160" t="s">
        <v>26</v>
      </c>
      <c r="L12095" s="154" t="str">
        <f>IF(OpenLCAbasic!K12095="CTUh", "Fill in Manually",IF(OR(K12095="Unit", K12095=""), "", INDEX(LookUps!$E$5:$E$12, MATCH(OpenLCAbasic!K12095,LookUps!$D$5:$D$12,0))))</f>
        <v>Water Use (WU) - m3 H2O</v>
      </c>
      <c r="M12095" s="154" t="str">
        <f t="shared" si="1050"/>
        <v>Base_Medium_Low_Upgraded_Water Use (WU) - m3 H2O_Land application of compost; wastewater treatment unit; at updated plant - US_Without Amendment_Aerated Static Pile</v>
      </c>
    </row>
    <row r="12096" spans="1:13" s="120" customFormat="1" x14ac:dyDescent="0.25">
      <c r="A12096" s="119"/>
      <c r="B12096" s="138" t="str">
        <f t="shared" si="1051"/>
        <v/>
      </c>
      <c r="C12096" s="138" t="str">
        <f t="shared" si="1052"/>
        <v/>
      </c>
      <c r="D12096" s="138" t="str">
        <f>IF(ISNUMBER($J12096),"Medium_Base","")</f>
        <v/>
      </c>
      <c r="E12096" s="138" t="str">
        <f t="shared" si="1053"/>
        <v/>
      </c>
      <c r="F12096" s="138" t="str">
        <f t="shared" si="1054"/>
        <v/>
      </c>
      <c r="G12096" s="153" t="s">
        <v>51</v>
      </c>
      <c r="H12096" s="160"/>
      <c r="I12096" s="160" t="s">
        <v>47</v>
      </c>
      <c r="J12096" s="160" t="s">
        <v>52</v>
      </c>
      <c r="K12096" s="160" t="s">
        <v>27</v>
      </c>
      <c r="L12096" s="154" t="str">
        <f>IF(OpenLCAbasic!K12096="CTUh", "Fill in Manually",IF(OR(K12096="Unit", K12096=""), "", INDEX(LookUps!$E$5:$E$12, MATCH(OpenLCAbasic!K12096,LookUps!$D$5:$D$12,0))))</f>
        <v/>
      </c>
      <c r="M12096" s="154" t="str">
        <f t="shared" si="1050"/>
        <v>____Process__</v>
      </c>
    </row>
    <row r="12097" spans="1:13" s="120" customFormat="1" x14ac:dyDescent="0.25">
      <c r="A12097" s="119"/>
      <c r="B12097" s="138" t="str">
        <f t="shared" si="1051"/>
        <v>Aerated Static Pile</v>
      </c>
      <c r="C12097" s="138" t="str">
        <f t="shared" si="1052"/>
        <v>Without Amendment</v>
      </c>
      <c r="D12097" s="138" t="str">
        <f t="shared" ref="D12097:D12160" si="1056">IF(ISNUMBER($J12097),"Medium_Base","")</f>
        <v>Medium_Base</v>
      </c>
      <c r="E12097" s="138" t="str">
        <f t="shared" si="1053"/>
        <v>Base</v>
      </c>
      <c r="F12097" s="138" t="str">
        <f t="shared" si="1054"/>
        <v>Upgraded</v>
      </c>
      <c r="G12097" s="153"/>
      <c r="H12097" s="210">
        <v>0.71779999999999999</v>
      </c>
      <c r="I12097" s="160" t="s">
        <v>55</v>
      </c>
      <c r="J12097" s="160">
        <v>1.7219999999999999E-2</v>
      </c>
      <c r="K12097" s="160" t="s">
        <v>24</v>
      </c>
      <c r="L12097" s="154" t="str">
        <f>IF(OpenLCAbasic!K12097="CTUh", "Fill in Manually",IF(OR(K12097="Unit", K12097=""), "", INDEX(LookUps!$E$5:$E$12, MATCH(OpenLCAbasic!K12097,LookUps!$D$5:$D$12,0))))</f>
        <v>Acidification Potential (AP) - kg SO2 eq</v>
      </c>
      <c r="M12097" s="154" t="str">
        <f t="shared" si="1050"/>
        <v>Base_Medium_Base_Upgraded_Acidification Potential (AP) - kg SO2 eq_Aeration Tanks; wastewater treatment unit; at updated plant - US_Without Amendment_Aerated Static Pile</v>
      </c>
    </row>
    <row r="12098" spans="1:13" s="120" customFormat="1" x14ac:dyDescent="0.25">
      <c r="A12098" s="119"/>
      <c r="B12098" s="138" t="str">
        <f t="shared" si="1051"/>
        <v>Aerated Static Pile</v>
      </c>
      <c r="C12098" s="138" t="str">
        <f t="shared" si="1052"/>
        <v>Without Amendment</v>
      </c>
      <c r="D12098" s="138" t="str">
        <f t="shared" si="1056"/>
        <v>Medium_Base</v>
      </c>
      <c r="E12098" s="138" t="str">
        <f t="shared" si="1053"/>
        <v>Base</v>
      </c>
      <c r="F12098" s="138" t="str">
        <f t="shared" si="1054"/>
        <v>Upgraded</v>
      </c>
      <c r="G12098" s="153"/>
      <c r="H12098" s="210">
        <v>0.20760000000000001</v>
      </c>
      <c r="I12098" s="160" t="s">
        <v>54</v>
      </c>
      <c r="J12098" s="160">
        <v>4.9800000000000001E-3</v>
      </c>
      <c r="K12098" s="160" t="s">
        <v>24</v>
      </c>
      <c r="L12098" s="154" t="str">
        <f>IF(OpenLCAbasic!K12098="CTUh", "Fill in Manually",IF(OR(K12098="Unit", K12098=""), "", INDEX(LookUps!$E$5:$E$12, MATCH(OpenLCAbasic!K12098,LookUps!$D$5:$D$12,0))))</f>
        <v>Acidification Potential (AP) - kg SO2 eq</v>
      </c>
      <c r="M12098" s="154" t="str">
        <f t="shared" si="1050"/>
        <v>Base_Medium_Base_Upgraded_Acidification Potential (AP) - kg SO2 eq_Clear Cove Primary Clarification; wastewater treatment unit; at updated plant - US_Without Amendment_Aerated Static Pile</v>
      </c>
    </row>
    <row r="12099" spans="1:13" s="120" customFormat="1" x14ac:dyDescent="0.25">
      <c r="A12099" s="119"/>
      <c r="B12099" s="138" t="str">
        <f t="shared" si="1051"/>
        <v>Aerated Static Pile</v>
      </c>
      <c r="C12099" s="138" t="str">
        <f t="shared" si="1052"/>
        <v>Without Amendment</v>
      </c>
      <c r="D12099" s="138" t="str">
        <f t="shared" si="1056"/>
        <v>Medium_Base</v>
      </c>
      <c r="E12099" s="138" t="str">
        <f t="shared" si="1053"/>
        <v>Base</v>
      </c>
      <c r="F12099" s="138" t="str">
        <f t="shared" si="1054"/>
        <v>Upgraded</v>
      </c>
      <c r="G12099" s="153"/>
      <c r="H12099" s="210">
        <v>0.1812</v>
      </c>
      <c r="I12099" s="160" t="s">
        <v>58</v>
      </c>
      <c r="J12099" s="160">
        <v>4.3499999999999997E-3</v>
      </c>
      <c r="K12099" s="160" t="s">
        <v>24</v>
      </c>
      <c r="L12099" s="154" t="str">
        <f>IF(OpenLCAbasic!K12099="CTUh", "Fill in Manually",IF(OR(K12099="Unit", K12099=""), "", INDEX(LookUps!$E$5:$E$12, MATCH(OpenLCAbasic!K12099,LookUps!$D$5:$D$12,0))))</f>
        <v>Acidification Potential (AP) - kg SO2 eq</v>
      </c>
      <c r="M12099" s="154" t="str">
        <f t="shared" si="1050"/>
        <v>Base_Medium_Base_Upgraded_Acidification Potential (AP) - kg SO2 eq_Pre-Anoxic &amp; Swing tank; wastewater treatment unit; at updated plant - US_Without Amendment_Aerated Static Pile</v>
      </c>
    </row>
    <row r="12100" spans="1:13" s="120" customFormat="1" x14ac:dyDescent="0.25">
      <c r="A12100" s="119"/>
      <c r="B12100" s="138" t="str">
        <f t="shared" si="1051"/>
        <v>Aerated Static Pile</v>
      </c>
      <c r="C12100" s="138" t="str">
        <f t="shared" si="1052"/>
        <v>Without Amendment</v>
      </c>
      <c r="D12100" s="138" t="str">
        <f t="shared" si="1056"/>
        <v>Medium_Base</v>
      </c>
      <c r="E12100" s="138" t="str">
        <f t="shared" si="1053"/>
        <v>Base</v>
      </c>
      <c r="F12100" s="138" t="str">
        <f t="shared" si="1054"/>
        <v>Upgraded</v>
      </c>
      <c r="G12100" s="153"/>
      <c r="H12100" s="210">
        <v>0.14380000000000001</v>
      </c>
      <c r="I12100" s="160" t="s">
        <v>53</v>
      </c>
      <c r="J12100" s="160">
        <v>3.4499999999999999E-3</v>
      </c>
      <c r="K12100" s="160" t="s">
        <v>24</v>
      </c>
      <c r="L12100" s="154" t="str">
        <f>IF(OpenLCAbasic!K12100="CTUh", "Fill in Manually",IF(OR(K12100="Unit", K12100=""), "", INDEX(LookUps!$E$5:$E$12, MATCH(OpenLCAbasic!K12100,LookUps!$D$5:$D$12,0))))</f>
        <v>Acidification Potential (AP) - kg SO2 eq</v>
      </c>
      <c r="M12100" s="154" t="str">
        <f t="shared" ref="M12100:M12163" si="1057">CONCATENATE(E12100,"_",D12100,"_",F12100,"_",L12100, "_",I12100,"_", C12100,"_", B12100)</f>
        <v>Base_Medium_Base_Upgraded_Acidification Potential (AP) - kg SO2 eq_Wet Well and Sump Station; wastewater treatment unit; at updated plant - US_Without Amendment_Aerated Static Pile</v>
      </c>
    </row>
    <row r="12101" spans="1:13" s="120" customFormat="1" x14ac:dyDescent="0.25">
      <c r="A12101" s="119"/>
      <c r="B12101" s="138" t="str">
        <f t="shared" si="1051"/>
        <v>Aerated Static Pile</v>
      </c>
      <c r="C12101" s="138" t="str">
        <f t="shared" si="1052"/>
        <v>Without Amendment</v>
      </c>
      <c r="D12101" s="138" t="str">
        <f t="shared" si="1056"/>
        <v>Medium_Base</v>
      </c>
      <c r="E12101" s="138" t="str">
        <f t="shared" si="1053"/>
        <v>Base</v>
      </c>
      <c r="F12101" s="138" t="str">
        <f t="shared" si="1054"/>
        <v>Upgraded</v>
      </c>
      <c r="G12101" s="153"/>
      <c r="H12101" s="210">
        <v>0.10639999999999999</v>
      </c>
      <c r="I12101" s="160" t="s">
        <v>435</v>
      </c>
      <c r="J12101" s="160">
        <v>2.5500000000000002E-3</v>
      </c>
      <c r="K12101" s="160" t="s">
        <v>24</v>
      </c>
      <c r="L12101" s="154" t="str">
        <f>IF(OpenLCAbasic!K12101="CTUh", "Fill in Manually",IF(OR(K12101="Unit", K12101=""), "", INDEX(LookUps!$E$5:$E$12, MATCH(OpenLCAbasic!K12101,LookUps!$D$5:$D$12,0))))</f>
        <v>Acidification Potential (AP) - kg SO2 eq</v>
      </c>
      <c r="M12101" s="154" t="str">
        <f t="shared" si="1057"/>
        <v>Base_Medium_Base_Upgraded_Acidification Potential (AP) - kg SO2 eq_Biosolids composting; aerated static pile; wastewater treatment unit; at updated plant - US_Without Amendment_Aerated Static Pile</v>
      </c>
    </row>
    <row r="12102" spans="1:13" s="120" customFormat="1" x14ac:dyDescent="0.25">
      <c r="A12102" s="119"/>
      <c r="B12102" s="138" t="str">
        <f t="shared" si="1051"/>
        <v>Aerated Static Pile</v>
      </c>
      <c r="C12102" s="138" t="str">
        <f t="shared" si="1052"/>
        <v>Without Amendment</v>
      </c>
      <c r="D12102" s="138" t="str">
        <f t="shared" si="1056"/>
        <v>Medium_Base</v>
      </c>
      <c r="E12102" s="138" t="str">
        <f t="shared" si="1053"/>
        <v>Base</v>
      </c>
      <c r="F12102" s="138" t="str">
        <f t="shared" si="1054"/>
        <v>Upgraded</v>
      </c>
      <c r="G12102" s="153"/>
      <c r="H12102" s="210">
        <v>0.1055</v>
      </c>
      <c r="I12102" s="160" t="s">
        <v>167</v>
      </c>
      <c r="J12102" s="160">
        <v>2.5300000000000001E-3</v>
      </c>
      <c r="K12102" s="160" t="s">
        <v>24</v>
      </c>
      <c r="L12102" s="154" t="str">
        <f>IF(OpenLCAbasic!K12102="CTUh", "Fill in Manually",IF(OR(K12102="Unit", K12102=""), "", INDEX(LookUps!$E$5:$E$12, MATCH(OpenLCAbasic!K12102,LookUps!$D$5:$D$12,0))))</f>
        <v>Acidification Potential (AP) - kg SO2 eq</v>
      </c>
      <c r="M12102" s="154" t="str">
        <f t="shared" si="1057"/>
        <v>Base_Medium_Base_Upgraded_Acidification Potential (AP) - kg SO2 eq_Waste Receiving and Holding; wastewater treatment unit; at updated plant - US_Without Amendment_Aerated Static Pile</v>
      </c>
    </row>
    <row r="12103" spans="1:13" s="120" customFormat="1" x14ac:dyDescent="0.25">
      <c r="A12103" s="119"/>
      <c r="B12103" s="138" t="str">
        <f t="shared" si="1051"/>
        <v>Aerated Static Pile</v>
      </c>
      <c r="C12103" s="138" t="str">
        <f t="shared" si="1052"/>
        <v>Without Amendment</v>
      </c>
      <c r="D12103" s="138" t="str">
        <f t="shared" si="1056"/>
        <v>Medium_Base</v>
      </c>
      <c r="E12103" s="138" t="str">
        <f t="shared" si="1053"/>
        <v>Base</v>
      </c>
      <c r="F12103" s="138" t="str">
        <f t="shared" si="1054"/>
        <v>Upgraded</v>
      </c>
      <c r="G12103" s="153"/>
      <c r="H12103" s="210">
        <v>9.9900000000000003E-2</v>
      </c>
      <c r="I12103" s="160" t="s">
        <v>62</v>
      </c>
      <c r="J12103" s="160">
        <v>2.3999999999999998E-3</v>
      </c>
      <c r="K12103" s="160" t="s">
        <v>24</v>
      </c>
      <c r="L12103" s="154" t="str">
        <f>IF(OpenLCAbasic!K12103="CTUh", "Fill in Manually",IF(OR(K12103="Unit", K12103=""), "", INDEX(LookUps!$E$5:$E$12, MATCH(OpenLCAbasic!K12103,LookUps!$D$5:$D$12,0))))</f>
        <v>Acidification Potential (AP) - kg SO2 eq</v>
      </c>
      <c r="M12103" s="154" t="str">
        <f t="shared" si="1057"/>
        <v>Base_Medium_Base_Upgraded_Acidification Potential (AP) - kg SO2 eq_Land application of compost; wastewater treatment unit; at updated plant - US_Without Amendment_Aerated Static Pile</v>
      </c>
    </row>
    <row r="12104" spans="1:13" s="120" customFormat="1" x14ac:dyDescent="0.25">
      <c r="A12104" s="119"/>
      <c r="B12104" s="138" t="str">
        <f t="shared" si="1051"/>
        <v>Aerated Static Pile</v>
      </c>
      <c r="C12104" s="138" t="str">
        <f t="shared" si="1052"/>
        <v>Without Amendment</v>
      </c>
      <c r="D12104" s="138" t="str">
        <f t="shared" si="1056"/>
        <v>Medium_Base</v>
      </c>
      <c r="E12104" s="138" t="str">
        <f t="shared" si="1053"/>
        <v>Base</v>
      </c>
      <c r="F12104" s="138" t="str">
        <f t="shared" si="1054"/>
        <v>Upgraded</v>
      </c>
      <c r="G12104" s="153"/>
      <c r="H12104" s="210">
        <v>8.6199999999999999E-2</v>
      </c>
      <c r="I12104" s="160" t="s">
        <v>147</v>
      </c>
      <c r="J12104" s="160">
        <v>2.0699999999999998E-3</v>
      </c>
      <c r="K12104" s="160" t="s">
        <v>24</v>
      </c>
      <c r="L12104" s="154" t="str">
        <f>IF(OpenLCAbasic!K12104="CTUh", "Fill in Manually",IF(OR(K12104="Unit", K12104=""), "", INDEX(LookUps!$E$5:$E$12, MATCH(OpenLCAbasic!K12104,LookUps!$D$5:$D$12,0))))</f>
        <v>Acidification Potential (AP) - kg SO2 eq</v>
      </c>
      <c r="M12104" s="154" t="str">
        <f t="shared" si="1057"/>
        <v>Base_Medium_Base_Upgraded_Acidification Potential (AP) - kg SO2 eq_Influent Pump Station; wastewater treatment unit; at updated plant - US_Without Amendment_Aerated Static Pile</v>
      </c>
    </row>
    <row r="12105" spans="1:13" s="120" customFormat="1" x14ac:dyDescent="0.25">
      <c r="A12105" s="119"/>
      <c r="B12105" s="138" t="str">
        <f t="shared" si="1051"/>
        <v>Aerated Static Pile</v>
      </c>
      <c r="C12105" s="138" t="str">
        <f t="shared" si="1052"/>
        <v>Without Amendment</v>
      </c>
      <c r="D12105" s="138" t="str">
        <f t="shared" si="1056"/>
        <v>Medium_Base</v>
      </c>
      <c r="E12105" s="138" t="str">
        <f t="shared" si="1053"/>
        <v>Base</v>
      </c>
      <c r="F12105" s="138" t="str">
        <f t="shared" si="1054"/>
        <v>Upgraded</v>
      </c>
      <c r="G12105" s="153"/>
      <c r="H12105" s="210">
        <v>5.1400000000000001E-2</v>
      </c>
      <c r="I12105" s="160" t="s">
        <v>128</v>
      </c>
      <c r="J12105" s="160">
        <v>1.23E-3</v>
      </c>
      <c r="K12105" s="160" t="s">
        <v>24</v>
      </c>
      <c r="L12105" s="154" t="str">
        <f>IF(OpenLCAbasic!K12105="CTUh", "Fill in Manually",IF(OR(K12105="Unit", K12105=""), "", INDEX(LookUps!$E$5:$E$12, MATCH(OpenLCAbasic!K12105,LookUps!$D$5:$D$12,0))))</f>
        <v>Acidification Potential (AP) - kg SO2 eq</v>
      </c>
      <c r="M12105" s="154" t="str">
        <f t="shared" si="1057"/>
        <v>Base_Medium_Base_Upgraded_Acidification Potential (AP) - kg SO2 eq_Wastewater collection; operation and infrastructure; m3 wastewater_Without Amendment_Aerated Static Pile</v>
      </c>
    </row>
    <row r="12106" spans="1:13" s="120" customFormat="1" x14ac:dyDescent="0.25">
      <c r="A12106" s="119"/>
      <c r="B12106" s="138" t="str">
        <f t="shared" si="1051"/>
        <v>Aerated Static Pile</v>
      </c>
      <c r="C12106" s="138" t="str">
        <f t="shared" si="1052"/>
        <v>Without Amendment</v>
      </c>
      <c r="D12106" s="138" t="str">
        <f t="shared" si="1056"/>
        <v>Medium_Base</v>
      </c>
      <c r="E12106" s="138" t="str">
        <f t="shared" si="1053"/>
        <v>Base</v>
      </c>
      <c r="F12106" s="138" t="str">
        <f t="shared" si="1054"/>
        <v>Upgraded</v>
      </c>
      <c r="G12106" s="153"/>
      <c r="H12106" s="210">
        <v>4.4400000000000002E-2</v>
      </c>
      <c r="I12106" s="160" t="s">
        <v>60</v>
      </c>
      <c r="J12106" s="160">
        <v>1.07E-3</v>
      </c>
      <c r="K12106" s="160" t="s">
        <v>24</v>
      </c>
      <c r="L12106" s="154" t="str">
        <f>IF(OpenLCAbasic!K12106="CTUh", "Fill in Manually",IF(OR(K12106="Unit", K12106=""), "", INDEX(LookUps!$E$5:$E$12, MATCH(OpenLCAbasic!K12106,LookUps!$D$5:$D$12,0))))</f>
        <v>Acidification Potential (AP) - kg SO2 eq</v>
      </c>
      <c r="M12106" s="154" t="str">
        <f t="shared" si="1057"/>
        <v>Base_Medium_Base_Upgraded_Acidification Potential (AP) - kg SO2 eq_Belt filter press; wastewater treatment unit; at updated plant - US_Without Amendment_Aerated Static Pile</v>
      </c>
    </row>
    <row r="12107" spans="1:13" s="120" customFormat="1" x14ac:dyDescent="0.25">
      <c r="A12107" s="119"/>
      <c r="B12107" s="138" t="str">
        <f t="shared" si="1051"/>
        <v>Aerated Static Pile</v>
      </c>
      <c r="C12107" s="138" t="str">
        <f t="shared" si="1052"/>
        <v>Without Amendment</v>
      </c>
      <c r="D12107" s="138" t="str">
        <f t="shared" si="1056"/>
        <v>Medium_Base</v>
      </c>
      <c r="E12107" s="138" t="str">
        <f t="shared" si="1053"/>
        <v>Base</v>
      </c>
      <c r="F12107" s="138" t="str">
        <f t="shared" si="1054"/>
        <v>Upgraded</v>
      </c>
      <c r="G12107" s="153"/>
      <c r="H12107" s="210">
        <v>2.93E-2</v>
      </c>
      <c r="I12107" s="160" t="s">
        <v>57</v>
      </c>
      <c r="J12107" s="160">
        <v>6.9999999999999999E-4</v>
      </c>
      <c r="K12107" s="160" t="s">
        <v>24</v>
      </c>
      <c r="L12107" s="154" t="str">
        <f>IF(OpenLCAbasic!K12107="CTUh", "Fill in Manually",IF(OR(K12107="Unit", K12107=""), "", INDEX(LookUps!$E$5:$E$12, MATCH(OpenLCAbasic!K12107,LookUps!$D$5:$D$12,0))))</f>
        <v>Acidification Potential (AP) - kg SO2 eq</v>
      </c>
      <c r="M12107" s="154" t="str">
        <f t="shared" si="1057"/>
        <v>Base_Medium_Base_Upgraded_Acidification Potential (AP) - kg SO2 eq_Gravity Belt Thickener; wastewater treatment unit; at updated plant - US_Without Amendment_Aerated Static Pile</v>
      </c>
    </row>
    <row r="12108" spans="1:13" s="120" customFormat="1" x14ac:dyDescent="0.25">
      <c r="A12108" s="119"/>
      <c r="B12108" s="138" t="str">
        <f t="shared" si="1051"/>
        <v>Aerated Static Pile</v>
      </c>
      <c r="C12108" s="138" t="str">
        <f t="shared" si="1052"/>
        <v>Without Amendment</v>
      </c>
      <c r="D12108" s="138" t="str">
        <f t="shared" si="1056"/>
        <v>Medium_Base</v>
      </c>
      <c r="E12108" s="138" t="str">
        <f t="shared" si="1053"/>
        <v>Base</v>
      </c>
      <c r="F12108" s="138" t="str">
        <f t="shared" si="1054"/>
        <v>Upgraded</v>
      </c>
      <c r="G12108" s="153"/>
      <c r="H12108" s="210">
        <v>2.1499999999999998E-2</v>
      </c>
      <c r="I12108" s="160" t="s">
        <v>59</v>
      </c>
      <c r="J12108" s="160">
        <v>5.1999999999999995E-4</v>
      </c>
      <c r="K12108" s="160" t="s">
        <v>24</v>
      </c>
      <c r="L12108" s="154" t="str">
        <f>IF(OpenLCAbasic!K12108="CTUh", "Fill in Manually",IF(OR(K12108="Unit", K12108=""), "", INDEX(LookUps!$E$5:$E$12, MATCH(OpenLCAbasic!K12108,LookUps!$D$5:$D$12,0))))</f>
        <v>Acidification Potential (AP) - kg SO2 eq</v>
      </c>
      <c r="M12108" s="154" t="str">
        <f t="shared" si="1057"/>
        <v>Base_Medium_Base_Upgraded_Acidification Potential (AP) - kg SO2 eq_Blend Tank; wastewater treatment unit; at updated plant - US_Without Amendment_Aerated Static Pile</v>
      </c>
    </row>
    <row r="12109" spans="1:13" s="120" customFormat="1" x14ac:dyDescent="0.25">
      <c r="A12109" s="119"/>
      <c r="B12109" s="138" t="str">
        <f t="shared" si="1051"/>
        <v>Aerated Static Pile</v>
      </c>
      <c r="C12109" s="138" t="str">
        <f t="shared" si="1052"/>
        <v>Without Amendment</v>
      </c>
      <c r="D12109" s="138" t="str">
        <f t="shared" si="1056"/>
        <v>Medium_Base</v>
      </c>
      <c r="E12109" s="138" t="str">
        <f t="shared" si="1053"/>
        <v>Base</v>
      </c>
      <c r="F12109" s="138" t="str">
        <f t="shared" si="1054"/>
        <v>Upgraded</v>
      </c>
      <c r="G12109" s="153"/>
      <c r="H12109" s="210">
        <v>1.44E-2</v>
      </c>
      <c r="I12109" s="160" t="s">
        <v>48</v>
      </c>
      <c r="J12109" s="160">
        <v>3.5E-4</v>
      </c>
      <c r="K12109" s="160" t="s">
        <v>24</v>
      </c>
      <c r="L12109" s="154" t="str">
        <f>IF(OpenLCAbasic!K12109="CTUh", "Fill in Manually",IF(OR(K12109="Unit", K12109=""), "", INDEX(LookUps!$E$5:$E$12, MATCH(OpenLCAbasic!K12109,LookUps!$D$5:$D$12,0))))</f>
        <v>Acidification Potential (AP) - kg SO2 eq</v>
      </c>
      <c r="M12109" s="154" t="str">
        <f t="shared" si="1057"/>
        <v>Base_Medium_Base_Upgraded_Acidification Potential (AP) - kg SO2 eq_Effluent release; wastewater treatment unit; at surface water; m3 wastewater - US_Without Amendment_Aerated Static Pile</v>
      </c>
    </row>
    <row r="12110" spans="1:13" s="120" customFormat="1" x14ac:dyDescent="0.25">
      <c r="A12110" s="119"/>
      <c r="B12110" s="138" t="str">
        <f t="shared" si="1051"/>
        <v>Aerated Static Pile</v>
      </c>
      <c r="C12110" s="138" t="str">
        <f t="shared" si="1052"/>
        <v>Without Amendment</v>
      </c>
      <c r="D12110" s="138" t="str">
        <f t="shared" si="1056"/>
        <v>Medium_Base</v>
      </c>
      <c r="E12110" s="138" t="str">
        <f t="shared" si="1053"/>
        <v>Base</v>
      </c>
      <c r="F12110" s="138" t="str">
        <f t="shared" si="1054"/>
        <v>Upgraded</v>
      </c>
      <c r="G12110" s="153"/>
      <c r="H12110" s="210">
        <v>1.06E-2</v>
      </c>
      <c r="I12110" s="160" t="s">
        <v>168</v>
      </c>
      <c r="J12110" s="160">
        <v>2.5999999999999998E-4</v>
      </c>
      <c r="K12110" s="160" t="s">
        <v>24</v>
      </c>
      <c r="L12110" s="154" t="str">
        <f>IF(OpenLCAbasic!K12110="CTUh", "Fill in Manually",IF(OR(K12110="Unit", K12110=""), "", INDEX(LookUps!$E$5:$E$12, MATCH(OpenLCAbasic!K12110,LookUps!$D$5:$D$12,0))))</f>
        <v>Acidification Potential (AP) - kg SO2 eq</v>
      </c>
      <c r="M12110" s="154" t="str">
        <f t="shared" si="1057"/>
        <v>Base_Medium_Base_Upgraded_Acidification Potential (AP) - kg SO2 eq_ClearCove SCP; wastewater treatment unit; at updated plant - US_Without Amendment_Aerated Static Pile</v>
      </c>
    </row>
    <row r="12111" spans="1:13" s="120" customFormat="1" x14ac:dyDescent="0.25">
      <c r="A12111" s="119"/>
      <c r="B12111" s="138" t="str">
        <f t="shared" si="1051"/>
        <v>Aerated Static Pile</v>
      </c>
      <c r="C12111" s="138" t="str">
        <f t="shared" si="1052"/>
        <v>Without Amendment</v>
      </c>
      <c r="D12111" s="138" t="str">
        <f t="shared" si="1056"/>
        <v>Medium_Base</v>
      </c>
      <c r="E12111" s="138" t="str">
        <f t="shared" si="1053"/>
        <v>Base</v>
      </c>
      <c r="F12111" s="138" t="str">
        <f t="shared" si="1054"/>
        <v>Upgraded</v>
      </c>
      <c r="G12111" s="153"/>
      <c r="H12111" s="210">
        <v>1.6999999999999999E-3</v>
      </c>
      <c r="I12111" s="160" t="s">
        <v>148</v>
      </c>
      <c r="J12111" s="211">
        <v>4.0354700000000002E-5</v>
      </c>
      <c r="K12111" s="160" t="s">
        <v>24</v>
      </c>
      <c r="L12111" s="154" t="str">
        <f>IF(OpenLCAbasic!K12111="CTUh", "Fill in Manually",IF(OR(K12111="Unit", K12111=""), "", INDEX(LookUps!$E$5:$E$12, MATCH(OpenLCAbasic!K12111,LookUps!$D$5:$D$12,0))))</f>
        <v>Acidification Potential (AP) - kg SO2 eq</v>
      </c>
      <c r="M12111" s="154" t="str">
        <f t="shared" si="1057"/>
        <v>Base_Medium_Base_Upgraded_Acidification Potential (AP) - kg SO2 eq_Control Building; at upgraded wastewater treatment plant - US_Without Amendment_Aerated Static Pile</v>
      </c>
    </row>
    <row r="12112" spans="1:13" s="120" customFormat="1" x14ac:dyDescent="0.25">
      <c r="A12112" s="119"/>
      <c r="B12112" s="138" t="str">
        <f t="shared" si="1051"/>
        <v>Aerated Static Pile</v>
      </c>
      <c r="C12112" s="138" t="str">
        <f t="shared" si="1052"/>
        <v>Without Amendment</v>
      </c>
      <c r="D12112" s="138" t="str">
        <f t="shared" si="1056"/>
        <v>Medium_Base</v>
      </c>
      <c r="E12112" s="138" t="str">
        <f t="shared" si="1053"/>
        <v>Base</v>
      </c>
      <c r="F12112" s="138" t="str">
        <f t="shared" si="1054"/>
        <v>Upgraded</v>
      </c>
      <c r="G12112" s="153"/>
      <c r="H12112" s="210">
        <v>-0.82199999999999995</v>
      </c>
      <c r="I12112" s="160" t="s">
        <v>149</v>
      </c>
      <c r="J12112" s="160">
        <v>-1.9720000000000001E-2</v>
      </c>
      <c r="K12112" s="160" t="s">
        <v>24</v>
      </c>
      <c r="L12112" s="154" t="str">
        <f>IF(OpenLCAbasic!K12112="CTUh", "Fill in Manually",IF(OR(K12112="Unit", K12112=""), "", INDEX(LookUps!$E$5:$E$12, MATCH(OpenLCAbasic!K12112,LookUps!$D$5:$D$12,0))))</f>
        <v>Acidification Potential (AP) - kg SO2 eq</v>
      </c>
      <c r="M12112" s="154" t="str">
        <f t="shared" si="1057"/>
        <v>Base_Medium_Base_Upgraded_Acidification Potential (AP) - kg SO2 eq_Anaerobic Digestion; wastewater treatment unit; at updated plant - US_Without Amendment_Aerated Static Pile</v>
      </c>
    </row>
    <row r="12113" spans="1:13" s="120" customFormat="1" x14ac:dyDescent="0.25">
      <c r="A12113" s="119"/>
      <c r="B12113" s="138" t="str">
        <f t="shared" si="1051"/>
        <v/>
      </c>
      <c r="C12113" s="138" t="str">
        <f t="shared" si="1052"/>
        <v/>
      </c>
      <c r="D12113" s="138" t="str">
        <f t="shared" si="1056"/>
        <v/>
      </c>
      <c r="E12113" s="138" t="str">
        <f t="shared" si="1053"/>
        <v/>
      </c>
      <c r="F12113" s="138" t="str">
        <f t="shared" si="1054"/>
        <v/>
      </c>
      <c r="G12113" s="153" t="s">
        <v>51</v>
      </c>
      <c r="H12113" s="160"/>
      <c r="I12113" s="160" t="s">
        <v>47</v>
      </c>
      <c r="J12113" s="160" t="s">
        <v>52</v>
      </c>
      <c r="K12113" s="160" t="s">
        <v>27</v>
      </c>
      <c r="L12113" s="154" t="str">
        <f>IF(OpenLCAbasic!K12113="CTUh", "Fill in Manually",IF(OR(K12113="Unit", K12113=""), "", INDEX(LookUps!$E$5:$E$12, MATCH(OpenLCAbasic!K12113,LookUps!$D$5:$D$12,0))))</f>
        <v/>
      </c>
      <c r="M12113" s="154" t="str">
        <f t="shared" si="1057"/>
        <v>____Process__</v>
      </c>
    </row>
    <row r="12114" spans="1:13" s="120" customFormat="1" x14ac:dyDescent="0.25">
      <c r="A12114" s="119"/>
      <c r="B12114" s="138" t="str">
        <f t="shared" si="1051"/>
        <v>Aerated Static Pile</v>
      </c>
      <c r="C12114" s="138" t="str">
        <f t="shared" si="1052"/>
        <v>Without Amendment</v>
      </c>
      <c r="D12114" s="138" t="str">
        <f t="shared" si="1056"/>
        <v>Medium_Base</v>
      </c>
      <c r="E12114" s="138" t="str">
        <f t="shared" si="1053"/>
        <v>Base</v>
      </c>
      <c r="F12114" s="138" t="str">
        <f t="shared" si="1054"/>
        <v>Upgraded</v>
      </c>
      <c r="G12114" s="153"/>
      <c r="H12114" s="210">
        <v>0.97770000000000001</v>
      </c>
      <c r="I12114" s="160" t="s">
        <v>167</v>
      </c>
      <c r="J12114" s="160">
        <v>4.2789599999999997</v>
      </c>
      <c r="K12114" s="160" t="s">
        <v>15</v>
      </c>
      <c r="L12114" s="154" t="str">
        <f>IF(OpenLCAbasic!K12114="CTUh", "Fill in Manually",IF(OR(K12114="Unit", K12114=""), "", INDEX(LookUps!$E$5:$E$12, MATCH(OpenLCAbasic!K12114,LookUps!$D$5:$D$12,0))))</f>
        <v>Cumulative Energy Demand (CED) - MJ</v>
      </c>
      <c r="M12114" s="154" t="str">
        <f t="shared" si="1057"/>
        <v>Base_Medium_Base_Upgraded_Cumulative Energy Demand (CED) - MJ_Waste Receiving and Holding; wastewater treatment unit; at updated plant - US_Without Amendment_Aerated Static Pile</v>
      </c>
    </row>
    <row r="12115" spans="1:13" s="120" customFormat="1" x14ac:dyDescent="0.25">
      <c r="A12115" s="119"/>
      <c r="B12115" s="138" t="str">
        <f t="shared" si="1051"/>
        <v>Aerated Static Pile</v>
      </c>
      <c r="C12115" s="138" t="str">
        <f t="shared" si="1052"/>
        <v>Without Amendment</v>
      </c>
      <c r="D12115" s="138" t="str">
        <f t="shared" si="1056"/>
        <v>Medium_Base</v>
      </c>
      <c r="E12115" s="138" t="str">
        <f t="shared" si="1053"/>
        <v>Base</v>
      </c>
      <c r="F12115" s="138" t="str">
        <f t="shared" si="1054"/>
        <v>Upgraded</v>
      </c>
      <c r="G12115" s="153"/>
      <c r="H12115" s="210">
        <v>0.80730000000000002</v>
      </c>
      <c r="I12115" s="160" t="s">
        <v>55</v>
      </c>
      <c r="J12115" s="160">
        <v>3.5330499999999998</v>
      </c>
      <c r="K12115" s="160" t="s">
        <v>15</v>
      </c>
      <c r="L12115" s="154" t="str">
        <f>IF(OpenLCAbasic!K12115="CTUh", "Fill in Manually",IF(OR(K12115="Unit", K12115=""), "", INDEX(LookUps!$E$5:$E$12, MATCH(OpenLCAbasic!K12115,LookUps!$D$5:$D$12,0))))</f>
        <v>Cumulative Energy Demand (CED) - MJ</v>
      </c>
      <c r="M12115" s="154" t="str">
        <f t="shared" si="1057"/>
        <v>Base_Medium_Base_Upgraded_Cumulative Energy Demand (CED) - MJ_Aeration Tanks; wastewater treatment unit; at updated plant - US_Without Amendment_Aerated Static Pile</v>
      </c>
    </row>
    <row r="12116" spans="1:13" s="120" customFormat="1" x14ac:dyDescent="0.25">
      <c r="A12116" s="119"/>
      <c r="B12116" s="138" t="str">
        <f t="shared" si="1051"/>
        <v>Aerated Static Pile</v>
      </c>
      <c r="C12116" s="138" t="str">
        <f t="shared" si="1052"/>
        <v>Without Amendment</v>
      </c>
      <c r="D12116" s="138" t="str">
        <f t="shared" si="1056"/>
        <v>Medium_Base</v>
      </c>
      <c r="E12116" s="138" t="str">
        <f t="shared" si="1053"/>
        <v>Base</v>
      </c>
      <c r="F12116" s="138" t="str">
        <f t="shared" si="1054"/>
        <v>Upgraded</v>
      </c>
      <c r="G12116" s="153"/>
      <c r="H12116" s="210">
        <v>0.26569999999999999</v>
      </c>
      <c r="I12116" s="160" t="s">
        <v>54</v>
      </c>
      <c r="J12116" s="160">
        <v>1.16289</v>
      </c>
      <c r="K12116" s="160" t="s">
        <v>15</v>
      </c>
      <c r="L12116" s="154" t="str">
        <f>IF(OpenLCAbasic!K12116="CTUh", "Fill in Manually",IF(OR(K12116="Unit", K12116=""), "", INDEX(LookUps!$E$5:$E$12, MATCH(OpenLCAbasic!K12116,LookUps!$D$5:$D$12,0))))</f>
        <v>Cumulative Energy Demand (CED) - MJ</v>
      </c>
      <c r="M12116" s="154" t="str">
        <f t="shared" si="1057"/>
        <v>Base_Medium_Base_Upgraded_Cumulative Energy Demand (CED) - MJ_Clear Cove Primary Clarification; wastewater treatment unit; at updated plant - US_Without Amendment_Aerated Static Pile</v>
      </c>
    </row>
    <row r="12117" spans="1:13" s="120" customFormat="1" x14ac:dyDescent="0.25">
      <c r="A12117" s="119"/>
      <c r="B12117" s="138" t="str">
        <f t="shared" si="1051"/>
        <v>Aerated Static Pile</v>
      </c>
      <c r="C12117" s="138" t="str">
        <f t="shared" si="1052"/>
        <v>Without Amendment</v>
      </c>
      <c r="D12117" s="138" t="str">
        <f t="shared" si="1056"/>
        <v>Medium_Base</v>
      </c>
      <c r="E12117" s="138" t="str">
        <f t="shared" si="1053"/>
        <v>Base</v>
      </c>
      <c r="F12117" s="138" t="str">
        <f t="shared" si="1054"/>
        <v>Upgraded</v>
      </c>
      <c r="G12117" s="153"/>
      <c r="H12117" s="210">
        <v>0.20269999999999999</v>
      </c>
      <c r="I12117" s="160" t="s">
        <v>58</v>
      </c>
      <c r="J12117" s="160">
        <v>0.88705000000000001</v>
      </c>
      <c r="K12117" s="160" t="s">
        <v>15</v>
      </c>
      <c r="L12117" s="154" t="str">
        <f>IF(OpenLCAbasic!K12117="CTUh", "Fill in Manually",IF(OR(K12117="Unit", K12117=""), "", INDEX(LookUps!$E$5:$E$12, MATCH(OpenLCAbasic!K12117,LookUps!$D$5:$D$12,0))))</f>
        <v>Cumulative Energy Demand (CED) - MJ</v>
      </c>
      <c r="M12117" s="154" t="str">
        <f t="shared" si="1057"/>
        <v>Base_Medium_Base_Upgraded_Cumulative Energy Demand (CED) - MJ_Pre-Anoxic &amp; Swing tank; wastewater treatment unit; at updated plant - US_Without Amendment_Aerated Static Pile</v>
      </c>
    </row>
    <row r="12118" spans="1:13" s="120" customFormat="1" x14ac:dyDescent="0.25">
      <c r="A12118" s="119"/>
      <c r="B12118" s="138" t="str">
        <f t="shared" si="1051"/>
        <v>Aerated Static Pile</v>
      </c>
      <c r="C12118" s="138" t="str">
        <f t="shared" si="1052"/>
        <v>Without Amendment</v>
      </c>
      <c r="D12118" s="138" t="str">
        <f t="shared" si="1056"/>
        <v>Medium_Base</v>
      </c>
      <c r="E12118" s="138" t="str">
        <f t="shared" si="1053"/>
        <v>Base</v>
      </c>
      <c r="F12118" s="138" t="str">
        <f t="shared" si="1054"/>
        <v>Upgraded</v>
      </c>
      <c r="G12118" s="153"/>
      <c r="H12118" s="210">
        <v>0.20169999999999999</v>
      </c>
      <c r="I12118" s="160" t="s">
        <v>147</v>
      </c>
      <c r="J12118" s="160">
        <v>0.88297000000000003</v>
      </c>
      <c r="K12118" s="160" t="s">
        <v>15</v>
      </c>
      <c r="L12118" s="154" t="str">
        <f>IF(OpenLCAbasic!K12118="CTUh", "Fill in Manually",IF(OR(K12118="Unit", K12118=""), "", INDEX(LookUps!$E$5:$E$12, MATCH(OpenLCAbasic!K12118,LookUps!$D$5:$D$12,0))))</f>
        <v>Cumulative Energy Demand (CED) - MJ</v>
      </c>
      <c r="M12118" s="154" t="str">
        <f t="shared" si="1057"/>
        <v>Base_Medium_Base_Upgraded_Cumulative Energy Demand (CED) - MJ_Influent Pump Station; wastewater treatment unit; at updated plant - US_Without Amendment_Aerated Static Pile</v>
      </c>
    </row>
    <row r="12119" spans="1:13" s="120" customFormat="1" x14ac:dyDescent="0.25">
      <c r="A12119" s="119"/>
      <c r="B12119" s="138" t="str">
        <f t="shared" si="1051"/>
        <v>Aerated Static Pile</v>
      </c>
      <c r="C12119" s="138" t="str">
        <f t="shared" si="1052"/>
        <v>Without Amendment</v>
      </c>
      <c r="D12119" s="138" t="str">
        <f t="shared" si="1056"/>
        <v>Medium_Base</v>
      </c>
      <c r="E12119" s="138" t="str">
        <f t="shared" si="1053"/>
        <v>Base</v>
      </c>
      <c r="F12119" s="138" t="str">
        <f t="shared" si="1054"/>
        <v>Upgraded</v>
      </c>
      <c r="G12119" s="153"/>
      <c r="H12119" s="210">
        <v>0.15909999999999999</v>
      </c>
      <c r="I12119" s="160" t="s">
        <v>53</v>
      </c>
      <c r="J12119" s="160">
        <v>0.69645000000000001</v>
      </c>
      <c r="K12119" s="160" t="s">
        <v>15</v>
      </c>
      <c r="L12119" s="154" t="str">
        <f>IF(OpenLCAbasic!K12119="CTUh", "Fill in Manually",IF(OR(K12119="Unit", K12119=""), "", INDEX(LookUps!$E$5:$E$12, MATCH(OpenLCAbasic!K12119,LookUps!$D$5:$D$12,0))))</f>
        <v>Cumulative Energy Demand (CED) - MJ</v>
      </c>
      <c r="M12119" s="154" t="str">
        <f t="shared" si="1057"/>
        <v>Base_Medium_Base_Upgraded_Cumulative Energy Demand (CED) - MJ_Wet Well and Sump Station; wastewater treatment unit; at updated plant - US_Without Amendment_Aerated Static Pile</v>
      </c>
    </row>
    <row r="12120" spans="1:13" s="120" customFormat="1" x14ac:dyDescent="0.25">
      <c r="A12120" s="119"/>
      <c r="B12120" s="138" t="str">
        <f t="shared" si="1051"/>
        <v>Aerated Static Pile</v>
      </c>
      <c r="C12120" s="138" t="str">
        <f t="shared" si="1052"/>
        <v>Without Amendment</v>
      </c>
      <c r="D12120" s="138" t="str">
        <f t="shared" si="1056"/>
        <v>Medium_Base</v>
      </c>
      <c r="E12120" s="138" t="str">
        <f t="shared" si="1053"/>
        <v>Base</v>
      </c>
      <c r="F12120" s="138" t="str">
        <f t="shared" si="1054"/>
        <v>Upgraded</v>
      </c>
      <c r="G12120" s="153"/>
      <c r="H12120" s="210">
        <v>0.10970000000000001</v>
      </c>
      <c r="I12120" s="160" t="s">
        <v>435</v>
      </c>
      <c r="J12120" s="160">
        <v>0.48025000000000001</v>
      </c>
      <c r="K12120" s="160" t="s">
        <v>15</v>
      </c>
      <c r="L12120" s="154" t="str">
        <f>IF(OpenLCAbasic!K12120="CTUh", "Fill in Manually",IF(OR(K12120="Unit", K12120=""), "", INDEX(LookUps!$E$5:$E$12, MATCH(OpenLCAbasic!K12120,LookUps!$D$5:$D$12,0))))</f>
        <v>Cumulative Energy Demand (CED) - MJ</v>
      </c>
      <c r="M12120" s="154" t="str">
        <f t="shared" si="1057"/>
        <v>Base_Medium_Base_Upgraded_Cumulative Energy Demand (CED) - MJ_Biosolids composting; aerated static pile; wastewater treatment unit; at updated plant - US_Without Amendment_Aerated Static Pile</v>
      </c>
    </row>
    <row r="12121" spans="1:13" s="120" customFormat="1" x14ac:dyDescent="0.25">
      <c r="A12121" s="119"/>
      <c r="B12121" s="138" t="str">
        <f t="shared" si="1051"/>
        <v>Aerated Static Pile</v>
      </c>
      <c r="C12121" s="138" t="str">
        <f t="shared" si="1052"/>
        <v>Without Amendment</v>
      </c>
      <c r="D12121" s="138" t="str">
        <f t="shared" si="1056"/>
        <v>Medium_Base</v>
      </c>
      <c r="E12121" s="138" t="str">
        <f t="shared" si="1053"/>
        <v>Base</v>
      </c>
      <c r="F12121" s="138" t="str">
        <f t="shared" si="1054"/>
        <v>Upgraded</v>
      </c>
      <c r="G12121" s="153"/>
      <c r="H12121" s="210">
        <v>9.0899999999999995E-2</v>
      </c>
      <c r="I12121" s="160" t="s">
        <v>60</v>
      </c>
      <c r="J12121" s="160">
        <v>0.39804</v>
      </c>
      <c r="K12121" s="160" t="s">
        <v>15</v>
      </c>
      <c r="L12121" s="154" t="str">
        <f>IF(OpenLCAbasic!K12121="CTUh", "Fill in Manually",IF(OR(K12121="Unit", K12121=""), "", INDEX(LookUps!$E$5:$E$12, MATCH(OpenLCAbasic!K12121,LookUps!$D$5:$D$12,0))))</f>
        <v>Cumulative Energy Demand (CED) - MJ</v>
      </c>
      <c r="M12121" s="154" t="str">
        <f t="shared" si="1057"/>
        <v>Base_Medium_Base_Upgraded_Cumulative Energy Demand (CED) - MJ_Belt filter press; wastewater treatment unit; at updated plant - US_Without Amendment_Aerated Static Pile</v>
      </c>
    </row>
    <row r="12122" spans="1:13" s="120" customFormat="1" x14ac:dyDescent="0.25">
      <c r="A12122" s="119"/>
      <c r="B12122" s="138" t="str">
        <f t="shared" si="1051"/>
        <v>Aerated Static Pile</v>
      </c>
      <c r="C12122" s="138" t="str">
        <f t="shared" si="1052"/>
        <v>Without Amendment</v>
      </c>
      <c r="D12122" s="138" t="str">
        <f t="shared" si="1056"/>
        <v>Medium_Base</v>
      </c>
      <c r="E12122" s="138" t="str">
        <f t="shared" si="1053"/>
        <v>Base</v>
      </c>
      <c r="F12122" s="138" t="str">
        <f t="shared" si="1054"/>
        <v>Upgraded</v>
      </c>
      <c r="G12122" s="153"/>
      <c r="H12122" s="210">
        <v>7.6300000000000007E-2</v>
      </c>
      <c r="I12122" s="160" t="s">
        <v>57</v>
      </c>
      <c r="J12122" s="160">
        <v>0.33404</v>
      </c>
      <c r="K12122" s="160" t="s">
        <v>15</v>
      </c>
      <c r="L12122" s="154" t="str">
        <f>IF(OpenLCAbasic!K12122="CTUh", "Fill in Manually",IF(OR(K12122="Unit", K12122=""), "", INDEX(LookUps!$E$5:$E$12, MATCH(OpenLCAbasic!K12122,LookUps!$D$5:$D$12,0))))</f>
        <v>Cumulative Energy Demand (CED) - MJ</v>
      </c>
      <c r="M12122" s="154" t="str">
        <f t="shared" si="1057"/>
        <v>Base_Medium_Base_Upgraded_Cumulative Energy Demand (CED) - MJ_Gravity Belt Thickener; wastewater treatment unit; at updated plant - US_Without Amendment_Aerated Static Pile</v>
      </c>
    </row>
    <row r="12123" spans="1:13" s="120" customFormat="1" x14ac:dyDescent="0.25">
      <c r="A12123" s="119"/>
      <c r="B12123" s="138" t="str">
        <f t="shared" si="1051"/>
        <v>Aerated Static Pile</v>
      </c>
      <c r="C12123" s="138" t="str">
        <f t="shared" si="1052"/>
        <v>Without Amendment</v>
      </c>
      <c r="D12123" s="138" t="str">
        <f t="shared" si="1056"/>
        <v>Medium_Base</v>
      </c>
      <c r="E12123" s="138" t="str">
        <f t="shared" si="1053"/>
        <v>Base</v>
      </c>
      <c r="F12123" s="138" t="str">
        <f t="shared" si="1054"/>
        <v>Upgraded</v>
      </c>
      <c r="G12123" s="153"/>
      <c r="H12123" s="210">
        <v>5.8500000000000003E-2</v>
      </c>
      <c r="I12123" s="160" t="s">
        <v>128</v>
      </c>
      <c r="J12123" s="160">
        <v>0.25606000000000001</v>
      </c>
      <c r="K12123" s="160" t="s">
        <v>15</v>
      </c>
      <c r="L12123" s="154" t="str">
        <f>IF(OpenLCAbasic!K12123="CTUh", "Fill in Manually",IF(OR(K12123="Unit", K12123=""), "", INDEX(LookUps!$E$5:$E$12, MATCH(OpenLCAbasic!K12123,LookUps!$D$5:$D$12,0))))</f>
        <v>Cumulative Energy Demand (CED) - MJ</v>
      </c>
      <c r="M12123" s="154" t="str">
        <f t="shared" si="1057"/>
        <v>Base_Medium_Base_Upgraded_Cumulative Energy Demand (CED) - MJ_Wastewater collection; operation and infrastructure; m3 wastewater_Without Amendment_Aerated Static Pile</v>
      </c>
    </row>
    <row r="12124" spans="1:13" s="120" customFormat="1" x14ac:dyDescent="0.25">
      <c r="A12124" s="119"/>
      <c r="B12124" s="138" t="str">
        <f t="shared" si="1051"/>
        <v>Aerated Static Pile</v>
      </c>
      <c r="C12124" s="138" t="str">
        <f t="shared" si="1052"/>
        <v>Without Amendment</v>
      </c>
      <c r="D12124" s="138" t="str">
        <f t="shared" si="1056"/>
        <v>Medium_Base</v>
      </c>
      <c r="E12124" s="138" t="str">
        <f t="shared" si="1053"/>
        <v>Base</v>
      </c>
      <c r="F12124" s="138" t="str">
        <f t="shared" si="1054"/>
        <v>Upgraded</v>
      </c>
      <c r="G12124" s="153"/>
      <c r="H12124" s="210">
        <v>3.3399999999999999E-2</v>
      </c>
      <c r="I12124" s="160" t="s">
        <v>148</v>
      </c>
      <c r="J12124" s="160">
        <v>0.14599000000000001</v>
      </c>
      <c r="K12124" s="160" t="s">
        <v>15</v>
      </c>
      <c r="L12124" s="154" t="str">
        <f>IF(OpenLCAbasic!K12124="CTUh", "Fill in Manually",IF(OR(K12124="Unit", K12124=""), "", INDEX(LookUps!$E$5:$E$12, MATCH(OpenLCAbasic!K12124,LookUps!$D$5:$D$12,0))))</f>
        <v>Cumulative Energy Demand (CED) - MJ</v>
      </c>
      <c r="M12124" s="154" t="str">
        <f t="shared" si="1057"/>
        <v>Base_Medium_Base_Upgraded_Cumulative Energy Demand (CED) - MJ_Control Building; at upgraded wastewater treatment plant - US_Without Amendment_Aerated Static Pile</v>
      </c>
    </row>
    <row r="12125" spans="1:13" s="120" customFormat="1" x14ac:dyDescent="0.25">
      <c r="A12125" s="119"/>
      <c r="B12125" s="138" t="str">
        <f t="shared" si="1051"/>
        <v>Aerated Static Pile</v>
      </c>
      <c r="C12125" s="138" t="str">
        <f t="shared" si="1052"/>
        <v>Without Amendment</v>
      </c>
      <c r="D12125" s="138" t="str">
        <f t="shared" si="1056"/>
        <v>Medium_Base</v>
      </c>
      <c r="E12125" s="138" t="str">
        <f t="shared" si="1053"/>
        <v>Base</v>
      </c>
      <c r="F12125" s="138" t="str">
        <f t="shared" si="1054"/>
        <v>Upgraded</v>
      </c>
      <c r="G12125" s="153"/>
      <c r="H12125" s="210">
        <v>3.04E-2</v>
      </c>
      <c r="I12125" s="160" t="s">
        <v>48</v>
      </c>
      <c r="J12125" s="160">
        <v>0.13321</v>
      </c>
      <c r="K12125" s="160" t="s">
        <v>15</v>
      </c>
      <c r="L12125" s="154" t="str">
        <f>IF(OpenLCAbasic!K12125="CTUh", "Fill in Manually",IF(OR(K12125="Unit", K12125=""), "", INDEX(LookUps!$E$5:$E$12, MATCH(OpenLCAbasic!K12125,LookUps!$D$5:$D$12,0))))</f>
        <v>Cumulative Energy Demand (CED) - MJ</v>
      </c>
      <c r="M12125" s="154" t="str">
        <f t="shared" si="1057"/>
        <v>Base_Medium_Base_Upgraded_Cumulative Energy Demand (CED) - MJ_Effluent release; wastewater treatment unit; at surface water; m3 wastewater - US_Without Amendment_Aerated Static Pile</v>
      </c>
    </row>
    <row r="12126" spans="1:13" s="120" customFormat="1" x14ac:dyDescent="0.25">
      <c r="A12126" s="119"/>
      <c r="B12126" s="138" t="str">
        <f t="shared" si="1051"/>
        <v>Aerated Static Pile</v>
      </c>
      <c r="C12126" s="138" t="str">
        <f t="shared" si="1052"/>
        <v>Without Amendment</v>
      </c>
      <c r="D12126" s="138" t="str">
        <f t="shared" si="1056"/>
        <v>Medium_Base</v>
      </c>
      <c r="E12126" s="138" t="str">
        <f t="shared" si="1053"/>
        <v>Base</v>
      </c>
      <c r="F12126" s="138" t="str">
        <f t="shared" si="1054"/>
        <v>Upgraded</v>
      </c>
      <c r="G12126" s="153"/>
      <c r="H12126" s="210">
        <v>2.4299999999999999E-2</v>
      </c>
      <c r="I12126" s="160" t="s">
        <v>59</v>
      </c>
      <c r="J12126" s="160">
        <v>0.10638</v>
      </c>
      <c r="K12126" s="160" t="s">
        <v>15</v>
      </c>
      <c r="L12126" s="154" t="str">
        <f>IF(OpenLCAbasic!K12126="CTUh", "Fill in Manually",IF(OR(K12126="Unit", K12126=""), "", INDEX(LookUps!$E$5:$E$12, MATCH(OpenLCAbasic!K12126,LookUps!$D$5:$D$12,0))))</f>
        <v>Cumulative Energy Demand (CED) - MJ</v>
      </c>
      <c r="M12126" s="154" t="str">
        <f t="shared" si="1057"/>
        <v>Base_Medium_Base_Upgraded_Cumulative Energy Demand (CED) - MJ_Blend Tank; wastewater treatment unit; at updated plant - US_Without Amendment_Aerated Static Pile</v>
      </c>
    </row>
    <row r="12127" spans="1:13" s="120" customFormat="1" x14ac:dyDescent="0.25">
      <c r="A12127" s="119"/>
      <c r="B12127" s="138" t="str">
        <f t="shared" si="1051"/>
        <v>Aerated Static Pile</v>
      </c>
      <c r="C12127" s="138" t="str">
        <f t="shared" si="1052"/>
        <v>Without Amendment</v>
      </c>
      <c r="D12127" s="138" t="str">
        <f t="shared" si="1056"/>
        <v>Medium_Base</v>
      </c>
      <c r="E12127" s="138" t="str">
        <f t="shared" si="1053"/>
        <v>Base</v>
      </c>
      <c r="F12127" s="138" t="str">
        <f t="shared" si="1054"/>
        <v>Upgraded</v>
      </c>
      <c r="G12127" s="153"/>
      <c r="H12127" s="210">
        <v>1.1599999999999999E-2</v>
      </c>
      <c r="I12127" s="160" t="s">
        <v>168</v>
      </c>
      <c r="J12127" s="160">
        <v>5.0930000000000003E-2</v>
      </c>
      <c r="K12127" s="160" t="s">
        <v>15</v>
      </c>
      <c r="L12127" s="154" t="str">
        <f>IF(OpenLCAbasic!K12127="CTUh", "Fill in Manually",IF(OR(K12127="Unit", K12127=""), "", INDEX(LookUps!$E$5:$E$12, MATCH(OpenLCAbasic!K12127,LookUps!$D$5:$D$12,0))))</f>
        <v>Cumulative Energy Demand (CED) - MJ</v>
      </c>
      <c r="M12127" s="154" t="str">
        <f t="shared" si="1057"/>
        <v>Base_Medium_Base_Upgraded_Cumulative Energy Demand (CED) - MJ_ClearCove SCP; wastewater treatment unit; at updated plant - US_Without Amendment_Aerated Static Pile</v>
      </c>
    </row>
    <row r="12128" spans="1:13" s="120" customFormat="1" x14ac:dyDescent="0.25">
      <c r="A12128" s="119"/>
      <c r="B12128" s="138" t="str">
        <f t="shared" si="1051"/>
        <v>Aerated Static Pile</v>
      </c>
      <c r="C12128" s="138" t="str">
        <f t="shared" si="1052"/>
        <v>Without Amendment</v>
      </c>
      <c r="D12128" s="138" t="str">
        <f t="shared" si="1056"/>
        <v>Medium_Base</v>
      </c>
      <c r="E12128" s="138" t="str">
        <f t="shared" si="1053"/>
        <v>Base</v>
      </c>
      <c r="F12128" s="138" t="str">
        <f t="shared" si="1054"/>
        <v>Upgraded</v>
      </c>
      <c r="G12128" s="153"/>
      <c r="H12128" s="210">
        <v>-8.9300000000000004E-2</v>
      </c>
      <c r="I12128" s="160" t="s">
        <v>62</v>
      </c>
      <c r="J12128" s="160">
        <v>-0.39079000000000003</v>
      </c>
      <c r="K12128" s="160" t="s">
        <v>15</v>
      </c>
      <c r="L12128" s="154" t="str">
        <f>IF(OpenLCAbasic!K12128="CTUh", "Fill in Manually",IF(OR(K12128="Unit", K12128=""), "", INDEX(LookUps!$E$5:$E$12, MATCH(OpenLCAbasic!K12128,LookUps!$D$5:$D$12,0))))</f>
        <v>Cumulative Energy Demand (CED) - MJ</v>
      </c>
      <c r="M12128" s="154" t="str">
        <f t="shared" si="1057"/>
        <v>Base_Medium_Base_Upgraded_Cumulative Energy Demand (CED) - MJ_Land application of compost; wastewater treatment unit; at updated plant - US_Without Amendment_Aerated Static Pile</v>
      </c>
    </row>
    <row r="12129" spans="1:13" s="120" customFormat="1" x14ac:dyDescent="0.25">
      <c r="A12129" s="119"/>
      <c r="B12129" s="138" t="str">
        <f t="shared" si="1051"/>
        <v>Aerated Static Pile</v>
      </c>
      <c r="C12129" s="138" t="str">
        <f t="shared" si="1052"/>
        <v>Without Amendment</v>
      </c>
      <c r="D12129" s="138" t="str">
        <f t="shared" si="1056"/>
        <v>Medium_Base</v>
      </c>
      <c r="E12129" s="138" t="str">
        <f t="shared" si="1053"/>
        <v>Base</v>
      </c>
      <c r="F12129" s="138" t="str">
        <f t="shared" si="1054"/>
        <v>Upgraded</v>
      </c>
      <c r="G12129" s="153"/>
      <c r="H12129" s="210">
        <v>-1.9601999999999999</v>
      </c>
      <c r="I12129" s="160" t="s">
        <v>149</v>
      </c>
      <c r="J12129" s="160">
        <v>-8.5788899999999995</v>
      </c>
      <c r="K12129" s="160" t="s">
        <v>15</v>
      </c>
      <c r="L12129" s="154" t="str">
        <f>IF(OpenLCAbasic!K12129="CTUh", "Fill in Manually",IF(OR(K12129="Unit", K12129=""), "", INDEX(LookUps!$E$5:$E$12, MATCH(OpenLCAbasic!K12129,LookUps!$D$5:$D$12,0))))</f>
        <v>Cumulative Energy Demand (CED) - MJ</v>
      </c>
      <c r="M12129" s="154" t="str">
        <f t="shared" si="1057"/>
        <v>Base_Medium_Base_Upgraded_Cumulative Energy Demand (CED) - MJ_Anaerobic Digestion; wastewater treatment unit; at updated plant - US_Without Amendment_Aerated Static Pile</v>
      </c>
    </row>
    <row r="12130" spans="1:13" s="120" customFormat="1" x14ac:dyDescent="0.25">
      <c r="A12130" s="119"/>
      <c r="B12130" s="138" t="str">
        <f t="shared" si="1051"/>
        <v/>
      </c>
      <c r="C12130" s="138" t="str">
        <f t="shared" si="1052"/>
        <v/>
      </c>
      <c r="D12130" s="138" t="str">
        <f t="shared" si="1056"/>
        <v/>
      </c>
      <c r="E12130" s="138" t="str">
        <f t="shared" si="1053"/>
        <v/>
      </c>
      <c r="F12130" s="138" t="str">
        <f t="shared" si="1054"/>
        <v/>
      </c>
      <c r="G12130" s="153" t="s">
        <v>51</v>
      </c>
      <c r="H12130" s="160"/>
      <c r="I12130" s="160" t="s">
        <v>47</v>
      </c>
      <c r="J12130" s="160" t="s">
        <v>52</v>
      </c>
      <c r="K12130" s="160" t="s">
        <v>27</v>
      </c>
      <c r="L12130" s="154" t="str">
        <f>IF(OpenLCAbasic!K12130="CTUh", "Fill in Manually",IF(OR(K12130="Unit", K12130=""), "", INDEX(LookUps!$E$5:$E$12, MATCH(OpenLCAbasic!K12130,LookUps!$D$5:$D$12,0))))</f>
        <v/>
      </c>
      <c r="M12130" s="154" t="str">
        <f t="shared" si="1057"/>
        <v>____Process__</v>
      </c>
    </row>
    <row r="12131" spans="1:13" s="120" customFormat="1" x14ac:dyDescent="0.25">
      <c r="A12131" s="119"/>
      <c r="B12131" s="138" t="str">
        <f t="shared" si="1051"/>
        <v>Aerated Static Pile</v>
      </c>
      <c r="C12131" s="138" t="str">
        <f t="shared" si="1052"/>
        <v>Without Amendment</v>
      </c>
      <c r="D12131" s="138" t="str">
        <f t="shared" si="1056"/>
        <v>Medium_Base</v>
      </c>
      <c r="E12131" s="138" t="str">
        <f t="shared" si="1053"/>
        <v>Base</v>
      </c>
      <c r="F12131" s="138" t="str">
        <f t="shared" si="1054"/>
        <v>Upgraded</v>
      </c>
      <c r="G12131" s="153"/>
      <c r="H12131" s="210">
        <v>0.79979999999999996</v>
      </c>
      <c r="I12131" s="160" t="s">
        <v>48</v>
      </c>
      <c r="J12131" s="160">
        <v>1.1610000000000001E-2</v>
      </c>
      <c r="K12131" s="160" t="s">
        <v>13</v>
      </c>
      <c r="L12131" s="154" t="str">
        <f>IF(OpenLCAbasic!K12131="CTUh", "Fill in Manually",IF(OR(K12131="Unit", K12131=""), "", INDEX(LookUps!$E$5:$E$12, MATCH(OpenLCAbasic!K12131,LookUps!$D$5:$D$12,0))))</f>
        <v>Eutrophication Potential (EP) - kg N eq</v>
      </c>
      <c r="M12131" s="154" t="str">
        <f t="shared" si="1057"/>
        <v>Base_Medium_Base_Upgraded_Eutrophication Potential (EP) - kg N eq_Effluent release; wastewater treatment unit; at surface water; m3 wastewater - US_Without Amendment_Aerated Static Pile</v>
      </c>
    </row>
    <row r="12132" spans="1:13" s="120" customFormat="1" x14ac:dyDescent="0.25">
      <c r="A12132" s="119"/>
      <c r="B12132" s="138" t="str">
        <f t="shared" si="1051"/>
        <v>Aerated Static Pile</v>
      </c>
      <c r="C12132" s="138" t="str">
        <f t="shared" si="1052"/>
        <v>Without Amendment</v>
      </c>
      <c r="D12132" s="138" t="str">
        <f t="shared" si="1056"/>
        <v>Medium_Base</v>
      </c>
      <c r="E12132" s="138" t="str">
        <f t="shared" si="1053"/>
        <v>Base</v>
      </c>
      <c r="F12132" s="138" t="str">
        <f t="shared" si="1054"/>
        <v>Upgraded</v>
      </c>
      <c r="G12132" s="153"/>
      <c r="H12132" s="210">
        <v>0.1227</v>
      </c>
      <c r="I12132" s="160" t="s">
        <v>62</v>
      </c>
      <c r="J12132" s="160">
        <v>1.7799999999999999E-3</v>
      </c>
      <c r="K12132" s="160" t="s">
        <v>13</v>
      </c>
      <c r="L12132" s="154" t="str">
        <f>IF(OpenLCAbasic!K12132="CTUh", "Fill in Manually",IF(OR(K12132="Unit", K12132=""), "", INDEX(LookUps!$E$5:$E$12, MATCH(OpenLCAbasic!K12132,LookUps!$D$5:$D$12,0))))</f>
        <v>Eutrophication Potential (EP) - kg N eq</v>
      </c>
      <c r="M12132" s="154" t="str">
        <f t="shared" si="1057"/>
        <v>Base_Medium_Base_Upgraded_Eutrophication Potential (EP) - kg N eq_Land application of compost; wastewater treatment unit; at updated plant - US_Without Amendment_Aerated Static Pile</v>
      </c>
    </row>
    <row r="12133" spans="1:13" s="120" customFormat="1" x14ac:dyDescent="0.25">
      <c r="A12133" s="119"/>
      <c r="B12133" s="138" t="str">
        <f t="shared" si="1051"/>
        <v>Aerated Static Pile</v>
      </c>
      <c r="C12133" s="138" t="str">
        <f t="shared" si="1052"/>
        <v>Without Amendment</v>
      </c>
      <c r="D12133" s="138" t="str">
        <f t="shared" si="1056"/>
        <v>Medium_Base</v>
      </c>
      <c r="E12133" s="138" t="str">
        <f t="shared" si="1053"/>
        <v>Base</v>
      </c>
      <c r="F12133" s="138" t="str">
        <f t="shared" si="1054"/>
        <v>Upgraded</v>
      </c>
      <c r="G12133" s="153"/>
      <c r="H12133" s="210">
        <v>3.7600000000000001E-2</v>
      </c>
      <c r="I12133" s="160" t="s">
        <v>55</v>
      </c>
      <c r="J12133" s="160">
        <v>5.5000000000000003E-4</v>
      </c>
      <c r="K12133" s="160" t="s">
        <v>13</v>
      </c>
      <c r="L12133" s="154" t="str">
        <f>IF(OpenLCAbasic!K12133="CTUh", "Fill in Manually",IF(OR(K12133="Unit", K12133=""), "", INDEX(LookUps!$E$5:$E$12, MATCH(OpenLCAbasic!K12133,LookUps!$D$5:$D$12,0))))</f>
        <v>Eutrophication Potential (EP) - kg N eq</v>
      </c>
      <c r="M12133" s="154" t="str">
        <f t="shared" si="1057"/>
        <v>Base_Medium_Base_Upgraded_Eutrophication Potential (EP) - kg N eq_Aeration Tanks; wastewater treatment unit; at updated plant - US_Without Amendment_Aerated Static Pile</v>
      </c>
    </row>
    <row r="12134" spans="1:13" s="120" customFormat="1" x14ac:dyDescent="0.25">
      <c r="A12134" s="119"/>
      <c r="B12134" s="138" t="str">
        <f t="shared" si="1051"/>
        <v>Aerated Static Pile</v>
      </c>
      <c r="C12134" s="138" t="str">
        <f t="shared" si="1052"/>
        <v>Without Amendment</v>
      </c>
      <c r="D12134" s="138" t="str">
        <f t="shared" si="1056"/>
        <v>Medium_Base</v>
      </c>
      <c r="E12134" s="138" t="str">
        <f t="shared" si="1053"/>
        <v>Base</v>
      </c>
      <c r="F12134" s="138" t="str">
        <f t="shared" si="1054"/>
        <v>Upgraded</v>
      </c>
      <c r="G12134" s="153"/>
      <c r="H12134" s="210">
        <v>1.72E-2</v>
      </c>
      <c r="I12134" s="160" t="s">
        <v>147</v>
      </c>
      <c r="J12134" s="160">
        <v>2.5000000000000001E-4</v>
      </c>
      <c r="K12134" s="160" t="s">
        <v>13</v>
      </c>
      <c r="L12134" s="154" t="str">
        <f>IF(OpenLCAbasic!K12134="CTUh", "Fill in Manually",IF(OR(K12134="Unit", K12134=""), "", INDEX(LookUps!$E$5:$E$12, MATCH(OpenLCAbasic!K12134,LookUps!$D$5:$D$12,0))))</f>
        <v>Eutrophication Potential (EP) - kg N eq</v>
      </c>
      <c r="M12134" s="154" t="str">
        <f t="shared" si="1057"/>
        <v>Base_Medium_Base_Upgraded_Eutrophication Potential (EP) - kg N eq_Influent Pump Station; wastewater treatment unit; at updated plant - US_Without Amendment_Aerated Static Pile</v>
      </c>
    </row>
    <row r="12135" spans="1:13" s="120" customFormat="1" x14ac:dyDescent="0.25">
      <c r="A12135" s="119"/>
      <c r="B12135" s="138" t="str">
        <f t="shared" si="1051"/>
        <v>Aerated Static Pile</v>
      </c>
      <c r="C12135" s="138" t="str">
        <f t="shared" si="1052"/>
        <v>Without Amendment</v>
      </c>
      <c r="D12135" s="138" t="str">
        <f t="shared" si="1056"/>
        <v>Medium_Base</v>
      </c>
      <c r="E12135" s="138" t="str">
        <f t="shared" si="1053"/>
        <v>Base</v>
      </c>
      <c r="F12135" s="138" t="str">
        <f t="shared" si="1054"/>
        <v>Upgraded</v>
      </c>
      <c r="G12135" s="153"/>
      <c r="H12135" s="210">
        <v>1.37E-2</v>
      </c>
      <c r="I12135" s="160" t="s">
        <v>54</v>
      </c>
      <c r="J12135" s="160">
        <v>2.0000000000000001E-4</v>
      </c>
      <c r="K12135" s="160" t="s">
        <v>13</v>
      </c>
      <c r="L12135" s="154" t="str">
        <f>IF(OpenLCAbasic!K12135="CTUh", "Fill in Manually",IF(OR(K12135="Unit", K12135=""), "", INDEX(LookUps!$E$5:$E$12, MATCH(OpenLCAbasic!K12135,LookUps!$D$5:$D$12,0))))</f>
        <v>Eutrophication Potential (EP) - kg N eq</v>
      </c>
      <c r="M12135" s="154" t="str">
        <f t="shared" si="1057"/>
        <v>Base_Medium_Base_Upgraded_Eutrophication Potential (EP) - kg N eq_Clear Cove Primary Clarification; wastewater treatment unit; at updated plant - US_Without Amendment_Aerated Static Pile</v>
      </c>
    </row>
    <row r="12136" spans="1:13" s="120" customFormat="1" x14ac:dyDescent="0.25">
      <c r="A12136" s="119"/>
      <c r="B12136" s="138" t="str">
        <f t="shared" si="1051"/>
        <v>Aerated Static Pile</v>
      </c>
      <c r="C12136" s="138" t="str">
        <f t="shared" si="1052"/>
        <v>Without Amendment</v>
      </c>
      <c r="D12136" s="138" t="str">
        <f t="shared" si="1056"/>
        <v>Medium_Base</v>
      </c>
      <c r="E12136" s="138" t="str">
        <f t="shared" si="1053"/>
        <v>Base</v>
      </c>
      <c r="F12136" s="138" t="str">
        <f t="shared" si="1054"/>
        <v>Upgraded</v>
      </c>
      <c r="G12136" s="153"/>
      <c r="H12136" s="210">
        <v>1.3100000000000001E-2</v>
      </c>
      <c r="I12136" s="160" t="s">
        <v>167</v>
      </c>
      <c r="J12136" s="160">
        <v>1.9000000000000001E-4</v>
      </c>
      <c r="K12136" s="160" t="s">
        <v>13</v>
      </c>
      <c r="L12136" s="154" t="str">
        <f>IF(OpenLCAbasic!K12136="CTUh", "Fill in Manually",IF(OR(K12136="Unit", K12136=""), "", INDEX(LookUps!$E$5:$E$12, MATCH(OpenLCAbasic!K12136,LookUps!$D$5:$D$12,0))))</f>
        <v>Eutrophication Potential (EP) - kg N eq</v>
      </c>
      <c r="M12136" s="154" t="str">
        <f t="shared" si="1057"/>
        <v>Base_Medium_Base_Upgraded_Eutrophication Potential (EP) - kg N eq_Waste Receiving and Holding; wastewater treatment unit; at updated plant - US_Without Amendment_Aerated Static Pile</v>
      </c>
    </row>
    <row r="12137" spans="1:13" s="120" customFormat="1" x14ac:dyDescent="0.25">
      <c r="A12137" s="119"/>
      <c r="B12137" s="138" t="str">
        <f t="shared" ref="B12137:B12200" si="1058">IF(F12137="Legacy","n.a.",IF(F12137="","","Aerated Static Pile"))</f>
        <v>Aerated Static Pile</v>
      </c>
      <c r="C12137" s="138" t="str">
        <f t="shared" ref="C12137:C12200" si="1059">IF(ISNUMBER($J12137),"Without Amendment","")</f>
        <v>Without Amendment</v>
      </c>
      <c r="D12137" s="138" t="str">
        <f t="shared" si="1056"/>
        <v>Medium_Base</v>
      </c>
      <c r="E12137" s="138" t="str">
        <f t="shared" ref="E12137:E12200" si="1060">IF(ISNUMBER($J12137),"Base","")</f>
        <v>Base</v>
      </c>
      <c r="F12137" s="138" t="str">
        <f t="shared" ref="F12137:F12200" si="1061">IF(ISNUMBER(J12137),"Upgraded","")</f>
        <v>Upgraded</v>
      </c>
      <c r="G12137" s="153"/>
      <c r="H12137" s="210">
        <v>9.2999999999999992E-3</v>
      </c>
      <c r="I12137" s="160" t="s">
        <v>58</v>
      </c>
      <c r="J12137" s="160">
        <v>1.3999999999999999E-4</v>
      </c>
      <c r="K12137" s="160" t="s">
        <v>13</v>
      </c>
      <c r="L12137" s="154" t="str">
        <f>IF(OpenLCAbasic!K12137="CTUh", "Fill in Manually",IF(OR(K12137="Unit", K12137=""), "", INDEX(LookUps!$E$5:$E$12, MATCH(OpenLCAbasic!K12137,LookUps!$D$5:$D$12,0))))</f>
        <v>Eutrophication Potential (EP) - kg N eq</v>
      </c>
      <c r="M12137" s="154" t="str">
        <f t="shared" si="1057"/>
        <v>Base_Medium_Base_Upgraded_Eutrophication Potential (EP) - kg N eq_Pre-Anoxic &amp; Swing tank; wastewater treatment unit; at updated plant - US_Without Amendment_Aerated Static Pile</v>
      </c>
    </row>
    <row r="12138" spans="1:13" s="120" customFormat="1" x14ac:dyDescent="0.25">
      <c r="A12138" s="119"/>
      <c r="B12138" s="138" t="str">
        <f t="shared" si="1058"/>
        <v>Aerated Static Pile</v>
      </c>
      <c r="C12138" s="138" t="str">
        <f t="shared" si="1059"/>
        <v>Without Amendment</v>
      </c>
      <c r="D12138" s="138" t="str">
        <f t="shared" si="1056"/>
        <v>Medium_Base</v>
      </c>
      <c r="E12138" s="138" t="str">
        <f t="shared" si="1060"/>
        <v>Base</v>
      </c>
      <c r="F12138" s="138" t="str">
        <f t="shared" si="1061"/>
        <v>Upgraded</v>
      </c>
      <c r="G12138" s="153"/>
      <c r="H12138" s="210">
        <v>7.4000000000000003E-3</v>
      </c>
      <c r="I12138" s="160" t="s">
        <v>53</v>
      </c>
      <c r="J12138" s="160">
        <v>1.1E-4</v>
      </c>
      <c r="K12138" s="160" t="s">
        <v>13</v>
      </c>
      <c r="L12138" s="154" t="str">
        <f>IF(OpenLCAbasic!K12138="CTUh", "Fill in Manually",IF(OR(K12138="Unit", K12138=""), "", INDEX(LookUps!$E$5:$E$12, MATCH(OpenLCAbasic!K12138,LookUps!$D$5:$D$12,0))))</f>
        <v>Eutrophication Potential (EP) - kg N eq</v>
      </c>
      <c r="M12138" s="154" t="str">
        <f t="shared" si="1057"/>
        <v>Base_Medium_Base_Upgraded_Eutrophication Potential (EP) - kg N eq_Wet Well and Sump Station; wastewater treatment unit; at updated plant - US_Without Amendment_Aerated Static Pile</v>
      </c>
    </row>
    <row r="12139" spans="1:13" s="120" customFormat="1" x14ac:dyDescent="0.25">
      <c r="A12139" s="119"/>
      <c r="B12139" s="138" t="str">
        <f t="shared" si="1058"/>
        <v>Aerated Static Pile</v>
      </c>
      <c r="C12139" s="138" t="str">
        <f t="shared" si="1059"/>
        <v>Without Amendment</v>
      </c>
      <c r="D12139" s="138" t="str">
        <f t="shared" si="1056"/>
        <v>Medium_Base</v>
      </c>
      <c r="E12139" s="138" t="str">
        <f t="shared" si="1060"/>
        <v>Base</v>
      </c>
      <c r="F12139" s="138" t="str">
        <f t="shared" si="1061"/>
        <v>Upgraded</v>
      </c>
      <c r="G12139" s="153"/>
      <c r="H12139" s="210">
        <v>6.0000000000000001E-3</v>
      </c>
      <c r="I12139" s="160" t="s">
        <v>435</v>
      </c>
      <c r="J12139" s="211">
        <v>8.6538499999999998E-5</v>
      </c>
      <c r="K12139" s="160" t="s">
        <v>13</v>
      </c>
      <c r="L12139" s="154" t="str">
        <f>IF(OpenLCAbasic!K12139="CTUh", "Fill in Manually",IF(OR(K12139="Unit", K12139=""), "", INDEX(LookUps!$E$5:$E$12, MATCH(OpenLCAbasic!K12139,LookUps!$D$5:$D$12,0))))</f>
        <v>Eutrophication Potential (EP) - kg N eq</v>
      </c>
      <c r="M12139" s="154" t="str">
        <f t="shared" si="1057"/>
        <v>Base_Medium_Base_Upgraded_Eutrophication Potential (EP) - kg N eq_Biosolids composting; aerated static pile; wastewater treatment unit; at updated plant - US_Without Amendment_Aerated Static Pile</v>
      </c>
    </row>
    <row r="12140" spans="1:13" s="120" customFormat="1" x14ac:dyDescent="0.25">
      <c r="A12140" s="119"/>
      <c r="B12140" s="138" t="str">
        <f t="shared" si="1058"/>
        <v>Aerated Static Pile</v>
      </c>
      <c r="C12140" s="138" t="str">
        <f t="shared" si="1059"/>
        <v>Without Amendment</v>
      </c>
      <c r="D12140" s="138" t="str">
        <f t="shared" si="1056"/>
        <v>Medium_Base</v>
      </c>
      <c r="E12140" s="138" t="str">
        <f t="shared" si="1060"/>
        <v>Base</v>
      </c>
      <c r="F12140" s="138" t="str">
        <f t="shared" si="1061"/>
        <v>Upgraded</v>
      </c>
      <c r="G12140" s="153"/>
      <c r="H12140" s="210">
        <v>4.7999999999999996E-3</v>
      </c>
      <c r="I12140" s="160" t="s">
        <v>60</v>
      </c>
      <c r="J12140" s="211">
        <v>6.9922100000000006E-5</v>
      </c>
      <c r="K12140" s="160" t="s">
        <v>13</v>
      </c>
      <c r="L12140" s="154" t="str">
        <f>IF(OpenLCAbasic!K12140="CTUh", "Fill in Manually",IF(OR(K12140="Unit", K12140=""), "", INDEX(LookUps!$E$5:$E$12, MATCH(OpenLCAbasic!K12140,LookUps!$D$5:$D$12,0))))</f>
        <v>Eutrophication Potential (EP) - kg N eq</v>
      </c>
      <c r="M12140" s="154" t="str">
        <f t="shared" si="1057"/>
        <v>Base_Medium_Base_Upgraded_Eutrophication Potential (EP) - kg N eq_Belt filter press; wastewater treatment unit; at updated plant - US_Without Amendment_Aerated Static Pile</v>
      </c>
    </row>
    <row r="12141" spans="1:13" s="120" customFormat="1" x14ac:dyDescent="0.25">
      <c r="A12141" s="119"/>
      <c r="B12141" s="138" t="str">
        <f t="shared" si="1058"/>
        <v>Aerated Static Pile</v>
      </c>
      <c r="C12141" s="138" t="str">
        <f t="shared" si="1059"/>
        <v>Without Amendment</v>
      </c>
      <c r="D12141" s="138" t="str">
        <f t="shared" si="1056"/>
        <v>Medium_Base</v>
      </c>
      <c r="E12141" s="138" t="str">
        <f t="shared" si="1060"/>
        <v>Base</v>
      </c>
      <c r="F12141" s="138" t="str">
        <f t="shared" si="1061"/>
        <v>Upgraded</v>
      </c>
      <c r="G12141" s="153"/>
      <c r="H12141" s="210">
        <v>4.1999999999999997E-3</v>
      </c>
      <c r="I12141" s="160" t="s">
        <v>57</v>
      </c>
      <c r="J12141" s="211">
        <v>6.0590300000000002E-5</v>
      </c>
      <c r="K12141" s="160" t="s">
        <v>13</v>
      </c>
      <c r="L12141" s="154" t="str">
        <f>IF(OpenLCAbasic!K12141="CTUh", "Fill in Manually",IF(OR(K12141="Unit", K12141=""), "", INDEX(LookUps!$E$5:$E$12, MATCH(OpenLCAbasic!K12141,LookUps!$D$5:$D$12,0))))</f>
        <v>Eutrophication Potential (EP) - kg N eq</v>
      </c>
      <c r="M12141" s="154" t="str">
        <f t="shared" si="1057"/>
        <v>Base_Medium_Base_Upgraded_Eutrophication Potential (EP) - kg N eq_Gravity Belt Thickener; wastewater treatment unit; at updated plant - US_Without Amendment_Aerated Static Pile</v>
      </c>
    </row>
    <row r="12142" spans="1:13" s="120" customFormat="1" x14ac:dyDescent="0.25">
      <c r="A12142" s="119"/>
      <c r="B12142" s="138" t="str">
        <f t="shared" si="1058"/>
        <v>Aerated Static Pile</v>
      </c>
      <c r="C12142" s="138" t="str">
        <f t="shared" si="1059"/>
        <v>Without Amendment</v>
      </c>
      <c r="D12142" s="138" t="str">
        <f t="shared" si="1056"/>
        <v>Medium_Base</v>
      </c>
      <c r="E12142" s="138" t="str">
        <f t="shared" si="1060"/>
        <v>Base</v>
      </c>
      <c r="F12142" s="138" t="str">
        <f t="shared" si="1061"/>
        <v>Upgraded</v>
      </c>
      <c r="G12142" s="153"/>
      <c r="H12142" s="210">
        <v>2.5999999999999999E-3</v>
      </c>
      <c r="I12142" s="160" t="s">
        <v>128</v>
      </c>
      <c r="J12142" s="211">
        <v>3.7559799999999999E-5</v>
      </c>
      <c r="K12142" s="160" t="s">
        <v>13</v>
      </c>
      <c r="L12142" s="154" t="str">
        <f>IF(OpenLCAbasic!K12142="CTUh", "Fill in Manually",IF(OR(K12142="Unit", K12142=""), "", INDEX(LookUps!$E$5:$E$12, MATCH(OpenLCAbasic!K12142,LookUps!$D$5:$D$12,0))))</f>
        <v>Eutrophication Potential (EP) - kg N eq</v>
      </c>
      <c r="M12142" s="154" t="str">
        <f t="shared" si="1057"/>
        <v>Base_Medium_Base_Upgraded_Eutrophication Potential (EP) - kg N eq_Wastewater collection; operation and infrastructure; m3 wastewater_Without Amendment_Aerated Static Pile</v>
      </c>
    </row>
    <row r="12143" spans="1:13" s="120" customFormat="1" x14ac:dyDescent="0.25">
      <c r="A12143" s="119"/>
      <c r="B12143" s="138" t="str">
        <f t="shared" si="1058"/>
        <v>Aerated Static Pile</v>
      </c>
      <c r="C12143" s="138" t="str">
        <f t="shared" si="1059"/>
        <v>Without Amendment</v>
      </c>
      <c r="D12143" s="138" t="str">
        <f t="shared" si="1056"/>
        <v>Medium_Base</v>
      </c>
      <c r="E12143" s="138" t="str">
        <f t="shared" si="1060"/>
        <v>Base</v>
      </c>
      <c r="F12143" s="138" t="str">
        <f t="shared" si="1061"/>
        <v>Upgraded</v>
      </c>
      <c r="G12143" s="153"/>
      <c r="H12143" s="210">
        <v>2.5000000000000001E-3</v>
      </c>
      <c r="I12143" s="160" t="s">
        <v>148</v>
      </c>
      <c r="J12143" s="211">
        <v>3.6874600000000001E-5</v>
      </c>
      <c r="K12143" s="160" t="s">
        <v>13</v>
      </c>
      <c r="L12143" s="154" t="str">
        <f>IF(OpenLCAbasic!K12143="CTUh", "Fill in Manually",IF(OR(K12143="Unit", K12143=""), "", INDEX(LookUps!$E$5:$E$12, MATCH(OpenLCAbasic!K12143,LookUps!$D$5:$D$12,0))))</f>
        <v>Eutrophication Potential (EP) - kg N eq</v>
      </c>
      <c r="M12143" s="154" t="str">
        <f t="shared" si="1057"/>
        <v>Base_Medium_Base_Upgraded_Eutrophication Potential (EP) - kg N eq_Control Building; at upgraded wastewater treatment plant - US_Without Amendment_Aerated Static Pile</v>
      </c>
    </row>
    <row r="12144" spans="1:13" s="120" customFormat="1" x14ac:dyDescent="0.25">
      <c r="A12144" s="119"/>
      <c r="B12144" s="138" t="str">
        <f t="shared" si="1058"/>
        <v>Aerated Static Pile</v>
      </c>
      <c r="C12144" s="138" t="str">
        <f t="shared" si="1059"/>
        <v>Without Amendment</v>
      </c>
      <c r="D12144" s="138" t="str">
        <f t="shared" si="1056"/>
        <v>Medium_Base</v>
      </c>
      <c r="E12144" s="138" t="str">
        <f t="shared" si="1060"/>
        <v>Base</v>
      </c>
      <c r="F12144" s="138" t="str">
        <f t="shared" si="1061"/>
        <v>Upgraded</v>
      </c>
      <c r="G12144" s="153"/>
      <c r="H12144" s="210">
        <v>1.1000000000000001E-3</v>
      </c>
      <c r="I12144" s="160" t="s">
        <v>59</v>
      </c>
      <c r="J12144" s="211">
        <v>1.6215700000000001E-5</v>
      </c>
      <c r="K12144" s="160" t="s">
        <v>13</v>
      </c>
      <c r="L12144" s="154" t="str">
        <f>IF(OpenLCAbasic!K12144="CTUh", "Fill in Manually",IF(OR(K12144="Unit", K12144=""), "", INDEX(LookUps!$E$5:$E$12, MATCH(OpenLCAbasic!K12144,LookUps!$D$5:$D$12,0))))</f>
        <v>Eutrophication Potential (EP) - kg N eq</v>
      </c>
      <c r="M12144" s="154" t="str">
        <f t="shared" si="1057"/>
        <v>Base_Medium_Base_Upgraded_Eutrophication Potential (EP) - kg N eq_Blend Tank; wastewater treatment unit; at updated plant - US_Without Amendment_Aerated Static Pile</v>
      </c>
    </row>
    <row r="12145" spans="1:13" s="120" customFormat="1" x14ac:dyDescent="0.25">
      <c r="A12145" s="119"/>
      <c r="B12145" s="138" t="str">
        <f t="shared" si="1058"/>
        <v>Aerated Static Pile</v>
      </c>
      <c r="C12145" s="138" t="str">
        <f t="shared" si="1059"/>
        <v>Without Amendment</v>
      </c>
      <c r="D12145" s="138" t="str">
        <f t="shared" si="1056"/>
        <v>Medium_Base</v>
      </c>
      <c r="E12145" s="138" t="str">
        <f t="shared" si="1060"/>
        <v>Base</v>
      </c>
      <c r="F12145" s="138" t="str">
        <f t="shared" si="1061"/>
        <v>Upgraded</v>
      </c>
      <c r="G12145" s="153"/>
      <c r="H12145" s="210">
        <v>5.0000000000000001E-4</v>
      </c>
      <c r="I12145" s="160" t="s">
        <v>168</v>
      </c>
      <c r="J12145" s="211">
        <v>7.7567199999999995E-6</v>
      </c>
      <c r="K12145" s="160" t="s">
        <v>13</v>
      </c>
      <c r="L12145" s="154" t="str">
        <f>IF(OpenLCAbasic!K12145="CTUh", "Fill in Manually",IF(OR(K12145="Unit", K12145=""), "", INDEX(LookUps!$E$5:$E$12, MATCH(OpenLCAbasic!K12145,LookUps!$D$5:$D$12,0))))</f>
        <v>Eutrophication Potential (EP) - kg N eq</v>
      </c>
      <c r="M12145" s="154" t="str">
        <f t="shared" si="1057"/>
        <v>Base_Medium_Base_Upgraded_Eutrophication Potential (EP) - kg N eq_ClearCove SCP; wastewater treatment unit; at updated plant - US_Without Amendment_Aerated Static Pile</v>
      </c>
    </row>
    <row r="12146" spans="1:13" s="120" customFormat="1" x14ac:dyDescent="0.25">
      <c r="A12146" s="119"/>
      <c r="B12146" s="138" t="str">
        <f t="shared" si="1058"/>
        <v>Aerated Static Pile</v>
      </c>
      <c r="C12146" s="138" t="str">
        <f t="shared" si="1059"/>
        <v>Without Amendment</v>
      </c>
      <c r="D12146" s="138" t="str">
        <f t="shared" si="1056"/>
        <v>Medium_Base</v>
      </c>
      <c r="E12146" s="138" t="str">
        <f t="shared" si="1060"/>
        <v>Base</v>
      </c>
      <c r="F12146" s="138" t="str">
        <f t="shared" si="1061"/>
        <v>Upgraded</v>
      </c>
      <c r="G12146" s="153"/>
      <c r="H12146" s="210">
        <v>-4.2700000000000002E-2</v>
      </c>
      <c r="I12146" s="160" t="s">
        <v>149</v>
      </c>
      <c r="J12146" s="160">
        <v>-6.2E-4</v>
      </c>
      <c r="K12146" s="160" t="s">
        <v>13</v>
      </c>
      <c r="L12146" s="154" t="str">
        <f>IF(OpenLCAbasic!K12146="CTUh", "Fill in Manually",IF(OR(K12146="Unit", K12146=""), "", INDEX(LookUps!$E$5:$E$12, MATCH(OpenLCAbasic!K12146,LookUps!$D$5:$D$12,0))))</f>
        <v>Eutrophication Potential (EP) - kg N eq</v>
      </c>
      <c r="M12146" s="154" t="str">
        <f t="shared" si="1057"/>
        <v>Base_Medium_Base_Upgraded_Eutrophication Potential (EP) - kg N eq_Anaerobic Digestion; wastewater treatment unit; at updated plant - US_Without Amendment_Aerated Static Pile</v>
      </c>
    </row>
    <row r="12147" spans="1:13" s="120" customFormat="1" x14ac:dyDescent="0.25">
      <c r="A12147" s="119"/>
      <c r="B12147" s="138" t="str">
        <f t="shared" si="1058"/>
        <v/>
      </c>
      <c r="C12147" s="138" t="str">
        <f t="shared" si="1059"/>
        <v/>
      </c>
      <c r="D12147" s="138" t="str">
        <f t="shared" si="1056"/>
        <v/>
      </c>
      <c r="E12147" s="138" t="str">
        <f t="shared" si="1060"/>
        <v/>
      </c>
      <c r="F12147" s="138" t="str">
        <f t="shared" si="1061"/>
        <v/>
      </c>
      <c r="G12147" s="153" t="s">
        <v>51</v>
      </c>
      <c r="H12147" s="160"/>
      <c r="I12147" s="160" t="s">
        <v>47</v>
      </c>
      <c r="J12147" s="160" t="s">
        <v>52</v>
      </c>
      <c r="K12147" s="160" t="s">
        <v>27</v>
      </c>
      <c r="L12147" s="154" t="str">
        <f>IF(OpenLCAbasic!K12147="CTUh", "Fill in Manually",IF(OR(K12147="Unit", K12147=""), "", INDEX(LookUps!$E$5:$E$12, MATCH(OpenLCAbasic!K12147,LookUps!$D$5:$D$12,0))))</f>
        <v/>
      </c>
      <c r="M12147" s="154" t="str">
        <f t="shared" si="1057"/>
        <v>____Process__</v>
      </c>
    </row>
    <row r="12148" spans="1:13" s="120" customFormat="1" x14ac:dyDescent="0.25">
      <c r="A12148" s="119"/>
      <c r="B12148" s="138" t="str">
        <f t="shared" si="1058"/>
        <v>Aerated Static Pile</v>
      </c>
      <c r="C12148" s="138" t="str">
        <f t="shared" si="1059"/>
        <v>Without Amendment</v>
      </c>
      <c r="D12148" s="138" t="str">
        <f t="shared" si="1056"/>
        <v>Medium_Base</v>
      </c>
      <c r="E12148" s="138" t="str">
        <f t="shared" si="1060"/>
        <v>Base</v>
      </c>
      <c r="F12148" s="138" t="str">
        <f t="shared" si="1061"/>
        <v>Upgraded</v>
      </c>
      <c r="G12148" s="153"/>
      <c r="H12148" s="210">
        <v>1.294</v>
      </c>
      <c r="I12148" s="160" t="s">
        <v>167</v>
      </c>
      <c r="J12148" s="160">
        <v>9.7259999999999999E-2</v>
      </c>
      <c r="K12148" s="160" t="s">
        <v>14</v>
      </c>
      <c r="L12148" s="154" t="str">
        <f>IF(OpenLCAbasic!K12148="CTUh", "Fill in Manually",IF(OR(K12148="Unit", K12148=""), "", INDEX(LookUps!$E$5:$E$12, MATCH(OpenLCAbasic!K12148,LookUps!$D$5:$D$12,0))))</f>
        <v>Fossil Depletion Potential (FDP) - kg oil eq</v>
      </c>
      <c r="M12148" s="154" t="str">
        <f t="shared" si="1057"/>
        <v>Base_Medium_Base_Upgraded_Fossil Depletion Potential (FDP) - kg oil eq_Waste Receiving and Holding; wastewater treatment unit; at updated plant - US_Without Amendment_Aerated Static Pile</v>
      </c>
    </row>
    <row r="12149" spans="1:13" s="120" customFormat="1" x14ac:dyDescent="0.25">
      <c r="A12149" s="119"/>
      <c r="B12149" s="138" t="str">
        <f t="shared" si="1058"/>
        <v>Aerated Static Pile</v>
      </c>
      <c r="C12149" s="138" t="str">
        <f t="shared" si="1059"/>
        <v>Without Amendment</v>
      </c>
      <c r="D12149" s="138" t="str">
        <f t="shared" si="1056"/>
        <v>Medium_Base</v>
      </c>
      <c r="E12149" s="138" t="str">
        <f t="shared" si="1060"/>
        <v>Base</v>
      </c>
      <c r="F12149" s="138" t="str">
        <f t="shared" si="1061"/>
        <v>Upgraded</v>
      </c>
      <c r="G12149" s="153"/>
      <c r="H12149" s="210">
        <v>0.84609999999999996</v>
      </c>
      <c r="I12149" s="160" t="s">
        <v>55</v>
      </c>
      <c r="J12149" s="160">
        <v>6.3589999999999994E-2</v>
      </c>
      <c r="K12149" s="160" t="s">
        <v>14</v>
      </c>
      <c r="L12149" s="154" t="str">
        <f>IF(OpenLCAbasic!K12149="CTUh", "Fill in Manually",IF(OR(K12149="Unit", K12149=""), "", INDEX(LookUps!$E$5:$E$12, MATCH(OpenLCAbasic!K12149,LookUps!$D$5:$D$12,0))))</f>
        <v>Fossil Depletion Potential (FDP) - kg oil eq</v>
      </c>
      <c r="M12149" s="154" t="str">
        <f t="shared" si="1057"/>
        <v>Base_Medium_Base_Upgraded_Fossil Depletion Potential (FDP) - kg oil eq_Aeration Tanks; wastewater treatment unit; at updated plant - US_Without Amendment_Aerated Static Pile</v>
      </c>
    </row>
    <row r="12150" spans="1:13" s="120" customFormat="1" x14ac:dyDescent="0.25">
      <c r="A12150" s="119"/>
      <c r="B12150" s="138" t="str">
        <f t="shared" si="1058"/>
        <v>Aerated Static Pile</v>
      </c>
      <c r="C12150" s="138" t="str">
        <f t="shared" si="1059"/>
        <v>Without Amendment</v>
      </c>
      <c r="D12150" s="138" t="str">
        <f t="shared" si="1056"/>
        <v>Medium_Base</v>
      </c>
      <c r="E12150" s="138" t="str">
        <f t="shared" si="1060"/>
        <v>Base</v>
      </c>
      <c r="F12150" s="138" t="str">
        <f t="shared" si="1061"/>
        <v>Upgraded</v>
      </c>
      <c r="G12150" s="153"/>
      <c r="H12150" s="210">
        <v>0.28010000000000002</v>
      </c>
      <c r="I12150" s="160" t="s">
        <v>54</v>
      </c>
      <c r="J12150" s="160">
        <v>2.1049999999999999E-2</v>
      </c>
      <c r="K12150" s="160" t="s">
        <v>14</v>
      </c>
      <c r="L12150" s="154" t="str">
        <f>IF(OpenLCAbasic!K12150="CTUh", "Fill in Manually",IF(OR(K12150="Unit", K12150=""), "", INDEX(LookUps!$E$5:$E$12, MATCH(OpenLCAbasic!K12150,LookUps!$D$5:$D$12,0))))</f>
        <v>Fossil Depletion Potential (FDP) - kg oil eq</v>
      </c>
      <c r="M12150" s="154" t="str">
        <f t="shared" si="1057"/>
        <v>Base_Medium_Base_Upgraded_Fossil Depletion Potential (FDP) - kg oil eq_Clear Cove Primary Clarification; wastewater treatment unit; at updated plant - US_Without Amendment_Aerated Static Pile</v>
      </c>
    </row>
    <row r="12151" spans="1:13" s="120" customFormat="1" x14ac:dyDescent="0.25">
      <c r="A12151" s="119"/>
      <c r="B12151" s="138" t="str">
        <f t="shared" si="1058"/>
        <v>Aerated Static Pile</v>
      </c>
      <c r="C12151" s="138" t="str">
        <f t="shared" si="1059"/>
        <v>Without Amendment</v>
      </c>
      <c r="D12151" s="138" t="str">
        <f t="shared" si="1056"/>
        <v>Medium_Base</v>
      </c>
      <c r="E12151" s="138" t="str">
        <f t="shared" si="1060"/>
        <v>Base</v>
      </c>
      <c r="F12151" s="138" t="str">
        <f t="shared" si="1061"/>
        <v>Upgraded</v>
      </c>
      <c r="G12151" s="153"/>
      <c r="H12151" s="210">
        <v>0.21260000000000001</v>
      </c>
      <c r="I12151" s="160" t="s">
        <v>58</v>
      </c>
      <c r="J12151" s="160">
        <v>1.5980000000000001E-2</v>
      </c>
      <c r="K12151" s="160" t="s">
        <v>14</v>
      </c>
      <c r="L12151" s="154" t="str">
        <f>IF(OpenLCAbasic!K12151="CTUh", "Fill in Manually",IF(OR(K12151="Unit", K12151=""), "", INDEX(LookUps!$E$5:$E$12, MATCH(OpenLCAbasic!K12151,LookUps!$D$5:$D$12,0))))</f>
        <v>Fossil Depletion Potential (FDP) - kg oil eq</v>
      </c>
      <c r="M12151" s="154" t="str">
        <f t="shared" si="1057"/>
        <v>Base_Medium_Base_Upgraded_Fossil Depletion Potential (FDP) - kg oil eq_Pre-Anoxic &amp; Swing tank; wastewater treatment unit; at updated plant - US_Without Amendment_Aerated Static Pile</v>
      </c>
    </row>
    <row r="12152" spans="1:13" s="120" customFormat="1" x14ac:dyDescent="0.25">
      <c r="A12152" s="119"/>
      <c r="B12152" s="138" t="str">
        <f t="shared" si="1058"/>
        <v>Aerated Static Pile</v>
      </c>
      <c r="C12152" s="138" t="str">
        <f t="shared" si="1059"/>
        <v>Without Amendment</v>
      </c>
      <c r="D12152" s="138" t="str">
        <f t="shared" si="1056"/>
        <v>Medium_Base</v>
      </c>
      <c r="E12152" s="138" t="str">
        <f t="shared" si="1060"/>
        <v>Base</v>
      </c>
      <c r="F12152" s="138" t="str">
        <f t="shared" si="1061"/>
        <v>Upgraded</v>
      </c>
      <c r="G12152" s="153"/>
      <c r="H12152" s="210">
        <v>0.20069999999999999</v>
      </c>
      <c r="I12152" s="160" t="s">
        <v>147</v>
      </c>
      <c r="J12152" s="160">
        <v>1.5089999999999999E-2</v>
      </c>
      <c r="K12152" s="160" t="s">
        <v>14</v>
      </c>
      <c r="L12152" s="154" t="str">
        <f>IF(OpenLCAbasic!K12152="CTUh", "Fill in Manually",IF(OR(K12152="Unit", K12152=""), "", INDEX(LookUps!$E$5:$E$12, MATCH(OpenLCAbasic!K12152,LookUps!$D$5:$D$12,0))))</f>
        <v>Fossil Depletion Potential (FDP) - kg oil eq</v>
      </c>
      <c r="M12152" s="154" t="str">
        <f t="shared" si="1057"/>
        <v>Base_Medium_Base_Upgraded_Fossil Depletion Potential (FDP) - kg oil eq_Influent Pump Station; wastewater treatment unit; at updated plant - US_Without Amendment_Aerated Static Pile</v>
      </c>
    </row>
    <row r="12153" spans="1:13" s="120" customFormat="1" x14ac:dyDescent="0.25">
      <c r="A12153" s="119"/>
      <c r="B12153" s="138" t="str">
        <f t="shared" si="1058"/>
        <v>Aerated Static Pile</v>
      </c>
      <c r="C12153" s="138" t="str">
        <f t="shared" si="1059"/>
        <v>Without Amendment</v>
      </c>
      <c r="D12153" s="138" t="str">
        <f t="shared" si="1056"/>
        <v>Medium_Base</v>
      </c>
      <c r="E12153" s="138" t="str">
        <f t="shared" si="1060"/>
        <v>Base</v>
      </c>
      <c r="F12153" s="138" t="str">
        <f t="shared" si="1061"/>
        <v>Upgraded</v>
      </c>
      <c r="G12153" s="153"/>
      <c r="H12153" s="210">
        <v>0.16619999999999999</v>
      </c>
      <c r="I12153" s="160" t="s">
        <v>53</v>
      </c>
      <c r="J12153" s="160">
        <v>1.2489999999999999E-2</v>
      </c>
      <c r="K12153" s="160" t="s">
        <v>14</v>
      </c>
      <c r="L12153" s="154" t="str">
        <f>IF(OpenLCAbasic!K12153="CTUh", "Fill in Manually",IF(OR(K12153="Unit", K12153=""), "", INDEX(LookUps!$E$5:$E$12, MATCH(OpenLCAbasic!K12153,LookUps!$D$5:$D$12,0))))</f>
        <v>Fossil Depletion Potential (FDP) - kg oil eq</v>
      </c>
      <c r="M12153" s="154" t="str">
        <f t="shared" si="1057"/>
        <v>Base_Medium_Base_Upgraded_Fossil Depletion Potential (FDP) - kg oil eq_Wet Well and Sump Station; wastewater treatment unit; at updated plant - US_Without Amendment_Aerated Static Pile</v>
      </c>
    </row>
    <row r="12154" spans="1:13" s="120" customFormat="1" x14ac:dyDescent="0.25">
      <c r="A12154" s="119"/>
      <c r="B12154" s="138" t="str">
        <f t="shared" si="1058"/>
        <v>Aerated Static Pile</v>
      </c>
      <c r="C12154" s="138" t="str">
        <f t="shared" si="1059"/>
        <v>Without Amendment</v>
      </c>
      <c r="D12154" s="138" t="str">
        <f t="shared" si="1056"/>
        <v>Medium_Base</v>
      </c>
      <c r="E12154" s="138" t="str">
        <f t="shared" si="1060"/>
        <v>Base</v>
      </c>
      <c r="F12154" s="138" t="str">
        <f t="shared" si="1061"/>
        <v>Upgraded</v>
      </c>
      <c r="G12154" s="153"/>
      <c r="H12154" s="210">
        <v>0.1162</v>
      </c>
      <c r="I12154" s="160" t="s">
        <v>435</v>
      </c>
      <c r="J12154" s="160">
        <v>8.7299999999999999E-3</v>
      </c>
      <c r="K12154" s="160" t="s">
        <v>14</v>
      </c>
      <c r="L12154" s="154" t="str">
        <f>IF(OpenLCAbasic!K12154="CTUh", "Fill in Manually",IF(OR(K12154="Unit", K12154=""), "", INDEX(LookUps!$E$5:$E$12, MATCH(OpenLCAbasic!K12154,LookUps!$D$5:$D$12,0))))</f>
        <v>Fossil Depletion Potential (FDP) - kg oil eq</v>
      </c>
      <c r="M12154" s="154" t="str">
        <f t="shared" si="1057"/>
        <v>Base_Medium_Base_Upgraded_Fossil Depletion Potential (FDP) - kg oil eq_Biosolids composting; aerated static pile; wastewater treatment unit; at updated plant - US_Without Amendment_Aerated Static Pile</v>
      </c>
    </row>
    <row r="12155" spans="1:13" s="120" customFormat="1" x14ac:dyDescent="0.25">
      <c r="A12155" s="119"/>
      <c r="B12155" s="138" t="str">
        <f t="shared" si="1058"/>
        <v>Aerated Static Pile</v>
      </c>
      <c r="C12155" s="138" t="str">
        <f t="shared" si="1059"/>
        <v>Without Amendment</v>
      </c>
      <c r="D12155" s="138" t="str">
        <f t="shared" si="1056"/>
        <v>Medium_Base</v>
      </c>
      <c r="E12155" s="138" t="str">
        <f t="shared" si="1060"/>
        <v>Base</v>
      </c>
      <c r="F12155" s="138" t="str">
        <f t="shared" si="1061"/>
        <v>Upgraded</v>
      </c>
      <c r="G12155" s="153"/>
      <c r="H12155" s="210">
        <v>0.10680000000000001</v>
      </c>
      <c r="I12155" s="160" t="s">
        <v>60</v>
      </c>
      <c r="J12155" s="160">
        <v>8.0300000000000007E-3</v>
      </c>
      <c r="K12155" s="160" t="s">
        <v>14</v>
      </c>
      <c r="L12155" s="154" t="str">
        <f>IF(OpenLCAbasic!K12155="CTUh", "Fill in Manually",IF(OR(K12155="Unit", K12155=""), "", INDEX(LookUps!$E$5:$E$12, MATCH(OpenLCAbasic!K12155,LookUps!$D$5:$D$12,0))))</f>
        <v>Fossil Depletion Potential (FDP) - kg oil eq</v>
      </c>
      <c r="M12155" s="154" t="str">
        <f t="shared" si="1057"/>
        <v>Base_Medium_Base_Upgraded_Fossil Depletion Potential (FDP) - kg oil eq_Belt filter press; wastewater treatment unit; at updated plant - US_Without Amendment_Aerated Static Pile</v>
      </c>
    </row>
    <row r="12156" spans="1:13" s="120" customFormat="1" x14ac:dyDescent="0.25">
      <c r="A12156" s="119"/>
      <c r="B12156" s="138" t="str">
        <f t="shared" si="1058"/>
        <v>Aerated Static Pile</v>
      </c>
      <c r="C12156" s="138" t="str">
        <f t="shared" si="1059"/>
        <v>Without Amendment</v>
      </c>
      <c r="D12156" s="138" t="str">
        <f t="shared" si="1056"/>
        <v>Medium_Base</v>
      </c>
      <c r="E12156" s="138" t="str">
        <f t="shared" si="1060"/>
        <v>Base</v>
      </c>
      <c r="F12156" s="138" t="str">
        <f t="shared" si="1061"/>
        <v>Upgraded</v>
      </c>
      <c r="G12156" s="153"/>
      <c r="H12156" s="210">
        <v>9.1999999999999998E-2</v>
      </c>
      <c r="I12156" s="160" t="s">
        <v>57</v>
      </c>
      <c r="J12156" s="160">
        <v>6.9199999999999999E-3</v>
      </c>
      <c r="K12156" s="160" t="s">
        <v>14</v>
      </c>
      <c r="L12156" s="154" t="str">
        <f>IF(OpenLCAbasic!K12156="CTUh", "Fill in Manually",IF(OR(K12156="Unit", K12156=""), "", INDEX(LookUps!$E$5:$E$12, MATCH(OpenLCAbasic!K12156,LookUps!$D$5:$D$12,0))))</f>
        <v>Fossil Depletion Potential (FDP) - kg oil eq</v>
      </c>
      <c r="M12156" s="154" t="str">
        <f t="shared" si="1057"/>
        <v>Base_Medium_Base_Upgraded_Fossil Depletion Potential (FDP) - kg oil eq_Gravity Belt Thickener; wastewater treatment unit; at updated plant - US_Without Amendment_Aerated Static Pile</v>
      </c>
    </row>
    <row r="12157" spans="1:13" s="120" customFormat="1" x14ac:dyDescent="0.25">
      <c r="A12157" s="119"/>
      <c r="B12157" s="138" t="str">
        <f t="shared" si="1058"/>
        <v>Aerated Static Pile</v>
      </c>
      <c r="C12157" s="138" t="str">
        <f t="shared" si="1059"/>
        <v>Without Amendment</v>
      </c>
      <c r="D12157" s="138" t="str">
        <f t="shared" si="1056"/>
        <v>Medium_Base</v>
      </c>
      <c r="E12157" s="138" t="str">
        <f t="shared" si="1060"/>
        <v>Base</v>
      </c>
      <c r="F12157" s="138" t="str">
        <f t="shared" si="1061"/>
        <v>Upgraded</v>
      </c>
      <c r="G12157" s="153"/>
      <c r="H12157" s="210">
        <v>5.9900000000000002E-2</v>
      </c>
      <c r="I12157" s="160" t="s">
        <v>128</v>
      </c>
      <c r="J12157" s="160">
        <v>4.4999999999999997E-3</v>
      </c>
      <c r="K12157" s="160" t="s">
        <v>14</v>
      </c>
      <c r="L12157" s="154" t="str">
        <f>IF(OpenLCAbasic!K12157="CTUh", "Fill in Manually",IF(OR(K12157="Unit", K12157=""), "", INDEX(LookUps!$E$5:$E$12, MATCH(OpenLCAbasic!K12157,LookUps!$D$5:$D$12,0))))</f>
        <v>Fossil Depletion Potential (FDP) - kg oil eq</v>
      </c>
      <c r="M12157" s="154" t="str">
        <f t="shared" si="1057"/>
        <v>Base_Medium_Base_Upgraded_Fossil Depletion Potential (FDP) - kg oil eq_Wastewater collection; operation and infrastructure; m3 wastewater_Without Amendment_Aerated Static Pile</v>
      </c>
    </row>
    <row r="12158" spans="1:13" s="120" customFormat="1" x14ac:dyDescent="0.25">
      <c r="A12158" s="119"/>
      <c r="B12158" s="138" t="str">
        <f t="shared" si="1058"/>
        <v>Aerated Static Pile</v>
      </c>
      <c r="C12158" s="138" t="str">
        <f t="shared" si="1059"/>
        <v>Without Amendment</v>
      </c>
      <c r="D12158" s="138" t="str">
        <f t="shared" si="1056"/>
        <v>Medium_Base</v>
      </c>
      <c r="E12158" s="138" t="str">
        <f t="shared" si="1060"/>
        <v>Base</v>
      </c>
      <c r="F12158" s="138" t="str">
        <f t="shared" si="1061"/>
        <v>Upgraded</v>
      </c>
      <c r="G12158" s="153"/>
      <c r="H12158" s="210">
        <v>3.7199999999999997E-2</v>
      </c>
      <c r="I12158" s="160" t="s">
        <v>148</v>
      </c>
      <c r="J12158" s="160">
        <v>2.8E-3</v>
      </c>
      <c r="K12158" s="160" t="s">
        <v>14</v>
      </c>
      <c r="L12158" s="154" t="str">
        <f>IF(OpenLCAbasic!K12158="CTUh", "Fill in Manually",IF(OR(K12158="Unit", K12158=""), "", INDEX(LookUps!$E$5:$E$12, MATCH(OpenLCAbasic!K12158,LookUps!$D$5:$D$12,0))))</f>
        <v>Fossil Depletion Potential (FDP) - kg oil eq</v>
      </c>
      <c r="M12158" s="154" t="str">
        <f t="shared" si="1057"/>
        <v>Base_Medium_Base_Upgraded_Fossil Depletion Potential (FDP) - kg oil eq_Control Building; at upgraded wastewater treatment plant - US_Without Amendment_Aerated Static Pile</v>
      </c>
    </row>
    <row r="12159" spans="1:13" s="120" customFormat="1" x14ac:dyDescent="0.25">
      <c r="A12159" s="119"/>
      <c r="B12159" s="138" t="str">
        <f t="shared" si="1058"/>
        <v>Aerated Static Pile</v>
      </c>
      <c r="C12159" s="138" t="str">
        <f t="shared" si="1059"/>
        <v>Without Amendment</v>
      </c>
      <c r="D12159" s="138" t="str">
        <f t="shared" si="1056"/>
        <v>Medium_Base</v>
      </c>
      <c r="E12159" s="138" t="str">
        <f t="shared" si="1060"/>
        <v>Base</v>
      </c>
      <c r="F12159" s="138" t="str">
        <f t="shared" si="1061"/>
        <v>Upgraded</v>
      </c>
      <c r="G12159" s="153"/>
      <c r="H12159" s="210">
        <v>3.1399999999999997E-2</v>
      </c>
      <c r="I12159" s="160" t="s">
        <v>48</v>
      </c>
      <c r="J12159" s="160">
        <v>2.3600000000000001E-3</v>
      </c>
      <c r="K12159" s="160" t="s">
        <v>14</v>
      </c>
      <c r="L12159" s="154" t="str">
        <f>IF(OpenLCAbasic!K12159="CTUh", "Fill in Manually",IF(OR(K12159="Unit", K12159=""), "", INDEX(LookUps!$E$5:$E$12, MATCH(OpenLCAbasic!K12159,LookUps!$D$5:$D$12,0))))</f>
        <v>Fossil Depletion Potential (FDP) - kg oil eq</v>
      </c>
      <c r="M12159" s="154" t="str">
        <f t="shared" si="1057"/>
        <v>Base_Medium_Base_Upgraded_Fossil Depletion Potential (FDP) - kg oil eq_Effluent release; wastewater treatment unit; at surface water; m3 wastewater - US_Without Amendment_Aerated Static Pile</v>
      </c>
    </row>
    <row r="12160" spans="1:13" s="120" customFormat="1" x14ac:dyDescent="0.25">
      <c r="A12160" s="119"/>
      <c r="B12160" s="138" t="str">
        <f t="shared" si="1058"/>
        <v>Aerated Static Pile</v>
      </c>
      <c r="C12160" s="138" t="str">
        <f t="shared" si="1059"/>
        <v>Without Amendment</v>
      </c>
      <c r="D12160" s="138" t="str">
        <f t="shared" si="1056"/>
        <v>Medium_Base</v>
      </c>
      <c r="E12160" s="138" t="str">
        <f t="shared" si="1060"/>
        <v>Base</v>
      </c>
      <c r="F12160" s="138" t="str">
        <f t="shared" si="1061"/>
        <v>Upgraded</v>
      </c>
      <c r="G12160" s="153"/>
      <c r="H12160" s="210">
        <v>2.5499999999999998E-2</v>
      </c>
      <c r="I12160" s="160" t="s">
        <v>59</v>
      </c>
      <c r="J12160" s="160">
        <v>1.92E-3</v>
      </c>
      <c r="K12160" s="160" t="s">
        <v>14</v>
      </c>
      <c r="L12160" s="154" t="str">
        <f>IF(OpenLCAbasic!K12160="CTUh", "Fill in Manually",IF(OR(K12160="Unit", K12160=""), "", INDEX(LookUps!$E$5:$E$12, MATCH(OpenLCAbasic!K12160,LookUps!$D$5:$D$12,0))))</f>
        <v>Fossil Depletion Potential (FDP) - kg oil eq</v>
      </c>
      <c r="M12160" s="154" t="str">
        <f t="shared" si="1057"/>
        <v>Base_Medium_Base_Upgraded_Fossil Depletion Potential (FDP) - kg oil eq_Blend Tank; wastewater treatment unit; at updated plant - US_Without Amendment_Aerated Static Pile</v>
      </c>
    </row>
    <row r="12161" spans="1:13" s="120" customFormat="1" x14ac:dyDescent="0.25">
      <c r="A12161" s="119"/>
      <c r="B12161" s="138" t="str">
        <f t="shared" si="1058"/>
        <v>Aerated Static Pile</v>
      </c>
      <c r="C12161" s="138" t="str">
        <f t="shared" si="1059"/>
        <v>Without Amendment</v>
      </c>
      <c r="D12161" s="138" t="str">
        <f t="shared" ref="D12161:D12224" si="1062">IF(ISNUMBER($J12161),"Medium_Base","")</f>
        <v>Medium_Base</v>
      </c>
      <c r="E12161" s="138" t="str">
        <f t="shared" si="1060"/>
        <v>Base</v>
      </c>
      <c r="F12161" s="138" t="str">
        <f t="shared" si="1061"/>
        <v>Upgraded</v>
      </c>
      <c r="G12161" s="153"/>
      <c r="H12161" s="210">
        <v>1.2200000000000001E-2</v>
      </c>
      <c r="I12161" s="160" t="s">
        <v>168</v>
      </c>
      <c r="J12161" s="160">
        <v>9.1E-4</v>
      </c>
      <c r="K12161" s="160" t="s">
        <v>14</v>
      </c>
      <c r="L12161" s="154" t="str">
        <f>IF(OpenLCAbasic!K12161="CTUh", "Fill in Manually",IF(OR(K12161="Unit", K12161=""), "", INDEX(LookUps!$E$5:$E$12, MATCH(OpenLCAbasic!K12161,LookUps!$D$5:$D$12,0))))</f>
        <v>Fossil Depletion Potential (FDP) - kg oil eq</v>
      </c>
      <c r="M12161" s="154" t="str">
        <f t="shared" si="1057"/>
        <v>Base_Medium_Base_Upgraded_Fossil Depletion Potential (FDP) - kg oil eq_ClearCove SCP; wastewater treatment unit; at updated plant - US_Without Amendment_Aerated Static Pile</v>
      </c>
    </row>
    <row r="12162" spans="1:13" s="120" customFormat="1" x14ac:dyDescent="0.25">
      <c r="A12162" s="119"/>
      <c r="B12162" s="138" t="str">
        <f t="shared" si="1058"/>
        <v>Aerated Static Pile</v>
      </c>
      <c r="C12162" s="138" t="str">
        <f t="shared" si="1059"/>
        <v>Without Amendment</v>
      </c>
      <c r="D12162" s="138" t="str">
        <f t="shared" si="1062"/>
        <v>Medium_Base</v>
      </c>
      <c r="E12162" s="138" t="str">
        <f t="shared" si="1060"/>
        <v>Base</v>
      </c>
      <c r="F12162" s="138" t="str">
        <f t="shared" si="1061"/>
        <v>Upgraded</v>
      </c>
      <c r="G12162" s="153"/>
      <c r="H12162" s="210">
        <v>-7.3700000000000002E-2</v>
      </c>
      <c r="I12162" s="160" t="s">
        <v>62</v>
      </c>
      <c r="J12162" s="160">
        <v>-5.5399999999999998E-3</v>
      </c>
      <c r="K12162" s="160" t="s">
        <v>14</v>
      </c>
      <c r="L12162" s="154" t="str">
        <f>IF(OpenLCAbasic!K12162="CTUh", "Fill in Manually",IF(OR(K12162="Unit", K12162=""), "", INDEX(LookUps!$E$5:$E$12, MATCH(OpenLCAbasic!K12162,LookUps!$D$5:$D$12,0))))</f>
        <v>Fossil Depletion Potential (FDP) - kg oil eq</v>
      </c>
      <c r="M12162" s="154" t="str">
        <f t="shared" si="1057"/>
        <v>Base_Medium_Base_Upgraded_Fossil Depletion Potential (FDP) - kg oil eq_Land application of compost; wastewater treatment unit; at updated plant - US_Without Amendment_Aerated Static Pile</v>
      </c>
    </row>
    <row r="12163" spans="1:13" s="120" customFormat="1" x14ac:dyDescent="0.25">
      <c r="A12163" s="119"/>
      <c r="B12163" s="138" t="str">
        <f t="shared" si="1058"/>
        <v>Aerated Static Pile</v>
      </c>
      <c r="C12163" s="138" t="str">
        <f t="shared" si="1059"/>
        <v>Without Amendment</v>
      </c>
      <c r="D12163" s="138" t="str">
        <f t="shared" si="1062"/>
        <v>Medium_Base</v>
      </c>
      <c r="E12163" s="138" t="str">
        <f t="shared" si="1060"/>
        <v>Base</v>
      </c>
      <c r="F12163" s="138" t="str">
        <f t="shared" si="1061"/>
        <v>Upgraded</v>
      </c>
      <c r="G12163" s="153"/>
      <c r="H12163" s="210">
        <v>-2.4070999999999998</v>
      </c>
      <c r="I12163" s="160" t="s">
        <v>149</v>
      </c>
      <c r="J12163" s="160">
        <v>-0.18092</v>
      </c>
      <c r="K12163" s="160" t="s">
        <v>14</v>
      </c>
      <c r="L12163" s="154" t="str">
        <f>IF(OpenLCAbasic!K12163="CTUh", "Fill in Manually",IF(OR(K12163="Unit", K12163=""), "", INDEX(LookUps!$E$5:$E$12, MATCH(OpenLCAbasic!K12163,LookUps!$D$5:$D$12,0))))</f>
        <v>Fossil Depletion Potential (FDP) - kg oil eq</v>
      </c>
      <c r="M12163" s="154" t="str">
        <f t="shared" si="1057"/>
        <v>Base_Medium_Base_Upgraded_Fossil Depletion Potential (FDP) - kg oil eq_Anaerobic Digestion; wastewater treatment unit; at updated plant - US_Without Amendment_Aerated Static Pile</v>
      </c>
    </row>
    <row r="12164" spans="1:13" s="120" customFormat="1" x14ac:dyDescent="0.25">
      <c r="A12164" s="119"/>
      <c r="B12164" s="138" t="str">
        <f t="shared" si="1058"/>
        <v/>
      </c>
      <c r="C12164" s="138" t="str">
        <f t="shared" si="1059"/>
        <v/>
      </c>
      <c r="D12164" s="138" t="str">
        <f t="shared" si="1062"/>
        <v/>
      </c>
      <c r="E12164" s="138" t="str">
        <f t="shared" si="1060"/>
        <v/>
      </c>
      <c r="F12164" s="138" t="str">
        <f t="shared" si="1061"/>
        <v/>
      </c>
      <c r="G12164" s="153" t="s">
        <v>51</v>
      </c>
      <c r="H12164" s="160"/>
      <c r="I12164" s="160" t="s">
        <v>47</v>
      </c>
      <c r="J12164" s="160" t="s">
        <v>52</v>
      </c>
      <c r="K12164" s="160" t="s">
        <v>27</v>
      </c>
      <c r="L12164" s="154" t="str">
        <f>IF(OpenLCAbasic!K12164="CTUh", "Fill in Manually",IF(OR(K12164="Unit", K12164=""), "", INDEX(LookUps!$E$5:$E$12, MATCH(OpenLCAbasic!K12164,LookUps!$D$5:$D$12,0))))</f>
        <v/>
      </c>
      <c r="M12164" s="154" t="str">
        <f t="shared" ref="M12164:M12227" si="1063">CONCATENATE(E12164,"_",D12164,"_",F12164,"_",L12164, "_",I12164,"_", C12164,"_", B12164)</f>
        <v>____Process__</v>
      </c>
    </row>
    <row r="12165" spans="1:13" s="120" customFormat="1" x14ac:dyDescent="0.25">
      <c r="A12165" s="119"/>
      <c r="B12165" s="138" t="str">
        <f t="shared" si="1058"/>
        <v>Aerated Static Pile</v>
      </c>
      <c r="C12165" s="138" t="str">
        <f t="shared" si="1059"/>
        <v>Without Amendment</v>
      </c>
      <c r="D12165" s="138" t="str">
        <f t="shared" si="1062"/>
        <v>Medium_Base</v>
      </c>
      <c r="E12165" s="138" t="str">
        <f t="shared" si="1060"/>
        <v>Base</v>
      </c>
      <c r="F12165" s="138" t="str">
        <f t="shared" si="1061"/>
        <v>Upgraded</v>
      </c>
      <c r="G12165" s="153"/>
      <c r="H12165" s="210">
        <v>0.65339999999999998</v>
      </c>
      <c r="I12165" s="160" t="s">
        <v>435</v>
      </c>
      <c r="J12165" s="160">
        <v>0.439</v>
      </c>
      <c r="K12165" s="160" t="s">
        <v>23</v>
      </c>
      <c r="L12165" s="154" t="str">
        <f>IF(OpenLCAbasic!K12165="CTUh", "Fill in Manually",IF(OR(K12165="Unit", K12165=""), "", INDEX(LookUps!$E$5:$E$12, MATCH(OpenLCAbasic!K12165,LookUps!$D$5:$D$12,0))))</f>
        <v>Global Warming Potential (GWP) - kg CO2 eq</v>
      </c>
      <c r="M12165" s="154" t="str">
        <f t="shared" si="1063"/>
        <v>Base_Medium_Base_Upgraded_Global Warming Potential (GWP) - kg CO2 eq_Biosolids composting; aerated static pile; wastewater treatment unit; at updated plant - US_Without Amendment_Aerated Static Pile</v>
      </c>
    </row>
    <row r="12166" spans="1:13" s="120" customFormat="1" x14ac:dyDescent="0.25">
      <c r="A12166" s="119"/>
      <c r="B12166" s="138" t="str">
        <f t="shared" si="1058"/>
        <v>Aerated Static Pile</v>
      </c>
      <c r="C12166" s="138" t="str">
        <f t="shared" si="1059"/>
        <v>Without Amendment</v>
      </c>
      <c r="D12166" s="138" t="str">
        <f t="shared" si="1062"/>
        <v>Medium_Base</v>
      </c>
      <c r="E12166" s="138" t="str">
        <f t="shared" si="1060"/>
        <v>Base</v>
      </c>
      <c r="F12166" s="138" t="str">
        <f t="shared" si="1061"/>
        <v>Upgraded</v>
      </c>
      <c r="G12166" s="153"/>
      <c r="H12166" s="210">
        <v>0.36570000000000003</v>
      </c>
      <c r="I12166" s="160" t="s">
        <v>58</v>
      </c>
      <c r="J12166" s="160">
        <v>0.24568999999999999</v>
      </c>
      <c r="K12166" s="160" t="s">
        <v>23</v>
      </c>
      <c r="L12166" s="154" t="str">
        <f>IF(OpenLCAbasic!K12166="CTUh", "Fill in Manually",IF(OR(K12166="Unit", K12166=""), "", INDEX(LookUps!$E$5:$E$12, MATCH(OpenLCAbasic!K12166,LookUps!$D$5:$D$12,0))))</f>
        <v>Global Warming Potential (GWP) - kg CO2 eq</v>
      </c>
      <c r="M12166" s="154" t="str">
        <f t="shared" si="1063"/>
        <v>Base_Medium_Base_Upgraded_Global Warming Potential (GWP) - kg CO2 eq_Pre-Anoxic &amp; Swing tank; wastewater treatment unit; at updated plant - US_Without Amendment_Aerated Static Pile</v>
      </c>
    </row>
    <row r="12167" spans="1:13" s="120" customFormat="1" x14ac:dyDescent="0.25">
      <c r="A12167" s="119"/>
      <c r="B12167" s="138" t="str">
        <f t="shared" si="1058"/>
        <v>Aerated Static Pile</v>
      </c>
      <c r="C12167" s="138" t="str">
        <f t="shared" si="1059"/>
        <v>Without Amendment</v>
      </c>
      <c r="D12167" s="138" t="str">
        <f t="shared" si="1062"/>
        <v>Medium_Base</v>
      </c>
      <c r="E12167" s="138" t="str">
        <f t="shared" si="1060"/>
        <v>Base</v>
      </c>
      <c r="F12167" s="138" t="str">
        <f t="shared" si="1061"/>
        <v>Upgraded</v>
      </c>
      <c r="G12167" s="153"/>
      <c r="H12167" s="210">
        <v>0.25040000000000001</v>
      </c>
      <c r="I12167" s="160" t="s">
        <v>55</v>
      </c>
      <c r="J12167" s="160">
        <v>0.16822000000000001</v>
      </c>
      <c r="K12167" s="160" t="s">
        <v>23</v>
      </c>
      <c r="L12167" s="154" t="str">
        <f>IF(OpenLCAbasic!K12167="CTUh", "Fill in Manually",IF(OR(K12167="Unit", K12167=""), "", INDEX(LookUps!$E$5:$E$12, MATCH(OpenLCAbasic!K12167,LookUps!$D$5:$D$12,0))))</f>
        <v>Global Warming Potential (GWP) - kg CO2 eq</v>
      </c>
      <c r="M12167" s="154" t="str">
        <f t="shared" si="1063"/>
        <v>Base_Medium_Base_Upgraded_Global Warming Potential (GWP) - kg CO2 eq_Aeration Tanks; wastewater treatment unit; at updated plant - US_Without Amendment_Aerated Static Pile</v>
      </c>
    </row>
    <row r="12168" spans="1:13" s="120" customFormat="1" x14ac:dyDescent="0.25">
      <c r="A12168" s="119"/>
      <c r="B12168" s="138" t="str">
        <f t="shared" si="1058"/>
        <v>Aerated Static Pile</v>
      </c>
      <c r="C12168" s="138" t="str">
        <f t="shared" si="1059"/>
        <v>Without Amendment</v>
      </c>
      <c r="D12168" s="138" t="str">
        <f t="shared" si="1062"/>
        <v>Medium_Base</v>
      </c>
      <c r="E12168" s="138" t="str">
        <f t="shared" si="1060"/>
        <v>Base</v>
      </c>
      <c r="F12168" s="138" t="str">
        <f t="shared" si="1061"/>
        <v>Upgraded</v>
      </c>
      <c r="G12168" s="153"/>
      <c r="H12168" s="210">
        <v>0.18390000000000001</v>
      </c>
      <c r="I12168" s="160" t="s">
        <v>167</v>
      </c>
      <c r="J12168" s="160">
        <v>0.12354999999999999</v>
      </c>
      <c r="K12168" s="160" t="s">
        <v>23</v>
      </c>
      <c r="L12168" s="154" t="str">
        <f>IF(OpenLCAbasic!K12168="CTUh", "Fill in Manually",IF(OR(K12168="Unit", K12168=""), "", INDEX(LookUps!$E$5:$E$12, MATCH(OpenLCAbasic!K12168,LookUps!$D$5:$D$12,0))))</f>
        <v>Global Warming Potential (GWP) - kg CO2 eq</v>
      </c>
      <c r="M12168" s="154" t="str">
        <f t="shared" si="1063"/>
        <v>Base_Medium_Base_Upgraded_Global Warming Potential (GWP) - kg CO2 eq_Waste Receiving and Holding; wastewater treatment unit; at updated plant - US_Without Amendment_Aerated Static Pile</v>
      </c>
    </row>
    <row r="12169" spans="1:13" s="120" customFormat="1" x14ac:dyDescent="0.25">
      <c r="A12169" s="119"/>
      <c r="B12169" s="138" t="str">
        <f t="shared" si="1058"/>
        <v>Aerated Static Pile</v>
      </c>
      <c r="C12169" s="138" t="str">
        <f t="shared" si="1059"/>
        <v>Without Amendment</v>
      </c>
      <c r="D12169" s="138" t="str">
        <f t="shared" si="1062"/>
        <v>Medium_Base</v>
      </c>
      <c r="E12169" s="138" t="str">
        <f t="shared" si="1060"/>
        <v>Base</v>
      </c>
      <c r="F12169" s="138" t="str">
        <f t="shared" si="1061"/>
        <v>Upgraded</v>
      </c>
      <c r="G12169" s="153"/>
      <c r="H12169" s="210">
        <v>8.5000000000000006E-2</v>
      </c>
      <c r="I12169" s="160" t="s">
        <v>54</v>
      </c>
      <c r="J12169" s="160">
        <v>5.7079999999999999E-2</v>
      </c>
      <c r="K12169" s="160" t="s">
        <v>23</v>
      </c>
      <c r="L12169" s="154" t="str">
        <f>IF(OpenLCAbasic!K12169="CTUh", "Fill in Manually",IF(OR(K12169="Unit", K12169=""), "", INDEX(LookUps!$E$5:$E$12, MATCH(OpenLCAbasic!K12169,LookUps!$D$5:$D$12,0))))</f>
        <v>Global Warming Potential (GWP) - kg CO2 eq</v>
      </c>
      <c r="M12169" s="154" t="str">
        <f t="shared" si="1063"/>
        <v>Base_Medium_Base_Upgraded_Global Warming Potential (GWP) - kg CO2 eq_Clear Cove Primary Clarification; wastewater treatment unit; at updated plant - US_Without Amendment_Aerated Static Pile</v>
      </c>
    </row>
    <row r="12170" spans="1:13" s="120" customFormat="1" x14ac:dyDescent="0.25">
      <c r="A12170" s="119"/>
      <c r="B12170" s="138" t="str">
        <f t="shared" si="1058"/>
        <v>Aerated Static Pile</v>
      </c>
      <c r="C12170" s="138" t="str">
        <f t="shared" si="1059"/>
        <v>Without Amendment</v>
      </c>
      <c r="D12170" s="138" t="str">
        <f t="shared" si="1062"/>
        <v>Medium_Base</v>
      </c>
      <c r="E12170" s="138" t="str">
        <f t="shared" si="1060"/>
        <v>Base</v>
      </c>
      <c r="F12170" s="138" t="str">
        <f t="shared" si="1061"/>
        <v>Upgraded</v>
      </c>
      <c r="G12170" s="153"/>
      <c r="H12170" s="210">
        <v>7.8299999999999995E-2</v>
      </c>
      <c r="I12170" s="160" t="s">
        <v>48</v>
      </c>
      <c r="J12170" s="160">
        <v>5.2639999999999999E-2</v>
      </c>
      <c r="K12170" s="160" t="s">
        <v>23</v>
      </c>
      <c r="L12170" s="154" t="str">
        <f>IF(OpenLCAbasic!K12170="CTUh", "Fill in Manually",IF(OR(K12170="Unit", K12170=""), "", INDEX(LookUps!$E$5:$E$12, MATCH(OpenLCAbasic!K12170,LookUps!$D$5:$D$12,0))))</f>
        <v>Global Warming Potential (GWP) - kg CO2 eq</v>
      </c>
      <c r="M12170" s="154" t="str">
        <f t="shared" si="1063"/>
        <v>Base_Medium_Base_Upgraded_Global Warming Potential (GWP) - kg CO2 eq_Effluent release; wastewater treatment unit; at surface water; m3 wastewater - US_Without Amendment_Aerated Static Pile</v>
      </c>
    </row>
    <row r="12171" spans="1:13" s="120" customFormat="1" x14ac:dyDescent="0.25">
      <c r="A12171" s="119"/>
      <c r="B12171" s="138" t="str">
        <f t="shared" si="1058"/>
        <v>Aerated Static Pile</v>
      </c>
      <c r="C12171" s="138" t="str">
        <f t="shared" si="1059"/>
        <v>Without Amendment</v>
      </c>
      <c r="D12171" s="138" t="str">
        <f t="shared" si="1062"/>
        <v>Medium_Base</v>
      </c>
      <c r="E12171" s="138" t="str">
        <f t="shared" si="1060"/>
        <v>Base</v>
      </c>
      <c r="F12171" s="138" t="str">
        <f t="shared" si="1061"/>
        <v>Upgraded</v>
      </c>
      <c r="G12171" s="153"/>
      <c r="H12171" s="210">
        <v>7.5200000000000003E-2</v>
      </c>
      <c r="I12171" s="160" t="s">
        <v>147</v>
      </c>
      <c r="J12171" s="160">
        <v>5.0500000000000003E-2</v>
      </c>
      <c r="K12171" s="160" t="s">
        <v>23</v>
      </c>
      <c r="L12171" s="154" t="str">
        <f>IF(OpenLCAbasic!K12171="CTUh", "Fill in Manually",IF(OR(K12171="Unit", K12171=""), "", INDEX(LookUps!$E$5:$E$12, MATCH(OpenLCAbasic!K12171,LookUps!$D$5:$D$12,0))))</f>
        <v>Global Warming Potential (GWP) - kg CO2 eq</v>
      </c>
      <c r="M12171" s="154" t="str">
        <f t="shared" si="1063"/>
        <v>Base_Medium_Base_Upgraded_Global Warming Potential (GWP) - kg CO2 eq_Influent Pump Station; wastewater treatment unit; at updated plant - US_Without Amendment_Aerated Static Pile</v>
      </c>
    </row>
    <row r="12172" spans="1:13" s="120" customFormat="1" x14ac:dyDescent="0.25">
      <c r="A12172" s="119"/>
      <c r="B12172" s="138" t="str">
        <f t="shared" si="1058"/>
        <v>Aerated Static Pile</v>
      </c>
      <c r="C12172" s="138" t="str">
        <f t="shared" si="1059"/>
        <v>Without Amendment</v>
      </c>
      <c r="D12172" s="138" t="str">
        <f t="shared" si="1062"/>
        <v>Medium_Base</v>
      </c>
      <c r="E12172" s="138" t="str">
        <f t="shared" si="1060"/>
        <v>Base</v>
      </c>
      <c r="F12172" s="138" t="str">
        <f t="shared" si="1061"/>
        <v>Upgraded</v>
      </c>
      <c r="G12172" s="153"/>
      <c r="H12172" s="210">
        <v>4.9500000000000002E-2</v>
      </c>
      <c r="I12172" s="160" t="s">
        <v>53</v>
      </c>
      <c r="J12172" s="160">
        <v>3.3259999999999998E-2</v>
      </c>
      <c r="K12172" s="160" t="s">
        <v>23</v>
      </c>
      <c r="L12172" s="154" t="str">
        <f>IF(OpenLCAbasic!K12172="CTUh", "Fill in Manually",IF(OR(K12172="Unit", K12172=""), "", INDEX(LookUps!$E$5:$E$12, MATCH(OpenLCAbasic!K12172,LookUps!$D$5:$D$12,0))))</f>
        <v>Global Warming Potential (GWP) - kg CO2 eq</v>
      </c>
      <c r="M12172" s="154" t="str">
        <f t="shared" si="1063"/>
        <v>Base_Medium_Base_Upgraded_Global Warming Potential (GWP) - kg CO2 eq_Wet Well and Sump Station; wastewater treatment unit; at updated plant - US_Without Amendment_Aerated Static Pile</v>
      </c>
    </row>
    <row r="12173" spans="1:13" s="120" customFormat="1" x14ac:dyDescent="0.25">
      <c r="A12173" s="119"/>
      <c r="B12173" s="138" t="str">
        <f t="shared" si="1058"/>
        <v>Aerated Static Pile</v>
      </c>
      <c r="C12173" s="138" t="str">
        <f t="shared" si="1059"/>
        <v>Without Amendment</v>
      </c>
      <c r="D12173" s="138" t="str">
        <f t="shared" si="1062"/>
        <v>Medium_Base</v>
      </c>
      <c r="E12173" s="138" t="str">
        <f t="shared" si="1060"/>
        <v>Base</v>
      </c>
      <c r="F12173" s="138" t="str">
        <f t="shared" si="1061"/>
        <v>Upgraded</v>
      </c>
      <c r="G12173" s="153"/>
      <c r="H12173" s="210">
        <v>2.63E-2</v>
      </c>
      <c r="I12173" s="160" t="s">
        <v>60</v>
      </c>
      <c r="J12173" s="160">
        <v>1.7639999999999999E-2</v>
      </c>
      <c r="K12173" s="160" t="s">
        <v>23</v>
      </c>
      <c r="L12173" s="154" t="str">
        <f>IF(OpenLCAbasic!K12173="CTUh", "Fill in Manually",IF(OR(K12173="Unit", K12173=""), "", INDEX(LookUps!$E$5:$E$12, MATCH(OpenLCAbasic!K12173,LookUps!$D$5:$D$12,0))))</f>
        <v>Global Warming Potential (GWP) - kg CO2 eq</v>
      </c>
      <c r="M12173" s="154" t="str">
        <f t="shared" si="1063"/>
        <v>Base_Medium_Base_Upgraded_Global Warming Potential (GWP) - kg CO2 eq_Belt filter press; wastewater treatment unit; at updated plant - US_Without Amendment_Aerated Static Pile</v>
      </c>
    </row>
    <row r="12174" spans="1:13" s="120" customFormat="1" x14ac:dyDescent="0.25">
      <c r="A12174" s="119"/>
      <c r="B12174" s="138" t="str">
        <f t="shared" si="1058"/>
        <v>Aerated Static Pile</v>
      </c>
      <c r="C12174" s="138" t="str">
        <f t="shared" si="1059"/>
        <v>Without Amendment</v>
      </c>
      <c r="D12174" s="138" t="str">
        <f t="shared" si="1062"/>
        <v>Medium_Base</v>
      </c>
      <c r="E12174" s="138" t="str">
        <f t="shared" si="1060"/>
        <v>Base</v>
      </c>
      <c r="F12174" s="138" t="str">
        <f t="shared" si="1061"/>
        <v>Upgraded</v>
      </c>
      <c r="G12174" s="153"/>
      <c r="H12174" s="210">
        <v>2.1700000000000001E-2</v>
      </c>
      <c r="I12174" s="160" t="s">
        <v>57</v>
      </c>
      <c r="J12174" s="160">
        <v>1.455E-2</v>
      </c>
      <c r="K12174" s="160" t="s">
        <v>23</v>
      </c>
      <c r="L12174" s="154" t="str">
        <f>IF(OpenLCAbasic!K12174="CTUh", "Fill in Manually",IF(OR(K12174="Unit", K12174=""), "", INDEX(LookUps!$E$5:$E$12, MATCH(OpenLCAbasic!K12174,LookUps!$D$5:$D$12,0))))</f>
        <v>Global Warming Potential (GWP) - kg CO2 eq</v>
      </c>
      <c r="M12174" s="154" t="str">
        <f t="shared" si="1063"/>
        <v>Base_Medium_Base_Upgraded_Global Warming Potential (GWP) - kg CO2 eq_Gravity Belt Thickener; wastewater treatment unit; at updated plant - US_Without Amendment_Aerated Static Pile</v>
      </c>
    </row>
    <row r="12175" spans="1:13" s="120" customFormat="1" x14ac:dyDescent="0.25">
      <c r="A12175" s="119"/>
      <c r="B12175" s="138" t="str">
        <f t="shared" si="1058"/>
        <v>Aerated Static Pile</v>
      </c>
      <c r="C12175" s="138" t="str">
        <f t="shared" si="1059"/>
        <v>Without Amendment</v>
      </c>
      <c r="D12175" s="138" t="str">
        <f t="shared" si="1062"/>
        <v>Medium_Base</v>
      </c>
      <c r="E12175" s="138" t="str">
        <f t="shared" si="1060"/>
        <v>Base</v>
      </c>
      <c r="F12175" s="138" t="str">
        <f t="shared" si="1061"/>
        <v>Upgraded</v>
      </c>
      <c r="G12175" s="153"/>
      <c r="H12175" s="210">
        <v>2.01E-2</v>
      </c>
      <c r="I12175" s="160" t="s">
        <v>128</v>
      </c>
      <c r="J12175" s="160">
        <v>1.3509999999999999E-2</v>
      </c>
      <c r="K12175" s="160" t="s">
        <v>23</v>
      </c>
      <c r="L12175" s="154" t="str">
        <f>IF(OpenLCAbasic!K12175="CTUh", "Fill in Manually",IF(OR(K12175="Unit", K12175=""), "", INDEX(LookUps!$E$5:$E$12, MATCH(OpenLCAbasic!K12175,LookUps!$D$5:$D$12,0))))</f>
        <v>Global Warming Potential (GWP) - kg CO2 eq</v>
      </c>
      <c r="M12175" s="154" t="str">
        <f t="shared" si="1063"/>
        <v>Base_Medium_Base_Upgraded_Global Warming Potential (GWP) - kg CO2 eq_Wastewater collection; operation and infrastructure; m3 wastewater_Without Amendment_Aerated Static Pile</v>
      </c>
    </row>
    <row r="12176" spans="1:13" s="120" customFormat="1" x14ac:dyDescent="0.25">
      <c r="A12176" s="119"/>
      <c r="B12176" s="138" t="str">
        <f t="shared" si="1058"/>
        <v>Aerated Static Pile</v>
      </c>
      <c r="C12176" s="138" t="str">
        <f t="shared" si="1059"/>
        <v>Without Amendment</v>
      </c>
      <c r="D12176" s="138" t="str">
        <f t="shared" si="1062"/>
        <v>Medium_Base</v>
      </c>
      <c r="E12176" s="138" t="str">
        <f t="shared" si="1060"/>
        <v>Base</v>
      </c>
      <c r="F12176" s="138" t="str">
        <f t="shared" si="1061"/>
        <v>Upgraded</v>
      </c>
      <c r="G12176" s="153"/>
      <c r="H12176" s="210">
        <v>1.23E-2</v>
      </c>
      <c r="I12176" s="160" t="s">
        <v>148</v>
      </c>
      <c r="J12176" s="160">
        <v>8.3000000000000001E-3</v>
      </c>
      <c r="K12176" s="160" t="s">
        <v>23</v>
      </c>
      <c r="L12176" s="154" t="str">
        <f>IF(OpenLCAbasic!K12176="CTUh", "Fill in Manually",IF(OR(K12176="Unit", K12176=""), "", INDEX(LookUps!$E$5:$E$12, MATCH(OpenLCAbasic!K12176,LookUps!$D$5:$D$12,0))))</f>
        <v>Global Warming Potential (GWP) - kg CO2 eq</v>
      </c>
      <c r="M12176" s="154" t="str">
        <f t="shared" si="1063"/>
        <v>Base_Medium_Base_Upgraded_Global Warming Potential (GWP) - kg CO2 eq_Control Building; at upgraded wastewater treatment plant - US_Without Amendment_Aerated Static Pile</v>
      </c>
    </row>
    <row r="12177" spans="1:13" s="120" customFormat="1" x14ac:dyDescent="0.25">
      <c r="A12177" s="119"/>
      <c r="B12177" s="138" t="str">
        <f t="shared" si="1058"/>
        <v>Aerated Static Pile</v>
      </c>
      <c r="C12177" s="138" t="str">
        <f t="shared" si="1059"/>
        <v>Without Amendment</v>
      </c>
      <c r="D12177" s="138" t="str">
        <f t="shared" si="1062"/>
        <v>Medium_Base</v>
      </c>
      <c r="E12177" s="138" t="str">
        <f t="shared" si="1060"/>
        <v>Base</v>
      </c>
      <c r="F12177" s="138" t="str">
        <f t="shared" si="1061"/>
        <v>Upgraded</v>
      </c>
      <c r="G12177" s="153"/>
      <c r="H12177" s="210">
        <v>7.4999999999999997E-3</v>
      </c>
      <c r="I12177" s="160" t="s">
        <v>59</v>
      </c>
      <c r="J12177" s="160">
        <v>5.0400000000000002E-3</v>
      </c>
      <c r="K12177" s="160" t="s">
        <v>23</v>
      </c>
      <c r="L12177" s="154" t="str">
        <f>IF(OpenLCAbasic!K12177="CTUh", "Fill in Manually",IF(OR(K12177="Unit", K12177=""), "", INDEX(LookUps!$E$5:$E$12, MATCH(OpenLCAbasic!K12177,LookUps!$D$5:$D$12,0))))</f>
        <v>Global Warming Potential (GWP) - kg CO2 eq</v>
      </c>
      <c r="M12177" s="154" t="str">
        <f t="shared" si="1063"/>
        <v>Base_Medium_Base_Upgraded_Global Warming Potential (GWP) - kg CO2 eq_Blend Tank; wastewater treatment unit; at updated plant - US_Without Amendment_Aerated Static Pile</v>
      </c>
    </row>
    <row r="12178" spans="1:13" s="120" customFormat="1" x14ac:dyDescent="0.25">
      <c r="A12178" s="119"/>
      <c r="B12178" s="138" t="str">
        <f t="shared" si="1058"/>
        <v>Aerated Static Pile</v>
      </c>
      <c r="C12178" s="138" t="str">
        <f t="shared" si="1059"/>
        <v>Without Amendment</v>
      </c>
      <c r="D12178" s="138" t="str">
        <f t="shared" si="1062"/>
        <v>Medium_Base</v>
      </c>
      <c r="E12178" s="138" t="str">
        <f t="shared" si="1060"/>
        <v>Base</v>
      </c>
      <c r="F12178" s="138" t="str">
        <f t="shared" si="1061"/>
        <v>Upgraded</v>
      </c>
      <c r="G12178" s="153"/>
      <c r="H12178" s="210">
        <v>3.5999999999999999E-3</v>
      </c>
      <c r="I12178" s="160" t="s">
        <v>168</v>
      </c>
      <c r="J12178" s="160">
        <v>2.4099999999999998E-3</v>
      </c>
      <c r="K12178" s="160" t="s">
        <v>23</v>
      </c>
      <c r="L12178" s="154" t="str">
        <f>IF(OpenLCAbasic!K12178="CTUh", "Fill in Manually",IF(OR(K12178="Unit", K12178=""), "", INDEX(LookUps!$E$5:$E$12, MATCH(OpenLCAbasic!K12178,LookUps!$D$5:$D$12,0))))</f>
        <v>Global Warming Potential (GWP) - kg CO2 eq</v>
      </c>
      <c r="M12178" s="154" t="str">
        <f t="shared" si="1063"/>
        <v>Base_Medium_Base_Upgraded_Global Warming Potential (GWP) - kg CO2 eq_ClearCove SCP; wastewater treatment unit; at updated plant - US_Without Amendment_Aerated Static Pile</v>
      </c>
    </row>
    <row r="12179" spans="1:13" s="120" customFormat="1" x14ac:dyDescent="0.25">
      <c r="A12179" s="119"/>
      <c r="B12179" s="138" t="str">
        <f t="shared" si="1058"/>
        <v>Aerated Static Pile</v>
      </c>
      <c r="C12179" s="138" t="str">
        <f t="shared" si="1059"/>
        <v>Without Amendment</v>
      </c>
      <c r="D12179" s="138" t="str">
        <f t="shared" si="1062"/>
        <v>Medium_Base</v>
      </c>
      <c r="E12179" s="138" t="str">
        <f t="shared" si="1060"/>
        <v>Base</v>
      </c>
      <c r="F12179" s="138" t="str">
        <f t="shared" si="1061"/>
        <v>Upgraded</v>
      </c>
      <c r="G12179" s="153"/>
      <c r="H12179" s="210">
        <v>-0.28210000000000002</v>
      </c>
      <c r="I12179" s="160" t="s">
        <v>62</v>
      </c>
      <c r="J12179" s="160">
        <v>-0.18951999999999999</v>
      </c>
      <c r="K12179" s="160" t="s">
        <v>23</v>
      </c>
      <c r="L12179" s="154" t="str">
        <f>IF(OpenLCAbasic!K12179="CTUh", "Fill in Manually",IF(OR(K12179="Unit", K12179=""), "", INDEX(LookUps!$E$5:$E$12, MATCH(OpenLCAbasic!K12179,LookUps!$D$5:$D$12,0))))</f>
        <v>Global Warming Potential (GWP) - kg CO2 eq</v>
      </c>
      <c r="M12179" s="154" t="str">
        <f t="shared" si="1063"/>
        <v>Base_Medium_Base_Upgraded_Global Warming Potential (GWP) - kg CO2 eq_Land application of compost; wastewater treatment unit; at updated plant - US_Without Amendment_Aerated Static Pile</v>
      </c>
    </row>
    <row r="12180" spans="1:13" s="120" customFormat="1" x14ac:dyDescent="0.25">
      <c r="A12180" s="119"/>
      <c r="B12180" s="138" t="str">
        <f t="shared" si="1058"/>
        <v>Aerated Static Pile</v>
      </c>
      <c r="C12180" s="138" t="str">
        <f t="shared" si="1059"/>
        <v>Without Amendment</v>
      </c>
      <c r="D12180" s="138" t="str">
        <f t="shared" si="1062"/>
        <v>Medium_Base</v>
      </c>
      <c r="E12180" s="138" t="str">
        <f t="shared" si="1060"/>
        <v>Base</v>
      </c>
      <c r="F12180" s="138" t="str">
        <f t="shared" si="1061"/>
        <v>Upgraded</v>
      </c>
      <c r="G12180" s="153"/>
      <c r="H12180" s="210">
        <v>-0.55069999999999997</v>
      </c>
      <c r="I12180" s="160" t="s">
        <v>149</v>
      </c>
      <c r="J12180" s="160">
        <v>-0.36997999999999998</v>
      </c>
      <c r="K12180" s="160" t="s">
        <v>23</v>
      </c>
      <c r="L12180" s="154" t="str">
        <f>IF(OpenLCAbasic!K12180="CTUh", "Fill in Manually",IF(OR(K12180="Unit", K12180=""), "", INDEX(LookUps!$E$5:$E$12, MATCH(OpenLCAbasic!K12180,LookUps!$D$5:$D$12,0))))</f>
        <v>Global Warming Potential (GWP) - kg CO2 eq</v>
      </c>
      <c r="M12180" s="154" t="str">
        <f t="shared" si="1063"/>
        <v>Base_Medium_Base_Upgraded_Global Warming Potential (GWP) - kg CO2 eq_Anaerobic Digestion; wastewater treatment unit; at updated plant - US_Without Amendment_Aerated Static Pile</v>
      </c>
    </row>
    <row r="12181" spans="1:13" s="120" customFormat="1" x14ac:dyDescent="0.25">
      <c r="A12181" s="119"/>
      <c r="B12181" s="138" t="str">
        <f t="shared" si="1058"/>
        <v/>
      </c>
      <c r="C12181" s="138" t="str">
        <f t="shared" si="1059"/>
        <v/>
      </c>
      <c r="D12181" s="138" t="str">
        <f t="shared" si="1062"/>
        <v/>
      </c>
      <c r="E12181" s="138" t="str">
        <f t="shared" si="1060"/>
        <v/>
      </c>
      <c r="F12181" s="138" t="str">
        <f t="shared" si="1061"/>
        <v/>
      </c>
      <c r="G12181" s="153" t="s">
        <v>51</v>
      </c>
      <c r="H12181" s="160"/>
      <c r="I12181" s="160" t="s">
        <v>47</v>
      </c>
      <c r="J12181" s="160" t="s">
        <v>52</v>
      </c>
      <c r="K12181" s="160" t="s">
        <v>27</v>
      </c>
      <c r="L12181" s="154" t="str">
        <f>IF(OpenLCAbasic!K12181="CTUh", "Fill in Manually",IF(OR(K12181="Unit", K12181=""), "", INDEX(LookUps!$E$5:$E$12, MATCH(OpenLCAbasic!K12181,LookUps!$D$5:$D$12,0))))</f>
        <v/>
      </c>
      <c r="M12181" s="154" t="str">
        <f t="shared" si="1063"/>
        <v>____Process__</v>
      </c>
    </row>
    <row r="12182" spans="1:13" s="120" customFormat="1" x14ac:dyDescent="0.25">
      <c r="A12182" s="119"/>
      <c r="B12182" s="138" t="str">
        <f t="shared" si="1058"/>
        <v>Aerated Static Pile</v>
      </c>
      <c r="C12182" s="138" t="str">
        <f t="shared" si="1059"/>
        <v>Without Amendment</v>
      </c>
      <c r="D12182" s="138" t="str">
        <f t="shared" si="1062"/>
        <v>Medium_Base</v>
      </c>
      <c r="E12182" s="138" t="str">
        <f t="shared" si="1060"/>
        <v>Base</v>
      </c>
      <c r="F12182" s="138" t="str">
        <f t="shared" si="1061"/>
        <v>Upgraded</v>
      </c>
      <c r="G12182" s="153"/>
      <c r="H12182" s="210">
        <v>0.79420000000000002</v>
      </c>
      <c r="I12182" s="160" t="s">
        <v>55</v>
      </c>
      <c r="J12182" s="160">
        <v>2.33E-3</v>
      </c>
      <c r="K12182" s="160" t="s">
        <v>145</v>
      </c>
      <c r="L12182" s="154" t="str">
        <f>IF(OpenLCAbasic!K12182="CTUh", "Fill in Manually",IF(OR(K12182="Unit", K12182=""), "", INDEX(LookUps!$E$5:$E$12, MATCH(OpenLCAbasic!K12182,LookUps!$D$5:$D$12,0))))</f>
        <v>Particulate Matter Formation Potential (PMFP) - kg PM2.5 eq</v>
      </c>
      <c r="M12182" s="154" t="str">
        <f t="shared" si="1063"/>
        <v>Base_Medium_Base_Upgraded_Particulate Matter Formation Potential (PMFP) - kg PM2.5 eq_Aeration Tanks; wastewater treatment unit; at updated plant - US_Without Amendment_Aerated Static Pile</v>
      </c>
    </row>
    <row r="12183" spans="1:13" s="120" customFormat="1" x14ac:dyDescent="0.25">
      <c r="A12183" s="119"/>
      <c r="B12183" s="138" t="str">
        <f t="shared" si="1058"/>
        <v>Aerated Static Pile</v>
      </c>
      <c r="C12183" s="138" t="str">
        <f t="shared" si="1059"/>
        <v>Without Amendment</v>
      </c>
      <c r="D12183" s="138" t="str">
        <f t="shared" si="1062"/>
        <v>Medium_Base</v>
      </c>
      <c r="E12183" s="138" t="str">
        <f t="shared" si="1060"/>
        <v>Base</v>
      </c>
      <c r="F12183" s="138" t="str">
        <f t="shared" si="1061"/>
        <v>Upgraded</v>
      </c>
      <c r="G12183" s="153"/>
      <c r="H12183" s="210">
        <v>0.2311</v>
      </c>
      <c r="I12183" s="160" t="s">
        <v>54</v>
      </c>
      <c r="J12183" s="160">
        <v>6.8000000000000005E-4</v>
      </c>
      <c r="K12183" s="160" t="s">
        <v>145</v>
      </c>
      <c r="L12183" s="154" t="str">
        <f>IF(OpenLCAbasic!K12183="CTUh", "Fill in Manually",IF(OR(K12183="Unit", K12183=""), "", INDEX(LookUps!$E$5:$E$12, MATCH(OpenLCAbasic!K12183,LookUps!$D$5:$D$12,0))))</f>
        <v>Particulate Matter Formation Potential (PMFP) - kg PM2.5 eq</v>
      </c>
      <c r="M12183" s="154" t="str">
        <f t="shared" si="1063"/>
        <v>Base_Medium_Base_Upgraded_Particulate Matter Formation Potential (PMFP) - kg PM2.5 eq_Clear Cove Primary Clarification; wastewater treatment unit; at updated plant - US_Without Amendment_Aerated Static Pile</v>
      </c>
    </row>
    <row r="12184" spans="1:13" s="120" customFormat="1" x14ac:dyDescent="0.25">
      <c r="A12184" s="119"/>
      <c r="B12184" s="138" t="str">
        <f t="shared" si="1058"/>
        <v>Aerated Static Pile</v>
      </c>
      <c r="C12184" s="138" t="str">
        <f t="shared" si="1059"/>
        <v>Without Amendment</v>
      </c>
      <c r="D12184" s="138" t="str">
        <f t="shared" si="1062"/>
        <v>Medium_Base</v>
      </c>
      <c r="E12184" s="138" t="str">
        <f t="shared" si="1060"/>
        <v>Base</v>
      </c>
      <c r="F12184" s="138" t="str">
        <f t="shared" si="1061"/>
        <v>Upgraded</v>
      </c>
      <c r="G12184" s="153"/>
      <c r="H12184" s="210">
        <v>0.20030000000000001</v>
      </c>
      <c r="I12184" s="160" t="s">
        <v>58</v>
      </c>
      <c r="J12184" s="160">
        <v>5.9000000000000003E-4</v>
      </c>
      <c r="K12184" s="160" t="s">
        <v>145</v>
      </c>
      <c r="L12184" s="154" t="str">
        <f>IF(OpenLCAbasic!K12184="CTUh", "Fill in Manually",IF(OR(K12184="Unit", K12184=""), "", INDEX(LookUps!$E$5:$E$12, MATCH(OpenLCAbasic!K12184,LookUps!$D$5:$D$12,0))))</f>
        <v>Particulate Matter Formation Potential (PMFP) - kg PM2.5 eq</v>
      </c>
      <c r="M12184" s="154" t="str">
        <f t="shared" si="1063"/>
        <v>Base_Medium_Base_Upgraded_Particulate Matter Formation Potential (PMFP) - kg PM2.5 eq_Pre-Anoxic &amp; Swing tank; wastewater treatment unit; at updated plant - US_Without Amendment_Aerated Static Pile</v>
      </c>
    </row>
    <row r="12185" spans="1:13" s="120" customFormat="1" x14ac:dyDescent="0.25">
      <c r="A12185" s="119"/>
      <c r="B12185" s="138" t="str">
        <f t="shared" si="1058"/>
        <v>Aerated Static Pile</v>
      </c>
      <c r="C12185" s="138" t="str">
        <f t="shared" si="1059"/>
        <v>Without Amendment</v>
      </c>
      <c r="D12185" s="138" t="str">
        <f t="shared" si="1062"/>
        <v>Medium_Base</v>
      </c>
      <c r="E12185" s="138" t="str">
        <f t="shared" si="1060"/>
        <v>Base</v>
      </c>
      <c r="F12185" s="138" t="str">
        <f t="shared" si="1061"/>
        <v>Upgraded</v>
      </c>
      <c r="G12185" s="153"/>
      <c r="H12185" s="210">
        <v>0.1588</v>
      </c>
      <c r="I12185" s="160" t="s">
        <v>53</v>
      </c>
      <c r="J12185" s="160">
        <v>4.6999999999999999E-4</v>
      </c>
      <c r="K12185" s="160" t="s">
        <v>145</v>
      </c>
      <c r="L12185" s="154" t="str">
        <f>IF(OpenLCAbasic!K12185="CTUh", "Fill in Manually",IF(OR(K12185="Unit", K12185=""), "", INDEX(LookUps!$E$5:$E$12, MATCH(OpenLCAbasic!K12185,LookUps!$D$5:$D$12,0))))</f>
        <v>Particulate Matter Formation Potential (PMFP) - kg PM2.5 eq</v>
      </c>
      <c r="M12185" s="154" t="str">
        <f t="shared" si="1063"/>
        <v>Base_Medium_Base_Upgraded_Particulate Matter Formation Potential (PMFP) - kg PM2.5 eq_Wet Well and Sump Station; wastewater treatment unit; at updated plant - US_Without Amendment_Aerated Static Pile</v>
      </c>
    </row>
    <row r="12186" spans="1:13" s="120" customFormat="1" x14ac:dyDescent="0.25">
      <c r="A12186" s="119"/>
      <c r="B12186" s="138" t="str">
        <f t="shared" si="1058"/>
        <v>Aerated Static Pile</v>
      </c>
      <c r="C12186" s="138" t="str">
        <f t="shared" si="1059"/>
        <v>Without Amendment</v>
      </c>
      <c r="D12186" s="138" t="str">
        <f t="shared" si="1062"/>
        <v>Medium_Base</v>
      </c>
      <c r="E12186" s="138" t="str">
        <f t="shared" si="1060"/>
        <v>Base</v>
      </c>
      <c r="F12186" s="138" t="str">
        <f t="shared" si="1061"/>
        <v>Upgraded</v>
      </c>
      <c r="G12186" s="153"/>
      <c r="H12186" s="210">
        <v>0.109</v>
      </c>
      <c r="I12186" s="160" t="s">
        <v>435</v>
      </c>
      <c r="J12186" s="160">
        <v>3.2000000000000003E-4</v>
      </c>
      <c r="K12186" s="160" t="s">
        <v>145</v>
      </c>
      <c r="L12186" s="154" t="str">
        <f>IF(OpenLCAbasic!K12186="CTUh", "Fill in Manually",IF(OR(K12186="Unit", K12186=""), "", INDEX(LookUps!$E$5:$E$12, MATCH(OpenLCAbasic!K12186,LookUps!$D$5:$D$12,0))))</f>
        <v>Particulate Matter Formation Potential (PMFP) - kg PM2.5 eq</v>
      </c>
      <c r="M12186" s="154" t="str">
        <f t="shared" si="1063"/>
        <v>Base_Medium_Base_Upgraded_Particulate Matter Formation Potential (PMFP) - kg PM2.5 eq_Biosolids composting; aerated static pile; wastewater treatment unit; at updated plant - US_Without Amendment_Aerated Static Pile</v>
      </c>
    </row>
    <row r="12187" spans="1:13" s="120" customFormat="1" x14ac:dyDescent="0.25">
      <c r="A12187" s="119"/>
      <c r="B12187" s="138" t="str">
        <f t="shared" si="1058"/>
        <v>Aerated Static Pile</v>
      </c>
      <c r="C12187" s="138" t="str">
        <f t="shared" si="1059"/>
        <v>Without Amendment</v>
      </c>
      <c r="D12187" s="138" t="str">
        <f t="shared" si="1062"/>
        <v>Medium_Base</v>
      </c>
      <c r="E12187" s="138" t="str">
        <f t="shared" si="1060"/>
        <v>Base</v>
      </c>
      <c r="F12187" s="138" t="str">
        <f t="shared" si="1061"/>
        <v>Upgraded</v>
      </c>
      <c r="G12187" s="153"/>
      <c r="H12187" s="210">
        <v>0.1071</v>
      </c>
      <c r="I12187" s="160" t="s">
        <v>167</v>
      </c>
      <c r="J12187" s="160">
        <v>3.1E-4</v>
      </c>
      <c r="K12187" s="160" t="s">
        <v>145</v>
      </c>
      <c r="L12187" s="154" t="str">
        <f>IF(OpenLCAbasic!K12187="CTUh", "Fill in Manually",IF(OR(K12187="Unit", K12187=""), "", INDEX(LookUps!$E$5:$E$12, MATCH(OpenLCAbasic!K12187,LookUps!$D$5:$D$12,0))))</f>
        <v>Particulate Matter Formation Potential (PMFP) - kg PM2.5 eq</v>
      </c>
      <c r="M12187" s="154" t="str">
        <f t="shared" si="1063"/>
        <v>Base_Medium_Base_Upgraded_Particulate Matter Formation Potential (PMFP) - kg PM2.5 eq_Waste Receiving and Holding; wastewater treatment unit; at updated plant - US_Without Amendment_Aerated Static Pile</v>
      </c>
    </row>
    <row r="12188" spans="1:13" s="120" customFormat="1" x14ac:dyDescent="0.25">
      <c r="A12188" s="119"/>
      <c r="B12188" s="138" t="str">
        <f t="shared" si="1058"/>
        <v>Aerated Static Pile</v>
      </c>
      <c r="C12188" s="138" t="str">
        <f t="shared" si="1059"/>
        <v>Without Amendment</v>
      </c>
      <c r="D12188" s="138" t="str">
        <f t="shared" si="1062"/>
        <v>Medium_Base</v>
      </c>
      <c r="E12188" s="138" t="str">
        <f t="shared" si="1060"/>
        <v>Base</v>
      </c>
      <c r="F12188" s="138" t="str">
        <f t="shared" si="1061"/>
        <v>Upgraded</v>
      </c>
      <c r="G12188" s="153"/>
      <c r="H12188" s="210">
        <v>9.0800000000000006E-2</v>
      </c>
      <c r="I12188" s="160" t="s">
        <v>147</v>
      </c>
      <c r="J12188" s="160">
        <v>2.7E-4</v>
      </c>
      <c r="K12188" s="160" t="s">
        <v>145</v>
      </c>
      <c r="L12188" s="154" t="str">
        <f>IF(OpenLCAbasic!K12188="CTUh", "Fill in Manually",IF(OR(K12188="Unit", K12188=""), "", INDEX(LookUps!$E$5:$E$12, MATCH(OpenLCAbasic!K12188,LookUps!$D$5:$D$12,0))))</f>
        <v>Particulate Matter Formation Potential (PMFP) - kg PM2.5 eq</v>
      </c>
      <c r="M12188" s="154" t="str">
        <f t="shared" si="1063"/>
        <v>Base_Medium_Base_Upgraded_Particulate Matter Formation Potential (PMFP) - kg PM2.5 eq_Influent Pump Station; wastewater treatment unit; at updated plant - US_Without Amendment_Aerated Static Pile</v>
      </c>
    </row>
    <row r="12189" spans="1:13" s="120" customFormat="1" x14ac:dyDescent="0.25">
      <c r="A12189" s="119"/>
      <c r="B12189" s="138" t="str">
        <f t="shared" si="1058"/>
        <v>Aerated Static Pile</v>
      </c>
      <c r="C12189" s="138" t="str">
        <f t="shared" si="1059"/>
        <v>Without Amendment</v>
      </c>
      <c r="D12189" s="138" t="str">
        <f t="shared" si="1062"/>
        <v>Medium_Base</v>
      </c>
      <c r="E12189" s="138" t="str">
        <f t="shared" si="1060"/>
        <v>Base</v>
      </c>
      <c r="F12189" s="138" t="str">
        <f t="shared" si="1061"/>
        <v>Upgraded</v>
      </c>
      <c r="G12189" s="153"/>
      <c r="H12189" s="210">
        <v>5.6599999999999998E-2</v>
      </c>
      <c r="I12189" s="160" t="s">
        <v>128</v>
      </c>
      <c r="J12189" s="160">
        <v>1.7000000000000001E-4</v>
      </c>
      <c r="K12189" s="160" t="s">
        <v>145</v>
      </c>
      <c r="L12189" s="154" t="str">
        <f>IF(OpenLCAbasic!K12189="CTUh", "Fill in Manually",IF(OR(K12189="Unit", K12189=""), "", INDEX(LookUps!$E$5:$E$12, MATCH(OpenLCAbasic!K12189,LookUps!$D$5:$D$12,0))))</f>
        <v>Particulate Matter Formation Potential (PMFP) - kg PM2.5 eq</v>
      </c>
      <c r="M12189" s="154" t="str">
        <f t="shared" si="1063"/>
        <v>Base_Medium_Base_Upgraded_Particulate Matter Formation Potential (PMFP) - kg PM2.5 eq_Wastewater collection; operation and infrastructure; m3 wastewater_Without Amendment_Aerated Static Pile</v>
      </c>
    </row>
    <row r="12190" spans="1:13" s="120" customFormat="1" x14ac:dyDescent="0.25">
      <c r="A12190" s="119"/>
      <c r="B12190" s="138" t="str">
        <f t="shared" si="1058"/>
        <v>Aerated Static Pile</v>
      </c>
      <c r="C12190" s="138" t="str">
        <f t="shared" si="1059"/>
        <v>Without Amendment</v>
      </c>
      <c r="D12190" s="138" t="str">
        <f t="shared" si="1062"/>
        <v>Medium_Base</v>
      </c>
      <c r="E12190" s="138" t="str">
        <f t="shared" si="1060"/>
        <v>Base</v>
      </c>
      <c r="F12190" s="138" t="str">
        <f t="shared" si="1061"/>
        <v>Upgraded</v>
      </c>
      <c r="G12190" s="153"/>
      <c r="H12190" s="210">
        <v>4.9099999999999998E-2</v>
      </c>
      <c r="I12190" s="160" t="s">
        <v>60</v>
      </c>
      <c r="J12190" s="160">
        <v>1.3999999999999999E-4</v>
      </c>
      <c r="K12190" s="160" t="s">
        <v>145</v>
      </c>
      <c r="L12190" s="154" t="str">
        <f>IF(OpenLCAbasic!K12190="CTUh", "Fill in Manually",IF(OR(K12190="Unit", K12190=""), "", INDEX(LookUps!$E$5:$E$12, MATCH(OpenLCAbasic!K12190,LookUps!$D$5:$D$12,0))))</f>
        <v>Particulate Matter Formation Potential (PMFP) - kg PM2.5 eq</v>
      </c>
      <c r="M12190" s="154" t="str">
        <f t="shared" si="1063"/>
        <v>Base_Medium_Base_Upgraded_Particulate Matter Formation Potential (PMFP) - kg PM2.5 eq_Belt filter press; wastewater treatment unit; at updated plant - US_Without Amendment_Aerated Static Pile</v>
      </c>
    </row>
    <row r="12191" spans="1:13" s="120" customFormat="1" x14ac:dyDescent="0.25">
      <c r="A12191" s="119"/>
      <c r="B12191" s="138" t="str">
        <f t="shared" si="1058"/>
        <v>Aerated Static Pile</v>
      </c>
      <c r="C12191" s="138" t="str">
        <f t="shared" si="1059"/>
        <v>Without Amendment</v>
      </c>
      <c r="D12191" s="138" t="str">
        <f t="shared" si="1062"/>
        <v>Medium_Base</v>
      </c>
      <c r="E12191" s="138" t="str">
        <f t="shared" si="1060"/>
        <v>Base</v>
      </c>
      <c r="F12191" s="138" t="str">
        <f t="shared" si="1061"/>
        <v>Upgraded</v>
      </c>
      <c r="G12191" s="153"/>
      <c r="H12191" s="210">
        <v>3.2399999999999998E-2</v>
      </c>
      <c r="I12191" s="160" t="s">
        <v>57</v>
      </c>
      <c r="J12191" s="211">
        <v>9.5153800000000004E-5</v>
      </c>
      <c r="K12191" s="160" t="s">
        <v>145</v>
      </c>
      <c r="L12191" s="154" t="str">
        <f>IF(OpenLCAbasic!K12191="CTUh", "Fill in Manually",IF(OR(K12191="Unit", K12191=""), "", INDEX(LookUps!$E$5:$E$12, MATCH(OpenLCAbasic!K12191,LookUps!$D$5:$D$12,0))))</f>
        <v>Particulate Matter Formation Potential (PMFP) - kg PM2.5 eq</v>
      </c>
      <c r="M12191" s="154" t="str">
        <f t="shared" si="1063"/>
        <v>Base_Medium_Base_Upgraded_Particulate Matter Formation Potential (PMFP) - kg PM2.5 eq_Gravity Belt Thickener; wastewater treatment unit; at updated plant - US_Without Amendment_Aerated Static Pile</v>
      </c>
    </row>
    <row r="12192" spans="1:13" s="120" customFormat="1" x14ac:dyDescent="0.25">
      <c r="A12192" s="119"/>
      <c r="B12192" s="138" t="str">
        <f t="shared" si="1058"/>
        <v>Aerated Static Pile</v>
      </c>
      <c r="C12192" s="138" t="str">
        <f t="shared" si="1059"/>
        <v>Without Amendment</v>
      </c>
      <c r="D12192" s="138" t="str">
        <f t="shared" si="1062"/>
        <v>Medium_Base</v>
      </c>
      <c r="E12192" s="138" t="str">
        <f t="shared" si="1060"/>
        <v>Base</v>
      </c>
      <c r="F12192" s="138" t="str">
        <f t="shared" si="1061"/>
        <v>Upgraded</v>
      </c>
      <c r="G12192" s="153"/>
      <c r="H12192" s="210">
        <v>2.3800000000000002E-2</v>
      </c>
      <c r="I12192" s="160" t="s">
        <v>59</v>
      </c>
      <c r="J12192" s="211">
        <v>6.9942200000000003E-5</v>
      </c>
      <c r="K12192" s="160" t="s">
        <v>145</v>
      </c>
      <c r="L12192" s="154" t="str">
        <f>IF(OpenLCAbasic!K12192="CTUh", "Fill in Manually",IF(OR(K12192="Unit", K12192=""), "", INDEX(LookUps!$E$5:$E$12, MATCH(OpenLCAbasic!K12192,LookUps!$D$5:$D$12,0))))</f>
        <v>Particulate Matter Formation Potential (PMFP) - kg PM2.5 eq</v>
      </c>
      <c r="M12192" s="154" t="str">
        <f t="shared" si="1063"/>
        <v>Base_Medium_Base_Upgraded_Particulate Matter Formation Potential (PMFP) - kg PM2.5 eq_Blend Tank; wastewater treatment unit; at updated plant - US_Without Amendment_Aerated Static Pile</v>
      </c>
    </row>
    <row r="12193" spans="1:13" s="120" customFormat="1" x14ac:dyDescent="0.25">
      <c r="A12193" s="119"/>
      <c r="B12193" s="138" t="str">
        <f t="shared" si="1058"/>
        <v>Aerated Static Pile</v>
      </c>
      <c r="C12193" s="138" t="str">
        <f t="shared" si="1059"/>
        <v>Without Amendment</v>
      </c>
      <c r="D12193" s="138" t="str">
        <f t="shared" si="1062"/>
        <v>Medium_Base</v>
      </c>
      <c r="E12193" s="138" t="str">
        <f t="shared" si="1060"/>
        <v>Base</v>
      </c>
      <c r="F12193" s="138" t="str">
        <f t="shared" si="1061"/>
        <v>Upgraded</v>
      </c>
      <c r="G12193" s="153"/>
      <c r="H12193" s="210">
        <v>1.7000000000000001E-2</v>
      </c>
      <c r="I12193" s="160" t="s">
        <v>48</v>
      </c>
      <c r="J12193" s="211">
        <v>4.99741E-5</v>
      </c>
      <c r="K12193" s="160" t="s">
        <v>145</v>
      </c>
      <c r="L12193" s="154" t="str">
        <f>IF(OpenLCAbasic!K12193="CTUh", "Fill in Manually",IF(OR(K12193="Unit", K12193=""), "", INDEX(LookUps!$E$5:$E$12, MATCH(OpenLCAbasic!K12193,LookUps!$D$5:$D$12,0))))</f>
        <v>Particulate Matter Formation Potential (PMFP) - kg PM2.5 eq</v>
      </c>
      <c r="M12193" s="154" t="str">
        <f t="shared" si="1063"/>
        <v>Base_Medium_Base_Upgraded_Particulate Matter Formation Potential (PMFP) - kg PM2.5 eq_Effluent release; wastewater treatment unit; at surface water; m3 wastewater - US_Without Amendment_Aerated Static Pile</v>
      </c>
    </row>
    <row r="12194" spans="1:13" s="120" customFormat="1" x14ac:dyDescent="0.25">
      <c r="A12194" s="119"/>
      <c r="B12194" s="138" t="str">
        <f t="shared" si="1058"/>
        <v>Aerated Static Pile</v>
      </c>
      <c r="C12194" s="138" t="str">
        <f t="shared" si="1059"/>
        <v>Without Amendment</v>
      </c>
      <c r="D12194" s="138" t="str">
        <f t="shared" si="1062"/>
        <v>Medium_Base</v>
      </c>
      <c r="E12194" s="138" t="str">
        <f t="shared" si="1060"/>
        <v>Base</v>
      </c>
      <c r="F12194" s="138" t="str">
        <f t="shared" si="1061"/>
        <v>Upgraded</v>
      </c>
      <c r="G12194" s="153"/>
      <c r="H12194" s="210">
        <v>1.38E-2</v>
      </c>
      <c r="I12194" s="160" t="s">
        <v>62</v>
      </c>
      <c r="J12194" s="211">
        <v>4.0536800000000001E-5</v>
      </c>
      <c r="K12194" s="160" t="s">
        <v>145</v>
      </c>
      <c r="L12194" s="154" t="str">
        <f>IF(OpenLCAbasic!K12194="CTUh", "Fill in Manually",IF(OR(K12194="Unit", K12194=""), "", INDEX(LookUps!$E$5:$E$12, MATCH(OpenLCAbasic!K12194,LookUps!$D$5:$D$12,0))))</f>
        <v>Particulate Matter Formation Potential (PMFP) - kg PM2.5 eq</v>
      </c>
      <c r="M12194" s="154" t="str">
        <f t="shared" si="1063"/>
        <v>Base_Medium_Base_Upgraded_Particulate Matter Formation Potential (PMFP) - kg PM2.5 eq_Land application of compost; wastewater treatment unit; at updated plant - US_Without Amendment_Aerated Static Pile</v>
      </c>
    </row>
    <row r="12195" spans="1:13" s="120" customFormat="1" x14ac:dyDescent="0.25">
      <c r="A12195" s="119"/>
      <c r="B12195" s="138" t="str">
        <f t="shared" si="1058"/>
        <v>Aerated Static Pile</v>
      </c>
      <c r="C12195" s="138" t="str">
        <f t="shared" si="1059"/>
        <v>Without Amendment</v>
      </c>
      <c r="D12195" s="138" t="str">
        <f t="shared" si="1062"/>
        <v>Medium_Base</v>
      </c>
      <c r="E12195" s="138" t="str">
        <f t="shared" si="1060"/>
        <v>Base</v>
      </c>
      <c r="F12195" s="138" t="str">
        <f t="shared" si="1061"/>
        <v>Upgraded</v>
      </c>
      <c r="G12195" s="153"/>
      <c r="H12195" s="210">
        <v>1.18E-2</v>
      </c>
      <c r="I12195" s="160" t="s">
        <v>168</v>
      </c>
      <c r="J12195" s="211">
        <v>3.4562199999999999E-5</v>
      </c>
      <c r="K12195" s="160" t="s">
        <v>145</v>
      </c>
      <c r="L12195" s="154" t="str">
        <f>IF(OpenLCAbasic!K12195="CTUh", "Fill in Manually",IF(OR(K12195="Unit", K12195=""), "", INDEX(LookUps!$E$5:$E$12, MATCH(OpenLCAbasic!K12195,LookUps!$D$5:$D$12,0))))</f>
        <v>Particulate Matter Formation Potential (PMFP) - kg PM2.5 eq</v>
      </c>
      <c r="M12195" s="154" t="str">
        <f t="shared" si="1063"/>
        <v>Base_Medium_Base_Upgraded_Particulate Matter Formation Potential (PMFP) - kg PM2.5 eq_ClearCove SCP; wastewater treatment unit; at updated plant - US_Without Amendment_Aerated Static Pile</v>
      </c>
    </row>
    <row r="12196" spans="1:13" s="120" customFormat="1" x14ac:dyDescent="0.25">
      <c r="A12196" s="119"/>
      <c r="B12196" s="138" t="str">
        <f t="shared" si="1058"/>
        <v>Aerated Static Pile</v>
      </c>
      <c r="C12196" s="138" t="str">
        <f t="shared" si="1059"/>
        <v>Without Amendment</v>
      </c>
      <c r="D12196" s="138" t="str">
        <f t="shared" si="1062"/>
        <v>Medium_Base</v>
      </c>
      <c r="E12196" s="138" t="str">
        <f t="shared" si="1060"/>
        <v>Base</v>
      </c>
      <c r="F12196" s="138" t="str">
        <f t="shared" si="1061"/>
        <v>Upgraded</v>
      </c>
      <c r="G12196" s="153"/>
      <c r="H12196" s="210">
        <v>3.0000000000000001E-3</v>
      </c>
      <c r="I12196" s="160" t="s">
        <v>148</v>
      </c>
      <c r="J12196" s="211">
        <v>8.8212999999999997E-6</v>
      </c>
      <c r="K12196" s="160" t="s">
        <v>145</v>
      </c>
      <c r="L12196" s="154" t="str">
        <f>IF(OpenLCAbasic!K12196="CTUh", "Fill in Manually",IF(OR(K12196="Unit", K12196=""), "", INDEX(LookUps!$E$5:$E$12, MATCH(OpenLCAbasic!K12196,LookUps!$D$5:$D$12,0))))</f>
        <v>Particulate Matter Formation Potential (PMFP) - kg PM2.5 eq</v>
      </c>
      <c r="M12196" s="154" t="str">
        <f t="shared" si="1063"/>
        <v>Base_Medium_Base_Upgraded_Particulate Matter Formation Potential (PMFP) - kg PM2.5 eq_Control Building; at upgraded wastewater treatment plant - US_Without Amendment_Aerated Static Pile</v>
      </c>
    </row>
    <row r="12197" spans="1:13" s="120" customFormat="1" x14ac:dyDescent="0.25">
      <c r="A12197" s="119"/>
      <c r="B12197" s="138" t="str">
        <f t="shared" si="1058"/>
        <v>Aerated Static Pile</v>
      </c>
      <c r="C12197" s="138" t="str">
        <f t="shared" si="1059"/>
        <v>Without Amendment</v>
      </c>
      <c r="D12197" s="138" t="str">
        <f t="shared" si="1062"/>
        <v>Medium_Base</v>
      </c>
      <c r="E12197" s="138" t="str">
        <f t="shared" si="1060"/>
        <v>Base</v>
      </c>
      <c r="F12197" s="138" t="str">
        <f t="shared" si="1061"/>
        <v>Upgraded</v>
      </c>
      <c r="G12197" s="153"/>
      <c r="H12197" s="210">
        <v>-0.89870000000000005</v>
      </c>
      <c r="I12197" s="160" t="s">
        <v>149</v>
      </c>
      <c r="J12197" s="160">
        <v>-2.64E-3</v>
      </c>
      <c r="K12197" s="160" t="s">
        <v>145</v>
      </c>
      <c r="L12197" s="154" t="str">
        <f>IF(OpenLCAbasic!K12197="CTUh", "Fill in Manually",IF(OR(K12197="Unit", K12197=""), "", INDEX(LookUps!$E$5:$E$12, MATCH(OpenLCAbasic!K12197,LookUps!$D$5:$D$12,0))))</f>
        <v>Particulate Matter Formation Potential (PMFP) - kg PM2.5 eq</v>
      </c>
      <c r="M12197" s="154" t="str">
        <f t="shared" si="1063"/>
        <v>Base_Medium_Base_Upgraded_Particulate Matter Formation Potential (PMFP) - kg PM2.5 eq_Anaerobic Digestion; wastewater treatment unit; at updated plant - US_Without Amendment_Aerated Static Pile</v>
      </c>
    </row>
    <row r="12198" spans="1:13" s="120" customFormat="1" x14ac:dyDescent="0.25">
      <c r="A12198" s="119"/>
      <c r="B12198" s="138" t="str">
        <f t="shared" si="1058"/>
        <v/>
      </c>
      <c r="C12198" s="138" t="str">
        <f t="shared" si="1059"/>
        <v/>
      </c>
      <c r="D12198" s="138" t="str">
        <f t="shared" si="1062"/>
        <v/>
      </c>
      <c r="E12198" s="138" t="str">
        <f t="shared" si="1060"/>
        <v/>
      </c>
      <c r="F12198" s="138" t="str">
        <f t="shared" si="1061"/>
        <v/>
      </c>
      <c r="G12198" s="153" t="s">
        <v>51</v>
      </c>
      <c r="H12198" s="160"/>
      <c r="I12198" s="160" t="s">
        <v>47</v>
      </c>
      <c r="J12198" s="160" t="s">
        <v>52</v>
      </c>
      <c r="K12198" s="160" t="s">
        <v>27</v>
      </c>
      <c r="L12198" s="154" t="str">
        <f>IF(OpenLCAbasic!K12198="CTUh", "Fill in Manually",IF(OR(K12198="Unit", K12198=""), "", INDEX(LookUps!$E$5:$E$12, MATCH(OpenLCAbasic!K12198,LookUps!$D$5:$D$12,0))))</f>
        <v/>
      </c>
      <c r="M12198" s="154" t="str">
        <f t="shared" si="1063"/>
        <v>____Process__</v>
      </c>
    </row>
    <row r="12199" spans="1:13" s="120" customFormat="1" x14ac:dyDescent="0.25">
      <c r="A12199" s="119"/>
      <c r="B12199" s="138" t="str">
        <f t="shared" si="1058"/>
        <v>Aerated Static Pile</v>
      </c>
      <c r="C12199" s="138" t="str">
        <f t="shared" si="1059"/>
        <v>Without Amendment</v>
      </c>
      <c r="D12199" s="138" t="str">
        <f t="shared" si="1062"/>
        <v>Medium_Base</v>
      </c>
      <c r="E12199" s="138" t="str">
        <f t="shared" si="1060"/>
        <v>Base</v>
      </c>
      <c r="F12199" s="138" t="str">
        <f t="shared" si="1061"/>
        <v>Upgraded</v>
      </c>
      <c r="G12199" s="153"/>
      <c r="H12199" s="210">
        <v>0.7913</v>
      </c>
      <c r="I12199" s="160" t="s">
        <v>55</v>
      </c>
      <c r="J12199" s="160">
        <v>0.16577</v>
      </c>
      <c r="K12199" s="160" t="s">
        <v>25</v>
      </c>
      <c r="L12199" s="154" t="str">
        <f>IF(OpenLCAbasic!K12199="CTUh", "Fill in Manually",IF(OR(K12199="Unit", K12199=""), "", INDEX(LookUps!$E$5:$E$12, MATCH(OpenLCAbasic!K12199,LookUps!$D$5:$D$12,0))))</f>
        <v>Smog Formation Potential (SFP) - kg O3 eq</v>
      </c>
      <c r="M12199" s="154" t="str">
        <f t="shared" si="1063"/>
        <v>Base_Medium_Base_Upgraded_Smog Formation Potential (SFP) - kg O3 eq_Aeration Tanks; wastewater treatment unit; at updated plant - US_Without Amendment_Aerated Static Pile</v>
      </c>
    </row>
    <row r="12200" spans="1:13" s="120" customFormat="1" x14ac:dyDescent="0.25">
      <c r="A12200" s="119"/>
      <c r="B12200" s="138" t="str">
        <f t="shared" si="1058"/>
        <v>Aerated Static Pile</v>
      </c>
      <c r="C12200" s="138" t="str">
        <f t="shared" si="1059"/>
        <v>Without Amendment</v>
      </c>
      <c r="D12200" s="138" t="str">
        <f t="shared" si="1062"/>
        <v>Medium_Base</v>
      </c>
      <c r="E12200" s="138" t="str">
        <f t="shared" si="1060"/>
        <v>Base</v>
      </c>
      <c r="F12200" s="138" t="str">
        <f t="shared" si="1061"/>
        <v>Upgraded</v>
      </c>
      <c r="G12200" s="153"/>
      <c r="H12200" s="210">
        <v>0.22950000000000001</v>
      </c>
      <c r="I12200" s="160" t="s">
        <v>54</v>
      </c>
      <c r="J12200" s="160">
        <v>4.8070000000000002E-2</v>
      </c>
      <c r="K12200" s="160" t="s">
        <v>25</v>
      </c>
      <c r="L12200" s="154" t="str">
        <f>IF(OpenLCAbasic!K12200="CTUh", "Fill in Manually",IF(OR(K12200="Unit", K12200=""), "", INDEX(LookUps!$E$5:$E$12, MATCH(OpenLCAbasic!K12200,LookUps!$D$5:$D$12,0))))</f>
        <v>Smog Formation Potential (SFP) - kg O3 eq</v>
      </c>
      <c r="M12200" s="154" t="str">
        <f t="shared" si="1063"/>
        <v>Base_Medium_Base_Upgraded_Smog Formation Potential (SFP) - kg O3 eq_Clear Cove Primary Clarification; wastewater treatment unit; at updated plant - US_Without Amendment_Aerated Static Pile</v>
      </c>
    </row>
    <row r="12201" spans="1:13" s="120" customFormat="1" x14ac:dyDescent="0.25">
      <c r="A12201" s="119"/>
      <c r="B12201" s="138" t="str">
        <f t="shared" ref="B12201:B12264" si="1064">IF(F12201="Legacy","n.a.",IF(F12201="","","Aerated Static Pile"))</f>
        <v>Aerated Static Pile</v>
      </c>
      <c r="C12201" s="138" t="str">
        <f t="shared" ref="C12201:C12264" si="1065">IF(ISNUMBER($J12201),"Without Amendment","")</f>
        <v>Without Amendment</v>
      </c>
      <c r="D12201" s="138" t="str">
        <f t="shared" si="1062"/>
        <v>Medium_Base</v>
      </c>
      <c r="E12201" s="138" t="str">
        <f t="shared" ref="E12201:E12264" si="1066">IF(ISNUMBER($J12201),"Base","")</f>
        <v>Base</v>
      </c>
      <c r="F12201" s="138" t="str">
        <f t="shared" ref="F12201:F12264" si="1067">IF(ISNUMBER(J12201),"Upgraded","")</f>
        <v>Upgraded</v>
      </c>
      <c r="G12201" s="153"/>
      <c r="H12201" s="210">
        <v>0.2001</v>
      </c>
      <c r="I12201" s="160" t="s">
        <v>58</v>
      </c>
      <c r="J12201" s="160">
        <v>4.1919999999999999E-2</v>
      </c>
      <c r="K12201" s="160" t="s">
        <v>25</v>
      </c>
      <c r="L12201" s="154" t="str">
        <f>IF(OpenLCAbasic!K12201="CTUh", "Fill in Manually",IF(OR(K12201="Unit", K12201=""), "", INDEX(LookUps!$E$5:$E$12, MATCH(OpenLCAbasic!K12201,LookUps!$D$5:$D$12,0))))</f>
        <v>Smog Formation Potential (SFP) - kg O3 eq</v>
      </c>
      <c r="M12201" s="154" t="str">
        <f t="shared" si="1063"/>
        <v>Base_Medium_Base_Upgraded_Smog Formation Potential (SFP) - kg O3 eq_Pre-Anoxic &amp; Swing tank; wastewater treatment unit; at updated plant - US_Without Amendment_Aerated Static Pile</v>
      </c>
    </row>
    <row r="12202" spans="1:13" s="120" customFormat="1" x14ac:dyDescent="0.25">
      <c r="A12202" s="119"/>
      <c r="B12202" s="138" t="str">
        <f t="shared" si="1064"/>
        <v>Aerated Static Pile</v>
      </c>
      <c r="C12202" s="138" t="str">
        <f t="shared" si="1065"/>
        <v>Without Amendment</v>
      </c>
      <c r="D12202" s="138" t="str">
        <f t="shared" si="1062"/>
        <v>Medium_Base</v>
      </c>
      <c r="E12202" s="138" t="str">
        <f t="shared" si="1066"/>
        <v>Base</v>
      </c>
      <c r="F12202" s="138" t="str">
        <f t="shared" si="1067"/>
        <v>Upgraded</v>
      </c>
      <c r="G12202" s="153"/>
      <c r="H12202" s="210">
        <v>0.15809999999999999</v>
      </c>
      <c r="I12202" s="160" t="s">
        <v>53</v>
      </c>
      <c r="J12202" s="160">
        <v>3.313E-2</v>
      </c>
      <c r="K12202" s="160" t="s">
        <v>25</v>
      </c>
      <c r="L12202" s="154" t="str">
        <f>IF(OpenLCAbasic!K12202="CTUh", "Fill in Manually",IF(OR(K12202="Unit", K12202=""), "", INDEX(LookUps!$E$5:$E$12, MATCH(OpenLCAbasic!K12202,LookUps!$D$5:$D$12,0))))</f>
        <v>Smog Formation Potential (SFP) - kg O3 eq</v>
      </c>
      <c r="M12202" s="154" t="str">
        <f t="shared" si="1063"/>
        <v>Base_Medium_Base_Upgraded_Smog Formation Potential (SFP) - kg O3 eq_Wet Well and Sump Station; wastewater treatment unit; at updated plant - US_Without Amendment_Aerated Static Pile</v>
      </c>
    </row>
    <row r="12203" spans="1:13" s="120" customFormat="1" x14ac:dyDescent="0.25">
      <c r="A12203" s="119"/>
      <c r="B12203" s="138" t="str">
        <f t="shared" si="1064"/>
        <v>Aerated Static Pile</v>
      </c>
      <c r="C12203" s="138" t="str">
        <f t="shared" si="1065"/>
        <v>Without Amendment</v>
      </c>
      <c r="D12203" s="138" t="str">
        <f t="shared" si="1062"/>
        <v>Medium_Base</v>
      </c>
      <c r="E12203" s="138" t="str">
        <f t="shared" si="1066"/>
        <v>Base</v>
      </c>
      <c r="F12203" s="138" t="str">
        <f t="shared" si="1067"/>
        <v>Upgraded</v>
      </c>
      <c r="G12203" s="153"/>
      <c r="H12203" s="210">
        <v>0.14660000000000001</v>
      </c>
      <c r="I12203" s="160" t="s">
        <v>167</v>
      </c>
      <c r="J12203" s="160">
        <v>3.0710000000000001E-2</v>
      </c>
      <c r="K12203" s="160" t="s">
        <v>25</v>
      </c>
      <c r="L12203" s="154" t="str">
        <f>IF(OpenLCAbasic!K12203="CTUh", "Fill in Manually",IF(OR(K12203="Unit", K12203=""), "", INDEX(LookUps!$E$5:$E$12, MATCH(OpenLCAbasic!K12203,LookUps!$D$5:$D$12,0))))</f>
        <v>Smog Formation Potential (SFP) - kg O3 eq</v>
      </c>
      <c r="M12203" s="154" t="str">
        <f t="shared" si="1063"/>
        <v>Base_Medium_Base_Upgraded_Smog Formation Potential (SFP) - kg O3 eq_Waste Receiving and Holding; wastewater treatment unit; at updated plant - US_Without Amendment_Aerated Static Pile</v>
      </c>
    </row>
    <row r="12204" spans="1:13" s="120" customFormat="1" x14ac:dyDescent="0.25">
      <c r="A12204" s="119"/>
      <c r="B12204" s="138" t="str">
        <f t="shared" si="1064"/>
        <v>Aerated Static Pile</v>
      </c>
      <c r="C12204" s="138" t="str">
        <f t="shared" si="1065"/>
        <v>Without Amendment</v>
      </c>
      <c r="D12204" s="138" t="str">
        <f t="shared" si="1062"/>
        <v>Medium_Base</v>
      </c>
      <c r="E12204" s="138" t="str">
        <f t="shared" si="1066"/>
        <v>Base</v>
      </c>
      <c r="F12204" s="138" t="str">
        <f t="shared" si="1067"/>
        <v>Upgraded</v>
      </c>
      <c r="G12204" s="153"/>
      <c r="H12204" s="210">
        <v>0.10589999999999999</v>
      </c>
      <c r="I12204" s="160" t="s">
        <v>435</v>
      </c>
      <c r="J12204" s="160">
        <v>2.2190000000000001E-2</v>
      </c>
      <c r="K12204" s="160" t="s">
        <v>25</v>
      </c>
      <c r="L12204" s="154" t="str">
        <f>IF(OpenLCAbasic!K12204="CTUh", "Fill in Manually",IF(OR(K12204="Unit", K12204=""), "", INDEX(LookUps!$E$5:$E$12, MATCH(OpenLCAbasic!K12204,LookUps!$D$5:$D$12,0))))</f>
        <v>Smog Formation Potential (SFP) - kg O3 eq</v>
      </c>
      <c r="M12204" s="154" t="str">
        <f t="shared" si="1063"/>
        <v>Base_Medium_Base_Upgraded_Smog Formation Potential (SFP) - kg O3 eq_Biosolids composting; aerated static pile; wastewater treatment unit; at updated plant - US_Without Amendment_Aerated Static Pile</v>
      </c>
    </row>
    <row r="12205" spans="1:13" s="120" customFormat="1" x14ac:dyDescent="0.25">
      <c r="A12205" s="119"/>
      <c r="B12205" s="138" t="str">
        <f t="shared" si="1064"/>
        <v>Aerated Static Pile</v>
      </c>
      <c r="C12205" s="138" t="str">
        <f t="shared" si="1065"/>
        <v>Without Amendment</v>
      </c>
      <c r="D12205" s="138" t="str">
        <f t="shared" si="1062"/>
        <v>Medium_Base</v>
      </c>
      <c r="E12205" s="138" t="str">
        <f t="shared" si="1066"/>
        <v>Base</v>
      </c>
      <c r="F12205" s="138" t="str">
        <f t="shared" si="1067"/>
        <v>Upgraded</v>
      </c>
      <c r="G12205" s="153"/>
      <c r="H12205" s="210">
        <v>9.2600000000000002E-2</v>
      </c>
      <c r="I12205" s="160" t="s">
        <v>147</v>
      </c>
      <c r="J12205" s="160">
        <v>1.9400000000000001E-2</v>
      </c>
      <c r="K12205" s="160" t="s">
        <v>25</v>
      </c>
      <c r="L12205" s="154" t="str">
        <f>IF(OpenLCAbasic!K12205="CTUh", "Fill in Manually",IF(OR(K12205="Unit", K12205=""), "", INDEX(LookUps!$E$5:$E$12, MATCH(OpenLCAbasic!K12205,LookUps!$D$5:$D$12,0))))</f>
        <v>Smog Formation Potential (SFP) - kg O3 eq</v>
      </c>
      <c r="M12205" s="154" t="str">
        <f t="shared" si="1063"/>
        <v>Base_Medium_Base_Upgraded_Smog Formation Potential (SFP) - kg O3 eq_Influent Pump Station; wastewater treatment unit; at updated plant - US_Without Amendment_Aerated Static Pile</v>
      </c>
    </row>
    <row r="12206" spans="1:13" s="120" customFormat="1" x14ac:dyDescent="0.25">
      <c r="A12206" s="119"/>
      <c r="B12206" s="138" t="str">
        <f t="shared" si="1064"/>
        <v>Aerated Static Pile</v>
      </c>
      <c r="C12206" s="138" t="str">
        <f t="shared" si="1065"/>
        <v>Without Amendment</v>
      </c>
      <c r="D12206" s="138" t="str">
        <f t="shared" si="1062"/>
        <v>Medium_Base</v>
      </c>
      <c r="E12206" s="138" t="str">
        <f t="shared" si="1066"/>
        <v>Base</v>
      </c>
      <c r="F12206" s="138" t="str">
        <f t="shared" si="1067"/>
        <v>Upgraded</v>
      </c>
      <c r="G12206" s="153"/>
      <c r="H12206" s="210">
        <v>5.6899999999999999E-2</v>
      </c>
      <c r="I12206" s="160" t="s">
        <v>128</v>
      </c>
      <c r="J12206" s="160">
        <v>1.192E-2</v>
      </c>
      <c r="K12206" s="160" t="s">
        <v>25</v>
      </c>
      <c r="L12206" s="154" t="str">
        <f>IF(OpenLCAbasic!K12206="CTUh", "Fill in Manually",IF(OR(K12206="Unit", K12206=""), "", INDEX(LookUps!$E$5:$E$12, MATCH(OpenLCAbasic!K12206,LookUps!$D$5:$D$12,0))))</f>
        <v>Smog Formation Potential (SFP) - kg O3 eq</v>
      </c>
      <c r="M12206" s="154" t="str">
        <f t="shared" si="1063"/>
        <v>Base_Medium_Base_Upgraded_Smog Formation Potential (SFP) - kg O3 eq_Wastewater collection; operation and infrastructure; m3 wastewater_Without Amendment_Aerated Static Pile</v>
      </c>
    </row>
    <row r="12207" spans="1:13" s="120" customFormat="1" x14ac:dyDescent="0.25">
      <c r="A12207" s="119"/>
      <c r="B12207" s="138" t="str">
        <f t="shared" si="1064"/>
        <v>Aerated Static Pile</v>
      </c>
      <c r="C12207" s="138" t="str">
        <f t="shared" si="1065"/>
        <v>Without Amendment</v>
      </c>
      <c r="D12207" s="138" t="str">
        <f t="shared" si="1062"/>
        <v>Medium_Base</v>
      </c>
      <c r="E12207" s="138" t="str">
        <f t="shared" si="1066"/>
        <v>Base</v>
      </c>
      <c r="F12207" s="138" t="str">
        <f t="shared" si="1067"/>
        <v>Upgraded</v>
      </c>
      <c r="G12207" s="153"/>
      <c r="H12207" s="210">
        <v>4.8399999999999999E-2</v>
      </c>
      <c r="I12207" s="160" t="s">
        <v>60</v>
      </c>
      <c r="J12207" s="160">
        <v>1.014E-2</v>
      </c>
      <c r="K12207" s="160" t="s">
        <v>25</v>
      </c>
      <c r="L12207" s="154" t="str">
        <f>IF(OpenLCAbasic!K12207="CTUh", "Fill in Manually",IF(OR(K12207="Unit", K12207=""), "", INDEX(LookUps!$E$5:$E$12, MATCH(OpenLCAbasic!K12207,LookUps!$D$5:$D$12,0))))</f>
        <v>Smog Formation Potential (SFP) - kg O3 eq</v>
      </c>
      <c r="M12207" s="154" t="str">
        <f t="shared" si="1063"/>
        <v>Base_Medium_Base_Upgraded_Smog Formation Potential (SFP) - kg O3 eq_Belt filter press; wastewater treatment unit; at updated plant - US_Without Amendment_Aerated Static Pile</v>
      </c>
    </row>
    <row r="12208" spans="1:13" s="120" customFormat="1" x14ac:dyDescent="0.25">
      <c r="A12208" s="119"/>
      <c r="B12208" s="138" t="str">
        <f t="shared" si="1064"/>
        <v>Aerated Static Pile</v>
      </c>
      <c r="C12208" s="138" t="str">
        <f t="shared" si="1065"/>
        <v>Without Amendment</v>
      </c>
      <c r="D12208" s="138" t="str">
        <f t="shared" si="1062"/>
        <v>Medium_Base</v>
      </c>
      <c r="E12208" s="138" t="str">
        <f t="shared" si="1066"/>
        <v>Base</v>
      </c>
      <c r="F12208" s="138" t="str">
        <f t="shared" si="1067"/>
        <v>Upgraded</v>
      </c>
      <c r="G12208" s="153"/>
      <c r="H12208" s="210">
        <v>3.1800000000000002E-2</v>
      </c>
      <c r="I12208" s="160" t="s">
        <v>57</v>
      </c>
      <c r="J12208" s="160">
        <v>6.6499999999999997E-3</v>
      </c>
      <c r="K12208" s="160" t="s">
        <v>25</v>
      </c>
      <c r="L12208" s="154" t="str">
        <f>IF(OpenLCAbasic!K12208="CTUh", "Fill in Manually",IF(OR(K12208="Unit", K12208=""), "", INDEX(LookUps!$E$5:$E$12, MATCH(OpenLCAbasic!K12208,LookUps!$D$5:$D$12,0))))</f>
        <v>Smog Formation Potential (SFP) - kg O3 eq</v>
      </c>
      <c r="M12208" s="154" t="str">
        <f t="shared" si="1063"/>
        <v>Base_Medium_Base_Upgraded_Smog Formation Potential (SFP) - kg O3 eq_Gravity Belt Thickener; wastewater treatment unit; at updated plant - US_Without Amendment_Aerated Static Pile</v>
      </c>
    </row>
    <row r="12209" spans="1:13" s="120" customFormat="1" x14ac:dyDescent="0.25">
      <c r="A12209" s="119"/>
      <c r="B12209" s="138" t="str">
        <f t="shared" si="1064"/>
        <v>Aerated Static Pile</v>
      </c>
      <c r="C12209" s="138" t="str">
        <f t="shared" si="1065"/>
        <v>Without Amendment</v>
      </c>
      <c r="D12209" s="138" t="str">
        <f t="shared" si="1062"/>
        <v>Medium_Base</v>
      </c>
      <c r="E12209" s="138" t="str">
        <f t="shared" si="1066"/>
        <v>Base</v>
      </c>
      <c r="F12209" s="138" t="str">
        <f t="shared" si="1067"/>
        <v>Upgraded</v>
      </c>
      <c r="G12209" s="153"/>
      <c r="H12209" s="210">
        <v>2.3699999999999999E-2</v>
      </c>
      <c r="I12209" s="160" t="s">
        <v>59</v>
      </c>
      <c r="J12209" s="160">
        <v>4.9699999999999996E-3</v>
      </c>
      <c r="K12209" s="160" t="s">
        <v>25</v>
      </c>
      <c r="L12209" s="154" t="str">
        <f>IF(OpenLCAbasic!K12209="CTUh", "Fill in Manually",IF(OR(K12209="Unit", K12209=""), "", INDEX(LookUps!$E$5:$E$12, MATCH(OpenLCAbasic!K12209,LookUps!$D$5:$D$12,0))))</f>
        <v>Smog Formation Potential (SFP) - kg O3 eq</v>
      </c>
      <c r="M12209" s="154" t="str">
        <f t="shared" si="1063"/>
        <v>Base_Medium_Base_Upgraded_Smog Formation Potential (SFP) - kg O3 eq_Blend Tank; wastewater treatment unit; at updated plant - US_Without Amendment_Aerated Static Pile</v>
      </c>
    </row>
    <row r="12210" spans="1:13" s="120" customFormat="1" x14ac:dyDescent="0.25">
      <c r="A12210" s="119"/>
      <c r="B12210" s="138" t="str">
        <f t="shared" si="1064"/>
        <v>Aerated Static Pile</v>
      </c>
      <c r="C12210" s="138" t="str">
        <f t="shared" si="1065"/>
        <v>Without Amendment</v>
      </c>
      <c r="D12210" s="138" t="str">
        <f t="shared" si="1062"/>
        <v>Medium_Base</v>
      </c>
      <c r="E12210" s="138" t="str">
        <f t="shared" si="1066"/>
        <v>Base</v>
      </c>
      <c r="F12210" s="138" t="str">
        <f t="shared" si="1067"/>
        <v>Upgraded</v>
      </c>
      <c r="G12210" s="153"/>
      <c r="H12210" s="210">
        <v>1.6199999999999999E-2</v>
      </c>
      <c r="I12210" s="160" t="s">
        <v>48</v>
      </c>
      <c r="J12210" s="160">
        <v>3.3899999999999998E-3</v>
      </c>
      <c r="K12210" s="160" t="s">
        <v>25</v>
      </c>
      <c r="L12210" s="154" t="str">
        <f>IF(OpenLCAbasic!K12210="CTUh", "Fill in Manually",IF(OR(K12210="Unit", K12210=""), "", INDEX(LookUps!$E$5:$E$12, MATCH(OpenLCAbasic!K12210,LookUps!$D$5:$D$12,0))))</f>
        <v>Smog Formation Potential (SFP) - kg O3 eq</v>
      </c>
      <c r="M12210" s="154" t="str">
        <f t="shared" si="1063"/>
        <v>Base_Medium_Base_Upgraded_Smog Formation Potential (SFP) - kg O3 eq_Effluent release; wastewater treatment unit; at surface water; m3 wastewater - US_Without Amendment_Aerated Static Pile</v>
      </c>
    </row>
    <row r="12211" spans="1:13" s="120" customFormat="1" x14ac:dyDescent="0.25">
      <c r="A12211" s="119"/>
      <c r="B12211" s="138" t="str">
        <f t="shared" si="1064"/>
        <v>Aerated Static Pile</v>
      </c>
      <c r="C12211" s="138" t="str">
        <f t="shared" si="1065"/>
        <v>Without Amendment</v>
      </c>
      <c r="D12211" s="138" t="str">
        <f t="shared" si="1062"/>
        <v>Medium_Base</v>
      </c>
      <c r="E12211" s="138" t="str">
        <f t="shared" si="1066"/>
        <v>Base</v>
      </c>
      <c r="F12211" s="138" t="str">
        <f t="shared" si="1067"/>
        <v>Upgraded</v>
      </c>
      <c r="G12211" s="153"/>
      <c r="H12211" s="210">
        <v>1.17E-2</v>
      </c>
      <c r="I12211" s="160" t="s">
        <v>168</v>
      </c>
      <c r="J12211" s="160">
        <v>2.4599999999999999E-3</v>
      </c>
      <c r="K12211" s="160" t="s">
        <v>25</v>
      </c>
      <c r="L12211" s="154" t="str">
        <f>IF(OpenLCAbasic!K12211="CTUh", "Fill in Manually",IF(OR(K12211="Unit", K12211=""), "", INDEX(LookUps!$E$5:$E$12, MATCH(OpenLCAbasic!K12211,LookUps!$D$5:$D$12,0))))</f>
        <v>Smog Formation Potential (SFP) - kg O3 eq</v>
      </c>
      <c r="M12211" s="154" t="str">
        <f t="shared" si="1063"/>
        <v>Base_Medium_Base_Upgraded_Smog Formation Potential (SFP) - kg O3 eq_ClearCove SCP; wastewater treatment unit; at updated plant - US_Without Amendment_Aerated Static Pile</v>
      </c>
    </row>
    <row r="12212" spans="1:13" s="120" customFormat="1" x14ac:dyDescent="0.25">
      <c r="A12212" s="119"/>
      <c r="B12212" s="138" t="str">
        <f t="shared" si="1064"/>
        <v>Aerated Static Pile</v>
      </c>
      <c r="C12212" s="138" t="str">
        <f t="shared" si="1065"/>
        <v>Without Amendment</v>
      </c>
      <c r="D12212" s="138" t="str">
        <f t="shared" si="1062"/>
        <v>Medium_Base</v>
      </c>
      <c r="E12212" s="138" t="str">
        <f t="shared" si="1066"/>
        <v>Base</v>
      </c>
      <c r="F12212" s="138" t="str">
        <f t="shared" si="1067"/>
        <v>Upgraded</v>
      </c>
      <c r="G12212" s="153"/>
      <c r="H12212" s="210">
        <v>2.5999999999999999E-3</v>
      </c>
      <c r="I12212" s="160" t="s">
        <v>148</v>
      </c>
      <c r="J12212" s="160">
        <v>5.4000000000000001E-4</v>
      </c>
      <c r="K12212" s="160" t="s">
        <v>25</v>
      </c>
      <c r="L12212" s="154" t="str">
        <f>IF(OpenLCAbasic!K12212="CTUh", "Fill in Manually",IF(OR(K12212="Unit", K12212=""), "", INDEX(LookUps!$E$5:$E$12, MATCH(OpenLCAbasic!K12212,LookUps!$D$5:$D$12,0))))</f>
        <v>Smog Formation Potential (SFP) - kg O3 eq</v>
      </c>
      <c r="M12212" s="154" t="str">
        <f t="shared" si="1063"/>
        <v>Base_Medium_Base_Upgraded_Smog Formation Potential (SFP) - kg O3 eq_Control Building; at upgraded wastewater treatment plant - US_Without Amendment_Aerated Static Pile</v>
      </c>
    </row>
    <row r="12213" spans="1:13" s="120" customFormat="1" x14ac:dyDescent="0.25">
      <c r="A12213" s="119"/>
      <c r="B12213" s="138" t="str">
        <f t="shared" si="1064"/>
        <v>Aerated Static Pile</v>
      </c>
      <c r="C12213" s="138" t="str">
        <f t="shared" si="1065"/>
        <v>Without Amendment</v>
      </c>
      <c r="D12213" s="138" t="str">
        <f t="shared" si="1062"/>
        <v>Medium_Base</v>
      </c>
      <c r="E12213" s="138" t="str">
        <f t="shared" si="1066"/>
        <v>Base</v>
      </c>
      <c r="F12213" s="138" t="str">
        <f t="shared" si="1067"/>
        <v>Upgraded</v>
      </c>
      <c r="G12213" s="153"/>
      <c r="H12213" s="210">
        <v>-1.15E-2</v>
      </c>
      <c r="I12213" s="160" t="s">
        <v>62</v>
      </c>
      <c r="J12213" s="160">
        <v>-2.3999999999999998E-3</v>
      </c>
      <c r="K12213" s="160" t="s">
        <v>25</v>
      </c>
      <c r="L12213" s="154" t="str">
        <f>IF(OpenLCAbasic!K12213="CTUh", "Fill in Manually",IF(OR(K12213="Unit", K12213=""), "", INDEX(LookUps!$E$5:$E$12, MATCH(OpenLCAbasic!K12213,LookUps!$D$5:$D$12,0))))</f>
        <v>Smog Formation Potential (SFP) - kg O3 eq</v>
      </c>
      <c r="M12213" s="154" t="str">
        <f t="shared" si="1063"/>
        <v>Base_Medium_Base_Upgraded_Smog Formation Potential (SFP) - kg O3 eq_Land application of compost; wastewater treatment unit; at updated plant - US_Without Amendment_Aerated Static Pile</v>
      </c>
    </row>
    <row r="12214" spans="1:13" s="120" customFormat="1" x14ac:dyDescent="0.25">
      <c r="A12214" s="119"/>
      <c r="B12214" s="138" t="str">
        <f t="shared" si="1064"/>
        <v>Aerated Static Pile</v>
      </c>
      <c r="C12214" s="138" t="str">
        <f t="shared" si="1065"/>
        <v>Without Amendment</v>
      </c>
      <c r="D12214" s="138" t="str">
        <f t="shared" si="1062"/>
        <v>Medium_Base</v>
      </c>
      <c r="E12214" s="138" t="str">
        <f t="shared" si="1066"/>
        <v>Base</v>
      </c>
      <c r="F12214" s="138" t="str">
        <f t="shared" si="1067"/>
        <v>Upgraded</v>
      </c>
      <c r="G12214" s="153"/>
      <c r="H12214" s="210">
        <v>-0.90390000000000004</v>
      </c>
      <c r="I12214" s="160" t="s">
        <v>149</v>
      </c>
      <c r="J12214" s="160">
        <v>-0.18936</v>
      </c>
      <c r="K12214" s="160" t="s">
        <v>25</v>
      </c>
      <c r="L12214" s="154" t="str">
        <f>IF(OpenLCAbasic!K12214="CTUh", "Fill in Manually",IF(OR(K12214="Unit", K12214=""), "", INDEX(LookUps!$E$5:$E$12, MATCH(OpenLCAbasic!K12214,LookUps!$D$5:$D$12,0))))</f>
        <v>Smog Formation Potential (SFP) - kg O3 eq</v>
      </c>
      <c r="M12214" s="154" t="str">
        <f t="shared" si="1063"/>
        <v>Base_Medium_Base_Upgraded_Smog Formation Potential (SFP) - kg O3 eq_Anaerobic Digestion; wastewater treatment unit; at updated plant - US_Without Amendment_Aerated Static Pile</v>
      </c>
    </row>
    <row r="12215" spans="1:13" s="120" customFormat="1" x14ac:dyDescent="0.25">
      <c r="A12215" s="119"/>
      <c r="B12215" s="138" t="str">
        <f t="shared" si="1064"/>
        <v/>
      </c>
      <c r="C12215" s="138" t="str">
        <f t="shared" si="1065"/>
        <v/>
      </c>
      <c r="D12215" s="138" t="str">
        <f t="shared" si="1062"/>
        <v/>
      </c>
      <c r="E12215" s="138" t="str">
        <f t="shared" si="1066"/>
        <v/>
      </c>
      <c r="F12215" s="138" t="str">
        <f t="shared" si="1067"/>
        <v/>
      </c>
      <c r="G12215" s="153" t="s">
        <v>51</v>
      </c>
      <c r="H12215" s="160"/>
      <c r="I12215" s="160" t="s">
        <v>47</v>
      </c>
      <c r="J12215" s="160" t="s">
        <v>52</v>
      </c>
      <c r="K12215" s="160" t="s">
        <v>27</v>
      </c>
      <c r="L12215" s="154" t="str">
        <f>IF(OpenLCAbasic!K12215="CTUh", "Fill in Manually",IF(OR(K12215="Unit", K12215=""), "", INDEX(LookUps!$E$5:$E$12, MATCH(OpenLCAbasic!K12215,LookUps!$D$5:$D$12,0))))</f>
        <v/>
      </c>
      <c r="M12215" s="154" t="str">
        <f t="shared" si="1063"/>
        <v>____Process__</v>
      </c>
    </row>
    <row r="12216" spans="1:13" s="120" customFormat="1" x14ac:dyDescent="0.25">
      <c r="A12216" s="119"/>
      <c r="B12216" s="138" t="str">
        <f t="shared" si="1064"/>
        <v>Aerated Static Pile</v>
      </c>
      <c r="C12216" s="138" t="str">
        <f t="shared" si="1065"/>
        <v>Without Amendment</v>
      </c>
      <c r="D12216" s="138" t="str">
        <f t="shared" si="1062"/>
        <v>Medium_Base</v>
      </c>
      <c r="E12216" s="138" t="str">
        <f t="shared" si="1066"/>
        <v>Base</v>
      </c>
      <c r="F12216" s="138" t="str">
        <f t="shared" si="1067"/>
        <v>Upgraded</v>
      </c>
      <c r="G12216" s="153"/>
      <c r="H12216" s="210">
        <v>1.8036000000000001</v>
      </c>
      <c r="I12216" s="160" t="s">
        <v>167</v>
      </c>
      <c r="J12216" s="160">
        <v>2.7999999999999998E-4</v>
      </c>
      <c r="K12216" s="160" t="s">
        <v>26</v>
      </c>
      <c r="L12216" s="154" t="str">
        <f>IF(OpenLCAbasic!K12216="CTUh", "Fill in Manually",IF(OR(K12216="Unit", K12216=""), "", INDEX(LookUps!$E$5:$E$12, MATCH(OpenLCAbasic!K12216,LookUps!$D$5:$D$12,0))))</f>
        <v>Water Use (WU) - m3 H2O</v>
      </c>
      <c r="M12216" s="154" t="str">
        <f t="shared" si="1063"/>
        <v>Base_Medium_Base_Upgraded_Water Use (WU) - m3 H2O_Waste Receiving and Holding; wastewater treatment unit; at updated plant - US_Without Amendment_Aerated Static Pile</v>
      </c>
    </row>
    <row r="12217" spans="1:13" s="120" customFormat="1" x14ac:dyDescent="0.25">
      <c r="A12217" s="119"/>
      <c r="B12217" s="138" t="str">
        <f t="shared" si="1064"/>
        <v>Aerated Static Pile</v>
      </c>
      <c r="C12217" s="138" t="str">
        <f t="shared" si="1065"/>
        <v>Without Amendment</v>
      </c>
      <c r="D12217" s="138" t="str">
        <f t="shared" si="1062"/>
        <v>Medium_Base</v>
      </c>
      <c r="E12217" s="138" t="str">
        <f t="shared" si="1066"/>
        <v>Base</v>
      </c>
      <c r="F12217" s="138" t="str">
        <f t="shared" si="1067"/>
        <v>Upgraded</v>
      </c>
      <c r="G12217" s="153"/>
      <c r="H12217" s="210">
        <v>1.1773</v>
      </c>
      <c r="I12217" s="160" t="s">
        <v>147</v>
      </c>
      <c r="J12217" s="160">
        <v>1.8000000000000001E-4</v>
      </c>
      <c r="K12217" s="160" t="s">
        <v>26</v>
      </c>
      <c r="L12217" s="154" t="str">
        <f>IF(OpenLCAbasic!K12217="CTUh", "Fill in Manually",IF(OR(K12217="Unit", K12217=""), "", INDEX(LookUps!$E$5:$E$12, MATCH(OpenLCAbasic!K12217,LookUps!$D$5:$D$12,0))))</f>
        <v>Water Use (WU) - m3 H2O</v>
      </c>
      <c r="M12217" s="154" t="str">
        <f t="shared" si="1063"/>
        <v>Base_Medium_Base_Upgraded_Water Use (WU) - m3 H2O_Influent Pump Station; wastewater treatment unit; at updated plant - US_Without Amendment_Aerated Static Pile</v>
      </c>
    </row>
    <row r="12218" spans="1:13" s="120" customFormat="1" x14ac:dyDescent="0.25">
      <c r="A12218" s="119"/>
      <c r="B12218" s="138" t="str">
        <f t="shared" si="1064"/>
        <v>Aerated Static Pile</v>
      </c>
      <c r="C12218" s="138" t="str">
        <f t="shared" si="1065"/>
        <v>Without Amendment</v>
      </c>
      <c r="D12218" s="138" t="str">
        <f t="shared" si="1062"/>
        <v>Medium_Base</v>
      </c>
      <c r="E12218" s="138" t="str">
        <f t="shared" si="1066"/>
        <v>Base</v>
      </c>
      <c r="F12218" s="138" t="str">
        <f t="shared" si="1067"/>
        <v>Upgraded</v>
      </c>
      <c r="G12218" s="153"/>
      <c r="H12218" s="210">
        <v>1.1487000000000001</v>
      </c>
      <c r="I12218" s="160" t="s">
        <v>54</v>
      </c>
      <c r="J12218" s="160">
        <v>1.8000000000000001E-4</v>
      </c>
      <c r="K12218" s="160" t="s">
        <v>26</v>
      </c>
      <c r="L12218" s="154" t="str">
        <f>IF(OpenLCAbasic!K12218="CTUh", "Fill in Manually",IF(OR(K12218="Unit", K12218=""), "", INDEX(LookUps!$E$5:$E$12, MATCH(OpenLCAbasic!K12218,LookUps!$D$5:$D$12,0))))</f>
        <v>Water Use (WU) - m3 H2O</v>
      </c>
      <c r="M12218" s="154" t="str">
        <f t="shared" si="1063"/>
        <v>Base_Medium_Base_Upgraded_Water Use (WU) - m3 H2O_Clear Cove Primary Clarification; wastewater treatment unit; at updated plant - US_Without Amendment_Aerated Static Pile</v>
      </c>
    </row>
    <row r="12219" spans="1:13" s="120" customFormat="1" x14ac:dyDescent="0.25">
      <c r="A12219" s="119"/>
      <c r="B12219" s="138" t="str">
        <f t="shared" si="1064"/>
        <v>Aerated Static Pile</v>
      </c>
      <c r="C12219" s="138" t="str">
        <f t="shared" si="1065"/>
        <v>Without Amendment</v>
      </c>
      <c r="D12219" s="138" t="str">
        <f t="shared" si="1062"/>
        <v>Medium_Base</v>
      </c>
      <c r="E12219" s="138" t="str">
        <f t="shared" si="1066"/>
        <v>Base</v>
      </c>
      <c r="F12219" s="138" t="str">
        <f t="shared" si="1067"/>
        <v>Upgraded</v>
      </c>
      <c r="G12219" s="153"/>
      <c r="H12219" s="210">
        <v>1.0421</v>
      </c>
      <c r="I12219" s="160" t="s">
        <v>55</v>
      </c>
      <c r="J12219" s="160">
        <v>1.6000000000000001E-4</v>
      </c>
      <c r="K12219" s="160" t="s">
        <v>26</v>
      </c>
      <c r="L12219" s="154" t="str">
        <f>IF(OpenLCAbasic!K12219="CTUh", "Fill in Manually",IF(OR(K12219="Unit", K12219=""), "", INDEX(LookUps!$E$5:$E$12, MATCH(OpenLCAbasic!K12219,LookUps!$D$5:$D$12,0))))</f>
        <v>Water Use (WU) - m3 H2O</v>
      </c>
      <c r="M12219" s="154" t="str">
        <f t="shared" si="1063"/>
        <v>Base_Medium_Base_Upgraded_Water Use (WU) - m3 H2O_Aeration Tanks; wastewater treatment unit; at updated plant - US_Without Amendment_Aerated Static Pile</v>
      </c>
    </row>
    <row r="12220" spans="1:13" s="120" customFormat="1" x14ac:dyDescent="0.25">
      <c r="A12220" s="119"/>
      <c r="B12220" s="138" t="str">
        <f t="shared" si="1064"/>
        <v>Aerated Static Pile</v>
      </c>
      <c r="C12220" s="138" t="str">
        <f t="shared" si="1065"/>
        <v>Without Amendment</v>
      </c>
      <c r="D12220" s="138" t="str">
        <f t="shared" si="1062"/>
        <v>Medium_Base</v>
      </c>
      <c r="E12220" s="138" t="str">
        <f t="shared" si="1066"/>
        <v>Base</v>
      </c>
      <c r="F12220" s="138" t="str">
        <f t="shared" si="1067"/>
        <v>Upgraded</v>
      </c>
      <c r="G12220" s="153"/>
      <c r="H12220" s="210">
        <v>0.94920000000000004</v>
      </c>
      <c r="I12220" s="160" t="s">
        <v>148</v>
      </c>
      <c r="J12220" s="160">
        <v>1.4999999999999999E-4</v>
      </c>
      <c r="K12220" s="160" t="s">
        <v>26</v>
      </c>
      <c r="L12220" s="154" t="str">
        <f>IF(OpenLCAbasic!K12220="CTUh", "Fill in Manually",IF(OR(K12220="Unit", K12220=""), "", INDEX(LookUps!$E$5:$E$12, MATCH(OpenLCAbasic!K12220,LookUps!$D$5:$D$12,0))))</f>
        <v>Water Use (WU) - m3 H2O</v>
      </c>
      <c r="M12220" s="154" t="str">
        <f t="shared" si="1063"/>
        <v>Base_Medium_Base_Upgraded_Water Use (WU) - m3 H2O_Control Building; at upgraded wastewater treatment plant - US_Without Amendment_Aerated Static Pile</v>
      </c>
    </row>
    <row r="12221" spans="1:13" s="120" customFormat="1" x14ac:dyDescent="0.25">
      <c r="A12221" s="119"/>
      <c r="B12221" s="138" t="str">
        <f t="shared" si="1064"/>
        <v>Aerated Static Pile</v>
      </c>
      <c r="C12221" s="138" t="str">
        <f t="shared" si="1065"/>
        <v>Without Amendment</v>
      </c>
      <c r="D12221" s="138" t="str">
        <f t="shared" si="1062"/>
        <v>Medium_Base</v>
      </c>
      <c r="E12221" s="138" t="str">
        <f t="shared" si="1066"/>
        <v>Base</v>
      </c>
      <c r="F12221" s="138" t="str">
        <f t="shared" si="1067"/>
        <v>Upgraded</v>
      </c>
      <c r="G12221" s="153"/>
      <c r="H12221" s="210">
        <v>0.44080000000000003</v>
      </c>
      <c r="I12221" s="160" t="s">
        <v>48</v>
      </c>
      <c r="J12221" s="211">
        <v>6.8836400000000004E-5</v>
      </c>
      <c r="K12221" s="160" t="s">
        <v>26</v>
      </c>
      <c r="L12221" s="154" t="str">
        <f>IF(OpenLCAbasic!K12221="CTUh", "Fill in Manually",IF(OR(K12221="Unit", K12221=""), "", INDEX(LookUps!$E$5:$E$12, MATCH(OpenLCAbasic!K12221,LookUps!$D$5:$D$12,0))))</f>
        <v>Water Use (WU) - m3 H2O</v>
      </c>
      <c r="M12221" s="154" t="str">
        <f t="shared" si="1063"/>
        <v>Base_Medium_Base_Upgraded_Water Use (WU) - m3 H2O_Effluent release; wastewater treatment unit; at surface water; m3 wastewater - US_Without Amendment_Aerated Static Pile</v>
      </c>
    </row>
    <row r="12222" spans="1:13" s="120" customFormat="1" x14ac:dyDescent="0.25">
      <c r="A12222" s="119"/>
      <c r="B12222" s="138" t="str">
        <f t="shared" si="1064"/>
        <v>Aerated Static Pile</v>
      </c>
      <c r="C12222" s="138" t="str">
        <f t="shared" si="1065"/>
        <v>Without Amendment</v>
      </c>
      <c r="D12222" s="138" t="str">
        <f t="shared" si="1062"/>
        <v>Medium_Base</v>
      </c>
      <c r="E12222" s="138" t="str">
        <f t="shared" si="1066"/>
        <v>Base</v>
      </c>
      <c r="F12222" s="138" t="str">
        <f t="shared" si="1067"/>
        <v>Upgraded</v>
      </c>
      <c r="G12222" s="153"/>
      <c r="H12222" s="210">
        <v>0.27689999999999998</v>
      </c>
      <c r="I12222" s="160" t="s">
        <v>58</v>
      </c>
      <c r="J12222" s="211">
        <v>4.3235300000000003E-5</v>
      </c>
      <c r="K12222" s="160" t="s">
        <v>26</v>
      </c>
      <c r="L12222" s="154" t="str">
        <f>IF(OpenLCAbasic!K12222="CTUh", "Fill in Manually",IF(OR(K12222="Unit", K12222=""), "", INDEX(LookUps!$E$5:$E$12, MATCH(OpenLCAbasic!K12222,LookUps!$D$5:$D$12,0))))</f>
        <v>Water Use (WU) - m3 H2O</v>
      </c>
      <c r="M12222" s="154" t="str">
        <f t="shared" si="1063"/>
        <v>Base_Medium_Base_Upgraded_Water Use (WU) - m3 H2O_Pre-Anoxic &amp; Swing tank; wastewater treatment unit; at updated plant - US_Without Amendment_Aerated Static Pile</v>
      </c>
    </row>
    <row r="12223" spans="1:13" s="120" customFormat="1" x14ac:dyDescent="0.25">
      <c r="A12223" s="119"/>
      <c r="B12223" s="138" t="str">
        <f t="shared" si="1064"/>
        <v>Aerated Static Pile</v>
      </c>
      <c r="C12223" s="138" t="str">
        <f t="shared" si="1065"/>
        <v>Without Amendment</v>
      </c>
      <c r="D12223" s="138" t="str">
        <f t="shared" si="1062"/>
        <v>Medium_Base</v>
      </c>
      <c r="E12223" s="138" t="str">
        <f t="shared" si="1066"/>
        <v>Base</v>
      </c>
      <c r="F12223" s="138" t="str">
        <f t="shared" si="1067"/>
        <v>Upgraded</v>
      </c>
      <c r="G12223" s="153"/>
      <c r="H12223" s="210">
        <v>0.19470000000000001</v>
      </c>
      <c r="I12223" s="160" t="s">
        <v>57</v>
      </c>
      <c r="J12223" s="211">
        <v>3.0408100000000001E-5</v>
      </c>
      <c r="K12223" s="160" t="s">
        <v>26</v>
      </c>
      <c r="L12223" s="154" t="str">
        <f>IF(OpenLCAbasic!K12223="CTUh", "Fill in Manually",IF(OR(K12223="Unit", K12223=""), "", INDEX(LookUps!$E$5:$E$12, MATCH(OpenLCAbasic!K12223,LookUps!$D$5:$D$12,0))))</f>
        <v>Water Use (WU) - m3 H2O</v>
      </c>
      <c r="M12223" s="154" t="str">
        <f t="shared" si="1063"/>
        <v>Base_Medium_Base_Upgraded_Water Use (WU) - m3 H2O_Gravity Belt Thickener; wastewater treatment unit; at updated plant - US_Without Amendment_Aerated Static Pile</v>
      </c>
    </row>
    <row r="12224" spans="1:13" s="120" customFormat="1" x14ac:dyDescent="0.25">
      <c r="A12224" s="119"/>
      <c r="B12224" s="138" t="str">
        <f t="shared" si="1064"/>
        <v>Aerated Static Pile</v>
      </c>
      <c r="C12224" s="138" t="str">
        <f t="shared" si="1065"/>
        <v>Without Amendment</v>
      </c>
      <c r="D12224" s="138" t="str">
        <f t="shared" si="1062"/>
        <v>Medium_Base</v>
      </c>
      <c r="E12224" s="138" t="str">
        <f t="shared" si="1066"/>
        <v>Base</v>
      </c>
      <c r="F12224" s="138" t="str">
        <f t="shared" si="1067"/>
        <v>Upgraded</v>
      </c>
      <c r="G12224" s="153"/>
      <c r="H12224" s="210">
        <v>0.19400000000000001</v>
      </c>
      <c r="I12224" s="160" t="s">
        <v>60</v>
      </c>
      <c r="J12224" s="211">
        <v>3.0289000000000001E-5</v>
      </c>
      <c r="K12224" s="160" t="s">
        <v>26</v>
      </c>
      <c r="L12224" s="154" t="str">
        <f>IF(OpenLCAbasic!K12224="CTUh", "Fill in Manually",IF(OR(K12224="Unit", K12224=""), "", INDEX(LookUps!$E$5:$E$12, MATCH(OpenLCAbasic!K12224,LookUps!$D$5:$D$12,0))))</f>
        <v>Water Use (WU) - m3 H2O</v>
      </c>
      <c r="M12224" s="154" t="str">
        <f t="shared" si="1063"/>
        <v>Base_Medium_Base_Upgraded_Water Use (WU) - m3 H2O_Belt filter press; wastewater treatment unit; at updated plant - US_Without Amendment_Aerated Static Pile</v>
      </c>
    </row>
    <row r="12225" spans="1:13" s="120" customFormat="1" x14ac:dyDescent="0.25">
      <c r="A12225" s="119"/>
      <c r="B12225" s="138" t="str">
        <f t="shared" si="1064"/>
        <v>Aerated Static Pile</v>
      </c>
      <c r="C12225" s="138" t="str">
        <f t="shared" si="1065"/>
        <v>Without Amendment</v>
      </c>
      <c r="D12225" s="138" t="str">
        <f t="shared" ref="D12225:D12231" si="1068">IF(ISNUMBER($J12225),"Medium_Base","")</f>
        <v>Medium_Base</v>
      </c>
      <c r="E12225" s="138" t="str">
        <f t="shared" si="1066"/>
        <v>Base</v>
      </c>
      <c r="F12225" s="138" t="str">
        <f t="shared" si="1067"/>
        <v>Upgraded</v>
      </c>
      <c r="G12225" s="153"/>
      <c r="H12225" s="210">
        <v>0.11210000000000001</v>
      </c>
      <c r="I12225" s="160" t="s">
        <v>53</v>
      </c>
      <c r="J12225" s="211">
        <v>1.75069E-5</v>
      </c>
      <c r="K12225" s="160" t="s">
        <v>26</v>
      </c>
      <c r="L12225" s="154" t="str">
        <f>IF(OpenLCAbasic!K12225="CTUh", "Fill in Manually",IF(OR(K12225="Unit", K12225=""), "", INDEX(LookUps!$E$5:$E$12, MATCH(OpenLCAbasic!K12225,LookUps!$D$5:$D$12,0))))</f>
        <v>Water Use (WU) - m3 H2O</v>
      </c>
      <c r="M12225" s="154" t="str">
        <f t="shared" si="1063"/>
        <v>Base_Medium_Base_Upgraded_Water Use (WU) - m3 H2O_Wet Well and Sump Station; wastewater treatment unit; at updated plant - US_Without Amendment_Aerated Static Pile</v>
      </c>
    </row>
    <row r="12226" spans="1:13" s="120" customFormat="1" x14ac:dyDescent="0.25">
      <c r="A12226" s="119"/>
      <c r="B12226" s="138" t="str">
        <f t="shared" si="1064"/>
        <v>Aerated Static Pile</v>
      </c>
      <c r="C12226" s="138" t="str">
        <f t="shared" si="1065"/>
        <v>Without Amendment</v>
      </c>
      <c r="D12226" s="138" t="str">
        <f t="shared" si="1068"/>
        <v>Medium_Base</v>
      </c>
      <c r="E12226" s="138" t="str">
        <f t="shared" si="1066"/>
        <v>Base</v>
      </c>
      <c r="F12226" s="138" t="str">
        <f t="shared" si="1067"/>
        <v>Upgraded</v>
      </c>
      <c r="G12226" s="153"/>
      <c r="H12226" s="210">
        <v>5.3100000000000001E-2</v>
      </c>
      <c r="I12226" s="160" t="s">
        <v>435</v>
      </c>
      <c r="J12226" s="211">
        <v>8.2924200000000001E-6</v>
      </c>
      <c r="K12226" s="160" t="s">
        <v>26</v>
      </c>
      <c r="L12226" s="154" t="str">
        <f>IF(OpenLCAbasic!K12226="CTUh", "Fill in Manually",IF(OR(K12226="Unit", K12226=""), "", INDEX(LookUps!$E$5:$E$12, MATCH(OpenLCAbasic!K12226,LookUps!$D$5:$D$12,0))))</f>
        <v>Water Use (WU) - m3 H2O</v>
      </c>
      <c r="M12226" s="154" t="str">
        <f t="shared" si="1063"/>
        <v>Base_Medium_Base_Upgraded_Water Use (WU) - m3 H2O_Biosolids composting; aerated static pile; wastewater treatment unit; at updated plant - US_Without Amendment_Aerated Static Pile</v>
      </c>
    </row>
    <row r="12227" spans="1:13" s="120" customFormat="1" x14ac:dyDescent="0.25">
      <c r="A12227" s="119"/>
      <c r="B12227" s="138" t="str">
        <f t="shared" si="1064"/>
        <v>Aerated Static Pile</v>
      </c>
      <c r="C12227" s="138" t="str">
        <f t="shared" si="1065"/>
        <v>Without Amendment</v>
      </c>
      <c r="D12227" s="138" t="str">
        <f t="shared" si="1068"/>
        <v>Medium_Base</v>
      </c>
      <c r="E12227" s="138" t="str">
        <f t="shared" si="1066"/>
        <v>Base</v>
      </c>
      <c r="F12227" s="138" t="str">
        <f t="shared" si="1067"/>
        <v>Upgraded</v>
      </c>
      <c r="G12227" s="153"/>
      <c r="H12227" s="210">
        <v>4.4900000000000002E-2</v>
      </c>
      <c r="I12227" s="160" t="s">
        <v>59</v>
      </c>
      <c r="J12227" s="211">
        <v>7.0179500000000003E-6</v>
      </c>
      <c r="K12227" s="160" t="s">
        <v>26</v>
      </c>
      <c r="L12227" s="154" t="str">
        <f>IF(OpenLCAbasic!K12227="CTUh", "Fill in Manually",IF(OR(K12227="Unit", K12227=""), "", INDEX(LookUps!$E$5:$E$12, MATCH(OpenLCAbasic!K12227,LookUps!$D$5:$D$12,0))))</f>
        <v>Water Use (WU) - m3 H2O</v>
      </c>
      <c r="M12227" s="154" t="str">
        <f t="shared" si="1063"/>
        <v>Base_Medium_Base_Upgraded_Water Use (WU) - m3 H2O_Blend Tank; wastewater treatment unit; at updated plant - US_Without Amendment_Aerated Static Pile</v>
      </c>
    </row>
    <row r="12228" spans="1:13" s="120" customFormat="1" x14ac:dyDescent="0.25">
      <c r="A12228" s="119"/>
      <c r="B12228" s="138" t="str">
        <f t="shared" si="1064"/>
        <v>Aerated Static Pile</v>
      </c>
      <c r="C12228" s="138" t="str">
        <f t="shared" si="1065"/>
        <v>Without Amendment</v>
      </c>
      <c r="D12228" s="138" t="str">
        <f t="shared" si="1068"/>
        <v>Medium_Base</v>
      </c>
      <c r="E12228" s="138" t="str">
        <f t="shared" si="1066"/>
        <v>Base</v>
      </c>
      <c r="F12228" s="138" t="str">
        <f t="shared" si="1067"/>
        <v>Upgraded</v>
      </c>
      <c r="G12228" s="153"/>
      <c r="H12228" s="210">
        <v>3.2399999999999998E-2</v>
      </c>
      <c r="I12228" s="160" t="s">
        <v>128</v>
      </c>
      <c r="J12228" s="211">
        <v>5.0608900000000003E-6</v>
      </c>
      <c r="K12228" s="160" t="s">
        <v>26</v>
      </c>
      <c r="L12228" s="154" t="str">
        <f>IF(OpenLCAbasic!K12228="CTUh", "Fill in Manually",IF(OR(K12228="Unit", K12228=""), "", INDEX(LookUps!$E$5:$E$12, MATCH(OpenLCAbasic!K12228,LookUps!$D$5:$D$12,0))))</f>
        <v>Water Use (WU) - m3 H2O</v>
      </c>
      <c r="M12228" s="154" t="str">
        <f t="shared" ref="M12228:M12291" si="1069">CONCATENATE(E12228,"_",D12228,"_",F12228,"_",L12228, "_",I12228,"_", C12228,"_", B12228)</f>
        <v>Base_Medium_Base_Upgraded_Water Use (WU) - m3 H2O_Wastewater collection; operation and infrastructure; m3 wastewater_Without Amendment_Aerated Static Pile</v>
      </c>
    </row>
    <row r="12229" spans="1:13" s="120" customFormat="1" x14ac:dyDescent="0.25">
      <c r="A12229" s="119"/>
      <c r="B12229" s="138" t="str">
        <f t="shared" si="1064"/>
        <v>Aerated Static Pile</v>
      </c>
      <c r="C12229" s="138" t="str">
        <f t="shared" si="1065"/>
        <v>Without Amendment</v>
      </c>
      <c r="D12229" s="138" t="str">
        <f t="shared" si="1068"/>
        <v>Medium_Base</v>
      </c>
      <c r="E12229" s="138" t="str">
        <f t="shared" si="1066"/>
        <v>Base</v>
      </c>
      <c r="F12229" s="138" t="str">
        <f t="shared" si="1067"/>
        <v>Upgraded</v>
      </c>
      <c r="G12229" s="153"/>
      <c r="H12229" s="210">
        <v>4.8999999999999998E-3</v>
      </c>
      <c r="I12229" s="160" t="s">
        <v>168</v>
      </c>
      <c r="J12229" s="211">
        <v>7.6697000000000004E-7</v>
      </c>
      <c r="K12229" s="160" t="s">
        <v>26</v>
      </c>
      <c r="L12229" s="154" t="str">
        <f>IF(OpenLCAbasic!K12229="CTUh", "Fill in Manually",IF(OR(K12229="Unit", K12229=""), "", INDEX(LookUps!$E$5:$E$12, MATCH(OpenLCAbasic!K12229,LookUps!$D$5:$D$12,0))))</f>
        <v>Water Use (WU) - m3 H2O</v>
      </c>
      <c r="M12229" s="154" t="str">
        <f t="shared" si="1069"/>
        <v>Base_Medium_Base_Upgraded_Water Use (WU) - m3 H2O_ClearCove SCP; wastewater treatment unit; at updated plant - US_Without Amendment_Aerated Static Pile</v>
      </c>
    </row>
    <row r="12230" spans="1:13" s="120" customFormat="1" x14ac:dyDescent="0.25">
      <c r="A12230" s="119"/>
      <c r="B12230" s="138" t="str">
        <f t="shared" si="1064"/>
        <v>Aerated Static Pile</v>
      </c>
      <c r="C12230" s="138" t="str">
        <f t="shared" si="1065"/>
        <v>Without Amendment</v>
      </c>
      <c r="D12230" s="138" t="str">
        <f t="shared" si="1068"/>
        <v>Medium_Base</v>
      </c>
      <c r="E12230" s="138" t="str">
        <f t="shared" si="1066"/>
        <v>Base</v>
      </c>
      <c r="F12230" s="138" t="str">
        <f t="shared" si="1067"/>
        <v>Upgraded</v>
      </c>
      <c r="G12230" s="153"/>
      <c r="H12230" s="210">
        <v>-0.24709999999999999</v>
      </c>
      <c r="I12230" s="160" t="s">
        <v>149</v>
      </c>
      <c r="J12230" s="211">
        <v>-3.8591399999999998E-5</v>
      </c>
      <c r="K12230" s="160" t="s">
        <v>26</v>
      </c>
      <c r="L12230" s="154" t="str">
        <f>IF(OpenLCAbasic!K12230="CTUh", "Fill in Manually",IF(OR(K12230="Unit", K12230=""), "", INDEX(LookUps!$E$5:$E$12, MATCH(OpenLCAbasic!K12230,LookUps!$D$5:$D$12,0))))</f>
        <v>Water Use (WU) - m3 H2O</v>
      </c>
      <c r="M12230" s="154" t="str">
        <f t="shared" si="1069"/>
        <v>Base_Medium_Base_Upgraded_Water Use (WU) - m3 H2O_Anaerobic Digestion; wastewater treatment unit; at updated plant - US_Without Amendment_Aerated Static Pile</v>
      </c>
    </row>
    <row r="12231" spans="1:13" s="120" customFormat="1" x14ac:dyDescent="0.25">
      <c r="A12231" s="119"/>
      <c r="B12231" s="138" t="str">
        <f t="shared" si="1064"/>
        <v>Aerated Static Pile</v>
      </c>
      <c r="C12231" s="138" t="str">
        <f t="shared" si="1065"/>
        <v>Without Amendment</v>
      </c>
      <c r="D12231" s="138" t="str">
        <f t="shared" si="1068"/>
        <v>Medium_Base</v>
      </c>
      <c r="E12231" s="138" t="str">
        <f t="shared" si="1066"/>
        <v>Base</v>
      </c>
      <c r="F12231" s="138" t="str">
        <f t="shared" si="1067"/>
        <v>Upgraded</v>
      </c>
      <c r="G12231" s="153"/>
      <c r="H12231" s="210">
        <v>-6.2275999999999998</v>
      </c>
      <c r="I12231" s="160" t="s">
        <v>62</v>
      </c>
      <c r="J12231" s="160">
        <v>-9.7000000000000005E-4</v>
      </c>
      <c r="K12231" s="160" t="s">
        <v>26</v>
      </c>
      <c r="L12231" s="154" t="str">
        <f>IF(OpenLCAbasic!K12231="CTUh", "Fill in Manually",IF(OR(K12231="Unit", K12231=""), "", INDEX(LookUps!$E$5:$E$12, MATCH(OpenLCAbasic!K12231,LookUps!$D$5:$D$12,0))))</f>
        <v>Water Use (WU) - m3 H2O</v>
      </c>
      <c r="M12231" s="154" t="str">
        <f t="shared" si="1069"/>
        <v>Base_Medium_Base_Upgraded_Water Use (WU) - m3 H2O_Land application of compost; wastewater treatment unit; at updated plant - US_Without Amendment_Aerated Static Pile</v>
      </c>
    </row>
    <row r="12232" spans="1:13" s="120" customFormat="1" x14ac:dyDescent="0.25">
      <c r="A12232" s="119"/>
      <c r="B12232" s="138" t="str">
        <f t="shared" si="1064"/>
        <v/>
      </c>
      <c r="C12232" s="138" t="str">
        <f t="shared" si="1065"/>
        <v/>
      </c>
      <c r="D12232" s="138" t="str">
        <f>IF(ISNUMBER($J12232),"Medium_High","")</f>
        <v/>
      </c>
      <c r="E12232" s="138" t="str">
        <f t="shared" si="1066"/>
        <v/>
      </c>
      <c r="F12232" s="138" t="str">
        <f t="shared" si="1067"/>
        <v/>
      </c>
      <c r="G12232" s="153" t="s">
        <v>51</v>
      </c>
      <c r="H12232" s="160"/>
      <c r="I12232" s="160" t="s">
        <v>47</v>
      </c>
      <c r="J12232" s="160" t="s">
        <v>52</v>
      </c>
      <c r="K12232" s="160" t="s">
        <v>27</v>
      </c>
      <c r="L12232" s="154" t="str">
        <f>IF(OpenLCAbasic!K12232="CTUh", "Fill in Manually",IF(OR(K12232="Unit", K12232=""), "", INDEX(LookUps!$E$5:$E$12, MATCH(OpenLCAbasic!K12232,LookUps!$D$5:$D$12,0))))</f>
        <v/>
      </c>
      <c r="M12232" s="154" t="str">
        <f t="shared" si="1069"/>
        <v>____Process__</v>
      </c>
    </row>
    <row r="12233" spans="1:13" s="120" customFormat="1" x14ac:dyDescent="0.25">
      <c r="A12233" s="119"/>
      <c r="B12233" s="138" t="str">
        <f t="shared" si="1064"/>
        <v>Aerated Static Pile</v>
      </c>
      <c r="C12233" s="138" t="str">
        <f t="shared" si="1065"/>
        <v>Without Amendment</v>
      </c>
      <c r="D12233" s="138" t="str">
        <f t="shared" ref="D12233:D12296" si="1070">IF(ISNUMBER($J12233),"Medium_High","")</f>
        <v>Medium_High</v>
      </c>
      <c r="E12233" s="138" t="str">
        <f t="shared" si="1066"/>
        <v>Base</v>
      </c>
      <c r="F12233" s="138" t="str">
        <f t="shared" si="1067"/>
        <v>Upgraded</v>
      </c>
      <c r="G12233" s="153"/>
      <c r="H12233" s="210">
        <v>1.1821999999999999</v>
      </c>
      <c r="I12233" s="160" t="s">
        <v>55</v>
      </c>
      <c r="J12233" s="160">
        <v>1.7219999999999999E-2</v>
      </c>
      <c r="K12233" s="160" t="s">
        <v>24</v>
      </c>
      <c r="L12233" s="154" t="str">
        <f>IF(OpenLCAbasic!K12233="CTUh", "Fill in Manually",IF(OR(K12233="Unit", K12233=""), "", INDEX(LookUps!$E$5:$E$12, MATCH(OpenLCAbasic!K12233,LookUps!$D$5:$D$12,0))))</f>
        <v>Acidification Potential (AP) - kg SO2 eq</v>
      </c>
      <c r="M12233" s="154" t="str">
        <f t="shared" si="1069"/>
        <v>Base_Medium_High_Upgraded_Acidification Potential (AP) - kg SO2 eq_Aeration Tanks; wastewater treatment unit; at updated plant - US_Without Amendment_Aerated Static Pile</v>
      </c>
    </row>
    <row r="12234" spans="1:13" s="120" customFormat="1" x14ac:dyDescent="0.25">
      <c r="A12234" s="119"/>
      <c r="B12234" s="138" t="str">
        <f t="shared" si="1064"/>
        <v>Aerated Static Pile</v>
      </c>
      <c r="C12234" s="138" t="str">
        <f t="shared" si="1065"/>
        <v>Without Amendment</v>
      </c>
      <c r="D12234" s="138" t="str">
        <f t="shared" si="1070"/>
        <v>Medium_High</v>
      </c>
      <c r="E12234" s="138" t="str">
        <f t="shared" si="1066"/>
        <v>Base</v>
      </c>
      <c r="F12234" s="138" t="str">
        <f t="shared" si="1067"/>
        <v>Upgraded</v>
      </c>
      <c r="G12234" s="153"/>
      <c r="H12234" s="210">
        <v>0.34189999999999998</v>
      </c>
      <c r="I12234" s="160" t="s">
        <v>54</v>
      </c>
      <c r="J12234" s="160">
        <v>4.9800000000000001E-3</v>
      </c>
      <c r="K12234" s="160" t="s">
        <v>24</v>
      </c>
      <c r="L12234" s="154" t="str">
        <f>IF(OpenLCAbasic!K12234="CTUh", "Fill in Manually",IF(OR(K12234="Unit", K12234=""), "", INDEX(LookUps!$E$5:$E$12, MATCH(OpenLCAbasic!K12234,LookUps!$D$5:$D$12,0))))</f>
        <v>Acidification Potential (AP) - kg SO2 eq</v>
      </c>
      <c r="M12234" s="154" t="str">
        <f t="shared" si="1069"/>
        <v>Base_Medium_High_Upgraded_Acidification Potential (AP) - kg SO2 eq_Clear Cove Primary Clarification; wastewater treatment unit; at updated plant - US_Without Amendment_Aerated Static Pile</v>
      </c>
    </row>
    <row r="12235" spans="1:13" s="120" customFormat="1" x14ac:dyDescent="0.25">
      <c r="A12235" s="119"/>
      <c r="B12235" s="138" t="str">
        <f t="shared" si="1064"/>
        <v>Aerated Static Pile</v>
      </c>
      <c r="C12235" s="138" t="str">
        <f t="shared" si="1065"/>
        <v>Without Amendment</v>
      </c>
      <c r="D12235" s="138" t="str">
        <f t="shared" si="1070"/>
        <v>Medium_High</v>
      </c>
      <c r="E12235" s="138" t="str">
        <f t="shared" si="1066"/>
        <v>Base</v>
      </c>
      <c r="F12235" s="138" t="str">
        <f t="shared" si="1067"/>
        <v>Upgraded</v>
      </c>
      <c r="G12235" s="153"/>
      <c r="H12235" s="210">
        <v>0.2984</v>
      </c>
      <c r="I12235" s="160" t="s">
        <v>58</v>
      </c>
      <c r="J12235" s="160">
        <v>4.3499999999999997E-3</v>
      </c>
      <c r="K12235" s="160" t="s">
        <v>24</v>
      </c>
      <c r="L12235" s="154" t="str">
        <f>IF(OpenLCAbasic!K12235="CTUh", "Fill in Manually",IF(OR(K12235="Unit", K12235=""), "", INDEX(LookUps!$E$5:$E$12, MATCH(OpenLCAbasic!K12235,LookUps!$D$5:$D$12,0))))</f>
        <v>Acidification Potential (AP) - kg SO2 eq</v>
      </c>
      <c r="M12235" s="154" t="str">
        <f t="shared" si="1069"/>
        <v>Base_Medium_High_Upgraded_Acidification Potential (AP) - kg SO2 eq_Pre-Anoxic &amp; Swing tank; wastewater treatment unit; at updated plant - US_Without Amendment_Aerated Static Pile</v>
      </c>
    </row>
    <row r="12236" spans="1:13" s="120" customFormat="1" x14ac:dyDescent="0.25">
      <c r="A12236" s="119"/>
      <c r="B12236" s="138" t="str">
        <f t="shared" si="1064"/>
        <v>Aerated Static Pile</v>
      </c>
      <c r="C12236" s="138" t="str">
        <f t="shared" si="1065"/>
        <v>Without Amendment</v>
      </c>
      <c r="D12236" s="138" t="str">
        <f t="shared" si="1070"/>
        <v>Medium_High</v>
      </c>
      <c r="E12236" s="138" t="str">
        <f t="shared" si="1066"/>
        <v>Base</v>
      </c>
      <c r="F12236" s="138" t="str">
        <f t="shared" si="1067"/>
        <v>Upgraded</v>
      </c>
      <c r="G12236" s="153"/>
      <c r="H12236" s="210">
        <v>0.2369</v>
      </c>
      <c r="I12236" s="160" t="s">
        <v>53</v>
      </c>
      <c r="J12236" s="160">
        <v>3.4499999999999999E-3</v>
      </c>
      <c r="K12236" s="160" t="s">
        <v>24</v>
      </c>
      <c r="L12236" s="154" t="str">
        <f>IF(OpenLCAbasic!K12236="CTUh", "Fill in Manually",IF(OR(K12236="Unit", K12236=""), "", INDEX(LookUps!$E$5:$E$12, MATCH(OpenLCAbasic!K12236,LookUps!$D$5:$D$12,0))))</f>
        <v>Acidification Potential (AP) - kg SO2 eq</v>
      </c>
      <c r="M12236" s="154" t="str">
        <f t="shared" si="1069"/>
        <v>Base_Medium_High_Upgraded_Acidification Potential (AP) - kg SO2 eq_Wet Well and Sump Station; wastewater treatment unit; at updated plant - US_Without Amendment_Aerated Static Pile</v>
      </c>
    </row>
    <row r="12237" spans="1:13" s="120" customFormat="1" x14ac:dyDescent="0.25">
      <c r="A12237" s="119"/>
      <c r="B12237" s="138" t="str">
        <f t="shared" si="1064"/>
        <v>Aerated Static Pile</v>
      </c>
      <c r="C12237" s="138" t="str">
        <f t="shared" si="1065"/>
        <v>Without Amendment</v>
      </c>
      <c r="D12237" s="138" t="str">
        <f t="shared" si="1070"/>
        <v>Medium_High</v>
      </c>
      <c r="E12237" s="138" t="str">
        <f t="shared" si="1066"/>
        <v>Base</v>
      </c>
      <c r="F12237" s="138" t="str">
        <f t="shared" si="1067"/>
        <v>Upgraded</v>
      </c>
      <c r="G12237" s="153"/>
      <c r="H12237" s="210">
        <v>0.17380000000000001</v>
      </c>
      <c r="I12237" s="160" t="s">
        <v>167</v>
      </c>
      <c r="J12237" s="160">
        <v>2.5300000000000001E-3</v>
      </c>
      <c r="K12237" s="160" t="s">
        <v>24</v>
      </c>
      <c r="L12237" s="154" t="str">
        <f>IF(OpenLCAbasic!K12237="CTUh", "Fill in Manually",IF(OR(K12237="Unit", K12237=""), "", INDEX(LookUps!$E$5:$E$12, MATCH(OpenLCAbasic!K12237,LookUps!$D$5:$D$12,0))))</f>
        <v>Acidification Potential (AP) - kg SO2 eq</v>
      </c>
      <c r="M12237" s="154" t="str">
        <f t="shared" si="1069"/>
        <v>Base_Medium_High_Upgraded_Acidification Potential (AP) - kg SO2 eq_Waste Receiving and Holding; wastewater treatment unit; at updated plant - US_Without Amendment_Aerated Static Pile</v>
      </c>
    </row>
    <row r="12238" spans="1:13" s="120" customFormat="1" x14ac:dyDescent="0.25">
      <c r="A12238" s="119"/>
      <c r="B12238" s="138" t="str">
        <f t="shared" si="1064"/>
        <v>Aerated Static Pile</v>
      </c>
      <c r="C12238" s="138" t="str">
        <f t="shared" si="1065"/>
        <v>Without Amendment</v>
      </c>
      <c r="D12238" s="138" t="str">
        <f t="shared" si="1070"/>
        <v>Medium_High</v>
      </c>
      <c r="E12238" s="138" t="str">
        <f t="shared" si="1066"/>
        <v>Base</v>
      </c>
      <c r="F12238" s="138" t="str">
        <f t="shared" si="1067"/>
        <v>Upgraded</v>
      </c>
      <c r="G12238" s="153"/>
      <c r="H12238" s="210">
        <v>0.1673</v>
      </c>
      <c r="I12238" s="160" t="s">
        <v>435</v>
      </c>
      <c r="J12238" s="160">
        <v>2.4399999999999999E-3</v>
      </c>
      <c r="K12238" s="160" t="s">
        <v>24</v>
      </c>
      <c r="L12238" s="154" t="str">
        <f>IF(OpenLCAbasic!K12238="CTUh", "Fill in Manually",IF(OR(K12238="Unit", K12238=""), "", INDEX(LookUps!$E$5:$E$12, MATCH(OpenLCAbasic!K12238,LookUps!$D$5:$D$12,0))))</f>
        <v>Acidification Potential (AP) - kg SO2 eq</v>
      </c>
      <c r="M12238" s="154" t="str">
        <f t="shared" si="1069"/>
        <v>Base_Medium_High_Upgraded_Acidification Potential (AP) - kg SO2 eq_Biosolids composting; aerated static pile; wastewater treatment unit; at updated plant - US_Without Amendment_Aerated Static Pile</v>
      </c>
    </row>
    <row r="12239" spans="1:13" s="120" customFormat="1" x14ac:dyDescent="0.25">
      <c r="A12239" s="119"/>
      <c r="B12239" s="138" t="str">
        <f t="shared" si="1064"/>
        <v>Aerated Static Pile</v>
      </c>
      <c r="C12239" s="138" t="str">
        <f t="shared" si="1065"/>
        <v>Without Amendment</v>
      </c>
      <c r="D12239" s="138" t="str">
        <f t="shared" si="1070"/>
        <v>Medium_High</v>
      </c>
      <c r="E12239" s="138" t="str">
        <f t="shared" si="1066"/>
        <v>Base</v>
      </c>
      <c r="F12239" s="138" t="str">
        <f t="shared" si="1067"/>
        <v>Upgraded</v>
      </c>
      <c r="G12239" s="153"/>
      <c r="H12239" s="210">
        <v>0.1575</v>
      </c>
      <c r="I12239" s="160" t="s">
        <v>62</v>
      </c>
      <c r="J12239" s="160">
        <v>2.2899999999999999E-3</v>
      </c>
      <c r="K12239" s="160" t="s">
        <v>24</v>
      </c>
      <c r="L12239" s="154" t="str">
        <f>IF(OpenLCAbasic!K12239="CTUh", "Fill in Manually",IF(OR(K12239="Unit", K12239=""), "", INDEX(LookUps!$E$5:$E$12, MATCH(OpenLCAbasic!K12239,LookUps!$D$5:$D$12,0))))</f>
        <v>Acidification Potential (AP) - kg SO2 eq</v>
      </c>
      <c r="M12239" s="154" t="str">
        <f t="shared" si="1069"/>
        <v>Base_Medium_High_Upgraded_Acidification Potential (AP) - kg SO2 eq_Land application of compost; wastewater treatment unit; at updated plant - US_Without Amendment_Aerated Static Pile</v>
      </c>
    </row>
    <row r="12240" spans="1:13" s="120" customFormat="1" x14ac:dyDescent="0.25">
      <c r="A12240" s="119"/>
      <c r="B12240" s="138" t="str">
        <f t="shared" si="1064"/>
        <v>Aerated Static Pile</v>
      </c>
      <c r="C12240" s="138" t="str">
        <f t="shared" si="1065"/>
        <v>Without Amendment</v>
      </c>
      <c r="D12240" s="138" t="str">
        <f t="shared" si="1070"/>
        <v>Medium_High</v>
      </c>
      <c r="E12240" s="138" t="str">
        <f t="shared" si="1066"/>
        <v>Base</v>
      </c>
      <c r="F12240" s="138" t="str">
        <f t="shared" si="1067"/>
        <v>Upgraded</v>
      </c>
      <c r="G12240" s="153"/>
      <c r="H12240" s="210">
        <v>0.14199999999999999</v>
      </c>
      <c r="I12240" s="160" t="s">
        <v>147</v>
      </c>
      <c r="J12240" s="160">
        <v>2.0699999999999998E-3</v>
      </c>
      <c r="K12240" s="160" t="s">
        <v>24</v>
      </c>
      <c r="L12240" s="154" t="str">
        <f>IF(OpenLCAbasic!K12240="CTUh", "Fill in Manually",IF(OR(K12240="Unit", K12240=""), "", INDEX(LookUps!$E$5:$E$12, MATCH(OpenLCAbasic!K12240,LookUps!$D$5:$D$12,0))))</f>
        <v>Acidification Potential (AP) - kg SO2 eq</v>
      </c>
      <c r="M12240" s="154" t="str">
        <f t="shared" si="1069"/>
        <v>Base_Medium_High_Upgraded_Acidification Potential (AP) - kg SO2 eq_Influent Pump Station; wastewater treatment unit; at updated plant - US_Without Amendment_Aerated Static Pile</v>
      </c>
    </row>
    <row r="12241" spans="1:13" s="120" customFormat="1" x14ac:dyDescent="0.25">
      <c r="A12241" s="119"/>
      <c r="B12241" s="138" t="str">
        <f t="shared" si="1064"/>
        <v>Aerated Static Pile</v>
      </c>
      <c r="C12241" s="138" t="str">
        <f t="shared" si="1065"/>
        <v>Without Amendment</v>
      </c>
      <c r="D12241" s="138" t="str">
        <f t="shared" si="1070"/>
        <v>Medium_High</v>
      </c>
      <c r="E12241" s="138" t="str">
        <f t="shared" si="1066"/>
        <v>Base</v>
      </c>
      <c r="F12241" s="138" t="str">
        <f t="shared" si="1067"/>
        <v>Upgraded</v>
      </c>
      <c r="G12241" s="153"/>
      <c r="H12241" s="210">
        <v>8.4699999999999998E-2</v>
      </c>
      <c r="I12241" s="160" t="s">
        <v>128</v>
      </c>
      <c r="J12241" s="160">
        <v>1.23E-3</v>
      </c>
      <c r="K12241" s="160" t="s">
        <v>24</v>
      </c>
      <c r="L12241" s="154" t="str">
        <f>IF(OpenLCAbasic!K12241="CTUh", "Fill in Manually",IF(OR(K12241="Unit", K12241=""), "", INDEX(LookUps!$E$5:$E$12, MATCH(OpenLCAbasic!K12241,LookUps!$D$5:$D$12,0))))</f>
        <v>Acidification Potential (AP) - kg SO2 eq</v>
      </c>
      <c r="M12241" s="154" t="str">
        <f t="shared" si="1069"/>
        <v>Base_Medium_High_Upgraded_Acidification Potential (AP) - kg SO2 eq_Wastewater collection; operation and infrastructure; m3 wastewater_Without Amendment_Aerated Static Pile</v>
      </c>
    </row>
    <row r="12242" spans="1:13" s="120" customFormat="1" x14ac:dyDescent="0.25">
      <c r="A12242" s="119"/>
      <c r="B12242" s="138" t="str">
        <f t="shared" si="1064"/>
        <v>Aerated Static Pile</v>
      </c>
      <c r="C12242" s="138" t="str">
        <f t="shared" si="1065"/>
        <v>Without Amendment</v>
      </c>
      <c r="D12242" s="138" t="str">
        <f t="shared" si="1070"/>
        <v>Medium_High</v>
      </c>
      <c r="E12242" s="138" t="str">
        <f t="shared" si="1066"/>
        <v>Base</v>
      </c>
      <c r="F12242" s="138" t="str">
        <f t="shared" si="1067"/>
        <v>Upgraded</v>
      </c>
      <c r="G12242" s="153"/>
      <c r="H12242" s="210">
        <v>7.0000000000000007E-2</v>
      </c>
      <c r="I12242" s="160" t="s">
        <v>60</v>
      </c>
      <c r="J12242" s="160">
        <v>1.0200000000000001E-3</v>
      </c>
      <c r="K12242" s="160" t="s">
        <v>24</v>
      </c>
      <c r="L12242" s="154" t="str">
        <f>IF(OpenLCAbasic!K12242="CTUh", "Fill in Manually",IF(OR(K12242="Unit", K12242=""), "", INDEX(LookUps!$E$5:$E$12, MATCH(OpenLCAbasic!K12242,LookUps!$D$5:$D$12,0))))</f>
        <v>Acidification Potential (AP) - kg SO2 eq</v>
      </c>
      <c r="M12242" s="154" t="str">
        <f t="shared" si="1069"/>
        <v>Base_Medium_High_Upgraded_Acidification Potential (AP) - kg SO2 eq_Belt filter press; wastewater treatment unit; at updated plant - US_Without Amendment_Aerated Static Pile</v>
      </c>
    </row>
    <row r="12243" spans="1:13" s="120" customFormat="1" x14ac:dyDescent="0.25">
      <c r="A12243" s="119"/>
      <c r="B12243" s="138" t="str">
        <f t="shared" si="1064"/>
        <v>Aerated Static Pile</v>
      </c>
      <c r="C12243" s="138" t="str">
        <f t="shared" si="1065"/>
        <v>Without Amendment</v>
      </c>
      <c r="D12243" s="138" t="str">
        <f t="shared" si="1070"/>
        <v>Medium_High</v>
      </c>
      <c r="E12243" s="138" t="str">
        <f t="shared" si="1066"/>
        <v>Base</v>
      </c>
      <c r="F12243" s="138" t="str">
        <f t="shared" si="1067"/>
        <v>Upgraded</v>
      </c>
      <c r="G12243" s="153"/>
      <c r="H12243" s="210">
        <v>4.8300000000000003E-2</v>
      </c>
      <c r="I12243" s="160" t="s">
        <v>57</v>
      </c>
      <c r="J12243" s="160">
        <v>6.9999999999999999E-4</v>
      </c>
      <c r="K12243" s="160" t="s">
        <v>24</v>
      </c>
      <c r="L12243" s="154" t="str">
        <f>IF(OpenLCAbasic!K12243="CTUh", "Fill in Manually",IF(OR(K12243="Unit", K12243=""), "", INDEX(LookUps!$E$5:$E$12, MATCH(OpenLCAbasic!K12243,LookUps!$D$5:$D$12,0))))</f>
        <v>Acidification Potential (AP) - kg SO2 eq</v>
      </c>
      <c r="M12243" s="154" t="str">
        <f t="shared" si="1069"/>
        <v>Base_Medium_High_Upgraded_Acidification Potential (AP) - kg SO2 eq_Gravity Belt Thickener; wastewater treatment unit; at updated plant - US_Without Amendment_Aerated Static Pile</v>
      </c>
    </row>
    <row r="12244" spans="1:13" s="120" customFormat="1" x14ac:dyDescent="0.25">
      <c r="A12244" s="119"/>
      <c r="B12244" s="138" t="str">
        <f t="shared" si="1064"/>
        <v>Aerated Static Pile</v>
      </c>
      <c r="C12244" s="138" t="str">
        <f t="shared" si="1065"/>
        <v>Without Amendment</v>
      </c>
      <c r="D12244" s="138" t="str">
        <f t="shared" si="1070"/>
        <v>Medium_High</v>
      </c>
      <c r="E12244" s="138" t="str">
        <f t="shared" si="1066"/>
        <v>Base</v>
      </c>
      <c r="F12244" s="138" t="str">
        <f t="shared" si="1067"/>
        <v>Upgraded</v>
      </c>
      <c r="G12244" s="153"/>
      <c r="H12244" s="210">
        <v>3.5400000000000001E-2</v>
      </c>
      <c r="I12244" s="160" t="s">
        <v>59</v>
      </c>
      <c r="J12244" s="160">
        <v>5.1999999999999995E-4</v>
      </c>
      <c r="K12244" s="160" t="s">
        <v>24</v>
      </c>
      <c r="L12244" s="154" t="str">
        <f>IF(OpenLCAbasic!K12244="CTUh", "Fill in Manually",IF(OR(K12244="Unit", K12244=""), "", INDEX(LookUps!$E$5:$E$12, MATCH(OpenLCAbasic!K12244,LookUps!$D$5:$D$12,0))))</f>
        <v>Acidification Potential (AP) - kg SO2 eq</v>
      </c>
      <c r="M12244" s="154" t="str">
        <f t="shared" si="1069"/>
        <v>Base_Medium_High_Upgraded_Acidification Potential (AP) - kg SO2 eq_Blend Tank; wastewater treatment unit; at updated plant - US_Without Amendment_Aerated Static Pile</v>
      </c>
    </row>
    <row r="12245" spans="1:13" s="120" customFormat="1" x14ac:dyDescent="0.25">
      <c r="A12245" s="119"/>
      <c r="B12245" s="138" t="str">
        <f t="shared" si="1064"/>
        <v>Aerated Static Pile</v>
      </c>
      <c r="C12245" s="138" t="str">
        <f t="shared" si="1065"/>
        <v>Without Amendment</v>
      </c>
      <c r="D12245" s="138" t="str">
        <f t="shared" si="1070"/>
        <v>Medium_High</v>
      </c>
      <c r="E12245" s="138" t="str">
        <f t="shared" si="1066"/>
        <v>Base</v>
      </c>
      <c r="F12245" s="138" t="str">
        <f t="shared" si="1067"/>
        <v>Upgraded</v>
      </c>
      <c r="G12245" s="153"/>
      <c r="H12245" s="210">
        <v>2.3800000000000002E-2</v>
      </c>
      <c r="I12245" s="160" t="s">
        <v>48</v>
      </c>
      <c r="J12245" s="160">
        <v>3.5E-4</v>
      </c>
      <c r="K12245" s="160" t="s">
        <v>24</v>
      </c>
      <c r="L12245" s="154" t="str">
        <f>IF(OpenLCAbasic!K12245="CTUh", "Fill in Manually",IF(OR(K12245="Unit", K12245=""), "", INDEX(LookUps!$E$5:$E$12, MATCH(OpenLCAbasic!K12245,LookUps!$D$5:$D$12,0))))</f>
        <v>Acidification Potential (AP) - kg SO2 eq</v>
      </c>
      <c r="M12245" s="154" t="str">
        <f t="shared" si="1069"/>
        <v>Base_Medium_High_Upgraded_Acidification Potential (AP) - kg SO2 eq_Effluent release; wastewater treatment unit; at surface water; m3 wastewater - US_Without Amendment_Aerated Static Pile</v>
      </c>
    </row>
    <row r="12246" spans="1:13" s="120" customFormat="1" x14ac:dyDescent="0.25">
      <c r="A12246" s="119"/>
      <c r="B12246" s="138" t="str">
        <f t="shared" si="1064"/>
        <v>Aerated Static Pile</v>
      </c>
      <c r="C12246" s="138" t="str">
        <f t="shared" si="1065"/>
        <v>Without Amendment</v>
      </c>
      <c r="D12246" s="138" t="str">
        <f t="shared" si="1070"/>
        <v>Medium_High</v>
      </c>
      <c r="E12246" s="138" t="str">
        <f t="shared" si="1066"/>
        <v>Base</v>
      </c>
      <c r="F12246" s="138" t="str">
        <f t="shared" si="1067"/>
        <v>Upgraded</v>
      </c>
      <c r="G12246" s="153"/>
      <c r="H12246" s="210">
        <v>1.7500000000000002E-2</v>
      </c>
      <c r="I12246" s="160" t="s">
        <v>168</v>
      </c>
      <c r="J12246" s="160">
        <v>2.5999999999999998E-4</v>
      </c>
      <c r="K12246" s="160" t="s">
        <v>24</v>
      </c>
      <c r="L12246" s="154" t="str">
        <f>IF(OpenLCAbasic!K12246="CTUh", "Fill in Manually",IF(OR(K12246="Unit", K12246=""), "", INDEX(LookUps!$E$5:$E$12, MATCH(OpenLCAbasic!K12246,LookUps!$D$5:$D$12,0))))</f>
        <v>Acidification Potential (AP) - kg SO2 eq</v>
      </c>
      <c r="M12246" s="154" t="str">
        <f t="shared" si="1069"/>
        <v>Base_Medium_High_Upgraded_Acidification Potential (AP) - kg SO2 eq_ClearCove SCP; wastewater treatment unit; at updated plant - US_Without Amendment_Aerated Static Pile</v>
      </c>
    </row>
    <row r="12247" spans="1:13" s="120" customFormat="1" x14ac:dyDescent="0.25">
      <c r="A12247" s="119"/>
      <c r="B12247" s="138" t="str">
        <f t="shared" si="1064"/>
        <v>Aerated Static Pile</v>
      </c>
      <c r="C12247" s="138" t="str">
        <f t="shared" si="1065"/>
        <v>Without Amendment</v>
      </c>
      <c r="D12247" s="138" t="str">
        <f t="shared" si="1070"/>
        <v>Medium_High</v>
      </c>
      <c r="E12247" s="138" t="str">
        <f t="shared" si="1066"/>
        <v>Base</v>
      </c>
      <c r="F12247" s="138" t="str">
        <f t="shared" si="1067"/>
        <v>Upgraded</v>
      </c>
      <c r="G12247" s="153"/>
      <c r="H12247" s="210">
        <v>2.8E-3</v>
      </c>
      <c r="I12247" s="160" t="s">
        <v>148</v>
      </c>
      <c r="J12247" s="211">
        <v>4.0354700000000002E-5</v>
      </c>
      <c r="K12247" s="160" t="s">
        <v>24</v>
      </c>
      <c r="L12247" s="154" t="str">
        <f>IF(OpenLCAbasic!K12247="CTUh", "Fill in Manually",IF(OR(K12247="Unit", K12247=""), "", INDEX(LookUps!$E$5:$E$12, MATCH(OpenLCAbasic!K12247,LookUps!$D$5:$D$12,0))))</f>
        <v>Acidification Potential (AP) - kg SO2 eq</v>
      </c>
      <c r="M12247" s="154" t="str">
        <f t="shared" si="1069"/>
        <v>Base_Medium_High_Upgraded_Acidification Potential (AP) - kg SO2 eq_Control Building; at upgraded wastewater treatment plant - US_Without Amendment_Aerated Static Pile</v>
      </c>
    </row>
    <row r="12248" spans="1:13" s="120" customFormat="1" x14ac:dyDescent="0.25">
      <c r="A12248" s="119"/>
      <c r="B12248" s="138" t="str">
        <f t="shared" si="1064"/>
        <v>Aerated Static Pile</v>
      </c>
      <c r="C12248" s="138" t="str">
        <f t="shared" si="1065"/>
        <v>Without Amendment</v>
      </c>
      <c r="D12248" s="138" t="str">
        <f t="shared" si="1070"/>
        <v>Medium_High</v>
      </c>
      <c r="E12248" s="138" t="str">
        <f t="shared" si="1066"/>
        <v>Base</v>
      </c>
      <c r="F12248" s="138" t="str">
        <f t="shared" si="1067"/>
        <v>Upgraded</v>
      </c>
      <c r="G12248" s="153"/>
      <c r="H12248" s="210">
        <v>-3.9826000000000001</v>
      </c>
      <c r="I12248" s="160" t="s">
        <v>149</v>
      </c>
      <c r="J12248" s="160">
        <v>-5.8009999999999999E-2</v>
      </c>
      <c r="K12248" s="160" t="s">
        <v>24</v>
      </c>
      <c r="L12248" s="154" t="str">
        <f>IF(OpenLCAbasic!K12248="CTUh", "Fill in Manually",IF(OR(K12248="Unit", K12248=""), "", INDEX(LookUps!$E$5:$E$12, MATCH(OpenLCAbasic!K12248,LookUps!$D$5:$D$12,0))))</f>
        <v>Acidification Potential (AP) - kg SO2 eq</v>
      </c>
      <c r="M12248" s="154" t="str">
        <f t="shared" si="1069"/>
        <v>Base_Medium_High_Upgraded_Acidification Potential (AP) - kg SO2 eq_Anaerobic Digestion; wastewater treatment unit; at updated plant - US_Without Amendment_Aerated Static Pile</v>
      </c>
    </row>
    <row r="12249" spans="1:13" s="120" customFormat="1" x14ac:dyDescent="0.25">
      <c r="A12249" s="119"/>
      <c r="B12249" s="138" t="str">
        <f t="shared" si="1064"/>
        <v/>
      </c>
      <c r="C12249" s="138" t="str">
        <f t="shared" si="1065"/>
        <v/>
      </c>
      <c r="D12249" s="138" t="str">
        <f t="shared" si="1070"/>
        <v/>
      </c>
      <c r="E12249" s="138" t="str">
        <f t="shared" si="1066"/>
        <v/>
      </c>
      <c r="F12249" s="138" t="str">
        <f t="shared" si="1067"/>
        <v/>
      </c>
      <c r="G12249" s="153" t="s">
        <v>51</v>
      </c>
      <c r="H12249" s="160"/>
      <c r="I12249" s="160" t="s">
        <v>47</v>
      </c>
      <c r="J12249" s="160" t="s">
        <v>52</v>
      </c>
      <c r="K12249" s="160" t="s">
        <v>27</v>
      </c>
      <c r="L12249" s="154" t="str">
        <f>IF(OpenLCAbasic!K12249="CTUh", "Fill in Manually",IF(OR(K12249="Unit", K12249=""), "", INDEX(LookUps!$E$5:$E$12, MATCH(OpenLCAbasic!K12249,LookUps!$D$5:$D$12,0))))</f>
        <v/>
      </c>
      <c r="M12249" s="154" t="str">
        <f t="shared" si="1069"/>
        <v>____Process__</v>
      </c>
    </row>
    <row r="12250" spans="1:13" s="120" customFormat="1" x14ac:dyDescent="0.25">
      <c r="A12250" s="119"/>
      <c r="B12250" s="138" t="str">
        <f t="shared" si="1064"/>
        <v>Aerated Static Pile</v>
      </c>
      <c r="C12250" s="138" t="str">
        <f t="shared" si="1065"/>
        <v>Without Amendment</v>
      </c>
      <c r="D12250" s="138" t="str">
        <f t="shared" si="1070"/>
        <v>Medium_High</v>
      </c>
      <c r="E12250" s="138" t="str">
        <f t="shared" si="1066"/>
        <v>Base</v>
      </c>
      <c r="F12250" s="138" t="str">
        <f t="shared" si="1067"/>
        <v>Upgraded</v>
      </c>
      <c r="G12250" s="153"/>
      <c r="H12250" s="210">
        <v>1.6865000000000001</v>
      </c>
      <c r="I12250" s="160" t="s">
        <v>167</v>
      </c>
      <c r="J12250" s="160">
        <v>4.2789599999999997</v>
      </c>
      <c r="K12250" s="160" t="s">
        <v>15</v>
      </c>
      <c r="L12250" s="154" t="str">
        <f>IF(OpenLCAbasic!K12250="CTUh", "Fill in Manually",IF(OR(K12250="Unit", K12250=""), "", INDEX(LookUps!$E$5:$E$12, MATCH(OpenLCAbasic!K12250,LookUps!$D$5:$D$12,0))))</f>
        <v>Cumulative Energy Demand (CED) - MJ</v>
      </c>
      <c r="M12250" s="154" t="str">
        <f t="shared" si="1069"/>
        <v>Base_Medium_High_Upgraded_Cumulative Energy Demand (CED) - MJ_Waste Receiving and Holding; wastewater treatment unit; at updated plant - US_Without Amendment_Aerated Static Pile</v>
      </c>
    </row>
    <row r="12251" spans="1:13" s="120" customFormat="1" x14ac:dyDescent="0.25">
      <c r="A12251" s="119"/>
      <c r="B12251" s="138" t="str">
        <f t="shared" si="1064"/>
        <v>Aerated Static Pile</v>
      </c>
      <c r="C12251" s="138" t="str">
        <f t="shared" si="1065"/>
        <v>Without Amendment</v>
      </c>
      <c r="D12251" s="138" t="str">
        <f t="shared" si="1070"/>
        <v>Medium_High</v>
      </c>
      <c r="E12251" s="138" t="str">
        <f t="shared" si="1066"/>
        <v>Base</v>
      </c>
      <c r="F12251" s="138" t="str">
        <f t="shared" si="1067"/>
        <v>Upgraded</v>
      </c>
      <c r="G12251" s="153"/>
      <c r="H12251" s="210">
        <v>1.3925000000000001</v>
      </c>
      <c r="I12251" s="160" t="s">
        <v>55</v>
      </c>
      <c r="J12251" s="160">
        <v>3.5330499999999998</v>
      </c>
      <c r="K12251" s="160" t="s">
        <v>15</v>
      </c>
      <c r="L12251" s="154" t="str">
        <f>IF(OpenLCAbasic!K12251="CTUh", "Fill in Manually",IF(OR(K12251="Unit", K12251=""), "", INDEX(LookUps!$E$5:$E$12, MATCH(OpenLCAbasic!K12251,LookUps!$D$5:$D$12,0))))</f>
        <v>Cumulative Energy Demand (CED) - MJ</v>
      </c>
      <c r="M12251" s="154" t="str">
        <f t="shared" si="1069"/>
        <v>Base_Medium_High_Upgraded_Cumulative Energy Demand (CED) - MJ_Aeration Tanks; wastewater treatment unit; at updated plant - US_Without Amendment_Aerated Static Pile</v>
      </c>
    </row>
    <row r="12252" spans="1:13" s="120" customFormat="1" x14ac:dyDescent="0.25">
      <c r="A12252" s="119"/>
      <c r="B12252" s="138" t="str">
        <f t="shared" si="1064"/>
        <v>Aerated Static Pile</v>
      </c>
      <c r="C12252" s="138" t="str">
        <f t="shared" si="1065"/>
        <v>Without Amendment</v>
      </c>
      <c r="D12252" s="138" t="str">
        <f t="shared" si="1070"/>
        <v>Medium_High</v>
      </c>
      <c r="E12252" s="138" t="str">
        <f t="shared" si="1066"/>
        <v>Base</v>
      </c>
      <c r="F12252" s="138" t="str">
        <f t="shared" si="1067"/>
        <v>Upgraded</v>
      </c>
      <c r="G12252" s="153"/>
      <c r="H12252" s="210">
        <v>0.45829999999999999</v>
      </c>
      <c r="I12252" s="160" t="s">
        <v>54</v>
      </c>
      <c r="J12252" s="160">
        <v>1.16289</v>
      </c>
      <c r="K12252" s="160" t="s">
        <v>15</v>
      </c>
      <c r="L12252" s="154" t="str">
        <f>IF(OpenLCAbasic!K12252="CTUh", "Fill in Manually",IF(OR(K12252="Unit", K12252=""), "", INDEX(LookUps!$E$5:$E$12, MATCH(OpenLCAbasic!K12252,LookUps!$D$5:$D$12,0))))</f>
        <v>Cumulative Energy Demand (CED) - MJ</v>
      </c>
      <c r="M12252" s="154" t="str">
        <f t="shared" si="1069"/>
        <v>Base_Medium_High_Upgraded_Cumulative Energy Demand (CED) - MJ_Clear Cove Primary Clarification; wastewater treatment unit; at updated plant - US_Without Amendment_Aerated Static Pile</v>
      </c>
    </row>
    <row r="12253" spans="1:13" s="120" customFormat="1" x14ac:dyDescent="0.25">
      <c r="A12253" s="119"/>
      <c r="B12253" s="138" t="str">
        <f t="shared" si="1064"/>
        <v>Aerated Static Pile</v>
      </c>
      <c r="C12253" s="138" t="str">
        <f t="shared" si="1065"/>
        <v>Without Amendment</v>
      </c>
      <c r="D12253" s="138" t="str">
        <f t="shared" si="1070"/>
        <v>Medium_High</v>
      </c>
      <c r="E12253" s="138" t="str">
        <f t="shared" si="1066"/>
        <v>Base</v>
      </c>
      <c r="F12253" s="138" t="str">
        <f t="shared" si="1067"/>
        <v>Upgraded</v>
      </c>
      <c r="G12253" s="153"/>
      <c r="H12253" s="210">
        <v>0.34960000000000002</v>
      </c>
      <c r="I12253" s="160" t="s">
        <v>58</v>
      </c>
      <c r="J12253" s="160">
        <v>0.88705000000000001</v>
      </c>
      <c r="K12253" s="160" t="s">
        <v>15</v>
      </c>
      <c r="L12253" s="154" t="str">
        <f>IF(OpenLCAbasic!K12253="CTUh", "Fill in Manually",IF(OR(K12253="Unit", K12253=""), "", INDEX(LookUps!$E$5:$E$12, MATCH(OpenLCAbasic!K12253,LookUps!$D$5:$D$12,0))))</f>
        <v>Cumulative Energy Demand (CED) - MJ</v>
      </c>
      <c r="M12253" s="154" t="str">
        <f t="shared" si="1069"/>
        <v>Base_Medium_High_Upgraded_Cumulative Energy Demand (CED) - MJ_Pre-Anoxic &amp; Swing tank; wastewater treatment unit; at updated plant - US_Without Amendment_Aerated Static Pile</v>
      </c>
    </row>
    <row r="12254" spans="1:13" s="120" customFormat="1" x14ac:dyDescent="0.25">
      <c r="A12254" s="119"/>
      <c r="B12254" s="138" t="str">
        <f t="shared" si="1064"/>
        <v>Aerated Static Pile</v>
      </c>
      <c r="C12254" s="138" t="str">
        <f t="shared" si="1065"/>
        <v>Without Amendment</v>
      </c>
      <c r="D12254" s="138" t="str">
        <f t="shared" si="1070"/>
        <v>Medium_High</v>
      </c>
      <c r="E12254" s="138" t="str">
        <f t="shared" si="1066"/>
        <v>Base</v>
      </c>
      <c r="F12254" s="138" t="str">
        <f t="shared" si="1067"/>
        <v>Upgraded</v>
      </c>
      <c r="G12254" s="153"/>
      <c r="H12254" s="210">
        <v>0.34799999999999998</v>
      </c>
      <c r="I12254" s="160" t="s">
        <v>147</v>
      </c>
      <c r="J12254" s="160">
        <v>0.88297000000000003</v>
      </c>
      <c r="K12254" s="160" t="s">
        <v>15</v>
      </c>
      <c r="L12254" s="154" t="str">
        <f>IF(OpenLCAbasic!K12254="CTUh", "Fill in Manually",IF(OR(K12254="Unit", K12254=""), "", INDEX(LookUps!$E$5:$E$12, MATCH(OpenLCAbasic!K12254,LookUps!$D$5:$D$12,0))))</f>
        <v>Cumulative Energy Demand (CED) - MJ</v>
      </c>
      <c r="M12254" s="154" t="str">
        <f t="shared" si="1069"/>
        <v>Base_Medium_High_Upgraded_Cumulative Energy Demand (CED) - MJ_Influent Pump Station; wastewater treatment unit; at updated plant - US_Without Amendment_Aerated Static Pile</v>
      </c>
    </row>
    <row r="12255" spans="1:13" s="120" customFormat="1" x14ac:dyDescent="0.25">
      <c r="A12255" s="119"/>
      <c r="B12255" s="138" t="str">
        <f t="shared" si="1064"/>
        <v>Aerated Static Pile</v>
      </c>
      <c r="C12255" s="138" t="str">
        <f t="shared" si="1065"/>
        <v>Without Amendment</v>
      </c>
      <c r="D12255" s="138" t="str">
        <f t="shared" si="1070"/>
        <v>Medium_High</v>
      </c>
      <c r="E12255" s="138" t="str">
        <f t="shared" si="1066"/>
        <v>Base</v>
      </c>
      <c r="F12255" s="138" t="str">
        <f t="shared" si="1067"/>
        <v>Upgraded</v>
      </c>
      <c r="G12255" s="153"/>
      <c r="H12255" s="210">
        <v>0.27450000000000002</v>
      </c>
      <c r="I12255" s="160" t="s">
        <v>53</v>
      </c>
      <c r="J12255" s="160">
        <v>0.69645000000000001</v>
      </c>
      <c r="K12255" s="160" t="s">
        <v>15</v>
      </c>
      <c r="L12255" s="154" t="str">
        <f>IF(OpenLCAbasic!K12255="CTUh", "Fill in Manually",IF(OR(K12255="Unit", K12255=""), "", INDEX(LookUps!$E$5:$E$12, MATCH(OpenLCAbasic!K12255,LookUps!$D$5:$D$12,0))))</f>
        <v>Cumulative Energy Demand (CED) - MJ</v>
      </c>
      <c r="M12255" s="154" t="str">
        <f t="shared" si="1069"/>
        <v>Base_Medium_High_Upgraded_Cumulative Energy Demand (CED) - MJ_Wet Well and Sump Station; wastewater treatment unit; at updated plant - US_Without Amendment_Aerated Static Pile</v>
      </c>
    </row>
    <row r="12256" spans="1:13" s="120" customFormat="1" x14ac:dyDescent="0.25">
      <c r="A12256" s="119"/>
      <c r="B12256" s="138" t="str">
        <f t="shared" si="1064"/>
        <v>Aerated Static Pile</v>
      </c>
      <c r="C12256" s="138" t="str">
        <f t="shared" si="1065"/>
        <v>Without Amendment</v>
      </c>
      <c r="D12256" s="138" t="str">
        <f t="shared" si="1070"/>
        <v>Medium_High</v>
      </c>
      <c r="E12256" s="138" t="str">
        <f t="shared" si="1066"/>
        <v>Base</v>
      </c>
      <c r="F12256" s="138" t="str">
        <f t="shared" si="1067"/>
        <v>Upgraded</v>
      </c>
      <c r="G12256" s="153"/>
      <c r="H12256" s="210">
        <v>0.18110000000000001</v>
      </c>
      <c r="I12256" s="160" t="s">
        <v>435</v>
      </c>
      <c r="J12256" s="160">
        <v>0.45960000000000001</v>
      </c>
      <c r="K12256" s="160" t="s">
        <v>15</v>
      </c>
      <c r="L12256" s="154" t="str">
        <f>IF(OpenLCAbasic!K12256="CTUh", "Fill in Manually",IF(OR(K12256="Unit", K12256=""), "", INDEX(LookUps!$E$5:$E$12, MATCH(OpenLCAbasic!K12256,LookUps!$D$5:$D$12,0))))</f>
        <v>Cumulative Energy Demand (CED) - MJ</v>
      </c>
      <c r="M12256" s="154" t="str">
        <f t="shared" si="1069"/>
        <v>Base_Medium_High_Upgraded_Cumulative Energy Demand (CED) - MJ_Biosolids composting; aerated static pile; wastewater treatment unit; at updated plant - US_Without Amendment_Aerated Static Pile</v>
      </c>
    </row>
    <row r="12257" spans="1:13" s="120" customFormat="1" x14ac:dyDescent="0.25">
      <c r="A12257" s="119"/>
      <c r="B12257" s="138" t="str">
        <f t="shared" si="1064"/>
        <v>Aerated Static Pile</v>
      </c>
      <c r="C12257" s="138" t="str">
        <f t="shared" si="1065"/>
        <v>Without Amendment</v>
      </c>
      <c r="D12257" s="138" t="str">
        <f t="shared" si="1070"/>
        <v>Medium_High</v>
      </c>
      <c r="E12257" s="138" t="str">
        <f t="shared" si="1066"/>
        <v>Base</v>
      </c>
      <c r="F12257" s="138" t="str">
        <f t="shared" si="1067"/>
        <v>Upgraded</v>
      </c>
      <c r="G12257" s="153"/>
      <c r="H12257" s="210">
        <v>0.15010000000000001</v>
      </c>
      <c r="I12257" s="160" t="s">
        <v>60</v>
      </c>
      <c r="J12257" s="160">
        <v>0.38092999999999999</v>
      </c>
      <c r="K12257" s="160" t="s">
        <v>15</v>
      </c>
      <c r="L12257" s="154" t="str">
        <f>IF(OpenLCAbasic!K12257="CTUh", "Fill in Manually",IF(OR(K12257="Unit", K12257=""), "", INDEX(LookUps!$E$5:$E$12, MATCH(OpenLCAbasic!K12257,LookUps!$D$5:$D$12,0))))</f>
        <v>Cumulative Energy Demand (CED) - MJ</v>
      </c>
      <c r="M12257" s="154" t="str">
        <f t="shared" si="1069"/>
        <v>Base_Medium_High_Upgraded_Cumulative Energy Demand (CED) - MJ_Belt filter press; wastewater treatment unit; at updated plant - US_Without Amendment_Aerated Static Pile</v>
      </c>
    </row>
    <row r="12258" spans="1:13" s="120" customFormat="1" x14ac:dyDescent="0.25">
      <c r="A12258" s="119"/>
      <c r="B12258" s="138" t="str">
        <f t="shared" si="1064"/>
        <v>Aerated Static Pile</v>
      </c>
      <c r="C12258" s="138" t="str">
        <f t="shared" si="1065"/>
        <v>Without Amendment</v>
      </c>
      <c r="D12258" s="138" t="str">
        <f t="shared" si="1070"/>
        <v>Medium_High</v>
      </c>
      <c r="E12258" s="138" t="str">
        <f t="shared" si="1066"/>
        <v>Base</v>
      </c>
      <c r="F12258" s="138" t="str">
        <f t="shared" si="1067"/>
        <v>Upgraded</v>
      </c>
      <c r="G12258" s="153"/>
      <c r="H12258" s="210">
        <v>0.13170000000000001</v>
      </c>
      <c r="I12258" s="160" t="s">
        <v>57</v>
      </c>
      <c r="J12258" s="160">
        <v>0.33404</v>
      </c>
      <c r="K12258" s="160" t="s">
        <v>15</v>
      </c>
      <c r="L12258" s="154" t="str">
        <f>IF(OpenLCAbasic!K12258="CTUh", "Fill in Manually",IF(OR(K12258="Unit", K12258=""), "", INDEX(LookUps!$E$5:$E$12, MATCH(OpenLCAbasic!K12258,LookUps!$D$5:$D$12,0))))</f>
        <v>Cumulative Energy Demand (CED) - MJ</v>
      </c>
      <c r="M12258" s="154" t="str">
        <f t="shared" si="1069"/>
        <v>Base_Medium_High_Upgraded_Cumulative Energy Demand (CED) - MJ_Gravity Belt Thickener; wastewater treatment unit; at updated plant - US_Without Amendment_Aerated Static Pile</v>
      </c>
    </row>
    <row r="12259" spans="1:13" s="120" customFormat="1" x14ac:dyDescent="0.25">
      <c r="A12259" s="119"/>
      <c r="B12259" s="138" t="str">
        <f t="shared" si="1064"/>
        <v>Aerated Static Pile</v>
      </c>
      <c r="C12259" s="138" t="str">
        <f t="shared" si="1065"/>
        <v>Without Amendment</v>
      </c>
      <c r="D12259" s="138" t="str">
        <f t="shared" si="1070"/>
        <v>Medium_High</v>
      </c>
      <c r="E12259" s="138" t="str">
        <f t="shared" si="1066"/>
        <v>Base</v>
      </c>
      <c r="F12259" s="138" t="str">
        <f t="shared" si="1067"/>
        <v>Upgraded</v>
      </c>
      <c r="G12259" s="153"/>
      <c r="H12259" s="210">
        <v>0.1009</v>
      </c>
      <c r="I12259" s="160" t="s">
        <v>128</v>
      </c>
      <c r="J12259" s="160">
        <v>0.25606000000000001</v>
      </c>
      <c r="K12259" s="160" t="s">
        <v>15</v>
      </c>
      <c r="L12259" s="154" t="str">
        <f>IF(OpenLCAbasic!K12259="CTUh", "Fill in Manually",IF(OR(K12259="Unit", K12259=""), "", INDEX(LookUps!$E$5:$E$12, MATCH(OpenLCAbasic!K12259,LookUps!$D$5:$D$12,0))))</f>
        <v>Cumulative Energy Demand (CED) - MJ</v>
      </c>
      <c r="M12259" s="154" t="str">
        <f t="shared" si="1069"/>
        <v>Base_Medium_High_Upgraded_Cumulative Energy Demand (CED) - MJ_Wastewater collection; operation and infrastructure; m3 wastewater_Without Amendment_Aerated Static Pile</v>
      </c>
    </row>
    <row r="12260" spans="1:13" s="120" customFormat="1" x14ac:dyDescent="0.25">
      <c r="A12260" s="119"/>
      <c r="B12260" s="138" t="str">
        <f t="shared" si="1064"/>
        <v>Aerated Static Pile</v>
      </c>
      <c r="C12260" s="138" t="str">
        <f t="shared" si="1065"/>
        <v>Without Amendment</v>
      </c>
      <c r="D12260" s="138" t="str">
        <f t="shared" si="1070"/>
        <v>Medium_High</v>
      </c>
      <c r="E12260" s="138" t="str">
        <f t="shared" si="1066"/>
        <v>Base</v>
      </c>
      <c r="F12260" s="138" t="str">
        <f t="shared" si="1067"/>
        <v>Upgraded</v>
      </c>
      <c r="G12260" s="153"/>
      <c r="H12260" s="210">
        <v>5.7500000000000002E-2</v>
      </c>
      <c r="I12260" s="160" t="s">
        <v>148</v>
      </c>
      <c r="J12260" s="160">
        <v>0.14599000000000001</v>
      </c>
      <c r="K12260" s="160" t="s">
        <v>15</v>
      </c>
      <c r="L12260" s="154" t="str">
        <f>IF(OpenLCAbasic!K12260="CTUh", "Fill in Manually",IF(OR(K12260="Unit", K12260=""), "", INDEX(LookUps!$E$5:$E$12, MATCH(OpenLCAbasic!K12260,LookUps!$D$5:$D$12,0))))</f>
        <v>Cumulative Energy Demand (CED) - MJ</v>
      </c>
      <c r="M12260" s="154" t="str">
        <f t="shared" si="1069"/>
        <v>Base_Medium_High_Upgraded_Cumulative Energy Demand (CED) - MJ_Control Building; at upgraded wastewater treatment plant - US_Without Amendment_Aerated Static Pile</v>
      </c>
    </row>
    <row r="12261" spans="1:13" s="120" customFormat="1" x14ac:dyDescent="0.25">
      <c r="A12261" s="119"/>
      <c r="B12261" s="138" t="str">
        <f t="shared" si="1064"/>
        <v>Aerated Static Pile</v>
      </c>
      <c r="C12261" s="138" t="str">
        <f t="shared" si="1065"/>
        <v>Without Amendment</v>
      </c>
      <c r="D12261" s="138" t="str">
        <f t="shared" si="1070"/>
        <v>Medium_High</v>
      </c>
      <c r="E12261" s="138" t="str">
        <f t="shared" si="1066"/>
        <v>Base</v>
      </c>
      <c r="F12261" s="138" t="str">
        <f t="shared" si="1067"/>
        <v>Upgraded</v>
      </c>
      <c r="G12261" s="153"/>
      <c r="H12261" s="210">
        <v>5.2499999999999998E-2</v>
      </c>
      <c r="I12261" s="160" t="s">
        <v>48</v>
      </c>
      <c r="J12261" s="160">
        <v>0.13321</v>
      </c>
      <c r="K12261" s="160" t="s">
        <v>15</v>
      </c>
      <c r="L12261" s="154" t="str">
        <f>IF(OpenLCAbasic!K12261="CTUh", "Fill in Manually",IF(OR(K12261="Unit", K12261=""), "", INDEX(LookUps!$E$5:$E$12, MATCH(OpenLCAbasic!K12261,LookUps!$D$5:$D$12,0))))</f>
        <v>Cumulative Energy Demand (CED) - MJ</v>
      </c>
      <c r="M12261" s="154" t="str">
        <f t="shared" si="1069"/>
        <v>Base_Medium_High_Upgraded_Cumulative Energy Demand (CED) - MJ_Effluent release; wastewater treatment unit; at surface water; m3 wastewater - US_Without Amendment_Aerated Static Pile</v>
      </c>
    </row>
    <row r="12262" spans="1:13" s="120" customFormat="1" x14ac:dyDescent="0.25">
      <c r="A12262" s="119"/>
      <c r="B12262" s="138" t="str">
        <f t="shared" si="1064"/>
        <v>Aerated Static Pile</v>
      </c>
      <c r="C12262" s="138" t="str">
        <f t="shared" si="1065"/>
        <v>Without Amendment</v>
      </c>
      <c r="D12262" s="138" t="str">
        <f t="shared" si="1070"/>
        <v>Medium_High</v>
      </c>
      <c r="E12262" s="138" t="str">
        <f t="shared" si="1066"/>
        <v>Base</v>
      </c>
      <c r="F12262" s="138" t="str">
        <f t="shared" si="1067"/>
        <v>Upgraded</v>
      </c>
      <c r="G12262" s="153"/>
      <c r="H12262" s="210">
        <v>4.19E-2</v>
      </c>
      <c r="I12262" s="160" t="s">
        <v>59</v>
      </c>
      <c r="J12262" s="160">
        <v>0.10638</v>
      </c>
      <c r="K12262" s="160" t="s">
        <v>15</v>
      </c>
      <c r="L12262" s="154" t="str">
        <f>IF(OpenLCAbasic!K12262="CTUh", "Fill in Manually",IF(OR(K12262="Unit", K12262=""), "", INDEX(LookUps!$E$5:$E$12, MATCH(OpenLCAbasic!K12262,LookUps!$D$5:$D$12,0))))</f>
        <v>Cumulative Energy Demand (CED) - MJ</v>
      </c>
      <c r="M12262" s="154" t="str">
        <f t="shared" si="1069"/>
        <v>Base_Medium_High_Upgraded_Cumulative Energy Demand (CED) - MJ_Blend Tank; wastewater treatment unit; at updated plant - US_Without Amendment_Aerated Static Pile</v>
      </c>
    </row>
    <row r="12263" spans="1:13" s="120" customFormat="1" x14ac:dyDescent="0.25">
      <c r="A12263" s="119"/>
      <c r="B12263" s="138" t="str">
        <f t="shared" si="1064"/>
        <v>Aerated Static Pile</v>
      </c>
      <c r="C12263" s="138" t="str">
        <f t="shared" si="1065"/>
        <v>Without Amendment</v>
      </c>
      <c r="D12263" s="138" t="str">
        <f t="shared" si="1070"/>
        <v>Medium_High</v>
      </c>
      <c r="E12263" s="138" t="str">
        <f t="shared" si="1066"/>
        <v>Base</v>
      </c>
      <c r="F12263" s="138" t="str">
        <f t="shared" si="1067"/>
        <v>Upgraded</v>
      </c>
      <c r="G12263" s="153"/>
      <c r="H12263" s="210">
        <v>2.01E-2</v>
      </c>
      <c r="I12263" s="160" t="s">
        <v>168</v>
      </c>
      <c r="J12263" s="160">
        <v>5.0930000000000003E-2</v>
      </c>
      <c r="K12263" s="160" t="s">
        <v>15</v>
      </c>
      <c r="L12263" s="154" t="str">
        <f>IF(OpenLCAbasic!K12263="CTUh", "Fill in Manually",IF(OR(K12263="Unit", K12263=""), "", INDEX(LookUps!$E$5:$E$12, MATCH(OpenLCAbasic!K12263,LookUps!$D$5:$D$12,0))))</f>
        <v>Cumulative Energy Demand (CED) - MJ</v>
      </c>
      <c r="M12263" s="154" t="str">
        <f t="shared" si="1069"/>
        <v>Base_Medium_High_Upgraded_Cumulative Energy Demand (CED) - MJ_ClearCove SCP; wastewater treatment unit; at updated plant - US_Without Amendment_Aerated Static Pile</v>
      </c>
    </row>
    <row r="12264" spans="1:13" s="120" customFormat="1" x14ac:dyDescent="0.25">
      <c r="A12264" s="119"/>
      <c r="B12264" s="138" t="str">
        <f t="shared" si="1064"/>
        <v>Aerated Static Pile</v>
      </c>
      <c r="C12264" s="138" t="str">
        <f t="shared" si="1065"/>
        <v>Without Amendment</v>
      </c>
      <c r="D12264" s="138" t="str">
        <f t="shared" si="1070"/>
        <v>Medium_High</v>
      </c>
      <c r="E12264" s="138" t="str">
        <f t="shared" si="1066"/>
        <v>Base</v>
      </c>
      <c r="F12264" s="138" t="str">
        <f t="shared" si="1067"/>
        <v>Upgraded</v>
      </c>
      <c r="G12264" s="153"/>
      <c r="H12264" s="210">
        <v>-0.1474</v>
      </c>
      <c r="I12264" s="160" t="s">
        <v>62</v>
      </c>
      <c r="J12264" s="160">
        <v>-0.37397999999999998</v>
      </c>
      <c r="K12264" s="160" t="s">
        <v>15</v>
      </c>
      <c r="L12264" s="154" t="str">
        <f>IF(OpenLCAbasic!K12264="CTUh", "Fill in Manually",IF(OR(K12264="Unit", K12264=""), "", INDEX(LookUps!$E$5:$E$12, MATCH(OpenLCAbasic!K12264,LookUps!$D$5:$D$12,0))))</f>
        <v>Cumulative Energy Demand (CED) - MJ</v>
      </c>
      <c r="M12264" s="154" t="str">
        <f t="shared" si="1069"/>
        <v>Base_Medium_High_Upgraded_Cumulative Energy Demand (CED) - MJ_Land application of compost; wastewater treatment unit; at updated plant - US_Without Amendment_Aerated Static Pile</v>
      </c>
    </row>
    <row r="12265" spans="1:13" s="120" customFormat="1" x14ac:dyDescent="0.25">
      <c r="A12265" s="119"/>
      <c r="B12265" s="138" t="str">
        <f t="shared" ref="B12265:B12328" si="1071">IF(F12265="Legacy","n.a.",IF(F12265="","","Aerated Static Pile"))</f>
        <v>Aerated Static Pile</v>
      </c>
      <c r="C12265" s="138" t="str">
        <f t="shared" ref="C12265:C12328" si="1072">IF(ISNUMBER($J12265),"Without Amendment","")</f>
        <v>Without Amendment</v>
      </c>
      <c r="D12265" s="138" t="str">
        <f t="shared" si="1070"/>
        <v>Medium_High</v>
      </c>
      <c r="E12265" s="138" t="str">
        <f t="shared" ref="E12265:E12328" si="1073">IF(ISNUMBER($J12265),"Base","")</f>
        <v>Base</v>
      </c>
      <c r="F12265" s="138" t="str">
        <f t="shared" ref="F12265:F12328" si="1074">IF(ISNUMBER(J12265),"Upgraded","")</f>
        <v>Upgraded</v>
      </c>
      <c r="G12265" s="153"/>
      <c r="H12265" s="210">
        <v>-6.0979000000000001</v>
      </c>
      <c r="I12265" s="160" t="s">
        <v>149</v>
      </c>
      <c r="J12265" s="160">
        <v>-15.471780000000001</v>
      </c>
      <c r="K12265" s="160" t="s">
        <v>15</v>
      </c>
      <c r="L12265" s="154" t="str">
        <f>IF(OpenLCAbasic!K12265="CTUh", "Fill in Manually",IF(OR(K12265="Unit", K12265=""), "", INDEX(LookUps!$E$5:$E$12, MATCH(OpenLCAbasic!K12265,LookUps!$D$5:$D$12,0))))</f>
        <v>Cumulative Energy Demand (CED) - MJ</v>
      </c>
      <c r="M12265" s="154" t="str">
        <f t="shared" si="1069"/>
        <v>Base_Medium_High_Upgraded_Cumulative Energy Demand (CED) - MJ_Anaerobic Digestion; wastewater treatment unit; at updated plant - US_Without Amendment_Aerated Static Pile</v>
      </c>
    </row>
    <row r="12266" spans="1:13" s="120" customFormat="1" x14ac:dyDescent="0.25">
      <c r="A12266" s="119"/>
      <c r="B12266" s="138" t="str">
        <f t="shared" si="1071"/>
        <v/>
      </c>
      <c r="C12266" s="138" t="str">
        <f t="shared" si="1072"/>
        <v/>
      </c>
      <c r="D12266" s="138" t="str">
        <f t="shared" si="1070"/>
        <v/>
      </c>
      <c r="E12266" s="138" t="str">
        <f t="shared" si="1073"/>
        <v/>
      </c>
      <c r="F12266" s="138" t="str">
        <f t="shared" si="1074"/>
        <v/>
      </c>
      <c r="G12266" s="153" t="s">
        <v>51</v>
      </c>
      <c r="H12266" s="160"/>
      <c r="I12266" s="160" t="s">
        <v>47</v>
      </c>
      <c r="J12266" s="160" t="s">
        <v>52</v>
      </c>
      <c r="K12266" s="160" t="s">
        <v>27</v>
      </c>
      <c r="L12266" s="154" t="str">
        <f>IF(OpenLCAbasic!K12266="CTUh", "Fill in Manually",IF(OR(K12266="Unit", K12266=""), "", INDEX(LookUps!$E$5:$E$12, MATCH(OpenLCAbasic!K12266,LookUps!$D$5:$D$12,0))))</f>
        <v/>
      </c>
      <c r="M12266" s="154" t="str">
        <f t="shared" si="1069"/>
        <v>____Process__</v>
      </c>
    </row>
    <row r="12267" spans="1:13" s="120" customFormat="1" x14ac:dyDescent="0.25">
      <c r="A12267" s="119"/>
      <c r="B12267" s="138" t="str">
        <f t="shared" si="1071"/>
        <v>Aerated Static Pile</v>
      </c>
      <c r="C12267" s="138" t="str">
        <f t="shared" si="1072"/>
        <v>Without Amendment</v>
      </c>
      <c r="D12267" s="138" t="str">
        <f t="shared" si="1070"/>
        <v>Medium_High</v>
      </c>
      <c r="E12267" s="138" t="str">
        <f t="shared" si="1073"/>
        <v>Base</v>
      </c>
      <c r="F12267" s="138" t="str">
        <f t="shared" si="1074"/>
        <v>Upgraded</v>
      </c>
      <c r="G12267" s="153"/>
      <c r="H12267" s="210">
        <v>0.87480000000000002</v>
      </c>
      <c r="I12267" s="160" t="s">
        <v>48</v>
      </c>
      <c r="J12267" s="160">
        <v>1.1610000000000001E-2</v>
      </c>
      <c r="K12267" s="160" t="s">
        <v>13</v>
      </c>
      <c r="L12267" s="154" t="str">
        <f>IF(OpenLCAbasic!K12267="CTUh", "Fill in Manually",IF(OR(K12267="Unit", K12267=""), "", INDEX(LookUps!$E$5:$E$12, MATCH(OpenLCAbasic!K12267,LookUps!$D$5:$D$12,0))))</f>
        <v>Eutrophication Potential (EP) - kg N eq</v>
      </c>
      <c r="M12267" s="154" t="str">
        <f t="shared" si="1069"/>
        <v>Base_Medium_High_Upgraded_Eutrophication Potential (EP) - kg N eq_Effluent release; wastewater treatment unit; at surface water; m3 wastewater - US_Without Amendment_Aerated Static Pile</v>
      </c>
    </row>
    <row r="12268" spans="1:13" s="120" customFormat="1" x14ac:dyDescent="0.25">
      <c r="A12268" s="119"/>
      <c r="B12268" s="138" t="str">
        <f t="shared" si="1071"/>
        <v>Aerated Static Pile</v>
      </c>
      <c r="C12268" s="138" t="str">
        <f t="shared" si="1072"/>
        <v>Without Amendment</v>
      </c>
      <c r="D12268" s="138" t="str">
        <f t="shared" si="1070"/>
        <v>Medium_High</v>
      </c>
      <c r="E12268" s="138" t="str">
        <f t="shared" si="1073"/>
        <v>Base</v>
      </c>
      <c r="F12268" s="138" t="str">
        <f t="shared" si="1074"/>
        <v>Upgraded</v>
      </c>
      <c r="G12268" s="153"/>
      <c r="H12268" s="210">
        <v>0.1285</v>
      </c>
      <c r="I12268" s="160" t="s">
        <v>62</v>
      </c>
      <c r="J12268" s="160">
        <v>1.7099999999999999E-3</v>
      </c>
      <c r="K12268" s="160" t="s">
        <v>13</v>
      </c>
      <c r="L12268" s="154" t="str">
        <f>IF(OpenLCAbasic!K12268="CTUh", "Fill in Manually",IF(OR(K12268="Unit", K12268=""), "", INDEX(LookUps!$E$5:$E$12, MATCH(OpenLCAbasic!K12268,LookUps!$D$5:$D$12,0))))</f>
        <v>Eutrophication Potential (EP) - kg N eq</v>
      </c>
      <c r="M12268" s="154" t="str">
        <f t="shared" si="1069"/>
        <v>Base_Medium_High_Upgraded_Eutrophication Potential (EP) - kg N eq_Land application of compost; wastewater treatment unit; at updated plant - US_Without Amendment_Aerated Static Pile</v>
      </c>
    </row>
    <row r="12269" spans="1:13" s="120" customFormat="1" x14ac:dyDescent="0.25">
      <c r="A12269" s="119"/>
      <c r="B12269" s="138" t="str">
        <f t="shared" si="1071"/>
        <v>Aerated Static Pile</v>
      </c>
      <c r="C12269" s="138" t="str">
        <f t="shared" si="1072"/>
        <v>Without Amendment</v>
      </c>
      <c r="D12269" s="138" t="str">
        <f t="shared" si="1070"/>
        <v>Medium_High</v>
      </c>
      <c r="E12269" s="138" t="str">
        <f t="shared" si="1073"/>
        <v>Base</v>
      </c>
      <c r="F12269" s="138" t="str">
        <f t="shared" si="1074"/>
        <v>Upgraded</v>
      </c>
      <c r="G12269" s="153"/>
      <c r="H12269" s="210">
        <v>4.1200000000000001E-2</v>
      </c>
      <c r="I12269" s="160" t="s">
        <v>55</v>
      </c>
      <c r="J12269" s="160">
        <v>5.5000000000000003E-4</v>
      </c>
      <c r="K12269" s="160" t="s">
        <v>13</v>
      </c>
      <c r="L12269" s="154" t="str">
        <f>IF(OpenLCAbasic!K12269="CTUh", "Fill in Manually",IF(OR(K12269="Unit", K12269=""), "", INDEX(LookUps!$E$5:$E$12, MATCH(OpenLCAbasic!K12269,LookUps!$D$5:$D$12,0))))</f>
        <v>Eutrophication Potential (EP) - kg N eq</v>
      </c>
      <c r="M12269" s="154" t="str">
        <f t="shared" si="1069"/>
        <v>Base_Medium_High_Upgraded_Eutrophication Potential (EP) - kg N eq_Aeration Tanks; wastewater treatment unit; at updated plant - US_Without Amendment_Aerated Static Pile</v>
      </c>
    </row>
    <row r="12270" spans="1:13" s="120" customFormat="1" x14ac:dyDescent="0.25">
      <c r="A12270" s="119"/>
      <c r="B12270" s="138" t="str">
        <f t="shared" si="1071"/>
        <v>Aerated Static Pile</v>
      </c>
      <c r="C12270" s="138" t="str">
        <f t="shared" si="1072"/>
        <v>Without Amendment</v>
      </c>
      <c r="D12270" s="138" t="str">
        <f t="shared" si="1070"/>
        <v>Medium_High</v>
      </c>
      <c r="E12270" s="138" t="str">
        <f t="shared" si="1073"/>
        <v>Base</v>
      </c>
      <c r="F12270" s="138" t="str">
        <f t="shared" si="1074"/>
        <v>Upgraded</v>
      </c>
      <c r="G12270" s="153"/>
      <c r="H12270" s="210">
        <v>1.8800000000000001E-2</v>
      </c>
      <c r="I12270" s="160" t="s">
        <v>147</v>
      </c>
      <c r="J12270" s="160">
        <v>2.5000000000000001E-4</v>
      </c>
      <c r="K12270" s="160" t="s">
        <v>13</v>
      </c>
      <c r="L12270" s="154" t="str">
        <f>IF(OpenLCAbasic!K12270="CTUh", "Fill in Manually",IF(OR(K12270="Unit", K12270=""), "", INDEX(LookUps!$E$5:$E$12, MATCH(OpenLCAbasic!K12270,LookUps!$D$5:$D$12,0))))</f>
        <v>Eutrophication Potential (EP) - kg N eq</v>
      </c>
      <c r="M12270" s="154" t="str">
        <f t="shared" si="1069"/>
        <v>Base_Medium_High_Upgraded_Eutrophication Potential (EP) - kg N eq_Influent Pump Station; wastewater treatment unit; at updated plant - US_Without Amendment_Aerated Static Pile</v>
      </c>
    </row>
    <row r="12271" spans="1:13" s="120" customFormat="1" x14ac:dyDescent="0.25">
      <c r="A12271" s="119"/>
      <c r="B12271" s="138" t="str">
        <f t="shared" si="1071"/>
        <v>Aerated Static Pile</v>
      </c>
      <c r="C12271" s="138" t="str">
        <f t="shared" si="1072"/>
        <v>Without Amendment</v>
      </c>
      <c r="D12271" s="138" t="str">
        <f t="shared" si="1070"/>
        <v>Medium_High</v>
      </c>
      <c r="E12271" s="138" t="str">
        <f t="shared" si="1073"/>
        <v>Base</v>
      </c>
      <c r="F12271" s="138" t="str">
        <f t="shared" si="1074"/>
        <v>Upgraded</v>
      </c>
      <c r="G12271" s="153"/>
      <c r="H12271" s="210">
        <v>1.49E-2</v>
      </c>
      <c r="I12271" s="160" t="s">
        <v>54</v>
      </c>
      <c r="J12271" s="160">
        <v>2.0000000000000001E-4</v>
      </c>
      <c r="K12271" s="160" t="s">
        <v>13</v>
      </c>
      <c r="L12271" s="154" t="str">
        <f>IF(OpenLCAbasic!K12271="CTUh", "Fill in Manually",IF(OR(K12271="Unit", K12271=""), "", INDEX(LookUps!$E$5:$E$12, MATCH(OpenLCAbasic!K12271,LookUps!$D$5:$D$12,0))))</f>
        <v>Eutrophication Potential (EP) - kg N eq</v>
      </c>
      <c r="M12271" s="154" t="str">
        <f t="shared" si="1069"/>
        <v>Base_Medium_High_Upgraded_Eutrophication Potential (EP) - kg N eq_Clear Cove Primary Clarification; wastewater treatment unit; at updated plant - US_Without Amendment_Aerated Static Pile</v>
      </c>
    </row>
    <row r="12272" spans="1:13" s="120" customFormat="1" x14ac:dyDescent="0.25">
      <c r="A12272" s="119"/>
      <c r="B12272" s="138" t="str">
        <f t="shared" si="1071"/>
        <v>Aerated Static Pile</v>
      </c>
      <c r="C12272" s="138" t="str">
        <f t="shared" si="1072"/>
        <v>Without Amendment</v>
      </c>
      <c r="D12272" s="138" t="str">
        <f t="shared" si="1070"/>
        <v>Medium_High</v>
      </c>
      <c r="E12272" s="138" t="str">
        <f t="shared" si="1073"/>
        <v>Base</v>
      </c>
      <c r="F12272" s="138" t="str">
        <f t="shared" si="1074"/>
        <v>Upgraded</v>
      </c>
      <c r="G12272" s="153"/>
      <c r="H12272" s="210">
        <v>1.44E-2</v>
      </c>
      <c r="I12272" s="160" t="s">
        <v>167</v>
      </c>
      <c r="J12272" s="160">
        <v>1.9000000000000001E-4</v>
      </c>
      <c r="K12272" s="160" t="s">
        <v>13</v>
      </c>
      <c r="L12272" s="154" t="str">
        <f>IF(OpenLCAbasic!K12272="CTUh", "Fill in Manually",IF(OR(K12272="Unit", K12272=""), "", INDEX(LookUps!$E$5:$E$12, MATCH(OpenLCAbasic!K12272,LookUps!$D$5:$D$12,0))))</f>
        <v>Eutrophication Potential (EP) - kg N eq</v>
      </c>
      <c r="M12272" s="154" t="str">
        <f t="shared" si="1069"/>
        <v>Base_Medium_High_Upgraded_Eutrophication Potential (EP) - kg N eq_Waste Receiving and Holding; wastewater treatment unit; at updated plant - US_Without Amendment_Aerated Static Pile</v>
      </c>
    </row>
    <row r="12273" spans="1:13" s="120" customFormat="1" x14ac:dyDescent="0.25">
      <c r="A12273" s="119"/>
      <c r="B12273" s="138" t="str">
        <f t="shared" si="1071"/>
        <v>Aerated Static Pile</v>
      </c>
      <c r="C12273" s="138" t="str">
        <f t="shared" si="1072"/>
        <v>Without Amendment</v>
      </c>
      <c r="D12273" s="138" t="str">
        <f t="shared" si="1070"/>
        <v>Medium_High</v>
      </c>
      <c r="E12273" s="138" t="str">
        <f t="shared" si="1073"/>
        <v>Base</v>
      </c>
      <c r="F12273" s="138" t="str">
        <f t="shared" si="1074"/>
        <v>Upgraded</v>
      </c>
      <c r="G12273" s="153"/>
      <c r="H12273" s="210">
        <v>1.0200000000000001E-2</v>
      </c>
      <c r="I12273" s="160" t="s">
        <v>58</v>
      </c>
      <c r="J12273" s="160">
        <v>1.3999999999999999E-4</v>
      </c>
      <c r="K12273" s="160" t="s">
        <v>13</v>
      </c>
      <c r="L12273" s="154" t="str">
        <f>IF(OpenLCAbasic!K12273="CTUh", "Fill in Manually",IF(OR(K12273="Unit", K12273=""), "", INDEX(LookUps!$E$5:$E$12, MATCH(OpenLCAbasic!K12273,LookUps!$D$5:$D$12,0))))</f>
        <v>Eutrophication Potential (EP) - kg N eq</v>
      </c>
      <c r="M12273" s="154" t="str">
        <f t="shared" si="1069"/>
        <v>Base_Medium_High_Upgraded_Eutrophication Potential (EP) - kg N eq_Pre-Anoxic &amp; Swing tank; wastewater treatment unit; at updated plant - US_Without Amendment_Aerated Static Pile</v>
      </c>
    </row>
    <row r="12274" spans="1:13" s="120" customFormat="1" x14ac:dyDescent="0.25">
      <c r="A12274" s="119"/>
      <c r="B12274" s="138" t="str">
        <f t="shared" si="1071"/>
        <v>Aerated Static Pile</v>
      </c>
      <c r="C12274" s="138" t="str">
        <f t="shared" si="1072"/>
        <v>Without Amendment</v>
      </c>
      <c r="D12274" s="138" t="str">
        <f t="shared" si="1070"/>
        <v>Medium_High</v>
      </c>
      <c r="E12274" s="138" t="str">
        <f t="shared" si="1073"/>
        <v>Base</v>
      </c>
      <c r="F12274" s="138" t="str">
        <f t="shared" si="1074"/>
        <v>Upgraded</v>
      </c>
      <c r="G12274" s="153"/>
      <c r="H12274" s="210">
        <v>8.0999999999999996E-3</v>
      </c>
      <c r="I12274" s="160" t="s">
        <v>53</v>
      </c>
      <c r="J12274" s="160">
        <v>1.1E-4</v>
      </c>
      <c r="K12274" s="160" t="s">
        <v>13</v>
      </c>
      <c r="L12274" s="154" t="str">
        <f>IF(OpenLCAbasic!K12274="CTUh", "Fill in Manually",IF(OR(K12274="Unit", K12274=""), "", INDEX(LookUps!$E$5:$E$12, MATCH(OpenLCAbasic!K12274,LookUps!$D$5:$D$12,0))))</f>
        <v>Eutrophication Potential (EP) - kg N eq</v>
      </c>
      <c r="M12274" s="154" t="str">
        <f t="shared" si="1069"/>
        <v>Base_Medium_High_Upgraded_Eutrophication Potential (EP) - kg N eq_Wet Well and Sump Station; wastewater treatment unit; at updated plant - US_Without Amendment_Aerated Static Pile</v>
      </c>
    </row>
    <row r="12275" spans="1:13" s="120" customFormat="1" x14ac:dyDescent="0.25">
      <c r="A12275" s="119"/>
      <c r="B12275" s="138" t="str">
        <f t="shared" si="1071"/>
        <v>Aerated Static Pile</v>
      </c>
      <c r="C12275" s="138" t="str">
        <f t="shared" si="1072"/>
        <v>Without Amendment</v>
      </c>
      <c r="D12275" s="138" t="str">
        <f t="shared" si="1070"/>
        <v>Medium_High</v>
      </c>
      <c r="E12275" s="138" t="str">
        <f t="shared" si="1073"/>
        <v>Base</v>
      </c>
      <c r="F12275" s="138" t="str">
        <f t="shared" si="1074"/>
        <v>Upgraded</v>
      </c>
      <c r="G12275" s="153"/>
      <c r="H12275" s="210">
        <v>6.1999999999999998E-3</v>
      </c>
      <c r="I12275" s="160" t="s">
        <v>435</v>
      </c>
      <c r="J12275" s="211">
        <v>8.2430300000000003E-5</v>
      </c>
      <c r="K12275" s="160" t="s">
        <v>13</v>
      </c>
      <c r="L12275" s="154" t="str">
        <f>IF(OpenLCAbasic!K12275="CTUh", "Fill in Manually",IF(OR(K12275="Unit", K12275=""), "", INDEX(LookUps!$E$5:$E$12, MATCH(OpenLCAbasic!K12275,LookUps!$D$5:$D$12,0))))</f>
        <v>Eutrophication Potential (EP) - kg N eq</v>
      </c>
      <c r="M12275" s="154" t="str">
        <f t="shared" si="1069"/>
        <v>Base_Medium_High_Upgraded_Eutrophication Potential (EP) - kg N eq_Biosolids composting; aerated static pile; wastewater treatment unit; at updated plant - US_Without Amendment_Aerated Static Pile</v>
      </c>
    </row>
    <row r="12276" spans="1:13" s="120" customFormat="1" x14ac:dyDescent="0.25">
      <c r="A12276" s="119"/>
      <c r="B12276" s="138" t="str">
        <f t="shared" si="1071"/>
        <v>Aerated Static Pile</v>
      </c>
      <c r="C12276" s="138" t="str">
        <f t="shared" si="1072"/>
        <v>Without Amendment</v>
      </c>
      <c r="D12276" s="138" t="str">
        <f t="shared" si="1070"/>
        <v>Medium_High</v>
      </c>
      <c r="E12276" s="138" t="str">
        <f t="shared" si="1073"/>
        <v>Base</v>
      </c>
      <c r="F12276" s="138" t="str">
        <f t="shared" si="1074"/>
        <v>Upgraded</v>
      </c>
      <c r="G12276" s="153"/>
      <c r="H12276" s="210">
        <v>5.0000000000000001E-3</v>
      </c>
      <c r="I12276" s="160" t="s">
        <v>60</v>
      </c>
      <c r="J12276" s="211">
        <v>6.69155E-5</v>
      </c>
      <c r="K12276" s="160" t="s">
        <v>13</v>
      </c>
      <c r="L12276" s="154" t="str">
        <f>IF(OpenLCAbasic!K12276="CTUh", "Fill in Manually",IF(OR(K12276="Unit", K12276=""), "", INDEX(LookUps!$E$5:$E$12, MATCH(OpenLCAbasic!K12276,LookUps!$D$5:$D$12,0))))</f>
        <v>Eutrophication Potential (EP) - kg N eq</v>
      </c>
      <c r="M12276" s="154" t="str">
        <f t="shared" si="1069"/>
        <v>Base_Medium_High_Upgraded_Eutrophication Potential (EP) - kg N eq_Belt filter press; wastewater treatment unit; at updated plant - US_Without Amendment_Aerated Static Pile</v>
      </c>
    </row>
    <row r="12277" spans="1:13" s="120" customFormat="1" x14ac:dyDescent="0.25">
      <c r="A12277" s="119"/>
      <c r="B12277" s="138" t="str">
        <f t="shared" si="1071"/>
        <v>Aerated Static Pile</v>
      </c>
      <c r="C12277" s="138" t="str">
        <f t="shared" si="1072"/>
        <v>Without Amendment</v>
      </c>
      <c r="D12277" s="138" t="str">
        <f t="shared" si="1070"/>
        <v>Medium_High</v>
      </c>
      <c r="E12277" s="138" t="str">
        <f t="shared" si="1073"/>
        <v>Base</v>
      </c>
      <c r="F12277" s="138" t="str">
        <f t="shared" si="1074"/>
        <v>Upgraded</v>
      </c>
      <c r="G12277" s="153"/>
      <c r="H12277" s="210">
        <v>4.5999999999999999E-3</v>
      </c>
      <c r="I12277" s="160" t="s">
        <v>57</v>
      </c>
      <c r="J12277" s="211">
        <v>6.0590300000000002E-5</v>
      </c>
      <c r="K12277" s="160" t="s">
        <v>13</v>
      </c>
      <c r="L12277" s="154" t="str">
        <f>IF(OpenLCAbasic!K12277="CTUh", "Fill in Manually",IF(OR(K12277="Unit", K12277=""), "", INDEX(LookUps!$E$5:$E$12, MATCH(OpenLCAbasic!K12277,LookUps!$D$5:$D$12,0))))</f>
        <v>Eutrophication Potential (EP) - kg N eq</v>
      </c>
      <c r="M12277" s="154" t="str">
        <f t="shared" si="1069"/>
        <v>Base_Medium_High_Upgraded_Eutrophication Potential (EP) - kg N eq_Gravity Belt Thickener; wastewater treatment unit; at updated plant - US_Without Amendment_Aerated Static Pile</v>
      </c>
    </row>
    <row r="12278" spans="1:13" s="120" customFormat="1" x14ac:dyDescent="0.25">
      <c r="A12278" s="119"/>
      <c r="B12278" s="138" t="str">
        <f t="shared" si="1071"/>
        <v>Aerated Static Pile</v>
      </c>
      <c r="C12278" s="138" t="str">
        <f t="shared" si="1072"/>
        <v>Without Amendment</v>
      </c>
      <c r="D12278" s="138" t="str">
        <f t="shared" si="1070"/>
        <v>Medium_High</v>
      </c>
      <c r="E12278" s="138" t="str">
        <f t="shared" si="1073"/>
        <v>Base</v>
      </c>
      <c r="F12278" s="138" t="str">
        <f t="shared" si="1074"/>
        <v>Upgraded</v>
      </c>
      <c r="G12278" s="153"/>
      <c r="H12278" s="210">
        <v>2.8E-3</v>
      </c>
      <c r="I12278" s="160" t="s">
        <v>128</v>
      </c>
      <c r="J12278" s="211">
        <v>3.7559799999999999E-5</v>
      </c>
      <c r="K12278" s="160" t="s">
        <v>13</v>
      </c>
      <c r="L12278" s="154" t="str">
        <f>IF(OpenLCAbasic!K12278="CTUh", "Fill in Manually",IF(OR(K12278="Unit", K12278=""), "", INDEX(LookUps!$E$5:$E$12, MATCH(OpenLCAbasic!K12278,LookUps!$D$5:$D$12,0))))</f>
        <v>Eutrophication Potential (EP) - kg N eq</v>
      </c>
      <c r="M12278" s="154" t="str">
        <f t="shared" si="1069"/>
        <v>Base_Medium_High_Upgraded_Eutrophication Potential (EP) - kg N eq_Wastewater collection; operation and infrastructure; m3 wastewater_Without Amendment_Aerated Static Pile</v>
      </c>
    </row>
    <row r="12279" spans="1:13" s="120" customFormat="1" x14ac:dyDescent="0.25">
      <c r="A12279" s="119"/>
      <c r="B12279" s="138" t="str">
        <f t="shared" si="1071"/>
        <v>Aerated Static Pile</v>
      </c>
      <c r="C12279" s="138" t="str">
        <f t="shared" si="1072"/>
        <v>Without Amendment</v>
      </c>
      <c r="D12279" s="138" t="str">
        <f t="shared" si="1070"/>
        <v>Medium_High</v>
      </c>
      <c r="E12279" s="138" t="str">
        <f t="shared" si="1073"/>
        <v>Base</v>
      </c>
      <c r="F12279" s="138" t="str">
        <f t="shared" si="1074"/>
        <v>Upgraded</v>
      </c>
      <c r="G12279" s="153"/>
      <c r="H12279" s="210">
        <v>2.8E-3</v>
      </c>
      <c r="I12279" s="160" t="s">
        <v>148</v>
      </c>
      <c r="J12279" s="211">
        <v>3.6874600000000001E-5</v>
      </c>
      <c r="K12279" s="160" t="s">
        <v>13</v>
      </c>
      <c r="L12279" s="154" t="str">
        <f>IF(OpenLCAbasic!K12279="CTUh", "Fill in Manually",IF(OR(K12279="Unit", K12279=""), "", INDEX(LookUps!$E$5:$E$12, MATCH(OpenLCAbasic!K12279,LookUps!$D$5:$D$12,0))))</f>
        <v>Eutrophication Potential (EP) - kg N eq</v>
      </c>
      <c r="M12279" s="154" t="str">
        <f t="shared" si="1069"/>
        <v>Base_Medium_High_Upgraded_Eutrophication Potential (EP) - kg N eq_Control Building; at upgraded wastewater treatment plant - US_Without Amendment_Aerated Static Pile</v>
      </c>
    </row>
    <row r="12280" spans="1:13" s="120" customFormat="1" x14ac:dyDescent="0.25">
      <c r="A12280" s="119"/>
      <c r="B12280" s="138" t="str">
        <f t="shared" si="1071"/>
        <v>Aerated Static Pile</v>
      </c>
      <c r="C12280" s="138" t="str">
        <f t="shared" si="1072"/>
        <v>Without Amendment</v>
      </c>
      <c r="D12280" s="138" t="str">
        <f t="shared" si="1070"/>
        <v>Medium_High</v>
      </c>
      <c r="E12280" s="138" t="str">
        <f t="shared" si="1073"/>
        <v>Base</v>
      </c>
      <c r="F12280" s="138" t="str">
        <f t="shared" si="1074"/>
        <v>Upgraded</v>
      </c>
      <c r="G12280" s="153"/>
      <c r="H12280" s="210">
        <v>1.1999999999999999E-3</v>
      </c>
      <c r="I12280" s="160" t="s">
        <v>59</v>
      </c>
      <c r="J12280" s="211">
        <v>1.6215700000000001E-5</v>
      </c>
      <c r="K12280" s="160" t="s">
        <v>13</v>
      </c>
      <c r="L12280" s="154" t="str">
        <f>IF(OpenLCAbasic!K12280="CTUh", "Fill in Manually",IF(OR(K12280="Unit", K12280=""), "", INDEX(LookUps!$E$5:$E$12, MATCH(OpenLCAbasic!K12280,LookUps!$D$5:$D$12,0))))</f>
        <v>Eutrophication Potential (EP) - kg N eq</v>
      </c>
      <c r="M12280" s="154" t="str">
        <f t="shared" si="1069"/>
        <v>Base_Medium_High_Upgraded_Eutrophication Potential (EP) - kg N eq_Blend Tank; wastewater treatment unit; at updated plant - US_Without Amendment_Aerated Static Pile</v>
      </c>
    </row>
    <row r="12281" spans="1:13" s="120" customFormat="1" x14ac:dyDescent="0.25">
      <c r="A12281" s="119"/>
      <c r="B12281" s="138" t="str">
        <f t="shared" si="1071"/>
        <v>Aerated Static Pile</v>
      </c>
      <c r="C12281" s="138" t="str">
        <f t="shared" si="1072"/>
        <v>Without Amendment</v>
      </c>
      <c r="D12281" s="138" t="str">
        <f t="shared" si="1070"/>
        <v>Medium_High</v>
      </c>
      <c r="E12281" s="138" t="str">
        <f t="shared" si="1073"/>
        <v>Base</v>
      </c>
      <c r="F12281" s="138" t="str">
        <f t="shared" si="1074"/>
        <v>Upgraded</v>
      </c>
      <c r="G12281" s="153"/>
      <c r="H12281" s="210">
        <v>5.9999999999999995E-4</v>
      </c>
      <c r="I12281" s="160" t="s">
        <v>168</v>
      </c>
      <c r="J12281" s="211">
        <v>7.7567199999999995E-6</v>
      </c>
      <c r="K12281" s="160" t="s">
        <v>13</v>
      </c>
      <c r="L12281" s="154" t="str">
        <f>IF(OpenLCAbasic!K12281="CTUh", "Fill in Manually",IF(OR(K12281="Unit", K12281=""), "", INDEX(LookUps!$E$5:$E$12, MATCH(OpenLCAbasic!K12281,LookUps!$D$5:$D$12,0))))</f>
        <v>Eutrophication Potential (EP) - kg N eq</v>
      </c>
      <c r="M12281" s="154" t="str">
        <f t="shared" si="1069"/>
        <v>Base_Medium_High_Upgraded_Eutrophication Potential (EP) - kg N eq_ClearCove SCP; wastewater treatment unit; at updated plant - US_Without Amendment_Aerated Static Pile</v>
      </c>
    </row>
    <row r="12282" spans="1:13" s="120" customFormat="1" x14ac:dyDescent="0.25">
      <c r="A12282" s="119"/>
      <c r="B12282" s="138" t="str">
        <f t="shared" si="1071"/>
        <v>Aerated Static Pile</v>
      </c>
      <c r="C12282" s="138" t="str">
        <f t="shared" si="1072"/>
        <v>Without Amendment</v>
      </c>
      <c r="D12282" s="138" t="str">
        <f t="shared" si="1070"/>
        <v>Medium_High</v>
      </c>
      <c r="E12282" s="138" t="str">
        <f t="shared" si="1073"/>
        <v>Base</v>
      </c>
      <c r="F12282" s="138" t="str">
        <f t="shared" si="1074"/>
        <v>Upgraded</v>
      </c>
      <c r="G12282" s="153"/>
      <c r="H12282" s="210">
        <v>-0.1341</v>
      </c>
      <c r="I12282" s="160" t="s">
        <v>149</v>
      </c>
      <c r="J12282" s="160">
        <v>-1.7799999999999999E-3</v>
      </c>
      <c r="K12282" s="160" t="s">
        <v>13</v>
      </c>
      <c r="L12282" s="154" t="str">
        <f>IF(OpenLCAbasic!K12282="CTUh", "Fill in Manually",IF(OR(K12282="Unit", K12282=""), "", INDEX(LookUps!$E$5:$E$12, MATCH(OpenLCAbasic!K12282,LookUps!$D$5:$D$12,0))))</f>
        <v>Eutrophication Potential (EP) - kg N eq</v>
      </c>
      <c r="M12282" s="154" t="str">
        <f t="shared" si="1069"/>
        <v>Base_Medium_High_Upgraded_Eutrophication Potential (EP) - kg N eq_Anaerobic Digestion; wastewater treatment unit; at updated plant - US_Without Amendment_Aerated Static Pile</v>
      </c>
    </row>
    <row r="12283" spans="1:13" s="120" customFormat="1" x14ac:dyDescent="0.25">
      <c r="A12283" s="119"/>
      <c r="B12283" s="138" t="str">
        <f t="shared" si="1071"/>
        <v/>
      </c>
      <c r="C12283" s="138" t="str">
        <f t="shared" si="1072"/>
        <v/>
      </c>
      <c r="D12283" s="138" t="str">
        <f t="shared" si="1070"/>
        <v/>
      </c>
      <c r="E12283" s="138" t="str">
        <f t="shared" si="1073"/>
        <v/>
      </c>
      <c r="F12283" s="138" t="str">
        <f t="shared" si="1074"/>
        <v/>
      </c>
      <c r="G12283" s="153" t="s">
        <v>51</v>
      </c>
      <c r="H12283" s="160"/>
      <c r="I12283" s="160" t="s">
        <v>47</v>
      </c>
      <c r="J12283" s="160" t="s">
        <v>52</v>
      </c>
      <c r="K12283" s="160" t="s">
        <v>27</v>
      </c>
      <c r="L12283" s="154" t="str">
        <f>IF(OpenLCAbasic!K12283="CTUh", "Fill in Manually",IF(OR(K12283="Unit", K12283=""), "", INDEX(LookUps!$E$5:$E$12, MATCH(OpenLCAbasic!K12283,LookUps!$D$5:$D$12,0))))</f>
        <v/>
      </c>
      <c r="M12283" s="154" t="str">
        <f t="shared" si="1069"/>
        <v>____Process__</v>
      </c>
    </row>
    <row r="12284" spans="1:13" s="120" customFormat="1" x14ac:dyDescent="0.25">
      <c r="A12284" s="119"/>
      <c r="B12284" s="138" t="str">
        <f t="shared" si="1071"/>
        <v>Aerated Static Pile</v>
      </c>
      <c r="C12284" s="138" t="str">
        <f t="shared" si="1072"/>
        <v>Without Amendment</v>
      </c>
      <c r="D12284" s="138" t="str">
        <f t="shared" si="1070"/>
        <v>Medium_High</v>
      </c>
      <c r="E12284" s="138" t="str">
        <f t="shared" si="1073"/>
        <v>Base</v>
      </c>
      <c r="F12284" s="138" t="str">
        <f t="shared" si="1074"/>
        <v>Upgraded</v>
      </c>
      <c r="G12284" s="153"/>
      <c r="H12284" s="210">
        <v>2.1715</v>
      </c>
      <c r="I12284" s="160" t="s">
        <v>167</v>
      </c>
      <c r="J12284" s="160">
        <v>9.7259999999999999E-2</v>
      </c>
      <c r="K12284" s="160" t="s">
        <v>14</v>
      </c>
      <c r="L12284" s="154" t="str">
        <f>IF(OpenLCAbasic!K12284="CTUh", "Fill in Manually",IF(OR(K12284="Unit", K12284=""), "", INDEX(LookUps!$E$5:$E$12, MATCH(OpenLCAbasic!K12284,LookUps!$D$5:$D$12,0))))</f>
        <v>Fossil Depletion Potential (FDP) - kg oil eq</v>
      </c>
      <c r="M12284" s="154" t="str">
        <f t="shared" si="1069"/>
        <v>Base_Medium_High_Upgraded_Fossil Depletion Potential (FDP) - kg oil eq_Waste Receiving and Holding; wastewater treatment unit; at updated plant - US_Without Amendment_Aerated Static Pile</v>
      </c>
    </row>
    <row r="12285" spans="1:13" s="120" customFormat="1" x14ac:dyDescent="0.25">
      <c r="A12285" s="119"/>
      <c r="B12285" s="138" t="str">
        <f t="shared" si="1071"/>
        <v>Aerated Static Pile</v>
      </c>
      <c r="C12285" s="138" t="str">
        <f t="shared" si="1072"/>
        <v>Without Amendment</v>
      </c>
      <c r="D12285" s="138" t="str">
        <f t="shared" si="1070"/>
        <v>Medium_High</v>
      </c>
      <c r="E12285" s="138" t="str">
        <f t="shared" si="1073"/>
        <v>Base</v>
      </c>
      <c r="F12285" s="138" t="str">
        <f t="shared" si="1074"/>
        <v>Upgraded</v>
      </c>
      <c r="G12285" s="153"/>
      <c r="H12285" s="210">
        <v>1.4198</v>
      </c>
      <c r="I12285" s="160" t="s">
        <v>55</v>
      </c>
      <c r="J12285" s="160">
        <v>6.3589999999999994E-2</v>
      </c>
      <c r="K12285" s="160" t="s">
        <v>14</v>
      </c>
      <c r="L12285" s="154" t="str">
        <f>IF(OpenLCAbasic!K12285="CTUh", "Fill in Manually",IF(OR(K12285="Unit", K12285=""), "", INDEX(LookUps!$E$5:$E$12, MATCH(OpenLCAbasic!K12285,LookUps!$D$5:$D$12,0))))</f>
        <v>Fossil Depletion Potential (FDP) - kg oil eq</v>
      </c>
      <c r="M12285" s="154" t="str">
        <f t="shared" si="1069"/>
        <v>Base_Medium_High_Upgraded_Fossil Depletion Potential (FDP) - kg oil eq_Aeration Tanks; wastewater treatment unit; at updated plant - US_Without Amendment_Aerated Static Pile</v>
      </c>
    </row>
    <row r="12286" spans="1:13" s="120" customFormat="1" x14ac:dyDescent="0.25">
      <c r="A12286" s="119"/>
      <c r="B12286" s="138" t="str">
        <f t="shared" si="1071"/>
        <v>Aerated Static Pile</v>
      </c>
      <c r="C12286" s="138" t="str">
        <f t="shared" si="1072"/>
        <v>Without Amendment</v>
      </c>
      <c r="D12286" s="138" t="str">
        <f t="shared" si="1070"/>
        <v>Medium_High</v>
      </c>
      <c r="E12286" s="138" t="str">
        <f t="shared" si="1073"/>
        <v>Base</v>
      </c>
      <c r="F12286" s="138" t="str">
        <f t="shared" si="1074"/>
        <v>Upgraded</v>
      </c>
      <c r="G12286" s="153"/>
      <c r="H12286" s="210">
        <v>0.47</v>
      </c>
      <c r="I12286" s="160" t="s">
        <v>54</v>
      </c>
      <c r="J12286" s="160">
        <v>2.1049999999999999E-2</v>
      </c>
      <c r="K12286" s="160" t="s">
        <v>14</v>
      </c>
      <c r="L12286" s="154" t="str">
        <f>IF(OpenLCAbasic!K12286="CTUh", "Fill in Manually",IF(OR(K12286="Unit", K12286=""), "", INDEX(LookUps!$E$5:$E$12, MATCH(OpenLCAbasic!K12286,LookUps!$D$5:$D$12,0))))</f>
        <v>Fossil Depletion Potential (FDP) - kg oil eq</v>
      </c>
      <c r="M12286" s="154" t="str">
        <f t="shared" si="1069"/>
        <v>Base_Medium_High_Upgraded_Fossil Depletion Potential (FDP) - kg oil eq_Clear Cove Primary Clarification; wastewater treatment unit; at updated plant - US_Without Amendment_Aerated Static Pile</v>
      </c>
    </row>
    <row r="12287" spans="1:13" s="120" customFormat="1" x14ac:dyDescent="0.25">
      <c r="A12287" s="119"/>
      <c r="B12287" s="138" t="str">
        <f t="shared" si="1071"/>
        <v>Aerated Static Pile</v>
      </c>
      <c r="C12287" s="138" t="str">
        <f t="shared" si="1072"/>
        <v>Without Amendment</v>
      </c>
      <c r="D12287" s="138" t="str">
        <f t="shared" si="1070"/>
        <v>Medium_High</v>
      </c>
      <c r="E12287" s="138" t="str">
        <f t="shared" si="1073"/>
        <v>Base</v>
      </c>
      <c r="F12287" s="138" t="str">
        <f t="shared" si="1074"/>
        <v>Upgraded</v>
      </c>
      <c r="G12287" s="153"/>
      <c r="H12287" s="210">
        <v>0.35670000000000002</v>
      </c>
      <c r="I12287" s="160" t="s">
        <v>58</v>
      </c>
      <c r="J12287" s="160">
        <v>1.5980000000000001E-2</v>
      </c>
      <c r="K12287" s="160" t="s">
        <v>14</v>
      </c>
      <c r="L12287" s="154" t="str">
        <f>IF(OpenLCAbasic!K12287="CTUh", "Fill in Manually",IF(OR(K12287="Unit", K12287=""), "", INDEX(LookUps!$E$5:$E$12, MATCH(OpenLCAbasic!K12287,LookUps!$D$5:$D$12,0))))</f>
        <v>Fossil Depletion Potential (FDP) - kg oil eq</v>
      </c>
      <c r="M12287" s="154" t="str">
        <f t="shared" si="1069"/>
        <v>Base_Medium_High_Upgraded_Fossil Depletion Potential (FDP) - kg oil eq_Pre-Anoxic &amp; Swing tank; wastewater treatment unit; at updated plant - US_Without Amendment_Aerated Static Pile</v>
      </c>
    </row>
    <row r="12288" spans="1:13" s="120" customFormat="1" x14ac:dyDescent="0.25">
      <c r="A12288" s="119"/>
      <c r="B12288" s="138" t="str">
        <f t="shared" si="1071"/>
        <v>Aerated Static Pile</v>
      </c>
      <c r="C12288" s="138" t="str">
        <f t="shared" si="1072"/>
        <v>Without Amendment</v>
      </c>
      <c r="D12288" s="138" t="str">
        <f t="shared" si="1070"/>
        <v>Medium_High</v>
      </c>
      <c r="E12288" s="138" t="str">
        <f t="shared" si="1073"/>
        <v>Base</v>
      </c>
      <c r="F12288" s="138" t="str">
        <f t="shared" si="1074"/>
        <v>Upgraded</v>
      </c>
      <c r="G12288" s="153"/>
      <c r="H12288" s="210">
        <v>0.33689999999999998</v>
      </c>
      <c r="I12288" s="160" t="s">
        <v>147</v>
      </c>
      <c r="J12288" s="160">
        <v>1.5089999999999999E-2</v>
      </c>
      <c r="K12288" s="160" t="s">
        <v>14</v>
      </c>
      <c r="L12288" s="154" t="str">
        <f>IF(OpenLCAbasic!K12288="CTUh", "Fill in Manually",IF(OR(K12288="Unit", K12288=""), "", INDEX(LookUps!$E$5:$E$12, MATCH(OpenLCAbasic!K12288,LookUps!$D$5:$D$12,0))))</f>
        <v>Fossil Depletion Potential (FDP) - kg oil eq</v>
      </c>
      <c r="M12288" s="154" t="str">
        <f t="shared" si="1069"/>
        <v>Base_Medium_High_Upgraded_Fossil Depletion Potential (FDP) - kg oil eq_Influent Pump Station; wastewater treatment unit; at updated plant - US_Without Amendment_Aerated Static Pile</v>
      </c>
    </row>
    <row r="12289" spans="1:13" s="120" customFormat="1" x14ac:dyDescent="0.25">
      <c r="A12289" s="119"/>
      <c r="B12289" s="138" t="str">
        <f t="shared" si="1071"/>
        <v>Aerated Static Pile</v>
      </c>
      <c r="C12289" s="138" t="str">
        <f t="shared" si="1072"/>
        <v>Without Amendment</v>
      </c>
      <c r="D12289" s="138" t="str">
        <f t="shared" si="1070"/>
        <v>Medium_High</v>
      </c>
      <c r="E12289" s="138" t="str">
        <f t="shared" si="1073"/>
        <v>Base</v>
      </c>
      <c r="F12289" s="138" t="str">
        <f t="shared" si="1074"/>
        <v>Upgraded</v>
      </c>
      <c r="G12289" s="153"/>
      <c r="H12289" s="210">
        <v>0.27879999999999999</v>
      </c>
      <c r="I12289" s="160" t="s">
        <v>53</v>
      </c>
      <c r="J12289" s="160">
        <v>1.2489999999999999E-2</v>
      </c>
      <c r="K12289" s="160" t="s">
        <v>14</v>
      </c>
      <c r="L12289" s="154" t="str">
        <f>IF(OpenLCAbasic!K12289="CTUh", "Fill in Manually",IF(OR(K12289="Unit", K12289=""), "", INDEX(LookUps!$E$5:$E$12, MATCH(OpenLCAbasic!K12289,LookUps!$D$5:$D$12,0))))</f>
        <v>Fossil Depletion Potential (FDP) - kg oil eq</v>
      </c>
      <c r="M12289" s="154" t="str">
        <f t="shared" si="1069"/>
        <v>Base_Medium_High_Upgraded_Fossil Depletion Potential (FDP) - kg oil eq_Wet Well and Sump Station; wastewater treatment unit; at updated plant - US_Without Amendment_Aerated Static Pile</v>
      </c>
    </row>
    <row r="12290" spans="1:13" s="120" customFormat="1" x14ac:dyDescent="0.25">
      <c r="A12290" s="119"/>
      <c r="B12290" s="138" t="str">
        <f t="shared" si="1071"/>
        <v>Aerated Static Pile</v>
      </c>
      <c r="C12290" s="138" t="str">
        <f t="shared" si="1072"/>
        <v>Without Amendment</v>
      </c>
      <c r="D12290" s="138" t="str">
        <f t="shared" si="1070"/>
        <v>Medium_High</v>
      </c>
      <c r="E12290" s="138" t="str">
        <f t="shared" si="1073"/>
        <v>Base</v>
      </c>
      <c r="F12290" s="138" t="str">
        <f t="shared" si="1074"/>
        <v>Upgraded</v>
      </c>
      <c r="G12290" s="153"/>
      <c r="H12290" s="210">
        <v>0.18659999999999999</v>
      </c>
      <c r="I12290" s="160" t="s">
        <v>435</v>
      </c>
      <c r="J12290" s="160">
        <v>8.3599999999999994E-3</v>
      </c>
      <c r="K12290" s="160" t="s">
        <v>14</v>
      </c>
      <c r="L12290" s="154" t="str">
        <f>IF(OpenLCAbasic!K12290="CTUh", "Fill in Manually",IF(OR(K12290="Unit", K12290=""), "", INDEX(LookUps!$E$5:$E$12, MATCH(OpenLCAbasic!K12290,LookUps!$D$5:$D$12,0))))</f>
        <v>Fossil Depletion Potential (FDP) - kg oil eq</v>
      </c>
      <c r="M12290" s="154" t="str">
        <f t="shared" si="1069"/>
        <v>Base_Medium_High_Upgraded_Fossil Depletion Potential (FDP) - kg oil eq_Biosolids composting; aerated static pile; wastewater treatment unit; at updated plant - US_Without Amendment_Aerated Static Pile</v>
      </c>
    </row>
    <row r="12291" spans="1:13" s="120" customFormat="1" x14ac:dyDescent="0.25">
      <c r="A12291" s="119"/>
      <c r="B12291" s="138" t="str">
        <f t="shared" si="1071"/>
        <v>Aerated Static Pile</v>
      </c>
      <c r="C12291" s="138" t="str">
        <f t="shared" si="1072"/>
        <v>Without Amendment</v>
      </c>
      <c r="D12291" s="138" t="str">
        <f t="shared" si="1070"/>
        <v>Medium_High</v>
      </c>
      <c r="E12291" s="138" t="str">
        <f t="shared" si="1073"/>
        <v>Base</v>
      </c>
      <c r="F12291" s="138" t="str">
        <f t="shared" si="1074"/>
        <v>Upgraded</v>
      </c>
      <c r="G12291" s="153"/>
      <c r="H12291" s="210">
        <v>0.17150000000000001</v>
      </c>
      <c r="I12291" s="160" t="s">
        <v>60</v>
      </c>
      <c r="J12291" s="160">
        <v>7.6800000000000002E-3</v>
      </c>
      <c r="K12291" s="160" t="s">
        <v>14</v>
      </c>
      <c r="L12291" s="154" t="str">
        <f>IF(OpenLCAbasic!K12291="CTUh", "Fill in Manually",IF(OR(K12291="Unit", K12291=""), "", INDEX(LookUps!$E$5:$E$12, MATCH(OpenLCAbasic!K12291,LookUps!$D$5:$D$12,0))))</f>
        <v>Fossil Depletion Potential (FDP) - kg oil eq</v>
      </c>
      <c r="M12291" s="154" t="str">
        <f t="shared" si="1069"/>
        <v>Base_Medium_High_Upgraded_Fossil Depletion Potential (FDP) - kg oil eq_Belt filter press; wastewater treatment unit; at updated plant - US_Without Amendment_Aerated Static Pile</v>
      </c>
    </row>
    <row r="12292" spans="1:13" s="120" customFormat="1" x14ac:dyDescent="0.25">
      <c r="A12292" s="119"/>
      <c r="B12292" s="138" t="str">
        <f t="shared" si="1071"/>
        <v>Aerated Static Pile</v>
      </c>
      <c r="C12292" s="138" t="str">
        <f t="shared" si="1072"/>
        <v>Without Amendment</v>
      </c>
      <c r="D12292" s="138" t="str">
        <f t="shared" si="1070"/>
        <v>Medium_High</v>
      </c>
      <c r="E12292" s="138" t="str">
        <f t="shared" si="1073"/>
        <v>Base</v>
      </c>
      <c r="F12292" s="138" t="str">
        <f t="shared" si="1074"/>
        <v>Upgraded</v>
      </c>
      <c r="G12292" s="153"/>
      <c r="H12292" s="210">
        <v>0.15440000000000001</v>
      </c>
      <c r="I12292" s="160" t="s">
        <v>57</v>
      </c>
      <c r="J12292" s="160">
        <v>6.9199999999999999E-3</v>
      </c>
      <c r="K12292" s="160" t="s">
        <v>14</v>
      </c>
      <c r="L12292" s="154" t="str">
        <f>IF(OpenLCAbasic!K12292="CTUh", "Fill in Manually",IF(OR(K12292="Unit", K12292=""), "", INDEX(LookUps!$E$5:$E$12, MATCH(OpenLCAbasic!K12292,LookUps!$D$5:$D$12,0))))</f>
        <v>Fossil Depletion Potential (FDP) - kg oil eq</v>
      </c>
      <c r="M12292" s="154" t="str">
        <f t="shared" ref="M12292:M12355" si="1075">CONCATENATE(E12292,"_",D12292,"_",F12292,"_",L12292, "_",I12292,"_", C12292,"_", B12292)</f>
        <v>Base_Medium_High_Upgraded_Fossil Depletion Potential (FDP) - kg oil eq_Gravity Belt Thickener; wastewater treatment unit; at updated plant - US_Without Amendment_Aerated Static Pile</v>
      </c>
    </row>
    <row r="12293" spans="1:13" s="120" customFormat="1" x14ac:dyDescent="0.25">
      <c r="A12293" s="119"/>
      <c r="B12293" s="138" t="str">
        <f t="shared" si="1071"/>
        <v>Aerated Static Pile</v>
      </c>
      <c r="C12293" s="138" t="str">
        <f t="shared" si="1072"/>
        <v>Without Amendment</v>
      </c>
      <c r="D12293" s="138" t="str">
        <f t="shared" si="1070"/>
        <v>Medium_High</v>
      </c>
      <c r="E12293" s="138" t="str">
        <f t="shared" si="1073"/>
        <v>Base</v>
      </c>
      <c r="F12293" s="138" t="str">
        <f t="shared" si="1074"/>
        <v>Upgraded</v>
      </c>
      <c r="G12293" s="153"/>
      <c r="H12293" s="210">
        <v>0.1004</v>
      </c>
      <c r="I12293" s="160" t="s">
        <v>128</v>
      </c>
      <c r="J12293" s="160">
        <v>4.4999999999999997E-3</v>
      </c>
      <c r="K12293" s="160" t="s">
        <v>14</v>
      </c>
      <c r="L12293" s="154" t="str">
        <f>IF(OpenLCAbasic!K12293="CTUh", "Fill in Manually",IF(OR(K12293="Unit", K12293=""), "", INDEX(LookUps!$E$5:$E$12, MATCH(OpenLCAbasic!K12293,LookUps!$D$5:$D$12,0))))</f>
        <v>Fossil Depletion Potential (FDP) - kg oil eq</v>
      </c>
      <c r="M12293" s="154" t="str">
        <f t="shared" si="1075"/>
        <v>Base_Medium_High_Upgraded_Fossil Depletion Potential (FDP) - kg oil eq_Wastewater collection; operation and infrastructure; m3 wastewater_Without Amendment_Aerated Static Pile</v>
      </c>
    </row>
    <row r="12294" spans="1:13" s="120" customFormat="1" x14ac:dyDescent="0.25">
      <c r="A12294" s="119"/>
      <c r="B12294" s="138" t="str">
        <f t="shared" si="1071"/>
        <v>Aerated Static Pile</v>
      </c>
      <c r="C12294" s="138" t="str">
        <f t="shared" si="1072"/>
        <v>Without Amendment</v>
      </c>
      <c r="D12294" s="138" t="str">
        <f t="shared" si="1070"/>
        <v>Medium_High</v>
      </c>
      <c r="E12294" s="138" t="str">
        <f t="shared" si="1073"/>
        <v>Base</v>
      </c>
      <c r="F12294" s="138" t="str">
        <f t="shared" si="1074"/>
        <v>Upgraded</v>
      </c>
      <c r="G12294" s="153"/>
      <c r="H12294" s="210">
        <v>6.25E-2</v>
      </c>
      <c r="I12294" s="160" t="s">
        <v>148</v>
      </c>
      <c r="J12294" s="160">
        <v>2.8E-3</v>
      </c>
      <c r="K12294" s="160" t="s">
        <v>14</v>
      </c>
      <c r="L12294" s="154" t="str">
        <f>IF(OpenLCAbasic!K12294="CTUh", "Fill in Manually",IF(OR(K12294="Unit", K12294=""), "", INDEX(LookUps!$E$5:$E$12, MATCH(OpenLCAbasic!K12294,LookUps!$D$5:$D$12,0))))</f>
        <v>Fossil Depletion Potential (FDP) - kg oil eq</v>
      </c>
      <c r="M12294" s="154" t="str">
        <f t="shared" si="1075"/>
        <v>Base_Medium_High_Upgraded_Fossil Depletion Potential (FDP) - kg oil eq_Control Building; at upgraded wastewater treatment plant - US_Without Amendment_Aerated Static Pile</v>
      </c>
    </row>
    <row r="12295" spans="1:13" s="120" customFormat="1" x14ac:dyDescent="0.25">
      <c r="A12295" s="119"/>
      <c r="B12295" s="138" t="str">
        <f t="shared" si="1071"/>
        <v>Aerated Static Pile</v>
      </c>
      <c r="C12295" s="138" t="str">
        <f t="shared" si="1072"/>
        <v>Without Amendment</v>
      </c>
      <c r="D12295" s="138" t="str">
        <f t="shared" si="1070"/>
        <v>Medium_High</v>
      </c>
      <c r="E12295" s="138" t="str">
        <f t="shared" si="1073"/>
        <v>Base</v>
      </c>
      <c r="F12295" s="138" t="str">
        <f t="shared" si="1074"/>
        <v>Upgraded</v>
      </c>
      <c r="G12295" s="153"/>
      <c r="H12295" s="210">
        <v>5.28E-2</v>
      </c>
      <c r="I12295" s="160" t="s">
        <v>48</v>
      </c>
      <c r="J12295" s="160">
        <v>2.3600000000000001E-3</v>
      </c>
      <c r="K12295" s="160" t="s">
        <v>14</v>
      </c>
      <c r="L12295" s="154" t="str">
        <f>IF(OpenLCAbasic!K12295="CTUh", "Fill in Manually",IF(OR(K12295="Unit", K12295=""), "", INDEX(LookUps!$E$5:$E$12, MATCH(OpenLCAbasic!K12295,LookUps!$D$5:$D$12,0))))</f>
        <v>Fossil Depletion Potential (FDP) - kg oil eq</v>
      </c>
      <c r="M12295" s="154" t="str">
        <f t="shared" si="1075"/>
        <v>Base_Medium_High_Upgraded_Fossil Depletion Potential (FDP) - kg oil eq_Effluent release; wastewater treatment unit; at surface water; m3 wastewater - US_Without Amendment_Aerated Static Pile</v>
      </c>
    </row>
    <row r="12296" spans="1:13" s="120" customFormat="1" x14ac:dyDescent="0.25">
      <c r="A12296" s="119"/>
      <c r="B12296" s="138" t="str">
        <f t="shared" si="1071"/>
        <v>Aerated Static Pile</v>
      </c>
      <c r="C12296" s="138" t="str">
        <f t="shared" si="1072"/>
        <v>Without Amendment</v>
      </c>
      <c r="D12296" s="138" t="str">
        <f t="shared" si="1070"/>
        <v>Medium_High</v>
      </c>
      <c r="E12296" s="138" t="str">
        <f t="shared" si="1073"/>
        <v>Base</v>
      </c>
      <c r="F12296" s="138" t="str">
        <f t="shared" si="1074"/>
        <v>Upgraded</v>
      </c>
      <c r="G12296" s="153"/>
      <c r="H12296" s="210">
        <v>4.2900000000000001E-2</v>
      </c>
      <c r="I12296" s="160" t="s">
        <v>59</v>
      </c>
      <c r="J12296" s="160">
        <v>1.92E-3</v>
      </c>
      <c r="K12296" s="160" t="s">
        <v>14</v>
      </c>
      <c r="L12296" s="154" t="str">
        <f>IF(OpenLCAbasic!K12296="CTUh", "Fill in Manually",IF(OR(K12296="Unit", K12296=""), "", INDEX(LookUps!$E$5:$E$12, MATCH(OpenLCAbasic!K12296,LookUps!$D$5:$D$12,0))))</f>
        <v>Fossil Depletion Potential (FDP) - kg oil eq</v>
      </c>
      <c r="M12296" s="154" t="str">
        <f t="shared" si="1075"/>
        <v>Base_Medium_High_Upgraded_Fossil Depletion Potential (FDP) - kg oil eq_Blend Tank; wastewater treatment unit; at updated plant - US_Without Amendment_Aerated Static Pile</v>
      </c>
    </row>
    <row r="12297" spans="1:13" s="120" customFormat="1" x14ac:dyDescent="0.25">
      <c r="A12297" s="119"/>
      <c r="B12297" s="138" t="str">
        <f t="shared" si="1071"/>
        <v>Aerated Static Pile</v>
      </c>
      <c r="C12297" s="138" t="str">
        <f t="shared" si="1072"/>
        <v>Without Amendment</v>
      </c>
      <c r="D12297" s="138" t="str">
        <f t="shared" ref="D12297:D12360" si="1076">IF(ISNUMBER($J12297),"Medium_High","")</f>
        <v>Medium_High</v>
      </c>
      <c r="E12297" s="138" t="str">
        <f t="shared" si="1073"/>
        <v>Base</v>
      </c>
      <c r="F12297" s="138" t="str">
        <f t="shared" si="1074"/>
        <v>Upgraded</v>
      </c>
      <c r="G12297" s="153"/>
      <c r="H12297" s="210">
        <v>2.0400000000000001E-2</v>
      </c>
      <c r="I12297" s="160" t="s">
        <v>168</v>
      </c>
      <c r="J12297" s="160">
        <v>9.1E-4</v>
      </c>
      <c r="K12297" s="160" t="s">
        <v>14</v>
      </c>
      <c r="L12297" s="154" t="str">
        <f>IF(OpenLCAbasic!K12297="CTUh", "Fill in Manually",IF(OR(K12297="Unit", K12297=""), "", INDEX(LookUps!$E$5:$E$12, MATCH(OpenLCAbasic!K12297,LookUps!$D$5:$D$12,0))))</f>
        <v>Fossil Depletion Potential (FDP) - kg oil eq</v>
      </c>
      <c r="M12297" s="154" t="str">
        <f t="shared" si="1075"/>
        <v>Base_Medium_High_Upgraded_Fossil Depletion Potential (FDP) - kg oil eq_ClearCove SCP; wastewater treatment unit; at updated plant - US_Without Amendment_Aerated Static Pile</v>
      </c>
    </row>
    <row r="12298" spans="1:13" s="120" customFormat="1" x14ac:dyDescent="0.25">
      <c r="A12298" s="119"/>
      <c r="B12298" s="138" t="str">
        <f t="shared" si="1071"/>
        <v>Aerated Static Pile</v>
      </c>
      <c r="C12298" s="138" t="str">
        <f t="shared" si="1072"/>
        <v>Without Amendment</v>
      </c>
      <c r="D12298" s="138" t="str">
        <f t="shared" si="1076"/>
        <v>Medium_High</v>
      </c>
      <c r="E12298" s="138" t="str">
        <f t="shared" si="1073"/>
        <v>Base</v>
      </c>
      <c r="F12298" s="138" t="str">
        <f t="shared" si="1074"/>
        <v>Upgraded</v>
      </c>
      <c r="G12298" s="153"/>
      <c r="H12298" s="210">
        <v>-0.11840000000000001</v>
      </c>
      <c r="I12298" s="160" t="s">
        <v>62</v>
      </c>
      <c r="J12298" s="160">
        <v>-5.3E-3</v>
      </c>
      <c r="K12298" s="160" t="s">
        <v>14</v>
      </c>
      <c r="L12298" s="154" t="str">
        <f>IF(OpenLCAbasic!K12298="CTUh", "Fill in Manually",IF(OR(K12298="Unit", K12298=""), "", INDEX(LookUps!$E$5:$E$12, MATCH(OpenLCAbasic!K12298,LookUps!$D$5:$D$12,0))))</f>
        <v>Fossil Depletion Potential (FDP) - kg oil eq</v>
      </c>
      <c r="M12298" s="154" t="str">
        <f t="shared" si="1075"/>
        <v>Base_Medium_High_Upgraded_Fossil Depletion Potential (FDP) - kg oil eq_Land application of compost; wastewater treatment unit; at updated plant - US_Without Amendment_Aerated Static Pile</v>
      </c>
    </row>
    <row r="12299" spans="1:13" s="120" customFormat="1" x14ac:dyDescent="0.25">
      <c r="A12299" s="119"/>
      <c r="B12299" s="138" t="str">
        <f t="shared" si="1071"/>
        <v>Aerated Static Pile</v>
      </c>
      <c r="C12299" s="138" t="str">
        <f t="shared" si="1072"/>
        <v>Without Amendment</v>
      </c>
      <c r="D12299" s="138" t="str">
        <f t="shared" si="1076"/>
        <v>Medium_High</v>
      </c>
      <c r="E12299" s="138" t="str">
        <f t="shared" si="1073"/>
        <v>Base</v>
      </c>
      <c r="F12299" s="138" t="str">
        <f t="shared" si="1074"/>
        <v>Upgraded</v>
      </c>
      <c r="G12299" s="153"/>
      <c r="H12299" s="210">
        <v>-6.7069000000000001</v>
      </c>
      <c r="I12299" s="160" t="s">
        <v>149</v>
      </c>
      <c r="J12299" s="160">
        <v>-0.30038999999999999</v>
      </c>
      <c r="K12299" s="160" t="s">
        <v>14</v>
      </c>
      <c r="L12299" s="154" t="str">
        <f>IF(OpenLCAbasic!K12299="CTUh", "Fill in Manually",IF(OR(K12299="Unit", K12299=""), "", INDEX(LookUps!$E$5:$E$12, MATCH(OpenLCAbasic!K12299,LookUps!$D$5:$D$12,0))))</f>
        <v>Fossil Depletion Potential (FDP) - kg oil eq</v>
      </c>
      <c r="M12299" s="154" t="str">
        <f t="shared" si="1075"/>
        <v>Base_Medium_High_Upgraded_Fossil Depletion Potential (FDP) - kg oil eq_Anaerobic Digestion; wastewater treatment unit; at updated plant - US_Without Amendment_Aerated Static Pile</v>
      </c>
    </row>
    <row r="12300" spans="1:13" s="120" customFormat="1" x14ac:dyDescent="0.25">
      <c r="A12300" s="119"/>
      <c r="B12300" s="138" t="str">
        <f t="shared" si="1071"/>
        <v/>
      </c>
      <c r="C12300" s="138" t="str">
        <f t="shared" si="1072"/>
        <v/>
      </c>
      <c r="D12300" s="138" t="str">
        <f t="shared" si="1076"/>
        <v/>
      </c>
      <c r="E12300" s="138" t="str">
        <f t="shared" si="1073"/>
        <v/>
      </c>
      <c r="F12300" s="138" t="str">
        <f t="shared" si="1074"/>
        <v/>
      </c>
      <c r="G12300" s="153" t="s">
        <v>51</v>
      </c>
      <c r="H12300" s="160"/>
      <c r="I12300" s="160" t="s">
        <v>47</v>
      </c>
      <c r="J12300" s="160" t="s">
        <v>52</v>
      </c>
      <c r="K12300" s="160" t="s">
        <v>27</v>
      </c>
      <c r="L12300" s="154" t="str">
        <f>IF(OpenLCAbasic!K12300="CTUh", "Fill in Manually",IF(OR(K12300="Unit", K12300=""), "", INDEX(LookUps!$E$5:$E$12, MATCH(OpenLCAbasic!K12300,LookUps!$D$5:$D$12,0))))</f>
        <v/>
      </c>
      <c r="M12300" s="154" t="str">
        <f t="shared" si="1075"/>
        <v>____Process__</v>
      </c>
    </row>
    <row r="12301" spans="1:13" s="120" customFormat="1" x14ac:dyDescent="0.25">
      <c r="A12301" s="119"/>
      <c r="B12301" s="138" t="str">
        <f t="shared" si="1071"/>
        <v>Aerated Static Pile</v>
      </c>
      <c r="C12301" s="138" t="str">
        <f t="shared" si="1072"/>
        <v>Without Amendment</v>
      </c>
      <c r="D12301" s="138" t="str">
        <f t="shared" si="1076"/>
        <v>Medium_High</v>
      </c>
      <c r="E12301" s="138" t="str">
        <f t="shared" si="1073"/>
        <v>Base</v>
      </c>
      <c r="F12301" s="138" t="str">
        <f t="shared" si="1074"/>
        <v>Upgraded</v>
      </c>
      <c r="G12301" s="153"/>
      <c r="H12301" s="210">
        <v>0.97840000000000005</v>
      </c>
      <c r="I12301" s="160" t="s">
        <v>435</v>
      </c>
      <c r="J12301" s="160">
        <v>0.41038000000000002</v>
      </c>
      <c r="K12301" s="160" t="s">
        <v>23</v>
      </c>
      <c r="L12301" s="154" t="str">
        <f>IF(OpenLCAbasic!K12301="CTUh", "Fill in Manually",IF(OR(K12301="Unit", K12301=""), "", INDEX(LookUps!$E$5:$E$12, MATCH(OpenLCAbasic!K12301,LookUps!$D$5:$D$12,0))))</f>
        <v>Global Warming Potential (GWP) - kg CO2 eq</v>
      </c>
      <c r="M12301" s="154" t="str">
        <f t="shared" si="1075"/>
        <v>Base_Medium_High_Upgraded_Global Warming Potential (GWP) - kg CO2 eq_Biosolids composting; aerated static pile; wastewater treatment unit; at updated plant - US_Without Amendment_Aerated Static Pile</v>
      </c>
    </row>
    <row r="12302" spans="1:13" s="120" customFormat="1" x14ac:dyDescent="0.25">
      <c r="A12302" s="119"/>
      <c r="B12302" s="138" t="str">
        <f t="shared" si="1071"/>
        <v>Aerated Static Pile</v>
      </c>
      <c r="C12302" s="138" t="str">
        <f t="shared" si="1072"/>
        <v>Without Amendment</v>
      </c>
      <c r="D12302" s="138" t="str">
        <f t="shared" si="1076"/>
        <v>Medium_High</v>
      </c>
      <c r="E12302" s="138" t="str">
        <f t="shared" si="1073"/>
        <v>Base</v>
      </c>
      <c r="F12302" s="138" t="str">
        <f t="shared" si="1074"/>
        <v>Upgraded</v>
      </c>
      <c r="G12302" s="153"/>
      <c r="H12302" s="210">
        <v>0.58579999999999999</v>
      </c>
      <c r="I12302" s="160" t="s">
        <v>58</v>
      </c>
      <c r="J12302" s="160">
        <v>0.24568999999999999</v>
      </c>
      <c r="K12302" s="160" t="s">
        <v>23</v>
      </c>
      <c r="L12302" s="154" t="str">
        <f>IF(OpenLCAbasic!K12302="CTUh", "Fill in Manually",IF(OR(K12302="Unit", K12302=""), "", INDEX(LookUps!$E$5:$E$12, MATCH(OpenLCAbasic!K12302,LookUps!$D$5:$D$12,0))))</f>
        <v>Global Warming Potential (GWP) - kg CO2 eq</v>
      </c>
      <c r="M12302" s="154" t="str">
        <f t="shared" si="1075"/>
        <v>Base_Medium_High_Upgraded_Global Warming Potential (GWP) - kg CO2 eq_Pre-Anoxic &amp; Swing tank; wastewater treatment unit; at updated plant - US_Without Amendment_Aerated Static Pile</v>
      </c>
    </row>
    <row r="12303" spans="1:13" s="120" customFormat="1" x14ac:dyDescent="0.25">
      <c r="A12303" s="119"/>
      <c r="B12303" s="138" t="str">
        <f t="shared" si="1071"/>
        <v>Aerated Static Pile</v>
      </c>
      <c r="C12303" s="138" t="str">
        <f t="shared" si="1072"/>
        <v>Without Amendment</v>
      </c>
      <c r="D12303" s="138" t="str">
        <f t="shared" si="1076"/>
        <v>Medium_High</v>
      </c>
      <c r="E12303" s="138" t="str">
        <f t="shared" si="1073"/>
        <v>Base</v>
      </c>
      <c r="F12303" s="138" t="str">
        <f t="shared" si="1074"/>
        <v>Upgraded</v>
      </c>
      <c r="G12303" s="153"/>
      <c r="H12303" s="210">
        <v>0.40110000000000001</v>
      </c>
      <c r="I12303" s="160" t="s">
        <v>55</v>
      </c>
      <c r="J12303" s="160">
        <v>0.16822000000000001</v>
      </c>
      <c r="K12303" s="160" t="s">
        <v>23</v>
      </c>
      <c r="L12303" s="154" t="str">
        <f>IF(OpenLCAbasic!K12303="CTUh", "Fill in Manually",IF(OR(K12303="Unit", K12303=""), "", INDEX(LookUps!$E$5:$E$12, MATCH(OpenLCAbasic!K12303,LookUps!$D$5:$D$12,0))))</f>
        <v>Global Warming Potential (GWP) - kg CO2 eq</v>
      </c>
      <c r="M12303" s="154" t="str">
        <f t="shared" si="1075"/>
        <v>Base_Medium_High_Upgraded_Global Warming Potential (GWP) - kg CO2 eq_Aeration Tanks; wastewater treatment unit; at updated plant - US_Without Amendment_Aerated Static Pile</v>
      </c>
    </row>
    <row r="12304" spans="1:13" s="120" customFormat="1" x14ac:dyDescent="0.25">
      <c r="A12304" s="119"/>
      <c r="B12304" s="138" t="str">
        <f t="shared" si="1071"/>
        <v>Aerated Static Pile</v>
      </c>
      <c r="C12304" s="138" t="str">
        <f t="shared" si="1072"/>
        <v>Without Amendment</v>
      </c>
      <c r="D12304" s="138" t="str">
        <f t="shared" si="1076"/>
        <v>Medium_High</v>
      </c>
      <c r="E12304" s="138" t="str">
        <f t="shared" si="1073"/>
        <v>Base</v>
      </c>
      <c r="F12304" s="138" t="str">
        <f t="shared" si="1074"/>
        <v>Upgraded</v>
      </c>
      <c r="G12304" s="153"/>
      <c r="H12304" s="210">
        <v>0.29459999999999997</v>
      </c>
      <c r="I12304" s="160" t="s">
        <v>167</v>
      </c>
      <c r="J12304" s="160">
        <v>0.12354999999999999</v>
      </c>
      <c r="K12304" s="160" t="s">
        <v>23</v>
      </c>
      <c r="L12304" s="154" t="str">
        <f>IF(OpenLCAbasic!K12304="CTUh", "Fill in Manually",IF(OR(K12304="Unit", K12304=""), "", INDEX(LookUps!$E$5:$E$12, MATCH(OpenLCAbasic!K12304,LookUps!$D$5:$D$12,0))))</f>
        <v>Global Warming Potential (GWP) - kg CO2 eq</v>
      </c>
      <c r="M12304" s="154" t="str">
        <f t="shared" si="1075"/>
        <v>Base_Medium_High_Upgraded_Global Warming Potential (GWP) - kg CO2 eq_Waste Receiving and Holding; wastewater treatment unit; at updated plant - US_Without Amendment_Aerated Static Pile</v>
      </c>
    </row>
    <row r="12305" spans="1:13" s="120" customFormat="1" x14ac:dyDescent="0.25">
      <c r="A12305" s="119"/>
      <c r="B12305" s="138" t="str">
        <f t="shared" si="1071"/>
        <v>Aerated Static Pile</v>
      </c>
      <c r="C12305" s="138" t="str">
        <f t="shared" si="1072"/>
        <v>Without Amendment</v>
      </c>
      <c r="D12305" s="138" t="str">
        <f t="shared" si="1076"/>
        <v>Medium_High</v>
      </c>
      <c r="E12305" s="138" t="str">
        <f t="shared" si="1073"/>
        <v>Base</v>
      </c>
      <c r="F12305" s="138" t="str">
        <f t="shared" si="1074"/>
        <v>Upgraded</v>
      </c>
      <c r="G12305" s="153"/>
      <c r="H12305" s="210">
        <v>0.1361</v>
      </c>
      <c r="I12305" s="160" t="s">
        <v>54</v>
      </c>
      <c r="J12305" s="160">
        <v>5.7079999999999999E-2</v>
      </c>
      <c r="K12305" s="160" t="s">
        <v>23</v>
      </c>
      <c r="L12305" s="154" t="str">
        <f>IF(OpenLCAbasic!K12305="CTUh", "Fill in Manually",IF(OR(K12305="Unit", K12305=""), "", INDEX(LookUps!$E$5:$E$12, MATCH(OpenLCAbasic!K12305,LookUps!$D$5:$D$12,0))))</f>
        <v>Global Warming Potential (GWP) - kg CO2 eq</v>
      </c>
      <c r="M12305" s="154" t="str">
        <f t="shared" si="1075"/>
        <v>Base_Medium_High_Upgraded_Global Warming Potential (GWP) - kg CO2 eq_Clear Cove Primary Clarification; wastewater treatment unit; at updated plant - US_Without Amendment_Aerated Static Pile</v>
      </c>
    </row>
    <row r="12306" spans="1:13" s="120" customFormat="1" x14ac:dyDescent="0.25">
      <c r="A12306" s="119"/>
      <c r="B12306" s="138" t="str">
        <f t="shared" si="1071"/>
        <v>Aerated Static Pile</v>
      </c>
      <c r="C12306" s="138" t="str">
        <f t="shared" si="1072"/>
        <v>Without Amendment</v>
      </c>
      <c r="D12306" s="138" t="str">
        <f t="shared" si="1076"/>
        <v>Medium_High</v>
      </c>
      <c r="E12306" s="138" t="str">
        <f t="shared" si="1073"/>
        <v>Base</v>
      </c>
      <c r="F12306" s="138" t="str">
        <f t="shared" si="1074"/>
        <v>Upgraded</v>
      </c>
      <c r="G12306" s="153"/>
      <c r="H12306" s="210">
        <v>0.1255</v>
      </c>
      <c r="I12306" s="160" t="s">
        <v>48</v>
      </c>
      <c r="J12306" s="160">
        <v>5.2639999999999999E-2</v>
      </c>
      <c r="K12306" s="160" t="s">
        <v>23</v>
      </c>
      <c r="L12306" s="154" t="str">
        <f>IF(OpenLCAbasic!K12306="CTUh", "Fill in Manually",IF(OR(K12306="Unit", K12306=""), "", INDEX(LookUps!$E$5:$E$12, MATCH(OpenLCAbasic!K12306,LookUps!$D$5:$D$12,0))))</f>
        <v>Global Warming Potential (GWP) - kg CO2 eq</v>
      </c>
      <c r="M12306" s="154" t="str">
        <f t="shared" si="1075"/>
        <v>Base_Medium_High_Upgraded_Global Warming Potential (GWP) - kg CO2 eq_Effluent release; wastewater treatment unit; at surface water; m3 wastewater - US_Without Amendment_Aerated Static Pile</v>
      </c>
    </row>
    <row r="12307" spans="1:13" s="120" customFormat="1" x14ac:dyDescent="0.25">
      <c r="A12307" s="119"/>
      <c r="B12307" s="138" t="str">
        <f t="shared" si="1071"/>
        <v>Aerated Static Pile</v>
      </c>
      <c r="C12307" s="138" t="str">
        <f t="shared" si="1072"/>
        <v>Without Amendment</v>
      </c>
      <c r="D12307" s="138" t="str">
        <f t="shared" si="1076"/>
        <v>Medium_High</v>
      </c>
      <c r="E12307" s="138" t="str">
        <f t="shared" si="1073"/>
        <v>Base</v>
      </c>
      <c r="F12307" s="138" t="str">
        <f t="shared" si="1074"/>
        <v>Upgraded</v>
      </c>
      <c r="G12307" s="153"/>
      <c r="H12307" s="210">
        <v>0.12039999999999999</v>
      </c>
      <c r="I12307" s="160" t="s">
        <v>147</v>
      </c>
      <c r="J12307" s="160">
        <v>5.0500000000000003E-2</v>
      </c>
      <c r="K12307" s="160" t="s">
        <v>23</v>
      </c>
      <c r="L12307" s="154" t="str">
        <f>IF(OpenLCAbasic!K12307="CTUh", "Fill in Manually",IF(OR(K12307="Unit", K12307=""), "", INDEX(LookUps!$E$5:$E$12, MATCH(OpenLCAbasic!K12307,LookUps!$D$5:$D$12,0))))</f>
        <v>Global Warming Potential (GWP) - kg CO2 eq</v>
      </c>
      <c r="M12307" s="154" t="str">
        <f t="shared" si="1075"/>
        <v>Base_Medium_High_Upgraded_Global Warming Potential (GWP) - kg CO2 eq_Influent Pump Station; wastewater treatment unit; at updated plant - US_Without Amendment_Aerated Static Pile</v>
      </c>
    </row>
    <row r="12308" spans="1:13" s="120" customFormat="1" x14ac:dyDescent="0.25">
      <c r="A12308" s="119"/>
      <c r="B12308" s="138" t="str">
        <f t="shared" si="1071"/>
        <v>Aerated Static Pile</v>
      </c>
      <c r="C12308" s="138" t="str">
        <f t="shared" si="1072"/>
        <v>Without Amendment</v>
      </c>
      <c r="D12308" s="138" t="str">
        <f t="shared" si="1076"/>
        <v>Medium_High</v>
      </c>
      <c r="E12308" s="138" t="str">
        <f t="shared" si="1073"/>
        <v>Base</v>
      </c>
      <c r="F12308" s="138" t="str">
        <f t="shared" si="1074"/>
        <v>Upgraded</v>
      </c>
      <c r="G12308" s="153"/>
      <c r="H12308" s="210">
        <v>7.9299999999999995E-2</v>
      </c>
      <c r="I12308" s="160" t="s">
        <v>53</v>
      </c>
      <c r="J12308" s="160">
        <v>3.3259999999999998E-2</v>
      </c>
      <c r="K12308" s="160" t="s">
        <v>23</v>
      </c>
      <c r="L12308" s="154" t="str">
        <f>IF(OpenLCAbasic!K12308="CTUh", "Fill in Manually",IF(OR(K12308="Unit", K12308=""), "", INDEX(LookUps!$E$5:$E$12, MATCH(OpenLCAbasic!K12308,LookUps!$D$5:$D$12,0))))</f>
        <v>Global Warming Potential (GWP) - kg CO2 eq</v>
      </c>
      <c r="M12308" s="154" t="str">
        <f t="shared" si="1075"/>
        <v>Base_Medium_High_Upgraded_Global Warming Potential (GWP) - kg CO2 eq_Wet Well and Sump Station; wastewater treatment unit; at updated plant - US_Without Amendment_Aerated Static Pile</v>
      </c>
    </row>
    <row r="12309" spans="1:13" s="120" customFormat="1" x14ac:dyDescent="0.25">
      <c r="A12309" s="119"/>
      <c r="B12309" s="138" t="str">
        <f t="shared" si="1071"/>
        <v>Aerated Static Pile</v>
      </c>
      <c r="C12309" s="138" t="str">
        <f t="shared" si="1072"/>
        <v>Without Amendment</v>
      </c>
      <c r="D12309" s="138" t="str">
        <f t="shared" si="1076"/>
        <v>Medium_High</v>
      </c>
      <c r="E12309" s="138" t="str">
        <f t="shared" si="1073"/>
        <v>Base</v>
      </c>
      <c r="F12309" s="138" t="str">
        <f t="shared" si="1074"/>
        <v>Upgraded</v>
      </c>
      <c r="G12309" s="153"/>
      <c r="H12309" s="210">
        <v>4.02E-2</v>
      </c>
      <c r="I12309" s="160" t="s">
        <v>60</v>
      </c>
      <c r="J12309" s="160">
        <v>1.6879999999999999E-2</v>
      </c>
      <c r="K12309" s="160" t="s">
        <v>23</v>
      </c>
      <c r="L12309" s="154" t="str">
        <f>IF(OpenLCAbasic!K12309="CTUh", "Fill in Manually",IF(OR(K12309="Unit", K12309=""), "", INDEX(LookUps!$E$5:$E$12, MATCH(OpenLCAbasic!K12309,LookUps!$D$5:$D$12,0))))</f>
        <v>Global Warming Potential (GWP) - kg CO2 eq</v>
      </c>
      <c r="M12309" s="154" t="str">
        <f t="shared" si="1075"/>
        <v>Base_Medium_High_Upgraded_Global Warming Potential (GWP) - kg CO2 eq_Belt filter press; wastewater treatment unit; at updated plant - US_Without Amendment_Aerated Static Pile</v>
      </c>
    </row>
    <row r="12310" spans="1:13" s="120" customFormat="1" x14ac:dyDescent="0.25">
      <c r="A12310" s="119"/>
      <c r="B12310" s="138" t="str">
        <f t="shared" si="1071"/>
        <v>Aerated Static Pile</v>
      </c>
      <c r="C12310" s="138" t="str">
        <f t="shared" si="1072"/>
        <v>Without Amendment</v>
      </c>
      <c r="D12310" s="138" t="str">
        <f t="shared" si="1076"/>
        <v>Medium_High</v>
      </c>
      <c r="E12310" s="138" t="str">
        <f t="shared" si="1073"/>
        <v>Base</v>
      </c>
      <c r="F12310" s="138" t="str">
        <f t="shared" si="1074"/>
        <v>Upgraded</v>
      </c>
      <c r="G12310" s="153"/>
      <c r="H12310" s="210">
        <v>3.4700000000000002E-2</v>
      </c>
      <c r="I12310" s="160" t="s">
        <v>57</v>
      </c>
      <c r="J12310" s="160">
        <v>1.455E-2</v>
      </c>
      <c r="K12310" s="160" t="s">
        <v>23</v>
      </c>
      <c r="L12310" s="154" t="str">
        <f>IF(OpenLCAbasic!K12310="CTUh", "Fill in Manually",IF(OR(K12310="Unit", K12310=""), "", INDEX(LookUps!$E$5:$E$12, MATCH(OpenLCAbasic!K12310,LookUps!$D$5:$D$12,0))))</f>
        <v>Global Warming Potential (GWP) - kg CO2 eq</v>
      </c>
      <c r="M12310" s="154" t="str">
        <f t="shared" si="1075"/>
        <v>Base_Medium_High_Upgraded_Global Warming Potential (GWP) - kg CO2 eq_Gravity Belt Thickener; wastewater treatment unit; at updated plant - US_Without Amendment_Aerated Static Pile</v>
      </c>
    </row>
    <row r="12311" spans="1:13" s="120" customFormat="1" x14ac:dyDescent="0.25">
      <c r="A12311" s="119"/>
      <c r="B12311" s="138" t="str">
        <f t="shared" si="1071"/>
        <v>Aerated Static Pile</v>
      </c>
      <c r="C12311" s="138" t="str">
        <f t="shared" si="1072"/>
        <v>Without Amendment</v>
      </c>
      <c r="D12311" s="138" t="str">
        <f t="shared" si="1076"/>
        <v>Medium_High</v>
      </c>
      <c r="E12311" s="138" t="str">
        <f t="shared" si="1073"/>
        <v>Base</v>
      </c>
      <c r="F12311" s="138" t="str">
        <f t="shared" si="1074"/>
        <v>Upgraded</v>
      </c>
      <c r="G12311" s="153"/>
      <c r="H12311" s="210">
        <v>3.2199999999999999E-2</v>
      </c>
      <c r="I12311" s="160" t="s">
        <v>128</v>
      </c>
      <c r="J12311" s="160">
        <v>1.3509999999999999E-2</v>
      </c>
      <c r="K12311" s="160" t="s">
        <v>23</v>
      </c>
      <c r="L12311" s="154" t="str">
        <f>IF(OpenLCAbasic!K12311="CTUh", "Fill in Manually",IF(OR(K12311="Unit", K12311=""), "", INDEX(LookUps!$E$5:$E$12, MATCH(OpenLCAbasic!K12311,LookUps!$D$5:$D$12,0))))</f>
        <v>Global Warming Potential (GWP) - kg CO2 eq</v>
      </c>
      <c r="M12311" s="154" t="str">
        <f t="shared" si="1075"/>
        <v>Base_Medium_High_Upgraded_Global Warming Potential (GWP) - kg CO2 eq_Wastewater collection; operation and infrastructure; m3 wastewater_Without Amendment_Aerated Static Pile</v>
      </c>
    </row>
    <row r="12312" spans="1:13" s="120" customFormat="1" x14ac:dyDescent="0.25">
      <c r="A12312" s="119"/>
      <c r="B12312" s="138" t="str">
        <f t="shared" si="1071"/>
        <v>Aerated Static Pile</v>
      </c>
      <c r="C12312" s="138" t="str">
        <f t="shared" si="1072"/>
        <v>Without Amendment</v>
      </c>
      <c r="D12312" s="138" t="str">
        <f t="shared" si="1076"/>
        <v>Medium_High</v>
      </c>
      <c r="E12312" s="138" t="str">
        <f t="shared" si="1073"/>
        <v>Base</v>
      </c>
      <c r="F12312" s="138" t="str">
        <f t="shared" si="1074"/>
        <v>Upgraded</v>
      </c>
      <c r="G12312" s="153"/>
      <c r="H12312" s="210">
        <v>1.9800000000000002E-2</v>
      </c>
      <c r="I12312" s="160" t="s">
        <v>148</v>
      </c>
      <c r="J12312" s="160">
        <v>8.3000000000000001E-3</v>
      </c>
      <c r="K12312" s="160" t="s">
        <v>23</v>
      </c>
      <c r="L12312" s="154" t="str">
        <f>IF(OpenLCAbasic!K12312="CTUh", "Fill in Manually",IF(OR(K12312="Unit", K12312=""), "", INDEX(LookUps!$E$5:$E$12, MATCH(OpenLCAbasic!K12312,LookUps!$D$5:$D$12,0))))</f>
        <v>Global Warming Potential (GWP) - kg CO2 eq</v>
      </c>
      <c r="M12312" s="154" t="str">
        <f t="shared" si="1075"/>
        <v>Base_Medium_High_Upgraded_Global Warming Potential (GWP) - kg CO2 eq_Control Building; at upgraded wastewater treatment plant - US_Without Amendment_Aerated Static Pile</v>
      </c>
    </row>
    <row r="12313" spans="1:13" s="120" customFormat="1" x14ac:dyDescent="0.25">
      <c r="A12313" s="119"/>
      <c r="B12313" s="138" t="str">
        <f t="shared" si="1071"/>
        <v>Aerated Static Pile</v>
      </c>
      <c r="C12313" s="138" t="str">
        <f t="shared" si="1072"/>
        <v>Without Amendment</v>
      </c>
      <c r="D12313" s="138" t="str">
        <f t="shared" si="1076"/>
        <v>Medium_High</v>
      </c>
      <c r="E12313" s="138" t="str">
        <f t="shared" si="1073"/>
        <v>Base</v>
      </c>
      <c r="F12313" s="138" t="str">
        <f t="shared" si="1074"/>
        <v>Upgraded</v>
      </c>
      <c r="G12313" s="153"/>
      <c r="H12313" s="210">
        <v>1.2E-2</v>
      </c>
      <c r="I12313" s="160" t="s">
        <v>59</v>
      </c>
      <c r="J12313" s="160">
        <v>5.0400000000000002E-3</v>
      </c>
      <c r="K12313" s="160" t="s">
        <v>23</v>
      </c>
      <c r="L12313" s="154" t="str">
        <f>IF(OpenLCAbasic!K12313="CTUh", "Fill in Manually",IF(OR(K12313="Unit", K12313=""), "", INDEX(LookUps!$E$5:$E$12, MATCH(OpenLCAbasic!K12313,LookUps!$D$5:$D$12,0))))</f>
        <v>Global Warming Potential (GWP) - kg CO2 eq</v>
      </c>
      <c r="M12313" s="154" t="str">
        <f t="shared" si="1075"/>
        <v>Base_Medium_High_Upgraded_Global Warming Potential (GWP) - kg CO2 eq_Blend Tank; wastewater treatment unit; at updated plant - US_Without Amendment_Aerated Static Pile</v>
      </c>
    </row>
    <row r="12314" spans="1:13" s="120" customFormat="1" x14ac:dyDescent="0.25">
      <c r="A12314" s="119"/>
      <c r="B12314" s="138" t="str">
        <f t="shared" si="1071"/>
        <v>Aerated Static Pile</v>
      </c>
      <c r="C12314" s="138" t="str">
        <f t="shared" si="1072"/>
        <v>Without Amendment</v>
      </c>
      <c r="D12314" s="138" t="str">
        <f t="shared" si="1076"/>
        <v>Medium_High</v>
      </c>
      <c r="E12314" s="138" t="str">
        <f t="shared" si="1073"/>
        <v>Base</v>
      </c>
      <c r="F12314" s="138" t="str">
        <f t="shared" si="1074"/>
        <v>Upgraded</v>
      </c>
      <c r="G12314" s="153"/>
      <c r="H12314" s="210">
        <v>5.7999999999999996E-3</v>
      </c>
      <c r="I12314" s="160" t="s">
        <v>168</v>
      </c>
      <c r="J12314" s="160">
        <v>2.4099999999999998E-3</v>
      </c>
      <c r="K12314" s="160" t="s">
        <v>23</v>
      </c>
      <c r="L12314" s="154" t="str">
        <f>IF(OpenLCAbasic!K12314="CTUh", "Fill in Manually",IF(OR(K12314="Unit", K12314=""), "", INDEX(LookUps!$E$5:$E$12, MATCH(OpenLCAbasic!K12314,LookUps!$D$5:$D$12,0))))</f>
        <v>Global Warming Potential (GWP) - kg CO2 eq</v>
      </c>
      <c r="M12314" s="154" t="str">
        <f t="shared" si="1075"/>
        <v>Base_Medium_High_Upgraded_Global Warming Potential (GWP) - kg CO2 eq_ClearCove SCP; wastewater treatment unit; at updated plant - US_Without Amendment_Aerated Static Pile</v>
      </c>
    </row>
    <row r="12315" spans="1:13" s="120" customFormat="1" x14ac:dyDescent="0.25">
      <c r="A12315" s="119"/>
      <c r="B12315" s="138" t="str">
        <f t="shared" si="1071"/>
        <v>Aerated Static Pile</v>
      </c>
      <c r="C12315" s="138" t="str">
        <f t="shared" si="1072"/>
        <v>Without Amendment</v>
      </c>
      <c r="D12315" s="138" t="str">
        <f t="shared" si="1076"/>
        <v>Medium_High</v>
      </c>
      <c r="E12315" s="138" t="str">
        <f t="shared" si="1073"/>
        <v>Base</v>
      </c>
      <c r="F12315" s="138" t="str">
        <f t="shared" si="1074"/>
        <v>Upgraded</v>
      </c>
      <c r="G12315" s="153"/>
      <c r="H12315" s="210">
        <v>-0.43269999999999997</v>
      </c>
      <c r="I12315" s="160" t="s">
        <v>62</v>
      </c>
      <c r="J12315" s="160">
        <v>-0.18148</v>
      </c>
      <c r="K12315" s="160" t="s">
        <v>23</v>
      </c>
      <c r="L12315" s="154" t="str">
        <f>IF(OpenLCAbasic!K12315="CTUh", "Fill in Manually",IF(OR(K12315="Unit", K12315=""), "", INDEX(LookUps!$E$5:$E$12, MATCH(OpenLCAbasic!K12315,LookUps!$D$5:$D$12,0))))</f>
        <v>Global Warming Potential (GWP) - kg CO2 eq</v>
      </c>
      <c r="M12315" s="154" t="str">
        <f t="shared" si="1075"/>
        <v>Base_Medium_High_Upgraded_Global Warming Potential (GWP) - kg CO2 eq_Land application of compost; wastewater treatment unit; at updated plant - US_Without Amendment_Aerated Static Pile</v>
      </c>
    </row>
    <row r="12316" spans="1:13" s="120" customFormat="1" x14ac:dyDescent="0.25">
      <c r="A12316" s="119"/>
      <c r="B12316" s="138" t="str">
        <f t="shared" si="1071"/>
        <v>Aerated Static Pile</v>
      </c>
      <c r="C12316" s="138" t="str">
        <f t="shared" si="1072"/>
        <v>Without Amendment</v>
      </c>
      <c r="D12316" s="138" t="str">
        <f t="shared" si="1076"/>
        <v>Medium_High</v>
      </c>
      <c r="E12316" s="138" t="str">
        <f t="shared" si="1073"/>
        <v>Base</v>
      </c>
      <c r="F12316" s="138" t="str">
        <f t="shared" si="1074"/>
        <v>Upgraded</v>
      </c>
      <c r="G12316" s="153"/>
      <c r="H12316" s="210">
        <v>-1.4330000000000001</v>
      </c>
      <c r="I12316" s="160" t="s">
        <v>149</v>
      </c>
      <c r="J12316" s="160">
        <v>-0.60107999999999995</v>
      </c>
      <c r="K12316" s="160" t="s">
        <v>23</v>
      </c>
      <c r="L12316" s="154" t="str">
        <f>IF(OpenLCAbasic!K12316="CTUh", "Fill in Manually",IF(OR(K12316="Unit", K12316=""), "", INDEX(LookUps!$E$5:$E$12, MATCH(OpenLCAbasic!K12316,LookUps!$D$5:$D$12,0))))</f>
        <v>Global Warming Potential (GWP) - kg CO2 eq</v>
      </c>
      <c r="M12316" s="154" t="str">
        <f t="shared" si="1075"/>
        <v>Base_Medium_High_Upgraded_Global Warming Potential (GWP) - kg CO2 eq_Anaerobic Digestion; wastewater treatment unit; at updated plant - US_Without Amendment_Aerated Static Pile</v>
      </c>
    </row>
    <row r="12317" spans="1:13" s="120" customFormat="1" x14ac:dyDescent="0.25">
      <c r="A12317" s="119"/>
      <c r="B12317" s="138" t="str">
        <f t="shared" si="1071"/>
        <v/>
      </c>
      <c r="C12317" s="138" t="str">
        <f t="shared" si="1072"/>
        <v/>
      </c>
      <c r="D12317" s="138" t="str">
        <f t="shared" si="1076"/>
        <v/>
      </c>
      <c r="E12317" s="138" t="str">
        <f t="shared" si="1073"/>
        <v/>
      </c>
      <c r="F12317" s="138" t="str">
        <f t="shared" si="1074"/>
        <v/>
      </c>
      <c r="G12317" s="153" t="s">
        <v>51</v>
      </c>
      <c r="H12317" s="160"/>
      <c r="I12317" s="160" t="s">
        <v>47</v>
      </c>
      <c r="J12317" s="160" t="s">
        <v>52</v>
      </c>
      <c r="K12317" s="160" t="s">
        <v>27</v>
      </c>
      <c r="L12317" s="154" t="str">
        <f>IF(OpenLCAbasic!K12317="CTUh", "Fill in Manually",IF(OR(K12317="Unit", K12317=""), "", INDEX(LookUps!$E$5:$E$12, MATCH(OpenLCAbasic!K12317,LookUps!$D$5:$D$12,0))))</f>
        <v/>
      </c>
      <c r="M12317" s="154" t="str">
        <f t="shared" si="1075"/>
        <v>____Process__</v>
      </c>
    </row>
    <row r="12318" spans="1:13" s="120" customFormat="1" x14ac:dyDescent="0.25">
      <c r="A12318" s="119"/>
      <c r="B12318" s="138" t="str">
        <f t="shared" si="1071"/>
        <v>Aerated Static Pile</v>
      </c>
      <c r="C12318" s="138" t="str">
        <f t="shared" si="1072"/>
        <v>Without Amendment</v>
      </c>
      <c r="D12318" s="138" t="str">
        <f t="shared" si="1076"/>
        <v>Medium_High</v>
      </c>
      <c r="E12318" s="138" t="str">
        <f t="shared" si="1073"/>
        <v>Base</v>
      </c>
      <c r="F12318" s="138" t="str">
        <f t="shared" si="1074"/>
        <v>Upgraded</v>
      </c>
      <c r="G12318" s="153"/>
      <c r="H12318" s="210">
        <v>1.0266</v>
      </c>
      <c r="I12318" s="160" t="s">
        <v>55</v>
      </c>
      <c r="J12318" s="160">
        <v>2.33E-3</v>
      </c>
      <c r="K12318" s="160" t="s">
        <v>145</v>
      </c>
      <c r="L12318" s="154" t="str">
        <f>IF(OpenLCAbasic!K12318="CTUh", "Fill in Manually",IF(OR(K12318="Unit", K12318=""), "", INDEX(LookUps!$E$5:$E$12, MATCH(OpenLCAbasic!K12318,LookUps!$D$5:$D$12,0))))</f>
        <v>Particulate Matter Formation Potential (PMFP) - kg PM2.5 eq</v>
      </c>
      <c r="M12318" s="154" t="str">
        <f t="shared" si="1075"/>
        <v>Base_Medium_High_Upgraded_Particulate Matter Formation Potential (PMFP) - kg PM2.5 eq_Aeration Tanks; wastewater treatment unit; at updated plant - US_Without Amendment_Aerated Static Pile</v>
      </c>
    </row>
    <row r="12319" spans="1:13" s="120" customFormat="1" x14ac:dyDescent="0.25">
      <c r="A12319" s="119"/>
      <c r="B12319" s="138" t="str">
        <f t="shared" si="1071"/>
        <v>Aerated Static Pile</v>
      </c>
      <c r="C12319" s="138" t="str">
        <f t="shared" si="1072"/>
        <v>Without Amendment</v>
      </c>
      <c r="D12319" s="138" t="str">
        <f t="shared" si="1076"/>
        <v>Medium_High</v>
      </c>
      <c r="E12319" s="138" t="str">
        <f t="shared" si="1073"/>
        <v>Base</v>
      </c>
      <c r="F12319" s="138" t="str">
        <f t="shared" si="1074"/>
        <v>Upgraded</v>
      </c>
      <c r="G12319" s="153"/>
      <c r="H12319" s="210">
        <v>0.29870000000000002</v>
      </c>
      <c r="I12319" s="160" t="s">
        <v>54</v>
      </c>
      <c r="J12319" s="160">
        <v>6.8000000000000005E-4</v>
      </c>
      <c r="K12319" s="160" t="s">
        <v>145</v>
      </c>
      <c r="L12319" s="154" t="str">
        <f>IF(OpenLCAbasic!K12319="CTUh", "Fill in Manually",IF(OR(K12319="Unit", K12319=""), "", INDEX(LookUps!$E$5:$E$12, MATCH(OpenLCAbasic!K12319,LookUps!$D$5:$D$12,0))))</f>
        <v>Particulate Matter Formation Potential (PMFP) - kg PM2.5 eq</v>
      </c>
      <c r="M12319" s="154" t="str">
        <f t="shared" si="1075"/>
        <v>Base_Medium_High_Upgraded_Particulate Matter Formation Potential (PMFP) - kg PM2.5 eq_Clear Cove Primary Clarification; wastewater treatment unit; at updated plant - US_Without Amendment_Aerated Static Pile</v>
      </c>
    </row>
    <row r="12320" spans="1:13" s="120" customFormat="1" x14ac:dyDescent="0.25">
      <c r="A12320" s="119"/>
      <c r="B12320" s="138" t="str">
        <f t="shared" si="1071"/>
        <v>Aerated Static Pile</v>
      </c>
      <c r="C12320" s="138" t="str">
        <f t="shared" si="1072"/>
        <v>Without Amendment</v>
      </c>
      <c r="D12320" s="138" t="str">
        <f t="shared" si="1076"/>
        <v>Medium_High</v>
      </c>
      <c r="E12320" s="138" t="str">
        <f t="shared" si="1073"/>
        <v>Base</v>
      </c>
      <c r="F12320" s="138" t="str">
        <f t="shared" si="1074"/>
        <v>Upgraded</v>
      </c>
      <c r="G12320" s="153"/>
      <c r="H12320" s="210">
        <v>0.25900000000000001</v>
      </c>
      <c r="I12320" s="160" t="s">
        <v>58</v>
      </c>
      <c r="J12320" s="160">
        <v>5.9000000000000003E-4</v>
      </c>
      <c r="K12320" s="160" t="s">
        <v>145</v>
      </c>
      <c r="L12320" s="154" t="str">
        <f>IF(OpenLCAbasic!K12320="CTUh", "Fill in Manually",IF(OR(K12320="Unit", K12320=""), "", INDEX(LookUps!$E$5:$E$12, MATCH(OpenLCAbasic!K12320,LookUps!$D$5:$D$12,0))))</f>
        <v>Particulate Matter Formation Potential (PMFP) - kg PM2.5 eq</v>
      </c>
      <c r="M12320" s="154" t="str">
        <f t="shared" si="1075"/>
        <v>Base_Medium_High_Upgraded_Particulate Matter Formation Potential (PMFP) - kg PM2.5 eq_Pre-Anoxic &amp; Swing tank; wastewater treatment unit; at updated plant - US_Without Amendment_Aerated Static Pile</v>
      </c>
    </row>
    <row r="12321" spans="1:13" s="120" customFormat="1" x14ac:dyDescent="0.25">
      <c r="A12321" s="119"/>
      <c r="B12321" s="138" t="str">
        <f t="shared" si="1071"/>
        <v>Aerated Static Pile</v>
      </c>
      <c r="C12321" s="138" t="str">
        <f t="shared" si="1072"/>
        <v>Without Amendment</v>
      </c>
      <c r="D12321" s="138" t="str">
        <f t="shared" si="1076"/>
        <v>Medium_High</v>
      </c>
      <c r="E12321" s="138" t="str">
        <f t="shared" si="1073"/>
        <v>Base</v>
      </c>
      <c r="F12321" s="138" t="str">
        <f t="shared" si="1074"/>
        <v>Upgraded</v>
      </c>
      <c r="G12321" s="153"/>
      <c r="H12321" s="210">
        <v>0.20530000000000001</v>
      </c>
      <c r="I12321" s="160" t="s">
        <v>53</v>
      </c>
      <c r="J12321" s="160">
        <v>4.6999999999999999E-4</v>
      </c>
      <c r="K12321" s="160" t="s">
        <v>145</v>
      </c>
      <c r="L12321" s="154" t="str">
        <f>IF(OpenLCAbasic!K12321="CTUh", "Fill in Manually",IF(OR(K12321="Unit", K12321=""), "", INDEX(LookUps!$E$5:$E$12, MATCH(OpenLCAbasic!K12321,LookUps!$D$5:$D$12,0))))</f>
        <v>Particulate Matter Formation Potential (PMFP) - kg PM2.5 eq</v>
      </c>
      <c r="M12321" s="154" t="str">
        <f t="shared" si="1075"/>
        <v>Base_Medium_High_Upgraded_Particulate Matter Formation Potential (PMFP) - kg PM2.5 eq_Wet Well and Sump Station; wastewater treatment unit; at updated plant - US_Without Amendment_Aerated Static Pile</v>
      </c>
    </row>
    <row r="12322" spans="1:13" s="120" customFormat="1" x14ac:dyDescent="0.25">
      <c r="A12322" s="119"/>
      <c r="B12322" s="138" t="str">
        <f t="shared" si="1071"/>
        <v>Aerated Static Pile</v>
      </c>
      <c r="C12322" s="138" t="str">
        <f t="shared" si="1072"/>
        <v>Without Amendment</v>
      </c>
      <c r="D12322" s="138" t="str">
        <f t="shared" si="1076"/>
        <v>Medium_High</v>
      </c>
      <c r="E12322" s="138" t="str">
        <f t="shared" si="1073"/>
        <v>Base</v>
      </c>
      <c r="F12322" s="138" t="str">
        <f t="shared" si="1074"/>
        <v>Upgraded</v>
      </c>
      <c r="G12322" s="153"/>
      <c r="H12322" s="210">
        <v>0.1384</v>
      </c>
      <c r="I12322" s="160" t="s">
        <v>167</v>
      </c>
      <c r="J12322" s="160">
        <v>3.1E-4</v>
      </c>
      <c r="K12322" s="160" t="s">
        <v>145</v>
      </c>
      <c r="L12322" s="154" t="str">
        <f>IF(OpenLCAbasic!K12322="CTUh", "Fill in Manually",IF(OR(K12322="Unit", K12322=""), "", INDEX(LookUps!$E$5:$E$12, MATCH(OpenLCAbasic!K12322,LookUps!$D$5:$D$12,0))))</f>
        <v>Particulate Matter Formation Potential (PMFP) - kg PM2.5 eq</v>
      </c>
      <c r="M12322" s="154" t="str">
        <f t="shared" si="1075"/>
        <v>Base_Medium_High_Upgraded_Particulate Matter Formation Potential (PMFP) - kg PM2.5 eq_Waste Receiving and Holding; wastewater treatment unit; at updated plant - US_Without Amendment_Aerated Static Pile</v>
      </c>
    </row>
    <row r="12323" spans="1:13" s="120" customFormat="1" x14ac:dyDescent="0.25">
      <c r="A12323" s="119"/>
      <c r="B12323" s="138" t="str">
        <f t="shared" si="1071"/>
        <v>Aerated Static Pile</v>
      </c>
      <c r="C12323" s="138" t="str">
        <f t="shared" si="1072"/>
        <v>Without Amendment</v>
      </c>
      <c r="D12323" s="138" t="str">
        <f t="shared" si="1076"/>
        <v>Medium_High</v>
      </c>
      <c r="E12323" s="138" t="str">
        <f t="shared" si="1073"/>
        <v>Base</v>
      </c>
      <c r="F12323" s="138" t="str">
        <f t="shared" si="1074"/>
        <v>Upgraded</v>
      </c>
      <c r="G12323" s="153"/>
      <c r="H12323" s="210">
        <v>0.13469999999999999</v>
      </c>
      <c r="I12323" s="160" t="s">
        <v>435</v>
      </c>
      <c r="J12323" s="160">
        <v>3.1E-4</v>
      </c>
      <c r="K12323" s="160" t="s">
        <v>145</v>
      </c>
      <c r="L12323" s="154" t="str">
        <f>IF(OpenLCAbasic!K12323="CTUh", "Fill in Manually",IF(OR(K12323="Unit", K12323=""), "", INDEX(LookUps!$E$5:$E$12, MATCH(OpenLCAbasic!K12323,LookUps!$D$5:$D$12,0))))</f>
        <v>Particulate Matter Formation Potential (PMFP) - kg PM2.5 eq</v>
      </c>
      <c r="M12323" s="154" t="str">
        <f t="shared" si="1075"/>
        <v>Base_Medium_High_Upgraded_Particulate Matter Formation Potential (PMFP) - kg PM2.5 eq_Biosolids composting; aerated static pile; wastewater treatment unit; at updated plant - US_Without Amendment_Aerated Static Pile</v>
      </c>
    </row>
    <row r="12324" spans="1:13" s="120" customFormat="1" x14ac:dyDescent="0.25">
      <c r="A12324" s="119"/>
      <c r="B12324" s="138" t="str">
        <f t="shared" si="1071"/>
        <v>Aerated Static Pile</v>
      </c>
      <c r="C12324" s="138" t="str">
        <f t="shared" si="1072"/>
        <v>Without Amendment</v>
      </c>
      <c r="D12324" s="138" t="str">
        <f t="shared" si="1076"/>
        <v>Medium_High</v>
      </c>
      <c r="E12324" s="138" t="str">
        <f t="shared" si="1073"/>
        <v>Base</v>
      </c>
      <c r="F12324" s="138" t="str">
        <f t="shared" si="1074"/>
        <v>Upgraded</v>
      </c>
      <c r="G12324" s="153"/>
      <c r="H12324" s="210">
        <v>0.1173</v>
      </c>
      <c r="I12324" s="160" t="s">
        <v>147</v>
      </c>
      <c r="J12324" s="160">
        <v>2.7E-4</v>
      </c>
      <c r="K12324" s="160" t="s">
        <v>145</v>
      </c>
      <c r="L12324" s="154" t="str">
        <f>IF(OpenLCAbasic!K12324="CTUh", "Fill in Manually",IF(OR(K12324="Unit", K12324=""), "", INDEX(LookUps!$E$5:$E$12, MATCH(OpenLCAbasic!K12324,LookUps!$D$5:$D$12,0))))</f>
        <v>Particulate Matter Formation Potential (PMFP) - kg PM2.5 eq</v>
      </c>
      <c r="M12324" s="154" t="str">
        <f t="shared" si="1075"/>
        <v>Base_Medium_High_Upgraded_Particulate Matter Formation Potential (PMFP) - kg PM2.5 eq_Influent Pump Station; wastewater treatment unit; at updated plant - US_Without Amendment_Aerated Static Pile</v>
      </c>
    </row>
    <row r="12325" spans="1:13" s="120" customFormat="1" x14ac:dyDescent="0.25">
      <c r="A12325" s="119"/>
      <c r="B12325" s="138" t="str">
        <f t="shared" si="1071"/>
        <v>Aerated Static Pile</v>
      </c>
      <c r="C12325" s="138" t="str">
        <f t="shared" si="1072"/>
        <v>Without Amendment</v>
      </c>
      <c r="D12325" s="138" t="str">
        <f t="shared" si="1076"/>
        <v>Medium_High</v>
      </c>
      <c r="E12325" s="138" t="str">
        <f t="shared" si="1073"/>
        <v>Base</v>
      </c>
      <c r="F12325" s="138" t="str">
        <f t="shared" si="1074"/>
        <v>Upgraded</v>
      </c>
      <c r="G12325" s="153"/>
      <c r="H12325" s="210">
        <v>7.3200000000000001E-2</v>
      </c>
      <c r="I12325" s="160" t="s">
        <v>128</v>
      </c>
      <c r="J12325" s="160">
        <v>1.7000000000000001E-4</v>
      </c>
      <c r="K12325" s="160" t="s">
        <v>145</v>
      </c>
      <c r="L12325" s="154" t="str">
        <f>IF(OpenLCAbasic!K12325="CTUh", "Fill in Manually",IF(OR(K12325="Unit", K12325=""), "", INDEX(LookUps!$E$5:$E$12, MATCH(OpenLCAbasic!K12325,LookUps!$D$5:$D$12,0))))</f>
        <v>Particulate Matter Formation Potential (PMFP) - kg PM2.5 eq</v>
      </c>
      <c r="M12325" s="154" t="str">
        <f t="shared" si="1075"/>
        <v>Base_Medium_High_Upgraded_Particulate Matter Formation Potential (PMFP) - kg PM2.5 eq_Wastewater collection; operation and infrastructure; m3 wastewater_Without Amendment_Aerated Static Pile</v>
      </c>
    </row>
    <row r="12326" spans="1:13" s="120" customFormat="1" x14ac:dyDescent="0.25">
      <c r="A12326" s="119"/>
      <c r="B12326" s="138" t="str">
        <f t="shared" si="1071"/>
        <v>Aerated Static Pile</v>
      </c>
      <c r="C12326" s="138" t="str">
        <f t="shared" si="1072"/>
        <v>Without Amendment</v>
      </c>
      <c r="D12326" s="138" t="str">
        <f t="shared" si="1076"/>
        <v>Medium_High</v>
      </c>
      <c r="E12326" s="138" t="str">
        <f t="shared" si="1073"/>
        <v>Base</v>
      </c>
      <c r="F12326" s="138" t="str">
        <f t="shared" si="1074"/>
        <v>Upgraded</v>
      </c>
      <c r="G12326" s="153"/>
      <c r="H12326" s="210">
        <v>6.0699999999999997E-2</v>
      </c>
      <c r="I12326" s="160" t="s">
        <v>60</v>
      </c>
      <c r="J12326" s="160">
        <v>1.3999999999999999E-4</v>
      </c>
      <c r="K12326" s="160" t="s">
        <v>145</v>
      </c>
      <c r="L12326" s="154" t="str">
        <f>IF(OpenLCAbasic!K12326="CTUh", "Fill in Manually",IF(OR(K12326="Unit", K12326=""), "", INDEX(LookUps!$E$5:$E$12, MATCH(OpenLCAbasic!K12326,LookUps!$D$5:$D$12,0))))</f>
        <v>Particulate Matter Formation Potential (PMFP) - kg PM2.5 eq</v>
      </c>
      <c r="M12326" s="154" t="str">
        <f t="shared" si="1075"/>
        <v>Base_Medium_High_Upgraded_Particulate Matter Formation Potential (PMFP) - kg PM2.5 eq_Belt filter press; wastewater treatment unit; at updated plant - US_Without Amendment_Aerated Static Pile</v>
      </c>
    </row>
    <row r="12327" spans="1:13" s="120" customFormat="1" x14ac:dyDescent="0.25">
      <c r="A12327" s="119"/>
      <c r="B12327" s="138" t="str">
        <f t="shared" si="1071"/>
        <v>Aerated Static Pile</v>
      </c>
      <c r="C12327" s="138" t="str">
        <f t="shared" si="1072"/>
        <v>Without Amendment</v>
      </c>
      <c r="D12327" s="138" t="str">
        <f t="shared" si="1076"/>
        <v>Medium_High</v>
      </c>
      <c r="E12327" s="138" t="str">
        <f t="shared" si="1073"/>
        <v>Base</v>
      </c>
      <c r="F12327" s="138" t="str">
        <f t="shared" si="1074"/>
        <v>Upgraded</v>
      </c>
      <c r="G12327" s="153"/>
      <c r="H12327" s="210">
        <v>4.19E-2</v>
      </c>
      <c r="I12327" s="160" t="s">
        <v>57</v>
      </c>
      <c r="J12327" s="211">
        <v>9.5153800000000004E-5</v>
      </c>
      <c r="K12327" s="160" t="s">
        <v>145</v>
      </c>
      <c r="L12327" s="154" t="str">
        <f>IF(OpenLCAbasic!K12327="CTUh", "Fill in Manually",IF(OR(K12327="Unit", K12327=""), "", INDEX(LookUps!$E$5:$E$12, MATCH(OpenLCAbasic!K12327,LookUps!$D$5:$D$12,0))))</f>
        <v>Particulate Matter Formation Potential (PMFP) - kg PM2.5 eq</v>
      </c>
      <c r="M12327" s="154" t="str">
        <f t="shared" si="1075"/>
        <v>Base_Medium_High_Upgraded_Particulate Matter Formation Potential (PMFP) - kg PM2.5 eq_Gravity Belt Thickener; wastewater treatment unit; at updated plant - US_Without Amendment_Aerated Static Pile</v>
      </c>
    </row>
    <row r="12328" spans="1:13" s="120" customFormat="1" x14ac:dyDescent="0.25">
      <c r="A12328" s="119"/>
      <c r="B12328" s="138" t="str">
        <f t="shared" si="1071"/>
        <v>Aerated Static Pile</v>
      </c>
      <c r="C12328" s="138" t="str">
        <f t="shared" si="1072"/>
        <v>Without Amendment</v>
      </c>
      <c r="D12328" s="138" t="str">
        <f t="shared" si="1076"/>
        <v>Medium_High</v>
      </c>
      <c r="E12328" s="138" t="str">
        <f t="shared" si="1073"/>
        <v>Base</v>
      </c>
      <c r="F12328" s="138" t="str">
        <f t="shared" si="1074"/>
        <v>Upgraded</v>
      </c>
      <c r="G12328" s="153"/>
      <c r="H12328" s="210">
        <v>3.0800000000000001E-2</v>
      </c>
      <c r="I12328" s="160" t="s">
        <v>59</v>
      </c>
      <c r="J12328" s="211">
        <v>6.9942200000000003E-5</v>
      </c>
      <c r="K12328" s="160" t="s">
        <v>145</v>
      </c>
      <c r="L12328" s="154" t="str">
        <f>IF(OpenLCAbasic!K12328="CTUh", "Fill in Manually",IF(OR(K12328="Unit", K12328=""), "", INDEX(LookUps!$E$5:$E$12, MATCH(OpenLCAbasic!K12328,LookUps!$D$5:$D$12,0))))</f>
        <v>Particulate Matter Formation Potential (PMFP) - kg PM2.5 eq</v>
      </c>
      <c r="M12328" s="154" t="str">
        <f t="shared" si="1075"/>
        <v>Base_Medium_High_Upgraded_Particulate Matter Formation Potential (PMFP) - kg PM2.5 eq_Blend Tank; wastewater treatment unit; at updated plant - US_Without Amendment_Aerated Static Pile</v>
      </c>
    </row>
    <row r="12329" spans="1:13" s="120" customFormat="1" x14ac:dyDescent="0.25">
      <c r="A12329" s="119"/>
      <c r="B12329" s="138" t="str">
        <f t="shared" ref="B12329:B12392" si="1077">IF(F12329="Legacy","n.a.",IF(F12329="","","Aerated Static Pile"))</f>
        <v>Aerated Static Pile</v>
      </c>
      <c r="C12329" s="138" t="str">
        <f t="shared" ref="C12329:C12392" si="1078">IF(ISNUMBER($J12329),"Without Amendment","")</f>
        <v>Without Amendment</v>
      </c>
      <c r="D12329" s="138" t="str">
        <f t="shared" si="1076"/>
        <v>Medium_High</v>
      </c>
      <c r="E12329" s="138" t="str">
        <f t="shared" ref="E12329:E12392" si="1079">IF(ISNUMBER($J12329),"Base","")</f>
        <v>Base</v>
      </c>
      <c r="F12329" s="138" t="str">
        <f t="shared" ref="F12329:F12392" si="1080">IF(ISNUMBER(J12329),"Upgraded","")</f>
        <v>Upgraded</v>
      </c>
      <c r="G12329" s="153"/>
      <c r="H12329" s="210">
        <v>2.1999999999999999E-2</v>
      </c>
      <c r="I12329" s="160" t="s">
        <v>48</v>
      </c>
      <c r="J12329" s="211">
        <v>4.99741E-5</v>
      </c>
      <c r="K12329" s="160" t="s">
        <v>145</v>
      </c>
      <c r="L12329" s="154" t="str">
        <f>IF(OpenLCAbasic!K12329="CTUh", "Fill in Manually",IF(OR(K12329="Unit", K12329=""), "", INDEX(LookUps!$E$5:$E$12, MATCH(OpenLCAbasic!K12329,LookUps!$D$5:$D$12,0))))</f>
        <v>Particulate Matter Formation Potential (PMFP) - kg PM2.5 eq</v>
      </c>
      <c r="M12329" s="154" t="str">
        <f t="shared" si="1075"/>
        <v>Base_Medium_High_Upgraded_Particulate Matter Formation Potential (PMFP) - kg PM2.5 eq_Effluent release; wastewater treatment unit; at surface water; m3 wastewater - US_Without Amendment_Aerated Static Pile</v>
      </c>
    </row>
    <row r="12330" spans="1:13" s="120" customFormat="1" x14ac:dyDescent="0.25">
      <c r="A12330" s="119"/>
      <c r="B12330" s="138" t="str">
        <f t="shared" si="1077"/>
        <v>Aerated Static Pile</v>
      </c>
      <c r="C12330" s="138" t="str">
        <f t="shared" si="1078"/>
        <v>Without Amendment</v>
      </c>
      <c r="D12330" s="138" t="str">
        <f t="shared" si="1076"/>
        <v>Medium_High</v>
      </c>
      <c r="E12330" s="138" t="str">
        <f t="shared" si="1079"/>
        <v>Base</v>
      </c>
      <c r="F12330" s="138" t="str">
        <f t="shared" si="1080"/>
        <v>Upgraded</v>
      </c>
      <c r="G12330" s="153"/>
      <c r="H12330" s="210">
        <v>1.7100000000000001E-2</v>
      </c>
      <c r="I12330" s="160" t="s">
        <v>62</v>
      </c>
      <c r="J12330" s="211">
        <v>3.8792199999999998E-5</v>
      </c>
      <c r="K12330" s="160" t="s">
        <v>145</v>
      </c>
      <c r="L12330" s="154" t="str">
        <f>IF(OpenLCAbasic!K12330="CTUh", "Fill in Manually",IF(OR(K12330="Unit", K12330=""), "", INDEX(LookUps!$E$5:$E$12, MATCH(OpenLCAbasic!K12330,LookUps!$D$5:$D$12,0))))</f>
        <v>Particulate Matter Formation Potential (PMFP) - kg PM2.5 eq</v>
      </c>
      <c r="M12330" s="154" t="str">
        <f t="shared" si="1075"/>
        <v>Base_Medium_High_Upgraded_Particulate Matter Formation Potential (PMFP) - kg PM2.5 eq_Land application of compost; wastewater treatment unit; at updated plant - US_Without Amendment_Aerated Static Pile</v>
      </c>
    </row>
    <row r="12331" spans="1:13" s="120" customFormat="1" x14ac:dyDescent="0.25">
      <c r="A12331" s="119"/>
      <c r="B12331" s="138" t="str">
        <f t="shared" si="1077"/>
        <v>Aerated Static Pile</v>
      </c>
      <c r="C12331" s="138" t="str">
        <f t="shared" si="1078"/>
        <v>Without Amendment</v>
      </c>
      <c r="D12331" s="138" t="str">
        <f t="shared" si="1076"/>
        <v>Medium_High</v>
      </c>
      <c r="E12331" s="138" t="str">
        <f t="shared" si="1079"/>
        <v>Base</v>
      </c>
      <c r="F12331" s="138" t="str">
        <f t="shared" si="1080"/>
        <v>Upgraded</v>
      </c>
      <c r="G12331" s="153"/>
      <c r="H12331" s="210">
        <v>1.52E-2</v>
      </c>
      <c r="I12331" s="160" t="s">
        <v>168</v>
      </c>
      <c r="J12331" s="211">
        <v>3.4562199999999999E-5</v>
      </c>
      <c r="K12331" s="160" t="s">
        <v>145</v>
      </c>
      <c r="L12331" s="154" t="str">
        <f>IF(OpenLCAbasic!K12331="CTUh", "Fill in Manually",IF(OR(K12331="Unit", K12331=""), "", INDEX(LookUps!$E$5:$E$12, MATCH(OpenLCAbasic!K12331,LookUps!$D$5:$D$12,0))))</f>
        <v>Particulate Matter Formation Potential (PMFP) - kg PM2.5 eq</v>
      </c>
      <c r="M12331" s="154" t="str">
        <f t="shared" si="1075"/>
        <v>Base_Medium_High_Upgraded_Particulate Matter Formation Potential (PMFP) - kg PM2.5 eq_ClearCove SCP; wastewater treatment unit; at updated plant - US_Without Amendment_Aerated Static Pile</v>
      </c>
    </row>
    <row r="12332" spans="1:13" s="120" customFormat="1" x14ac:dyDescent="0.25">
      <c r="A12332" s="119"/>
      <c r="B12332" s="138" t="str">
        <f t="shared" si="1077"/>
        <v>Aerated Static Pile</v>
      </c>
      <c r="C12332" s="138" t="str">
        <f t="shared" si="1078"/>
        <v>Without Amendment</v>
      </c>
      <c r="D12332" s="138" t="str">
        <f t="shared" si="1076"/>
        <v>Medium_High</v>
      </c>
      <c r="E12332" s="138" t="str">
        <f t="shared" si="1079"/>
        <v>Base</v>
      </c>
      <c r="F12332" s="138" t="str">
        <f t="shared" si="1080"/>
        <v>Upgraded</v>
      </c>
      <c r="G12332" s="153"/>
      <c r="H12332" s="210">
        <v>3.8999999999999998E-3</v>
      </c>
      <c r="I12332" s="160" t="s">
        <v>148</v>
      </c>
      <c r="J12332" s="211">
        <v>8.8212999999999997E-6</v>
      </c>
      <c r="K12332" s="160" t="s">
        <v>145</v>
      </c>
      <c r="L12332" s="154" t="str">
        <f>IF(OpenLCAbasic!K12332="CTUh", "Fill in Manually",IF(OR(K12332="Unit", K12332=""), "", INDEX(LookUps!$E$5:$E$12, MATCH(OpenLCAbasic!K12332,LookUps!$D$5:$D$12,0))))</f>
        <v>Particulate Matter Formation Potential (PMFP) - kg PM2.5 eq</v>
      </c>
      <c r="M12332" s="154" t="str">
        <f t="shared" si="1075"/>
        <v>Base_Medium_High_Upgraded_Particulate Matter Formation Potential (PMFP) - kg PM2.5 eq_Control Building; at upgraded wastewater treatment plant - US_Without Amendment_Aerated Static Pile</v>
      </c>
    </row>
    <row r="12333" spans="1:13" s="120" customFormat="1" x14ac:dyDescent="0.25">
      <c r="A12333" s="119"/>
      <c r="B12333" s="138" t="str">
        <f t="shared" si="1077"/>
        <v>Aerated Static Pile</v>
      </c>
      <c r="C12333" s="138" t="str">
        <f t="shared" si="1078"/>
        <v>Without Amendment</v>
      </c>
      <c r="D12333" s="138" t="str">
        <f t="shared" si="1076"/>
        <v>Medium_High</v>
      </c>
      <c r="E12333" s="138" t="str">
        <f t="shared" si="1079"/>
        <v>Base</v>
      </c>
      <c r="F12333" s="138" t="str">
        <f t="shared" si="1080"/>
        <v>Upgraded</v>
      </c>
      <c r="G12333" s="153"/>
      <c r="H12333" s="210">
        <v>-3.4447000000000001</v>
      </c>
      <c r="I12333" s="160" t="s">
        <v>149</v>
      </c>
      <c r="J12333" s="160">
        <v>-7.8300000000000002E-3</v>
      </c>
      <c r="K12333" s="160" t="s">
        <v>145</v>
      </c>
      <c r="L12333" s="154" t="str">
        <f>IF(OpenLCAbasic!K12333="CTUh", "Fill in Manually",IF(OR(K12333="Unit", K12333=""), "", INDEX(LookUps!$E$5:$E$12, MATCH(OpenLCAbasic!K12333,LookUps!$D$5:$D$12,0))))</f>
        <v>Particulate Matter Formation Potential (PMFP) - kg PM2.5 eq</v>
      </c>
      <c r="M12333" s="154" t="str">
        <f t="shared" si="1075"/>
        <v>Base_Medium_High_Upgraded_Particulate Matter Formation Potential (PMFP) - kg PM2.5 eq_Anaerobic Digestion; wastewater treatment unit; at updated plant - US_Without Amendment_Aerated Static Pile</v>
      </c>
    </row>
    <row r="12334" spans="1:13" s="120" customFormat="1" x14ac:dyDescent="0.25">
      <c r="A12334" s="119"/>
      <c r="B12334" s="138" t="str">
        <f t="shared" si="1077"/>
        <v/>
      </c>
      <c r="C12334" s="138" t="str">
        <f t="shared" si="1078"/>
        <v/>
      </c>
      <c r="D12334" s="138" t="str">
        <f t="shared" si="1076"/>
        <v/>
      </c>
      <c r="E12334" s="138" t="str">
        <f t="shared" si="1079"/>
        <v/>
      </c>
      <c r="F12334" s="138" t="str">
        <f t="shared" si="1080"/>
        <v/>
      </c>
      <c r="G12334" s="153" t="s">
        <v>51</v>
      </c>
      <c r="H12334" s="160"/>
      <c r="I12334" s="160" t="s">
        <v>47</v>
      </c>
      <c r="J12334" s="160" t="s">
        <v>52</v>
      </c>
      <c r="K12334" s="160" t="s">
        <v>27</v>
      </c>
      <c r="L12334" s="154" t="str">
        <f>IF(OpenLCAbasic!K12334="CTUh", "Fill in Manually",IF(OR(K12334="Unit", K12334=""), "", INDEX(LookUps!$E$5:$E$12, MATCH(OpenLCAbasic!K12334,LookUps!$D$5:$D$12,0))))</f>
        <v/>
      </c>
      <c r="M12334" s="154" t="str">
        <f t="shared" si="1075"/>
        <v>____Process__</v>
      </c>
    </row>
    <row r="12335" spans="1:13" s="120" customFormat="1" x14ac:dyDescent="0.25">
      <c r="A12335" s="119"/>
      <c r="B12335" s="138" t="str">
        <f t="shared" si="1077"/>
        <v>Aerated Static Pile</v>
      </c>
      <c r="C12335" s="138" t="str">
        <f t="shared" si="1078"/>
        <v>Without Amendment</v>
      </c>
      <c r="D12335" s="138" t="str">
        <f t="shared" si="1076"/>
        <v>Medium_High</v>
      </c>
      <c r="E12335" s="138" t="str">
        <f t="shared" si="1079"/>
        <v>Base</v>
      </c>
      <c r="F12335" s="138" t="str">
        <f t="shared" si="1080"/>
        <v>Upgraded</v>
      </c>
      <c r="G12335" s="153"/>
      <c r="H12335" s="210">
        <v>1.0350999999999999</v>
      </c>
      <c r="I12335" s="160" t="s">
        <v>55</v>
      </c>
      <c r="J12335" s="160">
        <v>0.16577</v>
      </c>
      <c r="K12335" s="160" t="s">
        <v>25</v>
      </c>
      <c r="L12335" s="154" t="str">
        <f>IF(OpenLCAbasic!K12335="CTUh", "Fill in Manually",IF(OR(K12335="Unit", K12335=""), "", INDEX(LookUps!$E$5:$E$12, MATCH(OpenLCAbasic!K12335,LookUps!$D$5:$D$12,0))))</f>
        <v>Smog Formation Potential (SFP) - kg O3 eq</v>
      </c>
      <c r="M12335" s="154" t="str">
        <f t="shared" si="1075"/>
        <v>Base_Medium_High_Upgraded_Smog Formation Potential (SFP) - kg O3 eq_Aeration Tanks; wastewater treatment unit; at updated plant - US_Without Amendment_Aerated Static Pile</v>
      </c>
    </row>
    <row r="12336" spans="1:13" s="120" customFormat="1" x14ac:dyDescent="0.25">
      <c r="A12336" s="119"/>
      <c r="B12336" s="138" t="str">
        <f t="shared" si="1077"/>
        <v>Aerated Static Pile</v>
      </c>
      <c r="C12336" s="138" t="str">
        <f t="shared" si="1078"/>
        <v>Without Amendment</v>
      </c>
      <c r="D12336" s="138" t="str">
        <f t="shared" si="1076"/>
        <v>Medium_High</v>
      </c>
      <c r="E12336" s="138" t="str">
        <f t="shared" si="1079"/>
        <v>Base</v>
      </c>
      <c r="F12336" s="138" t="str">
        <f t="shared" si="1080"/>
        <v>Upgraded</v>
      </c>
      <c r="G12336" s="153"/>
      <c r="H12336" s="210">
        <v>0.30020000000000002</v>
      </c>
      <c r="I12336" s="160" t="s">
        <v>54</v>
      </c>
      <c r="J12336" s="160">
        <v>4.8070000000000002E-2</v>
      </c>
      <c r="K12336" s="160" t="s">
        <v>25</v>
      </c>
      <c r="L12336" s="154" t="str">
        <f>IF(OpenLCAbasic!K12336="CTUh", "Fill in Manually",IF(OR(K12336="Unit", K12336=""), "", INDEX(LookUps!$E$5:$E$12, MATCH(OpenLCAbasic!K12336,LookUps!$D$5:$D$12,0))))</f>
        <v>Smog Formation Potential (SFP) - kg O3 eq</v>
      </c>
      <c r="M12336" s="154" t="str">
        <f t="shared" si="1075"/>
        <v>Base_Medium_High_Upgraded_Smog Formation Potential (SFP) - kg O3 eq_Clear Cove Primary Clarification; wastewater treatment unit; at updated plant - US_Without Amendment_Aerated Static Pile</v>
      </c>
    </row>
    <row r="12337" spans="1:13" s="120" customFormat="1" x14ac:dyDescent="0.25">
      <c r="A12337" s="119"/>
      <c r="B12337" s="138" t="str">
        <f t="shared" si="1077"/>
        <v>Aerated Static Pile</v>
      </c>
      <c r="C12337" s="138" t="str">
        <f t="shared" si="1078"/>
        <v>Without Amendment</v>
      </c>
      <c r="D12337" s="138" t="str">
        <f t="shared" si="1076"/>
        <v>Medium_High</v>
      </c>
      <c r="E12337" s="138" t="str">
        <f t="shared" si="1079"/>
        <v>Base</v>
      </c>
      <c r="F12337" s="138" t="str">
        <f t="shared" si="1080"/>
        <v>Upgraded</v>
      </c>
      <c r="G12337" s="153"/>
      <c r="H12337" s="210">
        <v>0.26169999999999999</v>
      </c>
      <c r="I12337" s="160" t="s">
        <v>58</v>
      </c>
      <c r="J12337" s="160">
        <v>4.1919999999999999E-2</v>
      </c>
      <c r="K12337" s="160" t="s">
        <v>25</v>
      </c>
      <c r="L12337" s="154" t="str">
        <f>IF(OpenLCAbasic!K12337="CTUh", "Fill in Manually",IF(OR(K12337="Unit", K12337=""), "", INDEX(LookUps!$E$5:$E$12, MATCH(OpenLCAbasic!K12337,LookUps!$D$5:$D$12,0))))</f>
        <v>Smog Formation Potential (SFP) - kg O3 eq</v>
      </c>
      <c r="M12337" s="154" t="str">
        <f t="shared" si="1075"/>
        <v>Base_Medium_High_Upgraded_Smog Formation Potential (SFP) - kg O3 eq_Pre-Anoxic &amp; Swing tank; wastewater treatment unit; at updated plant - US_Without Amendment_Aerated Static Pile</v>
      </c>
    </row>
    <row r="12338" spans="1:13" s="120" customFormat="1" x14ac:dyDescent="0.25">
      <c r="A12338" s="119"/>
      <c r="B12338" s="138" t="str">
        <f t="shared" si="1077"/>
        <v>Aerated Static Pile</v>
      </c>
      <c r="C12338" s="138" t="str">
        <f t="shared" si="1078"/>
        <v>Without Amendment</v>
      </c>
      <c r="D12338" s="138" t="str">
        <f t="shared" si="1076"/>
        <v>Medium_High</v>
      </c>
      <c r="E12338" s="138" t="str">
        <f t="shared" si="1079"/>
        <v>Base</v>
      </c>
      <c r="F12338" s="138" t="str">
        <f t="shared" si="1080"/>
        <v>Upgraded</v>
      </c>
      <c r="G12338" s="153"/>
      <c r="H12338" s="210">
        <v>0.20680000000000001</v>
      </c>
      <c r="I12338" s="160" t="s">
        <v>53</v>
      </c>
      <c r="J12338" s="160">
        <v>3.313E-2</v>
      </c>
      <c r="K12338" s="160" t="s">
        <v>25</v>
      </c>
      <c r="L12338" s="154" t="str">
        <f>IF(OpenLCAbasic!K12338="CTUh", "Fill in Manually",IF(OR(K12338="Unit", K12338=""), "", INDEX(LookUps!$E$5:$E$12, MATCH(OpenLCAbasic!K12338,LookUps!$D$5:$D$12,0))))</f>
        <v>Smog Formation Potential (SFP) - kg O3 eq</v>
      </c>
      <c r="M12338" s="154" t="str">
        <f t="shared" si="1075"/>
        <v>Base_Medium_High_Upgraded_Smog Formation Potential (SFP) - kg O3 eq_Wet Well and Sump Station; wastewater treatment unit; at updated plant - US_Without Amendment_Aerated Static Pile</v>
      </c>
    </row>
    <row r="12339" spans="1:13" s="120" customFormat="1" x14ac:dyDescent="0.25">
      <c r="A12339" s="119"/>
      <c r="B12339" s="138" t="str">
        <f t="shared" si="1077"/>
        <v>Aerated Static Pile</v>
      </c>
      <c r="C12339" s="138" t="str">
        <f t="shared" si="1078"/>
        <v>Without Amendment</v>
      </c>
      <c r="D12339" s="138" t="str">
        <f t="shared" si="1076"/>
        <v>Medium_High</v>
      </c>
      <c r="E12339" s="138" t="str">
        <f t="shared" si="1079"/>
        <v>Base</v>
      </c>
      <c r="F12339" s="138" t="str">
        <f t="shared" si="1080"/>
        <v>Upgraded</v>
      </c>
      <c r="G12339" s="153"/>
      <c r="H12339" s="210">
        <v>0.1918</v>
      </c>
      <c r="I12339" s="160" t="s">
        <v>167</v>
      </c>
      <c r="J12339" s="160">
        <v>3.0710000000000001E-2</v>
      </c>
      <c r="K12339" s="160" t="s">
        <v>25</v>
      </c>
      <c r="L12339" s="154" t="str">
        <f>IF(OpenLCAbasic!K12339="CTUh", "Fill in Manually",IF(OR(K12339="Unit", K12339=""), "", INDEX(LookUps!$E$5:$E$12, MATCH(OpenLCAbasic!K12339,LookUps!$D$5:$D$12,0))))</f>
        <v>Smog Formation Potential (SFP) - kg O3 eq</v>
      </c>
      <c r="M12339" s="154" t="str">
        <f t="shared" si="1075"/>
        <v>Base_Medium_High_Upgraded_Smog Formation Potential (SFP) - kg O3 eq_Waste Receiving and Holding; wastewater treatment unit; at updated plant - US_Without Amendment_Aerated Static Pile</v>
      </c>
    </row>
    <row r="12340" spans="1:13" s="120" customFormat="1" x14ac:dyDescent="0.25">
      <c r="A12340" s="119"/>
      <c r="B12340" s="138" t="str">
        <f t="shared" si="1077"/>
        <v>Aerated Static Pile</v>
      </c>
      <c r="C12340" s="138" t="str">
        <f t="shared" si="1078"/>
        <v>Without Amendment</v>
      </c>
      <c r="D12340" s="138" t="str">
        <f t="shared" si="1076"/>
        <v>Medium_High</v>
      </c>
      <c r="E12340" s="138" t="str">
        <f t="shared" si="1079"/>
        <v>Base</v>
      </c>
      <c r="F12340" s="138" t="str">
        <f t="shared" si="1080"/>
        <v>Upgraded</v>
      </c>
      <c r="G12340" s="153"/>
      <c r="H12340" s="210">
        <v>0.1326</v>
      </c>
      <c r="I12340" s="160" t="s">
        <v>435</v>
      </c>
      <c r="J12340" s="160">
        <v>2.1229999999999999E-2</v>
      </c>
      <c r="K12340" s="160" t="s">
        <v>25</v>
      </c>
      <c r="L12340" s="154" t="str">
        <f>IF(OpenLCAbasic!K12340="CTUh", "Fill in Manually",IF(OR(K12340="Unit", K12340=""), "", INDEX(LookUps!$E$5:$E$12, MATCH(OpenLCAbasic!K12340,LookUps!$D$5:$D$12,0))))</f>
        <v>Smog Formation Potential (SFP) - kg O3 eq</v>
      </c>
      <c r="M12340" s="154" t="str">
        <f t="shared" si="1075"/>
        <v>Base_Medium_High_Upgraded_Smog Formation Potential (SFP) - kg O3 eq_Biosolids composting; aerated static pile; wastewater treatment unit; at updated plant - US_Without Amendment_Aerated Static Pile</v>
      </c>
    </row>
    <row r="12341" spans="1:13" s="120" customFormat="1" x14ac:dyDescent="0.25">
      <c r="A12341" s="119"/>
      <c r="B12341" s="138" t="str">
        <f t="shared" si="1077"/>
        <v>Aerated Static Pile</v>
      </c>
      <c r="C12341" s="138" t="str">
        <f t="shared" si="1078"/>
        <v>Without Amendment</v>
      </c>
      <c r="D12341" s="138" t="str">
        <f t="shared" si="1076"/>
        <v>Medium_High</v>
      </c>
      <c r="E12341" s="138" t="str">
        <f t="shared" si="1079"/>
        <v>Base</v>
      </c>
      <c r="F12341" s="138" t="str">
        <f t="shared" si="1080"/>
        <v>Upgraded</v>
      </c>
      <c r="G12341" s="153"/>
      <c r="H12341" s="210">
        <v>0.1211</v>
      </c>
      <c r="I12341" s="160" t="s">
        <v>147</v>
      </c>
      <c r="J12341" s="160">
        <v>1.9400000000000001E-2</v>
      </c>
      <c r="K12341" s="160" t="s">
        <v>25</v>
      </c>
      <c r="L12341" s="154" t="str">
        <f>IF(OpenLCAbasic!K12341="CTUh", "Fill in Manually",IF(OR(K12341="Unit", K12341=""), "", INDEX(LookUps!$E$5:$E$12, MATCH(OpenLCAbasic!K12341,LookUps!$D$5:$D$12,0))))</f>
        <v>Smog Formation Potential (SFP) - kg O3 eq</v>
      </c>
      <c r="M12341" s="154" t="str">
        <f t="shared" si="1075"/>
        <v>Base_Medium_High_Upgraded_Smog Formation Potential (SFP) - kg O3 eq_Influent Pump Station; wastewater treatment unit; at updated plant - US_Without Amendment_Aerated Static Pile</v>
      </c>
    </row>
    <row r="12342" spans="1:13" s="120" customFormat="1" x14ac:dyDescent="0.25">
      <c r="A12342" s="119"/>
      <c r="B12342" s="138" t="str">
        <f t="shared" si="1077"/>
        <v>Aerated Static Pile</v>
      </c>
      <c r="C12342" s="138" t="str">
        <f t="shared" si="1078"/>
        <v>Without Amendment</v>
      </c>
      <c r="D12342" s="138" t="str">
        <f t="shared" si="1076"/>
        <v>Medium_High</v>
      </c>
      <c r="E12342" s="138" t="str">
        <f t="shared" si="1079"/>
        <v>Base</v>
      </c>
      <c r="F12342" s="138" t="str">
        <f t="shared" si="1080"/>
        <v>Upgraded</v>
      </c>
      <c r="G12342" s="153"/>
      <c r="H12342" s="210">
        <v>7.4399999999999994E-2</v>
      </c>
      <c r="I12342" s="160" t="s">
        <v>128</v>
      </c>
      <c r="J12342" s="160">
        <v>1.192E-2</v>
      </c>
      <c r="K12342" s="160" t="s">
        <v>25</v>
      </c>
      <c r="L12342" s="154" t="str">
        <f>IF(OpenLCAbasic!K12342="CTUh", "Fill in Manually",IF(OR(K12342="Unit", K12342=""), "", INDEX(LookUps!$E$5:$E$12, MATCH(OpenLCAbasic!K12342,LookUps!$D$5:$D$12,0))))</f>
        <v>Smog Formation Potential (SFP) - kg O3 eq</v>
      </c>
      <c r="M12342" s="154" t="str">
        <f t="shared" si="1075"/>
        <v>Base_Medium_High_Upgraded_Smog Formation Potential (SFP) - kg O3 eq_Wastewater collection; operation and infrastructure; m3 wastewater_Without Amendment_Aerated Static Pile</v>
      </c>
    </row>
    <row r="12343" spans="1:13" s="120" customFormat="1" x14ac:dyDescent="0.25">
      <c r="A12343" s="119"/>
      <c r="B12343" s="138" t="str">
        <f t="shared" si="1077"/>
        <v>Aerated Static Pile</v>
      </c>
      <c r="C12343" s="138" t="str">
        <f t="shared" si="1078"/>
        <v>Without Amendment</v>
      </c>
      <c r="D12343" s="138" t="str">
        <f t="shared" si="1076"/>
        <v>Medium_High</v>
      </c>
      <c r="E12343" s="138" t="str">
        <f t="shared" si="1079"/>
        <v>Base</v>
      </c>
      <c r="F12343" s="138" t="str">
        <f t="shared" si="1080"/>
        <v>Upgraded</v>
      </c>
      <c r="G12343" s="153"/>
      <c r="H12343" s="210">
        <v>6.0600000000000001E-2</v>
      </c>
      <c r="I12343" s="160" t="s">
        <v>60</v>
      </c>
      <c r="J12343" s="160">
        <v>9.7099999999999999E-3</v>
      </c>
      <c r="K12343" s="160" t="s">
        <v>25</v>
      </c>
      <c r="L12343" s="154" t="str">
        <f>IF(OpenLCAbasic!K12343="CTUh", "Fill in Manually",IF(OR(K12343="Unit", K12343=""), "", INDEX(LookUps!$E$5:$E$12, MATCH(OpenLCAbasic!K12343,LookUps!$D$5:$D$12,0))))</f>
        <v>Smog Formation Potential (SFP) - kg O3 eq</v>
      </c>
      <c r="M12343" s="154" t="str">
        <f t="shared" si="1075"/>
        <v>Base_Medium_High_Upgraded_Smog Formation Potential (SFP) - kg O3 eq_Belt filter press; wastewater treatment unit; at updated plant - US_Without Amendment_Aerated Static Pile</v>
      </c>
    </row>
    <row r="12344" spans="1:13" s="120" customFormat="1" x14ac:dyDescent="0.25">
      <c r="A12344" s="119"/>
      <c r="B12344" s="138" t="str">
        <f t="shared" si="1077"/>
        <v>Aerated Static Pile</v>
      </c>
      <c r="C12344" s="138" t="str">
        <f t="shared" si="1078"/>
        <v>Without Amendment</v>
      </c>
      <c r="D12344" s="138" t="str">
        <f t="shared" si="1076"/>
        <v>Medium_High</v>
      </c>
      <c r="E12344" s="138" t="str">
        <f t="shared" si="1079"/>
        <v>Base</v>
      </c>
      <c r="F12344" s="138" t="str">
        <f t="shared" si="1080"/>
        <v>Upgraded</v>
      </c>
      <c r="G12344" s="153"/>
      <c r="H12344" s="210">
        <v>4.1500000000000002E-2</v>
      </c>
      <c r="I12344" s="160" t="s">
        <v>57</v>
      </c>
      <c r="J12344" s="160">
        <v>6.6499999999999997E-3</v>
      </c>
      <c r="K12344" s="160" t="s">
        <v>25</v>
      </c>
      <c r="L12344" s="154" t="str">
        <f>IF(OpenLCAbasic!K12344="CTUh", "Fill in Manually",IF(OR(K12344="Unit", K12344=""), "", INDEX(LookUps!$E$5:$E$12, MATCH(OpenLCAbasic!K12344,LookUps!$D$5:$D$12,0))))</f>
        <v>Smog Formation Potential (SFP) - kg O3 eq</v>
      </c>
      <c r="M12344" s="154" t="str">
        <f t="shared" si="1075"/>
        <v>Base_Medium_High_Upgraded_Smog Formation Potential (SFP) - kg O3 eq_Gravity Belt Thickener; wastewater treatment unit; at updated plant - US_Without Amendment_Aerated Static Pile</v>
      </c>
    </row>
    <row r="12345" spans="1:13" s="120" customFormat="1" x14ac:dyDescent="0.25">
      <c r="A12345" s="119"/>
      <c r="B12345" s="138" t="str">
        <f t="shared" si="1077"/>
        <v>Aerated Static Pile</v>
      </c>
      <c r="C12345" s="138" t="str">
        <f t="shared" si="1078"/>
        <v>Without Amendment</v>
      </c>
      <c r="D12345" s="138" t="str">
        <f t="shared" si="1076"/>
        <v>Medium_High</v>
      </c>
      <c r="E12345" s="138" t="str">
        <f t="shared" si="1079"/>
        <v>Base</v>
      </c>
      <c r="F12345" s="138" t="str">
        <f t="shared" si="1080"/>
        <v>Upgraded</v>
      </c>
      <c r="G12345" s="153"/>
      <c r="H12345" s="210">
        <v>3.1099999999999999E-2</v>
      </c>
      <c r="I12345" s="160" t="s">
        <v>59</v>
      </c>
      <c r="J12345" s="160">
        <v>4.9699999999999996E-3</v>
      </c>
      <c r="K12345" s="160" t="s">
        <v>25</v>
      </c>
      <c r="L12345" s="154" t="str">
        <f>IF(OpenLCAbasic!K12345="CTUh", "Fill in Manually",IF(OR(K12345="Unit", K12345=""), "", INDEX(LookUps!$E$5:$E$12, MATCH(OpenLCAbasic!K12345,LookUps!$D$5:$D$12,0))))</f>
        <v>Smog Formation Potential (SFP) - kg O3 eq</v>
      </c>
      <c r="M12345" s="154" t="str">
        <f t="shared" si="1075"/>
        <v>Base_Medium_High_Upgraded_Smog Formation Potential (SFP) - kg O3 eq_Blend Tank; wastewater treatment unit; at updated plant - US_Without Amendment_Aerated Static Pile</v>
      </c>
    </row>
    <row r="12346" spans="1:13" s="120" customFormat="1" x14ac:dyDescent="0.25">
      <c r="A12346" s="119"/>
      <c r="B12346" s="138" t="str">
        <f t="shared" si="1077"/>
        <v>Aerated Static Pile</v>
      </c>
      <c r="C12346" s="138" t="str">
        <f t="shared" si="1078"/>
        <v>Without Amendment</v>
      </c>
      <c r="D12346" s="138" t="str">
        <f t="shared" si="1076"/>
        <v>Medium_High</v>
      </c>
      <c r="E12346" s="138" t="str">
        <f t="shared" si="1079"/>
        <v>Base</v>
      </c>
      <c r="F12346" s="138" t="str">
        <f t="shared" si="1080"/>
        <v>Upgraded</v>
      </c>
      <c r="G12346" s="153"/>
      <c r="H12346" s="210">
        <v>2.1100000000000001E-2</v>
      </c>
      <c r="I12346" s="160" t="s">
        <v>48</v>
      </c>
      <c r="J12346" s="160">
        <v>3.3899999999999998E-3</v>
      </c>
      <c r="K12346" s="160" t="s">
        <v>25</v>
      </c>
      <c r="L12346" s="154" t="str">
        <f>IF(OpenLCAbasic!K12346="CTUh", "Fill in Manually",IF(OR(K12346="Unit", K12346=""), "", INDEX(LookUps!$E$5:$E$12, MATCH(OpenLCAbasic!K12346,LookUps!$D$5:$D$12,0))))</f>
        <v>Smog Formation Potential (SFP) - kg O3 eq</v>
      </c>
      <c r="M12346" s="154" t="str">
        <f t="shared" si="1075"/>
        <v>Base_Medium_High_Upgraded_Smog Formation Potential (SFP) - kg O3 eq_Effluent release; wastewater treatment unit; at surface water; m3 wastewater - US_Without Amendment_Aerated Static Pile</v>
      </c>
    </row>
    <row r="12347" spans="1:13" s="120" customFormat="1" x14ac:dyDescent="0.25">
      <c r="A12347" s="119"/>
      <c r="B12347" s="138" t="str">
        <f t="shared" si="1077"/>
        <v>Aerated Static Pile</v>
      </c>
      <c r="C12347" s="138" t="str">
        <f t="shared" si="1078"/>
        <v>Without Amendment</v>
      </c>
      <c r="D12347" s="138" t="str">
        <f t="shared" si="1076"/>
        <v>Medium_High</v>
      </c>
      <c r="E12347" s="138" t="str">
        <f t="shared" si="1079"/>
        <v>Base</v>
      </c>
      <c r="F12347" s="138" t="str">
        <f t="shared" si="1080"/>
        <v>Upgraded</v>
      </c>
      <c r="G12347" s="153"/>
      <c r="H12347" s="210">
        <v>1.5299999999999999E-2</v>
      </c>
      <c r="I12347" s="160" t="s">
        <v>168</v>
      </c>
      <c r="J12347" s="160">
        <v>2.4599999999999999E-3</v>
      </c>
      <c r="K12347" s="160" t="s">
        <v>25</v>
      </c>
      <c r="L12347" s="154" t="str">
        <f>IF(OpenLCAbasic!K12347="CTUh", "Fill in Manually",IF(OR(K12347="Unit", K12347=""), "", INDEX(LookUps!$E$5:$E$12, MATCH(OpenLCAbasic!K12347,LookUps!$D$5:$D$12,0))))</f>
        <v>Smog Formation Potential (SFP) - kg O3 eq</v>
      </c>
      <c r="M12347" s="154" t="str">
        <f t="shared" si="1075"/>
        <v>Base_Medium_High_Upgraded_Smog Formation Potential (SFP) - kg O3 eq_ClearCove SCP; wastewater treatment unit; at updated plant - US_Without Amendment_Aerated Static Pile</v>
      </c>
    </row>
    <row r="12348" spans="1:13" s="120" customFormat="1" x14ac:dyDescent="0.25">
      <c r="A12348" s="119"/>
      <c r="B12348" s="138" t="str">
        <f t="shared" si="1077"/>
        <v>Aerated Static Pile</v>
      </c>
      <c r="C12348" s="138" t="str">
        <f t="shared" si="1078"/>
        <v>Without Amendment</v>
      </c>
      <c r="D12348" s="138" t="str">
        <f t="shared" si="1076"/>
        <v>Medium_High</v>
      </c>
      <c r="E12348" s="138" t="str">
        <f t="shared" si="1079"/>
        <v>Base</v>
      </c>
      <c r="F12348" s="138" t="str">
        <f t="shared" si="1080"/>
        <v>Upgraded</v>
      </c>
      <c r="G12348" s="153"/>
      <c r="H12348" s="210">
        <v>3.3999999999999998E-3</v>
      </c>
      <c r="I12348" s="160" t="s">
        <v>148</v>
      </c>
      <c r="J12348" s="160">
        <v>5.4000000000000001E-4</v>
      </c>
      <c r="K12348" s="160" t="s">
        <v>25</v>
      </c>
      <c r="L12348" s="154" t="str">
        <f>IF(OpenLCAbasic!K12348="CTUh", "Fill in Manually",IF(OR(K12348="Unit", K12348=""), "", INDEX(LookUps!$E$5:$E$12, MATCH(OpenLCAbasic!K12348,LookUps!$D$5:$D$12,0))))</f>
        <v>Smog Formation Potential (SFP) - kg O3 eq</v>
      </c>
      <c r="M12348" s="154" t="str">
        <f t="shared" si="1075"/>
        <v>Base_Medium_High_Upgraded_Smog Formation Potential (SFP) - kg O3 eq_Control Building; at upgraded wastewater treatment plant - US_Without Amendment_Aerated Static Pile</v>
      </c>
    </row>
    <row r="12349" spans="1:13" s="120" customFormat="1" x14ac:dyDescent="0.25">
      <c r="A12349" s="119"/>
      <c r="B12349" s="138" t="str">
        <f t="shared" si="1077"/>
        <v>Aerated Static Pile</v>
      </c>
      <c r="C12349" s="138" t="str">
        <f t="shared" si="1078"/>
        <v>Without Amendment</v>
      </c>
      <c r="D12349" s="138" t="str">
        <f t="shared" si="1076"/>
        <v>Medium_High</v>
      </c>
      <c r="E12349" s="138" t="str">
        <f t="shared" si="1079"/>
        <v>Base</v>
      </c>
      <c r="F12349" s="138" t="str">
        <f t="shared" si="1080"/>
        <v>Upgraded</v>
      </c>
      <c r="G12349" s="153"/>
      <c r="H12349" s="210">
        <v>-1.44E-2</v>
      </c>
      <c r="I12349" s="160" t="s">
        <v>62</v>
      </c>
      <c r="J12349" s="160">
        <v>-2.3E-3</v>
      </c>
      <c r="K12349" s="160" t="s">
        <v>25</v>
      </c>
      <c r="L12349" s="154" t="str">
        <f>IF(OpenLCAbasic!K12349="CTUh", "Fill in Manually",IF(OR(K12349="Unit", K12349=""), "", INDEX(LookUps!$E$5:$E$12, MATCH(OpenLCAbasic!K12349,LookUps!$D$5:$D$12,0))))</f>
        <v>Smog Formation Potential (SFP) - kg O3 eq</v>
      </c>
      <c r="M12349" s="154" t="str">
        <f t="shared" si="1075"/>
        <v>Base_Medium_High_Upgraded_Smog Formation Potential (SFP) - kg O3 eq_Land application of compost; wastewater treatment unit; at updated plant - US_Without Amendment_Aerated Static Pile</v>
      </c>
    </row>
    <row r="12350" spans="1:13" s="120" customFormat="1" x14ac:dyDescent="0.25">
      <c r="A12350" s="119"/>
      <c r="B12350" s="138" t="str">
        <f t="shared" si="1077"/>
        <v>Aerated Static Pile</v>
      </c>
      <c r="C12350" s="138" t="str">
        <f t="shared" si="1078"/>
        <v>Without Amendment</v>
      </c>
      <c r="D12350" s="138" t="str">
        <f t="shared" si="1076"/>
        <v>Medium_High</v>
      </c>
      <c r="E12350" s="138" t="str">
        <f t="shared" si="1079"/>
        <v>Base</v>
      </c>
      <c r="F12350" s="138" t="str">
        <f t="shared" si="1080"/>
        <v>Upgraded</v>
      </c>
      <c r="G12350" s="153"/>
      <c r="H12350" s="210">
        <v>-3.4824999999999999</v>
      </c>
      <c r="I12350" s="160" t="s">
        <v>149</v>
      </c>
      <c r="J12350" s="160">
        <v>-0.55771000000000004</v>
      </c>
      <c r="K12350" s="160" t="s">
        <v>25</v>
      </c>
      <c r="L12350" s="154" t="str">
        <f>IF(OpenLCAbasic!K12350="CTUh", "Fill in Manually",IF(OR(K12350="Unit", K12350=""), "", INDEX(LookUps!$E$5:$E$12, MATCH(OpenLCAbasic!K12350,LookUps!$D$5:$D$12,0))))</f>
        <v>Smog Formation Potential (SFP) - kg O3 eq</v>
      </c>
      <c r="M12350" s="154" t="str">
        <f t="shared" si="1075"/>
        <v>Base_Medium_High_Upgraded_Smog Formation Potential (SFP) - kg O3 eq_Anaerobic Digestion; wastewater treatment unit; at updated plant - US_Without Amendment_Aerated Static Pile</v>
      </c>
    </row>
    <row r="12351" spans="1:13" s="120" customFormat="1" x14ac:dyDescent="0.25">
      <c r="A12351" s="119"/>
      <c r="B12351" s="138" t="str">
        <f t="shared" si="1077"/>
        <v/>
      </c>
      <c r="C12351" s="138" t="str">
        <f t="shared" si="1078"/>
        <v/>
      </c>
      <c r="D12351" s="138" t="str">
        <f t="shared" si="1076"/>
        <v/>
      </c>
      <c r="E12351" s="138" t="str">
        <f t="shared" si="1079"/>
        <v/>
      </c>
      <c r="F12351" s="138" t="str">
        <f t="shared" si="1080"/>
        <v/>
      </c>
      <c r="G12351" s="153" t="s">
        <v>51</v>
      </c>
      <c r="H12351" s="160"/>
      <c r="I12351" s="160" t="s">
        <v>47</v>
      </c>
      <c r="J12351" s="160" t="s">
        <v>52</v>
      </c>
      <c r="K12351" s="160" t="s">
        <v>27</v>
      </c>
      <c r="L12351" s="154" t="str">
        <f>IF(OpenLCAbasic!K12351="CTUh", "Fill in Manually",IF(OR(K12351="Unit", K12351=""), "", INDEX(LookUps!$E$5:$E$12, MATCH(OpenLCAbasic!K12351,LookUps!$D$5:$D$12,0))))</f>
        <v/>
      </c>
      <c r="M12351" s="154" t="str">
        <f t="shared" si="1075"/>
        <v>____Process__</v>
      </c>
    </row>
    <row r="12352" spans="1:13" s="120" customFormat="1" x14ac:dyDescent="0.25">
      <c r="A12352" s="119"/>
      <c r="B12352" s="138" t="str">
        <f t="shared" si="1077"/>
        <v>Aerated Static Pile</v>
      </c>
      <c r="C12352" s="138" t="str">
        <f t="shared" si="1078"/>
        <v>Without Amendment</v>
      </c>
      <c r="D12352" s="138" t="str">
        <f t="shared" si="1076"/>
        <v>Medium_High</v>
      </c>
      <c r="E12352" s="138" t="str">
        <f t="shared" si="1079"/>
        <v>Base</v>
      </c>
      <c r="F12352" s="138" t="str">
        <f t="shared" si="1080"/>
        <v>Upgraded</v>
      </c>
      <c r="G12352" s="153"/>
      <c r="H12352" s="210">
        <v>3.3807999999999998</v>
      </c>
      <c r="I12352" s="160" t="s">
        <v>167</v>
      </c>
      <c r="J12352" s="160">
        <v>2.7999999999999998E-4</v>
      </c>
      <c r="K12352" s="160" t="s">
        <v>26</v>
      </c>
      <c r="L12352" s="154" t="str">
        <f>IF(OpenLCAbasic!K12352="CTUh", "Fill in Manually",IF(OR(K12352="Unit", K12352=""), "", INDEX(LookUps!$E$5:$E$12, MATCH(OpenLCAbasic!K12352,LookUps!$D$5:$D$12,0))))</f>
        <v>Water Use (WU) - m3 H2O</v>
      </c>
      <c r="M12352" s="154" t="str">
        <f t="shared" si="1075"/>
        <v>Base_Medium_High_Upgraded_Water Use (WU) - m3 H2O_Waste Receiving and Holding; wastewater treatment unit; at updated plant - US_Without Amendment_Aerated Static Pile</v>
      </c>
    </row>
    <row r="12353" spans="1:13" s="120" customFormat="1" x14ac:dyDescent="0.25">
      <c r="A12353" s="119"/>
      <c r="B12353" s="138" t="str">
        <f t="shared" si="1077"/>
        <v>Aerated Static Pile</v>
      </c>
      <c r="C12353" s="138" t="str">
        <f t="shared" si="1078"/>
        <v>Without Amendment</v>
      </c>
      <c r="D12353" s="138" t="str">
        <f t="shared" si="1076"/>
        <v>Medium_High</v>
      </c>
      <c r="E12353" s="138" t="str">
        <f t="shared" si="1079"/>
        <v>Base</v>
      </c>
      <c r="F12353" s="138" t="str">
        <f t="shared" si="1080"/>
        <v>Upgraded</v>
      </c>
      <c r="G12353" s="153"/>
      <c r="H12353" s="210">
        <v>2.2069000000000001</v>
      </c>
      <c r="I12353" s="160" t="s">
        <v>147</v>
      </c>
      <c r="J12353" s="160">
        <v>1.8000000000000001E-4</v>
      </c>
      <c r="K12353" s="160" t="s">
        <v>26</v>
      </c>
      <c r="L12353" s="154" t="str">
        <f>IF(OpenLCAbasic!K12353="CTUh", "Fill in Manually",IF(OR(K12353="Unit", K12353=""), "", INDEX(LookUps!$E$5:$E$12, MATCH(OpenLCAbasic!K12353,LookUps!$D$5:$D$12,0))))</f>
        <v>Water Use (WU) - m3 H2O</v>
      </c>
      <c r="M12353" s="154" t="str">
        <f t="shared" si="1075"/>
        <v>Base_Medium_High_Upgraded_Water Use (WU) - m3 H2O_Influent Pump Station; wastewater treatment unit; at updated plant - US_Without Amendment_Aerated Static Pile</v>
      </c>
    </row>
    <row r="12354" spans="1:13" s="120" customFormat="1" x14ac:dyDescent="0.25">
      <c r="A12354" s="119"/>
      <c r="B12354" s="138" t="str">
        <f t="shared" si="1077"/>
        <v>Aerated Static Pile</v>
      </c>
      <c r="C12354" s="138" t="str">
        <f t="shared" si="1078"/>
        <v>Without Amendment</v>
      </c>
      <c r="D12354" s="138" t="str">
        <f t="shared" si="1076"/>
        <v>Medium_High</v>
      </c>
      <c r="E12354" s="138" t="str">
        <f t="shared" si="1079"/>
        <v>Base</v>
      </c>
      <c r="F12354" s="138" t="str">
        <f t="shared" si="1080"/>
        <v>Upgraded</v>
      </c>
      <c r="G12354" s="153"/>
      <c r="H12354" s="210">
        <v>2.1533000000000002</v>
      </c>
      <c r="I12354" s="160" t="s">
        <v>54</v>
      </c>
      <c r="J12354" s="160">
        <v>1.8000000000000001E-4</v>
      </c>
      <c r="K12354" s="160" t="s">
        <v>26</v>
      </c>
      <c r="L12354" s="154" t="str">
        <f>IF(OpenLCAbasic!K12354="CTUh", "Fill in Manually",IF(OR(K12354="Unit", K12354=""), "", INDEX(LookUps!$E$5:$E$12, MATCH(OpenLCAbasic!K12354,LookUps!$D$5:$D$12,0))))</f>
        <v>Water Use (WU) - m3 H2O</v>
      </c>
      <c r="M12354" s="154" t="str">
        <f t="shared" si="1075"/>
        <v>Base_Medium_High_Upgraded_Water Use (WU) - m3 H2O_Clear Cove Primary Clarification; wastewater treatment unit; at updated plant - US_Without Amendment_Aerated Static Pile</v>
      </c>
    </row>
    <row r="12355" spans="1:13" s="120" customFormat="1" x14ac:dyDescent="0.25">
      <c r="A12355" s="119"/>
      <c r="B12355" s="138" t="str">
        <f t="shared" si="1077"/>
        <v>Aerated Static Pile</v>
      </c>
      <c r="C12355" s="138" t="str">
        <f t="shared" si="1078"/>
        <v>Without Amendment</v>
      </c>
      <c r="D12355" s="138" t="str">
        <f t="shared" si="1076"/>
        <v>Medium_High</v>
      </c>
      <c r="E12355" s="138" t="str">
        <f t="shared" si="1079"/>
        <v>Base</v>
      </c>
      <c r="F12355" s="138" t="str">
        <f t="shared" si="1080"/>
        <v>Upgraded</v>
      </c>
      <c r="G12355" s="153"/>
      <c r="H12355" s="210">
        <v>1.9534</v>
      </c>
      <c r="I12355" s="160" t="s">
        <v>55</v>
      </c>
      <c r="J12355" s="160">
        <v>1.6000000000000001E-4</v>
      </c>
      <c r="K12355" s="160" t="s">
        <v>26</v>
      </c>
      <c r="L12355" s="154" t="str">
        <f>IF(OpenLCAbasic!K12355="CTUh", "Fill in Manually",IF(OR(K12355="Unit", K12355=""), "", INDEX(LookUps!$E$5:$E$12, MATCH(OpenLCAbasic!K12355,LookUps!$D$5:$D$12,0))))</f>
        <v>Water Use (WU) - m3 H2O</v>
      </c>
      <c r="M12355" s="154" t="str">
        <f t="shared" si="1075"/>
        <v>Base_Medium_High_Upgraded_Water Use (WU) - m3 H2O_Aeration Tanks; wastewater treatment unit; at updated plant - US_Without Amendment_Aerated Static Pile</v>
      </c>
    </row>
    <row r="12356" spans="1:13" s="120" customFormat="1" x14ac:dyDescent="0.25">
      <c r="A12356" s="119"/>
      <c r="B12356" s="138" t="str">
        <f t="shared" si="1077"/>
        <v>Aerated Static Pile</v>
      </c>
      <c r="C12356" s="138" t="str">
        <f t="shared" si="1078"/>
        <v>Without Amendment</v>
      </c>
      <c r="D12356" s="138" t="str">
        <f t="shared" si="1076"/>
        <v>Medium_High</v>
      </c>
      <c r="E12356" s="138" t="str">
        <f t="shared" si="1079"/>
        <v>Base</v>
      </c>
      <c r="F12356" s="138" t="str">
        <f t="shared" si="1080"/>
        <v>Upgraded</v>
      </c>
      <c r="G12356" s="153"/>
      <c r="H12356" s="210">
        <v>1.7794000000000001</v>
      </c>
      <c r="I12356" s="160" t="s">
        <v>148</v>
      </c>
      <c r="J12356" s="160">
        <v>1.4999999999999999E-4</v>
      </c>
      <c r="K12356" s="160" t="s">
        <v>26</v>
      </c>
      <c r="L12356" s="154" t="str">
        <f>IF(OpenLCAbasic!K12356="CTUh", "Fill in Manually",IF(OR(K12356="Unit", K12356=""), "", INDEX(LookUps!$E$5:$E$12, MATCH(OpenLCAbasic!K12356,LookUps!$D$5:$D$12,0))))</f>
        <v>Water Use (WU) - m3 H2O</v>
      </c>
      <c r="M12356" s="154" t="str">
        <f t="shared" ref="M12356:M12419" si="1081">CONCATENATE(E12356,"_",D12356,"_",F12356,"_",L12356, "_",I12356,"_", C12356,"_", B12356)</f>
        <v>Base_Medium_High_Upgraded_Water Use (WU) - m3 H2O_Control Building; at upgraded wastewater treatment plant - US_Without Amendment_Aerated Static Pile</v>
      </c>
    </row>
    <row r="12357" spans="1:13" s="120" customFormat="1" x14ac:dyDescent="0.25">
      <c r="A12357" s="119"/>
      <c r="B12357" s="138" t="str">
        <f t="shared" si="1077"/>
        <v>Aerated Static Pile</v>
      </c>
      <c r="C12357" s="138" t="str">
        <f t="shared" si="1078"/>
        <v>Without Amendment</v>
      </c>
      <c r="D12357" s="138" t="str">
        <f t="shared" si="1076"/>
        <v>Medium_High</v>
      </c>
      <c r="E12357" s="138" t="str">
        <f t="shared" si="1079"/>
        <v>Base</v>
      </c>
      <c r="F12357" s="138" t="str">
        <f t="shared" si="1080"/>
        <v>Upgraded</v>
      </c>
      <c r="G12357" s="153"/>
      <c r="H12357" s="210">
        <v>0.82630000000000003</v>
      </c>
      <c r="I12357" s="160" t="s">
        <v>48</v>
      </c>
      <c r="J12357" s="211">
        <v>6.8836400000000004E-5</v>
      </c>
      <c r="K12357" s="160" t="s">
        <v>26</v>
      </c>
      <c r="L12357" s="154" t="str">
        <f>IF(OpenLCAbasic!K12357="CTUh", "Fill in Manually",IF(OR(K12357="Unit", K12357=""), "", INDEX(LookUps!$E$5:$E$12, MATCH(OpenLCAbasic!K12357,LookUps!$D$5:$D$12,0))))</f>
        <v>Water Use (WU) - m3 H2O</v>
      </c>
      <c r="M12357" s="154" t="str">
        <f t="shared" si="1081"/>
        <v>Base_Medium_High_Upgraded_Water Use (WU) - m3 H2O_Effluent release; wastewater treatment unit; at surface water; m3 wastewater - US_Without Amendment_Aerated Static Pile</v>
      </c>
    </row>
    <row r="12358" spans="1:13" s="120" customFormat="1" x14ac:dyDescent="0.25">
      <c r="A12358" s="119"/>
      <c r="B12358" s="138" t="str">
        <f t="shared" si="1077"/>
        <v>Aerated Static Pile</v>
      </c>
      <c r="C12358" s="138" t="str">
        <f t="shared" si="1078"/>
        <v>Without Amendment</v>
      </c>
      <c r="D12358" s="138" t="str">
        <f t="shared" si="1076"/>
        <v>Medium_High</v>
      </c>
      <c r="E12358" s="138" t="str">
        <f t="shared" si="1079"/>
        <v>Base</v>
      </c>
      <c r="F12358" s="138" t="str">
        <f t="shared" si="1080"/>
        <v>Upgraded</v>
      </c>
      <c r="G12358" s="153"/>
      <c r="H12358" s="210">
        <v>0.51900000000000002</v>
      </c>
      <c r="I12358" s="160" t="s">
        <v>58</v>
      </c>
      <c r="J12358" s="211">
        <v>4.3235300000000003E-5</v>
      </c>
      <c r="K12358" s="160" t="s">
        <v>26</v>
      </c>
      <c r="L12358" s="154" t="str">
        <f>IF(OpenLCAbasic!K12358="CTUh", "Fill in Manually",IF(OR(K12358="Unit", K12358=""), "", INDEX(LookUps!$E$5:$E$12, MATCH(OpenLCAbasic!K12358,LookUps!$D$5:$D$12,0))))</f>
        <v>Water Use (WU) - m3 H2O</v>
      </c>
      <c r="M12358" s="154" t="str">
        <f t="shared" si="1081"/>
        <v>Base_Medium_High_Upgraded_Water Use (WU) - m3 H2O_Pre-Anoxic &amp; Swing tank; wastewater treatment unit; at updated plant - US_Without Amendment_Aerated Static Pile</v>
      </c>
    </row>
    <row r="12359" spans="1:13" s="120" customFormat="1" x14ac:dyDescent="0.25">
      <c r="A12359" s="119"/>
      <c r="B12359" s="138" t="str">
        <f t="shared" si="1077"/>
        <v>Aerated Static Pile</v>
      </c>
      <c r="C12359" s="138" t="str">
        <f t="shared" si="1078"/>
        <v>Without Amendment</v>
      </c>
      <c r="D12359" s="138" t="str">
        <f t="shared" si="1076"/>
        <v>Medium_High</v>
      </c>
      <c r="E12359" s="138" t="str">
        <f t="shared" si="1079"/>
        <v>Base</v>
      </c>
      <c r="F12359" s="138" t="str">
        <f t="shared" si="1080"/>
        <v>Upgraded</v>
      </c>
      <c r="G12359" s="153"/>
      <c r="H12359" s="210">
        <v>0.36499999999999999</v>
      </c>
      <c r="I12359" s="160" t="s">
        <v>57</v>
      </c>
      <c r="J12359" s="211">
        <v>3.0408100000000001E-5</v>
      </c>
      <c r="K12359" s="160" t="s">
        <v>26</v>
      </c>
      <c r="L12359" s="154" t="str">
        <f>IF(OpenLCAbasic!K12359="CTUh", "Fill in Manually",IF(OR(K12359="Unit", K12359=""), "", INDEX(LookUps!$E$5:$E$12, MATCH(OpenLCAbasic!K12359,LookUps!$D$5:$D$12,0))))</f>
        <v>Water Use (WU) - m3 H2O</v>
      </c>
      <c r="M12359" s="154" t="str">
        <f t="shared" si="1081"/>
        <v>Base_Medium_High_Upgraded_Water Use (WU) - m3 H2O_Gravity Belt Thickener; wastewater treatment unit; at updated plant - US_Without Amendment_Aerated Static Pile</v>
      </c>
    </row>
    <row r="12360" spans="1:13" s="120" customFormat="1" x14ac:dyDescent="0.25">
      <c r="A12360" s="119"/>
      <c r="B12360" s="138" t="str">
        <f t="shared" si="1077"/>
        <v>Aerated Static Pile</v>
      </c>
      <c r="C12360" s="138" t="str">
        <f t="shared" si="1078"/>
        <v>Without Amendment</v>
      </c>
      <c r="D12360" s="138" t="str">
        <f t="shared" si="1076"/>
        <v>Medium_High</v>
      </c>
      <c r="E12360" s="138" t="str">
        <f t="shared" si="1079"/>
        <v>Base</v>
      </c>
      <c r="F12360" s="138" t="str">
        <f t="shared" si="1080"/>
        <v>Upgraded</v>
      </c>
      <c r="G12360" s="153"/>
      <c r="H12360" s="210">
        <v>0.34799999999999998</v>
      </c>
      <c r="I12360" s="160" t="s">
        <v>60</v>
      </c>
      <c r="J12360" s="211">
        <v>2.8986600000000001E-5</v>
      </c>
      <c r="K12360" s="160" t="s">
        <v>26</v>
      </c>
      <c r="L12360" s="154" t="str">
        <f>IF(OpenLCAbasic!K12360="CTUh", "Fill in Manually",IF(OR(K12360="Unit", K12360=""), "", INDEX(LookUps!$E$5:$E$12, MATCH(OpenLCAbasic!K12360,LookUps!$D$5:$D$12,0))))</f>
        <v>Water Use (WU) - m3 H2O</v>
      </c>
      <c r="M12360" s="154" t="str">
        <f t="shared" si="1081"/>
        <v>Base_Medium_High_Upgraded_Water Use (WU) - m3 H2O_Belt filter press; wastewater treatment unit; at updated plant - US_Without Amendment_Aerated Static Pile</v>
      </c>
    </row>
    <row r="12361" spans="1:13" s="120" customFormat="1" x14ac:dyDescent="0.25">
      <c r="A12361" s="119"/>
      <c r="B12361" s="138" t="str">
        <f t="shared" si="1077"/>
        <v>Aerated Static Pile</v>
      </c>
      <c r="C12361" s="138" t="str">
        <f t="shared" si="1078"/>
        <v>Without Amendment</v>
      </c>
      <c r="D12361" s="138" t="str">
        <f t="shared" ref="D12361:D12367" si="1082">IF(ISNUMBER($J12361),"Medium_High","")</f>
        <v>Medium_High</v>
      </c>
      <c r="E12361" s="138" t="str">
        <f t="shared" si="1079"/>
        <v>Base</v>
      </c>
      <c r="F12361" s="138" t="str">
        <f t="shared" si="1080"/>
        <v>Upgraded</v>
      </c>
      <c r="G12361" s="153"/>
      <c r="H12361" s="210">
        <v>0.2102</v>
      </c>
      <c r="I12361" s="160" t="s">
        <v>53</v>
      </c>
      <c r="J12361" s="211">
        <v>1.75069E-5</v>
      </c>
      <c r="K12361" s="160" t="s">
        <v>26</v>
      </c>
      <c r="L12361" s="154" t="str">
        <f>IF(OpenLCAbasic!K12361="CTUh", "Fill in Manually",IF(OR(K12361="Unit", K12361=""), "", INDEX(LookUps!$E$5:$E$12, MATCH(OpenLCAbasic!K12361,LookUps!$D$5:$D$12,0))))</f>
        <v>Water Use (WU) - m3 H2O</v>
      </c>
      <c r="M12361" s="154" t="str">
        <f t="shared" si="1081"/>
        <v>Base_Medium_High_Upgraded_Water Use (WU) - m3 H2O_Wet Well and Sump Station; wastewater treatment unit; at updated plant - US_Without Amendment_Aerated Static Pile</v>
      </c>
    </row>
    <row r="12362" spans="1:13" s="120" customFormat="1" x14ac:dyDescent="0.25">
      <c r="A12362" s="119"/>
      <c r="B12362" s="138" t="str">
        <f t="shared" si="1077"/>
        <v>Aerated Static Pile</v>
      </c>
      <c r="C12362" s="138" t="str">
        <f t="shared" si="1078"/>
        <v>Without Amendment</v>
      </c>
      <c r="D12362" s="138" t="str">
        <f t="shared" si="1082"/>
        <v>Medium_High</v>
      </c>
      <c r="E12362" s="138" t="str">
        <f t="shared" si="1079"/>
        <v>Base</v>
      </c>
      <c r="F12362" s="138" t="str">
        <f t="shared" si="1080"/>
        <v>Upgraded</v>
      </c>
      <c r="G12362" s="153"/>
      <c r="H12362" s="210">
        <v>9.5299999999999996E-2</v>
      </c>
      <c r="I12362" s="160" t="s">
        <v>435</v>
      </c>
      <c r="J12362" s="211">
        <v>7.9358499999999996E-6</v>
      </c>
      <c r="K12362" s="160" t="s">
        <v>26</v>
      </c>
      <c r="L12362" s="154" t="str">
        <f>IF(OpenLCAbasic!K12362="CTUh", "Fill in Manually",IF(OR(K12362="Unit", K12362=""), "", INDEX(LookUps!$E$5:$E$12, MATCH(OpenLCAbasic!K12362,LookUps!$D$5:$D$12,0))))</f>
        <v>Water Use (WU) - m3 H2O</v>
      </c>
      <c r="M12362" s="154" t="str">
        <f t="shared" si="1081"/>
        <v>Base_Medium_High_Upgraded_Water Use (WU) - m3 H2O_Biosolids composting; aerated static pile; wastewater treatment unit; at updated plant - US_Without Amendment_Aerated Static Pile</v>
      </c>
    </row>
    <row r="12363" spans="1:13" s="120" customFormat="1" x14ac:dyDescent="0.25">
      <c r="A12363" s="119"/>
      <c r="B12363" s="138" t="str">
        <f t="shared" si="1077"/>
        <v>Aerated Static Pile</v>
      </c>
      <c r="C12363" s="138" t="str">
        <f t="shared" si="1078"/>
        <v>Without Amendment</v>
      </c>
      <c r="D12363" s="138" t="str">
        <f t="shared" si="1082"/>
        <v>Medium_High</v>
      </c>
      <c r="E12363" s="138" t="str">
        <f t="shared" si="1079"/>
        <v>Base</v>
      </c>
      <c r="F12363" s="138" t="str">
        <f t="shared" si="1080"/>
        <v>Upgraded</v>
      </c>
      <c r="G12363" s="153"/>
      <c r="H12363" s="210">
        <v>8.4199999999999997E-2</v>
      </c>
      <c r="I12363" s="160" t="s">
        <v>59</v>
      </c>
      <c r="J12363" s="211">
        <v>7.0179500000000003E-6</v>
      </c>
      <c r="K12363" s="160" t="s">
        <v>26</v>
      </c>
      <c r="L12363" s="154" t="str">
        <f>IF(OpenLCAbasic!K12363="CTUh", "Fill in Manually",IF(OR(K12363="Unit", K12363=""), "", INDEX(LookUps!$E$5:$E$12, MATCH(OpenLCAbasic!K12363,LookUps!$D$5:$D$12,0))))</f>
        <v>Water Use (WU) - m3 H2O</v>
      </c>
      <c r="M12363" s="154" t="str">
        <f t="shared" si="1081"/>
        <v>Base_Medium_High_Upgraded_Water Use (WU) - m3 H2O_Blend Tank; wastewater treatment unit; at updated plant - US_Without Amendment_Aerated Static Pile</v>
      </c>
    </row>
    <row r="12364" spans="1:13" s="120" customFormat="1" x14ac:dyDescent="0.25">
      <c r="A12364" s="119"/>
      <c r="B12364" s="138" t="str">
        <f t="shared" si="1077"/>
        <v>Aerated Static Pile</v>
      </c>
      <c r="C12364" s="138" t="str">
        <f t="shared" si="1078"/>
        <v>Without Amendment</v>
      </c>
      <c r="D12364" s="138" t="str">
        <f t="shared" si="1082"/>
        <v>Medium_High</v>
      </c>
      <c r="E12364" s="138" t="str">
        <f t="shared" si="1079"/>
        <v>Base</v>
      </c>
      <c r="F12364" s="138" t="str">
        <f t="shared" si="1080"/>
        <v>Upgraded</v>
      </c>
      <c r="G12364" s="153"/>
      <c r="H12364" s="210">
        <v>6.08E-2</v>
      </c>
      <c r="I12364" s="160" t="s">
        <v>128</v>
      </c>
      <c r="J12364" s="211">
        <v>5.0608900000000003E-6</v>
      </c>
      <c r="K12364" s="160" t="s">
        <v>26</v>
      </c>
      <c r="L12364" s="154" t="str">
        <f>IF(OpenLCAbasic!K12364="CTUh", "Fill in Manually",IF(OR(K12364="Unit", K12364=""), "", INDEX(LookUps!$E$5:$E$12, MATCH(OpenLCAbasic!K12364,LookUps!$D$5:$D$12,0))))</f>
        <v>Water Use (WU) - m3 H2O</v>
      </c>
      <c r="M12364" s="154" t="str">
        <f t="shared" si="1081"/>
        <v>Base_Medium_High_Upgraded_Water Use (WU) - m3 H2O_Wastewater collection; operation and infrastructure; m3 wastewater_Without Amendment_Aerated Static Pile</v>
      </c>
    </row>
    <row r="12365" spans="1:13" s="120" customFormat="1" x14ac:dyDescent="0.25">
      <c r="A12365" s="119"/>
      <c r="B12365" s="138" t="str">
        <f t="shared" si="1077"/>
        <v>Aerated Static Pile</v>
      </c>
      <c r="C12365" s="138" t="str">
        <f t="shared" si="1078"/>
        <v>Without Amendment</v>
      </c>
      <c r="D12365" s="138" t="str">
        <f t="shared" si="1082"/>
        <v>Medium_High</v>
      </c>
      <c r="E12365" s="138" t="str">
        <f t="shared" si="1079"/>
        <v>Base</v>
      </c>
      <c r="F12365" s="138" t="str">
        <f t="shared" si="1080"/>
        <v>Upgraded</v>
      </c>
      <c r="G12365" s="153"/>
      <c r="H12365" s="210">
        <v>9.1999999999999998E-3</v>
      </c>
      <c r="I12365" s="160" t="s">
        <v>168</v>
      </c>
      <c r="J12365" s="211">
        <v>7.6697000000000004E-7</v>
      </c>
      <c r="K12365" s="160" t="s">
        <v>26</v>
      </c>
      <c r="L12365" s="154" t="str">
        <f>IF(OpenLCAbasic!K12365="CTUh", "Fill in Manually",IF(OR(K12365="Unit", K12365=""), "", INDEX(LookUps!$E$5:$E$12, MATCH(OpenLCAbasic!K12365,LookUps!$D$5:$D$12,0))))</f>
        <v>Water Use (WU) - m3 H2O</v>
      </c>
      <c r="M12365" s="154" t="str">
        <f t="shared" si="1081"/>
        <v>Base_Medium_High_Upgraded_Water Use (WU) - m3 H2O_ClearCove SCP; wastewater treatment unit; at updated plant - US_Without Amendment_Aerated Static Pile</v>
      </c>
    </row>
    <row r="12366" spans="1:13" s="120" customFormat="1" x14ac:dyDescent="0.25">
      <c r="A12366" s="119"/>
      <c r="B12366" s="138" t="str">
        <f t="shared" si="1077"/>
        <v>Aerated Static Pile</v>
      </c>
      <c r="C12366" s="138" t="str">
        <f t="shared" si="1078"/>
        <v>Without Amendment</v>
      </c>
      <c r="D12366" s="138" t="str">
        <f t="shared" si="1082"/>
        <v>Medium_High</v>
      </c>
      <c r="E12366" s="138" t="str">
        <f t="shared" si="1079"/>
        <v>Base</v>
      </c>
      <c r="F12366" s="138" t="str">
        <f t="shared" si="1080"/>
        <v>Upgraded</v>
      </c>
      <c r="G12366" s="153"/>
      <c r="H12366" s="210">
        <v>-1.8198000000000001</v>
      </c>
      <c r="I12366" s="160" t="s">
        <v>149</v>
      </c>
      <c r="J12366" s="160">
        <v>-1.4999999999999999E-4</v>
      </c>
      <c r="K12366" s="160" t="s">
        <v>26</v>
      </c>
      <c r="L12366" s="154" t="str">
        <f>IF(OpenLCAbasic!K12366="CTUh", "Fill in Manually",IF(OR(K12366="Unit", K12366=""), "", INDEX(LookUps!$E$5:$E$12, MATCH(OpenLCAbasic!K12366,LookUps!$D$5:$D$12,0))))</f>
        <v>Water Use (WU) - m3 H2O</v>
      </c>
      <c r="M12366" s="154" t="str">
        <f t="shared" si="1081"/>
        <v>Base_Medium_High_Upgraded_Water Use (WU) - m3 H2O_Anaerobic Digestion; wastewater treatment unit; at updated plant - US_Without Amendment_Aerated Static Pile</v>
      </c>
    </row>
    <row r="12367" spans="1:13" s="120" customFormat="1" x14ac:dyDescent="0.25">
      <c r="A12367" s="119"/>
      <c r="B12367" s="138" t="str">
        <f t="shared" si="1077"/>
        <v>Aerated Static Pile</v>
      </c>
      <c r="C12367" s="138" t="str">
        <f t="shared" si="1078"/>
        <v>Without Amendment</v>
      </c>
      <c r="D12367" s="138" t="str">
        <f t="shared" si="1082"/>
        <v>Medium_High</v>
      </c>
      <c r="E12367" s="138" t="str">
        <f t="shared" si="1079"/>
        <v>Base</v>
      </c>
      <c r="F12367" s="138" t="str">
        <f t="shared" si="1080"/>
        <v>Upgraded</v>
      </c>
      <c r="G12367" s="153"/>
      <c r="H12367" s="210">
        <v>-11.171799999999999</v>
      </c>
      <c r="I12367" s="160" t="s">
        <v>62</v>
      </c>
      <c r="J12367" s="160">
        <v>-9.3000000000000005E-4</v>
      </c>
      <c r="K12367" s="160" t="s">
        <v>26</v>
      </c>
      <c r="L12367" s="154" t="str">
        <f>IF(OpenLCAbasic!K12367="CTUh", "Fill in Manually",IF(OR(K12367="Unit", K12367=""), "", INDEX(LookUps!$E$5:$E$12, MATCH(OpenLCAbasic!K12367,LookUps!$D$5:$D$12,0))))</f>
        <v>Water Use (WU) - m3 H2O</v>
      </c>
      <c r="M12367" s="154" t="str">
        <f t="shared" si="1081"/>
        <v>Base_Medium_High_Upgraded_Water Use (WU) - m3 H2O_Land application of compost; wastewater treatment unit; at updated plant - US_Without Amendment_Aerated Static Pile</v>
      </c>
    </row>
    <row r="12368" spans="1:13" s="120" customFormat="1" x14ac:dyDescent="0.25">
      <c r="A12368" s="119"/>
      <c r="B12368" s="138" t="str">
        <f t="shared" si="1077"/>
        <v/>
      </c>
      <c r="C12368" s="138" t="str">
        <f t="shared" si="1078"/>
        <v/>
      </c>
      <c r="D12368" s="138" t="str">
        <f>IF(ISNUMBER($J12368),"High_Low","")</f>
        <v/>
      </c>
      <c r="E12368" s="138" t="str">
        <f t="shared" si="1079"/>
        <v/>
      </c>
      <c r="F12368" s="138" t="str">
        <f t="shared" si="1080"/>
        <v/>
      </c>
      <c r="G12368" s="153" t="s">
        <v>51</v>
      </c>
      <c r="H12368" s="160"/>
      <c r="I12368" s="160" t="s">
        <v>47</v>
      </c>
      <c r="J12368" s="160" t="s">
        <v>52</v>
      </c>
      <c r="K12368" s="160" t="s">
        <v>27</v>
      </c>
      <c r="L12368" s="154" t="str">
        <f>IF(OpenLCAbasic!K12368="CTUh", "Fill in Manually",IF(OR(K12368="Unit", K12368=""), "", INDEX(LookUps!$E$5:$E$12, MATCH(OpenLCAbasic!K12368,LookUps!$D$5:$D$12,0))))</f>
        <v/>
      </c>
      <c r="M12368" s="154" t="str">
        <f t="shared" si="1081"/>
        <v>____Process__</v>
      </c>
    </row>
    <row r="12369" spans="1:13" s="120" customFormat="1" x14ac:dyDescent="0.25">
      <c r="A12369" s="119"/>
      <c r="B12369" s="138" t="str">
        <f t="shared" si="1077"/>
        <v>Aerated Static Pile</v>
      </c>
      <c r="C12369" s="138" t="str">
        <f t="shared" si="1078"/>
        <v>Without Amendment</v>
      </c>
      <c r="D12369" s="138" t="str">
        <f t="shared" ref="D12369:D12432" si="1083">IF(ISNUMBER($J12369),"High_Low","")</f>
        <v>High_Low</v>
      </c>
      <c r="E12369" s="138" t="str">
        <f t="shared" si="1079"/>
        <v>Base</v>
      </c>
      <c r="F12369" s="138" t="str">
        <f t="shared" si="1080"/>
        <v>Upgraded</v>
      </c>
      <c r="G12369" s="153"/>
      <c r="H12369" s="210">
        <v>0.50480000000000003</v>
      </c>
      <c r="I12369" s="160" t="s">
        <v>55</v>
      </c>
      <c r="J12369" s="160">
        <v>1.7219999999999999E-2</v>
      </c>
      <c r="K12369" s="160" t="s">
        <v>24</v>
      </c>
      <c r="L12369" s="154" t="str">
        <f>IF(OpenLCAbasic!K12369="CTUh", "Fill in Manually",IF(OR(K12369="Unit", K12369=""), "", INDEX(LookUps!$E$5:$E$12, MATCH(OpenLCAbasic!K12369,LookUps!$D$5:$D$12,0))))</f>
        <v>Acidification Potential (AP) - kg SO2 eq</v>
      </c>
      <c r="M12369" s="154" t="str">
        <f t="shared" si="1081"/>
        <v>Base_High_Low_Upgraded_Acidification Potential (AP) - kg SO2 eq_Aeration Tanks; wastewater treatment unit; at updated plant - US_Without Amendment_Aerated Static Pile</v>
      </c>
    </row>
    <row r="12370" spans="1:13" s="120" customFormat="1" x14ac:dyDescent="0.25">
      <c r="A12370" s="119"/>
      <c r="B12370" s="138" t="str">
        <f t="shared" si="1077"/>
        <v>Aerated Static Pile</v>
      </c>
      <c r="C12370" s="138" t="str">
        <f t="shared" si="1078"/>
        <v>Without Amendment</v>
      </c>
      <c r="D12370" s="138" t="str">
        <f t="shared" si="1083"/>
        <v>High_Low</v>
      </c>
      <c r="E12370" s="138" t="str">
        <f t="shared" si="1079"/>
        <v>Base</v>
      </c>
      <c r="F12370" s="138" t="str">
        <f t="shared" si="1080"/>
        <v>Upgraded</v>
      </c>
      <c r="G12370" s="153"/>
      <c r="H12370" s="210">
        <v>0.14599999999999999</v>
      </c>
      <c r="I12370" s="160" t="s">
        <v>54</v>
      </c>
      <c r="J12370" s="160">
        <v>4.9800000000000001E-3</v>
      </c>
      <c r="K12370" s="160" t="s">
        <v>24</v>
      </c>
      <c r="L12370" s="154" t="str">
        <f>IF(OpenLCAbasic!K12370="CTUh", "Fill in Manually",IF(OR(K12370="Unit", K12370=""), "", INDEX(LookUps!$E$5:$E$12, MATCH(OpenLCAbasic!K12370,LookUps!$D$5:$D$12,0))))</f>
        <v>Acidification Potential (AP) - kg SO2 eq</v>
      </c>
      <c r="M12370" s="154" t="str">
        <f t="shared" si="1081"/>
        <v>Base_High_Low_Upgraded_Acidification Potential (AP) - kg SO2 eq_Clear Cove Primary Clarification; wastewater treatment unit; at updated plant - US_Without Amendment_Aerated Static Pile</v>
      </c>
    </row>
    <row r="12371" spans="1:13" s="120" customFormat="1" x14ac:dyDescent="0.25">
      <c r="A12371" s="119"/>
      <c r="B12371" s="138" t="str">
        <f t="shared" si="1077"/>
        <v>Aerated Static Pile</v>
      </c>
      <c r="C12371" s="138" t="str">
        <f t="shared" si="1078"/>
        <v>Without Amendment</v>
      </c>
      <c r="D12371" s="138" t="str">
        <f t="shared" si="1083"/>
        <v>High_Low</v>
      </c>
      <c r="E12371" s="138" t="str">
        <f t="shared" si="1079"/>
        <v>Base</v>
      </c>
      <c r="F12371" s="138" t="str">
        <f t="shared" si="1080"/>
        <v>Upgraded</v>
      </c>
      <c r="G12371" s="153"/>
      <c r="H12371" s="210">
        <v>0.12790000000000001</v>
      </c>
      <c r="I12371" s="160" t="s">
        <v>58</v>
      </c>
      <c r="J12371" s="160">
        <v>4.3600000000000002E-3</v>
      </c>
      <c r="K12371" s="160" t="s">
        <v>24</v>
      </c>
      <c r="L12371" s="154" t="str">
        <f>IF(OpenLCAbasic!K12371="CTUh", "Fill in Manually",IF(OR(K12371="Unit", K12371=""), "", INDEX(LookUps!$E$5:$E$12, MATCH(OpenLCAbasic!K12371,LookUps!$D$5:$D$12,0))))</f>
        <v>Acidification Potential (AP) - kg SO2 eq</v>
      </c>
      <c r="M12371" s="154" t="str">
        <f t="shared" si="1081"/>
        <v>Base_High_Low_Upgraded_Acidification Potential (AP) - kg SO2 eq_Pre-Anoxic &amp; Swing tank; wastewater treatment unit; at updated plant - US_Without Amendment_Aerated Static Pile</v>
      </c>
    </row>
    <row r="12372" spans="1:13" s="120" customFormat="1" x14ac:dyDescent="0.25">
      <c r="A12372" s="119"/>
      <c r="B12372" s="138" t="str">
        <f t="shared" si="1077"/>
        <v>Aerated Static Pile</v>
      </c>
      <c r="C12372" s="138" t="str">
        <f t="shared" si="1078"/>
        <v>Without Amendment</v>
      </c>
      <c r="D12372" s="138" t="str">
        <f t="shared" si="1083"/>
        <v>High_Low</v>
      </c>
      <c r="E12372" s="138" t="str">
        <f t="shared" si="1079"/>
        <v>Base</v>
      </c>
      <c r="F12372" s="138" t="str">
        <f t="shared" si="1080"/>
        <v>Upgraded</v>
      </c>
      <c r="G12372" s="153"/>
      <c r="H12372" s="210">
        <v>0.1177</v>
      </c>
      <c r="I12372" s="160" t="s">
        <v>435</v>
      </c>
      <c r="J12372" s="160">
        <v>4.0200000000000001E-3</v>
      </c>
      <c r="K12372" s="160" t="s">
        <v>24</v>
      </c>
      <c r="L12372" s="154" t="str">
        <f>IF(OpenLCAbasic!K12372="CTUh", "Fill in Manually",IF(OR(K12372="Unit", K12372=""), "", INDEX(LookUps!$E$5:$E$12, MATCH(OpenLCAbasic!K12372,LookUps!$D$5:$D$12,0))))</f>
        <v>Acidification Potential (AP) - kg SO2 eq</v>
      </c>
      <c r="M12372" s="154" t="str">
        <f t="shared" si="1081"/>
        <v>Base_High_Low_Upgraded_Acidification Potential (AP) - kg SO2 eq_Biosolids composting; aerated static pile; wastewater treatment unit; at updated plant - US_Without Amendment_Aerated Static Pile</v>
      </c>
    </row>
    <row r="12373" spans="1:13" s="120" customFormat="1" x14ac:dyDescent="0.25">
      <c r="A12373" s="119"/>
      <c r="B12373" s="138" t="str">
        <f t="shared" si="1077"/>
        <v>Aerated Static Pile</v>
      </c>
      <c r="C12373" s="138" t="str">
        <f t="shared" si="1078"/>
        <v>Without Amendment</v>
      </c>
      <c r="D12373" s="138" t="str">
        <f t="shared" si="1083"/>
        <v>High_Low</v>
      </c>
      <c r="E12373" s="138" t="str">
        <f t="shared" si="1079"/>
        <v>Base</v>
      </c>
      <c r="F12373" s="138" t="str">
        <f t="shared" si="1080"/>
        <v>Upgraded</v>
      </c>
      <c r="G12373" s="153"/>
      <c r="H12373" s="210">
        <v>0.1109</v>
      </c>
      <c r="I12373" s="160" t="s">
        <v>62</v>
      </c>
      <c r="J12373" s="160">
        <v>3.7799999999999999E-3</v>
      </c>
      <c r="K12373" s="160" t="s">
        <v>24</v>
      </c>
      <c r="L12373" s="154" t="str">
        <f>IF(OpenLCAbasic!K12373="CTUh", "Fill in Manually",IF(OR(K12373="Unit", K12373=""), "", INDEX(LookUps!$E$5:$E$12, MATCH(OpenLCAbasic!K12373,LookUps!$D$5:$D$12,0))))</f>
        <v>Acidification Potential (AP) - kg SO2 eq</v>
      </c>
      <c r="M12373" s="154" t="str">
        <f t="shared" si="1081"/>
        <v>Base_High_Low_Upgraded_Acidification Potential (AP) - kg SO2 eq_Land application of compost; wastewater treatment unit; at updated plant - US_Without Amendment_Aerated Static Pile</v>
      </c>
    </row>
    <row r="12374" spans="1:13" s="120" customFormat="1" x14ac:dyDescent="0.25">
      <c r="A12374" s="119"/>
      <c r="B12374" s="138" t="str">
        <f t="shared" si="1077"/>
        <v>Aerated Static Pile</v>
      </c>
      <c r="C12374" s="138" t="str">
        <f t="shared" si="1078"/>
        <v>Without Amendment</v>
      </c>
      <c r="D12374" s="138" t="str">
        <f t="shared" si="1083"/>
        <v>High_Low</v>
      </c>
      <c r="E12374" s="138" t="str">
        <f t="shared" si="1079"/>
        <v>Base</v>
      </c>
      <c r="F12374" s="138" t="str">
        <f t="shared" si="1080"/>
        <v>Upgraded</v>
      </c>
      <c r="G12374" s="153"/>
      <c r="H12374" s="210">
        <v>0.1012</v>
      </c>
      <c r="I12374" s="160" t="s">
        <v>53</v>
      </c>
      <c r="J12374" s="160">
        <v>3.4499999999999999E-3</v>
      </c>
      <c r="K12374" s="160" t="s">
        <v>24</v>
      </c>
      <c r="L12374" s="154" t="str">
        <f>IF(OpenLCAbasic!K12374="CTUh", "Fill in Manually",IF(OR(K12374="Unit", K12374=""), "", INDEX(LookUps!$E$5:$E$12, MATCH(OpenLCAbasic!K12374,LookUps!$D$5:$D$12,0))))</f>
        <v>Acidification Potential (AP) - kg SO2 eq</v>
      </c>
      <c r="M12374" s="154" t="str">
        <f t="shared" si="1081"/>
        <v>Base_High_Low_Upgraded_Acidification Potential (AP) - kg SO2 eq_Wet Well and Sump Station; wastewater treatment unit; at updated plant - US_Without Amendment_Aerated Static Pile</v>
      </c>
    </row>
    <row r="12375" spans="1:13" s="120" customFormat="1" x14ac:dyDescent="0.25">
      <c r="A12375" s="119"/>
      <c r="B12375" s="138" t="str">
        <f t="shared" si="1077"/>
        <v>Aerated Static Pile</v>
      </c>
      <c r="C12375" s="138" t="str">
        <f t="shared" si="1078"/>
        <v>Without Amendment</v>
      </c>
      <c r="D12375" s="138" t="str">
        <f t="shared" si="1083"/>
        <v>High_Low</v>
      </c>
      <c r="E12375" s="138" t="str">
        <f t="shared" si="1079"/>
        <v>Base</v>
      </c>
      <c r="F12375" s="138" t="str">
        <f t="shared" si="1080"/>
        <v>Upgraded</v>
      </c>
      <c r="G12375" s="153"/>
      <c r="H12375" s="210">
        <v>7.9200000000000007E-2</v>
      </c>
      <c r="I12375" s="160" t="s">
        <v>167</v>
      </c>
      <c r="J12375" s="160">
        <v>2.7000000000000001E-3</v>
      </c>
      <c r="K12375" s="160" t="s">
        <v>24</v>
      </c>
      <c r="L12375" s="154" t="str">
        <f>IF(OpenLCAbasic!K12375="CTUh", "Fill in Manually",IF(OR(K12375="Unit", K12375=""), "", INDEX(LookUps!$E$5:$E$12, MATCH(OpenLCAbasic!K12375,LookUps!$D$5:$D$12,0))))</f>
        <v>Acidification Potential (AP) - kg SO2 eq</v>
      </c>
      <c r="M12375" s="154" t="str">
        <f t="shared" si="1081"/>
        <v>Base_High_Low_Upgraded_Acidification Potential (AP) - kg SO2 eq_Waste Receiving and Holding; wastewater treatment unit; at updated plant - US_Without Amendment_Aerated Static Pile</v>
      </c>
    </row>
    <row r="12376" spans="1:13" s="120" customFormat="1" x14ac:dyDescent="0.25">
      <c r="A12376" s="119"/>
      <c r="B12376" s="138" t="str">
        <f t="shared" si="1077"/>
        <v>Aerated Static Pile</v>
      </c>
      <c r="C12376" s="138" t="str">
        <f t="shared" si="1078"/>
        <v>Without Amendment</v>
      </c>
      <c r="D12376" s="138" t="str">
        <f t="shared" si="1083"/>
        <v>High_Low</v>
      </c>
      <c r="E12376" s="138" t="str">
        <f t="shared" si="1079"/>
        <v>Base</v>
      </c>
      <c r="F12376" s="138" t="str">
        <f t="shared" si="1080"/>
        <v>Upgraded</v>
      </c>
      <c r="G12376" s="153"/>
      <c r="H12376" s="210">
        <v>6.0600000000000001E-2</v>
      </c>
      <c r="I12376" s="160" t="s">
        <v>147</v>
      </c>
      <c r="J12376" s="160">
        <v>2.0699999999999998E-3</v>
      </c>
      <c r="K12376" s="160" t="s">
        <v>24</v>
      </c>
      <c r="L12376" s="154" t="str">
        <f>IF(OpenLCAbasic!K12376="CTUh", "Fill in Manually",IF(OR(K12376="Unit", K12376=""), "", INDEX(LookUps!$E$5:$E$12, MATCH(OpenLCAbasic!K12376,LookUps!$D$5:$D$12,0))))</f>
        <v>Acidification Potential (AP) - kg SO2 eq</v>
      </c>
      <c r="M12376" s="154" t="str">
        <f t="shared" si="1081"/>
        <v>Base_High_Low_Upgraded_Acidification Potential (AP) - kg SO2 eq_Influent Pump Station; wastewater treatment unit; at updated plant - US_Without Amendment_Aerated Static Pile</v>
      </c>
    </row>
    <row r="12377" spans="1:13" s="120" customFormat="1" x14ac:dyDescent="0.25">
      <c r="A12377" s="119"/>
      <c r="B12377" s="138" t="str">
        <f t="shared" si="1077"/>
        <v>Aerated Static Pile</v>
      </c>
      <c r="C12377" s="138" t="str">
        <f t="shared" si="1078"/>
        <v>Without Amendment</v>
      </c>
      <c r="D12377" s="138" t="str">
        <f t="shared" si="1083"/>
        <v>High_Low</v>
      </c>
      <c r="E12377" s="138" t="str">
        <f t="shared" si="1079"/>
        <v>Base</v>
      </c>
      <c r="F12377" s="138" t="str">
        <f t="shared" si="1080"/>
        <v>Upgraded</v>
      </c>
      <c r="G12377" s="153"/>
      <c r="H12377" s="210">
        <v>4.9299999999999997E-2</v>
      </c>
      <c r="I12377" s="160" t="s">
        <v>60</v>
      </c>
      <c r="J12377" s="160">
        <v>1.6800000000000001E-3</v>
      </c>
      <c r="K12377" s="160" t="s">
        <v>24</v>
      </c>
      <c r="L12377" s="154" t="str">
        <f>IF(OpenLCAbasic!K12377="CTUh", "Fill in Manually",IF(OR(K12377="Unit", K12377=""), "", INDEX(LookUps!$E$5:$E$12, MATCH(OpenLCAbasic!K12377,LookUps!$D$5:$D$12,0))))</f>
        <v>Acidification Potential (AP) - kg SO2 eq</v>
      </c>
      <c r="M12377" s="154" t="str">
        <f t="shared" si="1081"/>
        <v>Base_High_Low_Upgraded_Acidification Potential (AP) - kg SO2 eq_Belt filter press; wastewater treatment unit; at updated plant - US_Without Amendment_Aerated Static Pile</v>
      </c>
    </row>
    <row r="12378" spans="1:13" s="120" customFormat="1" x14ac:dyDescent="0.25">
      <c r="A12378" s="119"/>
      <c r="B12378" s="138" t="str">
        <f t="shared" si="1077"/>
        <v>Aerated Static Pile</v>
      </c>
      <c r="C12378" s="138" t="str">
        <f t="shared" si="1078"/>
        <v>Without Amendment</v>
      </c>
      <c r="D12378" s="138" t="str">
        <f t="shared" si="1083"/>
        <v>High_Low</v>
      </c>
      <c r="E12378" s="138" t="str">
        <f t="shared" si="1079"/>
        <v>Base</v>
      </c>
      <c r="F12378" s="138" t="str">
        <f t="shared" si="1080"/>
        <v>Upgraded</v>
      </c>
      <c r="G12378" s="153"/>
      <c r="H12378" s="210">
        <v>3.61E-2</v>
      </c>
      <c r="I12378" s="160" t="s">
        <v>128</v>
      </c>
      <c r="J12378" s="160">
        <v>1.23E-3</v>
      </c>
      <c r="K12378" s="160" t="s">
        <v>24</v>
      </c>
      <c r="L12378" s="154" t="str">
        <f>IF(OpenLCAbasic!K12378="CTUh", "Fill in Manually",IF(OR(K12378="Unit", K12378=""), "", INDEX(LookUps!$E$5:$E$12, MATCH(OpenLCAbasic!K12378,LookUps!$D$5:$D$12,0))))</f>
        <v>Acidification Potential (AP) - kg SO2 eq</v>
      </c>
      <c r="M12378" s="154" t="str">
        <f t="shared" si="1081"/>
        <v>Base_High_Low_Upgraded_Acidification Potential (AP) - kg SO2 eq_Wastewater collection; operation and infrastructure; m3 wastewater_Without Amendment_Aerated Static Pile</v>
      </c>
    </row>
    <row r="12379" spans="1:13" s="120" customFormat="1" x14ac:dyDescent="0.25">
      <c r="A12379" s="119"/>
      <c r="B12379" s="138" t="str">
        <f t="shared" si="1077"/>
        <v>Aerated Static Pile</v>
      </c>
      <c r="C12379" s="138" t="str">
        <f t="shared" si="1078"/>
        <v>Without Amendment</v>
      </c>
      <c r="D12379" s="138" t="str">
        <f t="shared" si="1083"/>
        <v>High_Low</v>
      </c>
      <c r="E12379" s="138" t="str">
        <f t="shared" si="1079"/>
        <v>Base</v>
      </c>
      <c r="F12379" s="138" t="str">
        <f t="shared" si="1080"/>
        <v>Upgraded</v>
      </c>
      <c r="G12379" s="153"/>
      <c r="H12379" s="210">
        <v>2.06E-2</v>
      </c>
      <c r="I12379" s="160" t="s">
        <v>57</v>
      </c>
      <c r="J12379" s="160">
        <v>6.9999999999999999E-4</v>
      </c>
      <c r="K12379" s="160" t="s">
        <v>24</v>
      </c>
      <c r="L12379" s="154" t="str">
        <f>IF(OpenLCAbasic!K12379="CTUh", "Fill in Manually",IF(OR(K12379="Unit", K12379=""), "", INDEX(LookUps!$E$5:$E$12, MATCH(OpenLCAbasic!K12379,LookUps!$D$5:$D$12,0))))</f>
        <v>Acidification Potential (AP) - kg SO2 eq</v>
      </c>
      <c r="M12379" s="154" t="str">
        <f t="shared" si="1081"/>
        <v>Base_High_Low_Upgraded_Acidification Potential (AP) - kg SO2 eq_Gravity Belt Thickener; wastewater treatment unit; at updated plant - US_Without Amendment_Aerated Static Pile</v>
      </c>
    </row>
    <row r="12380" spans="1:13" s="120" customFormat="1" x14ac:dyDescent="0.25">
      <c r="A12380" s="119"/>
      <c r="B12380" s="138" t="str">
        <f t="shared" si="1077"/>
        <v>Aerated Static Pile</v>
      </c>
      <c r="C12380" s="138" t="str">
        <f t="shared" si="1078"/>
        <v>Without Amendment</v>
      </c>
      <c r="D12380" s="138" t="str">
        <f t="shared" si="1083"/>
        <v>High_Low</v>
      </c>
      <c r="E12380" s="138" t="str">
        <f t="shared" si="1079"/>
        <v>Base</v>
      </c>
      <c r="F12380" s="138" t="str">
        <f t="shared" si="1080"/>
        <v>Upgraded</v>
      </c>
      <c r="G12380" s="153"/>
      <c r="H12380" s="210">
        <v>1.5100000000000001E-2</v>
      </c>
      <c r="I12380" s="160" t="s">
        <v>59</v>
      </c>
      <c r="J12380" s="160">
        <v>5.1999999999999995E-4</v>
      </c>
      <c r="K12380" s="160" t="s">
        <v>24</v>
      </c>
      <c r="L12380" s="154" t="str">
        <f>IF(OpenLCAbasic!K12380="CTUh", "Fill in Manually",IF(OR(K12380="Unit", K12380=""), "", INDEX(LookUps!$E$5:$E$12, MATCH(OpenLCAbasic!K12380,LookUps!$D$5:$D$12,0))))</f>
        <v>Acidification Potential (AP) - kg SO2 eq</v>
      </c>
      <c r="M12380" s="154" t="str">
        <f t="shared" si="1081"/>
        <v>Base_High_Low_Upgraded_Acidification Potential (AP) - kg SO2 eq_Blend Tank; wastewater treatment unit; at updated plant - US_Without Amendment_Aerated Static Pile</v>
      </c>
    </row>
    <row r="12381" spans="1:13" s="120" customFormat="1" x14ac:dyDescent="0.25">
      <c r="A12381" s="119"/>
      <c r="B12381" s="138" t="str">
        <f t="shared" si="1077"/>
        <v>Aerated Static Pile</v>
      </c>
      <c r="C12381" s="138" t="str">
        <f t="shared" si="1078"/>
        <v>Without Amendment</v>
      </c>
      <c r="D12381" s="138" t="str">
        <f t="shared" si="1083"/>
        <v>High_Low</v>
      </c>
      <c r="E12381" s="138" t="str">
        <f t="shared" si="1079"/>
        <v>Base</v>
      </c>
      <c r="F12381" s="138" t="str">
        <f t="shared" si="1080"/>
        <v>Upgraded</v>
      </c>
      <c r="G12381" s="153"/>
      <c r="H12381" s="210">
        <v>1.0200000000000001E-2</v>
      </c>
      <c r="I12381" s="160" t="s">
        <v>48</v>
      </c>
      <c r="J12381" s="160">
        <v>3.5E-4</v>
      </c>
      <c r="K12381" s="160" t="s">
        <v>24</v>
      </c>
      <c r="L12381" s="154" t="str">
        <f>IF(OpenLCAbasic!K12381="CTUh", "Fill in Manually",IF(OR(K12381="Unit", K12381=""), "", INDEX(LookUps!$E$5:$E$12, MATCH(OpenLCAbasic!K12381,LookUps!$D$5:$D$12,0))))</f>
        <v>Acidification Potential (AP) - kg SO2 eq</v>
      </c>
      <c r="M12381" s="154" t="str">
        <f t="shared" si="1081"/>
        <v>Base_High_Low_Upgraded_Acidification Potential (AP) - kg SO2 eq_Effluent release; wastewater treatment unit; at surface water; m3 wastewater - US_Without Amendment_Aerated Static Pile</v>
      </c>
    </row>
    <row r="12382" spans="1:13" s="120" customFormat="1" x14ac:dyDescent="0.25">
      <c r="A12382" s="119"/>
      <c r="B12382" s="138" t="str">
        <f t="shared" si="1077"/>
        <v>Aerated Static Pile</v>
      </c>
      <c r="C12382" s="138" t="str">
        <f t="shared" si="1078"/>
        <v>Without Amendment</v>
      </c>
      <c r="D12382" s="138" t="str">
        <f t="shared" si="1083"/>
        <v>High_Low</v>
      </c>
      <c r="E12382" s="138" t="str">
        <f t="shared" si="1079"/>
        <v>Base</v>
      </c>
      <c r="F12382" s="138" t="str">
        <f t="shared" si="1080"/>
        <v>Upgraded</v>
      </c>
      <c r="G12382" s="153"/>
      <c r="H12382" s="210">
        <v>7.4999999999999997E-3</v>
      </c>
      <c r="I12382" s="160" t="s">
        <v>168</v>
      </c>
      <c r="J12382" s="160">
        <v>2.5999999999999998E-4</v>
      </c>
      <c r="K12382" s="160" t="s">
        <v>24</v>
      </c>
      <c r="L12382" s="154" t="str">
        <f>IF(OpenLCAbasic!K12382="CTUh", "Fill in Manually",IF(OR(K12382="Unit", K12382=""), "", INDEX(LookUps!$E$5:$E$12, MATCH(OpenLCAbasic!K12382,LookUps!$D$5:$D$12,0))))</f>
        <v>Acidification Potential (AP) - kg SO2 eq</v>
      </c>
      <c r="M12382" s="154" t="str">
        <f t="shared" si="1081"/>
        <v>Base_High_Low_Upgraded_Acidification Potential (AP) - kg SO2 eq_ClearCove SCP; wastewater treatment unit; at updated plant - US_Without Amendment_Aerated Static Pile</v>
      </c>
    </row>
    <row r="12383" spans="1:13" s="120" customFormat="1" x14ac:dyDescent="0.25">
      <c r="A12383" s="119"/>
      <c r="B12383" s="138" t="str">
        <f t="shared" si="1077"/>
        <v>Aerated Static Pile</v>
      </c>
      <c r="C12383" s="138" t="str">
        <f t="shared" si="1078"/>
        <v>Without Amendment</v>
      </c>
      <c r="D12383" s="138" t="str">
        <f t="shared" si="1083"/>
        <v>High_Low</v>
      </c>
      <c r="E12383" s="138" t="str">
        <f t="shared" si="1079"/>
        <v>Base</v>
      </c>
      <c r="F12383" s="138" t="str">
        <f t="shared" si="1080"/>
        <v>Upgraded</v>
      </c>
      <c r="G12383" s="153"/>
      <c r="H12383" s="210">
        <v>1.1999999999999999E-3</v>
      </c>
      <c r="I12383" s="160" t="s">
        <v>148</v>
      </c>
      <c r="J12383" s="211">
        <v>4.0354700000000002E-5</v>
      </c>
      <c r="K12383" s="160" t="s">
        <v>24</v>
      </c>
      <c r="L12383" s="154" t="str">
        <f>IF(OpenLCAbasic!K12383="CTUh", "Fill in Manually",IF(OR(K12383="Unit", K12383=""), "", INDEX(LookUps!$E$5:$E$12, MATCH(OpenLCAbasic!K12383,LookUps!$D$5:$D$12,0))))</f>
        <v>Acidification Potential (AP) - kg SO2 eq</v>
      </c>
      <c r="M12383" s="154" t="str">
        <f t="shared" si="1081"/>
        <v>Base_High_Low_Upgraded_Acidification Potential (AP) - kg SO2 eq_Control Building; at upgraded wastewater treatment plant - US_Without Amendment_Aerated Static Pile</v>
      </c>
    </row>
    <row r="12384" spans="1:13" s="120" customFormat="1" x14ac:dyDescent="0.25">
      <c r="A12384" s="119"/>
      <c r="B12384" s="138" t="str">
        <f t="shared" si="1077"/>
        <v>Aerated Static Pile</v>
      </c>
      <c r="C12384" s="138" t="str">
        <f t="shared" si="1078"/>
        <v>Without Amendment</v>
      </c>
      <c r="D12384" s="138" t="str">
        <f t="shared" si="1083"/>
        <v>High_Low</v>
      </c>
      <c r="E12384" s="138" t="str">
        <f t="shared" si="1079"/>
        <v>Base</v>
      </c>
      <c r="F12384" s="138" t="str">
        <f t="shared" si="1080"/>
        <v>Upgraded</v>
      </c>
      <c r="G12384" s="153"/>
      <c r="H12384" s="210">
        <v>-0.38840000000000002</v>
      </c>
      <c r="I12384" s="160" t="s">
        <v>149</v>
      </c>
      <c r="J12384" s="160">
        <v>-1.325E-2</v>
      </c>
      <c r="K12384" s="160" t="s">
        <v>24</v>
      </c>
      <c r="L12384" s="154" t="str">
        <f>IF(OpenLCAbasic!K12384="CTUh", "Fill in Manually",IF(OR(K12384="Unit", K12384=""), "", INDEX(LookUps!$E$5:$E$12, MATCH(OpenLCAbasic!K12384,LookUps!$D$5:$D$12,0))))</f>
        <v>Acidification Potential (AP) - kg SO2 eq</v>
      </c>
      <c r="M12384" s="154" t="str">
        <f t="shared" si="1081"/>
        <v>Base_High_Low_Upgraded_Acidification Potential (AP) - kg SO2 eq_Anaerobic Digestion; wastewater treatment unit; at updated plant - US_Without Amendment_Aerated Static Pile</v>
      </c>
    </row>
    <row r="12385" spans="1:13" s="120" customFormat="1" x14ac:dyDescent="0.25">
      <c r="A12385" s="119"/>
      <c r="B12385" s="138" t="str">
        <f t="shared" si="1077"/>
        <v/>
      </c>
      <c r="C12385" s="138" t="str">
        <f t="shared" si="1078"/>
        <v/>
      </c>
      <c r="D12385" s="138" t="str">
        <f t="shared" si="1083"/>
        <v/>
      </c>
      <c r="E12385" s="138" t="str">
        <f t="shared" si="1079"/>
        <v/>
      </c>
      <c r="F12385" s="138" t="str">
        <f t="shared" si="1080"/>
        <v/>
      </c>
      <c r="G12385" s="153" t="s">
        <v>51</v>
      </c>
      <c r="H12385" s="160"/>
      <c r="I12385" s="160" t="s">
        <v>47</v>
      </c>
      <c r="J12385" s="160" t="s">
        <v>52</v>
      </c>
      <c r="K12385" s="160" t="s">
        <v>27</v>
      </c>
      <c r="L12385" s="154" t="str">
        <f>IF(OpenLCAbasic!K12385="CTUh", "Fill in Manually",IF(OR(K12385="Unit", K12385=""), "", INDEX(LookUps!$E$5:$E$12, MATCH(OpenLCAbasic!K12385,LookUps!$D$5:$D$12,0))))</f>
        <v/>
      </c>
      <c r="M12385" s="154" t="str">
        <f t="shared" si="1081"/>
        <v>____Process__</v>
      </c>
    </row>
    <row r="12386" spans="1:13" s="120" customFormat="1" x14ac:dyDescent="0.25">
      <c r="A12386" s="119"/>
      <c r="B12386" s="138" t="str">
        <f t="shared" si="1077"/>
        <v>Aerated Static Pile</v>
      </c>
      <c r="C12386" s="138" t="str">
        <f t="shared" si="1078"/>
        <v>Without Amendment</v>
      </c>
      <c r="D12386" s="138" t="str">
        <f t="shared" si="1083"/>
        <v>High_Low</v>
      </c>
      <c r="E12386" s="138" t="str">
        <f t="shared" si="1079"/>
        <v>Base</v>
      </c>
      <c r="F12386" s="138" t="str">
        <f t="shared" si="1080"/>
        <v>Upgraded</v>
      </c>
      <c r="G12386" s="153"/>
      <c r="H12386" s="210">
        <v>0.5524</v>
      </c>
      <c r="I12386" s="160" t="s">
        <v>167</v>
      </c>
      <c r="J12386" s="160">
        <v>5.1393399999999998</v>
      </c>
      <c r="K12386" s="160" t="s">
        <v>15</v>
      </c>
      <c r="L12386" s="154" t="str">
        <f>IF(OpenLCAbasic!K12386="CTUh", "Fill in Manually",IF(OR(K12386="Unit", K12386=""), "", INDEX(LookUps!$E$5:$E$12, MATCH(OpenLCAbasic!K12386,LookUps!$D$5:$D$12,0))))</f>
        <v>Cumulative Energy Demand (CED) - MJ</v>
      </c>
      <c r="M12386" s="154" t="str">
        <f t="shared" si="1081"/>
        <v>Base_High_Low_Upgraded_Cumulative Energy Demand (CED) - MJ_Waste Receiving and Holding; wastewater treatment unit; at updated plant - US_Without Amendment_Aerated Static Pile</v>
      </c>
    </row>
    <row r="12387" spans="1:13" s="120" customFormat="1" x14ac:dyDescent="0.25">
      <c r="A12387" s="119"/>
      <c r="B12387" s="138" t="str">
        <f t="shared" si="1077"/>
        <v>Aerated Static Pile</v>
      </c>
      <c r="C12387" s="138" t="str">
        <f t="shared" si="1078"/>
        <v>Without Amendment</v>
      </c>
      <c r="D12387" s="138" t="str">
        <f t="shared" si="1083"/>
        <v>High_Low</v>
      </c>
      <c r="E12387" s="138" t="str">
        <f t="shared" si="1079"/>
        <v>Base</v>
      </c>
      <c r="F12387" s="138" t="str">
        <f t="shared" si="1080"/>
        <v>Upgraded</v>
      </c>
      <c r="G12387" s="153"/>
      <c r="H12387" s="210">
        <v>0.37980000000000003</v>
      </c>
      <c r="I12387" s="160" t="s">
        <v>55</v>
      </c>
      <c r="J12387" s="160">
        <v>3.5330499999999998</v>
      </c>
      <c r="K12387" s="160" t="s">
        <v>15</v>
      </c>
      <c r="L12387" s="154" t="str">
        <f>IF(OpenLCAbasic!K12387="CTUh", "Fill in Manually",IF(OR(K12387="Unit", K12387=""), "", INDEX(LookUps!$E$5:$E$12, MATCH(OpenLCAbasic!K12387,LookUps!$D$5:$D$12,0))))</f>
        <v>Cumulative Energy Demand (CED) - MJ</v>
      </c>
      <c r="M12387" s="154" t="str">
        <f t="shared" si="1081"/>
        <v>Base_High_Low_Upgraded_Cumulative Energy Demand (CED) - MJ_Aeration Tanks; wastewater treatment unit; at updated plant - US_Without Amendment_Aerated Static Pile</v>
      </c>
    </row>
    <row r="12388" spans="1:13" s="120" customFormat="1" x14ac:dyDescent="0.25">
      <c r="A12388" s="119"/>
      <c r="B12388" s="138" t="str">
        <f t="shared" si="1077"/>
        <v>Aerated Static Pile</v>
      </c>
      <c r="C12388" s="138" t="str">
        <f t="shared" si="1078"/>
        <v>Without Amendment</v>
      </c>
      <c r="D12388" s="138" t="str">
        <f t="shared" si="1083"/>
        <v>High_Low</v>
      </c>
      <c r="E12388" s="138" t="str">
        <f t="shared" si="1079"/>
        <v>Base</v>
      </c>
      <c r="F12388" s="138" t="str">
        <f t="shared" si="1080"/>
        <v>Upgraded</v>
      </c>
      <c r="G12388" s="153"/>
      <c r="H12388" s="210">
        <v>0.125</v>
      </c>
      <c r="I12388" s="160" t="s">
        <v>54</v>
      </c>
      <c r="J12388" s="160">
        <v>1.16289</v>
      </c>
      <c r="K12388" s="160" t="s">
        <v>15</v>
      </c>
      <c r="L12388" s="154" t="str">
        <f>IF(OpenLCAbasic!K12388="CTUh", "Fill in Manually",IF(OR(K12388="Unit", K12388=""), "", INDEX(LookUps!$E$5:$E$12, MATCH(OpenLCAbasic!K12388,LookUps!$D$5:$D$12,0))))</f>
        <v>Cumulative Energy Demand (CED) - MJ</v>
      </c>
      <c r="M12388" s="154" t="str">
        <f t="shared" si="1081"/>
        <v>Base_High_Low_Upgraded_Cumulative Energy Demand (CED) - MJ_Clear Cove Primary Clarification; wastewater treatment unit; at updated plant - US_Without Amendment_Aerated Static Pile</v>
      </c>
    </row>
    <row r="12389" spans="1:13" s="120" customFormat="1" x14ac:dyDescent="0.25">
      <c r="A12389" s="119"/>
      <c r="B12389" s="138" t="str">
        <f t="shared" si="1077"/>
        <v>Aerated Static Pile</v>
      </c>
      <c r="C12389" s="138" t="str">
        <f t="shared" si="1078"/>
        <v>Without Amendment</v>
      </c>
      <c r="D12389" s="138" t="str">
        <f t="shared" si="1083"/>
        <v>High_Low</v>
      </c>
      <c r="E12389" s="138" t="str">
        <f t="shared" si="1079"/>
        <v>Base</v>
      </c>
      <c r="F12389" s="138" t="str">
        <f t="shared" si="1080"/>
        <v>Upgraded</v>
      </c>
      <c r="G12389" s="153"/>
      <c r="H12389" s="210">
        <v>9.5699999999999993E-2</v>
      </c>
      <c r="I12389" s="160" t="s">
        <v>58</v>
      </c>
      <c r="J12389" s="160">
        <v>0.89063999999999999</v>
      </c>
      <c r="K12389" s="160" t="s">
        <v>15</v>
      </c>
      <c r="L12389" s="154" t="str">
        <f>IF(OpenLCAbasic!K12389="CTUh", "Fill in Manually",IF(OR(K12389="Unit", K12389=""), "", INDEX(LookUps!$E$5:$E$12, MATCH(OpenLCAbasic!K12389,LookUps!$D$5:$D$12,0))))</f>
        <v>Cumulative Energy Demand (CED) - MJ</v>
      </c>
      <c r="M12389" s="154" t="str">
        <f t="shared" si="1081"/>
        <v>Base_High_Low_Upgraded_Cumulative Energy Demand (CED) - MJ_Pre-Anoxic &amp; Swing tank; wastewater treatment unit; at updated plant - US_Without Amendment_Aerated Static Pile</v>
      </c>
    </row>
    <row r="12390" spans="1:13" s="120" customFormat="1" x14ac:dyDescent="0.25">
      <c r="A12390" s="119"/>
      <c r="B12390" s="138" t="str">
        <f t="shared" si="1077"/>
        <v>Aerated Static Pile</v>
      </c>
      <c r="C12390" s="138" t="str">
        <f t="shared" si="1078"/>
        <v>Without Amendment</v>
      </c>
      <c r="D12390" s="138" t="str">
        <f t="shared" si="1083"/>
        <v>High_Low</v>
      </c>
      <c r="E12390" s="138" t="str">
        <f t="shared" si="1079"/>
        <v>Base</v>
      </c>
      <c r="F12390" s="138" t="str">
        <f t="shared" si="1080"/>
        <v>Upgraded</v>
      </c>
      <c r="G12390" s="153"/>
      <c r="H12390" s="210">
        <v>9.4899999999999998E-2</v>
      </c>
      <c r="I12390" s="160" t="s">
        <v>147</v>
      </c>
      <c r="J12390" s="160">
        <v>0.88297000000000003</v>
      </c>
      <c r="K12390" s="160" t="s">
        <v>15</v>
      </c>
      <c r="L12390" s="154" t="str">
        <f>IF(OpenLCAbasic!K12390="CTUh", "Fill in Manually",IF(OR(K12390="Unit", K12390=""), "", INDEX(LookUps!$E$5:$E$12, MATCH(OpenLCAbasic!K12390,LookUps!$D$5:$D$12,0))))</f>
        <v>Cumulative Energy Demand (CED) - MJ</v>
      </c>
      <c r="M12390" s="154" t="str">
        <f t="shared" si="1081"/>
        <v>Base_High_Low_Upgraded_Cumulative Energy Demand (CED) - MJ_Influent Pump Station; wastewater treatment unit; at updated plant - US_Without Amendment_Aerated Static Pile</v>
      </c>
    </row>
    <row r="12391" spans="1:13" s="120" customFormat="1" x14ac:dyDescent="0.25">
      <c r="A12391" s="119"/>
      <c r="B12391" s="138" t="str">
        <f t="shared" si="1077"/>
        <v>Aerated Static Pile</v>
      </c>
      <c r="C12391" s="138" t="str">
        <f t="shared" si="1078"/>
        <v>Without Amendment</v>
      </c>
      <c r="D12391" s="138" t="str">
        <f t="shared" si="1083"/>
        <v>High_Low</v>
      </c>
      <c r="E12391" s="138" t="str">
        <f t="shared" si="1079"/>
        <v>Base</v>
      </c>
      <c r="F12391" s="138" t="str">
        <f t="shared" si="1080"/>
        <v>Upgraded</v>
      </c>
      <c r="G12391" s="153"/>
      <c r="H12391" s="210">
        <v>8.14E-2</v>
      </c>
      <c r="I12391" s="160" t="s">
        <v>435</v>
      </c>
      <c r="J12391" s="160">
        <v>0.75741000000000003</v>
      </c>
      <c r="K12391" s="160" t="s">
        <v>15</v>
      </c>
      <c r="L12391" s="154" t="str">
        <f>IF(OpenLCAbasic!K12391="CTUh", "Fill in Manually",IF(OR(K12391="Unit", K12391=""), "", INDEX(LookUps!$E$5:$E$12, MATCH(OpenLCAbasic!K12391,LookUps!$D$5:$D$12,0))))</f>
        <v>Cumulative Energy Demand (CED) - MJ</v>
      </c>
      <c r="M12391" s="154" t="str">
        <f t="shared" si="1081"/>
        <v>Base_High_Low_Upgraded_Cumulative Energy Demand (CED) - MJ_Biosolids composting; aerated static pile; wastewater treatment unit; at updated plant - US_Without Amendment_Aerated Static Pile</v>
      </c>
    </row>
    <row r="12392" spans="1:13" s="120" customFormat="1" x14ac:dyDescent="0.25">
      <c r="A12392" s="119"/>
      <c r="B12392" s="138" t="str">
        <f t="shared" si="1077"/>
        <v>Aerated Static Pile</v>
      </c>
      <c r="C12392" s="138" t="str">
        <f t="shared" si="1078"/>
        <v>Without Amendment</v>
      </c>
      <c r="D12392" s="138" t="str">
        <f t="shared" si="1083"/>
        <v>High_Low</v>
      </c>
      <c r="E12392" s="138" t="str">
        <f t="shared" si="1079"/>
        <v>Base</v>
      </c>
      <c r="F12392" s="138" t="str">
        <f t="shared" si="1080"/>
        <v>Upgraded</v>
      </c>
      <c r="G12392" s="153"/>
      <c r="H12392" s="210">
        <v>7.4899999999999994E-2</v>
      </c>
      <c r="I12392" s="160" t="s">
        <v>53</v>
      </c>
      <c r="J12392" s="160">
        <v>0.69645000000000001</v>
      </c>
      <c r="K12392" s="160" t="s">
        <v>15</v>
      </c>
      <c r="L12392" s="154" t="str">
        <f>IF(OpenLCAbasic!K12392="CTUh", "Fill in Manually",IF(OR(K12392="Unit", K12392=""), "", INDEX(LookUps!$E$5:$E$12, MATCH(OpenLCAbasic!K12392,LookUps!$D$5:$D$12,0))))</f>
        <v>Cumulative Energy Demand (CED) - MJ</v>
      </c>
      <c r="M12392" s="154" t="str">
        <f t="shared" si="1081"/>
        <v>Base_High_Low_Upgraded_Cumulative Energy Demand (CED) - MJ_Wet Well and Sump Station; wastewater treatment unit; at updated plant - US_Without Amendment_Aerated Static Pile</v>
      </c>
    </row>
    <row r="12393" spans="1:13" s="120" customFormat="1" x14ac:dyDescent="0.25">
      <c r="A12393" s="119"/>
      <c r="B12393" s="138" t="str">
        <f t="shared" ref="B12393:B12456" si="1084">IF(F12393="Legacy","n.a.",IF(F12393="","","Aerated Static Pile"))</f>
        <v>Aerated Static Pile</v>
      </c>
      <c r="C12393" s="138" t="str">
        <f t="shared" ref="C12393:C12456" si="1085">IF(ISNUMBER($J12393),"Without Amendment","")</f>
        <v>Without Amendment</v>
      </c>
      <c r="D12393" s="138" t="str">
        <f t="shared" si="1083"/>
        <v>High_Low</v>
      </c>
      <c r="E12393" s="138" t="str">
        <f t="shared" ref="E12393:E12456" si="1086">IF(ISNUMBER($J12393),"Base","")</f>
        <v>Base</v>
      </c>
      <c r="F12393" s="138" t="str">
        <f t="shared" ref="F12393:F12456" si="1087">IF(ISNUMBER(J12393),"Upgraded","")</f>
        <v>Upgraded</v>
      </c>
      <c r="G12393" s="153"/>
      <c r="H12393" s="210">
        <v>6.7500000000000004E-2</v>
      </c>
      <c r="I12393" s="160" t="s">
        <v>60</v>
      </c>
      <c r="J12393" s="160">
        <v>0.62775999999999998</v>
      </c>
      <c r="K12393" s="160" t="s">
        <v>15</v>
      </c>
      <c r="L12393" s="154" t="str">
        <f>IF(OpenLCAbasic!K12393="CTUh", "Fill in Manually",IF(OR(K12393="Unit", K12393=""), "", INDEX(LookUps!$E$5:$E$12, MATCH(OpenLCAbasic!K12393,LookUps!$D$5:$D$12,0))))</f>
        <v>Cumulative Energy Demand (CED) - MJ</v>
      </c>
      <c r="M12393" s="154" t="str">
        <f t="shared" si="1081"/>
        <v>Base_High_Low_Upgraded_Cumulative Energy Demand (CED) - MJ_Belt filter press; wastewater treatment unit; at updated plant - US_Without Amendment_Aerated Static Pile</v>
      </c>
    </row>
    <row r="12394" spans="1:13" s="120" customFormat="1" x14ac:dyDescent="0.25">
      <c r="A12394" s="119"/>
      <c r="B12394" s="138" t="str">
        <f t="shared" si="1084"/>
        <v>Aerated Static Pile</v>
      </c>
      <c r="C12394" s="138" t="str">
        <f t="shared" si="1085"/>
        <v>Without Amendment</v>
      </c>
      <c r="D12394" s="138" t="str">
        <f t="shared" si="1083"/>
        <v>High_Low</v>
      </c>
      <c r="E12394" s="138" t="str">
        <f t="shared" si="1086"/>
        <v>Base</v>
      </c>
      <c r="F12394" s="138" t="str">
        <f t="shared" si="1087"/>
        <v>Upgraded</v>
      </c>
      <c r="G12394" s="153"/>
      <c r="H12394" s="210">
        <v>3.5900000000000001E-2</v>
      </c>
      <c r="I12394" s="160" t="s">
        <v>57</v>
      </c>
      <c r="J12394" s="160">
        <v>0.33404</v>
      </c>
      <c r="K12394" s="160" t="s">
        <v>15</v>
      </c>
      <c r="L12394" s="154" t="str">
        <f>IF(OpenLCAbasic!K12394="CTUh", "Fill in Manually",IF(OR(K12394="Unit", K12394=""), "", INDEX(LookUps!$E$5:$E$12, MATCH(OpenLCAbasic!K12394,LookUps!$D$5:$D$12,0))))</f>
        <v>Cumulative Energy Demand (CED) - MJ</v>
      </c>
      <c r="M12394" s="154" t="str">
        <f t="shared" si="1081"/>
        <v>Base_High_Low_Upgraded_Cumulative Energy Demand (CED) - MJ_Gravity Belt Thickener; wastewater treatment unit; at updated plant - US_Without Amendment_Aerated Static Pile</v>
      </c>
    </row>
    <row r="12395" spans="1:13" s="120" customFormat="1" x14ac:dyDescent="0.25">
      <c r="A12395" s="119"/>
      <c r="B12395" s="138" t="str">
        <f t="shared" si="1084"/>
        <v>Aerated Static Pile</v>
      </c>
      <c r="C12395" s="138" t="str">
        <f t="shared" si="1085"/>
        <v>Without Amendment</v>
      </c>
      <c r="D12395" s="138" t="str">
        <f t="shared" si="1083"/>
        <v>High_Low</v>
      </c>
      <c r="E12395" s="138" t="str">
        <f t="shared" si="1086"/>
        <v>Base</v>
      </c>
      <c r="F12395" s="138" t="str">
        <f t="shared" si="1087"/>
        <v>Upgraded</v>
      </c>
      <c r="G12395" s="153"/>
      <c r="H12395" s="210">
        <v>2.75E-2</v>
      </c>
      <c r="I12395" s="160" t="s">
        <v>128</v>
      </c>
      <c r="J12395" s="160">
        <v>0.25606000000000001</v>
      </c>
      <c r="K12395" s="160" t="s">
        <v>15</v>
      </c>
      <c r="L12395" s="154" t="str">
        <f>IF(OpenLCAbasic!K12395="CTUh", "Fill in Manually",IF(OR(K12395="Unit", K12395=""), "", INDEX(LookUps!$E$5:$E$12, MATCH(OpenLCAbasic!K12395,LookUps!$D$5:$D$12,0))))</f>
        <v>Cumulative Energy Demand (CED) - MJ</v>
      </c>
      <c r="M12395" s="154" t="str">
        <f t="shared" si="1081"/>
        <v>Base_High_Low_Upgraded_Cumulative Energy Demand (CED) - MJ_Wastewater collection; operation and infrastructure; m3 wastewater_Without Amendment_Aerated Static Pile</v>
      </c>
    </row>
    <row r="12396" spans="1:13" s="120" customFormat="1" x14ac:dyDescent="0.25">
      <c r="A12396" s="119"/>
      <c r="B12396" s="138" t="str">
        <f t="shared" si="1084"/>
        <v>Aerated Static Pile</v>
      </c>
      <c r="C12396" s="138" t="str">
        <f t="shared" si="1085"/>
        <v>Without Amendment</v>
      </c>
      <c r="D12396" s="138" t="str">
        <f t="shared" si="1083"/>
        <v>High_Low</v>
      </c>
      <c r="E12396" s="138" t="str">
        <f t="shared" si="1086"/>
        <v>Base</v>
      </c>
      <c r="F12396" s="138" t="str">
        <f t="shared" si="1087"/>
        <v>Upgraded</v>
      </c>
      <c r="G12396" s="153"/>
      <c r="H12396" s="210">
        <v>1.5699999999999999E-2</v>
      </c>
      <c r="I12396" s="160" t="s">
        <v>148</v>
      </c>
      <c r="J12396" s="160">
        <v>0.14599000000000001</v>
      </c>
      <c r="K12396" s="160" t="s">
        <v>15</v>
      </c>
      <c r="L12396" s="154" t="str">
        <f>IF(OpenLCAbasic!K12396="CTUh", "Fill in Manually",IF(OR(K12396="Unit", K12396=""), "", INDEX(LookUps!$E$5:$E$12, MATCH(OpenLCAbasic!K12396,LookUps!$D$5:$D$12,0))))</f>
        <v>Cumulative Energy Demand (CED) - MJ</v>
      </c>
      <c r="M12396" s="154" t="str">
        <f t="shared" si="1081"/>
        <v>Base_High_Low_Upgraded_Cumulative Energy Demand (CED) - MJ_Control Building; at upgraded wastewater treatment plant - US_Without Amendment_Aerated Static Pile</v>
      </c>
    </row>
    <row r="12397" spans="1:13" s="120" customFormat="1" x14ac:dyDescent="0.25">
      <c r="A12397" s="119"/>
      <c r="B12397" s="138" t="str">
        <f t="shared" si="1084"/>
        <v>Aerated Static Pile</v>
      </c>
      <c r="C12397" s="138" t="str">
        <f t="shared" si="1085"/>
        <v>Without Amendment</v>
      </c>
      <c r="D12397" s="138" t="str">
        <f t="shared" si="1083"/>
        <v>High_Low</v>
      </c>
      <c r="E12397" s="138" t="str">
        <f t="shared" si="1086"/>
        <v>Base</v>
      </c>
      <c r="F12397" s="138" t="str">
        <f t="shared" si="1087"/>
        <v>Upgraded</v>
      </c>
      <c r="G12397" s="153"/>
      <c r="H12397" s="210">
        <v>1.43E-2</v>
      </c>
      <c r="I12397" s="160" t="s">
        <v>48</v>
      </c>
      <c r="J12397" s="160">
        <v>0.13321</v>
      </c>
      <c r="K12397" s="160" t="s">
        <v>15</v>
      </c>
      <c r="L12397" s="154" t="str">
        <f>IF(OpenLCAbasic!K12397="CTUh", "Fill in Manually",IF(OR(K12397="Unit", K12397=""), "", INDEX(LookUps!$E$5:$E$12, MATCH(OpenLCAbasic!K12397,LookUps!$D$5:$D$12,0))))</f>
        <v>Cumulative Energy Demand (CED) - MJ</v>
      </c>
      <c r="M12397" s="154" t="str">
        <f t="shared" si="1081"/>
        <v>Base_High_Low_Upgraded_Cumulative Energy Demand (CED) - MJ_Effluent release; wastewater treatment unit; at surface water; m3 wastewater - US_Without Amendment_Aerated Static Pile</v>
      </c>
    </row>
    <row r="12398" spans="1:13" s="120" customFormat="1" x14ac:dyDescent="0.25">
      <c r="A12398" s="119"/>
      <c r="B12398" s="138" t="str">
        <f t="shared" si="1084"/>
        <v>Aerated Static Pile</v>
      </c>
      <c r="C12398" s="138" t="str">
        <f t="shared" si="1085"/>
        <v>Without Amendment</v>
      </c>
      <c r="D12398" s="138" t="str">
        <f t="shared" si="1083"/>
        <v>High_Low</v>
      </c>
      <c r="E12398" s="138" t="str">
        <f t="shared" si="1086"/>
        <v>Base</v>
      </c>
      <c r="F12398" s="138" t="str">
        <f t="shared" si="1087"/>
        <v>Upgraded</v>
      </c>
      <c r="G12398" s="153"/>
      <c r="H12398" s="210">
        <v>1.14E-2</v>
      </c>
      <c r="I12398" s="160" t="s">
        <v>59</v>
      </c>
      <c r="J12398" s="160">
        <v>0.10638</v>
      </c>
      <c r="K12398" s="160" t="s">
        <v>15</v>
      </c>
      <c r="L12398" s="154" t="str">
        <f>IF(OpenLCAbasic!K12398="CTUh", "Fill in Manually",IF(OR(K12398="Unit", K12398=""), "", INDEX(LookUps!$E$5:$E$12, MATCH(OpenLCAbasic!K12398,LookUps!$D$5:$D$12,0))))</f>
        <v>Cumulative Energy Demand (CED) - MJ</v>
      </c>
      <c r="M12398" s="154" t="str">
        <f t="shared" si="1081"/>
        <v>Base_High_Low_Upgraded_Cumulative Energy Demand (CED) - MJ_Blend Tank; wastewater treatment unit; at updated plant - US_Without Amendment_Aerated Static Pile</v>
      </c>
    </row>
    <row r="12399" spans="1:13" s="120" customFormat="1" x14ac:dyDescent="0.25">
      <c r="A12399" s="119"/>
      <c r="B12399" s="138" t="str">
        <f t="shared" si="1084"/>
        <v>Aerated Static Pile</v>
      </c>
      <c r="C12399" s="138" t="str">
        <f t="shared" si="1085"/>
        <v>Without Amendment</v>
      </c>
      <c r="D12399" s="138" t="str">
        <f t="shared" si="1083"/>
        <v>High_Low</v>
      </c>
      <c r="E12399" s="138" t="str">
        <f t="shared" si="1086"/>
        <v>Base</v>
      </c>
      <c r="F12399" s="138" t="str">
        <f t="shared" si="1087"/>
        <v>Upgraded</v>
      </c>
      <c r="G12399" s="153"/>
      <c r="H12399" s="210">
        <v>5.4999999999999997E-3</v>
      </c>
      <c r="I12399" s="160" t="s">
        <v>168</v>
      </c>
      <c r="J12399" s="160">
        <v>5.0930000000000003E-2</v>
      </c>
      <c r="K12399" s="160" t="s">
        <v>15</v>
      </c>
      <c r="L12399" s="154" t="str">
        <f>IF(OpenLCAbasic!K12399="CTUh", "Fill in Manually",IF(OR(K12399="Unit", K12399=""), "", INDEX(LookUps!$E$5:$E$12, MATCH(OpenLCAbasic!K12399,LookUps!$D$5:$D$12,0))))</f>
        <v>Cumulative Energy Demand (CED) - MJ</v>
      </c>
      <c r="M12399" s="154" t="str">
        <f t="shared" si="1081"/>
        <v>Base_High_Low_Upgraded_Cumulative Energy Demand (CED) - MJ_ClearCove SCP; wastewater treatment unit; at updated plant - US_Without Amendment_Aerated Static Pile</v>
      </c>
    </row>
    <row r="12400" spans="1:13" s="120" customFormat="1" x14ac:dyDescent="0.25">
      <c r="A12400" s="119"/>
      <c r="B12400" s="138" t="str">
        <f t="shared" si="1084"/>
        <v>Aerated Static Pile</v>
      </c>
      <c r="C12400" s="138" t="str">
        <f t="shared" si="1085"/>
        <v>Without Amendment</v>
      </c>
      <c r="D12400" s="138" t="str">
        <f t="shared" si="1083"/>
        <v>High_Low</v>
      </c>
      <c r="E12400" s="138" t="str">
        <f t="shared" si="1086"/>
        <v>Base</v>
      </c>
      <c r="F12400" s="138" t="str">
        <f t="shared" si="1087"/>
        <v>Upgraded</v>
      </c>
      <c r="G12400" s="153"/>
      <c r="H12400" s="210">
        <v>-6.6199999999999995E-2</v>
      </c>
      <c r="I12400" s="160" t="s">
        <v>62</v>
      </c>
      <c r="J12400" s="160">
        <v>-0.61633000000000004</v>
      </c>
      <c r="K12400" s="160" t="s">
        <v>15</v>
      </c>
      <c r="L12400" s="154" t="str">
        <f>IF(OpenLCAbasic!K12400="CTUh", "Fill in Manually",IF(OR(K12400="Unit", K12400=""), "", INDEX(LookUps!$E$5:$E$12, MATCH(OpenLCAbasic!K12400,LookUps!$D$5:$D$12,0))))</f>
        <v>Cumulative Energy Demand (CED) - MJ</v>
      </c>
      <c r="M12400" s="154" t="str">
        <f t="shared" si="1081"/>
        <v>Base_High_Low_Upgraded_Cumulative Energy Demand (CED) - MJ_Land application of compost; wastewater treatment unit; at updated plant - US_Without Amendment_Aerated Static Pile</v>
      </c>
    </row>
    <row r="12401" spans="1:13" s="120" customFormat="1" x14ac:dyDescent="0.25">
      <c r="A12401" s="119"/>
      <c r="B12401" s="138" t="str">
        <f t="shared" si="1084"/>
        <v>Aerated Static Pile</v>
      </c>
      <c r="C12401" s="138" t="str">
        <f t="shared" si="1085"/>
        <v>Without Amendment</v>
      </c>
      <c r="D12401" s="138" t="str">
        <f t="shared" si="1083"/>
        <v>High_Low</v>
      </c>
      <c r="E12401" s="138" t="str">
        <f t="shared" si="1086"/>
        <v>Base</v>
      </c>
      <c r="F12401" s="138" t="str">
        <f t="shared" si="1087"/>
        <v>Upgraded</v>
      </c>
      <c r="G12401" s="153"/>
      <c r="H12401" s="210">
        <v>-0.51570000000000005</v>
      </c>
      <c r="I12401" s="160" t="s">
        <v>149</v>
      </c>
      <c r="J12401" s="160">
        <v>-4.7974600000000001</v>
      </c>
      <c r="K12401" s="160" t="s">
        <v>15</v>
      </c>
      <c r="L12401" s="154" t="str">
        <f>IF(OpenLCAbasic!K12401="CTUh", "Fill in Manually",IF(OR(K12401="Unit", K12401=""), "", INDEX(LookUps!$E$5:$E$12, MATCH(OpenLCAbasic!K12401,LookUps!$D$5:$D$12,0))))</f>
        <v>Cumulative Energy Demand (CED) - MJ</v>
      </c>
      <c r="M12401" s="154" t="str">
        <f t="shared" si="1081"/>
        <v>Base_High_Low_Upgraded_Cumulative Energy Demand (CED) - MJ_Anaerobic Digestion; wastewater treatment unit; at updated plant - US_Without Amendment_Aerated Static Pile</v>
      </c>
    </row>
    <row r="12402" spans="1:13" s="120" customFormat="1" x14ac:dyDescent="0.25">
      <c r="A12402" s="119"/>
      <c r="B12402" s="138" t="str">
        <f t="shared" si="1084"/>
        <v/>
      </c>
      <c r="C12402" s="138" t="str">
        <f t="shared" si="1085"/>
        <v/>
      </c>
      <c r="D12402" s="138" t="str">
        <f t="shared" si="1083"/>
        <v/>
      </c>
      <c r="E12402" s="138" t="str">
        <f t="shared" si="1086"/>
        <v/>
      </c>
      <c r="F12402" s="138" t="str">
        <f t="shared" si="1087"/>
        <v/>
      </c>
      <c r="G12402" s="153" t="s">
        <v>51</v>
      </c>
      <c r="H12402" s="160"/>
      <c r="I12402" s="160" t="s">
        <v>47</v>
      </c>
      <c r="J12402" s="160" t="s">
        <v>52</v>
      </c>
      <c r="K12402" s="160" t="s">
        <v>27</v>
      </c>
      <c r="L12402" s="154" t="str">
        <f>IF(OpenLCAbasic!K12402="CTUh", "Fill in Manually",IF(OR(K12402="Unit", K12402=""), "", INDEX(LookUps!$E$5:$E$12, MATCH(OpenLCAbasic!K12402,LookUps!$D$5:$D$12,0))))</f>
        <v/>
      </c>
      <c r="M12402" s="154" t="str">
        <f t="shared" si="1081"/>
        <v>____Process__</v>
      </c>
    </row>
    <row r="12403" spans="1:13" s="120" customFormat="1" x14ac:dyDescent="0.25">
      <c r="A12403" s="119"/>
      <c r="B12403" s="138" t="str">
        <f t="shared" si="1084"/>
        <v>Aerated Static Pile</v>
      </c>
      <c r="C12403" s="138" t="str">
        <f t="shared" si="1085"/>
        <v>Without Amendment</v>
      </c>
      <c r="D12403" s="138" t="str">
        <f t="shared" si="1083"/>
        <v>High_Low</v>
      </c>
      <c r="E12403" s="138" t="str">
        <f t="shared" si="1086"/>
        <v>Base</v>
      </c>
      <c r="F12403" s="138" t="str">
        <f t="shared" si="1087"/>
        <v>Upgraded</v>
      </c>
      <c r="G12403" s="153"/>
      <c r="H12403" s="210">
        <v>0.73150000000000004</v>
      </c>
      <c r="I12403" s="160" t="s">
        <v>48</v>
      </c>
      <c r="J12403" s="160">
        <v>1.1610000000000001E-2</v>
      </c>
      <c r="K12403" s="160" t="s">
        <v>13</v>
      </c>
      <c r="L12403" s="154" t="str">
        <f>IF(OpenLCAbasic!K12403="CTUh", "Fill in Manually",IF(OR(K12403="Unit", K12403=""), "", INDEX(LookUps!$E$5:$E$12, MATCH(OpenLCAbasic!K12403,LookUps!$D$5:$D$12,0))))</f>
        <v>Eutrophication Potential (EP) - kg N eq</v>
      </c>
      <c r="M12403" s="154" t="str">
        <f t="shared" si="1081"/>
        <v>Base_High_Low_Upgraded_Eutrophication Potential (EP) - kg N eq_Effluent release; wastewater treatment unit; at surface water; m3 wastewater - US_Without Amendment_Aerated Static Pile</v>
      </c>
    </row>
    <row r="12404" spans="1:13" s="120" customFormat="1" x14ac:dyDescent="0.25">
      <c r="A12404" s="119"/>
      <c r="B12404" s="138" t="str">
        <f t="shared" si="1084"/>
        <v>Aerated Static Pile</v>
      </c>
      <c r="C12404" s="138" t="str">
        <f t="shared" si="1085"/>
        <v>Without Amendment</v>
      </c>
      <c r="D12404" s="138" t="str">
        <f t="shared" si="1083"/>
        <v>High_Low</v>
      </c>
      <c r="E12404" s="138" t="str">
        <f t="shared" si="1086"/>
        <v>Base</v>
      </c>
      <c r="F12404" s="138" t="str">
        <f t="shared" si="1087"/>
        <v>Upgraded</v>
      </c>
      <c r="G12404" s="153"/>
      <c r="H12404" s="210">
        <v>0.17699999999999999</v>
      </c>
      <c r="I12404" s="160" t="s">
        <v>62</v>
      </c>
      <c r="J12404" s="160">
        <v>2.81E-3</v>
      </c>
      <c r="K12404" s="160" t="s">
        <v>13</v>
      </c>
      <c r="L12404" s="154" t="str">
        <f>IF(OpenLCAbasic!K12404="CTUh", "Fill in Manually",IF(OR(K12404="Unit", K12404=""), "", INDEX(LookUps!$E$5:$E$12, MATCH(OpenLCAbasic!K12404,LookUps!$D$5:$D$12,0))))</f>
        <v>Eutrophication Potential (EP) - kg N eq</v>
      </c>
      <c r="M12404" s="154" t="str">
        <f t="shared" si="1081"/>
        <v>Base_High_Low_Upgraded_Eutrophication Potential (EP) - kg N eq_Land application of compost; wastewater treatment unit; at updated plant - US_Without Amendment_Aerated Static Pile</v>
      </c>
    </row>
    <row r="12405" spans="1:13" s="120" customFormat="1" x14ac:dyDescent="0.25">
      <c r="A12405" s="119"/>
      <c r="B12405" s="138" t="str">
        <f t="shared" si="1084"/>
        <v>Aerated Static Pile</v>
      </c>
      <c r="C12405" s="138" t="str">
        <f t="shared" si="1085"/>
        <v>Without Amendment</v>
      </c>
      <c r="D12405" s="138" t="str">
        <f t="shared" si="1083"/>
        <v>High_Low</v>
      </c>
      <c r="E12405" s="138" t="str">
        <f t="shared" si="1086"/>
        <v>Base</v>
      </c>
      <c r="F12405" s="138" t="str">
        <f t="shared" si="1087"/>
        <v>Upgraded</v>
      </c>
      <c r="G12405" s="153"/>
      <c r="H12405" s="210">
        <v>3.44E-2</v>
      </c>
      <c r="I12405" s="160" t="s">
        <v>55</v>
      </c>
      <c r="J12405" s="160">
        <v>5.5000000000000003E-4</v>
      </c>
      <c r="K12405" s="160" t="s">
        <v>13</v>
      </c>
      <c r="L12405" s="154" t="str">
        <f>IF(OpenLCAbasic!K12405="CTUh", "Fill in Manually",IF(OR(K12405="Unit", K12405=""), "", INDEX(LookUps!$E$5:$E$12, MATCH(OpenLCAbasic!K12405,LookUps!$D$5:$D$12,0))))</f>
        <v>Eutrophication Potential (EP) - kg N eq</v>
      </c>
      <c r="M12405" s="154" t="str">
        <f t="shared" si="1081"/>
        <v>Base_High_Low_Upgraded_Eutrophication Potential (EP) - kg N eq_Aeration Tanks; wastewater treatment unit; at updated plant - US_Without Amendment_Aerated Static Pile</v>
      </c>
    </row>
    <row r="12406" spans="1:13" s="120" customFormat="1" x14ac:dyDescent="0.25">
      <c r="A12406" s="119"/>
      <c r="B12406" s="138" t="str">
        <f t="shared" si="1084"/>
        <v>Aerated Static Pile</v>
      </c>
      <c r="C12406" s="138" t="str">
        <f t="shared" si="1085"/>
        <v>Without Amendment</v>
      </c>
      <c r="D12406" s="138" t="str">
        <f t="shared" si="1083"/>
        <v>High_Low</v>
      </c>
      <c r="E12406" s="138" t="str">
        <f t="shared" si="1086"/>
        <v>Base</v>
      </c>
      <c r="F12406" s="138" t="str">
        <f t="shared" si="1087"/>
        <v>Upgraded</v>
      </c>
      <c r="G12406" s="153"/>
      <c r="H12406" s="210">
        <v>1.5699999999999999E-2</v>
      </c>
      <c r="I12406" s="160" t="s">
        <v>147</v>
      </c>
      <c r="J12406" s="160">
        <v>2.5000000000000001E-4</v>
      </c>
      <c r="K12406" s="160" t="s">
        <v>13</v>
      </c>
      <c r="L12406" s="154" t="str">
        <f>IF(OpenLCAbasic!K12406="CTUh", "Fill in Manually",IF(OR(K12406="Unit", K12406=""), "", INDEX(LookUps!$E$5:$E$12, MATCH(OpenLCAbasic!K12406,LookUps!$D$5:$D$12,0))))</f>
        <v>Eutrophication Potential (EP) - kg N eq</v>
      </c>
      <c r="M12406" s="154" t="str">
        <f t="shared" si="1081"/>
        <v>Base_High_Low_Upgraded_Eutrophication Potential (EP) - kg N eq_Influent Pump Station; wastewater treatment unit; at updated plant - US_Without Amendment_Aerated Static Pile</v>
      </c>
    </row>
    <row r="12407" spans="1:13" s="120" customFormat="1" x14ac:dyDescent="0.25">
      <c r="A12407" s="119"/>
      <c r="B12407" s="138" t="str">
        <f t="shared" si="1084"/>
        <v>Aerated Static Pile</v>
      </c>
      <c r="C12407" s="138" t="str">
        <f t="shared" si="1085"/>
        <v>Without Amendment</v>
      </c>
      <c r="D12407" s="138" t="str">
        <f t="shared" si="1083"/>
        <v>High_Low</v>
      </c>
      <c r="E12407" s="138" t="str">
        <f t="shared" si="1086"/>
        <v>Base</v>
      </c>
      <c r="F12407" s="138" t="str">
        <f t="shared" si="1087"/>
        <v>Upgraded</v>
      </c>
      <c r="G12407" s="153"/>
      <c r="H12407" s="210">
        <v>1.3899999999999999E-2</v>
      </c>
      <c r="I12407" s="160" t="s">
        <v>167</v>
      </c>
      <c r="J12407" s="160">
        <v>2.2000000000000001E-4</v>
      </c>
      <c r="K12407" s="160" t="s">
        <v>13</v>
      </c>
      <c r="L12407" s="154" t="str">
        <f>IF(OpenLCAbasic!K12407="CTUh", "Fill in Manually",IF(OR(K12407="Unit", K12407=""), "", INDEX(LookUps!$E$5:$E$12, MATCH(OpenLCAbasic!K12407,LookUps!$D$5:$D$12,0))))</f>
        <v>Eutrophication Potential (EP) - kg N eq</v>
      </c>
      <c r="M12407" s="154" t="str">
        <f t="shared" si="1081"/>
        <v>Base_High_Low_Upgraded_Eutrophication Potential (EP) - kg N eq_Waste Receiving and Holding; wastewater treatment unit; at updated plant - US_Without Amendment_Aerated Static Pile</v>
      </c>
    </row>
    <row r="12408" spans="1:13" s="120" customFormat="1" x14ac:dyDescent="0.25">
      <c r="A12408" s="119"/>
      <c r="B12408" s="138" t="str">
        <f t="shared" si="1084"/>
        <v>Aerated Static Pile</v>
      </c>
      <c r="C12408" s="138" t="str">
        <f t="shared" si="1085"/>
        <v>Without Amendment</v>
      </c>
      <c r="D12408" s="138" t="str">
        <f t="shared" si="1083"/>
        <v>High_Low</v>
      </c>
      <c r="E12408" s="138" t="str">
        <f t="shared" si="1086"/>
        <v>Base</v>
      </c>
      <c r="F12408" s="138" t="str">
        <f t="shared" si="1087"/>
        <v>Upgraded</v>
      </c>
      <c r="G12408" s="153"/>
      <c r="H12408" s="210">
        <v>1.2500000000000001E-2</v>
      </c>
      <c r="I12408" s="160" t="s">
        <v>54</v>
      </c>
      <c r="J12408" s="160">
        <v>2.0000000000000001E-4</v>
      </c>
      <c r="K12408" s="160" t="s">
        <v>13</v>
      </c>
      <c r="L12408" s="154" t="str">
        <f>IF(OpenLCAbasic!K12408="CTUh", "Fill in Manually",IF(OR(K12408="Unit", K12408=""), "", INDEX(LookUps!$E$5:$E$12, MATCH(OpenLCAbasic!K12408,LookUps!$D$5:$D$12,0))))</f>
        <v>Eutrophication Potential (EP) - kg N eq</v>
      </c>
      <c r="M12408" s="154" t="str">
        <f t="shared" si="1081"/>
        <v>Base_High_Low_Upgraded_Eutrophication Potential (EP) - kg N eq_Clear Cove Primary Clarification; wastewater treatment unit; at updated plant - US_Without Amendment_Aerated Static Pile</v>
      </c>
    </row>
    <row r="12409" spans="1:13" s="120" customFormat="1" x14ac:dyDescent="0.25">
      <c r="A12409" s="119"/>
      <c r="B12409" s="138" t="str">
        <f t="shared" si="1084"/>
        <v>Aerated Static Pile</v>
      </c>
      <c r="C12409" s="138" t="str">
        <f t="shared" si="1085"/>
        <v>Without Amendment</v>
      </c>
      <c r="D12409" s="138" t="str">
        <f t="shared" si="1083"/>
        <v>High_Low</v>
      </c>
      <c r="E12409" s="138" t="str">
        <f t="shared" si="1086"/>
        <v>Base</v>
      </c>
      <c r="F12409" s="138" t="str">
        <f t="shared" si="1087"/>
        <v>Upgraded</v>
      </c>
      <c r="G12409" s="153"/>
      <c r="H12409" s="210">
        <v>8.6E-3</v>
      </c>
      <c r="I12409" s="160" t="s">
        <v>58</v>
      </c>
      <c r="J12409" s="160">
        <v>1.3999999999999999E-4</v>
      </c>
      <c r="K12409" s="160" t="s">
        <v>13</v>
      </c>
      <c r="L12409" s="154" t="str">
        <f>IF(OpenLCAbasic!K12409="CTUh", "Fill in Manually",IF(OR(K12409="Unit", K12409=""), "", INDEX(LookUps!$E$5:$E$12, MATCH(OpenLCAbasic!K12409,LookUps!$D$5:$D$12,0))))</f>
        <v>Eutrophication Potential (EP) - kg N eq</v>
      </c>
      <c r="M12409" s="154" t="str">
        <f t="shared" si="1081"/>
        <v>Base_High_Low_Upgraded_Eutrophication Potential (EP) - kg N eq_Pre-Anoxic &amp; Swing tank; wastewater treatment unit; at updated plant - US_Without Amendment_Aerated Static Pile</v>
      </c>
    </row>
    <row r="12410" spans="1:13" s="120" customFormat="1" x14ac:dyDescent="0.25">
      <c r="A12410" s="119"/>
      <c r="B12410" s="138" t="str">
        <f t="shared" si="1084"/>
        <v>Aerated Static Pile</v>
      </c>
      <c r="C12410" s="138" t="str">
        <f t="shared" si="1085"/>
        <v>Without Amendment</v>
      </c>
      <c r="D12410" s="138" t="str">
        <f t="shared" si="1083"/>
        <v>High_Low</v>
      </c>
      <c r="E12410" s="138" t="str">
        <f t="shared" si="1086"/>
        <v>Base</v>
      </c>
      <c r="F12410" s="138" t="str">
        <f t="shared" si="1087"/>
        <v>Upgraded</v>
      </c>
      <c r="G12410" s="153"/>
      <c r="H12410" s="210">
        <v>8.6E-3</v>
      </c>
      <c r="I12410" s="160" t="s">
        <v>435</v>
      </c>
      <c r="J12410" s="160">
        <v>1.3999999999999999E-4</v>
      </c>
      <c r="K12410" s="160" t="s">
        <v>13</v>
      </c>
      <c r="L12410" s="154" t="str">
        <f>IF(OpenLCAbasic!K12410="CTUh", "Fill in Manually",IF(OR(K12410="Unit", K12410=""), "", INDEX(LookUps!$E$5:$E$12, MATCH(OpenLCAbasic!K12410,LookUps!$D$5:$D$12,0))))</f>
        <v>Eutrophication Potential (EP) - kg N eq</v>
      </c>
      <c r="M12410" s="154" t="str">
        <f t="shared" si="1081"/>
        <v>Base_High_Low_Upgraded_Eutrophication Potential (EP) - kg N eq_Biosolids composting; aerated static pile; wastewater treatment unit; at updated plant - US_Without Amendment_Aerated Static Pile</v>
      </c>
    </row>
    <row r="12411" spans="1:13" s="120" customFormat="1" x14ac:dyDescent="0.25">
      <c r="A12411" s="119"/>
      <c r="B12411" s="138" t="str">
        <f t="shared" si="1084"/>
        <v>Aerated Static Pile</v>
      </c>
      <c r="C12411" s="138" t="str">
        <f t="shared" si="1085"/>
        <v>Without Amendment</v>
      </c>
      <c r="D12411" s="138" t="str">
        <f t="shared" si="1083"/>
        <v>High_Low</v>
      </c>
      <c r="E12411" s="138" t="str">
        <f t="shared" si="1086"/>
        <v>Base</v>
      </c>
      <c r="F12411" s="138" t="str">
        <f t="shared" si="1087"/>
        <v>Upgraded</v>
      </c>
      <c r="G12411" s="153"/>
      <c r="H12411" s="210">
        <v>6.8999999999999999E-3</v>
      </c>
      <c r="I12411" s="160" t="s">
        <v>60</v>
      </c>
      <c r="J12411" s="160">
        <v>1.1E-4</v>
      </c>
      <c r="K12411" s="160" t="s">
        <v>13</v>
      </c>
      <c r="L12411" s="154" t="str">
        <f>IF(OpenLCAbasic!K12411="CTUh", "Fill in Manually",IF(OR(K12411="Unit", K12411=""), "", INDEX(LookUps!$E$5:$E$12, MATCH(OpenLCAbasic!K12411,LookUps!$D$5:$D$12,0))))</f>
        <v>Eutrophication Potential (EP) - kg N eq</v>
      </c>
      <c r="M12411" s="154" t="str">
        <f t="shared" si="1081"/>
        <v>Base_High_Low_Upgraded_Eutrophication Potential (EP) - kg N eq_Belt filter press; wastewater treatment unit; at updated plant - US_Without Amendment_Aerated Static Pile</v>
      </c>
    </row>
    <row r="12412" spans="1:13" s="120" customFormat="1" x14ac:dyDescent="0.25">
      <c r="A12412" s="119"/>
      <c r="B12412" s="138" t="str">
        <f t="shared" si="1084"/>
        <v>Aerated Static Pile</v>
      </c>
      <c r="C12412" s="138" t="str">
        <f t="shared" si="1085"/>
        <v>Without Amendment</v>
      </c>
      <c r="D12412" s="138" t="str">
        <f t="shared" si="1083"/>
        <v>High_Low</v>
      </c>
      <c r="E12412" s="138" t="str">
        <f t="shared" si="1086"/>
        <v>Base</v>
      </c>
      <c r="F12412" s="138" t="str">
        <f t="shared" si="1087"/>
        <v>Upgraded</v>
      </c>
      <c r="G12412" s="153"/>
      <c r="H12412" s="210">
        <v>6.7999999999999996E-3</v>
      </c>
      <c r="I12412" s="160" t="s">
        <v>53</v>
      </c>
      <c r="J12412" s="211">
        <v>1.1E-4</v>
      </c>
      <c r="K12412" s="160" t="s">
        <v>13</v>
      </c>
      <c r="L12412" s="154" t="str">
        <f>IF(OpenLCAbasic!K12412="CTUh", "Fill in Manually",IF(OR(K12412="Unit", K12412=""), "", INDEX(LookUps!$E$5:$E$12, MATCH(OpenLCAbasic!K12412,LookUps!$D$5:$D$12,0))))</f>
        <v>Eutrophication Potential (EP) - kg N eq</v>
      </c>
      <c r="M12412" s="154" t="str">
        <f t="shared" si="1081"/>
        <v>Base_High_Low_Upgraded_Eutrophication Potential (EP) - kg N eq_Wet Well and Sump Station; wastewater treatment unit; at updated plant - US_Without Amendment_Aerated Static Pile</v>
      </c>
    </row>
    <row r="12413" spans="1:13" s="120" customFormat="1" x14ac:dyDescent="0.25">
      <c r="A12413" s="119"/>
      <c r="B12413" s="138" t="str">
        <f t="shared" si="1084"/>
        <v>Aerated Static Pile</v>
      </c>
      <c r="C12413" s="138" t="str">
        <f t="shared" si="1085"/>
        <v>Without Amendment</v>
      </c>
      <c r="D12413" s="138" t="str">
        <f t="shared" si="1083"/>
        <v>High_Low</v>
      </c>
      <c r="E12413" s="138" t="str">
        <f t="shared" si="1086"/>
        <v>Base</v>
      </c>
      <c r="F12413" s="138" t="str">
        <f t="shared" si="1087"/>
        <v>Upgraded</v>
      </c>
      <c r="G12413" s="153"/>
      <c r="H12413" s="210">
        <v>3.8E-3</v>
      </c>
      <c r="I12413" s="160" t="s">
        <v>57</v>
      </c>
      <c r="J12413" s="211">
        <v>6.0590300000000002E-5</v>
      </c>
      <c r="K12413" s="160" t="s">
        <v>13</v>
      </c>
      <c r="L12413" s="154" t="str">
        <f>IF(OpenLCAbasic!K12413="CTUh", "Fill in Manually",IF(OR(K12413="Unit", K12413=""), "", INDEX(LookUps!$E$5:$E$12, MATCH(OpenLCAbasic!K12413,LookUps!$D$5:$D$12,0))))</f>
        <v>Eutrophication Potential (EP) - kg N eq</v>
      </c>
      <c r="M12413" s="154" t="str">
        <f t="shared" si="1081"/>
        <v>Base_High_Low_Upgraded_Eutrophication Potential (EP) - kg N eq_Gravity Belt Thickener; wastewater treatment unit; at updated plant - US_Without Amendment_Aerated Static Pile</v>
      </c>
    </row>
    <row r="12414" spans="1:13" s="120" customFormat="1" x14ac:dyDescent="0.25">
      <c r="A12414" s="119"/>
      <c r="B12414" s="138" t="str">
        <f t="shared" si="1084"/>
        <v>Aerated Static Pile</v>
      </c>
      <c r="C12414" s="138" t="str">
        <f t="shared" si="1085"/>
        <v>Without Amendment</v>
      </c>
      <c r="D12414" s="138" t="str">
        <f t="shared" si="1083"/>
        <v>High_Low</v>
      </c>
      <c r="E12414" s="138" t="str">
        <f t="shared" si="1086"/>
        <v>Base</v>
      </c>
      <c r="F12414" s="138" t="str">
        <f t="shared" si="1087"/>
        <v>Upgraded</v>
      </c>
      <c r="G12414" s="153"/>
      <c r="H12414" s="210">
        <v>2.3999999999999998E-3</v>
      </c>
      <c r="I12414" s="160" t="s">
        <v>128</v>
      </c>
      <c r="J12414" s="211">
        <v>3.7559799999999999E-5</v>
      </c>
      <c r="K12414" s="160" t="s">
        <v>13</v>
      </c>
      <c r="L12414" s="154" t="str">
        <f>IF(OpenLCAbasic!K12414="CTUh", "Fill in Manually",IF(OR(K12414="Unit", K12414=""), "", INDEX(LookUps!$E$5:$E$12, MATCH(OpenLCAbasic!K12414,LookUps!$D$5:$D$12,0))))</f>
        <v>Eutrophication Potential (EP) - kg N eq</v>
      </c>
      <c r="M12414" s="154" t="str">
        <f t="shared" si="1081"/>
        <v>Base_High_Low_Upgraded_Eutrophication Potential (EP) - kg N eq_Wastewater collection; operation and infrastructure; m3 wastewater_Without Amendment_Aerated Static Pile</v>
      </c>
    </row>
    <row r="12415" spans="1:13" s="120" customFormat="1" x14ac:dyDescent="0.25">
      <c r="A12415" s="119"/>
      <c r="B12415" s="138" t="str">
        <f t="shared" si="1084"/>
        <v>Aerated Static Pile</v>
      </c>
      <c r="C12415" s="138" t="str">
        <f t="shared" si="1085"/>
        <v>Without Amendment</v>
      </c>
      <c r="D12415" s="138" t="str">
        <f t="shared" si="1083"/>
        <v>High_Low</v>
      </c>
      <c r="E12415" s="138" t="str">
        <f t="shared" si="1086"/>
        <v>Base</v>
      </c>
      <c r="F12415" s="138" t="str">
        <f t="shared" si="1087"/>
        <v>Upgraded</v>
      </c>
      <c r="G12415" s="153"/>
      <c r="H12415" s="210">
        <v>2.3E-3</v>
      </c>
      <c r="I12415" s="160" t="s">
        <v>148</v>
      </c>
      <c r="J12415" s="211">
        <v>3.6874600000000001E-5</v>
      </c>
      <c r="K12415" s="160" t="s">
        <v>13</v>
      </c>
      <c r="L12415" s="154" t="str">
        <f>IF(OpenLCAbasic!K12415="CTUh", "Fill in Manually",IF(OR(K12415="Unit", K12415=""), "", INDEX(LookUps!$E$5:$E$12, MATCH(OpenLCAbasic!K12415,LookUps!$D$5:$D$12,0))))</f>
        <v>Eutrophication Potential (EP) - kg N eq</v>
      </c>
      <c r="M12415" s="154" t="str">
        <f t="shared" si="1081"/>
        <v>Base_High_Low_Upgraded_Eutrophication Potential (EP) - kg N eq_Control Building; at upgraded wastewater treatment plant - US_Without Amendment_Aerated Static Pile</v>
      </c>
    </row>
    <row r="12416" spans="1:13" s="120" customFormat="1" x14ac:dyDescent="0.25">
      <c r="A12416" s="119"/>
      <c r="B12416" s="138" t="str">
        <f t="shared" si="1084"/>
        <v>Aerated Static Pile</v>
      </c>
      <c r="C12416" s="138" t="str">
        <f t="shared" si="1085"/>
        <v>Without Amendment</v>
      </c>
      <c r="D12416" s="138" t="str">
        <f t="shared" si="1083"/>
        <v>High_Low</v>
      </c>
      <c r="E12416" s="138" t="str">
        <f t="shared" si="1086"/>
        <v>Base</v>
      </c>
      <c r="F12416" s="138" t="str">
        <f t="shared" si="1087"/>
        <v>Upgraded</v>
      </c>
      <c r="G12416" s="153"/>
      <c r="H12416" s="210">
        <v>1E-3</v>
      </c>
      <c r="I12416" s="160" t="s">
        <v>59</v>
      </c>
      <c r="J12416" s="211">
        <v>1.6215700000000001E-5</v>
      </c>
      <c r="K12416" s="160" t="s">
        <v>13</v>
      </c>
      <c r="L12416" s="154" t="str">
        <f>IF(OpenLCAbasic!K12416="CTUh", "Fill in Manually",IF(OR(K12416="Unit", K12416=""), "", INDEX(LookUps!$E$5:$E$12, MATCH(OpenLCAbasic!K12416,LookUps!$D$5:$D$12,0))))</f>
        <v>Eutrophication Potential (EP) - kg N eq</v>
      </c>
      <c r="M12416" s="154" t="str">
        <f t="shared" si="1081"/>
        <v>Base_High_Low_Upgraded_Eutrophication Potential (EP) - kg N eq_Blend Tank; wastewater treatment unit; at updated plant - US_Without Amendment_Aerated Static Pile</v>
      </c>
    </row>
    <row r="12417" spans="1:13" s="120" customFormat="1" x14ac:dyDescent="0.25">
      <c r="A12417" s="119"/>
      <c r="B12417" s="138" t="str">
        <f t="shared" si="1084"/>
        <v>Aerated Static Pile</v>
      </c>
      <c r="C12417" s="138" t="str">
        <f t="shared" si="1085"/>
        <v>Without Amendment</v>
      </c>
      <c r="D12417" s="138" t="str">
        <f t="shared" si="1083"/>
        <v>High_Low</v>
      </c>
      <c r="E12417" s="138" t="str">
        <f t="shared" si="1086"/>
        <v>Base</v>
      </c>
      <c r="F12417" s="138" t="str">
        <f t="shared" si="1087"/>
        <v>Upgraded</v>
      </c>
      <c r="G12417" s="153"/>
      <c r="H12417" s="210">
        <v>5.0000000000000001E-4</v>
      </c>
      <c r="I12417" s="160" t="s">
        <v>168</v>
      </c>
      <c r="J12417" s="211">
        <v>7.7567199999999995E-6</v>
      </c>
      <c r="K12417" s="160" t="s">
        <v>13</v>
      </c>
      <c r="L12417" s="154" t="str">
        <f>IF(OpenLCAbasic!K12417="CTUh", "Fill in Manually",IF(OR(K12417="Unit", K12417=""), "", INDEX(LookUps!$E$5:$E$12, MATCH(OpenLCAbasic!K12417,LookUps!$D$5:$D$12,0))))</f>
        <v>Eutrophication Potential (EP) - kg N eq</v>
      </c>
      <c r="M12417" s="154" t="str">
        <f t="shared" si="1081"/>
        <v>Base_High_Low_Upgraded_Eutrophication Potential (EP) - kg N eq_ClearCove SCP; wastewater treatment unit; at updated plant - US_Without Amendment_Aerated Static Pile</v>
      </c>
    </row>
    <row r="12418" spans="1:13" s="120" customFormat="1" x14ac:dyDescent="0.25">
      <c r="A12418" s="119"/>
      <c r="B12418" s="138" t="str">
        <f t="shared" si="1084"/>
        <v>Aerated Static Pile</v>
      </c>
      <c r="C12418" s="138" t="str">
        <f t="shared" si="1085"/>
        <v>Without Amendment</v>
      </c>
      <c r="D12418" s="138" t="str">
        <f t="shared" si="1083"/>
        <v>High_Low</v>
      </c>
      <c r="E12418" s="138" t="str">
        <f t="shared" si="1086"/>
        <v>Base</v>
      </c>
      <c r="F12418" s="138" t="str">
        <f t="shared" si="1087"/>
        <v>Upgraded</v>
      </c>
      <c r="G12418" s="153"/>
      <c r="H12418" s="210">
        <v>-2.5899999999999999E-2</v>
      </c>
      <c r="I12418" s="160" t="s">
        <v>149</v>
      </c>
      <c r="J12418" s="160">
        <v>-4.0999999999999999E-4</v>
      </c>
      <c r="K12418" s="160" t="s">
        <v>13</v>
      </c>
      <c r="L12418" s="154" t="str">
        <f>IF(OpenLCAbasic!K12418="CTUh", "Fill in Manually",IF(OR(K12418="Unit", K12418=""), "", INDEX(LookUps!$E$5:$E$12, MATCH(OpenLCAbasic!K12418,LookUps!$D$5:$D$12,0))))</f>
        <v>Eutrophication Potential (EP) - kg N eq</v>
      </c>
      <c r="M12418" s="154" t="str">
        <f t="shared" si="1081"/>
        <v>Base_High_Low_Upgraded_Eutrophication Potential (EP) - kg N eq_Anaerobic Digestion; wastewater treatment unit; at updated plant - US_Without Amendment_Aerated Static Pile</v>
      </c>
    </row>
    <row r="12419" spans="1:13" s="120" customFormat="1" x14ac:dyDescent="0.25">
      <c r="A12419" s="119"/>
      <c r="B12419" s="138" t="str">
        <f t="shared" si="1084"/>
        <v/>
      </c>
      <c r="C12419" s="138" t="str">
        <f t="shared" si="1085"/>
        <v/>
      </c>
      <c r="D12419" s="138" t="str">
        <f t="shared" si="1083"/>
        <v/>
      </c>
      <c r="E12419" s="138" t="str">
        <f t="shared" si="1086"/>
        <v/>
      </c>
      <c r="F12419" s="138" t="str">
        <f t="shared" si="1087"/>
        <v/>
      </c>
      <c r="G12419" s="153" t="s">
        <v>51</v>
      </c>
      <c r="H12419" s="160"/>
      <c r="I12419" s="160" t="s">
        <v>47</v>
      </c>
      <c r="J12419" s="160" t="s">
        <v>52</v>
      </c>
      <c r="K12419" s="160" t="s">
        <v>27</v>
      </c>
      <c r="L12419" s="154" t="str">
        <f>IF(OpenLCAbasic!K12419="CTUh", "Fill in Manually",IF(OR(K12419="Unit", K12419=""), "", INDEX(LookUps!$E$5:$E$12, MATCH(OpenLCAbasic!K12419,LookUps!$D$5:$D$12,0))))</f>
        <v/>
      </c>
      <c r="M12419" s="154" t="str">
        <f t="shared" si="1081"/>
        <v>____Process__</v>
      </c>
    </row>
    <row r="12420" spans="1:13" s="120" customFormat="1" x14ac:dyDescent="0.25">
      <c r="A12420" s="119"/>
      <c r="B12420" s="138" t="str">
        <f t="shared" si="1084"/>
        <v>Aerated Static Pile</v>
      </c>
      <c r="C12420" s="138" t="str">
        <f t="shared" si="1085"/>
        <v>Without Amendment</v>
      </c>
      <c r="D12420" s="138" t="str">
        <f t="shared" si="1083"/>
        <v>High_Low</v>
      </c>
      <c r="E12420" s="138" t="str">
        <f t="shared" si="1086"/>
        <v>Base</v>
      </c>
      <c r="F12420" s="138" t="str">
        <f t="shared" si="1087"/>
        <v>Upgraded</v>
      </c>
      <c r="G12420" s="153"/>
      <c r="H12420" s="210">
        <v>0.63719999999999999</v>
      </c>
      <c r="I12420" s="160" t="s">
        <v>167</v>
      </c>
      <c r="J12420" s="160">
        <v>0.11719</v>
      </c>
      <c r="K12420" s="160" t="s">
        <v>14</v>
      </c>
      <c r="L12420" s="154" t="str">
        <f>IF(OpenLCAbasic!K12420="CTUh", "Fill in Manually",IF(OR(K12420="Unit", K12420=""), "", INDEX(LookUps!$E$5:$E$12, MATCH(OpenLCAbasic!K12420,LookUps!$D$5:$D$12,0))))</f>
        <v>Fossil Depletion Potential (FDP) - kg oil eq</v>
      </c>
      <c r="M12420" s="154" t="str">
        <f t="shared" ref="M12420:M12483" si="1088">CONCATENATE(E12420,"_",D12420,"_",F12420,"_",L12420, "_",I12420,"_", C12420,"_", B12420)</f>
        <v>Base_High_Low_Upgraded_Fossil Depletion Potential (FDP) - kg oil eq_Waste Receiving and Holding; wastewater treatment unit; at updated plant - US_Without Amendment_Aerated Static Pile</v>
      </c>
    </row>
    <row r="12421" spans="1:13" s="120" customFormat="1" x14ac:dyDescent="0.25">
      <c r="A12421" s="119"/>
      <c r="B12421" s="138" t="str">
        <f t="shared" si="1084"/>
        <v>Aerated Static Pile</v>
      </c>
      <c r="C12421" s="138" t="str">
        <f t="shared" si="1085"/>
        <v>Without Amendment</v>
      </c>
      <c r="D12421" s="138" t="str">
        <f t="shared" si="1083"/>
        <v>High_Low</v>
      </c>
      <c r="E12421" s="138" t="str">
        <f t="shared" si="1086"/>
        <v>Base</v>
      </c>
      <c r="F12421" s="138" t="str">
        <f t="shared" si="1087"/>
        <v>Upgraded</v>
      </c>
      <c r="G12421" s="153"/>
      <c r="H12421" s="210">
        <v>0.3458</v>
      </c>
      <c r="I12421" s="160" t="s">
        <v>55</v>
      </c>
      <c r="J12421" s="160">
        <v>6.3589999999999994E-2</v>
      </c>
      <c r="K12421" s="160" t="s">
        <v>14</v>
      </c>
      <c r="L12421" s="154" t="str">
        <f>IF(OpenLCAbasic!K12421="CTUh", "Fill in Manually",IF(OR(K12421="Unit", K12421=""), "", INDEX(LookUps!$E$5:$E$12, MATCH(OpenLCAbasic!K12421,LookUps!$D$5:$D$12,0))))</f>
        <v>Fossil Depletion Potential (FDP) - kg oil eq</v>
      </c>
      <c r="M12421" s="154" t="str">
        <f t="shared" si="1088"/>
        <v>Base_High_Low_Upgraded_Fossil Depletion Potential (FDP) - kg oil eq_Aeration Tanks; wastewater treatment unit; at updated plant - US_Without Amendment_Aerated Static Pile</v>
      </c>
    </row>
    <row r="12422" spans="1:13" s="120" customFormat="1" x14ac:dyDescent="0.25">
      <c r="A12422" s="119"/>
      <c r="B12422" s="138" t="str">
        <f t="shared" si="1084"/>
        <v>Aerated Static Pile</v>
      </c>
      <c r="C12422" s="138" t="str">
        <f t="shared" si="1085"/>
        <v>Without Amendment</v>
      </c>
      <c r="D12422" s="138" t="str">
        <f t="shared" si="1083"/>
        <v>High_Low</v>
      </c>
      <c r="E12422" s="138" t="str">
        <f t="shared" si="1086"/>
        <v>Base</v>
      </c>
      <c r="F12422" s="138" t="str">
        <f t="shared" si="1087"/>
        <v>Upgraded</v>
      </c>
      <c r="G12422" s="153"/>
      <c r="H12422" s="210">
        <v>0.1145</v>
      </c>
      <c r="I12422" s="160" t="s">
        <v>54</v>
      </c>
      <c r="J12422" s="160">
        <v>2.1049999999999999E-2</v>
      </c>
      <c r="K12422" s="160" t="s">
        <v>14</v>
      </c>
      <c r="L12422" s="154" t="str">
        <f>IF(OpenLCAbasic!K12422="CTUh", "Fill in Manually",IF(OR(K12422="Unit", K12422=""), "", INDEX(LookUps!$E$5:$E$12, MATCH(OpenLCAbasic!K12422,LookUps!$D$5:$D$12,0))))</f>
        <v>Fossil Depletion Potential (FDP) - kg oil eq</v>
      </c>
      <c r="M12422" s="154" t="str">
        <f t="shared" si="1088"/>
        <v>Base_High_Low_Upgraded_Fossil Depletion Potential (FDP) - kg oil eq_Clear Cove Primary Clarification; wastewater treatment unit; at updated plant - US_Without Amendment_Aerated Static Pile</v>
      </c>
    </row>
    <row r="12423" spans="1:13" s="120" customFormat="1" x14ac:dyDescent="0.25">
      <c r="A12423" s="119"/>
      <c r="B12423" s="138" t="str">
        <f t="shared" si="1084"/>
        <v>Aerated Static Pile</v>
      </c>
      <c r="C12423" s="138" t="str">
        <f t="shared" si="1085"/>
        <v>Without Amendment</v>
      </c>
      <c r="D12423" s="138" t="str">
        <f t="shared" si="1083"/>
        <v>High_Low</v>
      </c>
      <c r="E12423" s="138" t="str">
        <f t="shared" si="1086"/>
        <v>Base</v>
      </c>
      <c r="F12423" s="138" t="str">
        <f t="shared" si="1087"/>
        <v>Upgraded</v>
      </c>
      <c r="G12423" s="153"/>
      <c r="H12423" s="210">
        <v>8.72E-2</v>
      </c>
      <c r="I12423" s="160" t="s">
        <v>58</v>
      </c>
      <c r="J12423" s="160">
        <v>1.6039999999999999E-2</v>
      </c>
      <c r="K12423" s="160" t="s">
        <v>14</v>
      </c>
      <c r="L12423" s="154" t="str">
        <f>IF(OpenLCAbasic!K12423="CTUh", "Fill in Manually",IF(OR(K12423="Unit", K12423=""), "", INDEX(LookUps!$E$5:$E$12, MATCH(OpenLCAbasic!K12423,LookUps!$D$5:$D$12,0))))</f>
        <v>Fossil Depletion Potential (FDP) - kg oil eq</v>
      </c>
      <c r="M12423" s="154" t="str">
        <f t="shared" si="1088"/>
        <v>Base_High_Low_Upgraded_Fossil Depletion Potential (FDP) - kg oil eq_Pre-Anoxic &amp; Swing tank; wastewater treatment unit; at updated plant - US_Without Amendment_Aerated Static Pile</v>
      </c>
    </row>
    <row r="12424" spans="1:13" s="120" customFormat="1" x14ac:dyDescent="0.25">
      <c r="A12424" s="119"/>
      <c r="B12424" s="138" t="str">
        <f t="shared" si="1084"/>
        <v>Aerated Static Pile</v>
      </c>
      <c r="C12424" s="138" t="str">
        <f t="shared" si="1085"/>
        <v>Without Amendment</v>
      </c>
      <c r="D12424" s="138" t="str">
        <f t="shared" si="1083"/>
        <v>High_Low</v>
      </c>
      <c r="E12424" s="138" t="str">
        <f t="shared" si="1086"/>
        <v>Base</v>
      </c>
      <c r="F12424" s="138" t="str">
        <f t="shared" si="1087"/>
        <v>Upgraded</v>
      </c>
      <c r="G12424" s="153"/>
      <c r="H12424" s="210">
        <v>8.2000000000000003E-2</v>
      </c>
      <c r="I12424" s="160" t="s">
        <v>147</v>
      </c>
      <c r="J12424" s="160">
        <v>1.5089999999999999E-2</v>
      </c>
      <c r="K12424" s="160" t="s">
        <v>14</v>
      </c>
      <c r="L12424" s="154" t="str">
        <f>IF(OpenLCAbasic!K12424="CTUh", "Fill in Manually",IF(OR(K12424="Unit", K12424=""), "", INDEX(LookUps!$E$5:$E$12, MATCH(OpenLCAbasic!K12424,LookUps!$D$5:$D$12,0))))</f>
        <v>Fossil Depletion Potential (FDP) - kg oil eq</v>
      </c>
      <c r="M12424" s="154" t="str">
        <f t="shared" si="1088"/>
        <v>Base_High_Low_Upgraded_Fossil Depletion Potential (FDP) - kg oil eq_Influent Pump Station; wastewater treatment unit; at updated plant - US_Without Amendment_Aerated Static Pile</v>
      </c>
    </row>
    <row r="12425" spans="1:13" s="120" customFormat="1" x14ac:dyDescent="0.25">
      <c r="A12425" s="119"/>
      <c r="B12425" s="138" t="str">
        <f t="shared" si="1084"/>
        <v>Aerated Static Pile</v>
      </c>
      <c r="C12425" s="138" t="str">
        <f t="shared" si="1085"/>
        <v>Without Amendment</v>
      </c>
      <c r="D12425" s="138" t="str">
        <f t="shared" si="1083"/>
        <v>High_Low</v>
      </c>
      <c r="E12425" s="138" t="str">
        <f t="shared" si="1086"/>
        <v>Base</v>
      </c>
      <c r="F12425" s="138" t="str">
        <f t="shared" si="1087"/>
        <v>Upgraded</v>
      </c>
      <c r="G12425" s="153"/>
      <c r="H12425" s="210">
        <v>7.4899999999999994E-2</v>
      </c>
      <c r="I12425" s="160" t="s">
        <v>435</v>
      </c>
      <c r="J12425" s="160">
        <v>1.3769999999999999E-2</v>
      </c>
      <c r="K12425" s="160" t="s">
        <v>14</v>
      </c>
      <c r="L12425" s="154" t="str">
        <f>IF(OpenLCAbasic!K12425="CTUh", "Fill in Manually",IF(OR(K12425="Unit", K12425=""), "", INDEX(LookUps!$E$5:$E$12, MATCH(OpenLCAbasic!K12425,LookUps!$D$5:$D$12,0))))</f>
        <v>Fossil Depletion Potential (FDP) - kg oil eq</v>
      </c>
      <c r="M12425" s="154" t="str">
        <f t="shared" si="1088"/>
        <v>Base_High_Low_Upgraded_Fossil Depletion Potential (FDP) - kg oil eq_Biosolids composting; aerated static pile; wastewater treatment unit; at updated plant - US_Without Amendment_Aerated Static Pile</v>
      </c>
    </row>
    <row r="12426" spans="1:13" s="120" customFormat="1" x14ac:dyDescent="0.25">
      <c r="A12426" s="119"/>
      <c r="B12426" s="138" t="str">
        <f t="shared" si="1084"/>
        <v>Aerated Static Pile</v>
      </c>
      <c r="C12426" s="138" t="str">
        <f t="shared" si="1085"/>
        <v>Without Amendment</v>
      </c>
      <c r="D12426" s="138" t="str">
        <f t="shared" si="1083"/>
        <v>High_Low</v>
      </c>
      <c r="E12426" s="138" t="str">
        <f t="shared" si="1086"/>
        <v>Base</v>
      </c>
      <c r="F12426" s="138" t="str">
        <f t="shared" si="1087"/>
        <v>Upgraded</v>
      </c>
      <c r="G12426" s="153"/>
      <c r="H12426" s="210">
        <v>6.88E-2</v>
      </c>
      <c r="I12426" s="160" t="s">
        <v>60</v>
      </c>
      <c r="J12426" s="160">
        <v>1.2659999999999999E-2</v>
      </c>
      <c r="K12426" s="160" t="s">
        <v>14</v>
      </c>
      <c r="L12426" s="154" t="str">
        <f>IF(OpenLCAbasic!K12426="CTUh", "Fill in Manually",IF(OR(K12426="Unit", K12426=""), "", INDEX(LookUps!$E$5:$E$12, MATCH(OpenLCAbasic!K12426,LookUps!$D$5:$D$12,0))))</f>
        <v>Fossil Depletion Potential (FDP) - kg oil eq</v>
      </c>
      <c r="M12426" s="154" t="str">
        <f t="shared" si="1088"/>
        <v>Base_High_Low_Upgraded_Fossil Depletion Potential (FDP) - kg oil eq_Belt filter press; wastewater treatment unit; at updated plant - US_Without Amendment_Aerated Static Pile</v>
      </c>
    </row>
    <row r="12427" spans="1:13" s="120" customFormat="1" x14ac:dyDescent="0.25">
      <c r="A12427" s="119"/>
      <c r="B12427" s="138" t="str">
        <f t="shared" si="1084"/>
        <v>Aerated Static Pile</v>
      </c>
      <c r="C12427" s="138" t="str">
        <f t="shared" si="1085"/>
        <v>Without Amendment</v>
      </c>
      <c r="D12427" s="138" t="str">
        <f t="shared" si="1083"/>
        <v>High_Low</v>
      </c>
      <c r="E12427" s="138" t="str">
        <f t="shared" si="1086"/>
        <v>Base</v>
      </c>
      <c r="F12427" s="138" t="str">
        <f t="shared" si="1087"/>
        <v>Upgraded</v>
      </c>
      <c r="G12427" s="153"/>
      <c r="H12427" s="210">
        <v>6.7900000000000002E-2</v>
      </c>
      <c r="I12427" s="160" t="s">
        <v>53</v>
      </c>
      <c r="J12427" s="160">
        <v>1.2489999999999999E-2</v>
      </c>
      <c r="K12427" s="160" t="s">
        <v>14</v>
      </c>
      <c r="L12427" s="154" t="str">
        <f>IF(OpenLCAbasic!K12427="CTUh", "Fill in Manually",IF(OR(K12427="Unit", K12427=""), "", INDEX(LookUps!$E$5:$E$12, MATCH(OpenLCAbasic!K12427,LookUps!$D$5:$D$12,0))))</f>
        <v>Fossil Depletion Potential (FDP) - kg oil eq</v>
      </c>
      <c r="M12427" s="154" t="str">
        <f t="shared" si="1088"/>
        <v>Base_High_Low_Upgraded_Fossil Depletion Potential (FDP) - kg oil eq_Wet Well and Sump Station; wastewater treatment unit; at updated plant - US_Without Amendment_Aerated Static Pile</v>
      </c>
    </row>
    <row r="12428" spans="1:13" s="120" customFormat="1" x14ac:dyDescent="0.25">
      <c r="A12428" s="119"/>
      <c r="B12428" s="138" t="str">
        <f t="shared" si="1084"/>
        <v>Aerated Static Pile</v>
      </c>
      <c r="C12428" s="138" t="str">
        <f t="shared" si="1085"/>
        <v>Without Amendment</v>
      </c>
      <c r="D12428" s="138" t="str">
        <f t="shared" si="1083"/>
        <v>High_Low</v>
      </c>
      <c r="E12428" s="138" t="str">
        <f t="shared" si="1086"/>
        <v>Base</v>
      </c>
      <c r="F12428" s="138" t="str">
        <f t="shared" si="1087"/>
        <v>Upgraded</v>
      </c>
      <c r="G12428" s="153"/>
      <c r="H12428" s="210">
        <v>3.7600000000000001E-2</v>
      </c>
      <c r="I12428" s="160" t="s">
        <v>57</v>
      </c>
      <c r="J12428" s="160">
        <v>6.9199999999999999E-3</v>
      </c>
      <c r="K12428" s="160" t="s">
        <v>14</v>
      </c>
      <c r="L12428" s="154" t="str">
        <f>IF(OpenLCAbasic!K12428="CTUh", "Fill in Manually",IF(OR(K12428="Unit", K12428=""), "", INDEX(LookUps!$E$5:$E$12, MATCH(OpenLCAbasic!K12428,LookUps!$D$5:$D$12,0))))</f>
        <v>Fossil Depletion Potential (FDP) - kg oil eq</v>
      </c>
      <c r="M12428" s="154" t="str">
        <f t="shared" si="1088"/>
        <v>Base_High_Low_Upgraded_Fossil Depletion Potential (FDP) - kg oil eq_Gravity Belt Thickener; wastewater treatment unit; at updated plant - US_Without Amendment_Aerated Static Pile</v>
      </c>
    </row>
    <row r="12429" spans="1:13" s="120" customFormat="1" x14ac:dyDescent="0.25">
      <c r="A12429" s="119"/>
      <c r="B12429" s="138" t="str">
        <f t="shared" si="1084"/>
        <v>Aerated Static Pile</v>
      </c>
      <c r="C12429" s="138" t="str">
        <f t="shared" si="1085"/>
        <v>Without Amendment</v>
      </c>
      <c r="D12429" s="138" t="str">
        <f t="shared" si="1083"/>
        <v>High_Low</v>
      </c>
      <c r="E12429" s="138" t="str">
        <f t="shared" si="1086"/>
        <v>Base</v>
      </c>
      <c r="F12429" s="138" t="str">
        <f t="shared" si="1087"/>
        <v>Upgraded</v>
      </c>
      <c r="G12429" s="153"/>
      <c r="H12429" s="210">
        <v>2.4500000000000001E-2</v>
      </c>
      <c r="I12429" s="160" t="s">
        <v>128</v>
      </c>
      <c r="J12429" s="160">
        <v>4.4999999999999997E-3</v>
      </c>
      <c r="K12429" s="160" t="s">
        <v>14</v>
      </c>
      <c r="L12429" s="154" t="str">
        <f>IF(OpenLCAbasic!K12429="CTUh", "Fill in Manually",IF(OR(K12429="Unit", K12429=""), "", INDEX(LookUps!$E$5:$E$12, MATCH(OpenLCAbasic!K12429,LookUps!$D$5:$D$12,0))))</f>
        <v>Fossil Depletion Potential (FDP) - kg oil eq</v>
      </c>
      <c r="M12429" s="154" t="str">
        <f t="shared" si="1088"/>
        <v>Base_High_Low_Upgraded_Fossil Depletion Potential (FDP) - kg oil eq_Wastewater collection; operation and infrastructure; m3 wastewater_Without Amendment_Aerated Static Pile</v>
      </c>
    </row>
    <row r="12430" spans="1:13" s="120" customFormat="1" x14ac:dyDescent="0.25">
      <c r="A12430" s="119"/>
      <c r="B12430" s="138" t="str">
        <f t="shared" si="1084"/>
        <v>Aerated Static Pile</v>
      </c>
      <c r="C12430" s="138" t="str">
        <f t="shared" si="1085"/>
        <v>Without Amendment</v>
      </c>
      <c r="D12430" s="138" t="str">
        <f t="shared" si="1083"/>
        <v>High_Low</v>
      </c>
      <c r="E12430" s="138" t="str">
        <f t="shared" si="1086"/>
        <v>Base</v>
      </c>
      <c r="F12430" s="138" t="str">
        <f t="shared" si="1087"/>
        <v>Upgraded</v>
      </c>
      <c r="G12430" s="153"/>
      <c r="H12430" s="210">
        <v>1.52E-2</v>
      </c>
      <c r="I12430" s="160" t="s">
        <v>148</v>
      </c>
      <c r="J12430" s="160">
        <v>2.8E-3</v>
      </c>
      <c r="K12430" s="160" t="s">
        <v>14</v>
      </c>
      <c r="L12430" s="154" t="str">
        <f>IF(OpenLCAbasic!K12430="CTUh", "Fill in Manually",IF(OR(K12430="Unit", K12430=""), "", INDEX(LookUps!$E$5:$E$12, MATCH(OpenLCAbasic!K12430,LookUps!$D$5:$D$12,0))))</f>
        <v>Fossil Depletion Potential (FDP) - kg oil eq</v>
      </c>
      <c r="M12430" s="154" t="str">
        <f t="shared" si="1088"/>
        <v>Base_High_Low_Upgraded_Fossil Depletion Potential (FDP) - kg oil eq_Control Building; at upgraded wastewater treatment plant - US_Without Amendment_Aerated Static Pile</v>
      </c>
    </row>
    <row r="12431" spans="1:13" s="120" customFormat="1" x14ac:dyDescent="0.25">
      <c r="A12431" s="119"/>
      <c r="B12431" s="138" t="str">
        <f t="shared" si="1084"/>
        <v>Aerated Static Pile</v>
      </c>
      <c r="C12431" s="138" t="str">
        <f t="shared" si="1085"/>
        <v>Without Amendment</v>
      </c>
      <c r="D12431" s="138" t="str">
        <f t="shared" si="1083"/>
        <v>High_Low</v>
      </c>
      <c r="E12431" s="138" t="str">
        <f t="shared" si="1086"/>
        <v>Base</v>
      </c>
      <c r="F12431" s="138" t="str">
        <f t="shared" si="1087"/>
        <v>Upgraded</v>
      </c>
      <c r="G12431" s="153"/>
      <c r="H12431" s="210">
        <v>1.29E-2</v>
      </c>
      <c r="I12431" s="160" t="s">
        <v>48</v>
      </c>
      <c r="J12431" s="160">
        <v>2.3600000000000001E-3</v>
      </c>
      <c r="K12431" s="160" t="s">
        <v>14</v>
      </c>
      <c r="L12431" s="154" t="str">
        <f>IF(OpenLCAbasic!K12431="CTUh", "Fill in Manually",IF(OR(K12431="Unit", K12431=""), "", INDEX(LookUps!$E$5:$E$12, MATCH(OpenLCAbasic!K12431,LookUps!$D$5:$D$12,0))))</f>
        <v>Fossil Depletion Potential (FDP) - kg oil eq</v>
      </c>
      <c r="M12431" s="154" t="str">
        <f t="shared" si="1088"/>
        <v>Base_High_Low_Upgraded_Fossil Depletion Potential (FDP) - kg oil eq_Effluent release; wastewater treatment unit; at surface water; m3 wastewater - US_Without Amendment_Aerated Static Pile</v>
      </c>
    </row>
    <row r="12432" spans="1:13" s="120" customFormat="1" x14ac:dyDescent="0.25">
      <c r="A12432" s="119"/>
      <c r="B12432" s="138" t="str">
        <f t="shared" si="1084"/>
        <v>Aerated Static Pile</v>
      </c>
      <c r="C12432" s="138" t="str">
        <f t="shared" si="1085"/>
        <v>Without Amendment</v>
      </c>
      <c r="D12432" s="138" t="str">
        <f t="shared" si="1083"/>
        <v>High_Low</v>
      </c>
      <c r="E12432" s="138" t="str">
        <f t="shared" si="1086"/>
        <v>Base</v>
      </c>
      <c r="F12432" s="138" t="str">
        <f t="shared" si="1087"/>
        <v>Upgraded</v>
      </c>
      <c r="G12432" s="153"/>
      <c r="H12432" s="210">
        <v>1.04E-2</v>
      </c>
      <c r="I12432" s="160" t="s">
        <v>59</v>
      </c>
      <c r="J12432" s="160">
        <v>1.92E-3</v>
      </c>
      <c r="K12432" s="160" t="s">
        <v>14</v>
      </c>
      <c r="L12432" s="154" t="str">
        <f>IF(OpenLCAbasic!K12432="CTUh", "Fill in Manually",IF(OR(K12432="Unit", K12432=""), "", INDEX(LookUps!$E$5:$E$12, MATCH(OpenLCAbasic!K12432,LookUps!$D$5:$D$12,0))))</f>
        <v>Fossil Depletion Potential (FDP) - kg oil eq</v>
      </c>
      <c r="M12432" s="154" t="str">
        <f t="shared" si="1088"/>
        <v>Base_High_Low_Upgraded_Fossil Depletion Potential (FDP) - kg oil eq_Blend Tank; wastewater treatment unit; at updated plant - US_Without Amendment_Aerated Static Pile</v>
      </c>
    </row>
    <row r="12433" spans="1:13" s="120" customFormat="1" x14ac:dyDescent="0.25">
      <c r="A12433" s="119"/>
      <c r="B12433" s="138" t="str">
        <f t="shared" si="1084"/>
        <v>Aerated Static Pile</v>
      </c>
      <c r="C12433" s="138" t="str">
        <f t="shared" si="1085"/>
        <v>Without Amendment</v>
      </c>
      <c r="D12433" s="138" t="str">
        <f t="shared" ref="D12433:D12496" si="1089">IF(ISNUMBER($J12433),"High_Low","")</f>
        <v>High_Low</v>
      </c>
      <c r="E12433" s="138" t="str">
        <f t="shared" si="1086"/>
        <v>Base</v>
      </c>
      <c r="F12433" s="138" t="str">
        <f t="shared" si="1087"/>
        <v>Upgraded</v>
      </c>
      <c r="G12433" s="153"/>
      <c r="H12433" s="210">
        <v>5.0000000000000001E-3</v>
      </c>
      <c r="I12433" s="160" t="s">
        <v>168</v>
      </c>
      <c r="J12433" s="160">
        <v>9.1E-4</v>
      </c>
      <c r="K12433" s="160" t="s">
        <v>14</v>
      </c>
      <c r="L12433" s="154" t="str">
        <f>IF(OpenLCAbasic!K12433="CTUh", "Fill in Manually",IF(OR(K12433="Unit", K12433=""), "", INDEX(LookUps!$E$5:$E$12, MATCH(OpenLCAbasic!K12433,LookUps!$D$5:$D$12,0))))</f>
        <v>Fossil Depletion Potential (FDP) - kg oil eq</v>
      </c>
      <c r="M12433" s="154" t="str">
        <f t="shared" si="1088"/>
        <v>Base_High_Low_Upgraded_Fossil Depletion Potential (FDP) - kg oil eq_ClearCove SCP; wastewater treatment unit; at updated plant - US_Without Amendment_Aerated Static Pile</v>
      </c>
    </row>
    <row r="12434" spans="1:13" s="120" customFormat="1" x14ac:dyDescent="0.25">
      <c r="A12434" s="119"/>
      <c r="B12434" s="138" t="str">
        <f t="shared" si="1084"/>
        <v>Aerated Static Pile</v>
      </c>
      <c r="C12434" s="138" t="str">
        <f t="shared" si="1085"/>
        <v>Without Amendment</v>
      </c>
      <c r="D12434" s="138" t="str">
        <f t="shared" si="1089"/>
        <v>High_Low</v>
      </c>
      <c r="E12434" s="138" t="str">
        <f t="shared" si="1086"/>
        <v>Base</v>
      </c>
      <c r="F12434" s="138" t="str">
        <f t="shared" si="1087"/>
        <v>Upgraded</v>
      </c>
      <c r="G12434" s="153"/>
      <c r="H12434" s="210">
        <v>-4.7500000000000001E-2</v>
      </c>
      <c r="I12434" s="160" t="s">
        <v>62</v>
      </c>
      <c r="J12434" s="160">
        <v>-8.7399999999999995E-3</v>
      </c>
      <c r="K12434" s="160" t="s">
        <v>14</v>
      </c>
      <c r="L12434" s="154" t="str">
        <f>IF(OpenLCAbasic!K12434="CTUh", "Fill in Manually",IF(OR(K12434="Unit", K12434=""), "", INDEX(LookUps!$E$5:$E$12, MATCH(OpenLCAbasic!K12434,LookUps!$D$5:$D$12,0))))</f>
        <v>Fossil Depletion Potential (FDP) - kg oil eq</v>
      </c>
      <c r="M12434" s="154" t="str">
        <f t="shared" si="1088"/>
        <v>Base_High_Low_Upgraded_Fossil Depletion Potential (FDP) - kg oil eq_Land application of compost; wastewater treatment unit; at updated plant - US_Without Amendment_Aerated Static Pile</v>
      </c>
    </row>
    <row r="12435" spans="1:13" s="120" customFormat="1" x14ac:dyDescent="0.25">
      <c r="A12435" s="119"/>
      <c r="B12435" s="138" t="str">
        <f t="shared" si="1084"/>
        <v>Aerated Static Pile</v>
      </c>
      <c r="C12435" s="138" t="str">
        <f t="shared" si="1085"/>
        <v>Without Amendment</v>
      </c>
      <c r="D12435" s="138" t="str">
        <f t="shared" si="1089"/>
        <v>High_Low</v>
      </c>
      <c r="E12435" s="138" t="str">
        <f t="shared" si="1086"/>
        <v>Base</v>
      </c>
      <c r="F12435" s="138" t="str">
        <f t="shared" si="1087"/>
        <v>Upgraded</v>
      </c>
      <c r="G12435" s="153"/>
      <c r="H12435" s="210">
        <v>-0.5363</v>
      </c>
      <c r="I12435" s="160" t="s">
        <v>149</v>
      </c>
      <c r="J12435" s="160">
        <v>-9.8640000000000005E-2</v>
      </c>
      <c r="K12435" s="160" t="s">
        <v>14</v>
      </c>
      <c r="L12435" s="154" t="str">
        <f>IF(OpenLCAbasic!K12435="CTUh", "Fill in Manually",IF(OR(K12435="Unit", K12435=""), "", INDEX(LookUps!$E$5:$E$12, MATCH(OpenLCAbasic!K12435,LookUps!$D$5:$D$12,0))))</f>
        <v>Fossil Depletion Potential (FDP) - kg oil eq</v>
      </c>
      <c r="M12435" s="154" t="str">
        <f t="shared" si="1088"/>
        <v>Base_High_Low_Upgraded_Fossil Depletion Potential (FDP) - kg oil eq_Anaerobic Digestion; wastewater treatment unit; at updated plant - US_Without Amendment_Aerated Static Pile</v>
      </c>
    </row>
    <row r="12436" spans="1:13" s="120" customFormat="1" x14ac:dyDescent="0.25">
      <c r="A12436" s="119"/>
      <c r="B12436" s="138" t="str">
        <f t="shared" si="1084"/>
        <v/>
      </c>
      <c r="C12436" s="138" t="str">
        <f t="shared" si="1085"/>
        <v/>
      </c>
      <c r="D12436" s="138" t="str">
        <f t="shared" si="1089"/>
        <v/>
      </c>
      <c r="E12436" s="138" t="str">
        <f t="shared" si="1086"/>
        <v/>
      </c>
      <c r="F12436" s="138" t="str">
        <f t="shared" si="1087"/>
        <v/>
      </c>
      <c r="G12436" s="153" t="s">
        <v>51</v>
      </c>
      <c r="H12436" s="160"/>
      <c r="I12436" s="160" t="s">
        <v>47</v>
      </c>
      <c r="J12436" s="160" t="s">
        <v>52</v>
      </c>
      <c r="K12436" s="160" t="s">
        <v>27</v>
      </c>
      <c r="L12436" s="154" t="str">
        <f>IF(OpenLCAbasic!K12436="CTUh", "Fill in Manually",IF(OR(K12436="Unit", K12436=""), "", INDEX(LookUps!$E$5:$E$12, MATCH(OpenLCAbasic!K12436,LookUps!$D$5:$D$12,0))))</f>
        <v/>
      </c>
      <c r="M12436" s="154" t="str">
        <f t="shared" si="1088"/>
        <v>____Process__</v>
      </c>
    </row>
    <row r="12437" spans="1:13" s="120" customFormat="1" x14ac:dyDescent="0.25">
      <c r="A12437" s="119"/>
      <c r="B12437" s="138" t="str">
        <f t="shared" si="1084"/>
        <v>Aerated Static Pile</v>
      </c>
      <c r="C12437" s="138" t="str">
        <f t="shared" si="1085"/>
        <v>Without Amendment</v>
      </c>
      <c r="D12437" s="138" t="str">
        <f t="shared" si="1089"/>
        <v>High_Low</v>
      </c>
      <c r="E12437" s="138" t="str">
        <f t="shared" si="1086"/>
        <v>Base</v>
      </c>
      <c r="F12437" s="138" t="str">
        <f t="shared" si="1087"/>
        <v>Upgraded</v>
      </c>
      <c r="G12437" s="153"/>
      <c r="H12437" s="210">
        <v>0.65180000000000005</v>
      </c>
      <c r="I12437" s="160" t="s">
        <v>435</v>
      </c>
      <c r="J12437" s="160">
        <v>0.67576000000000003</v>
      </c>
      <c r="K12437" s="160" t="s">
        <v>23</v>
      </c>
      <c r="L12437" s="154" t="str">
        <f>IF(OpenLCAbasic!K12437="CTUh", "Fill in Manually",IF(OR(K12437="Unit", K12437=""), "", INDEX(LookUps!$E$5:$E$12, MATCH(OpenLCAbasic!K12437,LookUps!$D$5:$D$12,0))))</f>
        <v>Global Warming Potential (GWP) - kg CO2 eq</v>
      </c>
      <c r="M12437" s="154" t="str">
        <f t="shared" si="1088"/>
        <v>Base_High_Low_Upgraded_Global Warming Potential (GWP) - kg CO2 eq_Biosolids composting; aerated static pile; wastewater treatment unit; at updated plant - US_Without Amendment_Aerated Static Pile</v>
      </c>
    </row>
    <row r="12438" spans="1:13" s="120" customFormat="1" x14ac:dyDescent="0.25">
      <c r="A12438" s="119"/>
      <c r="B12438" s="138" t="str">
        <f t="shared" si="1084"/>
        <v>Aerated Static Pile</v>
      </c>
      <c r="C12438" s="138" t="str">
        <f t="shared" si="1085"/>
        <v>Without Amendment</v>
      </c>
      <c r="D12438" s="138" t="str">
        <f t="shared" si="1089"/>
        <v>High_Low</v>
      </c>
      <c r="E12438" s="138" t="str">
        <f t="shared" si="1086"/>
        <v>Base</v>
      </c>
      <c r="F12438" s="138" t="str">
        <f t="shared" si="1087"/>
        <v>Upgraded</v>
      </c>
      <c r="G12438" s="153"/>
      <c r="H12438" s="210">
        <v>0.24110000000000001</v>
      </c>
      <c r="I12438" s="160" t="s">
        <v>58</v>
      </c>
      <c r="J12438" s="160">
        <v>0.24992</v>
      </c>
      <c r="K12438" s="160" t="s">
        <v>23</v>
      </c>
      <c r="L12438" s="154" t="str">
        <f>IF(OpenLCAbasic!K12438="CTUh", "Fill in Manually",IF(OR(K12438="Unit", K12438=""), "", INDEX(LookUps!$E$5:$E$12, MATCH(OpenLCAbasic!K12438,LookUps!$D$5:$D$12,0))))</f>
        <v>Global Warming Potential (GWP) - kg CO2 eq</v>
      </c>
      <c r="M12438" s="154" t="str">
        <f t="shared" si="1088"/>
        <v>Base_High_Low_Upgraded_Global Warming Potential (GWP) - kg CO2 eq_Pre-Anoxic &amp; Swing tank; wastewater treatment unit; at updated plant - US_Without Amendment_Aerated Static Pile</v>
      </c>
    </row>
    <row r="12439" spans="1:13" s="120" customFormat="1" x14ac:dyDescent="0.25">
      <c r="A12439" s="119"/>
      <c r="B12439" s="138" t="str">
        <f t="shared" si="1084"/>
        <v>Aerated Static Pile</v>
      </c>
      <c r="C12439" s="138" t="str">
        <f t="shared" si="1085"/>
        <v>Without Amendment</v>
      </c>
      <c r="D12439" s="138" t="str">
        <f t="shared" si="1089"/>
        <v>High_Low</v>
      </c>
      <c r="E12439" s="138" t="str">
        <f t="shared" si="1086"/>
        <v>Base</v>
      </c>
      <c r="F12439" s="138" t="str">
        <f t="shared" si="1087"/>
        <v>Upgraded</v>
      </c>
      <c r="G12439" s="153"/>
      <c r="H12439" s="210">
        <v>0.1623</v>
      </c>
      <c r="I12439" s="160" t="s">
        <v>55</v>
      </c>
      <c r="J12439" s="160">
        <v>0.16822000000000001</v>
      </c>
      <c r="K12439" s="160" t="s">
        <v>23</v>
      </c>
      <c r="L12439" s="154" t="str">
        <f>IF(OpenLCAbasic!K12439="CTUh", "Fill in Manually",IF(OR(K12439="Unit", K12439=""), "", INDEX(LookUps!$E$5:$E$12, MATCH(OpenLCAbasic!K12439,LookUps!$D$5:$D$12,0))))</f>
        <v>Global Warming Potential (GWP) - kg CO2 eq</v>
      </c>
      <c r="M12439" s="154" t="str">
        <f t="shared" si="1088"/>
        <v>Base_High_Low_Upgraded_Global Warming Potential (GWP) - kg CO2 eq_Aeration Tanks; wastewater treatment unit; at updated plant - US_Without Amendment_Aerated Static Pile</v>
      </c>
    </row>
    <row r="12440" spans="1:13" s="120" customFormat="1" x14ac:dyDescent="0.25">
      <c r="A12440" s="119"/>
      <c r="B12440" s="138" t="str">
        <f t="shared" si="1084"/>
        <v>Aerated Static Pile</v>
      </c>
      <c r="C12440" s="138" t="str">
        <f t="shared" si="1085"/>
        <v>Without Amendment</v>
      </c>
      <c r="D12440" s="138" t="str">
        <f t="shared" si="1089"/>
        <v>High_Low</v>
      </c>
      <c r="E12440" s="138" t="str">
        <f t="shared" si="1086"/>
        <v>Base</v>
      </c>
      <c r="F12440" s="138" t="str">
        <f t="shared" si="1087"/>
        <v>Upgraded</v>
      </c>
      <c r="G12440" s="153"/>
      <c r="H12440" s="210">
        <v>0.1416</v>
      </c>
      <c r="I12440" s="160" t="s">
        <v>167</v>
      </c>
      <c r="J12440" s="160">
        <v>0.14685000000000001</v>
      </c>
      <c r="K12440" s="160" t="s">
        <v>23</v>
      </c>
      <c r="L12440" s="154" t="str">
        <f>IF(OpenLCAbasic!K12440="CTUh", "Fill in Manually",IF(OR(K12440="Unit", K12440=""), "", INDEX(LookUps!$E$5:$E$12, MATCH(OpenLCAbasic!K12440,LookUps!$D$5:$D$12,0))))</f>
        <v>Global Warming Potential (GWP) - kg CO2 eq</v>
      </c>
      <c r="M12440" s="154" t="str">
        <f t="shared" si="1088"/>
        <v>Base_High_Low_Upgraded_Global Warming Potential (GWP) - kg CO2 eq_Waste Receiving and Holding; wastewater treatment unit; at updated plant - US_Without Amendment_Aerated Static Pile</v>
      </c>
    </row>
    <row r="12441" spans="1:13" s="120" customFormat="1" x14ac:dyDescent="0.25">
      <c r="A12441" s="119"/>
      <c r="B12441" s="138" t="str">
        <f t="shared" si="1084"/>
        <v>Aerated Static Pile</v>
      </c>
      <c r="C12441" s="138" t="str">
        <f t="shared" si="1085"/>
        <v>Without Amendment</v>
      </c>
      <c r="D12441" s="138" t="str">
        <f t="shared" si="1089"/>
        <v>High_Low</v>
      </c>
      <c r="E12441" s="138" t="str">
        <f t="shared" si="1086"/>
        <v>Base</v>
      </c>
      <c r="F12441" s="138" t="str">
        <f t="shared" si="1087"/>
        <v>Upgraded</v>
      </c>
      <c r="G12441" s="153"/>
      <c r="H12441" s="210">
        <v>5.5100000000000003E-2</v>
      </c>
      <c r="I12441" s="160" t="s">
        <v>54</v>
      </c>
      <c r="J12441" s="160">
        <v>5.7079999999999999E-2</v>
      </c>
      <c r="K12441" s="160" t="s">
        <v>23</v>
      </c>
      <c r="L12441" s="154" t="str">
        <f>IF(OpenLCAbasic!K12441="CTUh", "Fill in Manually",IF(OR(K12441="Unit", K12441=""), "", INDEX(LookUps!$E$5:$E$12, MATCH(OpenLCAbasic!K12441,LookUps!$D$5:$D$12,0))))</f>
        <v>Global Warming Potential (GWP) - kg CO2 eq</v>
      </c>
      <c r="M12441" s="154" t="str">
        <f t="shared" si="1088"/>
        <v>Base_High_Low_Upgraded_Global Warming Potential (GWP) - kg CO2 eq_Clear Cove Primary Clarification; wastewater treatment unit; at updated plant - US_Without Amendment_Aerated Static Pile</v>
      </c>
    </row>
    <row r="12442" spans="1:13" s="120" customFormat="1" x14ac:dyDescent="0.25">
      <c r="A12442" s="119"/>
      <c r="B12442" s="138" t="str">
        <f t="shared" si="1084"/>
        <v>Aerated Static Pile</v>
      </c>
      <c r="C12442" s="138" t="str">
        <f t="shared" si="1085"/>
        <v>Without Amendment</v>
      </c>
      <c r="D12442" s="138" t="str">
        <f t="shared" si="1089"/>
        <v>High_Low</v>
      </c>
      <c r="E12442" s="138" t="str">
        <f t="shared" si="1086"/>
        <v>Base</v>
      </c>
      <c r="F12442" s="138" t="str">
        <f t="shared" si="1087"/>
        <v>Upgraded</v>
      </c>
      <c r="G12442" s="153"/>
      <c r="H12442" s="210">
        <v>5.0799999999999998E-2</v>
      </c>
      <c r="I12442" s="160" t="s">
        <v>48</v>
      </c>
      <c r="J12442" s="160">
        <v>5.2639999999999999E-2</v>
      </c>
      <c r="K12442" s="160" t="s">
        <v>23</v>
      </c>
      <c r="L12442" s="154" t="str">
        <f>IF(OpenLCAbasic!K12442="CTUh", "Fill in Manually",IF(OR(K12442="Unit", K12442=""), "", INDEX(LookUps!$E$5:$E$12, MATCH(OpenLCAbasic!K12442,LookUps!$D$5:$D$12,0))))</f>
        <v>Global Warming Potential (GWP) - kg CO2 eq</v>
      </c>
      <c r="M12442" s="154" t="str">
        <f t="shared" si="1088"/>
        <v>Base_High_Low_Upgraded_Global Warming Potential (GWP) - kg CO2 eq_Effluent release; wastewater treatment unit; at surface water; m3 wastewater - US_Without Amendment_Aerated Static Pile</v>
      </c>
    </row>
    <row r="12443" spans="1:13" s="120" customFormat="1" x14ac:dyDescent="0.25">
      <c r="A12443" s="119"/>
      <c r="B12443" s="138" t="str">
        <f t="shared" si="1084"/>
        <v>Aerated Static Pile</v>
      </c>
      <c r="C12443" s="138" t="str">
        <f t="shared" si="1085"/>
        <v>Without Amendment</v>
      </c>
      <c r="D12443" s="138" t="str">
        <f t="shared" si="1089"/>
        <v>High_Low</v>
      </c>
      <c r="E12443" s="138" t="str">
        <f t="shared" si="1086"/>
        <v>Base</v>
      </c>
      <c r="F12443" s="138" t="str">
        <f t="shared" si="1087"/>
        <v>Upgraded</v>
      </c>
      <c r="G12443" s="153"/>
      <c r="H12443" s="210">
        <v>4.87E-2</v>
      </c>
      <c r="I12443" s="160" t="s">
        <v>147</v>
      </c>
      <c r="J12443" s="160">
        <v>5.0500000000000003E-2</v>
      </c>
      <c r="K12443" s="160" t="s">
        <v>23</v>
      </c>
      <c r="L12443" s="154" t="str">
        <f>IF(OpenLCAbasic!K12443="CTUh", "Fill in Manually",IF(OR(K12443="Unit", K12443=""), "", INDEX(LookUps!$E$5:$E$12, MATCH(OpenLCAbasic!K12443,LookUps!$D$5:$D$12,0))))</f>
        <v>Global Warming Potential (GWP) - kg CO2 eq</v>
      </c>
      <c r="M12443" s="154" t="str">
        <f t="shared" si="1088"/>
        <v>Base_High_Low_Upgraded_Global Warming Potential (GWP) - kg CO2 eq_Influent Pump Station; wastewater treatment unit; at updated plant - US_Without Amendment_Aerated Static Pile</v>
      </c>
    </row>
    <row r="12444" spans="1:13" s="120" customFormat="1" x14ac:dyDescent="0.25">
      <c r="A12444" s="119"/>
      <c r="B12444" s="138" t="str">
        <f t="shared" si="1084"/>
        <v>Aerated Static Pile</v>
      </c>
      <c r="C12444" s="138" t="str">
        <f t="shared" si="1085"/>
        <v>Without Amendment</v>
      </c>
      <c r="D12444" s="138" t="str">
        <f t="shared" si="1089"/>
        <v>High_Low</v>
      </c>
      <c r="E12444" s="138" t="str">
        <f t="shared" si="1086"/>
        <v>Base</v>
      </c>
      <c r="F12444" s="138" t="str">
        <f t="shared" si="1087"/>
        <v>Upgraded</v>
      </c>
      <c r="G12444" s="153"/>
      <c r="H12444" s="210">
        <v>3.2099999999999997E-2</v>
      </c>
      <c r="I12444" s="160" t="s">
        <v>53</v>
      </c>
      <c r="J12444" s="160">
        <v>3.3259999999999998E-2</v>
      </c>
      <c r="K12444" s="160" t="s">
        <v>23</v>
      </c>
      <c r="L12444" s="154" t="str">
        <f>IF(OpenLCAbasic!K12444="CTUh", "Fill in Manually",IF(OR(K12444="Unit", K12444=""), "", INDEX(LookUps!$E$5:$E$12, MATCH(OpenLCAbasic!K12444,LookUps!$D$5:$D$12,0))))</f>
        <v>Global Warming Potential (GWP) - kg CO2 eq</v>
      </c>
      <c r="M12444" s="154" t="str">
        <f t="shared" si="1088"/>
        <v>Base_High_Low_Upgraded_Global Warming Potential (GWP) - kg CO2 eq_Wet Well and Sump Station; wastewater treatment unit; at updated plant - US_Without Amendment_Aerated Static Pile</v>
      </c>
    </row>
    <row r="12445" spans="1:13" s="120" customFormat="1" x14ac:dyDescent="0.25">
      <c r="A12445" s="119"/>
      <c r="B12445" s="138" t="str">
        <f t="shared" si="1084"/>
        <v>Aerated Static Pile</v>
      </c>
      <c r="C12445" s="138" t="str">
        <f t="shared" si="1085"/>
        <v>Without Amendment</v>
      </c>
      <c r="D12445" s="138" t="str">
        <f t="shared" si="1089"/>
        <v>High_Low</v>
      </c>
      <c r="E12445" s="138" t="str">
        <f t="shared" si="1086"/>
        <v>Base</v>
      </c>
      <c r="F12445" s="138" t="str">
        <f t="shared" si="1087"/>
        <v>Upgraded</v>
      </c>
      <c r="G12445" s="153"/>
      <c r="H12445" s="210">
        <v>2.6800000000000001E-2</v>
      </c>
      <c r="I12445" s="160" t="s">
        <v>60</v>
      </c>
      <c r="J12445" s="160">
        <v>2.7820000000000001E-2</v>
      </c>
      <c r="K12445" s="160" t="s">
        <v>23</v>
      </c>
      <c r="L12445" s="154" t="str">
        <f>IF(OpenLCAbasic!K12445="CTUh", "Fill in Manually",IF(OR(K12445="Unit", K12445=""), "", INDEX(LookUps!$E$5:$E$12, MATCH(OpenLCAbasic!K12445,LookUps!$D$5:$D$12,0))))</f>
        <v>Global Warming Potential (GWP) - kg CO2 eq</v>
      </c>
      <c r="M12445" s="154" t="str">
        <f t="shared" si="1088"/>
        <v>Base_High_Low_Upgraded_Global Warming Potential (GWP) - kg CO2 eq_Belt filter press; wastewater treatment unit; at updated plant - US_Without Amendment_Aerated Static Pile</v>
      </c>
    </row>
    <row r="12446" spans="1:13" s="120" customFormat="1" x14ac:dyDescent="0.25">
      <c r="A12446" s="119"/>
      <c r="B12446" s="138" t="str">
        <f t="shared" si="1084"/>
        <v>Aerated Static Pile</v>
      </c>
      <c r="C12446" s="138" t="str">
        <f t="shared" si="1085"/>
        <v>Without Amendment</v>
      </c>
      <c r="D12446" s="138" t="str">
        <f t="shared" si="1089"/>
        <v>High_Low</v>
      </c>
      <c r="E12446" s="138" t="str">
        <f t="shared" si="1086"/>
        <v>Base</v>
      </c>
      <c r="F12446" s="138" t="str">
        <f t="shared" si="1087"/>
        <v>Upgraded</v>
      </c>
      <c r="G12446" s="153"/>
      <c r="H12446" s="210">
        <v>1.4E-2</v>
      </c>
      <c r="I12446" s="160" t="s">
        <v>57</v>
      </c>
      <c r="J12446" s="160">
        <v>1.455E-2</v>
      </c>
      <c r="K12446" s="160" t="s">
        <v>23</v>
      </c>
      <c r="L12446" s="154" t="str">
        <f>IF(OpenLCAbasic!K12446="CTUh", "Fill in Manually",IF(OR(K12446="Unit", K12446=""), "", INDEX(LookUps!$E$5:$E$12, MATCH(OpenLCAbasic!K12446,LookUps!$D$5:$D$12,0))))</f>
        <v>Global Warming Potential (GWP) - kg CO2 eq</v>
      </c>
      <c r="M12446" s="154" t="str">
        <f t="shared" si="1088"/>
        <v>Base_High_Low_Upgraded_Global Warming Potential (GWP) - kg CO2 eq_Gravity Belt Thickener; wastewater treatment unit; at updated plant - US_Without Amendment_Aerated Static Pile</v>
      </c>
    </row>
    <row r="12447" spans="1:13" s="120" customFormat="1" x14ac:dyDescent="0.25">
      <c r="A12447" s="119"/>
      <c r="B12447" s="138" t="str">
        <f t="shared" si="1084"/>
        <v>Aerated Static Pile</v>
      </c>
      <c r="C12447" s="138" t="str">
        <f t="shared" si="1085"/>
        <v>Without Amendment</v>
      </c>
      <c r="D12447" s="138" t="str">
        <f t="shared" si="1089"/>
        <v>High_Low</v>
      </c>
      <c r="E12447" s="138" t="str">
        <f t="shared" si="1086"/>
        <v>Base</v>
      </c>
      <c r="F12447" s="138" t="str">
        <f t="shared" si="1087"/>
        <v>Upgraded</v>
      </c>
      <c r="G12447" s="153"/>
      <c r="H12447" s="210">
        <v>1.2999999999999999E-2</v>
      </c>
      <c r="I12447" s="160" t="s">
        <v>128</v>
      </c>
      <c r="J12447" s="160">
        <v>1.3509999999999999E-2</v>
      </c>
      <c r="K12447" s="160" t="s">
        <v>23</v>
      </c>
      <c r="L12447" s="154" t="str">
        <f>IF(OpenLCAbasic!K12447="CTUh", "Fill in Manually",IF(OR(K12447="Unit", K12447=""), "", INDEX(LookUps!$E$5:$E$12, MATCH(OpenLCAbasic!K12447,LookUps!$D$5:$D$12,0))))</f>
        <v>Global Warming Potential (GWP) - kg CO2 eq</v>
      </c>
      <c r="M12447" s="154" t="str">
        <f t="shared" si="1088"/>
        <v>Base_High_Low_Upgraded_Global Warming Potential (GWP) - kg CO2 eq_Wastewater collection; operation and infrastructure; m3 wastewater_Without Amendment_Aerated Static Pile</v>
      </c>
    </row>
    <row r="12448" spans="1:13" s="120" customFormat="1" x14ac:dyDescent="0.25">
      <c r="A12448" s="119"/>
      <c r="B12448" s="138" t="str">
        <f t="shared" si="1084"/>
        <v>Aerated Static Pile</v>
      </c>
      <c r="C12448" s="138" t="str">
        <f t="shared" si="1085"/>
        <v>Without Amendment</v>
      </c>
      <c r="D12448" s="138" t="str">
        <f t="shared" si="1089"/>
        <v>High_Low</v>
      </c>
      <c r="E12448" s="138" t="str">
        <f t="shared" si="1086"/>
        <v>Base</v>
      </c>
      <c r="F12448" s="138" t="str">
        <f t="shared" si="1087"/>
        <v>Upgraded</v>
      </c>
      <c r="G12448" s="153"/>
      <c r="H12448" s="210">
        <v>8.0000000000000002E-3</v>
      </c>
      <c r="I12448" s="160" t="s">
        <v>148</v>
      </c>
      <c r="J12448" s="160">
        <v>8.3000000000000001E-3</v>
      </c>
      <c r="K12448" s="160" t="s">
        <v>23</v>
      </c>
      <c r="L12448" s="154" t="str">
        <f>IF(OpenLCAbasic!K12448="CTUh", "Fill in Manually",IF(OR(K12448="Unit", K12448=""), "", INDEX(LookUps!$E$5:$E$12, MATCH(OpenLCAbasic!K12448,LookUps!$D$5:$D$12,0))))</f>
        <v>Global Warming Potential (GWP) - kg CO2 eq</v>
      </c>
      <c r="M12448" s="154" t="str">
        <f t="shared" si="1088"/>
        <v>Base_High_Low_Upgraded_Global Warming Potential (GWP) - kg CO2 eq_Control Building; at upgraded wastewater treatment plant - US_Without Amendment_Aerated Static Pile</v>
      </c>
    </row>
    <row r="12449" spans="1:13" s="120" customFormat="1" x14ac:dyDescent="0.25">
      <c r="A12449" s="119"/>
      <c r="B12449" s="138" t="str">
        <f t="shared" si="1084"/>
        <v>Aerated Static Pile</v>
      </c>
      <c r="C12449" s="138" t="str">
        <f t="shared" si="1085"/>
        <v>Without Amendment</v>
      </c>
      <c r="D12449" s="138" t="str">
        <f t="shared" si="1089"/>
        <v>High_Low</v>
      </c>
      <c r="E12449" s="138" t="str">
        <f t="shared" si="1086"/>
        <v>Base</v>
      </c>
      <c r="F12449" s="138" t="str">
        <f t="shared" si="1087"/>
        <v>Upgraded</v>
      </c>
      <c r="G12449" s="153"/>
      <c r="H12449" s="210">
        <v>4.8999999999999998E-3</v>
      </c>
      <c r="I12449" s="160" t="s">
        <v>59</v>
      </c>
      <c r="J12449" s="160">
        <v>5.0400000000000002E-3</v>
      </c>
      <c r="K12449" s="160" t="s">
        <v>23</v>
      </c>
      <c r="L12449" s="154" t="str">
        <f>IF(OpenLCAbasic!K12449="CTUh", "Fill in Manually",IF(OR(K12449="Unit", K12449=""), "", INDEX(LookUps!$E$5:$E$12, MATCH(OpenLCAbasic!K12449,LookUps!$D$5:$D$12,0))))</f>
        <v>Global Warming Potential (GWP) - kg CO2 eq</v>
      </c>
      <c r="M12449" s="154" t="str">
        <f t="shared" si="1088"/>
        <v>Base_High_Low_Upgraded_Global Warming Potential (GWP) - kg CO2 eq_Blend Tank; wastewater treatment unit; at updated plant - US_Without Amendment_Aerated Static Pile</v>
      </c>
    </row>
    <row r="12450" spans="1:13" s="120" customFormat="1" x14ac:dyDescent="0.25">
      <c r="A12450" s="119"/>
      <c r="B12450" s="138" t="str">
        <f t="shared" si="1084"/>
        <v>Aerated Static Pile</v>
      </c>
      <c r="C12450" s="138" t="str">
        <f t="shared" si="1085"/>
        <v>Without Amendment</v>
      </c>
      <c r="D12450" s="138" t="str">
        <f t="shared" si="1089"/>
        <v>High_Low</v>
      </c>
      <c r="E12450" s="138" t="str">
        <f t="shared" si="1086"/>
        <v>Base</v>
      </c>
      <c r="F12450" s="138" t="str">
        <f t="shared" si="1087"/>
        <v>Upgraded</v>
      </c>
      <c r="G12450" s="153"/>
      <c r="H12450" s="210">
        <v>2.3E-3</v>
      </c>
      <c r="I12450" s="160" t="s">
        <v>168</v>
      </c>
      <c r="J12450" s="160">
        <v>2.4099999999999998E-3</v>
      </c>
      <c r="K12450" s="160" t="s">
        <v>23</v>
      </c>
      <c r="L12450" s="154" t="str">
        <f>IF(OpenLCAbasic!K12450="CTUh", "Fill in Manually",IF(OR(K12450="Unit", K12450=""), "", INDEX(LookUps!$E$5:$E$12, MATCH(OpenLCAbasic!K12450,LookUps!$D$5:$D$12,0))))</f>
        <v>Global Warming Potential (GWP) - kg CO2 eq</v>
      </c>
      <c r="M12450" s="154" t="str">
        <f t="shared" si="1088"/>
        <v>Base_High_Low_Upgraded_Global Warming Potential (GWP) - kg CO2 eq_ClearCove SCP; wastewater treatment unit; at updated plant - US_Without Amendment_Aerated Static Pile</v>
      </c>
    </row>
    <row r="12451" spans="1:13" s="120" customFormat="1" x14ac:dyDescent="0.25">
      <c r="A12451" s="119"/>
      <c r="B12451" s="138" t="str">
        <f t="shared" si="1084"/>
        <v>Aerated Static Pile</v>
      </c>
      <c r="C12451" s="138" t="str">
        <f t="shared" si="1085"/>
        <v>Without Amendment</v>
      </c>
      <c r="D12451" s="138" t="str">
        <f t="shared" si="1089"/>
        <v>High_Low</v>
      </c>
      <c r="E12451" s="138" t="str">
        <f t="shared" si="1086"/>
        <v>Base</v>
      </c>
      <c r="F12451" s="138" t="str">
        <f t="shared" si="1087"/>
        <v>Upgraded</v>
      </c>
      <c r="G12451" s="153"/>
      <c r="H12451" s="210">
        <v>-0.16450000000000001</v>
      </c>
      <c r="I12451" s="160" t="s">
        <v>149</v>
      </c>
      <c r="J12451" s="160">
        <v>-0.17055999999999999</v>
      </c>
      <c r="K12451" s="160" t="s">
        <v>23</v>
      </c>
      <c r="L12451" s="154" t="str">
        <f>IF(OpenLCAbasic!K12451="CTUh", "Fill in Manually",IF(OR(K12451="Unit", K12451=""), "", INDEX(LookUps!$E$5:$E$12, MATCH(OpenLCAbasic!K12451,LookUps!$D$5:$D$12,0))))</f>
        <v>Global Warming Potential (GWP) - kg CO2 eq</v>
      </c>
      <c r="M12451" s="154" t="str">
        <f t="shared" si="1088"/>
        <v>Base_High_Low_Upgraded_Global Warming Potential (GWP) - kg CO2 eq_Anaerobic Digestion; wastewater treatment unit; at updated plant - US_Without Amendment_Aerated Static Pile</v>
      </c>
    </row>
    <row r="12452" spans="1:13" s="120" customFormat="1" x14ac:dyDescent="0.25">
      <c r="A12452" s="119"/>
      <c r="B12452" s="138" t="str">
        <f t="shared" si="1084"/>
        <v>Aerated Static Pile</v>
      </c>
      <c r="C12452" s="138" t="str">
        <f t="shared" si="1085"/>
        <v>Without Amendment</v>
      </c>
      <c r="D12452" s="138" t="str">
        <f t="shared" si="1089"/>
        <v>High_Low</v>
      </c>
      <c r="E12452" s="138" t="str">
        <f t="shared" si="1086"/>
        <v>Base</v>
      </c>
      <c r="F12452" s="138" t="str">
        <f t="shared" si="1087"/>
        <v>Upgraded</v>
      </c>
      <c r="G12452" s="153"/>
      <c r="H12452" s="210">
        <v>-0.28799999999999998</v>
      </c>
      <c r="I12452" s="160" t="s">
        <v>62</v>
      </c>
      <c r="J12452" s="160">
        <v>-0.29854999999999998</v>
      </c>
      <c r="K12452" s="160" t="s">
        <v>23</v>
      </c>
      <c r="L12452" s="154" t="str">
        <f>IF(OpenLCAbasic!K12452="CTUh", "Fill in Manually",IF(OR(K12452="Unit", K12452=""), "", INDEX(LookUps!$E$5:$E$12, MATCH(OpenLCAbasic!K12452,LookUps!$D$5:$D$12,0))))</f>
        <v>Global Warming Potential (GWP) - kg CO2 eq</v>
      </c>
      <c r="M12452" s="154" t="str">
        <f t="shared" si="1088"/>
        <v>Base_High_Low_Upgraded_Global Warming Potential (GWP) - kg CO2 eq_Land application of compost; wastewater treatment unit; at updated plant - US_Without Amendment_Aerated Static Pile</v>
      </c>
    </row>
    <row r="12453" spans="1:13" s="120" customFormat="1" x14ac:dyDescent="0.25">
      <c r="A12453" s="119"/>
      <c r="B12453" s="138" t="str">
        <f t="shared" si="1084"/>
        <v/>
      </c>
      <c r="C12453" s="138" t="str">
        <f t="shared" si="1085"/>
        <v/>
      </c>
      <c r="D12453" s="138" t="str">
        <f t="shared" si="1089"/>
        <v/>
      </c>
      <c r="E12453" s="138" t="str">
        <f t="shared" si="1086"/>
        <v/>
      </c>
      <c r="F12453" s="138" t="str">
        <f t="shared" si="1087"/>
        <v/>
      </c>
      <c r="G12453" s="153" t="s">
        <v>51</v>
      </c>
      <c r="H12453" s="160"/>
      <c r="I12453" s="160" t="s">
        <v>47</v>
      </c>
      <c r="J12453" s="160" t="s">
        <v>52</v>
      </c>
      <c r="K12453" s="160" t="s">
        <v>27</v>
      </c>
      <c r="L12453" s="154" t="str">
        <f>IF(OpenLCAbasic!K12453="CTUh", "Fill in Manually",IF(OR(K12453="Unit", K12453=""), "", INDEX(LookUps!$E$5:$E$12, MATCH(OpenLCAbasic!K12453,LookUps!$D$5:$D$12,0))))</f>
        <v/>
      </c>
      <c r="M12453" s="154" t="str">
        <f t="shared" si="1088"/>
        <v>____Process__</v>
      </c>
    </row>
    <row r="12454" spans="1:13" s="120" customFormat="1" x14ac:dyDescent="0.25">
      <c r="A12454" s="119"/>
      <c r="B12454" s="138" t="str">
        <f t="shared" si="1084"/>
        <v>Aerated Static Pile</v>
      </c>
      <c r="C12454" s="138" t="str">
        <f t="shared" si="1085"/>
        <v>Without Amendment</v>
      </c>
      <c r="D12454" s="138" t="str">
        <f t="shared" si="1089"/>
        <v>High_Low</v>
      </c>
      <c r="E12454" s="138" t="str">
        <f t="shared" si="1086"/>
        <v>Base</v>
      </c>
      <c r="F12454" s="138" t="str">
        <f t="shared" si="1087"/>
        <v>Upgraded</v>
      </c>
      <c r="G12454" s="153"/>
      <c r="H12454" s="210">
        <v>0.56789999999999996</v>
      </c>
      <c r="I12454" s="160" t="s">
        <v>55</v>
      </c>
      <c r="J12454" s="160">
        <v>2.33E-3</v>
      </c>
      <c r="K12454" s="160" t="s">
        <v>145</v>
      </c>
      <c r="L12454" s="154" t="str">
        <f>IF(OpenLCAbasic!K12454="CTUh", "Fill in Manually",IF(OR(K12454="Unit", K12454=""), "", INDEX(LookUps!$E$5:$E$12, MATCH(OpenLCAbasic!K12454,LookUps!$D$5:$D$12,0))))</f>
        <v>Particulate Matter Formation Potential (PMFP) - kg PM2.5 eq</v>
      </c>
      <c r="M12454" s="154" t="str">
        <f t="shared" si="1088"/>
        <v>Base_High_Low_Upgraded_Particulate Matter Formation Potential (PMFP) - kg PM2.5 eq_Aeration Tanks; wastewater treatment unit; at updated plant - US_Without Amendment_Aerated Static Pile</v>
      </c>
    </row>
    <row r="12455" spans="1:13" s="120" customFormat="1" x14ac:dyDescent="0.25">
      <c r="A12455" s="119"/>
      <c r="B12455" s="138" t="str">
        <f t="shared" si="1084"/>
        <v>Aerated Static Pile</v>
      </c>
      <c r="C12455" s="138" t="str">
        <f t="shared" si="1085"/>
        <v>Without Amendment</v>
      </c>
      <c r="D12455" s="138" t="str">
        <f t="shared" si="1089"/>
        <v>High_Low</v>
      </c>
      <c r="E12455" s="138" t="str">
        <f t="shared" si="1086"/>
        <v>Base</v>
      </c>
      <c r="F12455" s="138" t="str">
        <f t="shared" si="1087"/>
        <v>Upgraded</v>
      </c>
      <c r="G12455" s="153"/>
      <c r="H12455" s="210">
        <v>0.1653</v>
      </c>
      <c r="I12455" s="160" t="s">
        <v>54</v>
      </c>
      <c r="J12455" s="160">
        <v>6.8000000000000005E-4</v>
      </c>
      <c r="K12455" s="160" t="s">
        <v>145</v>
      </c>
      <c r="L12455" s="154" t="str">
        <f>IF(OpenLCAbasic!K12455="CTUh", "Fill in Manually",IF(OR(K12455="Unit", K12455=""), "", INDEX(LookUps!$E$5:$E$12, MATCH(OpenLCAbasic!K12455,LookUps!$D$5:$D$12,0))))</f>
        <v>Particulate Matter Formation Potential (PMFP) - kg PM2.5 eq</v>
      </c>
      <c r="M12455" s="154" t="str">
        <f t="shared" si="1088"/>
        <v>Base_High_Low_Upgraded_Particulate Matter Formation Potential (PMFP) - kg PM2.5 eq_Clear Cove Primary Clarification; wastewater treatment unit; at updated plant - US_Without Amendment_Aerated Static Pile</v>
      </c>
    </row>
    <row r="12456" spans="1:13" s="120" customFormat="1" x14ac:dyDescent="0.25">
      <c r="A12456" s="119"/>
      <c r="B12456" s="138" t="str">
        <f t="shared" si="1084"/>
        <v>Aerated Static Pile</v>
      </c>
      <c r="C12456" s="138" t="str">
        <f t="shared" si="1085"/>
        <v>Without Amendment</v>
      </c>
      <c r="D12456" s="138" t="str">
        <f t="shared" si="1089"/>
        <v>High_Low</v>
      </c>
      <c r="E12456" s="138" t="str">
        <f t="shared" si="1086"/>
        <v>Base</v>
      </c>
      <c r="F12456" s="138" t="str">
        <f t="shared" si="1087"/>
        <v>Upgraded</v>
      </c>
      <c r="G12456" s="153"/>
      <c r="H12456" s="210">
        <v>0.14380000000000001</v>
      </c>
      <c r="I12456" s="160" t="s">
        <v>58</v>
      </c>
      <c r="J12456" s="160">
        <v>5.9000000000000003E-4</v>
      </c>
      <c r="K12456" s="160" t="s">
        <v>145</v>
      </c>
      <c r="L12456" s="154" t="str">
        <f>IF(OpenLCAbasic!K12456="CTUh", "Fill in Manually",IF(OR(K12456="Unit", K12456=""), "", INDEX(LookUps!$E$5:$E$12, MATCH(OpenLCAbasic!K12456,LookUps!$D$5:$D$12,0))))</f>
        <v>Particulate Matter Formation Potential (PMFP) - kg PM2.5 eq</v>
      </c>
      <c r="M12456" s="154" t="str">
        <f t="shared" si="1088"/>
        <v>Base_High_Low_Upgraded_Particulate Matter Formation Potential (PMFP) - kg PM2.5 eq_Pre-Anoxic &amp; Swing tank; wastewater treatment unit; at updated plant - US_Without Amendment_Aerated Static Pile</v>
      </c>
    </row>
    <row r="12457" spans="1:13" s="120" customFormat="1" x14ac:dyDescent="0.25">
      <c r="A12457" s="119"/>
      <c r="B12457" s="138" t="str">
        <f t="shared" ref="B12457:B12520" si="1090">IF(F12457="Legacy","n.a.",IF(F12457="","","Aerated Static Pile"))</f>
        <v>Aerated Static Pile</v>
      </c>
      <c r="C12457" s="138" t="str">
        <f t="shared" ref="C12457:C12520" si="1091">IF(ISNUMBER($J12457),"Without Amendment","")</f>
        <v>Without Amendment</v>
      </c>
      <c r="D12457" s="138" t="str">
        <f t="shared" si="1089"/>
        <v>High_Low</v>
      </c>
      <c r="E12457" s="138" t="str">
        <f t="shared" ref="E12457:E12520" si="1092">IF(ISNUMBER($J12457),"Base","")</f>
        <v>Base</v>
      </c>
      <c r="F12457" s="138" t="str">
        <f t="shared" ref="F12457:F12520" si="1093">IF(ISNUMBER(J12457),"Upgraded","")</f>
        <v>Upgraded</v>
      </c>
      <c r="G12457" s="153"/>
      <c r="H12457" s="210">
        <v>0.12280000000000001</v>
      </c>
      <c r="I12457" s="160" t="s">
        <v>435</v>
      </c>
      <c r="J12457" s="160">
        <v>5.0000000000000001E-4</v>
      </c>
      <c r="K12457" s="160" t="s">
        <v>145</v>
      </c>
      <c r="L12457" s="154" t="str">
        <f>IF(OpenLCAbasic!K12457="CTUh", "Fill in Manually",IF(OR(K12457="Unit", K12457=""), "", INDEX(LookUps!$E$5:$E$12, MATCH(OpenLCAbasic!K12457,LookUps!$D$5:$D$12,0))))</f>
        <v>Particulate Matter Formation Potential (PMFP) - kg PM2.5 eq</v>
      </c>
      <c r="M12457" s="154" t="str">
        <f t="shared" si="1088"/>
        <v>Base_High_Low_Upgraded_Particulate Matter Formation Potential (PMFP) - kg PM2.5 eq_Biosolids composting; aerated static pile; wastewater treatment unit; at updated plant - US_Without Amendment_Aerated Static Pile</v>
      </c>
    </row>
    <row r="12458" spans="1:13" s="120" customFormat="1" x14ac:dyDescent="0.25">
      <c r="A12458" s="119"/>
      <c r="B12458" s="138" t="str">
        <f t="shared" si="1090"/>
        <v>Aerated Static Pile</v>
      </c>
      <c r="C12458" s="138" t="str">
        <f t="shared" si="1091"/>
        <v>Without Amendment</v>
      </c>
      <c r="D12458" s="138" t="str">
        <f t="shared" si="1089"/>
        <v>High_Low</v>
      </c>
      <c r="E12458" s="138" t="str">
        <f t="shared" si="1092"/>
        <v>Base</v>
      </c>
      <c r="F12458" s="138" t="str">
        <f t="shared" si="1093"/>
        <v>Upgraded</v>
      </c>
      <c r="G12458" s="153"/>
      <c r="H12458" s="210">
        <v>0.1135</v>
      </c>
      <c r="I12458" s="160" t="s">
        <v>53</v>
      </c>
      <c r="J12458" s="160">
        <v>4.6999999999999999E-4</v>
      </c>
      <c r="K12458" s="160" t="s">
        <v>145</v>
      </c>
      <c r="L12458" s="154" t="str">
        <f>IF(OpenLCAbasic!K12458="CTUh", "Fill in Manually",IF(OR(K12458="Unit", K12458=""), "", INDEX(LookUps!$E$5:$E$12, MATCH(OpenLCAbasic!K12458,LookUps!$D$5:$D$12,0))))</f>
        <v>Particulate Matter Formation Potential (PMFP) - kg PM2.5 eq</v>
      </c>
      <c r="M12458" s="154" t="str">
        <f t="shared" si="1088"/>
        <v>Base_High_Low_Upgraded_Particulate Matter Formation Potential (PMFP) - kg PM2.5 eq_Wet Well and Sump Station; wastewater treatment unit; at updated plant - US_Without Amendment_Aerated Static Pile</v>
      </c>
    </row>
    <row r="12459" spans="1:13" s="120" customFormat="1" x14ac:dyDescent="0.25">
      <c r="A12459" s="119"/>
      <c r="B12459" s="138" t="str">
        <f t="shared" si="1090"/>
        <v>Aerated Static Pile</v>
      </c>
      <c r="C12459" s="138" t="str">
        <f t="shared" si="1091"/>
        <v>Without Amendment</v>
      </c>
      <c r="D12459" s="138" t="str">
        <f t="shared" si="1089"/>
        <v>High_Low</v>
      </c>
      <c r="E12459" s="138" t="str">
        <f t="shared" si="1092"/>
        <v>Base</v>
      </c>
      <c r="F12459" s="138" t="str">
        <f t="shared" si="1093"/>
        <v>Upgraded</v>
      </c>
      <c r="G12459" s="153"/>
      <c r="H12459" s="210">
        <v>8.0699999999999994E-2</v>
      </c>
      <c r="I12459" s="160" t="s">
        <v>167</v>
      </c>
      <c r="J12459" s="160">
        <v>3.3E-4</v>
      </c>
      <c r="K12459" s="160" t="s">
        <v>145</v>
      </c>
      <c r="L12459" s="154" t="str">
        <f>IF(OpenLCAbasic!K12459="CTUh", "Fill in Manually",IF(OR(K12459="Unit", K12459=""), "", INDEX(LookUps!$E$5:$E$12, MATCH(OpenLCAbasic!K12459,LookUps!$D$5:$D$12,0))))</f>
        <v>Particulate Matter Formation Potential (PMFP) - kg PM2.5 eq</v>
      </c>
      <c r="M12459" s="154" t="str">
        <f t="shared" si="1088"/>
        <v>Base_High_Low_Upgraded_Particulate Matter Formation Potential (PMFP) - kg PM2.5 eq_Waste Receiving and Holding; wastewater treatment unit; at updated plant - US_Without Amendment_Aerated Static Pile</v>
      </c>
    </row>
    <row r="12460" spans="1:13" s="120" customFormat="1" x14ac:dyDescent="0.25">
      <c r="A12460" s="119"/>
      <c r="B12460" s="138" t="str">
        <f t="shared" si="1090"/>
        <v>Aerated Static Pile</v>
      </c>
      <c r="C12460" s="138" t="str">
        <f t="shared" si="1091"/>
        <v>Without Amendment</v>
      </c>
      <c r="D12460" s="138" t="str">
        <f t="shared" si="1089"/>
        <v>High_Low</v>
      </c>
      <c r="E12460" s="138" t="str">
        <f t="shared" si="1092"/>
        <v>Base</v>
      </c>
      <c r="F12460" s="138" t="str">
        <f t="shared" si="1093"/>
        <v>Upgraded</v>
      </c>
      <c r="G12460" s="153"/>
      <c r="H12460" s="210">
        <v>6.4899999999999999E-2</v>
      </c>
      <c r="I12460" s="160" t="s">
        <v>147</v>
      </c>
      <c r="J12460" s="160">
        <v>2.7E-4</v>
      </c>
      <c r="K12460" s="160" t="s">
        <v>145</v>
      </c>
      <c r="L12460" s="154" t="str">
        <f>IF(OpenLCAbasic!K12460="CTUh", "Fill in Manually",IF(OR(K12460="Unit", K12460=""), "", INDEX(LookUps!$E$5:$E$12, MATCH(OpenLCAbasic!K12460,LookUps!$D$5:$D$12,0))))</f>
        <v>Particulate Matter Formation Potential (PMFP) - kg PM2.5 eq</v>
      </c>
      <c r="M12460" s="154" t="str">
        <f t="shared" si="1088"/>
        <v>Base_High_Low_Upgraded_Particulate Matter Formation Potential (PMFP) - kg PM2.5 eq_Influent Pump Station; wastewater treatment unit; at updated plant - US_Without Amendment_Aerated Static Pile</v>
      </c>
    </row>
    <row r="12461" spans="1:13" s="120" customFormat="1" x14ac:dyDescent="0.25">
      <c r="A12461" s="119"/>
      <c r="B12461" s="138" t="str">
        <f t="shared" si="1090"/>
        <v>Aerated Static Pile</v>
      </c>
      <c r="C12461" s="138" t="str">
        <f t="shared" si="1091"/>
        <v>Without Amendment</v>
      </c>
      <c r="D12461" s="138" t="str">
        <f t="shared" si="1089"/>
        <v>High_Low</v>
      </c>
      <c r="E12461" s="138" t="str">
        <f t="shared" si="1092"/>
        <v>Base</v>
      </c>
      <c r="F12461" s="138" t="str">
        <f t="shared" si="1093"/>
        <v>Upgraded</v>
      </c>
      <c r="G12461" s="153"/>
      <c r="H12461" s="210">
        <v>5.5300000000000002E-2</v>
      </c>
      <c r="I12461" s="160" t="s">
        <v>60</v>
      </c>
      <c r="J12461" s="160">
        <v>2.3000000000000001E-4</v>
      </c>
      <c r="K12461" s="160" t="s">
        <v>145</v>
      </c>
      <c r="L12461" s="154" t="str">
        <f>IF(OpenLCAbasic!K12461="CTUh", "Fill in Manually",IF(OR(K12461="Unit", K12461=""), "", INDEX(LookUps!$E$5:$E$12, MATCH(OpenLCAbasic!K12461,LookUps!$D$5:$D$12,0))))</f>
        <v>Particulate Matter Formation Potential (PMFP) - kg PM2.5 eq</v>
      </c>
      <c r="M12461" s="154" t="str">
        <f t="shared" si="1088"/>
        <v>Base_High_Low_Upgraded_Particulate Matter Formation Potential (PMFP) - kg PM2.5 eq_Belt filter press; wastewater treatment unit; at updated plant - US_Without Amendment_Aerated Static Pile</v>
      </c>
    </row>
    <row r="12462" spans="1:13" s="120" customFormat="1" x14ac:dyDescent="0.25">
      <c r="A12462" s="119"/>
      <c r="B12462" s="138" t="str">
        <f t="shared" si="1090"/>
        <v>Aerated Static Pile</v>
      </c>
      <c r="C12462" s="138" t="str">
        <f t="shared" si="1091"/>
        <v>Without Amendment</v>
      </c>
      <c r="D12462" s="138" t="str">
        <f t="shared" si="1089"/>
        <v>High_Low</v>
      </c>
      <c r="E12462" s="138" t="str">
        <f t="shared" si="1092"/>
        <v>Base</v>
      </c>
      <c r="F12462" s="138" t="str">
        <f t="shared" si="1093"/>
        <v>Upgraded</v>
      </c>
      <c r="G12462" s="153"/>
      <c r="H12462" s="210">
        <v>4.0500000000000001E-2</v>
      </c>
      <c r="I12462" s="160" t="s">
        <v>128</v>
      </c>
      <c r="J12462" s="160">
        <v>1.7000000000000001E-4</v>
      </c>
      <c r="K12462" s="160" t="s">
        <v>145</v>
      </c>
      <c r="L12462" s="154" t="str">
        <f>IF(OpenLCAbasic!K12462="CTUh", "Fill in Manually",IF(OR(K12462="Unit", K12462=""), "", INDEX(LookUps!$E$5:$E$12, MATCH(OpenLCAbasic!K12462,LookUps!$D$5:$D$12,0))))</f>
        <v>Particulate Matter Formation Potential (PMFP) - kg PM2.5 eq</v>
      </c>
      <c r="M12462" s="154" t="str">
        <f t="shared" si="1088"/>
        <v>Base_High_Low_Upgraded_Particulate Matter Formation Potential (PMFP) - kg PM2.5 eq_Wastewater collection; operation and infrastructure; m3 wastewater_Without Amendment_Aerated Static Pile</v>
      </c>
    </row>
    <row r="12463" spans="1:13" s="120" customFormat="1" x14ac:dyDescent="0.25">
      <c r="A12463" s="119"/>
      <c r="B12463" s="138" t="str">
        <f t="shared" si="1090"/>
        <v>Aerated Static Pile</v>
      </c>
      <c r="C12463" s="138" t="str">
        <f t="shared" si="1091"/>
        <v>Without Amendment</v>
      </c>
      <c r="D12463" s="138" t="str">
        <f t="shared" si="1089"/>
        <v>High_Low</v>
      </c>
      <c r="E12463" s="138" t="str">
        <f t="shared" si="1092"/>
        <v>Base</v>
      </c>
      <c r="F12463" s="138" t="str">
        <f t="shared" si="1093"/>
        <v>Upgraded</v>
      </c>
      <c r="G12463" s="153"/>
      <c r="H12463" s="210">
        <v>2.3199999999999998E-2</v>
      </c>
      <c r="I12463" s="160" t="s">
        <v>57</v>
      </c>
      <c r="J12463" s="211">
        <v>9.5153800000000004E-5</v>
      </c>
      <c r="K12463" s="160" t="s">
        <v>145</v>
      </c>
      <c r="L12463" s="154" t="str">
        <f>IF(OpenLCAbasic!K12463="CTUh", "Fill in Manually",IF(OR(K12463="Unit", K12463=""), "", INDEX(LookUps!$E$5:$E$12, MATCH(OpenLCAbasic!K12463,LookUps!$D$5:$D$12,0))))</f>
        <v>Particulate Matter Formation Potential (PMFP) - kg PM2.5 eq</v>
      </c>
      <c r="M12463" s="154" t="str">
        <f t="shared" si="1088"/>
        <v>Base_High_Low_Upgraded_Particulate Matter Formation Potential (PMFP) - kg PM2.5 eq_Gravity Belt Thickener; wastewater treatment unit; at updated plant - US_Without Amendment_Aerated Static Pile</v>
      </c>
    </row>
    <row r="12464" spans="1:13" s="120" customFormat="1" x14ac:dyDescent="0.25">
      <c r="A12464" s="119"/>
      <c r="B12464" s="138" t="str">
        <f t="shared" si="1090"/>
        <v>Aerated Static Pile</v>
      </c>
      <c r="C12464" s="138" t="str">
        <f t="shared" si="1091"/>
        <v>Without Amendment</v>
      </c>
      <c r="D12464" s="138" t="str">
        <f t="shared" si="1089"/>
        <v>High_Low</v>
      </c>
      <c r="E12464" s="138" t="str">
        <f t="shared" si="1092"/>
        <v>Base</v>
      </c>
      <c r="F12464" s="138" t="str">
        <f t="shared" si="1093"/>
        <v>Upgraded</v>
      </c>
      <c r="G12464" s="153"/>
      <c r="H12464" s="210">
        <v>1.7000000000000001E-2</v>
      </c>
      <c r="I12464" s="160" t="s">
        <v>59</v>
      </c>
      <c r="J12464" s="211">
        <v>6.9942200000000003E-5</v>
      </c>
      <c r="K12464" s="160" t="s">
        <v>145</v>
      </c>
      <c r="L12464" s="154" t="str">
        <f>IF(OpenLCAbasic!K12464="CTUh", "Fill in Manually",IF(OR(K12464="Unit", K12464=""), "", INDEX(LookUps!$E$5:$E$12, MATCH(OpenLCAbasic!K12464,LookUps!$D$5:$D$12,0))))</f>
        <v>Particulate Matter Formation Potential (PMFP) - kg PM2.5 eq</v>
      </c>
      <c r="M12464" s="154" t="str">
        <f t="shared" si="1088"/>
        <v>Base_High_Low_Upgraded_Particulate Matter Formation Potential (PMFP) - kg PM2.5 eq_Blend Tank; wastewater treatment unit; at updated plant - US_Without Amendment_Aerated Static Pile</v>
      </c>
    </row>
    <row r="12465" spans="1:13" s="120" customFormat="1" x14ac:dyDescent="0.25">
      <c r="A12465" s="119"/>
      <c r="B12465" s="138" t="str">
        <f t="shared" si="1090"/>
        <v>Aerated Static Pile</v>
      </c>
      <c r="C12465" s="138" t="str">
        <f t="shared" si="1091"/>
        <v>Without Amendment</v>
      </c>
      <c r="D12465" s="138" t="str">
        <f t="shared" si="1089"/>
        <v>High_Low</v>
      </c>
      <c r="E12465" s="138" t="str">
        <f t="shared" si="1092"/>
        <v>Base</v>
      </c>
      <c r="F12465" s="138" t="str">
        <f t="shared" si="1093"/>
        <v>Upgraded</v>
      </c>
      <c r="G12465" s="153"/>
      <c r="H12465" s="210">
        <v>1.5599999999999999E-2</v>
      </c>
      <c r="I12465" s="160" t="s">
        <v>62</v>
      </c>
      <c r="J12465" s="211">
        <v>6.3978699999999998E-5</v>
      </c>
      <c r="K12465" s="160" t="s">
        <v>145</v>
      </c>
      <c r="L12465" s="154" t="str">
        <f>IF(OpenLCAbasic!K12465="CTUh", "Fill in Manually",IF(OR(K12465="Unit", K12465=""), "", INDEX(LookUps!$E$5:$E$12, MATCH(OpenLCAbasic!K12465,LookUps!$D$5:$D$12,0))))</f>
        <v>Particulate Matter Formation Potential (PMFP) - kg PM2.5 eq</v>
      </c>
      <c r="M12465" s="154" t="str">
        <f t="shared" si="1088"/>
        <v>Base_High_Low_Upgraded_Particulate Matter Formation Potential (PMFP) - kg PM2.5 eq_Land application of compost; wastewater treatment unit; at updated plant - US_Without Amendment_Aerated Static Pile</v>
      </c>
    </row>
    <row r="12466" spans="1:13" s="120" customFormat="1" x14ac:dyDescent="0.25">
      <c r="A12466" s="119"/>
      <c r="B12466" s="138" t="str">
        <f t="shared" si="1090"/>
        <v>Aerated Static Pile</v>
      </c>
      <c r="C12466" s="138" t="str">
        <f t="shared" si="1091"/>
        <v>Without Amendment</v>
      </c>
      <c r="D12466" s="138" t="str">
        <f t="shared" si="1089"/>
        <v>High_Low</v>
      </c>
      <c r="E12466" s="138" t="str">
        <f t="shared" si="1092"/>
        <v>Base</v>
      </c>
      <c r="F12466" s="138" t="str">
        <f t="shared" si="1093"/>
        <v>Upgraded</v>
      </c>
      <c r="G12466" s="153"/>
      <c r="H12466" s="210">
        <v>1.2200000000000001E-2</v>
      </c>
      <c r="I12466" s="160" t="s">
        <v>48</v>
      </c>
      <c r="J12466" s="211">
        <v>4.99741E-5</v>
      </c>
      <c r="K12466" s="160" t="s">
        <v>145</v>
      </c>
      <c r="L12466" s="154" t="str">
        <f>IF(OpenLCAbasic!K12466="CTUh", "Fill in Manually",IF(OR(K12466="Unit", K12466=""), "", INDEX(LookUps!$E$5:$E$12, MATCH(OpenLCAbasic!K12466,LookUps!$D$5:$D$12,0))))</f>
        <v>Particulate Matter Formation Potential (PMFP) - kg PM2.5 eq</v>
      </c>
      <c r="M12466" s="154" t="str">
        <f t="shared" si="1088"/>
        <v>Base_High_Low_Upgraded_Particulate Matter Formation Potential (PMFP) - kg PM2.5 eq_Effluent release; wastewater treatment unit; at surface water; m3 wastewater - US_Without Amendment_Aerated Static Pile</v>
      </c>
    </row>
    <row r="12467" spans="1:13" s="120" customFormat="1" x14ac:dyDescent="0.25">
      <c r="A12467" s="119"/>
      <c r="B12467" s="138" t="str">
        <f t="shared" si="1090"/>
        <v>Aerated Static Pile</v>
      </c>
      <c r="C12467" s="138" t="str">
        <f t="shared" si="1091"/>
        <v>Without Amendment</v>
      </c>
      <c r="D12467" s="138" t="str">
        <f t="shared" si="1089"/>
        <v>High_Low</v>
      </c>
      <c r="E12467" s="138" t="str">
        <f t="shared" si="1092"/>
        <v>Base</v>
      </c>
      <c r="F12467" s="138" t="str">
        <f t="shared" si="1093"/>
        <v>Upgraded</v>
      </c>
      <c r="G12467" s="153"/>
      <c r="H12467" s="210">
        <v>8.3999999999999995E-3</v>
      </c>
      <c r="I12467" s="160" t="s">
        <v>168</v>
      </c>
      <c r="J12467" s="211">
        <v>3.4562199999999999E-5</v>
      </c>
      <c r="K12467" s="160" t="s">
        <v>145</v>
      </c>
      <c r="L12467" s="154" t="str">
        <f>IF(OpenLCAbasic!K12467="CTUh", "Fill in Manually",IF(OR(K12467="Unit", K12467=""), "", INDEX(LookUps!$E$5:$E$12, MATCH(OpenLCAbasic!K12467,LookUps!$D$5:$D$12,0))))</f>
        <v>Particulate Matter Formation Potential (PMFP) - kg PM2.5 eq</v>
      </c>
      <c r="M12467" s="154" t="str">
        <f t="shared" si="1088"/>
        <v>Base_High_Low_Upgraded_Particulate Matter Formation Potential (PMFP) - kg PM2.5 eq_ClearCove SCP; wastewater treatment unit; at updated plant - US_Without Amendment_Aerated Static Pile</v>
      </c>
    </row>
    <row r="12468" spans="1:13" s="120" customFormat="1" x14ac:dyDescent="0.25">
      <c r="A12468" s="119"/>
      <c r="B12468" s="138" t="str">
        <f t="shared" si="1090"/>
        <v>Aerated Static Pile</v>
      </c>
      <c r="C12468" s="138" t="str">
        <f t="shared" si="1091"/>
        <v>Without Amendment</v>
      </c>
      <c r="D12468" s="138" t="str">
        <f t="shared" si="1089"/>
        <v>High_Low</v>
      </c>
      <c r="E12468" s="138" t="str">
        <f t="shared" si="1092"/>
        <v>Base</v>
      </c>
      <c r="F12468" s="138" t="str">
        <f t="shared" si="1093"/>
        <v>Upgraded</v>
      </c>
      <c r="G12468" s="153"/>
      <c r="H12468" s="210">
        <v>2.0999999999999999E-3</v>
      </c>
      <c r="I12468" s="160" t="s">
        <v>148</v>
      </c>
      <c r="J12468" s="211">
        <v>8.8212999999999997E-6</v>
      </c>
      <c r="K12468" s="160" t="s">
        <v>145</v>
      </c>
      <c r="L12468" s="154" t="str">
        <f>IF(OpenLCAbasic!K12468="CTUh", "Fill in Manually",IF(OR(K12468="Unit", K12468=""), "", INDEX(LookUps!$E$5:$E$12, MATCH(OpenLCAbasic!K12468,LookUps!$D$5:$D$12,0))))</f>
        <v>Particulate Matter Formation Potential (PMFP) - kg PM2.5 eq</v>
      </c>
      <c r="M12468" s="154" t="str">
        <f t="shared" si="1088"/>
        <v>Base_High_Low_Upgraded_Particulate Matter Formation Potential (PMFP) - kg PM2.5 eq_Control Building; at upgraded wastewater treatment plant - US_Without Amendment_Aerated Static Pile</v>
      </c>
    </row>
    <row r="12469" spans="1:13" s="120" customFormat="1" x14ac:dyDescent="0.25">
      <c r="A12469" s="119"/>
      <c r="B12469" s="138" t="str">
        <f t="shared" si="1090"/>
        <v>Aerated Static Pile</v>
      </c>
      <c r="C12469" s="138" t="str">
        <f t="shared" si="1091"/>
        <v>Without Amendment</v>
      </c>
      <c r="D12469" s="138" t="str">
        <f t="shared" si="1089"/>
        <v>High_Low</v>
      </c>
      <c r="E12469" s="138" t="str">
        <f t="shared" si="1092"/>
        <v>Base</v>
      </c>
      <c r="F12469" s="138" t="str">
        <f t="shared" si="1093"/>
        <v>Upgraded</v>
      </c>
      <c r="G12469" s="153"/>
      <c r="H12469" s="210">
        <v>-0.43330000000000002</v>
      </c>
      <c r="I12469" s="160" t="s">
        <v>149</v>
      </c>
      <c r="J12469" s="160">
        <v>-1.7799999999999999E-3</v>
      </c>
      <c r="K12469" s="160" t="s">
        <v>145</v>
      </c>
      <c r="L12469" s="154" t="str">
        <f>IF(OpenLCAbasic!K12469="CTUh", "Fill in Manually",IF(OR(K12469="Unit", K12469=""), "", INDEX(LookUps!$E$5:$E$12, MATCH(OpenLCAbasic!K12469,LookUps!$D$5:$D$12,0))))</f>
        <v>Particulate Matter Formation Potential (PMFP) - kg PM2.5 eq</v>
      </c>
      <c r="M12469" s="154" t="str">
        <f t="shared" si="1088"/>
        <v>Base_High_Low_Upgraded_Particulate Matter Formation Potential (PMFP) - kg PM2.5 eq_Anaerobic Digestion; wastewater treatment unit; at updated plant - US_Without Amendment_Aerated Static Pile</v>
      </c>
    </row>
    <row r="12470" spans="1:13" s="120" customFormat="1" x14ac:dyDescent="0.25">
      <c r="A12470" s="119"/>
      <c r="B12470" s="138" t="str">
        <f t="shared" si="1090"/>
        <v/>
      </c>
      <c r="C12470" s="138" t="str">
        <f t="shared" si="1091"/>
        <v/>
      </c>
      <c r="D12470" s="138" t="str">
        <f t="shared" si="1089"/>
        <v/>
      </c>
      <c r="E12470" s="138" t="str">
        <f t="shared" si="1092"/>
        <v/>
      </c>
      <c r="F12470" s="138" t="str">
        <f t="shared" si="1093"/>
        <v/>
      </c>
      <c r="G12470" s="153" t="s">
        <v>51</v>
      </c>
      <c r="H12470" s="160"/>
      <c r="I12470" s="160" t="s">
        <v>47</v>
      </c>
      <c r="J12470" s="160" t="s">
        <v>52</v>
      </c>
      <c r="K12470" s="160" t="s">
        <v>27</v>
      </c>
      <c r="L12470" s="154" t="str">
        <f>IF(OpenLCAbasic!K12470="CTUh", "Fill in Manually",IF(OR(K12470="Unit", K12470=""), "", INDEX(LookUps!$E$5:$E$12, MATCH(OpenLCAbasic!K12470,LookUps!$D$5:$D$12,0))))</f>
        <v/>
      </c>
      <c r="M12470" s="154" t="str">
        <f t="shared" si="1088"/>
        <v>____Process__</v>
      </c>
    </row>
    <row r="12471" spans="1:13" s="120" customFormat="1" x14ac:dyDescent="0.25">
      <c r="A12471" s="119"/>
      <c r="B12471" s="138" t="str">
        <f t="shared" si="1090"/>
        <v>Aerated Static Pile</v>
      </c>
      <c r="C12471" s="138" t="str">
        <f t="shared" si="1091"/>
        <v>Without Amendment</v>
      </c>
      <c r="D12471" s="138" t="str">
        <f t="shared" si="1089"/>
        <v>High_Low</v>
      </c>
      <c r="E12471" s="138" t="str">
        <f t="shared" si="1092"/>
        <v>Base</v>
      </c>
      <c r="F12471" s="138" t="str">
        <f t="shared" si="1093"/>
        <v>Upgraded</v>
      </c>
      <c r="G12471" s="153"/>
      <c r="H12471" s="210">
        <v>0.5675</v>
      </c>
      <c r="I12471" s="160" t="s">
        <v>55</v>
      </c>
      <c r="J12471" s="160">
        <v>0.16577</v>
      </c>
      <c r="K12471" s="160" t="s">
        <v>25</v>
      </c>
      <c r="L12471" s="154" t="str">
        <f>IF(OpenLCAbasic!K12471="CTUh", "Fill in Manually",IF(OR(K12471="Unit", K12471=""), "", INDEX(LookUps!$E$5:$E$12, MATCH(OpenLCAbasic!K12471,LookUps!$D$5:$D$12,0))))</f>
        <v>Smog Formation Potential (SFP) - kg O3 eq</v>
      </c>
      <c r="M12471" s="154" t="str">
        <f t="shared" si="1088"/>
        <v>Base_High_Low_Upgraded_Smog Formation Potential (SFP) - kg O3 eq_Aeration Tanks; wastewater treatment unit; at updated plant - US_Without Amendment_Aerated Static Pile</v>
      </c>
    </row>
    <row r="12472" spans="1:13" s="120" customFormat="1" x14ac:dyDescent="0.25">
      <c r="A12472" s="119"/>
      <c r="B12472" s="138" t="str">
        <f t="shared" si="1090"/>
        <v>Aerated Static Pile</v>
      </c>
      <c r="C12472" s="138" t="str">
        <f t="shared" si="1091"/>
        <v>Without Amendment</v>
      </c>
      <c r="D12472" s="138" t="str">
        <f t="shared" si="1089"/>
        <v>High_Low</v>
      </c>
      <c r="E12472" s="138" t="str">
        <f t="shared" si="1092"/>
        <v>Base</v>
      </c>
      <c r="F12472" s="138" t="str">
        <f t="shared" si="1093"/>
        <v>Upgraded</v>
      </c>
      <c r="G12472" s="153"/>
      <c r="H12472" s="210">
        <v>0.1646</v>
      </c>
      <c r="I12472" s="160" t="s">
        <v>54</v>
      </c>
      <c r="J12472" s="160">
        <v>4.8070000000000002E-2</v>
      </c>
      <c r="K12472" s="160" t="s">
        <v>25</v>
      </c>
      <c r="L12472" s="154" t="str">
        <f>IF(OpenLCAbasic!K12472="CTUh", "Fill in Manually",IF(OR(K12472="Unit", K12472=""), "", INDEX(LookUps!$E$5:$E$12, MATCH(OpenLCAbasic!K12472,LookUps!$D$5:$D$12,0))))</f>
        <v>Smog Formation Potential (SFP) - kg O3 eq</v>
      </c>
      <c r="M12472" s="154" t="str">
        <f t="shared" si="1088"/>
        <v>Base_High_Low_Upgraded_Smog Formation Potential (SFP) - kg O3 eq_Clear Cove Primary Clarification; wastewater treatment unit; at updated plant - US_Without Amendment_Aerated Static Pile</v>
      </c>
    </row>
    <row r="12473" spans="1:13" s="120" customFormat="1" x14ac:dyDescent="0.25">
      <c r="A12473" s="119"/>
      <c r="B12473" s="138" t="str">
        <f t="shared" si="1090"/>
        <v>Aerated Static Pile</v>
      </c>
      <c r="C12473" s="138" t="str">
        <f t="shared" si="1091"/>
        <v>Without Amendment</v>
      </c>
      <c r="D12473" s="138" t="str">
        <f t="shared" si="1089"/>
        <v>High_Low</v>
      </c>
      <c r="E12473" s="138" t="str">
        <f t="shared" si="1092"/>
        <v>Base</v>
      </c>
      <c r="F12473" s="138" t="str">
        <f t="shared" si="1093"/>
        <v>Upgraded</v>
      </c>
      <c r="G12473" s="153"/>
      <c r="H12473" s="210">
        <v>0.14410000000000001</v>
      </c>
      <c r="I12473" s="160" t="s">
        <v>58</v>
      </c>
      <c r="J12473" s="160">
        <v>4.2090000000000002E-2</v>
      </c>
      <c r="K12473" s="160" t="s">
        <v>25</v>
      </c>
      <c r="L12473" s="154" t="str">
        <f>IF(OpenLCAbasic!K12473="CTUh", "Fill in Manually",IF(OR(K12473="Unit", K12473=""), "", INDEX(LookUps!$E$5:$E$12, MATCH(OpenLCAbasic!K12473,LookUps!$D$5:$D$12,0))))</f>
        <v>Smog Formation Potential (SFP) - kg O3 eq</v>
      </c>
      <c r="M12473" s="154" t="str">
        <f t="shared" si="1088"/>
        <v>Base_High_Low_Upgraded_Smog Formation Potential (SFP) - kg O3 eq_Pre-Anoxic &amp; Swing tank; wastewater treatment unit; at updated plant - US_Without Amendment_Aerated Static Pile</v>
      </c>
    </row>
    <row r="12474" spans="1:13" s="120" customFormat="1" x14ac:dyDescent="0.25">
      <c r="A12474" s="119"/>
      <c r="B12474" s="138" t="str">
        <f t="shared" si="1090"/>
        <v>Aerated Static Pile</v>
      </c>
      <c r="C12474" s="138" t="str">
        <f t="shared" si="1091"/>
        <v>Without Amendment</v>
      </c>
      <c r="D12474" s="138" t="str">
        <f t="shared" si="1089"/>
        <v>High_Low</v>
      </c>
      <c r="E12474" s="138" t="str">
        <f t="shared" si="1092"/>
        <v>Base</v>
      </c>
      <c r="F12474" s="138" t="str">
        <f t="shared" si="1093"/>
        <v>Upgraded</v>
      </c>
      <c r="G12474" s="153"/>
      <c r="H12474" s="210">
        <v>0.1198</v>
      </c>
      <c r="I12474" s="160" t="s">
        <v>435</v>
      </c>
      <c r="J12474" s="160">
        <v>3.499E-2</v>
      </c>
      <c r="K12474" s="160" t="s">
        <v>25</v>
      </c>
      <c r="L12474" s="154" t="str">
        <f>IF(OpenLCAbasic!K12474="CTUh", "Fill in Manually",IF(OR(K12474="Unit", K12474=""), "", INDEX(LookUps!$E$5:$E$12, MATCH(OpenLCAbasic!K12474,LookUps!$D$5:$D$12,0))))</f>
        <v>Smog Formation Potential (SFP) - kg O3 eq</v>
      </c>
      <c r="M12474" s="154" t="str">
        <f t="shared" si="1088"/>
        <v>Base_High_Low_Upgraded_Smog Formation Potential (SFP) - kg O3 eq_Biosolids composting; aerated static pile; wastewater treatment unit; at updated plant - US_Without Amendment_Aerated Static Pile</v>
      </c>
    </row>
    <row r="12475" spans="1:13" s="120" customFormat="1" x14ac:dyDescent="0.25">
      <c r="A12475" s="119"/>
      <c r="B12475" s="138" t="str">
        <f t="shared" si="1090"/>
        <v>Aerated Static Pile</v>
      </c>
      <c r="C12475" s="138" t="str">
        <f t="shared" si="1091"/>
        <v>Without Amendment</v>
      </c>
      <c r="D12475" s="138" t="str">
        <f t="shared" si="1089"/>
        <v>High_Low</v>
      </c>
      <c r="E12475" s="138" t="str">
        <f t="shared" si="1092"/>
        <v>Base</v>
      </c>
      <c r="F12475" s="138" t="str">
        <f t="shared" si="1093"/>
        <v>Upgraded</v>
      </c>
      <c r="G12475" s="153"/>
      <c r="H12475" s="210">
        <v>0.11559999999999999</v>
      </c>
      <c r="I12475" s="160" t="s">
        <v>167</v>
      </c>
      <c r="J12475" s="160">
        <v>3.3759999999999998E-2</v>
      </c>
      <c r="K12475" s="160" t="s">
        <v>25</v>
      </c>
      <c r="L12475" s="154" t="str">
        <f>IF(OpenLCAbasic!K12475="CTUh", "Fill in Manually",IF(OR(K12475="Unit", K12475=""), "", INDEX(LookUps!$E$5:$E$12, MATCH(OpenLCAbasic!K12475,LookUps!$D$5:$D$12,0))))</f>
        <v>Smog Formation Potential (SFP) - kg O3 eq</v>
      </c>
      <c r="M12475" s="154" t="str">
        <f t="shared" si="1088"/>
        <v>Base_High_Low_Upgraded_Smog Formation Potential (SFP) - kg O3 eq_Waste Receiving and Holding; wastewater treatment unit; at updated plant - US_Without Amendment_Aerated Static Pile</v>
      </c>
    </row>
    <row r="12476" spans="1:13" s="120" customFormat="1" x14ac:dyDescent="0.25">
      <c r="A12476" s="119"/>
      <c r="B12476" s="138" t="str">
        <f t="shared" si="1090"/>
        <v>Aerated Static Pile</v>
      </c>
      <c r="C12476" s="138" t="str">
        <f t="shared" si="1091"/>
        <v>Without Amendment</v>
      </c>
      <c r="D12476" s="138" t="str">
        <f t="shared" si="1089"/>
        <v>High_Low</v>
      </c>
      <c r="E12476" s="138" t="str">
        <f t="shared" si="1092"/>
        <v>Base</v>
      </c>
      <c r="F12476" s="138" t="str">
        <f t="shared" si="1093"/>
        <v>Upgraded</v>
      </c>
      <c r="G12476" s="153"/>
      <c r="H12476" s="210">
        <v>0.1134</v>
      </c>
      <c r="I12476" s="160" t="s">
        <v>53</v>
      </c>
      <c r="J12476" s="160">
        <v>3.313E-2</v>
      </c>
      <c r="K12476" s="160" t="s">
        <v>25</v>
      </c>
      <c r="L12476" s="154" t="str">
        <f>IF(OpenLCAbasic!K12476="CTUh", "Fill in Manually",IF(OR(K12476="Unit", K12476=""), "", INDEX(LookUps!$E$5:$E$12, MATCH(OpenLCAbasic!K12476,LookUps!$D$5:$D$12,0))))</f>
        <v>Smog Formation Potential (SFP) - kg O3 eq</v>
      </c>
      <c r="M12476" s="154" t="str">
        <f t="shared" si="1088"/>
        <v>Base_High_Low_Upgraded_Smog Formation Potential (SFP) - kg O3 eq_Wet Well and Sump Station; wastewater treatment unit; at updated plant - US_Without Amendment_Aerated Static Pile</v>
      </c>
    </row>
    <row r="12477" spans="1:13" s="120" customFormat="1" x14ac:dyDescent="0.25">
      <c r="A12477" s="119"/>
      <c r="B12477" s="138" t="str">
        <f t="shared" si="1090"/>
        <v>Aerated Static Pile</v>
      </c>
      <c r="C12477" s="138" t="str">
        <f t="shared" si="1091"/>
        <v>Without Amendment</v>
      </c>
      <c r="D12477" s="138" t="str">
        <f t="shared" si="1089"/>
        <v>High_Low</v>
      </c>
      <c r="E12477" s="138" t="str">
        <f t="shared" si="1092"/>
        <v>Base</v>
      </c>
      <c r="F12477" s="138" t="str">
        <f t="shared" si="1093"/>
        <v>Upgraded</v>
      </c>
      <c r="G12477" s="153"/>
      <c r="H12477" s="210">
        <v>6.6400000000000001E-2</v>
      </c>
      <c r="I12477" s="160" t="s">
        <v>147</v>
      </c>
      <c r="J12477" s="160">
        <v>1.9400000000000001E-2</v>
      </c>
      <c r="K12477" s="160" t="s">
        <v>25</v>
      </c>
      <c r="L12477" s="154" t="str">
        <f>IF(OpenLCAbasic!K12477="CTUh", "Fill in Manually",IF(OR(K12477="Unit", K12477=""), "", INDEX(LookUps!$E$5:$E$12, MATCH(OpenLCAbasic!K12477,LookUps!$D$5:$D$12,0))))</f>
        <v>Smog Formation Potential (SFP) - kg O3 eq</v>
      </c>
      <c r="M12477" s="154" t="str">
        <f t="shared" si="1088"/>
        <v>Base_High_Low_Upgraded_Smog Formation Potential (SFP) - kg O3 eq_Influent Pump Station; wastewater treatment unit; at updated plant - US_Without Amendment_Aerated Static Pile</v>
      </c>
    </row>
    <row r="12478" spans="1:13" s="120" customFormat="1" x14ac:dyDescent="0.25">
      <c r="A12478" s="119"/>
      <c r="B12478" s="138" t="str">
        <f t="shared" si="1090"/>
        <v>Aerated Static Pile</v>
      </c>
      <c r="C12478" s="138" t="str">
        <f t="shared" si="1091"/>
        <v>Without Amendment</v>
      </c>
      <c r="D12478" s="138" t="str">
        <f t="shared" si="1089"/>
        <v>High_Low</v>
      </c>
      <c r="E12478" s="138" t="str">
        <f t="shared" si="1092"/>
        <v>Base</v>
      </c>
      <c r="F12478" s="138" t="str">
        <f t="shared" si="1093"/>
        <v>Upgraded</v>
      </c>
      <c r="G12478" s="153"/>
      <c r="H12478" s="210">
        <v>5.4800000000000001E-2</v>
      </c>
      <c r="I12478" s="160" t="s">
        <v>60</v>
      </c>
      <c r="J12478" s="160">
        <v>1.5990000000000001E-2</v>
      </c>
      <c r="K12478" s="160" t="s">
        <v>25</v>
      </c>
      <c r="L12478" s="154" t="str">
        <f>IF(OpenLCAbasic!K12478="CTUh", "Fill in Manually",IF(OR(K12478="Unit", K12478=""), "", INDEX(LookUps!$E$5:$E$12, MATCH(OpenLCAbasic!K12478,LookUps!$D$5:$D$12,0))))</f>
        <v>Smog Formation Potential (SFP) - kg O3 eq</v>
      </c>
      <c r="M12478" s="154" t="str">
        <f t="shared" si="1088"/>
        <v>Base_High_Low_Upgraded_Smog Formation Potential (SFP) - kg O3 eq_Belt filter press; wastewater treatment unit; at updated plant - US_Without Amendment_Aerated Static Pile</v>
      </c>
    </row>
    <row r="12479" spans="1:13" s="120" customFormat="1" x14ac:dyDescent="0.25">
      <c r="A12479" s="119"/>
      <c r="B12479" s="138" t="str">
        <f t="shared" si="1090"/>
        <v>Aerated Static Pile</v>
      </c>
      <c r="C12479" s="138" t="str">
        <f t="shared" si="1091"/>
        <v>Without Amendment</v>
      </c>
      <c r="D12479" s="138" t="str">
        <f t="shared" si="1089"/>
        <v>High_Low</v>
      </c>
      <c r="E12479" s="138" t="str">
        <f t="shared" si="1092"/>
        <v>Base</v>
      </c>
      <c r="F12479" s="138" t="str">
        <f t="shared" si="1093"/>
        <v>Upgraded</v>
      </c>
      <c r="G12479" s="153"/>
      <c r="H12479" s="210">
        <v>4.0800000000000003E-2</v>
      </c>
      <c r="I12479" s="160" t="s">
        <v>128</v>
      </c>
      <c r="J12479" s="160">
        <v>1.192E-2</v>
      </c>
      <c r="K12479" s="160" t="s">
        <v>25</v>
      </c>
      <c r="L12479" s="154" t="str">
        <f>IF(OpenLCAbasic!K12479="CTUh", "Fill in Manually",IF(OR(K12479="Unit", K12479=""), "", INDEX(LookUps!$E$5:$E$12, MATCH(OpenLCAbasic!K12479,LookUps!$D$5:$D$12,0))))</f>
        <v>Smog Formation Potential (SFP) - kg O3 eq</v>
      </c>
      <c r="M12479" s="154" t="str">
        <f t="shared" si="1088"/>
        <v>Base_High_Low_Upgraded_Smog Formation Potential (SFP) - kg O3 eq_Wastewater collection; operation and infrastructure; m3 wastewater_Without Amendment_Aerated Static Pile</v>
      </c>
    </row>
    <row r="12480" spans="1:13" s="120" customFormat="1" x14ac:dyDescent="0.25">
      <c r="A12480" s="119"/>
      <c r="B12480" s="138" t="str">
        <f t="shared" si="1090"/>
        <v>Aerated Static Pile</v>
      </c>
      <c r="C12480" s="138" t="str">
        <f t="shared" si="1091"/>
        <v>Without Amendment</v>
      </c>
      <c r="D12480" s="138" t="str">
        <f t="shared" si="1089"/>
        <v>High_Low</v>
      </c>
      <c r="E12480" s="138" t="str">
        <f t="shared" si="1092"/>
        <v>Base</v>
      </c>
      <c r="F12480" s="138" t="str">
        <f t="shared" si="1093"/>
        <v>Upgraded</v>
      </c>
      <c r="G12480" s="153"/>
      <c r="H12480" s="210">
        <v>2.2800000000000001E-2</v>
      </c>
      <c r="I12480" s="160" t="s">
        <v>57</v>
      </c>
      <c r="J12480" s="160">
        <v>6.6499999999999997E-3</v>
      </c>
      <c r="K12480" s="160" t="s">
        <v>25</v>
      </c>
      <c r="L12480" s="154" t="str">
        <f>IF(OpenLCAbasic!K12480="CTUh", "Fill in Manually",IF(OR(K12480="Unit", K12480=""), "", INDEX(LookUps!$E$5:$E$12, MATCH(OpenLCAbasic!K12480,LookUps!$D$5:$D$12,0))))</f>
        <v>Smog Formation Potential (SFP) - kg O3 eq</v>
      </c>
      <c r="M12480" s="154" t="str">
        <f t="shared" si="1088"/>
        <v>Base_High_Low_Upgraded_Smog Formation Potential (SFP) - kg O3 eq_Gravity Belt Thickener; wastewater treatment unit; at updated plant - US_Without Amendment_Aerated Static Pile</v>
      </c>
    </row>
    <row r="12481" spans="1:13" s="120" customFormat="1" x14ac:dyDescent="0.25">
      <c r="A12481" s="119"/>
      <c r="B12481" s="138" t="str">
        <f t="shared" si="1090"/>
        <v>Aerated Static Pile</v>
      </c>
      <c r="C12481" s="138" t="str">
        <f t="shared" si="1091"/>
        <v>Without Amendment</v>
      </c>
      <c r="D12481" s="138" t="str">
        <f t="shared" si="1089"/>
        <v>High_Low</v>
      </c>
      <c r="E12481" s="138" t="str">
        <f t="shared" si="1092"/>
        <v>Base</v>
      </c>
      <c r="F12481" s="138" t="str">
        <f t="shared" si="1093"/>
        <v>Upgraded</v>
      </c>
      <c r="G12481" s="153"/>
      <c r="H12481" s="210">
        <v>1.7000000000000001E-2</v>
      </c>
      <c r="I12481" s="160" t="s">
        <v>59</v>
      </c>
      <c r="J12481" s="160">
        <v>4.9699999999999996E-3</v>
      </c>
      <c r="K12481" s="160" t="s">
        <v>25</v>
      </c>
      <c r="L12481" s="154" t="str">
        <f>IF(OpenLCAbasic!K12481="CTUh", "Fill in Manually",IF(OR(K12481="Unit", K12481=""), "", INDEX(LookUps!$E$5:$E$12, MATCH(OpenLCAbasic!K12481,LookUps!$D$5:$D$12,0))))</f>
        <v>Smog Formation Potential (SFP) - kg O3 eq</v>
      </c>
      <c r="M12481" s="154" t="str">
        <f t="shared" si="1088"/>
        <v>Base_High_Low_Upgraded_Smog Formation Potential (SFP) - kg O3 eq_Blend Tank; wastewater treatment unit; at updated plant - US_Without Amendment_Aerated Static Pile</v>
      </c>
    </row>
    <row r="12482" spans="1:13" s="120" customFormat="1" x14ac:dyDescent="0.25">
      <c r="A12482" s="119"/>
      <c r="B12482" s="138" t="str">
        <f t="shared" si="1090"/>
        <v>Aerated Static Pile</v>
      </c>
      <c r="C12482" s="138" t="str">
        <f t="shared" si="1091"/>
        <v>Without Amendment</v>
      </c>
      <c r="D12482" s="138" t="str">
        <f t="shared" si="1089"/>
        <v>High_Low</v>
      </c>
      <c r="E12482" s="138" t="str">
        <f t="shared" si="1092"/>
        <v>Base</v>
      </c>
      <c r="F12482" s="138" t="str">
        <f t="shared" si="1093"/>
        <v>Upgraded</v>
      </c>
      <c r="G12482" s="153"/>
      <c r="H12482" s="210">
        <v>1.1599999999999999E-2</v>
      </c>
      <c r="I12482" s="160" t="s">
        <v>48</v>
      </c>
      <c r="J12482" s="160">
        <v>3.3899999999999998E-3</v>
      </c>
      <c r="K12482" s="160" t="s">
        <v>25</v>
      </c>
      <c r="L12482" s="154" t="str">
        <f>IF(OpenLCAbasic!K12482="CTUh", "Fill in Manually",IF(OR(K12482="Unit", K12482=""), "", INDEX(LookUps!$E$5:$E$12, MATCH(OpenLCAbasic!K12482,LookUps!$D$5:$D$12,0))))</f>
        <v>Smog Formation Potential (SFP) - kg O3 eq</v>
      </c>
      <c r="M12482" s="154" t="str">
        <f t="shared" si="1088"/>
        <v>Base_High_Low_Upgraded_Smog Formation Potential (SFP) - kg O3 eq_Effluent release; wastewater treatment unit; at surface water; m3 wastewater - US_Without Amendment_Aerated Static Pile</v>
      </c>
    </row>
    <row r="12483" spans="1:13" s="120" customFormat="1" x14ac:dyDescent="0.25">
      <c r="A12483" s="119"/>
      <c r="B12483" s="138" t="str">
        <f t="shared" si="1090"/>
        <v>Aerated Static Pile</v>
      </c>
      <c r="C12483" s="138" t="str">
        <f t="shared" si="1091"/>
        <v>Without Amendment</v>
      </c>
      <c r="D12483" s="138" t="str">
        <f t="shared" si="1089"/>
        <v>High_Low</v>
      </c>
      <c r="E12483" s="138" t="str">
        <f t="shared" si="1092"/>
        <v>Base</v>
      </c>
      <c r="F12483" s="138" t="str">
        <f t="shared" si="1093"/>
        <v>Upgraded</v>
      </c>
      <c r="G12483" s="153"/>
      <c r="H12483" s="210">
        <v>8.3999999999999995E-3</v>
      </c>
      <c r="I12483" s="160" t="s">
        <v>168</v>
      </c>
      <c r="J12483" s="160">
        <v>2.4599999999999999E-3</v>
      </c>
      <c r="K12483" s="160" t="s">
        <v>25</v>
      </c>
      <c r="L12483" s="154" t="str">
        <f>IF(OpenLCAbasic!K12483="CTUh", "Fill in Manually",IF(OR(K12483="Unit", K12483=""), "", INDEX(LookUps!$E$5:$E$12, MATCH(OpenLCAbasic!K12483,LookUps!$D$5:$D$12,0))))</f>
        <v>Smog Formation Potential (SFP) - kg O3 eq</v>
      </c>
      <c r="M12483" s="154" t="str">
        <f t="shared" si="1088"/>
        <v>Base_High_Low_Upgraded_Smog Formation Potential (SFP) - kg O3 eq_ClearCove SCP; wastewater treatment unit; at updated plant - US_Without Amendment_Aerated Static Pile</v>
      </c>
    </row>
    <row r="12484" spans="1:13" s="120" customFormat="1" x14ac:dyDescent="0.25">
      <c r="A12484" s="119"/>
      <c r="B12484" s="138" t="str">
        <f t="shared" si="1090"/>
        <v>Aerated Static Pile</v>
      </c>
      <c r="C12484" s="138" t="str">
        <f t="shared" si="1091"/>
        <v>Without Amendment</v>
      </c>
      <c r="D12484" s="138" t="str">
        <f t="shared" si="1089"/>
        <v>High_Low</v>
      </c>
      <c r="E12484" s="138" t="str">
        <f t="shared" si="1092"/>
        <v>Base</v>
      </c>
      <c r="F12484" s="138" t="str">
        <f t="shared" si="1093"/>
        <v>Upgraded</v>
      </c>
      <c r="G12484" s="153"/>
      <c r="H12484" s="210">
        <v>1.8E-3</v>
      </c>
      <c r="I12484" s="160" t="s">
        <v>148</v>
      </c>
      <c r="J12484" s="160">
        <v>5.4000000000000001E-4</v>
      </c>
      <c r="K12484" s="160" t="s">
        <v>25</v>
      </c>
      <c r="L12484" s="154" t="str">
        <f>IF(OpenLCAbasic!K12484="CTUh", "Fill in Manually",IF(OR(K12484="Unit", K12484=""), "", INDEX(LookUps!$E$5:$E$12, MATCH(OpenLCAbasic!K12484,LookUps!$D$5:$D$12,0))))</f>
        <v>Smog Formation Potential (SFP) - kg O3 eq</v>
      </c>
      <c r="M12484" s="154" t="str">
        <f t="shared" ref="M12484:M12547" si="1094">CONCATENATE(E12484,"_",D12484,"_",F12484,"_",L12484, "_",I12484,"_", C12484,"_", B12484)</f>
        <v>Base_High_Low_Upgraded_Smog Formation Potential (SFP) - kg O3 eq_Control Building; at upgraded wastewater treatment plant - US_Without Amendment_Aerated Static Pile</v>
      </c>
    </row>
    <row r="12485" spans="1:13" s="120" customFormat="1" x14ac:dyDescent="0.25">
      <c r="A12485" s="119"/>
      <c r="B12485" s="138" t="str">
        <f t="shared" si="1090"/>
        <v>Aerated Static Pile</v>
      </c>
      <c r="C12485" s="138" t="str">
        <f t="shared" si="1091"/>
        <v>Without Amendment</v>
      </c>
      <c r="D12485" s="138" t="str">
        <f t="shared" si="1089"/>
        <v>High_Low</v>
      </c>
      <c r="E12485" s="138" t="str">
        <f t="shared" si="1092"/>
        <v>Base</v>
      </c>
      <c r="F12485" s="138" t="str">
        <f t="shared" si="1093"/>
        <v>Upgraded</v>
      </c>
      <c r="G12485" s="153"/>
      <c r="H12485" s="210">
        <v>-1.2999999999999999E-2</v>
      </c>
      <c r="I12485" s="160" t="s">
        <v>62</v>
      </c>
      <c r="J12485" s="160">
        <v>-3.79E-3</v>
      </c>
      <c r="K12485" s="160" t="s">
        <v>25</v>
      </c>
      <c r="L12485" s="154" t="str">
        <f>IF(OpenLCAbasic!K12485="CTUh", "Fill in Manually",IF(OR(K12485="Unit", K12485=""), "", INDEX(LookUps!$E$5:$E$12, MATCH(OpenLCAbasic!K12485,LookUps!$D$5:$D$12,0))))</f>
        <v>Smog Formation Potential (SFP) - kg O3 eq</v>
      </c>
      <c r="M12485" s="154" t="str">
        <f t="shared" si="1094"/>
        <v>Base_High_Low_Upgraded_Smog Formation Potential (SFP) - kg O3 eq_Land application of compost; wastewater treatment unit; at updated plant - US_Without Amendment_Aerated Static Pile</v>
      </c>
    </row>
    <row r="12486" spans="1:13" s="120" customFormat="1" x14ac:dyDescent="0.25">
      <c r="A12486" s="119"/>
      <c r="B12486" s="138" t="str">
        <f t="shared" si="1090"/>
        <v>Aerated Static Pile</v>
      </c>
      <c r="C12486" s="138" t="str">
        <f t="shared" si="1091"/>
        <v>Without Amendment</v>
      </c>
      <c r="D12486" s="138" t="str">
        <f t="shared" si="1089"/>
        <v>High_Low</v>
      </c>
      <c r="E12486" s="138" t="str">
        <f t="shared" si="1092"/>
        <v>Base</v>
      </c>
      <c r="F12486" s="138" t="str">
        <f t="shared" si="1093"/>
        <v>Upgraded</v>
      </c>
      <c r="G12486" s="153"/>
      <c r="H12486" s="210">
        <v>-0.43569999999999998</v>
      </c>
      <c r="I12486" s="160" t="s">
        <v>149</v>
      </c>
      <c r="J12486" s="160">
        <v>-0.12725</v>
      </c>
      <c r="K12486" s="160" t="s">
        <v>25</v>
      </c>
      <c r="L12486" s="154" t="str">
        <f>IF(OpenLCAbasic!K12486="CTUh", "Fill in Manually",IF(OR(K12486="Unit", K12486=""), "", INDEX(LookUps!$E$5:$E$12, MATCH(OpenLCAbasic!K12486,LookUps!$D$5:$D$12,0))))</f>
        <v>Smog Formation Potential (SFP) - kg O3 eq</v>
      </c>
      <c r="M12486" s="154" t="str">
        <f t="shared" si="1094"/>
        <v>Base_High_Low_Upgraded_Smog Formation Potential (SFP) - kg O3 eq_Anaerobic Digestion; wastewater treatment unit; at updated plant - US_Without Amendment_Aerated Static Pile</v>
      </c>
    </row>
    <row r="12487" spans="1:13" s="120" customFormat="1" x14ac:dyDescent="0.25">
      <c r="A12487" s="119"/>
      <c r="B12487" s="138" t="str">
        <f t="shared" si="1090"/>
        <v/>
      </c>
      <c r="C12487" s="138" t="str">
        <f t="shared" si="1091"/>
        <v/>
      </c>
      <c r="D12487" s="138" t="str">
        <f t="shared" si="1089"/>
        <v/>
      </c>
      <c r="E12487" s="138" t="str">
        <f t="shared" si="1092"/>
        <v/>
      </c>
      <c r="F12487" s="138" t="str">
        <f t="shared" si="1093"/>
        <v/>
      </c>
      <c r="G12487" s="153" t="s">
        <v>51</v>
      </c>
      <c r="H12487" s="160"/>
      <c r="I12487" s="160" t="s">
        <v>47</v>
      </c>
      <c r="J12487" s="160" t="s">
        <v>52</v>
      </c>
      <c r="K12487" s="160" t="s">
        <v>27</v>
      </c>
      <c r="L12487" s="154" t="str">
        <f>IF(OpenLCAbasic!K12487="CTUh", "Fill in Manually",IF(OR(K12487="Unit", K12487=""), "", INDEX(LookUps!$E$5:$E$12, MATCH(OpenLCAbasic!K12487,LookUps!$D$5:$D$12,0))))</f>
        <v/>
      </c>
      <c r="M12487" s="154" t="str">
        <f t="shared" si="1094"/>
        <v>____Process__</v>
      </c>
    </row>
    <row r="12488" spans="1:13" s="120" customFormat="1" x14ac:dyDescent="0.25">
      <c r="A12488" s="119"/>
      <c r="B12488" s="138" t="str">
        <f t="shared" si="1090"/>
        <v>Aerated Static Pile</v>
      </c>
      <c r="C12488" s="138" t="str">
        <f t="shared" si="1091"/>
        <v>Without Amendment</v>
      </c>
      <c r="D12488" s="138" t="str">
        <f t="shared" si="1089"/>
        <v>High_Low</v>
      </c>
      <c r="E12488" s="138" t="str">
        <f t="shared" si="1092"/>
        <v>Base</v>
      </c>
      <c r="F12488" s="138" t="str">
        <f t="shared" si="1093"/>
        <v>Upgraded</v>
      </c>
      <c r="G12488" s="153"/>
      <c r="H12488" s="210">
        <v>1.1120000000000001</v>
      </c>
      <c r="I12488" s="160" t="s">
        <v>167</v>
      </c>
      <c r="J12488" s="160">
        <v>3.4000000000000002E-4</v>
      </c>
      <c r="K12488" s="160" t="s">
        <v>26</v>
      </c>
      <c r="L12488" s="154" t="str">
        <f>IF(OpenLCAbasic!K12488="CTUh", "Fill in Manually",IF(OR(K12488="Unit", K12488=""), "", INDEX(LookUps!$E$5:$E$12, MATCH(OpenLCAbasic!K12488,LookUps!$D$5:$D$12,0))))</f>
        <v>Water Use (WU) - m3 H2O</v>
      </c>
      <c r="M12488" s="154" t="str">
        <f t="shared" si="1094"/>
        <v>Base_High_Low_Upgraded_Water Use (WU) - m3 H2O_Waste Receiving and Holding; wastewater treatment unit; at updated plant - US_Without Amendment_Aerated Static Pile</v>
      </c>
    </row>
    <row r="12489" spans="1:13" s="120" customFormat="1" x14ac:dyDescent="0.25">
      <c r="A12489" s="119"/>
      <c r="B12489" s="138" t="str">
        <f t="shared" si="1090"/>
        <v>Aerated Static Pile</v>
      </c>
      <c r="C12489" s="138" t="str">
        <f t="shared" si="1091"/>
        <v>Without Amendment</v>
      </c>
      <c r="D12489" s="138" t="str">
        <f t="shared" si="1089"/>
        <v>High_Low</v>
      </c>
      <c r="E12489" s="138" t="str">
        <f t="shared" si="1092"/>
        <v>Base</v>
      </c>
      <c r="F12489" s="138" t="str">
        <f t="shared" si="1093"/>
        <v>Upgraded</v>
      </c>
      <c r="G12489" s="153"/>
      <c r="H12489" s="210">
        <v>0.60850000000000004</v>
      </c>
      <c r="I12489" s="160" t="s">
        <v>147</v>
      </c>
      <c r="J12489" s="160">
        <v>1.8000000000000001E-4</v>
      </c>
      <c r="K12489" s="160" t="s">
        <v>26</v>
      </c>
      <c r="L12489" s="154" t="str">
        <f>IF(OpenLCAbasic!K12489="CTUh", "Fill in Manually",IF(OR(K12489="Unit", K12489=""), "", INDEX(LookUps!$E$5:$E$12, MATCH(OpenLCAbasic!K12489,LookUps!$D$5:$D$12,0))))</f>
        <v>Water Use (WU) - m3 H2O</v>
      </c>
      <c r="M12489" s="154" t="str">
        <f t="shared" si="1094"/>
        <v>Base_High_Low_Upgraded_Water Use (WU) - m3 H2O_Influent Pump Station; wastewater treatment unit; at updated plant - US_Without Amendment_Aerated Static Pile</v>
      </c>
    </row>
    <row r="12490" spans="1:13" s="120" customFormat="1" x14ac:dyDescent="0.25">
      <c r="A12490" s="119"/>
      <c r="B12490" s="138" t="str">
        <f t="shared" si="1090"/>
        <v>Aerated Static Pile</v>
      </c>
      <c r="C12490" s="138" t="str">
        <f t="shared" si="1091"/>
        <v>Without Amendment</v>
      </c>
      <c r="D12490" s="138" t="str">
        <f t="shared" si="1089"/>
        <v>High_Low</v>
      </c>
      <c r="E12490" s="138" t="str">
        <f t="shared" si="1092"/>
        <v>Base</v>
      </c>
      <c r="F12490" s="138" t="str">
        <f t="shared" si="1093"/>
        <v>Upgraded</v>
      </c>
      <c r="G12490" s="153"/>
      <c r="H12490" s="210">
        <v>0.59370000000000001</v>
      </c>
      <c r="I12490" s="160" t="s">
        <v>54</v>
      </c>
      <c r="J12490" s="160">
        <v>1.8000000000000001E-4</v>
      </c>
      <c r="K12490" s="160" t="s">
        <v>26</v>
      </c>
      <c r="L12490" s="154" t="str">
        <f>IF(OpenLCAbasic!K12490="CTUh", "Fill in Manually",IF(OR(K12490="Unit", K12490=""), "", INDEX(LookUps!$E$5:$E$12, MATCH(OpenLCAbasic!K12490,LookUps!$D$5:$D$12,0))))</f>
        <v>Water Use (WU) - m3 H2O</v>
      </c>
      <c r="M12490" s="154" t="str">
        <f t="shared" si="1094"/>
        <v>Base_High_Low_Upgraded_Water Use (WU) - m3 H2O_Clear Cove Primary Clarification; wastewater treatment unit; at updated plant - US_Without Amendment_Aerated Static Pile</v>
      </c>
    </row>
    <row r="12491" spans="1:13" s="120" customFormat="1" x14ac:dyDescent="0.25">
      <c r="A12491" s="119"/>
      <c r="B12491" s="138" t="str">
        <f t="shared" si="1090"/>
        <v>Aerated Static Pile</v>
      </c>
      <c r="C12491" s="138" t="str">
        <f t="shared" si="1091"/>
        <v>Without Amendment</v>
      </c>
      <c r="D12491" s="138" t="str">
        <f t="shared" si="1089"/>
        <v>High_Low</v>
      </c>
      <c r="E12491" s="138" t="str">
        <f t="shared" si="1092"/>
        <v>Base</v>
      </c>
      <c r="F12491" s="138" t="str">
        <f t="shared" si="1093"/>
        <v>Upgraded</v>
      </c>
      <c r="G12491" s="153"/>
      <c r="H12491" s="210">
        <v>0.53859999999999997</v>
      </c>
      <c r="I12491" s="160" t="s">
        <v>55</v>
      </c>
      <c r="J12491" s="160">
        <v>1.6000000000000001E-4</v>
      </c>
      <c r="K12491" s="160" t="s">
        <v>26</v>
      </c>
      <c r="L12491" s="154" t="str">
        <f>IF(OpenLCAbasic!K12491="CTUh", "Fill in Manually",IF(OR(K12491="Unit", K12491=""), "", INDEX(LookUps!$E$5:$E$12, MATCH(OpenLCAbasic!K12491,LookUps!$D$5:$D$12,0))))</f>
        <v>Water Use (WU) - m3 H2O</v>
      </c>
      <c r="M12491" s="154" t="str">
        <f t="shared" si="1094"/>
        <v>Base_High_Low_Upgraded_Water Use (WU) - m3 H2O_Aeration Tanks; wastewater treatment unit; at updated plant - US_Without Amendment_Aerated Static Pile</v>
      </c>
    </row>
    <row r="12492" spans="1:13" s="120" customFormat="1" x14ac:dyDescent="0.25">
      <c r="A12492" s="119"/>
      <c r="B12492" s="138" t="str">
        <f t="shared" si="1090"/>
        <v>Aerated Static Pile</v>
      </c>
      <c r="C12492" s="138" t="str">
        <f t="shared" si="1091"/>
        <v>Without Amendment</v>
      </c>
      <c r="D12492" s="138" t="str">
        <f t="shared" si="1089"/>
        <v>High_Low</v>
      </c>
      <c r="E12492" s="138" t="str">
        <f t="shared" si="1092"/>
        <v>Base</v>
      </c>
      <c r="F12492" s="138" t="str">
        <f t="shared" si="1093"/>
        <v>Upgraded</v>
      </c>
      <c r="G12492" s="153"/>
      <c r="H12492" s="210">
        <v>0.49059999999999998</v>
      </c>
      <c r="I12492" s="160" t="s">
        <v>148</v>
      </c>
      <c r="J12492" s="160">
        <v>1.4999999999999999E-4</v>
      </c>
      <c r="K12492" s="160" t="s">
        <v>26</v>
      </c>
      <c r="L12492" s="154" t="str">
        <f>IF(OpenLCAbasic!K12492="CTUh", "Fill in Manually",IF(OR(K12492="Unit", K12492=""), "", INDEX(LookUps!$E$5:$E$12, MATCH(OpenLCAbasic!K12492,LookUps!$D$5:$D$12,0))))</f>
        <v>Water Use (WU) - m3 H2O</v>
      </c>
      <c r="M12492" s="154" t="str">
        <f t="shared" si="1094"/>
        <v>Base_High_Low_Upgraded_Water Use (WU) - m3 H2O_Control Building; at upgraded wastewater treatment plant - US_Without Amendment_Aerated Static Pile</v>
      </c>
    </row>
    <row r="12493" spans="1:13" s="120" customFormat="1" x14ac:dyDescent="0.25">
      <c r="A12493" s="119"/>
      <c r="B12493" s="138" t="str">
        <f t="shared" si="1090"/>
        <v>Aerated Static Pile</v>
      </c>
      <c r="C12493" s="138" t="str">
        <f t="shared" si="1091"/>
        <v>Without Amendment</v>
      </c>
      <c r="D12493" s="138" t="str">
        <f t="shared" si="1089"/>
        <v>High_Low</v>
      </c>
      <c r="E12493" s="138" t="str">
        <f t="shared" si="1092"/>
        <v>Base</v>
      </c>
      <c r="F12493" s="138" t="str">
        <f t="shared" si="1093"/>
        <v>Upgraded</v>
      </c>
      <c r="G12493" s="153"/>
      <c r="H12493" s="210">
        <v>0.2278</v>
      </c>
      <c r="I12493" s="160" t="s">
        <v>48</v>
      </c>
      <c r="J12493" s="211">
        <v>6.8836400000000004E-5</v>
      </c>
      <c r="K12493" s="160" t="s">
        <v>26</v>
      </c>
      <c r="L12493" s="154" t="str">
        <f>IF(OpenLCAbasic!K12493="CTUh", "Fill in Manually",IF(OR(K12493="Unit", K12493=""), "", INDEX(LookUps!$E$5:$E$12, MATCH(OpenLCAbasic!K12493,LookUps!$D$5:$D$12,0))))</f>
        <v>Water Use (WU) - m3 H2O</v>
      </c>
      <c r="M12493" s="154" t="str">
        <f t="shared" si="1094"/>
        <v>Base_High_Low_Upgraded_Water Use (WU) - m3 H2O_Effluent release; wastewater treatment unit; at surface water; m3 wastewater - US_Without Amendment_Aerated Static Pile</v>
      </c>
    </row>
    <row r="12494" spans="1:13" s="120" customFormat="1" x14ac:dyDescent="0.25">
      <c r="A12494" s="119"/>
      <c r="B12494" s="138" t="str">
        <f t="shared" si="1090"/>
        <v>Aerated Static Pile</v>
      </c>
      <c r="C12494" s="138" t="str">
        <f t="shared" si="1091"/>
        <v>Without Amendment</v>
      </c>
      <c r="D12494" s="138" t="str">
        <f t="shared" si="1089"/>
        <v>High_Low</v>
      </c>
      <c r="E12494" s="138" t="str">
        <f t="shared" si="1092"/>
        <v>Base</v>
      </c>
      <c r="F12494" s="138" t="str">
        <f t="shared" si="1093"/>
        <v>Upgraded</v>
      </c>
      <c r="G12494" s="153"/>
      <c r="H12494" s="210">
        <v>0.15809999999999999</v>
      </c>
      <c r="I12494" s="160" t="s">
        <v>60</v>
      </c>
      <c r="J12494" s="211">
        <v>4.7769200000000003E-5</v>
      </c>
      <c r="K12494" s="160" t="s">
        <v>26</v>
      </c>
      <c r="L12494" s="154" t="str">
        <f>IF(OpenLCAbasic!K12494="CTUh", "Fill in Manually",IF(OR(K12494="Unit", K12494=""), "", INDEX(LookUps!$E$5:$E$12, MATCH(OpenLCAbasic!K12494,LookUps!$D$5:$D$12,0))))</f>
        <v>Water Use (WU) - m3 H2O</v>
      </c>
      <c r="M12494" s="154" t="str">
        <f t="shared" si="1094"/>
        <v>Base_High_Low_Upgraded_Water Use (WU) - m3 H2O_Belt filter press; wastewater treatment unit; at updated plant - US_Without Amendment_Aerated Static Pile</v>
      </c>
    </row>
    <row r="12495" spans="1:13" s="120" customFormat="1" x14ac:dyDescent="0.25">
      <c r="A12495" s="119"/>
      <c r="B12495" s="138" t="str">
        <f t="shared" si="1090"/>
        <v>Aerated Static Pile</v>
      </c>
      <c r="C12495" s="138" t="str">
        <f t="shared" si="1091"/>
        <v>Without Amendment</v>
      </c>
      <c r="D12495" s="138" t="str">
        <f t="shared" si="1089"/>
        <v>High_Low</v>
      </c>
      <c r="E12495" s="138" t="str">
        <f t="shared" si="1092"/>
        <v>Base</v>
      </c>
      <c r="F12495" s="138" t="str">
        <f t="shared" si="1093"/>
        <v>Upgraded</v>
      </c>
      <c r="G12495" s="153"/>
      <c r="H12495" s="210">
        <v>0.14330000000000001</v>
      </c>
      <c r="I12495" s="160" t="s">
        <v>58</v>
      </c>
      <c r="J12495" s="211">
        <v>4.3289399999999999E-5</v>
      </c>
      <c r="K12495" s="160" t="s">
        <v>26</v>
      </c>
      <c r="L12495" s="154" t="str">
        <f>IF(OpenLCAbasic!K12495="CTUh", "Fill in Manually",IF(OR(K12495="Unit", K12495=""), "", INDEX(LookUps!$E$5:$E$12, MATCH(OpenLCAbasic!K12495,LookUps!$D$5:$D$12,0))))</f>
        <v>Water Use (WU) - m3 H2O</v>
      </c>
      <c r="M12495" s="154" t="str">
        <f t="shared" si="1094"/>
        <v>Base_High_Low_Upgraded_Water Use (WU) - m3 H2O_Pre-Anoxic &amp; Swing tank; wastewater treatment unit; at updated plant - US_Without Amendment_Aerated Static Pile</v>
      </c>
    </row>
    <row r="12496" spans="1:13" s="120" customFormat="1" x14ac:dyDescent="0.25">
      <c r="A12496" s="119"/>
      <c r="B12496" s="138" t="str">
        <f t="shared" si="1090"/>
        <v>Aerated Static Pile</v>
      </c>
      <c r="C12496" s="138" t="str">
        <f t="shared" si="1091"/>
        <v>Without Amendment</v>
      </c>
      <c r="D12496" s="138" t="str">
        <f t="shared" si="1089"/>
        <v>High_Low</v>
      </c>
      <c r="E12496" s="138" t="str">
        <f t="shared" si="1092"/>
        <v>Base</v>
      </c>
      <c r="F12496" s="138" t="str">
        <f t="shared" si="1093"/>
        <v>Upgraded</v>
      </c>
      <c r="G12496" s="153"/>
      <c r="H12496" s="210">
        <v>0.10059999999999999</v>
      </c>
      <c r="I12496" s="160" t="s">
        <v>57</v>
      </c>
      <c r="J12496" s="211">
        <v>3.0408100000000001E-5</v>
      </c>
      <c r="K12496" s="160" t="s">
        <v>26</v>
      </c>
      <c r="L12496" s="154" t="str">
        <f>IF(OpenLCAbasic!K12496="CTUh", "Fill in Manually",IF(OR(K12496="Unit", K12496=""), "", INDEX(LookUps!$E$5:$E$12, MATCH(OpenLCAbasic!K12496,LookUps!$D$5:$D$12,0))))</f>
        <v>Water Use (WU) - m3 H2O</v>
      </c>
      <c r="M12496" s="154" t="str">
        <f t="shared" si="1094"/>
        <v>Base_High_Low_Upgraded_Water Use (WU) - m3 H2O_Gravity Belt Thickener; wastewater treatment unit; at updated plant - US_Without Amendment_Aerated Static Pile</v>
      </c>
    </row>
    <row r="12497" spans="1:13" s="120" customFormat="1" x14ac:dyDescent="0.25">
      <c r="A12497" s="119"/>
      <c r="B12497" s="138" t="str">
        <f t="shared" si="1090"/>
        <v>Aerated Static Pile</v>
      </c>
      <c r="C12497" s="138" t="str">
        <f t="shared" si="1091"/>
        <v>Without Amendment</v>
      </c>
      <c r="D12497" s="138" t="str">
        <f t="shared" ref="D12497:D12503" si="1095">IF(ISNUMBER($J12497),"High_Low","")</f>
        <v>High_Low</v>
      </c>
      <c r="E12497" s="138" t="str">
        <f t="shared" si="1092"/>
        <v>Base</v>
      </c>
      <c r="F12497" s="138" t="str">
        <f t="shared" si="1093"/>
        <v>Upgraded</v>
      </c>
      <c r="G12497" s="153"/>
      <c r="H12497" s="210">
        <v>5.79E-2</v>
      </c>
      <c r="I12497" s="160" t="s">
        <v>53</v>
      </c>
      <c r="J12497" s="211">
        <v>1.75069E-5</v>
      </c>
      <c r="K12497" s="160" t="s">
        <v>26</v>
      </c>
      <c r="L12497" s="154" t="str">
        <f>IF(OpenLCAbasic!K12497="CTUh", "Fill in Manually",IF(OR(K12497="Unit", K12497=""), "", INDEX(LookUps!$E$5:$E$12, MATCH(OpenLCAbasic!K12497,LookUps!$D$5:$D$12,0))))</f>
        <v>Water Use (WU) - m3 H2O</v>
      </c>
      <c r="M12497" s="154" t="str">
        <f t="shared" si="1094"/>
        <v>Base_High_Low_Upgraded_Water Use (WU) - m3 H2O_Wet Well and Sump Station; wastewater treatment unit; at updated plant - US_Without Amendment_Aerated Static Pile</v>
      </c>
    </row>
    <row r="12498" spans="1:13" s="120" customFormat="1" x14ac:dyDescent="0.25">
      <c r="A12498" s="119"/>
      <c r="B12498" s="138" t="str">
        <f t="shared" si="1090"/>
        <v>Aerated Static Pile</v>
      </c>
      <c r="C12498" s="138" t="str">
        <f t="shared" si="1091"/>
        <v>Without Amendment</v>
      </c>
      <c r="D12498" s="138" t="str">
        <f t="shared" si="1095"/>
        <v>High_Low</v>
      </c>
      <c r="E12498" s="138" t="str">
        <f t="shared" si="1092"/>
        <v>Base</v>
      </c>
      <c r="F12498" s="138" t="str">
        <f t="shared" si="1093"/>
        <v>Upgraded</v>
      </c>
      <c r="G12498" s="153"/>
      <c r="H12498" s="210">
        <v>4.3299999999999998E-2</v>
      </c>
      <c r="I12498" s="160" t="s">
        <v>435</v>
      </c>
      <c r="J12498" s="211">
        <v>1.3078099999999999E-5</v>
      </c>
      <c r="K12498" s="160" t="s">
        <v>26</v>
      </c>
      <c r="L12498" s="154" t="str">
        <f>IF(OpenLCAbasic!K12498="CTUh", "Fill in Manually",IF(OR(K12498="Unit", K12498=""), "", INDEX(LookUps!$E$5:$E$12, MATCH(OpenLCAbasic!K12498,LookUps!$D$5:$D$12,0))))</f>
        <v>Water Use (WU) - m3 H2O</v>
      </c>
      <c r="M12498" s="154" t="str">
        <f t="shared" si="1094"/>
        <v>Base_High_Low_Upgraded_Water Use (WU) - m3 H2O_Biosolids composting; aerated static pile; wastewater treatment unit; at updated plant - US_Without Amendment_Aerated Static Pile</v>
      </c>
    </row>
    <row r="12499" spans="1:13" s="120" customFormat="1" x14ac:dyDescent="0.25">
      <c r="A12499" s="119"/>
      <c r="B12499" s="138" t="str">
        <f t="shared" si="1090"/>
        <v>Aerated Static Pile</v>
      </c>
      <c r="C12499" s="138" t="str">
        <f t="shared" si="1091"/>
        <v>Without Amendment</v>
      </c>
      <c r="D12499" s="138" t="str">
        <f t="shared" si="1095"/>
        <v>High_Low</v>
      </c>
      <c r="E12499" s="138" t="str">
        <f t="shared" si="1092"/>
        <v>Base</v>
      </c>
      <c r="F12499" s="138" t="str">
        <f t="shared" si="1093"/>
        <v>Upgraded</v>
      </c>
      <c r="G12499" s="153"/>
      <c r="H12499" s="210">
        <v>2.3199999999999998E-2</v>
      </c>
      <c r="I12499" s="160" t="s">
        <v>59</v>
      </c>
      <c r="J12499" s="211">
        <v>7.0179500000000003E-6</v>
      </c>
      <c r="K12499" s="160" t="s">
        <v>26</v>
      </c>
      <c r="L12499" s="154" t="str">
        <f>IF(OpenLCAbasic!K12499="CTUh", "Fill in Manually",IF(OR(K12499="Unit", K12499=""), "", INDEX(LookUps!$E$5:$E$12, MATCH(OpenLCAbasic!K12499,LookUps!$D$5:$D$12,0))))</f>
        <v>Water Use (WU) - m3 H2O</v>
      </c>
      <c r="M12499" s="154" t="str">
        <f t="shared" si="1094"/>
        <v>Base_High_Low_Upgraded_Water Use (WU) - m3 H2O_Blend Tank; wastewater treatment unit; at updated plant - US_Without Amendment_Aerated Static Pile</v>
      </c>
    </row>
    <row r="12500" spans="1:13" s="120" customFormat="1" x14ac:dyDescent="0.25">
      <c r="A12500" s="119"/>
      <c r="B12500" s="138" t="str">
        <f t="shared" si="1090"/>
        <v>Aerated Static Pile</v>
      </c>
      <c r="C12500" s="138" t="str">
        <f t="shared" si="1091"/>
        <v>Without Amendment</v>
      </c>
      <c r="D12500" s="138" t="str">
        <f t="shared" si="1095"/>
        <v>High_Low</v>
      </c>
      <c r="E12500" s="138" t="str">
        <f t="shared" si="1092"/>
        <v>Base</v>
      </c>
      <c r="F12500" s="138" t="str">
        <f t="shared" si="1093"/>
        <v>Upgraded</v>
      </c>
      <c r="G12500" s="153"/>
      <c r="H12500" s="210">
        <v>1.6799999999999999E-2</v>
      </c>
      <c r="I12500" s="160" t="s">
        <v>128</v>
      </c>
      <c r="J12500" s="211">
        <v>5.0608900000000003E-6</v>
      </c>
      <c r="K12500" s="160" t="s">
        <v>26</v>
      </c>
      <c r="L12500" s="154" t="str">
        <f>IF(OpenLCAbasic!K12500="CTUh", "Fill in Manually",IF(OR(K12500="Unit", K12500=""), "", INDEX(LookUps!$E$5:$E$12, MATCH(OpenLCAbasic!K12500,LookUps!$D$5:$D$12,0))))</f>
        <v>Water Use (WU) - m3 H2O</v>
      </c>
      <c r="M12500" s="154" t="str">
        <f t="shared" si="1094"/>
        <v>Base_High_Low_Upgraded_Water Use (WU) - m3 H2O_Wastewater collection; operation and infrastructure; m3 wastewater_Without Amendment_Aerated Static Pile</v>
      </c>
    </row>
    <row r="12501" spans="1:13" s="120" customFormat="1" x14ac:dyDescent="0.25">
      <c r="A12501" s="119"/>
      <c r="B12501" s="138" t="str">
        <f t="shared" si="1090"/>
        <v>Aerated Static Pile</v>
      </c>
      <c r="C12501" s="138" t="str">
        <f t="shared" si="1091"/>
        <v>Without Amendment</v>
      </c>
      <c r="D12501" s="138" t="str">
        <f t="shared" si="1095"/>
        <v>High_Low</v>
      </c>
      <c r="E12501" s="138" t="str">
        <f t="shared" si="1092"/>
        <v>Base</v>
      </c>
      <c r="F12501" s="138" t="str">
        <f t="shared" si="1093"/>
        <v>Upgraded</v>
      </c>
      <c r="G12501" s="153"/>
      <c r="H12501" s="210">
        <v>2.5000000000000001E-3</v>
      </c>
      <c r="I12501" s="160" t="s">
        <v>168</v>
      </c>
      <c r="J12501" s="211">
        <v>7.6697000000000004E-7</v>
      </c>
      <c r="K12501" s="160" t="s">
        <v>26</v>
      </c>
      <c r="L12501" s="154" t="str">
        <f>IF(OpenLCAbasic!K12501="CTUh", "Fill in Manually",IF(OR(K12501="Unit", K12501=""), "", INDEX(LookUps!$E$5:$E$12, MATCH(OpenLCAbasic!K12501,LookUps!$D$5:$D$12,0))))</f>
        <v>Water Use (WU) - m3 H2O</v>
      </c>
      <c r="M12501" s="154" t="str">
        <f t="shared" si="1094"/>
        <v>Base_High_Low_Upgraded_Water Use (WU) - m3 H2O_ClearCove SCP; wastewater treatment unit; at updated plant - US_Without Amendment_Aerated Static Pile</v>
      </c>
    </row>
    <row r="12502" spans="1:13" s="120" customFormat="1" x14ac:dyDescent="0.25">
      <c r="A12502" s="119"/>
      <c r="B12502" s="138" t="str">
        <f t="shared" si="1090"/>
        <v>Aerated Static Pile</v>
      </c>
      <c r="C12502" s="138" t="str">
        <f t="shared" si="1091"/>
        <v>Without Amendment</v>
      </c>
      <c r="D12502" s="138" t="str">
        <f t="shared" si="1095"/>
        <v>High_Low</v>
      </c>
      <c r="E12502" s="138" t="str">
        <f t="shared" si="1092"/>
        <v>Base</v>
      </c>
      <c r="F12502" s="138" t="str">
        <f t="shared" si="1093"/>
        <v>Upgraded</v>
      </c>
      <c r="G12502" s="153"/>
      <c r="H12502" s="210">
        <v>-4.07E-2</v>
      </c>
      <c r="I12502" s="160" t="s">
        <v>149</v>
      </c>
      <c r="J12502" s="211">
        <v>-1.22975E-5</v>
      </c>
      <c r="K12502" s="160" t="s">
        <v>26</v>
      </c>
      <c r="L12502" s="154" t="str">
        <f>IF(OpenLCAbasic!K12502="CTUh", "Fill in Manually",IF(OR(K12502="Unit", K12502=""), "", INDEX(LookUps!$E$5:$E$12, MATCH(OpenLCAbasic!K12502,LookUps!$D$5:$D$12,0))))</f>
        <v>Water Use (WU) - m3 H2O</v>
      </c>
      <c r="M12502" s="154" t="str">
        <f t="shared" si="1094"/>
        <v>Base_High_Low_Upgraded_Water Use (WU) - m3 H2O_Anaerobic Digestion; wastewater treatment unit; at updated plant - US_Without Amendment_Aerated Static Pile</v>
      </c>
    </row>
    <row r="12503" spans="1:13" s="120" customFormat="1" x14ac:dyDescent="0.25">
      <c r="A12503" s="119"/>
      <c r="B12503" s="138" t="str">
        <f t="shared" si="1090"/>
        <v>Aerated Static Pile</v>
      </c>
      <c r="C12503" s="138" t="str">
        <f t="shared" si="1091"/>
        <v>Without Amendment</v>
      </c>
      <c r="D12503" s="138" t="str">
        <f t="shared" si="1095"/>
        <v>High_Low</v>
      </c>
      <c r="E12503" s="138" t="str">
        <f t="shared" si="1092"/>
        <v>Base</v>
      </c>
      <c r="F12503" s="138" t="str">
        <f t="shared" si="1093"/>
        <v>Upgraded</v>
      </c>
      <c r="G12503" s="153"/>
      <c r="H12503" s="210">
        <v>-5.0763999999999996</v>
      </c>
      <c r="I12503" s="160" t="s">
        <v>62</v>
      </c>
      <c r="J12503" s="160">
        <v>-1.5299999999999999E-3</v>
      </c>
      <c r="K12503" s="160" t="s">
        <v>26</v>
      </c>
      <c r="L12503" s="154" t="str">
        <f>IF(OpenLCAbasic!K12503="CTUh", "Fill in Manually",IF(OR(K12503="Unit", K12503=""), "", INDEX(LookUps!$E$5:$E$12, MATCH(OpenLCAbasic!K12503,LookUps!$D$5:$D$12,0))))</f>
        <v>Water Use (WU) - m3 H2O</v>
      </c>
      <c r="M12503" s="154" t="str">
        <f t="shared" si="1094"/>
        <v>Base_High_Low_Upgraded_Water Use (WU) - m3 H2O_Land application of compost; wastewater treatment unit; at updated plant - US_Without Amendment_Aerated Static Pile</v>
      </c>
    </row>
    <row r="12504" spans="1:13" s="120" customFormat="1" x14ac:dyDescent="0.25">
      <c r="A12504" s="119"/>
      <c r="B12504" s="138" t="str">
        <f t="shared" si="1090"/>
        <v/>
      </c>
      <c r="C12504" s="138" t="str">
        <f t="shared" si="1091"/>
        <v/>
      </c>
      <c r="D12504" s="138" t="str">
        <f>IF(ISNUMBER($J12504),"High_Base","")</f>
        <v/>
      </c>
      <c r="E12504" s="138" t="str">
        <f t="shared" si="1092"/>
        <v/>
      </c>
      <c r="F12504" s="138" t="str">
        <f t="shared" si="1093"/>
        <v/>
      </c>
      <c r="G12504" s="153" t="s">
        <v>51</v>
      </c>
      <c r="H12504" s="160"/>
      <c r="I12504" s="160" t="s">
        <v>47</v>
      </c>
      <c r="J12504" s="160" t="s">
        <v>52</v>
      </c>
      <c r="K12504" s="160" t="s">
        <v>27</v>
      </c>
      <c r="L12504" s="154" t="str">
        <f>IF(OpenLCAbasic!K12504="CTUh", "Fill in Manually",IF(OR(K12504="Unit", K12504=""), "", INDEX(LookUps!$E$5:$E$12, MATCH(OpenLCAbasic!K12504,LookUps!$D$5:$D$12,0))))</f>
        <v/>
      </c>
      <c r="M12504" s="154" t="str">
        <f t="shared" si="1094"/>
        <v>____Process__</v>
      </c>
    </row>
    <row r="12505" spans="1:13" s="120" customFormat="1" x14ac:dyDescent="0.25">
      <c r="A12505" s="119"/>
      <c r="B12505" s="138" t="str">
        <f t="shared" si="1090"/>
        <v>Aerated Static Pile</v>
      </c>
      <c r="C12505" s="138" t="str">
        <f t="shared" si="1091"/>
        <v>Without Amendment</v>
      </c>
      <c r="D12505" s="138" t="str">
        <f t="shared" ref="D12505:D12568" si="1096">IF(ISNUMBER($J12505),"High_Base","")</f>
        <v>High_Base</v>
      </c>
      <c r="E12505" s="138" t="str">
        <f t="shared" si="1092"/>
        <v>Base</v>
      </c>
      <c r="F12505" s="138" t="str">
        <f t="shared" si="1093"/>
        <v>Upgraded</v>
      </c>
      <c r="G12505" s="153"/>
      <c r="H12505" s="210">
        <v>12.254899999999999</v>
      </c>
      <c r="I12505" s="160" t="s">
        <v>55</v>
      </c>
      <c r="J12505" s="160">
        <v>1.7219999999999999E-2</v>
      </c>
      <c r="K12505" s="160" t="s">
        <v>24</v>
      </c>
      <c r="L12505" s="154" t="str">
        <f>IF(OpenLCAbasic!K12505="CTUh", "Fill in Manually",IF(OR(K12505="Unit", K12505=""), "", INDEX(LookUps!$E$5:$E$12, MATCH(OpenLCAbasic!K12505,LookUps!$D$5:$D$12,0))))</f>
        <v>Acidification Potential (AP) - kg SO2 eq</v>
      </c>
      <c r="M12505" s="154" t="str">
        <f t="shared" si="1094"/>
        <v>Base_High_Base_Upgraded_Acidification Potential (AP) - kg SO2 eq_Aeration Tanks; wastewater treatment unit; at updated plant - US_Without Amendment_Aerated Static Pile</v>
      </c>
    </row>
    <row r="12506" spans="1:13" s="120" customFormat="1" x14ac:dyDescent="0.25">
      <c r="A12506" s="119"/>
      <c r="B12506" s="138" t="str">
        <f t="shared" si="1090"/>
        <v>Aerated Static Pile</v>
      </c>
      <c r="C12506" s="138" t="str">
        <f t="shared" si="1091"/>
        <v>Without Amendment</v>
      </c>
      <c r="D12506" s="138" t="str">
        <f t="shared" si="1096"/>
        <v>High_Base</v>
      </c>
      <c r="E12506" s="138" t="str">
        <f t="shared" si="1092"/>
        <v>Base</v>
      </c>
      <c r="F12506" s="138" t="str">
        <f t="shared" si="1093"/>
        <v>Upgraded</v>
      </c>
      <c r="G12506" s="153"/>
      <c r="H12506" s="210">
        <v>3.5445000000000002</v>
      </c>
      <c r="I12506" s="160" t="s">
        <v>54</v>
      </c>
      <c r="J12506" s="160">
        <v>4.9800000000000001E-3</v>
      </c>
      <c r="K12506" s="160" t="s">
        <v>24</v>
      </c>
      <c r="L12506" s="154" t="str">
        <f>IF(OpenLCAbasic!K12506="CTUh", "Fill in Manually",IF(OR(K12506="Unit", K12506=""), "", INDEX(LookUps!$E$5:$E$12, MATCH(OpenLCAbasic!K12506,LookUps!$D$5:$D$12,0))))</f>
        <v>Acidification Potential (AP) - kg SO2 eq</v>
      </c>
      <c r="M12506" s="154" t="str">
        <f t="shared" si="1094"/>
        <v>Base_High_Base_Upgraded_Acidification Potential (AP) - kg SO2 eq_Clear Cove Primary Clarification; wastewater treatment unit; at updated plant - US_Without Amendment_Aerated Static Pile</v>
      </c>
    </row>
    <row r="12507" spans="1:13" s="120" customFormat="1" x14ac:dyDescent="0.25">
      <c r="A12507" s="119"/>
      <c r="B12507" s="138" t="str">
        <f t="shared" si="1090"/>
        <v>Aerated Static Pile</v>
      </c>
      <c r="C12507" s="138" t="str">
        <f t="shared" si="1091"/>
        <v>Without Amendment</v>
      </c>
      <c r="D12507" s="138" t="str">
        <f t="shared" si="1096"/>
        <v>High_Base</v>
      </c>
      <c r="E12507" s="138" t="str">
        <f t="shared" si="1092"/>
        <v>Base</v>
      </c>
      <c r="F12507" s="138" t="str">
        <f t="shared" si="1093"/>
        <v>Upgraded</v>
      </c>
      <c r="G12507" s="153"/>
      <c r="H12507" s="210">
        <v>3.1057000000000001</v>
      </c>
      <c r="I12507" s="160" t="s">
        <v>58</v>
      </c>
      <c r="J12507" s="160">
        <v>4.3600000000000002E-3</v>
      </c>
      <c r="K12507" s="160" t="s">
        <v>24</v>
      </c>
      <c r="L12507" s="154" t="str">
        <f>IF(OpenLCAbasic!K12507="CTUh", "Fill in Manually",IF(OR(K12507="Unit", K12507=""), "", INDEX(LookUps!$E$5:$E$12, MATCH(OpenLCAbasic!K12507,LookUps!$D$5:$D$12,0))))</f>
        <v>Acidification Potential (AP) - kg SO2 eq</v>
      </c>
      <c r="M12507" s="154" t="str">
        <f t="shared" si="1094"/>
        <v>Base_High_Base_Upgraded_Acidification Potential (AP) - kg SO2 eq_Pre-Anoxic &amp; Swing tank; wastewater treatment unit; at updated plant - US_Without Amendment_Aerated Static Pile</v>
      </c>
    </row>
    <row r="12508" spans="1:13" s="120" customFormat="1" x14ac:dyDescent="0.25">
      <c r="A12508" s="119"/>
      <c r="B12508" s="138" t="str">
        <f t="shared" si="1090"/>
        <v>Aerated Static Pile</v>
      </c>
      <c r="C12508" s="138" t="str">
        <f t="shared" si="1091"/>
        <v>Without Amendment</v>
      </c>
      <c r="D12508" s="138" t="str">
        <f t="shared" si="1096"/>
        <v>High_Base</v>
      </c>
      <c r="E12508" s="138" t="str">
        <f t="shared" si="1092"/>
        <v>Base</v>
      </c>
      <c r="F12508" s="138" t="str">
        <f t="shared" si="1093"/>
        <v>Upgraded</v>
      </c>
      <c r="G12508" s="153"/>
      <c r="H12508" s="210">
        <v>2.4863</v>
      </c>
      <c r="I12508" s="160" t="s">
        <v>435</v>
      </c>
      <c r="J12508" s="160">
        <v>3.49E-3</v>
      </c>
      <c r="K12508" s="160" t="s">
        <v>24</v>
      </c>
      <c r="L12508" s="154" t="str">
        <f>IF(OpenLCAbasic!K12508="CTUh", "Fill in Manually",IF(OR(K12508="Unit", K12508=""), "", INDEX(LookUps!$E$5:$E$12, MATCH(OpenLCAbasic!K12508,LookUps!$D$5:$D$12,0))))</f>
        <v>Acidification Potential (AP) - kg SO2 eq</v>
      </c>
      <c r="M12508" s="154" t="str">
        <f t="shared" si="1094"/>
        <v>Base_High_Base_Upgraded_Acidification Potential (AP) - kg SO2 eq_Biosolids composting; aerated static pile; wastewater treatment unit; at updated plant - US_Without Amendment_Aerated Static Pile</v>
      </c>
    </row>
    <row r="12509" spans="1:13" s="120" customFormat="1" x14ac:dyDescent="0.25">
      <c r="A12509" s="119"/>
      <c r="B12509" s="138" t="str">
        <f t="shared" si="1090"/>
        <v>Aerated Static Pile</v>
      </c>
      <c r="C12509" s="138" t="str">
        <f t="shared" si="1091"/>
        <v>Without Amendment</v>
      </c>
      <c r="D12509" s="138" t="str">
        <f t="shared" si="1096"/>
        <v>High_Base</v>
      </c>
      <c r="E12509" s="138" t="str">
        <f t="shared" si="1092"/>
        <v>Base</v>
      </c>
      <c r="F12509" s="138" t="str">
        <f t="shared" si="1093"/>
        <v>Upgraded</v>
      </c>
      <c r="G12509" s="153"/>
      <c r="H12509" s="210">
        <v>2.4559000000000002</v>
      </c>
      <c r="I12509" s="160" t="s">
        <v>53</v>
      </c>
      <c r="J12509" s="160">
        <v>3.4499999999999999E-3</v>
      </c>
      <c r="K12509" s="160" t="s">
        <v>24</v>
      </c>
      <c r="L12509" s="154" t="str">
        <f>IF(OpenLCAbasic!K12509="CTUh", "Fill in Manually",IF(OR(K12509="Unit", K12509=""), "", INDEX(LookUps!$E$5:$E$12, MATCH(OpenLCAbasic!K12509,LookUps!$D$5:$D$12,0))))</f>
        <v>Acidification Potential (AP) - kg SO2 eq</v>
      </c>
      <c r="M12509" s="154" t="str">
        <f t="shared" si="1094"/>
        <v>Base_High_Base_Upgraded_Acidification Potential (AP) - kg SO2 eq_Wet Well and Sump Station; wastewater treatment unit; at updated plant - US_Without Amendment_Aerated Static Pile</v>
      </c>
    </row>
    <row r="12510" spans="1:13" s="120" customFormat="1" x14ac:dyDescent="0.25">
      <c r="A12510" s="119"/>
      <c r="B12510" s="138" t="str">
        <f t="shared" si="1090"/>
        <v>Aerated Static Pile</v>
      </c>
      <c r="C12510" s="138" t="str">
        <f t="shared" si="1091"/>
        <v>Without Amendment</v>
      </c>
      <c r="D12510" s="138" t="str">
        <f t="shared" si="1096"/>
        <v>High_Base</v>
      </c>
      <c r="E12510" s="138" t="str">
        <f t="shared" si="1092"/>
        <v>Base</v>
      </c>
      <c r="F12510" s="138" t="str">
        <f t="shared" si="1093"/>
        <v>Upgraded</v>
      </c>
      <c r="G12510" s="153"/>
      <c r="H12510" s="210">
        <v>2.3323999999999998</v>
      </c>
      <c r="I12510" s="160" t="s">
        <v>62</v>
      </c>
      <c r="J12510" s="160">
        <v>3.2799999999999999E-3</v>
      </c>
      <c r="K12510" s="160" t="s">
        <v>24</v>
      </c>
      <c r="L12510" s="154" t="str">
        <f>IF(OpenLCAbasic!K12510="CTUh", "Fill in Manually",IF(OR(K12510="Unit", K12510=""), "", INDEX(LookUps!$E$5:$E$12, MATCH(OpenLCAbasic!K12510,LookUps!$D$5:$D$12,0))))</f>
        <v>Acidification Potential (AP) - kg SO2 eq</v>
      </c>
      <c r="M12510" s="154" t="str">
        <f t="shared" si="1094"/>
        <v>Base_High_Base_Upgraded_Acidification Potential (AP) - kg SO2 eq_Land application of compost; wastewater treatment unit; at updated plant - US_Without Amendment_Aerated Static Pile</v>
      </c>
    </row>
    <row r="12511" spans="1:13" s="120" customFormat="1" x14ac:dyDescent="0.25">
      <c r="A12511" s="119"/>
      <c r="B12511" s="138" t="str">
        <f t="shared" si="1090"/>
        <v>Aerated Static Pile</v>
      </c>
      <c r="C12511" s="138" t="str">
        <f t="shared" si="1091"/>
        <v>Without Amendment</v>
      </c>
      <c r="D12511" s="138" t="str">
        <f t="shared" si="1096"/>
        <v>High_Base</v>
      </c>
      <c r="E12511" s="138" t="str">
        <f t="shared" si="1092"/>
        <v>Base</v>
      </c>
      <c r="F12511" s="138" t="str">
        <f t="shared" si="1093"/>
        <v>Upgraded</v>
      </c>
      <c r="G12511" s="153"/>
      <c r="H12511" s="210">
        <v>1.9238</v>
      </c>
      <c r="I12511" s="160" t="s">
        <v>167</v>
      </c>
      <c r="J12511" s="160">
        <v>2.7000000000000001E-3</v>
      </c>
      <c r="K12511" s="160" t="s">
        <v>24</v>
      </c>
      <c r="L12511" s="154" t="str">
        <f>IF(OpenLCAbasic!K12511="CTUh", "Fill in Manually",IF(OR(K12511="Unit", K12511=""), "", INDEX(LookUps!$E$5:$E$12, MATCH(OpenLCAbasic!K12511,LookUps!$D$5:$D$12,0))))</f>
        <v>Acidification Potential (AP) - kg SO2 eq</v>
      </c>
      <c r="M12511" s="154" t="str">
        <f t="shared" si="1094"/>
        <v>Base_High_Base_Upgraded_Acidification Potential (AP) - kg SO2 eq_Waste Receiving and Holding; wastewater treatment unit; at updated plant - US_Without Amendment_Aerated Static Pile</v>
      </c>
    </row>
    <row r="12512" spans="1:13" s="120" customFormat="1" x14ac:dyDescent="0.25">
      <c r="A12512" s="119"/>
      <c r="B12512" s="138" t="str">
        <f t="shared" si="1090"/>
        <v>Aerated Static Pile</v>
      </c>
      <c r="C12512" s="138" t="str">
        <f t="shared" si="1091"/>
        <v>Without Amendment</v>
      </c>
      <c r="D12512" s="138" t="str">
        <f t="shared" si="1096"/>
        <v>High_Base</v>
      </c>
      <c r="E12512" s="138" t="str">
        <f t="shared" si="1092"/>
        <v>Base</v>
      </c>
      <c r="F12512" s="138" t="str">
        <f t="shared" si="1093"/>
        <v>Upgraded</v>
      </c>
      <c r="G12512" s="153"/>
      <c r="H12512" s="210">
        <v>1.4722</v>
      </c>
      <c r="I12512" s="160" t="s">
        <v>147</v>
      </c>
      <c r="J12512" s="160">
        <v>2.0699999999999998E-3</v>
      </c>
      <c r="K12512" s="160" t="s">
        <v>24</v>
      </c>
      <c r="L12512" s="154" t="str">
        <f>IF(OpenLCAbasic!K12512="CTUh", "Fill in Manually",IF(OR(K12512="Unit", K12512=""), "", INDEX(LookUps!$E$5:$E$12, MATCH(OpenLCAbasic!K12512,LookUps!$D$5:$D$12,0))))</f>
        <v>Acidification Potential (AP) - kg SO2 eq</v>
      </c>
      <c r="M12512" s="154" t="str">
        <f t="shared" si="1094"/>
        <v>Base_High_Base_Upgraded_Acidification Potential (AP) - kg SO2 eq_Influent Pump Station; wastewater treatment unit; at updated plant - US_Without Amendment_Aerated Static Pile</v>
      </c>
    </row>
    <row r="12513" spans="1:13" s="120" customFormat="1" x14ac:dyDescent="0.25">
      <c r="A12513" s="119"/>
      <c r="B12513" s="138" t="str">
        <f t="shared" si="1090"/>
        <v>Aerated Static Pile</v>
      </c>
      <c r="C12513" s="138" t="str">
        <f t="shared" si="1091"/>
        <v>Without Amendment</v>
      </c>
      <c r="D12513" s="138" t="str">
        <f t="shared" si="1096"/>
        <v>High_Base</v>
      </c>
      <c r="E12513" s="138" t="str">
        <f t="shared" si="1092"/>
        <v>Base</v>
      </c>
      <c r="F12513" s="138" t="str">
        <f t="shared" si="1093"/>
        <v>Upgraded</v>
      </c>
      <c r="G12513" s="153"/>
      <c r="H12513" s="210">
        <v>1.0373000000000001</v>
      </c>
      <c r="I12513" s="160" t="s">
        <v>60</v>
      </c>
      <c r="J12513" s="160">
        <v>1.4599999999999999E-3</v>
      </c>
      <c r="K12513" s="160" t="s">
        <v>24</v>
      </c>
      <c r="L12513" s="154" t="str">
        <f>IF(OpenLCAbasic!K12513="CTUh", "Fill in Manually",IF(OR(K12513="Unit", K12513=""), "", INDEX(LookUps!$E$5:$E$12, MATCH(OpenLCAbasic!K12513,LookUps!$D$5:$D$12,0))))</f>
        <v>Acidification Potential (AP) - kg SO2 eq</v>
      </c>
      <c r="M12513" s="154" t="str">
        <f t="shared" si="1094"/>
        <v>Base_High_Base_Upgraded_Acidification Potential (AP) - kg SO2 eq_Belt filter press; wastewater treatment unit; at updated plant - US_Without Amendment_Aerated Static Pile</v>
      </c>
    </row>
    <row r="12514" spans="1:13" s="120" customFormat="1" x14ac:dyDescent="0.25">
      <c r="A12514" s="119"/>
      <c r="B12514" s="138" t="str">
        <f t="shared" si="1090"/>
        <v>Aerated Static Pile</v>
      </c>
      <c r="C12514" s="138" t="str">
        <f t="shared" si="1091"/>
        <v>Without Amendment</v>
      </c>
      <c r="D12514" s="138" t="str">
        <f t="shared" si="1096"/>
        <v>High_Base</v>
      </c>
      <c r="E12514" s="138" t="str">
        <f t="shared" si="1092"/>
        <v>Base</v>
      </c>
      <c r="F12514" s="138" t="str">
        <f t="shared" si="1093"/>
        <v>Upgraded</v>
      </c>
      <c r="G12514" s="153"/>
      <c r="H12514" s="210">
        <v>0.87749999999999995</v>
      </c>
      <c r="I12514" s="160" t="s">
        <v>128</v>
      </c>
      <c r="J12514" s="160">
        <v>1.23E-3</v>
      </c>
      <c r="K12514" s="160" t="s">
        <v>24</v>
      </c>
      <c r="L12514" s="154" t="str">
        <f>IF(OpenLCAbasic!K12514="CTUh", "Fill in Manually",IF(OR(K12514="Unit", K12514=""), "", INDEX(LookUps!$E$5:$E$12, MATCH(OpenLCAbasic!K12514,LookUps!$D$5:$D$12,0))))</f>
        <v>Acidification Potential (AP) - kg SO2 eq</v>
      </c>
      <c r="M12514" s="154" t="str">
        <f t="shared" si="1094"/>
        <v>Base_High_Base_Upgraded_Acidification Potential (AP) - kg SO2 eq_Wastewater collection; operation and infrastructure; m3 wastewater_Without Amendment_Aerated Static Pile</v>
      </c>
    </row>
    <row r="12515" spans="1:13" s="120" customFormat="1" x14ac:dyDescent="0.25">
      <c r="A12515" s="119"/>
      <c r="B12515" s="138" t="str">
        <f t="shared" si="1090"/>
        <v>Aerated Static Pile</v>
      </c>
      <c r="C12515" s="138" t="str">
        <f t="shared" si="1091"/>
        <v>Without Amendment</v>
      </c>
      <c r="D12515" s="138" t="str">
        <f t="shared" si="1096"/>
        <v>High_Base</v>
      </c>
      <c r="E12515" s="138" t="str">
        <f t="shared" si="1092"/>
        <v>Base</v>
      </c>
      <c r="F12515" s="138" t="str">
        <f t="shared" si="1093"/>
        <v>Upgraded</v>
      </c>
      <c r="G12515" s="153"/>
      <c r="H12515" s="210">
        <v>0.501</v>
      </c>
      <c r="I12515" s="160" t="s">
        <v>57</v>
      </c>
      <c r="J12515" s="160">
        <v>6.9999999999999999E-4</v>
      </c>
      <c r="K12515" s="160" t="s">
        <v>24</v>
      </c>
      <c r="L12515" s="154" t="str">
        <f>IF(OpenLCAbasic!K12515="CTUh", "Fill in Manually",IF(OR(K12515="Unit", K12515=""), "", INDEX(LookUps!$E$5:$E$12, MATCH(OpenLCAbasic!K12515,LookUps!$D$5:$D$12,0))))</f>
        <v>Acidification Potential (AP) - kg SO2 eq</v>
      </c>
      <c r="M12515" s="154" t="str">
        <f t="shared" si="1094"/>
        <v>Base_High_Base_Upgraded_Acidification Potential (AP) - kg SO2 eq_Gravity Belt Thickener; wastewater treatment unit; at updated plant - US_Without Amendment_Aerated Static Pile</v>
      </c>
    </row>
    <row r="12516" spans="1:13" s="120" customFormat="1" x14ac:dyDescent="0.25">
      <c r="A12516" s="119"/>
      <c r="B12516" s="138" t="str">
        <f t="shared" si="1090"/>
        <v>Aerated Static Pile</v>
      </c>
      <c r="C12516" s="138" t="str">
        <f t="shared" si="1091"/>
        <v>Without Amendment</v>
      </c>
      <c r="D12516" s="138" t="str">
        <f t="shared" si="1096"/>
        <v>High_Base</v>
      </c>
      <c r="E12516" s="138" t="str">
        <f t="shared" si="1092"/>
        <v>Base</v>
      </c>
      <c r="F12516" s="138" t="str">
        <f t="shared" si="1093"/>
        <v>Upgraded</v>
      </c>
      <c r="G12516" s="153"/>
      <c r="H12516" s="210">
        <v>0.36749999999999999</v>
      </c>
      <c r="I12516" s="160" t="s">
        <v>59</v>
      </c>
      <c r="J12516" s="160">
        <v>5.1999999999999995E-4</v>
      </c>
      <c r="K12516" s="160" t="s">
        <v>24</v>
      </c>
      <c r="L12516" s="154" t="str">
        <f>IF(OpenLCAbasic!K12516="CTUh", "Fill in Manually",IF(OR(K12516="Unit", K12516=""), "", INDEX(LookUps!$E$5:$E$12, MATCH(OpenLCAbasic!K12516,LookUps!$D$5:$D$12,0))))</f>
        <v>Acidification Potential (AP) - kg SO2 eq</v>
      </c>
      <c r="M12516" s="154" t="str">
        <f t="shared" si="1094"/>
        <v>Base_High_Base_Upgraded_Acidification Potential (AP) - kg SO2 eq_Blend Tank; wastewater treatment unit; at updated plant - US_Without Amendment_Aerated Static Pile</v>
      </c>
    </row>
    <row r="12517" spans="1:13" s="120" customFormat="1" x14ac:dyDescent="0.25">
      <c r="A12517" s="119"/>
      <c r="B12517" s="138" t="str">
        <f t="shared" si="1090"/>
        <v>Aerated Static Pile</v>
      </c>
      <c r="C12517" s="138" t="str">
        <f t="shared" si="1091"/>
        <v>Without Amendment</v>
      </c>
      <c r="D12517" s="138" t="str">
        <f t="shared" si="1096"/>
        <v>High_Base</v>
      </c>
      <c r="E12517" s="138" t="str">
        <f t="shared" si="1092"/>
        <v>Base</v>
      </c>
      <c r="F12517" s="138" t="str">
        <f t="shared" si="1093"/>
        <v>Upgraded</v>
      </c>
      <c r="G12517" s="153"/>
      <c r="H12517" s="210">
        <v>0.24660000000000001</v>
      </c>
      <c r="I12517" s="160" t="s">
        <v>48</v>
      </c>
      <c r="J12517" s="160">
        <v>3.5E-4</v>
      </c>
      <c r="K12517" s="160" t="s">
        <v>24</v>
      </c>
      <c r="L12517" s="154" t="str">
        <f>IF(OpenLCAbasic!K12517="CTUh", "Fill in Manually",IF(OR(K12517="Unit", K12517=""), "", INDEX(LookUps!$E$5:$E$12, MATCH(OpenLCAbasic!K12517,LookUps!$D$5:$D$12,0))))</f>
        <v>Acidification Potential (AP) - kg SO2 eq</v>
      </c>
      <c r="M12517" s="154" t="str">
        <f t="shared" si="1094"/>
        <v>Base_High_Base_Upgraded_Acidification Potential (AP) - kg SO2 eq_Effluent release; wastewater treatment unit; at surface water; m3 wastewater - US_Without Amendment_Aerated Static Pile</v>
      </c>
    </row>
    <row r="12518" spans="1:13" s="120" customFormat="1" x14ac:dyDescent="0.25">
      <c r="A12518" s="119"/>
      <c r="B12518" s="138" t="str">
        <f t="shared" si="1090"/>
        <v>Aerated Static Pile</v>
      </c>
      <c r="C12518" s="138" t="str">
        <f t="shared" si="1091"/>
        <v>Without Amendment</v>
      </c>
      <c r="D12518" s="138" t="str">
        <f t="shared" si="1096"/>
        <v>High_Base</v>
      </c>
      <c r="E12518" s="138" t="str">
        <f t="shared" si="1092"/>
        <v>Base</v>
      </c>
      <c r="F12518" s="138" t="str">
        <f t="shared" si="1093"/>
        <v>Upgraded</v>
      </c>
      <c r="G12518" s="153"/>
      <c r="H12518" s="210">
        <v>0.18160000000000001</v>
      </c>
      <c r="I12518" s="160" t="s">
        <v>168</v>
      </c>
      <c r="J12518" s="160">
        <v>2.5999999999999998E-4</v>
      </c>
      <c r="K12518" s="160" t="s">
        <v>24</v>
      </c>
      <c r="L12518" s="154" t="str">
        <f>IF(OpenLCAbasic!K12518="CTUh", "Fill in Manually",IF(OR(K12518="Unit", K12518=""), "", INDEX(LookUps!$E$5:$E$12, MATCH(OpenLCAbasic!K12518,LookUps!$D$5:$D$12,0))))</f>
        <v>Acidification Potential (AP) - kg SO2 eq</v>
      </c>
      <c r="M12518" s="154" t="str">
        <f t="shared" si="1094"/>
        <v>Base_High_Base_Upgraded_Acidification Potential (AP) - kg SO2 eq_ClearCove SCP; wastewater treatment unit; at updated plant - US_Without Amendment_Aerated Static Pile</v>
      </c>
    </row>
    <row r="12519" spans="1:13" s="120" customFormat="1" x14ac:dyDescent="0.25">
      <c r="A12519" s="119"/>
      <c r="B12519" s="138" t="str">
        <f t="shared" si="1090"/>
        <v>Aerated Static Pile</v>
      </c>
      <c r="C12519" s="138" t="str">
        <f t="shared" si="1091"/>
        <v>Without Amendment</v>
      </c>
      <c r="D12519" s="138" t="str">
        <f t="shared" si="1096"/>
        <v>High_Base</v>
      </c>
      <c r="E12519" s="138" t="str">
        <f t="shared" si="1092"/>
        <v>Base</v>
      </c>
      <c r="F12519" s="138" t="str">
        <f t="shared" si="1093"/>
        <v>Upgraded</v>
      </c>
      <c r="G12519" s="153"/>
      <c r="H12519" s="210">
        <v>2.87E-2</v>
      </c>
      <c r="I12519" s="160" t="s">
        <v>148</v>
      </c>
      <c r="J12519" s="211">
        <v>4.0354700000000002E-5</v>
      </c>
      <c r="K12519" s="160" t="s">
        <v>24</v>
      </c>
      <c r="L12519" s="154" t="str">
        <f>IF(OpenLCAbasic!K12519="CTUh", "Fill in Manually",IF(OR(K12519="Unit", K12519=""), "", INDEX(LookUps!$E$5:$E$12, MATCH(OpenLCAbasic!K12519,LookUps!$D$5:$D$12,0))))</f>
        <v>Acidification Potential (AP) - kg SO2 eq</v>
      </c>
      <c r="M12519" s="154" t="str">
        <f t="shared" si="1094"/>
        <v>Base_High_Base_Upgraded_Acidification Potential (AP) - kg SO2 eq_Control Building; at upgraded wastewater treatment plant - US_Without Amendment_Aerated Static Pile</v>
      </c>
    </row>
    <row r="12520" spans="1:13" s="120" customFormat="1" x14ac:dyDescent="0.25">
      <c r="A12520" s="119"/>
      <c r="B12520" s="138" t="str">
        <f t="shared" si="1090"/>
        <v>Aerated Static Pile</v>
      </c>
      <c r="C12520" s="138" t="str">
        <f t="shared" si="1091"/>
        <v>Without Amendment</v>
      </c>
      <c r="D12520" s="138" t="str">
        <f t="shared" si="1096"/>
        <v>High_Base</v>
      </c>
      <c r="E12520" s="138" t="str">
        <f t="shared" si="1092"/>
        <v>Base</v>
      </c>
      <c r="F12520" s="138" t="str">
        <f t="shared" si="1093"/>
        <v>Upgraded</v>
      </c>
      <c r="G12520" s="153"/>
      <c r="H12520" s="210">
        <v>-31.815999999999999</v>
      </c>
      <c r="I12520" s="160" t="s">
        <v>149</v>
      </c>
      <c r="J12520" s="160">
        <v>-4.4699999999999997E-2</v>
      </c>
      <c r="K12520" s="160" t="s">
        <v>24</v>
      </c>
      <c r="L12520" s="154" t="str">
        <f>IF(OpenLCAbasic!K12520="CTUh", "Fill in Manually",IF(OR(K12520="Unit", K12520=""), "", INDEX(LookUps!$E$5:$E$12, MATCH(OpenLCAbasic!K12520,LookUps!$D$5:$D$12,0))))</f>
        <v>Acidification Potential (AP) - kg SO2 eq</v>
      </c>
      <c r="M12520" s="154" t="str">
        <f t="shared" si="1094"/>
        <v>Base_High_Base_Upgraded_Acidification Potential (AP) - kg SO2 eq_Anaerobic Digestion; wastewater treatment unit; at updated plant - US_Without Amendment_Aerated Static Pile</v>
      </c>
    </row>
    <row r="12521" spans="1:13" s="120" customFormat="1" x14ac:dyDescent="0.25">
      <c r="A12521" s="119"/>
      <c r="B12521" s="138" t="str">
        <f t="shared" ref="B12521:B12584" si="1097">IF(F12521="Legacy","n.a.",IF(F12521="","","Aerated Static Pile"))</f>
        <v/>
      </c>
      <c r="C12521" s="138" t="str">
        <f t="shared" ref="C12521:C12584" si="1098">IF(ISNUMBER($J12521),"Without Amendment","")</f>
        <v/>
      </c>
      <c r="D12521" s="138" t="str">
        <f t="shared" si="1096"/>
        <v/>
      </c>
      <c r="E12521" s="138" t="str">
        <f t="shared" ref="E12521:E12584" si="1099">IF(ISNUMBER($J12521),"Base","")</f>
        <v/>
      </c>
      <c r="F12521" s="138" t="str">
        <f t="shared" ref="F12521:F12584" si="1100">IF(ISNUMBER(J12521),"Upgraded","")</f>
        <v/>
      </c>
      <c r="G12521" s="153" t="s">
        <v>51</v>
      </c>
      <c r="H12521" s="160"/>
      <c r="I12521" s="160" t="s">
        <v>47</v>
      </c>
      <c r="J12521" s="160" t="s">
        <v>52</v>
      </c>
      <c r="K12521" s="160" t="s">
        <v>27</v>
      </c>
      <c r="L12521" s="154" t="str">
        <f>IF(OpenLCAbasic!K12521="CTUh", "Fill in Manually",IF(OR(K12521="Unit", K12521=""), "", INDEX(LookUps!$E$5:$E$12, MATCH(OpenLCAbasic!K12521,LookUps!$D$5:$D$12,0))))</f>
        <v/>
      </c>
      <c r="M12521" s="154" t="str">
        <f t="shared" si="1094"/>
        <v>____Process__</v>
      </c>
    </row>
    <row r="12522" spans="1:13" s="120" customFormat="1" x14ac:dyDescent="0.25">
      <c r="A12522" s="119"/>
      <c r="B12522" s="138" t="str">
        <f t="shared" si="1097"/>
        <v>Aerated Static Pile</v>
      </c>
      <c r="C12522" s="138" t="str">
        <f t="shared" si="1098"/>
        <v>Without Amendment</v>
      </c>
      <c r="D12522" s="138" t="str">
        <f t="shared" si="1096"/>
        <v>High_Base</v>
      </c>
      <c r="E12522" s="138" t="str">
        <f t="shared" si="1099"/>
        <v>Base</v>
      </c>
      <c r="F12522" s="138" t="str">
        <f t="shared" si="1100"/>
        <v>Upgraded</v>
      </c>
      <c r="G12522" s="153"/>
      <c r="H12522" s="210">
        <v>28.3475</v>
      </c>
      <c r="I12522" s="160" t="s">
        <v>167</v>
      </c>
      <c r="J12522" s="160">
        <v>5.1393399999999998</v>
      </c>
      <c r="K12522" s="160" t="s">
        <v>15</v>
      </c>
      <c r="L12522" s="154" t="str">
        <f>IF(OpenLCAbasic!K12522="CTUh", "Fill in Manually",IF(OR(K12522="Unit", K12522=""), "", INDEX(LookUps!$E$5:$E$12, MATCH(OpenLCAbasic!K12522,LookUps!$D$5:$D$12,0))))</f>
        <v>Cumulative Energy Demand (CED) - MJ</v>
      </c>
      <c r="M12522" s="154" t="str">
        <f t="shared" si="1094"/>
        <v>Base_High_Base_Upgraded_Cumulative Energy Demand (CED) - MJ_Waste Receiving and Holding; wastewater treatment unit; at updated plant - US_Without Amendment_Aerated Static Pile</v>
      </c>
    </row>
    <row r="12523" spans="1:13" s="120" customFormat="1" x14ac:dyDescent="0.25">
      <c r="A12523" s="119"/>
      <c r="B12523" s="138" t="str">
        <f t="shared" si="1097"/>
        <v>Aerated Static Pile</v>
      </c>
      <c r="C12523" s="138" t="str">
        <f t="shared" si="1098"/>
        <v>Without Amendment</v>
      </c>
      <c r="D12523" s="138" t="str">
        <f t="shared" si="1096"/>
        <v>High_Base</v>
      </c>
      <c r="E12523" s="138" t="str">
        <f t="shared" si="1099"/>
        <v>Base</v>
      </c>
      <c r="F12523" s="138" t="str">
        <f t="shared" si="1100"/>
        <v>Upgraded</v>
      </c>
      <c r="G12523" s="153"/>
      <c r="H12523" s="210">
        <v>19.4876</v>
      </c>
      <c r="I12523" s="160" t="s">
        <v>55</v>
      </c>
      <c r="J12523" s="160">
        <v>3.5330499999999998</v>
      </c>
      <c r="K12523" s="160" t="s">
        <v>15</v>
      </c>
      <c r="L12523" s="154" t="str">
        <f>IF(OpenLCAbasic!K12523="CTUh", "Fill in Manually",IF(OR(K12523="Unit", K12523=""), "", INDEX(LookUps!$E$5:$E$12, MATCH(OpenLCAbasic!K12523,LookUps!$D$5:$D$12,0))))</f>
        <v>Cumulative Energy Demand (CED) - MJ</v>
      </c>
      <c r="M12523" s="154" t="str">
        <f t="shared" si="1094"/>
        <v>Base_High_Base_Upgraded_Cumulative Energy Demand (CED) - MJ_Aeration Tanks; wastewater treatment unit; at updated plant - US_Without Amendment_Aerated Static Pile</v>
      </c>
    </row>
    <row r="12524" spans="1:13" s="120" customFormat="1" x14ac:dyDescent="0.25">
      <c r="A12524" s="119"/>
      <c r="B12524" s="138" t="str">
        <f t="shared" si="1097"/>
        <v>Aerated Static Pile</v>
      </c>
      <c r="C12524" s="138" t="str">
        <f t="shared" si="1098"/>
        <v>Without Amendment</v>
      </c>
      <c r="D12524" s="138" t="str">
        <f t="shared" si="1096"/>
        <v>High_Base</v>
      </c>
      <c r="E12524" s="138" t="str">
        <f t="shared" si="1099"/>
        <v>Base</v>
      </c>
      <c r="F12524" s="138" t="str">
        <f t="shared" si="1100"/>
        <v>Upgraded</v>
      </c>
      <c r="G12524" s="153"/>
      <c r="H12524" s="210">
        <v>6.4142999999999999</v>
      </c>
      <c r="I12524" s="160" t="s">
        <v>54</v>
      </c>
      <c r="J12524" s="160">
        <v>1.16289</v>
      </c>
      <c r="K12524" s="160" t="s">
        <v>15</v>
      </c>
      <c r="L12524" s="154" t="str">
        <f>IF(OpenLCAbasic!K12524="CTUh", "Fill in Manually",IF(OR(K12524="Unit", K12524=""), "", INDEX(LookUps!$E$5:$E$12, MATCH(OpenLCAbasic!K12524,LookUps!$D$5:$D$12,0))))</f>
        <v>Cumulative Energy Demand (CED) - MJ</v>
      </c>
      <c r="M12524" s="154" t="str">
        <f t="shared" si="1094"/>
        <v>Base_High_Base_Upgraded_Cumulative Energy Demand (CED) - MJ_Clear Cove Primary Clarification; wastewater treatment unit; at updated plant - US_Without Amendment_Aerated Static Pile</v>
      </c>
    </row>
    <row r="12525" spans="1:13" s="120" customFormat="1" x14ac:dyDescent="0.25">
      <c r="A12525" s="119"/>
      <c r="B12525" s="138" t="str">
        <f t="shared" si="1097"/>
        <v>Aerated Static Pile</v>
      </c>
      <c r="C12525" s="138" t="str">
        <f t="shared" si="1098"/>
        <v>Without Amendment</v>
      </c>
      <c r="D12525" s="138" t="str">
        <f t="shared" si="1096"/>
        <v>High_Base</v>
      </c>
      <c r="E12525" s="138" t="str">
        <f t="shared" si="1099"/>
        <v>Base</v>
      </c>
      <c r="F12525" s="138" t="str">
        <f t="shared" si="1100"/>
        <v>Upgraded</v>
      </c>
      <c r="G12525" s="153"/>
      <c r="H12525" s="210">
        <v>4.9126000000000003</v>
      </c>
      <c r="I12525" s="160" t="s">
        <v>58</v>
      </c>
      <c r="J12525" s="160">
        <v>0.89063999999999999</v>
      </c>
      <c r="K12525" s="160" t="s">
        <v>15</v>
      </c>
      <c r="L12525" s="154" t="str">
        <f>IF(OpenLCAbasic!K12525="CTUh", "Fill in Manually",IF(OR(K12525="Unit", K12525=""), "", INDEX(LookUps!$E$5:$E$12, MATCH(OpenLCAbasic!K12525,LookUps!$D$5:$D$12,0))))</f>
        <v>Cumulative Energy Demand (CED) - MJ</v>
      </c>
      <c r="M12525" s="154" t="str">
        <f t="shared" si="1094"/>
        <v>Base_High_Base_Upgraded_Cumulative Energy Demand (CED) - MJ_Pre-Anoxic &amp; Swing tank; wastewater treatment unit; at updated plant - US_Without Amendment_Aerated Static Pile</v>
      </c>
    </row>
    <row r="12526" spans="1:13" s="120" customFormat="1" x14ac:dyDescent="0.25">
      <c r="A12526" s="119"/>
      <c r="B12526" s="138" t="str">
        <f t="shared" si="1097"/>
        <v>Aerated Static Pile</v>
      </c>
      <c r="C12526" s="138" t="str">
        <f t="shared" si="1098"/>
        <v>Without Amendment</v>
      </c>
      <c r="D12526" s="138" t="str">
        <f t="shared" si="1096"/>
        <v>High_Base</v>
      </c>
      <c r="E12526" s="138" t="str">
        <f t="shared" si="1099"/>
        <v>Base</v>
      </c>
      <c r="F12526" s="138" t="str">
        <f t="shared" si="1100"/>
        <v>Upgraded</v>
      </c>
      <c r="G12526" s="153"/>
      <c r="H12526" s="210">
        <v>4.8703000000000003</v>
      </c>
      <c r="I12526" s="160" t="s">
        <v>147</v>
      </c>
      <c r="J12526" s="160">
        <v>0.88297000000000003</v>
      </c>
      <c r="K12526" s="160" t="s">
        <v>15</v>
      </c>
      <c r="L12526" s="154" t="str">
        <f>IF(OpenLCAbasic!K12526="CTUh", "Fill in Manually",IF(OR(K12526="Unit", K12526=""), "", INDEX(LookUps!$E$5:$E$12, MATCH(OpenLCAbasic!K12526,LookUps!$D$5:$D$12,0))))</f>
        <v>Cumulative Energy Demand (CED) - MJ</v>
      </c>
      <c r="M12526" s="154" t="str">
        <f t="shared" si="1094"/>
        <v>Base_High_Base_Upgraded_Cumulative Energy Demand (CED) - MJ_Influent Pump Station; wastewater treatment unit; at updated plant - US_Without Amendment_Aerated Static Pile</v>
      </c>
    </row>
    <row r="12527" spans="1:13" s="120" customFormat="1" x14ac:dyDescent="0.25">
      <c r="A12527" s="119"/>
      <c r="B12527" s="138" t="str">
        <f t="shared" si="1097"/>
        <v>Aerated Static Pile</v>
      </c>
      <c r="C12527" s="138" t="str">
        <f t="shared" si="1098"/>
        <v>Without Amendment</v>
      </c>
      <c r="D12527" s="138" t="str">
        <f t="shared" si="1096"/>
        <v>High_Base</v>
      </c>
      <c r="E12527" s="138" t="str">
        <f t="shared" si="1099"/>
        <v>Base</v>
      </c>
      <c r="F12527" s="138" t="str">
        <f t="shared" si="1100"/>
        <v>Upgraded</v>
      </c>
      <c r="G12527" s="153"/>
      <c r="H12527" s="210">
        <v>3.8414999999999999</v>
      </c>
      <c r="I12527" s="160" t="s">
        <v>53</v>
      </c>
      <c r="J12527" s="160">
        <v>0.69645000000000001</v>
      </c>
      <c r="K12527" s="160" t="s">
        <v>15</v>
      </c>
      <c r="L12527" s="154" t="str">
        <f>IF(OpenLCAbasic!K12527="CTUh", "Fill in Manually",IF(OR(K12527="Unit", K12527=""), "", INDEX(LookUps!$E$5:$E$12, MATCH(OpenLCAbasic!K12527,LookUps!$D$5:$D$12,0))))</f>
        <v>Cumulative Energy Demand (CED) - MJ</v>
      </c>
      <c r="M12527" s="154" t="str">
        <f t="shared" si="1094"/>
        <v>Base_High_Base_Upgraded_Cumulative Energy Demand (CED) - MJ_Wet Well and Sump Station; wastewater treatment unit; at updated plant - US_Without Amendment_Aerated Static Pile</v>
      </c>
    </row>
    <row r="12528" spans="1:13" s="120" customFormat="1" x14ac:dyDescent="0.25">
      <c r="A12528" s="119"/>
      <c r="B12528" s="138" t="str">
        <f t="shared" si="1097"/>
        <v>Aerated Static Pile</v>
      </c>
      <c r="C12528" s="138" t="str">
        <f t="shared" si="1098"/>
        <v>Without Amendment</v>
      </c>
      <c r="D12528" s="138" t="str">
        <f t="shared" si="1096"/>
        <v>High_Base</v>
      </c>
      <c r="E12528" s="138" t="str">
        <f t="shared" si="1099"/>
        <v>Base</v>
      </c>
      <c r="F12528" s="138" t="str">
        <f t="shared" si="1100"/>
        <v>Upgraded</v>
      </c>
      <c r="G12528" s="153"/>
      <c r="H12528" s="210">
        <v>3.6217999999999999</v>
      </c>
      <c r="I12528" s="160" t="s">
        <v>435</v>
      </c>
      <c r="J12528" s="160">
        <v>0.65663000000000005</v>
      </c>
      <c r="K12528" s="160" t="s">
        <v>15</v>
      </c>
      <c r="L12528" s="154" t="str">
        <f>IF(OpenLCAbasic!K12528="CTUh", "Fill in Manually",IF(OR(K12528="Unit", K12528=""), "", INDEX(LookUps!$E$5:$E$12, MATCH(OpenLCAbasic!K12528,LookUps!$D$5:$D$12,0))))</f>
        <v>Cumulative Energy Demand (CED) - MJ</v>
      </c>
      <c r="M12528" s="154" t="str">
        <f t="shared" si="1094"/>
        <v>Base_High_Base_Upgraded_Cumulative Energy Demand (CED) - MJ_Biosolids composting; aerated static pile; wastewater treatment unit; at updated plant - US_Without Amendment_Aerated Static Pile</v>
      </c>
    </row>
    <row r="12529" spans="1:13" s="120" customFormat="1" x14ac:dyDescent="0.25">
      <c r="A12529" s="119"/>
      <c r="B12529" s="138" t="str">
        <f t="shared" si="1097"/>
        <v>Aerated Static Pile</v>
      </c>
      <c r="C12529" s="138" t="str">
        <f t="shared" si="1098"/>
        <v>Without Amendment</v>
      </c>
      <c r="D12529" s="138" t="str">
        <f t="shared" si="1096"/>
        <v>High_Base</v>
      </c>
      <c r="E12529" s="138" t="str">
        <f t="shared" si="1099"/>
        <v>Base</v>
      </c>
      <c r="F12529" s="138" t="str">
        <f t="shared" si="1100"/>
        <v>Upgraded</v>
      </c>
      <c r="G12529" s="153"/>
      <c r="H12529" s="210">
        <v>3.0019</v>
      </c>
      <c r="I12529" s="160" t="s">
        <v>60</v>
      </c>
      <c r="J12529" s="160">
        <v>0.54422999999999999</v>
      </c>
      <c r="K12529" s="160" t="s">
        <v>15</v>
      </c>
      <c r="L12529" s="154" t="str">
        <f>IF(OpenLCAbasic!K12529="CTUh", "Fill in Manually",IF(OR(K12529="Unit", K12529=""), "", INDEX(LookUps!$E$5:$E$12, MATCH(OpenLCAbasic!K12529,LookUps!$D$5:$D$12,0))))</f>
        <v>Cumulative Energy Demand (CED) - MJ</v>
      </c>
      <c r="M12529" s="154" t="str">
        <f t="shared" si="1094"/>
        <v>Base_High_Base_Upgraded_Cumulative Energy Demand (CED) - MJ_Belt filter press; wastewater treatment unit; at updated plant - US_Without Amendment_Aerated Static Pile</v>
      </c>
    </row>
    <row r="12530" spans="1:13" s="120" customFormat="1" x14ac:dyDescent="0.25">
      <c r="A12530" s="119"/>
      <c r="B12530" s="138" t="str">
        <f t="shared" si="1097"/>
        <v>Aerated Static Pile</v>
      </c>
      <c r="C12530" s="138" t="str">
        <f t="shared" si="1098"/>
        <v>Without Amendment</v>
      </c>
      <c r="D12530" s="138" t="str">
        <f t="shared" si="1096"/>
        <v>High_Base</v>
      </c>
      <c r="E12530" s="138" t="str">
        <f t="shared" si="1099"/>
        <v>Base</v>
      </c>
      <c r="F12530" s="138" t="str">
        <f t="shared" si="1100"/>
        <v>Upgraded</v>
      </c>
      <c r="G12530" s="153"/>
      <c r="H12530" s="210">
        <v>1.8425</v>
      </c>
      <c r="I12530" s="160" t="s">
        <v>57</v>
      </c>
      <c r="J12530" s="160">
        <v>0.33404</v>
      </c>
      <c r="K12530" s="160" t="s">
        <v>15</v>
      </c>
      <c r="L12530" s="154" t="str">
        <f>IF(OpenLCAbasic!K12530="CTUh", "Fill in Manually",IF(OR(K12530="Unit", K12530=""), "", INDEX(LookUps!$E$5:$E$12, MATCH(OpenLCAbasic!K12530,LookUps!$D$5:$D$12,0))))</f>
        <v>Cumulative Energy Demand (CED) - MJ</v>
      </c>
      <c r="M12530" s="154" t="str">
        <f t="shared" si="1094"/>
        <v>Base_High_Base_Upgraded_Cumulative Energy Demand (CED) - MJ_Gravity Belt Thickener; wastewater treatment unit; at updated plant - US_Without Amendment_Aerated Static Pile</v>
      </c>
    </row>
    <row r="12531" spans="1:13" s="120" customFormat="1" x14ac:dyDescent="0.25">
      <c r="A12531" s="119"/>
      <c r="B12531" s="138" t="str">
        <f t="shared" si="1097"/>
        <v>Aerated Static Pile</v>
      </c>
      <c r="C12531" s="138" t="str">
        <f t="shared" si="1098"/>
        <v>Without Amendment</v>
      </c>
      <c r="D12531" s="138" t="str">
        <f t="shared" si="1096"/>
        <v>High_Base</v>
      </c>
      <c r="E12531" s="138" t="str">
        <f t="shared" si="1099"/>
        <v>Base</v>
      </c>
      <c r="F12531" s="138" t="str">
        <f t="shared" si="1100"/>
        <v>Upgraded</v>
      </c>
      <c r="G12531" s="153"/>
      <c r="H12531" s="210">
        <v>1.4124000000000001</v>
      </c>
      <c r="I12531" s="160" t="s">
        <v>128</v>
      </c>
      <c r="J12531" s="160">
        <v>0.25606000000000001</v>
      </c>
      <c r="K12531" s="160" t="s">
        <v>15</v>
      </c>
      <c r="L12531" s="154" t="str">
        <f>IF(OpenLCAbasic!K12531="CTUh", "Fill in Manually",IF(OR(K12531="Unit", K12531=""), "", INDEX(LookUps!$E$5:$E$12, MATCH(OpenLCAbasic!K12531,LookUps!$D$5:$D$12,0))))</f>
        <v>Cumulative Energy Demand (CED) - MJ</v>
      </c>
      <c r="M12531" s="154" t="str">
        <f t="shared" si="1094"/>
        <v>Base_High_Base_Upgraded_Cumulative Energy Demand (CED) - MJ_Wastewater collection; operation and infrastructure; m3 wastewater_Without Amendment_Aerated Static Pile</v>
      </c>
    </row>
    <row r="12532" spans="1:13" s="120" customFormat="1" x14ac:dyDescent="0.25">
      <c r="A12532" s="119"/>
      <c r="B12532" s="138" t="str">
        <f t="shared" si="1097"/>
        <v>Aerated Static Pile</v>
      </c>
      <c r="C12532" s="138" t="str">
        <f t="shared" si="1098"/>
        <v>Without Amendment</v>
      </c>
      <c r="D12532" s="138" t="str">
        <f t="shared" si="1096"/>
        <v>High_Base</v>
      </c>
      <c r="E12532" s="138" t="str">
        <f t="shared" si="1099"/>
        <v>Base</v>
      </c>
      <c r="F12532" s="138" t="str">
        <f t="shared" si="1100"/>
        <v>Upgraded</v>
      </c>
      <c r="G12532" s="153"/>
      <c r="H12532" s="210">
        <v>0.80530000000000002</v>
      </c>
      <c r="I12532" s="160" t="s">
        <v>148</v>
      </c>
      <c r="J12532" s="160">
        <v>0.14599000000000001</v>
      </c>
      <c r="K12532" s="160" t="s">
        <v>15</v>
      </c>
      <c r="L12532" s="154" t="str">
        <f>IF(OpenLCAbasic!K12532="CTUh", "Fill in Manually",IF(OR(K12532="Unit", K12532=""), "", INDEX(LookUps!$E$5:$E$12, MATCH(OpenLCAbasic!K12532,LookUps!$D$5:$D$12,0))))</f>
        <v>Cumulative Energy Demand (CED) - MJ</v>
      </c>
      <c r="M12532" s="154" t="str">
        <f t="shared" si="1094"/>
        <v>Base_High_Base_Upgraded_Cumulative Energy Demand (CED) - MJ_Control Building; at upgraded wastewater treatment plant - US_Without Amendment_Aerated Static Pile</v>
      </c>
    </row>
    <row r="12533" spans="1:13" s="120" customFormat="1" x14ac:dyDescent="0.25">
      <c r="A12533" s="119"/>
      <c r="B12533" s="138" t="str">
        <f t="shared" si="1097"/>
        <v>Aerated Static Pile</v>
      </c>
      <c r="C12533" s="138" t="str">
        <f t="shared" si="1098"/>
        <v>Without Amendment</v>
      </c>
      <c r="D12533" s="138" t="str">
        <f t="shared" si="1096"/>
        <v>High_Base</v>
      </c>
      <c r="E12533" s="138" t="str">
        <f t="shared" si="1099"/>
        <v>Base</v>
      </c>
      <c r="F12533" s="138" t="str">
        <f t="shared" si="1100"/>
        <v>Upgraded</v>
      </c>
      <c r="G12533" s="153"/>
      <c r="H12533" s="210">
        <v>0.73480000000000001</v>
      </c>
      <c r="I12533" s="160" t="s">
        <v>48</v>
      </c>
      <c r="J12533" s="160">
        <v>0.13321</v>
      </c>
      <c r="K12533" s="160" t="s">
        <v>15</v>
      </c>
      <c r="L12533" s="154" t="str">
        <f>IF(OpenLCAbasic!K12533="CTUh", "Fill in Manually",IF(OR(K12533="Unit", K12533=""), "", INDEX(LookUps!$E$5:$E$12, MATCH(OpenLCAbasic!K12533,LookUps!$D$5:$D$12,0))))</f>
        <v>Cumulative Energy Demand (CED) - MJ</v>
      </c>
      <c r="M12533" s="154" t="str">
        <f t="shared" si="1094"/>
        <v>Base_High_Base_Upgraded_Cumulative Energy Demand (CED) - MJ_Effluent release; wastewater treatment unit; at surface water; m3 wastewater - US_Without Amendment_Aerated Static Pile</v>
      </c>
    </row>
    <row r="12534" spans="1:13" s="120" customFormat="1" x14ac:dyDescent="0.25">
      <c r="A12534" s="119"/>
      <c r="B12534" s="138" t="str">
        <f t="shared" si="1097"/>
        <v>Aerated Static Pile</v>
      </c>
      <c r="C12534" s="138" t="str">
        <f t="shared" si="1098"/>
        <v>Without Amendment</v>
      </c>
      <c r="D12534" s="138" t="str">
        <f t="shared" si="1096"/>
        <v>High_Base</v>
      </c>
      <c r="E12534" s="138" t="str">
        <f t="shared" si="1099"/>
        <v>Base</v>
      </c>
      <c r="F12534" s="138" t="str">
        <f t="shared" si="1100"/>
        <v>Upgraded</v>
      </c>
      <c r="G12534" s="153"/>
      <c r="H12534" s="210">
        <v>0.58679999999999999</v>
      </c>
      <c r="I12534" s="160" t="s">
        <v>59</v>
      </c>
      <c r="J12534" s="160">
        <v>0.10638</v>
      </c>
      <c r="K12534" s="160" t="s">
        <v>15</v>
      </c>
      <c r="L12534" s="154" t="str">
        <f>IF(OpenLCAbasic!K12534="CTUh", "Fill in Manually",IF(OR(K12534="Unit", K12534=""), "", INDEX(LookUps!$E$5:$E$12, MATCH(OpenLCAbasic!K12534,LookUps!$D$5:$D$12,0))))</f>
        <v>Cumulative Energy Demand (CED) - MJ</v>
      </c>
      <c r="M12534" s="154" t="str">
        <f t="shared" si="1094"/>
        <v>Base_High_Base_Upgraded_Cumulative Energy Demand (CED) - MJ_Blend Tank; wastewater treatment unit; at updated plant - US_Without Amendment_Aerated Static Pile</v>
      </c>
    </row>
    <row r="12535" spans="1:13" s="120" customFormat="1" x14ac:dyDescent="0.25">
      <c r="A12535" s="119"/>
      <c r="B12535" s="138" t="str">
        <f t="shared" si="1097"/>
        <v>Aerated Static Pile</v>
      </c>
      <c r="C12535" s="138" t="str">
        <f t="shared" si="1098"/>
        <v>Without Amendment</v>
      </c>
      <c r="D12535" s="138" t="str">
        <f t="shared" si="1096"/>
        <v>High_Base</v>
      </c>
      <c r="E12535" s="138" t="str">
        <f t="shared" si="1099"/>
        <v>Base</v>
      </c>
      <c r="F12535" s="138" t="str">
        <f t="shared" si="1100"/>
        <v>Upgraded</v>
      </c>
      <c r="G12535" s="153"/>
      <c r="H12535" s="210">
        <v>0.28089999999999998</v>
      </c>
      <c r="I12535" s="160" t="s">
        <v>168</v>
      </c>
      <c r="J12535" s="160">
        <v>5.0930000000000003E-2</v>
      </c>
      <c r="K12535" s="160" t="s">
        <v>15</v>
      </c>
      <c r="L12535" s="154" t="str">
        <f>IF(OpenLCAbasic!K12535="CTUh", "Fill in Manually",IF(OR(K12535="Unit", K12535=""), "", INDEX(LookUps!$E$5:$E$12, MATCH(OpenLCAbasic!K12535,LookUps!$D$5:$D$12,0))))</f>
        <v>Cumulative Energy Demand (CED) - MJ</v>
      </c>
      <c r="M12535" s="154" t="str">
        <f t="shared" si="1094"/>
        <v>Base_High_Base_Upgraded_Cumulative Energy Demand (CED) - MJ_ClearCove SCP; wastewater treatment unit; at updated plant - US_Without Amendment_Aerated Static Pile</v>
      </c>
    </row>
    <row r="12536" spans="1:13" s="120" customFormat="1" x14ac:dyDescent="0.25">
      <c r="A12536" s="119"/>
      <c r="B12536" s="138" t="str">
        <f t="shared" si="1097"/>
        <v>Aerated Static Pile</v>
      </c>
      <c r="C12536" s="138" t="str">
        <f t="shared" si="1098"/>
        <v>Without Amendment</v>
      </c>
      <c r="D12536" s="138" t="str">
        <f t="shared" si="1096"/>
        <v>High_Base</v>
      </c>
      <c r="E12536" s="138" t="str">
        <f t="shared" si="1099"/>
        <v>Base</v>
      </c>
      <c r="F12536" s="138" t="str">
        <f t="shared" si="1100"/>
        <v>Upgraded</v>
      </c>
      <c r="G12536" s="153"/>
      <c r="H12536" s="210">
        <v>-2.9472</v>
      </c>
      <c r="I12536" s="160" t="s">
        <v>62</v>
      </c>
      <c r="J12536" s="160">
        <v>-0.53432000000000002</v>
      </c>
      <c r="K12536" s="160" t="s">
        <v>15</v>
      </c>
      <c r="L12536" s="154" t="str">
        <f>IF(OpenLCAbasic!K12536="CTUh", "Fill in Manually",IF(OR(K12536="Unit", K12536=""), "", INDEX(LookUps!$E$5:$E$12, MATCH(OpenLCAbasic!K12536,LookUps!$D$5:$D$12,0))))</f>
        <v>Cumulative Energy Demand (CED) - MJ</v>
      </c>
      <c r="M12536" s="154" t="str">
        <f t="shared" si="1094"/>
        <v>Base_High_Base_Upgraded_Cumulative Energy Demand (CED) - MJ_Land application of compost; wastewater treatment unit; at updated plant - US_Without Amendment_Aerated Static Pile</v>
      </c>
    </row>
    <row r="12537" spans="1:13" s="120" customFormat="1" x14ac:dyDescent="0.25">
      <c r="A12537" s="119"/>
      <c r="B12537" s="138" t="str">
        <f t="shared" si="1097"/>
        <v>Aerated Static Pile</v>
      </c>
      <c r="C12537" s="138" t="str">
        <f t="shared" si="1098"/>
        <v>Without Amendment</v>
      </c>
      <c r="D12537" s="138" t="str">
        <f t="shared" si="1096"/>
        <v>High_Base</v>
      </c>
      <c r="E12537" s="138" t="str">
        <f t="shared" si="1099"/>
        <v>Base</v>
      </c>
      <c r="F12537" s="138" t="str">
        <f t="shared" si="1100"/>
        <v>Upgraded</v>
      </c>
      <c r="G12537" s="153"/>
      <c r="H12537" s="210">
        <v>-78.212800000000001</v>
      </c>
      <c r="I12537" s="160" t="s">
        <v>149</v>
      </c>
      <c r="J12537" s="160">
        <v>-14.179790000000001</v>
      </c>
      <c r="K12537" s="160" t="s">
        <v>15</v>
      </c>
      <c r="L12537" s="154" t="str">
        <f>IF(OpenLCAbasic!K12537="CTUh", "Fill in Manually",IF(OR(K12537="Unit", K12537=""), "", INDEX(LookUps!$E$5:$E$12, MATCH(OpenLCAbasic!K12537,LookUps!$D$5:$D$12,0))))</f>
        <v>Cumulative Energy Demand (CED) - MJ</v>
      </c>
      <c r="M12537" s="154" t="str">
        <f t="shared" si="1094"/>
        <v>Base_High_Base_Upgraded_Cumulative Energy Demand (CED) - MJ_Anaerobic Digestion; wastewater treatment unit; at updated plant - US_Without Amendment_Aerated Static Pile</v>
      </c>
    </row>
    <row r="12538" spans="1:13" s="120" customFormat="1" x14ac:dyDescent="0.25">
      <c r="A12538" s="119"/>
      <c r="B12538" s="138" t="str">
        <f t="shared" si="1097"/>
        <v/>
      </c>
      <c r="C12538" s="138" t="str">
        <f t="shared" si="1098"/>
        <v/>
      </c>
      <c r="D12538" s="138" t="str">
        <f t="shared" si="1096"/>
        <v/>
      </c>
      <c r="E12538" s="138" t="str">
        <f t="shared" si="1099"/>
        <v/>
      </c>
      <c r="F12538" s="138" t="str">
        <f t="shared" si="1100"/>
        <v/>
      </c>
      <c r="G12538" s="153" t="s">
        <v>51</v>
      </c>
      <c r="H12538" s="160"/>
      <c r="I12538" s="160" t="s">
        <v>47</v>
      </c>
      <c r="J12538" s="160" t="s">
        <v>52</v>
      </c>
      <c r="K12538" s="160" t="s">
        <v>27</v>
      </c>
      <c r="L12538" s="154" t="str">
        <f>IF(OpenLCAbasic!K12538="CTUh", "Fill in Manually",IF(OR(K12538="Unit", K12538=""), "", INDEX(LookUps!$E$5:$E$12, MATCH(OpenLCAbasic!K12538,LookUps!$D$5:$D$12,0))))</f>
        <v/>
      </c>
      <c r="M12538" s="154" t="str">
        <f t="shared" si="1094"/>
        <v>____Process__</v>
      </c>
    </row>
    <row r="12539" spans="1:13" s="120" customFormat="1" x14ac:dyDescent="0.25">
      <c r="A12539" s="119"/>
      <c r="B12539" s="138" t="str">
        <f t="shared" si="1097"/>
        <v>Aerated Static Pile</v>
      </c>
      <c r="C12539" s="138" t="str">
        <f t="shared" si="1098"/>
        <v>Without Amendment</v>
      </c>
      <c r="D12539" s="138" t="str">
        <f t="shared" si="1096"/>
        <v>High_Base</v>
      </c>
      <c r="E12539" s="138" t="str">
        <f t="shared" si="1099"/>
        <v>Base</v>
      </c>
      <c r="F12539" s="138" t="str">
        <f t="shared" si="1100"/>
        <v>Upgraded</v>
      </c>
      <c r="G12539" s="153"/>
      <c r="H12539" s="210">
        <v>0.80089999999999995</v>
      </c>
      <c r="I12539" s="160" t="s">
        <v>48</v>
      </c>
      <c r="J12539" s="160">
        <v>1.1610000000000001E-2</v>
      </c>
      <c r="K12539" s="160" t="s">
        <v>13</v>
      </c>
      <c r="L12539" s="154" t="str">
        <f>IF(OpenLCAbasic!K12539="CTUh", "Fill in Manually",IF(OR(K12539="Unit", K12539=""), "", INDEX(LookUps!$E$5:$E$12, MATCH(OpenLCAbasic!K12539,LookUps!$D$5:$D$12,0))))</f>
        <v>Eutrophication Potential (EP) - kg N eq</v>
      </c>
      <c r="M12539" s="154" t="str">
        <f t="shared" si="1094"/>
        <v>Base_High_Base_Upgraded_Eutrophication Potential (EP) - kg N eq_Effluent release; wastewater treatment unit; at surface water; m3 wastewater - US_Without Amendment_Aerated Static Pile</v>
      </c>
    </row>
    <row r="12540" spans="1:13" s="120" customFormat="1" x14ac:dyDescent="0.25">
      <c r="A12540" s="119"/>
      <c r="B12540" s="138" t="str">
        <f t="shared" si="1097"/>
        <v>Aerated Static Pile</v>
      </c>
      <c r="C12540" s="138" t="str">
        <f t="shared" si="1098"/>
        <v>Without Amendment</v>
      </c>
      <c r="D12540" s="138" t="str">
        <f t="shared" si="1096"/>
        <v>High_Base</v>
      </c>
      <c r="E12540" s="138" t="str">
        <f t="shared" si="1099"/>
        <v>Base</v>
      </c>
      <c r="F12540" s="138" t="str">
        <f t="shared" si="1100"/>
        <v>Upgraded</v>
      </c>
      <c r="G12540" s="153"/>
      <c r="H12540" s="210">
        <v>0.1681</v>
      </c>
      <c r="I12540" s="160" t="s">
        <v>62</v>
      </c>
      <c r="J12540" s="160">
        <v>2.4399999999999999E-3</v>
      </c>
      <c r="K12540" s="160" t="s">
        <v>13</v>
      </c>
      <c r="L12540" s="154" t="str">
        <f>IF(OpenLCAbasic!K12540="CTUh", "Fill in Manually",IF(OR(K12540="Unit", K12540=""), "", INDEX(LookUps!$E$5:$E$12, MATCH(OpenLCAbasic!K12540,LookUps!$D$5:$D$12,0))))</f>
        <v>Eutrophication Potential (EP) - kg N eq</v>
      </c>
      <c r="M12540" s="154" t="str">
        <f t="shared" si="1094"/>
        <v>Base_High_Base_Upgraded_Eutrophication Potential (EP) - kg N eq_Land application of compost; wastewater treatment unit; at updated plant - US_Without Amendment_Aerated Static Pile</v>
      </c>
    </row>
    <row r="12541" spans="1:13" s="120" customFormat="1" x14ac:dyDescent="0.25">
      <c r="A12541" s="119"/>
      <c r="B12541" s="138" t="str">
        <f t="shared" si="1097"/>
        <v>Aerated Static Pile</v>
      </c>
      <c r="C12541" s="138" t="str">
        <f t="shared" si="1098"/>
        <v>Without Amendment</v>
      </c>
      <c r="D12541" s="138" t="str">
        <f t="shared" si="1096"/>
        <v>High_Base</v>
      </c>
      <c r="E12541" s="138" t="str">
        <f t="shared" si="1099"/>
        <v>Base</v>
      </c>
      <c r="F12541" s="138" t="str">
        <f t="shared" si="1100"/>
        <v>Upgraded</v>
      </c>
      <c r="G12541" s="153"/>
      <c r="H12541" s="210">
        <v>3.7699999999999997E-2</v>
      </c>
      <c r="I12541" s="160" t="s">
        <v>55</v>
      </c>
      <c r="J12541" s="160">
        <v>5.5000000000000003E-4</v>
      </c>
      <c r="K12541" s="160" t="s">
        <v>13</v>
      </c>
      <c r="L12541" s="154" t="str">
        <f>IF(OpenLCAbasic!K12541="CTUh", "Fill in Manually",IF(OR(K12541="Unit", K12541=""), "", INDEX(LookUps!$E$5:$E$12, MATCH(OpenLCAbasic!K12541,LookUps!$D$5:$D$12,0))))</f>
        <v>Eutrophication Potential (EP) - kg N eq</v>
      </c>
      <c r="M12541" s="154" t="str">
        <f t="shared" si="1094"/>
        <v>Base_High_Base_Upgraded_Eutrophication Potential (EP) - kg N eq_Aeration Tanks; wastewater treatment unit; at updated plant - US_Without Amendment_Aerated Static Pile</v>
      </c>
    </row>
    <row r="12542" spans="1:13" s="120" customFormat="1" x14ac:dyDescent="0.25">
      <c r="A12542" s="119"/>
      <c r="B12542" s="138" t="str">
        <f t="shared" si="1097"/>
        <v>Aerated Static Pile</v>
      </c>
      <c r="C12542" s="138" t="str">
        <f t="shared" si="1098"/>
        <v>Without Amendment</v>
      </c>
      <c r="D12542" s="138" t="str">
        <f t="shared" si="1096"/>
        <v>High_Base</v>
      </c>
      <c r="E12542" s="138" t="str">
        <f t="shared" si="1099"/>
        <v>Base</v>
      </c>
      <c r="F12542" s="138" t="str">
        <f t="shared" si="1100"/>
        <v>Upgraded</v>
      </c>
      <c r="G12542" s="153"/>
      <c r="H12542" s="210">
        <v>1.72E-2</v>
      </c>
      <c r="I12542" s="160" t="s">
        <v>147</v>
      </c>
      <c r="J12542" s="160">
        <v>2.5000000000000001E-4</v>
      </c>
      <c r="K12542" s="160" t="s">
        <v>13</v>
      </c>
      <c r="L12542" s="154" t="str">
        <f>IF(OpenLCAbasic!K12542="CTUh", "Fill in Manually",IF(OR(K12542="Unit", K12542=""), "", INDEX(LookUps!$E$5:$E$12, MATCH(OpenLCAbasic!K12542,LookUps!$D$5:$D$12,0))))</f>
        <v>Eutrophication Potential (EP) - kg N eq</v>
      </c>
      <c r="M12542" s="154" t="str">
        <f t="shared" si="1094"/>
        <v>Base_High_Base_Upgraded_Eutrophication Potential (EP) - kg N eq_Influent Pump Station; wastewater treatment unit; at updated plant - US_Without Amendment_Aerated Static Pile</v>
      </c>
    </row>
    <row r="12543" spans="1:13" s="120" customFormat="1" x14ac:dyDescent="0.25">
      <c r="A12543" s="119"/>
      <c r="B12543" s="138" t="str">
        <f t="shared" si="1097"/>
        <v>Aerated Static Pile</v>
      </c>
      <c r="C12543" s="138" t="str">
        <f t="shared" si="1098"/>
        <v>Without Amendment</v>
      </c>
      <c r="D12543" s="138" t="str">
        <f t="shared" si="1096"/>
        <v>High_Base</v>
      </c>
      <c r="E12543" s="138" t="str">
        <f t="shared" si="1099"/>
        <v>Base</v>
      </c>
      <c r="F12543" s="138" t="str">
        <f t="shared" si="1100"/>
        <v>Upgraded</v>
      </c>
      <c r="G12543" s="153"/>
      <c r="H12543" s="210">
        <v>1.52E-2</v>
      </c>
      <c r="I12543" s="160" t="s">
        <v>167</v>
      </c>
      <c r="J12543" s="160">
        <v>2.2000000000000001E-4</v>
      </c>
      <c r="K12543" s="160" t="s">
        <v>13</v>
      </c>
      <c r="L12543" s="154" t="str">
        <f>IF(OpenLCAbasic!K12543="CTUh", "Fill in Manually",IF(OR(K12543="Unit", K12543=""), "", INDEX(LookUps!$E$5:$E$12, MATCH(OpenLCAbasic!K12543,LookUps!$D$5:$D$12,0))))</f>
        <v>Eutrophication Potential (EP) - kg N eq</v>
      </c>
      <c r="M12543" s="154" t="str">
        <f t="shared" si="1094"/>
        <v>Base_High_Base_Upgraded_Eutrophication Potential (EP) - kg N eq_Waste Receiving and Holding; wastewater treatment unit; at updated plant - US_Without Amendment_Aerated Static Pile</v>
      </c>
    </row>
    <row r="12544" spans="1:13" s="120" customFormat="1" x14ac:dyDescent="0.25">
      <c r="A12544" s="119"/>
      <c r="B12544" s="138" t="str">
        <f t="shared" si="1097"/>
        <v>Aerated Static Pile</v>
      </c>
      <c r="C12544" s="138" t="str">
        <f t="shared" si="1098"/>
        <v>Without Amendment</v>
      </c>
      <c r="D12544" s="138" t="str">
        <f t="shared" si="1096"/>
        <v>High_Base</v>
      </c>
      <c r="E12544" s="138" t="str">
        <f t="shared" si="1099"/>
        <v>Base</v>
      </c>
      <c r="F12544" s="138" t="str">
        <f t="shared" si="1100"/>
        <v>Upgraded</v>
      </c>
      <c r="G12544" s="153"/>
      <c r="H12544" s="210">
        <v>1.37E-2</v>
      </c>
      <c r="I12544" s="160" t="s">
        <v>54</v>
      </c>
      <c r="J12544" s="160">
        <v>2.0000000000000001E-4</v>
      </c>
      <c r="K12544" s="160" t="s">
        <v>13</v>
      </c>
      <c r="L12544" s="154" t="str">
        <f>IF(OpenLCAbasic!K12544="CTUh", "Fill in Manually",IF(OR(K12544="Unit", K12544=""), "", INDEX(LookUps!$E$5:$E$12, MATCH(OpenLCAbasic!K12544,LookUps!$D$5:$D$12,0))))</f>
        <v>Eutrophication Potential (EP) - kg N eq</v>
      </c>
      <c r="M12544" s="154" t="str">
        <f t="shared" si="1094"/>
        <v>Base_High_Base_Upgraded_Eutrophication Potential (EP) - kg N eq_Clear Cove Primary Clarification; wastewater treatment unit; at updated plant - US_Without Amendment_Aerated Static Pile</v>
      </c>
    </row>
    <row r="12545" spans="1:13" s="120" customFormat="1" x14ac:dyDescent="0.25">
      <c r="A12545" s="119"/>
      <c r="B12545" s="138" t="str">
        <f t="shared" si="1097"/>
        <v>Aerated Static Pile</v>
      </c>
      <c r="C12545" s="138" t="str">
        <f t="shared" si="1098"/>
        <v>Without Amendment</v>
      </c>
      <c r="D12545" s="138" t="str">
        <f t="shared" si="1096"/>
        <v>High_Base</v>
      </c>
      <c r="E12545" s="138" t="str">
        <f t="shared" si="1099"/>
        <v>Base</v>
      </c>
      <c r="F12545" s="138" t="str">
        <f t="shared" si="1100"/>
        <v>Upgraded</v>
      </c>
      <c r="G12545" s="153"/>
      <c r="H12545" s="210">
        <v>9.4000000000000004E-3</v>
      </c>
      <c r="I12545" s="160" t="s">
        <v>58</v>
      </c>
      <c r="J12545" s="160">
        <v>1.3999999999999999E-4</v>
      </c>
      <c r="K12545" s="160" t="s">
        <v>13</v>
      </c>
      <c r="L12545" s="154" t="str">
        <f>IF(OpenLCAbasic!K12545="CTUh", "Fill in Manually",IF(OR(K12545="Unit", K12545=""), "", INDEX(LookUps!$E$5:$E$12, MATCH(OpenLCAbasic!K12545,LookUps!$D$5:$D$12,0))))</f>
        <v>Eutrophication Potential (EP) - kg N eq</v>
      </c>
      <c r="M12545" s="154" t="str">
        <f t="shared" si="1094"/>
        <v>Base_High_Base_Upgraded_Eutrophication Potential (EP) - kg N eq_Pre-Anoxic &amp; Swing tank; wastewater treatment unit; at updated plant - US_Without Amendment_Aerated Static Pile</v>
      </c>
    </row>
    <row r="12546" spans="1:13" s="120" customFormat="1" x14ac:dyDescent="0.25">
      <c r="A12546" s="119"/>
      <c r="B12546" s="138" t="str">
        <f t="shared" si="1097"/>
        <v>Aerated Static Pile</v>
      </c>
      <c r="C12546" s="138" t="str">
        <f t="shared" si="1098"/>
        <v>Without Amendment</v>
      </c>
      <c r="D12546" s="138" t="str">
        <f t="shared" si="1096"/>
        <v>High_Base</v>
      </c>
      <c r="E12546" s="138" t="str">
        <f t="shared" si="1099"/>
        <v>Base</v>
      </c>
      <c r="F12546" s="138" t="str">
        <f t="shared" si="1100"/>
        <v>Upgraded</v>
      </c>
      <c r="G12546" s="153"/>
      <c r="H12546" s="210">
        <v>8.2000000000000007E-3</v>
      </c>
      <c r="I12546" s="160" t="s">
        <v>435</v>
      </c>
      <c r="J12546" s="160">
        <v>1.2E-4</v>
      </c>
      <c r="K12546" s="160" t="s">
        <v>13</v>
      </c>
      <c r="L12546" s="154" t="str">
        <f>IF(OpenLCAbasic!K12546="CTUh", "Fill in Manually",IF(OR(K12546="Unit", K12546=""), "", INDEX(LookUps!$E$5:$E$12, MATCH(OpenLCAbasic!K12546,LookUps!$D$5:$D$12,0))))</f>
        <v>Eutrophication Potential (EP) - kg N eq</v>
      </c>
      <c r="M12546" s="154" t="str">
        <f t="shared" si="1094"/>
        <v>Base_High_Base_Upgraded_Eutrophication Potential (EP) - kg N eq_Biosolids composting; aerated static pile; wastewater treatment unit; at updated plant - US_Without Amendment_Aerated Static Pile</v>
      </c>
    </row>
    <row r="12547" spans="1:13" s="120" customFormat="1" x14ac:dyDescent="0.25">
      <c r="A12547" s="119"/>
      <c r="B12547" s="138" t="str">
        <f t="shared" si="1097"/>
        <v>Aerated Static Pile</v>
      </c>
      <c r="C12547" s="138" t="str">
        <f t="shared" si="1098"/>
        <v>Without Amendment</v>
      </c>
      <c r="D12547" s="138" t="str">
        <f t="shared" si="1096"/>
        <v>High_Base</v>
      </c>
      <c r="E12547" s="138" t="str">
        <f t="shared" si="1099"/>
        <v>Base</v>
      </c>
      <c r="F12547" s="138" t="str">
        <f t="shared" si="1100"/>
        <v>Upgraded</v>
      </c>
      <c r="G12547" s="153"/>
      <c r="H12547" s="210">
        <v>7.4000000000000003E-3</v>
      </c>
      <c r="I12547" s="160" t="s">
        <v>53</v>
      </c>
      <c r="J12547" s="160">
        <v>1.1E-4</v>
      </c>
      <c r="K12547" s="160" t="s">
        <v>13</v>
      </c>
      <c r="L12547" s="154" t="str">
        <f>IF(OpenLCAbasic!K12547="CTUh", "Fill in Manually",IF(OR(K12547="Unit", K12547=""), "", INDEX(LookUps!$E$5:$E$12, MATCH(OpenLCAbasic!K12547,LookUps!$D$5:$D$12,0))))</f>
        <v>Eutrophication Potential (EP) - kg N eq</v>
      </c>
      <c r="M12547" s="154" t="str">
        <f t="shared" si="1094"/>
        <v>Base_High_Base_Upgraded_Eutrophication Potential (EP) - kg N eq_Wet Well and Sump Station; wastewater treatment unit; at updated plant - US_Without Amendment_Aerated Static Pile</v>
      </c>
    </row>
    <row r="12548" spans="1:13" s="120" customFormat="1" x14ac:dyDescent="0.25">
      <c r="A12548" s="119"/>
      <c r="B12548" s="138" t="str">
        <f t="shared" si="1097"/>
        <v>Aerated Static Pile</v>
      </c>
      <c r="C12548" s="138" t="str">
        <f t="shared" si="1098"/>
        <v>Without Amendment</v>
      </c>
      <c r="D12548" s="138" t="str">
        <f t="shared" si="1096"/>
        <v>High_Base</v>
      </c>
      <c r="E12548" s="138" t="str">
        <f t="shared" si="1099"/>
        <v>Base</v>
      </c>
      <c r="F12548" s="138" t="str">
        <f t="shared" si="1100"/>
        <v>Upgraded</v>
      </c>
      <c r="G12548" s="153"/>
      <c r="H12548" s="210">
        <v>6.6E-3</v>
      </c>
      <c r="I12548" s="160" t="s">
        <v>60</v>
      </c>
      <c r="J12548" s="211">
        <v>9.5601799999999997E-5</v>
      </c>
      <c r="K12548" s="160" t="s">
        <v>13</v>
      </c>
      <c r="L12548" s="154" t="str">
        <f>IF(OpenLCAbasic!K12548="CTUh", "Fill in Manually",IF(OR(K12548="Unit", K12548=""), "", INDEX(LookUps!$E$5:$E$12, MATCH(OpenLCAbasic!K12548,LookUps!$D$5:$D$12,0))))</f>
        <v>Eutrophication Potential (EP) - kg N eq</v>
      </c>
      <c r="M12548" s="154" t="str">
        <f t="shared" ref="M12548:M12611" si="1101">CONCATENATE(E12548,"_",D12548,"_",F12548,"_",L12548, "_",I12548,"_", C12548,"_", B12548)</f>
        <v>Base_High_Base_Upgraded_Eutrophication Potential (EP) - kg N eq_Belt filter press; wastewater treatment unit; at updated plant - US_Without Amendment_Aerated Static Pile</v>
      </c>
    </row>
    <row r="12549" spans="1:13" s="120" customFormat="1" x14ac:dyDescent="0.25">
      <c r="A12549" s="119"/>
      <c r="B12549" s="138" t="str">
        <f t="shared" si="1097"/>
        <v>Aerated Static Pile</v>
      </c>
      <c r="C12549" s="138" t="str">
        <f t="shared" si="1098"/>
        <v>Without Amendment</v>
      </c>
      <c r="D12549" s="138" t="str">
        <f t="shared" si="1096"/>
        <v>High_Base</v>
      </c>
      <c r="E12549" s="138" t="str">
        <f t="shared" si="1099"/>
        <v>Base</v>
      </c>
      <c r="F12549" s="138" t="str">
        <f t="shared" si="1100"/>
        <v>Upgraded</v>
      </c>
      <c r="G12549" s="153"/>
      <c r="H12549" s="210">
        <v>4.1999999999999997E-3</v>
      </c>
      <c r="I12549" s="160" t="s">
        <v>57</v>
      </c>
      <c r="J12549" s="211">
        <v>6.0590300000000002E-5</v>
      </c>
      <c r="K12549" s="160" t="s">
        <v>13</v>
      </c>
      <c r="L12549" s="154" t="str">
        <f>IF(OpenLCAbasic!K12549="CTUh", "Fill in Manually",IF(OR(K12549="Unit", K12549=""), "", INDEX(LookUps!$E$5:$E$12, MATCH(OpenLCAbasic!K12549,LookUps!$D$5:$D$12,0))))</f>
        <v>Eutrophication Potential (EP) - kg N eq</v>
      </c>
      <c r="M12549" s="154" t="str">
        <f t="shared" si="1101"/>
        <v>Base_High_Base_Upgraded_Eutrophication Potential (EP) - kg N eq_Gravity Belt Thickener; wastewater treatment unit; at updated plant - US_Without Amendment_Aerated Static Pile</v>
      </c>
    </row>
    <row r="12550" spans="1:13" s="120" customFormat="1" x14ac:dyDescent="0.25">
      <c r="A12550" s="119"/>
      <c r="B12550" s="138" t="str">
        <f t="shared" si="1097"/>
        <v>Aerated Static Pile</v>
      </c>
      <c r="C12550" s="138" t="str">
        <f t="shared" si="1098"/>
        <v>Without Amendment</v>
      </c>
      <c r="D12550" s="138" t="str">
        <f t="shared" si="1096"/>
        <v>High_Base</v>
      </c>
      <c r="E12550" s="138" t="str">
        <f t="shared" si="1099"/>
        <v>Base</v>
      </c>
      <c r="F12550" s="138" t="str">
        <f t="shared" si="1100"/>
        <v>Upgraded</v>
      </c>
      <c r="G12550" s="153"/>
      <c r="H12550" s="210">
        <v>2.5999999999999999E-3</v>
      </c>
      <c r="I12550" s="160" t="s">
        <v>128</v>
      </c>
      <c r="J12550" s="211">
        <v>3.7559799999999999E-5</v>
      </c>
      <c r="K12550" s="160" t="s">
        <v>13</v>
      </c>
      <c r="L12550" s="154" t="str">
        <f>IF(OpenLCAbasic!K12550="CTUh", "Fill in Manually",IF(OR(K12550="Unit", K12550=""), "", INDEX(LookUps!$E$5:$E$12, MATCH(OpenLCAbasic!K12550,LookUps!$D$5:$D$12,0))))</f>
        <v>Eutrophication Potential (EP) - kg N eq</v>
      </c>
      <c r="M12550" s="154" t="str">
        <f t="shared" si="1101"/>
        <v>Base_High_Base_Upgraded_Eutrophication Potential (EP) - kg N eq_Wastewater collection; operation and infrastructure; m3 wastewater_Without Amendment_Aerated Static Pile</v>
      </c>
    </row>
    <row r="12551" spans="1:13" s="120" customFormat="1" x14ac:dyDescent="0.25">
      <c r="A12551" s="119"/>
      <c r="B12551" s="138" t="str">
        <f t="shared" si="1097"/>
        <v>Aerated Static Pile</v>
      </c>
      <c r="C12551" s="138" t="str">
        <f t="shared" si="1098"/>
        <v>Without Amendment</v>
      </c>
      <c r="D12551" s="138" t="str">
        <f t="shared" si="1096"/>
        <v>High_Base</v>
      </c>
      <c r="E12551" s="138" t="str">
        <f t="shared" si="1099"/>
        <v>Base</v>
      </c>
      <c r="F12551" s="138" t="str">
        <f t="shared" si="1100"/>
        <v>Upgraded</v>
      </c>
      <c r="G12551" s="153"/>
      <c r="H12551" s="210">
        <v>2.5000000000000001E-3</v>
      </c>
      <c r="I12551" s="160" t="s">
        <v>148</v>
      </c>
      <c r="J12551" s="211">
        <v>3.6874600000000001E-5</v>
      </c>
      <c r="K12551" s="160" t="s">
        <v>13</v>
      </c>
      <c r="L12551" s="154" t="str">
        <f>IF(OpenLCAbasic!K12551="CTUh", "Fill in Manually",IF(OR(K12551="Unit", K12551=""), "", INDEX(LookUps!$E$5:$E$12, MATCH(OpenLCAbasic!K12551,LookUps!$D$5:$D$12,0))))</f>
        <v>Eutrophication Potential (EP) - kg N eq</v>
      </c>
      <c r="M12551" s="154" t="str">
        <f t="shared" si="1101"/>
        <v>Base_High_Base_Upgraded_Eutrophication Potential (EP) - kg N eq_Control Building; at upgraded wastewater treatment plant - US_Without Amendment_Aerated Static Pile</v>
      </c>
    </row>
    <row r="12552" spans="1:13" s="120" customFormat="1" x14ac:dyDescent="0.25">
      <c r="A12552" s="119"/>
      <c r="B12552" s="138" t="str">
        <f t="shared" si="1097"/>
        <v>Aerated Static Pile</v>
      </c>
      <c r="C12552" s="138" t="str">
        <f t="shared" si="1098"/>
        <v>Without Amendment</v>
      </c>
      <c r="D12552" s="138" t="str">
        <f t="shared" si="1096"/>
        <v>High_Base</v>
      </c>
      <c r="E12552" s="138" t="str">
        <f t="shared" si="1099"/>
        <v>Base</v>
      </c>
      <c r="F12552" s="138" t="str">
        <f t="shared" si="1100"/>
        <v>Upgraded</v>
      </c>
      <c r="G12552" s="153"/>
      <c r="H12552" s="210">
        <v>1.1000000000000001E-3</v>
      </c>
      <c r="I12552" s="160" t="s">
        <v>59</v>
      </c>
      <c r="J12552" s="211">
        <v>1.6215700000000001E-5</v>
      </c>
      <c r="K12552" s="160" t="s">
        <v>13</v>
      </c>
      <c r="L12552" s="154" t="str">
        <f>IF(OpenLCAbasic!K12552="CTUh", "Fill in Manually",IF(OR(K12552="Unit", K12552=""), "", INDEX(LookUps!$E$5:$E$12, MATCH(OpenLCAbasic!K12552,LookUps!$D$5:$D$12,0))))</f>
        <v>Eutrophication Potential (EP) - kg N eq</v>
      </c>
      <c r="M12552" s="154" t="str">
        <f t="shared" si="1101"/>
        <v>Base_High_Base_Upgraded_Eutrophication Potential (EP) - kg N eq_Blend Tank; wastewater treatment unit; at updated plant - US_Without Amendment_Aerated Static Pile</v>
      </c>
    </row>
    <row r="12553" spans="1:13" s="120" customFormat="1" x14ac:dyDescent="0.25">
      <c r="A12553" s="119"/>
      <c r="B12553" s="138" t="str">
        <f t="shared" si="1097"/>
        <v>Aerated Static Pile</v>
      </c>
      <c r="C12553" s="138" t="str">
        <f t="shared" si="1098"/>
        <v>Without Amendment</v>
      </c>
      <c r="D12553" s="138" t="str">
        <f t="shared" si="1096"/>
        <v>High_Base</v>
      </c>
      <c r="E12553" s="138" t="str">
        <f t="shared" si="1099"/>
        <v>Base</v>
      </c>
      <c r="F12553" s="138" t="str">
        <f t="shared" si="1100"/>
        <v>Upgraded</v>
      </c>
      <c r="G12553" s="153"/>
      <c r="H12553" s="210">
        <v>5.0000000000000001E-4</v>
      </c>
      <c r="I12553" s="160" t="s">
        <v>168</v>
      </c>
      <c r="J12553" s="211">
        <v>7.7567199999999995E-6</v>
      </c>
      <c r="K12553" s="160" t="s">
        <v>13</v>
      </c>
      <c r="L12553" s="154" t="str">
        <f>IF(OpenLCAbasic!K12553="CTUh", "Fill in Manually",IF(OR(K12553="Unit", K12553=""), "", INDEX(LookUps!$E$5:$E$12, MATCH(OpenLCAbasic!K12553,LookUps!$D$5:$D$12,0))))</f>
        <v>Eutrophication Potential (EP) - kg N eq</v>
      </c>
      <c r="M12553" s="154" t="str">
        <f t="shared" si="1101"/>
        <v>Base_High_Base_Upgraded_Eutrophication Potential (EP) - kg N eq_ClearCove SCP; wastewater treatment unit; at updated plant - US_Without Amendment_Aerated Static Pile</v>
      </c>
    </row>
    <row r="12554" spans="1:13" s="120" customFormat="1" x14ac:dyDescent="0.25">
      <c r="A12554" s="119"/>
      <c r="B12554" s="138" t="str">
        <f t="shared" si="1097"/>
        <v>Aerated Static Pile</v>
      </c>
      <c r="C12554" s="138" t="str">
        <f t="shared" si="1098"/>
        <v>Without Amendment</v>
      </c>
      <c r="D12554" s="138" t="str">
        <f t="shared" si="1096"/>
        <v>High_Base</v>
      </c>
      <c r="E12554" s="138" t="str">
        <f t="shared" si="1099"/>
        <v>Base</v>
      </c>
      <c r="F12554" s="138" t="str">
        <f t="shared" si="1100"/>
        <v>Upgraded</v>
      </c>
      <c r="G12554" s="153"/>
      <c r="H12554" s="210">
        <v>-9.5299999999999996E-2</v>
      </c>
      <c r="I12554" s="160" t="s">
        <v>149</v>
      </c>
      <c r="J12554" s="160">
        <v>-1.3799999999999999E-3</v>
      </c>
      <c r="K12554" s="160" t="s">
        <v>13</v>
      </c>
      <c r="L12554" s="154" t="str">
        <f>IF(OpenLCAbasic!K12554="CTUh", "Fill in Manually",IF(OR(K12554="Unit", K12554=""), "", INDEX(LookUps!$E$5:$E$12, MATCH(OpenLCAbasic!K12554,LookUps!$D$5:$D$12,0))))</f>
        <v>Eutrophication Potential (EP) - kg N eq</v>
      </c>
      <c r="M12554" s="154" t="str">
        <f t="shared" si="1101"/>
        <v>Base_High_Base_Upgraded_Eutrophication Potential (EP) - kg N eq_Anaerobic Digestion; wastewater treatment unit; at updated plant - US_Without Amendment_Aerated Static Pile</v>
      </c>
    </row>
    <row r="12555" spans="1:13" s="120" customFormat="1" x14ac:dyDescent="0.25">
      <c r="A12555" s="119"/>
      <c r="B12555" s="138" t="str">
        <f t="shared" si="1097"/>
        <v/>
      </c>
      <c r="C12555" s="138" t="str">
        <f t="shared" si="1098"/>
        <v/>
      </c>
      <c r="D12555" s="138" t="str">
        <f t="shared" si="1096"/>
        <v/>
      </c>
      <c r="E12555" s="138" t="str">
        <f t="shared" si="1099"/>
        <v/>
      </c>
      <c r="F12555" s="138" t="str">
        <f t="shared" si="1100"/>
        <v/>
      </c>
      <c r="G12555" s="153" t="s">
        <v>51</v>
      </c>
      <c r="H12555" s="160"/>
      <c r="I12555" s="160" t="s">
        <v>47</v>
      </c>
      <c r="J12555" s="160" t="s">
        <v>52</v>
      </c>
      <c r="K12555" s="160" t="s">
        <v>27</v>
      </c>
      <c r="L12555" s="154" t="str">
        <f>IF(OpenLCAbasic!K12555="CTUh", "Fill in Manually",IF(OR(K12555="Unit", K12555=""), "", INDEX(LookUps!$E$5:$E$12, MATCH(OpenLCAbasic!K12555,LookUps!$D$5:$D$12,0))))</f>
        <v/>
      </c>
      <c r="M12555" s="154" t="str">
        <f t="shared" si="1101"/>
        <v>____Process__</v>
      </c>
    </row>
    <row r="12556" spans="1:13" s="120" customFormat="1" x14ac:dyDescent="0.25">
      <c r="A12556" s="119"/>
      <c r="B12556" s="138" t="str">
        <f t="shared" si="1097"/>
        <v>Aerated Static Pile</v>
      </c>
      <c r="C12556" s="138" t="str">
        <f t="shared" si="1098"/>
        <v>Without Amendment</v>
      </c>
      <c r="D12556" s="138" t="str">
        <f t="shared" si="1096"/>
        <v>High_Base</v>
      </c>
      <c r="E12556" s="138" t="str">
        <f t="shared" si="1099"/>
        <v>Base</v>
      </c>
      <c r="F12556" s="138" t="str">
        <f t="shared" si="1100"/>
        <v>Upgraded</v>
      </c>
      <c r="G12556" s="153"/>
      <c r="H12556" s="210">
        <v>24.164899999999999</v>
      </c>
      <c r="I12556" s="160" t="s">
        <v>167</v>
      </c>
      <c r="J12556" s="160">
        <v>0.11719</v>
      </c>
      <c r="K12556" s="160" t="s">
        <v>14</v>
      </c>
      <c r="L12556" s="154" t="str">
        <f>IF(OpenLCAbasic!K12556="CTUh", "Fill in Manually",IF(OR(K12556="Unit", K12556=""), "", INDEX(LookUps!$E$5:$E$12, MATCH(OpenLCAbasic!K12556,LookUps!$D$5:$D$12,0))))</f>
        <v>Fossil Depletion Potential (FDP) - kg oil eq</v>
      </c>
      <c r="M12556" s="154" t="str">
        <f t="shared" si="1101"/>
        <v>Base_High_Base_Upgraded_Fossil Depletion Potential (FDP) - kg oil eq_Waste Receiving and Holding; wastewater treatment unit; at updated plant - US_Without Amendment_Aerated Static Pile</v>
      </c>
    </row>
    <row r="12557" spans="1:13" s="120" customFormat="1" x14ac:dyDescent="0.25">
      <c r="A12557" s="119"/>
      <c r="B12557" s="138" t="str">
        <f t="shared" si="1097"/>
        <v>Aerated Static Pile</v>
      </c>
      <c r="C12557" s="138" t="str">
        <f t="shared" si="1098"/>
        <v>Without Amendment</v>
      </c>
      <c r="D12557" s="138" t="str">
        <f t="shared" si="1096"/>
        <v>High_Base</v>
      </c>
      <c r="E12557" s="138" t="str">
        <f t="shared" si="1099"/>
        <v>Base</v>
      </c>
      <c r="F12557" s="138" t="str">
        <f t="shared" si="1100"/>
        <v>Upgraded</v>
      </c>
      <c r="G12557" s="153"/>
      <c r="H12557" s="210">
        <v>13.1126</v>
      </c>
      <c r="I12557" s="160" t="s">
        <v>55</v>
      </c>
      <c r="J12557" s="160">
        <v>6.3589999999999994E-2</v>
      </c>
      <c r="K12557" s="160" t="s">
        <v>14</v>
      </c>
      <c r="L12557" s="154" t="str">
        <f>IF(OpenLCAbasic!K12557="CTUh", "Fill in Manually",IF(OR(K12557="Unit", K12557=""), "", INDEX(LookUps!$E$5:$E$12, MATCH(OpenLCAbasic!K12557,LookUps!$D$5:$D$12,0))))</f>
        <v>Fossil Depletion Potential (FDP) - kg oil eq</v>
      </c>
      <c r="M12557" s="154" t="str">
        <f t="shared" si="1101"/>
        <v>Base_High_Base_Upgraded_Fossil Depletion Potential (FDP) - kg oil eq_Aeration Tanks; wastewater treatment unit; at updated plant - US_Without Amendment_Aerated Static Pile</v>
      </c>
    </row>
    <row r="12558" spans="1:13" s="120" customFormat="1" x14ac:dyDescent="0.25">
      <c r="A12558" s="119"/>
      <c r="B12558" s="138" t="str">
        <f t="shared" si="1097"/>
        <v>Aerated Static Pile</v>
      </c>
      <c r="C12558" s="138" t="str">
        <f t="shared" si="1098"/>
        <v>Without Amendment</v>
      </c>
      <c r="D12558" s="138" t="str">
        <f t="shared" si="1096"/>
        <v>High_Base</v>
      </c>
      <c r="E12558" s="138" t="str">
        <f t="shared" si="1099"/>
        <v>Base</v>
      </c>
      <c r="F12558" s="138" t="str">
        <f t="shared" si="1100"/>
        <v>Upgraded</v>
      </c>
      <c r="G12558" s="153"/>
      <c r="H12558" s="210">
        <v>4.3406000000000002</v>
      </c>
      <c r="I12558" s="160" t="s">
        <v>54</v>
      </c>
      <c r="J12558" s="160">
        <v>2.1049999999999999E-2</v>
      </c>
      <c r="K12558" s="160" t="s">
        <v>14</v>
      </c>
      <c r="L12558" s="154" t="str">
        <f>IF(OpenLCAbasic!K12558="CTUh", "Fill in Manually",IF(OR(K12558="Unit", K12558=""), "", INDEX(LookUps!$E$5:$E$12, MATCH(OpenLCAbasic!K12558,LookUps!$D$5:$D$12,0))))</f>
        <v>Fossil Depletion Potential (FDP) - kg oil eq</v>
      </c>
      <c r="M12558" s="154" t="str">
        <f t="shared" si="1101"/>
        <v>Base_High_Base_Upgraded_Fossil Depletion Potential (FDP) - kg oil eq_Clear Cove Primary Clarification; wastewater treatment unit; at updated plant - US_Without Amendment_Aerated Static Pile</v>
      </c>
    </row>
    <row r="12559" spans="1:13" s="120" customFormat="1" x14ac:dyDescent="0.25">
      <c r="A12559" s="119"/>
      <c r="B12559" s="138" t="str">
        <f t="shared" si="1097"/>
        <v>Aerated Static Pile</v>
      </c>
      <c r="C12559" s="138" t="str">
        <f t="shared" si="1098"/>
        <v>Without Amendment</v>
      </c>
      <c r="D12559" s="138" t="str">
        <f t="shared" si="1096"/>
        <v>High_Base</v>
      </c>
      <c r="E12559" s="138" t="str">
        <f t="shared" si="1099"/>
        <v>Base</v>
      </c>
      <c r="F12559" s="138" t="str">
        <f t="shared" si="1100"/>
        <v>Upgraded</v>
      </c>
      <c r="G12559" s="153"/>
      <c r="H12559" s="210">
        <v>3.3075999999999999</v>
      </c>
      <c r="I12559" s="160" t="s">
        <v>58</v>
      </c>
      <c r="J12559" s="160">
        <v>1.6039999999999999E-2</v>
      </c>
      <c r="K12559" s="160" t="s">
        <v>14</v>
      </c>
      <c r="L12559" s="154" t="str">
        <f>IF(OpenLCAbasic!K12559="CTUh", "Fill in Manually",IF(OR(K12559="Unit", K12559=""), "", INDEX(LookUps!$E$5:$E$12, MATCH(OpenLCAbasic!K12559,LookUps!$D$5:$D$12,0))))</f>
        <v>Fossil Depletion Potential (FDP) - kg oil eq</v>
      </c>
      <c r="M12559" s="154" t="str">
        <f t="shared" si="1101"/>
        <v>Base_High_Base_Upgraded_Fossil Depletion Potential (FDP) - kg oil eq_Pre-Anoxic &amp; Swing tank; wastewater treatment unit; at updated plant - US_Without Amendment_Aerated Static Pile</v>
      </c>
    </row>
    <row r="12560" spans="1:13" s="120" customFormat="1" x14ac:dyDescent="0.25">
      <c r="A12560" s="119"/>
      <c r="B12560" s="138" t="str">
        <f t="shared" si="1097"/>
        <v>Aerated Static Pile</v>
      </c>
      <c r="C12560" s="138" t="str">
        <f t="shared" si="1098"/>
        <v>Without Amendment</v>
      </c>
      <c r="D12560" s="138" t="str">
        <f t="shared" si="1096"/>
        <v>High_Base</v>
      </c>
      <c r="E12560" s="138" t="str">
        <f t="shared" si="1099"/>
        <v>Base</v>
      </c>
      <c r="F12560" s="138" t="str">
        <f t="shared" si="1100"/>
        <v>Upgraded</v>
      </c>
      <c r="G12560" s="153"/>
      <c r="H12560" s="210">
        <v>3.1112000000000002</v>
      </c>
      <c r="I12560" s="160" t="s">
        <v>147</v>
      </c>
      <c r="J12560" s="160">
        <v>1.5089999999999999E-2</v>
      </c>
      <c r="K12560" s="160" t="s">
        <v>14</v>
      </c>
      <c r="L12560" s="154" t="str">
        <f>IF(OpenLCAbasic!K12560="CTUh", "Fill in Manually",IF(OR(K12560="Unit", K12560=""), "", INDEX(LookUps!$E$5:$E$12, MATCH(OpenLCAbasic!K12560,LookUps!$D$5:$D$12,0))))</f>
        <v>Fossil Depletion Potential (FDP) - kg oil eq</v>
      </c>
      <c r="M12560" s="154" t="str">
        <f t="shared" si="1101"/>
        <v>Base_High_Base_Upgraded_Fossil Depletion Potential (FDP) - kg oil eq_Influent Pump Station; wastewater treatment unit; at updated plant - US_Without Amendment_Aerated Static Pile</v>
      </c>
    </row>
    <row r="12561" spans="1:13" s="120" customFormat="1" x14ac:dyDescent="0.25">
      <c r="A12561" s="119"/>
      <c r="B12561" s="138" t="str">
        <f t="shared" si="1097"/>
        <v>Aerated Static Pile</v>
      </c>
      <c r="C12561" s="138" t="str">
        <f t="shared" si="1098"/>
        <v>Without Amendment</v>
      </c>
      <c r="D12561" s="138" t="str">
        <f t="shared" si="1096"/>
        <v>High_Base</v>
      </c>
      <c r="E12561" s="138" t="str">
        <f t="shared" si="1099"/>
        <v>Base</v>
      </c>
      <c r="F12561" s="138" t="str">
        <f t="shared" si="1100"/>
        <v>Upgraded</v>
      </c>
      <c r="G12561" s="153"/>
      <c r="H12561" s="210">
        <v>2.5752000000000002</v>
      </c>
      <c r="I12561" s="160" t="s">
        <v>53</v>
      </c>
      <c r="J12561" s="160">
        <v>1.2489999999999999E-2</v>
      </c>
      <c r="K12561" s="160" t="s">
        <v>14</v>
      </c>
      <c r="L12561" s="154" t="str">
        <f>IF(OpenLCAbasic!K12561="CTUh", "Fill in Manually",IF(OR(K12561="Unit", K12561=""), "", INDEX(LookUps!$E$5:$E$12, MATCH(OpenLCAbasic!K12561,LookUps!$D$5:$D$12,0))))</f>
        <v>Fossil Depletion Potential (FDP) - kg oil eq</v>
      </c>
      <c r="M12561" s="154" t="str">
        <f t="shared" si="1101"/>
        <v>Base_High_Base_Upgraded_Fossil Depletion Potential (FDP) - kg oil eq_Wet Well and Sump Station; wastewater treatment unit; at updated plant - US_Without Amendment_Aerated Static Pile</v>
      </c>
    </row>
    <row r="12562" spans="1:13" s="120" customFormat="1" x14ac:dyDescent="0.25">
      <c r="A12562" s="119"/>
      <c r="B12562" s="138" t="str">
        <f t="shared" si="1097"/>
        <v>Aerated Static Pile</v>
      </c>
      <c r="C12562" s="138" t="str">
        <f t="shared" si="1098"/>
        <v>Without Amendment</v>
      </c>
      <c r="D12562" s="138" t="str">
        <f t="shared" si="1096"/>
        <v>High_Base</v>
      </c>
      <c r="E12562" s="138" t="str">
        <f t="shared" si="1099"/>
        <v>Base</v>
      </c>
      <c r="F12562" s="138" t="str">
        <f t="shared" si="1100"/>
        <v>Upgraded</v>
      </c>
      <c r="G12562" s="153"/>
      <c r="H12562" s="210">
        <v>2.4624000000000001</v>
      </c>
      <c r="I12562" s="160" t="s">
        <v>435</v>
      </c>
      <c r="J12562" s="160">
        <v>1.1939999999999999E-2</v>
      </c>
      <c r="K12562" s="160" t="s">
        <v>14</v>
      </c>
      <c r="L12562" s="154" t="str">
        <f>IF(OpenLCAbasic!K12562="CTUh", "Fill in Manually",IF(OR(K12562="Unit", K12562=""), "", INDEX(LookUps!$E$5:$E$12, MATCH(OpenLCAbasic!K12562,LookUps!$D$5:$D$12,0))))</f>
        <v>Fossil Depletion Potential (FDP) - kg oil eq</v>
      </c>
      <c r="M12562" s="154" t="str">
        <f t="shared" si="1101"/>
        <v>Base_High_Base_Upgraded_Fossil Depletion Potential (FDP) - kg oil eq_Biosolids composting; aerated static pile; wastewater treatment unit; at updated plant - US_Without Amendment_Aerated Static Pile</v>
      </c>
    </row>
    <row r="12563" spans="1:13" s="120" customFormat="1" x14ac:dyDescent="0.25">
      <c r="A12563" s="119"/>
      <c r="B12563" s="138" t="str">
        <f t="shared" si="1097"/>
        <v>Aerated Static Pile</v>
      </c>
      <c r="C12563" s="138" t="str">
        <f t="shared" si="1098"/>
        <v>Without Amendment</v>
      </c>
      <c r="D12563" s="138" t="str">
        <f t="shared" si="1096"/>
        <v>High_Base</v>
      </c>
      <c r="E12563" s="138" t="str">
        <f t="shared" si="1099"/>
        <v>Base</v>
      </c>
      <c r="F12563" s="138" t="str">
        <f t="shared" si="1100"/>
        <v>Upgraded</v>
      </c>
      <c r="G12563" s="153"/>
      <c r="H12563" s="210">
        <v>2.2629000000000001</v>
      </c>
      <c r="I12563" s="160" t="s">
        <v>60</v>
      </c>
      <c r="J12563" s="160">
        <v>1.0970000000000001E-2</v>
      </c>
      <c r="K12563" s="160" t="s">
        <v>14</v>
      </c>
      <c r="L12563" s="154" t="str">
        <f>IF(OpenLCAbasic!K12563="CTUh", "Fill in Manually",IF(OR(K12563="Unit", K12563=""), "", INDEX(LookUps!$E$5:$E$12, MATCH(OpenLCAbasic!K12563,LookUps!$D$5:$D$12,0))))</f>
        <v>Fossil Depletion Potential (FDP) - kg oil eq</v>
      </c>
      <c r="M12563" s="154" t="str">
        <f t="shared" si="1101"/>
        <v>Base_High_Base_Upgraded_Fossil Depletion Potential (FDP) - kg oil eq_Belt filter press; wastewater treatment unit; at updated plant - US_Without Amendment_Aerated Static Pile</v>
      </c>
    </row>
    <row r="12564" spans="1:13" s="120" customFormat="1" x14ac:dyDescent="0.25">
      <c r="A12564" s="119"/>
      <c r="B12564" s="138" t="str">
        <f t="shared" si="1097"/>
        <v>Aerated Static Pile</v>
      </c>
      <c r="C12564" s="138" t="str">
        <f t="shared" si="1098"/>
        <v>Without Amendment</v>
      </c>
      <c r="D12564" s="138" t="str">
        <f t="shared" si="1096"/>
        <v>High_Base</v>
      </c>
      <c r="E12564" s="138" t="str">
        <f t="shared" si="1099"/>
        <v>Base</v>
      </c>
      <c r="F12564" s="138" t="str">
        <f t="shared" si="1100"/>
        <v>Upgraded</v>
      </c>
      <c r="G12564" s="153"/>
      <c r="H12564" s="210">
        <v>1.4260999999999999</v>
      </c>
      <c r="I12564" s="160" t="s">
        <v>57</v>
      </c>
      <c r="J12564" s="160">
        <v>6.9199999999999999E-3</v>
      </c>
      <c r="K12564" s="160" t="s">
        <v>14</v>
      </c>
      <c r="L12564" s="154" t="str">
        <f>IF(OpenLCAbasic!K12564="CTUh", "Fill in Manually",IF(OR(K12564="Unit", K12564=""), "", INDEX(LookUps!$E$5:$E$12, MATCH(OpenLCAbasic!K12564,LookUps!$D$5:$D$12,0))))</f>
        <v>Fossil Depletion Potential (FDP) - kg oil eq</v>
      </c>
      <c r="M12564" s="154" t="str">
        <f t="shared" si="1101"/>
        <v>Base_High_Base_Upgraded_Fossil Depletion Potential (FDP) - kg oil eq_Gravity Belt Thickener; wastewater treatment unit; at updated plant - US_Without Amendment_Aerated Static Pile</v>
      </c>
    </row>
    <row r="12565" spans="1:13" s="120" customFormat="1" x14ac:dyDescent="0.25">
      <c r="A12565" s="119"/>
      <c r="B12565" s="138" t="str">
        <f t="shared" si="1097"/>
        <v>Aerated Static Pile</v>
      </c>
      <c r="C12565" s="138" t="str">
        <f t="shared" si="1098"/>
        <v>Without Amendment</v>
      </c>
      <c r="D12565" s="138" t="str">
        <f t="shared" si="1096"/>
        <v>High_Base</v>
      </c>
      <c r="E12565" s="138" t="str">
        <f t="shared" si="1099"/>
        <v>Base</v>
      </c>
      <c r="F12565" s="138" t="str">
        <f t="shared" si="1100"/>
        <v>Upgraded</v>
      </c>
      <c r="G12565" s="153"/>
      <c r="H12565" s="210">
        <v>0.92769999999999997</v>
      </c>
      <c r="I12565" s="160" t="s">
        <v>128</v>
      </c>
      <c r="J12565" s="160">
        <v>4.4999999999999997E-3</v>
      </c>
      <c r="K12565" s="160" t="s">
        <v>14</v>
      </c>
      <c r="L12565" s="154" t="str">
        <f>IF(OpenLCAbasic!K12565="CTUh", "Fill in Manually",IF(OR(K12565="Unit", K12565=""), "", INDEX(LookUps!$E$5:$E$12, MATCH(OpenLCAbasic!K12565,LookUps!$D$5:$D$12,0))))</f>
        <v>Fossil Depletion Potential (FDP) - kg oil eq</v>
      </c>
      <c r="M12565" s="154" t="str">
        <f t="shared" si="1101"/>
        <v>Base_High_Base_Upgraded_Fossil Depletion Potential (FDP) - kg oil eq_Wastewater collection; operation and infrastructure; m3 wastewater_Without Amendment_Aerated Static Pile</v>
      </c>
    </row>
    <row r="12566" spans="1:13" s="120" customFormat="1" x14ac:dyDescent="0.25">
      <c r="A12566" s="119"/>
      <c r="B12566" s="138" t="str">
        <f t="shared" si="1097"/>
        <v>Aerated Static Pile</v>
      </c>
      <c r="C12566" s="138" t="str">
        <f t="shared" si="1098"/>
        <v>Without Amendment</v>
      </c>
      <c r="D12566" s="138" t="str">
        <f t="shared" si="1096"/>
        <v>High_Base</v>
      </c>
      <c r="E12566" s="138" t="str">
        <f t="shared" si="1099"/>
        <v>Base</v>
      </c>
      <c r="F12566" s="138" t="str">
        <f t="shared" si="1100"/>
        <v>Upgraded</v>
      </c>
      <c r="G12566" s="153"/>
      <c r="H12566" s="210">
        <v>0.57679999999999998</v>
      </c>
      <c r="I12566" s="160" t="s">
        <v>148</v>
      </c>
      <c r="J12566" s="160">
        <v>2.8E-3</v>
      </c>
      <c r="K12566" s="160" t="s">
        <v>14</v>
      </c>
      <c r="L12566" s="154" t="str">
        <f>IF(OpenLCAbasic!K12566="CTUh", "Fill in Manually",IF(OR(K12566="Unit", K12566=""), "", INDEX(LookUps!$E$5:$E$12, MATCH(OpenLCAbasic!K12566,LookUps!$D$5:$D$12,0))))</f>
        <v>Fossil Depletion Potential (FDP) - kg oil eq</v>
      </c>
      <c r="M12566" s="154" t="str">
        <f t="shared" si="1101"/>
        <v>Base_High_Base_Upgraded_Fossil Depletion Potential (FDP) - kg oil eq_Control Building; at upgraded wastewater treatment plant - US_Without Amendment_Aerated Static Pile</v>
      </c>
    </row>
    <row r="12567" spans="1:13" s="120" customFormat="1" x14ac:dyDescent="0.25">
      <c r="A12567" s="119"/>
      <c r="B12567" s="138" t="str">
        <f t="shared" si="1097"/>
        <v>Aerated Static Pile</v>
      </c>
      <c r="C12567" s="138" t="str">
        <f t="shared" si="1098"/>
        <v>Without Amendment</v>
      </c>
      <c r="D12567" s="138" t="str">
        <f t="shared" si="1096"/>
        <v>High_Base</v>
      </c>
      <c r="E12567" s="138" t="str">
        <f t="shared" si="1099"/>
        <v>Base</v>
      </c>
      <c r="F12567" s="138" t="str">
        <f t="shared" si="1100"/>
        <v>Upgraded</v>
      </c>
      <c r="G12567" s="153"/>
      <c r="H12567" s="210">
        <v>0.4874</v>
      </c>
      <c r="I12567" s="160" t="s">
        <v>48</v>
      </c>
      <c r="J12567" s="160">
        <v>2.3600000000000001E-3</v>
      </c>
      <c r="K12567" s="160" t="s">
        <v>14</v>
      </c>
      <c r="L12567" s="154" t="str">
        <f>IF(OpenLCAbasic!K12567="CTUh", "Fill in Manually",IF(OR(K12567="Unit", K12567=""), "", INDEX(LookUps!$E$5:$E$12, MATCH(OpenLCAbasic!K12567,LookUps!$D$5:$D$12,0))))</f>
        <v>Fossil Depletion Potential (FDP) - kg oil eq</v>
      </c>
      <c r="M12567" s="154" t="str">
        <f t="shared" si="1101"/>
        <v>Base_High_Base_Upgraded_Fossil Depletion Potential (FDP) - kg oil eq_Effluent release; wastewater treatment unit; at surface water; m3 wastewater - US_Without Amendment_Aerated Static Pile</v>
      </c>
    </row>
    <row r="12568" spans="1:13" s="120" customFormat="1" x14ac:dyDescent="0.25">
      <c r="A12568" s="119"/>
      <c r="B12568" s="138" t="str">
        <f t="shared" si="1097"/>
        <v>Aerated Static Pile</v>
      </c>
      <c r="C12568" s="138" t="str">
        <f t="shared" si="1098"/>
        <v>Without Amendment</v>
      </c>
      <c r="D12568" s="138" t="str">
        <f t="shared" si="1096"/>
        <v>High_Base</v>
      </c>
      <c r="E12568" s="138" t="str">
        <f t="shared" si="1099"/>
        <v>Base</v>
      </c>
      <c r="F12568" s="138" t="str">
        <f t="shared" si="1100"/>
        <v>Upgraded</v>
      </c>
      <c r="G12568" s="153"/>
      <c r="H12568" s="210">
        <v>0.39579999999999999</v>
      </c>
      <c r="I12568" s="160" t="s">
        <v>59</v>
      </c>
      <c r="J12568" s="160">
        <v>1.92E-3</v>
      </c>
      <c r="K12568" s="160" t="s">
        <v>14</v>
      </c>
      <c r="L12568" s="154" t="str">
        <f>IF(OpenLCAbasic!K12568="CTUh", "Fill in Manually",IF(OR(K12568="Unit", K12568=""), "", INDEX(LookUps!$E$5:$E$12, MATCH(OpenLCAbasic!K12568,LookUps!$D$5:$D$12,0))))</f>
        <v>Fossil Depletion Potential (FDP) - kg oil eq</v>
      </c>
      <c r="M12568" s="154" t="str">
        <f t="shared" si="1101"/>
        <v>Base_High_Base_Upgraded_Fossil Depletion Potential (FDP) - kg oil eq_Blend Tank; wastewater treatment unit; at updated plant - US_Without Amendment_Aerated Static Pile</v>
      </c>
    </row>
    <row r="12569" spans="1:13" s="120" customFormat="1" x14ac:dyDescent="0.25">
      <c r="A12569" s="119"/>
      <c r="B12569" s="138" t="str">
        <f t="shared" si="1097"/>
        <v>Aerated Static Pile</v>
      </c>
      <c r="C12569" s="138" t="str">
        <f t="shared" si="1098"/>
        <v>Without Amendment</v>
      </c>
      <c r="D12569" s="138" t="str">
        <f t="shared" ref="D12569:D12632" si="1102">IF(ISNUMBER($J12569),"High_Base","")</f>
        <v>High_Base</v>
      </c>
      <c r="E12569" s="138" t="str">
        <f t="shared" si="1099"/>
        <v>Base</v>
      </c>
      <c r="F12569" s="138" t="str">
        <f t="shared" si="1100"/>
        <v>Upgraded</v>
      </c>
      <c r="G12569" s="153"/>
      <c r="H12569" s="210">
        <v>0.18859999999999999</v>
      </c>
      <c r="I12569" s="160" t="s">
        <v>168</v>
      </c>
      <c r="J12569" s="160">
        <v>9.1E-4</v>
      </c>
      <c r="K12569" s="160" t="s">
        <v>14</v>
      </c>
      <c r="L12569" s="154" t="str">
        <f>IF(OpenLCAbasic!K12569="CTUh", "Fill in Manually",IF(OR(K12569="Unit", K12569=""), "", INDEX(LookUps!$E$5:$E$12, MATCH(OpenLCAbasic!K12569,LookUps!$D$5:$D$12,0))))</f>
        <v>Fossil Depletion Potential (FDP) - kg oil eq</v>
      </c>
      <c r="M12569" s="154" t="str">
        <f t="shared" si="1101"/>
        <v>Base_High_Base_Upgraded_Fossil Depletion Potential (FDP) - kg oil eq_ClearCove SCP; wastewater treatment unit; at updated plant - US_Without Amendment_Aerated Static Pile</v>
      </c>
    </row>
    <row r="12570" spans="1:13" s="120" customFormat="1" x14ac:dyDescent="0.25">
      <c r="A12570" s="119"/>
      <c r="B12570" s="138" t="str">
        <f t="shared" si="1097"/>
        <v>Aerated Static Pile</v>
      </c>
      <c r="C12570" s="138" t="str">
        <f t="shared" si="1098"/>
        <v>Without Amendment</v>
      </c>
      <c r="D12570" s="138" t="str">
        <f t="shared" si="1102"/>
        <v>High_Base</v>
      </c>
      <c r="E12570" s="138" t="str">
        <f t="shared" si="1099"/>
        <v>Base</v>
      </c>
      <c r="F12570" s="138" t="str">
        <f t="shared" si="1100"/>
        <v>Upgraded</v>
      </c>
      <c r="G12570" s="153"/>
      <c r="H12570" s="210">
        <v>-1.5621</v>
      </c>
      <c r="I12570" s="160" t="s">
        <v>62</v>
      </c>
      <c r="J12570" s="160">
        <v>-7.5799999999999999E-3</v>
      </c>
      <c r="K12570" s="160" t="s">
        <v>14</v>
      </c>
      <c r="L12570" s="154" t="str">
        <f>IF(OpenLCAbasic!K12570="CTUh", "Fill in Manually",IF(OR(K12570="Unit", K12570=""), "", INDEX(LookUps!$E$5:$E$12, MATCH(OpenLCAbasic!K12570,LookUps!$D$5:$D$12,0))))</f>
        <v>Fossil Depletion Potential (FDP) - kg oil eq</v>
      </c>
      <c r="M12570" s="154" t="str">
        <f t="shared" si="1101"/>
        <v>Base_High_Base_Upgraded_Fossil Depletion Potential (FDP) - kg oil eq_Land application of compost; wastewater treatment unit; at updated plant - US_Without Amendment_Aerated Static Pile</v>
      </c>
    </row>
    <row r="12571" spans="1:13" s="120" customFormat="1" x14ac:dyDescent="0.25">
      <c r="A12571" s="119"/>
      <c r="B12571" s="138" t="str">
        <f t="shared" si="1097"/>
        <v>Aerated Static Pile</v>
      </c>
      <c r="C12571" s="138" t="str">
        <f t="shared" si="1098"/>
        <v>Without Amendment</v>
      </c>
      <c r="D12571" s="138" t="str">
        <f t="shared" si="1102"/>
        <v>High_Base</v>
      </c>
      <c r="E12571" s="138" t="str">
        <f t="shared" si="1099"/>
        <v>Base</v>
      </c>
      <c r="F12571" s="138" t="str">
        <f t="shared" si="1100"/>
        <v>Upgraded</v>
      </c>
      <c r="G12571" s="153"/>
      <c r="H12571" s="210">
        <v>-58.777799999999999</v>
      </c>
      <c r="I12571" s="160" t="s">
        <v>149</v>
      </c>
      <c r="J12571" s="160">
        <v>-0.28505000000000003</v>
      </c>
      <c r="K12571" s="160" t="s">
        <v>14</v>
      </c>
      <c r="L12571" s="154" t="str">
        <f>IF(OpenLCAbasic!K12571="CTUh", "Fill in Manually",IF(OR(K12571="Unit", K12571=""), "", INDEX(LookUps!$E$5:$E$12, MATCH(OpenLCAbasic!K12571,LookUps!$D$5:$D$12,0))))</f>
        <v>Fossil Depletion Potential (FDP) - kg oil eq</v>
      </c>
      <c r="M12571" s="154" t="str">
        <f t="shared" si="1101"/>
        <v>Base_High_Base_Upgraded_Fossil Depletion Potential (FDP) - kg oil eq_Anaerobic Digestion; wastewater treatment unit; at updated plant - US_Without Amendment_Aerated Static Pile</v>
      </c>
    </row>
    <row r="12572" spans="1:13" s="120" customFormat="1" x14ac:dyDescent="0.25">
      <c r="A12572" s="119"/>
      <c r="B12572" s="138" t="str">
        <f t="shared" si="1097"/>
        <v/>
      </c>
      <c r="C12572" s="138" t="str">
        <f t="shared" si="1098"/>
        <v/>
      </c>
      <c r="D12572" s="138" t="str">
        <f t="shared" si="1102"/>
        <v/>
      </c>
      <c r="E12572" s="138" t="str">
        <f t="shared" si="1099"/>
        <v/>
      </c>
      <c r="F12572" s="138" t="str">
        <f t="shared" si="1100"/>
        <v/>
      </c>
      <c r="G12572" s="153" t="s">
        <v>51</v>
      </c>
      <c r="H12572" s="160"/>
      <c r="I12572" s="160" t="s">
        <v>47</v>
      </c>
      <c r="J12572" s="160" t="s">
        <v>52</v>
      </c>
      <c r="K12572" s="160" t="s">
        <v>27</v>
      </c>
      <c r="L12572" s="154" t="str">
        <f>IF(OpenLCAbasic!K12572="CTUh", "Fill in Manually",IF(OR(K12572="Unit", K12572=""), "", INDEX(LookUps!$E$5:$E$12, MATCH(OpenLCAbasic!K12572,LookUps!$D$5:$D$12,0))))</f>
        <v/>
      </c>
      <c r="M12572" s="154" t="str">
        <f t="shared" si="1101"/>
        <v>____Process__</v>
      </c>
    </row>
    <row r="12573" spans="1:13" s="120" customFormat="1" x14ac:dyDescent="0.25">
      <c r="A12573" s="119"/>
      <c r="B12573" s="138" t="str">
        <f t="shared" si="1097"/>
        <v>Aerated Static Pile</v>
      </c>
      <c r="C12573" s="138" t="str">
        <f t="shared" si="1098"/>
        <v>Without Amendment</v>
      </c>
      <c r="D12573" s="138" t="str">
        <f t="shared" si="1102"/>
        <v>High_Base</v>
      </c>
      <c r="E12573" s="138" t="str">
        <f t="shared" si="1099"/>
        <v>Base</v>
      </c>
      <c r="F12573" s="138" t="str">
        <f t="shared" si="1100"/>
        <v>Upgraded</v>
      </c>
      <c r="G12573" s="153"/>
      <c r="H12573" s="210">
        <v>1.0064</v>
      </c>
      <c r="I12573" s="160" t="s">
        <v>435</v>
      </c>
      <c r="J12573" s="160">
        <v>0.60573999999999995</v>
      </c>
      <c r="K12573" s="160" t="s">
        <v>23</v>
      </c>
      <c r="L12573" s="154" t="str">
        <f>IF(OpenLCAbasic!K12573="CTUh", "Fill in Manually",IF(OR(K12573="Unit", K12573=""), "", INDEX(LookUps!$E$5:$E$12, MATCH(OpenLCAbasic!K12573,LookUps!$D$5:$D$12,0))))</f>
        <v>Global Warming Potential (GWP) - kg CO2 eq</v>
      </c>
      <c r="M12573" s="154" t="str">
        <f t="shared" si="1101"/>
        <v>Base_High_Base_Upgraded_Global Warming Potential (GWP) - kg CO2 eq_Biosolids composting; aerated static pile; wastewater treatment unit; at updated plant - US_Without Amendment_Aerated Static Pile</v>
      </c>
    </row>
    <row r="12574" spans="1:13" s="120" customFormat="1" x14ac:dyDescent="0.25">
      <c r="A12574" s="119"/>
      <c r="B12574" s="138" t="str">
        <f t="shared" si="1097"/>
        <v>Aerated Static Pile</v>
      </c>
      <c r="C12574" s="138" t="str">
        <f t="shared" si="1098"/>
        <v>Without Amendment</v>
      </c>
      <c r="D12574" s="138" t="str">
        <f t="shared" si="1102"/>
        <v>High_Base</v>
      </c>
      <c r="E12574" s="138" t="str">
        <f t="shared" si="1099"/>
        <v>Base</v>
      </c>
      <c r="F12574" s="138" t="str">
        <f t="shared" si="1100"/>
        <v>Upgraded</v>
      </c>
      <c r="G12574" s="153"/>
      <c r="H12574" s="210">
        <v>0.41520000000000001</v>
      </c>
      <c r="I12574" s="160" t="s">
        <v>58</v>
      </c>
      <c r="J12574" s="160">
        <v>0.24992</v>
      </c>
      <c r="K12574" s="160" t="s">
        <v>23</v>
      </c>
      <c r="L12574" s="154" t="str">
        <f>IF(OpenLCAbasic!K12574="CTUh", "Fill in Manually",IF(OR(K12574="Unit", K12574=""), "", INDEX(LookUps!$E$5:$E$12, MATCH(OpenLCAbasic!K12574,LookUps!$D$5:$D$12,0))))</f>
        <v>Global Warming Potential (GWP) - kg CO2 eq</v>
      </c>
      <c r="M12574" s="154" t="str">
        <f t="shared" si="1101"/>
        <v>Base_High_Base_Upgraded_Global Warming Potential (GWP) - kg CO2 eq_Pre-Anoxic &amp; Swing tank; wastewater treatment unit; at updated plant - US_Without Amendment_Aerated Static Pile</v>
      </c>
    </row>
    <row r="12575" spans="1:13" s="120" customFormat="1" x14ac:dyDescent="0.25">
      <c r="A12575" s="119"/>
      <c r="B12575" s="138" t="str">
        <f t="shared" si="1097"/>
        <v>Aerated Static Pile</v>
      </c>
      <c r="C12575" s="138" t="str">
        <f t="shared" si="1098"/>
        <v>Without Amendment</v>
      </c>
      <c r="D12575" s="138" t="str">
        <f t="shared" si="1102"/>
        <v>High_Base</v>
      </c>
      <c r="E12575" s="138" t="str">
        <f t="shared" si="1099"/>
        <v>Base</v>
      </c>
      <c r="F12575" s="138" t="str">
        <f t="shared" si="1100"/>
        <v>Upgraded</v>
      </c>
      <c r="G12575" s="153"/>
      <c r="H12575" s="210">
        <v>0.27950000000000003</v>
      </c>
      <c r="I12575" s="160" t="s">
        <v>55</v>
      </c>
      <c r="J12575" s="160">
        <v>0.16822000000000001</v>
      </c>
      <c r="K12575" s="160" t="s">
        <v>23</v>
      </c>
      <c r="L12575" s="154" t="str">
        <f>IF(OpenLCAbasic!K12575="CTUh", "Fill in Manually",IF(OR(K12575="Unit", K12575=""), "", INDEX(LookUps!$E$5:$E$12, MATCH(OpenLCAbasic!K12575,LookUps!$D$5:$D$12,0))))</f>
        <v>Global Warming Potential (GWP) - kg CO2 eq</v>
      </c>
      <c r="M12575" s="154" t="str">
        <f t="shared" si="1101"/>
        <v>Base_High_Base_Upgraded_Global Warming Potential (GWP) - kg CO2 eq_Aeration Tanks; wastewater treatment unit; at updated plant - US_Without Amendment_Aerated Static Pile</v>
      </c>
    </row>
    <row r="12576" spans="1:13" s="120" customFormat="1" x14ac:dyDescent="0.25">
      <c r="A12576" s="119"/>
      <c r="B12576" s="138" t="str">
        <f t="shared" si="1097"/>
        <v>Aerated Static Pile</v>
      </c>
      <c r="C12576" s="138" t="str">
        <f t="shared" si="1098"/>
        <v>Without Amendment</v>
      </c>
      <c r="D12576" s="138" t="str">
        <f t="shared" si="1102"/>
        <v>High_Base</v>
      </c>
      <c r="E12576" s="138" t="str">
        <f t="shared" si="1099"/>
        <v>Base</v>
      </c>
      <c r="F12576" s="138" t="str">
        <f t="shared" si="1100"/>
        <v>Upgraded</v>
      </c>
      <c r="G12576" s="153"/>
      <c r="H12576" s="210">
        <v>0.24399999999999999</v>
      </c>
      <c r="I12576" s="160" t="s">
        <v>167</v>
      </c>
      <c r="J12576" s="160">
        <v>0.14685000000000001</v>
      </c>
      <c r="K12576" s="160" t="s">
        <v>23</v>
      </c>
      <c r="L12576" s="154" t="str">
        <f>IF(OpenLCAbasic!K12576="CTUh", "Fill in Manually",IF(OR(K12576="Unit", K12576=""), "", INDEX(LookUps!$E$5:$E$12, MATCH(OpenLCAbasic!K12576,LookUps!$D$5:$D$12,0))))</f>
        <v>Global Warming Potential (GWP) - kg CO2 eq</v>
      </c>
      <c r="M12576" s="154" t="str">
        <f t="shared" si="1101"/>
        <v>Base_High_Base_Upgraded_Global Warming Potential (GWP) - kg CO2 eq_Waste Receiving and Holding; wastewater treatment unit; at updated plant - US_Without Amendment_Aerated Static Pile</v>
      </c>
    </row>
    <row r="12577" spans="1:13" s="120" customFormat="1" x14ac:dyDescent="0.25">
      <c r="A12577" s="119"/>
      <c r="B12577" s="138" t="str">
        <f t="shared" si="1097"/>
        <v>Aerated Static Pile</v>
      </c>
      <c r="C12577" s="138" t="str">
        <f t="shared" si="1098"/>
        <v>Without Amendment</v>
      </c>
      <c r="D12577" s="138" t="str">
        <f t="shared" si="1102"/>
        <v>High_Base</v>
      </c>
      <c r="E12577" s="138" t="str">
        <f t="shared" si="1099"/>
        <v>Base</v>
      </c>
      <c r="F12577" s="138" t="str">
        <f t="shared" si="1100"/>
        <v>Upgraded</v>
      </c>
      <c r="G12577" s="153"/>
      <c r="H12577" s="210">
        <v>9.4799999999999995E-2</v>
      </c>
      <c r="I12577" s="160" t="s">
        <v>54</v>
      </c>
      <c r="J12577" s="160">
        <v>5.7079999999999999E-2</v>
      </c>
      <c r="K12577" s="160" t="s">
        <v>23</v>
      </c>
      <c r="L12577" s="154" t="str">
        <f>IF(OpenLCAbasic!K12577="CTUh", "Fill in Manually",IF(OR(K12577="Unit", K12577=""), "", INDEX(LookUps!$E$5:$E$12, MATCH(OpenLCAbasic!K12577,LookUps!$D$5:$D$12,0))))</f>
        <v>Global Warming Potential (GWP) - kg CO2 eq</v>
      </c>
      <c r="M12577" s="154" t="str">
        <f t="shared" si="1101"/>
        <v>Base_High_Base_Upgraded_Global Warming Potential (GWP) - kg CO2 eq_Clear Cove Primary Clarification; wastewater treatment unit; at updated plant - US_Without Amendment_Aerated Static Pile</v>
      </c>
    </row>
    <row r="12578" spans="1:13" s="120" customFormat="1" x14ac:dyDescent="0.25">
      <c r="A12578" s="119"/>
      <c r="B12578" s="138" t="str">
        <f t="shared" si="1097"/>
        <v>Aerated Static Pile</v>
      </c>
      <c r="C12578" s="138" t="str">
        <f t="shared" si="1098"/>
        <v>Without Amendment</v>
      </c>
      <c r="D12578" s="138" t="str">
        <f t="shared" si="1102"/>
        <v>High_Base</v>
      </c>
      <c r="E12578" s="138" t="str">
        <f t="shared" si="1099"/>
        <v>Base</v>
      </c>
      <c r="F12578" s="138" t="str">
        <f t="shared" si="1100"/>
        <v>Upgraded</v>
      </c>
      <c r="G12578" s="153"/>
      <c r="H12578" s="210">
        <v>8.7400000000000005E-2</v>
      </c>
      <c r="I12578" s="160" t="s">
        <v>48</v>
      </c>
      <c r="J12578" s="160">
        <v>5.2639999999999999E-2</v>
      </c>
      <c r="K12578" s="160" t="s">
        <v>23</v>
      </c>
      <c r="L12578" s="154" t="str">
        <f>IF(OpenLCAbasic!K12578="CTUh", "Fill in Manually",IF(OR(K12578="Unit", K12578=""), "", INDEX(LookUps!$E$5:$E$12, MATCH(OpenLCAbasic!K12578,LookUps!$D$5:$D$12,0))))</f>
        <v>Global Warming Potential (GWP) - kg CO2 eq</v>
      </c>
      <c r="M12578" s="154" t="str">
        <f t="shared" si="1101"/>
        <v>Base_High_Base_Upgraded_Global Warming Potential (GWP) - kg CO2 eq_Effluent release; wastewater treatment unit; at surface water; m3 wastewater - US_Without Amendment_Aerated Static Pile</v>
      </c>
    </row>
    <row r="12579" spans="1:13" s="120" customFormat="1" x14ac:dyDescent="0.25">
      <c r="A12579" s="119"/>
      <c r="B12579" s="138" t="str">
        <f t="shared" si="1097"/>
        <v>Aerated Static Pile</v>
      </c>
      <c r="C12579" s="138" t="str">
        <f t="shared" si="1098"/>
        <v>Without Amendment</v>
      </c>
      <c r="D12579" s="138" t="str">
        <f t="shared" si="1102"/>
        <v>High_Base</v>
      </c>
      <c r="E12579" s="138" t="str">
        <f t="shared" si="1099"/>
        <v>Base</v>
      </c>
      <c r="F12579" s="138" t="str">
        <f t="shared" si="1100"/>
        <v>Upgraded</v>
      </c>
      <c r="G12579" s="153"/>
      <c r="H12579" s="210">
        <v>8.3900000000000002E-2</v>
      </c>
      <c r="I12579" s="160" t="s">
        <v>147</v>
      </c>
      <c r="J12579" s="160">
        <v>5.0500000000000003E-2</v>
      </c>
      <c r="K12579" s="160" t="s">
        <v>23</v>
      </c>
      <c r="L12579" s="154" t="str">
        <f>IF(OpenLCAbasic!K12579="CTUh", "Fill in Manually",IF(OR(K12579="Unit", K12579=""), "", INDEX(LookUps!$E$5:$E$12, MATCH(OpenLCAbasic!K12579,LookUps!$D$5:$D$12,0))))</f>
        <v>Global Warming Potential (GWP) - kg CO2 eq</v>
      </c>
      <c r="M12579" s="154" t="str">
        <f t="shared" si="1101"/>
        <v>Base_High_Base_Upgraded_Global Warming Potential (GWP) - kg CO2 eq_Influent Pump Station; wastewater treatment unit; at updated plant - US_Without Amendment_Aerated Static Pile</v>
      </c>
    </row>
    <row r="12580" spans="1:13" s="120" customFormat="1" x14ac:dyDescent="0.25">
      <c r="A12580" s="119"/>
      <c r="B12580" s="138" t="str">
        <f t="shared" si="1097"/>
        <v>Aerated Static Pile</v>
      </c>
      <c r="C12580" s="138" t="str">
        <f t="shared" si="1098"/>
        <v>Without Amendment</v>
      </c>
      <c r="D12580" s="138" t="str">
        <f t="shared" si="1102"/>
        <v>High_Base</v>
      </c>
      <c r="E12580" s="138" t="str">
        <f t="shared" si="1099"/>
        <v>Base</v>
      </c>
      <c r="F12580" s="138" t="str">
        <f t="shared" si="1100"/>
        <v>Upgraded</v>
      </c>
      <c r="G12580" s="153"/>
      <c r="H12580" s="210">
        <v>5.5300000000000002E-2</v>
      </c>
      <c r="I12580" s="160" t="s">
        <v>53</v>
      </c>
      <c r="J12580" s="160">
        <v>3.3259999999999998E-2</v>
      </c>
      <c r="K12580" s="160" t="s">
        <v>23</v>
      </c>
      <c r="L12580" s="154" t="str">
        <f>IF(OpenLCAbasic!K12580="CTUh", "Fill in Manually",IF(OR(K12580="Unit", K12580=""), "", INDEX(LookUps!$E$5:$E$12, MATCH(OpenLCAbasic!K12580,LookUps!$D$5:$D$12,0))))</f>
        <v>Global Warming Potential (GWP) - kg CO2 eq</v>
      </c>
      <c r="M12580" s="154" t="str">
        <f t="shared" si="1101"/>
        <v>Base_High_Base_Upgraded_Global Warming Potential (GWP) - kg CO2 eq_Wet Well and Sump Station; wastewater treatment unit; at updated plant - US_Without Amendment_Aerated Static Pile</v>
      </c>
    </row>
    <row r="12581" spans="1:13" s="120" customFormat="1" x14ac:dyDescent="0.25">
      <c r="A12581" s="119"/>
      <c r="B12581" s="138" t="str">
        <f t="shared" si="1097"/>
        <v>Aerated Static Pile</v>
      </c>
      <c r="C12581" s="138" t="str">
        <f t="shared" si="1098"/>
        <v>Without Amendment</v>
      </c>
      <c r="D12581" s="138" t="str">
        <f t="shared" si="1102"/>
        <v>High_Base</v>
      </c>
      <c r="E12581" s="138" t="str">
        <f t="shared" si="1099"/>
        <v>Base</v>
      </c>
      <c r="F12581" s="138" t="str">
        <f t="shared" si="1100"/>
        <v>Upgraded</v>
      </c>
      <c r="G12581" s="153"/>
      <c r="H12581" s="210">
        <v>4.0099999999999997E-2</v>
      </c>
      <c r="I12581" s="160" t="s">
        <v>60</v>
      </c>
      <c r="J12581" s="160">
        <v>2.4119999999999999E-2</v>
      </c>
      <c r="K12581" s="160" t="s">
        <v>23</v>
      </c>
      <c r="L12581" s="154" t="str">
        <f>IF(OpenLCAbasic!K12581="CTUh", "Fill in Manually",IF(OR(K12581="Unit", K12581=""), "", INDEX(LookUps!$E$5:$E$12, MATCH(OpenLCAbasic!K12581,LookUps!$D$5:$D$12,0))))</f>
        <v>Global Warming Potential (GWP) - kg CO2 eq</v>
      </c>
      <c r="M12581" s="154" t="str">
        <f t="shared" si="1101"/>
        <v>Base_High_Base_Upgraded_Global Warming Potential (GWP) - kg CO2 eq_Belt filter press; wastewater treatment unit; at updated plant - US_Without Amendment_Aerated Static Pile</v>
      </c>
    </row>
    <row r="12582" spans="1:13" s="120" customFormat="1" x14ac:dyDescent="0.25">
      <c r="A12582" s="119"/>
      <c r="B12582" s="138" t="str">
        <f t="shared" si="1097"/>
        <v>Aerated Static Pile</v>
      </c>
      <c r="C12582" s="138" t="str">
        <f t="shared" si="1098"/>
        <v>Without Amendment</v>
      </c>
      <c r="D12582" s="138" t="str">
        <f t="shared" si="1102"/>
        <v>High_Base</v>
      </c>
      <c r="E12582" s="138" t="str">
        <f t="shared" si="1099"/>
        <v>Base</v>
      </c>
      <c r="F12582" s="138" t="str">
        <f t="shared" si="1100"/>
        <v>Upgraded</v>
      </c>
      <c r="G12582" s="153"/>
      <c r="H12582" s="210">
        <v>2.4199999999999999E-2</v>
      </c>
      <c r="I12582" s="160" t="s">
        <v>57</v>
      </c>
      <c r="J12582" s="160">
        <v>1.455E-2</v>
      </c>
      <c r="K12582" s="160" t="s">
        <v>23</v>
      </c>
      <c r="L12582" s="154" t="str">
        <f>IF(OpenLCAbasic!K12582="CTUh", "Fill in Manually",IF(OR(K12582="Unit", K12582=""), "", INDEX(LookUps!$E$5:$E$12, MATCH(OpenLCAbasic!K12582,LookUps!$D$5:$D$12,0))))</f>
        <v>Global Warming Potential (GWP) - kg CO2 eq</v>
      </c>
      <c r="M12582" s="154" t="str">
        <f t="shared" si="1101"/>
        <v>Base_High_Base_Upgraded_Global Warming Potential (GWP) - kg CO2 eq_Gravity Belt Thickener; wastewater treatment unit; at updated plant - US_Without Amendment_Aerated Static Pile</v>
      </c>
    </row>
    <row r="12583" spans="1:13" s="120" customFormat="1" x14ac:dyDescent="0.25">
      <c r="A12583" s="119"/>
      <c r="B12583" s="138" t="str">
        <f t="shared" si="1097"/>
        <v>Aerated Static Pile</v>
      </c>
      <c r="C12583" s="138" t="str">
        <f t="shared" si="1098"/>
        <v>Without Amendment</v>
      </c>
      <c r="D12583" s="138" t="str">
        <f t="shared" si="1102"/>
        <v>High_Base</v>
      </c>
      <c r="E12583" s="138" t="str">
        <f t="shared" si="1099"/>
        <v>Base</v>
      </c>
      <c r="F12583" s="138" t="str">
        <f t="shared" si="1100"/>
        <v>Upgraded</v>
      </c>
      <c r="G12583" s="153"/>
      <c r="H12583" s="210">
        <v>2.24E-2</v>
      </c>
      <c r="I12583" s="160" t="s">
        <v>128</v>
      </c>
      <c r="J12583" s="160">
        <v>1.3509999999999999E-2</v>
      </c>
      <c r="K12583" s="160" t="s">
        <v>23</v>
      </c>
      <c r="L12583" s="154" t="str">
        <f>IF(OpenLCAbasic!K12583="CTUh", "Fill in Manually",IF(OR(K12583="Unit", K12583=""), "", INDEX(LookUps!$E$5:$E$12, MATCH(OpenLCAbasic!K12583,LookUps!$D$5:$D$12,0))))</f>
        <v>Global Warming Potential (GWP) - kg CO2 eq</v>
      </c>
      <c r="M12583" s="154" t="str">
        <f t="shared" si="1101"/>
        <v>Base_High_Base_Upgraded_Global Warming Potential (GWP) - kg CO2 eq_Wastewater collection; operation and infrastructure; m3 wastewater_Without Amendment_Aerated Static Pile</v>
      </c>
    </row>
    <row r="12584" spans="1:13" s="120" customFormat="1" x14ac:dyDescent="0.25">
      <c r="A12584" s="119"/>
      <c r="B12584" s="138" t="str">
        <f t="shared" si="1097"/>
        <v>Aerated Static Pile</v>
      </c>
      <c r="C12584" s="138" t="str">
        <f t="shared" si="1098"/>
        <v>Without Amendment</v>
      </c>
      <c r="D12584" s="138" t="str">
        <f t="shared" si="1102"/>
        <v>High_Base</v>
      </c>
      <c r="E12584" s="138" t="str">
        <f t="shared" si="1099"/>
        <v>Base</v>
      </c>
      <c r="F12584" s="138" t="str">
        <f t="shared" si="1100"/>
        <v>Upgraded</v>
      </c>
      <c r="G12584" s="153"/>
      <c r="H12584" s="210">
        <v>1.38E-2</v>
      </c>
      <c r="I12584" s="160" t="s">
        <v>148</v>
      </c>
      <c r="J12584" s="160">
        <v>8.3000000000000001E-3</v>
      </c>
      <c r="K12584" s="160" t="s">
        <v>23</v>
      </c>
      <c r="L12584" s="154" t="str">
        <f>IF(OpenLCAbasic!K12584="CTUh", "Fill in Manually",IF(OR(K12584="Unit", K12584=""), "", INDEX(LookUps!$E$5:$E$12, MATCH(OpenLCAbasic!K12584,LookUps!$D$5:$D$12,0))))</f>
        <v>Global Warming Potential (GWP) - kg CO2 eq</v>
      </c>
      <c r="M12584" s="154" t="str">
        <f t="shared" si="1101"/>
        <v>Base_High_Base_Upgraded_Global Warming Potential (GWP) - kg CO2 eq_Control Building; at upgraded wastewater treatment plant - US_Without Amendment_Aerated Static Pile</v>
      </c>
    </row>
    <row r="12585" spans="1:13" s="120" customFormat="1" x14ac:dyDescent="0.25">
      <c r="A12585" s="119"/>
      <c r="B12585" s="138" t="str">
        <f t="shared" ref="B12585:B12648" si="1103">IF(F12585="Legacy","n.a.",IF(F12585="","","Aerated Static Pile"))</f>
        <v>Aerated Static Pile</v>
      </c>
      <c r="C12585" s="138" t="str">
        <f t="shared" ref="C12585:C12648" si="1104">IF(ISNUMBER($J12585),"Without Amendment","")</f>
        <v>Without Amendment</v>
      </c>
      <c r="D12585" s="138" t="str">
        <f t="shared" si="1102"/>
        <v>High_Base</v>
      </c>
      <c r="E12585" s="138" t="str">
        <f t="shared" ref="E12585:E12648" si="1105">IF(ISNUMBER($J12585),"Base","")</f>
        <v>Base</v>
      </c>
      <c r="F12585" s="138" t="str">
        <f t="shared" ref="F12585:F12648" si="1106">IF(ISNUMBER(J12585),"Upgraded","")</f>
        <v>Upgraded</v>
      </c>
      <c r="G12585" s="153"/>
      <c r="H12585" s="210">
        <v>8.3999999999999995E-3</v>
      </c>
      <c r="I12585" s="160" t="s">
        <v>59</v>
      </c>
      <c r="J12585" s="160">
        <v>5.0400000000000002E-3</v>
      </c>
      <c r="K12585" s="160" t="s">
        <v>23</v>
      </c>
      <c r="L12585" s="154" t="str">
        <f>IF(OpenLCAbasic!K12585="CTUh", "Fill in Manually",IF(OR(K12585="Unit", K12585=""), "", INDEX(LookUps!$E$5:$E$12, MATCH(OpenLCAbasic!K12585,LookUps!$D$5:$D$12,0))))</f>
        <v>Global Warming Potential (GWP) - kg CO2 eq</v>
      </c>
      <c r="M12585" s="154" t="str">
        <f t="shared" si="1101"/>
        <v>Base_High_Base_Upgraded_Global Warming Potential (GWP) - kg CO2 eq_Blend Tank; wastewater treatment unit; at updated plant - US_Without Amendment_Aerated Static Pile</v>
      </c>
    </row>
    <row r="12586" spans="1:13" s="120" customFormat="1" x14ac:dyDescent="0.25">
      <c r="A12586" s="119"/>
      <c r="B12586" s="138" t="str">
        <f t="shared" si="1103"/>
        <v>Aerated Static Pile</v>
      </c>
      <c r="C12586" s="138" t="str">
        <f t="shared" si="1104"/>
        <v>Without Amendment</v>
      </c>
      <c r="D12586" s="138" t="str">
        <f t="shared" si="1102"/>
        <v>High_Base</v>
      </c>
      <c r="E12586" s="138" t="str">
        <f t="shared" si="1105"/>
        <v>Base</v>
      </c>
      <c r="F12586" s="138" t="str">
        <f t="shared" si="1106"/>
        <v>Upgraded</v>
      </c>
      <c r="G12586" s="153"/>
      <c r="H12586" s="210">
        <v>4.0000000000000001E-3</v>
      </c>
      <c r="I12586" s="160" t="s">
        <v>168</v>
      </c>
      <c r="J12586" s="160">
        <v>2.4099999999999998E-3</v>
      </c>
      <c r="K12586" s="160" t="s">
        <v>23</v>
      </c>
      <c r="L12586" s="154" t="str">
        <f>IF(OpenLCAbasic!K12586="CTUh", "Fill in Manually",IF(OR(K12586="Unit", K12586=""), "", INDEX(LookUps!$E$5:$E$12, MATCH(OpenLCAbasic!K12586,LookUps!$D$5:$D$12,0))))</f>
        <v>Global Warming Potential (GWP) - kg CO2 eq</v>
      </c>
      <c r="M12586" s="154" t="str">
        <f t="shared" si="1101"/>
        <v>Base_High_Base_Upgraded_Global Warming Potential (GWP) - kg CO2 eq_ClearCove SCP; wastewater treatment unit; at updated plant - US_Without Amendment_Aerated Static Pile</v>
      </c>
    </row>
    <row r="12587" spans="1:13" s="120" customFormat="1" x14ac:dyDescent="0.25">
      <c r="A12587" s="119"/>
      <c r="B12587" s="138" t="str">
        <f t="shared" si="1103"/>
        <v>Aerated Static Pile</v>
      </c>
      <c r="C12587" s="138" t="str">
        <f t="shared" si="1104"/>
        <v>Without Amendment</v>
      </c>
      <c r="D12587" s="138" t="str">
        <f t="shared" si="1102"/>
        <v>High_Base</v>
      </c>
      <c r="E12587" s="138" t="str">
        <f t="shared" si="1105"/>
        <v>Base</v>
      </c>
      <c r="F12587" s="138" t="str">
        <f t="shared" si="1106"/>
        <v>Upgraded</v>
      </c>
      <c r="G12587" s="153"/>
      <c r="H12587" s="210">
        <v>-0.43070000000000003</v>
      </c>
      <c r="I12587" s="160" t="s">
        <v>62</v>
      </c>
      <c r="J12587" s="160">
        <v>-0.25923000000000002</v>
      </c>
      <c r="K12587" s="160" t="s">
        <v>23</v>
      </c>
      <c r="L12587" s="154" t="str">
        <f>IF(OpenLCAbasic!K12587="CTUh", "Fill in Manually",IF(OR(K12587="Unit", K12587=""), "", INDEX(LookUps!$E$5:$E$12, MATCH(OpenLCAbasic!K12587,LookUps!$D$5:$D$12,0))))</f>
        <v>Global Warming Potential (GWP) - kg CO2 eq</v>
      </c>
      <c r="M12587" s="154" t="str">
        <f t="shared" si="1101"/>
        <v>Base_High_Base_Upgraded_Global Warming Potential (GWP) - kg CO2 eq_Land application of compost; wastewater treatment unit; at updated plant - US_Without Amendment_Aerated Static Pile</v>
      </c>
    </row>
    <row r="12588" spans="1:13" s="120" customFormat="1" x14ac:dyDescent="0.25">
      <c r="A12588" s="119"/>
      <c r="B12588" s="138" t="str">
        <f t="shared" si="1103"/>
        <v>Aerated Static Pile</v>
      </c>
      <c r="C12588" s="138" t="str">
        <f t="shared" si="1104"/>
        <v>Without Amendment</v>
      </c>
      <c r="D12588" s="138" t="str">
        <f t="shared" si="1102"/>
        <v>High_Base</v>
      </c>
      <c r="E12588" s="138" t="str">
        <f t="shared" si="1105"/>
        <v>Base</v>
      </c>
      <c r="F12588" s="138" t="str">
        <f t="shared" si="1106"/>
        <v>Upgraded</v>
      </c>
      <c r="G12588" s="153"/>
      <c r="H12588" s="210">
        <v>-0.9486</v>
      </c>
      <c r="I12588" s="160" t="s">
        <v>149</v>
      </c>
      <c r="J12588" s="160">
        <v>-0.57099</v>
      </c>
      <c r="K12588" s="160" t="s">
        <v>23</v>
      </c>
      <c r="L12588" s="154" t="str">
        <f>IF(OpenLCAbasic!K12588="CTUh", "Fill in Manually",IF(OR(K12588="Unit", K12588=""), "", INDEX(LookUps!$E$5:$E$12, MATCH(OpenLCAbasic!K12588,LookUps!$D$5:$D$12,0))))</f>
        <v>Global Warming Potential (GWP) - kg CO2 eq</v>
      </c>
      <c r="M12588" s="154" t="str">
        <f t="shared" si="1101"/>
        <v>Base_High_Base_Upgraded_Global Warming Potential (GWP) - kg CO2 eq_Anaerobic Digestion; wastewater treatment unit; at updated plant - US_Without Amendment_Aerated Static Pile</v>
      </c>
    </row>
    <row r="12589" spans="1:13" s="120" customFormat="1" x14ac:dyDescent="0.25">
      <c r="A12589" s="119"/>
      <c r="B12589" s="138" t="str">
        <f t="shared" si="1103"/>
        <v/>
      </c>
      <c r="C12589" s="138" t="str">
        <f t="shared" si="1104"/>
        <v/>
      </c>
      <c r="D12589" s="138" t="str">
        <f t="shared" si="1102"/>
        <v/>
      </c>
      <c r="E12589" s="138" t="str">
        <f t="shared" si="1105"/>
        <v/>
      </c>
      <c r="F12589" s="138" t="str">
        <f t="shared" si="1106"/>
        <v/>
      </c>
      <c r="G12589" s="153" t="s">
        <v>51</v>
      </c>
      <c r="H12589" s="160"/>
      <c r="I12589" s="160" t="s">
        <v>47</v>
      </c>
      <c r="J12589" s="160" t="s">
        <v>52</v>
      </c>
      <c r="K12589" s="160" t="s">
        <v>27</v>
      </c>
      <c r="L12589" s="154" t="str">
        <f>IF(OpenLCAbasic!K12589="CTUh", "Fill in Manually",IF(OR(K12589="Unit", K12589=""), "", INDEX(LookUps!$E$5:$E$12, MATCH(OpenLCAbasic!K12589,LookUps!$D$5:$D$12,0))))</f>
        <v/>
      </c>
      <c r="M12589" s="154" t="str">
        <f t="shared" si="1101"/>
        <v>____Process__</v>
      </c>
    </row>
    <row r="12590" spans="1:13" s="120" customFormat="1" x14ac:dyDescent="0.25">
      <c r="A12590" s="119"/>
      <c r="B12590" s="138" t="str">
        <f t="shared" si="1103"/>
        <v>Aerated Static Pile</v>
      </c>
      <c r="C12590" s="138" t="str">
        <f t="shared" si="1104"/>
        <v>Without Amendment</v>
      </c>
      <c r="D12590" s="138" t="str">
        <f t="shared" si="1102"/>
        <v>High_Base</v>
      </c>
      <c r="E12590" s="138" t="str">
        <f t="shared" si="1105"/>
        <v>Base</v>
      </c>
      <c r="F12590" s="138" t="str">
        <f t="shared" si="1106"/>
        <v>Upgraded</v>
      </c>
      <c r="G12590" s="153"/>
      <c r="H12590" s="210">
        <v>9.8805999999999994</v>
      </c>
      <c r="I12590" s="160" t="s">
        <v>55</v>
      </c>
      <c r="J12590" s="160">
        <v>2.33E-3</v>
      </c>
      <c r="K12590" s="160" t="s">
        <v>145</v>
      </c>
      <c r="L12590" s="154" t="str">
        <f>IF(OpenLCAbasic!K12590="CTUh", "Fill in Manually",IF(OR(K12590="Unit", K12590=""), "", INDEX(LookUps!$E$5:$E$12, MATCH(OpenLCAbasic!K12590,LookUps!$D$5:$D$12,0))))</f>
        <v>Particulate Matter Formation Potential (PMFP) - kg PM2.5 eq</v>
      </c>
      <c r="M12590" s="154" t="str">
        <f t="shared" si="1101"/>
        <v>Base_High_Base_Upgraded_Particulate Matter Formation Potential (PMFP) - kg PM2.5 eq_Aeration Tanks; wastewater treatment unit; at updated plant - US_Without Amendment_Aerated Static Pile</v>
      </c>
    </row>
    <row r="12591" spans="1:13" s="120" customFormat="1" x14ac:dyDescent="0.25">
      <c r="A12591" s="119"/>
      <c r="B12591" s="138" t="str">
        <f t="shared" si="1103"/>
        <v>Aerated Static Pile</v>
      </c>
      <c r="C12591" s="138" t="str">
        <f t="shared" si="1104"/>
        <v>Without Amendment</v>
      </c>
      <c r="D12591" s="138" t="str">
        <f t="shared" si="1102"/>
        <v>High_Base</v>
      </c>
      <c r="E12591" s="138" t="str">
        <f t="shared" si="1105"/>
        <v>Base</v>
      </c>
      <c r="F12591" s="138" t="str">
        <f t="shared" si="1106"/>
        <v>Upgraded</v>
      </c>
      <c r="G12591" s="153"/>
      <c r="H12591" s="210">
        <v>2.8752</v>
      </c>
      <c r="I12591" s="160" t="s">
        <v>54</v>
      </c>
      <c r="J12591" s="160">
        <v>6.8000000000000005E-4</v>
      </c>
      <c r="K12591" s="160" t="s">
        <v>145</v>
      </c>
      <c r="L12591" s="154" t="str">
        <f>IF(OpenLCAbasic!K12591="CTUh", "Fill in Manually",IF(OR(K12591="Unit", K12591=""), "", INDEX(LookUps!$E$5:$E$12, MATCH(OpenLCAbasic!K12591,LookUps!$D$5:$D$12,0))))</f>
        <v>Particulate Matter Formation Potential (PMFP) - kg PM2.5 eq</v>
      </c>
      <c r="M12591" s="154" t="str">
        <f t="shared" si="1101"/>
        <v>Base_High_Base_Upgraded_Particulate Matter Formation Potential (PMFP) - kg PM2.5 eq_Clear Cove Primary Clarification; wastewater treatment unit; at updated plant - US_Without Amendment_Aerated Static Pile</v>
      </c>
    </row>
    <row r="12592" spans="1:13" s="120" customFormat="1" x14ac:dyDescent="0.25">
      <c r="A12592" s="119"/>
      <c r="B12592" s="138" t="str">
        <f t="shared" si="1103"/>
        <v>Aerated Static Pile</v>
      </c>
      <c r="C12592" s="138" t="str">
        <f t="shared" si="1104"/>
        <v>Without Amendment</v>
      </c>
      <c r="D12592" s="138" t="str">
        <f t="shared" si="1102"/>
        <v>High_Base</v>
      </c>
      <c r="E12592" s="138" t="str">
        <f t="shared" si="1105"/>
        <v>Base</v>
      </c>
      <c r="F12592" s="138" t="str">
        <f t="shared" si="1106"/>
        <v>Upgraded</v>
      </c>
      <c r="G12592" s="153"/>
      <c r="H12592" s="210">
        <v>2.5026999999999999</v>
      </c>
      <c r="I12592" s="160" t="s">
        <v>58</v>
      </c>
      <c r="J12592" s="160">
        <v>5.9000000000000003E-4</v>
      </c>
      <c r="K12592" s="160" t="s">
        <v>145</v>
      </c>
      <c r="L12592" s="154" t="str">
        <f>IF(OpenLCAbasic!K12592="CTUh", "Fill in Manually",IF(OR(K12592="Unit", K12592=""), "", INDEX(LookUps!$E$5:$E$12, MATCH(OpenLCAbasic!K12592,LookUps!$D$5:$D$12,0))))</f>
        <v>Particulate Matter Formation Potential (PMFP) - kg PM2.5 eq</v>
      </c>
      <c r="M12592" s="154" t="str">
        <f t="shared" si="1101"/>
        <v>Base_High_Base_Upgraded_Particulate Matter Formation Potential (PMFP) - kg PM2.5 eq_Pre-Anoxic &amp; Swing tank; wastewater treatment unit; at updated plant - US_Without Amendment_Aerated Static Pile</v>
      </c>
    </row>
    <row r="12593" spans="1:13" s="120" customFormat="1" x14ac:dyDescent="0.25">
      <c r="A12593" s="119"/>
      <c r="B12593" s="138" t="str">
        <f t="shared" si="1103"/>
        <v>Aerated Static Pile</v>
      </c>
      <c r="C12593" s="138" t="str">
        <f t="shared" si="1104"/>
        <v>Without Amendment</v>
      </c>
      <c r="D12593" s="138" t="str">
        <f t="shared" si="1102"/>
        <v>High_Base</v>
      </c>
      <c r="E12593" s="138" t="str">
        <f t="shared" si="1105"/>
        <v>Base</v>
      </c>
      <c r="F12593" s="138" t="str">
        <f t="shared" si="1106"/>
        <v>Upgraded</v>
      </c>
      <c r="G12593" s="153"/>
      <c r="H12593" s="210">
        <v>1.9755</v>
      </c>
      <c r="I12593" s="160" t="s">
        <v>53</v>
      </c>
      <c r="J12593" s="160">
        <v>4.6999999999999999E-4</v>
      </c>
      <c r="K12593" s="160" t="s">
        <v>145</v>
      </c>
      <c r="L12593" s="154" t="str">
        <f>IF(OpenLCAbasic!K12593="CTUh", "Fill in Manually",IF(OR(K12593="Unit", K12593=""), "", INDEX(LookUps!$E$5:$E$12, MATCH(OpenLCAbasic!K12593,LookUps!$D$5:$D$12,0))))</f>
        <v>Particulate Matter Formation Potential (PMFP) - kg PM2.5 eq</v>
      </c>
      <c r="M12593" s="154" t="str">
        <f t="shared" si="1101"/>
        <v>Base_High_Base_Upgraded_Particulate Matter Formation Potential (PMFP) - kg PM2.5 eq_Wet Well and Sump Station; wastewater treatment unit; at updated plant - US_Without Amendment_Aerated Static Pile</v>
      </c>
    </row>
    <row r="12594" spans="1:13" s="120" customFormat="1" x14ac:dyDescent="0.25">
      <c r="A12594" s="119"/>
      <c r="B12594" s="138" t="str">
        <f t="shared" si="1103"/>
        <v>Aerated Static Pile</v>
      </c>
      <c r="C12594" s="138" t="str">
        <f t="shared" si="1104"/>
        <v>Without Amendment</v>
      </c>
      <c r="D12594" s="138" t="str">
        <f t="shared" si="1102"/>
        <v>High_Base</v>
      </c>
      <c r="E12594" s="138" t="str">
        <f t="shared" si="1105"/>
        <v>Base</v>
      </c>
      <c r="F12594" s="138" t="str">
        <f t="shared" si="1106"/>
        <v>Upgraded</v>
      </c>
      <c r="G12594" s="153"/>
      <c r="H12594" s="210">
        <v>1.8539000000000001</v>
      </c>
      <c r="I12594" s="160" t="s">
        <v>435</v>
      </c>
      <c r="J12594" s="160">
        <v>4.4000000000000002E-4</v>
      </c>
      <c r="K12594" s="160" t="s">
        <v>145</v>
      </c>
      <c r="L12594" s="154" t="str">
        <f>IF(OpenLCAbasic!K12594="CTUh", "Fill in Manually",IF(OR(K12594="Unit", K12594=""), "", INDEX(LookUps!$E$5:$E$12, MATCH(OpenLCAbasic!K12594,LookUps!$D$5:$D$12,0))))</f>
        <v>Particulate Matter Formation Potential (PMFP) - kg PM2.5 eq</v>
      </c>
      <c r="M12594" s="154" t="str">
        <f t="shared" si="1101"/>
        <v>Base_High_Base_Upgraded_Particulate Matter Formation Potential (PMFP) - kg PM2.5 eq_Biosolids composting; aerated static pile; wastewater treatment unit; at updated plant - US_Without Amendment_Aerated Static Pile</v>
      </c>
    </row>
    <row r="12595" spans="1:13" s="120" customFormat="1" x14ac:dyDescent="0.25">
      <c r="A12595" s="119"/>
      <c r="B12595" s="138" t="str">
        <f t="shared" si="1103"/>
        <v>Aerated Static Pile</v>
      </c>
      <c r="C12595" s="138" t="str">
        <f t="shared" si="1104"/>
        <v>Without Amendment</v>
      </c>
      <c r="D12595" s="138" t="str">
        <f t="shared" si="1102"/>
        <v>High_Base</v>
      </c>
      <c r="E12595" s="138" t="str">
        <f t="shared" si="1105"/>
        <v>Base</v>
      </c>
      <c r="F12595" s="138" t="str">
        <f t="shared" si="1106"/>
        <v>Upgraded</v>
      </c>
      <c r="G12595" s="153"/>
      <c r="H12595" s="210">
        <v>1.4043000000000001</v>
      </c>
      <c r="I12595" s="160" t="s">
        <v>167</v>
      </c>
      <c r="J12595" s="160">
        <v>3.3E-4</v>
      </c>
      <c r="K12595" s="160" t="s">
        <v>145</v>
      </c>
      <c r="L12595" s="154" t="str">
        <f>IF(OpenLCAbasic!K12595="CTUh", "Fill in Manually",IF(OR(K12595="Unit", K12595=""), "", INDEX(LookUps!$E$5:$E$12, MATCH(OpenLCAbasic!K12595,LookUps!$D$5:$D$12,0))))</f>
        <v>Particulate Matter Formation Potential (PMFP) - kg PM2.5 eq</v>
      </c>
      <c r="M12595" s="154" t="str">
        <f t="shared" si="1101"/>
        <v>Base_High_Base_Upgraded_Particulate Matter Formation Potential (PMFP) - kg PM2.5 eq_Waste Receiving and Holding; wastewater treatment unit; at updated plant - US_Without Amendment_Aerated Static Pile</v>
      </c>
    </row>
    <row r="12596" spans="1:13" s="120" customFormat="1" x14ac:dyDescent="0.25">
      <c r="A12596" s="119"/>
      <c r="B12596" s="138" t="str">
        <f t="shared" si="1103"/>
        <v>Aerated Static Pile</v>
      </c>
      <c r="C12596" s="138" t="str">
        <f t="shared" si="1104"/>
        <v>Without Amendment</v>
      </c>
      <c r="D12596" s="138" t="str">
        <f t="shared" si="1102"/>
        <v>High_Base</v>
      </c>
      <c r="E12596" s="138" t="str">
        <f t="shared" si="1105"/>
        <v>Base</v>
      </c>
      <c r="F12596" s="138" t="str">
        <f t="shared" si="1106"/>
        <v>Upgraded</v>
      </c>
      <c r="G12596" s="153"/>
      <c r="H12596" s="210">
        <v>1.1292</v>
      </c>
      <c r="I12596" s="160" t="s">
        <v>147</v>
      </c>
      <c r="J12596" s="160">
        <v>2.7E-4</v>
      </c>
      <c r="K12596" s="160" t="s">
        <v>145</v>
      </c>
      <c r="L12596" s="154" t="str">
        <f>IF(OpenLCAbasic!K12596="CTUh", "Fill in Manually",IF(OR(K12596="Unit", K12596=""), "", INDEX(LookUps!$E$5:$E$12, MATCH(OpenLCAbasic!K12596,LookUps!$D$5:$D$12,0))))</f>
        <v>Particulate Matter Formation Potential (PMFP) - kg PM2.5 eq</v>
      </c>
      <c r="M12596" s="154" t="str">
        <f t="shared" si="1101"/>
        <v>Base_High_Base_Upgraded_Particulate Matter Formation Potential (PMFP) - kg PM2.5 eq_Influent Pump Station; wastewater treatment unit; at updated plant - US_Without Amendment_Aerated Static Pile</v>
      </c>
    </row>
    <row r="12597" spans="1:13" s="120" customFormat="1" x14ac:dyDescent="0.25">
      <c r="A12597" s="119"/>
      <c r="B12597" s="138" t="str">
        <f t="shared" si="1103"/>
        <v>Aerated Static Pile</v>
      </c>
      <c r="C12597" s="138" t="str">
        <f t="shared" si="1104"/>
        <v>Without Amendment</v>
      </c>
      <c r="D12597" s="138" t="str">
        <f t="shared" si="1102"/>
        <v>High_Base</v>
      </c>
      <c r="E12597" s="138" t="str">
        <f t="shared" si="1105"/>
        <v>Base</v>
      </c>
      <c r="F12597" s="138" t="str">
        <f t="shared" si="1106"/>
        <v>Upgraded</v>
      </c>
      <c r="G12597" s="153"/>
      <c r="H12597" s="210">
        <v>0.83460000000000001</v>
      </c>
      <c r="I12597" s="160" t="s">
        <v>60</v>
      </c>
      <c r="J12597" s="160">
        <v>2.0000000000000001E-4</v>
      </c>
      <c r="K12597" s="160" t="s">
        <v>145</v>
      </c>
      <c r="L12597" s="154" t="str">
        <f>IF(OpenLCAbasic!K12597="CTUh", "Fill in Manually",IF(OR(K12597="Unit", K12597=""), "", INDEX(LookUps!$E$5:$E$12, MATCH(OpenLCAbasic!K12597,LookUps!$D$5:$D$12,0))))</f>
        <v>Particulate Matter Formation Potential (PMFP) - kg PM2.5 eq</v>
      </c>
      <c r="M12597" s="154" t="str">
        <f t="shared" si="1101"/>
        <v>Base_High_Base_Upgraded_Particulate Matter Formation Potential (PMFP) - kg PM2.5 eq_Belt filter press; wastewater treatment unit; at updated plant - US_Without Amendment_Aerated Static Pile</v>
      </c>
    </row>
    <row r="12598" spans="1:13" s="120" customFormat="1" x14ac:dyDescent="0.25">
      <c r="A12598" s="119"/>
      <c r="B12598" s="138" t="str">
        <f t="shared" si="1103"/>
        <v>Aerated Static Pile</v>
      </c>
      <c r="C12598" s="138" t="str">
        <f t="shared" si="1104"/>
        <v>Without Amendment</v>
      </c>
      <c r="D12598" s="138" t="str">
        <f t="shared" si="1102"/>
        <v>High_Base</v>
      </c>
      <c r="E12598" s="138" t="str">
        <f t="shared" si="1105"/>
        <v>Base</v>
      </c>
      <c r="F12598" s="138" t="str">
        <f t="shared" si="1106"/>
        <v>Upgraded</v>
      </c>
      <c r="G12598" s="153"/>
      <c r="H12598" s="210">
        <v>0.70469999999999999</v>
      </c>
      <c r="I12598" s="160" t="s">
        <v>128</v>
      </c>
      <c r="J12598" s="160">
        <v>1.7000000000000001E-4</v>
      </c>
      <c r="K12598" s="160" t="s">
        <v>145</v>
      </c>
      <c r="L12598" s="154" t="str">
        <f>IF(OpenLCAbasic!K12598="CTUh", "Fill in Manually",IF(OR(K12598="Unit", K12598=""), "", INDEX(LookUps!$E$5:$E$12, MATCH(OpenLCAbasic!K12598,LookUps!$D$5:$D$12,0))))</f>
        <v>Particulate Matter Formation Potential (PMFP) - kg PM2.5 eq</v>
      </c>
      <c r="M12598" s="154" t="str">
        <f t="shared" si="1101"/>
        <v>Base_High_Base_Upgraded_Particulate Matter Formation Potential (PMFP) - kg PM2.5 eq_Wastewater collection; operation and infrastructure; m3 wastewater_Without Amendment_Aerated Static Pile</v>
      </c>
    </row>
    <row r="12599" spans="1:13" s="120" customFormat="1" x14ac:dyDescent="0.25">
      <c r="A12599" s="119"/>
      <c r="B12599" s="138" t="str">
        <f t="shared" si="1103"/>
        <v>Aerated Static Pile</v>
      </c>
      <c r="C12599" s="138" t="str">
        <f t="shared" si="1104"/>
        <v>Without Amendment</v>
      </c>
      <c r="D12599" s="138" t="str">
        <f t="shared" si="1102"/>
        <v>High_Base</v>
      </c>
      <c r="E12599" s="138" t="str">
        <f t="shared" si="1105"/>
        <v>Base</v>
      </c>
      <c r="F12599" s="138" t="str">
        <f t="shared" si="1106"/>
        <v>Upgraded</v>
      </c>
      <c r="G12599" s="153"/>
      <c r="H12599" s="210">
        <v>0.40279999999999999</v>
      </c>
      <c r="I12599" s="160" t="s">
        <v>57</v>
      </c>
      <c r="J12599" s="211">
        <v>9.5153800000000004E-5</v>
      </c>
      <c r="K12599" s="160" t="s">
        <v>145</v>
      </c>
      <c r="L12599" s="154" t="str">
        <f>IF(OpenLCAbasic!K12599="CTUh", "Fill in Manually",IF(OR(K12599="Unit", K12599=""), "", INDEX(LookUps!$E$5:$E$12, MATCH(OpenLCAbasic!K12599,LookUps!$D$5:$D$12,0))))</f>
        <v>Particulate Matter Formation Potential (PMFP) - kg PM2.5 eq</v>
      </c>
      <c r="M12599" s="154" t="str">
        <f t="shared" si="1101"/>
        <v>Base_High_Base_Upgraded_Particulate Matter Formation Potential (PMFP) - kg PM2.5 eq_Gravity Belt Thickener; wastewater treatment unit; at updated plant - US_Without Amendment_Aerated Static Pile</v>
      </c>
    </row>
    <row r="12600" spans="1:13" s="120" customFormat="1" x14ac:dyDescent="0.25">
      <c r="A12600" s="119"/>
      <c r="B12600" s="138" t="str">
        <f t="shared" si="1103"/>
        <v>Aerated Static Pile</v>
      </c>
      <c r="C12600" s="138" t="str">
        <f t="shared" si="1104"/>
        <v>Without Amendment</v>
      </c>
      <c r="D12600" s="138" t="str">
        <f t="shared" si="1102"/>
        <v>High_Base</v>
      </c>
      <c r="E12600" s="138" t="str">
        <f t="shared" si="1105"/>
        <v>Base</v>
      </c>
      <c r="F12600" s="138" t="str">
        <f t="shared" si="1106"/>
        <v>Upgraded</v>
      </c>
      <c r="G12600" s="153"/>
      <c r="H12600" s="210">
        <v>0.29609999999999997</v>
      </c>
      <c r="I12600" s="160" t="s">
        <v>59</v>
      </c>
      <c r="J12600" s="211">
        <v>6.9942200000000003E-5</v>
      </c>
      <c r="K12600" s="160" t="s">
        <v>145</v>
      </c>
      <c r="L12600" s="154" t="str">
        <f>IF(OpenLCAbasic!K12600="CTUh", "Fill in Manually",IF(OR(K12600="Unit", K12600=""), "", INDEX(LookUps!$E$5:$E$12, MATCH(OpenLCAbasic!K12600,LookUps!$D$5:$D$12,0))))</f>
        <v>Particulate Matter Formation Potential (PMFP) - kg PM2.5 eq</v>
      </c>
      <c r="M12600" s="154" t="str">
        <f t="shared" si="1101"/>
        <v>Base_High_Base_Upgraded_Particulate Matter Formation Potential (PMFP) - kg PM2.5 eq_Blend Tank; wastewater treatment unit; at updated plant - US_Without Amendment_Aerated Static Pile</v>
      </c>
    </row>
    <row r="12601" spans="1:13" s="120" customFormat="1" x14ac:dyDescent="0.25">
      <c r="A12601" s="119"/>
      <c r="B12601" s="138" t="str">
        <f t="shared" si="1103"/>
        <v>Aerated Static Pile</v>
      </c>
      <c r="C12601" s="138" t="str">
        <f t="shared" si="1104"/>
        <v>Without Amendment</v>
      </c>
      <c r="D12601" s="138" t="str">
        <f t="shared" si="1102"/>
        <v>High_Base</v>
      </c>
      <c r="E12601" s="138" t="str">
        <f t="shared" si="1105"/>
        <v>Base</v>
      </c>
      <c r="F12601" s="138" t="str">
        <f t="shared" si="1106"/>
        <v>Upgraded</v>
      </c>
      <c r="G12601" s="153"/>
      <c r="H12601" s="210">
        <v>0.2346</v>
      </c>
      <c r="I12601" s="160" t="s">
        <v>62</v>
      </c>
      <c r="J12601" s="211">
        <v>5.5410700000000001E-5</v>
      </c>
      <c r="K12601" s="160" t="s">
        <v>145</v>
      </c>
      <c r="L12601" s="154" t="str">
        <f>IF(OpenLCAbasic!K12601="CTUh", "Fill in Manually",IF(OR(K12601="Unit", K12601=""), "", INDEX(LookUps!$E$5:$E$12, MATCH(OpenLCAbasic!K12601,LookUps!$D$5:$D$12,0))))</f>
        <v>Particulate Matter Formation Potential (PMFP) - kg PM2.5 eq</v>
      </c>
      <c r="M12601" s="154" t="str">
        <f t="shared" si="1101"/>
        <v>Base_High_Base_Upgraded_Particulate Matter Formation Potential (PMFP) - kg PM2.5 eq_Land application of compost; wastewater treatment unit; at updated plant - US_Without Amendment_Aerated Static Pile</v>
      </c>
    </row>
    <row r="12602" spans="1:13" s="120" customFormat="1" x14ac:dyDescent="0.25">
      <c r="A12602" s="119"/>
      <c r="B12602" s="138" t="str">
        <f t="shared" si="1103"/>
        <v>Aerated Static Pile</v>
      </c>
      <c r="C12602" s="138" t="str">
        <f t="shared" si="1104"/>
        <v>Without Amendment</v>
      </c>
      <c r="D12602" s="138" t="str">
        <f t="shared" si="1102"/>
        <v>High_Base</v>
      </c>
      <c r="E12602" s="138" t="str">
        <f t="shared" si="1105"/>
        <v>Base</v>
      </c>
      <c r="F12602" s="138" t="str">
        <f t="shared" si="1106"/>
        <v>Upgraded</v>
      </c>
      <c r="G12602" s="153"/>
      <c r="H12602" s="210">
        <v>0.21160000000000001</v>
      </c>
      <c r="I12602" s="160" t="s">
        <v>48</v>
      </c>
      <c r="J12602" s="211">
        <v>4.99741E-5</v>
      </c>
      <c r="K12602" s="160" t="s">
        <v>145</v>
      </c>
      <c r="L12602" s="154" t="str">
        <f>IF(OpenLCAbasic!K12602="CTUh", "Fill in Manually",IF(OR(K12602="Unit", K12602=""), "", INDEX(LookUps!$E$5:$E$12, MATCH(OpenLCAbasic!K12602,LookUps!$D$5:$D$12,0))))</f>
        <v>Particulate Matter Formation Potential (PMFP) - kg PM2.5 eq</v>
      </c>
      <c r="M12602" s="154" t="str">
        <f t="shared" si="1101"/>
        <v>Base_High_Base_Upgraded_Particulate Matter Formation Potential (PMFP) - kg PM2.5 eq_Effluent release; wastewater treatment unit; at surface water; m3 wastewater - US_Without Amendment_Aerated Static Pile</v>
      </c>
    </row>
    <row r="12603" spans="1:13" s="120" customFormat="1" x14ac:dyDescent="0.25">
      <c r="A12603" s="119"/>
      <c r="B12603" s="138" t="str">
        <f t="shared" si="1103"/>
        <v>Aerated Static Pile</v>
      </c>
      <c r="C12603" s="138" t="str">
        <f t="shared" si="1104"/>
        <v>Without Amendment</v>
      </c>
      <c r="D12603" s="138" t="str">
        <f t="shared" si="1102"/>
        <v>High_Base</v>
      </c>
      <c r="E12603" s="138" t="str">
        <f t="shared" si="1105"/>
        <v>Base</v>
      </c>
      <c r="F12603" s="138" t="str">
        <f t="shared" si="1106"/>
        <v>Upgraded</v>
      </c>
      <c r="G12603" s="153"/>
      <c r="H12603" s="210">
        <v>0.14630000000000001</v>
      </c>
      <c r="I12603" s="160" t="s">
        <v>168</v>
      </c>
      <c r="J12603" s="211">
        <v>3.4562199999999999E-5</v>
      </c>
      <c r="K12603" s="160" t="s">
        <v>145</v>
      </c>
      <c r="L12603" s="154" t="str">
        <f>IF(OpenLCAbasic!K12603="CTUh", "Fill in Manually",IF(OR(K12603="Unit", K12603=""), "", INDEX(LookUps!$E$5:$E$12, MATCH(OpenLCAbasic!K12603,LookUps!$D$5:$D$12,0))))</f>
        <v>Particulate Matter Formation Potential (PMFP) - kg PM2.5 eq</v>
      </c>
      <c r="M12603" s="154" t="str">
        <f t="shared" si="1101"/>
        <v>Base_High_Base_Upgraded_Particulate Matter Formation Potential (PMFP) - kg PM2.5 eq_ClearCove SCP; wastewater treatment unit; at updated plant - US_Without Amendment_Aerated Static Pile</v>
      </c>
    </row>
    <row r="12604" spans="1:13" s="120" customFormat="1" x14ac:dyDescent="0.25">
      <c r="A12604" s="119"/>
      <c r="B12604" s="138" t="str">
        <f t="shared" si="1103"/>
        <v>Aerated Static Pile</v>
      </c>
      <c r="C12604" s="138" t="str">
        <f t="shared" si="1104"/>
        <v>Without Amendment</v>
      </c>
      <c r="D12604" s="138" t="str">
        <f t="shared" si="1102"/>
        <v>High_Base</v>
      </c>
      <c r="E12604" s="138" t="str">
        <f t="shared" si="1105"/>
        <v>Base</v>
      </c>
      <c r="F12604" s="138" t="str">
        <f t="shared" si="1106"/>
        <v>Upgraded</v>
      </c>
      <c r="G12604" s="153"/>
      <c r="H12604" s="210">
        <v>3.73E-2</v>
      </c>
      <c r="I12604" s="160" t="s">
        <v>148</v>
      </c>
      <c r="J12604" s="211">
        <v>8.8212999999999997E-6</v>
      </c>
      <c r="K12604" s="160" t="s">
        <v>145</v>
      </c>
      <c r="L12604" s="154" t="str">
        <f>IF(OpenLCAbasic!K12604="CTUh", "Fill in Manually",IF(OR(K12604="Unit", K12604=""), "", INDEX(LookUps!$E$5:$E$12, MATCH(OpenLCAbasic!K12604,LookUps!$D$5:$D$12,0))))</f>
        <v>Particulate Matter Formation Potential (PMFP) - kg PM2.5 eq</v>
      </c>
      <c r="M12604" s="154" t="str">
        <f t="shared" si="1101"/>
        <v>Base_High_Base_Upgraded_Particulate Matter Formation Potential (PMFP) - kg PM2.5 eq_Control Building; at upgraded wastewater treatment plant - US_Without Amendment_Aerated Static Pile</v>
      </c>
    </row>
    <row r="12605" spans="1:13" s="120" customFormat="1" x14ac:dyDescent="0.25">
      <c r="A12605" s="119"/>
      <c r="B12605" s="138" t="str">
        <f t="shared" si="1103"/>
        <v>Aerated Static Pile</v>
      </c>
      <c r="C12605" s="138" t="str">
        <f t="shared" si="1104"/>
        <v>Without Amendment</v>
      </c>
      <c r="D12605" s="138" t="str">
        <f t="shared" si="1102"/>
        <v>High_Base</v>
      </c>
      <c r="E12605" s="138" t="str">
        <f t="shared" si="1105"/>
        <v>Base</v>
      </c>
      <c r="F12605" s="138" t="str">
        <f t="shared" si="1106"/>
        <v>Upgraded</v>
      </c>
      <c r="G12605" s="153"/>
      <c r="H12605" s="210">
        <v>-25.4894</v>
      </c>
      <c r="I12605" s="160" t="s">
        <v>149</v>
      </c>
      <c r="J12605" s="160">
        <v>-6.0200000000000002E-3</v>
      </c>
      <c r="K12605" s="160" t="s">
        <v>145</v>
      </c>
      <c r="L12605" s="154" t="str">
        <f>IF(OpenLCAbasic!K12605="CTUh", "Fill in Manually",IF(OR(K12605="Unit", K12605=""), "", INDEX(LookUps!$E$5:$E$12, MATCH(OpenLCAbasic!K12605,LookUps!$D$5:$D$12,0))))</f>
        <v>Particulate Matter Formation Potential (PMFP) - kg PM2.5 eq</v>
      </c>
      <c r="M12605" s="154" t="str">
        <f t="shared" si="1101"/>
        <v>Base_High_Base_Upgraded_Particulate Matter Formation Potential (PMFP) - kg PM2.5 eq_Anaerobic Digestion; wastewater treatment unit; at updated plant - US_Without Amendment_Aerated Static Pile</v>
      </c>
    </row>
    <row r="12606" spans="1:13" s="120" customFormat="1" x14ac:dyDescent="0.25">
      <c r="A12606" s="119"/>
      <c r="B12606" s="138" t="str">
        <f t="shared" si="1103"/>
        <v/>
      </c>
      <c r="C12606" s="138" t="str">
        <f t="shared" si="1104"/>
        <v/>
      </c>
      <c r="D12606" s="138" t="str">
        <f t="shared" si="1102"/>
        <v/>
      </c>
      <c r="E12606" s="138" t="str">
        <f t="shared" si="1105"/>
        <v/>
      </c>
      <c r="F12606" s="138" t="str">
        <f t="shared" si="1106"/>
        <v/>
      </c>
      <c r="G12606" s="153" t="s">
        <v>51</v>
      </c>
      <c r="H12606" s="160"/>
      <c r="I12606" s="160" t="s">
        <v>47</v>
      </c>
      <c r="J12606" s="160" t="s">
        <v>52</v>
      </c>
      <c r="K12606" s="160" t="s">
        <v>27</v>
      </c>
      <c r="L12606" s="154" t="str">
        <f>IF(OpenLCAbasic!K12606="CTUh", "Fill in Manually",IF(OR(K12606="Unit", K12606=""), "", INDEX(LookUps!$E$5:$E$12, MATCH(OpenLCAbasic!K12606,LookUps!$D$5:$D$12,0))))</f>
        <v/>
      </c>
      <c r="M12606" s="154" t="str">
        <f t="shared" si="1101"/>
        <v>____Process__</v>
      </c>
    </row>
    <row r="12607" spans="1:13" s="120" customFormat="1" x14ac:dyDescent="0.25">
      <c r="A12607" s="119"/>
      <c r="B12607" s="138" t="str">
        <f t="shared" si="1103"/>
        <v>Aerated Static Pile</v>
      </c>
      <c r="C12607" s="138" t="str">
        <f t="shared" si="1104"/>
        <v>Without Amendment</v>
      </c>
      <c r="D12607" s="138" t="str">
        <f t="shared" si="1102"/>
        <v>High_Base</v>
      </c>
      <c r="E12607" s="138" t="str">
        <f t="shared" si="1105"/>
        <v>Base</v>
      </c>
      <c r="F12607" s="138" t="str">
        <f t="shared" si="1106"/>
        <v>Upgraded</v>
      </c>
      <c r="G12607" s="153"/>
      <c r="H12607" s="210">
        <v>9.9854000000000003</v>
      </c>
      <c r="I12607" s="160" t="s">
        <v>55</v>
      </c>
      <c r="J12607" s="160">
        <v>0.16577</v>
      </c>
      <c r="K12607" s="160" t="s">
        <v>25</v>
      </c>
      <c r="L12607" s="154" t="str">
        <f>IF(OpenLCAbasic!K12607="CTUh", "Fill in Manually",IF(OR(K12607="Unit", K12607=""), "", INDEX(LookUps!$E$5:$E$12, MATCH(OpenLCAbasic!K12607,LookUps!$D$5:$D$12,0))))</f>
        <v>Smog Formation Potential (SFP) - kg O3 eq</v>
      </c>
      <c r="M12607" s="154" t="str">
        <f t="shared" si="1101"/>
        <v>Base_High_Base_Upgraded_Smog Formation Potential (SFP) - kg O3 eq_Aeration Tanks; wastewater treatment unit; at updated plant - US_Without Amendment_Aerated Static Pile</v>
      </c>
    </row>
    <row r="12608" spans="1:13" s="120" customFormat="1" x14ac:dyDescent="0.25">
      <c r="A12608" s="119"/>
      <c r="B12608" s="138" t="str">
        <f t="shared" si="1103"/>
        <v>Aerated Static Pile</v>
      </c>
      <c r="C12608" s="138" t="str">
        <f t="shared" si="1104"/>
        <v>Without Amendment</v>
      </c>
      <c r="D12608" s="138" t="str">
        <f t="shared" si="1102"/>
        <v>High_Base</v>
      </c>
      <c r="E12608" s="138" t="str">
        <f t="shared" si="1105"/>
        <v>Base</v>
      </c>
      <c r="F12608" s="138" t="str">
        <f t="shared" si="1106"/>
        <v>Upgraded</v>
      </c>
      <c r="G12608" s="153"/>
      <c r="H12608" s="210">
        <v>2.8957000000000002</v>
      </c>
      <c r="I12608" s="160" t="s">
        <v>54</v>
      </c>
      <c r="J12608" s="160">
        <v>4.8070000000000002E-2</v>
      </c>
      <c r="K12608" s="160" t="s">
        <v>25</v>
      </c>
      <c r="L12608" s="154" t="str">
        <f>IF(OpenLCAbasic!K12608="CTUh", "Fill in Manually",IF(OR(K12608="Unit", K12608=""), "", INDEX(LookUps!$E$5:$E$12, MATCH(OpenLCAbasic!K12608,LookUps!$D$5:$D$12,0))))</f>
        <v>Smog Formation Potential (SFP) - kg O3 eq</v>
      </c>
      <c r="M12608" s="154" t="str">
        <f t="shared" si="1101"/>
        <v>Base_High_Base_Upgraded_Smog Formation Potential (SFP) - kg O3 eq_Clear Cove Primary Clarification; wastewater treatment unit; at updated plant - US_Without Amendment_Aerated Static Pile</v>
      </c>
    </row>
    <row r="12609" spans="1:13" s="120" customFormat="1" x14ac:dyDescent="0.25">
      <c r="A12609" s="119"/>
      <c r="B12609" s="138" t="str">
        <f t="shared" si="1103"/>
        <v>Aerated Static Pile</v>
      </c>
      <c r="C12609" s="138" t="str">
        <f t="shared" si="1104"/>
        <v>Without Amendment</v>
      </c>
      <c r="D12609" s="138" t="str">
        <f t="shared" si="1102"/>
        <v>High_Base</v>
      </c>
      <c r="E12609" s="138" t="str">
        <f t="shared" si="1105"/>
        <v>Base</v>
      </c>
      <c r="F12609" s="138" t="str">
        <f t="shared" si="1106"/>
        <v>Upgraded</v>
      </c>
      <c r="G12609" s="153"/>
      <c r="H12609" s="210">
        <v>2.5354000000000001</v>
      </c>
      <c r="I12609" s="160" t="s">
        <v>58</v>
      </c>
      <c r="J12609" s="160">
        <v>4.2090000000000002E-2</v>
      </c>
      <c r="K12609" s="160" t="s">
        <v>25</v>
      </c>
      <c r="L12609" s="154" t="str">
        <f>IF(OpenLCAbasic!K12609="CTUh", "Fill in Manually",IF(OR(K12609="Unit", K12609=""), "", INDEX(LookUps!$E$5:$E$12, MATCH(OpenLCAbasic!K12609,LookUps!$D$5:$D$12,0))))</f>
        <v>Smog Formation Potential (SFP) - kg O3 eq</v>
      </c>
      <c r="M12609" s="154" t="str">
        <f t="shared" si="1101"/>
        <v>Base_High_Base_Upgraded_Smog Formation Potential (SFP) - kg O3 eq_Pre-Anoxic &amp; Swing tank; wastewater treatment unit; at updated plant - US_Without Amendment_Aerated Static Pile</v>
      </c>
    </row>
    <row r="12610" spans="1:13" s="120" customFormat="1" x14ac:dyDescent="0.25">
      <c r="A12610" s="119"/>
      <c r="B12610" s="138" t="str">
        <f t="shared" si="1103"/>
        <v>Aerated Static Pile</v>
      </c>
      <c r="C12610" s="138" t="str">
        <f t="shared" si="1104"/>
        <v>Without Amendment</v>
      </c>
      <c r="D12610" s="138" t="str">
        <f t="shared" si="1102"/>
        <v>High_Base</v>
      </c>
      <c r="E12610" s="138" t="str">
        <f t="shared" si="1105"/>
        <v>Base</v>
      </c>
      <c r="F12610" s="138" t="str">
        <f t="shared" si="1106"/>
        <v>Upgraded</v>
      </c>
      <c r="G12610" s="153"/>
      <c r="H12610" s="210">
        <v>2.0333000000000001</v>
      </c>
      <c r="I12610" s="160" t="s">
        <v>167</v>
      </c>
      <c r="J12610" s="160">
        <v>3.3759999999999998E-2</v>
      </c>
      <c r="K12610" s="160" t="s">
        <v>25</v>
      </c>
      <c r="L12610" s="154" t="str">
        <f>IF(OpenLCAbasic!K12610="CTUh", "Fill in Manually",IF(OR(K12610="Unit", K12610=""), "", INDEX(LookUps!$E$5:$E$12, MATCH(OpenLCAbasic!K12610,LookUps!$D$5:$D$12,0))))</f>
        <v>Smog Formation Potential (SFP) - kg O3 eq</v>
      </c>
      <c r="M12610" s="154" t="str">
        <f t="shared" si="1101"/>
        <v>Base_High_Base_Upgraded_Smog Formation Potential (SFP) - kg O3 eq_Waste Receiving and Holding; wastewater treatment unit; at updated plant - US_Without Amendment_Aerated Static Pile</v>
      </c>
    </row>
    <row r="12611" spans="1:13" s="120" customFormat="1" x14ac:dyDescent="0.25">
      <c r="A12611" s="119"/>
      <c r="B12611" s="138" t="str">
        <f t="shared" si="1103"/>
        <v>Aerated Static Pile</v>
      </c>
      <c r="C12611" s="138" t="str">
        <f t="shared" si="1104"/>
        <v>Without Amendment</v>
      </c>
      <c r="D12611" s="138" t="str">
        <f t="shared" si="1102"/>
        <v>High_Base</v>
      </c>
      <c r="E12611" s="138" t="str">
        <f t="shared" si="1105"/>
        <v>Base</v>
      </c>
      <c r="F12611" s="138" t="str">
        <f t="shared" si="1106"/>
        <v>Upgraded</v>
      </c>
      <c r="G12611" s="153"/>
      <c r="H12611" s="210">
        <v>1.9953000000000001</v>
      </c>
      <c r="I12611" s="160" t="s">
        <v>53</v>
      </c>
      <c r="J12611" s="160">
        <v>3.313E-2</v>
      </c>
      <c r="K12611" s="160" t="s">
        <v>25</v>
      </c>
      <c r="L12611" s="154" t="str">
        <f>IF(OpenLCAbasic!K12611="CTUh", "Fill in Manually",IF(OR(K12611="Unit", K12611=""), "", INDEX(LookUps!$E$5:$E$12, MATCH(OpenLCAbasic!K12611,LookUps!$D$5:$D$12,0))))</f>
        <v>Smog Formation Potential (SFP) - kg O3 eq</v>
      </c>
      <c r="M12611" s="154" t="str">
        <f t="shared" si="1101"/>
        <v>Base_High_Base_Upgraded_Smog Formation Potential (SFP) - kg O3 eq_Wet Well and Sump Station; wastewater treatment unit; at updated plant - US_Without Amendment_Aerated Static Pile</v>
      </c>
    </row>
    <row r="12612" spans="1:13" s="120" customFormat="1" x14ac:dyDescent="0.25">
      <c r="A12612" s="119"/>
      <c r="B12612" s="138" t="str">
        <f t="shared" si="1103"/>
        <v>Aerated Static Pile</v>
      </c>
      <c r="C12612" s="138" t="str">
        <f t="shared" si="1104"/>
        <v>Without Amendment</v>
      </c>
      <c r="D12612" s="138" t="str">
        <f t="shared" si="1102"/>
        <v>High_Base</v>
      </c>
      <c r="E12612" s="138" t="str">
        <f t="shared" si="1105"/>
        <v>Base</v>
      </c>
      <c r="F12612" s="138" t="str">
        <f t="shared" si="1106"/>
        <v>Upgraded</v>
      </c>
      <c r="G12612" s="153"/>
      <c r="H12612" s="210">
        <v>1.8273999999999999</v>
      </c>
      <c r="I12612" s="160" t="s">
        <v>435</v>
      </c>
      <c r="J12612" s="160">
        <v>3.0339999999999999E-2</v>
      </c>
      <c r="K12612" s="160" t="s">
        <v>25</v>
      </c>
      <c r="L12612" s="154" t="str">
        <f>IF(OpenLCAbasic!K12612="CTUh", "Fill in Manually",IF(OR(K12612="Unit", K12612=""), "", INDEX(LookUps!$E$5:$E$12, MATCH(OpenLCAbasic!K12612,LookUps!$D$5:$D$12,0))))</f>
        <v>Smog Formation Potential (SFP) - kg O3 eq</v>
      </c>
      <c r="M12612" s="154" t="str">
        <f t="shared" ref="M12612:M12675" si="1107">CONCATENATE(E12612,"_",D12612,"_",F12612,"_",L12612, "_",I12612,"_", C12612,"_", B12612)</f>
        <v>Base_High_Base_Upgraded_Smog Formation Potential (SFP) - kg O3 eq_Biosolids composting; aerated static pile; wastewater treatment unit; at updated plant - US_Without Amendment_Aerated Static Pile</v>
      </c>
    </row>
    <row r="12613" spans="1:13" s="120" customFormat="1" x14ac:dyDescent="0.25">
      <c r="A12613" s="119"/>
      <c r="B12613" s="138" t="str">
        <f t="shared" si="1103"/>
        <v>Aerated Static Pile</v>
      </c>
      <c r="C12613" s="138" t="str">
        <f t="shared" si="1104"/>
        <v>Without Amendment</v>
      </c>
      <c r="D12613" s="138" t="str">
        <f t="shared" si="1102"/>
        <v>High_Base</v>
      </c>
      <c r="E12613" s="138" t="str">
        <f t="shared" si="1105"/>
        <v>Base</v>
      </c>
      <c r="F12613" s="138" t="str">
        <f t="shared" si="1106"/>
        <v>Upgraded</v>
      </c>
      <c r="G12613" s="153"/>
      <c r="H12613" s="210">
        <v>1.1685000000000001</v>
      </c>
      <c r="I12613" s="160" t="s">
        <v>147</v>
      </c>
      <c r="J12613" s="160">
        <v>1.9400000000000001E-2</v>
      </c>
      <c r="K12613" s="160" t="s">
        <v>25</v>
      </c>
      <c r="L12613" s="154" t="str">
        <f>IF(OpenLCAbasic!K12613="CTUh", "Fill in Manually",IF(OR(K12613="Unit", K12613=""), "", INDEX(LookUps!$E$5:$E$12, MATCH(OpenLCAbasic!K12613,LookUps!$D$5:$D$12,0))))</f>
        <v>Smog Formation Potential (SFP) - kg O3 eq</v>
      </c>
      <c r="M12613" s="154" t="str">
        <f t="shared" si="1107"/>
        <v>Base_High_Base_Upgraded_Smog Formation Potential (SFP) - kg O3 eq_Influent Pump Station; wastewater treatment unit; at updated plant - US_Without Amendment_Aerated Static Pile</v>
      </c>
    </row>
    <row r="12614" spans="1:13" s="120" customFormat="1" x14ac:dyDescent="0.25">
      <c r="A12614" s="119"/>
      <c r="B12614" s="138" t="str">
        <f t="shared" si="1103"/>
        <v>Aerated Static Pile</v>
      </c>
      <c r="C12614" s="138" t="str">
        <f t="shared" si="1104"/>
        <v>Without Amendment</v>
      </c>
      <c r="D12614" s="138" t="str">
        <f t="shared" si="1102"/>
        <v>High_Base</v>
      </c>
      <c r="E12614" s="138" t="str">
        <f t="shared" si="1105"/>
        <v>Base</v>
      </c>
      <c r="F12614" s="138" t="str">
        <f t="shared" si="1106"/>
        <v>Upgraded</v>
      </c>
      <c r="G12614" s="153"/>
      <c r="H12614" s="210">
        <v>0.83520000000000005</v>
      </c>
      <c r="I12614" s="160" t="s">
        <v>60</v>
      </c>
      <c r="J12614" s="160">
        <v>1.387E-2</v>
      </c>
      <c r="K12614" s="160" t="s">
        <v>25</v>
      </c>
      <c r="L12614" s="154" t="str">
        <f>IF(OpenLCAbasic!K12614="CTUh", "Fill in Manually",IF(OR(K12614="Unit", K12614=""), "", INDEX(LookUps!$E$5:$E$12, MATCH(OpenLCAbasic!K12614,LookUps!$D$5:$D$12,0))))</f>
        <v>Smog Formation Potential (SFP) - kg O3 eq</v>
      </c>
      <c r="M12614" s="154" t="str">
        <f t="shared" si="1107"/>
        <v>Base_High_Base_Upgraded_Smog Formation Potential (SFP) - kg O3 eq_Belt filter press; wastewater treatment unit; at updated plant - US_Without Amendment_Aerated Static Pile</v>
      </c>
    </row>
    <row r="12615" spans="1:13" s="120" customFormat="1" x14ac:dyDescent="0.25">
      <c r="A12615" s="119"/>
      <c r="B12615" s="138" t="str">
        <f t="shared" si="1103"/>
        <v>Aerated Static Pile</v>
      </c>
      <c r="C12615" s="138" t="str">
        <f t="shared" si="1104"/>
        <v>Without Amendment</v>
      </c>
      <c r="D12615" s="138" t="str">
        <f t="shared" si="1102"/>
        <v>High_Base</v>
      </c>
      <c r="E12615" s="138" t="str">
        <f t="shared" si="1105"/>
        <v>Base</v>
      </c>
      <c r="F12615" s="138" t="str">
        <f t="shared" si="1106"/>
        <v>Upgraded</v>
      </c>
      <c r="G12615" s="153"/>
      <c r="H12615" s="210">
        <v>0.71789999999999998</v>
      </c>
      <c r="I12615" s="160" t="s">
        <v>128</v>
      </c>
      <c r="J12615" s="160">
        <v>1.192E-2</v>
      </c>
      <c r="K12615" s="160" t="s">
        <v>25</v>
      </c>
      <c r="L12615" s="154" t="str">
        <f>IF(OpenLCAbasic!K12615="CTUh", "Fill in Manually",IF(OR(K12615="Unit", K12615=""), "", INDEX(LookUps!$E$5:$E$12, MATCH(OpenLCAbasic!K12615,LookUps!$D$5:$D$12,0))))</f>
        <v>Smog Formation Potential (SFP) - kg O3 eq</v>
      </c>
      <c r="M12615" s="154" t="str">
        <f t="shared" si="1107"/>
        <v>Base_High_Base_Upgraded_Smog Formation Potential (SFP) - kg O3 eq_Wastewater collection; operation and infrastructure; m3 wastewater_Without Amendment_Aerated Static Pile</v>
      </c>
    </row>
    <row r="12616" spans="1:13" s="120" customFormat="1" x14ac:dyDescent="0.25">
      <c r="A12616" s="119"/>
      <c r="B12616" s="138" t="str">
        <f t="shared" si="1103"/>
        <v>Aerated Static Pile</v>
      </c>
      <c r="C12616" s="138" t="str">
        <f t="shared" si="1104"/>
        <v>Without Amendment</v>
      </c>
      <c r="D12616" s="138" t="str">
        <f t="shared" si="1102"/>
        <v>High_Base</v>
      </c>
      <c r="E12616" s="138" t="str">
        <f t="shared" si="1105"/>
        <v>Base</v>
      </c>
      <c r="F12616" s="138" t="str">
        <f t="shared" si="1106"/>
        <v>Upgraded</v>
      </c>
      <c r="G12616" s="153"/>
      <c r="H12616" s="210">
        <v>0.4007</v>
      </c>
      <c r="I12616" s="160" t="s">
        <v>57</v>
      </c>
      <c r="J12616" s="160">
        <v>6.6499999999999997E-3</v>
      </c>
      <c r="K12616" s="160" t="s">
        <v>25</v>
      </c>
      <c r="L12616" s="154" t="str">
        <f>IF(OpenLCAbasic!K12616="CTUh", "Fill in Manually",IF(OR(K12616="Unit", K12616=""), "", INDEX(LookUps!$E$5:$E$12, MATCH(OpenLCAbasic!K12616,LookUps!$D$5:$D$12,0))))</f>
        <v>Smog Formation Potential (SFP) - kg O3 eq</v>
      </c>
      <c r="M12616" s="154" t="str">
        <f t="shared" si="1107"/>
        <v>Base_High_Base_Upgraded_Smog Formation Potential (SFP) - kg O3 eq_Gravity Belt Thickener; wastewater treatment unit; at updated plant - US_Without Amendment_Aerated Static Pile</v>
      </c>
    </row>
    <row r="12617" spans="1:13" s="120" customFormat="1" x14ac:dyDescent="0.25">
      <c r="A12617" s="119"/>
      <c r="B12617" s="138" t="str">
        <f t="shared" si="1103"/>
        <v>Aerated Static Pile</v>
      </c>
      <c r="C12617" s="138" t="str">
        <f t="shared" si="1104"/>
        <v>Without Amendment</v>
      </c>
      <c r="D12617" s="138" t="str">
        <f t="shared" si="1102"/>
        <v>High_Base</v>
      </c>
      <c r="E12617" s="138" t="str">
        <f t="shared" si="1105"/>
        <v>Base</v>
      </c>
      <c r="F12617" s="138" t="str">
        <f t="shared" si="1106"/>
        <v>Upgraded</v>
      </c>
      <c r="G12617" s="153"/>
      <c r="H12617" s="210">
        <v>0.29959999999999998</v>
      </c>
      <c r="I12617" s="160" t="s">
        <v>59</v>
      </c>
      <c r="J12617" s="160">
        <v>4.9699999999999996E-3</v>
      </c>
      <c r="K12617" s="160" t="s">
        <v>25</v>
      </c>
      <c r="L12617" s="154" t="str">
        <f>IF(OpenLCAbasic!K12617="CTUh", "Fill in Manually",IF(OR(K12617="Unit", K12617=""), "", INDEX(LookUps!$E$5:$E$12, MATCH(OpenLCAbasic!K12617,LookUps!$D$5:$D$12,0))))</f>
        <v>Smog Formation Potential (SFP) - kg O3 eq</v>
      </c>
      <c r="M12617" s="154" t="str">
        <f t="shared" si="1107"/>
        <v>Base_High_Base_Upgraded_Smog Formation Potential (SFP) - kg O3 eq_Blend Tank; wastewater treatment unit; at updated plant - US_Without Amendment_Aerated Static Pile</v>
      </c>
    </row>
    <row r="12618" spans="1:13" s="120" customFormat="1" x14ac:dyDescent="0.25">
      <c r="A12618" s="119"/>
      <c r="B12618" s="138" t="str">
        <f t="shared" si="1103"/>
        <v>Aerated Static Pile</v>
      </c>
      <c r="C12618" s="138" t="str">
        <f t="shared" si="1104"/>
        <v>Without Amendment</v>
      </c>
      <c r="D12618" s="138" t="str">
        <f t="shared" si="1102"/>
        <v>High_Base</v>
      </c>
      <c r="E12618" s="138" t="str">
        <f t="shared" si="1105"/>
        <v>Base</v>
      </c>
      <c r="F12618" s="138" t="str">
        <f t="shared" si="1106"/>
        <v>Upgraded</v>
      </c>
      <c r="G12618" s="153"/>
      <c r="H12618" s="210">
        <v>0.2039</v>
      </c>
      <c r="I12618" s="160" t="s">
        <v>48</v>
      </c>
      <c r="J12618" s="160">
        <v>3.3899999999999998E-3</v>
      </c>
      <c r="K12618" s="160" t="s">
        <v>25</v>
      </c>
      <c r="L12618" s="154" t="str">
        <f>IF(OpenLCAbasic!K12618="CTUh", "Fill in Manually",IF(OR(K12618="Unit", K12618=""), "", INDEX(LookUps!$E$5:$E$12, MATCH(OpenLCAbasic!K12618,LookUps!$D$5:$D$12,0))))</f>
        <v>Smog Formation Potential (SFP) - kg O3 eq</v>
      </c>
      <c r="M12618" s="154" t="str">
        <f t="shared" si="1107"/>
        <v>Base_High_Base_Upgraded_Smog Formation Potential (SFP) - kg O3 eq_Effluent release; wastewater treatment unit; at surface water; m3 wastewater - US_Without Amendment_Aerated Static Pile</v>
      </c>
    </row>
    <row r="12619" spans="1:13" s="120" customFormat="1" x14ac:dyDescent="0.25">
      <c r="A12619" s="119"/>
      <c r="B12619" s="138" t="str">
        <f t="shared" si="1103"/>
        <v>Aerated Static Pile</v>
      </c>
      <c r="C12619" s="138" t="str">
        <f t="shared" si="1104"/>
        <v>Without Amendment</v>
      </c>
      <c r="D12619" s="138" t="str">
        <f t="shared" si="1102"/>
        <v>High_Base</v>
      </c>
      <c r="E12619" s="138" t="str">
        <f t="shared" si="1105"/>
        <v>Base</v>
      </c>
      <c r="F12619" s="138" t="str">
        <f t="shared" si="1106"/>
        <v>Upgraded</v>
      </c>
      <c r="G12619" s="153"/>
      <c r="H12619" s="210">
        <v>0.1479</v>
      </c>
      <c r="I12619" s="160" t="s">
        <v>168</v>
      </c>
      <c r="J12619" s="160">
        <v>2.4599999999999999E-3</v>
      </c>
      <c r="K12619" s="160" t="s">
        <v>25</v>
      </c>
      <c r="L12619" s="154" t="str">
        <f>IF(OpenLCAbasic!K12619="CTUh", "Fill in Manually",IF(OR(K12619="Unit", K12619=""), "", INDEX(LookUps!$E$5:$E$12, MATCH(OpenLCAbasic!K12619,LookUps!$D$5:$D$12,0))))</f>
        <v>Smog Formation Potential (SFP) - kg O3 eq</v>
      </c>
      <c r="M12619" s="154" t="str">
        <f t="shared" si="1107"/>
        <v>Base_High_Base_Upgraded_Smog Formation Potential (SFP) - kg O3 eq_ClearCove SCP; wastewater treatment unit; at updated plant - US_Without Amendment_Aerated Static Pile</v>
      </c>
    </row>
    <row r="12620" spans="1:13" s="120" customFormat="1" x14ac:dyDescent="0.25">
      <c r="A12620" s="119"/>
      <c r="B12620" s="138" t="str">
        <f t="shared" si="1103"/>
        <v>Aerated Static Pile</v>
      </c>
      <c r="C12620" s="138" t="str">
        <f t="shared" si="1104"/>
        <v>Without Amendment</v>
      </c>
      <c r="D12620" s="138" t="str">
        <f t="shared" si="1102"/>
        <v>High_Base</v>
      </c>
      <c r="E12620" s="138" t="str">
        <f t="shared" si="1105"/>
        <v>Base</v>
      </c>
      <c r="F12620" s="138" t="str">
        <f t="shared" si="1106"/>
        <v>Upgraded</v>
      </c>
      <c r="G12620" s="153"/>
      <c r="H12620" s="210">
        <v>3.2399999999999998E-2</v>
      </c>
      <c r="I12620" s="160" t="s">
        <v>148</v>
      </c>
      <c r="J12620" s="160">
        <v>5.4000000000000001E-4</v>
      </c>
      <c r="K12620" s="160" t="s">
        <v>25</v>
      </c>
      <c r="L12620" s="154" t="str">
        <f>IF(OpenLCAbasic!K12620="CTUh", "Fill in Manually",IF(OR(K12620="Unit", K12620=""), "", INDEX(LookUps!$E$5:$E$12, MATCH(OpenLCAbasic!K12620,LookUps!$D$5:$D$12,0))))</f>
        <v>Smog Formation Potential (SFP) - kg O3 eq</v>
      </c>
      <c r="M12620" s="154" t="str">
        <f t="shared" si="1107"/>
        <v>Base_High_Base_Upgraded_Smog Formation Potential (SFP) - kg O3 eq_Control Building; at upgraded wastewater treatment plant - US_Without Amendment_Aerated Static Pile</v>
      </c>
    </row>
    <row r="12621" spans="1:13" s="120" customFormat="1" x14ac:dyDescent="0.25">
      <c r="A12621" s="119"/>
      <c r="B12621" s="138" t="str">
        <f t="shared" si="1103"/>
        <v>Aerated Static Pile</v>
      </c>
      <c r="C12621" s="138" t="str">
        <f t="shared" si="1104"/>
        <v>Without Amendment</v>
      </c>
      <c r="D12621" s="138" t="str">
        <f t="shared" si="1102"/>
        <v>High_Base</v>
      </c>
      <c r="E12621" s="138" t="str">
        <f t="shared" si="1105"/>
        <v>Base</v>
      </c>
      <c r="F12621" s="138" t="str">
        <f t="shared" si="1106"/>
        <v>Upgraded</v>
      </c>
      <c r="G12621" s="153"/>
      <c r="H12621" s="210">
        <v>-0.1978</v>
      </c>
      <c r="I12621" s="160" t="s">
        <v>62</v>
      </c>
      <c r="J12621" s="160">
        <v>-3.2799999999999999E-3</v>
      </c>
      <c r="K12621" s="160" t="s">
        <v>25</v>
      </c>
      <c r="L12621" s="154" t="str">
        <f>IF(OpenLCAbasic!K12621="CTUh", "Fill in Manually",IF(OR(K12621="Unit", K12621=""), "", INDEX(LookUps!$E$5:$E$12, MATCH(OpenLCAbasic!K12621,LookUps!$D$5:$D$12,0))))</f>
        <v>Smog Formation Potential (SFP) - kg O3 eq</v>
      </c>
      <c r="M12621" s="154" t="str">
        <f t="shared" si="1107"/>
        <v>Base_High_Base_Upgraded_Smog Formation Potential (SFP) - kg O3 eq_Land application of compost; wastewater treatment unit; at updated plant - US_Without Amendment_Aerated Static Pile</v>
      </c>
    </row>
    <row r="12622" spans="1:13" s="120" customFormat="1" x14ac:dyDescent="0.25">
      <c r="A12622" s="119"/>
      <c r="B12622" s="138" t="str">
        <f t="shared" si="1103"/>
        <v>Aerated Static Pile</v>
      </c>
      <c r="C12622" s="138" t="str">
        <f t="shared" si="1104"/>
        <v>Without Amendment</v>
      </c>
      <c r="D12622" s="138" t="str">
        <f t="shared" si="1102"/>
        <v>High_Base</v>
      </c>
      <c r="E12622" s="138" t="str">
        <f t="shared" si="1105"/>
        <v>Base</v>
      </c>
      <c r="F12622" s="138" t="str">
        <f t="shared" si="1106"/>
        <v>Upgraded</v>
      </c>
      <c r="G12622" s="153"/>
      <c r="H12622" s="210">
        <v>-25.8809</v>
      </c>
      <c r="I12622" s="160" t="s">
        <v>149</v>
      </c>
      <c r="J12622" s="160">
        <v>-0.42965999999999999</v>
      </c>
      <c r="K12622" s="160" t="s">
        <v>25</v>
      </c>
      <c r="L12622" s="154" t="str">
        <f>IF(OpenLCAbasic!K12622="CTUh", "Fill in Manually",IF(OR(K12622="Unit", K12622=""), "", INDEX(LookUps!$E$5:$E$12, MATCH(OpenLCAbasic!K12622,LookUps!$D$5:$D$12,0))))</f>
        <v>Smog Formation Potential (SFP) - kg O3 eq</v>
      </c>
      <c r="M12622" s="154" t="str">
        <f t="shared" si="1107"/>
        <v>Base_High_Base_Upgraded_Smog Formation Potential (SFP) - kg O3 eq_Anaerobic Digestion; wastewater treatment unit; at updated plant - US_Without Amendment_Aerated Static Pile</v>
      </c>
    </row>
    <row r="12623" spans="1:13" s="120" customFormat="1" x14ac:dyDescent="0.25">
      <c r="A12623" s="119"/>
      <c r="B12623" s="138" t="str">
        <f t="shared" si="1103"/>
        <v/>
      </c>
      <c r="C12623" s="138" t="str">
        <f t="shared" si="1104"/>
        <v/>
      </c>
      <c r="D12623" s="138" t="str">
        <f t="shared" si="1102"/>
        <v/>
      </c>
      <c r="E12623" s="138" t="str">
        <f t="shared" si="1105"/>
        <v/>
      </c>
      <c r="F12623" s="138" t="str">
        <f t="shared" si="1106"/>
        <v/>
      </c>
      <c r="G12623" s="153" t="s">
        <v>51</v>
      </c>
      <c r="H12623" s="160"/>
      <c r="I12623" s="160" t="s">
        <v>47</v>
      </c>
      <c r="J12623" s="160" t="s">
        <v>52</v>
      </c>
      <c r="K12623" s="160" t="s">
        <v>27</v>
      </c>
      <c r="L12623" s="154" t="str">
        <f>IF(OpenLCAbasic!K12623="CTUh", "Fill in Manually",IF(OR(K12623="Unit", K12623=""), "", INDEX(LookUps!$E$5:$E$12, MATCH(OpenLCAbasic!K12623,LookUps!$D$5:$D$12,0))))</f>
        <v/>
      </c>
      <c r="M12623" s="154" t="str">
        <f t="shared" si="1107"/>
        <v>____Process__</v>
      </c>
    </row>
    <row r="12624" spans="1:13" s="120" customFormat="1" x14ac:dyDescent="0.25">
      <c r="A12624" s="119"/>
      <c r="B12624" s="138" t="str">
        <f t="shared" si="1103"/>
        <v>Aerated Static Pile</v>
      </c>
      <c r="C12624" s="138" t="str">
        <f t="shared" si="1104"/>
        <v>Without Amendment</v>
      </c>
      <c r="D12624" s="138" t="str">
        <f t="shared" si="1102"/>
        <v>High_Base</v>
      </c>
      <c r="E12624" s="138" t="str">
        <f t="shared" si="1105"/>
        <v>Base</v>
      </c>
      <c r="F12624" s="138" t="str">
        <f t="shared" si="1106"/>
        <v>Upgraded</v>
      </c>
      <c r="G12624" s="153"/>
      <c r="H12624" s="210">
        <v>1.6057999999999999</v>
      </c>
      <c r="I12624" s="160" t="s">
        <v>167</v>
      </c>
      <c r="J12624" s="160">
        <v>3.4000000000000002E-4</v>
      </c>
      <c r="K12624" s="160" t="s">
        <v>26</v>
      </c>
      <c r="L12624" s="154" t="str">
        <f>IF(OpenLCAbasic!K12624="CTUh", "Fill in Manually",IF(OR(K12624="Unit", K12624=""), "", INDEX(LookUps!$E$5:$E$12, MATCH(OpenLCAbasic!K12624,LookUps!$D$5:$D$12,0))))</f>
        <v>Water Use (WU) - m3 H2O</v>
      </c>
      <c r="M12624" s="154" t="str">
        <f t="shared" si="1107"/>
        <v>Base_High_Base_Upgraded_Water Use (WU) - m3 H2O_Waste Receiving and Holding; wastewater treatment unit; at updated plant - US_Without Amendment_Aerated Static Pile</v>
      </c>
    </row>
    <row r="12625" spans="1:13" s="120" customFormat="1" x14ac:dyDescent="0.25">
      <c r="A12625" s="119"/>
      <c r="B12625" s="138" t="str">
        <f t="shared" si="1103"/>
        <v>Aerated Static Pile</v>
      </c>
      <c r="C12625" s="138" t="str">
        <f t="shared" si="1104"/>
        <v>Without Amendment</v>
      </c>
      <c r="D12625" s="138" t="str">
        <f t="shared" si="1102"/>
        <v>High_Base</v>
      </c>
      <c r="E12625" s="138" t="str">
        <f t="shared" si="1105"/>
        <v>Base</v>
      </c>
      <c r="F12625" s="138" t="str">
        <f t="shared" si="1106"/>
        <v>Upgraded</v>
      </c>
      <c r="G12625" s="153"/>
      <c r="H12625" s="210">
        <v>0.87870000000000004</v>
      </c>
      <c r="I12625" s="160" t="s">
        <v>147</v>
      </c>
      <c r="J12625" s="160">
        <v>1.8000000000000001E-4</v>
      </c>
      <c r="K12625" s="160" t="s">
        <v>26</v>
      </c>
      <c r="L12625" s="154" t="str">
        <f>IF(OpenLCAbasic!K12625="CTUh", "Fill in Manually",IF(OR(K12625="Unit", K12625=""), "", INDEX(LookUps!$E$5:$E$12, MATCH(OpenLCAbasic!K12625,LookUps!$D$5:$D$12,0))))</f>
        <v>Water Use (WU) - m3 H2O</v>
      </c>
      <c r="M12625" s="154" t="str">
        <f t="shared" si="1107"/>
        <v>Base_High_Base_Upgraded_Water Use (WU) - m3 H2O_Influent Pump Station; wastewater treatment unit; at updated plant - US_Without Amendment_Aerated Static Pile</v>
      </c>
    </row>
    <row r="12626" spans="1:13" s="120" customFormat="1" x14ac:dyDescent="0.25">
      <c r="A12626" s="119"/>
      <c r="B12626" s="138" t="str">
        <f t="shared" si="1103"/>
        <v>Aerated Static Pile</v>
      </c>
      <c r="C12626" s="138" t="str">
        <f t="shared" si="1104"/>
        <v>Without Amendment</v>
      </c>
      <c r="D12626" s="138" t="str">
        <f t="shared" si="1102"/>
        <v>High_Base</v>
      </c>
      <c r="E12626" s="138" t="str">
        <f t="shared" si="1105"/>
        <v>Base</v>
      </c>
      <c r="F12626" s="138" t="str">
        <f t="shared" si="1106"/>
        <v>Upgraded</v>
      </c>
      <c r="G12626" s="153"/>
      <c r="H12626" s="210">
        <v>0.85740000000000005</v>
      </c>
      <c r="I12626" s="160" t="s">
        <v>54</v>
      </c>
      <c r="J12626" s="160">
        <v>1.8000000000000001E-4</v>
      </c>
      <c r="K12626" s="160" t="s">
        <v>26</v>
      </c>
      <c r="L12626" s="154" t="str">
        <f>IF(OpenLCAbasic!K12626="CTUh", "Fill in Manually",IF(OR(K12626="Unit", K12626=""), "", INDEX(LookUps!$E$5:$E$12, MATCH(OpenLCAbasic!K12626,LookUps!$D$5:$D$12,0))))</f>
        <v>Water Use (WU) - m3 H2O</v>
      </c>
      <c r="M12626" s="154" t="str">
        <f t="shared" si="1107"/>
        <v>Base_High_Base_Upgraded_Water Use (WU) - m3 H2O_Clear Cove Primary Clarification; wastewater treatment unit; at updated plant - US_Without Amendment_Aerated Static Pile</v>
      </c>
    </row>
    <row r="12627" spans="1:13" s="120" customFormat="1" x14ac:dyDescent="0.25">
      <c r="A12627" s="119"/>
      <c r="B12627" s="138" t="str">
        <f t="shared" si="1103"/>
        <v>Aerated Static Pile</v>
      </c>
      <c r="C12627" s="138" t="str">
        <f t="shared" si="1104"/>
        <v>Without Amendment</v>
      </c>
      <c r="D12627" s="138" t="str">
        <f t="shared" si="1102"/>
        <v>High_Base</v>
      </c>
      <c r="E12627" s="138" t="str">
        <f t="shared" si="1105"/>
        <v>Base</v>
      </c>
      <c r="F12627" s="138" t="str">
        <f t="shared" si="1106"/>
        <v>Upgraded</v>
      </c>
      <c r="G12627" s="153"/>
      <c r="H12627" s="210">
        <v>0.77780000000000005</v>
      </c>
      <c r="I12627" s="160" t="s">
        <v>55</v>
      </c>
      <c r="J12627" s="160">
        <v>1.6000000000000001E-4</v>
      </c>
      <c r="K12627" s="160" t="s">
        <v>26</v>
      </c>
      <c r="L12627" s="154" t="str">
        <f>IF(OpenLCAbasic!K12627="CTUh", "Fill in Manually",IF(OR(K12627="Unit", K12627=""), "", INDEX(LookUps!$E$5:$E$12, MATCH(OpenLCAbasic!K12627,LookUps!$D$5:$D$12,0))))</f>
        <v>Water Use (WU) - m3 H2O</v>
      </c>
      <c r="M12627" s="154" t="str">
        <f t="shared" si="1107"/>
        <v>Base_High_Base_Upgraded_Water Use (WU) - m3 H2O_Aeration Tanks; wastewater treatment unit; at updated plant - US_Without Amendment_Aerated Static Pile</v>
      </c>
    </row>
    <row r="12628" spans="1:13" s="120" customFormat="1" x14ac:dyDescent="0.25">
      <c r="A12628" s="119"/>
      <c r="B12628" s="138" t="str">
        <f t="shared" si="1103"/>
        <v>Aerated Static Pile</v>
      </c>
      <c r="C12628" s="138" t="str">
        <f t="shared" si="1104"/>
        <v>Without Amendment</v>
      </c>
      <c r="D12628" s="138" t="str">
        <f t="shared" si="1102"/>
        <v>High_Base</v>
      </c>
      <c r="E12628" s="138" t="str">
        <f t="shared" si="1105"/>
        <v>Base</v>
      </c>
      <c r="F12628" s="138" t="str">
        <f t="shared" si="1106"/>
        <v>Upgraded</v>
      </c>
      <c r="G12628" s="153"/>
      <c r="H12628" s="210">
        <v>0.70850000000000002</v>
      </c>
      <c r="I12628" s="160" t="s">
        <v>148</v>
      </c>
      <c r="J12628" s="160">
        <v>1.4999999999999999E-4</v>
      </c>
      <c r="K12628" s="160" t="s">
        <v>26</v>
      </c>
      <c r="L12628" s="154" t="str">
        <f>IF(OpenLCAbasic!K12628="CTUh", "Fill in Manually",IF(OR(K12628="Unit", K12628=""), "", INDEX(LookUps!$E$5:$E$12, MATCH(OpenLCAbasic!K12628,LookUps!$D$5:$D$12,0))))</f>
        <v>Water Use (WU) - m3 H2O</v>
      </c>
      <c r="M12628" s="154" t="str">
        <f t="shared" si="1107"/>
        <v>Base_High_Base_Upgraded_Water Use (WU) - m3 H2O_Control Building; at upgraded wastewater treatment plant - US_Without Amendment_Aerated Static Pile</v>
      </c>
    </row>
    <row r="12629" spans="1:13" s="120" customFormat="1" x14ac:dyDescent="0.25">
      <c r="A12629" s="119"/>
      <c r="B12629" s="138" t="str">
        <f t="shared" si="1103"/>
        <v>Aerated Static Pile</v>
      </c>
      <c r="C12629" s="138" t="str">
        <f t="shared" si="1104"/>
        <v>Without Amendment</v>
      </c>
      <c r="D12629" s="138" t="str">
        <f t="shared" si="1102"/>
        <v>High_Base</v>
      </c>
      <c r="E12629" s="138" t="str">
        <f t="shared" si="1105"/>
        <v>Base</v>
      </c>
      <c r="F12629" s="138" t="str">
        <f t="shared" si="1106"/>
        <v>Upgraded</v>
      </c>
      <c r="G12629" s="153"/>
      <c r="H12629" s="210">
        <v>0.32900000000000001</v>
      </c>
      <c r="I12629" s="160" t="s">
        <v>48</v>
      </c>
      <c r="J12629" s="211">
        <v>6.8836400000000004E-5</v>
      </c>
      <c r="K12629" s="160" t="s">
        <v>26</v>
      </c>
      <c r="L12629" s="154" t="str">
        <f>IF(OpenLCAbasic!K12629="CTUh", "Fill in Manually",IF(OR(K12629="Unit", K12629=""), "", INDEX(LookUps!$E$5:$E$12, MATCH(OpenLCAbasic!K12629,LookUps!$D$5:$D$12,0))))</f>
        <v>Water Use (WU) - m3 H2O</v>
      </c>
      <c r="M12629" s="154" t="str">
        <f t="shared" si="1107"/>
        <v>Base_High_Base_Upgraded_Water Use (WU) - m3 H2O_Effluent release; wastewater treatment unit; at surface water; m3 wastewater - US_Without Amendment_Aerated Static Pile</v>
      </c>
    </row>
    <row r="12630" spans="1:13" s="120" customFormat="1" x14ac:dyDescent="0.25">
      <c r="A12630" s="119"/>
      <c r="B12630" s="138" t="str">
        <f t="shared" si="1103"/>
        <v>Aerated Static Pile</v>
      </c>
      <c r="C12630" s="138" t="str">
        <f t="shared" si="1104"/>
        <v>Without Amendment</v>
      </c>
      <c r="D12630" s="138" t="str">
        <f t="shared" si="1102"/>
        <v>High_Base</v>
      </c>
      <c r="E12630" s="138" t="str">
        <f t="shared" si="1105"/>
        <v>Base</v>
      </c>
      <c r="F12630" s="138" t="str">
        <f t="shared" si="1106"/>
        <v>Upgraded</v>
      </c>
      <c r="G12630" s="153"/>
      <c r="H12630" s="210">
        <v>0.2069</v>
      </c>
      <c r="I12630" s="160" t="s">
        <v>58</v>
      </c>
      <c r="J12630" s="211">
        <v>4.3289399999999999E-5</v>
      </c>
      <c r="K12630" s="160" t="s">
        <v>26</v>
      </c>
      <c r="L12630" s="154" t="str">
        <f>IF(OpenLCAbasic!K12630="CTUh", "Fill in Manually",IF(OR(K12630="Unit", K12630=""), "", INDEX(LookUps!$E$5:$E$12, MATCH(OpenLCAbasic!K12630,LookUps!$D$5:$D$12,0))))</f>
        <v>Water Use (WU) - m3 H2O</v>
      </c>
      <c r="M12630" s="154" t="str">
        <f t="shared" si="1107"/>
        <v>Base_High_Base_Upgraded_Water Use (WU) - m3 H2O_Pre-Anoxic &amp; Swing tank; wastewater treatment unit; at updated plant - US_Without Amendment_Aerated Static Pile</v>
      </c>
    </row>
    <row r="12631" spans="1:13" s="120" customFormat="1" x14ac:dyDescent="0.25">
      <c r="A12631" s="119"/>
      <c r="B12631" s="138" t="str">
        <f t="shared" si="1103"/>
        <v>Aerated Static Pile</v>
      </c>
      <c r="C12631" s="138" t="str">
        <f t="shared" si="1104"/>
        <v>Without Amendment</v>
      </c>
      <c r="D12631" s="138" t="str">
        <f t="shared" si="1102"/>
        <v>High_Base</v>
      </c>
      <c r="E12631" s="138" t="str">
        <f t="shared" si="1105"/>
        <v>Base</v>
      </c>
      <c r="F12631" s="138" t="str">
        <f t="shared" si="1106"/>
        <v>Upgraded</v>
      </c>
      <c r="G12631" s="153"/>
      <c r="H12631" s="210">
        <v>0.19789999999999999</v>
      </c>
      <c r="I12631" s="160" t="s">
        <v>60</v>
      </c>
      <c r="J12631" s="211">
        <v>4.1413099999999998E-5</v>
      </c>
      <c r="K12631" s="160" t="s">
        <v>26</v>
      </c>
      <c r="L12631" s="154" t="str">
        <f>IF(OpenLCAbasic!K12631="CTUh", "Fill in Manually",IF(OR(K12631="Unit", K12631=""), "", INDEX(LookUps!$E$5:$E$12, MATCH(OpenLCAbasic!K12631,LookUps!$D$5:$D$12,0))))</f>
        <v>Water Use (WU) - m3 H2O</v>
      </c>
      <c r="M12631" s="154" t="str">
        <f t="shared" si="1107"/>
        <v>Base_High_Base_Upgraded_Water Use (WU) - m3 H2O_Belt filter press; wastewater treatment unit; at updated plant - US_Without Amendment_Aerated Static Pile</v>
      </c>
    </row>
    <row r="12632" spans="1:13" s="120" customFormat="1" x14ac:dyDescent="0.25">
      <c r="A12632" s="119"/>
      <c r="B12632" s="138" t="str">
        <f t="shared" si="1103"/>
        <v>Aerated Static Pile</v>
      </c>
      <c r="C12632" s="138" t="str">
        <f t="shared" si="1104"/>
        <v>Without Amendment</v>
      </c>
      <c r="D12632" s="138" t="str">
        <f t="shared" si="1102"/>
        <v>High_Base</v>
      </c>
      <c r="E12632" s="138" t="str">
        <f t="shared" si="1105"/>
        <v>Base</v>
      </c>
      <c r="F12632" s="138" t="str">
        <f t="shared" si="1106"/>
        <v>Upgraded</v>
      </c>
      <c r="G12632" s="153"/>
      <c r="H12632" s="210">
        <v>0.14530000000000001</v>
      </c>
      <c r="I12632" s="160" t="s">
        <v>57</v>
      </c>
      <c r="J12632" s="211">
        <v>3.0408100000000001E-5</v>
      </c>
      <c r="K12632" s="160" t="s">
        <v>26</v>
      </c>
      <c r="L12632" s="154" t="str">
        <f>IF(OpenLCAbasic!K12632="CTUh", "Fill in Manually",IF(OR(K12632="Unit", K12632=""), "", INDEX(LookUps!$E$5:$E$12, MATCH(OpenLCAbasic!K12632,LookUps!$D$5:$D$12,0))))</f>
        <v>Water Use (WU) - m3 H2O</v>
      </c>
      <c r="M12632" s="154" t="str">
        <f t="shared" si="1107"/>
        <v>Base_High_Base_Upgraded_Water Use (WU) - m3 H2O_Gravity Belt Thickener; wastewater treatment unit; at updated plant - US_Without Amendment_Aerated Static Pile</v>
      </c>
    </row>
    <row r="12633" spans="1:13" s="120" customFormat="1" x14ac:dyDescent="0.25">
      <c r="A12633" s="119"/>
      <c r="B12633" s="138" t="str">
        <f t="shared" si="1103"/>
        <v>Aerated Static Pile</v>
      </c>
      <c r="C12633" s="138" t="str">
        <f t="shared" si="1104"/>
        <v>Without Amendment</v>
      </c>
      <c r="D12633" s="138" t="str">
        <f t="shared" ref="D12633:D12639" si="1108">IF(ISNUMBER($J12633),"High_Base","")</f>
        <v>High_Base</v>
      </c>
      <c r="E12633" s="138" t="str">
        <f t="shared" si="1105"/>
        <v>Base</v>
      </c>
      <c r="F12633" s="138" t="str">
        <f t="shared" si="1106"/>
        <v>Upgraded</v>
      </c>
      <c r="G12633" s="153"/>
      <c r="H12633" s="210">
        <v>8.3699999999999997E-2</v>
      </c>
      <c r="I12633" s="160" t="s">
        <v>53</v>
      </c>
      <c r="J12633" s="211">
        <v>1.75069E-5</v>
      </c>
      <c r="K12633" s="160" t="s">
        <v>26</v>
      </c>
      <c r="L12633" s="154" t="str">
        <f>IF(OpenLCAbasic!K12633="CTUh", "Fill in Manually",IF(OR(K12633="Unit", K12633=""), "", INDEX(LookUps!$E$5:$E$12, MATCH(OpenLCAbasic!K12633,LookUps!$D$5:$D$12,0))))</f>
        <v>Water Use (WU) - m3 H2O</v>
      </c>
      <c r="M12633" s="154" t="str">
        <f t="shared" si="1107"/>
        <v>Base_High_Base_Upgraded_Water Use (WU) - m3 H2O_Wet Well and Sump Station; wastewater treatment unit; at updated plant - US_Without Amendment_Aerated Static Pile</v>
      </c>
    </row>
    <row r="12634" spans="1:13" s="120" customFormat="1" x14ac:dyDescent="0.25">
      <c r="A12634" s="119"/>
      <c r="B12634" s="138" t="str">
        <f t="shared" si="1103"/>
        <v>Aerated Static Pile</v>
      </c>
      <c r="C12634" s="138" t="str">
        <f t="shared" si="1104"/>
        <v>Without Amendment</v>
      </c>
      <c r="D12634" s="138" t="str">
        <f t="shared" si="1108"/>
        <v>High_Base</v>
      </c>
      <c r="E12634" s="138" t="str">
        <f t="shared" si="1105"/>
        <v>Base</v>
      </c>
      <c r="F12634" s="138" t="str">
        <f t="shared" si="1106"/>
        <v>Upgraded</v>
      </c>
      <c r="G12634" s="153"/>
      <c r="H12634" s="210">
        <v>5.4199999999999998E-2</v>
      </c>
      <c r="I12634" s="160" t="s">
        <v>435</v>
      </c>
      <c r="J12634" s="211">
        <v>1.13379E-5</v>
      </c>
      <c r="K12634" s="160" t="s">
        <v>26</v>
      </c>
      <c r="L12634" s="154" t="str">
        <f>IF(OpenLCAbasic!K12634="CTUh", "Fill in Manually",IF(OR(K12634="Unit", K12634=""), "", INDEX(LookUps!$E$5:$E$12, MATCH(OpenLCAbasic!K12634,LookUps!$D$5:$D$12,0))))</f>
        <v>Water Use (WU) - m3 H2O</v>
      </c>
      <c r="M12634" s="154" t="str">
        <f t="shared" si="1107"/>
        <v>Base_High_Base_Upgraded_Water Use (WU) - m3 H2O_Biosolids composting; aerated static pile; wastewater treatment unit; at updated plant - US_Without Amendment_Aerated Static Pile</v>
      </c>
    </row>
    <row r="12635" spans="1:13" s="120" customFormat="1" x14ac:dyDescent="0.25">
      <c r="A12635" s="119"/>
      <c r="B12635" s="138" t="str">
        <f t="shared" si="1103"/>
        <v>Aerated Static Pile</v>
      </c>
      <c r="C12635" s="138" t="str">
        <f t="shared" si="1104"/>
        <v>Without Amendment</v>
      </c>
      <c r="D12635" s="138" t="str">
        <f t="shared" si="1108"/>
        <v>High_Base</v>
      </c>
      <c r="E12635" s="138" t="str">
        <f t="shared" si="1105"/>
        <v>Base</v>
      </c>
      <c r="F12635" s="138" t="str">
        <f t="shared" si="1106"/>
        <v>Upgraded</v>
      </c>
      <c r="G12635" s="153"/>
      <c r="H12635" s="210">
        <v>3.3500000000000002E-2</v>
      </c>
      <c r="I12635" s="160" t="s">
        <v>59</v>
      </c>
      <c r="J12635" s="211">
        <v>7.0179500000000003E-6</v>
      </c>
      <c r="K12635" s="160" t="s">
        <v>26</v>
      </c>
      <c r="L12635" s="154" t="str">
        <f>IF(OpenLCAbasic!K12635="CTUh", "Fill in Manually",IF(OR(K12635="Unit", K12635=""), "", INDEX(LookUps!$E$5:$E$12, MATCH(OpenLCAbasic!K12635,LookUps!$D$5:$D$12,0))))</f>
        <v>Water Use (WU) - m3 H2O</v>
      </c>
      <c r="M12635" s="154" t="str">
        <f t="shared" si="1107"/>
        <v>Base_High_Base_Upgraded_Water Use (WU) - m3 H2O_Blend Tank; wastewater treatment unit; at updated plant - US_Without Amendment_Aerated Static Pile</v>
      </c>
    </row>
    <row r="12636" spans="1:13" s="120" customFormat="1" x14ac:dyDescent="0.25">
      <c r="A12636" s="119"/>
      <c r="B12636" s="138" t="str">
        <f t="shared" si="1103"/>
        <v>Aerated Static Pile</v>
      </c>
      <c r="C12636" s="138" t="str">
        <f t="shared" si="1104"/>
        <v>Without Amendment</v>
      </c>
      <c r="D12636" s="138" t="str">
        <f t="shared" si="1108"/>
        <v>High_Base</v>
      </c>
      <c r="E12636" s="138" t="str">
        <f t="shared" si="1105"/>
        <v>Base</v>
      </c>
      <c r="F12636" s="138" t="str">
        <f t="shared" si="1106"/>
        <v>Upgraded</v>
      </c>
      <c r="G12636" s="153"/>
      <c r="H12636" s="210">
        <v>2.4199999999999999E-2</v>
      </c>
      <c r="I12636" s="160" t="s">
        <v>128</v>
      </c>
      <c r="J12636" s="211">
        <v>5.0608900000000003E-6</v>
      </c>
      <c r="K12636" s="160" t="s">
        <v>26</v>
      </c>
      <c r="L12636" s="154" t="str">
        <f>IF(OpenLCAbasic!K12636="CTUh", "Fill in Manually",IF(OR(K12636="Unit", K12636=""), "", INDEX(LookUps!$E$5:$E$12, MATCH(OpenLCAbasic!K12636,LookUps!$D$5:$D$12,0))))</f>
        <v>Water Use (WU) - m3 H2O</v>
      </c>
      <c r="M12636" s="154" t="str">
        <f t="shared" si="1107"/>
        <v>Base_High_Base_Upgraded_Water Use (WU) - m3 H2O_Wastewater collection; operation and infrastructure; m3 wastewater_Without Amendment_Aerated Static Pile</v>
      </c>
    </row>
    <row r="12637" spans="1:13" s="120" customFormat="1" x14ac:dyDescent="0.25">
      <c r="A12637" s="119"/>
      <c r="B12637" s="138" t="str">
        <f t="shared" si="1103"/>
        <v>Aerated Static Pile</v>
      </c>
      <c r="C12637" s="138" t="str">
        <f t="shared" si="1104"/>
        <v>Without Amendment</v>
      </c>
      <c r="D12637" s="138" t="str">
        <f t="shared" si="1108"/>
        <v>High_Base</v>
      </c>
      <c r="E12637" s="138" t="str">
        <f t="shared" si="1105"/>
        <v>Base</v>
      </c>
      <c r="F12637" s="138" t="str">
        <f t="shared" si="1106"/>
        <v>Upgraded</v>
      </c>
      <c r="G12637" s="153"/>
      <c r="H12637" s="210">
        <v>3.7000000000000002E-3</v>
      </c>
      <c r="I12637" s="160" t="s">
        <v>168</v>
      </c>
      <c r="J12637" s="211">
        <v>7.6697000000000004E-7</v>
      </c>
      <c r="K12637" s="160" t="s">
        <v>26</v>
      </c>
      <c r="L12637" s="154" t="str">
        <f>IF(OpenLCAbasic!K12637="CTUh", "Fill in Manually",IF(OR(K12637="Unit", K12637=""), "", INDEX(LookUps!$E$5:$E$12, MATCH(OpenLCAbasic!K12637,LookUps!$D$5:$D$12,0))))</f>
        <v>Water Use (WU) - m3 H2O</v>
      </c>
      <c r="M12637" s="154" t="str">
        <f t="shared" si="1107"/>
        <v>Base_High_Base_Upgraded_Water Use (WU) - m3 H2O_ClearCove SCP; wastewater treatment unit; at updated plant - US_Without Amendment_Aerated Static Pile</v>
      </c>
    </row>
    <row r="12638" spans="1:13" s="120" customFormat="1" x14ac:dyDescent="0.25">
      <c r="A12638" s="119"/>
      <c r="B12638" s="138" t="str">
        <f t="shared" si="1103"/>
        <v>Aerated Static Pile</v>
      </c>
      <c r="C12638" s="138" t="str">
        <f t="shared" si="1104"/>
        <v>Without Amendment</v>
      </c>
      <c r="D12638" s="138" t="str">
        <f t="shared" si="1108"/>
        <v>High_Base</v>
      </c>
      <c r="E12638" s="138" t="str">
        <f t="shared" si="1105"/>
        <v>Base</v>
      </c>
      <c r="F12638" s="138" t="str">
        <f t="shared" si="1106"/>
        <v>Upgraded</v>
      </c>
      <c r="G12638" s="153"/>
      <c r="H12638" s="210">
        <v>-0.5514</v>
      </c>
      <c r="I12638" s="160" t="s">
        <v>149</v>
      </c>
      <c r="J12638" s="160">
        <v>-1.2E-4</v>
      </c>
      <c r="K12638" s="160" t="s">
        <v>26</v>
      </c>
      <c r="L12638" s="154" t="str">
        <f>IF(OpenLCAbasic!K12638="CTUh", "Fill in Manually",IF(OR(K12638="Unit", K12638=""), "", INDEX(LookUps!$E$5:$E$12, MATCH(OpenLCAbasic!K12638,LookUps!$D$5:$D$12,0))))</f>
        <v>Water Use (WU) - m3 H2O</v>
      </c>
      <c r="M12638" s="154" t="str">
        <f t="shared" si="1107"/>
        <v>Base_High_Base_Upgraded_Water Use (WU) - m3 H2O_Anaerobic Digestion; wastewater treatment unit; at updated plant - US_Without Amendment_Aerated Static Pile</v>
      </c>
    </row>
    <row r="12639" spans="1:13" s="120" customFormat="1" x14ac:dyDescent="0.25">
      <c r="A12639" s="119"/>
      <c r="B12639" s="138" t="str">
        <f t="shared" si="1103"/>
        <v>Aerated Static Pile</v>
      </c>
      <c r="C12639" s="138" t="str">
        <f t="shared" si="1104"/>
        <v>Without Amendment</v>
      </c>
      <c r="D12639" s="138" t="str">
        <f t="shared" si="1108"/>
        <v>High_Base</v>
      </c>
      <c r="E12639" s="138" t="str">
        <f t="shared" si="1105"/>
        <v>Base</v>
      </c>
      <c r="F12639" s="138" t="str">
        <f t="shared" si="1106"/>
        <v>Upgraded</v>
      </c>
      <c r="G12639" s="153"/>
      <c r="H12639" s="210">
        <v>-6.3552</v>
      </c>
      <c r="I12639" s="160" t="s">
        <v>62</v>
      </c>
      <c r="J12639" s="160">
        <v>-1.33E-3</v>
      </c>
      <c r="K12639" s="160" t="s">
        <v>26</v>
      </c>
      <c r="L12639" s="154" t="str">
        <f>IF(OpenLCAbasic!K12639="CTUh", "Fill in Manually",IF(OR(K12639="Unit", K12639=""), "", INDEX(LookUps!$E$5:$E$12, MATCH(OpenLCAbasic!K12639,LookUps!$D$5:$D$12,0))))</f>
        <v>Water Use (WU) - m3 H2O</v>
      </c>
      <c r="M12639" s="154" t="str">
        <f t="shared" si="1107"/>
        <v>Base_High_Base_Upgraded_Water Use (WU) - m3 H2O_Land application of compost; wastewater treatment unit; at updated plant - US_Without Amendment_Aerated Static Pile</v>
      </c>
    </row>
    <row r="12640" spans="1:13" s="120" customFormat="1" x14ac:dyDescent="0.25">
      <c r="A12640" s="119"/>
      <c r="B12640" s="138" t="str">
        <f t="shared" si="1103"/>
        <v/>
      </c>
      <c r="C12640" s="138" t="str">
        <f t="shared" si="1104"/>
        <v/>
      </c>
      <c r="D12640" s="138" t="str">
        <f>IF(ISNUMBER($J12640),"High_High","")</f>
        <v/>
      </c>
      <c r="E12640" s="138" t="str">
        <f t="shared" si="1105"/>
        <v/>
      </c>
      <c r="F12640" s="138" t="str">
        <f t="shared" si="1106"/>
        <v/>
      </c>
      <c r="G12640" s="153" t="s">
        <v>51</v>
      </c>
      <c r="H12640" s="160"/>
      <c r="I12640" s="160" t="s">
        <v>47</v>
      </c>
      <c r="J12640" s="160" t="s">
        <v>52</v>
      </c>
      <c r="K12640" s="160" t="s">
        <v>27</v>
      </c>
      <c r="L12640" s="154" t="str">
        <f>IF(OpenLCAbasic!K12640="CTUh", "Fill in Manually",IF(OR(K12640="Unit", K12640=""), "", INDEX(LookUps!$E$5:$E$12, MATCH(OpenLCAbasic!K12640,LookUps!$D$5:$D$12,0))))</f>
        <v/>
      </c>
      <c r="M12640" s="154" t="str">
        <f t="shared" si="1107"/>
        <v>____Process__</v>
      </c>
    </row>
    <row r="12641" spans="1:13" s="120" customFormat="1" x14ac:dyDescent="0.25">
      <c r="A12641" s="119"/>
      <c r="B12641" s="138" t="str">
        <f t="shared" si="1103"/>
        <v>Aerated Static Pile</v>
      </c>
      <c r="C12641" s="138" t="str">
        <f t="shared" si="1104"/>
        <v>Without Amendment</v>
      </c>
      <c r="D12641" s="138" t="str">
        <f t="shared" ref="D12641:D12704" si="1109">IF(ISNUMBER($J12641),"High_High","")</f>
        <v>High_High</v>
      </c>
      <c r="E12641" s="138" t="str">
        <f t="shared" si="1105"/>
        <v>Base</v>
      </c>
      <c r="F12641" s="138" t="str">
        <f t="shared" si="1106"/>
        <v>Upgraded</v>
      </c>
      <c r="G12641" s="153"/>
      <c r="H12641" s="210">
        <v>0.33650000000000002</v>
      </c>
      <c r="I12641" s="160" t="s">
        <v>55</v>
      </c>
      <c r="J12641" s="160">
        <v>1.7219999999999999E-2</v>
      </c>
      <c r="K12641" s="160" t="s">
        <v>24</v>
      </c>
      <c r="L12641" s="154" t="str">
        <f>IF(OpenLCAbasic!K12641="CTUh", "Fill in Manually",IF(OR(K12641="Unit", K12641=""), "", INDEX(LookUps!$E$5:$E$12, MATCH(OpenLCAbasic!K12641,LookUps!$D$5:$D$12,0))))</f>
        <v>Acidification Potential (AP) - kg SO2 eq</v>
      </c>
      <c r="M12641" s="154" t="str">
        <f t="shared" si="1107"/>
        <v>Base_High_High_Upgraded_Acidification Potential (AP) - kg SO2 eq_Aeration Tanks; wastewater treatment unit; at updated plant - US_Without Amendment_Aerated Static Pile</v>
      </c>
    </row>
    <row r="12642" spans="1:13" s="120" customFormat="1" x14ac:dyDescent="0.25">
      <c r="A12642" s="119"/>
      <c r="B12642" s="138" t="str">
        <f t="shared" si="1103"/>
        <v>Aerated Static Pile</v>
      </c>
      <c r="C12642" s="138" t="str">
        <f t="shared" si="1104"/>
        <v>Without Amendment</v>
      </c>
      <c r="D12642" s="138" t="str">
        <f t="shared" si="1109"/>
        <v>High_High</v>
      </c>
      <c r="E12642" s="138" t="str">
        <f t="shared" si="1105"/>
        <v>Base</v>
      </c>
      <c r="F12642" s="138" t="str">
        <f t="shared" si="1106"/>
        <v>Upgraded</v>
      </c>
      <c r="G12642" s="153"/>
      <c r="H12642" s="210">
        <v>9.7299999999999998E-2</v>
      </c>
      <c r="I12642" s="160" t="s">
        <v>54</v>
      </c>
      <c r="J12642" s="160">
        <v>4.9800000000000001E-3</v>
      </c>
      <c r="K12642" s="160" t="s">
        <v>24</v>
      </c>
      <c r="L12642" s="154" t="str">
        <f>IF(OpenLCAbasic!K12642="CTUh", "Fill in Manually",IF(OR(K12642="Unit", K12642=""), "", INDEX(LookUps!$E$5:$E$12, MATCH(OpenLCAbasic!K12642,LookUps!$D$5:$D$12,0))))</f>
        <v>Acidification Potential (AP) - kg SO2 eq</v>
      </c>
      <c r="M12642" s="154" t="str">
        <f t="shared" si="1107"/>
        <v>Base_High_High_Upgraded_Acidification Potential (AP) - kg SO2 eq_Clear Cove Primary Clarification; wastewater treatment unit; at updated plant - US_Without Amendment_Aerated Static Pile</v>
      </c>
    </row>
    <row r="12643" spans="1:13" s="120" customFormat="1" x14ac:dyDescent="0.25">
      <c r="A12643" s="119"/>
      <c r="B12643" s="138" t="str">
        <f t="shared" si="1103"/>
        <v>Aerated Static Pile</v>
      </c>
      <c r="C12643" s="138" t="str">
        <f t="shared" si="1104"/>
        <v>Without Amendment</v>
      </c>
      <c r="D12643" s="138" t="str">
        <f t="shared" si="1109"/>
        <v>High_High</v>
      </c>
      <c r="E12643" s="138" t="str">
        <f t="shared" si="1105"/>
        <v>Base</v>
      </c>
      <c r="F12643" s="138" t="str">
        <f t="shared" si="1106"/>
        <v>Upgraded</v>
      </c>
      <c r="G12643" s="153"/>
      <c r="H12643" s="210">
        <v>8.5300000000000001E-2</v>
      </c>
      <c r="I12643" s="160" t="s">
        <v>58</v>
      </c>
      <c r="J12643" s="160">
        <v>4.3600000000000002E-3</v>
      </c>
      <c r="K12643" s="160" t="s">
        <v>24</v>
      </c>
      <c r="L12643" s="154" t="str">
        <f>IF(OpenLCAbasic!K12643="CTUh", "Fill in Manually",IF(OR(K12643="Unit", K12643=""), "", INDEX(LookUps!$E$5:$E$12, MATCH(OpenLCAbasic!K12643,LookUps!$D$5:$D$12,0))))</f>
        <v>Acidification Potential (AP) - kg SO2 eq</v>
      </c>
      <c r="M12643" s="154" t="str">
        <f t="shared" si="1107"/>
        <v>Base_High_High_Upgraded_Acidification Potential (AP) - kg SO2 eq_Pre-Anoxic &amp; Swing tank; wastewater treatment unit; at updated plant - US_Without Amendment_Aerated Static Pile</v>
      </c>
    </row>
    <row r="12644" spans="1:13" s="120" customFormat="1" x14ac:dyDescent="0.25">
      <c r="A12644" s="119"/>
      <c r="B12644" s="138" t="str">
        <f t="shared" si="1103"/>
        <v>Aerated Static Pile</v>
      </c>
      <c r="C12644" s="138" t="str">
        <f t="shared" si="1104"/>
        <v>Without Amendment</v>
      </c>
      <c r="D12644" s="138" t="str">
        <f t="shared" si="1109"/>
        <v>High_High</v>
      </c>
      <c r="E12644" s="138" t="str">
        <f t="shared" si="1105"/>
        <v>Base</v>
      </c>
      <c r="F12644" s="138" t="str">
        <f t="shared" si="1106"/>
        <v>Upgraded</v>
      </c>
      <c r="G12644" s="153"/>
      <c r="H12644" s="210">
        <v>6.7400000000000002E-2</v>
      </c>
      <c r="I12644" s="160" t="s">
        <v>53</v>
      </c>
      <c r="J12644" s="160">
        <v>3.4499999999999999E-3</v>
      </c>
      <c r="K12644" s="160" t="s">
        <v>24</v>
      </c>
      <c r="L12644" s="154" t="str">
        <f>IF(OpenLCAbasic!K12644="CTUh", "Fill in Manually",IF(OR(K12644="Unit", K12644=""), "", INDEX(LookUps!$E$5:$E$12, MATCH(OpenLCAbasic!K12644,LookUps!$D$5:$D$12,0))))</f>
        <v>Acidification Potential (AP) - kg SO2 eq</v>
      </c>
      <c r="M12644" s="154" t="str">
        <f t="shared" si="1107"/>
        <v>Base_High_High_Upgraded_Acidification Potential (AP) - kg SO2 eq_Wet Well and Sump Station; wastewater treatment unit; at updated plant - US_Without Amendment_Aerated Static Pile</v>
      </c>
    </row>
    <row r="12645" spans="1:13" s="120" customFormat="1" x14ac:dyDescent="0.25">
      <c r="A12645" s="119"/>
      <c r="B12645" s="138" t="str">
        <f t="shared" si="1103"/>
        <v>Aerated Static Pile</v>
      </c>
      <c r="C12645" s="138" t="str">
        <f t="shared" si="1104"/>
        <v>Without Amendment</v>
      </c>
      <c r="D12645" s="138" t="str">
        <f t="shared" si="1109"/>
        <v>High_High</v>
      </c>
      <c r="E12645" s="138" t="str">
        <f t="shared" si="1105"/>
        <v>Base</v>
      </c>
      <c r="F12645" s="138" t="str">
        <f t="shared" si="1106"/>
        <v>Upgraded</v>
      </c>
      <c r="G12645" s="153"/>
      <c r="H12645" s="210">
        <v>6.4600000000000005E-2</v>
      </c>
      <c r="I12645" s="160" t="s">
        <v>435</v>
      </c>
      <c r="J12645" s="160">
        <v>3.31E-3</v>
      </c>
      <c r="K12645" s="160" t="s">
        <v>24</v>
      </c>
      <c r="L12645" s="154" t="str">
        <f>IF(OpenLCAbasic!K12645="CTUh", "Fill in Manually",IF(OR(K12645="Unit", K12645=""), "", INDEX(LookUps!$E$5:$E$12, MATCH(OpenLCAbasic!K12645,LookUps!$D$5:$D$12,0))))</f>
        <v>Acidification Potential (AP) - kg SO2 eq</v>
      </c>
      <c r="M12645" s="154" t="str">
        <f t="shared" si="1107"/>
        <v>Base_High_High_Upgraded_Acidification Potential (AP) - kg SO2 eq_Biosolids composting; aerated static pile; wastewater treatment unit; at updated plant - US_Without Amendment_Aerated Static Pile</v>
      </c>
    </row>
    <row r="12646" spans="1:13" s="120" customFormat="1" x14ac:dyDescent="0.25">
      <c r="A12646" s="119"/>
      <c r="B12646" s="138" t="str">
        <f t="shared" si="1103"/>
        <v>Aerated Static Pile</v>
      </c>
      <c r="C12646" s="138" t="str">
        <f t="shared" si="1104"/>
        <v>Without Amendment</v>
      </c>
      <c r="D12646" s="138" t="str">
        <f t="shared" si="1109"/>
        <v>High_High</v>
      </c>
      <c r="E12646" s="138" t="str">
        <f t="shared" si="1105"/>
        <v>Base</v>
      </c>
      <c r="F12646" s="138" t="str">
        <f t="shared" si="1106"/>
        <v>Upgraded</v>
      </c>
      <c r="G12646" s="153"/>
      <c r="H12646" s="210">
        <v>6.08E-2</v>
      </c>
      <c r="I12646" s="160" t="s">
        <v>62</v>
      </c>
      <c r="J12646" s="160">
        <v>3.1099999999999999E-3</v>
      </c>
      <c r="K12646" s="160" t="s">
        <v>24</v>
      </c>
      <c r="L12646" s="154" t="str">
        <f>IF(OpenLCAbasic!K12646="CTUh", "Fill in Manually",IF(OR(K12646="Unit", K12646=""), "", INDEX(LookUps!$E$5:$E$12, MATCH(OpenLCAbasic!K12646,LookUps!$D$5:$D$12,0))))</f>
        <v>Acidification Potential (AP) - kg SO2 eq</v>
      </c>
      <c r="M12646" s="154" t="str">
        <f t="shared" si="1107"/>
        <v>Base_High_High_Upgraded_Acidification Potential (AP) - kg SO2 eq_Land application of compost; wastewater treatment unit; at updated plant - US_Without Amendment_Aerated Static Pile</v>
      </c>
    </row>
    <row r="12647" spans="1:13" s="120" customFormat="1" x14ac:dyDescent="0.25">
      <c r="A12647" s="119"/>
      <c r="B12647" s="138" t="str">
        <f t="shared" si="1103"/>
        <v>Aerated Static Pile</v>
      </c>
      <c r="C12647" s="138" t="str">
        <f t="shared" si="1104"/>
        <v>Without Amendment</v>
      </c>
      <c r="D12647" s="138" t="str">
        <f t="shared" si="1109"/>
        <v>High_High</v>
      </c>
      <c r="E12647" s="138" t="str">
        <f t="shared" si="1105"/>
        <v>Base</v>
      </c>
      <c r="F12647" s="138" t="str">
        <f t="shared" si="1106"/>
        <v>Upgraded</v>
      </c>
      <c r="G12647" s="153"/>
      <c r="H12647" s="210">
        <v>5.28E-2</v>
      </c>
      <c r="I12647" s="160" t="s">
        <v>167</v>
      </c>
      <c r="J12647" s="160">
        <v>2.7000000000000001E-3</v>
      </c>
      <c r="K12647" s="160" t="s">
        <v>24</v>
      </c>
      <c r="L12647" s="154" t="str">
        <f>IF(OpenLCAbasic!K12647="CTUh", "Fill in Manually",IF(OR(K12647="Unit", K12647=""), "", INDEX(LookUps!$E$5:$E$12, MATCH(OpenLCAbasic!K12647,LookUps!$D$5:$D$12,0))))</f>
        <v>Acidification Potential (AP) - kg SO2 eq</v>
      </c>
      <c r="M12647" s="154" t="str">
        <f t="shared" si="1107"/>
        <v>Base_High_High_Upgraded_Acidification Potential (AP) - kg SO2 eq_Waste Receiving and Holding; wastewater treatment unit; at updated plant - US_Without Amendment_Aerated Static Pile</v>
      </c>
    </row>
    <row r="12648" spans="1:13" s="120" customFormat="1" x14ac:dyDescent="0.25">
      <c r="A12648" s="119"/>
      <c r="B12648" s="138" t="str">
        <f t="shared" si="1103"/>
        <v>Aerated Static Pile</v>
      </c>
      <c r="C12648" s="138" t="str">
        <f t="shared" si="1104"/>
        <v>Without Amendment</v>
      </c>
      <c r="D12648" s="138" t="str">
        <f t="shared" si="1109"/>
        <v>High_High</v>
      </c>
      <c r="E12648" s="138" t="str">
        <f t="shared" si="1105"/>
        <v>Base</v>
      </c>
      <c r="F12648" s="138" t="str">
        <f t="shared" si="1106"/>
        <v>Upgraded</v>
      </c>
      <c r="G12648" s="153"/>
      <c r="H12648" s="210">
        <v>4.0399999999999998E-2</v>
      </c>
      <c r="I12648" s="160" t="s">
        <v>147</v>
      </c>
      <c r="J12648" s="160">
        <v>2.0699999999999998E-3</v>
      </c>
      <c r="K12648" s="160" t="s">
        <v>24</v>
      </c>
      <c r="L12648" s="154" t="str">
        <f>IF(OpenLCAbasic!K12648="CTUh", "Fill in Manually",IF(OR(K12648="Unit", K12648=""), "", INDEX(LookUps!$E$5:$E$12, MATCH(OpenLCAbasic!K12648,LookUps!$D$5:$D$12,0))))</f>
        <v>Acidification Potential (AP) - kg SO2 eq</v>
      </c>
      <c r="M12648" s="154" t="str">
        <f t="shared" si="1107"/>
        <v>Base_High_High_Upgraded_Acidification Potential (AP) - kg SO2 eq_Influent Pump Station; wastewater treatment unit; at updated plant - US_Without Amendment_Aerated Static Pile</v>
      </c>
    </row>
    <row r="12649" spans="1:13" s="120" customFormat="1" x14ac:dyDescent="0.25">
      <c r="A12649" s="119"/>
      <c r="B12649" s="138" t="str">
        <f t="shared" ref="B12649:B12712" si="1110">IF(F12649="Legacy","n.a.",IF(F12649="","","Aerated Static Pile"))</f>
        <v>Aerated Static Pile</v>
      </c>
      <c r="C12649" s="138" t="str">
        <f t="shared" ref="C12649:C12712" si="1111">IF(ISNUMBER($J12649),"Without Amendment","")</f>
        <v>Without Amendment</v>
      </c>
      <c r="D12649" s="138" t="str">
        <f t="shared" si="1109"/>
        <v>High_High</v>
      </c>
      <c r="E12649" s="138" t="str">
        <f t="shared" ref="E12649:E12712" si="1112">IF(ISNUMBER($J12649),"Base","")</f>
        <v>Base</v>
      </c>
      <c r="F12649" s="138" t="str">
        <f t="shared" ref="F12649:F12712" si="1113">IF(ISNUMBER(J12649),"Upgraded","")</f>
        <v>Upgraded</v>
      </c>
      <c r="G12649" s="153"/>
      <c r="H12649" s="210">
        <v>2.7E-2</v>
      </c>
      <c r="I12649" s="160" t="s">
        <v>60</v>
      </c>
      <c r="J12649" s="160">
        <v>1.3799999999999999E-3</v>
      </c>
      <c r="K12649" s="160" t="s">
        <v>24</v>
      </c>
      <c r="L12649" s="154" t="str">
        <f>IF(OpenLCAbasic!K12649="CTUh", "Fill in Manually",IF(OR(K12649="Unit", K12649=""), "", INDEX(LookUps!$E$5:$E$12, MATCH(OpenLCAbasic!K12649,LookUps!$D$5:$D$12,0))))</f>
        <v>Acidification Potential (AP) - kg SO2 eq</v>
      </c>
      <c r="M12649" s="154" t="str">
        <f t="shared" si="1107"/>
        <v>Base_High_High_Upgraded_Acidification Potential (AP) - kg SO2 eq_Belt filter press; wastewater treatment unit; at updated plant - US_Without Amendment_Aerated Static Pile</v>
      </c>
    </row>
    <row r="12650" spans="1:13" s="120" customFormat="1" x14ac:dyDescent="0.25">
      <c r="A12650" s="119"/>
      <c r="B12650" s="138" t="str">
        <f t="shared" si="1110"/>
        <v>Aerated Static Pile</v>
      </c>
      <c r="C12650" s="138" t="str">
        <f t="shared" si="1111"/>
        <v>Without Amendment</v>
      </c>
      <c r="D12650" s="138" t="str">
        <f t="shared" si="1109"/>
        <v>High_High</v>
      </c>
      <c r="E12650" s="138" t="str">
        <f t="shared" si="1112"/>
        <v>Base</v>
      </c>
      <c r="F12650" s="138" t="str">
        <f t="shared" si="1113"/>
        <v>Upgraded</v>
      </c>
      <c r="G12650" s="153"/>
      <c r="H12650" s="210">
        <v>2.41E-2</v>
      </c>
      <c r="I12650" s="160" t="s">
        <v>128</v>
      </c>
      <c r="J12650" s="160">
        <v>1.23E-3</v>
      </c>
      <c r="K12650" s="160" t="s">
        <v>24</v>
      </c>
      <c r="L12650" s="154" t="str">
        <f>IF(OpenLCAbasic!K12650="CTUh", "Fill in Manually",IF(OR(K12650="Unit", K12650=""), "", INDEX(LookUps!$E$5:$E$12, MATCH(OpenLCAbasic!K12650,LookUps!$D$5:$D$12,0))))</f>
        <v>Acidification Potential (AP) - kg SO2 eq</v>
      </c>
      <c r="M12650" s="154" t="str">
        <f t="shared" si="1107"/>
        <v>Base_High_High_Upgraded_Acidification Potential (AP) - kg SO2 eq_Wastewater collection; operation and infrastructure; m3 wastewater_Without Amendment_Aerated Static Pile</v>
      </c>
    </row>
    <row r="12651" spans="1:13" s="120" customFormat="1" x14ac:dyDescent="0.25">
      <c r="A12651" s="119"/>
      <c r="B12651" s="138" t="str">
        <f t="shared" si="1110"/>
        <v>Aerated Static Pile</v>
      </c>
      <c r="C12651" s="138" t="str">
        <f t="shared" si="1111"/>
        <v>Without Amendment</v>
      </c>
      <c r="D12651" s="138" t="str">
        <f t="shared" si="1109"/>
        <v>High_High</v>
      </c>
      <c r="E12651" s="138" t="str">
        <f t="shared" si="1112"/>
        <v>Base</v>
      </c>
      <c r="F12651" s="138" t="str">
        <f t="shared" si="1113"/>
        <v>Upgraded</v>
      </c>
      <c r="G12651" s="153"/>
      <c r="H12651" s="210">
        <v>1.38E-2</v>
      </c>
      <c r="I12651" s="160" t="s">
        <v>57</v>
      </c>
      <c r="J12651" s="160">
        <v>6.9999999999999999E-4</v>
      </c>
      <c r="K12651" s="160" t="s">
        <v>24</v>
      </c>
      <c r="L12651" s="154" t="str">
        <f>IF(OpenLCAbasic!K12651="CTUh", "Fill in Manually",IF(OR(K12651="Unit", K12651=""), "", INDEX(LookUps!$E$5:$E$12, MATCH(OpenLCAbasic!K12651,LookUps!$D$5:$D$12,0))))</f>
        <v>Acidification Potential (AP) - kg SO2 eq</v>
      </c>
      <c r="M12651" s="154" t="str">
        <f t="shared" si="1107"/>
        <v>Base_High_High_Upgraded_Acidification Potential (AP) - kg SO2 eq_Gravity Belt Thickener; wastewater treatment unit; at updated plant - US_Without Amendment_Aerated Static Pile</v>
      </c>
    </row>
    <row r="12652" spans="1:13" s="120" customFormat="1" x14ac:dyDescent="0.25">
      <c r="A12652" s="119"/>
      <c r="B12652" s="138" t="str">
        <f t="shared" si="1110"/>
        <v>Aerated Static Pile</v>
      </c>
      <c r="C12652" s="138" t="str">
        <f t="shared" si="1111"/>
        <v>Without Amendment</v>
      </c>
      <c r="D12652" s="138" t="str">
        <f t="shared" si="1109"/>
        <v>High_High</v>
      </c>
      <c r="E12652" s="138" t="str">
        <f t="shared" si="1112"/>
        <v>Base</v>
      </c>
      <c r="F12652" s="138" t="str">
        <f t="shared" si="1113"/>
        <v>Upgraded</v>
      </c>
      <c r="G12652" s="153"/>
      <c r="H12652" s="210">
        <v>1.01E-2</v>
      </c>
      <c r="I12652" s="160" t="s">
        <v>59</v>
      </c>
      <c r="J12652" s="160">
        <v>5.1999999999999995E-4</v>
      </c>
      <c r="K12652" s="160" t="s">
        <v>24</v>
      </c>
      <c r="L12652" s="154" t="str">
        <f>IF(OpenLCAbasic!K12652="CTUh", "Fill in Manually",IF(OR(K12652="Unit", K12652=""), "", INDEX(LookUps!$E$5:$E$12, MATCH(OpenLCAbasic!K12652,LookUps!$D$5:$D$12,0))))</f>
        <v>Acidification Potential (AP) - kg SO2 eq</v>
      </c>
      <c r="M12652" s="154" t="str">
        <f t="shared" si="1107"/>
        <v>Base_High_High_Upgraded_Acidification Potential (AP) - kg SO2 eq_Blend Tank; wastewater treatment unit; at updated plant - US_Without Amendment_Aerated Static Pile</v>
      </c>
    </row>
    <row r="12653" spans="1:13" s="120" customFormat="1" x14ac:dyDescent="0.25">
      <c r="A12653" s="119"/>
      <c r="B12653" s="138" t="str">
        <f t="shared" si="1110"/>
        <v>Aerated Static Pile</v>
      </c>
      <c r="C12653" s="138" t="str">
        <f t="shared" si="1111"/>
        <v>Without Amendment</v>
      </c>
      <c r="D12653" s="138" t="str">
        <f t="shared" si="1109"/>
        <v>High_High</v>
      </c>
      <c r="E12653" s="138" t="str">
        <f t="shared" si="1112"/>
        <v>Base</v>
      </c>
      <c r="F12653" s="138" t="str">
        <f t="shared" si="1113"/>
        <v>Upgraded</v>
      </c>
      <c r="G12653" s="153"/>
      <c r="H12653" s="210">
        <v>6.7999999999999996E-3</v>
      </c>
      <c r="I12653" s="160" t="s">
        <v>48</v>
      </c>
      <c r="J12653" s="160">
        <v>3.5E-4</v>
      </c>
      <c r="K12653" s="160" t="s">
        <v>24</v>
      </c>
      <c r="L12653" s="154" t="str">
        <f>IF(OpenLCAbasic!K12653="CTUh", "Fill in Manually",IF(OR(K12653="Unit", K12653=""), "", INDEX(LookUps!$E$5:$E$12, MATCH(OpenLCAbasic!K12653,LookUps!$D$5:$D$12,0))))</f>
        <v>Acidification Potential (AP) - kg SO2 eq</v>
      </c>
      <c r="M12653" s="154" t="str">
        <f t="shared" si="1107"/>
        <v>Base_High_High_Upgraded_Acidification Potential (AP) - kg SO2 eq_Effluent release; wastewater treatment unit; at surface water; m3 wastewater - US_Without Amendment_Aerated Static Pile</v>
      </c>
    </row>
    <row r="12654" spans="1:13" s="120" customFormat="1" x14ac:dyDescent="0.25">
      <c r="A12654" s="119"/>
      <c r="B12654" s="138" t="str">
        <f t="shared" si="1110"/>
        <v>Aerated Static Pile</v>
      </c>
      <c r="C12654" s="138" t="str">
        <f t="shared" si="1111"/>
        <v>Without Amendment</v>
      </c>
      <c r="D12654" s="138" t="str">
        <f t="shared" si="1109"/>
        <v>High_High</v>
      </c>
      <c r="E12654" s="138" t="str">
        <f t="shared" si="1112"/>
        <v>Base</v>
      </c>
      <c r="F12654" s="138" t="str">
        <f t="shared" si="1113"/>
        <v>Upgraded</v>
      </c>
      <c r="G12654" s="153"/>
      <c r="H12654" s="210">
        <v>5.0000000000000001E-3</v>
      </c>
      <c r="I12654" s="160" t="s">
        <v>168</v>
      </c>
      <c r="J12654" s="160">
        <v>2.5999999999999998E-4</v>
      </c>
      <c r="K12654" s="160" t="s">
        <v>24</v>
      </c>
      <c r="L12654" s="154" t="str">
        <f>IF(OpenLCAbasic!K12654="CTUh", "Fill in Manually",IF(OR(K12654="Unit", K12654=""), "", INDEX(LookUps!$E$5:$E$12, MATCH(OpenLCAbasic!K12654,LookUps!$D$5:$D$12,0))))</f>
        <v>Acidification Potential (AP) - kg SO2 eq</v>
      </c>
      <c r="M12654" s="154" t="str">
        <f t="shared" si="1107"/>
        <v>Base_High_High_Upgraded_Acidification Potential (AP) - kg SO2 eq_ClearCove SCP; wastewater treatment unit; at updated plant - US_Without Amendment_Aerated Static Pile</v>
      </c>
    </row>
    <row r="12655" spans="1:13" s="120" customFormat="1" x14ac:dyDescent="0.25">
      <c r="A12655" s="119"/>
      <c r="B12655" s="138" t="str">
        <f t="shared" si="1110"/>
        <v>Aerated Static Pile</v>
      </c>
      <c r="C12655" s="138" t="str">
        <f t="shared" si="1111"/>
        <v>Without Amendment</v>
      </c>
      <c r="D12655" s="138" t="str">
        <f t="shared" si="1109"/>
        <v>High_High</v>
      </c>
      <c r="E12655" s="138" t="str">
        <f t="shared" si="1112"/>
        <v>Base</v>
      </c>
      <c r="F12655" s="138" t="str">
        <f t="shared" si="1113"/>
        <v>Upgraded</v>
      </c>
      <c r="G12655" s="153"/>
      <c r="H12655" s="210">
        <v>8.0000000000000004E-4</v>
      </c>
      <c r="I12655" s="160" t="s">
        <v>148</v>
      </c>
      <c r="J12655" s="211">
        <v>4.0354700000000002E-5</v>
      </c>
      <c r="K12655" s="160" t="s">
        <v>24</v>
      </c>
      <c r="L12655" s="154" t="str">
        <f>IF(OpenLCAbasic!K12655="CTUh", "Fill in Manually",IF(OR(K12655="Unit", K12655=""), "", INDEX(LookUps!$E$5:$E$12, MATCH(OpenLCAbasic!K12655,LookUps!$D$5:$D$12,0))))</f>
        <v>Acidification Potential (AP) - kg SO2 eq</v>
      </c>
      <c r="M12655" s="154" t="str">
        <f t="shared" si="1107"/>
        <v>Base_High_High_Upgraded_Acidification Potential (AP) - kg SO2 eq_Control Building; at upgraded wastewater treatment plant - US_Without Amendment_Aerated Static Pile</v>
      </c>
    </row>
    <row r="12656" spans="1:13" s="120" customFormat="1" x14ac:dyDescent="0.25">
      <c r="A12656" s="119"/>
      <c r="B12656" s="138" t="str">
        <f t="shared" si="1110"/>
        <v>Aerated Static Pile</v>
      </c>
      <c r="C12656" s="138" t="str">
        <f t="shared" si="1111"/>
        <v>Without Amendment</v>
      </c>
      <c r="D12656" s="138" t="str">
        <f t="shared" si="1109"/>
        <v>High_High</v>
      </c>
      <c r="E12656" s="138" t="str">
        <f t="shared" si="1112"/>
        <v>Base</v>
      </c>
      <c r="F12656" s="138" t="str">
        <f t="shared" si="1113"/>
        <v>Upgraded</v>
      </c>
      <c r="G12656" s="153"/>
      <c r="H12656" s="210">
        <v>-1.8928</v>
      </c>
      <c r="I12656" s="160" t="s">
        <v>149</v>
      </c>
      <c r="J12656" s="160">
        <v>-9.6839999999999996E-2</v>
      </c>
      <c r="K12656" s="160" t="s">
        <v>24</v>
      </c>
      <c r="L12656" s="154" t="str">
        <f>IF(OpenLCAbasic!K12656="CTUh", "Fill in Manually",IF(OR(K12656="Unit", K12656=""), "", INDEX(LookUps!$E$5:$E$12, MATCH(OpenLCAbasic!K12656,LookUps!$D$5:$D$12,0))))</f>
        <v>Acidification Potential (AP) - kg SO2 eq</v>
      </c>
      <c r="M12656" s="154" t="str">
        <f t="shared" si="1107"/>
        <v>Base_High_High_Upgraded_Acidification Potential (AP) - kg SO2 eq_Anaerobic Digestion; wastewater treatment unit; at updated plant - US_Without Amendment_Aerated Static Pile</v>
      </c>
    </row>
    <row r="12657" spans="1:13" s="120" customFormat="1" x14ac:dyDescent="0.25">
      <c r="A12657" s="119"/>
      <c r="B12657" s="138" t="str">
        <f t="shared" si="1110"/>
        <v/>
      </c>
      <c r="C12657" s="138" t="str">
        <f t="shared" si="1111"/>
        <v/>
      </c>
      <c r="D12657" s="138" t="str">
        <f t="shared" si="1109"/>
        <v/>
      </c>
      <c r="E12657" s="138" t="str">
        <f t="shared" si="1112"/>
        <v/>
      </c>
      <c r="F12657" s="138" t="str">
        <f t="shared" si="1113"/>
        <v/>
      </c>
      <c r="G12657" s="153" t="s">
        <v>51</v>
      </c>
      <c r="H12657" s="160"/>
      <c r="I12657" s="160" t="s">
        <v>47</v>
      </c>
      <c r="J12657" s="160" t="s">
        <v>52</v>
      </c>
      <c r="K12657" s="160" t="s">
        <v>27</v>
      </c>
      <c r="L12657" s="154" t="str">
        <f>IF(OpenLCAbasic!K12657="CTUh", "Fill in Manually",IF(OR(K12657="Unit", K12657=""), "", INDEX(LookUps!$E$5:$E$12, MATCH(OpenLCAbasic!K12657,LookUps!$D$5:$D$12,0))))</f>
        <v/>
      </c>
      <c r="M12657" s="154" t="str">
        <f t="shared" si="1107"/>
        <v>____Process__</v>
      </c>
    </row>
    <row r="12658" spans="1:13" s="120" customFormat="1" x14ac:dyDescent="0.25">
      <c r="A12658" s="119"/>
      <c r="B12658" s="138" t="str">
        <f t="shared" si="1110"/>
        <v>Aerated Static Pile</v>
      </c>
      <c r="C12658" s="138" t="str">
        <f t="shared" si="1111"/>
        <v>Without Amendment</v>
      </c>
      <c r="D12658" s="138" t="str">
        <f t="shared" si="1109"/>
        <v>High_High</v>
      </c>
      <c r="E12658" s="138" t="str">
        <f t="shared" si="1112"/>
        <v>Base</v>
      </c>
      <c r="F12658" s="138" t="str">
        <f t="shared" si="1113"/>
        <v>Upgraded</v>
      </c>
      <c r="G12658" s="153"/>
      <c r="H12658" s="210">
        <v>0.53520000000000001</v>
      </c>
      <c r="I12658" s="160" t="s">
        <v>167</v>
      </c>
      <c r="J12658" s="160">
        <v>5.1393399999999998</v>
      </c>
      <c r="K12658" s="160" t="s">
        <v>15</v>
      </c>
      <c r="L12658" s="154" t="str">
        <f>IF(OpenLCAbasic!K12658="CTUh", "Fill in Manually",IF(OR(K12658="Unit", K12658=""), "", INDEX(LookUps!$E$5:$E$12, MATCH(OpenLCAbasic!K12658,LookUps!$D$5:$D$12,0))))</f>
        <v>Cumulative Energy Demand (CED) - MJ</v>
      </c>
      <c r="M12658" s="154" t="str">
        <f t="shared" si="1107"/>
        <v>Base_High_High_Upgraded_Cumulative Energy Demand (CED) - MJ_Waste Receiving and Holding; wastewater treatment unit; at updated plant - US_Without Amendment_Aerated Static Pile</v>
      </c>
    </row>
    <row r="12659" spans="1:13" s="120" customFormat="1" x14ac:dyDescent="0.25">
      <c r="A12659" s="119"/>
      <c r="B12659" s="138" t="str">
        <f t="shared" si="1110"/>
        <v>Aerated Static Pile</v>
      </c>
      <c r="C12659" s="138" t="str">
        <f t="shared" si="1111"/>
        <v>Without Amendment</v>
      </c>
      <c r="D12659" s="138" t="str">
        <f t="shared" si="1109"/>
        <v>High_High</v>
      </c>
      <c r="E12659" s="138" t="str">
        <f t="shared" si="1112"/>
        <v>Base</v>
      </c>
      <c r="F12659" s="138" t="str">
        <f t="shared" si="1113"/>
        <v>Upgraded</v>
      </c>
      <c r="G12659" s="153"/>
      <c r="H12659" s="210">
        <v>0.3679</v>
      </c>
      <c r="I12659" s="160" t="s">
        <v>55</v>
      </c>
      <c r="J12659" s="160">
        <v>3.5330499999999998</v>
      </c>
      <c r="K12659" s="160" t="s">
        <v>15</v>
      </c>
      <c r="L12659" s="154" t="str">
        <f>IF(OpenLCAbasic!K12659="CTUh", "Fill in Manually",IF(OR(K12659="Unit", K12659=""), "", INDEX(LookUps!$E$5:$E$12, MATCH(OpenLCAbasic!K12659,LookUps!$D$5:$D$12,0))))</f>
        <v>Cumulative Energy Demand (CED) - MJ</v>
      </c>
      <c r="M12659" s="154" t="str">
        <f t="shared" si="1107"/>
        <v>Base_High_High_Upgraded_Cumulative Energy Demand (CED) - MJ_Aeration Tanks; wastewater treatment unit; at updated plant - US_Without Amendment_Aerated Static Pile</v>
      </c>
    </row>
    <row r="12660" spans="1:13" s="120" customFormat="1" x14ac:dyDescent="0.25">
      <c r="A12660" s="119"/>
      <c r="B12660" s="138" t="str">
        <f t="shared" si="1110"/>
        <v>Aerated Static Pile</v>
      </c>
      <c r="C12660" s="138" t="str">
        <f t="shared" si="1111"/>
        <v>Without Amendment</v>
      </c>
      <c r="D12660" s="138" t="str">
        <f t="shared" si="1109"/>
        <v>High_High</v>
      </c>
      <c r="E12660" s="138" t="str">
        <f t="shared" si="1112"/>
        <v>Base</v>
      </c>
      <c r="F12660" s="138" t="str">
        <f t="shared" si="1113"/>
        <v>Upgraded</v>
      </c>
      <c r="G12660" s="153"/>
      <c r="H12660" s="210">
        <v>0.1211</v>
      </c>
      <c r="I12660" s="160" t="s">
        <v>54</v>
      </c>
      <c r="J12660" s="160">
        <v>1.16289</v>
      </c>
      <c r="K12660" s="160" t="s">
        <v>15</v>
      </c>
      <c r="L12660" s="154" t="str">
        <f>IF(OpenLCAbasic!K12660="CTUh", "Fill in Manually",IF(OR(K12660="Unit", K12660=""), "", INDEX(LookUps!$E$5:$E$12, MATCH(OpenLCAbasic!K12660,LookUps!$D$5:$D$12,0))))</f>
        <v>Cumulative Energy Demand (CED) - MJ</v>
      </c>
      <c r="M12660" s="154" t="str">
        <f t="shared" si="1107"/>
        <v>Base_High_High_Upgraded_Cumulative Energy Demand (CED) - MJ_Clear Cove Primary Clarification; wastewater treatment unit; at updated plant - US_Without Amendment_Aerated Static Pile</v>
      </c>
    </row>
    <row r="12661" spans="1:13" s="120" customFormat="1" x14ac:dyDescent="0.25">
      <c r="A12661" s="119"/>
      <c r="B12661" s="138" t="str">
        <f t="shared" si="1110"/>
        <v>Aerated Static Pile</v>
      </c>
      <c r="C12661" s="138" t="str">
        <f t="shared" si="1111"/>
        <v>Without Amendment</v>
      </c>
      <c r="D12661" s="138" t="str">
        <f t="shared" si="1109"/>
        <v>High_High</v>
      </c>
      <c r="E12661" s="138" t="str">
        <f t="shared" si="1112"/>
        <v>Base</v>
      </c>
      <c r="F12661" s="138" t="str">
        <f t="shared" si="1113"/>
        <v>Upgraded</v>
      </c>
      <c r="G12661" s="153"/>
      <c r="H12661" s="210">
        <v>9.2700000000000005E-2</v>
      </c>
      <c r="I12661" s="160" t="s">
        <v>58</v>
      </c>
      <c r="J12661" s="160">
        <v>0.89063999999999999</v>
      </c>
      <c r="K12661" s="160" t="s">
        <v>15</v>
      </c>
      <c r="L12661" s="154" t="str">
        <f>IF(OpenLCAbasic!K12661="CTUh", "Fill in Manually",IF(OR(K12661="Unit", K12661=""), "", INDEX(LookUps!$E$5:$E$12, MATCH(OpenLCAbasic!K12661,LookUps!$D$5:$D$12,0))))</f>
        <v>Cumulative Energy Demand (CED) - MJ</v>
      </c>
      <c r="M12661" s="154" t="str">
        <f t="shared" si="1107"/>
        <v>Base_High_High_Upgraded_Cumulative Energy Demand (CED) - MJ_Pre-Anoxic &amp; Swing tank; wastewater treatment unit; at updated plant - US_Without Amendment_Aerated Static Pile</v>
      </c>
    </row>
    <row r="12662" spans="1:13" s="120" customFormat="1" x14ac:dyDescent="0.25">
      <c r="A12662" s="119"/>
      <c r="B12662" s="138" t="str">
        <f t="shared" si="1110"/>
        <v>Aerated Static Pile</v>
      </c>
      <c r="C12662" s="138" t="str">
        <f t="shared" si="1111"/>
        <v>Without Amendment</v>
      </c>
      <c r="D12662" s="138" t="str">
        <f t="shared" si="1109"/>
        <v>High_High</v>
      </c>
      <c r="E12662" s="138" t="str">
        <f t="shared" si="1112"/>
        <v>Base</v>
      </c>
      <c r="F12662" s="138" t="str">
        <f t="shared" si="1113"/>
        <v>Upgraded</v>
      </c>
      <c r="G12662" s="153"/>
      <c r="H12662" s="210">
        <v>9.1999999999999998E-2</v>
      </c>
      <c r="I12662" s="160" t="s">
        <v>147</v>
      </c>
      <c r="J12662" s="160">
        <v>0.88297000000000003</v>
      </c>
      <c r="K12662" s="160" t="s">
        <v>15</v>
      </c>
      <c r="L12662" s="154" t="str">
        <f>IF(OpenLCAbasic!K12662="CTUh", "Fill in Manually",IF(OR(K12662="Unit", K12662=""), "", INDEX(LookUps!$E$5:$E$12, MATCH(OpenLCAbasic!K12662,LookUps!$D$5:$D$12,0))))</f>
        <v>Cumulative Energy Demand (CED) - MJ</v>
      </c>
      <c r="M12662" s="154" t="str">
        <f t="shared" si="1107"/>
        <v>Base_High_High_Upgraded_Cumulative Energy Demand (CED) - MJ_Influent Pump Station; wastewater treatment unit; at updated plant - US_Without Amendment_Aerated Static Pile</v>
      </c>
    </row>
    <row r="12663" spans="1:13" s="120" customFormat="1" x14ac:dyDescent="0.25">
      <c r="A12663" s="119"/>
      <c r="B12663" s="138" t="str">
        <f t="shared" si="1110"/>
        <v>Aerated Static Pile</v>
      </c>
      <c r="C12663" s="138" t="str">
        <f t="shared" si="1111"/>
        <v>Without Amendment</v>
      </c>
      <c r="D12663" s="138" t="str">
        <f t="shared" si="1109"/>
        <v>High_High</v>
      </c>
      <c r="E12663" s="138" t="str">
        <f t="shared" si="1112"/>
        <v>Base</v>
      </c>
      <c r="F12663" s="138" t="str">
        <f t="shared" si="1113"/>
        <v>Upgraded</v>
      </c>
      <c r="G12663" s="153"/>
      <c r="H12663" s="210">
        <v>7.2499999999999995E-2</v>
      </c>
      <c r="I12663" s="160" t="s">
        <v>53</v>
      </c>
      <c r="J12663" s="160">
        <v>0.69645000000000001</v>
      </c>
      <c r="K12663" s="160" t="s">
        <v>15</v>
      </c>
      <c r="L12663" s="154" t="str">
        <f>IF(OpenLCAbasic!K12663="CTUh", "Fill in Manually",IF(OR(K12663="Unit", K12663=""), "", INDEX(LookUps!$E$5:$E$12, MATCH(OpenLCAbasic!K12663,LookUps!$D$5:$D$12,0))))</f>
        <v>Cumulative Energy Demand (CED) - MJ</v>
      </c>
      <c r="M12663" s="154" t="str">
        <f t="shared" si="1107"/>
        <v>Base_High_High_Upgraded_Cumulative Energy Demand (CED) - MJ_Wet Well and Sump Station; wastewater treatment unit; at updated plant - US_Without Amendment_Aerated Static Pile</v>
      </c>
    </row>
    <row r="12664" spans="1:13" s="120" customFormat="1" x14ac:dyDescent="0.25">
      <c r="A12664" s="119"/>
      <c r="B12664" s="138" t="str">
        <f t="shared" si="1110"/>
        <v>Aerated Static Pile</v>
      </c>
      <c r="C12664" s="138" t="str">
        <f t="shared" si="1111"/>
        <v>Without Amendment</v>
      </c>
      <c r="D12664" s="138" t="str">
        <f t="shared" si="1109"/>
        <v>High_High</v>
      </c>
      <c r="E12664" s="138" t="str">
        <f t="shared" si="1112"/>
        <v>Base</v>
      </c>
      <c r="F12664" s="138" t="str">
        <f t="shared" si="1113"/>
        <v>Upgraded</v>
      </c>
      <c r="G12664" s="153"/>
      <c r="H12664" s="210">
        <v>6.4899999999999999E-2</v>
      </c>
      <c r="I12664" s="160" t="s">
        <v>435</v>
      </c>
      <c r="J12664" s="160">
        <v>0.62302999999999997</v>
      </c>
      <c r="K12664" s="160" t="s">
        <v>15</v>
      </c>
      <c r="L12664" s="154" t="str">
        <f>IF(OpenLCAbasic!K12664="CTUh", "Fill in Manually",IF(OR(K12664="Unit", K12664=""), "", INDEX(LookUps!$E$5:$E$12, MATCH(OpenLCAbasic!K12664,LookUps!$D$5:$D$12,0))))</f>
        <v>Cumulative Energy Demand (CED) - MJ</v>
      </c>
      <c r="M12664" s="154" t="str">
        <f t="shared" si="1107"/>
        <v>Base_High_High_Upgraded_Cumulative Energy Demand (CED) - MJ_Biosolids composting; aerated static pile; wastewater treatment unit; at updated plant - US_Without Amendment_Aerated Static Pile</v>
      </c>
    </row>
    <row r="12665" spans="1:13" s="120" customFormat="1" x14ac:dyDescent="0.25">
      <c r="A12665" s="119"/>
      <c r="B12665" s="138" t="str">
        <f t="shared" si="1110"/>
        <v>Aerated Static Pile</v>
      </c>
      <c r="C12665" s="138" t="str">
        <f t="shared" si="1111"/>
        <v>Without Amendment</v>
      </c>
      <c r="D12665" s="138" t="str">
        <f t="shared" si="1109"/>
        <v>High_High</v>
      </c>
      <c r="E12665" s="138" t="str">
        <f t="shared" si="1112"/>
        <v>Base</v>
      </c>
      <c r="F12665" s="138" t="str">
        <f t="shared" si="1113"/>
        <v>Upgraded</v>
      </c>
      <c r="G12665" s="153"/>
      <c r="H12665" s="210">
        <v>5.3800000000000001E-2</v>
      </c>
      <c r="I12665" s="160" t="s">
        <v>60</v>
      </c>
      <c r="J12665" s="160">
        <v>0.51639000000000002</v>
      </c>
      <c r="K12665" s="160" t="s">
        <v>15</v>
      </c>
      <c r="L12665" s="154" t="str">
        <f>IF(OpenLCAbasic!K12665="CTUh", "Fill in Manually",IF(OR(K12665="Unit", K12665=""), "", INDEX(LookUps!$E$5:$E$12, MATCH(OpenLCAbasic!K12665,LookUps!$D$5:$D$12,0))))</f>
        <v>Cumulative Energy Demand (CED) - MJ</v>
      </c>
      <c r="M12665" s="154" t="str">
        <f t="shared" si="1107"/>
        <v>Base_High_High_Upgraded_Cumulative Energy Demand (CED) - MJ_Belt filter press; wastewater treatment unit; at updated plant - US_Without Amendment_Aerated Static Pile</v>
      </c>
    </row>
    <row r="12666" spans="1:13" s="120" customFormat="1" x14ac:dyDescent="0.25">
      <c r="A12666" s="119"/>
      <c r="B12666" s="138" t="str">
        <f t="shared" si="1110"/>
        <v>Aerated Static Pile</v>
      </c>
      <c r="C12666" s="138" t="str">
        <f t="shared" si="1111"/>
        <v>Without Amendment</v>
      </c>
      <c r="D12666" s="138" t="str">
        <f t="shared" si="1109"/>
        <v>High_High</v>
      </c>
      <c r="E12666" s="138" t="str">
        <f t="shared" si="1112"/>
        <v>Base</v>
      </c>
      <c r="F12666" s="138" t="str">
        <f t="shared" si="1113"/>
        <v>Upgraded</v>
      </c>
      <c r="G12666" s="153"/>
      <c r="H12666" s="210">
        <v>3.4799999999999998E-2</v>
      </c>
      <c r="I12666" s="160" t="s">
        <v>57</v>
      </c>
      <c r="J12666" s="160">
        <v>0.33404</v>
      </c>
      <c r="K12666" s="160" t="s">
        <v>15</v>
      </c>
      <c r="L12666" s="154" t="str">
        <f>IF(OpenLCAbasic!K12666="CTUh", "Fill in Manually",IF(OR(K12666="Unit", K12666=""), "", INDEX(LookUps!$E$5:$E$12, MATCH(OpenLCAbasic!K12666,LookUps!$D$5:$D$12,0))))</f>
        <v>Cumulative Energy Demand (CED) - MJ</v>
      </c>
      <c r="M12666" s="154" t="str">
        <f t="shared" si="1107"/>
        <v>Base_High_High_Upgraded_Cumulative Energy Demand (CED) - MJ_Gravity Belt Thickener; wastewater treatment unit; at updated plant - US_Without Amendment_Aerated Static Pile</v>
      </c>
    </row>
    <row r="12667" spans="1:13" s="120" customFormat="1" x14ac:dyDescent="0.25">
      <c r="A12667" s="119"/>
      <c r="B12667" s="138" t="str">
        <f t="shared" si="1110"/>
        <v>Aerated Static Pile</v>
      </c>
      <c r="C12667" s="138" t="str">
        <f t="shared" si="1111"/>
        <v>Without Amendment</v>
      </c>
      <c r="D12667" s="138" t="str">
        <f t="shared" si="1109"/>
        <v>High_High</v>
      </c>
      <c r="E12667" s="138" t="str">
        <f t="shared" si="1112"/>
        <v>Base</v>
      </c>
      <c r="F12667" s="138" t="str">
        <f t="shared" si="1113"/>
        <v>Upgraded</v>
      </c>
      <c r="G12667" s="153"/>
      <c r="H12667" s="210">
        <v>2.6700000000000002E-2</v>
      </c>
      <c r="I12667" s="160" t="s">
        <v>128</v>
      </c>
      <c r="J12667" s="160">
        <v>0.25606000000000001</v>
      </c>
      <c r="K12667" s="160" t="s">
        <v>15</v>
      </c>
      <c r="L12667" s="154" t="str">
        <f>IF(OpenLCAbasic!K12667="CTUh", "Fill in Manually",IF(OR(K12667="Unit", K12667=""), "", INDEX(LookUps!$E$5:$E$12, MATCH(OpenLCAbasic!K12667,LookUps!$D$5:$D$12,0))))</f>
        <v>Cumulative Energy Demand (CED) - MJ</v>
      </c>
      <c r="M12667" s="154" t="str">
        <f t="shared" si="1107"/>
        <v>Base_High_High_Upgraded_Cumulative Energy Demand (CED) - MJ_Wastewater collection; operation and infrastructure; m3 wastewater_Without Amendment_Aerated Static Pile</v>
      </c>
    </row>
    <row r="12668" spans="1:13" s="120" customFormat="1" x14ac:dyDescent="0.25">
      <c r="A12668" s="119"/>
      <c r="B12668" s="138" t="str">
        <f t="shared" si="1110"/>
        <v>Aerated Static Pile</v>
      </c>
      <c r="C12668" s="138" t="str">
        <f t="shared" si="1111"/>
        <v>Without Amendment</v>
      </c>
      <c r="D12668" s="138" t="str">
        <f t="shared" si="1109"/>
        <v>High_High</v>
      </c>
      <c r="E12668" s="138" t="str">
        <f t="shared" si="1112"/>
        <v>Base</v>
      </c>
      <c r="F12668" s="138" t="str">
        <f t="shared" si="1113"/>
        <v>Upgraded</v>
      </c>
      <c r="G12668" s="153"/>
      <c r="H12668" s="210">
        <v>1.52E-2</v>
      </c>
      <c r="I12668" s="160" t="s">
        <v>148</v>
      </c>
      <c r="J12668" s="160">
        <v>0.14599000000000001</v>
      </c>
      <c r="K12668" s="160" t="s">
        <v>15</v>
      </c>
      <c r="L12668" s="154" t="str">
        <f>IF(OpenLCAbasic!K12668="CTUh", "Fill in Manually",IF(OR(K12668="Unit", K12668=""), "", INDEX(LookUps!$E$5:$E$12, MATCH(OpenLCAbasic!K12668,LookUps!$D$5:$D$12,0))))</f>
        <v>Cumulative Energy Demand (CED) - MJ</v>
      </c>
      <c r="M12668" s="154" t="str">
        <f t="shared" si="1107"/>
        <v>Base_High_High_Upgraded_Cumulative Energy Demand (CED) - MJ_Control Building; at upgraded wastewater treatment plant - US_Without Amendment_Aerated Static Pile</v>
      </c>
    </row>
    <row r="12669" spans="1:13" s="120" customFormat="1" x14ac:dyDescent="0.25">
      <c r="A12669" s="119"/>
      <c r="B12669" s="138" t="str">
        <f t="shared" si="1110"/>
        <v>Aerated Static Pile</v>
      </c>
      <c r="C12669" s="138" t="str">
        <f t="shared" si="1111"/>
        <v>Without Amendment</v>
      </c>
      <c r="D12669" s="138" t="str">
        <f t="shared" si="1109"/>
        <v>High_High</v>
      </c>
      <c r="E12669" s="138" t="str">
        <f t="shared" si="1112"/>
        <v>Base</v>
      </c>
      <c r="F12669" s="138" t="str">
        <f t="shared" si="1113"/>
        <v>Upgraded</v>
      </c>
      <c r="G12669" s="153"/>
      <c r="H12669" s="210">
        <v>1.3899999999999999E-2</v>
      </c>
      <c r="I12669" s="160" t="s">
        <v>48</v>
      </c>
      <c r="J12669" s="160">
        <v>0.13321</v>
      </c>
      <c r="K12669" s="160" t="s">
        <v>15</v>
      </c>
      <c r="L12669" s="154" t="str">
        <f>IF(OpenLCAbasic!K12669="CTUh", "Fill in Manually",IF(OR(K12669="Unit", K12669=""), "", INDEX(LookUps!$E$5:$E$12, MATCH(OpenLCAbasic!K12669,LookUps!$D$5:$D$12,0))))</f>
        <v>Cumulative Energy Demand (CED) - MJ</v>
      </c>
      <c r="M12669" s="154" t="str">
        <f t="shared" si="1107"/>
        <v>Base_High_High_Upgraded_Cumulative Energy Demand (CED) - MJ_Effluent release; wastewater treatment unit; at surface water; m3 wastewater - US_Without Amendment_Aerated Static Pile</v>
      </c>
    </row>
    <row r="12670" spans="1:13" s="120" customFormat="1" x14ac:dyDescent="0.25">
      <c r="A12670" s="119"/>
      <c r="B12670" s="138" t="str">
        <f t="shared" si="1110"/>
        <v>Aerated Static Pile</v>
      </c>
      <c r="C12670" s="138" t="str">
        <f t="shared" si="1111"/>
        <v>Without Amendment</v>
      </c>
      <c r="D12670" s="138" t="str">
        <f t="shared" si="1109"/>
        <v>High_High</v>
      </c>
      <c r="E12670" s="138" t="str">
        <f t="shared" si="1112"/>
        <v>Base</v>
      </c>
      <c r="F12670" s="138" t="str">
        <f t="shared" si="1113"/>
        <v>Upgraded</v>
      </c>
      <c r="G12670" s="153"/>
      <c r="H12670" s="210">
        <v>1.11E-2</v>
      </c>
      <c r="I12670" s="160" t="s">
        <v>59</v>
      </c>
      <c r="J12670" s="160">
        <v>0.10638</v>
      </c>
      <c r="K12670" s="160" t="s">
        <v>15</v>
      </c>
      <c r="L12670" s="154" t="str">
        <f>IF(OpenLCAbasic!K12670="CTUh", "Fill in Manually",IF(OR(K12670="Unit", K12670=""), "", INDEX(LookUps!$E$5:$E$12, MATCH(OpenLCAbasic!K12670,LookUps!$D$5:$D$12,0))))</f>
        <v>Cumulative Energy Demand (CED) - MJ</v>
      </c>
      <c r="M12670" s="154" t="str">
        <f t="shared" si="1107"/>
        <v>Base_High_High_Upgraded_Cumulative Energy Demand (CED) - MJ_Blend Tank; wastewater treatment unit; at updated plant - US_Without Amendment_Aerated Static Pile</v>
      </c>
    </row>
    <row r="12671" spans="1:13" s="120" customFormat="1" x14ac:dyDescent="0.25">
      <c r="A12671" s="119"/>
      <c r="B12671" s="138" t="str">
        <f t="shared" si="1110"/>
        <v>Aerated Static Pile</v>
      </c>
      <c r="C12671" s="138" t="str">
        <f t="shared" si="1111"/>
        <v>Without Amendment</v>
      </c>
      <c r="D12671" s="138" t="str">
        <f t="shared" si="1109"/>
        <v>High_High</v>
      </c>
      <c r="E12671" s="138" t="str">
        <f t="shared" si="1112"/>
        <v>Base</v>
      </c>
      <c r="F12671" s="138" t="str">
        <f t="shared" si="1113"/>
        <v>Upgraded</v>
      </c>
      <c r="G12671" s="153"/>
      <c r="H12671" s="210">
        <v>5.3E-3</v>
      </c>
      <c r="I12671" s="160" t="s">
        <v>168</v>
      </c>
      <c r="J12671" s="160">
        <v>5.0930000000000003E-2</v>
      </c>
      <c r="K12671" s="160" t="s">
        <v>15</v>
      </c>
      <c r="L12671" s="154" t="str">
        <f>IF(OpenLCAbasic!K12671="CTUh", "Fill in Manually",IF(OR(K12671="Unit", K12671=""), "", INDEX(LookUps!$E$5:$E$12, MATCH(OpenLCAbasic!K12671,LookUps!$D$5:$D$12,0))))</f>
        <v>Cumulative Energy Demand (CED) - MJ</v>
      </c>
      <c r="M12671" s="154" t="str">
        <f t="shared" si="1107"/>
        <v>Base_High_High_Upgraded_Cumulative Energy Demand (CED) - MJ_ClearCove SCP; wastewater treatment unit; at updated plant - US_Without Amendment_Aerated Static Pile</v>
      </c>
    </row>
    <row r="12672" spans="1:13" s="120" customFormat="1" x14ac:dyDescent="0.25">
      <c r="A12672" s="119"/>
      <c r="B12672" s="138" t="str">
        <f t="shared" si="1110"/>
        <v>Aerated Static Pile</v>
      </c>
      <c r="C12672" s="138" t="str">
        <f t="shared" si="1111"/>
        <v>Without Amendment</v>
      </c>
      <c r="D12672" s="138" t="str">
        <f t="shared" si="1109"/>
        <v>High_High</v>
      </c>
      <c r="E12672" s="138" t="str">
        <f t="shared" si="1112"/>
        <v>Base</v>
      </c>
      <c r="F12672" s="138" t="str">
        <f t="shared" si="1113"/>
        <v>Upgraded</v>
      </c>
      <c r="G12672" s="153"/>
      <c r="H12672" s="210">
        <v>-5.28E-2</v>
      </c>
      <c r="I12672" s="160" t="s">
        <v>62</v>
      </c>
      <c r="J12672" s="160">
        <v>-0.50697999999999999</v>
      </c>
      <c r="K12672" s="160" t="s">
        <v>15</v>
      </c>
      <c r="L12672" s="154" t="str">
        <f>IF(OpenLCAbasic!K12672="CTUh", "Fill in Manually",IF(OR(K12672="Unit", K12672=""), "", INDEX(LookUps!$E$5:$E$12, MATCH(OpenLCAbasic!K12672,LookUps!$D$5:$D$12,0))))</f>
        <v>Cumulative Energy Demand (CED) - MJ</v>
      </c>
      <c r="M12672" s="154" t="str">
        <f t="shared" si="1107"/>
        <v>Base_High_High_Upgraded_Cumulative Energy Demand (CED) - MJ_Land application of compost; wastewater treatment unit; at updated plant - US_Without Amendment_Aerated Static Pile</v>
      </c>
    </row>
    <row r="12673" spans="1:13" s="120" customFormat="1" x14ac:dyDescent="0.25">
      <c r="A12673" s="119"/>
      <c r="B12673" s="138" t="str">
        <f t="shared" si="1110"/>
        <v>Aerated Static Pile</v>
      </c>
      <c r="C12673" s="138" t="str">
        <f t="shared" si="1111"/>
        <v>Without Amendment</v>
      </c>
      <c r="D12673" s="138" t="str">
        <f t="shared" si="1109"/>
        <v>High_High</v>
      </c>
      <c r="E12673" s="138" t="str">
        <f t="shared" si="1112"/>
        <v>Base</v>
      </c>
      <c r="F12673" s="138" t="str">
        <f t="shared" si="1113"/>
        <v>Upgraded</v>
      </c>
      <c r="G12673" s="153"/>
      <c r="H12673" s="210">
        <v>-2.4542000000000002</v>
      </c>
      <c r="I12673" s="160" t="s">
        <v>149</v>
      </c>
      <c r="J12673" s="160">
        <v>-23.56711</v>
      </c>
      <c r="K12673" s="160" t="s">
        <v>15</v>
      </c>
      <c r="L12673" s="154" t="str">
        <f>IF(OpenLCAbasic!K12673="CTUh", "Fill in Manually",IF(OR(K12673="Unit", K12673=""), "", INDEX(LookUps!$E$5:$E$12, MATCH(OpenLCAbasic!K12673,LookUps!$D$5:$D$12,0))))</f>
        <v>Cumulative Energy Demand (CED) - MJ</v>
      </c>
      <c r="M12673" s="154" t="str">
        <f t="shared" si="1107"/>
        <v>Base_High_High_Upgraded_Cumulative Energy Demand (CED) - MJ_Anaerobic Digestion; wastewater treatment unit; at updated plant - US_Without Amendment_Aerated Static Pile</v>
      </c>
    </row>
    <row r="12674" spans="1:13" s="120" customFormat="1" x14ac:dyDescent="0.25">
      <c r="A12674" s="119"/>
      <c r="B12674" s="138" t="str">
        <f t="shared" si="1110"/>
        <v/>
      </c>
      <c r="C12674" s="138" t="str">
        <f t="shared" si="1111"/>
        <v/>
      </c>
      <c r="D12674" s="138" t="str">
        <f t="shared" si="1109"/>
        <v/>
      </c>
      <c r="E12674" s="138" t="str">
        <f t="shared" si="1112"/>
        <v/>
      </c>
      <c r="F12674" s="138" t="str">
        <f t="shared" si="1113"/>
        <v/>
      </c>
      <c r="G12674" s="153" t="s">
        <v>51</v>
      </c>
      <c r="H12674" s="160"/>
      <c r="I12674" s="160" t="s">
        <v>47</v>
      </c>
      <c r="J12674" s="160" t="s">
        <v>52</v>
      </c>
      <c r="K12674" s="160" t="s">
        <v>27</v>
      </c>
      <c r="L12674" s="154" t="str">
        <f>IF(OpenLCAbasic!K12674="CTUh", "Fill in Manually",IF(OR(K12674="Unit", K12674=""), "", INDEX(LookUps!$E$5:$E$12, MATCH(OpenLCAbasic!K12674,LookUps!$D$5:$D$12,0))))</f>
        <v/>
      </c>
      <c r="M12674" s="154" t="str">
        <f t="shared" si="1107"/>
        <v>____Process__</v>
      </c>
    </row>
    <row r="12675" spans="1:13" s="120" customFormat="1" x14ac:dyDescent="0.25">
      <c r="A12675" s="119"/>
      <c r="B12675" s="138" t="str">
        <f t="shared" si="1110"/>
        <v>Aerated Static Pile</v>
      </c>
      <c r="C12675" s="138" t="str">
        <f t="shared" si="1111"/>
        <v>Without Amendment</v>
      </c>
      <c r="D12675" s="138" t="str">
        <f t="shared" si="1109"/>
        <v>High_High</v>
      </c>
      <c r="E12675" s="138" t="str">
        <f t="shared" si="1112"/>
        <v>Base</v>
      </c>
      <c r="F12675" s="138" t="str">
        <f t="shared" si="1113"/>
        <v>Upgraded</v>
      </c>
      <c r="G12675" s="153"/>
      <c r="H12675" s="210">
        <v>0.90849999999999997</v>
      </c>
      <c r="I12675" s="160" t="s">
        <v>48</v>
      </c>
      <c r="J12675" s="160">
        <v>1.1610000000000001E-2</v>
      </c>
      <c r="K12675" s="160" t="s">
        <v>13</v>
      </c>
      <c r="L12675" s="154" t="str">
        <f>IF(OpenLCAbasic!K12675="CTUh", "Fill in Manually",IF(OR(K12675="Unit", K12675=""), "", INDEX(LookUps!$E$5:$E$12, MATCH(OpenLCAbasic!K12675,LookUps!$D$5:$D$12,0))))</f>
        <v>Eutrophication Potential (EP) - kg N eq</v>
      </c>
      <c r="M12675" s="154" t="str">
        <f t="shared" si="1107"/>
        <v>Base_High_High_Upgraded_Eutrophication Potential (EP) - kg N eq_Effluent release; wastewater treatment unit; at surface water; m3 wastewater - US_Without Amendment_Aerated Static Pile</v>
      </c>
    </row>
    <row r="12676" spans="1:13" s="120" customFormat="1" x14ac:dyDescent="0.25">
      <c r="A12676" s="119"/>
      <c r="B12676" s="138" t="str">
        <f t="shared" si="1110"/>
        <v>Aerated Static Pile</v>
      </c>
      <c r="C12676" s="138" t="str">
        <f t="shared" si="1111"/>
        <v>Without Amendment</v>
      </c>
      <c r="D12676" s="138" t="str">
        <f t="shared" si="1109"/>
        <v>High_High</v>
      </c>
      <c r="E12676" s="138" t="str">
        <f t="shared" si="1112"/>
        <v>Base</v>
      </c>
      <c r="F12676" s="138" t="str">
        <f t="shared" si="1113"/>
        <v>Upgraded</v>
      </c>
      <c r="G12676" s="153"/>
      <c r="H12676" s="210">
        <v>0.18090000000000001</v>
      </c>
      <c r="I12676" s="160" t="s">
        <v>62</v>
      </c>
      <c r="J12676" s="160">
        <v>2.31E-3</v>
      </c>
      <c r="K12676" s="160" t="s">
        <v>13</v>
      </c>
      <c r="L12676" s="154" t="str">
        <f>IF(OpenLCAbasic!K12676="CTUh", "Fill in Manually",IF(OR(K12676="Unit", K12676=""), "", INDEX(LookUps!$E$5:$E$12, MATCH(OpenLCAbasic!K12676,LookUps!$D$5:$D$12,0))))</f>
        <v>Eutrophication Potential (EP) - kg N eq</v>
      </c>
      <c r="M12676" s="154" t="str">
        <f t="shared" ref="M12676:M12739" si="1114">CONCATENATE(E12676,"_",D12676,"_",F12676,"_",L12676, "_",I12676,"_", C12676,"_", B12676)</f>
        <v>Base_High_High_Upgraded_Eutrophication Potential (EP) - kg N eq_Land application of compost; wastewater treatment unit; at updated plant - US_Without Amendment_Aerated Static Pile</v>
      </c>
    </row>
    <row r="12677" spans="1:13" s="120" customFormat="1" x14ac:dyDescent="0.25">
      <c r="A12677" s="119"/>
      <c r="B12677" s="138" t="str">
        <f t="shared" si="1110"/>
        <v>Aerated Static Pile</v>
      </c>
      <c r="C12677" s="138" t="str">
        <f t="shared" si="1111"/>
        <v>Without Amendment</v>
      </c>
      <c r="D12677" s="138" t="str">
        <f t="shared" si="1109"/>
        <v>High_High</v>
      </c>
      <c r="E12677" s="138" t="str">
        <f t="shared" si="1112"/>
        <v>Base</v>
      </c>
      <c r="F12677" s="138" t="str">
        <f t="shared" si="1113"/>
        <v>Upgraded</v>
      </c>
      <c r="G12677" s="153"/>
      <c r="H12677" s="210">
        <v>4.2799999999999998E-2</v>
      </c>
      <c r="I12677" s="160" t="s">
        <v>55</v>
      </c>
      <c r="J12677" s="160">
        <v>5.5000000000000003E-4</v>
      </c>
      <c r="K12677" s="160" t="s">
        <v>13</v>
      </c>
      <c r="L12677" s="154" t="str">
        <f>IF(OpenLCAbasic!K12677="CTUh", "Fill in Manually",IF(OR(K12677="Unit", K12677=""), "", INDEX(LookUps!$E$5:$E$12, MATCH(OpenLCAbasic!K12677,LookUps!$D$5:$D$12,0))))</f>
        <v>Eutrophication Potential (EP) - kg N eq</v>
      </c>
      <c r="M12677" s="154" t="str">
        <f t="shared" si="1114"/>
        <v>Base_High_High_Upgraded_Eutrophication Potential (EP) - kg N eq_Aeration Tanks; wastewater treatment unit; at updated plant - US_Without Amendment_Aerated Static Pile</v>
      </c>
    </row>
    <row r="12678" spans="1:13" s="120" customFormat="1" x14ac:dyDescent="0.25">
      <c r="A12678" s="119"/>
      <c r="B12678" s="138" t="str">
        <f t="shared" si="1110"/>
        <v>Aerated Static Pile</v>
      </c>
      <c r="C12678" s="138" t="str">
        <f t="shared" si="1111"/>
        <v>Without Amendment</v>
      </c>
      <c r="D12678" s="138" t="str">
        <f t="shared" si="1109"/>
        <v>High_High</v>
      </c>
      <c r="E12678" s="138" t="str">
        <f t="shared" si="1112"/>
        <v>Base</v>
      </c>
      <c r="F12678" s="138" t="str">
        <f t="shared" si="1113"/>
        <v>Upgraded</v>
      </c>
      <c r="G12678" s="153"/>
      <c r="H12678" s="210">
        <v>1.95E-2</v>
      </c>
      <c r="I12678" s="160" t="s">
        <v>147</v>
      </c>
      <c r="J12678" s="160">
        <v>2.5000000000000001E-4</v>
      </c>
      <c r="K12678" s="160" t="s">
        <v>13</v>
      </c>
      <c r="L12678" s="154" t="str">
        <f>IF(OpenLCAbasic!K12678="CTUh", "Fill in Manually",IF(OR(K12678="Unit", K12678=""), "", INDEX(LookUps!$E$5:$E$12, MATCH(OpenLCAbasic!K12678,LookUps!$D$5:$D$12,0))))</f>
        <v>Eutrophication Potential (EP) - kg N eq</v>
      </c>
      <c r="M12678" s="154" t="str">
        <f t="shared" si="1114"/>
        <v>Base_High_High_Upgraded_Eutrophication Potential (EP) - kg N eq_Influent Pump Station; wastewater treatment unit; at updated plant - US_Without Amendment_Aerated Static Pile</v>
      </c>
    </row>
    <row r="12679" spans="1:13" s="120" customFormat="1" x14ac:dyDescent="0.25">
      <c r="A12679" s="119"/>
      <c r="B12679" s="138" t="str">
        <f t="shared" si="1110"/>
        <v>Aerated Static Pile</v>
      </c>
      <c r="C12679" s="138" t="str">
        <f t="shared" si="1111"/>
        <v>Without Amendment</v>
      </c>
      <c r="D12679" s="138" t="str">
        <f t="shared" si="1109"/>
        <v>High_High</v>
      </c>
      <c r="E12679" s="138" t="str">
        <f t="shared" si="1112"/>
        <v>Base</v>
      </c>
      <c r="F12679" s="138" t="str">
        <f t="shared" si="1113"/>
        <v>Upgraded</v>
      </c>
      <c r="G12679" s="153"/>
      <c r="H12679" s="210">
        <v>1.72E-2</v>
      </c>
      <c r="I12679" s="160" t="s">
        <v>167</v>
      </c>
      <c r="J12679" s="160">
        <v>2.2000000000000001E-4</v>
      </c>
      <c r="K12679" s="160" t="s">
        <v>13</v>
      </c>
      <c r="L12679" s="154" t="str">
        <f>IF(OpenLCAbasic!K12679="CTUh", "Fill in Manually",IF(OR(K12679="Unit", K12679=""), "", INDEX(LookUps!$E$5:$E$12, MATCH(OpenLCAbasic!K12679,LookUps!$D$5:$D$12,0))))</f>
        <v>Eutrophication Potential (EP) - kg N eq</v>
      </c>
      <c r="M12679" s="154" t="str">
        <f t="shared" si="1114"/>
        <v>Base_High_High_Upgraded_Eutrophication Potential (EP) - kg N eq_Waste Receiving and Holding; wastewater treatment unit; at updated plant - US_Without Amendment_Aerated Static Pile</v>
      </c>
    </row>
    <row r="12680" spans="1:13" s="120" customFormat="1" x14ac:dyDescent="0.25">
      <c r="A12680" s="119"/>
      <c r="B12680" s="138" t="str">
        <f t="shared" si="1110"/>
        <v>Aerated Static Pile</v>
      </c>
      <c r="C12680" s="138" t="str">
        <f t="shared" si="1111"/>
        <v>Without Amendment</v>
      </c>
      <c r="D12680" s="138" t="str">
        <f t="shared" si="1109"/>
        <v>High_High</v>
      </c>
      <c r="E12680" s="138" t="str">
        <f t="shared" si="1112"/>
        <v>Base</v>
      </c>
      <c r="F12680" s="138" t="str">
        <f t="shared" si="1113"/>
        <v>Upgraded</v>
      </c>
      <c r="G12680" s="153"/>
      <c r="H12680" s="210">
        <v>1.55E-2</v>
      </c>
      <c r="I12680" s="160" t="s">
        <v>54</v>
      </c>
      <c r="J12680" s="160">
        <v>2.0000000000000001E-4</v>
      </c>
      <c r="K12680" s="160" t="s">
        <v>13</v>
      </c>
      <c r="L12680" s="154" t="str">
        <f>IF(OpenLCAbasic!K12680="CTUh", "Fill in Manually",IF(OR(K12680="Unit", K12680=""), "", INDEX(LookUps!$E$5:$E$12, MATCH(OpenLCAbasic!K12680,LookUps!$D$5:$D$12,0))))</f>
        <v>Eutrophication Potential (EP) - kg N eq</v>
      </c>
      <c r="M12680" s="154" t="str">
        <f t="shared" si="1114"/>
        <v>Base_High_High_Upgraded_Eutrophication Potential (EP) - kg N eq_Clear Cove Primary Clarification; wastewater treatment unit; at updated plant - US_Without Amendment_Aerated Static Pile</v>
      </c>
    </row>
    <row r="12681" spans="1:13" s="120" customFormat="1" x14ac:dyDescent="0.25">
      <c r="A12681" s="119"/>
      <c r="B12681" s="138" t="str">
        <f t="shared" si="1110"/>
        <v>Aerated Static Pile</v>
      </c>
      <c r="C12681" s="138" t="str">
        <f t="shared" si="1111"/>
        <v>Without Amendment</v>
      </c>
      <c r="D12681" s="138" t="str">
        <f t="shared" si="1109"/>
        <v>High_High</v>
      </c>
      <c r="E12681" s="138" t="str">
        <f t="shared" si="1112"/>
        <v>Base</v>
      </c>
      <c r="F12681" s="138" t="str">
        <f t="shared" si="1113"/>
        <v>Upgraded</v>
      </c>
      <c r="G12681" s="153"/>
      <c r="H12681" s="210">
        <v>1.0699999999999999E-2</v>
      </c>
      <c r="I12681" s="160" t="s">
        <v>58</v>
      </c>
      <c r="J12681" s="160">
        <v>1.3999999999999999E-4</v>
      </c>
      <c r="K12681" s="160" t="s">
        <v>13</v>
      </c>
      <c r="L12681" s="154" t="str">
        <f>IF(OpenLCAbasic!K12681="CTUh", "Fill in Manually",IF(OR(K12681="Unit", K12681=""), "", INDEX(LookUps!$E$5:$E$12, MATCH(OpenLCAbasic!K12681,LookUps!$D$5:$D$12,0))))</f>
        <v>Eutrophication Potential (EP) - kg N eq</v>
      </c>
      <c r="M12681" s="154" t="str">
        <f t="shared" si="1114"/>
        <v>Base_High_High_Upgraded_Eutrophication Potential (EP) - kg N eq_Pre-Anoxic &amp; Swing tank; wastewater treatment unit; at updated plant - US_Without Amendment_Aerated Static Pile</v>
      </c>
    </row>
    <row r="12682" spans="1:13" s="120" customFormat="1" x14ac:dyDescent="0.25">
      <c r="A12682" s="119"/>
      <c r="B12682" s="138" t="str">
        <f t="shared" si="1110"/>
        <v>Aerated Static Pile</v>
      </c>
      <c r="C12682" s="138" t="str">
        <f t="shared" si="1111"/>
        <v>Without Amendment</v>
      </c>
      <c r="D12682" s="138" t="str">
        <f t="shared" si="1109"/>
        <v>High_High</v>
      </c>
      <c r="E12682" s="138" t="str">
        <f t="shared" si="1112"/>
        <v>Base</v>
      </c>
      <c r="F12682" s="138" t="str">
        <f t="shared" si="1113"/>
        <v>Upgraded</v>
      </c>
      <c r="G12682" s="153"/>
      <c r="H12682" s="210">
        <v>8.8000000000000005E-3</v>
      </c>
      <c r="I12682" s="160" t="s">
        <v>435</v>
      </c>
      <c r="J12682" s="160">
        <v>1.1E-4</v>
      </c>
      <c r="K12682" s="160" t="s">
        <v>13</v>
      </c>
      <c r="L12682" s="154" t="str">
        <f>IF(OpenLCAbasic!K12682="CTUh", "Fill in Manually",IF(OR(K12682="Unit", K12682=""), "", INDEX(LookUps!$E$5:$E$12, MATCH(OpenLCAbasic!K12682,LookUps!$D$5:$D$12,0))))</f>
        <v>Eutrophication Potential (EP) - kg N eq</v>
      </c>
      <c r="M12682" s="154" t="str">
        <f t="shared" si="1114"/>
        <v>Base_High_High_Upgraded_Eutrophication Potential (EP) - kg N eq_Biosolids composting; aerated static pile; wastewater treatment unit; at updated plant - US_Without Amendment_Aerated Static Pile</v>
      </c>
    </row>
    <row r="12683" spans="1:13" s="120" customFormat="1" x14ac:dyDescent="0.25">
      <c r="A12683" s="119"/>
      <c r="B12683" s="138" t="str">
        <f t="shared" si="1110"/>
        <v>Aerated Static Pile</v>
      </c>
      <c r="C12683" s="138" t="str">
        <f t="shared" si="1111"/>
        <v>Without Amendment</v>
      </c>
      <c r="D12683" s="138" t="str">
        <f t="shared" si="1109"/>
        <v>High_High</v>
      </c>
      <c r="E12683" s="138" t="str">
        <f t="shared" si="1112"/>
        <v>Base</v>
      </c>
      <c r="F12683" s="138" t="str">
        <f t="shared" si="1113"/>
        <v>Upgraded</v>
      </c>
      <c r="G12683" s="153"/>
      <c r="H12683" s="210">
        <v>8.3999999999999995E-3</v>
      </c>
      <c r="I12683" s="160" t="s">
        <v>53</v>
      </c>
      <c r="J12683" s="160">
        <v>1.1E-4</v>
      </c>
      <c r="K12683" s="160" t="s">
        <v>13</v>
      </c>
      <c r="L12683" s="154" t="str">
        <f>IF(OpenLCAbasic!K12683="CTUh", "Fill in Manually",IF(OR(K12683="Unit", K12683=""), "", INDEX(LookUps!$E$5:$E$12, MATCH(OpenLCAbasic!K12683,LookUps!$D$5:$D$12,0))))</f>
        <v>Eutrophication Potential (EP) - kg N eq</v>
      </c>
      <c r="M12683" s="154" t="str">
        <f t="shared" si="1114"/>
        <v>Base_High_High_Upgraded_Eutrophication Potential (EP) - kg N eq_Wet Well and Sump Station; wastewater treatment unit; at updated plant - US_Without Amendment_Aerated Static Pile</v>
      </c>
    </row>
    <row r="12684" spans="1:13" s="120" customFormat="1" x14ac:dyDescent="0.25">
      <c r="A12684" s="119"/>
      <c r="B12684" s="138" t="str">
        <f t="shared" si="1110"/>
        <v>Aerated Static Pile</v>
      </c>
      <c r="C12684" s="138" t="str">
        <f t="shared" si="1111"/>
        <v>Without Amendment</v>
      </c>
      <c r="D12684" s="138" t="str">
        <f t="shared" si="1109"/>
        <v>High_High</v>
      </c>
      <c r="E12684" s="138" t="str">
        <f t="shared" si="1112"/>
        <v>Base</v>
      </c>
      <c r="F12684" s="138" t="str">
        <f t="shared" si="1113"/>
        <v>Upgraded</v>
      </c>
      <c r="G12684" s="153"/>
      <c r="H12684" s="210">
        <v>7.1000000000000004E-3</v>
      </c>
      <c r="I12684" s="160" t="s">
        <v>60</v>
      </c>
      <c r="J12684" s="211">
        <v>9.0710800000000006E-5</v>
      </c>
      <c r="K12684" s="160" t="s">
        <v>13</v>
      </c>
      <c r="L12684" s="154" t="str">
        <f>IF(OpenLCAbasic!K12684="CTUh", "Fill in Manually",IF(OR(K12684="Unit", K12684=""), "", INDEX(LookUps!$E$5:$E$12, MATCH(OpenLCAbasic!K12684,LookUps!$D$5:$D$12,0))))</f>
        <v>Eutrophication Potential (EP) - kg N eq</v>
      </c>
      <c r="M12684" s="154" t="str">
        <f t="shared" si="1114"/>
        <v>Base_High_High_Upgraded_Eutrophication Potential (EP) - kg N eq_Belt filter press; wastewater treatment unit; at updated plant - US_Without Amendment_Aerated Static Pile</v>
      </c>
    </row>
    <row r="12685" spans="1:13" s="120" customFormat="1" x14ac:dyDescent="0.25">
      <c r="A12685" s="119"/>
      <c r="B12685" s="138" t="str">
        <f t="shared" si="1110"/>
        <v>Aerated Static Pile</v>
      </c>
      <c r="C12685" s="138" t="str">
        <f t="shared" si="1111"/>
        <v>Without Amendment</v>
      </c>
      <c r="D12685" s="138" t="str">
        <f t="shared" si="1109"/>
        <v>High_High</v>
      </c>
      <c r="E12685" s="138" t="str">
        <f t="shared" si="1112"/>
        <v>Base</v>
      </c>
      <c r="F12685" s="138" t="str">
        <f t="shared" si="1113"/>
        <v>Upgraded</v>
      </c>
      <c r="G12685" s="153"/>
      <c r="H12685" s="210">
        <v>4.7000000000000002E-3</v>
      </c>
      <c r="I12685" s="160" t="s">
        <v>57</v>
      </c>
      <c r="J12685" s="211">
        <v>6.0590300000000002E-5</v>
      </c>
      <c r="K12685" s="160" t="s">
        <v>13</v>
      </c>
      <c r="L12685" s="154" t="str">
        <f>IF(OpenLCAbasic!K12685="CTUh", "Fill in Manually",IF(OR(K12685="Unit", K12685=""), "", INDEX(LookUps!$E$5:$E$12, MATCH(OpenLCAbasic!K12685,LookUps!$D$5:$D$12,0))))</f>
        <v>Eutrophication Potential (EP) - kg N eq</v>
      </c>
      <c r="M12685" s="154" t="str">
        <f t="shared" si="1114"/>
        <v>Base_High_High_Upgraded_Eutrophication Potential (EP) - kg N eq_Gravity Belt Thickener; wastewater treatment unit; at updated plant - US_Without Amendment_Aerated Static Pile</v>
      </c>
    </row>
    <row r="12686" spans="1:13" s="120" customFormat="1" x14ac:dyDescent="0.25">
      <c r="A12686" s="119"/>
      <c r="B12686" s="138" t="str">
        <f t="shared" si="1110"/>
        <v>Aerated Static Pile</v>
      </c>
      <c r="C12686" s="138" t="str">
        <f t="shared" si="1111"/>
        <v>Without Amendment</v>
      </c>
      <c r="D12686" s="138" t="str">
        <f t="shared" si="1109"/>
        <v>High_High</v>
      </c>
      <c r="E12686" s="138" t="str">
        <f t="shared" si="1112"/>
        <v>Base</v>
      </c>
      <c r="F12686" s="138" t="str">
        <f t="shared" si="1113"/>
        <v>Upgraded</v>
      </c>
      <c r="G12686" s="153"/>
      <c r="H12686" s="210">
        <v>2.8999999999999998E-3</v>
      </c>
      <c r="I12686" s="160" t="s">
        <v>128</v>
      </c>
      <c r="J12686" s="211">
        <v>3.7559799999999999E-5</v>
      </c>
      <c r="K12686" s="160" t="s">
        <v>13</v>
      </c>
      <c r="L12686" s="154" t="str">
        <f>IF(OpenLCAbasic!K12686="CTUh", "Fill in Manually",IF(OR(K12686="Unit", K12686=""), "", INDEX(LookUps!$E$5:$E$12, MATCH(OpenLCAbasic!K12686,LookUps!$D$5:$D$12,0))))</f>
        <v>Eutrophication Potential (EP) - kg N eq</v>
      </c>
      <c r="M12686" s="154" t="str">
        <f t="shared" si="1114"/>
        <v>Base_High_High_Upgraded_Eutrophication Potential (EP) - kg N eq_Wastewater collection; operation and infrastructure; m3 wastewater_Without Amendment_Aerated Static Pile</v>
      </c>
    </row>
    <row r="12687" spans="1:13" s="120" customFormat="1" x14ac:dyDescent="0.25">
      <c r="A12687" s="119"/>
      <c r="B12687" s="138" t="str">
        <f t="shared" si="1110"/>
        <v>Aerated Static Pile</v>
      </c>
      <c r="C12687" s="138" t="str">
        <f t="shared" si="1111"/>
        <v>Without Amendment</v>
      </c>
      <c r="D12687" s="138" t="str">
        <f t="shared" si="1109"/>
        <v>High_High</v>
      </c>
      <c r="E12687" s="138" t="str">
        <f t="shared" si="1112"/>
        <v>Base</v>
      </c>
      <c r="F12687" s="138" t="str">
        <f t="shared" si="1113"/>
        <v>Upgraded</v>
      </c>
      <c r="G12687" s="153"/>
      <c r="H12687" s="210">
        <v>2.8999999999999998E-3</v>
      </c>
      <c r="I12687" s="160" t="s">
        <v>148</v>
      </c>
      <c r="J12687" s="211">
        <v>3.6874600000000001E-5</v>
      </c>
      <c r="K12687" s="160" t="s">
        <v>13</v>
      </c>
      <c r="L12687" s="154" t="str">
        <f>IF(OpenLCAbasic!K12687="CTUh", "Fill in Manually",IF(OR(K12687="Unit", K12687=""), "", INDEX(LookUps!$E$5:$E$12, MATCH(OpenLCAbasic!K12687,LookUps!$D$5:$D$12,0))))</f>
        <v>Eutrophication Potential (EP) - kg N eq</v>
      </c>
      <c r="M12687" s="154" t="str">
        <f t="shared" si="1114"/>
        <v>Base_High_High_Upgraded_Eutrophication Potential (EP) - kg N eq_Control Building; at upgraded wastewater treatment plant - US_Without Amendment_Aerated Static Pile</v>
      </c>
    </row>
    <row r="12688" spans="1:13" s="120" customFormat="1" x14ac:dyDescent="0.25">
      <c r="A12688" s="119"/>
      <c r="B12688" s="138" t="str">
        <f t="shared" si="1110"/>
        <v>Aerated Static Pile</v>
      </c>
      <c r="C12688" s="138" t="str">
        <f t="shared" si="1111"/>
        <v>Without Amendment</v>
      </c>
      <c r="D12688" s="138" t="str">
        <f t="shared" si="1109"/>
        <v>High_High</v>
      </c>
      <c r="E12688" s="138" t="str">
        <f t="shared" si="1112"/>
        <v>Base</v>
      </c>
      <c r="F12688" s="138" t="str">
        <f t="shared" si="1113"/>
        <v>Upgraded</v>
      </c>
      <c r="G12688" s="153"/>
      <c r="H12688" s="210">
        <v>1.2999999999999999E-3</v>
      </c>
      <c r="I12688" s="160" t="s">
        <v>59</v>
      </c>
      <c r="J12688" s="211">
        <v>1.6215700000000001E-5</v>
      </c>
      <c r="K12688" s="160" t="s">
        <v>13</v>
      </c>
      <c r="L12688" s="154" t="str">
        <f>IF(OpenLCAbasic!K12688="CTUh", "Fill in Manually",IF(OR(K12688="Unit", K12688=""), "", INDEX(LookUps!$E$5:$E$12, MATCH(OpenLCAbasic!K12688,LookUps!$D$5:$D$12,0))))</f>
        <v>Eutrophication Potential (EP) - kg N eq</v>
      </c>
      <c r="M12688" s="154" t="str">
        <f t="shared" si="1114"/>
        <v>Base_High_High_Upgraded_Eutrophication Potential (EP) - kg N eq_Blend Tank; wastewater treatment unit; at updated plant - US_Without Amendment_Aerated Static Pile</v>
      </c>
    </row>
    <row r="12689" spans="1:13" s="120" customFormat="1" x14ac:dyDescent="0.25">
      <c r="A12689" s="119"/>
      <c r="B12689" s="138" t="str">
        <f t="shared" si="1110"/>
        <v>Aerated Static Pile</v>
      </c>
      <c r="C12689" s="138" t="str">
        <f t="shared" si="1111"/>
        <v>Without Amendment</v>
      </c>
      <c r="D12689" s="138" t="str">
        <f t="shared" si="1109"/>
        <v>High_High</v>
      </c>
      <c r="E12689" s="138" t="str">
        <f t="shared" si="1112"/>
        <v>Base</v>
      </c>
      <c r="F12689" s="138" t="str">
        <f t="shared" si="1113"/>
        <v>Upgraded</v>
      </c>
      <c r="G12689" s="153"/>
      <c r="H12689" s="210">
        <v>5.9999999999999995E-4</v>
      </c>
      <c r="I12689" s="160" t="s">
        <v>168</v>
      </c>
      <c r="J12689" s="211">
        <v>7.7567199999999995E-6</v>
      </c>
      <c r="K12689" s="160" t="s">
        <v>13</v>
      </c>
      <c r="L12689" s="154" t="str">
        <f>IF(OpenLCAbasic!K12689="CTUh", "Fill in Manually",IF(OR(K12689="Unit", K12689=""), "", INDEX(LookUps!$E$5:$E$12, MATCH(OpenLCAbasic!K12689,LookUps!$D$5:$D$12,0))))</f>
        <v>Eutrophication Potential (EP) - kg N eq</v>
      </c>
      <c r="M12689" s="154" t="str">
        <f t="shared" si="1114"/>
        <v>Base_High_High_Upgraded_Eutrophication Potential (EP) - kg N eq_ClearCove SCP; wastewater treatment unit; at updated plant - US_Without Amendment_Aerated Static Pile</v>
      </c>
    </row>
    <row r="12690" spans="1:13" s="120" customFormat="1" x14ac:dyDescent="0.25">
      <c r="A12690" s="119"/>
      <c r="B12690" s="138" t="str">
        <f t="shared" si="1110"/>
        <v>Aerated Static Pile</v>
      </c>
      <c r="C12690" s="138" t="str">
        <f t="shared" si="1111"/>
        <v>Without Amendment</v>
      </c>
      <c r="D12690" s="138" t="str">
        <f t="shared" si="1109"/>
        <v>High_High</v>
      </c>
      <c r="E12690" s="138" t="str">
        <f t="shared" si="1112"/>
        <v>Base</v>
      </c>
      <c r="F12690" s="138" t="str">
        <f t="shared" si="1113"/>
        <v>Upgraded</v>
      </c>
      <c r="G12690" s="153"/>
      <c r="H12690" s="210">
        <v>-0.23169999999999999</v>
      </c>
      <c r="I12690" s="160" t="s">
        <v>149</v>
      </c>
      <c r="J12690" s="160">
        <v>-2.96E-3</v>
      </c>
      <c r="K12690" s="160" t="s">
        <v>13</v>
      </c>
      <c r="L12690" s="154" t="str">
        <f>IF(OpenLCAbasic!K12690="CTUh", "Fill in Manually",IF(OR(K12690="Unit", K12690=""), "", INDEX(LookUps!$E$5:$E$12, MATCH(OpenLCAbasic!K12690,LookUps!$D$5:$D$12,0))))</f>
        <v>Eutrophication Potential (EP) - kg N eq</v>
      </c>
      <c r="M12690" s="154" t="str">
        <f t="shared" si="1114"/>
        <v>Base_High_High_Upgraded_Eutrophication Potential (EP) - kg N eq_Anaerobic Digestion; wastewater treatment unit; at updated plant - US_Without Amendment_Aerated Static Pile</v>
      </c>
    </row>
    <row r="12691" spans="1:13" s="120" customFormat="1" x14ac:dyDescent="0.25">
      <c r="A12691" s="119"/>
      <c r="B12691" s="138" t="str">
        <f t="shared" si="1110"/>
        <v/>
      </c>
      <c r="C12691" s="138" t="str">
        <f t="shared" si="1111"/>
        <v/>
      </c>
      <c r="D12691" s="138" t="str">
        <f t="shared" si="1109"/>
        <v/>
      </c>
      <c r="E12691" s="138" t="str">
        <f t="shared" si="1112"/>
        <v/>
      </c>
      <c r="F12691" s="138" t="str">
        <f t="shared" si="1113"/>
        <v/>
      </c>
      <c r="G12691" s="153" t="s">
        <v>51</v>
      </c>
      <c r="H12691" s="160"/>
      <c r="I12691" s="160" t="s">
        <v>47</v>
      </c>
      <c r="J12691" s="160" t="s">
        <v>52</v>
      </c>
      <c r="K12691" s="160" t="s">
        <v>27</v>
      </c>
      <c r="L12691" s="154" t="str">
        <f>IF(OpenLCAbasic!K12691="CTUh", "Fill in Manually",IF(OR(K12691="Unit", K12691=""), "", INDEX(LookUps!$E$5:$E$12, MATCH(OpenLCAbasic!K12691,LookUps!$D$5:$D$12,0))))</f>
        <v/>
      </c>
      <c r="M12691" s="154" t="str">
        <f t="shared" si="1114"/>
        <v>____Process__</v>
      </c>
    </row>
    <row r="12692" spans="1:13" s="120" customFormat="1" x14ac:dyDescent="0.25">
      <c r="A12692" s="119"/>
      <c r="B12692" s="138" t="str">
        <f t="shared" si="1110"/>
        <v>Aerated Static Pile</v>
      </c>
      <c r="C12692" s="138" t="str">
        <f t="shared" si="1111"/>
        <v>Without Amendment</v>
      </c>
      <c r="D12692" s="138" t="str">
        <f t="shared" si="1109"/>
        <v>High_High</v>
      </c>
      <c r="E12692" s="138" t="str">
        <f t="shared" si="1112"/>
        <v>Base</v>
      </c>
      <c r="F12692" s="138" t="str">
        <f t="shared" si="1113"/>
        <v>Upgraded</v>
      </c>
      <c r="G12692" s="153"/>
      <c r="H12692" s="210">
        <v>0.69620000000000004</v>
      </c>
      <c r="I12692" s="160" t="s">
        <v>167</v>
      </c>
      <c r="J12692" s="160">
        <v>0.11719</v>
      </c>
      <c r="K12692" s="160" t="s">
        <v>14</v>
      </c>
      <c r="L12692" s="154" t="str">
        <f>IF(OpenLCAbasic!K12692="CTUh", "Fill in Manually",IF(OR(K12692="Unit", K12692=""), "", INDEX(LookUps!$E$5:$E$12, MATCH(OpenLCAbasic!K12692,LookUps!$D$5:$D$12,0))))</f>
        <v>Fossil Depletion Potential (FDP) - kg oil eq</v>
      </c>
      <c r="M12692" s="154" t="str">
        <f t="shared" si="1114"/>
        <v>Base_High_High_Upgraded_Fossil Depletion Potential (FDP) - kg oil eq_Waste Receiving and Holding; wastewater treatment unit; at updated plant - US_Without Amendment_Aerated Static Pile</v>
      </c>
    </row>
    <row r="12693" spans="1:13" s="120" customFormat="1" x14ac:dyDescent="0.25">
      <c r="A12693" s="119"/>
      <c r="B12693" s="138" t="str">
        <f t="shared" si="1110"/>
        <v>Aerated Static Pile</v>
      </c>
      <c r="C12693" s="138" t="str">
        <f t="shared" si="1111"/>
        <v>Without Amendment</v>
      </c>
      <c r="D12693" s="138" t="str">
        <f t="shared" si="1109"/>
        <v>High_High</v>
      </c>
      <c r="E12693" s="138" t="str">
        <f t="shared" si="1112"/>
        <v>Base</v>
      </c>
      <c r="F12693" s="138" t="str">
        <f t="shared" si="1113"/>
        <v>Upgraded</v>
      </c>
      <c r="G12693" s="153"/>
      <c r="H12693" s="210">
        <v>0.37780000000000002</v>
      </c>
      <c r="I12693" s="160" t="s">
        <v>55</v>
      </c>
      <c r="J12693" s="160">
        <v>6.3589999999999994E-2</v>
      </c>
      <c r="K12693" s="160" t="s">
        <v>14</v>
      </c>
      <c r="L12693" s="154" t="str">
        <f>IF(OpenLCAbasic!K12693="CTUh", "Fill in Manually",IF(OR(K12693="Unit", K12693=""), "", INDEX(LookUps!$E$5:$E$12, MATCH(OpenLCAbasic!K12693,LookUps!$D$5:$D$12,0))))</f>
        <v>Fossil Depletion Potential (FDP) - kg oil eq</v>
      </c>
      <c r="M12693" s="154" t="str">
        <f t="shared" si="1114"/>
        <v>Base_High_High_Upgraded_Fossil Depletion Potential (FDP) - kg oil eq_Aeration Tanks; wastewater treatment unit; at updated plant - US_Without Amendment_Aerated Static Pile</v>
      </c>
    </row>
    <row r="12694" spans="1:13" s="120" customFormat="1" x14ac:dyDescent="0.25">
      <c r="A12694" s="119"/>
      <c r="B12694" s="138" t="str">
        <f t="shared" si="1110"/>
        <v>Aerated Static Pile</v>
      </c>
      <c r="C12694" s="138" t="str">
        <f t="shared" si="1111"/>
        <v>Without Amendment</v>
      </c>
      <c r="D12694" s="138" t="str">
        <f t="shared" si="1109"/>
        <v>High_High</v>
      </c>
      <c r="E12694" s="138" t="str">
        <f t="shared" si="1112"/>
        <v>Base</v>
      </c>
      <c r="F12694" s="138" t="str">
        <f t="shared" si="1113"/>
        <v>Upgraded</v>
      </c>
      <c r="G12694" s="153"/>
      <c r="H12694" s="210">
        <v>0.125</v>
      </c>
      <c r="I12694" s="160" t="s">
        <v>54</v>
      </c>
      <c r="J12694" s="160">
        <v>2.1049999999999999E-2</v>
      </c>
      <c r="K12694" s="160" t="s">
        <v>14</v>
      </c>
      <c r="L12694" s="154" t="str">
        <f>IF(OpenLCAbasic!K12694="CTUh", "Fill in Manually",IF(OR(K12694="Unit", K12694=""), "", INDEX(LookUps!$E$5:$E$12, MATCH(OpenLCAbasic!K12694,LookUps!$D$5:$D$12,0))))</f>
        <v>Fossil Depletion Potential (FDP) - kg oil eq</v>
      </c>
      <c r="M12694" s="154" t="str">
        <f t="shared" si="1114"/>
        <v>Base_High_High_Upgraded_Fossil Depletion Potential (FDP) - kg oil eq_Clear Cove Primary Clarification; wastewater treatment unit; at updated plant - US_Without Amendment_Aerated Static Pile</v>
      </c>
    </row>
    <row r="12695" spans="1:13" s="120" customFormat="1" x14ac:dyDescent="0.25">
      <c r="A12695" s="119"/>
      <c r="B12695" s="138" t="str">
        <f t="shared" si="1110"/>
        <v>Aerated Static Pile</v>
      </c>
      <c r="C12695" s="138" t="str">
        <f t="shared" si="1111"/>
        <v>Without Amendment</v>
      </c>
      <c r="D12695" s="138" t="str">
        <f t="shared" si="1109"/>
        <v>High_High</v>
      </c>
      <c r="E12695" s="138" t="str">
        <f t="shared" si="1112"/>
        <v>Base</v>
      </c>
      <c r="F12695" s="138" t="str">
        <f t="shared" si="1113"/>
        <v>Upgraded</v>
      </c>
      <c r="G12695" s="153"/>
      <c r="H12695" s="210">
        <v>9.5299999999999996E-2</v>
      </c>
      <c r="I12695" s="160" t="s">
        <v>58</v>
      </c>
      <c r="J12695" s="160">
        <v>1.6039999999999999E-2</v>
      </c>
      <c r="K12695" s="160" t="s">
        <v>14</v>
      </c>
      <c r="L12695" s="154" t="str">
        <f>IF(OpenLCAbasic!K12695="CTUh", "Fill in Manually",IF(OR(K12695="Unit", K12695=""), "", INDEX(LookUps!$E$5:$E$12, MATCH(OpenLCAbasic!K12695,LookUps!$D$5:$D$12,0))))</f>
        <v>Fossil Depletion Potential (FDP) - kg oil eq</v>
      </c>
      <c r="M12695" s="154" t="str">
        <f t="shared" si="1114"/>
        <v>Base_High_High_Upgraded_Fossil Depletion Potential (FDP) - kg oil eq_Pre-Anoxic &amp; Swing tank; wastewater treatment unit; at updated plant - US_Without Amendment_Aerated Static Pile</v>
      </c>
    </row>
    <row r="12696" spans="1:13" s="120" customFormat="1" x14ac:dyDescent="0.25">
      <c r="A12696" s="119"/>
      <c r="B12696" s="138" t="str">
        <f t="shared" si="1110"/>
        <v>Aerated Static Pile</v>
      </c>
      <c r="C12696" s="138" t="str">
        <f t="shared" si="1111"/>
        <v>Without Amendment</v>
      </c>
      <c r="D12696" s="138" t="str">
        <f t="shared" si="1109"/>
        <v>High_High</v>
      </c>
      <c r="E12696" s="138" t="str">
        <f t="shared" si="1112"/>
        <v>Base</v>
      </c>
      <c r="F12696" s="138" t="str">
        <f t="shared" si="1113"/>
        <v>Upgraded</v>
      </c>
      <c r="G12696" s="153"/>
      <c r="H12696" s="210">
        <v>8.9599999999999999E-2</v>
      </c>
      <c r="I12696" s="160" t="s">
        <v>147</v>
      </c>
      <c r="J12696" s="160">
        <v>1.5089999999999999E-2</v>
      </c>
      <c r="K12696" s="160" t="s">
        <v>14</v>
      </c>
      <c r="L12696" s="154" t="str">
        <f>IF(OpenLCAbasic!K12696="CTUh", "Fill in Manually",IF(OR(K12696="Unit", K12696=""), "", INDEX(LookUps!$E$5:$E$12, MATCH(OpenLCAbasic!K12696,LookUps!$D$5:$D$12,0))))</f>
        <v>Fossil Depletion Potential (FDP) - kg oil eq</v>
      </c>
      <c r="M12696" s="154" t="str">
        <f t="shared" si="1114"/>
        <v>Base_High_High_Upgraded_Fossil Depletion Potential (FDP) - kg oil eq_Influent Pump Station; wastewater treatment unit; at updated plant - US_Without Amendment_Aerated Static Pile</v>
      </c>
    </row>
    <row r="12697" spans="1:13" s="120" customFormat="1" x14ac:dyDescent="0.25">
      <c r="A12697" s="119"/>
      <c r="B12697" s="138" t="str">
        <f t="shared" si="1110"/>
        <v>Aerated Static Pile</v>
      </c>
      <c r="C12697" s="138" t="str">
        <f t="shared" si="1111"/>
        <v>Without Amendment</v>
      </c>
      <c r="D12697" s="138" t="str">
        <f t="shared" si="1109"/>
        <v>High_High</v>
      </c>
      <c r="E12697" s="138" t="str">
        <f t="shared" si="1112"/>
        <v>Base</v>
      </c>
      <c r="F12697" s="138" t="str">
        <f t="shared" si="1113"/>
        <v>Upgraded</v>
      </c>
      <c r="G12697" s="153"/>
      <c r="H12697" s="210">
        <v>7.4200000000000002E-2</v>
      </c>
      <c r="I12697" s="160" t="s">
        <v>53</v>
      </c>
      <c r="J12697" s="160">
        <v>1.2489999999999999E-2</v>
      </c>
      <c r="K12697" s="160" t="s">
        <v>14</v>
      </c>
      <c r="L12697" s="154" t="str">
        <f>IF(OpenLCAbasic!K12697="CTUh", "Fill in Manually",IF(OR(K12697="Unit", K12697=""), "", INDEX(LookUps!$E$5:$E$12, MATCH(OpenLCAbasic!K12697,LookUps!$D$5:$D$12,0))))</f>
        <v>Fossil Depletion Potential (FDP) - kg oil eq</v>
      </c>
      <c r="M12697" s="154" t="str">
        <f t="shared" si="1114"/>
        <v>Base_High_High_Upgraded_Fossil Depletion Potential (FDP) - kg oil eq_Wet Well and Sump Station; wastewater treatment unit; at updated plant - US_Without Amendment_Aerated Static Pile</v>
      </c>
    </row>
    <row r="12698" spans="1:13" s="120" customFormat="1" x14ac:dyDescent="0.25">
      <c r="A12698" s="119"/>
      <c r="B12698" s="138" t="str">
        <f t="shared" si="1110"/>
        <v>Aerated Static Pile</v>
      </c>
      <c r="C12698" s="138" t="str">
        <f t="shared" si="1111"/>
        <v>Without Amendment</v>
      </c>
      <c r="D12698" s="138" t="str">
        <f t="shared" si="1109"/>
        <v>High_High</v>
      </c>
      <c r="E12698" s="138" t="str">
        <f t="shared" si="1112"/>
        <v>Base</v>
      </c>
      <c r="F12698" s="138" t="str">
        <f t="shared" si="1113"/>
        <v>Upgraded</v>
      </c>
      <c r="G12698" s="153"/>
      <c r="H12698" s="210">
        <v>6.7299999999999999E-2</v>
      </c>
      <c r="I12698" s="160" t="s">
        <v>435</v>
      </c>
      <c r="J12698" s="160">
        <v>1.133E-2</v>
      </c>
      <c r="K12698" s="160" t="s">
        <v>14</v>
      </c>
      <c r="L12698" s="154" t="str">
        <f>IF(OpenLCAbasic!K12698="CTUh", "Fill in Manually",IF(OR(K12698="Unit", K12698=""), "", INDEX(LookUps!$E$5:$E$12, MATCH(OpenLCAbasic!K12698,LookUps!$D$5:$D$12,0))))</f>
        <v>Fossil Depletion Potential (FDP) - kg oil eq</v>
      </c>
      <c r="M12698" s="154" t="str">
        <f t="shared" si="1114"/>
        <v>Base_High_High_Upgraded_Fossil Depletion Potential (FDP) - kg oil eq_Biosolids composting; aerated static pile; wastewater treatment unit; at updated plant - US_Without Amendment_Aerated Static Pile</v>
      </c>
    </row>
    <row r="12699" spans="1:13" s="120" customFormat="1" x14ac:dyDescent="0.25">
      <c r="A12699" s="119"/>
      <c r="B12699" s="138" t="str">
        <f t="shared" si="1110"/>
        <v>Aerated Static Pile</v>
      </c>
      <c r="C12699" s="138" t="str">
        <f t="shared" si="1111"/>
        <v>Without Amendment</v>
      </c>
      <c r="D12699" s="138" t="str">
        <f t="shared" si="1109"/>
        <v>High_High</v>
      </c>
      <c r="E12699" s="138" t="str">
        <f t="shared" si="1112"/>
        <v>Base</v>
      </c>
      <c r="F12699" s="138" t="str">
        <f t="shared" si="1113"/>
        <v>Upgraded</v>
      </c>
      <c r="G12699" s="153"/>
      <c r="H12699" s="210">
        <v>6.1899999999999997E-2</v>
      </c>
      <c r="I12699" s="160" t="s">
        <v>60</v>
      </c>
      <c r="J12699" s="160">
        <v>1.0410000000000001E-2</v>
      </c>
      <c r="K12699" s="160" t="s">
        <v>14</v>
      </c>
      <c r="L12699" s="154" t="str">
        <f>IF(OpenLCAbasic!K12699="CTUh", "Fill in Manually",IF(OR(K12699="Unit", K12699=""), "", INDEX(LookUps!$E$5:$E$12, MATCH(OpenLCAbasic!K12699,LookUps!$D$5:$D$12,0))))</f>
        <v>Fossil Depletion Potential (FDP) - kg oil eq</v>
      </c>
      <c r="M12699" s="154" t="str">
        <f t="shared" si="1114"/>
        <v>Base_High_High_Upgraded_Fossil Depletion Potential (FDP) - kg oil eq_Belt filter press; wastewater treatment unit; at updated plant - US_Without Amendment_Aerated Static Pile</v>
      </c>
    </row>
    <row r="12700" spans="1:13" s="120" customFormat="1" x14ac:dyDescent="0.25">
      <c r="A12700" s="119"/>
      <c r="B12700" s="138" t="str">
        <f t="shared" si="1110"/>
        <v>Aerated Static Pile</v>
      </c>
      <c r="C12700" s="138" t="str">
        <f t="shared" si="1111"/>
        <v>Without Amendment</v>
      </c>
      <c r="D12700" s="138" t="str">
        <f t="shared" si="1109"/>
        <v>High_High</v>
      </c>
      <c r="E12700" s="138" t="str">
        <f t="shared" si="1112"/>
        <v>Base</v>
      </c>
      <c r="F12700" s="138" t="str">
        <f t="shared" si="1113"/>
        <v>Upgraded</v>
      </c>
      <c r="G12700" s="153"/>
      <c r="H12700" s="210">
        <v>4.1099999999999998E-2</v>
      </c>
      <c r="I12700" s="160" t="s">
        <v>57</v>
      </c>
      <c r="J12700" s="160">
        <v>6.9199999999999999E-3</v>
      </c>
      <c r="K12700" s="160" t="s">
        <v>14</v>
      </c>
      <c r="L12700" s="154" t="str">
        <f>IF(OpenLCAbasic!K12700="CTUh", "Fill in Manually",IF(OR(K12700="Unit", K12700=""), "", INDEX(LookUps!$E$5:$E$12, MATCH(OpenLCAbasic!K12700,LookUps!$D$5:$D$12,0))))</f>
        <v>Fossil Depletion Potential (FDP) - kg oil eq</v>
      </c>
      <c r="M12700" s="154" t="str">
        <f t="shared" si="1114"/>
        <v>Base_High_High_Upgraded_Fossil Depletion Potential (FDP) - kg oil eq_Gravity Belt Thickener; wastewater treatment unit; at updated plant - US_Without Amendment_Aerated Static Pile</v>
      </c>
    </row>
    <row r="12701" spans="1:13" s="120" customFormat="1" x14ac:dyDescent="0.25">
      <c r="A12701" s="119"/>
      <c r="B12701" s="138" t="str">
        <f t="shared" si="1110"/>
        <v>Aerated Static Pile</v>
      </c>
      <c r="C12701" s="138" t="str">
        <f t="shared" si="1111"/>
        <v>Without Amendment</v>
      </c>
      <c r="D12701" s="138" t="str">
        <f t="shared" si="1109"/>
        <v>High_High</v>
      </c>
      <c r="E12701" s="138" t="str">
        <f t="shared" si="1112"/>
        <v>Base</v>
      </c>
      <c r="F12701" s="138" t="str">
        <f t="shared" si="1113"/>
        <v>Upgraded</v>
      </c>
      <c r="G12701" s="153"/>
      <c r="H12701" s="210">
        <v>2.6700000000000002E-2</v>
      </c>
      <c r="I12701" s="160" t="s">
        <v>128</v>
      </c>
      <c r="J12701" s="160">
        <v>4.4999999999999997E-3</v>
      </c>
      <c r="K12701" s="160" t="s">
        <v>14</v>
      </c>
      <c r="L12701" s="154" t="str">
        <f>IF(OpenLCAbasic!K12701="CTUh", "Fill in Manually",IF(OR(K12701="Unit", K12701=""), "", INDEX(LookUps!$E$5:$E$12, MATCH(OpenLCAbasic!K12701,LookUps!$D$5:$D$12,0))))</f>
        <v>Fossil Depletion Potential (FDP) - kg oil eq</v>
      </c>
      <c r="M12701" s="154" t="str">
        <f t="shared" si="1114"/>
        <v>Base_High_High_Upgraded_Fossil Depletion Potential (FDP) - kg oil eq_Wastewater collection; operation and infrastructure; m3 wastewater_Without Amendment_Aerated Static Pile</v>
      </c>
    </row>
    <row r="12702" spans="1:13" s="120" customFormat="1" x14ac:dyDescent="0.25">
      <c r="A12702" s="119"/>
      <c r="B12702" s="138" t="str">
        <f t="shared" si="1110"/>
        <v>Aerated Static Pile</v>
      </c>
      <c r="C12702" s="138" t="str">
        <f t="shared" si="1111"/>
        <v>Without Amendment</v>
      </c>
      <c r="D12702" s="138" t="str">
        <f t="shared" si="1109"/>
        <v>High_High</v>
      </c>
      <c r="E12702" s="138" t="str">
        <f t="shared" si="1112"/>
        <v>Base</v>
      </c>
      <c r="F12702" s="138" t="str">
        <f t="shared" si="1113"/>
        <v>Upgraded</v>
      </c>
      <c r="G12702" s="153"/>
      <c r="H12702" s="210">
        <v>1.66E-2</v>
      </c>
      <c r="I12702" s="160" t="s">
        <v>148</v>
      </c>
      <c r="J12702" s="160">
        <v>2.8E-3</v>
      </c>
      <c r="K12702" s="160" t="s">
        <v>14</v>
      </c>
      <c r="L12702" s="154" t="str">
        <f>IF(OpenLCAbasic!K12702="CTUh", "Fill in Manually",IF(OR(K12702="Unit", K12702=""), "", INDEX(LookUps!$E$5:$E$12, MATCH(OpenLCAbasic!K12702,LookUps!$D$5:$D$12,0))))</f>
        <v>Fossil Depletion Potential (FDP) - kg oil eq</v>
      </c>
      <c r="M12702" s="154" t="str">
        <f t="shared" si="1114"/>
        <v>Base_High_High_Upgraded_Fossil Depletion Potential (FDP) - kg oil eq_Control Building; at upgraded wastewater treatment plant - US_Without Amendment_Aerated Static Pile</v>
      </c>
    </row>
    <row r="12703" spans="1:13" s="120" customFormat="1" x14ac:dyDescent="0.25">
      <c r="A12703" s="119"/>
      <c r="B12703" s="138" t="str">
        <f t="shared" si="1110"/>
        <v>Aerated Static Pile</v>
      </c>
      <c r="C12703" s="138" t="str">
        <f t="shared" si="1111"/>
        <v>Without Amendment</v>
      </c>
      <c r="D12703" s="138" t="str">
        <f t="shared" si="1109"/>
        <v>High_High</v>
      </c>
      <c r="E12703" s="138" t="str">
        <f t="shared" si="1112"/>
        <v>Base</v>
      </c>
      <c r="F12703" s="138" t="str">
        <f t="shared" si="1113"/>
        <v>Upgraded</v>
      </c>
      <c r="G12703" s="153"/>
      <c r="H12703" s="210">
        <v>1.4E-2</v>
      </c>
      <c r="I12703" s="160" t="s">
        <v>48</v>
      </c>
      <c r="J12703" s="160">
        <v>2.3600000000000001E-3</v>
      </c>
      <c r="K12703" s="160" t="s">
        <v>14</v>
      </c>
      <c r="L12703" s="154" t="str">
        <f>IF(OpenLCAbasic!K12703="CTUh", "Fill in Manually",IF(OR(K12703="Unit", K12703=""), "", INDEX(LookUps!$E$5:$E$12, MATCH(OpenLCAbasic!K12703,LookUps!$D$5:$D$12,0))))</f>
        <v>Fossil Depletion Potential (FDP) - kg oil eq</v>
      </c>
      <c r="M12703" s="154" t="str">
        <f t="shared" si="1114"/>
        <v>Base_High_High_Upgraded_Fossil Depletion Potential (FDP) - kg oil eq_Effluent release; wastewater treatment unit; at surface water; m3 wastewater - US_Without Amendment_Aerated Static Pile</v>
      </c>
    </row>
    <row r="12704" spans="1:13" s="120" customFormat="1" x14ac:dyDescent="0.25">
      <c r="A12704" s="119"/>
      <c r="B12704" s="138" t="str">
        <f t="shared" si="1110"/>
        <v>Aerated Static Pile</v>
      </c>
      <c r="C12704" s="138" t="str">
        <f t="shared" si="1111"/>
        <v>Without Amendment</v>
      </c>
      <c r="D12704" s="138" t="str">
        <f t="shared" si="1109"/>
        <v>High_High</v>
      </c>
      <c r="E12704" s="138" t="str">
        <f t="shared" si="1112"/>
        <v>Base</v>
      </c>
      <c r="F12704" s="138" t="str">
        <f t="shared" si="1113"/>
        <v>Upgraded</v>
      </c>
      <c r="G12704" s="153"/>
      <c r="H12704" s="210">
        <v>1.14E-2</v>
      </c>
      <c r="I12704" s="160" t="s">
        <v>59</v>
      </c>
      <c r="J12704" s="160">
        <v>1.92E-3</v>
      </c>
      <c r="K12704" s="160" t="s">
        <v>14</v>
      </c>
      <c r="L12704" s="154" t="str">
        <f>IF(OpenLCAbasic!K12704="CTUh", "Fill in Manually",IF(OR(K12704="Unit", K12704=""), "", INDEX(LookUps!$E$5:$E$12, MATCH(OpenLCAbasic!K12704,LookUps!$D$5:$D$12,0))))</f>
        <v>Fossil Depletion Potential (FDP) - kg oil eq</v>
      </c>
      <c r="M12704" s="154" t="str">
        <f t="shared" si="1114"/>
        <v>Base_High_High_Upgraded_Fossil Depletion Potential (FDP) - kg oil eq_Blend Tank; wastewater treatment unit; at updated plant - US_Without Amendment_Aerated Static Pile</v>
      </c>
    </row>
    <row r="12705" spans="1:13" s="120" customFormat="1" x14ac:dyDescent="0.25">
      <c r="A12705" s="119"/>
      <c r="B12705" s="138" t="str">
        <f t="shared" si="1110"/>
        <v>Aerated Static Pile</v>
      </c>
      <c r="C12705" s="138" t="str">
        <f t="shared" si="1111"/>
        <v>Without Amendment</v>
      </c>
      <c r="D12705" s="138" t="str">
        <f t="shared" ref="D12705:D12768" si="1115">IF(ISNUMBER($J12705),"High_High","")</f>
        <v>High_High</v>
      </c>
      <c r="E12705" s="138" t="str">
        <f t="shared" si="1112"/>
        <v>Base</v>
      </c>
      <c r="F12705" s="138" t="str">
        <f t="shared" si="1113"/>
        <v>Upgraded</v>
      </c>
      <c r="G12705" s="153"/>
      <c r="H12705" s="210">
        <v>5.4000000000000003E-3</v>
      </c>
      <c r="I12705" s="160" t="s">
        <v>168</v>
      </c>
      <c r="J12705" s="160">
        <v>9.1E-4</v>
      </c>
      <c r="K12705" s="160" t="s">
        <v>14</v>
      </c>
      <c r="L12705" s="154" t="str">
        <f>IF(OpenLCAbasic!K12705="CTUh", "Fill in Manually",IF(OR(K12705="Unit", K12705=""), "", INDEX(LookUps!$E$5:$E$12, MATCH(OpenLCAbasic!K12705,LookUps!$D$5:$D$12,0))))</f>
        <v>Fossil Depletion Potential (FDP) - kg oil eq</v>
      </c>
      <c r="M12705" s="154" t="str">
        <f t="shared" si="1114"/>
        <v>Base_High_High_Upgraded_Fossil Depletion Potential (FDP) - kg oil eq_ClearCove SCP; wastewater treatment unit; at updated plant - US_Without Amendment_Aerated Static Pile</v>
      </c>
    </row>
    <row r="12706" spans="1:13" s="120" customFormat="1" x14ac:dyDescent="0.25">
      <c r="A12706" s="119"/>
      <c r="B12706" s="138" t="str">
        <f t="shared" si="1110"/>
        <v>Aerated Static Pile</v>
      </c>
      <c r="C12706" s="138" t="str">
        <f t="shared" si="1111"/>
        <v>Without Amendment</v>
      </c>
      <c r="D12706" s="138" t="str">
        <f t="shared" si="1115"/>
        <v>High_High</v>
      </c>
      <c r="E12706" s="138" t="str">
        <f t="shared" si="1112"/>
        <v>Base</v>
      </c>
      <c r="F12706" s="138" t="str">
        <f t="shared" si="1113"/>
        <v>Upgraded</v>
      </c>
      <c r="G12706" s="153"/>
      <c r="H12706" s="210">
        <v>-4.2700000000000002E-2</v>
      </c>
      <c r="I12706" s="160" t="s">
        <v>62</v>
      </c>
      <c r="J12706" s="160">
        <v>-7.1900000000000002E-3</v>
      </c>
      <c r="K12706" s="160" t="s">
        <v>14</v>
      </c>
      <c r="L12706" s="154" t="str">
        <f>IF(OpenLCAbasic!K12706="CTUh", "Fill in Manually",IF(OR(K12706="Unit", K12706=""), "", INDEX(LookUps!$E$5:$E$12, MATCH(OpenLCAbasic!K12706,LookUps!$D$5:$D$12,0))))</f>
        <v>Fossil Depletion Potential (FDP) - kg oil eq</v>
      </c>
      <c r="M12706" s="154" t="str">
        <f t="shared" si="1114"/>
        <v>Base_High_High_Upgraded_Fossil Depletion Potential (FDP) - kg oil eq_Land application of compost; wastewater treatment unit; at updated plant - US_Without Amendment_Aerated Static Pile</v>
      </c>
    </row>
    <row r="12707" spans="1:13" s="120" customFormat="1" x14ac:dyDescent="0.25">
      <c r="A12707" s="119"/>
      <c r="B12707" s="138" t="str">
        <f t="shared" si="1110"/>
        <v>Aerated Static Pile</v>
      </c>
      <c r="C12707" s="138" t="str">
        <f t="shared" si="1111"/>
        <v>Without Amendment</v>
      </c>
      <c r="D12707" s="138" t="str">
        <f t="shared" si="1115"/>
        <v>High_High</v>
      </c>
      <c r="E12707" s="138" t="str">
        <f t="shared" si="1112"/>
        <v>Base</v>
      </c>
      <c r="F12707" s="138" t="str">
        <f t="shared" si="1113"/>
        <v>Upgraded</v>
      </c>
      <c r="G12707" s="153"/>
      <c r="H12707" s="210">
        <v>-2.6598000000000002</v>
      </c>
      <c r="I12707" s="160" t="s">
        <v>149</v>
      </c>
      <c r="J12707" s="160">
        <v>-0.44775999999999999</v>
      </c>
      <c r="K12707" s="160" t="s">
        <v>14</v>
      </c>
      <c r="L12707" s="154" t="str">
        <f>IF(OpenLCAbasic!K12707="CTUh", "Fill in Manually",IF(OR(K12707="Unit", K12707=""), "", INDEX(LookUps!$E$5:$E$12, MATCH(OpenLCAbasic!K12707,LookUps!$D$5:$D$12,0))))</f>
        <v>Fossil Depletion Potential (FDP) - kg oil eq</v>
      </c>
      <c r="M12707" s="154" t="str">
        <f t="shared" si="1114"/>
        <v>Base_High_High_Upgraded_Fossil Depletion Potential (FDP) - kg oil eq_Anaerobic Digestion; wastewater treatment unit; at updated plant - US_Without Amendment_Aerated Static Pile</v>
      </c>
    </row>
    <row r="12708" spans="1:13" s="120" customFormat="1" x14ac:dyDescent="0.25">
      <c r="A12708" s="119"/>
      <c r="B12708" s="138" t="str">
        <f t="shared" si="1110"/>
        <v/>
      </c>
      <c r="C12708" s="138" t="str">
        <f t="shared" si="1111"/>
        <v/>
      </c>
      <c r="D12708" s="138" t="str">
        <f t="shared" si="1115"/>
        <v/>
      </c>
      <c r="E12708" s="138" t="str">
        <f t="shared" si="1112"/>
        <v/>
      </c>
      <c r="F12708" s="138" t="str">
        <f t="shared" si="1113"/>
        <v/>
      </c>
      <c r="G12708" s="153" t="s">
        <v>51</v>
      </c>
      <c r="H12708" s="160"/>
      <c r="I12708" s="160" t="s">
        <v>47</v>
      </c>
      <c r="J12708" s="160" t="s">
        <v>52</v>
      </c>
      <c r="K12708" s="160" t="s">
        <v>27</v>
      </c>
      <c r="L12708" s="154" t="str">
        <f>IF(OpenLCAbasic!K12708="CTUh", "Fill in Manually",IF(OR(K12708="Unit", K12708=""), "", INDEX(LookUps!$E$5:$E$12, MATCH(OpenLCAbasic!K12708,LookUps!$D$5:$D$12,0))))</f>
        <v/>
      </c>
      <c r="M12708" s="154" t="str">
        <f t="shared" si="1114"/>
        <v>____Process__</v>
      </c>
    </row>
    <row r="12709" spans="1:13" s="120" customFormat="1" x14ac:dyDescent="0.25">
      <c r="A12709" s="119"/>
      <c r="B12709" s="138" t="str">
        <f t="shared" si="1110"/>
        <v>Aerated Static Pile</v>
      </c>
      <c r="C12709" s="138" t="str">
        <f t="shared" si="1111"/>
        <v>Without Amendment</v>
      </c>
      <c r="D12709" s="138" t="str">
        <f t="shared" si="1115"/>
        <v>High_High</v>
      </c>
      <c r="E12709" s="138" t="str">
        <f t="shared" si="1112"/>
        <v>Base</v>
      </c>
      <c r="F12709" s="138" t="str">
        <f t="shared" si="1113"/>
        <v>Upgraded</v>
      </c>
      <c r="G12709" s="153"/>
      <c r="H12709" s="210">
        <v>2.2505999999999999</v>
      </c>
      <c r="I12709" s="160" t="s">
        <v>435</v>
      </c>
      <c r="J12709" s="160">
        <v>0.55908000000000002</v>
      </c>
      <c r="K12709" s="160" t="s">
        <v>23</v>
      </c>
      <c r="L12709" s="154" t="str">
        <f>IF(OpenLCAbasic!K12709="CTUh", "Fill in Manually",IF(OR(K12709="Unit", K12709=""), "", INDEX(LookUps!$E$5:$E$12, MATCH(OpenLCAbasic!K12709,LookUps!$D$5:$D$12,0))))</f>
        <v>Global Warming Potential (GWP) - kg CO2 eq</v>
      </c>
      <c r="M12709" s="154" t="str">
        <f t="shared" si="1114"/>
        <v>Base_High_High_Upgraded_Global Warming Potential (GWP) - kg CO2 eq_Biosolids composting; aerated static pile; wastewater treatment unit; at updated plant - US_Without Amendment_Aerated Static Pile</v>
      </c>
    </row>
    <row r="12710" spans="1:13" s="120" customFormat="1" x14ac:dyDescent="0.25">
      <c r="A12710" s="119"/>
      <c r="B12710" s="138" t="str">
        <f t="shared" si="1110"/>
        <v>Aerated Static Pile</v>
      </c>
      <c r="C12710" s="138" t="str">
        <f t="shared" si="1111"/>
        <v>Without Amendment</v>
      </c>
      <c r="D12710" s="138" t="str">
        <f t="shared" si="1115"/>
        <v>High_High</v>
      </c>
      <c r="E12710" s="138" t="str">
        <f t="shared" si="1112"/>
        <v>Base</v>
      </c>
      <c r="F12710" s="138" t="str">
        <f t="shared" si="1113"/>
        <v>Upgraded</v>
      </c>
      <c r="G12710" s="153"/>
      <c r="H12710" s="210">
        <v>1.0061</v>
      </c>
      <c r="I12710" s="160" t="s">
        <v>58</v>
      </c>
      <c r="J12710" s="160">
        <v>0.24992</v>
      </c>
      <c r="K12710" s="160" t="s">
        <v>23</v>
      </c>
      <c r="L12710" s="154" t="str">
        <f>IF(OpenLCAbasic!K12710="CTUh", "Fill in Manually",IF(OR(K12710="Unit", K12710=""), "", INDEX(LookUps!$E$5:$E$12, MATCH(OpenLCAbasic!K12710,LookUps!$D$5:$D$12,0))))</f>
        <v>Global Warming Potential (GWP) - kg CO2 eq</v>
      </c>
      <c r="M12710" s="154" t="str">
        <f t="shared" si="1114"/>
        <v>Base_High_High_Upgraded_Global Warming Potential (GWP) - kg CO2 eq_Pre-Anoxic &amp; Swing tank; wastewater treatment unit; at updated plant - US_Without Amendment_Aerated Static Pile</v>
      </c>
    </row>
    <row r="12711" spans="1:13" s="120" customFormat="1" x14ac:dyDescent="0.25">
      <c r="A12711" s="119"/>
      <c r="B12711" s="138" t="str">
        <f t="shared" si="1110"/>
        <v>Aerated Static Pile</v>
      </c>
      <c r="C12711" s="138" t="str">
        <f t="shared" si="1111"/>
        <v>Without Amendment</v>
      </c>
      <c r="D12711" s="138" t="str">
        <f t="shared" si="1115"/>
        <v>High_High</v>
      </c>
      <c r="E12711" s="138" t="str">
        <f t="shared" si="1112"/>
        <v>Base</v>
      </c>
      <c r="F12711" s="138" t="str">
        <f t="shared" si="1113"/>
        <v>Upgraded</v>
      </c>
      <c r="G12711" s="153"/>
      <c r="H12711" s="210">
        <v>0.67720000000000002</v>
      </c>
      <c r="I12711" s="160" t="s">
        <v>55</v>
      </c>
      <c r="J12711" s="160">
        <v>0.16822000000000001</v>
      </c>
      <c r="K12711" s="160" t="s">
        <v>23</v>
      </c>
      <c r="L12711" s="154" t="str">
        <f>IF(OpenLCAbasic!K12711="CTUh", "Fill in Manually",IF(OR(K12711="Unit", K12711=""), "", INDEX(LookUps!$E$5:$E$12, MATCH(OpenLCAbasic!K12711,LookUps!$D$5:$D$12,0))))</f>
        <v>Global Warming Potential (GWP) - kg CO2 eq</v>
      </c>
      <c r="M12711" s="154" t="str">
        <f t="shared" si="1114"/>
        <v>Base_High_High_Upgraded_Global Warming Potential (GWP) - kg CO2 eq_Aeration Tanks; wastewater treatment unit; at updated plant - US_Without Amendment_Aerated Static Pile</v>
      </c>
    </row>
    <row r="12712" spans="1:13" s="120" customFormat="1" x14ac:dyDescent="0.25">
      <c r="A12712" s="119"/>
      <c r="B12712" s="138" t="str">
        <f t="shared" si="1110"/>
        <v>Aerated Static Pile</v>
      </c>
      <c r="C12712" s="138" t="str">
        <f t="shared" si="1111"/>
        <v>Without Amendment</v>
      </c>
      <c r="D12712" s="138" t="str">
        <f t="shared" si="1115"/>
        <v>High_High</v>
      </c>
      <c r="E12712" s="138" t="str">
        <f t="shared" si="1112"/>
        <v>Base</v>
      </c>
      <c r="F12712" s="138" t="str">
        <f t="shared" si="1113"/>
        <v>Upgraded</v>
      </c>
      <c r="G12712" s="153"/>
      <c r="H12712" s="210">
        <v>0.59119999999999995</v>
      </c>
      <c r="I12712" s="160" t="s">
        <v>167</v>
      </c>
      <c r="J12712" s="160">
        <v>0.14685000000000001</v>
      </c>
      <c r="K12712" s="160" t="s">
        <v>23</v>
      </c>
      <c r="L12712" s="154" t="str">
        <f>IF(OpenLCAbasic!K12712="CTUh", "Fill in Manually",IF(OR(K12712="Unit", K12712=""), "", INDEX(LookUps!$E$5:$E$12, MATCH(OpenLCAbasic!K12712,LookUps!$D$5:$D$12,0))))</f>
        <v>Global Warming Potential (GWP) - kg CO2 eq</v>
      </c>
      <c r="M12712" s="154" t="str">
        <f t="shared" si="1114"/>
        <v>Base_High_High_Upgraded_Global Warming Potential (GWP) - kg CO2 eq_Waste Receiving and Holding; wastewater treatment unit; at updated plant - US_Without Amendment_Aerated Static Pile</v>
      </c>
    </row>
    <row r="12713" spans="1:13" s="120" customFormat="1" x14ac:dyDescent="0.25">
      <c r="A12713" s="119"/>
      <c r="B12713" s="138" t="str">
        <f t="shared" ref="B12713:B12776" si="1116">IF(F12713="Legacy","n.a.",IF(F12713="","","Aerated Static Pile"))</f>
        <v>Aerated Static Pile</v>
      </c>
      <c r="C12713" s="138" t="str">
        <f t="shared" ref="C12713:C12776" si="1117">IF(ISNUMBER($J12713),"Without Amendment","")</f>
        <v>Without Amendment</v>
      </c>
      <c r="D12713" s="138" t="str">
        <f t="shared" si="1115"/>
        <v>High_High</v>
      </c>
      <c r="E12713" s="138" t="str">
        <f t="shared" ref="E12713:E12775" si="1118">IF(ISNUMBER($J12713),"Base","")</f>
        <v>Base</v>
      </c>
      <c r="F12713" s="138" t="str">
        <f t="shared" ref="F12713:F12776" si="1119">IF(ISNUMBER(J12713),"Upgraded","")</f>
        <v>Upgraded</v>
      </c>
      <c r="G12713" s="153"/>
      <c r="H12713" s="210">
        <v>0.2298</v>
      </c>
      <c r="I12713" s="160" t="s">
        <v>54</v>
      </c>
      <c r="J12713" s="160">
        <v>5.7079999999999999E-2</v>
      </c>
      <c r="K12713" s="160" t="s">
        <v>23</v>
      </c>
      <c r="L12713" s="154" t="str">
        <f>IF(OpenLCAbasic!K12713="CTUh", "Fill in Manually",IF(OR(K12713="Unit", K12713=""), "", INDEX(LookUps!$E$5:$E$12, MATCH(OpenLCAbasic!K12713,LookUps!$D$5:$D$12,0))))</f>
        <v>Global Warming Potential (GWP) - kg CO2 eq</v>
      </c>
      <c r="M12713" s="154" t="str">
        <f t="shared" si="1114"/>
        <v>Base_High_High_Upgraded_Global Warming Potential (GWP) - kg CO2 eq_Clear Cove Primary Clarification; wastewater treatment unit; at updated plant - US_Without Amendment_Aerated Static Pile</v>
      </c>
    </row>
    <row r="12714" spans="1:13" s="120" customFormat="1" x14ac:dyDescent="0.25">
      <c r="A12714" s="119"/>
      <c r="B12714" s="138" t="str">
        <f t="shared" si="1116"/>
        <v>Aerated Static Pile</v>
      </c>
      <c r="C12714" s="138" t="str">
        <f t="shared" si="1117"/>
        <v>Without Amendment</v>
      </c>
      <c r="D12714" s="138" t="str">
        <f t="shared" si="1115"/>
        <v>High_High</v>
      </c>
      <c r="E12714" s="138" t="str">
        <f t="shared" si="1118"/>
        <v>Base</v>
      </c>
      <c r="F12714" s="138" t="str">
        <f t="shared" si="1119"/>
        <v>Upgraded</v>
      </c>
      <c r="G12714" s="153"/>
      <c r="H12714" s="210">
        <v>0.21190000000000001</v>
      </c>
      <c r="I12714" s="160" t="s">
        <v>48</v>
      </c>
      <c r="J12714" s="160">
        <v>5.2639999999999999E-2</v>
      </c>
      <c r="K12714" s="160" t="s">
        <v>23</v>
      </c>
      <c r="L12714" s="154" t="str">
        <f>IF(OpenLCAbasic!K12714="CTUh", "Fill in Manually",IF(OR(K12714="Unit", K12714=""), "", INDEX(LookUps!$E$5:$E$12, MATCH(OpenLCAbasic!K12714,LookUps!$D$5:$D$12,0))))</f>
        <v>Global Warming Potential (GWP) - kg CO2 eq</v>
      </c>
      <c r="M12714" s="154" t="str">
        <f t="shared" si="1114"/>
        <v>Base_High_High_Upgraded_Global Warming Potential (GWP) - kg CO2 eq_Effluent release; wastewater treatment unit; at surface water; m3 wastewater - US_Without Amendment_Aerated Static Pile</v>
      </c>
    </row>
    <row r="12715" spans="1:13" s="120" customFormat="1" x14ac:dyDescent="0.25">
      <c r="A12715" s="119"/>
      <c r="B12715" s="138" t="str">
        <f t="shared" si="1116"/>
        <v>Aerated Static Pile</v>
      </c>
      <c r="C12715" s="138" t="str">
        <f t="shared" si="1117"/>
        <v>Without Amendment</v>
      </c>
      <c r="D12715" s="138" t="str">
        <f t="shared" si="1115"/>
        <v>High_High</v>
      </c>
      <c r="E12715" s="138" t="str">
        <f t="shared" si="1118"/>
        <v>Base</v>
      </c>
      <c r="F12715" s="138" t="str">
        <f t="shared" si="1119"/>
        <v>Upgraded</v>
      </c>
      <c r="G12715" s="153"/>
      <c r="H12715" s="210">
        <v>0.20330000000000001</v>
      </c>
      <c r="I12715" s="160" t="s">
        <v>147</v>
      </c>
      <c r="J12715" s="160">
        <v>5.0500000000000003E-2</v>
      </c>
      <c r="K12715" s="160" t="s">
        <v>23</v>
      </c>
      <c r="L12715" s="154" t="str">
        <f>IF(OpenLCAbasic!K12715="CTUh", "Fill in Manually",IF(OR(K12715="Unit", K12715=""), "", INDEX(LookUps!$E$5:$E$12, MATCH(OpenLCAbasic!K12715,LookUps!$D$5:$D$12,0))))</f>
        <v>Global Warming Potential (GWP) - kg CO2 eq</v>
      </c>
      <c r="M12715" s="154" t="str">
        <f t="shared" si="1114"/>
        <v>Base_High_High_Upgraded_Global Warming Potential (GWP) - kg CO2 eq_Influent Pump Station; wastewater treatment unit; at updated plant - US_Without Amendment_Aerated Static Pile</v>
      </c>
    </row>
    <row r="12716" spans="1:13" s="120" customFormat="1" x14ac:dyDescent="0.25">
      <c r="A12716" s="119"/>
      <c r="B12716" s="138" t="str">
        <f t="shared" si="1116"/>
        <v>Aerated Static Pile</v>
      </c>
      <c r="C12716" s="138" t="str">
        <f t="shared" si="1117"/>
        <v>Without Amendment</v>
      </c>
      <c r="D12716" s="138" t="str">
        <f t="shared" si="1115"/>
        <v>High_High</v>
      </c>
      <c r="E12716" s="138" t="str">
        <f t="shared" si="1118"/>
        <v>Base</v>
      </c>
      <c r="F12716" s="138" t="str">
        <f t="shared" si="1119"/>
        <v>Upgraded</v>
      </c>
      <c r="G12716" s="153"/>
      <c r="H12716" s="210">
        <v>0.13389999999999999</v>
      </c>
      <c r="I12716" s="160" t="s">
        <v>53</v>
      </c>
      <c r="J12716" s="160">
        <v>3.3259999999999998E-2</v>
      </c>
      <c r="K12716" s="160" t="s">
        <v>23</v>
      </c>
      <c r="L12716" s="154" t="str">
        <f>IF(OpenLCAbasic!K12716="CTUh", "Fill in Manually",IF(OR(K12716="Unit", K12716=""), "", INDEX(LookUps!$E$5:$E$12, MATCH(OpenLCAbasic!K12716,LookUps!$D$5:$D$12,0))))</f>
        <v>Global Warming Potential (GWP) - kg CO2 eq</v>
      </c>
      <c r="M12716" s="154" t="str">
        <f t="shared" si="1114"/>
        <v>Base_High_High_Upgraded_Global Warming Potential (GWP) - kg CO2 eq_Wet Well and Sump Station; wastewater treatment unit; at updated plant - US_Without Amendment_Aerated Static Pile</v>
      </c>
    </row>
    <row r="12717" spans="1:13" s="120" customFormat="1" x14ac:dyDescent="0.25">
      <c r="A12717" s="119"/>
      <c r="B12717" s="138" t="str">
        <f t="shared" si="1116"/>
        <v>Aerated Static Pile</v>
      </c>
      <c r="C12717" s="138" t="str">
        <f t="shared" si="1117"/>
        <v>Without Amendment</v>
      </c>
      <c r="D12717" s="138" t="str">
        <f t="shared" si="1115"/>
        <v>High_High</v>
      </c>
      <c r="E12717" s="138" t="str">
        <f t="shared" si="1118"/>
        <v>Base</v>
      </c>
      <c r="F12717" s="138" t="str">
        <f t="shared" si="1119"/>
        <v>Upgraded</v>
      </c>
      <c r="G12717" s="153"/>
      <c r="H12717" s="210">
        <v>9.2100000000000001E-2</v>
      </c>
      <c r="I12717" s="160" t="s">
        <v>60</v>
      </c>
      <c r="J12717" s="160">
        <v>2.2880000000000001E-2</v>
      </c>
      <c r="K12717" s="160" t="s">
        <v>23</v>
      </c>
      <c r="L12717" s="154" t="str">
        <f>IF(OpenLCAbasic!K12717="CTUh", "Fill in Manually",IF(OR(K12717="Unit", K12717=""), "", INDEX(LookUps!$E$5:$E$12, MATCH(OpenLCAbasic!K12717,LookUps!$D$5:$D$12,0))))</f>
        <v>Global Warming Potential (GWP) - kg CO2 eq</v>
      </c>
      <c r="M12717" s="154" t="str">
        <f t="shared" si="1114"/>
        <v>Base_High_High_Upgraded_Global Warming Potential (GWP) - kg CO2 eq_Belt filter press; wastewater treatment unit; at updated plant - US_Without Amendment_Aerated Static Pile</v>
      </c>
    </row>
    <row r="12718" spans="1:13" s="120" customFormat="1" x14ac:dyDescent="0.25">
      <c r="A12718" s="119"/>
      <c r="B12718" s="138" t="str">
        <f t="shared" si="1116"/>
        <v>Aerated Static Pile</v>
      </c>
      <c r="C12718" s="138" t="str">
        <f t="shared" si="1117"/>
        <v>Without Amendment</v>
      </c>
      <c r="D12718" s="138" t="str">
        <f t="shared" si="1115"/>
        <v>High_High</v>
      </c>
      <c r="E12718" s="138" t="str">
        <f t="shared" si="1118"/>
        <v>Base</v>
      </c>
      <c r="F12718" s="138" t="str">
        <f t="shared" si="1119"/>
        <v>Upgraded</v>
      </c>
      <c r="G12718" s="153"/>
      <c r="H12718" s="210">
        <v>5.8599999999999999E-2</v>
      </c>
      <c r="I12718" s="160" t="s">
        <v>57</v>
      </c>
      <c r="J12718" s="160">
        <v>1.455E-2</v>
      </c>
      <c r="K12718" s="160" t="s">
        <v>23</v>
      </c>
      <c r="L12718" s="154" t="str">
        <f>IF(OpenLCAbasic!K12718="CTUh", "Fill in Manually",IF(OR(K12718="Unit", K12718=""), "", INDEX(LookUps!$E$5:$E$12, MATCH(OpenLCAbasic!K12718,LookUps!$D$5:$D$12,0))))</f>
        <v>Global Warming Potential (GWP) - kg CO2 eq</v>
      </c>
      <c r="M12718" s="154" t="str">
        <f t="shared" si="1114"/>
        <v>Base_High_High_Upgraded_Global Warming Potential (GWP) - kg CO2 eq_Gravity Belt Thickener; wastewater treatment unit; at updated plant - US_Without Amendment_Aerated Static Pile</v>
      </c>
    </row>
    <row r="12719" spans="1:13" s="120" customFormat="1" x14ac:dyDescent="0.25">
      <c r="A12719" s="119"/>
      <c r="B12719" s="138" t="str">
        <f t="shared" si="1116"/>
        <v>Aerated Static Pile</v>
      </c>
      <c r="C12719" s="138" t="str">
        <f t="shared" si="1117"/>
        <v>Without Amendment</v>
      </c>
      <c r="D12719" s="138" t="str">
        <f t="shared" si="1115"/>
        <v>High_High</v>
      </c>
      <c r="E12719" s="138" t="str">
        <f t="shared" si="1118"/>
        <v>Base</v>
      </c>
      <c r="F12719" s="138" t="str">
        <f t="shared" si="1119"/>
        <v>Upgraded</v>
      </c>
      <c r="G12719" s="153"/>
      <c r="H12719" s="210">
        <v>5.4399999999999997E-2</v>
      </c>
      <c r="I12719" s="160" t="s">
        <v>128</v>
      </c>
      <c r="J12719" s="160">
        <v>1.3509999999999999E-2</v>
      </c>
      <c r="K12719" s="160" t="s">
        <v>23</v>
      </c>
      <c r="L12719" s="154" t="str">
        <f>IF(OpenLCAbasic!K12719="CTUh", "Fill in Manually",IF(OR(K12719="Unit", K12719=""), "", INDEX(LookUps!$E$5:$E$12, MATCH(OpenLCAbasic!K12719,LookUps!$D$5:$D$12,0))))</f>
        <v>Global Warming Potential (GWP) - kg CO2 eq</v>
      </c>
      <c r="M12719" s="154" t="str">
        <f t="shared" si="1114"/>
        <v>Base_High_High_Upgraded_Global Warming Potential (GWP) - kg CO2 eq_Wastewater collection; operation and infrastructure; m3 wastewater_Without Amendment_Aerated Static Pile</v>
      </c>
    </row>
    <row r="12720" spans="1:13" s="120" customFormat="1" x14ac:dyDescent="0.25">
      <c r="A12720" s="119"/>
      <c r="B12720" s="138" t="str">
        <f t="shared" si="1116"/>
        <v>Aerated Static Pile</v>
      </c>
      <c r="C12720" s="138" t="str">
        <f t="shared" si="1117"/>
        <v>Without Amendment</v>
      </c>
      <c r="D12720" s="138" t="str">
        <f t="shared" si="1115"/>
        <v>High_High</v>
      </c>
      <c r="E12720" s="138" t="str">
        <f t="shared" si="1118"/>
        <v>Base</v>
      </c>
      <c r="F12720" s="138" t="str">
        <f t="shared" si="1119"/>
        <v>Upgraded</v>
      </c>
      <c r="G12720" s="153"/>
      <c r="H12720" s="210">
        <v>3.3399999999999999E-2</v>
      </c>
      <c r="I12720" s="160" t="s">
        <v>148</v>
      </c>
      <c r="J12720" s="160">
        <v>8.3000000000000001E-3</v>
      </c>
      <c r="K12720" s="160" t="s">
        <v>23</v>
      </c>
      <c r="L12720" s="154" t="str">
        <f>IF(OpenLCAbasic!K12720="CTUh", "Fill in Manually",IF(OR(K12720="Unit", K12720=""), "", INDEX(LookUps!$E$5:$E$12, MATCH(OpenLCAbasic!K12720,LookUps!$D$5:$D$12,0))))</f>
        <v>Global Warming Potential (GWP) - kg CO2 eq</v>
      </c>
      <c r="M12720" s="154" t="str">
        <f t="shared" si="1114"/>
        <v>Base_High_High_Upgraded_Global Warming Potential (GWP) - kg CO2 eq_Control Building; at upgraded wastewater treatment plant - US_Without Amendment_Aerated Static Pile</v>
      </c>
    </row>
    <row r="12721" spans="1:13" s="120" customFormat="1" x14ac:dyDescent="0.25">
      <c r="A12721" s="119"/>
      <c r="B12721" s="138" t="str">
        <f t="shared" si="1116"/>
        <v>Aerated Static Pile</v>
      </c>
      <c r="C12721" s="138" t="str">
        <f t="shared" si="1117"/>
        <v>Without Amendment</v>
      </c>
      <c r="D12721" s="138" t="str">
        <f t="shared" si="1115"/>
        <v>High_High</v>
      </c>
      <c r="E12721" s="138" t="str">
        <f t="shared" si="1118"/>
        <v>Base</v>
      </c>
      <c r="F12721" s="138" t="str">
        <f t="shared" si="1119"/>
        <v>Upgraded</v>
      </c>
      <c r="G12721" s="153"/>
      <c r="H12721" s="210">
        <v>2.0299999999999999E-2</v>
      </c>
      <c r="I12721" s="160" t="s">
        <v>59</v>
      </c>
      <c r="J12721" s="160">
        <v>5.0400000000000002E-3</v>
      </c>
      <c r="K12721" s="160" t="s">
        <v>23</v>
      </c>
      <c r="L12721" s="154" t="str">
        <f>IF(OpenLCAbasic!K12721="CTUh", "Fill in Manually",IF(OR(K12721="Unit", K12721=""), "", INDEX(LookUps!$E$5:$E$12, MATCH(OpenLCAbasic!K12721,LookUps!$D$5:$D$12,0))))</f>
        <v>Global Warming Potential (GWP) - kg CO2 eq</v>
      </c>
      <c r="M12721" s="154" t="str">
        <f t="shared" si="1114"/>
        <v>Base_High_High_Upgraded_Global Warming Potential (GWP) - kg CO2 eq_Blend Tank; wastewater treatment unit; at updated plant - US_Without Amendment_Aerated Static Pile</v>
      </c>
    </row>
    <row r="12722" spans="1:13" s="120" customFormat="1" x14ac:dyDescent="0.25">
      <c r="A12722" s="119"/>
      <c r="B12722" s="138" t="str">
        <f t="shared" si="1116"/>
        <v>Aerated Static Pile</v>
      </c>
      <c r="C12722" s="138" t="str">
        <f t="shared" si="1117"/>
        <v>Without Amendment</v>
      </c>
      <c r="D12722" s="138" t="str">
        <f t="shared" si="1115"/>
        <v>High_High</v>
      </c>
      <c r="E12722" s="138" t="str">
        <f t="shared" si="1118"/>
        <v>Base</v>
      </c>
      <c r="F12722" s="138" t="str">
        <f t="shared" si="1119"/>
        <v>Upgraded</v>
      </c>
      <c r="G12722" s="153"/>
      <c r="H12722" s="210">
        <v>9.7000000000000003E-3</v>
      </c>
      <c r="I12722" s="160" t="s">
        <v>168</v>
      </c>
      <c r="J12722" s="160">
        <v>2.4099999999999998E-3</v>
      </c>
      <c r="K12722" s="160" t="s">
        <v>23</v>
      </c>
      <c r="L12722" s="154" t="str">
        <f>IF(OpenLCAbasic!K12722="CTUh", "Fill in Manually",IF(OR(K12722="Unit", K12722=""), "", INDEX(LookUps!$E$5:$E$12, MATCH(OpenLCAbasic!K12722,LookUps!$D$5:$D$12,0))))</f>
        <v>Global Warming Potential (GWP) - kg CO2 eq</v>
      </c>
      <c r="M12722" s="154" t="str">
        <f t="shared" si="1114"/>
        <v>Base_High_High_Upgraded_Global Warming Potential (GWP) - kg CO2 eq_ClearCove SCP; wastewater treatment unit; at updated plant - US_Without Amendment_Aerated Static Pile</v>
      </c>
    </row>
    <row r="12723" spans="1:13" s="120" customFormat="1" x14ac:dyDescent="0.25">
      <c r="A12723" s="119"/>
      <c r="B12723" s="138" t="str">
        <f t="shared" si="1116"/>
        <v>Aerated Static Pile</v>
      </c>
      <c r="C12723" s="138" t="str">
        <f t="shared" si="1117"/>
        <v>Without Amendment</v>
      </c>
      <c r="D12723" s="138" t="str">
        <f t="shared" si="1115"/>
        <v>High_High</v>
      </c>
      <c r="E12723" s="138" t="str">
        <f t="shared" si="1118"/>
        <v>Base</v>
      </c>
      <c r="F12723" s="138" t="str">
        <f t="shared" si="1119"/>
        <v>Upgraded</v>
      </c>
      <c r="G12723" s="153"/>
      <c r="H12723" s="210">
        <v>-0.9899</v>
      </c>
      <c r="I12723" s="160" t="s">
        <v>62</v>
      </c>
      <c r="J12723" s="160">
        <v>-0.24590999999999999</v>
      </c>
      <c r="K12723" s="160" t="s">
        <v>23</v>
      </c>
      <c r="L12723" s="154" t="str">
        <f>IF(OpenLCAbasic!K12723="CTUh", "Fill in Manually",IF(OR(K12723="Unit", K12723=""), "", INDEX(LookUps!$E$5:$E$12, MATCH(OpenLCAbasic!K12723,LookUps!$D$5:$D$12,0))))</f>
        <v>Global Warming Potential (GWP) - kg CO2 eq</v>
      </c>
      <c r="M12723" s="154" t="str">
        <f t="shared" si="1114"/>
        <v>Base_High_High_Upgraded_Global Warming Potential (GWP) - kg CO2 eq_Land application of compost; wastewater treatment unit; at updated plant - US_Without Amendment_Aerated Static Pile</v>
      </c>
    </row>
    <row r="12724" spans="1:13" s="120" customFormat="1" x14ac:dyDescent="0.25">
      <c r="A12724" s="119"/>
      <c r="B12724" s="138" t="str">
        <f t="shared" si="1116"/>
        <v>Aerated Static Pile</v>
      </c>
      <c r="C12724" s="138" t="str">
        <f t="shared" si="1117"/>
        <v>Without Amendment</v>
      </c>
      <c r="D12724" s="138" t="str">
        <f t="shared" si="1115"/>
        <v>High_High</v>
      </c>
      <c r="E12724" s="138" t="str">
        <f t="shared" si="1118"/>
        <v>Base</v>
      </c>
      <c r="F12724" s="138" t="str">
        <f t="shared" si="1119"/>
        <v>Upgraded</v>
      </c>
      <c r="G12724" s="153"/>
      <c r="H12724" s="210">
        <v>-3.5825</v>
      </c>
      <c r="I12724" s="160" t="s">
        <v>149</v>
      </c>
      <c r="J12724" s="160">
        <v>-0.88992000000000004</v>
      </c>
      <c r="K12724" s="160" t="s">
        <v>23</v>
      </c>
      <c r="L12724" s="154" t="str">
        <f>IF(OpenLCAbasic!K12724="CTUh", "Fill in Manually",IF(OR(K12724="Unit", K12724=""), "", INDEX(LookUps!$E$5:$E$12, MATCH(OpenLCAbasic!K12724,LookUps!$D$5:$D$12,0))))</f>
        <v>Global Warming Potential (GWP) - kg CO2 eq</v>
      </c>
      <c r="M12724" s="154" t="str">
        <f t="shared" si="1114"/>
        <v>Base_High_High_Upgraded_Global Warming Potential (GWP) - kg CO2 eq_Anaerobic Digestion; wastewater treatment unit; at updated plant - US_Without Amendment_Aerated Static Pile</v>
      </c>
    </row>
    <row r="12725" spans="1:13" s="120" customFormat="1" x14ac:dyDescent="0.25">
      <c r="A12725" s="119"/>
      <c r="B12725" s="138" t="str">
        <f t="shared" si="1116"/>
        <v/>
      </c>
      <c r="C12725" s="138" t="str">
        <f t="shared" si="1117"/>
        <v/>
      </c>
      <c r="D12725" s="138" t="str">
        <f t="shared" si="1115"/>
        <v/>
      </c>
      <c r="E12725" s="138" t="str">
        <f t="shared" si="1118"/>
        <v/>
      </c>
      <c r="F12725" s="138" t="str">
        <f t="shared" si="1119"/>
        <v/>
      </c>
      <c r="G12725" s="153" t="s">
        <v>51</v>
      </c>
      <c r="H12725" s="160"/>
      <c r="I12725" s="160" t="s">
        <v>47</v>
      </c>
      <c r="J12725" s="160" t="s">
        <v>52</v>
      </c>
      <c r="K12725" s="160" t="s">
        <v>27</v>
      </c>
      <c r="L12725" s="154" t="str">
        <f>IF(OpenLCAbasic!K12725="CTUh", "Fill in Manually",IF(OR(K12725="Unit", K12725=""), "", INDEX(LookUps!$E$5:$E$12, MATCH(OpenLCAbasic!K12725,LookUps!$D$5:$D$12,0))))</f>
        <v/>
      </c>
      <c r="M12725" s="154" t="str">
        <f t="shared" si="1114"/>
        <v>____Process__</v>
      </c>
    </row>
    <row r="12726" spans="1:13" s="120" customFormat="1" x14ac:dyDescent="0.25">
      <c r="A12726" s="119"/>
      <c r="B12726" s="138" t="str">
        <f t="shared" si="1116"/>
        <v>Aerated Static Pile</v>
      </c>
      <c r="C12726" s="138" t="str">
        <f t="shared" si="1117"/>
        <v>Without Amendment</v>
      </c>
      <c r="D12726" s="138" t="str">
        <f t="shared" si="1115"/>
        <v>High_High</v>
      </c>
      <c r="E12726" s="138" t="str">
        <f t="shared" si="1118"/>
        <v>Base</v>
      </c>
      <c r="F12726" s="138" t="str">
        <f t="shared" si="1119"/>
        <v>Upgraded</v>
      </c>
      <c r="G12726" s="153"/>
      <c r="H12726" s="210">
        <v>0.318</v>
      </c>
      <c r="I12726" s="160" t="s">
        <v>55</v>
      </c>
      <c r="J12726" s="160">
        <v>2.33E-3</v>
      </c>
      <c r="K12726" s="160" t="s">
        <v>145</v>
      </c>
      <c r="L12726" s="154" t="str">
        <f>IF(OpenLCAbasic!K12726="CTUh", "Fill in Manually",IF(OR(K12726="Unit", K12726=""), "", INDEX(LookUps!$E$5:$E$12, MATCH(OpenLCAbasic!K12726,LookUps!$D$5:$D$12,0))))</f>
        <v>Particulate Matter Formation Potential (PMFP) - kg PM2.5 eq</v>
      </c>
      <c r="M12726" s="154" t="str">
        <f t="shared" si="1114"/>
        <v>Base_High_High_Upgraded_Particulate Matter Formation Potential (PMFP) - kg PM2.5 eq_Aeration Tanks; wastewater treatment unit; at updated plant - US_Without Amendment_Aerated Static Pile</v>
      </c>
    </row>
    <row r="12727" spans="1:13" s="120" customFormat="1" x14ac:dyDescent="0.25">
      <c r="A12727" s="119"/>
      <c r="B12727" s="138" t="str">
        <f t="shared" si="1116"/>
        <v>Aerated Static Pile</v>
      </c>
      <c r="C12727" s="138" t="str">
        <f t="shared" si="1117"/>
        <v>Without Amendment</v>
      </c>
      <c r="D12727" s="138" t="str">
        <f t="shared" si="1115"/>
        <v>High_High</v>
      </c>
      <c r="E12727" s="138" t="str">
        <f t="shared" si="1118"/>
        <v>Base</v>
      </c>
      <c r="F12727" s="138" t="str">
        <f t="shared" si="1119"/>
        <v>Upgraded</v>
      </c>
      <c r="G12727" s="153"/>
      <c r="H12727" s="210">
        <v>9.2499999999999999E-2</v>
      </c>
      <c r="I12727" s="160" t="s">
        <v>54</v>
      </c>
      <c r="J12727" s="160">
        <v>6.8000000000000005E-4</v>
      </c>
      <c r="K12727" s="160" t="s">
        <v>145</v>
      </c>
      <c r="L12727" s="154" t="str">
        <f>IF(OpenLCAbasic!K12727="CTUh", "Fill in Manually",IF(OR(K12727="Unit", K12727=""), "", INDEX(LookUps!$E$5:$E$12, MATCH(OpenLCAbasic!K12727,LookUps!$D$5:$D$12,0))))</f>
        <v>Particulate Matter Formation Potential (PMFP) - kg PM2.5 eq</v>
      </c>
      <c r="M12727" s="154" t="str">
        <f t="shared" si="1114"/>
        <v>Base_High_High_Upgraded_Particulate Matter Formation Potential (PMFP) - kg PM2.5 eq_Clear Cove Primary Clarification; wastewater treatment unit; at updated plant - US_Without Amendment_Aerated Static Pile</v>
      </c>
    </row>
    <row r="12728" spans="1:13" s="120" customFormat="1" x14ac:dyDescent="0.25">
      <c r="A12728" s="119"/>
      <c r="B12728" s="138" t="str">
        <f t="shared" si="1116"/>
        <v>Aerated Static Pile</v>
      </c>
      <c r="C12728" s="138" t="str">
        <f t="shared" si="1117"/>
        <v>Without Amendment</v>
      </c>
      <c r="D12728" s="138" t="str">
        <f t="shared" si="1115"/>
        <v>High_High</v>
      </c>
      <c r="E12728" s="138" t="str">
        <f t="shared" si="1118"/>
        <v>Base</v>
      </c>
      <c r="F12728" s="138" t="str">
        <f t="shared" si="1119"/>
        <v>Upgraded</v>
      </c>
      <c r="G12728" s="153"/>
      <c r="H12728" s="210">
        <v>8.0500000000000002E-2</v>
      </c>
      <c r="I12728" s="160" t="s">
        <v>58</v>
      </c>
      <c r="J12728" s="160">
        <v>5.9000000000000003E-4</v>
      </c>
      <c r="K12728" s="160" t="s">
        <v>145</v>
      </c>
      <c r="L12728" s="154" t="str">
        <f>IF(OpenLCAbasic!K12728="CTUh", "Fill in Manually",IF(OR(K12728="Unit", K12728=""), "", INDEX(LookUps!$E$5:$E$12, MATCH(OpenLCAbasic!K12728,LookUps!$D$5:$D$12,0))))</f>
        <v>Particulate Matter Formation Potential (PMFP) - kg PM2.5 eq</v>
      </c>
      <c r="M12728" s="154" t="str">
        <f t="shared" si="1114"/>
        <v>Base_High_High_Upgraded_Particulate Matter Formation Potential (PMFP) - kg PM2.5 eq_Pre-Anoxic &amp; Swing tank; wastewater treatment unit; at updated plant - US_Without Amendment_Aerated Static Pile</v>
      </c>
    </row>
    <row r="12729" spans="1:13" s="120" customFormat="1" x14ac:dyDescent="0.25">
      <c r="A12729" s="119"/>
      <c r="B12729" s="138" t="str">
        <f t="shared" si="1116"/>
        <v>Aerated Static Pile</v>
      </c>
      <c r="C12729" s="138" t="str">
        <f t="shared" si="1117"/>
        <v>Without Amendment</v>
      </c>
      <c r="D12729" s="138" t="str">
        <f t="shared" si="1115"/>
        <v>High_High</v>
      </c>
      <c r="E12729" s="138" t="str">
        <f t="shared" si="1118"/>
        <v>Base</v>
      </c>
      <c r="F12729" s="138" t="str">
        <f t="shared" si="1119"/>
        <v>Upgraded</v>
      </c>
      <c r="G12729" s="153"/>
      <c r="H12729" s="210">
        <v>6.3600000000000004E-2</v>
      </c>
      <c r="I12729" s="160" t="s">
        <v>53</v>
      </c>
      <c r="J12729" s="160">
        <v>4.6999999999999999E-4</v>
      </c>
      <c r="K12729" s="160" t="s">
        <v>145</v>
      </c>
      <c r="L12729" s="154" t="str">
        <f>IF(OpenLCAbasic!K12729="CTUh", "Fill in Manually",IF(OR(K12729="Unit", K12729=""), "", INDEX(LookUps!$E$5:$E$12, MATCH(OpenLCAbasic!K12729,LookUps!$D$5:$D$12,0))))</f>
        <v>Particulate Matter Formation Potential (PMFP) - kg PM2.5 eq</v>
      </c>
      <c r="M12729" s="154" t="str">
        <f t="shared" si="1114"/>
        <v>Base_High_High_Upgraded_Particulate Matter Formation Potential (PMFP) - kg PM2.5 eq_Wet Well and Sump Station; wastewater treatment unit; at updated plant - US_Without Amendment_Aerated Static Pile</v>
      </c>
    </row>
    <row r="12730" spans="1:13" s="120" customFormat="1" x14ac:dyDescent="0.25">
      <c r="A12730" s="119"/>
      <c r="B12730" s="138" t="str">
        <f t="shared" si="1116"/>
        <v>Aerated Static Pile</v>
      </c>
      <c r="C12730" s="138" t="str">
        <f t="shared" si="1117"/>
        <v>Without Amendment</v>
      </c>
      <c r="D12730" s="138" t="str">
        <f t="shared" si="1115"/>
        <v>High_High</v>
      </c>
      <c r="E12730" s="138" t="str">
        <f t="shared" si="1118"/>
        <v>Base</v>
      </c>
      <c r="F12730" s="138" t="str">
        <f t="shared" si="1119"/>
        <v>Upgraded</v>
      </c>
      <c r="G12730" s="153"/>
      <c r="H12730" s="210">
        <v>5.6599999999999998E-2</v>
      </c>
      <c r="I12730" s="160" t="s">
        <v>435</v>
      </c>
      <c r="J12730" s="160">
        <v>4.2000000000000002E-4</v>
      </c>
      <c r="K12730" s="160" t="s">
        <v>145</v>
      </c>
      <c r="L12730" s="154" t="str">
        <f>IF(OpenLCAbasic!K12730="CTUh", "Fill in Manually",IF(OR(K12730="Unit", K12730=""), "", INDEX(LookUps!$E$5:$E$12, MATCH(OpenLCAbasic!K12730,LookUps!$D$5:$D$12,0))))</f>
        <v>Particulate Matter Formation Potential (PMFP) - kg PM2.5 eq</v>
      </c>
      <c r="M12730" s="154" t="str">
        <f t="shared" si="1114"/>
        <v>Base_High_High_Upgraded_Particulate Matter Formation Potential (PMFP) - kg PM2.5 eq_Biosolids composting; aerated static pile; wastewater treatment unit; at updated plant - US_Without Amendment_Aerated Static Pile</v>
      </c>
    </row>
    <row r="12731" spans="1:13" s="120" customFormat="1" x14ac:dyDescent="0.25">
      <c r="A12731" s="119"/>
      <c r="B12731" s="138" t="str">
        <f t="shared" si="1116"/>
        <v>Aerated Static Pile</v>
      </c>
      <c r="C12731" s="138" t="str">
        <f t="shared" si="1117"/>
        <v>Without Amendment</v>
      </c>
      <c r="D12731" s="138" t="str">
        <f t="shared" si="1115"/>
        <v>High_High</v>
      </c>
      <c r="E12731" s="138" t="str">
        <f t="shared" si="1118"/>
        <v>Base</v>
      </c>
      <c r="F12731" s="138" t="str">
        <f t="shared" si="1119"/>
        <v>Upgraded</v>
      </c>
      <c r="G12731" s="153"/>
      <c r="H12731" s="210">
        <v>4.5199999999999997E-2</v>
      </c>
      <c r="I12731" s="160" t="s">
        <v>167</v>
      </c>
      <c r="J12731" s="160">
        <v>3.3E-4</v>
      </c>
      <c r="K12731" s="160" t="s">
        <v>145</v>
      </c>
      <c r="L12731" s="154" t="str">
        <f>IF(OpenLCAbasic!K12731="CTUh", "Fill in Manually",IF(OR(K12731="Unit", K12731=""), "", INDEX(LookUps!$E$5:$E$12, MATCH(OpenLCAbasic!K12731,LookUps!$D$5:$D$12,0))))</f>
        <v>Particulate Matter Formation Potential (PMFP) - kg PM2.5 eq</v>
      </c>
      <c r="M12731" s="154" t="str">
        <f t="shared" si="1114"/>
        <v>Base_High_High_Upgraded_Particulate Matter Formation Potential (PMFP) - kg PM2.5 eq_Waste Receiving and Holding; wastewater treatment unit; at updated plant - US_Without Amendment_Aerated Static Pile</v>
      </c>
    </row>
    <row r="12732" spans="1:13" s="120" customFormat="1" x14ac:dyDescent="0.25">
      <c r="A12732" s="119"/>
      <c r="B12732" s="138" t="str">
        <f t="shared" si="1116"/>
        <v>Aerated Static Pile</v>
      </c>
      <c r="C12732" s="138" t="str">
        <f t="shared" si="1117"/>
        <v>Without Amendment</v>
      </c>
      <c r="D12732" s="138" t="str">
        <f t="shared" si="1115"/>
        <v>High_High</v>
      </c>
      <c r="E12732" s="138" t="str">
        <f t="shared" si="1118"/>
        <v>Base</v>
      </c>
      <c r="F12732" s="138" t="str">
        <f t="shared" si="1119"/>
        <v>Upgraded</v>
      </c>
      <c r="G12732" s="153"/>
      <c r="H12732" s="210">
        <v>3.6299999999999999E-2</v>
      </c>
      <c r="I12732" s="160" t="s">
        <v>147</v>
      </c>
      <c r="J12732" s="160">
        <v>2.7E-4</v>
      </c>
      <c r="K12732" s="160" t="s">
        <v>145</v>
      </c>
      <c r="L12732" s="154" t="str">
        <f>IF(OpenLCAbasic!K12732="CTUh", "Fill in Manually",IF(OR(K12732="Unit", K12732=""), "", INDEX(LookUps!$E$5:$E$12, MATCH(OpenLCAbasic!K12732,LookUps!$D$5:$D$12,0))))</f>
        <v>Particulate Matter Formation Potential (PMFP) - kg PM2.5 eq</v>
      </c>
      <c r="M12732" s="154" t="str">
        <f t="shared" si="1114"/>
        <v>Base_High_High_Upgraded_Particulate Matter Formation Potential (PMFP) - kg PM2.5 eq_Influent Pump Station; wastewater treatment unit; at updated plant - US_Without Amendment_Aerated Static Pile</v>
      </c>
    </row>
    <row r="12733" spans="1:13" s="120" customFormat="1" x14ac:dyDescent="0.25">
      <c r="A12733" s="119"/>
      <c r="B12733" s="138" t="str">
        <f t="shared" si="1116"/>
        <v>Aerated Static Pile</v>
      </c>
      <c r="C12733" s="138" t="str">
        <f t="shared" si="1117"/>
        <v>Without Amendment</v>
      </c>
      <c r="D12733" s="138" t="str">
        <f t="shared" si="1115"/>
        <v>High_High</v>
      </c>
      <c r="E12733" s="138" t="str">
        <f t="shared" si="1118"/>
        <v>Base</v>
      </c>
      <c r="F12733" s="138" t="str">
        <f t="shared" si="1119"/>
        <v>Upgraded</v>
      </c>
      <c r="G12733" s="153"/>
      <c r="H12733" s="210">
        <v>2.5499999999999998E-2</v>
      </c>
      <c r="I12733" s="160" t="s">
        <v>60</v>
      </c>
      <c r="J12733" s="160">
        <v>1.9000000000000001E-4</v>
      </c>
      <c r="K12733" s="160" t="s">
        <v>145</v>
      </c>
      <c r="L12733" s="154" t="str">
        <f>IF(OpenLCAbasic!K12733="CTUh", "Fill in Manually",IF(OR(K12733="Unit", K12733=""), "", INDEX(LookUps!$E$5:$E$12, MATCH(OpenLCAbasic!K12733,LookUps!$D$5:$D$12,0))))</f>
        <v>Particulate Matter Formation Potential (PMFP) - kg PM2.5 eq</v>
      </c>
      <c r="M12733" s="154" t="str">
        <f t="shared" si="1114"/>
        <v>Base_High_High_Upgraded_Particulate Matter Formation Potential (PMFP) - kg PM2.5 eq_Belt filter press; wastewater treatment unit; at updated plant - US_Without Amendment_Aerated Static Pile</v>
      </c>
    </row>
    <row r="12734" spans="1:13" s="120" customFormat="1" x14ac:dyDescent="0.25">
      <c r="A12734" s="119"/>
      <c r="B12734" s="138" t="str">
        <f t="shared" si="1116"/>
        <v>Aerated Static Pile</v>
      </c>
      <c r="C12734" s="138" t="str">
        <f t="shared" si="1117"/>
        <v>Without Amendment</v>
      </c>
      <c r="D12734" s="138" t="str">
        <f t="shared" si="1115"/>
        <v>High_High</v>
      </c>
      <c r="E12734" s="138" t="str">
        <f t="shared" si="1118"/>
        <v>Base</v>
      </c>
      <c r="F12734" s="138" t="str">
        <f t="shared" si="1119"/>
        <v>Upgraded</v>
      </c>
      <c r="G12734" s="153"/>
      <c r="H12734" s="210">
        <v>2.2700000000000001E-2</v>
      </c>
      <c r="I12734" s="160" t="s">
        <v>128</v>
      </c>
      <c r="J12734" s="160">
        <v>1.7000000000000001E-4</v>
      </c>
      <c r="K12734" s="160" t="s">
        <v>145</v>
      </c>
      <c r="L12734" s="154" t="str">
        <f>IF(OpenLCAbasic!K12734="CTUh", "Fill in Manually",IF(OR(K12734="Unit", K12734=""), "", INDEX(LookUps!$E$5:$E$12, MATCH(OpenLCAbasic!K12734,LookUps!$D$5:$D$12,0))))</f>
        <v>Particulate Matter Formation Potential (PMFP) - kg PM2.5 eq</v>
      </c>
      <c r="M12734" s="154" t="str">
        <f t="shared" si="1114"/>
        <v>Base_High_High_Upgraded_Particulate Matter Formation Potential (PMFP) - kg PM2.5 eq_Wastewater collection; operation and infrastructure; m3 wastewater_Without Amendment_Aerated Static Pile</v>
      </c>
    </row>
    <row r="12735" spans="1:13" s="120" customFormat="1" x14ac:dyDescent="0.25">
      <c r="A12735" s="119"/>
      <c r="B12735" s="138" t="str">
        <f t="shared" si="1116"/>
        <v>Aerated Static Pile</v>
      </c>
      <c r="C12735" s="138" t="str">
        <f t="shared" si="1117"/>
        <v>Without Amendment</v>
      </c>
      <c r="D12735" s="138" t="str">
        <f t="shared" si="1115"/>
        <v>High_High</v>
      </c>
      <c r="E12735" s="138" t="str">
        <f t="shared" si="1118"/>
        <v>Base</v>
      </c>
      <c r="F12735" s="138" t="str">
        <f t="shared" si="1119"/>
        <v>Upgraded</v>
      </c>
      <c r="G12735" s="153"/>
      <c r="H12735" s="210">
        <v>1.2999999999999999E-2</v>
      </c>
      <c r="I12735" s="160" t="s">
        <v>57</v>
      </c>
      <c r="J12735" s="211">
        <v>9.5153800000000004E-5</v>
      </c>
      <c r="K12735" s="160" t="s">
        <v>145</v>
      </c>
      <c r="L12735" s="154" t="str">
        <f>IF(OpenLCAbasic!K12735="CTUh", "Fill in Manually",IF(OR(K12735="Unit", K12735=""), "", INDEX(LookUps!$E$5:$E$12, MATCH(OpenLCAbasic!K12735,LookUps!$D$5:$D$12,0))))</f>
        <v>Particulate Matter Formation Potential (PMFP) - kg PM2.5 eq</v>
      </c>
      <c r="M12735" s="154" t="str">
        <f t="shared" si="1114"/>
        <v>Base_High_High_Upgraded_Particulate Matter Formation Potential (PMFP) - kg PM2.5 eq_Gravity Belt Thickener; wastewater treatment unit; at updated plant - US_Without Amendment_Aerated Static Pile</v>
      </c>
    </row>
    <row r="12736" spans="1:13" s="120" customFormat="1" x14ac:dyDescent="0.25">
      <c r="A12736" s="119"/>
      <c r="B12736" s="138" t="str">
        <f t="shared" si="1116"/>
        <v>Aerated Static Pile</v>
      </c>
      <c r="C12736" s="138" t="str">
        <f t="shared" si="1117"/>
        <v>Without Amendment</v>
      </c>
      <c r="D12736" s="138" t="str">
        <f t="shared" si="1115"/>
        <v>High_High</v>
      </c>
      <c r="E12736" s="138" t="str">
        <f t="shared" si="1118"/>
        <v>Base</v>
      </c>
      <c r="F12736" s="138" t="str">
        <f t="shared" si="1119"/>
        <v>Upgraded</v>
      </c>
      <c r="G12736" s="153"/>
      <c r="H12736" s="210">
        <v>9.4999999999999998E-3</v>
      </c>
      <c r="I12736" s="160" t="s">
        <v>59</v>
      </c>
      <c r="J12736" s="211">
        <v>6.9942200000000003E-5</v>
      </c>
      <c r="K12736" s="160" t="s">
        <v>145</v>
      </c>
      <c r="L12736" s="154" t="str">
        <f>IF(OpenLCAbasic!K12736="CTUh", "Fill in Manually",IF(OR(K12736="Unit", K12736=""), "", INDEX(LookUps!$E$5:$E$12, MATCH(OpenLCAbasic!K12736,LookUps!$D$5:$D$12,0))))</f>
        <v>Particulate Matter Formation Potential (PMFP) - kg PM2.5 eq</v>
      </c>
      <c r="M12736" s="154" t="str">
        <f t="shared" si="1114"/>
        <v>Base_High_High_Upgraded_Particulate Matter Formation Potential (PMFP) - kg PM2.5 eq_Blend Tank; wastewater treatment unit; at updated plant - US_Without Amendment_Aerated Static Pile</v>
      </c>
    </row>
    <row r="12737" spans="1:13" s="120" customFormat="1" x14ac:dyDescent="0.25">
      <c r="A12737" s="119"/>
      <c r="B12737" s="138" t="str">
        <f t="shared" si="1116"/>
        <v>Aerated Static Pile</v>
      </c>
      <c r="C12737" s="138" t="str">
        <f t="shared" si="1117"/>
        <v>Without Amendment</v>
      </c>
      <c r="D12737" s="138" t="str">
        <f t="shared" si="1115"/>
        <v>High_High</v>
      </c>
      <c r="E12737" s="138" t="str">
        <f t="shared" si="1118"/>
        <v>Base</v>
      </c>
      <c r="F12737" s="138" t="str">
        <f t="shared" si="1119"/>
        <v>Upgraded</v>
      </c>
      <c r="G12737" s="153"/>
      <c r="H12737" s="210">
        <v>7.1999999999999998E-3</v>
      </c>
      <c r="I12737" s="160" t="s">
        <v>62</v>
      </c>
      <c r="J12737" s="211">
        <v>5.2607E-5</v>
      </c>
      <c r="K12737" s="160" t="s">
        <v>145</v>
      </c>
      <c r="L12737" s="154" t="str">
        <f>IF(OpenLCAbasic!K12737="CTUh", "Fill in Manually",IF(OR(K12737="Unit", K12737=""), "", INDEX(LookUps!$E$5:$E$12, MATCH(OpenLCAbasic!K12737,LookUps!$D$5:$D$12,0))))</f>
        <v>Particulate Matter Formation Potential (PMFP) - kg PM2.5 eq</v>
      </c>
      <c r="M12737" s="154" t="str">
        <f t="shared" si="1114"/>
        <v>Base_High_High_Upgraded_Particulate Matter Formation Potential (PMFP) - kg PM2.5 eq_Land application of compost; wastewater treatment unit; at updated plant - US_Without Amendment_Aerated Static Pile</v>
      </c>
    </row>
    <row r="12738" spans="1:13" s="120" customFormat="1" x14ac:dyDescent="0.25">
      <c r="A12738" s="119"/>
      <c r="B12738" s="138" t="str">
        <f t="shared" si="1116"/>
        <v>Aerated Static Pile</v>
      </c>
      <c r="C12738" s="138" t="str">
        <f t="shared" si="1117"/>
        <v>Without Amendment</v>
      </c>
      <c r="D12738" s="138" t="str">
        <f t="shared" si="1115"/>
        <v>High_High</v>
      </c>
      <c r="E12738" s="138" t="str">
        <f t="shared" si="1118"/>
        <v>Base</v>
      </c>
      <c r="F12738" s="138" t="str">
        <f t="shared" si="1119"/>
        <v>Upgraded</v>
      </c>
      <c r="G12738" s="153"/>
      <c r="H12738" s="210">
        <v>6.7999999999999996E-3</v>
      </c>
      <c r="I12738" s="160" t="s">
        <v>48</v>
      </c>
      <c r="J12738" s="211">
        <v>4.99741E-5</v>
      </c>
      <c r="K12738" s="160" t="s">
        <v>145</v>
      </c>
      <c r="L12738" s="154" t="str">
        <f>IF(OpenLCAbasic!K12738="CTUh", "Fill in Manually",IF(OR(K12738="Unit", K12738=""), "", INDEX(LookUps!$E$5:$E$12, MATCH(OpenLCAbasic!K12738,LookUps!$D$5:$D$12,0))))</f>
        <v>Particulate Matter Formation Potential (PMFP) - kg PM2.5 eq</v>
      </c>
      <c r="M12738" s="154" t="str">
        <f t="shared" si="1114"/>
        <v>Base_High_High_Upgraded_Particulate Matter Formation Potential (PMFP) - kg PM2.5 eq_Effluent release; wastewater treatment unit; at surface water; m3 wastewater - US_Without Amendment_Aerated Static Pile</v>
      </c>
    </row>
    <row r="12739" spans="1:13" s="120" customFormat="1" x14ac:dyDescent="0.25">
      <c r="A12739" s="119"/>
      <c r="B12739" s="138" t="str">
        <f t="shared" si="1116"/>
        <v>Aerated Static Pile</v>
      </c>
      <c r="C12739" s="138" t="str">
        <f t="shared" si="1117"/>
        <v>Without Amendment</v>
      </c>
      <c r="D12739" s="138" t="str">
        <f t="shared" si="1115"/>
        <v>High_High</v>
      </c>
      <c r="E12739" s="138" t="str">
        <f t="shared" si="1118"/>
        <v>Base</v>
      </c>
      <c r="F12739" s="138" t="str">
        <f t="shared" si="1119"/>
        <v>Upgraded</v>
      </c>
      <c r="G12739" s="153"/>
      <c r="H12739" s="210">
        <v>4.7000000000000002E-3</v>
      </c>
      <c r="I12739" s="160" t="s">
        <v>168</v>
      </c>
      <c r="J12739" s="211">
        <v>3.4562199999999999E-5</v>
      </c>
      <c r="K12739" s="160" t="s">
        <v>145</v>
      </c>
      <c r="L12739" s="154" t="str">
        <f>IF(OpenLCAbasic!K12739="CTUh", "Fill in Manually",IF(OR(K12739="Unit", K12739=""), "", INDEX(LookUps!$E$5:$E$12, MATCH(OpenLCAbasic!K12739,LookUps!$D$5:$D$12,0))))</f>
        <v>Particulate Matter Formation Potential (PMFP) - kg PM2.5 eq</v>
      </c>
      <c r="M12739" s="154" t="str">
        <f t="shared" si="1114"/>
        <v>Base_High_High_Upgraded_Particulate Matter Formation Potential (PMFP) - kg PM2.5 eq_ClearCove SCP; wastewater treatment unit; at updated plant - US_Without Amendment_Aerated Static Pile</v>
      </c>
    </row>
    <row r="12740" spans="1:13" s="120" customFormat="1" x14ac:dyDescent="0.25">
      <c r="A12740" s="119"/>
      <c r="B12740" s="138" t="str">
        <f t="shared" si="1116"/>
        <v>Aerated Static Pile</v>
      </c>
      <c r="C12740" s="138" t="str">
        <f t="shared" si="1117"/>
        <v>Without Amendment</v>
      </c>
      <c r="D12740" s="138" t="str">
        <f t="shared" si="1115"/>
        <v>High_High</v>
      </c>
      <c r="E12740" s="138" t="str">
        <f t="shared" si="1118"/>
        <v>Base</v>
      </c>
      <c r="F12740" s="138" t="str">
        <f t="shared" si="1119"/>
        <v>Upgraded</v>
      </c>
      <c r="G12740" s="153"/>
      <c r="H12740" s="210">
        <v>1.1999999999999999E-3</v>
      </c>
      <c r="I12740" s="160" t="s">
        <v>148</v>
      </c>
      <c r="J12740" s="211">
        <v>8.8212999999999997E-6</v>
      </c>
      <c r="K12740" s="160" t="s">
        <v>145</v>
      </c>
      <c r="L12740" s="154" t="str">
        <f>IF(OpenLCAbasic!K12740="CTUh", "Fill in Manually",IF(OR(K12740="Unit", K12740=""), "", INDEX(LookUps!$E$5:$E$12, MATCH(OpenLCAbasic!K12740,LookUps!$D$5:$D$12,0))))</f>
        <v>Particulate Matter Formation Potential (PMFP) - kg PM2.5 eq</v>
      </c>
      <c r="M12740" s="154" t="str">
        <f t="shared" ref="M12740:M12803" si="1120">CONCATENATE(E12740,"_",D12740,"_",F12740,"_",L12740, "_",I12740,"_", C12740,"_", B12740)</f>
        <v>Base_High_High_Upgraded_Particulate Matter Formation Potential (PMFP) - kg PM2.5 eq_Control Building; at upgraded wastewater treatment plant - US_Without Amendment_Aerated Static Pile</v>
      </c>
    </row>
    <row r="12741" spans="1:13" s="120" customFormat="1" x14ac:dyDescent="0.25">
      <c r="A12741" s="119"/>
      <c r="B12741" s="138" t="str">
        <f t="shared" si="1116"/>
        <v>Aerated Static Pile</v>
      </c>
      <c r="C12741" s="138" t="str">
        <f t="shared" si="1117"/>
        <v>Without Amendment</v>
      </c>
      <c r="D12741" s="138" t="str">
        <f t="shared" si="1115"/>
        <v>High_High</v>
      </c>
      <c r="E12741" s="138" t="str">
        <f t="shared" si="1118"/>
        <v>Base</v>
      </c>
      <c r="F12741" s="138" t="str">
        <f t="shared" si="1119"/>
        <v>Upgraded</v>
      </c>
      <c r="G12741" s="153"/>
      <c r="H12741" s="210">
        <v>-1.7833000000000001</v>
      </c>
      <c r="I12741" s="160" t="s">
        <v>149</v>
      </c>
      <c r="J12741" s="160">
        <v>-1.3089999999999999E-2</v>
      </c>
      <c r="K12741" s="160" t="s">
        <v>145</v>
      </c>
      <c r="L12741" s="154" t="str">
        <f>IF(OpenLCAbasic!K12741="CTUh", "Fill in Manually",IF(OR(K12741="Unit", K12741=""), "", INDEX(LookUps!$E$5:$E$12, MATCH(OpenLCAbasic!K12741,LookUps!$D$5:$D$12,0))))</f>
        <v>Particulate Matter Formation Potential (PMFP) - kg PM2.5 eq</v>
      </c>
      <c r="M12741" s="154" t="str">
        <f t="shared" si="1120"/>
        <v>Base_High_High_Upgraded_Particulate Matter Formation Potential (PMFP) - kg PM2.5 eq_Anaerobic Digestion; wastewater treatment unit; at updated plant - US_Without Amendment_Aerated Static Pile</v>
      </c>
    </row>
    <row r="12742" spans="1:13" s="120" customFormat="1" x14ac:dyDescent="0.25">
      <c r="A12742" s="119"/>
      <c r="B12742" s="138" t="str">
        <f t="shared" si="1116"/>
        <v/>
      </c>
      <c r="C12742" s="138" t="str">
        <f t="shared" si="1117"/>
        <v/>
      </c>
      <c r="D12742" s="138" t="str">
        <f t="shared" si="1115"/>
        <v/>
      </c>
      <c r="E12742" s="138" t="str">
        <f t="shared" si="1118"/>
        <v/>
      </c>
      <c r="F12742" s="138" t="str">
        <f t="shared" si="1119"/>
        <v/>
      </c>
      <c r="G12742" s="153" t="s">
        <v>51</v>
      </c>
      <c r="H12742" s="160"/>
      <c r="I12742" s="160" t="s">
        <v>47</v>
      </c>
      <c r="J12742" s="160" t="s">
        <v>52</v>
      </c>
      <c r="K12742" s="160" t="s">
        <v>27</v>
      </c>
      <c r="L12742" s="154" t="str">
        <f>IF(OpenLCAbasic!K12742="CTUh", "Fill in Manually",IF(OR(K12742="Unit", K12742=""), "", INDEX(LookUps!$E$5:$E$12, MATCH(OpenLCAbasic!K12742,LookUps!$D$5:$D$12,0))))</f>
        <v/>
      </c>
      <c r="M12742" s="154" t="str">
        <f t="shared" si="1120"/>
        <v>____Process__</v>
      </c>
    </row>
    <row r="12743" spans="1:13" s="120" customFormat="1" x14ac:dyDescent="0.25">
      <c r="A12743" s="119"/>
      <c r="B12743" s="138" t="str">
        <f t="shared" si="1116"/>
        <v>Aerated Static Pile</v>
      </c>
      <c r="C12743" s="138" t="str">
        <f t="shared" si="1117"/>
        <v>Without Amendment</v>
      </c>
      <c r="D12743" s="138" t="str">
        <f t="shared" si="1115"/>
        <v>High_High</v>
      </c>
      <c r="E12743" s="138" t="str">
        <f t="shared" si="1118"/>
        <v>Base</v>
      </c>
      <c r="F12743" s="138" t="str">
        <f t="shared" si="1119"/>
        <v>Upgraded</v>
      </c>
      <c r="G12743" s="153"/>
      <c r="H12743" s="210">
        <v>0.31859999999999999</v>
      </c>
      <c r="I12743" s="160" t="s">
        <v>55</v>
      </c>
      <c r="J12743" s="160">
        <v>0.16577</v>
      </c>
      <c r="K12743" s="160" t="s">
        <v>25</v>
      </c>
      <c r="L12743" s="154" t="str">
        <f>IF(OpenLCAbasic!K12743="CTUh", "Fill in Manually",IF(OR(K12743="Unit", K12743=""), "", INDEX(LookUps!$E$5:$E$12, MATCH(OpenLCAbasic!K12743,LookUps!$D$5:$D$12,0))))</f>
        <v>Smog Formation Potential (SFP) - kg O3 eq</v>
      </c>
      <c r="M12743" s="154" t="str">
        <f t="shared" si="1120"/>
        <v>Base_High_High_Upgraded_Smog Formation Potential (SFP) - kg O3 eq_Aeration Tanks; wastewater treatment unit; at updated plant - US_Without Amendment_Aerated Static Pile</v>
      </c>
    </row>
    <row r="12744" spans="1:13" s="120" customFormat="1" x14ac:dyDescent="0.25">
      <c r="A12744" s="119"/>
      <c r="B12744" s="138" t="str">
        <f t="shared" si="1116"/>
        <v>Aerated Static Pile</v>
      </c>
      <c r="C12744" s="138" t="str">
        <f t="shared" si="1117"/>
        <v>Without Amendment</v>
      </c>
      <c r="D12744" s="138" t="str">
        <f t="shared" si="1115"/>
        <v>High_High</v>
      </c>
      <c r="E12744" s="138" t="str">
        <f t="shared" si="1118"/>
        <v>Base</v>
      </c>
      <c r="F12744" s="138" t="str">
        <f t="shared" si="1119"/>
        <v>Upgraded</v>
      </c>
      <c r="G12744" s="153"/>
      <c r="H12744" s="210">
        <v>9.2399999999999996E-2</v>
      </c>
      <c r="I12744" s="160" t="s">
        <v>54</v>
      </c>
      <c r="J12744" s="160">
        <v>4.8070000000000002E-2</v>
      </c>
      <c r="K12744" s="160" t="s">
        <v>25</v>
      </c>
      <c r="L12744" s="154" t="str">
        <f>IF(OpenLCAbasic!K12744="CTUh", "Fill in Manually",IF(OR(K12744="Unit", K12744=""), "", INDEX(LookUps!$E$5:$E$12, MATCH(OpenLCAbasic!K12744,LookUps!$D$5:$D$12,0))))</f>
        <v>Smog Formation Potential (SFP) - kg O3 eq</v>
      </c>
      <c r="M12744" s="154" t="str">
        <f t="shared" si="1120"/>
        <v>Base_High_High_Upgraded_Smog Formation Potential (SFP) - kg O3 eq_Clear Cove Primary Clarification; wastewater treatment unit; at updated plant - US_Without Amendment_Aerated Static Pile</v>
      </c>
    </row>
    <row r="12745" spans="1:13" s="120" customFormat="1" x14ac:dyDescent="0.25">
      <c r="A12745" s="119"/>
      <c r="B12745" s="138" t="str">
        <f t="shared" si="1116"/>
        <v>Aerated Static Pile</v>
      </c>
      <c r="C12745" s="138" t="str">
        <f t="shared" si="1117"/>
        <v>Without Amendment</v>
      </c>
      <c r="D12745" s="138" t="str">
        <f t="shared" si="1115"/>
        <v>High_High</v>
      </c>
      <c r="E12745" s="138" t="str">
        <f t="shared" si="1118"/>
        <v>Base</v>
      </c>
      <c r="F12745" s="138" t="str">
        <f t="shared" si="1119"/>
        <v>Upgraded</v>
      </c>
      <c r="G12745" s="153"/>
      <c r="H12745" s="210">
        <v>8.09E-2</v>
      </c>
      <c r="I12745" s="160" t="s">
        <v>58</v>
      </c>
      <c r="J12745" s="160">
        <v>4.2090000000000002E-2</v>
      </c>
      <c r="K12745" s="160" t="s">
        <v>25</v>
      </c>
      <c r="L12745" s="154" t="str">
        <f>IF(OpenLCAbasic!K12745="CTUh", "Fill in Manually",IF(OR(K12745="Unit", K12745=""), "", INDEX(LookUps!$E$5:$E$12, MATCH(OpenLCAbasic!K12745,LookUps!$D$5:$D$12,0))))</f>
        <v>Smog Formation Potential (SFP) - kg O3 eq</v>
      </c>
      <c r="M12745" s="154" t="str">
        <f t="shared" si="1120"/>
        <v>Base_High_High_Upgraded_Smog Formation Potential (SFP) - kg O3 eq_Pre-Anoxic &amp; Swing tank; wastewater treatment unit; at updated plant - US_Without Amendment_Aerated Static Pile</v>
      </c>
    </row>
    <row r="12746" spans="1:13" s="120" customFormat="1" x14ac:dyDescent="0.25">
      <c r="A12746" s="119"/>
      <c r="B12746" s="138" t="str">
        <f t="shared" si="1116"/>
        <v>Aerated Static Pile</v>
      </c>
      <c r="C12746" s="138" t="str">
        <f t="shared" si="1117"/>
        <v>Without Amendment</v>
      </c>
      <c r="D12746" s="138" t="str">
        <f t="shared" si="1115"/>
        <v>High_High</v>
      </c>
      <c r="E12746" s="138" t="str">
        <f t="shared" si="1118"/>
        <v>Base</v>
      </c>
      <c r="F12746" s="138" t="str">
        <f t="shared" si="1119"/>
        <v>Upgraded</v>
      </c>
      <c r="G12746" s="153"/>
      <c r="H12746" s="210">
        <v>6.4899999999999999E-2</v>
      </c>
      <c r="I12746" s="160" t="s">
        <v>167</v>
      </c>
      <c r="J12746" s="160">
        <v>3.3759999999999998E-2</v>
      </c>
      <c r="K12746" s="160" t="s">
        <v>25</v>
      </c>
      <c r="L12746" s="154" t="str">
        <f>IF(OpenLCAbasic!K12746="CTUh", "Fill in Manually",IF(OR(K12746="Unit", K12746=""), "", INDEX(LookUps!$E$5:$E$12, MATCH(OpenLCAbasic!K12746,LookUps!$D$5:$D$12,0))))</f>
        <v>Smog Formation Potential (SFP) - kg O3 eq</v>
      </c>
      <c r="M12746" s="154" t="str">
        <f t="shared" si="1120"/>
        <v>Base_High_High_Upgraded_Smog Formation Potential (SFP) - kg O3 eq_Waste Receiving and Holding; wastewater treatment unit; at updated plant - US_Without Amendment_Aerated Static Pile</v>
      </c>
    </row>
    <row r="12747" spans="1:13" s="120" customFormat="1" x14ac:dyDescent="0.25">
      <c r="A12747" s="119"/>
      <c r="B12747" s="138" t="str">
        <f t="shared" si="1116"/>
        <v>Aerated Static Pile</v>
      </c>
      <c r="C12747" s="138" t="str">
        <f t="shared" si="1117"/>
        <v>Without Amendment</v>
      </c>
      <c r="D12747" s="138" t="str">
        <f t="shared" si="1115"/>
        <v>High_High</v>
      </c>
      <c r="E12747" s="138" t="str">
        <f t="shared" si="1118"/>
        <v>Base</v>
      </c>
      <c r="F12747" s="138" t="str">
        <f t="shared" si="1119"/>
        <v>Upgraded</v>
      </c>
      <c r="G12747" s="153"/>
      <c r="H12747" s="210">
        <v>6.3700000000000007E-2</v>
      </c>
      <c r="I12747" s="160" t="s">
        <v>53</v>
      </c>
      <c r="J12747" s="160">
        <v>3.313E-2</v>
      </c>
      <c r="K12747" s="160" t="s">
        <v>25</v>
      </c>
      <c r="L12747" s="154" t="str">
        <f>IF(OpenLCAbasic!K12747="CTUh", "Fill in Manually",IF(OR(K12747="Unit", K12747=""), "", INDEX(LookUps!$E$5:$E$12, MATCH(OpenLCAbasic!K12747,LookUps!$D$5:$D$12,0))))</f>
        <v>Smog Formation Potential (SFP) - kg O3 eq</v>
      </c>
      <c r="M12747" s="154" t="str">
        <f t="shared" si="1120"/>
        <v>Base_High_High_Upgraded_Smog Formation Potential (SFP) - kg O3 eq_Wet Well and Sump Station; wastewater treatment unit; at updated plant - US_Without Amendment_Aerated Static Pile</v>
      </c>
    </row>
    <row r="12748" spans="1:13" s="120" customFormat="1" x14ac:dyDescent="0.25">
      <c r="A12748" s="119"/>
      <c r="B12748" s="138" t="str">
        <f t="shared" si="1116"/>
        <v>Aerated Static Pile</v>
      </c>
      <c r="C12748" s="138" t="str">
        <f t="shared" si="1117"/>
        <v>Without Amendment</v>
      </c>
      <c r="D12748" s="138" t="str">
        <f t="shared" si="1115"/>
        <v>High_High</v>
      </c>
      <c r="E12748" s="138" t="str">
        <f t="shared" si="1118"/>
        <v>Base</v>
      </c>
      <c r="F12748" s="138" t="str">
        <f t="shared" si="1119"/>
        <v>Upgraded</v>
      </c>
      <c r="G12748" s="153"/>
      <c r="H12748" s="210">
        <v>5.5300000000000002E-2</v>
      </c>
      <c r="I12748" s="160" t="s">
        <v>435</v>
      </c>
      <c r="J12748" s="160">
        <v>2.878E-2</v>
      </c>
      <c r="K12748" s="160" t="s">
        <v>25</v>
      </c>
      <c r="L12748" s="154" t="str">
        <f>IF(OpenLCAbasic!K12748="CTUh", "Fill in Manually",IF(OR(K12748="Unit", K12748=""), "", INDEX(LookUps!$E$5:$E$12, MATCH(OpenLCAbasic!K12748,LookUps!$D$5:$D$12,0))))</f>
        <v>Smog Formation Potential (SFP) - kg O3 eq</v>
      </c>
      <c r="M12748" s="154" t="str">
        <f t="shared" si="1120"/>
        <v>Base_High_High_Upgraded_Smog Formation Potential (SFP) - kg O3 eq_Biosolids composting; aerated static pile; wastewater treatment unit; at updated plant - US_Without Amendment_Aerated Static Pile</v>
      </c>
    </row>
    <row r="12749" spans="1:13" s="120" customFormat="1" x14ac:dyDescent="0.25">
      <c r="A12749" s="119"/>
      <c r="B12749" s="138" t="str">
        <f t="shared" si="1116"/>
        <v>Aerated Static Pile</v>
      </c>
      <c r="C12749" s="138" t="str">
        <f t="shared" si="1117"/>
        <v>Without Amendment</v>
      </c>
      <c r="D12749" s="138" t="str">
        <f t="shared" si="1115"/>
        <v>High_High</v>
      </c>
      <c r="E12749" s="138" t="str">
        <f t="shared" si="1118"/>
        <v>Base</v>
      </c>
      <c r="F12749" s="138" t="str">
        <f t="shared" si="1119"/>
        <v>Upgraded</v>
      </c>
      <c r="G12749" s="153"/>
      <c r="H12749" s="210">
        <v>3.73E-2</v>
      </c>
      <c r="I12749" s="160" t="s">
        <v>147</v>
      </c>
      <c r="J12749" s="160">
        <v>1.9400000000000001E-2</v>
      </c>
      <c r="K12749" s="160" t="s">
        <v>25</v>
      </c>
      <c r="L12749" s="154" t="str">
        <f>IF(OpenLCAbasic!K12749="CTUh", "Fill in Manually",IF(OR(K12749="Unit", K12749=""), "", INDEX(LookUps!$E$5:$E$12, MATCH(OpenLCAbasic!K12749,LookUps!$D$5:$D$12,0))))</f>
        <v>Smog Formation Potential (SFP) - kg O3 eq</v>
      </c>
      <c r="M12749" s="154" t="str">
        <f t="shared" si="1120"/>
        <v>Base_High_High_Upgraded_Smog Formation Potential (SFP) - kg O3 eq_Influent Pump Station; wastewater treatment unit; at updated plant - US_Without Amendment_Aerated Static Pile</v>
      </c>
    </row>
    <row r="12750" spans="1:13" s="120" customFormat="1" x14ac:dyDescent="0.25">
      <c r="A12750" s="119"/>
      <c r="B12750" s="138" t="str">
        <f t="shared" si="1116"/>
        <v>Aerated Static Pile</v>
      </c>
      <c r="C12750" s="138" t="str">
        <f t="shared" si="1117"/>
        <v>Without Amendment</v>
      </c>
      <c r="D12750" s="138" t="str">
        <f t="shared" si="1115"/>
        <v>High_High</v>
      </c>
      <c r="E12750" s="138" t="str">
        <f t="shared" si="1118"/>
        <v>Base</v>
      </c>
      <c r="F12750" s="138" t="str">
        <f t="shared" si="1119"/>
        <v>Upgraded</v>
      </c>
      <c r="G12750" s="153"/>
      <c r="H12750" s="210">
        <v>2.53E-2</v>
      </c>
      <c r="I12750" s="160" t="s">
        <v>60</v>
      </c>
      <c r="J12750" s="160">
        <v>1.316E-2</v>
      </c>
      <c r="K12750" s="160" t="s">
        <v>25</v>
      </c>
      <c r="L12750" s="154" t="str">
        <f>IF(OpenLCAbasic!K12750="CTUh", "Fill in Manually",IF(OR(K12750="Unit", K12750=""), "", INDEX(LookUps!$E$5:$E$12, MATCH(OpenLCAbasic!K12750,LookUps!$D$5:$D$12,0))))</f>
        <v>Smog Formation Potential (SFP) - kg O3 eq</v>
      </c>
      <c r="M12750" s="154" t="str">
        <f t="shared" si="1120"/>
        <v>Base_High_High_Upgraded_Smog Formation Potential (SFP) - kg O3 eq_Belt filter press; wastewater treatment unit; at updated plant - US_Without Amendment_Aerated Static Pile</v>
      </c>
    </row>
    <row r="12751" spans="1:13" s="120" customFormat="1" x14ac:dyDescent="0.25">
      <c r="A12751" s="119"/>
      <c r="B12751" s="138" t="str">
        <f t="shared" si="1116"/>
        <v>Aerated Static Pile</v>
      </c>
      <c r="C12751" s="138" t="str">
        <f t="shared" si="1117"/>
        <v>Without Amendment</v>
      </c>
      <c r="D12751" s="138" t="str">
        <f t="shared" si="1115"/>
        <v>High_High</v>
      </c>
      <c r="E12751" s="138" t="str">
        <f t="shared" si="1118"/>
        <v>Base</v>
      </c>
      <c r="F12751" s="138" t="str">
        <f t="shared" si="1119"/>
        <v>Upgraded</v>
      </c>
      <c r="G12751" s="153"/>
      <c r="H12751" s="210">
        <v>2.29E-2</v>
      </c>
      <c r="I12751" s="160" t="s">
        <v>128</v>
      </c>
      <c r="J12751" s="160">
        <v>1.192E-2</v>
      </c>
      <c r="K12751" s="160" t="s">
        <v>25</v>
      </c>
      <c r="L12751" s="154" t="str">
        <f>IF(OpenLCAbasic!K12751="CTUh", "Fill in Manually",IF(OR(K12751="Unit", K12751=""), "", INDEX(LookUps!$E$5:$E$12, MATCH(OpenLCAbasic!K12751,LookUps!$D$5:$D$12,0))))</f>
        <v>Smog Formation Potential (SFP) - kg O3 eq</v>
      </c>
      <c r="M12751" s="154" t="str">
        <f t="shared" si="1120"/>
        <v>Base_High_High_Upgraded_Smog Formation Potential (SFP) - kg O3 eq_Wastewater collection; operation and infrastructure; m3 wastewater_Without Amendment_Aerated Static Pile</v>
      </c>
    </row>
    <row r="12752" spans="1:13" s="120" customFormat="1" x14ac:dyDescent="0.25">
      <c r="A12752" s="119"/>
      <c r="B12752" s="138" t="str">
        <f t="shared" si="1116"/>
        <v>Aerated Static Pile</v>
      </c>
      <c r="C12752" s="138" t="str">
        <f t="shared" si="1117"/>
        <v>Without Amendment</v>
      </c>
      <c r="D12752" s="138" t="str">
        <f t="shared" si="1115"/>
        <v>High_High</v>
      </c>
      <c r="E12752" s="138" t="str">
        <f t="shared" si="1118"/>
        <v>Base</v>
      </c>
      <c r="F12752" s="138" t="str">
        <f t="shared" si="1119"/>
        <v>Upgraded</v>
      </c>
      <c r="G12752" s="153"/>
      <c r="H12752" s="210">
        <v>1.2800000000000001E-2</v>
      </c>
      <c r="I12752" s="160" t="s">
        <v>57</v>
      </c>
      <c r="J12752" s="160">
        <v>6.6499999999999997E-3</v>
      </c>
      <c r="K12752" s="160" t="s">
        <v>25</v>
      </c>
      <c r="L12752" s="154" t="str">
        <f>IF(OpenLCAbasic!K12752="CTUh", "Fill in Manually",IF(OR(K12752="Unit", K12752=""), "", INDEX(LookUps!$E$5:$E$12, MATCH(OpenLCAbasic!K12752,LookUps!$D$5:$D$12,0))))</f>
        <v>Smog Formation Potential (SFP) - kg O3 eq</v>
      </c>
      <c r="M12752" s="154" t="str">
        <f t="shared" si="1120"/>
        <v>Base_High_High_Upgraded_Smog Formation Potential (SFP) - kg O3 eq_Gravity Belt Thickener; wastewater treatment unit; at updated plant - US_Without Amendment_Aerated Static Pile</v>
      </c>
    </row>
    <row r="12753" spans="1:13" s="120" customFormat="1" x14ac:dyDescent="0.25">
      <c r="A12753" s="119"/>
      <c r="B12753" s="138" t="str">
        <f t="shared" si="1116"/>
        <v>Aerated Static Pile</v>
      </c>
      <c r="C12753" s="138" t="str">
        <f t="shared" si="1117"/>
        <v>Without Amendment</v>
      </c>
      <c r="D12753" s="138" t="str">
        <f t="shared" si="1115"/>
        <v>High_High</v>
      </c>
      <c r="E12753" s="138" t="str">
        <f t="shared" si="1118"/>
        <v>Base</v>
      </c>
      <c r="F12753" s="138" t="str">
        <f t="shared" si="1119"/>
        <v>Upgraded</v>
      </c>
      <c r="G12753" s="153"/>
      <c r="H12753" s="210">
        <v>9.5999999999999992E-3</v>
      </c>
      <c r="I12753" s="160" t="s">
        <v>59</v>
      </c>
      <c r="J12753" s="160">
        <v>4.9699999999999996E-3</v>
      </c>
      <c r="K12753" s="160" t="s">
        <v>25</v>
      </c>
      <c r="L12753" s="154" t="str">
        <f>IF(OpenLCAbasic!K12753="CTUh", "Fill in Manually",IF(OR(K12753="Unit", K12753=""), "", INDEX(LookUps!$E$5:$E$12, MATCH(OpenLCAbasic!K12753,LookUps!$D$5:$D$12,0))))</f>
        <v>Smog Formation Potential (SFP) - kg O3 eq</v>
      </c>
      <c r="M12753" s="154" t="str">
        <f t="shared" si="1120"/>
        <v>Base_High_High_Upgraded_Smog Formation Potential (SFP) - kg O3 eq_Blend Tank; wastewater treatment unit; at updated plant - US_Without Amendment_Aerated Static Pile</v>
      </c>
    </row>
    <row r="12754" spans="1:13" s="120" customFormat="1" x14ac:dyDescent="0.25">
      <c r="A12754" s="119"/>
      <c r="B12754" s="138" t="str">
        <f t="shared" si="1116"/>
        <v>Aerated Static Pile</v>
      </c>
      <c r="C12754" s="138" t="str">
        <f t="shared" si="1117"/>
        <v>Without Amendment</v>
      </c>
      <c r="D12754" s="138" t="str">
        <f t="shared" si="1115"/>
        <v>High_High</v>
      </c>
      <c r="E12754" s="138" t="str">
        <f t="shared" si="1118"/>
        <v>Base</v>
      </c>
      <c r="F12754" s="138" t="str">
        <f t="shared" si="1119"/>
        <v>Upgraded</v>
      </c>
      <c r="G12754" s="153"/>
      <c r="H12754" s="210">
        <v>6.4999999999999997E-3</v>
      </c>
      <c r="I12754" s="160" t="s">
        <v>48</v>
      </c>
      <c r="J12754" s="160">
        <v>3.3899999999999998E-3</v>
      </c>
      <c r="K12754" s="160" t="s">
        <v>25</v>
      </c>
      <c r="L12754" s="154" t="str">
        <f>IF(OpenLCAbasic!K12754="CTUh", "Fill in Manually",IF(OR(K12754="Unit", K12754=""), "", INDEX(LookUps!$E$5:$E$12, MATCH(OpenLCAbasic!K12754,LookUps!$D$5:$D$12,0))))</f>
        <v>Smog Formation Potential (SFP) - kg O3 eq</v>
      </c>
      <c r="M12754" s="154" t="str">
        <f t="shared" si="1120"/>
        <v>Base_High_High_Upgraded_Smog Formation Potential (SFP) - kg O3 eq_Effluent release; wastewater treatment unit; at surface water; m3 wastewater - US_Without Amendment_Aerated Static Pile</v>
      </c>
    </row>
    <row r="12755" spans="1:13" s="120" customFormat="1" x14ac:dyDescent="0.25">
      <c r="A12755" s="119"/>
      <c r="B12755" s="138" t="str">
        <f t="shared" si="1116"/>
        <v>Aerated Static Pile</v>
      </c>
      <c r="C12755" s="138" t="str">
        <f t="shared" si="1117"/>
        <v>Without Amendment</v>
      </c>
      <c r="D12755" s="138" t="str">
        <f t="shared" si="1115"/>
        <v>High_High</v>
      </c>
      <c r="E12755" s="138" t="str">
        <f t="shared" si="1118"/>
        <v>Base</v>
      </c>
      <c r="F12755" s="138" t="str">
        <f t="shared" si="1119"/>
        <v>Upgraded</v>
      </c>
      <c r="G12755" s="153"/>
      <c r="H12755" s="210">
        <v>4.7000000000000002E-3</v>
      </c>
      <c r="I12755" s="160" t="s">
        <v>168</v>
      </c>
      <c r="J12755" s="160">
        <v>2.4599999999999999E-3</v>
      </c>
      <c r="K12755" s="160" t="s">
        <v>25</v>
      </c>
      <c r="L12755" s="154" t="str">
        <f>IF(OpenLCAbasic!K12755="CTUh", "Fill in Manually",IF(OR(K12755="Unit", K12755=""), "", INDEX(LookUps!$E$5:$E$12, MATCH(OpenLCAbasic!K12755,LookUps!$D$5:$D$12,0))))</f>
        <v>Smog Formation Potential (SFP) - kg O3 eq</v>
      </c>
      <c r="M12755" s="154" t="str">
        <f t="shared" si="1120"/>
        <v>Base_High_High_Upgraded_Smog Formation Potential (SFP) - kg O3 eq_ClearCove SCP; wastewater treatment unit; at updated plant - US_Without Amendment_Aerated Static Pile</v>
      </c>
    </row>
    <row r="12756" spans="1:13" s="120" customFormat="1" x14ac:dyDescent="0.25">
      <c r="A12756" s="119"/>
      <c r="B12756" s="138" t="str">
        <f t="shared" si="1116"/>
        <v>Aerated Static Pile</v>
      </c>
      <c r="C12756" s="138" t="str">
        <f t="shared" si="1117"/>
        <v>Without Amendment</v>
      </c>
      <c r="D12756" s="138" t="str">
        <f t="shared" si="1115"/>
        <v>High_High</v>
      </c>
      <c r="E12756" s="138" t="str">
        <f t="shared" si="1118"/>
        <v>Base</v>
      </c>
      <c r="F12756" s="138" t="str">
        <f t="shared" si="1119"/>
        <v>Upgraded</v>
      </c>
      <c r="G12756" s="153"/>
      <c r="H12756" s="210">
        <v>1E-3</v>
      </c>
      <c r="I12756" s="160" t="s">
        <v>148</v>
      </c>
      <c r="J12756" s="160">
        <v>5.4000000000000001E-4</v>
      </c>
      <c r="K12756" s="160" t="s">
        <v>25</v>
      </c>
      <c r="L12756" s="154" t="str">
        <f>IF(OpenLCAbasic!K12756="CTUh", "Fill in Manually",IF(OR(K12756="Unit", K12756=""), "", INDEX(LookUps!$E$5:$E$12, MATCH(OpenLCAbasic!K12756,LookUps!$D$5:$D$12,0))))</f>
        <v>Smog Formation Potential (SFP) - kg O3 eq</v>
      </c>
      <c r="M12756" s="154" t="str">
        <f t="shared" si="1120"/>
        <v>Base_High_High_Upgraded_Smog Formation Potential (SFP) - kg O3 eq_Control Building; at upgraded wastewater treatment plant - US_Without Amendment_Aerated Static Pile</v>
      </c>
    </row>
    <row r="12757" spans="1:13" s="120" customFormat="1" x14ac:dyDescent="0.25">
      <c r="A12757" s="119"/>
      <c r="B12757" s="138" t="str">
        <f t="shared" si="1116"/>
        <v>Aerated Static Pile</v>
      </c>
      <c r="C12757" s="138" t="str">
        <f t="shared" si="1117"/>
        <v>Without Amendment</v>
      </c>
      <c r="D12757" s="138" t="str">
        <f t="shared" si="1115"/>
        <v>High_High</v>
      </c>
      <c r="E12757" s="138" t="str">
        <f t="shared" si="1118"/>
        <v>Base</v>
      </c>
      <c r="F12757" s="138" t="str">
        <f t="shared" si="1119"/>
        <v>Upgraded</v>
      </c>
      <c r="G12757" s="153"/>
      <c r="H12757" s="210">
        <v>-6.0000000000000001E-3</v>
      </c>
      <c r="I12757" s="160" t="s">
        <v>62</v>
      </c>
      <c r="J12757" s="160">
        <v>-3.1199999999999999E-3</v>
      </c>
      <c r="K12757" s="160" t="s">
        <v>25</v>
      </c>
      <c r="L12757" s="154" t="str">
        <f>IF(OpenLCAbasic!K12757="CTUh", "Fill in Manually",IF(OR(K12757="Unit", K12757=""), "", INDEX(LookUps!$E$5:$E$12, MATCH(OpenLCAbasic!K12757,LookUps!$D$5:$D$12,0))))</f>
        <v>Smog Formation Potential (SFP) - kg O3 eq</v>
      </c>
      <c r="M12757" s="154" t="str">
        <f t="shared" si="1120"/>
        <v>Base_High_High_Upgraded_Smog Formation Potential (SFP) - kg O3 eq_Land application of compost; wastewater treatment unit; at updated plant - US_Without Amendment_Aerated Static Pile</v>
      </c>
    </row>
    <row r="12758" spans="1:13" s="120" customFormat="1" x14ac:dyDescent="0.25">
      <c r="A12758" s="119"/>
      <c r="B12758" s="138" t="str">
        <f t="shared" si="1116"/>
        <v>Aerated Static Pile</v>
      </c>
      <c r="C12758" s="138" t="str">
        <f t="shared" si="1117"/>
        <v>Without Amendment</v>
      </c>
      <c r="D12758" s="138" t="str">
        <f t="shared" si="1115"/>
        <v>High_High</v>
      </c>
      <c r="E12758" s="138" t="str">
        <f t="shared" si="1118"/>
        <v>Base</v>
      </c>
      <c r="F12758" s="138" t="str">
        <f t="shared" si="1119"/>
        <v>Upgraded</v>
      </c>
      <c r="G12758" s="153"/>
      <c r="H12758" s="210">
        <v>-1.7899</v>
      </c>
      <c r="I12758" s="160" t="s">
        <v>149</v>
      </c>
      <c r="J12758" s="160">
        <v>-0.93125999999999998</v>
      </c>
      <c r="K12758" s="160" t="s">
        <v>25</v>
      </c>
      <c r="L12758" s="154" t="str">
        <f>IF(OpenLCAbasic!K12758="CTUh", "Fill in Manually",IF(OR(K12758="Unit", K12758=""), "", INDEX(LookUps!$E$5:$E$12, MATCH(OpenLCAbasic!K12758,LookUps!$D$5:$D$12,0))))</f>
        <v>Smog Formation Potential (SFP) - kg O3 eq</v>
      </c>
      <c r="M12758" s="154" t="str">
        <f t="shared" si="1120"/>
        <v>Base_High_High_Upgraded_Smog Formation Potential (SFP) - kg O3 eq_Anaerobic Digestion; wastewater treatment unit; at updated plant - US_Without Amendment_Aerated Static Pile</v>
      </c>
    </row>
    <row r="12759" spans="1:13" s="120" customFormat="1" x14ac:dyDescent="0.25">
      <c r="A12759" s="119"/>
      <c r="B12759" s="138" t="str">
        <f t="shared" si="1116"/>
        <v/>
      </c>
      <c r="C12759" s="138" t="str">
        <f t="shared" si="1117"/>
        <v/>
      </c>
      <c r="D12759" s="138" t="str">
        <f t="shared" si="1115"/>
        <v/>
      </c>
      <c r="E12759" s="138" t="str">
        <f t="shared" si="1118"/>
        <v/>
      </c>
      <c r="F12759" s="138" t="str">
        <f t="shared" si="1119"/>
        <v/>
      </c>
      <c r="G12759" s="153" t="s">
        <v>51</v>
      </c>
      <c r="H12759" s="160"/>
      <c r="I12759" s="160" t="s">
        <v>47</v>
      </c>
      <c r="J12759" s="160" t="s">
        <v>52</v>
      </c>
      <c r="K12759" s="160" t="s">
        <v>27</v>
      </c>
      <c r="L12759" s="154" t="str">
        <f>IF(OpenLCAbasic!K12759="CTUh", "Fill in Manually",IF(OR(K12759="Unit", K12759=""), "", INDEX(LookUps!$E$5:$E$12, MATCH(OpenLCAbasic!K12759,LookUps!$D$5:$D$12,0))))</f>
        <v/>
      </c>
      <c r="M12759" s="154" t="str">
        <f t="shared" si="1120"/>
        <v>____Process__</v>
      </c>
    </row>
    <row r="12760" spans="1:13" s="120" customFormat="1" x14ac:dyDescent="0.25">
      <c r="A12760" s="119"/>
      <c r="B12760" s="138" t="str">
        <f t="shared" si="1116"/>
        <v>Aerated Static Pile</v>
      </c>
      <c r="C12760" s="138" t="str">
        <f t="shared" si="1117"/>
        <v>Without Amendment</v>
      </c>
      <c r="D12760" s="138" t="str">
        <f t="shared" si="1115"/>
        <v>High_High</v>
      </c>
      <c r="E12760" s="138" t="str">
        <f t="shared" si="1118"/>
        <v>Base</v>
      </c>
      <c r="F12760" s="138" t="str">
        <f t="shared" si="1119"/>
        <v>Upgraded</v>
      </c>
      <c r="G12760" s="153"/>
      <c r="H12760" s="210">
        <v>1.1282000000000001</v>
      </c>
      <c r="I12760" s="160" t="s">
        <v>167</v>
      </c>
      <c r="J12760" s="160">
        <v>3.4000000000000002E-4</v>
      </c>
      <c r="K12760" s="160" t="s">
        <v>26</v>
      </c>
      <c r="L12760" s="154" t="str">
        <f>IF(OpenLCAbasic!K12760="CTUh", "Fill in Manually",IF(OR(K12760="Unit", K12760=""), "", INDEX(LookUps!$E$5:$E$12, MATCH(OpenLCAbasic!K12760,LookUps!$D$5:$D$12,0))))</f>
        <v>Water Use (WU) - m3 H2O</v>
      </c>
      <c r="M12760" s="154" t="str">
        <f t="shared" si="1120"/>
        <v>Base_High_High_Upgraded_Water Use (WU) - m3 H2O_Waste Receiving and Holding; wastewater treatment unit; at updated plant - US_Without Amendment_Aerated Static Pile</v>
      </c>
    </row>
    <row r="12761" spans="1:13" s="120" customFormat="1" x14ac:dyDescent="0.25">
      <c r="A12761" s="119"/>
      <c r="B12761" s="138" t="str">
        <f t="shared" si="1116"/>
        <v>Aerated Static Pile</v>
      </c>
      <c r="C12761" s="138" t="str">
        <f t="shared" si="1117"/>
        <v>Without Amendment</v>
      </c>
      <c r="D12761" s="138" t="str">
        <f t="shared" si="1115"/>
        <v>High_High</v>
      </c>
      <c r="E12761" s="138" t="str">
        <f t="shared" si="1118"/>
        <v>Base</v>
      </c>
      <c r="F12761" s="138" t="str">
        <f t="shared" si="1119"/>
        <v>Upgraded</v>
      </c>
      <c r="G12761" s="153"/>
      <c r="H12761" s="210">
        <v>0.61739999999999995</v>
      </c>
      <c r="I12761" s="160" t="s">
        <v>147</v>
      </c>
      <c r="J12761" s="160">
        <v>1.8000000000000001E-4</v>
      </c>
      <c r="K12761" s="160" t="s">
        <v>26</v>
      </c>
      <c r="L12761" s="154" t="str">
        <f>IF(OpenLCAbasic!K12761="CTUh", "Fill in Manually",IF(OR(K12761="Unit", K12761=""), "", INDEX(LookUps!$E$5:$E$12, MATCH(OpenLCAbasic!K12761,LookUps!$D$5:$D$12,0))))</f>
        <v>Water Use (WU) - m3 H2O</v>
      </c>
      <c r="M12761" s="154" t="str">
        <f t="shared" si="1120"/>
        <v>Base_High_High_Upgraded_Water Use (WU) - m3 H2O_Influent Pump Station; wastewater treatment unit; at updated plant - US_Without Amendment_Aerated Static Pile</v>
      </c>
    </row>
    <row r="12762" spans="1:13" s="120" customFormat="1" x14ac:dyDescent="0.25">
      <c r="A12762" s="119"/>
      <c r="B12762" s="138" t="str">
        <f t="shared" si="1116"/>
        <v>Aerated Static Pile</v>
      </c>
      <c r="C12762" s="138" t="str">
        <f t="shared" si="1117"/>
        <v>Without Amendment</v>
      </c>
      <c r="D12762" s="138" t="str">
        <f t="shared" si="1115"/>
        <v>High_High</v>
      </c>
      <c r="E12762" s="138" t="str">
        <f t="shared" si="1118"/>
        <v>Base</v>
      </c>
      <c r="F12762" s="138" t="str">
        <f t="shared" si="1119"/>
        <v>Upgraded</v>
      </c>
      <c r="G12762" s="153"/>
      <c r="H12762" s="210">
        <v>0.60240000000000005</v>
      </c>
      <c r="I12762" s="160" t="s">
        <v>54</v>
      </c>
      <c r="J12762" s="160">
        <v>1.8000000000000001E-4</v>
      </c>
      <c r="K12762" s="160" t="s">
        <v>26</v>
      </c>
      <c r="L12762" s="154" t="str">
        <f>IF(OpenLCAbasic!K12762="CTUh", "Fill in Manually",IF(OR(K12762="Unit", K12762=""), "", INDEX(LookUps!$E$5:$E$12, MATCH(OpenLCAbasic!K12762,LookUps!$D$5:$D$12,0))))</f>
        <v>Water Use (WU) - m3 H2O</v>
      </c>
      <c r="M12762" s="154" t="str">
        <f t="shared" si="1120"/>
        <v>Base_High_High_Upgraded_Water Use (WU) - m3 H2O_Clear Cove Primary Clarification; wastewater treatment unit; at updated plant - US_Without Amendment_Aerated Static Pile</v>
      </c>
    </row>
    <row r="12763" spans="1:13" s="120" customFormat="1" x14ac:dyDescent="0.25">
      <c r="A12763" s="119"/>
      <c r="B12763" s="138" t="str">
        <f t="shared" si="1116"/>
        <v>Aerated Static Pile</v>
      </c>
      <c r="C12763" s="138" t="str">
        <f t="shared" si="1117"/>
        <v>Without Amendment</v>
      </c>
      <c r="D12763" s="138" t="str">
        <f t="shared" si="1115"/>
        <v>High_High</v>
      </c>
      <c r="E12763" s="138" t="str">
        <f t="shared" si="1118"/>
        <v>Base</v>
      </c>
      <c r="F12763" s="138" t="str">
        <f t="shared" si="1119"/>
        <v>Upgraded</v>
      </c>
      <c r="G12763" s="153"/>
      <c r="H12763" s="210">
        <v>0.54649999999999999</v>
      </c>
      <c r="I12763" s="160" t="s">
        <v>55</v>
      </c>
      <c r="J12763" s="160">
        <v>1.6000000000000001E-4</v>
      </c>
      <c r="K12763" s="160" t="s">
        <v>26</v>
      </c>
      <c r="L12763" s="154" t="str">
        <f>IF(OpenLCAbasic!K12763="CTUh", "Fill in Manually",IF(OR(K12763="Unit", K12763=""), "", INDEX(LookUps!$E$5:$E$12, MATCH(OpenLCAbasic!K12763,LookUps!$D$5:$D$12,0))))</f>
        <v>Water Use (WU) - m3 H2O</v>
      </c>
      <c r="M12763" s="154" t="str">
        <f t="shared" si="1120"/>
        <v>Base_High_High_Upgraded_Water Use (WU) - m3 H2O_Aeration Tanks; wastewater treatment unit; at updated plant - US_Without Amendment_Aerated Static Pile</v>
      </c>
    </row>
    <row r="12764" spans="1:13" s="120" customFormat="1" x14ac:dyDescent="0.25">
      <c r="A12764" s="119"/>
      <c r="B12764" s="138" t="str">
        <f t="shared" si="1116"/>
        <v>Aerated Static Pile</v>
      </c>
      <c r="C12764" s="138" t="str">
        <f t="shared" si="1117"/>
        <v>Without Amendment</v>
      </c>
      <c r="D12764" s="138" t="str">
        <f t="shared" si="1115"/>
        <v>High_High</v>
      </c>
      <c r="E12764" s="138" t="str">
        <f t="shared" si="1118"/>
        <v>Base</v>
      </c>
      <c r="F12764" s="138" t="str">
        <f t="shared" si="1119"/>
        <v>Upgraded</v>
      </c>
      <c r="G12764" s="153"/>
      <c r="H12764" s="210">
        <v>0.49780000000000002</v>
      </c>
      <c r="I12764" s="160" t="s">
        <v>148</v>
      </c>
      <c r="J12764" s="160">
        <v>1.4999999999999999E-4</v>
      </c>
      <c r="K12764" s="160" t="s">
        <v>26</v>
      </c>
      <c r="L12764" s="154" t="str">
        <f>IF(OpenLCAbasic!K12764="CTUh", "Fill in Manually",IF(OR(K12764="Unit", K12764=""), "", INDEX(LookUps!$E$5:$E$12, MATCH(OpenLCAbasic!K12764,LookUps!$D$5:$D$12,0))))</f>
        <v>Water Use (WU) - m3 H2O</v>
      </c>
      <c r="M12764" s="154" t="str">
        <f t="shared" si="1120"/>
        <v>Base_High_High_Upgraded_Water Use (WU) - m3 H2O_Control Building; at upgraded wastewater treatment plant - US_Without Amendment_Aerated Static Pile</v>
      </c>
    </row>
    <row r="12765" spans="1:13" s="120" customFormat="1" x14ac:dyDescent="0.25">
      <c r="A12765" s="119"/>
      <c r="B12765" s="138" t="str">
        <f t="shared" si="1116"/>
        <v>Aerated Static Pile</v>
      </c>
      <c r="C12765" s="138" t="str">
        <f t="shared" si="1117"/>
        <v>Without Amendment</v>
      </c>
      <c r="D12765" s="138" t="str">
        <f t="shared" si="1115"/>
        <v>High_High</v>
      </c>
      <c r="E12765" s="138" t="str">
        <f t="shared" si="1118"/>
        <v>Base</v>
      </c>
      <c r="F12765" s="138" t="str">
        <f t="shared" si="1119"/>
        <v>Upgraded</v>
      </c>
      <c r="G12765" s="153"/>
      <c r="H12765" s="210">
        <v>0.23119999999999999</v>
      </c>
      <c r="I12765" s="160" t="s">
        <v>48</v>
      </c>
      <c r="J12765" s="211">
        <v>6.8836400000000004E-5</v>
      </c>
      <c r="K12765" s="160" t="s">
        <v>26</v>
      </c>
      <c r="L12765" s="154" t="str">
        <f>IF(OpenLCAbasic!K12765="CTUh", "Fill in Manually",IF(OR(K12765="Unit", K12765=""), "", INDEX(LookUps!$E$5:$E$12, MATCH(OpenLCAbasic!K12765,LookUps!$D$5:$D$12,0))))</f>
        <v>Water Use (WU) - m3 H2O</v>
      </c>
      <c r="M12765" s="154" t="str">
        <f t="shared" si="1120"/>
        <v>Base_High_High_Upgraded_Water Use (WU) - m3 H2O_Effluent release; wastewater treatment unit; at surface water; m3 wastewater - US_Without Amendment_Aerated Static Pile</v>
      </c>
    </row>
    <row r="12766" spans="1:13" s="120" customFormat="1" x14ac:dyDescent="0.25">
      <c r="A12766" s="119"/>
      <c r="B12766" s="138" t="str">
        <f t="shared" si="1116"/>
        <v>Aerated Static Pile</v>
      </c>
      <c r="C12766" s="138" t="str">
        <f t="shared" si="1117"/>
        <v>Without Amendment</v>
      </c>
      <c r="D12766" s="138" t="str">
        <f t="shared" si="1115"/>
        <v>High_High</v>
      </c>
      <c r="E12766" s="138" t="str">
        <f t="shared" si="1118"/>
        <v>Base</v>
      </c>
      <c r="F12766" s="138" t="str">
        <f t="shared" si="1119"/>
        <v>Upgraded</v>
      </c>
      <c r="G12766" s="153"/>
      <c r="H12766" s="210">
        <v>0.1454</v>
      </c>
      <c r="I12766" s="160" t="s">
        <v>58</v>
      </c>
      <c r="J12766" s="211">
        <v>4.3289399999999999E-5</v>
      </c>
      <c r="K12766" s="160" t="s">
        <v>26</v>
      </c>
      <c r="L12766" s="154" t="str">
        <f>IF(OpenLCAbasic!K12766="CTUh", "Fill in Manually",IF(OR(K12766="Unit", K12766=""), "", INDEX(LookUps!$E$5:$E$12, MATCH(OpenLCAbasic!K12766,LookUps!$D$5:$D$12,0))))</f>
        <v>Water Use (WU) - m3 H2O</v>
      </c>
      <c r="M12766" s="154" t="str">
        <f t="shared" si="1120"/>
        <v>Base_High_High_Upgraded_Water Use (WU) - m3 H2O_Pre-Anoxic &amp; Swing tank; wastewater treatment unit; at updated plant - US_Without Amendment_Aerated Static Pile</v>
      </c>
    </row>
    <row r="12767" spans="1:13" s="120" customFormat="1" x14ac:dyDescent="0.25">
      <c r="A12767" s="119"/>
      <c r="B12767" s="138" t="str">
        <f t="shared" si="1116"/>
        <v>Aerated Static Pile</v>
      </c>
      <c r="C12767" s="138" t="str">
        <f t="shared" si="1117"/>
        <v>Without Amendment</v>
      </c>
      <c r="D12767" s="138" t="str">
        <f t="shared" si="1115"/>
        <v>High_High</v>
      </c>
      <c r="E12767" s="138" t="str">
        <f t="shared" si="1118"/>
        <v>Base</v>
      </c>
      <c r="F12767" s="138" t="str">
        <f t="shared" si="1119"/>
        <v>Upgraded</v>
      </c>
      <c r="G12767" s="153"/>
      <c r="H12767" s="210">
        <v>0.13200000000000001</v>
      </c>
      <c r="I12767" s="160" t="s">
        <v>60</v>
      </c>
      <c r="J12767" s="211">
        <v>3.9294400000000001E-5</v>
      </c>
      <c r="K12767" s="160" t="s">
        <v>26</v>
      </c>
      <c r="L12767" s="154" t="str">
        <f>IF(OpenLCAbasic!K12767="CTUh", "Fill in Manually",IF(OR(K12767="Unit", K12767=""), "", INDEX(LookUps!$E$5:$E$12, MATCH(OpenLCAbasic!K12767,LookUps!$D$5:$D$12,0))))</f>
        <v>Water Use (WU) - m3 H2O</v>
      </c>
      <c r="M12767" s="154" t="str">
        <f t="shared" si="1120"/>
        <v>Base_High_High_Upgraded_Water Use (WU) - m3 H2O_Belt filter press; wastewater treatment unit; at updated plant - US_Without Amendment_Aerated Static Pile</v>
      </c>
    </row>
    <row r="12768" spans="1:13" s="120" customFormat="1" x14ac:dyDescent="0.25">
      <c r="A12768" s="119"/>
      <c r="B12768" s="138" t="str">
        <f t="shared" si="1116"/>
        <v>Aerated Static Pile</v>
      </c>
      <c r="C12768" s="138" t="str">
        <f t="shared" si="1117"/>
        <v>Without Amendment</v>
      </c>
      <c r="D12768" s="138" t="str">
        <f t="shared" si="1115"/>
        <v>High_High</v>
      </c>
      <c r="E12768" s="138" t="str">
        <f t="shared" si="1118"/>
        <v>Base</v>
      </c>
      <c r="F12768" s="138" t="str">
        <f t="shared" si="1119"/>
        <v>Upgraded</v>
      </c>
      <c r="G12768" s="153"/>
      <c r="H12768" s="210">
        <v>0.1021</v>
      </c>
      <c r="I12768" s="160" t="s">
        <v>57</v>
      </c>
      <c r="J12768" s="211">
        <v>3.0408100000000001E-5</v>
      </c>
      <c r="K12768" s="160" t="s">
        <v>26</v>
      </c>
      <c r="L12768" s="154" t="str">
        <f>IF(OpenLCAbasic!K12768="CTUh", "Fill in Manually",IF(OR(K12768="Unit", K12768=""), "", INDEX(LookUps!$E$5:$E$12, MATCH(OpenLCAbasic!K12768,LookUps!$D$5:$D$12,0))))</f>
        <v>Water Use (WU) - m3 H2O</v>
      </c>
      <c r="M12768" s="154" t="str">
        <f t="shared" si="1120"/>
        <v>Base_High_High_Upgraded_Water Use (WU) - m3 H2O_Gravity Belt Thickener; wastewater treatment unit; at updated plant - US_Without Amendment_Aerated Static Pile</v>
      </c>
    </row>
    <row r="12769" spans="1:13" s="120" customFormat="1" x14ac:dyDescent="0.25">
      <c r="A12769" s="119"/>
      <c r="B12769" s="138" t="str">
        <f t="shared" si="1116"/>
        <v>Aerated Static Pile</v>
      </c>
      <c r="C12769" s="138" t="str">
        <f t="shared" si="1117"/>
        <v>Without Amendment</v>
      </c>
      <c r="D12769" s="138" t="str">
        <f t="shared" ref="D12769:D12775" si="1121">IF(ISNUMBER($J12769),"High_High","")</f>
        <v>High_High</v>
      </c>
      <c r="E12769" s="138" t="str">
        <f t="shared" si="1118"/>
        <v>Base</v>
      </c>
      <c r="F12769" s="138" t="str">
        <f t="shared" si="1119"/>
        <v>Upgraded</v>
      </c>
      <c r="G12769" s="153"/>
      <c r="H12769" s="210">
        <v>5.8799999999999998E-2</v>
      </c>
      <c r="I12769" s="160" t="s">
        <v>53</v>
      </c>
      <c r="J12769" s="211">
        <v>1.75069E-5</v>
      </c>
      <c r="K12769" s="160" t="s">
        <v>26</v>
      </c>
      <c r="L12769" s="154" t="str">
        <f>IF(OpenLCAbasic!K12769="CTUh", "Fill in Manually",IF(OR(K12769="Unit", K12769=""), "", INDEX(LookUps!$E$5:$E$12, MATCH(OpenLCAbasic!K12769,LookUps!$D$5:$D$12,0))))</f>
        <v>Water Use (WU) - m3 H2O</v>
      </c>
      <c r="M12769" s="154" t="str">
        <f t="shared" si="1120"/>
        <v>Base_High_High_Upgraded_Water Use (WU) - m3 H2O_Wet Well and Sump Station; wastewater treatment unit; at updated plant - US_Without Amendment_Aerated Static Pile</v>
      </c>
    </row>
    <row r="12770" spans="1:13" s="120" customFormat="1" x14ac:dyDescent="0.25">
      <c r="A12770" s="119"/>
      <c r="B12770" s="138" t="str">
        <f t="shared" si="1116"/>
        <v>Aerated Static Pile</v>
      </c>
      <c r="C12770" s="138" t="str">
        <f t="shared" si="1117"/>
        <v>Without Amendment</v>
      </c>
      <c r="D12770" s="138" t="str">
        <f t="shared" si="1121"/>
        <v>High_High</v>
      </c>
      <c r="E12770" s="138" t="str">
        <f t="shared" si="1118"/>
        <v>Base</v>
      </c>
      <c r="F12770" s="138" t="str">
        <f t="shared" si="1119"/>
        <v>Upgraded</v>
      </c>
      <c r="G12770" s="153"/>
      <c r="H12770" s="210">
        <v>3.61E-2</v>
      </c>
      <c r="I12770" s="160" t="s">
        <v>435</v>
      </c>
      <c r="J12770" s="211">
        <v>1.0757900000000001E-5</v>
      </c>
      <c r="K12770" s="160" t="s">
        <v>26</v>
      </c>
      <c r="L12770" s="154" t="str">
        <f>IF(OpenLCAbasic!K12770="CTUh", "Fill in Manually",IF(OR(K12770="Unit", K12770=""), "", INDEX(LookUps!$E$5:$E$12, MATCH(OpenLCAbasic!K12770,LookUps!$D$5:$D$12,0))))</f>
        <v>Water Use (WU) - m3 H2O</v>
      </c>
      <c r="M12770" s="154" t="str">
        <f t="shared" si="1120"/>
        <v>Base_High_High_Upgraded_Water Use (WU) - m3 H2O_Biosolids composting; aerated static pile; wastewater treatment unit; at updated plant - US_Without Amendment_Aerated Static Pile</v>
      </c>
    </row>
    <row r="12771" spans="1:13" s="120" customFormat="1" x14ac:dyDescent="0.25">
      <c r="A12771" s="119"/>
      <c r="B12771" s="138" t="str">
        <f t="shared" si="1116"/>
        <v>Aerated Static Pile</v>
      </c>
      <c r="C12771" s="138" t="str">
        <f t="shared" si="1117"/>
        <v>Without Amendment</v>
      </c>
      <c r="D12771" s="138" t="str">
        <f t="shared" si="1121"/>
        <v>High_High</v>
      </c>
      <c r="E12771" s="138" t="str">
        <f t="shared" si="1118"/>
        <v>Base</v>
      </c>
      <c r="F12771" s="138" t="str">
        <f t="shared" si="1119"/>
        <v>Upgraded</v>
      </c>
      <c r="G12771" s="153"/>
      <c r="H12771" s="210">
        <v>2.3599999999999999E-2</v>
      </c>
      <c r="I12771" s="160" t="s">
        <v>59</v>
      </c>
      <c r="J12771" s="211">
        <v>7.0179500000000003E-6</v>
      </c>
      <c r="K12771" s="160" t="s">
        <v>26</v>
      </c>
      <c r="L12771" s="154" t="str">
        <f>IF(OpenLCAbasic!K12771="CTUh", "Fill in Manually",IF(OR(K12771="Unit", K12771=""), "", INDEX(LookUps!$E$5:$E$12, MATCH(OpenLCAbasic!K12771,LookUps!$D$5:$D$12,0))))</f>
        <v>Water Use (WU) - m3 H2O</v>
      </c>
      <c r="M12771" s="154" t="str">
        <f t="shared" si="1120"/>
        <v>Base_High_High_Upgraded_Water Use (WU) - m3 H2O_Blend Tank; wastewater treatment unit; at updated plant - US_Without Amendment_Aerated Static Pile</v>
      </c>
    </row>
    <row r="12772" spans="1:13" s="120" customFormat="1" x14ac:dyDescent="0.25">
      <c r="A12772" s="119"/>
      <c r="B12772" s="138" t="str">
        <f t="shared" si="1116"/>
        <v>Aerated Static Pile</v>
      </c>
      <c r="C12772" s="138" t="str">
        <f t="shared" si="1117"/>
        <v>Without Amendment</v>
      </c>
      <c r="D12772" s="138" t="str">
        <f t="shared" si="1121"/>
        <v>High_High</v>
      </c>
      <c r="E12772" s="138" t="str">
        <f t="shared" si="1118"/>
        <v>Base</v>
      </c>
      <c r="F12772" s="138" t="str">
        <f t="shared" si="1119"/>
        <v>Upgraded</v>
      </c>
      <c r="G12772" s="153"/>
      <c r="H12772" s="210">
        <v>1.7000000000000001E-2</v>
      </c>
      <c r="I12772" s="160" t="s">
        <v>128</v>
      </c>
      <c r="J12772" s="211">
        <v>5.0608900000000003E-6</v>
      </c>
      <c r="K12772" s="160" t="s">
        <v>26</v>
      </c>
      <c r="L12772" s="154" t="str">
        <f>IF(OpenLCAbasic!K12772="CTUh", "Fill in Manually",IF(OR(K12772="Unit", K12772=""), "", INDEX(LookUps!$E$5:$E$12, MATCH(OpenLCAbasic!K12772,LookUps!$D$5:$D$12,0))))</f>
        <v>Water Use (WU) - m3 H2O</v>
      </c>
      <c r="M12772" s="154" t="str">
        <f t="shared" si="1120"/>
        <v>Base_High_High_Upgraded_Water Use (WU) - m3 H2O_Wastewater collection; operation and infrastructure; m3 wastewater_Without Amendment_Aerated Static Pile</v>
      </c>
    </row>
    <row r="12773" spans="1:13" s="120" customFormat="1" x14ac:dyDescent="0.25">
      <c r="A12773" s="119"/>
      <c r="B12773" s="138" t="str">
        <f t="shared" si="1116"/>
        <v>Aerated Static Pile</v>
      </c>
      <c r="C12773" s="138" t="str">
        <f t="shared" si="1117"/>
        <v>Without Amendment</v>
      </c>
      <c r="D12773" s="138" t="str">
        <f t="shared" si="1121"/>
        <v>High_High</v>
      </c>
      <c r="E12773" s="138" t="str">
        <f t="shared" si="1118"/>
        <v>Base</v>
      </c>
      <c r="F12773" s="138" t="str">
        <f t="shared" si="1119"/>
        <v>Upgraded</v>
      </c>
      <c r="G12773" s="153"/>
      <c r="H12773" s="210">
        <v>2.5999999999999999E-3</v>
      </c>
      <c r="I12773" s="160" t="s">
        <v>168</v>
      </c>
      <c r="J12773" s="211">
        <v>7.6697000000000004E-7</v>
      </c>
      <c r="K12773" s="160" t="s">
        <v>26</v>
      </c>
      <c r="L12773" s="154" t="str">
        <f>IF(OpenLCAbasic!K12773="CTUh", "Fill in Manually",IF(OR(K12773="Unit", K12773=""), "", INDEX(LookUps!$E$5:$E$12, MATCH(OpenLCAbasic!K12773,LookUps!$D$5:$D$12,0))))</f>
        <v>Water Use (WU) - m3 H2O</v>
      </c>
      <c r="M12773" s="154" t="str">
        <f t="shared" si="1120"/>
        <v>Base_High_High_Upgraded_Water Use (WU) - m3 H2O_ClearCove SCP; wastewater treatment unit; at updated plant - US_Without Amendment_Aerated Static Pile</v>
      </c>
    </row>
    <row r="12774" spans="1:13" s="120" customFormat="1" x14ac:dyDescent="0.25">
      <c r="A12774" s="119"/>
      <c r="B12774" s="138" t="str">
        <f t="shared" si="1116"/>
        <v>Aerated Static Pile</v>
      </c>
      <c r="C12774" s="138" t="str">
        <f t="shared" si="1117"/>
        <v>Without Amendment</v>
      </c>
      <c r="D12774" s="138" t="str">
        <f t="shared" si="1121"/>
        <v>High_High</v>
      </c>
      <c r="E12774" s="138" t="str">
        <f t="shared" si="1118"/>
        <v>Base</v>
      </c>
      <c r="F12774" s="138" t="str">
        <f t="shared" si="1119"/>
        <v>Upgraded</v>
      </c>
      <c r="G12774" s="153"/>
      <c r="H12774" s="210">
        <v>-0.9042</v>
      </c>
      <c r="I12774" s="160" t="s">
        <v>149</v>
      </c>
      <c r="J12774" s="160">
        <v>-2.7E-4</v>
      </c>
      <c r="K12774" s="160" t="s">
        <v>26</v>
      </c>
      <c r="L12774" s="154" t="str">
        <f>IF(OpenLCAbasic!K12774="CTUh", "Fill in Manually",IF(OR(K12774="Unit", K12774=""), "", INDEX(LookUps!$E$5:$E$12, MATCH(OpenLCAbasic!K12774,LookUps!$D$5:$D$12,0))))</f>
        <v>Water Use (WU) - m3 H2O</v>
      </c>
      <c r="M12774" s="154" t="str">
        <f t="shared" si="1120"/>
        <v>Base_High_High_Upgraded_Water Use (WU) - m3 H2O_Anaerobic Digestion; wastewater treatment unit; at updated plant - US_Without Amendment_Aerated Static Pile</v>
      </c>
    </row>
    <row r="12775" spans="1:13" s="120" customFormat="1" x14ac:dyDescent="0.25">
      <c r="A12775" s="119"/>
      <c r="B12775" s="138" t="str">
        <f t="shared" si="1116"/>
        <v>Aerated Static Pile</v>
      </c>
      <c r="C12775" s="138" t="str">
        <f t="shared" si="1117"/>
        <v>Without Amendment</v>
      </c>
      <c r="D12775" s="138" t="str">
        <f t="shared" si="1121"/>
        <v>High_High</v>
      </c>
      <c r="E12775" s="138" t="str">
        <f t="shared" si="1118"/>
        <v>Base</v>
      </c>
      <c r="F12775" s="138" t="str">
        <f t="shared" si="1119"/>
        <v>Upgraded</v>
      </c>
      <c r="G12775" s="153"/>
      <c r="H12775" s="210">
        <v>-4.2366000000000001</v>
      </c>
      <c r="I12775" s="160" t="s">
        <v>62</v>
      </c>
      <c r="J12775" s="160">
        <v>-1.2600000000000001E-3</v>
      </c>
      <c r="K12775" s="160" t="s">
        <v>26</v>
      </c>
      <c r="L12775" s="154" t="str">
        <f>IF(OpenLCAbasic!K12775="CTUh", "Fill in Manually",IF(OR(K12775="Unit", K12775=""), "", INDEX(LookUps!$E$5:$E$12, MATCH(OpenLCAbasic!K12775,LookUps!$D$5:$D$12,0))))</f>
        <v>Water Use (WU) - m3 H2O</v>
      </c>
      <c r="M12775" s="154" t="str">
        <f t="shared" si="1120"/>
        <v>Base_High_High_Upgraded_Water Use (WU) - m3 H2O_Land application of compost; wastewater treatment unit; at updated plant - US_Without Amendment_Aerated Static Pile</v>
      </c>
    </row>
    <row r="12776" spans="1:13" s="120" customFormat="1" x14ac:dyDescent="0.25">
      <c r="A12776" s="119"/>
      <c r="B12776" s="138" t="str">
        <f t="shared" si="1116"/>
        <v/>
      </c>
      <c r="C12776" s="138" t="str">
        <f t="shared" si="1117"/>
        <v/>
      </c>
      <c r="D12776" s="138" t="str">
        <f>IF(ISNUMBER($J12776),"Base_Low","")</f>
        <v/>
      </c>
      <c r="E12776" s="138" t="str">
        <f>IF(ISNUMBER($J12776),"Low","")</f>
        <v/>
      </c>
      <c r="F12776" s="138" t="str">
        <f t="shared" si="1119"/>
        <v/>
      </c>
      <c r="G12776" s="153" t="s">
        <v>51</v>
      </c>
      <c r="H12776" s="160"/>
      <c r="I12776" s="160" t="s">
        <v>47</v>
      </c>
      <c r="J12776" s="160" t="s">
        <v>52</v>
      </c>
      <c r="K12776" s="160" t="s">
        <v>27</v>
      </c>
      <c r="L12776" s="154" t="str">
        <f>IF(OpenLCAbasic!K12776="CTUh", "Fill in Manually",IF(OR(K12776="Unit", K12776=""), "", INDEX(LookUps!$E$5:$E$12, MATCH(OpenLCAbasic!K12776,LookUps!$D$5:$D$12,0))))</f>
        <v/>
      </c>
      <c r="M12776" s="154" t="str">
        <f t="shared" si="1120"/>
        <v>____Process__</v>
      </c>
    </row>
    <row r="12777" spans="1:13" s="120" customFormat="1" x14ac:dyDescent="0.25">
      <c r="A12777" s="119"/>
      <c r="B12777" s="138" t="str">
        <f t="shared" ref="B12777:B12840" si="1122">IF(F12777="Legacy","n.a.",IF(F12777="","","Aerated Static Pile"))</f>
        <v>Aerated Static Pile</v>
      </c>
      <c r="C12777" s="138" t="str">
        <f t="shared" ref="C12777:C12840" si="1123">IF(ISNUMBER($J12777),"Without Amendment","")</f>
        <v>Without Amendment</v>
      </c>
      <c r="D12777" s="138" t="str">
        <f t="shared" ref="D12777:D12840" si="1124">IF(ISNUMBER($J12777),"Base_Low","")</f>
        <v>Base_Low</v>
      </c>
      <c r="E12777" s="138" t="str">
        <f t="shared" ref="E12777:E12840" si="1125">IF(ISNUMBER($J12777),"Low","")</f>
        <v>Low</v>
      </c>
      <c r="F12777" s="138" t="str">
        <f t="shared" ref="F12777:F12840" si="1126">IF(ISNUMBER(J12777),"Upgraded","")</f>
        <v>Upgraded</v>
      </c>
      <c r="G12777" s="153"/>
      <c r="H12777" s="210">
        <v>0.3826</v>
      </c>
      <c r="I12777" s="160" t="s">
        <v>55</v>
      </c>
      <c r="J12777" s="160">
        <v>1.7219999999999999E-2</v>
      </c>
      <c r="K12777" s="160" t="s">
        <v>24</v>
      </c>
      <c r="L12777" s="154" t="str">
        <f>IF(OpenLCAbasic!K12777="CTUh", "Fill in Manually",IF(OR(K12777="Unit", K12777=""), "", INDEX(LookUps!$E$5:$E$12, MATCH(OpenLCAbasic!K12777,LookUps!$D$5:$D$12,0))))</f>
        <v>Acidification Potential (AP) - kg SO2 eq</v>
      </c>
      <c r="M12777" s="154" t="str">
        <f t="shared" si="1120"/>
        <v>Low_Base_Low_Upgraded_Acidification Potential (AP) - kg SO2 eq_Aeration Tanks; wastewater treatment unit; at updated plant - US_Without Amendment_Aerated Static Pile</v>
      </c>
    </row>
    <row r="12778" spans="1:13" s="120" customFormat="1" x14ac:dyDescent="0.25">
      <c r="A12778" s="119"/>
      <c r="B12778" s="138" t="str">
        <f t="shared" si="1122"/>
        <v>Aerated Static Pile</v>
      </c>
      <c r="C12778" s="138" t="str">
        <f t="shared" si="1123"/>
        <v>Without Amendment</v>
      </c>
      <c r="D12778" s="138" t="str">
        <f t="shared" si="1124"/>
        <v>Base_Low</v>
      </c>
      <c r="E12778" s="138" t="str">
        <f t="shared" si="1125"/>
        <v>Low</v>
      </c>
      <c r="F12778" s="138" t="str">
        <f t="shared" si="1126"/>
        <v>Upgraded</v>
      </c>
      <c r="G12778" s="153"/>
      <c r="H12778" s="210">
        <v>0.11070000000000001</v>
      </c>
      <c r="I12778" s="160" t="s">
        <v>54</v>
      </c>
      <c r="J12778" s="160">
        <v>4.9800000000000001E-3</v>
      </c>
      <c r="K12778" s="160" t="s">
        <v>24</v>
      </c>
      <c r="L12778" s="154" t="str">
        <f>IF(OpenLCAbasic!K12778="CTUh", "Fill in Manually",IF(OR(K12778="Unit", K12778=""), "", INDEX(LookUps!$E$5:$E$12, MATCH(OpenLCAbasic!K12778,LookUps!$D$5:$D$12,0))))</f>
        <v>Acidification Potential (AP) - kg SO2 eq</v>
      </c>
      <c r="M12778" s="154" t="str">
        <f t="shared" si="1120"/>
        <v>Low_Base_Low_Upgraded_Acidification Potential (AP) - kg SO2 eq_Clear Cove Primary Clarification; wastewater treatment unit; at updated plant - US_Without Amendment_Aerated Static Pile</v>
      </c>
    </row>
    <row r="12779" spans="1:13" s="120" customFormat="1" x14ac:dyDescent="0.25">
      <c r="A12779" s="119"/>
      <c r="B12779" s="138" t="str">
        <f t="shared" si="1122"/>
        <v>Aerated Static Pile</v>
      </c>
      <c r="C12779" s="138" t="str">
        <f t="shared" si="1123"/>
        <v>Without Amendment</v>
      </c>
      <c r="D12779" s="138" t="str">
        <f t="shared" si="1124"/>
        <v>Base_Low</v>
      </c>
      <c r="E12779" s="138" t="str">
        <f t="shared" si="1125"/>
        <v>Low</v>
      </c>
      <c r="F12779" s="138" t="str">
        <f t="shared" si="1126"/>
        <v>Upgraded</v>
      </c>
      <c r="G12779" s="153"/>
      <c r="H12779" s="210">
        <v>9.6199999999999994E-2</v>
      </c>
      <c r="I12779" s="160" t="s">
        <v>58</v>
      </c>
      <c r="J12779" s="160">
        <v>4.3299999999999996E-3</v>
      </c>
      <c r="K12779" s="160" t="s">
        <v>24</v>
      </c>
      <c r="L12779" s="154" t="str">
        <f>IF(OpenLCAbasic!K12779="CTUh", "Fill in Manually",IF(OR(K12779="Unit", K12779=""), "", INDEX(LookUps!$E$5:$E$12, MATCH(OpenLCAbasic!K12779,LookUps!$D$5:$D$12,0))))</f>
        <v>Acidification Potential (AP) - kg SO2 eq</v>
      </c>
      <c r="M12779" s="154" t="str">
        <f t="shared" si="1120"/>
        <v>Low_Base_Low_Upgraded_Acidification Potential (AP) - kg SO2 eq_Pre-Anoxic &amp; Swing tank; wastewater treatment unit; at updated plant - US_Without Amendment_Aerated Static Pile</v>
      </c>
    </row>
    <row r="12780" spans="1:13" s="120" customFormat="1" x14ac:dyDescent="0.25">
      <c r="A12780" s="119"/>
      <c r="B12780" s="138" t="str">
        <f t="shared" si="1122"/>
        <v>Aerated Static Pile</v>
      </c>
      <c r="C12780" s="138" t="str">
        <f t="shared" si="1123"/>
        <v>Without Amendment</v>
      </c>
      <c r="D12780" s="138" t="str">
        <f t="shared" si="1124"/>
        <v>Base_Low</v>
      </c>
      <c r="E12780" s="138" t="str">
        <f t="shared" si="1125"/>
        <v>Low</v>
      </c>
      <c r="F12780" s="138" t="str">
        <f t="shared" si="1126"/>
        <v>Upgraded</v>
      </c>
      <c r="G12780" s="153"/>
      <c r="H12780" s="210">
        <v>7.6700000000000004E-2</v>
      </c>
      <c r="I12780" s="160" t="s">
        <v>53</v>
      </c>
      <c r="J12780" s="160">
        <v>3.4499999999999999E-3</v>
      </c>
      <c r="K12780" s="160" t="s">
        <v>24</v>
      </c>
      <c r="L12780" s="154" t="str">
        <f>IF(OpenLCAbasic!K12780="CTUh", "Fill in Manually",IF(OR(K12780="Unit", K12780=""), "", INDEX(LookUps!$E$5:$E$12, MATCH(OpenLCAbasic!K12780,LookUps!$D$5:$D$12,0))))</f>
        <v>Acidification Potential (AP) - kg SO2 eq</v>
      </c>
      <c r="M12780" s="154" t="str">
        <f t="shared" si="1120"/>
        <v>Low_Base_Low_Upgraded_Acidification Potential (AP) - kg SO2 eq_Wet Well and Sump Station; wastewater treatment unit; at updated plant - US_Without Amendment_Aerated Static Pile</v>
      </c>
    </row>
    <row r="12781" spans="1:13" s="120" customFormat="1" x14ac:dyDescent="0.25">
      <c r="A12781" s="119"/>
      <c r="B12781" s="138" t="str">
        <f t="shared" si="1122"/>
        <v>Aerated Static Pile</v>
      </c>
      <c r="C12781" s="138" t="str">
        <f t="shared" si="1123"/>
        <v>Without Amendment</v>
      </c>
      <c r="D12781" s="138" t="str">
        <f t="shared" si="1124"/>
        <v>Base_Low</v>
      </c>
      <c r="E12781" s="138" t="str">
        <f t="shared" si="1125"/>
        <v>Low</v>
      </c>
      <c r="F12781" s="138" t="str">
        <f t="shared" si="1126"/>
        <v>Upgraded</v>
      </c>
      <c r="G12781" s="153"/>
      <c r="H12781" s="210">
        <v>5.7700000000000001E-2</v>
      </c>
      <c r="I12781" s="160" t="s">
        <v>149</v>
      </c>
      <c r="J12781" s="160">
        <v>2.5999999999999999E-3</v>
      </c>
      <c r="K12781" s="160" t="s">
        <v>24</v>
      </c>
      <c r="L12781" s="154" t="str">
        <f>IF(OpenLCAbasic!K12781="CTUh", "Fill in Manually",IF(OR(K12781="Unit", K12781=""), "", INDEX(LookUps!$E$5:$E$12, MATCH(OpenLCAbasic!K12781,LookUps!$D$5:$D$12,0))))</f>
        <v>Acidification Potential (AP) - kg SO2 eq</v>
      </c>
      <c r="M12781" s="154" t="str">
        <f t="shared" si="1120"/>
        <v>Low_Base_Low_Upgraded_Acidification Potential (AP) - kg SO2 eq_Anaerobic Digestion; wastewater treatment unit; at updated plant - US_Without Amendment_Aerated Static Pile</v>
      </c>
    </row>
    <row r="12782" spans="1:13" s="120" customFormat="1" x14ac:dyDescent="0.25">
      <c r="A12782" s="119"/>
      <c r="B12782" s="138" t="str">
        <f t="shared" si="1122"/>
        <v>Aerated Static Pile</v>
      </c>
      <c r="C12782" s="138" t="str">
        <f t="shared" si="1123"/>
        <v>Without Amendment</v>
      </c>
      <c r="D12782" s="138" t="str">
        <f t="shared" si="1124"/>
        <v>Base_Low</v>
      </c>
      <c r="E12782" s="138" t="str">
        <f t="shared" si="1125"/>
        <v>Low</v>
      </c>
      <c r="F12782" s="138" t="str">
        <f t="shared" si="1126"/>
        <v>Upgraded</v>
      </c>
      <c r="G12782" s="153"/>
      <c r="H12782" s="210">
        <v>5.28E-2</v>
      </c>
      <c r="I12782" s="160" t="s">
        <v>167</v>
      </c>
      <c r="J12782" s="160">
        <v>2.3800000000000002E-3</v>
      </c>
      <c r="K12782" s="160" t="s">
        <v>24</v>
      </c>
      <c r="L12782" s="154" t="str">
        <f>IF(OpenLCAbasic!K12782="CTUh", "Fill in Manually",IF(OR(K12782="Unit", K12782=""), "", INDEX(LookUps!$E$5:$E$12, MATCH(OpenLCAbasic!K12782,LookUps!$D$5:$D$12,0))))</f>
        <v>Acidification Potential (AP) - kg SO2 eq</v>
      </c>
      <c r="M12782" s="154" t="str">
        <f t="shared" si="1120"/>
        <v>Low_Base_Low_Upgraded_Acidification Potential (AP) - kg SO2 eq_Waste Receiving and Holding; wastewater treatment unit; at updated plant - US_Without Amendment_Aerated Static Pile</v>
      </c>
    </row>
    <row r="12783" spans="1:13" s="120" customFormat="1" x14ac:dyDescent="0.25">
      <c r="A12783" s="119"/>
      <c r="B12783" s="138" t="str">
        <f t="shared" si="1122"/>
        <v>Aerated Static Pile</v>
      </c>
      <c r="C12783" s="138" t="str">
        <f t="shared" si="1123"/>
        <v>Without Amendment</v>
      </c>
      <c r="D12783" s="138" t="str">
        <f t="shared" si="1124"/>
        <v>Base_Low</v>
      </c>
      <c r="E12783" s="138" t="str">
        <f t="shared" si="1125"/>
        <v>Low</v>
      </c>
      <c r="F12783" s="138" t="str">
        <f t="shared" si="1126"/>
        <v>Upgraded</v>
      </c>
      <c r="G12783" s="153"/>
      <c r="H12783" s="210">
        <v>4.7800000000000002E-2</v>
      </c>
      <c r="I12783" s="160" t="s">
        <v>62</v>
      </c>
      <c r="J12783" s="160">
        <v>2.15E-3</v>
      </c>
      <c r="K12783" s="160" t="s">
        <v>24</v>
      </c>
      <c r="L12783" s="154" t="str">
        <f>IF(OpenLCAbasic!K12783="CTUh", "Fill in Manually",IF(OR(K12783="Unit", K12783=""), "", INDEX(LookUps!$E$5:$E$12, MATCH(OpenLCAbasic!K12783,LookUps!$D$5:$D$12,0))))</f>
        <v>Acidification Potential (AP) - kg SO2 eq</v>
      </c>
      <c r="M12783" s="154" t="str">
        <f t="shared" si="1120"/>
        <v>Low_Base_Low_Upgraded_Acidification Potential (AP) - kg SO2 eq_Land application of compost; wastewater treatment unit; at updated plant - US_Without Amendment_Aerated Static Pile</v>
      </c>
    </row>
    <row r="12784" spans="1:13" s="120" customFormat="1" x14ac:dyDescent="0.25">
      <c r="A12784" s="119"/>
      <c r="B12784" s="138" t="str">
        <f t="shared" si="1122"/>
        <v>Aerated Static Pile</v>
      </c>
      <c r="C12784" s="138" t="str">
        <f t="shared" si="1123"/>
        <v>Without Amendment</v>
      </c>
      <c r="D12784" s="138" t="str">
        <f t="shared" si="1124"/>
        <v>Base_Low</v>
      </c>
      <c r="E12784" s="138" t="str">
        <f t="shared" si="1125"/>
        <v>Low</v>
      </c>
      <c r="F12784" s="138" t="str">
        <f t="shared" si="1126"/>
        <v>Upgraded</v>
      </c>
      <c r="G12784" s="153"/>
      <c r="H12784" s="210">
        <v>4.5999999999999999E-2</v>
      </c>
      <c r="I12784" s="160" t="s">
        <v>147</v>
      </c>
      <c r="J12784" s="160">
        <v>2.0699999999999998E-3</v>
      </c>
      <c r="K12784" s="160" t="s">
        <v>24</v>
      </c>
      <c r="L12784" s="154" t="str">
        <f>IF(OpenLCAbasic!K12784="CTUh", "Fill in Manually",IF(OR(K12784="Unit", K12784=""), "", INDEX(LookUps!$E$5:$E$12, MATCH(OpenLCAbasic!K12784,LookUps!$D$5:$D$12,0))))</f>
        <v>Acidification Potential (AP) - kg SO2 eq</v>
      </c>
      <c r="M12784" s="154" t="str">
        <f t="shared" si="1120"/>
        <v>Low_Base_Low_Upgraded_Acidification Potential (AP) - kg SO2 eq_Influent Pump Station; wastewater treatment unit; at updated plant - US_Without Amendment_Aerated Static Pile</v>
      </c>
    </row>
    <row r="12785" spans="1:13" s="120" customFormat="1" x14ac:dyDescent="0.25">
      <c r="A12785" s="119"/>
      <c r="B12785" s="138" t="str">
        <f t="shared" si="1122"/>
        <v>Aerated Static Pile</v>
      </c>
      <c r="C12785" s="138" t="str">
        <f t="shared" si="1123"/>
        <v>Without Amendment</v>
      </c>
      <c r="D12785" s="138" t="str">
        <f t="shared" si="1124"/>
        <v>Base_Low</v>
      </c>
      <c r="E12785" s="138" t="str">
        <f t="shared" si="1125"/>
        <v>Low</v>
      </c>
      <c r="F12785" s="138" t="str">
        <f t="shared" si="1126"/>
        <v>Upgraded</v>
      </c>
      <c r="G12785" s="153"/>
      <c r="H12785" s="210">
        <v>4.19E-2</v>
      </c>
      <c r="I12785" s="160" t="s">
        <v>435</v>
      </c>
      <c r="J12785" s="160">
        <v>1.8799999999999999E-3</v>
      </c>
      <c r="K12785" s="160" t="s">
        <v>24</v>
      </c>
      <c r="L12785" s="154" t="str">
        <f>IF(OpenLCAbasic!K12785="CTUh", "Fill in Manually",IF(OR(K12785="Unit", K12785=""), "", INDEX(LookUps!$E$5:$E$12, MATCH(OpenLCAbasic!K12785,LookUps!$D$5:$D$12,0))))</f>
        <v>Acidification Potential (AP) - kg SO2 eq</v>
      </c>
      <c r="M12785" s="154" t="str">
        <f t="shared" si="1120"/>
        <v>Low_Base_Low_Upgraded_Acidification Potential (AP) - kg SO2 eq_Biosolids composting; aerated static pile; wastewater treatment unit; at updated plant - US_Without Amendment_Aerated Static Pile</v>
      </c>
    </row>
    <row r="12786" spans="1:13" s="120" customFormat="1" x14ac:dyDescent="0.25">
      <c r="A12786" s="119"/>
      <c r="B12786" s="138" t="str">
        <f t="shared" si="1122"/>
        <v>Aerated Static Pile</v>
      </c>
      <c r="C12786" s="138" t="str">
        <f t="shared" si="1123"/>
        <v>Without Amendment</v>
      </c>
      <c r="D12786" s="138" t="str">
        <f t="shared" si="1124"/>
        <v>Base_Low</v>
      </c>
      <c r="E12786" s="138" t="str">
        <f t="shared" si="1125"/>
        <v>Low</v>
      </c>
      <c r="F12786" s="138" t="str">
        <f t="shared" si="1126"/>
        <v>Upgraded</v>
      </c>
      <c r="G12786" s="153"/>
      <c r="H12786" s="210">
        <v>2.7400000000000001E-2</v>
      </c>
      <c r="I12786" s="160" t="s">
        <v>128</v>
      </c>
      <c r="J12786" s="160">
        <v>1.23E-3</v>
      </c>
      <c r="K12786" s="160" t="s">
        <v>24</v>
      </c>
      <c r="L12786" s="154" t="str">
        <f>IF(OpenLCAbasic!K12786="CTUh", "Fill in Manually",IF(OR(K12786="Unit", K12786=""), "", INDEX(LookUps!$E$5:$E$12, MATCH(OpenLCAbasic!K12786,LookUps!$D$5:$D$12,0))))</f>
        <v>Acidification Potential (AP) - kg SO2 eq</v>
      </c>
      <c r="M12786" s="154" t="str">
        <f t="shared" si="1120"/>
        <v>Low_Base_Low_Upgraded_Acidification Potential (AP) - kg SO2 eq_Wastewater collection; operation and infrastructure; m3 wastewater_Without Amendment_Aerated Static Pile</v>
      </c>
    </row>
    <row r="12787" spans="1:13" s="120" customFormat="1" x14ac:dyDescent="0.25">
      <c r="A12787" s="119"/>
      <c r="B12787" s="138" t="str">
        <f t="shared" si="1122"/>
        <v>Aerated Static Pile</v>
      </c>
      <c r="C12787" s="138" t="str">
        <f t="shared" si="1123"/>
        <v>Without Amendment</v>
      </c>
      <c r="D12787" s="138" t="str">
        <f t="shared" si="1124"/>
        <v>Base_Low</v>
      </c>
      <c r="E12787" s="138" t="str">
        <f t="shared" si="1125"/>
        <v>Low</v>
      </c>
      <c r="F12787" s="138" t="str">
        <f t="shared" si="1126"/>
        <v>Upgraded</v>
      </c>
      <c r="G12787" s="153"/>
      <c r="H12787" s="210">
        <v>1.9E-2</v>
      </c>
      <c r="I12787" s="160" t="s">
        <v>60</v>
      </c>
      <c r="J12787" s="160">
        <v>8.5999999999999998E-4</v>
      </c>
      <c r="K12787" s="160" t="s">
        <v>24</v>
      </c>
      <c r="L12787" s="154" t="str">
        <f>IF(OpenLCAbasic!K12787="CTUh", "Fill in Manually",IF(OR(K12787="Unit", K12787=""), "", INDEX(LookUps!$E$5:$E$12, MATCH(OpenLCAbasic!K12787,LookUps!$D$5:$D$12,0))))</f>
        <v>Acidification Potential (AP) - kg SO2 eq</v>
      </c>
      <c r="M12787" s="154" t="str">
        <f t="shared" si="1120"/>
        <v>Low_Base_Low_Upgraded_Acidification Potential (AP) - kg SO2 eq_Belt filter press; wastewater treatment unit; at updated plant - US_Without Amendment_Aerated Static Pile</v>
      </c>
    </row>
    <row r="12788" spans="1:13" s="120" customFormat="1" x14ac:dyDescent="0.25">
      <c r="A12788" s="119"/>
      <c r="B12788" s="138" t="str">
        <f t="shared" si="1122"/>
        <v>Aerated Static Pile</v>
      </c>
      <c r="C12788" s="138" t="str">
        <f t="shared" si="1123"/>
        <v>Without Amendment</v>
      </c>
      <c r="D12788" s="138" t="str">
        <f t="shared" si="1124"/>
        <v>Base_Low</v>
      </c>
      <c r="E12788" s="138" t="str">
        <f t="shared" si="1125"/>
        <v>Low</v>
      </c>
      <c r="F12788" s="138" t="str">
        <f t="shared" si="1126"/>
        <v>Upgraded</v>
      </c>
      <c r="G12788" s="153"/>
      <c r="H12788" s="210">
        <v>1.5599999999999999E-2</v>
      </c>
      <c r="I12788" s="160" t="s">
        <v>57</v>
      </c>
      <c r="J12788" s="160">
        <v>6.9999999999999999E-4</v>
      </c>
      <c r="K12788" s="160" t="s">
        <v>24</v>
      </c>
      <c r="L12788" s="154" t="str">
        <f>IF(OpenLCAbasic!K12788="CTUh", "Fill in Manually",IF(OR(K12788="Unit", K12788=""), "", INDEX(LookUps!$E$5:$E$12, MATCH(OpenLCAbasic!K12788,LookUps!$D$5:$D$12,0))))</f>
        <v>Acidification Potential (AP) - kg SO2 eq</v>
      </c>
      <c r="M12788" s="154" t="str">
        <f t="shared" si="1120"/>
        <v>Low_Base_Low_Upgraded_Acidification Potential (AP) - kg SO2 eq_Gravity Belt Thickener; wastewater treatment unit; at updated plant - US_Without Amendment_Aerated Static Pile</v>
      </c>
    </row>
    <row r="12789" spans="1:13" s="120" customFormat="1" x14ac:dyDescent="0.25">
      <c r="A12789" s="119"/>
      <c r="B12789" s="138" t="str">
        <f t="shared" si="1122"/>
        <v>Aerated Static Pile</v>
      </c>
      <c r="C12789" s="138" t="str">
        <f t="shared" si="1123"/>
        <v>Without Amendment</v>
      </c>
      <c r="D12789" s="138" t="str">
        <f t="shared" si="1124"/>
        <v>Base_Low</v>
      </c>
      <c r="E12789" s="138" t="str">
        <f t="shared" si="1125"/>
        <v>Low</v>
      </c>
      <c r="F12789" s="138" t="str">
        <f t="shared" si="1126"/>
        <v>Upgraded</v>
      </c>
      <c r="G12789" s="153"/>
      <c r="H12789" s="210">
        <v>1.15E-2</v>
      </c>
      <c r="I12789" s="160" t="s">
        <v>59</v>
      </c>
      <c r="J12789" s="160">
        <v>5.1999999999999995E-4</v>
      </c>
      <c r="K12789" s="160" t="s">
        <v>24</v>
      </c>
      <c r="L12789" s="154" t="str">
        <f>IF(OpenLCAbasic!K12789="CTUh", "Fill in Manually",IF(OR(K12789="Unit", K12789=""), "", INDEX(LookUps!$E$5:$E$12, MATCH(OpenLCAbasic!K12789,LookUps!$D$5:$D$12,0))))</f>
        <v>Acidification Potential (AP) - kg SO2 eq</v>
      </c>
      <c r="M12789" s="154" t="str">
        <f t="shared" si="1120"/>
        <v>Low_Base_Low_Upgraded_Acidification Potential (AP) - kg SO2 eq_Blend Tank; wastewater treatment unit; at updated plant - US_Without Amendment_Aerated Static Pile</v>
      </c>
    </row>
    <row r="12790" spans="1:13" s="120" customFormat="1" x14ac:dyDescent="0.25">
      <c r="A12790" s="119"/>
      <c r="B12790" s="138" t="str">
        <f t="shared" si="1122"/>
        <v>Aerated Static Pile</v>
      </c>
      <c r="C12790" s="138" t="str">
        <f t="shared" si="1123"/>
        <v>Without Amendment</v>
      </c>
      <c r="D12790" s="138" t="str">
        <f t="shared" si="1124"/>
        <v>Base_Low</v>
      </c>
      <c r="E12790" s="138" t="str">
        <f t="shared" si="1125"/>
        <v>Low</v>
      </c>
      <c r="F12790" s="138" t="str">
        <f t="shared" si="1126"/>
        <v>Upgraded</v>
      </c>
      <c r="G12790" s="153"/>
      <c r="H12790" s="210">
        <v>7.7000000000000002E-3</v>
      </c>
      <c r="I12790" s="160" t="s">
        <v>48</v>
      </c>
      <c r="J12790" s="160">
        <v>3.5E-4</v>
      </c>
      <c r="K12790" s="160" t="s">
        <v>24</v>
      </c>
      <c r="L12790" s="154" t="str">
        <f>IF(OpenLCAbasic!K12790="CTUh", "Fill in Manually",IF(OR(K12790="Unit", K12790=""), "", INDEX(LookUps!$E$5:$E$12, MATCH(OpenLCAbasic!K12790,LookUps!$D$5:$D$12,0))))</f>
        <v>Acidification Potential (AP) - kg SO2 eq</v>
      </c>
      <c r="M12790" s="154" t="str">
        <f t="shared" si="1120"/>
        <v>Low_Base_Low_Upgraded_Acidification Potential (AP) - kg SO2 eq_Effluent release; wastewater treatment unit; at surface water; m3 wastewater - US_Without Amendment_Aerated Static Pile</v>
      </c>
    </row>
    <row r="12791" spans="1:13" s="120" customFormat="1" x14ac:dyDescent="0.25">
      <c r="A12791" s="119"/>
      <c r="B12791" s="138" t="str">
        <f t="shared" si="1122"/>
        <v>Aerated Static Pile</v>
      </c>
      <c r="C12791" s="138" t="str">
        <f t="shared" si="1123"/>
        <v>Without Amendment</v>
      </c>
      <c r="D12791" s="138" t="str">
        <f t="shared" si="1124"/>
        <v>Base_Low</v>
      </c>
      <c r="E12791" s="138" t="str">
        <f t="shared" si="1125"/>
        <v>Low</v>
      </c>
      <c r="F12791" s="138" t="str">
        <f t="shared" si="1126"/>
        <v>Upgraded</v>
      </c>
      <c r="G12791" s="153"/>
      <c r="H12791" s="210">
        <v>5.7000000000000002E-3</v>
      </c>
      <c r="I12791" s="160" t="s">
        <v>168</v>
      </c>
      <c r="J12791" s="160">
        <v>2.5999999999999998E-4</v>
      </c>
      <c r="K12791" s="160" t="s">
        <v>24</v>
      </c>
      <c r="L12791" s="154" t="str">
        <f>IF(OpenLCAbasic!K12791="CTUh", "Fill in Manually",IF(OR(K12791="Unit", K12791=""), "", INDEX(LookUps!$E$5:$E$12, MATCH(OpenLCAbasic!K12791,LookUps!$D$5:$D$12,0))))</f>
        <v>Acidification Potential (AP) - kg SO2 eq</v>
      </c>
      <c r="M12791" s="154" t="str">
        <f t="shared" si="1120"/>
        <v>Low_Base_Low_Upgraded_Acidification Potential (AP) - kg SO2 eq_ClearCove SCP; wastewater treatment unit; at updated plant - US_Without Amendment_Aerated Static Pile</v>
      </c>
    </row>
    <row r="12792" spans="1:13" s="120" customFormat="1" x14ac:dyDescent="0.25">
      <c r="A12792" s="119"/>
      <c r="B12792" s="138" t="str">
        <f t="shared" si="1122"/>
        <v>Aerated Static Pile</v>
      </c>
      <c r="C12792" s="138" t="str">
        <f t="shared" si="1123"/>
        <v>Without Amendment</v>
      </c>
      <c r="D12792" s="138" t="str">
        <f t="shared" si="1124"/>
        <v>Base_Low</v>
      </c>
      <c r="E12792" s="138" t="str">
        <f t="shared" si="1125"/>
        <v>Low</v>
      </c>
      <c r="F12792" s="138" t="str">
        <f t="shared" si="1126"/>
        <v>Upgraded</v>
      </c>
      <c r="G12792" s="153"/>
      <c r="H12792" s="210">
        <v>8.9999999999999998E-4</v>
      </c>
      <c r="I12792" s="160" t="s">
        <v>148</v>
      </c>
      <c r="J12792" s="211">
        <v>4.0354700000000002E-5</v>
      </c>
      <c r="K12792" s="160" t="s">
        <v>24</v>
      </c>
      <c r="L12792" s="154" t="str">
        <f>IF(OpenLCAbasic!K12792="CTUh", "Fill in Manually",IF(OR(K12792="Unit", K12792=""), "", INDEX(LookUps!$E$5:$E$12, MATCH(OpenLCAbasic!K12792,LookUps!$D$5:$D$12,0))))</f>
        <v>Acidification Potential (AP) - kg SO2 eq</v>
      </c>
      <c r="M12792" s="154" t="str">
        <f t="shared" si="1120"/>
        <v>Low_Base_Low_Upgraded_Acidification Potential (AP) - kg SO2 eq_Control Building; at upgraded wastewater treatment plant - US_Without Amendment_Aerated Static Pile</v>
      </c>
    </row>
    <row r="12793" spans="1:13" s="120" customFormat="1" x14ac:dyDescent="0.25">
      <c r="A12793" s="119"/>
      <c r="B12793" s="138" t="str">
        <f t="shared" si="1122"/>
        <v/>
      </c>
      <c r="C12793" s="138" t="str">
        <f t="shared" si="1123"/>
        <v/>
      </c>
      <c r="D12793" s="138" t="str">
        <f t="shared" si="1124"/>
        <v/>
      </c>
      <c r="E12793" s="138" t="str">
        <f t="shared" si="1125"/>
        <v/>
      </c>
      <c r="F12793" s="138" t="str">
        <f t="shared" si="1126"/>
        <v/>
      </c>
      <c r="G12793" s="153" t="s">
        <v>51</v>
      </c>
      <c r="H12793" s="160"/>
      <c r="I12793" s="160" t="s">
        <v>47</v>
      </c>
      <c r="J12793" s="160" t="s">
        <v>52</v>
      </c>
      <c r="K12793" s="160" t="s">
        <v>27</v>
      </c>
      <c r="L12793" s="154" t="str">
        <f>IF(OpenLCAbasic!K12793="CTUh", "Fill in Manually",IF(OR(K12793="Unit", K12793=""), "", INDEX(LookUps!$E$5:$E$12, MATCH(OpenLCAbasic!K12793,LookUps!$D$5:$D$12,0))))</f>
        <v/>
      </c>
      <c r="M12793" s="154" t="str">
        <f t="shared" si="1120"/>
        <v>____Process__</v>
      </c>
    </row>
    <row r="12794" spans="1:13" s="120" customFormat="1" x14ac:dyDescent="0.25">
      <c r="A12794" s="119"/>
      <c r="B12794" s="138" t="str">
        <f t="shared" si="1122"/>
        <v>Aerated Static Pile</v>
      </c>
      <c r="C12794" s="138" t="str">
        <f t="shared" si="1123"/>
        <v>Without Amendment</v>
      </c>
      <c r="D12794" s="138" t="str">
        <f t="shared" si="1124"/>
        <v>Base_Low</v>
      </c>
      <c r="E12794" s="138" t="str">
        <f t="shared" si="1125"/>
        <v>Low</v>
      </c>
      <c r="F12794" s="138" t="str">
        <f t="shared" si="1126"/>
        <v>Upgraded</v>
      </c>
      <c r="G12794" s="153"/>
      <c r="H12794" s="210">
        <v>0.2389</v>
      </c>
      <c r="I12794" s="160" t="s">
        <v>55</v>
      </c>
      <c r="J12794" s="160">
        <v>3.5330499999999998</v>
      </c>
      <c r="K12794" s="160" t="s">
        <v>15</v>
      </c>
      <c r="L12794" s="154" t="str">
        <f>IF(OpenLCAbasic!K12794="CTUh", "Fill in Manually",IF(OR(K12794="Unit", K12794=""), "", INDEX(LookUps!$E$5:$E$12, MATCH(OpenLCAbasic!K12794,LookUps!$D$5:$D$12,0))))</f>
        <v>Cumulative Energy Demand (CED) - MJ</v>
      </c>
      <c r="M12794" s="154" t="str">
        <f t="shared" si="1120"/>
        <v>Low_Base_Low_Upgraded_Cumulative Energy Demand (CED) - MJ_Aeration Tanks; wastewater treatment unit; at updated plant - US_Without Amendment_Aerated Static Pile</v>
      </c>
    </row>
    <row r="12795" spans="1:13" s="120" customFormat="1" x14ac:dyDescent="0.25">
      <c r="A12795" s="119"/>
      <c r="B12795" s="138" t="str">
        <f t="shared" si="1122"/>
        <v>Aerated Static Pile</v>
      </c>
      <c r="C12795" s="138" t="str">
        <f t="shared" si="1123"/>
        <v>Without Amendment</v>
      </c>
      <c r="D12795" s="138" t="str">
        <f t="shared" si="1124"/>
        <v>Base_Low</v>
      </c>
      <c r="E12795" s="138" t="str">
        <f t="shared" si="1125"/>
        <v>Low</v>
      </c>
      <c r="F12795" s="138" t="str">
        <f t="shared" si="1126"/>
        <v>Upgraded</v>
      </c>
      <c r="G12795" s="153"/>
      <c r="H12795" s="210">
        <v>0.2366</v>
      </c>
      <c r="I12795" s="160" t="s">
        <v>167</v>
      </c>
      <c r="J12795" s="160">
        <v>3.4982700000000002</v>
      </c>
      <c r="K12795" s="160" t="s">
        <v>15</v>
      </c>
      <c r="L12795" s="154" t="str">
        <f>IF(OpenLCAbasic!K12795="CTUh", "Fill in Manually",IF(OR(K12795="Unit", K12795=""), "", INDEX(LookUps!$E$5:$E$12, MATCH(OpenLCAbasic!K12795,LookUps!$D$5:$D$12,0))))</f>
        <v>Cumulative Energy Demand (CED) - MJ</v>
      </c>
      <c r="M12795" s="154" t="str">
        <f t="shared" si="1120"/>
        <v>Low_Base_Low_Upgraded_Cumulative Energy Demand (CED) - MJ_Waste Receiving and Holding; wastewater treatment unit; at updated plant - US_Without Amendment_Aerated Static Pile</v>
      </c>
    </row>
    <row r="12796" spans="1:13" s="120" customFormat="1" x14ac:dyDescent="0.25">
      <c r="A12796" s="119"/>
      <c r="B12796" s="138" t="str">
        <f t="shared" si="1122"/>
        <v>Aerated Static Pile</v>
      </c>
      <c r="C12796" s="138" t="str">
        <f t="shared" si="1123"/>
        <v>Without Amendment</v>
      </c>
      <c r="D12796" s="138" t="str">
        <f t="shared" si="1124"/>
        <v>Base_Low</v>
      </c>
      <c r="E12796" s="138" t="str">
        <f t="shared" si="1125"/>
        <v>Low</v>
      </c>
      <c r="F12796" s="138" t="str">
        <f t="shared" si="1126"/>
        <v>Upgraded</v>
      </c>
      <c r="G12796" s="153"/>
      <c r="H12796" s="210">
        <v>0.18479999999999999</v>
      </c>
      <c r="I12796" s="160" t="s">
        <v>149</v>
      </c>
      <c r="J12796" s="160">
        <v>2.7332200000000002</v>
      </c>
      <c r="K12796" s="160" t="s">
        <v>15</v>
      </c>
      <c r="L12796" s="154" t="str">
        <f>IF(OpenLCAbasic!K12796="CTUh", "Fill in Manually",IF(OR(K12796="Unit", K12796=""), "", INDEX(LookUps!$E$5:$E$12, MATCH(OpenLCAbasic!K12796,LookUps!$D$5:$D$12,0))))</f>
        <v>Cumulative Energy Demand (CED) - MJ</v>
      </c>
      <c r="M12796" s="154" t="str">
        <f t="shared" si="1120"/>
        <v>Low_Base_Low_Upgraded_Cumulative Energy Demand (CED) - MJ_Anaerobic Digestion; wastewater treatment unit; at updated plant - US_Without Amendment_Aerated Static Pile</v>
      </c>
    </row>
    <row r="12797" spans="1:13" s="120" customFormat="1" x14ac:dyDescent="0.25">
      <c r="A12797" s="119"/>
      <c r="B12797" s="138" t="str">
        <f t="shared" si="1122"/>
        <v>Aerated Static Pile</v>
      </c>
      <c r="C12797" s="138" t="str">
        <f t="shared" si="1123"/>
        <v>Without Amendment</v>
      </c>
      <c r="D12797" s="138" t="str">
        <f t="shared" si="1124"/>
        <v>Base_Low</v>
      </c>
      <c r="E12797" s="138" t="str">
        <f t="shared" si="1125"/>
        <v>Low</v>
      </c>
      <c r="F12797" s="138" t="str">
        <f t="shared" si="1126"/>
        <v>Upgraded</v>
      </c>
      <c r="G12797" s="153"/>
      <c r="H12797" s="210">
        <v>7.8600000000000003E-2</v>
      </c>
      <c r="I12797" s="160" t="s">
        <v>54</v>
      </c>
      <c r="J12797" s="160">
        <v>1.16289</v>
      </c>
      <c r="K12797" s="160" t="s">
        <v>15</v>
      </c>
      <c r="L12797" s="154" t="str">
        <f>IF(OpenLCAbasic!K12797="CTUh", "Fill in Manually",IF(OR(K12797="Unit", K12797=""), "", INDEX(LookUps!$E$5:$E$12, MATCH(OpenLCAbasic!K12797,LookUps!$D$5:$D$12,0))))</f>
        <v>Cumulative Energy Demand (CED) - MJ</v>
      </c>
      <c r="M12797" s="154" t="str">
        <f t="shared" si="1120"/>
        <v>Low_Base_Low_Upgraded_Cumulative Energy Demand (CED) - MJ_Clear Cove Primary Clarification; wastewater treatment unit; at updated plant - US_Without Amendment_Aerated Static Pile</v>
      </c>
    </row>
    <row r="12798" spans="1:13" s="120" customFormat="1" x14ac:dyDescent="0.25">
      <c r="A12798" s="119"/>
      <c r="B12798" s="138" t="str">
        <f t="shared" si="1122"/>
        <v>Aerated Static Pile</v>
      </c>
      <c r="C12798" s="138" t="str">
        <f t="shared" si="1123"/>
        <v>Without Amendment</v>
      </c>
      <c r="D12798" s="138" t="str">
        <f t="shared" si="1124"/>
        <v>Base_Low</v>
      </c>
      <c r="E12798" s="138" t="str">
        <f t="shared" si="1125"/>
        <v>Low</v>
      </c>
      <c r="F12798" s="138" t="str">
        <f t="shared" si="1126"/>
        <v>Upgraded</v>
      </c>
      <c r="G12798" s="153"/>
      <c r="H12798" s="210">
        <v>5.9799999999999999E-2</v>
      </c>
      <c r="I12798" s="160" t="s">
        <v>58</v>
      </c>
      <c r="J12798" s="160">
        <v>0.88417000000000001</v>
      </c>
      <c r="K12798" s="160" t="s">
        <v>15</v>
      </c>
      <c r="L12798" s="154" t="str">
        <f>IF(OpenLCAbasic!K12798="CTUh", "Fill in Manually",IF(OR(K12798="Unit", K12798=""), "", INDEX(LookUps!$E$5:$E$12, MATCH(OpenLCAbasic!K12798,LookUps!$D$5:$D$12,0))))</f>
        <v>Cumulative Energy Demand (CED) - MJ</v>
      </c>
      <c r="M12798" s="154" t="str">
        <f t="shared" si="1120"/>
        <v>Low_Base_Low_Upgraded_Cumulative Energy Demand (CED) - MJ_Pre-Anoxic &amp; Swing tank; wastewater treatment unit; at updated plant - US_Without Amendment_Aerated Static Pile</v>
      </c>
    </row>
    <row r="12799" spans="1:13" s="120" customFormat="1" x14ac:dyDescent="0.25">
      <c r="A12799" s="119"/>
      <c r="B12799" s="138" t="str">
        <f t="shared" si="1122"/>
        <v>Aerated Static Pile</v>
      </c>
      <c r="C12799" s="138" t="str">
        <f t="shared" si="1123"/>
        <v>Without Amendment</v>
      </c>
      <c r="D12799" s="138" t="str">
        <f t="shared" si="1124"/>
        <v>Base_Low</v>
      </c>
      <c r="E12799" s="138" t="str">
        <f t="shared" si="1125"/>
        <v>Low</v>
      </c>
      <c r="F12799" s="138" t="str">
        <f t="shared" si="1126"/>
        <v>Upgraded</v>
      </c>
      <c r="G12799" s="153"/>
      <c r="H12799" s="210">
        <v>5.9700000000000003E-2</v>
      </c>
      <c r="I12799" s="160" t="s">
        <v>147</v>
      </c>
      <c r="J12799" s="160">
        <v>0.88297000000000003</v>
      </c>
      <c r="K12799" s="160" t="s">
        <v>15</v>
      </c>
      <c r="L12799" s="154" t="str">
        <f>IF(OpenLCAbasic!K12799="CTUh", "Fill in Manually",IF(OR(K12799="Unit", K12799=""), "", INDEX(LookUps!$E$5:$E$12, MATCH(OpenLCAbasic!K12799,LookUps!$D$5:$D$12,0))))</f>
        <v>Cumulative Energy Demand (CED) - MJ</v>
      </c>
      <c r="M12799" s="154" t="str">
        <f t="shared" si="1120"/>
        <v>Low_Base_Low_Upgraded_Cumulative Energy Demand (CED) - MJ_Influent Pump Station; wastewater treatment unit; at updated plant - US_Without Amendment_Aerated Static Pile</v>
      </c>
    </row>
    <row r="12800" spans="1:13" s="120" customFormat="1" x14ac:dyDescent="0.25">
      <c r="A12800" s="119"/>
      <c r="B12800" s="138" t="str">
        <f t="shared" si="1122"/>
        <v>Aerated Static Pile</v>
      </c>
      <c r="C12800" s="138" t="str">
        <f t="shared" si="1123"/>
        <v>Without Amendment</v>
      </c>
      <c r="D12800" s="138" t="str">
        <f t="shared" si="1124"/>
        <v>Base_Low</v>
      </c>
      <c r="E12800" s="138" t="str">
        <f t="shared" si="1125"/>
        <v>Low</v>
      </c>
      <c r="F12800" s="138" t="str">
        <f t="shared" si="1126"/>
        <v>Upgraded</v>
      </c>
      <c r="G12800" s="153"/>
      <c r="H12800" s="210">
        <v>4.7100000000000003E-2</v>
      </c>
      <c r="I12800" s="160" t="s">
        <v>53</v>
      </c>
      <c r="J12800" s="160">
        <v>0.69645000000000001</v>
      </c>
      <c r="K12800" s="160" t="s">
        <v>15</v>
      </c>
      <c r="L12800" s="154" t="str">
        <f>IF(OpenLCAbasic!K12800="CTUh", "Fill in Manually",IF(OR(K12800="Unit", K12800=""), "", INDEX(LookUps!$E$5:$E$12, MATCH(OpenLCAbasic!K12800,LookUps!$D$5:$D$12,0))))</f>
        <v>Cumulative Energy Demand (CED) - MJ</v>
      </c>
      <c r="M12800" s="154" t="str">
        <f t="shared" si="1120"/>
        <v>Low_Base_Low_Upgraded_Cumulative Energy Demand (CED) - MJ_Wet Well and Sump Station; wastewater treatment unit; at updated plant - US_Without Amendment_Aerated Static Pile</v>
      </c>
    </row>
    <row r="12801" spans="1:13" s="120" customFormat="1" x14ac:dyDescent="0.25">
      <c r="A12801" s="119"/>
      <c r="B12801" s="138" t="str">
        <f t="shared" si="1122"/>
        <v>Aerated Static Pile</v>
      </c>
      <c r="C12801" s="138" t="str">
        <f t="shared" si="1123"/>
        <v>Without Amendment</v>
      </c>
      <c r="D12801" s="138" t="str">
        <f t="shared" si="1124"/>
        <v>Base_Low</v>
      </c>
      <c r="E12801" s="138" t="str">
        <f t="shared" si="1125"/>
        <v>Low</v>
      </c>
      <c r="F12801" s="138" t="str">
        <f t="shared" si="1126"/>
        <v>Upgraded</v>
      </c>
      <c r="G12801" s="153"/>
      <c r="H12801" s="210">
        <v>2.6100000000000002E-2</v>
      </c>
      <c r="I12801" s="160" t="s">
        <v>435</v>
      </c>
      <c r="J12801" s="160">
        <v>0.38619999999999999</v>
      </c>
      <c r="K12801" s="160" t="s">
        <v>15</v>
      </c>
      <c r="L12801" s="154" t="str">
        <f>IF(OpenLCAbasic!K12801="CTUh", "Fill in Manually",IF(OR(K12801="Unit", K12801=""), "", INDEX(LookUps!$E$5:$E$12, MATCH(OpenLCAbasic!K12801,LookUps!$D$5:$D$12,0))))</f>
        <v>Cumulative Energy Demand (CED) - MJ</v>
      </c>
      <c r="M12801" s="154" t="str">
        <f t="shared" si="1120"/>
        <v>Low_Base_Low_Upgraded_Cumulative Energy Demand (CED) - MJ_Biosolids composting; aerated static pile; wastewater treatment unit; at updated plant - US_Without Amendment_Aerated Static Pile</v>
      </c>
    </row>
    <row r="12802" spans="1:13" s="120" customFormat="1" x14ac:dyDescent="0.25">
      <c r="A12802" s="119"/>
      <c r="B12802" s="138" t="str">
        <f t="shared" si="1122"/>
        <v>Aerated Static Pile</v>
      </c>
      <c r="C12802" s="138" t="str">
        <f t="shared" si="1123"/>
        <v>Without Amendment</v>
      </c>
      <c r="D12802" s="138" t="str">
        <f t="shared" si="1124"/>
        <v>Base_Low</v>
      </c>
      <c r="E12802" s="138" t="str">
        <f t="shared" si="1125"/>
        <v>Low</v>
      </c>
      <c r="F12802" s="138" t="str">
        <f t="shared" si="1126"/>
        <v>Upgraded</v>
      </c>
      <c r="G12802" s="153"/>
      <c r="H12802" s="210">
        <v>2.2599999999999999E-2</v>
      </c>
      <c r="I12802" s="160" t="s">
        <v>57</v>
      </c>
      <c r="J12802" s="160">
        <v>0.33404</v>
      </c>
      <c r="K12802" s="160" t="s">
        <v>15</v>
      </c>
      <c r="L12802" s="154" t="str">
        <f>IF(OpenLCAbasic!K12802="CTUh", "Fill in Manually",IF(OR(K12802="Unit", K12802=""), "", INDEX(LookUps!$E$5:$E$12, MATCH(OpenLCAbasic!K12802,LookUps!$D$5:$D$12,0))))</f>
        <v>Cumulative Energy Demand (CED) - MJ</v>
      </c>
      <c r="M12802" s="154" t="str">
        <f t="shared" si="1120"/>
        <v>Low_Base_Low_Upgraded_Cumulative Energy Demand (CED) - MJ_Gravity Belt Thickener; wastewater treatment unit; at updated plant - US_Without Amendment_Aerated Static Pile</v>
      </c>
    </row>
    <row r="12803" spans="1:13" s="120" customFormat="1" x14ac:dyDescent="0.25">
      <c r="A12803" s="119"/>
      <c r="B12803" s="138" t="str">
        <f t="shared" si="1122"/>
        <v>Aerated Static Pile</v>
      </c>
      <c r="C12803" s="138" t="str">
        <f t="shared" si="1123"/>
        <v>Without Amendment</v>
      </c>
      <c r="D12803" s="138" t="str">
        <f t="shared" si="1124"/>
        <v>Base_Low</v>
      </c>
      <c r="E12803" s="138" t="str">
        <f t="shared" si="1125"/>
        <v>Low</v>
      </c>
      <c r="F12803" s="138" t="str">
        <f t="shared" si="1126"/>
        <v>Upgraded</v>
      </c>
      <c r="G12803" s="153"/>
      <c r="H12803" s="210">
        <v>2.1600000000000001E-2</v>
      </c>
      <c r="I12803" s="160" t="s">
        <v>60</v>
      </c>
      <c r="J12803" s="160">
        <v>0.32008999999999999</v>
      </c>
      <c r="K12803" s="160" t="s">
        <v>15</v>
      </c>
      <c r="L12803" s="154" t="str">
        <f>IF(OpenLCAbasic!K12803="CTUh", "Fill in Manually",IF(OR(K12803="Unit", K12803=""), "", INDEX(LookUps!$E$5:$E$12, MATCH(OpenLCAbasic!K12803,LookUps!$D$5:$D$12,0))))</f>
        <v>Cumulative Energy Demand (CED) - MJ</v>
      </c>
      <c r="M12803" s="154" t="str">
        <f t="shared" si="1120"/>
        <v>Low_Base_Low_Upgraded_Cumulative Energy Demand (CED) - MJ_Belt filter press; wastewater treatment unit; at updated plant - US_Without Amendment_Aerated Static Pile</v>
      </c>
    </row>
    <row r="12804" spans="1:13" s="120" customFormat="1" x14ac:dyDescent="0.25">
      <c r="A12804" s="119"/>
      <c r="B12804" s="138" t="str">
        <f t="shared" si="1122"/>
        <v>Aerated Static Pile</v>
      </c>
      <c r="C12804" s="138" t="str">
        <f t="shared" si="1123"/>
        <v>Without Amendment</v>
      </c>
      <c r="D12804" s="138" t="str">
        <f t="shared" si="1124"/>
        <v>Base_Low</v>
      </c>
      <c r="E12804" s="138" t="str">
        <f t="shared" si="1125"/>
        <v>Low</v>
      </c>
      <c r="F12804" s="138" t="str">
        <f t="shared" si="1126"/>
        <v>Upgraded</v>
      </c>
      <c r="G12804" s="153"/>
      <c r="H12804" s="210">
        <v>1.7299999999999999E-2</v>
      </c>
      <c r="I12804" s="160" t="s">
        <v>128</v>
      </c>
      <c r="J12804" s="160">
        <v>0.25606000000000001</v>
      </c>
      <c r="K12804" s="160" t="s">
        <v>15</v>
      </c>
      <c r="L12804" s="154" t="str">
        <f>IF(OpenLCAbasic!K12804="CTUh", "Fill in Manually",IF(OR(K12804="Unit", K12804=""), "", INDEX(LookUps!$E$5:$E$12, MATCH(OpenLCAbasic!K12804,LookUps!$D$5:$D$12,0))))</f>
        <v>Cumulative Energy Demand (CED) - MJ</v>
      </c>
      <c r="M12804" s="154" t="str">
        <f t="shared" ref="M12804:M12867" si="1127">CONCATENATE(E12804,"_",D12804,"_",F12804,"_",L12804, "_",I12804,"_", C12804,"_", B12804)</f>
        <v>Low_Base_Low_Upgraded_Cumulative Energy Demand (CED) - MJ_Wastewater collection; operation and infrastructure; m3 wastewater_Without Amendment_Aerated Static Pile</v>
      </c>
    </row>
    <row r="12805" spans="1:13" s="120" customFormat="1" x14ac:dyDescent="0.25">
      <c r="A12805" s="119"/>
      <c r="B12805" s="138" t="str">
        <f t="shared" si="1122"/>
        <v>Aerated Static Pile</v>
      </c>
      <c r="C12805" s="138" t="str">
        <f t="shared" si="1123"/>
        <v>Without Amendment</v>
      </c>
      <c r="D12805" s="138" t="str">
        <f t="shared" si="1124"/>
        <v>Base_Low</v>
      </c>
      <c r="E12805" s="138" t="str">
        <f t="shared" si="1125"/>
        <v>Low</v>
      </c>
      <c r="F12805" s="138" t="str">
        <f t="shared" si="1126"/>
        <v>Upgraded</v>
      </c>
      <c r="G12805" s="153"/>
      <c r="H12805" s="210">
        <v>9.9000000000000008E-3</v>
      </c>
      <c r="I12805" s="160" t="s">
        <v>148</v>
      </c>
      <c r="J12805" s="160">
        <v>0.14599000000000001</v>
      </c>
      <c r="K12805" s="160" t="s">
        <v>15</v>
      </c>
      <c r="L12805" s="154" t="str">
        <f>IF(OpenLCAbasic!K12805="CTUh", "Fill in Manually",IF(OR(K12805="Unit", K12805=""), "", INDEX(LookUps!$E$5:$E$12, MATCH(OpenLCAbasic!K12805,LookUps!$D$5:$D$12,0))))</f>
        <v>Cumulative Energy Demand (CED) - MJ</v>
      </c>
      <c r="M12805" s="154" t="str">
        <f t="shared" si="1127"/>
        <v>Low_Base_Low_Upgraded_Cumulative Energy Demand (CED) - MJ_Control Building; at upgraded wastewater treatment plant - US_Without Amendment_Aerated Static Pile</v>
      </c>
    </row>
    <row r="12806" spans="1:13" s="120" customFormat="1" x14ac:dyDescent="0.25">
      <c r="A12806" s="119"/>
      <c r="B12806" s="138" t="str">
        <f t="shared" si="1122"/>
        <v>Aerated Static Pile</v>
      </c>
      <c r="C12806" s="138" t="str">
        <f t="shared" si="1123"/>
        <v>Without Amendment</v>
      </c>
      <c r="D12806" s="138" t="str">
        <f t="shared" si="1124"/>
        <v>Base_Low</v>
      </c>
      <c r="E12806" s="138" t="str">
        <f t="shared" si="1125"/>
        <v>Low</v>
      </c>
      <c r="F12806" s="138" t="str">
        <f t="shared" si="1126"/>
        <v>Upgraded</v>
      </c>
      <c r="G12806" s="153"/>
      <c r="H12806" s="210">
        <v>8.9999999999999993E-3</v>
      </c>
      <c r="I12806" s="160" t="s">
        <v>48</v>
      </c>
      <c r="J12806" s="160">
        <v>0.13321</v>
      </c>
      <c r="K12806" s="160" t="s">
        <v>15</v>
      </c>
      <c r="L12806" s="154" t="str">
        <f>IF(OpenLCAbasic!K12806="CTUh", "Fill in Manually",IF(OR(K12806="Unit", K12806=""), "", INDEX(LookUps!$E$5:$E$12, MATCH(OpenLCAbasic!K12806,LookUps!$D$5:$D$12,0))))</f>
        <v>Cumulative Energy Demand (CED) - MJ</v>
      </c>
      <c r="M12806" s="154" t="str">
        <f t="shared" si="1127"/>
        <v>Low_Base_Low_Upgraded_Cumulative Energy Demand (CED) - MJ_Effluent release; wastewater treatment unit; at surface water; m3 wastewater - US_Without Amendment_Aerated Static Pile</v>
      </c>
    </row>
    <row r="12807" spans="1:13" s="120" customFormat="1" x14ac:dyDescent="0.25">
      <c r="A12807" s="119"/>
      <c r="B12807" s="138" t="str">
        <f t="shared" si="1122"/>
        <v>Aerated Static Pile</v>
      </c>
      <c r="C12807" s="138" t="str">
        <f t="shared" si="1123"/>
        <v>Without Amendment</v>
      </c>
      <c r="D12807" s="138" t="str">
        <f t="shared" si="1124"/>
        <v>Base_Low</v>
      </c>
      <c r="E12807" s="138" t="str">
        <f t="shared" si="1125"/>
        <v>Low</v>
      </c>
      <c r="F12807" s="138" t="str">
        <f t="shared" si="1126"/>
        <v>Upgraded</v>
      </c>
      <c r="G12807" s="153"/>
      <c r="H12807" s="210">
        <v>7.1999999999999998E-3</v>
      </c>
      <c r="I12807" s="160" t="s">
        <v>59</v>
      </c>
      <c r="J12807" s="160">
        <v>0.10638</v>
      </c>
      <c r="K12807" s="160" t="s">
        <v>15</v>
      </c>
      <c r="L12807" s="154" t="str">
        <f>IF(OpenLCAbasic!K12807="CTUh", "Fill in Manually",IF(OR(K12807="Unit", K12807=""), "", INDEX(LookUps!$E$5:$E$12, MATCH(OpenLCAbasic!K12807,LookUps!$D$5:$D$12,0))))</f>
        <v>Cumulative Energy Demand (CED) - MJ</v>
      </c>
      <c r="M12807" s="154" t="str">
        <f t="shared" si="1127"/>
        <v>Low_Base_Low_Upgraded_Cumulative Energy Demand (CED) - MJ_Blend Tank; wastewater treatment unit; at updated plant - US_Without Amendment_Aerated Static Pile</v>
      </c>
    </row>
    <row r="12808" spans="1:13" s="120" customFormat="1" x14ac:dyDescent="0.25">
      <c r="A12808" s="119"/>
      <c r="B12808" s="138" t="str">
        <f t="shared" si="1122"/>
        <v>Aerated Static Pile</v>
      </c>
      <c r="C12808" s="138" t="str">
        <f t="shared" si="1123"/>
        <v>Without Amendment</v>
      </c>
      <c r="D12808" s="138" t="str">
        <f t="shared" si="1124"/>
        <v>Base_Low</v>
      </c>
      <c r="E12808" s="138" t="str">
        <f t="shared" si="1125"/>
        <v>Low</v>
      </c>
      <c r="F12808" s="138" t="str">
        <f t="shared" si="1126"/>
        <v>Upgraded</v>
      </c>
      <c r="G12808" s="153"/>
      <c r="H12808" s="210">
        <v>3.3999999999999998E-3</v>
      </c>
      <c r="I12808" s="160" t="s">
        <v>168</v>
      </c>
      <c r="J12808" s="160">
        <v>5.0930000000000003E-2</v>
      </c>
      <c r="K12808" s="160" t="s">
        <v>15</v>
      </c>
      <c r="L12808" s="154" t="str">
        <f>IF(OpenLCAbasic!K12808="CTUh", "Fill in Manually",IF(OR(K12808="Unit", K12808=""), "", INDEX(LookUps!$E$5:$E$12, MATCH(OpenLCAbasic!K12808,LookUps!$D$5:$D$12,0))))</f>
        <v>Cumulative Energy Demand (CED) - MJ</v>
      </c>
      <c r="M12808" s="154" t="str">
        <f t="shared" si="1127"/>
        <v>Low_Base_Low_Upgraded_Cumulative Energy Demand (CED) - MJ_ClearCove SCP; wastewater treatment unit; at updated plant - US_Without Amendment_Aerated Static Pile</v>
      </c>
    </row>
    <row r="12809" spans="1:13" s="120" customFormat="1" x14ac:dyDescent="0.25">
      <c r="A12809" s="119"/>
      <c r="B12809" s="138" t="str">
        <f t="shared" si="1122"/>
        <v>Aerated Static Pile</v>
      </c>
      <c r="C12809" s="138" t="str">
        <f t="shared" si="1123"/>
        <v>Without Amendment</v>
      </c>
      <c r="D12809" s="138" t="str">
        <f t="shared" si="1124"/>
        <v>Base_Low</v>
      </c>
      <c r="E12809" s="138" t="str">
        <f t="shared" si="1125"/>
        <v>Low</v>
      </c>
      <c r="F12809" s="138" t="str">
        <f t="shared" si="1126"/>
        <v>Upgraded</v>
      </c>
      <c r="G12809" s="153"/>
      <c r="H12809" s="210">
        <v>-2.2700000000000001E-2</v>
      </c>
      <c r="I12809" s="160" t="s">
        <v>62</v>
      </c>
      <c r="J12809" s="160">
        <v>-0.33546999999999999</v>
      </c>
      <c r="K12809" s="160" t="s">
        <v>15</v>
      </c>
      <c r="L12809" s="154" t="str">
        <f>IF(OpenLCAbasic!K12809="CTUh", "Fill in Manually",IF(OR(K12809="Unit", K12809=""), "", INDEX(LookUps!$E$5:$E$12, MATCH(OpenLCAbasic!K12809,LookUps!$D$5:$D$12,0))))</f>
        <v>Cumulative Energy Demand (CED) - MJ</v>
      </c>
      <c r="M12809" s="154" t="str">
        <f t="shared" si="1127"/>
        <v>Low_Base_Low_Upgraded_Cumulative Energy Demand (CED) - MJ_Land application of compost; wastewater treatment unit; at updated plant - US_Without Amendment_Aerated Static Pile</v>
      </c>
    </row>
    <row r="12810" spans="1:13" s="120" customFormat="1" x14ac:dyDescent="0.25">
      <c r="A12810" s="119"/>
      <c r="B12810" s="138" t="str">
        <f t="shared" si="1122"/>
        <v/>
      </c>
      <c r="C12810" s="138" t="str">
        <f t="shared" si="1123"/>
        <v/>
      </c>
      <c r="D12810" s="138" t="str">
        <f t="shared" si="1124"/>
        <v/>
      </c>
      <c r="E12810" s="138" t="str">
        <f t="shared" si="1125"/>
        <v/>
      </c>
      <c r="F12810" s="138" t="str">
        <f t="shared" si="1126"/>
        <v/>
      </c>
      <c r="G12810" s="153" t="s">
        <v>51</v>
      </c>
      <c r="H12810" s="160"/>
      <c r="I12810" s="160" t="s">
        <v>47</v>
      </c>
      <c r="J12810" s="160" t="s">
        <v>52</v>
      </c>
      <c r="K12810" s="160" t="s">
        <v>27</v>
      </c>
      <c r="L12810" s="154" t="str">
        <f>IF(OpenLCAbasic!K12810="CTUh", "Fill in Manually",IF(OR(K12810="Unit", K12810=""), "", INDEX(LookUps!$E$5:$E$12, MATCH(OpenLCAbasic!K12810,LookUps!$D$5:$D$12,0))))</f>
        <v/>
      </c>
      <c r="M12810" s="154" t="str">
        <f t="shared" si="1127"/>
        <v>____Process__</v>
      </c>
    </row>
    <row r="12811" spans="1:13" s="120" customFormat="1" x14ac:dyDescent="0.25">
      <c r="A12811" s="119"/>
      <c r="B12811" s="138" t="str">
        <f t="shared" si="1122"/>
        <v>Aerated Static Pile</v>
      </c>
      <c r="C12811" s="138" t="str">
        <f t="shared" si="1123"/>
        <v>Without Amendment</v>
      </c>
      <c r="D12811" s="138" t="str">
        <f t="shared" si="1124"/>
        <v>Base_Low</v>
      </c>
      <c r="E12811" s="138" t="str">
        <f t="shared" si="1125"/>
        <v>Low</v>
      </c>
      <c r="F12811" s="138" t="str">
        <f t="shared" si="1126"/>
        <v>Upgraded</v>
      </c>
      <c r="G12811" s="153"/>
      <c r="H12811" s="210">
        <v>0.78110000000000002</v>
      </c>
      <c r="I12811" s="160" t="s">
        <v>48</v>
      </c>
      <c r="J12811" s="160">
        <v>1.1610000000000001E-2</v>
      </c>
      <c r="K12811" s="160" t="s">
        <v>13</v>
      </c>
      <c r="L12811" s="154" t="str">
        <f>IF(OpenLCAbasic!K12811="CTUh", "Fill in Manually",IF(OR(K12811="Unit", K12811=""), "", INDEX(LookUps!$E$5:$E$12, MATCH(OpenLCAbasic!K12811,LookUps!$D$5:$D$12,0))))</f>
        <v>Eutrophication Potential (EP) - kg N eq</v>
      </c>
      <c r="M12811" s="154" t="str">
        <f t="shared" si="1127"/>
        <v>Low_Base_Low_Upgraded_Eutrophication Potential (EP) - kg N eq_Effluent release; wastewater treatment unit; at surface water; m3 wastewater - US_Without Amendment_Aerated Static Pile</v>
      </c>
    </row>
    <row r="12812" spans="1:13" s="120" customFormat="1" x14ac:dyDescent="0.25">
      <c r="A12812" s="119"/>
      <c r="B12812" s="138" t="str">
        <f t="shared" si="1122"/>
        <v>Aerated Static Pile</v>
      </c>
      <c r="C12812" s="138" t="str">
        <f t="shared" si="1123"/>
        <v>Without Amendment</v>
      </c>
      <c r="D12812" s="138" t="str">
        <f t="shared" si="1124"/>
        <v>Base_Low</v>
      </c>
      <c r="E12812" s="138" t="str">
        <f t="shared" si="1125"/>
        <v>Low</v>
      </c>
      <c r="F12812" s="138" t="str">
        <f t="shared" si="1126"/>
        <v>Upgraded</v>
      </c>
      <c r="G12812" s="153"/>
      <c r="H12812" s="210">
        <v>0.10009999999999999</v>
      </c>
      <c r="I12812" s="160" t="s">
        <v>62</v>
      </c>
      <c r="J12812" s="160">
        <v>1.49E-3</v>
      </c>
      <c r="K12812" s="160" t="s">
        <v>13</v>
      </c>
      <c r="L12812" s="154" t="str">
        <f>IF(OpenLCAbasic!K12812="CTUh", "Fill in Manually",IF(OR(K12812="Unit", K12812=""), "", INDEX(LookUps!$E$5:$E$12, MATCH(OpenLCAbasic!K12812,LookUps!$D$5:$D$12,0))))</f>
        <v>Eutrophication Potential (EP) - kg N eq</v>
      </c>
      <c r="M12812" s="154" t="str">
        <f t="shared" si="1127"/>
        <v>Low_Base_Low_Upgraded_Eutrophication Potential (EP) - kg N eq_Land application of compost; wastewater treatment unit; at updated plant - US_Without Amendment_Aerated Static Pile</v>
      </c>
    </row>
    <row r="12813" spans="1:13" s="120" customFormat="1" x14ac:dyDescent="0.25">
      <c r="A12813" s="119"/>
      <c r="B12813" s="138" t="str">
        <f t="shared" si="1122"/>
        <v>Aerated Static Pile</v>
      </c>
      <c r="C12813" s="138" t="str">
        <f t="shared" si="1123"/>
        <v>Without Amendment</v>
      </c>
      <c r="D12813" s="138" t="str">
        <f t="shared" si="1124"/>
        <v>Base_Low</v>
      </c>
      <c r="E12813" s="138" t="str">
        <f t="shared" si="1125"/>
        <v>Low</v>
      </c>
      <c r="F12813" s="138" t="str">
        <f t="shared" si="1126"/>
        <v>Upgraded</v>
      </c>
      <c r="G12813" s="153"/>
      <c r="H12813" s="210">
        <v>3.6799999999999999E-2</v>
      </c>
      <c r="I12813" s="160" t="s">
        <v>55</v>
      </c>
      <c r="J12813" s="160">
        <v>5.5000000000000003E-4</v>
      </c>
      <c r="K12813" s="160" t="s">
        <v>13</v>
      </c>
      <c r="L12813" s="154" t="str">
        <f>IF(OpenLCAbasic!K12813="CTUh", "Fill in Manually",IF(OR(K12813="Unit", K12813=""), "", INDEX(LookUps!$E$5:$E$12, MATCH(OpenLCAbasic!K12813,LookUps!$D$5:$D$12,0))))</f>
        <v>Eutrophication Potential (EP) - kg N eq</v>
      </c>
      <c r="M12813" s="154" t="str">
        <f t="shared" si="1127"/>
        <v>Low_Base_Low_Upgraded_Eutrophication Potential (EP) - kg N eq_Aeration Tanks; wastewater treatment unit; at updated plant - US_Without Amendment_Aerated Static Pile</v>
      </c>
    </row>
    <row r="12814" spans="1:13" s="120" customFormat="1" x14ac:dyDescent="0.25">
      <c r="A12814" s="119"/>
      <c r="B12814" s="138" t="str">
        <f t="shared" si="1122"/>
        <v>Aerated Static Pile</v>
      </c>
      <c r="C12814" s="138" t="str">
        <f t="shared" si="1123"/>
        <v>Without Amendment</v>
      </c>
      <c r="D12814" s="138" t="str">
        <f t="shared" si="1124"/>
        <v>Base_Low</v>
      </c>
      <c r="E12814" s="138" t="str">
        <f t="shared" si="1125"/>
        <v>Low</v>
      </c>
      <c r="F12814" s="138" t="str">
        <f t="shared" si="1126"/>
        <v>Upgraded</v>
      </c>
      <c r="G12814" s="153"/>
      <c r="H12814" s="210">
        <v>1.6799999999999999E-2</v>
      </c>
      <c r="I12814" s="160" t="s">
        <v>147</v>
      </c>
      <c r="J12814" s="160">
        <v>2.5000000000000001E-4</v>
      </c>
      <c r="K12814" s="160" t="s">
        <v>13</v>
      </c>
      <c r="L12814" s="154" t="str">
        <f>IF(OpenLCAbasic!K12814="CTUh", "Fill in Manually",IF(OR(K12814="Unit", K12814=""), "", INDEX(LookUps!$E$5:$E$12, MATCH(OpenLCAbasic!K12814,LookUps!$D$5:$D$12,0))))</f>
        <v>Eutrophication Potential (EP) - kg N eq</v>
      </c>
      <c r="M12814" s="154" t="str">
        <f t="shared" si="1127"/>
        <v>Low_Base_Low_Upgraded_Eutrophication Potential (EP) - kg N eq_Influent Pump Station; wastewater treatment unit; at updated plant - US_Without Amendment_Aerated Static Pile</v>
      </c>
    </row>
    <row r="12815" spans="1:13" s="120" customFormat="1" x14ac:dyDescent="0.25">
      <c r="A12815" s="119"/>
      <c r="B12815" s="138" t="str">
        <f t="shared" si="1122"/>
        <v>Aerated Static Pile</v>
      </c>
      <c r="C12815" s="138" t="str">
        <f t="shared" si="1123"/>
        <v>Without Amendment</v>
      </c>
      <c r="D12815" s="138" t="str">
        <f t="shared" si="1124"/>
        <v>Base_Low</v>
      </c>
      <c r="E12815" s="138" t="str">
        <f t="shared" si="1125"/>
        <v>Low</v>
      </c>
      <c r="F12815" s="138" t="str">
        <f t="shared" si="1126"/>
        <v>Upgraded</v>
      </c>
      <c r="G12815" s="153"/>
      <c r="H12815" s="210">
        <v>1.3299999999999999E-2</v>
      </c>
      <c r="I12815" s="160" t="s">
        <v>54</v>
      </c>
      <c r="J12815" s="160">
        <v>2.0000000000000001E-4</v>
      </c>
      <c r="K12815" s="160" t="s">
        <v>13</v>
      </c>
      <c r="L12815" s="154" t="str">
        <f>IF(OpenLCAbasic!K12815="CTUh", "Fill in Manually",IF(OR(K12815="Unit", K12815=""), "", INDEX(LookUps!$E$5:$E$12, MATCH(OpenLCAbasic!K12815,LookUps!$D$5:$D$12,0))))</f>
        <v>Eutrophication Potential (EP) - kg N eq</v>
      </c>
      <c r="M12815" s="154" t="str">
        <f t="shared" si="1127"/>
        <v>Low_Base_Low_Upgraded_Eutrophication Potential (EP) - kg N eq_Clear Cove Primary Clarification; wastewater treatment unit; at updated plant - US_Without Amendment_Aerated Static Pile</v>
      </c>
    </row>
    <row r="12816" spans="1:13" s="120" customFormat="1" x14ac:dyDescent="0.25">
      <c r="A12816" s="119"/>
      <c r="B12816" s="138" t="str">
        <f t="shared" si="1122"/>
        <v>Aerated Static Pile</v>
      </c>
      <c r="C12816" s="138" t="str">
        <f t="shared" si="1123"/>
        <v>Without Amendment</v>
      </c>
      <c r="D12816" s="138" t="str">
        <f t="shared" si="1124"/>
        <v>Base_Low</v>
      </c>
      <c r="E12816" s="138" t="str">
        <f t="shared" si="1125"/>
        <v>Low</v>
      </c>
      <c r="F12816" s="138" t="str">
        <f t="shared" si="1126"/>
        <v>Upgraded</v>
      </c>
      <c r="G12816" s="153"/>
      <c r="H12816" s="210">
        <v>1.0999999999999999E-2</v>
      </c>
      <c r="I12816" s="160" t="s">
        <v>167</v>
      </c>
      <c r="J12816" s="160">
        <v>1.6000000000000001E-4</v>
      </c>
      <c r="K12816" s="160" t="s">
        <v>13</v>
      </c>
      <c r="L12816" s="154" t="str">
        <f>IF(OpenLCAbasic!K12816="CTUh", "Fill in Manually",IF(OR(K12816="Unit", K12816=""), "", INDEX(LookUps!$E$5:$E$12, MATCH(OpenLCAbasic!K12816,LookUps!$D$5:$D$12,0))))</f>
        <v>Eutrophication Potential (EP) - kg N eq</v>
      </c>
      <c r="M12816" s="154" t="str">
        <f t="shared" si="1127"/>
        <v>Low_Base_Low_Upgraded_Eutrophication Potential (EP) - kg N eq_Waste Receiving and Holding; wastewater treatment unit; at updated plant - US_Without Amendment_Aerated Static Pile</v>
      </c>
    </row>
    <row r="12817" spans="1:13" s="120" customFormat="1" x14ac:dyDescent="0.25">
      <c r="A12817" s="119"/>
      <c r="B12817" s="138" t="str">
        <f t="shared" si="1122"/>
        <v>Aerated Static Pile</v>
      </c>
      <c r="C12817" s="138" t="str">
        <f t="shared" si="1123"/>
        <v>Without Amendment</v>
      </c>
      <c r="D12817" s="138" t="str">
        <f t="shared" si="1124"/>
        <v>Base_Low</v>
      </c>
      <c r="E12817" s="138" t="str">
        <f t="shared" si="1125"/>
        <v>Low</v>
      </c>
      <c r="F12817" s="138" t="str">
        <f t="shared" si="1126"/>
        <v>Upgraded</v>
      </c>
      <c r="G12817" s="153"/>
      <c r="H12817" s="210">
        <v>9.1000000000000004E-3</v>
      </c>
      <c r="I12817" s="160" t="s">
        <v>58</v>
      </c>
      <c r="J12817" s="160">
        <v>1.3999999999999999E-4</v>
      </c>
      <c r="K12817" s="160" t="s">
        <v>13</v>
      </c>
      <c r="L12817" s="154" t="str">
        <f>IF(OpenLCAbasic!K12817="CTUh", "Fill in Manually",IF(OR(K12817="Unit", K12817=""), "", INDEX(LookUps!$E$5:$E$12, MATCH(OpenLCAbasic!K12817,LookUps!$D$5:$D$12,0))))</f>
        <v>Eutrophication Potential (EP) - kg N eq</v>
      </c>
      <c r="M12817" s="154" t="str">
        <f t="shared" si="1127"/>
        <v>Low_Base_Low_Upgraded_Eutrophication Potential (EP) - kg N eq_Pre-Anoxic &amp; Swing tank; wastewater treatment unit; at updated plant - US_Without Amendment_Aerated Static Pile</v>
      </c>
    </row>
    <row r="12818" spans="1:13" s="120" customFormat="1" x14ac:dyDescent="0.25">
      <c r="A12818" s="119"/>
      <c r="B12818" s="138" t="str">
        <f t="shared" si="1122"/>
        <v>Aerated Static Pile</v>
      </c>
      <c r="C12818" s="138" t="str">
        <f t="shared" si="1123"/>
        <v>Without Amendment</v>
      </c>
      <c r="D12818" s="138" t="str">
        <f t="shared" si="1124"/>
        <v>Base_Low</v>
      </c>
      <c r="E12818" s="138" t="str">
        <f t="shared" si="1125"/>
        <v>Low</v>
      </c>
      <c r="F12818" s="138" t="str">
        <f t="shared" si="1126"/>
        <v>Upgraded</v>
      </c>
      <c r="G12818" s="153"/>
      <c r="H12818" s="210">
        <v>7.1999999999999998E-3</v>
      </c>
      <c r="I12818" s="160" t="s">
        <v>53</v>
      </c>
      <c r="J12818" s="160">
        <v>1.1E-4</v>
      </c>
      <c r="K12818" s="160" t="s">
        <v>13</v>
      </c>
      <c r="L12818" s="154" t="str">
        <f>IF(OpenLCAbasic!K12818="CTUh", "Fill in Manually",IF(OR(K12818="Unit", K12818=""), "", INDEX(LookUps!$E$5:$E$12, MATCH(OpenLCAbasic!K12818,LookUps!$D$5:$D$12,0))))</f>
        <v>Eutrophication Potential (EP) - kg N eq</v>
      </c>
      <c r="M12818" s="154" t="str">
        <f t="shared" si="1127"/>
        <v>Low_Base_Low_Upgraded_Eutrophication Potential (EP) - kg N eq_Wet Well and Sump Station; wastewater treatment unit; at updated plant - US_Without Amendment_Aerated Static Pile</v>
      </c>
    </row>
    <row r="12819" spans="1:13" s="120" customFormat="1" x14ac:dyDescent="0.25">
      <c r="A12819" s="119"/>
      <c r="B12819" s="138" t="str">
        <f t="shared" si="1122"/>
        <v>Aerated Static Pile</v>
      </c>
      <c r="C12819" s="138" t="str">
        <f t="shared" si="1123"/>
        <v>Without Amendment</v>
      </c>
      <c r="D12819" s="138" t="str">
        <f t="shared" si="1124"/>
        <v>Base_Low</v>
      </c>
      <c r="E12819" s="138" t="str">
        <f t="shared" si="1125"/>
        <v>Low</v>
      </c>
      <c r="F12819" s="138" t="str">
        <f t="shared" si="1126"/>
        <v>Upgraded</v>
      </c>
      <c r="G12819" s="153"/>
      <c r="H12819" s="210">
        <v>6.1999999999999998E-3</v>
      </c>
      <c r="I12819" s="160" t="s">
        <v>149</v>
      </c>
      <c r="J12819" s="211">
        <v>9.1798299999999998E-5</v>
      </c>
      <c r="K12819" s="160" t="s">
        <v>13</v>
      </c>
      <c r="L12819" s="154" t="str">
        <f>IF(OpenLCAbasic!K12819="CTUh", "Fill in Manually",IF(OR(K12819="Unit", K12819=""), "", INDEX(LookUps!$E$5:$E$12, MATCH(OpenLCAbasic!K12819,LookUps!$D$5:$D$12,0))))</f>
        <v>Eutrophication Potential (EP) - kg N eq</v>
      </c>
      <c r="M12819" s="154" t="str">
        <f t="shared" si="1127"/>
        <v>Low_Base_Low_Upgraded_Eutrophication Potential (EP) - kg N eq_Anaerobic Digestion; wastewater treatment unit; at updated plant - US_Without Amendment_Aerated Static Pile</v>
      </c>
    </row>
    <row r="12820" spans="1:13" s="120" customFormat="1" x14ac:dyDescent="0.25">
      <c r="A12820" s="119"/>
      <c r="B12820" s="138" t="str">
        <f t="shared" si="1122"/>
        <v>Aerated Static Pile</v>
      </c>
      <c r="C12820" s="138" t="str">
        <f t="shared" si="1123"/>
        <v>Without Amendment</v>
      </c>
      <c r="D12820" s="138" t="str">
        <f t="shared" si="1124"/>
        <v>Base_Low</v>
      </c>
      <c r="E12820" s="138" t="str">
        <f t="shared" si="1125"/>
        <v>Low</v>
      </c>
      <c r="F12820" s="138" t="str">
        <f t="shared" si="1126"/>
        <v>Upgraded</v>
      </c>
      <c r="G12820" s="153"/>
      <c r="H12820" s="210">
        <v>4.1000000000000003E-3</v>
      </c>
      <c r="I12820" s="160" t="s">
        <v>57</v>
      </c>
      <c r="J12820" s="211">
        <v>6.0590300000000002E-5</v>
      </c>
      <c r="K12820" s="160" t="s">
        <v>13</v>
      </c>
      <c r="L12820" s="154" t="str">
        <f>IF(OpenLCAbasic!K12820="CTUh", "Fill in Manually",IF(OR(K12820="Unit", K12820=""), "", INDEX(LookUps!$E$5:$E$12, MATCH(OpenLCAbasic!K12820,LookUps!$D$5:$D$12,0))))</f>
        <v>Eutrophication Potential (EP) - kg N eq</v>
      </c>
      <c r="M12820" s="154" t="str">
        <f t="shared" si="1127"/>
        <v>Low_Base_Low_Upgraded_Eutrophication Potential (EP) - kg N eq_Gravity Belt Thickener; wastewater treatment unit; at updated plant - US_Without Amendment_Aerated Static Pile</v>
      </c>
    </row>
    <row r="12821" spans="1:13" s="120" customFormat="1" x14ac:dyDescent="0.25">
      <c r="A12821" s="119"/>
      <c r="B12821" s="138" t="str">
        <f t="shared" si="1122"/>
        <v>Aerated Static Pile</v>
      </c>
      <c r="C12821" s="138" t="str">
        <f t="shared" si="1123"/>
        <v>Without Amendment</v>
      </c>
      <c r="D12821" s="138" t="str">
        <f t="shared" si="1124"/>
        <v>Base_Low</v>
      </c>
      <c r="E12821" s="138" t="str">
        <f t="shared" si="1125"/>
        <v>Low</v>
      </c>
      <c r="F12821" s="138" t="str">
        <f t="shared" si="1126"/>
        <v>Upgraded</v>
      </c>
      <c r="G12821" s="153"/>
      <c r="H12821" s="210">
        <v>4.0000000000000001E-3</v>
      </c>
      <c r="I12821" s="160" t="s">
        <v>435</v>
      </c>
      <c r="J12821" s="211">
        <v>5.8924300000000001E-5</v>
      </c>
      <c r="K12821" s="160" t="s">
        <v>13</v>
      </c>
      <c r="L12821" s="154" t="str">
        <f>IF(OpenLCAbasic!K12821="CTUh", "Fill in Manually",IF(OR(K12821="Unit", K12821=""), "", INDEX(LookUps!$E$5:$E$12, MATCH(OpenLCAbasic!K12821,LookUps!$D$5:$D$12,0))))</f>
        <v>Eutrophication Potential (EP) - kg N eq</v>
      </c>
      <c r="M12821" s="154" t="str">
        <f t="shared" si="1127"/>
        <v>Low_Base_Low_Upgraded_Eutrophication Potential (EP) - kg N eq_Biosolids composting; aerated static pile; wastewater treatment unit; at updated plant - US_Without Amendment_Aerated Static Pile</v>
      </c>
    </row>
    <row r="12822" spans="1:13" s="120" customFormat="1" x14ac:dyDescent="0.25">
      <c r="A12822" s="119"/>
      <c r="B12822" s="138" t="str">
        <f t="shared" si="1122"/>
        <v>Aerated Static Pile</v>
      </c>
      <c r="C12822" s="138" t="str">
        <f t="shared" si="1123"/>
        <v>Without Amendment</v>
      </c>
      <c r="D12822" s="138" t="str">
        <f t="shared" si="1124"/>
        <v>Base_Low</v>
      </c>
      <c r="E12822" s="138" t="str">
        <f t="shared" si="1125"/>
        <v>Low</v>
      </c>
      <c r="F12822" s="138" t="str">
        <f t="shared" si="1126"/>
        <v>Upgraded</v>
      </c>
      <c r="G12822" s="153"/>
      <c r="H12822" s="210">
        <v>3.8E-3</v>
      </c>
      <c r="I12822" s="160" t="s">
        <v>60</v>
      </c>
      <c r="J12822" s="211">
        <v>5.62289E-5</v>
      </c>
      <c r="K12822" s="160" t="s">
        <v>13</v>
      </c>
      <c r="L12822" s="154" t="str">
        <f>IF(OpenLCAbasic!K12822="CTUh", "Fill in Manually",IF(OR(K12822="Unit", K12822=""), "", INDEX(LookUps!$E$5:$E$12, MATCH(OpenLCAbasic!K12822,LookUps!$D$5:$D$12,0))))</f>
        <v>Eutrophication Potential (EP) - kg N eq</v>
      </c>
      <c r="M12822" s="154" t="str">
        <f t="shared" si="1127"/>
        <v>Low_Base_Low_Upgraded_Eutrophication Potential (EP) - kg N eq_Belt filter press; wastewater treatment unit; at updated plant - US_Without Amendment_Aerated Static Pile</v>
      </c>
    </row>
    <row r="12823" spans="1:13" s="120" customFormat="1" x14ac:dyDescent="0.25">
      <c r="A12823" s="119"/>
      <c r="B12823" s="138" t="str">
        <f t="shared" si="1122"/>
        <v>Aerated Static Pile</v>
      </c>
      <c r="C12823" s="138" t="str">
        <f t="shared" si="1123"/>
        <v>Without Amendment</v>
      </c>
      <c r="D12823" s="138" t="str">
        <f t="shared" si="1124"/>
        <v>Base_Low</v>
      </c>
      <c r="E12823" s="138" t="str">
        <f t="shared" si="1125"/>
        <v>Low</v>
      </c>
      <c r="F12823" s="138" t="str">
        <f t="shared" si="1126"/>
        <v>Upgraded</v>
      </c>
      <c r="G12823" s="153"/>
      <c r="H12823" s="210">
        <v>2.5000000000000001E-3</v>
      </c>
      <c r="I12823" s="160" t="s">
        <v>128</v>
      </c>
      <c r="J12823" s="211">
        <v>3.7559799999999999E-5</v>
      </c>
      <c r="K12823" s="160" t="s">
        <v>13</v>
      </c>
      <c r="L12823" s="154" t="str">
        <f>IF(OpenLCAbasic!K12823="CTUh", "Fill in Manually",IF(OR(K12823="Unit", K12823=""), "", INDEX(LookUps!$E$5:$E$12, MATCH(OpenLCAbasic!K12823,LookUps!$D$5:$D$12,0))))</f>
        <v>Eutrophication Potential (EP) - kg N eq</v>
      </c>
      <c r="M12823" s="154" t="str">
        <f t="shared" si="1127"/>
        <v>Low_Base_Low_Upgraded_Eutrophication Potential (EP) - kg N eq_Wastewater collection; operation and infrastructure; m3 wastewater_Without Amendment_Aerated Static Pile</v>
      </c>
    </row>
    <row r="12824" spans="1:13" s="120" customFormat="1" x14ac:dyDescent="0.25">
      <c r="A12824" s="119"/>
      <c r="B12824" s="138" t="str">
        <f t="shared" si="1122"/>
        <v>Aerated Static Pile</v>
      </c>
      <c r="C12824" s="138" t="str">
        <f t="shared" si="1123"/>
        <v>Without Amendment</v>
      </c>
      <c r="D12824" s="138" t="str">
        <f t="shared" si="1124"/>
        <v>Base_Low</v>
      </c>
      <c r="E12824" s="138" t="str">
        <f t="shared" si="1125"/>
        <v>Low</v>
      </c>
      <c r="F12824" s="138" t="str">
        <f t="shared" si="1126"/>
        <v>Upgraded</v>
      </c>
      <c r="G12824" s="153"/>
      <c r="H12824" s="210">
        <v>2.5000000000000001E-3</v>
      </c>
      <c r="I12824" s="160" t="s">
        <v>148</v>
      </c>
      <c r="J12824" s="211">
        <v>3.6874600000000001E-5</v>
      </c>
      <c r="K12824" s="160" t="s">
        <v>13</v>
      </c>
      <c r="L12824" s="154" t="str">
        <f>IF(OpenLCAbasic!K12824="CTUh", "Fill in Manually",IF(OR(K12824="Unit", K12824=""), "", INDEX(LookUps!$E$5:$E$12, MATCH(OpenLCAbasic!K12824,LookUps!$D$5:$D$12,0))))</f>
        <v>Eutrophication Potential (EP) - kg N eq</v>
      </c>
      <c r="M12824" s="154" t="str">
        <f t="shared" si="1127"/>
        <v>Low_Base_Low_Upgraded_Eutrophication Potential (EP) - kg N eq_Control Building; at upgraded wastewater treatment plant - US_Without Amendment_Aerated Static Pile</v>
      </c>
    </row>
    <row r="12825" spans="1:13" s="120" customFormat="1" x14ac:dyDescent="0.25">
      <c r="A12825" s="119"/>
      <c r="B12825" s="138" t="str">
        <f t="shared" si="1122"/>
        <v>Aerated Static Pile</v>
      </c>
      <c r="C12825" s="138" t="str">
        <f t="shared" si="1123"/>
        <v>Without Amendment</v>
      </c>
      <c r="D12825" s="138" t="str">
        <f t="shared" si="1124"/>
        <v>Base_Low</v>
      </c>
      <c r="E12825" s="138" t="str">
        <f t="shared" si="1125"/>
        <v>Low</v>
      </c>
      <c r="F12825" s="138" t="str">
        <f t="shared" si="1126"/>
        <v>Upgraded</v>
      </c>
      <c r="G12825" s="153"/>
      <c r="H12825" s="210">
        <v>1.1000000000000001E-3</v>
      </c>
      <c r="I12825" s="160" t="s">
        <v>59</v>
      </c>
      <c r="J12825" s="211">
        <v>1.6215700000000001E-5</v>
      </c>
      <c r="K12825" s="160" t="s">
        <v>13</v>
      </c>
      <c r="L12825" s="154" t="str">
        <f>IF(OpenLCAbasic!K12825="CTUh", "Fill in Manually",IF(OR(K12825="Unit", K12825=""), "", INDEX(LookUps!$E$5:$E$12, MATCH(OpenLCAbasic!K12825,LookUps!$D$5:$D$12,0))))</f>
        <v>Eutrophication Potential (EP) - kg N eq</v>
      </c>
      <c r="M12825" s="154" t="str">
        <f t="shared" si="1127"/>
        <v>Low_Base_Low_Upgraded_Eutrophication Potential (EP) - kg N eq_Blend Tank; wastewater treatment unit; at updated plant - US_Without Amendment_Aerated Static Pile</v>
      </c>
    </row>
    <row r="12826" spans="1:13" s="120" customFormat="1" x14ac:dyDescent="0.25">
      <c r="A12826" s="119"/>
      <c r="B12826" s="138" t="str">
        <f t="shared" si="1122"/>
        <v>Aerated Static Pile</v>
      </c>
      <c r="C12826" s="138" t="str">
        <f t="shared" si="1123"/>
        <v>Without Amendment</v>
      </c>
      <c r="D12826" s="138" t="str">
        <f t="shared" si="1124"/>
        <v>Base_Low</v>
      </c>
      <c r="E12826" s="138" t="str">
        <f t="shared" si="1125"/>
        <v>Low</v>
      </c>
      <c r="F12826" s="138" t="str">
        <f t="shared" si="1126"/>
        <v>Upgraded</v>
      </c>
      <c r="G12826" s="153"/>
      <c r="H12826" s="210">
        <v>5.0000000000000001E-4</v>
      </c>
      <c r="I12826" s="160" t="s">
        <v>168</v>
      </c>
      <c r="J12826" s="211">
        <v>7.7567199999999995E-6</v>
      </c>
      <c r="K12826" s="160" t="s">
        <v>13</v>
      </c>
      <c r="L12826" s="154" t="str">
        <f>IF(OpenLCAbasic!K12826="CTUh", "Fill in Manually",IF(OR(K12826="Unit", K12826=""), "", INDEX(LookUps!$E$5:$E$12, MATCH(OpenLCAbasic!K12826,LookUps!$D$5:$D$12,0))))</f>
        <v>Eutrophication Potential (EP) - kg N eq</v>
      </c>
      <c r="M12826" s="154" t="str">
        <f t="shared" si="1127"/>
        <v>Low_Base_Low_Upgraded_Eutrophication Potential (EP) - kg N eq_ClearCove SCP; wastewater treatment unit; at updated plant - US_Without Amendment_Aerated Static Pile</v>
      </c>
    </row>
    <row r="12827" spans="1:13" s="120" customFormat="1" x14ac:dyDescent="0.25">
      <c r="A12827" s="119"/>
      <c r="B12827" s="138" t="str">
        <f t="shared" si="1122"/>
        <v/>
      </c>
      <c r="C12827" s="138" t="str">
        <f t="shared" si="1123"/>
        <v/>
      </c>
      <c r="D12827" s="138" t="str">
        <f t="shared" si="1124"/>
        <v/>
      </c>
      <c r="E12827" s="138" t="str">
        <f t="shared" si="1125"/>
        <v/>
      </c>
      <c r="F12827" s="138" t="str">
        <f t="shared" si="1126"/>
        <v/>
      </c>
      <c r="G12827" s="153" t="s">
        <v>51</v>
      </c>
      <c r="H12827" s="160"/>
      <c r="I12827" s="160" t="s">
        <v>47</v>
      </c>
      <c r="J12827" s="160" t="s">
        <v>52</v>
      </c>
      <c r="K12827" s="160" t="s">
        <v>27</v>
      </c>
      <c r="L12827" s="154" t="str">
        <f>IF(OpenLCAbasic!K12827="CTUh", "Fill in Manually",IF(OR(K12827="Unit", K12827=""), "", INDEX(LookUps!$E$5:$E$12, MATCH(OpenLCAbasic!K12827,LookUps!$D$5:$D$12,0))))</f>
        <v/>
      </c>
      <c r="M12827" s="154" t="str">
        <f t="shared" si="1127"/>
        <v>____Process__</v>
      </c>
    </row>
    <row r="12828" spans="1:13" s="120" customFormat="1" x14ac:dyDescent="0.25">
      <c r="A12828" s="119"/>
      <c r="B12828" s="138" t="str">
        <f t="shared" si="1122"/>
        <v>Aerated Static Pile</v>
      </c>
      <c r="C12828" s="138" t="str">
        <f t="shared" si="1123"/>
        <v>Without Amendment</v>
      </c>
      <c r="D12828" s="138" t="str">
        <f t="shared" si="1124"/>
        <v>Base_Low</v>
      </c>
      <c r="E12828" s="138" t="str">
        <f t="shared" si="1125"/>
        <v>Low</v>
      </c>
      <c r="F12828" s="138" t="str">
        <f t="shared" si="1126"/>
        <v>Upgraded</v>
      </c>
      <c r="G12828" s="153"/>
      <c r="H12828" s="210">
        <v>0.26640000000000003</v>
      </c>
      <c r="I12828" s="160" t="s">
        <v>167</v>
      </c>
      <c r="J12828" s="160">
        <v>7.9170000000000004E-2</v>
      </c>
      <c r="K12828" s="160" t="s">
        <v>14</v>
      </c>
      <c r="L12828" s="154" t="str">
        <f>IF(OpenLCAbasic!K12828="CTUh", "Fill in Manually",IF(OR(K12828="Unit", K12828=""), "", INDEX(LookUps!$E$5:$E$12, MATCH(OpenLCAbasic!K12828,LookUps!$D$5:$D$12,0))))</f>
        <v>Fossil Depletion Potential (FDP) - kg oil eq</v>
      </c>
      <c r="M12828" s="154" t="str">
        <f t="shared" si="1127"/>
        <v>Low_Base_Low_Upgraded_Fossil Depletion Potential (FDP) - kg oil eq_Waste Receiving and Holding; wastewater treatment unit; at updated plant - US_Without Amendment_Aerated Static Pile</v>
      </c>
    </row>
    <row r="12829" spans="1:13" s="120" customFormat="1" x14ac:dyDescent="0.25">
      <c r="A12829" s="119"/>
      <c r="B12829" s="138" t="str">
        <f t="shared" si="1122"/>
        <v>Aerated Static Pile</v>
      </c>
      <c r="C12829" s="138" t="str">
        <f t="shared" si="1123"/>
        <v>Without Amendment</v>
      </c>
      <c r="D12829" s="138" t="str">
        <f t="shared" si="1124"/>
        <v>Base_Low</v>
      </c>
      <c r="E12829" s="138" t="str">
        <f t="shared" si="1125"/>
        <v>Low</v>
      </c>
      <c r="F12829" s="138" t="str">
        <f t="shared" si="1126"/>
        <v>Upgraded</v>
      </c>
      <c r="G12829" s="153"/>
      <c r="H12829" s="210">
        <v>0.214</v>
      </c>
      <c r="I12829" s="160" t="s">
        <v>55</v>
      </c>
      <c r="J12829" s="160">
        <v>6.3589999999999994E-2</v>
      </c>
      <c r="K12829" s="160" t="s">
        <v>14</v>
      </c>
      <c r="L12829" s="154" t="str">
        <f>IF(OpenLCAbasic!K12829="CTUh", "Fill in Manually",IF(OR(K12829="Unit", K12829=""), "", INDEX(LookUps!$E$5:$E$12, MATCH(OpenLCAbasic!K12829,LookUps!$D$5:$D$12,0))))</f>
        <v>Fossil Depletion Potential (FDP) - kg oil eq</v>
      </c>
      <c r="M12829" s="154" t="str">
        <f t="shared" si="1127"/>
        <v>Low_Base_Low_Upgraded_Fossil Depletion Potential (FDP) - kg oil eq_Aeration Tanks; wastewater treatment unit; at updated plant - US_Without Amendment_Aerated Static Pile</v>
      </c>
    </row>
    <row r="12830" spans="1:13" s="120" customFormat="1" x14ac:dyDescent="0.25">
      <c r="A12830" s="119"/>
      <c r="B12830" s="138" t="str">
        <f t="shared" si="1122"/>
        <v>Aerated Static Pile</v>
      </c>
      <c r="C12830" s="138" t="str">
        <f t="shared" si="1123"/>
        <v>Without Amendment</v>
      </c>
      <c r="D12830" s="138" t="str">
        <f t="shared" si="1124"/>
        <v>Base_Low</v>
      </c>
      <c r="E12830" s="138" t="str">
        <f t="shared" si="1125"/>
        <v>Low</v>
      </c>
      <c r="F12830" s="138" t="str">
        <f t="shared" si="1126"/>
        <v>Upgraded</v>
      </c>
      <c r="G12830" s="153"/>
      <c r="H12830" s="210">
        <v>0.20799999999999999</v>
      </c>
      <c r="I12830" s="160" t="s">
        <v>149</v>
      </c>
      <c r="J12830" s="160">
        <v>6.1809999999999997E-2</v>
      </c>
      <c r="K12830" s="160" t="s">
        <v>14</v>
      </c>
      <c r="L12830" s="154" t="str">
        <f>IF(OpenLCAbasic!K12830="CTUh", "Fill in Manually",IF(OR(K12830="Unit", K12830=""), "", INDEX(LookUps!$E$5:$E$12, MATCH(OpenLCAbasic!K12830,LookUps!$D$5:$D$12,0))))</f>
        <v>Fossil Depletion Potential (FDP) - kg oil eq</v>
      </c>
      <c r="M12830" s="154" t="str">
        <f t="shared" si="1127"/>
        <v>Low_Base_Low_Upgraded_Fossil Depletion Potential (FDP) - kg oil eq_Anaerobic Digestion; wastewater treatment unit; at updated plant - US_Without Amendment_Aerated Static Pile</v>
      </c>
    </row>
    <row r="12831" spans="1:13" s="120" customFormat="1" x14ac:dyDescent="0.25">
      <c r="A12831" s="119"/>
      <c r="B12831" s="138" t="str">
        <f t="shared" si="1122"/>
        <v>Aerated Static Pile</v>
      </c>
      <c r="C12831" s="138" t="str">
        <f t="shared" si="1123"/>
        <v>Without Amendment</v>
      </c>
      <c r="D12831" s="138" t="str">
        <f t="shared" si="1124"/>
        <v>Base_Low</v>
      </c>
      <c r="E12831" s="138" t="str">
        <f t="shared" si="1125"/>
        <v>Low</v>
      </c>
      <c r="F12831" s="138" t="str">
        <f t="shared" si="1126"/>
        <v>Upgraded</v>
      </c>
      <c r="G12831" s="153"/>
      <c r="H12831" s="210">
        <v>7.0800000000000002E-2</v>
      </c>
      <c r="I12831" s="160" t="s">
        <v>54</v>
      </c>
      <c r="J12831" s="160">
        <v>2.1049999999999999E-2</v>
      </c>
      <c r="K12831" s="160" t="s">
        <v>14</v>
      </c>
      <c r="L12831" s="154" t="str">
        <f>IF(OpenLCAbasic!K12831="CTUh", "Fill in Manually",IF(OR(K12831="Unit", K12831=""), "", INDEX(LookUps!$E$5:$E$12, MATCH(OpenLCAbasic!K12831,LookUps!$D$5:$D$12,0))))</f>
        <v>Fossil Depletion Potential (FDP) - kg oil eq</v>
      </c>
      <c r="M12831" s="154" t="str">
        <f t="shared" si="1127"/>
        <v>Low_Base_Low_Upgraded_Fossil Depletion Potential (FDP) - kg oil eq_Clear Cove Primary Clarification; wastewater treatment unit; at updated plant - US_Without Amendment_Aerated Static Pile</v>
      </c>
    </row>
    <row r="12832" spans="1:13" s="120" customFormat="1" x14ac:dyDescent="0.25">
      <c r="A12832" s="119"/>
      <c r="B12832" s="138" t="str">
        <f t="shared" si="1122"/>
        <v>Aerated Static Pile</v>
      </c>
      <c r="C12832" s="138" t="str">
        <f t="shared" si="1123"/>
        <v>Without Amendment</v>
      </c>
      <c r="D12832" s="138" t="str">
        <f t="shared" si="1124"/>
        <v>Base_Low</v>
      </c>
      <c r="E12832" s="138" t="str">
        <f t="shared" si="1125"/>
        <v>Low</v>
      </c>
      <c r="F12832" s="138" t="str">
        <f t="shared" si="1126"/>
        <v>Upgraded</v>
      </c>
      <c r="G12832" s="153"/>
      <c r="H12832" s="210">
        <v>5.3600000000000002E-2</v>
      </c>
      <c r="I12832" s="160" t="s">
        <v>58</v>
      </c>
      <c r="J12832" s="160">
        <v>1.592E-2</v>
      </c>
      <c r="K12832" s="160" t="s">
        <v>14</v>
      </c>
      <c r="L12832" s="154" t="str">
        <f>IF(OpenLCAbasic!K12832="CTUh", "Fill in Manually",IF(OR(K12832="Unit", K12832=""), "", INDEX(LookUps!$E$5:$E$12, MATCH(OpenLCAbasic!K12832,LookUps!$D$5:$D$12,0))))</f>
        <v>Fossil Depletion Potential (FDP) - kg oil eq</v>
      </c>
      <c r="M12832" s="154" t="str">
        <f t="shared" si="1127"/>
        <v>Low_Base_Low_Upgraded_Fossil Depletion Potential (FDP) - kg oil eq_Pre-Anoxic &amp; Swing tank; wastewater treatment unit; at updated plant - US_Without Amendment_Aerated Static Pile</v>
      </c>
    </row>
    <row r="12833" spans="1:13" s="120" customFormat="1" x14ac:dyDescent="0.25">
      <c r="A12833" s="119"/>
      <c r="B12833" s="138" t="str">
        <f t="shared" si="1122"/>
        <v>Aerated Static Pile</v>
      </c>
      <c r="C12833" s="138" t="str">
        <f t="shared" si="1123"/>
        <v>Without Amendment</v>
      </c>
      <c r="D12833" s="138" t="str">
        <f t="shared" si="1124"/>
        <v>Base_Low</v>
      </c>
      <c r="E12833" s="138" t="str">
        <f t="shared" si="1125"/>
        <v>Low</v>
      </c>
      <c r="F12833" s="138" t="str">
        <f t="shared" si="1126"/>
        <v>Upgraded</v>
      </c>
      <c r="G12833" s="153"/>
      <c r="H12833" s="210">
        <v>5.0799999999999998E-2</v>
      </c>
      <c r="I12833" s="160" t="s">
        <v>147</v>
      </c>
      <c r="J12833" s="160">
        <v>1.5089999999999999E-2</v>
      </c>
      <c r="K12833" s="160" t="s">
        <v>14</v>
      </c>
      <c r="L12833" s="154" t="str">
        <f>IF(OpenLCAbasic!K12833="CTUh", "Fill in Manually",IF(OR(K12833="Unit", K12833=""), "", INDEX(LookUps!$E$5:$E$12, MATCH(OpenLCAbasic!K12833,LookUps!$D$5:$D$12,0))))</f>
        <v>Fossil Depletion Potential (FDP) - kg oil eq</v>
      </c>
      <c r="M12833" s="154" t="str">
        <f t="shared" si="1127"/>
        <v>Low_Base_Low_Upgraded_Fossil Depletion Potential (FDP) - kg oil eq_Influent Pump Station; wastewater treatment unit; at updated plant - US_Without Amendment_Aerated Static Pile</v>
      </c>
    </row>
    <row r="12834" spans="1:13" s="120" customFormat="1" x14ac:dyDescent="0.25">
      <c r="A12834" s="119"/>
      <c r="B12834" s="138" t="str">
        <f t="shared" si="1122"/>
        <v>Aerated Static Pile</v>
      </c>
      <c r="C12834" s="138" t="str">
        <f t="shared" si="1123"/>
        <v>Without Amendment</v>
      </c>
      <c r="D12834" s="138" t="str">
        <f t="shared" si="1124"/>
        <v>Base_Low</v>
      </c>
      <c r="E12834" s="138" t="str">
        <f t="shared" si="1125"/>
        <v>Low</v>
      </c>
      <c r="F12834" s="138" t="str">
        <f t="shared" si="1126"/>
        <v>Upgraded</v>
      </c>
      <c r="G12834" s="153"/>
      <c r="H12834" s="210">
        <v>4.2000000000000003E-2</v>
      </c>
      <c r="I12834" s="160" t="s">
        <v>53</v>
      </c>
      <c r="J12834" s="160">
        <v>1.2489999999999999E-2</v>
      </c>
      <c r="K12834" s="160" t="s">
        <v>14</v>
      </c>
      <c r="L12834" s="154" t="str">
        <f>IF(OpenLCAbasic!K12834="CTUh", "Fill in Manually",IF(OR(K12834="Unit", K12834=""), "", INDEX(LookUps!$E$5:$E$12, MATCH(OpenLCAbasic!K12834,LookUps!$D$5:$D$12,0))))</f>
        <v>Fossil Depletion Potential (FDP) - kg oil eq</v>
      </c>
      <c r="M12834" s="154" t="str">
        <f t="shared" si="1127"/>
        <v>Low_Base_Low_Upgraded_Fossil Depletion Potential (FDP) - kg oil eq_Wet Well and Sump Station; wastewater treatment unit; at updated plant - US_Without Amendment_Aerated Static Pile</v>
      </c>
    </row>
    <row r="12835" spans="1:13" s="120" customFormat="1" x14ac:dyDescent="0.25">
      <c r="A12835" s="119"/>
      <c r="B12835" s="138" t="str">
        <f t="shared" si="1122"/>
        <v>Aerated Static Pile</v>
      </c>
      <c r="C12835" s="138" t="str">
        <f t="shared" si="1123"/>
        <v>Without Amendment</v>
      </c>
      <c r="D12835" s="138" t="str">
        <f t="shared" si="1124"/>
        <v>Base_Low</v>
      </c>
      <c r="E12835" s="138" t="str">
        <f t="shared" si="1125"/>
        <v>Low</v>
      </c>
      <c r="F12835" s="138" t="str">
        <f t="shared" si="1126"/>
        <v>Upgraded</v>
      </c>
      <c r="G12835" s="153"/>
      <c r="H12835" s="210">
        <v>2.3599999999999999E-2</v>
      </c>
      <c r="I12835" s="160" t="s">
        <v>435</v>
      </c>
      <c r="J12835" s="160">
        <v>7.0200000000000002E-3</v>
      </c>
      <c r="K12835" s="160" t="s">
        <v>14</v>
      </c>
      <c r="L12835" s="154" t="str">
        <f>IF(OpenLCAbasic!K12835="CTUh", "Fill in Manually",IF(OR(K12835="Unit", K12835=""), "", INDEX(LookUps!$E$5:$E$12, MATCH(OpenLCAbasic!K12835,LookUps!$D$5:$D$12,0))))</f>
        <v>Fossil Depletion Potential (FDP) - kg oil eq</v>
      </c>
      <c r="M12835" s="154" t="str">
        <f t="shared" si="1127"/>
        <v>Low_Base_Low_Upgraded_Fossil Depletion Potential (FDP) - kg oil eq_Biosolids composting; aerated static pile; wastewater treatment unit; at updated plant - US_Without Amendment_Aerated Static Pile</v>
      </c>
    </row>
    <row r="12836" spans="1:13" s="120" customFormat="1" x14ac:dyDescent="0.25">
      <c r="A12836" s="119"/>
      <c r="B12836" s="138" t="str">
        <f t="shared" si="1122"/>
        <v>Aerated Static Pile</v>
      </c>
      <c r="C12836" s="138" t="str">
        <f t="shared" si="1123"/>
        <v>Without Amendment</v>
      </c>
      <c r="D12836" s="138" t="str">
        <f t="shared" si="1124"/>
        <v>Base_Low</v>
      </c>
      <c r="E12836" s="138" t="str">
        <f t="shared" si="1125"/>
        <v>Low</v>
      </c>
      <c r="F12836" s="138" t="str">
        <f t="shared" si="1126"/>
        <v>Upgraded</v>
      </c>
      <c r="G12836" s="153"/>
      <c r="H12836" s="210">
        <v>2.3300000000000001E-2</v>
      </c>
      <c r="I12836" s="160" t="s">
        <v>57</v>
      </c>
      <c r="J12836" s="160">
        <v>6.9199999999999999E-3</v>
      </c>
      <c r="K12836" s="160" t="s">
        <v>14</v>
      </c>
      <c r="L12836" s="154" t="str">
        <f>IF(OpenLCAbasic!K12836="CTUh", "Fill in Manually",IF(OR(K12836="Unit", K12836=""), "", INDEX(LookUps!$E$5:$E$12, MATCH(OpenLCAbasic!K12836,LookUps!$D$5:$D$12,0))))</f>
        <v>Fossil Depletion Potential (FDP) - kg oil eq</v>
      </c>
      <c r="M12836" s="154" t="str">
        <f t="shared" si="1127"/>
        <v>Low_Base_Low_Upgraded_Fossil Depletion Potential (FDP) - kg oil eq_Gravity Belt Thickener; wastewater treatment unit; at updated plant - US_Without Amendment_Aerated Static Pile</v>
      </c>
    </row>
    <row r="12837" spans="1:13" s="120" customFormat="1" x14ac:dyDescent="0.25">
      <c r="A12837" s="119"/>
      <c r="B12837" s="138" t="str">
        <f t="shared" si="1122"/>
        <v>Aerated Static Pile</v>
      </c>
      <c r="C12837" s="138" t="str">
        <f t="shared" si="1123"/>
        <v>Without Amendment</v>
      </c>
      <c r="D12837" s="138" t="str">
        <f t="shared" si="1124"/>
        <v>Base_Low</v>
      </c>
      <c r="E12837" s="138" t="str">
        <f t="shared" si="1125"/>
        <v>Low</v>
      </c>
      <c r="F12837" s="138" t="str">
        <f t="shared" si="1126"/>
        <v>Upgraded</v>
      </c>
      <c r="G12837" s="153"/>
      <c r="H12837" s="210">
        <v>2.1700000000000001E-2</v>
      </c>
      <c r="I12837" s="160" t="s">
        <v>60</v>
      </c>
      <c r="J12837" s="160">
        <v>6.45E-3</v>
      </c>
      <c r="K12837" s="160" t="s">
        <v>14</v>
      </c>
      <c r="L12837" s="154" t="str">
        <f>IF(OpenLCAbasic!K12837="CTUh", "Fill in Manually",IF(OR(K12837="Unit", K12837=""), "", INDEX(LookUps!$E$5:$E$12, MATCH(OpenLCAbasic!K12837,LookUps!$D$5:$D$12,0))))</f>
        <v>Fossil Depletion Potential (FDP) - kg oil eq</v>
      </c>
      <c r="M12837" s="154" t="str">
        <f t="shared" si="1127"/>
        <v>Low_Base_Low_Upgraded_Fossil Depletion Potential (FDP) - kg oil eq_Belt filter press; wastewater treatment unit; at updated plant - US_Without Amendment_Aerated Static Pile</v>
      </c>
    </row>
    <row r="12838" spans="1:13" s="120" customFormat="1" x14ac:dyDescent="0.25">
      <c r="A12838" s="119"/>
      <c r="B12838" s="138" t="str">
        <f t="shared" si="1122"/>
        <v>Aerated Static Pile</v>
      </c>
      <c r="C12838" s="138" t="str">
        <f t="shared" si="1123"/>
        <v>Without Amendment</v>
      </c>
      <c r="D12838" s="138" t="str">
        <f t="shared" si="1124"/>
        <v>Base_Low</v>
      </c>
      <c r="E12838" s="138" t="str">
        <f t="shared" si="1125"/>
        <v>Low</v>
      </c>
      <c r="F12838" s="138" t="str">
        <f t="shared" si="1126"/>
        <v>Upgraded</v>
      </c>
      <c r="G12838" s="153"/>
      <c r="H12838" s="210">
        <v>1.5100000000000001E-2</v>
      </c>
      <c r="I12838" s="160" t="s">
        <v>128</v>
      </c>
      <c r="J12838" s="160">
        <v>4.4999999999999997E-3</v>
      </c>
      <c r="K12838" s="160" t="s">
        <v>14</v>
      </c>
      <c r="L12838" s="154" t="str">
        <f>IF(OpenLCAbasic!K12838="CTUh", "Fill in Manually",IF(OR(K12838="Unit", K12838=""), "", INDEX(LookUps!$E$5:$E$12, MATCH(OpenLCAbasic!K12838,LookUps!$D$5:$D$12,0))))</f>
        <v>Fossil Depletion Potential (FDP) - kg oil eq</v>
      </c>
      <c r="M12838" s="154" t="str">
        <f t="shared" si="1127"/>
        <v>Low_Base_Low_Upgraded_Fossil Depletion Potential (FDP) - kg oil eq_Wastewater collection; operation and infrastructure; m3 wastewater_Without Amendment_Aerated Static Pile</v>
      </c>
    </row>
    <row r="12839" spans="1:13" s="120" customFormat="1" x14ac:dyDescent="0.25">
      <c r="A12839" s="119"/>
      <c r="B12839" s="138" t="str">
        <f t="shared" si="1122"/>
        <v>Aerated Static Pile</v>
      </c>
      <c r="C12839" s="138" t="str">
        <f t="shared" si="1123"/>
        <v>Without Amendment</v>
      </c>
      <c r="D12839" s="138" t="str">
        <f t="shared" si="1124"/>
        <v>Base_Low</v>
      </c>
      <c r="E12839" s="138" t="str">
        <f t="shared" si="1125"/>
        <v>Low</v>
      </c>
      <c r="F12839" s="138" t="str">
        <f t="shared" si="1126"/>
        <v>Upgraded</v>
      </c>
      <c r="G12839" s="153"/>
      <c r="H12839" s="210">
        <v>9.4000000000000004E-3</v>
      </c>
      <c r="I12839" s="160" t="s">
        <v>148</v>
      </c>
      <c r="J12839" s="160">
        <v>2.8E-3</v>
      </c>
      <c r="K12839" s="160" t="s">
        <v>14</v>
      </c>
      <c r="L12839" s="154" t="str">
        <f>IF(OpenLCAbasic!K12839="CTUh", "Fill in Manually",IF(OR(K12839="Unit", K12839=""), "", INDEX(LookUps!$E$5:$E$12, MATCH(OpenLCAbasic!K12839,LookUps!$D$5:$D$12,0))))</f>
        <v>Fossil Depletion Potential (FDP) - kg oil eq</v>
      </c>
      <c r="M12839" s="154" t="str">
        <f t="shared" si="1127"/>
        <v>Low_Base_Low_Upgraded_Fossil Depletion Potential (FDP) - kg oil eq_Control Building; at upgraded wastewater treatment plant - US_Without Amendment_Aerated Static Pile</v>
      </c>
    </row>
    <row r="12840" spans="1:13" s="120" customFormat="1" x14ac:dyDescent="0.25">
      <c r="A12840" s="119"/>
      <c r="B12840" s="138" t="str">
        <f t="shared" si="1122"/>
        <v>Aerated Static Pile</v>
      </c>
      <c r="C12840" s="138" t="str">
        <f t="shared" si="1123"/>
        <v>Without Amendment</v>
      </c>
      <c r="D12840" s="138" t="str">
        <f t="shared" si="1124"/>
        <v>Base_Low</v>
      </c>
      <c r="E12840" s="138" t="str">
        <f t="shared" si="1125"/>
        <v>Low</v>
      </c>
      <c r="F12840" s="138" t="str">
        <f t="shared" si="1126"/>
        <v>Upgraded</v>
      </c>
      <c r="G12840" s="153"/>
      <c r="H12840" s="210">
        <v>8.0000000000000002E-3</v>
      </c>
      <c r="I12840" s="160" t="s">
        <v>48</v>
      </c>
      <c r="J12840" s="160">
        <v>2.3600000000000001E-3</v>
      </c>
      <c r="K12840" s="160" t="s">
        <v>14</v>
      </c>
      <c r="L12840" s="154" t="str">
        <f>IF(OpenLCAbasic!K12840="CTUh", "Fill in Manually",IF(OR(K12840="Unit", K12840=""), "", INDEX(LookUps!$E$5:$E$12, MATCH(OpenLCAbasic!K12840,LookUps!$D$5:$D$12,0))))</f>
        <v>Fossil Depletion Potential (FDP) - kg oil eq</v>
      </c>
      <c r="M12840" s="154" t="str">
        <f t="shared" si="1127"/>
        <v>Low_Base_Low_Upgraded_Fossil Depletion Potential (FDP) - kg oil eq_Effluent release; wastewater treatment unit; at surface water; m3 wastewater - US_Without Amendment_Aerated Static Pile</v>
      </c>
    </row>
    <row r="12841" spans="1:13" s="120" customFormat="1" x14ac:dyDescent="0.25">
      <c r="A12841" s="119"/>
      <c r="B12841" s="138" t="str">
        <f t="shared" ref="B12841:B12904" si="1128">IF(F12841="Legacy","n.a.",IF(F12841="","","Aerated Static Pile"))</f>
        <v>Aerated Static Pile</v>
      </c>
      <c r="C12841" s="138" t="str">
        <f t="shared" ref="C12841:C12904" si="1129">IF(ISNUMBER($J12841),"Without Amendment","")</f>
        <v>Without Amendment</v>
      </c>
      <c r="D12841" s="138" t="str">
        <f t="shared" ref="D12841:D12904" si="1130">IF(ISNUMBER($J12841),"Base_Low","")</f>
        <v>Base_Low</v>
      </c>
      <c r="E12841" s="138" t="str">
        <f t="shared" ref="E12841:E12904" si="1131">IF(ISNUMBER($J12841),"Low","")</f>
        <v>Low</v>
      </c>
      <c r="F12841" s="138" t="str">
        <f t="shared" ref="F12841:F12904" si="1132">IF(ISNUMBER(J12841),"Upgraded","")</f>
        <v>Upgraded</v>
      </c>
      <c r="G12841" s="153"/>
      <c r="H12841" s="210">
        <v>6.4999999999999997E-3</v>
      </c>
      <c r="I12841" s="160" t="s">
        <v>59</v>
      </c>
      <c r="J12841" s="160">
        <v>1.92E-3</v>
      </c>
      <c r="K12841" s="160" t="s">
        <v>14</v>
      </c>
      <c r="L12841" s="154" t="str">
        <f>IF(OpenLCAbasic!K12841="CTUh", "Fill in Manually",IF(OR(K12841="Unit", K12841=""), "", INDEX(LookUps!$E$5:$E$12, MATCH(OpenLCAbasic!K12841,LookUps!$D$5:$D$12,0))))</f>
        <v>Fossil Depletion Potential (FDP) - kg oil eq</v>
      </c>
      <c r="M12841" s="154" t="str">
        <f t="shared" si="1127"/>
        <v>Low_Base_Low_Upgraded_Fossil Depletion Potential (FDP) - kg oil eq_Blend Tank; wastewater treatment unit; at updated plant - US_Without Amendment_Aerated Static Pile</v>
      </c>
    </row>
    <row r="12842" spans="1:13" s="120" customFormat="1" x14ac:dyDescent="0.25">
      <c r="A12842" s="119"/>
      <c r="B12842" s="138" t="str">
        <f t="shared" si="1128"/>
        <v>Aerated Static Pile</v>
      </c>
      <c r="C12842" s="138" t="str">
        <f t="shared" si="1129"/>
        <v>Without Amendment</v>
      </c>
      <c r="D12842" s="138" t="str">
        <f t="shared" si="1130"/>
        <v>Base_Low</v>
      </c>
      <c r="E12842" s="138" t="str">
        <f t="shared" si="1131"/>
        <v>Low</v>
      </c>
      <c r="F12842" s="138" t="str">
        <f t="shared" si="1132"/>
        <v>Upgraded</v>
      </c>
      <c r="G12842" s="153"/>
      <c r="H12842" s="210">
        <v>3.0999999999999999E-3</v>
      </c>
      <c r="I12842" s="160" t="s">
        <v>168</v>
      </c>
      <c r="J12842" s="160">
        <v>9.1E-4</v>
      </c>
      <c r="K12842" s="160" t="s">
        <v>14</v>
      </c>
      <c r="L12842" s="154" t="str">
        <f>IF(OpenLCAbasic!K12842="CTUh", "Fill in Manually",IF(OR(K12842="Unit", K12842=""), "", INDEX(LookUps!$E$5:$E$12, MATCH(OpenLCAbasic!K12842,LookUps!$D$5:$D$12,0))))</f>
        <v>Fossil Depletion Potential (FDP) - kg oil eq</v>
      </c>
      <c r="M12842" s="154" t="str">
        <f t="shared" si="1127"/>
        <v>Low_Base_Low_Upgraded_Fossil Depletion Potential (FDP) - kg oil eq_ClearCove SCP; wastewater treatment unit; at updated plant - US_Without Amendment_Aerated Static Pile</v>
      </c>
    </row>
    <row r="12843" spans="1:13" s="120" customFormat="1" x14ac:dyDescent="0.25">
      <c r="A12843" s="119"/>
      <c r="B12843" s="138" t="str">
        <f t="shared" si="1128"/>
        <v>Aerated Static Pile</v>
      </c>
      <c r="C12843" s="138" t="str">
        <f t="shared" si="1129"/>
        <v>Without Amendment</v>
      </c>
      <c r="D12843" s="138" t="str">
        <f t="shared" si="1130"/>
        <v>Base_Low</v>
      </c>
      <c r="E12843" s="138" t="str">
        <f t="shared" si="1131"/>
        <v>Low</v>
      </c>
      <c r="F12843" s="138" t="str">
        <f t="shared" si="1132"/>
        <v>Upgraded</v>
      </c>
      <c r="G12843" s="153"/>
      <c r="H12843" s="210">
        <v>-1.6400000000000001E-2</v>
      </c>
      <c r="I12843" s="160" t="s">
        <v>62</v>
      </c>
      <c r="J12843" s="160">
        <v>-4.8799999999999998E-3</v>
      </c>
      <c r="K12843" s="160" t="s">
        <v>14</v>
      </c>
      <c r="L12843" s="154" t="str">
        <f>IF(OpenLCAbasic!K12843="CTUh", "Fill in Manually",IF(OR(K12843="Unit", K12843=""), "", INDEX(LookUps!$E$5:$E$12, MATCH(OpenLCAbasic!K12843,LookUps!$D$5:$D$12,0))))</f>
        <v>Fossil Depletion Potential (FDP) - kg oil eq</v>
      </c>
      <c r="M12843" s="154" t="str">
        <f t="shared" si="1127"/>
        <v>Low_Base_Low_Upgraded_Fossil Depletion Potential (FDP) - kg oil eq_Land application of compost; wastewater treatment unit; at updated plant - US_Without Amendment_Aerated Static Pile</v>
      </c>
    </row>
    <row r="12844" spans="1:13" s="120" customFormat="1" x14ac:dyDescent="0.25">
      <c r="A12844" s="119"/>
      <c r="B12844" s="138" t="str">
        <f t="shared" si="1128"/>
        <v/>
      </c>
      <c r="C12844" s="138" t="str">
        <f t="shared" si="1129"/>
        <v/>
      </c>
      <c r="D12844" s="138" t="str">
        <f t="shared" si="1130"/>
        <v/>
      </c>
      <c r="E12844" s="138" t="str">
        <f t="shared" si="1131"/>
        <v/>
      </c>
      <c r="F12844" s="138" t="str">
        <f t="shared" si="1132"/>
        <v/>
      </c>
      <c r="G12844" s="153" t="s">
        <v>51</v>
      </c>
      <c r="H12844" s="160"/>
      <c r="I12844" s="160" t="s">
        <v>47</v>
      </c>
      <c r="J12844" s="160" t="s">
        <v>52</v>
      </c>
      <c r="K12844" s="160" t="s">
        <v>27</v>
      </c>
      <c r="L12844" s="154" t="str">
        <f>IF(OpenLCAbasic!K12844="CTUh", "Fill in Manually",IF(OR(K12844="Unit", K12844=""), "", INDEX(LookUps!$E$5:$E$12, MATCH(OpenLCAbasic!K12844,LookUps!$D$5:$D$12,0))))</f>
        <v/>
      </c>
      <c r="M12844" s="154" t="str">
        <f t="shared" si="1127"/>
        <v>____Process__</v>
      </c>
    </row>
    <row r="12845" spans="1:13" s="120" customFormat="1" x14ac:dyDescent="0.25">
      <c r="A12845" s="119"/>
      <c r="B12845" s="138" t="str">
        <f t="shared" si="1128"/>
        <v>Aerated Static Pile</v>
      </c>
      <c r="C12845" s="138" t="str">
        <f t="shared" si="1129"/>
        <v>Without Amendment</v>
      </c>
      <c r="D12845" s="138" t="str">
        <f t="shared" si="1130"/>
        <v>Base_Low</v>
      </c>
      <c r="E12845" s="138" t="str">
        <f t="shared" si="1131"/>
        <v>Low</v>
      </c>
      <c r="F12845" s="138" t="str">
        <f t="shared" si="1132"/>
        <v>Upgraded</v>
      </c>
      <c r="G12845" s="153"/>
      <c r="H12845" s="210">
        <v>0.28589999999999999</v>
      </c>
      <c r="I12845" s="160" t="s">
        <v>58</v>
      </c>
      <c r="J12845" s="160">
        <v>0.24279999999999999</v>
      </c>
      <c r="K12845" s="160" t="s">
        <v>23</v>
      </c>
      <c r="L12845" s="154" t="str">
        <f>IF(OpenLCAbasic!K12845="CTUh", "Fill in Manually",IF(OR(K12845="Unit", K12845=""), "", INDEX(LookUps!$E$5:$E$12, MATCH(OpenLCAbasic!K12845,LookUps!$D$5:$D$12,0))))</f>
        <v>Global Warming Potential (GWP) - kg CO2 eq</v>
      </c>
      <c r="M12845" s="154" t="str">
        <f t="shared" si="1127"/>
        <v>Low_Base_Low_Upgraded_Global Warming Potential (GWP) - kg CO2 eq_Pre-Anoxic &amp; Swing tank; wastewater treatment unit; at updated plant - US_Without Amendment_Aerated Static Pile</v>
      </c>
    </row>
    <row r="12846" spans="1:13" s="120" customFormat="1" x14ac:dyDescent="0.25">
      <c r="A12846" s="119"/>
      <c r="B12846" s="138" t="str">
        <f t="shared" si="1128"/>
        <v>Aerated Static Pile</v>
      </c>
      <c r="C12846" s="138" t="str">
        <f t="shared" si="1129"/>
        <v>Without Amendment</v>
      </c>
      <c r="D12846" s="138" t="str">
        <f t="shared" si="1130"/>
        <v>Base_Low</v>
      </c>
      <c r="E12846" s="138" t="str">
        <f t="shared" si="1131"/>
        <v>Low</v>
      </c>
      <c r="F12846" s="138" t="str">
        <f t="shared" si="1132"/>
        <v>Upgraded</v>
      </c>
      <c r="G12846" s="153"/>
      <c r="H12846" s="210">
        <v>0.20660000000000001</v>
      </c>
      <c r="I12846" s="160" t="s">
        <v>149</v>
      </c>
      <c r="J12846" s="160">
        <v>0.17544999999999999</v>
      </c>
      <c r="K12846" s="160" t="s">
        <v>23</v>
      </c>
      <c r="L12846" s="154" t="str">
        <f>IF(OpenLCAbasic!K12846="CTUh", "Fill in Manually",IF(OR(K12846="Unit", K12846=""), "", INDEX(LookUps!$E$5:$E$12, MATCH(OpenLCAbasic!K12846,LookUps!$D$5:$D$12,0))))</f>
        <v>Global Warming Potential (GWP) - kg CO2 eq</v>
      </c>
      <c r="M12846" s="154" t="str">
        <f t="shared" si="1127"/>
        <v>Low_Base_Low_Upgraded_Global Warming Potential (GWP) - kg CO2 eq_Anaerobic Digestion; wastewater treatment unit; at updated plant - US_Without Amendment_Aerated Static Pile</v>
      </c>
    </row>
    <row r="12847" spans="1:13" s="120" customFormat="1" x14ac:dyDescent="0.25">
      <c r="A12847" s="119"/>
      <c r="B12847" s="138" t="str">
        <f t="shared" si="1128"/>
        <v>Aerated Static Pile</v>
      </c>
      <c r="C12847" s="138" t="str">
        <f t="shared" si="1129"/>
        <v>Without Amendment</v>
      </c>
      <c r="D12847" s="138" t="str">
        <f t="shared" si="1130"/>
        <v>Base_Low</v>
      </c>
      <c r="E12847" s="138" t="str">
        <f t="shared" si="1131"/>
        <v>Low</v>
      </c>
      <c r="F12847" s="138" t="str">
        <f t="shared" si="1132"/>
        <v>Upgraded</v>
      </c>
      <c r="G12847" s="153"/>
      <c r="H12847" s="210">
        <v>0.1981</v>
      </c>
      <c r="I12847" s="160" t="s">
        <v>55</v>
      </c>
      <c r="J12847" s="160">
        <v>0.16822000000000001</v>
      </c>
      <c r="K12847" s="160" t="s">
        <v>23</v>
      </c>
      <c r="L12847" s="154" t="str">
        <f>IF(OpenLCAbasic!K12847="CTUh", "Fill in Manually",IF(OR(K12847="Unit", K12847=""), "", INDEX(LookUps!$E$5:$E$12, MATCH(OpenLCAbasic!K12847,LookUps!$D$5:$D$12,0))))</f>
        <v>Global Warming Potential (GWP) - kg CO2 eq</v>
      </c>
      <c r="M12847" s="154" t="str">
        <f t="shared" si="1127"/>
        <v>Low_Base_Low_Upgraded_Global Warming Potential (GWP) - kg CO2 eq_Aeration Tanks; wastewater treatment unit; at updated plant - US_Without Amendment_Aerated Static Pile</v>
      </c>
    </row>
    <row r="12848" spans="1:13" s="120" customFormat="1" x14ac:dyDescent="0.25">
      <c r="A12848" s="119"/>
      <c r="B12848" s="138" t="str">
        <f t="shared" si="1128"/>
        <v>Aerated Static Pile</v>
      </c>
      <c r="C12848" s="138" t="str">
        <f t="shared" si="1129"/>
        <v>Without Amendment</v>
      </c>
      <c r="D12848" s="138" t="str">
        <f t="shared" si="1130"/>
        <v>Base_Low</v>
      </c>
      <c r="E12848" s="138" t="str">
        <f t="shared" si="1131"/>
        <v>Low</v>
      </c>
      <c r="F12848" s="138" t="str">
        <f t="shared" si="1132"/>
        <v>Upgraded</v>
      </c>
      <c r="G12848" s="153"/>
      <c r="H12848" s="210">
        <v>0.1206</v>
      </c>
      <c r="I12848" s="160" t="s">
        <v>167</v>
      </c>
      <c r="J12848" s="160">
        <v>0.10241</v>
      </c>
      <c r="K12848" s="160" t="s">
        <v>23</v>
      </c>
      <c r="L12848" s="154" t="str">
        <f>IF(OpenLCAbasic!K12848="CTUh", "Fill in Manually",IF(OR(K12848="Unit", K12848=""), "", INDEX(LookUps!$E$5:$E$12, MATCH(OpenLCAbasic!K12848,LookUps!$D$5:$D$12,0))))</f>
        <v>Global Warming Potential (GWP) - kg CO2 eq</v>
      </c>
      <c r="M12848" s="154" t="str">
        <f t="shared" si="1127"/>
        <v>Low_Base_Low_Upgraded_Global Warming Potential (GWP) - kg CO2 eq_Waste Receiving and Holding; wastewater treatment unit; at updated plant - US_Without Amendment_Aerated Static Pile</v>
      </c>
    </row>
    <row r="12849" spans="1:13" s="120" customFormat="1" x14ac:dyDescent="0.25">
      <c r="A12849" s="119"/>
      <c r="B12849" s="138" t="str">
        <f t="shared" si="1128"/>
        <v>Aerated Static Pile</v>
      </c>
      <c r="C12849" s="138" t="str">
        <f t="shared" si="1129"/>
        <v>Without Amendment</v>
      </c>
      <c r="D12849" s="138" t="str">
        <f t="shared" si="1130"/>
        <v>Base_Low</v>
      </c>
      <c r="E12849" s="138" t="str">
        <f t="shared" si="1131"/>
        <v>Low</v>
      </c>
      <c r="F12849" s="138" t="str">
        <f t="shared" si="1132"/>
        <v>Upgraded</v>
      </c>
      <c r="G12849" s="153"/>
      <c r="H12849" s="210">
        <v>7.0599999999999996E-2</v>
      </c>
      <c r="I12849" s="160" t="s">
        <v>435</v>
      </c>
      <c r="J12849" s="160">
        <v>5.9990000000000002E-2</v>
      </c>
      <c r="K12849" s="160" t="s">
        <v>23</v>
      </c>
      <c r="L12849" s="154" t="str">
        <f>IF(OpenLCAbasic!K12849="CTUh", "Fill in Manually",IF(OR(K12849="Unit", K12849=""), "", INDEX(LookUps!$E$5:$E$12, MATCH(OpenLCAbasic!K12849,LookUps!$D$5:$D$12,0))))</f>
        <v>Global Warming Potential (GWP) - kg CO2 eq</v>
      </c>
      <c r="M12849" s="154" t="str">
        <f t="shared" si="1127"/>
        <v>Low_Base_Low_Upgraded_Global Warming Potential (GWP) - kg CO2 eq_Biosolids composting; aerated static pile; wastewater treatment unit; at updated plant - US_Without Amendment_Aerated Static Pile</v>
      </c>
    </row>
    <row r="12850" spans="1:13" s="120" customFormat="1" x14ac:dyDescent="0.25">
      <c r="A12850" s="119"/>
      <c r="B12850" s="138" t="str">
        <f t="shared" si="1128"/>
        <v>Aerated Static Pile</v>
      </c>
      <c r="C12850" s="138" t="str">
        <f t="shared" si="1129"/>
        <v>Without Amendment</v>
      </c>
      <c r="D12850" s="138" t="str">
        <f t="shared" si="1130"/>
        <v>Base_Low</v>
      </c>
      <c r="E12850" s="138" t="str">
        <f t="shared" si="1131"/>
        <v>Low</v>
      </c>
      <c r="F12850" s="138" t="str">
        <f t="shared" si="1132"/>
        <v>Upgraded</v>
      </c>
      <c r="G12850" s="153"/>
      <c r="H12850" s="210">
        <v>6.7199999999999996E-2</v>
      </c>
      <c r="I12850" s="160" t="s">
        <v>54</v>
      </c>
      <c r="J12850" s="160">
        <v>5.7079999999999999E-2</v>
      </c>
      <c r="K12850" s="160" t="s">
        <v>23</v>
      </c>
      <c r="L12850" s="154" t="str">
        <f>IF(OpenLCAbasic!K12850="CTUh", "Fill in Manually",IF(OR(K12850="Unit", K12850=""), "", INDEX(LookUps!$E$5:$E$12, MATCH(OpenLCAbasic!K12850,LookUps!$D$5:$D$12,0))))</f>
        <v>Global Warming Potential (GWP) - kg CO2 eq</v>
      </c>
      <c r="M12850" s="154" t="str">
        <f t="shared" si="1127"/>
        <v>Low_Base_Low_Upgraded_Global Warming Potential (GWP) - kg CO2 eq_Clear Cove Primary Clarification; wastewater treatment unit; at updated plant - US_Without Amendment_Aerated Static Pile</v>
      </c>
    </row>
    <row r="12851" spans="1:13" s="120" customFormat="1" x14ac:dyDescent="0.25">
      <c r="A12851" s="119"/>
      <c r="B12851" s="138" t="str">
        <f t="shared" si="1128"/>
        <v>Aerated Static Pile</v>
      </c>
      <c r="C12851" s="138" t="str">
        <f t="shared" si="1129"/>
        <v>Without Amendment</v>
      </c>
      <c r="D12851" s="138" t="str">
        <f t="shared" si="1130"/>
        <v>Base_Low</v>
      </c>
      <c r="E12851" s="138" t="str">
        <f t="shared" si="1131"/>
        <v>Low</v>
      </c>
      <c r="F12851" s="138" t="str">
        <f t="shared" si="1132"/>
        <v>Upgraded</v>
      </c>
      <c r="G12851" s="153"/>
      <c r="H12851" s="210">
        <v>6.2E-2</v>
      </c>
      <c r="I12851" s="160" t="s">
        <v>48</v>
      </c>
      <c r="J12851" s="160">
        <v>5.2639999999999999E-2</v>
      </c>
      <c r="K12851" s="160" t="s">
        <v>23</v>
      </c>
      <c r="L12851" s="154" t="str">
        <f>IF(OpenLCAbasic!K12851="CTUh", "Fill in Manually",IF(OR(K12851="Unit", K12851=""), "", INDEX(LookUps!$E$5:$E$12, MATCH(OpenLCAbasic!K12851,LookUps!$D$5:$D$12,0))))</f>
        <v>Global Warming Potential (GWP) - kg CO2 eq</v>
      </c>
      <c r="M12851" s="154" t="str">
        <f t="shared" si="1127"/>
        <v>Low_Base_Low_Upgraded_Global Warming Potential (GWP) - kg CO2 eq_Effluent release; wastewater treatment unit; at surface water; m3 wastewater - US_Without Amendment_Aerated Static Pile</v>
      </c>
    </row>
    <row r="12852" spans="1:13" s="120" customFormat="1" x14ac:dyDescent="0.25">
      <c r="A12852" s="119"/>
      <c r="B12852" s="138" t="str">
        <f t="shared" si="1128"/>
        <v>Aerated Static Pile</v>
      </c>
      <c r="C12852" s="138" t="str">
        <f t="shared" si="1129"/>
        <v>Without Amendment</v>
      </c>
      <c r="D12852" s="138" t="str">
        <f t="shared" si="1130"/>
        <v>Base_Low</v>
      </c>
      <c r="E12852" s="138" t="str">
        <f t="shared" si="1131"/>
        <v>Low</v>
      </c>
      <c r="F12852" s="138" t="str">
        <f t="shared" si="1132"/>
        <v>Upgraded</v>
      </c>
      <c r="G12852" s="153"/>
      <c r="H12852" s="210">
        <v>5.9499999999999997E-2</v>
      </c>
      <c r="I12852" s="160" t="s">
        <v>147</v>
      </c>
      <c r="J12852" s="160">
        <v>5.0500000000000003E-2</v>
      </c>
      <c r="K12852" s="160" t="s">
        <v>23</v>
      </c>
      <c r="L12852" s="154" t="str">
        <f>IF(OpenLCAbasic!K12852="CTUh", "Fill in Manually",IF(OR(K12852="Unit", K12852=""), "", INDEX(LookUps!$E$5:$E$12, MATCH(OpenLCAbasic!K12852,LookUps!$D$5:$D$12,0))))</f>
        <v>Global Warming Potential (GWP) - kg CO2 eq</v>
      </c>
      <c r="M12852" s="154" t="str">
        <f t="shared" si="1127"/>
        <v>Low_Base_Low_Upgraded_Global Warming Potential (GWP) - kg CO2 eq_Influent Pump Station; wastewater treatment unit; at updated plant - US_Without Amendment_Aerated Static Pile</v>
      </c>
    </row>
    <row r="12853" spans="1:13" s="120" customFormat="1" x14ac:dyDescent="0.25">
      <c r="A12853" s="119"/>
      <c r="B12853" s="138" t="str">
        <f t="shared" si="1128"/>
        <v>Aerated Static Pile</v>
      </c>
      <c r="C12853" s="138" t="str">
        <f t="shared" si="1129"/>
        <v>Without Amendment</v>
      </c>
      <c r="D12853" s="138" t="str">
        <f t="shared" si="1130"/>
        <v>Base_Low</v>
      </c>
      <c r="E12853" s="138" t="str">
        <f t="shared" si="1131"/>
        <v>Low</v>
      </c>
      <c r="F12853" s="138" t="str">
        <f t="shared" si="1132"/>
        <v>Upgraded</v>
      </c>
      <c r="G12853" s="153"/>
      <c r="H12853" s="210">
        <v>3.9199999999999999E-2</v>
      </c>
      <c r="I12853" s="160" t="s">
        <v>53</v>
      </c>
      <c r="J12853" s="160">
        <v>3.3259999999999998E-2</v>
      </c>
      <c r="K12853" s="160" t="s">
        <v>23</v>
      </c>
      <c r="L12853" s="154" t="str">
        <f>IF(OpenLCAbasic!K12853="CTUh", "Fill in Manually",IF(OR(K12853="Unit", K12853=""), "", INDEX(LookUps!$E$5:$E$12, MATCH(OpenLCAbasic!K12853,LookUps!$D$5:$D$12,0))))</f>
        <v>Global Warming Potential (GWP) - kg CO2 eq</v>
      </c>
      <c r="M12853" s="154" t="str">
        <f t="shared" si="1127"/>
        <v>Low_Base_Low_Upgraded_Global Warming Potential (GWP) - kg CO2 eq_Wet Well and Sump Station; wastewater treatment unit; at updated plant - US_Without Amendment_Aerated Static Pile</v>
      </c>
    </row>
    <row r="12854" spans="1:13" s="120" customFormat="1" x14ac:dyDescent="0.25">
      <c r="A12854" s="119"/>
      <c r="B12854" s="138" t="str">
        <f t="shared" si="1128"/>
        <v>Aerated Static Pile</v>
      </c>
      <c r="C12854" s="138" t="str">
        <f t="shared" si="1129"/>
        <v>Without Amendment</v>
      </c>
      <c r="D12854" s="138" t="str">
        <f t="shared" si="1130"/>
        <v>Base_Low</v>
      </c>
      <c r="E12854" s="138" t="str">
        <f t="shared" si="1131"/>
        <v>Low</v>
      </c>
      <c r="F12854" s="138" t="str">
        <f t="shared" si="1132"/>
        <v>Upgraded</v>
      </c>
      <c r="G12854" s="153"/>
      <c r="H12854" s="210">
        <v>1.7100000000000001E-2</v>
      </c>
      <c r="I12854" s="160" t="s">
        <v>57</v>
      </c>
      <c r="J12854" s="160">
        <v>1.455E-2</v>
      </c>
      <c r="K12854" s="160" t="s">
        <v>23</v>
      </c>
      <c r="L12854" s="154" t="str">
        <f>IF(OpenLCAbasic!K12854="CTUh", "Fill in Manually",IF(OR(K12854="Unit", K12854=""), "", INDEX(LookUps!$E$5:$E$12, MATCH(OpenLCAbasic!K12854,LookUps!$D$5:$D$12,0))))</f>
        <v>Global Warming Potential (GWP) - kg CO2 eq</v>
      </c>
      <c r="M12854" s="154" t="str">
        <f t="shared" si="1127"/>
        <v>Low_Base_Low_Upgraded_Global Warming Potential (GWP) - kg CO2 eq_Gravity Belt Thickener; wastewater treatment unit; at updated plant - US_Without Amendment_Aerated Static Pile</v>
      </c>
    </row>
    <row r="12855" spans="1:13" s="120" customFormat="1" x14ac:dyDescent="0.25">
      <c r="A12855" s="119"/>
      <c r="B12855" s="138" t="str">
        <f t="shared" si="1128"/>
        <v>Aerated Static Pile</v>
      </c>
      <c r="C12855" s="138" t="str">
        <f t="shared" si="1129"/>
        <v>Without Amendment</v>
      </c>
      <c r="D12855" s="138" t="str">
        <f t="shared" si="1130"/>
        <v>Base_Low</v>
      </c>
      <c r="E12855" s="138" t="str">
        <f t="shared" si="1131"/>
        <v>Low</v>
      </c>
      <c r="F12855" s="138" t="str">
        <f t="shared" si="1132"/>
        <v>Upgraded</v>
      </c>
      <c r="G12855" s="153"/>
      <c r="H12855" s="210">
        <v>1.67E-2</v>
      </c>
      <c r="I12855" s="160" t="s">
        <v>60</v>
      </c>
      <c r="J12855" s="160">
        <v>1.418E-2</v>
      </c>
      <c r="K12855" s="160" t="s">
        <v>23</v>
      </c>
      <c r="L12855" s="154" t="str">
        <f>IF(OpenLCAbasic!K12855="CTUh", "Fill in Manually",IF(OR(K12855="Unit", K12855=""), "", INDEX(LookUps!$E$5:$E$12, MATCH(OpenLCAbasic!K12855,LookUps!$D$5:$D$12,0))))</f>
        <v>Global Warming Potential (GWP) - kg CO2 eq</v>
      </c>
      <c r="M12855" s="154" t="str">
        <f t="shared" si="1127"/>
        <v>Low_Base_Low_Upgraded_Global Warming Potential (GWP) - kg CO2 eq_Belt filter press; wastewater treatment unit; at updated plant - US_Without Amendment_Aerated Static Pile</v>
      </c>
    </row>
    <row r="12856" spans="1:13" s="120" customFormat="1" x14ac:dyDescent="0.25">
      <c r="A12856" s="119"/>
      <c r="B12856" s="138" t="str">
        <f t="shared" si="1128"/>
        <v>Aerated Static Pile</v>
      </c>
      <c r="C12856" s="138" t="str">
        <f t="shared" si="1129"/>
        <v>Without Amendment</v>
      </c>
      <c r="D12856" s="138" t="str">
        <f t="shared" si="1130"/>
        <v>Base_Low</v>
      </c>
      <c r="E12856" s="138" t="str">
        <f t="shared" si="1131"/>
        <v>Low</v>
      </c>
      <c r="F12856" s="138" t="str">
        <f t="shared" si="1132"/>
        <v>Upgraded</v>
      </c>
      <c r="G12856" s="153"/>
      <c r="H12856" s="210">
        <v>1.5900000000000001E-2</v>
      </c>
      <c r="I12856" s="160" t="s">
        <v>128</v>
      </c>
      <c r="J12856" s="160">
        <v>1.3509999999999999E-2</v>
      </c>
      <c r="K12856" s="160" t="s">
        <v>23</v>
      </c>
      <c r="L12856" s="154" t="str">
        <f>IF(OpenLCAbasic!K12856="CTUh", "Fill in Manually",IF(OR(K12856="Unit", K12856=""), "", INDEX(LookUps!$E$5:$E$12, MATCH(OpenLCAbasic!K12856,LookUps!$D$5:$D$12,0))))</f>
        <v>Global Warming Potential (GWP) - kg CO2 eq</v>
      </c>
      <c r="M12856" s="154" t="str">
        <f t="shared" si="1127"/>
        <v>Low_Base_Low_Upgraded_Global Warming Potential (GWP) - kg CO2 eq_Wastewater collection; operation and infrastructure; m3 wastewater_Without Amendment_Aerated Static Pile</v>
      </c>
    </row>
    <row r="12857" spans="1:13" s="120" customFormat="1" x14ac:dyDescent="0.25">
      <c r="A12857" s="119"/>
      <c r="B12857" s="138" t="str">
        <f t="shared" si="1128"/>
        <v>Aerated Static Pile</v>
      </c>
      <c r="C12857" s="138" t="str">
        <f t="shared" si="1129"/>
        <v>Without Amendment</v>
      </c>
      <c r="D12857" s="138" t="str">
        <f t="shared" si="1130"/>
        <v>Base_Low</v>
      </c>
      <c r="E12857" s="138" t="str">
        <f t="shared" si="1131"/>
        <v>Low</v>
      </c>
      <c r="F12857" s="138" t="str">
        <f t="shared" si="1132"/>
        <v>Upgraded</v>
      </c>
      <c r="G12857" s="153"/>
      <c r="H12857" s="210">
        <v>9.7999999999999997E-3</v>
      </c>
      <c r="I12857" s="160" t="s">
        <v>148</v>
      </c>
      <c r="J12857" s="160">
        <v>8.3000000000000001E-3</v>
      </c>
      <c r="K12857" s="160" t="s">
        <v>23</v>
      </c>
      <c r="L12857" s="154" t="str">
        <f>IF(OpenLCAbasic!K12857="CTUh", "Fill in Manually",IF(OR(K12857="Unit", K12857=""), "", INDEX(LookUps!$E$5:$E$12, MATCH(OpenLCAbasic!K12857,LookUps!$D$5:$D$12,0))))</f>
        <v>Global Warming Potential (GWP) - kg CO2 eq</v>
      </c>
      <c r="M12857" s="154" t="str">
        <f t="shared" si="1127"/>
        <v>Low_Base_Low_Upgraded_Global Warming Potential (GWP) - kg CO2 eq_Control Building; at upgraded wastewater treatment plant - US_Without Amendment_Aerated Static Pile</v>
      </c>
    </row>
    <row r="12858" spans="1:13" s="120" customFormat="1" x14ac:dyDescent="0.25">
      <c r="A12858" s="119"/>
      <c r="B12858" s="138" t="str">
        <f t="shared" si="1128"/>
        <v>Aerated Static Pile</v>
      </c>
      <c r="C12858" s="138" t="str">
        <f t="shared" si="1129"/>
        <v>Without Amendment</v>
      </c>
      <c r="D12858" s="138" t="str">
        <f t="shared" si="1130"/>
        <v>Base_Low</v>
      </c>
      <c r="E12858" s="138" t="str">
        <f t="shared" si="1131"/>
        <v>Low</v>
      </c>
      <c r="F12858" s="138" t="str">
        <f t="shared" si="1132"/>
        <v>Upgraded</v>
      </c>
      <c r="G12858" s="153"/>
      <c r="H12858" s="210">
        <v>5.8999999999999999E-3</v>
      </c>
      <c r="I12858" s="160" t="s">
        <v>59</v>
      </c>
      <c r="J12858" s="160">
        <v>5.0400000000000002E-3</v>
      </c>
      <c r="K12858" s="160" t="s">
        <v>23</v>
      </c>
      <c r="L12858" s="154" t="str">
        <f>IF(OpenLCAbasic!K12858="CTUh", "Fill in Manually",IF(OR(K12858="Unit", K12858=""), "", INDEX(LookUps!$E$5:$E$12, MATCH(OpenLCAbasic!K12858,LookUps!$D$5:$D$12,0))))</f>
        <v>Global Warming Potential (GWP) - kg CO2 eq</v>
      </c>
      <c r="M12858" s="154" t="str">
        <f t="shared" si="1127"/>
        <v>Low_Base_Low_Upgraded_Global Warming Potential (GWP) - kg CO2 eq_Blend Tank; wastewater treatment unit; at updated plant - US_Without Amendment_Aerated Static Pile</v>
      </c>
    </row>
    <row r="12859" spans="1:13" s="120" customFormat="1" x14ac:dyDescent="0.25">
      <c r="A12859" s="119"/>
      <c r="B12859" s="138" t="str">
        <f t="shared" si="1128"/>
        <v>Aerated Static Pile</v>
      </c>
      <c r="C12859" s="138" t="str">
        <f t="shared" si="1129"/>
        <v>Without Amendment</v>
      </c>
      <c r="D12859" s="138" t="str">
        <f t="shared" si="1130"/>
        <v>Base_Low</v>
      </c>
      <c r="E12859" s="138" t="str">
        <f t="shared" si="1131"/>
        <v>Low</v>
      </c>
      <c r="F12859" s="138" t="str">
        <f t="shared" si="1132"/>
        <v>Upgraded</v>
      </c>
      <c r="G12859" s="153"/>
      <c r="H12859" s="210">
        <v>2.8E-3</v>
      </c>
      <c r="I12859" s="160" t="s">
        <v>168</v>
      </c>
      <c r="J12859" s="160">
        <v>2.4099999999999998E-3</v>
      </c>
      <c r="K12859" s="160" t="s">
        <v>23</v>
      </c>
      <c r="L12859" s="154" t="str">
        <f>IF(OpenLCAbasic!K12859="CTUh", "Fill in Manually",IF(OR(K12859="Unit", K12859=""), "", INDEX(LookUps!$E$5:$E$12, MATCH(OpenLCAbasic!K12859,LookUps!$D$5:$D$12,0))))</f>
        <v>Global Warming Potential (GWP) - kg CO2 eq</v>
      </c>
      <c r="M12859" s="154" t="str">
        <f t="shared" si="1127"/>
        <v>Low_Base_Low_Upgraded_Global Warming Potential (GWP) - kg CO2 eq_ClearCove SCP; wastewater treatment unit; at updated plant - US_Without Amendment_Aerated Static Pile</v>
      </c>
    </row>
    <row r="12860" spans="1:13" s="120" customFormat="1" x14ac:dyDescent="0.25">
      <c r="A12860" s="119"/>
      <c r="B12860" s="138" t="str">
        <f t="shared" si="1128"/>
        <v>Aerated Static Pile</v>
      </c>
      <c r="C12860" s="138" t="str">
        <f t="shared" si="1129"/>
        <v>Without Amendment</v>
      </c>
      <c r="D12860" s="138" t="str">
        <f t="shared" si="1130"/>
        <v>Base_Low</v>
      </c>
      <c r="E12860" s="138" t="str">
        <f t="shared" si="1131"/>
        <v>Low</v>
      </c>
      <c r="F12860" s="138" t="str">
        <f t="shared" si="1132"/>
        <v>Upgraded</v>
      </c>
      <c r="G12860" s="153"/>
      <c r="H12860" s="210">
        <v>-0.17780000000000001</v>
      </c>
      <c r="I12860" s="160" t="s">
        <v>62</v>
      </c>
      <c r="J12860" s="160">
        <v>-0.151</v>
      </c>
      <c r="K12860" s="160" t="s">
        <v>23</v>
      </c>
      <c r="L12860" s="154" t="str">
        <f>IF(OpenLCAbasic!K12860="CTUh", "Fill in Manually",IF(OR(K12860="Unit", K12860=""), "", INDEX(LookUps!$E$5:$E$12, MATCH(OpenLCAbasic!K12860,LookUps!$D$5:$D$12,0))))</f>
        <v>Global Warming Potential (GWP) - kg CO2 eq</v>
      </c>
      <c r="M12860" s="154" t="str">
        <f t="shared" si="1127"/>
        <v>Low_Base_Low_Upgraded_Global Warming Potential (GWP) - kg CO2 eq_Land application of compost; wastewater treatment unit; at updated plant - US_Without Amendment_Aerated Static Pile</v>
      </c>
    </row>
    <row r="12861" spans="1:13" s="120" customFormat="1" x14ac:dyDescent="0.25">
      <c r="A12861" s="119"/>
      <c r="B12861" s="138" t="str">
        <f t="shared" si="1128"/>
        <v/>
      </c>
      <c r="C12861" s="138" t="str">
        <f t="shared" si="1129"/>
        <v/>
      </c>
      <c r="D12861" s="138" t="str">
        <f t="shared" si="1130"/>
        <v/>
      </c>
      <c r="E12861" s="138" t="str">
        <f t="shared" si="1131"/>
        <v/>
      </c>
      <c r="F12861" s="138" t="str">
        <f t="shared" si="1132"/>
        <v/>
      </c>
      <c r="G12861" s="153" t="s">
        <v>51</v>
      </c>
      <c r="H12861" s="160"/>
      <c r="I12861" s="160" t="s">
        <v>47</v>
      </c>
      <c r="J12861" s="160" t="s">
        <v>52</v>
      </c>
      <c r="K12861" s="160" t="s">
        <v>27</v>
      </c>
      <c r="L12861" s="154" t="str">
        <f>IF(OpenLCAbasic!K12861="CTUh", "Fill in Manually",IF(OR(K12861="Unit", K12861=""), "", INDEX(LookUps!$E$5:$E$12, MATCH(OpenLCAbasic!K12861,LookUps!$D$5:$D$12,0))))</f>
        <v/>
      </c>
      <c r="M12861" s="154" t="str">
        <f t="shared" si="1127"/>
        <v>____Process__</v>
      </c>
    </row>
    <row r="12862" spans="1:13" s="120" customFormat="1" x14ac:dyDescent="0.25">
      <c r="A12862" s="119"/>
      <c r="B12862" s="138" t="str">
        <f t="shared" si="1128"/>
        <v>Aerated Static Pile</v>
      </c>
      <c r="C12862" s="138" t="str">
        <f t="shared" si="1129"/>
        <v>Without Amendment</v>
      </c>
      <c r="D12862" s="138" t="str">
        <f t="shared" si="1130"/>
        <v>Base_Low</v>
      </c>
      <c r="E12862" s="138" t="str">
        <f t="shared" si="1131"/>
        <v>Low</v>
      </c>
      <c r="F12862" s="138" t="str">
        <f t="shared" si="1132"/>
        <v>Upgraded</v>
      </c>
      <c r="G12862" s="153"/>
      <c r="H12862" s="210">
        <v>0.40229999999999999</v>
      </c>
      <c r="I12862" s="160" t="s">
        <v>55</v>
      </c>
      <c r="J12862" s="160">
        <v>2.33E-3</v>
      </c>
      <c r="K12862" s="160" t="s">
        <v>145</v>
      </c>
      <c r="L12862" s="154" t="str">
        <f>IF(OpenLCAbasic!K12862="CTUh", "Fill in Manually",IF(OR(K12862="Unit", K12862=""), "", INDEX(LookUps!$E$5:$E$12, MATCH(OpenLCAbasic!K12862,LookUps!$D$5:$D$12,0))))</f>
        <v>Particulate Matter Formation Potential (PMFP) - kg PM2.5 eq</v>
      </c>
      <c r="M12862" s="154" t="str">
        <f t="shared" si="1127"/>
        <v>Low_Base_Low_Upgraded_Particulate Matter Formation Potential (PMFP) - kg PM2.5 eq_Aeration Tanks; wastewater treatment unit; at updated plant - US_Without Amendment_Aerated Static Pile</v>
      </c>
    </row>
    <row r="12863" spans="1:13" s="120" customFormat="1" x14ac:dyDescent="0.25">
      <c r="A12863" s="119"/>
      <c r="B12863" s="138" t="str">
        <f t="shared" si="1128"/>
        <v>Aerated Static Pile</v>
      </c>
      <c r="C12863" s="138" t="str">
        <f t="shared" si="1129"/>
        <v>Without Amendment</v>
      </c>
      <c r="D12863" s="138" t="str">
        <f t="shared" si="1130"/>
        <v>Base_Low</v>
      </c>
      <c r="E12863" s="138" t="str">
        <f t="shared" si="1131"/>
        <v>Low</v>
      </c>
      <c r="F12863" s="138" t="str">
        <f t="shared" si="1132"/>
        <v>Upgraded</v>
      </c>
      <c r="G12863" s="153"/>
      <c r="H12863" s="210">
        <v>0.1171</v>
      </c>
      <c r="I12863" s="160" t="s">
        <v>54</v>
      </c>
      <c r="J12863" s="160">
        <v>6.8000000000000005E-4</v>
      </c>
      <c r="K12863" s="160" t="s">
        <v>145</v>
      </c>
      <c r="L12863" s="154" t="str">
        <f>IF(OpenLCAbasic!K12863="CTUh", "Fill in Manually",IF(OR(K12863="Unit", K12863=""), "", INDEX(LookUps!$E$5:$E$12, MATCH(OpenLCAbasic!K12863,LookUps!$D$5:$D$12,0))))</f>
        <v>Particulate Matter Formation Potential (PMFP) - kg PM2.5 eq</v>
      </c>
      <c r="M12863" s="154" t="str">
        <f t="shared" si="1127"/>
        <v>Low_Base_Low_Upgraded_Particulate Matter Formation Potential (PMFP) - kg PM2.5 eq_Clear Cove Primary Clarification; wastewater treatment unit; at updated plant - US_Without Amendment_Aerated Static Pile</v>
      </c>
    </row>
    <row r="12864" spans="1:13" s="120" customFormat="1" x14ac:dyDescent="0.25">
      <c r="A12864" s="119"/>
      <c r="B12864" s="138" t="str">
        <f t="shared" si="1128"/>
        <v>Aerated Static Pile</v>
      </c>
      <c r="C12864" s="138" t="str">
        <f t="shared" si="1129"/>
        <v>Without Amendment</v>
      </c>
      <c r="D12864" s="138" t="str">
        <f t="shared" si="1130"/>
        <v>Base_Low</v>
      </c>
      <c r="E12864" s="138" t="str">
        <f t="shared" si="1131"/>
        <v>Low</v>
      </c>
      <c r="F12864" s="138" t="str">
        <f t="shared" si="1132"/>
        <v>Upgraded</v>
      </c>
      <c r="G12864" s="153"/>
      <c r="H12864" s="210">
        <v>0.1012</v>
      </c>
      <c r="I12864" s="160" t="s">
        <v>58</v>
      </c>
      <c r="J12864" s="160">
        <v>5.9000000000000003E-4</v>
      </c>
      <c r="K12864" s="160" t="s">
        <v>145</v>
      </c>
      <c r="L12864" s="154" t="str">
        <f>IF(OpenLCAbasic!K12864="CTUh", "Fill in Manually",IF(OR(K12864="Unit", K12864=""), "", INDEX(LookUps!$E$5:$E$12, MATCH(OpenLCAbasic!K12864,LookUps!$D$5:$D$12,0))))</f>
        <v>Particulate Matter Formation Potential (PMFP) - kg PM2.5 eq</v>
      </c>
      <c r="M12864" s="154" t="str">
        <f t="shared" si="1127"/>
        <v>Low_Base_Low_Upgraded_Particulate Matter Formation Potential (PMFP) - kg PM2.5 eq_Pre-Anoxic &amp; Swing tank; wastewater treatment unit; at updated plant - US_Without Amendment_Aerated Static Pile</v>
      </c>
    </row>
    <row r="12865" spans="1:13" s="120" customFormat="1" x14ac:dyDescent="0.25">
      <c r="A12865" s="119"/>
      <c r="B12865" s="138" t="str">
        <f t="shared" si="1128"/>
        <v>Aerated Static Pile</v>
      </c>
      <c r="C12865" s="138" t="str">
        <f t="shared" si="1129"/>
        <v>Without Amendment</v>
      </c>
      <c r="D12865" s="138" t="str">
        <f t="shared" si="1130"/>
        <v>Base_Low</v>
      </c>
      <c r="E12865" s="138" t="str">
        <f t="shared" si="1131"/>
        <v>Low</v>
      </c>
      <c r="F12865" s="138" t="str">
        <f t="shared" si="1132"/>
        <v>Upgraded</v>
      </c>
      <c r="G12865" s="153"/>
      <c r="H12865" s="210">
        <v>8.0399999999999999E-2</v>
      </c>
      <c r="I12865" s="160" t="s">
        <v>53</v>
      </c>
      <c r="J12865" s="160">
        <v>4.6999999999999999E-4</v>
      </c>
      <c r="K12865" s="160" t="s">
        <v>145</v>
      </c>
      <c r="L12865" s="154" t="str">
        <f>IF(OpenLCAbasic!K12865="CTUh", "Fill in Manually",IF(OR(K12865="Unit", K12865=""), "", INDEX(LookUps!$E$5:$E$12, MATCH(OpenLCAbasic!K12865,LookUps!$D$5:$D$12,0))))</f>
        <v>Particulate Matter Formation Potential (PMFP) - kg PM2.5 eq</v>
      </c>
      <c r="M12865" s="154" t="str">
        <f t="shared" si="1127"/>
        <v>Low_Base_Low_Upgraded_Particulate Matter Formation Potential (PMFP) - kg PM2.5 eq_Wet Well and Sump Station; wastewater treatment unit; at updated plant - US_Without Amendment_Aerated Static Pile</v>
      </c>
    </row>
    <row r="12866" spans="1:13" s="120" customFormat="1" x14ac:dyDescent="0.25">
      <c r="A12866" s="119"/>
      <c r="B12866" s="138" t="str">
        <f t="shared" si="1128"/>
        <v>Aerated Static Pile</v>
      </c>
      <c r="C12866" s="138" t="str">
        <f t="shared" si="1129"/>
        <v>Without Amendment</v>
      </c>
      <c r="D12866" s="138" t="str">
        <f t="shared" si="1130"/>
        <v>Base_Low</v>
      </c>
      <c r="E12866" s="138" t="str">
        <f t="shared" si="1131"/>
        <v>Low</v>
      </c>
      <c r="F12866" s="138" t="str">
        <f t="shared" si="1132"/>
        <v>Upgraded</v>
      </c>
      <c r="G12866" s="153"/>
      <c r="H12866" s="210">
        <v>5.8200000000000002E-2</v>
      </c>
      <c r="I12866" s="160" t="s">
        <v>149</v>
      </c>
      <c r="J12866" s="160">
        <v>3.4000000000000002E-4</v>
      </c>
      <c r="K12866" s="160" t="s">
        <v>145</v>
      </c>
      <c r="L12866" s="154" t="str">
        <f>IF(OpenLCAbasic!K12866="CTUh", "Fill in Manually",IF(OR(K12866="Unit", K12866=""), "", INDEX(LookUps!$E$5:$E$12, MATCH(OpenLCAbasic!K12866,LookUps!$D$5:$D$12,0))))</f>
        <v>Particulate Matter Formation Potential (PMFP) - kg PM2.5 eq</v>
      </c>
      <c r="M12866" s="154" t="str">
        <f t="shared" si="1127"/>
        <v>Low_Base_Low_Upgraded_Particulate Matter Formation Potential (PMFP) - kg PM2.5 eq_Anaerobic Digestion; wastewater treatment unit; at updated plant - US_Without Amendment_Aerated Static Pile</v>
      </c>
    </row>
    <row r="12867" spans="1:13" s="120" customFormat="1" x14ac:dyDescent="0.25">
      <c r="A12867" s="119"/>
      <c r="B12867" s="138" t="str">
        <f t="shared" si="1128"/>
        <v>Aerated Static Pile</v>
      </c>
      <c r="C12867" s="138" t="str">
        <f t="shared" si="1129"/>
        <v>Without Amendment</v>
      </c>
      <c r="D12867" s="138" t="str">
        <f t="shared" si="1130"/>
        <v>Base_Low</v>
      </c>
      <c r="E12867" s="138" t="str">
        <f t="shared" si="1131"/>
        <v>Low</v>
      </c>
      <c r="F12867" s="138" t="str">
        <f t="shared" si="1132"/>
        <v>Upgraded</v>
      </c>
      <c r="G12867" s="153"/>
      <c r="H12867" s="210">
        <v>5.16E-2</v>
      </c>
      <c r="I12867" s="160" t="s">
        <v>167</v>
      </c>
      <c r="J12867" s="160">
        <v>2.9999999999999997E-4</v>
      </c>
      <c r="K12867" s="160" t="s">
        <v>145</v>
      </c>
      <c r="L12867" s="154" t="str">
        <f>IF(OpenLCAbasic!K12867="CTUh", "Fill in Manually",IF(OR(K12867="Unit", K12867=""), "", INDEX(LookUps!$E$5:$E$12, MATCH(OpenLCAbasic!K12867,LookUps!$D$5:$D$12,0))))</f>
        <v>Particulate Matter Formation Potential (PMFP) - kg PM2.5 eq</v>
      </c>
      <c r="M12867" s="154" t="str">
        <f t="shared" si="1127"/>
        <v>Low_Base_Low_Upgraded_Particulate Matter Formation Potential (PMFP) - kg PM2.5 eq_Waste Receiving and Holding; wastewater treatment unit; at updated plant - US_Without Amendment_Aerated Static Pile</v>
      </c>
    </row>
    <row r="12868" spans="1:13" s="120" customFormat="1" x14ac:dyDescent="0.25">
      <c r="A12868" s="119"/>
      <c r="B12868" s="138" t="str">
        <f t="shared" si="1128"/>
        <v>Aerated Static Pile</v>
      </c>
      <c r="C12868" s="138" t="str">
        <f t="shared" si="1129"/>
        <v>Without Amendment</v>
      </c>
      <c r="D12868" s="138" t="str">
        <f t="shared" si="1130"/>
        <v>Base_Low</v>
      </c>
      <c r="E12868" s="138" t="str">
        <f t="shared" si="1131"/>
        <v>Low</v>
      </c>
      <c r="F12868" s="138" t="str">
        <f t="shared" si="1132"/>
        <v>Upgraded</v>
      </c>
      <c r="G12868" s="153"/>
      <c r="H12868" s="210">
        <v>4.5999999999999999E-2</v>
      </c>
      <c r="I12868" s="160" t="s">
        <v>147</v>
      </c>
      <c r="J12868" s="160">
        <v>2.7E-4</v>
      </c>
      <c r="K12868" s="160" t="s">
        <v>145</v>
      </c>
      <c r="L12868" s="154" t="str">
        <f>IF(OpenLCAbasic!K12868="CTUh", "Fill in Manually",IF(OR(K12868="Unit", K12868=""), "", INDEX(LookUps!$E$5:$E$12, MATCH(OpenLCAbasic!K12868,LookUps!$D$5:$D$12,0))))</f>
        <v>Particulate Matter Formation Potential (PMFP) - kg PM2.5 eq</v>
      </c>
      <c r="M12868" s="154" t="str">
        <f t="shared" ref="M12868:M12931" si="1133">CONCATENATE(E12868,"_",D12868,"_",F12868,"_",L12868, "_",I12868,"_", C12868,"_", B12868)</f>
        <v>Low_Base_Low_Upgraded_Particulate Matter Formation Potential (PMFP) - kg PM2.5 eq_Influent Pump Station; wastewater treatment unit; at updated plant - US_Without Amendment_Aerated Static Pile</v>
      </c>
    </row>
    <row r="12869" spans="1:13" s="120" customFormat="1" x14ac:dyDescent="0.25">
      <c r="A12869" s="119"/>
      <c r="B12869" s="138" t="str">
        <f t="shared" si="1128"/>
        <v>Aerated Static Pile</v>
      </c>
      <c r="C12869" s="138" t="str">
        <f t="shared" si="1129"/>
        <v>Without Amendment</v>
      </c>
      <c r="D12869" s="138" t="str">
        <f t="shared" si="1130"/>
        <v>Base_Low</v>
      </c>
      <c r="E12869" s="138" t="str">
        <f t="shared" si="1131"/>
        <v>Low</v>
      </c>
      <c r="F12869" s="138" t="str">
        <f t="shared" si="1132"/>
        <v>Upgraded</v>
      </c>
      <c r="G12869" s="153"/>
      <c r="H12869" s="210">
        <v>4.3400000000000001E-2</v>
      </c>
      <c r="I12869" s="160" t="s">
        <v>435</v>
      </c>
      <c r="J12869" s="160">
        <v>2.5000000000000001E-4</v>
      </c>
      <c r="K12869" s="160" t="s">
        <v>145</v>
      </c>
      <c r="L12869" s="154" t="str">
        <f>IF(OpenLCAbasic!K12869="CTUh", "Fill in Manually",IF(OR(K12869="Unit", K12869=""), "", INDEX(LookUps!$E$5:$E$12, MATCH(OpenLCAbasic!K12869,LookUps!$D$5:$D$12,0))))</f>
        <v>Particulate Matter Formation Potential (PMFP) - kg PM2.5 eq</v>
      </c>
      <c r="M12869" s="154" t="str">
        <f t="shared" si="1133"/>
        <v>Low_Base_Low_Upgraded_Particulate Matter Formation Potential (PMFP) - kg PM2.5 eq_Biosolids composting; aerated static pile; wastewater treatment unit; at updated plant - US_Without Amendment_Aerated Static Pile</v>
      </c>
    </row>
    <row r="12870" spans="1:13" s="120" customFormat="1" x14ac:dyDescent="0.25">
      <c r="A12870" s="119"/>
      <c r="B12870" s="138" t="str">
        <f t="shared" si="1128"/>
        <v>Aerated Static Pile</v>
      </c>
      <c r="C12870" s="138" t="str">
        <f t="shared" si="1129"/>
        <v>Without Amendment</v>
      </c>
      <c r="D12870" s="138" t="str">
        <f t="shared" si="1130"/>
        <v>Base_Low</v>
      </c>
      <c r="E12870" s="138" t="str">
        <f t="shared" si="1131"/>
        <v>Low</v>
      </c>
      <c r="F12870" s="138" t="str">
        <f t="shared" si="1132"/>
        <v>Upgraded</v>
      </c>
      <c r="G12870" s="153"/>
      <c r="H12870" s="210">
        <v>2.87E-2</v>
      </c>
      <c r="I12870" s="160" t="s">
        <v>128</v>
      </c>
      <c r="J12870" s="160">
        <v>1.7000000000000001E-4</v>
      </c>
      <c r="K12870" s="160" t="s">
        <v>145</v>
      </c>
      <c r="L12870" s="154" t="str">
        <f>IF(OpenLCAbasic!K12870="CTUh", "Fill in Manually",IF(OR(K12870="Unit", K12870=""), "", INDEX(LookUps!$E$5:$E$12, MATCH(OpenLCAbasic!K12870,LookUps!$D$5:$D$12,0))))</f>
        <v>Particulate Matter Formation Potential (PMFP) - kg PM2.5 eq</v>
      </c>
      <c r="M12870" s="154" t="str">
        <f t="shared" si="1133"/>
        <v>Low_Base_Low_Upgraded_Particulate Matter Formation Potential (PMFP) - kg PM2.5 eq_Wastewater collection; operation and infrastructure; m3 wastewater_Without Amendment_Aerated Static Pile</v>
      </c>
    </row>
    <row r="12871" spans="1:13" s="120" customFormat="1" x14ac:dyDescent="0.25">
      <c r="A12871" s="119"/>
      <c r="B12871" s="138" t="str">
        <f t="shared" si="1128"/>
        <v>Aerated Static Pile</v>
      </c>
      <c r="C12871" s="138" t="str">
        <f t="shared" si="1129"/>
        <v>Without Amendment</v>
      </c>
      <c r="D12871" s="138" t="str">
        <f t="shared" si="1130"/>
        <v>Base_Low</v>
      </c>
      <c r="E12871" s="138" t="str">
        <f t="shared" si="1131"/>
        <v>Low</v>
      </c>
      <c r="F12871" s="138" t="str">
        <f t="shared" si="1132"/>
        <v>Upgraded</v>
      </c>
      <c r="G12871" s="153"/>
      <c r="H12871" s="210">
        <v>0.02</v>
      </c>
      <c r="I12871" s="160" t="s">
        <v>60</v>
      </c>
      <c r="J12871" s="160">
        <v>1.2E-4</v>
      </c>
      <c r="K12871" s="160" t="s">
        <v>145</v>
      </c>
      <c r="L12871" s="154" t="str">
        <f>IF(OpenLCAbasic!K12871="CTUh", "Fill in Manually",IF(OR(K12871="Unit", K12871=""), "", INDEX(LookUps!$E$5:$E$12, MATCH(OpenLCAbasic!K12871,LookUps!$D$5:$D$12,0))))</f>
        <v>Particulate Matter Formation Potential (PMFP) - kg PM2.5 eq</v>
      </c>
      <c r="M12871" s="154" t="str">
        <f t="shared" si="1133"/>
        <v>Low_Base_Low_Upgraded_Particulate Matter Formation Potential (PMFP) - kg PM2.5 eq_Belt filter press; wastewater treatment unit; at updated plant - US_Without Amendment_Aerated Static Pile</v>
      </c>
    </row>
    <row r="12872" spans="1:13" s="120" customFormat="1" x14ac:dyDescent="0.25">
      <c r="A12872" s="119"/>
      <c r="B12872" s="138" t="str">
        <f t="shared" si="1128"/>
        <v>Aerated Static Pile</v>
      </c>
      <c r="C12872" s="138" t="str">
        <f t="shared" si="1129"/>
        <v>Without Amendment</v>
      </c>
      <c r="D12872" s="138" t="str">
        <f t="shared" si="1130"/>
        <v>Base_Low</v>
      </c>
      <c r="E12872" s="138" t="str">
        <f t="shared" si="1131"/>
        <v>Low</v>
      </c>
      <c r="F12872" s="138" t="str">
        <f t="shared" si="1132"/>
        <v>Upgraded</v>
      </c>
      <c r="G12872" s="153"/>
      <c r="H12872" s="210">
        <v>1.6400000000000001E-2</v>
      </c>
      <c r="I12872" s="160" t="s">
        <v>57</v>
      </c>
      <c r="J12872" s="211">
        <v>9.5153800000000004E-5</v>
      </c>
      <c r="K12872" s="160" t="s">
        <v>145</v>
      </c>
      <c r="L12872" s="154" t="str">
        <f>IF(OpenLCAbasic!K12872="CTUh", "Fill in Manually",IF(OR(K12872="Unit", K12872=""), "", INDEX(LookUps!$E$5:$E$12, MATCH(OpenLCAbasic!K12872,LookUps!$D$5:$D$12,0))))</f>
        <v>Particulate Matter Formation Potential (PMFP) - kg PM2.5 eq</v>
      </c>
      <c r="M12872" s="154" t="str">
        <f t="shared" si="1133"/>
        <v>Low_Base_Low_Upgraded_Particulate Matter Formation Potential (PMFP) - kg PM2.5 eq_Gravity Belt Thickener; wastewater treatment unit; at updated plant - US_Without Amendment_Aerated Static Pile</v>
      </c>
    </row>
    <row r="12873" spans="1:13" s="120" customFormat="1" x14ac:dyDescent="0.25">
      <c r="A12873" s="119"/>
      <c r="B12873" s="138" t="str">
        <f t="shared" si="1128"/>
        <v>Aerated Static Pile</v>
      </c>
      <c r="C12873" s="138" t="str">
        <f t="shared" si="1129"/>
        <v>Without Amendment</v>
      </c>
      <c r="D12873" s="138" t="str">
        <f t="shared" si="1130"/>
        <v>Base_Low</v>
      </c>
      <c r="E12873" s="138" t="str">
        <f t="shared" si="1131"/>
        <v>Low</v>
      </c>
      <c r="F12873" s="138" t="str">
        <f t="shared" si="1132"/>
        <v>Upgraded</v>
      </c>
      <c r="G12873" s="153"/>
      <c r="H12873" s="210">
        <v>1.21E-2</v>
      </c>
      <c r="I12873" s="160" t="s">
        <v>59</v>
      </c>
      <c r="J12873" s="211">
        <v>6.9942200000000003E-5</v>
      </c>
      <c r="K12873" s="160" t="s">
        <v>145</v>
      </c>
      <c r="L12873" s="154" t="str">
        <f>IF(OpenLCAbasic!K12873="CTUh", "Fill in Manually",IF(OR(K12873="Unit", K12873=""), "", INDEX(LookUps!$E$5:$E$12, MATCH(OpenLCAbasic!K12873,LookUps!$D$5:$D$12,0))))</f>
        <v>Particulate Matter Formation Potential (PMFP) - kg PM2.5 eq</v>
      </c>
      <c r="M12873" s="154" t="str">
        <f t="shared" si="1133"/>
        <v>Low_Base_Low_Upgraded_Particulate Matter Formation Potential (PMFP) - kg PM2.5 eq_Blend Tank; wastewater treatment unit; at updated plant - US_Without Amendment_Aerated Static Pile</v>
      </c>
    </row>
    <row r="12874" spans="1:13" s="120" customFormat="1" x14ac:dyDescent="0.25">
      <c r="A12874" s="119"/>
      <c r="B12874" s="138" t="str">
        <f t="shared" si="1128"/>
        <v>Aerated Static Pile</v>
      </c>
      <c r="C12874" s="138" t="str">
        <f t="shared" si="1129"/>
        <v>Without Amendment</v>
      </c>
      <c r="D12874" s="138" t="str">
        <f t="shared" si="1130"/>
        <v>Base_Low</v>
      </c>
      <c r="E12874" s="138" t="str">
        <f t="shared" si="1131"/>
        <v>Low</v>
      </c>
      <c r="F12874" s="138" t="str">
        <f t="shared" si="1132"/>
        <v>Upgraded</v>
      </c>
      <c r="G12874" s="153"/>
      <c r="H12874" s="210">
        <v>8.6E-3</v>
      </c>
      <c r="I12874" s="160" t="s">
        <v>48</v>
      </c>
      <c r="J12874" s="211">
        <v>4.99741E-5</v>
      </c>
      <c r="K12874" s="160" t="s">
        <v>145</v>
      </c>
      <c r="L12874" s="154" t="str">
        <f>IF(OpenLCAbasic!K12874="CTUh", "Fill in Manually",IF(OR(K12874="Unit", K12874=""), "", INDEX(LookUps!$E$5:$E$12, MATCH(OpenLCAbasic!K12874,LookUps!$D$5:$D$12,0))))</f>
        <v>Particulate Matter Formation Potential (PMFP) - kg PM2.5 eq</v>
      </c>
      <c r="M12874" s="154" t="str">
        <f t="shared" si="1133"/>
        <v>Low_Base_Low_Upgraded_Particulate Matter Formation Potential (PMFP) - kg PM2.5 eq_Effluent release; wastewater treatment unit; at surface water; m3 wastewater - US_Without Amendment_Aerated Static Pile</v>
      </c>
    </row>
    <row r="12875" spans="1:13" s="120" customFormat="1" x14ac:dyDescent="0.25">
      <c r="A12875" s="119"/>
      <c r="B12875" s="138" t="str">
        <f t="shared" si="1128"/>
        <v>Aerated Static Pile</v>
      </c>
      <c r="C12875" s="138" t="str">
        <f t="shared" si="1129"/>
        <v>Without Amendment</v>
      </c>
      <c r="D12875" s="138" t="str">
        <f t="shared" si="1130"/>
        <v>Base_Low</v>
      </c>
      <c r="E12875" s="138" t="str">
        <f t="shared" si="1131"/>
        <v>Low</v>
      </c>
      <c r="F12875" s="138" t="str">
        <f t="shared" si="1132"/>
        <v>Upgraded</v>
      </c>
      <c r="G12875" s="153"/>
      <c r="H12875" s="210">
        <v>6.7000000000000002E-3</v>
      </c>
      <c r="I12875" s="160" t="s">
        <v>62</v>
      </c>
      <c r="J12875" s="211">
        <v>3.8921200000000003E-5</v>
      </c>
      <c r="K12875" s="160" t="s">
        <v>145</v>
      </c>
      <c r="L12875" s="154" t="str">
        <f>IF(OpenLCAbasic!K12875="CTUh", "Fill in Manually",IF(OR(K12875="Unit", K12875=""), "", INDEX(LookUps!$E$5:$E$12, MATCH(OpenLCAbasic!K12875,LookUps!$D$5:$D$12,0))))</f>
        <v>Particulate Matter Formation Potential (PMFP) - kg PM2.5 eq</v>
      </c>
      <c r="M12875" s="154" t="str">
        <f t="shared" si="1133"/>
        <v>Low_Base_Low_Upgraded_Particulate Matter Formation Potential (PMFP) - kg PM2.5 eq_Land application of compost; wastewater treatment unit; at updated plant - US_Without Amendment_Aerated Static Pile</v>
      </c>
    </row>
    <row r="12876" spans="1:13" s="120" customFormat="1" x14ac:dyDescent="0.25">
      <c r="A12876" s="119"/>
      <c r="B12876" s="138" t="str">
        <f t="shared" si="1128"/>
        <v>Aerated Static Pile</v>
      </c>
      <c r="C12876" s="138" t="str">
        <f t="shared" si="1129"/>
        <v>Without Amendment</v>
      </c>
      <c r="D12876" s="138" t="str">
        <f t="shared" si="1130"/>
        <v>Base_Low</v>
      </c>
      <c r="E12876" s="138" t="str">
        <f t="shared" si="1131"/>
        <v>Low</v>
      </c>
      <c r="F12876" s="138" t="str">
        <f t="shared" si="1132"/>
        <v>Upgraded</v>
      </c>
      <c r="G12876" s="153"/>
      <c r="H12876" s="210">
        <v>6.0000000000000001E-3</v>
      </c>
      <c r="I12876" s="160" t="s">
        <v>168</v>
      </c>
      <c r="J12876" s="211">
        <v>3.4562199999999999E-5</v>
      </c>
      <c r="K12876" s="160" t="s">
        <v>145</v>
      </c>
      <c r="L12876" s="154" t="str">
        <f>IF(OpenLCAbasic!K12876="CTUh", "Fill in Manually",IF(OR(K12876="Unit", K12876=""), "", INDEX(LookUps!$E$5:$E$12, MATCH(OpenLCAbasic!K12876,LookUps!$D$5:$D$12,0))))</f>
        <v>Particulate Matter Formation Potential (PMFP) - kg PM2.5 eq</v>
      </c>
      <c r="M12876" s="154" t="str">
        <f t="shared" si="1133"/>
        <v>Low_Base_Low_Upgraded_Particulate Matter Formation Potential (PMFP) - kg PM2.5 eq_ClearCove SCP; wastewater treatment unit; at updated plant - US_Without Amendment_Aerated Static Pile</v>
      </c>
    </row>
    <row r="12877" spans="1:13" s="120" customFormat="1" x14ac:dyDescent="0.25">
      <c r="A12877" s="119"/>
      <c r="B12877" s="138" t="str">
        <f t="shared" si="1128"/>
        <v>Aerated Static Pile</v>
      </c>
      <c r="C12877" s="138" t="str">
        <f t="shared" si="1129"/>
        <v>Without Amendment</v>
      </c>
      <c r="D12877" s="138" t="str">
        <f t="shared" si="1130"/>
        <v>Base_Low</v>
      </c>
      <c r="E12877" s="138" t="str">
        <f t="shared" si="1131"/>
        <v>Low</v>
      </c>
      <c r="F12877" s="138" t="str">
        <f t="shared" si="1132"/>
        <v>Upgraded</v>
      </c>
      <c r="G12877" s="153"/>
      <c r="H12877" s="210">
        <v>1.5E-3</v>
      </c>
      <c r="I12877" s="160" t="s">
        <v>148</v>
      </c>
      <c r="J12877" s="211">
        <v>8.8212999999999997E-6</v>
      </c>
      <c r="K12877" s="160" t="s">
        <v>145</v>
      </c>
      <c r="L12877" s="154" t="str">
        <f>IF(OpenLCAbasic!K12877="CTUh", "Fill in Manually",IF(OR(K12877="Unit", K12877=""), "", INDEX(LookUps!$E$5:$E$12, MATCH(OpenLCAbasic!K12877,LookUps!$D$5:$D$12,0))))</f>
        <v>Particulate Matter Formation Potential (PMFP) - kg PM2.5 eq</v>
      </c>
      <c r="M12877" s="154" t="str">
        <f t="shared" si="1133"/>
        <v>Low_Base_Low_Upgraded_Particulate Matter Formation Potential (PMFP) - kg PM2.5 eq_Control Building; at upgraded wastewater treatment plant - US_Without Amendment_Aerated Static Pile</v>
      </c>
    </row>
    <row r="12878" spans="1:13" s="120" customFormat="1" x14ac:dyDescent="0.25">
      <c r="A12878" s="119"/>
      <c r="B12878" s="138" t="str">
        <f t="shared" si="1128"/>
        <v/>
      </c>
      <c r="C12878" s="138" t="str">
        <f t="shared" si="1129"/>
        <v/>
      </c>
      <c r="D12878" s="138" t="str">
        <f t="shared" si="1130"/>
        <v/>
      </c>
      <c r="E12878" s="138" t="str">
        <f t="shared" si="1131"/>
        <v/>
      </c>
      <c r="F12878" s="138" t="str">
        <f t="shared" si="1132"/>
        <v/>
      </c>
      <c r="G12878" s="153" t="s">
        <v>51</v>
      </c>
      <c r="H12878" s="160"/>
      <c r="I12878" s="160" t="s">
        <v>47</v>
      </c>
      <c r="J12878" s="160" t="s">
        <v>52</v>
      </c>
      <c r="K12878" s="160" t="s">
        <v>27</v>
      </c>
      <c r="L12878" s="154" t="str">
        <f>IF(OpenLCAbasic!K12878="CTUh", "Fill in Manually",IF(OR(K12878="Unit", K12878=""), "", INDEX(LookUps!$E$5:$E$12, MATCH(OpenLCAbasic!K12878,LookUps!$D$5:$D$12,0))))</f>
        <v/>
      </c>
      <c r="M12878" s="154" t="str">
        <f t="shared" si="1133"/>
        <v>____Process__</v>
      </c>
    </row>
    <row r="12879" spans="1:13" s="120" customFormat="1" x14ac:dyDescent="0.25">
      <c r="A12879" s="119"/>
      <c r="B12879" s="138" t="str">
        <f t="shared" si="1128"/>
        <v>Aerated Static Pile</v>
      </c>
      <c r="C12879" s="138" t="str">
        <f t="shared" si="1129"/>
        <v>Without Amendment</v>
      </c>
      <c r="D12879" s="138" t="str">
        <f t="shared" si="1130"/>
        <v>Base_Low</v>
      </c>
      <c r="E12879" s="138" t="str">
        <f t="shared" si="1131"/>
        <v>Low</v>
      </c>
      <c r="F12879" s="138" t="str">
        <f t="shared" si="1132"/>
        <v>Upgraded</v>
      </c>
      <c r="G12879" s="153"/>
      <c r="H12879" s="210">
        <v>0.39950000000000002</v>
      </c>
      <c r="I12879" s="160" t="s">
        <v>55</v>
      </c>
      <c r="J12879" s="160">
        <v>0.16577</v>
      </c>
      <c r="K12879" s="160" t="s">
        <v>25</v>
      </c>
      <c r="L12879" s="154" t="str">
        <f>IF(OpenLCAbasic!K12879="CTUh", "Fill in Manually",IF(OR(K12879="Unit", K12879=""), "", INDEX(LookUps!$E$5:$E$12, MATCH(OpenLCAbasic!K12879,LookUps!$D$5:$D$12,0))))</f>
        <v>Smog Formation Potential (SFP) - kg O3 eq</v>
      </c>
      <c r="M12879" s="154" t="str">
        <f t="shared" si="1133"/>
        <v>Low_Base_Low_Upgraded_Smog Formation Potential (SFP) - kg O3 eq_Aeration Tanks; wastewater treatment unit; at updated plant - US_Without Amendment_Aerated Static Pile</v>
      </c>
    </row>
    <row r="12880" spans="1:13" s="120" customFormat="1" x14ac:dyDescent="0.25">
      <c r="A12880" s="119"/>
      <c r="B12880" s="138" t="str">
        <f t="shared" si="1128"/>
        <v>Aerated Static Pile</v>
      </c>
      <c r="C12880" s="138" t="str">
        <f t="shared" si="1129"/>
        <v>Without Amendment</v>
      </c>
      <c r="D12880" s="138" t="str">
        <f t="shared" si="1130"/>
        <v>Base_Low</v>
      </c>
      <c r="E12880" s="138" t="str">
        <f t="shared" si="1131"/>
        <v>Low</v>
      </c>
      <c r="F12880" s="138" t="str">
        <f t="shared" si="1132"/>
        <v>Upgraded</v>
      </c>
      <c r="G12880" s="153"/>
      <c r="H12880" s="210">
        <v>0.1159</v>
      </c>
      <c r="I12880" s="160" t="s">
        <v>54</v>
      </c>
      <c r="J12880" s="160">
        <v>4.8070000000000002E-2</v>
      </c>
      <c r="K12880" s="160" t="s">
        <v>25</v>
      </c>
      <c r="L12880" s="154" t="str">
        <f>IF(OpenLCAbasic!K12880="CTUh", "Fill in Manually",IF(OR(K12880="Unit", K12880=""), "", INDEX(LookUps!$E$5:$E$12, MATCH(OpenLCAbasic!K12880,LookUps!$D$5:$D$12,0))))</f>
        <v>Smog Formation Potential (SFP) - kg O3 eq</v>
      </c>
      <c r="M12880" s="154" t="str">
        <f t="shared" si="1133"/>
        <v>Low_Base_Low_Upgraded_Smog Formation Potential (SFP) - kg O3 eq_Clear Cove Primary Clarification; wastewater treatment unit; at updated plant - US_Without Amendment_Aerated Static Pile</v>
      </c>
    </row>
    <row r="12881" spans="1:13" s="120" customFormat="1" x14ac:dyDescent="0.25">
      <c r="A12881" s="119"/>
      <c r="B12881" s="138" t="str">
        <f t="shared" si="1128"/>
        <v>Aerated Static Pile</v>
      </c>
      <c r="C12881" s="138" t="str">
        <f t="shared" si="1129"/>
        <v>Without Amendment</v>
      </c>
      <c r="D12881" s="138" t="str">
        <f t="shared" si="1130"/>
        <v>Base_Low</v>
      </c>
      <c r="E12881" s="138" t="str">
        <f t="shared" si="1131"/>
        <v>Low</v>
      </c>
      <c r="F12881" s="138" t="str">
        <f t="shared" si="1132"/>
        <v>Upgraded</v>
      </c>
      <c r="G12881" s="153"/>
      <c r="H12881" s="210">
        <v>0.1007</v>
      </c>
      <c r="I12881" s="160" t="s">
        <v>58</v>
      </c>
      <c r="J12881" s="160">
        <v>4.1779999999999998E-2</v>
      </c>
      <c r="K12881" s="160" t="s">
        <v>25</v>
      </c>
      <c r="L12881" s="154" t="str">
        <f>IF(OpenLCAbasic!K12881="CTUh", "Fill in Manually",IF(OR(K12881="Unit", K12881=""), "", INDEX(LookUps!$E$5:$E$12, MATCH(OpenLCAbasic!K12881,LookUps!$D$5:$D$12,0))))</f>
        <v>Smog Formation Potential (SFP) - kg O3 eq</v>
      </c>
      <c r="M12881" s="154" t="str">
        <f t="shared" si="1133"/>
        <v>Low_Base_Low_Upgraded_Smog Formation Potential (SFP) - kg O3 eq_Pre-Anoxic &amp; Swing tank; wastewater treatment unit; at updated plant - US_Without Amendment_Aerated Static Pile</v>
      </c>
    </row>
    <row r="12882" spans="1:13" s="120" customFormat="1" x14ac:dyDescent="0.25">
      <c r="A12882" s="119"/>
      <c r="B12882" s="138" t="str">
        <f t="shared" si="1128"/>
        <v>Aerated Static Pile</v>
      </c>
      <c r="C12882" s="138" t="str">
        <f t="shared" si="1129"/>
        <v>Without Amendment</v>
      </c>
      <c r="D12882" s="138" t="str">
        <f t="shared" si="1130"/>
        <v>Base_Low</v>
      </c>
      <c r="E12882" s="138" t="str">
        <f t="shared" si="1131"/>
        <v>Low</v>
      </c>
      <c r="F12882" s="138" t="str">
        <f t="shared" si="1132"/>
        <v>Upgraded</v>
      </c>
      <c r="G12882" s="153"/>
      <c r="H12882" s="210">
        <v>7.9799999999999996E-2</v>
      </c>
      <c r="I12882" s="160" t="s">
        <v>53</v>
      </c>
      <c r="J12882" s="160">
        <v>3.313E-2</v>
      </c>
      <c r="K12882" s="160" t="s">
        <v>25</v>
      </c>
      <c r="L12882" s="154" t="str">
        <f>IF(OpenLCAbasic!K12882="CTUh", "Fill in Manually",IF(OR(K12882="Unit", K12882=""), "", INDEX(LookUps!$E$5:$E$12, MATCH(OpenLCAbasic!K12882,LookUps!$D$5:$D$12,0))))</f>
        <v>Smog Formation Potential (SFP) - kg O3 eq</v>
      </c>
      <c r="M12882" s="154" t="str">
        <f t="shared" si="1133"/>
        <v>Low_Base_Low_Upgraded_Smog Formation Potential (SFP) - kg O3 eq_Wet Well and Sump Station; wastewater treatment unit; at updated plant - US_Without Amendment_Aerated Static Pile</v>
      </c>
    </row>
    <row r="12883" spans="1:13" s="120" customFormat="1" x14ac:dyDescent="0.25">
      <c r="A12883" s="119"/>
      <c r="B12883" s="138" t="str">
        <f t="shared" si="1128"/>
        <v>Aerated Static Pile</v>
      </c>
      <c r="C12883" s="138" t="str">
        <f t="shared" si="1129"/>
        <v>Without Amendment</v>
      </c>
      <c r="D12883" s="138" t="str">
        <f t="shared" si="1130"/>
        <v>Base_Low</v>
      </c>
      <c r="E12883" s="138" t="str">
        <f t="shared" si="1131"/>
        <v>Low</v>
      </c>
      <c r="F12883" s="138" t="str">
        <f t="shared" si="1132"/>
        <v>Upgraded</v>
      </c>
      <c r="G12883" s="153"/>
      <c r="H12883" s="210">
        <v>6.7400000000000002E-2</v>
      </c>
      <c r="I12883" s="160" t="s">
        <v>167</v>
      </c>
      <c r="J12883" s="160">
        <v>2.7949999999999999E-2</v>
      </c>
      <c r="K12883" s="160" t="s">
        <v>25</v>
      </c>
      <c r="L12883" s="154" t="str">
        <f>IF(OpenLCAbasic!K12883="CTUh", "Fill in Manually",IF(OR(K12883="Unit", K12883=""), "", INDEX(LookUps!$E$5:$E$12, MATCH(OpenLCAbasic!K12883,LookUps!$D$5:$D$12,0))))</f>
        <v>Smog Formation Potential (SFP) - kg O3 eq</v>
      </c>
      <c r="M12883" s="154" t="str">
        <f t="shared" si="1133"/>
        <v>Low_Base_Low_Upgraded_Smog Formation Potential (SFP) - kg O3 eq_Waste Receiving and Holding; wastewater treatment unit; at updated plant - US_Without Amendment_Aerated Static Pile</v>
      </c>
    </row>
    <row r="12884" spans="1:13" s="120" customFormat="1" x14ac:dyDescent="0.25">
      <c r="A12884" s="119"/>
      <c r="B12884" s="138" t="str">
        <f t="shared" si="1128"/>
        <v>Aerated Static Pile</v>
      </c>
      <c r="C12884" s="138" t="str">
        <f t="shared" si="1129"/>
        <v>Without Amendment</v>
      </c>
      <c r="D12884" s="138" t="str">
        <f t="shared" si="1130"/>
        <v>Base_Low</v>
      </c>
      <c r="E12884" s="138" t="str">
        <f t="shared" si="1131"/>
        <v>Low</v>
      </c>
      <c r="F12884" s="138" t="str">
        <f t="shared" si="1132"/>
        <v>Upgraded</v>
      </c>
      <c r="G12884" s="153"/>
      <c r="H12884" s="210">
        <v>0.06</v>
      </c>
      <c r="I12884" s="160" t="s">
        <v>149</v>
      </c>
      <c r="J12884" s="160">
        <v>2.4889999999999999E-2</v>
      </c>
      <c r="K12884" s="160" t="s">
        <v>25</v>
      </c>
      <c r="L12884" s="154" t="str">
        <f>IF(OpenLCAbasic!K12884="CTUh", "Fill in Manually",IF(OR(K12884="Unit", K12884=""), "", INDEX(LookUps!$E$5:$E$12, MATCH(OpenLCAbasic!K12884,LookUps!$D$5:$D$12,0))))</f>
        <v>Smog Formation Potential (SFP) - kg O3 eq</v>
      </c>
      <c r="M12884" s="154" t="str">
        <f t="shared" si="1133"/>
        <v>Low_Base_Low_Upgraded_Smog Formation Potential (SFP) - kg O3 eq_Anaerobic Digestion; wastewater treatment unit; at updated plant - US_Without Amendment_Aerated Static Pile</v>
      </c>
    </row>
    <row r="12885" spans="1:13" s="120" customFormat="1" x14ac:dyDescent="0.25">
      <c r="A12885" s="119"/>
      <c r="B12885" s="138" t="str">
        <f t="shared" si="1128"/>
        <v>Aerated Static Pile</v>
      </c>
      <c r="C12885" s="138" t="str">
        <f t="shared" si="1129"/>
        <v>Without Amendment</v>
      </c>
      <c r="D12885" s="138" t="str">
        <f t="shared" si="1130"/>
        <v>Base_Low</v>
      </c>
      <c r="E12885" s="138" t="str">
        <f t="shared" si="1131"/>
        <v>Low</v>
      </c>
      <c r="F12885" s="138" t="str">
        <f t="shared" si="1132"/>
        <v>Upgraded</v>
      </c>
      <c r="G12885" s="153"/>
      <c r="H12885" s="210">
        <v>4.6800000000000001E-2</v>
      </c>
      <c r="I12885" s="160" t="s">
        <v>147</v>
      </c>
      <c r="J12885" s="160">
        <v>1.9400000000000001E-2</v>
      </c>
      <c r="K12885" s="160" t="s">
        <v>25</v>
      </c>
      <c r="L12885" s="154" t="str">
        <f>IF(OpenLCAbasic!K12885="CTUh", "Fill in Manually",IF(OR(K12885="Unit", K12885=""), "", INDEX(LookUps!$E$5:$E$12, MATCH(OpenLCAbasic!K12885,LookUps!$D$5:$D$12,0))))</f>
        <v>Smog Formation Potential (SFP) - kg O3 eq</v>
      </c>
      <c r="M12885" s="154" t="str">
        <f t="shared" si="1133"/>
        <v>Low_Base_Low_Upgraded_Smog Formation Potential (SFP) - kg O3 eq_Influent Pump Station; wastewater treatment unit; at updated plant - US_Without Amendment_Aerated Static Pile</v>
      </c>
    </row>
    <row r="12886" spans="1:13" s="120" customFormat="1" x14ac:dyDescent="0.25">
      <c r="A12886" s="119"/>
      <c r="B12886" s="138" t="str">
        <f t="shared" si="1128"/>
        <v>Aerated Static Pile</v>
      </c>
      <c r="C12886" s="138" t="str">
        <f t="shared" si="1129"/>
        <v>Without Amendment</v>
      </c>
      <c r="D12886" s="138" t="str">
        <f t="shared" si="1130"/>
        <v>Base_Low</v>
      </c>
      <c r="E12886" s="138" t="str">
        <f t="shared" si="1131"/>
        <v>Low</v>
      </c>
      <c r="F12886" s="138" t="str">
        <f t="shared" si="1132"/>
        <v>Upgraded</v>
      </c>
      <c r="G12886" s="153"/>
      <c r="H12886" s="210">
        <v>4.2999999999999997E-2</v>
      </c>
      <c r="I12886" s="160" t="s">
        <v>435</v>
      </c>
      <c r="J12886" s="160">
        <v>1.7840000000000002E-2</v>
      </c>
      <c r="K12886" s="160" t="s">
        <v>25</v>
      </c>
      <c r="L12886" s="154" t="str">
        <f>IF(OpenLCAbasic!K12886="CTUh", "Fill in Manually",IF(OR(K12886="Unit", K12886=""), "", INDEX(LookUps!$E$5:$E$12, MATCH(OpenLCAbasic!K12886,LookUps!$D$5:$D$12,0))))</f>
        <v>Smog Formation Potential (SFP) - kg O3 eq</v>
      </c>
      <c r="M12886" s="154" t="str">
        <f t="shared" si="1133"/>
        <v>Low_Base_Low_Upgraded_Smog Formation Potential (SFP) - kg O3 eq_Biosolids composting; aerated static pile; wastewater treatment unit; at updated plant - US_Without Amendment_Aerated Static Pile</v>
      </c>
    </row>
    <row r="12887" spans="1:13" s="120" customFormat="1" x14ac:dyDescent="0.25">
      <c r="A12887" s="119"/>
      <c r="B12887" s="138" t="str">
        <f t="shared" si="1128"/>
        <v>Aerated Static Pile</v>
      </c>
      <c r="C12887" s="138" t="str">
        <f t="shared" si="1129"/>
        <v>Without Amendment</v>
      </c>
      <c r="D12887" s="138" t="str">
        <f t="shared" si="1130"/>
        <v>Base_Low</v>
      </c>
      <c r="E12887" s="138" t="str">
        <f t="shared" si="1131"/>
        <v>Low</v>
      </c>
      <c r="F12887" s="138" t="str">
        <f t="shared" si="1132"/>
        <v>Upgraded</v>
      </c>
      <c r="G12887" s="153"/>
      <c r="H12887" s="210">
        <v>2.87E-2</v>
      </c>
      <c r="I12887" s="160" t="s">
        <v>128</v>
      </c>
      <c r="J12887" s="160">
        <v>1.192E-2</v>
      </c>
      <c r="K12887" s="160" t="s">
        <v>25</v>
      </c>
      <c r="L12887" s="154" t="str">
        <f>IF(OpenLCAbasic!K12887="CTUh", "Fill in Manually",IF(OR(K12887="Unit", K12887=""), "", INDEX(LookUps!$E$5:$E$12, MATCH(OpenLCAbasic!K12887,LookUps!$D$5:$D$12,0))))</f>
        <v>Smog Formation Potential (SFP) - kg O3 eq</v>
      </c>
      <c r="M12887" s="154" t="str">
        <f t="shared" si="1133"/>
        <v>Low_Base_Low_Upgraded_Smog Formation Potential (SFP) - kg O3 eq_Wastewater collection; operation and infrastructure; m3 wastewater_Without Amendment_Aerated Static Pile</v>
      </c>
    </row>
    <row r="12888" spans="1:13" s="120" customFormat="1" x14ac:dyDescent="0.25">
      <c r="A12888" s="119"/>
      <c r="B12888" s="138" t="str">
        <f t="shared" si="1128"/>
        <v>Aerated Static Pile</v>
      </c>
      <c r="C12888" s="138" t="str">
        <f t="shared" si="1129"/>
        <v>Without Amendment</v>
      </c>
      <c r="D12888" s="138" t="str">
        <f t="shared" si="1130"/>
        <v>Base_Low</v>
      </c>
      <c r="E12888" s="138" t="str">
        <f t="shared" si="1131"/>
        <v>Low</v>
      </c>
      <c r="F12888" s="138" t="str">
        <f t="shared" si="1132"/>
        <v>Upgraded</v>
      </c>
      <c r="G12888" s="153"/>
      <c r="H12888" s="210">
        <v>1.9699999999999999E-2</v>
      </c>
      <c r="I12888" s="160" t="s">
        <v>60</v>
      </c>
      <c r="J12888" s="160">
        <v>8.1600000000000006E-3</v>
      </c>
      <c r="K12888" s="160" t="s">
        <v>25</v>
      </c>
      <c r="L12888" s="154" t="str">
        <f>IF(OpenLCAbasic!K12888="CTUh", "Fill in Manually",IF(OR(K12888="Unit", K12888=""), "", INDEX(LookUps!$E$5:$E$12, MATCH(OpenLCAbasic!K12888,LookUps!$D$5:$D$12,0))))</f>
        <v>Smog Formation Potential (SFP) - kg O3 eq</v>
      </c>
      <c r="M12888" s="154" t="str">
        <f t="shared" si="1133"/>
        <v>Low_Base_Low_Upgraded_Smog Formation Potential (SFP) - kg O3 eq_Belt filter press; wastewater treatment unit; at updated plant - US_Without Amendment_Aerated Static Pile</v>
      </c>
    </row>
    <row r="12889" spans="1:13" s="120" customFormat="1" x14ac:dyDescent="0.25">
      <c r="A12889" s="119"/>
      <c r="B12889" s="138" t="str">
        <f t="shared" si="1128"/>
        <v>Aerated Static Pile</v>
      </c>
      <c r="C12889" s="138" t="str">
        <f t="shared" si="1129"/>
        <v>Without Amendment</v>
      </c>
      <c r="D12889" s="138" t="str">
        <f t="shared" si="1130"/>
        <v>Base_Low</v>
      </c>
      <c r="E12889" s="138" t="str">
        <f t="shared" si="1131"/>
        <v>Low</v>
      </c>
      <c r="F12889" s="138" t="str">
        <f t="shared" si="1132"/>
        <v>Upgraded</v>
      </c>
      <c r="G12889" s="153"/>
      <c r="H12889" s="210">
        <v>1.6E-2</v>
      </c>
      <c r="I12889" s="160" t="s">
        <v>57</v>
      </c>
      <c r="J12889" s="160">
        <v>6.6499999999999997E-3</v>
      </c>
      <c r="K12889" s="160" t="s">
        <v>25</v>
      </c>
      <c r="L12889" s="154" t="str">
        <f>IF(OpenLCAbasic!K12889="CTUh", "Fill in Manually",IF(OR(K12889="Unit", K12889=""), "", INDEX(LookUps!$E$5:$E$12, MATCH(OpenLCAbasic!K12889,LookUps!$D$5:$D$12,0))))</f>
        <v>Smog Formation Potential (SFP) - kg O3 eq</v>
      </c>
      <c r="M12889" s="154" t="str">
        <f t="shared" si="1133"/>
        <v>Low_Base_Low_Upgraded_Smog Formation Potential (SFP) - kg O3 eq_Gravity Belt Thickener; wastewater treatment unit; at updated plant - US_Without Amendment_Aerated Static Pile</v>
      </c>
    </row>
    <row r="12890" spans="1:13" s="120" customFormat="1" x14ac:dyDescent="0.25">
      <c r="A12890" s="119"/>
      <c r="B12890" s="138" t="str">
        <f t="shared" si="1128"/>
        <v>Aerated Static Pile</v>
      </c>
      <c r="C12890" s="138" t="str">
        <f t="shared" si="1129"/>
        <v>Without Amendment</v>
      </c>
      <c r="D12890" s="138" t="str">
        <f t="shared" si="1130"/>
        <v>Base_Low</v>
      </c>
      <c r="E12890" s="138" t="str">
        <f t="shared" si="1131"/>
        <v>Low</v>
      </c>
      <c r="F12890" s="138" t="str">
        <f t="shared" si="1132"/>
        <v>Upgraded</v>
      </c>
      <c r="G12890" s="153"/>
      <c r="H12890" s="210">
        <v>1.2E-2</v>
      </c>
      <c r="I12890" s="160" t="s">
        <v>59</v>
      </c>
      <c r="J12890" s="160">
        <v>4.9699999999999996E-3</v>
      </c>
      <c r="K12890" s="160" t="s">
        <v>25</v>
      </c>
      <c r="L12890" s="154" t="str">
        <f>IF(OpenLCAbasic!K12890="CTUh", "Fill in Manually",IF(OR(K12890="Unit", K12890=""), "", INDEX(LookUps!$E$5:$E$12, MATCH(OpenLCAbasic!K12890,LookUps!$D$5:$D$12,0))))</f>
        <v>Smog Formation Potential (SFP) - kg O3 eq</v>
      </c>
      <c r="M12890" s="154" t="str">
        <f t="shared" si="1133"/>
        <v>Low_Base_Low_Upgraded_Smog Formation Potential (SFP) - kg O3 eq_Blend Tank; wastewater treatment unit; at updated plant - US_Without Amendment_Aerated Static Pile</v>
      </c>
    </row>
    <row r="12891" spans="1:13" s="120" customFormat="1" x14ac:dyDescent="0.25">
      <c r="A12891" s="119"/>
      <c r="B12891" s="138" t="str">
        <f t="shared" si="1128"/>
        <v>Aerated Static Pile</v>
      </c>
      <c r="C12891" s="138" t="str">
        <f t="shared" si="1129"/>
        <v>Without Amendment</v>
      </c>
      <c r="D12891" s="138" t="str">
        <f t="shared" si="1130"/>
        <v>Base_Low</v>
      </c>
      <c r="E12891" s="138" t="str">
        <f t="shared" si="1131"/>
        <v>Low</v>
      </c>
      <c r="F12891" s="138" t="str">
        <f t="shared" si="1132"/>
        <v>Upgraded</v>
      </c>
      <c r="G12891" s="153"/>
      <c r="H12891" s="210">
        <v>8.2000000000000007E-3</v>
      </c>
      <c r="I12891" s="160" t="s">
        <v>48</v>
      </c>
      <c r="J12891" s="160">
        <v>3.3899999999999998E-3</v>
      </c>
      <c r="K12891" s="160" t="s">
        <v>25</v>
      </c>
      <c r="L12891" s="154" t="str">
        <f>IF(OpenLCAbasic!K12891="CTUh", "Fill in Manually",IF(OR(K12891="Unit", K12891=""), "", INDEX(LookUps!$E$5:$E$12, MATCH(OpenLCAbasic!K12891,LookUps!$D$5:$D$12,0))))</f>
        <v>Smog Formation Potential (SFP) - kg O3 eq</v>
      </c>
      <c r="M12891" s="154" t="str">
        <f t="shared" si="1133"/>
        <v>Low_Base_Low_Upgraded_Smog Formation Potential (SFP) - kg O3 eq_Effluent release; wastewater treatment unit; at surface water; m3 wastewater - US_Without Amendment_Aerated Static Pile</v>
      </c>
    </row>
    <row r="12892" spans="1:13" s="120" customFormat="1" x14ac:dyDescent="0.25">
      <c r="A12892" s="119"/>
      <c r="B12892" s="138" t="str">
        <f t="shared" si="1128"/>
        <v>Aerated Static Pile</v>
      </c>
      <c r="C12892" s="138" t="str">
        <f t="shared" si="1129"/>
        <v>Without Amendment</v>
      </c>
      <c r="D12892" s="138" t="str">
        <f t="shared" si="1130"/>
        <v>Base_Low</v>
      </c>
      <c r="E12892" s="138" t="str">
        <f t="shared" si="1131"/>
        <v>Low</v>
      </c>
      <c r="F12892" s="138" t="str">
        <f t="shared" si="1132"/>
        <v>Upgraded</v>
      </c>
      <c r="G12892" s="153"/>
      <c r="H12892" s="210">
        <v>5.8999999999999999E-3</v>
      </c>
      <c r="I12892" s="160" t="s">
        <v>168</v>
      </c>
      <c r="J12892" s="160">
        <v>2.4599999999999999E-3</v>
      </c>
      <c r="K12892" s="160" t="s">
        <v>25</v>
      </c>
      <c r="L12892" s="154" t="str">
        <f>IF(OpenLCAbasic!K12892="CTUh", "Fill in Manually",IF(OR(K12892="Unit", K12892=""), "", INDEX(LookUps!$E$5:$E$12, MATCH(OpenLCAbasic!K12892,LookUps!$D$5:$D$12,0))))</f>
        <v>Smog Formation Potential (SFP) - kg O3 eq</v>
      </c>
      <c r="M12892" s="154" t="str">
        <f t="shared" si="1133"/>
        <v>Low_Base_Low_Upgraded_Smog Formation Potential (SFP) - kg O3 eq_ClearCove SCP; wastewater treatment unit; at updated plant - US_Without Amendment_Aerated Static Pile</v>
      </c>
    </row>
    <row r="12893" spans="1:13" s="120" customFormat="1" x14ac:dyDescent="0.25">
      <c r="A12893" s="119"/>
      <c r="B12893" s="138" t="str">
        <f t="shared" si="1128"/>
        <v>Aerated Static Pile</v>
      </c>
      <c r="C12893" s="138" t="str">
        <f t="shared" si="1129"/>
        <v>Without Amendment</v>
      </c>
      <c r="D12893" s="138" t="str">
        <f t="shared" si="1130"/>
        <v>Base_Low</v>
      </c>
      <c r="E12893" s="138" t="str">
        <f t="shared" si="1131"/>
        <v>Low</v>
      </c>
      <c r="F12893" s="138" t="str">
        <f t="shared" si="1132"/>
        <v>Upgraded</v>
      </c>
      <c r="G12893" s="153"/>
      <c r="H12893" s="210">
        <v>1.2999999999999999E-3</v>
      </c>
      <c r="I12893" s="160" t="s">
        <v>148</v>
      </c>
      <c r="J12893" s="160">
        <v>5.4000000000000001E-4</v>
      </c>
      <c r="K12893" s="160" t="s">
        <v>25</v>
      </c>
      <c r="L12893" s="154" t="str">
        <f>IF(OpenLCAbasic!K12893="CTUh", "Fill in Manually",IF(OR(K12893="Unit", K12893=""), "", INDEX(LookUps!$E$5:$E$12, MATCH(OpenLCAbasic!K12893,LookUps!$D$5:$D$12,0))))</f>
        <v>Smog Formation Potential (SFP) - kg O3 eq</v>
      </c>
      <c r="M12893" s="154" t="str">
        <f t="shared" si="1133"/>
        <v>Low_Base_Low_Upgraded_Smog Formation Potential (SFP) - kg O3 eq_Control Building; at upgraded wastewater treatment plant - US_Without Amendment_Aerated Static Pile</v>
      </c>
    </row>
    <row r="12894" spans="1:13" s="120" customFormat="1" x14ac:dyDescent="0.25">
      <c r="A12894" s="119"/>
      <c r="B12894" s="138" t="str">
        <f t="shared" si="1128"/>
        <v>Aerated Static Pile</v>
      </c>
      <c r="C12894" s="138" t="str">
        <f t="shared" si="1129"/>
        <v>Without Amendment</v>
      </c>
      <c r="D12894" s="138" t="str">
        <f t="shared" si="1130"/>
        <v>Base_Low</v>
      </c>
      <c r="E12894" s="138" t="str">
        <f t="shared" si="1131"/>
        <v>Low</v>
      </c>
      <c r="F12894" s="138" t="str">
        <f t="shared" si="1132"/>
        <v>Upgraded</v>
      </c>
      <c r="G12894" s="153"/>
      <c r="H12894" s="210">
        <v>-4.7999999999999996E-3</v>
      </c>
      <c r="I12894" s="160" t="s">
        <v>62</v>
      </c>
      <c r="J12894" s="160">
        <v>-2E-3</v>
      </c>
      <c r="K12894" s="160" t="s">
        <v>25</v>
      </c>
      <c r="L12894" s="154" t="str">
        <f>IF(OpenLCAbasic!K12894="CTUh", "Fill in Manually",IF(OR(K12894="Unit", K12894=""), "", INDEX(LookUps!$E$5:$E$12, MATCH(OpenLCAbasic!K12894,LookUps!$D$5:$D$12,0))))</f>
        <v>Smog Formation Potential (SFP) - kg O3 eq</v>
      </c>
      <c r="M12894" s="154" t="str">
        <f t="shared" si="1133"/>
        <v>Low_Base_Low_Upgraded_Smog Formation Potential (SFP) - kg O3 eq_Land application of compost; wastewater treatment unit; at updated plant - US_Without Amendment_Aerated Static Pile</v>
      </c>
    </row>
    <row r="12895" spans="1:13" s="120" customFormat="1" x14ac:dyDescent="0.25">
      <c r="A12895" s="119"/>
      <c r="B12895" s="138" t="str">
        <f t="shared" si="1128"/>
        <v/>
      </c>
      <c r="C12895" s="138" t="str">
        <f t="shared" si="1129"/>
        <v/>
      </c>
      <c r="D12895" s="138" t="str">
        <f t="shared" si="1130"/>
        <v/>
      </c>
      <c r="E12895" s="138" t="str">
        <f t="shared" si="1131"/>
        <v/>
      </c>
      <c r="F12895" s="138" t="str">
        <f t="shared" si="1132"/>
        <v/>
      </c>
      <c r="G12895" s="153" t="s">
        <v>51</v>
      </c>
      <c r="H12895" s="160"/>
      <c r="I12895" s="160" t="s">
        <v>47</v>
      </c>
      <c r="J12895" s="160" t="s">
        <v>52</v>
      </c>
      <c r="K12895" s="160" t="s">
        <v>27</v>
      </c>
      <c r="L12895" s="154" t="str">
        <f>IF(OpenLCAbasic!K12895="CTUh", "Fill in Manually",IF(OR(K12895="Unit", K12895=""), "", INDEX(LookUps!$E$5:$E$12, MATCH(OpenLCAbasic!K12895,LookUps!$D$5:$D$12,0))))</f>
        <v/>
      </c>
      <c r="M12895" s="154" t="str">
        <f t="shared" si="1133"/>
        <v>____Process__</v>
      </c>
    </row>
    <row r="12896" spans="1:13" s="120" customFormat="1" x14ac:dyDescent="0.25">
      <c r="A12896" s="119"/>
      <c r="B12896" s="138" t="str">
        <f t="shared" si="1128"/>
        <v>Aerated Static Pile</v>
      </c>
      <c r="C12896" s="138" t="str">
        <f t="shared" si="1129"/>
        <v>Without Amendment</v>
      </c>
      <c r="D12896" s="138" t="str">
        <f t="shared" si="1130"/>
        <v>Base_Low</v>
      </c>
      <c r="E12896" s="138" t="str">
        <f t="shared" si="1131"/>
        <v>Low</v>
      </c>
      <c r="F12896" s="138" t="str">
        <f t="shared" si="1132"/>
        <v>Upgraded</v>
      </c>
      <c r="G12896" s="153"/>
      <c r="H12896" s="210">
        <v>0.62309999999999999</v>
      </c>
      <c r="I12896" s="160" t="s">
        <v>167</v>
      </c>
      <c r="J12896" s="160">
        <v>2.3000000000000001E-4</v>
      </c>
      <c r="K12896" s="160" t="s">
        <v>26</v>
      </c>
      <c r="L12896" s="154" t="str">
        <f>IF(OpenLCAbasic!K12896="CTUh", "Fill in Manually",IF(OR(K12896="Unit", K12896=""), "", INDEX(LookUps!$E$5:$E$12, MATCH(OpenLCAbasic!K12896,LookUps!$D$5:$D$12,0))))</f>
        <v>Water Use (WU) - m3 H2O</v>
      </c>
      <c r="M12896" s="154" t="str">
        <f t="shared" si="1133"/>
        <v>Low_Base_Low_Upgraded_Water Use (WU) - m3 H2O_Waste Receiving and Holding; wastewater treatment unit; at updated plant - US_Without Amendment_Aerated Static Pile</v>
      </c>
    </row>
    <row r="12897" spans="1:13" s="120" customFormat="1" x14ac:dyDescent="0.25">
      <c r="A12897" s="119"/>
      <c r="B12897" s="138" t="str">
        <f t="shared" si="1128"/>
        <v>Aerated Static Pile</v>
      </c>
      <c r="C12897" s="138" t="str">
        <f t="shared" si="1129"/>
        <v>Without Amendment</v>
      </c>
      <c r="D12897" s="138" t="str">
        <f t="shared" si="1130"/>
        <v>Base_Low</v>
      </c>
      <c r="E12897" s="138" t="str">
        <f t="shared" si="1131"/>
        <v>Low</v>
      </c>
      <c r="F12897" s="138" t="str">
        <f t="shared" si="1132"/>
        <v>Upgraded</v>
      </c>
      <c r="G12897" s="153"/>
      <c r="H12897" s="210">
        <v>0.49309999999999998</v>
      </c>
      <c r="I12897" s="160" t="s">
        <v>147</v>
      </c>
      <c r="J12897" s="160">
        <v>1.8000000000000001E-4</v>
      </c>
      <c r="K12897" s="160" t="s">
        <v>26</v>
      </c>
      <c r="L12897" s="154" t="str">
        <f>IF(OpenLCAbasic!K12897="CTUh", "Fill in Manually",IF(OR(K12897="Unit", K12897=""), "", INDEX(LookUps!$E$5:$E$12, MATCH(OpenLCAbasic!K12897,LookUps!$D$5:$D$12,0))))</f>
        <v>Water Use (WU) - m3 H2O</v>
      </c>
      <c r="M12897" s="154" t="str">
        <f t="shared" si="1133"/>
        <v>Low_Base_Low_Upgraded_Water Use (WU) - m3 H2O_Influent Pump Station; wastewater treatment unit; at updated plant - US_Without Amendment_Aerated Static Pile</v>
      </c>
    </row>
    <row r="12898" spans="1:13" s="120" customFormat="1" x14ac:dyDescent="0.25">
      <c r="A12898" s="119"/>
      <c r="B12898" s="138" t="str">
        <f t="shared" si="1128"/>
        <v>Aerated Static Pile</v>
      </c>
      <c r="C12898" s="138" t="str">
        <f t="shared" si="1129"/>
        <v>Without Amendment</v>
      </c>
      <c r="D12898" s="138" t="str">
        <f t="shared" si="1130"/>
        <v>Base_Low</v>
      </c>
      <c r="E12898" s="138" t="str">
        <f t="shared" si="1131"/>
        <v>Low</v>
      </c>
      <c r="F12898" s="138" t="str">
        <f t="shared" si="1132"/>
        <v>Upgraded</v>
      </c>
      <c r="G12898" s="153"/>
      <c r="H12898" s="210">
        <v>0.48110000000000003</v>
      </c>
      <c r="I12898" s="160" t="s">
        <v>54</v>
      </c>
      <c r="J12898" s="160">
        <v>1.8000000000000001E-4</v>
      </c>
      <c r="K12898" s="160" t="s">
        <v>26</v>
      </c>
      <c r="L12898" s="154" t="str">
        <f>IF(OpenLCAbasic!K12898="CTUh", "Fill in Manually",IF(OR(K12898="Unit", K12898=""), "", INDEX(LookUps!$E$5:$E$12, MATCH(OpenLCAbasic!K12898,LookUps!$D$5:$D$12,0))))</f>
        <v>Water Use (WU) - m3 H2O</v>
      </c>
      <c r="M12898" s="154" t="str">
        <f t="shared" si="1133"/>
        <v>Low_Base_Low_Upgraded_Water Use (WU) - m3 H2O_Clear Cove Primary Clarification; wastewater treatment unit; at updated plant - US_Without Amendment_Aerated Static Pile</v>
      </c>
    </row>
    <row r="12899" spans="1:13" s="120" customFormat="1" x14ac:dyDescent="0.25">
      <c r="A12899" s="119"/>
      <c r="B12899" s="138" t="str">
        <f t="shared" si="1128"/>
        <v>Aerated Static Pile</v>
      </c>
      <c r="C12899" s="138" t="str">
        <f t="shared" si="1129"/>
        <v>Without Amendment</v>
      </c>
      <c r="D12899" s="138" t="str">
        <f t="shared" si="1130"/>
        <v>Base_Low</v>
      </c>
      <c r="E12899" s="138" t="str">
        <f t="shared" si="1131"/>
        <v>Low</v>
      </c>
      <c r="F12899" s="138" t="str">
        <f t="shared" si="1132"/>
        <v>Upgraded</v>
      </c>
      <c r="G12899" s="153"/>
      <c r="H12899" s="210">
        <v>0.43640000000000001</v>
      </c>
      <c r="I12899" s="160" t="s">
        <v>55</v>
      </c>
      <c r="J12899" s="160">
        <v>1.6000000000000001E-4</v>
      </c>
      <c r="K12899" s="160" t="s">
        <v>26</v>
      </c>
      <c r="L12899" s="154" t="str">
        <f>IF(OpenLCAbasic!K12899="CTUh", "Fill in Manually",IF(OR(K12899="Unit", K12899=""), "", INDEX(LookUps!$E$5:$E$12, MATCH(OpenLCAbasic!K12899,LookUps!$D$5:$D$12,0))))</f>
        <v>Water Use (WU) - m3 H2O</v>
      </c>
      <c r="M12899" s="154" t="str">
        <f t="shared" si="1133"/>
        <v>Low_Base_Low_Upgraded_Water Use (WU) - m3 H2O_Aeration Tanks; wastewater treatment unit; at updated plant - US_Without Amendment_Aerated Static Pile</v>
      </c>
    </row>
    <row r="12900" spans="1:13" s="120" customFormat="1" x14ac:dyDescent="0.25">
      <c r="A12900" s="119"/>
      <c r="B12900" s="138" t="str">
        <f t="shared" si="1128"/>
        <v>Aerated Static Pile</v>
      </c>
      <c r="C12900" s="138" t="str">
        <f t="shared" si="1129"/>
        <v>Without Amendment</v>
      </c>
      <c r="D12900" s="138" t="str">
        <f t="shared" si="1130"/>
        <v>Base_Low</v>
      </c>
      <c r="E12900" s="138" t="str">
        <f t="shared" si="1131"/>
        <v>Low</v>
      </c>
      <c r="F12900" s="138" t="str">
        <f t="shared" si="1132"/>
        <v>Upgraded</v>
      </c>
      <c r="G12900" s="153"/>
      <c r="H12900" s="210">
        <v>0.39760000000000001</v>
      </c>
      <c r="I12900" s="160" t="s">
        <v>148</v>
      </c>
      <c r="J12900" s="160">
        <v>1.4999999999999999E-4</v>
      </c>
      <c r="K12900" s="160" t="s">
        <v>26</v>
      </c>
      <c r="L12900" s="154" t="str">
        <f>IF(OpenLCAbasic!K12900="CTUh", "Fill in Manually",IF(OR(K12900="Unit", K12900=""), "", INDEX(LookUps!$E$5:$E$12, MATCH(OpenLCAbasic!K12900,LookUps!$D$5:$D$12,0))))</f>
        <v>Water Use (WU) - m3 H2O</v>
      </c>
      <c r="M12900" s="154" t="str">
        <f t="shared" si="1133"/>
        <v>Low_Base_Low_Upgraded_Water Use (WU) - m3 H2O_Control Building; at upgraded wastewater treatment plant - US_Without Amendment_Aerated Static Pile</v>
      </c>
    </row>
    <row r="12901" spans="1:13" s="120" customFormat="1" x14ac:dyDescent="0.25">
      <c r="A12901" s="119"/>
      <c r="B12901" s="138" t="str">
        <f t="shared" si="1128"/>
        <v>Aerated Static Pile</v>
      </c>
      <c r="C12901" s="138" t="str">
        <f t="shared" si="1129"/>
        <v>Without Amendment</v>
      </c>
      <c r="D12901" s="138" t="str">
        <f t="shared" si="1130"/>
        <v>Base_Low</v>
      </c>
      <c r="E12901" s="138" t="str">
        <f t="shared" si="1131"/>
        <v>Low</v>
      </c>
      <c r="F12901" s="138" t="str">
        <f t="shared" si="1132"/>
        <v>Upgraded</v>
      </c>
      <c r="G12901" s="153"/>
      <c r="H12901" s="210">
        <v>0.18459999999999999</v>
      </c>
      <c r="I12901" s="160" t="s">
        <v>48</v>
      </c>
      <c r="J12901" s="211">
        <v>6.8836400000000004E-5</v>
      </c>
      <c r="K12901" s="160" t="s">
        <v>26</v>
      </c>
      <c r="L12901" s="154" t="str">
        <f>IF(OpenLCAbasic!K12901="CTUh", "Fill in Manually",IF(OR(K12901="Unit", K12901=""), "", INDEX(LookUps!$E$5:$E$12, MATCH(OpenLCAbasic!K12901,LookUps!$D$5:$D$12,0))))</f>
        <v>Water Use (WU) - m3 H2O</v>
      </c>
      <c r="M12901" s="154" t="str">
        <f t="shared" si="1133"/>
        <v>Low_Base_Low_Upgraded_Water Use (WU) - m3 H2O_Effluent release; wastewater treatment unit; at surface water; m3 wastewater - US_Without Amendment_Aerated Static Pile</v>
      </c>
    </row>
    <row r="12902" spans="1:13" s="120" customFormat="1" x14ac:dyDescent="0.25">
      <c r="A12902" s="119"/>
      <c r="B12902" s="138" t="str">
        <f t="shared" si="1128"/>
        <v>Aerated Static Pile</v>
      </c>
      <c r="C12902" s="138" t="str">
        <f t="shared" si="1129"/>
        <v>Without Amendment</v>
      </c>
      <c r="D12902" s="138" t="str">
        <f t="shared" si="1130"/>
        <v>Base_Low</v>
      </c>
      <c r="E12902" s="138" t="str">
        <f t="shared" si="1131"/>
        <v>Low</v>
      </c>
      <c r="F12902" s="138" t="str">
        <f t="shared" si="1132"/>
        <v>Upgraded</v>
      </c>
      <c r="G12902" s="153"/>
      <c r="H12902" s="210">
        <v>0.12690000000000001</v>
      </c>
      <c r="I12902" s="160" t="s">
        <v>149</v>
      </c>
      <c r="J12902" s="211">
        <v>4.7332900000000002E-5</v>
      </c>
      <c r="K12902" s="160" t="s">
        <v>26</v>
      </c>
      <c r="L12902" s="154" t="str">
        <f>IF(OpenLCAbasic!K12902="CTUh", "Fill in Manually",IF(OR(K12902="Unit", K12902=""), "", INDEX(LookUps!$E$5:$E$12, MATCH(OpenLCAbasic!K12902,LookUps!$D$5:$D$12,0))))</f>
        <v>Water Use (WU) - m3 H2O</v>
      </c>
      <c r="M12902" s="154" t="str">
        <f t="shared" si="1133"/>
        <v>Low_Base_Low_Upgraded_Water Use (WU) - m3 H2O_Anaerobic Digestion; wastewater treatment unit; at updated plant - US_Without Amendment_Aerated Static Pile</v>
      </c>
    </row>
    <row r="12903" spans="1:13" s="120" customFormat="1" x14ac:dyDescent="0.25">
      <c r="A12903" s="119"/>
      <c r="B12903" s="138" t="str">
        <f t="shared" si="1128"/>
        <v>Aerated Static Pile</v>
      </c>
      <c r="C12903" s="138" t="str">
        <f t="shared" si="1129"/>
        <v>Without Amendment</v>
      </c>
      <c r="D12903" s="138" t="str">
        <f t="shared" si="1130"/>
        <v>Base_Low</v>
      </c>
      <c r="E12903" s="138" t="str">
        <f t="shared" si="1131"/>
        <v>Low</v>
      </c>
      <c r="F12903" s="138" t="str">
        <f t="shared" si="1132"/>
        <v>Upgraded</v>
      </c>
      <c r="G12903" s="153"/>
      <c r="H12903" s="210">
        <v>0.1158</v>
      </c>
      <c r="I12903" s="160" t="s">
        <v>58</v>
      </c>
      <c r="J12903" s="211">
        <v>4.3192100000000003E-5</v>
      </c>
      <c r="K12903" s="160" t="s">
        <v>26</v>
      </c>
      <c r="L12903" s="154" t="str">
        <f>IF(OpenLCAbasic!K12903="CTUh", "Fill in Manually",IF(OR(K12903="Unit", K12903=""), "", INDEX(LookUps!$E$5:$E$12, MATCH(OpenLCAbasic!K12903,LookUps!$D$5:$D$12,0))))</f>
        <v>Water Use (WU) - m3 H2O</v>
      </c>
      <c r="M12903" s="154" t="str">
        <f t="shared" si="1133"/>
        <v>Low_Base_Low_Upgraded_Water Use (WU) - m3 H2O_Pre-Anoxic &amp; Swing tank; wastewater treatment unit; at updated plant - US_Without Amendment_Aerated Static Pile</v>
      </c>
    </row>
    <row r="12904" spans="1:13" s="120" customFormat="1" x14ac:dyDescent="0.25">
      <c r="A12904" s="119"/>
      <c r="B12904" s="138" t="str">
        <f t="shared" si="1128"/>
        <v>Aerated Static Pile</v>
      </c>
      <c r="C12904" s="138" t="str">
        <f t="shared" si="1129"/>
        <v>Without Amendment</v>
      </c>
      <c r="D12904" s="138" t="str">
        <f t="shared" si="1130"/>
        <v>Base_Low</v>
      </c>
      <c r="E12904" s="138" t="str">
        <f t="shared" si="1131"/>
        <v>Low</v>
      </c>
      <c r="F12904" s="138" t="str">
        <f t="shared" si="1132"/>
        <v>Upgraded</v>
      </c>
      <c r="G12904" s="153"/>
      <c r="H12904" s="210">
        <v>8.1600000000000006E-2</v>
      </c>
      <c r="I12904" s="160" t="s">
        <v>57</v>
      </c>
      <c r="J12904" s="211">
        <v>3.0408100000000001E-5</v>
      </c>
      <c r="K12904" s="160" t="s">
        <v>26</v>
      </c>
      <c r="L12904" s="154" t="str">
        <f>IF(OpenLCAbasic!K12904="CTUh", "Fill in Manually",IF(OR(K12904="Unit", K12904=""), "", INDEX(LookUps!$E$5:$E$12, MATCH(OpenLCAbasic!K12904,LookUps!$D$5:$D$12,0))))</f>
        <v>Water Use (WU) - m3 H2O</v>
      </c>
      <c r="M12904" s="154" t="str">
        <f t="shared" si="1133"/>
        <v>Low_Base_Low_Upgraded_Water Use (WU) - m3 H2O_Gravity Belt Thickener; wastewater treatment unit; at updated plant - US_Without Amendment_Aerated Static Pile</v>
      </c>
    </row>
    <row r="12905" spans="1:13" s="120" customFormat="1" x14ac:dyDescent="0.25">
      <c r="A12905" s="119"/>
      <c r="B12905" s="138" t="str">
        <f t="shared" ref="B12905:B12968" si="1134">IF(F12905="Legacy","n.a.",IF(F12905="","","Aerated Static Pile"))</f>
        <v>Aerated Static Pile</v>
      </c>
      <c r="C12905" s="138" t="str">
        <f t="shared" ref="C12905:C12968" si="1135">IF(ISNUMBER($J12905),"Without Amendment","")</f>
        <v>Without Amendment</v>
      </c>
      <c r="D12905" s="138" t="str">
        <f t="shared" ref="D12905:D12911" si="1136">IF(ISNUMBER($J12905),"Base_Low","")</f>
        <v>Base_Low</v>
      </c>
      <c r="E12905" s="138" t="str">
        <f t="shared" ref="E12905:E12968" si="1137">IF(ISNUMBER($J12905),"Low","")</f>
        <v>Low</v>
      </c>
      <c r="F12905" s="138" t="str">
        <f t="shared" ref="F12905:F12968" si="1138">IF(ISNUMBER(J12905),"Upgraded","")</f>
        <v>Upgraded</v>
      </c>
      <c r="G12905" s="153"/>
      <c r="H12905" s="210">
        <v>6.5299999999999997E-2</v>
      </c>
      <c r="I12905" s="160" t="s">
        <v>60</v>
      </c>
      <c r="J12905" s="211">
        <v>2.4357400000000002E-5</v>
      </c>
      <c r="K12905" s="160" t="s">
        <v>26</v>
      </c>
      <c r="L12905" s="154" t="str">
        <f>IF(OpenLCAbasic!K12905="CTUh", "Fill in Manually",IF(OR(K12905="Unit", K12905=""), "", INDEX(LookUps!$E$5:$E$12, MATCH(OpenLCAbasic!K12905,LookUps!$D$5:$D$12,0))))</f>
        <v>Water Use (WU) - m3 H2O</v>
      </c>
      <c r="M12905" s="154" t="str">
        <f t="shared" si="1133"/>
        <v>Low_Base_Low_Upgraded_Water Use (WU) - m3 H2O_Belt filter press; wastewater treatment unit; at updated plant - US_Without Amendment_Aerated Static Pile</v>
      </c>
    </row>
    <row r="12906" spans="1:13" s="120" customFormat="1" x14ac:dyDescent="0.25">
      <c r="A12906" s="119"/>
      <c r="B12906" s="138" t="str">
        <f t="shared" si="1134"/>
        <v>Aerated Static Pile</v>
      </c>
      <c r="C12906" s="138" t="str">
        <f t="shared" si="1135"/>
        <v>Without Amendment</v>
      </c>
      <c r="D12906" s="138" t="str">
        <f t="shared" si="1136"/>
        <v>Base_Low</v>
      </c>
      <c r="E12906" s="138" t="str">
        <f t="shared" si="1137"/>
        <v>Low</v>
      </c>
      <c r="F12906" s="138" t="str">
        <f t="shared" si="1138"/>
        <v>Upgraded</v>
      </c>
      <c r="G12906" s="153"/>
      <c r="H12906" s="210">
        <v>4.7E-2</v>
      </c>
      <c r="I12906" s="160" t="s">
        <v>53</v>
      </c>
      <c r="J12906" s="211">
        <v>1.75069E-5</v>
      </c>
      <c r="K12906" s="160" t="s">
        <v>26</v>
      </c>
      <c r="L12906" s="154" t="str">
        <f>IF(OpenLCAbasic!K12906="CTUh", "Fill in Manually",IF(OR(K12906="Unit", K12906=""), "", INDEX(LookUps!$E$5:$E$12, MATCH(OpenLCAbasic!K12906,LookUps!$D$5:$D$12,0))))</f>
        <v>Water Use (WU) - m3 H2O</v>
      </c>
      <c r="M12906" s="154" t="str">
        <f t="shared" si="1133"/>
        <v>Low_Base_Low_Upgraded_Water Use (WU) - m3 H2O_Wet Well and Sump Station; wastewater treatment unit; at updated plant - US_Without Amendment_Aerated Static Pile</v>
      </c>
    </row>
    <row r="12907" spans="1:13" s="120" customFormat="1" x14ac:dyDescent="0.25">
      <c r="A12907" s="119"/>
      <c r="B12907" s="138" t="str">
        <f t="shared" si="1134"/>
        <v>Aerated Static Pile</v>
      </c>
      <c r="C12907" s="138" t="str">
        <f t="shared" si="1135"/>
        <v>Without Amendment</v>
      </c>
      <c r="D12907" s="138" t="str">
        <f t="shared" si="1136"/>
        <v>Base_Low</v>
      </c>
      <c r="E12907" s="138" t="str">
        <f t="shared" si="1137"/>
        <v>Low</v>
      </c>
      <c r="F12907" s="138" t="str">
        <f t="shared" si="1138"/>
        <v>Upgraded</v>
      </c>
      <c r="G12907" s="153"/>
      <c r="H12907" s="210">
        <v>1.8800000000000001E-2</v>
      </c>
      <c r="I12907" s="160" t="s">
        <v>59</v>
      </c>
      <c r="J12907" s="211">
        <v>7.0179500000000003E-6</v>
      </c>
      <c r="K12907" s="160" t="s">
        <v>26</v>
      </c>
      <c r="L12907" s="154" t="str">
        <f>IF(OpenLCAbasic!K12907="CTUh", "Fill in Manually",IF(OR(K12907="Unit", K12907=""), "", INDEX(LookUps!$E$5:$E$12, MATCH(OpenLCAbasic!K12907,LookUps!$D$5:$D$12,0))))</f>
        <v>Water Use (WU) - m3 H2O</v>
      </c>
      <c r="M12907" s="154" t="str">
        <f t="shared" si="1133"/>
        <v>Low_Base_Low_Upgraded_Water Use (WU) - m3 H2O_Blend Tank; wastewater treatment unit; at updated plant - US_Without Amendment_Aerated Static Pile</v>
      </c>
    </row>
    <row r="12908" spans="1:13" s="120" customFormat="1" x14ac:dyDescent="0.25">
      <c r="A12908" s="119"/>
      <c r="B12908" s="138" t="str">
        <f t="shared" si="1134"/>
        <v>Aerated Static Pile</v>
      </c>
      <c r="C12908" s="138" t="str">
        <f t="shared" si="1135"/>
        <v>Without Amendment</v>
      </c>
      <c r="D12908" s="138" t="str">
        <f t="shared" si="1136"/>
        <v>Base_Low</v>
      </c>
      <c r="E12908" s="138" t="str">
        <f t="shared" si="1137"/>
        <v>Low</v>
      </c>
      <c r="F12908" s="138" t="str">
        <f t="shared" si="1138"/>
        <v>Upgraded</v>
      </c>
      <c r="G12908" s="153"/>
      <c r="H12908" s="210">
        <v>1.7899999999999999E-2</v>
      </c>
      <c r="I12908" s="160" t="s">
        <v>435</v>
      </c>
      <c r="J12908" s="211">
        <v>6.6684800000000001E-6</v>
      </c>
      <c r="K12908" s="160" t="s">
        <v>26</v>
      </c>
      <c r="L12908" s="154" t="str">
        <f>IF(OpenLCAbasic!K12908="CTUh", "Fill in Manually",IF(OR(K12908="Unit", K12908=""), "", INDEX(LookUps!$E$5:$E$12, MATCH(OpenLCAbasic!K12908,LookUps!$D$5:$D$12,0))))</f>
        <v>Water Use (WU) - m3 H2O</v>
      </c>
      <c r="M12908" s="154" t="str">
        <f t="shared" si="1133"/>
        <v>Low_Base_Low_Upgraded_Water Use (WU) - m3 H2O_Biosolids composting; aerated static pile; wastewater treatment unit; at updated plant - US_Without Amendment_Aerated Static Pile</v>
      </c>
    </row>
    <row r="12909" spans="1:13" s="120" customFormat="1" x14ac:dyDescent="0.25">
      <c r="A12909" s="119"/>
      <c r="B12909" s="138" t="str">
        <f t="shared" si="1134"/>
        <v>Aerated Static Pile</v>
      </c>
      <c r="C12909" s="138" t="str">
        <f t="shared" si="1135"/>
        <v>Without Amendment</v>
      </c>
      <c r="D12909" s="138" t="str">
        <f t="shared" si="1136"/>
        <v>Base_Low</v>
      </c>
      <c r="E12909" s="138" t="str">
        <f t="shared" si="1137"/>
        <v>Low</v>
      </c>
      <c r="F12909" s="138" t="str">
        <f t="shared" si="1138"/>
        <v>Upgraded</v>
      </c>
      <c r="G12909" s="153"/>
      <c r="H12909" s="210">
        <v>1.3599999999999999E-2</v>
      </c>
      <c r="I12909" s="160" t="s">
        <v>128</v>
      </c>
      <c r="J12909" s="211">
        <v>5.0608900000000003E-6</v>
      </c>
      <c r="K12909" s="160" t="s">
        <v>26</v>
      </c>
      <c r="L12909" s="154" t="str">
        <f>IF(OpenLCAbasic!K12909="CTUh", "Fill in Manually",IF(OR(K12909="Unit", K12909=""), "", INDEX(LookUps!$E$5:$E$12, MATCH(OpenLCAbasic!K12909,LookUps!$D$5:$D$12,0))))</f>
        <v>Water Use (WU) - m3 H2O</v>
      </c>
      <c r="M12909" s="154" t="str">
        <f t="shared" si="1133"/>
        <v>Low_Base_Low_Upgraded_Water Use (WU) - m3 H2O_Wastewater collection; operation and infrastructure; m3 wastewater_Without Amendment_Aerated Static Pile</v>
      </c>
    </row>
    <row r="12910" spans="1:13" s="120" customFormat="1" x14ac:dyDescent="0.25">
      <c r="A12910" s="119"/>
      <c r="B12910" s="138" t="str">
        <f t="shared" si="1134"/>
        <v>Aerated Static Pile</v>
      </c>
      <c r="C12910" s="138" t="str">
        <f t="shared" si="1135"/>
        <v>Without Amendment</v>
      </c>
      <c r="D12910" s="138" t="str">
        <f t="shared" si="1136"/>
        <v>Base_Low</v>
      </c>
      <c r="E12910" s="138" t="str">
        <f t="shared" si="1137"/>
        <v>Low</v>
      </c>
      <c r="F12910" s="138" t="str">
        <f t="shared" si="1138"/>
        <v>Upgraded</v>
      </c>
      <c r="G12910" s="153"/>
      <c r="H12910" s="210">
        <v>2.0999999999999999E-3</v>
      </c>
      <c r="I12910" s="160" t="s">
        <v>168</v>
      </c>
      <c r="J12910" s="211">
        <v>7.6697000000000004E-7</v>
      </c>
      <c r="K12910" s="160" t="s">
        <v>26</v>
      </c>
      <c r="L12910" s="154" t="str">
        <f>IF(OpenLCAbasic!K12910="CTUh", "Fill in Manually",IF(OR(K12910="Unit", K12910=""), "", INDEX(LookUps!$E$5:$E$12, MATCH(OpenLCAbasic!K12910,LookUps!$D$5:$D$12,0))))</f>
        <v>Water Use (WU) - m3 H2O</v>
      </c>
      <c r="M12910" s="154" t="str">
        <f t="shared" si="1133"/>
        <v>Low_Base_Low_Upgraded_Water Use (WU) - m3 H2O_ClearCove SCP; wastewater treatment unit; at updated plant - US_Without Amendment_Aerated Static Pile</v>
      </c>
    </row>
    <row r="12911" spans="1:13" s="120" customFormat="1" x14ac:dyDescent="0.25">
      <c r="A12911" s="119"/>
      <c r="B12911" s="138" t="str">
        <f t="shared" si="1134"/>
        <v>Aerated Static Pile</v>
      </c>
      <c r="C12911" s="138" t="str">
        <f t="shared" si="1135"/>
        <v>Without Amendment</v>
      </c>
      <c r="D12911" s="138" t="str">
        <f t="shared" si="1136"/>
        <v>Base_Low</v>
      </c>
      <c r="E12911" s="138" t="str">
        <f t="shared" si="1137"/>
        <v>Low</v>
      </c>
      <c r="F12911" s="138" t="str">
        <f t="shared" si="1138"/>
        <v>Upgraded</v>
      </c>
      <c r="G12911" s="153"/>
      <c r="H12911" s="210">
        <v>-2.1048</v>
      </c>
      <c r="I12911" s="160" t="s">
        <v>62</v>
      </c>
      <c r="J12911" s="160">
        <v>-7.7999999999999999E-4</v>
      </c>
      <c r="K12911" s="160" t="s">
        <v>26</v>
      </c>
      <c r="L12911" s="154" t="str">
        <f>IF(OpenLCAbasic!K12911="CTUh", "Fill in Manually",IF(OR(K12911="Unit", K12911=""), "", INDEX(LookUps!$E$5:$E$12, MATCH(OpenLCAbasic!K12911,LookUps!$D$5:$D$12,0))))</f>
        <v>Water Use (WU) - m3 H2O</v>
      </c>
      <c r="M12911" s="154" t="str">
        <f t="shared" si="1133"/>
        <v>Low_Base_Low_Upgraded_Water Use (WU) - m3 H2O_Land application of compost; wastewater treatment unit; at updated plant - US_Without Amendment_Aerated Static Pile</v>
      </c>
    </row>
    <row r="12912" spans="1:13" s="120" customFormat="1" x14ac:dyDescent="0.25">
      <c r="A12912" s="119"/>
      <c r="B12912" s="138" t="str">
        <f t="shared" si="1134"/>
        <v/>
      </c>
      <c r="C12912" s="138" t="str">
        <f t="shared" si="1135"/>
        <v/>
      </c>
      <c r="D12912" s="138" t="str">
        <f>IF(ISNUMBER($J12912),"Base_High","")</f>
        <v/>
      </c>
      <c r="E12912" s="138" t="str">
        <f t="shared" si="1137"/>
        <v/>
      </c>
      <c r="F12912" s="138" t="str">
        <f t="shared" si="1138"/>
        <v/>
      </c>
      <c r="G12912" s="153" t="s">
        <v>51</v>
      </c>
      <c r="H12912" s="160"/>
      <c r="I12912" s="160" t="s">
        <v>47</v>
      </c>
      <c r="J12912" s="160" t="s">
        <v>52</v>
      </c>
      <c r="K12912" s="160" t="s">
        <v>27</v>
      </c>
      <c r="L12912" s="154" t="str">
        <f>IF(OpenLCAbasic!K12912="CTUh", "Fill in Manually",IF(OR(K12912="Unit", K12912=""), "", INDEX(LookUps!$E$5:$E$12, MATCH(OpenLCAbasic!K12912,LookUps!$D$5:$D$12,0))))</f>
        <v/>
      </c>
      <c r="M12912" s="154" t="str">
        <f t="shared" si="1133"/>
        <v>____Process__</v>
      </c>
    </row>
    <row r="12913" spans="1:13" s="120" customFormat="1" x14ac:dyDescent="0.25">
      <c r="A12913" s="119"/>
      <c r="B12913" s="138" t="str">
        <f t="shared" si="1134"/>
        <v>Aerated Static Pile</v>
      </c>
      <c r="C12913" s="138" t="str">
        <f t="shared" si="1135"/>
        <v>Without Amendment</v>
      </c>
      <c r="D12913" s="138" t="str">
        <f t="shared" ref="D12913:D12976" si="1139">IF(ISNUMBER($J12913),"Base_High","")</f>
        <v>Base_High</v>
      </c>
      <c r="E12913" s="138" t="str">
        <f t="shared" si="1137"/>
        <v>Low</v>
      </c>
      <c r="F12913" s="138" t="str">
        <f t="shared" si="1138"/>
        <v>Upgraded</v>
      </c>
      <c r="G12913" s="153"/>
      <c r="H12913" s="210">
        <v>5.9535999999999998</v>
      </c>
      <c r="I12913" s="160" t="s">
        <v>55</v>
      </c>
      <c r="J12913" s="160">
        <v>1.7219999999999999E-2</v>
      </c>
      <c r="K12913" s="160" t="s">
        <v>24</v>
      </c>
      <c r="L12913" s="154" t="str">
        <f>IF(OpenLCAbasic!K12913="CTUh", "Fill in Manually",IF(OR(K12913="Unit", K12913=""), "", INDEX(LookUps!$E$5:$E$12, MATCH(OpenLCAbasic!K12913,LookUps!$D$5:$D$12,0))))</f>
        <v>Acidification Potential (AP) - kg SO2 eq</v>
      </c>
      <c r="M12913" s="154" t="str">
        <f t="shared" si="1133"/>
        <v>Low_Base_High_Upgraded_Acidification Potential (AP) - kg SO2 eq_Aeration Tanks; wastewater treatment unit; at updated plant - US_Without Amendment_Aerated Static Pile</v>
      </c>
    </row>
    <row r="12914" spans="1:13" s="120" customFormat="1" x14ac:dyDescent="0.25">
      <c r="A12914" s="119"/>
      <c r="B12914" s="138" t="str">
        <f t="shared" si="1134"/>
        <v>Aerated Static Pile</v>
      </c>
      <c r="C12914" s="138" t="str">
        <f t="shared" si="1135"/>
        <v>Without Amendment</v>
      </c>
      <c r="D12914" s="138" t="str">
        <f t="shared" si="1139"/>
        <v>Base_High</v>
      </c>
      <c r="E12914" s="138" t="str">
        <f t="shared" si="1137"/>
        <v>Low</v>
      </c>
      <c r="F12914" s="138" t="str">
        <f t="shared" si="1138"/>
        <v>Upgraded</v>
      </c>
      <c r="G12914" s="153"/>
      <c r="H12914" s="210">
        <v>1.722</v>
      </c>
      <c r="I12914" s="160" t="s">
        <v>54</v>
      </c>
      <c r="J12914" s="160">
        <v>4.9800000000000001E-3</v>
      </c>
      <c r="K12914" s="160" t="s">
        <v>24</v>
      </c>
      <c r="L12914" s="154" t="str">
        <f>IF(OpenLCAbasic!K12914="CTUh", "Fill in Manually",IF(OR(K12914="Unit", K12914=""), "", INDEX(LookUps!$E$5:$E$12, MATCH(OpenLCAbasic!K12914,LookUps!$D$5:$D$12,0))))</f>
        <v>Acidification Potential (AP) - kg SO2 eq</v>
      </c>
      <c r="M12914" s="154" t="str">
        <f t="shared" si="1133"/>
        <v>Low_Base_High_Upgraded_Acidification Potential (AP) - kg SO2 eq_Clear Cove Primary Clarification; wastewater treatment unit; at updated plant - US_Without Amendment_Aerated Static Pile</v>
      </c>
    </row>
    <row r="12915" spans="1:13" s="120" customFormat="1" x14ac:dyDescent="0.25">
      <c r="A12915" s="119"/>
      <c r="B12915" s="138" t="str">
        <f t="shared" si="1134"/>
        <v>Aerated Static Pile</v>
      </c>
      <c r="C12915" s="138" t="str">
        <f t="shared" si="1135"/>
        <v>Without Amendment</v>
      </c>
      <c r="D12915" s="138" t="str">
        <f t="shared" si="1139"/>
        <v>Base_High</v>
      </c>
      <c r="E12915" s="138" t="str">
        <f t="shared" si="1137"/>
        <v>Low</v>
      </c>
      <c r="F12915" s="138" t="str">
        <f t="shared" si="1138"/>
        <v>Upgraded</v>
      </c>
      <c r="G12915" s="153"/>
      <c r="H12915" s="210">
        <v>1.4976</v>
      </c>
      <c r="I12915" s="160" t="s">
        <v>58</v>
      </c>
      <c r="J12915" s="160">
        <v>4.3299999999999996E-3</v>
      </c>
      <c r="K12915" s="160" t="s">
        <v>24</v>
      </c>
      <c r="L12915" s="154" t="str">
        <f>IF(OpenLCAbasic!K12915="CTUh", "Fill in Manually",IF(OR(K12915="Unit", K12915=""), "", INDEX(LookUps!$E$5:$E$12, MATCH(OpenLCAbasic!K12915,LookUps!$D$5:$D$12,0))))</f>
        <v>Acidification Potential (AP) - kg SO2 eq</v>
      </c>
      <c r="M12915" s="154" t="str">
        <f t="shared" si="1133"/>
        <v>Low_Base_High_Upgraded_Acidification Potential (AP) - kg SO2 eq_Pre-Anoxic &amp; Swing tank; wastewater treatment unit; at updated plant - US_Without Amendment_Aerated Static Pile</v>
      </c>
    </row>
    <row r="12916" spans="1:13" s="120" customFormat="1" x14ac:dyDescent="0.25">
      <c r="A12916" s="119"/>
      <c r="B12916" s="138" t="str">
        <f t="shared" si="1134"/>
        <v>Aerated Static Pile</v>
      </c>
      <c r="C12916" s="138" t="str">
        <f t="shared" si="1135"/>
        <v>Without Amendment</v>
      </c>
      <c r="D12916" s="138" t="str">
        <f t="shared" si="1139"/>
        <v>Base_High</v>
      </c>
      <c r="E12916" s="138" t="str">
        <f t="shared" si="1137"/>
        <v>Low</v>
      </c>
      <c r="F12916" s="138" t="str">
        <f t="shared" si="1138"/>
        <v>Upgraded</v>
      </c>
      <c r="G12916" s="153"/>
      <c r="H12916" s="210">
        <v>1.1931</v>
      </c>
      <c r="I12916" s="160" t="s">
        <v>53</v>
      </c>
      <c r="J12916" s="160">
        <v>3.4499999999999999E-3</v>
      </c>
      <c r="K12916" s="160" t="s">
        <v>24</v>
      </c>
      <c r="L12916" s="154" t="str">
        <f>IF(OpenLCAbasic!K12916="CTUh", "Fill in Manually",IF(OR(K12916="Unit", K12916=""), "", INDEX(LookUps!$E$5:$E$12, MATCH(OpenLCAbasic!K12916,LookUps!$D$5:$D$12,0))))</f>
        <v>Acidification Potential (AP) - kg SO2 eq</v>
      </c>
      <c r="M12916" s="154" t="str">
        <f t="shared" si="1133"/>
        <v>Low_Base_High_Upgraded_Acidification Potential (AP) - kg SO2 eq_Wet Well and Sump Station; wastewater treatment unit; at updated plant - US_Without Amendment_Aerated Static Pile</v>
      </c>
    </row>
    <row r="12917" spans="1:13" s="120" customFormat="1" x14ac:dyDescent="0.25">
      <c r="A12917" s="119"/>
      <c r="B12917" s="138" t="str">
        <f t="shared" si="1134"/>
        <v>Aerated Static Pile</v>
      </c>
      <c r="C12917" s="138" t="str">
        <f t="shared" si="1135"/>
        <v>Without Amendment</v>
      </c>
      <c r="D12917" s="138" t="str">
        <f t="shared" si="1139"/>
        <v>Base_High</v>
      </c>
      <c r="E12917" s="138" t="str">
        <f t="shared" si="1137"/>
        <v>Low</v>
      </c>
      <c r="F12917" s="138" t="str">
        <f t="shared" si="1138"/>
        <v>Upgraded</v>
      </c>
      <c r="G12917" s="153"/>
      <c r="H12917" s="210">
        <v>0.82120000000000004</v>
      </c>
      <c r="I12917" s="160" t="s">
        <v>167</v>
      </c>
      <c r="J12917" s="160">
        <v>2.3800000000000002E-3</v>
      </c>
      <c r="K12917" s="160" t="s">
        <v>24</v>
      </c>
      <c r="L12917" s="154" t="str">
        <f>IF(OpenLCAbasic!K12917="CTUh", "Fill in Manually",IF(OR(K12917="Unit", K12917=""), "", INDEX(LookUps!$E$5:$E$12, MATCH(OpenLCAbasic!K12917,LookUps!$D$5:$D$12,0))))</f>
        <v>Acidification Potential (AP) - kg SO2 eq</v>
      </c>
      <c r="M12917" s="154" t="str">
        <f t="shared" si="1133"/>
        <v>Low_Base_High_Upgraded_Acidification Potential (AP) - kg SO2 eq_Waste Receiving and Holding; wastewater treatment unit; at updated plant - US_Without Amendment_Aerated Static Pile</v>
      </c>
    </row>
    <row r="12918" spans="1:13" s="120" customFormat="1" x14ac:dyDescent="0.25">
      <c r="A12918" s="119"/>
      <c r="B12918" s="138" t="str">
        <f t="shared" si="1134"/>
        <v>Aerated Static Pile</v>
      </c>
      <c r="C12918" s="138" t="str">
        <f t="shared" si="1135"/>
        <v>Without Amendment</v>
      </c>
      <c r="D12918" s="138" t="str">
        <f t="shared" si="1139"/>
        <v>Base_High</v>
      </c>
      <c r="E12918" s="138" t="str">
        <f t="shared" si="1137"/>
        <v>Low</v>
      </c>
      <c r="F12918" s="138" t="str">
        <f t="shared" si="1138"/>
        <v>Upgraded</v>
      </c>
      <c r="G12918" s="153"/>
      <c r="H12918" s="210">
        <v>0.71519999999999995</v>
      </c>
      <c r="I12918" s="160" t="s">
        <v>147</v>
      </c>
      <c r="J12918" s="160">
        <v>2.0699999999999998E-3</v>
      </c>
      <c r="K12918" s="160" t="s">
        <v>24</v>
      </c>
      <c r="L12918" s="154" t="str">
        <f>IF(OpenLCAbasic!K12918="CTUh", "Fill in Manually",IF(OR(K12918="Unit", K12918=""), "", INDEX(LookUps!$E$5:$E$12, MATCH(OpenLCAbasic!K12918,LookUps!$D$5:$D$12,0))))</f>
        <v>Acidification Potential (AP) - kg SO2 eq</v>
      </c>
      <c r="M12918" s="154" t="str">
        <f t="shared" si="1133"/>
        <v>Low_Base_High_Upgraded_Acidification Potential (AP) - kg SO2 eq_Influent Pump Station; wastewater treatment unit; at updated plant - US_Without Amendment_Aerated Static Pile</v>
      </c>
    </row>
    <row r="12919" spans="1:13" s="120" customFormat="1" x14ac:dyDescent="0.25">
      <c r="A12919" s="119"/>
      <c r="B12919" s="138" t="str">
        <f t="shared" si="1134"/>
        <v>Aerated Static Pile</v>
      </c>
      <c r="C12919" s="138" t="str">
        <f t="shared" si="1135"/>
        <v>Without Amendment</v>
      </c>
      <c r="D12919" s="138" t="str">
        <f t="shared" si="1139"/>
        <v>Base_High</v>
      </c>
      <c r="E12919" s="138" t="str">
        <f t="shared" si="1137"/>
        <v>Low</v>
      </c>
      <c r="F12919" s="138" t="str">
        <f t="shared" si="1138"/>
        <v>Upgraded</v>
      </c>
      <c r="G12919" s="153"/>
      <c r="H12919" s="210">
        <v>0.6452</v>
      </c>
      <c r="I12919" s="160" t="s">
        <v>62</v>
      </c>
      <c r="J12919" s="160">
        <v>1.8699999999999999E-3</v>
      </c>
      <c r="K12919" s="160" t="s">
        <v>24</v>
      </c>
      <c r="L12919" s="154" t="str">
        <f>IF(OpenLCAbasic!K12919="CTUh", "Fill in Manually",IF(OR(K12919="Unit", K12919=""), "", INDEX(LookUps!$E$5:$E$12, MATCH(OpenLCAbasic!K12919,LookUps!$D$5:$D$12,0))))</f>
        <v>Acidification Potential (AP) - kg SO2 eq</v>
      </c>
      <c r="M12919" s="154" t="str">
        <f t="shared" si="1133"/>
        <v>Low_Base_High_Upgraded_Acidification Potential (AP) - kg SO2 eq_Land application of compost; wastewater treatment unit; at updated plant - US_Without Amendment_Aerated Static Pile</v>
      </c>
    </row>
    <row r="12920" spans="1:13" s="120" customFormat="1" x14ac:dyDescent="0.25">
      <c r="A12920" s="119"/>
      <c r="B12920" s="138" t="str">
        <f t="shared" si="1134"/>
        <v>Aerated Static Pile</v>
      </c>
      <c r="C12920" s="138" t="str">
        <f t="shared" si="1135"/>
        <v>Without Amendment</v>
      </c>
      <c r="D12920" s="138" t="str">
        <f t="shared" si="1139"/>
        <v>Base_High</v>
      </c>
      <c r="E12920" s="138" t="str">
        <f t="shared" si="1137"/>
        <v>Low</v>
      </c>
      <c r="F12920" s="138" t="str">
        <f t="shared" si="1138"/>
        <v>Upgraded</v>
      </c>
      <c r="G12920" s="153"/>
      <c r="H12920" s="210">
        <v>0.56520000000000004</v>
      </c>
      <c r="I12920" s="160" t="s">
        <v>435</v>
      </c>
      <c r="J12920" s="160">
        <v>1.6299999999999999E-3</v>
      </c>
      <c r="K12920" s="160" t="s">
        <v>24</v>
      </c>
      <c r="L12920" s="154" t="str">
        <f>IF(OpenLCAbasic!K12920="CTUh", "Fill in Manually",IF(OR(K12920="Unit", K12920=""), "", INDEX(LookUps!$E$5:$E$12, MATCH(OpenLCAbasic!K12920,LookUps!$D$5:$D$12,0))))</f>
        <v>Acidification Potential (AP) - kg SO2 eq</v>
      </c>
      <c r="M12920" s="154" t="str">
        <f t="shared" si="1133"/>
        <v>Low_Base_High_Upgraded_Acidification Potential (AP) - kg SO2 eq_Biosolids composting; aerated static pile; wastewater treatment unit; at updated plant - US_Without Amendment_Aerated Static Pile</v>
      </c>
    </row>
    <row r="12921" spans="1:13" s="120" customFormat="1" x14ac:dyDescent="0.25">
      <c r="A12921" s="119"/>
      <c r="B12921" s="138" t="str">
        <f t="shared" si="1134"/>
        <v>Aerated Static Pile</v>
      </c>
      <c r="C12921" s="138" t="str">
        <f t="shared" si="1135"/>
        <v>Without Amendment</v>
      </c>
      <c r="D12921" s="138" t="str">
        <f t="shared" si="1139"/>
        <v>Base_High</v>
      </c>
      <c r="E12921" s="138" t="str">
        <f t="shared" si="1137"/>
        <v>Low</v>
      </c>
      <c r="F12921" s="138" t="str">
        <f t="shared" si="1138"/>
        <v>Upgraded</v>
      </c>
      <c r="G12921" s="153"/>
      <c r="H12921" s="210">
        <v>0.42630000000000001</v>
      </c>
      <c r="I12921" s="160" t="s">
        <v>128</v>
      </c>
      <c r="J12921" s="160">
        <v>1.23E-3</v>
      </c>
      <c r="K12921" s="160" t="s">
        <v>24</v>
      </c>
      <c r="L12921" s="154" t="str">
        <f>IF(OpenLCAbasic!K12921="CTUh", "Fill in Manually",IF(OR(K12921="Unit", K12921=""), "", INDEX(LookUps!$E$5:$E$12, MATCH(OpenLCAbasic!K12921,LookUps!$D$5:$D$12,0))))</f>
        <v>Acidification Potential (AP) - kg SO2 eq</v>
      </c>
      <c r="M12921" s="154" t="str">
        <f t="shared" si="1133"/>
        <v>Low_Base_High_Upgraded_Acidification Potential (AP) - kg SO2 eq_Wastewater collection; operation and infrastructure; m3 wastewater_Without Amendment_Aerated Static Pile</v>
      </c>
    </row>
    <row r="12922" spans="1:13" s="120" customFormat="1" x14ac:dyDescent="0.25">
      <c r="A12922" s="119"/>
      <c r="B12922" s="138" t="str">
        <f t="shared" si="1134"/>
        <v>Aerated Static Pile</v>
      </c>
      <c r="C12922" s="138" t="str">
        <f t="shared" si="1135"/>
        <v>Without Amendment</v>
      </c>
      <c r="D12922" s="138" t="str">
        <f t="shared" si="1139"/>
        <v>Base_High</v>
      </c>
      <c r="E12922" s="138" t="str">
        <f t="shared" si="1137"/>
        <v>Low</v>
      </c>
      <c r="F12922" s="138" t="str">
        <f t="shared" si="1138"/>
        <v>Upgraded</v>
      </c>
      <c r="G12922" s="153"/>
      <c r="H12922" s="210">
        <v>0.25719999999999998</v>
      </c>
      <c r="I12922" s="160" t="s">
        <v>60</v>
      </c>
      <c r="J12922" s="160">
        <v>7.3999999999999999E-4</v>
      </c>
      <c r="K12922" s="160" t="s">
        <v>24</v>
      </c>
      <c r="L12922" s="154" t="str">
        <f>IF(OpenLCAbasic!K12922="CTUh", "Fill in Manually",IF(OR(K12922="Unit", K12922=""), "", INDEX(LookUps!$E$5:$E$12, MATCH(OpenLCAbasic!K12922,LookUps!$D$5:$D$12,0))))</f>
        <v>Acidification Potential (AP) - kg SO2 eq</v>
      </c>
      <c r="M12922" s="154" t="str">
        <f t="shared" si="1133"/>
        <v>Low_Base_High_Upgraded_Acidification Potential (AP) - kg SO2 eq_Belt filter press; wastewater treatment unit; at updated plant - US_Without Amendment_Aerated Static Pile</v>
      </c>
    </row>
    <row r="12923" spans="1:13" s="120" customFormat="1" x14ac:dyDescent="0.25">
      <c r="A12923" s="119"/>
      <c r="B12923" s="138" t="str">
        <f t="shared" si="1134"/>
        <v>Aerated Static Pile</v>
      </c>
      <c r="C12923" s="138" t="str">
        <f t="shared" si="1135"/>
        <v>Without Amendment</v>
      </c>
      <c r="D12923" s="138" t="str">
        <f t="shared" si="1139"/>
        <v>Base_High</v>
      </c>
      <c r="E12923" s="138" t="str">
        <f t="shared" si="1137"/>
        <v>Low</v>
      </c>
      <c r="F12923" s="138" t="str">
        <f t="shared" si="1138"/>
        <v>Upgraded</v>
      </c>
      <c r="G12923" s="153"/>
      <c r="H12923" s="210">
        <v>0.24340000000000001</v>
      </c>
      <c r="I12923" s="160" t="s">
        <v>57</v>
      </c>
      <c r="J12923" s="160">
        <v>6.9999999999999999E-4</v>
      </c>
      <c r="K12923" s="160" t="s">
        <v>24</v>
      </c>
      <c r="L12923" s="154" t="str">
        <f>IF(OpenLCAbasic!K12923="CTUh", "Fill in Manually",IF(OR(K12923="Unit", K12923=""), "", INDEX(LookUps!$E$5:$E$12, MATCH(OpenLCAbasic!K12923,LookUps!$D$5:$D$12,0))))</f>
        <v>Acidification Potential (AP) - kg SO2 eq</v>
      </c>
      <c r="M12923" s="154" t="str">
        <f t="shared" si="1133"/>
        <v>Low_Base_High_Upgraded_Acidification Potential (AP) - kg SO2 eq_Gravity Belt Thickener; wastewater treatment unit; at updated plant - US_Without Amendment_Aerated Static Pile</v>
      </c>
    </row>
    <row r="12924" spans="1:13" s="120" customFormat="1" x14ac:dyDescent="0.25">
      <c r="A12924" s="119"/>
      <c r="B12924" s="138" t="str">
        <f t="shared" si="1134"/>
        <v>Aerated Static Pile</v>
      </c>
      <c r="C12924" s="138" t="str">
        <f t="shared" si="1135"/>
        <v>Without Amendment</v>
      </c>
      <c r="D12924" s="138" t="str">
        <f t="shared" si="1139"/>
        <v>Base_High</v>
      </c>
      <c r="E12924" s="138" t="str">
        <f t="shared" si="1137"/>
        <v>Low</v>
      </c>
      <c r="F12924" s="138" t="str">
        <f t="shared" si="1138"/>
        <v>Upgraded</v>
      </c>
      <c r="G12924" s="153"/>
      <c r="H12924" s="210">
        <v>0.17849999999999999</v>
      </c>
      <c r="I12924" s="160" t="s">
        <v>59</v>
      </c>
      <c r="J12924" s="160">
        <v>5.1999999999999995E-4</v>
      </c>
      <c r="K12924" s="160" t="s">
        <v>24</v>
      </c>
      <c r="L12924" s="154" t="str">
        <f>IF(OpenLCAbasic!K12924="CTUh", "Fill in Manually",IF(OR(K12924="Unit", K12924=""), "", INDEX(LookUps!$E$5:$E$12, MATCH(OpenLCAbasic!K12924,LookUps!$D$5:$D$12,0))))</f>
        <v>Acidification Potential (AP) - kg SO2 eq</v>
      </c>
      <c r="M12924" s="154" t="str">
        <f t="shared" si="1133"/>
        <v>Low_Base_High_Upgraded_Acidification Potential (AP) - kg SO2 eq_Blend Tank; wastewater treatment unit; at updated plant - US_Without Amendment_Aerated Static Pile</v>
      </c>
    </row>
    <row r="12925" spans="1:13" s="120" customFormat="1" x14ac:dyDescent="0.25">
      <c r="A12925" s="119"/>
      <c r="B12925" s="138" t="str">
        <f t="shared" si="1134"/>
        <v>Aerated Static Pile</v>
      </c>
      <c r="C12925" s="138" t="str">
        <f t="shared" si="1135"/>
        <v>Without Amendment</v>
      </c>
      <c r="D12925" s="138" t="str">
        <f t="shared" si="1139"/>
        <v>Base_High</v>
      </c>
      <c r="E12925" s="138" t="str">
        <f t="shared" si="1137"/>
        <v>Low</v>
      </c>
      <c r="F12925" s="138" t="str">
        <f t="shared" si="1138"/>
        <v>Upgraded</v>
      </c>
      <c r="G12925" s="153"/>
      <c r="H12925" s="210">
        <v>0.1198</v>
      </c>
      <c r="I12925" s="160" t="s">
        <v>48</v>
      </c>
      <c r="J12925" s="160">
        <v>3.5E-4</v>
      </c>
      <c r="K12925" s="160" t="s">
        <v>24</v>
      </c>
      <c r="L12925" s="154" t="str">
        <f>IF(OpenLCAbasic!K12925="CTUh", "Fill in Manually",IF(OR(K12925="Unit", K12925=""), "", INDEX(LookUps!$E$5:$E$12, MATCH(OpenLCAbasic!K12925,LookUps!$D$5:$D$12,0))))</f>
        <v>Acidification Potential (AP) - kg SO2 eq</v>
      </c>
      <c r="M12925" s="154" t="str">
        <f t="shared" si="1133"/>
        <v>Low_Base_High_Upgraded_Acidification Potential (AP) - kg SO2 eq_Effluent release; wastewater treatment unit; at surface water; m3 wastewater - US_Without Amendment_Aerated Static Pile</v>
      </c>
    </row>
    <row r="12926" spans="1:13" s="120" customFormat="1" x14ac:dyDescent="0.25">
      <c r="A12926" s="119"/>
      <c r="B12926" s="138" t="str">
        <f t="shared" si="1134"/>
        <v>Aerated Static Pile</v>
      </c>
      <c r="C12926" s="138" t="str">
        <f t="shared" si="1135"/>
        <v>Without Amendment</v>
      </c>
      <c r="D12926" s="138" t="str">
        <f t="shared" si="1139"/>
        <v>Base_High</v>
      </c>
      <c r="E12926" s="138" t="str">
        <f t="shared" si="1137"/>
        <v>Low</v>
      </c>
      <c r="F12926" s="138" t="str">
        <f t="shared" si="1138"/>
        <v>Upgraded</v>
      </c>
      <c r="G12926" s="153"/>
      <c r="H12926" s="210">
        <v>8.8200000000000001E-2</v>
      </c>
      <c r="I12926" s="160" t="s">
        <v>168</v>
      </c>
      <c r="J12926" s="160">
        <v>2.5999999999999998E-4</v>
      </c>
      <c r="K12926" s="160" t="s">
        <v>24</v>
      </c>
      <c r="L12926" s="154" t="str">
        <f>IF(OpenLCAbasic!K12926="CTUh", "Fill in Manually",IF(OR(K12926="Unit", K12926=""), "", INDEX(LookUps!$E$5:$E$12, MATCH(OpenLCAbasic!K12926,LookUps!$D$5:$D$12,0))))</f>
        <v>Acidification Potential (AP) - kg SO2 eq</v>
      </c>
      <c r="M12926" s="154" t="str">
        <f t="shared" si="1133"/>
        <v>Low_Base_High_Upgraded_Acidification Potential (AP) - kg SO2 eq_ClearCove SCP; wastewater treatment unit; at updated plant - US_Without Amendment_Aerated Static Pile</v>
      </c>
    </row>
    <row r="12927" spans="1:13" s="120" customFormat="1" x14ac:dyDescent="0.25">
      <c r="A12927" s="119"/>
      <c r="B12927" s="138" t="str">
        <f t="shared" si="1134"/>
        <v>Aerated Static Pile</v>
      </c>
      <c r="C12927" s="138" t="str">
        <f t="shared" si="1135"/>
        <v>Without Amendment</v>
      </c>
      <c r="D12927" s="138" t="str">
        <f t="shared" si="1139"/>
        <v>Base_High</v>
      </c>
      <c r="E12927" s="138" t="str">
        <f t="shared" si="1137"/>
        <v>Low</v>
      </c>
      <c r="F12927" s="138" t="str">
        <f t="shared" si="1138"/>
        <v>Upgraded</v>
      </c>
      <c r="G12927" s="153"/>
      <c r="H12927" s="210">
        <v>1.4E-2</v>
      </c>
      <c r="I12927" s="160" t="s">
        <v>148</v>
      </c>
      <c r="J12927" s="211">
        <v>4.0354700000000002E-5</v>
      </c>
      <c r="K12927" s="160" t="s">
        <v>24</v>
      </c>
      <c r="L12927" s="154" t="str">
        <f>IF(OpenLCAbasic!K12927="CTUh", "Fill in Manually",IF(OR(K12927="Unit", K12927=""), "", INDEX(LookUps!$E$5:$E$12, MATCH(OpenLCAbasic!K12927,LookUps!$D$5:$D$12,0))))</f>
        <v>Acidification Potential (AP) - kg SO2 eq</v>
      </c>
      <c r="M12927" s="154" t="str">
        <f t="shared" si="1133"/>
        <v>Low_Base_High_Upgraded_Acidification Potential (AP) - kg SO2 eq_Control Building; at upgraded wastewater treatment plant - US_Without Amendment_Aerated Static Pile</v>
      </c>
    </row>
    <row r="12928" spans="1:13" s="120" customFormat="1" x14ac:dyDescent="0.25">
      <c r="A12928" s="119"/>
      <c r="B12928" s="138" t="str">
        <f t="shared" si="1134"/>
        <v>Aerated Static Pile</v>
      </c>
      <c r="C12928" s="138" t="str">
        <f t="shared" si="1135"/>
        <v>Without Amendment</v>
      </c>
      <c r="D12928" s="138" t="str">
        <f t="shared" si="1139"/>
        <v>Base_High</v>
      </c>
      <c r="E12928" s="138" t="str">
        <f t="shared" si="1137"/>
        <v>Low</v>
      </c>
      <c r="F12928" s="138" t="str">
        <f t="shared" si="1138"/>
        <v>Upgraded</v>
      </c>
      <c r="G12928" s="153"/>
      <c r="H12928" s="210">
        <v>-13.4404</v>
      </c>
      <c r="I12928" s="160" t="s">
        <v>149</v>
      </c>
      <c r="J12928" s="160">
        <v>-3.8870000000000002E-2</v>
      </c>
      <c r="K12928" s="160" t="s">
        <v>24</v>
      </c>
      <c r="L12928" s="154" t="str">
        <f>IF(OpenLCAbasic!K12928="CTUh", "Fill in Manually",IF(OR(K12928="Unit", K12928=""), "", INDEX(LookUps!$E$5:$E$12, MATCH(OpenLCAbasic!K12928,LookUps!$D$5:$D$12,0))))</f>
        <v>Acidification Potential (AP) - kg SO2 eq</v>
      </c>
      <c r="M12928" s="154" t="str">
        <f t="shared" si="1133"/>
        <v>Low_Base_High_Upgraded_Acidification Potential (AP) - kg SO2 eq_Anaerobic Digestion; wastewater treatment unit; at updated plant - US_Without Amendment_Aerated Static Pile</v>
      </c>
    </row>
    <row r="12929" spans="1:13" s="120" customFormat="1" x14ac:dyDescent="0.25">
      <c r="A12929" s="119"/>
      <c r="B12929" s="138" t="str">
        <f t="shared" si="1134"/>
        <v/>
      </c>
      <c r="C12929" s="138" t="str">
        <f t="shared" si="1135"/>
        <v/>
      </c>
      <c r="D12929" s="138" t="str">
        <f t="shared" si="1139"/>
        <v/>
      </c>
      <c r="E12929" s="138" t="str">
        <f t="shared" si="1137"/>
        <v/>
      </c>
      <c r="F12929" s="138" t="str">
        <f t="shared" si="1138"/>
        <v/>
      </c>
      <c r="G12929" s="153" t="s">
        <v>51</v>
      </c>
      <c r="H12929" s="160"/>
      <c r="I12929" s="160" t="s">
        <v>47</v>
      </c>
      <c r="J12929" s="160" t="s">
        <v>52</v>
      </c>
      <c r="K12929" s="160" t="s">
        <v>27</v>
      </c>
      <c r="L12929" s="154" t="str">
        <f>IF(OpenLCAbasic!K12929="CTUh", "Fill in Manually",IF(OR(K12929="Unit", K12929=""), "", INDEX(LookUps!$E$5:$E$12, MATCH(OpenLCAbasic!K12929,LookUps!$D$5:$D$12,0))))</f>
        <v/>
      </c>
      <c r="M12929" s="154" t="str">
        <f t="shared" si="1133"/>
        <v>____Process__</v>
      </c>
    </row>
    <row r="12930" spans="1:13" s="120" customFormat="1" x14ac:dyDescent="0.25">
      <c r="A12930" s="119"/>
      <c r="B12930" s="138" t="str">
        <f t="shared" si="1134"/>
        <v>Aerated Static Pile</v>
      </c>
      <c r="C12930" s="138" t="str">
        <f t="shared" si="1135"/>
        <v>Without Amendment</v>
      </c>
      <c r="D12930" s="138" t="str">
        <f t="shared" si="1139"/>
        <v>Base_High</v>
      </c>
      <c r="E12930" s="138" t="str">
        <f t="shared" si="1137"/>
        <v>Low</v>
      </c>
      <c r="F12930" s="138" t="str">
        <f t="shared" si="1138"/>
        <v>Upgraded</v>
      </c>
      <c r="G12930" s="153"/>
      <c r="H12930" s="210">
        <v>5.0938999999999997</v>
      </c>
      <c r="I12930" s="160" t="s">
        <v>55</v>
      </c>
      <c r="J12930" s="160">
        <v>3.5330499999999998</v>
      </c>
      <c r="K12930" s="160" t="s">
        <v>15</v>
      </c>
      <c r="L12930" s="154" t="str">
        <f>IF(OpenLCAbasic!K12930="CTUh", "Fill in Manually",IF(OR(K12930="Unit", K12930=""), "", INDEX(LookUps!$E$5:$E$12, MATCH(OpenLCAbasic!K12930,LookUps!$D$5:$D$12,0))))</f>
        <v>Cumulative Energy Demand (CED) - MJ</v>
      </c>
      <c r="M12930" s="154" t="str">
        <f t="shared" si="1133"/>
        <v>Low_Base_High_Upgraded_Cumulative Energy Demand (CED) - MJ_Aeration Tanks; wastewater treatment unit; at updated plant - US_Without Amendment_Aerated Static Pile</v>
      </c>
    </row>
    <row r="12931" spans="1:13" s="120" customFormat="1" x14ac:dyDescent="0.25">
      <c r="A12931" s="119"/>
      <c r="B12931" s="138" t="str">
        <f t="shared" si="1134"/>
        <v>Aerated Static Pile</v>
      </c>
      <c r="C12931" s="138" t="str">
        <f t="shared" si="1135"/>
        <v>Without Amendment</v>
      </c>
      <c r="D12931" s="138" t="str">
        <f t="shared" si="1139"/>
        <v>Base_High</v>
      </c>
      <c r="E12931" s="138" t="str">
        <f t="shared" si="1137"/>
        <v>Low</v>
      </c>
      <c r="F12931" s="138" t="str">
        <f t="shared" si="1138"/>
        <v>Upgraded</v>
      </c>
      <c r="G12931" s="153"/>
      <c r="H12931" s="210">
        <v>5.0437000000000003</v>
      </c>
      <c r="I12931" s="160" t="s">
        <v>167</v>
      </c>
      <c r="J12931" s="160">
        <v>3.4982700000000002</v>
      </c>
      <c r="K12931" s="160" t="s">
        <v>15</v>
      </c>
      <c r="L12931" s="154" t="str">
        <f>IF(OpenLCAbasic!K12931="CTUh", "Fill in Manually",IF(OR(K12931="Unit", K12931=""), "", INDEX(LookUps!$E$5:$E$12, MATCH(OpenLCAbasic!K12931,LookUps!$D$5:$D$12,0))))</f>
        <v>Cumulative Energy Demand (CED) - MJ</v>
      </c>
      <c r="M12931" s="154" t="str">
        <f t="shared" si="1133"/>
        <v>Low_Base_High_Upgraded_Cumulative Energy Demand (CED) - MJ_Waste Receiving and Holding; wastewater treatment unit; at updated plant - US_Without Amendment_Aerated Static Pile</v>
      </c>
    </row>
    <row r="12932" spans="1:13" s="120" customFormat="1" x14ac:dyDescent="0.25">
      <c r="A12932" s="119"/>
      <c r="B12932" s="138" t="str">
        <f t="shared" si="1134"/>
        <v>Aerated Static Pile</v>
      </c>
      <c r="C12932" s="138" t="str">
        <f t="shared" si="1135"/>
        <v>Without Amendment</v>
      </c>
      <c r="D12932" s="138" t="str">
        <f t="shared" si="1139"/>
        <v>Base_High</v>
      </c>
      <c r="E12932" s="138" t="str">
        <f t="shared" si="1137"/>
        <v>Low</v>
      </c>
      <c r="F12932" s="138" t="str">
        <f t="shared" si="1138"/>
        <v>Upgraded</v>
      </c>
      <c r="G12932" s="153"/>
      <c r="H12932" s="210">
        <v>1.6766000000000001</v>
      </c>
      <c r="I12932" s="160" t="s">
        <v>54</v>
      </c>
      <c r="J12932" s="160">
        <v>1.16289</v>
      </c>
      <c r="K12932" s="160" t="s">
        <v>15</v>
      </c>
      <c r="L12932" s="154" t="str">
        <f>IF(OpenLCAbasic!K12932="CTUh", "Fill in Manually",IF(OR(K12932="Unit", K12932=""), "", INDEX(LookUps!$E$5:$E$12, MATCH(OpenLCAbasic!K12932,LookUps!$D$5:$D$12,0))))</f>
        <v>Cumulative Energy Demand (CED) - MJ</v>
      </c>
      <c r="M12932" s="154" t="str">
        <f t="shared" ref="M12932:M12995" si="1140">CONCATENATE(E12932,"_",D12932,"_",F12932,"_",L12932, "_",I12932,"_", C12932,"_", B12932)</f>
        <v>Low_Base_High_Upgraded_Cumulative Energy Demand (CED) - MJ_Clear Cove Primary Clarification; wastewater treatment unit; at updated plant - US_Without Amendment_Aerated Static Pile</v>
      </c>
    </row>
    <row r="12933" spans="1:13" s="120" customFormat="1" x14ac:dyDescent="0.25">
      <c r="A12933" s="119"/>
      <c r="B12933" s="138" t="str">
        <f t="shared" si="1134"/>
        <v>Aerated Static Pile</v>
      </c>
      <c r="C12933" s="138" t="str">
        <f t="shared" si="1135"/>
        <v>Without Amendment</v>
      </c>
      <c r="D12933" s="138" t="str">
        <f t="shared" si="1139"/>
        <v>Base_High</v>
      </c>
      <c r="E12933" s="138" t="str">
        <f t="shared" si="1137"/>
        <v>Low</v>
      </c>
      <c r="F12933" s="138" t="str">
        <f t="shared" si="1138"/>
        <v>Upgraded</v>
      </c>
      <c r="G12933" s="153"/>
      <c r="H12933" s="210">
        <v>1.2747999999999999</v>
      </c>
      <c r="I12933" s="160" t="s">
        <v>58</v>
      </c>
      <c r="J12933" s="160">
        <v>0.88417000000000001</v>
      </c>
      <c r="K12933" s="160" t="s">
        <v>15</v>
      </c>
      <c r="L12933" s="154" t="str">
        <f>IF(OpenLCAbasic!K12933="CTUh", "Fill in Manually",IF(OR(K12933="Unit", K12933=""), "", INDEX(LookUps!$E$5:$E$12, MATCH(OpenLCAbasic!K12933,LookUps!$D$5:$D$12,0))))</f>
        <v>Cumulative Energy Demand (CED) - MJ</v>
      </c>
      <c r="M12933" s="154" t="str">
        <f t="shared" si="1140"/>
        <v>Low_Base_High_Upgraded_Cumulative Energy Demand (CED) - MJ_Pre-Anoxic &amp; Swing tank; wastewater treatment unit; at updated plant - US_Without Amendment_Aerated Static Pile</v>
      </c>
    </row>
    <row r="12934" spans="1:13" s="120" customFormat="1" x14ac:dyDescent="0.25">
      <c r="A12934" s="119"/>
      <c r="B12934" s="138" t="str">
        <f t="shared" si="1134"/>
        <v>Aerated Static Pile</v>
      </c>
      <c r="C12934" s="138" t="str">
        <f t="shared" si="1135"/>
        <v>Without Amendment</v>
      </c>
      <c r="D12934" s="138" t="str">
        <f t="shared" si="1139"/>
        <v>Base_High</v>
      </c>
      <c r="E12934" s="138" t="str">
        <f t="shared" si="1137"/>
        <v>Low</v>
      </c>
      <c r="F12934" s="138" t="str">
        <f t="shared" si="1138"/>
        <v>Upgraded</v>
      </c>
      <c r="G12934" s="153"/>
      <c r="H12934" s="210">
        <v>1.2729999999999999</v>
      </c>
      <c r="I12934" s="160" t="s">
        <v>147</v>
      </c>
      <c r="J12934" s="160">
        <v>0.88297000000000003</v>
      </c>
      <c r="K12934" s="160" t="s">
        <v>15</v>
      </c>
      <c r="L12934" s="154" t="str">
        <f>IF(OpenLCAbasic!K12934="CTUh", "Fill in Manually",IF(OR(K12934="Unit", K12934=""), "", INDEX(LookUps!$E$5:$E$12, MATCH(OpenLCAbasic!K12934,LookUps!$D$5:$D$12,0))))</f>
        <v>Cumulative Energy Demand (CED) - MJ</v>
      </c>
      <c r="M12934" s="154" t="str">
        <f t="shared" si="1140"/>
        <v>Low_Base_High_Upgraded_Cumulative Energy Demand (CED) - MJ_Influent Pump Station; wastewater treatment unit; at updated plant - US_Without Amendment_Aerated Static Pile</v>
      </c>
    </row>
    <row r="12935" spans="1:13" s="120" customFormat="1" x14ac:dyDescent="0.25">
      <c r="A12935" s="119"/>
      <c r="B12935" s="138" t="str">
        <f t="shared" si="1134"/>
        <v>Aerated Static Pile</v>
      </c>
      <c r="C12935" s="138" t="str">
        <f t="shared" si="1135"/>
        <v>Without Amendment</v>
      </c>
      <c r="D12935" s="138" t="str">
        <f t="shared" si="1139"/>
        <v>Base_High</v>
      </c>
      <c r="E12935" s="138" t="str">
        <f t="shared" si="1137"/>
        <v>Low</v>
      </c>
      <c r="F12935" s="138" t="str">
        <f t="shared" si="1138"/>
        <v>Upgraded</v>
      </c>
      <c r="G12935" s="153"/>
      <c r="H12935" s="210">
        <v>1.0041</v>
      </c>
      <c r="I12935" s="160" t="s">
        <v>53</v>
      </c>
      <c r="J12935" s="160">
        <v>0.69645000000000001</v>
      </c>
      <c r="K12935" s="160" t="s">
        <v>15</v>
      </c>
      <c r="L12935" s="154" t="str">
        <f>IF(OpenLCAbasic!K12935="CTUh", "Fill in Manually",IF(OR(K12935="Unit", K12935=""), "", INDEX(LookUps!$E$5:$E$12, MATCH(OpenLCAbasic!K12935,LookUps!$D$5:$D$12,0))))</f>
        <v>Cumulative Energy Demand (CED) - MJ</v>
      </c>
      <c r="M12935" s="154" t="str">
        <f t="shared" si="1140"/>
        <v>Low_Base_High_Upgraded_Cumulative Energy Demand (CED) - MJ_Wet Well and Sump Station; wastewater treatment unit; at updated plant - US_Without Amendment_Aerated Static Pile</v>
      </c>
    </row>
    <row r="12936" spans="1:13" s="120" customFormat="1" x14ac:dyDescent="0.25">
      <c r="A12936" s="119"/>
      <c r="B12936" s="138" t="str">
        <f t="shared" si="1134"/>
        <v>Aerated Static Pile</v>
      </c>
      <c r="C12936" s="138" t="str">
        <f t="shared" si="1135"/>
        <v>Without Amendment</v>
      </c>
      <c r="D12936" s="138" t="str">
        <f t="shared" si="1139"/>
        <v>Base_High</v>
      </c>
      <c r="E12936" s="138" t="str">
        <f t="shared" si="1137"/>
        <v>Low</v>
      </c>
      <c r="F12936" s="138" t="str">
        <f t="shared" si="1138"/>
        <v>Upgraded</v>
      </c>
      <c r="G12936" s="153"/>
      <c r="H12936" s="210">
        <v>0.48320000000000002</v>
      </c>
      <c r="I12936" s="160" t="s">
        <v>435</v>
      </c>
      <c r="J12936" s="160">
        <v>0.33511999999999997</v>
      </c>
      <c r="K12936" s="160" t="s">
        <v>15</v>
      </c>
      <c r="L12936" s="154" t="str">
        <f>IF(OpenLCAbasic!K12936="CTUh", "Fill in Manually",IF(OR(K12936="Unit", K12936=""), "", INDEX(LookUps!$E$5:$E$12, MATCH(OpenLCAbasic!K12936,LookUps!$D$5:$D$12,0))))</f>
        <v>Cumulative Energy Demand (CED) - MJ</v>
      </c>
      <c r="M12936" s="154" t="str">
        <f t="shared" si="1140"/>
        <v>Low_Base_High_Upgraded_Cumulative Energy Demand (CED) - MJ_Biosolids composting; aerated static pile; wastewater treatment unit; at updated plant - US_Without Amendment_Aerated Static Pile</v>
      </c>
    </row>
    <row r="12937" spans="1:13" s="120" customFormat="1" x14ac:dyDescent="0.25">
      <c r="A12937" s="119"/>
      <c r="B12937" s="138" t="str">
        <f t="shared" si="1134"/>
        <v>Aerated Static Pile</v>
      </c>
      <c r="C12937" s="138" t="str">
        <f t="shared" si="1135"/>
        <v>Without Amendment</v>
      </c>
      <c r="D12937" s="138" t="str">
        <f t="shared" si="1139"/>
        <v>Base_High</v>
      </c>
      <c r="E12937" s="138" t="str">
        <f t="shared" si="1137"/>
        <v>Low</v>
      </c>
      <c r="F12937" s="138" t="str">
        <f t="shared" si="1138"/>
        <v>Upgraded</v>
      </c>
      <c r="G12937" s="153"/>
      <c r="H12937" s="210">
        <v>0.48159999999999997</v>
      </c>
      <c r="I12937" s="160" t="s">
        <v>57</v>
      </c>
      <c r="J12937" s="160">
        <v>0.33404</v>
      </c>
      <c r="K12937" s="160" t="s">
        <v>15</v>
      </c>
      <c r="L12937" s="154" t="str">
        <f>IF(OpenLCAbasic!K12937="CTUh", "Fill in Manually",IF(OR(K12937="Unit", K12937=""), "", INDEX(LookUps!$E$5:$E$12, MATCH(OpenLCAbasic!K12937,LookUps!$D$5:$D$12,0))))</f>
        <v>Cumulative Energy Demand (CED) - MJ</v>
      </c>
      <c r="M12937" s="154" t="str">
        <f t="shared" si="1140"/>
        <v>Low_Base_High_Upgraded_Cumulative Energy Demand (CED) - MJ_Gravity Belt Thickener; wastewater treatment unit; at updated plant - US_Without Amendment_Aerated Static Pile</v>
      </c>
    </row>
    <row r="12938" spans="1:13" s="120" customFormat="1" x14ac:dyDescent="0.25">
      <c r="A12938" s="119"/>
      <c r="B12938" s="138" t="str">
        <f t="shared" si="1134"/>
        <v>Aerated Static Pile</v>
      </c>
      <c r="C12938" s="138" t="str">
        <f t="shared" si="1135"/>
        <v>Without Amendment</v>
      </c>
      <c r="D12938" s="138" t="str">
        <f t="shared" si="1139"/>
        <v>Base_High</v>
      </c>
      <c r="E12938" s="138" t="str">
        <f t="shared" si="1137"/>
        <v>Low</v>
      </c>
      <c r="F12938" s="138" t="str">
        <f t="shared" si="1138"/>
        <v>Upgraded</v>
      </c>
      <c r="G12938" s="153"/>
      <c r="H12938" s="210">
        <v>0.40050000000000002</v>
      </c>
      <c r="I12938" s="160" t="s">
        <v>60</v>
      </c>
      <c r="J12938" s="160">
        <v>0.27775</v>
      </c>
      <c r="K12938" s="160" t="s">
        <v>15</v>
      </c>
      <c r="L12938" s="154" t="str">
        <f>IF(OpenLCAbasic!K12938="CTUh", "Fill in Manually",IF(OR(K12938="Unit", K12938=""), "", INDEX(LookUps!$E$5:$E$12, MATCH(OpenLCAbasic!K12938,LookUps!$D$5:$D$12,0))))</f>
        <v>Cumulative Energy Demand (CED) - MJ</v>
      </c>
      <c r="M12938" s="154" t="str">
        <f t="shared" si="1140"/>
        <v>Low_Base_High_Upgraded_Cumulative Energy Demand (CED) - MJ_Belt filter press; wastewater treatment unit; at updated plant - US_Without Amendment_Aerated Static Pile</v>
      </c>
    </row>
    <row r="12939" spans="1:13" s="120" customFormat="1" x14ac:dyDescent="0.25">
      <c r="A12939" s="119"/>
      <c r="B12939" s="138" t="str">
        <f t="shared" si="1134"/>
        <v>Aerated Static Pile</v>
      </c>
      <c r="C12939" s="138" t="str">
        <f t="shared" si="1135"/>
        <v>Without Amendment</v>
      </c>
      <c r="D12939" s="138" t="str">
        <f t="shared" si="1139"/>
        <v>Base_High</v>
      </c>
      <c r="E12939" s="138" t="str">
        <f t="shared" si="1137"/>
        <v>Low</v>
      </c>
      <c r="F12939" s="138" t="str">
        <f t="shared" si="1138"/>
        <v>Upgraded</v>
      </c>
      <c r="G12939" s="153"/>
      <c r="H12939" s="210">
        <v>0.36919999999999997</v>
      </c>
      <c r="I12939" s="160" t="s">
        <v>128</v>
      </c>
      <c r="J12939" s="160">
        <v>0.25606000000000001</v>
      </c>
      <c r="K12939" s="160" t="s">
        <v>15</v>
      </c>
      <c r="L12939" s="154" t="str">
        <f>IF(OpenLCAbasic!K12939="CTUh", "Fill in Manually",IF(OR(K12939="Unit", K12939=""), "", INDEX(LookUps!$E$5:$E$12, MATCH(OpenLCAbasic!K12939,LookUps!$D$5:$D$12,0))))</f>
        <v>Cumulative Energy Demand (CED) - MJ</v>
      </c>
      <c r="M12939" s="154" t="str">
        <f t="shared" si="1140"/>
        <v>Low_Base_High_Upgraded_Cumulative Energy Demand (CED) - MJ_Wastewater collection; operation and infrastructure; m3 wastewater_Without Amendment_Aerated Static Pile</v>
      </c>
    </row>
    <row r="12940" spans="1:13" s="120" customFormat="1" x14ac:dyDescent="0.25">
      <c r="A12940" s="119"/>
      <c r="B12940" s="138" t="str">
        <f t="shared" si="1134"/>
        <v>Aerated Static Pile</v>
      </c>
      <c r="C12940" s="138" t="str">
        <f t="shared" si="1135"/>
        <v>Without Amendment</v>
      </c>
      <c r="D12940" s="138" t="str">
        <f t="shared" si="1139"/>
        <v>Base_High</v>
      </c>
      <c r="E12940" s="138" t="str">
        <f t="shared" si="1137"/>
        <v>Low</v>
      </c>
      <c r="F12940" s="138" t="str">
        <f t="shared" si="1138"/>
        <v>Upgraded</v>
      </c>
      <c r="G12940" s="153"/>
      <c r="H12940" s="210">
        <v>0.21049999999999999</v>
      </c>
      <c r="I12940" s="160" t="s">
        <v>148</v>
      </c>
      <c r="J12940" s="160">
        <v>0.14599000000000001</v>
      </c>
      <c r="K12940" s="160" t="s">
        <v>15</v>
      </c>
      <c r="L12940" s="154" t="str">
        <f>IF(OpenLCAbasic!K12940="CTUh", "Fill in Manually",IF(OR(K12940="Unit", K12940=""), "", INDEX(LookUps!$E$5:$E$12, MATCH(OpenLCAbasic!K12940,LookUps!$D$5:$D$12,0))))</f>
        <v>Cumulative Energy Demand (CED) - MJ</v>
      </c>
      <c r="M12940" s="154" t="str">
        <f t="shared" si="1140"/>
        <v>Low_Base_High_Upgraded_Cumulative Energy Demand (CED) - MJ_Control Building; at upgraded wastewater treatment plant - US_Without Amendment_Aerated Static Pile</v>
      </c>
    </row>
    <row r="12941" spans="1:13" s="120" customFormat="1" x14ac:dyDescent="0.25">
      <c r="A12941" s="119"/>
      <c r="B12941" s="138" t="str">
        <f t="shared" si="1134"/>
        <v>Aerated Static Pile</v>
      </c>
      <c r="C12941" s="138" t="str">
        <f t="shared" si="1135"/>
        <v>Without Amendment</v>
      </c>
      <c r="D12941" s="138" t="str">
        <f t="shared" si="1139"/>
        <v>Base_High</v>
      </c>
      <c r="E12941" s="138" t="str">
        <f t="shared" si="1137"/>
        <v>Low</v>
      </c>
      <c r="F12941" s="138" t="str">
        <f t="shared" si="1138"/>
        <v>Upgraded</v>
      </c>
      <c r="G12941" s="153"/>
      <c r="H12941" s="210">
        <v>0.19209999999999999</v>
      </c>
      <c r="I12941" s="160" t="s">
        <v>48</v>
      </c>
      <c r="J12941" s="160">
        <v>0.13321</v>
      </c>
      <c r="K12941" s="160" t="s">
        <v>15</v>
      </c>
      <c r="L12941" s="154" t="str">
        <f>IF(OpenLCAbasic!K12941="CTUh", "Fill in Manually",IF(OR(K12941="Unit", K12941=""), "", INDEX(LookUps!$E$5:$E$12, MATCH(OpenLCAbasic!K12941,LookUps!$D$5:$D$12,0))))</f>
        <v>Cumulative Energy Demand (CED) - MJ</v>
      </c>
      <c r="M12941" s="154" t="str">
        <f t="shared" si="1140"/>
        <v>Low_Base_High_Upgraded_Cumulative Energy Demand (CED) - MJ_Effluent release; wastewater treatment unit; at surface water; m3 wastewater - US_Without Amendment_Aerated Static Pile</v>
      </c>
    </row>
    <row r="12942" spans="1:13" s="120" customFormat="1" x14ac:dyDescent="0.25">
      <c r="A12942" s="119"/>
      <c r="B12942" s="138" t="str">
        <f t="shared" si="1134"/>
        <v>Aerated Static Pile</v>
      </c>
      <c r="C12942" s="138" t="str">
        <f t="shared" si="1135"/>
        <v>Without Amendment</v>
      </c>
      <c r="D12942" s="138" t="str">
        <f t="shared" si="1139"/>
        <v>Base_High</v>
      </c>
      <c r="E12942" s="138" t="str">
        <f t="shared" si="1137"/>
        <v>Low</v>
      </c>
      <c r="F12942" s="138" t="str">
        <f t="shared" si="1138"/>
        <v>Upgraded</v>
      </c>
      <c r="G12942" s="153"/>
      <c r="H12942" s="210">
        <v>0.15340000000000001</v>
      </c>
      <c r="I12942" s="160" t="s">
        <v>59</v>
      </c>
      <c r="J12942" s="160">
        <v>0.10638</v>
      </c>
      <c r="K12942" s="160" t="s">
        <v>15</v>
      </c>
      <c r="L12942" s="154" t="str">
        <f>IF(OpenLCAbasic!K12942="CTUh", "Fill in Manually",IF(OR(K12942="Unit", K12942=""), "", INDEX(LookUps!$E$5:$E$12, MATCH(OpenLCAbasic!K12942,LookUps!$D$5:$D$12,0))))</f>
        <v>Cumulative Energy Demand (CED) - MJ</v>
      </c>
      <c r="M12942" s="154" t="str">
        <f t="shared" si="1140"/>
        <v>Low_Base_High_Upgraded_Cumulative Energy Demand (CED) - MJ_Blend Tank; wastewater treatment unit; at updated plant - US_Without Amendment_Aerated Static Pile</v>
      </c>
    </row>
    <row r="12943" spans="1:13" s="120" customFormat="1" x14ac:dyDescent="0.25">
      <c r="A12943" s="119"/>
      <c r="B12943" s="138" t="str">
        <f t="shared" si="1134"/>
        <v>Aerated Static Pile</v>
      </c>
      <c r="C12943" s="138" t="str">
        <f t="shared" si="1135"/>
        <v>Without Amendment</v>
      </c>
      <c r="D12943" s="138" t="str">
        <f t="shared" si="1139"/>
        <v>Base_High</v>
      </c>
      <c r="E12943" s="138" t="str">
        <f t="shared" si="1137"/>
        <v>Low</v>
      </c>
      <c r="F12943" s="138" t="str">
        <f t="shared" si="1138"/>
        <v>Upgraded</v>
      </c>
      <c r="G12943" s="153"/>
      <c r="H12943" s="210">
        <v>7.3400000000000007E-2</v>
      </c>
      <c r="I12943" s="160" t="s">
        <v>168</v>
      </c>
      <c r="J12943" s="160">
        <v>5.0930000000000003E-2</v>
      </c>
      <c r="K12943" s="160" t="s">
        <v>15</v>
      </c>
      <c r="L12943" s="154" t="str">
        <f>IF(OpenLCAbasic!K12943="CTUh", "Fill in Manually",IF(OR(K12943="Unit", K12943=""), "", INDEX(LookUps!$E$5:$E$12, MATCH(OpenLCAbasic!K12943,LookUps!$D$5:$D$12,0))))</f>
        <v>Cumulative Energy Demand (CED) - MJ</v>
      </c>
      <c r="M12943" s="154" t="str">
        <f t="shared" si="1140"/>
        <v>Low_Base_High_Upgraded_Cumulative Energy Demand (CED) - MJ_ClearCove SCP; wastewater treatment unit; at updated plant - US_Without Amendment_Aerated Static Pile</v>
      </c>
    </row>
    <row r="12944" spans="1:13" s="120" customFormat="1" x14ac:dyDescent="0.25">
      <c r="A12944" s="119"/>
      <c r="B12944" s="138" t="str">
        <f t="shared" si="1134"/>
        <v>Aerated Static Pile</v>
      </c>
      <c r="C12944" s="138" t="str">
        <f t="shared" si="1135"/>
        <v>Without Amendment</v>
      </c>
      <c r="D12944" s="138" t="str">
        <f t="shared" si="1139"/>
        <v>Base_High</v>
      </c>
      <c r="E12944" s="138" t="str">
        <f t="shared" si="1137"/>
        <v>Low</v>
      </c>
      <c r="F12944" s="138" t="str">
        <f t="shared" si="1138"/>
        <v>Upgraded</v>
      </c>
      <c r="G12944" s="153"/>
      <c r="H12944" s="210">
        <v>-0.41970000000000002</v>
      </c>
      <c r="I12944" s="160" t="s">
        <v>62</v>
      </c>
      <c r="J12944" s="160">
        <v>-0.29110999999999998</v>
      </c>
      <c r="K12944" s="160" t="s">
        <v>15</v>
      </c>
      <c r="L12944" s="154" t="str">
        <f>IF(OpenLCAbasic!K12944="CTUh", "Fill in Manually",IF(OR(K12944="Unit", K12944=""), "", INDEX(LookUps!$E$5:$E$12, MATCH(OpenLCAbasic!K12944,LookUps!$D$5:$D$12,0))))</f>
        <v>Cumulative Energy Demand (CED) - MJ</v>
      </c>
      <c r="M12944" s="154" t="str">
        <f t="shared" si="1140"/>
        <v>Low_Base_High_Upgraded_Cumulative Energy Demand (CED) - MJ_Land application of compost; wastewater treatment unit; at updated plant - US_Without Amendment_Aerated Static Pile</v>
      </c>
    </row>
    <row r="12945" spans="1:13" s="120" customFormat="1" x14ac:dyDescent="0.25">
      <c r="A12945" s="119"/>
      <c r="B12945" s="138" t="str">
        <f t="shared" si="1134"/>
        <v>Aerated Static Pile</v>
      </c>
      <c r="C12945" s="138" t="str">
        <f t="shared" si="1135"/>
        <v>Without Amendment</v>
      </c>
      <c r="D12945" s="138" t="str">
        <f t="shared" si="1139"/>
        <v>Base_High</v>
      </c>
      <c r="E12945" s="138" t="str">
        <f t="shared" si="1137"/>
        <v>Low</v>
      </c>
      <c r="F12945" s="138" t="str">
        <f t="shared" si="1138"/>
        <v>Upgraded</v>
      </c>
      <c r="G12945" s="153"/>
      <c r="H12945" s="210">
        <v>-16.310199999999998</v>
      </c>
      <c r="I12945" s="160" t="s">
        <v>149</v>
      </c>
      <c r="J12945" s="160">
        <v>-11.31259</v>
      </c>
      <c r="K12945" s="160" t="s">
        <v>15</v>
      </c>
      <c r="L12945" s="154" t="str">
        <f>IF(OpenLCAbasic!K12945="CTUh", "Fill in Manually",IF(OR(K12945="Unit", K12945=""), "", INDEX(LookUps!$E$5:$E$12, MATCH(OpenLCAbasic!K12945,LookUps!$D$5:$D$12,0))))</f>
        <v>Cumulative Energy Demand (CED) - MJ</v>
      </c>
      <c r="M12945" s="154" t="str">
        <f t="shared" si="1140"/>
        <v>Low_Base_High_Upgraded_Cumulative Energy Demand (CED) - MJ_Anaerobic Digestion; wastewater treatment unit; at updated plant - US_Without Amendment_Aerated Static Pile</v>
      </c>
    </row>
    <row r="12946" spans="1:13" s="120" customFormat="1" x14ac:dyDescent="0.25">
      <c r="A12946" s="119"/>
      <c r="B12946" s="138" t="str">
        <f t="shared" si="1134"/>
        <v/>
      </c>
      <c r="C12946" s="138" t="str">
        <f t="shared" si="1135"/>
        <v/>
      </c>
      <c r="D12946" s="138" t="str">
        <f t="shared" si="1139"/>
        <v/>
      </c>
      <c r="E12946" s="138" t="str">
        <f t="shared" si="1137"/>
        <v/>
      </c>
      <c r="F12946" s="138" t="str">
        <f t="shared" si="1138"/>
        <v/>
      </c>
      <c r="G12946" s="153" t="s">
        <v>51</v>
      </c>
      <c r="H12946" s="160"/>
      <c r="I12946" s="160" t="s">
        <v>47</v>
      </c>
      <c r="J12946" s="160" t="s">
        <v>52</v>
      </c>
      <c r="K12946" s="160" t="s">
        <v>27</v>
      </c>
      <c r="L12946" s="154" t="str">
        <f>IF(OpenLCAbasic!K12946="CTUh", "Fill in Manually",IF(OR(K12946="Unit", K12946=""), "", INDEX(LookUps!$E$5:$E$12, MATCH(OpenLCAbasic!K12946,LookUps!$D$5:$D$12,0))))</f>
        <v/>
      </c>
      <c r="M12946" s="154" t="str">
        <f t="shared" si="1140"/>
        <v>____Process__</v>
      </c>
    </row>
    <row r="12947" spans="1:13" s="120" customFormat="1" x14ac:dyDescent="0.25">
      <c r="A12947" s="119"/>
      <c r="B12947" s="138" t="str">
        <f t="shared" si="1134"/>
        <v>Aerated Static Pile</v>
      </c>
      <c r="C12947" s="138" t="str">
        <f t="shared" si="1135"/>
        <v>Without Amendment</v>
      </c>
      <c r="D12947" s="138" t="str">
        <f t="shared" si="1139"/>
        <v>Base_High</v>
      </c>
      <c r="E12947" s="138" t="str">
        <f t="shared" si="1137"/>
        <v>Low</v>
      </c>
      <c r="F12947" s="138" t="str">
        <f t="shared" si="1138"/>
        <v>Upgraded</v>
      </c>
      <c r="G12947" s="153"/>
      <c r="H12947" s="210">
        <v>0.86880000000000002</v>
      </c>
      <c r="I12947" s="160" t="s">
        <v>48</v>
      </c>
      <c r="J12947" s="160">
        <v>1.1610000000000001E-2</v>
      </c>
      <c r="K12947" s="160" t="s">
        <v>13</v>
      </c>
      <c r="L12947" s="154" t="str">
        <f>IF(OpenLCAbasic!K12947="CTUh", "Fill in Manually",IF(OR(K12947="Unit", K12947=""), "", INDEX(LookUps!$E$5:$E$12, MATCH(OpenLCAbasic!K12947,LookUps!$D$5:$D$12,0))))</f>
        <v>Eutrophication Potential (EP) - kg N eq</v>
      </c>
      <c r="M12947" s="154" t="str">
        <f t="shared" si="1140"/>
        <v>Low_Base_High_Upgraded_Eutrophication Potential (EP) - kg N eq_Effluent release; wastewater treatment unit; at surface water; m3 wastewater - US_Without Amendment_Aerated Static Pile</v>
      </c>
    </row>
    <row r="12948" spans="1:13" s="120" customFormat="1" x14ac:dyDescent="0.25">
      <c r="A12948" s="119"/>
      <c r="B12948" s="138" t="str">
        <f t="shared" si="1134"/>
        <v>Aerated Static Pile</v>
      </c>
      <c r="C12948" s="138" t="str">
        <f t="shared" si="1135"/>
        <v>Without Amendment</v>
      </c>
      <c r="D12948" s="138" t="str">
        <f t="shared" si="1139"/>
        <v>Base_High</v>
      </c>
      <c r="E12948" s="138" t="str">
        <f t="shared" si="1137"/>
        <v>Low</v>
      </c>
      <c r="F12948" s="138" t="str">
        <f t="shared" si="1138"/>
        <v>Upgraded</v>
      </c>
      <c r="G12948" s="153"/>
      <c r="H12948" s="210">
        <v>9.6600000000000005E-2</v>
      </c>
      <c r="I12948" s="160" t="s">
        <v>62</v>
      </c>
      <c r="J12948" s="160">
        <v>1.2899999999999999E-3</v>
      </c>
      <c r="K12948" s="160" t="s">
        <v>13</v>
      </c>
      <c r="L12948" s="154" t="str">
        <f>IF(OpenLCAbasic!K12948="CTUh", "Fill in Manually",IF(OR(K12948="Unit", K12948=""), "", INDEX(LookUps!$E$5:$E$12, MATCH(OpenLCAbasic!K12948,LookUps!$D$5:$D$12,0))))</f>
        <v>Eutrophication Potential (EP) - kg N eq</v>
      </c>
      <c r="M12948" s="154" t="str">
        <f t="shared" si="1140"/>
        <v>Low_Base_High_Upgraded_Eutrophication Potential (EP) - kg N eq_Land application of compost; wastewater treatment unit; at updated plant - US_Without Amendment_Aerated Static Pile</v>
      </c>
    </row>
    <row r="12949" spans="1:13" s="120" customFormat="1" x14ac:dyDescent="0.25">
      <c r="A12949" s="119"/>
      <c r="B12949" s="138" t="str">
        <f t="shared" si="1134"/>
        <v>Aerated Static Pile</v>
      </c>
      <c r="C12949" s="138" t="str">
        <f t="shared" si="1135"/>
        <v>Without Amendment</v>
      </c>
      <c r="D12949" s="138" t="str">
        <f t="shared" si="1139"/>
        <v>Base_High</v>
      </c>
      <c r="E12949" s="138" t="str">
        <f t="shared" si="1137"/>
        <v>Low</v>
      </c>
      <c r="F12949" s="138" t="str">
        <f t="shared" si="1138"/>
        <v>Upgraded</v>
      </c>
      <c r="G12949" s="153"/>
      <c r="H12949" s="210">
        <v>4.0899999999999999E-2</v>
      </c>
      <c r="I12949" s="160" t="s">
        <v>55</v>
      </c>
      <c r="J12949" s="160">
        <v>5.5000000000000003E-4</v>
      </c>
      <c r="K12949" s="160" t="s">
        <v>13</v>
      </c>
      <c r="L12949" s="154" t="str">
        <f>IF(OpenLCAbasic!K12949="CTUh", "Fill in Manually",IF(OR(K12949="Unit", K12949=""), "", INDEX(LookUps!$E$5:$E$12, MATCH(OpenLCAbasic!K12949,LookUps!$D$5:$D$12,0))))</f>
        <v>Eutrophication Potential (EP) - kg N eq</v>
      </c>
      <c r="M12949" s="154" t="str">
        <f t="shared" si="1140"/>
        <v>Low_Base_High_Upgraded_Eutrophication Potential (EP) - kg N eq_Aeration Tanks; wastewater treatment unit; at updated plant - US_Without Amendment_Aerated Static Pile</v>
      </c>
    </row>
    <row r="12950" spans="1:13" s="120" customFormat="1" x14ac:dyDescent="0.25">
      <c r="A12950" s="119"/>
      <c r="B12950" s="138" t="str">
        <f t="shared" si="1134"/>
        <v>Aerated Static Pile</v>
      </c>
      <c r="C12950" s="138" t="str">
        <f t="shared" si="1135"/>
        <v>Without Amendment</v>
      </c>
      <c r="D12950" s="138" t="str">
        <f t="shared" si="1139"/>
        <v>Base_High</v>
      </c>
      <c r="E12950" s="138" t="str">
        <f t="shared" si="1137"/>
        <v>Low</v>
      </c>
      <c r="F12950" s="138" t="str">
        <f t="shared" si="1138"/>
        <v>Upgraded</v>
      </c>
      <c r="G12950" s="153"/>
      <c r="H12950" s="210">
        <v>1.8700000000000001E-2</v>
      </c>
      <c r="I12950" s="160" t="s">
        <v>147</v>
      </c>
      <c r="J12950" s="160">
        <v>2.5000000000000001E-4</v>
      </c>
      <c r="K12950" s="160" t="s">
        <v>13</v>
      </c>
      <c r="L12950" s="154" t="str">
        <f>IF(OpenLCAbasic!K12950="CTUh", "Fill in Manually",IF(OR(K12950="Unit", K12950=""), "", INDEX(LookUps!$E$5:$E$12, MATCH(OpenLCAbasic!K12950,LookUps!$D$5:$D$12,0))))</f>
        <v>Eutrophication Potential (EP) - kg N eq</v>
      </c>
      <c r="M12950" s="154" t="str">
        <f t="shared" si="1140"/>
        <v>Low_Base_High_Upgraded_Eutrophication Potential (EP) - kg N eq_Influent Pump Station; wastewater treatment unit; at updated plant - US_Without Amendment_Aerated Static Pile</v>
      </c>
    </row>
    <row r="12951" spans="1:13" s="120" customFormat="1" x14ac:dyDescent="0.25">
      <c r="A12951" s="119"/>
      <c r="B12951" s="138" t="str">
        <f t="shared" si="1134"/>
        <v>Aerated Static Pile</v>
      </c>
      <c r="C12951" s="138" t="str">
        <f t="shared" si="1135"/>
        <v>Without Amendment</v>
      </c>
      <c r="D12951" s="138" t="str">
        <f t="shared" si="1139"/>
        <v>Base_High</v>
      </c>
      <c r="E12951" s="138" t="str">
        <f t="shared" si="1137"/>
        <v>Low</v>
      </c>
      <c r="F12951" s="138" t="str">
        <f t="shared" si="1138"/>
        <v>Upgraded</v>
      </c>
      <c r="G12951" s="153"/>
      <c r="H12951" s="210">
        <v>1.4800000000000001E-2</v>
      </c>
      <c r="I12951" s="160" t="s">
        <v>54</v>
      </c>
      <c r="J12951" s="160">
        <v>2.0000000000000001E-4</v>
      </c>
      <c r="K12951" s="160" t="s">
        <v>13</v>
      </c>
      <c r="L12951" s="154" t="str">
        <f>IF(OpenLCAbasic!K12951="CTUh", "Fill in Manually",IF(OR(K12951="Unit", K12951=""), "", INDEX(LookUps!$E$5:$E$12, MATCH(OpenLCAbasic!K12951,LookUps!$D$5:$D$12,0))))</f>
        <v>Eutrophication Potential (EP) - kg N eq</v>
      </c>
      <c r="M12951" s="154" t="str">
        <f t="shared" si="1140"/>
        <v>Low_Base_High_Upgraded_Eutrophication Potential (EP) - kg N eq_Clear Cove Primary Clarification; wastewater treatment unit; at updated plant - US_Without Amendment_Aerated Static Pile</v>
      </c>
    </row>
    <row r="12952" spans="1:13" s="120" customFormat="1" x14ac:dyDescent="0.25">
      <c r="A12952" s="119"/>
      <c r="B12952" s="138" t="str">
        <f t="shared" si="1134"/>
        <v>Aerated Static Pile</v>
      </c>
      <c r="C12952" s="138" t="str">
        <f t="shared" si="1135"/>
        <v>Without Amendment</v>
      </c>
      <c r="D12952" s="138" t="str">
        <f t="shared" si="1139"/>
        <v>Base_High</v>
      </c>
      <c r="E12952" s="138" t="str">
        <f t="shared" si="1137"/>
        <v>Low</v>
      </c>
      <c r="F12952" s="138" t="str">
        <f t="shared" si="1138"/>
        <v>Upgraded</v>
      </c>
      <c r="G12952" s="153"/>
      <c r="H12952" s="210">
        <v>1.23E-2</v>
      </c>
      <c r="I12952" s="160" t="s">
        <v>167</v>
      </c>
      <c r="J12952" s="160">
        <v>1.6000000000000001E-4</v>
      </c>
      <c r="K12952" s="160" t="s">
        <v>13</v>
      </c>
      <c r="L12952" s="154" t="str">
        <f>IF(OpenLCAbasic!K12952="CTUh", "Fill in Manually",IF(OR(K12952="Unit", K12952=""), "", INDEX(LookUps!$E$5:$E$12, MATCH(OpenLCAbasic!K12952,LookUps!$D$5:$D$12,0))))</f>
        <v>Eutrophication Potential (EP) - kg N eq</v>
      </c>
      <c r="M12952" s="154" t="str">
        <f t="shared" si="1140"/>
        <v>Low_Base_High_Upgraded_Eutrophication Potential (EP) - kg N eq_Waste Receiving and Holding; wastewater treatment unit; at updated plant - US_Without Amendment_Aerated Static Pile</v>
      </c>
    </row>
    <row r="12953" spans="1:13" s="120" customFormat="1" x14ac:dyDescent="0.25">
      <c r="A12953" s="119"/>
      <c r="B12953" s="138" t="str">
        <f t="shared" si="1134"/>
        <v>Aerated Static Pile</v>
      </c>
      <c r="C12953" s="138" t="str">
        <f t="shared" si="1135"/>
        <v>Without Amendment</v>
      </c>
      <c r="D12953" s="138" t="str">
        <f t="shared" si="1139"/>
        <v>Base_High</v>
      </c>
      <c r="E12953" s="138" t="str">
        <f t="shared" si="1137"/>
        <v>Low</v>
      </c>
      <c r="F12953" s="138" t="str">
        <f t="shared" si="1138"/>
        <v>Upgraded</v>
      </c>
      <c r="G12953" s="153"/>
      <c r="H12953" s="210">
        <v>1.01E-2</v>
      </c>
      <c r="I12953" s="160" t="s">
        <v>58</v>
      </c>
      <c r="J12953" s="160">
        <v>1.3999999999999999E-4</v>
      </c>
      <c r="K12953" s="160" t="s">
        <v>13</v>
      </c>
      <c r="L12953" s="154" t="str">
        <f>IF(OpenLCAbasic!K12953="CTUh", "Fill in Manually",IF(OR(K12953="Unit", K12953=""), "", INDEX(LookUps!$E$5:$E$12, MATCH(OpenLCAbasic!K12953,LookUps!$D$5:$D$12,0))))</f>
        <v>Eutrophication Potential (EP) - kg N eq</v>
      </c>
      <c r="M12953" s="154" t="str">
        <f t="shared" si="1140"/>
        <v>Low_Base_High_Upgraded_Eutrophication Potential (EP) - kg N eq_Pre-Anoxic &amp; Swing tank; wastewater treatment unit; at updated plant - US_Without Amendment_Aerated Static Pile</v>
      </c>
    </row>
    <row r="12954" spans="1:13" s="120" customFormat="1" x14ac:dyDescent="0.25">
      <c r="A12954" s="119"/>
      <c r="B12954" s="138" t="str">
        <f t="shared" si="1134"/>
        <v>Aerated Static Pile</v>
      </c>
      <c r="C12954" s="138" t="str">
        <f t="shared" si="1135"/>
        <v>Without Amendment</v>
      </c>
      <c r="D12954" s="138" t="str">
        <f t="shared" si="1139"/>
        <v>Base_High</v>
      </c>
      <c r="E12954" s="138" t="str">
        <f t="shared" si="1137"/>
        <v>Low</v>
      </c>
      <c r="F12954" s="138" t="str">
        <f t="shared" si="1138"/>
        <v>Upgraded</v>
      </c>
      <c r="G12954" s="153"/>
      <c r="H12954" s="210">
        <v>8.0000000000000002E-3</v>
      </c>
      <c r="I12954" s="160" t="s">
        <v>53</v>
      </c>
      <c r="J12954" s="160">
        <v>1.1E-4</v>
      </c>
      <c r="K12954" s="160" t="s">
        <v>13</v>
      </c>
      <c r="L12954" s="154" t="str">
        <f>IF(OpenLCAbasic!K12954="CTUh", "Fill in Manually",IF(OR(K12954="Unit", K12954=""), "", INDEX(LookUps!$E$5:$E$12, MATCH(OpenLCAbasic!K12954,LookUps!$D$5:$D$12,0))))</f>
        <v>Eutrophication Potential (EP) - kg N eq</v>
      </c>
      <c r="M12954" s="154" t="str">
        <f t="shared" si="1140"/>
        <v>Low_Base_High_Upgraded_Eutrophication Potential (EP) - kg N eq_Wet Well and Sump Station; wastewater treatment unit; at updated plant - US_Without Amendment_Aerated Static Pile</v>
      </c>
    </row>
    <row r="12955" spans="1:13" s="120" customFormat="1" x14ac:dyDescent="0.25">
      <c r="A12955" s="119"/>
      <c r="B12955" s="138" t="str">
        <f t="shared" si="1134"/>
        <v>Aerated Static Pile</v>
      </c>
      <c r="C12955" s="138" t="str">
        <f t="shared" si="1135"/>
        <v>Without Amendment</v>
      </c>
      <c r="D12955" s="138" t="str">
        <f t="shared" si="1139"/>
        <v>Base_High</v>
      </c>
      <c r="E12955" s="138" t="str">
        <f t="shared" si="1137"/>
        <v>Low</v>
      </c>
      <c r="F12955" s="138" t="str">
        <f t="shared" si="1138"/>
        <v>Upgraded</v>
      </c>
      <c r="G12955" s="153"/>
      <c r="H12955" s="210">
        <v>4.4999999999999997E-3</v>
      </c>
      <c r="I12955" s="160" t="s">
        <v>57</v>
      </c>
      <c r="J12955" s="211">
        <v>6.0590300000000002E-5</v>
      </c>
      <c r="K12955" s="160" t="s">
        <v>13</v>
      </c>
      <c r="L12955" s="154" t="str">
        <f>IF(OpenLCAbasic!K12955="CTUh", "Fill in Manually",IF(OR(K12955="Unit", K12955=""), "", INDEX(LookUps!$E$5:$E$12, MATCH(OpenLCAbasic!K12955,LookUps!$D$5:$D$12,0))))</f>
        <v>Eutrophication Potential (EP) - kg N eq</v>
      </c>
      <c r="M12955" s="154" t="str">
        <f t="shared" si="1140"/>
        <v>Low_Base_High_Upgraded_Eutrophication Potential (EP) - kg N eq_Gravity Belt Thickener; wastewater treatment unit; at updated plant - US_Without Amendment_Aerated Static Pile</v>
      </c>
    </row>
    <row r="12956" spans="1:13" s="120" customFormat="1" x14ac:dyDescent="0.25">
      <c r="A12956" s="119"/>
      <c r="B12956" s="138" t="str">
        <f t="shared" si="1134"/>
        <v>Aerated Static Pile</v>
      </c>
      <c r="C12956" s="138" t="str">
        <f t="shared" si="1135"/>
        <v>Without Amendment</v>
      </c>
      <c r="D12956" s="138" t="str">
        <f t="shared" si="1139"/>
        <v>Base_High</v>
      </c>
      <c r="E12956" s="138" t="str">
        <f t="shared" si="1137"/>
        <v>Low</v>
      </c>
      <c r="F12956" s="138" t="str">
        <f t="shared" si="1138"/>
        <v>Upgraded</v>
      </c>
      <c r="G12956" s="153"/>
      <c r="H12956" s="210">
        <v>3.8E-3</v>
      </c>
      <c r="I12956" s="160" t="s">
        <v>435</v>
      </c>
      <c r="J12956" s="211">
        <v>5.1137100000000002E-5</v>
      </c>
      <c r="K12956" s="160" t="s">
        <v>13</v>
      </c>
      <c r="L12956" s="154" t="str">
        <f>IF(OpenLCAbasic!K12956="CTUh", "Fill in Manually",IF(OR(K12956="Unit", K12956=""), "", INDEX(LookUps!$E$5:$E$12, MATCH(OpenLCAbasic!K12956,LookUps!$D$5:$D$12,0))))</f>
        <v>Eutrophication Potential (EP) - kg N eq</v>
      </c>
      <c r="M12956" s="154" t="str">
        <f t="shared" si="1140"/>
        <v>Low_Base_High_Upgraded_Eutrophication Potential (EP) - kg N eq_Biosolids composting; aerated static pile; wastewater treatment unit; at updated plant - US_Without Amendment_Aerated Static Pile</v>
      </c>
    </row>
    <row r="12957" spans="1:13" s="120" customFormat="1" x14ac:dyDescent="0.25">
      <c r="A12957" s="119"/>
      <c r="B12957" s="138" t="str">
        <f t="shared" si="1134"/>
        <v>Aerated Static Pile</v>
      </c>
      <c r="C12957" s="138" t="str">
        <f t="shared" si="1135"/>
        <v>Without Amendment</v>
      </c>
      <c r="D12957" s="138" t="str">
        <f t="shared" si="1139"/>
        <v>Base_High</v>
      </c>
      <c r="E12957" s="138" t="str">
        <f t="shared" si="1137"/>
        <v>Low</v>
      </c>
      <c r="F12957" s="138" t="str">
        <f t="shared" si="1138"/>
        <v>Upgraded</v>
      </c>
      <c r="G12957" s="153"/>
      <c r="H12957" s="210">
        <v>3.7000000000000002E-3</v>
      </c>
      <c r="I12957" s="160" t="s">
        <v>60</v>
      </c>
      <c r="J12957" s="211">
        <v>4.8791500000000002E-5</v>
      </c>
      <c r="K12957" s="160" t="s">
        <v>13</v>
      </c>
      <c r="L12957" s="154" t="str">
        <f>IF(OpenLCAbasic!K12957="CTUh", "Fill in Manually",IF(OR(K12957="Unit", K12957=""), "", INDEX(LookUps!$E$5:$E$12, MATCH(OpenLCAbasic!K12957,LookUps!$D$5:$D$12,0))))</f>
        <v>Eutrophication Potential (EP) - kg N eq</v>
      </c>
      <c r="M12957" s="154" t="str">
        <f t="shared" si="1140"/>
        <v>Low_Base_High_Upgraded_Eutrophication Potential (EP) - kg N eq_Belt filter press; wastewater treatment unit; at updated plant - US_Without Amendment_Aerated Static Pile</v>
      </c>
    </row>
    <row r="12958" spans="1:13" s="120" customFormat="1" x14ac:dyDescent="0.25">
      <c r="A12958" s="119"/>
      <c r="B12958" s="138" t="str">
        <f t="shared" si="1134"/>
        <v>Aerated Static Pile</v>
      </c>
      <c r="C12958" s="138" t="str">
        <f t="shared" si="1135"/>
        <v>Without Amendment</v>
      </c>
      <c r="D12958" s="138" t="str">
        <f t="shared" si="1139"/>
        <v>Base_High</v>
      </c>
      <c r="E12958" s="138" t="str">
        <f t="shared" si="1137"/>
        <v>Low</v>
      </c>
      <c r="F12958" s="138" t="str">
        <f t="shared" si="1138"/>
        <v>Upgraded</v>
      </c>
      <c r="G12958" s="153"/>
      <c r="H12958" s="210">
        <v>2.8E-3</v>
      </c>
      <c r="I12958" s="160" t="s">
        <v>128</v>
      </c>
      <c r="J12958" s="211">
        <v>3.7559799999999999E-5</v>
      </c>
      <c r="K12958" s="160" t="s">
        <v>13</v>
      </c>
      <c r="L12958" s="154" t="str">
        <f>IF(OpenLCAbasic!K12958="CTUh", "Fill in Manually",IF(OR(K12958="Unit", K12958=""), "", INDEX(LookUps!$E$5:$E$12, MATCH(OpenLCAbasic!K12958,LookUps!$D$5:$D$12,0))))</f>
        <v>Eutrophication Potential (EP) - kg N eq</v>
      </c>
      <c r="M12958" s="154" t="str">
        <f t="shared" si="1140"/>
        <v>Low_Base_High_Upgraded_Eutrophication Potential (EP) - kg N eq_Wastewater collection; operation and infrastructure; m3 wastewater_Without Amendment_Aerated Static Pile</v>
      </c>
    </row>
    <row r="12959" spans="1:13" s="120" customFormat="1" x14ac:dyDescent="0.25">
      <c r="A12959" s="119"/>
      <c r="B12959" s="138" t="str">
        <f t="shared" si="1134"/>
        <v>Aerated Static Pile</v>
      </c>
      <c r="C12959" s="138" t="str">
        <f t="shared" si="1135"/>
        <v>Without Amendment</v>
      </c>
      <c r="D12959" s="138" t="str">
        <f t="shared" si="1139"/>
        <v>Base_High</v>
      </c>
      <c r="E12959" s="138" t="str">
        <f t="shared" si="1137"/>
        <v>Low</v>
      </c>
      <c r="F12959" s="138" t="str">
        <f t="shared" si="1138"/>
        <v>Upgraded</v>
      </c>
      <c r="G12959" s="153"/>
      <c r="H12959" s="210">
        <v>2.8E-3</v>
      </c>
      <c r="I12959" s="160" t="s">
        <v>148</v>
      </c>
      <c r="J12959" s="211">
        <v>3.6874600000000001E-5</v>
      </c>
      <c r="K12959" s="160" t="s">
        <v>13</v>
      </c>
      <c r="L12959" s="154" t="str">
        <f>IF(OpenLCAbasic!K12959="CTUh", "Fill in Manually",IF(OR(K12959="Unit", K12959=""), "", INDEX(LookUps!$E$5:$E$12, MATCH(OpenLCAbasic!K12959,LookUps!$D$5:$D$12,0))))</f>
        <v>Eutrophication Potential (EP) - kg N eq</v>
      </c>
      <c r="M12959" s="154" t="str">
        <f t="shared" si="1140"/>
        <v>Low_Base_High_Upgraded_Eutrophication Potential (EP) - kg N eq_Control Building; at upgraded wastewater treatment plant - US_Without Amendment_Aerated Static Pile</v>
      </c>
    </row>
    <row r="12960" spans="1:13" s="120" customFormat="1" x14ac:dyDescent="0.25">
      <c r="A12960" s="119"/>
      <c r="B12960" s="138" t="str">
        <f t="shared" si="1134"/>
        <v>Aerated Static Pile</v>
      </c>
      <c r="C12960" s="138" t="str">
        <f t="shared" si="1135"/>
        <v>Without Amendment</v>
      </c>
      <c r="D12960" s="138" t="str">
        <f t="shared" si="1139"/>
        <v>Base_High</v>
      </c>
      <c r="E12960" s="138" t="str">
        <f t="shared" si="1137"/>
        <v>Low</v>
      </c>
      <c r="F12960" s="138" t="str">
        <f t="shared" si="1138"/>
        <v>Upgraded</v>
      </c>
      <c r="G12960" s="153"/>
      <c r="H12960" s="210">
        <v>1.1999999999999999E-3</v>
      </c>
      <c r="I12960" s="160" t="s">
        <v>59</v>
      </c>
      <c r="J12960" s="211">
        <v>1.6215700000000001E-5</v>
      </c>
      <c r="K12960" s="160" t="s">
        <v>13</v>
      </c>
      <c r="L12960" s="154" t="str">
        <f>IF(OpenLCAbasic!K12960="CTUh", "Fill in Manually",IF(OR(K12960="Unit", K12960=""), "", INDEX(LookUps!$E$5:$E$12, MATCH(OpenLCAbasic!K12960,LookUps!$D$5:$D$12,0))))</f>
        <v>Eutrophication Potential (EP) - kg N eq</v>
      </c>
      <c r="M12960" s="154" t="str">
        <f t="shared" si="1140"/>
        <v>Low_Base_High_Upgraded_Eutrophication Potential (EP) - kg N eq_Blend Tank; wastewater treatment unit; at updated plant - US_Without Amendment_Aerated Static Pile</v>
      </c>
    </row>
    <row r="12961" spans="1:13" s="120" customFormat="1" x14ac:dyDescent="0.25">
      <c r="A12961" s="119"/>
      <c r="B12961" s="138" t="str">
        <f t="shared" si="1134"/>
        <v>Aerated Static Pile</v>
      </c>
      <c r="C12961" s="138" t="str">
        <f t="shared" si="1135"/>
        <v>Without Amendment</v>
      </c>
      <c r="D12961" s="138" t="str">
        <f t="shared" si="1139"/>
        <v>Base_High</v>
      </c>
      <c r="E12961" s="138" t="str">
        <f t="shared" si="1137"/>
        <v>Low</v>
      </c>
      <c r="F12961" s="138" t="str">
        <f t="shared" si="1138"/>
        <v>Upgraded</v>
      </c>
      <c r="G12961" s="153"/>
      <c r="H12961" s="210">
        <v>5.9999999999999995E-4</v>
      </c>
      <c r="I12961" s="160" t="s">
        <v>168</v>
      </c>
      <c r="J12961" s="211">
        <v>7.7567199999999995E-6</v>
      </c>
      <c r="K12961" s="160" t="s">
        <v>13</v>
      </c>
      <c r="L12961" s="154" t="str">
        <f>IF(OpenLCAbasic!K12961="CTUh", "Fill in Manually",IF(OR(K12961="Unit", K12961=""), "", INDEX(LookUps!$E$5:$E$12, MATCH(OpenLCAbasic!K12961,LookUps!$D$5:$D$12,0))))</f>
        <v>Eutrophication Potential (EP) - kg N eq</v>
      </c>
      <c r="M12961" s="154" t="str">
        <f t="shared" si="1140"/>
        <v>Low_Base_High_Upgraded_Eutrophication Potential (EP) - kg N eq_ClearCove SCP; wastewater treatment unit; at updated plant - US_Without Amendment_Aerated Static Pile</v>
      </c>
    </row>
    <row r="12962" spans="1:13" s="120" customFormat="1" x14ac:dyDescent="0.25">
      <c r="A12962" s="119"/>
      <c r="B12962" s="138" t="str">
        <f t="shared" si="1134"/>
        <v>Aerated Static Pile</v>
      </c>
      <c r="C12962" s="138" t="str">
        <f t="shared" si="1135"/>
        <v>Without Amendment</v>
      </c>
      <c r="D12962" s="138" t="str">
        <f t="shared" si="1139"/>
        <v>Base_High</v>
      </c>
      <c r="E12962" s="138" t="str">
        <f t="shared" si="1137"/>
        <v>Low</v>
      </c>
      <c r="F12962" s="138" t="str">
        <f t="shared" si="1138"/>
        <v>Upgraded</v>
      </c>
      <c r="G12962" s="153"/>
      <c r="H12962" s="210">
        <v>-8.9499999999999996E-2</v>
      </c>
      <c r="I12962" s="160" t="s">
        <v>149</v>
      </c>
      <c r="J12962" s="160">
        <v>-1.1999999999999999E-3</v>
      </c>
      <c r="K12962" s="160" t="s">
        <v>13</v>
      </c>
      <c r="L12962" s="154" t="str">
        <f>IF(OpenLCAbasic!K12962="CTUh", "Fill in Manually",IF(OR(K12962="Unit", K12962=""), "", INDEX(LookUps!$E$5:$E$12, MATCH(OpenLCAbasic!K12962,LookUps!$D$5:$D$12,0))))</f>
        <v>Eutrophication Potential (EP) - kg N eq</v>
      </c>
      <c r="M12962" s="154" t="str">
        <f t="shared" si="1140"/>
        <v>Low_Base_High_Upgraded_Eutrophication Potential (EP) - kg N eq_Anaerobic Digestion; wastewater treatment unit; at updated plant - US_Without Amendment_Aerated Static Pile</v>
      </c>
    </row>
    <row r="12963" spans="1:13" s="120" customFormat="1" x14ac:dyDescent="0.25">
      <c r="A12963" s="119"/>
      <c r="B12963" s="138" t="str">
        <f t="shared" si="1134"/>
        <v/>
      </c>
      <c r="C12963" s="138" t="str">
        <f t="shared" si="1135"/>
        <v/>
      </c>
      <c r="D12963" s="138" t="str">
        <f t="shared" si="1139"/>
        <v/>
      </c>
      <c r="E12963" s="138" t="str">
        <f t="shared" si="1137"/>
        <v/>
      </c>
      <c r="F12963" s="138" t="str">
        <f t="shared" si="1138"/>
        <v/>
      </c>
      <c r="G12963" s="153" t="s">
        <v>51</v>
      </c>
      <c r="H12963" s="160"/>
      <c r="I12963" s="160" t="s">
        <v>47</v>
      </c>
      <c r="J12963" s="160" t="s">
        <v>52</v>
      </c>
      <c r="K12963" s="160" t="s">
        <v>27</v>
      </c>
      <c r="L12963" s="154" t="str">
        <f>IF(OpenLCAbasic!K12963="CTUh", "Fill in Manually",IF(OR(K12963="Unit", K12963=""), "", INDEX(LookUps!$E$5:$E$12, MATCH(OpenLCAbasic!K12963,LookUps!$D$5:$D$12,0))))</f>
        <v/>
      </c>
      <c r="M12963" s="154" t="str">
        <f t="shared" si="1140"/>
        <v>____Process__</v>
      </c>
    </row>
    <row r="12964" spans="1:13" s="120" customFormat="1" x14ac:dyDescent="0.25">
      <c r="A12964" s="119"/>
      <c r="B12964" s="138" t="str">
        <f t="shared" si="1134"/>
        <v>Aerated Static Pile</v>
      </c>
      <c r="C12964" s="138" t="str">
        <f t="shared" si="1135"/>
        <v>Without Amendment</v>
      </c>
      <c r="D12964" s="138" t="str">
        <f t="shared" si="1139"/>
        <v>Base_High</v>
      </c>
      <c r="E12964" s="138" t="str">
        <f t="shared" si="1137"/>
        <v>Low</v>
      </c>
      <c r="F12964" s="138" t="str">
        <f t="shared" si="1138"/>
        <v>Upgraded</v>
      </c>
      <c r="G12964" s="153"/>
      <c r="H12964" s="210">
        <v>7.5697000000000001</v>
      </c>
      <c r="I12964" s="160" t="s">
        <v>167</v>
      </c>
      <c r="J12964" s="160">
        <v>7.9170000000000004E-2</v>
      </c>
      <c r="K12964" s="160" t="s">
        <v>14</v>
      </c>
      <c r="L12964" s="154" t="str">
        <f>IF(OpenLCAbasic!K12964="CTUh", "Fill in Manually",IF(OR(K12964="Unit", K12964=""), "", INDEX(LookUps!$E$5:$E$12, MATCH(OpenLCAbasic!K12964,LookUps!$D$5:$D$12,0))))</f>
        <v>Fossil Depletion Potential (FDP) - kg oil eq</v>
      </c>
      <c r="M12964" s="154" t="str">
        <f t="shared" si="1140"/>
        <v>Low_Base_High_Upgraded_Fossil Depletion Potential (FDP) - kg oil eq_Waste Receiving and Holding; wastewater treatment unit; at updated plant - US_Without Amendment_Aerated Static Pile</v>
      </c>
    </row>
    <row r="12965" spans="1:13" s="120" customFormat="1" x14ac:dyDescent="0.25">
      <c r="A12965" s="119"/>
      <c r="B12965" s="138" t="str">
        <f t="shared" si="1134"/>
        <v>Aerated Static Pile</v>
      </c>
      <c r="C12965" s="138" t="str">
        <f t="shared" si="1135"/>
        <v>Without Amendment</v>
      </c>
      <c r="D12965" s="138" t="str">
        <f t="shared" si="1139"/>
        <v>Base_High</v>
      </c>
      <c r="E12965" s="138" t="str">
        <f t="shared" si="1137"/>
        <v>Low</v>
      </c>
      <c r="F12965" s="138" t="str">
        <f t="shared" si="1138"/>
        <v>Upgraded</v>
      </c>
      <c r="G12965" s="153"/>
      <c r="H12965" s="210">
        <v>6.0801999999999996</v>
      </c>
      <c r="I12965" s="160" t="s">
        <v>55</v>
      </c>
      <c r="J12965" s="160">
        <v>6.3589999999999994E-2</v>
      </c>
      <c r="K12965" s="160" t="s">
        <v>14</v>
      </c>
      <c r="L12965" s="154" t="str">
        <f>IF(OpenLCAbasic!K12965="CTUh", "Fill in Manually",IF(OR(K12965="Unit", K12965=""), "", INDEX(LookUps!$E$5:$E$12, MATCH(OpenLCAbasic!K12965,LookUps!$D$5:$D$12,0))))</f>
        <v>Fossil Depletion Potential (FDP) - kg oil eq</v>
      </c>
      <c r="M12965" s="154" t="str">
        <f t="shared" si="1140"/>
        <v>Low_Base_High_Upgraded_Fossil Depletion Potential (FDP) - kg oil eq_Aeration Tanks; wastewater treatment unit; at updated plant - US_Without Amendment_Aerated Static Pile</v>
      </c>
    </row>
    <row r="12966" spans="1:13" s="120" customFormat="1" x14ac:dyDescent="0.25">
      <c r="A12966" s="119"/>
      <c r="B12966" s="138" t="str">
        <f t="shared" si="1134"/>
        <v>Aerated Static Pile</v>
      </c>
      <c r="C12966" s="138" t="str">
        <f t="shared" si="1135"/>
        <v>Without Amendment</v>
      </c>
      <c r="D12966" s="138" t="str">
        <f t="shared" si="1139"/>
        <v>Base_High</v>
      </c>
      <c r="E12966" s="138" t="str">
        <f t="shared" si="1137"/>
        <v>Low</v>
      </c>
      <c r="F12966" s="138" t="str">
        <f t="shared" si="1138"/>
        <v>Upgraded</v>
      </c>
      <c r="G12966" s="153"/>
      <c r="H12966" s="210">
        <v>2.0127000000000002</v>
      </c>
      <c r="I12966" s="160" t="s">
        <v>54</v>
      </c>
      <c r="J12966" s="160">
        <v>2.1049999999999999E-2</v>
      </c>
      <c r="K12966" s="160" t="s">
        <v>14</v>
      </c>
      <c r="L12966" s="154" t="str">
        <f>IF(OpenLCAbasic!K12966="CTUh", "Fill in Manually",IF(OR(K12966="Unit", K12966=""), "", INDEX(LookUps!$E$5:$E$12, MATCH(OpenLCAbasic!K12966,LookUps!$D$5:$D$12,0))))</f>
        <v>Fossil Depletion Potential (FDP) - kg oil eq</v>
      </c>
      <c r="M12966" s="154" t="str">
        <f t="shared" si="1140"/>
        <v>Low_Base_High_Upgraded_Fossil Depletion Potential (FDP) - kg oil eq_Clear Cove Primary Clarification; wastewater treatment unit; at updated plant - US_Without Amendment_Aerated Static Pile</v>
      </c>
    </row>
    <row r="12967" spans="1:13" s="120" customFormat="1" x14ac:dyDescent="0.25">
      <c r="A12967" s="119"/>
      <c r="B12967" s="138" t="str">
        <f t="shared" si="1134"/>
        <v>Aerated Static Pile</v>
      </c>
      <c r="C12967" s="138" t="str">
        <f t="shared" si="1135"/>
        <v>Without Amendment</v>
      </c>
      <c r="D12967" s="138" t="str">
        <f t="shared" si="1139"/>
        <v>Base_High</v>
      </c>
      <c r="E12967" s="138" t="str">
        <f t="shared" si="1137"/>
        <v>Low</v>
      </c>
      <c r="F12967" s="138" t="str">
        <f t="shared" si="1138"/>
        <v>Upgraded</v>
      </c>
      <c r="G12967" s="153"/>
      <c r="H12967" s="210">
        <v>1.5226</v>
      </c>
      <c r="I12967" s="160" t="s">
        <v>58</v>
      </c>
      <c r="J12967" s="160">
        <v>1.592E-2</v>
      </c>
      <c r="K12967" s="160" t="s">
        <v>14</v>
      </c>
      <c r="L12967" s="154" t="str">
        <f>IF(OpenLCAbasic!K12967="CTUh", "Fill in Manually",IF(OR(K12967="Unit", K12967=""), "", INDEX(LookUps!$E$5:$E$12, MATCH(OpenLCAbasic!K12967,LookUps!$D$5:$D$12,0))))</f>
        <v>Fossil Depletion Potential (FDP) - kg oil eq</v>
      </c>
      <c r="M12967" s="154" t="str">
        <f t="shared" si="1140"/>
        <v>Low_Base_High_Upgraded_Fossil Depletion Potential (FDP) - kg oil eq_Pre-Anoxic &amp; Swing tank; wastewater treatment unit; at updated plant - US_Without Amendment_Aerated Static Pile</v>
      </c>
    </row>
    <row r="12968" spans="1:13" s="120" customFormat="1" x14ac:dyDescent="0.25">
      <c r="A12968" s="119"/>
      <c r="B12968" s="138" t="str">
        <f t="shared" si="1134"/>
        <v>Aerated Static Pile</v>
      </c>
      <c r="C12968" s="138" t="str">
        <f t="shared" si="1135"/>
        <v>Without Amendment</v>
      </c>
      <c r="D12968" s="138" t="str">
        <f t="shared" si="1139"/>
        <v>Base_High</v>
      </c>
      <c r="E12968" s="138" t="str">
        <f t="shared" si="1137"/>
        <v>Low</v>
      </c>
      <c r="F12968" s="138" t="str">
        <f t="shared" si="1138"/>
        <v>Upgraded</v>
      </c>
      <c r="G12968" s="153"/>
      <c r="H12968" s="210">
        <v>1.4426000000000001</v>
      </c>
      <c r="I12968" s="160" t="s">
        <v>147</v>
      </c>
      <c r="J12968" s="160">
        <v>1.5089999999999999E-2</v>
      </c>
      <c r="K12968" s="160" t="s">
        <v>14</v>
      </c>
      <c r="L12968" s="154" t="str">
        <f>IF(OpenLCAbasic!K12968="CTUh", "Fill in Manually",IF(OR(K12968="Unit", K12968=""), "", INDEX(LookUps!$E$5:$E$12, MATCH(OpenLCAbasic!K12968,LookUps!$D$5:$D$12,0))))</f>
        <v>Fossil Depletion Potential (FDP) - kg oil eq</v>
      </c>
      <c r="M12968" s="154" t="str">
        <f t="shared" si="1140"/>
        <v>Low_Base_High_Upgraded_Fossil Depletion Potential (FDP) - kg oil eq_Influent Pump Station; wastewater treatment unit; at updated plant - US_Without Amendment_Aerated Static Pile</v>
      </c>
    </row>
    <row r="12969" spans="1:13" s="120" customFormat="1" x14ac:dyDescent="0.25">
      <c r="A12969" s="119"/>
      <c r="B12969" s="138" t="str">
        <f t="shared" ref="B12969:B13032" si="1141">IF(F12969="Legacy","n.a.",IF(F12969="","","Aerated Static Pile"))</f>
        <v>Aerated Static Pile</v>
      </c>
      <c r="C12969" s="138" t="str">
        <f t="shared" ref="C12969:C13032" si="1142">IF(ISNUMBER($J12969),"Without Amendment","")</f>
        <v>Without Amendment</v>
      </c>
      <c r="D12969" s="138" t="str">
        <f t="shared" si="1139"/>
        <v>Base_High</v>
      </c>
      <c r="E12969" s="138" t="str">
        <f t="shared" ref="E12969:E13032" si="1143">IF(ISNUMBER($J12969),"Low","")</f>
        <v>Low</v>
      </c>
      <c r="F12969" s="138" t="str">
        <f t="shared" ref="F12969:F13032" si="1144">IF(ISNUMBER(J12969),"Upgraded","")</f>
        <v>Upgraded</v>
      </c>
      <c r="G12969" s="153"/>
      <c r="H12969" s="210">
        <v>1.1940999999999999</v>
      </c>
      <c r="I12969" s="160" t="s">
        <v>53</v>
      </c>
      <c r="J12969" s="160">
        <v>1.2489999999999999E-2</v>
      </c>
      <c r="K12969" s="160" t="s">
        <v>14</v>
      </c>
      <c r="L12969" s="154" t="str">
        <f>IF(OpenLCAbasic!K12969="CTUh", "Fill in Manually",IF(OR(K12969="Unit", K12969=""), "", INDEX(LookUps!$E$5:$E$12, MATCH(OpenLCAbasic!K12969,LookUps!$D$5:$D$12,0))))</f>
        <v>Fossil Depletion Potential (FDP) - kg oil eq</v>
      </c>
      <c r="M12969" s="154" t="str">
        <f t="shared" si="1140"/>
        <v>Low_Base_High_Upgraded_Fossil Depletion Potential (FDP) - kg oil eq_Wet Well and Sump Station; wastewater treatment unit; at updated plant - US_Without Amendment_Aerated Static Pile</v>
      </c>
    </row>
    <row r="12970" spans="1:13" s="120" customFormat="1" x14ac:dyDescent="0.25">
      <c r="A12970" s="119"/>
      <c r="B12970" s="138" t="str">
        <f t="shared" si="1141"/>
        <v>Aerated Static Pile</v>
      </c>
      <c r="C12970" s="138" t="str">
        <f t="shared" si="1142"/>
        <v>Without Amendment</v>
      </c>
      <c r="D12970" s="138" t="str">
        <f t="shared" si="1139"/>
        <v>Base_High</v>
      </c>
      <c r="E12970" s="138" t="str">
        <f t="shared" si="1143"/>
        <v>Low</v>
      </c>
      <c r="F12970" s="138" t="str">
        <f t="shared" si="1144"/>
        <v>Upgraded</v>
      </c>
      <c r="G12970" s="153"/>
      <c r="H12970" s="210">
        <v>0.6613</v>
      </c>
      <c r="I12970" s="160" t="s">
        <v>57</v>
      </c>
      <c r="J12970" s="160">
        <v>6.9199999999999999E-3</v>
      </c>
      <c r="K12970" s="160" t="s">
        <v>14</v>
      </c>
      <c r="L12970" s="154" t="str">
        <f>IF(OpenLCAbasic!K12970="CTUh", "Fill in Manually",IF(OR(K12970="Unit", K12970=""), "", INDEX(LookUps!$E$5:$E$12, MATCH(OpenLCAbasic!K12970,LookUps!$D$5:$D$12,0))))</f>
        <v>Fossil Depletion Potential (FDP) - kg oil eq</v>
      </c>
      <c r="M12970" s="154" t="str">
        <f t="shared" si="1140"/>
        <v>Low_Base_High_Upgraded_Fossil Depletion Potential (FDP) - kg oil eq_Gravity Belt Thickener; wastewater treatment unit; at updated plant - US_Without Amendment_Aerated Static Pile</v>
      </c>
    </row>
    <row r="12971" spans="1:13" s="120" customFormat="1" x14ac:dyDescent="0.25">
      <c r="A12971" s="119"/>
      <c r="B12971" s="138" t="str">
        <f t="shared" si="1141"/>
        <v>Aerated Static Pile</v>
      </c>
      <c r="C12971" s="138" t="str">
        <f t="shared" si="1142"/>
        <v>Without Amendment</v>
      </c>
      <c r="D12971" s="138" t="str">
        <f t="shared" si="1139"/>
        <v>Base_High</v>
      </c>
      <c r="E12971" s="138" t="str">
        <f t="shared" si="1143"/>
        <v>Low</v>
      </c>
      <c r="F12971" s="138" t="str">
        <f t="shared" si="1144"/>
        <v>Upgraded</v>
      </c>
      <c r="G12971" s="153"/>
      <c r="H12971" s="210">
        <v>0.5827</v>
      </c>
      <c r="I12971" s="160" t="s">
        <v>435</v>
      </c>
      <c r="J12971" s="160">
        <v>6.0899999999999999E-3</v>
      </c>
      <c r="K12971" s="160" t="s">
        <v>14</v>
      </c>
      <c r="L12971" s="154" t="str">
        <f>IF(OpenLCAbasic!K12971="CTUh", "Fill in Manually",IF(OR(K12971="Unit", K12971=""), "", INDEX(LookUps!$E$5:$E$12, MATCH(OpenLCAbasic!K12971,LookUps!$D$5:$D$12,0))))</f>
        <v>Fossil Depletion Potential (FDP) - kg oil eq</v>
      </c>
      <c r="M12971" s="154" t="str">
        <f t="shared" si="1140"/>
        <v>Low_Base_High_Upgraded_Fossil Depletion Potential (FDP) - kg oil eq_Biosolids composting; aerated static pile; wastewater treatment unit; at updated plant - US_Without Amendment_Aerated Static Pile</v>
      </c>
    </row>
    <row r="12972" spans="1:13" s="120" customFormat="1" x14ac:dyDescent="0.25">
      <c r="A12972" s="119"/>
      <c r="B12972" s="138" t="str">
        <f t="shared" si="1141"/>
        <v>Aerated Static Pile</v>
      </c>
      <c r="C12972" s="138" t="str">
        <f t="shared" si="1142"/>
        <v>Without Amendment</v>
      </c>
      <c r="D12972" s="138" t="str">
        <f t="shared" si="1139"/>
        <v>Base_High</v>
      </c>
      <c r="E12972" s="138" t="str">
        <f t="shared" si="1143"/>
        <v>Low</v>
      </c>
      <c r="F12972" s="138" t="str">
        <f t="shared" si="1144"/>
        <v>Upgraded</v>
      </c>
      <c r="G12972" s="153"/>
      <c r="H12972" s="210">
        <v>0.53549999999999998</v>
      </c>
      <c r="I12972" s="160" t="s">
        <v>60</v>
      </c>
      <c r="J12972" s="160">
        <v>5.5999999999999999E-3</v>
      </c>
      <c r="K12972" s="160" t="s">
        <v>14</v>
      </c>
      <c r="L12972" s="154" t="str">
        <f>IF(OpenLCAbasic!K12972="CTUh", "Fill in Manually",IF(OR(K12972="Unit", K12972=""), "", INDEX(LookUps!$E$5:$E$12, MATCH(OpenLCAbasic!K12972,LookUps!$D$5:$D$12,0))))</f>
        <v>Fossil Depletion Potential (FDP) - kg oil eq</v>
      </c>
      <c r="M12972" s="154" t="str">
        <f t="shared" si="1140"/>
        <v>Low_Base_High_Upgraded_Fossil Depletion Potential (FDP) - kg oil eq_Belt filter press; wastewater treatment unit; at updated plant - US_Without Amendment_Aerated Static Pile</v>
      </c>
    </row>
    <row r="12973" spans="1:13" s="120" customFormat="1" x14ac:dyDescent="0.25">
      <c r="A12973" s="119"/>
      <c r="B12973" s="138" t="str">
        <f t="shared" si="1141"/>
        <v>Aerated Static Pile</v>
      </c>
      <c r="C12973" s="138" t="str">
        <f t="shared" si="1142"/>
        <v>Without Amendment</v>
      </c>
      <c r="D12973" s="138" t="str">
        <f t="shared" si="1139"/>
        <v>Base_High</v>
      </c>
      <c r="E12973" s="138" t="str">
        <f t="shared" si="1143"/>
        <v>Low</v>
      </c>
      <c r="F12973" s="138" t="str">
        <f t="shared" si="1144"/>
        <v>Upgraded</v>
      </c>
      <c r="G12973" s="153"/>
      <c r="H12973" s="210">
        <v>0.43020000000000003</v>
      </c>
      <c r="I12973" s="160" t="s">
        <v>128</v>
      </c>
      <c r="J12973" s="160">
        <v>4.4999999999999997E-3</v>
      </c>
      <c r="K12973" s="160" t="s">
        <v>14</v>
      </c>
      <c r="L12973" s="154" t="str">
        <f>IF(OpenLCAbasic!K12973="CTUh", "Fill in Manually",IF(OR(K12973="Unit", K12973=""), "", INDEX(LookUps!$E$5:$E$12, MATCH(OpenLCAbasic!K12973,LookUps!$D$5:$D$12,0))))</f>
        <v>Fossil Depletion Potential (FDP) - kg oil eq</v>
      </c>
      <c r="M12973" s="154" t="str">
        <f t="shared" si="1140"/>
        <v>Low_Base_High_Upgraded_Fossil Depletion Potential (FDP) - kg oil eq_Wastewater collection; operation and infrastructure; m3 wastewater_Without Amendment_Aerated Static Pile</v>
      </c>
    </row>
    <row r="12974" spans="1:13" s="120" customFormat="1" x14ac:dyDescent="0.25">
      <c r="A12974" s="119"/>
      <c r="B12974" s="138" t="str">
        <f t="shared" si="1141"/>
        <v>Aerated Static Pile</v>
      </c>
      <c r="C12974" s="138" t="str">
        <f t="shared" si="1142"/>
        <v>Without Amendment</v>
      </c>
      <c r="D12974" s="138" t="str">
        <f t="shared" si="1139"/>
        <v>Base_High</v>
      </c>
      <c r="E12974" s="138" t="str">
        <f t="shared" si="1143"/>
        <v>Low</v>
      </c>
      <c r="F12974" s="138" t="str">
        <f t="shared" si="1144"/>
        <v>Upgraded</v>
      </c>
      <c r="G12974" s="153"/>
      <c r="H12974" s="210">
        <v>0.26750000000000002</v>
      </c>
      <c r="I12974" s="160" t="s">
        <v>148</v>
      </c>
      <c r="J12974" s="160">
        <v>2.8E-3</v>
      </c>
      <c r="K12974" s="160" t="s">
        <v>14</v>
      </c>
      <c r="L12974" s="154" t="str">
        <f>IF(OpenLCAbasic!K12974="CTUh", "Fill in Manually",IF(OR(K12974="Unit", K12974=""), "", INDEX(LookUps!$E$5:$E$12, MATCH(OpenLCAbasic!K12974,LookUps!$D$5:$D$12,0))))</f>
        <v>Fossil Depletion Potential (FDP) - kg oil eq</v>
      </c>
      <c r="M12974" s="154" t="str">
        <f t="shared" si="1140"/>
        <v>Low_Base_High_Upgraded_Fossil Depletion Potential (FDP) - kg oil eq_Control Building; at upgraded wastewater treatment plant - US_Without Amendment_Aerated Static Pile</v>
      </c>
    </row>
    <row r="12975" spans="1:13" s="120" customFormat="1" x14ac:dyDescent="0.25">
      <c r="A12975" s="119"/>
      <c r="B12975" s="138" t="str">
        <f t="shared" si="1141"/>
        <v>Aerated Static Pile</v>
      </c>
      <c r="C12975" s="138" t="str">
        <f t="shared" si="1142"/>
        <v>Without Amendment</v>
      </c>
      <c r="D12975" s="138" t="str">
        <f t="shared" si="1139"/>
        <v>Base_High</v>
      </c>
      <c r="E12975" s="138" t="str">
        <f t="shared" si="1143"/>
        <v>Low</v>
      </c>
      <c r="F12975" s="138" t="str">
        <f t="shared" si="1144"/>
        <v>Upgraded</v>
      </c>
      <c r="G12975" s="153"/>
      <c r="H12975" s="210">
        <v>0.22600000000000001</v>
      </c>
      <c r="I12975" s="160" t="s">
        <v>48</v>
      </c>
      <c r="J12975" s="160">
        <v>2.3600000000000001E-3</v>
      </c>
      <c r="K12975" s="160" t="s">
        <v>14</v>
      </c>
      <c r="L12975" s="154" t="str">
        <f>IF(OpenLCAbasic!K12975="CTUh", "Fill in Manually",IF(OR(K12975="Unit", K12975=""), "", INDEX(LookUps!$E$5:$E$12, MATCH(OpenLCAbasic!K12975,LookUps!$D$5:$D$12,0))))</f>
        <v>Fossil Depletion Potential (FDP) - kg oil eq</v>
      </c>
      <c r="M12975" s="154" t="str">
        <f t="shared" si="1140"/>
        <v>Low_Base_High_Upgraded_Fossil Depletion Potential (FDP) - kg oil eq_Effluent release; wastewater treatment unit; at surface water; m3 wastewater - US_Without Amendment_Aerated Static Pile</v>
      </c>
    </row>
    <row r="12976" spans="1:13" s="120" customFormat="1" x14ac:dyDescent="0.25">
      <c r="A12976" s="119"/>
      <c r="B12976" s="138" t="str">
        <f t="shared" si="1141"/>
        <v>Aerated Static Pile</v>
      </c>
      <c r="C12976" s="138" t="str">
        <f t="shared" si="1142"/>
        <v>Without Amendment</v>
      </c>
      <c r="D12976" s="138" t="str">
        <f t="shared" si="1139"/>
        <v>Base_High</v>
      </c>
      <c r="E12976" s="138" t="str">
        <f t="shared" si="1143"/>
        <v>Low</v>
      </c>
      <c r="F12976" s="138" t="str">
        <f t="shared" si="1144"/>
        <v>Upgraded</v>
      </c>
      <c r="G12976" s="153"/>
      <c r="H12976" s="210">
        <v>0.1835</v>
      </c>
      <c r="I12976" s="160" t="s">
        <v>59</v>
      </c>
      <c r="J12976" s="160">
        <v>1.92E-3</v>
      </c>
      <c r="K12976" s="160" t="s">
        <v>14</v>
      </c>
      <c r="L12976" s="154" t="str">
        <f>IF(OpenLCAbasic!K12976="CTUh", "Fill in Manually",IF(OR(K12976="Unit", K12976=""), "", INDEX(LookUps!$E$5:$E$12, MATCH(OpenLCAbasic!K12976,LookUps!$D$5:$D$12,0))))</f>
        <v>Fossil Depletion Potential (FDP) - kg oil eq</v>
      </c>
      <c r="M12976" s="154" t="str">
        <f t="shared" si="1140"/>
        <v>Low_Base_High_Upgraded_Fossil Depletion Potential (FDP) - kg oil eq_Blend Tank; wastewater treatment unit; at updated plant - US_Without Amendment_Aerated Static Pile</v>
      </c>
    </row>
    <row r="12977" spans="1:13" s="120" customFormat="1" x14ac:dyDescent="0.25">
      <c r="A12977" s="119"/>
      <c r="B12977" s="138" t="str">
        <f t="shared" si="1141"/>
        <v>Aerated Static Pile</v>
      </c>
      <c r="C12977" s="138" t="str">
        <f t="shared" si="1142"/>
        <v>Without Amendment</v>
      </c>
      <c r="D12977" s="138" t="str">
        <f t="shared" ref="D12977:D13040" si="1145">IF(ISNUMBER($J12977),"Base_High","")</f>
        <v>Base_High</v>
      </c>
      <c r="E12977" s="138" t="str">
        <f t="shared" si="1143"/>
        <v>Low</v>
      </c>
      <c r="F12977" s="138" t="str">
        <f t="shared" si="1144"/>
        <v>Upgraded</v>
      </c>
      <c r="G12977" s="153"/>
      <c r="H12977" s="210">
        <v>8.7499999999999994E-2</v>
      </c>
      <c r="I12977" s="160" t="s">
        <v>168</v>
      </c>
      <c r="J12977" s="160">
        <v>9.1E-4</v>
      </c>
      <c r="K12977" s="160" t="s">
        <v>14</v>
      </c>
      <c r="L12977" s="154" t="str">
        <f>IF(OpenLCAbasic!K12977="CTUh", "Fill in Manually",IF(OR(K12977="Unit", K12977=""), "", INDEX(LookUps!$E$5:$E$12, MATCH(OpenLCAbasic!K12977,LookUps!$D$5:$D$12,0))))</f>
        <v>Fossil Depletion Potential (FDP) - kg oil eq</v>
      </c>
      <c r="M12977" s="154" t="str">
        <f t="shared" si="1140"/>
        <v>Low_Base_High_Upgraded_Fossil Depletion Potential (FDP) - kg oil eq_ClearCove SCP; wastewater treatment unit; at updated plant - US_Without Amendment_Aerated Static Pile</v>
      </c>
    </row>
    <row r="12978" spans="1:13" s="120" customFormat="1" x14ac:dyDescent="0.25">
      <c r="A12978" s="119"/>
      <c r="B12978" s="138" t="str">
        <f t="shared" si="1141"/>
        <v>Aerated Static Pile</v>
      </c>
      <c r="C12978" s="138" t="str">
        <f t="shared" si="1142"/>
        <v>Without Amendment</v>
      </c>
      <c r="D12978" s="138" t="str">
        <f t="shared" si="1145"/>
        <v>Base_High</v>
      </c>
      <c r="E12978" s="138" t="str">
        <f t="shared" si="1143"/>
        <v>Low</v>
      </c>
      <c r="F12978" s="138" t="str">
        <f t="shared" si="1144"/>
        <v>Upgraded</v>
      </c>
      <c r="G12978" s="153"/>
      <c r="H12978" s="210">
        <v>-0.40450000000000003</v>
      </c>
      <c r="I12978" s="160" t="s">
        <v>62</v>
      </c>
      <c r="J12978" s="160">
        <v>-4.2300000000000003E-3</v>
      </c>
      <c r="K12978" s="160" t="s">
        <v>14</v>
      </c>
      <c r="L12978" s="154" t="str">
        <f>IF(OpenLCAbasic!K12978="CTUh", "Fill in Manually",IF(OR(K12978="Unit", K12978=""), "", INDEX(LookUps!$E$5:$E$12, MATCH(OpenLCAbasic!K12978,LookUps!$D$5:$D$12,0))))</f>
        <v>Fossil Depletion Potential (FDP) - kg oil eq</v>
      </c>
      <c r="M12978" s="154" t="str">
        <f t="shared" si="1140"/>
        <v>Low_Base_High_Upgraded_Fossil Depletion Potential (FDP) - kg oil eq_Land application of compost; wastewater treatment unit; at updated plant - US_Without Amendment_Aerated Static Pile</v>
      </c>
    </row>
    <row r="12979" spans="1:13" s="120" customFormat="1" x14ac:dyDescent="0.25">
      <c r="A12979" s="119"/>
      <c r="B12979" s="138" t="str">
        <f t="shared" si="1141"/>
        <v>Aerated Static Pile</v>
      </c>
      <c r="C12979" s="138" t="str">
        <f t="shared" si="1142"/>
        <v>Without Amendment</v>
      </c>
      <c r="D12979" s="138" t="str">
        <f t="shared" si="1145"/>
        <v>Base_High</v>
      </c>
      <c r="E12979" s="138" t="str">
        <f t="shared" si="1143"/>
        <v>Low</v>
      </c>
      <c r="F12979" s="138" t="str">
        <f t="shared" si="1144"/>
        <v>Upgraded</v>
      </c>
      <c r="G12979" s="153"/>
      <c r="H12979" s="210">
        <v>-21.3916</v>
      </c>
      <c r="I12979" s="160" t="s">
        <v>149</v>
      </c>
      <c r="J12979" s="160">
        <v>-0.22373000000000001</v>
      </c>
      <c r="K12979" s="160" t="s">
        <v>14</v>
      </c>
      <c r="L12979" s="154" t="str">
        <f>IF(OpenLCAbasic!K12979="CTUh", "Fill in Manually",IF(OR(K12979="Unit", K12979=""), "", INDEX(LookUps!$E$5:$E$12, MATCH(OpenLCAbasic!K12979,LookUps!$D$5:$D$12,0))))</f>
        <v>Fossil Depletion Potential (FDP) - kg oil eq</v>
      </c>
      <c r="M12979" s="154" t="str">
        <f t="shared" si="1140"/>
        <v>Low_Base_High_Upgraded_Fossil Depletion Potential (FDP) - kg oil eq_Anaerobic Digestion; wastewater treatment unit; at updated plant - US_Without Amendment_Aerated Static Pile</v>
      </c>
    </row>
    <row r="12980" spans="1:13" s="120" customFormat="1" x14ac:dyDescent="0.25">
      <c r="A12980" s="119"/>
      <c r="B12980" s="138" t="str">
        <f t="shared" si="1141"/>
        <v/>
      </c>
      <c r="C12980" s="138" t="str">
        <f t="shared" si="1142"/>
        <v/>
      </c>
      <c r="D12980" s="138" t="str">
        <f t="shared" si="1145"/>
        <v/>
      </c>
      <c r="E12980" s="138" t="str">
        <f t="shared" si="1143"/>
        <v/>
      </c>
      <c r="F12980" s="138" t="str">
        <f t="shared" si="1144"/>
        <v/>
      </c>
      <c r="G12980" s="153" t="s">
        <v>51</v>
      </c>
      <c r="H12980" s="160"/>
      <c r="I12980" s="160" t="s">
        <v>47</v>
      </c>
      <c r="J12980" s="160" t="s">
        <v>52</v>
      </c>
      <c r="K12980" s="160" t="s">
        <v>27</v>
      </c>
      <c r="L12980" s="154" t="str">
        <f>IF(OpenLCAbasic!K12980="CTUh", "Fill in Manually",IF(OR(K12980="Unit", K12980=""), "", INDEX(LookUps!$E$5:$E$12, MATCH(OpenLCAbasic!K12980,LookUps!$D$5:$D$12,0))))</f>
        <v/>
      </c>
      <c r="M12980" s="154" t="str">
        <f t="shared" si="1140"/>
        <v>____Process__</v>
      </c>
    </row>
    <row r="12981" spans="1:13" s="120" customFormat="1" x14ac:dyDescent="0.25">
      <c r="A12981" s="119"/>
      <c r="B12981" s="138" t="str">
        <f t="shared" si="1141"/>
        <v>Aerated Static Pile</v>
      </c>
      <c r="C12981" s="138" t="str">
        <f t="shared" si="1142"/>
        <v>Without Amendment</v>
      </c>
      <c r="D12981" s="138" t="str">
        <f t="shared" si="1145"/>
        <v>Base_High</v>
      </c>
      <c r="E12981" s="138" t="str">
        <f t="shared" si="1143"/>
        <v>Low</v>
      </c>
      <c r="F12981" s="138" t="str">
        <f t="shared" si="1144"/>
        <v>Upgraded</v>
      </c>
      <c r="G12981" s="153"/>
      <c r="H12981" s="210">
        <v>1.0347999999999999</v>
      </c>
      <c r="I12981" s="160" t="s">
        <v>58</v>
      </c>
      <c r="J12981" s="160">
        <v>0.24279999999999999</v>
      </c>
      <c r="K12981" s="160" t="s">
        <v>23</v>
      </c>
      <c r="L12981" s="154" t="str">
        <f>IF(OpenLCAbasic!K12981="CTUh", "Fill in Manually",IF(OR(K12981="Unit", K12981=""), "", INDEX(LookUps!$E$5:$E$12, MATCH(OpenLCAbasic!K12981,LookUps!$D$5:$D$12,0))))</f>
        <v>Global Warming Potential (GWP) - kg CO2 eq</v>
      </c>
      <c r="M12981" s="154" t="str">
        <f t="shared" si="1140"/>
        <v>Low_Base_High_Upgraded_Global Warming Potential (GWP) - kg CO2 eq_Pre-Anoxic &amp; Swing tank; wastewater treatment unit; at updated plant - US_Without Amendment_Aerated Static Pile</v>
      </c>
    </row>
    <row r="12982" spans="1:13" s="120" customFormat="1" x14ac:dyDescent="0.25">
      <c r="A12982" s="119"/>
      <c r="B12982" s="138" t="str">
        <f t="shared" si="1141"/>
        <v>Aerated Static Pile</v>
      </c>
      <c r="C12982" s="138" t="str">
        <f t="shared" si="1142"/>
        <v>Without Amendment</v>
      </c>
      <c r="D12982" s="138" t="str">
        <f t="shared" si="1145"/>
        <v>Base_High</v>
      </c>
      <c r="E12982" s="138" t="str">
        <f t="shared" si="1143"/>
        <v>Low</v>
      </c>
      <c r="F12982" s="138" t="str">
        <f t="shared" si="1144"/>
        <v>Upgraded</v>
      </c>
      <c r="G12982" s="153"/>
      <c r="H12982" s="210">
        <v>0.71689999999999998</v>
      </c>
      <c r="I12982" s="160" t="s">
        <v>55</v>
      </c>
      <c r="J12982" s="160">
        <v>0.16822000000000001</v>
      </c>
      <c r="K12982" s="160" t="s">
        <v>23</v>
      </c>
      <c r="L12982" s="154" t="str">
        <f>IF(OpenLCAbasic!K12982="CTUh", "Fill in Manually",IF(OR(K12982="Unit", K12982=""), "", INDEX(LookUps!$E$5:$E$12, MATCH(OpenLCAbasic!K12982,LookUps!$D$5:$D$12,0))))</f>
        <v>Global Warming Potential (GWP) - kg CO2 eq</v>
      </c>
      <c r="M12982" s="154" t="str">
        <f t="shared" si="1140"/>
        <v>Low_Base_High_Upgraded_Global Warming Potential (GWP) - kg CO2 eq_Aeration Tanks; wastewater treatment unit; at updated plant - US_Without Amendment_Aerated Static Pile</v>
      </c>
    </row>
    <row r="12983" spans="1:13" s="120" customFormat="1" x14ac:dyDescent="0.25">
      <c r="A12983" s="119"/>
      <c r="B12983" s="138" t="str">
        <f t="shared" si="1141"/>
        <v>Aerated Static Pile</v>
      </c>
      <c r="C12983" s="138" t="str">
        <f t="shared" si="1142"/>
        <v>Without Amendment</v>
      </c>
      <c r="D12983" s="138" t="str">
        <f t="shared" si="1145"/>
        <v>Base_High</v>
      </c>
      <c r="E12983" s="138" t="str">
        <f t="shared" si="1143"/>
        <v>Low</v>
      </c>
      <c r="F12983" s="138" t="str">
        <f t="shared" si="1144"/>
        <v>Upgraded</v>
      </c>
      <c r="G12983" s="153"/>
      <c r="H12983" s="210">
        <v>0.4365</v>
      </c>
      <c r="I12983" s="160" t="s">
        <v>167</v>
      </c>
      <c r="J12983" s="160">
        <v>0.10241</v>
      </c>
      <c r="K12983" s="160" t="s">
        <v>23</v>
      </c>
      <c r="L12983" s="154" t="str">
        <f>IF(OpenLCAbasic!K12983="CTUh", "Fill in Manually",IF(OR(K12983="Unit", K12983=""), "", INDEX(LookUps!$E$5:$E$12, MATCH(OpenLCAbasic!K12983,LookUps!$D$5:$D$12,0))))</f>
        <v>Global Warming Potential (GWP) - kg CO2 eq</v>
      </c>
      <c r="M12983" s="154" t="str">
        <f t="shared" si="1140"/>
        <v>Low_Base_High_Upgraded_Global Warming Potential (GWP) - kg CO2 eq_Waste Receiving and Holding; wastewater treatment unit; at updated plant - US_Without Amendment_Aerated Static Pile</v>
      </c>
    </row>
    <row r="12984" spans="1:13" s="120" customFormat="1" x14ac:dyDescent="0.25">
      <c r="A12984" s="119"/>
      <c r="B12984" s="138" t="str">
        <f t="shared" si="1141"/>
        <v>Aerated Static Pile</v>
      </c>
      <c r="C12984" s="138" t="str">
        <f t="shared" si="1142"/>
        <v>Without Amendment</v>
      </c>
      <c r="D12984" s="138" t="str">
        <f t="shared" si="1145"/>
        <v>Base_High</v>
      </c>
      <c r="E12984" s="138" t="str">
        <f t="shared" si="1143"/>
        <v>Low</v>
      </c>
      <c r="F12984" s="138" t="str">
        <f t="shared" si="1144"/>
        <v>Upgraded</v>
      </c>
      <c r="G12984" s="153"/>
      <c r="H12984" s="210">
        <v>0.24329999999999999</v>
      </c>
      <c r="I12984" s="160" t="s">
        <v>54</v>
      </c>
      <c r="J12984" s="160">
        <v>5.7079999999999999E-2</v>
      </c>
      <c r="K12984" s="160" t="s">
        <v>23</v>
      </c>
      <c r="L12984" s="154" t="str">
        <f>IF(OpenLCAbasic!K12984="CTUh", "Fill in Manually",IF(OR(K12984="Unit", K12984=""), "", INDEX(LookUps!$E$5:$E$12, MATCH(OpenLCAbasic!K12984,LookUps!$D$5:$D$12,0))))</f>
        <v>Global Warming Potential (GWP) - kg CO2 eq</v>
      </c>
      <c r="M12984" s="154" t="str">
        <f t="shared" si="1140"/>
        <v>Low_Base_High_Upgraded_Global Warming Potential (GWP) - kg CO2 eq_Clear Cove Primary Clarification; wastewater treatment unit; at updated plant - US_Without Amendment_Aerated Static Pile</v>
      </c>
    </row>
    <row r="12985" spans="1:13" s="120" customFormat="1" x14ac:dyDescent="0.25">
      <c r="A12985" s="119"/>
      <c r="B12985" s="138" t="str">
        <f t="shared" si="1141"/>
        <v>Aerated Static Pile</v>
      </c>
      <c r="C12985" s="138" t="str">
        <f t="shared" si="1142"/>
        <v>Without Amendment</v>
      </c>
      <c r="D12985" s="138" t="str">
        <f t="shared" si="1145"/>
        <v>Base_High</v>
      </c>
      <c r="E12985" s="138" t="str">
        <f t="shared" si="1143"/>
        <v>Low</v>
      </c>
      <c r="F12985" s="138" t="str">
        <f t="shared" si="1144"/>
        <v>Upgraded</v>
      </c>
      <c r="G12985" s="153"/>
      <c r="H12985" s="210">
        <v>0.2243</v>
      </c>
      <c r="I12985" s="160" t="s">
        <v>48</v>
      </c>
      <c r="J12985" s="160">
        <v>5.2639999999999999E-2</v>
      </c>
      <c r="K12985" s="160" t="s">
        <v>23</v>
      </c>
      <c r="L12985" s="154" t="str">
        <f>IF(OpenLCAbasic!K12985="CTUh", "Fill in Manually",IF(OR(K12985="Unit", K12985=""), "", INDEX(LookUps!$E$5:$E$12, MATCH(OpenLCAbasic!K12985,LookUps!$D$5:$D$12,0))))</f>
        <v>Global Warming Potential (GWP) - kg CO2 eq</v>
      </c>
      <c r="M12985" s="154" t="str">
        <f t="shared" si="1140"/>
        <v>Low_Base_High_Upgraded_Global Warming Potential (GWP) - kg CO2 eq_Effluent release; wastewater treatment unit; at surface water; m3 wastewater - US_Without Amendment_Aerated Static Pile</v>
      </c>
    </row>
    <row r="12986" spans="1:13" s="120" customFormat="1" x14ac:dyDescent="0.25">
      <c r="A12986" s="119"/>
      <c r="B12986" s="138" t="str">
        <f t="shared" si="1141"/>
        <v>Aerated Static Pile</v>
      </c>
      <c r="C12986" s="138" t="str">
        <f t="shared" si="1142"/>
        <v>Without Amendment</v>
      </c>
      <c r="D12986" s="138" t="str">
        <f t="shared" si="1145"/>
        <v>Base_High</v>
      </c>
      <c r="E12986" s="138" t="str">
        <f t="shared" si="1143"/>
        <v>Low</v>
      </c>
      <c r="F12986" s="138" t="str">
        <f t="shared" si="1144"/>
        <v>Upgraded</v>
      </c>
      <c r="G12986" s="153"/>
      <c r="H12986" s="210">
        <v>0.22</v>
      </c>
      <c r="I12986" s="160" t="s">
        <v>435</v>
      </c>
      <c r="J12986" s="160">
        <v>5.1630000000000002E-2</v>
      </c>
      <c r="K12986" s="160" t="s">
        <v>23</v>
      </c>
      <c r="L12986" s="154" t="str">
        <f>IF(OpenLCAbasic!K12986="CTUh", "Fill in Manually",IF(OR(K12986="Unit", K12986=""), "", INDEX(LookUps!$E$5:$E$12, MATCH(OpenLCAbasic!K12986,LookUps!$D$5:$D$12,0))))</f>
        <v>Global Warming Potential (GWP) - kg CO2 eq</v>
      </c>
      <c r="M12986" s="154" t="str">
        <f t="shared" si="1140"/>
        <v>Low_Base_High_Upgraded_Global Warming Potential (GWP) - kg CO2 eq_Biosolids composting; aerated static pile; wastewater treatment unit; at updated plant - US_Without Amendment_Aerated Static Pile</v>
      </c>
    </row>
    <row r="12987" spans="1:13" s="120" customFormat="1" x14ac:dyDescent="0.25">
      <c r="A12987" s="119"/>
      <c r="B12987" s="138" t="str">
        <f t="shared" si="1141"/>
        <v>Aerated Static Pile</v>
      </c>
      <c r="C12987" s="138" t="str">
        <f t="shared" si="1142"/>
        <v>Without Amendment</v>
      </c>
      <c r="D12987" s="138" t="str">
        <f t="shared" si="1145"/>
        <v>Base_High</v>
      </c>
      <c r="E12987" s="138" t="str">
        <f t="shared" si="1143"/>
        <v>Low</v>
      </c>
      <c r="F12987" s="138" t="str">
        <f t="shared" si="1144"/>
        <v>Upgraded</v>
      </c>
      <c r="G12987" s="153"/>
      <c r="H12987" s="210">
        <v>0.2152</v>
      </c>
      <c r="I12987" s="160" t="s">
        <v>147</v>
      </c>
      <c r="J12987" s="160">
        <v>5.0500000000000003E-2</v>
      </c>
      <c r="K12987" s="160" t="s">
        <v>23</v>
      </c>
      <c r="L12987" s="154" t="str">
        <f>IF(OpenLCAbasic!K12987="CTUh", "Fill in Manually",IF(OR(K12987="Unit", K12987=""), "", INDEX(LookUps!$E$5:$E$12, MATCH(OpenLCAbasic!K12987,LookUps!$D$5:$D$12,0))))</f>
        <v>Global Warming Potential (GWP) - kg CO2 eq</v>
      </c>
      <c r="M12987" s="154" t="str">
        <f t="shared" si="1140"/>
        <v>Low_Base_High_Upgraded_Global Warming Potential (GWP) - kg CO2 eq_Influent Pump Station; wastewater treatment unit; at updated plant - US_Without Amendment_Aerated Static Pile</v>
      </c>
    </row>
    <row r="12988" spans="1:13" s="120" customFormat="1" x14ac:dyDescent="0.25">
      <c r="A12988" s="119"/>
      <c r="B12988" s="138" t="str">
        <f t="shared" si="1141"/>
        <v>Aerated Static Pile</v>
      </c>
      <c r="C12988" s="138" t="str">
        <f t="shared" si="1142"/>
        <v>Without Amendment</v>
      </c>
      <c r="D12988" s="138" t="str">
        <f t="shared" si="1145"/>
        <v>Base_High</v>
      </c>
      <c r="E12988" s="138" t="str">
        <f t="shared" si="1143"/>
        <v>Low</v>
      </c>
      <c r="F12988" s="138" t="str">
        <f t="shared" si="1144"/>
        <v>Upgraded</v>
      </c>
      <c r="G12988" s="153"/>
      <c r="H12988" s="210">
        <v>0.14169999999999999</v>
      </c>
      <c r="I12988" s="160" t="s">
        <v>53</v>
      </c>
      <c r="J12988" s="160">
        <v>3.3259999999999998E-2</v>
      </c>
      <c r="K12988" s="160" t="s">
        <v>23</v>
      </c>
      <c r="L12988" s="154" t="str">
        <f>IF(OpenLCAbasic!K12988="CTUh", "Fill in Manually",IF(OR(K12988="Unit", K12988=""), "", INDEX(LookUps!$E$5:$E$12, MATCH(OpenLCAbasic!K12988,LookUps!$D$5:$D$12,0))))</f>
        <v>Global Warming Potential (GWP) - kg CO2 eq</v>
      </c>
      <c r="M12988" s="154" t="str">
        <f t="shared" si="1140"/>
        <v>Low_Base_High_Upgraded_Global Warming Potential (GWP) - kg CO2 eq_Wet Well and Sump Station; wastewater treatment unit; at updated plant - US_Without Amendment_Aerated Static Pile</v>
      </c>
    </row>
    <row r="12989" spans="1:13" s="120" customFormat="1" x14ac:dyDescent="0.25">
      <c r="A12989" s="119"/>
      <c r="B12989" s="138" t="str">
        <f t="shared" si="1141"/>
        <v>Aerated Static Pile</v>
      </c>
      <c r="C12989" s="138" t="str">
        <f t="shared" si="1142"/>
        <v>Without Amendment</v>
      </c>
      <c r="D12989" s="138" t="str">
        <f t="shared" si="1145"/>
        <v>Base_High</v>
      </c>
      <c r="E12989" s="138" t="str">
        <f t="shared" si="1143"/>
        <v>Low</v>
      </c>
      <c r="F12989" s="138" t="str">
        <f t="shared" si="1144"/>
        <v>Upgraded</v>
      </c>
      <c r="G12989" s="153"/>
      <c r="H12989" s="210">
        <v>6.2E-2</v>
      </c>
      <c r="I12989" s="160" t="s">
        <v>57</v>
      </c>
      <c r="J12989" s="160">
        <v>1.455E-2</v>
      </c>
      <c r="K12989" s="160" t="s">
        <v>23</v>
      </c>
      <c r="L12989" s="154" t="str">
        <f>IF(OpenLCAbasic!K12989="CTUh", "Fill in Manually",IF(OR(K12989="Unit", K12989=""), "", INDEX(LookUps!$E$5:$E$12, MATCH(OpenLCAbasic!K12989,LookUps!$D$5:$D$12,0))))</f>
        <v>Global Warming Potential (GWP) - kg CO2 eq</v>
      </c>
      <c r="M12989" s="154" t="str">
        <f t="shared" si="1140"/>
        <v>Low_Base_High_Upgraded_Global Warming Potential (GWP) - kg CO2 eq_Gravity Belt Thickener; wastewater treatment unit; at updated plant - US_Without Amendment_Aerated Static Pile</v>
      </c>
    </row>
    <row r="12990" spans="1:13" s="120" customFormat="1" x14ac:dyDescent="0.25">
      <c r="A12990" s="119"/>
      <c r="B12990" s="138" t="str">
        <f t="shared" si="1141"/>
        <v>Aerated Static Pile</v>
      </c>
      <c r="C12990" s="138" t="str">
        <f t="shared" si="1142"/>
        <v>Without Amendment</v>
      </c>
      <c r="D12990" s="138" t="str">
        <f t="shared" si="1145"/>
        <v>Base_High</v>
      </c>
      <c r="E12990" s="138" t="str">
        <f t="shared" si="1143"/>
        <v>Low</v>
      </c>
      <c r="F12990" s="138" t="str">
        <f t="shared" si="1144"/>
        <v>Upgraded</v>
      </c>
      <c r="G12990" s="153"/>
      <c r="H12990" s="210">
        <v>5.7599999999999998E-2</v>
      </c>
      <c r="I12990" s="160" t="s">
        <v>128</v>
      </c>
      <c r="J12990" s="160">
        <v>1.3509999999999999E-2</v>
      </c>
      <c r="K12990" s="160" t="s">
        <v>23</v>
      </c>
      <c r="L12990" s="154" t="str">
        <f>IF(OpenLCAbasic!K12990="CTUh", "Fill in Manually",IF(OR(K12990="Unit", K12990=""), "", INDEX(LookUps!$E$5:$E$12, MATCH(OpenLCAbasic!K12990,LookUps!$D$5:$D$12,0))))</f>
        <v>Global Warming Potential (GWP) - kg CO2 eq</v>
      </c>
      <c r="M12990" s="154" t="str">
        <f t="shared" si="1140"/>
        <v>Low_Base_High_Upgraded_Global Warming Potential (GWP) - kg CO2 eq_Wastewater collection; operation and infrastructure; m3 wastewater_Without Amendment_Aerated Static Pile</v>
      </c>
    </row>
    <row r="12991" spans="1:13" s="120" customFormat="1" x14ac:dyDescent="0.25">
      <c r="A12991" s="119"/>
      <c r="B12991" s="138" t="str">
        <f t="shared" si="1141"/>
        <v>Aerated Static Pile</v>
      </c>
      <c r="C12991" s="138" t="str">
        <f t="shared" si="1142"/>
        <v>Without Amendment</v>
      </c>
      <c r="D12991" s="138" t="str">
        <f t="shared" si="1145"/>
        <v>Base_High</v>
      </c>
      <c r="E12991" s="138" t="str">
        <f t="shared" si="1143"/>
        <v>Low</v>
      </c>
      <c r="F12991" s="138" t="str">
        <f t="shared" si="1144"/>
        <v>Upgraded</v>
      </c>
      <c r="G12991" s="153"/>
      <c r="H12991" s="210">
        <v>5.2499999999999998E-2</v>
      </c>
      <c r="I12991" s="160" t="s">
        <v>60</v>
      </c>
      <c r="J12991" s="160">
        <v>1.231E-2</v>
      </c>
      <c r="K12991" s="160" t="s">
        <v>23</v>
      </c>
      <c r="L12991" s="154" t="str">
        <f>IF(OpenLCAbasic!K12991="CTUh", "Fill in Manually",IF(OR(K12991="Unit", K12991=""), "", INDEX(LookUps!$E$5:$E$12, MATCH(OpenLCAbasic!K12991,LookUps!$D$5:$D$12,0))))</f>
        <v>Global Warming Potential (GWP) - kg CO2 eq</v>
      </c>
      <c r="M12991" s="154" t="str">
        <f t="shared" si="1140"/>
        <v>Low_Base_High_Upgraded_Global Warming Potential (GWP) - kg CO2 eq_Belt filter press; wastewater treatment unit; at updated plant - US_Without Amendment_Aerated Static Pile</v>
      </c>
    </row>
    <row r="12992" spans="1:13" s="120" customFormat="1" x14ac:dyDescent="0.25">
      <c r="A12992" s="119"/>
      <c r="B12992" s="138" t="str">
        <f t="shared" si="1141"/>
        <v>Aerated Static Pile</v>
      </c>
      <c r="C12992" s="138" t="str">
        <f t="shared" si="1142"/>
        <v>Without Amendment</v>
      </c>
      <c r="D12992" s="138" t="str">
        <f t="shared" si="1145"/>
        <v>Base_High</v>
      </c>
      <c r="E12992" s="138" t="str">
        <f t="shared" si="1143"/>
        <v>Low</v>
      </c>
      <c r="F12992" s="138" t="str">
        <f t="shared" si="1144"/>
        <v>Upgraded</v>
      </c>
      <c r="G12992" s="153"/>
      <c r="H12992" s="210">
        <v>3.5400000000000001E-2</v>
      </c>
      <c r="I12992" s="160" t="s">
        <v>148</v>
      </c>
      <c r="J12992" s="160">
        <v>8.3000000000000001E-3</v>
      </c>
      <c r="K12992" s="160" t="s">
        <v>23</v>
      </c>
      <c r="L12992" s="154" t="str">
        <f>IF(OpenLCAbasic!K12992="CTUh", "Fill in Manually",IF(OR(K12992="Unit", K12992=""), "", INDEX(LookUps!$E$5:$E$12, MATCH(OpenLCAbasic!K12992,LookUps!$D$5:$D$12,0))))</f>
        <v>Global Warming Potential (GWP) - kg CO2 eq</v>
      </c>
      <c r="M12992" s="154" t="str">
        <f t="shared" si="1140"/>
        <v>Low_Base_High_Upgraded_Global Warming Potential (GWP) - kg CO2 eq_Control Building; at upgraded wastewater treatment plant - US_Without Amendment_Aerated Static Pile</v>
      </c>
    </row>
    <row r="12993" spans="1:13" s="120" customFormat="1" x14ac:dyDescent="0.25">
      <c r="A12993" s="119"/>
      <c r="B12993" s="138" t="str">
        <f t="shared" si="1141"/>
        <v>Aerated Static Pile</v>
      </c>
      <c r="C12993" s="138" t="str">
        <f t="shared" si="1142"/>
        <v>Without Amendment</v>
      </c>
      <c r="D12993" s="138" t="str">
        <f t="shared" si="1145"/>
        <v>Base_High</v>
      </c>
      <c r="E12993" s="138" t="str">
        <f t="shared" si="1143"/>
        <v>Low</v>
      </c>
      <c r="F12993" s="138" t="str">
        <f t="shared" si="1144"/>
        <v>Upgraded</v>
      </c>
      <c r="G12993" s="153"/>
      <c r="H12993" s="210">
        <v>2.1499999999999998E-2</v>
      </c>
      <c r="I12993" s="160" t="s">
        <v>59</v>
      </c>
      <c r="J12993" s="160">
        <v>5.0400000000000002E-3</v>
      </c>
      <c r="K12993" s="160" t="s">
        <v>23</v>
      </c>
      <c r="L12993" s="154" t="str">
        <f>IF(OpenLCAbasic!K12993="CTUh", "Fill in Manually",IF(OR(K12993="Unit", K12993=""), "", INDEX(LookUps!$E$5:$E$12, MATCH(OpenLCAbasic!K12993,LookUps!$D$5:$D$12,0))))</f>
        <v>Global Warming Potential (GWP) - kg CO2 eq</v>
      </c>
      <c r="M12993" s="154" t="str">
        <f t="shared" si="1140"/>
        <v>Low_Base_High_Upgraded_Global Warming Potential (GWP) - kg CO2 eq_Blend Tank; wastewater treatment unit; at updated plant - US_Without Amendment_Aerated Static Pile</v>
      </c>
    </row>
    <row r="12994" spans="1:13" s="120" customFormat="1" x14ac:dyDescent="0.25">
      <c r="A12994" s="119"/>
      <c r="B12994" s="138" t="str">
        <f t="shared" si="1141"/>
        <v>Aerated Static Pile</v>
      </c>
      <c r="C12994" s="138" t="str">
        <f t="shared" si="1142"/>
        <v>Without Amendment</v>
      </c>
      <c r="D12994" s="138" t="str">
        <f t="shared" si="1145"/>
        <v>Base_High</v>
      </c>
      <c r="E12994" s="138" t="str">
        <f t="shared" si="1143"/>
        <v>Low</v>
      </c>
      <c r="F12994" s="138" t="str">
        <f t="shared" si="1144"/>
        <v>Upgraded</v>
      </c>
      <c r="G12994" s="153"/>
      <c r="H12994" s="210">
        <v>1.03E-2</v>
      </c>
      <c r="I12994" s="160" t="s">
        <v>168</v>
      </c>
      <c r="J12994" s="160">
        <v>2.4099999999999998E-3</v>
      </c>
      <c r="K12994" s="160" t="s">
        <v>23</v>
      </c>
      <c r="L12994" s="154" t="str">
        <f>IF(OpenLCAbasic!K12994="CTUh", "Fill in Manually",IF(OR(K12994="Unit", K12994=""), "", INDEX(LookUps!$E$5:$E$12, MATCH(OpenLCAbasic!K12994,LookUps!$D$5:$D$12,0))))</f>
        <v>Global Warming Potential (GWP) - kg CO2 eq</v>
      </c>
      <c r="M12994" s="154" t="str">
        <f t="shared" si="1140"/>
        <v>Low_Base_High_Upgraded_Global Warming Potential (GWP) - kg CO2 eq_ClearCove SCP; wastewater treatment unit; at updated plant - US_Without Amendment_Aerated Static Pile</v>
      </c>
    </row>
    <row r="12995" spans="1:13" s="120" customFormat="1" x14ac:dyDescent="0.25">
      <c r="A12995" s="119"/>
      <c r="B12995" s="138" t="str">
        <f t="shared" si="1141"/>
        <v>Aerated Static Pile</v>
      </c>
      <c r="C12995" s="138" t="str">
        <f t="shared" si="1142"/>
        <v>Without Amendment</v>
      </c>
      <c r="D12995" s="138" t="str">
        <f t="shared" si="1145"/>
        <v>Base_High</v>
      </c>
      <c r="E12995" s="138" t="str">
        <f t="shared" si="1143"/>
        <v>Low</v>
      </c>
      <c r="F12995" s="138" t="str">
        <f t="shared" si="1144"/>
        <v>Upgraded</v>
      </c>
      <c r="G12995" s="153"/>
      <c r="H12995" s="210">
        <v>-0.55800000000000005</v>
      </c>
      <c r="I12995" s="160" t="s">
        <v>62</v>
      </c>
      <c r="J12995" s="160">
        <v>-0.13092000000000001</v>
      </c>
      <c r="K12995" s="160" t="s">
        <v>23</v>
      </c>
      <c r="L12995" s="154" t="str">
        <f>IF(OpenLCAbasic!K12995="CTUh", "Fill in Manually",IF(OR(K12995="Unit", K12995=""), "", INDEX(LookUps!$E$5:$E$12, MATCH(OpenLCAbasic!K12995,LookUps!$D$5:$D$12,0))))</f>
        <v>Global Warming Potential (GWP) - kg CO2 eq</v>
      </c>
      <c r="M12995" s="154" t="str">
        <f t="shared" si="1140"/>
        <v>Low_Base_High_Upgraded_Global Warming Potential (GWP) - kg CO2 eq_Land application of compost; wastewater treatment unit; at updated plant - US_Without Amendment_Aerated Static Pile</v>
      </c>
    </row>
    <row r="12996" spans="1:13" s="120" customFormat="1" x14ac:dyDescent="0.25">
      <c r="A12996" s="119"/>
      <c r="B12996" s="138" t="str">
        <f t="shared" si="1141"/>
        <v>Aerated Static Pile</v>
      </c>
      <c r="C12996" s="138" t="str">
        <f t="shared" si="1142"/>
        <v>Without Amendment</v>
      </c>
      <c r="D12996" s="138" t="str">
        <f t="shared" si="1145"/>
        <v>Base_High</v>
      </c>
      <c r="E12996" s="138" t="str">
        <f t="shared" si="1143"/>
        <v>Low</v>
      </c>
      <c r="F12996" s="138" t="str">
        <f t="shared" si="1144"/>
        <v>Upgraded</v>
      </c>
      <c r="G12996" s="153"/>
      <c r="H12996" s="210">
        <v>-1.9138999999999999</v>
      </c>
      <c r="I12996" s="160" t="s">
        <v>149</v>
      </c>
      <c r="J12996" s="160">
        <v>-0.44908999999999999</v>
      </c>
      <c r="K12996" s="160" t="s">
        <v>23</v>
      </c>
      <c r="L12996" s="154" t="str">
        <f>IF(OpenLCAbasic!K12996="CTUh", "Fill in Manually",IF(OR(K12996="Unit", K12996=""), "", INDEX(LookUps!$E$5:$E$12, MATCH(OpenLCAbasic!K12996,LookUps!$D$5:$D$12,0))))</f>
        <v>Global Warming Potential (GWP) - kg CO2 eq</v>
      </c>
      <c r="M12996" s="154" t="str">
        <f t="shared" ref="M12996:M13059" si="1146">CONCATENATE(E12996,"_",D12996,"_",F12996,"_",L12996, "_",I12996,"_", C12996,"_", B12996)</f>
        <v>Low_Base_High_Upgraded_Global Warming Potential (GWP) - kg CO2 eq_Anaerobic Digestion; wastewater treatment unit; at updated plant - US_Without Amendment_Aerated Static Pile</v>
      </c>
    </row>
    <row r="12997" spans="1:13" s="120" customFormat="1" x14ac:dyDescent="0.25">
      <c r="A12997" s="119"/>
      <c r="B12997" s="138" t="str">
        <f t="shared" si="1141"/>
        <v/>
      </c>
      <c r="C12997" s="138" t="str">
        <f t="shared" si="1142"/>
        <v/>
      </c>
      <c r="D12997" s="138" t="str">
        <f t="shared" si="1145"/>
        <v/>
      </c>
      <c r="E12997" s="138" t="str">
        <f t="shared" si="1143"/>
        <v/>
      </c>
      <c r="F12997" s="138" t="str">
        <f t="shared" si="1144"/>
        <v/>
      </c>
      <c r="G12997" s="153" t="s">
        <v>51</v>
      </c>
      <c r="H12997" s="160"/>
      <c r="I12997" s="160" t="s">
        <v>47</v>
      </c>
      <c r="J12997" s="160" t="s">
        <v>52</v>
      </c>
      <c r="K12997" s="160" t="s">
        <v>27</v>
      </c>
      <c r="L12997" s="154" t="str">
        <f>IF(OpenLCAbasic!K12997="CTUh", "Fill in Manually",IF(OR(K12997="Unit", K12997=""), "", INDEX(LookUps!$E$5:$E$12, MATCH(OpenLCAbasic!K12997,LookUps!$D$5:$D$12,0))))</f>
        <v/>
      </c>
      <c r="M12997" s="154" t="str">
        <f t="shared" si="1146"/>
        <v>____Process__</v>
      </c>
    </row>
    <row r="12998" spans="1:13" s="120" customFormat="1" x14ac:dyDescent="0.25">
      <c r="A12998" s="119"/>
      <c r="B12998" s="138" t="str">
        <f t="shared" si="1141"/>
        <v>Aerated Static Pile</v>
      </c>
      <c r="C12998" s="138" t="str">
        <f t="shared" si="1142"/>
        <v>Without Amendment</v>
      </c>
      <c r="D12998" s="138" t="str">
        <f t="shared" si="1145"/>
        <v>Base_High</v>
      </c>
      <c r="E12998" s="138" t="str">
        <f t="shared" si="1143"/>
        <v>Low</v>
      </c>
      <c r="F12998" s="138" t="str">
        <f t="shared" si="1144"/>
        <v>Upgraded</v>
      </c>
      <c r="G12998" s="153"/>
      <c r="H12998" s="210">
        <v>13.896599999999999</v>
      </c>
      <c r="I12998" s="160" t="s">
        <v>55</v>
      </c>
      <c r="J12998" s="160">
        <v>2.33E-3</v>
      </c>
      <c r="K12998" s="160" t="s">
        <v>145</v>
      </c>
      <c r="L12998" s="154" t="str">
        <f>IF(OpenLCAbasic!K12998="CTUh", "Fill in Manually",IF(OR(K12998="Unit", K12998=""), "", INDEX(LookUps!$E$5:$E$12, MATCH(OpenLCAbasic!K12998,LookUps!$D$5:$D$12,0))))</f>
        <v>Particulate Matter Formation Potential (PMFP) - kg PM2.5 eq</v>
      </c>
      <c r="M12998" s="154" t="str">
        <f t="shared" si="1146"/>
        <v>Low_Base_High_Upgraded_Particulate Matter Formation Potential (PMFP) - kg PM2.5 eq_Aeration Tanks; wastewater treatment unit; at updated plant - US_Without Amendment_Aerated Static Pile</v>
      </c>
    </row>
    <row r="12999" spans="1:13" s="120" customFormat="1" x14ac:dyDescent="0.25">
      <c r="A12999" s="119"/>
      <c r="B12999" s="138" t="str">
        <f t="shared" si="1141"/>
        <v>Aerated Static Pile</v>
      </c>
      <c r="C12999" s="138" t="str">
        <f t="shared" si="1142"/>
        <v>Without Amendment</v>
      </c>
      <c r="D12999" s="138" t="str">
        <f t="shared" si="1145"/>
        <v>Base_High</v>
      </c>
      <c r="E12999" s="138" t="str">
        <f t="shared" si="1143"/>
        <v>Low</v>
      </c>
      <c r="F12999" s="138" t="str">
        <f t="shared" si="1144"/>
        <v>Upgraded</v>
      </c>
      <c r="G12999" s="153"/>
      <c r="H12999" s="210">
        <v>4.0438000000000001</v>
      </c>
      <c r="I12999" s="160" t="s">
        <v>54</v>
      </c>
      <c r="J12999" s="160">
        <v>6.8000000000000005E-4</v>
      </c>
      <c r="K12999" s="160" t="s">
        <v>145</v>
      </c>
      <c r="L12999" s="154" t="str">
        <f>IF(OpenLCAbasic!K12999="CTUh", "Fill in Manually",IF(OR(K12999="Unit", K12999=""), "", INDEX(LookUps!$E$5:$E$12, MATCH(OpenLCAbasic!K12999,LookUps!$D$5:$D$12,0))))</f>
        <v>Particulate Matter Formation Potential (PMFP) - kg PM2.5 eq</v>
      </c>
      <c r="M12999" s="154" t="str">
        <f t="shared" si="1146"/>
        <v>Low_Base_High_Upgraded_Particulate Matter Formation Potential (PMFP) - kg PM2.5 eq_Clear Cove Primary Clarification; wastewater treatment unit; at updated plant - US_Without Amendment_Aerated Static Pile</v>
      </c>
    </row>
    <row r="13000" spans="1:13" s="120" customFormat="1" x14ac:dyDescent="0.25">
      <c r="A13000" s="119"/>
      <c r="B13000" s="138" t="str">
        <f t="shared" si="1141"/>
        <v>Aerated Static Pile</v>
      </c>
      <c r="C13000" s="138" t="str">
        <f t="shared" si="1142"/>
        <v>Without Amendment</v>
      </c>
      <c r="D13000" s="138" t="str">
        <f t="shared" si="1145"/>
        <v>Base_High</v>
      </c>
      <c r="E13000" s="138" t="str">
        <f t="shared" si="1143"/>
        <v>Low</v>
      </c>
      <c r="F13000" s="138" t="str">
        <f t="shared" si="1144"/>
        <v>Upgraded</v>
      </c>
      <c r="G13000" s="153"/>
      <c r="H13000" s="210">
        <v>3.4937999999999998</v>
      </c>
      <c r="I13000" s="160" t="s">
        <v>58</v>
      </c>
      <c r="J13000" s="160">
        <v>5.9000000000000003E-4</v>
      </c>
      <c r="K13000" s="160" t="s">
        <v>145</v>
      </c>
      <c r="L13000" s="154" t="str">
        <f>IF(OpenLCAbasic!K13000="CTUh", "Fill in Manually",IF(OR(K13000="Unit", K13000=""), "", INDEX(LookUps!$E$5:$E$12, MATCH(OpenLCAbasic!K13000,LookUps!$D$5:$D$12,0))))</f>
        <v>Particulate Matter Formation Potential (PMFP) - kg PM2.5 eq</v>
      </c>
      <c r="M13000" s="154" t="str">
        <f t="shared" si="1146"/>
        <v>Low_Base_High_Upgraded_Particulate Matter Formation Potential (PMFP) - kg PM2.5 eq_Pre-Anoxic &amp; Swing tank; wastewater treatment unit; at updated plant - US_Without Amendment_Aerated Static Pile</v>
      </c>
    </row>
    <row r="13001" spans="1:13" s="120" customFormat="1" x14ac:dyDescent="0.25">
      <c r="A13001" s="119"/>
      <c r="B13001" s="138" t="str">
        <f t="shared" si="1141"/>
        <v>Aerated Static Pile</v>
      </c>
      <c r="C13001" s="138" t="str">
        <f t="shared" si="1142"/>
        <v>Without Amendment</v>
      </c>
      <c r="D13001" s="138" t="str">
        <f t="shared" si="1145"/>
        <v>Base_High</v>
      </c>
      <c r="E13001" s="138" t="str">
        <f t="shared" si="1143"/>
        <v>Low</v>
      </c>
      <c r="F13001" s="138" t="str">
        <f t="shared" si="1144"/>
        <v>Upgraded</v>
      </c>
      <c r="G13001" s="153"/>
      <c r="H13001" s="210">
        <v>2.7785000000000002</v>
      </c>
      <c r="I13001" s="160" t="s">
        <v>53</v>
      </c>
      <c r="J13001" s="160">
        <v>4.6999999999999999E-4</v>
      </c>
      <c r="K13001" s="160" t="s">
        <v>145</v>
      </c>
      <c r="L13001" s="154" t="str">
        <f>IF(OpenLCAbasic!K13001="CTUh", "Fill in Manually",IF(OR(K13001="Unit", K13001=""), "", INDEX(LookUps!$E$5:$E$12, MATCH(OpenLCAbasic!K13001,LookUps!$D$5:$D$12,0))))</f>
        <v>Particulate Matter Formation Potential (PMFP) - kg PM2.5 eq</v>
      </c>
      <c r="M13001" s="154" t="str">
        <f t="shared" si="1146"/>
        <v>Low_Base_High_Upgraded_Particulate Matter Formation Potential (PMFP) - kg PM2.5 eq_Wet Well and Sump Station; wastewater treatment unit; at updated plant - US_Without Amendment_Aerated Static Pile</v>
      </c>
    </row>
    <row r="13002" spans="1:13" s="120" customFormat="1" x14ac:dyDescent="0.25">
      <c r="A13002" s="119"/>
      <c r="B13002" s="138" t="str">
        <f t="shared" si="1141"/>
        <v>Aerated Static Pile</v>
      </c>
      <c r="C13002" s="138" t="str">
        <f t="shared" si="1142"/>
        <v>Without Amendment</v>
      </c>
      <c r="D13002" s="138" t="str">
        <f t="shared" si="1145"/>
        <v>Base_High</v>
      </c>
      <c r="E13002" s="138" t="str">
        <f t="shared" si="1143"/>
        <v>Low</v>
      </c>
      <c r="F13002" s="138" t="str">
        <f t="shared" si="1144"/>
        <v>Upgraded</v>
      </c>
      <c r="G13002" s="153"/>
      <c r="H13002" s="210">
        <v>1.7811999999999999</v>
      </c>
      <c r="I13002" s="160" t="s">
        <v>167</v>
      </c>
      <c r="J13002" s="160">
        <v>2.9999999999999997E-4</v>
      </c>
      <c r="K13002" s="160" t="s">
        <v>145</v>
      </c>
      <c r="L13002" s="154" t="str">
        <f>IF(OpenLCAbasic!K13002="CTUh", "Fill in Manually",IF(OR(K13002="Unit", K13002=""), "", INDEX(LookUps!$E$5:$E$12, MATCH(OpenLCAbasic!K13002,LookUps!$D$5:$D$12,0))))</f>
        <v>Particulate Matter Formation Potential (PMFP) - kg PM2.5 eq</v>
      </c>
      <c r="M13002" s="154" t="str">
        <f t="shared" si="1146"/>
        <v>Low_Base_High_Upgraded_Particulate Matter Formation Potential (PMFP) - kg PM2.5 eq_Waste Receiving and Holding; wastewater treatment unit; at updated plant - US_Without Amendment_Aerated Static Pile</v>
      </c>
    </row>
    <row r="13003" spans="1:13" s="120" customFormat="1" x14ac:dyDescent="0.25">
      <c r="A13003" s="119"/>
      <c r="B13003" s="138" t="str">
        <f t="shared" si="1141"/>
        <v>Aerated Static Pile</v>
      </c>
      <c r="C13003" s="138" t="str">
        <f t="shared" si="1142"/>
        <v>Without Amendment</v>
      </c>
      <c r="D13003" s="138" t="str">
        <f t="shared" si="1145"/>
        <v>Base_High</v>
      </c>
      <c r="E13003" s="138" t="str">
        <f t="shared" si="1143"/>
        <v>Low</v>
      </c>
      <c r="F13003" s="138" t="str">
        <f t="shared" si="1144"/>
        <v>Upgraded</v>
      </c>
      <c r="G13003" s="153"/>
      <c r="H13003" s="210">
        <v>1.5882000000000001</v>
      </c>
      <c r="I13003" s="160" t="s">
        <v>147</v>
      </c>
      <c r="J13003" s="160">
        <v>2.7E-4</v>
      </c>
      <c r="K13003" s="160" t="s">
        <v>145</v>
      </c>
      <c r="L13003" s="154" t="str">
        <f>IF(OpenLCAbasic!K13003="CTUh", "Fill in Manually",IF(OR(K13003="Unit", K13003=""), "", INDEX(LookUps!$E$5:$E$12, MATCH(OpenLCAbasic!K13003,LookUps!$D$5:$D$12,0))))</f>
        <v>Particulate Matter Formation Potential (PMFP) - kg PM2.5 eq</v>
      </c>
      <c r="M13003" s="154" t="str">
        <f t="shared" si="1146"/>
        <v>Low_Base_High_Upgraded_Particulate Matter Formation Potential (PMFP) - kg PM2.5 eq_Influent Pump Station; wastewater treatment unit; at updated plant - US_Without Amendment_Aerated Static Pile</v>
      </c>
    </row>
    <row r="13004" spans="1:13" s="120" customFormat="1" x14ac:dyDescent="0.25">
      <c r="A13004" s="119"/>
      <c r="B13004" s="138" t="str">
        <f t="shared" si="1141"/>
        <v>Aerated Static Pile</v>
      </c>
      <c r="C13004" s="138" t="str">
        <f t="shared" si="1142"/>
        <v>Without Amendment</v>
      </c>
      <c r="D13004" s="138" t="str">
        <f t="shared" si="1145"/>
        <v>Base_High</v>
      </c>
      <c r="E13004" s="138" t="str">
        <f t="shared" si="1143"/>
        <v>Low</v>
      </c>
      <c r="F13004" s="138" t="str">
        <f t="shared" si="1144"/>
        <v>Upgraded</v>
      </c>
      <c r="G13004" s="153"/>
      <c r="H13004" s="210">
        <v>1.2994000000000001</v>
      </c>
      <c r="I13004" s="160" t="s">
        <v>435</v>
      </c>
      <c r="J13004" s="160">
        <v>2.2000000000000001E-4</v>
      </c>
      <c r="K13004" s="160" t="s">
        <v>145</v>
      </c>
      <c r="L13004" s="154" t="str">
        <f>IF(OpenLCAbasic!K13004="CTUh", "Fill in Manually",IF(OR(K13004="Unit", K13004=""), "", INDEX(LookUps!$E$5:$E$12, MATCH(OpenLCAbasic!K13004,LookUps!$D$5:$D$12,0))))</f>
        <v>Particulate Matter Formation Potential (PMFP) - kg PM2.5 eq</v>
      </c>
      <c r="M13004" s="154" t="str">
        <f t="shared" si="1146"/>
        <v>Low_Base_High_Upgraded_Particulate Matter Formation Potential (PMFP) - kg PM2.5 eq_Biosolids composting; aerated static pile; wastewater treatment unit; at updated plant - US_Without Amendment_Aerated Static Pile</v>
      </c>
    </row>
    <row r="13005" spans="1:13" s="120" customFormat="1" x14ac:dyDescent="0.25">
      <c r="A13005" s="119"/>
      <c r="B13005" s="138" t="str">
        <f t="shared" si="1141"/>
        <v>Aerated Static Pile</v>
      </c>
      <c r="C13005" s="138" t="str">
        <f t="shared" si="1142"/>
        <v>Without Amendment</v>
      </c>
      <c r="D13005" s="138" t="str">
        <f t="shared" si="1145"/>
        <v>Base_High</v>
      </c>
      <c r="E13005" s="138" t="str">
        <f t="shared" si="1143"/>
        <v>Low</v>
      </c>
      <c r="F13005" s="138" t="str">
        <f t="shared" si="1144"/>
        <v>Upgraded</v>
      </c>
      <c r="G13005" s="153"/>
      <c r="H13005" s="210">
        <v>0.99119999999999997</v>
      </c>
      <c r="I13005" s="160" t="s">
        <v>128</v>
      </c>
      <c r="J13005" s="160">
        <v>1.7000000000000001E-4</v>
      </c>
      <c r="K13005" s="160" t="s">
        <v>145</v>
      </c>
      <c r="L13005" s="154" t="str">
        <f>IF(OpenLCAbasic!K13005="CTUh", "Fill in Manually",IF(OR(K13005="Unit", K13005=""), "", INDEX(LookUps!$E$5:$E$12, MATCH(OpenLCAbasic!K13005,LookUps!$D$5:$D$12,0))))</f>
        <v>Particulate Matter Formation Potential (PMFP) - kg PM2.5 eq</v>
      </c>
      <c r="M13005" s="154" t="str">
        <f t="shared" si="1146"/>
        <v>Low_Base_High_Upgraded_Particulate Matter Formation Potential (PMFP) - kg PM2.5 eq_Wastewater collection; operation and infrastructure; m3 wastewater_Without Amendment_Aerated Static Pile</v>
      </c>
    </row>
    <row r="13006" spans="1:13" s="120" customFormat="1" x14ac:dyDescent="0.25">
      <c r="A13006" s="119"/>
      <c r="B13006" s="138" t="str">
        <f t="shared" si="1141"/>
        <v>Aerated Static Pile</v>
      </c>
      <c r="C13006" s="138" t="str">
        <f t="shared" si="1142"/>
        <v>Without Amendment</v>
      </c>
      <c r="D13006" s="138" t="str">
        <f t="shared" si="1145"/>
        <v>Base_High</v>
      </c>
      <c r="E13006" s="138" t="str">
        <f t="shared" si="1143"/>
        <v>Low</v>
      </c>
      <c r="F13006" s="138" t="str">
        <f t="shared" si="1144"/>
        <v>Upgraded</v>
      </c>
      <c r="G13006" s="153"/>
      <c r="H13006" s="210">
        <v>0.59909999999999997</v>
      </c>
      <c r="I13006" s="160" t="s">
        <v>60</v>
      </c>
      <c r="J13006" s="160">
        <v>1E-4</v>
      </c>
      <c r="K13006" s="160" t="s">
        <v>145</v>
      </c>
      <c r="L13006" s="154" t="str">
        <f>IF(OpenLCAbasic!K13006="CTUh", "Fill in Manually",IF(OR(K13006="Unit", K13006=""), "", INDEX(LookUps!$E$5:$E$12, MATCH(OpenLCAbasic!K13006,LookUps!$D$5:$D$12,0))))</f>
        <v>Particulate Matter Formation Potential (PMFP) - kg PM2.5 eq</v>
      </c>
      <c r="M13006" s="154" t="str">
        <f t="shared" si="1146"/>
        <v>Low_Base_High_Upgraded_Particulate Matter Formation Potential (PMFP) - kg PM2.5 eq_Belt filter press; wastewater treatment unit; at updated plant - US_Without Amendment_Aerated Static Pile</v>
      </c>
    </row>
    <row r="13007" spans="1:13" s="120" customFormat="1" x14ac:dyDescent="0.25">
      <c r="A13007" s="119"/>
      <c r="B13007" s="138" t="str">
        <f t="shared" si="1141"/>
        <v>Aerated Static Pile</v>
      </c>
      <c r="C13007" s="138" t="str">
        <f t="shared" si="1142"/>
        <v>Without Amendment</v>
      </c>
      <c r="D13007" s="138" t="str">
        <f t="shared" si="1145"/>
        <v>Base_High</v>
      </c>
      <c r="E13007" s="138" t="str">
        <f t="shared" si="1143"/>
        <v>Low</v>
      </c>
      <c r="F13007" s="138" t="str">
        <f t="shared" si="1144"/>
        <v>Upgraded</v>
      </c>
      <c r="G13007" s="153"/>
      <c r="H13007" s="210">
        <v>0.5665</v>
      </c>
      <c r="I13007" s="160" t="s">
        <v>57</v>
      </c>
      <c r="J13007" s="211">
        <v>9.5153800000000004E-5</v>
      </c>
      <c r="K13007" s="160" t="s">
        <v>145</v>
      </c>
      <c r="L13007" s="154" t="str">
        <f>IF(OpenLCAbasic!K13007="CTUh", "Fill in Manually",IF(OR(K13007="Unit", K13007=""), "", INDEX(LookUps!$E$5:$E$12, MATCH(OpenLCAbasic!K13007,LookUps!$D$5:$D$12,0))))</f>
        <v>Particulate Matter Formation Potential (PMFP) - kg PM2.5 eq</v>
      </c>
      <c r="M13007" s="154" t="str">
        <f t="shared" si="1146"/>
        <v>Low_Base_High_Upgraded_Particulate Matter Formation Potential (PMFP) - kg PM2.5 eq_Gravity Belt Thickener; wastewater treatment unit; at updated plant - US_Without Amendment_Aerated Static Pile</v>
      </c>
    </row>
    <row r="13008" spans="1:13" s="120" customFormat="1" x14ac:dyDescent="0.25">
      <c r="A13008" s="119"/>
      <c r="B13008" s="138" t="str">
        <f t="shared" si="1141"/>
        <v>Aerated Static Pile</v>
      </c>
      <c r="C13008" s="138" t="str">
        <f t="shared" si="1142"/>
        <v>Without Amendment</v>
      </c>
      <c r="D13008" s="138" t="str">
        <f t="shared" si="1145"/>
        <v>Base_High</v>
      </c>
      <c r="E13008" s="138" t="str">
        <f t="shared" si="1143"/>
        <v>Low</v>
      </c>
      <c r="F13008" s="138" t="str">
        <f t="shared" si="1144"/>
        <v>Upgraded</v>
      </c>
      <c r="G13008" s="153"/>
      <c r="H13008" s="210">
        <v>0.41639999999999999</v>
      </c>
      <c r="I13008" s="160" t="s">
        <v>59</v>
      </c>
      <c r="J13008" s="211">
        <v>6.9942200000000003E-5</v>
      </c>
      <c r="K13008" s="160" t="s">
        <v>145</v>
      </c>
      <c r="L13008" s="154" t="str">
        <f>IF(OpenLCAbasic!K13008="CTUh", "Fill in Manually",IF(OR(K13008="Unit", K13008=""), "", INDEX(LookUps!$E$5:$E$12, MATCH(OpenLCAbasic!K13008,LookUps!$D$5:$D$12,0))))</f>
        <v>Particulate Matter Formation Potential (PMFP) - kg PM2.5 eq</v>
      </c>
      <c r="M13008" s="154" t="str">
        <f t="shared" si="1146"/>
        <v>Low_Base_High_Upgraded_Particulate Matter Formation Potential (PMFP) - kg PM2.5 eq_Blend Tank; wastewater treatment unit; at updated plant - US_Without Amendment_Aerated Static Pile</v>
      </c>
    </row>
    <row r="13009" spans="1:13" s="120" customFormat="1" x14ac:dyDescent="0.25">
      <c r="A13009" s="119"/>
      <c r="B13009" s="138" t="str">
        <f t="shared" si="1141"/>
        <v>Aerated Static Pile</v>
      </c>
      <c r="C13009" s="138" t="str">
        <f t="shared" si="1142"/>
        <v>Without Amendment</v>
      </c>
      <c r="D13009" s="138" t="str">
        <f t="shared" si="1145"/>
        <v>Base_High</v>
      </c>
      <c r="E13009" s="138" t="str">
        <f t="shared" si="1143"/>
        <v>Low</v>
      </c>
      <c r="F13009" s="138" t="str">
        <f t="shared" si="1144"/>
        <v>Upgraded</v>
      </c>
      <c r="G13009" s="153"/>
      <c r="H13009" s="210">
        <v>0.29749999999999999</v>
      </c>
      <c r="I13009" s="160" t="s">
        <v>48</v>
      </c>
      <c r="J13009" s="211">
        <v>4.99741E-5</v>
      </c>
      <c r="K13009" s="160" t="s">
        <v>145</v>
      </c>
      <c r="L13009" s="154" t="str">
        <f>IF(OpenLCAbasic!K13009="CTUh", "Fill in Manually",IF(OR(K13009="Unit", K13009=""), "", INDEX(LookUps!$E$5:$E$12, MATCH(OpenLCAbasic!K13009,LookUps!$D$5:$D$12,0))))</f>
        <v>Particulate Matter Formation Potential (PMFP) - kg PM2.5 eq</v>
      </c>
      <c r="M13009" s="154" t="str">
        <f t="shared" si="1146"/>
        <v>Low_Base_High_Upgraded_Particulate Matter Formation Potential (PMFP) - kg PM2.5 eq_Effluent release; wastewater treatment unit; at surface water; m3 wastewater - US_Without Amendment_Aerated Static Pile</v>
      </c>
    </row>
    <row r="13010" spans="1:13" s="120" customFormat="1" x14ac:dyDescent="0.25">
      <c r="A13010" s="119"/>
      <c r="B13010" s="138" t="str">
        <f t="shared" si="1141"/>
        <v>Aerated Static Pile</v>
      </c>
      <c r="C13010" s="138" t="str">
        <f t="shared" si="1142"/>
        <v>Without Amendment</v>
      </c>
      <c r="D13010" s="138" t="str">
        <f t="shared" si="1145"/>
        <v>Base_High</v>
      </c>
      <c r="E13010" s="138" t="str">
        <f t="shared" si="1143"/>
        <v>Low</v>
      </c>
      <c r="F13010" s="138" t="str">
        <f t="shared" si="1144"/>
        <v>Upgraded</v>
      </c>
      <c r="G13010" s="153"/>
      <c r="H13010" s="210">
        <v>0.20580000000000001</v>
      </c>
      <c r="I13010" s="160" t="s">
        <v>168</v>
      </c>
      <c r="J13010" s="211">
        <v>3.4562199999999999E-5</v>
      </c>
      <c r="K13010" s="160" t="s">
        <v>145</v>
      </c>
      <c r="L13010" s="154" t="str">
        <f>IF(OpenLCAbasic!K13010="CTUh", "Fill in Manually",IF(OR(K13010="Unit", K13010=""), "", INDEX(LookUps!$E$5:$E$12, MATCH(OpenLCAbasic!K13010,LookUps!$D$5:$D$12,0))))</f>
        <v>Particulate Matter Formation Potential (PMFP) - kg PM2.5 eq</v>
      </c>
      <c r="M13010" s="154" t="str">
        <f t="shared" si="1146"/>
        <v>Low_Base_High_Upgraded_Particulate Matter Formation Potential (PMFP) - kg PM2.5 eq_ClearCove SCP; wastewater treatment unit; at updated plant - US_Without Amendment_Aerated Static Pile</v>
      </c>
    </row>
    <row r="13011" spans="1:13" s="120" customFormat="1" x14ac:dyDescent="0.25">
      <c r="A13011" s="119"/>
      <c r="B13011" s="138" t="str">
        <f t="shared" si="1141"/>
        <v>Aerated Static Pile</v>
      </c>
      <c r="C13011" s="138" t="str">
        <f t="shared" si="1142"/>
        <v>Without Amendment</v>
      </c>
      <c r="D13011" s="138" t="str">
        <f t="shared" si="1145"/>
        <v>Base_High</v>
      </c>
      <c r="E13011" s="138" t="str">
        <f t="shared" si="1143"/>
        <v>Low</v>
      </c>
      <c r="F13011" s="138" t="str">
        <f t="shared" si="1144"/>
        <v>Upgraded</v>
      </c>
      <c r="G13011" s="153"/>
      <c r="H13011" s="210">
        <v>0.20119999999999999</v>
      </c>
      <c r="I13011" s="160" t="s">
        <v>62</v>
      </c>
      <c r="J13011" s="211">
        <v>3.3796800000000001E-5</v>
      </c>
      <c r="K13011" s="160" t="s">
        <v>145</v>
      </c>
      <c r="L13011" s="154" t="str">
        <f>IF(OpenLCAbasic!K13011="CTUh", "Fill in Manually",IF(OR(K13011="Unit", K13011=""), "", INDEX(LookUps!$E$5:$E$12, MATCH(OpenLCAbasic!K13011,LookUps!$D$5:$D$12,0))))</f>
        <v>Particulate Matter Formation Potential (PMFP) - kg PM2.5 eq</v>
      </c>
      <c r="M13011" s="154" t="str">
        <f t="shared" si="1146"/>
        <v>Low_Base_High_Upgraded_Particulate Matter Formation Potential (PMFP) - kg PM2.5 eq_Land application of compost; wastewater treatment unit; at updated plant - US_Without Amendment_Aerated Static Pile</v>
      </c>
    </row>
    <row r="13012" spans="1:13" s="120" customFormat="1" x14ac:dyDescent="0.25">
      <c r="A13012" s="119"/>
      <c r="B13012" s="138" t="str">
        <f t="shared" si="1141"/>
        <v>Aerated Static Pile</v>
      </c>
      <c r="C13012" s="138" t="str">
        <f t="shared" si="1142"/>
        <v>Without Amendment</v>
      </c>
      <c r="D13012" s="138" t="str">
        <f t="shared" si="1145"/>
        <v>Base_High</v>
      </c>
      <c r="E13012" s="138" t="str">
        <f t="shared" si="1143"/>
        <v>Low</v>
      </c>
      <c r="F13012" s="138" t="str">
        <f t="shared" si="1144"/>
        <v>Upgraded</v>
      </c>
      <c r="G13012" s="153"/>
      <c r="H13012" s="210">
        <v>5.2499999999999998E-2</v>
      </c>
      <c r="I13012" s="160" t="s">
        <v>148</v>
      </c>
      <c r="J13012" s="211">
        <v>8.8212999999999997E-6</v>
      </c>
      <c r="K13012" s="160" t="s">
        <v>145</v>
      </c>
      <c r="L13012" s="154" t="str">
        <f>IF(OpenLCAbasic!K13012="CTUh", "Fill in Manually",IF(OR(K13012="Unit", K13012=""), "", INDEX(LookUps!$E$5:$E$12, MATCH(OpenLCAbasic!K13012,LookUps!$D$5:$D$12,0))))</f>
        <v>Particulate Matter Formation Potential (PMFP) - kg PM2.5 eq</v>
      </c>
      <c r="M13012" s="154" t="str">
        <f t="shared" si="1146"/>
        <v>Low_Base_High_Upgraded_Particulate Matter Formation Potential (PMFP) - kg PM2.5 eq_Control Building; at upgraded wastewater treatment plant - US_Without Amendment_Aerated Static Pile</v>
      </c>
    </row>
    <row r="13013" spans="1:13" s="120" customFormat="1" x14ac:dyDescent="0.25">
      <c r="A13013" s="119"/>
      <c r="B13013" s="138" t="str">
        <f t="shared" si="1141"/>
        <v>Aerated Static Pile</v>
      </c>
      <c r="C13013" s="138" t="str">
        <f t="shared" si="1142"/>
        <v>Without Amendment</v>
      </c>
      <c r="D13013" s="138" t="str">
        <f t="shared" si="1145"/>
        <v>Base_High</v>
      </c>
      <c r="E13013" s="138" t="str">
        <f t="shared" si="1143"/>
        <v>Low</v>
      </c>
      <c r="F13013" s="138" t="str">
        <f t="shared" si="1144"/>
        <v>Upgraded</v>
      </c>
      <c r="G13013" s="153"/>
      <c r="H13013" s="210">
        <v>-31.2118</v>
      </c>
      <c r="I13013" s="160" t="s">
        <v>149</v>
      </c>
      <c r="J13013" s="160">
        <v>-5.2399999999999999E-3</v>
      </c>
      <c r="K13013" s="160" t="s">
        <v>145</v>
      </c>
      <c r="L13013" s="154" t="str">
        <f>IF(OpenLCAbasic!K13013="CTUh", "Fill in Manually",IF(OR(K13013="Unit", K13013=""), "", INDEX(LookUps!$E$5:$E$12, MATCH(OpenLCAbasic!K13013,LookUps!$D$5:$D$12,0))))</f>
        <v>Particulate Matter Formation Potential (PMFP) - kg PM2.5 eq</v>
      </c>
      <c r="M13013" s="154" t="str">
        <f t="shared" si="1146"/>
        <v>Low_Base_High_Upgraded_Particulate Matter Formation Potential (PMFP) - kg PM2.5 eq_Anaerobic Digestion; wastewater treatment unit; at updated plant - US_Without Amendment_Aerated Static Pile</v>
      </c>
    </row>
    <row r="13014" spans="1:13" s="120" customFormat="1" x14ac:dyDescent="0.25">
      <c r="A13014" s="119"/>
      <c r="B13014" s="138" t="str">
        <f t="shared" si="1141"/>
        <v/>
      </c>
      <c r="C13014" s="138" t="str">
        <f t="shared" si="1142"/>
        <v/>
      </c>
      <c r="D13014" s="138" t="str">
        <f t="shared" si="1145"/>
        <v/>
      </c>
      <c r="E13014" s="138" t="str">
        <f t="shared" si="1143"/>
        <v/>
      </c>
      <c r="F13014" s="138" t="str">
        <f t="shared" si="1144"/>
        <v/>
      </c>
      <c r="G13014" s="153" t="s">
        <v>51</v>
      </c>
      <c r="H13014" s="160"/>
      <c r="I13014" s="160" t="s">
        <v>47</v>
      </c>
      <c r="J13014" s="160" t="s">
        <v>52</v>
      </c>
      <c r="K13014" s="160" t="s">
        <v>27</v>
      </c>
      <c r="L13014" s="154" t="str">
        <f>IF(OpenLCAbasic!K13014="CTUh", "Fill in Manually",IF(OR(K13014="Unit", K13014=""), "", INDEX(LookUps!$E$5:$E$12, MATCH(OpenLCAbasic!K13014,LookUps!$D$5:$D$12,0))))</f>
        <v/>
      </c>
      <c r="M13014" s="154" t="str">
        <f t="shared" si="1146"/>
        <v>____Process__</v>
      </c>
    </row>
    <row r="13015" spans="1:13" s="120" customFormat="1" x14ac:dyDescent="0.25">
      <c r="A13015" s="119"/>
      <c r="B13015" s="138" t="str">
        <f t="shared" si="1141"/>
        <v>Aerated Static Pile</v>
      </c>
      <c r="C13015" s="138" t="str">
        <f t="shared" si="1142"/>
        <v>Without Amendment</v>
      </c>
      <c r="D13015" s="138" t="str">
        <f t="shared" si="1145"/>
        <v>Base_High</v>
      </c>
      <c r="E13015" s="138" t="str">
        <f t="shared" si="1143"/>
        <v>Low</v>
      </c>
      <c r="F13015" s="138" t="str">
        <f t="shared" si="1144"/>
        <v>Upgraded</v>
      </c>
      <c r="G13015" s="153"/>
      <c r="H13015" s="210">
        <v>12.590999999999999</v>
      </c>
      <c r="I13015" s="160" t="s">
        <v>55</v>
      </c>
      <c r="J13015" s="160">
        <v>0.16577</v>
      </c>
      <c r="K13015" s="160" t="s">
        <v>25</v>
      </c>
      <c r="L13015" s="154" t="str">
        <f>IF(OpenLCAbasic!K13015="CTUh", "Fill in Manually",IF(OR(K13015="Unit", K13015=""), "", INDEX(LookUps!$E$5:$E$12, MATCH(OpenLCAbasic!K13015,LookUps!$D$5:$D$12,0))))</f>
        <v>Smog Formation Potential (SFP) - kg O3 eq</v>
      </c>
      <c r="M13015" s="154" t="str">
        <f t="shared" si="1146"/>
        <v>Low_Base_High_Upgraded_Smog Formation Potential (SFP) - kg O3 eq_Aeration Tanks; wastewater treatment unit; at updated plant - US_Without Amendment_Aerated Static Pile</v>
      </c>
    </row>
    <row r="13016" spans="1:13" s="120" customFormat="1" x14ac:dyDescent="0.25">
      <c r="A13016" s="119"/>
      <c r="B13016" s="138" t="str">
        <f t="shared" si="1141"/>
        <v>Aerated Static Pile</v>
      </c>
      <c r="C13016" s="138" t="str">
        <f t="shared" si="1142"/>
        <v>Without Amendment</v>
      </c>
      <c r="D13016" s="138" t="str">
        <f t="shared" si="1145"/>
        <v>Base_High</v>
      </c>
      <c r="E13016" s="138" t="str">
        <f t="shared" si="1143"/>
        <v>Low</v>
      </c>
      <c r="F13016" s="138" t="str">
        <f t="shared" si="1144"/>
        <v>Upgraded</v>
      </c>
      <c r="G13016" s="153"/>
      <c r="H13016" s="210">
        <v>3.6514000000000002</v>
      </c>
      <c r="I13016" s="160" t="s">
        <v>54</v>
      </c>
      <c r="J13016" s="160">
        <v>4.8070000000000002E-2</v>
      </c>
      <c r="K13016" s="160" t="s">
        <v>25</v>
      </c>
      <c r="L13016" s="154" t="str">
        <f>IF(OpenLCAbasic!K13016="CTUh", "Fill in Manually",IF(OR(K13016="Unit", K13016=""), "", INDEX(LookUps!$E$5:$E$12, MATCH(OpenLCAbasic!K13016,LookUps!$D$5:$D$12,0))))</f>
        <v>Smog Formation Potential (SFP) - kg O3 eq</v>
      </c>
      <c r="M13016" s="154" t="str">
        <f t="shared" si="1146"/>
        <v>Low_Base_High_Upgraded_Smog Formation Potential (SFP) - kg O3 eq_Clear Cove Primary Clarification; wastewater treatment unit; at updated plant - US_Without Amendment_Aerated Static Pile</v>
      </c>
    </row>
    <row r="13017" spans="1:13" s="120" customFormat="1" x14ac:dyDescent="0.25">
      <c r="A13017" s="119"/>
      <c r="B13017" s="138" t="str">
        <f t="shared" si="1141"/>
        <v>Aerated Static Pile</v>
      </c>
      <c r="C13017" s="138" t="str">
        <f t="shared" si="1142"/>
        <v>Without Amendment</v>
      </c>
      <c r="D13017" s="138" t="str">
        <f t="shared" si="1145"/>
        <v>Base_High</v>
      </c>
      <c r="E13017" s="138" t="str">
        <f t="shared" si="1143"/>
        <v>Low</v>
      </c>
      <c r="F13017" s="138" t="str">
        <f t="shared" si="1144"/>
        <v>Upgraded</v>
      </c>
      <c r="G13017" s="153"/>
      <c r="H13017" s="210">
        <v>3.1732999999999998</v>
      </c>
      <c r="I13017" s="160" t="s">
        <v>58</v>
      </c>
      <c r="J13017" s="160">
        <v>4.1779999999999998E-2</v>
      </c>
      <c r="K13017" s="160" t="s">
        <v>25</v>
      </c>
      <c r="L13017" s="154" t="str">
        <f>IF(OpenLCAbasic!K13017="CTUh", "Fill in Manually",IF(OR(K13017="Unit", K13017=""), "", INDEX(LookUps!$E$5:$E$12, MATCH(OpenLCAbasic!K13017,LookUps!$D$5:$D$12,0))))</f>
        <v>Smog Formation Potential (SFP) - kg O3 eq</v>
      </c>
      <c r="M13017" s="154" t="str">
        <f t="shared" si="1146"/>
        <v>Low_Base_High_Upgraded_Smog Formation Potential (SFP) - kg O3 eq_Pre-Anoxic &amp; Swing tank; wastewater treatment unit; at updated plant - US_Without Amendment_Aerated Static Pile</v>
      </c>
    </row>
    <row r="13018" spans="1:13" s="120" customFormat="1" x14ac:dyDescent="0.25">
      <c r="A13018" s="119"/>
      <c r="B13018" s="138" t="str">
        <f t="shared" si="1141"/>
        <v>Aerated Static Pile</v>
      </c>
      <c r="C13018" s="138" t="str">
        <f t="shared" si="1142"/>
        <v>Without Amendment</v>
      </c>
      <c r="D13018" s="138" t="str">
        <f t="shared" si="1145"/>
        <v>Base_High</v>
      </c>
      <c r="E13018" s="138" t="str">
        <f t="shared" si="1143"/>
        <v>Low</v>
      </c>
      <c r="F13018" s="138" t="str">
        <f t="shared" si="1144"/>
        <v>Upgraded</v>
      </c>
      <c r="G13018" s="153"/>
      <c r="H13018" s="210">
        <v>2.516</v>
      </c>
      <c r="I13018" s="160" t="s">
        <v>53</v>
      </c>
      <c r="J13018" s="160">
        <v>3.313E-2</v>
      </c>
      <c r="K13018" s="160" t="s">
        <v>25</v>
      </c>
      <c r="L13018" s="154" t="str">
        <f>IF(OpenLCAbasic!K13018="CTUh", "Fill in Manually",IF(OR(K13018="Unit", K13018=""), "", INDEX(LookUps!$E$5:$E$12, MATCH(OpenLCAbasic!K13018,LookUps!$D$5:$D$12,0))))</f>
        <v>Smog Formation Potential (SFP) - kg O3 eq</v>
      </c>
      <c r="M13018" s="154" t="str">
        <f t="shared" si="1146"/>
        <v>Low_Base_High_Upgraded_Smog Formation Potential (SFP) - kg O3 eq_Wet Well and Sump Station; wastewater treatment unit; at updated plant - US_Without Amendment_Aerated Static Pile</v>
      </c>
    </row>
    <row r="13019" spans="1:13" s="120" customFormat="1" x14ac:dyDescent="0.25">
      <c r="A13019" s="119"/>
      <c r="B13019" s="138" t="str">
        <f t="shared" si="1141"/>
        <v>Aerated Static Pile</v>
      </c>
      <c r="C13019" s="138" t="str">
        <f t="shared" si="1142"/>
        <v>Without Amendment</v>
      </c>
      <c r="D13019" s="138" t="str">
        <f t="shared" si="1145"/>
        <v>Base_High</v>
      </c>
      <c r="E13019" s="138" t="str">
        <f t="shared" si="1143"/>
        <v>Low</v>
      </c>
      <c r="F13019" s="138" t="str">
        <f t="shared" si="1144"/>
        <v>Upgraded</v>
      </c>
      <c r="G13019" s="153"/>
      <c r="H13019" s="210">
        <v>2.1225999999999998</v>
      </c>
      <c r="I13019" s="160" t="s">
        <v>167</v>
      </c>
      <c r="J13019" s="160">
        <v>2.7949999999999999E-2</v>
      </c>
      <c r="K13019" s="160" t="s">
        <v>25</v>
      </c>
      <c r="L13019" s="154" t="str">
        <f>IF(OpenLCAbasic!K13019="CTUh", "Fill in Manually",IF(OR(K13019="Unit", K13019=""), "", INDEX(LookUps!$E$5:$E$12, MATCH(OpenLCAbasic!K13019,LookUps!$D$5:$D$12,0))))</f>
        <v>Smog Formation Potential (SFP) - kg O3 eq</v>
      </c>
      <c r="M13019" s="154" t="str">
        <f t="shared" si="1146"/>
        <v>Low_Base_High_Upgraded_Smog Formation Potential (SFP) - kg O3 eq_Waste Receiving and Holding; wastewater treatment unit; at updated plant - US_Without Amendment_Aerated Static Pile</v>
      </c>
    </row>
    <row r="13020" spans="1:13" s="120" customFormat="1" x14ac:dyDescent="0.25">
      <c r="A13020" s="119"/>
      <c r="B13020" s="138" t="str">
        <f t="shared" si="1141"/>
        <v>Aerated Static Pile</v>
      </c>
      <c r="C13020" s="138" t="str">
        <f t="shared" si="1142"/>
        <v>Without Amendment</v>
      </c>
      <c r="D13020" s="138" t="str">
        <f t="shared" si="1145"/>
        <v>Base_High</v>
      </c>
      <c r="E13020" s="138" t="str">
        <f t="shared" si="1143"/>
        <v>Low</v>
      </c>
      <c r="F13020" s="138" t="str">
        <f t="shared" si="1144"/>
        <v>Upgraded</v>
      </c>
      <c r="G13020" s="153"/>
      <c r="H13020" s="210">
        <v>1.4734</v>
      </c>
      <c r="I13020" s="160" t="s">
        <v>147</v>
      </c>
      <c r="J13020" s="160">
        <v>1.9400000000000001E-2</v>
      </c>
      <c r="K13020" s="160" t="s">
        <v>25</v>
      </c>
      <c r="L13020" s="154" t="str">
        <f>IF(OpenLCAbasic!K13020="CTUh", "Fill in Manually",IF(OR(K13020="Unit", K13020=""), "", INDEX(LookUps!$E$5:$E$12, MATCH(OpenLCAbasic!K13020,LookUps!$D$5:$D$12,0))))</f>
        <v>Smog Formation Potential (SFP) - kg O3 eq</v>
      </c>
      <c r="M13020" s="154" t="str">
        <f t="shared" si="1146"/>
        <v>Low_Base_High_Upgraded_Smog Formation Potential (SFP) - kg O3 eq_Influent Pump Station; wastewater treatment unit; at updated plant - US_Without Amendment_Aerated Static Pile</v>
      </c>
    </row>
    <row r="13021" spans="1:13" s="120" customFormat="1" x14ac:dyDescent="0.25">
      <c r="A13021" s="119"/>
      <c r="B13021" s="138" t="str">
        <f t="shared" si="1141"/>
        <v>Aerated Static Pile</v>
      </c>
      <c r="C13021" s="138" t="str">
        <f t="shared" si="1142"/>
        <v>Without Amendment</v>
      </c>
      <c r="D13021" s="138" t="str">
        <f t="shared" si="1145"/>
        <v>Base_High</v>
      </c>
      <c r="E13021" s="138" t="str">
        <f t="shared" si="1143"/>
        <v>Low</v>
      </c>
      <c r="F13021" s="138" t="str">
        <f t="shared" si="1144"/>
        <v>Upgraded</v>
      </c>
      <c r="G13021" s="153"/>
      <c r="H13021" s="210">
        <v>1.1759999999999999</v>
      </c>
      <c r="I13021" s="160" t="s">
        <v>435</v>
      </c>
      <c r="J13021" s="160">
        <v>1.5480000000000001E-2</v>
      </c>
      <c r="K13021" s="160" t="s">
        <v>25</v>
      </c>
      <c r="L13021" s="154" t="str">
        <f>IF(OpenLCAbasic!K13021="CTUh", "Fill in Manually",IF(OR(K13021="Unit", K13021=""), "", INDEX(LookUps!$E$5:$E$12, MATCH(OpenLCAbasic!K13021,LookUps!$D$5:$D$12,0))))</f>
        <v>Smog Formation Potential (SFP) - kg O3 eq</v>
      </c>
      <c r="M13021" s="154" t="str">
        <f t="shared" si="1146"/>
        <v>Low_Base_High_Upgraded_Smog Formation Potential (SFP) - kg O3 eq_Biosolids composting; aerated static pile; wastewater treatment unit; at updated plant - US_Without Amendment_Aerated Static Pile</v>
      </c>
    </row>
    <row r="13022" spans="1:13" s="120" customFormat="1" x14ac:dyDescent="0.25">
      <c r="A13022" s="119"/>
      <c r="B13022" s="138" t="str">
        <f t="shared" si="1141"/>
        <v>Aerated Static Pile</v>
      </c>
      <c r="C13022" s="138" t="str">
        <f t="shared" si="1142"/>
        <v>Without Amendment</v>
      </c>
      <c r="D13022" s="138" t="str">
        <f t="shared" si="1145"/>
        <v>Base_High</v>
      </c>
      <c r="E13022" s="138" t="str">
        <f t="shared" si="1143"/>
        <v>Low</v>
      </c>
      <c r="F13022" s="138" t="str">
        <f t="shared" si="1144"/>
        <v>Upgraded</v>
      </c>
      <c r="G13022" s="153"/>
      <c r="H13022" s="210">
        <v>0.9052</v>
      </c>
      <c r="I13022" s="160" t="s">
        <v>128</v>
      </c>
      <c r="J13022" s="160">
        <v>1.192E-2</v>
      </c>
      <c r="K13022" s="160" t="s">
        <v>25</v>
      </c>
      <c r="L13022" s="154" t="str">
        <f>IF(OpenLCAbasic!K13022="CTUh", "Fill in Manually",IF(OR(K13022="Unit", K13022=""), "", INDEX(LookUps!$E$5:$E$12, MATCH(OpenLCAbasic!K13022,LookUps!$D$5:$D$12,0))))</f>
        <v>Smog Formation Potential (SFP) - kg O3 eq</v>
      </c>
      <c r="M13022" s="154" t="str">
        <f t="shared" si="1146"/>
        <v>Low_Base_High_Upgraded_Smog Formation Potential (SFP) - kg O3 eq_Wastewater collection; operation and infrastructure; m3 wastewater_Without Amendment_Aerated Static Pile</v>
      </c>
    </row>
    <row r="13023" spans="1:13" s="120" customFormat="1" x14ac:dyDescent="0.25">
      <c r="A13023" s="119"/>
      <c r="B13023" s="138" t="str">
        <f t="shared" si="1141"/>
        <v>Aerated Static Pile</v>
      </c>
      <c r="C13023" s="138" t="str">
        <f t="shared" si="1142"/>
        <v>Without Amendment</v>
      </c>
      <c r="D13023" s="138" t="str">
        <f t="shared" si="1145"/>
        <v>Base_High</v>
      </c>
      <c r="E13023" s="138" t="str">
        <f t="shared" si="1143"/>
        <v>Low</v>
      </c>
      <c r="F13023" s="138" t="str">
        <f t="shared" si="1144"/>
        <v>Upgraded</v>
      </c>
      <c r="G13023" s="153"/>
      <c r="H13023" s="210">
        <v>0.53749999999999998</v>
      </c>
      <c r="I13023" s="160" t="s">
        <v>60</v>
      </c>
      <c r="J13023" s="160">
        <v>7.0800000000000004E-3</v>
      </c>
      <c r="K13023" s="160" t="s">
        <v>25</v>
      </c>
      <c r="L13023" s="154" t="str">
        <f>IF(OpenLCAbasic!K13023="CTUh", "Fill in Manually",IF(OR(K13023="Unit", K13023=""), "", INDEX(LookUps!$E$5:$E$12, MATCH(OpenLCAbasic!K13023,LookUps!$D$5:$D$12,0))))</f>
        <v>Smog Formation Potential (SFP) - kg O3 eq</v>
      </c>
      <c r="M13023" s="154" t="str">
        <f t="shared" si="1146"/>
        <v>Low_Base_High_Upgraded_Smog Formation Potential (SFP) - kg O3 eq_Belt filter press; wastewater treatment unit; at updated plant - US_Without Amendment_Aerated Static Pile</v>
      </c>
    </row>
    <row r="13024" spans="1:13" s="120" customFormat="1" x14ac:dyDescent="0.25">
      <c r="A13024" s="119"/>
      <c r="B13024" s="138" t="str">
        <f t="shared" si="1141"/>
        <v>Aerated Static Pile</v>
      </c>
      <c r="C13024" s="138" t="str">
        <f t="shared" si="1142"/>
        <v>Without Amendment</v>
      </c>
      <c r="D13024" s="138" t="str">
        <f t="shared" si="1145"/>
        <v>Base_High</v>
      </c>
      <c r="E13024" s="138" t="str">
        <f t="shared" si="1143"/>
        <v>Low</v>
      </c>
      <c r="F13024" s="138" t="str">
        <f t="shared" si="1144"/>
        <v>Upgraded</v>
      </c>
      <c r="G13024" s="153"/>
      <c r="H13024" s="210">
        <v>0.50529999999999997</v>
      </c>
      <c r="I13024" s="160" t="s">
        <v>57</v>
      </c>
      <c r="J13024" s="160">
        <v>6.6499999999999997E-3</v>
      </c>
      <c r="K13024" s="160" t="s">
        <v>25</v>
      </c>
      <c r="L13024" s="154" t="str">
        <f>IF(OpenLCAbasic!K13024="CTUh", "Fill in Manually",IF(OR(K13024="Unit", K13024=""), "", INDEX(LookUps!$E$5:$E$12, MATCH(OpenLCAbasic!K13024,LookUps!$D$5:$D$12,0))))</f>
        <v>Smog Formation Potential (SFP) - kg O3 eq</v>
      </c>
      <c r="M13024" s="154" t="str">
        <f t="shared" si="1146"/>
        <v>Low_Base_High_Upgraded_Smog Formation Potential (SFP) - kg O3 eq_Gravity Belt Thickener; wastewater treatment unit; at updated plant - US_Without Amendment_Aerated Static Pile</v>
      </c>
    </row>
    <row r="13025" spans="1:13" s="120" customFormat="1" x14ac:dyDescent="0.25">
      <c r="A13025" s="119"/>
      <c r="B13025" s="138" t="str">
        <f t="shared" si="1141"/>
        <v>Aerated Static Pile</v>
      </c>
      <c r="C13025" s="138" t="str">
        <f t="shared" si="1142"/>
        <v>Without Amendment</v>
      </c>
      <c r="D13025" s="138" t="str">
        <f t="shared" si="1145"/>
        <v>Base_High</v>
      </c>
      <c r="E13025" s="138" t="str">
        <f t="shared" si="1143"/>
        <v>Low</v>
      </c>
      <c r="F13025" s="138" t="str">
        <f t="shared" si="1144"/>
        <v>Upgraded</v>
      </c>
      <c r="G13025" s="153"/>
      <c r="H13025" s="210">
        <v>0.37769999999999998</v>
      </c>
      <c r="I13025" s="160" t="s">
        <v>59</v>
      </c>
      <c r="J13025" s="160">
        <v>4.9699999999999996E-3</v>
      </c>
      <c r="K13025" s="160" t="s">
        <v>25</v>
      </c>
      <c r="L13025" s="154" t="str">
        <f>IF(OpenLCAbasic!K13025="CTUh", "Fill in Manually",IF(OR(K13025="Unit", K13025=""), "", INDEX(LookUps!$E$5:$E$12, MATCH(OpenLCAbasic!K13025,LookUps!$D$5:$D$12,0))))</f>
        <v>Smog Formation Potential (SFP) - kg O3 eq</v>
      </c>
      <c r="M13025" s="154" t="str">
        <f t="shared" si="1146"/>
        <v>Low_Base_High_Upgraded_Smog Formation Potential (SFP) - kg O3 eq_Blend Tank; wastewater treatment unit; at updated plant - US_Without Amendment_Aerated Static Pile</v>
      </c>
    </row>
    <row r="13026" spans="1:13" s="120" customFormat="1" x14ac:dyDescent="0.25">
      <c r="A13026" s="119"/>
      <c r="B13026" s="138" t="str">
        <f t="shared" si="1141"/>
        <v>Aerated Static Pile</v>
      </c>
      <c r="C13026" s="138" t="str">
        <f t="shared" si="1142"/>
        <v>Without Amendment</v>
      </c>
      <c r="D13026" s="138" t="str">
        <f t="shared" si="1145"/>
        <v>Base_High</v>
      </c>
      <c r="E13026" s="138" t="str">
        <f t="shared" si="1143"/>
        <v>Low</v>
      </c>
      <c r="F13026" s="138" t="str">
        <f t="shared" si="1144"/>
        <v>Upgraded</v>
      </c>
      <c r="G13026" s="153"/>
      <c r="H13026" s="210">
        <v>0.2571</v>
      </c>
      <c r="I13026" s="160" t="s">
        <v>48</v>
      </c>
      <c r="J13026" s="160">
        <v>3.3899999999999998E-3</v>
      </c>
      <c r="K13026" s="160" t="s">
        <v>25</v>
      </c>
      <c r="L13026" s="154" t="str">
        <f>IF(OpenLCAbasic!K13026="CTUh", "Fill in Manually",IF(OR(K13026="Unit", K13026=""), "", INDEX(LookUps!$E$5:$E$12, MATCH(OpenLCAbasic!K13026,LookUps!$D$5:$D$12,0))))</f>
        <v>Smog Formation Potential (SFP) - kg O3 eq</v>
      </c>
      <c r="M13026" s="154" t="str">
        <f t="shared" si="1146"/>
        <v>Low_Base_High_Upgraded_Smog Formation Potential (SFP) - kg O3 eq_Effluent release; wastewater treatment unit; at surface water; m3 wastewater - US_Without Amendment_Aerated Static Pile</v>
      </c>
    </row>
    <row r="13027" spans="1:13" s="120" customFormat="1" x14ac:dyDescent="0.25">
      <c r="A13027" s="119"/>
      <c r="B13027" s="138" t="str">
        <f t="shared" si="1141"/>
        <v>Aerated Static Pile</v>
      </c>
      <c r="C13027" s="138" t="str">
        <f t="shared" si="1142"/>
        <v>Without Amendment</v>
      </c>
      <c r="D13027" s="138" t="str">
        <f t="shared" si="1145"/>
        <v>Base_High</v>
      </c>
      <c r="E13027" s="138" t="str">
        <f t="shared" si="1143"/>
        <v>Low</v>
      </c>
      <c r="F13027" s="138" t="str">
        <f t="shared" si="1144"/>
        <v>Upgraded</v>
      </c>
      <c r="G13027" s="153"/>
      <c r="H13027" s="210">
        <v>0.1865</v>
      </c>
      <c r="I13027" s="160" t="s">
        <v>168</v>
      </c>
      <c r="J13027" s="160">
        <v>2.4599999999999999E-3</v>
      </c>
      <c r="K13027" s="160" t="s">
        <v>25</v>
      </c>
      <c r="L13027" s="154" t="str">
        <f>IF(OpenLCAbasic!K13027="CTUh", "Fill in Manually",IF(OR(K13027="Unit", K13027=""), "", INDEX(LookUps!$E$5:$E$12, MATCH(OpenLCAbasic!K13027,LookUps!$D$5:$D$12,0))))</f>
        <v>Smog Formation Potential (SFP) - kg O3 eq</v>
      </c>
      <c r="M13027" s="154" t="str">
        <f t="shared" si="1146"/>
        <v>Low_Base_High_Upgraded_Smog Formation Potential (SFP) - kg O3 eq_ClearCove SCP; wastewater treatment unit; at updated plant - US_Without Amendment_Aerated Static Pile</v>
      </c>
    </row>
    <row r="13028" spans="1:13" s="120" customFormat="1" x14ac:dyDescent="0.25">
      <c r="A13028" s="119"/>
      <c r="B13028" s="138" t="str">
        <f t="shared" si="1141"/>
        <v>Aerated Static Pile</v>
      </c>
      <c r="C13028" s="138" t="str">
        <f t="shared" si="1142"/>
        <v>Without Amendment</v>
      </c>
      <c r="D13028" s="138" t="str">
        <f t="shared" si="1145"/>
        <v>Base_High</v>
      </c>
      <c r="E13028" s="138" t="str">
        <f t="shared" si="1143"/>
        <v>Low</v>
      </c>
      <c r="F13028" s="138" t="str">
        <f t="shared" si="1144"/>
        <v>Upgraded</v>
      </c>
      <c r="G13028" s="153"/>
      <c r="H13028" s="210">
        <v>4.0899999999999999E-2</v>
      </c>
      <c r="I13028" s="160" t="s">
        <v>148</v>
      </c>
      <c r="J13028" s="160">
        <v>5.4000000000000001E-4</v>
      </c>
      <c r="K13028" s="160" t="s">
        <v>25</v>
      </c>
      <c r="L13028" s="154" t="str">
        <f>IF(OpenLCAbasic!K13028="CTUh", "Fill in Manually",IF(OR(K13028="Unit", K13028=""), "", INDEX(LookUps!$E$5:$E$12, MATCH(OpenLCAbasic!K13028,LookUps!$D$5:$D$12,0))))</f>
        <v>Smog Formation Potential (SFP) - kg O3 eq</v>
      </c>
      <c r="M13028" s="154" t="str">
        <f t="shared" si="1146"/>
        <v>Low_Base_High_Upgraded_Smog Formation Potential (SFP) - kg O3 eq_Control Building; at upgraded wastewater treatment plant - US_Without Amendment_Aerated Static Pile</v>
      </c>
    </row>
    <row r="13029" spans="1:13" s="120" customFormat="1" x14ac:dyDescent="0.25">
      <c r="A13029" s="119"/>
      <c r="B13029" s="138" t="str">
        <f t="shared" si="1141"/>
        <v>Aerated Static Pile</v>
      </c>
      <c r="C13029" s="138" t="str">
        <f t="shared" si="1142"/>
        <v>Without Amendment</v>
      </c>
      <c r="D13029" s="138" t="str">
        <f t="shared" si="1145"/>
        <v>Base_High</v>
      </c>
      <c r="E13029" s="138" t="str">
        <f t="shared" si="1143"/>
        <v>Low</v>
      </c>
      <c r="F13029" s="138" t="str">
        <f t="shared" si="1144"/>
        <v>Upgraded</v>
      </c>
      <c r="G13029" s="153"/>
      <c r="H13029" s="210">
        <v>-0.1318</v>
      </c>
      <c r="I13029" s="160" t="s">
        <v>62</v>
      </c>
      <c r="J13029" s="160">
        <v>-1.74E-3</v>
      </c>
      <c r="K13029" s="160" t="s">
        <v>25</v>
      </c>
      <c r="L13029" s="154" t="str">
        <f>IF(OpenLCAbasic!K13029="CTUh", "Fill in Manually",IF(OR(K13029="Unit", K13029=""), "", INDEX(LookUps!$E$5:$E$12, MATCH(OpenLCAbasic!K13029,LookUps!$D$5:$D$12,0))))</f>
        <v>Smog Formation Potential (SFP) - kg O3 eq</v>
      </c>
      <c r="M13029" s="154" t="str">
        <f t="shared" si="1146"/>
        <v>Low_Base_High_Upgraded_Smog Formation Potential (SFP) - kg O3 eq_Land application of compost; wastewater treatment unit; at updated plant - US_Without Amendment_Aerated Static Pile</v>
      </c>
    </row>
    <row r="13030" spans="1:13" s="120" customFormat="1" x14ac:dyDescent="0.25">
      <c r="A13030" s="119"/>
      <c r="B13030" s="138" t="str">
        <f t="shared" si="1141"/>
        <v>Aerated Static Pile</v>
      </c>
      <c r="C13030" s="138" t="str">
        <f t="shared" si="1142"/>
        <v>Without Amendment</v>
      </c>
      <c r="D13030" s="138" t="str">
        <f t="shared" si="1145"/>
        <v>Base_High</v>
      </c>
      <c r="E13030" s="138" t="str">
        <f t="shared" si="1143"/>
        <v>Low</v>
      </c>
      <c r="F13030" s="138" t="str">
        <f t="shared" si="1144"/>
        <v>Upgraded</v>
      </c>
      <c r="G13030" s="153"/>
      <c r="H13030" s="210">
        <v>-28.382100000000001</v>
      </c>
      <c r="I13030" s="160" t="s">
        <v>149</v>
      </c>
      <c r="J13030" s="160">
        <v>-0.37367</v>
      </c>
      <c r="K13030" s="160" t="s">
        <v>25</v>
      </c>
      <c r="L13030" s="154" t="str">
        <f>IF(OpenLCAbasic!K13030="CTUh", "Fill in Manually",IF(OR(K13030="Unit", K13030=""), "", INDEX(LookUps!$E$5:$E$12, MATCH(OpenLCAbasic!K13030,LookUps!$D$5:$D$12,0))))</f>
        <v>Smog Formation Potential (SFP) - kg O3 eq</v>
      </c>
      <c r="M13030" s="154" t="str">
        <f t="shared" si="1146"/>
        <v>Low_Base_High_Upgraded_Smog Formation Potential (SFP) - kg O3 eq_Anaerobic Digestion; wastewater treatment unit; at updated plant - US_Without Amendment_Aerated Static Pile</v>
      </c>
    </row>
    <row r="13031" spans="1:13" s="120" customFormat="1" x14ac:dyDescent="0.25">
      <c r="A13031" s="119"/>
      <c r="B13031" s="138" t="str">
        <f t="shared" si="1141"/>
        <v/>
      </c>
      <c r="C13031" s="138" t="str">
        <f t="shared" si="1142"/>
        <v/>
      </c>
      <c r="D13031" s="138" t="str">
        <f t="shared" si="1145"/>
        <v/>
      </c>
      <c r="E13031" s="138" t="str">
        <f t="shared" si="1143"/>
        <v/>
      </c>
      <c r="F13031" s="138" t="str">
        <f t="shared" si="1144"/>
        <v/>
      </c>
      <c r="G13031" s="153" t="s">
        <v>51</v>
      </c>
      <c r="H13031" s="160"/>
      <c r="I13031" s="160" t="s">
        <v>47</v>
      </c>
      <c r="J13031" s="160" t="s">
        <v>52</v>
      </c>
      <c r="K13031" s="160" t="s">
        <v>27</v>
      </c>
      <c r="L13031" s="154" t="str">
        <f>IF(OpenLCAbasic!K13031="CTUh", "Fill in Manually",IF(OR(K13031="Unit", K13031=""), "", INDEX(LookUps!$E$5:$E$12, MATCH(OpenLCAbasic!K13031,LookUps!$D$5:$D$12,0))))</f>
        <v/>
      </c>
      <c r="M13031" s="154" t="str">
        <f t="shared" si="1146"/>
        <v>____Process__</v>
      </c>
    </row>
    <row r="13032" spans="1:13" s="120" customFormat="1" x14ac:dyDescent="0.25">
      <c r="A13032" s="119"/>
      <c r="B13032" s="138" t="str">
        <f t="shared" si="1141"/>
        <v>Aerated Static Pile</v>
      </c>
      <c r="C13032" s="138" t="str">
        <f t="shared" si="1142"/>
        <v>Without Amendment</v>
      </c>
      <c r="D13032" s="138" t="str">
        <f t="shared" si="1145"/>
        <v>Base_High</v>
      </c>
      <c r="E13032" s="138" t="str">
        <f t="shared" si="1143"/>
        <v>Low</v>
      </c>
      <c r="F13032" s="138" t="str">
        <f t="shared" si="1144"/>
        <v>Upgraded</v>
      </c>
      <c r="G13032" s="153"/>
      <c r="H13032" s="210">
        <v>0.69969999999999999</v>
      </c>
      <c r="I13032" s="160" t="s">
        <v>167</v>
      </c>
      <c r="J13032" s="160">
        <v>2.3000000000000001E-4</v>
      </c>
      <c r="K13032" s="160" t="s">
        <v>26</v>
      </c>
      <c r="L13032" s="154" t="str">
        <f>IF(OpenLCAbasic!K13032="CTUh", "Fill in Manually",IF(OR(K13032="Unit", K13032=""), "", INDEX(LookUps!$E$5:$E$12, MATCH(OpenLCAbasic!K13032,LookUps!$D$5:$D$12,0))))</f>
        <v>Water Use (WU) - m3 H2O</v>
      </c>
      <c r="M13032" s="154" t="str">
        <f t="shared" si="1146"/>
        <v>Low_Base_High_Upgraded_Water Use (WU) - m3 H2O_Waste Receiving and Holding; wastewater treatment unit; at updated plant - US_Without Amendment_Aerated Static Pile</v>
      </c>
    </row>
    <row r="13033" spans="1:13" s="120" customFormat="1" x14ac:dyDescent="0.25">
      <c r="A13033" s="119"/>
      <c r="B13033" s="138" t="str">
        <f t="shared" ref="B13033:B13096" si="1147">IF(F13033="Legacy","n.a.",IF(F13033="","","Aerated Static Pile"))</f>
        <v>Aerated Static Pile</v>
      </c>
      <c r="C13033" s="138" t="str">
        <f t="shared" ref="C13033:C13096" si="1148">IF(ISNUMBER($J13033),"Without Amendment","")</f>
        <v>Without Amendment</v>
      </c>
      <c r="D13033" s="138" t="str">
        <f t="shared" si="1145"/>
        <v>Base_High</v>
      </c>
      <c r="E13033" s="138" t="str">
        <f t="shared" ref="E13033:E13096" si="1149">IF(ISNUMBER($J13033),"Low","")</f>
        <v>Low</v>
      </c>
      <c r="F13033" s="138" t="str">
        <f t="shared" ref="F13033:F13096" si="1150">IF(ISNUMBER(J13033),"Upgraded","")</f>
        <v>Upgraded</v>
      </c>
      <c r="G13033" s="153"/>
      <c r="H13033" s="210">
        <v>0.55359999999999998</v>
      </c>
      <c r="I13033" s="160" t="s">
        <v>147</v>
      </c>
      <c r="J13033" s="160">
        <v>1.8000000000000001E-4</v>
      </c>
      <c r="K13033" s="160" t="s">
        <v>26</v>
      </c>
      <c r="L13033" s="154" t="str">
        <f>IF(OpenLCAbasic!K13033="CTUh", "Fill in Manually",IF(OR(K13033="Unit", K13033=""), "", INDEX(LookUps!$E$5:$E$12, MATCH(OpenLCAbasic!K13033,LookUps!$D$5:$D$12,0))))</f>
        <v>Water Use (WU) - m3 H2O</v>
      </c>
      <c r="M13033" s="154" t="str">
        <f t="shared" si="1146"/>
        <v>Low_Base_High_Upgraded_Water Use (WU) - m3 H2O_Influent Pump Station; wastewater treatment unit; at updated plant - US_Without Amendment_Aerated Static Pile</v>
      </c>
    </row>
    <row r="13034" spans="1:13" s="120" customFormat="1" x14ac:dyDescent="0.25">
      <c r="A13034" s="119"/>
      <c r="B13034" s="138" t="str">
        <f t="shared" si="1147"/>
        <v>Aerated Static Pile</v>
      </c>
      <c r="C13034" s="138" t="str">
        <f t="shared" si="1148"/>
        <v>Without Amendment</v>
      </c>
      <c r="D13034" s="138" t="str">
        <f t="shared" si="1145"/>
        <v>Base_High</v>
      </c>
      <c r="E13034" s="138" t="str">
        <f t="shared" si="1149"/>
        <v>Low</v>
      </c>
      <c r="F13034" s="138" t="str">
        <f t="shared" si="1150"/>
        <v>Upgraded</v>
      </c>
      <c r="G13034" s="153"/>
      <c r="H13034" s="210">
        <v>0.54020000000000001</v>
      </c>
      <c r="I13034" s="160" t="s">
        <v>54</v>
      </c>
      <c r="J13034" s="160">
        <v>1.8000000000000001E-4</v>
      </c>
      <c r="K13034" s="160" t="s">
        <v>26</v>
      </c>
      <c r="L13034" s="154" t="str">
        <f>IF(OpenLCAbasic!K13034="CTUh", "Fill in Manually",IF(OR(K13034="Unit", K13034=""), "", INDEX(LookUps!$E$5:$E$12, MATCH(OpenLCAbasic!K13034,LookUps!$D$5:$D$12,0))))</f>
        <v>Water Use (WU) - m3 H2O</v>
      </c>
      <c r="M13034" s="154" t="str">
        <f t="shared" si="1146"/>
        <v>Low_Base_High_Upgraded_Water Use (WU) - m3 H2O_Clear Cove Primary Clarification; wastewater treatment unit; at updated plant - US_Without Amendment_Aerated Static Pile</v>
      </c>
    </row>
    <row r="13035" spans="1:13" s="120" customFormat="1" x14ac:dyDescent="0.25">
      <c r="A13035" s="119"/>
      <c r="B13035" s="138" t="str">
        <f t="shared" si="1147"/>
        <v>Aerated Static Pile</v>
      </c>
      <c r="C13035" s="138" t="str">
        <f t="shared" si="1148"/>
        <v>Without Amendment</v>
      </c>
      <c r="D13035" s="138" t="str">
        <f t="shared" si="1145"/>
        <v>Base_High</v>
      </c>
      <c r="E13035" s="138" t="str">
        <f t="shared" si="1149"/>
        <v>Low</v>
      </c>
      <c r="F13035" s="138" t="str">
        <f t="shared" si="1150"/>
        <v>Upgraded</v>
      </c>
      <c r="G13035" s="153"/>
      <c r="H13035" s="210">
        <v>0.49</v>
      </c>
      <c r="I13035" s="160" t="s">
        <v>55</v>
      </c>
      <c r="J13035" s="160">
        <v>1.6000000000000001E-4</v>
      </c>
      <c r="K13035" s="160" t="s">
        <v>26</v>
      </c>
      <c r="L13035" s="154" t="str">
        <f>IF(OpenLCAbasic!K13035="CTUh", "Fill in Manually",IF(OR(K13035="Unit", K13035=""), "", INDEX(LookUps!$E$5:$E$12, MATCH(OpenLCAbasic!K13035,LookUps!$D$5:$D$12,0))))</f>
        <v>Water Use (WU) - m3 H2O</v>
      </c>
      <c r="M13035" s="154" t="str">
        <f t="shared" si="1146"/>
        <v>Low_Base_High_Upgraded_Water Use (WU) - m3 H2O_Aeration Tanks; wastewater treatment unit; at updated plant - US_Without Amendment_Aerated Static Pile</v>
      </c>
    </row>
    <row r="13036" spans="1:13" s="120" customFormat="1" x14ac:dyDescent="0.25">
      <c r="A13036" s="119"/>
      <c r="B13036" s="138" t="str">
        <f t="shared" si="1147"/>
        <v>Aerated Static Pile</v>
      </c>
      <c r="C13036" s="138" t="str">
        <f t="shared" si="1148"/>
        <v>Without Amendment</v>
      </c>
      <c r="D13036" s="138" t="str">
        <f t="shared" si="1145"/>
        <v>Base_High</v>
      </c>
      <c r="E13036" s="138" t="str">
        <f t="shared" si="1149"/>
        <v>Low</v>
      </c>
      <c r="F13036" s="138" t="str">
        <f t="shared" si="1150"/>
        <v>Upgraded</v>
      </c>
      <c r="G13036" s="153"/>
      <c r="H13036" s="210">
        <v>0.44640000000000002</v>
      </c>
      <c r="I13036" s="160" t="s">
        <v>148</v>
      </c>
      <c r="J13036" s="160">
        <v>1.4999999999999999E-4</v>
      </c>
      <c r="K13036" s="160" t="s">
        <v>26</v>
      </c>
      <c r="L13036" s="154" t="str">
        <f>IF(OpenLCAbasic!K13036="CTUh", "Fill in Manually",IF(OR(K13036="Unit", K13036=""), "", INDEX(LookUps!$E$5:$E$12, MATCH(OpenLCAbasic!K13036,LookUps!$D$5:$D$12,0))))</f>
        <v>Water Use (WU) - m3 H2O</v>
      </c>
      <c r="M13036" s="154" t="str">
        <f t="shared" si="1146"/>
        <v>Low_Base_High_Upgraded_Water Use (WU) - m3 H2O_Control Building; at upgraded wastewater treatment plant - US_Without Amendment_Aerated Static Pile</v>
      </c>
    </row>
    <row r="13037" spans="1:13" s="120" customFormat="1" x14ac:dyDescent="0.25">
      <c r="A13037" s="119"/>
      <c r="B13037" s="138" t="str">
        <f t="shared" si="1147"/>
        <v>Aerated Static Pile</v>
      </c>
      <c r="C13037" s="138" t="str">
        <f t="shared" si="1148"/>
        <v>Without Amendment</v>
      </c>
      <c r="D13037" s="138" t="str">
        <f t="shared" si="1145"/>
        <v>Base_High</v>
      </c>
      <c r="E13037" s="138" t="str">
        <f t="shared" si="1149"/>
        <v>Low</v>
      </c>
      <c r="F13037" s="138" t="str">
        <f t="shared" si="1150"/>
        <v>Upgraded</v>
      </c>
      <c r="G13037" s="153"/>
      <c r="H13037" s="210">
        <v>0.20730000000000001</v>
      </c>
      <c r="I13037" s="160" t="s">
        <v>48</v>
      </c>
      <c r="J13037" s="211">
        <v>6.8836400000000004E-5</v>
      </c>
      <c r="K13037" s="160" t="s">
        <v>26</v>
      </c>
      <c r="L13037" s="154" t="str">
        <f>IF(OpenLCAbasic!K13037="CTUh", "Fill in Manually",IF(OR(K13037="Unit", K13037=""), "", INDEX(LookUps!$E$5:$E$12, MATCH(OpenLCAbasic!K13037,LookUps!$D$5:$D$12,0))))</f>
        <v>Water Use (WU) - m3 H2O</v>
      </c>
      <c r="M13037" s="154" t="str">
        <f t="shared" si="1146"/>
        <v>Low_Base_High_Upgraded_Water Use (WU) - m3 H2O_Effluent release; wastewater treatment unit; at surface water; m3 wastewater - US_Without Amendment_Aerated Static Pile</v>
      </c>
    </row>
    <row r="13038" spans="1:13" s="120" customFormat="1" x14ac:dyDescent="0.25">
      <c r="A13038" s="119"/>
      <c r="B13038" s="138" t="str">
        <f t="shared" si="1147"/>
        <v>Aerated Static Pile</v>
      </c>
      <c r="C13038" s="138" t="str">
        <f t="shared" si="1148"/>
        <v>Without Amendment</v>
      </c>
      <c r="D13038" s="138" t="str">
        <f t="shared" si="1145"/>
        <v>Base_High</v>
      </c>
      <c r="E13038" s="138" t="str">
        <f t="shared" si="1149"/>
        <v>Low</v>
      </c>
      <c r="F13038" s="138" t="str">
        <f t="shared" si="1150"/>
        <v>Upgraded</v>
      </c>
      <c r="G13038" s="153"/>
      <c r="H13038" s="210">
        <v>0.13009999999999999</v>
      </c>
      <c r="I13038" s="160" t="s">
        <v>58</v>
      </c>
      <c r="J13038" s="211">
        <v>4.3192100000000003E-5</v>
      </c>
      <c r="K13038" s="160" t="s">
        <v>26</v>
      </c>
      <c r="L13038" s="154" t="str">
        <f>IF(OpenLCAbasic!K13038="CTUh", "Fill in Manually",IF(OR(K13038="Unit", K13038=""), "", INDEX(LookUps!$E$5:$E$12, MATCH(OpenLCAbasic!K13038,LookUps!$D$5:$D$12,0))))</f>
        <v>Water Use (WU) - m3 H2O</v>
      </c>
      <c r="M13038" s="154" t="str">
        <f t="shared" si="1146"/>
        <v>Low_Base_High_Upgraded_Water Use (WU) - m3 H2O_Pre-Anoxic &amp; Swing tank; wastewater treatment unit; at updated plant - US_Without Amendment_Aerated Static Pile</v>
      </c>
    </row>
    <row r="13039" spans="1:13" s="120" customFormat="1" x14ac:dyDescent="0.25">
      <c r="A13039" s="119"/>
      <c r="B13039" s="138" t="str">
        <f t="shared" si="1147"/>
        <v>Aerated Static Pile</v>
      </c>
      <c r="C13039" s="138" t="str">
        <f t="shared" si="1148"/>
        <v>Without Amendment</v>
      </c>
      <c r="D13039" s="138" t="str">
        <f t="shared" si="1145"/>
        <v>Base_High</v>
      </c>
      <c r="E13039" s="138" t="str">
        <f t="shared" si="1149"/>
        <v>Low</v>
      </c>
      <c r="F13039" s="138" t="str">
        <f t="shared" si="1150"/>
        <v>Upgraded</v>
      </c>
      <c r="G13039" s="153"/>
      <c r="H13039" s="210">
        <v>9.1600000000000001E-2</v>
      </c>
      <c r="I13039" s="160" t="s">
        <v>57</v>
      </c>
      <c r="J13039" s="211">
        <v>3.0408100000000001E-5</v>
      </c>
      <c r="K13039" s="160" t="s">
        <v>26</v>
      </c>
      <c r="L13039" s="154" t="str">
        <f>IF(OpenLCAbasic!K13039="CTUh", "Fill in Manually",IF(OR(K13039="Unit", K13039=""), "", INDEX(LookUps!$E$5:$E$12, MATCH(OpenLCAbasic!K13039,LookUps!$D$5:$D$12,0))))</f>
        <v>Water Use (WU) - m3 H2O</v>
      </c>
      <c r="M13039" s="154" t="str">
        <f t="shared" si="1146"/>
        <v>Low_Base_High_Upgraded_Water Use (WU) - m3 H2O_Gravity Belt Thickener; wastewater treatment unit; at updated plant - US_Without Amendment_Aerated Static Pile</v>
      </c>
    </row>
    <row r="13040" spans="1:13" s="120" customFormat="1" x14ac:dyDescent="0.25">
      <c r="A13040" s="119"/>
      <c r="B13040" s="138" t="str">
        <f t="shared" si="1147"/>
        <v>Aerated Static Pile</v>
      </c>
      <c r="C13040" s="138" t="str">
        <f t="shared" si="1148"/>
        <v>Without Amendment</v>
      </c>
      <c r="D13040" s="138" t="str">
        <f t="shared" si="1145"/>
        <v>Base_High</v>
      </c>
      <c r="E13040" s="138" t="str">
        <f t="shared" si="1149"/>
        <v>Low</v>
      </c>
      <c r="F13040" s="138" t="str">
        <f t="shared" si="1150"/>
        <v>Upgraded</v>
      </c>
      <c r="G13040" s="153"/>
      <c r="H13040" s="210">
        <v>6.3600000000000004E-2</v>
      </c>
      <c r="I13040" s="160" t="s">
        <v>60</v>
      </c>
      <c r="J13040" s="211">
        <v>2.1135600000000001E-5</v>
      </c>
      <c r="K13040" s="160" t="s">
        <v>26</v>
      </c>
      <c r="L13040" s="154" t="str">
        <f>IF(OpenLCAbasic!K13040="CTUh", "Fill in Manually",IF(OR(K13040="Unit", K13040=""), "", INDEX(LookUps!$E$5:$E$12, MATCH(OpenLCAbasic!K13040,LookUps!$D$5:$D$12,0))))</f>
        <v>Water Use (WU) - m3 H2O</v>
      </c>
      <c r="M13040" s="154" t="str">
        <f t="shared" si="1146"/>
        <v>Low_Base_High_Upgraded_Water Use (WU) - m3 H2O_Belt filter press; wastewater treatment unit; at updated plant - US_Without Amendment_Aerated Static Pile</v>
      </c>
    </row>
    <row r="13041" spans="1:13" s="120" customFormat="1" x14ac:dyDescent="0.25">
      <c r="A13041" s="119"/>
      <c r="B13041" s="138" t="str">
        <f t="shared" si="1147"/>
        <v>Aerated Static Pile</v>
      </c>
      <c r="C13041" s="138" t="str">
        <f t="shared" si="1148"/>
        <v>Without Amendment</v>
      </c>
      <c r="D13041" s="138" t="str">
        <f t="shared" ref="D13041:D13047" si="1151">IF(ISNUMBER($J13041),"Base_High","")</f>
        <v>Base_High</v>
      </c>
      <c r="E13041" s="138" t="str">
        <f t="shared" si="1149"/>
        <v>Low</v>
      </c>
      <c r="F13041" s="138" t="str">
        <f t="shared" si="1150"/>
        <v>Upgraded</v>
      </c>
      <c r="G13041" s="153"/>
      <c r="H13041" s="210">
        <v>5.2699999999999997E-2</v>
      </c>
      <c r="I13041" s="160" t="s">
        <v>53</v>
      </c>
      <c r="J13041" s="211">
        <v>1.75069E-5</v>
      </c>
      <c r="K13041" s="160" t="s">
        <v>26</v>
      </c>
      <c r="L13041" s="154" t="str">
        <f>IF(OpenLCAbasic!K13041="CTUh", "Fill in Manually",IF(OR(K13041="Unit", K13041=""), "", INDEX(LookUps!$E$5:$E$12, MATCH(OpenLCAbasic!K13041,LookUps!$D$5:$D$12,0))))</f>
        <v>Water Use (WU) - m3 H2O</v>
      </c>
      <c r="M13041" s="154" t="str">
        <f t="shared" si="1146"/>
        <v>Low_Base_High_Upgraded_Water Use (WU) - m3 H2O_Wet Well and Sump Station; wastewater treatment unit; at updated plant - US_Without Amendment_Aerated Static Pile</v>
      </c>
    </row>
    <row r="13042" spans="1:13" s="120" customFormat="1" x14ac:dyDescent="0.25">
      <c r="A13042" s="119"/>
      <c r="B13042" s="138" t="str">
        <f t="shared" si="1147"/>
        <v>Aerated Static Pile</v>
      </c>
      <c r="C13042" s="138" t="str">
        <f t="shared" si="1148"/>
        <v>Without Amendment</v>
      </c>
      <c r="D13042" s="138" t="str">
        <f t="shared" si="1151"/>
        <v>Base_High</v>
      </c>
      <c r="E13042" s="138" t="str">
        <f t="shared" si="1149"/>
        <v>Low</v>
      </c>
      <c r="F13042" s="138" t="str">
        <f t="shared" si="1150"/>
        <v>Upgraded</v>
      </c>
      <c r="G13042" s="153"/>
      <c r="H13042" s="210">
        <v>2.1100000000000001E-2</v>
      </c>
      <c r="I13042" s="160" t="s">
        <v>59</v>
      </c>
      <c r="J13042" s="211">
        <v>7.0179500000000003E-6</v>
      </c>
      <c r="K13042" s="160" t="s">
        <v>26</v>
      </c>
      <c r="L13042" s="154" t="str">
        <f>IF(OpenLCAbasic!K13042="CTUh", "Fill in Manually",IF(OR(K13042="Unit", K13042=""), "", INDEX(LookUps!$E$5:$E$12, MATCH(OpenLCAbasic!K13042,LookUps!$D$5:$D$12,0))))</f>
        <v>Water Use (WU) - m3 H2O</v>
      </c>
      <c r="M13042" s="154" t="str">
        <f t="shared" si="1146"/>
        <v>Low_Base_High_Upgraded_Water Use (WU) - m3 H2O_Blend Tank; wastewater treatment unit; at updated plant - US_Without Amendment_Aerated Static Pile</v>
      </c>
    </row>
    <row r="13043" spans="1:13" s="120" customFormat="1" x14ac:dyDescent="0.25">
      <c r="A13043" s="119"/>
      <c r="B13043" s="138" t="str">
        <f t="shared" si="1147"/>
        <v>Aerated Static Pile</v>
      </c>
      <c r="C13043" s="138" t="str">
        <f t="shared" si="1148"/>
        <v>Without Amendment</v>
      </c>
      <c r="D13043" s="138" t="str">
        <f t="shared" si="1151"/>
        <v>Base_High</v>
      </c>
      <c r="E13043" s="138" t="str">
        <f t="shared" si="1149"/>
        <v>Low</v>
      </c>
      <c r="F13043" s="138" t="str">
        <f t="shared" si="1150"/>
        <v>Upgraded</v>
      </c>
      <c r="G13043" s="153"/>
      <c r="H13043" s="210">
        <v>1.7399999999999999E-2</v>
      </c>
      <c r="I13043" s="160" t="s">
        <v>435</v>
      </c>
      <c r="J13043" s="211">
        <v>5.7864299999999998E-6</v>
      </c>
      <c r="K13043" s="160" t="s">
        <v>26</v>
      </c>
      <c r="L13043" s="154" t="str">
        <f>IF(OpenLCAbasic!K13043="CTUh", "Fill in Manually",IF(OR(K13043="Unit", K13043=""), "", INDEX(LookUps!$E$5:$E$12, MATCH(OpenLCAbasic!K13043,LookUps!$D$5:$D$12,0))))</f>
        <v>Water Use (WU) - m3 H2O</v>
      </c>
      <c r="M13043" s="154" t="str">
        <f t="shared" si="1146"/>
        <v>Low_Base_High_Upgraded_Water Use (WU) - m3 H2O_Biosolids composting; aerated static pile; wastewater treatment unit; at updated plant - US_Without Amendment_Aerated Static Pile</v>
      </c>
    </row>
    <row r="13044" spans="1:13" s="120" customFormat="1" x14ac:dyDescent="0.25">
      <c r="A13044" s="119"/>
      <c r="B13044" s="138" t="str">
        <f t="shared" si="1147"/>
        <v>Aerated Static Pile</v>
      </c>
      <c r="C13044" s="138" t="str">
        <f t="shared" si="1148"/>
        <v>Without Amendment</v>
      </c>
      <c r="D13044" s="138" t="str">
        <f t="shared" si="1151"/>
        <v>Base_High</v>
      </c>
      <c r="E13044" s="138" t="str">
        <f t="shared" si="1149"/>
        <v>Low</v>
      </c>
      <c r="F13044" s="138" t="str">
        <f t="shared" si="1150"/>
        <v>Upgraded</v>
      </c>
      <c r="G13044" s="153"/>
      <c r="H13044" s="210">
        <v>1.52E-2</v>
      </c>
      <c r="I13044" s="160" t="s">
        <v>128</v>
      </c>
      <c r="J13044" s="211">
        <v>5.0608900000000003E-6</v>
      </c>
      <c r="K13044" s="160" t="s">
        <v>26</v>
      </c>
      <c r="L13044" s="154" t="str">
        <f>IF(OpenLCAbasic!K13044="CTUh", "Fill in Manually",IF(OR(K13044="Unit", K13044=""), "", INDEX(LookUps!$E$5:$E$12, MATCH(OpenLCAbasic!K13044,LookUps!$D$5:$D$12,0))))</f>
        <v>Water Use (WU) - m3 H2O</v>
      </c>
      <c r="M13044" s="154" t="str">
        <f t="shared" si="1146"/>
        <v>Low_Base_High_Upgraded_Water Use (WU) - m3 H2O_Wastewater collection; operation and infrastructure; m3 wastewater_Without Amendment_Aerated Static Pile</v>
      </c>
    </row>
    <row r="13045" spans="1:13" s="120" customFormat="1" x14ac:dyDescent="0.25">
      <c r="A13045" s="119"/>
      <c r="B13045" s="138" t="str">
        <f t="shared" si="1147"/>
        <v>Aerated Static Pile</v>
      </c>
      <c r="C13045" s="138" t="str">
        <f t="shared" si="1148"/>
        <v>Without Amendment</v>
      </c>
      <c r="D13045" s="138" t="str">
        <f t="shared" si="1151"/>
        <v>Base_High</v>
      </c>
      <c r="E13045" s="138" t="str">
        <f t="shared" si="1149"/>
        <v>Low</v>
      </c>
      <c r="F13045" s="138" t="str">
        <f t="shared" si="1150"/>
        <v>Upgraded</v>
      </c>
      <c r="G13045" s="153"/>
      <c r="H13045" s="210">
        <v>2.3E-3</v>
      </c>
      <c r="I13045" s="160" t="s">
        <v>168</v>
      </c>
      <c r="J13045" s="211">
        <v>7.6697000000000004E-7</v>
      </c>
      <c r="K13045" s="160" t="s">
        <v>26</v>
      </c>
      <c r="L13045" s="154" t="str">
        <f>IF(OpenLCAbasic!K13045="CTUh", "Fill in Manually",IF(OR(K13045="Unit", K13045=""), "", INDEX(LookUps!$E$5:$E$12, MATCH(OpenLCAbasic!K13045,LookUps!$D$5:$D$12,0))))</f>
        <v>Water Use (WU) - m3 H2O</v>
      </c>
      <c r="M13045" s="154" t="str">
        <f t="shared" si="1146"/>
        <v>Low_Base_High_Upgraded_Water Use (WU) - m3 H2O_ClearCove SCP; wastewater treatment unit; at updated plant - US_Without Amendment_Aerated Static Pile</v>
      </c>
    </row>
    <row r="13046" spans="1:13" s="120" customFormat="1" x14ac:dyDescent="0.25">
      <c r="A13046" s="119"/>
      <c r="B13046" s="138" t="str">
        <f t="shared" si="1147"/>
        <v>Aerated Static Pile</v>
      </c>
      <c r="C13046" s="138" t="str">
        <f t="shared" si="1148"/>
        <v>Without Amendment</v>
      </c>
      <c r="D13046" s="138" t="str">
        <f t="shared" si="1151"/>
        <v>Base_High</v>
      </c>
      <c r="E13046" s="138" t="str">
        <f t="shared" si="1149"/>
        <v>Low</v>
      </c>
      <c r="F13046" s="138" t="str">
        <f t="shared" si="1150"/>
        <v>Upgraded</v>
      </c>
      <c r="G13046" s="153"/>
      <c r="H13046" s="210">
        <v>-0.28050000000000003</v>
      </c>
      <c r="I13046" s="160" t="s">
        <v>149</v>
      </c>
      <c r="J13046" s="211">
        <v>-9.3162899999999995E-5</v>
      </c>
      <c r="K13046" s="160" t="s">
        <v>26</v>
      </c>
      <c r="L13046" s="154" t="str">
        <f>IF(OpenLCAbasic!K13046="CTUh", "Fill in Manually",IF(OR(K13046="Unit", K13046=""), "", INDEX(LookUps!$E$5:$E$12, MATCH(OpenLCAbasic!K13046,LookUps!$D$5:$D$12,0))))</f>
        <v>Water Use (WU) - m3 H2O</v>
      </c>
      <c r="M13046" s="154" t="str">
        <f t="shared" si="1146"/>
        <v>Low_Base_High_Upgraded_Water Use (WU) - m3 H2O_Anaerobic Digestion; wastewater treatment unit; at updated plant - US_Without Amendment_Aerated Static Pile</v>
      </c>
    </row>
    <row r="13047" spans="1:13" s="120" customFormat="1" x14ac:dyDescent="0.25">
      <c r="A13047" s="119"/>
      <c r="B13047" s="138" t="str">
        <f t="shared" si="1147"/>
        <v>Aerated Static Pile</v>
      </c>
      <c r="C13047" s="138" t="str">
        <f t="shared" si="1148"/>
        <v>Without Amendment</v>
      </c>
      <c r="D13047" s="138" t="str">
        <f t="shared" si="1151"/>
        <v>Base_High</v>
      </c>
      <c r="E13047" s="138" t="str">
        <f t="shared" si="1149"/>
        <v>Low</v>
      </c>
      <c r="F13047" s="138" t="str">
        <f t="shared" si="1150"/>
        <v>Upgraded</v>
      </c>
      <c r="G13047" s="153"/>
      <c r="H13047" s="210">
        <v>-2.0508000000000002</v>
      </c>
      <c r="I13047" s="160" t="s">
        <v>62</v>
      </c>
      <c r="J13047" s="160">
        <v>-6.8000000000000005E-4</v>
      </c>
      <c r="K13047" s="160" t="s">
        <v>26</v>
      </c>
      <c r="L13047" s="154" t="str">
        <f>IF(OpenLCAbasic!K13047="CTUh", "Fill in Manually",IF(OR(K13047="Unit", K13047=""), "", INDEX(LookUps!$E$5:$E$12, MATCH(OpenLCAbasic!K13047,LookUps!$D$5:$D$12,0))))</f>
        <v>Water Use (WU) - m3 H2O</v>
      </c>
      <c r="M13047" s="154" t="str">
        <f t="shared" si="1146"/>
        <v>Low_Base_High_Upgraded_Water Use (WU) - m3 H2O_Land application of compost; wastewater treatment unit; at updated plant - US_Without Amendment_Aerated Static Pile</v>
      </c>
    </row>
    <row r="13048" spans="1:13" s="120" customFormat="1" x14ac:dyDescent="0.25">
      <c r="A13048" s="119"/>
      <c r="B13048" s="138" t="str">
        <f t="shared" si="1147"/>
        <v/>
      </c>
      <c r="C13048" s="138" t="str">
        <f t="shared" si="1148"/>
        <v/>
      </c>
      <c r="D13048" s="138" t="str">
        <f>IF(ISNUMBER($J13048),"Medium_Low","")</f>
        <v/>
      </c>
      <c r="E13048" s="138" t="str">
        <f t="shared" si="1149"/>
        <v/>
      </c>
      <c r="F13048" s="138" t="str">
        <f t="shared" si="1150"/>
        <v/>
      </c>
      <c r="G13048" s="153" t="s">
        <v>51</v>
      </c>
      <c r="H13048" s="160"/>
      <c r="I13048" s="160" t="s">
        <v>47</v>
      </c>
      <c r="J13048" s="160" t="s">
        <v>52</v>
      </c>
      <c r="K13048" s="160" t="s">
        <v>27</v>
      </c>
      <c r="L13048" s="154" t="str">
        <f>IF(OpenLCAbasic!K13048="CTUh", "Fill in Manually",IF(OR(K13048="Unit", K13048=""), "", INDEX(LookUps!$E$5:$E$12, MATCH(OpenLCAbasic!K13048,LookUps!$D$5:$D$12,0))))</f>
        <v/>
      </c>
      <c r="M13048" s="154" t="str">
        <f t="shared" si="1146"/>
        <v>____Process__</v>
      </c>
    </row>
    <row r="13049" spans="1:13" s="120" customFormat="1" x14ac:dyDescent="0.25">
      <c r="A13049" s="119"/>
      <c r="B13049" s="138" t="str">
        <f t="shared" si="1147"/>
        <v>Aerated Static Pile</v>
      </c>
      <c r="C13049" s="138" t="str">
        <f t="shared" si="1148"/>
        <v>Without Amendment</v>
      </c>
      <c r="D13049" s="138" t="str">
        <f t="shared" ref="D13049:D13112" si="1152">IF(ISNUMBER($J13049),"Medium_Low","")</f>
        <v>Medium_Low</v>
      </c>
      <c r="E13049" s="138" t="str">
        <f t="shared" si="1149"/>
        <v>Low</v>
      </c>
      <c r="F13049" s="138" t="str">
        <f t="shared" si="1150"/>
        <v>Upgraded</v>
      </c>
      <c r="G13049" s="153"/>
      <c r="H13049" s="210">
        <v>0.41220000000000001</v>
      </c>
      <c r="I13049" s="160" t="s">
        <v>55</v>
      </c>
      <c r="J13049" s="160">
        <v>1.7219999999999999E-2</v>
      </c>
      <c r="K13049" s="160" t="s">
        <v>24</v>
      </c>
      <c r="L13049" s="154" t="str">
        <f>IF(OpenLCAbasic!K13049="CTUh", "Fill in Manually",IF(OR(K13049="Unit", K13049=""), "", INDEX(LookUps!$E$5:$E$12, MATCH(OpenLCAbasic!K13049,LookUps!$D$5:$D$12,0))))</f>
        <v>Acidification Potential (AP) - kg SO2 eq</v>
      </c>
      <c r="M13049" s="154" t="str">
        <f t="shared" si="1146"/>
        <v>Low_Medium_Low_Upgraded_Acidification Potential (AP) - kg SO2 eq_Aeration Tanks; wastewater treatment unit; at updated plant - US_Without Amendment_Aerated Static Pile</v>
      </c>
    </row>
    <row r="13050" spans="1:13" s="120" customFormat="1" x14ac:dyDescent="0.25">
      <c r="A13050" s="119"/>
      <c r="B13050" s="138" t="str">
        <f t="shared" si="1147"/>
        <v>Aerated Static Pile</v>
      </c>
      <c r="C13050" s="138" t="str">
        <f t="shared" si="1148"/>
        <v>Without Amendment</v>
      </c>
      <c r="D13050" s="138" t="str">
        <f t="shared" si="1152"/>
        <v>Medium_Low</v>
      </c>
      <c r="E13050" s="138" t="str">
        <f t="shared" si="1149"/>
        <v>Low</v>
      </c>
      <c r="F13050" s="138" t="str">
        <f t="shared" si="1150"/>
        <v>Upgraded</v>
      </c>
      <c r="G13050" s="153"/>
      <c r="H13050" s="210">
        <v>0.1192</v>
      </c>
      <c r="I13050" s="160" t="s">
        <v>54</v>
      </c>
      <c r="J13050" s="160">
        <v>4.9800000000000001E-3</v>
      </c>
      <c r="K13050" s="160" t="s">
        <v>24</v>
      </c>
      <c r="L13050" s="154" t="str">
        <f>IF(OpenLCAbasic!K13050="CTUh", "Fill in Manually",IF(OR(K13050="Unit", K13050=""), "", INDEX(LookUps!$E$5:$E$12, MATCH(OpenLCAbasic!K13050,LookUps!$D$5:$D$12,0))))</f>
        <v>Acidification Potential (AP) - kg SO2 eq</v>
      </c>
      <c r="M13050" s="154" t="str">
        <f t="shared" si="1146"/>
        <v>Low_Medium_Low_Upgraded_Acidification Potential (AP) - kg SO2 eq_Clear Cove Primary Clarification; wastewater treatment unit; at updated plant - US_Without Amendment_Aerated Static Pile</v>
      </c>
    </row>
    <row r="13051" spans="1:13" s="120" customFormat="1" x14ac:dyDescent="0.25">
      <c r="A13051" s="119"/>
      <c r="B13051" s="138" t="str">
        <f t="shared" si="1147"/>
        <v>Aerated Static Pile</v>
      </c>
      <c r="C13051" s="138" t="str">
        <f t="shared" si="1148"/>
        <v>Without Amendment</v>
      </c>
      <c r="D13051" s="138" t="str">
        <f t="shared" si="1152"/>
        <v>Medium_Low</v>
      </c>
      <c r="E13051" s="138" t="str">
        <f t="shared" si="1149"/>
        <v>Low</v>
      </c>
      <c r="F13051" s="138" t="str">
        <f t="shared" si="1150"/>
        <v>Upgraded</v>
      </c>
      <c r="G13051" s="153"/>
      <c r="H13051" s="210">
        <v>0.104</v>
      </c>
      <c r="I13051" s="160" t="s">
        <v>58</v>
      </c>
      <c r="J13051" s="160">
        <v>4.3499999999999997E-3</v>
      </c>
      <c r="K13051" s="160" t="s">
        <v>24</v>
      </c>
      <c r="L13051" s="154" t="str">
        <f>IF(OpenLCAbasic!K13051="CTUh", "Fill in Manually",IF(OR(K13051="Unit", K13051=""), "", INDEX(LookUps!$E$5:$E$12, MATCH(OpenLCAbasic!K13051,LookUps!$D$5:$D$12,0))))</f>
        <v>Acidification Potential (AP) - kg SO2 eq</v>
      </c>
      <c r="M13051" s="154" t="str">
        <f t="shared" si="1146"/>
        <v>Low_Medium_Low_Upgraded_Acidification Potential (AP) - kg SO2 eq_Pre-Anoxic &amp; Swing tank; wastewater treatment unit; at updated plant - US_Without Amendment_Aerated Static Pile</v>
      </c>
    </row>
    <row r="13052" spans="1:13" s="120" customFormat="1" x14ac:dyDescent="0.25">
      <c r="A13052" s="119"/>
      <c r="B13052" s="138" t="str">
        <f t="shared" si="1147"/>
        <v>Aerated Static Pile</v>
      </c>
      <c r="C13052" s="138" t="str">
        <f t="shared" si="1148"/>
        <v>Without Amendment</v>
      </c>
      <c r="D13052" s="138" t="str">
        <f t="shared" si="1152"/>
        <v>Medium_Low</v>
      </c>
      <c r="E13052" s="138" t="str">
        <f t="shared" si="1149"/>
        <v>Low</v>
      </c>
      <c r="F13052" s="138" t="str">
        <f t="shared" si="1150"/>
        <v>Upgraded</v>
      </c>
      <c r="G13052" s="153"/>
      <c r="H13052" s="210">
        <v>8.2600000000000007E-2</v>
      </c>
      <c r="I13052" s="160" t="s">
        <v>53</v>
      </c>
      <c r="J13052" s="160">
        <v>3.4499999999999999E-3</v>
      </c>
      <c r="K13052" s="160" t="s">
        <v>24</v>
      </c>
      <c r="L13052" s="154" t="str">
        <f>IF(OpenLCAbasic!K13052="CTUh", "Fill in Manually",IF(OR(K13052="Unit", K13052=""), "", INDEX(LookUps!$E$5:$E$12, MATCH(OpenLCAbasic!K13052,LookUps!$D$5:$D$12,0))))</f>
        <v>Acidification Potential (AP) - kg SO2 eq</v>
      </c>
      <c r="M13052" s="154" t="str">
        <f t="shared" si="1146"/>
        <v>Low_Medium_Low_Upgraded_Acidification Potential (AP) - kg SO2 eq_Wet Well and Sump Station; wastewater treatment unit; at updated plant - US_Without Amendment_Aerated Static Pile</v>
      </c>
    </row>
    <row r="13053" spans="1:13" s="120" customFormat="1" x14ac:dyDescent="0.25">
      <c r="A13053" s="119"/>
      <c r="B13053" s="138" t="str">
        <f t="shared" si="1147"/>
        <v>Aerated Static Pile</v>
      </c>
      <c r="C13053" s="138" t="str">
        <f t="shared" si="1148"/>
        <v>Without Amendment</v>
      </c>
      <c r="D13053" s="138" t="str">
        <f t="shared" si="1152"/>
        <v>Medium_Low</v>
      </c>
      <c r="E13053" s="138" t="str">
        <f t="shared" si="1149"/>
        <v>Low</v>
      </c>
      <c r="F13053" s="138" t="str">
        <f t="shared" si="1150"/>
        <v>Upgraded</v>
      </c>
      <c r="G13053" s="153"/>
      <c r="H13053" s="210">
        <v>7.2300000000000003E-2</v>
      </c>
      <c r="I13053" s="160" t="s">
        <v>62</v>
      </c>
      <c r="J13053" s="160">
        <v>3.0200000000000001E-3</v>
      </c>
      <c r="K13053" s="160" t="s">
        <v>24</v>
      </c>
      <c r="L13053" s="154" t="str">
        <f>IF(OpenLCAbasic!K13053="CTUh", "Fill in Manually",IF(OR(K13053="Unit", K13053=""), "", INDEX(LookUps!$E$5:$E$12, MATCH(OpenLCAbasic!K13053,LookUps!$D$5:$D$12,0))))</f>
        <v>Acidification Potential (AP) - kg SO2 eq</v>
      </c>
      <c r="M13053" s="154" t="str">
        <f t="shared" si="1146"/>
        <v>Low_Medium_Low_Upgraded_Acidification Potential (AP) - kg SO2 eq_Land application of compost; wastewater treatment unit; at updated plant - US_Without Amendment_Aerated Static Pile</v>
      </c>
    </row>
    <row r="13054" spans="1:13" s="120" customFormat="1" x14ac:dyDescent="0.25">
      <c r="A13054" s="119"/>
      <c r="B13054" s="138" t="str">
        <f t="shared" si="1147"/>
        <v>Aerated Static Pile</v>
      </c>
      <c r="C13054" s="138" t="str">
        <f t="shared" si="1148"/>
        <v>Without Amendment</v>
      </c>
      <c r="D13054" s="138" t="str">
        <f t="shared" si="1152"/>
        <v>Medium_Low</v>
      </c>
      <c r="E13054" s="138" t="str">
        <f t="shared" si="1149"/>
        <v>Low</v>
      </c>
      <c r="F13054" s="138" t="str">
        <f t="shared" si="1150"/>
        <v>Upgraded</v>
      </c>
      <c r="G13054" s="153"/>
      <c r="H13054" s="210">
        <v>6.3299999999999995E-2</v>
      </c>
      <c r="I13054" s="160" t="s">
        <v>435</v>
      </c>
      <c r="J13054" s="160">
        <v>2.64E-3</v>
      </c>
      <c r="K13054" s="160" t="s">
        <v>24</v>
      </c>
      <c r="L13054" s="154" t="str">
        <f>IF(OpenLCAbasic!K13054="CTUh", "Fill in Manually",IF(OR(K13054="Unit", K13054=""), "", INDEX(LookUps!$E$5:$E$12, MATCH(OpenLCAbasic!K13054,LookUps!$D$5:$D$12,0))))</f>
        <v>Acidification Potential (AP) - kg SO2 eq</v>
      </c>
      <c r="M13054" s="154" t="str">
        <f t="shared" si="1146"/>
        <v>Low_Medium_Low_Upgraded_Acidification Potential (AP) - kg SO2 eq_Biosolids composting; aerated static pile; wastewater treatment unit; at updated plant - US_Without Amendment_Aerated Static Pile</v>
      </c>
    </row>
    <row r="13055" spans="1:13" s="120" customFormat="1" x14ac:dyDescent="0.25">
      <c r="A13055" s="119"/>
      <c r="B13055" s="138" t="str">
        <f t="shared" si="1147"/>
        <v>Aerated Static Pile</v>
      </c>
      <c r="C13055" s="138" t="str">
        <f t="shared" si="1148"/>
        <v>Without Amendment</v>
      </c>
      <c r="D13055" s="138" t="str">
        <f t="shared" si="1152"/>
        <v>Medium_Low</v>
      </c>
      <c r="E13055" s="138" t="str">
        <f t="shared" si="1149"/>
        <v>Low</v>
      </c>
      <c r="F13055" s="138" t="str">
        <f t="shared" si="1150"/>
        <v>Upgraded</v>
      </c>
      <c r="G13055" s="153"/>
      <c r="H13055" s="210">
        <v>6.0600000000000001E-2</v>
      </c>
      <c r="I13055" s="160" t="s">
        <v>167</v>
      </c>
      <c r="J13055" s="160">
        <v>2.5300000000000001E-3</v>
      </c>
      <c r="K13055" s="160" t="s">
        <v>24</v>
      </c>
      <c r="L13055" s="154" t="str">
        <f>IF(OpenLCAbasic!K13055="CTUh", "Fill in Manually",IF(OR(K13055="Unit", K13055=""), "", INDEX(LookUps!$E$5:$E$12, MATCH(OpenLCAbasic!K13055,LookUps!$D$5:$D$12,0))))</f>
        <v>Acidification Potential (AP) - kg SO2 eq</v>
      </c>
      <c r="M13055" s="154" t="str">
        <f t="shared" si="1146"/>
        <v>Low_Medium_Low_Upgraded_Acidification Potential (AP) - kg SO2 eq_Waste Receiving and Holding; wastewater treatment unit; at updated plant - US_Without Amendment_Aerated Static Pile</v>
      </c>
    </row>
    <row r="13056" spans="1:13" s="120" customFormat="1" x14ac:dyDescent="0.25">
      <c r="A13056" s="119"/>
      <c r="B13056" s="138" t="str">
        <f t="shared" si="1147"/>
        <v>Aerated Static Pile</v>
      </c>
      <c r="C13056" s="138" t="str">
        <f t="shared" si="1148"/>
        <v>Without Amendment</v>
      </c>
      <c r="D13056" s="138" t="str">
        <f t="shared" si="1152"/>
        <v>Medium_Low</v>
      </c>
      <c r="E13056" s="138" t="str">
        <f t="shared" si="1149"/>
        <v>Low</v>
      </c>
      <c r="F13056" s="138" t="str">
        <f t="shared" si="1150"/>
        <v>Upgraded</v>
      </c>
      <c r="G13056" s="153"/>
      <c r="H13056" s="210">
        <v>4.9500000000000002E-2</v>
      </c>
      <c r="I13056" s="160" t="s">
        <v>147</v>
      </c>
      <c r="J13056" s="160">
        <v>2.0699999999999998E-3</v>
      </c>
      <c r="K13056" s="160" t="s">
        <v>24</v>
      </c>
      <c r="L13056" s="154" t="str">
        <f>IF(OpenLCAbasic!K13056="CTUh", "Fill in Manually",IF(OR(K13056="Unit", K13056=""), "", INDEX(LookUps!$E$5:$E$12, MATCH(OpenLCAbasic!K13056,LookUps!$D$5:$D$12,0))))</f>
        <v>Acidification Potential (AP) - kg SO2 eq</v>
      </c>
      <c r="M13056" s="154" t="str">
        <f t="shared" si="1146"/>
        <v>Low_Medium_Low_Upgraded_Acidification Potential (AP) - kg SO2 eq_Influent Pump Station; wastewater treatment unit; at updated plant - US_Without Amendment_Aerated Static Pile</v>
      </c>
    </row>
    <row r="13057" spans="1:13" s="120" customFormat="1" x14ac:dyDescent="0.25">
      <c r="A13057" s="119"/>
      <c r="B13057" s="138" t="str">
        <f t="shared" si="1147"/>
        <v>Aerated Static Pile</v>
      </c>
      <c r="C13057" s="138" t="str">
        <f t="shared" si="1148"/>
        <v>Without Amendment</v>
      </c>
      <c r="D13057" s="138" t="str">
        <f t="shared" si="1152"/>
        <v>Medium_Low</v>
      </c>
      <c r="E13057" s="138" t="str">
        <f t="shared" si="1149"/>
        <v>Low</v>
      </c>
      <c r="F13057" s="138" t="str">
        <f t="shared" si="1150"/>
        <v>Upgraded</v>
      </c>
      <c r="G13057" s="153"/>
      <c r="H13057" s="210">
        <v>2.9499999999999998E-2</v>
      </c>
      <c r="I13057" s="160" t="s">
        <v>128</v>
      </c>
      <c r="J13057" s="160">
        <v>1.23E-3</v>
      </c>
      <c r="K13057" s="160" t="s">
        <v>24</v>
      </c>
      <c r="L13057" s="154" t="str">
        <f>IF(OpenLCAbasic!K13057="CTUh", "Fill in Manually",IF(OR(K13057="Unit", K13057=""), "", INDEX(LookUps!$E$5:$E$12, MATCH(OpenLCAbasic!K13057,LookUps!$D$5:$D$12,0))))</f>
        <v>Acidification Potential (AP) - kg SO2 eq</v>
      </c>
      <c r="M13057" s="154" t="str">
        <f t="shared" si="1146"/>
        <v>Low_Medium_Low_Upgraded_Acidification Potential (AP) - kg SO2 eq_Wastewater collection; operation and infrastructure; m3 wastewater_Without Amendment_Aerated Static Pile</v>
      </c>
    </row>
    <row r="13058" spans="1:13" s="120" customFormat="1" x14ac:dyDescent="0.25">
      <c r="A13058" s="119"/>
      <c r="B13058" s="138" t="str">
        <f t="shared" si="1147"/>
        <v>Aerated Static Pile</v>
      </c>
      <c r="C13058" s="138" t="str">
        <f t="shared" si="1148"/>
        <v>Without Amendment</v>
      </c>
      <c r="D13058" s="138" t="str">
        <f t="shared" si="1152"/>
        <v>Medium_Low</v>
      </c>
      <c r="E13058" s="138" t="str">
        <f t="shared" si="1149"/>
        <v>Low</v>
      </c>
      <c r="F13058" s="138" t="str">
        <f t="shared" si="1150"/>
        <v>Upgraded</v>
      </c>
      <c r="G13058" s="153"/>
      <c r="H13058" s="210">
        <v>2.8799999999999999E-2</v>
      </c>
      <c r="I13058" s="160" t="s">
        <v>60</v>
      </c>
      <c r="J13058" s="160">
        <v>1.1999999999999999E-3</v>
      </c>
      <c r="K13058" s="160" t="s">
        <v>24</v>
      </c>
      <c r="L13058" s="154" t="str">
        <f>IF(OpenLCAbasic!K13058="CTUh", "Fill in Manually",IF(OR(K13058="Unit", K13058=""), "", INDEX(LookUps!$E$5:$E$12, MATCH(OpenLCAbasic!K13058,LookUps!$D$5:$D$12,0))))</f>
        <v>Acidification Potential (AP) - kg SO2 eq</v>
      </c>
      <c r="M13058" s="154" t="str">
        <f t="shared" si="1146"/>
        <v>Low_Medium_Low_Upgraded_Acidification Potential (AP) - kg SO2 eq_Belt filter press; wastewater treatment unit; at updated plant - US_Without Amendment_Aerated Static Pile</v>
      </c>
    </row>
    <row r="13059" spans="1:13" s="120" customFormat="1" x14ac:dyDescent="0.25">
      <c r="A13059" s="119"/>
      <c r="B13059" s="138" t="str">
        <f t="shared" si="1147"/>
        <v>Aerated Static Pile</v>
      </c>
      <c r="C13059" s="138" t="str">
        <f t="shared" si="1148"/>
        <v>Without Amendment</v>
      </c>
      <c r="D13059" s="138" t="str">
        <f t="shared" si="1152"/>
        <v>Medium_Low</v>
      </c>
      <c r="E13059" s="138" t="str">
        <f t="shared" si="1149"/>
        <v>Low</v>
      </c>
      <c r="F13059" s="138" t="str">
        <f t="shared" si="1150"/>
        <v>Upgraded</v>
      </c>
      <c r="G13059" s="153"/>
      <c r="H13059" s="210">
        <v>1.6799999999999999E-2</v>
      </c>
      <c r="I13059" s="160" t="s">
        <v>57</v>
      </c>
      <c r="J13059" s="160">
        <v>6.9999999999999999E-4</v>
      </c>
      <c r="K13059" s="160" t="s">
        <v>24</v>
      </c>
      <c r="L13059" s="154" t="str">
        <f>IF(OpenLCAbasic!K13059="CTUh", "Fill in Manually",IF(OR(K13059="Unit", K13059=""), "", INDEX(LookUps!$E$5:$E$12, MATCH(OpenLCAbasic!K13059,LookUps!$D$5:$D$12,0))))</f>
        <v>Acidification Potential (AP) - kg SO2 eq</v>
      </c>
      <c r="M13059" s="154" t="str">
        <f t="shared" si="1146"/>
        <v>Low_Medium_Low_Upgraded_Acidification Potential (AP) - kg SO2 eq_Gravity Belt Thickener; wastewater treatment unit; at updated plant - US_Without Amendment_Aerated Static Pile</v>
      </c>
    </row>
    <row r="13060" spans="1:13" s="120" customFormat="1" x14ac:dyDescent="0.25">
      <c r="A13060" s="119"/>
      <c r="B13060" s="138" t="str">
        <f t="shared" si="1147"/>
        <v>Aerated Static Pile</v>
      </c>
      <c r="C13060" s="138" t="str">
        <f t="shared" si="1148"/>
        <v>Without Amendment</v>
      </c>
      <c r="D13060" s="138" t="str">
        <f t="shared" si="1152"/>
        <v>Medium_Low</v>
      </c>
      <c r="E13060" s="138" t="str">
        <f t="shared" si="1149"/>
        <v>Low</v>
      </c>
      <c r="F13060" s="138" t="str">
        <f t="shared" si="1150"/>
        <v>Upgraded</v>
      </c>
      <c r="G13060" s="153"/>
      <c r="H13060" s="210">
        <v>1.24E-2</v>
      </c>
      <c r="I13060" s="160" t="s">
        <v>59</v>
      </c>
      <c r="J13060" s="160">
        <v>5.1999999999999995E-4</v>
      </c>
      <c r="K13060" s="160" t="s">
        <v>24</v>
      </c>
      <c r="L13060" s="154" t="str">
        <f>IF(OpenLCAbasic!K13060="CTUh", "Fill in Manually",IF(OR(K13060="Unit", K13060=""), "", INDEX(LookUps!$E$5:$E$12, MATCH(OpenLCAbasic!K13060,LookUps!$D$5:$D$12,0))))</f>
        <v>Acidification Potential (AP) - kg SO2 eq</v>
      </c>
      <c r="M13060" s="154" t="str">
        <f t="shared" ref="M13060:M13123" si="1153">CONCATENATE(E13060,"_",D13060,"_",F13060,"_",L13060, "_",I13060,"_", C13060,"_", B13060)</f>
        <v>Low_Medium_Low_Upgraded_Acidification Potential (AP) - kg SO2 eq_Blend Tank; wastewater treatment unit; at updated plant - US_Without Amendment_Aerated Static Pile</v>
      </c>
    </row>
    <row r="13061" spans="1:13" s="120" customFormat="1" x14ac:dyDescent="0.25">
      <c r="A13061" s="119"/>
      <c r="B13061" s="138" t="str">
        <f t="shared" si="1147"/>
        <v>Aerated Static Pile</v>
      </c>
      <c r="C13061" s="138" t="str">
        <f t="shared" si="1148"/>
        <v>Without Amendment</v>
      </c>
      <c r="D13061" s="138" t="str">
        <f t="shared" si="1152"/>
        <v>Medium_Low</v>
      </c>
      <c r="E13061" s="138" t="str">
        <f t="shared" si="1149"/>
        <v>Low</v>
      </c>
      <c r="F13061" s="138" t="str">
        <f t="shared" si="1150"/>
        <v>Upgraded</v>
      </c>
      <c r="G13061" s="153"/>
      <c r="H13061" s="210">
        <v>8.3000000000000001E-3</v>
      </c>
      <c r="I13061" s="160" t="s">
        <v>48</v>
      </c>
      <c r="J13061" s="160">
        <v>3.5E-4</v>
      </c>
      <c r="K13061" s="160" t="s">
        <v>24</v>
      </c>
      <c r="L13061" s="154" t="str">
        <f>IF(OpenLCAbasic!K13061="CTUh", "Fill in Manually",IF(OR(K13061="Unit", K13061=""), "", INDEX(LookUps!$E$5:$E$12, MATCH(OpenLCAbasic!K13061,LookUps!$D$5:$D$12,0))))</f>
        <v>Acidification Potential (AP) - kg SO2 eq</v>
      </c>
      <c r="M13061" s="154" t="str">
        <f t="shared" si="1153"/>
        <v>Low_Medium_Low_Upgraded_Acidification Potential (AP) - kg SO2 eq_Effluent release; wastewater treatment unit; at surface water; m3 wastewater - US_Without Amendment_Aerated Static Pile</v>
      </c>
    </row>
    <row r="13062" spans="1:13" s="120" customFormat="1" x14ac:dyDescent="0.25">
      <c r="A13062" s="119"/>
      <c r="B13062" s="138" t="str">
        <f t="shared" si="1147"/>
        <v>Aerated Static Pile</v>
      </c>
      <c r="C13062" s="138" t="str">
        <f t="shared" si="1148"/>
        <v>Without Amendment</v>
      </c>
      <c r="D13062" s="138" t="str">
        <f t="shared" si="1152"/>
        <v>Medium_Low</v>
      </c>
      <c r="E13062" s="138" t="str">
        <f t="shared" si="1149"/>
        <v>Low</v>
      </c>
      <c r="F13062" s="138" t="str">
        <f t="shared" si="1150"/>
        <v>Upgraded</v>
      </c>
      <c r="G13062" s="153"/>
      <c r="H13062" s="210">
        <v>6.1000000000000004E-3</v>
      </c>
      <c r="I13062" s="160" t="s">
        <v>168</v>
      </c>
      <c r="J13062" s="160">
        <v>2.5999999999999998E-4</v>
      </c>
      <c r="K13062" s="160" t="s">
        <v>24</v>
      </c>
      <c r="L13062" s="154" t="str">
        <f>IF(OpenLCAbasic!K13062="CTUh", "Fill in Manually",IF(OR(K13062="Unit", K13062=""), "", INDEX(LookUps!$E$5:$E$12, MATCH(OpenLCAbasic!K13062,LookUps!$D$5:$D$12,0))))</f>
        <v>Acidification Potential (AP) - kg SO2 eq</v>
      </c>
      <c r="M13062" s="154" t="str">
        <f t="shared" si="1153"/>
        <v>Low_Medium_Low_Upgraded_Acidification Potential (AP) - kg SO2 eq_ClearCove SCP; wastewater treatment unit; at updated plant - US_Without Amendment_Aerated Static Pile</v>
      </c>
    </row>
    <row r="13063" spans="1:13" s="120" customFormat="1" x14ac:dyDescent="0.25">
      <c r="A13063" s="119"/>
      <c r="B13063" s="138" t="str">
        <f t="shared" si="1147"/>
        <v>Aerated Static Pile</v>
      </c>
      <c r="C13063" s="138" t="str">
        <f t="shared" si="1148"/>
        <v>Without Amendment</v>
      </c>
      <c r="D13063" s="138" t="str">
        <f t="shared" si="1152"/>
        <v>Medium_Low</v>
      </c>
      <c r="E13063" s="138" t="str">
        <f t="shared" si="1149"/>
        <v>Low</v>
      </c>
      <c r="F13063" s="138" t="str">
        <f t="shared" si="1150"/>
        <v>Upgraded</v>
      </c>
      <c r="G13063" s="153"/>
      <c r="H13063" s="210">
        <v>1E-3</v>
      </c>
      <c r="I13063" s="160" t="s">
        <v>148</v>
      </c>
      <c r="J13063" s="211">
        <v>4.0354700000000002E-5</v>
      </c>
      <c r="K13063" s="160" t="s">
        <v>24</v>
      </c>
      <c r="L13063" s="154" t="str">
        <f>IF(OpenLCAbasic!K13063="CTUh", "Fill in Manually",IF(OR(K13063="Unit", K13063=""), "", INDEX(LookUps!$E$5:$E$12, MATCH(OpenLCAbasic!K13063,LookUps!$D$5:$D$12,0))))</f>
        <v>Acidification Potential (AP) - kg SO2 eq</v>
      </c>
      <c r="M13063" s="154" t="str">
        <f t="shared" si="1153"/>
        <v>Low_Medium_Low_Upgraded_Acidification Potential (AP) - kg SO2 eq_Control Building; at upgraded wastewater treatment plant - US_Without Amendment_Aerated Static Pile</v>
      </c>
    </row>
    <row r="13064" spans="1:13" s="120" customFormat="1" x14ac:dyDescent="0.25">
      <c r="A13064" s="119"/>
      <c r="B13064" s="138" t="str">
        <f t="shared" si="1147"/>
        <v>Aerated Static Pile</v>
      </c>
      <c r="C13064" s="138" t="str">
        <f t="shared" si="1148"/>
        <v>Without Amendment</v>
      </c>
      <c r="D13064" s="138" t="str">
        <f t="shared" si="1152"/>
        <v>Medium_Low</v>
      </c>
      <c r="E13064" s="138" t="str">
        <f t="shared" si="1149"/>
        <v>Low</v>
      </c>
      <c r="F13064" s="138" t="str">
        <f t="shared" si="1150"/>
        <v>Upgraded</v>
      </c>
      <c r="G13064" s="153"/>
      <c r="H13064" s="210">
        <v>-6.6500000000000004E-2</v>
      </c>
      <c r="I13064" s="160" t="s">
        <v>149</v>
      </c>
      <c r="J13064" s="160">
        <v>-2.7799999999999999E-3</v>
      </c>
      <c r="K13064" s="160" t="s">
        <v>24</v>
      </c>
      <c r="L13064" s="154" t="str">
        <f>IF(OpenLCAbasic!K13064="CTUh", "Fill in Manually",IF(OR(K13064="Unit", K13064=""), "", INDEX(LookUps!$E$5:$E$12, MATCH(OpenLCAbasic!K13064,LookUps!$D$5:$D$12,0))))</f>
        <v>Acidification Potential (AP) - kg SO2 eq</v>
      </c>
      <c r="M13064" s="154" t="str">
        <f t="shared" si="1153"/>
        <v>Low_Medium_Low_Upgraded_Acidification Potential (AP) - kg SO2 eq_Anaerobic Digestion; wastewater treatment unit; at updated plant - US_Without Amendment_Aerated Static Pile</v>
      </c>
    </row>
    <row r="13065" spans="1:13" s="120" customFormat="1" x14ac:dyDescent="0.25">
      <c r="A13065" s="119"/>
      <c r="B13065" s="138" t="str">
        <f t="shared" si="1147"/>
        <v/>
      </c>
      <c r="C13065" s="138" t="str">
        <f t="shared" si="1148"/>
        <v/>
      </c>
      <c r="D13065" s="138" t="str">
        <f t="shared" si="1152"/>
        <v/>
      </c>
      <c r="E13065" s="138" t="str">
        <f t="shared" si="1149"/>
        <v/>
      </c>
      <c r="F13065" s="138" t="str">
        <f t="shared" si="1150"/>
        <v/>
      </c>
      <c r="G13065" s="153" t="s">
        <v>51</v>
      </c>
      <c r="H13065" s="160"/>
      <c r="I13065" s="160" t="s">
        <v>47</v>
      </c>
      <c r="J13065" s="160" t="s">
        <v>52</v>
      </c>
      <c r="K13065" s="160" t="s">
        <v>27</v>
      </c>
      <c r="L13065" s="154" t="str">
        <f>IF(OpenLCAbasic!K13065="CTUh", "Fill in Manually",IF(OR(K13065="Unit", K13065=""), "", INDEX(LookUps!$E$5:$E$12, MATCH(OpenLCAbasic!K13065,LookUps!$D$5:$D$12,0))))</f>
        <v/>
      </c>
      <c r="M13065" s="154" t="str">
        <f t="shared" si="1153"/>
        <v>____Process__</v>
      </c>
    </row>
    <row r="13066" spans="1:13" s="120" customFormat="1" x14ac:dyDescent="0.25">
      <c r="A13066" s="119"/>
      <c r="B13066" s="138" t="str">
        <f t="shared" si="1147"/>
        <v>Aerated Static Pile</v>
      </c>
      <c r="C13066" s="138" t="str">
        <f t="shared" si="1148"/>
        <v>Without Amendment</v>
      </c>
      <c r="D13066" s="138" t="str">
        <f t="shared" si="1152"/>
        <v>Medium_Low</v>
      </c>
      <c r="E13066" s="138" t="str">
        <f t="shared" si="1149"/>
        <v>Low</v>
      </c>
      <c r="F13066" s="138" t="str">
        <f t="shared" si="1150"/>
        <v>Upgraded</v>
      </c>
      <c r="G13066" s="153"/>
      <c r="H13066" s="210">
        <v>0.3226</v>
      </c>
      <c r="I13066" s="160" t="s">
        <v>167</v>
      </c>
      <c r="J13066" s="160">
        <v>4.2789599999999997</v>
      </c>
      <c r="K13066" s="160" t="s">
        <v>15</v>
      </c>
      <c r="L13066" s="154" t="str">
        <f>IF(OpenLCAbasic!K13066="CTUh", "Fill in Manually",IF(OR(K13066="Unit", K13066=""), "", INDEX(LookUps!$E$5:$E$12, MATCH(OpenLCAbasic!K13066,LookUps!$D$5:$D$12,0))))</f>
        <v>Cumulative Energy Demand (CED) - MJ</v>
      </c>
      <c r="M13066" s="154" t="str">
        <f t="shared" si="1153"/>
        <v>Low_Medium_Low_Upgraded_Cumulative Energy Demand (CED) - MJ_Waste Receiving and Holding; wastewater treatment unit; at updated plant - US_Without Amendment_Aerated Static Pile</v>
      </c>
    </row>
    <row r="13067" spans="1:13" s="120" customFormat="1" x14ac:dyDescent="0.25">
      <c r="A13067" s="119"/>
      <c r="B13067" s="138" t="str">
        <f t="shared" si="1147"/>
        <v>Aerated Static Pile</v>
      </c>
      <c r="C13067" s="138" t="str">
        <f t="shared" si="1148"/>
        <v>Without Amendment</v>
      </c>
      <c r="D13067" s="138" t="str">
        <f t="shared" si="1152"/>
        <v>Medium_Low</v>
      </c>
      <c r="E13067" s="138" t="str">
        <f t="shared" si="1149"/>
        <v>Low</v>
      </c>
      <c r="F13067" s="138" t="str">
        <f t="shared" si="1150"/>
        <v>Upgraded</v>
      </c>
      <c r="G13067" s="153"/>
      <c r="H13067" s="210">
        <v>0.26640000000000003</v>
      </c>
      <c r="I13067" s="160" t="s">
        <v>55</v>
      </c>
      <c r="J13067" s="160">
        <v>3.5330499999999998</v>
      </c>
      <c r="K13067" s="160" t="s">
        <v>15</v>
      </c>
      <c r="L13067" s="154" t="str">
        <f>IF(OpenLCAbasic!K13067="CTUh", "Fill in Manually",IF(OR(K13067="Unit", K13067=""), "", INDEX(LookUps!$E$5:$E$12, MATCH(OpenLCAbasic!K13067,LookUps!$D$5:$D$12,0))))</f>
        <v>Cumulative Energy Demand (CED) - MJ</v>
      </c>
      <c r="M13067" s="154" t="str">
        <f t="shared" si="1153"/>
        <v>Low_Medium_Low_Upgraded_Cumulative Energy Demand (CED) - MJ_Aeration Tanks; wastewater treatment unit; at updated plant - US_Without Amendment_Aerated Static Pile</v>
      </c>
    </row>
    <row r="13068" spans="1:13" s="120" customFormat="1" x14ac:dyDescent="0.25">
      <c r="A13068" s="119"/>
      <c r="B13068" s="138" t="str">
        <f t="shared" si="1147"/>
        <v>Aerated Static Pile</v>
      </c>
      <c r="C13068" s="138" t="str">
        <f t="shared" si="1148"/>
        <v>Without Amendment</v>
      </c>
      <c r="D13068" s="138" t="str">
        <f t="shared" si="1152"/>
        <v>Medium_Low</v>
      </c>
      <c r="E13068" s="138" t="str">
        <f t="shared" si="1149"/>
        <v>Low</v>
      </c>
      <c r="F13068" s="138" t="str">
        <f t="shared" si="1150"/>
        <v>Upgraded</v>
      </c>
      <c r="G13068" s="153"/>
      <c r="H13068" s="210">
        <v>8.77E-2</v>
      </c>
      <c r="I13068" s="160" t="s">
        <v>54</v>
      </c>
      <c r="J13068" s="160">
        <v>1.16289</v>
      </c>
      <c r="K13068" s="160" t="s">
        <v>15</v>
      </c>
      <c r="L13068" s="154" t="str">
        <f>IF(OpenLCAbasic!K13068="CTUh", "Fill in Manually",IF(OR(K13068="Unit", K13068=""), "", INDEX(LookUps!$E$5:$E$12, MATCH(OpenLCAbasic!K13068,LookUps!$D$5:$D$12,0))))</f>
        <v>Cumulative Energy Demand (CED) - MJ</v>
      </c>
      <c r="M13068" s="154" t="str">
        <f t="shared" si="1153"/>
        <v>Low_Medium_Low_Upgraded_Cumulative Energy Demand (CED) - MJ_Clear Cove Primary Clarification; wastewater treatment unit; at updated plant - US_Without Amendment_Aerated Static Pile</v>
      </c>
    </row>
    <row r="13069" spans="1:13" s="120" customFormat="1" x14ac:dyDescent="0.25">
      <c r="A13069" s="119"/>
      <c r="B13069" s="138" t="str">
        <f t="shared" si="1147"/>
        <v>Aerated Static Pile</v>
      </c>
      <c r="C13069" s="138" t="str">
        <f t="shared" si="1148"/>
        <v>Without Amendment</v>
      </c>
      <c r="D13069" s="138" t="str">
        <f t="shared" si="1152"/>
        <v>Medium_Low</v>
      </c>
      <c r="E13069" s="138" t="str">
        <f t="shared" si="1149"/>
        <v>Low</v>
      </c>
      <c r="F13069" s="138" t="str">
        <f t="shared" si="1150"/>
        <v>Upgraded</v>
      </c>
      <c r="G13069" s="153"/>
      <c r="H13069" s="210">
        <v>6.6900000000000001E-2</v>
      </c>
      <c r="I13069" s="160" t="s">
        <v>58</v>
      </c>
      <c r="J13069" s="160">
        <v>0.88705000000000001</v>
      </c>
      <c r="K13069" s="160" t="s">
        <v>15</v>
      </c>
      <c r="L13069" s="154" t="str">
        <f>IF(OpenLCAbasic!K13069="CTUh", "Fill in Manually",IF(OR(K13069="Unit", K13069=""), "", INDEX(LookUps!$E$5:$E$12, MATCH(OpenLCAbasic!K13069,LookUps!$D$5:$D$12,0))))</f>
        <v>Cumulative Energy Demand (CED) - MJ</v>
      </c>
      <c r="M13069" s="154" t="str">
        <f t="shared" si="1153"/>
        <v>Low_Medium_Low_Upgraded_Cumulative Energy Demand (CED) - MJ_Pre-Anoxic &amp; Swing tank; wastewater treatment unit; at updated plant - US_Without Amendment_Aerated Static Pile</v>
      </c>
    </row>
    <row r="13070" spans="1:13" s="120" customFormat="1" x14ac:dyDescent="0.25">
      <c r="A13070" s="119"/>
      <c r="B13070" s="138" t="str">
        <f t="shared" si="1147"/>
        <v>Aerated Static Pile</v>
      </c>
      <c r="C13070" s="138" t="str">
        <f t="shared" si="1148"/>
        <v>Without Amendment</v>
      </c>
      <c r="D13070" s="138" t="str">
        <f t="shared" si="1152"/>
        <v>Medium_Low</v>
      </c>
      <c r="E13070" s="138" t="str">
        <f t="shared" si="1149"/>
        <v>Low</v>
      </c>
      <c r="F13070" s="138" t="str">
        <f t="shared" si="1150"/>
        <v>Upgraded</v>
      </c>
      <c r="G13070" s="153"/>
      <c r="H13070" s="210">
        <v>6.6600000000000006E-2</v>
      </c>
      <c r="I13070" s="160" t="s">
        <v>147</v>
      </c>
      <c r="J13070" s="160">
        <v>0.88297000000000003</v>
      </c>
      <c r="K13070" s="160" t="s">
        <v>15</v>
      </c>
      <c r="L13070" s="154" t="str">
        <f>IF(OpenLCAbasic!K13070="CTUh", "Fill in Manually",IF(OR(K13070="Unit", K13070=""), "", INDEX(LookUps!$E$5:$E$12, MATCH(OpenLCAbasic!K13070,LookUps!$D$5:$D$12,0))))</f>
        <v>Cumulative Energy Demand (CED) - MJ</v>
      </c>
      <c r="M13070" s="154" t="str">
        <f t="shared" si="1153"/>
        <v>Low_Medium_Low_Upgraded_Cumulative Energy Demand (CED) - MJ_Influent Pump Station; wastewater treatment unit; at updated plant - US_Without Amendment_Aerated Static Pile</v>
      </c>
    </row>
    <row r="13071" spans="1:13" s="120" customFormat="1" x14ac:dyDescent="0.25">
      <c r="A13071" s="119"/>
      <c r="B13071" s="138" t="str">
        <f t="shared" si="1147"/>
        <v>Aerated Static Pile</v>
      </c>
      <c r="C13071" s="138" t="str">
        <f t="shared" si="1148"/>
        <v>Without Amendment</v>
      </c>
      <c r="D13071" s="138" t="str">
        <f t="shared" si="1152"/>
        <v>Medium_Low</v>
      </c>
      <c r="E13071" s="138" t="str">
        <f t="shared" si="1149"/>
        <v>Low</v>
      </c>
      <c r="F13071" s="138" t="str">
        <f t="shared" si="1150"/>
        <v>Upgraded</v>
      </c>
      <c r="G13071" s="153"/>
      <c r="H13071" s="210">
        <v>5.2499999999999998E-2</v>
      </c>
      <c r="I13071" s="160" t="s">
        <v>53</v>
      </c>
      <c r="J13071" s="160">
        <v>0.69645000000000001</v>
      </c>
      <c r="K13071" s="160" t="s">
        <v>15</v>
      </c>
      <c r="L13071" s="154" t="str">
        <f>IF(OpenLCAbasic!K13071="CTUh", "Fill in Manually",IF(OR(K13071="Unit", K13071=""), "", INDEX(LookUps!$E$5:$E$12, MATCH(OpenLCAbasic!K13071,LookUps!$D$5:$D$12,0))))</f>
        <v>Cumulative Energy Demand (CED) - MJ</v>
      </c>
      <c r="M13071" s="154" t="str">
        <f t="shared" si="1153"/>
        <v>Low_Medium_Low_Upgraded_Cumulative Energy Demand (CED) - MJ_Wet Well and Sump Station; wastewater treatment unit; at updated plant - US_Without Amendment_Aerated Static Pile</v>
      </c>
    </row>
    <row r="13072" spans="1:13" s="120" customFormat="1" x14ac:dyDescent="0.25">
      <c r="A13072" s="119"/>
      <c r="B13072" s="138" t="str">
        <f t="shared" si="1147"/>
        <v>Aerated Static Pile</v>
      </c>
      <c r="C13072" s="138" t="str">
        <f t="shared" si="1148"/>
        <v>Without Amendment</v>
      </c>
      <c r="D13072" s="138" t="str">
        <f t="shared" si="1152"/>
        <v>Medium_Low</v>
      </c>
      <c r="E13072" s="138" t="str">
        <f t="shared" si="1149"/>
        <v>Low</v>
      </c>
      <c r="F13072" s="138" t="str">
        <f t="shared" si="1150"/>
        <v>Upgraded</v>
      </c>
      <c r="G13072" s="153"/>
      <c r="H13072" s="210">
        <v>4.0899999999999999E-2</v>
      </c>
      <c r="I13072" s="160" t="s">
        <v>435</v>
      </c>
      <c r="J13072" s="160">
        <v>0.54220000000000002</v>
      </c>
      <c r="K13072" s="160" t="s">
        <v>15</v>
      </c>
      <c r="L13072" s="154" t="str">
        <f>IF(OpenLCAbasic!K13072="CTUh", "Fill in Manually",IF(OR(K13072="Unit", K13072=""), "", INDEX(LookUps!$E$5:$E$12, MATCH(OpenLCAbasic!K13072,LookUps!$D$5:$D$12,0))))</f>
        <v>Cumulative Energy Demand (CED) - MJ</v>
      </c>
      <c r="M13072" s="154" t="str">
        <f t="shared" si="1153"/>
        <v>Low_Medium_Low_Upgraded_Cumulative Energy Demand (CED) - MJ_Biosolids composting; aerated static pile; wastewater treatment unit; at updated plant - US_Without Amendment_Aerated Static Pile</v>
      </c>
    </row>
    <row r="13073" spans="1:13" s="120" customFormat="1" x14ac:dyDescent="0.25">
      <c r="A13073" s="119"/>
      <c r="B13073" s="138" t="str">
        <f t="shared" si="1147"/>
        <v>Aerated Static Pile</v>
      </c>
      <c r="C13073" s="138" t="str">
        <f t="shared" si="1148"/>
        <v>Without Amendment</v>
      </c>
      <c r="D13073" s="138" t="str">
        <f t="shared" si="1152"/>
        <v>Medium_Low</v>
      </c>
      <c r="E13073" s="138" t="str">
        <f t="shared" si="1149"/>
        <v>Low</v>
      </c>
      <c r="F13073" s="138" t="str">
        <f t="shared" si="1150"/>
        <v>Upgraded</v>
      </c>
      <c r="G13073" s="153"/>
      <c r="H13073" s="210">
        <v>3.39E-2</v>
      </c>
      <c r="I13073" s="160" t="s">
        <v>60</v>
      </c>
      <c r="J13073" s="160">
        <v>0.44939000000000001</v>
      </c>
      <c r="K13073" s="160" t="s">
        <v>15</v>
      </c>
      <c r="L13073" s="154" t="str">
        <f>IF(OpenLCAbasic!K13073="CTUh", "Fill in Manually",IF(OR(K13073="Unit", K13073=""), "", INDEX(LookUps!$E$5:$E$12, MATCH(OpenLCAbasic!K13073,LookUps!$D$5:$D$12,0))))</f>
        <v>Cumulative Energy Demand (CED) - MJ</v>
      </c>
      <c r="M13073" s="154" t="str">
        <f t="shared" si="1153"/>
        <v>Low_Medium_Low_Upgraded_Cumulative Energy Demand (CED) - MJ_Belt filter press; wastewater treatment unit; at updated plant - US_Without Amendment_Aerated Static Pile</v>
      </c>
    </row>
    <row r="13074" spans="1:13" s="120" customFormat="1" x14ac:dyDescent="0.25">
      <c r="A13074" s="119"/>
      <c r="B13074" s="138" t="str">
        <f t="shared" si="1147"/>
        <v>Aerated Static Pile</v>
      </c>
      <c r="C13074" s="138" t="str">
        <f t="shared" si="1148"/>
        <v>Without Amendment</v>
      </c>
      <c r="D13074" s="138" t="str">
        <f t="shared" si="1152"/>
        <v>Medium_Low</v>
      </c>
      <c r="E13074" s="138" t="str">
        <f t="shared" si="1149"/>
        <v>Low</v>
      </c>
      <c r="F13074" s="138" t="str">
        <f t="shared" si="1150"/>
        <v>Upgraded</v>
      </c>
      <c r="G13074" s="153"/>
      <c r="H13074" s="210">
        <v>2.52E-2</v>
      </c>
      <c r="I13074" s="160" t="s">
        <v>57</v>
      </c>
      <c r="J13074" s="160">
        <v>0.33404</v>
      </c>
      <c r="K13074" s="160" t="s">
        <v>15</v>
      </c>
      <c r="L13074" s="154" t="str">
        <f>IF(OpenLCAbasic!K13074="CTUh", "Fill in Manually",IF(OR(K13074="Unit", K13074=""), "", INDEX(LookUps!$E$5:$E$12, MATCH(OpenLCAbasic!K13074,LookUps!$D$5:$D$12,0))))</f>
        <v>Cumulative Energy Demand (CED) - MJ</v>
      </c>
      <c r="M13074" s="154" t="str">
        <f t="shared" si="1153"/>
        <v>Low_Medium_Low_Upgraded_Cumulative Energy Demand (CED) - MJ_Gravity Belt Thickener; wastewater treatment unit; at updated plant - US_Without Amendment_Aerated Static Pile</v>
      </c>
    </row>
    <row r="13075" spans="1:13" s="120" customFormat="1" x14ac:dyDescent="0.25">
      <c r="A13075" s="119"/>
      <c r="B13075" s="138" t="str">
        <f t="shared" si="1147"/>
        <v>Aerated Static Pile</v>
      </c>
      <c r="C13075" s="138" t="str">
        <f t="shared" si="1148"/>
        <v>Without Amendment</v>
      </c>
      <c r="D13075" s="138" t="str">
        <f t="shared" si="1152"/>
        <v>Medium_Low</v>
      </c>
      <c r="E13075" s="138" t="str">
        <f t="shared" si="1149"/>
        <v>Low</v>
      </c>
      <c r="F13075" s="138" t="str">
        <f t="shared" si="1150"/>
        <v>Upgraded</v>
      </c>
      <c r="G13075" s="153"/>
      <c r="H13075" s="210">
        <v>2.07E-2</v>
      </c>
      <c r="I13075" s="160" t="s">
        <v>149</v>
      </c>
      <c r="J13075" s="160">
        <v>0.27453</v>
      </c>
      <c r="K13075" s="160" t="s">
        <v>15</v>
      </c>
      <c r="L13075" s="154" t="str">
        <f>IF(OpenLCAbasic!K13075="CTUh", "Fill in Manually",IF(OR(K13075="Unit", K13075=""), "", INDEX(LookUps!$E$5:$E$12, MATCH(OpenLCAbasic!K13075,LookUps!$D$5:$D$12,0))))</f>
        <v>Cumulative Energy Demand (CED) - MJ</v>
      </c>
      <c r="M13075" s="154" t="str">
        <f t="shared" si="1153"/>
        <v>Low_Medium_Low_Upgraded_Cumulative Energy Demand (CED) - MJ_Anaerobic Digestion; wastewater treatment unit; at updated plant - US_Without Amendment_Aerated Static Pile</v>
      </c>
    </row>
    <row r="13076" spans="1:13" s="120" customFormat="1" x14ac:dyDescent="0.25">
      <c r="A13076" s="119"/>
      <c r="B13076" s="138" t="str">
        <f t="shared" si="1147"/>
        <v>Aerated Static Pile</v>
      </c>
      <c r="C13076" s="138" t="str">
        <f t="shared" si="1148"/>
        <v>Without Amendment</v>
      </c>
      <c r="D13076" s="138" t="str">
        <f t="shared" si="1152"/>
        <v>Medium_Low</v>
      </c>
      <c r="E13076" s="138" t="str">
        <f t="shared" si="1149"/>
        <v>Low</v>
      </c>
      <c r="F13076" s="138" t="str">
        <f t="shared" si="1150"/>
        <v>Upgraded</v>
      </c>
      <c r="G13076" s="153"/>
      <c r="H13076" s="210">
        <v>1.9300000000000001E-2</v>
      </c>
      <c r="I13076" s="160" t="s">
        <v>128</v>
      </c>
      <c r="J13076" s="160">
        <v>0.25606000000000001</v>
      </c>
      <c r="K13076" s="160" t="s">
        <v>15</v>
      </c>
      <c r="L13076" s="154" t="str">
        <f>IF(OpenLCAbasic!K13076="CTUh", "Fill in Manually",IF(OR(K13076="Unit", K13076=""), "", INDEX(LookUps!$E$5:$E$12, MATCH(OpenLCAbasic!K13076,LookUps!$D$5:$D$12,0))))</f>
        <v>Cumulative Energy Demand (CED) - MJ</v>
      </c>
      <c r="M13076" s="154" t="str">
        <f t="shared" si="1153"/>
        <v>Low_Medium_Low_Upgraded_Cumulative Energy Demand (CED) - MJ_Wastewater collection; operation and infrastructure; m3 wastewater_Without Amendment_Aerated Static Pile</v>
      </c>
    </row>
    <row r="13077" spans="1:13" s="120" customFormat="1" x14ac:dyDescent="0.25">
      <c r="A13077" s="119"/>
      <c r="B13077" s="138" t="str">
        <f t="shared" si="1147"/>
        <v>Aerated Static Pile</v>
      </c>
      <c r="C13077" s="138" t="str">
        <f t="shared" si="1148"/>
        <v>Without Amendment</v>
      </c>
      <c r="D13077" s="138" t="str">
        <f t="shared" si="1152"/>
        <v>Medium_Low</v>
      </c>
      <c r="E13077" s="138" t="str">
        <f t="shared" si="1149"/>
        <v>Low</v>
      </c>
      <c r="F13077" s="138" t="str">
        <f t="shared" si="1150"/>
        <v>Upgraded</v>
      </c>
      <c r="G13077" s="153"/>
      <c r="H13077" s="210">
        <v>1.0999999999999999E-2</v>
      </c>
      <c r="I13077" s="160" t="s">
        <v>148</v>
      </c>
      <c r="J13077" s="160">
        <v>0.14599000000000001</v>
      </c>
      <c r="K13077" s="160" t="s">
        <v>15</v>
      </c>
      <c r="L13077" s="154" t="str">
        <f>IF(OpenLCAbasic!K13077="CTUh", "Fill in Manually",IF(OR(K13077="Unit", K13077=""), "", INDEX(LookUps!$E$5:$E$12, MATCH(OpenLCAbasic!K13077,LookUps!$D$5:$D$12,0))))</f>
        <v>Cumulative Energy Demand (CED) - MJ</v>
      </c>
      <c r="M13077" s="154" t="str">
        <f t="shared" si="1153"/>
        <v>Low_Medium_Low_Upgraded_Cumulative Energy Demand (CED) - MJ_Control Building; at upgraded wastewater treatment plant - US_Without Amendment_Aerated Static Pile</v>
      </c>
    </row>
    <row r="13078" spans="1:13" s="120" customFormat="1" x14ac:dyDescent="0.25">
      <c r="A13078" s="119"/>
      <c r="B13078" s="138" t="str">
        <f t="shared" si="1147"/>
        <v>Aerated Static Pile</v>
      </c>
      <c r="C13078" s="138" t="str">
        <f t="shared" si="1148"/>
        <v>Without Amendment</v>
      </c>
      <c r="D13078" s="138" t="str">
        <f t="shared" si="1152"/>
        <v>Medium_Low</v>
      </c>
      <c r="E13078" s="138" t="str">
        <f t="shared" si="1149"/>
        <v>Low</v>
      </c>
      <c r="F13078" s="138" t="str">
        <f t="shared" si="1150"/>
        <v>Upgraded</v>
      </c>
      <c r="G13078" s="153"/>
      <c r="H13078" s="210">
        <v>0.01</v>
      </c>
      <c r="I13078" s="160" t="s">
        <v>48</v>
      </c>
      <c r="J13078" s="160">
        <v>0.13321</v>
      </c>
      <c r="K13078" s="160" t="s">
        <v>15</v>
      </c>
      <c r="L13078" s="154" t="str">
        <f>IF(OpenLCAbasic!K13078="CTUh", "Fill in Manually",IF(OR(K13078="Unit", K13078=""), "", INDEX(LookUps!$E$5:$E$12, MATCH(OpenLCAbasic!K13078,LookUps!$D$5:$D$12,0))))</f>
        <v>Cumulative Energy Demand (CED) - MJ</v>
      </c>
      <c r="M13078" s="154" t="str">
        <f t="shared" si="1153"/>
        <v>Low_Medium_Low_Upgraded_Cumulative Energy Demand (CED) - MJ_Effluent release; wastewater treatment unit; at surface water; m3 wastewater - US_Without Amendment_Aerated Static Pile</v>
      </c>
    </row>
    <row r="13079" spans="1:13" s="120" customFormat="1" x14ac:dyDescent="0.25">
      <c r="A13079" s="119"/>
      <c r="B13079" s="138" t="str">
        <f t="shared" si="1147"/>
        <v>Aerated Static Pile</v>
      </c>
      <c r="C13079" s="138" t="str">
        <f t="shared" si="1148"/>
        <v>Without Amendment</v>
      </c>
      <c r="D13079" s="138" t="str">
        <f t="shared" si="1152"/>
        <v>Medium_Low</v>
      </c>
      <c r="E13079" s="138" t="str">
        <f t="shared" si="1149"/>
        <v>Low</v>
      </c>
      <c r="F13079" s="138" t="str">
        <f t="shared" si="1150"/>
        <v>Upgraded</v>
      </c>
      <c r="G13079" s="153"/>
      <c r="H13079" s="210">
        <v>8.0000000000000002E-3</v>
      </c>
      <c r="I13079" s="160" t="s">
        <v>59</v>
      </c>
      <c r="J13079" s="160">
        <v>0.10638</v>
      </c>
      <c r="K13079" s="160" t="s">
        <v>15</v>
      </c>
      <c r="L13079" s="154" t="str">
        <f>IF(OpenLCAbasic!K13079="CTUh", "Fill in Manually",IF(OR(K13079="Unit", K13079=""), "", INDEX(LookUps!$E$5:$E$12, MATCH(OpenLCAbasic!K13079,LookUps!$D$5:$D$12,0))))</f>
        <v>Cumulative Energy Demand (CED) - MJ</v>
      </c>
      <c r="M13079" s="154" t="str">
        <f t="shared" si="1153"/>
        <v>Low_Medium_Low_Upgraded_Cumulative Energy Demand (CED) - MJ_Blend Tank; wastewater treatment unit; at updated plant - US_Without Amendment_Aerated Static Pile</v>
      </c>
    </row>
    <row r="13080" spans="1:13" s="120" customFormat="1" x14ac:dyDescent="0.25">
      <c r="A13080" s="119"/>
      <c r="B13080" s="138" t="str">
        <f t="shared" si="1147"/>
        <v>Aerated Static Pile</v>
      </c>
      <c r="C13080" s="138" t="str">
        <f t="shared" si="1148"/>
        <v>Without Amendment</v>
      </c>
      <c r="D13080" s="138" t="str">
        <f t="shared" si="1152"/>
        <v>Medium_Low</v>
      </c>
      <c r="E13080" s="138" t="str">
        <f t="shared" si="1149"/>
        <v>Low</v>
      </c>
      <c r="F13080" s="138" t="str">
        <f t="shared" si="1150"/>
        <v>Upgraded</v>
      </c>
      <c r="G13080" s="153"/>
      <c r="H13080" s="210">
        <v>3.8E-3</v>
      </c>
      <c r="I13080" s="160" t="s">
        <v>168</v>
      </c>
      <c r="J13080" s="160">
        <v>5.0930000000000003E-2</v>
      </c>
      <c r="K13080" s="160" t="s">
        <v>15</v>
      </c>
      <c r="L13080" s="154" t="str">
        <f>IF(OpenLCAbasic!K13080="CTUh", "Fill in Manually",IF(OR(K13080="Unit", K13080=""), "", INDEX(LookUps!$E$5:$E$12, MATCH(OpenLCAbasic!K13080,LookUps!$D$5:$D$12,0))))</f>
        <v>Cumulative Energy Demand (CED) - MJ</v>
      </c>
      <c r="M13080" s="154" t="str">
        <f t="shared" si="1153"/>
        <v>Low_Medium_Low_Upgraded_Cumulative Energy Demand (CED) - MJ_ClearCove SCP; wastewater treatment unit; at updated plant - US_Without Amendment_Aerated Static Pile</v>
      </c>
    </row>
    <row r="13081" spans="1:13" s="120" customFormat="1" x14ac:dyDescent="0.25">
      <c r="A13081" s="119"/>
      <c r="B13081" s="138" t="str">
        <f t="shared" si="1147"/>
        <v>Aerated Static Pile</v>
      </c>
      <c r="C13081" s="138" t="str">
        <f t="shared" si="1148"/>
        <v>Without Amendment</v>
      </c>
      <c r="D13081" s="138" t="str">
        <f t="shared" si="1152"/>
        <v>Medium_Low</v>
      </c>
      <c r="E13081" s="138" t="str">
        <f t="shared" si="1149"/>
        <v>Low</v>
      </c>
      <c r="F13081" s="138" t="str">
        <f t="shared" si="1150"/>
        <v>Upgraded</v>
      </c>
      <c r="G13081" s="153"/>
      <c r="H13081" s="210">
        <v>-3.5499999999999997E-2</v>
      </c>
      <c r="I13081" s="160" t="s">
        <v>62</v>
      </c>
      <c r="J13081" s="160">
        <v>-0.47099999999999997</v>
      </c>
      <c r="K13081" s="160" t="s">
        <v>15</v>
      </c>
      <c r="L13081" s="154" t="str">
        <f>IF(OpenLCAbasic!K13081="CTUh", "Fill in Manually",IF(OR(K13081="Unit", K13081=""), "", INDEX(LookUps!$E$5:$E$12, MATCH(OpenLCAbasic!K13081,LookUps!$D$5:$D$12,0))))</f>
        <v>Cumulative Energy Demand (CED) - MJ</v>
      </c>
      <c r="M13081" s="154" t="str">
        <f t="shared" si="1153"/>
        <v>Low_Medium_Low_Upgraded_Cumulative Energy Demand (CED) - MJ_Land application of compost; wastewater treatment unit; at updated plant - US_Without Amendment_Aerated Static Pile</v>
      </c>
    </row>
    <row r="13082" spans="1:13" s="120" customFormat="1" x14ac:dyDescent="0.25">
      <c r="A13082" s="119"/>
      <c r="B13082" s="138" t="str">
        <f t="shared" si="1147"/>
        <v/>
      </c>
      <c r="C13082" s="138" t="str">
        <f t="shared" si="1148"/>
        <v/>
      </c>
      <c r="D13082" s="138" t="str">
        <f t="shared" si="1152"/>
        <v/>
      </c>
      <c r="E13082" s="138" t="str">
        <f t="shared" si="1149"/>
        <v/>
      </c>
      <c r="F13082" s="138" t="str">
        <f t="shared" si="1150"/>
        <v/>
      </c>
      <c r="G13082" s="153" t="s">
        <v>51</v>
      </c>
      <c r="H13082" s="160"/>
      <c r="I13082" s="160" t="s">
        <v>47</v>
      </c>
      <c r="J13082" s="160" t="s">
        <v>52</v>
      </c>
      <c r="K13082" s="160" t="s">
        <v>27</v>
      </c>
      <c r="L13082" s="154" t="str">
        <f>IF(OpenLCAbasic!K13082="CTUh", "Fill in Manually",IF(OR(K13082="Unit", K13082=""), "", INDEX(LookUps!$E$5:$E$12, MATCH(OpenLCAbasic!K13082,LookUps!$D$5:$D$12,0))))</f>
        <v/>
      </c>
      <c r="M13082" s="154" t="str">
        <f t="shared" si="1153"/>
        <v>____Process__</v>
      </c>
    </row>
    <row r="13083" spans="1:13" s="120" customFormat="1" x14ac:dyDescent="0.25">
      <c r="A13083" s="119"/>
      <c r="B13083" s="138" t="str">
        <f t="shared" si="1147"/>
        <v>Aerated Static Pile</v>
      </c>
      <c r="C13083" s="138" t="str">
        <f t="shared" si="1148"/>
        <v>Without Amendment</v>
      </c>
      <c r="D13083" s="138" t="str">
        <f t="shared" si="1152"/>
        <v>Medium_Low</v>
      </c>
      <c r="E13083" s="138" t="str">
        <f t="shared" si="1149"/>
        <v>Low</v>
      </c>
      <c r="F13083" s="138" t="str">
        <f t="shared" si="1150"/>
        <v>Upgraded</v>
      </c>
      <c r="G13083" s="153"/>
      <c r="H13083" s="210">
        <v>0.75539999999999996</v>
      </c>
      <c r="I13083" s="160" t="s">
        <v>48</v>
      </c>
      <c r="J13083" s="160">
        <v>1.1610000000000001E-2</v>
      </c>
      <c r="K13083" s="160" t="s">
        <v>13</v>
      </c>
      <c r="L13083" s="154" t="str">
        <f>IF(OpenLCAbasic!K13083="CTUh", "Fill in Manually",IF(OR(K13083="Unit", K13083=""), "", INDEX(LookUps!$E$5:$E$12, MATCH(OpenLCAbasic!K13083,LookUps!$D$5:$D$12,0))))</f>
        <v>Eutrophication Potential (EP) - kg N eq</v>
      </c>
      <c r="M13083" s="154" t="str">
        <f t="shared" si="1153"/>
        <v>Low_Medium_Low_Upgraded_Eutrophication Potential (EP) - kg N eq_Effluent release; wastewater treatment unit; at surface water; m3 wastewater - US_Without Amendment_Aerated Static Pile</v>
      </c>
    </row>
    <row r="13084" spans="1:13" s="120" customFormat="1" x14ac:dyDescent="0.25">
      <c r="A13084" s="119"/>
      <c r="B13084" s="138" t="str">
        <f t="shared" si="1147"/>
        <v>Aerated Static Pile</v>
      </c>
      <c r="C13084" s="138" t="str">
        <f t="shared" si="1148"/>
        <v>Without Amendment</v>
      </c>
      <c r="D13084" s="138" t="str">
        <f t="shared" si="1152"/>
        <v>Medium_Low</v>
      </c>
      <c r="E13084" s="138" t="str">
        <f t="shared" si="1149"/>
        <v>Low</v>
      </c>
      <c r="F13084" s="138" t="str">
        <f t="shared" si="1150"/>
        <v>Upgraded</v>
      </c>
      <c r="G13084" s="153"/>
      <c r="H13084" s="210">
        <v>0.13589999999999999</v>
      </c>
      <c r="I13084" s="160" t="s">
        <v>62</v>
      </c>
      <c r="J13084" s="160">
        <v>2.0899999999999998E-3</v>
      </c>
      <c r="K13084" s="160" t="s">
        <v>13</v>
      </c>
      <c r="L13084" s="154" t="str">
        <f>IF(OpenLCAbasic!K13084="CTUh", "Fill in Manually",IF(OR(K13084="Unit", K13084=""), "", INDEX(LookUps!$E$5:$E$12, MATCH(OpenLCAbasic!K13084,LookUps!$D$5:$D$12,0))))</f>
        <v>Eutrophication Potential (EP) - kg N eq</v>
      </c>
      <c r="M13084" s="154" t="str">
        <f t="shared" si="1153"/>
        <v>Low_Medium_Low_Upgraded_Eutrophication Potential (EP) - kg N eq_Land application of compost; wastewater treatment unit; at updated plant - US_Without Amendment_Aerated Static Pile</v>
      </c>
    </row>
    <row r="13085" spans="1:13" s="120" customFormat="1" x14ac:dyDescent="0.25">
      <c r="A13085" s="119"/>
      <c r="B13085" s="138" t="str">
        <f t="shared" si="1147"/>
        <v>Aerated Static Pile</v>
      </c>
      <c r="C13085" s="138" t="str">
        <f t="shared" si="1148"/>
        <v>Without Amendment</v>
      </c>
      <c r="D13085" s="138" t="str">
        <f t="shared" si="1152"/>
        <v>Medium_Low</v>
      </c>
      <c r="E13085" s="138" t="str">
        <f t="shared" si="1149"/>
        <v>Low</v>
      </c>
      <c r="F13085" s="138" t="str">
        <f t="shared" si="1150"/>
        <v>Upgraded</v>
      </c>
      <c r="G13085" s="153"/>
      <c r="H13085" s="210">
        <v>3.56E-2</v>
      </c>
      <c r="I13085" s="160" t="s">
        <v>55</v>
      </c>
      <c r="J13085" s="160">
        <v>5.5000000000000003E-4</v>
      </c>
      <c r="K13085" s="160" t="s">
        <v>13</v>
      </c>
      <c r="L13085" s="154" t="str">
        <f>IF(OpenLCAbasic!K13085="CTUh", "Fill in Manually",IF(OR(K13085="Unit", K13085=""), "", INDEX(LookUps!$E$5:$E$12, MATCH(OpenLCAbasic!K13085,LookUps!$D$5:$D$12,0))))</f>
        <v>Eutrophication Potential (EP) - kg N eq</v>
      </c>
      <c r="M13085" s="154" t="str">
        <f t="shared" si="1153"/>
        <v>Low_Medium_Low_Upgraded_Eutrophication Potential (EP) - kg N eq_Aeration Tanks; wastewater treatment unit; at updated plant - US_Without Amendment_Aerated Static Pile</v>
      </c>
    </row>
    <row r="13086" spans="1:13" s="120" customFormat="1" x14ac:dyDescent="0.25">
      <c r="A13086" s="119"/>
      <c r="B13086" s="138" t="str">
        <f t="shared" si="1147"/>
        <v>Aerated Static Pile</v>
      </c>
      <c r="C13086" s="138" t="str">
        <f t="shared" si="1148"/>
        <v>Without Amendment</v>
      </c>
      <c r="D13086" s="138" t="str">
        <f t="shared" si="1152"/>
        <v>Medium_Low</v>
      </c>
      <c r="E13086" s="138" t="str">
        <f t="shared" si="1149"/>
        <v>Low</v>
      </c>
      <c r="F13086" s="138" t="str">
        <f t="shared" si="1150"/>
        <v>Upgraded</v>
      </c>
      <c r="G13086" s="153"/>
      <c r="H13086" s="210">
        <v>1.6199999999999999E-2</v>
      </c>
      <c r="I13086" s="160" t="s">
        <v>147</v>
      </c>
      <c r="J13086" s="160">
        <v>2.5000000000000001E-4</v>
      </c>
      <c r="K13086" s="160" t="s">
        <v>13</v>
      </c>
      <c r="L13086" s="154" t="str">
        <f>IF(OpenLCAbasic!K13086="CTUh", "Fill in Manually",IF(OR(K13086="Unit", K13086=""), "", INDEX(LookUps!$E$5:$E$12, MATCH(OpenLCAbasic!K13086,LookUps!$D$5:$D$12,0))))</f>
        <v>Eutrophication Potential (EP) - kg N eq</v>
      </c>
      <c r="M13086" s="154" t="str">
        <f t="shared" si="1153"/>
        <v>Low_Medium_Low_Upgraded_Eutrophication Potential (EP) - kg N eq_Influent Pump Station; wastewater treatment unit; at updated plant - US_Without Amendment_Aerated Static Pile</v>
      </c>
    </row>
    <row r="13087" spans="1:13" s="120" customFormat="1" x14ac:dyDescent="0.25">
      <c r="A13087" s="119"/>
      <c r="B13087" s="138" t="str">
        <f t="shared" si="1147"/>
        <v>Aerated Static Pile</v>
      </c>
      <c r="C13087" s="138" t="str">
        <f t="shared" si="1148"/>
        <v>Without Amendment</v>
      </c>
      <c r="D13087" s="138" t="str">
        <f t="shared" si="1152"/>
        <v>Medium_Low</v>
      </c>
      <c r="E13087" s="138" t="str">
        <f t="shared" si="1149"/>
        <v>Low</v>
      </c>
      <c r="F13087" s="138" t="str">
        <f t="shared" si="1150"/>
        <v>Upgraded</v>
      </c>
      <c r="G13087" s="153"/>
      <c r="H13087" s="210">
        <v>1.29E-2</v>
      </c>
      <c r="I13087" s="160" t="s">
        <v>54</v>
      </c>
      <c r="J13087" s="160">
        <v>2.0000000000000001E-4</v>
      </c>
      <c r="K13087" s="160" t="s">
        <v>13</v>
      </c>
      <c r="L13087" s="154" t="str">
        <f>IF(OpenLCAbasic!K13087="CTUh", "Fill in Manually",IF(OR(K13087="Unit", K13087=""), "", INDEX(LookUps!$E$5:$E$12, MATCH(OpenLCAbasic!K13087,LookUps!$D$5:$D$12,0))))</f>
        <v>Eutrophication Potential (EP) - kg N eq</v>
      </c>
      <c r="M13087" s="154" t="str">
        <f t="shared" si="1153"/>
        <v>Low_Medium_Low_Upgraded_Eutrophication Potential (EP) - kg N eq_Clear Cove Primary Clarification; wastewater treatment unit; at updated plant - US_Without Amendment_Aerated Static Pile</v>
      </c>
    </row>
    <row r="13088" spans="1:13" s="120" customFormat="1" x14ac:dyDescent="0.25">
      <c r="A13088" s="119"/>
      <c r="B13088" s="138" t="str">
        <f t="shared" si="1147"/>
        <v>Aerated Static Pile</v>
      </c>
      <c r="C13088" s="138" t="str">
        <f t="shared" si="1148"/>
        <v>Without Amendment</v>
      </c>
      <c r="D13088" s="138" t="str">
        <f t="shared" si="1152"/>
        <v>Medium_Low</v>
      </c>
      <c r="E13088" s="138" t="str">
        <f t="shared" si="1149"/>
        <v>Low</v>
      </c>
      <c r="F13088" s="138" t="str">
        <f t="shared" si="1150"/>
        <v>Upgraded</v>
      </c>
      <c r="G13088" s="153"/>
      <c r="H13088" s="210">
        <v>1.24E-2</v>
      </c>
      <c r="I13088" s="160" t="s">
        <v>167</v>
      </c>
      <c r="J13088" s="160">
        <v>1.9000000000000001E-4</v>
      </c>
      <c r="K13088" s="160" t="s">
        <v>13</v>
      </c>
      <c r="L13088" s="154" t="str">
        <f>IF(OpenLCAbasic!K13088="CTUh", "Fill in Manually",IF(OR(K13088="Unit", K13088=""), "", INDEX(LookUps!$E$5:$E$12, MATCH(OpenLCAbasic!K13088,LookUps!$D$5:$D$12,0))))</f>
        <v>Eutrophication Potential (EP) - kg N eq</v>
      </c>
      <c r="M13088" s="154" t="str">
        <f t="shared" si="1153"/>
        <v>Low_Medium_Low_Upgraded_Eutrophication Potential (EP) - kg N eq_Waste Receiving and Holding; wastewater treatment unit; at updated plant - US_Without Amendment_Aerated Static Pile</v>
      </c>
    </row>
    <row r="13089" spans="1:13" s="120" customFormat="1" x14ac:dyDescent="0.25">
      <c r="A13089" s="119"/>
      <c r="B13089" s="138" t="str">
        <f t="shared" si="1147"/>
        <v>Aerated Static Pile</v>
      </c>
      <c r="C13089" s="138" t="str">
        <f t="shared" si="1148"/>
        <v>Without Amendment</v>
      </c>
      <c r="D13089" s="138" t="str">
        <f t="shared" si="1152"/>
        <v>Medium_Low</v>
      </c>
      <c r="E13089" s="138" t="str">
        <f t="shared" si="1149"/>
        <v>Low</v>
      </c>
      <c r="F13089" s="138" t="str">
        <f t="shared" si="1150"/>
        <v>Upgraded</v>
      </c>
      <c r="G13089" s="153"/>
      <c r="H13089" s="210">
        <v>8.8000000000000005E-3</v>
      </c>
      <c r="I13089" s="160" t="s">
        <v>58</v>
      </c>
      <c r="J13089" s="160">
        <v>1.3999999999999999E-4</v>
      </c>
      <c r="K13089" s="160" t="s">
        <v>13</v>
      </c>
      <c r="L13089" s="154" t="str">
        <f>IF(OpenLCAbasic!K13089="CTUh", "Fill in Manually",IF(OR(K13089="Unit", K13089=""), "", INDEX(LookUps!$E$5:$E$12, MATCH(OpenLCAbasic!K13089,LookUps!$D$5:$D$12,0))))</f>
        <v>Eutrophication Potential (EP) - kg N eq</v>
      </c>
      <c r="M13089" s="154" t="str">
        <f t="shared" si="1153"/>
        <v>Low_Medium_Low_Upgraded_Eutrophication Potential (EP) - kg N eq_Pre-Anoxic &amp; Swing tank; wastewater treatment unit; at updated plant - US_Without Amendment_Aerated Static Pile</v>
      </c>
    </row>
    <row r="13090" spans="1:13" s="120" customFormat="1" x14ac:dyDescent="0.25">
      <c r="A13090" s="119"/>
      <c r="B13090" s="138" t="str">
        <f t="shared" si="1147"/>
        <v>Aerated Static Pile</v>
      </c>
      <c r="C13090" s="138" t="str">
        <f t="shared" si="1148"/>
        <v>Without Amendment</v>
      </c>
      <c r="D13090" s="138" t="str">
        <f t="shared" si="1152"/>
        <v>Medium_Low</v>
      </c>
      <c r="E13090" s="138" t="str">
        <f t="shared" si="1149"/>
        <v>Low</v>
      </c>
      <c r="F13090" s="138" t="str">
        <f t="shared" si="1150"/>
        <v>Upgraded</v>
      </c>
      <c r="G13090" s="153"/>
      <c r="H13090" s="210">
        <v>7.0000000000000001E-3</v>
      </c>
      <c r="I13090" s="160" t="s">
        <v>53</v>
      </c>
      <c r="J13090" s="160">
        <v>1.1E-4</v>
      </c>
      <c r="K13090" s="160" t="s">
        <v>13</v>
      </c>
      <c r="L13090" s="154" t="str">
        <f>IF(OpenLCAbasic!K13090="CTUh", "Fill in Manually",IF(OR(K13090="Unit", K13090=""), "", INDEX(LookUps!$E$5:$E$12, MATCH(OpenLCAbasic!K13090,LookUps!$D$5:$D$12,0))))</f>
        <v>Eutrophication Potential (EP) - kg N eq</v>
      </c>
      <c r="M13090" s="154" t="str">
        <f t="shared" si="1153"/>
        <v>Low_Medium_Low_Upgraded_Eutrophication Potential (EP) - kg N eq_Wet Well and Sump Station; wastewater treatment unit; at updated plant - US_Without Amendment_Aerated Static Pile</v>
      </c>
    </row>
    <row r="13091" spans="1:13" s="120" customFormat="1" x14ac:dyDescent="0.25">
      <c r="A13091" s="119"/>
      <c r="B13091" s="138" t="str">
        <f t="shared" si="1147"/>
        <v>Aerated Static Pile</v>
      </c>
      <c r="C13091" s="138" t="str">
        <f t="shared" si="1148"/>
        <v>Without Amendment</v>
      </c>
      <c r="D13091" s="138" t="str">
        <f t="shared" si="1152"/>
        <v>Medium_Low</v>
      </c>
      <c r="E13091" s="138" t="str">
        <f t="shared" si="1149"/>
        <v>Low</v>
      </c>
      <c r="F13091" s="138" t="str">
        <f t="shared" si="1150"/>
        <v>Upgraded</v>
      </c>
      <c r="G13091" s="153"/>
      <c r="H13091" s="210">
        <v>5.4000000000000003E-3</v>
      </c>
      <c r="I13091" s="160" t="s">
        <v>435</v>
      </c>
      <c r="J13091" s="211">
        <v>8.2736699999999997E-5</v>
      </c>
      <c r="K13091" s="160" t="s">
        <v>13</v>
      </c>
      <c r="L13091" s="154" t="str">
        <f>IF(OpenLCAbasic!K13091="CTUh", "Fill in Manually",IF(OR(K13091="Unit", K13091=""), "", INDEX(LookUps!$E$5:$E$12, MATCH(OpenLCAbasic!K13091,LookUps!$D$5:$D$12,0))))</f>
        <v>Eutrophication Potential (EP) - kg N eq</v>
      </c>
      <c r="M13091" s="154" t="str">
        <f t="shared" si="1153"/>
        <v>Low_Medium_Low_Upgraded_Eutrophication Potential (EP) - kg N eq_Biosolids composting; aerated static pile; wastewater treatment unit; at updated plant - US_Without Amendment_Aerated Static Pile</v>
      </c>
    </row>
    <row r="13092" spans="1:13" s="120" customFormat="1" x14ac:dyDescent="0.25">
      <c r="A13092" s="119"/>
      <c r="B13092" s="138" t="str">
        <f t="shared" si="1147"/>
        <v>Aerated Static Pile</v>
      </c>
      <c r="C13092" s="138" t="str">
        <f t="shared" si="1148"/>
        <v>Without Amendment</v>
      </c>
      <c r="D13092" s="138" t="str">
        <f t="shared" si="1152"/>
        <v>Medium_Low</v>
      </c>
      <c r="E13092" s="138" t="str">
        <f t="shared" si="1149"/>
        <v>Low</v>
      </c>
      <c r="F13092" s="138" t="str">
        <f t="shared" si="1150"/>
        <v>Upgraded</v>
      </c>
      <c r="G13092" s="153"/>
      <c r="H13092" s="210">
        <v>5.1000000000000004E-3</v>
      </c>
      <c r="I13092" s="160" t="s">
        <v>60</v>
      </c>
      <c r="J13092" s="211">
        <v>7.8941800000000004E-5</v>
      </c>
      <c r="K13092" s="160" t="s">
        <v>13</v>
      </c>
      <c r="L13092" s="154" t="str">
        <f>IF(OpenLCAbasic!K13092="CTUh", "Fill in Manually",IF(OR(K13092="Unit", K13092=""), "", INDEX(LookUps!$E$5:$E$12, MATCH(OpenLCAbasic!K13092,LookUps!$D$5:$D$12,0))))</f>
        <v>Eutrophication Potential (EP) - kg N eq</v>
      </c>
      <c r="M13092" s="154" t="str">
        <f t="shared" si="1153"/>
        <v>Low_Medium_Low_Upgraded_Eutrophication Potential (EP) - kg N eq_Belt filter press; wastewater treatment unit; at updated plant - US_Without Amendment_Aerated Static Pile</v>
      </c>
    </row>
    <row r="13093" spans="1:13" s="120" customFormat="1" x14ac:dyDescent="0.25">
      <c r="A13093" s="119"/>
      <c r="B13093" s="138" t="str">
        <f t="shared" si="1147"/>
        <v>Aerated Static Pile</v>
      </c>
      <c r="C13093" s="138" t="str">
        <f t="shared" si="1148"/>
        <v>Without Amendment</v>
      </c>
      <c r="D13093" s="138" t="str">
        <f t="shared" si="1152"/>
        <v>Medium_Low</v>
      </c>
      <c r="E13093" s="138" t="str">
        <f t="shared" si="1149"/>
        <v>Low</v>
      </c>
      <c r="F13093" s="138" t="str">
        <f t="shared" si="1150"/>
        <v>Upgraded</v>
      </c>
      <c r="G13093" s="153"/>
      <c r="H13093" s="210">
        <v>3.8999999999999998E-3</v>
      </c>
      <c r="I13093" s="160" t="s">
        <v>57</v>
      </c>
      <c r="J13093" s="211">
        <v>6.0590300000000002E-5</v>
      </c>
      <c r="K13093" s="160" t="s">
        <v>13</v>
      </c>
      <c r="L13093" s="154" t="str">
        <f>IF(OpenLCAbasic!K13093="CTUh", "Fill in Manually",IF(OR(K13093="Unit", K13093=""), "", INDEX(LookUps!$E$5:$E$12, MATCH(OpenLCAbasic!K13093,LookUps!$D$5:$D$12,0))))</f>
        <v>Eutrophication Potential (EP) - kg N eq</v>
      </c>
      <c r="M13093" s="154" t="str">
        <f t="shared" si="1153"/>
        <v>Low_Medium_Low_Upgraded_Eutrophication Potential (EP) - kg N eq_Gravity Belt Thickener; wastewater treatment unit; at updated plant - US_Without Amendment_Aerated Static Pile</v>
      </c>
    </row>
    <row r="13094" spans="1:13" s="120" customFormat="1" x14ac:dyDescent="0.25">
      <c r="A13094" s="119"/>
      <c r="B13094" s="138" t="str">
        <f t="shared" si="1147"/>
        <v>Aerated Static Pile</v>
      </c>
      <c r="C13094" s="138" t="str">
        <f t="shared" si="1148"/>
        <v>Without Amendment</v>
      </c>
      <c r="D13094" s="138" t="str">
        <f t="shared" si="1152"/>
        <v>Medium_Low</v>
      </c>
      <c r="E13094" s="138" t="str">
        <f t="shared" si="1149"/>
        <v>Low</v>
      </c>
      <c r="F13094" s="138" t="str">
        <f t="shared" si="1150"/>
        <v>Upgraded</v>
      </c>
      <c r="G13094" s="153"/>
      <c r="H13094" s="210">
        <v>2.3999999999999998E-3</v>
      </c>
      <c r="I13094" s="160" t="s">
        <v>128</v>
      </c>
      <c r="J13094" s="211">
        <v>3.7559799999999999E-5</v>
      </c>
      <c r="K13094" s="160" t="s">
        <v>13</v>
      </c>
      <c r="L13094" s="154" t="str">
        <f>IF(OpenLCAbasic!K13094="CTUh", "Fill in Manually",IF(OR(K13094="Unit", K13094=""), "", INDEX(LookUps!$E$5:$E$12, MATCH(OpenLCAbasic!K13094,LookUps!$D$5:$D$12,0))))</f>
        <v>Eutrophication Potential (EP) - kg N eq</v>
      </c>
      <c r="M13094" s="154" t="str">
        <f t="shared" si="1153"/>
        <v>Low_Medium_Low_Upgraded_Eutrophication Potential (EP) - kg N eq_Wastewater collection; operation and infrastructure; m3 wastewater_Without Amendment_Aerated Static Pile</v>
      </c>
    </row>
    <row r="13095" spans="1:13" s="120" customFormat="1" x14ac:dyDescent="0.25">
      <c r="A13095" s="119"/>
      <c r="B13095" s="138" t="str">
        <f t="shared" si="1147"/>
        <v>Aerated Static Pile</v>
      </c>
      <c r="C13095" s="138" t="str">
        <f t="shared" si="1148"/>
        <v>Without Amendment</v>
      </c>
      <c r="D13095" s="138" t="str">
        <f t="shared" si="1152"/>
        <v>Medium_Low</v>
      </c>
      <c r="E13095" s="138" t="str">
        <f t="shared" si="1149"/>
        <v>Low</v>
      </c>
      <c r="F13095" s="138" t="str">
        <f t="shared" si="1150"/>
        <v>Upgraded</v>
      </c>
      <c r="G13095" s="153"/>
      <c r="H13095" s="210">
        <v>2.3999999999999998E-3</v>
      </c>
      <c r="I13095" s="160" t="s">
        <v>148</v>
      </c>
      <c r="J13095" s="211">
        <v>3.6874600000000001E-5</v>
      </c>
      <c r="K13095" s="160" t="s">
        <v>13</v>
      </c>
      <c r="L13095" s="154" t="str">
        <f>IF(OpenLCAbasic!K13095="CTUh", "Fill in Manually",IF(OR(K13095="Unit", K13095=""), "", INDEX(LookUps!$E$5:$E$12, MATCH(OpenLCAbasic!K13095,LookUps!$D$5:$D$12,0))))</f>
        <v>Eutrophication Potential (EP) - kg N eq</v>
      </c>
      <c r="M13095" s="154" t="str">
        <f t="shared" si="1153"/>
        <v>Low_Medium_Low_Upgraded_Eutrophication Potential (EP) - kg N eq_Control Building; at upgraded wastewater treatment plant - US_Without Amendment_Aerated Static Pile</v>
      </c>
    </row>
    <row r="13096" spans="1:13" s="120" customFormat="1" x14ac:dyDescent="0.25">
      <c r="A13096" s="119"/>
      <c r="B13096" s="138" t="str">
        <f t="shared" si="1147"/>
        <v>Aerated Static Pile</v>
      </c>
      <c r="C13096" s="138" t="str">
        <f t="shared" si="1148"/>
        <v>Without Amendment</v>
      </c>
      <c r="D13096" s="138" t="str">
        <f t="shared" si="1152"/>
        <v>Medium_Low</v>
      </c>
      <c r="E13096" s="138" t="str">
        <f t="shared" si="1149"/>
        <v>Low</v>
      </c>
      <c r="F13096" s="138" t="str">
        <f t="shared" si="1150"/>
        <v>Upgraded</v>
      </c>
      <c r="G13096" s="153"/>
      <c r="H13096" s="210">
        <v>1.1000000000000001E-3</v>
      </c>
      <c r="I13096" s="160" t="s">
        <v>59</v>
      </c>
      <c r="J13096" s="211">
        <v>1.6215700000000001E-5</v>
      </c>
      <c r="K13096" s="160" t="s">
        <v>13</v>
      </c>
      <c r="L13096" s="154" t="str">
        <f>IF(OpenLCAbasic!K13096="CTUh", "Fill in Manually",IF(OR(K13096="Unit", K13096=""), "", INDEX(LookUps!$E$5:$E$12, MATCH(OpenLCAbasic!K13096,LookUps!$D$5:$D$12,0))))</f>
        <v>Eutrophication Potential (EP) - kg N eq</v>
      </c>
      <c r="M13096" s="154" t="str">
        <f t="shared" si="1153"/>
        <v>Low_Medium_Low_Upgraded_Eutrophication Potential (EP) - kg N eq_Blend Tank; wastewater treatment unit; at updated plant - US_Without Amendment_Aerated Static Pile</v>
      </c>
    </row>
    <row r="13097" spans="1:13" s="120" customFormat="1" x14ac:dyDescent="0.25">
      <c r="A13097" s="119"/>
      <c r="B13097" s="138" t="str">
        <f t="shared" ref="B13097:B13160" si="1154">IF(F13097="Legacy","n.a.",IF(F13097="","","Aerated Static Pile"))</f>
        <v>Aerated Static Pile</v>
      </c>
      <c r="C13097" s="138" t="str">
        <f t="shared" ref="C13097:C13160" si="1155">IF(ISNUMBER($J13097),"Without Amendment","")</f>
        <v>Without Amendment</v>
      </c>
      <c r="D13097" s="138" t="str">
        <f t="shared" si="1152"/>
        <v>Medium_Low</v>
      </c>
      <c r="E13097" s="138" t="str">
        <f t="shared" ref="E13097:E13160" si="1156">IF(ISNUMBER($J13097),"Low","")</f>
        <v>Low</v>
      </c>
      <c r="F13097" s="138" t="str">
        <f t="shared" ref="F13097:F13160" si="1157">IF(ISNUMBER(J13097),"Upgraded","")</f>
        <v>Upgraded</v>
      </c>
      <c r="G13097" s="153"/>
      <c r="H13097" s="210">
        <v>5.0000000000000001E-4</v>
      </c>
      <c r="I13097" s="160" t="s">
        <v>168</v>
      </c>
      <c r="J13097" s="211">
        <v>7.7567199999999995E-6</v>
      </c>
      <c r="K13097" s="160" t="s">
        <v>13</v>
      </c>
      <c r="L13097" s="154" t="str">
        <f>IF(OpenLCAbasic!K13097="CTUh", "Fill in Manually",IF(OR(K13097="Unit", K13097=""), "", INDEX(LookUps!$E$5:$E$12, MATCH(OpenLCAbasic!K13097,LookUps!$D$5:$D$12,0))))</f>
        <v>Eutrophication Potential (EP) - kg N eq</v>
      </c>
      <c r="M13097" s="154" t="str">
        <f t="shared" si="1153"/>
        <v>Low_Medium_Low_Upgraded_Eutrophication Potential (EP) - kg N eq_ClearCove SCP; wastewater treatment unit; at updated plant - US_Without Amendment_Aerated Static Pile</v>
      </c>
    </row>
    <row r="13098" spans="1:13" s="120" customFormat="1" x14ac:dyDescent="0.25">
      <c r="A13098" s="119"/>
      <c r="B13098" s="138" t="str">
        <f t="shared" si="1154"/>
        <v>Aerated Static Pile</v>
      </c>
      <c r="C13098" s="138" t="str">
        <f t="shared" si="1155"/>
        <v>Without Amendment</v>
      </c>
      <c r="D13098" s="138" t="str">
        <f t="shared" si="1152"/>
        <v>Medium_Low</v>
      </c>
      <c r="E13098" s="138" t="str">
        <f t="shared" si="1156"/>
        <v>Low</v>
      </c>
      <c r="F13098" s="138" t="str">
        <f t="shared" si="1157"/>
        <v>Upgraded</v>
      </c>
      <c r="G13098" s="153"/>
      <c r="H13098" s="210">
        <v>-5.1000000000000004E-3</v>
      </c>
      <c r="I13098" s="160" t="s">
        <v>149</v>
      </c>
      <c r="J13098" s="211">
        <v>-7.8280099999999996E-5</v>
      </c>
      <c r="K13098" s="160" t="s">
        <v>13</v>
      </c>
      <c r="L13098" s="154" t="str">
        <f>IF(OpenLCAbasic!K13098="CTUh", "Fill in Manually",IF(OR(K13098="Unit", K13098=""), "", INDEX(LookUps!$E$5:$E$12, MATCH(OpenLCAbasic!K13098,LookUps!$D$5:$D$12,0))))</f>
        <v>Eutrophication Potential (EP) - kg N eq</v>
      </c>
      <c r="M13098" s="154" t="str">
        <f t="shared" si="1153"/>
        <v>Low_Medium_Low_Upgraded_Eutrophication Potential (EP) - kg N eq_Anaerobic Digestion; wastewater treatment unit; at updated plant - US_Without Amendment_Aerated Static Pile</v>
      </c>
    </row>
    <row r="13099" spans="1:13" s="120" customFormat="1" x14ac:dyDescent="0.25">
      <c r="A13099" s="119"/>
      <c r="B13099" s="138" t="str">
        <f t="shared" si="1154"/>
        <v/>
      </c>
      <c r="C13099" s="138" t="str">
        <f t="shared" si="1155"/>
        <v/>
      </c>
      <c r="D13099" s="138" t="str">
        <f t="shared" si="1152"/>
        <v/>
      </c>
      <c r="E13099" s="138" t="str">
        <f t="shared" si="1156"/>
        <v/>
      </c>
      <c r="F13099" s="138" t="str">
        <f t="shared" si="1157"/>
        <v/>
      </c>
      <c r="G13099" s="153" t="s">
        <v>51</v>
      </c>
      <c r="H13099" s="160"/>
      <c r="I13099" s="160" t="s">
        <v>47</v>
      </c>
      <c r="J13099" s="160" t="s">
        <v>52</v>
      </c>
      <c r="K13099" s="160" t="s">
        <v>27</v>
      </c>
      <c r="L13099" s="154" t="str">
        <f>IF(OpenLCAbasic!K13099="CTUh", "Fill in Manually",IF(OR(K13099="Unit", K13099=""), "", INDEX(LookUps!$E$5:$E$12, MATCH(OpenLCAbasic!K13099,LookUps!$D$5:$D$12,0))))</f>
        <v/>
      </c>
      <c r="M13099" s="154" t="str">
        <f t="shared" si="1153"/>
        <v>____Process__</v>
      </c>
    </row>
    <row r="13100" spans="1:13" s="120" customFormat="1" x14ac:dyDescent="0.25">
      <c r="A13100" s="119"/>
      <c r="B13100" s="138" t="str">
        <f t="shared" si="1154"/>
        <v>Aerated Static Pile</v>
      </c>
      <c r="C13100" s="138" t="str">
        <f t="shared" si="1155"/>
        <v>Without Amendment</v>
      </c>
      <c r="D13100" s="138" t="str">
        <f t="shared" si="1152"/>
        <v>Medium_Low</v>
      </c>
      <c r="E13100" s="138" t="str">
        <f t="shared" si="1156"/>
        <v>Low</v>
      </c>
      <c r="F13100" s="138" t="str">
        <f t="shared" si="1157"/>
        <v>Upgraded</v>
      </c>
      <c r="G13100" s="153"/>
      <c r="H13100" s="210">
        <v>0.36480000000000001</v>
      </c>
      <c r="I13100" s="160" t="s">
        <v>167</v>
      </c>
      <c r="J13100" s="160">
        <v>9.7259999999999999E-2</v>
      </c>
      <c r="K13100" s="160" t="s">
        <v>14</v>
      </c>
      <c r="L13100" s="154" t="str">
        <f>IF(OpenLCAbasic!K13100="CTUh", "Fill in Manually",IF(OR(K13100="Unit", K13100=""), "", INDEX(LookUps!$E$5:$E$12, MATCH(OpenLCAbasic!K13100,LookUps!$D$5:$D$12,0))))</f>
        <v>Fossil Depletion Potential (FDP) - kg oil eq</v>
      </c>
      <c r="M13100" s="154" t="str">
        <f t="shared" si="1153"/>
        <v>Low_Medium_Low_Upgraded_Fossil Depletion Potential (FDP) - kg oil eq_Waste Receiving and Holding; wastewater treatment unit; at updated plant - US_Without Amendment_Aerated Static Pile</v>
      </c>
    </row>
    <row r="13101" spans="1:13" s="120" customFormat="1" x14ac:dyDescent="0.25">
      <c r="A13101" s="119"/>
      <c r="B13101" s="138" t="str">
        <f t="shared" si="1154"/>
        <v>Aerated Static Pile</v>
      </c>
      <c r="C13101" s="138" t="str">
        <f t="shared" si="1155"/>
        <v>Without Amendment</v>
      </c>
      <c r="D13101" s="138" t="str">
        <f t="shared" si="1152"/>
        <v>Medium_Low</v>
      </c>
      <c r="E13101" s="138" t="str">
        <f t="shared" si="1156"/>
        <v>Low</v>
      </c>
      <c r="F13101" s="138" t="str">
        <f t="shared" si="1157"/>
        <v>Upgraded</v>
      </c>
      <c r="G13101" s="153"/>
      <c r="H13101" s="210">
        <v>0.23849999999999999</v>
      </c>
      <c r="I13101" s="160" t="s">
        <v>55</v>
      </c>
      <c r="J13101" s="160">
        <v>6.3589999999999994E-2</v>
      </c>
      <c r="K13101" s="160" t="s">
        <v>14</v>
      </c>
      <c r="L13101" s="154" t="str">
        <f>IF(OpenLCAbasic!K13101="CTUh", "Fill in Manually",IF(OR(K13101="Unit", K13101=""), "", INDEX(LookUps!$E$5:$E$12, MATCH(OpenLCAbasic!K13101,LookUps!$D$5:$D$12,0))))</f>
        <v>Fossil Depletion Potential (FDP) - kg oil eq</v>
      </c>
      <c r="M13101" s="154" t="str">
        <f t="shared" si="1153"/>
        <v>Low_Medium_Low_Upgraded_Fossil Depletion Potential (FDP) - kg oil eq_Aeration Tanks; wastewater treatment unit; at updated plant - US_Without Amendment_Aerated Static Pile</v>
      </c>
    </row>
    <row r="13102" spans="1:13" s="120" customFormat="1" x14ac:dyDescent="0.25">
      <c r="A13102" s="119"/>
      <c r="B13102" s="138" t="str">
        <f t="shared" si="1154"/>
        <v>Aerated Static Pile</v>
      </c>
      <c r="C13102" s="138" t="str">
        <f t="shared" si="1155"/>
        <v>Without Amendment</v>
      </c>
      <c r="D13102" s="138" t="str">
        <f t="shared" si="1152"/>
        <v>Medium_Low</v>
      </c>
      <c r="E13102" s="138" t="str">
        <f t="shared" si="1156"/>
        <v>Low</v>
      </c>
      <c r="F13102" s="138" t="str">
        <f t="shared" si="1157"/>
        <v>Upgraded</v>
      </c>
      <c r="G13102" s="153"/>
      <c r="H13102" s="210">
        <v>7.9000000000000001E-2</v>
      </c>
      <c r="I13102" s="160" t="s">
        <v>54</v>
      </c>
      <c r="J13102" s="160">
        <v>2.1049999999999999E-2</v>
      </c>
      <c r="K13102" s="160" t="s">
        <v>14</v>
      </c>
      <c r="L13102" s="154" t="str">
        <f>IF(OpenLCAbasic!K13102="CTUh", "Fill in Manually",IF(OR(K13102="Unit", K13102=""), "", INDEX(LookUps!$E$5:$E$12, MATCH(OpenLCAbasic!K13102,LookUps!$D$5:$D$12,0))))</f>
        <v>Fossil Depletion Potential (FDP) - kg oil eq</v>
      </c>
      <c r="M13102" s="154" t="str">
        <f t="shared" si="1153"/>
        <v>Low_Medium_Low_Upgraded_Fossil Depletion Potential (FDP) - kg oil eq_Clear Cove Primary Clarification; wastewater treatment unit; at updated plant - US_Without Amendment_Aerated Static Pile</v>
      </c>
    </row>
    <row r="13103" spans="1:13" s="120" customFormat="1" x14ac:dyDescent="0.25">
      <c r="A13103" s="119"/>
      <c r="B13103" s="138" t="str">
        <f t="shared" si="1154"/>
        <v>Aerated Static Pile</v>
      </c>
      <c r="C13103" s="138" t="str">
        <f t="shared" si="1155"/>
        <v>Without Amendment</v>
      </c>
      <c r="D13103" s="138" t="str">
        <f t="shared" si="1152"/>
        <v>Medium_Low</v>
      </c>
      <c r="E13103" s="138" t="str">
        <f t="shared" si="1156"/>
        <v>Low</v>
      </c>
      <c r="F13103" s="138" t="str">
        <f t="shared" si="1157"/>
        <v>Upgraded</v>
      </c>
      <c r="G13103" s="153"/>
      <c r="H13103" s="210">
        <v>5.9900000000000002E-2</v>
      </c>
      <c r="I13103" s="160" t="s">
        <v>58</v>
      </c>
      <c r="J13103" s="160">
        <v>1.5980000000000001E-2</v>
      </c>
      <c r="K13103" s="160" t="s">
        <v>14</v>
      </c>
      <c r="L13103" s="154" t="str">
        <f>IF(OpenLCAbasic!K13103="CTUh", "Fill in Manually",IF(OR(K13103="Unit", K13103=""), "", INDEX(LookUps!$E$5:$E$12, MATCH(OpenLCAbasic!K13103,LookUps!$D$5:$D$12,0))))</f>
        <v>Fossil Depletion Potential (FDP) - kg oil eq</v>
      </c>
      <c r="M13103" s="154" t="str">
        <f t="shared" si="1153"/>
        <v>Low_Medium_Low_Upgraded_Fossil Depletion Potential (FDP) - kg oil eq_Pre-Anoxic &amp; Swing tank; wastewater treatment unit; at updated plant - US_Without Amendment_Aerated Static Pile</v>
      </c>
    </row>
    <row r="13104" spans="1:13" s="120" customFormat="1" x14ac:dyDescent="0.25">
      <c r="A13104" s="119"/>
      <c r="B13104" s="138" t="str">
        <f t="shared" si="1154"/>
        <v>Aerated Static Pile</v>
      </c>
      <c r="C13104" s="138" t="str">
        <f t="shared" si="1155"/>
        <v>Without Amendment</v>
      </c>
      <c r="D13104" s="138" t="str">
        <f t="shared" si="1152"/>
        <v>Medium_Low</v>
      </c>
      <c r="E13104" s="138" t="str">
        <f t="shared" si="1156"/>
        <v>Low</v>
      </c>
      <c r="F13104" s="138" t="str">
        <f t="shared" si="1157"/>
        <v>Upgraded</v>
      </c>
      <c r="G13104" s="153"/>
      <c r="H13104" s="210">
        <v>5.6599999999999998E-2</v>
      </c>
      <c r="I13104" s="160" t="s">
        <v>147</v>
      </c>
      <c r="J13104" s="160">
        <v>1.5089999999999999E-2</v>
      </c>
      <c r="K13104" s="160" t="s">
        <v>14</v>
      </c>
      <c r="L13104" s="154" t="str">
        <f>IF(OpenLCAbasic!K13104="CTUh", "Fill in Manually",IF(OR(K13104="Unit", K13104=""), "", INDEX(LookUps!$E$5:$E$12, MATCH(OpenLCAbasic!K13104,LookUps!$D$5:$D$12,0))))</f>
        <v>Fossil Depletion Potential (FDP) - kg oil eq</v>
      </c>
      <c r="M13104" s="154" t="str">
        <f t="shared" si="1153"/>
        <v>Low_Medium_Low_Upgraded_Fossil Depletion Potential (FDP) - kg oil eq_Influent Pump Station; wastewater treatment unit; at updated plant - US_Without Amendment_Aerated Static Pile</v>
      </c>
    </row>
    <row r="13105" spans="1:13" s="120" customFormat="1" x14ac:dyDescent="0.25">
      <c r="A13105" s="119"/>
      <c r="B13105" s="138" t="str">
        <f t="shared" si="1154"/>
        <v>Aerated Static Pile</v>
      </c>
      <c r="C13105" s="138" t="str">
        <f t="shared" si="1155"/>
        <v>Without Amendment</v>
      </c>
      <c r="D13105" s="138" t="str">
        <f t="shared" si="1152"/>
        <v>Medium_Low</v>
      </c>
      <c r="E13105" s="138" t="str">
        <f t="shared" si="1156"/>
        <v>Low</v>
      </c>
      <c r="F13105" s="138" t="str">
        <f t="shared" si="1157"/>
        <v>Upgraded</v>
      </c>
      <c r="G13105" s="153"/>
      <c r="H13105" s="210">
        <v>4.6800000000000001E-2</v>
      </c>
      <c r="I13105" s="160" t="s">
        <v>53</v>
      </c>
      <c r="J13105" s="160">
        <v>1.2489999999999999E-2</v>
      </c>
      <c r="K13105" s="160" t="s">
        <v>14</v>
      </c>
      <c r="L13105" s="154" t="str">
        <f>IF(OpenLCAbasic!K13105="CTUh", "Fill in Manually",IF(OR(K13105="Unit", K13105=""), "", INDEX(LookUps!$E$5:$E$12, MATCH(OpenLCAbasic!K13105,LookUps!$D$5:$D$12,0))))</f>
        <v>Fossil Depletion Potential (FDP) - kg oil eq</v>
      </c>
      <c r="M13105" s="154" t="str">
        <f t="shared" si="1153"/>
        <v>Low_Medium_Low_Upgraded_Fossil Depletion Potential (FDP) - kg oil eq_Wet Well and Sump Station; wastewater treatment unit; at updated plant - US_Without Amendment_Aerated Static Pile</v>
      </c>
    </row>
    <row r="13106" spans="1:13" s="120" customFormat="1" x14ac:dyDescent="0.25">
      <c r="A13106" s="119"/>
      <c r="B13106" s="138" t="str">
        <f t="shared" si="1154"/>
        <v>Aerated Static Pile</v>
      </c>
      <c r="C13106" s="138" t="str">
        <f t="shared" si="1155"/>
        <v>Without Amendment</v>
      </c>
      <c r="D13106" s="138" t="str">
        <f t="shared" si="1152"/>
        <v>Medium_Low</v>
      </c>
      <c r="E13106" s="138" t="str">
        <f t="shared" si="1156"/>
        <v>Low</v>
      </c>
      <c r="F13106" s="138" t="str">
        <f t="shared" si="1157"/>
        <v>Upgraded</v>
      </c>
      <c r="G13106" s="153"/>
      <c r="H13106" s="210">
        <v>3.6999999999999998E-2</v>
      </c>
      <c r="I13106" s="160" t="s">
        <v>435</v>
      </c>
      <c r="J13106" s="160">
        <v>9.8600000000000007E-3</v>
      </c>
      <c r="K13106" s="160" t="s">
        <v>14</v>
      </c>
      <c r="L13106" s="154" t="str">
        <f>IF(OpenLCAbasic!K13106="CTUh", "Fill in Manually",IF(OR(K13106="Unit", K13106=""), "", INDEX(LookUps!$E$5:$E$12, MATCH(OpenLCAbasic!K13106,LookUps!$D$5:$D$12,0))))</f>
        <v>Fossil Depletion Potential (FDP) - kg oil eq</v>
      </c>
      <c r="M13106" s="154" t="str">
        <f t="shared" si="1153"/>
        <v>Low_Medium_Low_Upgraded_Fossil Depletion Potential (FDP) - kg oil eq_Biosolids composting; aerated static pile; wastewater treatment unit; at updated plant - US_Without Amendment_Aerated Static Pile</v>
      </c>
    </row>
    <row r="13107" spans="1:13" s="120" customFormat="1" x14ac:dyDescent="0.25">
      <c r="A13107" s="119"/>
      <c r="B13107" s="138" t="str">
        <f t="shared" si="1154"/>
        <v>Aerated Static Pile</v>
      </c>
      <c r="C13107" s="138" t="str">
        <f t="shared" si="1155"/>
        <v>Without Amendment</v>
      </c>
      <c r="D13107" s="138" t="str">
        <f t="shared" si="1152"/>
        <v>Medium_Low</v>
      </c>
      <c r="E13107" s="138" t="str">
        <f t="shared" si="1156"/>
        <v>Low</v>
      </c>
      <c r="F13107" s="138" t="str">
        <f t="shared" si="1157"/>
        <v>Upgraded</v>
      </c>
      <c r="G13107" s="153"/>
      <c r="H13107" s="210">
        <v>3.6200000000000003E-2</v>
      </c>
      <c r="I13107" s="160" t="s">
        <v>149</v>
      </c>
      <c r="J13107" s="160">
        <v>9.6600000000000002E-3</v>
      </c>
      <c r="K13107" s="160" t="s">
        <v>14</v>
      </c>
      <c r="L13107" s="154" t="str">
        <f>IF(OpenLCAbasic!K13107="CTUh", "Fill in Manually",IF(OR(K13107="Unit", K13107=""), "", INDEX(LookUps!$E$5:$E$12, MATCH(OpenLCAbasic!K13107,LookUps!$D$5:$D$12,0))))</f>
        <v>Fossil Depletion Potential (FDP) - kg oil eq</v>
      </c>
      <c r="M13107" s="154" t="str">
        <f t="shared" si="1153"/>
        <v>Low_Medium_Low_Upgraded_Fossil Depletion Potential (FDP) - kg oil eq_Anaerobic Digestion; wastewater treatment unit; at updated plant - US_Without Amendment_Aerated Static Pile</v>
      </c>
    </row>
    <row r="13108" spans="1:13" s="120" customFormat="1" x14ac:dyDescent="0.25">
      <c r="A13108" s="119"/>
      <c r="B13108" s="138" t="str">
        <f t="shared" si="1154"/>
        <v>Aerated Static Pile</v>
      </c>
      <c r="C13108" s="138" t="str">
        <f t="shared" si="1155"/>
        <v>Without Amendment</v>
      </c>
      <c r="D13108" s="138" t="str">
        <f t="shared" si="1152"/>
        <v>Medium_Low</v>
      </c>
      <c r="E13108" s="138" t="str">
        <f t="shared" si="1156"/>
        <v>Low</v>
      </c>
      <c r="F13108" s="138" t="str">
        <f t="shared" si="1157"/>
        <v>Upgraded</v>
      </c>
      <c r="G13108" s="153"/>
      <c r="H13108" s="210">
        <v>3.4000000000000002E-2</v>
      </c>
      <c r="I13108" s="160" t="s">
        <v>60</v>
      </c>
      <c r="J13108" s="160">
        <v>9.0600000000000003E-3</v>
      </c>
      <c r="K13108" s="160" t="s">
        <v>14</v>
      </c>
      <c r="L13108" s="154" t="str">
        <f>IF(OpenLCAbasic!K13108="CTUh", "Fill in Manually",IF(OR(K13108="Unit", K13108=""), "", INDEX(LookUps!$E$5:$E$12, MATCH(OpenLCAbasic!K13108,LookUps!$D$5:$D$12,0))))</f>
        <v>Fossil Depletion Potential (FDP) - kg oil eq</v>
      </c>
      <c r="M13108" s="154" t="str">
        <f t="shared" si="1153"/>
        <v>Low_Medium_Low_Upgraded_Fossil Depletion Potential (FDP) - kg oil eq_Belt filter press; wastewater treatment unit; at updated plant - US_Without Amendment_Aerated Static Pile</v>
      </c>
    </row>
    <row r="13109" spans="1:13" s="120" customFormat="1" x14ac:dyDescent="0.25">
      <c r="A13109" s="119"/>
      <c r="B13109" s="138" t="str">
        <f t="shared" si="1154"/>
        <v>Aerated Static Pile</v>
      </c>
      <c r="C13109" s="138" t="str">
        <f t="shared" si="1155"/>
        <v>Without Amendment</v>
      </c>
      <c r="D13109" s="138" t="str">
        <f t="shared" si="1152"/>
        <v>Medium_Low</v>
      </c>
      <c r="E13109" s="138" t="str">
        <f t="shared" si="1156"/>
        <v>Low</v>
      </c>
      <c r="F13109" s="138" t="str">
        <f t="shared" si="1157"/>
        <v>Upgraded</v>
      </c>
      <c r="G13109" s="153"/>
      <c r="H13109" s="210">
        <v>2.5899999999999999E-2</v>
      </c>
      <c r="I13109" s="160" t="s">
        <v>57</v>
      </c>
      <c r="J13109" s="160">
        <v>6.9199999999999999E-3</v>
      </c>
      <c r="K13109" s="160" t="s">
        <v>14</v>
      </c>
      <c r="L13109" s="154" t="str">
        <f>IF(OpenLCAbasic!K13109="CTUh", "Fill in Manually",IF(OR(K13109="Unit", K13109=""), "", INDEX(LookUps!$E$5:$E$12, MATCH(OpenLCAbasic!K13109,LookUps!$D$5:$D$12,0))))</f>
        <v>Fossil Depletion Potential (FDP) - kg oil eq</v>
      </c>
      <c r="M13109" s="154" t="str">
        <f t="shared" si="1153"/>
        <v>Low_Medium_Low_Upgraded_Fossil Depletion Potential (FDP) - kg oil eq_Gravity Belt Thickener; wastewater treatment unit; at updated plant - US_Without Amendment_Aerated Static Pile</v>
      </c>
    </row>
    <row r="13110" spans="1:13" s="120" customFormat="1" x14ac:dyDescent="0.25">
      <c r="A13110" s="119"/>
      <c r="B13110" s="138" t="str">
        <f t="shared" si="1154"/>
        <v>Aerated Static Pile</v>
      </c>
      <c r="C13110" s="138" t="str">
        <f t="shared" si="1155"/>
        <v>Without Amendment</v>
      </c>
      <c r="D13110" s="138" t="str">
        <f t="shared" si="1152"/>
        <v>Medium_Low</v>
      </c>
      <c r="E13110" s="138" t="str">
        <f t="shared" si="1156"/>
        <v>Low</v>
      </c>
      <c r="F13110" s="138" t="str">
        <f t="shared" si="1157"/>
        <v>Upgraded</v>
      </c>
      <c r="G13110" s="153"/>
      <c r="H13110" s="210">
        <v>1.6899999999999998E-2</v>
      </c>
      <c r="I13110" s="160" t="s">
        <v>128</v>
      </c>
      <c r="J13110" s="160">
        <v>4.4999999999999997E-3</v>
      </c>
      <c r="K13110" s="160" t="s">
        <v>14</v>
      </c>
      <c r="L13110" s="154" t="str">
        <f>IF(OpenLCAbasic!K13110="CTUh", "Fill in Manually",IF(OR(K13110="Unit", K13110=""), "", INDEX(LookUps!$E$5:$E$12, MATCH(OpenLCAbasic!K13110,LookUps!$D$5:$D$12,0))))</f>
        <v>Fossil Depletion Potential (FDP) - kg oil eq</v>
      </c>
      <c r="M13110" s="154" t="str">
        <f t="shared" si="1153"/>
        <v>Low_Medium_Low_Upgraded_Fossil Depletion Potential (FDP) - kg oil eq_Wastewater collection; operation and infrastructure; m3 wastewater_Without Amendment_Aerated Static Pile</v>
      </c>
    </row>
    <row r="13111" spans="1:13" s="120" customFormat="1" x14ac:dyDescent="0.25">
      <c r="A13111" s="119"/>
      <c r="B13111" s="138" t="str">
        <f t="shared" si="1154"/>
        <v>Aerated Static Pile</v>
      </c>
      <c r="C13111" s="138" t="str">
        <f t="shared" si="1155"/>
        <v>Without Amendment</v>
      </c>
      <c r="D13111" s="138" t="str">
        <f t="shared" si="1152"/>
        <v>Medium_Low</v>
      </c>
      <c r="E13111" s="138" t="str">
        <f t="shared" si="1156"/>
        <v>Low</v>
      </c>
      <c r="F13111" s="138" t="str">
        <f t="shared" si="1157"/>
        <v>Upgraded</v>
      </c>
      <c r="G13111" s="153"/>
      <c r="H13111" s="210">
        <v>1.0500000000000001E-2</v>
      </c>
      <c r="I13111" s="160" t="s">
        <v>148</v>
      </c>
      <c r="J13111" s="160">
        <v>2.8E-3</v>
      </c>
      <c r="K13111" s="160" t="s">
        <v>14</v>
      </c>
      <c r="L13111" s="154" t="str">
        <f>IF(OpenLCAbasic!K13111="CTUh", "Fill in Manually",IF(OR(K13111="Unit", K13111=""), "", INDEX(LookUps!$E$5:$E$12, MATCH(OpenLCAbasic!K13111,LookUps!$D$5:$D$12,0))))</f>
        <v>Fossil Depletion Potential (FDP) - kg oil eq</v>
      </c>
      <c r="M13111" s="154" t="str">
        <f t="shared" si="1153"/>
        <v>Low_Medium_Low_Upgraded_Fossil Depletion Potential (FDP) - kg oil eq_Control Building; at upgraded wastewater treatment plant - US_Without Amendment_Aerated Static Pile</v>
      </c>
    </row>
    <row r="13112" spans="1:13" s="120" customFormat="1" x14ac:dyDescent="0.25">
      <c r="A13112" s="119"/>
      <c r="B13112" s="138" t="str">
        <f t="shared" si="1154"/>
        <v>Aerated Static Pile</v>
      </c>
      <c r="C13112" s="138" t="str">
        <f t="shared" si="1155"/>
        <v>Without Amendment</v>
      </c>
      <c r="D13112" s="138" t="str">
        <f t="shared" si="1152"/>
        <v>Medium_Low</v>
      </c>
      <c r="E13112" s="138" t="str">
        <f t="shared" si="1156"/>
        <v>Low</v>
      </c>
      <c r="F13112" s="138" t="str">
        <f t="shared" si="1157"/>
        <v>Upgraded</v>
      </c>
      <c r="G13112" s="153"/>
      <c r="H13112" s="210">
        <v>8.8999999999999999E-3</v>
      </c>
      <c r="I13112" s="160" t="s">
        <v>48</v>
      </c>
      <c r="J13112" s="160">
        <v>2.3600000000000001E-3</v>
      </c>
      <c r="K13112" s="160" t="s">
        <v>14</v>
      </c>
      <c r="L13112" s="154" t="str">
        <f>IF(OpenLCAbasic!K13112="CTUh", "Fill in Manually",IF(OR(K13112="Unit", K13112=""), "", INDEX(LookUps!$E$5:$E$12, MATCH(OpenLCAbasic!K13112,LookUps!$D$5:$D$12,0))))</f>
        <v>Fossil Depletion Potential (FDP) - kg oil eq</v>
      </c>
      <c r="M13112" s="154" t="str">
        <f t="shared" si="1153"/>
        <v>Low_Medium_Low_Upgraded_Fossil Depletion Potential (FDP) - kg oil eq_Effluent release; wastewater treatment unit; at surface water; m3 wastewater - US_Without Amendment_Aerated Static Pile</v>
      </c>
    </row>
    <row r="13113" spans="1:13" s="120" customFormat="1" x14ac:dyDescent="0.25">
      <c r="A13113" s="119"/>
      <c r="B13113" s="138" t="str">
        <f t="shared" si="1154"/>
        <v>Aerated Static Pile</v>
      </c>
      <c r="C13113" s="138" t="str">
        <f t="shared" si="1155"/>
        <v>Without Amendment</v>
      </c>
      <c r="D13113" s="138" t="str">
        <f t="shared" ref="D13113:D13176" si="1158">IF(ISNUMBER($J13113),"Medium_Low","")</f>
        <v>Medium_Low</v>
      </c>
      <c r="E13113" s="138" t="str">
        <f t="shared" si="1156"/>
        <v>Low</v>
      </c>
      <c r="F13113" s="138" t="str">
        <f t="shared" si="1157"/>
        <v>Upgraded</v>
      </c>
      <c r="G13113" s="153"/>
      <c r="H13113" s="210">
        <v>7.1999999999999998E-3</v>
      </c>
      <c r="I13113" s="160" t="s">
        <v>59</v>
      </c>
      <c r="J13113" s="160">
        <v>1.92E-3</v>
      </c>
      <c r="K13113" s="160" t="s">
        <v>14</v>
      </c>
      <c r="L13113" s="154" t="str">
        <f>IF(OpenLCAbasic!K13113="CTUh", "Fill in Manually",IF(OR(K13113="Unit", K13113=""), "", INDEX(LookUps!$E$5:$E$12, MATCH(OpenLCAbasic!K13113,LookUps!$D$5:$D$12,0))))</f>
        <v>Fossil Depletion Potential (FDP) - kg oil eq</v>
      </c>
      <c r="M13113" s="154" t="str">
        <f t="shared" si="1153"/>
        <v>Low_Medium_Low_Upgraded_Fossil Depletion Potential (FDP) - kg oil eq_Blend Tank; wastewater treatment unit; at updated plant - US_Without Amendment_Aerated Static Pile</v>
      </c>
    </row>
    <row r="13114" spans="1:13" s="120" customFormat="1" x14ac:dyDescent="0.25">
      <c r="A13114" s="119"/>
      <c r="B13114" s="138" t="str">
        <f t="shared" si="1154"/>
        <v>Aerated Static Pile</v>
      </c>
      <c r="C13114" s="138" t="str">
        <f t="shared" si="1155"/>
        <v>Without Amendment</v>
      </c>
      <c r="D13114" s="138" t="str">
        <f t="shared" si="1158"/>
        <v>Medium_Low</v>
      </c>
      <c r="E13114" s="138" t="str">
        <f t="shared" si="1156"/>
        <v>Low</v>
      </c>
      <c r="F13114" s="138" t="str">
        <f t="shared" si="1157"/>
        <v>Upgraded</v>
      </c>
      <c r="G13114" s="153"/>
      <c r="H13114" s="210">
        <v>3.3999999999999998E-3</v>
      </c>
      <c r="I13114" s="160" t="s">
        <v>168</v>
      </c>
      <c r="J13114" s="160">
        <v>9.1E-4</v>
      </c>
      <c r="K13114" s="160" t="s">
        <v>14</v>
      </c>
      <c r="L13114" s="154" t="str">
        <f>IF(OpenLCAbasic!K13114="CTUh", "Fill in Manually",IF(OR(K13114="Unit", K13114=""), "", INDEX(LookUps!$E$5:$E$12, MATCH(OpenLCAbasic!K13114,LookUps!$D$5:$D$12,0))))</f>
        <v>Fossil Depletion Potential (FDP) - kg oil eq</v>
      </c>
      <c r="M13114" s="154" t="str">
        <f t="shared" si="1153"/>
        <v>Low_Medium_Low_Upgraded_Fossil Depletion Potential (FDP) - kg oil eq_ClearCove SCP; wastewater treatment unit; at updated plant - US_Without Amendment_Aerated Static Pile</v>
      </c>
    </row>
    <row r="13115" spans="1:13" s="120" customFormat="1" x14ac:dyDescent="0.25">
      <c r="A13115" s="119"/>
      <c r="B13115" s="138" t="str">
        <f t="shared" si="1154"/>
        <v>Aerated Static Pile</v>
      </c>
      <c r="C13115" s="138" t="str">
        <f t="shared" si="1155"/>
        <v>Without Amendment</v>
      </c>
      <c r="D13115" s="138" t="str">
        <f t="shared" si="1158"/>
        <v>Medium_Low</v>
      </c>
      <c r="E13115" s="138" t="str">
        <f t="shared" si="1156"/>
        <v>Low</v>
      </c>
      <c r="F13115" s="138" t="str">
        <f t="shared" si="1157"/>
        <v>Upgraded</v>
      </c>
      <c r="G13115" s="153"/>
      <c r="H13115" s="210">
        <v>-2.5700000000000001E-2</v>
      </c>
      <c r="I13115" s="160" t="s">
        <v>62</v>
      </c>
      <c r="J13115" s="160">
        <v>-6.8500000000000002E-3</v>
      </c>
      <c r="K13115" s="160" t="s">
        <v>14</v>
      </c>
      <c r="L13115" s="154" t="str">
        <f>IF(OpenLCAbasic!K13115="CTUh", "Fill in Manually",IF(OR(K13115="Unit", K13115=""), "", INDEX(LookUps!$E$5:$E$12, MATCH(OpenLCAbasic!K13115,LookUps!$D$5:$D$12,0))))</f>
        <v>Fossil Depletion Potential (FDP) - kg oil eq</v>
      </c>
      <c r="M13115" s="154" t="str">
        <f t="shared" si="1153"/>
        <v>Low_Medium_Low_Upgraded_Fossil Depletion Potential (FDP) - kg oil eq_Land application of compost; wastewater treatment unit; at updated plant - US_Without Amendment_Aerated Static Pile</v>
      </c>
    </row>
    <row r="13116" spans="1:13" s="120" customFormat="1" x14ac:dyDescent="0.25">
      <c r="A13116" s="119"/>
      <c r="B13116" s="138" t="str">
        <f t="shared" si="1154"/>
        <v/>
      </c>
      <c r="C13116" s="138" t="str">
        <f t="shared" si="1155"/>
        <v/>
      </c>
      <c r="D13116" s="138" t="str">
        <f t="shared" si="1158"/>
        <v/>
      </c>
      <c r="E13116" s="138" t="str">
        <f t="shared" si="1156"/>
        <v/>
      </c>
      <c r="F13116" s="138" t="str">
        <f t="shared" si="1157"/>
        <v/>
      </c>
      <c r="G13116" s="153" t="s">
        <v>51</v>
      </c>
      <c r="H13116" s="160"/>
      <c r="I13116" s="160" t="s">
        <v>47</v>
      </c>
      <c r="J13116" s="160" t="s">
        <v>52</v>
      </c>
      <c r="K13116" s="160" t="s">
        <v>27</v>
      </c>
      <c r="L13116" s="154" t="str">
        <f>IF(OpenLCAbasic!K13116="CTUh", "Fill in Manually",IF(OR(K13116="Unit", K13116=""), "", INDEX(LookUps!$E$5:$E$12, MATCH(OpenLCAbasic!K13116,LookUps!$D$5:$D$12,0))))</f>
        <v/>
      </c>
      <c r="M13116" s="154" t="str">
        <f t="shared" si="1153"/>
        <v>____Process__</v>
      </c>
    </row>
    <row r="13117" spans="1:13" s="120" customFormat="1" x14ac:dyDescent="0.25">
      <c r="A13117" s="119"/>
      <c r="B13117" s="138" t="str">
        <f t="shared" si="1154"/>
        <v>Aerated Static Pile</v>
      </c>
      <c r="C13117" s="138" t="str">
        <f t="shared" si="1155"/>
        <v>Without Amendment</v>
      </c>
      <c r="D13117" s="138" t="str">
        <f t="shared" si="1158"/>
        <v>Medium_Low</v>
      </c>
      <c r="E13117" s="138" t="str">
        <f t="shared" si="1156"/>
        <v>Low</v>
      </c>
      <c r="F13117" s="138" t="str">
        <f t="shared" si="1157"/>
        <v>Upgraded</v>
      </c>
      <c r="G13117" s="153"/>
      <c r="H13117" s="210">
        <v>0.33639999999999998</v>
      </c>
      <c r="I13117" s="160" t="s">
        <v>58</v>
      </c>
      <c r="J13117" s="160">
        <v>0.24568999999999999</v>
      </c>
      <c r="K13117" s="160" t="s">
        <v>23</v>
      </c>
      <c r="L13117" s="154" t="str">
        <f>IF(OpenLCAbasic!K13117="CTUh", "Fill in Manually",IF(OR(K13117="Unit", K13117=""), "", INDEX(LookUps!$E$5:$E$12, MATCH(OpenLCAbasic!K13117,LookUps!$D$5:$D$12,0))))</f>
        <v>Global Warming Potential (GWP) - kg CO2 eq</v>
      </c>
      <c r="M13117" s="154" t="str">
        <f t="shared" si="1153"/>
        <v>Low_Medium_Low_Upgraded_Global Warming Potential (GWP) - kg CO2 eq_Pre-Anoxic &amp; Swing tank; wastewater treatment unit; at updated plant - US_Without Amendment_Aerated Static Pile</v>
      </c>
    </row>
    <row r="13118" spans="1:13" s="120" customFormat="1" x14ac:dyDescent="0.25">
      <c r="A13118" s="119"/>
      <c r="B13118" s="138" t="str">
        <f t="shared" si="1154"/>
        <v>Aerated Static Pile</v>
      </c>
      <c r="C13118" s="138" t="str">
        <f t="shared" si="1155"/>
        <v>Without Amendment</v>
      </c>
      <c r="D13118" s="138" t="str">
        <f t="shared" si="1158"/>
        <v>Medium_Low</v>
      </c>
      <c r="E13118" s="138" t="str">
        <f t="shared" si="1156"/>
        <v>Low</v>
      </c>
      <c r="F13118" s="138" t="str">
        <f t="shared" si="1157"/>
        <v>Upgraded</v>
      </c>
      <c r="G13118" s="153"/>
      <c r="H13118" s="210">
        <v>0.23039999999999999</v>
      </c>
      <c r="I13118" s="160" t="s">
        <v>55</v>
      </c>
      <c r="J13118" s="160">
        <v>0.16822000000000001</v>
      </c>
      <c r="K13118" s="160" t="s">
        <v>23</v>
      </c>
      <c r="L13118" s="154" t="str">
        <f>IF(OpenLCAbasic!K13118="CTUh", "Fill in Manually",IF(OR(K13118="Unit", K13118=""), "", INDEX(LookUps!$E$5:$E$12, MATCH(OpenLCAbasic!K13118,LookUps!$D$5:$D$12,0))))</f>
        <v>Global Warming Potential (GWP) - kg CO2 eq</v>
      </c>
      <c r="M13118" s="154" t="str">
        <f t="shared" si="1153"/>
        <v>Low_Medium_Low_Upgraded_Global Warming Potential (GWP) - kg CO2 eq_Aeration Tanks; wastewater treatment unit; at updated plant - US_Without Amendment_Aerated Static Pile</v>
      </c>
    </row>
    <row r="13119" spans="1:13" s="120" customFormat="1" x14ac:dyDescent="0.25">
      <c r="A13119" s="119"/>
      <c r="B13119" s="138" t="str">
        <f t="shared" si="1154"/>
        <v>Aerated Static Pile</v>
      </c>
      <c r="C13119" s="138" t="str">
        <f t="shared" si="1155"/>
        <v>Without Amendment</v>
      </c>
      <c r="D13119" s="138" t="str">
        <f t="shared" si="1158"/>
        <v>Medium_Low</v>
      </c>
      <c r="E13119" s="138" t="str">
        <f t="shared" si="1156"/>
        <v>Low</v>
      </c>
      <c r="F13119" s="138" t="str">
        <f t="shared" si="1157"/>
        <v>Upgraded</v>
      </c>
      <c r="G13119" s="153"/>
      <c r="H13119" s="210">
        <v>0.16919999999999999</v>
      </c>
      <c r="I13119" s="160" t="s">
        <v>167</v>
      </c>
      <c r="J13119" s="160">
        <v>0.12354999999999999</v>
      </c>
      <c r="K13119" s="160" t="s">
        <v>23</v>
      </c>
      <c r="L13119" s="154" t="str">
        <f>IF(OpenLCAbasic!K13119="CTUh", "Fill in Manually",IF(OR(K13119="Unit", K13119=""), "", INDEX(LookUps!$E$5:$E$12, MATCH(OpenLCAbasic!K13119,LookUps!$D$5:$D$12,0))))</f>
        <v>Global Warming Potential (GWP) - kg CO2 eq</v>
      </c>
      <c r="M13119" s="154" t="str">
        <f t="shared" si="1153"/>
        <v>Low_Medium_Low_Upgraded_Global Warming Potential (GWP) - kg CO2 eq_Waste Receiving and Holding; wastewater treatment unit; at updated plant - US_Without Amendment_Aerated Static Pile</v>
      </c>
    </row>
    <row r="13120" spans="1:13" s="120" customFormat="1" x14ac:dyDescent="0.25">
      <c r="A13120" s="119"/>
      <c r="B13120" s="138" t="str">
        <f t="shared" si="1154"/>
        <v>Aerated Static Pile</v>
      </c>
      <c r="C13120" s="138" t="str">
        <f t="shared" si="1155"/>
        <v>Without Amendment</v>
      </c>
      <c r="D13120" s="138" t="str">
        <f t="shared" si="1158"/>
        <v>Medium_Low</v>
      </c>
      <c r="E13120" s="138" t="str">
        <f t="shared" si="1156"/>
        <v>Low</v>
      </c>
      <c r="F13120" s="138" t="str">
        <f t="shared" si="1157"/>
        <v>Upgraded</v>
      </c>
      <c r="G13120" s="153"/>
      <c r="H13120" s="210">
        <v>0.11459999999999999</v>
      </c>
      <c r="I13120" s="160" t="s">
        <v>435</v>
      </c>
      <c r="J13120" s="160">
        <v>8.3669999999999994E-2</v>
      </c>
      <c r="K13120" s="160" t="s">
        <v>23</v>
      </c>
      <c r="L13120" s="154" t="str">
        <f>IF(OpenLCAbasic!K13120="CTUh", "Fill in Manually",IF(OR(K13120="Unit", K13120=""), "", INDEX(LookUps!$E$5:$E$12, MATCH(OpenLCAbasic!K13120,LookUps!$D$5:$D$12,0))))</f>
        <v>Global Warming Potential (GWP) - kg CO2 eq</v>
      </c>
      <c r="M13120" s="154" t="str">
        <f t="shared" si="1153"/>
        <v>Low_Medium_Low_Upgraded_Global Warming Potential (GWP) - kg CO2 eq_Biosolids composting; aerated static pile; wastewater treatment unit; at updated plant - US_Without Amendment_Aerated Static Pile</v>
      </c>
    </row>
    <row r="13121" spans="1:13" s="120" customFormat="1" x14ac:dyDescent="0.25">
      <c r="A13121" s="119"/>
      <c r="B13121" s="138" t="str">
        <f t="shared" si="1154"/>
        <v>Aerated Static Pile</v>
      </c>
      <c r="C13121" s="138" t="str">
        <f t="shared" si="1155"/>
        <v>Without Amendment</v>
      </c>
      <c r="D13121" s="138" t="str">
        <f t="shared" si="1158"/>
        <v>Medium_Low</v>
      </c>
      <c r="E13121" s="138" t="str">
        <f t="shared" si="1156"/>
        <v>Low</v>
      </c>
      <c r="F13121" s="138" t="str">
        <f t="shared" si="1157"/>
        <v>Upgraded</v>
      </c>
      <c r="G13121" s="153"/>
      <c r="H13121" s="210">
        <v>8.72E-2</v>
      </c>
      <c r="I13121" s="160" t="s">
        <v>149</v>
      </c>
      <c r="J13121" s="160">
        <v>6.3659999999999994E-2</v>
      </c>
      <c r="K13121" s="160" t="s">
        <v>23</v>
      </c>
      <c r="L13121" s="154" t="str">
        <f>IF(OpenLCAbasic!K13121="CTUh", "Fill in Manually",IF(OR(K13121="Unit", K13121=""), "", INDEX(LookUps!$E$5:$E$12, MATCH(OpenLCAbasic!K13121,LookUps!$D$5:$D$12,0))))</f>
        <v>Global Warming Potential (GWP) - kg CO2 eq</v>
      </c>
      <c r="M13121" s="154" t="str">
        <f t="shared" si="1153"/>
        <v>Low_Medium_Low_Upgraded_Global Warming Potential (GWP) - kg CO2 eq_Anaerobic Digestion; wastewater treatment unit; at updated plant - US_Without Amendment_Aerated Static Pile</v>
      </c>
    </row>
    <row r="13122" spans="1:13" s="120" customFormat="1" x14ac:dyDescent="0.25">
      <c r="A13122" s="119"/>
      <c r="B13122" s="138" t="str">
        <f t="shared" si="1154"/>
        <v>Aerated Static Pile</v>
      </c>
      <c r="C13122" s="138" t="str">
        <f t="shared" si="1155"/>
        <v>Without Amendment</v>
      </c>
      <c r="D13122" s="138" t="str">
        <f t="shared" si="1158"/>
        <v>Medium_Low</v>
      </c>
      <c r="E13122" s="138" t="str">
        <f t="shared" si="1156"/>
        <v>Low</v>
      </c>
      <c r="F13122" s="138" t="str">
        <f t="shared" si="1157"/>
        <v>Upgraded</v>
      </c>
      <c r="G13122" s="153"/>
      <c r="H13122" s="210">
        <v>7.8200000000000006E-2</v>
      </c>
      <c r="I13122" s="160" t="s">
        <v>54</v>
      </c>
      <c r="J13122" s="160">
        <v>5.7079999999999999E-2</v>
      </c>
      <c r="K13122" s="160" t="s">
        <v>23</v>
      </c>
      <c r="L13122" s="154" t="str">
        <f>IF(OpenLCAbasic!K13122="CTUh", "Fill in Manually",IF(OR(K13122="Unit", K13122=""), "", INDEX(LookUps!$E$5:$E$12, MATCH(OpenLCAbasic!K13122,LookUps!$D$5:$D$12,0))))</f>
        <v>Global Warming Potential (GWP) - kg CO2 eq</v>
      </c>
      <c r="M13122" s="154" t="str">
        <f t="shared" si="1153"/>
        <v>Low_Medium_Low_Upgraded_Global Warming Potential (GWP) - kg CO2 eq_Clear Cove Primary Clarification; wastewater treatment unit; at updated plant - US_Without Amendment_Aerated Static Pile</v>
      </c>
    </row>
    <row r="13123" spans="1:13" s="120" customFormat="1" x14ac:dyDescent="0.25">
      <c r="A13123" s="119"/>
      <c r="B13123" s="138" t="str">
        <f t="shared" si="1154"/>
        <v>Aerated Static Pile</v>
      </c>
      <c r="C13123" s="138" t="str">
        <f t="shared" si="1155"/>
        <v>Without Amendment</v>
      </c>
      <c r="D13123" s="138" t="str">
        <f t="shared" si="1158"/>
        <v>Medium_Low</v>
      </c>
      <c r="E13123" s="138" t="str">
        <f t="shared" si="1156"/>
        <v>Low</v>
      </c>
      <c r="F13123" s="138" t="str">
        <f t="shared" si="1157"/>
        <v>Upgraded</v>
      </c>
      <c r="G13123" s="153"/>
      <c r="H13123" s="210">
        <v>7.2099999999999997E-2</v>
      </c>
      <c r="I13123" s="160" t="s">
        <v>48</v>
      </c>
      <c r="J13123" s="160">
        <v>5.2639999999999999E-2</v>
      </c>
      <c r="K13123" s="160" t="s">
        <v>23</v>
      </c>
      <c r="L13123" s="154" t="str">
        <f>IF(OpenLCAbasic!K13123="CTUh", "Fill in Manually",IF(OR(K13123="Unit", K13123=""), "", INDEX(LookUps!$E$5:$E$12, MATCH(OpenLCAbasic!K13123,LookUps!$D$5:$D$12,0))))</f>
        <v>Global Warming Potential (GWP) - kg CO2 eq</v>
      </c>
      <c r="M13123" s="154" t="str">
        <f t="shared" si="1153"/>
        <v>Low_Medium_Low_Upgraded_Global Warming Potential (GWP) - kg CO2 eq_Effluent release; wastewater treatment unit; at surface water; m3 wastewater - US_Without Amendment_Aerated Static Pile</v>
      </c>
    </row>
    <row r="13124" spans="1:13" s="120" customFormat="1" x14ac:dyDescent="0.25">
      <c r="A13124" s="119"/>
      <c r="B13124" s="138" t="str">
        <f t="shared" si="1154"/>
        <v>Aerated Static Pile</v>
      </c>
      <c r="C13124" s="138" t="str">
        <f t="shared" si="1155"/>
        <v>Without Amendment</v>
      </c>
      <c r="D13124" s="138" t="str">
        <f t="shared" si="1158"/>
        <v>Medium_Low</v>
      </c>
      <c r="E13124" s="138" t="str">
        <f t="shared" si="1156"/>
        <v>Low</v>
      </c>
      <c r="F13124" s="138" t="str">
        <f t="shared" si="1157"/>
        <v>Upgraded</v>
      </c>
      <c r="G13124" s="153"/>
      <c r="H13124" s="210">
        <v>6.9199999999999998E-2</v>
      </c>
      <c r="I13124" s="160" t="s">
        <v>147</v>
      </c>
      <c r="J13124" s="160">
        <v>5.0500000000000003E-2</v>
      </c>
      <c r="K13124" s="160" t="s">
        <v>23</v>
      </c>
      <c r="L13124" s="154" t="str">
        <f>IF(OpenLCAbasic!K13124="CTUh", "Fill in Manually",IF(OR(K13124="Unit", K13124=""), "", INDEX(LookUps!$E$5:$E$12, MATCH(OpenLCAbasic!K13124,LookUps!$D$5:$D$12,0))))</f>
        <v>Global Warming Potential (GWP) - kg CO2 eq</v>
      </c>
      <c r="M13124" s="154" t="str">
        <f t="shared" ref="M13124:M13187" si="1159">CONCATENATE(E13124,"_",D13124,"_",F13124,"_",L13124, "_",I13124,"_", C13124,"_", B13124)</f>
        <v>Low_Medium_Low_Upgraded_Global Warming Potential (GWP) - kg CO2 eq_Influent Pump Station; wastewater treatment unit; at updated plant - US_Without Amendment_Aerated Static Pile</v>
      </c>
    </row>
    <row r="13125" spans="1:13" s="120" customFormat="1" x14ac:dyDescent="0.25">
      <c r="A13125" s="119"/>
      <c r="B13125" s="138" t="str">
        <f t="shared" si="1154"/>
        <v>Aerated Static Pile</v>
      </c>
      <c r="C13125" s="138" t="str">
        <f t="shared" si="1155"/>
        <v>Without Amendment</v>
      </c>
      <c r="D13125" s="138" t="str">
        <f t="shared" si="1158"/>
        <v>Medium_Low</v>
      </c>
      <c r="E13125" s="138" t="str">
        <f t="shared" si="1156"/>
        <v>Low</v>
      </c>
      <c r="F13125" s="138" t="str">
        <f t="shared" si="1157"/>
        <v>Upgraded</v>
      </c>
      <c r="G13125" s="153"/>
      <c r="H13125" s="210">
        <v>4.5499999999999999E-2</v>
      </c>
      <c r="I13125" s="160" t="s">
        <v>53</v>
      </c>
      <c r="J13125" s="160">
        <v>3.3259999999999998E-2</v>
      </c>
      <c r="K13125" s="160" t="s">
        <v>23</v>
      </c>
      <c r="L13125" s="154" t="str">
        <f>IF(OpenLCAbasic!K13125="CTUh", "Fill in Manually",IF(OR(K13125="Unit", K13125=""), "", INDEX(LookUps!$E$5:$E$12, MATCH(OpenLCAbasic!K13125,LookUps!$D$5:$D$12,0))))</f>
        <v>Global Warming Potential (GWP) - kg CO2 eq</v>
      </c>
      <c r="M13125" s="154" t="str">
        <f t="shared" si="1159"/>
        <v>Low_Medium_Low_Upgraded_Global Warming Potential (GWP) - kg CO2 eq_Wet Well and Sump Station; wastewater treatment unit; at updated plant - US_Without Amendment_Aerated Static Pile</v>
      </c>
    </row>
    <row r="13126" spans="1:13" s="120" customFormat="1" x14ac:dyDescent="0.25">
      <c r="A13126" s="119"/>
      <c r="B13126" s="138" t="str">
        <f t="shared" si="1154"/>
        <v>Aerated Static Pile</v>
      </c>
      <c r="C13126" s="138" t="str">
        <f t="shared" si="1155"/>
        <v>Without Amendment</v>
      </c>
      <c r="D13126" s="138" t="str">
        <f t="shared" si="1158"/>
        <v>Medium_Low</v>
      </c>
      <c r="E13126" s="138" t="str">
        <f t="shared" si="1156"/>
        <v>Low</v>
      </c>
      <c r="F13126" s="138" t="str">
        <f t="shared" si="1157"/>
        <v>Upgraded</v>
      </c>
      <c r="G13126" s="153"/>
      <c r="H13126" s="210">
        <v>2.7300000000000001E-2</v>
      </c>
      <c r="I13126" s="160" t="s">
        <v>60</v>
      </c>
      <c r="J13126" s="160">
        <v>1.9910000000000001E-2</v>
      </c>
      <c r="K13126" s="160" t="s">
        <v>23</v>
      </c>
      <c r="L13126" s="154" t="str">
        <f>IF(OpenLCAbasic!K13126="CTUh", "Fill in Manually",IF(OR(K13126="Unit", K13126=""), "", INDEX(LookUps!$E$5:$E$12, MATCH(OpenLCAbasic!K13126,LookUps!$D$5:$D$12,0))))</f>
        <v>Global Warming Potential (GWP) - kg CO2 eq</v>
      </c>
      <c r="M13126" s="154" t="str">
        <f t="shared" si="1159"/>
        <v>Low_Medium_Low_Upgraded_Global Warming Potential (GWP) - kg CO2 eq_Belt filter press; wastewater treatment unit; at updated plant - US_Without Amendment_Aerated Static Pile</v>
      </c>
    </row>
    <row r="13127" spans="1:13" s="120" customFormat="1" x14ac:dyDescent="0.25">
      <c r="A13127" s="119"/>
      <c r="B13127" s="138" t="str">
        <f t="shared" si="1154"/>
        <v>Aerated Static Pile</v>
      </c>
      <c r="C13127" s="138" t="str">
        <f t="shared" si="1155"/>
        <v>Without Amendment</v>
      </c>
      <c r="D13127" s="138" t="str">
        <f t="shared" si="1158"/>
        <v>Medium_Low</v>
      </c>
      <c r="E13127" s="138" t="str">
        <f t="shared" si="1156"/>
        <v>Low</v>
      </c>
      <c r="F13127" s="138" t="str">
        <f t="shared" si="1157"/>
        <v>Upgraded</v>
      </c>
      <c r="G13127" s="153"/>
      <c r="H13127" s="210">
        <v>1.9900000000000001E-2</v>
      </c>
      <c r="I13127" s="160" t="s">
        <v>57</v>
      </c>
      <c r="J13127" s="160">
        <v>1.455E-2</v>
      </c>
      <c r="K13127" s="160" t="s">
        <v>23</v>
      </c>
      <c r="L13127" s="154" t="str">
        <f>IF(OpenLCAbasic!K13127="CTUh", "Fill in Manually",IF(OR(K13127="Unit", K13127=""), "", INDEX(LookUps!$E$5:$E$12, MATCH(OpenLCAbasic!K13127,LookUps!$D$5:$D$12,0))))</f>
        <v>Global Warming Potential (GWP) - kg CO2 eq</v>
      </c>
      <c r="M13127" s="154" t="str">
        <f t="shared" si="1159"/>
        <v>Low_Medium_Low_Upgraded_Global Warming Potential (GWP) - kg CO2 eq_Gravity Belt Thickener; wastewater treatment unit; at updated plant - US_Without Amendment_Aerated Static Pile</v>
      </c>
    </row>
    <row r="13128" spans="1:13" s="120" customFormat="1" x14ac:dyDescent="0.25">
      <c r="A13128" s="119"/>
      <c r="B13128" s="138" t="str">
        <f t="shared" si="1154"/>
        <v>Aerated Static Pile</v>
      </c>
      <c r="C13128" s="138" t="str">
        <f t="shared" si="1155"/>
        <v>Without Amendment</v>
      </c>
      <c r="D13128" s="138" t="str">
        <f t="shared" si="1158"/>
        <v>Medium_Low</v>
      </c>
      <c r="E13128" s="138" t="str">
        <f t="shared" si="1156"/>
        <v>Low</v>
      </c>
      <c r="F13128" s="138" t="str">
        <f t="shared" si="1157"/>
        <v>Upgraded</v>
      </c>
      <c r="G13128" s="153"/>
      <c r="H13128" s="210">
        <v>1.8499999999999999E-2</v>
      </c>
      <c r="I13128" s="160" t="s">
        <v>128</v>
      </c>
      <c r="J13128" s="160">
        <v>1.3509999999999999E-2</v>
      </c>
      <c r="K13128" s="160" t="s">
        <v>23</v>
      </c>
      <c r="L13128" s="154" t="str">
        <f>IF(OpenLCAbasic!K13128="CTUh", "Fill in Manually",IF(OR(K13128="Unit", K13128=""), "", INDEX(LookUps!$E$5:$E$12, MATCH(OpenLCAbasic!K13128,LookUps!$D$5:$D$12,0))))</f>
        <v>Global Warming Potential (GWP) - kg CO2 eq</v>
      </c>
      <c r="M13128" s="154" t="str">
        <f t="shared" si="1159"/>
        <v>Low_Medium_Low_Upgraded_Global Warming Potential (GWP) - kg CO2 eq_Wastewater collection; operation and infrastructure; m3 wastewater_Without Amendment_Aerated Static Pile</v>
      </c>
    </row>
    <row r="13129" spans="1:13" s="120" customFormat="1" x14ac:dyDescent="0.25">
      <c r="A13129" s="119"/>
      <c r="B13129" s="138" t="str">
        <f t="shared" si="1154"/>
        <v>Aerated Static Pile</v>
      </c>
      <c r="C13129" s="138" t="str">
        <f t="shared" si="1155"/>
        <v>Without Amendment</v>
      </c>
      <c r="D13129" s="138" t="str">
        <f t="shared" si="1158"/>
        <v>Medium_Low</v>
      </c>
      <c r="E13129" s="138" t="str">
        <f t="shared" si="1156"/>
        <v>Low</v>
      </c>
      <c r="F13129" s="138" t="str">
        <f t="shared" si="1157"/>
        <v>Upgraded</v>
      </c>
      <c r="G13129" s="153"/>
      <c r="H13129" s="210">
        <v>1.14E-2</v>
      </c>
      <c r="I13129" s="160" t="s">
        <v>148</v>
      </c>
      <c r="J13129" s="160">
        <v>8.3000000000000001E-3</v>
      </c>
      <c r="K13129" s="160" t="s">
        <v>23</v>
      </c>
      <c r="L13129" s="154" t="str">
        <f>IF(OpenLCAbasic!K13129="CTUh", "Fill in Manually",IF(OR(K13129="Unit", K13129=""), "", INDEX(LookUps!$E$5:$E$12, MATCH(OpenLCAbasic!K13129,LookUps!$D$5:$D$12,0))))</f>
        <v>Global Warming Potential (GWP) - kg CO2 eq</v>
      </c>
      <c r="M13129" s="154" t="str">
        <f t="shared" si="1159"/>
        <v>Low_Medium_Low_Upgraded_Global Warming Potential (GWP) - kg CO2 eq_Control Building; at upgraded wastewater treatment plant - US_Without Amendment_Aerated Static Pile</v>
      </c>
    </row>
    <row r="13130" spans="1:13" s="120" customFormat="1" x14ac:dyDescent="0.25">
      <c r="A13130" s="119"/>
      <c r="B13130" s="138" t="str">
        <f t="shared" si="1154"/>
        <v>Aerated Static Pile</v>
      </c>
      <c r="C13130" s="138" t="str">
        <f t="shared" si="1155"/>
        <v>Without Amendment</v>
      </c>
      <c r="D13130" s="138" t="str">
        <f t="shared" si="1158"/>
        <v>Medium_Low</v>
      </c>
      <c r="E13130" s="138" t="str">
        <f t="shared" si="1156"/>
        <v>Low</v>
      </c>
      <c r="F13130" s="138" t="str">
        <f t="shared" si="1157"/>
        <v>Upgraded</v>
      </c>
      <c r="G13130" s="153"/>
      <c r="H13130" s="210">
        <v>6.8999999999999999E-3</v>
      </c>
      <c r="I13130" s="160" t="s">
        <v>59</v>
      </c>
      <c r="J13130" s="160">
        <v>5.0400000000000002E-3</v>
      </c>
      <c r="K13130" s="160" t="s">
        <v>23</v>
      </c>
      <c r="L13130" s="154" t="str">
        <f>IF(OpenLCAbasic!K13130="CTUh", "Fill in Manually",IF(OR(K13130="Unit", K13130=""), "", INDEX(LookUps!$E$5:$E$12, MATCH(OpenLCAbasic!K13130,LookUps!$D$5:$D$12,0))))</f>
        <v>Global Warming Potential (GWP) - kg CO2 eq</v>
      </c>
      <c r="M13130" s="154" t="str">
        <f t="shared" si="1159"/>
        <v>Low_Medium_Low_Upgraded_Global Warming Potential (GWP) - kg CO2 eq_Blend Tank; wastewater treatment unit; at updated plant - US_Without Amendment_Aerated Static Pile</v>
      </c>
    </row>
    <row r="13131" spans="1:13" s="120" customFormat="1" x14ac:dyDescent="0.25">
      <c r="A13131" s="119"/>
      <c r="B13131" s="138" t="str">
        <f t="shared" si="1154"/>
        <v>Aerated Static Pile</v>
      </c>
      <c r="C13131" s="138" t="str">
        <f t="shared" si="1155"/>
        <v>Without Amendment</v>
      </c>
      <c r="D13131" s="138" t="str">
        <f t="shared" si="1158"/>
        <v>Medium_Low</v>
      </c>
      <c r="E13131" s="138" t="str">
        <f t="shared" si="1156"/>
        <v>Low</v>
      </c>
      <c r="F13131" s="138" t="str">
        <f t="shared" si="1157"/>
        <v>Upgraded</v>
      </c>
      <c r="G13131" s="153"/>
      <c r="H13131" s="210">
        <v>3.3E-3</v>
      </c>
      <c r="I13131" s="160" t="s">
        <v>168</v>
      </c>
      <c r="J13131" s="160">
        <v>2.4099999999999998E-3</v>
      </c>
      <c r="K13131" s="160" t="s">
        <v>23</v>
      </c>
      <c r="L13131" s="154" t="str">
        <f>IF(OpenLCAbasic!K13131="CTUh", "Fill in Manually",IF(OR(K13131="Unit", K13131=""), "", INDEX(LookUps!$E$5:$E$12, MATCH(OpenLCAbasic!K13131,LookUps!$D$5:$D$12,0))))</f>
        <v>Global Warming Potential (GWP) - kg CO2 eq</v>
      </c>
      <c r="M13131" s="154" t="str">
        <f t="shared" si="1159"/>
        <v>Low_Medium_Low_Upgraded_Global Warming Potential (GWP) - kg CO2 eq_ClearCove SCP; wastewater treatment unit; at updated plant - US_Without Amendment_Aerated Static Pile</v>
      </c>
    </row>
    <row r="13132" spans="1:13" s="120" customFormat="1" x14ac:dyDescent="0.25">
      <c r="A13132" s="119"/>
      <c r="B13132" s="138" t="str">
        <f t="shared" si="1154"/>
        <v>Aerated Static Pile</v>
      </c>
      <c r="C13132" s="138" t="str">
        <f t="shared" si="1155"/>
        <v>Without Amendment</v>
      </c>
      <c r="D13132" s="138" t="str">
        <f t="shared" si="1158"/>
        <v>Medium_Low</v>
      </c>
      <c r="E13132" s="138" t="str">
        <f t="shared" si="1156"/>
        <v>Low</v>
      </c>
      <c r="F13132" s="138" t="str">
        <f t="shared" si="1157"/>
        <v>Upgraded</v>
      </c>
      <c r="G13132" s="153"/>
      <c r="H13132" s="210">
        <v>-0.28989999999999999</v>
      </c>
      <c r="I13132" s="160" t="s">
        <v>62</v>
      </c>
      <c r="J13132" s="160">
        <v>-0.21173</v>
      </c>
      <c r="K13132" s="160" t="s">
        <v>23</v>
      </c>
      <c r="L13132" s="154" t="str">
        <f>IF(OpenLCAbasic!K13132="CTUh", "Fill in Manually",IF(OR(K13132="Unit", K13132=""), "", INDEX(LookUps!$E$5:$E$12, MATCH(OpenLCAbasic!K13132,LookUps!$D$5:$D$12,0))))</f>
        <v>Global Warming Potential (GWP) - kg CO2 eq</v>
      </c>
      <c r="M13132" s="154" t="str">
        <f t="shared" si="1159"/>
        <v>Low_Medium_Low_Upgraded_Global Warming Potential (GWP) - kg CO2 eq_Land application of compost; wastewater treatment unit; at updated plant - US_Without Amendment_Aerated Static Pile</v>
      </c>
    </row>
    <row r="13133" spans="1:13" s="120" customFormat="1" x14ac:dyDescent="0.25">
      <c r="A13133" s="119"/>
      <c r="B13133" s="138" t="str">
        <f t="shared" si="1154"/>
        <v/>
      </c>
      <c r="C13133" s="138" t="str">
        <f t="shared" si="1155"/>
        <v/>
      </c>
      <c r="D13133" s="138" t="str">
        <f t="shared" si="1158"/>
        <v/>
      </c>
      <c r="E13133" s="138" t="str">
        <f t="shared" si="1156"/>
        <v/>
      </c>
      <c r="F13133" s="138" t="str">
        <f t="shared" si="1157"/>
        <v/>
      </c>
      <c r="G13133" s="153" t="s">
        <v>51</v>
      </c>
      <c r="H13133" s="160"/>
      <c r="I13133" s="160" t="s">
        <v>47</v>
      </c>
      <c r="J13133" s="160" t="s">
        <v>52</v>
      </c>
      <c r="K13133" s="160" t="s">
        <v>27</v>
      </c>
      <c r="L13133" s="154" t="str">
        <f>IF(OpenLCAbasic!K13133="CTUh", "Fill in Manually",IF(OR(K13133="Unit", K13133=""), "", INDEX(LookUps!$E$5:$E$12, MATCH(OpenLCAbasic!K13133,LookUps!$D$5:$D$12,0))))</f>
        <v/>
      </c>
      <c r="M13133" s="154" t="str">
        <f t="shared" si="1159"/>
        <v>____Process__</v>
      </c>
    </row>
    <row r="13134" spans="1:13" s="120" customFormat="1" x14ac:dyDescent="0.25">
      <c r="A13134" s="119"/>
      <c r="B13134" s="138" t="str">
        <f t="shared" si="1154"/>
        <v>Aerated Static Pile</v>
      </c>
      <c r="C13134" s="138" t="str">
        <f t="shared" si="1155"/>
        <v>Without Amendment</v>
      </c>
      <c r="D13134" s="138" t="str">
        <f t="shared" si="1158"/>
        <v>Medium_Low</v>
      </c>
      <c r="E13134" s="138" t="str">
        <f t="shared" si="1156"/>
        <v>Low</v>
      </c>
      <c r="F13134" s="138" t="str">
        <f t="shared" si="1157"/>
        <v>Upgraded</v>
      </c>
      <c r="G13134" s="153"/>
      <c r="H13134" s="210">
        <v>0.44340000000000002</v>
      </c>
      <c r="I13134" s="160" t="s">
        <v>55</v>
      </c>
      <c r="J13134" s="160">
        <v>2.33E-3</v>
      </c>
      <c r="K13134" s="160" t="s">
        <v>145</v>
      </c>
      <c r="L13134" s="154" t="str">
        <f>IF(OpenLCAbasic!K13134="CTUh", "Fill in Manually",IF(OR(K13134="Unit", K13134=""), "", INDEX(LookUps!$E$5:$E$12, MATCH(OpenLCAbasic!K13134,LookUps!$D$5:$D$12,0))))</f>
        <v>Particulate Matter Formation Potential (PMFP) - kg PM2.5 eq</v>
      </c>
      <c r="M13134" s="154" t="str">
        <f t="shared" si="1159"/>
        <v>Low_Medium_Low_Upgraded_Particulate Matter Formation Potential (PMFP) - kg PM2.5 eq_Aeration Tanks; wastewater treatment unit; at updated plant - US_Without Amendment_Aerated Static Pile</v>
      </c>
    </row>
    <row r="13135" spans="1:13" s="120" customFormat="1" x14ac:dyDescent="0.25">
      <c r="A13135" s="119"/>
      <c r="B13135" s="138" t="str">
        <f t="shared" si="1154"/>
        <v>Aerated Static Pile</v>
      </c>
      <c r="C13135" s="138" t="str">
        <f t="shared" si="1155"/>
        <v>Without Amendment</v>
      </c>
      <c r="D13135" s="138" t="str">
        <f t="shared" si="1158"/>
        <v>Medium_Low</v>
      </c>
      <c r="E13135" s="138" t="str">
        <f t="shared" si="1156"/>
        <v>Low</v>
      </c>
      <c r="F13135" s="138" t="str">
        <f t="shared" si="1157"/>
        <v>Upgraded</v>
      </c>
      <c r="G13135" s="153"/>
      <c r="H13135" s="210">
        <v>0.129</v>
      </c>
      <c r="I13135" s="160" t="s">
        <v>54</v>
      </c>
      <c r="J13135" s="160">
        <v>6.8000000000000005E-4</v>
      </c>
      <c r="K13135" s="160" t="s">
        <v>145</v>
      </c>
      <c r="L13135" s="154" t="str">
        <f>IF(OpenLCAbasic!K13135="CTUh", "Fill in Manually",IF(OR(K13135="Unit", K13135=""), "", INDEX(LookUps!$E$5:$E$12, MATCH(OpenLCAbasic!K13135,LookUps!$D$5:$D$12,0))))</f>
        <v>Particulate Matter Formation Potential (PMFP) - kg PM2.5 eq</v>
      </c>
      <c r="M13135" s="154" t="str">
        <f t="shared" si="1159"/>
        <v>Low_Medium_Low_Upgraded_Particulate Matter Formation Potential (PMFP) - kg PM2.5 eq_Clear Cove Primary Clarification; wastewater treatment unit; at updated plant - US_Without Amendment_Aerated Static Pile</v>
      </c>
    </row>
    <row r="13136" spans="1:13" s="120" customFormat="1" x14ac:dyDescent="0.25">
      <c r="A13136" s="119"/>
      <c r="B13136" s="138" t="str">
        <f t="shared" si="1154"/>
        <v>Aerated Static Pile</v>
      </c>
      <c r="C13136" s="138" t="str">
        <f t="shared" si="1155"/>
        <v>Without Amendment</v>
      </c>
      <c r="D13136" s="138" t="str">
        <f t="shared" si="1158"/>
        <v>Medium_Low</v>
      </c>
      <c r="E13136" s="138" t="str">
        <f t="shared" si="1156"/>
        <v>Low</v>
      </c>
      <c r="F13136" s="138" t="str">
        <f t="shared" si="1157"/>
        <v>Upgraded</v>
      </c>
      <c r="G13136" s="153"/>
      <c r="H13136" s="210">
        <v>0.1118</v>
      </c>
      <c r="I13136" s="160" t="s">
        <v>58</v>
      </c>
      <c r="J13136" s="160">
        <v>5.9000000000000003E-4</v>
      </c>
      <c r="K13136" s="160" t="s">
        <v>145</v>
      </c>
      <c r="L13136" s="154" t="str">
        <f>IF(OpenLCAbasic!K13136="CTUh", "Fill in Manually",IF(OR(K13136="Unit", K13136=""), "", INDEX(LookUps!$E$5:$E$12, MATCH(OpenLCAbasic!K13136,LookUps!$D$5:$D$12,0))))</f>
        <v>Particulate Matter Formation Potential (PMFP) - kg PM2.5 eq</v>
      </c>
      <c r="M13136" s="154" t="str">
        <f t="shared" si="1159"/>
        <v>Low_Medium_Low_Upgraded_Particulate Matter Formation Potential (PMFP) - kg PM2.5 eq_Pre-Anoxic &amp; Swing tank; wastewater treatment unit; at updated plant - US_Without Amendment_Aerated Static Pile</v>
      </c>
    </row>
    <row r="13137" spans="1:13" s="120" customFormat="1" x14ac:dyDescent="0.25">
      <c r="A13137" s="119"/>
      <c r="B13137" s="138" t="str">
        <f t="shared" si="1154"/>
        <v>Aerated Static Pile</v>
      </c>
      <c r="C13137" s="138" t="str">
        <f t="shared" si="1155"/>
        <v>Without Amendment</v>
      </c>
      <c r="D13137" s="138" t="str">
        <f t="shared" si="1158"/>
        <v>Medium_Low</v>
      </c>
      <c r="E13137" s="138" t="str">
        <f t="shared" si="1156"/>
        <v>Low</v>
      </c>
      <c r="F13137" s="138" t="str">
        <f t="shared" si="1157"/>
        <v>Upgraded</v>
      </c>
      <c r="G13137" s="153"/>
      <c r="H13137" s="210">
        <v>8.8700000000000001E-2</v>
      </c>
      <c r="I13137" s="160" t="s">
        <v>53</v>
      </c>
      <c r="J13137" s="160">
        <v>4.6999999999999999E-4</v>
      </c>
      <c r="K13137" s="160" t="s">
        <v>145</v>
      </c>
      <c r="L13137" s="154" t="str">
        <f>IF(OpenLCAbasic!K13137="CTUh", "Fill in Manually",IF(OR(K13137="Unit", K13137=""), "", INDEX(LookUps!$E$5:$E$12, MATCH(OpenLCAbasic!K13137,LookUps!$D$5:$D$12,0))))</f>
        <v>Particulate Matter Formation Potential (PMFP) - kg PM2.5 eq</v>
      </c>
      <c r="M13137" s="154" t="str">
        <f t="shared" si="1159"/>
        <v>Low_Medium_Low_Upgraded_Particulate Matter Formation Potential (PMFP) - kg PM2.5 eq_Wet Well and Sump Station; wastewater treatment unit; at updated plant - US_Without Amendment_Aerated Static Pile</v>
      </c>
    </row>
    <row r="13138" spans="1:13" s="120" customFormat="1" x14ac:dyDescent="0.25">
      <c r="A13138" s="119"/>
      <c r="B13138" s="138" t="str">
        <f t="shared" si="1154"/>
        <v>Aerated Static Pile</v>
      </c>
      <c r="C13138" s="138" t="str">
        <f t="shared" si="1155"/>
        <v>Without Amendment</v>
      </c>
      <c r="D13138" s="138" t="str">
        <f t="shared" si="1158"/>
        <v>Medium_Low</v>
      </c>
      <c r="E13138" s="138" t="str">
        <f t="shared" si="1156"/>
        <v>Low</v>
      </c>
      <c r="F13138" s="138" t="str">
        <f t="shared" si="1157"/>
        <v>Upgraded</v>
      </c>
      <c r="G13138" s="153"/>
      <c r="H13138" s="210">
        <v>6.7100000000000007E-2</v>
      </c>
      <c r="I13138" s="160" t="s">
        <v>435</v>
      </c>
      <c r="J13138" s="160">
        <v>3.5E-4</v>
      </c>
      <c r="K13138" s="160" t="s">
        <v>145</v>
      </c>
      <c r="L13138" s="154" t="str">
        <f>IF(OpenLCAbasic!K13138="CTUh", "Fill in Manually",IF(OR(K13138="Unit", K13138=""), "", INDEX(LookUps!$E$5:$E$12, MATCH(OpenLCAbasic!K13138,LookUps!$D$5:$D$12,0))))</f>
        <v>Particulate Matter Formation Potential (PMFP) - kg PM2.5 eq</v>
      </c>
      <c r="M13138" s="154" t="str">
        <f t="shared" si="1159"/>
        <v>Low_Medium_Low_Upgraded_Particulate Matter Formation Potential (PMFP) - kg PM2.5 eq_Biosolids composting; aerated static pile; wastewater treatment unit; at updated plant - US_Without Amendment_Aerated Static Pile</v>
      </c>
    </row>
    <row r="13139" spans="1:13" s="120" customFormat="1" x14ac:dyDescent="0.25">
      <c r="A13139" s="119"/>
      <c r="B13139" s="138" t="str">
        <f t="shared" si="1154"/>
        <v>Aerated Static Pile</v>
      </c>
      <c r="C13139" s="138" t="str">
        <f t="shared" si="1155"/>
        <v>Without Amendment</v>
      </c>
      <c r="D13139" s="138" t="str">
        <f t="shared" si="1158"/>
        <v>Medium_Low</v>
      </c>
      <c r="E13139" s="138" t="str">
        <f t="shared" si="1156"/>
        <v>Low</v>
      </c>
      <c r="F13139" s="138" t="str">
        <f t="shared" si="1157"/>
        <v>Upgraded</v>
      </c>
      <c r="G13139" s="153"/>
      <c r="H13139" s="210">
        <v>5.9799999999999999E-2</v>
      </c>
      <c r="I13139" s="160" t="s">
        <v>167</v>
      </c>
      <c r="J13139" s="160">
        <v>3.1E-4</v>
      </c>
      <c r="K13139" s="160" t="s">
        <v>145</v>
      </c>
      <c r="L13139" s="154" t="str">
        <f>IF(OpenLCAbasic!K13139="CTUh", "Fill in Manually",IF(OR(K13139="Unit", K13139=""), "", INDEX(LookUps!$E$5:$E$12, MATCH(OpenLCAbasic!K13139,LookUps!$D$5:$D$12,0))))</f>
        <v>Particulate Matter Formation Potential (PMFP) - kg PM2.5 eq</v>
      </c>
      <c r="M13139" s="154" t="str">
        <f t="shared" si="1159"/>
        <v>Low_Medium_Low_Upgraded_Particulate Matter Formation Potential (PMFP) - kg PM2.5 eq_Waste Receiving and Holding; wastewater treatment unit; at updated plant - US_Without Amendment_Aerated Static Pile</v>
      </c>
    </row>
    <row r="13140" spans="1:13" s="120" customFormat="1" x14ac:dyDescent="0.25">
      <c r="A13140" s="119"/>
      <c r="B13140" s="138" t="str">
        <f t="shared" si="1154"/>
        <v>Aerated Static Pile</v>
      </c>
      <c r="C13140" s="138" t="str">
        <f t="shared" si="1155"/>
        <v>Without Amendment</v>
      </c>
      <c r="D13140" s="138" t="str">
        <f t="shared" si="1158"/>
        <v>Medium_Low</v>
      </c>
      <c r="E13140" s="138" t="str">
        <f t="shared" si="1156"/>
        <v>Low</v>
      </c>
      <c r="F13140" s="138" t="str">
        <f t="shared" si="1157"/>
        <v>Upgraded</v>
      </c>
      <c r="G13140" s="153"/>
      <c r="H13140" s="210">
        <v>5.0700000000000002E-2</v>
      </c>
      <c r="I13140" s="160" t="s">
        <v>147</v>
      </c>
      <c r="J13140" s="160">
        <v>2.7E-4</v>
      </c>
      <c r="K13140" s="160" t="s">
        <v>145</v>
      </c>
      <c r="L13140" s="154" t="str">
        <f>IF(OpenLCAbasic!K13140="CTUh", "Fill in Manually",IF(OR(K13140="Unit", K13140=""), "", INDEX(LookUps!$E$5:$E$12, MATCH(OpenLCAbasic!K13140,LookUps!$D$5:$D$12,0))))</f>
        <v>Particulate Matter Formation Potential (PMFP) - kg PM2.5 eq</v>
      </c>
      <c r="M13140" s="154" t="str">
        <f t="shared" si="1159"/>
        <v>Low_Medium_Low_Upgraded_Particulate Matter Formation Potential (PMFP) - kg PM2.5 eq_Influent Pump Station; wastewater treatment unit; at updated plant - US_Without Amendment_Aerated Static Pile</v>
      </c>
    </row>
    <row r="13141" spans="1:13" s="120" customFormat="1" x14ac:dyDescent="0.25">
      <c r="A13141" s="119"/>
      <c r="B13141" s="138" t="str">
        <f t="shared" si="1154"/>
        <v>Aerated Static Pile</v>
      </c>
      <c r="C13141" s="138" t="str">
        <f t="shared" si="1155"/>
        <v>Without Amendment</v>
      </c>
      <c r="D13141" s="138" t="str">
        <f t="shared" si="1158"/>
        <v>Medium_Low</v>
      </c>
      <c r="E13141" s="138" t="str">
        <f t="shared" si="1156"/>
        <v>Low</v>
      </c>
      <c r="F13141" s="138" t="str">
        <f t="shared" si="1157"/>
        <v>Upgraded</v>
      </c>
      <c r="G13141" s="153"/>
      <c r="H13141" s="210">
        <v>3.1600000000000003E-2</v>
      </c>
      <c r="I13141" s="160" t="s">
        <v>128</v>
      </c>
      <c r="J13141" s="160">
        <v>1.7000000000000001E-4</v>
      </c>
      <c r="K13141" s="160" t="s">
        <v>145</v>
      </c>
      <c r="L13141" s="154" t="str">
        <f>IF(OpenLCAbasic!K13141="CTUh", "Fill in Manually",IF(OR(K13141="Unit", K13141=""), "", INDEX(LookUps!$E$5:$E$12, MATCH(OpenLCAbasic!K13141,LookUps!$D$5:$D$12,0))))</f>
        <v>Particulate Matter Formation Potential (PMFP) - kg PM2.5 eq</v>
      </c>
      <c r="M13141" s="154" t="str">
        <f t="shared" si="1159"/>
        <v>Low_Medium_Low_Upgraded_Particulate Matter Formation Potential (PMFP) - kg PM2.5 eq_Wastewater collection; operation and infrastructure; m3 wastewater_Without Amendment_Aerated Static Pile</v>
      </c>
    </row>
    <row r="13142" spans="1:13" s="120" customFormat="1" x14ac:dyDescent="0.25">
      <c r="A13142" s="119"/>
      <c r="B13142" s="138" t="str">
        <f t="shared" si="1154"/>
        <v>Aerated Static Pile</v>
      </c>
      <c r="C13142" s="138" t="str">
        <f t="shared" si="1155"/>
        <v>Without Amendment</v>
      </c>
      <c r="D13142" s="138" t="str">
        <f t="shared" si="1158"/>
        <v>Medium_Low</v>
      </c>
      <c r="E13142" s="138" t="str">
        <f t="shared" si="1156"/>
        <v>Low</v>
      </c>
      <c r="F13142" s="138" t="str">
        <f t="shared" si="1157"/>
        <v>Upgraded</v>
      </c>
      <c r="G13142" s="153"/>
      <c r="H13142" s="210">
        <v>3.09E-2</v>
      </c>
      <c r="I13142" s="160" t="s">
        <v>60</v>
      </c>
      <c r="J13142" s="160">
        <v>1.6000000000000001E-4</v>
      </c>
      <c r="K13142" s="160" t="s">
        <v>145</v>
      </c>
      <c r="L13142" s="154" t="str">
        <f>IF(OpenLCAbasic!K13142="CTUh", "Fill in Manually",IF(OR(K13142="Unit", K13142=""), "", INDEX(LookUps!$E$5:$E$12, MATCH(OpenLCAbasic!K13142,LookUps!$D$5:$D$12,0))))</f>
        <v>Particulate Matter Formation Potential (PMFP) - kg PM2.5 eq</v>
      </c>
      <c r="M13142" s="154" t="str">
        <f t="shared" si="1159"/>
        <v>Low_Medium_Low_Upgraded_Particulate Matter Formation Potential (PMFP) - kg PM2.5 eq_Belt filter press; wastewater treatment unit; at updated plant - US_Without Amendment_Aerated Static Pile</v>
      </c>
    </row>
    <row r="13143" spans="1:13" s="120" customFormat="1" x14ac:dyDescent="0.25">
      <c r="A13143" s="119"/>
      <c r="B13143" s="138" t="str">
        <f t="shared" si="1154"/>
        <v>Aerated Static Pile</v>
      </c>
      <c r="C13143" s="138" t="str">
        <f t="shared" si="1155"/>
        <v>Without Amendment</v>
      </c>
      <c r="D13143" s="138" t="str">
        <f t="shared" si="1158"/>
        <v>Medium_Low</v>
      </c>
      <c r="E13143" s="138" t="str">
        <f t="shared" si="1156"/>
        <v>Low</v>
      </c>
      <c r="F13143" s="138" t="str">
        <f t="shared" si="1157"/>
        <v>Upgraded</v>
      </c>
      <c r="G13143" s="153"/>
      <c r="H13143" s="210">
        <v>1.8100000000000002E-2</v>
      </c>
      <c r="I13143" s="160" t="s">
        <v>57</v>
      </c>
      <c r="J13143" s="211">
        <v>9.5153800000000004E-5</v>
      </c>
      <c r="K13143" s="160" t="s">
        <v>145</v>
      </c>
      <c r="L13143" s="154" t="str">
        <f>IF(OpenLCAbasic!K13143="CTUh", "Fill in Manually",IF(OR(K13143="Unit", K13143=""), "", INDEX(LookUps!$E$5:$E$12, MATCH(OpenLCAbasic!K13143,LookUps!$D$5:$D$12,0))))</f>
        <v>Particulate Matter Formation Potential (PMFP) - kg PM2.5 eq</v>
      </c>
      <c r="M13143" s="154" t="str">
        <f t="shared" si="1159"/>
        <v>Low_Medium_Low_Upgraded_Particulate Matter Formation Potential (PMFP) - kg PM2.5 eq_Gravity Belt Thickener; wastewater treatment unit; at updated plant - US_Without Amendment_Aerated Static Pile</v>
      </c>
    </row>
    <row r="13144" spans="1:13" s="120" customFormat="1" x14ac:dyDescent="0.25">
      <c r="A13144" s="119"/>
      <c r="B13144" s="138" t="str">
        <f t="shared" si="1154"/>
        <v>Aerated Static Pile</v>
      </c>
      <c r="C13144" s="138" t="str">
        <f t="shared" si="1155"/>
        <v>Without Amendment</v>
      </c>
      <c r="D13144" s="138" t="str">
        <f t="shared" si="1158"/>
        <v>Medium_Low</v>
      </c>
      <c r="E13144" s="138" t="str">
        <f t="shared" si="1156"/>
        <v>Low</v>
      </c>
      <c r="F13144" s="138" t="str">
        <f t="shared" si="1157"/>
        <v>Upgraded</v>
      </c>
      <c r="G13144" s="153"/>
      <c r="H13144" s="210">
        <v>1.3299999999999999E-2</v>
      </c>
      <c r="I13144" s="160" t="s">
        <v>59</v>
      </c>
      <c r="J13144" s="211">
        <v>6.9942200000000003E-5</v>
      </c>
      <c r="K13144" s="160" t="s">
        <v>145</v>
      </c>
      <c r="L13144" s="154" t="str">
        <f>IF(OpenLCAbasic!K13144="CTUh", "Fill in Manually",IF(OR(K13144="Unit", K13144=""), "", INDEX(LookUps!$E$5:$E$12, MATCH(OpenLCAbasic!K13144,LookUps!$D$5:$D$12,0))))</f>
        <v>Particulate Matter Formation Potential (PMFP) - kg PM2.5 eq</v>
      </c>
      <c r="M13144" s="154" t="str">
        <f t="shared" si="1159"/>
        <v>Low_Medium_Low_Upgraded_Particulate Matter Formation Potential (PMFP) - kg PM2.5 eq_Blend Tank; wastewater treatment unit; at updated plant - US_Without Amendment_Aerated Static Pile</v>
      </c>
    </row>
    <row r="13145" spans="1:13" s="120" customFormat="1" x14ac:dyDescent="0.25">
      <c r="A13145" s="119"/>
      <c r="B13145" s="138" t="str">
        <f t="shared" si="1154"/>
        <v>Aerated Static Pile</v>
      </c>
      <c r="C13145" s="138" t="str">
        <f t="shared" si="1155"/>
        <v>Without Amendment</v>
      </c>
      <c r="D13145" s="138" t="str">
        <f t="shared" si="1158"/>
        <v>Medium_Low</v>
      </c>
      <c r="E13145" s="138" t="str">
        <f t="shared" si="1156"/>
        <v>Low</v>
      </c>
      <c r="F13145" s="138" t="str">
        <f t="shared" si="1157"/>
        <v>Upgraded</v>
      </c>
      <c r="G13145" s="153"/>
      <c r="H13145" s="210">
        <v>1.04E-2</v>
      </c>
      <c r="I13145" s="160" t="s">
        <v>62</v>
      </c>
      <c r="J13145" s="211">
        <v>5.46621E-5</v>
      </c>
      <c r="K13145" s="160" t="s">
        <v>145</v>
      </c>
      <c r="L13145" s="154" t="str">
        <f>IF(OpenLCAbasic!K13145="CTUh", "Fill in Manually",IF(OR(K13145="Unit", K13145=""), "", INDEX(LookUps!$E$5:$E$12, MATCH(OpenLCAbasic!K13145,LookUps!$D$5:$D$12,0))))</f>
        <v>Particulate Matter Formation Potential (PMFP) - kg PM2.5 eq</v>
      </c>
      <c r="M13145" s="154" t="str">
        <f t="shared" si="1159"/>
        <v>Low_Medium_Low_Upgraded_Particulate Matter Formation Potential (PMFP) - kg PM2.5 eq_Land application of compost; wastewater treatment unit; at updated plant - US_Without Amendment_Aerated Static Pile</v>
      </c>
    </row>
    <row r="13146" spans="1:13" s="120" customFormat="1" x14ac:dyDescent="0.25">
      <c r="A13146" s="119"/>
      <c r="B13146" s="138" t="str">
        <f t="shared" si="1154"/>
        <v>Aerated Static Pile</v>
      </c>
      <c r="C13146" s="138" t="str">
        <f t="shared" si="1155"/>
        <v>Without Amendment</v>
      </c>
      <c r="D13146" s="138" t="str">
        <f t="shared" si="1158"/>
        <v>Medium_Low</v>
      </c>
      <c r="E13146" s="138" t="str">
        <f t="shared" si="1156"/>
        <v>Low</v>
      </c>
      <c r="F13146" s="138" t="str">
        <f t="shared" si="1157"/>
        <v>Upgraded</v>
      </c>
      <c r="G13146" s="153"/>
      <c r="H13146" s="210">
        <v>9.4999999999999998E-3</v>
      </c>
      <c r="I13146" s="160" t="s">
        <v>48</v>
      </c>
      <c r="J13146" s="211">
        <v>4.99741E-5</v>
      </c>
      <c r="K13146" s="160" t="s">
        <v>145</v>
      </c>
      <c r="L13146" s="154" t="str">
        <f>IF(OpenLCAbasic!K13146="CTUh", "Fill in Manually",IF(OR(K13146="Unit", K13146=""), "", INDEX(LookUps!$E$5:$E$12, MATCH(OpenLCAbasic!K13146,LookUps!$D$5:$D$12,0))))</f>
        <v>Particulate Matter Formation Potential (PMFP) - kg PM2.5 eq</v>
      </c>
      <c r="M13146" s="154" t="str">
        <f t="shared" si="1159"/>
        <v>Low_Medium_Low_Upgraded_Particulate Matter Formation Potential (PMFP) - kg PM2.5 eq_Effluent release; wastewater treatment unit; at surface water; m3 wastewater - US_Without Amendment_Aerated Static Pile</v>
      </c>
    </row>
    <row r="13147" spans="1:13" s="120" customFormat="1" x14ac:dyDescent="0.25">
      <c r="A13147" s="119"/>
      <c r="B13147" s="138" t="str">
        <f t="shared" si="1154"/>
        <v>Aerated Static Pile</v>
      </c>
      <c r="C13147" s="138" t="str">
        <f t="shared" si="1155"/>
        <v>Without Amendment</v>
      </c>
      <c r="D13147" s="138" t="str">
        <f t="shared" si="1158"/>
        <v>Medium_Low</v>
      </c>
      <c r="E13147" s="138" t="str">
        <f t="shared" si="1156"/>
        <v>Low</v>
      </c>
      <c r="F13147" s="138" t="str">
        <f t="shared" si="1157"/>
        <v>Upgraded</v>
      </c>
      <c r="G13147" s="153"/>
      <c r="H13147" s="210">
        <v>6.6E-3</v>
      </c>
      <c r="I13147" s="160" t="s">
        <v>168</v>
      </c>
      <c r="J13147" s="211">
        <v>3.4562199999999999E-5</v>
      </c>
      <c r="K13147" s="160" t="s">
        <v>145</v>
      </c>
      <c r="L13147" s="154" t="str">
        <f>IF(OpenLCAbasic!K13147="CTUh", "Fill in Manually",IF(OR(K13147="Unit", K13147=""), "", INDEX(LookUps!$E$5:$E$12, MATCH(OpenLCAbasic!K13147,LookUps!$D$5:$D$12,0))))</f>
        <v>Particulate Matter Formation Potential (PMFP) - kg PM2.5 eq</v>
      </c>
      <c r="M13147" s="154" t="str">
        <f t="shared" si="1159"/>
        <v>Low_Medium_Low_Upgraded_Particulate Matter Formation Potential (PMFP) - kg PM2.5 eq_ClearCove SCP; wastewater treatment unit; at updated plant - US_Without Amendment_Aerated Static Pile</v>
      </c>
    </row>
    <row r="13148" spans="1:13" s="120" customFormat="1" x14ac:dyDescent="0.25">
      <c r="A13148" s="119"/>
      <c r="B13148" s="138" t="str">
        <f t="shared" si="1154"/>
        <v>Aerated Static Pile</v>
      </c>
      <c r="C13148" s="138" t="str">
        <f t="shared" si="1155"/>
        <v>Without Amendment</v>
      </c>
      <c r="D13148" s="138" t="str">
        <f t="shared" si="1158"/>
        <v>Medium_Low</v>
      </c>
      <c r="E13148" s="138" t="str">
        <f t="shared" si="1156"/>
        <v>Low</v>
      </c>
      <c r="F13148" s="138" t="str">
        <f t="shared" si="1157"/>
        <v>Upgraded</v>
      </c>
      <c r="G13148" s="153"/>
      <c r="H13148" s="210">
        <v>1.6999999999999999E-3</v>
      </c>
      <c r="I13148" s="160" t="s">
        <v>148</v>
      </c>
      <c r="J13148" s="211">
        <v>8.8212999999999997E-6</v>
      </c>
      <c r="K13148" s="160" t="s">
        <v>145</v>
      </c>
      <c r="L13148" s="154" t="str">
        <f>IF(OpenLCAbasic!K13148="CTUh", "Fill in Manually",IF(OR(K13148="Unit", K13148=""), "", INDEX(LookUps!$E$5:$E$12, MATCH(OpenLCAbasic!K13148,LookUps!$D$5:$D$12,0))))</f>
        <v>Particulate Matter Formation Potential (PMFP) - kg PM2.5 eq</v>
      </c>
      <c r="M13148" s="154" t="str">
        <f t="shared" si="1159"/>
        <v>Low_Medium_Low_Upgraded_Particulate Matter Formation Potential (PMFP) - kg PM2.5 eq_Control Building; at upgraded wastewater treatment plant - US_Without Amendment_Aerated Static Pile</v>
      </c>
    </row>
    <row r="13149" spans="1:13" s="120" customFormat="1" x14ac:dyDescent="0.25">
      <c r="A13149" s="119"/>
      <c r="B13149" s="138" t="str">
        <f t="shared" si="1154"/>
        <v>Aerated Static Pile</v>
      </c>
      <c r="C13149" s="138" t="str">
        <f t="shared" si="1155"/>
        <v>Without Amendment</v>
      </c>
      <c r="D13149" s="138" t="str">
        <f t="shared" si="1158"/>
        <v>Medium_Low</v>
      </c>
      <c r="E13149" s="138" t="str">
        <f t="shared" si="1156"/>
        <v>Low</v>
      </c>
      <c r="F13149" s="138" t="str">
        <f t="shared" si="1157"/>
        <v>Upgraded</v>
      </c>
      <c r="G13149" s="153"/>
      <c r="H13149" s="210">
        <v>-7.2499999999999995E-2</v>
      </c>
      <c r="I13149" s="160" t="s">
        <v>149</v>
      </c>
      <c r="J13149" s="160">
        <v>-3.8000000000000002E-4</v>
      </c>
      <c r="K13149" s="160" t="s">
        <v>145</v>
      </c>
      <c r="L13149" s="154" t="str">
        <f>IF(OpenLCAbasic!K13149="CTUh", "Fill in Manually",IF(OR(K13149="Unit", K13149=""), "", INDEX(LookUps!$E$5:$E$12, MATCH(OpenLCAbasic!K13149,LookUps!$D$5:$D$12,0))))</f>
        <v>Particulate Matter Formation Potential (PMFP) - kg PM2.5 eq</v>
      </c>
      <c r="M13149" s="154" t="str">
        <f t="shared" si="1159"/>
        <v>Low_Medium_Low_Upgraded_Particulate Matter Formation Potential (PMFP) - kg PM2.5 eq_Anaerobic Digestion; wastewater treatment unit; at updated plant - US_Without Amendment_Aerated Static Pile</v>
      </c>
    </row>
    <row r="13150" spans="1:13" s="120" customFormat="1" x14ac:dyDescent="0.25">
      <c r="A13150" s="119"/>
      <c r="B13150" s="138" t="str">
        <f t="shared" si="1154"/>
        <v/>
      </c>
      <c r="C13150" s="138" t="str">
        <f t="shared" si="1155"/>
        <v/>
      </c>
      <c r="D13150" s="138" t="str">
        <f t="shared" si="1158"/>
        <v/>
      </c>
      <c r="E13150" s="138" t="str">
        <f t="shared" si="1156"/>
        <v/>
      </c>
      <c r="F13150" s="138" t="str">
        <f t="shared" si="1157"/>
        <v/>
      </c>
      <c r="G13150" s="153" t="s">
        <v>51</v>
      </c>
      <c r="H13150" s="160"/>
      <c r="I13150" s="160" t="s">
        <v>47</v>
      </c>
      <c r="J13150" s="160" t="s">
        <v>52</v>
      </c>
      <c r="K13150" s="160" t="s">
        <v>27</v>
      </c>
      <c r="L13150" s="154" t="str">
        <f>IF(OpenLCAbasic!K13150="CTUh", "Fill in Manually",IF(OR(K13150="Unit", K13150=""), "", INDEX(LookUps!$E$5:$E$12, MATCH(OpenLCAbasic!K13150,LookUps!$D$5:$D$12,0))))</f>
        <v/>
      </c>
      <c r="M13150" s="154" t="str">
        <f t="shared" si="1159"/>
        <v>____Process__</v>
      </c>
    </row>
    <row r="13151" spans="1:13" s="120" customFormat="1" x14ac:dyDescent="0.25">
      <c r="A13151" s="119"/>
      <c r="B13151" s="138" t="str">
        <f t="shared" si="1154"/>
        <v>Aerated Static Pile</v>
      </c>
      <c r="C13151" s="138" t="str">
        <f t="shared" si="1155"/>
        <v>Without Amendment</v>
      </c>
      <c r="D13151" s="138" t="str">
        <f t="shared" si="1158"/>
        <v>Medium_Low</v>
      </c>
      <c r="E13151" s="138" t="str">
        <f t="shared" si="1156"/>
        <v>Low</v>
      </c>
      <c r="F13151" s="138" t="str">
        <f t="shared" si="1157"/>
        <v>Upgraded</v>
      </c>
      <c r="G13151" s="153"/>
      <c r="H13151" s="210">
        <v>0.441</v>
      </c>
      <c r="I13151" s="160" t="s">
        <v>55</v>
      </c>
      <c r="J13151" s="160">
        <v>0.16577</v>
      </c>
      <c r="K13151" s="160" t="s">
        <v>25</v>
      </c>
      <c r="L13151" s="154" t="str">
        <f>IF(OpenLCAbasic!K13151="CTUh", "Fill in Manually",IF(OR(K13151="Unit", K13151=""), "", INDEX(LookUps!$E$5:$E$12, MATCH(OpenLCAbasic!K13151,LookUps!$D$5:$D$12,0))))</f>
        <v>Smog Formation Potential (SFP) - kg O3 eq</v>
      </c>
      <c r="M13151" s="154" t="str">
        <f t="shared" si="1159"/>
        <v>Low_Medium_Low_Upgraded_Smog Formation Potential (SFP) - kg O3 eq_Aeration Tanks; wastewater treatment unit; at updated plant - US_Without Amendment_Aerated Static Pile</v>
      </c>
    </row>
    <row r="13152" spans="1:13" s="120" customFormat="1" x14ac:dyDescent="0.25">
      <c r="A13152" s="119"/>
      <c r="B13152" s="138" t="str">
        <f t="shared" si="1154"/>
        <v>Aerated Static Pile</v>
      </c>
      <c r="C13152" s="138" t="str">
        <f t="shared" si="1155"/>
        <v>Without Amendment</v>
      </c>
      <c r="D13152" s="138" t="str">
        <f t="shared" si="1158"/>
        <v>Medium_Low</v>
      </c>
      <c r="E13152" s="138" t="str">
        <f t="shared" si="1156"/>
        <v>Low</v>
      </c>
      <c r="F13152" s="138" t="str">
        <f t="shared" si="1157"/>
        <v>Upgraded</v>
      </c>
      <c r="G13152" s="153"/>
      <c r="H13152" s="210">
        <v>0.12790000000000001</v>
      </c>
      <c r="I13152" s="160" t="s">
        <v>54</v>
      </c>
      <c r="J13152" s="160">
        <v>4.8070000000000002E-2</v>
      </c>
      <c r="K13152" s="160" t="s">
        <v>25</v>
      </c>
      <c r="L13152" s="154" t="str">
        <f>IF(OpenLCAbasic!K13152="CTUh", "Fill in Manually",IF(OR(K13152="Unit", K13152=""), "", INDEX(LookUps!$E$5:$E$12, MATCH(OpenLCAbasic!K13152,LookUps!$D$5:$D$12,0))))</f>
        <v>Smog Formation Potential (SFP) - kg O3 eq</v>
      </c>
      <c r="M13152" s="154" t="str">
        <f t="shared" si="1159"/>
        <v>Low_Medium_Low_Upgraded_Smog Formation Potential (SFP) - kg O3 eq_Clear Cove Primary Clarification; wastewater treatment unit; at updated plant - US_Without Amendment_Aerated Static Pile</v>
      </c>
    </row>
    <row r="13153" spans="1:13" s="120" customFormat="1" x14ac:dyDescent="0.25">
      <c r="A13153" s="119"/>
      <c r="B13153" s="138" t="str">
        <f t="shared" si="1154"/>
        <v>Aerated Static Pile</v>
      </c>
      <c r="C13153" s="138" t="str">
        <f t="shared" si="1155"/>
        <v>Without Amendment</v>
      </c>
      <c r="D13153" s="138" t="str">
        <f t="shared" si="1158"/>
        <v>Medium_Low</v>
      </c>
      <c r="E13153" s="138" t="str">
        <f t="shared" si="1156"/>
        <v>Low</v>
      </c>
      <c r="F13153" s="138" t="str">
        <f t="shared" si="1157"/>
        <v>Upgraded</v>
      </c>
      <c r="G13153" s="153"/>
      <c r="H13153" s="210">
        <v>0.1115</v>
      </c>
      <c r="I13153" s="160" t="s">
        <v>58</v>
      </c>
      <c r="J13153" s="160">
        <v>4.1919999999999999E-2</v>
      </c>
      <c r="K13153" s="160" t="s">
        <v>25</v>
      </c>
      <c r="L13153" s="154" t="str">
        <f>IF(OpenLCAbasic!K13153="CTUh", "Fill in Manually",IF(OR(K13153="Unit", K13153=""), "", INDEX(LookUps!$E$5:$E$12, MATCH(OpenLCAbasic!K13153,LookUps!$D$5:$D$12,0))))</f>
        <v>Smog Formation Potential (SFP) - kg O3 eq</v>
      </c>
      <c r="M13153" s="154" t="str">
        <f t="shared" si="1159"/>
        <v>Low_Medium_Low_Upgraded_Smog Formation Potential (SFP) - kg O3 eq_Pre-Anoxic &amp; Swing tank; wastewater treatment unit; at updated plant - US_Without Amendment_Aerated Static Pile</v>
      </c>
    </row>
    <row r="13154" spans="1:13" s="120" customFormat="1" x14ac:dyDescent="0.25">
      <c r="A13154" s="119"/>
      <c r="B13154" s="138" t="str">
        <f t="shared" si="1154"/>
        <v>Aerated Static Pile</v>
      </c>
      <c r="C13154" s="138" t="str">
        <f t="shared" si="1155"/>
        <v>Without Amendment</v>
      </c>
      <c r="D13154" s="138" t="str">
        <f t="shared" si="1158"/>
        <v>Medium_Low</v>
      </c>
      <c r="E13154" s="138" t="str">
        <f t="shared" si="1156"/>
        <v>Low</v>
      </c>
      <c r="F13154" s="138" t="str">
        <f t="shared" si="1157"/>
        <v>Upgraded</v>
      </c>
      <c r="G13154" s="153"/>
      <c r="H13154" s="210">
        <v>8.8099999999999998E-2</v>
      </c>
      <c r="I13154" s="160" t="s">
        <v>53</v>
      </c>
      <c r="J13154" s="160">
        <v>3.313E-2</v>
      </c>
      <c r="K13154" s="160" t="s">
        <v>25</v>
      </c>
      <c r="L13154" s="154" t="str">
        <f>IF(OpenLCAbasic!K13154="CTUh", "Fill in Manually",IF(OR(K13154="Unit", K13154=""), "", INDEX(LookUps!$E$5:$E$12, MATCH(OpenLCAbasic!K13154,LookUps!$D$5:$D$12,0))))</f>
        <v>Smog Formation Potential (SFP) - kg O3 eq</v>
      </c>
      <c r="M13154" s="154" t="str">
        <f t="shared" si="1159"/>
        <v>Low_Medium_Low_Upgraded_Smog Formation Potential (SFP) - kg O3 eq_Wet Well and Sump Station; wastewater treatment unit; at updated plant - US_Without Amendment_Aerated Static Pile</v>
      </c>
    </row>
    <row r="13155" spans="1:13" s="120" customFormat="1" x14ac:dyDescent="0.25">
      <c r="A13155" s="119"/>
      <c r="B13155" s="138" t="str">
        <f t="shared" si="1154"/>
        <v>Aerated Static Pile</v>
      </c>
      <c r="C13155" s="138" t="str">
        <f t="shared" si="1155"/>
        <v>Without Amendment</v>
      </c>
      <c r="D13155" s="138" t="str">
        <f t="shared" si="1158"/>
        <v>Medium_Low</v>
      </c>
      <c r="E13155" s="138" t="str">
        <f t="shared" si="1156"/>
        <v>Low</v>
      </c>
      <c r="F13155" s="138" t="str">
        <f t="shared" si="1157"/>
        <v>Upgraded</v>
      </c>
      <c r="G13155" s="153"/>
      <c r="H13155" s="210">
        <v>8.1699999999999995E-2</v>
      </c>
      <c r="I13155" s="160" t="s">
        <v>167</v>
      </c>
      <c r="J13155" s="160">
        <v>3.0710000000000001E-2</v>
      </c>
      <c r="K13155" s="160" t="s">
        <v>25</v>
      </c>
      <c r="L13155" s="154" t="str">
        <f>IF(OpenLCAbasic!K13155="CTUh", "Fill in Manually",IF(OR(K13155="Unit", K13155=""), "", INDEX(LookUps!$E$5:$E$12, MATCH(OpenLCAbasic!K13155,LookUps!$D$5:$D$12,0))))</f>
        <v>Smog Formation Potential (SFP) - kg O3 eq</v>
      </c>
      <c r="M13155" s="154" t="str">
        <f t="shared" si="1159"/>
        <v>Low_Medium_Low_Upgraded_Smog Formation Potential (SFP) - kg O3 eq_Waste Receiving and Holding; wastewater treatment unit; at updated plant - US_Without Amendment_Aerated Static Pile</v>
      </c>
    </row>
    <row r="13156" spans="1:13" s="120" customFormat="1" x14ac:dyDescent="0.25">
      <c r="A13156" s="119"/>
      <c r="B13156" s="138" t="str">
        <f t="shared" si="1154"/>
        <v>Aerated Static Pile</v>
      </c>
      <c r="C13156" s="138" t="str">
        <f t="shared" si="1155"/>
        <v>Without Amendment</v>
      </c>
      <c r="D13156" s="138" t="str">
        <f t="shared" si="1158"/>
        <v>Medium_Low</v>
      </c>
      <c r="E13156" s="138" t="str">
        <f t="shared" si="1156"/>
        <v>Low</v>
      </c>
      <c r="F13156" s="138" t="str">
        <f t="shared" si="1157"/>
        <v>Upgraded</v>
      </c>
      <c r="G13156" s="153"/>
      <c r="H13156" s="210">
        <v>6.6600000000000006E-2</v>
      </c>
      <c r="I13156" s="160" t="s">
        <v>435</v>
      </c>
      <c r="J13156" s="160">
        <v>2.5049999999999999E-2</v>
      </c>
      <c r="K13156" s="160" t="s">
        <v>25</v>
      </c>
      <c r="L13156" s="154" t="str">
        <f>IF(OpenLCAbasic!K13156="CTUh", "Fill in Manually",IF(OR(K13156="Unit", K13156=""), "", INDEX(LookUps!$E$5:$E$12, MATCH(OpenLCAbasic!K13156,LookUps!$D$5:$D$12,0))))</f>
        <v>Smog Formation Potential (SFP) - kg O3 eq</v>
      </c>
      <c r="M13156" s="154" t="str">
        <f t="shared" si="1159"/>
        <v>Low_Medium_Low_Upgraded_Smog Formation Potential (SFP) - kg O3 eq_Biosolids composting; aerated static pile; wastewater treatment unit; at updated plant - US_Without Amendment_Aerated Static Pile</v>
      </c>
    </row>
    <row r="13157" spans="1:13" s="120" customFormat="1" x14ac:dyDescent="0.25">
      <c r="A13157" s="119"/>
      <c r="B13157" s="138" t="str">
        <f t="shared" si="1154"/>
        <v>Aerated Static Pile</v>
      </c>
      <c r="C13157" s="138" t="str">
        <f t="shared" si="1155"/>
        <v>Without Amendment</v>
      </c>
      <c r="D13157" s="138" t="str">
        <f t="shared" si="1158"/>
        <v>Medium_Low</v>
      </c>
      <c r="E13157" s="138" t="str">
        <f t="shared" si="1156"/>
        <v>Low</v>
      </c>
      <c r="F13157" s="138" t="str">
        <f t="shared" si="1157"/>
        <v>Upgraded</v>
      </c>
      <c r="G13157" s="153"/>
      <c r="H13157" s="210">
        <v>5.16E-2</v>
      </c>
      <c r="I13157" s="160" t="s">
        <v>147</v>
      </c>
      <c r="J13157" s="160">
        <v>1.9400000000000001E-2</v>
      </c>
      <c r="K13157" s="160" t="s">
        <v>25</v>
      </c>
      <c r="L13157" s="154" t="str">
        <f>IF(OpenLCAbasic!K13157="CTUh", "Fill in Manually",IF(OR(K13157="Unit", K13157=""), "", INDEX(LookUps!$E$5:$E$12, MATCH(OpenLCAbasic!K13157,LookUps!$D$5:$D$12,0))))</f>
        <v>Smog Formation Potential (SFP) - kg O3 eq</v>
      </c>
      <c r="M13157" s="154" t="str">
        <f t="shared" si="1159"/>
        <v>Low_Medium_Low_Upgraded_Smog Formation Potential (SFP) - kg O3 eq_Influent Pump Station; wastewater treatment unit; at updated plant - US_Without Amendment_Aerated Static Pile</v>
      </c>
    </row>
    <row r="13158" spans="1:13" s="120" customFormat="1" x14ac:dyDescent="0.25">
      <c r="A13158" s="119"/>
      <c r="B13158" s="138" t="str">
        <f t="shared" si="1154"/>
        <v>Aerated Static Pile</v>
      </c>
      <c r="C13158" s="138" t="str">
        <f t="shared" si="1155"/>
        <v>Without Amendment</v>
      </c>
      <c r="D13158" s="138" t="str">
        <f t="shared" si="1158"/>
        <v>Medium_Low</v>
      </c>
      <c r="E13158" s="138" t="str">
        <f t="shared" si="1156"/>
        <v>Low</v>
      </c>
      <c r="F13158" s="138" t="str">
        <f t="shared" si="1157"/>
        <v>Upgraded</v>
      </c>
      <c r="G13158" s="153"/>
      <c r="H13158" s="210">
        <v>3.1699999999999999E-2</v>
      </c>
      <c r="I13158" s="160" t="s">
        <v>128</v>
      </c>
      <c r="J13158" s="160">
        <v>1.192E-2</v>
      </c>
      <c r="K13158" s="160" t="s">
        <v>25</v>
      </c>
      <c r="L13158" s="154" t="str">
        <f>IF(OpenLCAbasic!K13158="CTUh", "Fill in Manually",IF(OR(K13158="Unit", K13158=""), "", INDEX(LookUps!$E$5:$E$12, MATCH(OpenLCAbasic!K13158,LookUps!$D$5:$D$12,0))))</f>
        <v>Smog Formation Potential (SFP) - kg O3 eq</v>
      </c>
      <c r="M13158" s="154" t="str">
        <f t="shared" si="1159"/>
        <v>Low_Medium_Low_Upgraded_Smog Formation Potential (SFP) - kg O3 eq_Wastewater collection; operation and infrastructure; m3 wastewater_Without Amendment_Aerated Static Pile</v>
      </c>
    </row>
    <row r="13159" spans="1:13" s="120" customFormat="1" x14ac:dyDescent="0.25">
      <c r="A13159" s="119"/>
      <c r="B13159" s="138" t="str">
        <f t="shared" si="1154"/>
        <v>Aerated Static Pile</v>
      </c>
      <c r="C13159" s="138" t="str">
        <f t="shared" si="1155"/>
        <v>Without Amendment</v>
      </c>
      <c r="D13159" s="138" t="str">
        <f t="shared" si="1158"/>
        <v>Medium_Low</v>
      </c>
      <c r="E13159" s="138" t="str">
        <f t="shared" si="1156"/>
        <v>Low</v>
      </c>
      <c r="F13159" s="138" t="str">
        <f t="shared" si="1157"/>
        <v>Upgraded</v>
      </c>
      <c r="G13159" s="153"/>
      <c r="H13159" s="210">
        <v>3.0499999999999999E-2</v>
      </c>
      <c r="I13159" s="160" t="s">
        <v>60</v>
      </c>
      <c r="J13159" s="160">
        <v>1.145E-2</v>
      </c>
      <c r="K13159" s="160" t="s">
        <v>25</v>
      </c>
      <c r="L13159" s="154" t="str">
        <f>IF(OpenLCAbasic!K13159="CTUh", "Fill in Manually",IF(OR(K13159="Unit", K13159=""), "", INDEX(LookUps!$E$5:$E$12, MATCH(OpenLCAbasic!K13159,LookUps!$D$5:$D$12,0))))</f>
        <v>Smog Formation Potential (SFP) - kg O3 eq</v>
      </c>
      <c r="M13159" s="154" t="str">
        <f t="shared" si="1159"/>
        <v>Low_Medium_Low_Upgraded_Smog Formation Potential (SFP) - kg O3 eq_Belt filter press; wastewater treatment unit; at updated plant - US_Without Amendment_Aerated Static Pile</v>
      </c>
    </row>
    <row r="13160" spans="1:13" s="120" customFormat="1" x14ac:dyDescent="0.25">
      <c r="A13160" s="119"/>
      <c r="B13160" s="138" t="str">
        <f t="shared" si="1154"/>
        <v>Aerated Static Pile</v>
      </c>
      <c r="C13160" s="138" t="str">
        <f t="shared" si="1155"/>
        <v>Without Amendment</v>
      </c>
      <c r="D13160" s="138" t="str">
        <f t="shared" si="1158"/>
        <v>Medium_Low</v>
      </c>
      <c r="E13160" s="138" t="str">
        <f t="shared" si="1156"/>
        <v>Low</v>
      </c>
      <c r="F13160" s="138" t="str">
        <f t="shared" si="1157"/>
        <v>Upgraded</v>
      </c>
      <c r="G13160" s="153"/>
      <c r="H13160" s="210">
        <v>1.77E-2</v>
      </c>
      <c r="I13160" s="160" t="s">
        <v>57</v>
      </c>
      <c r="J13160" s="160">
        <v>6.6499999999999997E-3</v>
      </c>
      <c r="K13160" s="160" t="s">
        <v>25</v>
      </c>
      <c r="L13160" s="154" t="str">
        <f>IF(OpenLCAbasic!K13160="CTUh", "Fill in Manually",IF(OR(K13160="Unit", K13160=""), "", INDEX(LookUps!$E$5:$E$12, MATCH(OpenLCAbasic!K13160,LookUps!$D$5:$D$12,0))))</f>
        <v>Smog Formation Potential (SFP) - kg O3 eq</v>
      </c>
      <c r="M13160" s="154" t="str">
        <f t="shared" si="1159"/>
        <v>Low_Medium_Low_Upgraded_Smog Formation Potential (SFP) - kg O3 eq_Gravity Belt Thickener; wastewater treatment unit; at updated plant - US_Without Amendment_Aerated Static Pile</v>
      </c>
    </row>
    <row r="13161" spans="1:13" s="120" customFormat="1" x14ac:dyDescent="0.25">
      <c r="A13161" s="119"/>
      <c r="B13161" s="138" t="str">
        <f t="shared" ref="B13161:B13224" si="1160">IF(F13161="Legacy","n.a.",IF(F13161="","","Aerated Static Pile"))</f>
        <v>Aerated Static Pile</v>
      </c>
      <c r="C13161" s="138" t="str">
        <f t="shared" ref="C13161:C13224" si="1161">IF(ISNUMBER($J13161),"Without Amendment","")</f>
        <v>Without Amendment</v>
      </c>
      <c r="D13161" s="138" t="str">
        <f t="shared" si="1158"/>
        <v>Medium_Low</v>
      </c>
      <c r="E13161" s="138" t="str">
        <f t="shared" ref="E13161:E13224" si="1162">IF(ISNUMBER($J13161),"Low","")</f>
        <v>Low</v>
      </c>
      <c r="F13161" s="138" t="str">
        <f t="shared" ref="F13161:F13224" si="1163">IF(ISNUMBER(J13161),"Upgraded","")</f>
        <v>Upgraded</v>
      </c>
      <c r="G13161" s="153"/>
      <c r="H13161" s="210">
        <v>1.32E-2</v>
      </c>
      <c r="I13161" s="160" t="s">
        <v>59</v>
      </c>
      <c r="J13161" s="160">
        <v>4.9699999999999996E-3</v>
      </c>
      <c r="K13161" s="160" t="s">
        <v>25</v>
      </c>
      <c r="L13161" s="154" t="str">
        <f>IF(OpenLCAbasic!K13161="CTUh", "Fill in Manually",IF(OR(K13161="Unit", K13161=""), "", INDEX(LookUps!$E$5:$E$12, MATCH(OpenLCAbasic!K13161,LookUps!$D$5:$D$12,0))))</f>
        <v>Smog Formation Potential (SFP) - kg O3 eq</v>
      </c>
      <c r="M13161" s="154" t="str">
        <f t="shared" si="1159"/>
        <v>Low_Medium_Low_Upgraded_Smog Formation Potential (SFP) - kg O3 eq_Blend Tank; wastewater treatment unit; at updated plant - US_Without Amendment_Aerated Static Pile</v>
      </c>
    </row>
    <row r="13162" spans="1:13" s="120" customFormat="1" x14ac:dyDescent="0.25">
      <c r="A13162" s="119"/>
      <c r="B13162" s="138" t="str">
        <f t="shared" si="1160"/>
        <v>Aerated Static Pile</v>
      </c>
      <c r="C13162" s="138" t="str">
        <f t="shared" si="1161"/>
        <v>Without Amendment</v>
      </c>
      <c r="D13162" s="138" t="str">
        <f t="shared" si="1158"/>
        <v>Medium_Low</v>
      </c>
      <c r="E13162" s="138" t="str">
        <f t="shared" si="1162"/>
        <v>Low</v>
      </c>
      <c r="F13162" s="138" t="str">
        <f t="shared" si="1163"/>
        <v>Upgraded</v>
      </c>
      <c r="G13162" s="153"/>
      <c r="H13162" s="210">
        <v>8.9999999999999993E-3</v>
      </c>
      <c r="I13162" s="160" t="s">
        <v>48</v>
      </c>
      <c r="J13162" s="160">
        <v>3.3899999999999998E-3</v>
      </c>
      <c r="K13162" s="160" t="s">
        <v>25</v>
      </c>
      <c r="L13162" s="154" t="str">
        <f>IF(OpenLCAbasic!K13162="CTUh", "Fill in Manually",IF(OR(K13162="Unit", K13162=""), "", INDEX(LookUps!$E$5:$E$12, MATCH(OpenLCAbasic!K13162,LookUps!$D$5:$D$12,0))))</f>
        <v>Smog Formation Potential (SFP) - kg O3 eq</v>
      </c>
      <c r="M13162" s="154" t="str">
        <f t="shared" si="1159"/>
        <v>Low_Medium_Low_Upgraded_Smog Formation Potential (SFP) - kg O3 eq_Effluent release; wastewater treatment unit; at surface water; m3 wastewater - US_Without Amendment_Aerated Static Pile</v>
      </c>
    </row>
    <row r="13163" spans="1:13" s="120" customFormat="1" x14ac:dyDescent="0.25">
      <c r="A13163" s="119"/>
      <c r="B13163" s="138" t="str">
        <f t="shared" si="1160"/>
        <v>Aerated Static Pile</v>
      </c>
      <c r="C13163" s="138" t="str">
        <f t="shared" si="1161"/>
        <v>Without Amendment</v>
      </c>
      <c r="D13163" s="138" t="str">
        <f t="shared" si="1158"/>
        <v>Medium_Low</v>
      </c>
      <c r="E13163" s="138" t="str">
        <f t="shared" si="1162"/>
        <v>Low</v>
      </c>
      <c r="F13163" s="138" t="str">
        <f t="shared" si="1163"/>
        <v>Upgraded</v>
      </c>
      <c r="G13163" s="153"/>
      <c r="H13163" s="210">
        <v>6.4999999999999997E-3</v>
      </c>
      <c r="I13163" s="160" t="s">
        <v>168</v>
      </c>
      <c r="J13163" s="160">
        <v>2.4599999999999999E-3</v>
      </c>
      <c r="K13163" s="160" t="s">
        <v>25</v>
      </c>
      <c r="L13163" s="154" t="str">
        <f>IF(OpenLCAbasic!K13163="CTUh", "Fill in Manually",IF(OR(K13163="Unit", K13163=""), "", INDEX(LookUps!$E$5:$E$12, MATCH(OpenLCAbasic!K13163,LookUps!$D$5:$D$12,0))))</f>
        <v>Smog Formation Potential (SFP) - kg O3 eq</v>
      </c>
      <c r="M13163" s="154" t="str">
        <f t="shared" si="1159"/>
        <v>Low_Medium_Low_Upgraded_Smog Formation Potential (SFP) - kg O3 eq_ClearCove SCP; wastewater treatment unit; at updated plant - US_Without Amendment_Aerated Static Pile</v>
      </c>
    </row>
    <row r="13164" spans="1:13" s="120" customFormat="1" x14ac:dyDescent="0.25">
      <c r="A13164" s="119"/>
      <c r="B13164" s="138" t="str">
        <f t="shared" si="1160"/>
        <v>Aerated Static Pile</v>
      </c>
      <c r="C13164" s="138" t="str">
        <f t="shared" si="1161"/>
        <v>Without Amendment</v>
      </c>
      <c r="D13164" s="138" t="str">
        <f t="shared" si="1158"/>
        <v>Medium_Low</v>
      </c>
      <c r="E13164" s="138" t="str">
        <f t="shared" si="1162"/>
        <v>Low</v>
      </c>
      <c r="F13164" s="138" t="str">
        <f t="shared" si="1163"/>
        <v>Upgraded</v>
      </c>
      <c r="G13164" s="153"/>
      <c r="H13164" s="210">
        <v>1.4E-3</v>
      </c>
      <c r="I13164" s="160" t="s">
        <v>148</v>
      </c>
      <c r="J13164" s="160">
        <v>5.4000000000000001E-4</v>
      </c>
      <c r="K13164" s="160" t="s">
        <v>25</v>
      </c>
      <c r="L13164" s="154" t="str">
        <f>IF(OpenLCAbasic!K13164="CTUh", "Fill in Manually",IF(OR(K13164="Unit", K13164=""), "", INDEX(LookUps!$E$5:$E$12, MATCH(OpenLCAbasic!K13164,LookUps!$D$5:$D$12,0))))</f>
        <v>Smog Formation Potential (SFP) - kg O3 eq</v>
      </c>
      <c r="M13164" s="154" t="str">
        <f t="shared" si="1159"/>
        <v>Low_Medium_Low_Upgraded_Smog Formation Potential (SFP) - kg O3 eq_Control Building; at upgraded wastewater treatment plant - US_Without Amendment_Aerated Static Pile</v>
      </c>
    </row>
    <row r="13165" spans="1:13" s="120" customFormat="1" x14ac:dyDescent="0.25">
      <c r="A13165" s="119"/>
      <c r="B13165" s="138" t="str">
        <f t="shared" si="1160"/>
        <v>Aerated Static Pile</v>
      </c>
      <c r="C13165" s="138" t="str">
        <f t="shared" si="1161"/>
        <v>Without Amendment</v>
      </c>
      <c r="D13165" s="138" t="str">
        <f t="shared" si="1158"/>
        <v>Medium_Low</v>
      </c>
      <c r="E13165" s="138" t="str">
        <f t="shared" si="1162"/>
        <v>Low</v>
      </c>
      <c r="F13165" s="138" t="str">
        <f t="shared" si="1163"/>
        <v>Upgraded</v>
      </c>
      <c r="G13165" s="153"/>
      <c r="H13165" s="210">
        <v>-7.4999999999999997E-3</v>
      </c>
      <c r="I13165" s="160" t="s">
        <v>62</v>
      </c>
      <c r="J13165" s="160">
        <v>-2.81E-3</v>
      </c>
      <c r="K13165" s="160" t="s">
        <v>25</v>
      </c>
      <c r="L13165" s="154" t="str">
        <f>IF(OpenLCAbasic!K13165="CTUh", "Fill in Manually",IF(OR(K13165="Unit", K13165=""), "", INDEX(LookUps!$E$5:$E$12, MATCH(OpenLCAbasic!K13165,LookUps!$D$5:$D$12,0))))</f>
        <v>Smog Formation Potential (SFP) - kg O3 eq</v>
      </c>
      <c r="M13165" s="154" t="str">
        <f t="shared" si="1159"/>
        <v>Low_Medium_Low_Upgraded_Smog Formation Potential (SFP) - kg O3 eq_Land application of compost; wastewater treatment unit; at updated plant - US_Without Amendment_Aerated Static Pile</v>
      </c>
    </row>
    <row r="13166" spans="1:13" s="120" customFormat="1" x14ac:dyDescent="0.25">
      <c r="A13166" s="119"/>
      <c r="B13166" s="138" t="str">
        <f t="shared" si="1160"/>
        <v>Aerated Static Pile</v>
      </c>
      <c r="C13166" s="138" t="str">
        <f t="shared" si="1161"/>
        <v>Without Amendment</v>
      </c>
      <c r="D13166" s="138" t="str">
        <f t="shared" si="1158"/>
        <v>Medium_Low</v>
      </c>
      <c r="E13166" s="138" t="str">
        <f t="shared" si="1162"/>
        <v>Low</v>
      </c>
      <c r="F13166" s="138" t="str">
        <f t="shared" si="1163"/>
        <v>Upgraded</v>
      </c>
      <c r="G13166" s="153"/>
      <c r="H13166" s="210">
        <v>-7.1099999999999997E-2</v>
      </c>
      <c r="I13166" s="160" t="s">
        <v>149</v>
      </c>
      <c r="J13166" s="160">
        <v>-2.673E-2</v>
      </c>
      <c r="K13166" s="160" t="s">
        <v>25</v>
      </c>
      <c r="L13166" s="154" t="str">
        <f>IF(OpenLCAbasic!K13166="CTUh", "Fill in Manually",IF(OR(K13166="Unit", K13166=""), "", INDEX(LookUps!$E$5:$E$12, MATCH(OpenLCAbasic!K13166,LookUps!$D$5:$D$12,0))))</f>
        <v>Smog Formation Potential (SFP) - kg O3 eq</v>
      </c>
      <c r="M13166" s="154" t="str">
        <f t="shared" si="1159"/>
        <v>Low_Medium_Low_Upgraded_Smog Formation Potential (SFP) - kg O3 eq_Anaerobic Digestion; wastewater treatment unit; at updated plant - US_Without Amendment_Aerated Static Pile</v>
      </c>
    </row>
    <row r="13167" spans="1:13" s="120" customFormat="1" x14ac:dyDescent="0.25">
      <c r="A13167" s="119"/>
      <c r="B13167" s="138" t="str">
        <f t="shared" si="1160"/>
        <v/>
      </c>
      <c r="C13167" s="138" t="str">
        <f t="shared" si="1161"/>
        <v/>
      </c>
      <c r="D13167" s="138" t="str">
        <f t="shared" si="1158"/>
        <v/>
      </c>
      <c r="E13167" s="138" t="str">
        <f t="shared" si="1162"/>
        <v/>
      </c>
      <c r="F13167" s="138" t="str">
        <f t="shared" si="1163"/>
        <v/>
      </c>
      <c r="G13167" s="153" t="s">
        <v>51</v>
      </c>
      <c r="H13167" s="160"/>
      <c r="I13167" s="160" t="s">
        <v>47</v>
      </c>
      <c r="J13167" s="160" t="s">
        <v>52</v>
      </c>
      <c r="K13167" s="160" t="s">
        <v>27</v>
      </c>
      <c r="L13167" s="154" t="str">
        <f>IF(OpenLCAbasic!K13167="CTUh", "Fill in Manually",IF(OR(K13167="Unit", K13167=""), "", INDEX(LookUps!$E$5:$E$12, MATCH(OpenLCAbasic!K13167,LookUps!$D$5:$D$12,0))))</f>
        <v/>
      </c>
      <c r="M13167" s="154" t="str">
        <f t="shared" si="1159"/>
        <v>____Process__</v>
      </c>
    </row>
    <row r="13168" spans="1:13" s="120" customFormat="1" x14ac:dyDescent="0.25">
      <c r="A13168" s="119"/>
      <c r="B13168" s="138" t="str">
        <f t="shared" si="1160"/>
        <v>Aerated Static Pile</v>
      </c>
      <c r="C13168" s="138" t="str">
        <f t="shared" si="1161"/>
        <v>Without Amendment</v>
      </c>
      <c r="D13168" s="138" t="str">
        <f t="shared" si="1158"/>
        <v>Medium_Low</v>
      </c>
      <c r="E13168" s="138" t="str">
        <f t="shared" si="1162"/>
        <v>Low</v>
      </c>
      <c r="F13168" s="138" t="str">
        <f t="shared" si="1163"/>
        <v>Upgraded</v>
      </c>
      <c r="G13168" s="153"/>
      <c r="H13168" s="210">
        <v>2.8807999999999998</v>
      </c>
      <c r="I13168" s="160" t="s">
        <v>167</v>
      </c>
      <c r="J13168" s="160">
        <v>2.7999999999999998E-4</v>
      </c>
      <c r="K13168" s="160" t="s">
        <v>26</v>
      </c>
      <c r="L13168" s="154" t="str">
        <f>IF(OpenLCAbasic!K13168="CTUh", "Fill in Manually",IF(OR(K13168="Unit", K13168=""), "", INDEX(LookUps!$E$5:$E$12, MATCH(OpenLCAbasic!K13168,LookUps!$D$5:$D$12,0))))</f>
        <v>Water Use (WU) - m3 H2O</v>
      </c>
      <c r="M13168" s="154" t="str">
        <f t="shared" si="1159"/>
        <v>Low_Medium_Low_Upgraded_Water Use (WU) - m3 H2O_Waste Receiving and Holding; wastewater treatment unit; at updated plant - US_Without Amendment_Aerated Static Pile</v>
      </c>
    </row>
    <row r="13169" spans="1:13" s="120" customFormat="1" x14ac:dyDescent="0.25">
      <c r="A13169" s="119"/>
      <c r="B13169" s="138" t="str">
        <f t="shared" si="1160"/>
        <v>Aerated Static Pile</v>
      </c>
      <c r="C13169" s="138" t="str">
        <f t="shared" si="1161"/>
        <v>Without Amendment</v>
      </c>
      <c r="D13169" s="138" t="str">
        <f t="shared" si="1158"/>
        <v>Medium_Low</v>
      </c>
      <c r="E13169" s="138" t="str">
        <f t="shared" si="1162"/>
        <v>Low</v>
      </c>
      <c r="F13169" s="138" t="str">
        <f t="shared" si="1163"/>
        <v>Upgraded</v>
      </c>
      <c r="G13169" s="153"/>
      <c r="H13169" s="210">
        <v>1.8805000000000001</v>
      </c>
      <c r="I13169" s="160" t="s">
        <v>147</v>
      </c>
      <c r="J13169" s="160">
        <v>1.8000000000000001E-4</v>
      </c>
      <c r="K13169" s="160" t="s">
        <v>26</v>
      </c>
      <c r="L13169" s="154" t="str">
        <f>IF(OpenLCAbasic!K13169="CTUh", "Fill in Manually",IF(OR(K13169="Unit", K13169=""), "", INDEX(LookUps!$E$5:$E$12, MATCH(OpenLCAbasic!K13169,LookUps!$D$5:$D$12,0))))</f>
        <v>Water Use (WU) - m3 H2O</v>
      </c>
      <c r="M13169" s="154" t="str">
        <f t="shared" si="1159"/>
        <v>Low_Medium_Low_Upgraded_Water Use (WU) - m3 H2O_Influent Pump Station; wastewater treatment unit; at updated plant - US_Without Amendment_Aerated Static Pile</v>
      </c>
    </row>
    <row r="13170" spans="1:13" s="120" customFormat="1" x14ac:dyDescent="0.25">
      <c r="A13170" s="119"/>
      <c r="B13170" s="138" t="str">
        <f t="shared" si="1160"/>
        <v>Aerated Static Pile</v>
      </c>
      <c r="C13170" s="138" t="str">
        <f t="shared" si="1161"/>
        <v>Without Amendment</v>
      </c>
      <c r="D13170" s="138" t="str">
        <f t="shared" si="1158"/>
        <v>Medium_Low</v>
      </c>
      <c r="E13170" s="138" t="str">
        <f t="shared" si="1162"/>
        <v>Low</v>
      </c>
      <c r="F13170" s="138" t="str">
        <f t="shared" si="1163"/>
        <v>Upgraded</v>
      </c>
      <c r="G13170" s="153"/>
      <c r="H13170" s="210">
        <v>1.8348</v>
      </c>
      <c r="I13170" s="160" t="s">
        <v>54</v>
      </c>
      <c r="J13170" s="160">
        <v>1.8000000000000001E-4</v>
      </c>
      <c r="K13170" s="160" t="s">
        <v>26</v>
      </c>
      <c r="L13170" s="154" t="str">
        <f>IF(OpenLCAbasic!K13170="CTUh", "Fill in Manually",IF(OR(K13170="Unit", K13170=""), "", INDEX(LookUps!$E$5:$E$12, MATCH(OpenLCAbasic!K13170,LookUps!$D$5:$D$12,0))))</f>
        <v>Water Use (WU) - m3 H2O</v>
      </c>
      <c r="M13170" s="154" t="str">
        <f t="shared" si="1159"/>
        <v>Low_Medium_Low_Upgraded_Water Use (WU) - m3 H2O_Clear Cove Primary Clarification; wastewater treatment unit; at updated plant - US_Without Amendment_Aerated Static Pile</v>
      </c>
    </row>
    <row r="13171" spans="1:13" s="120" customFormat="1" x14ac:dyDescent="0.25">
      <c r="A13171" s="119"/>
      <c r="B13171" s="138" t="str">
        <f t="shared" si="1160"/>
        <v>Aerated Static Pile</v>
      </c>
      <c r="C13171" s="138" t="str">
        <f t="shared" si="1161"/>
        <v>Without Amendment</v>
      </c>
      <c r="D13171" s="138" t="str">
        <f t="shared" si="1158"/>
        <v>Medium_Low</v>
      </c>
      <c r="E13171" s="138" t="str">
        <f t="shared" si="1162"/>
        <v>Low</v>
      </c>
      <c r="F13171" s="138" t="str">
        <f t="shared" si="1163"/>
        <v>Upgraded</v>
      </c>
      <c r="G13171" s="153"/>
      <c r="H13171" s="210">
        <v>1.6645000000000001</v>
      </c>
      <c r="I13171" s="160" t="s">
        <v>55</v>
      </c>
      <c r="J13171" s="160">
        <v>1.6000000000000001E-4</v>
      </c>
      <c r="K13171" s="160" t="s">
        <v>26</v>
      </c>
      <c r="L13171" s="154" t="str">
        <f>IF(OpenLCAbasic!K13171="CTUh", "Fill in Manually",IF(OR(K13171="Unit", K13171=""), "", INDEX(LookUps!$E$5:$E$12, MATCH(OpenLCAbasic!K13171,LookUps!$D$5:$D$12,0))))</f>
        <v>Water Use (WU) - m3 H2O</v>
      </c>
      <c r="M13171" s="154" t="str">
        <f t="shared" si="1159"/>
        <v>Low_Medium_Low_Upgraded_Water Use (WU) - m3 H2O_Aeration Tanks; wastewater treatment unit; at updated plant - US_Without Amendment_Aerated Static Pile</v>
      </c>
    </row>
    <row r="13172" spans="1:13" s="120" customFormat="1" x14ac:dyDescent="0.25">
      <c r="A13172" s="119"/>
      <c r="B13172" s="138" t="str">
        <f t="shared" si="1160"/>
        <v>Aerated Static Pile</v>
      </c>
      <c r="C13172" s="138" t="str">
        <f t="shared" si="1161"/>
        <v>Without Amendment</v>
      </c>
      <c r="D13172" s="138" t="str">
        <f t="shared" si="1158"/>
        <v>Medium_Low</v>
      </c>
      <c r="E13172" s="138" t="str">
        <f t="shared" si="1162"/>
        <v>Low</v>
      </c>
      <c r="F13172" s="138" t="str">
        <f t="shared" si="1163"/>
        <v>Upgraded</v>
      </c>
      <c r="G13172" s="153"/>
      <c r="H13172" s="210">
        <v>1.5162</v>
      </c>
      <c r="I13172" s="160" t="s">
        <v>148</v>
      </c>
      <c r="J13172" s="160">
        <v>1.4999999999999999E-4</v>
      </c>
      <c r="K13172" s="160" t="s">
        <v>26</v>
      </c>
      <c r="L13172" s="154" t="str">
        <f>IF(OpenLCAbasic!K13172="CTUh", "Fill in Manually",IF(OR(K13172="Unit", K13172=""), "", INDEX(LookUps!$E$5:$E$12, MATCH(OpenLCAbasic!K13172,LookUps!$D$5:$D$12,0))))</f>
        <v>Water Use (WU) - m3 H2O</v>
      </c>
      <c r="M13172" s="154" t="str">
        <f t="shared" si="1159"/>
        <v>Low_Medium_Low_Upgraded_Water Use (WU) - m3 H2O_Control Building; at upgraded wastewater treatment plant - US_Without Amendment_Aerated Static Pile</v>
      </c>
    </row>
    <row r="13173" spans="1:13" s="120" customFormat="1" x14ac:dyDescent="0.25">
      <c r="A13173" s="119"/>
      <c r="B13173" s="138" t="str">
        <f t="shared" si="1160"/>
        <v>Aerated Static Pile</v>
      </c>
      <c r="C13173" s="138" t="str">
        <f t="shared" si="1161"/>
        <v>Without Amendment</v>
      </c>
      <c r="D13173" s="138" t="str">
        <f t="shared" si="1158"/>
        <v>Medium_Low</v>
      </c>
      <c r="E13173" s="138" t="str">
        <f t="shared" si="1162"/>
        <v>Low</v>
      </c>
      <c r="F13173" s="138" t="str">
        <f t="shared" si="1163"/>
        <v>Upgraded</v>
      </c>
      <c r="G13173" s="153"/>
      <c r="H13173" s="210">
        <v>0.70409999999999995</v>
      </c>
      <c r="I13173" s="160" t="s">
        <v>48</v>
      </c>
      <c r="J13173" s="211">
        <v>6.8836400000000004E-5</v>
      </c>
      <c r="K13173" s="160" t="s">
        <v>26</v>
      </c>
      <c r="L13173" s="154" t="str">
        <f>IF(OpenLCAbasic!K13173="CTUh", "Fill in Manually",IF(OR(K13173="Unit", K13173=""), "", INDEX(LookUps!$E$5:$E$12, MATCH(OpenLCAbasic!K13173,LookUps!$D$5:$D$12,0))))</f>
        <v>Water Use (WU) - m3 H2O</v>
      </c>
      <c r="M13173" s="154" t="str">
        <f t="shared" si="1159"/>
        <v>Low_Medium_Low_Upgraded_Water Use (WU) - m3 H2O_Effluent release; wastewater treatment unit; at surface water; m3 wastewater - US_Without Amendment_Aerated Static Pile</v>
      </c>
    </row>
    <row r="13174" spans="1:13" s="120" customFormat="1" x14ac:dyDescent="0.25">
      <c r="A13174" s="119"/>
      <c r="B13174" s="138" t="str">
        <f t="shared" si="1160"/>
        <v>Aerated Static Pile</v>
      </c>
      <c r="C13174" s="138" t="str">
        <f t="shared" si="1161"/>
        <v>Without Amendment</v>
      </c>
      <c r="D13174" s="138" t="str">
        <f t="shared" si="1158"/>
        <v>Medium_Low</v>
      </c>
      <c r="E13174" s="138" t="str">
        <f t="shared" si="1162"/>
        <v>Low</v>
      </c>
      <c r="F13174" s="138" t="str">
        <f t="shared" si="1163"/>
        <v>Upgraded</v>
      </c>
      <c r="G13174" s="153"/>
      <c r="H13174" s="210">
        <v>0.44219999999999998</v>
      </c>
      <c r="I13174" s="160" t="s">
        <v>58</v>
      </c>
      <c r="J13174" s="211">
        <v>4.3235300000000003E-5</v>
      </c>
      <c r="K13174" s="160" t="s">
        <v>26</v>
      </c>
      <c r="L13174" s="154" t="str">
        <f>IF(OpenLCAbasic!K13174="CTUh", "Fill in Manually",IF(OR(K13174="Unit", K13174=""), "", INDEX(LookUps!$E$5:$E$12, MATCH(OpenLCAbasic!K13174,LookUps!$D$5:$D$12,0))))</f>
        <v>Water Use (WU) - m3 H2O</v>
      </c>
      <c r="M13174" s="154" t="str">
        <f t="shared" si="1159"/>
        <v>Low_Medium_Low_Upgraded_Water Use (WU) - m3 H2O_Pre-Anoxic &amp; Swing tank; wastewater treatment unit; at updated plant - US_Without Amendment_Aerated Static Pile</v>
      </c>
    </row>
    <row r="13175" spans="1:13" s="120" customFormat="1" x14ac:dyDescent="0.25">
      <c r="A13175" s="119"/>
      <c r="B13175" s="138" t="str">
        <f t="shared" si="1160"/>
        <v>Aerated Static Pile</v>
      </c>
      <c r="C13175" s="138" t="str">
        <f t="shared" si="1161"/>
        <v>Without Amendment</v>
      </c>
      <c r="D13175" s="138" t="str">
        <f t="shared" si="1158"/>
        <v>Medium_Low</v>
      </c>
      <c r="E13175" s="138" t="str">
        <f t="shared" si="1162"/>
        <v>Low</v>
      </c>
      <c r="F13175" s="138" t="str">
        <f t="shared" si="1163"/>
        <v>Upgraded</v>
      </c>
      <c r="G13175" s="153"/>
      <c r="H13175" s="210">
        <v>0.3498</v>
      </c>
      <c r="I13175" s="160" t="s">
        <v>60</v>
      </c>
      <c r="J13175" s="211">
        <v>3.4196200000000003E-5</v>
      </c>
      <c r="K13175" s="160" t="s">
        <v>26</v>
      </c>
      <c r="L13175" s="154" t="str">
        <f>IF(OpenLCAbasic!K13175="CTUh", "Fill in Manually",IF(OR(K13175="Unit", K13175=""), "", INDEX(LookUps!$E$5:$E$12, MATCH(OpenLCAbasic!K13175,LookUps!$D$5:$D$12,0))))</f>
        <v>Water Use (WU) - m3 H2O</v>
      </c>
      <c r="M13175" s="154" t="str">
        <f t="shared" si="1159"/>
        <v>Low_Medium_Low_Upgraded_Water Use (WU) - m3 H2O_Belt filter press; wastewater treatment unit; at updated plant - US_Without Amendment_Aerated Static Pile</v>
      </c>
    </row>
    <row r="13176" spans="1:13" s="120" customFormat="1" x14ac:dyDescent="0.25">
      <c r="A13176" s="119"/>
      <c r="B13176" s="138" t="str">
        <f t="shared" si="1160"/>
        <v>Aerated Static Pile</v>
      </c>
      <c r="C13176" s="138" t="str">
        <f t="shared" si="1161"/>
        <v>Without Amendment</v>
      </c>
      <c r="D13176" s="138" t="str">
        <f t="shared" si="1158"/>
        <v>Medium_Low</v>
      </c>
      <c r="E13176" s="138" t="str">
        <f t="shared" si="1162"/>
        <v>Low</v>
      </c>
      <c r="F13176" s="138" t="str">
        <f t="shared" si="1163"/>
        <v>Upgraded</v>
      </c>
      <c r="G13176" s="153"/>
      <c r="H13176" s="210">
        <v>0.311</v>
      </c>
      <c r="I13176" s="160" t="s">
        <v>57</v>
      </c>
      <c r="J13176" s="211">
        <v>3.0408100000000001E-5</v>
      </c>
      <c r="K13176" s="160" t="s">
        <v>26</v>
      </c>
      <c r="L13176" s="154" t="str">
        <f>IF(OpenLCAbasic!K13176="CTUh", "Fill in Manually",IF(OR(K13176="Unit", K13176=""), "", INDEX(LookUps!$E$5:$E$12, MATCH(OpenLCAbasic!K13176,LookUps!$D$5:$D$12,0))))</f>
        <v>Water Use (WU) - m3 H2O</v>
      </c>
      <c r="M13176" s="154" t="str">
        <f t="shared" si="1159"/>
        <v>Low_Medium_Low_Upgraded_Water Use (WU) - m3 H2O_Gravity Belt Thickener; wastewater treatment unit; at updated plant - US_Without Amendment_Aerated Static Pile</v>
      </c>
    </row>
    <row r="13177" spans="1:13" s="120" customFormat="1" x14ac:dyDescent="0.25">
      <c r="A13177" s="119"/>
      <c r="B13177" s="138" t="str">
        <f t="shared" si="1160"/>
        <v>Aerated Static Pile</v>
      </c>
      <c r="C13177" s="138" t="str">
        <f t="shared" si="1161"/>
        <v>Without Amendment</v>
      </c>
      <c r="D13177" s="138" t="str">
        <f t="shared" ref="D13177:D13183" si="1164">IF(ISNUMBER($J13177),"Medium_Low","")</f>
        <v>Medium_Low</v>
      </c>
      <c r="E13177" s="138" t="str">
        <f t="shared" si="1162"/>
        <v>Low</v>
      </c>
      <c r="F13177" s="138" t="str">
        <f t="shared" si="1163"/>
        <v>Upgraded</v>
      </c>
      <c r="G13177" s="153"/>
      <c r="H13177" s="210">
        <v>0.27989999999999998</v>
      </c>
      <c r="I13177" s="160" t="s">
        <v>149</v>
      </c>
      <c r="J13177" s="211">
        <v>2.7368600000000001E-5</v>
      </c>
      <c r="K13177" s="160" t="s">
        <v>26</v>
      </c>
      <c r="L13177" s="154" t="str">
        <f>IF(OpenLCAbasic!K13177="CTUh", "Fill in Manually",IF(OR(K13177="Unit", K13177=""), "", INDEX(LookUps!$E$5:$E$12, MATCH(OpenLCAbasic!K13177,LookUps!$D$5:$D$12,0))))</f>
        <v>Water Use (WU) - m3 H2O</v>
      </c>
      <c r="M13177" s="154" t="str">
        <f t="shared" si="1159"/>
        <v>Low_Medium_Low_Upgraded_Water Use (WU) - m3 H2O_Anaerobic Digestion; wastewater treatment unit; at updated plant - US_Without Amendment_Aerated Static Pile</v>
      </c>
    </row>
    <row r="13178" spans="1:13" s="120" customFormat="1" x14ac:dyDescent="0.25">
      <c r="A13178" s="119"/>
      <c r="B13178" s="138" t="str">
        <f t="shared" si="1160"/>
        <v>Aerated Static Pile</v>
      </c>
      <c r="C13178" s="138" t="str">
        <f t="shared" si="1161"/>
        <v>Without Amendment</v>
      </c>
      <c r="D13178" s="138" t="str">
        <f t="shared" si="1164"/>
        <v>Medium_Low</v>
      </c>
      <c r="E13178" s="138" t="str">
        <f t="shared" si="1162"/>
        <v>Low</v>
      </c>
      <c r="F13178" s="138" t="str">
        <f t="shared" si="1163"/>
        <v>Upgraded</v>
      </c>
      <c r="G13178" s="153"/>
      <c r="H13178" s="210">
        <v>0.17910000000000001</v>
      </c>
      <c r="I13178" s="160" t="s">
        <v>53</v>
      </c>
      <c r="J13178" s="211">
        <v>1.75069E-5</v>
      </c>
      <c r="K13178" s="160" t="s">
        <v>26</v>
      </c>
      <c r="L13178" s="154" t="str">
        <f>IF(OpenLCAbasic!K13178="CTUh", "Fill in Manually",IF(OR(K13178="Unit", K13178=""), "", INDEX(LookUps!$E$5:$E$12, MATCH(OpenLCAbasic!K13178,LookUps!$D$5:$D$12,0))))</f>
        <v>Water Use (WU) - m3 H2O</v>
      </c>
      <c r="M13178" s="154" t="str">
        <f t="shared" si="1159"/>
        <v>Low_Medium_Low_Upgraded_Water Use (WU) - m3 H2O_Wet Well and Sump Station; wastewater treatment unit; at updated plant - US_Without Amendment_Aerated Static Pile</v>
      </c>
    </row>
    <row r="13179" spans="1:13" s="120" customFormat="1" x14ac:dyDescent="0.25">
      <c r="A13179" s="119"/>
      <c r="B13179" s="138" t="str">
        <f t="shared" si="1160"/>
        <v>Aerated Static Pile</v>
      </c>
      <c r="C13179" s="138" t="str">
        <f t="shared" si="1161"/>
        <v>Without Amendment</v>
      </c>
      <c r="D13179" s="138" t="str">
        <f t="shared" si="1164"/>
        <v>Medium_Low</v>
      </c>
      <c r="E13179" s="138" t="str">
        <f t="shared" si="1162"/>
        <v>Low</v>
      </c>
      <c r="F13179" s="138" t="str">
        <f t="shared" si="1163"/>
        <v>Upgraded</v>
      </c>
      <c r="G13179" s="153"/>
      <c r="H13179" s="210">
        <v>9.5799999999999996E-2</v>
      </c>
      <c r="I13179" s="160" t="s">
        <v>435</v>
      </c>
      <c r="J13179" s="211">
        <v>9.3621199999999994E-6</v>
      </c>
      <c r="K13179" s="160" t="s">
        <v>26</v>
      </c>
      <c r="L13179" s="154" t="str">
        <f>IF(OpenLCAbasic!K13179="CTUh", "Fill in Manually",IF(OR(K13179="Unit", K13179=""), "", INDEX(LookUps!$E$5:$E$12, MATCH(OpenLCAbasic!K13179,LookUps!$D$5:$D$12,0))))</f>
        <v>Water Use (WU) - m3 H2O</v>
      </c>
      <c r="M13179" s="154" t="str">
        <f t="shared" si="1159"/>
        <v>Low_Medium_Low_Upgraded_Water Use (WU) - m3 H2O_Biosolids composting; aerated static pile; wastewater treatment unit; at updated plant - US_Without Amendment_Aerated Static Pile</v>
      </c>
    </row>
    <row r="13180" spans="1:13" s="120" customFormat="1" x14ac:dyDescent="0.25">
      <c r="A13180" s="119"/>
      <c r="B13180" s="138" t="str">
        <f t="shared" si="1160"/>
        <v>Aerated Static Pile</v>
      </c>
      <c r="C13180" s="138" t="str">
        <f t="shared" si="1161"/>
        <v>Without Amendment</v>
      </c>
      <c r="D13180" s="138" t="str">
        <f t="shared" si="1164"/>
        <v>Medium_Low</v>
      </c>
      <c r="E13180" s="138" t="str">
        <f t="shared" si="1162"/>
        <v>Low</v>
      </c>
      <c r="F13180" s="138" t="str">
        <f t="shared" si="1163"/>
        <v>Upgraded</v>
      </c>
      <c r="G13180" s="153"/>
      <c r="H13180" s="210">
        <v>7.1800000000000003E-2</v>
      </c>
      <c r="I13180" s="160" t="s">
        <v>59</v>
      </c>
      <c r="J13180" s="211">
        <v>7.0179500000000003E-6</v>
      </c>
      <c r="K13180" s="160" t="s">
        <v>26</v>
      </c>
      <c r="L13180" s="154" t="str">
        <f>IF(OpenLCAbasic!K13180="CTUh", "Fill in Manually",IF(OR(K13180="Unit", K13180=""), "", INDEX(LookUps!$E$5:$E$12, MATCH(OpenLCAbasic!K13180,LookUps!$D$5:$D$12,0))))</f>
        <v>Water Use (WU) - m3 H2O</v>
      </c>
      <c r="M13180" s="154" t="str">
        <f t="shared" si="1159"/>
        <v>Low_Medium_Low_Upgraded_Water Use (WU) - m3 H2O_Blend Tank; wastewater treatment unit; at updated plant - US_Without Amendment_Aerated Static Pile</v>
      </c>
    </row>
    <row r="13181" spans="1:13" s="120" customFormat="1" x14ac:dyDescent="0.25">
      <c r="A13181" s="119"/>
      <c r="B13181" s="138" t="str">
        <f t="shared" si="1160"/>
        <v>Aerated Static Pile</v>
      </c>
      <c r="C13181" s="138" t="str">
        <f t="shared" si="1161"/>
        <v>Without Amendment</v>
      </c>
      <c r="D13181" s="138" t="str">
        <f t="shared" si="1164"/>
        <v>Medium_Low</v>
      </c>
      <c r="E13181" s="138" t="str">
        <f t="shared" si="1162"/>
        <v>Low</v>
      </c>
      <c r="F13181" s="138" t="str">
        <f t="shared" si="1163"/>
        <v>Upgraded</v>
      </c>
      <c r="G13181" s="153"/>
      <c r="H13181" s="210">
        <v>5.1799999999999999E-2</v>
      </c>
      <c r="I13181" s="160" t="s">
        <v>128</v>
      </c>
      <c r="J13181" s="211">
        <v>5.0608900000000003E-6</v>
      </c>
      <c r="K13181" s="160" t="s">
        <v>26</v>
      </c>
      <c r="L13181" s="154" t="str">
        <f>IF(OpenLCAbasic!K13181="CTUh", "Fill in Manually",IF(OR(K13181="Unit", K13181=""), "", INDEX(LookUps!$E$5:$E$12, MATCH(OpenLCAbasic!K13181,LookUps!$D$5:$D$12,0))))</f>
        <v>Water Use (WU) - m3 H2O</v>
      </c>
      <c r="M13181" s="154" t="str">
        <f t="shared" si="1159"/>
        <v>Low_Medium_Low_Upgraded_Water Use (WU) - m3 H2O_Wastewater collection; operation and infrastructure; m3 wastewater_Without Amendment_Aerated Static Pile</v>
      </c>
    </row>
    <row r="13182" spans="1:13" s="120" customFormat="1" x14ac:dyDescent="0.25">
      <c r="A13182" s="119"/>
      <c r="B13182" s="138" t="str">
        <f t="shared" si="1160"/>
        <v>Aerated Static Pile</v>
      </c>
      <c r="C13182" s="138" t="str">
        <f t="shared" si="1161"/>
        <v>Without Amendment</v>
      </c>
      <c r="D13182" s="138" t="str">
        <f t="shared" si="1164"/>
        <v>Medium_Low</v>
      </c>
      <c r="E13182" s="138" t="str">
        <f t="shared" si="1162"/>
        <v>Low</v>
      </c>
      <c r="F13182" s="138" t="str">
        <f t="shared" si="1163"/>
        <v>Upgraded</v>
      </c>
      <c r="G13182" s="153"/>
      <c r="H13182" s="210">
        <v>7.7999999999999996E-3</v>
      </c>
      <c r="I13182" s="160" t="s">
        <v>168</v>
      </c>
      <c r="J13182" s="211">
        <v>7.6697000000000004E-7</v>
      </c>
      <c r="K13182" s="160" t="s">
        <v>26</v>
      </c>
      <c r="L13182" s="154" t="str">
        <f>IF(OpenLCAbasic!K13182="CTUh", "Fill in Manually",IF(OR(K13182="Unit", K13182=""), "", INDEX(LookUps!$E$5:$E$12, MATCH(OpenLCAbasic!K13182,LookUps!$D$5:$D$12,0))))</f>
        <v>Water Use (WU) - m3 H2O</v>
      </c>
      <c r="M13182" s="154" t="str">
        <f t="shared" si="1159"/>
        <v>Low_Medium_Low_Upgraded_Water Use (WU) - m3 H2O_ClearCove SCP; wastewater treatment unit; at updated plant - US_Without Amendment_Aerated Static Pile</v>
      </c>
    </row>
    <row r="13183" spans="1:13" s="120" customFormat="1" x14ac:dyDescent="0.25">
      <c r="A13183" s="119"/>
      <c r="B13183" s="138" t="str">
        <f t="shared" si="1160"/>
        <v>Aerated Static Pile</v>
      </c>
      <c r="C13183" s="138" t="str">
        <f t="shared" si="1161"/>
        <v>Without Amendment</v>
      </c>
      <c r="D13183" s="138" t="str">
        <f t="shared" si="1164"/>
        <v>Medium_Low</v>
      </c>
      <c r="E13183" s="138" t="str">
        <f t="shared" si="1162"/>
        <v>Low</v>
      </c>
      <c r="F13183" s="138" t="str">
        <f t="shared" si="1163"/>
        <v>Upgraded</v>
      </c>
      <c r="G13183" s="153"/>
      <c r="H13183" s="210">
        <v>-11.270099999999999</v>
      </c>
      <c r="I13183" s="160" t="s">
        <v>62</v>
      </c>
      <c r="J13183" s="160">
        <v>-1.1000000000000001E-3</v>
      </c>
      <c r="K13183" s="160" t="s">
        <v>26</v>
      </c>
      <c r="L13183" s="154" t="str">
        <f>IF(OpenLCAbasic!K13183="CTUh", "Fill in Manually",IF(OR(K13183="Unit", K13183=""), "", INDEX(LookUps!$E$5:$E$12, MATCH(OpenLCAbasic!K13183,LookUps!$D$5:$D$12,0))))</f>
        <v>Water Use (WU) - m3 H2O</v>
      </c>
      <c r="M13183" s="154" t="str">
        <f t="shared" si="1159"/>
        <v>Low_Medium_Low_Upgraded_Water Use (WU) - m3 H2O_Land application of compost; wastewater treatment unit; at updated plant - US_Without Amendment_Aerated Static Pile</v>
      </c>
    </row>
    <row r="13184" spans="1:13" s="120" customFormat="1" x14ac:dyDescent="0.25">
      <c r="A13184" s="119"/>
      <c r="B13184" s="138" t="str">
        <f t="shared" si="1160"/>
        <v/>
      </c>
      <c r="C13184" s="138" t="str">
        <f t="shared" si="1161"/>
        <v/>
      </c>
      <c r="D13184" s="138" t="str">
        <f>IF(ISNUMBER($J13184),"Medium_Base","")</f>
        <v/>
      </c>
      <c r="E13184" s="138" t="str">
        <f t="shared" si="1162"/>
        <v/>
      </c>
      <c r="F13184" s="138" t="str">
        <f t="shared" si="1163"/>
        <v/>
      </c>
      <c r="G13184" s="153" t="s">
        <v>51</v>
      </c>
      <c r="H13184" s="160"/>
      <c r="I13184" s="160" t="s">
        <v>47</v>
      </c>
      <c r="J13184" s="160" t="s">
        <v>52</v>
      </c>
      <c r="K13184" s="160" t="s">
        <v>27</v>
      </c>
      <c r="L13184" s="154" t="str">
        <f>IF(OpenLCAbasic!K13184="CTUh", "Fill in Manually",IF(OR(K13184="Unit", K13184=""), "", INDEX(LookUps!$E$5:$E$12, MATCH(OpenLCAbasic!K13184,LookUps!$D$5:$D$12,0))))</f>
        <v/>
      </c>
      <c r="M13184" s="154" t="str">
        <f t="shared" si="1159"/>
        <v>____Process__</v>
      </c>
    </row>
    <row r="13185" spans="1:13" s="120" customFormat="1" x14ac:dyDescent="0.25">
      <c r="A13185" s="119"/>
      <c r="B13185" s="138" t="str">
        <f t="shared" si="1160"/>
        <v>Aerated Static Pile</v>
      </c>
      <c r="C13185" s="138" t="str">
        <f t="shared" si="1161"/>
        <v>Without Amendment</v>
      </c>
      <c r="D13185" s="138" t="str">
        <f t="shared" ref="D13185:D13248" si="1165">IF(ISNUMBER($J13185),"Medium_Base","")</f>
        <v>Medium_Base</v>
      </c>
      <c r="E13185" s="138" t="str">
        <f t="shared" si="1162"/>
        <v>Low</v>
      </c>
      <c r="F13185" s="138" t="str">
        <f t="shared" si="1163"/>
        <v>Upgraded</v>
      </c>
      <c r="G13185" s="153"/>
      <c r="H13185" s="210">
        <v>0.71579999999999999</v>
      </c>
      <c r="I13185" s="160" t="s">
        <v>55</v>
      </c>
      <c r="J13185" s="160">
        <v>1.7219999999999999E-2</v>
      </c>
      <c r="K13185" s="160" t="s">
        <v>24</v>
      </c>
      <c r="L13185" s="154" t="str">
        <f>IF(OpenLCAbasic!K13185="CTUh", "Fill in Manually",IF(OR(K13185="Unit", K13185=""), "", INDEX(LookUps!$E$5:$E$12, MATCH(OpenLCAbasic!K13185,LookUps!$D$5:$D$12,0))))</f>
        <v>Acidification Potential (AP) - kg SO2 eq</v>
      </c>
      <c r="M13185" s="154" t="str">
        <f t="shared" si="1159"/>
        <v>Low_Medium_Base_Upgraded_Acidification Potential (AP) - kg SO2 eq_Aeration Tanks; wastewater treatment unit; at updated plant - US_Without Amendment_Aerated Static Pile</v>
      </c>
    </row>
    <row r="13186" spans="1:13" s="120" customFormat="1" x14ac:dyDescent="0.25">
      <c r="A13186" s="119"/>
      <c r="B13186" s="138" t="str">
        <f t="shared" si="1160"/>
        <v>Aerated Static Pile</v>
      </c>
      <c r="C13186" s="138" t="str">
        <f t="shared" si="1161"/>
        <v>Without Amendment</v>
      </c>
      <c r="D13186" s="138" t="str">
        <f t="shared" si="1165"/>
        <v>Medium_Base</v>
      </c>
      <c r="E13186" s="138" t="str">
        <f t="shared" si="1162"/>
        <v>Low</v>
      </c>
      <c r="F13186" s="138" t="str">
        <f t="shared" si="1163"/>
        <v>Upgraded</v>
      </c>
      <c r="G13186" s="153"/>
      <c r="H13186" s="210">
        <v>0.20699999999999999</v>
      </c>
      <c r="I13186" s="160" t="s">
        <v>54</v>
      </c>
      <c r="J13186" s="160">
        <v>4.9800000000000001E-3</v>
      </c>
      <c r="K13186" s="160" t="s">
        <v>24</v>
      </c>
      <c r="L13186" s="154" t="str">
        <f>IF(OpenLCAbasic!K13186="CTUh", "Fill in Manually",IF(OR(K13186="Unit", K13186=""), "", INDEX(LookUps!$E$5:$E$12, MATCH(OpenLCAbasic!K13186,LookUps!$D$5:$D$12,0))))</f>
        <v>Acidification Potential (AP) - kg SO2 eq</v>
      </c>
      <c r="M13186" s="154" t="str">
        <f t="shared" si="1159"/>
        <v>Low_Medium_Base_Upgraded_Acidification Potential (AP) - kg SO2 eq_Clear Cove Primary Clarification; wastewater treatment unit; at updated plant - US_Without Amendment_Aerated Static Pile</v>
      </c>
    </row>
    <row r="13187" spans="1:13" s="120" customFormat="1" x14ac:dyDescent="0.25">
      <c r="A13187" s="119"/>
      <c r="B13187" s="138" t="str">
        <f t="shared" si="1160"/>
        <v>Aerated Static Pile</v>
      </c>
      <c r="C13187" s="138" t="str">
        <f t="shared" si="1161"/>
        <v>Without Amendment</v>
      </c>
      <c r="D13187" s="138" t="str">
        <f t="shared" si="1165"/>
        <v>Medium_Base</v>
      </c>
      <c r="E13187" s="138" t="str">
        <f t="shared" si="1162"/>
        <v>Low</v>
      </c>
      <c r="F13187" s="138" t="str">
        <f t="shared" si="1163"/>
        <v>Upgraded</v>
      </c>
      <c r="G13187" s="153"/>
      <c r="H13187" s="210">
        <v>0.1807</v>
      </c>
      <c r="I13187" s="160" t="s">
        <v>58</v>
      </c>
      <c r="J13187" s="160">
        <v>4.3499999999999997E-3</v>
      </c>
      <c r="K13187" s="160" t="s">
        <v>24</v>
      </c>
      <c r="L13187" s="154" t="str">
        <f>IF(OpenLCAbasic!K13187="CTUh", "Fill in Manually",IF(OR(K13187="Unit", K13187=""), "", INDEX(LookUps!$E$5:$E$12, MATCH(OpenLCAbasic!K13187,LookUps!$D$5:$D$12,0))))</f>
        <v>Acidification Potential (AP) - kg SO2 eq</v>
      </c>
      <c r="M13187" s="154" t="str">
        <f t="shared" si="1159"/>
        <v>Low_Medium_Base_Upgraded_Acidification Potential (AP) - kg SO2 eq_Pre-Anoxic &amp; Swing tank; wastewater treatment unit; at updated plant - US_Without Amendment_Aerated Static Pile</v>
      </c>
    </row>
    <row r="13188" spans="1:13" s="120" customFormat="1" x14ac:dyDescent="0.25">
      <c r="A13188" s="119"/>
      <c r="B13188" s="138" t="str">
        <f t="shared" si="1160"/>
        <v>Aerated Static Pile</v>
      </c>
      <c r="C13188" s="138" t="str">
        <f t="shared" si="1161"/>
        <v>Without Amendment</v>
      </c>
      <c r="D13188" s="138" t="str">
        <f t="shared" si="1165"/>
        <v>Medium_Base</v>
      </c>
      <c r="E13188" s="138" t="str">
        <f t="shared" si="1162"/>
        <v>Low</v>
      </c>
      <c r="F13188" s="138" t="str">
        <f t="shared" si="1163"/>
        <v>Upgraded</v>
      </c>
      <c r="G13188" s="153"/>
      <c r="H13188" s="210">
        <v>0.1434</v>
      </c>
      <c r="I13188" s="160" t="s">
        <v>53</v>
      </c>
      <c r="J13188" s="160">
        <v>3.4499999999999999E-3</v>
      </c>
      <c r="K13188" s="160" t="s">
        <v>24</v>
      </c>
      <c r="L13188" s="154" t="str">
        <f>IF(OpenLCAbasic!K13188="CTUh", "Fill in Manually",IF(OR(K13188="Unit", K13188=""), "", INDEX(LookUps!$E$5:$E$12, MATCH(OpenLCAbasic!K13188,LookUps!$D$5:$D$12,0))))</f>
        <v>Acidification Potential (AP) - kg SO2 eq</v>
      </c>
      <c r="M13188" s="154" t="str">
        <f t="shared" ref="M13188:M13251" si="1166">CONCATENATE(E13188,"_",D13188,"_",F13188,"_",L13188, "_",I13188,"_", C13188,"_", B13188)</f>
        <v>Low_Medium_Base_Upgraded_Acidification Potential (AP) - kg SO2 eq_Wet Well and Sump Station; wastewater treatment unit; at updated plant - US_Without Amendment_Aerated Static Pile</v>
      </c>
    </row>
    <row r="13189" spans="1:13" s="120" customFormat="1" x14ac:dyDescent="0.25">
      <c r="A13189" s="119"/>
      <c r="B13189" s="138" t="str">
        <f t="shared" si="1160"/>
        <v>Aerated Static Pile</v>
      </c>
      <c r="C13189" s="138" t="str">
        <f t="shared" si="1161"/>
        <v>Without Amendment</v>
      </c>
      <c r="D13189" s="138" t="str">
        <f t="shared" si="1165"/>
        <v>Medium_Base</v>
      </c>
      <c r="E13189" s="138" t="str">
        <f t="shared" si="1162"/>
        <v>Low</v>
      </c>
      <c r="F13189" s="138" t="str">
        <f t="shared" si="1163"/>
        <v>Upgraded</v>
      </c>
      <c r="G13189" s="153"/>
      <c r="H13189" s="210">
        <v>0.1111</v>
      </c>
      <c r="I13189" s="160" t="s">
        <v>62</v>
      </c>
      <c r="J13189" s="160">
        <v>2.6700000000000001E-3</v>
      </c>
      <c r="K13189" s="160" t="s">
        <v>24</v>
      </c>
      <c r="L13189" s="154" t="str">
        <f>IF(OpenLCAbasic!K13189="CTUh", "Fill in Manually",IF(OR(K13189="Unit", K13189=""), "", INDEX(LookUps!$E$5:$E$12, MATCH(OpenLCAbasic!K13189,LookUps!$D$5:$D$12,0))))</f>
        <v>Acidification Potential (AP) - kg SO2 eq</v>
      </c>
      <c r="M13189" s="154" t="str">
        <f t="shared" si="1166"/>
        <v>Low_Medium_Base_Upgraded_Acidification Potential (AP) - kg SO2 eq_Land application of compost; wastewater treatment unit; at updated plant - US_Without Amendment_Aerated Static Pile</v>
      </c>
    </row>
    <row r="13190" spans="1:13" s="120" customFormat="1" x14ac:dyDescent="0.25">
      <c r="A13190" s="119"/>
      <c r="B13190" s="138" t="str">
        <f t="shared" si="1160"/>
        <v>Aerated Static Pile</v>
      </c>
      <c r="C13190" s="138" t="str">
        <f t="shared" si="1161"/>
        <v>Without Amendment</v>
      </c>
      <c r="D13190" s="138" t="str">
        <f t="shared" si="1165"/>
        <v>Medium_Base</v>
      </c>
      <c r="E13190" s="138" t="str">
        <f t="shared" si="1162"/>
        <v>Low</v>
      </c>
      <c r="F13190" s="138" t="str">
        <f t="shared" si="1163"/>
        <v>Upgraded</v>
      </c>
      <c r="G13190" s="153"/>
      <c r="H13190" s="210">
        <v>0.1052</v>
      </c>
      <c r="I13190" s="160" t="s">
        <v>167</v>
      </c>
      <c r="J13190" s="160">
        <v>2.5300000000000001E-3</v>
      </c>
      <c r="K13190" s="160" t="s">
        <v>24</v>
      </c>
      <c r="L13190" s="154" t="str">
        <f>IF(OpenLCAbasic!K13190="CTUh", "Fill in Manually",IF(OR(K13190="Unit", K13190=""), "", INDEX(LookUps!$E$5:$E$12, MATCH(OpenLCAbasic!K13190,LookUps!$D$5:$D$12,0))))</f>
        <v>Acidification Potential (AP) - kg SO2 eq</v>
      </c>
      <c r="M13190" s="154" t="str">
        <f t="shared" si="1166"/>
        <v>Low_Medium_Base_Upgraded_Acidification Potential (AP) - kg SO2 eq_Waste Receiving and Holding; wastewater treatment unit; at updated plant - US_Without Amendment_Aerated Static Pile</v>
      </c>
    </row>
    <row r="13191" spans="1:13" s="120" customFormat="1" x14ac:dyDescent="0.25">
      <c r="A13191" s="119"/>
      <c r="B13191" s="138" t="str">
        <f t="shared" si="1160"/>
        <v>Aerated Static Pile</v>
      </c>
      <c r="C13191" s="138" t="str">
        <f t="shared" si="1161"/>
        <v>Without Amendment</v>
      </c>
      <c r="D13191" s="138" t="str">
        <f t="shared" si="1165"/>
        <v>Medium_Base</v>
      </c>
      <c r="E13191" s="138" t="str">
        <f t="shared" si="1162"/>
        <v>Low</v>
      </c>
      <c r="F13191" s="138" t="str">
        <f t="shared" si="1163"/>
        <v>Upgraded</v>
      </c>
      <c r="G13191" s="153"/>
      <c r="H13191" s="210">
        <v>9.74E-2</v>
      </c>
      <c r="I13191" s="160" t="s">
        <v>435</v>
      </c>
      <c r="J13191" s="160">
        <v>2.3400000000000001E-3</v>
      </c>
      <c r="K13191" s="160" t="s">
        <v>24</v>
      </c>
      <c r="L13191" s="154" t="str">
        <f>IF(OpenLCAbasic!K13191="CTUh", "Fill in Manually",IF(OR(K13191="Unit", K13191=""), "", INDEX(LookUps!$E$5:$E$12, MATCH(OpenLCAbasic!K13191,LookUps!$D$5:$D$12,0))))</f>
        <v>Acidification Potential (AP) - kg SO2 eq</v>
      </c>
      <c r="M13191" s="154" t="str">
        <f t="shared" si="1166"/>
        <v>Low_Medium_Base_Upgraded_Acidification Potential (AP) - kg SO2 eq_Biosolids composting; aerated static pile; wastewater treatment unit; at updated plant - US_Without Amendment_Aerated Static Pile</v>
      </c>
    </row>
    <row r="13192" spans="1:13" s="120" customFormat="1" x14ac:dyDescent="0.25">
      <c r="A13192" s="119"/>
      <c r="B13192" s="138" t="str">
        <f t="shared" si="1160"/>
        <v>Aerated Static Pile</v>
      </c>
      <c r="C13192" s="138" t="str">
        <f t="shared" si="1161"/>
        <v>Without Amendment</v>
      </c>
      <c r="D13192" s="138" t="str">
        <f t="shared" si="1165"/>
        <v>Medium_Base</v>
      </c>
      <c r="E13192" s="138" t="str">
        <f t="shared" si="1162"/>
        <v>Low</v>
      </c>
      <c r="F13192" s="138" t="str">
        <f t="shared" si="1163"/>
        <v>Upgraded</v>
      </c>
      <c r="G13192" s="153"/>
      <c r="H13192" s="210">
        <v>8.5999999999999993E-2</v>
      </c>
      <c r="I13192" s="160" t="s">
        <v>147</v>
      </c>
      <c r="J13192" s="160">
        <v>2.0699999999999998E-3</v>
      </c>
      <c r="K13192" s="160" t="s">
        <v>24</v>
      </c>
      <c r="L13192" s="154" t="str">
        <f>IF(OpenLCAbasic!K13192="CTUh", "Fill in Manually",IF(OR(K13192="Unit", K13192=""), "", INDEX(LookUps!$E$5:$E$12, MATCH(OpenLCAbasic!K13192,LookUps!$D$5:$D$12,0))))</f>
        <v>Acidification Potential (AP) - kg SO2 eq</v>
      </c>
      <c r="M13192" s="154" t="str">
        <f t="shared" si="1166"/>
        <v>Low_Medium_Base_Upgraded_Acidification Potential (AP) - kg SO2 eq_Influent Pump Station; wastewater treatment unit; at updated plant - US_Without Amendment_Aerated Static Pile</v>
      </c>
    </row>
    <row r="13193" spans="1:13" s="120" customFormat="1" x14ac:dyDescent="0.25">
      <c r="A13193" s="119"/>
      <c r="B13193" s="138" t="str">
        <f t="shared" si="1160"/>
        <v>Aerated Static Pile</v>
      </c>
      <c r="C13193" s="138" t="str">
        <f t="shared" si="1161"/>
        <v>Without Amendment</v>
      </c>
      <c r="D13193" s="138" t="str">
        <f t="shared" si="1165"/>
        <v>Medium_Base</v>
      </c>
      <c r="E13193" s="138" t="str">
        <f t="shared" si="1162"/>
        <v>Low</v>
      </c>
      <c r="F13193" s="138" t="str">
        <f t="shared" si="1163"/>
        <v>Upgraded</v>
      </c>
      <c r="G13193" s="153"/>
      <c r="H13193" s="210">
        <v>5.1299999999999998E-2</v>
      </c>
      <c r="I13193" s="160" t="s">
        <v>128</v>
      </c>
      <c r="J13193" s="160">
        <v>1.23E-3</v>
      </c>
      <c r="K13193" s="160" t="s">
        <v>24</v>
      </c>
      <c r="L13193" s="154" t="str">
        <f>IF(OpenLCAbasic!K13193="CTUh", "Fill in Manually",IF(OR(K13193="Unit", K13193=""), "", INDEX(LookUps!$E$5:$E$12, MATCH(OpenLCAbasic!K13193,LookUps!$D$5:$D$12,0))))</f>
        <v>Acidification Potential (AP) - kg SO2 eq</v>
      </c>
      <c r="M13193" s="154" t="str">
        <f t="shared" si="1166"/>
        <v>Low_Medium_Base_Upgraded_Acidification Potential (AP) - kg SO2 eq_Wastewater collection; operation and infrastructure; m3 wastewater_Without Amendment_Aerated Static Pile</v>
      </c>
    </row>
    <row r="13194" spans="1:13" s="120" customFormat="1" x14ac:dyDescent="0.25">
      <c r="A13194" s="119"/>
      <c r="B13194" s="138" t="str">
        <f t="shared" si="1160"/>
        <v>Aerated Static Pile</v>
      </c>
      <c r="C13194" s="138" t="str">
        <f t="shared" si="1161"/>
        <v>Without Amendment</v>
      </c>
      <c r="D13194" s="138" t="str">
        <f t="shared" si="1165"/>
        <v>Medium_Base</v>
      </c>
      <c r="E13194" s="138" t="str">
        <f t="shared" si="1162"/>
        <v>Low</v>
      </c>
      <c r="F13194" s="138" t="str">
        <f t="shared" si="1163"/>
        <v>Upgraded</v>
      </c>
      <c r="G13194" s="153"/>
      <c r="H13194" s="210">
        <v>4.4299999999999999E-2</v>
      </c>
      <c r="I13194" s="160" t="s">
        <v>60</v>
      </c>
      <c r="J13194" s="160">
        <v>1.07E-3</v>
      </c>
      <c r="K13194" s="160" t="s">
        <v>24</v>
      </c>
      <c r="L13194" s="154" t="str">
        <f>IF(OpenLCAbasic!K13194="CTUh", "Fill in Manually",IF(OR(K13194="Unit", K13194=""), "", INDEX(LookUps!$E$5:$E$12, MATCH(OpenLCAbasic!K13194,LookUps!$D$5:$D$12,0))))</f>
        <v>Acidification Potential (AP) - kg SO2 eq</v>
      </c>
      <c r="M13194" s="154" t="str">
        <f t="shared" si="1166"/>
        <v>Low_Medium_Base_Upgraded_Acidification Potential (AP) - kg SO2 eq_Belt filter press; wastewater treatment unit; at updated plant - US_Without Amendment_Aerated Static Pile</v>
      </c>
    </row>
    <row r="13195" spans="1:13" s="120" customFormat="1" x14ac:dyDescent="0.25">
      <c r="A13195" s="119"/>
      <c r="B13195" s="138" t="str">
        <f t="shared" si="1160"/>
        <v>Aerated Static Pile</v>
      </c>
      <c r="C13195" s="138" t="str">
        <f t="shared" si="1161"/>
        <v>Without Amendment</v>
      </c>
      <c r="D13195" s="138" t="str">
        <f t="shared" si="1165"/>
        <v>Medium_Base</v>
      </c>
      <c r="E13195" s="138" t="str">
        <f t="shared" si="1162"/>
        <v>Low</v>
      </c>
      <c r="F13195" s="138" t="str">
        <f t="shared" si="1163"/>
        <v>Upgraded</v>
      </c>
      <c r="G13195" s="153"/>
      <c r="H13195" s="210">
        <v>2.93E-2</v>
      </c>
      <c r="I13195" s="160" t="s">
        <v>57</v>
      </c>
      <c r="J13195" s="160">
        <v>6.9999999999999999E-4</v>
      </c>
      <c r="K13195" s="160" t="s">
        <v>24</v>
      </c>
      <c r="L13195" s="154" t="str">
        <f>IF(OpenLCAbasic!K13195="CTUh", "Fill in Manually",IF(OR(K13195="Unit", K13195=""), "", INDEX(LookUps!$E$5:$E$12, MATCH(OpenLCAbasic!K13195,LookUps!$D$5:$D$12,0))))</f>
        <v>Acidification Potential (AP) - kg SO2 eq</v>
      </c>
      <c r="M13195" s="154" t="str">
        <f t="shared" si="1166"/>
        <v>Low_Medium_Base_Upgraded_Acidification Potential (AP) - kg SO2 eq_Gravity Belt Thickener; wastewater treatment unit; at updated plant - US_Without Amendment_Aerated Static Pile</v>
      </c>
    </row>
    <row r="13196" spans="1:13" s="120" customFormat="1" x14ac:dyDescent="0.25">
      <c r="A13196" s="119"/>
      <c r="B13196" s="138" t="str">
        <f t="shared" si="1160"/>
        <v>Aerated Static Pile</v>
      </c>
      <c r="C13196" s="138" t="str">
        <f t="shared" si="1161"/>
        <v>Without Amendment</v>
      </c>
      <c r="D13196" s="138" t="str">
        <f t="shared" si="1165"/>
        <v>Medium_Base</v>
      </c>
      <c r="E13196" s="138" t="str">
        <f t="shared" si="1162"/>
        <v>Low</v>
      </c>
      <c r="F13196" s="138" t="str">
        <f t="shared" si="1163"/>
        <v>Upgraded</v>
      </c>
      <c r="G13196" s="153"/>
      <c r="H13196" s="210">
        <v>2.1499999999999998E-2</v>
      </c>
      <c r="I13196" s="160" t="s">
        <v>59</v>
      </c>
      <c r="J13196" s="160">
        <v>5.1999999999999995E-4</v>
      </c>
      <c r="K13196" s="160" t="s">
        <v>24</v>
      </c>
      <c r="L13196" s="154" t="str">
        <f>IF(OpenLCAbasic!K13196="CTUh", "Fill in Manually",IF(OR(K13196="Unit", K13196=""), "", INDEX(LookUps!$E$5:$E$12, MATCH(OpenLCAbasic!K13196,LookUps!$D$5:$D$12,0))))</f>
        <v>Acidification Potential (AP) - kg SO2 eq</v>
      </c>
      <c r="M13196" s="154" t="str">
        <f t="shared" si="1166"/>
        <v>Low_Medium_Base_Upgraded_Acidification Potential (AP) - kg SO2 eq_Blend Tank; wastewater treatment unit; at updated plant - US_Without Amendment_Aerated Static Pile</v>
      </c>
    </row>
    <row r="13197" spans="1:13" s="120" customFormat="1" x14ac:dyDescent="0.25">
      <c r="A13197" s="119"/>
      <c r="B13197" s="138" t="str">
        <f t="shared" si="1160"/>
        <v>Aerated Static Pile</v>
      </c>
      <c r="C13197" s="138" t="str">
        <f t="shared" si="1161"/>
        <v>Without Amendment</v>
      </c>
      <c r="D13197" s="138" t="str">
        <f t="shared" si="1165"/>
        <v>Medium_Base</v>
      </c>
      <c r="E13197" s="138" t="str">
        <f t="shared" si="1162"/>
        <v>Low</v>
      </c>
      <c r="F13197" s="138" t="str">
        <f t="shared" si="1163"/>
        <v>Upgraded</v>
      </c>
      <c r="G13197" s="153"/>
      <c r="H13197" s="210">
        <v>1.44E-2</v>
      </c>
      <c r="I13197" s="160" t="s">
        <v>48</v>
      </c>
      <c r="J13197" s="160">
        <v>3.5E-4</v>
      </c>
      <c r="K13197" s="160" t="s">
        <v>24</v>
      </c>
      <c r="L13197" s="154" t="str">
        <f>IF(OpenLCAbasic!K13197="CTUh", "Fill in Manually",IF(OR(K13197="Unit", K13197=""), "", INDEX(LookUps!$E$5:$E$12, MATCH(OpenLCAbasic!K13197,LookUps!$D$5:$D$12,0))))</f>
        <v>Acidification Potential (AP) - kg SO2 eq</v>
      </c>
      <c r="M13197" s="154" t="str">
        <f t="shared" si="1166"/>
        <v>Low_Medium_Base_Upgraded_Acidification Potential (AP) - kg SO2 eq_Effluent release; wastewater treatment unit; at surface water; m3 wastewater - US_Without Amendment_Aerated Static Pile</v>
      </c>
    </row>
    <row r="13198" spans="1:13" s="120" customFormat="1" x14ac:dyDescent="0.25">
      <c r="A13198" s="119"/>
      <c r="B13198" s="138" t="str">
        <f t="shared" si="1160"/>
        <v>Aerated Static Pile</v>
      </c>
      <c r="C13198" s="138" t="str">
        <f t="shared" si="1161"/>
        <v>Without Amendment</v>
      </c>
      <c r="D13198" s="138" t="str">
        <f t="shared" si="1165"/>
        <v>Medium_Base</v>
      </c>
      <c r="E13198" s="138" t="str">
        <f t="shared" si="1162"/>
        <v>Low</v>
      </c>
      <c r="F13198" s="138" t="str">
        <f t="shared" si="1163"/>
        <v>Upgraded</v>
      </c>
      <c r="G13198" s="153"/>
      <c r="H13198" s="210">
        <v>1.06E-2</v>
      </c>
      <c r="I13198" s="160" t="s">
        <v>168</v>
      </c>
      <c r="J13198" s="160">
        <v>2.5999999999999998E-4</v>
      </c>
      <c r="K13198" s="160" t="s">
        <v>24</v>
      </c>
      <c r="L13198" s="154" t="str">
        <f>IF(OpenLCAbasic!K13198="CTUh", "Fill in Manually",IF(OR(K13198="Unit", K13198=""), "", INDEX(LookUps!$E$5:$E$12, MATCH(OpenLCAbasic!K13198,LookUps!$D$5:$D$12,0))))</f>
        <v>Acidification Potential (AP) - kg SO2 eq</v>
      </c>
      <c r="M13198" s="154" t="str">
        <f t="shared" si="1166"/>
        <v>Low_Medium_Base_Upgraded_Acidification Potential (AP) - kg SO2 eq_ClearCove SCP; wastewater treatment unit; at updated plant - US_Without Amendment_Aerated Static Pile</v>
      </c>
    </row>
    <row r="13199" spans="1:13" s="120" customFormat="1" x14ac:dyDescent="0.25">
      <c r="A13199" s="119"/>
      <c r="B13199" s="138" t="str">
        <f t="shared" si="1160"/>
        <v>Aerated Static Pile</v>
      </c>
      <c r="C13199" s="138" t="str">
        <f t="shared" si="1161"/>
        <v>Without Amendment</v>
      </c>
      <c r="D13199" s="138" t="str">
        <f t="shared" si="1165"/>
        <v>Medium_Base</v>
      </c>
      <c r="E13199" s="138" t="str">
        <f t="shared" si="1162"/>
        <v>Low</v>
      </c>
      <c r="F13199" s="138" t="str">
        <f t="shared" si="1163"/>
        <v>Upgraded</v>
      </c>
      <c r="G13199" s="153"/>
      <c r="H13199" s="210">
        <v>1.6999999999999999E-3</v>
      </c>
      <c r="I13199" s="160" t="s">
        <v>148</v>
      </c>
      <c r="J13199" s="211">
        <v>4.0354700000000002E-5</v>
      </c>
      <c r="K13199" s="160" t="s">
        <v>24</v>
      </c>
      <c r="L13199" s="154" t="str">
        <f>IF(OpenLCAbasic!K13199="CTUh", "Fill in Manually",IF(OR(K13199="Unit", K13199=""), "", INDEX(LookUps!$E$5:$E$12, MATCH(OpenLCAbasic!K13199,LookUps!$D$5:$D$12,0))))</f>
        <v>Acidification Potential (AP) - kg SO2 eq</v>
      </c>
      <c r="M13199" s="154" t="str">
        <f t="shared" si="1166"/>
        <v>Low_Medium_Base_Upgraded_Acidification Potential (AP) - kg SO2 eq_Control Building; at upgraded wastewater treatment plant - US_Without Amendment_Aerated Static Pile</v>
      </c>
    </row>
    <row r="13200" spans="1:13" s="120" customFormat="1" x14ac:dyDescent="0.25">
      <c r="A13200" s="119"/>
      <c r="B13200" s="138" t="str">
        <f t="shared" si="1160"/>
        <v>Aerated Static Pile</v>
      </c>
      <c r="C13200" s="138" t="str">
        <f t="shared" si="1161"/>
        <v>Without Amendment</v>
      </c>
      <c r="D13200" s="138" t="str">
        <f t="shared" si="1165"/>
        <v>Medium_Base</v>
      </c>
      <c r="E13200" s="138" t="str">
        <f t="shared" si="1162"/>
        <v>Low</v>
      </c>
      <c r="F13200" s="138" t="str">
        <f t="shared" si="1163"/>
        <v>Upgraded</v>
      </c>
      <c r="G13200" s="153"/>
      <c r="H13200" s="210">
        <v>-0.81969999999999998</v>
      </c>
      <c r="I13200" s="160" t="s">
        <v>149</v>
      </c>
      <c r="J13200" s="160">
        <v>-1.9720000000000001E-2</v>
      </c>
      <c r="K13200" s="160" t="s">
        <v>24</v>
      </c>
      <c r="L13200" s="154" t="str">
        <f>IF(OpenLCAbasic!K13200="CTUh", "Fill in Manually",IF(OR(K13200="Unit", K13200=""), "", INDEX(LookUps!$E$5:$E$12, MATCH(OpenLCAbasic!K13200,LookUps!$D$5:$D$12,0))))</f>
        <v>Acidification Potential (AP) - kg SO2 eq</v>
      </c>
      <c r="M13200" s="154" t="str">
        <f t="shared" si="1166"/>
        <v>Low_Medium_Base_Upgraded_Acidification Potential (AP) - kg SO2 eq_Anaerobic Digestion; wastewater treatment unit; at updated plant - US_Without Amendment_Aerated Static Pile</v>
      </c>
    </row>
    <row r="13201" spans="1:13" s="120" customFormat="1" x14ac:dyDescent="0.25">
      <c r="A13201" s="119"/>
      <c r="B13201" s="138" t="str">
        <f t="shared" si="1160"/>
        <v/>
      </c>
      <c r="C13201" s="138" t="str">
        <f t="shared" si="1161"/>
        <v/>
      </c>
      <c r="D13201" s="138" t="str">
        <f t="shared" si="1165"/>
        <v/>
      </c>
      <c r="E13201" s="138" t="str">
        <f t="shared" si="1162"/>
        <v/>
      </c>
      <c r="F13201" s="138" t="str">
        <f t="shared" si="1163"/>
        <v/>
      </c>
      <c r="G13201" s="153" t="s">
        <v>51</v>
      </c>
      <c r="H13201" s="160"/>
      <c r="I13201" s="160" t="s">
        <v>47</v>
      </c>
      <c r="J13201" s="160" t="s">
        <v>52</v>
      </c>
      <c r="K13201" s="160" t="s">
        <v>27</v>
      </c>
      <c r="L13201" s="154" t="str">
        <f>IF(OpenLCAbasic!K13201="CTUh", "Fill in Manually",IF(OR(K13201="Unit", K13201=""), "", INDEX(LookUps!$E$5:$E$12, MATCH(OpenLCAbasic!K13201,LookUps!$D$5:$D$12,0))))</f>
        <v/>
      </c>
      <c r="M13201" s="154" t="str">
        <f t="shared" si="1166"/>
        <v>____Process__</v>
      </c>
    </row>
    <row r="13202" spans="1:13" s="120" customFormat="1" x14ac:dyDescent="0.25">
      <c r="A13202" s="119"/>
      <c r="B13202" s="138" t="str">
        <f t="shared" si="1160"/>
        <v>Aerated Static Pile</v>
      </c>
      <c r="C13202" s="138" t="str">
        <f t="shared" si="1161"/>
        <v>Without Amendment</v>
      </c>
      <c r="D13202" s="138" t="str">
        <f t="shared" si="1165"/>
        <v>Medium_Base</v>
      </c>
      <c r="E13202" s="138" t="str">
        <f t="shared" si="1162"/>
        <v>Low</v>
      </c>
      <c r="F13202" s="138" t="str">
        <f t="shared" si="1163"/>
        <v>Upgraded</v>
      </c>
      <c r="G13202" s="153"/>
      <c r="H13202" s="210">
        <v>0.98360000000000003</v>
      </c>
      <c r="I13202" s="160" t="s">
        <v>167</v>
      </c>
      <c r="J13202" s="160">
        <v>4.2789599999999997</v>
      </c>
      <c r="K13202" s="160" t="s">
        <v>15</v>
      </c>
      <c r="L13202" s="154" t="str">
        <f>IF(OpenLCAbasic!K13202="CTUh", "Fill in Manually",IF(OR(K13202="Unit", K13202=""), "", INDEX(LookUps!$E$5:$E$12, MATCH(OpenLCAbasic!K13202,LookUps!$D$5:$D$12,0))))</f>
        <v>Cumulative Energy Demand (CED) - MJ</v>
      </c>
      <c r="M13202" s="154" t="str">
        <f t="shared" si="1166"/>
        <v>Low_Medium_Base_Upgraded_Cumulative Energy Demand (CED) - MJ_Waste Receiving and Holding; wastewater treatment unit; at updated plant - US_Without Amendment_Aerated Static Pile</v>
      </c>
    </row>
    <row r="13203" spans="1:13" s="120" customFormat="1" x14ac:dyDescent="0.25">
      <c r="A13203" s="119"/>
      <c r="B13203" s="138" t="str">
        <f t="shared" si="1160"/>
        <v>Aerated Static Pile</v>
      </c>
      <c r="C13203" s="138" t="str">
        <f t="shared" si="1161"/>
        <v>Without Amendment</v>
      </c>
      <c r="D13203" s="138" t="str">
        <f t="shared" si="1165"/>
        <v>Medium_Base</v>
      </c>
      <c r="E13203" s="138" t="str">
        <f t="shared" si="1162"/>
        <v>Low</v>
      </c>
      <c r="F13203" s="138" t="str">
        <f t="shared" si="1163"/>
        <v>Upgraded</v>
      </c>
      <c r="G13203" s="153"/>
      <c r="H13203" s="210">
        <v>0.81220000000000003</v>
      </c>
      <c r="I13203" s="160" t="s">
        <v>55</v>
      </c>
      <c r="J13203" s="160">
        <v>3.5330499999999998</v>
      </c>
      <c r="K13203" s="160" t="s">
        <v>15</v>
      </c>
      <c r="L13203" s="154" t="str">
        <f>IF(OpenLCAbasic!K13203="CTUh", "Fill in Manually",IF(OR(K13203="Unit", K13203=""), "", INDEX(LookUps!$E$5:$E$12, MATCH(OpenLCAbasic!K13203,LookUps!$D$5:$D$12,0))))</f>
        <v>Cumulative Energy Demand (CED) - MJ</v>
      </c>
      <c r="M13203" s="154" t="str">
        <f t="shared" si="1166"/>
        <v>Low_Medium_Base_Upgraded_Cumulative Energy Demand (CED) - MJ_Aeration Tanks; wastewater treatment unit; at updated plant - US_Without Amendment_Aerated Static Pile</v>
      </c>
    </row>
    <row r="13204" spans="1:13" s="120" customFormat="1" x14ac:dyDescent="0.25">
      <c r="A13204" s="119"/>
      <c r="B13204" s="138" t="str">
        <f t="shared" si="1160"/>
        <v>Aerated Static Pile</v>
      </c>
      <c r="C13204" s="138" t="str">
        <f t="shared" si="1161"/>
        <v>Without Amendment</v>
      </c>
      <c r="D13204" s="138" t="str">
        <f t="shared" si="1165"/>
        <v>Medium_Base</v>
      </c>
      <c r="E13204" s="138" t="str">
        <f t="shared" si="1162"/>
        <v>Low</v>
      </c>
      <c r="F13204" s="138" t="str">
        <f t="shared" si="1163"/>
        <v>Upgraded</v>
      </c>
      <c r="G13204" s="153"/>
      <c r="H13204" s="210">
        <v>0.26729999999999998</v>
      </c>
      <c r="I13204" s="160" t="s">
        <v>54</v>
      </c>
      <c r="J13204" s="160">
        <v>1.16289</v>
      </c>
      <c r="K13204" s="160" t="s">
        <v>15</v>
      </c>
      <c r="L13204" s="154" t="str">
        <f>IF(OpenLCAbasic!K13204="CTUh", "Fill in Manually",IF(OR(K13204="Unit", K13204=""), "", INDEX(LookUps!$E$5:$E$12, MATCH(OpenLCAbasic!K13204,LookUps!$D$5:$D$12,0))))</f>
        <v>Cumulative Energy Demand (CED) - MJ</v>
      </c>
      <c r="M13204" s="154" t="str">
        <f t="shared" si="1166"/>
        <v>Low_Medium_Base_Upgraded_Cumulative Energy Demand (CED) - MJ_Clear Cove Primary Clarification; wastewater treatment unit; at updated plant - US_Without Amendment_Aerated Static Pile</v>
      </c>
    </row>
    <row r="13205" spans="1:13" s="120" customFormat="1" x14ac:dyDescent="0.25">
      <c r="A13205" s="119"/>
      <c r="B13205" s="138" t="str">
        <f t="shared" si="1160"/>
        <v>Aerated Static Pile</v>
      </c>
      <c r="C13205" s="138" t="str">
        <f t="shared" si="1161"/>
        <v>Without Amendment</v>
      </c>
      <c r="D13205" s="138" t="str">
        <f t="shared" si="1165"/>
        <v>Medium_Base</v>
      </c>
      <c r="E13205" s="138" t="str">
        <f t="shared" si="1162"/>
        <v>Low</v>
      </c>
      <c r="F13205" s="138" t="str">
        <f t="shared" si="1163"/>
        <v>Upgraded</v>
      </c>
      <c r="G13205" s="153"/>
      <c r="H13205" s="210">
        <v>0.2039</v>
      </c>
      <c r="I13205" s="160" t="s">
        <v>58</v>
      </c>
      <c r="J13205" s="160">
        <v>0.88705000000000001</v>
      </c>
      <c r="K13205" s="160" t="s">
        <v>15</v>
      </c>
      <c r="L13205" s="154" t="str">
        <f>IF(OpenLCAbasic!K13205="CTUh", "Fill in Manually",IF(OR(K13205="Unit", K13205=""), "", INDEX(LookUps!$E$5:$E$12, MATCH(OpenLCAbasic!K13205,LookUps!$D$5:$D$12,0))))</f>
        <v>Cumulative Energy Demand (CED) - MJ</v>
      </c>
      <c r="M13205" s="154" t="str">
        <f t="shared" si="1166"/>
        <v>Low_Medium_Base_Upgraded_Cumulative Energy Demand (CED) - MJ_Pre-Anoxic &amp; Swing tank; wastewater treatment unit; at updated plant - US_Without Amendment_Aerated Static Pile</v>
      </c>
    </row>
    <row r="13206" spans="1:13" s="120" customFormat="1" x14ac:dyDescent="0.25">
      <c r="A13206" s="119"/>
      <c r="B13206" s="138" t="str">
        <f t="shared" si="1160"/>
        <v>Aerated Static Pile</v>
      </c>
      <c r="C13206" s="138" t="str">
        <f t="shared" si="1161"/>
        <v>Without Amendment</v>
      </c>
      <c r="D13206" s="138" t="str">
        <f t="shared" si="1165"/>
        <v>Medium_Base</v>
      </c>
      <c r="E13206" s="138" t="str">
        <f t="shared" si="1162"/>
        <v>Low</v>
      </c>
      <c r="F13206" s="138" t="str">
        <f t="shared" si="1163"/>
        <v>Upgraded</v>
      </c>
      <c r="G13206" s="153"/>
      <c r="H13206" s="210">
        <v>0.20300000000000001</v>
      </c>
      <c r="I13206" s="160" t="s">
        <v>147</v>
      </c>
      <c r="J13206" s="160">
        <v>0.88297000000000003</v>
      </c>
      <c r="K13206" s="160" t="s">
        <v>15</v>
      </c>
      <c r="L13206" s="154" t="str">
        <f>IF(OpenLCAbasic!K13206="CTUh", "Fill in Manually",IF(OR(K13206="Unit", K13206=""), "", INDEX(LookUps!$E$5:$E$12, MATCH(OpenLCAbasic!K13206,LookUps!$D$5:$D$12,0))))</f>
        <v>Cumulative Energy Demand (CED) - MJ</v>
      </c>
      <c r="M13206" s="154" t="str">
        <f t="shared" si="1166"/>
        <v>Low_Medium_Base_Upgraded_Cumulative Energy Demand (CED) - MJ_Influent Pump Station; wastewater treatment unit; at updated plant - US_Without Amendment_Aerated Static Pile</v>
      </c>
    </row>
    <row r="13207" spans="1:13" s="120" customFormat="1" x14ac:dyDescent="0.25">
      <c r="A13207" s="119"/>
      <c r="B13207" s="138" t="str">
        <f t="shared" si="1160"/>
        <v>Aerated Static Pile</v>
      </c>
      <c r="C13207" s="138" t="str">
        <f t="shared" si="1161"/>
        <v>Without Amendment</v>
      </c>
      <c r="D13207" s="138" t="str">
        <f t="shared" si="1165"/>
        <v>Medium_Base</v>
      </c>
      <c r="E13207" s="138" t="str">
        <f t="shared" si="1162"/>
        <v>Low</v>
      </c>
      <c r="F13207" s="138" t="str">
        <f t="shared" si="1163"/>
        <v>Upgraded</v>
      </c>
      <c r="G13207" s="153"/>
      <c r="H13207" s="210">
        <v>0.16009999999999999</v>
      </c>
      <c r="I13207" s="160" t="s">
        <v>53</v>
      </c>
      <c r="J13207" s="160">
        <v>0.69645000000000001</v>
      </c>
      <c r="K13207" s="160" t="s">
        <v>15</v>
      </c>
      <c r="L13207" s="154" t="str">
        <f>IF(OpenLCAbasic!K13207="CTUh", "Fill in Manually",IF(OR(K13207="Unit", K13207=""), "", INDEX(LookUps!$E$5:$E$12, MATCH(OpenLCAbasic!K13207,LookUps!$D$5:$D$12,0))))</f>
        <v>Cumulative Energy Demand (CED) - MJ</v>
      </c>
      <c r="M13207" s="154" t="str">
        <f t="shared" si="1166"/>
        <v>Low_Medium_Base_Upgraded_Cumulative Energy Demand (CED) - MJ_Wet Well and Sump Station; wastewater treatment unit; at updated plant - US_Without Amendment_Aerated Static Pile</v>
      </c>
    </row>
    <row r="13208" spans="1:13" s="120" customFormat="1" x14ac:dyDescent="0.25">
      <c r="A13208" s="119"/>
      <c r="B13208" s="138" t="str">
        <f t="shared" si="1160"/>
        <v>Aerated Static Pile</v>
      </c>
      <c r="C13208" s="138" t="str">
        <f t="shared" si="1161"/>
        <v>Without Amendment</v>
      </c>
      <c r="D13208" s="138" t="str">
        <f t="shared" si="1165"/>
        <v>Medium_Base</v>
      </c>
      <c r="E13208" s="138" t="str">
        <f t="shared" si="1162"/>
        <v>Low</v>
      </c>
      <c r="F13208" s="138" t="str">
        <f t="shared" si="1163"/>
        <v>Upgraded</v>
      </c>
      <c r="G13208" s="153"/>
      <c r="H13208" s="210">
        <v>0.1104</v>
      </c>
      <c r="I13208" s="160" t="s">
        <v>435</v>
      </c>
      <c r="J13208" s="160">
        <v>0.48025000000000001</v>
      </c>
      <c r="K13208" s="160" t="s">
        <v>15</v>
      </c>
      <c r="L13208" s="154" t="str">
        <f>IF(OpenLCAbasic!K13208="CTUh", "Fill in Manually",IF(OR(K13208="Unit", K13208=""), "", INDEX(LookUps!$E$5:$E$12, MATCH(OpenLCAbasic!K13208,LookUps!$D$5:$D$12,0))))</f>
        <v>Cumulative Energy Demand (CED) - MJ</v>
      </c>
      <c r="M13208" s="154" t="str">
        <f t="shared" si="1166"/>
        <v>Low_Medium_Base_Upgraded_Cumulative Energy Demand (CED) - MJ_Biosolids composting; aerated static pile; wastewater treatment unit; at updated plant - US_Without Amendment_Aerated Static Pile</v>
      </c>
    </row>
    <row r="13209" spans="1:13" s="120" customFormat="1" x14ac:dyDescent="0.25">
      <c r="A13209" s="119"/>
      <c r="B13209" s="138" t="str">
        <f t="shared" si="1160"/>
        <v>Aerated Static Pile</v>
      </c>
      <c r="C13209" s="138" t="str">
        <f t="shared" si="1161"/>
        <v>Without Amendment</v>
      </c>
      <c r="D13209" s="138" t="str">
        <f t="shared" si="1165"/>
        <v>Medium_Base</v>
      </c>
      <c r="E13209" s="138" t="str">
        <f t="shared" si="1162"/>
        <v>Low</v>
      </c>
      <c r="F13209" s="138" t="str">
        <f t="shared" si="1163"/>
        <v>Upgraded</v>
      </c>
      <c r="G13209" s="153"/>
      <c r="H13209" s="210">
        <v>9.1499999999999998E-2</v>
      </c>
      <c r="I13209" s="160" t="s">
        <v>60</v>
      </c>
      <c r="J13209" s="160">
        <v>0.39804</v>
      </c>
      <c r="K13209" s="160" t="s">
        <v>15</v>
      </c>
      <c r="L13209" s="154" t="str">
        <f>IF(OpenLCAbasic!K13209="CTUh", "Fill in Manually",IF(OR(K13209="Unit", K13209=""), "", INDEX(LookUps!$E$5:$E$12, MATCH(OpenLCAbasic!K13209,LookUps!$D$5:$D$12,0))))</f>
        <v>Cumulative Energy Demand (CED) - MJ</v>
      </c>
      <c r="M13209" s="154" t="str">
        <f t="shared" si="1166"/>
        <v>Low_Medium_Base_Upgraded_Cumulative Energy Demand (CED) - MJ_Belt filter press; wastewater treatment unit; at updated plant - US_Without Amendment_Aerated Static Pile</v>
      </c>
    </row>
    <row r="13210" spans="1:13" s="120" customFormat="1" x14ac:dyDescent="0.25">
      <c r="A13210" s="119"/>
      <c r="B13210" s="138" t="str">
        <f t="shared" si="1160"/>
        <v>Aerated Static Pile</v>
      </c>
      <c r="C13210" s="138" t="str">
        <f t="shared" si="1161"/>
        <v>Without Amendment</v>
      </c>
      <c r="D13210" s="138" t="str">
        <f t="shared" si="1165"/>
        <v>Medium_Base</v>
      </c>
      <c r="E13210" s="138" t="str">
        <f t="shared" si="1162"/>
        <v>Low</v>
      </c>
      <c r="F13210" s="138" t="str">
        <f t="shared" si="1163"/>
        <v>Upgraded</v>
      </c>
      <c r="G13210" s="153"/>
      <c r="H13210" s="210">
        <v>7.6799999999999993E-2</v>
      </c>
      <c r="I13210" s="160" t="s">
        <v>57</v>
      </c>
      <c r="J13210" s="160">
        <v>0.33404</v>
      </c>
      <c r="K13210" s="160" t="s">
        <v>15</v>
      </c>
      <c r="L13210" s="154" t="str">
        <f>IF(OpenLCAbasic!K13210="CTUh", "Fill in Manually",IF(OR(K13210="Unit", K13210=""), "", INDEX(LookUps!$E$5:$E$12, MATCH(OpenLCAbasic!K13210,LookUps!$D$5:$D$12,0))))</f>
        <v>Cumulative Energy Demand (CED) - MJ</v>
      </c>
      <c r="M13210" s="154" t="str">
        <f t="shared" si="1166"/>
        <v>Low_Medium_Base_Upgraded_Cumulative Energy Demand (CED) - MJ_Gravity Belt Thickener; wastewater treatment unit; at updated plant - US_Without Amendment_Aerated Static Pile</v>
      </c>
    </row>
    <row r="13211" spans="1:13" s="120" customFormat="1" x14ac:dyDescent="0.25">
      <c r="A13211" s="119"/>
      <c r="B13211" s="138" t="str">
        <f t="shared" si="1160"/>
        <v>Aerated Static Pile</v>
      </c>
      <c r="C13211" s="138" t="str">
        <f t="shared" si="1161"/>
        <v>Without Amendment</v>
      </c>
      <c r="D13211" s="138" t="str">
        <f t="shared" si="1165"/>
        <v>Medium_Base</v>
      </c>
      <c r="E13211" s="138" t="str">
        <f t="shared" si="1162"/>
        <v>Low</v>
      </c>
      <c r="F13211" s="138" t="str">
        <f t="shared" si="1163"/>
        <v>Upgraded</v>
      </c>
      <c r="G13211" s="153"/>
      <c r="H13211" s="210">
        <v>5.8900000000000001E-2</v>
      </c>
      <c r="I13211" s="160" t="s">
        <v>128</v>
      </c>
      <c r="J13211" s="160">
        <v>0.25606000000000001</v>
      </c>
      <c r="K13211" s="160" t="s">
        <v>15</v>
      </c>
      <c r="L13211" s="154" t="str">
        <f>IF(OpenLCAbasic!K13211="CTUh", "Fill in Manually",IF(OR(K13211="Unit", K13211=""), "", INDEX(LookUps!$E$5:$E$12, MATCH(OpenLCAbasic!K13211,LookUps!$D$5:$D$12,0))))</f>
        <v>Cumulative Energy Demand (CED) - MJ</v>
      </c>
      <c r="M13211" s="154" t="str">
        <f t="shared" si="1166"/>
        <v>Low_Medium_Base_Upgraded_Cumulative Energy Demand (CED) - MJ_Wastewater collection; operation and infrastructure; m3 wastewater_Without Amendment_Aerated Static Pile</v>
      </c>
    </row>
    <row r="13212" spans="1:13" s="120" customFormat="1" x14ac:dyDescent="0.25">
      <c r="A13212" s="119"/>
      <c r="B13212" s="138" t="str">
        <f t="shared" si="1160"/>
        <v>Aerated Static Pile</v>
      </c>
      <c r="C13212" s="138" t="str">
        <f t="shared" si="1161"/>
        <v>Without Amendment</v>
      </c>
      <c r="D13212" s="138" t="str">
        <f t="shared" si="1165"/>
        <v>Medium_Base</v>
      </c>
      <c r="E13212" s="138" t="str">
        <f t="shared" si="1162"/>
        <v>Low</v>
      </c>
      <c r="F13212" s="138" t="str">
        <f t="shared" si="1163"/>
        <v>Upgraded</v>
      </c>
      <c r="G13212" s="153"/>
      <c r="H13212" s="210">
        <v>3.3599999999999998E-2</v>
      </c>
      <c r="I13212" s="160" t="s">
        <v>148</v>
      </c>
      <c r="J13212" s="160">
        <v>0.14599000000000001</v>
      </c>
      <c r="K13212" s="160" t="s">
        <v>15</v>
      </c>
      <c r="L13212" s="154" t="str">
        <f>IF(OpenLCAbasic!K13212="CTUh", "Fill in Manually",IF(OR(K13212="Unit", K13212=""), "", INDEX(LookUps!$E$5:$E$12, MATCH(OpenLCAbasic!K13212,LookUps!$D$5:$D$12,0))))</f>
        <v>Cumulative Energy Demand (CED) - MJ</v>
      </c>
      <c r="M13212" s="154" t="str">
        <f t="shared" si="1166"/>
        <v>Low_Medium_Base_Upgraded_Cumulative Energy Demand (CED) - MJ_Control Building; at upgraded wastewater treatment plant - US_Without Amendment_Aerated Static Pile</v>
      </c>
    </row>
    <row r="13213" spans="1:13" s="120" customFormat="1" x14ac:dyDescent="0.25">
      <c r="A13213" s="119"/>
      <c r="B13213" s="138" t="str">
        <f t="shared" si="1160"/>
        <v>Aerated Static Pile</v>
      </c>
      <c r="C13213" s="138" t="str">
        <f t="shared" si="1161"/>
        <v>Without Amendment</v>
      </c>
      <c r="D13213" s="138" t="str">
        <f t="shared" si="1165"/>
        <v>Medium_Base</v>
      </c>
      <c r="E13213" s="138" t="str">
        <f t="shared" si="1162"/>
        <v>Low</v>
      </c>
      <c r="F13213" s="138" t="str">
        <f t="shared" si="1163"/>
        <v>Upgraded</v>
      </c>
      <c r="G13213" s="153"/>
      <c r="H13213" s="210">
        <v>3.0599999999999999E-2</v>
      </c>
      <c r="I13213" s="160" t="s">
        <v>48</v>
      </c>
      <c r="J13213" s="160">
        <v>0.13321</v>
      </c>
      <c r="K13213" s="160" t="s">
        <v>15</v>
      </c>
      <c r="L13213" s="154" t="str">
        <f>IF(OpenLCAbasic!K13213="CTUh", "Fill in Manually",IF(OR(K13213="Unit", K13213=""), "", INDEX(LookUps!$E$5:$E$12, MATCH(OpenLCAbasic!K13213,LookUps!$D$5:$D$12,0))))</f>
        <v>Cumulative Energy Demand (CED) - MJ</v>
      </c>
      <c r="M13213" s="154" t="str">
        <f t="shared" si="1166"/>
        <v>Low_Medium_Base_Upgraded_Cumulative Energy Demand (CED) - MJ_Effluent release; wastewater treatment unit; at surface water; m3 wastewater - US_Without Amendment_Aerated Static Pile</v>
      </c>
    </row>
    <row r="13214" spans="1:13" s="120" customFormat="1" x14ac:dyDescent="0.25">
      <c r="A13214" s="119"/>
      <c r="B13214" s="138" t="str">
        <f t="shared" si="1160"/>
        <v>Aerated Static Pile</v>
      </c>
      <c r="C13214" s="138" t="str">
        <f t="shared" si="1161"/>
        <v>Without Amendment</v>
      </c>
      <c r="D13214" s="138" t="str">
        <f t="shared" si="1165"/>
        <v>Medium_Base</v>
      </c>
      <c r="E13214" s="138" t="str">
        <f t="shared" si="1162"/>
        <v>Low</v>
      </c>
      <c r="F13214" s="138" t="str">
        <f t="shared" si="1163"/>
        <v>Upgraded</v>
      </c>
      <c r="G13214" s="153"/>
      <c r="H13214" s="210">
        <v>2.4500000000000001E-2</v>
      </c>
      <c r="I13214" s="160" t="s">
        <v>59</v>
      </c>
      <c r="J13214" s="160">
        <v>0.10638</v>
      </c>
      <c r="K13214" s="160" t="s">
        <v>15</v>
      </c>
      <c r="L13214" s="154" t="str">
        <f>IF(OpenLCAbasic!K13214="CTUh", "Fill in Manually",IF(OR(K13214="Unit", K13214=""), "", INDEX(LookUps!$E$5:$E$12, MATCH(OpenLCAbasic!K13214,LookUps!$D$5:$D$12,0))))</f>
        <v>Cumulative Energy Demand (CED) - MJ</v>
      </c>
      <c r="M13214" s="154" t="str">
        <f t="shared" si="1166"/>
        <v>Low_Medium_Base_Upgraded_Cumulative Energy Demand (CED) - MJ_Blend Tank; wastewater treatment unit; at updated plant - US_Without Amendment_Aerated Static Pile</v>
      </c>
    </row>
    <row r="13215" spans="1:13" s="120" customFormat="1" x14ac:dyDescent="0.25">
      <c r="A13215" s="119"/>
      <c r="B13215" s="138" t="str">
        <f t="shared" si="1160"/>
        <v>Aerated Static Pile</v>
      </c>
      <c r="C13215" s="138" t="str">
        <f t="shared" si="1161"/>
        <v>Without Amendment</v>
      </c>
      <c r="D13215" s="138" t="str">
        <f t="shared" si="1165"/>
        <v>Medium_Base</v>
      </c>
      <c r="E13215" s="138" t="str">
        <f t="shared" si="1162"/>
        <v>Low</v>
      </c>
      <c r="F13215" s="138" t="str">
        <f t="shared" si="1163"/>
        <v>Upgraded</v>
      </c>
      <c r="G13215" s="153"/>
      <c r="H13215" s="210">
        <v>1.17E-2</v>
      </c>
      <c r="I13215" s="160" t="s">
        <v>168</v>
      </c>
      <c r="J13215" s="160">
        <v>5.0930000000000003E-2</v>
      </c>
      <c r="K13215" s="160" t="s">
        <v>15</v>
      </c>
      <c r="L13215" s="154" t="str">
        <f>IF(OpenLCAbasic!K13215="CTUh", "Fill in Manually",IF(OR(K13215="Unit", K13215=""), "", INDEX(LookUps!$E$5:$E$12, MATCH(OpenLCAbasic!K13215,LookUps!$D$5:$D$12,0))))</f>
        <v>Cumulative Energy Demand (CED) - MJ</v>
      </c>
      <c r="M13215" s="154" t="str">
        <f t="shared" si="1166"/>
        <v>Low_Medium_Base_Upgraded_Cumulative Energy Demand (CED) - MJ_ClearCove SCP; wastewater treatment unit; at updated plant - US_Without Amendment_Aerated Static Pile</v>
      </c>
    </row>
    <row r="13216" spans="1:13" s="120" customFormat="1" x14ac:dyDescent="0.25">
      <c r="A13216" s="119"/>
      <c r="B13216" s="138" t="str">
        <f t="shared" si="1160"/>
        <v>Aerated Static Pile</v>
      </c>
      <c r="C13216" s="138" t="str">
        <f t="shared" si="1161"/>
        <v>Without Amendment</v>
      </c>
      <c r="D13216" s="138" t="str">
        <f t="shared" si="1165"/>
        <v>Medium_Base</v>
      </c>
      <c r="E13216" s="138" t="str">
        <f t="shared" si="1162"/>
        <v>Low</v>
      </c>
      <c r="F13216" s="138" t="str">
        <f t="shared" si="1163"/>
        <v>Upgraded</v>
      </c>
      <c r="G13216" s="153"/>
      <c r="H13216" s="210">
        <v>-9.5899999999999999E-2</v>
      </c>
      <c r="I13216" s="160" t="s">
        <v>62</v>
      </c>
      <c r="J13216" s="160">
        <v>-0.41719000000000001</v>
      </c>
      <c r="K13216" s="160" t="s">
        <v>15</v>
      </c>
      <c r="L13216" s="154" t="str">
        <f>IF(OpenLCAbasic!K13216="CTUh", "Fill in Manually",IF(OR(K13216="Unit", K13216=""), "", INDEX(LookUps!$E$5:$E$12, MATCH(OpenLCAbasic!K13216,LookUps!$D$5:$D$12,0))))</f>
        <v>Cumulative Energy Demand (CED) - MJ</v>
      </c>
      <c r="M13216" s="154" t="str">
        <f t="shared" si="1166"/>
        <v>Low_Medium_Base_Upgraded_Cumulative Energy Demand (CED) - MJ_Land application of compost; wastewater treatment unit; at updated plant - US_Without Amendment_Aerated Static Pile</v>
      </c>
    </row>
    <row r="13217" spans="1:13" s="120" customFormat="1" x14ac:dyDescent="0.25">
      <c r="A13217" s="119"/>
      <c r="B13217" s="138" t="str">
        <f t="shared" si="1160"/>
        <v>Aerated Static Pile</v>
      </c>
      <c r="C13217" s="138" t="str">
        <f t="shared" si="1161"/>
        <v>Without Amendment</v>
      </c>
      <c r="D13217" s="138" t="str">
        <f t="shared" si="1165"/>
        <v>Medium_Base</v>
      </c>
      <c r="E13217" s="138" t="str">
        <f t="shared" si="1162"/>
        <v>Low</v>
      </c>
      <c r="F13217" s="138" t="str">
        <f t="shared" si="1163"/>
        <v>Upgraded</v>
      </c>
      <c r="G13217" s="153"/>
      <c r="H13217" s="210">
        <v>-1.9721</v>
      </c>
      <c r="I13217" s="160" t="s">
        <v>149</v>
      </c>
      <c r="J13217" s="160">
        <v>-8.5788899999999995</v>
      </c>
      <c r="K13217" s="160" t="s">
        <v>15</v>
      </c>
      <c r="L13217" s="154" t="str">
        <f>IF(OpenLCAbasic!K13217="CTUh", "Fill in Manually",IF(OR(K13217="Unit", K13217=""), "", INDEX(LookUps!$E$5:$E$12, MATCH(OpenLCAbasic!K13217,LookUps!$D$5:$D$12,0))))</f>
        <v>Cumulative Energy Demand (CED) - MJ</v>
      </c>
      <c r="M13217" s="154" t="str">
        <f t="shared" si="1166"/>
        <v>Low_Medium_Base_Upgraded_Cumulative Energy Demand (CED) - MJ_Anaerobic Digestion; wastewater treatment unit; at updated plant - US_Without Amendment_Aerated Static Pile</v>
      </c>
    </row>
    <row r="13218" spans="1:13" s="120" customFormat="1" x14ac:dyDescent="0.25">
      <c r="A13218" s="119"/>
      <c r="B13218" s="138" t="str">
        <f t="shared" si="1160"/>
        <v/>
      </c>
      <c r="C13218" s="138" t="str">
        <f t="shared" si="1161"/>
        <v/>
      </c>
      <c r="D13218" s="138" t="str">
        <f t="shared" si="1165"/>
        <v/>
      </c>
      <c r="E13218" s="138" t="str">
        <f t="shared" si="1162"/>
        <v/>
      </c>
      <c r="F13218" s="138" t="str">
        <f t="shared" si="1163"/>
        <v/>
      </c>
      <c r="G13218" s="153" t="s">
        <v>51</v>
      </c>
      <c r="H13218" s="160"/>
      <c r="I13218" s="160" t="s">
        <v>47</v>
      </c>
      <c r="J13218" s="160" t="s">
        <v>52</v>
      </c>
      <c r="K13218" s="160" t="s">
        <v>27</v>
      </c>
      <c r="L13218" s="154" t="str">
        <f>IF(OpenLCAbasic!K13218="CTUh", "Fill in Manually",IF(OR(K13218="Unit", K13218=""), "", INDEX(LookUps!$E$5:$E$12, MATCH(OpenLCAbasic!K13218,LookUps!$D$5:$D$12,0))))</f>
        <v/>
      </c>
      <c r="M13218" s="154" t="str">
        <f t="shared" si="1166"/>
        <v>____Process__</v>
      </c>
    </row>
    <row r="13219" spans="1:13" s="120" customFormat="1" x14ac:dyDescent="0.25">
      <c r="A13219" s="119"/>
      <c r="B13219" s="138" t="str">
        <f t="shared" si="1160"/>
        <v>Aerated Static Pile</v>
      </c>
      <c r="C13219" s="138" t="str">
        <f t="shared" si="1161"/>
        <v>Without Amendment</v>
      </c>
      <c r="D13219" s="138" t="str">
        <f t="shared" si="1165"/>
        <v>Medium_Base</v>
      </c>
      <c r="E13219" s="138" t="str">
        <f t="shared" si="1162"/>
        <v>Low</v>
      </c>
      <c r="F13219" s="138" t="str">
        <f t="shared" si="1163"/>
        <v>Upgraded</v>
      </c>
      <c r="G13219" s="153"/>
      <c r="H13219" s="210">
        <v>0.79679999999999995</v>
      </c>
      <c r="I13219" s="160" t="s">
        <v>48</v>
      </c>
      <c r="J13219" s="160">
        <v>1.1610000000000001E-2</v>
      </c>
      <c r="K13219" s="160" t="s">
        <v>13</v>
      </c>
      <c r="L13219" s="154" t="str">
        <f>IF(OpenLCAbasic!K13219="CTUh", "Fill in Manually",IF(OR(K13219="Unit", K13219=""), "", INDEX(LookUps!$E$5:$E$12, MATCH(OpenLCAbasic!K13219,LookUps!$D$5:$D$12,0))))</f>
        <v>Eutrophication Potential (EP) - kg N eq</v>
      </c>
      <c r="M13219" s="154" t="str">
        <f t="shared" si="1166"/>
        <v>Low_Medium_Base_Upgraded_Eutrophication Potential (EP) - kg N eq_Effluent release; wastewater treatment unit; at surface water; m3 wastewater - US_Without Amendment_Aerated Static Pile</v>
      </c>
    </row>
    <row r="13220" spans="1:13" s="120" customFormat="1" x14ac:dyDescent="0.25">
      <c r="A13220" s="119"/>
      <c r="B13220" s="138" t="str">
        <f t="shared" si="1160"/>
        <v>Aerated Static Pile</v>
      </c>
      <c r="C13220" s="138" t="str">
        <f t="shared" si="1161"/>
        <v>Without Amendment</v>
      </c>
      <c r="D13220" s="138" t="str">
        <f t="shared" si="1165"/>
        <v>Medium_Base</v>
      </c>
      <c r="E13220" s="138" t="str">
        <f t="shared" si="1162"/>
        <v>Low</v>
      </c>
      <c r="F13220" s="138" t="str">
        <f t="shared" si="1163"/>
        <v>Upgraded</v>
      </c>
      <c r="G13220" s="153"/>
      <c r="H13220" s="210">
        <v>0.127</v>
      </c>
      <c r="I13220" s="160" t="s">
        <v>62</v>
      </c>
      <c r="J13220" s="160">
        <v>1.8500000000000001E-3</v>
      </c>
      <c r="K13220" s="160" t="s">
        <v>13</v>
      </c>
      <c r="L13220" s="154" t="str">
        <f>IF(OpenLCAbasic!K13220="CTUh", "Fill in Manually",IF(OR(K13220="Unit", K13220=""), "", INDEX(LookUps!$E$5:$E$12, MATCH(OpenLCAbasic!K13220,LookUps!$D$5:$D$12,0))))</f>
        <v>Eutrophication Potential (EP) - kg N eq</v>
      </c>
      <c r="M13220" s="154" t="str">
        <f t="shared" si="1166"/>
        <v>Low_Medium_Base_Upgraded_Eutrophication Potential (EP) - kg N eq_Land application of compost; wastewater treatment unit; at updated plant - US_Without Amendment_Aerated Static Pile</v>
      </c>
    </row>
    <row r="13221" spans="1:13" s="120" customFormat="1" x14ac:dyDescent="0.25">
      <c r="A13221" s="119"/>
      <c r="B13221" s="138" t="str">
        <f t="shared" si="1160"/>
        <v>Aerated Static Pile</v>
      </c>
      <c r="C13221" s="138" t="str">
        <f t="shared" si="1161"/>
        <v>Without Amendment</v>
      </c>
      <c r="D13221" s="138" t="str">
        <f t="shared" si="1165"/>
        <v>Medium_Base</v>
      </c>
      <c r="E13221" s="138" t="str">
        <f t="shared" si="1162"/>
        <v>Low</v>
      </c>
      <c r="F13221" s="138" t="str">
        <f t="shared" si="1163"/>
        <v>Upgraded</v>
      </c>
      <c r="G13221" s="153"/>
      <c r="H13221" s="210">
        <v>3.7499999999999999E-2</v>
      </c>
      <c r="I13221" s="160" t="s">
        <v>55</v>
      </c>
      <c r="J13221" s="160">
        <v>5.5000000000000003E-4</v>
      </c>
      <c r="K13221" s="160" t="s">
        <v>13</v>
      </c>
      <c r="L13221" s="154" t="str">
        <f>IF(OpenLCAbasic!K13221="CTUh", "Fill in Manually",IF(OR(K13221="Unit", K13221=""), "", INDEX(LookUps!$E$5:$E$12, MATCH(OpenLCAbasic!K13221,LookUps!$D$5:$D$12,0))))</f>
        <v>Eutrophication Potential (EP) - kg N eq</v>
      </c>
      <c r="M13221" s="154" t="str">
        <f t="shared" si="1166"/>
        <v>Low_Medium_Base_Upgraded_Eutrophication Potential (EP) - kg N eq_Aeration Tanks; wastewater treatment unit; at updated plant - US_Without Amendment_Aerated Static Pile</v>
      </c>
    </row>
    <row r="13222" spans="1:13" s="120" customFormat="1" x14ac:dyDescent="0.25">
      <c r="A13222" s="119"/>
      <c r="B13222" s="138" t="str">
        <f t="shared" si="1160"/>
        <v>Aerated Static Pile</v>
      </c>
      <c r="C13222" s="138" t="str">
        <f t="shared" si="1161"/>
        <v>Without Amendment</v>
      </c>
      <c r="D13222" s="138" t="str">
        <f t="shared" si="1165"/>
        <v>Medium_Base</v>
      </c>
      <c r="E13222" s="138" t="str">
        <f t="shared" si="1162"/>
        <v>Low</v>
      </c>
      <c r="F13222" s="138" t="str">
        <f t="shared" si="1163"/>
        <v>Upgraded</v>
      </c>
      <c r="G13222" s="153"/>
      <c r="H13222" s="210">
        <v>1.7100000000000001E-2</v>
      </c>
      <c r="I13222" s="160" t="s">
        <v>147</v>
      </c>
      <c r="J13222" s="160">
        <v>2.5000000000000001E-4</v>
      </c>
      <c r="K13222" s="160" t="s">
        <v>13</v>
      </c>
      <c r="L13222" s="154" t="str">
        <f>IF(OpenLCAbasic!K13222="CTUh", "Fill in Manually",IF(OR(K13222="Unit", K13222=""), "", INDEX(LookUps!$E$5:$E$12, MATCH(OpenLCAbasic!K13222,LookUps!$D$5:$D$12,0))))</f>
        <v>Eutrophication Potential (EP) - kg N eq</v>
      </c>
      <c r="M13222" s="154" t="str">
        <f t="shared" si="1166"/>
        <v>Low_Medium_Base_Upgraded_Eutrophication Potential (EP) - kg N eq_Influent Pump Station; wastewater treatment unit; at updated plant - US_Without Amendment_Aerated Static Pile</v>
      </c>
    </row>
    <row r="13223" spans="1:13" s="120" customFormat="1" x14ac:dyDescent="0.25">
      <c r="A13223" s="119"/>
      <c r="B13223" s="138" t="str">
        <f t="shared" si="1160"/>
        <v>Aerated Static Pile</v>
      </c>
      <c r="C13223" s="138" t="str">
        <f t="shared" si="1161"/>
        <v>Without Amendment</v>
      </c>
      <c r="D13223" s="138" t="str">
        <f t="shared" si="1165"/>
        <v>Medium_Base</v>
      </c>
      <c r="E13223" s="138" t="str">
        <f t="shared" si="1162"/>
        <v>Low</v>
      </c>
      <c r="F13223" s="138" t="str">
        <f t="shared" si="1163"/>
        <v>Upgraded</v>
      </c>
      <c r="G13223" s="153"/>
      <c r="H13223" s="210">
        <v>1.3599999999999999E-2</v>
      </c>
      <c r="I13223" s="160" t="s">
        <v>54</v>
      </c>
      <c r="J13223" s="160">
        <v>2.0000000000000001E-4</v>
      </c>
      <c r="K13223" s="160" t="s">
        <v>13</v>
      </c>
      <c r="L13223" s="154" t="str">
        <f>IF(OpenLCAbasic!K13223="CTUh", "Fill in Manually",IF(OR(K13223="Unit", K13223=""), "", INDEX(LookUps!$E$5:$E$12, MATCH(OpenLCAbasic!K13223,LookUps!$D$5:$D$12,0))))</f>
        <v>Eutrophication Potential (EP) - kg N eq</v>
      </c>
      <c r="M13223" s="154" t="str">
        <f t="shared" si="1166"/>
        <v>Low_Medium_Base_Upgraded_Eutrophication Potential (EP) - kg N eq_Clear Cove Primary Clarification; wastewater treatment unit; at updated plant - US_Without Amendment_Aerated Static Pile</v>
      </c>
    </row>
    <row r="13224" spans="1:13" s="120" customFormat="1" x14ac:dyDescent="0.25">
      <c r="A13224" s="119"/>
      <c r="B13224" s="138" t="str">
        <f t="shared" si="1160"/>
        <v>Aerated Static Pile</v>
      </c>
      <c r="C13224" s="138" t="str">
        <f t="shared" si="1161"/>
        <v>Without Amendment</v>
      </c>
      <c r="D13224" s="138" t="str">
        <f t="shared" si="1165"/>
        <v>Medium_Base</v>
      </c>
      <c r="E13224" s="138" t="str">
        <f t="shared" si="1162"/>
        <v>Low</v>
      </c>
      <c r="F13224" s="138" t="str">
        <f t="shared" si="1163"/>
        <v>Upgraded</v>
      </c>
      <c r="G13224" s="153"/>
      <c r="H13224" s="210">
        <v>1.3100000000000001E-2</v>
      </c>
      <c r="I13224" s="160" t="s">
        <v>167</v>
      </c>
      <c r="J13224" s="160">
        <v>1.9000000000000001E-4</v>
      </c>
      <c r="K13224" s="160" t="s">
        <v>13</v>
      </c>
      <c r="L13224" s="154" t="str">
        <f>IF(OpenLCAbasic!K13224="CTUh", "Fill in Manually",IF(OR(K13224="Unit", K13224=""), "", INDEX(LookUps!$E$5:$E$12, MATCH(OpenLCAbasic!K13224,LookUps!$D$5:$D$12,0))))</f>
        <v>Eutrophication Potential (EP) - kg N eq</v>
      </c>
      <c r="M13224" s="154" t="str">
        <f t="shared" si="1166"/>
        <v>Low_Medium_Base_Upgraded_Eutrophication Potential (EP) - kg N eq_Waste Receiving and Holding; wastewater treatment unit; at updated plant - US_Without Amendment_Aerated Static Pile</v>
      </c>
    </row>
    <row r="13225" spans="1:13" s="120" customFormat="1" x14ac:dyDescent="0.25">
      <c r="A13225" s="119"/>
      <c r="B13225" s="138" t="str">
        <f t="shared" ref="B13225:B13288" si="1167">IF(F13225="Legacy","n.a.",IF(F13225="","","Aerated Static Pile"))</f>
        <v>Aerated Static Pile</v>
      </c>
      <c r="C13225" s="138" t="str">
        <f t="shared" ref="C13225:C13288" si="1168">IF(ISNUMBER($J13225),"Without Amendment","")</f>
        <v>Without Amendment</v>
      </c>
      <c r="D13225" s="138" t="str">
        <f t="shared" si="1165"/>
        <v>Medium_Base</v>
      </c>
      <c r="E13225" s="138" t="str">
        <f t="shared" ref="E13225:E13288" si="1169">IF(ISNUMBER($J13225),"Low","")</f>
        <v>Low</v>
      </c>
      <c r="F13225" s="138" t="str">
        <f t="shared" ref="F13225:F13288" si="1170">IF(ISNUMBER(J13225),"Upgraded","")</f>
        <v>Upgraded</v>
      </c>
      <c r="G13225" s="153"/>
      <c r="H13225" s="210">
        <v>9.2999999999999992E-3</v>
      </c>
      <c r="I13225" s="160" t="s">
        <v>58</v>
      </c>
      <c r="J13225" s="160">
        <v>1.3999999999999999E-4</v>
      </c>
      <c r="K13225" s="160" t="s">
        <v>13</v>
      </c>
      <c r="L13225" s="154" t="str">
        <f>IF(OpenLCAbasic!K13225="CTUh", "Fill in Manually",IF(OR(K13225="Unit", K13225=""), "", INDEX(LookUps!$E$5:$E$12, MATCH(OpenLCAbasic!K13225,LookUps!$D$5:$D$12,0))))</f>
        <v>Eutrophication Potential (EP) - kg N eq</v>
      </c>
      <c r="M13225" s="154" t="str">
        <f t="shared" si="1166"/>
        <v>Low_Medium_Base_Upgraded_Eutrophication Potential (EP) - kg N eq_Pre-Anoxic &amp; Swing tank; wastewater treatment unit; at updated plant - US_Without Amendment_Aerated Static Pile</v>
      </c>
    </row>
    <row r="13226" spans="1:13" s="120" customFormat="1" x14ac:dyDescent="0.25">
      <c r="A13226" s="119"/>
      <c r="B13226" s="138" t="str">
        <f t="shared" si="1167"/>
        <v>Aerated Static Pile</v>
      </c>
      <c r="C13226" s="138" t="str">
        <f t="shared" si="1168"/>
        <v>Without Amendment</v>
      </c>
      <c r="D13226" s="138" t="str">
        <f t="shared" si="1165"/>
        <v>Medium_Base</v>
      </c>
      <c r="E13226" s="138" t="str">
        <f t="shared" si="1169"/>
        <v>Low</v>
      </c>
      <c r="F13226" s="138" t="str">
        <f t="shared" si="1170"/>
        <v>Upgraded</v>
      </c>
      <c r="G13226" s="153"/>
      <c r="H13226" s="210">
        <v>7.4000000000000003E-3</v>
      </c>
      <c r="I13226" s="160" t="s">
        <v>53</v>
      </c>
      <c r="J13226" s="160">
        <v>1.1E-4</v>
      </c>
      <c r="K13226" s="160" t="s">
        <v>13</v>
      </c>
      <c r="L13226" s="154" t="str">
        <f>IF(OpenLCAbasic!K13226="CTUh", "Fill in Manually",IF(OR(K13226="Unit", K13226=""), "", INDEX(LookUps!$E$5:$E$12, MATCH(OpenLCAbasic!K13226,LookUps!$D$5:$D$12,0))))</f>
        <v>Eutrophication Potential (EP) - kg N eq</v>
      </c>
      <c r="M13226" s="154" t="str">
        <f t="shared" si="1166"/>
        <v>Low_Medium_Base_Upgraded_Eutrophication Potential (EP) - kg N eq_Wet Well and Sump Station; wastewater treatment unit; at updated plant - US_Without Amendment_Aerated Static Pile</v>
      </c>
    </row>
    <row r="13227" spans="1:13" s="120" customFormat="1" x14ac:dyDescent="0.25">
      <c r="A13227" s="119"/>
      <c r="B13227" s="138" t="str">
        <f t="shared" si="1167"/>
        <v>Aerated Static Pile</v>
      </c>
      <c r="C13227" s="138" t="str">
        <f t="shared" si="1168"/>
        <v>Without Amendment</v>
      </c>
      <c r="D13227" s="138" t="str">
        <f t="shared" si="1165"/>
        <v>Medium_Base</v>
      </c>
      <c r="E13227" s="138" t="str">
        <f t="shared" si="1169"/>
        <v>Low</v>
      </c>
      <c r="F13227" s="138" t="str">
        <f t="shared" si="1170"/>
        <v>Upgraded</v>
      </c>
      <c r="G13227" s="153"/>
      <c r="H13227" s="210">
        <v>5.0000000000000001E-3</v>
      </c>
      <c r="I13227" s="160" t="s">
        <v>435</v>
      </c>
      <c r="J13227" s="211">
        <v>7.3367200000000005E-5</v>
      </c>
      <c r="K13227" s="160" t="s">
        <v>13</v>
      </c>
      <c r="L13227" s="154" t="str">
        <f>IF(OpenLCAbasic!K13227="CTUh", "Fill in Manually",IF(OR(K13227="Unit", K13227=""), "", INDEX(LookUps!$E$5:$E$12, MATCH(OpenLCAbasic!K13227,LookUps!$D$5:$D$12,0))))</f>
        <v>Eutrophication Potential (EP) - kg N eq</v>
      </c>
      <c r="M13227" s="154" t="str">
        <f t="shared" si="1166"/>
        <v>Low_Medium_Base_Upgraded_Eutrophication Potential (EP) - kg N eq_Biosolids composting; aerated static pile; wastewater treatment unit; at updated plant - US_Without Amendment_Aerated Static Pile</v>
      </c>
    </row>
    <row r="13228" spans="1:13" s="120" customFormat="1" x14ac:dyDescent="0.25">
      <c r="A13228" s="119"/>
      <c r="B13228" s="138" t="str">
        <f t="shared" si="1167"/>
        <v>Aerated Static Pile</v>
      </c>
      <c r="C13228" s="138" t="str">
        <f t="shared" si="1168"/>
        <v>Without Amendment</v>
      </c>
      <c r="D13228" s="138" t="str">
        <f t="shared" si="1165"/>
        <v>Medium_Base</v>
      </c>
      <c r="E13228" s="138" t="str">
        <f t="shared" si="1169"/>
        <v>Low</v>
      </c>
      <c r="F13228" s="138" t="str">
        <f t="shared" si="1170"/>
        <v>Upgraded</v>
      </c>
      <c r="G13228" s="153"/>
      <c r="H13228" s="210">
        <v>4.7999999999999996E-3</v>
      </c>
      <c r="I13228" s="160" t="s">
        <v>60</v>
      </c>
      <c r="J13228" s="211">
        <v>6.9922100000000006E-5</v>
      </c>
      <c r="K13228" s="160" t="s">
        <v>13</v>
      </c>
      <c r="L13228" s="154" t="str">
        <f>IF(OpenLCAbasic!K13228="CTUh", "Fill in Manually",IF(OR(K13228="Unit", K13228=""), "", INDEX(LookUps!$E$5:$E$12, MATCH(OpenLCAbasic!K13228,LookUps!$D$5:$D$12,0))))</f>
        <v>Eutrophication Potential (EP) - kg N eq</v>
      </c>
      <c r="M13228" s="154" t="str">
        <f t="shared" si="1166"/>
        <v>Low_Medium_Base_Upgraded_Eutrophication Potential (EP) - kg N eq_Belt filter press; wastewater treatment unit; at updated plant - US_Without Amendment_Aerated Static Pile</v>
      </c>
    </row>
    <row r="13229" spans="1:13" s="120" customFormat="1" x14ac:dyDescent="0.25">
      <c r="A13229" s="119"/>
      <c r="B13229" s="138" t="str">
        <f t="shared" si="1167"/>
        <v>Aerated Static Pile</v>
      </c>
      <c r="C13229" s="138" t="str">
        <f t="shared" si="1168"/>
        <v>Without Amendment</v>
      </c>
      <c r="D13229" s="138" t="str">
        <f t="shared" si="1165"/>
        <v>Medium_Base</v>
      </c>
      <c r="E13229" s="138" t="str">
        <f t="shared" si="1169"/>
        <v>Low</v>
      </c>
      <c r="F13229" s="138" t="str">
        <f t="shared" si="1170"/>
        <v>Upgraded</v>
      </c>
      <c r="G13229" s="153"/>
      <c r="H13229" s="210">
        <v>4.1999999999999997E-3</v>
      </c>
      <c r="I13229" s="160" t="s">
        <v>57</v>
      </c>
      <c r="J13229" s="211">
        <v>6.0590300000000002E-5</v>
      </c>
      <c r="K13229" s="160" t="s">
        <v>13</v>
      </c>
      <c r="L13229" s="154" t="str">
        <f>IF(OpenLCAbasic!K13229="CTUh", "Fill in Manually",IF(OR(K13229="Unit", K13229=""), "", INDEX(LookUps!$E$5:$E$12, MATCH(OpenLCAbasic!K13229,LookUps!$D$5:$D$12,0))))</f>
        <v>Eutrophication Potential (EP) - kg N eq</v>
      </c>
      <c r="M13229" s="154" t="str">
        <f t="shared" si="1166"/>
        <v>Low_Medium_Base_Upgraded_Eutrophication Potential (EP) - kg N eq_Gravity Belt Thickener; wastewater treatment unit; at updated plant - US_Without Amendment_Aerated Static Pile</v>
      </c>
    </row>
    <row r="13230" spans="1:13" s="120" customFormat="1" x14ac:dyDescent="0.25">
      <c r="A13230" s="119"/>
      <c r="B13230" s="138" t="str">
        <f t="shared" si="1167"/>
        <v>Aerated Static Pile</v>
      </c>
      <c r="C13230" s="138" t="str">
        <f t="shared" si="1168"/>
        <v>Without Amendment</v>
      </c>
      <c r="D13230" s="138" t="str">
        <f t="shared" si="1165"/>
        <v>Medium_Base</v>
      </c>
      <c r="E13230" s="138" t="str">
        <f t="shared" si="1169"/>
        <v>Low</v>
      </c>
      <c r="F13230" s="138" t="str">
        <f t="shared" si="1170"/>
        <v>Upgraded</v>
      </c>
      <c r="G13230" s="153"/>
      <c r="H13230" s="210">
        <v>2.5999999999999999E-3</v>
      </c>
      <c r="I13230" s="160" t="s">
        <v>128</v>
      </c>
      <c r="J13230" s="211">
        <v>3.7559799999999999E-5</v>
      </c>
      <c r="K13230" s="160" t="s">
        <v>13</v>
      </c>
      <c r="L13230" s="154" t="str">
        <f>IF(OpenLCAbasic!K13230="CTUh", "Fill in Manually",IF(OR(K13230="Unit", K13230=""), "", INDEX(LookUps!$E$5:$E$12, MATCH(OpenLCAbasic!K13230,LookUps!$D$5:$D$12,0))))</f>
        <v>Eutrophication Potential (EP) - kg N eq</v>
      </c>
      <c r="M13230" s="154" t="str">
        <f t="shared" si="1166"/>
        <v>Low_Medium_Base_Upgraded_Eutrophication Potential (EP) - kg N eq_Wastewater collection; operation and infrastructure; m3 wastewater_Without Amendment_Aerated Static Pile</v>
      </c>
    </row>
    <row r="13231" spans="1:13" s="120" customFormat="1" x14ac:dyDescent="0.25">
      <c r="A13231" s="119"/>
      <c r="B13231" s="138" t="str">
        <f t="shared" si="1167"/>
        <v>Aerated Static Pile</v>
      </c>
      <c r="C13231" s="138" t="str">
        <f t="shared" si="1168"/>
        <v>Without Amendment</v>
      </c>
      <c r="D13231" s="138" t="str">
        <f t="shared" si="1165"/>
        <v>Medium_Base</v>
      </c>
      <c r="E13231" s="138" t="str">
        <f t="shared" si="1169"/>
        <v>Low</v>
      </c>
      <c r="F13231" s="138" t="str">
        <f t="shared" si="1170"/>
        <v>Upgraded</v>
      </c>
      <c r="G13231" s="153"/>
      <c r="H13231" s="210">
        <v>2.5000000000000001E-3</v>
      </c>
      <c r="I13231" s="160" t="s">
        <v>148</v>
      </c>
      <c r="J13231" s="211">
        <v>3.6874600000000001E-5</v>
      </c>
      <c r="K13231" s="160" t="s">
        <v>13</v>
      </c>
      <c r="L13231" s="154" t="str">
        <f>IF(OpenLCAbasic!K13231="CTUh", "Fill in Manually",IF(OR(K13231="Unit", K13231=""), "", INDEX(LookUps!$E$5:$E$12, MATCH(OpenLCAbasic!K13231,LookUps!$D$5:$D$12,0))))</f>
        <v>Eutrophication Potential (EP) - kg N eq</v>
      </c>
      <c r="M13231" s="154" t="str">
        <f t="shared" si="1166"/>
        <v>Low_Medium_Base_Upgraded_Eutrophication Potential (EP) - kg N eq_Control Building; at upgraded wastewater treatment plant - US_Without Amendment_Aerated Static Pile</v>
      </c>
    </row>
    <row r="13232" spans="1:13" s="120" customFormat="1" x14ac:dyDescent="0.25">
      <c r="A13232" s="119"/>
      <c r="B13232" s="138" t="str">
        <f t="shared" si="1167"/>
        <v>Aerated Static Pile</v>
      </c>
      <c r="C13232" s="138" t="str">
        <f t="shared" si="1168"/>
        <v>Without Amendment</v>
      </c>
      <c r="D13232" s="138" t="str">
        <f t="shared" si="1165"/>
        <v>Medium_Base</v>
      </c>
      <c r="E13232" s="138" t="str">
        <f t="shared" si="1169"/>
        <v>Low</v>
      </c>
      <c r="F13232" s="138" t="str">
        <f t="shared" si="1170"/>
        <v>Upgraded</v>
      </c>
      <c r="G13232" s="153"/>
      <c r="H13232" s="210">
        <v>1.1000000000000001E-3</v>
      </c>
      <c r="I13232" s="160" t="s">
        <v>59</v>
      </c>
      <c r="J13232" s="211">
        <v>1.6215700000000001E-5</v>
      </c>
      <c r="K13232" s="160" t="s">
        <v>13</v>
      </c>
      <c r="L13232" s="154" t="str">
        <f>IF(OpenLCAbasic!K13232="CTUh", "Fill in Manually",IF(OR(K13232="Unit", K13232=""), "", INDEX(LookUps!$E$5:$E$12, MATCH(OpenLCAbasic!K13232,LookUps!$D$5:$D$12,0))))</f>
        <v>Eutrophication Potential (EP) - kg N eq</v>
      </c>
      <c r="M13232" s="154" t="str">
        <f t="shared" si="1166"/>
        <v>Low_Medium_Base_Upgraded_Eutrophication Potential (EP) - kg N eq_Blend Tank; wastewater treatment unit; at updated plant - US_Without Amendment_Aerated Static Pile</v>
      </c>
    </row>
    <row r="13233" spans="1:13" s="120" customFormat="1" x14ac:dyDescent="0.25">
      <c r="A13233" s="119"/>
      <c r="B13233" s="138" t="str">
        <f t="shared" si="1167"/>
        <v>Aerated Static Pile</v>
      </c>
      <c r="C13233" s="138" t="str">
        <f t="shared" si="1168"/>
        <v>Without Amendment</v>
      </c>
      <c r="D13233" s="138" t="str">
        <f t="shared" si="1165"/>
        <v>Medium_Base</v>
      </c>
      <c r="E13233" s="138" t="str">
        <f t="shared" si="1169"/>
        <v>Low</v>
      </c>
      <c r="F13233" s="138" t="str">
        <f t="shared" si="1170"/>
        <v>Upgraded</v>
      </c>
      <c r="G13233" s="153"/>
      <c r="H13233" s="210">
        <v>5.0000000000000001E-4</v>
      </c>
      <c r="I13233" s="160" t="s">
        <v>168</v>
      </c>
      <c r="J13233" s="211">
        <v>7.7567199999999995E-6</v>
      </c>
      <c r="K13233" s="160" t="s">
        <v>13</v>
      </c>
      <c r="L13233" s="154" t="str">
        <f>IF(OpenLCAbasic!K13233="CTUh", "Fill in Manually",IF(OR(K13233="Unit", K13233=""), "", INDEX(LookUps!$E$5:$E$12, MATCH(OpenLCAbasic!K13233,LookUps!$D$5:$D$12,0))))</f>
        <v>Eutrophication Potential (EP) - kg N eq</v>
      </c>
      <c r="M13233" s="154" t="str">
        <f t="shared" si="1166"/>
        <v>Low_Medium_Base_Upgraded_Eutrophication Potential (EP) - kg N eq_ClearCove SCP; wastewater treatment unit; at updated plant - US_Without Amendment_Aerated Static Pile</v>
      </c>
    </row>
    <row r="13234" spans="1:13" s="120" customFormat="1" x14ac:dyDescent="0.25">
      <c r="A13234" s="119"/>
      <c r="B13234" s="138" t="str">
        <f t="shared" si="1167"/>
        <v>Aerated Static Pile</v>
      </c>
      <c r="C13234" s="138" t="str">
        <f t="shared" si="1168"/>
        <v>Without Amendment</v>
      </c>
      <c r="D13234" s="138" t="str">
        <f t="shared" si="1165"/>
        <v>Medium_Base</v>
      </c>
      <c r="E13234" s="138" t="str">
        <f t="shared" si="1169"/>
        <v>Low</v>
      </c>
      <c r="F13234" s="138" t="str">
        <f t="shared" si="1170"/>
        <v>Upgraded</v>
      </c>
      <c r="G13234" s="153"/>
      <c r="H13234" s="210">
        <v>-4.2500000000000003E-2</v>
      </c>
      <c r="I13234" s="160" t="s">
        <v>149</v>
      </c>
      <c r="J13234" s="160">
        <v>-6.2E-4</v>
      </c>
      <c r="K13234" s="160" t="s">
        <v>13</v>
      </c>
      <c r="L13234" s="154" t="str">
        <f>IF(OpenLCAbasic!K13234="CTUh", "Fill in Manually",IF(OR(K13234="Unit", K13234=""), "", INDEX(LookUps!$E$5:$E$12, MATCH(OpenLCAbasic!K13234,LookUps!$D$5:$D$12,0))))</f>
        <v>Eutrophication Potential (EP) - kg N eq</v>
      </c>
      <c r="M13234" s="154" t="str">
        <f t="shared" si="1166"/>
        <v>Low_Medium_Base_Upgraded_Eutrophication Potential (EP) - kg N eq_Anaerobic Digestion; wastewater treatment unit; at updated plant - US_Without Amendment_Aerated Static Pile</v>
      </c>
    </row>
    <row r="13235" spans="1:13" s="120" customFormat="1" x14ac:dyDescent="0.25">
      <c r="A13235" s="119"/>
      <c r="B13235" s="138" t="str">
        <f t="shared" si="1167"/>
        <v/>
      </c>
      <c r="C13235" s="138" t="str">
        <f t="shared" si="1168"/>
        <v/>
      </c>
      <c r="D13235" s="138" t="str">
        <f t="shared" si="1165"/>
        <v/>
      </c>
      <c r="E13235" s="138" t="str">
        <f t="shared" si="1169"/>
        <v/>
      </c>
      <c r="F13235" s="138" t="str">
        <f t="shared" si="1170"/>
        <v/>
      </c>
      <c r="G13235" s="153" t="s">
        <v>51</v>
      </c>
      <c r="H13235" s="160"/>
      <c r="I13235" s="160" t="s">
        <v>47</v>
      </c>
      <c r="J13235" s="160" t="s">
        <v>52</v>
      </c>
      <c r="K13235" s="160" t="s">
        <v>27</v>
      </c>
      <c r="L13235" s="154" t="str">
        <f>IF(OpenLCAbasic!K13235="CTUh", "Fill in Manually",IF(OR(K13235="Unit", K13235=""), "", INDEX(LookUps!$E$5:$E$12, MATCH(OpenLCAbasic!K13235,LookUps!$D$5:$D$12,0))))</f>
        <v/>
      </c>
      <c r="M13235" s="154" t="str">
        <f t="shared" si="1166"/>
        <v>____Process__</v>
      </c>
    </row>
    <row r="13236" spans="1:13" s="120" customFormat="1" x14ac:dyDescent="0.25">
      <c r="A13236" s="119"/>
      <c r="B13236" s="138" t="str">
        <f t="shared" si="1167"/>
        <v>Aerated Static Pile</v>
      </c>
      <c r="C13236" s="138" t="str">
        <f t="shared" si="1168"/>
        <v>Without Amendment</v>
      </c>
      <c r="D13236" s="138" t="str">
        <f t="shared" si="1165"/>
        <v>Medium_Base</v>
      </c>
      <c r="E13236" s="138" t="str">
        <f t="shared" si="1169"/>
        <v>Low</v>
      </c>
      <c r="F13236" s="138" t="str">
        <f t="shared" si="1170"/>
        <v>Upgraded</v>
      </c>
      <c r="G13236" s="153"/>
      <c r="H13236" s="210">
        <v>1.3029999999999999</v>
      </c>
      <c r="I13236" s="160" t="s">
        <v>167</v>
      </c>
      <c r="J13236" s="160">
        <v>9.7259999999999999E-2</v>
      </c>
      <c r="K13236" s="160" t="s">
        <v>14</v>
      </c>
      <c r="L13236" s="154" t="str">
        <f>IF(OpenLCAbasic!K13236="CTUh", "Fill in Manually",IF(OR(K13236="Unit", K13236=""), "", INDEX(LookUps!$E$5:$E$12, MATCH(OpenLCAbasic!K13236,LookUps!$D$5:$D$12,0))))</f>
        <v>Fossil Depletion Potential (FDP) - kg oil eq</v>
      </c>
      <c r="M13236" s="154" t="str">
        <f t="shared" si="1166"/>
        <v>Low_Medium_Base_Upgraded_Fossil Depletion Potential (FDP) - kg oil eq_Waste Receiving and Holding; wastewater treatment unit; at updated plant - US_Without Amendment_Aerated Static Pile</v>
      </c>
    </row>
    <row r="13237" spans="1:13" s="120" customFormat="1" x14ac:dyDescent="0.25">
      <c r="A13237" s="119"/>
      <c r="B13237" s="138" t="str">
        <f t="shared" si="1167"/>
        <v>Aerated Static Pile</v>
      </c>
      <c r="C13237" s="138" t="str">
        <f t="shared" si="1168"/>
        <v>Without Amendment</v>
      </c>
      <c r="D13237" s="138" t="str">
        <f t="shared" si="1165"/>
        <v>Medium_Base</v>
      </c>
      <c r="E13237" s="138" t="str">
        <f t="shared" si="1169"/>
        <v>Low</v>
      </c>
      <c r="F13237" s="138" t="str">
        <f t="shared" si="1170"/>
        <v>Upgraded</v>
      </c>
      <c r="G13237" s="153"/>
      <c r="H13237" s="210">
        <v>0.85199999999999998</v>
      </c>
      <c r="I13237" s="160" t="s">
        <v>55</v>
      </c>
      <c r="J13237" s="160">
        <v>6.3589999999999994E-2</v>
      </c>
      <c r="K13237" s="160" t="s">
        <v>14</v>
      </c>
      <c r="L13237" s="154" t="str">
        <f>IF(OpenLCAbasic!K13237="CTUh", "Fill in Manually",IF(OR(K13237="Unit", K13237=""), "", INDEX(LookUps!$E$5:$E$12, MATCH(OpenLCAbasic!K13237,LookUps!$D$5:$D$12,0))))</f>
        <v>Fossil Depletion Potential (FDP) - kg oil eq</v>
      </c>
      <c r="M13237" s="154" t="str">
        <f t="shared" si="1166"/>
        <v>Low_Medium_Base_Upgraded_Fossil Depletion Potential (FDP) - kg oil eq_Aeration Tanks; wastewater treatment unit; at updated plant - US_Without Amendment_Aerated Static Pile</v>
      </c>
    </row>
    <row r="13238" spans="1:13" s="120" customFormat="1" x14ac:dyDescent="0.25">
      <c r="A13238" s="119"/>
      <c r="B13238" s="138" t="str">
        <f t="shared" si="1167"/>
        <v>Aerated Static Pile</v>
      </c>
      <c r="C13238" s="138" t="str">
        <f t="shared" si="1168"/>
        <v>Without Amendment</v>
      </c>
      <c r="D13238" s="138" t="str">
        <f t="shared" si="1165"/>
        <v>Medium_Base</v>
      </c>
      <c r="E13238" s="138" t="str">
        <f t="shared" si="1169"/>
        <v>Low</v>
      </c>
      <c r="F13238" s="138" t="str">
        <f t="shared" si="1170"/>
        <v>Upgraded</v>
      </c>
      <c r="G13238" s="153"/>
      <c r="H13238" s="210">
        <v>0.28199999999999997</v>
      </c>
      <c r="I13238" s="160" t="s">
        <v>54</v>
      </c>
      <c r="J13238" s="160">
        <v>2.1049999999999999E-2</v>
      </c>
      <c r="K13238" s="160" t="s">
        <v>14</v>
      </c>
      <c r="L13238" s="154" t="str">
        <f>IF(OpenLCAbasic!K13238="CTUh", "Fill in Manually",IF(OR(K13238="Unit", K13238=""), "", INDEX(LookUps!$E$5:$E$12, MATCH(OpenLCAbasic!K13238,LookUps!$D$5:$D$12,0))))</f>
        <v>Fossil Depletion Potential (FDP) - kg oil eq</v>
      </c>
      <c r="M13238" s="154" t="str">
        <f t="shared" si="1166"/>
        <v>Low_Medium_Base_Upgraded_Fossil Depletion Potential (FDP) - kg oil eq_Clear Cove Primary Clarification; wastewater treatment unit; at updated plant - US_Without Amendment_Aerated Static Pile</v>
      </c>
    </row>
    <row r="13239" spans="1:13" s="120" customFormat="1" x14ac:dyDescent="0.25">
      <c r="A13239" s="119"/>
      <c r="B13239" s="138" t="str">
        <f t="shared" si="1167"/>
        <v>Aerated Static Pile</v>
      </c>
      <c r="C13239" s="138" t="str">
        <f t="shared" si="1168"/>
        <v>Without Amendment</v>
      </c>
      <c r="D13239" s="138" t="str">
        <f t="shared" si="1165"/>
        <v>Medium_Base</v>
      </c>
      <c r="E13239" s="138" t="str">
        <f t="shared" si="1169"/>
        <v>Low</v>
      </c>
      <c r="F13239" s="138" t="str">
        <f t="shared" si="1170"/>
        <v>Upgraded</v>
      </c>
      <c r="G13239" s="153"/>
      <c r="H13239" s="210">
        <v>0.214</v>
      </c>
      <c r="I13239" s="160" t="s">
        <v>58</v>
      </c>
      <c r="J13239" s="160">
        <v>1.5980000000000001E-2</v>
      </c>
      <c r="K13239" s="160" t="s">
        <v>14</v>
      </c>
      <c r="L13239" s="154" t="str">
        <f>IF(OpenLCAbasic!K13239="CTUh", "Fill in Manually",IF(OR(K13239="Unit", K13239=""), "", INDEX(LookUps!$E$5:$E$12, MATCH(OpenLCAbasic!K13239,LookUps!$D$5:$D$12,0))))</f>
        <v>Fossil Depletion Potential (FDP) - kg oil eq</v>
      </c>
      <c r="M13239" s="154" t="str">
        <f t="shared" si="1166"/>
        <v>Low_Medium_Base_Upgraded_Fossil Depletion Potential (FDP) - kg oil eq_Pre-Anoxic &amp; Swing tank; wastewater treatment unit; at updated plant - US_Without Amendment_Aerated Static Pile</v>
      </c>
    </row>
    <row r="13240" spans="1:13" s="120" customFormat="1" x14ac:dyDescent="0.25">
      <c r="A13240" s="119"/>
      <c r="B13240" s="138" t="str">
        <f t="shared" si="1167"/>
        <v>Aerated Static Pile</v>
      </c>
      <c r="C13240" s="138" t="str">
        <f t="shared" si="1168"/>
        <v>Without Amendment</v>
      </c>
      <c r="D13240" s="138" t="str">
        <f t="shared" si="1165"/>
        <v>Medium_Base</v>
      </c>
      <c r="E13240" s="138" t="str">
        <f t="shared" si="1169"/>
        <v>Low</v>
      </c>
      <c r="F13240" s="138" t="str">
        <f t="shared" si="1170"/>
        <v>Upgraded</v>
      </c>
      <c r="G13240" s="153"/>
      <c r="H13240" s="210">
        <v>0.2021</v>
      </c>
      <c r="I13240" s="160" t="s">
        <v>147</v>
      </c>
      <c r="J13240" s="160">
        <v>1.5089999999999999E-2</v>
      </c>
      <c r="K13240" s="160" t="s">
        <v>14</v>
      </c>
      <c r="L13240" s="154" t="str">
        <f>IF(OpenLCAbasic!K13240="CTUh", "Fill in Manually",IF(OR(K13240="Unit", K13240=""), "", INDEX(LookUps!$E$5:$E$12, MATCH(OpenLCAbasic!K13240,LookUps!$D$5:$D$12,0))))</f>
        <v>Fossil Depletion Potential (FDP) - kg oil eq</v>
      </c>
      <c r="M13240" s="154" t="str">
        <f t="shared" si="1166"/>
        <v>Low_Medium_Base_Upgraded_Fossil Depletion Potential (FDP) - kg oil eq_Influent Pump Station; wastewater treatment unit; at updated plant - US_Without Amendment_Aerated Static Pile</v>
      </c>
    </row>
    <row r="13241" spans="1:13" s="120" customFormat="1" x14ac:dyDescent="0.25">
      <c r="A13241" s="119"/>
      <c r="B13241" s="138" t="str">
        <f t="shared" si="1167"/>
        <v>Aerated Static Pile</v>
      </c>
      <c r="C13241" s="138" t="str">
        <f t="shared" si="1168"/>
        <v>Without Amendment</v>
      </c>
      <c r="D13241" s="138" t="str">
        <f t="shared" si="1165"/>
        <v>Medium_Base</v>
      </c>
      <c r="E13241" s="138" t="str">
        <f t="shared" si="1169"/>
        <v>Low</v>
      </c>
      <c r="F13241" s="138" t="str">
        <f t="shared" si="1170"/>
        <v>Upgraded</v>
      </c>
      <c r="G13241" s="153"/>
      <c r="H13241" s="210">
        <v>0.1673</v>
      </c>
      <c r="I13241" s="160" t="s">
        <v>53</v>
      </c>
      <c r="J13241" s="160">
        <v>1.2489999999999999E-2</v>
      </c>
      <c r="K13241" s="160" t="s">
        <v>14</v>
      </c>
      <c r="L13241" s="154" t="str">
        <f>IF(OpenLCAbasic!K13241="CTUh", "Fill in Manually",IF(OR(K13241="Unit", K13241=""), "", INDEX(LookUps!$E$5:$E$12, MATCH(OpenLCAbasic!K13241,LookUps!$D$5:$D$12,0))))</f>
        <v>Fossil Depletion Potential (FDP) - kg oil eq</v>
      </c>
      <c r="M13241" s="154" t="str">
        <f t="shared" si="1166"/>
        <v>Low_Medium_Base_Upgraded_Fossil Depletion Potential (FDP) - kg oil eq_Wet Well and Sump Station; wastewater treatment unit; at updated plant - US_Without Amendment_Aerated Static Pile</v>
      </c>
    </row>
    <row r="13242" spans="1:13" s="120" customFormat="1" x14ac:dyDescent="0.25">
      <c r="A13242" s="119"/>
      <c r="B13242" s="138" t="str">
        <f t="shared" si="1167"/>
        <v>Aerated Static Pile</v>
      </c>
      <c r="C13242" s="138" t="str">
        <f t="shared" si="1168"/>
        <v>Without Amendment</v>
      </c>
      <c r="D13242" s="138" t="str">
        <f t="shared" si="1165"/>
        <v>Medium_Base</v>
      </c>
      <c r="E13242" s="138" t="str">
        <f t="shared" si="1169"/>
        <v>Low</v>
      </c>
      <c r="F13242" s="138" t="str">
        <f t="shared" si="1170"/>
        <v>Upgraded</v>
      </c>
      <c r="G13242" s="153"/>
      <c r="H13242" s="210">
        <v>0.11700000000000001</v>
      </c>
      <c r="I13242" s="160" t="s">
        <v>435</v>
      </c>
      <c r="J13242" s="160">
        <v>8.7299999999999999E-3</v>
      </c>
      <c r="K13242" s="160" t="s">
        <v>14</v>
      </c>
      <c r="L13242" s="154" t="str">
        <f>IF(OpenLCAbasic!K13242="CTUh", "Fill in Manually",IF(OR(K13242="Unit", K13242=""), "", INDEX(LookUps!$E$5:$E$12, MATCH(OpenLCAbasic!K13242,LookUps!$D$5:$D$12,0))))</f>
        <v>Fossil Depletion Potential (FDP) - kg oil eq</v>
      </c>
      <c r="M13242" s="154" t="str">
        <f t="shared" si="1166"/>
        <v>Low_Medium_Base_Upgraded_Fossil Depletion Potential (FDP) - kg oil eq_Biosolids composting; aerated static pile; wastewater treatment unit; at updated plant - US_Without Amendment_Aerated Static Pile</v>
      </c>
    </row>
    <row r="13243" spans="1:13" s="120" customFormat="1" x14ac:dyDescent="0.25">
      <c r="A13243" s="119"/>
      <c r="B13243" s="138" t="str">
        <f t="shared" si="1167"/>
        <v>Aerated Static Pile</v>
      </c>
      <c r="C13243" s="138" t="str">
        <f t="shared" si="1168"/>
        <v>Without Amendment</v>
      </c>
      <c r="D13243" s="138" t="str">
        <f t="shared" si="1165"/>
        <v>Medium_Base</v>
      </c>
      <c r="E13243" s="138" t="str">
        <f t="shared" si="1169"/>
        <v>Low</v>
      </c>
      <c r="F13243" s="138" t="str">
        <f t="shared" si="1170"/>
        <v>Upgraded</v>
      </c>
      <c r="G13243" s="153"/>
      <c r="H13243" s="210">
        <v>0.1075</v>
      </c>
      <c r="I13243" s="160" t="s">
        <v>60</v>
      </c>
      <c r="J13243" s="160">
        <v>8.0300000000000007E-3</v>
      </c>
      <c r="K13243" s="160" t="s">
        <v>14</v>
      </c>
      <c r="L13243" s="154" t="str">
        <f>IF(OpenLCAbasic!K13243="CTUh", "Fill in Manually",IF(OR(K13243="Unit", K13243=""), "", INDEX(LookUps!$E$5:$E$12, MATCH(OpenLCAbasic!K13243,LookUps!$D$5:$D$12,0))))</f>
        <v>Fossil Depletion Potential (FDP) - kg oil eq</v>
      </c>
      <c r="M13243" s="154" t="str">
        <f t="shared" si="1166"/>
        <v>Low_Medium_Base_Upgraded_Fossil Depletion Potential (FDP) - kg oil eq_Belt filter press; wastewater treatment unit; at updated plant - US_Without Amendment_Aerated Static Pile</v>
      </c>
    </row>
    <row r="13244" spans="1:13" s="120" customFormat="1" x14ac:dyDescent="0.25">
      <c r="A13244" s="119"/>
      <c r="B13244" s="138" t="str">
        <f t="shared" si="1167"/>
        <v>Aerated Static Pile</v>
      </c>
      <c r="C13244" s="138" t="str">
        <f t="shared" si="1168"/>
        <v>Without Amendment</v>
      </c>
      <c r="D13244" s="138" t="str">
        <f t="shared" si="1165"/>
        <v>Medium_Base</v>
      </c>
      <c r="E13244" s="138" t="str">
        <f t="shared" si="1169"/>
        <v>Low</v>
      </c>
      <c r="F13244" s="138" t="str">
        <f t="shared" si="1170"/>
        <v>Upgraded</v>
      </c>
      <c r="G13244" s="153"/>
      <c r="H13244" s="210">
        <v>9.2700000000000005E-2</v>
      </c>
      <c r="I13244" s="160" t="s">
        <v>57</v>
      </c>
      <c r="J13244" s="160">
        <v>6.9199999999999999E-3</v>
      </c>
      <c r="K13244" s="160" t="s">
        <v>14</v>
      </c>
      <c r="L13244" s="154" t="str">
        <f>IF(OpenLCAbasic!K13244="CTUh", "Fill in Manually",IF(OR(K13244="Unit", K13244=""), "", INDEX(LookUps!$E$5:$E$12, MATCH(OpenLCAbasic!K13244,LookUps!$D$5:$D$12,0))))</f>
        <v>Fossil Depletion Potential (FDP) - kg oil eq</v>
      </c>
      <c r="M13244" s="154" t="str">
        <f t="shared" si="1166"/>
        <v>Low_Medium_Base_Upgraded_Fossil Depletion Potential (FDP) - kg oil eq_Gravity Belt Thickener; wastewater treatment unit; at updated plant - US_Without Amendment_Aerated Static Pile</v>
      </c>
    </row>
    <row r="13245" spans="1:13" s="120" customFormat="1" x14ac:dyDescent="0.25">
      <c r="A13245" s="119"/>
      <c r="B13245" s="138" t="str">
        <f t="shared" si="1167"/>
        <v>Aerated Static Pile</v>
      </c>
      <c r="C13245" s="138" t="str">
        <f t="shared" si="1168"/>
        <v>Without Amendment</v>
      </c>
      <c r="D13245" s="138" t="str">
        <f t="shared" si="1165"/>
        <v>Medium_Base</v>
      </c>
      <c r="E13245" s="138" t="str">
        <f t="shared" si="1169"/>
        <v>Low</v>
      </c>
      <c r="F13245" s="138" t="str">
        <f t="shared" si="1170"/>
        <v>Upgraded</v>
      </c>
      <c r="G13245" s="153"/>
      <c r="H13245" s="210">
        <v>6.0299999999999999E-2</v>
      </c>
      <c r="I13245" s="160" t="s">
        <v>128</v>
      </c>
      <c r="J13245" s="160">
        <v>4.4999999999999997E-3</v>
      </c>
      <c r="K13245" s="160" t="s">
        <v>14</v>
      </c>
      <c r="L13245" s="154" t="str">
        <f>IF(OpenLCAbasic!K13245="CTUh", "Fill in Manually",IF(OR(K13245="Unit", K13245=""), "", INDEX(LookUps!$E$5:$E$12, MATCH(OpenLCAbasic!K13245,LookUps!$D$5:$D$12,0))))</f>
        <v>Fossil Depletion Potential (FDP) - kg oil eq</v>
      </c>
      <c r="M13245" s="154" t="str">
        <f t="shared" si="1166"/>
        <v>Low_Medium_Base_Upgraded_Fossil Depletion Potential (FDP) - kg oil eq_Wastewater collection; operation and infrastructure; m3 wastewater_Without Amendment_Aerated Static Pile</v>
      </c>
    </row>
    <row r="13246" spans="1:13" s="120" customFormat="1" x14ac:dyDescent="0.25">
      <c r="A13246" s="119"/>
      <c r="B13246" s="138" t="str">
        <f t="shared" si="1167"/>
        <v>Aerated Static Pile</v>
      </c>
      <c r="C13246" s="138" t="str">
        <f t="shared" si="1168"/>
        <v>Without Amendment</v>
      </c>
      <c r="D13246" s="138" t="str">
        <f t="shared" si="1165"/>
        <v>Medium_Base</v>
      </c>
      <c r="E13246" s="138" t="str">
        <f t="shared" si="1169"/>
        <v>Low</v>
      </c>
      <c r="F13246" s="138" t="str">
        <f t="shared" si="1170"/>
        <v>Upgraded</v>
      </c>
      <c r="G13246" s="153"/>
      <c r="H13246" s="210">
        <v>3.7499999999999999E-2</v>
      </c>
      <c r="I13246" s="160" t="s">
        <v>148</v>
      </c>
      <c r="J13246" s="160">
        <v>2.8E-3</v>
      </c>
      <c r="K13246" s="160" t="s">
        <v>14</v>
      </c>
      <c r="L13246" s="154" t="str">
        <f>IF(OpenLCAbasic!K13246="CTUh", "Fill in Manually",IF(OR(K13246="Unit", K13246=""), "", INDEX(LookUps!$E$5:$E$12, MATCH(OpenLCAbasic!K13246,LookUps!$D$5:$D$12,0))))</f>
        <v>Fossil Depletion Potential (FDP) - kg oil eq</v>
      </c>
      <c r="M13246" s="154" t="str">
        <f t="shared" si="1166"/>
        <v>Low_Medium_Base_Upgraded_Fossil Depletion Potential (FDP) - kg oil eq_Control Building; at upgraded wastewater treatment plant - US_Without Amendment_Aerated Static Pile</v>
      </c>
    </row>
    <row r="13247" spans="1:13" s="120" customFormat="1" x14ac:dyDescent="0.25">
      <c r="A13247" s="119"/>
      <c r="B13247" s="138" t="str">
        <f t="shared" si="1167"/>
        <v>Aerated Static Pile</v>
      </c>
      <c r="C13247" s="138" t="str">
        <f t="shared" si="1168"/>
        <v>Without Amendment</v>
      </c>
      <c r="D13247" s="138" t="str">
        <f t="shared" si="1165"/>
        <v>Medium_Base</v>
      </c>
      <c r="E13247" s="138" t="str">
        <f t="shared" si="1169"/>
        <v>Low</v>
      </c>
      <c r="F13247" s="138" t="str">
        <f t="shared" si="1170"/>
        <v>Upgraded</v>
      </c>
      <c r="G13247" s="153"/>
      <c r="H13247" s="210">
        <v>3.1699999999999999E-2</v>
      </c>
      <c r="I13247" s="160" t="s">
        <v>48</v>
      </c>
      <c r="J13247" s="160">
        <v>2.3600000000000001E-3</v>
      </c>
      <c r="K13247" s="160" t="s">
        <v>14</v>
      </c>
      <c r="L13247" s="154" t="str">
        <f>IF(OpenLCAbasic!K13247="CTUh", "Fill in Manually",IF(OR(K13247="Unit", K13247=""), "", INDEX(LookUps!$E$5:$E$12, MATCH(OpenLCAbasic!K13247,LookUps!$D$5:$D$12,0))))</f>
        <v>Fossil Depletion Potential (FDP) - kg oil eq</v>
      </c>
      <c r="M13247" s="154" t="str">
        <f t="shared" si="1166"/>
        <v>Low_Medium_Base_Upgraded_Fossil Depletion Potential (FDP) - kg oil eq_Effluent release; wastewater treatment unit; at surface water; m3 wastewater - US_Without Amendment_Aerated Static Pile</v>
      </c>
    </row>
    <row r="13248" spans="1:13" s="120" customFormat="1" x14ac:dyDescent="0.25">
      <c r="A13248" s="119"/>
      <c r="B13248" s="138" t="str">
        <f t="shared" si="1167"/>
        <v>Aerated Static Pile</v>
      </c>
      <c r="C13248" s="138" t="str">
        <f t="shared" si="1168"/>
        <v>Without Amendment</v>
      </c>
      <c r="D13248" s="138" t="str">
        <f t="shared" si="1165"/>
        <v>Medium_Base</v>
      </c>
      <c r="E13248" s="138" t="str">
        <f t="shared" si="1169"/>
        <v>Low</v>
      </c>
      <c r="F13248" s="138" t="str">
        <f t="shared" si="1170"/>
        <v>Upgraded</v>
      </c>
      <c r="G13248" s="153"/>
      <c r="H13248" s="210">
        <v>2.5700000000000001E-2</v>
      </c>
      <c r="I13248" s="160" t="s">
        <v>59</v>
      </c>
      <c r="J13248" s="160">
        <v>1.92E-3</v>
      </c>
      <c r="K13248" s="160" t="s">
        <v>14</v>
      </c>
      <c r="L13248" s="154" t="str">
        <f>IF(OpenLCAbasic!K13248="CTUh", "Fill in Manually",IF(OR(K13248="Unit", K13248=""), "", INDEX(LookUps!$E$5:$E$12, MATCH(OpenLCAbasic!K13248,LookUps!$D$5:$D$12,0))))</f>
        <v>Fossil Depletion Potential (FDP) - kg oil eq</v>
      </c>
      <c r="M13248" s="154" t="str">
        <f t="shared" si="1166"/>
        <v>Low_Medium_Base_Upgraded_Fossil Depletion Potential (FDP) - kg oil eq_Blend Tank; wastewater treatment unit; at updated plant - US_Without Amendment_Aerated Static Pile</v>
      </c>
    </row>
    <row r="13249" spans="1:13" s="120" customFormat="1" x14ac:dyDescent="0.25">
      <c r="A13249" s="119"/>
      <c r="B13249" s="138" t="str">
        <f t="shared" si="1167"/>
        <v>Aerated Static Pile</v>
      </c>
      <c r="C13249" s="138" t="str">
        <f t="shared" si="1168"/>
        <v>Without Amendment</v>
      </c>
      <c r="D13249" s="138" t="str">
        <f t="shared" ref="D13249:D13312" si="1171">IF(ISNUMBER($J13249),"Medium_Base","")</f>
        <v>Medium_Base</v>
      </c>
      <c r="E13249" s="138" t="str">
        <f t="shared" si="1169"/>
        <v>Low</v>
      </c>
      <c r="F13249" s="138" t="str">
        <f t="shared" si="1170"/>
        <v>Upgraded</v>
      </c>
      <c r="G13249" s="153"/>
      <c r="H13249" s="210">
        <v>1.23E-2</v>
      </c>
      <c r="I13249" s="160" t="s">
        <v>168</v>
      </c>
      <c r="J13249" s="160">
        <v>9.1E-4</v>
      </c>
      <c r="K13249" s="160" t="s">
        <v>14</v>
      </c>
      <c r="L13249" s="154" t="str">
        <f>IF(OpenLCAbasic!K13249="CTUh", "Fill in Manually",IF(OR(K13249="Unit", K13249=""), "", INDEX(LookUps!$E$5:$E$12, MATCH(OpenLCAbasic!K13249,LookUps!$D$5:$D$12,0))))</f>
        <v>Fossil Depletion Potential (FDP) - kg oil eq</v>
      </c>
      <c r="M13249" s="154" t="str">
        <f t="shared" si="1166"/>
        <v>Low_Medium_Base_Upgraded_Fossil Depletion Potential (FDP) - kg oil eq_ClearCove SCP; wastewater treatment unit; at updated plant - US_Without Amendment_Aerated Static Pile</v>
      </c>
    </row>
    <row r="13250" spans="1:13" s="120" customFormat="1" x14ac:dyDescent="0.25">
      <c r="A13250" s="119"/>
      <c r="B13250" s="138" t="str">
        <f t="shared" si="1167"/>
        <v>Aerated Static Pile</v>
      </c>
      <c r="C13250" s="138" t="str">
        <f t="shared" si="1168"/>
        <v>Without Amendment</v>
      </c>
      <c r="D13250" s="138" t="str">
        <f t="shared" si="1171"/>
        <v>Medium_Base</v>
      </c>
      <c r="E13250" s="138" t="str">
        <f t="shared" si="1169"/>
        <v>Low</v>
      </c>
      <c r="F13250" s="138" t="str">
        <f t="shared" si="1170"/>
        <v>Upgraded</v>
      </c>
      <c r="G13250" s="153"/>
      <c r="H13250" s="210">
        <v>-8.1199999999999994E-2</v>
      </c>
      <c r="I13250" s="160" t="s">
        <v>62</v>
      </c>
      <c r="J13250" s="160">
        <v>-6.0600000000000003E-3</v>
      </c>
      <c r="K13250" s="160" t="s">
        <v>14</v>
      </c>
      <c r="L13250" s="154" t="str">
        <f>IF(OpenLCAbasic!K13250="CTUh", "Fill in Manually",IF(OR(K13250="Unit", K13250=""), "", INDEX(LookUps!$E$5:$E$12, MATCH(OpenLCAbasic!K13250,LookUps!$D$5:$D$12,0))))</f>
        <v>Fossil Depletion Potential (FDP) - kg oil eq</v>
      </c>
      <c r="M13250" s="154" t="str">
        <f t="shared" si="1166"/>
        <v>Low_Medium_Base_Upgraded_Fossil Depletion Potential (FDP) - kg oil eq_Land application of compost; wastewater treatment unit; at updated plant - US_Without Amendment_Aerated Static Pile</v>
      </c>
    </row>
    <row r="13251" spans="1:13" s="120" customFormat="1" x14ac:dyDescent="0.25">
      <c r="A13251" s="119"/>
      <c r="B13251" s="138" t="str">
        <f t="shared" si="1167"/>
        <v>Aerated Static Pile</v>
      </c>
      <c r="C13251" s="138" t="str">
        <f t="shared" si="1168"/>
        <v>Without Amendment</v>
      </c>
      <c r="D13251" s="138" t="str">
        <f t="shared" si="1171"/>
        <v>Medium_Base</v>
      </c>
      <c r="E13251" s="138" t="str">
        <f t="shared" si="1169"/>
        <v>Low</v>
      </c>
      <c r="F13251" s="138" t="str">
        <f t="shared" si="1170"/>
        <v>Upgraded</v>
      </c>
      <c r="G13251" s="153"/>
      <c r="H13251" s="210">
        <v>-2.4239999999999999</v>
      </c>
      <c r="I13251" s="160" t="s">
        <v>149</v>
      </c>
      <c r="J13251" s="160">
        <v>-0.18092</v>
      </c>
      <c r="K13251" s="160" t="s">
        <v>14</v>
      </c>
      <c r="L13251" s="154" t="str">
        <f>IF(OpenLCAbasic!K13251="CTUh", "Fill in Manually",IF(OR(K13251="Unit", K13251=""), "", INDEX(LookUps!$E$5:$E$12, MATCH(OpenLCAbasic!K13251,LookUps!$D$5:$D$12,0))))</f>
        <v>Fossil Depletion Potential (FDP) - kg oil eq</v>
      </c>
      <c r="M13251" s="154" t="str">
        <f t="shared" si="1166"/>
        <v>Low_Medium_Base_Upgraded_Fossil Depletion Potential (FDP) - kg oil eq_Anaerobic Digestion; wastewater treatment unit; at updated plant - US_Without Amendment_Aerated Static Pile</v>
      </c>
    </row>
    <row r="13252" spans="1:13" s="120" customFormat="1" x14ac:dyDescent="0.25">
      <c r="A13252" s="119"/>
      <c r="B13252" s="138" t="str">
        <f t="shared" si="1167"/>
        <v/>
      </c>
      <c r="C13252" s="138" t="str">
        <f t="shared" si="1168"/>
        <v/>
      </c>
      <c r="D13252" s="138" t="str">
        <f t="shared" si="1171"/>
        <v/>
      </c>
      <c r="E13252" s="138" t="str">
        <f t="shared" si="1169"/>
        <v/>
      </c>
      <c r="F13252" s="138" t="str">
        <f t="shared" si="1170"/>
        <v/>
      </c>
      <c r="G13252" s="153" t="s">
        <v>51</v>
      </c>
      <c r="H13252" s="160"/>
      <c r="I13252" s="160" t="s">
        <v>47</v>
      </c>
      <c r="J13252" s="160" t="s">
        <v>52</v>
      </c>
      <c r="K13252" s="160" t="s">
        <v>27</v>
      </c>
      <c r="L13252" s="154" t="str">
        <f>IF(OpenLCAbasic!K13252="CTUh", "Fill in Manually",IF(OR(K13252="Unit", K13252=""), "", INDEX(LookUps!$E$5:$E$12, MATCH(OpenLCAbasic!K13252,LookUps!$D$5:$D$12,0))))</f>
        <v/>
      </c>
      <c r="M13252" s="154" t="str">
        <f t="shared" ref="M13252:M13315" si="1172">CONCATENATE(E13252,"_",D13252,"_",F13252,"_",L13252, "_",I13252,"_", C13252,"_", B13252)</f>
        <v>____Process__</v>
      </c>
    </row>
    <row r="13253" spans="1:13" s="120" customFormat="1" x14ac:dyDescent="0.25">
      <c r="A13253" s="119"/>
      <c r="B13253" s="138" t="str">
        <f t="shared" si="1167"/>
        <v>Aerated Static Pile</v>
      </c>
      <c r="C13253" s="138" t="str">
        <f t="shared" si="1168"/>
        <v>Without Amendment</v>
      </c>
      <c r="D13253" s="138" t="str">
        <f t="shared" si="1171"/>
        <v>Medium_Base</v>
      </c>
      <c r="E13253" s="138" t="str">
        <f t="shared" si="1169"/>
        <v>Low</v>
      </c>
      <c r="F13253" s="138" t="str">
        <f t="shared" si="1170"/>
        <v>Upgraded</v>
      </c>
      <c r="G13253" s="153"/>
      <c r="H13253" s="210">
        <v>0.7923</v>
      </c>
      <c r="I13253" s="160" t="s">
        <v>58</v>
      </c>
      <c r="J13253" s="160">
        <v>0.24568999999999999</v>
      </c>
      <c r="K13253" s="160" t="s">
        <v>23</v>
      </c>
      <c r="L13253" s="154" t="str">
        <f>IF(OpenLCAbasic!K13253="CTUh", "Fill in Manually",IF(OR(K13253="Unit", K13253=""), "", INDEX(LookUps!$E$5:$E$12, MATCH(OpenLCAbasic!K13253,LookUps!$D$5:$D$12,0))))</f>
        <v>Global Warming Potential (GWP) - kg CO2 eq</v>
      </c>
      <c r="M13253" s="154" t="str">
        <f t="shared" si="1172"/>
        <v>Low_Medium_Base_Upgraded_Global Warming Potential (GWP) - kg CO2 eq_Pre-Anoxic &amp; Swing tank; wastewater treatment unit; at updated plant - US_Without Amendment_Aerated Static Pile</v>
      </c>
    </row>
    <row r="13254" spans="1:13" s="120" customFormat="1" x14ac:dyDescent="0.25">
      <c r="A13254" s="119"/>
      <c r="B13254" s="138" t="str">
        <f t="shared" si="1167"/>
        <v>Aerated Static Pile</v>
      </c>
      <c r="C13254" s="138" t="str">
        <f t="shared" si="1168"/>
        <v>Without Amendment</v>
      </c>
      <c r="D13254" s="138" t="str">
        <f t="shared" si="1171"/>
        <v>Medium_Base</v>
      </c>
      <c r="E13254" s="138" t="str">
        <f t="shared" si="1169"/>
        <v>Low</v>
      </c>
      <c r="F13254" s="138" t="str">
        <f t="shared" si="1170"/>
        <v>Upgraded</v>
      </c>
      <c r="G13254" s="153"/>
      <c r="H13254" s="210">
        <v>0.54249999999999998</v>
      </c>
      <c r="I13254" s="160" t="s">
        <v>55</v>
      </c>
      <c r="J13254" s="160">
        <v>0.16822000000000001</v>
      </c>
      <c r="K13254" s="160" t="s">
        <v>23</v>
      </c>
      <c r="L13254" s="154" t="str">
        <f>IF(OpenLCAbasic!K13254="CTUh", "Fill in Manually",IF(OR(K13254="Unit", K13254=""), "", INDEX(LookUps!$E$5:$E$12, MATCH(OpenLCAbasic!K13254,LookUps!$D$5:$D$12,0))))</f>
        <v>Global Warming Potential (GWP) - kg CO2 eq</v>
      </c>
      <c r="M13254" s="154" t="str">
        <f t="shared" si="1172"/>
        <v>Low_Medium_Base_Upgraded_Global Warming Potential (GWP) - kg CO2 eq_Aeration Tanks; wastewater treatment unit; at updated plant - US_Without Amendment_Aerated Static Pile</v>
      </c>
    </row>
    <row r="13255" spans="1:13" s="120" customFormat="1" x14ac:dyDescent="0.25">
      <c r="A13255" s="119"/>
      <c r="B13255" s="138" t="str">
        <f t="shared" si="1167"/>
        <v>Aerated Static Pile</v>
      </c>
      <c r="C13255" s="138" t="str">
        <f t="shared" si="1168"/>
        <v>Without Amendment</v>
      </c>
      <c r="D13255" s="138" t="str">
        <f t="shared" si="1171"/>
        <v>Medium_Base</v>
      </c>
      <c r="E13255" s="138" t="str">
        <f t="shared" si="1169"/>
        <v>Low</v>
      </c>
      <c r="F13255" s="138" t="str">
        <f t="shared" si="1170"/>
        <v>Upgraded</v>
      </c>
      <c r="G13255" s="153"/>
      <c r="H13255" s="210">
        <v>0.39839999999999998</v>
      </c>
      <c r="I13255" s="160" t="s">
        <v>167</v>
      </c>
      <c r="J13255" s="160">
        <v>0.12354999999999999</v>
      </c>
      <c r="K13255" s="160" t="s">
        <v>23</v>
      </c>
      <c r="L13255" s="154" t="str">
        <f>IF(OpenLCAbasic!K13255="CTUh", "Fill in Manually",IF(OR(K13255="Unit", K13255=""), "", INDEX(LookUps!$E$5:$E$12, MATCH(OpenLCAbasic!K13255,LookUps!$D$5:$D$12,0))))</f>
        <v>Global Warming Potential (GWP) - kg CO2 eq</v>
      </c>
      <c r="M13255" s="154" t="str">
        <f t="shared" si="1172"/>
        <v>Low_Medium_Base_Upgraded_Global Warming Potential (GWP) - kg CO2 eq_Waste Receiving and Holding; wastewater treatment unit; at updated plant - US_Without Amendment_Aerated Static Pile</v>
      </c>
    </row>
    <row r="13256" spans="1:13" s="120" customFormat="1" x14ac:dyDescent="0.25">
      <c r="A13256" s="119"/>
      <c r="B13256" s="138" t="str">
        <f t="shared" si="1167"/>
        <v>Aerated Static Pile</v>
      </c>
      <c r="C13256" s="138" t="str">
        <f t="shared" si="1168"/>
        <v>Without Amendment</v>
      </c>
      <c r="D13256" s="138" t="str">
        <f t="shared" si="1171"/>
        <v>Medium_Base</v>
      </c>
      <c r="E13256" s="138" t="str">
        <f t="shared" si="1169"/>
        <v>Low</v>
      </c>
      <c r="F13256" s="138" t="str">
        <f t="shared" si="1170"/>
        <v>Upgraded</v>
      </c>
      <c r="G13256" s="153"/>
      <c r="H13256" s="210">
        <v>0.24299999999999999</v>
      </c>
      <c r="I13256" s="160" t="s">
        <v>435</v>
      </c>
      <c r="J13256" s="160">
        <v>7.5359999999999996E-2</v>
      </c>
      <c r="K13256" s="160" t="s">
        <v>23</v>
      </c>
      <c r="L13256" s="154" t="str">
        <f>IF(OpenLCAbasic!K13256="CTUh", "Fill in Manually",IF(OR(K13256="Unit", K13256=""), "", INDEX(LookUps!$E$5:$E$12, MATCH(OpenLCAbasic!K13256,LookUps!$D$5:$D$12,0))))</f>
        <v>Global Warming Potential (GWP) - kg CO2 eq</v>
      </c>
      <c r="M13256" s="154" t="str">
        <f t="shared" si="1172"/>
        <v>Low_Medium_Base_Upgraded_Global Warming Potential (GWP) - kg CO2 eq_Biosolids composting; aerated static pile; wastewater treatment unit; at updated plant - US_Without Amendment_Aerated Static Pile</v>
      </c>
    </row>
    <row r="13257" spans="1:13" s="120" customFormat="1" x14ac:dyDescent="0.25">
      <c r="A13257" s="119"/>
      <c r="B13257" s="138" t="str">
        <f t="shared" si="1167"/>
        <v>Aerated Static Pile</v>
      </c>
      <c r="C13257" s="138" t="str">
        <f t="shared" si="1168"/>
        <v>Without Amendment</v>
      </c>
      <c r="D13257" s="138" t="str">
        <f t="shared" si="1171"/>
        <v>Medium_Base</v>
      </c>
      <c r="E13257" s="138" t="str">
        <f t="shared" si="1169"/>
        <v>Low</v>
      </c>
      <c r="F13257" s="138" t="str">
        <f t="shared" si="1170"/>
        <v>Upgraded</v>
      </c>
      <c r="G13257" s="153"/>
      <c r="H13257" s="210">
        <v>0.18410000000000001</v>
      </c>
      <c r="I13257" s="160" t="s">
        <v>54</v>
      </c>
      <c r="J13257" s="160">
        <v>5.7079999999999999E-2</v>
      </c>
      <c r="K13257" s="160" t="s">
        <v>23</v>
      </c>
      <c r="L13257" s="154" t="str">
        <f>IF(OpenLCAbasic!K13257="CTUh", "Fill in Manually",IF(OR(K13257="Unit", K13257=""), "", INDEX(LookUps!$E$5:$E$12, MATCH(OpenLCAbasic!K13257,LookUps!$D$5:$D$12,0))))</f>
        <v>Global Warming Potential (GWP) - kg CO2 eq</v>
      </c>
      <c r="M13257" s="154" t="str">
        <f t="shared" si="1172"/>
        <v>Low_Medium_Base_Upgraded_Global Warming Potential (GWP) - kg CO2 eq_Clear Cove Primary Clarification; wastewater treatment unit; at updated plant - US_Without Amendment_Aerated Static Pile</v>
      </c>
    </row>
    <row r="13258" spans="1:13" s="120" customFormat="1" x14ac:dyDescent="0.25">
      <c r="A13258" s="119"/>
      <c r="B13258" s="138" t="str">
        <f t="shared" si="1167"/>
        <v>Aerated Static Pile</v>
      </c>
      <c r="C13258" s="138" t="str">
        <f t="shared" si="1168"/>
        <v>Without Amendment</v>
      </c>
      <c r="D13258" s="138" t="str">
        <f t="shared" si="1171"/>
        <v>Medium_Base</v>
      </c>
      <c r="E13258" s="138" t="str">
        <f t="shared" si="1169"/>
        <v>Low</v>
      </c>
      <c r="F13258" s="138" t="str">
        <f t="shared" si="1170"/>
        <v>Upgraded</v>
      </c>
      <c r="G13258" s="153"/>
      <c r="H13258" s="210">
        <v>0.16969999999999999</v>
      </c>
      <c r="I13258" s="160" t="s">
        <v>48</v>
      </c>
      <c r="J13258" s="160">
        <v>5.2639999999999999E-2</v>
      </c>
      <c r="K13258" s="160" t="s">
        <v>23</v>
      </c>
      <c r="L13258" s="154" t="str">
        <f>IF(OpenLCAbasic!K13258="CTUh", "Fill in Manually",IF(OR(K13258="Unit", K13258=""), "", INDEX(LookUps!$E$5:$E$12, MATCH(OpenLCAbasic!K13258,LookUps!$D$5:$D$12,0))))</f>
        <v>Global Warming Potential (GWP) - kg CO2 eq</v>
      </c>
      <c r="M13258" s="154" t="str">
        <f t="shared" si="1172"/>
        <v>Low_Medium_Base_Upgraded_Global Warming Potential (GWP) - kg CO2 eq_Effluent release; wastewater treatment unit; at surface water; m3 wastewater - US_Without Amendment_Aerated Static Pile</v>
      </c>
    </row>
    <row r="13259" spans="1:13" s="120" customFormat="1" x14ac:dyDescent="0.25">
      <c r="A13259" s="119"/>
      <c r="B13259" s="138" t="str">
        <f t="shared" si="1167"/>
        <v>Aerated Static Pile</v>
      </c>
      <c r="C13259" s="138" t="str">
        <f t="shared" si="1168"/>
        <v>Without Amendment</v>
      </c>
      <c r="D13259" s="138" t="str">
        <f t="shared" si="1171"/>
        <v>Medium_Base</v>
      </c>
      <c r="E13259" s="138" t="str">
        <f t="shared" si="1169"/>
        <v>Low</v>
      </c>
      <c r="F13259" s="138" t="str">
        <f t="shared" si="1170"/>
        <v>Upgraded</v>
      </c>
      <c r="G13259" s="153"/>
      <c r="H13259" s="210">
        <v>0.16289999999999999</v>
      </c>
      <c r="I13259" s="160" t="s">
        <v>147</v>
      </c>
      <c r="J13259" s="160">
        <v>5.0500000000000003E-2</v>
      </c>
      <c r="K13259" s="160" t="s">
        <v>23</v>
      </c>
      <c r="L13259" s="154" t="str">
        <f>IF(OpenLCAbasic!K13259="CTUh", "Fill in Manually",IF(OR(K13259="Unit", K13259=""), "", INDEX(LookUps!$E$5:$E$12, MATCH(OpenLCAbasic!K13259,LookUps!$D$5:$D$12,0))))</f>
        <v>Global Warming Potential (GWP) - kg CO2 eq</v>
      </c>
      <c r="M13259" s="154" t="str">
        <f t="shared" si="1172"/>
        <v>Low_Medium_Base_Upgraded_Global Warming Potential (GWP) - kg CO2 eq_Influent Pump Station; wastewater treatment unit; at updated plant - US_Without Amendment_Aerated Static Pile</v>
      </c>
    </row>
    <row r="13260" spans="1:13" s="120" customFormat="1" x14ac:dyDescent="0.25">
      <c r="A13260" s="119"/>
      <c r="B13260" s="138" t="str">
        <f t="shared" si="1167"/>
        <v>Aerated Static Pile</v>
      </c>
      <c r="C13260" s="138" t="str">
        <f t="shared" si="1168"/>
        <v>Without Amendment</v>
      </c>
      <c r="D13260" s="138" t="str">
        <f t="shared" si="1171"/>
        <v>Medium_Base</v>
      </c>
      <c r="E13260" s="138" t="str">
        <f t="shared" si="1169"/>
        <v>Low</v>
      </c>
      <c r="F13260" s="138" t="str">
        <f t="shared" si="1170"/>
        <v>Upgraded</v>
      </c>
      <c r="G13260" s="153"/>
      <c r="H13260" s="210">
        <v>0.1072</v>
      </c>
      <c r="I13260" s="160" t="s">
        <v>53</v>
      </c>
      <c r="J13260" s="160">
        <v>3.3259999999999998E-2</v>
      </c>
      <c r="K13260" s="160" t="s">
        <v>23</v>
      </c>
      <c r="L13260" s="154" t="str">
        <f>IF(OpenLCAbasic!K13260="CTUh", "Fill in Manually",IF(OR(K13260="Unit", K13260=""), "", INDEX(LookUps!$E$5:$E$12, MATCH(OpenLCAbasic!K13260,LookUps!$D$5:$D$12,0))))</f>
        <v>Global Warming Potential (GWP) - kg CO2 eq</v>
      </c>
      <c r="M13260" s="154" t="str">
        <f t="shared" si="1172"/>
        <v>Low_Medium_Base_Upgraded_Global Warming Potential (GWP) - kg CO2 eq_Wet Well and Sump Station; wastewater treatment unit; at updated plant - US_Without Amendment_Aerated Static Pile</v>
      </c>
    </row>
    <row r="13261" spans="1:13" s="120" customFormat="1" x14ac:dyDescent="0.25">
      <c r="A13261" s="119"/>
      <c r="B13261" s="138" t="str">
        <f t="shared" si="1167"/>
        <v>Aerated Static Pile</v>
      </c>
      <c r="C13261" s="138" t="str">
        <f t="shared" si="1168"/>
        <v>Without Amendment</v>
      </c>
      <c r="D13261" s="138" t="str">
        <f t="shared" si="1171"/>
        <v>Medium_Base</v>
      </c>
      <c r="E13261" s="138" t="str">
        <f t="shared" si="1169"/>
        <v>Low</v>
      </c>
      <c r="F13261" s="138" t="str">
        <f t="shared" si="1170"/>
        <v>Upgraded</v>
      </c>
      <c r="G13261" s="153"/>
      <c r="H13261" s="210">
        <v>5.6899999999999999E-2</v>
      </c>
      <c r="I13261" s="160" t="s">
        <v>60</v>
      </c>
      <c r="J13261" s="160">
        <v>1.7639999999999999E-2</v>
      </c>
      <c r="K13261" s="160" t="s">
        <v>23</v>
      </c>
      <c r="L13261" s="154" t="str">
        <f>IF(OpenLCAbasic!K13261="CTUh", "Fill in Manually",IF(OR(K13261="Unit", K13261=""), "", INDEX(LookUps!$E$5:$E$12, MATCH(OpenLCAbasic!K13261,LookUps!$D$5:$D$12,0))))</f>
        <v>Global Warming Potential (GWP) - kg CO2 eq</v>
      </c>
      <c r="M13261" s="154" t="str">
        <f t="shared" si="1172"/>
        <v>Low_Medium_Base_Upgraded_Global Warming Potential (GWP) - kg CO2 eq_Belt filter press; wastewater treatment unit; at updated plant - US_Without Amendment_Aerated Static Pile</v>
      </c>
    </row>
    <row r="13262" spans="1:13" s="120" customFormat="1" x14ac:dyDescent="0.25">
      <c r="A13262" s="119"/>
      <c r="B13262" s="138" t="str">
        <f t="shared" si="1167"/>
        <v>Aerated Static Pile</v>
      </c>
      <c r="C13262" s="138" t="str">
        <f t="shared" si="1168"/>
        <v>Without Amendment</v>
      </c>
      <c r="D13262" s="138" t="str">
        <f t="shared" si="1171"/>
        <v>Medium_Base</v>
      </c>
      <c r="E13262" s="138" t="str">
        <f t="shared" si="1169"/>
        <v>Low</v>
      </c>
      <c r="F13262" s="138" t="str">
        <f t="shared" si="1170"/>
        <v>Upgraded</v>
      </c>
      <c r="G13262" s="153"/>
      <c r="H13262" s="210">
        <v>4.6899999999999997E-2</v>
      </c>
      <c r="I13262" s="160" t="s">
        <v>57</v>
      </c>
      <c r="J13262" s="160">
        <v>1.455E-2</v>
      </c>
      <c r="K13262" s="160" t="s">
        <v>23</v>
      </c>
      <c r="L13262" s="154" t="str">
        <f>IF(OpenLCAbasic!K13262="CTUh", "Fill in Manually",IF(OR(K13262="Unit", K13262=""), "", INDEX(LookUps!$E$5:$E$12, MATCH(OpenLCAbasic!K13262,LookUps!$D$5:$D$12,0))))</f>
        <v>Global Warming Potential (GWP) - kg CO2 eq</v>
      </c>
      <c r="M13262" s="154" t="str">
        <f t="shared" si="1172"/>
        <v>Low_Medium_Base_Upgraded_Global Warming Potential (GWP) - kg CO2 eq_Gravity Belt Thickener; wastewater treatment unit; at updated plant - US_Without Amendment_Aerated Static Pile</v>
      </c>
    </row>
    <row r="13263" spans="1:13" s="120" customFormat="1" x14ac:dyDescent="0.25">
      <c r="A13263" s="119"/>
      <c r="B13263" s="138" t="str">
        <f t="shared" si="1167"/>
        <v>Aerated Static Pile</v>
      </c>
      <c r="C13263" s="138" t="str">
        <f t="shared" si="1168"/>
        <v>Without Amendment</v>
      </c>
      <c r="D13263" s="138" t="str">
        <f t="shared" si="1171"/>
        <v>Medium_Base</v>
      </c>
      <c r="E13263" s="138" t="str">
        <f t="shared" si="1169"/>
        <v>Low</v>
      </c>
      <c r="F13263" s="138" t="str">
        <f t="shared" si="1170"/>
        <v>Upgraded</v>
      </c>
      <c r="G13263" s="153"/>
      <c r="H13263" s="210">
        <v>4.36E-2</v>
      </c>
      <c r="I13263" s="160" t="s">
        <v>128</v>
      </c>
      <c r="J13263" s="160">
        <v>1.3509999999999999E-2</v>
      </c>
      <c r="K13263" s="160" t="s">
        <v>23</v>
      </c>
      <c r="L13263" s="154" t="str">
        <f>IF(OpenLCAbasic!K13263="CTUh", "Fill in Manually",IF(OR(K13263="Unit", K13263=""), "", INDEX(LookUps!$E$5:$E$12, MATCH(OpenLCAbasic!K13263,LookUps!$D$5:$D$12,0))))</f>
        <v>Global Warming Potential (GWP) - kg CO2 eq</v>
      </c>
      <c r="M13263" s="154" t="str">
        <f t="shared" si="1172"/>
        <v>Low_Medium_Base_Upgraded_Global Warming Potential (GWP) - kg CO2 eq_Wastewater collection; operation and infrastructure; m3 wastewater_Without Amendment_Aerated Static Pile</v>
      </c>
    </row>
    <row r="13264" spans="1:13" s="120" customFormat="1" x14ac:dyDescent="0.25">
      <c r="A13264" s="119"/>
      <c r="B13264" s="138" t="str">
        <f t="shared" si="1167"/>
        <v>Aerated Static Pile</v>
      </c>
      <c r="C13264" s="138" t="str">
        <f t="shared" si="1168"/>
        <v>Without Amendment</v>
      </c>
      <c r="D13264" s="138" t="str">
        <f t="shared" si="1171"/>
        <v>Medium_Base</v>
      </c>
      <c r="E13264" s="138" t="str">
        <f t="shared" si="1169"/>
        <v>Low</v>
      </c>
      <c r="F13264" s="138" t="str">
        <f t="shared" si="1170"/>
        <v>Upgraded</v>
      </c>
      <c r="G13264" s="153"/>
      <c r="H13264" s="210">
        <v>2.6800000000000001E-2</v>
      </c>
      <c r="I13264" s="160" t="s">
        <v>148</v>
      </c>
      <c r="J13264" s="160">
        <v>8.3000000000000001E-3</v>
      </c>
      <c r="K13264" s="160" t="s">
        <v>23</v>
      </c>
      <c r="L13264" s="154" t="str">
        <f>IF(OpenLCAbasic!K13264="CTUh", "Fill in Manually",IF(OR(K13264="Unit", K13264=""), "", INDEX(LookUps!$E$5:$E$12, MATCH(OpenLCAbasic!K13264,LookUps!$D$5:$D$12,0))))</f>
        <v>Global Warming Potential (GWP) - kg CO2 eq</v>
      </c>
      <c r="M13264" s="154" t="str">
        <f t="shared" si="1172"/>
        <v>Low_Medium_Base_Upgraded_Global Warming Potential (GWP) - kg CO2 eq_Control Building; at upgraded wastewater treatment plant - US_Without Amendment_Aerated Static Pile</v>
      </c>
    </row>
    <row r="13265" spans="1:13" s="120" customFormat="1" x14ac:dyDescent="0.25">
      <c r="A13265" s="119"/>
      <c r="B13265" s="138" t="str">
        <f t="shared" si="1167"/>
        <v>Aerated Static Pile</v>
      </c>
      <c r="C13265" s="138" t="str">
        <f t="shared" si="1168"/>
        <v>Without Amendment</v>
      </c>
      <c r="D13265" s="138" t="str">
        <f t="shared" si="1171"/>
        <v>Medium_Base</v>
      </c>
      <c r="E13265" s="138" t="str">
        <f t="shared" si="1169"/>
        <v>Low</v>
      </c>
      <c r="F13265" s="138" t="str">
        <f t="shared" si="1170"/>
        <v>Upgraded</v>
      </c>
      <c r="G13265" s="153"/>
      <c r="H13265" s="210">
        <v>1.6299999999999999E-2</v>
      </c>
      <c r="I13265" s="160" t="s">
        <v>59</v>
      </c>
      <c r="J13265" s="160">
        <v>5.0400000000000002E-3</v>
      </c>
      <c r="K13265" s="160" t="s">
        <v>23</v>
      </c>
      <c r="L13265" s="154" t="str">
        <f>IF(OpenLCAbasic!K13265="CTUh", "Fill in Manually",IF(OR(K13265="Unit", K13265=""), "", INDEX(LookUps!$E$5:$E$12, MATCH(OpenLCAbasic!K13265,LookUps!$D$5:$D$12,0))))</f>
        <v>Global Warming Potential (GWP) - kg CO2 eq</v>
      </c>
      <c r="M13265" s="154" t="str">
        <f t="shared" si="1172"/>
        <v>Low_Medium_Base_Upgraded_Global Warming Potential (GWP) - kg CO2 eq_Blend Tank; wastewater treatment unit; at updated plant - US_Without Amendment_Aerated Static Pile</v>
      </c>
    </row>
    <row r="13266" spans="1:13" s="120" customFormat="1" x14ac:dyDescent="0.25">
      <c r="A13266" s="119"/>
      <c r="B13266" s="138" t="str">
        <f t="shared" si="1167"/>
        <v>Aerated Static Pile</v>
      </c>
      <c r="C13266" s="138" t="str">
        <f t="shared" si="1168"/>
        <v>Without Amendment</v>
      </c>
      <c r="D13266" s="138" t="str">
        <f t="shared" si="1171"/>
        <v>Medium_Base</v>
      </c>
      <c r="E13266" s="138" t="str">
        <f t="shared" si="1169"/>
        <v>Low</v>
      </c>
      <c r="F13266" s="138" t="str">
        <f t="shared" si="1170"/>
        <v>Upgraded</v>
      </c>
      <c r="G13266" s="153"/>
      <c r="H13266" s="210">
        <v>7.7999999999999996E-3</v>
      </c>
      <c r="I13266" s="160" t="s">
        <v>168</v>
      </c>
      <c r="J13266" s="160">
        <v>2.4099999999999998E-3</v>
      </c>
      <c r="K13266" s="160" t="s">
        <v>23</v>
      </c>
      <c r="L13266" s="154" t="str">
        <f>IF(OpenLCAbasic!K13266="CTUh", "Fill in Manually",IF(OR(K13266="Unit", K13266=""), "", INDEX(LookUps!$E$5:$E$12, MATCH(OpenLCAbasic!K13266,LookUps!$D$5:$D$12,0))))</f>
        <v>Global Warming Potential (GWP) - kg CO2 eq</v>
      </c>
      <c r="M13266" s="154" t="str">
        <f t="shared" si="1172"/>
        <v>Low_Medium_Base_Upgraded_Global Warming Potential (GWP) - kg CO2 eq_ClearCove SCP; wastewater treatment unit; at updated plant - US_Without Amendment_Aerated Static Pile</v>
      </c>
    </row>
    <row r="13267" spans="1:13" s="120" customFormat="1" x14ac:dyDescent="0.25">
      <c r="A13267" s="119"/>
      <c r="B13267" s="138" t="str">
        <f t="shared" si="1167"/>
        <v>Aerated Static Pile</v>
      </c>
      <c r="C13267" s="138" t="str">
        <f t="shared" si="1168"/>
        <v>Without Amendment</v>
      </c>
      <c r="D13267" s="138" t="str">
        <f t="shared" si="1171"/>
        <v>Medium_Base</v>
      </c>
      <c r="E13267" s="138" t="str">
        <f t="shared" si="1169"/>
        <v>Low</v>
      </c>
      <c r="F13267" s="138" t="str">
        <f t="shared" si="1170"/>
        <v>Upgraded</v>
      </c>
      <c r="G13267" s="153"/>
      <c r="H13267" s="210">
        <v>-0.60519999999999996</v>
      </c>
      <c r="I13267" s="160" t="s">
        <v>62</v>
      </c>
      <c r="J13267" s="160">
        <v>-0.18768000000000001</v>
      </c>
      <c r="K13267" s="160" t="s">
        <v>23</v>
      </c>
      <c r="L13267" s="154" t="str">
        <f>IF(OpenLCAbasic!K13267="CTUh", "Fill in Manually",IF(OR(K13267="Unit", K13267=""), "", INDEX(LookUps!$E$5:$E$12, MATCH(OpenLCAbasic!K13267,LookUps!$D$5:$D$12,0))))</f>
        <v>Global Warming Potential (GWP) - kg CO2 eq</v>
      </c>
      <c r="M13267" s="154" t="str">
        <f t="shared" si="1172"/>
        <v>Low_Medium_Base_Upgraded_Global Warming Potential (GWP) - kg CO2 eq_Land application of compost; wastewater treatment unit; at updated plant - US_Without Amendment_Aerated Static Pile</v>
      </c>
    </row>
    <row r="13268" spans="1:13" s="120" customFormat="1" x14ac:dyDescent="0.25">
      <c r="A13268" s="119"/>
      <c r="B13268" s="138" t="str">
        <f t="shared" si="1167"/>
        <v>Aerated Static Pile</v>
      </c>
      <c r="C13268" s="138" t="str">
        <f t="shared" si="1168"/>
        <v>Without Amendment</v>
      </c>
      <c r="D13268" s="138" t="str">
        <f t="shared" si="1171"/>
        <v>Medium_Base</v>
      </c>
      <c r="E13268" s="138" t="str">
        <f t="shared" si="1169"/>
        <v>Low</v>
      </c>
      <c r="F13268" s="138" t="str">
        <f t="shared" si="1170"/>
        <v>Upgraded</v>
      </c>
      <c r="G13268" s="153"/>
      <c r="H13268" s="210">
        <v>-1.1931</v>
      </c>
      <c r="I13268" s="160" t="s">
        <v>149</v>
      </c>
      <c r="J13268" s="160">
        <v>-0.36997999999999998</v>
      </c>
      <c r="K13268" s="160" t="s">
        <v>23</v>
      </c>
      <c r="L13268" s="154" t="str">
        <f>IF(OpenLCAbasic!K13268="CTUh", "Fill in Manually",IF(OR(K13268="Unit", K13268=""), "", INDEX(LookUps!$E$5:$E$12, MATCH(OpenLCAbasic!K13268,LookUps!$D$5:$D$12,0))))</f>
        <v>Global Warming Potential (GWP) - kg CO2 eq</v>
      </c>
      <c r="M13268" s="154" t="str">
        <f t="shared" si="1172"/>
        <v>Low_Medium_Base_Upgraded_Global Warming Potential (GWP) - kg CO2 eq_Anaerobic Digestion; wastewater treatment unit; at updated plant - US_Without Amendment_Aerated Static Pile</v>
      </c>
    </row>
    <row r="13269" spans="1:13" s="120" customFormat="1" x14ac:dyDescent="0.25">
      <c r="A13269" s="119"/>
      <c r="B13269" s="138" t="str">
        <f t="shared" si="1167"/>
        <v/>
      </c>
      <c r="C13269" s="138" t="str">
        <f t="shared" si="1168"/>
        <v/>
      </c>
      <c r="D13269" s="138" t="str">
        <f t="shared" si="1171"/>
        <v/>
      </c>
      <c r="E13269" s="138" t="str">
        <f t="shared" si="1169"/>
        <v/>
      </c>
      <c r="F13269" s="138" t="str">
        <f t="shared" si="1170"/>
        <v/>
      </c>
      <c r="G13269" s="153" t="s">
        <v>51</v>
      </c>
      <c r="H13269" s="160"/>
      <c r="I13269" s="160" t="s">
        <v>47</v>
      </c>
      <c r="J13269" s="160" t="s">
        <v>52</v>
      </c>
      <c r="K13269" s="160" t="s">
        <v>27</v>
      </c>
      <c r="L13269" s="154" t="str">
        <f>IF(OpenLCAbasic!K13269="CTUh", "Fill in Manually",IF(OR(K13269="Unit", K13269=""), "", INDEX(LookUps!$E$5:$E$12, MATCH(OpenLCAbasic!K13269,LookUps!$D$5:$D$12,0))))</f>
        <v/>
      </c>
      <c r="M13269" s="154" t="str">
        <f t="shared" si="1172"/>
        <v>____Process__</v>
      </c>
    </row>
    <row r="13270" spans="1:13" s="120" customFormat="1" x14ac:dyDescent="0.25">
      <c r="A13270" s="119"/>
      <c r="B13270" s="138" t="str">
        <f t="shared" si="1167"/>
        <v>Aerated Static Pile</v>
      </c>
      <c r="C13270" s="138" t="str">
        <f t="shared" si="1168"/>
        <v>Without Amendment</v>
      </c>
      <c r="D13270" s="138" t="str">
        <f t="shared" si="1171"/>
        <v>Medium_Base</v>
      </c>
      <c r="E13270" s="138" t="str">
        <f t="shared" si="1169"/>
        <v>Low</v>
      </c>
      <c r="F13270" s="138" t="str">
        <f t="shared" si="1170"/>
        <v>Upgraded</v>
      </c>
      <c r="G13270" s="153"/>
      <c r="H13270" s="210">
        <v>0.79410000000000003</v>
      </c>
      <c r="I13270" s="160" t="s">
        <v>55</v>
      </c>
      <c r="J13270" s="160">
        <v>2.33E-3</v>
      </c>
      <c r="K13270" s="160" t="s">
        <v>145</v>
      </c>
      <c r="L13270" s="154" t="str">
        <f>IF(OpenLCAbasic!K13270="CTUh", "Fill in Manually",IF(OR(K13270="Unit", K13270=""), "", INDEX(LookUps!$E$5:$E$12, MATCH(OpenLCAbasic!K13270,LookUps!$D$5:$D$12,0))))</f>
        <v>Particulate Matter Formation Potential (PMFP) - kg PM2.5 eq</v>
      </c>
      <c r="M13270" s="154" t="str">
        <f t="shared" si="1172"/>
        <v>Low_Medium_Base_Upgraded_Particulate Matter Formation Potential (PMFP) - kg PM2.5 eq_Aeration Tanks; wastewater treatment unit; at updated plant - US_Without Amendment_Aerated Static Pile</v>
      </c>
    </row>
    <row r="13271" spans="1:13" s="120" customFormat="1" x14ac:dyDescent="0.25">
      <c r="A13271" s="119"/>
      <c r="B13271" s="138" t="str">
        <f t="shared" si="1167"/>
        <v>Aerated Static Pile</v>
      </c>
      <c r="C13271" s="138" t="str">
        <f t="shared" si="1168"/>
        <v>Without Amendment</v>
      </c>
      <c r="D13271" s="138" t="str">
        <f t="shared" si="1171"/>
        <v>Medium_Base</v>
      </c>
      <c r="E13271" s="138" t="str">
        <f t="shared" si="1169"/>
        <v>Low</v>
      </c>
      <c r="F13271" s="138" t="str">
        <f t="shared" si="1170"/>
        <v>Upgraded</v>
      </c>
      <c r="G13271" s="153"/>
      <c r="H13271" s="210">
        <v>0.2311</v>
      </c>
      <c r="I13271" s="160" t="s">
        <v>54</v>
      </c>
      <c r="J13271" s="160">
        <v>6.8000000000000005E-4</v>
      </c>
      <c r="K13271" s="160" t="s">
        <v>145</v>
      </c>
      <c r="L13271" s="154" t="str">
        <f>IF(OpenLCAbasic!K13271="CTUh", "Fill in Manually",IF(OR(K13271="Unit", K13271=""), "", INDEX(LookUps!$E$5:$E$12, MATCH(OpenLCAbasic!K13271,LookUps!$D$5:$D$12,0))))</f>
        <v>Particulate Matter Formation Potential (PMFP) - kg PM2.5 eq</v>
      </c>
      <c r="M13271" s="154" t="str">
        <f t="shared" si="1172"/>
        <v>Low_Medium_Base_Upgraded_Particulate Matter Formation Potential (PMFP) - kg PM2.5 eq_Clear Cove Primary Clarification; wastewater treatment unit; at updated plant - US_Without Amendment_Aerated Static Pile</v>
      </c>
    </row>
    <row r="13272" spans="1:13" s="120" customFormat="1" x14ac:dyDescent="0.25">
      <c r="A13272" s="119"/>
      <c r="B13272" s="138" t="str">
        <f t="shared" si="1167"/>
        <v>Aerated Static Pile</v>
      </c>
      <c r="C13272" s="138" t="str">
        <f t="shared" si="1168"/>
        <v>Without Amendment</v>
      </c>
      <c r="D13272" s="138" t="str">
        <f t="shared" si="1171"/>
        <v>Medium_Base</v>
      </c>
      <c r="E13272" s="138" t="str">
        <f t="shared" si="1169"/>
        <v>Low</v>
      </c>
      <c r="F13272" s="138" t="str">
        <f t="shared" si="1170"/>
        <v>Upgraded</v>
      </c>
      <c r="G13272" s="153"/>
      <c r="H13272" s="210">
        <v>0.20030000000000001</v>
      </c>
      <c r="I13272" s="160" t="s">
        <v>58</v>
      </c>
      <c r="J13272" s="160">
        <v>5.9000000000000003E-4</v>
      </c>
      <c r="K13272" s="160" t="s">
        <v>145</v>
      </c>
      <c r="L13272" s="154" t="str">
        <f>IF(OpenLCAbasic!K13272="CTUh", "Fill in Manually",IF(OR(K13272="Unit", K13272=""), "", INDEX(LookUps!$E$5:$E$12, MATCH(OpenLCAbasic!K13272,LookUps!$D$5:$D$12,0))))</f>
        <v>Particulate Matter Formation Potential (PMFP) - kg PM2.5 eq</v>
      </c>
      <c r="M13272" s="154" t="str">
        <f t="shared" si="1172"/>
        <v>Low_Medium_Base_Upgraded_Particulate Matter Formation Potential (PMFP) - kg PM2.5 eq_Pre-Anoxic &amp; Swing tank; wastewater treatment unit; at updated plant - US_Without Amendment_Aerated Static Pile</v>
      </c>
    </row>
    <row r="13273" spans="1:13" s="120" customFormat="1" x14ac:dyDescent="0.25">
      <c r="A13273" s="119"/>
      <c r="B13273" s="138" t="str">
        <f t="shared" si="1167"/>
        <v>Aerated Static Pile</v>
      </c>
      <c r="C13273" s="138" t="str">
        <f t="shared" si="1168"/>
        <v>Without Amendment</v>
      </c>
      <c r="D13273" s="138" t="str">
        <f t="shared" si="1171"/>
        <v>Medium_Base</v>
      </c>
      <c r="E13273" s="138" t="str">
        <f t="shared" si="1169"/>
        <v>Low</v>
      </c>
      <c r="F13273" s="138" t="str">
        <f t="shared" si="1170"/>
        <v>Upgraded</v>
      </c>
      <c r="G13273" s="153"/>
      <c r="H13273" s="210">
        <v>0.1588</v>
      </c>
      <c r="I13273" s="160" t="s">
        <v>53</v>
      </c>
      <c r="J13273" s="160">
        <v>4.6999999999999999E-4</v>
      </c>
      <c r="K13273" s="160" t="s">
        <v>145</v>
      </c>
      <c r="L13273" s="154" t="str">
        <f>IF(OpenLCAbasic!K13273="CTUh", "Fill in Manually",IF(OR(K13273="Unit", K13273=""), "", INDEX(LookUps!$E$5:$E$12, MATCH(OpenLCAbasic!K13273,LookUps!$D$5:$D$12,0))))</f>
        <v>Particulate Matter Formation Potential (PMFP) - kg PM2.5 eq</v>
      </c>
      <c r="M13273" s="154" t="str">
        <f t="shared" si="1172"/>
        <v>Low_Medium_Base_Upgraded_Particulate Matter Formation Potential (PMFP) - kg PM2.5 eq_Wet Well and Sump Station; wastewater treatment unit; at updated plant - US_Without Amendment_Aerated Static Pile</v>
      </c>
    </row>
    <row r="13274" spans="1:13" s="120" customFormat="1" x14ac:dyDescent="0.25">
      <c r="A13274" s="119"/>
      <c r="B13274" s="138" t="str">
        <f t="shared" si="1167"/>
        <v>Aerated Static Pile</v>
      </c>
      <c r="C13274" s="138" t="str">
        <f t="shared" si="1168"/>
        <v>Without Amendment</v>
      </c>
      <c r="D13274" s="138" t="str">
        <f t="shared" si="1171"/>
        <v>Medium_Base</v>
      </c>
      <c r="E13274" s="138" t="str">
        <f t="shared" si="1169"/>
        <v>Low</v>
      </c>
      <c r="F13274" s="138" t="str">
        <f t="shared" si="1170"/>
        <v>Upgraded</v>
      </c>
      <c r="G13274" s="153"/>
      <c r="H13274" s="210">
        <v>0.1071</v>
      </c>
      <c r="I13274" s="160" t="s">
        <v>167</v>
      </c>
      <c r="J13274" s="160">
        <v>3.1E-4</v>
      </c>
      <c r="K13274" s="160" t="s">
        <v>145</v>
      </c>
      <c r="L13274" s="154" t="str">
        <f>IF(OpenLCAbasic!K13274="CTUh", "Fill in Manually",IF(OR(K13274="Unit", K13274=""), "", INDEX(LookUps!$E$5:$E$12, MATCH(OpenLCAbasic!K13274,LookUps!$D$5:$D$12,0))))</f>
        <v>Particulate Matter Formation Potential (PMFP) - kg PM2.5 eq</v>
      </c>
      <c r="M13274" s="154" t="str">
        <f t="shared" si="1172"/>
        <v>Low_Medium_Base_Upgraded_Particulate Matter Formation Potential (PMFP) - kg PM2.5 eq_Waste Receiving and Holding; wastewater treatment unit; at updated plant - US_Without Amendment_Aerated Static Pile</v>
      </c>
    </row>
    <row r="13275" spans="1:13" s="120" customFormat="1" x14ac:dyDescent="0.25">
      <c r="A13275" s="119"/>
      <c r="B13275" s="138" t="str">
        <f t="shared" si="1167"/>
        <v>Aerated Static Pile</v>
      </c>
      <c r="C13275" s="138" t="str">
        <f t="shared" si="1168"/>
        <v>Without Amendment</v>
      </c>
      <c r="D13275" s="138" t="str">
        <f t="shared" si="1171"/>
        <v>Medium_Base</v>
      </c>
      <c r="E13275" s="138" t="str">
        <f t="shared" si="1169"/>
        <v>Low</v>
      </c>
      <c r="F13275" s="138" t="str">
        <f t="shared" si="1170"/>
        <v>Upgraded</v>
      </c>
      <c r="G13275" s="153"/>
      <c r="H13275" s="210">
        <v>0.10639999999999999</v>
      </c>
      <c r="I13275" s="160" t="s">
        <v>435</v>
      </c>
      <c r="J13275" s="160">
        <v>3.1E-4</v>
      </c>
      <c r="K13275" s="160" t="s">
        <v>145</v>
      </c>
      <c r="L13275" s="154" t="str">
        <f>IF(OpenLCAbasic!K13275="CTUh", "Fill in Manually",IF(OR(K13275="Unit", K13275=""), "", INDEX(LookUps!$E$5:$E$12, MATCH(OpenLCAbasic!K13275,LookUps!$D$5:$D$12,0))))</f>
        <v>Particulate Matter Formation Potential (PMFP) - kg PM2.5 eq</v>
      </c>
      <c r="M13275" s="154" t="str">
        <f t="shared" si="1172"/>
        <v>Low_Medium_Base_Upgraded_Particulate Matter Formation Potential (PMFP) - kg PM2.5 eq_Biosolids composting; aerated static pile; wastewater treatment unit; at updated plant - US_Without Amendment_Aerated Static Pile</v>
      </c>
    </row>
    <row r="13276" spans="1:13" s="120" customFormat="1" x14ac:dyDescent="0.25">
      <c r="A13276" s="119"/>
      <c r="B13276" s="138" t="str">
        <f t="shared" si="1167"/>
        <v>Aerated Static Pile</v>
      </c>
      <c r="C13276" s="138" t="str">
        <f t="shared" si="1168"/>
        <v>Without Amendment</v>
      </c>
      <c r="D13276" s="138" t="str">
        <f t="shared" si="1171"/>
        <v>Medium_Base</v>
      </c>
      <c r="E13276" s="138" t="str">
        <f t="shared" si="1169"/>
        <v>Low</v>
      </c>
      <c r="F13276" s="138" t="str">
        <f t="shared" si="1170"/>
        <v>Upgraded</v>
      </c>
      <c r="G13276" s="153"/>
      <c r="H13276" s="210">
        <v>9.0800000000000006E-2</v>
      </c>
      <c r="I13276" s="160" t="s">
        <v>147</v>
      </c>
      <c r="J13276" s="160">
        <v>2.7E-4</v>
      </c>
      <c r="K13276" s="160" t="s">
        <v>145</v>
      </c>
      <c r="L13276" s="154" t="str">
        <f>IF(OpenLCAbasic!K13276="CTUh", "Fill in Manually",IF(OR(K13276="Unit", K13276=""), "", INDEX(LookUps!$E$5:$E$12, MATCH(OpenLCAbasic!K13276,LookUps!$D$5:$D$12,0))))</f>
        <v>Particulate Matter Formation Potential (PMFP) - kg PM2.5 eq</v>
      </c>
      <c r="M13276" s="154" t="str">
        <f t="shared" si="1172"/>
        <v>Low_Medium_Base_Upgraded_Particulate Matter Formation Potential (PMFP) - kg PM2.5 eq_Influent Pump Station; wastewater treatment unit; at updated plant - US_Without Amendment_Aerated Static Pile</v>
      </c>
    </row>
    <row r="13277" spans="1:13" s="120" customFormat="1" x14ac:dyDescent="0.25">
      <c r="A13277" s="119"/>
      <c r="B13277" s="138" t="str">
        <f t="shared" si="1167"/>
        <v>Aerated Static Pile</v>
      </c>
      <c r="C13277" s="138" t="str">
        <f t="shared" si="1168"/>
        <v>Without Amendment</v>
      </c>
      <c r="D13277" s="138" t="str">
        <f t="shared" si="1171"/>
        <v>Medium_Base</v>
      </c>
      <c r="E13277" s="138" t="str">
        <f t="shared" si="1169"/>
        <v>Low</v>
      </c>
      <c r="F13277" s="138" t="str">
        <f t="shared" si="1170"/>
        <v>Upgraded</v>
      </c>
      <c r="G13277" s="153"/>
      <c r="H13277" s="210">
        <v>5.6599999999999998E-2</v>
      </c>
      <c r="I13277" s="160" t="s">
        <v>128</v>
      </c>
      <c r="J13277" s="160">
        <v>1.7000000000000001E-4</v>
      </c>
      <c r="K13277" s="160" t="s">
        <v>145</v>
      </c>
      <c r="L13277" s="154" t="str">
        <f>IF(OpenLCAbasic!K13277="CTUh", "Fill in Manually",IF(OR(K13277="Unit", K13277=""), "", INDEX(LookUps!$E$5:$E$12, MATCH(OpenLCAbasic!K13277,LookUps!$D$5:$D$12,0))))</f>
        <v>Particulate Matter Formation Potential (PMFP) - kg PM2.5 eq</v>
      </c>
      <c r="M13277" s="154" t="str">
        <f t="shared" si="1172"/>
        <v>Low_Medium_Base_Upgraded_Particulate Matter Formation Potential (PMFP) - kg PM2.5 eq_Wastewater collection; operation and infrastructure; m3 wastewater_Without Amendment_Aerated Static Pile</v>
      </c>
    </row>
    <row r="13278" spans="1:13" s="120" customFormat="1" x14ac:dyDescent="0.25">
      <c r="A13278" s="119"/>
      <c r="B13278" s="138" t="str">
        <f t="shared" si="1167"/>
        <v>Aerated Static Pile</v>
      </c>
      <c r="C13278" s="138" t="str">
        <f t="shared" si="1168"/>
        <v>Without Amendment</v>
      </c>
      <c r="D13278" s="138" t="str">
        <f t="shared" si="1171"/>
        <v>Medium_Base</v>
      </c>
      <c r="E13278" s="138" t="str">
        <f t="shared" si="1169"/>
        <v>Low</v>
      </c>
      <c r="F13278" s="138" t="str">
        <f t="shared" si="1170"/>
        <v>Upgraded</v>
      </c>
      <c r="G13278" s="153"/>
      <c r="H13278" s="210">
        <v>4.9099999999999998E-2</v>
      </c>
      <c r="I13278" s="160" t="s">
        <v>60</v>
      </c>
      <c r="J13278" s="160">
        <v>1.3999999999999999E-4</v>
      </c>
      <c r="K13278" s="160" t="s">
        <v>145</v>
      </c>
      <c r="L13278" s="154" t="str">
        <f>IF(OpenLCAbasic!K13278="CTUh", "Fill in Manually",IF(OR(K13278="Unit", K13278=""), "", INDEX(LookUps!$E$5:$E$12, MATCH(OpenLCAbasic!K13278,LookUps!$D$5:$D$12,0))))</f>
        <v>Particulate Matter Formation Potential (PMFP) - kg PM2.5 eq</v>
      </c>
      <c r="M13278" s="154" t="str">
        <f t="shared" si="1172"/>
        <v>Low_Medium_Base_Upgraded_Particulate Matter Formation Potential (PMFP) - kg PM2.5 eq_Belt filter press; wastewater treatment unit; at updated plant - US_Without Amendment_Aerated Static Pile</v>
      </c>
    </row>
    <row r="13279" spans="1:13" s="120" customFormat="1" x14ac:dyDescent="0.25">
      <c r="A13279" s="119"/>
      <c r="B13279" s="138" t="str">
        <f t="shared" si="1167"/>
        <v>Aerated Static Pile</v>
      </c>
      <c r="C13279" s="138" t="str">
        <f t="shared" si="1168"/>
        <v>Without Amendment</v>
      </c>
      <c r="D13279" s="138" t="str">
        <f t="shared" si="1171"/>
        <v>Medium_Base</v>
      </c>
      <c r="E13279" s="138" t="str">
        <f t="shared" si="1169"/>
        <v>Low</v>
      </c>
      <c r="F13279" s="138" t="str">
        <f t="shared" si="1170"/>
        <v>Upgraded</v>
      </c>
      <c r="G13279" s="153"/>
      <c r="H13279" s="210">
        <v>3.2399999999999998E-2</v>
      </c>
      <c r="I13279" s="160" t="s">
        <v>57</v>
      </c>
      <c r="J13279" s="211">
        <v>9.5153800000000004E-5</v>
      </c>
      <c r="K13279" s="160" t="s">
        <v>145</v>
      </c>
      <c r="L13279" s="154" t="str">
        <f>IF(OpenLCAbasic!K13279="CTUh", "Fill in Manually",IF(OR(K13279="Unit", K13279=""), "", INDEX(LookUps!$E$5:$E$12, MATCH(OpenLCAbasic!K13279,LookUps!$D$5:$D$12,0))))</f>
        <v>Particulate Matter Formation Potential (PMFP) - kg PM2.5 eq</v>
      </c>
      <c r="M13279" s="154" t="str">
        <f t="shared" si="1172"/>
        <v>Low_Medium_Base_Upgraded_Particulate Matter Formation Potential (PMFP) - kg PM2.5 eq_Gravity Belt Thickener; wastewater treatment unit; at updated plant - US_Without Amendment_Aerated Static Pile</v>
      </c>
    </row>
    <row r="13280" spans="1:13" s="120" customFormat="1" x14ac:dyDescent="0.25">
      <c r="A13280" s="119"/>
      <c r="B13280" s="138" t="str">
        <f t="shared" si="1167"/>
        <v>Aerated Static Pile</v>
      </c>
      <c r="C13280" s="138" t="str">
        <f t="shared" si="1168"/>
        <v>Without Amendment</v>
      </c>
      <c r="D13280" s="138" t="str">
        <f t="shared" si="1171"/>
        <v>Medium_Base</v>
      </c>
      <c r="E13280" s="138" t="str">
        <f t="shared" si="1169"/>
        <v>Low</v>
      </c>
      <c r="F13280" s="138" t="str">
        <f t="shared" si="1170"/>
        <v>Upgraded</v>
      </c>
      <c r="G13280" s="153"/>
      <c r="H13280" s="210">
        <v>2.3800000000000002E-2</v>
      </c>
      <c r="I13280" s="160" t="s">
        <v>59</v>
      </c>
      <c r="J13280" s="211">
        <v>6.9942200000000003E-5</v>
      </c>
      <c r="K13280" s="160" t="s">
        <v>145</v>
      </c>
      <c r="L13280" s="154" t="str">
        <f>IF(OpenLCAbasic!K13280="CTUh", "Fill in Manually",IF(OR(K13280="Unit", K13280=""), "", INDEX(LookUps!$E$5:$E$12, MATCH(OpenLCAbasic!K13280,LookUps!$D$5:$D$12,0))))</f>
        <v>Particulate Matter Formation Potential (PMFP) - kg PM2.5 eq</v>
      </c>
      <c r="M13280" s="154" t="str">
        <f t="shared" si="1172"/>
        <v>Low_Medium_Base_Upgraded_Particulate Matter Formation Potential (PMFP) - kg PM2.5 eq_Blend Tank; wastewater treatment unit; at updated plant - US_Without Amendment_Aerated Static Pile</v>
      </c>
    </row>
    <row r="13281" spans="1:13" s="120" customFormat="1" x14ac:dyDescent="0.25">
      <c r="A13281" s="119"/>
      <c r="B13281" s="138" t="str">
        <f t="shared" si="1167"/>
        <v>Aerated Static Pile</v>
      </c>
      <c r="C13281" s="138" t="str">
        <f t="shared" si="1168"/>
        <v>Without Amendment</v>
      </c>
      <c r="D13281" s="138" t="str">
        <f t="shared" si="1171"/>
        <v>Medium_Base</v>
      </c>
      <c r="E13281" s="138" t="str">
        <f t="shared" si="1169"/>
        <v>Low</v>
      </c>
      <c r="F13281" s="138" t="str">
        <f t="shared" si="1170"/>
        <v>Upgraded</v>
      </c>
      <c r="G13281" s="153"/>
      <c r="H13281" s="210">
        <v>1.7000000000000001E-2</v>
      </c>
      <c r="I13281" s="160" t="s">
        <v>48</v>
      </c>
      <c r="J13281" s="211">
        <v>4.99741E-5</v>
      </c>
      <c r="K13281" s="160" t="s">
        <v>145</v>
      </c>
      <c r="L13281" s="154" t="str">
        <f>IF(OpenLCAbasic!K13281="CTUh", "Fill in Manually",IF(OR(K13281="Unit", K13281=""), "", INDEX(LookUps!$E$5:$E$12, MATCH(OpenLCAbasic!K13281,LookUps!$D$5:$D$12,0))))</f>
        <v>Particulate Matter Formation Potential (PMFP) - kg PM2.5 eq</v>
      </c>
      <c r="M13281" s="154" t="str">
        <f t="shared" si="1172"/>
        <v>Low_Medium_Base_Upgraded_Particulate Matter Formation Potential (PMFP) - kg PM2.5 eq_Effluent release; wastewater treatment unit; at surface water; m3 wastewater - US_Without Amendment_Aerated Static Pile</v>
      </c>
    </row>
    <row r="13282" spans="1:13" s="120" customFormat="1" x14ac:dyDescent="0.25">
      <c r="A13282" s="119"/>
      <c r="B13282" s="138" t="str">
        <f t="shared" si="1167"/>
        <v>Aerated Static Pile</v>
      </c>
      <c r="C13282" s="138" t="str">
        <f t="shared" si="1168"/>
        <v>Without Amendment</v>
      </c>
      <c r="D13282" s="138" t="str">
        <f t="shared" si="1171"/>
        <v>Medium_Base</v>
      </c>
      <c r="E13282" s="138" t="str">
        <f t="shared" si="1169"/>
        <v>Low</v>
      </c>
      <c r="F13282" s="138" t="str">
        <f t="shared" si="1170"/>
        <v>Upgraded</v>
      </c>
      <c r="G13282" s="153"/>
      <c r="H13282" s="210">
        <v>1.6500000000000001E-2</v>
      </c>
      <c r="I13282" s="160" t="s">
        <v>62</v>
      </c>
      <c r="J13282" s="211">
        <v>4.83949E-5</v>
      </c>
      <c r="K13282" s="160" t="s">
        <v>145</v>
      </c>
      <c r="L13282" s="154" t="str">
        <f>IF(OpenLCAbasic!K13282="CTUh", "Fill in Manually",IF(OR(K13282="Unit", K13282=""), "", INDEX(LookUps!$E$5:$E$12, MATCH(OpenLCAbasic!K13282,LookUps!$D$5:$D$12,0))))</f>
        <v>Particulate Matter Formation Potential (PMFP) - kg PM2.5 eq</v>
      </c>
      <c r="M13282" s="154" t="str">
        <f t="shared" si="1172"/>
        <v>Low_Medium_Base_Upgraded_Particulate Matter Formation Potential (PMFP) - kg PM2.5 eq_Land application of compost; wastewater treatment unit; at updated plant - US_Without Amendment_Aerated Static Pile</v>
      </c>
    </row>
    <row r="13283" spans="1:13" s="120" customFormat="1" x14ac:dyDescent="0.25">
      <c r="A13283" s="119"/>
      <c r="B13283" s="138" t="str">
        <f t="shared" si="1167"/>
        <v>Aerated Static Pile</v>
      </c>
      <c r="C13283" s="138" t="str">
        <f t="shared" si="1168"/>
        <v>Without Amendment</v>
      </c>
      <c r="D13283" s="138" t="str">
        <f t="shared" si="1171"/>
        <v>Medium_Base</v>
      </c>
      <c r="E13283" s="138" t="str">
        <f t="shared" si="1169"/>
        <v>Low</v>
      </c>
      <c r="F13283" s="138" t="str">
        <f t="shared" si="1170"/>
        <v>Upgraded</v>
      </c>
      <c r="G13283" s="153"/>
      <c r="H13283" s="210">
        <v>1.18E-2</v>
      </c>
      <c r="I13283" s="160" t="s">
        <v>168</v>
      </c>
      <c r="J13283" s="211">
        <v>3.4562199999999999E-5</v>
      </c>
      <c r="K13283" s="160" t="s">
        <v>145</v>
      </c>
      <c r="L13283" s="154" t="str">
        <f>IF(OpenLCAbasic!K13283="CTUh", "Fill in Manually",IF(OR(K13283="Unit", K13283=""), "", INDEX(LookUps!$E$5:$E$12, MATCH(OpenLCAbasic!K13283,LookUps!$D$5:$D$12,0))))</f>
        <v>Particulate Matter Formation Potential (PMFP) - kg PM2.5 eq</v>
      </c>
      <c r="M13283" s="154" t="str">
        <f t="shared" si="1172"/>
        <v>Low_Medium_Base_Upgraded_Particulate Matter Formation Potential (PMFP) - kg PM2.5 eq_ClearCove SCP; wastewater treatment unit; at updated plant - US_Without Amendment_Aerated Static Pile</v>
      </c>
    </row>
    <row r="13284" spans="1:13" s="120" customFormat="1" x14ac:dyDescent="0.25">
      <c r="A13284" s="119"/>
      <c r="B13284" s="138" t="str">
        <f t="shared" si="1167"/>
        <v>Aerated Static Pile</v>
      </c>
      <c r="C13284" s="138" t="str">
        <f t="shared" si="1168"/>
        <v>Without Amendment</v>
      </c>
      <c r="D13284" s="138" t="str">
        <f t="shared" si="1171"/>
        <v>Medium_Base</v>
      </c>
      <c r="E13284" s="138" t="str">
        <f t="shared" si="1169"/>
        <v>Low</v>
      </c>
      <c r="F13284" s="138" t="str">
        <f t="shared" si="1170"/>
        <v>Upgraded</v>
      </c>
      <c r="G13284" s="153"/>
      <c r="H13284" s="210">
        <v>3.0000000000000001E-3</v>
      </c>
      <c r="I13284" s="160" t="s">
        <v>148</v>
      </c>
      <c r="J13284" s="211">
        <v>8.8212999999999997E-6</v>
      </c>
      <c r="K13284" s="160" t="s">
        <v>145</v>
      </c>
      <c r="L13284" s="154" t="str">
        <f>IF(OpenLCAbasic!K13284="CTUh", "Fill in Manually",IF(OR(K13284="Unit", K13284=""), "", INDEX(LookUps!$E$5:$E$12, MATCH(OpenLCAbasic!K13284,LookUps!$D$5:$D$12,0))))</f>
        <v>Particulate Matter Formation Potential (PMFP) - kg PM2.5 eq</v>
      </c>
      <c r="M13284" s="154" t="str">
        <f t="shared" si="1172"/>
        <v>Low_Medium_Base_Upgraded_Particulate Matter Formation Potential (PMFP) - kg PM2.5 eq_Control Building; at upgraded wastewater treatment plant - US_Without Amendment_Aerated Static Pile</v>
      </c>
    </row>
    <row r="13285" spans="1:13" s="120" customFormat="1" x14ac:dyDescent="0.25">
      <c r="A13285" s="119"/>
      <c r="B13285" s="138" t="str">
        <f t="shared" si="1167"/>
        <v>Aerated Static Pile</v>
      </c>
      <c r="C13285" s="138" t="str">
        <f t="shared" si="1168"/>
        <v>Without Amendment</v>
      </c>
      <c r="D13285" s="138" t="str">
        <f t="shared" si="1171"/>
        <v>Medium_Base</v>
      </c>
      <c r="E13285" s="138" t="str">
        <f t="shared" si="1169"/>
        <v>Low</v>
      </c>
      <c r="F13285" s="138" t="str">
        <f t="shared" si="1170"/>
        <v>Upgraded</v>
      </c>
      <c r="G13285" s="153"/>
      <c r="H13285" s="210">
        <v>-0.89859999999999995</v>
      </c>
      <c r="I13285" s="160" t="s">
        <v>149</v>
      </c>
      <c r="J13285" s="160">
        <v>-2.64E-3</v>
      </c>
      <c r="K13285" s="160" t="s">
        <v>145</v>
      </c>
      <c r="L13285" s="154" t="str">
        <f>IF(OpenLCAbasic!K13285="CTUh", "Fill in Manually",IF(OR(K13285="Unit", K13285=""), "", INDEX(LookUps!$E$5:$E$12, MATCH(OpenLCAbasic!K13285,LookUps!$D$5:$D$12,0))))</f>
        <v>Particulate Matter Formation Potential (PMFP) - kg PM2.5 eq</v>
      </c>
      <c r="M13285" s="154" t="str">
        <f t="shared" si="1172"/>
        <v>Low_Medium_Base_Upgraded_Particulate Matter Formation Potential (PMFP) - kg PM2.5 eq_Anaerobic Digestion; wastewater treatment unit; at updated plant - US_Without Amendment_Aerated Static Pile</v>
      </c>
    </row>
    <row r="13286" spans="1:13" s="120" customFormat="1" x14ac:dyDescent="0.25">
      <c r="A13286" s="119"/>
      <c r="B13286" s="138" t="str">
        <f t="shared" si="1167"/>
        <v/>
      </c>
      <c r="C13286" s="138" t="str">
        <f t="shared" si="1168"/>
        <v/>
      </c>
      <c r="D13286" s="138" t="str">
        <f t="shared" si="1171"/>
        <v/>
      </c>
      <c r="E13286" s="138" t="str">
        <f t="shared" si="1169"/>
        <v/>
      </c>
      <c r="F13286" s="138" t="str">
        <f t="shared" si="1170"/>
        <v/>
      </c>
      <c r="G13286" s="153" t="s">
        <v>51</v>
      </c>
      <c r="H13286" s="160"/>
      <c r="I13286" s="160" t="s">
        <v>47</v>
      </c>
      <c r="J13286" s="160" t="s">
        <v>52</v>
      </c>
      <c r="K13286" s="160" t="s">
        <v>27</v>
      </c>
      <c r="L13286" s="154" t="str">
        <f>IF(OpenLCAbasic!K13286="CTUh", "Fill in Manually",IF(OR(K13286="Unit", K13286=""), "", INDEX(LookUps!$E$5:$E$12, MATCH(OpenLCAbasic!K13286,LookUps!$D$5:$D$12,0))))</f>
        <v/>
      </c>
      <c r="M13286" s="154" t="str">
        <f t="shared" si="1172"/>
        <v>____Process__</v>
      </c>
    </row>
    <row r="13287" spans="1:13" s="120" customFormat="1" x14ac:dyDescent="0.25">
      <c r="A13287" s="119"/>
      <c r="B13287" s="138" t="str">
        <f t="shared" si="1167"/>
        <v>Aerated Static Pile</v>
      </c>
      <c r="C13287" s="138" t="str">
        <f t="shared" si="1168"/>
        <v>Without Amendment</v>
      </c>
      <c r="D13287" s="138" t="str">
        <f t="shared" si="1171"/>
        <v>Medium_Base</v>
      </c>
      <c r="E13287" s="138" t="str">
        <f t="shared" si="1169"/>
        <v>Low</v>
      </c>
      <c r="F13287" s="138" t="str">
        <f t="shared" si="1170"/>
        <v>Upgraded</v>
      </c>
      <c r="G13287" s="153"/>
      <c r="H13287" s="210">
        <v>0.79159999999999997</v>
      </c>
      <c r="I13287" s="160" t="s">
        <v>55</v>
      </c>
      <c r="J13287" s="160">
        <v>0.16577</v>
      </c>
      <c r="K13287" s="160" t="s">
        <v>25</v>
      </c>
      <c r="L13287" s="154" t="str">
        <f>IF(OpenLCAbasic!K13287="CTUh", "Fill in Manually",IF(OR(K13287="Unit", K13287=""), "", INDEX(LookUps!$E$5:$E$12, MATCH(OpenLCAbasic!K13287,LookUps!$D$5:$D$12,0))))</f>
        <v>Smog Formation Potential (SFP) - kg O3 eq</v>
      </c>
      <c r="M13287" s="154" t="str">
        <f t="shared" si="1172"/>
        <v>Low_Medium_Base_Upgraded_Smog Formation Potential (SFP) - kg O3 eq_Aeration Tanks; wastewater treatment unit; at updated plant - US_Without Amendment_Aerated Static Pile</v>
      </c>
    </row>
    <row r="13288" spans="1:13" s="120" customFormat="1" x14ac:dyDescent="0.25">
      <c r="A13288" s="119"/>
      <c r="B13288" s="138" t="str">
        <f t="shared" si="1167"/>
        <v>Aerated Static Pile</v>
      </c>
      <c r="C13288" s="138" t="str">
        <f t="shared" si="1168"/>
        <v>Without Amendment</v>
      </c>
      <c r="D13288" s="138" t="str">
        <f t="shared" si="1171"/>
        <v>Medium_Base</v>
      </c>
      <c r="E13288" s="138" t="str">
        <f t="shared" si="1169"/>
        <v>Low</v>
      </c>
      <c r="F13288" s="138" t="str">
        <f t="shared" si="1170"/>
        <v>Upgraded</v>
      </c>
      <c r="G13288" s="153"/>
      <c r="H13288" s="210">
        <v>0.2296</v>
      </c>
      <c r="I13288" s="160" t="s">
        <v>54</v>
      </c>
      <c r="J13288" s="160">
        <v>4.8070000000000002E-2</v>
      </c>
      <c r="K13288" s="160" t="s">
        <v>25</v>
      </c>
      <c r="L13288" s="154" t="str">
        <f>IF(OpenLCAbasic!K13288="CTUh", "Fill in Manually",IF(OR(K13288="Unit", K13288=""), "", INDEX(LookUps!$E$5:$E$12, MATCH(OpenLCAbasic!K13288,LookUps!$D$5:$D$12,0))))</f>
        <v>Smog Formation Potential (SFP) - kg O3 eq</v>
      </c>
      <c r="M13288" s="154" t="str">
        <f t="shared" si="1172"/>
        <v>Low_Medium_Base_Upgraded_Smog Formation Potential (SFP) - kg O3 eq_Clear Cove Primary Clarification; wastewater treatment unit; at updated plant - US_Without Amendment_Aerated Static Pile</v>
      </c>
    </row>
    <row r="13289" spans="1:13" s="120" customFormat="1" x14ac:dyDescent="0.25">
      <c r="A13289" s="119"/>
      <c r="B13289" s="138" t="str">
        <f t="shared" ref="B13289:B13352" si="1173">IF(F13289="Legacy","n.a.",IF(F13289="","","Aerated Static Pile"))</f>
        <v>Aerated Static Pile</v>
      </c>
      <c r="C13289" s="138" t="str">
        <f t="shared" ref="C13289:C13352" si="1174">IF(ISNUMBER($J13289),"Without Amendment","")</f>
        <v>Without Amendment</v>
      </c>
      <c r="D13289" s="138" t="str">
        <f t="shared" si="1171"/>
        <v>Medium_Base</v>
      </c>
      <c r="E13289" s="138" t="str">
        <f t="shared" ref="E13289:E13352" si="1175">IF(ISNUMBER($J13289),"Low","")</f>
        <v>Low</v>
      </c>
      <c r="F13289" s="138" t="str">
        <f t="shared" ref="F13289:F13352" si="1176">IF(ISNUMBER(J13289),"Upgraded","")</f>
        <v>Upgraded</v>
      </c>
      <c r="G13289" s="153"/>
      <c r="H13289" s="210">
        <v>0.20019999999999999</v>
      </c>
      <c r="I13289" s="160" t="s">
        <v>58</v>
      </c>
      <c r="J13289" s="160">
        <v>4.1919999999999999E-2</v>
      </c>
      <c r="K13289" s="160" t="s">
        <v>25</v>
      </c>
      <c r="L13289" s="154" t="str">
        <f>IF(OpenLCAbasic!K13289="CTUh", "Fill in Manually",IF(OR(K13289="Unit", K13289=""), "", INDEX(LookUps!$E$5:$E$12, MATCH(OpenLCAbasic!K13289,LookUps!$D$5:$D$12,0))))</f>
        <v>Smog Formation Potential (SFP) - kg O3 eq</v>
      </c>
      <c r="M13289" s="154" t="str">
        <f t="shared" si="1172"/>
        <v>Low_Medium_Base_Upgraded_Smog Formation Potential (SFP) - kg O3 eq_Pre-Anoxic &amp; Swing tank; wastewater treatment unit; at updated plant - US_Without Amendment_Aerated Static Pile</v>
      </c>
    </row>
    <row r="13290" spans="1:13" s="120" customFormat="1" x14ac:dyDescent="0.25">
      <c r="A13290" s="119"/>
      <c r="B13290" s="138" t="str">
        <f t="shared" si="1173"/>
        <v>Aerated Static Pile</v>
      </c>
      <c r="C13290" s="138" t="str">
        <f t="shared" si="1174"/>
        <v>Without Amendment</v>
      </c>
      <c r="D13290" s="138" t="str">
        <f t="shared" si="1171"/>
        <v>Medium_Base</v>
      </c>
      <c r="E13290" s="138" t="str">
        <f t="shared" si="1175"/>
        <v>Low</v>
      </c>
      <c r="F13290" s="138" t="str">
        <f t="shared" si="1176"/>
        <v>Upgraded</v>
      </c>
      <c r="G13290" s="153"/>
      <c r="H13290" s="210">
        <v>0.15820000000000001</v>
      </c>
      <c r="I13290" s="160" t="s">
        <v>53</v>
      </c>
      <c r="J13290" s="160">
        <v>3.313E-2</v>
      </c>
      <c r="K13290" s="160" t="s">
        <v>25</v>
      </c>
      <c r="L13290" s="154" t="str">
        <f>IF(OpenLCAbasic!K13290="CTUh", "Fill in Manually",IF(OR(K13290="Unit", K13290=""), "", INDEX(LookUps!$E$5:$E$12, MATCH(OpenLCAbasic!K13290,LookUps!$D$5:$D$12,0))))</f>
        <v>Smog Formation Potential (SFP) - kg O3 eq</v>
      </c>
      <c r="M13290" s="154" t="str">
        <f t="shared" si="1172"/>
        <v>Low_Medium_Base_Upgraded_Smog Formation Potential (SFP) - kg O3 eq_Wet Well and Sump Station; wastewater treatment unit; at updated plant - US_Without Amendment_Aerated Static Pile</v>
      </c>
    </row>
    <row r="13291" spans="1:13" s="120" customFormat="1" x14ac:dyDescent="0.25">
      <c r="A13291" s="119"/>
      <c r="B13291" s="138" t="str">
        <f t="shared" si="1173"/>
        <v>Aerated Static Pile</v>
      </c>
      <c r="C13291" s="138" t="str">
        <f t="shared" si="1174"/>
        <v>Without Amendment</v>
      </c>
      <c r="D13291" s="138" t="str">
        <f t="shared" si="1171"/>
        <v>Medium_Base</v>
      </c>
      <c r="E13291" s="138" t="str">
        <f t="shared" si="1175"/>
        <v>Low</v>
      </c>
      <c r="F13291" s="138" t="str">
        <f t="shared" si="1176"/>
        <v>Upgraded</v>
      </c>
      <c r="G13291" s="153"/>
      <c r="H13291" s="210">
        <v>0.1467</v>
      </c>
      <c r="I13291" s="160" t="s">
        <v>167</v>
      </c>
      <c r="J13291" s="160">
        <v>3.0710000000000001E-2</v>
      </c>
      <c r="K13291" s="160" t="s">
        <v>25</v>
      </c>
      <c r="L13291" s="154" t="str">
        <f>IF(OpenLCAbasic!K13291="CTUh", "Fill in Manually",IF(OR(K13291="Unit", K13291=""), "", INDEX(LookUps!$E$5:$E$12, MATCH(OpenLCAbasic!K13291,LookUps!$D$5:$D$12,0))))</f>
        <v>Smog Formation Potential (SFP) - kg O3 eq</v>
      </c>
      <c r="M13291" s="154" t="str">
        <f t="shared" si="1172"/>
        <v>Low_Medium_Base_Upgraded_Smog Formation Potential (SFP) - kg O3 eq_Waste Receiving and Holding; wastewater treatment unit; at updated plant - US_Without Amendment_Aerated Static Pile</v>
      </c>
    </row>
    <row r="13292" spans="1:13" s="120" customFormat="1" x14ac:dyDescent="0.25">
      <c r="A13292" s="119"/>
      <c r="B13292" s="138" t="str">
        <f t="shared" si="1173"/>
        <v>Aerated Static Pile</v>
      </c>
      <c r="C13292" s="138" t="str">
        <f t="shared" si="1174"/>
        <v>Without Amendment</v>
      </c>
      <c r="D13292" s="138" t="str">
        <f t="shared" si="1171"/>
        <v>Medium_Base</v>
      </c>
      <c r="E13292" s="138" t="str">
        <f t="shared" si="1175"/>
        <v>Low</v>
      </c>
      <c r="F13292" s="138" t="str">
        <f t="shared" si="1176"/>
        <v>Upgraded</v>
      </c>
      <c r="G13292" s="153"/>
      <c r="H13292" s="210">
        <v>0.106</v>
      </c>
      <c r="I13292" s="160" t="s">
        <v>435</v>
      </c>
      <c r="J13292" s="160">
        <v>2.2190000000000001E-2</v>
      </c>
      <c r="K13292" s="160" t="s">
        <v>25</v>
      </c>
      <c r="L13292" s="154" t="str">
        <f>IF(OpenLCAbasic!K13292="CTUh", "Fill in Manually",IF(OR(K13292="Unit", K13292=""), "", INDEX(LookUps!$E$5:$E$12, MATCH(OpenLCAbasic!K13292,LookUps!$D$5:$D$12,0))))</f>
        <v>Smog Formation Potential (SFP) - kg O3 eq</v>
      </c>
      <c r="M13292" s="154" t="str">
        <f t="shared" si="1172"/>
        <v>Low_Medium_Base_Upgraded_Smog Formation Potential (SFP) - kg O3 eq_Biosolids composting; aerated static pile; wastewater treatment unit; at updated plant - US_Without Amendment_Aerated Static Pile</v>
      </c>
    </row>
    <row r="13293" spans="1:13" s="120" customFormat="1" x14ac:dyDescent="0.25">
      <c r="A13293" s="119"/>
      <c r="B13293" s="138" t="str">
        <f t="shared" si="1173"/>
        <v>Aerated Static Pile</v>
      </c>
      <c r="C13293" s="138" t="str">
        <f t="shared" si="1174"/>
        <v>Without Amendment</v>
      </c>
      <c r="D13293" s="138" t="str">
        <f t="shared" si="1171"/>
        <v>Medium_Base</v>
      </c>
      <c r="E13293" s="138" t="str">
        <f t="shared" si="1175"/>
        <v>Low</v>
      </c>
      <c r="F13293" s="138" t="str">
        <f t="shared" si="1176"/>
        <v>Upgraded</v>
      </c>
      <c r="G13293" s="153"/>
      <c r="H13293" s="210">
        <v>9.2600000000000002E-2</v>
      </c>
      <c r="I13293" s="160" t="s">
        <v>147</v>
      </c>
      <c r="J13293" s="160">
        <v>1.9400000000000001E-2</v>
      </c>
      <c r="K13293" s="160" t="s">
        <v>25</v>
      </c>
      <c r="L13293" s="154" t="str">
        <f>IF(OpenLCAbasic!K13293="CTUh", "Fill in Manually",IF(OR(K13293="Unit", K13293=""), "", INDEX(LookUps!$E$5:$E$12, MATCH(OpenLCAbasic!K13293,LookUps!$D$5:$D$12,0))))</f>
        <v>Smog Formation Potential (SFP) - kg O3 eq</v>
      </c>
      <c r="M13293" s="154" t="str">
        <f t="shared" si="1172"/>
        <v>Low_Medium_Base_Upgraded_Smog Formation Potential (SFP) - kg O3 eq_Influent Pump Station; wastewater treatment unit; at updated plant - US_Without Amendment_Aerated Static Pile</v>
      </c>
    </row>
    <row r="13294" spans="1:13" s="120" customFormat="1" x14ac:dyDescent="0.25">
      <c r="A13294" s="119"/>
      <c r="B13294" s="138" t="str">
        <f t="shared" si="1173"/>
        <v>Aerated Static Pile</v>
      </c>
      <c r="C13294" s="138" t="str">
        <f t="shared" si="1174"/>
        <v>Without Amendment</v>
      </c>
      <c r="D13294" s="138" t="str">
        <f t="shared" si="1171"/>
        <v>Medium_Base</v>
      </c>
      <c r="E13294" s="138" t="str">
        <f t="shared" si="1175"/>
        <v>Low</v>
      </c>
      <c r="F13294" s="138" t="str">
        <f t="shared" si="1176"/>
        <v>Upgraded</v>
      </c>
      <c r="G13294" s="153"/>
      <c r="H13294" s="210">
        <v>5.6899999999999999E-2</v>
      </c>
      <c r="I13294" s="160" t="s">
        <v>128</v>
      </c>
      <c r="J13294" s="160">
        <v>1.192E-2</v>
      </c>
      <c r="K13294" s="160" t="s">
        <v>25</v>
      </c>
      <c r="L13294" s="154" t="str">
        <f>IF(OpenLCAbasic!K13294="CTUh", "Fill in Manually",IF(OR(K13294="Unit", K13294=""), "", INDEX(LookUps!$E$5:$E$12, MATCH(OpenLCAbasic!K13294,LookUps!$D$5:$D$12,0))))</f>
        <v>Smog Formation Potential (SFP) - kg O3 eq</v>
      </c>
      <c r="M13294" s="154" t="str">
        <f t="shared" si="1172"/>
        <v>Low_Medium_Base_Upgraded_Smog Formation Potential (SFP) - kg O3 eq_Wastewater collection; operation and infrastructure; m3 wastewater_Without Amendment_Aerated Static Pile</v>
      </c>
    </row>
    <row r="13295" spans="1:13" s="120" customFormat="1" x14ac:dyDescent="0.25">
      <c r="A13295" s="119"/>
      <c r="B13295" s="138" t="str">
        <f t="shared" si="1173"/>
        <v>Aerated Static Pile</v>
      </c>
      <c r="C13295" s="138" t="str">
        <f t="shared" si="1174"/>
        <v>Without Amendment</v>
      </c>
      <c r="D13295" s="138" t="str">
        <f t="shared" si="1171"/>
        <v>Medium_Base</v>
      </c>
      <c r="E13295" s="138" t="str">
        <f t="shared" si="1175"/>
        <v>Low</v>
      </c>
      <c r="F13295" s="138" t="str">
        <f t="shared" si="1176"/>
        <v>Upgraded</v>
      </c>
      <c r="G13295" s="153"/>
      <c r="H13295" s="210">
        <v>4.8399999999999999E-2</v>
      </c>
      <c r="I13295" s="160" t="s">
        <v>60</v>
      </c>
      <c r="J13295" s="160">
        <v>1.014E-2</v>
      </c>
      <c r="K13295" s="160" t="s">
        <v>25</v>
      </c>
      <c r="L13295" s="154" t="str">
        <f>IF(OpenLCAbasic!K13295="CTUh", "Fill in Manually",IF(OR(K13295="Unit", K13295=""), "", INDEX(LookUps!$E$5:$E$12, MATCH(OpenLCAbasic!K13295,LookUps!$D$5:$D$12,0))))</f>
        <v>Smog Formation Potential (SFP) - kg O3 eq</v>
      </c>
      <c r="M13295" s="154" t="str">
        <f t="shared" si="1172"/>
        <v>Low_Medium_Base_Upgraded_Smog Formation Potential (SFP) - kg O3 eq_Belt filter press; wastewater treatment unit; at updated plant - US_Without Amendment_Aerated Static Pile</v>
      </c>
    </row>
    <row r="13296" spans="1:13" s="120" customFormat="1" x14ac:dyDescent="0.25">
      <c r="A13296" s="119"/>
      <c r="B13296" s="138" t="str">
        <f t="shared" si="1173"/>
        <v>Aerated Static Pile</v>
      </c>
      <c r="C13296" s="138" t="str">
        <f t="shared" si="1174"/>
        <v>Without Amendment</v>
      </c>
      <c r="D13296" s="138" t="str">
        <f t="shared" si="1171"/>
        <v>Medium_Base</v>
      </c>
      <c r="E13296" s="138" t="str">
        <f t="shared" si="1175"/>
        <v>Low</v>
      </c>
      <c r="F13296" s="138" t="str">
        <f t="shared" si="1176"/>
        <v>Upgraded</v>
      </c>
      <c r="G13296" s="153"/>
      <c r="H13296" s="210">
        <v>3.1800000000000002E-2</v>
      </c>
      <c r="I13296" s="160" t="s">
        <v>57</v>
      </c>
      <c r="J13296" s="160">
        <v>6.6499999999999997E-3</v>
      </c>
      <c r="K13296" s="160" t="s">
        <v>25</v>
      </c>
      <c r="L13296" s="154" t="str">
        <f>IF(OpenLCAbasic!K13296="CTUh", "Fill in Manually",IF(OR(K13296="Unit", K13296=""), "", INDEX(LookUps!$E$5:$E$12, MATCH(OpenLCAbasic!K13296,LookUps!$D$5:$D$12,0))))</f>
        <v>Smog Formation Potential (SFP) - kg O3 eq</v>
      </c>
      <c r="M13296" s="154" t="str">
        <f t="shared" si="1172"/>
        <v>Low_Medium_Base_Upgraded_Smog Formation Potential (SFP) - kg O3 eq_Gravity Belt Thickener; wastewater treatment unit; at updated plant - US_Without Amendment_Aerated Static Pile</v>
      </c>
    </row>
    <row r="13297" spans="1:13" s="120" customFormat="1" x14ac:dyDescent="0.25">
      <c r="A13297" s="119"/>
      <c r="B13297" s="138" t="str">
        <f t="shared" si="1173"/>
        <v>Aerated Static Pile</v>
      </c>
      <c r="C13297" s="138" t="str">
        <f t="shared" si="1174"/>
        <v>Without Amendment</v>
      </c>
      <c r="D13297" s="138" t="str">
        <f t="shared" si="1171"/>
        <v>Medium_Base</v>
      </c>
      <c r="E13297" s="138" t="str">
        <f t="shared" si="1175"/>
        <v>Low</v>
      </c>
      <c r="F13297" s="138" t="str">
        <f t="shared" si="1176"/>
        <v>Upgraded</v>
      </c>
      <c r="G13297" s="153"/>
      <c r="H13297" s="210">
        <v>2.3699999999999999E-2</v>
      </c>
      <c r="I13297" s="160" t="s">
        <v>59</v>
      </c>
      <c r="J13297" s="160">
        <v>4.9699999999999996E-3</v>
      </c>
      <c r="K13297" s="160" t="s">
        <v>25</v>
      </c>
      <c r="L13297" s="154" t="str">
        <f>IF(OpenLCAbasic!K13297="CTUh", "Fill in Manually",IF(OR(K13297="Unit", K13297=""), "", INDEX(LookUps!$E$5:$E$12, MATCH(OpenLCAbasic!K13297,LookUps!$D$5:$D$12,0))))</f>
        <v>Smog Formation Potential (SFP) - kg O3 eq</v>
      </c>
      <c r="M13297" s="154" t="str">
        <f t="shared" si="1172"/>
        <v>Low_Medium_Base_Upgraded_Smog Formation Potential (SFP) - kg O3 eq_Blend Tank; wastewater treatment unit; at updated plant - US_Without Amendment_Aerated Static Pile</v>
      </c>
    </row>
    <row r="13298" spans="1:13" s="120" customFormat="1" x14ac:dyDescent="0.25">
      <c r="A13298" s="119"/>
      <c r="B13298" s="138" t="str">
        <f t="shared" si="1173"/>
        <v>Aerated Static Pile</v>
      </c>
      <c r="C13298" s="138" t="str">
        <f t="shared" si="1174"/>
        <v>Without Amendment</v>
      </c>
      <c r="D13298" s="138" t="str">
        <f t="shared" si="1171"/>
        <v>Medium_Base</v>
      </c>
      <c r="E13298" s="138" t="str">
        <f t="shared" si="1175"/>
        <v>Low</v>
      </c>
      <c r="F13298" s="138" t="str">
        <f t="shared" si="1176"/>
        <v>Upgraded</v>
      </c>
      <c r="G13298" s="153"/>
      <c r="H13298" s="210">
        <v>1.6199999999999999E-2</v>
      </c>
      <c r="I13298" s="160" t="s">
        <v>48</v>
      </c>
      <c r="J13298" s="160">
        <v>3.3899999999999998E-3</v>
      </c>
      <c r="K13298" s="160" t="s">
        <v>25</v>
      </c>
      <c r="L13298" s="154" t="str">
        <f>IF(OpenLCAbasic!K13298="CTUh", "Fill in Manually",IF(OR(K13298="Unit", K13298=""), "", INDEX(LookUps!$E$5:$E$12, MATCH(OpenLCAbasic!K13298,LookUps!$D$5:$D$12,0))))</f>
        <v>Smog Formation Potential (SFP) - kg O3 eq</v>
      </c>
      <c r="M13298" s="154" t="str">
        <f t="shared" si="1172"/>
        <v>Low_Medium_Base_Upgraded_Smog Formation Potential (SFP) - kg O3 eq_Effluent release; wastewater treatment unit; at surface water; m3 wastewater - US_Without Amendment_Aerated Static Pile</v>
      </c>
    </row>
    <row r="13299" spans="1:13" s="120" customFormat="1" x14ac:dyDescent="0.25">
      <c r="A13299" s="119"/>
      <c r="B13299" s="138" t="str">
        <f t="shared" si="1173"/>
        <v>Aerated Static Pile</v>
      </c>
      <c r="C13299" s="138" t="str">
        <f t="shared" si="1174"/>
        <v>Without Amendment</v>
      </c>
      <c r="D13299" s="138" t="str">
        <f t="shared" si="1171"/>
        <v>Medium_Base</v>
      </c>
      <c r="E13299" s="138" t="str">
        <f t="shared" si="1175"/>
        <v>Low</v>
      </c>
      <c r="F13299" s="138" t="str">
        <f t="shared" si="1176"/>
        <v>Upgraded</v>
      </c>
      <c r="G13299" s="153"/>
      <c r="H13299" s="210">
        <v>1.17E-2</v>
      </c>
      <c r="I13299" s="160" t="s">
        <v>168</v>
      </c>
      <c r="J13299" s="160">
        <v>2.4599999999999999E-3</v>
      </c>
      <c r="K13299" s="160" t="s">
        <v>25</v>
      </c>
      <c r="L13299" s="154" t="str">
        <f>IF(OpenLCAbasic!K13299="CTUh", "Fill in Manually",IF(OR(K13299="Unit", K13299=""), "", INDEX(LookUps!$E$5:$E$12, MATCH(OpenLCAbasic!K13299,LookUps!$D$5:$D$12,0))))</f>
        <v>Smog Formation Potential (SFP) - kg O3 eq</v>
      </c>
      <c r="M13299" s="154" t="str">
        <f t="shared" si="1172"/>
        <v>Low_Medium_Base_Upgraded_Smog Formation Potential (SFP) - kg O3 eq_ClearCove SCP; wastewater treatment unit; at updated plant - US_Without Amendment_Aerated Static Pile</v>
      </c>
    </row>
    <row r="13300" spans="1:13" s="120" customFormat="1" x14ac:dyDescent="0.25">
      <c r="A13300" s="119"/>
      <c r="B13300" s="138" t="str">
        <f t="shared" si="1173"/>
        <v>Aerated Static Pile</v>
      </c>
      <c r="C13300" s="138" t="str">
        <f t="shared" si="1174"/>
        <v>Without Amendment</v>
      </c>
      <c r="D13300" s="138" t="str">
        <f t="shared" si="1171"/>
        <v>Medium_Base</v>
      </c>
      <c r="E13300" s="138" t="str">
        <f t="shared" si="1175"/>
        <v>Low</v>
      </c>
      <c r="F13300" s="138" t="str">
        <f t="shared" si="1176"/>
        <v>Upgraded</v>
      </c>
      <c r="G13300" s="153"/>
      <c r="H13300" s="210">
        <v>2.5999999999999999E-3</v>
      </c>
      <c r="I13300" s="160" t="s">
        <v>148</v>
      </c>
      <c r="J13300" s="160">
        <v>5.4000000000000001E-4</v>
      </c>
      <c r="K13300" s="160" t="s">
        <v>25</v>
      </c>
      <c r="L13300" s="154" t="str">
        <f>IF(OpenLCAbasic!K13300="CTUh", "Fill in Manually",IF(OR(K13300="Unit", K13300=""), "", INDEX(LookUps!$E$5:$E$12, MATCH(OpenLCAbasic!K13300,LookUps!$D$5:$D$12,0))))</f>
        <v>Smog Formation Potential (SFP) - kg O3 eq</v>
      </c>
      <c r="M13300" s="154" t="str">
        <f t="shared" si="1172"/>
        <v>Low_Medium_Base_Upgraded_Smog Formation Potential (SFP) - kg O3 eq_Control Building; at upgraded wastewater treatment plant - US_Without Amendment_Aerated Static Pile</v>
      </c>
    </row>
    <row r="13301" spans="1:13" s="120" customFormat="1" x14ac:dyDescent="0.25">
      <c r="A13301" s="119"/>
      <c r="B13301" s="138" t="str">
        <f t="shared" si="1173"/>
        <v>Aerated Static Pile</v>
      </c>
      <c r="C13301" s="138" t="str">
        <f t="shared" si="1174"/>
        <v>Without Amendment</v>
      </c>
      <c r="D13301" s="138" t="str">
        <f t="shared" si="1171"/>
        <v>Medium_Base</v>
      </c>
      <c r="E13301" s="138" t="str">
        <f t="shared" si="1175"/>
        <v>Low</v>
      </c>
      <c r="F13301" s="138" t="str">
        <f t="shared" si="1176"/>
        <v>Upgraded</v>
      </c>
      <c r="G13301" s="153"/>
      <c r="H13301" s="210">
        <v>-1.1900000000000001E-2</v>
      </c>
      <c r="I13301" s="160" t="s">
        <v>62</v>
      </c>
      <c r="J13301" s="160">
        <v>-2.49E-3</v>
      </c>
      <c r="K13301" s="160" t="s">
        <v>25</v>
      </c>
      <c r="L13301" s="154" t="str">
        <f>IF(OpenLCAbasic!K13301="CTUh", "Fill in Manually",IF(OR(K13301="Unit", K13301=""), "", INDEX(LookUps!$E$5:$E$12, MATCH(OpenLCAbasic!K13301,LookUps!$D$5:$D$12,0))))</f>
        <v>Smog Formation Potential (SFP) - kg O3 eq</v>
      </c>
      <c r="M13301" s="154" t="str">
        <f t="shared" si="1172"/>
        <v>Low_Medium_Base_Upgraded_Smog Formation Potential (SFP) - kg O3 eq_Land application of compost; wastewater treatment unit; at updated plant - US_Without Amendment_Aerated Static Pile</v>
      </c>
    </row>
    <row r="13302" spans="1:13" s="120" customFormat="1" x14ac:dyDescent="0.25">
      <c r="A13302" s="119"/>
      <c r="B13302" s="138" t="str">
        <f t="shared" si="1173"/>
        <v>Aerated Static Pile</v>
      </c>
      <c r="C13302" s="138" t="str">
        <f t="shared" si="1174"/>
        <v>Without Amendment</v>
      </c>
      <c r="D13302" s="138" t="str">
        <f t="shared" si="1171"/>
        <v>Medium_Base</v>
      </c>
      <c r="E13302" s="138" t="str">
        <f t="shared" si="1175"/>
        <v>Low</v>
      </c>
      <c r="F13302" s="138" t="str">
        <f t="shared" si="1176"/>
        <v>Upgraded</v>
      </c>
      <c r="G13302" s="153"/>
      <c r="H13302" s="210">
        <v>-0.90429999999999999</v>
      </c>
      <c r="I13302" s="160" t="s">
        <v>149</v>
      </c>
      <c r="J13302" s="160">
        <v>-0.18936</v>
      </c>
      <c r="K13302" s="160" t="s">
        <v>25</v>
      </c>
      <c r="L13302" s="154" t="str">
        <f>IF(OpenLCAbasic!K13302="CTUh", "Fill in Manually",IF(OR(K13302="Unit", K13302=""), "", INDEX(LookUps!$E$5:$E$12, MATCH(OpenLCAbasic!K13302,LookUps!$D$5:$D$12,0))))</f>
        <v>Smog Formation Potential (SFP) - kg O3 eq</v>
      </c>
      <c r="M13302" s="154" t="str">
        <f t="shared" si="1172"/>
        <v>Low_Medium_Base_Upgraded_Smog Formation Potential (SFP) - kg O3 eq_Anaerobic Digestion; wastewater treatment unit; at updated plant - US_Without Amendment_Aerated Static Pile</v>
      </c>
    </row>
    <row r="13303" spans="1:13" s="120" customFormat="1" x14ac:dyDescent="0.25">
      <c r="A13303" s="119"/>
      <c r="B13303" s="138" t="str">
        <f t="shared" si="1173"/>
        <v/>
      </c>
      <c r="C13303" s="138" t="str">
        <f t="shared" si="1174"/>
        <v/>
      </c>
      <c r="D13303" s="138" t="str">
        <f t="shared" si="1171"/>
        <v/>
      </c>
      <c r="E13303" s="138" t="str">
        <f t="shared" si="1175"/>
        <v/>
      </c>
      <c r="F13303" s="138" t="str">
        <f t="shared" si="1176"/>
        <v/>
      </c>
      <c r="G13303" s="153" t="s">
        <v>51</v>
      </c>
      <c r="H13303" s="160"/>
      <c r="I13303" s="160" t="s">
        <v>47</v>
      </c>
      <c r="J13303" s="160" t="s">
        <v>52</v>
      </c>
      <c r="K13303" s="160" t="s">
        <v>27</v>
      </c>
      <c r="L13303" s="154" t="str">
        <f>IF(OpenLCAbasic!K13303="CTUh", "Fill in Manually",IF(OR(K13303="Unit", K13303=""), "", INDEX(LookUps!$E$5:$E$12, MATCH(OpenLCAbasic!K13303,LookUps!$D$5:$D$12,0))))</f>
        <v/>
      </c>
      <c r="M13303" s="154" t="str">
        <f t="shared" si="1172"/>
        <v>____Process__</v>
      </c>
    </row>
    <row r="13304" spans="1:13" s="120" customFormat="1" x14ac:dyDescent="0.25">
      <c r="A13304" s="119"/>
      <c r="B13304" s="138" t="str">
        <f t="shared" si="1173"/>
        <v>Aerated Static Pile</v>
      </c>
      <c r="C13304" s="138" t="str">
        <f t="shared" si="1174"/>
        <v>Without Amendment</v>
      </c>
      <c r="D13304" s="138" t="str">
        <f t="shared" si="1171"/>
        <v>Medium_Base</v>
      </c>
      <c r="E13304" s="138" t="str">
        <f t="shared" si="1175"/>
        <v>Low</v>
      </c>
      <c r="F13304" s="138" t="str">
        <f t="shared" si="1176"/>
        <v>Upgraded</v>
      </c>
      <c r="G13304" s="153"/>
      <c r="H13304" s="210">
        <v>1.8442000000000001</v>
      </c>
      <c r="I13304" s="160" t="s">
        <v>167</v>
      </c>
      <c r="J13304" s="160">
        <v>2.7999999999999998E-4</v>
      </c>
      <c r="K13304" s="160" t="s">
        <v>26</v>
      </c>
      <c r="L13304" s="154" t="str">
        <f>IF(OpenLCAbasic!K13304="CTUh", "Fill in Manually",IF(OR(K13304="Unit", K13304=""), "", INDEX(LookUps!$E$5:$E$12, MATCH(OpenLCAbasic!K13304,LookUps!$D$5:$D$12,0))))</f>
        <v>Water Use (WU) - m3 H2O</v>
      </c>
      <c r="M13304" s="154" t="str">
        <f t="shared" si="1172"/>
        <v>Low_Medium_Base_Upgraded_Water Use (WU) - m3 H2O_Waste Receiving and Holding; wastewater treatment unit; at updated plant - US_Without Amendment_Aerated Static Pile</v>
      </c>
    </row>
    <row r="13305" spans="1:13" s="120" customFormat="1" x14ac:dyDescent="0.25">
      <c r="A13305" s="119"/>
      <c r="B13305" s="138" t="str">
        <f t="shared" si="1173"/>
        <v>Aerated Static Pile</v>
      </c>
      <c r="C13305" s="138" t="str">
        <f t="shared" si="1174"/>
        <v>Without Amendment</v>
      </c>
      <c r="D13305" s="138" t="str">
        <f t="shared" si="1171"/>
        <v>Medium_Base</v>
      </c>
      <c r="E13305" s="138" t="str">
        <f t="shared" si="1175"/>
        <v>Low</v>
      </c>
      <c r="F13305" s="138" t="str">
        <f t="shared" si="1176"/>
        <v>Upgraded</v>
      </c>
      <c r="G13305" s="153"/>
      <c r="H13305" s="210">
        <v>1.2038</v>
      </c>
      <c r="I13305" s="160" t="s">
        <v>147</v>
      </c>
      <c r="J13305" s="160">
        <v>1.8000000000000001E-4</v>
      </c>
      <c r="K13305" s="160" t="s">
        <v>26</v>
      </c>
      <c r="L13305" s="154" t="str">
        <f>IF(OpenLCAbasic!K13305="CTUh", "Fill in Manually",IF(OR(K13305="Unit", K13305=""), "", INDEX(LookUps!$E$5:$E$12, MATCH(OpenLCAbasic!K13305,LookUps!$D$5:$D$12,0))))</f>
        <v>Water Use (WU) - m3 H2O</v>
      </c>
      <c r="M13305" s="154" t="str">
        <f t="shared" si="1172"/>
        <v>Low_Medium_Base_Upgraded_Water Use (WU) - m3 H2O_Influent Pump Station; wastewater treatment unit; at updated plant - US_Without Amendment_Aerated Static Pile</v>
      </c>
    </row>
    <row r="13306" spans="1:13" s="120" customFormat="1" x14ac:dyDescent="0.25">
      <c r="A13306" s="119"/>
      <c r="B13306" s="138" t="str">
        <f t="shared" si="1173"/>
        <v>Aerated Static Pile</v>
      </c>
      <c r="C13306" s="138" t="str">
        <f t="shared" si="1174"/>
        <v>Without Amendment</v>
      </c>
      <c r="D13306" s="138" t="str">
        <f t="shared" si="1171"/>
        <v>Medium_Base</v>
      </c>
      <c r="E13306" s="138" t="str">
        <f t="shared" si="1175"/>
        <v>Low</v>
      </c>
      <c r="F13306" s="138" t="str">
        <f t="shared" si="1176"/>
        <v>Upgraded</v>
      </c>
      <c r="G13306" s="153"/>
      <c r="H13306" s="210">
        <v>1.1746000000000001</v>
      </c>
      <c r="I13306" s="160" t="s">
        <v>54</v>
      </c>
      <c r="J13306" s="160">
        <v>1.8000000000000001E-4</v>
      </c>
      <c r="K13306" s="160" t="s">
        <v>26</v>
      </c>
      <c r="L13306" s="154" t="str">
        <f>IF(OpenLCAbasic!K13306="CTUh", "Fill in Manually",IF(OR(K13306="Unit", K13306=""), "", INDEX(LookUps!$E$5:$E$12, MATCH(OpenLCAbasic!K13306,LookUps!$D$5:$D$12,0))))</f>
        <v>Water Use (WU) - m3 H2O</v>
      </c>
      <c r="M13306" s="154" t="str">
        <f t="shared" si="1172"/>
        <v>Low_Medium_Base_Upgraded_Water Use (WU) - m3 H2O_Clear Cove Primary Clarification; wastewater treatment unit; at updated plant - US_Without Amendment_Aerated Static Pile</v>
      </c>
    </row>
    <row r="13307" spans="1:13" s="120" customFormat="1" x14ac:dyDescent="0.25">
      <c r="A13307" s="119"/>
      <c r="B13307" s="138" t="str">
        <f t="shared" si="1173"/>
        <v>Aerated Static Pile</v>
      </c>
      <c r="C13307" s="138" t="str">
        <f t="shared" si="1174"/>
        <v>Without Amendment</v>
      </c>
      <c r="D13307" s="138" t="str">
        <f t="shared" si="1171"/>
        <v>Medium_Base</v>
      </c>
      <c r="E13307" s="138" t="str">
        <f t="shared" si="1175"/>
        <v>Low</v>
      </c>
      <c r="F13307" s="138" t="str">
        <f t="shared" si="1176"/>
        <v>Upgraded</v>
      </c>
      <c r="G13307" s="153"/>
      <c r="H13307" s="210">
        <v>1.0654999999999999</v>
      </c>
      <c r="I13307" s="160" t="s">
        <v>55</v>
      </c>
      <c r="J13307" s="160">
        <v>1.6000000000000001E-4</v>
      </c>
      <c r="K13307" s="160" t="s">
        <v>26</v>
      </c>
      <c r="L13307" s="154" t="str">
        <f>IF(OpenLCAbasic!K13307="CTUh", "Fill in Manually",IF(OR(K13307="Unit", K13307=""), "", INDEX(LookUps!$E$5:$E$12, MATCH(OpenLCAbasic!K13307,LookUps!$D$5:$D$12,0))))</f>
        <v>Water Use (WU) - m3 H2O</v>
      </c>
      <c r="M13307" s="154" t="str">
        <f t="shared" si="1172"/>
        <v>Low_Medium_Base_Upgraded_Water Use (WU) - m3 H2O_Aeration Tanks; wastewater treatment unit; at updated plant - US_Without Amendment_Aerated Static Pile</v>
      </c>
    </row>
    <row r="13308" spans="1:13" s="120" customFormat="1" x14ac:dyDescent="0.25">
      <c r="A13308" s="119"/>
      <c r="B13308" s="138" t="str">
        <f t="shared" si="1173"/>
        <v>Aerated Static Pile</v>
      </c>
      <c r="C13308" s="138" t="str">
        <f t="shared" si="1174"/>
        <v>Without Amendment</v>
      </c>
      <c r="D13308" s="138" t="str">
        <f t="shared" si="1171"/>
        <v>Medium_Base</v>
      </c>
      <c r="E13308" s="138" t="str">
        <f t="shared" si="1175"/>
        <v>Low</v>
      </c>
      <c r="F13308" s="138" t="str">
        <f t="shared" si="1176"/>
        <v>Upgraded</v>
      </c>
      <c r="G13308" s="153"/>
      <c r="H13308" s="210">
        <v>0.97060000000000002</v>
      </c>
      <c r="I13308" s="160" t="s">
        <v>148</v>
      </c>
      <c r="J13308" s="160">
        <v>1.4999999999999999E-4</v>
      </c>
      <c r="K13308" s="160" t="s">
        <v>26</v>
      </c>
      <c r="L13308" s="154" t="str">
        <f>IF(OpenLCAbasic!K13308="CTUh", "Fill in Manually",IF(OR(K13308="Unit", K13308=""), "", INDEX(LookUps!$E$5:$E$12, MATCH(OpenLCAbasic!K13308,LookUps!$D$5:$D$12,0))))</f>
        <v>Water Use (WU) - m3 H2O</v>
      </c>
      <c r="M13308" s="154" t="str">
        <f t="shared" si="1172"/>
        <v>Low_Medium_Base_Upgraded_Water Use (WU) - m3 H2O_Control Building; at upgraded wastewater treatment plant - US_Without Amendment_Aerated Static Pile</v>
      </c>
    </row>
    <row r="13309" spans="1:13" s="120" customFormat="1" x14ac:dyDescent="0.25">
      <c r="A13309" s="119"/>
      <c r="B13309" s="138" t="str">
        <f t="shared" si="1173"/>
        <v>Aerated Static Pile</v>
      </c>
      <c r="C13309" s="138" t="str">
        <f t="shared" si="1174"/>
        <v>Without Amendment</v>
      </c>
      <c r="D13309" s="138" t="str">
        <f t="shared" si="1171"/>
        <v>Medium_Base</v>
      </c>
      <c r="E13309" s="138" t="str">
        <f t="shared" si="1175"/>
        <v>Low</v>
      </c>
      <c r="F13309" s="138" t="str">
        <f t="shared" si="1176"/>
        <v>Upgraded</v>
      </c>
      <c r="G13309" s="153"/>
      <c r="H13309" s="210">
        <v>0.45069999999999999</v>
      </c>
      <c r="I13309" s="160" t="s">
        <v>48</v>
      </c>
      <c r="J13309" s="211">
        <v>6.8836400000000004E-5</v>
      </c>
      <c r="K13309" s="160" t="s">
        <v>26</v>
      </c>
      <c r="L13309" s="154" t="str">
        <f>IF(OpenLCAbasic!K13309="CTUh", "Fill in Manually",IF(OR(K13309="Unit", K13309=""), "", INDEX(LookUps!$E$5:$E$12, MATCH(OpenLCAbasic!K13309,LookUps!$D$5:$D$12,0))))</f>
        <v>Water Use (WU) - m3 H2O</v>
      </c>
      <c r="M13309" s="154" t="str">
        <f t="shared" si="1172"/>
        <v>Low_Medium_Base_Upgraded_Water Use (WU) - m3 H2O_Effluent release; wastewater treatment unit; at surface water; m3 wastewater - US_Without Amendment_Aerated Static Pile</v>
      </c>
    </row>
    <row r="13310" spans="1:13" s="120" customFormat="1" x14ac:dyDescent="0.25">
      <c r="A13310" s="119"/>
      <c r="B13310" s="138" t="str">
        <f t="shared" si="1173"/>
        <v>Aerated Static Pile</v>
      </c>
      <c r="C13310" s="138" t="str">
        <f t="shared" si="1174"/>
        <v>Without Amendment</v>
      </c>
      <c r="D13310" s="138" t="str">
        <f t="shared" si="1171"/>
        <v>Medium_Base</v>
      </c>
      <c r="E13310" s="138" t="str">
        <f t="shared" si="1175"/>
        <v>Low</v>
      </c>
      <c r="F13310" s="138" t="str">
        <f t="shared" si="1176"/>
        <v>Upgraded</v>
      </c>
      <c r="G13310" s="153"/>
      <c r="H13310" s="210">
        <v>0.28310000000000002</v>
      </c>
      <c r="I13310" s="160" t="s">
        <v>58</v>
      </c>
      <c r="J13310" s="211">
        <v>4.3235300000000003E-5</v>
      </c>
      <c r="K13310" s="160" t="s">
        <v>26</v>
      </c>
      <c r="L13310" s="154" t="str">
        <f>IF(OpenLCAbasic!K13310="CTUh", "Fill in Manually",IF(OR(K13310="Unit", K13310=""), "", INDEX(LookUps!$E$5:$E$12, MATCH(OpenLCAbasic!K13310,LookUps!$D$5:$D$12,0))))</f>
        <v>Water Use (WU) - m3 H2O</v>
      </c>
      <c r="M13310" s="154" t="str">
        <f t="shared" si="1172"/>
        <v>Low_Medium_Base_Upgraded_Water Use (WU) - m3 H2O_Pre-Anoxic &amp; Swing tank; wastewater treatment unit; at updated plant - US_Without Amendment_Aerated Static Pile</v>
      </c>
    </row>
    <row r="13311" spans="1:13" s="120" customFormat="1" x14ac:dyDescent="0.25">
      <c r="A13311" s="119"/>
      <c r="B13311" s="138" t="str">
        <f t="shared" si="1173"/>
        <v>Aerated Static Pile</v>
      </c>
      <c r="C13311" s="138" t="str">
        <f t="shared" si="1174"/>
        <v>Without Amendment</v>
      </c>
      <c r="D13311" s="138" t="str">
        <f t="shared" si="1171"/>
        <v>Medium_Base</v>
      </c>
      <c r="E13311" s="138" t="str">
        <f t="shared" si="1175"/>
        <v>Low</v>
      </c>
      <c r="F13311" s="138" t="str">
        <f t="shared" si="1176"/>
        <v>Upgraded</v>
      </c>
      <c r="G13311" s="153"/>
      <c r="H13311" s="210">
        <v>0.1991</v>
      </c>
      <c r="I13311" s="160" t="s">
        <v>57</v>
      </c>
      <c r="J13311" s="211">
        <v>3.0408100000000001E-5</v>
      </c>
      <c r="K13311" s="160" t="s">
        <v>26</v>
      </c>
      <c r="L13311" s="154" t="str">
        <f>IF(OpenLCAbasic!K13311="CTUh", "Fill in Manually",IF(OR(K13311="Unit", K13311=""), "", INDEX(LookUps!$E$5:$E$12, MATCH(OpenLCAbasic!K13311,LookUps!$D$5:$D$12,0))))</f>
        <v>Water Use (WU) - m3 H2O</v>
      </c>
      <c r="M13311" s="154" t="str">
        <f t="shared" si="1172"/>
        <v>Low_Medium_Base_Upgraded_Water Use (WU) - m3 H2O_Gravity Belt Thickener; wastewater treatment unit; at updated plant - US_Without Amendment_Aerated Static Pile</v>
      </c>
    </row>
    <row r="13312" spans="1:13" s="120" customFormat="1" x14ac:dyDescent="0.25">
      <c r="A13312" s="119"/>
      <c r="B13312" s="138" t="str">
        <f t="shared" si="1173"/>
        <v>Aerated Static Pile</v>
      </c>
      <c r="C13312" s="138" t="str">
        <f t="shared" si="1174"/>
        <v>Without Amendment</v>
      </c>
      <c r="D13312" s="138" t="str">
        <f t="shared" si="1171"/>
        <v>Medium_Base</v>
      </c>
      <c r="E13312" s="138" t="str">
        <f t="shared" si="1175"/>
        <v>Low</v>
      </c>
      <c r="F13312" s="138" t="str">
        <f t="shared" si="1176"/>
        <v>Upgraded</v>
      </c>
      <c r="G13312" s="153"/>
      <c r="H13312" s="210">
        <v>0.1983</v>
      </c>
      <c r="I13312" s="160" t="s">
        <v>60</v>
      </c>
      <c r="J13312" s="211">
        <v>3.0289000000000001E-5</v>
      </c>
      <c r="K13312" s="160" t="s">
        <v>26</v>
      </c>
      <c r="L13312" s="154" t="str">
        <f>IF(OpenLCAbasic!K13312="CTUh", "Fill in Manually",IF(OR(K13312="Unit", K13312=""), "", INDEX(LookUps!$E$5:$E$12, MATCH(OpenLCAbasic!K13312,LookUps!$D$5:$D$12,0))))</f>
        <v>Water Use (WU) - m3 H2O</v>
      </c>
      <c r="M13312" s="154" t="str">
        <f t="shared" si="1172"/>
        <v>Low_Medium_Base_Upgraded_Water Use (WU) - m3 H2O_Belt filter press; wastewater treatment unit; at updated plant - US_Without Amendment_Aerated Static Pile</v>
      </c>
    </row>
    <row r="13313" spans="1:13" s="120" customFormat="1" x14ac:dyDescent="0.25">
      <c r="A13313" s="119"/>
      <c r="B13313" s="138" t="str">
        <f t="shared" si="1173"/>
        <v>Aerated Static Pile</v>
      </c>
      <c r="C13313" s="138" t="str">
        <f t="shared" si="1174"/>
        <v>Without Amendment</v>
      </c>
      <c r="D13313" s="138" t="str">
        <f t="shared" ref="D13313:D13319" si="1177">IF(ISNUMBER($J13313),"Medium_Base","")</f>
        <v>Medium_Base</v>
      </c>
      <c r="E13313" s="138" t="str">
        <f t="shared" si="1175"/>
        <v>Low</v>
      </c>
      <c r="F13313" s="138" t="str">
        <f t="shared" si="1176"/>
        <v>Upgraded</v>
      </c>
      <c r="G13313" s="153"/>
      <c r="H13313" s="210">
        <v>0.11459999999999999</v>
      </c>
      <c r="I13313" s="160" t="s">
        <v>53</v>
      </c>
      <c r="J13313" s="211">
        <v>1.75069E-5</v>
      </c>
      <c r="K13313" s="160" t="s">
        <v>26</v>
      </c>
      <c r="L13313" s="154" t="str">
        <f>IF(OpenLCAbasic!K13313="CTUh", "Fill in Manually",IF(OR(K13313="Unit", K13313=""), "", INDEX(LookUps!$E$5:$E$12, MATCH(OpenLCAbasic!K13313,LookUps!$D$5:$D$12,0))))</f>
        <v>Water Use (WU) - m3 H2O</v>
      </c>
      <c r="M13313" s="154" t="str">
        <f t="shared" si="1172"/>
        <v>Low_Medium_Base_Upgraded_Water Use (WU) - m3 H2O_Wet Well and Sump Station; wastewater treatment unit; at updated plant - US_Without Amendment_Aerated Static Pile</v>
      </c>
    </row>
    <row r="13314" spans="1:13" s="120" customFormat="1" x14ac:dyDescent="0.25">
      <c r="A13314" s="119"/>
      <c r="B13314" s="138" t="str">
        <f t="shared" si="1173"/>
        <v>Aerated Static Pile</v>
      </c>
      <c r="C13314" s="138" t="str">
        <f t="shared" si="1174"/>
        <v>Without Amendment</v>
      </c>
      <c r="D13314" s="138" t="str">
        <f t="shared" si="1177"/>
        <v>Medium_Base</v>
      </c>
      <c r="E13314" s="138" t="str">
        <f t="shared" si="1175"/>
        <v>Low</v>
      </c>
      <c r="F13314" s="138" t="str">
        <f t="shared" si="1176"/>
        <v>Upgraded</v>
      </c>
      <c r="G13314" s="153"/>
      <c r="H13314" s="210">
        <v>5.4300000000000001E-2</v>
      </c>
      <c r="I13314" s="160" t="s">
        <v>435</v>
      </c>
      <c r="J13314" s="211">
        <v>8.2924200000000001E-6</v>
      </c>
      <c r="K13314" s="160" t="s">
        <v>26</v>
      </c>
      <c r="L13314" s="154" t="str">
        <f>IF(OpenLCAbasic!K13314="CTUh", "Fill in Manually",IF(OR(K13314="Unit", K13314=""), "", INDEX(LookUps!$E$5:$E$12, MATCH(OpenLCAbasic!K13314,LookUps!$D$5:$D$12,0))))</f>
        <v>Water Use (WU) - m3 H2O</v>
      </c>
      <c r="M13314" s="154" t="str">
        <f t="shared" si="1172"/>
        <v>Low_Medium_Base_Upgraded_Water Use (WU) - m3 H2O_Biosolids composting; aerated static pile; wastewater treatment unit; at updated plant - US_Without Amendment_Aerated Static Pile</v>
      </c>
    </row>
    <row r="13315" spans="1:13" s="120" customFormat="1" x14ac:dyDescent="0.25">
      <c r="A13315" s="119"/>
      <c r="B13315" s="138" t="str">
        <f t="shared" si="1173"/>
        <v>Aerated Static Pile</v>
      </c>
      <c r="C13315" s="138" t="str">
        <f t="shared" si="1174"/>
        <v>Without Amendment</v>
      </c>
      <c r="D13315" s="138" t="str">
        <f t="shared" si="1177"/>
        <v>Medium_Base</v>
      </c>
      <c r="E13315" s="138" t="str">
        <f t="shared" si="1175"/>
        <v>Low</v>
      </c>
      <c r="F13315" s="138" t="str">
        <f t="shared" si="1176"/>
        <v>Upgraded</v>
      </c>
      <c r="G13315" s="153"/>
      <c r="H13315" s="210">
        <v>4.5999999999999999E-2</v>
      </c>
      <c r="I13315" s="160" t="s">
        <v>59</v>
      </c>
      <c r="J13315" s="211">
        <v>7.0179500000000003E-6</v>
      </c>
      <c r="K13315" s="160" t="s">
        <v>26</v>
      </c>
      <c r="L13315" s="154" t="str">
        <f>IF(OpenLCAbasic!K13315="CTUh", "Fill in Manually",IF(OR(K13315="Unit", K13315=""), "", INDEX(LookUps!$E$5:$E$12, MATCH(OpenLCAbasic!K13315,LookUps!$D$5:$D$12,0))))</f>
        <v>Water Use (WU) - m3 H2O</v>
      </c>
      <c r="M13315" s="154" t="str">
        <f t="shared" si="1172"/>
        <v>Low_Medium_Base_Upgraded_Water Use (WU) - m3 H2O_Blend Tank; wastewater treatment unit; at updated plant - US_Without Amendment_Aerated Static Pile</v>
      </c>
    </row>
    <row r="13316" spans="1:13" s="120" customFormat="1" x14ac:dyDescent="0.25">
      <c r="A13316" s="119"/>
      <c r="B13316" s="138" t="str">
        <f t="shared" si="1173"/>
        <v>Aerated Static Pile</v>
      </c>
      <c r="C13316" s="138" t="str">
        <f t="shared" si="1174"/>
        <v>Without Amendment</v>
      </c>
      <c r="D13316" s="138" t="str">
        <f t="shared" si="1177"/>
        <v>Medium_Base</v>
      </c>
      <c r="E13316" s="138" t="str">
        <f t="shared" si="1175"/>
        <v>Low</v>
      </c>
      <c r="F13316" s="138" t="str">
        <f t="shared" si="1176"/>
        <v>Upgraded</v>
      </c>
      <c r="G13316" s="153"/>
      <c r="H13316" s="210">
        <v>3.3099999999999997E-2</v>
      </c>
      <c r="I13316" s="160" t="s">
        <v>128</v>
      </c>
      <c r="J13316" s="211">
        <v>5.0608900000000003E-6</v>
      </c>
      <c r="K13316" s="160" t="s">
        <v>26</v>
      </c>
      <c r="L13316" s="154" t="str">
        <f>IF(OpenLCAbasic!K13316="CTUh", "Fill in Manually",IF(OR(K13316="Unit", K13316=""), "", INDEX(LookUps!$E$5:$E$12, MATCH(OpenLCAbasic!K13316,LookUps!$D$5:$D$12,0))))</f>
        <v>Water Use (WU) - m3 H2O</v>
      </c>
      <c r="M13316" s="154" t="str">
        <f t="shared" ref="M13316:M13379" si="1178">CONCATENATE(E13316,"_",D13316,"_",F13316,"_",L13316, "_",I13316,"_", C13316,"_", B13316)</f>
        <v>Low_Medium_Base_Upgraded_Water Use (WU) - m3 H2O_Wastewater collection; operation and infrastructure; m3 wastewater_Without Amendment_Aerated Static Pile</v>
      </c>
    </row>
    <row r="13317" spans="1:13" s="120" customFormat="1" x14ac:dyDescent="0.25">
      <c r="A13317" s="119"/>
      <c r="B13317" s="138" t="str">
        <f t="shared" si="1173"/>
        <v>Aerated Static Pile</v>
      </c>
      <c r="C13317" s="138" t="str">
        <f t="shared" si="1174"/>
        <v>Without Amendment</v>
      </c>
      <c r="D13317" s="138" t="str">
        <f t="shared" si="1177"/>
        <v>Medium_Base</v>
      </c>
      <c r="E13317" s="138" t="str">
        <f t="shared" si="1175"/>
        <v>Low</v>
      </c>
      <c r="F13317" s="138" t="str">
        <f t="shared" si="1176"/>
        <v>Upgraded</v>
      </c>
      <c r="G13317" s="153"/>
      <c r="H13317" s="210">
        <v>5.0000000000000001E-3</v>
      </c>
      <c r="I13317" s="160" t="s">
        <v>168</v>
      </c>
      <c r="J13317" s="211">
        <v>7.6697000000000004E-7</v>
      </c>
      <c r="K13317" s="160" t="s">
        <v>26</v>
      </c>
      <c r="L13317" s="154" t="str">
        <f>IF(OpenLCAbasic!K13317="CTUh", "Fill in Manually",IF(OR(K13317="Unit", K13317=""), "", INDEX(LookUps!$E$5:$E$12, MATCH(OpenLCAbasic!K13317,LookUps!$D$5:$D$12,0))))</f>
        <v>Water Use (WU) - m3 H2O</v>
      </c>
      <c r="M13317" s="154" t="str">
        <f t="shared" si="1178"/>
        <v>Low_Medium_Base_Upgraded_Water Use (WU) - m3 H2O_ClearCove SCP; wastewater treatment unit; at updated plant - US_Without Amendment_Aerated Static Pile</v>
      </c>
    </row>
    <row r="13318" spans="1:13" s="120" customFormat="1" x14ac:dyDescent="0.25">
      <c r="A13318" s="119"/>
      <c r="B13318" s="138" t="str">
        <f t="shared" si="1173"/>
        <v>Aerated Static Pile</v>
      </c>
      <c r="C13318" s="138" t="str">
        <f t="shared" si="1174"/>
        <v>Without Amendment</v>
      </c>
      <c r="D13318" s="138" t="str">
        <f t="shared" si="1177"/>
        <v>Medium_Base</v>
      </c>
      <c r="E13318" s="138" t="str">
        <f t="shared" si="1175"/>
        <v>Low</v>
      </c>
      <c r="F13318" s="138" t="str">
        <f t="shared" si="1176"/>
        <v>Upgraded</v>
      </c>
      <c r="G13318" s="153"/>
      <c r="H13318" s="210">
        <v>-0.25269999999999998</v>
      </c>
      <c r="I13318" s="160" t="s">
        <v>149</v>
      </c>
      <c r="J13318" s="211">
        <v>-3.8591399999999998E-5</v>
      </c>
      <c r="K13318" s="160" t="s">
        <v>26</v>
      </c>
      <c r="L13318" s="154" t="str">
        <f>IF(OpenLCAbasic!K13318="CTUh", "Fill in Manually",IF(OR(K13318="Unit", K13318=""), "", INDEX(LookUps!$E$5:$E$12, MATCH(OpenLCAbasic!K13318,LookUps!$D$5:$D$12,0))))</f>
        <v>Water Use (WU) - m3 H2O</v>
      </c>
      <c r="M13318" s="154" t="str">
        <f t="shared" si="1178"/>
        <v>Low_Medium_Base_Upgraded_Water Use (WU) - m3 H2O_Anaerobic Digestion; wastewater treatment unit; at updated plant - US_Without Amendment_Aerated Static Pile</v>
      </c>
    </row>
    <row r="13319" spans="1:13" s="120" customFormat="1" x14ac:dyDescent="0.25">
      <c r="A13319" s="119"/>
      <c r="B13319" s="138" t="str">
        <f t="shared" si="1173"/>
        <v>Aerated Static Pile</v>
      </c>
      <c r="C13319" s="138" t="str">
        <f t="shared" si="1174"/>
        <v>Without Amendment</v>
      </c>
      <c r="D13319" s="138" t="str">
        <f t="shared" si="1177"/>
        <v>Medium_Base</v>
      </c>
      <c r="E13319" s="138" t="str">
        <f t="shared" si="1175"/>
        <v>Low</v>
      </c>
      <c r="F13319" s="138" t="str">
        <f t="shared" si="1176"/>
        <v>Upgraded</v>
      </c>
      <c r="G13319" s="153"/>
      <c r="H13319" s="210">
        <v>-6.3902999999999999</v>
      </c>
      <c r="I13319" s="160" t="s">
        <v>62</v>
      </c>
      <c r="J13319" s="160">
        <v>-9.7999999999999997E-4</v>
      </c>
      <c r="K13319" s="160" t="s">
        <v>26</v>
      </c>
      <c r="L13319" s="154" t="str">
        <f>IF(OpenLCAbasic!K13319="CTUh", "Fill in Manually",IF(OR(K13319="Unit", K13319=""), "", INDEX(LookUps!$E$5:$E$12, MATCH(OpenLCAbasic!K13319,LookUps!$D$5:$D$12,0))))</f>
        <v>Water Use (WU) - m3 H2O</v>
      </c>
      <c r="M13319" s="154" t="str">
        <f t="shared" si="1178"/>
        <v>Low_Medium_Base_Upgraded_Water Use (WU) - m3 H2O_Land application of compost; wastewater treatment unit; at updated plant - US_Without Amendment_Aerated Static Pile</v>
      </c>
    </row>
    <row r="13320" spans="1:13" s="120" customFormat="1" x14ac:dyDescent="0.25">
      <c r="A13320" s="119"/>
      <c r="B13320" s="138" t="str">
        <f t="shared" si="1173"/>
        <v/>
      </c>
      <c r="C13320" s="138" t="str">
        <f t="shared" si="1174"/>
        <v/>
      </c>
      <c r="D13320" s="138" t="str">
        <f>IF(ISNUMBER($J13320),"Medium_High","")</f>
        <v/>
      </c>
      <c r="E13320" s="138" t="str">
        <f t="shared" si="1175"/>
        <v/>
      </c>
      <c r="F13320" s="138" t="str">
        <f t="shared" si="1176"/>
        <v/>
      </c>
      <c r="G13320" s="153" t="s">
        <v>51</v>
      </c>
      <c r="H13320" s="160"/>
      <c r="I13320" s="160" t="s">
        <v>47</v>
      </c>
      <c r="J13320" s="160" t="s">
        <v>52</v>
      </c>
      <c r="K13320" s="160" t="s">
        <v>27</v>
      </c>
      <c r="L13320" s="154" t="str">
        <f>IF(OpenLCAbasic!K13320="CTUh", "Fill in Manually",IF(OR(K13320="Unit", K13320=""), "", INDEX(LookUps!$E$5:$E$12, MATCH(OpenLCAbasic!K13320,LookUps!$D$5:$D$12,0))))</f>
        <v/>
      </c>
      <c r="M13320" s="154" t="str">
        <f t="shared" si="1178"/>
        <v>____Process__</v>
      </c>
    </row>
    <row r="13321" spans="1:13" s="120" customFormat="1" x14ac:dyDescent="0.25">
      <c r="A13321" s="119"/>
      <c r="B13321" s="138" t="str">
        <f t="shared" si="1173"/>
        <v>Aerated Static Pile</v>
      </c>
      <c r="C13321" s="138" t="str">
        <f t="shared" si="1174"/>
        <v>Without Amendment</v>
      </c>
      <c r="D13321" s="138" t="str">
        <f t="shared" ref="D13321:D13384" si="1179">IF(ISNUMBER($J13321),"Medium_High","")</f>
        <v>Medium_High</v>
      </c>
      <c r="E13321" s="138" t="str">
        <f t="shared" si="1175"/>
        <v>Low</v>
      </c>
      <c r="F13321" s="138" t="str">
        <f t="shared" si="1176"/>
        <v>Upgraded</v>
      </c>
      <c r="G13321" s="153"/>
      <c r="H13321" s="210">
        <v>1.1879</v>
      </c>
      <c r="I13321" s="160" t="s">
        <v>55</v>
      </c>
      <c r="J13321" s="160">
        <v>1.7219999999999999E-2</v>
      </c>
      <c r="K13321" s="160" t="s">
        <v>24</v>
      </c>
      <c r="L13321" s="154" t="str">
        <f>IF(OpenLCAbasic!K13321="CTUh", "Fill in Manually",IF(OR(K13321="Unit", K13321=""), "", INDEX(LookUps!$E$5:$E$12, MATCH(OpenLCAbasic!K13321,LookUps!$D$5:$D$12,0))))</f>
        <v>Acidification Potential (AP) - kg SO2 eq</v>
      </c>
      <c r="M13321" s="154" t="str">
        <f t="shared" si="1178"/>
        <v>Low_Medium_High_Upgraded_Acidification Potential (AP) - kg SO2 eq_Aeration Tanks; wastewater treatment unit; at updated plant - US_Without Amendment_Aerated Static Pile</v>
      </c>
    </row>
    <row r="13322" spans="1:13" s="120" customFormat="1" x14ac:dyDescent="0.25">
      <c r="A13322" s="119"/>
      <c r="B13322" s="138" t="str">
        <f t="shared" si="1173"/>
        <v>Aerated Static Pile</v>
      </c>
      <c r="C13322" s="138" t="str">
        <f t="shared" si="1174"/>
        <v>Without Amendment</v>
      </c>
      <c r="D13322" s="138" t="str">
        <f t="shared" si="1179"/>
        <v>Medium_High</v>
      </c>
      <c r="E13322" s="138" t="str">
        <f t="shared" si="1175"/>
        <v>Low</v>
      </c>
      <c r="F13322" s="138" t="str">
        <f t="shared" si="1176"/>
        <v>Upgraded</v>
      </c>
      <c r="G13322" s="153"/>
      <c r="H13322" s="210">
        <v>0.34360000000000002</v>
      </c>
      <c r="I13322" s="160" t="s">
        <v>54</v>
      </c>
      <c r="J13322" s="160">
        <v>4.9800000000000001E-3</v>
      </c>
      <c r="K13322" s="160" t="s">
        <v>24</v>
      </c>
      <c r="L13322" s="154" t="str">
        <f>IF(OpenLCAbasic!K13322="CTUh", "Fill in Manually",IF(OR(K13322="Unit", K13322=""), "", INDEX(LookUps!$E$5:$E$12, MATCH(OpenLCAbasic!K13322,LookUps!$D$5:$D$12,0))))</f>
        <v>Acidification Potential (AP) - kg SO2 eq</v>
      </c>
      <c r="M13322" s="154" t="str">
        <f t="shared" si="1178"/>
        <v>Low_Medium_High_Upgraded_Acidification Potential (AP) - kg SO2 eq_Clear Cove Primary Clarification; wastewater treatment unit; at updated plant - US_Without Amendment_Aerated Static Pile</v>
      </c>
    </row>
    <row r="13323" spans="1:13" s="120" customFormat="1" x14ac:dyDescent="0.25">
      <c r="A13323" s="119"/>
      <c r="B13323" s="138" t="str">
        <f t="shared" si="1173"/>
        <v>Aerated Static Pile</v>
      </c>
      <c r="C13323" s="138" t="str">
        <f t="shared" si="1174"/>
        <v>Without Amendment</v>
      </c>
      <c r="D13323" s="138" t="str">
        <f t="shared" si="1179"/>
        <v>Medium_High</v>
      </c>
      <c r="E13323" s="138" t="str">
        <f t="shared" si="1175"/>
        <v>Low</v>
      </c>
      <c r="F13323" s="138" t="str">
        <f t="shared" si="1176"/>
        <v>Upgraded</v>
      </c>
      <c r="G13323" s="153"/>
      <c r="H13323" s="210">
        <v>0.29980000000000001</v>
      </c>
      <c r="I13323" s="160" t="s">
        <v>58</v>
      </c>
      <c r="J13323" s="160">
        <v>4.3499999999999997E-3</v>
      </c>
      <c r="K13323" s="160" t="s">
        <v>24</v>
      </c>
      <c r="L13323" s="154" t="str">
        <f>IF(OpenLCAbasic!K13323="CTUh", "Fill in Manually",IF(OR(K13323="Unit", K13323=""), "", INDEX(LookUps!$E$5:$E$12, MATCH(OpenLCAbasic!K13323,LookUps!$D$5:$D$12,0))))</f>
        <v>Acidification Potential (AP) - kg SO2 eq</v>
      </c>
      <c r="M13323" s="154" t="str">
        <f t="shared" si="1178"/>
        <v>Low_Medium_High_Upgraded_Acidification Potential (AP) - kg SO2 eq_Pre-Anoxic &amp; Swing tank; wastewater treatment unit; at updated plant - US_Without Amendment_Aerated Static Pile</v>
      </c>
    </row>
    <row r="13324" spans="1:13" s="120" customFormat="1" x14ac:dyDescent="0.25">
      <c r="A13324" s="119"/>
      <c r="B13324" s="138" t="str">
        <f t="shared" si="1173"/>
        <v>Aerated Static Pile</v>
      </c>
      <c r="C13324" s="138" t="str">
        <f t="shared" si="1174"/>
        <v>Without Amendment</v>
      </c>
      <c r="D13324" s="138" t="str">
        <f t="shared" si="1179"/>
        <v>Medium_High</v>
      </c>
      <c r="E13324" s="138" t="str">
        <f t="shared" si="1175"/>
        <v>Low</v>
      </c>
      <c r="F13324" s="138" t="str">
        <f t="shared" si="1176"/>
        <v>Upgraded</v>
      </c>
      <c r="G13324" s="153"/>
      <c r="H13324" s="210">
        <v>0.23799999999999999</v>
      </c>
      <c r="I13324" s="160" t="s">
        <v>53</v>
      </c>
      <c r="J13324" s="160">
        <v>3.4499999999999999E-3</v>
      </c>
      <c r="K13324" s="160" t="s">
        <v>24</v>
      </c>
      <c r="L13324" s="154" t="str">
        <f>IF(OpenLCAbasic!K13324="CTUh", "Fill in Manually",IF(OR(K13324="Unit", K13324=""), "", INDEX(LookUps!$E$5:$E$12, MATCH(OpenLCAbasic!K13324,LookUps!$D$5:$D$12,0))))</f>
        <v>Acidification Potential (AP) - kg SO2 eq</v>
      </c>
      <c r="M13324" s="154" t="str">
        <f t="shared" si="1178"/>
        <v>Low_Medium_High_Upgraded_Acidification Potential (AP) - kg SO2 eq_Wet Well and Sump Station; wastewater treatment unit; at updated plant - US_Without Amendment_Aerated Static Pile</v>
      </c>
    </row>
    <row r="13325" spans="1:13" s="120" customFormat="1" x14ac:dyDescent="0.25">
      <c r="A13325" s="119"/>
      <c r="B13325" s="138" t="str">
        <f t="shared" si="1173"/>
        <v>Aerated Static Pile</v>
      </c>
      <c r="C13325" s="138" t="str">
        <f t="shared" si="1174"/>
        <v>Without Amendment</v>
      </c>
      <c r="D13325" s="138" t="str">
        <f t="shared" si="1179"/>
        <v>Medium_High</v>
      </c>
      <c r="E13325" s="138" t="str">
        <f t="shared" si="1175"/>
        <v>Low</v>
      </c>
      <c r="F13325" s="138" t="str">
        <f t="shared" si="1176"/>
        <v>Upgraded</v>
      </c>
      <c r="G13325" s="153"/>
      <c r="H13325" s="210">
        <v>0.17649999999999999</v>
      </c>
      <c r="I13325" s="160" t="s">
        <v>62</v>
      </c>
      <c r="J13325" s="160">
        <v>2.5600000000000002E-3</v>
      </c>
      <c r="K13325" s="160" t="s">
        <v>24</v>
      </c>
      <c r="L13325" s="154" t="str">
        <f>IF(OpenLCAbasic!K13325="CTUh", "Fill in Manually",IF(OR(K13325="Unit", K13325=""), "", INDEX(LookUps!$E$5:$E$12, MATCH(OpenLCAbasic!K13325,LookUps!$D$5:$D$12,0))))</f>
        <v>Acidification Potential (AP) - kg SO2 eq</v>
      </c>
      <c r="M13325" s="154" t="str">
        <f t="shared" si="1178"/>
        <v>Low_Medium_High_Upgraded_Acidification Potential (AP) - kg SO2 eq_Land application of compost; wastewater treatment unit; at updated plant - US_Without Amendment_Aerated Static Pile</v>
      </c>
    </row>
    <row r="13326" spans="1:13" s="120" customFormat="1" x14ac:dyDescent="0.25">
      <c r="A13326" s="119"/>
      <c r="B13326" s="138" t="str">
        <f t="shared" si="1173"/>
        <v>Aerated Static Pile</v>
      </c>
      <c r="C13326" s="138" t="str">
        <f t="shared" si="1174"/>
        <v>Without Amendment</v>
      </c>
      <c r="D13326" s="138" t="str">
        <f t="shared" si="1179"/>
        <v>Medium_High</v>
      </c>
      <c r="E13326" s="138" t="str">
        <f t="shared" si="1175"/>
        <v>Low</v>
      </c>
      <c r="F13326" s="138" t="str">
        <f t="shared" si="1176"/>
        <v>Upgraded</v>
      </c>
      <c r="G13326" s="153"/>
      <c r="H13326" s="210">
        <v>0.17460000000000001</v>
      </c>
      <c r="I13326" s="160" t="s">
        <v>167</v>
      </c>
      <c r="J13326" s="160">
        <v>2.5300000000000001E-3</v>
      </c>
      <c r="K13326" s="160" t="s">
        <v>24</v>
      </c>
      <c r="L13326" s="154" t="str">
        <f>IF(OpenLCAbasic!K13326="CTUh", "Fill in Manually",IF(OR(K13326="Unit", K13326=""), "", INDEX(LookUps!$E$5:$E$12, MATCH(OpenLCAbasic!K13326,LookUps!$D$5:$D$12,0))))</f>
        <v>Acidification Potential (AP) - kg SO2 eq</v>
      </c>
      <c r="M13326" s="154" t="str">
        <f t="shared" si="1178"/>
        <v>Low_Medium_High_Upgraded_Acidification Potential (AP) - kg SO2 eq_Waste Receiving and Holding; wastewater treatment unit; at updated plant - US_Without Amendment_Aerated Static Pile</v>
      </c>
    </row>
    <row r="13327" spans="1:13" s="120" customFormat="1" x14ac:dyDescent="0.25">
      <c r="A13327" s="119"/>
      <c r="B13327" s="138" t="str">
        <f t="shared" si="1173"/>
        <v>Aerated Static Pile</v>
      </c>
      <c r="C13327" s="138" t="str">
        <f t="shared" si="1174"/>
        <v>Without Amendment</v>
      </c>
      <c r="D13327" s="138" t="str">
        <f t="shared" si="1179"/>
        <v>Medium_High</v>
      </c>
      <c r="E13327" s="138" t="str">
        <f t="shared" si="1175"/>
        <v>Low</v>
      </c>
      <c r="F13327" s="138" t="str">
        <f t="shared" si="1176"/>
        <v>Upgraded</v>
      </c>
      <c r="G13327" s="153"/>
      <c r="H13327" s="210">
        <v>0.1547</v>
      </c>
      <c r="I13327" s="160" t="s">
        <v>435</v>
      </c>
      <c r="J13327" s="160">
        <v>2.2399999999999998E-3</v>
      </c>
      <c r="K13327" s="160" t="s">
        <v>24</v>
      </c>
      <c r="L13327" s="154" t="str">
        <f>IF(OpenLCAbasic!K13327="CTUh", "Fill in Manually",IF(OR(K13327="Unit", K13327=""), "", INDEX(LookUps!$E$5:$E$12, MATCH(OpenLCAbasic!K13327,LookUps!$D$5:$D$12,0))))</f>
        <v>Acidification Potential (AP) - kg SO2 eq</v>
      </c>
      <c r="M13327" s="154" t="str">
        <f t="shared" si="1178"/>
        <v>Low_Medium_High_Upgraded_Acidification Potential (AP) - kg SO2 eq_Biosolids composting; aerated static pile; wastewater treatment unit; at updated plant - US_Without Amendment_Aerated Static Pile</v>
      </c>
    </row>
    <row r="13328" spans="1:13" s="120" customFormat="1" x14ac:dyDescent="0.25">
      <c r="A13328" s="119"/>
      <c r="B13328" s="138" t="str">
        <f t="shared" si="1173"/>
        <v>Aerated Static Pile</v>
      </c>
      <c r="C13328" s="138" t="str">
        <f t="shared" si="1174"/>
        <v>Without Amendment</v>
      </c>
      <c r="D13328" s="138" t="str">
        <f t="shared" si="1179"/>
        <v>Medium_High</v>
      </c>
      <c r="E13328" s="138" t="str">
        <f t="shared" si="1175"/>
        <v>Low</v>
      </c>
      <c r="F13328" s="138" t="str">
        <f t="shared" si="1176"/>
        <v>Upgraded</v>
      </c>
      <c r="G13328" s="153"/>
      <c r="H13328" s="210">
        <v>0.14269999999999999</v>
      </c>
      <c r="I13328" s="160" t="s">
        <v>147</v>
      </c>
      <c r="J13328" s="160">
        <v>2.0699999999999998E-3</v>
      </c>
      <c r="K13328" s="160" t="s">
        <v>24</v>
      </c>
      <c r="L13328" s="154" t="str">
        <f>IF(OpenLCAbasic!K13328="CTUh", "Fill in Manually",IF(OR(K13328="Unit", K13328=""), "", INDEX(LookUps!$E$5:$E$12, MATCH(OpenLCAbasic!K13328,LookUps!$D$5:$D$12,0))))</f>
        <v>Acidification Potential (AP) - kg SO2 eq</v>
      </c>
      <c r="M13328" s="154" t="str">
        <f t="shared" si="1178"/>
        <v>Low_Medium_High_Upgraded_Acidification Potential (AP) - kg SO2 eq_Influent Pump Station; wastewater treatment unit; at updated plant - US_Without Amendment_Aerated Static Pile</v>
      </c>
    </row>
    <row r="13329" spans="1:13" s="120" customFormat="1" x14ac:dyDescent="0.25">
      <c r="A13329" s="119"/>
      <c r="B13329" s="138" t="str">
        <f t="shared" si="1173"/>
        <v>Aerated Static Pile</v>
      </c>
      <c r="C13329" s="138" t="str">
        <f t="shared" si="1174"/>
        <v>Without Amendment</v>
      </c>
      <c r="D13329" s="138" t="str">
        <f t="shared" si="1179"/>
        <v>Medium_High</v>
      </c>
      <c r="E13329" s="138" t="str">
        <f t="shared" si="1175"/>
        <v>Low</v>
      </c>
      <c r="F13329" s="138" t="str">
        <f t="shared" si="1176"/>
        <v>Upgraded</v>
      </c>
      <c r="G13329" s="153"/>
      <c r="H13329" s="210">
        <v>8.5099999999999995E-2</v>
      </c>
      <c r="I13329" s="160" t="s">
        <v>128</v>
      </c>
      <c r="J13329" s="160">
        <v>1.23E-3</v>
      </c>
      <c r="K13329" s="160" t="s">
        <v>24</v>
      </c>
      <c r="L13329" s="154" t="str">
        <f>IF(OpenLCAbasic!K13329="CTUh", "Fill in Manually",IF(OR(K13329="Unit", K13329=""), "", INDEX(LookUps!$E$5:$E$12, MATCH(OpenLCAbasic!K13329,LookUps!$D$5:$D$12,0))))</f>
        <v>Acidification Potential (AP) - kg SO2 eq</v>
      </c>
      <c r="M13329" s="154" t="str">
        <f t="shared" si="1178"/>
        <v>Low_Medium_High_Upgraded_Acidification Potential (AP) - kg SO2 eq_Wastewater collection; operation and infrastructure; m3 wastewater_Without Amendment_Aerated Static Pile</v>
      </c>
    </row>
    <row r="13330" spans="1:13" s="120" customFormat="1" x14ac:dyDescent="0.25">
      <c r="A13330" s="119"/>
      <c r="B13330" s="138" t="str">
        <f t="shared" si="1173"/>
        <v>Aerated Static Pile</v>
      </c>
      <c r="C13330" s="138" t="str">
        <f t="shared" si="1174"/>
        <v>Without Amendment</v>
      </c>
      <c r="D13330" s="138" t="str">
        <f t="shared" si="1179"/>
        <v>Medium_High</v>
      </c>
      <c r="E13330" s="138" t="str">
        <f t="shared" si="1175"/>
        <v>Low</v>
      </c>
      <c r="F13330" s="138" t="str">
        <f t="shared" si="1176"/>
        <v>Upgraded</v>
      </c>
      <c r="G13330" s="153"/>
      <c r="H13330" s="210">
        <v>7.0400000000000004E-2</v>
      </c>
      <c r="I13330" s="160" t="s">
        <v>60</v>
      </c>
      <c r="J13330" s="160">
        <v>1.0200000000000001E-3</v>
      </c>
      <c r="K13330" s="160" t="s">
        <v>24</v>
      </c>
      <c r="L13330" s="154" t="str">
        <f>IF(OpenLCAbasic!K13330="CTUh", "Fill in Manually",IF(OR(K13330="Unit", K13330=""), "", INDEX(LookUps!$E$5:$E$12, MATCH(OpenLCAbasic!K13330,LookUps!$D$5:$D$12,0))))</f>
        <v>Acidification Potential (AP) - kg SO2 eq</v>
      </c>
      <c r="M13330" s="154" t="str">
        <f t="shared" si="1178"/>
        <v>Low_Medium_High_Upgraded_Acidification Potential (AP) - kg SO2 eq_Belt filter press; wastewater treatment unit; at updated plant - US_Without Amendment_Aerated Static Pile</v>
      </c>
    </row>
    <row r="13331" spans="1:13" s="120" customFormat="1" x14ac:dyDescent="0.25">
      <c r="A13331" s="119"/>
      <c r="B13331" s="138" t="str">
        <f t="shared" si="1173"/>
        <v>Aerated Static Pile</v>
      </c>
      <c r="C13331" s="138" t="str">
        <f t="shared" si="1174"/>
        <v>Without Amendment</v>
      </c>
      <c r="D13331" s="138" t="str">
        <f t="shared" si="1179"/>
        <v>Medium_High</v>
      </c>
      <c r="E13331" s="138" t="str">
        <f t="shared" si="1175"/>
        <v>Low</v>
      </c>
      <c r="F13331" s="138" t="str">
        <f t="shared" si="1176"/>
        <v>Upgraded</v>
      </c>
      <c r="G13331" s="153"/>
      <c r="H13331" s="210">
        <v>4.8599999999999997E-2</v>
      </c>
      <c r="I13331" s="160" t="s">
        <v>57</v>
      </c>
      <c r="J13331" s="160">
        <v>6.9999999999999999E-4</v>
      </c>
      <c r="K13331" s="160" t="s">
        <v>24</v>
      </c>
      <c r="L13331" s="154" t="str">
        <f>IF(OpenLCAbasic!K13331="CTUh", "Fill in Manually",IF(OR(K13331="Unit", K13331=""), "", INDEX(LookUps!$E$5:$E$12, MATCH(OpenLCAbasic!K13331,LookUps!$D$5:$D$12,0))))</f>
        <v>Acidification Potential (AP) - kg SO2 eq</v>
      </c>
      <c r="M13331" s="154" t="str">
        <f t="shared" si="1178"/>
        <v>Low_Medium_High_Upgraded_Acidification Potential (AP) - kg SO2 eq_Gravity Belt Thickener; wastewater treatment unit; at updated plant - US_Without Amendment_Aerated Static Pile</v>
      </c>
    </row>
    <row r="13332" spans="1:13" s="120" customFormat="1" x14ac:dyDescent="0.25">
      <c r="A13332" s="119"/>
      <c r="B13332" s="138" t="str">
        <f t="shared" si="1173"/>
        <v>Aerated Static Pile</v>
      </c>
      <c r="C13332" s="138" t="str">
        <f t="shared" si="1174"/>
        <v>Without Amendment</v>
      </c>
      <c r="D13332" s="138" t="str">
        <f t="shared" si="1179"/>
        <v>Medium_High</v>
      </c>
      <c r="E13332" s="138" t="str">
        <f t="shared" si="1175"/>
        <v>Low</v>
      </c>
      <c r="F13332" s="138" t="str">
        <f t="shared" si="1176"/>
        <v>Upgraded</v>
      </c>
      <c r="G13332" s="153"/>
      <c r="H13332" s="210">
        <v>3.56E-2</v>
      </c>
      <c r="I13332" s="160" t="s">
        <v>59</v>
      </c>
      <c r="J13332" s="160">
        <v>5.1999999999999995E-4</v>
      </c>
      <c r="K13332" s="160" t="s">
        <v>24</v>
      </c>
      <c r="L13332" s="154" t="str">
        <f>IF(OpenLCAbasic!K13332="CTUh", "Fill in Manually",IF(OR(K13332="Unit", K13332=""), "", INDEX(LookUps!$E$5:$E$12, MATCH(OpenLCAbasic!K13332,LookUps!$D$5:$D$12,0))))</f>
        <v>Acidification Potential (AP) - kg SO2 eq</v>
      </c>
      <c r="M13332" s="154" t="str">
        <f t="shared" si="1178"/>
        <v>Low_Medium_High_Upgraded_Acidification Potential (AP) - kg SO2 eq_Blend Tank; wastewater treatment unit; at updated plant - US_Without Amendment_Aerated Static Pile</v>
      </c>
    </row>
    <row r="13333" spans="1:13" s="120" customFormat="1" x14ac:dyDescent="0.25">
      <c r="A13333" s="119"/>
      <c r="B13333" s="138" t="str">
        <f t="shared" si="1173"/>
        <v>Aerated Static Pile</v>
      </c>
      <c r="C13333" s="138" t="str">
        <f t="shared" si="1174"/>
        <v>Without Amendment</v>
      </c>
      <c r="D13333" s="138" t="str">
        <f t="shared" si="1179"/>
        <v>Medium_High</v>
      </c>
      <c r="E13333" s="138" t="str">
        <f t="shared" si="1175"/>
        <v>Low</v>
      </c>
      <c r="F13333" s="138" t="str">
        <f t="shared" si="1176"/>
        <v>Upgraded</v>
      </c>
      <c r="G13333" s="153"/>
      <c r="H13333" s="210">
        <v>2.3900000000000001E-2</v>
      </c>
      <c r="I13333" s="160" t="s">
        <v>48</v>
      </c>
      <c r="J13333" s="160">
        <v>3.5E-4</v>
      </c>
      <c r="K13333" s="160" t="s">
        <v>24</v>
      </c>
      <c r="L13333" s="154" t="str">
        <f>IF(OpenLCAbasic!K13333="CTUh", "Fill in Manually",IF(OR(K13333="Unit", K13333=""), "", INDEX(LookUps!$E$5:$E$12, MATCH(OpenLCAbasic!K13333,LookUps!$D$5:$D$12,0))))</f>
        <v>Acidification Potential (AP) - kg SO2 eq</v>
      </c>
      <c r="M13333" s="154" t="str">
        <f t="shared" si="1178"/>
        <v>Low_Medium_High_Upgraded_Acidification Potential (AP) - kg SO2 eq_Effluent release; wastewater treatment unit; at surface water; m3 wastewater - US_Without Amendment_Aerated Static Pile</v>
      </c>
    </row>
    <row r="13334" spans="1:13" s="120" customFormat="1" x14ac:dyDescent="0.25">
      <c r="A13334" s="119"/>
      <c r="B13334" s="138" t="str">
        <f t="shared" si="1173"/>
        <v>Aerated Static Pile</v>
      </c>
      <c r="C13334" s="138" t="str">
        <f t="shared" si="1174"/>
        <v>Without Amendment</v>
      </c>
      <c r="D13334" s="138" t="str">
        <f t="shared" si="1179"/>
        <v>Medium_High</v>
      </c>
      <c r="E13334" s="138" t="str">
        <f t="shared" si="1175"/>
        <v>Low</v>
      </c>
      <c r="F13334" s="138" t="str">
        <f t="shared" si="1176"/>
        <v>Upgraded</v>
      </c>
      <c r="G13334" s="153"/>
      <c r="H13334" s="210">
        <v>1.7600000000000001E-2</v>
      </c>
      <c r="I13334" s="160" t="s">
        <v>168</v>
      </c>
      <c r="J13334" s="160">
        <v>2.5999999999999998E-4</v>
      </c>
      <c r="K13334" s="160" t="s">
        <v>24</v>
      </c>
      <c r="L13334" s="154" t="str">
        <f>IF(OpenLCAbasic!K13334="CTUh", "Fill in Manually",IF(OR(K13334="Unit", K13334=""), "", INDEX(LookUps!$E$5:$E$12, MATCH(OpenLCAbasic!K13334,LookUps!$D$5:$D$12,0))))</f>
        <v>Acidification Potential (AP) - kg SO2 eq</v>
      </c>
      <c r="M13334" s="154" t="str">
        <f t="shared" si="1178"/>
        <v>Low_Medium_High_Upgraded_Acidification Potential (AP) - kg SO2 eq_ClearCove SCP; wastewater treatment unit; at updated plant - US_Without Amendment_Aerated Static Pile</v>
      </c>
    </row>
    <row r="13335" spans="1:13" s="120" customFormat="1" x14ac:dyDescent="0.25">
      <c r="A13335" s="119"/>
      <c r="B13335" s="138" t="str">
        <f t="shared" si="1173"/>
        <v>Aerated Static Pile</v>
      </c>
      <c r="C13335" s="138" t="str">
        <f t="shared" si="1174"/>
        <v>Without Amendment</v>
      </c>
      <c r="D13335" s="138" t="str">
        <f t="shared" si="1179"/>
        <v>Medium_High</v>
      </c>
      <c r="E13335" s="138" t="str">
        <f t="shared" si="1175"/>
        <v>Low</v>
      </c>
      <c r="F13335" s="138" t="str">
        <f t="shared" si="1176"/>
        <v>Upgraded</v>
      </c>
      <c r="G13335" s="153"/>
      <c r="H13335" s="210">
        <v>2.8E-3</v>
      </c>
      <c r="I13335" s="160" t="s">
        <v>148</v>
      </c>
      <c r="J13335" s="211">
        <v>4.0354700000000002E-5</v>
      </c>
      <c r="K13335" s="160" t="s">
        <v>24</v>
      </c>
      <c r="L13335" s="154" t="str">
        <f>IF(OpenLCAbasic!K13335="CTUh", "Fill in Manually",IF(OR(K13335="Unit", K13335=""), "", INDEX(LookUps!$E$5:$E$12, MATCH(OpenLCAbasic!K13335,LookUps!$D$5:$D$12,0))))</f>
        <v>Acidification Potential (AP) - kg SO2 eq</v>
      </c>
      <c r="M13335" s="154" t="str">
        <f t="shared" si="1178"/>
        <v>Low_Medium_High_Upgraded_Acidification Potential (AP) - kg SO2 eq_Control Building; at upgraded wastewater treatment plant - US_Without Amendment_Aerated Static Pile</v>
      </c>
    </row>
    <row r="13336" spans="1:13" s="120" customFormat="1" x14ac:dyDescent="0.25">
      <c r="A13336" s="119"/>
      <c r="B13336" s="138" t="str">
        <f t="shared" si="1173"/>
        <v>Aerated Static Pile</v>
      </c>
      <c r="C13336" s="138" t="str">
        <f t="shared" si="1174"/>
        <v>Without Amendment</v>
      </c>
      <c r="D13336" s="138" t="str">
        <f t="shared" si="1179"/>
        <v>Medium_High</v>
      </c>
      <c r="E13336" s="138" t="str">
        <f t="shared" si="1175"/>
        <v>Low</v>
      </c>
      <c r="F13336" s="138" t="str">
        <f t="shared" si="1176"/>
        <v>Upgraded</v>
      </c>
      <c r="G13336" s="153"/>
      <c r="H13336" s="210">
        <v>-4.0015999999999998</v>
      </c>
      <c r="I13336" s="160" t="s">
        <v>149</v>
      </c>
      <c r="J13336" s="160">
        <v>-5.8009999999999999E-2</v>
      </c>
      <c r="K13336" s="160" t="s">
        <v>24</v>
      </c>
      <c r="L13336" s="154" t="str">
        <f>IF(OpenLCAbasic!K13336="CTUh", "Fill in Manually",IF(OR(K13336="Unit", K13336=""), "", INDEX(LookUps!$E$5:$E$12, MATCH(OpenLCAbasic!K13336,LookUps!$D$5:$D$12,0))))</f>
        <v>Acidification Potential (AP) - kg SO2 eq</v>
      </c>
      <c r="M13336" s="154" t="str">
        <f t="shared" si="1178"/>
        <v>Low_Medium_High_Upgraded_Acidification Potential (AP) - kg SO2 eq_Anaerobic Digestion; wastewater treatment unit; at updated plant - US_Without Amendment_Aerated Static Pile</v>
      </c>
    </row>
    <row r="13337" spans="1:13" s="120" customFormat="1" x14ac:dyDescent="0.25">
      <c r="A13337" s="119"/>
      <c r="B13337" s="138" t="str">
        <f t="shared" si="1173"/>
        <v/>
      </c>
      <c r="C13337" s="138" t="str">
        <f t="shared" si="1174"/>
        <v/>
      </c>
      <c r="D13337" s="138" t="str">
        <f t="shared" si="1179"/>
        <v/>
      </c>
      <c r="E13337" s="138" t="str">
        <f t="shared" si="1175"/>
        <v/>
      </c>
      <c r="F13337" s="138" t="str">
        <f t="shared" si="1176"/>
        <v/>
      </c>
      <c r="G13337" s="153" t="s">
        <v>51</v>
      </c>
      <c r="H13337" s="160"/>
      <c r="I13337" s="160" t="s">
        <v>47</v>
      </c>
      <c r="J13337" s="160" t="s">
        <v>52</v>
      </c>
      <c r="K13337" s="160" t="s">
        <v>27</v>
      </c>
      <c r="L13337" s="154" t="str">
        <f>IF(OpenLCAbasic!K13337="CTUh", "Fill in Manually",IF(OR(K13337="Unit", K13337=""), "", INDEX(LookUps!$E$5:$E$12, MATCH(OpenLCAbasic!K13337,LookUps!$D$5:$D$12,0))))</f>
        <v/>
      </c>
      <c r="M13337" s="154" t="str">
        <f t="shared" si="1178"/>
        <v>____Process__</v>
      </c>
    </row>
    <row r="13338" spans="1:13" s="120" customFormat="1" x14ac:dyDescent="0.25">
      <c r="A13338" s="119"/>
      <c r="B13338" s="138" t="str">
        <f t="shared" si="1173"/>
        <v>Aerated Static Pile</v>
      </c>
      <c r="C13338" s="138" t="str">
        <f t="shared" si="1174"/>
        <v>Without Amendment</v>
      </c>
      <c r="D13338" s="138" t="str">
        <f t="shared" si="1179"/>
        <v>Medium_High</v>
      </c>
      <c r="E13338" s="138" t="str">
        <f t="shared" si="1175"/>
        <v>Low</v>
      </c>
      <c r="F13338" s="138" t="str">
        <f t="shared" si="1176"/>
        <v>Upgraded</v>
      </c>
      <c r="G13338" s="153"/>
      <c r="H13338" s="210">
        <v>1.6698</v>
      </c>
      <c r="I13338" s="160" t="s">
        <v>167</v>
      </c>
      <c r="J13338" s="160">
        <v>4.2789599999999997</v>
      </c>
      <c r="K13338" s="160" t="s">
        <v>15</v>
      </c>
      <c r="L13338" s="154" t="str">
        <f>IF(OpenLCAbasic!K13338="CTUh", "Fill in Manually",IF(OR(K13338="Unit", K13338=""), "", INDEX(LookUps!$E$5:$E$12, MATCH(OpenLCAbasic!K13338,LookUps!$D$5:$D$12,0))))</f>
        <v>Cumulative Energy Demand (CED) - MJ</v>
      </c>
      <c r="M13338" s="154" t="str">
        <f t="shared" si="1178"/>
        <v>Low_Medium_High_Upgraded_Cumulative Energy Demand (CED) - MJ_Waste Receiving and Holding; wastewater treatment unit; at updated plant - US_Without Amendment_Aerated Static Pile</v>
      </c>
    </row>
    <row r="13339" spans="1:13" s="120" customFormat="1" x14ac:dyDescent="0.25">
      <c r="A13339" s="119"/>
      <c r="B13339" s="138" t="str">
        <f t="shared" si="1173"/>
        <v>Aerated Static Pile</v>
      </c>
      <c r="C13339" s="138" t="str">
        <f t="shared" si="1174"/>
        <v>Without Amendment</v>
      </c>
      <c r="D13339" s="138" t="str">
        <f t="shared" si="1179"/>
        <v>Medium_High</v>
      </c>
      <c r="E13339" s="138" t="str">
        <f t="shared" si="1175"/>
        <v>Low</v>
      </c>
      <c r="F13339" s="138" t="str">
        <f t="shared" si="1176"/>
        <v>Upgraded</v>
      </c>
      <c r="G13339" s="153"/>
      <c r="H13339" s="210">
        <v>1.3788</v>
      </c>
      <c r="I13339" s="160" t="s">
        <v>55</v>
      </c>
      <c r="J13339" s="160">
        <v>3.5330499999999998</v>
      </c>
      <c r="K13339" s="160" t="s">
        <v>15</v>
      </c>
      <c r="L13339" s="154" t="str">
        <f>IF(OpenLCAbasic!K13339="CTUh", "Fill in Manually",IF(OR(K13339="Unit", K13339=""), "", INDEX(LookUps!$E$5:$E$12, MATCH(OpenLCAbasic!K13339,LookUps!$D$5:$D$12,0))))</f>
        <v>Cumulative Energy Demand (CED) - MJ</v>
      </c>
      <c r="M13339" s="154" t="str">
        <f t="shared" si="1178"/>
        <v>Low_Medium_High_Upgraded_Cumulative Energy Demand (CED) - MJ_Aeration Tanks; wastewater treatment unit; at updated plant - US_Without Amendment_Aerated Static Pile</v>
      </c>
    </row>
    <row r="13340" spans="1:13" s="120" customFormat="1" x14ac:dyDescent="0.25">
      <c r="A13340" s="119"/>
      <c r="B13340" s="138" t="str">
        <f t="shared" si="1173"/>
        <v>Aerated Static Pile</v>
      </c>
      <c r="C13340" s="138" t="str">
        <f t="shared" si="1174"/>
        <v>Without Amendment</v>
      </c>
      <c r="D13340" s="138" t="str">
        <f t="shared" si="1179"/>
        <v>Medium_High</v>
      </c>
      <c r="E13340" s="138" t="str">
        <f t="shared" si="1175"/>
        <v>Low</v>
      </c>
      <c r="F13340" s="138" t="str">
        <f t="shared" si="1176"/>
        <v>Upgraded</v>
      </c>
      <c r="G13340" s="153"/>
      <c r="H13340" s="210">
        <v>0.45379999999999998</v>
      </c>
      <c r="I13340" s="160" t="s">
        <v>54</v>
      </c>
      <c r="J13340" s="160">
        <v>1.16289</v>
      </c>
      <c r="K13340" s="160" t="s">
        <v>15</v>
      </c>
      <c r="L13340" s="154" t="str">
        <f>IF(OpenLCAbasic!K13340="CTUh", "Fill in Manually",IF(OR(K13340="Unit", K13340=""), "", INDEX(LookUps!$E$5:$E$12, MATCH(OpenLCAbasic!K13340,LookUps!$D$5:$D$12,0))))</f>
        <v>Cumulative Energy Demand (CED) - MJ</v>
      </c>
      <c r="M13340" s="154" t="str">
        <f t="shared" si="1178"/>
        <v>Low_Medium_High_Upgraded_Cumulative Energy Demand (CED) - MJ_Clear Cove Primary Clarification; wastewater treatment unit; at updated plant - US_Without Amendment_Aerated Static Pile</v>
      </c>
    </row>
    <row r="13341" spans="1:13" s="120" customFormat="1" x14ac:dyDescent="0.25">
      <c r="A13341" s="119"/>
      <c r="B13341" s="138" t="str">
        <f t="shared" si="1173"/>
        <v>Aerated Static Pile</v>
      </c>
      <c r="C13341" s="138" t="str">
        <f t="shared" si="1174"/>
        <v>Without Amendment</v>
      </c>
      <c r="D13341" s="138" t="str">
        <f t="shared" si="1179"/>
        <v>Medium_High</v>
      </c>
      <c r="E13341" s="138" t="str">
        <f t="shared" si="1175"/>
        <v>Low</v>
      </c>
      <c r="F13341" s="138" t="str">
        <f t="shared" si="1176"/>
        <v>Upgraded</v>
      </c>
      <c r="G13341" s="153"/>
      <c r="H13341" s="210">
        <v>0.34620000000000001</v>
      </c>
      <c r="I13341" s="160" t="s">
        <v>58</v>
      </c>
      <c r="J13341" s="160">
        <v>0.88705000000000001</v>
      </c>
      <c r="K13341" s="160" t="s">
        <v>15</v>
      </c>
      <c r="L13341" s="154" t="str">
        <f>IF(OpenLCAbasic!K13341="CTUh", "Fill in Manually",IF(OR(K13341="Unit", K13341=""), "", INDEX(LookUps!$E$5:$E$12, MATCH(OpenLCAbasic!K13341,LookUps!$D$5:$D$12,0))))</f>
        <v>Cumulative Energy Demand (CED) - MJ</v>
      </c>
      <c r="M13341" s="154" t="str">
        <f t="shared" si="1178"/>
        <v>Low_Medium_High_Upgraded_Cumulative Energy Demand (CED) - MJ_Pre-Anoxic &amp; Swing tank; wastewater treatment unit; at updated plant - US_Without Amendment_Aerated Static Pile</v>
      </c>
    </row>
    <row r="13342" spans="1:13" s="120" customFormat="1" x14ac:dyDescent="0.25">
      <c r="A13342" s="119"/>
      <c r="B13342" s="138" t="str">
        <f t="shared" si="1173"/>
        <v>Aerated Static Pile</v>
      </c>
      <c r="C13342" s="138" t="str">
        <f t="shared" si="1174"/>
        <v>Without Amendment</v>
      </c>
      <c r="D13342" s="138" t="str">
        <f t="shared" si="1179"/>
        <v>Medium_High</v>
      </c>
      <c r="E13342" s="138" t="str">
        <f t="shared" si="1175"/>
        <v>Low</v>
      </c>
      <c r="F13342" s="138" t="str">
        <f t="shared" si="1176"/>
        <v>Upgraded</v>
      </c>
      <c r="G13342" s="153"/>
      <c r="H13342" s="210">
        <v>0.34460000000000002</v>
      </c>
      <c r="I13342" s="160" t="s">
        <v>147</v>
      </c>
      <c r="J13342" s="160">
        <v>0.88297000000000003</v>
      </c>
      <c r="K13342" s="160" t="s">
        <v>15</v>
      </c>
      <c r="L13342" s="154" t="str">
        <f>IF(OpenLCAbasic!K13342="CTUh", "Fill in Manually",IF(OR(K13342="Unit", K13342=""), "", INDEX(LookUps!$E$5:$E$12, MATCH(OpenLCAbasic!K13342,LookUps!$D$5:$D$12,0))))</f>
        <v>Cumulative Energy Demand (CED) - MJ</v>
      </c>
      <c r="M13342" s="154" t="str">
        <f t="shared" si="1178"/>
        <v>Low_Medium_High_Upgraded_Cumulative Energy Demand (CED) - MJ_Influent Pump Station; wastewater treatment unit; at updated plant - US_Without Amendment_Aerated Static Pile</v>
      </c>
    </row>
    <row r="13343" spans="1:13" s="120" customFormat="1" x14ac:dyDescent="0.25">
      <c r="A13343" s="119"/>
      <c r="B13343" s="138" t="str">
        <f t="shared" si="1173"/>
        <v>Aerated Static Pile</v>
      </c>
      <c r="C13343" s="138" t="str">
        <f t="shared" si="1174"/>
        <v>Without Amendment</v>
      </c>
      <c r="D13343" s="138" t="str">
        <f t="shared" si="1179"/>
        <v>Medium_High</v>
      </c>
      <c r="E13343" s="138" t="str">
        <f t="shared" si="1175"/>
        <v>Low</v>
      </c>
      <c r="F13343" s="138" t="str">
        <f t="shared" si="1176"/>
        <v>Upgraded</v>
      </c>
      <c r="G13343" s="153"/>
      <c r="H13343" s="210">
        <v>0.27179999999999999</v>
      </c>
      <c r="I13343" s="160" t="s">
        <v>53</v>
      </c>
      <c r="J13343" s="160">
        <v>0.69645000000000001</v>
      </c>
      <c r="K13343" s="160" t="s">
        <v>15</v>
      </c>
      <c r="L13343" s="154" t="str">
        <f>IF(OpenLCAbasic!K13343="CTUh", "Fill in Manually",IF(OR(K13343="Unit", K13343=""), "", INDEX(LookUps!$E$5:$E$12, MATCH(OpenLCAbasic!K13343,LookUps!$D$5:$D$12,0))))</f>
        <v>Cumulative Energy Demand (CED) - MJ</v>
      </c>
      <c r="M13343" s="154" t="str">
        <f t="shared" si="1178"/>
        <v>Low_Medium_High_Upgraded_Cumulative Energy Demand (CED) - MJ_Wet Well and Sump Station; wastewater treatment unit; at updated plant - US_Without Amendment_Aerated Static Pile</v>
      </c>
    </row>
    <row r="13344" spans="1:13" s="120" customFormat="1" x14ac:dyDescent="0.25">
      <c r="A13344" s="119"/>
      <c r="B13344" s="138" t="str">
        <f t="shared" si="1173"/>
        <v>Aerated Static Pile</v>
      </c>
      <c r="C13344" s="138" t="str">
        <f t="shared" si="1174"/>
        <v>Without Amendment</v>
      </c>
      <c r="D13344" s="138" t="str">
        <f t="shared" si="1179"/>
        <v>Medium_High</v>
      </c>
      <c r="E13344" s="138" t="str">
        <f t="shared" si="1175"/>
        <v>Low</v>
      </c>
      <c r="F13344" s="138" t="str">
        <f t="shared" si="1176"/>
        <v>Upgraded</v>
      </c>
      <c r="G13344" s="153"/>
      <c r="H13344" s="210">
        <v>0.1794</v>
      </c>
      <c r="I13344" s="160" t="s">
        <v>435</v>
      </c>
      <c r="J13344" s="160">
        <v>0.45960000000000001</v>
      </c>
      <c r="K13344" s="160" t="s">
        <v>15</v>
      </c>
      <c r="L13344" s="154" t="str">
        <f>IF(OpenLCAbasic!K13344="CTUh", "Fill in Manually",IF(OR(K13344="Unit", K13344=""), "", INDEX(LookUps!$E$5:$E$12, MATCH(OpenLCAbasic!K13344,LookUps!$D$5:$D$12,0))))</f>
        <v>Cumulative Energy Demand (CED) - MJ</v>
      </c>
      <c r="M13344" s="154" t="str">
        <f t="shared" si="1178"/>
        <v>Low_Medium_High_Upgraded_Cumulative Energy Demand (CED) - MJ_Biosolids composting; aerated static pile; wastewater treatment unit; at updated plant - US_Without Amendment_Aerated Static Pile</v>
      </c>
    </row>
    <row r="13345" spans="1:13" s="120" customFormat="1" x14ac:dyDescent="0.25">
      <c r="A13345" s="119"/>
      <c r="B13345" s="138" t="str">
        <f t="shared" si="1173"/>
        <v>Aerated Static Pile</v>
      </c>
      <c r="C13345" s="138" t="str">
        <f t="shared" si="1174"/>
        <v>Without Amendment</v>
      </c>
      <c r="D13345" s="138" t="str">
        <f t="shared" si="1179"/>
        <v>Medium_High</v>
      </c>
      <c r="E13345" s="138" t="str">
        <f t="shared" si="1175"/>
        <v>Low</v>
      </c>
      <c r="F13345" s="138" t="str">
        <f t="shared" si="1176"/>
        <v>Upgraded</v>
      </c>
      <c r="G13345" s="153"/>
      <c r="H13345" s="210">
        <v>0.1487</v>
      </c>
      <c r="I13345" s="160" t="s">
        <v>60</v>
      </c>
      <c r="J13345" s="160">
        <v>0.38092999999999999</v>
      </c>
      <c r="K13345" s="160" t="s">
        <v>15</v>
      </c>
      <c r="L13345" s="154" t="str">
        <f>IF(OpenLCAbasic!K13345="CTUh", "Fill in Manually",IF(OR(K13345="Unit", K13345=""), "", INDEX(LookUps!$E$5:$E$12, MATCH(OpenLCAbasic!K13345,LookUps!$D$5:$D$12,0))))</f>
        <v>Cumulative Energy Demand (CED) - MJ</v>
      </c>
      <c r="M13345" s="154" t="str">
        <f t="shared" si="1178"/>
        <v>Low_Medium_High_Upgraded_Cumulative Energy Demand (CED) - MJ_Belt filter press; wastewater treatment unit; at updated plant - US_Without Amendment_Aerated Static Pile</v>
      </c>
    </row>
    <row r="13346" spans="1:13" s="120" customFormat="1" x14ac:dyDescent="0.25">
      <c r="A13346" s="119"/>
      <c r="B13346" s="138" t="str">
        <f t="shared" si="1173"/>
        <v>Aerated Static Pile</v>
      </c>
      <c r="C13346" s="138" t="str">
        <f t="shared" si="1174"/>
        <v>Without Amendment</v>
      </c>
      <c r="D13346" s="138" t="str">
        <f t="shared" si="1179"/>
        <v>Medium_High</v>
      </c>
      <c r="E13346" s="138" t="str">
        <f t="shared" si="1175"/>
        <v>Low</v>
      </c>
      <c r="F13346" s="138" t="str">
        <f t="shared" si="1176"/>
        <v>Upgraded</v>
      </c>
      <c r="G13346" s="153"/>
      <c r="H13346" s="210">
        <v>0.13039999999999999</v>
      </c>
      <c r="I13346" s="160" t="s">
        <v>57</v>
      </c>
      <c r="J13346" s="160">
        <v>0.33404</v>
      </c>
      <c r="K13346" s="160" t="s">
        <v>15</v>
      </c>
      <c r="L13346" s="154" t="str">
        <f>IF(OpenLCAbasic!K13346="CTUh", "Fill in Manually",IF(OR(K13346="Unit", K13346=""), "", INDEX(LookUps!$E$5:$E$12, MATCH(OpenLCAbasic!K13346,LookUps!$D$5:$D$12,0))))</f>
        <v>Cumulative Energy Demand (CED) - MJ</v>
      </c>
      <c r="M13346" s="154" t="str">
        <f t="shared" si="1178"/>
        <v>Low_Medium_High_Upgraded_Cumulative Energy Demand (CED) - MJ_Gravity Belt Thickener; wastewater treatment unit; at updated plant - US_Without Amendment_Aerated Static Pile</v>
      </c>
    </row>
    <row r="13347" spans="1:13" s="120" customFormat="1" x14ac:dyDescent="0.25">
      <c r="A13347" s="119"/>
      <c r="B13347" s="138" t="str">
        <f t="shared" si="1173"/>
        <v>Aerated Static Pile</v>
      </c>
      <c r="C13347" s="138" t="str">
        <f t="shared" si="1174"/>
        <v>Without Amendment</v>
      </c>
      <c r="D13347" s="138" t="str">
        <f t="shared" si="1179"/>
        <v>Medium_High</v>
      </c>
      <c r="E13347" s="138" t="str">
        <f t="shared" si="1175"/>
        <v>Low</v>
      </c>
      <c r="F13347" s="138" t="str">
        <f t="shared" si="1176"/>
        <v>Upgraded</v>
      </c>
      <c r="G13347" s="153"/>
      <c r="H13347" s="210">
        <v>9.9900000000000003E-2</v>
      </c>
      <c r="I13347" s="160" t="s">
        <v>128</v>
      </c>
      <c r="J13347" s="160">
        <v>0.25606000000000001</v>
      </c>
      <c r="K13347" s="160" t="s">
        <v>15</v>
      </c>
      <c r="L13347" s="154" t="str">
        <f>IF(OpenLCAbasic!K13347="CTUh", "Fill in Manually",IF(OR(K13347="Unit", K13347=""), "", INDEX(LookUps!$E$5:$E$12, MATCH(OpenLCAbasic!K13347,LookUps!$D$5:$D$12,0))))</f>
        <v>Cumulative Energy Demand (CED) - MJ</v>
      </c>
      <c r="M13347" s="154" t="str">
        <f t="shared" si="1178"/>
        <v>Low_Medium_High_Upgraded_Cumulative Energy Demand (CED) - MJ_Wastewater collection; operation and infrastructure; m3 wastewater_Without Amendment_Aerated Static Pile</v>
      </c>
    </row>
    <row r="13348" spans="1:13" s="120" customFormat="1" x14ac:dyDescent="0.25">
      <c r="A13348" s="119"/>
      <c r="B13348" s="138" t="str">
        <f t="shared" si="1173"/>
        <v>Aerated Static Pile</v>
      </c>
      <c r="C13348" s="138" t="str">
        <f t="shared" si="1174"/>
        <v>Without Amendment</v>
      </c>
      <c r="D13348" s="138" t="str">
        <f t="shared" si="1179"/>
        <v>Medium_High</v>
      </c>
      <c r="E13348" s="138" t="str">
        <f t="shared" si="1175"/>
        <v>Low</v>
      </c>
      <c r="F13348" s="138" t="str">
        <f t="shared" si="1176"/>
        <v>Upgraded</v>
      </c>
      <c r="G13348" s="153"/>
      <c r="H13348" s="210">
        <v>5.7000000000000002E-2</v>
      </c>
      <c r="I13348" s="160" t="s">
        <v>148</v>
      </c>
      <c r="J13348" s="160">
        <v>0.14599000000000001</v>
      </c>
      <c r="K13348" s="160" t="s">
        <v>15</v>
      </c>
      <c r="L13348" s="154" t="str">
        <f>IF(OpenLCAbasic!K13348="CTUh", "Fill in Manually",IF(OR(K13348="Unit", K13348=""), "", INDEX(LookUps!$E$5:$E$12, MATCH(OpenLCAbasic!K13348,LookUps!$D$5:$D$12,0))))</f>
        <v>Cumulative Energy Demand (CED) - MJ</v>
      </c>
      <c r="M13348" s="154" t="str">
        <f t="shared" si="1178"/>
        <v>Low_Medium_High_Upgraded_Cumulative Energy Demand (CED) - MJ_Control Building; at upgraded wastewater treatment plant - US_Without Amendment_Aerated Static Pile</v>
      </c>
    </row>
    <row r="13349" spans="1:13" s="120" customFormat="1" x14ac:dyDescent="0.25">
      <c r="A13349" s="119"/>
      <c r="B13349" s="138" t="str">
        <f t="shared" si="1173"/>
        <v>Aerated Static Pile</v>
      </c>
      <c r="C13349" s="138" t="str">
        <f t="shared" si="1174"/>
        <v>Without Amendment</v>
      </c>
      <c r="D13349" s="138" t="str">
        <f t="shared" si="1179"/>
        <v>Medium_High</v>
      </c>
      <c r="E13349" s="138" t="str">
        <f t="shared" si="1175"/>
        <v>Low</v>
      </c>
      <c r="F13349" s="138" t="str">
        <f t="shared" si="1176"/>
        <v>Upgraded</v>
      </c>
      <c r="G13349" s="153"/>
      <c r="H13349" s="210">
        <v>5.1999999999999998E-2</v>
      </c>
      <c r="I13349" s="160" t="s">
        <v>48</v>
      </c>
      <c r="J13349" s="160">
        <v>0.13321</v>
      </c>
      <c r="K13349" s="160" t="s">
        <v>15</v>
      </c>
      <c r="L13349" s="154" t="str">
        <f>IF(OpenLCAbasic!K13349="CTUh", "Fill in Manually",IF(OR(K13349="Unit", K13349=""), "", INDEX(LookUps!$E$5:$E$12, MATCH(OpenLCAbasic!K13349,LookUps!$D$5:$D$12,0))))</f>
        <v>Cumulative Energy Demand (CED) - MJ</v>
      </c>
      <c r="M13349" s="154" t="str">
        <f t="shared" si="1178"/>
        <v>Low_Medium_High_Upgraded_Cumulative Energy Demand (CED) - MJ_Effluent release; wastewater treatment unit; at surface water; m3 wastewater - US_Without Amendment_Aerated Static Pile</v>
      </c>
    </row>
    <row r="13350" spans="1:13" s="120" customFormat="1" x14ac:dyDescent="0.25">
      <c r="A13350" s="119"/>
      <c r="B13350" s="138" t="str">
        <f t="shared" si="1173"/>
        <v>Aerated Static Pile</v>
      </c>
      <c r="C13350" s="138" t="str">
        <f t="shared" si="1174"/>
        <v>Without Amendment</v>
      </c>
      <c r="D13350" s="138" t="str">
        <f t="shared" si="1179"/>
        <v>Medium_High</v>
      </c>
      <c r="E13350" s="138" t="str">
        <f t="shared" si="1175"/>
        <v>Low</v>
      </c>
      <c r="F13350" s="138" t="str">
        <f t="shared" si="1176"/>
        <v>Upgraded</v>
      </c>
      <c r="G13350" s="153"/>
      <c r="H13350" s="210">
        <v>4.1500000000000002E-2</v>
      </c>
      <c r="I13350" s="160" t="s">
        <v>59</v>
      </c>
      <c r="J13350" s="160">
        <v>0.10638</v>
      </c>
      <c r="K13350" s="160" t="s">
        <v>15</v>
      </c>
      <c r="L13350" s="154" t="str">
        <f>IF(OpenLCAbasic!K13350="CTUh", "Fill in Manually",IF(OR(K13350="Unit", K13350=""), "", INDEX(LookUps!$E$5:$E$12, MATCH(OpenLCAbasic!K13350,LookUps!$D$5:$D$12,0))))</f>
        <v>Cumulative Energy Demand (CED) - MJ</v>
      </c>
      <c r="M13350" s="154" t="str">
        <f t="shared" si="1178"/>
        <v>Low_Medium_High_Upgraded_Cumulative Energy Demand (CED) - MJ_Blend Tank; wastewater treatment unit; at updated plant - US_Without Amendment_Aerated Static Pile</v>
      </c>
    </row>
    <row r="13351" spans="1:13" s="120" customFormat="1" x14ac:dyDescent="0.25">
      <c r="A13351" s="119"/>
      <c r="B13351" s="138" t="str">
        <f t="shared" si="1173"/>
        <v>Aerated Static Pile</v>
      </c>
      <c r="C13351" s="138" t="str">
        <f t="shared" si="1174"/>
        <v>Without Amendment</v>
      </c>
      <c r="D13351" s="138" t="str">
        <f t="shared" si="1179"/>
        <v>Medium_High</v>
      </c>
      <c r="E13351" s="138" t="str">
        <f t="shared" si="1175"/>
        <v>Low</v>
      </c>
      <c r="F13351" s="138" t="str">
        <f t="shared" si="1176"/>
        <v>Upgraded</v>
      </c>
      <c r="G13351" s="153"/>
      <c r="H13351" s="210">
        <v>1.9900000000000001E-2</v>
      </c>
      <c r="I13351" s="160" t="s">
        <v>168</v>
      </c>
      <c r="J13351" s="160">
        <v>5.0930000000000003E-2</v>
      </c>
      <c r="K13351" s="160" t="s">
        <v>15</v>
      </c>
      <c r="L13351" s="154" t="str">
        <f>IF(OpenLCAbasic!K13351="CTUh", "Fill in Manually",IF(OR(K13351="Unit", K13351=""), "", INDEX(LookUps!$E$5:$E$12, MATCH(OpenLCAbasic!K13351,LookUps!$D$5:$D$12,0))))</f>
        <v>Cumulative Energy Demand (CED) - MJ</v>
      </c>
      <c r="M13351" s="154" t="str">
        <f t="shared" si="1178"/>
        <v>Low_Medium_High_Upgraded_Cumulative Energy Demand (CED) - MJ_ClearCove SCP; wastewater treatment unit; at updated plant - US_Without Amendment_Aerated Static Pile</v>
      </c>
    </row>
    <row r="13352" spans="1:13" s="120" customFormat="1" x14ac:dyDescent="0.25">
      <c r="A13352" s="119"/>
      <c r="B13352" s="138" t="str">
        <f t="shared" si="1173"/>
        <v>Aerated Static Pile</v>
      </c>
      <c r="C13352" s="138" t="str">
        <f t="shared" si="1174"/>
        <v>Without Amendment</v>
      </c>
      <c r="D13352" s="138" t="str">
        <f t="shared" si="1179"/>
        <v>Medium_High</v>
      </c>
      <c r="E13352" s="138" t="str">
        <f t="shared" si="1175"/>
        <v>Low</v>
      </c>
      <c r="F13352" s="138" t="str">
        <f t="shared" si="1176"/>
        <v>Upgraded</v>
      </c>
      <c r="G13352" s="153"/>
      <c r="H13352" s="210">
        <v>-0.15579999999999999</v>
      </c>
      <c r="I13352" s="160" t="s">
        <v>62</v>
      </c>
      <c r="J13352" s="160">
        <v>-0.39922999999999997</v>
      </c>
      <c r="K13352" s="160" t="s">
        <v>15</v>
      </c>
      <c r="L13352" s="154" t="str">
        <f>IF(OpenLCAbasic!K13352="CTUh", "Fill in Manually",IF(OR(K13352="Unit", K13352=""), "", INDEX(LookUps!$E$5:$E$12, MATCH(OpenLCAbasic!K13352,LookUps!$D$5:$D$12,0))))</f>
        <v>Cumulative Energy Demand (CED) - MJ</v>
      </c>
      <c r="M13352" s="154" t="str">
        <f t="shared" si="1178"/>
        <v>Low_Medium_High_Upgraded_Cumulative Energy Demand (CED) - MJ_Land application of compost; wastewater treatment unit; at updated plant - US_Without Amendment_Aerated Static Pile</v>
      </c>
    </row>
    <row r="13353" spans="1:13" s="120" customFormat="1" x14ac:dyDescent="0.25">
      <c r="A13353" s="119"/>
      <c r="B13353" s="138" t="str">
        <f t="shared" ref="B13353:B13416" si="1180">IF(F13353="Legacy","n.a.",IF(F13353="","","Aerated Static Pile"))</f>
        <v>Aerated Static Pile</v>
      </c>
      <c r="C13353" s="138" t="str">
        <f t="shared" ref="C13353:C13416" si="1181">IF(ISNUMBER($J13353),"Without Amendment","")</f>
        <v>Without Amendment</v>
      </c>
      <c r="D13353" s="138" t="str">
        <f t="shared" si="1179"/>
        <v>Medium_High</v>
      </c>
      <c r="E13353" s="138" t="str">
        <f t="shared" ref="E13353:E13416" si="1182">IF(ISNUMBER($J13353),"Low","")</f>
        <v>Low</v>
      </c>
      <c r="F13353" s="138" t="str">
        <f t="shared" ref="F13353:F13416" si="1183">IF(ISNUMBER(J13353),"Upgraded","")</f>
        <v>Upgraded</v>
      </c>
      <c r="G13353" s="153"/>
      <c r="H13353" s="210">
        <v>-6.0377999999999998</v>
      </c>
      <c r="I13353" s="160" t="s">
        <v>149</v>
      </c>
      <c r="J13353" s="160">
        <v>-15.471780000000001</v>
      </c>
      <c r="K13353" s="160" t="s">
        <v>15</v>
      </c>
      <c r="L13353" s="154" t="str">
        <f>IF(OpenLCAbasic!K13353="CTUh", "Fill in Manually",IF(OR(K13353="Unit", K13353=""), "", INDEX(LookUps!$E$5:$E$12, MATCH(OpenLCAbasic!K13353,LookUps!$D$5:$D$12,0))))</f>
        <v>Cumulative Energy Demand (CED) - MJ</v>
      </c>
      <c r="M13353" s="154" t="str">
        <f t="shared" si="1178"/>
        <v>Low_Medium_High_Upgraded_Cumulative Energy Demand (CED) - MJ_Anaerobic Digestion; wastewater treatment unit; at updated plant - US_Without Amendment_Aerated Static Pile</v>
      </c>
    </row>
    <row r="13354" spans="1:13" s="120" customFormat="1" x14ac:dyDescent="0.25">
      <c r="A13354" s="119"/>
      <c r="B13354" s="138" t="str">
        <f t="shared" si="1180"/>
        <v/>
      </c>
      <c r="C13354" s="138" t="str">
        <f t="shared" si="1181"/>
        <v/>
      </c>
      <c r="D13354" s="138" t="str">
        <f t="shared" si="1179"/>
        <v/>
      </c>
      <c r="E13354" s="138" t="str">
        <f t="shared" si="1182"/>
        <v/>
      </c>
      <c r="F13354" s="138" t="str">
        <f t="shared" si="1183"/>
        <v/>
      </c>
      <c r="G13354" s="153" t="s">
        <v>51</v>
      </c>
      <c r="H13354" s="160"/>
      <c r="I13354" s="160" t="s">
        <v>47</v>
      </c>
      <c r="J13354" s="160" t="s">
        <v>52</v>
      </c>
      <c r="K13354" s="160" t="s">
        <v>27</v>
      </c>
      <c r="L13354" s="154" t="str">
        <f>IF(OpenLCAbasic!K13354="CTUh", "Fill in Manually",IF(OR(K13354="Unit", K13354=""), "", INDEX(LookUps!$E$5:$E$12, MATCH(OpenLCAbasic!K13354,LookUps!$D$5:$D$12,0))))</f>
        <v/>
      </c>
      <c r="M13354" s="154" t="str">
        <f t="shared" si="1178"/>
        <v>____Process__</v>
      </c>
    </row>
    <row r="13355" spans="1:13" s="120" customFormat="1" x14ac:dyDescent="0.25">
      <c r="A13355" s="119"/>
      <c r="B13355" s="138" t="str">
        <f t="shared" si="1180"/>
        <v>Aerated Static Pile</v>
      </c>
      <c r="C13355" s="138" t="str">
        <f t="shared" si="1181"/>
        <v>Without Amendment</v>
      </c>
      <c r="D13355" s="138" t="str">
        <f t="shared" si="1179"/>
        <v>Medium_High</v>
      </c>
      <c r="E13355" s="138" t="str">
        <f t="shared" si="1182"/>
        <v>Low</v>
      </c>
      <c r="F13355" s="138" t="str">
        <f t="shared" si="1183"/>
        <v>Upgraded</v>
      </c>
      <c r="G13355" s="153"/>
      <c r="H13355" s="210">
        <v>0.87129999999999996</v>
      </c>
      <c r="I13355" s="160" t="s">
        <v>48</v>
      </c>
      <c r="J13355" s="160">
        <v>1.1610000000000001E-2</v>
      </c>
      <c r="K13355" s="160" t="s">
        <v>13</v>
      </c>
      <c r="L13355" s="154" t="str">
        <f>IF(OpenLCAbasic!K13355="CTUh", "Fill in Manually",IF(OR(K13355="Unit", K13355=""), "", INDEX(LookUps!$E$5:$E$12, MATCH(OpenLCAbasic!K13355,LookUps!$D$5:$D$12,0))))</f>
        <v>Eutrophication Potential (EP) - kg N eq</v>
      </c>
      <c r="M13355" s="154" t="str">
        <f t="shared" si="1178"/>
        <v>Low_Medium_High_Upgraded_Eutrophication Potential (EP) - kg N eq_Effluent release; wastewater treatment unit; at surface water; m3 wastewater - US_Without Amendment_Aerated Static Pile</v>
      </c>
    </row>
    <row r="13356" spans="1:13" s="120" customFormat="1" x14ac:dyDescent="0.25">
      <c r="A13356" s="119"/>
      <c r="B13356" s="138" t="str">
        <f t="shared" si="1180"/>
        <v>Aerated Static Pile</v>
      </c>
      <c r="C13356" s="138" t="str">
        <f t="shared" si="1181"/>
        <v>Without Amendment</v>
      </c>
      <c r="D13356" s="138" t="str">
        <f t="shared" si="1179"/>
        <v>Medium_High</v>
      </c>
      <c r="E13356" s="138" t="str">
        <f t="shared" si="1182"/>
        <v>Low</v>
      </c>
      <c r="F13356" s="138" t="str">
        <f t="shared" si="1183"/>
        <v>Upgraded</v>
      </c>
      <c r="G13356" s="153"/>
      <c r="H13356" s="210">
        <v>0.13289999999999999</v>
      </c>
      <c r="I13356" s="160" t="s">
        <v>62</v>
      </c>
      <c r="J13356" s="160">
        <v>1.7700000000000001E-3</v>
      </c>
      <c r="K13356" s="160" t="s">
        <v>13</v>
      </c>
      <c r="L13356" s="154" t="str">
        <f>IF(OpenLCAbasic!K13356="CTUh", "Fill in Manually",IF(OR(K13356="Unit", K13356=""), "", INDEX(LookUps!$E$5:$E$12, MATCH(OpenLCAbasic!K13356,LookUps!$D$5:$D$12,0))))</f>
        <v>Eutrophication Potential (EP) - kg N eq</v>
      </c>
      <c r="M13356" s="154" t="str">
        <f t="shared" si="1178"/>
        <v>Low_Medium_High_Upgraded_Eutrophication Potential (EP) - kg N eq_Land application of compost; wastewater treatment unit; at updated plant - US_Without Amendment_Aerated Static Pile</v>
      </c>
    </row>
    <row r="13357" spans="1:13" s="120" customFormat="1" x14ac:dyDescent="0.25">
      <c r="A13357" s="119"/>
      <c r="B13357" s="138" t="str">
        <f t="shared" si="1180"/>
        <v>Aerated Static Pile</v>
      </c>
      <c r="C13357" s="138" t="str">
        <f t="shared" si="1181"/>
        <v>Without Amendment</v>
      </c>
      <c r="D13357" s="138" t="str">
        <f t="shared" si="1179"/>
        <v>Medium_High</v>
      </c>
      <c r="E13357" s="138" t="str">
        <f t="shared" si="1182"/>
        <v>Low</v>
      </c>
      <c r="F13357" s="138" t="str">
        <f t="shared" si="1183"/>
        <v>Upgraded</v>
      </c>
      <c r="G13357" s="153"/>
      <c r="H13357" s="210">
        <v>4.1000000000000002E-2</v>
      </c>
      <c r="I13357" s="160" t="s">
        <v>55</v>
      </c>
      <c r="J13357" s="160">
        <v>5.5000000000000003E-4</v>
      </c>
      <c r="K13357" s="160" t="s">
        <v>13</v>
      </c>
      <c r="L13357" s="154" t="str">
        <f>IF(OpenLCAbasic!K13357="CTUh", "Fill in Manually",IF(OR(K13357="Unit", K13357=""), "", INDEX(LookUps!$E$5:$E$12, MATCH(OpenLCAbasic!K13357,LookUps!$D$5:$D$12,0))))</f>
        <v>Eutrophication Potential (EP) - kg N eq</v>
      </c>
      <c r="M13357" s="154" t="str">
        <f t="shared" si="1178"/>
        <v>Low_Medium_High_Upgraded_Eutrophication Potential (EP) - kg N eq_Aeration Tanks; wastewater treatment unit; at updated plant - US_Without Amendment_Aerated Static Pile</v>
      </c>
    </row>
    <row r="13358" spans="1:13" s="120" customFormat="1" x14ac:dyDescent="0.25">
      <c r="A13358" s="119"/>
      <c r="B13358" s="138" t="str">
        <f t="shared" si="1180"/>
        <v>Aerated Static Pile</v>
      </c>
      <c r="C13358" s="138" t="str">
        <f t="shared" si="1181"/>
        <v>Without Amendment</v>
      </c>
      <c r="D13358" s="138" t="str">
        <f t="shared" si="1179"/>
        <v>Medium_High</v>
      </c>
      <c r="E13358" s="138" t="str">
        <f t="shared" si="1182"/>
        <v>Low</v>
      </c>
      <c r="F13358" s="138" t="str">
        <f t="shared" si="1183"/>
        <v>Upgraded</v>
      </c>
      <c r="G13358" s="153"/>
      <c r="H13358" s="210">
        <v>1.8700000000000001E-2</v>
      </c>
      <c r="I13358" s="160" t="s">
        <v>147</v>
      </c>
      <c r="J13358" s="160">
        <v>2.5000000000000001E-4</v>
      </c>
      <c r="K13358" s="160" t="s">
        <v>13</v>
      </c>
      <c r="L13358" s="154" t="str">
        <f>IF(OpenLCAbasic!K13358="CTUh", "Fill in Manually",IF(OR(K13358="Unit", K13358=""), "", INDEX(LookUps!$E$5:$E$12, MATCH(OpenLCAbasic!K13358,LookUps!$D$5:$D$12,0))))</f>
        <v>Eutrophication Potential (EP) - kg N eq</v>
      </c>
      <c r="M13358" s="154" t="str">
        <f t="shared" si="1178"/>
        <v>Low_Medium_High_Upgraded_Eutrophication Potential (EP) - kg N eq_Influent Pump Station; wastewater treatment unit; at updated plant - US_Without Amendment_Aerated Static Pile</v>
      </c>
    </row>
    <row r="13359" spans="1:13" s="120" customFormat="1" x14ac:dyDescent="0.25">
      <c r="A13359" s="119"/>
      <c r="B13359" s="138" t="str">
        <f t="shared" si="1180"/>
        <v>Aerated Static Pile</v>
      </c>
      <c r="C13359" s="138" t="str">
        <f t="shared" si="1181"/>
        <v>Without Amendment</v>
      </c>
      <c r="D13359" s="138" t="str">
        <f t="shared" si="1179"/>
        <v>Medium_High</v>
      </c>
      <c r="E13359" s="138" t="str">
        <f t="shared" si="1182"/>
        <v>Low</v>
      </c>
      <c r="F13359" s="138" t="str">
        <f t="shared" si="1183"/>
        <v>Upgraded</v>
      </c>
      <c r="G13359" s="153"/>
      <c r="H13359" s="210">
        <v>1.49E-2</v>
      </c>
      <c r="I13359" s="160" t="s">
        <v>54</v>
      </c>
      <c r="J13359" s="160">
        <v>2.0000000000000001E-4</v>
      </c>
      <c r="K13359" s="160" t="s">
        <v>13</v>
      </c>
      <c r="L13359" s="154" t="str">
        <f>IF(OpenLCAbasic!K13359="CTUh", "Fill in Manually",IF(OR(K13359="Unit", K13359=""), "", INDEX(LookUps!$E$5:$E$12, MATCH(OpenLCAbasic!K13359,LookUps!$D$5:$D$12,0))))</f>
        <v>Eutrophication Potential (EP) - kg N eq</v>
      </c>
      <c r="M13359" s="154" t="str">
        <f t="shared" si="1178"/>
        <v>Low_Medium_High_Upgraded_Eutrophication Potential (EP) - kg N eq_Clear Cove Primary Clarification; wastewater treatment unit; at updated plant - US_Without Amendment_Aerated Static Pile</v>
      </c>
    </row>
    <row r="13360" spans="1:13" s="120" customFormat="1" x14ac:dyDescent="0.25">
      <c r="A13360" s="119"/>
      <c r="B13360" s="138" t="str">
        <f t="shared" si="1180"/>
        <v>Aerated Static Pile</v>
      </c>
      <c r="C13360" s="138" t="str">
        <f t="shared" si="1181"/>
        <v>Without Amendment</v>
      </c>
      <c r="D13360" s="138" t="str">
        <f t="shared" si="1179"/>
        <v>Medium_High</v>
      </c>
      <c r="E13360" s="138" t="str">
        <f t="shared" si="1182"/>
        <v>Low</v>
      </c>
      <c r="F13360" s="138" t="str">
        <f t="shared" si="1183"/>
        <v>Upgraded</v>
      </c>
      <c r="G13360" s="153"/>
      <c r="H13360" s="210">
        <v>1.43E-2</v>
      </c>
      <c r="I13360" s="160" t="s">
        <v>167</v>
      </c>
      <c r="J13360" s="160">
        <v>1.9000000000000001E-4</v>
      </c>
      <c r="K13360" s="160" t="s">
        <v>13</v>
      </c>
      <c r="L13360" s="154" t="str">
        <f>IF(OpenLCAbasic!K13360="CTUh", "Fill in Manually",IF(OR(K13360="Unit", K13360=""), "", INDEX(LookUps!$E$5:$E$12, MATCH(OpenLCAbasic!K13360,LookUps!$D$5:$D$12,0))))</f>
        <v>Eutrophication Potential (EP) - kg N eq</v>
      </c>
      <c r="M13360" s="154" t="str">
        <f t="shared" si="1178"/>
        <v>Low_Medium_High_Upgraded_Eutrophication Potential (EP) - kg N eq_Waste Receiving and Holding; wastewater treatment unit; at updated plant - US_Without Amendment_Aerated Static Pile</v>
      </c>
    </row>
    <row r="13361" spans="1:13" s="120" customFormat="1" x14ac:dyDescent="0.25">
      <c r="A13361" s="119"/>
      <c r="B13361" s="138" t="str">
        <f t="shared" si="1180"/>
        <v>Aerated Static Pile</v>
      </c>
      <c r="C13361" s="138" t="str">
        <f t="shared" si="1181"/>
        <v>Without Amendment</v>
      </c>
      <c r="D13361" s="138" t="str">
        <f t="shared" si="1179"/>
        <v>Medium_High</v>
      </c>
      <c r="E13361" s="138" t="str">
        <f t="shared" si="1182"/>
        <v>Low</v>
      </c>
      <c r="F13361" s="138" t="str">
        <f t="shared" si="1183"/>
        <v>Upgraded</v>
      </c>
      <c r="G13361" s="153"/>
      <c r="H13361" s="210">
        <v>1.0200000000000001E-2</v>
      </c>
      <c r="I13361" s="160" t="s">
        <v>58</v>
      </c>
      <c r="J13361" s="160">
        <v>1.3999999999999999E-4</v>
      </c>
      <c r="K13361" s="160" t="s">
        <v>13</v>
      </c>
      <c r="L13361" s="154" t="str">
        <f>IF(OpenLCAbasic!K13361="CTUh", "Fill in Manually",IF(OR(K13361="Unit", K13361=""), "", INDEX(LookUps!$E$5:$E$12, MATCH(OpenLCAbasic!K13361,LookUps!$D$5:$D$12,0))))</f>
        <v>Eutrophication Potential (EP) - kg N eq</v>
      </c>
      <c r="M13361" s="154" t="str">
        <f t="shared" si="1178"/>
        <v>Low_Medium_High_Upgraded_Eutrophication Potential (EP) - kg N eq_Pre-Anoxic &amp; Swing tank; wastewater treatment unit; at updated plant - US_Without Amendment_Aerated Static Pile</v>
      </c>
    </row>
    <row r="13362" spans="1:13" s="120" customFormat="1" x14ac:dyDescent="0.25">
      <c r="A13362" s="119"/>
      <c r="B13362" s="138" t="str">
        <f t="shared" si="1180"/>
        <v>Aerated Static Pile</v>
      </c>
      <c r="C13362" s="138" t="str">
        <f t="shared" si="1181"/>
        <v>Without Amendment</v>
      </c>
      <c r="D13362" s="138" t="str">
        <f t="shared" si="1179"/>
        <v>Medium_High</v>
      </c>
      <c r="E13362" s="138" t="str">
        <f t="shared" si="1182"/>
        <v>Low</v>
      </c>
      <c r="F13362" s="138" t="str">
        <f t="shared" si="1183"/>
        <v>Upgraded</v>
      </c>
      <c r="G13362" s="153"/>
      <c r="H13362" s="210">
        <v>8.0999999999999996E-3</v>
      </c>
      <c r="I13362" s="160" t="s">
        <v>53</v>
      </c>
      <c r="J13362" s="160">
        <v>1.1E-4</v>
      </c>
      <c r="K13362" s="160" t="s">
        <v>13</v>
      </c>
      <c r="L13362" s="154" t="str">
        <f>IF(OpenLCAbasic!K13362="CTUh", "Fill in Manually",IF(OR(K13362="Unit", K13362=""), "", INDEX(LookUps!$E$5:$E$12, MATCH(OpenLCAbasic!K13362,LookUps!$D$5:$D$12,0))))</f>
        <v>Eutrophication Potential (EP) - kg N eq</v>
      </c>
      <c r="M13362" s="154" t="str">
        <f t="shared" si="1178"/>
        <v>Low_Medium_High_Upgraded_Eutrophication Potential (EP) - kg N eq_Wet Well and Sump Station; wastewater treatment unit; at updated plant - US_Without Amendment_Aerated Static Pile</v>
      </c>
    </row>
    <row r="13363" spans="1:13" s="120" customFormat="1" x14ac:dyDescent="0.25">
      <c r="A13363" s="119"/>
      <c r="B13363" s="138" t="str">
        <f t="shared" si="1180"/>
        <v>Aerated Static Pile</v>
      </c>
      <c r="C13363" s="138" t="str">
        <f t="shared" si="1181"/>
        <v>Without Amendment</v>
      </c>
      <c r="D13363" s="138" t="str">
        <f t="shared" si="1179"/>
        <v>Medium_High</v>
      </c>
      <c r="E13363" s="138" t="str">
        <f t="shared" si="1182"/>
        <v>Low</v>
      </c>
      <c r="F13363" s="138" t="str">
        <f t="shared" si="1183"/>
        <v>Upgraded</v>
      </c>
      <c r="G13363" s="153"/>
      <c r="H13363" s="210">
        <v>5.3E-3</v>
      </c>
      <c r="I13363" s="160" t="s">
        <v>435</v>
      </c>
      <c r="J13363" s="211">
        <v>7.0142900000000002E-5</v>
      </c>
      <c r="K13363" s="160" t="s">
        <v>13</v>
      </c>
      <c r="L13363" s="154" t="str">
        <f>IF(OpenLCAbasic!K13363="CTUh", "Fill in Manually",IF(OR(K13363="Unit", K13363=""), "", INDEX(LookUps!$E$5:$E$12, MATCH(OpenLCAbasic!K13363,LookUps!$D$5:$D$12,0))))</f>
        <v>Eutrophication Potential (EP) - kg N eq</v>
      </c>
      <c r="M13363" s="154" t="str">
        <f t="shared" si="1178"/>
        <v>Low_Medium_High_Upgraded_Eutrophication Potential (EP) - kg N eq_Biosolids composting; aerated static pile; wastewater treatment unit; at updated plant - US_Without Amendment_Aerated Static Pile</v>
      </c>
    </row>
    <row r="13364" spans="1:13" s="120" customFormat="1" x14ac:dyDescent="0.25">
      <c r="A13364" s="119"/>
      <c r="B13364" s="138" t="str">
        <f t="shared" si="1180"/>
        <v>Aerated Static Pile</v>
      </c>
      <c r="C13364" s="138" t="str">
        <f t="shared" si="1181"/>
        <v>Without Amendment</v>
      </c>
      <c r="D13364" s="138" t="str">
        <f t="shared" si="1179"/>
        <v>Medium_High</v>
      </c>
      <c r="E13364" s="138" t="str">
        <f t="shared" si="1182"/>
        <v>Low</v>
      </c>
      <c r="F13364" s="138" t="str">
        <f t="shared" si="1183"/>
        <v>Upgraded</v>
      </c>
      <c r="G13364" s="153"/>
      <c r="H13364" s="210">
        <v>5.0000000000000001E-3</v>
      </c>
      <c r="I13364" s="160" t="s">
        <v>60</v>
      </c>
      <c r="J13364" s="211">
        <v>6.69155E-5</v>
      </c>
      <c r="K13364" s="160" t="s">
        <v>13</v>
      </c>
      <c r="L13364" s="154" t="str">
        <f>IF(OpenLCAbasic!K13364="CTUh", "Fill in Manually",IF(OR(K13364="Unit", K13364=""), "", INDEX(LookUps!$E$5:$E$12, MATCH(OpenLCAbasic!K13364,LookUps!$D$5:$D$12,0))))</f>
        <v>Eutrophication Potential (EP) - kg N eq</v>
      </c>
      <c r="M13364" s="154" t="str">
        <f t="shared" si="1178"/>
        <v>Low_Medium_High_Upgraded_Eutrophication Potential (EP) - kg N eq_Belt filter press; wastewater treatment unit; at updated plant - US_Without Amendment_Aerated Static Pile</v>
      </c>
    </row>
    <row r="13365" spans="1:13" s="120" customFormat="1" x14ac:dyDescent="0.25">
      <c r="A13365" s="119"/>
      <c r="B13365" s="138" t="str">
        <f t="shared" si="1180"/>
        <v>Aerated Static Pile</v>
      </c>
      <c r="C13365" s="138" t="str">
        <f t="shared" si="1181"/>
        <v>Without Amendment</v>
      </c>
      <c r="D13365" s="138" t="str">
        <f t="shared" si="1179"/>
        <v>Medium_High</v>
      </c>
      <c r="E13365" s="138" t="str">
        <f t="shared" si="1182"/>
        <v>Low</v>
      </c>
      <c r="F13365" s="138" t="str">
        <f t="shared" si="1183"/>
        <v>Upgraded</v>
      </c>
      <c r="G13365" s="153"/>
      <c r="H13365" s="210">
        <v>4.4999999999999997E-3</v>
      </c>
      <c r="I13365" s="160" t="s">
        <v>57</v>
      </c>
      <c r="J13365" s="211">
        <v>6.0590300000000002E-5</v>
      </c>
      <c r="K13365" s="160" t="s">
        <v>13</v>
      </c>
      <c r="L13365" s="154" t="str">
        <f>IF(OpenLCAbasic!K13365="CTUh", "Fill in Manually",IF(OR(K13365="Unit", K13365=""), "", INDEX(LookUps!$E$5:$E$12, MATCH(OpenLCAbasic!K13365,LookUps!$D$5:$D$12,0))))</f>
        <v>Eutrophication Potential (EP) - kg N eq</v>
      </c>
      <c r="M13365" s="154" t="str">
        <f t="shared" si="1178"/>
        <v>Low_Medium_High_Upgraded_Eutrophication Potential (EP) - kg N eq_Gravity Belt Thickener; wastewater treatment unit; at updated plant - US_Without Amendment_Aerated Static Pile</v>
      </c>
    </row>
    <row r="13366" spans="1:13" s="120" customFormat="1" x14ac:dyDescent="0.25">
      <c r="A13366" s="119"/>
      <c r="B13366" s="138" t="str">
        <f t="shared" si="1180"/>
        <v>Aerated Static Pile</v>
      </c>
      <c r="C13366" s="138" t="str">
        <f t="shared" si="1181"/>
        <v>Without Amendment</v>
      </c>
      <c r="D13366" s="138" t="str">
        <f t="shared" si="1179"/>
        <v>Medium_High</v>
      </c>
      <c r="E13366" s="138" t="str">
        <f t="shared" si="1182"/>
        <v>Low</v>
      </c>
      <c r="F13366" s="138" t="str">
        <f t="shared" si="1183"/>
        <v>Upgraded</v>
      </c>
      <c r="G13366" s="153"/>
      <c r="H13366" s="210">
        <v>2.8E-3</v>
      </c>
      <c r="I13366" s="160" t="s">
        <v>128</v>
      </c>
      <c r="J13366" s="211">
        <v>3.7559799999999999E-5</v>
      </c>
      <c r="K13366" s="160" t="s">
        <v>13</v>
      </c>
      <c r="L13366" s="154" t="str">
        <f>IF(OpenLCAbasic!K13366="CTUh", "Fill in Manually",IF(OR(K13366="Unit", K13366=""), "", INDEX(LookUps!$E$5:$E$12, MATCH(OpenLCAbasic!K13366,LookUps!$D$5:$D$12,0))))</f>
        <v>Eutrophication Potential (EP) - kg N eq</v>
      </c>
      <c r="M13366" s="154" t="str">
        <f t="shared" si="1178"/>
        <v>Low_Medium_High_Upgraded_Eutrophication Potential (EP) - kg N eq_Wastewater collection; operation and infrastructure; m3 wastewater_Without Amendment_Aerated Static Pile</v>
      </c>
    </row>
    <row r="13367" spans="1:13" s="120" customFormat="1" x14ac:dyDescent="0.25">
      <c r="A13367" s="119"/>
      <c r="B13367" s="138" t="str">
        <f t="shared" si="1180"/>
        <v>Aerated Static Pile</v>
      </c>
      <c r="C13367" s="138" t="str">
        <f t="shared" si="1181"/>
        <v>Without Amendment</v>
      </c>
      <c r="D13367" s="138" t="str">
        <f t="shared" si="1179"/>
        <v>Medium_High</v>
      </c>
      <c r="E13367" s="138" t="str">
        <f t="shared" si="1182"/>
        <v>Low</v>
      </c>
      <c r="F13367" s="138" t="str">
        <f t="shared" si="1183"/>
        <v>Upgraded</v>
      </c>
      <c r="G13367" s="153"/>
      <c r="H13367" s="210">
        <v>2.8E-3</v>
      </c>
      <c r="I13367" s="160" t="s">
        <v>148</v>
      </c>
      <c r="J13367" s="211">
        <v>3.6874600000000001E-5</v>
      </c>
      <c r="K13367" s="160" t="s">
        <v>13</v>
      </c>
      <c r="L13367" s="154" t="str">
        <f>IF(OpenLCAbasic!K13367="CTUh", "Fill in Manually",IF(OR(K13367="Unit", K13367=""), "", INDEX(LookUps!$E$5:$E$12, MATCH(OpenLCAbasic!K13367,LookUps!$D$5:$D$12,0))))</f>
        <v>Eutrophication Potential (EP) - kg N eq</v>
      </c>
      <c r="M13367" s="154" t="str">
        <f t="shared" si="1178"/>
        <v>Low_Medium_High_Upgraded_Eutrophication Potential (EP) - kg N eq_Control Building; at upgraded wastewater treatment plant - US_Without Amendment_Aerated Static Pile</v>
      </c>
    </row>
    <row r="13368" spans="1:13" s="120" customFormat="1" x14ac:dyDescent="0.25">
      <c r="A13368" s="119"/>
      <c r="B13368" s="138" t="str">
        <f t="shared" si="1180"/>
        <v>Aerated Static Pile</v>
      </c>
      <c r="C13368" s="138" t="str">
        <f t="shared" si="1181"/>
        <v>Without Amendment</v>
      </c>
      <c r="D13368" s="138" t="str">
        <f t="shared" si="1179"/>
        <v>Medium_High</v>
      </c>
      <c r="E13368" s="138" t="str">
        <f t="shared" si="1182"/>
        <v>Low</v>
      </c>
      <c r="F13368" s="138" t="str">
        <f t="shared" si="1183"/>
        <v>Upgraded</v>
      </c>
      <c r="G13368" s="153"/>
      <c r="H13368" s="210">
        <v>1.1999999999999999E-3</v>
      </c>
      <c r="I13368" s="160" t="s">
        <v>59</v>
      </c>
      <c r="J13368" s="211">
        <v>1.6215700000000001E-5</v>
      </c>
      <c r="K13368" s="160" t="s">
        <v>13</v>
      </c>
      <c r="L13368" s="154" t="str">
        <f>IF(OpenLCAbasic!K13368="CTUh", "Fill in Manually",IF(OR(K13368="Unit", K13368=""), "", INDEX(LookUps!$E$5:$E$12, MATCH(OpenLCAbasic!K13368,LookUps!$D$5:$D$12,0))))</f>
        <v>Eutrophication Potential (EP) - kg N eq</v>
      </c>
      <c r="M13368" s="154" t="str">
        <f t="shared" si="1178"/>
        <v>Low_Medium_High_Upgraded_Eutrophication Potential (EP) - kg N eq_Blend Tank; wastewater treatment unit; at updated plant - US_Without Amendment_Aerated Static Pile</v>
      </c>
    </row>
    <row r="13369" spans="1:13" s="120" customFormat="1" x14ac:dyDescent="0.25">
      <c r="A13369" s="119"/>
      <c r="B13369" s="138" t="str">
        <f t="shared" si="1180"/>
        <v>Aerated Static Pile</v>
      </c>
      <c r="C13369" s="138" t="str">
        <f t="shared" si="1181"/>
        <v>Without Amendment</v>
      </c>
      <c r="D13369" s="138" t="str">
        <f t="shared" si="1179"/>
        <v>Medium_High</v>
      </c>
      <c r="E13369" s="138" t="str">
        <f t="shared" si="1182"/>
        <v>Low</v>
      </c>
      <c r="F13369" s="138" t="str">
        <f t="shared" si="1183"/>
        <v>Upgraded</v>
      </c>
      <c r="G13369" s="153"/>
      <c r="H13369" s="210">
        <v>5.9999999999999995E-4</v>
      </c>
      <c r="I13369" s="160" t="s">
        <v>168</v>
      </c>
      <c r="J13369" s="211">
        <v>7.7567199999999995E-6</v>
      </c>
      <c r="K13369" s="160" t="s">
        <v>13</v>
      </c>
      <c r="L13369" s="154" t="str">
        <f>IF(OpenLCAbasic!K13369="CTUh", "Fill in Manually",IF(OR(K13369="Unit", K13369=""), "", INDEX(LookUps!$E$5:$E$12, MATCH(OpenLCAbasic!K13369,LookUps!$D$5:$D$12,0))))</f>
        <v>Eutrophication Potential (EP) - kg N eq</v>
      </c>
      <c r="M13369" s="154" t="str">
        <f t="shared" si="1178"/>
        <v>Low_Medium_High_Upgraded_Eutrophication Potential (EP) - kg N eq_ClearCove SCP; wastewater treatment unit; at updated plant - US_Without Amendment_Aerated Static Pile</v>
      </c>
    </row>
    <row r="13370" spans="1:13" s="120" customFormat="1" x14ac:dyDescent="0.25">
      <c r="A13370" s="119"/>
      <c r="B13370" s="138" t="str">
        <f t="shared" si="1180"/>
        <v>Aerated Static Pile</v>
      </c>
      <c r="C13370" s="138" t="str">
        <f t="shared" si="1181"/>
        <v>Without Amendment</v>
      </c>
      <c r="D13370" s="138" t="str">
        <f t="shared" si="1179"/>
        <v>Medium_High</v>
      </c>
      <c r="E13370" s="138" t="str">
        <f t="shared" si="1182"/>
        <v>Low</v>
      </c>
      <c r="F13370" s="138" t="str">
        <f t="shared" si="1183"/>
        <v>Upgraded</v>
      </c>
      <c r="G13370" s="153"/>
      <c r="H13370" s="210">
        <v>-0.1336</v>
      </c>
      <c r="I13370" s="160" t="s">
        <v>149</v>
      </c>
      <c r="J13370" s="160">
        <v>-1.7799999999999999E-3</v>
      </c>
      <c r="K13370" s="160" t="s">
        <v>13</v>
      </c>
      <c r="L13370" s="154" t="str">
        <f>IF(OpenLCAbasic!K13370="CTUh", "Fill in Manually",IF(OR(K13370="Unit", K13370=""), "", INDEX(LookUps!$E$5:$E$12, MATCH(OpenLCAbasic!K13370,LookUps!$D$5:$D$12,0))))</f>
        <v>Eutrophication Potential (EP) - kg N eq</v>
      </c>
      <c r="M13370" s="154" t="str">
        <f t="shared" si="1178"/>
        <v>Low_Medium_High_Upgraded_Eutrophication Potential (EP) - kg N eq_Anaerobic Digestion; wastewater treatment unit; at updated plant - US_Without Amendment_Aerated Static Pile</v>
      </c>
    </row>
    <row r="13371" spans="1:13" s="120" customFormat="1" x14ac:dyDescent="0.25">
      <c r="A13371" s="119"/>
      <c r="B13371" s="138" t="str">
        <f t="shared" si="1180"/>
        <v/>
      </c>
      <c r="C13371" s="138" t="str">
        <f t="shared" si="1181"/>
        <v/>
      </c>
      <c r="D13371" s="138" t="str">
        <f t="shared" si="1179"/>
        <v/>
      </c>
      <c r="E13371" s="138" t="str">
        <f t="shared" si="1182"/>
        <v/>
      </c>
      <c r="F13371" s="138" t="str">
        <f t="shared" si="1183"/>
        <v/>
      </c>
      <c r="G13371" s="153" t="s">
        <v>51</v>
      </c>
      <c r="H13371" s="160"/>
      <c r="I13371" s="160" t="s">
        <v>47</v>
      </c>
      <c r="J13371" s="160" t="s">
        <v>52</v>
      </c>
      <c r="K13371" s="160" t="s">
        <v>27</v>
      </c>
      <c r="L13371" s="154" t="str">
        <f>IF(OpenLCAbasic!K13371="CTUh", "Fill in Manually",IF(OR(K13371="Unit", K13371=""), "", INDEX(LookUps!$E$5:$E$12, MATCH(OpenLCAbasic!K13371,LookUps!$D$5:$D$12,0))))</f>
        <v/>
      </c>
      <c r="M13371" s="154" t="str">
        <f t="shared" si="1178"/>
        <v>____Process__</v>
      </c>
    </row>
    <row r="13372" spans="1:13" s="120" customFormat="1" x14ac:dyDescent="0.25">
      <c r="A13372" s="119"/>
      <c r="B13372" s="138" t="str">
        <f t="shared" si="1180"/>
        <v>Aerated Static Pile</v>
      </c>
      <c r="C13372" s="138" t="str">
        <f t="shared" si="1181"/>
        <v>Without Amendment</v>
      </c>
      <c r="D13372" s="138" t="str">
        <f t="shared" si="1179"/>
        <v>Medium_High</v>
      </c>
      <c r="E13372" s="138" t="str">
        <f t="shared" si="1182"/>
        <v>Low</v>
      </c>
      <c r="F13372" s="138" t="str">
        <f t="shared" si="1183"/>
        <v>Upgraded</v>
      </c>
      <c r="G13372" s="153"/>
      <c r="H13372" s="210">
        <v>2.1476000000000002</v>
      </c>
      <c r="I13372" s="160" t="s">
        <v>167</v>
      </c>
      <c r="J13372" s="160">
        <v>9.7259999999999999E-2</v>
      </c>
      <c r="K13372" s="160" t="s">
        <v>14</v>
      </c>
      <c r="L13372" s="154" t="str">
        <f>IF(OpenLCAbasic!K13372="CTUh", "Fill in Manually",IF(OR(K13372="Unit", K13372=""), "", INDEX(LookUps!$E$5:$E$12, MATCH(OpenLCAbasic!K13372,LookUps!$D$5:$D$12,0))))</f>
        <v>Fossil Depletion Potential (FDP) - kg oil eq</v>
      </c>
      <c r="M13372" s="154" t="str">
        <f t="shared" si="1178"/>
        <v>Low_Medium_High_Upgraded_Fossil Depletion Potential (FDP) - kg oil eq_Waste Receiving and Holding; wastewater treatment unit; at updated plant - US_Without Amendment_Aerated Static Pile</v>
      </c>
    </row>
    <row r="13373" spans="1:13" s="120" customFormat="1" x14ac:dyDescent="0.25">
      <c r="A13373" s="119"/>
      <c r="B13373" s="138" t="str">
        <f t="shared" si="1180"/>
        <v>Aerated Static Pile</v>
      </c>
      <c r="C13373" s="138" t="str">
        <f t="shared" si="1181"/>
        <v>Without Amendment</v>
      </c>
      <c r="D13373" s="138" t="str">
        <f t="shared" si="1179"/>
        <v>Medium_High</v>
      </c>
      <c r="E13373" s="138" t="str">
        <f t="shared" si="1182"/>
        <v>Low</v>
      </c>
      <c r="F13373" s="138" t="str">
        <f t="shared" si="1183"/>
        <v>Upgraded</v>
      </c>
      <c r="G13373" s="153"/>
      <c r="H13373" s="210">
        <v>1.4041999999999999</v>
      </c>
      <c r="I13373" s="160" t="s">
        <v>55</v>
      </c>
      <c r="J13373" s="160">
        <v>6.3589999999999994E-2</v>
      </c>
      <c r="K13373" s="160" t="s">
        <v>14</v>
      </c>
      <c r="L13373" s="154" t="str">
        <f>IF(OpenLCAbasic!K13373="CTUh", "Fill in Manually",IF(OR(K13373="Unit", K13373=""), "", INDEX(LookUps!$E$5:$E$12, MATCH(OpenLCAbasic!K13373,LookUps!$D$5:$D$12,0))))</f>
        <v>Fossil Depletion Potential (FDP) - kg oil eq</v>
      </c>
      <c r="M13373" s="154" t="str">
        <f t="shared" si="1178"/>
        <v>Low_Medium_High_Upgraded_Fossil Depletion Potential (FDP) - kg oil eq_Aeration Tanks; wastewater treatment unit; at updated plant - US_Without Amendment_Aerated Static Pile</v>
      </c>
    </row>
    <row r="13374" spans="1:13" s="120" customFormat="1" x14ac:dyDescent="0.25">
      <c r="A13374" s="119"/>
      <c r="B13374" s="138" t="str">
        <f t="shared" si="1180"/>
        <v>Aerated Static Pile</v>
      </c>
      <c r="C13374" s="138" t="str">
        <f t="shared" si="1181"/>
        <v>Without Amendment</v>
      </c>
      <c r="D13374" s="138" t="str">
        <f t="shared" si="1179"/>
        <v>Medium_High</v>
      </c>
      <c r="E13374" s="138" t="str">
        <f t="shared" si="1182"/>
        <v>Low</v>
      </c>
      <c r="F13374" s="138" t="str">
        <f t="shared" si="1183"/>
        <v>Upgraded</v>
      </c>
      <c r="G13374" s="153"/>
      <c r="H13374" s="210">
        <v>0.46479999999999999</v>
      </c>
      <c r="I13374" s="160" t="s">
        <v>54</v>
      </c>
      <c r="J13374" s="160">
        <v>2.1049999999999999E-2</v>
      </c>
      <c r="K13374" s="160" t="s">
        <v>14</v>
      </c>
      <c r="L13374" s="154" t="str">
        <f>IF(OpenLCAbasic!K13374="CTUh", "Fill in Manually",IF(OR(K13374="Unit", K13374=""), "", INDEX(LookUps!$E$5:$E$12, MATCH(OpenLCAbasic!K13374,LookUps!$D$5:$D$12,0))))</f>
        <v>Fossil Depletion Potential (FDP) - kg oil eq</v>
      </c>
      <c r="M13374" s="154" t="str">
        <f t="shared" si="1178"/>
        <v>Low_Medium_High_Upgraded_Fossil Depletion Potential (FDP) - kg oil eq_Clear Cove Primary Clarification; wastewater treatment unit; at updated plant - US_Without Amendment_Aerated Static Pile</v>
      </c>
    </row>
    <row r="13375" spans="1:13" s="120" customFormat="1" x14ac:dyDescent="0.25">
      <c r="A13375" s="119"/>
      <c r="B13375" s="138" t="str">
        <f t="shared" si="1180"/>
        <v>Aerated Static Pile</v>
      </c>
      <c r="C13375" s="138" t="str">
        <f t="shared" si="1181"/>
        <v>Without Amendment</v>
      </c>
      <c r="D13375" s="138" t="str">
        <f t="shared" si="1179"/>
        <v>Medium_High</v>
      </c>
      <c r="E13375" s="138" t="str">
        <f t="shared" si="1182"/>
        <v>Low</v>
      </c>
      <c r="F13375" s="138" t="str">
        <f t="shared" si="1183"/>
        <v>Upgraded</v>
      </c>
      <c r="G13375" s="153"/>
      <c r="H13375" s="210">
        <v>0.3528</v>
      </c>
      <c r="I13375" s="160" t="s">
        <v>58</v>
      </c>
      <c r="J13375" s="160">
        <v>1.5980000000000001E-2</v>
      </c>
      <c r="K13375" s="160" t="s">
        <v>14</v>
      </c>
      <c r="L13375" s="154" t="str">
        <f>IF(OpenLCAbasic!K13375="CTUh", "Fill in Manually",IF(OR(K13375="Unit", K13375=""), "", INDEX(LookUps!$E$5:$E$12, MATCH(OpenLCAbasic!K13375,LookUps!$D$5:$D$12,0))))</f>
        <v>Fossil Depletion Potential (FDP) - kg oil eq</v>
      </c>
      <c r="M13375" s="154" t="str">
        <f t="shared" si="1178"/>
        <v>Low_Medium_High_Upgraded_Fossil Depletion Potential (FDP) - kg oil eq_Pre-Anoxic &amp; Swing tank; wastewater treatment unit; at updated plant - US_Without Amendment_Aerated Static Pile</v>
      </c>
    </row>
    <row r="13376" spans="1:13" s="120" customFormat="1" x14ac:dyDescent="0.25">
      <c r="A13376" s="119"/>
      <c r="B13376" s="138" t="str">
        <f t="shared" si="1180"/>
        <v>Aerated Static Pile</v>
      </c>
      <c r="C13376" s="138" t="str">
        <f t="shared" si="1181"/>
        <v>Without Amendment</v>
      </c>
      <c r="D13376" s="138" t="str">
        <f t="shared" si="1179"/>
        <v>Medium_High</v>
      </c>
      <c r="E13376" s="138" t="str">
        <f t="shared" si="1182"/>
        <v>Low</v>
      </c>
      <c r="F13376" s="138" t="str">
        <f t="shared" si="1183"/>
        <v>Upgraded</v>
      </c>
      <c r="G13376" s="153"/>
      <c r="H13376" s="210">
        <v>0.3332</v>
      </c>
      <c r="I13376" s="160" t="s">
        <v>147</v>
      </c>
      <c r="J13376" s="160">
        <v>1.5089999999999999E-2</v>
      </c>
      <c r="K13376" s="160" t="s">
        <v>14</v>
      </c>
      <c r="L13376" s="154" t="str">
        <f>IF(OpenLCAbasic!K13376="CTUh", "Fill in Manually",IF(OR(K13376="Unit", K13376=""), "", INDEX(LookUps!$E$5:$E$12, MATCH(OpenLCAbasic!K13376,LookUps!$D$5:$D$12,0))))</f>
        <v>Fossil Depletion Potential (FDP) - kg oil eq</v>
      </c>
      <c r="M13376" s="154" t="str">
        <f t="shared" si="1178"/>
        <v>Low_Medium_High_Upgraded_Fossil Depletion Potential (FDP) - kg oil eq_Influent Pump Station; wastewater treatment unit; at updated plant - US_Without Amendment_Aerated Static Pile</v>
      </c>
    </row>
    <row r="13377" spans="1:13" s="120" customFormat="1" x14ac:dyDescent="0.25">
      <c r="A13377" s="119"/>
      <c r="B13377" s="138" t="str">
        <f t="shared" si="1180"/>
        <v>Aerated Static Pile</v>
      </c>
      <c r="C13377" s="138" t="str">
        <f t="shared" si="1181"/>
        <v>Without Amendment</v>
      </c>
      <c r="D13377" s="138" t="str">
        <f t="shared" si="1179"/>
        <v>Medium_High</v>
      </c>
      <c r="E13377" s="138" t="str">
        <f t="shared" si="1182"/>
        <v>Low</v>
      </c>
      <c r="F13377" s="138" t="str">
        <f t="shared" si="1183"/>
        <v>Upgraded</v>
      </c>
      <c r="G13377" s="153"/>
      <c r="H13377" s="210">
        <v>0.27579999999999999</v>
      </c>
      <c r="I13377" s="160" t="s">
        <v>53</v>
      </c>
      <c r="J13377" s="160">
        <v>1.2489999999999999E-2</v>
      </c>
      <c r="K13377" s="160" t="s">
        <v>14</v>
      </c>
      <c r="L13377" s="154" t="str">
        <f>IF(OpenLCAbasic!K13377="CTUh", "Fill in Manually",IF(OR(K13377="Unit", K13377=""), "", INDEX(LookUps!$E$5:$E$12, MATCH(OpenLCAbasic!K13377,LookUps!$D$5:$D$12,0))))</f>
        <v>Fossil Depletion Potential (FDP) - kg oil eq</v>
      </c>
      <c r="M13377" s="154" t="str">
        <f t="shared" si="1178"/>
        <v>Low_Medium_High_Upgraded_Fossil Depletion Potential (FDP) - kg oil eq_Wet Well and Sump Station; wastewater treatment unit; at updated plant - US_Without Amendment_Aerated Static Pile</v>
      </c>
    </row>
    <row r="13378" spans="1:13" s="120" customFormat="1" x14ac:dyDescent="0.25">
      <c r="A13378" s="119"/>
      <c r="B13378" s="138" t="str">
        <f t="shared" si="1180"/>
        <v>Aerated Static Pile</v>
      </c>
      <c r="C13378" s="138" t="str">
        <f t="shared" si="1181"/>
        <v>Without Amendment</v>
      </c>
      <c r="D13378" s="138" t="str">
        <f t="shared" si="1179"/>
        <v>Medium_High</v>
      </c>
      <c r="E13378" s="138" t="str">
        <f t="shared" si="1182"/>
        <v>Low</v>
      </c>
      <c r="F13378" s="138" t="str">
        <f t="shared" si="1183"/>
        <v>Upgraded</v>
      </c>
      <c r="G13378" s="153"/>
      <c r="H13378" s="210">
        <v>0.18459999999999999</v>
      </c>
      <c r="I13378" s="160" t="s">
        <v>435</v>
      </c>
      <c r="J13378" s="160">
        <v>8.3599999999999994E-3</v>
      </c>
      <c r="K13378" s="160" t="s">
        <v>14</v>
      </c>
      <c r="L13378" s="154" t="str">
        <f>IF(OpenLCAbasic!K13378="CTUh", "Fill in Manually",IF(OR(K13378="Unit", K13378=""), "", INDEX(LookUps!$E$5:$E$12, MATCH(OpenLCAbasic!K13378,LookUps!$D$5:$D$12,0))))</f>
        <v>Fossil Depletion Potential (FDP) - kg oil eq</v>
      </c>
      <c r="M13378" s="154" t="str">
        <f t="shared" si="1178"/>
        <v>Low_Medium_High_Upgraded_Fossil Depletion Potential (FDP) - kg oil eq_Biosolids composting; aerated static pile; wastewater treatment unit; at updated plant - US_Without Amendment_Aerated Static Pile</v>
      </c>
    </row>
    <row r="13379" spans="1:13" s="120" customFormat="1" x14ac:dyDescent="0.25">
      <c r="A13379" s="119"/>
      <c r="B13379" s="138" t="str">
        <f t="shared" si="1180"/>
        <v>Aerated Static Pile</v>
      </c>
      <c r="C13379" s="138" t="str">
        <f t="shared" si="1181"/>
        <v>Without Amendment</v>
      </c>
      <c r="D13379" s="138" t="str">
        <f t="shared" si="1179"/>
        <v>Medium_High</v>
      </c>
      <c r="E13379" s="138" t="str">
        <f t="shared" si="1182"/>
        <v>Low</v>
      </c>
      <c r="F13379" s="138" t="str">
        <f t="shared" si="1183"/>
        <v>Upgraded</v>
      </c>
      <c r="G13379" s="153"/>
      <c r="H13379" s="210">
        <v>0.1696</v>
      </c>
      <c r="I13379" s="160" t="s">
        <v>60</v>
      </c>
      <c r="J13379" s="160">
        <v>7.6800000000000002E-3</v>
      </c>
      <c r="K13379" s="160" t="s">
        <v>14</v>
      </c>
      <c r="L13379" s="154" t="str">
        <f>IF(OpenLCAbasic!K13379="CTUh", "Fill in Manually",IF(OR(K13379="Unit", K13379=""), "", INDEX(LookUps!$E$5:$E$12, MATCH(OpenLCAbasic!K13379,LookUps!$D$5:$D$12,0))))</f>
        <v>Fossil Depletion Potential (FDP) - kg oil eq</v>
      </c>
      <c r="M13379" s="154" t="str">
        <f t="shared" si="1178"/>
        <v>Low_Medium_High_Upgraded_Fossil Depletion Potential (FDP) - kg oil eq_Belt filter press; wastewater treatment unit; at updated plant - US_Without Amendment_Aerated Static Pile</v>
      </c>
    </row>
    <row r="13380" spans="1:13" s="120" customFormat="1" x14ac:dyDescent="0.25">
      <c r="A13380" s="119"/>
      <c r="B13380" s="138" t="str">
        <f t="shared" si="1180"/>
        <v>Aerated Static Pile</v>
      </c>
      <c r="C13380" s="138" t="str">
        <f t="shared" si="1181"/>
        <v>Without Amendment</v>
      </c>
      <c r="D13380" s="138" t="str">
        <f t="shared" si="1179"/>
        <v>Medium_High</v>
      </c>
      <c r="E13380" s="138" t="str">
        <f t="shared" si="1182"/>
        <v>Low</v>
      </c>
      <c r="F13380" s="138" t="str">
        <f t="shared" si="1183"/>
        <v>Upgraded</v>
      </c>
      <c r="G13380" s="153"/>
      <c r="H13380" s="210">
        <v>0.1527</v>
      </c>
      <c r="I13380" s="160" t="s">
        <v>57</v>
      </c>
      <c r="J13380" s="160">
        <v>6.9199999999999999E-3</v>
      </c>
      <c r="K13380" s="160" t="s">
        <v>14</v>
      </c>
      <c r="L13380" s="154" t="str">
        <f>IF(OpenLCAbasic!K13380="CTUh", "Fill in Manually",IF(OR(K13380="Unit", K13380=""), "", INDEX(LookUps!$E$5:$E$12, MATCH(OpenLCAbasic!K13380,LookUps!$D$5:$D$12,0))))</f>
        <v>Fossil Depletion Potential (FDP) - kg oil eq</v>
      </c>
      <c r="M13380" s="154" t="str">
        <f t="shared" ref="M13380:M13443" si="1184">CONCATENATE(E13380,"_",D13380,"_",F13380,"_",L13380, "_",I13380,"_", C13380,"_", B13380)</f>
        <v>Low_Medium_High_Upgraded_Fossil Depletion Potential (FDP) - kg oil eq_Gravity Belt Thickener; wastewater treatment unit; at updated plant - US_Without Amendment_Aerated Static Pile</v>
      </c>
    </row>
    <row r="13381" spans="1:13" s="120" customFormat="1" x14ac:dyDescent="0.25">
      <c r="A13381" s="119"/>
      <c r="B13381" s="138" t="str">
        <f t="shared" si="1180"/>
        <v>Aerated Static Pile</v>
      </c>
      <c r="C13381" s="138" t="str">
        <f t="shared" si="1181"/>
        <v>Without Amendment</v>
      </c>
      <c r="D13381" s="138" t="str">
        <f t="shared" si="1179"/>
        <v>Medium_High</v>
      </c>
      <c r="E13381" s="138" t="str">
        <f t="shared" si="1182"/>
        <v>Low</v>
      </c>
      <c r="F13381" s="138" t="str">
        <f t="shared" si="1183"/>
        <v>Upgraded</v>
      </c>
      <c r="G13381" s="153"/>
      <c r="H13381" s="210">
        <v>9.9299999999999999E-2</v>
      </c>
      <c r="I13381" s="160" t="s">
        <v>128</v>
      </c>
      <c r="J13381" s="160">
        <v>4.4999999999999997E-3</v>
      </c>
      <c r="K13381" s="160" t="s">
        <v>14</v>
      </c>
      <c r="L13381" s="154" t="str">
        <f>IF(OpenLCAbasic!K13381="CTUh", "Fill in Manually",IF(OR(K13381="Unit", K13381=""), "", INDEX(LookUps!$E$5:$E$12, MATCH(OpenLCAbasic!K13381,LookUps!$D$5:$D$12,0))))</f>
        <v>Fossil Depletion Potential (FDP) - kg oil eq</v>
      </c>
      <c r="M13381" s="154" t="str">
        <f t="shared" si="1184"/>
        <v>Low_Medium_High_Upgraded_Fossil Depletion Potential (FDP) - kg oil eq_Wastewater collection; operation and infrastructure; m3 wastewater_Without Amendment_Aerated Static Pile</v>
      </c>
    </row>
    <row r="13382" spans="1:13" s="120" customFormat="1" x14ac:dyDescent="0.25">
      <c r="A13382" s="119"/>
      <c r="B13382" s="138" t="str">
        <f t="shared" si="1180"/>
        <v>Aerated Static Pile</v>
      </c>
      <c r="C13382" s="138" t="str">
        <f t="shared" si="1181"/>
        <v>Without Amendment</v>
      </c>
      <c r="D13382" s="138" t="str">
        <f t="shared" si="1179"/>
        <v>Medium_High</v>
      </c>
      <c r="E13382" s="138" t="str">
        <f t="shared" si="1182"/>
        <v>Low</v>
      </c>
      <c r="F13382" s="138" t="str">
        <f t="shared" si="1183"/>
        <v>Upgraded</v>
      </c>
      <c r="G13382" s="153"/>
      <c r="H13382" s="210">
        <v>6.1800000000000001E-2</v>
      </c>
      <c r="I13382" s="160" t="s">
        <v>148</v>
      </c>
      <c r="J13382" s="160">
        <v>2.8E-3</v>
      </c>
      <c r="K13382" s="160" t="s">
        <v>14</v>
      </c>
      <c r="L13382" s="154" t="str">
        <f>IF(OpenLCAbasic!K13382="CTUh", "Fill in Manually",IF(OR(K13382="Unit", K13382=""), "", INDEX(LookUps!$E$5:$E$12, MATCH(OpenLCAbasic!K13382,LookUps!$D$5:$D$12,0))))</f>
        <v>Fossil Depletion Potential (FDP) - kg oil eq</v>
      </c>
      <c r="M13382" s="154" t="str">
        <f t="shared" si="1184"/>
        <v>Low_Medium_High_Upgraded_Fossil Depletion Potential (FDP) - kg oil eq_Control Building; at upgraded wastewater treatment plant - US_Without Amendment_Aerated Static Pile</v>
      </c>
    </row>
    <row r="13383" spans="1:13" s="120" customFormat="1" x14ac:dyDescent="0.25">
      <c r="A13383" s="119"/>
      <c r="B13383" s="138" t="str">
        <f t="shared" si="1180"/>
        <v>Aerated Static Pile</v>
      </c>
      <c r="C13383" s="138" t="str">
        <f t="shared" si="1181"/>
        <v>Without Amendment</v>
      </c>
      <c r="D13383" s="138" t="str">
        <f t="shared" si="1179"/>
        <v>Medium_High</v>
      </c>
      <c r="E13383" s="138" t="str">
        <f t="shared" si="1182"/>
        <v>Low</v>
      </c>
      <c r="F13383" s="138" t="str">
        <f t="shared" si="1183"/>
        <v>Upgraded</v>
      </c>
      <c r="G13383" s="153"/>
      <c r="H13383" s="210">
        <v>5.2200000000000003E-2</v>
      </c>
      <c r="I13383" s="160" t="s">
        <v>48</v>
      </c>
      <c r="J13383" s="160">
        <v>2.3600000000000001E-3</v>
      </c>
      <c r="K13383" s="160" t="s">
        <v>14</v>
      </c>
      <c r="L13383" s="154" t="str">
        <f>IF(OpenLCAbasic!K13383="CTUh", "Fill in Manually",IF(OR(K13383="Unit", K13383=""), "", INDEX(LookUps!$E$5:$E$12, MATCH(OpenLCAbasic!K13383,LookUps!$D$5:$D$12,0))))</f>
        <v>Fossil Depletion Potential (FDP) - kg oil eq</v>
      </c>
      <c r="M13383" s="154" t="str">
        <f t="shared" si="1184"/>
        <v>Low_Medium_High_Upgraded_Fossil Depletion Potential (FDP) - kg oil eq_Effluent release; wastewater treatment unit; at surface water; m3 wastewater - US_Without Amendment_Aerated Static Pile</v>
      </c>
    </row>
    <row r="13384" spans="1:13" s="120" customFormat="1" x14ac:dyDescent="0.25">
      <c r="A13384" s="119"/>
      <c r="B13384" s="138" t="str">
        <f t="shared" si="1180"/>
        <v>Aerated Static Pile</v>
      </c>
      <c r="C13384" s="138" t="str">
        <f t="shared" si="1181"/>
        <v>Without Amendment</v>
      </c>
      <c r="D13384" s="138" t="str">
        <f t="shared" si="1179"/>
        <v>Medium_High</v>
      </c>
      <c r="E13384" s="138" t="str">
        <f t="shared" si="1182"/>
        <v>Low</v>
      </c>
      <c r="F13384" s="138" t="str">
        <f t="shared" si="1183"/>
        <v>Upgraded</v>
      </c>
      <c r="G13384" s="153"/>
      <c r="H13384" s="210">
        <v>4.24E-2</v>
      </c>
      <c r="I13384" s="160" t="s">
        <v>59</v>
      </c>
      <c r="J13384" s="160">
        <v>1.92E-3</v>
      </c>
      <c r="K13384" s="160" t="s">
        <v>14</v>
      </c>
      <c r="L13384" s="154" t="str">
        <f>IF(OpenLCAbasic!K13384="CTUh", "Fill in Manually",IF(OR(K13384="Unit", K13384=""), "", INDEX(LookUps!$E$5:$E$12, MATCH(OpenLCAbasic!K13384,LookUps!$D$5:$D$12,0))))</f>
        <v>Fossil Depletion Potential (FDP) - kg oil eq</v>
      </c>
      <c r="M13384" s="154" t="str">
        <f t="shared" si="1184"/>
        <v>Low_Medium_High_Upgraded_Fossil Depletion Potential (FDP) - kg oil eq_Blend Tank; wastewater treatment unit; at updated plant - US_Without Amendment_Aerated Static Pile</v>
      </c>
    </row>
    <row r="13385" spans="1:13" s="120" customFormat="1" x14ac:dyDescent="0.25">
      <c r="A13385" s="119"/>
      <c r="B13385" s="138" t="str">
        <f t="shared" si="1180"/>
        <v>Aerated Static Pile</v>
      </c>
      <c r="C13385" s="138" t="str">
        <f t="shared" si="1181"/>
        <v>Without Amendment</v>
      </c>
      <c r="D13385" s="138" t="str">
        <f t="shared" ref="D13385:D13448" si="1185">IF(ISNUMBER($J13385),"Medium_High","")</f>
        <v>Medium_High</v>
      </c>
      <c r="E13385" s="138" t="str">
        <f t="shared" si="1182"/>
        <v>Low</v>
      </c>
      <c r="F13385" s="138" t="str">
        <f t="shared" si="1183"/>
        <v>Upgraded</v>
      </c>
      <c r="G13385" s="153"/>
      <c r="H13385" s="210">
        <v>2.0199999999999999E-2</v>
      </c>
      <c r="I13385" s="160" t="s">
        <v>168</v>
      </c>
      <c r="J13385" s="160">
        <v>9.1E-4</v>
      </c>
      <c r="K13385" s="160" t="s">
        <v>14</v>
      </c>
      <c r="L13385" s="154" t="str">
        <f>IF(OpenLCAbasic!K13385="CTUh", "Fill in Manually",IF(OR(K13385="Unit", K13385=""), "", INDEX(LookUps!$E$5:$E$12, MATCH(OpenLCAbasic!K13385,LookUps!$D$5:$D$12,0))))</f>
        <v>Fossil Depletion Potential (FDP) - kg oil eq</v>
      </c>
      <c r="M13385" s="154" t="str">
        <f t="shared" si="1184"/>
        <v>Low_Medium_High_Upgraded_Fossil Depletion Potential (FDP) - kg oil eq_ClearCove SCP; wastewater treatment unit; at updated plant - US_Without Amendment_Aerated Static Pile</v>
      </c>
    </row>
    <row r="13386" spans="1:13" s="120" customFormat="1" x14ac:dyDescent="0.25">
      <c r="A13386" s="119"/>
      <c r="B13386" s="138" t="str">
        <f t="shared" si="1180"/>
        <v>Aerated Static Pile</v>
      </c>
      <c r="C13386" s="138" t="str">
        <f t="shared" si="1181"/>
        <v>Without Amendment</v>
      </c>
      <c r="D13386" s="138" t="str">
        <f t="shared" si="1185"/>
        <v>Medium_High</v>
      </c>
      <c r="E13386" s="138" t="str">
        <f t="shared" si="1182"/>
        <v>Low</v>
      </c>
      <c r="F13386" s="138" t="str">
        <f t="shared" si="1183"/>
        <v>Upgraded</v>
      </c>
      <c r="G13386" s="153"/>
      <c r="H13386" s="210">
        <v>-0.12809999999999999</v>
      </c>
      <c r="I13386" s="160" t="s">
        <v>62</v>
      </c>
      <c r="J13386" s="160">
        <v>-5.7999999999999996E-3</v>
      </c>
      <c r="K13386" s="160" t="s">
        <v>14</v>
      </c>
      <c r="L13386" s="154" t="str">
        <f>IF(OpenLCAbasic!K13386="CTUh", "Fill in Manually",IF(OR(K13386="Unit", K13386=""), "", INDEX(LookUps!$E$5:$E$12, MATCH(OpenLCAbasic!K13386,LookUps!$D$5:$D$12,0))))</f>
        <v>Fossil Depletion Potential (FDP) - kg oil eq</v>
      </c>
      <c r="M13386" s="154" t="str">
        <f t="shared" si="1184"/>
        <v>Low_Medium_High_Upgraded_Fossil Depletion Potential (FDP) - kg oil eq_Land application of compost; wastewater treatment unit; at updated plant - US_Without Amendment_Aerated Static Pile</v>
      </c>
    </row>
    <row r="13387" spans="1:13" s="120" customFormat="1" x14ac:dyDescent="0.25">
      <c r="A13387" s="119"/>
      <c r="B13387" s="138" t="str">
        <f t="shared" si="1180"/>
        <v>Aerated Static Pile</v>
      </c>
      <c r="C13387" s="138" t="str">
        <f t="shared" si="1181"/>
        <v>Without Amendment</v>
      </c>
      <c r="D13387" s="138" t="str">
        <f t="shared" si="1185"/>
        <v>Medium_High</v>
      </c>
      <c r="E13387" s="138" t="str">
        <f t="shared" si="1182"/>
        <v>Low</v>
      </c>
      <c r="F13387" s="138" t="str">
        <f t="shared" si="1183"/>
        <v>Upgraded</v>
      </c>
      <c r="G13387" s="153"/>
      <c r="H13387" s="210">
        <v>-6.6329000000000002</v>
      </c>
      <c r="I13387" s="160" t="s">
        <v>149</v>
      </c>
      <c r="J13387" s="160">
        <v>-0.30038999999999999</v>
      </c>
      <c r="K13387" s="160" t="s">
        <v>14</v>
      </c>
      <c r="L13387" s="154" t="str">
        <f>IF(OpenLCAbasic!K13387="CTUh", "Fill in Manually",IF(OR(K13387="Unit", K13387=""), "", INDEX(LookUps!$E$5:$E$12, MATCH(OpenLCAbasic!K13387,LookUps!$D$5:$D$12,0))))</f>
        <v>Fossil Depletion Potential (FDP) - kg oil eq</v>
      </c>
      <c r="M13387" s="154" t="str">
        <f t="shared" si="1184"/>
        <v>Low_Medium_High_Upgraded_Fossil Depletion Potential (FDP) - kg oil eq_Anaerobic Digestion; wastewater treatment unit; at updated plant - US_Without Amendment_Aerated Static Pile</v>
      </c>
    </row>
    <row r="13388" spans="1:13" s="120" customFormat="1" x14ac:dyDescent="0.25">
      <c r="A13388" s="119"/>
      <c r="B13388" s="138" t="str">
        <f t="shared" si="1180"/>
        <v/>
      </c>
      <c r="C13388" s="138" t="str">
        <f t="shared" si="1181"/>
        <v/>
      </c>
      <c r="D13388" s="138" t="str">
        <f t="shared" si="1185"/>
        <v/>
      </c>
      <c r="E13388" s="138" t="str">
        <f t="shared" si="1182"/>
        <v/>
      </c>
      <c r="F13388" s="138" t="str">
        <f t="shared" si="1183"/>
        <v/>
      </c>
      <c r="G13388" s="153" t="s">
        <v>51</v>
      </c>
      <c r="H13388" s="160"/>
      <c r="I13388" s="160" t="s">
        <v>47</v>
      </c>
      <c r="J13388" s="160" t="s">
        <v>52</v>
      </c>
      <c r="K13388" s="160" t="s">
        <v>27</v>
      </c>
      <c r="L13388" s="154" t="str">
        <f>IF(OpenLCAbasic!K13388="CTUh", "Fill in Manually",IF(OR(K13388="Unit", K13388=""), "", INDEX(LookUps!$E$5:$E$12, MATCH(OpenLCAbasic!K13388,LookUps!$D$5:$D$12,0))))</f>
        <v/>
      </c>
      <c r="M13388" s="154" t="str">
        <f t="shared" si="1184"/>
        <v>____Process__</v>
      </c>
    </row>
    <row r="13389" spans="1:13" s="120" customFormat="1" x14ac:dyDescent="0.25">
      <c r="A13389" s="119"/>
      <c r="B13389" s="138" t="str">
        <f t="shared" si="1180"/>
        <v>Aerated Static Pile</v>
      </c>
      <c r="C13389" s="138" t="str">
        <f t="shared" si="1181"/>
        <v>Without Amendment</v>
      </c>
      <c r="D13389" s="138" t="str">
        <f t="shared" si="1185"/>
        <v>Medium_High</v>
      </c>
      <c r="E13389" s="138" t="str">
        <f t="shared" si="1182"/>
        <v>Low</v>
      </c>
      <c r="F13389" s="138" t="str">
        <f t="shared" si="1183"/>
        <v>Upgraded</v>
      </c>
      <c r="G13389" s="153"/>
      <c r="H13389" s="210">
        <v>2.976</v>
      </c>
      <c r="I13389" s="160" t="s">
        <v>58</v>
      </c>
      <c r="J13389" s="160">
        <v>0.24568999999999999</v>
      </c>
      <c r="K13389" s="160" t="s">
        <v>23</v>
      </c>
      <c r="L13389" s="154" t="str">
        <f>IF(OpenLCAbasic!K13389="CTUh", "Fill in Manually",IF(OR(K13389="Unit", K13389=""), "", INDEX(LookUps!$E$5:$E$12, MATCH(OpenLCAbasic!K13389,LookUps!$D$5:$D$12,0))))</f>
        <v>Global Warming Potential (GWP) - kg CO2 eq</v>
      </c>
      <c r="M13389" s="154" t="str">
        <f t="shared" si="1184"/>
        <v>Low_Medium_High_Upgraded_Global Warming Potential (GWP) - kg CO2 eq_Pre-Anoxic &amp; Swing tank; wastewater treatment unit; at updated plant - US_Without Amendment_Aerated Static Pile</v>
      </c>
    </row>
    <row r="13390" spans="1:13" s="120" customFormat="1" x14ac:dyDescent="0.25">
      <c r="A13390" s="119"/>
      <c r="B13390" s="138" t="str">
        <f t="shared" si="1180"/>
        <v>Aerated Static Pile</v>
      </c>
      <c r="C13390" s="138" t="str">
        <f t="shared" si="1181"/>
        <v>Without Amendment</v>
      </c>
      <c r="D13390" s="138" t="str">
        <f t="shared" si="1185"/>
        <v>Medium_High</v>
      </c>
      <c r="E13390" s="138" t="str">
        <f t="shared" si="1182"/>
        <v>Low</v>
      </c>
      <c r="F13390" s="138" t="str">
        <f t="shared" si="1183"/>
        <v>Upgraded</v>
      </c>
      <c r="G13390" s="153"/>
      <c r="H13390" s="210">
        <v>2.0377000000000001</v>
      </c>
      <c r="I13390" s="160" t="s">
        <v>55</v>
      </c>
      <c r="J13390" s="160">
        <v>0.16822000000000001</v>
      </c>
      <c r="K13390" s="160" t="s">
        <v>23</v>
      </c>
      <c r="L13390" s="154" t="str">
        <f>IF(OpenLCAbasic!K13390="CTUh", "Fill in Manually",IF(OR(K13390="Unit", K13390=""), "", INDEX(LookUps!$E$5:$E$12, MATCH(OpenLCAbasic!K13390,LookUps!$D$5:$D$12,0))))</f>
        <v>Global Warming Potential (GWP) - kg CO2 eq</v>
      </c>
      <c r="M13390" s="154" t="str">
        <f t="shared" si="1184"/>
        <v>Low_Medium_High_Upgraded_Global Warming Potential (GWP) - kg CO2 eq_Aeration Tanks; wastewater treatment unit; at updated plant - US_Without Amendment_Aerated Static Pile</v>
      </c>
    </row>
    <row r="13391" spans="1:13" s="120" customFormat="1" x14ac:dyDescent="0.25">
      <c r="A13391" s="119"/>
      <c r="B13391" s="138" t="str">
        <f t="shared" si="1180"/>
        <v>Aerated Static Pile</v>
      </c>
      <c r="C13391" s="138" t="str">
        <f t="shared" si="1181"/>
        <v>Without Amendment</v>
      </c>
      <c r="D13391" s="138" t="str">
        <f t="shared" si="1185"/>
        <v>Medium_High</v>
      </c>
      <c r="E13391" s="138" t="str">
        <f t="shared" si="1182"/>
        <v>Low</v>
      </c>
      <c r="F13391" s="138" t="str">
        <f t="shared" si="1183"/>
        <v>Upgraded</v>
      </c>
      <c r="G13391" s="153"/>
      <c r="H13391" s="210">
        <v>1.4965999999999999</v>
      </c>
      <c r="I13391" s="160" t="s">
        <v>167</v>
      </c>
      <c r="J13391" s="160">
        <v>0.12354999999999999</v>
      </c>
      <c r="K13391" s="160" t="s">
        <v>23</v>
      </c>
      <c r="L13391" s="154" t="str">
        <f>IF(OpenLCAbasic!K13391="CTUh", "Fill in Manually",IF(OR(K13391="Unit", K13391=""), "", INDEX(LookUps!$E$5:$E$12, MATCH(OpenLCAbasic!K13391,LookUps!$D$5:$D$12,0))))</f>
        <v>Global Warming Potential (GWP) - kg CO2 eq</v>
      </c>
      <c r="M13391" s="154" t="str">
        <f t="shared" si="1184"/>
        <v>Low_Medium_High_Upgraded_Global Warming Potential (GWP) - kg CO2 eq_Waste Receiving and Holding; wastewater treatment unit; at updated plant - US_Without Amendment_Aerated Static Pile</v>
      </c>
    </row>
    <row r="13392" spans="1:13" s="120" customFormat="1" x14ac:dyDescent="0.25">
      <c r="A13392" s="119"/>
      <c r="B13392" s="138" t="str">
        <f t="shared" si="1180"/>
        <v>Aerated Static Pile</v>
      </c>
      <c r="C13392" s="138" t="str">
        <f t="shared" si="1181"/>
        <v>Without Amendment</v>
      </c>
      <c r="D13392" s="138" t="str">
        <f t="shared" si="1185"/>
        <v>Medium_High</v>
      </c>
      <c r="E13392" s="138" t="str">
        <f t="shared" si="1182"/>
        <v>Low</v>
      </c>
      <c r="F13392" s="138" t="str">
        <f t="shared" si="1183"/>
        <v>Upgraded</v>
      </c>
      <c r="G13392" s="153"/>
      <c r="H13392" s="210">
        <v>0.86880000000000002</v>
      </c>
      <c r="I13392" s="160" t="s">
        <v>435</v>
      </c>
      <c r="J13392" s="160">
        <v>7.1730000000000002E-2</v>
      </c>
      <c r="K13392" s="160" t="s">
        <v>23</v>
      </c>
      <c r="L13392" s="154" t="str">
        <f>IF(OpenLCAbasic!K13392="CTUh", "Fill in Manually",IF(OR(K13392="Unit", K13392=""), "", INDEX(LookUps!$E$5:$E$12, MATCH(OpenLCAbasic!K13392,LookUps!$D$5:$D$12,0))))</f>
        <v>Global Warming Potential (GWP) - kg CO2 eq</v>
      </c>
      <c r="M13392" s="154" t="str">
        <f t="shared" si="1184"/>
        <v>Low_Medium_High_Upgraded_Global Warming Potential (GWP) - kg CO2 eq_Biosolids composting; aerated static pile; wastewater treatment unit; at updated plant - US_Without Amendment_Aerated Static Pile</v>
      </c>
    </row>
    <row r="13393" spans="1:13" s="120" customFormat="1" x14ac:dyDescent="0.25">
      <c r="A13393" s="119"/>
      <c r="B13393" s="138" t="str">
        <f t="shared" si="1180"/>
        <v>Aerated Static Pile</v>
      </c>
      <c r="C13393" s="138" t="str">
        <f t="shared" si="1181"/>
        <v>Without Amendment</v>
      </c>
      <c r="D13393" s="138" t="str">
        <f t="shared" si="1185"/>
        <v>Medium_High</v>
      </c>
      <c r="E13393" s="138" t="str">
        <f t="shared" si="1182"/>
        <v>Low</v>
      </c>
      <c r="F13393" s="138" t="str">
        <f t="shared" si="1183"/>
        <v>Upgraded</v>
      </c>
      <c r="G13393" s="153"/>
      <c r="H13393" s="210">
        <v>0.69140000000000001</v>
      </c>
      <c r="I13393" s="160" t="s">
        <v>54</v>
      </c>
      <c r="J13393" s="160">
        <v>5.7079999999999999E-2</v>
      </c>
      <c r="K13393" s="160" t="s">
        <v>23</v>
      </c>
      <c r="L13393" s="154" t="str">
        <f>IF(OpenLCAbasic!K13393="CTUh", "Fill in Manually",IF(OR(K13393="Unit", K13393=""), "", INDEX(LookUps!$E$5:$E$12, MATCH(OpenLCAbasic!K13393,LookUps!$D$5:$D$12,0))))</f>
        <v>Global Warming Potential (GWP) - kg CO2 eq</v>
      </c>
      <c r="M13393" s="154" t="str">
        <f t="shared" si="1184"/>
        <v>Low_Medium_High_Upgraded_Global Warming Potential (GWP) - kg CO2 eq_Clear Cove Primary Clarification; wastewater treatment unit; at updated plant - US_Without Amendment_Aerated Static Pile</v>
      </c>
    </row>
    <row r="13394" spans="1:13" s="120" customFormat="1" x14ac:dyDescent="0.25">
      <c r="A13394" s="119"/>
      <c r="B13394" s="138" t="str">
        <f t="shared" si="1180"/>
        <v>Aerated Static Pile</v>
      </c>
      <c r="C13394" s="138" t="str">
        <f t="shared" si="1181"/>
        <v>Without Amendment</v>
      </c>
      <c r="D13394" s="138" t="str">
        <f t="shared" si="1185"/>
        <v>Medium_High</v>
      </c>
      <c r="E13394" s="138" t="str">
        <f t="shared" si="1182"/>
        <v>Low</v>
      </c>
      <c r="F13394" s="138" t="str">
        <f t="shared" si="1183"/>
        <v>Upgraded</v>
      </c>
      <c r="G13394" s="153"/>
      <c r="H13394" s="210">
        <v>0.63759999999999994</v>
      </c>
      <c r="I13394" s="160" t="s">
        <v>48</v>
      </c>
      <c r="J13394" s="160">
        <v>5.2639999999999999E-2</v>
      </c>
      <c r="K13394" s="160" t="s">
        <v>23</v>
      </c>
      <c r="L13394" s="154" t="str">
        <f>IF(OpenLCAbasic!K13394="CTUh", "Fill in Manually",IF(OR(K13394="Unit", K13394=""), "", INDEX(LookUps!$E$5:$E$12, MATCH(OpenLCAbasic!K13394,LookUps!$D$5:$D$12,0))))</f>
        <v>Global Warming Potential (GWP) - kg CO2 eq</v>
      </c>
      <c r="M13394" s="154" t="str">
        <f t="shared" si="1184"/>
        <v>Low_Medium_High_Upgraded_Global Warming Potential (GWP) - kg CO2 eq_Effluent release; wastewater treatment unit; at surface water; m3 wastewater - US_Without Amendment_Aerated Static Pile</v>
      </c>
    </row>
    <row r="13395" spans="1:13" s="120" customFormat="1" x14ac:dyDescent="0.25">
      <c r="A13395" s="119"/>
      <c r="B13395" s="138" t="str">
        <f t="shared" si="1180"/>
        <v>Aerated Static Pile</v>
      </c>
      <c r="C13395" s="138" t="str">
        <f t="shared" si="1181"/>
        <v>Without Amendment</v>
      </c>
      <c r="D13395" s="138" t="str">
        <f t="shared" si="1185"/>
        <v>Medium_High</v>
      </c>
      <c r="E13395" s="138" t="str">
        <f t="shared" si="1182"/>
        <v>Low</v>
      </c>
      <c r="F13395" s="138" t="str">
        <f t="shared" si="1183"/>
        <v>Upgraded</v>
      </c>
      <c r="G13395" s="153"/>
      <c r="H13395" s="210">
        <v>0.61170000000000002</v>
      </c>
      <c r="I13395" s="160" t="s">
        <v>147</v>
      </c>
      <c r="J13395" s="160">
        <v>5.0500000000000003E-2</v>
      </c>
      <c r="K13395" s="160" t="s">
        <v>23</v>
      </c>
      <c r="L13395" s="154" t="str">
        <f>IF(OpenLCAbasic!K13395="CTUh", "Fill in Manually",IF(OR(K13395="Unit", K13395=""), "", INDEX(LookUps!$E$5:$E$12, MATCH(OpenLCAbasic!K13395,LookUps!$D$5:$D$12,0))))</f>
        <v>Global Warming Potential (GWP) - kg CO2 eq</v>
      </c>
      <c r="M13395" s="154" t="str">
        <f t="shared" si="1184"/>
        <v>Low_Medium_High_Upgraded_Global Warming Potential (GWP) - kg CO2 eq_Influent Pump Station; wastewater treatment unit; at updated plant - US_Without Amendment_Aerated Static Pile</v>
      </c>
    </row>
    <row r="13396" spans="1:13" s="120" customFormat="1" x14ac:dyDescent="0.25">
      <c r="A13396" s="119"/>
      <c r="B13396" s="138" t="str">
        <f t="shared" si="1180"/>
        <v>Aerated Static Pile</v>
      </c>
      <c r="C13396" s="138" t="str">
        <f t="shared" si="1181"/>
        <v>Without Amendment</v>
      </c>
      <c r="D13396" s="138" t="str">
        <f t="shared" si="1185"/>
        <v>Medium_High</v>
      </c>
      <c r="E13396" s="138" t="str">
        <f t="shared" si="1182"/>
        <v>Low</v>
      </c>
      <c r="F13396" s="138" t="str">
        <f t="shared" si="1183"/>
        <v>Upgraded</v>
      </c>
      <c r="G13396" s="153"/>
      <c r="H13396" s="210">
        <v>0.40279999999999999</v>
      </c>
      <c r="I13396" s="160" t="s">
        <v>53</v>
      </c>
      <c r="J13396" s="160">
        <v>3.3259999999999998E-2</v>
      </c>
      <c r="K13396" s="160" t="s">
        <v>23</v>
      </c>
      <c r="L13396" s="154" t="str">
        <f>IF(OpenLCAbasic!K13396="CTUh", "Fill in Manually",IF(OR(K13396="Unit", K13396=""), "", INDEX(LookUps!$E$5:$E$12, MATCH(OpenLCAbasic!K13396,LookUps!$D$5:$D$12,0))))</f>
        <v>Global Warming Potential (GWP) - kg CO2 eq</v>
      </c>
      <c r="M13396" s="154" t="str">
        <f t="shared" si="1184"/>
        <v>Low_Medium_High_Upgraded_Global Warming Potential (GWP) - kg CO2 eq_Wet Well and Sump Station; wastewater treatment unit; at updated plant - US_Without Amendment_Aerated Static Pile</v>
      </c>
    </row>
    <row r="13397" spans="1:13" s="120" customFormat="1" x14ac:dyDescent="0.25">
      <c r="A13397" s="119"/>
      <c r="B13397" s="138" t="str">
        <f t="shared" si="1180"/>
        <v>Aerated Static Pile</v>
      </c>
      <c r="C13397" s="138" t="str">
        <f t="shared" si="1181"/>
        <v>Without Amendment</v>
      </c>
      <c r="D13397" s="138" t="str">
        <f t="shared" si="1185"/>
        <v>Medium_High</v>
      </c>
      <c r="E13397" s="138" t="str">
        <f t="shared" si="1182"/>
        <v>Low</v>
      </c>
      <c r="F13397" s="138" t="str">
        <f t="shared" si="1183"/>
        <v>Upgraded</v>
      </c>
      <c r="G13397" s="153"/>
      <c r="H13397" s="210">
        <v>0.20449999999999999</v>
      </c>
      <c r="I13397" s="160" t="s">
        <v>60</v>
      </c>
      <c r="J13397" s="160">
        <v>1.6879999999999999E-2</v>
      </c>
      <c r="K13397" s="160" t="s">
        <v>23</v>
      </c>
      <c r="L13397" s="154" t="str">
        <f>IF(OpenLCAbasic!K13397="CTUh", "Fill in Manually",IF(OR(K13397="Unit", K13397=""), "", INDEX(LookUps!$E$5:$E$12, MATCH(OpenLCAbasic!K13397,LookUps!$D$5:$D$12,0))))</f>
        <v>Global Warming Potential (GWP) - kg CO2 eq</v>
      </c>
      <c r="M13397" s="154" t="str">
        <f t="shared" si="1184"/>
        <v>Low_Medium_High_Upgraded_Global Warming Potential (GWP) - kg CO2 eq_Belt filter press; wastewater treatment unit; at updated plant - US_Without Amendment_Aerated Static Pile</v>
      </c>
    </row>
    <row r="13398" spans="1:13" s="120" customFormat="1" x14ac:dyDescent="0.25">
      <c r="A13398" s="119"/>
      <c r="B13398" s="138" t="str">
        <f t="shared" si="1180"/>
        <v>Aerated Static Pile</v>
      </c>
      <c r="C13398" s="138" t="str">
        <f t="shared" si="1181"/>
        <v>Without Amendment</v>
      </c>
      <c r="D13398" s="138" t="str">
        <f t="shared" si="1185"/>
        <v>Medium_High</v>
      </c>
      <c r="E13398" s="138" t="str">
        <f t="shared" si="1182"/>
        <v>Low</v>
      </c>
      <c r="F13398" s="138" t="str">
        <f t="shared" si="1183"/>
        <v>Upgraded</v>
      </c>
      <c r="G13398" s="153"/>
      <c r="H13398" s="210">
        <v>0.17630000000000001</v>
      </c>
      <c r="I13398" s="160" t="s">
        <v>57</v>
      </c>
      <c r="J13398" s="160">
        <v>1.455E-2</v>
      </c>
      <c r="K13398" s="160" t="s">
        <v>23</v>
      </c>
      <c r="L13398" s="154" t="str">
        <f>IF(OpenLCAbasic!K13398="CTUh", "Fill in Manually",IF(OR(K13398="Unit", K13398=""), "", INDEX(LookUps!$E$5:$E$12, MATCH(OpenLCAbasic!K13398,LookUps!$D$5:$D$12,0))))</f>
        <v>Global Warming Potential (GWP) - kg CO2 eq</v>
      </c>
      <c r="M13398" s="154" t="str">
        <f t="shared" si="1184"/>
        <v>Low_Medium_High_Upgraded_Global Warming Potential (GWP) - kg CO2 eq_Gravity Belt Thickener; wastewater treatment unit; at updated plant - US_Without Amendment_Aerated Static Pile</v>
      </c>
    </row>
    <row r="13399" spans="1:13" s="120" customFormat="1" x14ac:dyDescent="0.25">
      <c r="A13399" s="119"/>
      <c r="B13399" s="138" t="str">
        <f t="shared" si="1180"/>
        <v>Aerated Static Pile</v>
      </c>
      <c r="C13399" s="138" t="str">
        <f t="shared" si="1181"/>
        <v>Without Amendment</v>
      </c>
      <c r="D13399" s="138" t="str">
        <f t="shared" si="1185"/>
        <v>Medium_High</v>
      </c>
      <c r="E13399" s="138" t="str">
        <f t="shared" si="1182"/>
        <v>Low</v>
      </c>
      <c r="F13399" s="138" t="str">
        <f t="shared" si="1183"/>
        <v>Upgraded</v>
      </c>
      <c r="G13399" s="153"/>
      <c r="H13399" s="210">
        <v>0.1636</v>
      </c>
      <c r="I13399" s="160" t="s">
        <v>128</v>
      </c>
      <c r="J13399" s="160">
        <v>1.3509999999999999E-2</v>
      </c>
      <c r="K13399" s="160" t="s">
        <v>23</v>
      </c>
      <c r="L13399" s="154" t="str">
        <f>IF(OpenLCAbasic!K13399="CTUh", "Fill in Manually",IF(OR(K13399="Unit", K13399=""), "", INDEX(LookUps!$E$5:$E$12, MATCH(OpenLCAbasic!K13399,LookUps!$D$5:$D$12,0))))</f>
        <v>Global Warming Potential (GWP) - kg CO2 eq</v>
      </c>
      <c r="M13399" s="154" t="str">
        <f t="shared" si="1184"/>
        <v>Low_Medium_High_Upgraded_Global Warming Potential (GWP) - kg CO2 eq_Wastewater collection; operation and infrastructure; m3 wastewater_Without Amendment_Aerated Static Pile</v>
      </c>
    </row>
    <row r="13400" spans="1:13" s="120" customFormat="1" x14ac:dyDescent="0.25">
      <c r="A13400" s="119"/>
      <c r="B13400" s="138" t="str">
        <f t="shared" si="1180"/>
        <v>Aerated Static Pile</v>
      </c>
      <c r="C13400" s="138" t="str">
        <f t="shared" si="1181"/>
        <v>Without Amendment</v>
      </c>
      <c r="D13400" s="138" t="str">
        <f t="shared" si="1185"/>
        <v>Medium_High</v>
      </c>
      <c r="E13400" s="138" t="str">
        <f t="shared" si="1182"/>
        <v>Low</v>
      </c>
      <c r="F13400" s="138" t="str">
        <f t="shared" si="1183"/>
        <v>Upgraded</v>
      </c>
      <c r="G13400" s="153"/>
      <c r="H13400" s="210">
        <v>0.10050000000000001</v>
      </c>
      <c r="I13400" s="160" t="s">
        <v>148</v>
      </c>
      <c r="J13400" s="160">
        <v>8.3000000000000001E-3</v>
      </c>
      <c r="K13400" s="160" t="s">
        <v>23</v>
      </c>
      <c r="L13400" s="154" t="str">
        <f>IF(OpenLCAbasic!K13400="CTUh", "Fill in Manually",IF(OR(K13400="Unit", K13400=""), "", INDEX(LookUps!$E$5:$E$12, MATCH(OpenLCAbasic!K13400,LookUps!$D$5:$D$12,0))))</f>
        <v>Global Warming Potential (GWP) - kg CO2 eq</v>
      </c>
      <c r="M13400" s="154" t="str">
        <f t="shared" si="1184"/>
        <v>Low_Medium_High_Upgraded_Global Warming Potential (GWP) - kg CO2 eq_Control Building; at upgraded wastewater treatment plant - US_Without Amendment_Aerated Static Pile</v>
      </c>
    </row>
    <row r="13401" spans="1:13" s="120" customFormat="1" x14ac:dyDescent="0.25">
      <c r="A13401" s="119"/>
      <c r="B13401" s="138" t="str">
        <f t="shared" si="1180"/>
        <v>Aerated Static Pile</v>
      </c>
      <c r="C13401" s="138" t="str">
        <f t="shared" si="1181"/>
        <v>Without Amendment</v>
      </c>
      <c r="D13401" s="138" t="str">
        <f t="shared" si="1185"/>
        <v>Medium_High</v>
      </c>
      <c r="E13401" s="138" t="str">
        <f t="shared" si="1182"/>
        <v>Low</v>
      </c>
      <c r="F13401" s="138" t="str">
        <f t="shared" si="1183"/>
        <v>Upgraded</v>
      </c>
      <c r="G13401" s="153"/>
      <c r="H13401" s="210">
        <v>6.1100000000000002E-2</v>
      </c>
      <c r="I13401" s="160" t="s">
        <v>59</v>
      </c>
      <c r="J13401" s="160">
        <v>5.0400000000000002E-3</v>
      </c>
      <c r="K13401" s="160" t="s">
        <v>23</v>
      </c>
      <c r="L13401" s="154" t="str">
        <f>IF(OpenLCAbasic!K13401="CTUh", "Fill in Manually",IF(OR(K13401="Unit", K13401=""), "", INDEX(LookUps!$E$5:$E$12, MATCH(OpenLCAbasic!K13401,LookUps!$D$5:$D$12,0))))</f>
        <v>Global Warming Potential (GWP) - kg CO2 eq</v>
      </c>
      <c r="M13401" s="154" t="str">
        <f t="shared" si="1184"/>
        <v>Low_Medium_High_Upgraded_Global Warming Potential (GWP) - kg CO2 eq_Blend Tank; wastewater treatment unit; at updated plant - US_Without Amendment_Aerated Static Pile</v>
      </c>
    </row>
    <row r="13402" spans="1:13" s="120" customFormat="1" x14ac:dyDescent="0.25">
      <c r="A13402" s="119"/>
      <c r="B13402" s="138" t="str">
        <f t="shared" si="1180"/>
        <v>Aerated Static Pile</v>
      </c>
      <c r="C13402" s="138" t="str">
        <f t="shared" si="1181"/>
        <v>Without Amendment</v>
      </c>
      <c r="D13402" s="138" t="str">
        <f t="shared" si="1185"/>
        <v>Medium_High</v>
      </c>
      <c r="E13402" s="138" t="str">
        <f t="shared" si="1182"/>
        <v>Low</v>
      </c>
      <c r="F13402" s="138" t="str">
        <f t="shared" si="1183"/>
        <v>Upgraded</v>
      </c>
      <c r="G13402" s="153"/>
      <c r="H13402" s="210">
        <v>2.92E-2</v>
      </c>
      <c r="I13402" s="160" t="s">
        <v>168</v>
      </c>
      <c r="J13402" s="160">
        <v>2.4099999999999998E-3</v>
      </c>
      <c r="K13402" s="160" t="s">
        <v>23</v>
      </c>
      <c r="L13402" s="154" t="str">
        <f>IF(OpenLCAbasic!K13402="CTUh", "Fill in Manually",IF(OR(K13402="Unit", K13402=""), "", INDEX(LookUps!$E$5:$E$12, MATCH(OpenLCAbasic!K13402,LookUps!$D$5:$D$12,0))))</f>
        <v>Global Warming Potential (GWP) - kg CO2 eq</v>
      </c>
      <c r="M13402" s="154" t="str">
        <f t="shared" si="1184"/>
        <v>Low_Medium_High_Upgraded_Global Warming Potential (GWP) - kg CO2 eq_ClearCove SCP; wastewater treatment unit; at updated plant - US_Without Amendment_Aerated Static Pile</v>
      </c>
    </row>
    <row r="13403" spans="1:13" s="120" customFormat="1" x14ac:dyDescent="0.25">
      <c r="A13403" s="119"/>
      <c r="B13403" s="138" t="str">
        <f t="shared" si="1180"/>
        <v>Aerated Static Pile</v>
      </c>
      <c r="C13403" s="138" t="str">
        <f t="shared" si="1181"/>
        <v>Without Amendment</v>
      </c>
      <c r="D13403" s="138" t="str">
        <f t="shared" si="1185"/>
        <v>Medium_High</v>
      </c>
      <c r="E13403" s="138" t="str">
        <f t="shared" si="1182"/>
        <v>Low</v>
      </c>
      <c r="F13403" s="138" t="str">
        <f t="shared" si="1183"/>
        <v>Upgraded</v>
      </c>
      <c r="G13403" s="153"/>
      <c r="H13403" s="210">
        <v>-2.177</v>
      </c>
      <c r="I13403" s="160" t="s">
        <v>62</v>
      </c>
      <c r="J13403" s="160">
        <v>-0.17973</v>
      </c>
      <c r="K13403" s="160" t="s">
        <v>23</v>
      </c>
      <c r="L13403" s="154" t="str">
        <f>IF(OpenLCAbasic!K13403="CTUh", "Fill in Manually",IF(OR(K13403="Unit", K13403=""), "", INDEX(LookUps!$E$5:$E$12, MATCH(OpenLCAbasic!K13403,LookUps!$D$5:$D$12,0))))</f>
        <v>Global Warming Potential (GWP) - kg CO2 eq</v>
      </c>
      <c r="M13403" s="154" t="str">
        <f t="shared" si="1184"/>
        <v>Low_Medium_High_Upgraded_Global Warming Potential (GWP) - kg CO2 eq_Land application of compost; wastewater treatment unit; at updated plant - US_Without Amendment_Aerated Static Pile</v>
      </c>
    </row>
    <row r="13404" spans="1:13" s="120" customFormat="1" x14ac:dyDescent="0.25">
      <c r="A13404" s="119"/>
      <c r="B13404" s="138" t="str">
        <f t="shared" si="1180"/>
        <v>Aerated Static Pile</v>
      </c>
      <c r="C13404" s="138" t="str">
        <f t="shared" si="1181"/>
        <v>Without Amendment</v>
      </c>
      <c r="D13404" s="138" t="str">
        <f t="shared" si="1185"/>
        <v>Medium_High</v>
      </c>
      <c r="E13404" s="138" t="str">
        <f t="shared" si="1182"/>
        <v>Low</v>
      </c>
      <c r="F13404" s="138" t="str">
        <f t="shared" si="1183"/>
        <v>Upgraded</v>
      </c>
      <c r="G13404" s="153"/>
      <c r="H13404" s="210">
        <v>-7.2807000000000004</v>
      </c>
      <c r="I13404" s="160" t="s">
        <v>149</v>
      </c>
      <c r="J13404" s="160">
        <v>-0.60107999999999995</v>
      </c>
      <c r="K13404" s="160" t="s">
        <v>23</v>
      </c>
      <c r="L13404" s="154" t="str">
        <f>IF(OpenLCAbasic!K13404="CTUh", "Fill in Manually",IF(OR(K13404="Unit", K13404=""), "", INDEX(LookUps!$E$5:$E$12, MATCH(OpenLCAbasic!K13404,LookUps!$D$5:$D$12,0))))</f>
        <v>Global Warming Potential (GWP) - kg CO2 eq</v>
      </c>
      <c r="M13404" s="154" t="str">
        <f t="shared" si="1184"/>
        <v>Low_Medium_High_Upgraded_Global Warming Potential (GWP) - kg CO2 eq_Anaerobic Digestion; wastewater treatment unit; at updated plant - US_Without Amendment_Aerated Static Pile</v>
      </c>
    </row>
    <row r="13405" spans="1:13" s="120" customFormat="1" x14ac:dyDescent="0.25">
      <c r="A13405" s="119"/>
      <c r="B13405" s="138" t="str">
        <f t="shared" si="1180"/>
        <v/>
      </c>
      <c r="C13405" s="138" t="str">
        <f t="shared" si="1181"/>
        <v/>
      </c>
      <c r="D13405" s="138" t="str">
        <f t="shared" si="1185"/>
        <v/>
      </c>
      <c r="E13405" s="138" t="str">
        <f t="shared" si="1182"/>
        <v/>
      </c>
      <c r="F13405" s="138" t="str">
        <f t="shared" si="1183"/>
        <v/>
      </c>
      <c r="G13405" s="153" t="s">
        <v>51</v>
      </c>
      <c r="H13405" s="160"/>
      <c r="I13405" s="160" t="s">
        <v>47</v>
      </c>
      <c r="J13405" s="160" t="s">
        <v>52</v>
      </c>
      <c r="K13405" s="160" t="s">
        <v>27</v>
      </c>
      <c r="L13405" s="154" t="str">
        <f>IF(OpenLCAbasic!K13405="CTUh", "Fill in Manually",IF(OR(K13405="Unit", K13405=""), "", INDEX(LookUps!$E$5:$E$12, MATCH(OpenLCAbasic!K13405,LookUps!$D$5:$D$12,0))))</f>
        <v/>
      </c>
      <c r="M13405" s="154" t="str">
        <f t="shared" si="1184"/>
        <v>____Process__</v>
      </c>
    </row>
    <row r="13406" spans="1:13" s="120" customFormat="1" x14ac:dyDescent="0.25">
      <c r="A13406" s="119"/>
      <c r="B13406" s="138" t="str">
        <f t="shared" si="1180"/>
        <v>Aerated Static Pile</v>
      </c>
      <c r="C13406" s="138" t="str">
        <f t="shared" si="1181"/>
        <v>Without Amendment</v>
      </c>
      <c r="D13406" s="138" t="str">
        <f t="shared" si="1185"/>
        <v>Medium_High</v>
      </c>
      <c r="E13406" s="138" t="str">
        <f t="shared" si="1182"/>
        <v>Low</v>
      </c>
      <c r="F13406" s="138" t="str">
        <f t="shared" si="1183"/>
        <v>Upgraded</v>
      </c>
      <c r="G13406" s="153"/>
      <c r="H13406" s="210">
        <v>1.0268999999999999</v>
      </c>
      <c r="I13406" s="160" t="s">
        <v>55</v>
      </c>
      <c r="J13406" s="160">
        <v>2.33E-3</v>
      </c>
      <c r="K13406" s="160" t="s">
        <v>145</v>
      </c>
      <c r="L13406" s="154" t="str">
        <f>IF(OpenLCAbasic!K13406="CTUh", "Fill in Manually",IF(OR(K13406="Unit", K13406=""), "", INDEX(LookUps!$E$5:$E$12, MATCH(OpenLCAbasic!K13406,LookUps!$D$5:$D$12,0))))</f>
        <v>Particulate Matter Formation Potential (PMFP) - kg PM2.5 eq</v>
      </c>
      <c r="M13406" s="154" t="str">
        <f t="shared" si="1184"/>
        <v>Low_Medium_High_Upgraded_Particulate Matter Formation Potential (PMFP) - kg PM2.5 eq_Aeration Tanks; wastewater treatment unit; at updated plant - US_Without Amendment_Aerated Static Pile</v>
      </c>
    </row>
    <row r="13407" spans="1:13" s="120" customFormat="1" x14ac:dyDescent="0.25">
      <c r="A13407" s="119"/>
      <c r="B13407" s="138" t="str">
        <f t="shared" si="1180"/>
        <v>Aerated Static Pile</v>
      </c>
      <c r="C13407" s="138" t="str">
        <f t="shared" si="1181"/>
        <v>Without Amendment</v>
      </c>
      <c r="D13407" s="138" t="str">
        <f t="shared" si="1185"/>
        <v>Medium_High</v>
      </c>
      <c r="E13407" s="138" t="str">
        <f t="shared" si="1182"/>
        <v>Low</v>
      </c>
      <c r="F13407" s="138" t="str">
        <f t="shared" si="1183"/>
        <v>Upgraded</v>
      </c>
      <c r="G13407" s="153"/>
      <c r="H13407" s="210">
        <v>0.29880000000000001</v>
      </c>
      <c r="I13407" s="160" t="s">
        <v>54</v>
      </c>
      <c r="J13407" s="160">
        <v>6.8000000000000005E-4</v>
      </c>
      <c r="K13407" s="160" t="s">
        <v>145</v>
      </c>
      <c r="L13407" s="154" t="str">
        <f>IF(OpenLCAbasic!K13407="CTUh", "Fill in Manually",IF(OR(K13407="Unit", K13407=""), "", INDEX(LookUps!$E$5:$E$12, MATCH(OpenLCAbasic!K13407,LookUps!$D$5:$D$12,0))))</f>
        <v>Particulate Matter Formation Potential (PMFP) - kg PM2.5 eq</v>
      </c>
      <c r="M13407" s="154" t="str">
        <f t="shared" si="1184"/>
        <v>Low_Medium_High_Upgraded_Particulate Matter Formation Potential (PMFP) - kg PM2.5 eq_Clear Cove Primary Clarification; wastewater treatment unit; at updated plant - US_Without Amendment_Aerated Static Pile</v>
      </c>
    </row>
    <row r="13408" spans="1:13" s="120" customFormat="1" x14ac:dyDescent="0.25">
      <c r="A13408" s="119"/>
      <c r="B13408" s="138" t="str">
        <f t="shared" si="1180"/>
        <v>Aerated Static Pile</v>
      </c>
      <c r="C13408" s="138" t="str">
        <f t="shared" si="1181"/>
        <v>Without Amendment</v>
      </c>
      <c r="D13408" s="138" t="str">
        <f t="shared" si="1185"/>
        <v>Medium_High</v>
      </c>
      <c r="E13408" s="138" t="str">
        <f t="shared" si="1182"/>
        <v>Low</v>
      </c>
      <c r="F13408" s="138" t="str">
        <f t="shared" si="1183"/>
        <v>Upgraded</v>
      </c>
      <c r="G13408" s="153"/>
      <c r="H13408" s="210">
        <v>0.25900000000000001</v>
      </c>
      <c r="I13408" s="160" t="s">
        <v>58</v>
      </c>
      <c r="J13408" s="160">
        <v>5.9000000000000003E-4</v>
      </c>
      <c r="K13408" s="160" t="s">
        <v>145</v>
      </c>
      <c r="L13408" s="154" t="str">
        <f>IF(OpenLCAbasic!K13408="CTUh", "Fill in Manually",IF(OR(K13408="Unit", K13408=""), "", INDEX(LookUps!$E$5:$E$12, MATCH(OpenLCAbasic!K13408,LookUps!$D$5:$D$12,0))))</f>
        <v>Particulate Matter Formation Potential (PMFP) - kg PM2.5 eq</v>
      </c>
      <c r="M13408" s="154" t="str">
        <f t="shared" si="1184"/>
        <v>Low_Medium_High_Upgraded_Particulate Matter Formation Potential (PMFP) - kg PM2.5 eq_Pre-Anoxic &amp; Swing tank; wastewater treatment unit; at updated plant - US_Without Amendment_Aerated Static Pile</v>
      </c>
    </row>
    <row r="13409" spans="1:13" s="120" customFormat="1" x14ac:dyDescent="0.25">
      <c r="A13409" s="119"/>
      <c r="B13409" s="138" t="str">
        <f t="shared" si="1180"/>
        <v>Aerated Static Pile</v>
      </c>
      <c r="C13409" s="138" t="str">
        <f t="shared" si="1181"/>
        <v>Without Amendment</v>
      </c>
      <c r="D13409" s="138" t="str">
        <f t="shared" si="1185"/>
        <v>Medium_High</v>
      </c>
      <c r="E13409" s="138" t="str">
        <f t="shared" si="1182"/>
        <v>Low</v>
      </c>
      <c r="F13409" s="138" t="str">
        <f t="shared" si="1183"/>
        <v>Upgraded</v>
      </c>
      <c r="G13409" s="153"/>
      <c r="H13409" s="210">
        <v>0.20530000000000001</v>
      </c>
      <c r="I13409" s="160" t="s">
        <v>53</v>
      </c>
      <c r="J13409" s="160">
        <v>4.6999999999999999E-4</v>
      </c>
      <c r="K13409" s="160" t="s">
        <v>145</v>
      </c>
      <c r="L13409" s="154" t="str">
        <f>IF(OpenLCAbasic!K13409="CTUh", "Fill in Manually",IF(OR(K13409="Unit", K13409=""), "", INDEX(LookUps!$E$5:$E$12, MATCH(OpenLCAbasic!K13409,LookUps!$D$5:$D$12,0))))</f>
        <v>Particulate Matter Formation Potential (PMFP) - kg PM2.5 eq</v>
      </c>
      <c r="M13409" s="154" t="str">
        <f t="shared" si="1184"/>
        <v>Low_Medium_High_Upgraded_Particulate Matter Formation Potential (PMFP) - kg PM2.5 eq_Wet Well and Sump Station; wastewater treatment unit; at updated plant - US_Without Amendment_Aerated Static Pile</v>
      </c>
    </row>
    <row r="13410" spans="1:13" s="120" customFormat="1" x14ac:dyDescent="0.25">
      <c r="A13410" s="119"/>
      <c r="B13410" s="138" t="str">
        <f t="shared" si="1180"/>
        <v>Aerated Static Pile</v>
      </c>
      <c r="C13410" s="138" t="str">
        <f t="shared" si="1181"/>
        <v>Without Amendment</v>
      </c>
      <c r="D13410" s="138" t="str">
        <f t="shared" si="1185"/>
        <v>Medium_High</v>
      </c>
      <c r="E13410" s="138" t="str">
        <f t="shared" si="1182"/>
        <v>Low</v>
      </c>
      <c r="F13410" s="138" t="str">
        <f t="shared" si="1183"/>
        <v>Upgraded</v>
      </c>
      <c r="G13410" s="153"/>
      <c r="H13410" s="210">
        <v>0.1384</v>
      </c>
      <c r="I13410" s="160" t="s">
        <v>167</v>
      </c>
      <c r="J13410" s="160">
        <v>3.1E-4</v>
      </c>
      <c r="K13410" s="160" t="s">
        <v>145</v>
      </c>
      <c r="L13410" s="154" t="str">
        <f>IF(OpenLCAbasic!K13410="CTUh", "Fill in Manually",IF(OR(K13410="Unit", K13410=""), "", INDEX(LookUps!$E$5:$E$12, MATCH(OpenLCAbasic!K13410,LookUps!$D$5:$D$12,0))))</f>
        <v>Particulate Matter Formation Potential (PMFP) - kg PM2.5 eq</v>
      </c>
      <c r="M13410" s="154" t="str">
        <f t="shared" si="1184"/>
        <v>Low_Medium_High_Upgraded_Particulate Matter Formation Potential (PMFP) - kg PM2.5 eq_Waste Receiving and Holding; wastewater treatment unit; at updated plant - US_Without Amendment_Aerated Static Pile</v>
      </c>
    </row>
    <row r="13411" spans="1:13" s="120" customFormat="1" x14ac:dyDescent="0.25">
      <c r="A13411" s="119"/>
      <c r="B13411" s="138" t="str">
        <f t="shared" si="1180"/>
        <v>Aerated Static Pile</v>
      </c>
      <c r="C13411" s="138" t="str">
        <f t="shared" si="1181"/>
        <v>Without Amendment</v>
      </c>
      <c r="D13411" s="138" t="str">
        <f t="shared" si="1185"/>
        <v>Medium_High</v>
      </c>
      <c r="E13411" s="138" t="str">
        <f t="shared" si="1182"/>
        <v>Low</v>
      </c>
      <c r="F13411" s="138" t="str">
        <f t="shared" si="1183"/>
        <v>Upgraded</v>
      </c>
      <c r="G13411" s="153"/>
      <c r="H13411" s="210">
        <v>0.13170000000000001</v>
      </c>
      <c r="I13411" s="160" t="s">
        <v>435</v>
      </c>
      <c r="J13411" s="160">
        <v>2.9999999999999997E-4</v>
      </c>
      <c r="K13411" s="160" t="s">
        <v>145</v>
      </c>
      <c r="L13411" s="154" t="str">
        <f>IF(OpenLCAbasic!K13411="CTUh", "Fill in Manually",IF(OR(K13411="Unit", K13411=""), "", INDEX(LookUps!$E$5:$E$12, MATCH(OpenLCAbasic!K13411,LookUps!$D$5:$D$12,0))))</f>
        <v>Particulate Matter Formation Potential (PMFP) - kg PM2.5 eq</v>
      </c>
      <c r="M13411" s="154" t="str">
        <f t="shared" si="1184"/>
        <v>Low_Medium_High_Upgraded_Particulate Matter Formation Potential (PMFP) - kg PM2.5 eq_Biosolids composting; aerated static pile; wastewater treatment unit; at updated plant - US_Without Amendment_Aerated Static Pile</v>
      </c>
    </row>
    <row r="13412" spans="1:13" s="120" customFormat="1" x14ac:dyDescent="0.25">
      <c r="A13412" s="119"/>
      <c r="B13412" s="138" t="str">
        <f t="shared" si="1180"/>
        <v>Aerated Static Pile</v>
      </c>
      <c r="C13412" s="138" t="str">
        <f t="shared" si="1181"/>
        <v>Without Amendment</v>
      </c>
      <c r="D13412" s="138" t="str">
        <f t="shared" si="1185"/>
        <v>Medium_High</v>
      </c>
      <c r="E13412" s="138" t="str">
        <f t="shared" si="1182"/>
        <v>Low</v>
      </c>
      <c r="F13412" s="138" t="str">
        <f t="shared" si="1183"/>
        <v>Upgraded</v>
      </c>
      <c r="G13412" s="153"/>
      <c r="H13412" s="210">
        <v>0.1174</v>
      </c>
      <c r="I13412" s="160" t="s">
        <v>147</v>
      </c>
      <c r="J13412" s="160">
        <v>2.7E-4</v>
      </c>
      <c r="K13412" s="160" t="s">
        <v>145</v>
      </c>
      <c r="L13412" s="154" t="str">
        <f>IF(OpenLCAbasic!K13412="CTUh", "Fill in Manually",IF(OR(K13412="Unit", K13412=""), "", INDEX(LookUps!$E$5:$E$12, MATCH(OpenLCAbasic!K13412,LookUps!$D$5:$D$12,0))))</f>
        <v>Particulate Matter Formation Potential (PMFP) - kg PM2.5 eq</v>
      </c>
      <c r="M13412" s="154" t="str">
        <f t="shared" si="1184"/>
        <v>Low_Medium_High_Upgraded_Particulate Matter Formation Potential (PMFP) - kg PM2.5 eq_Influent Pump Station; wastewater treatment unit; at updated plant - US_Without Amendment_Aerated Static Pile</v>
      </c>
    </row>
    <row r="13413" spans="1:13" s="120" customFormat="1" x14ac:dyDescent="0.25">
      <c r="A13413" s="119"/>
      <c r="B13413" s="138" t="str">
        <f t="shared" si="1180"/>
        <v>Aerated Static Pile</v>
      </c>
      <c r="C13413" s="138" t="str">
        <f t="shared" si="1181"/>
        <v>Without Amendment</v>
      </c>
      <c r="D13413" s="138" t="str">
        <f t="shared" si="1185"/>
        <v>Medium_High</v>
      </c>
      <c r="E13413" s="138" t="str">
        <f t="shared" si="1182"/>
        <v>Low</v>
      </c>
      <c r="F13413" s="138" t="str">
        <f t="shared" si="1183"/>
        <v>Upgraded</v>
      </c>
      <c r="G13413" s="153"/>
      <c r="H13413" s="210">
        <v>7.3200000000000001E-2</v>
      </c>
      <c r="I13413" s="160" t="s">
        <v>128</v>
      </c>
      <c r="J13413" s="160">
        <v>1.7000000000000001E-4</v>
      </c>
      <c r="K13413" s="160" t="s">
        <v>145</v>
      </c>
      <c r="L13413" s="154" t="str">
        <f>IF(OpenLCAbasic!K13413="CTUh", "Fill in Manually",IF(OR(K13413="Unit", K13413=""), "", INDEX(LookUps!$E$5:$E$12, MATCH(OpenLCAbasic!K13413,LookUps!$D$5:$D$12,0))))</f>
        <v>Particulate Matter Formation Potential (PMFP) - kg PM2.5 eq</v>
      </c>
      <c r="M13413" s="154" t="str">
        <f t="shared" si="1184"/>
        <v>Low_Medium_High_Upgraded_Particulate Matter Formation Potential (PMFP) - kg PM2.5 eq_Wastewater collection; operation and infrastructure; m3 wastewater_Without Amendment_Aerated Static Pile</v>
      </c>
    </row>
    <row r="13414" spans="1:13" s="120" customFormat="1" x14ac:dyDescent="0.25">
      <c r="A13414" s="119"/>
      <c r="B13414" s="138" t="str">
        <f t="shared" si="1180"/>
        <v>Aerated Static Pile</v>
      </c>
      <c r="C13414" s="138" t="str">
        <f t="shared" si="1181"/>
        <v>Without Amendment</v>
      </c>
      <c r="D13414" s="138" t="str">
        <f t="shared" si="1185"/>
        <v>Medium_High</v>
      </c>
      <c r="E13414" s="138" t="str">
        <f t="shared" si="1182"/>
        <v>Low</v>
      </c>
      <c r="F13414" s="138" t="str">
        <f t="shared" si="1183"/>
        <v>Upgraded</v>
      </c>
      <c r="G13414" s="153"/>
      <c r="H13414" s="210">
        <v>6.0699999999999997E-2</v>
      </c>
      <c r="I13414" s="160" t="s">
        <v>60</v>
      </c>
      <c r="J13414" s="160">
        <v>1.3999999999999999E-4</v>
      </c>
      <c r="K13414" s="160" t="s">
        <v>145</v>
      </c>
      <c r="L13414" s="154" t="str">
        <f>IF(OpenLCAbasic!K13414="CTUh", "Fill in Manually",IF(OR(K13414="Unit", K13414=""), "", INDEX(LookUps!$E$5:$E$12, MATCH(OpenLCAbasic!K13414,LookUps!$D$5:$D$12,0))))</f>
        <v>Particulate Matter Formation Potential (PMFP) - kg PM2.5 eq</v>
      </c>
      <c r="M13414" s="154" t="str">
        <f t="shared" si="1184"/>
        <v>Low_Medium_High_Upgraded_Particulate Matter Formation Potential (PMFP) - kg PM2.5 eq_Belt filter press; wastewater treatment unit; at updated plant - US_Without Amendment_Aerated Static Pile</v>
      </c>
    </row>
    <row r="13415" spans="1:13" s="120" customFormat="1" x14ac:dyDescent="0.25">
      <c r="A13415" s="119"/>
      <c r="B13415" s="138" t="str">
        <f t="shared" si="1180"/>
        <v>Aerated Static Pile</v>
      </c>
      <c r="C13415" s="138" t="str">
        <f t="shared" si="1181"/>
        <v>Without Amendment</v>
      </c>
      <c r="D13415" s="138" t="str">
        <f t="shared" si="1185"/>
        <v>Medium_High</v>
      </c>
      <c r="E13415" s="138" t="str">
        <f t="shared" si="1182"/>
        <v>Low</v>
      </c>
      <c r="F13415" s="138" t="str">
        <f t="shared" si="1183"/>
        <v>Upgraded</v>
      </c>
      <c r="G13415" s="153"/>
      <c r="H13415" s="210">
        <v>4.19E-2</v>
      </c>
      <c r="I13415" s="160" t="s">
        <v>57</v>
      </c>
      <c r="J13415" s="211">
        <v>9.5153800000000004E-5</v>
      </c>
      <c r="K13415" s="160" t="s">
        <v>145</v>
      </c>
      <c r="L13415" s="154" t="str">
        <f>IF(OpenLCAbasic!K13415="CTUh", "Fill in Manually",IF(OR(K13415="Unit", K13415=""), "", INDEX(LookUps!$E$5:$E$12, MATCH(OpenLCAbasic!K13415,LookUps!$D$5:$D$12,0))))</f>
        <v>Particulate Matter Formation Potential (PMFP) - kg PM2.5 eq</v>
      </c>
      <c r="M13415" s="154" t="str">
        <f t="shared" si="1184"/>
        <v>Low_Medium_High_Upgraded_Particulate Matter Formation Potential (PMFP) - kg PM2.5 eq_Gravity Belt Thickener; wastewater treatment unit; at updated plant - US_Without Amendment_Aerated Static Pile</v>
      </c>
    </row>
    <row r="13416" spans="1:13" s="120" customFormat="1" x14ac:dyDescent="0.25">
      <c r="A13416" s="119"/>
      <c r="B13416" s="138" t="str">
        <f t="shared" si="1180"/>
        <v>Aerated Static Pile</v>
      </c>
      <c r="C13416" s="138" t="str">
        <f t="shared" si="1181"/>
        <v>Without Amendment</v>
      </c>
      <c r="D13416" s="138" t="str">
        <f t="shared" si="1185"/>
        <v>Medium_High</v>
      </c>
      <c r="E13416" s="138" t="str">
        <f t="shared" si="1182"/>
        <v>Low</v>
      </c>
      <c r="F13416" s="138" t="str">
        <f t="shared" si="1183"/>
        <v>Upgraded</v>
      </c>
      <c r="G13416" s="153"/>
      <c r="H13416" s="210">
        <v>3.0800000000000001E-2</v>
      </c>
      <c r="I13416" s="160" t="s">
        <v>59</v>
      </c>
      <c r="J13416" s="211">
        <v>6.9942200000000003E-5</v>
      </c>
      <c r="K13416" s="160" t="s">
        <v>145</v>
      </c>
      <c r="L13416" s="154" t="str">
        <f>IF(OpenLCAbasic!K13416="CTUh", "Fill in Manually",IF(OR(K13416="Unit", K13416=""), "", INDEX(LookUps!$E$5:$E$12, MATCH(OpenLCAbasic!K13416,LookUps!$D$5:$D$12,0))))</f>
        <v>Particulate Matter Formation Potential (PMFP) - kg PM2.5 eq</v>
      </c>
      <c r="M13416" s="154" t="str">
        <f t="shared" si="1184"/>
        <v>Low_Medium_High_Upgraded_Particulate Matter Formation Potential (PMFP) - kg PM2.5 eq_Blend Tank; wastewater treatment unit; at updated plant - US_Without Amendment_Aerated Static Pile</v>
      </c>
    </row>
    <row r="13417" spans="1:13" s="120" customFormat="1" x14ac:dyDescent="0.25">
      <c r="A13417" s="119"/>
      <c r="B13417" s="138" t="str">
        <f t="shared" ref="B13417:B13480" si="1186">IF(F13417="Legacy","n.a.",IF(F13417="","","Aerated Static Pile"))</f>
        <v>Aerated Static Pile</v>
      </c>
      <c r="C13417" s="138" t="str">
        <f t="shared" ref="C13417:C13480" si="1187">IF(ISNUMBER($J13417),"Without Amendment","")</f>
        <v>Without Amendment</v>
      </c>
      <c r="D13417" s="138" t="str">
        <f t="shared" si="1185"/>
        <v>Medium_High</v>
      </c>
      <c r="E13417" s="138" t="str">
        <f t="shared" ref="E13417:E13480" si="1188">IF(ISNUMBER($J13417),"Low","")</f>
        <v>Low</v>
      </c>
      <c r="F13417" s="138" t="str">
        <f t="shared" ref="F13417:F13480" si="1189">IF(ISNUMBER(J13417),"Upgraded","")</f>
        <v>Upgraded</v>
      </c>
      <c r="G13417" s="153"/>
      <c r="H13417" s="210">
        <v>2.1999999999999999E-2</v>
      </c>
      <c r="I13417" s="160" t="s">
        <v>48</v>
      </c>
      <c r="J13417" s="211">
        <v>4.99741E-5</v>
      </c>
      <c r="K13417" s="160" t="s">
        <v>145</v>
      </c>
      <c r="L13417" s="154" t="str">
        <f>IF(OpenLCAbasic!K13417="CTUh", "Fill in Manually",IF(OR(K13417="Unit", K13417=""), "", INDEX(LookUps!$E$5:$E$12, MATCH(OpenLCAbasic!K13417,LookUps!$D$5:$D$12,0))))</f>
        <v>Particulate Matter Formation Potential (PMFP) - kg PM2.5 eq</v>
      </c>
      <c r="M13417" s="154" t="str">
        <f t="shared" si="1184"/>
        <v>Low_Medium_High_Upgraded_Particulate Matter Formation Potential (PMFP) - kg PM2.5 eq_Effluent release; wastewater treatment unit; at surface water; m3 wastewater - US_Without Amendment_Aerated Static Pile</v>
      </c>
    </row>
    <row r="13418" spans="1:13" s="120" customFormat="1" x14ac:dyDescent="0.25">
      <c r="A13418" s="119"/>
      <c r="B13418" s="138" t="str">
        <f t="shared" si="1186"/>
        <v>Aerated Static Pile</v>
      </c>
      <c r="C13418" s="138" t="str">
        <f t="shared" si="1187"/>
        <v>Without Amendment</v>
      </c>
      <c r="D13418" s="138" t="str">
        <f t="shared" si="1185"/>
        <v>Medium_High</v>
      </c>
      <c r="E13418" s="138" t="str">
        <f t="shared" si="1188"/>
        <v>Low</v>
      </c>
      <c r="F13418" s="138" t="str">
        <f t="shared" si="1189"/>
        <v>Upgraded</v>
      </c>
      <c r="G13418" s="153"/>
      <c r="H13418" s="210">
        <v>2.0400000000000001E-2</v>
      </c>
      <c r="I13418" s="160" t="s">
        <v>62</v>
      </c>
      <c r="J13418" s="211">
        <v>4.6309300000000001E-5</v>
      </c>
      <c r="K13418" s="160" t="s">
        <v>145</v>
      </c>
      <c r="L13418" s="154" t="str">
        <f>IF(OpenLCAbasic!K13418="CTUh", "Fill in Manually",IF(OR(K13418="Unit", K13418=""), "", INDEX(LookUps!$E$5:$E$12, MATCH(OpenLCAbasic!K13418,LookUps!$D$5:$D$12,0))))</f>
        <v>Particulate Matter Formation Potential (PMFP) - kg PM2.5 eq</v>
      </c>
      <c r="M13418" s="154" t="str">
        <f t="shared" si="1184"/>
        <v>Low_Medium_High_Upgraded_Particulate Matter Formation Potential (PMFP) - kg PM2.5 eq_Land application of compost; wastewater treatment unit; at updated plant - US_Without Amendment_Aerated Static Pile</v>
      </c>
    </row>
    <row r="13419" spans="1:13" s="120" customFormat="1" x14ac:dyDescent="0.25">
      <c r="A13419" s="119"/>
      <c r="B13419" s="138" t="str">
        <f t="shared" si="1186"/>
        <v>Aerated Static Pile</v>
      </c>
      <c r="C13419" s="138" t="str">
        <f t="shared" si="1187"/>
        <v>Without Amendment</v>
      </c>
      <c r="D13419" s="138" t="str">
        <f t="shared" si="1185"/>
        <v>Medium_High</v>
      </c>
      <c r="E13419" s="138" t="str">
        <f t="shared" si="1188"/>
        <v>Low</v>
      </c>
      <c r="F13419" s="138" t="str">
        <f t="shared" si="1189"/>
        <v>Upgraded</v>
      </c>
      <c r="G13419" s="153"/>
      <c r="H13419" s="210">
        <v>1.52E-2</v>
      </c>
      <c r="I13419" s="160" t="s">
        <v>168</v>
      </c>
      <c r="J13419" s="211">
        <v>3.4562199999999999E-5</v>
      </c>
      <c r="K13419" s="160" t="s">
        <v>145</v>
      </c>
      <c r="L13419" s="154" t="str">
        <f>IF(OpenLCAbasic!K13419="CTUh", "Fill in Manually",IF(OR(K13419="Unit", K13419=""), "", INDEX(LookUps!$E$5:$E$12, MATCH(OpenLCAbasic!K13419,LookUps!$D$5:$D$12,0))))</f>
        <v>Particulate Matter Formation Potential (PMFP) - kg PM2.5 eq</v>
      </c>
      <c r="M13419" s="154" t="str">
        <f t="shared" si="1184"/>
        <v>Low_Medium_High_Upgraded_Particulate Matter Formation Potential (PMFP) - kg PM2.5 eq_ClearCove SCP; wastewater treatment unit; at updated plant - US_Without Amendment_Aerated Static Pile</v>
      </c>
    </row>
    <row r="13420" spans="1:13" s="120" customFormat="1" x14ac:dyDescent="0.25">
      <c r="A13420" s="119"/>
      <c r="B13420" s="138" t="str">
        <f t="shared" si="1186"/>
        <v>Aerated Static Pile</v>
      </c>
      <c r="C13420" s="138" t="str">
        <f t="shared" si="1187"/>
        <v>Without Amendment</v>
      </c>
      <c r="D13420" s="138" t="str">
        <f t="shared" si="1185"/>
        <v>Medium_High</v>
      </c>
      <c r="E13420" s="138" t="str">
        <f t="shared" si="1188"/>
        <v>Low</v>
      </c>
      <c r="F13420" s="138" t="str">
        <f t="shared" si="1189"/>
        <v>Upgraded</v>
      </c>
      <c r="G13420" s="153"/>
      <c r="H13420" s="210">
        <v>3.8999999999999998E-3</v>
      </c>
      <c r="I13420" s="160" t="s">
        <v>148</v>
      </c>
      <c r="J13420" s="211">
        <v>8.8212999999999997E-6</v>
      </c>
      <c r="K13420" s="160" t="s">
        <v>145</v>
      </c>
      <c r="L13420" s="154" t="str">
        <f>IF(OpenLCAbasic!K13420="CTUh", "Fill in Manually",IF(OR(K13420="Unit", K13420=""), "", INDEX(LookUps!$E$5:$E$12, MATCH(OpenLCAbasic!K13420,LookUps!$D$5:$D$12,0))))</f>
        <v>Particulate Matter Formation Potential (PMFP) - kg PM2.5 eq</v>
      </c>
      <c r="M13420" s="154" t="str">
        <f t="shared" si="1184"/>
        <v>Low_Medium_High_Upgraded_Particulate Matter Formation Potential (PMFP) - kg PM2.5 eq_Control Building; at upgraded wastewater treatment plant - US_Without Amendment_Aerated Static Pile</v>
      </c>
    </row>
    <row r="13421" spans="1:13" s="120" customFormat="1" x14ac:dyDescent="0.25">
      <c r="A13421" s="119"/>
      <c r="B13421" s="138" t="str">
        <f t="shared" si="1186"/>
        <v>Aerated Static Pile</v>
      </c>
      <c r="C13421" s="138" t="str">
        <f t="shared" si="1187"/>
        <v>Without Amendment</v>
      </c>
      <c r="D13421" s="138" t="str">
        <f t="shared" si="1185"/>
        <v>Medium_High</v>
      </c>
      <c r="E13421" s="138" t="str">
        <f t="shared" si="1188"/>
        <v>Low</v>
      </c>
      <c r="F13421" s="138" t="str">
        <f t="shared" si="1189"/>
        <v>Upgraded</v>
      </c>
      <c r="G13421" s="153"/>
      <c r="H13421" s="210">
        <v>-3.4456000000000002</v>
      </c>
      <c r="I13421" s="160" t="s">
        <v>149</v>
      </c>
      <c r="J13421" s="160">
        <v>-7.8300000000000002E-3</v>
      </c>
      <c r="K13421" s="160" t="s">
        <v>145</v>
      </c>
      <c r="L13421" s="154" t="str">
        <f>IF(OpenLCAbasic!K13421="CTUh", "Fill in Manually",IF(OR(K13421="Unit", K13421=""), "", INDEX(LookUps!$E$5:$E$12, MATCH(OpenLCAbasic!K13421,LookUps!$D$5:$D$12,0))))</f>
        <v>Particulate Matter Formation Potential (PMFP) - kg PM2.5 eq</v>
      </c>
      <c r="M13421" s="154" t="str">
        <f t="shared" si="1184"/>
        <v>Low_Medium_High_Upgraded_Particulate Matter Formation Potential (PMFP) - kg PM2.5 eq_Anaerobic Digestion; wastewater treatment unit; at updated plant - US_Without Amendment_Aerated Static Pile</v>
      </c>
    </row>
    <row r="13422" spans="1:13" s="120" customFormat="1" x14ac:dyDescent="0.25">
      <c r="A13422" s="119"/>
      <c r="B13422" s="138" t="str">
        <f t="shared" si="1186"/>
        <v/>
      </c>
      <c r="C13422" s="138" t="str">
        <f t="shared" si="1187"/>
        <v/>
      </c>
      <c r="D13422" s="138" t="str">
        <f t="shared" si="1185"/>
        <v/>
      </c>
      <c r="E13422" s="138" t="str">
        <f t="shared" si="1188"/>
        <v/>
      </c>
      <c r="F13422" s="138" t="str">
        <f t="shared" si="1189"/>
        <v/>
      </c>
      <c r="G13422" s="153" t="s">
        <v>51</v>
      </c>
      <c r="H13422" s="160"/>
      <c r="I13422" s="160" t="s">
        <v>47</v>
      </c>
      <c r="J13422" s="160" t="s">
        <v>52</v>
      </c>
      <c r="K13422" s="160" t="s">
        <v>27</v>
      </c>
      <c r="L13422" s="154" t="str">
        <f>IF(OpenLCAbasic!K13422="CTUh", "Fill in Manually",IF(OR(K13422="Unit", K13422=""), "", INDEX(LookUps!$E$5:$E$12, MATCH(OpenLCAbasic!K13422,LookUps!$D$5:$D$12,0))))</f>
        <v/>
      </c>
      <c r="M13422" s="154" t="str">
        <f t="shared" si="1184"/>
        <v>____Process__</v>
      </c>
    </row>
    <row r="13423" spans="1:13" s="120" customFormat="1" x14ac:dyDescent="0.25">
      <c r="A13423" s="119"/>
      <c r="B13423" s="138" t="str">
        <f t="shared" si="1186"/>
        <v>Aerated Static Pile</v>
      </c>
      <c r="C13423" s="138" t="str">
        <f t="shared" si="1187"/>
        <v>Without Amendment</v>
      </c>
      <c r="D13423" s="138" t="str">
        <f t="shared" si="1185"/>
        <v>Medium_High</v>
      </c>
      <c r="E13423" s="138" t="str">
        <f t="shared" si="1188"/>
        <v>Low</v>
      </c>
      <c r="F13423" s="138" t="str">
        <f t="shared" si="1189"/>
        <v>Upgraded</v>
      </c>
      <c r="G13423" s="153"/>
      <c r="H13423" s="210">
        <v>1.0346</v>
      </c>
      <c r="I13423" s="160" t="s">
        <v>55</v>
      </c>
      <c r="J13423" s="160">
        <v>0.16577</v>
      </c>
      <c r="K13423" s="160" t="s">
        <v>25</v>
      </c>
      <c r="L13423" s="154" t="str">
        <f>IF(OpenLCAbasic!K13423="CTUh", "Fill in Manually",IF(OR(K13423="Unit", K13423=""), "", INDEX(LookUps!$E$5:$E$12, MATCH(OpenLCAbasic!K13423,LookUps!$D$5:$D$12,0))))</f>
        <v>Smog Formation Potential (SFP) - kg O3 eq</v>
      </c>
      <c r="M13423" s="154" t="str">
        <f t="shared" si="1184"/>
        <v>Low_Medium_High_Upgraded_Smog Formation Potential (SFP) - kg O3 eq_Aeration Tanks; wastewater treatment unit; at updated plant - US_Without Amendment_Aerated Static Pile</v>
      </c>
    </row>
    <row r="13424" spans="1:13" s="120" customFormat="1" x14ac:dyDescent="0.25">
      <c r="A13424" s="119"/>
      <c r="B13424" s="138" t="str">
        <f t="shared" si="1186"/>
        <v>Aerated Static Pile</v>
      </c>
      <c r="C13424" s="138" t="str">
        <f t="shared" si="1187"/>
        <v>Without Amendment</v>
      </c>
      <c r="D13424" s="138" t="str">
        <f t="shared" si="1185"/>
        <v>Medium_High</v>
      </c>
      <c r="E13424" s="138" t="str">
        <f t="shared" si="1188"/>
        <v>Low</v>
      </c>
      <c r="F13424" s="138" t="str">
        <f t="shared" si="1189"/>
        <v>Upgraded</v>
      </c>
      <c r="G13424" s="153"/>
      <c r="H13424" s="210">
        <v>0.3</v>
      </c>
      <c r="I13424" s="160" t="s">
        <v>54</v>
      </c>
      <c r="J13424" s="160">
        <v>4.8070000000000002E-2</v>
      </c>
      <c r="K13424" s="160" t="s">
        <v>25</v>
      </c>
      <c r="L13424" s="154" t="str">
        <f>IF(OpenLCAbasic!K13424="CTUh", "Fill in Manually",IF(OR(K13424="Unit", K13424=""), "", INDEX(LookUps!$E$5:$E$12, MATCH(OpenLCAbasic!K13424,LookUps!$D$5:$D$12,0))))</f>
        <v>Smog Formation Potential (SFP) - kg O3 eq</v>
      </c>
      <c r="M13424" s="154" t="str">
        <f t="shared" si="1184"/>
        <v>Low_Medium_High_Upgraded_Smog Formation Potential (SFP) - kg O3 eq_Clear Cove Primary Clarification; wastewater treatment unit; at updated plant - US_Without Amendment_Aerated Static Pile</v>
      </c>
    </row>
    <row r="13425" spans="1:13" s="120" customFormat="1" x14ac:dyDescent="0.25">
      <c r="A13425" s="119"/>
      <c r="B13425" s="138" t="str">
        <f t="shared" si="1186"/>
        <v>Aerated Static Pile</v>
      </c>
      <c r="C13425" s="138" t="str">
        <f t="shared" si="1187"/>
        <v>Without Amendment</v>
      </c>
      <c r="D13425" s="138" t="str">
        <f t="shared" si="1185"/>
        <v>Medium_High</v>
      </c>
      <c r="E13425" s="138" t="str">
        <f t="shared" si="1188"/>
        <v>Low</v>
      </c>
      <c r="F13425" s="138" t="str">
        <f t="shared" si="1189"/>
        <v>Upgraded</v>
      </c>
      <c r="G13425" s="153"/>
      <c r="H13425" s="210">
        <v>0.2616</v>
      </c>
      <c r="I13425" s="160" t="s">
        <v>58</v>
      </c>
      <c r="J13425" s="160">
        <v>4.1919999999999999E-2</v>
      </c>
      <c r="K13425" s="160" t="s">
        <v>25</v>
      </c>
      <c r="L13425" s="154" t="str">
        <f>IF(OpenLCAbasic!K13425="CTUh", "Fill in Manually",IF(OR(K13425="Unit", K13425=""), "", INDEX(LookUps!$E$5:$E$12, MATCH(OpenLCAbasic!K13425,LookUps!$D$5:$D$12,0))))</f>
        <v>Smog Formation Potential (SFP) - kg O3 eq</v>
      </c>
      <c r="M13425" s="154" t="str">
        <f t="shared" si="1184"/>
        <v>Low_Medium_High_Upgraded_Smog Formation Potential (SFP) - kg O3 eq_Pre-Anoxic &amp; Swing tank; wastewater treatment unit; at updated plant - US_Without Amendment_Aerated Static Pile</v>
      </c>
    </row>
    <row r="13426" spans="1:13" s="120" customFormat="1" x14ac:dyDescent="0.25">
      <c r="A13426" s="119"/>
      <c r="B13426" s="138" t="str">
        <f t="shared" si="1186"/>
        <v>Aerated Static Pile</v>
      </c>
      <c r="C13426" s="138" t="str">
        <f t="shared" si="1187"/>
        <v>Without Amendment</v>
      </c>
      <c r="D13426" s="138" t="str">
        <f t="shared" si="1185"/>
        <v>Medium_High</v>
      </c>
      <c r="E13426" s="138" t="str">
        <f t="shared" si="1188"/>
        <v>Low</v>
      </c>
      <c r="F13426" s="138" t="str">
        <f t="shared" si="1189"/>
        <v>Upgraded</v>
      </c>
      <c r="G13426" s="153"/>
      <c r="H13426" s="210">
        <v>0.20669999999999999</v>
      </c>
      <c r="I13426" s="160" t="s">
        <v>53</v>
      </c>
      <c r="J13426" s="160">
        <v>3.313E-2</v>
      </c>
      <c r="K13426" s="160" t="s">
        <v>25</v>
      </c>
      <c r="L13426" s="154" t="str">
        <f>IF(OpenLCAbasic!K13426="CTUh", "Fill in Manually",IF(OR(K13426="Unit", K13426=""), "", INDEX(LookUps!$E$5:$E$12, MATCH(OpenLCAbasic!K13426,LookUps!$D$5:$D$12,0))))</f>
        <v>Smog Formation Potential (SFP) - kg O3 eq</v>
      </c>
      <c r="M13426" s="154" t="str">
        <f t="shared" si="1184"/>
        <v>Low_Medium_High_Upgraded_Smog Formation Potential (SFP) - kg O3 eq_Wet Well and Sump Station; wastewater treatment unit; at updated plant - US_Without Amendment_Aerated Static Pile</v>
      </c>
    </row>
    <row r="13427" spans="1:13" s="120" customFormat="1" x14ac:dyDescent="0.25">
      <c r="A13427" s="119"/>
      <c r="B13427" s="138" t="str">
        <f t="shared" si="1186"/>
        <v>Aerated Static Pile</v>
      </c>
      <c r="C13427" s="138" t="str">
        <f t="shared" si="1187"/>
        <v>Without Amendment</v>
      </c>
      <c r="D13427" s="138" t="str">
        <f t="shared" si="1185"/>
        <v>Medium_High</v>
      </c>
      <c r="E13427" s="138" t="str">
        <f t="shared" si="1188"/>
        <v>Low</v>
      </c>
      <c r="F13427" s="138" t="str">
        <f t="shared" si="1189"/>
        <v>Upgraded</v>
      </c>
      <c r="G13427" s="153"/>
      <c r="H13427" s="210">
        <v>0.19170000000000001</v>
      </c>
      <c r="I13427" s="160" t="s">
        <v>167</v>
      </c>
      <c r="J13427" s="160">
        <v>3.0710000000000001E-2</v>
      </c>
      <c r="K13427" s="160" t="s">
        <v>25</v>
      </c>
      <c r="L13427" s="154" t="str">
        <f>IF(OpenLCAbasic!K13427="CTUh", "Fill in Manually",IF(OR(K13427="Unit", K13427=""), "", INDEX(LookUps!$E$5:$E$12, MATCH(OpenLCAbasic!K13427,LookUps!$D$5:$D$12,0))))</f>
        <v>Smog Formation Potential (SFP) - kg O3 eq</v>
      </c>
      <c r="M13427" s="154" t="str">
        <f t="shared" si="1184"/>
        <v>Low_Medium_High_Upgraded_Smog Formation Potential (SFP) - kg O3 eq_Waste Receiving and Holding; wastewater treatment unit; at updated plant - US_Without Amendment_Aerated Static Pile</v>
      </c>
    </row>
    <row r="13428" spans="1:13" s="120" customFormat="1" x14ac:dyDescent="0.25">
      <c r="A13428" s="119"/>
      <c r="B13428" s="138" t="str">
        <f t="shared" si="1186"/>
        <v>Aerated Static Pile</v>
      </c>
      <c r="C13428" s="138" t="str">
        <f t="shared" si="1187"/>
        <v>Without Amendment</v>
      </c>
      <c r="D13428" s="138" t="str">
        <f t="shared" si="1185"/>
        <v>Medium_High</v>
      </c>
      <c r="E13428" s="138" t="str">
        <f t="shared" si="1188"/>
        <v>Low</v>
      </c>
      <c r="F13428" s="138" t="str">
        <f t="shared" si="1189"/>
        <v>Upgraded</v>
      </c>
      <c r="G13428" s="153"/>
      <c r="H13428" s="210">
        <v>0.13250000000000001</v>
      </c>
      <c r="I13428" s="160" t="s">
        <v>435</v>
      </c>
      <c r="J13428" s="160">
        <v>2.1229999999999999E-2</v>
      </c>
      <c r="K13428" s="160" t="s">
        <v>25</v>
      </c>
      <c r="L13428" s="154" t="str">
        <f>IF(OpenLCAbasic!K13428="CTUh", "Fill in Manually",IF(OR(K13428="Unit", K13428=""), "", INDEX(LookUps!$E$5:$E$12, MATCH(OpenLCAbasic!K13428,LookUps!$D$5:$D$12,0))))</f>
        <v>Smog Formation Potential (SFP) - kg O3 eq</v>
      </c>
      <c r="M13428" s="154" t="str">
        <f t="shared" si="1184"/>
        <v>Low_Medium_High_Upgraded_Smog Formation Potential (SFP) - kg O3 eq_Biosolids composting; aerated static pile; wastewater treatment unit; at updated plant - US_Without Amendment_Aerated Static Pile</v>
      </c>
    </row>
    <row r="13429" spans="1:13" s="120" customFormat="1" x14ac:dyDescent="0.25">
      <c r="A13429" s="119"/>
      <c r="B13429" s="138" t="str">
        <f t="shared" si="1186"/>
        <v>Aerated Static Pile</v>
      </c>
      <c r="C13429" s="138" t="str">
        <f t="shared" si="1187"/>
        <v>Without Amendment</v>
      </c>
      <c r="D13429" s="138" t="str">
        <f t="shared" si="1185"/>
        <v>Medium_High</v>
      </c>
      <c r="E13429" s="138" t="str">
        <f t="shared" si="1188"/>
        <v>Low</v>
      </c>
      <c r="F13429" s="138" t="str">
        <f t="shared" si="1189"/>
        <v>Upgraded</v>
      </c>
      <c r="G13429" s="153"/>
      <c r="H13429" s="210">
        <v>0.1211</v>
      </c>
      <c r="I13429" s="160" t="s">
        <v>147</v>
      </c>
      <c r="J13429" s="160">
        <v>1.9400000000000001E-2</v>
      </c>
      <c r="K13429" s="160" t="s">
        <v>25</v>
      </c>
      <c r="L13429" s="154" t="str">
        <f>IF(OpenLCAbasic!K13429="CTUh", "Fill in Manually",IF(OR(K13429="Unit", K13429=""), "", INDEX(LookUps!$E$5:$E$12, MATCH(OpenLCAbasic!K13429,LookUps!$D$5:$D$12,0))))</f>
        <v>Smog Formation Potential (SFP) - kg O3 eq</v>
      </c>
      <c r="M13429" s="154" t="str">
        <f t="shared" si="1184"/>
        <v>Low_Medium_High_Upgraded_Smog Formation Potential (SFP) - kg O3 eq_Influent Pump Station; wastewater treatment unit; at updated plant - US_Without Amendment_Aerated Static Pile</v>
      </c>
    </row>
    <row r="13430" spans="1:13" s="120" customFormat="1" x14ac:dyDescent="0.25">
      <c r="A13430" s="119"/>
      <c r="B13430" s="138" t="str">
        <f t="shared" si="1186"/>
        <v>Aerated Static Pile</v>
      </c>
      <c r="C13430" s="138" t="str">
        <f t="shared" si="1187"/>
        <v>Without Amendment</v>
      </c>
      <c r="D13430" s="138" t="str">
        <f t="shared" si="1185"/>
        <v>Medium_High</v>
      </c>
      <c r="E13430" s="138" t="str">
        <f t="shared" si="1188"/>
        <v>Low</v>
      </c>
      <c r="F13430" s="138" t="str">
        <f t="shared" si="1189"/>
        <v>Upgraded</v>
      </c>
      <c r="G13430" s="153"/>
      <c r="H13430" s="210">
        <v>7.4399999999999994E-2</v>
      </c>
      <c r="I13430" s="160" t="s">
        <v>128</v>
      </c>
      <c r="J13430" s="160">
        <v>1.192E-2</v>
      </c>
      <c r="K13430" s="160" t="s">
        <v>25</v>
      </c>
      <c r="L13430" s="154" t="str">
        <f>IF(OpenLCAbasic!K13430="CTUh", "Fill in Manually",IF(OR(K13430="Unit", K13430=""), "", INDEX(LookUps!$E$5:$E$12, MATCH(OpenLCAbasic!K13430,LookUps!$D$5:$D$12,0))))</f>
        <v>Smog Formation Potential (SFP) - kg O3 eq</v>
      </c>
      <c r="M13430" s="154" t="str">
        <f t="shared" si="1184"/>
        <v>Low_Medium_High_Upgraded_Smog Formation Potential (SFP) - kg O3 eq_Wastewater collection; operation and infrastructure; m3 wastewater_Without Amendment_Aerated Static Pile</v>
      </c>
    </row>
    <row r="13431" spans="1:13" s="120" customFormat="1" x14ac:dyDescent="0.25">
      <c r="A13431" s="119"/>
      <c r="B13431" s="138" t="str">
        <f t="shared" si="1186"/>
        <v>Aerated Static Pile</v>
      </c>
      <c r="C13431" s="138" t="str">
        <f t="shared" si="1187"/>
        <v>Without Amendment</v>
      </c>
      <c r="D13431" s="138" t="str">
        <f t="shared" si="1185"/>
        <v>Medium_High</v>
      </c>
      <c r="E13431" s="138" t="str">
        <f t="shared" si="1188"/>
        <v>Low</v>
      </c>
      <c r="F13431" s="138" t="str">
        <f t="shared" si="1189"/>
        <v>Upgraded</v>
      </c>
      <c r="G13431" s="153"/>
      <c r="H13431" s="210">
        <v>6.0600000000000001E-2</v>
      </c>
      <c r="I13431" s="160" t="s">
        <v>60</v>
      </c>
      <c r="J13431" s="160">
        <v>9.7099999999999999E-3</v>
      </c>
      <c r="K13431" s="160" t="s">
        <v>25</v>
      </c>
      <c r="L13431" s="154" t="str">
        <f>IF(OpenLCAbasic!K13431="CTUh", "Fill in Manually",IF(OR(K13431="Unit", K13431=""), "", INDEX(LookUps!$E$5:$E$12, MATCH(OpenLCAbasic!K13431,LookUps!$D$5:$D$12,0))))</f>
        <v>Smog Formation Potential (SFP) - kg O3 eq</v>
      </c>
      <c r="M13431" s="154" t="str">
        <f t="shared" si="1184"/>
        <v>Low_Medium_High_Upgraded_Smog Formation Potential (SFP) - kg O3 eq_Belt filter press; wastewater treatment unit; at updated plant - US_Without Amendment_Aerated Static Pile</v>
      </c>
    </row>
    <row r="13432" spans="1:13" s="120" customFormat="1" x14ac:dyDescent="0.25">
      <c r="A13432" s="119"/>
      <c r="B13432" s="138" t="str">
        <f t="shared" si="1186"/>
        <v>Aerated Static Pile</v>
      </c>
      <c r="C13432" s="138" t="str">
        <f t="shared" si="1187"/>
        <v>Without Amendment</v>
      </c>
      <c r="D13432" s="138" t="str">
        <f t="shared" si="1185"/>
        <v>Medium_High</v>
      </c>
      <c r="E13432" s="138" t="str">
        <f t="shared" si="1188"/>
        <v>Low</v>
      </c>
      <c r="F13432" s="138" t="str">
        <f t="shared" si="1189"/>
        <v>Upgraded</v>
      </c>
      <c r="G13432" s="153"/>
      <c r="H13432" s="210">
        <v>4.1500000000000002E-2</v>
      </c>
      <c r="I13432" s="160" t="s">
        <v>57</v>
      </c>
      <c r="J13432" s="160">
        <v>6.6499999999999997E-3</v>
      </c>
      <c r="K13432" s="160" t="s">
        <v>25</v>
      </c>
      <c r="L13432" s="154" t="str">
        <f>IF(OpenLCAbasic!K13432="CTUh", "Fill in Manually",IF(OR(K13432="Unit", K13432=""), "", INDEX(LookUps!$E$5:$E$12, MATCH(OpenLCAbasic!K13432,LookUps!$D$5:$D$12,0))))</f>
        <v>Smog Formation Potential (SFP) - kg O3 eq</v>
      </c>
      <c r="M13432" s="154" t="str">
        <f t="shared" si="1184"/>
        <v>Low_Medium_High_Upgraded_Smog Formation Potential (SFP) - kg O3 eq_Gravity Belt Thickener; wastewater treatment unit; at updated plant - US_Without Amendment_Aerated Static Pile</v>
      </c>
    </row>
    <row r="13433" spans="1:13" s="120" customFormat="1" x14ac:dyDescent="0.25">
      <c r="A13433" s="119"/>
      <c r="B13433" s="138" t="str">
        <f t="shared" si="1186"/>
        <v>Aerated Static Pile</v>
      </c>
      <c r="C13433" s="138" t="str">
        <f t="shared" si="1187"/>
        <v>Without Amendment</v>
      </c>
      <c r="D13433" s="138" t="str">
        <f t="shared" si="1185"/>
        <v>Medium_High</v>
      </c>
      <c r="E13433" s="138" t="str">
        <f t="shared" si="1188"/>
        <v>Low</v>
      </c>
      <c r="F13433" s="138" t="str">
        <f t="shared" si="1189"/>
        <v>Upgraded</v>
      </c>
      <c r="G13433" s="153"/>
      <c r="H13433" s="210">
        <v>3.1E-2</v>
      </c>
      <c r="I13433" s="160" t="s">
        <v>59</v>
      </c>
      <c r="J13433" s="160">
        <v>4.9699999999999996E-3</v>
      </c>
      <c r="K13433" s="160" t="s">
        <v>25</v>
      </c>
      <c r="L13433" s="154" t="str">
        <f>IF(OpenLCAbasic!K13433="CTUh", "Fill in Manually",IF(OR(K13433="Unit", K13433=""), "", INDEX(LookUps!$E$5:$E$12, MATCH(OpenLCAbasic!K13433,LookUps!$D$5:$D$12,0))))</f>
        <v>Smog Formation Potential (SFP) - kg O3 eq</v>
      </c>
      <c r="M13433" s="154" t="str">
        <f t="shared" si="1184"/>
        <v>Low_Medium_High_Upgraded_Smog Formation Potential (SFP) - kg O3 eq_Blend Tank; wastewater treatment unit; at updated plant - US_Without Amendment_Aerated Static Pile</v>
      </c>
    </row>
    <row r="13434" spans="1:13" s="120" customFormat="1" x14ac:dyDescent="0.25">
      <c r="A13434" s="119"/>
      <c r="B13434" s="138" t="str">
        <f t="shared" si="1186"/>
        <v>Aerated Static Pile</v>
      </c>
      <c r="C13434" s="138" t="str">
        <f t="shared" si="1187"/>
        <v>Without Amendment</v>
      </c>
      <c r="D13434" s="138" t="str">
        <f t="shared" si="1185"/>
        <v>Medium_High</v>
      </c>
      <c r="E13434" s="138" t="str">
        <f t="shared" si="1188"/>
        <v>Low</v>
      </c>
      <c r="F13434" s="138" t="str">
        <f t="shared" si="1189"/>
        <v>Upgraded</v>
      </c>
      <c r="G13434" s="153"/>
      <c r="H13434" s="210">
        <v>2.1100000000000001E-2</v>
      </c>
      <c r="I13434" s="160" t="s">
        <v>48</v>
      </c>
      <c r="J13434" s="160">
        <v>3.3899999999999998E-3</v>
      </c>
      <c r="K13434" s="160" t="s">
        <v>25</v>
      </c>
      <c r="L13434" s="154" t="str">
        <f>IF(OpenLCAbasic!K13434="CTUh", "Fill in Manually",IF(OR(K13434="Unit", K13434=""), "", INDEX(LookUps!$E$5:$E$12, MATCH(OpenLCAbasic!K13434,LookUps!$D$5:$D$12,0))))</f>
        <v>Smog Formation Potential (SFP) - kg O3 eq</v>
      </c>
      <c r="M13434" s="154" t="str">
        <f t="shared" si="1184"/>
        <v>Low_Medium_High_Upgraded_Smog Formation Potential (SFP) - kg O3 eq_Effluent release; wastewater treatment unit; at surface water; m3 wastewater - US_Without Amendment_Aerated Static Pile</v>
      </c>
    </row>
    <row r="13435" spans="1:13" s="120" customFormat="1" x14ac:dyDescent="0.25">
      <c r="A13435" s="119"/>
      <c r="B13435" s="138" t="str">
        <f t="shared" si="1186"/>
        <v>Aerated Static Pile</v>
      </c>
      <c r="C13435" s="138" t="str">
        <f t="shared" si="1187"/>
        <v>Without Amendment</v>
      </c>
      <c r="D13435" s="138" t="str">
        <f t="shared" si="1185"/>
        <v>Medium_High</v>
      </c>
      <c r="E13435" s="138" t="str">
        <f t="shared" si="1188"/>
        <v>Low</v>
      </c>
      <c r="F13435" s="138" t="str">
        <f t="shared" si="1189"/>
        <v>Upgraded</v>
      </c>
      <c r="G13435" s="153"/>
      <c r="H13435" s="210">
        <v>1.5299999999999999E-2</v>
      </c>
      <c r="I13435" s="160" t="s">
        <v>168</v>
      </c>
      <c r="J13435" s="160">
        <v>2.4599999999999999E-3</v>
      </c>
      <c r="K13435" s="160" t="s">
        <v>25</v>
      </c>
      <c r="L13435" s="154" t="str">
        <f>IF(OpenLCAbasic!K13435="CTUh", "Fill in Manually",IF(OR(K13435="Unit", K13435=""), "", INDEX(LookUps!$E$5:$E$12, MATCH(OpenLCAbasic!K13435,LookUps!$D$5:$D$12,0))))</f>
        <v>Smog Formation Potential (SFP) - kg O3 eq</v>
      </c>
      <c r="M13435" s="154" t="str">
        <f t="shared" si="1184"/>
        <v>Low_Medium_High_Upgraded_Smog Formation Potential (SFP) - kg O3 eq_ClearCove SCP; wastewater treatment unit; at updated plant - US_Without Amendment_Aerated Static Pile</v>
      </c>
    </row>
    <row r="13436" spans="1:13" s="120" customFormat="1" x14ac:dyDescent="0.25">
      <c r="A13436" s="119"/>
      <c r="B13436" s="138" t="str">
        <f t="shared" si="1186"/>
        <v>Aerated Static Pile</v>
      </c>
      <c r="C13436" s="138" t="str">
        <f t="shared" si="1187"/>
        <v>Without Amendment</v>
      </c>
      <c r="D13436" s="138" t="str">
        <f t="shared" si="1185"/>
        <v>Medium_High</v>
      </c>
      <c r="E13436" s="138" t="str">
        <f t="shared" si="1188"/>
        <v>Low</v>
      </c>
      <c r="F13436" s="138" t="str">
        <f t="shared" si="1189"/>
        <v>Upgraded</v>
      </c>
      <c r="G13436" s="153"/>
      <c r="H13436" s="210">
        <v>3.3999999999999998E-3</v>
      </c>
      <c r="I13436" s="160" t="s">
        <v>148</v>
      </c>
      <c r="J13436" s="160">
        <v>5.4000000000000001E-4</v>
      </c>
      <c r="K13436" s="160" t="s">
        <v>25</v>
      </c>
      <c r="L13436" s="154" t="str">
        <f>IF(OpenLCAbasic!K13436="CTUh", "Fill in Manually",IF(OR(K13436="Unit", K13436=""), "", INDEX(LookUps!$E$5:$E$12, MATCH(OpenLCAbasic!K13436,LookUps!$D$5:$D$12,0))))</f>
        <v>Smog Formation Potential (SFP) - kg O3 eq</v>
      </c>
      <c r="M13436" s="154" t="str">
        <f t="shared" si="1184"/>
        <v>Low_Medium_High_Upgraded_Smog Formation Potential (SFP) - kg O3 eq_Control Building; at upgraded wastewater treatment plant - US_Without Amendment_Aerated Static Pile</v>
      </c>
    </row>
    <row r="13437" spans="1:13" s="120" customFormat="1" x14ac:dyDescent="0.25">
      <c r="A13437" s="119"/>
      <c r="B13437" s="138" t="str">
        <f t="shared" si="1186"/>
        <v>Aerated Static Pile</v>
      </c>
      <c r="C13437" s="138" t="str">
        <f t="shared" si="1187"/>
        <v>Without Amendment</v>
      </c>
      <c r="D13437" s="138" t="str">
        <f t="shared" si="1185"/>
        <v>Medium_High</v>
      </c>
      <c r="E13437" s="138" t="str">
        <f t="shared" si="1188"/>
        <v>Low</v>
      </c>
      <c r="F13437" s="138" t="str">
        <f t="shared" si="1189"/>
        <v>Upgraded</v>
      </c>
      <c r="G13437" s="153"/>
      <c r="H13437" s="210">
        <v>-1.49E-2</v>
      </c>
      <c r="I13437" s="160" t="s">
        <v>62</v>
      </c>
      <c r="J13437" s="160">
        <v>-2.3800000000000002E-3</v>
      </c>
      <c r="K13437" s="160" t="s">
        <v>25</v>
      </c>
      <c r="L13437" s="154" t="str">
        <f>IF(OpenLCAbasic!K13437="CTUh", "Fill in Manually",IF(OR(K13437="Unit", K13437=""), "", INDEX(LookUps!$E$5:$E$12, MATCH(OpenLCAbasic!K13437,LookUps!$D$5:$D$12,0))))</f>
        <v>Smog Formation Potential (SFP) - kg O3 eq</v>
      </c>
      <c r="M13437" s="154" t="str">
        <f t="shared" si="1184"/>
        <v>Low_Medium_High_Upgraded_Smog Formation Potential (SFP) - kg O3 eq_Land application of compost; wastewater treatment unit; at updated plant - US_Without Amendment_Aerated Static Pile</v>
      </c>
    </row>
    <row r="13438" spans="1:13" s="120" customFormat="1" x14ac:dyDescent="0.25">
      <c r="A13438" s="119"/>
      <c r="B13438" s="138" t="str">
        <f t="shared" si="1186"/>
        <v>Aerated Static Pile</v>
      </c>
      <c r="C13438" s="138" t="str">
        <f t="shared" si="1187"/>
        <v>Without Amendment</v>
      </c>
      <c r="D13438" s="138" t="str">
        <f t="shared" si="1185"/>
        <v>Medium_High</v>
      </c>
      <c r="E13438" s="138" t="str">
        <f t="shared" si="1188"/>
        <v>Low</v>
      </c>
      <c r="F13438" s="138" t="str">
        <f t="shared" si="1189"/>
        <v>Upgraded</v>
      </c>
      <c r="G13438" s="153"/>
      <c r="H13438" s="210">
        <v>-3.4807000000000001</v>
      </c>
      <c r="I13438" s="160" t="s">
        <v>149</v>
      </c>
      <c r="J13438" s="160">
        <v>-0.55771000000000004</v>
      </c>
      <c r="K13438" s="160" t="s">
        <v>25</v>
      </c>
      <c r="L13438" s="154" t="str">
        <f>IF(OpenLCAbasic!K13438="CTUh", "Fill in Manually",IF(OR(K13438="Unit", K13438=""), "", INDEX(LookUps!$E$5:$E$12, MATCH(OpenLCAbasic!K13438,LookUps!$D$5:$D$12,0))))</f>
        <v>Smog Formation Potential (SFP) - kg O3 eq</v>
      </c>
      <c r="M13438" s="154" t="str">
        <f t="shared" si="1184"/>
        <v>Low_Medium_High_Upgraded_Smog Formation Potential (SFP) - kg O3 eq_Anaerobic Digestion; wastewater treatment unit; at updated plant - US_Without Amendment_Aerated Static Pile</v>
      </c>
    </row>
    <row r="13439" spans="1:13" s="120" customFormat="1" x14ac:dyDescent="0.25">
      <c r="A13439" s="119"/>
      <c r="B13439" s="138" t="str">
        <f t="shared" si="1186"/>
        <v/>
      </c>
      <c r="C13439" s="138" t="str">
        <f t="shared" si="1187"/>
        <v/>
      </c>
      <c r="D13439" s="138" t="str">
        <f t="shared" si="1185"/>
        <v/>
      </c>
      <c r="E13439" s="138" t="str">
        <f t="shared" si="1188"/>
        <v/>
      </c>
      <c r="F13439" s="138" t="str">
        <f t="shared" si="1189"/>
        <v/>
      </c>
      <c r="G13439" s="153" t="s">
        <v>51</v>
      </c>
      <c r="H13439" s="160"/>
      <c r="I13439" s="160" t="s">
        <v>47</v>
      </c>
      <c r="J13439" s="160" t="s">
        <v>52</v>
      </c>
      <c r="K13439" s="160" t="s">
        <v>27</v>
      </c>
      <c r="L13439" s="154" t="str">
        <f>IF(OpenLCAbasic!K13439="CTUh", "Fill in Manually",IF(OR(K13439="Unit", K13439=""), "", INDEX(LookUps!$E$5:$E$12, MATCH(OpenLCAbasic!K13439,LookUps!$D$5:$D$12,0))))</f>
        <v/>
      </c>
      <c r="M13439" s="154" t="str">
        <f t="shared" si="1184"/>
        <v>____Process__</v>
      </c>
    </row>
    <row r="13440" spans="1:13" s="120" customFormat="1" x14ac:dyDescent="0.25">
      <c r="A13440" s="119"/>
      <c r="B13440" s="138" t="str">
        <f t="shared" si="1186"/>
        <v>Aerated Static Pile</v>
      </c>
      <c r="C13440" s="138" t="str">
        <f t="shared" si="1187"/>
        <v>Without Amendment</v>
      </c>
      <c r="D13440" s="138" t="str">
        <f t="shared" si="1185"/>
        <v>Medium_High</v>
      </c>
      <c r="E13440" s="138" t="str">
        <f t="shared" si="1188"/>
        <v>Low</v>
      </c>
      <c r="F13440" s="138" t="str">
        <f t="shared" si="1189"/>
        <v>Upgraded</v>
      </c>
      <c r="G13440" s="153"/>
      <c r="H13440" s="210">
        <v>3.5198</v>
      </c>
      <c r="I13440" s="160" t="s">
        <v>167</v>
      </c>
      <c r="J13440" s="160">
        <v>2.7999999999999998E-4</v>
      </c>
      <c r="K13440" s="160" t="s">
        <v>26</v>
      </c>
      <c r="L13440" s="154" t="str">
        <f>IF(OpenLCAbasic!K13440="CTUh", "Fill in Manually",IF(OR(K13440="Unit", K13440=""), "", INDEX(LookUps!$E$5:$E$12, MATCH(OpenLCAbasic!K13440,LookUps!$D$5:$D$12,0))))</f>
        <v>Water Use (WU) - m3 H2O</v>
      </c>
      <c r="M13440" s="154" t="str">
        <f t="shared" si="1184"/>
        <v>Low_Medium_High_Upgraded_Water Use (WU) - m3 H2O_Waste Receiving and Holding; wastewater treatment unit; at updated plant - US_Without Amendment_Aerated Static Pile</v>
      </c>
    </row>
    <row r="13441" spans="1:13" s="120" customFormat="1" x14ac:dyDescent="0.25">
      <c r="A13441" s="119"/>
      <c r="B13441" s="138" t="str">
        <f t="shared" si="1186"/>
        <v>Aerated Static Pile</v>
      </c>
      <c r="C13441" s="138" t="str">
        <f t="shared" si="1187"/>
        <v>Without Amendment</v>
      </c>
      <c r="D13441" s="138" t="str">
        <f t="shared" si="1185"/>
        <v>Medium_High</v>
      </c>
      <c r="E13441" s="138" t="str">
        <f t="shared" si="1188"/>
        <v>Low</v>
      </c>
      <c r="F13441" s="138" t="str">
        <f t="shared" si="1189"/>
        <v>Upgraded</v>
      </c>
      <c r="G13441" s="153"/>
      <c r="H13441" s="210">
        <v>2.2976000000000001</v>
      </c>
      <c r="I13441" s="160" t="s">
        <v>147</v>
      </c>
      <c r="J13441" s="160">
        <v>1.8000000000000001E-4</v>
      </c>
      <c r="K13441" s="160" t="s">
        <v>26</v>
      </c>
      <c r="L13441" s="154" t="str">
        <f>IF(OpenLCAbasic!K13441="CTUh", "Fill in Manually",IF(OR(K13441="Unit", K13441=""), "", INDEX(LookUps!$E$5:$E$12, MATCH(OpenLCAbasic!K13441,LookUps!$D$5:$D$12,0))))</f>
        <v>Water Use (WU) - m3 H2O</v>
      </c>
      <c r="M13441" s="154" t="str">
        <f t="shared" si="1184"/>
        <v>Low_Medium_High_Upgraded_Water Use (WU) - m3 H2O_Influent Pump Station; wastewater treatment unit; at updated plant - US_Without Amendment_Aerated Static Pile</v>
      </c>
    </row>
    <row r="13442" spans="1:13" s="120" customFormat="1" x14ac:dyDescent="0.25">
      <c r="A13442" s="119"/>
      <c r="B13442" s="138" t="str">
        <f t="shared" si="1186"/>
        <v>Aerated Static Pile</v>
      </c>
      <c r="C13442" s="138" t="str">
        <f t="shared" si="1187"/>
        <v>Without Amendment</v>
      </c>
      <c r="D13442" s="138" t="str">
        <f t="shared" si="1185"/>
        <v>Medium_High</v>
      </c>
      <c r="E13442" s="138" t="str">
        <f t="shared" si="1188"/>
        <v>Low</v>
      </c>
      <c r="F13442" s="138" t="str">
        <f t="shared" si="1189"/>
        <v>Upgraded</v>
      </c>
      <c r="G13442" s="153"/>
      <c r="H13442" s="210">
        <v>2.2418</v>
      </c>
      <c r="I13442" s="160" t="s">
        <v>54</v>
      </c>
      <c r="J13442" s="160">
        <v>1.8000000000000001E-4</v>
      </c>
      <c r="K13442" s="160" t="s">
        <v>26</v>
      </c>
      <c r="L13442" s="154" t="str">
        <f>IF(OpenLCAbasic!K13442="CTUh", "Fill in Manually",IF(OR(K13442="Unit", K13442=""), "", INDEX(LookUps!$E$5:$E$12, MATCH(OpenLCAbasic!K13442,LookUps!$D$5:$D$12,0))))</f>
        <v>Water Use (WU) - m3 H2O</v>
      </c>
      <c r="M13442" s="154" t="str">
        <f t="shared" si="1184"/>
        <v>Low_Medium_High_Upgraded_Water Use (WU) - m3 H2O_Clear Cove Primary Clarification; wastewater treatment unit; at updated plant - US_Without Amendment_Aerated Static Pile</v>
      </c>
    </row>
    <row r="13443" spans="1:13" s="120" customFormat="1" x14ac:dyDescent="0.25">
      <c r="A13443" s="119"/>
      <c r="B13443" s="138" t="str">
        <f t="shared" si="1186"/>
        <v>Aerated Static Pile</v>
      </c>
      <c r="C13443" s="138" t="str">
        <f t="shared" si="1187"/>
        <v>Without Amendment</v>
      </c>
      <c r="D13443" s="138" t="str">
        <f t="shared" si="1185"/>
        <v>Medium_High</v>
      </c>
      <c r="E13443" s="138" t="str">
        <f t="shared" si="1188"/>
        <v>Low</v>
      </c>
      <c r="F13443" s="138" t="str">
        <f t="shared" si="1189"/>
        <v>Upgraded</v>
      </c>
      <c r="G13443" s="153"/>
      <c r="H13443" s="210">
        <v>2.0337000000000001</v>
      </c>
      <c r="I13443" s="160" t="s">
        <v>55</v>
      </c>
      <c r="J13443" s="160">
        <v>1.6000000000000001E-4</v>
      </c>
      <c r="K13443" s="160" t="s">
        <v>26</v>
      </c>
      <c r="L13443" s="154" t="str">
        <f>IF(OpenLCAbasic!K13443="CTUh", "Fill in Manually",IF(OR(K13443="Unit", K13443=""), "", INDEX(LookUps!$E$5:$E$12, MATCH(OpenLCAbasic!K13443,LookUps!$D$5:$D$12,0))))</f>
        <v>Water Use (WU) - m3 H2O</v>
      </c>
      <c r="M13443" s="154" t="str">
        <f t="shared" si="1184"/>
        <v>Low_Medium_High_Upgraded_Water Use (WU) - m3 H2O_Aeration Tanks; wastewater treatment unit; at updated plant - US_Without Amendment_Aerated Static Pile</v>
      </c>
    </row>
    <row r="13444" spans="1:13" s="120" customFormat="1" x14ac:dyDescent="0.25">
      <c r="A13444" s="119"/>
      <c r="B13444" s="138" t="str">
        <f t="shared" si="1186"/>
        <v>Aerated Static Pile</v>
      </c>
      <c r="C13444" s="138" t="str">
        <f t="shared" si="1187"/>
        <v>Without Amendment</v>
      </c>
      <c r="D13444" s="138" t="str">
        <f t="shared" si="1185"/>
        <v>Medium_High</v>
      </c>
      <c r="E13444" s="138" t="str">
        <f t="shared" si="1188"/>
        <v>Low</v>
      </c>
      <c r="F13444" s="138" t="str">
        <f t="shared" si="1189"/>
        <v>Upgraded</v>
      </c>
      <c r="G13444" s="153"/>
      <c r="H13444" s="210">
        <v>1.8525</v>
      </c>
      <c r="I13444" s="160" t="s">
        <v>148</v>
      </c>
      <c r="J13444" s="160">
        <v>1.4999999999999999E-4</v>
      </c>
      <c r="K13444" s="160" t="s">
        <v>26</v>
      </c>
      <c r="L13444" s="154" t="str">
        <f>IF(OpenLCAbasic!K13444="CTUh", "Fill in Manually",IF(OR(K13444="Unit", K13444=""), "", INDEX(LookUps!$E$5:$E$12, MATCH(OpenLCAbasic!K13444,LookUps!$D$5:$D$12,0))))</f>
        <v>Water Use (WU) - m3 H2O</v>
      </c>
      <c r="M13444" s="154" t="str">
        <f t="shared" ref="M13444:M13507" si="1190">CONCATENATE(E13444,"_",D13444,"_",F13444,"_",L13444, "_",I13444,"_", C13444,"_", B13444)</f>
        <v>Low_Medium_High_Upgraded_Water Use (WU) - m3 H2O_Control Building; at upgraded wastewater treatment plant - US_Without Amendment_Aerated Static Pile</v>
      </c>
    </row>
    <row r="13445" spans="1:13" s="120" customFormat="1" x14ac:dyDescent="0.25">
      <c r="A13445" s="119"/>
      <c r="B13445" s="138" t="str">
        <f t="shared" si="1186"/>
        <v>Aerated Static Pile</v>
      </c>
      <c r="C13445" s="138" t="str">
        <f t="shared" si="1187"/>
        <v>Without Amendment</v>
      </c>
      <c r="D13445" s="138" t="str">
        <f t="shared" si="1185"/>
        <v>Medium_High</v>
      </c>
      <c r="E13445" s="138" t="str">
        <f t="shared" si="1188"/>
        <v>Low</v>
      </c>
      <c r="F13445" s="138" t="str">
        <f t="shared" si="1189"/>
        <v>Upgraded</v>
      </c>
      <c r="G13445" s="153"/>
      <c r="H13445" s="210">
        <v>0.86029999999999995</v>
      </c>
      <c r="I13445" s="160" t="s">
        <v>48</v>
      </c>
      <c r="J13445" s="211">
        <v>6.8836400000000004E-5</v>
      </c>
      <c r="K13445" s="160" t="s">
        <v>26</v>
      </c>
      <c r="L13445" s="154" t="str">
        <f>IF(OpenLCAbasic!K13445="CTUh", "Fill in Manually",IF(OR(K13445="Unit", K13445=""), "", INDEX(LookUps!$E$5:$E$12, MATCH(OpenLCAbasic!K13445,LookUps!$D$5:$D$12,0))))</f>
        <v>Water Use (WU) - m3 H2O</v>
      </c>
      <c r="M13445" s="154" t="str">
        <f t="shared" si="1190"/>
        <v>Low_Medium_High_Upgraded_Water Use (WU) - m3 H2O_Effluent release; wastewater treatment unit; at surface water; m3 wastewater - US_Without Amendment_Aerated Static Pile</v>
      </c>
    </row>
    <row r="13446" spans="1:13" s="120" customFormat="1" x14ac:dyDescent="0.25">
      <c r="A13446" s="119"/>
      <c r="B13446" s="138" t="str">
        <f t="shared" si="1186"/>
        <v>Aerated Static Pile</v>
      </c>
      <c r="C13446" s="138" t="str">
        <f t="shared" si="1187"/>
        <v>Without Amendment</v>
      </c>
      <c r="D13446" s="138" t="str">
        <f t="shared" si="1185"/>
        <v>Medium_High</v>
      </c>
      <c r="E13446" s="138" t="str">
        <f t="shared" si="1188"/>
        <v>Low</v>
      </c>
      <c r="F13446" s="138" t="str">
        <f t="shared" si="1189"/>
        <v>Upgraded</v>
      </c>
      <c r="G13446" s="153"/>
      <c r="H13446" s="210">
        <v>0.5403</v>
      </c>
      <c r="I13446" s="160" t="s">
        <v>58</v>
      </c>
      <c r="J13446" s="211">
        <v>4.3235300000000003E-5</v>
      </c>
      <c r="K13446" s="160" t="s">
        <v>26</v>
      </c>
      <c r="L13446" s="154" t="str">
        <f>IF(OpenLCAbasic!K13446="CTUh", "Fill in Manually",IF(OR(K13446="Unit", K13446=""), "", INDEX(LookUps!$E$5:$E$12, MATCH(OpenLCAbasic!K13446,LookUps!$D$5:$D$12,0))))</f>
        <v>Water Use (WU) - m3 H2O</v>
      </c>
      <c r="M13446" s="154" t="str">
        <f t="shared" si="1190"/>
        <v>Low_Medium_High_Upgraded_Water Use (WU) - m3 H2O_Pre-Anoxic &amp; Swing tank; wastewater treatment unit; at updated plant - US_Without Amendment_Aerated Static Pile</v>
      </c>
    </row>
    <row r="13447" spans="1:13" s="120" customFormat="1" x14ac:dyDescent="0.25">
      <c r="A13447" s="119"/>
      <c r="B13447" s="138" t="str">
        <f t="shared" si="1186"/>
        <v>Aerated Static Pile</v>
      </c>
      <c r="C13447" s="138" t="str">
        <f t="shared" si="1187"/>
        <v>Without Amendment</v>
      </c>
      <c r="D13447" s="138" t="str">
        <f t="shared" si="1185"/>
        <v>Medium_High</v>
      </c>
      <c r="E13447" s="138" t="str">
        <f t="shared" si="1188"/>
        <v>Low</v>
      </c>
      <c r="F13447" s="138" t="str">
        <f t="shared" si="1189"/>
        <v>Upgraded</v>
      </c>
      <c r="G13447" s="153"/>
      <c r="H13447" s="210">
        <v>0.38</v>
      </c>
      <c r="I13447" s="160" t="s">
        <v>57</v>
      </c>
      <c r="J13447" s="211">
        <v>3.0408100000000001E-5</v>
      </c>
      <c r="K13447" s="160" t="s">
        <v>26</v>
      </c>
      <c r="L13447" s="154" t="str">
        <f>IF(OpenLCAbasic!K13447="CTUh", "Fill in Manually",IF(OR(K13447="Unit", K13447=""), "", INDEX(LookUps!$E$5:$E$12, MATCH(OpenLCAbasic!K13447,LookUps!$D$5:$D$12,0))))</f>
        <v>Water Use (WU) - m3 H2O</v>
      </c>
      <c r="M13447" s="154" t="str">
        <f t="shared" si="1190"/>
        <v>Low_Medium_High_Upgraded_Water Use (WU) - m3 H2O_Gravity Belt Thickener; wastewater treatment unit; at updated plant - US_Without Amendment_Aerated Static Pile</v>
      </c>
    </row>
    <row r="13448" spans="1:13" s="120" customFormat="1" x14ac:dyDescent="0.25">
      <c r="A13448" s="119"/>
      <c r="B13448" s="138" t="str">
        <f t="shared" si="1186"/>
        <v>Aerated Static Pile</v>
      </c>
      <c r="C13448" s="138" t="str">
        <f t="shared" si="1187"/>
        <v>Without Amendment</v>
      </c>
      <c r="D13448" s="138" t="str">
        <f t="shared" si="1185"/>
        <v>Medium_High</v>
      </c>
      <c r="E13448" s="138" t="str">
        <f t="shared" si="1188"/>
        <v>Low</v>
      </c>
      <c r="F13448" s="138" t="str">
        <f t="shared" si="1189"/>
        <v>Upgraded</v>
      </c>
      <c r="G13448" s="153"/>
      <c r="H13448" s="210">
        <v>0.36230000000000001</v>
      </c>
      <c r="I13448" s="160" t="s">
        <v>60</v>
      </c>
      <c r="J13448" s="211">
        <v>2.8986600000000001E-5</v>
      </c>
      <c r="K13448" s="160" t="s">
        <v>26</v>
      </c>
      <c r="L13448" s="154" t="str">
        <f>IF(OpenLCAbasic!K13448="CTUh", "Fill in Manually",IF(OR(K13448="Unit", K13448=""), "", INDEX(LookUps!$E$5:$E$12, MATCH(OpenLCAbasic!K13448,LookUps!$D$5:$D$12,0))))</f>
        <v>Water Use (WU) - m3 H2O</v>
      </c>
      <c r="M13448" s="154" t="str">
        <f t="shared" si="1190"/>
        <v>Low_Medium_High_Upgraded_Water Use (WU) - m3 H2O_Belt filter press; wastewater treatment unit; at updated plant - US_Without Amendment_Aerated Static Pile</v>
      </c>
    </row>
    <row r="13449" spans="1:13" s="120" customFormat="1" x14ac:dyDescent="0.25">
      <c r="A13449" s="119"/>
      <c r="B13449" s="138" t="str">
        <f t="shared" si="1186"/>
        <v>Aerated Static Pile</v>
      </c>
      <c r="C13449" s="138" t="str">
        <f t="shared" si="1187"/>
        <v>Without Amendment</v>
      </c>
      <c r="D13449" s="138" t="str">
        <f t="shared" ref="D13449:D13455" si="1191">IF(ISNUMBER($J13449),"Medium_High","")</f>
        <v>Medium_High</v>
      </c>
      <c r="E13449" s="138" t="str">
        <f t="shared" si="1188"/>
        <v>Low</v>
      </c>
      <c r="F13449" s="138" t="str">
        <f t="shared" si="1189"/>
        <v>Upgraded</v>
      </c>
      <c r="G13449" s="153"/>
      <c r="H13449" s="210">
        <v>0.21879999999999999</v>
      </c>
      <c r="I13449" s="160" t="s">
        <v>53</v>
      </c>
      <c r="J13449" s="211">
        <v>1.75069E-5</v>
      </c>
      <c r="K13449" s="160" t="s">
        <v>26</v>
      </c>
      <c r="L13449" s="154" t="str">
        <f>IF(OpenLCAbasic!K13449="CTUh", "Fill in Manually",IF(OR(K13449="Unit", K13449=""), "", INDEX(LookUps!$E$5:$E$12, MATCH(OpenLCAbasic!K13449,LookUps!$D$5:$D$12,0))))</f>
        <v>Water Use (WU) - m3 H2O</v>
      </c>
      <c r="M13449" s="154" t="str">
        <f t="shared" si="1190"/>
        <v>Low_Medium_High_Upgraded_Water Use (WU) - m3 H2O_Wet Well and Sump Station; wastewater treatment unit; at updated plant - US_Without Amendment_Aerated Static Pile</v>
      </c>
    </row>
    <row r="13450" spans="1:13" s="120" customFormat="1" x14ac:dyDescent="0.25">
      <c r="A13450" s="119"/>
      <c r="B13450" s="138" t="str">
        <f t="shared" si="1186"/>
        <v>Aerated Static Pile</v>
      </c>
      <c r="C13450" s="138" t="str">
        <f t="shared" si="1187"/>
        <v>Without Amendment</v>
      </c>
      <c r="D13450" s="138" t="str">
        <f t="shared" si="1191"/>
        <v>Medium_High</v>
      </c>
      <c r="E13450" s="138" t="str">
        <f t="shared" si="1188"/>
        <v>Low</v>
      </c>
      <c r="F13450" s="138" t="str">
        <f t="shared" si="1189"/>
        <v>Upgraded</v>
      </c>
      <c r="G13450" s="153"/>
      <c r="H13450" s="210">
        <v>9.9199999999999997E-2</v>
      </c>
      <c r="I13450" s="160" t="s">
        <v>435</v>
      </c>
      <c r="J13450" s="211">
        <v>7.9358499999999996E-6</v>
      </c>
      <c r="K13450" s="160" t="s">
        <v>26</v>
      </c>
      <c r="L13450" s="154" t="str">
        <f>IF(OpenLCAbasic!K13450="CTUh", "Fill in Manually",IF(OR(K13450="Unit", K13450=""), "", INDEX(LookUps!$E$5:$E$12, MATCH(OpenLCAbasic!K13450,LookUps!$D$5:$D$12,0))))</f>
        <v>Water Use (WU) - m3 H2O</v>
      </c>
      <c r="M13450" s="154" t="str">
        <f t="shared" si="1190"/>
        <v>Low_Medium_High_Upgraded_Water Use (WU) - m3 H2O_Biosolids composting; aerated static pile; wastewater treatment unit; at updated plant - US_Without Amendment_Aerated Static Pile</v>
      </c>
    </row>
    <row r="13451" spans="1:13" s="120" customFormat="1" x14ac:dyDescent="0.25">
      <c r="A13451" s="119"/>
      <c r="B13451" s="138" t="str">
        <f t="shared" si="1186"/>
        <v>Aerated Static Pile</v>
      </c>
      <c r="C13451" s="138" t="str">
        <f t="shared" si="1187"/>
        <v>Without Amendment</v>
      </c>
      <c r="D13451" s="138" t="str">
        <f t="shared" si="1191"/>
        <v>Medium_High</v>
      </c>
      <c r="E13451" s="138" t="str">
        <f t="shared" si="1188"/>
        <v>Low</v>
      </c>
      <c r="F13451" s="138" t="str">
        <f t="shared" si="1189"/>
        <v>Upgraded</v>
      </c>
      <c r="G13451" s="153"/>
      <c r="H13451" s="210">
        <v>8.77E-2</v>
      </c>
      <c r="I13451" s="160" t="s">
        <v>59</v>
      </c>
      <c r="J13451" s="211">
        <v>7.0179500000000003E-6</v>
      </c>
      <c r="K13451" s="160" t="s">
        <v>26</v>
      </c>
      <c r="L13451" s="154" t="str">
        <f>IF(OpenLCAbasic!K13451="CTUh", "Fill in Manually",IF(OR(K13451="Unit", K13451=""), "", INDEX(LookUps!$E$5:$E$12, MATCH(OpenLCAbasic!K13451,LookUps!$D$5:$D$12,0))))</f>
        <v>Water Use (WU) - m3 H2O</v>
      </c>
      <c r="M13451" s="154" t="str">
        <f t="shared" si="1190"/>
        <v>Low_Medium_High_Upgraded_Water Use (WU) - m3 H2O_Blend Tank; wastewater treatment unit; at updated plant - US_Without Amendment_Aerated Static Pile</v>
      </c>
    </row>
    <row r="13452" spans="1:13" s="120" customFormat="1" x14ac:dyDescent="0.25">
      <c r="A13452" s="119"/>
      <c r="B13452" s="138" t="str">
        <f t="shared" si="1186"/>
        <v>Aerated Static Pile</v>
      </c>
      <c r="C13452" s="138" t="str">
        <f t="shared" si="1187"/>
        <v>Without Amendment</v>
      </c>
      <c r="D13452" s="138" t="str">
        <f t="shared" si="1191"/>
        <v>Medium_High</v>
      </c>
      <c r="E13452" s="138" t="str">
        <f t="shared" si="1188"/>
        <v>Low</v>
      </c>
      <c r="F13452" s="138" t="str">
        <f t="shared" si="1189"/>
        <v>Upgraded</v>
      </c>
      <c r="G13452" s="153"/>
      <c r="H13452" s="210">
        <v>6.3200000000000006E-2</v>
      </c>
      <c r="I13452" s="160" t="s">
        <v>128</v>
      </c>
      <c r="J13452" s="211">
        <v>5.0608900000000003E-6</v>
      </c>
      <c r="K13452" s="160" t="s">
        <v>26</v>
      </c>
      <c r="L13452" s="154" t="str">
        <f>IF(OpenLCAbasic!K13452="CTUh", "Fill in Manually",IF(OR(K13452="Unit", K13452=""), "", INDEX(LookUps!$E$5:$E$12, MATCH(OpenLCAbasic!K13452,LookUps!$D$5:$D$12,0))))</f>
        <v>Water Use (WU) - m3 H2O</v>
      </c>
      <c r="M13452" s="154" t="str">
        <f t="shared" si="1190"/>
        <v>Low_Medium_High_Upgraded_Water Use (WU) - m3 H2O_Wastewater collection; operation and infrastructure; m3 wastewater_Without Amendment_Aerated Static Pile</v>
      </c>
    </row>
    <row r="13453" spans="1:13" s="120" customFormat="1" x14ac:dyDescent="0.25">
      <c r="A13453" s="119"/>
      <c r="B13453" s="138" t="str">
        <f t="shared" si="1186"/>
        <v>Aerated Static Pile</v>
      </c>
      <c r="C13453" s="138" t="str">
        <f t="shared" si="1187"/>
        <v>Without Amendment</v>
      </c>
      <c r="D13453" s="138" t="str">
        <f t="shared" si="1191"/>
        <v>Medium_High</v>
      </c>
      <c r="E13453" s="138" t="str">
        <f t="shared" si="1188"/>
        <v>Low</v>
      </c>
      <c r="F13453" s="138" t="str">
        <f t="shared" si="1189"/>
        <v>Upgraded</v>
      </c>
      <c r="G13453" s="153"/>
      <c r="H13453" s="210">
        <v>9.5999999999999992E-3</v>
      </c>
      <c r="I13453" s="160" t="s">
        <v>168</v>
      </c>
      <c r="J13453" s="211">
        <v>7.6697000000000004E-7</v>
      </c>
      <c r="K13453" s="160" t="s">
        <v>26</v>
      </c>
      <c r="L13453" s="154" t="str">
        <f>IF(OpenLCAbasic!K13453="CTUh", "Fill in Manually",IF(OR(K13453="Unit", K13453=""), "", INDEX(LookUps!$E$5:$E$12, MATCH(OpenLCAbasic!K13453,LookUps!$D$5:$D$12,0))))</f>
        <v>Water Use (WU) - m3 H2O</v>
      </c>
      <c r="M13453" s="154" t="str">
        <f t="shared" si="1190"/>
        <v>Low_Medium_High_Upgraded_Water Use (WU) - m3 H2O_ClearCove SCP; wastewater treatment unit; at updated plant - US_Without Amendment_Aerated Static Pile</v>
      </c>
    </row>
    <row r="13454" spans="1:13" s="120" customFormat="1" x14ac:dyDescent="0.25">
      <c r="A13454" s="119"/>
      <c r="B13454" s="138" t="str">
        <f t="shared" si="1186"/>
        <v>Aerated Static Pile</v>
      </c>
      <c r="C13454" s="138" t="str">
        <f t="shared" si="1187"/>
        <v>Without Amendment</v>
      </c>
      <c r="D13454" s="138" t="str">
        <f t="shared" si="1191"/>
        <v>Medium_High</v>
      </c>
      <c r="E13454" s="138" t="str">
        <f t="shared" si="1188"/>
        <v>Low</v>
      </c>
      <c r="F13454" s="138" t="str">
        <f t="shared" si="1189"/>
        <v>Upgraded</v>
      </c>
      <c r="G13454" s="153"/>
      <c r="H13454" s="210">
        <v>-1.8946000000000001</v>
      </c>
      <c r="I13454" s="160" t="s">
        <v>149</v>
      </c>
      <c r="J13454" s="160">
        <v>-1.4999999999999999E-4</v>
      </c>
      <c r="K13454" s="160" t="s">
        <v>26</v>
      </c>
      <c r="L13454" s="154" t="str">
        <f>IF(OpenLCAbasic!K13454="CTUh", "Fill in Manually",IF(OR(K13454="Unit", K13454=""), "", INDEX(LookUps!$E$5:$E$12, MATCH(OpenLCAbasic!K13454,LookUps!$D$5:$D$12,0))))</f>
        <v>Water Use (WU) - m3 H2O</v>
      </c>
      <c r="M13454" s="154" t="str">
        <f t="shared" si="1190"/>
        <v>Low_Medium_High_Upgraded_Water Use (WU) - m3 H2O_Anaerobic Digestion; wastewater treatment unit; at updated plant - US_Without Amendment_Aerated Static Pile</v>
      </c>
    </row>
    <row r="13455" spans="1:13" s="120" customFormat="1" x14ac:dyDescent="0.25">
      <c r="A13455" s="119"/>
      <c r="B13455" s="138" t="str">
        <f t="shared" si="1186"/>
        <v>Aerated Static Pile</v>
      </c>
      <c r="C13455" s="138" t="str">
        <f t="shared" si="1187"/>
        <v>Without Amendment</v>
      </c>
      <c r="D13455" s="138" t="str">
        <f t="shared" si="1191"/>
        <v>Medium_High</v>
      </c>
      <c r="E13455" s="138" t="str">
        <f t="shared" si="1188"/>
        <v>Low</v>
      </c>
      <c r="F13455" s="138" t="str">
        <f t="shared" si="1189"/>
        <v>Upgraded</v>
      </c>
      <c r="G13455" s="153"/>
      <c r="H13455" s="210">
        <v>-11.6721</v>
      </c>
      <c r="I13455" s="160" t="s">
        <v>62</v>
      </c>
      <c r="J13455" s="160">
        <v>-9.3000000000000005E-4</v>
      </c>
      <c r="K13455" s="160" t="s">
        <v>26</v>
      </c>
      <c r="L13455" s="154" t="str">
        <f>IF(OpenLCAbasic!K13455="CTUh", "Fill in Manually",IF(OR(K13455="Unit", K13455=""), "", INDEX(LookUps!$E$5:$E$12, MATCH(OpenLCAbasic!K13455,LookUps!$D$5:$D$12,0))))</f>
        <v>Water Use (WU) - m3 H2O</v>
      </c>
      <c r="M13455" s="154" t="str">
        <f t="shared" si="1190"/>
        <v>Low_Medium_High_Upgraded_Water Use (WU) - m3 H2O_Land application of compost; wastewater treatment unit; at updated plant - US_Without Amendment_Aerated Static Pile</v>
      </c>
    </row>
    <row r="13456" spans="1:13" s="120" customFormat="1" x14ac:dyDescent="0.25">
      <c r="A13456" s="119"/>
      <c r="B13456" s="138" t="str">
        <f t="shared" si="1186"/>
        <v/>
      </c>
      <c r="C13456" s="138" t="str">
        <f t="shared" si="1187"/>
        <v/>
      </c>
      <c r="D13456" s="138" t="str">
        <f>IF(ISNUMBER($J13456),"High_Low","")</f>
        <v/>
      </c>
      <c r="E13456" s="138" t="str">
        <f t="shared" si="1188"/>
        <v/>
      </c>
      <c r="F13456" s="138" t="str">
        <f t="shared" si="1189"/>
        <v/>
      </c>
      <c r="G13456" s="153" t="s">
        <v>51</v>
      </c>
      <c r="H13456" s="160"/>
      <c r="I13456" s="160" t="s">
        <v>47</v>
      </c>
      <c r="J13456" s="160" t="s">
        <v>52</v>
      </c>
      <c r="K13456" s="160" t="s">
        <v>27</v>
      </c>
      <c r="L13456" s="154" t="str">
        <f>IF(OpenLCAbasic!K13456="CTUh", "Fill in Manually",IF(OR(K13456="Unit", K13456=""), "", INDEX(LookUps!$E$5:$E$12, MATCH(OpenLCAbasic!K13456,LookUps!$D$5:$D$12,0))))</f>
        <v/>
      </c>
      <c r="M13456" s="154" t="str">
        <f t="shared" si="1190"/>
        <v>____Process__</v>
      </c>
    </row>
    <row r="13457" spans="1:13" s="120" customFormat="1" x14ac:dyDescent="0.25">
      <c r="A13457" s="119"/>
      <c r="B13457" s="138" t="str">
        <f t="shared" si="1186"/>
        <v>Aerated Static Pile</v>
      </c>
      <c r="C13457" s="138" t="str">
        <f t="shared" si="1187"/>
        <v>Without Amendment</v>
      </c>
      <c r="D13457" s="138" t="str">
        <f t="shared" ref="D13457:D13520" si="1192">IF(ISNUMBER($J13457),"High_Low","")</f>
        <v>High_Low</v>
      </c>
      <c r="E13457" s="138" t="str">
        <f t="shared" si="1188"/>
        <v>Low</v>
      </c>
      <c r="F13457" s="138" t="str">
        <f t="shared" si="1189"/>
        <v>Upgraded</v>
      </c>
      <c r="G13457" s="153"/>
      <c r="H13457" s="210">
        <v>0.50309999999999999</v>
      </c>
      <c r="I13457" s="160" t="s">
        <v>55</v>
      </c>
      <c r="J13457" s="160">
        <v>1.7219999999999999E-2</v>
      </c>
      <c r="K13457" s="160" t="s">
        <v>24</v>
      </c>
      <c r="L13457" s="154" t="str">
        <f>IF(OpenLCAbasic!K13457="CTUh", "Fill in Manually",IF(OR(K13457="Unit", K13457=""), "", INDEX(LookUps!$E$5:$E$12, MATCH(OpenLCAbasic!K13457,LookUps!$D$5:$D$12,0))))</f>
        <v>Acidification Potential (AP) - kg SO2 eq</v>
      </c>
      <c r="M13457" s="154" t="str">
        <f t="shared" si="1190"/>
        <v>Low_High_Low_Upgraded_Acidification Potential (AP) - kg SO2 eq_Aeration Tanks; wastewater treatment unit; at updated plant - US_Without Amendment_Aerated Static Pile</v>
      </c>
    </row>
    <row r="13458" spans="1:13" s="120" customFormat="1" x14ac:dyDescent="0.25">
      <c r="A13458" s="119"/>
      <c r="B13458" s="138" t="str">
        <f t="shared" si="1186"/>
        <v>Aerated Static Pile</v>
      </c>
      <c r="C13458" s="138" t="str">
        <f t="shared" si="1187"/>
        <v>Without Amendment</v>
      </c>
      <c r="D13458" s="138" t="str">
        <f t="shared" si="1192"/>
        <v>High_Low</v>
      </c>
      <c r="E13458" s="138" t="str">
        <f t="shared" si="1188"/>
        <v>Low</v>
      </c>
      <c r="F13458" s="138" t="str">
        <f t="shared" si="1189"/>
        <v>Upgraded</v>
      </c>
      <c r="G13458" s="153"/>
      <c r="H13458" s="210">
        <v>0.14549999999999999</v>
      </c>
      <c r="I13458" s="160" t="s">
        <v>54</v>
      </c>
      <c r="J13458" s="160">
        <v>4.9800000000000001E-3</v>
      </c>
      <c r="K13458" s="160" t="s">
        <v>24</v>
      </c>
      <c r="L13458" s="154" t="str">
        <f>IF(OpenLCAbasic!K13458="CTUh", "Fill in Manually",IF(OR(K13458="Unit", K13458=""), "", INDEX(LookUps!$E$5:$E$12, MATCH(OpenLCAbasic!K13458,LookUps!$D$5:$D$12,0))))</f>
        <v>Acidification Potential (AP) - kg SO2 eq</v>
      </c>
      <c r="M13458" s="154" t="str">
        <f t="shared" si="1190"/>
        <v>Low_High_Low_Upgraded_Acidification Potential (AP) - kg SO2 eq_Clear Cove Primary Clarification; wastewater treatment unit; at updated plant - US_Without Amendment_Aerated Static Pile</v>
      </c>
    </row>
    <row r="13459" spans="1:13" s="120" customFormat="1" x14ac:dyDescent="0.25">
      <c r="A13459" s="119"/>
      <c r="B13459" s="138" t="str">
        <f t="shared" si="1186"/>
        <v>Aerated Static Pile</v>
      </c>
      <c r="C13459" s="138" t="str">
        <f t="shared" si="1187"/>
        <v>Without Amendment</v>
      </c>
      <c r="D13459" s="138" t="str">
        <f t="shared" si="1192"/>
        <v>High_Low</v>
      </c>
      <c r="E13459" s="138" t="str">
        <f t="shared" si="1188"/>
        <v>Low</v>
      </c>
      <c r="F13459" s="138" t="str">
        <f t="shared" si="1189"/>
        <v>Upgraded</v>
      </c>
      <c r="G13459" s="153"/>
      <c r="H13459" s="210">
        <v>0.1275</v>
      </c>
      <c r="I13459" s="160" t="s">
        <v>58</v>
      </c>
      <c r="J13459" s="160">
        <v>4.3600000000000002E-3</v>
      </c>
      <c r="K13459" s="160" t="s">
        <v>24</v>
      </c>
      <c r="L13459" s="154" t="str">
        <f>IF(OpenLCAbasic!K13459="CTUh", "Fill in Manually",IF(OR(K13459="Unit", K13459=""), "", INDEX(LookUps!$E$5:$E$12, MATCH(OpenLCAbasic!K13459,LookUps!$D$5:$D$12,0))))</f>
        <v>Acidification Potential (AP) - kg SO2 eq</v>
      </c>
      <c r="M13459" s="154" t="str">
        <f t="shared" si="1190"/>
        <v>Low_High_Low_Upgraded_Acidification Potential (AP) - kg SO2 eq_Pre-Anoxic &amp; Swing tank; wastewater treatment unit; at updated plant - US_Without Amendment_Aerated Static Pile</v>
      </c>
    </row>
    <row r="13460" spans="1:13" s="120" customFormat="1" x14ac:dyDescent="0.25">
      <c r="A13460" s="119"/>
      <c r="B13460" s="138" t="str">
        <f t="shared" si="1186"/>
        <v>Aerated Static Pile</v>
      </c>
      <c r="C13460" s="138" t="str">
        <f t="shared" si="1187"/>
        <v>Without Amendment</v>
      </c>
      <c r="D13460" s="138" t="str">
        <f t="shared" si="1192"/>
        <v>High_Low</v>
      </c>
      <c r="E13460" s="138" t="str">
        <f t="shared" si="1188"/>
        <v>Low</v>
      </c>
      <c r="F13460" s="138" t="str">
        <f t="shared" si="1189"/>
        <v>Upgraded</v>
      </c>
      <c r="G13460" s="153"/>
      <c r="H13460" s="210">
        <v>0.1232</v>
      </c>
      <c r="I13460" s="160" t="s">
        <v>62</v>
      </c>
      <c r="J13460" s="160">
        <v>4.2199999999999998E-3</v>
      </c>
      <c r="K13460" s="160" t="s">
        <v>24</v>
      </c>
      <c r="L13460" s="154" t="str">
        <f>IF(OpenLCAbasic!K13460="CTUh", "Fill in Manually",IF(OR(K13460="Unit", K13460=""), "", INDEX(LookUps!$E$5:$E$12, MATCH(OpenLCAbasic!K13460,LookUps!$D$5:$D$12,0))))</f>
        <v>Acidification Potential (AP) - kg SO2 eq</v>
      </c>
      <c r="M13460" s="154" t="str">
        <f t="shared" si="1190"/>
        <v>Low_High_Low_Upgraded_Acidification Potential (AP) - kg SO2 eq_Land application of compost; wastewater treatment unit; at updated plant - US_Without Amendment_Aerated Static Pile</v>
      </c>
    </row>
    <row r="13461" spans="1:13" s="120" customFormat="1" x14ac:dyDescent="0.25">
      <c r="A13461" s="119"/>
      <c r="B13461" s="138" t="str">
        <f t="shared" si="1186"/>
        <v>Aerated Static Pile</v>
      </c>
      <c r="C13461" s="138" t="str">
        <f t="shared" si="1187"/>
        <v>Without Amendment</v>
      </c>
      <c r="D13461" s="138" t="str">
        <f t="shared" si="1192"/>
        <v>High_Low</v>
      </c>
      <c r="E13461" s="138" t="str">
        <f t="shared" si="1188"/>
        <v>Low</v>
      </c>
      <c r="F13461" s="138" t="str">
        <f t="shared" si="1189"/>
        <v>Upgraded</v>
      </c>
      <c r="G13461" s="153"/>
      <c r="H13461" s="210">
        <v>0.108</v>
      </c>
      <c r="I13461" s="160" t="s">
        <v>435</v>
      </c>
      <c r="J13461" s="160">
        <v>3.6900000000000001E-3</v>
      </c>
      <c r="K13461" s="160" t="s">
        <v>24</v>
      </c>
      <c r="L13461" s="154" t="str">
        <f>IF(OpenLCAbasic!K13461="CTUh", "Fill in Manually",IF(OR(K13461="Unit", K13461=""), "", INDEX(LookUps!$E$5:$E$12, MATCH(OpenLCAbasic!K13461,LookUps!$D$5:$D$12,0))))</f>
        <v>Acidification Potential (AP) - kg SO2 eq</v>
      </c>
      <c r="M13461" s="154" t="str">
        <f t="shared" si="1190"/>
        <v>Low_High_Low_Upgraded_Acidification Potential (AP) - kg SO2 eq_Biosolids composting; aerated static pile; wastewater treatment unit; at updated plant - US_Without Amendment_Aerated Static Pile</v>
      </c>
    </row>
    <row r="13462" spans="1:13" s="120" customFormat="1" x14ac:dyDescent="0.25">
      <c r="A13462" s="119"/>
      <c r="B13462" s="138" t="str">
        <f t="shared" si="1186"/>
        <v>Aerated Static Pile</v>
      </c>
      <c r="C13462" s="138" t="str">
        <f t="shared" si="1187"/>
        <v>Without Amendment</v>
      </c>
      <c r="D13462" s="138" t="str">
        <f t="shared" si="1192"/>
        <v>High_Low</v>
      </c>
      <c r="E13462" s="138" t="str">
        <f t="shared" si="1188"/>
        <v>Low</v>
      </c>
      <c r="F13462" s="138" t="str">
        <f t="shared" si="1189"/>
        <v>Upgraded</v>
      </c>
      <c r="G13462" s="153"/>
      <c r="H13462" s="210">
        <v>0.1008</v>
      </c>
      <c r="I13462" s="160" t="s">
        <v>53</v>
      </c>
      <c r="J13462" s="160">
        <v>3.4499999999999999E-3</v>
      </c>
      <c r="K13462" s="160" t="s">
        <v>24</v>
      </c>
      <c r="L13462" s="154" t="str">
        <f>IF(OpenLCAbasic!K13462="CTUh", "Fill in Manually",IF(OR(K13462="Unit", K13462=""), "", INDEX(LookUps!$E$5:$E$12, MATCH(OpenLCAbasic!K13462,LookUps!$D$5:$D$12,0))))</f>
        <v>Acidification Potential (AP) - kg SO2 eq</v>
      </c>
      <c r="M13462" s="154" t="str">
        <f t="shared" si="1190"/>
        <v>Low_High_Low_Upgraded_Acidification Potential (AP) - kg SO2 eq_Wet Well and Sump Station; wastewater treatment unit; at updated plant - US_Without Amendment_Aerated Static Pile</v>
      </c>
    </row>
    <row r="13463" spans="1:13" s="120" customFormat="1" x14ac:dyDescent="0.25">
      <c r="A13463" s="119"/>
      <c r="B13463" s="138" t="str">
        <f t="shared" si="1186"/>
        <v>Aerated Static Pile</v>
      </c>
      <c r="C13463" s="138" t="str">
        <f t="shared" si="1187"/>
        <v>Without Amendment</v>
      </c>
      <c r="D13463" s="138" t="str">
        <f t="shared" si="1192"/>
        <v>High_Low</v>
      </c>
      <c r="E13463" s="138" t="str">
        <f t="shared" si="1188"/>
        <v>Low</v>
      </c>
      <c r="F13463" s="138" t="str">
        <f t="shared" si="1189"/>
        <v>Upgraded</v>
      </c>
      <c r="G13463" s="153"/>
      <c r="H13463" s="210">
        <v>7.9000000000000001E-2</v>
      </c>
      <c r="I13463" s="160" t="s">
        <v>167</v>
      </c>
      <c r="J13463" s="160">
        <v>2.7000000000000001E-3</v>
      </c>
      <c r="K13463" s="160" t="s">
        <v>24</v>
      </c>
      <c r="L13463" s="154" t="str">
        <f>IF(OpenLCAbasic!K13463="CTUh", "Fill in Manually",IF(OR(K13463="Unit", K13463=""), "", INDEX(LookUps!$E$5:$E$12, MATCH(OpenLCAbasic!K13463,LookUps!$D$5:$D$12,0))))</f>
        <v>Acidification Potential (AP) - kg SO2 eq</v>
      </c>
      <c r="M13463" s="154" t="str">
        <f t="shared" si="1190"/>
        <v>Low_High_Low_Upgraded_Acidification Potential (AP) - kg SO2 eq_Waste Receiving and Holding; wastewater treatment unit; at updated plant - US_Without Amendment_Aerated Static Pile</v>
      </c>
    </row>
    <row r="13464" spans="1:13" s="120" customFormat="1" x14ac:dyDescent="0.25">
      <c r="A13464" s="119"/>
      <c r="B13464" s="138" t="str">
        <f t="shared" si="1186"/>
        <v>Aerated Static Pile</v>
      </c>
      <c r="C13464" s="138" t="str">
        <f t="shared" si="1187"/>
        <v>Without Amendment</v>
      </c>
      <c r="D13464" s="138" t="str">
        <f t="shared" si="1192"/>
        <v>High_Low</v>
      </c>
      <c r="E13464" s="138" t="str">
        <f t="shared" si="1188"/>
        <v>Low</v>
      </c>
      <c r="F13464" s="138" t="str">
        <f t="shared" si="1189"/>
        <v>Upgraded</v>
      </c>
      <c r="G13464" s="153"/>
      <c r="H13464" s="210">
        <v>6.0400000000000002E-2</v>
      </c>
      <c r="I13464" s="160" t="s">
        <v>147</v>
      </c>
      <c r="J13464" s="160">
        <v>2.0699999999999998E-3</v>
      </c>
      <c r="K13464" s="160" t="s">
        <v>24</v>
      </c>
      <c r="L13464" s="154" t="str">
        <f>IF(OpenLCAbasic!K13464="CTUh", "Fill in Manually",IF(OR(K13464="Unit", K13464=""), "", INDEX(LookUps!$E$5:$E$12, MATCH(OpenLCAbasic!K13464,LookUps!$D$5:$D$12,0))))</f>
        <v>Acidification Potential (AP) - kg SO2 eq</v>
      </c>
      <c r="M13464" s="154" t="str">
        <f t="shared" si="1190"/>
        <v>Low_High_Low_Upgraded_Acidification Potential (AP) - kg SO2 eq_Influent Pump Station; wastewater treatment unit; at updated plant - US_Without Amendment_Aerated Static Pile</v>
      </c>
    </row>
    <row r="13465" spans="1:13" s="120" customFormat="1" x14ac:dyDescent="0.25">
      <c r="A13465" s="119"/>
      <c r="B13465" s="138" t="str">
        <f t="shared" si="1186"/>
        <v>Aerated Static Pile</v>
      </c>
      <c r="C13465" s="138" t="str">
        <f t="shared" si="1187"/>
        <v>Without Amendment</v>
      </c>
      <c r="D13465" s="138" t="str">
        <f t="shared" si="1192"/>
        <v>High_Low</v>
      </c>
      <c r="E13465" s="138" t="str">
        <f t="shared" si="1188"/>
        <v>Low</v>
      </c>
      <c r="F13465" s="138" t="str">
        <f t="shared" si="1189"/>
        <v>Upgraded</v>
      </c>
      <c r="G13465" s="153"/>
      <c r="H13465" s="210">
        <v>4.9099999999999998E-2</v>
      </c>
      <c r="I13465" s="160" t="s">
        <v>60</v>
      </c>
      <c r="J13465" s="160">
        <v>1.6800000000000001E-3</v>
      </c>
      <c r="K13465" s="160" t="s">
        <v>24</v>
      </c>
      <c r="L13465" s="154" t="str">
        <f>IF(OpenLCAbasic!K13465="CTUh", "Fill in Manually",IF(OR(K13465="Unit", K13465=""), "", INDEX(LookUps!$E$5:$E$12, MATCH(OpenLCAbasic!K13465,LookUps!$D$5:$D$12,0))))</f>
        <v>Acidification Potential (AP) - kg SO2 eq</v>
      </c>
      <c r="M13465" s="154" t="str">
        <f t="shared" si="1190"/>
        <v>Low_High_Low_Upgraded_Acidification Potential (AP) - kg SO2 eq_Belt filter press; wastewater treatment unit; at updated plant - US_Without Amendment_Aerated Static Pile</v>
      </c>
    </row>
    <row r="13466" spans="1:13" s="120" customFormat="1" x14ac:dyDescent="0.25">
      <c r="A13466" s="119"/>
      <c r="B13466" s="138" t="str">
        <f t="shared" si="1186"/>
        <v>Aerated Static Pile</v>
      </c>
      <c r="C13466" s="138" t="str">
        <f t="shared" si="1187"/>
        <v>Without Amendment</v>
      </c>
      <c r="D13466" s="138" t="str">
        <f t="shared" si="1192"/>
        <v>High_Low</v>
      </c>
      <c r="E13466" s="138" t="str">
        <f t="shared" si="1188"/>
        <v>Low</v>
      </c>
      <c r="F13466" s="138" t="str">
        <f t="shared" si="1189"/>
        <v>Upgraded</v>
      </c>
      <c r="G13466" s="153"/>
      <c r="H13466" s="210">
        <v>3.5999999999999997E-2</v>
      </c>
      <c r="I13466" s="160" t="s">
        <v>128</v>
      </c>
      <c r="J13466" s="160">
        <v>1.23E-3</v>
      </c>
      <c r="K13466" s="160" t="s">
        <v>24</v>
      </c>
      <c r="L13466" s="154" t="str">
        <f>IF(OpenLCAbasic!K13466="CTUh", "Fill in Manually",IF(OR(K13466="Unit", K13466=""), "", INDEX(LookUps!$E$5:$E$12, MATCH(OpenLCAbasic!K13466,LookUps!$D$5:$D$12,0))))</f>
        <v>Acidification Potential (AP) - kg SO2 eq</v>
      </c>
      <c r="M13466" s="154" t="str">
        <f t="shared" si="1190"/>
        <v>Low_High_Low_Upgraded_Acidification Potential (AP) - kg SO2 eq_Wastewater collection; operation and infrastructure; m3 wastewater_Without Amendment_Aerated Static Pile</v>
      </c>
    </row>
    <row r="13467" spans="1:13" s="120" customFormat="1" x14ac:dyDescent="0.25">
      <c r="A13467" s="119"/>
      <c r="B13467" s="138" t="str">
        <f t="shared" si="1186"/>
        <v>Aerated Static Pile</v>
      </c>
      <c r="C13467" s="138" t="str">
        <f t="shared" si="1187"/>
        <v>Without Amendment</v>
      </c>
      <c r="D13467" s="138" t="str">
        <f t="shared" si="1192"/>
        <v>High_Low</v>
      </c>
      <c r="E13467" s="138" t="str">
        <f t="shared" si="1188"/>
        <v>Low</v>
      </c>
      <c r="F13467" s="138" t="str">
        <f t="shared" si="1189"/>
        <v>Upgraded</v>
      </c>
      <c r="G13467" s="153"/>
      <c r="H13467" s="210">
        <v>2.06E-2</v>
      </c>
      <c r="I13467" s="160" t="s">
        <v>57</v>
      </c>
      <c r="J13467" s="160">
        <v>6.9999999999999999E-4</v>
      </c>
      <c r="K13467" s="160" t="s">
        <v>24</v>
      </c>
      <c r="L13467" s="154" t="str">
        <f>IF(OpenLCAbasic!K13467="CTUh", "Fill in Manually",IF(OR(K13467="Unit", K13467=""), "", INDEX(LookUps!$E$5:$E$12, MATCH(OpenLCAbasic!K13467,LookUps!$D$5:$D$12,0))))</f>
        <v>Acidification Potential (AP) - kg SO2 eq</v>
      </c>
      <c r="M13467" s="154" t="str">
        <f t="shared" si="1190"/>
        <v>Low_High_Low_Upgraded_Acidification Potential (AP) - kg SO2 eq_Gravity Belt Thickener; wastewater treatment unit; at updated plant - US_Without Amendment_Aerated Static Pile</v>
      </c>
    </row>
    <row r="13468" spans="1:13" s="120" customFormat="1" x14ac:dyDescent="0.25">
      <c r="A13468" s="119"/>
      <c r="B13468" s="138" t="str">
        <f t="shared" si="1186"/>
        <v>Aerated Static Pile</v>
      </c>
      <c r="C13468" s="138" t="str">
        <f t="shared" si="1187"/>
        <v>Without Amendment</v>
      </c>
      <c r="D13468" s="138" t="str">
        <f t="shared" si="1192"/>
        <v>High_Low</v>
      </c>
      <c r="E13468" s="138" t="str">
        <f t="shared" si="1188"/>
        <v>Low</v>
      </c>
      <c r="F13468" s="138" t="str">
        <f t="shared" si="1189"/>
        <v>Upgraded</v>
      </c>
      <c r="G13468" s="153"/>
      <c r="H13468" s="210">
        <v>1.5100000000000001E-2</v>
      </c>
      <c r="I13468" s="160" t="s">
        <v>59</v>
      </c>
      <c r="J13468" s="160">
        <v>5.1999999999999995E-4</v>
      </c>
      <c r="K13468" s="160" t="s">
        <v>24</v>
      </c>
      <c r="L13468" s="154" t="str">
        <f>IF(OpenLCAbasic!K13468="CTUh", "Fill in Manually",IF(OR(K13468="Unit", K13468=""), "", INDEX(LookUps!$E$5:$E$12, MATCH(OpenLCAbasic!K13468,LookUps!$D$5:$D$12,0))))</f>
        <v>Acidification Potential (AP) - kg SO2 eq</v>
      </c>
      <c r="M13468" s="154" t="str">
        <f t="shared" si="1190"/>
        <v>Low_High_Low_Upgraded_Acidification Potential (AP) - kg SO2 eq_Blend Tank; wastewater treatment unit; at updated plant - US_Without Amendment_Aerated Static Pile</v>
      </c>
    </row>
    <row r="13469" spans="1:13" s="120" customFormat="1" x14ac:dyDescent="0.25">
      <c r="A13469" s="119"/>
      <c r="B13469" s="138" t="str">
        <f t="shared" si="1186"/>
        <v>Aerated Static Pile</v>
      </c>
      <c r="C13469" s="138" t="str">
        <f t="shared" si="1187"/>
        <v>Without Amendment</v>
      </c>
      <c r="D13469" s="138" t="str">
        <f t="shared" si="1192"/>
        <v>High_Low</v>
      </c>
      <c r="E13469" s="138" t="str">
        <f t="shared" si="1188"/>
        <v>Low</v>
      </c>
      <c r="F13469" s="138" t="str">
        <f t="shared" si="1189"/>
        <v>Upgraded</v>
      </c>
      <c r="G13469" s="153"/>
      <c r="H13469" s="210">
        <v>1.01E-2</v>
      </c>
      <c r="I13469" s="160" t="s">
        <v>48</v>
      </c>
      <c r="J13469" s="160">
        <v>3.5E-4</v>
      </c>
      <c r="K13469" s="160" t="s">
        <v>24</v>
      </c>
      <c r="L13469" s="154" t="str">
        <f>IF(OpenLCAbasic!K13469="CTUh", "Fill in Manually",IF(OR(K13469="Unit", K13469=""), "", INDEX(LookUps!$E$5:$E$12, MATCH(OpenLCAbasic!K13469,LookUps!$D$5:$D$12,0))))</f>
        <v>Acidification Potential (AP) - kg SO2 eq</v>
      </c>
      <c r="M13469" s="154" t="str">
        <f t="shared" si="1190"/>
        <v>Low_High_Low_Upgraded_Acidification Potential (AP) - kg SO2 eq_Effluent release; wastewater treatment unit; at surface water; m3 wastewater - US_Without Amendment_Aerated Static Pile</v>
      </c>
    </row>
    <row r="13470" spans="1:13" s="120" customFormat="1" x14ac:dyDescent="0.25">
      <c r="A13470" s="119"/>
      <c r="B13470" s="138" t="str">
        <f t="shared" si="1186"/>
        <v>Aerated Static Pile</v>
      </c>
      <c r="C13470" s="138" t="str">
        <f t="shared" si="1187"/>
        <v>Without Amendment</v>
      </c>
      <c r="D13470" s="138" t="str">
        <f t="shared" si="1192"/>
        <v>High_Low</v>
      </c>
      <c r="E13470" s="138" t="str">
        <f t="shared" si="1188"/>
        <v>Low</v>
      </c>
      <c r="F13470" s="138" t="str">
        <f t="shared" si="1189"/>
        <v>Upgraded</v>
      </c>
      <c r="G13470" s="153"/>
      <c r="H13470" s="210">
        <v>7.4999999999999997E-3</v>
      </c>
      <c r="I13470" s="160" t="s">
        <v>168</v>
      </c>
      <c r="J13470" s="160">
        <v>2.5999999999999998E-4</v>
      </c>
      <c r="K13470" s="160" t="s">
        <v>24</v>
      </c>
      <c r="L13470" s="154" t="str">
        <f>IF(OpenLCAbasic!K13470="CTUh", "Fill in Manually",IF(OR(K13470="Unit", K13470=""), "", INDEX(LookUps!$E$5:$E$12, MATCH(OpenLCAbasic!K13470,LookUps!$D$5:$D$12,0))))</f>
        <v>Acidification Potential (AP) - kg SO2 eq</v>
      </c>
      <c r="M13470" s="154" t="str">
        <f t="shared" si="1190"/>
        <v>Low_High_Low_Upgraded_Acidification Potential (AP) - kg SO2 eq_ClearCove SCP; wastewater treatment unit; at updated plant - US_Without Amendment_Aerated Static Pile</v>
      </c>
    </row>
    <row r="13471" spans="1:13" s="120" customFormat="1" x14ac:dyDescent="0.25">
      <c r="A13471" s="119"/>
      <c r="B13471" s="138" t="str">
        <f t="shared" si="1186"/>
        <v>Aerated Static Pile</v>
      </c>
      <c r="C13471" s="138" t="str">
        <f t="shared" si="1187"/>
        <v>Without Amendment</v>
      </c>
      <c r="D13471" s="138" t="str">
        <f t="shared" si="1192"/>
        <v>High_Low</v>
      </c>
      <c r="E13471" s="138" t="str">
        <f t="shared" si="1188"/>
        <v>Low</v>
      </c>
      <c r="F13471" s="138" t="str">
        <f t="shared" si="1189"/>
        <v>Upgraded</v>
      </c>
      <c r="G13471" s="153"/>
      <c r="H13471" s="210">
        <v>1.1999999999999999E-3</v>
      </c>
      <c r="I13471" s="160" t="s">
        <v>148</v>
      </c>
      <c r="J13471" s="211">
        <v>4.0354700000000002E-5</v>
      </c>
      <c r="K13471" s="160" t="s">
        <v>24</v>
      </c>
      <c r="L13471" s="154" t="str">
        <f>IF(OpenLCAbasic!K13471="CTUh", "Fill in Manually",IF(OR(K13471="Unit", K13471=""), "", INDEX(LookUps!$E$5:$E$12, MATCH(OpenLCAbasic!K13471,LookUps!$D$5:$D$12,0))))</f>
        <v>Acidification Potential (AP) - kg SO2 eq</v>
      </c>
      <c r="M13471" s="154" t="str">
        <f t="shared" si="1190"/>
        <v>Low_High_Low_Upgraded_Acidification Potential (AP) - kg SO2 eq_Control Building; at upgraded wastewater treatment plant - US_Without Amendment_Aerated Static Pile</v>
      </c>
    </row>
    <row r="13472" spans="1:13" s="120" customFormat="1" x14ac:dyDescent="0.25">
      <c r="A13472" s="119"/>
      <c r="B13472" s="138" t="str">
        <f t="shared" si="1186"/>
        <v>Aerated Static Pile</v>
      </c>
      <c r="C13472" s="138" t="str">
        <f t="shared" si="1187"/>
        <v>Without Amendment</v>
      </c>
      <c r="D13472" s="138" t="str">
        <f t="shared" si="1192"/>
        <v>High_Low</v>
      </c>
      <c r="E13472" s="138" t="str">
        <f t="shared" si="1188"/>
        <v>Low</v>
      </c>
      <c r="F13472" s="138" t="str">
        <f t="shared" si="1189"/>
        <v>Upgraded</v>
      </c>
      <c r="G13472" s="153"/>
      <c r="H13472" s="210">
        <v>-0.3871</v>
      </c>
      <c r="I13472" s="160" t="s">
        <v>149</v>
      </c>
      <c r="J13472" s="160">
        <v>-1.325E-2</v>
      </c>
      <c r="K13472" s="160" t="s">
        <v>24</v>
      </c>
      <c r="L13472" s="154" t="str">
        <f>IF(OpenLCAbasic!K13472="CTUh", "Fill in Manually",IF(OR(K13472="Unit", K13472=""), "", INDEX(LookUps!$E$5:$E$12, MATCH(OpenLCAbasic!K13472,LookUps!$D$5:$D$12,0))))</f>
        <v>Acidification Potential (AP) - kg SO2 eq</v>
      </c>
      <c r="M13472" s="154" t="str">
        <f t="shared" si="1190"/>
        <v>Low_High_Low_Upgraded_Acidification Potential (AP) - kg SO2 eq_Anaerobic Digestion; wastewater treatment unit; at updated plant - US_Without Amendment_Aerated Static Pile</v>
      </c>
    </row>
    <row r="13473" spans="1:13" s="120" customFormat="1" x14ac:dyDescent="0.25">
      <c r="A13473" s="119"/>
      <c r="B13473" s="138" t="str">
        <f t="shared" si="1186"/>
        <v/>
      </c>
      <c r="C13473" s="138" t="str">
        <f t="shared" si="1187"/>
        <v/>
      </c>
      <c r="D13473" s="138" t="str">
        <f t="shared" si="1192"/>
        <v/>
      </c>
      <c r="E13473" s="138" t="str">
        <f t="shared" si="1188"/>
        <v/>
      </c>
      <c r="F13473" s="138" t="str">
        <f t="shared" si="1189"/>
        <v/>
      </c>
      <c r="G13473" s="153" t="s">
        <v>51</v>
      </c>
      <c r="H13473" s="160"/>
      <c r="I13473" s="160" t="s">
        <v>47</v>
      </c>
      <c r="J13473" s="160" t="s">
        <v>52</v>
      </c>
      <c r="K13473" s="160" t="s">
        <v>27</v>
      </c>
      <c r="L13473" s="154" t="str">
        <f>IF(OpenLCAbasic!K13473="CTUh", "Fill in Manually",IF(OR(K13473="Unit", K13473=""), "", INDEX(LookUps!$E$5:$E$12, MATCH(OpenLCAbasic!K13473,LookUps!$D$5:$D$12,0))))</f>
        <v/>
      </c>
      <c r="M13473" s="154" t="str">
        <f t="shared" si="1190"/>
        <v>____Process__</v>
      </c>
    </row>
    <row r="13474" spans="1:13" s="120" customFormat="1" x14ac:dyDescent="0.25">
      <c r="A13474" s="119"/>
      <c r="B13474" s="138" t="str">
        <f t="shared" si="1186"/>
        <v>Aerated Static Pile</v>
      </c>
      <c r="C13474" s="138" t="str">
        <f t="shared" si="1187"/>
        <v>Without Amendment</v>
      </c>
      <c r="D13474" s="138" t="str">
        <f t="shared" si="1192"/>
        <v>High_Low</v>
      </c>
      <c r="E13474" s="138" t="str">
        <f t="shared" si="1188"/>
        <v>Low</v>
      </c>
      <c r="F13474" s="138" t="str">
        <f t="shared" si="1189"/>
        <v>Upgraded</v>
      </c>
      <c r="G13474" s="153"/>
      <c r="H13474" s="210">
        <v>0.55489999999999995</v>
      </c>
      <c r="I13474" s="160" t="s">
        <v>167</v>
      </c>
      <c r="J13474" s="160">
        <v>5.1393399999999998</v>
      </c>
      <c r="K13474" s="160" t="s">
        <v>15</v>
      </c>
      <c r="L13474" s="154" t="str">
        <f>IF(OpenLCAbasic!K13474="CTUh", "Fill in Manually",IF(OR(K13474="Unit", K13474=""), "", INDEX(LookUps!$E$5:$E$12, MATCH(OpenLCAbasic!K13474,LookUps!$D$5:$D$12,0))))</f>
        <v>Cumulative Energy Demand (CED) - MJ</v>
      </c>
      <c r="M13474" s="154" t="str">
        <f t="shared" si="1190"/>
        <v>Low_High_Low_Upgraded_Cumulative Energy Demand (CED) - MJ_Waste Receiving and Holding; wastewater treatment unit; at updated plant - US_Without Amendment_Aerated Static Pile</v>
      </c>
    </row>
    <row r="13475" spans="1:13" s="120" customFormat="1" x14ac:dyDescent="0.25">
      <c r="A13475" s="119"/>
      <c r="B13475" s="138" t="str">
        <f t="shared" si="1186"/>
        <v>Aerated Static Pile</v>
      </c>
      <c r="C13475" s="138" t="str">
        <f t="shared" si="1187"/>
        <v>Without Amendment</v>
      </c>
      <c r="D13475" s="138" t="str">
        <f t="shared" si="1192"/>
        <v>High_Low</v>
      </c>
      <c r="E13475" s="138" t="str">
        <f t="shared" si="1188"/>
        <v>Low</v>
      </c>
      <c r="F13475" s="138" t="str">
        <f t="shared" si="1189"/>
        <v>Upgraded</v>
      </c>
      <c r="G13475" s="153"/>
      <c r="H13475" s="210">
        <v>0.38150000000000001</v>
      </c>
      <c r="I13475" s="160" t="s">
        <v>55</v>
      </c>
      <c r="J13475" s="160">
        <v>3.5330499999999998</v>
      </c>
      <c r="K13475" s="160" t="s">
        <v>15</v>
      </c>
      <c r="L13475" s="154" t="str">
        <f>IF(OpenLCAbasic!K13475="CTUh", "Fill in Manually",IF(OR(K13475="Unit", K13475=""), "", INDEX(LookUps!$E$5:$E$12, MATCH(OpenLCAbasic!K13475,LookUps!$D$5:$D$12,0))))</f>
        <v>Cumulative Energy Demand (CED) - MJ</v>
      </c>
      <c r="M13475" s="154" t="str">
        <f t="shared" si="1190"/>
        <v>Low_High_Low_Upgraded_Cumulative Energy Demand (CED) - MJ_Aeration Tanks; wastewater treatment unit; at updated plant - US_Without Amendment_Aerated Static Pile</v>
      </c>
    </row>
    <row r="13476" spans="1:13" s="120" customFormat="1" x14ac:dyDescent="0.25">
      <c r="A13476" s="119"/>
      <c r="B13476" s="138" t="str">
        <f t="shared" si="1186"/>
        <v>Aerated Static Pile</v>
      </c>
      <c r="C13476" s="138" t="str">
        <f t="shared" si="1187"/>
        <v>Without Amendment</v>
      </c>
      <c r="D13476" s="138" t="str">
        <f t="shared" si="1192"/>
        <v>High_Low</v>
      </c>
      <c r="E13476" s="138" t="str">
        <f t="shared" si="1188"/>
        <v>Low</v>
      </c>
      <c r="F13476" s="138" t="str">
        <f t="shared" si="1189"/>
        <v>Upgraded</v>
      </c>
      <c r="G13476" s="153"/>
      <c r="H13476" s="210">
        <v>0.12559999999999999</v>
      </c>
      <c r="I13476" s="160" t="s">
        <v>54</v>
      </c>
      <c r="J13476" s="160">
        <v>1.16289</v>
      </c>
      <c r="K13476" s="160" t="s">
        <v>15</v>
      </c>
      <c r="L13476" s="154" t="str">
        <f>IF(OpenLCAbasic!K13476="CTUh", "Fill in Manually",IF(OR(K13476="Unit", K13476=""), "", INDEX(LookUps!$E$5:$E$12, MATCH(OpenLCAbasic!K13476,LookUps!$D$5:$D$12,0))))</f>
        <v>Cumulative Energy Demand (CED) - MJ</v>
      </c>
      <c r="M13476" s="154" t="str">
        <f t="shared" si="1190"/>
        <v>Low_High_Low_Upgraded_Cumulative Energy Demand (CED) - MJ_Clear Cove Primary Clarification; wastewater treatment unit; at updated plant - US_Without Amendment_Aerated Static Pile</v>
      </c>
    </row>
    <row r="13477" spans="1:13" s="120" customFormat="1" x14ac:dyDescent="0.25">
      <c r="A13477" s="119"/>
      <c r="B13477" s="138" t="str">
        <f t="shared" si="1186"/>
        <v>Aerated Static Pile</v>
      </c>
      <c r="C13477" s="138" t="str">
        <f t="shared" si="1187"/>
        <v>Without Amendment</v>
      </c>
      <c r="D13477" s="138" t="str">
        <f t="shared" si="1192"/>
        <v>High_Low</v>
      </c>
      <c r="E13477" s="138" t="str">
        <f t="shared" si="1188"/>
        <v>Low</v>
      </c>
      <c r="F13477" s="138" t="str">
        <f t="shared" si="1189"/>
        <v>Upgraded</v>
      </c>
      <c r="G13477" s="153"/>
      <c r="H13477" s="210">
        <v>9.6199999999999994E-2</v>
      </c>
      <c r="I13477" s="160" t="s">
        <v>58</v>
      </c>
      <c r="J13477" s="160">
        <v>0.89063999999999999</v>
      </c>
      <c r="K13477" s="160" t="s">
        <v>15</v>
      </c>
      <c r="L13477" s="154" t="str">
        <f>IF(OpenLCAbasic!K13477="CTUh", "Fill in Manually",IF(OR(K13477="Unit", K13477=""), "", INDEX(LookUps!$E$5:$E$12, MATCH(OpenLCAbasic!K13477,LookUps!$D$5:$D$12,0))))</f>
        <v>Cumulative Energy Demand (CED) - MJ</v>
      </c>
      <c r="M13477" s="154" t="str">
        <f t="shared" si="1190"/>
        <v>Low_High_Low_Upgraded_Cumulative Energy Demand (CED) - MJ_Pre-Anoxic &amp; Swing tank; wastewater treatment unit; at updated plant - US_Without Amendment_Aerated Static Pile</v>
      </c>
    </row>
    <row r="13478" spans="1:13" s="120" customFormat="1" x14ac:dyDescent="0.25">
      <c r="A13478" s="119"/>
      <c r="B13478" s="138" t="str">
        <f t="shared" si="1186"/>
        <v>Aerated Static Pile</v>
      </c>
      <c r="C13478" s="138" t="str">
        <f t="shared" si="1187"/>
        <v>Without Amendment</v>
      </c>
      <c r="D13478" s="138" t="str">
        <f t="shared" si="1192"/>
        <v>High_Low</v>
      </c>
      <c r="E13478" s="138" t="str">
        <f t="shared" si="1188"/>
        <v>Low</v>
      </c>
      <c r="F13478" s="138" t="str">
        <f t="shared" si="1189"/>
        <v>Upgraded</v>
      </c>
      <c r="G13478" s="153"/>
      <c r="H13478" s="210">
        <v>9.5299999999999996E-2</v>
      </c>
      <c r="I13478" s="160" t="s">
        <v>147</v>
      </c>
      <c r="J13478" s="160">
        <v>0.88297000000000003</v>
      </c>
      <c r="K13478" s="160" t="s">
        <v>15</v>
      </c>
      <c r="L13478" s="154" t="str">
        <f>IF(OpenLCAbasic!K13478="CTUh", "Fill in Manually",IF(OR(K13478="Unit", K13478=""), "", INDEX(LookUps!$E$5:$E$12, MATCH(OpenLCAbasic!K13478,LookUps!$D$5:$D$12,0))))</f>
        <v>Cumulative Energy Demand (CED) - MJ</v>
      </c>
      <c r="M13478" s="154" t="str">
        <f t="shared" si="1190"/>
        <v>Low_High_Low_Upgraded_Cumulative Energy Demand (CED) - MJ_Influent Pump Station; wastewater treatment unit; at updated plant - US_Without Amendment_Aerated Static Pile</v>
      </c>
    </row>
    <row r="13479" spans="1:13" s="120" customFormat="1" x14ac:dyDescent="0.25">
      <c r="A13479" s="119"/>
      <c r="B13479" s="138" t="str">
        <f t="shared" si="1186"/>
        <v>Aerated Static Pile</v>
      </c>
      <c r="C13479" s="138" t="str">
        <f t="shared" si="1187"/>
        <v>Without Amendment</v>
      </c>
      <c r="D13479" s="138" t="str">
        <f t="shared" si="1192"/>
        <v>High_Low</v>
      </c>
      <c r="E13479" s="138" t="str">
        <f t="shared" si="1188"/>
        <v>Low</v>
      </c>
      <c r="F13479" s="138" t="str">
        <f t="shared" si="1189"/>
        <v>Upgraded</v>
      </c>
      <c r="G13479" s="153"/>
      <c r="H13479" s="210">
        <v>8.1799999999999998E-2</v>
      </c>
      <c r="I13479" s="160" t="s">
        <v>435</v>
      </c>
      <c r="J13479" s="160">
        <v>0.75741000000000003</v>
      </c>
      <c r="K13479" s="160" t="s">
        <v>15</v>
      </c>
      <c r="L13479" s="154" t="str">
        <f>IF(OpenLCAbasic!K13479="CTUh", "Fill in Manually",IF(OR(K13479="Unit", K13479=""), "", INDEX(LookUps!$E$5:$E$12, MATCH(OpenLCAbasic!K13479,LookUps!$D$5:$D$12,0))))</f>
        <v>Cumulative Energy Demand (CED) - MJ</v>
      </c>
      <c r="M13479" s="154" t="str">
        <f t="shared" si="1190"/>
        <v>Low_High_Low_Upgraded_Cumulative Energy Demand (CED) - MJ_Biosolids composting; aerated static pile; wastewater treatment unit; at updated plant - US_Without Amendment_Aerated Static Pile</v>
      </c>
    </row>
    <row r="13480" spans="1:13" s="120" customFormat="1" x14ac:dyDescent="0.25">
      <c r="A13480" s="119"/>
      <c r="B13480" s="138" t="str">
        <f t="shared" si="1186"/>
        <v>Aerated Static Pile</v>
      </c>
      <c r="C13480" s="138" t="str">
        <f t="shared" si="1187"/>
        <v>Without Amendment</v>
      </c>
      <c r="D13480" s="138" t="str">
        <f t="shared" si="1192"/>
        <v>High_Low</v>
      </c>
      <c r="E13480" s="138" t="str">
        <f t="shared" si="1188"/>
        <v>Low</v>
      </c>
      <c r="F13480" s="138" t="str">
        <f t="shared" si="1189"/>
        <v>Upgraded</v>
      </c>
      <c r="G13480" s="153"/>
      <c r="H13480" s="210">
        <v>7.5200000000000003E-2</v>
      </c>
      <c r="I13480" s="160" t="s">
        <v>53</v>
      </c>
      <c r="J13480" s="160">
        <v>0.69645000000000001</v>
      </c>
      <c r="K13480" s="160" t="s">
        <v>15</v>
      </c>
      <c r="L13480" s="154" t="str">
        <f>IF(OpenLCAbasic!K13480="CTUh", "Fill in Manually",IF(OR(K13480="Unit", K13480=""), "", INDEX(LookUps!$E$5:$E$12, MATCH(OpenLCAbasic!K13480,LookUps!$D$5:$D$12,0))))</f>
        <v>Cumulative Energy Demand (CED) - MJ</v>
      </c>
      <c r="M13480" s="154" t="str">
        <f t="shared" si="1190"/>
        <v>Low_High_Low_Upgraded_Cumulative Energy Demand (CED) - MJ_Wet Well and Sump Station; wastewater treatment unit; at updated plant - US_Without Amendment_Aerated Static Pile</v>
      </c>
    </row>
    <row r="13481" spans="1:13" s="120" customFormat="1" x14ac:dyDescent="0.25">
      <c r="A13481" s="119"/>
      <c r="B13481" s="138" t="str">
        <f t="shared" ref="B13481:B13544" si="1193">IF(F13481="Legacy","n.a.",IF(F13481="","","Aerated Static Pile"))</f>
        <v>Aerated Static Pile</v>
      </c>
      <c r="C13481" s="138" t="str">
        <f t="shared" ref="C13481:C13544" si="1194">IF(ISNUMBER($J13481),"Without Amendment","")</f>
        <v>Without Amendment</v>
      </c>
      <c r="D13481" s="138" t="str">
        <f t="shared" si="1192"/>
        <v>High_Low</v>
      </c>
      <c r="E13481" s="138" t="str">
        <f t="shared" ref="E13481:E13544" si="1195">IF(ISNUMBER($J13481),"Low","")</f>
        <v>Low</v>
      </c>
      <c r="F13481" s="138" t="str">
        <f t="shared" ref="F13481:F13544" si="1196">IF(ISNUMBER(J13481),"Upgraded","")</f>
        <v>Upgraded</v>
      </c>
      <c r="G13481" s="153"/>
      <c r="H13481" s="210">
        <v>6.7799999999999999E-2</v>
      </c>
      <c r="I13481" s="160" t="s">
        <v>60</v>
      </c>
      <c r="J13481" s="160">
        <v>0.62775999999999998</v>
      </c>
      <c r="K13481" s="160" t="s">
        <v>15</v>
      </c>
      <c r="L13481" s="154" t="str">
        <f>IF(OpenLCAbasic!K13481="CTUh", "Fill in Manually",IF(OR(K13481="Unit", K13481=""), "", INDEX(LookUps!$E$5:$E$12, MATCH(OpenLCAbasic!K13481,LookUps!$D$5:$D$12,0))))</f>
        <v>Cumulative Energy Demand (CED) - MJ</v>
      </c>
      <c r="M13481" s="154" t="str">
        <f t="shared" si="1190"/>
        <v>Low_High_Low_Upgraded_Cumulative Energy Demand (CED) - MJ_Belt filter press; wastewater treatment unit; at updated plant - US_Without Amendment_Aerated Static Pile</v>
      </c>
    </row>
    <row r="13482" spans="1:13" s="120" customFormat="1" x14ac:dyDescent="0.25">
      <c r="A13482" s="119"/>
      <c r="B13482" s="138" t="str">
        <f t="shared" si="1193"/>
        <v>Aerated Static Pile</v>
      </c>
      <c r="C13482" s="138" t="str">
        <f t="shared" si="1194"/>
        <v>Without Amendment</v>
      </c>
      <c r="D13482" s="138" t="str">
        <f t="shared" si="1192"/>
        <v>High_Low</v>
      </c>
      <c r="E13482" s="138" t="str">
        <f t="shared" si="1195"/>
        <v>Low</v>
      </c>
      <c r="F13482" s="138" t="str">
        <f t="shared" si="1196"/>
        <v>Upgraded</v>
      </c>
      <c r="G13482" s="153"/>
      <c r="H13482" s="210">
        <v>3.61E-2</v>
      </c>
      <c r="I13482" s="160" t="s">
        <v>57</v>
      </c>
      <c r="J13482" s="160">
        <v>0.33404</v>
      </c>
      <c r="K13482" s="160" t="s">
        <v>15</v>
      </c>
      <c r="L13482" s="154" t="str">
        <f>IF(OpenLCAbasic!K13482="CTUh", "Fill in Manually",IF(OR(K13482="Unit", K13482=""), "", INDEX(LookUps!$E$5:$E$12, MATCH(OpenLCAbasic!K13482,LookUps!$D$5:$D$12,0))))</f>
        <v>Cumulative Energy Demand (CED) - MJ</v>
      </c>
      <c r="M13482" s="154" t="str">
        <f t="shared" si="1190"/>
        <v>Low_High_Low_Upgraded_Cumulative Energy Demand (CED) - MJ_Gravity Belt Thickener; wastewater treatment unit; at updated plant - US_Without Amendment_Aerated Static Pile</v>
      </c>
    </row>
    <row r="13483" spans="1:13" s="120" customFormat="1" x14ac:dyDescent="0.25">
      <c r="A13483" s="119"/>
      <c r="B13483" s="138" t="str">
        <f t="shared" si="1193"/>
        <v>Aerated Static Pile</v>
      </c>
      <c r="C13483" s="138" t="str">
        <f t="shared" si="1194"/>
        <v>Without Amendment</v>
      </c>
      <c r="D13483" s="138" t="str">
        <f t="shared" si="1192"/>
        <v>High_Low</v>
      </c>
      <c r="E13483" s="138" t="str">
        <f t="shared" si="1195"/>
        <v>Low</v>
      </c>
      <c r="F13483" s="138" t="str">
        <f t="shared" si="1196"/>
        <v>Upgraded</v>
      </c>
      <c r="G13483" s="153"/>
      <c r="H13483" s="210">
        <v>2.76E-2</v>
      </c>
      <c r="I13483" s="160" t="s">
        <v>128</v>
      </c>
      <c r="J13483" s="160">
        <v>0.25606000000000001</v>
      </c>
      <c r="K13483" s="160" t="s">
        <v>15</v>
      </c>
      <c r="L13483" s="154" t="str">
        <f>IF(OpenLCAbasic!K13483="CTUh", "Fill in Manually",IF(OR(K13483="Unit", K13483=""), "", INDEX(LookUps!$E$5:$E$12, MATCH(OpenLCAbasic!K13483,LookUps!$D$5:$D$12,0))))</f>
        <v>Cumulative Energy Demand (CED) - MJ</v>
      </c>
      <c r="M13483" s="154" t="str">
        <f t="shared" si="1190"/>
        <v>Low_High_Low_Upgraded_Cumulative Energy Demand (CED) - MJ_Wastewater collection; operation and infrastructure; m3 wastewater_Without Amendment_Aerated Static Pile</v>
      </c>
    </row>
    <row r="13484" spans="1:13" s="120" customFormat="1" x14ac:dyDescent="0.25">
      <c r="A13484" s="119"/>
      <c r="B13484" s="138" t="str">
        <f t="shared" si="1193"/>
        <v>Aerated Static Pile</v>
      </c>
      <c r="C13484" s="138" t="str">
        <f t="shared" si="1194"/>
        <v>Without Amendment</v>
      </c>
      <c r="D13484" s="138" t="str">
        <f t="shared" si="1192"/>
        <v>High_Low</v>
      </c>
      <c r="E13484" s="138" t="str">
        <f t="shared" si="1195"/>
        <v>Low</v>
      </c>
      <c r="F13484" s="138" t="str">
        <f t="shared" si="1196"/>
        <v>Upgraded</v>
      </c>
      <c r="G13484" s="153"/>
      <c r="H13484" s="210">
        <v>1.5800000000000002E-2</v>
      </c>
      <c r="I13484" s="160" t="s">
        <v>148</v>
      </c>
      <c r="J13484" s="160">
        <v>0.14599000000000001</v>
      </c>
      <c r="K13484" s="160" t="s">
        <v>15</v>
      </c>
      <c r="L13484" s="154" t="str">
        <f>IF(OpenLCAbasic!K13484="CTUh", "Fill in Manually",IF(OR(K13484="Unit", K13484=""), "", INDEX(LookUps!$E$5:$E$12, MATCH(OpenLCAbasic!K13484,LookUps!$D$5:$D$12,0))))</f>
        <v>Cumulative Energy Demand (CED) - MJ</v>
      </c>
      <c r="M13484" s="154" t="str">
        <f t="shared" si="1190"/>
        <v>Low_High_Low_Upgraded_Cumulative Energy Demand (CED) - MJ_Control Building; at upgraded wastewater treatment plant - US_Without Amendment_Aerated Static Pile</v>
      </c>
    </row>
    <row r="13485" spans="1:13" s="120" customFormat="1" x14ac:dyDescent="0.25">
      <c r="A13485" s="119"/>
      <c r="B13485" s="138" t="str">
        <f t="shared" si="1193"/>
        <v>Aerated Static Pile</v>
      </c>
      <c r="C13485" s="138" t="str">
        <f t="shared" si="1194"/>
        <v>Without Amendment</v>
      </c>
      <c r="D13485" s="138" t="str">
        <f t="shared" si="1192"/>
        <v>High_Low</v>
      </c>
      <c r="E13485" s="138" t="str">
        <f t="shared" si="1195"/>
        <v>Low</v>
      </c>
      <c r="F13485" s="138" t="str">
        <f t="shared" si="1196"/>
        <v>Upgraded</v>
      </c>
      <c r="G13485" s="153"/>
      <c r="H13485" s="210">
        <v>1.44E-2</v>
      </c>
      <c r="I13485" s="160" t="s">
        <v>48</v>
      </c>
      <c r="J13485" s="160">
        <v>0.13321</v>
      </c>
      <c r="K13485" s="160" t="s">
        <v>15</v>
      </c>
      <c r="L13485" s="154" t="str">
        <f>IF(OpenLCAbasic!K13485="CTUh", "Fill in Manually",IF(OR(K13485="Unit", K13485=""), "", INDEX(LookUps!$E$5:$E$12, MATCH(OpenLCAbasic!K13485,LookUps!$D$5:$D$12,0))))</f>
        <v>Cumulative Energy Demand (CED) - MJ</v>
      </c>
      <c r="M13485" s="154" t="str">
        <f t="shared" si="1190"/>
        <v>Low_High_Low_Upgraded_Cumulative Energy Demand (CED) - MJ_Effluent release; wastewater treatment unit; at surface water; m3 wastewater - US_Without Amendment_Aerated Static Pile</v>
      </c>
    </row>
    <row r="13486" spans="1:13" s="120" customFormat="1" x14ac:dyDescent="0.25">
      <c r="A13486" s="119"/>
      <c r="B13486" s="138" t="str">
        <f t="shared" si="1193"/>
        <v>Aerated Static Pile</v>
      </c>
      <c r="C13486" s="138" t="str">
        <f t="shared" si="1194"/>
        <v>Without Amendment</v>
      </c>
      <c r="D13486" s="138" t="str">
        <f t="shared" si="1192"/>
        <v>High_Low</v>
      </c>
      <c r="E13486" s="138" t="str">
        <f t="shared" si="1195"/>
        <v>Low</v>
      </c>
      <c r="F13486" s="138" t="str">
        <f t="shared" si="1196"/>
        <v>Upgraded</v>
      </c>
      <c r="G13486" s="153"/>
      <c r="H13486" s="210">
        <v>1.15E-2</v>
      </c>
      <c r="I13486" s="160" t="s">
        <v>59</v>
      </c>
      <c r="J13486" s="160">
        <v>0.10638</v>
      </c>
      <c r="K13486" s="160" t="s">
        <v>15</v>
      </c>
      <c r="L13486" s="154" t="str">
        <f>IF(OpenLCAbasic!K13486="CTUh", "Fill in Manually",IF(OR(K13486="Unit", K13486=""), "", INDEX(LookUps!$E$5:$E$12, MATCH(OpenLCAbasic!K13486,LookUps!$D$5:$D$12,0))))</f>
        <v>Cumulative Energy Demand (CED) - MJ</v>
      </c>
      <c r="M13486" s="154" t="str">
        <f t="shared" si="1190"/>
        <v>Low_High_Low_Upgraded_Cumulative Energy Demand (CED) - MJ_Blend Tank; wastewater treatment unit; at updated plant - US_Without Amendment_Aerated Static Pile</v>
      </c>
    </row>
    <row r="13487" spans="1:13" s="120" customFormat="1" x14ac:dyDescent="0.25">
      <c r="A13487" s="119"/>
      <c r="B13487" s="138" t="str">
        <f t="shared" si="1193"/>
        <v>Aerated Static Pile</v>
      </c>
      <c r="C13487" s="138" t="str">
        <f t="shared" si="1194"/>
        <v>Without Amendment</v>
      </c>
      <c r="D13487" s="138" t="str">
        <f t="shared" si="1192"/>
        <v>High_Low</v>
      </c>
      <c r="E13487" s="138" t="str">
        <f t="shared" si="1195"/>
        <v>Low</v>
      </c>
      <c r="F13487" s="138" t="str">
        <f t="shared" si="1196"/>
        <v>Upgraded</v>
      </c>
      <c r="G13487" s="153"/>
      <c r="H13487" s="210">
        <v>5.4999999999999997E-3</v>
      </c>
      <c r="I13487" s="160" t="s">
        <v>168</v>
      </c>
      <c r="J13487" s="160">
        <v>5.0930000000000003E-2</v>
      </c>
      <c r="K13487" s="160" t="s">
        <v>15</v>
      </c>
      <c r="L13487" s="154" t="str">
        <f>IF(OpenLCAbasic!K13487="CTUh", "Fill in Manually",IF(OR(K13487="Unit", K13487=""), "", INDEX(LookUps!$E$5:$E$12, MATCH(OpenLCAbasic!K13487,LookUps!$D$5:$D$12,0))))</f>
        <v>Cumulative Energy Demand (CED) - MJ</v>
      </c>
      <c r="M13487" s="154" t="str">
        <f t="shared" si="1190"/>
        <v>Low_High_Low_Upgraded_Cumulative Energy Demand (CED) - MJ_ClearCove SCP; wastewater treatment unit; at updated plant - US_Without Amendment_Aerated Static Pile</v>
      </c>
    </row>
    <row r="13488" spans="1:13" s="120" customFormat="1" x14ac:dyDescent="0.25">
      <c r="A13488" s="119"/>
      <c r="B13488" s="138" t="str">
        <f t="shared" si="1193"/>
        <v>Aerated Static Pile</v>
      </c>
      <c r="C13488" s="138" t="str">
        <f t="shared" si="1194"/>
        <v>Without Amendment</v>
      </c>
      <c r="D13488" s="138" t="str">
        <f t="shared" si="1192"/>
        <v>High_Low</v>
      </c>
      <c r="E13488" s="138" t="str">
        <f t="shared" si="1195"/>
        <v>Low</v>
      </c>
      <c r="F13488" s="138" t="str">
        <f t="shared" si="1196"/>
        <v>Upgraded</v>
      </c>
      <c r="G13488" s="153"/>
      <c r="H13488" s="210">
        <v>-7.0999999999999994E-2</v>
      </c>
      <c r="I13488" s="160" t="s">
        <v>62</v>
      </c>
      <c r="J13488" s="160">
        <v>-0.65795999999999999</v>
      </c>
      <c r="K13488" s="160" t="s">
        <v>15</v>
      </c>
      <c r="L13488" s="154" t="str">
        <f>IF(OpenLCAbasic!K13488="CTUh", "Fill in Manually",IF(OR(K13488="Unit", K13488=""), "", INDEX(LookUps!$E$5:$E$12, MATCH(OpenLCAbasic!K13488,LookUps!$D$5:$D$12,0))))</f>
        <v>Cumulative Energy Demand (CED) - MJ</v>
      </c>
      <c r="M13488" s="154" t="str">
        <f t="shared" si="1190"/>
        <v>Low_High_Low_Upgraded_Cumulative Energy Demand (CED) - MJ_Land application of compost; wastewater treatment unit; at updated plant - US_Without Amendment_Aerated Static Pile</v>
      </c>
    </row>
    <row r="13489" spans="1:13" s="120" customFormat="1" x14ac:dyDescent="0.25">
      <c r="A13489" s="119"/>
      <c r="B13489" s="138" t="str">
        <f t="shared" si="1193"/>
        <v>Aerated Static Pile</v>
      </c>
      <c r="C13489" s="138" t="str">
        <f t="shared" si="1194"/>
        <v>Without Amendment</v>
      </c>
      <c r="D13489" s="138" t="str">
        <f t="shared" si="1192"/>
        <v>High_Low</v>
      </c>
      <c r="E13489" s="138" t="str">
        <f t="shared" si="1195"/>
        <v>Low</v>
      </c>
      <c r="F13489" s="138" t="str">
        <f t="shared" si="1196"/>
        <v>Upgraded</v>
      </c>
      <c r="G13489" s="153"/>
      <c r="H13489" s="210">
        <v>-0.51800000000000002</v>
      </c>
      <c r="I13489" s="160" t="s">
        <v>149</v>
      </c>
      <c r="J13489" s="160">
        <v>-4.7974600000000001</v>
      </c>
      <c r="K13489" s="160" t="s">
        <v>15</v>
      </c>
      <c r="L13489" s="154" t="str">
        <f>IF(OpenLCAbasic!K13489="CTUh", "Fill in Manually",IF(OR(K13489="Unit", K13489=""), "", INDEX(LookUps!$E$5:$E$12, MATCH(OpenLCAbasic!K13489,LookUps!$D$5:$D$12,0))))</f>
        <v>Cumulative Energy Demand (CED) - MJ</v>
      </c>
      <c r="M13489" s="154" t="str">
        <f t="shared" si="1190"/>
        <v>Low_High_Low_Upgraded_Cumulative Energy Demand (CED) - MJ_Anaerobic Digestion; wastewater treatment unit; at updated plant - US_Without Amendment_Aerated Static Pile</v>
      </c>
    </row>
    <row r="13490" spans="1:13" s="120" customFormat="1" x14ac:dyDescent="0.25">
      <c r="A13490" s="119"/>
      <c r="B13490" s="138" t="str">
        <f t="shared" si="1193"/>
        <v/>
      </c>
      <c r="C13490" s="138" t="str">
        <f t="shared" si="1194"/>
        <v/>
      </c>
      <c r="D13490" s="138" t="str">
        <f t="shared" si="1192"/>
        <v/>
      </c>
      <c r="E13490" s="138" t="str">
        <f t="shared" si="1195"/>
        <v/>
      </c>
      <c r="F13490" s="138" t="str">
        <f t="shared" si="1196"/>
        <v/>
      </c>
      <c r="G13490" s="153" t="s">
        <v>51</v>
      </c>
      <c r="H13490" s="160"/>
      <c r="I13490" s="160" t="s">
        <v>47</v>
      </c>
      <c r="J13490" s="160" t="s">
        <v>52</v>
      </c>
      <c r="K13490" s="160" t="s">
        <v>27</v>
      </c>
      <c r="L13490" s="154" t="str">
        <f>IF(OpenLCAbasic!K13490="CTUh", "Fill in Manually",IF(OR(K13490="Unit", K13490=""), "", INDEX(LookUps!$E$5:$E$12, MATCH(OpenLCAbasic!K13490,LookUps!$D$5:$D$12,0))))</f>
        <v/>
      </c>
      <c r="M13490" s="154" t="str">
        <f t="shared" si="1190"/>
        <v>____Process__</v>
      </c>
    </row>
    <row r="13491" spans="1:13" s="120" customFormat="1" x14ac:dyDescent="0.25">
      <c r="A13491" s="119"/>
      <c r="B13491" s="138" t="str">
        <f t="shared" si="1193"/>
        <v>Aerated Static Pile</v>
      </c>
      <c r="C13491" s="138" t="str">
        <f t="shared" si="1194"/>
        <v>Without Amendment</v>
      </c>
      <c r="D13491" s="138" t="str">
        <f t="shared" si="1192"/>
        <v>High_Low</v>
      </c>
      <c r="E13491" s="138" t="str">
        <f t="shared" si="1195"/>
        <v>Low</v>
      </c>
      <c r="F13491" s="138" t="str">
        <f t="shared" si="1196"/>
        <v>Upgraded</v>
      </c>
      <c r="G13491" s="153"/>
      <c r="H13491" s="210">
        <v>0.72750000000000004</v>
      </c>
      <c r="I13491" s="160" t="s">
        <v>48</v>
      </c>
      <c r="J13491" s="160">
        <v>1.1610000000000001E-2</v>
      </c>
      <c r="K13491" s="160" t="s">
        <v>13</v>
      </c>
      <c r="L13491" s="154" t="str">
        <f>IF(OpenLCAbasic!K13491="CTUh", "Fill in Manually",IF(OR(K13491="Unit", K13491=""), "", INDEX(LookUps!$E$5:$E$12, MATCH(OpenLCAbasic!K13491,LookUps!$D$5:$D$12,0))))</f>
        <v>Eutrophication Potential (EP) - kg N eq</v>
      </c>
      <c r="M13491" s="154" t="str">
        <f t="shared" si="1190"/>
        <v>Low_High_Low_Upgraded_Eutrophication Potential (EP) - kg N eq_Effluent release; wastewater treatment unit; at surface water; m3 wastewater - US_Without Amendment_Aerated Static Pile</v>
      </c>
    </row>
    <row r="13492" spans="1:13" s="120" customFormat="1" x14ac:dyDescent="0.25">
      <c r="A13492" s="119"/>
      <c r="B13492" s="138" t="str">
        <f t="shared" si="1193"/>
        <v>Aerated Static Pile</v>
      </c>
      <c r="C13492" s="138" t="str">
        <f t="shared" si="1194"/>
        <v>Without Amendment</v>
      </c>
      <c r="D13492" s="138" t="str">
        <f t="shared" si="1192"/>
        <v>High_Low</v>
      </c>
      <c r="E13492" s="138" t="str">
        <f t="shared" si="1195"/>
        <v>Low</v>
      </c>
      <c r="F13492" s="138" t="str">
        <f t="shared" si="1196"/>
        <v>Upgraded</v>
      </c>
      <c r="G13492" s="153"/>
      <c r="H13492" s="210">
        <v>0.18279999999999999</v>
      </c>
      <c r="I13492" s="160" t="s">
        <v>62</v>
      </c>
      <c r="J13492" s="160">
        <v>2.9199999999999999E-3</v>
      </c>
      <c r="K13492" s="160" t="s">
        <v>13</v>
      </c>
      <c r="L13492" s="154" t="str">
        <f>IF(OpenLCAbasic!K13492="CTUh", "Fill in Manually",IF(OR(K13492="Unit", K13492=""), "", INDEX(LookUps!$E$5:$E$12, MATCH(OpenLCAbasic!K13492,LookUps!$D$5:$D$12,0))))</f>
        <v>Eutrophication Potential (EP) - kg N eq</v>
      </c>
      <c r="M13492" s="154" t="str">
        <f t="shared" si="1190"/>
        <v>Low_High_Low_Upgraded_Eutrophication Potential (EP) - kg N eq_Land application of compost; wastewater treatment unit; at updated plant - US_Without Amendment_Aerated Static Pile</v>
      </c>
    </row>
    <row r="13493" spans="1:13" s="120" customFormat="1" x14ac:dyDescent="0.25">
      <c r="A13493" s="119"/>
      <c r="B13493" s="138" t="str">
        <f t="shared" si="1193"/>
        <v>Aerated Static Pile</v>
      </c>
      <c r="C13493" s="138" t="str">
        <f t="shared" si="1194"/>
        <v>Without Amendment</v>
      </c>
      <c r="D13493" s="138" t="str">
        <f t="shared" si="1192"/>
        <v>High_Low</v>
      </c>
      <c r="E13493" s="138" t="str">
        <f t="shared" si="1195"/>
        <v>Low</v>
      </c>
      <c r="F13493" s="138" t="str">
        <f t="shared" si="1196"/>
        <v>Upgraded</v>
      </c>
      <c r="G13493" s="153"/>
      <c r="H13493" s="210">
        <v>3.4200000000000001E-2</v>
      </c>
      <c r="I13493" s="160" t="s">
        <v>55</v>
      </c>
      <c r="J13493" s="160">
        <v>5.5000000000000003E-4</v>
      </c>
      <c r="K13493" s="160" t="s">
        <v>13</v>
      </c>
      <c r="L13493" s="154" t="str">
        <f>IF(OpenLCAbasic!K13493="CTUh", "Fill in Manually",IF(OR(K13493="Unit", K13493=""), "", INDEX(LookUps!$E$5:$E$12, MATCH(OpenLCAbasic!K13493,LookUps!$D$5:$D$12,0))))</f>
        <v>Eutrophication Potential (EP) - kg N eq</v>
      </c>
      <c r="M13493" s="154" t="str">
        <f t="shared" si="1190"/>
        <v>Low_High_Low_Upgraded_Eutrophication Potential (EP) - kg N eq_Aeration Tanks; wastewater treatment unit; at updated plant - US_Without Amendment_Aerated Static Pile</v>
      </c>
    </row>
    <row r="13494" spans="1:13" s="120" customFormat="1" x14ac:dyDescent="0.25">
      <c r="A13494" s="119"/>
      <c r="B13494" s="138" t="str">
        <f t="shared" si="1193"/>
        <v>Aerated Static Pile</v>
      </c>
      <c r="C13494" s="138" t="str">
        <f t="shared" si="1194"/>
        <v>Without Amendment</v>
      </c>
      <c r="D13494" s="138" t="str">
        <f t="shared" si="1192"/>
        <v>High_Low</v>
      </c>
      <c r="E13494" s="138" t="str">
        <f t="shared" si="1195"/>
        <v>Low</v>
      </c>
      <c r="F13494" s="138" t="str">
        <f t="shared" si="1196"/>
        <v>Upgraded</v>
      </c>
      <c r="G13494" s="153"/>
      <c r="H13494" s="210">
        <v>1.5599999999999999E-2</v>
      </c>
      <c r="I13494" s="160" t="s">
        <v>147</v>
      </c>
      <c r="J13494" s="160">
        <v>2.5000000000000001E-4</v>
      </c>
      <c r="K13494" s="160" t="s">
        <v>13</v>
      </c>
      <c r="L13494" s="154" t="str">
        <f>IF(OpenLCAbasic!K13494="CTUh", "Fill in Manually",IF(OR(K13494="Unit", K13494=""), "", INDEX(LookUps!$E$5:$E$12, MATCH(OpenLCAbasic!K13494,LookUps!$D$5:$D$12,0))))</f>
        <v>Eutrophication Potential (EP) - kg N eq</v>
      </c>
      <c r="M13494" s="154" t="str">
        <f t="shared" si="1190"/>
        <v>Low_High_Low_Upgraded_Eutrophication Potential (EP) - kg N eq_Influent Pump Station; wastewater treatment unit; at updated plant - US_Without Amendment_Aerated Static Pile</v>
      </c>
    </row>
    <row r="13495" spans="1:13" s="120" customFormat="1" x14ac:dyDescent="0.25">
      <c r="A13495" s="119"/>
      <c r="B13495" s="138" t="str">
        <f t="shared" si="1193"/>
        <v>Aerated Static Pile</v>
      </c>
      <c r="C13495" s="138" t="str">
        <f t="shared" si="1194"/>
        <v>Without Amendment</v>
      </c>
      <c r="D13495" s="138" t="str">
        <f t="shared" si="1192"/>
        <v>High_Low</v>
      </c>
      <c r="E13495" s="138" t="str">
        <f t="shared" si="1195"/>
        <v>Low</v>
      </c>
      <c r="F13495" s="138" t="str">
        <f t="shared" si="1196"/>
        <v>Upgraded</v>
      </c>
      <c r="G13495" s="153"/>
      <c r="H13495" s="210">
        <v>1.38E-2</v>
      </c>
      <c r="I13495" s="160" t="s">
        <v>167</v>
      </c>
      <c r="J13495" s="160">
        <v>2.2000000000000001E-4</v>
      </c>
      <c r="K13495" s="160" t="s">
        <v>13</v>
      </c>
      <c r="L13495" s="154" t="str">
        <f>IF(OpenLCAbasic!K13495="CTUh", "Fill in Manually",IF(OR(K13495="Unit", K13495=""), "", INDEX(LookUps!$E$5:$E$12, MATCH(OpenLCAbasic!K13495,LookUps!$D$5:$D$12,0))))</f>
        <v>Eutrophication Potential (EP) - kg N eq</v>
      </c>
      <c r="M13495" s="154" t="str">
        <f t="shared" si="1190"/>
        <v>Low_High_Low_Upgraded_Eutrophication Potential (EP) - kg N eq_Waste Receiving and Holding; wastewater treatment unit; at updated plant - US_Without Amendment_Aerated Static Pile</v>
      </c>
    </row>
    <row r="13496" spans="1:13" s="120" customFormat="1" x14ac:dyDescent="0.25">
      <c r="A13496" s="119"/>
      <c r="B13496" s="138" t="str">
        <f t="shared" si="1193"/>
        <v>Aerated Static Pile</v>
      </c>
      <c r="C13496" s="138" t="str">
        <f t="shared" si="1194"/>
        <v>Without Amendment</v>
      </c>
      <c r="D13496" s="138" t="str">
        <f t="shared" si="1192"/>
        <v>High_Low</v>
      </c>
      <c r="E13496" s="138" t="str">
        <f t="shared" si="1195"/>
        <v>Low</v>
      </c>
      <c r="F13496" s="138" t="str">
        <f t="shared" si="1196"/>
        <v>Upgraded</v>
      </c>
      <c r="G13496" s="153"/>
      <c r="H13496" s="210">
        <v>1.24E-2</v>
      </c>
      <c r="I13496" s="160" t="s">
        <v>54</v>
      </c>
      <c r="J13496" s="160">
        <v>2.0000000000000001E-4</v>
      </c>
      <c r="K13496" s="160" t="s">
        <v>13</v>
      </c>
      <c r="L13496" s="154" t="str">
        <f>IF(OpenLCAbasic!K13496="CTUh", "Fill in Manually",IF(OR(K13496="Unit", K13496=""), "", INDEX(LookUps!$E$5:$E$12, MATCH(OpenLCAbasic!K13496,LookUps!$D$5:$D$12,0))))</f>
        <v>Eutrophication Potential (EP) - kg N eq</v>
      </c>
      <c r="M13496" s="154" t="str">
        <f t="shared" si="1190"/>
        <v>Low_High_Low_Upgraded_Eutrophication Potential (EP) - kg N eq_Clear Cove Primary Clarification; wastewater treatment unit; at updated plant - US_Without Amendment_Aerated Static Pile</v>
      </c>
    </row>
    <row r="13497" spans="1:13" s="120" customFormat="1" x14ac:dyDescent="0.25">
      <c r="A13497" s="119"/>
      <c r="B13497" s="138" t="str">
        <f t="shared" si="1193"/>
        <v>Aerated Static Pile</v>
      </c>
      <c r="C13497" s="138" t="str">
        <f t="shared" si="1194"/>
        <v>Without Amendment</v>
      </c>
      <c r="D13497" s="138" t="str">
        <f t="shared" si="1192"/>
        <v>High_Low</v>
      </c>
      <c r="E13497" s="138" t="str">
        <f t="shared" si="1195"/>
        <v>Low</v>
      </c>
      <c r="F13497" s="138" t="str">
        <f t="shared" si="1196"/>
        <v>Upgraded</v>
      </c>
      <c r="G13497" s="153"/>
      <c r="H13497" s="210">
        <v>8.5000000000000006E-3</v>
      </c>
      <c r="I13497" s="160" t="s">
        <v>58</v>
      </c>
      <c r="J13497" s="160">
        <v>1.3999999999999999E-4</v>
      </c>
      <c r="K13497" s="160" t="s">
        <v>13</v>
      </c>
      <c r="L13497" s="154" t="str">
        <f>IF(OpenLCAbasic!K13497="CTUh", "Fill in Manually",IF(OR(K13497="Unit", K13497=""), "", INDEX(LookUps!$E$5:$E$12, MATCH(OpenLCAbasic!K13497,LookUps!$D$5:$D$12,0))))</f>
        <v>Eutrophication Potential (EP) - kg N eq</v>
      </c>
      <c r="M13497" s="154" t="str">
        <f t="shared" si="1190"/>
        <v>Low_High_Low_Upgraded_Eutrophication Potential (EP) - kg N eq_Pre-Anoxic &amp; Swing tank; wastewater treatment unit; at updated plant - US_Without Amendment_Aerated Static Pile</v>
      </c>
    </row>
    <row r="13498" spans="1:13" s="120" customFormat="1" x14ac:dyDescent="0.25">
      <c r="A13498" s="119"/>
      <c r="B13498" s="138" t="str">
        <f t="shared" si="1193"/>
        <v>Aerated Static Pile</v>
      </c>
      <c r="C13498" s="138" t="str">
        <f t="shared" si="1194"/>
        <v>Without Amendment</v>
      </c>
      <c r="D13498" s="138" t="str">
        <f t="shared" si="1192"/>
        <v>High_Low</v>
      </c>
      <c r="E13498" s="138" t="str">
        <f t="shared" si="1195"/>
        <v>Low</v>
      </c>
      <c r="F13498" s="138" t="str">
        <f t="shared" si="1196"/>
        <v>Upgraded</v>
      </c>
      <c r="G13498" s="153"/>
      <c r="H13498" s="210">
        <v>7.1999999999999998E-3</v>
      </c>
      <c r="I13498" s="160" t="s">
        <v>435</v>
      </c>
      <c r="J13498" s="160">
        <v>1.2E-4</v>
      </c>
      <c r="K13498" s="160" t="s">
        <v>13</v>
      </c>
      <c r="L13498" s="154" t="str">
        <f>IF(OpenLCAbasic!K13498="CTUh", "Fill in Manually",IF(OR(K13498="Unit", K13498=""), "", INDEX(LookUps!$E$5:$E$12, MATCH(OpenLCAbasic!K13498,LookUps!$D$5:$D$12,0))))</f>
        <v>Eutrophication Potential (EP) - kg N eq</v>
      </c>
      <c r="M13498" s="154" t="str">
        <f t="shared" si="1190"/>
        <v>Low_High_Low_Upgraded_Eutrophication Potential (EP) - kg N eq_Biosolids composting; aerated static pile; wastewater treatment unit; at updated plant - US_Without Amendment_Aerated Static Pile</v>
      </c>
    </row>
    <row r="13499" spans="1:13" s="120" customFormat="1" x14ac:dyDescent="0.25">
      <c r="A13499" s="119"/>
      <c r="B13499" s="138" t="str">
        <f t="shared" si="1193"/>
        <v>Aerated Static Pile</v>
      </c>
      <c r="C13499" s="138" t="str">
        <f t="shared" si="1194"/>
        <v>Without Amendment</v>
      </c>
      <c r="D13499" s="138" t="str">
        <f t="shared" si="1192"/>
        <v>High_Low</v>
      </c>
      <c r="E13499" s="138" t="str">
        <f t="shared" si="1195"/>
        <v>Low</v>
      </c>
      <c r="F13499" s="138" t="str">
        <f t="shared" si="1196"/>
        <v>Upgraded</v>
      </c>
      <c r="G13499" s="153"/>
      <c r="H13499" s="210">
        <v>6.8999999999999999E-3</v>
      </c>
      <c r="I13499" s="160" t="s">
        <v>60</v>
      </c>
      <c r="J13499" s="160">
        <v>1.1E-4</v>
      </c>
      <c r="K13499" s="160" t="s">
        <v>13</v>
      </c>
      <c r="L13499" s="154" t="str">
        <f>IF(OpenLCAbasic!K13499="CTUh", "Fill in Manually",IF(OR(K13499="Unit", K13499=""), "", INDEX(LookUps!$E$5:$E$12, MATCH(OpenLCAbasic!K13499,LookUps!$D$5:$D$12,0))))</f>
        <v>Eutrophication Potential (EP) - kg N eq</v>
      </c>
      <c r="M13499" s="154" t="str">
        <f t="shared" si="1190"/>
        <v>Low_High_Low_Upgraded_Eutrophication Potential (EP) - kg N eq_Belt filter press; wastewater treatment unit; at updated plant - US_Without Amendment_Aerated Static Pile</v>
      </c>
    </row>
    <row r="13500" spans="1:13" s="120" customFormat="1" x14ac:dyDescent="0.25">
      <c r="A13500" s="119"/>
      <c r="B13500" s="138" t="str">
        <f t="shared" si="1193"/>
        <v>Aerated Static Pile</v>
      </c>
      <c r="C13500" s="138" t="str">
        <f t="shared" si="1194"/>
        <v>Without Amendment</v>
      </c>
      <c r="D13500" s="138" t="str">
        <f t="shared" si="1192"/>
        <v>High_Low</v>
      </c>
      <c r="E13500" s="138" t="str">
        <f t="shared" si="1195"/>
        <v>Low</v>
      </c>
      <c r="F13500" s="138" t="str">
        <f t="shared" si="1196"/>
        <v>Upgraded</v>
      </c>
      <c r="G13500" s="153"/>
      <c r="H13500" s="210">
        <v>6.7000000000000002E-3</v>
      </c>
      <c r="I13500" s="160" t="s">
        <v>53</v>
      </c>
      <c r="J13500" s="211">
        <v>1.1E-4</v>
      </c>
      <c r="K13500" s="160" t="s">
        <v>13</v>
      </c>
      <c r="L13500" s="154" t="str">
        <f>IF(OpenLCAbasic!K13500="CTUh", "Fill in Manually",IF(OR(K13500="Unit", K13500=""), "", INDEX(LookUps!$E$5:$E$12, MATCH(OpenLCAbasic!K13500,LookUps!$D$5:$D$12,0))))</f>
        <v>Eutrophication Potential (EP) - kg N eq</v>
      </c>
      <c r="M13500" s="154" t="str">
        <f t="shared" si="1190"/>
        <v>Low_High_Low_Upgraded_Eutrophication Potential (EP) - kg N eq_Wet Well and Sump Station; wastewater treatment unit; at updated plant - US_Without Amendment_Aerated Static Pile</v>
      </c>
    </row>
    <row r="13501" spans="1:13" s="120" customFormat="1" x14ac:dyDescent="0.25">
      <c r="A13501" s="119"/>
      <c r="B13501" s="138" t="str">
        <f t="shared" si="1193"/>
        <v>Aerated Static Pile</v>
      </c>
      <c r="C13501" s="138" t="str">
        <f t="shared" si="1194"/>
        <v>Without Amendment</v>
      </c>
      <c r="D13501" s="138" t="str">
        <f t="shared" si="1192"/>
        <v>High_Low</v>
      </c>
      <c r="E13501" s="138" t="str">
        <f t="shared" si="1195"/>
        <v>Low</v>
      </c>
      <c r="F13501" s="138" t="str">
        <f t="shared" si="1196"/>
        <v>Upgraded</v>
      </c>
      <c r="G13501" s="153"/>
      <c r="H13501" s="210">
        <v>3.8E-3</v>
      </c>
      <c r="I13501" s="160" t="s">
        <v>57</v>
      </c>
      <c r="J13501" s="211">
        <v>6.0590300000000002E-5</v>
      </c>
      <c r="K13501" s="160" t="s">
        <v>13</v>
      </c>
      <c r="L13501" s="154" t="str">
        <f>IF(OpenLCAbasic!K13501="CTUh", "Fill in Manually",IF(OR(K13501="Unit", K13501=""), "", INDEX(LookUps!$E$5:$E$12, MATCH(OpenLCAbasic!K13501,LookUps!$D$5:$D$12,0))))</f>
        <v>Eutrophication Potential (EP) - kg N eq</v>
      </c>
      <c r="M13501" s="154" t="str">
        <f t="shared" si="1190"/>
        <v>Low_High_Low_Upgraded_Eutrophication Potential (EP) - kg N eq_Gravity Belt Thickener; wastewater treatment unit; at updated plant - US_Without Amendment_Aerated Static Pile</v>
      </c>
    </row>
    <row r="13502" spans="1:13" s="120" customFormat="1" x14ac:dyDescent="0.25">
      <c r="A13502" s="119"/>
      <c r="B13502" s="138" t="str">
        <f t="shared" si="1193"/>
        <v>Aerated Static Pile</v>
      </c>
      <c r="C13502" s="138" t="str">
        <f t="shared" si="1194"/>
        <v>Without Amendment</v>
      </c>
      <c r="D13502" s="138" t="str">
        <f t="shared" si="1192"/>
        <v>High_Low</v>
      </c>
      <c r="E13502" s="138" t="str">
        <f t="shared" si="1195"/>
        <v>Low</v>
      </c>
      <c r="F13502" s="138" t="str">
        <f t="shared" si="1196"/>
        <v>Upgraded</v>
      </c>
      <c r="G13502" s="153"/>
      <c r="H13502" s="210">
        <v>2.3999999999999998E-3</v>
      </c>
      <c r="I13502" s="160" t="s">
        <v>128</v>
      </c>
      <c r="J13502" s="211">
        <v>3.7559799999999999E-5</v>
      </c>
      <c r="K13502" s="160" t="s">
        <v>13</v>
      </c>
      <c r="L13502" s="154" t="str">
        <f>IF(OpenLCAbasic!K13502="CTUh", "Fill in Manually",IF(OR(K13502="Unit", K13502=""), "", INDEX(LookUps!$E$5:$E$12, MATCH(OpenLCAbasic!K13502,LookUps!$D$5:$D$12,0))))</f>
        <v>Eutrophication Potential (EP) - kg N eq</v>
      </c>
      <c r="M13502" s="154" t="str">
        <f t="shared" si="1190"/>
        <v>Low_High_Low_Upgraded_Eutrophication Potential (EP) - kg N eq_Wastewater collection; operation and infrastructure; m3 wastewater_Without Amendment_Aerated Static Pile</v>
      </c>
    </row>
    <row r="13503" spans="1:13" s="120" customFormat="1" x14ac:dyDescent="0.25">
      <c r="A13503" s="119"/>
      <c r="B13503" s="138" t="str">
        <f t="shared" si="1193"/>
        <v>Aerated Static Pile</v>
      </c>
      <c r="C13503" s="138" t="str">
        <f t="shared" si="1194"/>
        <v>Without Amendment</v>
      </c>
      <c r="D13503" s="138" t="str">
        <f t="shared" si="1192"/>
        <v>High_Low</v>
      </c>
      <c r="E13503" s="138" t="str">
        <f t="shared" si="1195"/>
        <v>Low</v>
      </c>
      <c r="F13503" s="138" t="str">
        <f t="shared" si="1196"/>
        <v>Upgraded</v>
      </c>
      <c r="G13503" s="153"/>
      <c r="H13503" s="210">
        <v>2.3E-3</v>
      </c>
      <c r="I13503" s="160" t="s">
        <v>148</v>
      </c>
      <c r="J13503" s="211">
        <v>3.6874600000000001E-5</v>
      </c>
      <c r="K13503" s="160" t="s">
        <v>13</v>
      </c>
      <c r="L13503" s="154" t="str">
        <f>IF(OpenLCAbasic!K13503="CTUh", "Fill in Manually",IF(OR(K13503="Unit", K13503=""), "", INDEX(LookUps!$E$5:$E$12, MATCH(OpenLCAbasic!K13503,LookUps!$D$5:$D$12,0))))</f>
        <v>Eutrophication Potential (EP) - kg N eq</v>
      </c>
      <c r="M13503" s="154" t="str">
        <f t="shared" si="1190"/>
        <v>Low_High_Low_Upgraded_Eutrophication Potential (EP) - kg N eq_Control Building; at upgraded wastewater treatment plant - US_Without Amendment_Aerated Static Pile</v>
      </c>
    </row>
    <row r="13504" spans="1:13" s="120" customFormat="1" x14ac:dyDescent="0.25">
      <c r="A13504" s="119"/>
      <c r="B13504" s="138" t="str">
        <f t="shared" si="1193"/>
        <v>Aerated Static Pile</v>
      </c>
      <c r="C13504" s="138" t="str">
        <f t="shared" si="1194"/>
        <v>Without Amendment</v>
      </c>
      <c r="D13504" s="138" t="str">
        <f t="shared" si="1192"/>
        <v>High_Low</v>
      </c>
      <c r="E13504" s="138" t="str">
        <f t="shared" si="1195"/>
        <v>Low</v>
      </c>
      <c r="F13504" s="138" t="str">
        <f t="shared" si="1196"/>
        <v>Upgraded</v>
      </c>
      <c r="G13504" s="153"/>
      <c r="H13504" s="210">
        <v>1E-3</v>
      </c>
      <c r="I13504" s="160" t="s">
        <v>59</v>
      </c>
      <c r="J13504" s="211">
        <v>1.6215700000000001E-5</v>
      </c>
      <c r="K13504" s="160" t="s">
        <v>13</v>
      </c>
      <c r="L13504" s="154" t="str">
        <f>IF(OpenLCAbasic!K13504="CTUh", "Fill in Manually",IF(OR(K13504="Unit", K13504=""), "", INDEX(LookUps!$E$5:$E$12, MATCH(OpenLCAbasic!K13504,LookUps!$D$5:$D$12,0))))</f>
        <v>Eutrophication Potential (EP) - kg N eq</v>
      </c>
      <c r="M13504" s="154" t="str">
        <f t="shared" si="1190"/>
        <v>Low_High_Low_Upgraded_Eutrophication Potential (EP) - kg N eq_Blend Tank; wastewater treatment unit; at updated plant - US_Without Amendment_Aerated Static Pile</v>
      </c>
    </row>
    <row r="13505" spans="1:13" s="120" customFormat="1" x14ac:dyDescent="0.25">
      <c r="A13505" s="119"/>
      <c r="B13505" s="138" t="str">
        <f t="shared" si="1193"/>
        <v>Aerated Static Pile</v>
      </c>
      <c r="C13505" s="138" t="str">
        <f t="shared" si="1194"/>
        <v>Without Amendment</v>
      </c>
      <c r="D13505" s="138" t="str">
        <f t="shared" si="1192"/>
        <v>High_Low</v>
      </c>
      <c r="E13505" s="138" t="str">
        <f t="shared" si="1195"/>
        <v>Low</v>
      </c>
      <c r="F13505" s="138" t="str">
        <f t="shared" si="1196"/>
        <v>Upgraded</v>
      </c>
      <c r="G13505" s="153"/>
      <c r="H13505" s="210">
        <v>5.0000000000000001E-4</v>
      </c>
      <c r="I13505" s="160" t="s">
        <v>168</v>
      </c>
      <c r="J13505" s="211">
        <v>7.7567199999999995E-6</v>
      </c>
      <c r="K13505" s="160" t="s">
        <v>13</v>
      </c>
      <c r="L13505" s="154" t="str">
        <f>IF(OpenLCAbasic!K13505="CTUh", "Fill in Manually",IF(OR(K13505="Unit", K13505=""), "", INDEX(LookUps!$E$5:$E$12, MATCH(OpenLCAbasic!K13505,LookUps!$D$5:$D$12,0))))</f>
        <v>Eutrophication Potential (EP) - kg N eq</v>
      </c>
      <c r="M13505" s="154" t="str">
        <f t="shared" si="1190"/>
        <v>Low_High_Low_Upgraded_Eutrophication Potential (EP) - kg N eq_ClearCove SCP; wastewater treatment unit; at updated plant - US_Without Amendment_Aerated Static Pile</v>
      </c>
    </row>
    <row r="13506" spans="1:13" s="120" customFormat="1" x14ac:dyDescent="0.25">
      <c r="A13506" s="119"/>
      <c r="B13506" s="138" t="str">
        <f t="shared" si="1193"/>
        <v>Aerated Static Pile</v>
      </c>
      <c r="C13506" s="138" t="str">
        <f t="shared" si="1194"/>
        <v>Without Amendment</v>
      </c>
      <c r="D13506" s="138" t="str">
        <f t="shared" si="1192"/>
        <v>High_Low</v>
      </c>
      <c r="E13506" s="138" t="str">
        <f t="shared" si="1195"/>
        <v>Low</v>
      </c>
      <c r="F13506" s="138" t="str">
        <f t="shared" si="1196"/>
        <v>Upgraded</v>
      </c>
      <c r="G13506" s="153"/>
      <c r="H13506" s="210">
        <v>-2.5700000000000001E-2</v>
      </c>
      <c r="I13506" s="160" t="s">
        <v>149</v>
      </c>
      <c r="J13506" s="160">
        <v>-4.0999999999999999E-4</v>
      </c>
      <c r="K13506" s="160" t="s">
        <v>13</v>
      </c>
      <c r="L13506" s="154" t="str">
        <f>IF(OpenLCAbasic!K13506="CTUh", "Fill in Manually",IF(OR(K13506="Unit", K13506=""), "", INDEX(LookUps!$E$5:$E$12, MATCH(OpenLCAbasic!K13506,LookUps!$D$5:$D$12,0))))</f>
        <v>Eutrophication Potential (EP) - kg N eq</v>
      </c>
      <c r="M13506" s="154" t="str">
        <f t="shared" si="1190"/>
        <v>Low_High_Low_Upgraded_Eutrophication Potential (EP) - kg N eq_Anaerobic Digestion; wastewater treatment unit; at updated plant - US_Without Amendment_Aerated Static Pile</v>
      </c>
    </row>
    <row r="13507" spans="1:13" s="120" customFormat="1" x14ac:dyDescent="0.25">
      <c r="A13507" s="119"/>
      <c r="B13507" s="138" t="str">
        <f t="shared" si="1193"/>
        <v/>
      </c>
      <c r="C13507" s="138" t="str">
        <f t="shared" si="1194"/>
        <v/>
      </c>
      <c r="D13507" s="138" t="str">
        <f t="shared" si="1192"/>
        <v/>
      </c>
      <c r="E13507" s="138" t="str">
        <f t="shared" si="1195"/>
        <v/>
      </c>
      <c r="F13507" s="138" t="str">
        <f t="shared" si="1196"/>
        <v/>
      </c>
      <c r="G13507" s="153" t="s">
        <v>51</v>
      </c>
      <c r="H13507" s="160"/>
      <c r="I13507" s="160" t="s">
        <v>47</v>
      </c>
      <c r="J13507" s="160" t="s">
        <v>52</v>
      </c>
      <c r="K13507" s="160" t="s">
        <v>27</v>
      </c>
      <c r="L13507" s="154" t="str">
        <f>IF(OpenLCAbasic!K13507="CTUh", "Fill in Manually",IF(OR(K13507="Unit", K13507=""), "", INDEX(LookUps!$E$5:$E$12, MATCH(OpenLCAbasic!K13507,LookUps!$D$5:$D$12,0))))</f>
        <v/>
      </c>
      <c r="M13507" s="154" t="str">
        <f t="shared" si="1190"/>
        <v>____Process__</v>
      </c>
    </row>
    <row r="13508" spans="1:13" s="120" customFormat="1" x14ac:dyDescent="0.25">
      <c r="A13508" s="119"/>
      <c r="B13508" s="138" t="str">
        <f t="shared" si="1193"/>
        <v>Aerated Static Pile</v>
      </c>
      <c r="C13508" s="138" t="str">
        <f t="shared" si="1194"/>
        <v>Without Amendment</v>
      </c>
      <c r="D13508" s="138" t="str">
        <f t="shared" si="1192"/>
        <v>High_Low</v>
      </c>
      <c r="E13508" s="138" t="str">
        <f t="shared" si="1195"/>
        <v>Low</v>
      </c>
      <c r="F13508" s="138" t="str">
        <f t="shared" si="1196"/>
        <v>Upgraded</v>
      </c>
      <c r="G13508" s="153"/>
      <c r="H13508" s="210">
        <v>0.6401</v>
      </c>
      <c r="I13508" s="160" t="s">
        <v>167</v>
      </c>
      <c r="J13508" s="160">
        <v>0.11719</v>
      </c>
      <c r="K13508" s="160" t="s">
        <v>14</v>
      </c>
      <c r="L13508" s="154" t="str">
        <f>IF(OpenLCAbasic!K13508="CTUh", "Fill in Manually",IF(OR(K13508="Unit", K13508=""), "", INDEX(LookUps!$E$5:$E$12, MATCH(OpenLCAbasic!K13508,LookUps!$D$5:$D$12,0))))</f>
        <v>Fossil Depletion Potential (FDP) - kg oil eq</v>
      </c>
      <c r="M13508" s="154" t="str">
        <f t="shared" ref="M13508:M13571" si="1197">CONCATENATE(E13508,"_",D13508,"_",F13508,"_",L13508, "_",I13508,"_", C13508,"_", B13508)</f>
        <v>Low_High_Low_Upgraded_Fossil Depletion Potential (FDP) - kg oil eq_Waste Receiving and Holding; wastewater treatment unit; at updated plant - US_Without Amendment_Aerated Static Pile</v>
      </c>
    </row>
    <row r="13509" spans="1:13" s="120" customFormat="1" x14ac:dyDescent="0.25">
      <c r="A13509" s="119"/>
      <c r="B13509" s="138" t="str">
        <f t="shared" si="1193"/>
        <v>Aerated Static Pile</v>
      </c>
      <c r="C13509" s="138" t="str">
        <f t="shared" si="1194"/>
        <v>Without Amendment</v>
      </c>
      <c r="D13509" s="138" t="str">
        <f t="shared" si="1192"/>
        <v>High_Low</v>
      </c>
      <c r="E13509" s="138" t="str">
        <f t="shared" si="1195"/>
        <v>Low</v>
      </c>
      <c r="F13509" s="138" t="str">
        <f t="shared" si="1196"/>
        <v>Upgraded</v>
      </c>
      <c r="G13509" s="153"/>
      <c r="H13509" s="210">
        <v>0.3473</v>
      </c>
      <c r="I13509" s="160" t="s">
        <v>55</v>
      </c>
      <c r="J13509" s="160">
        <v>6.3589999999999994E-2</v>
      </c>
      <c r="K13509" s="160" t="s">
        <v>14</v>
      </c>
      <c r="L13509" s="154" t="str">
        <f>IF(OpenLCAbasic!K13509="CTUh", "Fill in Manually",IF(OR(K13509="Unit", K13509=""), "", INDEX(LookUps!$E$5:$E$12, MATCH(OpenLCAbasic!K13509,LookUps!$D$5:$D$12,0))))</f>
        <v>Fossil Depletion Potential (FDP) - kg oil eq</v>
      </c>
      <c r="M13509" s="154" t="str">
        <f t="shared" si="1197"/>
        <v>Low_High_Low_Upgraded_Fossil Depletion Potential (FDP) - kg oil eq_Aeration Tanks; wastewater treatment unit; at updated plant - US_Without Amendment_Aerated Static Pile</v>
      </c>
    </row>
    <row r="13510" spans="1:13" s="120" customFormat="1" x14ac:dyDescent="0.25">
      <c r="A13510" s="119"/>
      <c r="B13510" s="138" t="str">
        <f t="shared" si="1193"/>
        <v>Aerated Static Pile</v>
      </c>
      <c r="C13510" s="138" t="str">
        <f t="shared" si="1194"/>
        <v>Without Amendment</v>
      </c>
      <c r="D13510" s="138" t="str">
        <f t="shared" si="1192"/>
        <v>High_Low</v>
      </c>
      <c r="E13510" s="138" t="str">
        <f t="shared" si="1195"/>
        <v>Low</v>
      </c>
      <c r="F13510" s="138" t="str">
        <f t="shared" si="1196"/>
        <v>Upgraded</v>
      </c>
      <c r="G13510" s="153"/>
      <c r="H13510" s="210">
        <v>0.115</v>
      </c>
      <c r="I13510" s="160" t="s">
        <v>54</v>
      </c>
      <c r="J13510" s="160">
        <v>2.1049999999999999E-2</v>
      </c>
      <c r="K13510" s="160" t="s">
        <v>14</v>
      </c>
      <c r="L13510" s="154" t="str">
        <f>IF(OpenLCAbasic!K13510="CTUh", "Fill in Manually",IF(OR(K13510="Unit", K13510=""), "", INDEX(LookUps!$E$5:$E$12, MATCH(OpenLCAbasic!K13510,LookUps!$D$5:$D$12,0))))</f>
        <v>Fossil Depletion Potential (FDP) - kg oil eq</v>
      </c>
      <c r="M13510" s="154" t="str">
        <f t="shared" si="1197"/>
        <v>Low_High_Low_Upgraded_Fossil Depletion Potential (FDP) - kg oil eq_Clear Cove Primary Clarification; wastewater treatment unit; at updated plant - US_Without Amendment_Aerated Static Pile</v>
      </c>
    </row>
    <row r="13511" spans="1:13" s="120" customFormat="1" x14ac:dyDescent="0.25">
      <c r="A13511" s="119"/>
      <c r="B13511" s="138" t="str">
        <f t="shared" si="1193"/>
        <v>Aerated Static Pile</v>
      </c>
      <c r="C13511" s="138" t="str">
        <f t="shared" si="1194"/>
        <v>Without Amendment</v>
      </c>
      <c r="D13511" s="138" t="str">
        <f t="shared" si="1192"/>
        <v>High_Low</v>
      </c>
      <c r="E13511" s="138" t="str">
        <f t="shared" si="1195"/>
        <v>Low</v>
      </c>
      <c r="F13511" s="138" t="str">
        <f t="shared" si="1196"/>
        <v>Upgraded</v>
      </c>
      <c r="G13511" s="153"/>
      <c r="H13511" s="210">
        <v>8.7599999999999997E-2</v>
      </c>
      <c r="I13511" s="160" t="s">
        <v>58</v>
      </c>
      <c r="J13511" s="160">
        <v>1.6039999999999999E-2</v>
      </c>
      <c r="K13511" s="160" t="s">
        <v>14</v>
      </c>
      <c r="L13511" s="154" t="str">
        <f>IF(OpenLCAbasic!K13511="CTUh", "Fill in Manually",IF(OR(K13511="Unit", K13511=""), "", INDEX(LookUps!$E$5:$E$12, MATCH(OpenLCAbasic!K13511,LookUps!$D$5:$D$12,0))))</f>
        <v>Fossil Depletion Potential (FDP) - kg oil eq</v>
      </c>
      <c r="M13511" s="154" t="str">
        <f t="shared" si="1197"/>
        <v>Low_High_Low_Upgraded_Fossil Depletion Potential (FDP) - kg oil eq_Pre-Anoxic &amp; Swing tank; wastewater treatment unit; at updated plant - US_Without Amendment_Aerated Static Pile</v>
      </c>
    </row>
    <row r="13512" spans="1:13" s="120" customFormat="1" x14ac:dyDescent="0.25">
      <c r="A13512" s="119"/>
      <c r="B13512" s="138" t="str">
        <f t="shared" si="1193"/>
        <v>Aerated Static Pile</v>
      </c>
      <c r="C13512" s="138" t="str">
        <f t="shared" si="1194"/>
        <v>Without Amendment</v>
      </c>
      <c r="D13512" s="138" t="str">
        <f t="shared" si="1192"/>
        <v>High_Low</v>
      </c>
      <c r="E13512" s="138" t="str">
        <f t="shared" si="1195"/>
        <v>Low</v>
      </c>
      <c r="F13512" s="138" t="str">
        <f t="shared" si="1196"/>
        <v>Upgraded</v>
      </c>
      <c r="G13512" s="153"/>
      <c r="H13512" s="210">
        <v>8.2400000000000001E-2</v>
      </c>
      <c r="I13512" s="160" t="s">
        <v>147</v>
      </c>
      <c r="J13512" s="160">
        <v>1.5089999999999999E-2</v>
      </c>
      <c r="K13512" s="160" t="s">
        <v>14</v>
      </c>
      <c r="L13512" s="154" t="str">
        <f>IF(OpenLCAbasic!K13512="CTUh", "Fill in Manually",IF(OR(K13512="Unit", K13512=""), "", INDEX(LookUps!$E$5:$E$12, MATCH(OpenLCAbasic!K13512,LookUps!$D$5:$D$12,0))))</f>
        <v>Fossil Depletion Potential (FDP) - kg oil eq</v>
      </c>
      <c r="M13512" s="154" t="str">
        <f t="shared" si="1197"/>
        <v>Low_High_Low_Upgraded_Fossil Depletion Potential (FDP) - kg oil eq_Influent Pump Station; wastewater treatment unit; at updated plant - US_Without Amendment_Aerated Static Pile</v>
      </c>
    </row>
    <row r="13513" spans="1:13" s="120" customFormat="1" x14ac:dyDescent="0.25">
      <c r="A13513" s="119"/>
      <c r="B13513" s="138" t="str">
        <f t="shared" si="1193"/>
        <v>Aerated Static Pile</v>
      </c>
      <c r="C13513" s="138" t="str">
        <f t="shared" si="1194"/>
        <v>Without Amendment</v>
      </c>
      <c r="D13513" s="138" t="str">
        <f t="shared" si="1192"/>
        <v>High_Low</v>
      </c>
      <c r="E13513" s="138" t="str">
        <f t="shared" si="1195"/>
        <v>Low</v>
      </c>
      <c r="F13513" s="138" t="str">
        <f t="shared" si="1196"/>
        <v>Upgraded</v>
      </c>
      <c r="G13513" s="153"/>
      <c r="H13513" s="210">
        <v>7.5200000000000003E-2</v>
      </c>
      <c r="I13513" s="160" t="s">
        <v>435</v>
      </c>
      <c r="J13513" s="160">
        <v>1.3769999999999999E-2</v>
      </c>
      <c r="K13513" s="160" t="s">
        <v>14</v>
      </c>
      <c r="L13513" s="154" t="str">
        <f>IF(OpenLCAbasic!K13513="CTUh", "Fill in Manually",IF(OR(K13513="Unit", K13513=""), "", INDEX(LookUps!$E$5:$E$12, MATCH(OpenLCAbasic!K13513,LookUps!$D$5:$D$12,0))))</f>
        <v>Fossil Depletion Potential (FDP) - kg oil eq</v>
      </c>
      <c r="M13513" s="154" t="str">
        <f t="shared" si="1197"/>
        <v>Low_High_Low_Upgraded_Fossil Depletion Potential (FDP) - kg oil eq_Biosolids composting; aerated static pile; wastewater treatment unit; at updated plant - US_Without Amendment_Aerated Static Pile</v>
      </c>
    </row>
    <row r="13514" spans="1:13" s="120" customFormat="1" x14ac:dyDescent="0.25">
      <c r="A13514" s="119"/>
      <c r="B13514" s="138" t="str">
        <f t="shared" si="1193"/>
        <v>Aerated Static Pile</v>
      </c>
      <c r="C13514" s="138" t="str">
        <f t="shared" si="1194"/>
        <v>Without Amendment</v>
      </c>
      <c r="D13514" s="138" t="str">
        <f t="shared" si="1192"/>
        <v>High_Low</v>
      </c>
      <c r="E13514" s="138" t="str">
        <f t="shared" si="1195"/>
        <v>Low</v>
      </c>
      <c r="F13514" s="138" t="str">
        <f t="shared" si="1196"/>
        <v>Upgraded</v>
      </c>
      <c r="G13514" s="153"/>
      <c r="H13514" s="210">
        <v>6.9099999999999995E-2</v>
      </c>
      <c r="I13514" s="160" t="s">
        <v>60</v>
      </c>
      <c r="J13514" s="160">
        <v>1.2659999999999999E-2</v>
      </c>
      <c r="K13514" s="160" t="s">
        <v>14</v>
      </c>
      <c r="L13514" s="154" t="str">
        <f>IF(OpenLCAbasic!K13514="CTUh", "Fill in Manually",IF(OR(K13514="Unit", K13514=""), "", INDEX(LookUps!$E$5:$E$12, MATCH(OpenLCAbasic!K13514,LookUps!$D$5:$D$12,0))))</f>
        <v>Fossil Depletion Potential (FDP) - kg oil eq</v>
      </c>
      <c r="M13514" s="154" t="str">
        <f t="shared" si="1197"/>
        <v>Low_High_Low_Upgraded_Fossil Depletion Potential (FDP) - kg oil eq_Belt filter press; wastewater treatment unit; at updated plant - US_Without Amendment_Aerated Static Pile</v>
      </c>
    </row>
    <row r="13515" spans="1:13" s="120" customFormat="1" x14ac:dyDescent="0.25">
      <c r="A13515" s="119"/>
      <c r="B13515" s="138" t="str">
        <f t="shared" si="1193"/>
        <v>Aerated Static Pile</v>
      </c>
      <c r="C13515" s="138" t="str">
        <f t="shared" si="1194"/>
        <v>Without Amendment</v>
      </c>
      <c r="D13515" s="138" t="str">
        <f t="shared" si="1192"/>
        <v>High_Low</v>
      </c>
      <c r="E13515" s="138" t="str">
        <f t="shared" si="1195"/>
        <v>Low</v>
      </c>
      <c r="F13515" s="138" t="str">
        <f t="shared" si="1196"/>
        <v>Upgraded</v>
      </c>
      <c r="G13515" s="153"/>
      <c r="H13515" s="210">
        <v>6.8199999999999997E-2</v>
      </c>
      <c r="I13515" s="160" t="s">
        <v>53</v>
      </c>
      <c r="J13515" s="160">
        <v>1.2489999999999999E-2</v>
      </c>
      <c r="K13515" s="160" t="s">
        <v>14</v>
      </c>
      <c r="L13515" s="154" t="str">
        <f>IF(OpenLCAbasic!K13515="CTUh", "Fill in Manually",IF(OR(K13515="Unit", K13515=""), "", INDEX(LookUps!$E$5:$E$12, MATCH(OpenLCAbasic!K13515,LookUps!$D$5:$D$12,0))))</f>
        <v>Fossil Depletion Potential (FDP) - kg oil eq</v>
      </c>
      <c r="M13515" s="154" t="str">
        <f t="shared" si="1197"/>
        <v>Low_High_Low_Upgraded_Fossil Depletion Potential (FDP) - kg oil eq_Wet Well and Sump Station; wastewater treatment unit; at updated plant - US_Without Amendment_Aerated Static Pile</v>
      </c>
    </row>
    <row r="13516" spans="1:13" s="120" customFormat="1" x14ac:dyDescent="0.25">
      <c r="A13516" s="119"/>
      <c r="B13516" s="138" t="str">
        <f t="shared" si="1193"/>
        <v>Aerated Static Pile</v>
      </c>
      <c r="C13516" s="138" t="str">
        <f t="shared" si="1194"/>
        <v>Without Amendment</v>
      </c>
      <c r="D13516" s="138" t="str">
        <f t="shared" si="1192"/>
        <v>High_Low</v>
      </c>
      <c r="E13516" s="138" t="str">
        <f t="shared" si="1195"/>
        <v>Low</v>
      </c>
      <c r="F13516" s="138" t="str">
        <f t="shared" si="1196"/>
        <v>Upgraded</v>
      </c>
      <c r="G13516" s="153"/>
      <c r="H13516" s="210">
        <v>3.78E-2</v>
      </c>
      <c r="I13516" s="160" t="s">
        <v>57</v>
      </c>
      <c r="J13516" s="160">
        <v>6.9199999999999999E-3</v>
      </c>
      <c r="K13516" s="160" t="s">
        <v>14</v>
      </c>
      <c r="L13516" s="154" t="str">
        <f>IF(OpenLCAbasic!K13516="CTUh", "Fill in Manually",IF(OR(K13516="Unit", K13516=""), "", INDEX(LookUps!$E$5:$E$12, MATCH(OpenLCAbasic!K13516,LookUps!$D$5:$D$12,0))))</f>
        <v>Fossil Depletion Potential (FDP) - kg oil eq</v>
      </c>
      <c r="M13516" s="154" t="str">
        <f t="shared" si="1197"/>
        <v>Low_High_Low_Upgraded_Fossil Depletion Potential (FDP) - kg oil eq_Gravity Belt Thickener; wastewater treatment unit; at updated plant - US_Without Amendment_Aerated Static Pile</v>
      </c>
    </row>
    <row r="13517" spans="1:13" s="120" customFormat="1" x14ac:dyDescent="0.25">
      <c r="A13517" s="119"/>
      <c r="B13517" s="138" t="str">
        <f t="shared" si="1193"/>
        <v>Aerated Static Pile</v>
      </c>
      <c r="C13517" s="138" t="str">
        <f t="shared" si="1194"/>
        <v>Without Amendment</v>
      </c>
      <c r="D13517" s="138" t="str">
        <f t="shared" si="1192"/>
        <v>High_Low</v>
      </c>
      <c r="E13517" s="138" t="str">
        <f t="shared" si="1195"/>
        <v>Low</v>
      </c>
      <c r="F13517" s="138" t="str">
        <f t="shared" si="1196"/>
        <v>Upgraded</v>
      </c>
      <c r="G13517" s="153"/>
      <c r="H13517" s="210">
        <v>2.46E-2</v>
      </c>
      <c r="I13517" s="160" t="s">
        <v>128</v>
      </c>
      <c r="J13517" s="160">
        <v>4.4999999999999997E-3</v>
      </c>
      <c r="K13517" s="160" t="s">
        <v>14</v>
      </c>
      <c r="L13517" s="154" t="str">
        <f>IF(OpenLCAbasic!K13517="CTUh", "Fill in Manually",IF(OR(K13517="Unit", K13517=""), "", INDEX(LookUps!$E$5:$E$12, MATCH(OpenLCAbasic!K13517,LookUps!$D$5:$D$12,0))))</f>
        <v>Fossil Depletion Potential (FDP) - kg oil eq</v>
      </c>
      <c r="M13517" s="154" t="str">
        <f t="shared" si="1197"/>
        <v>Low_High_Low_Upgraded_Fossil Depletion Potential (FDP) - kg oil eq_Wastewater collection; operation and infrastructure; m3 wastewater_Without Amendment_Aerated Static Pile</v>
      </c>
    </row>
    <row r="13518" spans="1:13" s="120" customFormat="1" x14ac:dyDescent="0.25">
      <c r="A13518" s="119"/>
      <c r="B13518" s="138" t="str">
        <f t="shared" si="1193"/>
        <v>Aerated Static Pile</v>
      </c>
      <c r="C13518" s="138" t="str">
        <f t="shared" si="1194"/>
        <v>Without Amendment</v>
      </c>
      <c r="D13518" s="138" t="str">
        <f t="shared" si="1192"/>
        <v>High_Low</v>
      </c>
      <c r="E13518" s="138" t="str">
        <f t="shared" si="1195"/>
        <v>Low</v>
      </c>
      <c r="F13518" s="138" t="str">
        <f t="shared" si="1196"/>
        <v>Upgraded</v>
      </c>
      <c r="G13518" s="153"/>
      <c r="H13518" s="210">
        <v>1.5299999999999999E-2</v>
      </c>
      <c r="I13518" s="160" t="s">
        <v>148</v>
      </c>
      <c r="J13518" s="160">
        <v>2.8E-3</v>
      </c>
      <c r="K13518" s="160" t="s">
        <v>14</v>
      </c>
      <c r="L13518" s="154" t="str">
        <f>IF(OpenLCAbasic!K13518="CTUh", "Fill in Manually",IF(OR(K13518="Unit", K13518=""), "", INDEX(LookUps!$E$5:$E$12, MATCH(OpenLCAbasic!K13518,LookUps!$D$5:$D$12,0))))</f>
        <v>Fossil Depletion Potential (FDP) - kg oil eq</v>
      </c>
      <c r="M13518" s="154" t="str">
        <f t="shared" si="1197"/>
        <v>Low_High_Low_Upgraded_Fossil Depletion Potential (FDP) - kg oil eq_Control Building; at upgraded wastewater treatment plant - US_Without Amendment_Aerated Static Pile</v>
      </c>
    </row>
    <row r="13519" spans="1:13" s="120" customFormat="1" x14ac:dyDescent="0.25">
      <c r="A13519" s="119"/>
      <c r="B13519" s="138" t="str">
        <f t="shared" si="1193"/>
        <v>Aerated Static Pile</v>
      </c>
      <c r="C13519" s="138" t="str">
        <f t="shared" si="1194"/>
        <v>Without Amendment</v>
      </c>
      <c r="D13519" s="138" t="str">
        <f t="shared" si="1192"/>
        <v>High_Low</v>
      </c>
      <c r="E13519" s="138" t="str">
        <f t="shared" si="1195"/>
        <v>Low</v>
      </c>
      <c r="F13519" s="138" t="str">
        <f t="shared" si="1196"/>
        <v>Upgraded</v>
      </c>
      <c r="G13519" s="153"/>
      <c r="H13519" s="210">
        <v>1.29E-2</v>
      </c>
      <c r="I13519" s="160" t="s">
        <v>48</v>
      </c>
      <c r="J13519" s="160">
        <v>2.3600000000000001E-3</v>
      </c>
      <c r="K13519" s="160" t="s">
        <v>14</v>
      </c>
      <c r="L13519" s="154" t="str">
        <f>IF(OpenLCAbasic!K13519="CTUh", "Fill in Manually",IF(OR(K13519="Unit", K13519=""), "", INDEX(LookUps!$E$5:$E$12, MATCH(OpenLCAbasic!K13519,LookUps!$D$5:$D$12,0))))</f>
        <v>Fossil Depletion Potential (FDP) - kg oil eq</v>
      </c>
      <c r="M13519" s="154" t="str">
        <f t="shared" si="1197"/>
        <v>Low_High_Low_Upgraded_Fossil Depletion Potential (FDP) - kg oil eq_Effluent release; wastewater treatment unit; at surface water; m3 wastewater - US_Without Amendment_Aerated Static Pile</v>
      </c>
    </row>
    <row r="13520" spans="1:13" s="120" customFormat="1" x14ac:dyDescent="0.25">
      <c r="A13520" s="119"/>
      <c r="B13520" s="138" t="str">
        <f t="shared" si="1193"/>
        <v>Aerated Static Pile</v>
      </c>
      <c r="C13520" s="138" t="str">
        <f t="shared" si="1194"/>
        <v>Without Amendment</v>
      </c>
      <c r="D13520" s="138" t="str">
        <f t="shared" si="1192"/>
        <v>High_Low</v>
      </c>
      <c r="E13520" s="138" t="str">
        <f t="shared" si="1195"/>
        <v>Low</v>
      </c>
      <c r="F13520" s="138" t="str">
        <f t="shared" si="1196"/>
        <v>Upgraded</v>
      </c>
      <c r="G13520" s="153"/>
      <c r="H13520" s="210">
        <v>1.0500000000000001E-2</v>
      </c>
      <c r="I13520" s="160" t="s">
        <v>59</v>
      </c>
      <c r="J13520" s="160">
        <v>1.92E-3</v>
      </c>
      <c r="K13520" s="160" t="s">
        <v>14</v>
      </c>
      <c r="L13520" s="154" t="str">
        <f>IF(OpenLCAbasic!K13520="CTUh", "Fill in Manually",IF(OR(K13520="Unit", K13520=""), "", INDEX(LookUps!$E$5:$E$12, MATCH(OpenLCAbasic!K13520,LookUps!$D$5:$D$12,0))))</f>
        <v>Fossil Depletion Potential (FDP) - kg oil eq</v>
      </c>
      <c r="M13520" s="154" t="str">
        <f t="shared" si="1197"/>
        <v>Low_High_Low_Upgraded_Fossil Depletion Potential (FDP) - kg oil eq_Blend Tank; wastewater treatment unit; at updated plant - US_Without Amendment_Aerated Static Pile</v>
      </c>
    </row>
    <row r="13521" spans="1:13" s="120" customFormat="1" x14ac:dyDescent="0.25">
      <c r="A13521" s="119"/>
      <c r="B13521" s="138" t="str">
        <f t="shared" si="1193"/>
        <v>Aerated Static Pile</v>
      </c>
      <c r="C13521" s="138" t="str">
        <f t="shared" si="1194"/>
        <v>Without Amendment</v>
      </c>
      <c r="D13521" s="138" t="str">
        <f t="shared" ref="D13521:D13584" si="1198">IF(ISNUMBER($J13521),"High_Low","")</f>
        <v>High_Low</v>
      </c>
      <c r="E13521" s="138" t="str">
        <f t="shared" si="1195"/>
        <v>Low</v>
      </c>
      <c r="F13521" s="138" t="str">
        <f t="shared" si="1196"/>
        <v>Upgraded</v>
      </c>
      <c r="G13521" s="153"/>
      <c r="H13521" s="210">
        <v>5.0000000000000001E-3</v>
      </c>
      <c r="I13521" s="160" t="s">
        <v>168</v>
      </c>
      <c r="J13521" s="160">
        <v>9.1E-4</v>
      </c>
      <c r="K13521" s="160" t="s">
        <v>14</v>
      </c>
      <c r="L13521" s="154" t="str">
        <f>IF(OpenLCAbasic!K13521="CTUh", "Fill in Manually",IF(OR(K13521="Unit", K13521=""), "", INDEX(LookUps!$E$5:$E$12, MATCH(OpenLCAbasic!K13521,LookUps!$D$5:$D$12,0))))</f>
        <v>Fossil Depletion Potential (FDP) - kg oil eq</v>
      </c>
      <c r="M13521" s="154" t="str">
        <f t="shared" si="1197"/>
        <v>Low_High_Low_Upgraded_Fossil Depletion Potential (FDP) - kg oil eq_ClearCove SCP; wastewater treatment unit; at updated plant - US_Without Amendment_Aerated Static Pile</v>
      </c>
    </row>
    <row r="13522" spans="1:13" s="120" customFormat="1" x14ac:dyDescent="0.25">
      <c r="A13522" s="119"/>
      <c r="B13522" s="138" t="str">
        <f t="shared" si="1193"/>
        <v>Aerated Static Pile</v>
      </c>
      <c r="C13522" s="138" t="str">
        <f t="shared" si="1194"/>
        <v>Without Amendment</v>
      </c>
      <c r="D13522" s="138" t="str">
        <f t="shared" si="1198"/>
        <v>High_Low</v>
      </c>
      <c r="E13522" s="138" t="str">
        <f t="shared" si="1195"/>
        <v>Low</v>
      </c>
      <c r="F13522" s="138" t="str">
        <f t="shared" si="1196"/>
        <v>Upgraded</v>
      </c>
      <c r="G13522" s="153"/>
      <c r="H13522" s="210">
        <v>-5.2200000000000003E-2</v>
      </c>
      <c r="I13522" s="160" t="s">
        <v>62</v>
      </c>
      <c r="J13522" s="160">
        <v>-9.5600000000000008E-3</v>
      </c>
      <c r="K13522" s="160" t="s">
        <v>14</v>
      </c>
      <c r="L13522" s="154" t="str">
        <f>IF(OpenLCAbasic!K13522="CTUh", "Fill in Manually",IF(OR(K13522="Unit", K13522=""), "", INDEX(LookUps!$E$5:$E$12, MATCH(OpenLCAbasic!K13522,LookUps!$D$5:$D$12,0))))</f>
        <v>Fossil Depletion Potential (FDP) - kg oil eq</v>
      </c>
      <c r="M13522" s="154" t="str">
        <f t="shared" si="1197"/>
        <v>Low_High_Low_Upgraded_Fossil Depletion Potential (FDP) - kg oil eq_Land application of compost; wastewater treatment unit; at updated plant - US_Without Amendment_Aerated Static Pile</v>
      </c>
    </row>
    <row r="13523" spans="1:13" s="120" customFormat="1" x14ac:dyDescent="0.25">
      <c r="A13523" s="119"/>
      <c r="B13523" s="138" t="str">
        <f t="shared" si="1193"/>
        <v>Aerated Static Pile</v>
      </c>
      <c r="C13523" s="138" t="str">
        <f t="shared" si="1194"/>
        <v>Without Amendment</v>
      </c>
      <c r="D13523" s="138" t="str">
        <f t="shared" si="1198"/>
        <v>High_Low</v>
      </c>
      <c r="E13523" s="138" t="str">
        <f t="shared" si="1195"/>
        <v>Low</v>
      </c>
      <c r="F13523" s="138" t="str">
        <f t="shared" si="1196"/>
        <v>Upgraded</v>
      </c>
      <c r="G13523" s="153"/>
      <c r="H13523" s="210">
        <v>-0.53879999999999995</v>
      </c>
      <c r="I13523" s="160" t="s">
        <v>149</v>
      </c>
      <c r="J13523" s="160">
        <v>-9.8640000000000005E-2</v>
      </c>
      <c r="K13523" s="160" t="s">
        <v>14</v>
      </c>
      <c r="L13523" s="154" t="str">
        <f>IF(OpenLCAbasic!K13523="CTUh", "Fill in Manually",IF(OR(K13523="Unit", K13523=""), "", INDEX(LookUps!$E$5:$E$12, MATCH(OpenLCAbasic!K13523,LookUps!$D$5:$D$12,0))))</f>
        <v>Fossil Depletion Potential (FDP) - kg oil eq</v>
      </c>
      <c r="M13523" s="154" t="str">
        <f t="shared" si="1197"/>
        <v>Low_High_Low_Upgraded_Fossil Depletion Potential (FDP) - kg oil eq_Anaerobic Digestion; wastewater treatment unit; at updated plant - US_Without Amendment_Aerated Static Pile</v>
      </c>
    </row>
    <row r="13524" spans="1:13" s="120" customFormat="1" x14ac:dyDescent="0.25">
      <c r="A13524" s="119"/>
      <c r="B13524" s="138" t="str">
        <f t="shared" si="1193"/>
        <v/>
      </c>
      <c r="C13524" s="138" t="str">
        <f t="shared" si="1194"/>
        <v/>
      </c>
      <c r="D13524" s="138" t="str">
        <f t="shared" si="1198"/>
        <v/>
      </c>
      <c r="E13524" s="138" t="str">
        <f t="shared" si="1195"/>
        <v/>
      </c>
      <c r="F13524" s="138" t="str">
        <f t="shared" si="1196"/>
        <v/>
      </c>
      <c r="G13524" s="153" t="s">
        <v>51</v>
      </c>
      <c r="H13524" s="160"/>
      <c r="I13524" s="160" t="s">
        <v>47</v>
      </c>
      <c r="J13524" s="160" t="s">
        <v>52</v>
      </c>
      <c r="K13524" s="160" t="s">
        <v>27</v>
      </c>
      <c r="L13524" s="154" t="str">
        <f>IF(OpenLCAbasic!K13524="CTUh", "Fill in Manually",IF(OR(K13524="Unit", K13524=""), "", INDEX(LookUps!$E$5:$E$12, MATCH(OpenLCAbasic!K13524,LookUps!$D$5:$D$12,0))))</f>
        <v/>
      </c>
      <c r="M13524" s="154" t="str">
        <f t="shared" si="1197"/>
        <v>____Process__</v>
      </c>
    </row>
    <row r="13525" spans="1:13" s="120" customFormat="1" x14ac:dyDescent="0.25">
      <c r="A13525" s="119"/>
      <c r="B13525" s="138" t="str">
        <f t="shared" si="1193"/>
        <v>Aerated Static Pile</v>
      </c>
      <c r="C13525" s="138" t="str">
        <f t="shared" si="1194"/>
        <v>Without Amendment</v>
      </c>
      <c r="D13525" s="138" t="str">
        <f t="shared" si="1198"/>
        <v>High_Low</v>
      </c>
      <c r="E13525" s="138" t="str">
        <f t="shared" si="1195"/>
        <v>Low</v>
      </c>
      <c r="F13525" s="138" t="str">
        <f t="shared" si="1196"/>
        <v>Upgraded</v>
      </c>
      <c r="G13525" s="153"/>
      <c r="H13525" s="210">
        <v>0.52</v>
      </c>
      <c r="I13525" s="160" t="s">
        <v>58</v>
      </c>
      <c r="J13525" s="160">
        <v>0.24992</v>
      </c>
      <c r="K13525" s="160" t="s">
        <v>23</v>
      </c>
      <c r="L13525" s="154" t="str">
        <f>IF(OpenLCAbasic!K13525="CTUh", "Fill in Manually",IF(OR(K13525="Unit", K13525=""), "", INDEX(LookUps!$E$5:$E$12, MATCH(OpenLCAbasic!K13525,LookUps!$D$5:$D$12,0))))</f>
        <v>Global Warming Potential (GWP) - kg CO2 eq</v>
      </c>
      <c r="M13525" s="154" t="str">
        <f t="shared" si="1197"/>
        <v>Low_High_Low_Upgraded_Global Warming Potential (GWP) - kg CO2 eq_Pre-Anoxic &amp; Swing tank; wastewater treatment unit; at updated plant - US_Without Amendment_Aerated Static Pile</v>
      </c>
    </row>
    <row r="13526" spans="1:13" s="120" customFormat="1" x14ac:dyDescent="0.25">
      <c r="A13526" s="119"/>
      <c r="B13526" s="138" t="str">
        <f t="shared" si="1193"/>
        <v>Aerated Static Pile</v>
      </c>
      <c r="C13526" s="138" t="str">
        <f t="shared" si="1194"/>
        <v>Without Amendment</v>
      </c>
      <c r="D13526" s="138" t="str">
        <f t="shared" si="1198"/>
        <v>High_Low</v>
      </c>
      <c r="E13526" s="138" t="str">
        <f t="shared" si="1195"/>
        <v>Low</v>
      </c>
      <c r="F13526" s="138" t="str">
        <f t="shared" si="1196"/>
        <v>Upgraded</v>
      </c>
      <c r="G13526" s="153"/>
      <c r="H13526" s="210">
        <v>0.35</v>
      </c>
      <c r="I13526" s="160" t="s">
        <v>55</v>
      </c>
      <c r="J13526" s="160">
        <v>0.16822000000000001</v>
      </c>
      <c r="K13526" s="160" t="s">
        <v>23</v>
      </c>
      <c r="L13526" s="154" t="str">
        <f>IF(OpenLCAbasic!K13526="CTUh", "Fill in Manually",IF(OR(K13526="Unit", K13526=""), "", INDEX(LookUps!$E$5:$E$12, MATCH(OpenLCAbasic!K13526,LookUps!$D$5:$D$12,0))))</f>
        <v>Global Warming Potential (GWP) - kg CO2 eq</v>
      </c>
      <c r="M13526" s="154" t="str">
        <f t="shared" si="1197"/>
        <v>Low_High_Low_Upgraded_Global Warming Potential (GWP) - kg CO2 eq_Aeration Tanks; wastewater treatment unit; at updated plant - US_Without Amendment_Aerated Static Pile</v>
      </c>
    </row>
    <row r="13527" spans="1:13" s="120" customFormat="1" x14ac:dyDescent="0.25">
      <c r="A13527" s="119"/>
      <c r="B13527" s="138" t="str">
        <f t="shared" si="1193"/>
        <v>Aerated Static Pile</v>
      </c>
      <c r="C13527" s="138" t="str">
        <f t="shared" si="1194"/>
        <v>Without Amendment</v>
      </c>
      <c r="D13527" s="138" t="str">
        <f t="shared" si="1198"/>
        <v>High_Low</v>
      </c>
      <c r="E13527" s="138" t="str">
        <f t="shared" si="1195"/>
        <v>Low</v>
      </c>
      <c r="F13527" s="138" t="str">
        <f t="shared" si="1196"/>
        <v>Upgraded</v>
      </c>
      <c r="G13527" s="153"/>
      <c r="H13527" s="210">
        <v>0.30559999999999998</v>
      </c>
      <c r="I13527" s="160" t="s">
        <v>167</v>
      </c>
      <c r="J13527" s="160">
        <v>0.14685000000000001</v>
      </c>
      <c r="K13527" s="160" t="s">
        <v>23</v>
      </c>
      <c r="L13527" s="154" t="str">
        <f>IF(OpenLCAbasic!K13527="CTUh", "Fill in Manually",IF(OR(K13527="Unit", K13527=""), "", INDEX(LookUps!$E$5:$E$12, MATCH(OpenLCAbasic!K13527,LookUps!$D$5:$D$12,0))))</f>
        <v>Global Warming Potential (GWP) - kg CO2 eq</v>
      </c>
      <c r="M13527" s="154" t="str">
        <f t="shared" si="1197"/>
        <v>Low_High_Low_Upgraded_Global Warming Potential (GWP) - kg CO2 eq_Waste Receiving and Holding; wastewater treatment unit; at updated plant - US_Without Amendment_Aerated Static Pile</v>
      </c>
    </row>
    <row r="13528" spans="1:13" s="120" customFormat="1" x14ac:dyDescent="0.25">
      <c r="A13528" s="119"/>
      <c r="B13528" s="138" t="str">
        <f t="shared" si="1193"/>
        <v>Aerated Static Pile</v>
      </c>
      <c r="C13528" s="138" t="str">
        <f t="shared" si="1194"/>
        <v>Without Amendment</v>
      </c>
      <c r="D13528" s="138" t="str">
        <f t="shared" si="1198"/>
        <v>High_Low</v>
      </c>
      <c r="E13528" s="138" t="str">
        <f t="shared" si="1195"/>
        <v>Low</v>
      </c>
      <c r="F13528" s="138" t="str">
        <f t="shared" si="1196"/>
        <v>Upgraded</v>
      </c>
      <c r="G13528" s="153"/>
      <c r="H13528" s="210">
        <v>0.24279999999999999</v>
      </c>
      <c r="I13528" s="160" t="s">
        <v>435</v>
      </c>
      <c r="J13528" s="160">
        <v>0.1167</v>
      </c>
      <c r="K13528" s="160" t="s">
        <v>23</v>
      </c>
      <c r="L13528" s="154" t="str">
        <f>IF(OpenLCAbasic!K13528="CTUh", "Fill in Manually",IF(OR(K13528="Unit", K13528=""), "", INDEX(LookUps!$E$5:$E$12, MATCH(OpenLCAbasic!K13528,LookUps!$D$5:$D$12,0))))</f>
        <v>Global Warming Potential (GWP) - kg CO2 eq</v>
      </c>
      <c r="M13528" s="154" t="str">
        <f t="shared" si="1197"/>
        <v>Low_High_Low_Upgraded_Global Warming Potential (GWP) - kg CO2 eq_Biosolids composting; aerated static pile; wastewater treatment unit; at updated plant - US_Without Amendment_Aerated Static Pile</v>
      </c>
    </row>
    <row r="13529" spans="1:13" s="120" customFormat="1" x14ac:dyDescent="0.25">
      <c r="A13529" s="119"/>
      <c r="B13529" s="138" t="str">
        <f t="shared" si="1193"/>
        <v>Aerated Static Pile</v>
      </c>
      <c r="C13529" s="138" t="str">
        <f t="shared" si="1194"/>
        <v>Without Amendment</v>
      </c>
      <c r="D13529" s="138" t="str">
        <f t="shared" si="1198"/>
        <v>High_Low</v>
      </c>
      <c r="E13529" s="138" t="str">
        <f t="shared" si="1195"/>
        <v>Low</v>
      </c>
      <c r="F13529" s="138" t="str">
        <f t="shared" si="1196"/>
        <v>Upgraded</v>
      </c>
      <c r="G13529" s="153"/>
      <c r="H13529" s="210">
        <v>0.1188</v>
      </c>
      <c r="I13529" s="160" t="s">
        <v>54</v>
      </c>
      <c r="J13529" s="160">
        <v>5.7079999999999999E-2</v>
      </c>
      <c r="K13529" s="160" t="s">
        <v>23</v>
      </c>
      <c r="L13529" s="154" t="str">
        <f>IF(OpenLCAbasic!K13529="CTUh", "Fill in Manually",IF(OR(K13529="Unit", K13529=""), "", INDEX(LookUps!$E$5:$E$12, MATCH(OpenLCAbasic!K13529,LookUps!$D$5:$D$12,0))))</f>
        <v>Global Warming Potential (GWP) - kg CO2 eq</v>
      </c>
      <c r="M13529" s="154" t="str">
        <f t="shared" si="1197"/>
        <v>Low_High_Low_Upgraded_Global Warming Potential (GWP) - kg CO2 eq_Clear Cove Primary Clarification; wastewater treatment unit; at updated plant - US_Without Amendment_Aerated Static Pile</v>
      </c>
    </row>
    <row r="13530" spans="1:13" s="120" customFormat="1" x14ac:dyDescent="0.25">
      <c r="A13530" s="119"/>
      <c r="B13530" s="138" t="str">
        <f t="shared" si="1193"/>
        <v>Aerated Static Pile</v>
      </c>
      <c r="C13530" s="138" t="str">
        <f t="shared" si="1194"/>
        <v>Without Amendment</v>
      </c>
      <c r="D13530" s="138" t="str">
        <f t="shared" si="1198"/>
        <v>High_Low</v>
      </c>
      <c r="E13530" s="138" t="str">
        <f t="shared" si="1195"/>
        <v>Low</v>
      </c>
      <c r="F13530" s="138" t="str">
        <f t="shared" si="1196"/>
        <v>Upgraded</v>
      </c>
      <c r="G13530" s="153"/>
      <c r="H13530" s="210">
        <v>0.1095</v>
      </c>
      <c r="I13530" s="160" t="s">
        <v>48</v>
      </c>
      <c r="J13530" s="160">
        <v>5.2639999999999999E-2</v>
      </c>
      <c r="K13530" s="160" t="s">
        <v>23</v>
      </c>
      <c r="L13530" s="154" t="str">
        <f>IF(OpenLCAbasic!K13530="CTUh", "Fill in Manually",IF(OR(K13530="Unit", K13530=""), "", INDEX(LookUps!$E$5:$E$12, MATCH(OpenLCAbasic!K13530,LookUps!$D$5:$D$12,0))))</f>
        <v>Global Warming Potential (GWP) - kg CO2 eq</v>
      </c>
      <c r="M13530" s="154" t="str">
        <f t="shared" si="1197"/>
        <v>Low_High_Low_Upgraded_Global Warming Potential (GWP) - kg CO2 eq_Effluent release; wastewater treatment unit; at surface water; m3 wastewater - US_Without Amendment_Aerated Static Pile</v>
      </c>
    </row>
    <row r="13531" spans="1:13" s="120" customFormat="1" x14ac:dyDescent="0.25">
      <c r="A13531" s="119"/>
      <c r="B13531" s="138" t="str">
        <f t="shared" si="1193"/>
        <v>Aerated Static Pile</v>
      </c>
      <c r="C13531" s="138" t="str">
        <f t="shared" si="1194"/>
        <v>Without Amendment</v>
      </c>
      <c r="D13531" s="138" t="str">
        <f t="shared" si="1198"/>
        <v>High_Low</v>
      </c>
      <c r="E13531" s="138" t="str">
        <f t="shared" si="1195"/>
        <v>Low</v>
      </c>
      <c r="F13531" s="138" t="str">
        <f t="shared" si="1196"/>
        <v>Upgraded</v>
      </c>
      <c r="G13531" s="153"/>
      <c r="H13531" s="210">
        <v>0.1051</v>
      </c>
      <c r="I13531" s="160" t="s">
        <v>147</v>
      </c>
      <c r="J13531" s="160">
        <v>5.0500000000000003E-2</v>
      </c>
      <c r="K13531" s="160" t="s">
        <v>23</v>
      </c>
      <c r="L13531" s="154" t="str">
        <f>IF(OpenLCAbasic!K13531="CTUh", "Fill in Manually",IF(OR(K13531="Unit", K13531=""), "", INDEX(LookUps!$E$5:$E$12, MATCH(OpenLCAbasic!K13531,LookUps!$D$5:$D$12,0))))</f>
        <v>Global Warming Potential (GWP) - kg CO2 eq</v>
      </c>
      <c r="M13531" s="154" t="str">
        <f t="shared" si="1197"/>
        <v>Low_High_Low_Upgraded_Global Warming Potential (GWP) - kg CO2 eq_Influent Pump Station; wastewater treatment unit; at updated plant - US_Without Amendment_Aerated Static Pile</v>
      </c>
    </row>
    <row r="13532" spans="1:13" s="120" customFormat="1" x14ac:dyDescent="0.25">
      <c r="A13532" s="119"/>
      <c r="B13532" s="138" t="str">
        <f t="shared" si="1193"/>
        <v>Aerated Static Pile</v>
      </c>
      <c r="C13532" s="138" t="str">
        <f t="shared" si="1194"/>
        <v>Without Amendment</v>
      </c>
      <c r="D13532" s="138" t="str">
        <f t="shared" si="1198"/>
        <v>High_Low</v>
      </c>
      <c r="E13532" s="138" t="str">
        <f t="shared" si="1195"/>
        <v>Low</v>
      </c>
      <c r="F13532" s="138" t="str">
        <f t="shared" si="1196"/>
        <v>Upgraded</v>
      </c>
      <c r="G13532" s="153"/>
      <c r="H13532" s="210">
        <v>6.9199999999999998E-2</v>
      </c>
      <c r="I13532" s="160" t="s">
        <v>53</v>
      </c>
      <c r="J13532" s="160">
        <v>3.3259999999999998E-2</v>
      </c>
      <c r="K13532" s="160" t="s">
        <v>23</v>
      </c>
      <c r="L13532" s="154" t="str">
        <f>IF(OpenLCAbasic!K13532="CTUh", "Fill in Manually",IF(OR(K13532="Unit", K13532=""), "", INDEX(LookUps!$E$5:$E$12, MATCH(OpenLCAbasic!K13532,LookUps!$D$5:$D$12,0))))</f>
        <v>Global Warming Potential (GWP) - kg CO2 eq</v>
      </c>
      <c r="M13532" s="154" t="str">
        <f t="shared" si="1197"/>
        <v>Low_High_Low_Upgraded_Global Warming Potential (GWP) - kg CO2 eq_Wet Well and Sump Station; wastewater treatment unit; at updated plant - US_Without Amendment_Aerated Static Pile</v>
      </c>
    </row>
    <row r="13533" spans="1:13" s="120" customFormat="1" x14ac:dyDescent="0.25">
      <c r="A13533" s="119"/>
      <c r="B13533" s="138" t="str">
        <f t="shared" si="1193"/>
        <v>Aerated Static Pile</v>
      </c>
      <c r="C13533" s="138" t="str">
        <f t="shared" si="1194"/>
        <v>Without Amendment</v>
      </c>
      <c r="D13533" s="138" t="str">
        <f t="shared" si="1198"/>
        <v>High_Low</v>
      </c>
      <c r="E13533" s="138" t="str">
        <f t="shared" si="1195"/>
        <v>Low</v>
      </c>
      <c r="F13533" s="138" t="str">
        <f t="shared" si="1196"/>
        <v>Upgraded</v>
      </c>
      <c r="G13533" s="153"/>
      <c r="H13533" s="210">
        <v>5.79E-2</v>
      </c>
      <c r="I13533" s="160" t="s">
        <v>60</v>
      </c>
      <c r="J13533" s="160">
        <v>2.7820000000000001E-2</v>
      </c>
      <c r="K13533" s="160" t="s">
        <v>23</v>
      </c>
      <c r="L13533" s="154" t="str">
        <f>IF(OpenLCAbasic!K13533="CTUh", "Fill in Manually",IF(OR(K13533="Unit", K13533=""), "", INDEX(LookUps!$E$5:$E$12, MATCH(OpenLCAbasic!K13533,LookUps!$D$5:$D$12,0))))</f>
        <v>Global Warming Potential (GWP) - kg CO2 eq</v>
      </c>
      <c r="M13533" s="154" t="str">
        <f t="shared" si="1197"/>
        <v>Low_High_Low_Upgraded_Global Warming Potential (GWP) - kg CO2 eq_Belt filter press; wastewater treatment unit; at updated plant - US_Without Amendment_Aerated Static Pile</v>
      </c>
    </row>
    <row r="13534" spans="1:13" s="120" customFormat="1" x14ac:dyDescent="0.25">
      <c r="A13534" s="119"/>
      <c r="B13534" s="138" t="str">
        <f t="shared" si="1193"/>
        <v>Aerated Static Pile</v>
      </c>
      <c r="C13534" s="138" t="str">
        <f t="shared" si="1194"/>
        <v>Without Amendment</v>
      </c>
      <c r="D13534" s="138" t="str">
        <f t="shared" si="1198"/>
        <v>High_Low</v>
      </c>
      <c r="E13534" s="138" t="str">
        <f t="shared" si="1195"/>
        <v>Low</v>
      </c>
      <c r="F13534" s="138" t="str">
        <f t="shared" si="1196"/>
        <v>Upgraded</v>
      </c>
      <c r="G13534" s="153"/>
      <c r="H13534" s="210">
        <v>3.0300000000000001E-2</v>
      </c>
      <c r="I13534" s="160" t="s">
        <v>57</v>
      </c>
      <c r="J13534" s="160">
        <v>1.455E-2</v>
      </c>
      <c r="K13534" s="160" t="s">
        <v>23</v>
      </c>
      <c r="L13534" s="154" t="str">
        <f>IF(OpenLCAbasic!K13534="CTUh", "Fill in Manually",IF(OR(K13534="Unit", K13534=""), "", INDEX(LookUps!$E$5:$E$12, MATCH(OpenLCAbasic!K13534,LookUps!$D$5:$D$12,0))))</f>
        <v>Global Warming Potential (GWP) - kg CO2 eq</v>
      </c>
      <c r="M13534" s="154" t="str">
        <f t="shared" si="1197"/>
        <v>Low_High_Low_Upgraded_Global Warming Potential (GWP) - kg CO2 eq_Gravity Belt Thickener; wastewater treatment unit; at updated plant - US_Without Amendment_Aerated Static Pile</v>
      </c>
    </row>
    <row r="13535" spans="1:13" s="120" customFormat="1" x14ac:dyDescent="0.25">
      <c r="A13535" s="119"/>
      <c r="B13535" s="138" t="str">
        <f t="shared" si="1193"/>
        <v>Aerated Static Pile</v>
      </c>
      <c r="C13535" s="138" t="str">
        <f t="shared" si="1194"/>
        <v>Without Amendment</v>
      </c>
      <c r="D13535" s="138" t="str">
        <f t="shared" si="1198"/>
        <v>High_Low</v>
      </c>
      <c r="E13535" s="138" t="str">
        <f t="shared" si="1195"/>
        <v>Low</v>
      </c>
      <c r="F13535" s="138" t="str">
        <f t="shared" si="1196"/>
        <v>Upgraded</v>
      </c>
      <c r="G13535" s="153"/>
      <c r="H13535" s="210">
        <v>2.81E-2</v>
      </c>
      <c r="I13535" s="160" t="s">
        <v>128</v>
      </c>
      <c r="J13535" s="160">
        <v>1.3509999999999999E-2</v>
      </c>
      <c r="K13535" s="160" t="s">
        <v>23</v>
      </c>
      <c r="L13535" s="154" t="str">
        <f>IF(OpenLCAbasic!K13535="CTUh", "Fill in Manually",IF(OR(K13535="Unit", K13535=""), "", INDEX(LookUps!$E$5:$E$12, MATCH(OpenLCAbasic!K13535,LookUps!$D$5:$D$12,0))))</f>
        <v>Global Warming Potential (GWP) - kg CO2 eq</v>
      </c>
      <c r="M13535" s="154" t="str">
        <f t="shared" si="1197"/>
        <v>Low_High_Low_Upgraded_Global Warming Potential (GWP) - kg CO2 eq_Wastewater collection; operation and infrastructure; m3 wastewater_Without Amendment_Aerated Static Pile</v>
      </c>
    </row>
    <row r="13536" spans="1:13" s="120" customFormat="1" x14ac:dyDescent="0.25">
      <c r="A13536" s="119"/>
      <c r="B13536" s="138" t="str">
        <f t="shared" si="1193"/>
        <v>Aerated Static Pile</v>
      </c>
      <c r="C13536" s="138" t="str">
        <f t="shared" si="1194"/>
        <v>Without Amendment</v>
      </c>
      <c r="D13536" s="138" t="str">
        <f t="shared" si="1198"/>
        <v>High_Low</v>
      </c>
      <c r="E13536" s="138" t="str">
        <f t="shared" si="1195"/>
        <v>Low</v>
      </c>
      <c r="F13536" s="138" t="str">
        <f t="shared" si="1196"/>
        <v>Upgraded</v>
      </c>
      <c r="G13536" s="153"/>
      <c r="H13536" s="210">
        <v>1.7299999999999999E-2</v>
      </c>
      <c r="I13536" s="160" t="s">
        <v>148</v>
      </c>
      <c r="J13536" s="160">
        <v>8.3000000000000001E-3</v>
      </c>
      <c r="K13536" s="160" t="s">
        <v>23</v>
      </c>
      <c r="L13536" s="154" t="str">
        <f>IF(OpenLCAbasic!K13536="CTUh", "Fill in Manually",IF(OR(K13536="Unit", K13536=""), "", INDEX(LookUps!$E$5:$E$12, MATCH(OpenLCAbasic!K13536,LookUps!$D$5:$D$12,0))))</f>
        <v>Global Warming Potential (GWP) - kg CO2 eq</v>
      </c>
      <c r="M13536" s="154" t="str">
        <f t="shared" si="1197"/>
        <v>Low_High_Low_Upgraded_Global Warming Potential (GWP) - kg CO2 eq_Control Building; at upgraded wastewater treatment plant - US_Without Amendment_Aerated Static Pile</v>
      </c>
    </row>
    <row r="13537" spans="1:13" s="120" customFormat="1" x14ac:dyDescent="0.25">
      <c r="A13537" s="119"/>
      <c r="B13537" s="138" t="str">
        <f t="shared" si="1193"/>
        <v>Aerated Static Pile</v>
      </c>
      <c r="C13537" s="138" t="str">
        <f t="shared" si="1194"/>
        <v>Without Amendment</v>
      </c>
      <c r="D13537" s="138" t="str">
        <f t="shared" si="1198"/>
        <v>High_Low</v>
      </c>
      <c r="E13537" s="138" t="str">
        <f t="shared" si="1195"/>
        <v>Low</v>
      </c>
      <c r="F13537" s="138" t="str">
        <f t="shared" si="1196"/>
        <v>Upgraded</v>
      </c>
      <c r="G13537" s="153"/>
      <c r="H13537" s="210">
        <v>1.0500000000000001E-2</v>
      </c>
      <c r="I13537" s="160" t="s">
        <v>59</v>
      </c>
      <c r="J13537" s="160">
        <v>5.0400000000000002E-3</v>
      </c>
      <c r="K13537" s="160" t="s">
        <v>23</v>
      </c>
      <c r="L13537" s="154" t="str">
        <f>IF(OpenLCAbasic!K13537="CTUh", "Fill in Manually",IF(OR(K13537="Unit", K13537=""), "", INDEX(LookUps!$E$5:$E$12, MATCH(OpenLCAbasic!K13537,LookUps!$D$5:$D$12,0))))</f>
        <v>Global Warming Potential (GWP) - kg CO2 eq</v>
      </c>
      <c r="M13537" s="154" t="str">
        <f t="shared" si="1197"/>
        <v>Low_High_Low_Upgraded_Global Warming Potential (GWP) - kg CO2 eq_Blend Tank; wastewater treatment unit; at updated plant - US_Without Amendment_Aerated Static Pile</v>
      </c>
    </row>
    <row r="13538" spans="1:13" s="120" customFormat="1" x14ac:dyDescent="0.25">
      <c r="A13538" s="119"/>
      <c r="B13538" s="138" t="str">
        <f t="shared" si="1193"/>
        <v>Aerated Static Pile</v>
      </c>
      <c r="C13538" s="138" t="str">
        <f t="shared" si="1194"/>
        <v>Without Amendment</v>
      </c>
      <c r="D13538" s="138" t="str">
        <f t="shared" si="1198"/>
        <v>High_Low</v>
      </c>
      <c r="E13538" s="138" t="str">
        <f t="shared" si="1195"/>
        <v>Low</v>
      </c>
      <c r="F13538" s="138" t="str">
        <f t="shared" si="1196"/>
        <v>Upgraded</v>
      </c>
      <c r="G13538" s="153"/>
      <c r="H13538" s="210">
        <v>5.0000000000000001E-3</v>
      </c>
      <c r="I13538" s="160" t="s">
        <v>168</v>
      </c>
      <c r="J13538" s="160">
        <v>2.4099999999999998E-3</v>
      </c>
      <c r="K13538" s="160" t="s">
        <v>23</v>
      </c>
      <c r="L13538" s="154" t="str">
        <f>IF(OpenLCAbasic!K13538="CTUh", "Fill in Manually",IF(OR(K13538="Unit", K13538=""), "", INDEX(LookUps!$E$5:$E$12, MATCH(OpenLCAbasic!K13538,LookUps!$D$5:$D$12,0))))</f>
        <v>Global Warming Potential (GWP) - kg CO2 eq</v>
      </c>
      <c r="M13538" s="154" t="str">
        <f t="shared" si="1197"/>
        <v>Low_High_Low_Upgraded_Global Warming Potential (GWP) - kg CO2 eq_ClearCove SCP; wastewater treatment unit; at updated plant - US_Without Amendment_Aerated Static Pile</v>
      </c>
    </row>
    <row r="13539" spans="1:13" s="120" customFormat="1" x14ac:dyDescent="0.25">
      <c r="A13539" s="119"/>
      <c r="B13539" s="138" t="str">
        <f t="shared" si="1193"/>
        <v>Aerated Static Pile</v>
      </c>
      <c r="C13539" s="138" t="str">
        <f t="shared" si="1194"/>
        <v>Without Amendment</v>
      </c>
      <c r="D13539" s="138" t="str">
        <f t="shared" si="1198"/>
        <v>High_Low</v>
      </c>
      <c r="E13539" s="138" t="str">
        <f t="shared" si="1195"/>
        <v>Low</v>
      </c>
      <c r="F13539" s="138" t="str">
        <f t="shared" si="1196"/>
        <v>Upgraded</v>
      </c>
      <c r="G13539" s="153"/>
      <c r="H13539" s="210">
        <v>-0.35489999999999999</v>
      </c>
      <c r="I13539" s="160" t="s">
        <v>149</v>
      </c>
      <c r="J13539" s="160">
        <v>-0.17055999999999999</v>
      </c>
      <c r="K13539" s="160" t="s">
        <v>23</v>
      </c>
      <c r="L13539" s="154" t="str">
        <f>IF(OpenLCAbasic!K13539="CTUh", "Fill in Manually",IF(OR(K13539="Unit", K13539=""), "", INDEX(LookUps!$E$5:$E$12, MATCH(OpenLCAbasic!K13539,LookUps!$D$5:$D$12,0))))</f>
        <v>Global Warming Potential (GWP) - kg CO2 eq</v>
      </c>
      <c r="M13539" s="154" t="str">
        <f t="shared" si="1197"/>
        <v>Low_High_Low_Upgraded_Global Warming Potential (GWP) - kg CO2 eq_Anaerobic Digestion; wastewater treatment unit; at updated plant - US_Without Amendment_Aerated Static Pile</v>
      </c>
    </row>
    <row r="13540" spans="1:13" s="120" customFormat="1" x14ac:dyDescent="0.25">
      <c r="A13540" s="119"/>
      <c r="B13540" s="138" t="str">
        <f t="shared" si="1193"/>
        <v>Aerated Static Pile</v>
      </c>
      <c r="C13540" s="138" t="str">
        <f t="shared" si="1194"/>
        <v>Without Amendment</v>
      </c>
      <c r="D13540" s="138" t="str">
        <f t="shared" si="1198"/>
        <v>High_Low</v>
      </c>
      <c r="E13540" s="138" t="str">
        <f t="shared" si="1195"/>
        <v>Low</v>
      </c>
      <c r="F13540" s="138" t="str">
        <f t="shared" si="1196"/>
        <v>Upgraded</v>
      </c>
      <c r="G13540" s="153"/>
      <c r="H13540" s="210">
        <v>-0.61519999999999997</v>
      </c>
      <c r="I13540" s="160" t="s">
        <v>62</v>
      </c>
      <c r="J13540" s="160">
        <v>-0.29565999999999998</v>
      </c>
      <c r="K13540" s="160" t="s">
        <v>23</v>
      </c>
      <c r="L13540" s="154" t="str">
        <f>IF(OpenLCAbasic!K13540="CTUh", "Fill in Manually",IF(OR(K13540="Unit", K13540=""), "", INDEX(LookUps!$E$5:$E$12, MATCH(OpenLCAbasic!K13540,LookUps!$D$5:$D$12,0))))</f>
        <v>Global Warming Potential (GWP) - kg CO2 eq</v>
      </c>
      <c r="M13540" s="154" t="str">
        <f t="shared" si="1197"/>
        <v>Low_High_Low_Upgraded_Global Warming Potential (GWP) - kg CO2 eq_Land application of compost; wastewater treatment unit; at updated plant - US_Without Amendment_Aerated Static Pile</v>
      </c>
    </row>
    <row r="13541" spans="1:13" s="120" customFormat="1" x14ac:dyDescent="0.25">
      <c r="A13541" s="119"/>
      <c r="B13541" s="138" t="str">
        <f t="shared" si="1193"/>
        <v/>
      </c>
      <c r="C13541" s="138" t="str">
        <f t="shared" si="1194"/>
        <v/>
      </c>
      <c r="D13541" s="138" t="str">
        <f t="shared" si="1198"/>
        <v/>
      </c>
      <c r="E13541" s="138" t="str">
        <f t="shared" si="1195"/>
        <v/>
      </c>
      <c r="F13541" s="138" t="str">
        <f t="shared" si="1196"/>
        <v/>
      </c>
      <c r="G13541" s="153" t="s">
        <v>51</v>
      </c>
      <c r="H13541" s="160"/>
      <c r="I13541" s="160" t="s">
        <v>47</v>
      </c>
      <c r="J13541" s="160" t="s">
        <v>52</v>
      </c>
      <c r="K13541" s="160" t="s">
        <v>27</v>
      </c>
      <c r="L13541" s="154" t="str">
        <f>IF(OpenLCAbasic!K13541="CTUh", "Fill in Manually",IF(OR(K13541="Unit", K13541=""), "", INDEX(LookUps!$E$5:$E$12, MATCH(OpenLCAbasic!K13541,LookUps!$D$5:$D$12,0))))</f>
        <v/>
      </c>
      <c r="M13541" s="154" t="str">
        <f t="shared" si="1197"/>
        <v>____Process__</v>
      </c>
    </row>
    <row r="13542" spans="1:13" s="120" customFormat="1" x14ac:dyDescent="0.25">
      <c r="A13542" s="119"/>
      <c r="B13542" s="138" t="str">
        <f t="shared" si="1193"/>
        <v>Aerated Static Pile</v>
      </c>
      <c r="C13542" s="138" t="str">
        <f t="shared" si="1194"/>
        <v>Without Amendment</v>
      </c>
      <c r="D13542" s="138" t="str">
        <f t="shared" si="1198"/>
        <v>High_Low</v>
      </c>
      <c r="E13542" s="138" t="str">
        <f t="shared" si="1195"/>
        <v>Low</v>
      </c>
      <c r="F13542" s="138" t="str">
        <f t="shared" si="1196"/>
        <v>Upgraded</v>
      </c>
      <c r="G13542" s="153"/>
      <c r="H13542" s="210">
        <v>0.56779999999999997</v>
      </c>
      <c r="I13542" s="160" t="s">
        <v>55</v>
      </c>
      <c r="J13542" s="160">
        <v>2.33E-3</v>
      </c>
      <c r="K13542" s="160" t="s">
        <v>145</v>
      </c>
      <c r="L13542" s="154" t="str">
        <f>IF(OpenLCAbasic!K13542="CTUh", "Fill in Manually",IF(OR(K13542="Unit", K13542=""), "", INDEX(LookUps!$E$5:$E$12, MATCH(OpenLCAbasic!K13542,LookUps!$D$5:$D$12,0))))</f>
        <v>Particulate Matter Formation Potential (PMFP) - kg PM2.5 eq</v>
      </c>
      <c r="M13542" s="154" t="str">
        <f t="shared" si="1197"/>
        <v>Low_High_Low_Upgraded_Particulate Matter Formation Potential (PMFP) - kg PM2.5 eq_Aeration Tanks; wastewater treatment unit; at updated plant - US_Without Amendment_Aerated Static Pile</v>
      </c>
    </row>
    <row r="13543" spans="1:13" s="120" customFormat="1" x14ac:dyDescent="0.25">
      <c r="A13543" s="119"/>
      <c r="B13543" s="138" t="str">
        <f t="shared" si="1193"/>
        <v>Aerated Static Pile</v>
      </c>
      <c r="C13543" s="138" t="str">
        <f t="shared" si="1194"/>
        <v>Without Amendment</v>
      </c>
      <c r="D13543" s="138" t="str">
        <f t="shared" si="1198"/>
        <v>High_Low</v>
      </c>
      <c r="E13543" s="138" t="str">
        <f t="shared" si="1195"/>
        <v>Low</v>
      </c>
      <c r="F13543" s="138" t="str">
        <f t="shared" si="1196"/>
        <v>Upgraded</v>
      </c>
      <c r="G13543" s="153"/>
      <c r="H13543" s="210">
        <v>0.16520000000000001</v>
      </c>
      <c r="I13543" s="160" t="s">
        <v>54</v>
      </c>
      <c r="J13543" s="160">
        <v>6.8000000000000005E-4</v>
      </c>
      <c r="K13543" s="160" t="s">
        <v>145</v>
      </c>
      <c r="L13543" s="154" t="str">
        <f>IF(OpenLCAbasic!K13543="CTUh", "Fill in Manually",IF(OR(K13543="Unit", K13543=""), "", INDEX(LookUps!$E$5:$E$12, MATCH(OpenLCAbasic!K13543,LookUps!$D$5:$D$12,0))))</f>
        <v>Particulate Matter Formation Potential (PMFP) - kg PM2.5 eq</v>
      </c>
      <c r="M13543" s="154" t="str">
        <f t="shared" si="1197"/>
        <v>Low_High_Low_Upgraded_Particulate Matter Formation Potential (PMFP) - kg PM2.5 eq_Clear Cove Primary Clarification; wastewater treatment unit; at updated plant - US_Without Amendment_Aerated Static Pile</v>
      </c>
    </row>
    <row r="13544" spans="1:13" s="120" customFormat="1" x14ac:dyDescent="0.25">
      <c r="A13544" s="119"/>
      <c r="B13544" s="138" t="str">
        <f t="shared" si="1193"/>
        <v>Aerated Static Pile</v>
      </c>
      <c r="C13544" s="138" t="str">
        <f t="shared" si="1194"/>
        <v>Without Amendment</v>
      </c>
      <c r="D13544" s="138" t="str">
        <f t="shared" si="1198"/>
        <v>High_Low</v>
      </c>
      <c r="E13544" s="138" t="str">
        <f t="shared" si="1195"/>
        <v>Low</v>
      </c>
      <c r="F13544" s="138" t="str">
        <f t="shared" si="1196"/>
        <v>Upgraded</v>
      </c>
      <c r="G13544" s="153"/>
      <c r="H13544" s="210">
        <v>0.14380000000000001</v>
      </c>
      <c r="I13544" s="160" t="s">
        <v>58</v>
      </c>
      <c r="J13544" s="160">
        <v>5.9000000000000003E-4</v>
      </c>
      <c r="K13544" s="160" t="s">
        <v>145</v>
      </c>
      <c r="L13544" s="154" t="str">
        <f>IF(OpenLCAbasic!K13544="CTUh", "Fill in Manually",IF(OR(K13544="Unit", K13544=""), "", INDEX(LookUps!$E$5:$E$12, MATCH(OpenLCAbasic!K13544,LookUps!$D$5:$D$12,0))))</f>
        <v>Particulate Matter Formation Potential (PMFP) - kg PM2.5 eq</v>
      </c>
      <c r="M13544" s="154" t="str">
        <f t="shared" si="1197"/>
        <v>Low_High_Low_Upgraded_Particulate Matter Formation Potential (PMFP) - kg PM2.5 eq_Pre-Anoxic &amp; Swing tank; wastewater treatment unit; at updated plant - US_Without Amendment_Aerated Static Pile</v>
      </c>
    </row>
    <row r="13545" spans="1:13" s="120" customFormat="1" x14ac:dyDescent="0.25">
      <c r="A13545" s="119"/>
      <c r="B13545" s="138" t="str">
        <f t="shared" ref="B13545:B13608" si="1199">IF(F13545="Legacy","n.a.",IF(F13545="","","Aerated Static Pile"))</f>
        <v>Aerated Static Pile</v>
      </c>
      <c r="C13545" s="138" t="str">
        <f t="shared" ref="C13545:C13608" si="1200">IF(ISNUMBER($J13545),"Without Amendment","")</f>
        <v>Without Amendment</v>
      </c>
      <c r="D13545" s="138" t="str">
        <f t="shared" si="1198"/>
        <v>High_Low</v>
      </c>
      <c r="E13545" s="138" t="str">
        <f t="shared" ref="E13545:E13608" si="1201">IF(ISNUMBER($J13545),"Low","")</f>
        <v>Low</v>
      </c>
      <c r="F13545" s="138" t="str">
        <f t="shared" ref="F13545:F13608" si="1202">IF(ISNUMBER(J13545),"Upgraded","")</f>
        <v>Upgraded</v>
      </c>
      <c r="G13545" s="153"/>
      <c r="H13545" s="210">
        <v>0.12</v>
      </c>
      <c r="I13545" s="160" t="s">
        <v>435</v>
      </c>
      <c r="J13545" s="160">
        <v>4.8999999999999998E-4</v>
      </c>
      <c r="K13545" s="160" t="s">
        <v>145</v>
      </c>
      <c r="L13545" s="154" t="str">
        <f>IF(OpenLCAbasic!K13545="CTUh", "Fill in Manually",IF(OR(K13545="Unit", K13545=""), "", INDEX(LookUps!$E$5:$E$12, MATCH(OpenLCAbasic!K13545,LookUps!$D$5:$D$12,0))))</f>
        <v>Particulate Matter Formation Potential (PMFP) - kg PM2.5 eq</v>
      </c>
      <c r="M13545" s="154" t="str">
        <f t="shared" si="1197"/>
        <v>Low_High_Low_Upgraded_Particulate Matter Formation Potential (PMFP) - kg PM2.5 eq_Biosolids composting; aerated static pile; wastewater treatment unit; at updated plant - US_Without Amendment_Aerated Static Pile</v>
      </c>
    </row>
    <row r="13546" spans="1:13" s="120" customFormat="1" x14ac:dyDescent="0.25">
      <c r="A13546" s="119"/>
      <c r="B13546" s="138" t="str">
        <f t="shared" si="1199"/>
        <v>Aerated Static Pile</v>
      </c>
      <c r="C13546" s="138" t="str">
        <f t="shared" si="1200"/>
        <v>Without Amendment</v>
      </c>
      <c r="D13546" s="138" t="str">
        <f t="shared" si="1198"/>
        <v>High_Low</v>
      </c>
      <c r="E13546" s="138" t="str">
        <f t="shared" si="1201"/>
        <v>Low</v>
      </c>
      <c r="F13546" s="138" t="str">
        <f t="shared" si="1202"/>
        <v>Upgraded</v>
      </c>
      <c r="G13546" s="153"/>
      <c r="H13546" s="210">
        <v>0.1135</v>
      </c>
      <c r="I13546" s="160" t="s">
        <v>53</v>
      </c>
      <c r="J13546" s="160">
        <v>4.6999999999999999E-4</v>
      </c>
      <c r="K13546" s="160" t="s">
        <v>145</v>
      </c>
      <c r="L13546" s="154" t="str">
        <f>IF(OpenLCAbasic!K13546="CTUh", "Fill in Manually",IF(OR(K13546="Unit", K13546=""), "", INDEX(LookUps!$E$5:$E$12, MATCH(OpenLCAbasic!K13546,LookUps!$D$5:$D$12,0))))</f>
        <v>Particulate Matter Formation Potential (PMFP) - kg PM2.5 eq</v>
      </c>
      <c r="M13546" s="154" t="str">
        <f t="shared" si="1197"/>
        <v>Low_High_Low_Upgraded_Particulate Matter Formation Potential (PMFP) - kg PM2.5 eq_Wet Well and Sump Station; wastewater treatment unit; at updated plant - US_Without Amendment_Aerated Static Pile</v>
      </c>
    </row>
    <row r="13547" spans="1:13" s="120" customFormat="1" x14ac:dyDescent="0.25">
      <c r="A13547" s="119"/>
      <c r="B13547" s="138" t="str">
        <f t="shared" si="1199"/>
        <v>Aerated Static Pile</v>
      </c>
      <c r="C13547" s="138" t="str">
        <f t="shared" si="1200"/>
        <v>Without Amendment</v>
      </c>
      <c r="D13547" s="138" t="str">
        <f t="shared" si="1198"/>
        <v>High_Low</v>
      </c>
      <c r="E13547" s="138" t="str">
        <f t="shared" si="1201"/>
        <v>Low</v>
      </c>
      <c r="F13547" s="138" t="str">
        <f t="shared" si="1202"/>
        <v>Upgraded</v>
      </c>
      <c r="G13547" s="153"/>
      <c r="H13547" s="210">
        <v>8.0699999999999994E-2</v>
      </c>
      <c r="I13547" s="160" t="s">
        <v>167</v>
      </c>
      <c r="J13547" s="160">
        <v>3.3E-4</v>
      </c>
      <c r="K13547" s="160" t="s">
        <v>145</v>
      </c>
      <c r="L13547" s="154" t="str">
        <f>IF(OpenLCAbasic!K13547="CTUh", "Fill in Manually",IF(OR(K13547="Unit", K13547=""), "", INDEX(LookUps!$E$5:$E$12, MATCH(OpenLCAbasic!K13547,LookUps!$D$5:$D$12,0))))</f>
        <v>Particulate Matter Formation Potential (PMFP) - kg PM2.5 eq</v>
      </c>
      <c r="M13547" s="154" t="str">
        <f t="shared" si="1197"/>
        <v>Low_High_Low_Upgraded_Particulate Matter Formation Potential (PMFP) - kg PM2.5 eq_Waste Receiving and Holding; wastewater treatment unit; at updated plant - US_Without Amendment_Aerated Static Pile</v>
      </c>
    </row>
    <row r="13548" spans="1:13" s="120" customFormat="1" x14ac:dyDescent="0.25">
      <c r="A13548" s="119"/>
      <c r="B13548" s="138" t="str">
        <f t="shared" si="1199"/>
        <v>Aerated Static Pile</v>
      </c>
      <c r="C13548" s="138" t="str">
        <f t="shared" si="1200"/>
        <v>Without Amendment</v>
      </c>
      <c r="D13548" s="138" t="str">
        <f t="shared" si="1198"/>
        <v>High_Low</v>
      </c>
      <c r="E13548" s="138" t="str">
        <f t="shared" si="1201"/>
        <v>Low</v>
      </c>
      <c r="F13548" s="138" t="str">
        <f t="shared" si="1202"/>
        <v>Upgraded</v>
      </c>
      <c r="G13548" s="153"/>
      <c r="H13548" s="210">
        <v>6.4899999999999999E-2</v>
      </c>
      <c r="I13548" s="160" t="s">
        <v>147</v>
      </c>
      <c r="J13548" s="160">
        <v>2.7E-4</v>
      </c>
      <c r="K13548" s="160" t="s">
        <v>145</v>
      </c>
      <c r="L13548" s="154" t="str">
        <f>IF(OpenLCAbasic!K13548="CTUh", "Fill in Manually",IF(OR(K13548="Unit", K13548=""), "", INDEX(LookUps!$E$5:$E$12, MATCH(OpenLCAbasic!K13548,LookUps!$D$5:$D$12,0))))</f>
        <v>Particulate Matter Formation Potential (PMFP) - kg PM2.5 eq</v>
      </c>
      <c r="M13548" s="154" t="str">
        <f t="shared" si="1197"/>
        <v>Low_High_Low_Upgraded_Particulate Matter Formation Potential (PMFP) - kg PM2.5 eq_Influent Pump Station; wastewater treatment unit; at updated plant - US_Without Amendment_Aerated Static Pile</v>
      </c>
    </row>
    <row r="13549" spans="1:13" s="120" customFormat="1" x14ac:dyDescent="0.25">
      <c r="A13549" s="119"/>
      <c r="B13549" s="138" t="str">
        <f t="shared" si="1199"/>
        <v>Aerated Static Pile</v>
      </c>
      <c r="C13549" s="138" t="str">
        <f t="shared" si="1200"/>
        <v>Without Amendment</v>
      </c>
      <c r="D13549" s="138" t="str">
        <f t="shared" si="1198"/>
        <v>High_Low</v>
      </c>
      <c r="E13549" s="138" t="str">
        <f t="shared" si="1201"/>
        <v>Low</v>
      </c>
      <c r="F13549" s="138" t="str">
        <f t="shared" si="1202"/>
        <v>Upgraded</v>
      </c>
      <c r="G13549" s="153"/>
      <c r="H13549" s="210">
        <v>5.5300000000000002E-2</v>
      </c>
      <c r="I13549" s="160" t="s">
        <v>60</v>
      </c>
      <c r="J13549" s="160">
        <v>2.3000000000000001E-4</v>
      </c>
      <c r="K13549" s="160" t="s">
        <v>145</v>
      </c>
      <c r="L13549" s="154" t="str">
        <f>IF(OpenLCAbasic!K13549="CTUh", "Fill in Manually",IF(OR(K13549="Unit", K13549=""), "", INDEX(LookUps!$E$5:$E$12, MATCH(OpenLCAbasic!K13549,LookUps!$D$5:$D$12,0))))</f>
        <v>Particulate Matter Formation Potential (PMFP) - kg PM2.5 eq</v>
      </c>
      <c r="M13549" s="154" t="str">
        <f t="shared" si="1197"/>
        <v>Low_High_Low_Upgraded_Particulate Matter Formation Potential (PMFP) - kg PM2.5 eq_Belt filter press; wastewater treatment unit; at updated plant - US_Without Amendment_Aerated Static Pile</v>
      </c>
    </row>
    <row r="13550" spans="1:13" s="120" customFormat="1" x14ac:dyDescent="0.25">
      <c r="A13550" s="119"/>
      <c r="B13550" s="138" t="str">
        <f t="shared" si="1199"/>
        <v>Aerated Static Pile</v>
      </c>
      <c r="C13550" s="138" t="str">
        <f t="shared" si="1200"/>
        <v>Without Amendment</v>
      </c>
      <c r="D13550" s="138" t="str">
        <f t="shared" si="1198"/>
        <v>High_Low</v>
      </c>
      <c r="E13550" s="138" t="str">
        <f t="shared" si="1201"/>
        <v>Low</v>
      </c>
      <c r="F13550" s="138" t="str">
        <f t="shared" si="1202"/>
        <v>Upgraded</v>
      </c>
      <c r="G13550" s="153"/>
      <c r="H13550" s="210">
        <v>4.0500000000000001E-2</v>
      </c>
      <c r="I13550" s="160" t="s">
        <v>128</v>
      </c>
      <c r="J13550" s="160">
        <v>1.7000000000000001E-4</v>
      </c>
      <c r="K13550" s="160" t="s">
        <v>145</v>
      </c>
      <c r="L13550" s="154" t="str">
        <f>IF(OpenLCAbasic!K13550="CTUh", "Fill in Manually",IF(OR(K13550="Unit", K13550=""), "", INDEX(LookUps!$E$5:$E$12, MATCH(OpenLCAbasic!K13550,LookUps!$D$5:$D$12,0))))</f>
        <v>Particulate Matter Formation Potential (PMFP) - kg PM2.5 eq</v>
      </c>
      <c r="M13550" s="154" t="str">
        <f t="shared" si="1197"/>
        <v>Low_High_Low_Upgraded_Particulate Matter Formation Potential (PMFP) - kg PM2.5 eq_Wastewater collection; operation and infrastructure; m3 wastewater_Without Amendment_Aerated Static Pile</v>
      </c>
    </row>
    <row r="13551" spans="1:13" s="120" customFormat="1" x14ac:dyDescent="0.25">
      <c r="A13551" s="119"/>
      <c r="B13551" s="138" t="str">
        <f t="shared" si="1199"/>
        <v>Aerated Static Pile</v>
      </c>
      <c r="C13551" s="138" t="str">
        <f t="shared" si="1200"/>
        <v>Without Amendment</v>
      </c>
      <c r="D13551" s="138" t="str">
        <f t="shared" si="1198"/>
        <v>High_Low</v>
      </c>
      <c r="E13551" s="138" t="str">
        <f t="shared" si="1201"/>
        <v>Low</v>
      </c>
      <c r="F13551" s="138" t="str">
        <f t="shared" si="1202"/>
        <v>Upgraded</v>
      </c>
      <c r="G13551" s="153"/>
      <c r="H13551" s="210">
        <v>2.3099999999999999E-2</v>
      </c>
      <c r="I13551" s="160" t="s">
        <v>57</v>
      </c>
      <c r="J13551" s="211">
        <v>9.5153800000000004E-5</v>
      </c>
      <c r="K13551" s="160" t="s">
        <v>145</v>
      </c>
      <c r="L13551" s="154" t="str">
        <f>IF(OpenLCAbasic!K13551="CTUh", "Fill in Manually",IF(OR(K13551="Unit", K13551=""), "", INDEX(LookUps!$E$5:$E$12, MATCH(OpenLCAbasic!K13551,LookUps!$D$5:$D$12,0))))</f>
        <v>Particulate Matter Formation Potential (PMFP) - kg PM2.5 eq</v>
      </c>
      <c r="M13551" s="154" t="str">
        <f t="shared" si="1197"/>
        <v>Low_High_Low_Upgraded_Particulate Matter Formation Potential (PMFP) - kg PM2.5 eq_Gravity Belt Thickener; wastewater treatment unit; at updated plant - US_Without Amendment_Aerated Static Pile</v>
      </c>
    </row>
    <row r="13552" spans="1:13" s="120" customFormat="1" x14ac:dyDescent="0.25">
      <c r="A13552" s="119"/>
      <c r="B13552" s="138" t="str">
        <f t="shared" si="1199"/>
        <v>Aerated Static Pile</v>
      </c>
      <c r="C13552" s="138" t="str">
        <f t="shared" si="1200"/>
        <v>Without Amendment</v>
      </c>
      <c r="D13552" s="138" t="str">
        <f t="shared" si="1198"/>
        <v>High_Low</v>
      </c>
      <c r="E13552" s="138" t="str">
        <f t="shared" si="1201"/>
        <v>Low</v>
      </c>
      <c r="F13552" s="138" t="str">
        <f t="shared" si="1202"/>
        <v>Upgraded</v>
      </c>
      <c r="G13552" s="153"/>
      <c r="H13552" s="210">
        <v>1.8599999999999998E-2</v>
      </c>
      <c r="I13552" s="160" t="s">
        <v>62</v>
      </c>
      <c r="J13552" s="211">
        <v>7.6371600000000006E-5</v>
      </c>
      <c r="K13552" s="160" t="s">
        <v>145</v>
      </c>
      <c r="L13552" s="154" t="str">
        <f>IF(OpenLCAbasic!K13552="CTUh", "Fill in Manually",IF(OR(K13552="Unit", K13552=""), "", INDEX(LookUps!$E$5:$E$12, MATCH(OpenLCAbasic!K13552,LookUps!$D$5:$D$12,0))))</f>
        <v>Particulate Matter Formation Potential (PMFP) - kg PM2.5 eq</v>
      </c>
      <c r="M13552" s="154" t="str">
        <f t="shared" si="1197"/>
        <v>Low_High_Low_Upgraded_Particulate Matter Formation Potential (PMFP) - kg PM2.5 eq_Land application of compost; wastewater treatment unit; at updated plant - US_Without Amendment_Aerated Static Pile</v>
      </c>
    </row>
    <row r="13553" spans="1:13" s="120" customFormat="1" x14ac:dyDescent="0.25">
      <c r="A13553" s="119"/>
      <c r="B13553" s="138" t="str">
        <f t="shared" si="1199"/>
        <v>Aerated Static Pile</v>
      </c>
      <c r="C13553" s="138" t="str">
        <f t="shared" si="1200"/>
        <v>Without Amendment</v>
      </c>
      <c r="D13553" s="138" t="str">
        <f t="shared" si="1198"/>
        <v>High_Low</v>
      </c>
      <c r="E13553" s="138" t="str">
        <f t="shared" si="1201"/>
        <v>Low</v>
      </c>
      <c r="F13553" s="138" t="str">
        <f t="shared" si="1202"/>
        <v>Upgraded</v>
      </c>
      <c r="G13553" s="153"/>
      <c r="H13553" s="210">
        <v>1.7000000000000001E-2</v>
      </c>
      <c r="I13553" s="160" t="s">
        <v>59</v>
      </c>
      <c r="J13553" s="211">
        <v>6.9942200000000003E-5</v>
      </c>
      <c r="K13553" s="160" t="s">
        <v>145</v>
      </c>
      <c r="L13553" s="154" t="str">
        <f>IF(OpenLCAbasic!K13553="CTUh", "Fill in Manually",IF(OR(K13553="Unit", K13553=""), "", INDEX(LookUps!$E$5:$E$12, MATCH(OpenLCAbasic!K13553,LookUps!$D$5:$D$12,0))))</f>
        <v>Particulate Matter Formation Potential (PMFP) - kg PM2.5 eq</v>
      </c>
      <c r="M13553" s="154" t="str">
        <f t="shared" si="1197"/>
        <v>Low_High_Low_Upgraded_Particulate Matter Formation Potential (PMFP) - kg PM2.5 eq_Blend Tank; wastewater treatment unit; at updated plant - US_Without Amendment_Aerated Static Pile</v>
      </c>
    </row>
    <row r="13554" spans="1:13" s="120" customFormat="1" x14ac:dyDescent="0.25">
      <c r="A13554" s="119"/>
      <c r="B13554" s="138" t="str">
        <f t="shared" si="1199"/>
        <v>Aerated Static Pile</v>
      </c>
      <c r="C13554" s="138" t="str">
        <f t="shared" si="1200"/>
        <v>Without Amendment</v>
      </c>
      <c r="D13554" s="138" t="str">
        <f t="shared" si="1198"/>
        <v>High_Low</v>
      </c>
      <c r="E13554" s="138" t="str">
        <f t="shared" si="1201"/>
        <v>Low</v>
      </c>
      <c r="F13554" s="138" t="str">
        <f t="shared" si="1202"/>
        <v>Upgraded</v>
      </c>
      <c r="G13554" s="153"/>
      <c r="H13554" s="210">
        <v>1.2200000000000001E-2</v>
      </c>
      <c r="I13554" s="160" t="s">
        <v>48</v>
      </c>
      <c r="J13554" s="211">
        <v>4.99741E-5</v>
      </c>
      <c r="K13554" s="160" t="s">
        <v>145</v>
      </c>
      <c r="L13554" s="154" t="str">
        <f>IF(OpenLCAbasic!K13554="CTUh", "Fill in Manually",IF(OR(K13554="Unit", K13554=""), "", INDEX(LookUps!$E$5:$E$12, MATCH(OpenLCAbasic!K13554,LookUps!$D$5:$D$12,0))))</f>
        <v>Particulate Matter Formation Potential (PMFP) - kg PM2.5 eq</v>
      </c>
      <c r="M13554" s="154" t="str">
        <f t="shared" si="1197"/>
        <v>Low_High_Low_Upgraded_Particulate Matter Formation Potential (PMFP) - kg PM2.5 eq_Effluent release; wastewater treatment unit; at surface water; m3 wastewater - US_Without Amendment_Aerated Static Pile</v>
      </c>
    </row>
    <row r="13555" spans="1:13" s="120" customFormat="1" x14ac:dyDescent="0.25">
      <c r="A13555" s="119"/>
      <c r="B13555" s="138" t="str">
        <f t="shared" si="1199"/>
        <v>Aerated Static Pile</v>
      </c>
      <c r="C13555" s="138" t="str">
        <f t="shared" si="1200"/>
        <v>Without Amendment</v>
      </c>
      <c r="D13555" s="138" t="str">
        <f t="shared" si="1198"/>
        <v>High_Low</v>
      </c>
      <c r="E13555" s="138" t="str">
        <f t="shared" si="1201"/>
        <v>Low</v>
      </c>
      <c r="F13555" s="138" t="str">
        <f t="shared" si="1202"/>
        <v>Upgraded</v>
      </c>
      <c r="G13555" s="153"/>
      <c r="H13555" s="210">
        <v>8.3999999999999995E-3</v>
      </c>
      <c r="I13555" s="160" t="s">
        <v>168</v>
      </c>
      <c r="J13555" s="211">
        <v>3.4562199999999999E-5</v>
      </c>
      <c r="K13555" s="160" t="s">
        <v>145</v>
      </c>
      <c r="L13555" s="154" t="str">
        <f>IF(OpenLCAbasic!K13555="CTUh", "Fill in Manually",IF(OR(K13555="Unit", K13555=""), "", INDEX(LookUps!$E$5:$E$12, MATCH(OpenLCAbasic!K13555,LookUps!$D$5:$D$12,0))))</f>
        <v>Particulate Matter Formation Potential (PMFP) - kg PM2.5 eq</v>
      </c>
      <c r="M13555" s="154" t="str">
        <f t="shared" si="1197"/>
        <v>Low_High_Low_Upgraded_Particulate Matter Formation Potential (PMFP) - kg PM2.5 eq_ClearCove SCP; wastewater treatment unit; at updated plant - US_Without Amendment_Aerated Static Pile</v>
      </c>
    </row>
    <row r="13556" spans="1:13" s="120" customFormat="1" x14ac:dyDescent="0.25">
      <c r="A13556" s="119"/>
      <c r="B13556" s="138" t="str">
        <f t="shared" si="1199"/>
        <v>Aerated Static Pile</v>
      </c>
      <c r="C13556" s="138" t="str">
        <f t="shared" si="1200"/>
        <v>Without Amendment</v>
      </c>
      <c r="D13556" s="138" t="str">
        <f t="shared" si="1198"/>
        <v>High_Low</v>
      </c>
      <c r="E13556" s="138" t="str">
        <f t="shared" si="1201"/>
        <v>Low</v>
      </c>
      <c r="F13556" s="138" t="str">
        <f t="shared" si="1202"/>
        <v>Upgraded</v>
      </c>
      <c r="G13556" s="153"/>
      <c r="H13556" s="210">
        <v>2.0999999999999999E-3</v>
      </c>
      <c r="I13556" s="160" t="s">
        <v>148</v>
      </c>
      <c r="J13556" s="211">
        <v>8.8212999999999997E-6</v>
      </c>
      <c r="K13556" s="160" t="s">
        <v>145</v>
      </c>
      <c r="L13556" s="154" t="str">
        <f>IF(OpenLCAbasic!K13556="CTUh", "Fill in Manually",IF(OR(K13556="Unit", K13556=""), "", INDEX(LookUps!$E$5:$E$12, MATCH(OpenLCAbasic!K13556,LookUps!$D$5:$D$12,0))))</f>
        <v>Particulate Matter Formation Potential (PMFP) - kg PM2.5 eq</v>
      </c>
      <c r="M13556" s="154" t="str">
        <f t="shared" si="1197"/>
        <v>Low_High_Low_Upgraded_Particulate Matter Formation Potential (PMFP) - kg PM2.5 eq_Control Building; at upgraded wastewater treatment plant - US_Without Amendment_Aerated Static Pile</v>
      </c>
    </row>
    <row r="13557" spans="1:13" s="120" customFormat="1" x14ac:dyDescent="0.25">
      <c r="A13557" s="119"/>
      <c r="B13557" s="138" t="str">
        <f t="shared" si="1199"/>
        <v>Aerated Static Pile</v>
      </c>
      <c r="C13557" s="138" t="str">
        <f t="shared" si="1200"/>
        <v>Without Amendment</v>
      </c>
      <c r="D13557" s="138" t="str">
        <f t="shared" si="1198"/>
        <v>High_Low</v>
      </c>
      <c r="E13557" s="138" t="str">
        <f t="shared" si="1201"/>
        <v>Low</v>
      </c>
      <c r="F13557" s="138" t="str">
        <f t="shared" si="1202"/>
        <v>Upgraded</v>
      </c>
      <c r="G13557" s="153"/>
      <c r="H13557" s="210">
        <v>-0.43319999999999997</v>
      </c>
      <c r="I13557" s="160" t="s">
        <v>149</v>
      </c>
      <c r="J13557" s="160">
        <v>-1.7799999999999999E-3</v>
      </c>
      <c r="K13557" s="160" t="s">
        <v>145</v>
      </c>
      <c r="L13557" s="154" t="str">
        <f>IF(OpenLCAbasic!K13557="CTUh", "Fill in Manually",IF(OR(K13557="Unit", K13557=""), "", INDEX(LookUps!$E$5:$E$12, MATCH(OpenLCAbasic!K13557,LookUps!$D$5:$D$12,0))))</f>
        <v>Particulate Matter Formation Potential (PMFP) - kg PM2.5 eq</v>
      </c>
      <c r="M13557" s="154" t="str">
        <f t="shared" si="1197"/>
        <v>Low_High_Low_Upgraded_Particulate Matter Formation Potential (PMFP) - kg PM2.5 eq_Anaerobic Digestion; wastewater treatment unit; at updated plant - US_Without Amendment_Aerated Static Pile</v>
      </c>
    </row>
    <row r="13558" spans="1:13" s="120" customFormat="1" x14ac:dyDescent="0.25">
      <c r="A13558" s="119"/>
      <c r="B13558" s="138" t="str">
        <f t="shared" si="1199"/>
        <v/>
      </c>
      <c r="C13558" s="138" t="str">
        <f t="shared" si="1200"/>
        <v/>
      </c>
      <c r="D13558" s="138" t="str">
        <f t="shared" si="1198"/>
        <v/>
      </c>
      <c r="E13558" s="138" t="str">
        <f t="shared" si="1201"/>
        <v/>
      </c>
      <c r="F13558" s="138" t="str">
        <f t="shared" si="1202"/>
        <v/>
      </c>
      <c r="G13558" s="153" t="s">
        <v>51</v>
      </c>
      <c r="H13558" s="160"/>
      <c r="I13558" s="160" t="s">
        <v>47</v>
      </c>
      <c r="J13558" s="160" t="s">
        <v>52</v>
      </c>
      <c r="K13558" s="160" t="s">
        <v>27</v>
      </c>
      <c r="L13558" s="154" t="str">
        <f>IF(OpenLCAbasic!K13558="CTUh", "Fill in Manually",IF(OR(K13558="Unit", K13558=""), "", INDEX(LookUps!$E$5:$E$12, MATCH(OpenLCAbasic!K13558,LookUps!$D$5:$D$12,0))))</f>
        <v/>
      </c>
      <c r="M13558" s="154" t="str">
        <f t="shared" si="1197"/>
        <v>____Process__</v>
      </c>
    </row>
    <row r="13559" spans="1:13" s="120" customFormat="1" x14ac:dyDescent="0.25">
      <c r="A13559" s="119"/>
      <c r="B13559" s="138" t="str">
        <f t="shared" si="1199"/>
        <v>Aerated Static Pile</v>
      </c>
      <c r="C13559" s="138" t="str">
        <f t="shared" si="1200"/>
        <v>Without Amendment</v>
      </c>
      <c r="D13559" s="138" t="str">
        <f t="shared" si="1198"/>
        <v>High_Low</v>
      </c>
      <c r="E13559" s="138" t="str">
        <f t="shared" si="1201"/>
        <v>Low</v>
      </c>
      <c r="F13559" s="138" t="str">
        <f t="shared" si="1202"/>
        <v>Upgraded</v>
      </c>
      <c r="G13559" s="153"/>
      <c r="H13559" s="210">
        <v>0.56779999999999997</v>
      </c>
      <c r="I13559" s="160" t="s">
        <v>55</v>
      </c>
      <c r="J13559" s="160">
        <v>0.16577</v>
      </c>
      <c r="K13559" s="160" t="s">
        <v>25</v>
      </c>
      <c r="L13559" s="154" t="str">
        <f>IF(OpenLCAbasic!K13559="CTUh", "Fill in Manually",IF(OR(K13559="Unit", K13559=""), "", INDEX(LookUps!$E$5:$E$12, MATCH(OpenLCAbasic!K13559,LookUps!$D$5:$D$12,0))))</f>
        <v>Smog Formation Potential (SFP) - kg O3 eq</v>
      </c>
      <c r="M13559" s="154" t="str">
        <f t="shared" si="1197"/>
        <v>Low_High_Low_Upgraded_Smog Formation Potential (SFP) - kg O3 eq_Aeration Tanks; wastewater treatment unit; at updated plant - US_Without Amendment_Aerated Static Pile</v>
      </c>
    </row>
    <row r="13560" spans="1:13" s="120" customFormat="1" x14ac:dyDescent="0.25">
      <c r="A13560" s="119"/>
      <c r="B13560" s="138" t="str">
        <f t="shared" si="1199"/>
        <v>Aerated Static Pile</v>
      </c>
      <c r="C13560" s="138" t="str">
        <f t="shared" si="1200"/>
        <v>Without Amendment</v>
      </c>
      <c r="D13560" s="138" t="str">
        <f t="shared" si="1198"/>
        <v>High_Low</v>
      </c>
      <c r="E13560" s="138" t="str">
        <f t="shared" si="1201"/>
        <v>Low</v>
      </c>
      <c r="F13560" s="138" t="str">
        <f t="shared" si="1202"/>
        <v>Upgraded</v>
      </c>
      <c r="G13560" s="153"/>
      <c r="H13560" s="210">
        <v>0.16470000000000001</v>
      </c>
      <c r="I13560" s="160" t="s">
        <v>54</v>
      </c>
      <c r="J13560" s="160">
        <v>4.8070000000000002E-2</v>
      </c>
      <c r="K13560" s="160" t="s">
        <v>25</v>
      </c>
      <c r="L13560" s="154" t="str">
        <f>IF(OpenLCAbasic!K13560="CTUh", "Fill in Manually",IF(OR(K13560="Unit", K13560=""), "", INDEX(LookUps!$E$5:$E$12, MATCH(OpenLCAbasic!K13560,LookUps!$D$5:$D$12,0))))</f>
        <v>Smog Formation Potential (SFP) - kg O3 eq</v>
      </c>
      <c r="M13560" s="154" t="str">
        <f t="shared" si="1197"/>
        <v>Low_High_Low_Upgraded_Smog Formation Potential (SFP) - kg O3 eq_Clear Cove Primary Clarification; wastewater treatment unit; at updated plant - US_Without Amendment_Aerated Static Pile</v>
      </c>
    </row>
    <row r="13561" spans="1:13" s="120" customFormat="1" x14ac:dyDescent="0.25">
      <c r="A13561" s="119"/>
      <c r="B13561" s="138" t="str">
        <f t="shared" si="1199"/>
        <v>Aerated Static Pile</v>
      </c>
      <c r="C13561" s="138" t="str">
        <f t="shared" si="1200"/>
        <v>Without Amendment</v>
      </c>
      <c r="D13561" s="138" t="str">
        <f t="shared" si="1198"/>
        <v>High_Low</v>
      </c>
      <c r="E13561" s="138" t="str">
        <f t="shared" si="1201"/>
        <v>Low</v>
      </c>
      <c r="F13561" s="138" t="str">
        <f t="shared" si="1202"/>
        <v>Upgraded</v>
      </c>
      <c r="G13561" s="153"/>
      <c r="H13561" s="210">
        <v>0.14419999999999999</v>
      </c>
      <c r="I13561" s="160" t="s">
        <v>58</v>
      </c>
      <c r="J13561" s="160">
        <v>4.2090000000000002E-2</v>
      </c>
      <c r="K13561" s="160" t="s">
        <v>25</v>
      </c>
      <c r="L13561" s="154" t="str">
        <f>IF(OpenLCAbasic!K13561="CTUh", "Fill in Manually",IF(OR(K13561="Unit", K13561=""), "", INDEX(LookUps!$E$5:$E$12, MATCH(OpenLCAbasic!K13561,LookUps!$D$5:$D$12,0))))</f>
        <v>Smog Formation Potential (SFP) - kg O3 eq</v>
      </c>
      <c r="M13561" s="154" t="str">
        <f t="shared" si="1197"/>
        <v>Low_High_Low_Upgraded_Smog Formation Potential (SFP) - kg O3 eq_Pre-Anoxic &amp; Swing tank; wastewater treatment unit; at updated plant - US_Without Amendment_Aerated Static Pile</v>
      </c>
    </row>
    <row r="13562" spans="1:13" s="120" customFormat="1" x14ac:dyDescent="0.25">
      <c r="A13562" s="119"/>
      <c r="B13562" s="138" t="str">
        <f t="shared" si="1199"/>
        <v>Aerated Static Pile</v>
      </c>
      <c r="C13562" s="138" t="str">
        <f t="shared" si="1200"/>
        <v>Without Amendment</v>
      </c>
      <c r="D13562" s="138" t="str">
        <f t="shared" si="1198"/>
        <v>High_Low</v>
      </c>
      <c r="E13562" s="138" t="str">
        <f t="shared" si="1201"/>
        <v>Low</v>
      </c>
      <c r="F13562" s="138" t="str">
        <f t="shared" si="1202"/>
        <v>Upgraded</v>
      </c>
      <c r="G13562" s="153"/>
      <c r="H13562" s="210">
        <v>0.11990000000000001</v>
      </c>
      <c r="I13562" s="160" t="s">
        <v>435</v>
      </c>
      <c r="J13562" s="160">
        <v>3.499E-2</v>
      </c>
      <c r="K13562" s="160" t="s">
        <v>25</v>
      </c>
      <c r="L13562" s="154" t="str">
        <f>IF(OpenLCAbasic!K13562="CTUh", "Fill in Manually",IF(OR(K13562="Unit", K13562=""), "", INDEX(LookUps!$E$5:$E$12, MATCH(OpenLCAbasic!K13562,LookUps!$D$5:$D$12,0))))</f>
        <v>Smog Formation Potential (SFP) - kg O3 eq</v>
      </c>
      <c r="M13562" s="154" t="str">
        <f t="shared" si="1197"/>
        <v>Low_High_Low_Upgraded_Smog Formation Potential (SFP) - kg O3 eq_Biosolids composting; aerated static pile; wastewater treatment unit; at updated plant - US_Without Amendment_Aerated Static Pile</v>
      </c>
    </row>
    <row r="13563" spans="1:13" s="120" customFormat="1" x14ac:dyDescent="0.25">
      <c r="A13563" s="119"/>
      <c r="B13563" s="138" t="str">
        <f t="shared" si="1199"/>
        <v>Aerated Static Pile</v>
      </c>
      <c r="C13563" s="138" t="str">
        <f t="shared" si="1200"/>
        <v>Without Amendment</v>
      </c>
      <c r="D13563" s="138" t="str">
        <f t="shared" si="1198"/>
        <v>High_Low</v>
      </c>
      <c r="E13563" s="138" t="str">
        <f t="shared" si="1201"/>
        <v>Low</v>
      </c>
      <c r="F13563" s="138" t="str">
        <f t="shared" si="1202"/>
        <v>Upgraded</v>
      </c>
      <c r="G13563" s="153"/>
      <c r="H13563" s="210">
        <v>0.11559999999999999</v>
      </c>
      <c r="I13563" s="160" t="s">
        <v>167</v>
      </c>
      <c r="J13563" s="160">
        <v>3.3759999999999998E-2</v>
      </c>
      <c r="K13563" s="160" t="s">
        <v>25</v>
      </c>
      <c r="L13563" s="154" t="str">
        <f>IF(OpenLCAbasic!K13563="CTUh", "Fill in Manually",IF(OR(K13563="Unit", K13563=""), "", INDEX(LookUps!$E$5:$E$12, MATCH(OpenLCAbasic!K13563,LookUps!$D$5:$D$12,0))))</f>
        <v>Smog Formation Potential (SFP) - kg O3 eq</v>
      </c>
      <c r="M13563" s="154" t="str">
        <f t="shared" si="1197"/>
        <v>Low_High_Low_Upgraded_Smog Formation Potential (SFP) - kg O3 eq_Waste Receiving and Holding; wastewater treatment unit; at updated plant - US_Without Amendment_Aerated Static Pile</v>
      </c>
    </row>
    <row r="13564" spans="1:13" s="120" customFormat="1" x14ac:dyDescent="0.25">
      <c r="A13564" s="119"/>
      <c r="B13564" s="138" t="str">
        <f t="shared" si="1199"/>
        <v>Aerated Static Pile</v>
      </c>
      <c r="C13564" s="138" t="str">
        <f t="shared" si="1200"/>
        <v>Without Amendment</v>
      </c>
      <c r="D13564" s="138" t="str">
        <f t="shared" si="1198"/>
        <v>High_Low</v>
      </c>
      <c r="E13564" s="138" t="str">
        <f t="shared" si="1201"/>
        <v>Low</v>
      </c>
      <c r="F13564" s="138" t="str">
        <f t="shared" si="1202"/>
        <v>Upgraded</v>
      </c>
      <c r="G13564" s="153"/>
      <c r="H13564" s="210">
        <v>0.1135</v>
      </c>
      <c r="I13564" s="160" t="s">
        <v>53</v>
      </c>
      <c r="J13564" s="160">
        <v>3.313E-2</v>
      </c>
      <c r="K13564" s="160" t="s">
        <v>25</v>
      </c>
      <c r="L13564" s="154" t="str">
        <f>IF(OpenLCAbasic!K13564="CTUh", "Fill in Manually",IF(OR(K13564="Unit", K13564=""), "", INDEX(LookUps!$E$5:$E$12, MATCH(OpenLCAbasic!K13564,LookUps!$D$5:$D$12,0))))</f>
        <v>Smog Formation Potential (SFP) - kg O3 eq</v>
      </c>
      <c r="M13564" s="154" t="str">
        <f t="shared" si="1197"/>
        <v>Low_High_Low_Upgraded_Smog Formation Potential (SFP) - kg O3 eq_Wet Well and Sump Station; wastewater treatment unit; at updated plant - US_Without Amendment_Aerated Static Pile</v>
      </c>
    </row>
    <row r="13565" spans="1:13" s="120" customFormat="1" x14ac:dyDescent="0.25">
      <c r="A13565" s="119"/>
      <c r="B13565" s="138" t="str">
        <f t="shared" si="1199"/>
        <v>Aerated Static Pile</v>
      </c>
      <c r="C13565" s="138" t="str">
        <f t="shared" si="1200"/>
        <v>Without Amendment</v>
      </c>
      <c r="D13565" s="138" t="str">
        <f t="shared" si="1198"/>
        <v>High_Low</v>
      </c>
      <c r="E13565" s="138" t="str">
        <f t="shared" si="1201"/>
        <v>Low</v>
      </c>
      <c r="F13565" s="138" t="str">
        <f t="shared" si="1202"/>
        <v>Upgraded</v>
      </c>
      <c r="G13565" s="153"/>
      <c r="H13565" s="210">
        <v>6.6400000000000001E-2</v>
      </c>
      <c r="I13565" s="160" t="s">
        <v>147</v>
      </c>
      <c r="J13565" s="160">
        <v>1.9400000000000001E-2</v>
      </c>
      <c r="K13565" s="160" t="s">
        <v>25</v>
      </c>
      <c r="L13565" s="154" t="str">
        <f>IF(OpenLCAbasic!K13565="CTUh", "Fill in Manually",IF(OR(K13565="Unit", K13565=""), "", INDEX(LookUps!$E$5:$E$12, MATCH(OpenLCAbasic!K13565,LookUps!$D$5:$D$12,0))))</f>
        <v>Smog Formation Potential (SFP) - kg O3 eq</v>
      </c>
      <c r="M13565" s="154" t="str">
        <f t="shared" si="1197"/>
        <v>Low_High_Low_Upgraded_Smog Formation Potential (SFP) - kg O3 eq_Influent Pump Station; wastewater treatment unit; at updated plant - US_Without Amendment_Aerated Static Pile</v>
      </c>
    </row>
    <row r="13566" spans="1:13" s="120" customFormat="1" x14ac:dyDescent="0.25">
      <c r="A13566" s="119"/>
      <c r="B13566" s="138" t="str">
        <f t="shared" si="1199"/>
        <v>Aerated Static Pile</v>
      </c>
      <c r="C13566" s="138" t="str">
        <f t="shared" si="1200"/>
        <v>Without Amendment</v>
      </c>
      <c r="D13566" s="138" t="str">
        <f t="shared" si="1198"/>
        <v>High_Low</v>
      </c>
      <c r="E13566" s="138" t="str">
        <f t="shared" si="1201"/>
        <v>Low</v>
      </c>
      <c r="F13566" s="138" t="str">
        <f t="shared" si="1202"/>
        <v>Upgraded</v>
      </c>
      <c r="G13566" s="153"/>
      <c r="H13566" s="210">
        <v>5.4800000000000001E-2</v>
      </c>
      <c r="I13566" s="160" t="s">
        <v>60</v>
      </c>
      <c r="J13566" s="160">
        <v>1.5990000000000001E-2</v>
      </c>
      <c r="K13566" s="160" t="s">
        <v>25</v>
      </c>
      <c r="L13566" s="154" t="str">
        <f>IF(OpenLCAbasic!K13566="CTUh", "Fill in Manually",IF(OR(K13566="Unit", K13566=""), "", INDEX(LookUps!$E$5:$E$12, MATCH(OpenLCAbasic!K13566,LookUps!$D$5:$D$12,0))))</f>
        <v>Smog Formation Potential (SFP) - kg O3 eq</v>
      </c>
      <c r="M13566" s="154" t="str">
        <f t="shared" si="1197"/>
        <v>Low_High_Low_Upgraded_Smog Formation Potential (SFP) - kg O3 eq_Belt filter press; wastewater treatment unit; at updated plant - US_Without Amendment_Aerated Static Pile</v>
      </c>
    </row>
    <row r="13567" spans="1:13" s="120" customFormat="1" x14ac:dyDescent="0.25">
      <c r="A13567" s="119"/>
      <c r="B13567" s="138" t="str">
        <f t="shared" si="1199"/>
        <v>Aerated Static Pile</v>
      </c>
      <c r="C13567" s="138" t="str">
        <f t="shared" si="1200"/>
        <v>Without Amendment</v>
      </c>
      <c r="D13567" s="138" t="str">
        <f t="shared" si="1198"/>
        <v>High_Low</v>
      </c>
      <c r="E13567" s="138" t="str">
        <f t="shared" si="1201"/>
        <v>Low</v>
      </c>
      <c r="F13567" s="138" t="str">
        <f t="shared" si="1202"/>
        <v>Upgraded</v>
      </c>
      <c r="G13567" s="153"/>
      <c r="H13567" s="210">
        <v>4.0800000000000003E-2</v>
      </c>
      <c r="I13567" s="160" t="s">
        <v>128</v>
      </c>
      <c r="J13567" s="160">
        <v>1.192E-2</v>
      </c>
      <c r="K13567" s="160" t="s">
        <v>25</v>
      </c>
      <c r="L13567" s="154" t="str">
        <f>IF(OpenLCAbasic!K13567="CTUh", "Fill in Manually",IF(OR(K13567="Unit", K13567=""), "", INDEX(LookUps!$E$5:$E$12, MATCH(OpenLCAbasic!K13567,LookUps!$D$5:$D$12,0))))</f>
        <v>Smog Formation Potential (SFP) - kg O3 eq</v>
      </c>
      <c r="M13567" s="154" t="str">
        <f t="shared" si="1197"/>
        <v>Low_High_Low_Upgraded_Smog Formation Potential (SFP) - kg O3 eq_Wastewater collection; operation and infrastructure; m3 wastewater_Without Amendment_Aerated Static Pile</v>
      </c>
    </row>
    <row r="13568" spans="1:13" s="120" customFormat="1" x14ac:dyDescent="0.25">
      <c r="A13568" s="119"/>
      <c r="B13568" s="138" t="str">
        <f t="shared" si="1199"/>
        <v>Aerated Static Pile</v>
      </c>
      <c r="C13568" s="138" t="str">
        <f t="shared" si="1200"/>
        <v>Without Amendment</v>
      </c>
      <c r="D13568" s="138" t="str">
        <f t="shared" si="1198"/>
        <v>High_Low</v>
      </c>
      <c r="E13568" s="138" t="str">
        <f t="shared" si="1201"/>
        <v>Low</v>
      </c>
      <c r="F13568" s="138" t="str">
        <f t="shared" si="1202"/>
        <v>Upgraded</v>
      </c>
      <c r="G13568" s="153"/>
      <c r="H13568" s="210">
        <v>2.2800000000000001E-2</v>
      </c>
      <c r="I13568" s="160" t="s">
        <v>57</v>
      </c>
      <c r="J13568" s="160">
        <v>6.6499999999999997E-3</v>
      </c>
      <c r="K13568" s="160" t="s">
        <v>25</v>
      </c>
      <c r="L13568" s="154" t="str">
        <f>IF(OpenLCAbasic!K13568="CTUh", "Fill in Manually",IF(OR(K13568="Unit", K13568=""), "", INDEX(LookUps!$E$5:$E$12, MATCH(OpenLCAbasic!K13568,LookUps!$D$5:$D$12,0))))</f>
        <v>Smog Formation Potential (SFP) - kg O3 eq</v>
      </c>
      <c r="M13568" s="154" t="str">
        <f t="shared" si="1197"/>
        <v>Low_High_Low_Upgraded_Smog Formation Potential (SFP) - kg O3 eq_Gravity Belt Thickener; wastewater treatment unit; at updated plant - US_Without Amendment_Aerated Static Pile</v>
      </c>
    </row>
    <row r="13569" spans="1:13" s="120" customFormat="1" x14ac:dyDescent="0.25">
      <c r="A13569" s="119"/>
      <c r="B13569" s="138" t="str">
        <f t="shared" si="1199"/>
        <v>Aerated Static Pile</v>
      </c>
      <c r="C13569" s="138" t="str">
        <f t="shared" si="1200"/>
        <v>Without Amendment</v>
      </c>
      <c r="D13569" s="138" t="str">
        <f t="shared" si="1198"/>
        <v>High_Low</v>
      </c>
      <c r="E13569" s="138" t="str">
        <f t="shared" si="1201"/>
        <v>Low</v>
      </c>
      <c r="F13569" s="138" t="str">
        <f t="shared" si="1202"/>
        <v>Upgraded</v>
      </c>
      <c r="G13569" s="153"/>
      <c r="H13569" s="210">
        <v>1.7000000000000001E-2</v>
      </c>
      <c r="I13569" s="160" t="s">
        <v>59</v>
      </c>
      <c r="J13569" s="160">
        <v>4.9699999999999996E-3</v>
      </c>
      <c r="K13569" s="160" t="s">
        <v>25</v>
      </c>
      <c r="L13569" s="154" t="str">
        <f>IF(OpenLCAbasic!K13569="CTUh", "Fill in Manually",IF(OR(K13569="Unit", K13569=""), "", INDEX(LookUps!$E$5:$E$12, MATCH(OpenLCAbasic!K13569,LookUps!$D$5:$D$12,0))))</f>
        <v>Smog Formation Potential (SFP) - kg O3 eq</v>
      </c>
      <c r="M13569" s="154" t="str">
        <f t="shared" si="1197"/>
        <v>Low_High_Low_Upgraded_Smog Formation Potential (SFP) - kg O3 eq_Blend Tank; wastewater treatment unit; at updated plant - US_Without Amendment_Aerated Static Pile</v>
      </c>
    </row>
    <row r="13570" spans="1:13" s="120" customFormat="1" x14ac:dyDescent="0.25">
      <c r="A13570" s="119"/>
      <c r="B13570" s="138" t="str">
        <f t="shared" si="1199"/>
        <v>Aerated Static Pile</v>
      </c>
      <c r="C13570" s="138" t="str">
        <f t="shared" si="1200"/>
        <v>Without Amendment</v>
      </c>
      <c r="D13570" s="138" t="str">
        <f t="shared" si="1198"/>
        <v>High_Low</v>
      </c>
      <c r="E13570" s="138" t="str">
        <f t="shared" si="1201"/>
        <v>Low</v>
      </c>
      <c r="F13570" s="138" t="str">
        <f t="shared" si="1202"/>
        <v>Upgraded</v>
      </c>
      <c r="G13570" s="153"/>
      <c r="H13570" s="210">
        <v>1.1599999999999999E-2</v>
      </c>
      <c r="I13570" s="160" t="s">
        <v>48</v>
      </c>
      <c r="J13570" s="160">
        <v>3.3899999999999998E-3</v>
      </c>
      <c r="K13570" s="160" t="s">
        <v>25</v>
      </c>
      <c r="L13570" s="154" t="str">
        <f>IF(OpenLCAbasic!K13570="CTUh", "Fill in Manually",IF(OR(K13570="Unit", K13570=""), "", INDEX(LookUps!$E$5:$E$12, MATCH(OpenLCAbasic!K13570,LookUps!$D$5:$D$12,0))))</f>
        <v>Smog Formation Potential (SFP) - kg O3 eq</v>
      </c>
      <c r="M13570" s="154" t="str">
        <f t="shared" si="1197"/>
        <v>Low_High_Low_Upgraded_Smog Formation Potential (SFP) - kg O3 eq_Effluent release; wastewater treatment unit; at surface water; m3 wastewater - US_Without Amendment_Aerated Static Pile</v>
      </c>
    </row>
    <row r="13571" spans="1:13" s="120" customFormat="1" x14ac:dyDescent="0.25">
      <c r="A13571" s="119"/>
      <c r="B13571" s="138" t="str">
        <f t="shared" si="1199"/>
        <v>Aerated Static Pile</v>
      </c>
      <c r="C13571" s="138" t="str">
        <f t="shared" si="1200"/>
        <v>Without Amendment</v>
      </c>
      <c r="D13571" s="138" t="str">
        <f t="shared" si="1198"/>
        <v>High_Low</v>
      </c>
      <c r="E13571" s="138" t="str">
        <f t="shared" si="1201"/>
        <v>Low</v>
      </c>
      <c r="F13571" s="138" t="str">
        <f t="shared" si="1202"/>
        <v>Upgraded</v>
      </c>
      <c r="G13571" s="153"/>
      <c r="H13571" s="210">
        <v>8.3999999999999995E-3</v>
      </c>
      <c r="I13571" s="160" t="s">
        <v>168</v>
      </c>
      <c r="J13571" s="160">
        <v>2.4599999999999999E-3</v>
      </c>
      <c r="K13571" s="160" t="s">
        <v>25</v>
      </c>
      <c r="L13571" s="154" t="str">
        <f>IF(OpenLCAbasic!K13571="CTUh", "Fill in Manually",IF(OR(K13571="Unit", K13571=""), "", INDEX(LookUps!$E$5:$E$12, MATCH(OpenLCAbasic!K13571,LookUps!$D$5:$D$12,0))))</f>
        <v>Smog Formation Potential (SFP) - kg O3 eq</v>
      </c>
      <c r="M13571" s="154" t="str">
        <f t="shared" si="1197"/>
        <v>Low_High_Low_Upgraded_Smog Formation Potential (SFP) - kg O3 eq_ClearCove SCP; wastewater treatment unit; at updated plant - US_Without Amendment_Aerated Static Pile</v>
      </c>
    </row>
    <row r="13572" spans="1:13" s="120" customFormat="1" x14ac:dyDescent="0.25">
      <c r="A13572" s="119"/>
      <c r="B13572" s="138" t="str">
        <f t="shared" si="1199"/>
        <v>Aerated Static Pile</v>
      </c>
      <c r="C13572" s="138" t="str">
        <f t="shared" si="1200"/>
        <v>Without Amendment</v>
      </c>
      <c r="D13572" s="138" t="str">
        <f t="shared" si="1198"/>
        <v>High_Low</v>
      </c>
      <c r="E13572" s="138" t="str">
        <f t="shared" si="1201"/>
        <v>Low</v>
      </c>
      <c r="F13572" s="138" t="str">
        <f t="shared" si="1202"/>
        <v>Upgraded</v>
      </c>
      <c r="G13572" s="153"/>
      <c r="H13572" s="210">
        <v>1.8E-3</v>
      </c>
      <c r="I13572" s="160" t="s">
        <v>148</v>
      </c>
      <c r="J13572" s="160">
        <v>5.4000000000000001E-4</v>
      </c>
      <c r="K13572" s="160" t="s">
        <v>25</v>
      </c>
      <c r="L13572" s="154" t="str">
        <f>IF(OpenLCAbasic!K13572="CTUh", "Fill in Manually",IF(OR(K13572="Unit", K13572=""), "", INDEX(LookUps!$E$5:$E$12, MATCH(OpenLCAbasic!K13572,LookUps!$D$5:$D$12,0))))</f>
        <v>Smog Formation Potential (SFP) - kg O3 eq</v>
      </c>
      <c r="M13572" s="154" t="str">
        <f t="shared" ref="M13572:M13635" si="1203">CONCATENATE(E13572,"_",D13572,"_",F13572,"_",L13572, "_",I13572,"_", C13572,"_", B13572)</f>
        <v>Low_High_Low_Upgraded_Smog Formation Potential (SFP) - kg O3 eq_Control Building; at upgraded wastewater treatment plant - US_Without Amendment_Aerated Static Pile</v>
      </c>
    </row>
    <row r="13573" spans="1:13" s="120" customFormat="1" x14ac:dyDescent="0.25">
      <c r="A13573" s="119"/>
      <c r="B13573" s="138" t="str">
        <f t="shared" si="1199"/>
        <v>Aerated Static Pile</v>
      </c>
      <c r="C13573" s="138" t="str">
        <f t="shared" si="1200"/>
        <v>Without Amendment</v>
      </c>
      <c r="D13573" s="138" t="str">
        <f t="shared" si="1198"/>
        <v>High_Low</v>
      </c>
      <c r="E13573" s="138" t="str">
        <f t="shared" si="1201"/>
        <v>Low</v>
      </c>
      <c r="F13573" s="138" t="str">
        <f t="shared" si="1202"/>
        <v>Upgraded</v>
      </c>
      <c r="G13573" s="153"/>
      <c r="H13573" s="210">
        <v>-1.34E-2</v>
      </c>
      <c r="I13573" s="160" t="s">
        <v>62</v>
      </c>
      <c r="J13573" s="160">
        <v>-3.9199999999999999E-3</v>
      </c>
      <c r="K13573" s="160" t="s">
        <v>25</v>
      </c>
      <c r="L13573" s="154" t="str">
        <f>IF(OpenLCAbasic!K13573="CTUh", "Fill in Manually",IF(OR(K13573="Unit", K13573=""), "", INDEX(LookUps!$E$5:$E$12, MATCH(OpenLCAbasic!K13573,LookUps!$D$5:$D$12,0))))</f>
        <v>Smog Formation Potential (SFP) - kg O3 eq</v>
      </c>
      <c r="M13573" s="154" t="str">
        <f t="shared" si="1203"/>
        <v>Low_High_Low_Upgraded_Smog Formation Potential (SFP) - kg O3 eq_Land application of compost; wastewater treatment unit; at updated plant - US_Without Amendment_Aerated Static Pile</v>
      </c>
    </row>
    <row r="13574" spans="1:13" s="120" customFormat="1" x14ac:dyDescent="0.25">
      <c r="A13574" s="119"/>
      <c r="B13574" s="138" t="str">
        <f t="shared" si="1199"/>
        <v>Aerated Static Pile</v>
      </c>
      <c r="C13574" s="138" t="str">
        <f t="shared" si="1200"/>
        <v>Without Amendment</v>
      </c>
      <c r="D13574" s="138" t="str">
        <f t="shared" si="1198"/>
        <v>High_Low</v>
      </c>
      <c r="E13574" s="138" t="str">
        <f t="shared" si="1201"/>
        <v>Low</v>
      </c>
      <c r="F13574" s="138" t="str">
        <f t="shared" si="1202"/>
        <v>Upgraded</v>
      </c>
      <c r="G13574" s="153"/>
      <c r="H13574" s="210">
        <v>-0.43590000000000001</v>
      </c>
      <c r="I13574" s="160" t="s">
        <v>149</v>
      </c>
      <c r="J13574" s="160">
        <v>-0.12725</v>
      </c>
      <c r="K13574" s="160" t="s">
        <v>25</v>
      </c>
      <c r="L13574" s="154" t="str">
        <f>IF(OpenLCAbasic!K13574="CTUh", "Fill in Manually",IF(OR(K13574="Unit", K13574=""), "", INDEX(LookUps!$E$5:$E$12, MATCH(OpenLCAbasic!K13574,LookUps!$D$5:$D$12,0))))</f>
        <v>Smog Formation Potential (SFP) - kg O3 eq</v>
      </c>
      <c r="M13574" s="154" t="str">
        <f t="shared" si="1203"/>
        <v>Low_High_Low_Upgraded_Smog Formation Potential (SFP) - kg O3 eq_Anaerobic Digestion; wastewater treatment unit; at updated plant - US_Without Amendment_Aerated Static Pile</v>
      </c>
    </row>
    <row r="13575" spans="1:13" s="120" customFormat="1" x14ac:dyDescent="0.25">
      <c r="A13575" s="119"/>
      <c r="B13575" s="138" t="str">
        <f t="shared" si="1199"/>
        <v/>
      </c>
      <c r="C13575" s="138" t="str">
        <f t="shared" si="1200"/>
        <v/>
      </c>
      <c r="D13575" s="138" t="str">
        <f t="shared" si="1198"/>
        <v/>
      </c>
      <c r="E13575" s="138" t="str">
        <f t="shared" si="1201"/>
        <v/>
      </c>
      <c r="F13575" s="138" t="str">
        <f t="shared" si="1202"/>
        <v/>
      </c>
      <c r="G13575" s="153" t="s">
        <v>51</v>
      </c>
      <c r="H13575" s="160"/>
      <c r="I13575" s="160" t="s">
        <v>47</v>
      </c>
      <c r="J13575" s="160" t="s">
        <v>52</v>
      </c>
      <c r="K13575" s="160" t="s">
        <v>27</v>
      </c>
      <c r="L13575" s="154" t="str">
        <f>IF(OpenLCAbasic!K13575="CTUh", "Fill in Manually",IF(OR(K13575="Unit", K13575=""), "", INDEX(LookUps!$E$5:$E$12, MATCH(OpenLCAbasic!K13575,LookUps!$D$5:$D$12,0))))</f>
        <v/>
      </c>
      <c r="M13575" s="154" t="str">
        <f t="shared" si="1203"/>
        <v>____Process__</v>
      </c>
    </row>
    <row r="13576" spans="1:13" s="120" customFormat="1" x14ac:dyDescent="0.25">
      <c r="A13576" s="119"/>
      <c r="B13576" s="138" t="str">
        <f t="shared" si="1199"/>
        <v>Aerated Static Pile</v>
      </c>
      <c r="C13576" s="138" t="str">
        <f t="shared" si="1200"/>
        <v>Without Amendment</v>
      </c>
      <c r="D13576" s="138" t="str">
        <f t="shared" si="1198"/>
        <v>High_Low</v>
      </c>
      <c r="E13576" s="138" t="str">
        <f t="shared" si="1201"/>
        <v>Low</v>
      </c>
      <c r="F13576" s="138" t="str">
        <f t="shared" si="1202"/>
        <v>Upgraded</v>
      </c>
      <c r="G13576" s="153"/>
      <c r="H13576" s="210">
        <v>1.0924</v>
      </c>
      <c r="I13576" s="160" t="s">
        <v>167</v>
      </c>
      <c r="J13576" s="160">
        <v>3.4000000000000002E-4</v>
      </c>
      <c r="K13576" s="160" t="s">
        <v>26</v>
      </c>
      <c r="L13576" s="154" t="str">
        <f>IF(OpenLCAbasic!K13576="CTUh", "Fill in Manually",IF(OR(K13576="Unit", K13576=""), "", INDEX(LookUps!$E$5:$E$12, MATCH(OpenLCAbasic!K13576,LookUps!$D$5:$D$12,0))))</f>
        <v>Water Use (WU) - m3 H2O</v>
      </c>
      <c r="M13576" s="154" t="str">
        <f t="shared" si="1203"/>
        <v>Low_High_Low_Upgraded_Water Use (WU) - m3 H2O_Waste Receiving and Holding; wastewater treatment unit; at updated plant - US_Without Amendment_Aerated Static Pile</v>
      </c>
    </row>
    <row r="13577" spans="1:13" s="120" customFormat="1" x14ac:dyDescent="0.25">
      <c r="A13577" s="119"/>
      <c r="B13577" s="138" t="str">
        <f t="shared" si="1199"/>
        <v>Aerated Static Pile</v>
      </c>
      <c r="C13577" s="138" t="str">
        <f t="shared" si="1200"/>
        <v>Without Amendment</v>
      </c>
      <c r="D13577" s="138" t="str">
        <f t="shared" si="1198"/>
        <v>High_Low</v>
      </c>
      <c r="E13577" s="138" t="str">
        <f t="shared" si="1201"/>
        <v>Low</v>
      </c>
      <c r="F13577" s="138" t="str">
        <f t="shared" si="1202"/>
        <v>Upgraded</v>
      </c>
      <c r="G13577" s="153"/>
      <c r="H13577" s="210">
        <v>0.5978</v>
      </c>
      <c r="I13577" s="160" t="s">
        <v>147</v>
      </c>
      <c r="J13577" s="160">
        <v>1.8000000000000001E-4</v>
      </c>
      <c r="K13577" s="160" t="s">
        <v>26</v>
      </c>
      <c r="L13577" s="154" t="str">
        <f>IF(OpenLCAbasic!K13577="CTUh", "Fill in Manually",IF(OR(K13577="Unit", K13577=""), "", INDEX(LookUps!$E$5:$E$12, MATCH(OpenLCAbasic!K13577,LookUps!$D$5:$D$12,0))))</f>
        <v>Water Use (WU) - m3 H2O</v>
      </c>
      <c r="M13577" s="154" t="str">
        <f t="shared" si="1203"/>
        <v>Low_High_Low_Upgraded_Water Use (WU) - m3 H2O_Influent Pump Station; wastewater treatment unit; at updated plant - US_Without Amendment_Aerated Static Pile</v>
      </c>
    </row>
    <row r="13578" spans="1:13" s="120" customFormat="1" x14ac:dyDescent="0.25">
      <c r="A13578" s="119"/>
      <c r="B13578" s="138" t="str">
        <f t="shared" si="1199"/>
        <v>Aerated Static Pile</v>
      </c>
      <c r="C13578" s="138" t="str">
        <f t="shared" si="1200"/>
        <v>Without Amendment</v>
      </c>
      <c r="D13578" s="138" t="str">
        <f t="shared" si="1198"/>
        <v>High_Low</v>
      </c>
      <c r="E13578" s="138" t="str">
        <f t="shared" si="1201"/>
        <v>Low</v>
      </c>
      <c r="F13578" s="138" t="str">
        <f t="shared" si="1202"/>
        <v>Upgraded</v>
      </c>
      <c r="G13578" s="153"/>
      <c r="H13578" s="210">
        <v>0.58330000000000004</v>
      </c>
      <c r="I13578" s="160" t="s">
        <v>54</v>
      </c>
      <c r="J13578" s="160">
        <v>1.8000000000000001E-4</v>
      </c>
      <c r="K13578" s="160" t="s">
        <v>26</v>
      </c>
      <c r="L13578" s="154" t="str">
        <f>IF(OpenLCAbasic!K13578="CTUh", "Fill in Manually",IF(OR(K13578="Unit", K13578=""), "", INDEX(LookUps!$E$5:$E$12, MATCH(OpenLCAbasic!K13578,LookUps!$D$5:$D$12,0))))</f>
        <v>Water Use (WU) - m3 H2O</v>
      </c>
      <c r="M13578" s="154" t="str">
        <f t="shared" si="1203"/>
        <v>Low_High_Low_Upgraded_Water Use (WU) - m3 H2O_Clear Cove Primary Clarification; wastewater treatment unit; at updated plant - US_Without Amendment_Aerated Static Pile</v>
      </c>
    </row>
    <row r="13579" spans="1:13" s="120" customFormat="1" x14ac:dyDescent="0.25">
      <c r="A13579" s="119"/>
      <c r="B13579" s="138" t="str">
        <f t="shared" si="1199"/>
        <v>Aerated Static Pile</v>
      </c>
      <c r="C13579" s="138" t="str">
        <f t="shared" si="1200"/>
        <v>Without Amendment</v>
      </c>
      <c r="D13579" s="138" t="str">
        <f t="shared" si="1198"/>
        <v>High_Low</v>
      </c>
      <c r="E13579" s="138" t="str">
        <f t="shared" si="1201"/>
        <v>Low</v>
      </c>
      <c r="F13579" s="138" t="str">
        <f t="shared" si="1202"/>
        <v>Upgraded</v>
      </c>
      <c r="G13579" s="153"/>
      <c r="H13579" s="210">
        <v>0.52910000000000001</v>
      </c>
      <c r="I13579" s="160" t="s">
        <v>55</v>
      </c>
      <c r="J13579" s="160">
        <v>1.6000000000000001E-4</v>
      </c>
      <c r="K13579" s="160" t="s">
        <v>26</v>
      </c>
      <c r="L13579" s="154" t="str">
        <f>IF(OpenLCAbasic!K13579="CTUh", "Fill in Manually",IF(OR(K13579="Unit", K13579=""), "", INDEX(LookUps!$E$5:$E$12, MATCH(OpenLCAbasic!K13579,LookUps!$D$5:$D$12,0))))</f>
        <v>Water Use (WU) - m3 H2O</v>
      </c>
      <c r="M13579" s="154" t="str">
        <f t="shared" si="1203"/>
        <v>Low_High_Low_Upgraded_Water Use (WU) - m3 H2O_Aeration Tanks; wastewater treatment unit; at updated plant - US_Without Amendment_Aerated Static Pile</v>
      </c>
    </row>
    <row r="13580" spans="1:13" s="120" customFormat="1" x14ac:dyDescent="0.25">
      <c r="A13580" s="119"/>
      <c r="B13580" s="138" t="str">
        <f t="shared" si="1199"/>
        <v>Aerated Static Pile</v>
      </c>
      <c r="C13580" s="138" t="str">
        <f t="shared" si="1200"/>
        <v>Without Amendment</v>
      </c>
      <c r="D13580" s="138" t="str">
        <f t="shared" si="1198"/>
        <v>High_Low</v>
      </c>
      <c r="E13580" s="138" t="str">
        <f t="shared" si="1201"/>
        <v>Low</v>
      </c>
      <c r="F13580" s="138" t="str">
        <f t="shared" si="1202"/>
        <v>Upgraded</v>
      </c>
      <c r="G13580" s="153"/>
      <c r="H13580" s="210">
        <v>0.48199999999999998</v>
      </c>
      <c r="I13580" s="160" t="s">
        <v>148</v>
      </c>
      <c r="J13580" s="160">
        <v>1.4999999999999999E-4</v>
      </c>
      <c r="K13580" s="160" t="s">
        <v>26</v>
      </c>
      <c r="L13580" s="154" t="str">
        <f>IF(OpenLCAbasic!K13580="CTUh", "Fill in Manually",IF(OR(K13580="Unit", K13580=""), "", INDEX(LookUps!$E$5:$E$12, MATCH(OpenLCAbasic!K13580,LookUps!$D$5:$D$12,0))))</f>
        <v>Water Use (WU) - m3 H2O</v>
      </c>
      <c r="M13580" s="154" t="str">
        <f t="shared" si="1203"/>
        <v>Low_High_Low_Upgraded_Water Use (WU) - m3 H2O_Control Building; at upgraded wastewater treatment plant - US_Without Amendment_Aerated Static Pile</v>
      </c>
    </row>
    <row r="13581" spans="1:13" s="120" customFormat="1" x14ac:dyDescent="0.25">
      <c r="A13581" s="119"/>
      <c r="B13581" s="138" t="str">
        <f t="shared" si="1199"/>
        <v>Aerated Static Pile</v>
      </c>
      <c r="C13581" s="138" t="str">
        <f t="shared" si="1200"/>
        <v>Without Amendment</v>
      </c>
      <c r="D13581" s="138" t="str">
        <f t="shared" si="1198"/>
        <v>High_Low</v>
      </c>
      <c r="E13581" s="138" t="str">
        <f t="shared" si="1201"/>
        <v>Low</v>
      </c>
      <c r="F13581" s="138" t="str">
        <f t="shared" si="1202"/>
        <v>Upgraded</v>
      </c>
      <c r="G13581" s="153"/>
      <c r="H13581" s="210">
        <v>0.2238</v>
      </c>
      <c r="I13581" s="160" t="s">
        <v>48</v>
      </c>
      <c r="J13581" s="211">
        <v>6.8836400000000004E-5</v>
      </c>
      <c r="K13581" s="160" t="s">
        <v>26</v>
      </c>
      <c r="L13581" s="154" t="str">
        <f>IF(OpenLCAbasic!K13581="CTUh", "Fill in Manually",IF(OR(K13581="Unit", K13581=""), "", INDEX(LookUps!$E$5:$E$12, MATCH(OpenLCAbasic!K13581,LookUps!$D$5:$D$12,0))))</f>
        <v>Water Use (WU) - m3 H2O</v>
      </c>
      <c r="M13581" s="154" t="str">
        <f t="shared" si="1203"/>
        <v>Low_High_Low_Upgraded_Water Use (WU) - m3 H2O_Effluent release; wastewater treatment unit; at surface water; m3 wastewater - US_Without Amendment_Aerated Static Pile</v>
      </c>
    </row>
    <row r="13582" spans="1:13" s="120" customFormat="1" x14ac:dyDescent="0.25">
      <c r="A13582" s="119"/>
      <c r="B13582" s="138" t="str">
        <f t="shared" si="1199"/>
        <v>Aerated Static Pile</v>
      </c>
      <c r="C13582" s="138" t="str">
        <f t="shared" si="1200"/>
        <v>Without Amendment</v>
      </c>
      <c r="D13582" s="138" t="str">
        <f t="shared" si="1198"/>
        <v>High_Low</v>
      </c>
      <c r="E13582" s="138" t="str">
        <f t="shared" si="1201"/>
        <v>Low</v>
      </c>
      <c r="F13582" s="138" t="str">
        <f t="shared" si="1202"/>
        <v>Upgraded</v>
      </c>
      <c r="G13582" s="153"/>
      <c r="H13582" s="210">
        <v>0.15529999999999999</v>
      </c>
      <c r="I13582" s="160" t="s">
        <v>60</v>
      </c>
      <c r="J13582" s="211">
        <v>4.7769200000000003E-5</v>
      </c>
      <c r="K13582" s="160" t="s">
        <v>26</v>
      </c>
      <c r="L13582" s="154" t="str">
        <f>IF(OpenLCAbasic!K13582="CTUh", "Fill in Manually",IF(OR(K13582="Unit", K13582=""), "", INDEX(LookUps!$E$5:$E$12, MATCH(OpenLCAbasic!K13582,LookUps!$D$5:$D$12,0))))</f>
        <v>Water Use (WU) - m3 H2O</v>
      </c>
      <c r="M13582" s="154" t="str">
        <f t="shared" si="1203"/>
        <v>Low_High_Low_Upgraded_Water Use (WU) - m3 H2O_Belt filter press; wastewater treatment unit; at updated plant - US_Without Amendment_Aerated Static Pile</v>
      </c>
    </row>
    <row r="13583" spans="1:13" s="120" customFormat="1" x14ac:dyDescent="0.25">
      <c r="A13583" s="119"/>
      <c r="B13583" s="138" t="str">
        <f t="shared" si="1199"/>
        <v>Aerated Static Pile</v>
      </c>
      <c r="C13583" s="138" t="str">
        <f t="shared" si="1200"/>
        <v>Without Amendment</v>
      </c>
      <c r="D13583" s="138" t="str">
        <f t="shared" si="1198"/>
        <v>High_Low</v>
      </c>
      <c r="E13583" s="138" t="str">
        <f t="shared" si="1201"/>
        <v>Low</v>
      </c>
      <c r="F13583" s="138" t="str">
        <f t="shared" si="1202"/>
        <v>Upgraded</v>
      </c>
      <c r="G13583" s="153"/>
      <c r="H13583" s="210">
        <v>0.14080000000000001</v>
      </c>
      <c r="I13583" s="160" t="s">
        <v>58</v>
      </c>
      <c r="J13583" s="211">
        <v>4.3289399999999999E-5</v>
      </c>
      <c r="K13583" s="160" t="s">
        <v>26</v>
      </c>
      <c r="L13583" s="154" t="str">
        <f>IF(OpenLCAbasic!K13583="CTUh", "Fill in Manually",IF(OR(K13583="Unit", K13583=""), "", INDEX(LookUps!$E$5:$E$12, MATCH(OpenLCAbasic!K13583,LookUps!$D$5:$D$12,0))))</f>
        <v>Water Use (WU) - m3 H2O</v>
      </c>
      <c r="M13583" s="154" t="str">
        <f t="shared" si="1203"/>
        <v>Low_High_Low_Upgraded_Water Use (WU) - m3 H2O_Pre-Anoxic &amp; Swing tank; wastewater treatment unit; at updated plant - US_Without Amendment_Aerated Static Pile</v>
      </c>
    </row>
    <row r="13584" spans="1:13" s="120" customFormat="1" x14ac:dyDescent="0.25">
      <c r="A13584" s="119"/>
      <c r="B13584" s="138" t="str">
        <f t="shared" si="1199"/>
        <v>Aerated Static Pile</v>
      </c>
      <c r="C13584" s="138" t="str">
        <f t="shared" si="1200"/>
        <v>Without Amendment</v>
      </c>
      <c r="D13584" s="138" t="str">
        <f t="shared" si="1198"/>
        <v>High_Low</v>
      </c>
      <c r="E13584" s="138" t="str">
        <f t="shared" si="1201"/>
        <v>Low</v>
      </c>
      <c r="F13584" s="138" t="str">
        <f t="shared" si="1202"/>
        <v>Upgraded</v>
      </c>
      <c r="G13584" s="153"/>
      <c r="H13584" s="210">
        <v>9.8900000000000002E-2</v>
      </c>
      <c r="I13584" s="160" t="s">
        <v>57</v>
      </c>
      <c r="J13584" s="211">
        <v>3.0408100000000001E-5</v>
      </c>
      <c r="K13584" s="160" t="s">
        <v>26</v>
      </c>
      <c r="L13584" s="154" t="str">
        <f>IF(OpenLCAbasic!K13584="CTUh", "Fill in Manually",IF(OR(K13584="Unit", K13584=""), "", INDEX(LookUps!$E$5:$E$12, MATCH(OpenLCAbasic!K13584,LookUps!$D$5:$D$12,0))))</f>
        <v>Water Use (WU) - m3 H2O</v>
      </c>
      <c r="M13584" s="154" t="str">
        <f t="shared" si="1203"/>
        <v>Low_High_Low_Upgraded_Water Use (WU) - m3 H2O_Gravity Belt Thickener; wastewater treatment unit; at updated plant - US_Without Amendment_Aerated Static Pile</v>
      </c>
    </row>
    <row r="13585" spans="1:13" s="120" customFormat="1" x14ac:dyDescent="0.25">
      <c r="A13585" s="119"/>
      <c r="B13585" s="138" t="str">
        <f t="shared" si="1199"/>
        <v>Aerated Static Pile</v>
      </c>
      <c r="C13585" s="138" t="str">
        <f t="shared" si="1200"/>
        <v>Without Amendment</v>
      </c>
      <c r="D13585" s="138" t="str">
        <f t="shared" ref="D13585:D13591" si="1204">IF(ISNUMBER($J13585),"High_Low","")</f>
        <v>High_Low</v>
      </c>
      <c r="E13585" s="138" t="str">
        <f t="shared" si="1201"/>
        <v>Low</v>
      </c>
      <c r="F13585" s="138" t="str">
        <f t="shared" si="1202"/>
        <v>Upgraded</v>
      </c>
      <c r="G13585" s="153"/>
      <c r="H13585" s="210">
        <v>5.6899999999999999E-2</v>
      </c>
      <c r="I13585" s="160" t="s">
        <v>53</v>
      </c>
      <c r="J13585" s="211">
        <v>1.75069E-5</v>
      </c>
      <c r="K13585" s="160" t="s">
        <v>26</v>
      </c>
      <c r="L13585" s="154" t="str">
        <f>IF(OpenLCAbasic!K13585="CTUh", "Fill in Manually",IF(OR(K13585="Unit", K13585=""), "", INDEX(LookUps!$E$5:$E$12, MATCH(OpenLCAbasic!K13585,LookUps!$D$5:$D$12,0))))</f>
        <v>Water Use (WU) - m3 H2O</v>
      </c>
      <c r="M13585" s="154" t="str">
        <f t="shared" si="1203"/>
        <v>Low_High_Low_Upgraded_Water Use (WU) - m3 H2O_Wet Well and Sump Station; wastewater treatment unit; at updated plant - US_Without Amendment_Aerated Static Pile</v>
      </c>
    </row>
    <row r="13586" spans="1:13" s="120" customFormat="1" x14ac:dyDescent="0.25">
      <c r="A13586" s="119"/>
      <c r="B13586" s="138" t="str">
        <f t="shared" si="1199"/>
        <v>Aerated Static Pile</v>
      </c>
      <c r="C13586" s="138" t="str">
        <f t="shared" si="1200"/>
        <v>Without Amendment</v>
      </c>
      <c r="D13586" s="138" t="str">
        <f t="shared" si="1204"/>
        <v>High_Low</v>
      </c>
      <c r="E13586" s="138" t="str">
        <f t="shared" si="1201"/>
        <v>Low</v>
      </c>
      <c r="F13586" s="138" t="str">
        <f t="shared" si="1202"/>
        <v>Upgraded</v>
      </c>
      <c r="G13586" s="153"/>
      <c r="H13586" s="210">
        <v>4.2500000000000003E-2</v>
      </c>
      <c r="I13586" s="160" t="s">
        <v>435</v>
      </c>
      <c r="J13586" s="211">
        <v>1.3078099999999999E-5</v>
      </c>
      <c r="K13586" s="160" t="s">
        <v>26</v>
      </c>
      <c r="L13586" s="154" t="str">
        <f>IF(OpenLCAbasic!K13586="CTUh", "Fill in Manually",IF(OR(K13586="Unit", K13586=""), "", INDEX(LookUps!$E$5:$E$12, MATCH(OpenLCAbasic!K13586,LookUps!$D$5:$D$12,0))))</f>
        <v>Water Use (WU) - m3 H2O</v>
      </c>
      <c r="M13586" s="154" t="str">
        <f t="shared" si="1203"/>
        <v>Low_High_Low_Upgraded_Water Use (WU) - m3 H2O_Biosolids composting; aerated static pile; wastewater treatment unit; at updated plant - US_Without Amendment_Aerated Static Pile</v>
      </c>
    </row>
    <row r="13587" spans="1:13" s="120" customFormat="1" x14ac:dyDescent="0.25">
      <c r="A13587" s="119"/>
      <c r="B13587" s="138" t="str">
        <f t="shared" si="1199"/>
        <v>Aerated Static Pile</v>
      </c>
      <c r="C13587" s="138" t="str">
        <f t="shared" si="1200"/>
        <v>Without Amendment</v>
      </c>
      <c r="D13587" s="138" t="str">
        <f t="shared" si="1204"/>
        <v>High_Low</v>
      </c>
      <c r="E13587" s="138" t="str">
        <f t="shared" si="1201"/>
        <v>Low</v>
      </c>
      <c r="F13587" s="138" t="str">
        <f t="shared" si="1202"/>
        <v>Upgraded</v>
      </c>
      <c r="G13587" s="153"/>
      <c r="H13587" s="210">
        <v>2.2800000000000001E-2</v>
      </c>
      <c r="I13587" s="160" t="s">
        <v>59</v>
      </c>
      <c r="J13587" s="211">
        <v>7.0179500000000003E-6</v>
      </c>
      <c r="K13587" s="160" t="s">
        <v>26</v>
      </c>
      <c r="L13587" s="154" t="str">
        <f>IF(OpenLCAbasic!K13587="CTUh", "Fill in Manually",IF(OR(K13587="Unit", K13587=""), "", INDEX(LookUps!$E$5:$E$12, MATCH(OpenLCAbasic!K13587,LookUps!$D$5:$D$12,0))))</f>
        <v>Water Use (WU) - m3 H2O</v>
      </c>
      <c r="M13587" s="154" t="str">
        <f t="shared" si="1203"/>
        <v>Low_High_Low_Upgraded_Water Use (WU) - m3 H2O_Blend Tank; wastewater treatment unit; at updated plant - US_Without Amendment_Aerated Static Pile</v>
      </c>
    </row>
    <row r="13588" spans="1:13" s="120" customFormat="1" x14ac:dyDescent="0.25">
      <c r="A13588" s="119"/>
      <c r="B13588" s="138" t="str">
        <f t="shared" si="1199"/>
        <v>Aerated Static Pile</v>
      </c>
      <c r="C13588" s="138" t="str">
        <f t="shared" si="1200"/>
        <v>Without Amendment</v>
      </c>
      <c r="D13588" s="138" t="str">
        <f t="shared" si="1204"/>
        <v>High_Low</v>
      </c>
      <c r="E13588" s="138" t="str">
        <f t="shared" si="1201"/>
        <v>Low</v>
      </c>
      <c r="F13588" s="138" t="str">
        <f t="shared" si="1202"/>
        <v>Upgraded</v>
      </c>
      <c r="G13588" s="153"/>
      <c r="H13588" s="210">
        <v>1.6500000000000001E-2</v>
      </c>
      <c r="I13588" s="160" t="s">
        <v>128</v>
      </c>
      <c r="J13588" s="211">
        <v>5.0608900000000003E-6</v>
      </c>
      <c r="K13588" s="160" t="s">
        <v>26</v>
      </c>
      <c r="L13588" s="154" t="str">
        <f>IF(OpenLCAbasic!K13588="CTUh", "Fill in Manually",IF(OR(K13588="Unit", K13588=""), "", INDEX(LookUps!$E$5:$E$12, MATCH(OpenLCAbasic!K13588,LookUps!$D$5:$D$12,0))))</f>
        <v>Water Use (WU) - m3 H2O</v>
      </c>
      <c r="M13588" s="154" t="str">
        <f t="shared" si="1203"/>
        <v>Low_High_Low_Upgraded_Water Use (WU) - m3 H2O_Wastewater collection; operation and infrastructure; m3 wastewater_Without Amendment_Aerated Static Pile</v>
      </c>
    </row>
    <row r="13589" spans="1:13" s="120" customFormat="1" x14ac:dyDescent="0.25">
      <c r="A13589" s="119"/>
      <c r="B13589" s="138" t="str">
        <f t="shared" si="1199"/>
        <v>Aerated Static Pile</v>
      </c>
      <c r="C13589" s="138" t="str">
        <f t="shared" si="1200"/>
        <v>Without Amendment</v>
      </c>
      <c r="D13589" s="138" t="str">
        <f t="shared" si="1204"/>
        <v>High_Low</v>
      </c>
      <c r="E13589" s="138" t="str">
        <f t="shared" si="1201"/>
        <v>Low</v>
      </c>
      <c r="F13589" s="138" t="str">
        <f t="shared" si="1202"/>
        <v>Upgraded</v>
      </c>
      <c r="G13589" s="153"/>
      <c r="H13589" s="210">
        <v>2.5000000000000001E-3</v>
      </c>
      <c r="I13589" s="160" t="s">
        <v>168</v>
      </c>
      <c r="J13589" s="211">
        <v>7.6697000000000004E-7</v>
      </c>
      <c r="K13589" s="160" t="s">
        <v>26</v>
      </c>
      <c r="L13589" s="154" t="str">
        <f>IF(OpenLCAbasic!K13589="CTUh", "Fill in Manually",IF(OR(K13589="Unit", K13589=""), "", INDEX(LookUps!$E$5:$E$12, MATCH(OpenLCAbasic!K13589,LookUps!$D$5:$D$12,0))))</f>
        <v>Water Use (WU) - m3 H2O</v>
      </c>
      <c r="M13589" s="154" t="str">
        <f t="shared" si="1203"/>
        <v>Low_High_Low_Upgraded_Water Use (WU) - m3 H2O_ClearCove SCP; wastewater treatment unit; at updated plant - US_Without Amendment_Aerated Static Pile</v>
      </c>
    </row>
    <row r="13590" spans="1:13" s="120" customFormat="1" x14ac:dyDescent="0.25">
      <c r="A13590" s="119"/>
      <c r="B13590" s="138" t="str">
        <f t="shared" si="1199"/>
        <v>Aerated Static Pile</v>
      </c>
      <c r="C13590" s="138" t="str">
        <f t="shared" si="1200"/>
        <v>Without Amendment</v>
      </c>
      <c r="D13590" s="138" t="str">
        <f t="shared" si="1204"/>
        <v>High_Low</v>
      </c>
      <c r="E13590" s="138" t="str">
        <f t="shared" si="1201"/>
        <v>Low</v>
      </c>
      <c r="F13590" s="138" t="str">
        <f t="shared" si="1202"/>
        <v>Upgraded</v>
      </c>
      <c r="G13590" s="153"/>
      <c r="H13590" s="210">
        <v>-0.04</v>
      </c>
      <c r="I13590" s="160" t="s">
        <v>149</v>
      </c>
      <c r="J13590" s="211">
        <v>-1.22975E-5</v>
      </c>
      <c r="K13590" s="160" t="s">
        <v>26</v>
      </c>
      <c r="L13590" s="154" t="str">
        <f>IF(OpenLCAbasic!K13590="CTUh", "Fill in Manually",IF(OR(K13590="Unit", K13590=""), "", INDEX(LookUps!$E$5:$E$12, MATCH(OpenLCAbasic!K13590,LookUps!$D$5:$D$12,0))))</f>
        <v>Water Use (WU) - m3 H2O</v>
      </c>
      <c r="M13590" s="154" t="str">
        <f t="shared" si="1203"/>
        <v>Low_High_Low_Upgraded_Water Use (WU) - m3 H2O_Anaerobic Digestion; wastewater treatment unit; at updated plant - US_Without Amendment_Aerated Static Pile</v>
      </c>
    </row>
    <row r="13591" spans="1:13" s="120" customFormat="1" x14ac:dyDescent="0.25">
      <c r="A13591" s="119"/>
      <c r="B13591" s="138" t="str">
        <f t="shared" si="1199"/>
        <v>Aerated Static Pile</v>
      </c>
      <c r="C13591" s="138" t="str">
        <f t="shared" si="1200"/>
        <v>Without Amendment</v>
      </c>
      <c r="D13591" s="138" t="str">
        <f t="shared" si="1204"/>
        <v>High_Low</v>
      </c>
      <c r="E13591" s="138" t="str">
        <f t="shared" si="1201"/>
        <v>Low</v>
      </c>
      <c r="F13591" s="138" t="str">
        <f t="shared" si="1202"/>
        <v>Upgraded</v>
      </c>
      <c r="G13591" s="153"/>
      <c r="H13591" s="210">
        <v>-5.0045000000000002</v>
      </c>
      <c r="I13591" s="160" t="s">
        <v>62</v>
      </c>
      <c r="J13591" s="160">
        <v>-1.5399999999999999E-3</v>
      </c>
      <c r="K13591" s="160" t="s">
        <v>26</v>
      </c>
      <c r="L13591" s="154" t="str">
        <f>IF(OpenLCAbasic!K13591="CTUh", "Fill in Manually",IF(OR(K13591="Unit", K13591=""), "", INDEX(LookUps!$E$5:$E$12, MATCH(OpenLCAbasic!K13591,LookUps!$D$5:$D$12,0))))</f>
        <v>Water Use (WU) - m3 H2O</v>
      </c>
      <c r="M13591" s="154" t="str">
        <f t="shared" si="1203"/>
        <v>Low_High_Low_Upgraded_Water Use (WU) - m3 H2O_Land application of compost; wastewater treatment unit; at updated plant - US_Without Amendment_Aerated Static Pile</v>
      </c>
    </row>
    <row r="13592" spans="1:13" s="120" customFormat="1" x14ac:dyDescent="0.25">
      <c r="A13592" s="119"/>
      <c r="B13592" s="138" t="str">
        <f t="shared" si="1199"/>
        <v/>
      </c>
      <c r="C13592" s="138" t="str">
        <f t="shared" si="1200"/>
        <v/>
      </c>
      <c r="D13592" s="138" t="str">
        <f>IF(ISNUMBER($J13592),"High_Base","")</f>
        <v/>
      </c>
      <c r="E13592" s="138" t="str">
        <f t="shared" si="1201"/>
        <v/>
      </c>
      <c r="F13592" s="138" t="str">
        <f t="shared" si="1202"/>
        <v/>
      </c>
      <c r="G13592" s="153" t="s">
        <v>51</v>
      </c>
      <c r="H13592" s="160"/>
      <c r="I13592" s="160" t="s">
        <v>47</v>
      </c>
      <c r="J13592" s="160" t="s">
        <v>52</v>
      </c>
      <c r="K13592" s="160" t="s">
        <v>27</v>
      </c>
      <c r="L13592" s="154" t="str">
        <f>IF(OpenLCAbasic!K13592="CTUh", "Fill in Manually",IF(OR(K13592="Unit", K13592=""), "", INDEX(LookUps!$E$5:$E$12, MATCH(OpenLCAbasic!K13592,LookUps!$D$5:$D$12,0))))</f>
        <v/>
      </c>
      <c r="M13592" s="154" t="str">
        <f t="shared" si="1203"/>
        <v>____Process__</v>
      </c>
    </row>
    <row r="13593" spans="1:13" s="120" customFormat="1" x14ac:dyDescent="0.25">
      <c r="A13593" s="119"/>
      <c r="B13593" s="138" t="str">
        <f t="shared" si="1199"/>
        <v>Aerated Static Pile</v>
      </c>
      <c r="C13593" s="138" t="str">
        <f t="shared" si="1200"/>
        <v>Without Amendment</v>
      </c>
      <c r="D13593" s="138" t="str">
        <f t="shared" ref="D13593:D13656" si="1205">IF(ISNUMBER($J13593),"High_Base","")</f>
        <v>High_Base</v>
      </c>
      <c r="E13593" s="138" t="str">
        <f t="shared" si="1201"/>
        <v>Low</v>
      </c>
      <c r="F13593" s="138" t="str">
        <f t="shared" si="1202"/>
        <v>Upgraded</v>
      </c>
      <c r="G13593" s="153"/>
      <c r="H13593" s="210">
        <v>11.523999999999999</v>
      </c>
      <c r="I13593" s="160" t="s">
        <v>55</v>
      </c>
      <c r="J13593" s="160">
        <v>1.7219999999999999E-2</v>
      </c>
      <c r="K13593" s="160" t="s">
        <v>24</v>
      </c>
      <c r="L13593" s="154" t="str">
        <f>IF(OpenLCAbasic!K13593="CTUh", "Fill in Manually",IF(OR(K13593="Unit", K13593=""), "", INDEX(LookUps!$E$5:$E$12, MATCH(OpenLCAbasic!K13593,LookUps!$D$5:$D$12,0))))</f>
        <v>Acidification Potential (AP) - kg SO2 eq</v>
      </c>
      <c r="M13593" s="154" t="str">
        <f t="shared" si="1203"/>
        <v>Low_High_Base_Upgraded_Acidification Potential (AP) - kg SO2 eq_Aeration Tanks; wastewater treatment unit; at updated plant - US_Without Amendment_Aerated Static Pile</v>
      </c>
    </row>
    <row r="13594" spans="1:13" s="120" customFormat="1" x14ac:dyDescent="0.25">
      <c r="A13594" s="119"/>
      <c r="B13594" s="138" t="str">
        <f t="shared" si="1199"/>
        <v>Aerated Static Pile</v>
      </c>
      <c r="C13594" s="138" t="str">
        <f t="shared" si="1200"/>
        <v>Without Amendment</v>
      </c>
      <c r="D13594" s="138" t="str">
        <f t="shared" si="1205"/>
        <v>High_Base</v>
      </c>
      <c r="E13594" s="138" t="str">
        <f t="shared" si="1201"/>
        <v>Low</v>
      </c>
      <c r="F13594" s="138" t="str">
        <f t="shared" si="1202"/>
        <v>Upgraded</v>
      </c>
      <c r="G13594" s="153"/>
      <c r="H13594" s="210">
        <v>3.3331</v>
      </c>
      <c r="I13594" s="160" t="s">
        <v>54</v>
      </c>
      <c r="J13594" s="160">
        <v>4.9800000000000001E-3</v>
      </c>
      <c r="K13594" s="160" t="s">
        <v>24</v>
      </c>
      <c r="L13594" s="154" t="str">
        <f>IF(OpenLCAbasic!K13594="CTUh", "Fill in Manually",IF(OR(K13594="Unit", K13594=""), "", INDEX(LookUps!$E$5:$E$12, MATCH(OpenLCAbasic!K13594,LookUps!$D$5:$D$12,0))))</f>
        <v>Acidification Potential (AP) - kg SO2 eq</v>
      </c>
      <c r="M13594" s="154" t="str">
        <f t="shared" si="1203"/>
        <v>Low_High_Base_Upgraded_Acidification Potential (AP) - kg SO2 eq_Clear Cove Primary Clarification; wastewater treatment unit; at updated plant - US_Without Amendment_Aerated Static Pile</v>
      </c>
    </row>
    <row r="13595" spans="1:13" s="120" customFormat="1" x14ac:dyDescent="0.25">
      <c r="A13595" s="119"/>
      <c r="B13595" s="138" t="str">
        <f t="shared" si="1199"/>
        <v>Aerated Static Pile</v>
      </c>
      <c r="C13595" s="138" t="str">
        <f t="shared" si="1200"/>
        <v>Without Amendment</v>
      </c>
      <c r="D13595" s="138" t="str">
        <f t="shared" si="1205"/>
        <v>High_Base</v>
      </c>
      <c r="E13595" s="138" t="str">
        <f t="shared" si="1201"/>
        <v>Low</v>
      </c>
      <c r="F13595" s="138" t="str">
        <f t="shared" si="1202"/>
        <v>Upgraded</v>
      </c>
      <c r="G13595" s="153"/>
      <c r="H13595" s="210">
        <v>2.9205000000000001</v>
      </c>
      <c r="I13595" s="160" t="s">
        <v>58</v>
      </c>
      <c r="J13595" s="160">
        <v>4.3600000000000002E-3</v>
      </c>
      <c r="K13595" s="160" t="s">
        <v>24</v>
      </c>
      <c r="L13595" s="154" t="str">
        <f>IF(OpenLCAbasic!K13595="CTUh", "Fill in Manually",IF(OR(K13595="Unit", K13595=""), "", INDEX(LookUps!$E$5:$E$12, MATCH(OpenLCAbasic!K13595,LookUps!$D$5:$D$12,0))))</f>
        <v>Acidification Potential (AP) - kg SO2 eq</v>
      </c>
      <c r="M13595" s="154" t="str">
        <f t="shared" si="1203"/>
        <v>Low_High_Base_Upgraded_Acidification Potential (AP) - kg SO2 eq_Pre-Anoxic &amp; Swing tank; wastewater treatment unit; at updated plant - US_Without Amendment_Aerated Static Pile</v>
      </c>
    </row>
    <row r="13596" spans="1:13" s="120" customFormat="1" x14ac:dyDescent="0.25">
      <c r="A13596" s="119"/>
      <c r="B13596" s="138" t="str">
        <f t="shared" si="1199"/>
        <v>Aerated Static Pile</v>
      </c>
      <c r="C13596" s="138" t="str">
        <f t="shared" si="1200"/>
        <v>Without Amendment</v>
      </c>
      <c r="D13596" s="138" t="str">
        <f t="shared" si="1205"/>
        <v>High_Base</v>
      </c>
      <c r="E13596" s="138" t="str">
        <f t="shared" si="1201"/>
        <v>Low</v>
      </c>
      <c r="F13596" s="138" t="str">
        <f t="shared" si="1202"/>
        <v>Upgraded</v>
      </c>
      <c r="G13596" s="153"/>
      <c r="H13596" s="210">
        <v>2.4459</v>
      </c>
      <c r="I13596" s="160" t="s">
        <v>62</v>
      </c>
      <c r="J13596" s="160">
        <v>3.65E-3</v>
      </c>
      <c r="K13596" s="160" t="s">
        <v>24</v>
      </c>
      <c r="L13596" s="154" t="str">
        <f>IF(OpenLCAbasic!K13596="CTUh", "Fill in Manually",IF(OR(K13596="Unit", K13596=""), "", INDEX(LookUps!$E$5:$E$12, MATCH(OpenLCAbasic!K13596,LookUps!$D$5:$D$12,0))))</f>
        <v>Acidification Potential (AP) - kg SO2 eq</v>
      </c>
      <c r="M13596" s="154" t="str">
        <f t="shared" si="1203"/>
        <v>Low_High_Base_Upgraded_Acidification Potential (AP) - kg SO2 eq_Land application of compost; wastewater treatment unit; at updated plant - US_Without Amendment_Aerated Static Pile</v>
      </c>
    </row>
    <row r="13597" spans="1:13" s="120" customFormat="1" x14ac:dyDescent="0.25">
      <c r="A13597" s="119"/>
      <c r="B13597" s="138" t="str">
        <f t="shared" si="1199"/>
        <v>Aerated Static Pile</v>
      </c>
      <c r="C13597" s="138" t="str">
        <f t="shared" si="1200"/>
        <v>Without Amendment</v>
      </c>
      <c r="D13597" s="138" t="str">
        <f t="shared" si="1205"/>
        <v>High_Base</v>
      </c>
      <c r="E13597" s="138" t="str">
        <f t="shared" si="1201"/>
        <v>Low</v>
      </c>
      <c r="F13597" s="138" t="str">
        <f t="shared" si="1202"/>
        <v>Upgraded</v>
      </c>
      <c r="G13597" s="153"/>
      <c r="H13597" s="210">
        <v>2.3094000000000001</v>
      </c>
      <c r="I13597" s="160" t="s">
        <v>53</v>
      </c>
      <c r="J13597" s="160">
        <v>3.4499999999999999E-3</v>
      </c>
      <c r="K13597" s="160" t="s">
        <v>24</v>
      </c>
      <c r="L13597" s="154" t="str">
        <f>IF(OpenLCAbasic!K13597="CTUh", "Fill in Manually",IF(OR(K13597="Unit", K13597=""), "", INDEX(LookUps!$E$5:$E$12, MATCH(OpenLCAbasic!K13597,LookUps!$D$5:$D$12,0))))</f>
        <v>Acidification Potential (AP) - kg SO2 eq</v>
      </c>
      <c r="M13597" s="154" t="str">
        <f t="shared" si="1203"/>
        <v>Low_High_Base_Upgraded_Acidification Potential (AP) - kg SO2 eq_Wet Well and Sump Station; wastewater treatment unit; at updated plant - US_Without Amendment_Aerated Static Pile</v>
      </c>
    </row>
    <row r="13598" spans="1:13" s="120" customFormat="1" x14ac:dyDescent="0.25">
      <c r="A13598" s="119"/>
      <c r="B13598" s="138" t="str">
        <f t="shared" si="1199"/>
        <v>Aerated Static Pile</v>
      </c>
      <c r="C13598" s="138" t="str">
        <f t="shared" si="1200"/>
        <v>Without Amendment</v>
      </c>
      <c r="D13598" s="138" t="str">
        <f t="shared" si="1205"/>
        <v>High_Base</v>
      </c>
      <c r="E13598" s="138" t="str">
        <f t="shared" si="1201"/>
        <v>Low</v>
      </c>
      <c r="F13598" s="138" t="str">
        <f t="shared" si="1202"/>
        <v>Upgraded</v>
      </c>
      <c r="G13598" s="153"/>
      <c r="H13598" s="210">
        <v>2.1450999999999998</v>
      </c>
      <c r="I13598" s="160" t="s">
        <v>435</v>
      </c>
      <c r="J13598" s="160">
        <v>3.2100000000000002E-3</v>
      </c>
      <c r="K13598" s="160" t="s">
        <v>24</v>
      </c>
      <c r="L13598" s="154" t="str">
        <f>IF(OpenLCAbasic!K13598="CTUh", "Fill in Manually",IF(OR(K13598="Unit", K13598=""), "", INDEX(LookUps!$E$5:$E$12, MATCH(OpenLCAbasic!K13598,LookUps!$D$5:$D$12,0))))</f>
        <v>Acidification Potential (AP) - kg SO2 eq</v>
      </c>
      <c r="M13598" s="154" t="str">
        <f t="shared" si="1203"/>
        <v>Low_High_Base_Upgraded_Acidification Potential (AP) - kg SO2 eq_Biosolids composting; aerated static pile; wastewater treatment unit; at updated plant - US_Without Amendment_Aerated Static Pile</v>
      </c>
    </row>
    <row r="13599" spans="1:13" s="120" customFormat="1" x14ac:dyDescent="0.25">
      <c r="A13599" s="119"/>
      <c r="B13599" s="138" t="str">
        <f t="shared" si="1199"/>
        <v>Aerated Static Pile</v>
      </c>
      <c r="C13599" s="138" t="str">
        <f t="shared" si="1200"/>
        <v>Without Amendment</v>
      </c>
      <c r="D13599" s="138" t="str">
        <f t="shared" si="1205"/>
        <v>High_Base</v>
      </c>
      <c r="E13599" s="138" t="str">
        <f t="shared" si="1201"/>
        <v>Low</v>
      </c>
      <c r="F13599" s="138" t="str">
        <f t="shared" si="1202"/>
        <v>Upgraded</v>
      </c>
      <c r="G13599" s="153"/>
      <c r="H13599" s="210">
        <v>1.8089999999999999</v>
      </c>
      <c r="I13599" s="160" t="s">
        <v>167</v>
      </c>
      <c r="J13599" s="160">
        <v>2.7000000000000001E-3</v>
      </c>
      <c r="K13599" s="160" t="s">
        <v>24</v>
      </c>
      <c r="L13599" s="154" t="str">
        <f>IF(OpenLCAbasic!K13599="CTUh", "Fill in Manually",IF(OR(K13599="Unit", K13599=""), "", INDEX(LookUps!$E$5:$E$12, MATCH(OpenLCAbasic!K13599,LookUps!$D$5:$D$12,0))))</f>
        <v>Acidification Potential (AP) - kg SO2 eq</v>
      </c>
      <c r="M13599" s="154" t="str">
        <f t="shared" si="1203"/>
        <v>Low_High_Base_Upgraded_Acidification Potential (AP) - kg SO2 eq_Waste Receiving and Holding; wastewater treatment unit; at updated plant - US_Without Amendment_Aerated Static Pile</v>
      </c>
    </row>
    <row r="13600" spans="1:13" s="120" customFormat="1" x14ac:dyDescent="0.25">
      <c r="A13600" s="119"/>
      <c r="B13600" s="138" t="str">
        <f t="shared" si="1199"/>
        <v>Aerated Static Pile</v>
      </c>
      <c r="C13600" s="138" t="str">
        <f t="shared" si="1200"/>
        <v>Without Amendment</v>
      </c>
      <c r="D13600" s="138" t="str">
        <f t="shared" si="1205"/>
        <v>High_Base</v>
      </c>
      <c r="E13600" s="138" t="str">
        <f t="shared" si="1201"/>
        <v>Low</v>
      </c>
      <c r="F13600" s="138" t="str">
        <f t="shared" si="1202"/>
        <v>Upgraded</v>
      </c>
      <c r="G13600" s="153"/>
      <c r="H13600" s="210">
        <v>1.3844000000000001</v>
      </c>
      <c r="I13600" s="160" t="s">
        <v>147</v>
      </c>
      <c r="J13600" s="160">
        <v>2.0699999999999998E-3</v>
      </c>
      <c r="K13600" s="160" t="s">
        <v>24</v>
      </c>
      <c r="L13600" s="154" t="str">
        <f>IF(OpenLCAbasic!K13600="CTUh", "Fill in Manually",IF(OR(K13600="Unit", K13600=""), "", INDEX(LookUps!$E$5:$E$12, MATCH(OpenLCAbasic!K13600,LookUps!$D$5:$D$12,0))))</f>
        <v>Acidification Potential (AP) - kg SO2 eq</v>
      </c>
      <c r="M13600" s="154" t="str">
        <f t="shared" si="1203"/>
        <v>Low_High_Base_Upgraded_Acidification Potential (AP) - kg SO2 eq_Influent Pump Station; wastewater treatment unit; at updated plant - US_Without Amendment_Aerated Static Pile</v>
      </c>
    </row>
    <row r="13601" spans="1:13" s="120" customFormat="1" x14ac:dyDescent="0.25">
      <c r="A13601" s="119"/>
      <c r="B13601" s="138" t="str">
        <f t="shared" si="1199"/>
        <v>Aerated Static Pile</v>
      </c>
      <c r="C13601" s="138" t="str">
        <f t="shared" si="1200"/>
        <v>Without Amendment</v>
      </c>
      <c r="D13601" s="138" t="str">
        <f t="shared" si="1205"/>
        <v>High_Base</v>
      </c>
      <c r="E13601" s="138" t="str">
        <f t="shared" si="1201"/>
        <v>Low</v>
      </c>
      <c r="F13601" s="138" t="str">
        <f t="shared" si="1202"/>
        <v>Upgraded</v>
      </c>
      <c r="G13601" s="153"/>
      <c r="H13601" s="210">
        <v>0.97540000000000004</v>
      </c>
      <c r="I13601" s="160" t="s">
        <v>60</v>
      </c>
      <c r="J13601" s="160">
        <v>1.4599999999999999E-3</v>
      </c>
      <c r="K13601" s="160" t="s">
        <v>24</v>
      </c>
      <c r="L13601" s="154" t="str">
        <f>IF(OpenLCAbasic!K13601="CTUh", "Fill in Manually",IF(OR(K13601="Unit", K13601=""), "", INDEX(LookUps!$E$5:$E$12, MATCH(OpenLCAbasic!K13601,LookUps!$D$5:$D$12,0))))</f>
        <v>Acidification Potential (AP) - kg SO2 eq</v>
      </c>
      <c r="M13601" s="154" t="str">
        <f t="shared" si="1203"/>
        <v>Low_High_Base_Upgraded_Acidification Potential (AP) - kg SO2 eq_Belt filter press; wastewater treatment unit; at updated plant - US_Without Amendment_Aerated Static Pile</v>
      </c>
    </row>
    <row r="13602" spans="1:13" s="120" customFormat="1" x14ac:dyDescent="0.25">
      <c r="A13602" s="119"/>
      <c r="B13602" s="138" t="str">
        <f t="shared" si="1199"/>
        <v>Aerated Static Pile</v>
      </c>
      <c r="C13602" s="138" t="str">
        <f t="shared" si="1200"/>
        <v>Without Amendment</v>
      </c>
      <c r="D13602" s="138" t="str">
        <f t="shared" si="1205"/>
        <v>High_Base</v>
      </c>
      <c r="E13602" s="138" t="str">
        <f t="shared" si="1201"/>
        <v>Low</v>
      </c>
      <c r="F13602" s="138" t="str">
        <f t="shared" si="1202"/>
        <v>Upgraded</v>
      </c>
      <c r="G13602" s="153"/>
      <c r="H13602" s="210">
        <v>0.82520000000000004</v>
      </c>
      <c r="I13602" s="160" t="s">
        <v>128</v>
      </c>
      <c r="J13602" s="160">
        <v>1.23E-3</v>
      </c>
      <c r="K13602" s="160" t="s">
        <v>24</v>
      </c>
      <c r="L13602" s="154" t="str">
        <f>IF(OpenLCAbasic!K13602="CTUh", "Fill in Manually",IF(OR(K13602="Unit", K13602=""), "", INDEX(LookUps!$E$5:$E$12, MATCH(OpenLCAbasic!K13602,LookUps!$D$5:$D$12,0))))</f>
        <v>Acidification Potential (AP) - kg SO2 eq</v>
      </c>
      <c r="M13602" s="154" t="str">
        <f t="shared" si="1203"/>
        <v>Low_High_Base_Upgraded_Acidification Potential (AP) - kg SO2 eq_Wastewater collection; operation and infrastructure; m3 wastewater_Without Amendment_Aerated Static Pile</v>
      </c>
    </row>
    <row r="13603" spans="1:13" s="120" customFormat="1" x14ac:dyDescent="0.25">
      <c r="A13603" s="119"/>
      <c r="B13603" s="138" t="str">
        <f t="shared" si="1199"/>
        <v>Aerated Static Pile</v>
      </c>
      <c r="C13603" s="138" t="str">
        <f t="shared" si="1200"/>
        <v>Without Amendment</v>
      </c>
      <c r="D13603" s="138" t="str">
        <f t="shared" si="1205"/>
        <v>High_Base</v>
      </c>
      <c r="E13603" s="138" t="str">
        <f t="shared" si="1201"/>
        <v>Low</v>
      </c>
      <c r="F13603" s="138" t="str">
        <f t="shared" si="1202"/>
        <v>Upgraded</v>
      </c>
      <c r="G13603" s="153"/>
      <c r="H13603" s="210">
        <v>0.47110000000000002</v>
      </c>
      <c r="I13603" s="160" t="s">
        <v>57</v>
      </c>
      <c r="J13603" s="160">
        <v>6.9999999999999999E-4</v>
      </c>
      <c r="K13603" s="160" t="s">
        <v>24</v>
      </c>
      <c r="L13603" s="154" t="str">
        <f>IF(OpenLCAbasic!K13603="CTUh", "Fill in Manually",IF(OR(K13603="Unit", K13603=""), "", INDEX(LookUps!$E$5:$E$12, MATCH(OpenLCAbasic!K13603,LookUps!$D$5:$D$12,0))))</f>
        <v>Acidification Potential (AP) - kg SO2 eq</v>
      </c>
      <c r="M13603" s="154" t="str">
        <f t="shared" si="1203"/>
        <v>Low_High_Base_Upgraded_Acidification Potential (AP) - kg SO2 eq_Gravity Belt Thickener; wastewater treatment unit; at updated plant - US_Without Amendment_Aerated Static Pile</v>
      </c>
    </row>
    <row r="13604" spans="1:13" s="120" customFormat="1" x14ac:dyDescent="0.25">
      <c r="A13604" s="119"/>
      <c r="B13604" s="138" t="str">
        <f t="shared" si="1199"/>
        <v>Aerated Static Pile</v>
      </c>
      <c r="C13604" s="138" t="str">
        <f t="shared" si="1200"/>
        <v>Without Amendment</v>
      </c>
      <c r="D13604" s="138" t="str">
        <f t="shared" si="1205"/>
        <v>High_Base</v>
      </c>
      <c r="E13604" s="138" t="str">
        <f t="shared" si="1201"/>
        <v>Low</v>
      </c>
      <c r="F13604" s="138" t="str">
        <f t="shared" si="1202"/>
        <v>Upgraded</v>
      </c>
      <c r="G13604" s="153"/>
      <c r="H13604" s="210">
        <v>0.34549999999999997</v>
      </c>
      <c r="I13604" s="160" t="s">
        <v>59</v>
      </c>
      <c r="J13604" s="160">
        <v>5.1999999999999995E-4</v>
      </c>
      <c r="K13604" s="160" t="s">
        <v>24</v>
      </c>
      <c r="L13604" s="154" t="str">
        <f>IF(OpenLCAbasic!K13604="CTUh", "Fill in Manually",IF(OR(K13604="Unit", K13604=""), "", INDEX(LookUps!$E$5:$E$12, MATCH(OpenLCAbasic!K13604,LookUps!$D$5:$D$12,0))))</f>
        <v>Acidification Potential (AP) - kg SO2 eq</v>
      </c>
      <c r="M13604" s="154" t="str">
        <f t="shared" si="1203"/>
        <v>Low_High_Base_Upgraded_Acidification Potential (AP) - kg SO2 eq_Blend Tank; wastewater treatment unit; at updated plant - US_Without Amendment_Aerated Static Pile</v>
      </c>
    </row>
    <row r="13605" spans="1:13" s="120" customFormat="1" x14ac:dyDescent="0.25">
      <c r="A13605" s="119"/>
      <c r="B13605" s="138" t="str">
        <f t="shared" si="1199"/>
        <v>Aerated Static Pile</v>
      </c>
      <c r="C13605" s="138" t="str">
        <f t="shared" si="1200"/>
        <v>Without Amendment</v>
      </c>
      <c r="D13605" s="138" t="str">
        <f t="shared" si="1205"/>
        <v>High_Base</v>
      </c>
      <c r="E13605" s="138" t="str">
        <f t="shared" si="1201"/>
        <v>Low</v>
      </c>
      <c r="F13605" s="138" t="str">
        <f t="shared" si="1202"/>
        <v>Upgraded</v>
      </c>
      <c r="G13605" s="153"/>
      <c r="H13605" s="210">
        <v>0.2319</v>
      </c>
      <c r="I13605" s="160" t="s">
        <v>48</v>
      </c>
      <c r="J13605" s="160">
        <v>3.5E-4</v>
      </c>
      <c r="K13605" s="160" t="s">
        <v>24</v>
      </c>
      <c r="L13605" s="154" t="str">
        <f>IF(OpenLCAbasic!K13605="CTUh", "Fill in Manually",IF(OR(K13605="Unit", K13605=""), "", INDEX(LookUps!$E$5:$E$12, MATCH(OpenLCAbasic!K13605,LookUps!$D$5:$D$12,0))))</f>
        <v>Acidification Potential (AP) - kg SO2 eq</v>
      </c>
      <c r="M13605" s="154" t="str">
        <f t="shared" si="1203"/>
        <v>Low_High_Base_Upgraded_Acidification Potential (AP) - kg SO2 eq_Effluent release; wastewater treatment unit; at surface water; m3 wastewater - US_Without Amendment_Aerated Static Pile</v>
      </c>
    </row>
    <row r="13606" spans="1:13" s="120" customFormat="1" x14ac:dyDescent="0.25">
      <c r="A13606" s="119"/>
      <c r="B13606" s="138" t="str">
        <f t="shared" si="1199"/>
        <v>Aerated Static Pile</v>
      </c>
      <c r="C13606" s="138" t="str">
        <f t="shared" si="1200"/>
        <v>Without Amendment</v>
      </c>
      <c r="D13606" s="138" t="str">
        <f t="shared" si="1205"/>
        <v>High_Base</v>
      </c>
      <c r="E13606" s="138" t="str">
        <f t="shared" si="1201"/>
        <v>Low</v>
      </c>
      <c r="F13606" s="138" t="str">
        <f t="shared" si="1202"/>
        <v>Upgraded</v>
      </c>
      <c r="G13606" s="153"/>
      <c r="H13606" s="210">
        <v>0.17080000000000001</v>
      </c>
      <c r="I13606" s="160" t="s">
        <v>168</v>
      </c>
      <c r="J13606" s="160">
        <v>2.5999999999999998E-4</v>
      </c>
      <c r="K13606" s="160" t="s">
        <v>24</v>
      </c>
      <c r="L13606" s="154" t="str">
        <f>IF(OpenLCAbasic!K13606="CTUh", "Fill in Manually",IF(OR(K13606="Unit", K13606=""), "", INDEX(LookUps!$E$5:$E$12, MATCH(OpenLCAbasic!K13606,LookUps!$D$5:$D$12,0))))</f>
        <v>Acidification Potential (AP) - kg SO2 eq</v>
      </c>
      <c r="M13606" s="154" t="str">
        <f t="shared" si="1203"/>
        <v>Low_High_Base_Upgraded_Acidification Potential (AP) - kg SO2 eq_ClearCove SCP; wastewater treatment unit; at updated plant - US_Without Amendment_Aerated Static Pile</v>
      </c>
    </row>
    <row r="13607" spans="1:13" s="120" customFormat="1" x14ac:dyDescent="0.25">
      <c r="A13607" s="119"/>
      <c r="B13607" s="138" t="str">
        <f t="shared" si="1199"/>
        <v>Aerated Static Pile</v>
      </c>
      <c r="C13607" s="138" t="str">
        <f t="shared" si="1200"/>
        <v>Without Amendment</v>
      </c>
      <c r="D13607" s="138" t="str">
        <f t="shared" si="1205"/>
        <v>High_Base</v>
      </c>
      <c r="E13607" s="138" t="str">
        <f t="shared" si="1201"/>
        <v>Low</v>
      </c>
      <c r="F13607" s="138" t="str">
        <f t="shared" si="1202"/>
        <v>Upgraded</v>
      </c>
      <c r="G13607" s="153"/>
      <c r="H13607" s="210">
        <v>2.7E-2</v>
      </c>
      <c r="I13607" s="160" t="s">
        <v>148</v>
      </c>
      <c r="J13607" s="211">
        <v>4.0354700000000002E-5</v>
      </c>
      <c r="K13607" s="160" t="s">
        <v>24</v>
      </c>
      <c r="L13607" s="154" t="str">
        <f>IF(OpenLCAbasic!K13607="CTUh", "Fill in Manually",IF(OR(K13607="Unit", K13607=""), "", INDEX(LookUps!$E$5:$E$12, MATCH(OpenLCAbasic!K13607,LookUps!$D$5:$D$12,0))))</f>
        <v>Acidification Potential (AP) - kg SO2 eq</v>
      </c>
      <c r="M13607" s="154" t="str">
        <f t="shared" si="1203"/>
        <v>Low_High_Base_Upgraded_Acidification Potential (AP) - kg SO2 eq_Control Building; at upgraded wastewater treatment plant - US_Without Amendment_Aerated Static Pile</v>
      </c>
    </row>
    <row r="13608" spans="1:13" s="120" customFormat="1" x14ac:dyDescent="0.25">
      <c r="A13608" s="119"/>
      <c r="B13608" s="138" t="str">
        <f t="shared" si="1199"/>
        <v>Aerated Static Pile</v>
      </c>
      <c r="C13608" s="138" t="str">
        <f t="shared" si="1200"/>
        <v>Without Amendment</v>
      </c>
      <c r="D13608" s="138" t="str">
        <f t="shared" si="1205"/>
        <v>High_Base</v>
      </c>
      <c r="E13608" s="138" t="str">
        <f t="shared" si="1201"/>
        <v>Low</v>
      </c>
      <c r="F13608" s="138" t="str">
        <f t="shared" si="1202"/>
        <v>Upgraded</v>
      </c>
      <c r="G13608" s="153"/>
      <c r="H13608" s="210">
        <v>-29.918299999999999</v>
      </c>
      <c r="I13608" s="160" t="s">
        <v>149</v>
      </c>
      <c r="J13608" s="160">
        <v>-4.4699999999999997E-2</v>
      </c>
      <c r="K13608" s="160" t="s">
        <v>24</v>
      </c>
      <c r="L13608" s="154" t="str">
        <f>IF(OpenLCAbasic!K13608="CTUh", "Fill in Manually",IF(OR(K13608="Unit", K13608=""), "", INDEX(LookUps!$E$5:$E$12, MATCH(OpenLCAbasic!K13608,LookUps!$D$5:$D$12,0))))</f>
        <v>Acidification Potential (AP) - kg SO2 eq</v>
      </c>
      <c r="M13608" s="154" t="str">
        <f t="shared" si="1203"/>
        <v>Low_High_Base_Upgraded_Acidification Potential (AP) - kg SO2 eq_Anaerobic Digestion; wastewater treatment unit; at updated plant - US_Without Amendment_Aerated Static Pile</v>
      </c>
    </row>
    <row r="13609" spans="1:13" s="120" customFormat="1" x14ac:dyDescent="0.25">
      <c r="A13609" s="119"/>
      <c r="B13609" s="138" t="str">
        <f t="shared" ref="B13609:B13672" si="1206">IF(F13609="Legacy","n.a.",IF(F13609="","","Aerated Static Pile"))</f>
        <v/>
      </c>
      <c r="C13609" s="138" t="str">
        <f t="shared" ref="C13609:C13672" si="1207">IF(ISNUMBER($J13609),"Without Amendment","")</f>
        <v/>
      </c>
      <c r="D13609" s="138" t="str">
        <f t="shared" si="1205"/>
        <v/>
      </c>
      <c r="E13609" s="138" t="str">
        <f t="shared" ref="E13609:E13672" si="1208">IF(ISNUMBER($J13609),"Low","")</f>
        <v/>
      </c>
      <c r="F13609" s="138" t="str">
        <f t="shared" ref="F13609:F13672" si="1209">IF(ISNUMBER(J13609),"Upgraded","")</f>
        <v/>
      </c>
      <c r="G13609" s="153" t="s">
        <v>51</v>
      </c>
      <c r="H13609" s="160"/>
      <c r="I13609" s="160" t="s">
        <v>47</v>
      </c>
      <c r="J13609" s="160" t="s">
        <v>52</v>
      </c>
      <c r="K13609" s="160" t="s">
        <v>27</v>
      </c>
      <c r="L13609" s="154" t="str">
        <f>IF(OpenLCAbasic!K13609="CTUh", "Fill in Manually",IF(OR(K13609="Unit", K13609=""), "", INDEX(LookUps!$E$5:$E$12, MATCH(OpenLCAbasic!K13609,LookUps!$D$5:$D$12,0))))</f>
        <v/>
      </c>
      <c r="M13609" s="154" t="str">
        <f t="shared" si="1203"/>
        <v>____Process__</v>
      </c>
    </row>
    <row r="13610" spans="1:13" s="120" customFormat="1" x14ac:dyDescent="0.25">
      <c r="A13610" s="119"/>
      <c r="B13610" s="138" t="str">
        <f t="shared" si="1206"/>
        <v>Aerated Static Pile</v>
      </c>
      <c r="C13610" s="138" t="str">
        <f t="shared" si="1207"/>
        <v>Without Amendment</v>
      </c>
      <c r="D13610" s="138" t="str">
        <f t="shared" si="1205"/>
        <v>High_Base</v>
      </c>
      <c r="E13610" s="138" t="str">
        <f t="shared" si="1208"/>
        <v>Low</v>
      </c>
      <c r="F13610" s="138" t="str">
        <f t="shared" si="1209"/>
        <v>Upgraded</v>
      </c>
      <c r="G13610" s="153"/>
      <c r="H13610" s="210">
        <v>23.640899999999998</v>
      </c>
      <c r="I13610" s="160" t="s">
        <v>167</v>
      </c>
      <c r="J13610" s="160">
        <v>5.1393399999999998</v>
      </c>
      <c r="K13610" s="160" t="s">
        <v>15</v>
      </c>
      <c r="L13610" s="154" t="str">
        <f>IF(OpenLCAbasic!K13610="CTUh", "Fill in Manually",IF(OR(K13610="Unit", K13610=""), "", INDEX(LookUps!$E$5:$E$12, MATCH(OpenLCAbasic!K13610,LookUps!$D$5:$D$12,0))))</f>
        <v>Cumulative Energy Demand (CED) - MJ</v>
      </c>
      <c r="M13610" s="154" t="str">
        <f t="shared" si="1203"/>
        <v>Low_High_Base_Upgraded_Cumulative Energy Demand (CED) - MJ_Waste Receiving and Holding; wastewater treatment unit; at updated plant - US_Without Amendment_Aerated Static Pile</v>
      </c>
    </row>
    <row r="13611" spans="1:13" s="120" customFormat="1" x14ac:dyDescent="0.25">
      <c r="A13611" s="119"/>
      <c r="B13611" s="138" t="str">
        <f t="shared" si="1206"/>
        <v>Aerated Static Pile</v>
      </c>
      <c r="C13611" s="138" t="str">
        <f t="shared" si="1207"/>
        <v>Without Amendment</v>
      </c>
      <c r="D13611" s="138" t="str">
        <f t="shared" si="1205"/>
        <v>High_Base</v>
      </c>
      <c r="E13611" s="138" t="str">
        <f t="shared" si="1208"/>
        <v>Low</v>
      </c>
      <c r="F13611" s="138" t="str">
        <f t="shared" si="1209"/>
        <v>Upgraded</v>
      </c>
      <c r="G13611" s="153"/>
      <c r="H13611" s="210">
        <v>16.251999999999999</v>
      </c>
      <c r="I13611" s="160" t="s">
        <v>55</v>
      </c>
      <c r="J13611" s="160">
        <v>3.5330499999999998</v>
      </c>
      <c r="K13611" s="160" t="s">
        <v>15</v>
      </c>
      <c r="L13611" s="154" t="str">
        <f>IF(OpenLCAbasic!K13611="CTUh", "Fill in Manually",IF(OR(K13611="Unit", K13611=""), "", INDEX(LookUps!$E$5:$E$12, MATCH(OpenLCAbasic!K13611,LookUps!$D$5:$D$12,0))))</f>
        <v>Cumulative Energy Demand (CED) - MJ</v>
      </c>
      <c r="M13611" s="154" t="str">
        <f t="shared" si="1203"/>
        <v>Low_High_Base_Upgraded_Cumulative Energy Demand (CED) - MJ_Aeration Tanks; wastewater treatment unit; at updated plant - US_Without Amendment_Aerated Static Pile</v>
      </c>
    </row>
    <row r="13612" spans="1:13" s="120" customFormat="1" x14ac:dyDescent="0.25">
      <c r="A13612" s="119"/>
      <c r="B13612" s="138" t="str">
        <f t="shared" si="1206"/>
        <v>Aerated Static Pile</v>
      </c>
      <c r="C13612" s="138" t="str">
        <f t="shared" si="1207"/>
        <v>Without Amendment</v>
      </c>
      <c r="D13612" s="138" t="str">
        <f t="shared" si="1205"/>
        <v>High_Base</v>
      </c>
      <c r="E13612" s="138" t="str">
        <f t="shared" si="1208"/>
        <v>Low</v>
      </c>
      <c r="F13612" s="138" t="str">
        <f t="shared" si="1209"/>
        <v>Upgraded</v>
      </c>
      <c r="G13612" s="153"/>
      <c r="H13612" s="210">
        <v>5.3493000000000004</v>
      </c>
      <c r="I13612" s="160" t="s">
        <v>54</v>
      </c>
      <c r="J13612" s="160">
        <v>1.16289</v>
      </c>
      <c r="K13612" s="160" t="s">
        <v>15</v>
      </c>
      <c r="L13612" s="154" t="str">
        <f>IF(OpenLCAbasic!K13612="CTUh", "Fill in Manually",IF(OR(K13612="Unit", K13612=""), "", INDEX(LookUps!$E$5:$E$12, MATCH(OpenLCAbasic!K13612,LookUps!$D$5:$D$12,0))))</f>
        <v>Cumulative Energy Demand (CED) - MJ</v>
      </c>
      <c r="M13612" s="154" t="str">
        <f t="shared" si="1203"/>
        <v>Low_High_Base_Upgraded_Cumulative Energy Demand (CED) - MJ_Clear Cove Primary Clarification; wastewater treatment unit; at updated plant - US_Without Amendment_Aerated Static Pile</v>
      </c>
    </row>
    <row r="13613" spans="1:13" s="120" customFormat="1" x14ac:dyDescent="0.25">
      <c r="A13613" s="119"/>
      <c r="B13613" s="138" t="str">
        <f t="shared" si="1206"/>
        <v>Aerated Static Pile</v>
      </c>
      <c r="C13613" s="138" t="str">
        <f t="shared" si="1207"/>
        <v>Without Amendment</v>
      </c>
      <c r="D13613" s="138" t="str">
        <f t="shared" si="1205"/>
        <v>High_Base</v>
      </c>
      <c r="E13613" s="138" t="str">
        <f t="shared" si="1208"/>
        <v>Low</v>
      </c>
      <c r="F13613" s="138" t="str">
        <f t="shared" si="1209"/>
        <v>Upgraded</v>
      </c>
      <c r="G13613" s="153"/>
      <c r="H13613" s="210">
        <v>4.0968999999999998</v>
      </c>
      <c r="I13613" s="160" t="s">
        <v>58</v>
      </c>
      <c r="J13613" s="160">
        <v>0.89063999999999999</v>
      </c>
      <c r="K13613" s="160" t="s">
        <v>15</v>
      </c>
      <c r="L13613" s="154" t="str">
        <f>IF(OpenLCAbasic!K13613="CTUh", "Fill in Manually",IF(OR(K13613="Unit", K13613=""), "", INDEX(LookUps!$E$5:$E$12, MATCH(OpenLCAbasic!K13613,LookUps!$D$5:$D$12,0))))</f>
        <v>Cumulative Energy Demand (CED) - MJ</v>
      </c>
      <c r="M13613" s="154" t="str">
        <f t="shared" si="1203"/>
        <v>Low_High_Base_Upgraded_Cumulative Energy Demand (CED) - MJ_Pre-Anoxic &amp; Swing tank; wastewater treatment unit; at updated plant - US_Without Amendment_Aerated Static Pile</v>
      </c>
    </row>
    <row r="13614" spans="1:13" s="120" customFormat="1" x14ac:dyDescent="0.25">
      <c r="A13614" s="119"/>
      <c r="B13614" s="138" t="str">
        <f t="shared" si="1206"/>
        <v>Aerated Static Pile</v>
      </c>
      <c r="C13614" s="138" t="str">
        <f t="shared" si="1207"/>
        <v>Without Amendment</v>
      </c>
      <c r="D13614" s="138" t="str">
        <f t="shared" si="1205"/>
        <v>High_Base</v>
      </c>
      <c r="E13614" s="138" t="str">
        <f t="shared" si="1208"/>
        <v>Low</v>
      </c>
      <c r="F13614" s="138" t="str">
        <f t="shared" si="1209"/>
        <v>Upgraded</v>
      </c>
      <c r="G13614" s="153"/>
      <c r="H13614" s="210">
        <v>4.0617000000000001</v>
      </c>
      <c r="I13614" s="160" t="s">
        <v>147</v>
      </c>
      <c r="J13614" s="160">
        <v>0.88297000000000003</v>
      </c>
      <c r="K13614" s="160" t="s">
        <v>15</v>
      </c>
      <c r="L13614" s="154" t="str">
        <f>IF(OpenLCAbasic!K13614="CTUh", "Fill in Manually",IF(OR(K13614="Unit", K13614=""), "", INDEX(LookUps!$E$5:$E$12, MATCH(OpenLCAbasic!K13614,LookUps!$D$5:$D$12,0))))</f>
        <v>Cumulative Energy Demand (CED) - MJ</v>
      </c>
      <c r="M13614" s="154" t="str">
        <f t="shared" si="1203"/>
        <v>Low_High_Base_Upgraded_Cumulative Energy Demand (CED) - MJ_Influent Pump Station; wastewater treatment unit; at updated plant - US_Without Amendment_Aerated Static Pile</v>
      </c>
    </row>
    <row r="13615" spans="1:13" s="120" customFormat="1" x14ac:dyDescent="0.25">
      <c r="A13615" s="119"/>
      <c r="B13615" s="138" t="str">
        <f t="shared" si="1206"/>
        <v>Aerated Static Pile</v>
      </c>
      <c r="C13615" s="138" t="str">
        <f t="shared" si="1207"/>
        <v>Without Amendment</v>
      </c>
      <c r="D13615" s="138" t="str">
        <f t="shared" si="1205"/>
        <v>High_Base</v>
      </c>
      <c r="E13615" s="138" t="str">
        <f t="shared" si="1208"/>
        <v>Low</v>
      </c>
      <c r="F13615" s="138" t="str">
        <f t="shared" si="1209"/>
        <v>Upgraded</v>
      </c>
      <c r="G13615" s="153"/>
      <c r="H13615" s="210">
        <v>3.2037</v>
      </c>
      <c r="I13615" s="160" t="s">
        <v>53</v>
      </c>
      <c r="J13615" s="160">
        <v>0.69645000000000001</v>
      </c>
      <c r="K13615" s="160" t="s">
        <v>15</v>
      </c>
      <c r="L13615" s="154" t="str">
        <f>IF(OpenLCAbasic!K13615="CTUh", "Fill in Manually",IF(OR(K13615="Unit", K13615=""), "", INDEX(LookUps!$E$5:$E$12, MATCH(OpenLCAbasic!K13615,LookUps!$D$5:$D$12,0))))</f>
        <v>Cumulative Energy Demand (CED) - MJ</v>
      </c>
      <c r="M13615" s="154" t="str">
        <f t="shared" si="1203"/>
        <v>Low_High_Base_Upgraded_Cumulative Energy Demand (CED) - MJ_Wet Well and Sump Station; wastewater treatment unit; at updated plant - US_Without Amendment_Aerated Static Pile</v>
      </c>
    </row>
    <row r="13616" spans="1:13" s="120" customFormat="1" x14ac:dyDescent="0.25">
      <c r="A13616" s="119"/>
      <c r="B13616" s="138" t="str">
        <f t="shared" si="1206"/>
        <v>Aerated Static Pile</v>
      </c>
      <c r="C13616" s="138" t="str">
        <f t="shared" si="1207"/>
        <v>Without Amendment</v>
      </c>
      <c r="D13616" s="138" t="str">
        <f t="shared" si="1205"/>
        <v>High_Base</v>
      </c>
      <c r="E13616" s="138" t="str">
        <f t="shared" si="1208"/>
        <v>Low</v>
      </c>
      <c r="F13616" s="138" t="str">
        <f t="shared" si="1209"/>
        <v>Upgraded</v>
      </c>
      <c r="G13616" s="153"/>
      <c r="H13616" s="210">
        <v>3.0205000000000002</v>
      </c>
      <c r="I13616" s="160" t="s">
        <v>435</v>
      </c>
      <c r="J13616" s="160">
        <v>0.65663000000000005</v>
      </c>
      <c r="K13616" s="160" t="s">
        <v>15</v>
      </c>
      <c r="L13616" s="154" t="str">
        <f>IF(OpenLCAbasic!K13616="CTUh", "Fill in Manually",IF(OR(K13616="Unit", K13616=""), "", INDEX(LookUps!$E$5:$E$12, MATCH(OpenLCAbasic!K13616,LookUps!$D$5:$D$12,0))))</f>
        <v>Cumulative Energy Demand (CED) - MJ</v>
      </c>
      <c r="M13616" s="154" t="str">
        <f t="shared" si="1203"/>
        <v>Low_High_Base_Upgraded_Cumulative Energy Demand (CED) - MJ_Biosolids composting; aerated static pile; wastewater treatment unit; at updated plant - US_Without Amendment_Aerated Static Pile</v>
      </c>
    </row>
    <row r="13617" spans="1:13" s="120" customFormat="1" x14ac:dyDescent="0.25">
      <c r="A13617" s="119"/>
      <c r="B13617" s="138" t="str">
        <f t="shared" si="1206"/>
        <v>Aerated Static Pile</v>
      </c>
      <c r="C13617" s="138" t="str">
        <f t="shared" si="1207"/>
        <v>Without Amendment</v>
      </c>
      <c r="D13617" s="138" t="str">
        <f t="shared" si="1205"/>
        <v>High_Base</v>
      </c>
      <c r="E13617" s="138" t="str">
        <f t="shared" si="1208"/>
        <v>Low</v>
      </c>
      <c r="F13617" s="138" t="str">
        <f t="shared" si="1209"/>
        <v>Upgraded</v>
      </c>
      <c r="G13617" s="153"/>
      <c r="H13617" s="210">
        <v>2.5034000000000001</v>
      </c>
      <c r="I13617" s="160" t="s">
        <v>60</v>
      </c>
      <c r="J13617" s="160">
        <v>0.54422999999999999</v>
      </c>
      <c r="K13617" s="160" t="s">
        <v>15</v>
      </c>
      <c r="L13617" s="154" t="str">
        <f>IF(OpenLCAbasic!K13617="CTUh", "Fill in Manually",IF(OR(K13617="Unit", K13617=""), "", INDEX(LookUps!$E$5:$E$12, MATCH(OpenLCAbasic!K13617,LookUps!$D$5:$D$12,0))))</f>
        <v>Cumulative Energy Demand (CED) - MJ</v>
      </c>
      <c r="M13617" s="154" t="str">
        <f t="shared" si="1203"/>
        <v>Low_High_Base_Upgraded_Cumulative Energy Demand (CED) - MJ_Belt filter press; wastewater treatment unit; at updated plant - US_Without Amendment_Aerated Static Pile</v>
      </c>
    </row>
    <row r="13618" spans="1:13" s="120" customFormat="1" x14ac:dyDescent="0.25">
      <c r="A13618" s="119"/>
      <c r="B13618" s="138" t="str">
        <f t="shared" si="1206"/>
        <v>Aerated Static Pile</v>
      </c>
      <c r="C13618" s="138" t="str">
        <f t="shared" si="1207"/>
        <v>Without Amendment</v>
      </c>
      <c r="D13618" s="138" t="str">
        <f t="shared" si="1205"/>
        <v>High_Base</v>
      </c>
      <c r="E13618" s="138" t="str">
        <f t="shared" si="1208"/>
        <v>Low</v>
      </c>
      <c r="F13618" s="138" t="str">
        <f t="shared" si="1209"/>
        <v>Upgraded</v>
      </c>
      <c r="G13618" s="153"/>
      <c r="H13618" s="210">
        <v>1.5366</v>
      </c>
      <c r="I13618" s="160" t="s">
        <v>57</v>
      </c>
      <c r="J13618" s="160">
        <v>0.33404</v>
      </c>
      <c r="K13618" s="160" t="s">
        <v>15</v>
      </c>
      <c r="L13618" s="154" t="str">
        <f>IF(OpenLCAbasic!K13618="CTUh", "Fill in Manually",IF(OR(K13618="Unit", K13618=""), "", INDEX(LookUps!$E$5:$E$12, MATCH(OpenLCAbasic!K13618,LookUps!$D$5:$D$12,0))))</f>
        <v>Cumulative Energy Demand (CED) - MJ</v>
      </c>
      <c r="M13618" s="154" t="str">
        <f t="shared" si="1203"/>
        <v>Low_High_Base_Upgraded_Cumulative Energy Demand (CED) - MJ_Gravity Belt Thickener; wastewater treatment unit; at updated plant - US_Without Amendment_Aerated Static Pile</v>
      </c>
    </row>
    <row r="13619" spans="1:13" s="120" customFormat="1" x14ac:dyDescent="0.25">
      <c r="A13619" s="119"/>
      <c r="B13619" s="138" t="str">
        <f t="shared" si="1206"/>
        <v>Aerated Static Pile</v>
      </c>
      <c r="C13619" s="138" t="str">
        <f t="shared" si="1207"/>
        <v>Without Amendment</v>
      </c>
      <c r="D13619" s="138" t="str">
        <f t="shared" si="1205"/>
        <v>High_Base</v>
      </c>
      <c r="E13619" s="138" t="str">
        <f t="shared" si="1208"/>
        <v>Low</v>
      </c>
      <c r="F13619" s="138" t="str">
        <f t="shared" si="1209"/>
        <v>Upgraded</v>
      </c>
      <c r="G13619" s="153"/>
      <c r="H13619" s="210">
        <v>1.1778999999999999</v>
      </c>
      <c r="I13619" s="160" t="s">
        <v>128</v>
      </c>
      <c r="J13619" s="160">
        <v>0.25606000000000001</v>
      </c>
      <c r="K13619" s="160" t="s">
        <v>15</v>
      </c>
      <c r="L13619" s="154" t="str">
        <f>IF(OpenLCAbasic!K13619="CTUh", "Fill in Manually",IF(OR(K13619="Unit", K13619=""), "", INDEX(LookUps!$E$5:$E$12, MATCH(OpenLCAbasic!K13619,LookUps!$D$5:$D$12,0))))</f>
        <v>Cumulative Energy Demand (CED) - MJ</v>
      </c>
      <c r="M13619" s="154" t="str">
        <f t="shared" si="1203"/>
        <v>Low_High_Base_Upgraded_Cumulative Energy Demand (CED) - MJ_Wastewater collection; operation and infrastructure; m3 wastewater_Without Amendment_Aerated Static Pile</v>
      </c>
    </row>
    <row r="13620" spans="1:13" s="120" customFormat="1" x14ac:dyDescent="0.25">
      <c r="A13620" s="119"/>
      <c r="B13620" s="138" t="str">
        <f t="shared" si="1206"/>
        <v>Aerated Static Pile</v>
      </c>
      <c r="C13620" s="138" t="str">
        <f t="shared" si="1207"/>
        <v>Without Amendment</v>
      </c>
      <c r="D13620" s="138" t="str">
        <f t="shared" si="1205"/>
        <v>High_Base</v>
      </c>
      <c r="E13620" s="138" t="str">
        <f t="shared" si="1208"/>
        <v>Low</v>
      </c>
      <c r="F13620" s="138" t="str">
        <f t="shared" si="1209"/>
        <v>Upgraded</v>
      </c>
      <c r="G13620" s="153"/>
      <c r="H13620" s="210">
        <v>0.67159999999999997</v>
      </c>
      <c r="I13620" s="160" t="s">
        <v>148</v>
      </c>
      <c r="J13620" s="160">
        <v>0.14599000000000001</v>
      </c>
      <c r="K13620" s="160" t="s">
        <v>15</v>
      </c>
      <c r="L13620" s="154" t="str">
        <f>IF(OpenLCAbasic!K13620="CTUh", "Fill in Manually",IF(OR(K13620="Unit", K13620=""), "", INDEX(LookUps!$E$5:$E$12, MATCH(OpenLCAbasic!K13620,LookUps!$D$5:$D$12,0))))</f>
        <v>Cumulative Energy Demand (CED) - MJ</v>
      </c>
      <c r="M13620" s="154" t="str">
        <f t="shared" si="1203"/>
        <v>Low_High_Base_Upgraded_Cumulative Energy Demand (CED) - MJ_Control Building; at upgraded wastewater treatment plant - US_Without Amendment_Aerated Static Pile</v>
      </c>
    </row>
    <row r="13621" spans="1:13" s="120" customFormat="1" x14ac:dyDescent="0.25">
      <c r="A13621" s="119"/>
      <c r="B13621" s="138" t="str">
        <f t="shared" si="1206"/>
        <v>Aerated Static Pile</v>
      </c>
      <c r="C13621" s="138" t="str">
        <f t="shared" si="1207"/>
        <v>Without Amendment</v>
      </c>
      <c r="D13621" s="138" t="str">
        <f t="shared" si="1205"/>
        <v>High_Base</v>
      </c>
      <c r="E13621" s="138" t="str">
        <f t="shared" si="1208"/>
        <v>Low</v>
      </c>
      <c r="F13621" s="138" t="str">
        <f t="shared" si="1209"/>
        <v>Upgraded</v>
      </c>
      <c r="G13621" s="153"/>
      <c r="H13621" s="210">
        <v>0.61280000000000001</v>
      </c>
      <c r="I13621" s="160" t="s">
        <v>48</v>
      </c>
      <c r="J13621" s="160">
        <v>0.13321</v>
      </c>
      <c r="K13621" s="160" t="s">
        <v>15</v>
      </c>
      <c r="L13621" s="154" t="str">
        <f>IF(OpenLCAbasic!K13621="CTUh", "Fill in Manually",IF(OR(K13621="Unit", K13621=""), "", INDEX(LookUps!$E$5:$E$12, MATCH(OpenLCAbasic!K13621,LookUps!$D$5:$D$12,0))))</f>
        <v>Cumulative Energy Demand (CED) - MJ</v>
      </c>
      <c r="M13621" s="154" t="str">
        <f t="shared" si="1203"/>
        <v>Low_High_Base_Upgraded_Cumulative Energy Demand (CED) - MJ_Effluent release; wastewater treatment unit; at surface water; m3 wastewater - US_Without Amendment_Aerated Static Pile</v>
      </c>
    </row>
    <row r="13622" spans="1:13" s="120" customFormat="1" x14ac:dyDescent="0.25">
      <c r="A13622" s="119"/>
      <c r="B13622" s="138" t="str">
        <f t="shared" si="1206"/>
        <v>Aerated Static Pile</v>
      </c>
      <c r="C13622" s="138" t="str">
        <f t="shared" si="1207"/>
        <v>Without Amendment</v>
      </c>
      <c r="D13622" s="138" t="str">
        <f t="shared" si="1205"/>
        <v>High_Base</v>
      </c>
      <c r="E13622" s="138" t="str">
        <f t="shared" si="1208"/>
        <v>Low</v>
      </c>
      <c r="F13622" s="138" t="str">
        <f t="shared" si="1209"/>
        <v>Upgraded</v>
      </c>
      <c r="G13622" s="153"/>
      <c r="H13622" s="210">
        <v>0.48930000000000001</v>
      </c>
      <c r="I13622" s="160" t="s">
        <v>59</v>
      </c>
      <c r="J13622" s="160">
        <v>0.10638</v>
      </c>
      <c r="K13622" s="160" t="s">
        <v>15</v>
      </c>
      <c r="L13622" s="154" t="str">
        <f>IF(OpenLCAbasic!K13622="CTUh", "Fill in Manually",IF(OR(K13622="Unit", K13622=""), "", INDEX(LookUps!$E$5:$E$12, MATCH(OpenLCAbasic!K13622,LookUps!$D$5:$D$12,0))))</f>
        <v>Cumulative Energy Demand (CED) - MJ</v>
      </c>
      <c r="M13622" s="154" t="str">
        <f t="shared" si="1203"/>
        <v>Low_High_Base_Upgraded_Cumulative Energy Demand (CED) - MJ_Blend Tank; wastewater treatment unit; at updated plant - US_Without Amendment_Aerated Static Pile</v>
      </c>
    </row>
    <row r="13623" spans="1:13" s="120" customFormat="1" x14ac:dyDescent="0.25">
      <c r="A13623" s="119"/>
      <c r="B13623" s="138" t="str">
        <f t="shared" si="1206"/>
        <v>Aerated Static Pile</v>
      </c>
      <c r="C13623" s="138" t="str">
        <f t="shared" si="1207"/>
        <v>Without Amendment</v>
      </c>
      <c r="D13623" s="138" t="str">
        <f t="shared" si="1205"/>
        <v>High_Base</v>
      </c>
      <c r="E13623" s="138" t="str">
        <f t="shared" si="1208"/>
        <v>Low</v>
      </c>
      <c r="F13623" s="138" t="str">
        <f t="shared" si="1209"/>
        <v>Upgraded</v>
      </c>
      <c r="G13623" s="153"/>
      <c r="H13623" s="210">
        <v>0.23430000000000001</v>
      </c>
      <c r="I13623" s="160" t="s">
        <v>168</v>
      </c>
      <c r="J13623" s="160">
        <v>5.0930000000000003E-2</v>
      </c>
      <c r="K13623" s="160" t="s">
        <v>15</v>
      </c>
      <c r="L13623" s="154" t="str">
        <f>IF(OpenLCAbasic!K13623="CTUh", "Fill in Manually",IF(OR(K13623="Unit", K13623=""), "", INDEX(LookUps!$E$5:$E$12, MATCH(OpenLCAbasic!K13623,LookUps!$D$5:$D$12,0))))</f>
        <v>Cumulative Energy Demand (CED) - MJ</v>
      </c>
      <c r="M13623" s="154" t="str">
        <f t="shared" si="1203"/>
        <v>Low_High_Base_Upgraded_Cumulative Energy Demand (CED) - MJ_ClearCove SCP; wastewater treatment unit; at updated plant - US_Without Amendment_Aerated Static Pile</v>
      </c>
    </row>
    <row r="13624" spans="1:13" s="120" customFormat="1" x14ac:dyDescent="0.25">
      <c r="A13624" s="119"/>
      <c r="B13624" s="138" t="str">
        <f t="shared" si="1206"/>
        <v>Aerated Static Pile</v>
      </c>
      <c r="C13624" s="138" t="str">
        <f t="shared" si="1207"/>
        <v>Without Amendment</v>
      </c>
      <c r="D13624" s="138" t="str">
        <f t="shared" si="1205"/>
        <v>High_Base</v>
      </c>
      <c r="E13624" s="138" t="str">
        <f t="shared" si="1208"/>
        <v>Low</v>
      </c>
      <c r="F13624" s="138" t="str">
        <f t="shared" si="1209"/>
        <v>Upgraded</v>
      </c>
      <c r="G13624" s="153"/>
      <c r="H13624" s="210">
        <v>-2.6238999999999999</v>
      </c>
      <c r="I13624" s="160" t="s">
        <v>62</v>
      </c>
      <c r="J13624" s="160">
        <v>-0.57040999999999997</v>
      </c>
      <c r="K13624" s="160" t="s">
        <v>15</v>
      </c>
      <c r="L13624" s="154" t="str">
        <f>IF(OpenLCAbasic!K13624="CTUh", "Fill in Manually",IF(OR(K13624="Unit", K13624=""), "", INDEX(LookUps!$E$5:$E$12, MATCH(OpenLCAbasic!K13624,LookUps!$D$5:$D$12,0))))</f>
        <v>Cumulative Energy Demand (CED) - MJ</v>
      </c>
      <c r="M13624" s="154" t="str">
        <f t="shared" si="1203"/>
        <v>Low_High_Base_Upgraded_Cumulative Energy Demand (CED) - MJ_Land application of compost; wastewater treatment unit; at updated plant - US_Without Amendment_Aerated Static Pile</v>
      </c>
    </row>
    <row r="13625" spans="1:13" s="120" customFormat="1" x14ac:dyDescent="0.25">
      <c r="A13625" s="119"/>
      <c r="B13625" s="138" t="str">
        <f t="shared" si="1206"/>
        <v>Aerated Static Pile</v>
      </c>
      <c r="C13625" s="138" t="str">
        <f t="shared" si="1207"/>
        <v>Without Amendment</v>
      </c>
      <c r="D13625" s="138" t="str">
        <f t="shared" si="1205"/>
        <v>High_Base</v>
      </c>
      <c r="E13625" s="138" t="str">
        <f t="shared" si="1208"/>
        <v>Low</v>
      </c>
      <c r="F13625" s="138" t="str">
        <f t="shared" si="1209"/>
        <v>Upgraded</v>
      </c>
      <c r="G13625" s="153"/>
      <c r="H13625" s="210">
        <v>-65.226900000000001</v>
      </c>
      <c r="I13625" s="160" t="s">
        <v>149</v>
      </c>
      <c r="J13625" s="160">
        <v>-14.179790000000001</v>
      </c>
      <c r="K13625" s="160" t="s">
        <v>15</v>
      </c>
      <c r="L13625" s="154" t="str">
        <f>IF(OpenLCAbasic!K13625="CTUh", "Fill in Manually",IF(OR(K13625="Unit", K13625=""), "", INDEX(LookUps!$E$5:$E$12, MATCH(OpenLCAbasic!K13625,LookUps!$D$5:$D$12,0))))</f>
        <v>Cumulative Energy Demand (CED) - MJ</v>
      </c>
      <c r="M13625" s="154" t="str">
        <f t="shared" si="1203"/>
        <v>Low_High_Base_Upgraded_Cumulative Energy Demand (CED) - MJ_Anaerobic Digestion; wastewater treatment unit; at updated plant - US_Without Amendment_Aerated Static Pile</v>
      </c>
    </row>
    <row r="13626" spans="1:13" s="120" customFormat="1" x14ac:dyDescent="0.25">
      <c r="A13626" s="119"/>
      <c r="B13626" s="138" t="str">
        <f t="shared" si="1206"/>
        <v/>
      </c>
      <c r="C13626" s="138" t="str">
        <f t="shared" si="1207"/>
        <v/>
      </c>
      <c r="D13626" s="138" t="str">
        <f t="shared" si="1205"/>
        <v/>
      </c>
      <c r="E13626" s="138" t="str">
        <f t="shared" si="1208"/>
        <v/>
      </c>
      <c r="F13626" s="138" t="str">
        <f t="shared" si="1209"/>
        <v/>
      </c>
      <c r="G13626" s="153" t="s">
        <v>51</v>
      </c>
      <c r="H13626" s="160"/>
      <c r="I13626" s="160" t="s">
        <v>47</v>
      </c>
      <c r="J13626" s="160" t="s">
        <v>52</v>
      </c>
      <c r="K13626" s="160" t="s">
        <v>27</v>
      </c>
      <c r="L13626" s="154" t="str">
        <f>IF(OpenLCAbasic!K13626="CTUh", "Fill in Manually",IF(OR(K13626="Unit", K13626=""), "", INDEX(LookUps!$E$5:$E$12, MATCH(OpenLCAbasic!K13626,LookUps!$D$5:$D$12,0))))</f>
        <v/>
      </c>
      <c r="M13626" s="154" t="str">
        <f t="shared" si="1203"/>
        <v>____Process__</v>
      </c>
    </row>
    <row r="13627" spans="1:13" s="120" customFormat="1" x14ac:dyDescent="0.25">
      <c r="A13627" s="119"/>
      <c r="B13627" s="138" t="str">
        <f t="shared" si="1206"/>
        <v>Aerated Static Pile</v>
      </c>
      <c r="C13627" s="138" t="str">
        <f t="shared" si="1207"/>
        <v>Without Amendment</v>
      </c>
      <c r="D13627" s="138" t="str">
        <f t="shared" si="1205"/>
        <v>High_Base</v>
      </c>
      <c r="E13627" s="138" t="str">
        <f t="shared" si="1208"/>
        <v>Low</v>
      </c>
      <c r="F13627" s="138" t="str">
        <f t="shared" si="1209"/>
        <v>Upgraded</v>
      </c>
      <c r="G13627" s="153"/>
      <c r="H13627" s="210">
        <v>0.79679999999999995</v>
      </c>
      <c r="I13627" s="160" t="s">
        <v>48</v>
      </c>
      <c r="J13627" s="160">
        <v>1.1610000000000001E-2</v>
      </c>
      <c r="K13627" s="160" t="s">
        <v>13</v>
      </c>
      <c r="L13627" s="154" t="str">
        <f>IF(OpenLCAbasic!K13627="CTUh", "Fill in Manually",IF(OR(K13627="Unit", K13627=""), "", INDEX(LookUps!$E$5:$E$12, MATCH(OpenLCAbasic!K13627,LookUps!$D$5:$D$12,0))))</f>
        <v>Eutrophication Potential (EP) - kg N eq</v>
      </c>
      <c r="M13627" s="154" t="str">
        <f t="shared" si="1203"/>
        <v>Low_High_Base_Upgraded_Eutrophication Potential (EP) - kg N eq_Effluent release; wastewater treatment unit; at surface water; m3 wastewater - US_Without Amendment_Aerated Static Pile</v>
      </c>
    </row>
    <row r="13628" spans="1:13" s="120" customFormat="1" x14ac:dyDescent="0.25">
      <c r="A13628" s="119"/>
      <c r="B13628" s="138" t="str">
        <f t="shared" si="1206"/>
        <v>Aerated Static Pile</v>
      </c>
      <c r="C13628" s="138" t="str">
        <f t="shared" si="1207"/>
        <v>Without Amendment</v>
      </c>
      <c r="D13628" s="138" t="str">
        <f t="shared" si="1205"/>
        <v>High_Base</v>
      </c>
      <c r="E13628" s="138" t="str">
        <f t="shared" si="1208"/>
        <v>Low</v>
      </c>
      <c r="F13628" s="138" t="str">
        <f t="shared" si="1209"/>
        <v>Upgraded</v>
      </c>
      <c r="G13628" s="153"/>
      <c r="H13628" s="210">
        <v>0.1736</v>
      </c>
      <c r="I13628" s="160" t="s">
        <v>62</v>
      </c>
      <c r="J13628" s="160">
        <v>2.5300000000000001E-3</v>
      </c>
      <c r="K13628" s="160" t="s">
        <v>13</v>
      </c>
      <c r="L13628" s="154" t="str">
        <f>IF(OpenLCAbasic!K13628="CTUh", "Fill in Manually",IF(OR(K13628="Unit", K13628=""), "", INDEX(LookUps!$E$5:$E$12, MATCH(OpenLCAbasic!K13628,LookUps!$D$5:$D$12,0))))</f>
        <v>Eutrophication Potential (EP) - kg N eq</v>
      </c>
      <c r="M13628" s="154" t="str">
        <f t="shared" si="1203"/>
        <v>Low_High_Base_Upgraded_Eutrophication Potential (EP) - kg N eq_Land application of compost; wastewater treatment unit; at updated plant - US_Without Amendment_Aerated Static Pile</v>
      </c>
    </row>
    <row r="13629" spans="1:13" s="120" customFormat="1" x14ac:dyDescent="0.25">
      <c r="A13629" s="119"/>
      <c r="B13629" s="138" t="str">
        <f t="shared" si="1206"/>
        <v>Aerated Static Pile</v>
      </c>
      <c r="C13629" s="138" t="str">
        <f t="shared" si="1207"/>
        <v>Without Amendment</v>
      </c>
      <c r="D13629" s="138" t="str">
        <f t="shared" si="1205"/>
        <v>High_Base</v>
      </c>
      <c r="E13629" s="138" t="str">
        <f t="shared" si="1208"/>
        <v>Low</v>
      </c>
      <c r="F13629" s="138" t="str">
        <f t="shared" si="1209"/>
        <v>Upgraded</v>
      </c>
      <c r="G13629" s="153"/>
      <c r="H13629" s="210">
        <v>3.7499999999999999E-2</v>
      </c>
      <c r="I13629" s="160" t="s">
        <v>55</v>
      </c>
      <c r="J13629" s="160">
        <v>5.5000000000000003E-4</v>
      </c>
      <c r="K13629" s="160" t="s">
        <v>13</v>
      </c>
      <c r="L13629" s="154" t="str">
        <f>IF(OpenLCAbasic!K13629="CTUh", "Fill in Manually",IF(OR(K13629="Unit", K13629=""), "", INDEX(LookUps!$E$5:$E$12, MATCH(OpenLCAbasic!K13629,LookUps!$D$5:$D$12,0))))</f>
        <v>Eutrophication Potential (EP) - kg N eq</v>
      </c>
      <c r="M13629" s="154" t="str">
        <f t="shared" si="1203"/>
        <v>Low_High_Base_Upgraded_Eutrophication Potential (EP) - kg N eq_Aeration Tanks; wastewater treatment unit; at updated plant - US_Without Amendment_Aerated Static Pile</v>
      </c>
    </row>
    <row r="13630" spans="1:13" s="120" customFormat="1" x14ac:dyDescent="0.25">
      <c r="A13630" s="119"/>
      <c r="B13630" s="138" t="str">
        <f t="shared" si="1206"/>
        <v>Aerated Static Pile</v>
      </c>
      <c r="C13630" s="138" t="str">
        <f t="shared" si="1207"/>
        <v>Without Amendment</v>
      </c>
      <c r="D13630" s="138" t="str">
        <f t="shared" si="1205"/>
        <v>High_Base</v>
      </c>
      <c r="E13630" s="138" t="str">
        <f t="shared" si="1208"/>
        <v>Low</v>
      </c>
      <c r="F13630" s="138" t="str">
        <f t="shared" si="1209"/>
        <v>Upgraded</v>
      </c>
      <c r="G13630" s="153"/>
      <c r="H13630" s="210">
        <v>1.7100000000000001E-2</v>
      </c>
      <c r="I13630" s="160" t="s">
        <v>147</v>
      </c>
      <c r="J13630" s="160">
        <v>2.5000000000000001E-4</v>
      </c>
      <c r="K13630" s="160" t="s">
        <v>13</v>
      </c>
      <c r="L13630" s="154" t="str">
        <f>IF(OpenLCAbasic!K13630="CTUh", "Fill in Manually",IF(OR(K13630="Unit", K13630=""), "", INDEX(LookUps!$E$5:$E$12, MATCH(OpenLCAbasic!K13630,LookUps!$D$5:$D$12,0))))</f>
        <v>Eutrophication Potential (EP) - kg N eq</v>
      </c>
      <c r="M13630" s="154" t="str">
        <f t="shared" si="1203"/>
        <v>Low_High_Base_Upgraded_Eutrophication Potential (EP) - kg N eq_Influent Pump Station; wastewater treatment unit; at updated plant - US_Without Amendment_Aerated Static Pile</v>
      </c>
    </row>
    <row r="13631" spans="1:13" s="120" customFormat="1" x14ac:dyDescent="0.25">
      <c r="A13631" s="119"/>
      <c r="B13631" s="138" t="str">
        <f t="shared" si="1206"/>
        <v>Aerated Static Pile</v>
      </c>
      <c r="C13631" s="138" t="str">
        <f t="shared" si="1207"/>
        <v>Without Amendment</v>
      </c>
      <c r="D13631" s="138" t="str">
        <f t="shared" si="1205"/>
        <v>High_Base</v>
      </c>
      <c r="E13631" s="138" t="str">
        <f t="shared" si="1208"/>
        <v>Low</v>
      </c>
      <c r="F13631" s="138" t="str">
        <f t="shared" si="1209"/>
        <v>Upgraded</v>
      </c>
      <c r="G13631" s="153"/>
      <c r="H13631" s="210">
        <v>1.5100000000000001E-2</v>
      </c>
      <c r="I13631" s="160" t="s">
        <v>167</v>
      </c>
      <c r="J13631" s="160">
        <v>2.2000000000000001E-4</v>
      </c>
      <c r="K13631" s="160" t="s">
        <v>13</v>
      </c>
      <c r="L13631" s="154" t="str">
        <f>IF(OpenLCAbasic!K13631="CTUh", "Fill in Manually",IF(OR(K13631="Unit", K13631=""), "", INDEX(LookUps!$E$5:$E$12, MATCH(OpenLCAbasic!K13631,LookUps!$D$5:$D$12,0))))</f>
        <v>Eutrophication Potential (EP) - kg N eq</v>
      </c>
      <c r="M13631" s="154" t="str">
        <f t="shared" si="1203"/>
        <v>Low_High_Base_Upgraded_Eutrophication Potential (EP) - kg N eq_Waste Receiving and Holding; wastewater treatment unit; at updated plant - US_Without Amendment_Aerated Static Pile</v>
      </c>
    </row>
    <row r="13632" spans="1:13" s="120" customFormat="1" x14ac:dyDescent="0.25">
      <c r="A13632" s="119"/>
      <c r="B13632" s="138" t="str">
        <f t="shared" si="1206"/>
        <v>Aerated Static Pile</v>
      </c>
      <c r="C13632" s="138" t="str">
        <f t="shared" si="1207"/>
        <v>Without Amendment</v>
      </c>
      <c r="D13632" s="138" t="str">
        <f t="shared" si="1205"/>
        <v>High_Base</v>
      </c>
      <c r="E13632" s="138" t="str">
        <f t="shared" si="1208"/>
        <v>Low</v>
      </c>
      <c r="F13632" s="138" t="str">
        <f t="shared" si="1209"/>
        <v>Upgraded</v>
      </c>
      <c r="G13632" s="153"/>
      <c r="H13632" s="210">
        <v>1.3599999999999999E-2</v>
      </c>
      <c r="I13632" s="160" t="s">
        <v>54</v>
      </c>
      <c r="J13632" s="160">
        <v>2.0000000000000001E-4</v>
      </c>
      <c r="K13632" s="160" t="s">
        <v>13</v>
      </c>
      <c r="L13632" s="154" t="str">
        <f>IF(OpenLCAbasic!K13632="CTUh", "Fill in Manually",IF(OR(K13632="Unit", K13632=""), "", INDEX(LookUps!$E$5:$E$12, MATCH(OpenLCAbasic!K13632,LookUps!$D$5:$D$12,0))))</f>
        <v>Eutrophication Potential (EP) - kg N eq</v>
      </c>
      <c r="M13632" s="154" t="str">
        <f t="shared" si="1203"/>
        <v>Low_High_Base_Upgraded_Eutrophication Potential (EP) - kg N eq_Clear Cove Primary Clarification; wastewater treatment unit; at updated plant - US_Without Amendment_Aerated Static Pile</v>
      </c>
    </row>
    <row r="13633" spans="1:13" s="120" customFormat="1" x14ac:dyDescent="0.25">
      <c r="A13633" s="119"/>
      <c r="B13633" s="138" t="str">
        <f t="shared" si="1206"/>
        <v>Aerated Static Pile</v>
      </c>
      <c r="C13633" s="138" t="str">
        <f t="shared" si="1207"/>
        <v>Without Amendment</v>
      </c>
      <c r="D13633" s="138" t="str">
        <f t="shared" si="1205"/>
        <v>High_Base</v>
      </c>
      <c r="E13633" s="138" t="str">
        <f t="shared" si="1208"/>
        <v>Low</v>
      </c>
      <c r="F13633" s="138" t="str">
        <f t="shared" si="1209"/>
        <v>Upgraded</v>
      </c>
      <c r="G13633" s="153"/>
      <c r="H13633" s="210">
        <v>9.2999999999999992E-3</v>
      </c>
      <c r="I13633" s="160" t="s">
        <v>58</v>
      </c>
      <c r="J13633" s="160">
        <v>1.3999999999999999E-4</v>
      </c>
      <c r="K13633" s="160" t="s">
        <v>13</v>
      </c>
      <c r="L13633" s="154" t="str">
        <f>IF(OpenLCAbasic!K13633="CTUh", "Fill in Manually",IF(OR(K13633="Unit", K13633=""), "", INDEX(LookUps!$E$5:$E$12, MATCH(OpenLCAbasic!K13633,LookUps!$D$5:$D$12,0))))</f>
        <v>Eutrophication Potential (EP) - kg N eq</v>
      </c>
      <c r="M13633" s="154" t="str">
        <f t="shared" si="1203"/>
        <v>Low_High_Base_Upgraded_Eutrophication Potential (EP) - kg N eq_Pre-Anoxic &amp; Swing tank; wastewater treatment unit; at updated plant - US_Without Amendment_Aerated Static Pile</v>
      </c>
    </row>
    <row r="13634" spans="1:13" s="120" customFormat="1" x14ac:dyDescent="0.25">
      <c r="A13634" s="119"/>
      <c r="B13634" s="138" t="str">
        <f t="shared" si="1206"/>
        <v>Aerated Static Pile</v>
      </c>
      <c r="C13634" s="138" t="str">
        <f t="shared" si="1207"/>
        <v>Without Amendment</v>
      </c>
      <c r="D13634" s="138" t="str">
        <f t="shared" si="1205"/>
        <v>High_Base</v>
      </c>
      <c r="E13634" s="138" t="str">
        <f t="shared" si="1208"/>
        <v>Low</v>
      </c>
      <c r="F13634" s="138" t="str">
        <f t="shared" si="1209"/>
        <v>Upgraded</v>
      </c>
      <c r="G13634" s="153"/>
      <c r="H13634" s="210">
        <v>7.4000000000000003E-3</v>
      </c>
      <c r="I13634" s="160" t="s">
        <v>53</v>
      </c>
      <c r="J13634" s="160">
        <v>1.1E-4</v>
      </c>
      <c r="K13634" s="160" t="s">
        <v>13</v>
      </c>
      <c r="L13634" s="154" t="str">
        <f>IF(OpenLCAbasic!K13634="CTUh", "Fill in Manually",IF(OR(K13634="Unit", K13634=""), "", INDEX(LookUps!$E$5:$E$12, MATCH(OpenLCAbasic!K13634,LookUps!$D$5:$D$12,0))))</f>
        <v>Eutrophication Potential (EP) - kg N eq</v>
      </c>
      <c r="M13634" s="154" t="str">
        <f t="shared" si="1203"/>
        <v>Low_High_Base_Upgraded_Eutrophication Potential (EP) - kg N eq_Wet Well and Sump Station; wastewater treatment unit; at updated plant - US_Without Amendment_Aerated Static Pile</v>
      </c>
    </row>
    <row r="13635" spans="1:13" s="120" customFormat="1" x14ac:dyDescent="0.25">
      <c r="A13635" s="119"/>
      <c r="B13635" s="138" t="str">
        <f t="shared" si="1206"/>
        <v>Aerated Static Pile</v>
      </c>
      <c r="C13635" s="138" t="str">
        <f t="shared" si="1207"/>
        <v>Without Amendment</v>
      </c>
      <c r="D13635" s="138" t="str">
        <f t="shared" si="1205"/>
        <v>High_Base</v>
      </c>
      <c r="E13635" s="138" t="str">
        <f t="shared" si="1208"/>
        <v>Low</v>
      </c>
      <c r="F13635" s="138" t="str">
        <f t="shared" si="1209"/>
        <v>Upgraded</v>
      </c>
      <c r="G13635" s="153"/>
      <c r="H13635" s="210">
        <v>6.8999999999999999E-3</v>
      </c>
      <c r="I13635" s="160" t="s">
        <v>435</v>
      </c>
      <c r="J13635" s="160">
        <v>1E-4</v>
      </c>
      <c r="K13635" s="160" t="s">
        <v>13</v>
      </c>
      <c r="L13635" s="154" t="str">
        <f>IF(OpenLCAbasic!K13635="CTUh", "Fill in Manually",IF(OR(K13635="Unit", K13635=""), "", INDEX(LookUps!$E$5:$E$12, MATCH(OpenLCAbasic!K13635,LookUps!$D$5:$D$12,0))))</f>
        <v>Eutrophication Potential (EP) - kg N eq</v>
      </c>
      <c r="M13635" s="154" t="str">
        <f t="shared" si="1203"/>
        <v>Low_High_Base_Upgraded_Eutrophication Potential (EP) - kg N eq_Biosolids composting; aerated static pile; wastewater treatment unit; at updated plant - US_Without Amendment_Aerated Static Pile</v>
      </c>
    </row>
    <row r="13636" spans="1:13" s="120" customFormat="1" x14ac:dyDescent="0.25">
      <c r="A13636" s="119"/>
      <c r="B13636" s="138" t="str">
        <f t="shared" si="1206"/>
        <v>Aerated Static Pile</v>
      </c>
      <c r="C13636" s="138" t="str">
        <f t="shared" si="1207"/>
        <v>Without Amendment</v>
      </c>
      <c r="D13636" s="138" t="str">
        <f t="shared" si="1205"/>
        <v>High_Base</v>
      </c>
      <c r="E13636" s="138" t="str">
        <f t="shared" si="1208"/>
        <v>Low</v>
      </c>
      <c r="F13636" s="138" t="str">
        <f t="shared" si="1209"/>
        <v>Upgraded</v>
      </c>
      <c r="G13636" s="153"/>
      <c r="H13636" s="210">
        <v>6.6E-3</v>
      </c>
      <c r="I13636" s="160" t="s">
        <v>60</v>
      </c>
      <c r="J13636" s="211">
        <v>9.5601799999999997E-5</v>
      </c>
      <c r="K13636" s="160" t="s">
        <v>13</v>
      </c>
      <c r="L13636" s="154" t="str">
        <f>IF(OpenLCAbasic!K13636="CTUh", "Fill in Manually",IF(OR(K13636="Unit", K13636=""), "", INDEX(LookUps!$E$5:$E$12, MATCH(OpenLCAbasic!K13636,LookUps!$D$5:$D$12,0))))</f>
        <v>Eutrophication Potential (EP) - kg N eq</v>
      </c>
      <c r="M13636" s="154" t="str">
        <f t="shared" ref="M13636:M13699" si="1210">CONCATENATE(E13636,"_",D13636,"_",F13636,"_",L13636, "_",I13636,"_", C13636,"_", B13636)</f>
        <v>Low_High_Base_Upgraded_Eutrophication Potential (EP) - kg N eq_Belt filter press; wastewater treatment unit; at updated plant - US_Without Amendment_Aerated Static Pile</v>
      </c>
    </row>
    <row r="13637" spans="1:13" s="120" customFormat="1" x14ac:dyDescent="0.25">
      <c r="A13637" s="119"/>
      <c r="B13637" s="138" t="str">
        <f t="shared" si="1206"/>
        <v>Aerated Static Pile</v>
      </c>
      <c r="C13637" s="138" t="str">
        <f t="shared" si="1207"/>
        <v>Without Amendment</v>
      </c>
      <c r="D13637" s="138" t="str">
        <f t="shared" si="1205"/>
        <v>High_Base</v>
      </c>
      <c r="E13637" s="138" t="str">
        <f t="shared" si="1208"/>
        <v>Low</v>
      </c>
      <c r="F13637" s="138" t="str">
        <f t="shared" si="1209"/>
        <v>Upgraded</v>
      </c>
      <c r="G13637" s="153"/>
      <c r="H13637" s="210">
        <v>4.1999999999999997E-3</v>
      </c>
      <c r="I13637" s="160" t="s">
        <v>57</v>
      </c>
      <c r="J13637" s="211">
        <v>6.0590300000000002E-5</v>
      </c>
      <c r="K13637" s="160" t="s">
        <v>13</v>
      </c>
      <c r="L13637" s="154" t="str">
        <f>IF(OpenLCAbasic!K13637="CTUh", "Fill in Manually",IF(OR(K13637="Unit", K13637=""), "", INDEX(LookUps!$E$5:$E$12, MATCH(OpenLCAbasic!K13637,LookUps!$D$5:$D$12,0))))</f>
        <v>Eutrophication Potential (EP) - kg N eq</v>
      </c>
      <c r="M13637" s="154" t="str">
        <f t="shared" si="1210"/>
        <v>Low_High_Base_Upgraded_Eutrophication Potential (EP) - kg N eq_Gravity Belt Thickener; wastewater treatment unit; at updated plant - US_Without Amendment_Aerated Static Pile</v>
      </c>
    </row>
    <row r="13638" spans="1:13" s="120" customFormat="1" x14ac:dyDescent="0.25">
      <c r="A13638" s="119"/>
      <c r="B13638" s="138" t="str">
        <f t="shared" si="1206"/>
        <v>Aerated Static Pile</v>
      </c>
      <c r="C13638" s="138" t="str">
        <f t="shared" si="1207"/>
        <v>Without Amendment</v>
      </c>
      <c r="D13638" s="138" t="str">
        <f t="shared" si="1205"/>
        <v>High_Base</v>
      </c>
      <c r="E13638" s="138" t="str">
        <f t="shared" si="1208"/>
        <v>Low</v>
      </c>
      <c r="F13638" s="138" t="str">
        <f t="shared" si="1209"/>
        <v>Upgraded</v>
      </c>
      <c r="G13638" s="153"/>
      <c r="H13638" s="210">
        <v>2.5999999999999999E-3</v>
      </c>
      <c r="I13638" s="160" t="s">
        <v>128</v>
      </c>
      <c r="J13638" s="211">
        <v>3.7559799999999999E-5</v>
      </c>
      <c r="K13638" s="160" t="s">
        <v>13</v>
      </c>
      <c r="L13638" s="154" t="str">
        <f>IF(OpenLCAbasic!K13638="CTUh", "Fill in Manually",IF(OR(K13638="Unit", K13638=""), "", INDEX(LookUps!$E$5:$E$12, MATCH(OpenLCAbasic!K13638,LookUps!$D$5:$D$12,0))))</f>
        <v>Eutrophication Potential (EP) - kg N eq</v>
      </c>
      <c r="M13638" s="154" t="str">
        <f t="shared" si="1210"/>
        <v>Low_High_Base_Upgraded_Eutrophication Potential (EP) - kg N eq_Wastewater collection; operation and infrastructure; m3 wastewater_Without Amendment_Aerated Static Pile</v>
      </c>
    </row>
    <row r="13639" spans="1:13" s="120" customFormat="1" x14ac:dyDescent="0.25">
      <c r="A13639" s="119"/>
      <c r="B13639" s="138" t="str">
        <f t="shared" si="1206"/>
        <v>Aerated Static Pile</v>
      </c>
      <c r="C13639" s="138" t="str">
        <f t="shared" si="1207"/>
        <v>Without Amendment</v>
      </c>
      <c r="D13639" s="138" t="str">
        <f t="shared" si="1205"/>
        <v>High_Base</v>
      </c>
      <c r="E13639" s="138" t="str">
        <f t="shared" si="1208"/>
        <v>Low</v>
      </c>
      <c r="F13639" s="138" t="str">
        <f t="shared" si="1209"/>
        <v>Upgraded</v>
      </c>
      <c r="G13639" s="153"/>
      <c r="H13639" s="210">
        <v>2.5000000000000001E-3</v>
      </c>
      <c r="I13639" s="160" t="s">
        <v>148</v>
      </c>
      <c r="J13639" s="211">
        <v>3.6874600000000001E-5</v>
      </c>
      <c r="K13639" s="160" t="s">
        <v>13</v>
      </c>
      <c r="L13639" s="154" t="str">
        <f>IF(OpenLCAbasic!K13639="CTUh", "Fill in Manually",IF(OR(K13639="Unit", K13639=""), "", INDEX(LookUps!$E$5:$E$12, MATCH(OpenLCAbasic!K13639,LookUps!$D$5:$D$12,0))))</f>
        <v>Eutrophication Potential (EP) - kg N eq</v>
      </c>
      <c r="M13639" s="154" t="str">
        <f t="shared" si="1210"/>
        <v>Low_High_Base_Upgraded_Eutrophication Potential (EP) - kg N eq_Control Building; at upgraded wastewater treatment plant - US_Without Amendment_Aerated Static Pile</v>
      </c>
    </row>
    <row r="13640" spans="1:13" s="120" customFormat="1" x14ac:dyDescent="0.25">
      <c r="A13640" s="119"/>
      <c r="B13640" s="138" t="str">
        <f t="shared" si="1206"/>
        <v>Aerated Static Pile</v>
      </c>
      <c r="C13640" s="138" t="str">
        <f t="shared" si="1207"/>
        <v>Without Amendment</v>
      </c>
      <c r="D13640" s="138" t="str">
        <f t="shared" si="1205"/>
        <v>High_Base</v>
      </c>
      <c r="E13640" s="138" t="str">
        <f t="shared" si="1208"/>
        <v>Low</v>
      </c>
      <c r="F13640" s="138" t="str">
        <f t="shared" si="1209"/>
        <v>Upgraded</v>
      </c>
      <c r="G13640" s="153"/>
      <c r="H13640" s="210">
        <v>1.1000000000000001E-3</v>
      </c>
      <c r="I13640" s="160" t="s">
        <v>59</v>
      </c>
      <c r="J13640" s="211">
        <v>1.6215700000000001E-5</v>
      </c>
      <c r="K13640" s="160" t="s">
        <v>13</v>
      </c>
      <c r="L13640" s="154" t="str">
        <f>IF(OpenLCAbasic!K13640="CTUh", "Fill in Manually",IF(OR(K13640="Unit", K13640=""), "", INDEX(LookUps!$E$5:$E$12, MATCH(OpenLCAbasic!K13640,LookUps!$D$5:$D$12,0))))</f>
        <v>Eutrophication Potential (EP) - kg N eq</v>
      </c>
      <c r="M13640" s="154" t="str">
        <f t="shared" si="1210"/>
        <v>Low_High_Base_Upgraded_Eutrophication Potential (EP) - kg N eq_Blend Tank; wastewater treatment unit; at updated plant - US_Without Amendment_Aerated Static Pile</v>
      </c>
    </row>
    <row r="13641" spans="1:13" s="120" customFormat="1" x14ac:dyDescent="0.25">
      <c r="A13641" s="119"/>
      <c r="B13641" s="138" t="str">
        <f t="shared" si="1206"/>
        <v>Aerated Static Pile</v>
      </c>
      <c r="C13641" s="138" t="str">
        <f t="shared" si="1207"/>
        <v>Without Amendment</v>
      </c>
      <c r="D13641" s="138" t="str">
        <f t="shared" si="1205"/>
        <v>High_Base</v>
      </c>
      <c r="E13641" s="138" t="str">
        <f t="shared" si="1208"/>
        <v>Low</v>
      </c>
      <c r="F13641" s="138" t="str">
        <f t="shared" si="1209"/>
        <v>Upgraded</v>
      </c>
      <c r="G13641" s="153"/>
      <c r="H13641" s="210">
        <v>5.0000000000000001E-4</v>
      </c>
      <c r="I13641" s="160" t="s">
        <v>168</v>
      </c>
      <c r="J13641" s="211">
        <v>7.7567199999999995E-6</v>
      </c>
      <c r="K13641" s="160" t="s">
        <v>13</v>
      </c>
      <c r="L13641" s="154" t="str">
        <f>IF(OpenLCAbasic!K13641="CTUh", "Fill in Manually",IF(OR(K13641="Unit", K13641=""), "", INDEX(LookUps!$E$5:$E$12, MATCH(OpenLCAbasic!K13641,LookUps!$D$5:$D$12,0))))</f>
        <v>Eutrophication Potential (EP) - kg N eq</v>
      </c>
      <c r="M13641" s="154" t="str">
        <f t="shared" si="1210"/>
        <v>Low_High_Base_Upgraded_Eutrophication Potential (EP) - kg N eq_ClearCove SCP; wastewater treatment unit; at updated plant - US_Without Amendment_Aerated Static Pile</v>
      </c>
    </row>
    <row r="13642" spans="1:13" s="120" customFormat="1" x14ac:dyDescent="0.25">
      <c r="A13642" s="119"/>
      <c r="B13642" s="138" t="str">
        <f t="shared" si="1206"/>
        <v>Aerated Static Pile</v>
      </c>
      <c r="C13642" s="138" t="str">
        <f t="shared" si="1207"/>
        <v>Without Amendment</v>
      </c>
      <c r="D13642" s="138" t="str">
        <f t="shared" si="1205"/>
        <v>High_Base</v>
      </c>
      <c r="E13642" s="138" t="str">
        <f t="shared" si="1208"/>
        <v>Low</v>
      </c>
      <c r="F13642" s="138" t="str">
        <f t="shared" si="1209"/>
        <v>Upgraded</v>
      </c>
      <c r="G13642" s="153"/>
      <c r="H13642" s="210">
        <v>-9.4799999999999995E-2</v>
      </c>
      <c r="I13642" s="160" t="s">
        <v>149</v>
      </c>
      <c r="J13642" s="160">
        <v>-1.3799999999999999E-3</v>
      </c>
      <c r="K13642" s="160" t="s">
        <v>13</v>
      </c>
      <c r="L13642" s="154" t="str">
        <f>IF(OpenLCAbasic!K13642="CTUh", "Fill in Manually",IF(OR(K13642="Unit", K13642=""), "", INDEX(LookUps!$E$5:$E$12, MATCH(OpenLCAbasic!K13642,LookUps!$D$5:$D$12,0))))</f>
        <v>Eutrophication Potential (EP) - kg N eq</v>
      </c>
      <c r="M13642" s="154" t="str">
        <f t="shared" si="1210"/>
        <v>Low_High_Base_Upgraded_Eutrophication Potential (EP) - kg N eq_Anaerobic Digestion; wastewater treatment unit; at updated plant - US_Without Amendment_Aerated Static Pile</v>
      </c>
    </row>
    <row r="13643" spans="1:13" s="120" customFormat="1" x14ac:dyDescent="0.25">
      <c r="A13643" s="119"/>
      <c r="B13643" s="138" t="str">
        <f t="shared" si="1206"/>
        <v/>
      </c>
      <c r="C13643" s="138" t="str">
        <f t="shared" si="1207"/>
        <v/>
      </c>
      <c r="D13643" s="138" t="str">
        <f t="shared" si="1205"/>
        <v/>
      </c>
      <c r="E13643" s="138" t="str">
        <f t="shared" si="1208"/>
        <v/>
      </c>
      <c r="F13643" s="138" t="str">
        <f t="shared" si="1209"/>
        <v/>
      </c>
      <c r="G13643" s="153" t="s">
        <v>51</v>
      </c>
      <c r="H13643" s="160"/>
      <c r="I13643" s="160" t="s">
        <v>47</v>
      </c>
      <c r="J13643" s="160" t="s">
        <v>52</v>
      </c>
      <c r="K13643" s="160" t="s">
        <v>27</v>
      </c>
      <c r="L13643" s="154" t="str">
        <f>IF(OpenLCAbasic!K13643="CTUh", "Fill in Manually",IF(OR(K13643="Unit", K13643=""), "", INDEX(LookUps!$E$5:$E$12, MATCH(OpenLCAbasic!K13643,LookUps!$D$5:$D$12,0))))</f>
        <v/>
      </c>
      <c r="M13643" s="154" t="str">
        <f t="shared" si="1210"/>
        <v>____Process__</v>
      </c>
    </row>
    <row r="13644" spans="1:13" s="120" customFormat="1" x14ac:dyDescent="0.25">
      <c r="A13644" s="119"/>
      <c r="B13644" s="138" t="str">
        <f t="shared" si="1206"/>
        <v>Aerated Static Pile</v>
      </c>
      <c r="C13644" s="138" t="str">
        <f t="shared" si="1207"/>
        <v>Without Amendment</v>
      </c>
      <c r="D13644" s="138" t="str">
        <f t="shared" si="1205"/>
        <v>High_Base</v>
      </c>
      <c r="E13644" s="138" t="str">
        <f t="shared" si="1208"/>
        <v>Low</v>
      </c>
      <c r="F13644" s="138" t="str">
        <f t="shared" si="1209"/>
        <v>Upgraded</v>
      </c>
      <c r="G13644" s="153"/>
      <c r="H13644" s="210">
        <v>21.061599999999999</v>
      </c>
      <c r="I13644" s="160" t="s">
        <v>167</v>
      </c>
      <c r="J13644" s="160">
        <v>0.11719</v>
      </c>
      <c r="K13644" s="160" t="s">
        <v>14</v>
      </c>
      <c r="L13644" s="154" t="str">
        <f>IF(OpenLCAbasic!K13644="CTUh", "Fill in Manually",IF(OR(K13644="Unit", K13644=""), "", INDEX(LookUps!$E$5:$E$12, MATCH(OpenLCAbasic!K13644,LookUps!$D$5:$D$12,0))))</f>
        <v>Fossil Depletion Potential (FDP) - kg oil eq</v>
      </c>
      <c r="M13644" s="154" t="str">
        <f t="shared" si="1210"/>
        <v>Low_High_Base_Upgraded_Fossil Depletion Potential (FDP) - kg oil eq_Waste Receiving and Holding; wastewater treatment unit; at updated plant - US_Without Amendment_Aerated Static Pile</v>
      </c>
    </row>
    <row r="13645" spans="1:13" s="120" customFormat="1" x14ac:dyDescent="0.25">
      <c r="A13645" s="119"/>
      <c r="B13645" s="138" t="str">
        <f t="shared" si="1206"/>
        <v>Aerated Static Pile</v>
      </c>
      <c r="C13645" s="138" t="str">
        <f t="shared" si="1207"/>
        <v>Without Amendment</v>
      </c>
      <c r="D13645" s="138" t="str">
        <f t="shared" si="1205"/>
        <v>High_Base</v>
      </c>
      <c r="E13645" s="138" t="str">
        <f t="shared" si="1208"/>
        <v>Low</v>
      </c>
      <c r="F13645" s="138" t="str">
        <f t="shared" si="1209"/>
        <v>Upgraded</v>
      </c>
      <c r="G13645" s="153"/>
      <c r="H13645" s="210">
        <v>11.428699999999999</v>
      </c>
      <c r="I13645" s="160" t="s">
        <v>55</v>
      </c>
      <c r="J13645" s="160">
        <v>6.3589999999999994E-2</v>
      </c>
      <c r="K13645" s="160" t="s">
        <v>14</v>
      </c>
      <c r="L13645" s="154" t="str">
        <f>IF(OpenLCAbasic!K13645="CTUh", "Fill in Manually",IF(OR(K13645="Unit", K13645=""), "", INDEX(LookUps!$E$5:$E$12, MATCH(OpenLCAbasic!K13645,LookUps!$D$5:$D$12,0))))</f>
        <v>Fossil Depletion Potential (FDP) - kg oil eq</v>
      </c>
      <c r="M13645" s="154" t="str">
        <f t="shared" si="1210"/>
        <v>Low_High_Base_Upgraded_Fossil Depletion Potential (FDP) - kg oil eq_Aeration Tanks; wastewater treatment unit; at updated plant - US_Without Amendment_Aerated Static Pile</v>
      </c>
    </row>
    <row r="13646" spans="1:13" s="120" customFormat="1" x14ac:dyDescent="0.25">
      <c r="A13646" s="119"/>
      <c r="B13646" s="138" t="str">
        <f t="shared" si="1206"/>
        <v>Aerated Static Pile</v>
      </c>
      <c r="C13646" s="138" t="str">
        <f t="shared" si="1207"/>
        <v>Without Amendment</v>
      </c>
      <c r="D13646" s="138" t="str">
        <f t="shared" si="1205"/>
        <v>High_Base</v>
      </c>
      <c r="E13646" s="138" t="str">
        <f t="shared" si="1208"/>
        <v>Low</v>
      </c>
      <c r="F13646" s="138" t="str">
        <f t="shared" si="1209"/>
        <v>Upgraded</v>
      </c>
      <c r="G13646" s="153"/>
      <c r="H13646" s="210">
        <v>3.7831999999999999</v>
      </c>
      <c r="I13646" s="160" t="s">
        <v>54</v>
      </c>
      <c r="J13646" s="160">
        <v>2.1049999999999999E-2</v>
      </c>
      <c r="K13646" s="160" t="s">
        <v>14</v>
      </c>
      <c r="L13646" s="154" t="str">
        <f>IF(OpenLCAbasic!K13646="CTUh", "Fill in Manually",IF(OR(K13646="Unit", K13646=""), "", INDEX(LookUps!$E$5:$E$12, MATCH(OpenLCAbasic!K13646,LookUps!$D$5:$D$12,0))))</f>
        <v>Fossil Depletion Potential (FDP) - kg oil eq</v>
      </c>
      <c r="M13646" s="154" t="str">
        <f t="shared" si="1210"/>
        <v>Low_High_Base_Upgraded_Fossil Depletion Potential (FDP) - kg oil eq_Clear Cove Primary Clarification; wastewater treatment unit; at updated plant - US_Without Amendment_Aerated Static Pile</v>
      </c>
    </row>
    <row r="13647" spans="1:13" s="120" customFormat="1" x14ac:dyDescent="0.25">
      <c r="A13647" s="119"/>
      <c r="B13647" s="138" t="str">
        <f t="shared" si="1206"/>
        <v>Aerated Static Pile</v>
      </c>
      <c r="C13647" s="138" t="str">
        <f t="shared" si="1207"/>
        <v>Without Amendment</v>
      </c>
      <c r="D13647" s="138" t="str">
        <f t="shared" si="1205"/>
        <v>High_Base</v>
      </c>
      <c r="E13647" s="138" t="str">
        <f t="shared" si="1208"/>
        <v>Low</v>
      </c>
      <c r="F13647" s="138" t="str">
        <f t="shared" si="1209"/>
        <v>Upgraded</v>
      </c>
      <c r="G13647" s="153"/>
      <c r="H13647" s="210">
        <v>2.8828</v>
      </c>
      <c r="I13647" s="160" t="s">
        <v>58</v>
      </c>
      <c r="J13647" s="160">
        <v>1.6039999999999999E-2</v>
      </c>
      <c r="K13647" s="160" t="s">
        <v>14</v>
      </c>
      <c r="L13647" s="154" t="str">
        <f>IF(OpenLCAbasic!K13647="CTUh", "Fill in Manually",IF(OR(K13647="Unit", K13647=""), "", INDEX(LookUps!$E$5:$E$12, MATCH(OpenLCAbasic!K13647,LookUps!$D$5:$D$12,0))))</f>
        <v>Fossil Depletion Potential (FDP) - kg oil eq</v>
      </c>
      <c r="M13647" s="154" t="str">
        <f t="shared" si="1210"/>
        <v>Low_High_Base_Upgraded_Fossil Depletion Potential (FDP) - kg oil eq_Pre-Anoxic &amp; Swing tank; wastewater treatment unit; at updated plant - US_Without Amendment_Aerated Static Pile</v>
      </c>
    </row>
    <row r="13648" spans="1:13" s="120" customFormat="1" x14ac:dyDescent="0.25">
      <c r="A13648" s="119"/>
      <c r="B13648" s="138" t="str">
        <f t="shared" si="1206"/>
        <v>Aerated Static Pile</v>
      </c>
      <c r="C13648" s="138" t="str">
        <f t="shared" si="1207"/>
        <v>Without Amendment</v>
      </c>
      <c r="D13648" s="138" t="str">
        <f t="shared" si="1205"/>
        <v>High_Base</v>
      </c>
      <c r="E13648" s="138" t="str">
        <f t="shared" si="1208"/>
        <v>Low</v>
      </c>
      <c r="F13648" s="138" t="str">
        <f t="shared" si="1209"/>
        <v>Upgraded</v>
      </c>
      <c r="G13648" s="153"/>
      <c r="H13648" s="210">
        <v>2.7115999999999998</v>
      </c>
      <c r="I13648" s="160" t="s">
        <v>147</v>
      </c>
      <c r="J13648" s="160">
        <v>1.5089999999999999E-2</v>
      </c>
      <c r="K13648" s="160" t="s">
        <v>14</v>
      </c>
      <c r="L13648" s="154" t="str">
        <f>IF(OpenLCAbasic!K13648="CTUh", "Fill in Manually",IF(OR(K13648="Unit", K13648=""), "", INDEX(LookUps!$E$5:$E$12, MATCH(OpenLCAbasic!K13648,LookUps!$D$5:$D$12,0))))</f>
        <v>Fossil Depletion Potential (FDP) - kg oil eq</v>
      </c>
      <c r="M13648" s="154" t="str">
        <f t="shared" si="1210"/>
        <v>Low_High_Base_Upgraded_Fossil Depletion Potential (FDP) - kg oil eq_Influent Pump Station; wastewater treatment unit; at updated plant - US_Without Amendment_Aerated Static Pile</v>
      </c>
    </row>
    <row r="13649" spans="1:13" s="120" customFormat="1" x14ac:dyDescent="0.25">
      <c r="A13649" s="119"/>
      <c r="B13649" s="138" t="str">
        <f t="shared" si="1206"/>
        <v>Aerated Static Pile</v>
      </c>
      <c r="C13649" s="138" t="str">
        <f t="shared" si="1207"/>
        <v>Without Amendment</v>
      </c>
      <c r="D13649" s="138" t="str">
        <f t="shared" si="1205"/>
        <v>High_Base</v>
      </c>
      <c r="E13649" s="138" t="str">
        <f t="shared" si="1208"/>
        <v>Low</v>
      </c>
      <c r="F13649" s="138" t="str">
        <f t="shared" si="1209"/>
        <v>Upgraded</v>
      </c>
      <c r="G13649" s="153"/>
      <c r="H13649" s="210">
        <v>2.2444999999999999</v>
      </c>
      <c r="I13649" s="160" t="s">
        <v>53</v>
      </c>
      <c r="J13649" s="160">
        <v>1.2489999999999999E-2</v>
      </c>
      <c r="K13649" s="160" t="s">
        <v>14</v>
      </c>
      <c r="L13649" s="154" t="str">
        <f>IF(OpenLCAbasic!K13649="CTUh", "Fill in Manually",IF(OR(K13649="Unit", K13649=""), "", INDEX(LookUps!$E$5:$E$12, MATCH(OpenLCAbasic!K13649,LookUps!$D$5:$D$12,0))))</f>
        <v>Fossil Depletion Potential (FDP) - kg oil eq</v>
      </c>
      <c r="M13649" s="154" t="str">
        <f t="shared" si="1210"/>
        <v>Low_High_Base_Upgraded_Fossil Depletion Potential (FDP) - kg oil eq_Wet Well and Sump Station; wastewater treatment unit; at updated plant - US_Without Amendment_Aerated Static Pile</v>
      </c>
    </row>
    <row r="13650" spans="1:13" s="120" customFormat="1" x14ac:dyDescent="0.25">
      <c r="A13650" s="119"/>
      <c r="B13650" s="138" t="str">
        <f t="shared" si="1206"/>
        <v>Aerated Static Pile</v>
      </c>
      <c r="C13650" s="138" t="str">
        <f t="shared" si="1207"/>
        <v>Without Amendment</v>
      </c>
      <c r="D13650" s="138" t="str">
        <f t="shared" si="1205"/>
        <v>High_Base</v>
      </c>
      <c r="E13650" s="138" t="str">
        <f t="shared" si="1208"/>
        <v>Low</v>
      </c>
      <c r="F13650" s="138" t="str">
        <f t="shared" si="1209"/>
        <v>Upgraded</v>
      </c>
      <c r="G13650" s="153"/>
      <c r="H13650" s="210">
        <v>2.1461999999999999</v>
      </c>
      <c r="I13650" s="160" t="s">
        <v>435</v>
      </c>
      <c r="J13650" s="160">
        <v>1.1939999999999999E-2</v>
      </c>
      <c r="K13650" s="160" t="s">
        <v>14</v>
      </c>
      <c r="L13650" s="154" t="str">
        <f>IF(OpenLCAbasic!K13650="CTUh", "Fill in Manually",IF(OR(K13650="Unit", K13650=""), "", INDEX(LookUps!$E$5:$E$12, MATCH(OpenLCAbasic!K13650,LookUps!$D$5:$D$12,0))))</f>
        <v>Fossil Depletion Potential (FDP) - kg oil eq</v>
      </c>
      <c r="M13650" s="154" t="str">
        <f t="shared" si="1210"/>
        <v>Low_High_Base_Upgraded_Fossil Depletion Potential (FDP) - kg oil eq_Biosolids composting; aerated static pile; wastewater treatment unit; at updated plant - US_Without Amendment_Aerated Static Pile</v>
      </c>
    </row>
    <row r="13651" spans="1:13" s="120" customFormat="1" x14ac:dyDescent="0.25">
      <c r="A13651" s="119"/>
      <c r="B13651" s="138" t="str">
        <f t="shared" si="1206"/>
        <v>Aerated Static Pile</v>
      </c>
      <c r="C13651" s="138" t="str">
        <f t="shared" si="1207"/>
        <v>Without Amendment</v>
      </c>
      <c r="D13651" s="138" t="str">
        <f t="shared" si="1205"/>
        <v>High_Base</v>
      </c>
      <c r="E13651" s="138" t="str">
        <f t="shared" si="1208"/>
        <v>Low</v>
      </c>
      <c r="F13651" s="138" t="str">
        <f t="shared" si="1209"/>
        <v>Upgraded</v>
      </c>
      <c r="G13651" s="153"/>
      <c r="H13651" s="210">
        <v>1.9722999999999999</v>
      </c>
      <c r="I13651" s="160" t="s">
        <v>60</v>
      </c>
      <c r="J13651" s="160">
        <v>1.0970000000000001E-2</v>
      </c>
      <c r="K13651" s="160" t="s">
        <v>14</v>
      </c>
      <c r="L13651" s="154" t="str">
        <f>IF(OpenLCAbasic!K13651="CTUh", "Fill in Manually",IF(OR(K13651="Unit", K13651=""), "", INDEX(LookUps!$E$5:$E$12, MATCH(OpenLCAbasic!K13651,LookUps!$D$5:$D$12,0))))</f>
        <v>Fossil Depletion Potential (FDP) - kg oil eq</v>
      </c>
      <c r="M13651" s="154" t="str">
        <f t="shared" si="1210"/>
        <v>Low_High_Base_Upgraded_Fossil Depletion Potential (FDP) - kg oil eq_Belt filter press; wastewater treatment unit; at updated plant - US_Without Amendment_Aerated Static Pile</v>
      </c>
    </row>
    <row r="13652" spans="1:13" s="120" customFormat="1" x14ac:dyDescent="0.25">
      <c r="A13652" s="119"/>
      <c r="B13652" s="138" t="str">
        <f t="shared" si="1206"/>
        <v>Aerated Static Pile</v>
      </c>
      <c r="C13652" s="138" t="str">
        <f t="shared" si="1207"/>
        <v>Without Amendment</v>
      </c>
      <c r="D13652" s="138" t="str">
        <f t="shared" si="1205"/>
        <v>High_Base</v>
      </c>
      <c r="E13652" s="138" t="str">
        <f t="shared" si="1208"/>
        <v>Low</v>
      </c>
      <c r="F13652" s="138" t="str">
        <f t="shared" si="1209"/>
        <v>Upgraded</v>
      </c>
      <c r="G13652" s="153"/>
      <c r="H13652" s="210">
        <v>1.2430000000000001</v>
      </c>
      <c r="I13652" s="160" t="s">
        <v>57</v>
      </c>
      <c r="J13652" s="160">
        <v>6.9199999999999999E-3</v>
      </c>
      <c r="K13652" s="160" t="s">
        <v>14</v>
      </c>
      <c r="L13652" s="154" t="str">
        <f>IF(OpenLCAbasic!K13652="CTUh", "Fill in Manually",IF(OR(K13652="Unit", K13652=""), "", INDEX(LookUps!$E$5:$E$12, MATCH(OpenLCAbasic!K13652,LookUps!$D$5:$D$12,0))))</f>
        <v>Fossil Depletion Potential (FDP) - kg oil eq</v>
      </c>
      <c r="M13652" s="154" t="str">
        <f t="shared" si="1210"/>
        <v>Low_High_Base_Upgraded_Fossil Depletion Potential (FDP) - kg oil eq_Gravity Belt Thickener; wastewater treatment unit; at updated plant - US_Without Amendment_Aerated Static Pile</v>
      </c>
    </row>
    <row r="13653" spans="1:13" s="120" customFormat="1" x14ac:dyDescent="0.25">
      <c r="A13653" s="119"/>
      <c r="B13653" s="138" t="str">
        <f t="shared" si="1206"/>
        <v>Aerated Static Pile</v>
      </c>
      <c r="C13653" s="138" t="str">
        <f t="shared" si="1207"/>
        <v>Without Amendment</v>
      </c>
      <c r="D13653" s="138" t="str">
        <f t="shared" si="1205"/>
        <v>High_Base</v>
      </c>
      <c r="E13653" s="138" t="str">
        <f t="shared" si="1208"/>
        <v>Low</v>
      </c>
      <c r="F13653" s="138" t="str">
        <f t="shared" si="1209"/>
        <v>Upgraded</v>
      </c>
      <c r="G13653" s="153"/>
      <c r="H13653" s="210">
        <v>0.8085</v>
      </c>
      <c r="I13653" s="160" t="s">
        <v>128</v>
      </c>
      <c r="J13653" s="160">
        <v>4.4999999999999997E-3</v>
      </c>
      <c r="K13653" s="160" t="s">
        <v>14</v>
      </c>
      <c r="L13653" s="154" t="str">
        <f>IF(OpenLCAbasic!K13653="CTUh", "Fill in Manually",IF(OR(K13653="Unit", K13653=""), "", INDEX(LookUps!$E$5:$E$12, MATCH(OpenLCAbasic!K13653,LookUps!$D$5:$D$12,0))))</f>
        <v>Fossil Depletion Potential (FDP) - kg oil eq</v>
      </c>
      <c r="M13653" s="154" t="str">
        <f t="shared" si="1210"/>
        <v>Low_High_Base_Upgraded_Fossil Depletion Potential (FDP) - kg oil eq_Wastewater collection; operation and infrastructure; m3 wastewater_Without Amendment_Aerated Static Pile</v>
      </c>
    </row>
    <row r="13654" spans="1:13" s="120" customFormat="1" x14ac:dyDescent="0.25">
      <c r="A13654" s="119"/>
      <c r="B13654" s="138" t="str">
        <f t="shared" si="1206"/>
        <v>Aerated Static Pile</v>
      </c>
      <c r="C13654" s="138" t="str">
        <f t="shared" si="1207"/>
        <v>Without Amendment</v>
      </c>
      <c r="D13654" s="138" t="str">
        <f t="shared" si="1205"/>
        <v>High_Base</v>
      </c>
      <c r="E13654" s="138" t="str">
        <f t="shared" si="1208"/>
        <v>Low</v>
      </c>
      <c r="F13654" s="138" t="str">
        <f t="shared" si="1209"/>
        <v>Upgraded</v>
      </c>
      <c r="G13654" s="153"/>
      <c r="H13654" s="210">
        <v>0.50280000000000002</v>
      </c>
      <c r="I13654" s="160" t="s">
        <v>148</v>
      </c>
      <c r="J13654" s="160">
        <v>2.8E-3</v>
      </c>
      <c r="K13654" s="160" t="s">
        <v>14</v>
      </c>
      <c r="L13654" s="154" t="str">
        <f>IF(OpenLCAbasic!K13654="CTUh", "Fill in Manually",IF(OR(K13654="Unit", K13654=""), "", INDEX(LookUps!$E$5:$E$12, MATCH(OpenLCAbasic!K13654,LookUps!$D$5:$D$12,0))))</f>
        <v>Fossil Depletion Potential (FDP) - kg oil eq</v>
      </c>
      <c r="M13654" s="154" t="str">
        <f t="shared" si="1210"/>
        <v>Low_High_Base_Upgraded_Fossil Depletion Potential (FDP) - kg oil eq_Control Building; at upgraded wastewater treatment plant - US_Without Amendment_Aerated Static Pile</v>
      </c>
    </row>
    <row r="13655" spans="1:13" s="120" customFormat="1" x14ac:dyDescent="0.25">
      <c r="A13655" s="119"/>
      <c r="B13655" s="138" t="str">
        <f t="shared" si="1206"/>
        <v>Aerated Static Pile</v>
      </c>
      <c r="C13655" s="138" t="str">
        <f t="shared" si="1207"/>
        <v>Without Amendment</v>
      </c>
      <c r="D13655" s="138" t="str">
        <f t="shared" si="1205"/>
        <v>High_Base</v>
      </c>
      <c r="E13655" s="138" t="str">
        <f t="shared" si="1208"/>
        <v>Low</v>
      </c>
      <c r="F13655" s="138" t="str">
        <f t="shared" si="1209"/>
        <v>Upgraded</v>
      </c>
      <c r="G13655" s="153"/>
      <c r="H13655" s="210">
        <v>0.42480000000000001</v>
      </c>
      <c r="I13655" s="160" t="s">
        <v>48</v>
      </c>
      <c r="J13655" s="160">
        <v>2.3600000000000001E-3</v>
      </c>
      <c r="K13655" s="160" t="s">
        <v>14</v>
      </c>
      <c r="L13655" s="154" t="str">
        <f>IF(OpenLCAbasic!K13655="CTUh", "Fill in Manually",IF(OR(K13655="Unit", K13655=""), "", INDEX(LookUps!$E$5:$E$12, MATCH(OpenLCAbasic!K13655,LookUps!$D$5:$D$12,0))))</f>
        <v>Fossil Depletion Potential (FDP) - kg oil eq</v>
      </c>
      <c r="M13655" s="154" t="str">
        <f t="shared" si="1210"/>
        <v>Low_High_Base_Upgraded_Fossil Depletion Potential (FDP) - kg oil eq_Effluent release; wastewater treatment unit; at surface water; m3 wastewater - US_Without Amendment_Aerated Static Pile</v>
      </c>
    </row>
    <row r="13656" spans="1:13" s="120" customFormat="1" x14ac:dyDescent="0.25">
      <c r="A13656" s="119"/>
      <c r="B13656" s="138" t="str">
        <f t="shared" si="1206"/>
        <v>Aerated Static Pile</v>
      </c>
      <c r="C13656" s="138" t="str">
        <f t="shared" si="1207"/>
        <v>Without Amendment</v>
      </c>
      <c r="D13656" s="138" t="str">
        <f t="shared" si="1205"/>
        <v>High_Base</v>
      </c>
      <c r="E13656" s="138" t="str">
        <f t="shared" si="1208"/>
        <v>Low</v>
      </c>
      <c r="F13656" s="138" t="str">
        <f t="shared" si="1209"/>
        <v>Upgraded</v>
      </c>
      <c r="G13656" s="153"/>
      <c r="H13656" s="210">
        <v>0.34499999999999997</v>
      </c>
      <c r="I13656" s="160" t="s">
        <v>59</v>
      </c>
      <c r="J13656" s="160">
        <v>1.92E-3</v>
      </c>
      <c r="K13656" s="160" t="s">
        <v>14</v>
      </c>
      <c r="L13656" s="154" t="str">
        <f>IF(OpenLCAbasic!K13656="CTUh", "Fill in Manually",IF(OR(K13656="Unit", K13656=""), "", INDEX(LookUps!$E$5:$E$12, MATCH(OpenLCAbasic!K13656,LookUps!$D$5:$D$12,0))))</f>
        <v>Fossil Depletion Potential (FDP) - kg oil eq</v>
      </c>
      <c r="M13656" s="154" t="str">
        <f t="shared" si="1210"/>
        <v>Low_High_Base_Upgraded_Fossil Depletion Potential (FDP) - kg oil eq_Blend Tank; wastewater treatment unit; at updated plant - US_Without Amendment_Aerated Static Pile</v>
      </c>
    </row>
    <row r="13657" spans="1:13" s="120" customFormat="1" x14ac:dyDescent="0.25">
      <c r="A13657" s="119"/>
      <c r="B13657" s="138" t="str">
        <f t="shared" si="1206"/>
        <v>Aerated Static Pile</v>
      </c>
      <c r="C13657" s="138" t="str">
        <f t="shared" si="1207"/>
        <v>Without Amendment</v>
      </c>
      <c r="D13657" s="138" t="str">
        <f t="shared" ref="D13657:D13720" si="1211">IF(ISNUMBER($J13657),"High_Base","")</f>
        <v>High_Base</v>
      </c>
      <c r="E13657" s="138" t="str">
        <f t="shared" si="1208"/>
        <v>Low</v>
      </c>
      <c r="F13657" s="138" t="str">
        <f t="shared" si="1209"/>
        <v>Upgraded</v>
      </c>
      <c r="G13657" s="153"/>
      <c r="H13657" s="210">
        <v>0.16439999999999999</v>
      </c>
      <c r="I13657" s="160" t="s">
        <v>168</v>
      </c>
      <c r="J13657" s="160">
        <v>9.1E-4</v>
      </c>
      <c r="K13657" s="160" t="s">
        <v>14</v>
      </c>
      <c r="L13657" s="154" t="str">
        <f>IF(OpenLCAbasic!K13657="CTUh", "Fill in Manually",IF(OR(K13657="Unit", K13657=""), "", INDEX(LookUps!$E$5:$E$12, MATCH(OpenLCAbasic!K13657,LookUps!$D$5:$D$12,0))))</f>
        <v>Fossil Depletion Potential (FDP) - kg oil eq</v>
      </c>
      <c r="M13657" s="154" t="str">
        <f t="shared" si="1210"/>
        <v>Low_High_Base_Upgraded_Fossil Depletion Potential (FDP) - kg oil eq_ClearCove SCP; wastewater treatment unit; at updated plant - US_Without Amendment_Aerated Static Pile</v>
      </c>
    </row>
    <row r="13658" spans="1:13" s="120" customFormat="1" x14ac:dyDescent="0.25">
      <c r="A13658" s="119"/>
      <c r="B13658" s="138" t="str">
        <f t="shared" si="1206"/>
        <v>Aerated Static Pile</v>
      </c>
      <c r="C13658" s="138" t="str">
        <f t="shared" si="1207"/>
        <v>Without Amendment</v>
      </c>
      <c r="D13658" s="138" t="str">
        <f t="shared" si="1211"/>
        <v>High_Base</v>
      </c>
      <c r="E13658" s="138" t="str">
        <f t="shared" si="1208"/>
        <v>Low</v>
      </c>
      <c r="F13658" s="138" t="str">
        <f t="shared" si="1209"/>
        <v>Upgraded</v>
      </c>
      <c r="G13658" s="153"/>
      <c r="H13658" s="210">
        <v>-1.4899</v>
      </c>
      <c r="I13658" s="160" t="s">
        <v>62</v>
      </c>
      <c r="J13658" s="160">
        <v>-8.2900000000000005E-3</v>
      </c>
      <c r="K13658" s="160" t="s">
        <v>14</v>
      </c>
      <c r="L13658" s="154" t="str">
        <f>IF(OpenLCAbasic!K13658="CTUh", "Fill in Manually",IF(OR(K13658="Unit", K13658=""), "", INDEX(LookUps!$E$5:$E$12, MATCH(OpenLCAbasic!K13658,LookUps!$D$5:$D$12,0))))</f>
        <v>Fossil Depletion Potential (FDP) - kg oil eq</v>
      </c>
      <c r="M13658" s="154" t="str">
        <f t="shared" si="1210"/>
        <v>Low_High_Base_Upgraded_Fossil Depletion Potential (FDP) - kg oil eq_Land application of compost; wastewater treatment unit; at updated plant - US_Without Amendment_Aerated Static Pile</v>
      </c>
    </row>
    <row r="13659" spans="1:13" s="120" customFormat="1" x14ac:dyDescent="0.25">
      <c r="A13659" s="119"/>
      <c r="B13659" s="138" t="str">
        <f t="shared" si="1206"/>
        <v>Aerated Static Pile</v>
      </c>
      <c r="C13659" s="138" t="str">
        <f t="shared" si="1207"/>
        <v>Without Amendment</v>
      </c>
      <c r="D13659" s="138" t="str">
        <f t="shared" si="1211"/>
        <v>High_Base</v>
      </c>
      <c r="E13659" s="138" t="str">
        <f t="shared" si="1208"/>
        <v>Low</v>
      </c>
      <c r="F13659" s="138" t="str">
        <f t="shared" si="1209"/>
        <v>Upgraded</v>
      </c>
      <c r="G13659" s="153"/>
      <c r="H13659" s="210">
        <v>-51.229399999999998</v>
      </c>
      <c r="I13659" s="160" t="s">
        <v>149</v>
      </c>
      <c r="J13659" s="160">
        <v>-0.28505000000000003</v>
      </c>
      <c r="K13659" s="160" t="s">
        <v>14</v>
      </c>
      <c r="L13659" s="154" t="str">
        <f>IF(OpenLCAbasic!K13659="CTUh", "Fill in Manually",IF(OR(K13659="Unit", K13659=""), "", INDEX(LookUps!$E$5:$E$12, MATCH(OpenLCAbasic!K13659,LookUps!$D$5:$D$12,0))))</f>
        <v>Fossil Depletion Potential (FDP) - kg oil eq</v>
      </c>
      <c r="M13659" s="154" t="str">
        <f t="shared" si="1210"/>
        <v>Low_High_Base_Upgraded_Fossil Depletion Potential (FDP) - kg oil eq_Anaerobic Digestion; wastewater treatment unit; at updated plant - US_Without Amendment_Aerated Static Pile</v>
      </c>
    </row>
    <row r="13660" spans="1:13" s="120" customFormat="1" x14ac:dyDescent="0.25">
      <c r="A13660" s="119"/>
      <c r="B13660" s="138" t="str">
        <f t="shared" si="1206"/>
        <v/>
      </c>
      <c r="C13660" s="138" t="str">
        <f t="shared" si="1207"/>
        <v/>
      </c>
      <c r="D13660" s="138" t="str">
        <f t="shared" si="1211"/>
        <v/>
      </c>
      <c r="E13660" s="138" t="str">
        <f t="shared" si="1208"/>
        <v/>
      </c>
      <c r="F13660" s="138" t="str">
        <f t="shared" si="1209"/>
        <v/>
      </c>
      <c r="G13660" s="153" t="s">
        <v>51</v>
      </c>
      <c r="H13660" s="160"/>
      <c r="I13660" s="160" t="s">
        <v>47</v>
      </c>
      <c r="J13660" s="160" t="s">
        <v>52</v>
      </c>
      <c r="K13660" s="160" t="s">
        <v>27</v>
      </c>
      <c r="L13660" s="154" t="str">
        <f>IF(OpenLCAbasic!K13660="CTUh", "Fill in Manually",IF(OR(K13660="Unit", K13660=""), "", INDEX(LookUps!$E$5:$E$12, MATCH(OpenLCAbasic!K13660,LookUps!$D$5:$D$12,0))))</f>
        <v/>
      </c>
      <c r="M13660" s="154" t="str">
        <f t="shared" si="1210"/>
        <v>____Process__</v>
      </c>
    </row>
    <row r="13661" spans="1:13" s="120" customFormat="1" x14ac:dyDescent="0.25">
      <c r="A13661" s="119"/>
      <c r="B13661" s="138" t="str">
        <f t="shared" si="1206"/>
        <v>Aerated Static Pile</v>
      </c>
      <c r="C13661" s="138" t="str">
        <f t="shared" si="1207"/>
        <v>Without Amendment</v>
      </c>
      <c r="D13661" s="138" t="str">
        <f t="shared" si="1211"/>
        <v>High_Base</v>
      </c>
      <c r="E13661" s="138" t="str">
        <f t="shared" si="1208"/>
        <v>Low</v>
      </c>
      <c r="F13661" s="138" t="str">
        <f t="shared" si="1209"/>
        <v>Upgraded</v>
      </c>
      <c r="G13661" s="153"/>
      <c r="H13661" s="210">
        <v>2.4403000000000001</v>
      </c>
      <c r="I13661" s="160" t="s">
        <v>58</v>
      </c>
      <c r="J13661" s="160">
        <v>0.24992</v>
      </c>
      <c r="K13661" s="160" t="s">
        <v>23</v>
      </c>
      <c r="L13661" s="154" t="str">
        <f>IF(OpenLCAbasic!K13661="CTUh", "Fill in Manually",IF(OR(K13661="Unit", K13661=""), "", INDEX(LookUps!$E$5:$E$12, MATCH(OpenLCAbasic!K13661,LookUps!$D$5:$D$12,0))))</f>
        <v>Global Warming Potential (GWP) - kg CO2 eq</v>
      </c>
      <c r="M13661" s="154" t="str">
        <f t="shared" si="1210"/>
        <v>Low_High_Base_Upgraded_Global Warming Potential (GWP) - kg CO2 eq_Pre-Anoxic &amp; Swing tank; wastewater treatment unit; at updated plant - US_Without Amendment_Aerated Static Pile</v>
      </c>
    </row>
    <row r="13662" spans="1:13" s="120" customFormat="1" x14ac:dyDescent="0.25">
      <c r="A13662" s="119"/>
      <c r="B13662" s="138" t="str">
        <f t="shared" si="1206"/>
        <v>Aerated Static Pile</v>
      </c>
      <c r="C13662" s="138" t="str">
        <f t="shared" si="1207"/>
        <v>Without Amendment</v>
      </c>
      <c r="D13662" s="138" t="str">
        <f t="shared" si="1211"/>
        <v>High_Base</v>
      </c>
      <c r="E13662" s="138" t="str">
        <f t="shared" si="1208"/>
        <v>Low</v>
      </c>
      <c r="F13662" s="138" t="str">
        <f t="shared" si="1209"/>
        <v>Upgraded</v>
      </c>
      <c r="G13662" s="153"/>
      <c r="H13662" s="210">
        <v>1.6426000000000001</v>
      </c>
      <c r="I13662" s="160" t="s">
        <v>55</v>
      </c>
      <c r="J13662" s="160">
        <v>0.16822000000000001</v>
      </c>
      <c r="K13662" s="160" t="s">
        <v>23</v>
      </c>
      <c r="L13662" s="154" t="str">
        <f>IF(OpenLCAbasic!K13662="CTUh", "Fill in Manually",IF(OR(K13662="Unit", K13662=""), "", INDEX(LookUps!$E$5:$E$12, MATCH(OpenLCAbasic!K13662,LookUps!$D$5:$D$12,0))))</f>
        <v>Global Warming Potential (GWP) - kg CO2 eq</v>
      </c>
      <c r="M13662" s="154" t="str">
        <f t="shared" si="1210"/>
        <v>Low_High_Base_Upgraded_Global Warming Potential (GWP) - kg CO2 eq_Aeration Tanks; wastewater treatment unit; at updated plant - US_Without Amendment_Aerated Static Pile</v>
      </c>
    </row>
    <row r="13663" spans="1:13" s="120" customFormat="1" x14ac:dyDescent="0.25">
      <c r="A13663" s="119"/>
      <c r="B13663" s="138" t="str">
        <f t="shared" si="1206"/>
        <v>Aerated Static Pile</v>
      </c>
      <c r="C13663" s="138" t="str">
        <f t="shared" si="1207"/>
        <v>Without Amendment</v>
      </c>
      <c r="D13663" s="138" t="str">
        <f t="shared" si="1211"/>
        <v>High_Base</v>
      </c>
      <c r="E13663" s="138" t="str">
        <f t="shared" si="1208"/>
        <v>Low</v>
      </c>
      <c r="F13663" s="138" t="str">
        <f t="shared" si="1209"/>
        <v>Upgraded</v>
      </c>
      <c r="G13663" s="153"/>
      <c r="H13663" s="210">
        <v>1.4339</v>
      </c>
      <c r="I13663" s="160" t="s">
        <v>167</v>
      </c>
      <c r="J13663" s="160">
        <v>0.14685000000000001</v>
      </c>
      <c r="K13663" s="160" t="s">
        <v>23</v>
      </c>
      <c r="L13663" s="154" t="str">
        <f>IF(OpenLCAbasic!K13663="CTUh", "Fill in Manually",IF(OR(K13663="Unit", K13663=""), "", INDEX(LookUps!$E$5:$E$12, MATCH(OpenLCAbasic!K13663,LookUps!$D$5:$D$12,0))))</f>
        <v>Global Warming Potential (GWP) - kg CO2 eq</v>
      </c>
      <c r="M13663" s="154" t="str">
        <f t="shared" si="1210"/>
        <v>Low_High_Base_Upgraded_Global Warming Potential (GWP) - kg CO2 eq_Waste Receiving and Holding; wastewater treatment unit; at updated plant - US_Without Amendment_Aerated Static Pile</v>
      </c>
    </row>
    <row r="13664" spans="1:13" s="120" customFormat="1" x14ac:dyDescent="0.25">
      <c r="A13664" s="119"/>
      <c r="B13664" s="138" t="str">
        <f t="shared" si="1206"/>
        <v>Aerated Static Pile</v>
      </c>
      <c r="C13664" s="138" t="str">
        <f t="shared" si="1207"/>
        <v>Without Amendment</v>
      </c>
      <c r="D13664" s="138" t="str">
        <f t="shared" si="1211"/>
        <v>High_Base</v>
      </c>
      <c r="E13664" s="138" t="str">
        <f t="shared" si="1208"/>
        <v>Low</v>
      </c>
      <c r="F13664" s="138" t="str">
        <f t="shared" si="1209"/>
        <v>Upgraded</v>
      </c>
      <c r="G13664" s="153"/>
      <c r="H13664" s="210">
        <v>1.0128999999999999</v>
      </c>
      <c r="I13664" s="160" t="s">
        <v>435</v>
      </c>
      <c r="J13664" s="160">
        <v>0.10373</v>
      </c>
      <c r="K13664" s="160" t="s">
        <v>23</v>
      </c>
      <c r="L13664" s="154" t="str">
        <f>IF(OpenLCAbasic!K13664="CTUh", "Fill in Manually",IF(OR(K13664="Unit", K13664=""), "", INDEX(LookUps!$E$5:$E$12, MATCH(OpenLCAbasic!K13664,LookUps!$D$5:$D$12,0))))</f>
        <v>Global Warming Potential (GWP) - kg CO2 eq</v>
      </c>
      <c r="M13664" s="154" t="str">
        <f t="shared" si="1210"/>
        <v>Low_High_Base_Upgraded_Global Warming Potential (GWP) - kg CO2 eq_Biosolids composting; aerated static pile; wastewater treatment unit; at updated plant - US_Without Amendment_Aerated Static Pile</v>
      </c>
    </row>
    <row r="13665" spans="1:13" s="120" customFormat="1" x14ac:dyDescent="0.25">
      <c r="A13665" s="119"/>
      <c r="B13665" s="138" t="str">
        <f t="shared" si="1206"/>
        <v>Aerated Static Pile</v>
      </c>
      <c r="C13665" s="138" t="str">
        <f t="shared" si="1207"/>
        <v>Without Amendment</v>
      </c>
      <c r="D13665" s="138" t="str">
        <f t="shared" si="1211"/>
        <v>High_Base</v>
      </c>
      <c r="E13665" s="138" t="str">
        <f t="shared" si="1208"/>
        <v>Low</v>
      </c>
      <c r="F13665" s="138" t="str">
        <f t="shared" si="1209"/>
        <v>Upgraded</v>
      </c>
      <c r="G13665" s="153"/>
      <c r="H13665" s="210">
        <v>0.55740000000000001</v>
      </c>
      <c r="I13665" s="160" t="s">
        <v>54</v>
      </c>
      <c r="J13665" s="160">
        <v>5.7079999999999999E-2</v>
      </c>
      <c r="K13665" s="160" t="s">
        <v>23</v>
      </c>
      <c r="L13665" s="154" t="str">
        <f>IF(OpenLCAbasic!K13665="CTUh", "Fill in Manually",IF(OR(K13665="Unit", K13665=""), "", INDEX(LookUps!$E$5:$E$12, MATCH(OpenLCAbasic!K13665,LookUps!$D$5:$D$12,0))))</f>
        <v>Global Warming Potential (GWP) - kg CO2 eq</v>
      </c>
      <c r="M13665" s="154" t="str">
        <f t="shared" si="1210"/>
        <v>Low_High_Base_Upgraded_Global Warming Potential (GWP) - kg CO2 eq_Clear Cove Primary Clarification; wastewater treatment unit; at updated plant - US_Without Amendment_Aerated Static Pile</v>
      </c>
    </row>
    <row r="13666" spans="1:13" s="120" customFormat="1" x14ac:dyDescent="0.25">
      <c r="A13666" s="119"/>
      <c r="B13666" s="138" t="str">
        <f t="shared" si="1206"/>
        <v>Aerated Static Pile</v>
      </c>
      <c r="C13666" s="138" t="str">
        <f t="shared" si="1207"/>
        <v>Without Amendment</v>
      </c>
      <c r="D13666" s="138" t="str">
        <f t="shared" si="1211"/>
        <v>High_Base</v>
      </c>
      <c r="E13666" s="138" t="str">
        <f t="shared" si="1208"/>
        <v>Low</v>
      </c>
      <c r="F13666" s="138" t="str">
        <f t="shared" si="1209"/>
        <v>Upgraded</v>
      </c>
      <c r="G13666" s="153"/>
      <c r="H13666" s="210">
        <v>0.51400000000000001</v>
      </c>
      <c r="I13666" s="160" t="s">
        <v>48</v>
      </c>
      <c r="J13666" s="160">
        <v>5.2639999999999999E-2</v>
      </c>
      <c r="K13666" s="160" t="s">
        <v>23</v>
      </c>
      <c r="L13666" s="154" t="str">
        <f>IF(OpenLCAbasic!K13666="CTUh", "Fill in Manually",IF(OR(K13666="Unit", K13666=""), "", INDEX(LookUps!$E$5:$E$12, MATCH(OpenLCAbasic!K13666,LookUps!$D$5:$D$12,0))))</f>
        <v>Global Warming Potential (GWP) - kg CO2 eq</v>
      </c>
      <c r="M13666" s="154" t="str">
        <f t="shared" si="1210"/>
        <v>Low_High_Base_Upgraded_Global Warming Potential (GWP) - kg CO2 eq_Effluent release; wastewater treatment unit; at surface water; m3 wastewater - US_Without Amendment_Aerated Static Pile</v>
      </c>
    </row>
    <row r="13667" spans="1:13" s="120" customFormat="1" x14ac:dyDescent="0.25">
      <c r="A13667" s="119"/>
      <c r="B13667" s="138" t="str">
        <f t="shared" si="1206"/>
        <v>Aerated Static Pile</v>
      </c>
      <c r="C13667" s="138" t="str">
        <f t="shared" si="1207"/>
        <v>Without Amendment</v>
      </c>
      <c r="D13667" s="138" t="str">
        <f t="shared" si="1211"/>
        <v>High_Base</v>
      </c>
      <c r="E13667" s="138" t="str">
        <f t="shared" si="1208"/>
        <v>Low</v>
      </c>
      <c r="F13667" s="138" t="str">
        <f t="shared" si="1209"/>
        <v>Upgraded</v>
      </c>
      <c r="G13667" s="153"/>
      <c r="H13667" s="210">
        <v>0.49309999999999998</v>
      </c>
      <c r="I13667" s="160" t="s">
        <v>147</v>
      </c>
      <c r="J13667" s="160">
        <v>5.0500000000000003E-2</v>
      </c>
      <c r="K13667" s="160" t="s">
        <v>23</v>
      </c>
      <c r="L13667" s="154" t="str">
        <f>IF(OpenLCAbasic!K13667="CTUh", "Fill in Manually",IF(OR(K13667="Unit", K13667=""), "", INDEX(LookUps!$E$5:$E$12, MATCH(OpenLCAbasic!K13667,LookUps!$D$5:$D$12,0))))</f>
        <v>Global Warming Potential (GWP) - kg CO2 eq</v>
      </c>
      <c r="M13667" s="154" t="str">
        <f t="shared" si="1210"/>
        <v>Low_High_Base_Upgraded_Global Warming Potential (GWP) - kg CO2 eq_Influent Pump Station; wastewater treatment unit; at updated plant - US_Without Amendment_Aerated Static Pile</v>
      </c>
    </row>
    <row r="13668" spans="1:13" s="120" customFormat="1" x14ac:dyDescent="0.25">
      <c r="A13668" s="119"/>
      <c r="B13668" s="138" t="str">
        <f t="shared" si="1206"/>
        <v>Aerated Static Pile</v>
      </c>
      <c r="C13668" s="138" t="str">
        <f t="shared" si="1207"/>
        <v>Without Amendment</v>
      </c>
      <c r="D13668" s="138" t="str">
        <f t="shared" si="1211"/>
        <v>High_Base</v>
      </c>
      <c r="E13668" s="138" t="str">
        <f t="shared" si="1208"/>
        <v>Low</v>
      </c>
      <c r="F13668" s="138" t="str">
        <f t="shared" si="1209"/>
        <v>Upgraded</v>
      </c>
      <c r="G13668" s="153"/>
      <c r="H13668" s="210">
        <v>0.32469999999999999</v>
      </c>
      <c r="I13668" s="160" t="s">
        <v>53</v>
      </c>
      <c r="J13668" s="160">
        <v>3.3259999999999998E-2</v>
      </c>
      <c r="K13668" s="160" t="s">
        <v>23</v>
      </c>
      <c r="L13668" s="154" t="str">
        <f>IF(OpenLCAbasic!K13668="CTUh", "Fill in Manually",IF(OR(K13668="Unit", K13668=""), "", INDEX(LookUps!$E$5:$E$12, MATCH(OpenLCAbasic!K13668,LookUps!$D$5:$D$12,0))))</f>
        <v>Global Warming Potential (GWP) - kg CO2 eq</v>
      </c>
      <c r="M13668" s="154" t="str">
        <f t="shared" si="1210"/>
        <v>Low_High_Base_Upgraded_Global Warming Potential (GWP) - kg CO2 eq_Wet Well and Sump Station; wastewater treatment unit; at updated plant - US_Without Amendment_Aerated Static Pile</v>
      </c>
    </row>
    <row r="13669" spans="1:13" s="120" customFormat="1" x14ac:dyDescent="0.25">
      <c r="A13669" s="119"/>
      <c r="B13669" s="138" t="str">
        <f t="shared" si="1206"/>
        <v>Aerated Static Pile</v>
      </c>
      <c r="C13669" s="138" t="str">
        <f t="shared" si="1207"/>
        <v>Without Amendment</v>
      </c>
      <c r="D13669" s="138" t="str">
        <f t="shared" si="1211"/>
        <v>High_Base</v>
      </c>
      <c r="E13669" s="138" t="str">
        <f t="shared" si="1208"/>
        <v>Low</v>
      </c>
      <c r="F13669" s="138" t="str">
        <f t="shared" si="1209"/>
        <v>Upgraded</v>
      </c>
      <c r="G13669" s="153"/>
      <c r="H13669" s="210">
        <v>0.23549999999999999</v>
      </c>
      <c r="I13669" s="160" t="s">
        <v>60</v>
      </c>
      <c r="J13669" s="160">
        <v>2.4119999999999999E-2</v>
      </c>
      <c r="K13669" s="160" t="s">
        <v>23</v>
      </c>
      <c r="L13669" s="154" t="str">
        <f>IF(OpenLCAbasic!K13669="CTUh", "Fill in Manually",IF(OR(K13669="Unit", K13669=""), "", INDEX(LookUps!$E$5:$E$12, MATCH(OpenLCAbasic!K13669,LookUps!$D$5:$D$12,0))))</f>
        <v>Global Warming Potential (GWP) - kg CO2 eq</v>
      </c>
      <c r="M13669" s="154" t="str">
        <f t="shared" si="1210"/>
        <v>Low_High_Base_Upgraded_Global Warming Potential (GWP) - kg CO2 eq_Belt filter press; wastewater treatment unit; at updated plant - US_Without Amendment_Aerated Static Pile</v>
      </c>
    </row>
    <row r="13670" spans="1:13" s="120" customFormat="1" x14ac:dyDescent="0.25">
      <c r="A13670" s="119"/>
      <c r="B13670" s="138" t="str">
        <f t="shared" si="1206"/>
        <v>Aerated Static Pile</v>
      </c>
      <c r="C13670" s="138" t="str">
        <f t="shared" si="1207"/>
        <v>Without Amendment</v>
      </c>
      <c r="D13670" s="138" t="str">
        <f t="shared" si="1211"/>
        <v>High_Base</v>
      </c>
      <c r="E13670" s="138" t="str">
        <f t="shared" si="1208"/>
        <v>Low</v>
      </c>
      <c r="F13670" s="138" t="str">
        <f t="shared" si="1209"/>
        <v>Upgraded</v>
      </c>
      <c r="G13670" s="153"/>
      <c r="H13670" s="210">
        <v>0.1421</v>
      </c>
      <c r="I13670" s="160" t="s">
        <v>57</v>
      </c>
      <c r="J13670" s="160">
        <v>1.455E-2</v>
      </c>
      <c r="K13670" s="160" t="s">
        <v>23</v>
      </c>
      <c r="L13670" s="154" t="str">
        <f>IF(OpenLCAbasic!K13670="CTUh", "Fill in Manually",IF(OR(K13670="Unit", K13670=""), "", INDEX(LookUps!$E$5:$E$12, MATCH(OpenLCAbasic!K13670,LookUps!$D$5:$D$12,0))))</f>
        <v>Global Warming Potential (GWP) - kg CO2 eq</v>
      </c>
      <c r="M13670" s="154" t="str">
        <f t="shared" si="1210"/>
        <v>Low_High_Base_Upgraded_Global Warming Potential (GWP) - kg CO2 eq_Gravity Belt Thickener; wastewater treatment unit; at updated plant - US_Without Amendment_Aerated Static Pile</v>
      </c>
    </row>
    <row r="13671" spans="1:13" s="120" customFormat="1" x14ac:dyDescent="0.25">
      <c r="A13671" s="119"/>
      <c r="B13671" s="138" t="str">
        <f t="shared" si="1206"/>
        <v>Aerated Static Pile</v>
      </c>
      <c r="C13671" s="138" t="str">
        <f t="shared" si="1207"/>
        <v>Without Amendment</v>
      </c>
      <c r="D13671" s="138" t="str">
        <f t="shared" si="1211"/>
        <v>High_Base</v>
      </c>
      <c r="E13671" s="138" t="str">
        <f t="shared" si="1208"/>
        <v>Low</v>
      </c>
      <c r="F13671" s="138" t="str">
        <f t="shared" si="1209"/>
        <v>Upgraded</v>
      </c>
      <c r="G13671" s="153"/>
      <c r="H13671" s="210">
        <v>0.13189999999999999</v>
      </c>
      <c r="I13671" s="160" t="s">
        <v>128</v>
      </c>
      <c r="J13671" s="160">
        <v>1.3509999999999999E-2</v>
      </c>
      <c r="K13671" s="160" t="s">
        <v>23</v>
      </c>
      <c r="L13671" s="154" t="str">
        <f>IF(OpenLCAbasic!K13671="CTUh", "Fill in Manually",IF(OR(K13671="Unit", K13671=""), "", INDEX(LookUps!$E$5:$E$12, MATCH(OpenLCAbasic!K13671,LookUps!$D$5:$D$12,0))))</f>
        <v>Global Warming Potential (GWP) - kg CO2 eq</v>
      </c>
      <c r="M13671" s="154" t="str">
        <f t="shared" si="1210"/>
        <v>Low_High_Base_Upgraded_Global Warming Potential (GWP) - kg CO2 eq_Wastewater collection; operation and infrastructure; m3 wastewater_Without Amendment_Aerated Static Pile</v>
      </c>
    </row>
    <row r="13672" spans="1:13" s="120" customFormat="1" x14ac:dyDescent="0.25">
      <c r="A13672" s="119"/>
      <c r="B13672" s="138" t="str">
        <f t="shared" si="1206"/>
        <v>Aerated Static Pile</v>
      </c>
      <c r="C13672" s="138" t="str">
        <f t="shared" si="1207"/>
        <v>Without Amendment</v>
      </c>
      <c r="D13672" s="138" t="str">
        <f t="shared" si="1211"/>
        <v>High_Base</v>
      </c>
      <c r="E13672" s="138" t="str">
        <f t="shared" si="1208"/>
        <v>Low</v>
      </c>
      <c r="F13672" s="138" t="str">
        <f t="shared" si="1209"/>
        <v>Upgraded</v>
      </c>
      <c r="G13672" s="153"/>
      <c r="H13672" s="210">
        <v>8.1000000000000003E-2</v>
      </c>
      <c r="I13672" s="160" t="s">
        <v>148</v>
      </c>
      <c r="J13672" s="160">
        <v>8.3000000000000001E-3</v>
      </c>
      <c r="K13672" s="160" t="s">
        <v>23</v>
      </c>
      <c r="L13672" s="154" t="str">
        <f>IF(OpenLCAbasic!K13672="CTUh", "Fill in Manually",IF(OR(K13672="Unit", K13672=""), "", INDEX(LookUps!$E$5:$E$12, MATCH(OpenLCAbasic!K13672,LookUps!$D$5:$D$12,0))))</f>
        <v>Global Warming Potential (GWP) - kg CO2 eq</v>
      </c>
      <c r="M13672" s="154" t="str">
        <f t="shared" si="1210"/>
        <v>Low_High_Base_Upgraded_Global Warming Potential (GWP) - kg CO2 eq_Control Building; at upgraded wastewater treatment plant - US_Without Amendment_Aerated Static Pile</v>
      </c>
    </row>
    <row r="13673" spans="1:13" s="120" customFormat="1" x14ac:dyDescent="0.25">
      <c r="A13673" s="119"/>
      <c r="B13673" s="138" t="str">
        <f t="shared" ref="B13673:B13736" si="1212">IF(F13673="Legacy","n.a.",IF(F13673="","","Aerated Static Pile"))</f>
        <v>Aerated Static Pile</v>
      </c>
      <c r="C13673" s="138" t="str">
        <f t="shared" ref="C13673:C13736" si="1213">IF(ISNUMBER($J13673),"Without Amendment","")</f>
        <v>Without Amendment</v>
      </c>
      <c r="D13673" s="138" t="str">
        <f t="shared" si="1211"/>
        <v>High_Base</v>
      </c>
      <c r="E13673" s="138" t="str">
        <f t="shared" ref="E13673:E13736" si="1214">IF(ISNUMBER($J13673),"Low","")</f>
        <v>Low</v>
      </c>
      <c r="F13673" s="138" t="str">
        <f t="shared" ref="F13673:F13736" si="1215">IF(ISNUMBER(J13673),"Upgraded","")</f>
        <v>Upgraded</v>
      </c>
      <c r="G13673" s="153"/>
      <c r="H13673" s="210">
        <v>4.9299999999999997E-2</v>
      </c>
      <c r="I13673" s="160" t="s">
        <v>59</v>
      </c>
      <c r="J13673" s="160">
        <v>5.0400000000000002E-3</v>
      </c>
      <c r="K13673" s="160" t="s">
        <v>23</v>
      </c>
      <c r="L13673" s="154" t="str">
        <f>IF(OpenLCAbasic!K13673="CTUh", "Fill in Manually",IF(OR(K13673="Unit", K13673=""), "", INDEX(LookUps!$E$5:$E$12, MATCH(OpenLCAbasic!K13673,LookUps!$D$5:$D$12,0))))</f>
        <v>Global Warming Potential (GWP) - kg CO2 eq</v>
      </c>
      <c r="M13673" s="154" t="str">
        <f t="shared" si="1210"/>
        <v>Low_High_Base_Upgraded_Global Warming Potential (GWP) - kg CO2 eq_Blend Tank; wastewater treatment unit; at updated plant - US_Without Amendment_Aerated Static Pile</v>
      </c>
    </row>
    <row r="13674" spans="1:13" s="120" customFormat="1" x14ac:dyDescent="0.25">
      <c r="A13674" s="119"/>
      <c r="B13674" s="138" t="str">
        <f t="shared" si="1212"/>
        <v>Aerated Static Pile</v>
      </c>
      <c r="C13674" s="138" t="str">
        <f t="shared" si="1213"/>
        <v>Without Amendment</v>
      </c>
      <c r="D13674" s="138" t="str">
        <f t="shared" si="1211"/>
        <v>High_Base</v>
      </c>
      <c r="E13674" s="138" t="str">
        <f t="shared" si="1214"/>
        <v>Low</v>
      </c>
      <c r="F13674" s="138" t="str">
        <f t="shared" si="1215"/>
        <v>Upgraded</v>
      </c>
      <c r="G13674" s="153"/>
      <c r="H13674" s="210">
        <v>2.3599999999999999E-2</v>
      </c>
      <c r="I13674" s="160" t="s">
        <v>168</v>
      </c>
      <c r="J13674" s="160">
        <v>2.4099999999999998E-3</v>
      </c>
      <c r="K13674" s="160" t="s">
        <v>23</v>
      </c>
      <c r="L13674" s="154" t="str">
        <f>IF(OpenLCAbasic!K13674="CTUh", "Fill in Manually",IF(OR(K13674="Unit", K13674=""), "", INDEX(LookUps!$E$5:$E$12, MATCH(OpenLCAbasic!K13674,LookUps!$D$5:$D$12,0))))</f>
        <v>Global Warming Potential (GWP) - kg CO2 eq</v>
      </c>
      <c r="M13674" s="154" t="str">
        <f t="shared" si="1210"/>
        <v>Low_High_Base_Upgraded_Global Warming Potential (GWP) - kg CO2 eq_ClearCove SCP; wastewater treatment unit; at updated plant - US_Without Amendment_Aerated Static Pile</v>
      </c>
    </row>
    <row r="13675" spans="1:13" s="120" customFormat="1" x14ac:dyDescent="0.25">
      <c r="A13675" s="119"/>
      <c r="B13675" s="138" t="str">
        <f t="shared" si="1212"/>
        <v>Aerated Static Pile</v>
      </c>
      <c r="C13675" s="138" t="str">
        <f t="shared" si="1213"/>
        <v>Without Amendment</v>
      </c>
      <c r="D13675" s="138" t="str">
        <f t="shared" si="1211"/>
        <v>High_Base</v>
      </c>
      <c r="E13675" s="138" t="str">
        <f t="shared" si="1214"/>
        <v>Low</v>
      </c>
      <c r="F13675" s="138" t="str">
        <f t="shared" si="1215"/>
        <v>Upgraded</v>
      </c>
      <c r="G13675" s="153"/>
      <c r="H13675" s="210">
        <v>-2.5066999999999999</v>
      </c>
      <c r="I13675" s="160" t="s">
        <v>62</v>
      </c>
      <c r="J13675" s="160">
        <v>-0.25672</v>
      </c>
      <c r="K13675" s="160" t="s">
        <v>23</v>
      </c>
      <c r="L13675" s="154" t="str">
        <f>IF(OpenLCAbasic!K13675="CTUh", "Fill in Manually",IF(OR(K13675="Unit", K13675=""), "", INDEX(LookUps!$E$5:$E$12, MATCH(OpenLCAbasic!K13675,LookUps!$D$5:$D$12,0))))</f>
        <v>Global Warming Potential (GWP) - kg CO2 eq</v>
      </c>
      <c r="M13675" s="154" t="str">
        <f t="shared" si="1210"/>
        <v>Low_High_Base_Upgraded_Global Warming Potential (GWP) - kg CO2 eq_Land application of compost; wastewater treatment unit; at updated plant - US_Without Amendment_Aerated Static Pile</v>
      </c>
    </row>
    <row r="13676" spans="1:13" s="120" customFormat="1" x14ac:dyDescent="0.25">
      <c r="A13676" s="119"/>
      <c r="B13676" s="138" t="str">
        <f t="shared" si="1212"/>
        <v>Aerated Static Pile</v>
      </c>
      <c r="C13676" s="138" t="str">
        <f t="shared" si="1213"/>
        <v>Without Amendment</v>
      </c>
      <c r="D13676" s="138" t="str">
        <f t="shared" si="1211"/>
        <v>High_Base</v>
      </c>
      <c r="E13676" s="138" t="str">
        <f t="shared" si="1214"/>
        <v>Low</v>
      </c>
      <c r="F13676" s="138" t="str">
        <f t="shared" si="1215"/>
        <v>Upgraded</v>
      </c>
      <c r="G13676" s="153"/>
      <c r="H13676" s="210">
        <v>-5.5753000000000004</v>
      </c>
      <c r="I13676" s="160" t="s">
        <v>149</v>
      </c>
      <c r="J13676" s="160">
        <v>-0.57099</v>
      </c>
      <c r="K13676" s="160" t="s">
        <v>23</v>
      </c>
      <c r="L13676" s="154" t="str">
        <f>IF(OpenLCAbasic!K13676="CTUh", "Fill in Manually",IF(OR(K13676="Unit", K13676=""), "", INDEX(LookUps!$E$5:$E$12, MATCH(OpenLCAbasic!K13676,LookUps!$D$5:$D$12,0))))</f>
        <v>Global Warming Potential (GWP) - kg CO2 eq</v>
      </c>
      <c r="M13676" s="154" t="str">
        <f t="shared" si="1210"/>
        <v>Low_High_Base_Upgraded_Global Warming Potential (GWP) - kg CO2 eq_Anaerobic Digestion; wastewater treatment unit; at updated plant - US_Without Amendment_Aerated Static Pile</v>
      </c>
    </row>
    <row r="13677" spans="1:13" s="120" customFormat="1" x14ac:dyDescent="0.25">
      <c r="A13677" s="119"/>
      <c r="B13677" s="138" t="str">
        <f t="shared" si="1212"/>
        <v/>
      </c>
      <c r="C13677" s="138" t="str">
        <f t="shared" si="1213"/>
        <v/>
      </c>
      <c r="D13677" s="138" t="str">
        <f t="shared" si="1211"/>
        <v/>
      </c>
      <c r="E13677" s="138" t="str">
        <f t="shared" si="1214"/>
        <v/>
      </c>
      <c r="F13677" s="138" t="str">
        <f t="shared" si="1215"/>
        <v/>
      </c>
      <c r="G13677" s="153" t="s">
        <v>51</v>
      </c>
      <c r="H13677" s="160"/>
      <c r="I13677" s="160" t="s">
        <v>47</v>
      </c>
      <c r="J13677" s="160" t="s">
        <v>52</v>
      </c>
      <c r="K13677" s="160" t="s">
        <v>27</v>
      </c>
      <c r="L13677" s="154" t="str">
        <f>IF(OpenLCAbasic!K13677="CTUh", "Fill in Manually",IF(OR(K13677="Unit", K13677=""), "", INDEX(LookUps!$E$5:$E$12, MATCH(OpenLCAbasic!K13677,LookUps!$D$5:$D$12,0))))</f>
        <v/>
      </c>
      <c r="M13677" s="154" t="str">
        <f t="shared" si="1210"/>
        <v>____Process__</v>
      </c>
    </row>
    <row r="13678" spans="1:13" s="120" customFormat="1" x14ac:dyDescent="0.25">
      <c r="A13678" s="119"/>
      <c r="B13678" s="138" t="str">
        <f t="shared" si="1212"/>
        <v>Aerated Static Pile</v>
      </c>
      <c r="C13678" s="138" t="str">
        <f t="shared" si="1213"/>
        <v>Without Amendment</v>
      </c>
      <c r="D13678" s="138" t="str">
        <f t="shared" si="1211"/>
        <v>High_Base</v>
      </c>
      <c r="E13678" s="138" t="str">
        <f t="shared" si="1214"/>
        <v>Low</v>
      </c>
      <c r="F13678" s="138" t="str">
        <f t="shared" si="1215"/>
        <v>Upgraded</v>
      </c>
      <c r="G13678" s="153"/>
      <c r="H13678" s="210">
        <v>9.9025999999999996</v>
      </c>
      <c r="I13678" s="160" t="s">
        <v>55</v>
      </c>
      <c r="J13678" s="160">
        <v>2.33E-3</v>
      </c>
      <c r="K13678" s="160" t="s">
        <v>145</v>
      </c>
      <c r="L13678" s="154" t="str">
        <f>IF(OpenLCAbasic!K13678="CTUh", "Fill in Manually",IF(OR(K13678="Unit", K13678=""), "", INDEX(LookUps!$E$5:$E$12, MATCH(OpenLCAbasic!K13678,LookUps!$D$5:$D$12,0))))</f>
        <v>Particulate Matter Formation Potential (PMFP) - kg PM2.5 eq</v>
      </c>
      <c r="M13678" s="154" t="str">
        <f t="shared" si="1210"/>
        <v>Low_High_Base_Upgraded_Particulate Matter Formation Potential (PMFP) - kg PM2.5 eq_Aeration Tanks; wastewater treatment unit; at updated plant - US_Without Amendment_Aerated Static Pile</v>
      </c>
    </row>
    <row r="13679" spans="1:13" s="120" customFormat="1" x14ac:dyDescent="0.25">
      <c r="A13679" s="119"/>
      <c r="B13679" s="138" t="str">
        <f t="shared" si="1212"/>
        <v>Aerated Static Pile</v>
      </c>
      <c r="C13679" s="138" t="str">
        <f t="shared" si="1213"/>
        <v>Without Amendment</v>
      </c>
      <c r="D13679" s="138" t="str">
        <f t="shared" si="1211"/>
        <v>High_Base</v>
      </c>
      <c r="E13679" s="138" t="str">
        <f t="shared" si="1214"/>
        <v>Low</v>
      </c>
      <c r="F13679" s="138" t="str">
        <f t="shared" si="1215"/>
        <v>Upgraded</v>
      </c>
      <c r="G13679" s="153"/>
      <c r="H13679" s="210">
        <v>2.8815</v>
      </c>
      <c r="I13679" s="160" t="s">
        <v>54</v>
      </c>
      <c r="J13679" s="160">
        <v>6.8000000000000005E-4</v>
      </c>
      <c r="K13679" s="160" t="s">
        <v>145</v>
      </c>
      <c r="L13679" s="154" t="str">
        <f>IF(OpenLCAbasic!K13679="CTUh", "Fill in Manually",IF(OR(K13679="Unit", K13679=""), "", INDEX(LookUps!$E$5:$E$12, MATCH(OpenLCAbasic!K13679,LookUps!$D$5:$D$12,0))))</f>
        <v>Particulate Matter Formation Potential (PMFP) - kg PM2.5 eq</v>
      </c>
      <c r="M13679" s="154" t="str">
        <f t="shared" si="1210"/>
        <v>Low_High_Base_Upgraded_Particulate Matter Formation Potential (PMFP) - kg PM2.5 eq_Clear Cove Primary Clarification; wastewater treatment unit; at updated plant - US_Without Amendment_Aerated Static Pile</v>
      </c>
    </row>
    <row r="13680" spans="1:13" s="120" customFormat="1" x14ac:dyDescent="0.25">
      <c r="A13680" s="119"/>
      <c r="B13680" s="138" t="str">
        <f t="shared" si="1212"/>
        <v>Aerated Static Pile</v>
      </c>
      <c r="C13680" s="138" t="str">
        <f t="shared" si="1213"/>
        <v>Without Amendment</v>
      </c>
      <c r="D13680" s="138" t="str">
        <f t="shared" si="1211"/>
        <v>High_Base</v>
      </c>
      <c r="E13680" s="138" t="str">
        <f t="shared" si="1214"/>
        <v>Low</v>
      </c>
      <c r="F13680" s="138" t="str">
        <f t="shared" si="1215"/>
        <v>Upgraded</v>
      </c>
      <c r="G13680" s="153"/>
      <c r="H13680" s="210">
        <v>2.5082</v>
      </c>
      <c r="I13680" s="160" t="s">
        <v>58</v>
      </c>
      <c r="J13680" s="160">
        <v>5.9000000000000003E-4</v>
      </c>
      <c r="K13680" s="160" t="s">
        <v>145</v>
      </c>
      <c r="L13680" s="154" t="str">
        <f>IF(OpenLCAbasic!K13680="CTUh", "Fill in Manually",IF(OR(K13680="Unit", K13680=""), "", INDEX(LookUps!$E$5:$E$12, MATCH(OpenLCAbasic!K13680,LookUps!$D$5:$D$12,0))))</f>
        <v>Particulate Matter Formation Potential (PMFP) - kg PM2.5 eq</v>
      </c>
      <c r="M13680" s="154" t="str">
        <f t="shared" si="1210"/>
        <v>Low_High_Base_Upgraded_Particulate Matter Formation Potential (PMFP) - kg PM2.5 eq_Pre-Anoxic &amp; Swing tank; wastewater treatment unit; at updated plant - US_Without Amendment_Aerated Static Pile</v>
      </c>
    </row>
    <row r="13681" spans="1:13" s="120" customFormat="1" x14ac:dyDescent="0.25">
      <c r="A13681" s="119"/>
      <c r="B13681" s="138" t="str">
        <f t="shared" si="1212"/>
        <v>Aerated Static Pile</v>
      </c>
      <c r="C13681" s="138" t="str">
        <f t="shared" si="1213"/>
        <v>Without Amendment</v>
      </c>
      <c r="D13681" s="138" t="str">
        <f t="shared" si="1211"/>
        <v>High_Base</v>
      </c>
      <c r="E13681" s="138" t="str">
        <f t="shared" si="1214"/>
        <v>Low</v>
      </c>
      <c r="F13681" s="138" t="str">
        <f t="shared" si="1215"/>
        <v>Upgraded</v>
      </c>
      <c r="G13681" s="153"/>
      <c r="H13681" s="210">
        <v>1.9799</v>
      </c>
      <c r="I13681" s="160" t="s">
        <v>53</v>
      </c>
      <c r="J13681" s="160">
        <v>4.6999999999999999E-4</v>
      </c>
      <c r="K13681" s="160" t="s">
        <v>145</v>
      </c>
      <c r="L13681" s="154" t="str">
        <f>IF(OpenLCAbasic!K13681="CTUh", "Fill in Manually",IF(OR(K13681="Unit", K13681=""), "", INDEX(LookUps!$E$5:$E$12, MATCH(OpenLCAbasic!K13681,LookUps!$D$5:$D$12,0))))</f>
        <v>Particulate Matter Formation Potential (PMFP) - kg PM2.5 eq</v>
      </c>
      <c r="M13681" s="154" t="str">
        <f t="shared" si="1210"/>
        <v>Low_High_Base_Upgraded_Particulate Matter Formation Potential (PMFP) - kg PM2.5 eq_Wet Well and Sump Station; wastewater treatment unit; at updated plant - US_Without Amendment_Aerated Static Pile</v>
      </c>
    </row>
    <row r="13682" spans="1:13" s="120" customFormat="1" x14ac:dyDescent="0.25">
      <c r="A13682" s="119"/>
      <c r="B13682" s="138" t="str">
        <f t="shared" si="1212"/>
        <v>Aerated Static Pile</v>
      </c>
      <c r="C13682" s="138" t="str">
        <f t="shared" si="1213"/>
        <v>Without Amendment</v>
      </c>
      <c r="D13682" s="138" t="str">
        <f t="shared" si="1211"/>
        <v>High_Base</v>
      </c>
      <c r="E13682" s="138" t="str">
        <f t="shared" si="1214"/>
        <v>Low</v>
      </c>
      <c r="F13682" s="138" t="str">
        <f t="shared" si="1215"/>
        <v>Upgraded</v>
      </c>
      <c r="G13682" s="153"/>
      <c r="H13682" s="210">
        <v>1.8147</v>
      </c>
      <c r="I13682" s="160" t="s">
        <v>435</v>
      </c>
      <c r="J13682" s="160">
        <v>4.2999999999999999E-4</v>
      </c>
      <c r="K13682" s="160" t="s">
        <v>145</v>
      </c>
      <c r="L13682" s="154" t="str">
        <f>IF(OpenLCAbasic!K13682="CTUh", "Fill in Manually",IF(OR(K13682="Unit", K13682=""), "", INDEX(LookUps!$E$5:$E$12, MATCH(OpenLCAbasic!K13682,LookUps!$D$5:$D$12,0))))</f>
        <v>Particulate Matter Formation Potential (PMFP) - kg PM2.5 eq</v>
      </c>
      <c r="M13682" s="154" t="str">
        <f t="shared" si="1210"/>
        <v>Low_High_Base_Upgraded_Particulate Matter Formation Potential (PMFP) - kg PM2.5 eq_Biosolids composting; aerated static pile; wastewater treatment unit; at updated plant - US_Without Amendment_Aerated Static Pile</v>
      </c>
    </row>
    <row r="13683" spans="1:13" s="120" customFormat="1" x14ac:dyDescent="0.25">
      <c r="A13683" s="119"/>
      <c r="B13683" s="138" t="str">
        <f t="shared" si="1212"/>
        <v>Aerated Static Pile</v>
      </c>
      <c r="C13683" s="138" t="str">
        <f t="shared" si="1213"/>
        <v>Without Amendment</v>
      </c>
      <c r="D13683" s="138" t="str">
        <f t="shared" si="1211"/>
        <v>High_Base</v>
      </c>
      <c r="E13683" s="138" t="str">
        <f t="shared" si="1214"/>
        <v>Low</v>
      </c>
      <c r="F13683" s="138" t="str">
        <f t="shared" si="1215"/>
        <v>Upgraded</v>
      </c>
      <c r="G13683" s="153"/>
      <c r="H13683" s="210">
        <v>1.4074</v>
      </c>
      <c r="I13683" s="160" t="s">
        <v>167</v>
      </c>
      <c r="J13683" s="160">
        <v>3.3E-4</v>
      </c>
      <c r="K13683" s="160" t="s">
        <v>145</v>
      </c>
      <c r="L13683" s="154" t="str">
        <f>IF(OpenLCAbasic!K13683="CTUh", "Fill in Manually",IF(OR(K13683="Unit", K13683=""), "", INDEX(LookUps!$E$5:$E$12, MATCH(OpenLCAbasic!K13683,LookUps!$D$5:$D$12,0))))</f>
        <v>Particulate Matter Formation Potential (PMFP) - kg PM2.5 eq</v>
      </c>
      <c r="M13683" s="154" t="str">
        <f t="shared" si="1210"/>
        <v>Low_High_Base_Upgraded_Particulate Matter Formation Potential (PMFP) - kg PM2.5 eq_Waste Receiving and Holding; wastewater treatment unit; at updated plant - US_Without Amendment_Aerated Static Pile</v>
      </c>
    </row>
    <row r="13684" spans="1:13" s="120" customFormat="1" x14ac:dyDescent="0.25">
      <c r="A13684" s="119"/>
      <c r="B13684" s="138" t="str">
        <f t="shared" si="1212"/>
        <v>Aerated Static Pile</v>
      </c>
      <c r="C13684" s="138" t="str">
        <f t="shared" si="1213"/>
        <v>Without Amendment</v>
      </c>
      <c r="D13684" s="138" t="str">
        <f t="shared" si="1211"/>
        <v>High_Base</v>
      </c>
      <c r="E13684" s="138" t="str">
        <f t="shared" si="1214"/>
        <v>Low</v>
      </c>
      <c r="F13684" s="138" t="str">
        <f t="shared" si="1215"/>
        <v>Upgraded</v>
      </c>
      <c r="G13684" s="153"/>
      <c r="H13684" s="210">
        <v>1.1316999999999999</v>
      </c>
      <c r="I13684" s="160" t="s">
        <v>147</v>
      </c>
      <c r="J13684" s="160">
        <v>2.7E-4</v>
      </c>
      <c r="K13684" s="160" t="s">
        <v>145</v>
      </c>
      <c r="L13684" s="154" t="str">
        <f>IF(OpenLCAbasic!K13684="CTUh", "Fill in Manually",IF(OR(K13684="Unit", K13684=""), "", INDEX(LookUps!$E$5:$E$12, MATCH(OpenLCAbasic!K13684,LookUps!$D$5:$D$12,0))))</f>
        <v>Particulate Matter Formation Potential (PMFP) - kg PM2.5 eq</v>
      </c>
      <c r="M13684" s="154" t="str">
        <f t="shared" si="1210"/>
        <v>Low_High_Base_Upgraded_Particulate Matter Formation Potential (PMFP) - kg PM2.5 eq_Influent Pump Station; wastewater treatment unit; at updated plant - US_Without Amendment_Aerated Static Pile</v>
      </c>
    </row>
    <row r="13685" spans="1:13" s="120" customFormat="1" x14ac:dyDescent="0.25">
      <c r="A13685" s="119"/>
      <c r="B13685" s="138" t="str">
        <f t="shared" si="1212"/>
        <v>Aerated Static Pile</v>
      </c>
      <c r="C13685" s="138" t="str">
        <f t="shared" si="1213"/>
        <v>Without Amendment</v>
      </c>
      <c r="D13685" s="138" t="str">
        <f t="shared" si="1211"/>
        <v>High_Base</v>
      </c>
      <c r="E13685" s="138" t="str">
        <f t="shared" si="1214"/>
        <v>Low</v>
      </c>
      <c r="F13685" s="138" t="str">
        <f t="shared" si="1215"/>
        <v>Upgraded</v>
      </c>
      <c r="G13685" s="153"/>
      <c r="H13685" s="210">
        <v>0.83650000000000002</v>
      </c>
      <c r="I13685" s="160" t="s">
        <v>60</v>
      </c>
      <c r="J13685" s="160">
        <v>2.0000000000000001E-4</v>
      </c>
      <c r="K13685" s="160" t="s">
        <v>145</v>
      </c>
      <c r="L13685" s="154" t="str">
        <f>IF(OpenLCAbasic!K13685="CTUh", "Fill in Manually",IF(OR(K13685="Unit", K13685=""), "", INDEX(LookUps!$E$5:$E$12, MATCH(OpenLCAbasic!K13685,LookUps!$D$5:$D$12,0))))</f>
        <v>Particulate Matter Formation Potential (PMFP) - kg PM2.5 eq</v>
      </c>
      <c r="M13685" s="154" t="str">
        <f t="shared" si="1210"/>
        <v>Low_High_Base_Upgraded_Particulate Matter Formation Potential (PMFP) - kg PM2.5 eq_Belt filter press; wastewater treatment unit; at updated plant - US_Without Amendment_Aerated Static Pile</v>
      </c>
    </row>
    <row r="13686" spans="1:13" s="120" customFormat="1" x14ac:dyDescent="0.25">
      <c r="A13686" s="119"/>
      <c r="B13686" s="138" t="str">
        <f t="shared" si="1212"/>
        <v>Aerated Static Pile</v>
      </c>
      <c r="C13686" s="138" t="str">
        <f t="shared" si="1213"/>
        <v>Without Amendment</v>
      </c>
      <c r="D13686" s="138" t="str">
        <f t="shared" si="1211"/>
        <v>High_Base</v>
      </c>
      <c r="E13686" s="138" t="str">
        <f t="shared" si="1214"/>
        <v>Low</v>
      </c>
      <c r="F13686" s="138" t="str">
        <f t="shared" si="1215"/>
        <v>Upgraded</v>
      </c>
      <c r="G13686" s="153"/>
      <c r="H13686" s="210">
        <v>0.70630000000000004</v>
      </c>
      <c r="I13686" s="160" t="s">
        <v>128</v>
      </c>
      <c r="J13686" s="160">
        <v>1.7000000000000001E-4</v>
      </c>
      <c r="K13686" s="160" t="s">
        <v>145</v>
      </c>
      <c r="L13686" s="154" t="str">
        <f>IF(OpenLCAbasic!K13686="CTUh", "Fill in Manually",IF(OR(K13686="Unit", K13686=""), "", INDEX(LookUps!$E$5:$E$12, MATCH(OpenLCAbasic!K13686,LookUps!$D$5:$D$12,0))))</f>
        <v>Particulate Matter Formation Potential (PMFP) - kg PM2.5 eq</v>
      </c>
      <c r="M13686" s="154" t="str">
        <f t="shared" si="1210"/>
        <v>Low_High_Base_Upgraded_Particulate Matter Formation Potential (PMFP) - kg PM2.5 eq_Wastewater collection; operation and infrastructure; m3 wastewater_Without Amendment_Aerated Static Pile</v>
      </c>
    </row>
    <row r="13687" spans="1:13" s="120" customFormat="1" x14ac:dyDescent="0.25">
      <c r="A13687" s="119"/>
      <c r="B13687" s="138" t="str">
        <f t="shared" si="1212"/>
        <v>Aerated Static Pile</v>
      </c>
      <c r="C13687" s="138" t="str">
        <f t="shared" si="1213"/>
        <v>Without Amendment</v>
      </c>
      <c r="D13687" s="138" t="str">
        <f t="shared" si="1211"/>
        <v>High_Base</v>
      </c>
      <c r="E13687" s="138" t="str">
        <f t="shared" si="1214"/>
        <v>Low</v>
      </c>
      <c r="F13687" s="138" t="str">
        <f t="shared" si="1215"/>
        <v>Upgraded</v>
      </c>
      <c r="G13687" s="153"/>
      <c r="H13687" s="210">
        <v>0.4037</v>
      </c>
      <c r="I13687" s="160" t="s">
        <v>57</v>
      </c>
      <c r="J13687" s="211">
        <v>9.5153800000000004E-5</v>
      </c>
      <c r="K13687" s="160" t="s">
        <v>145</v>
      </c>
      <c r="L13687" s="154" t="str">
        <f>IF(OpenLCAbasic!K13687="CTUh", "Fill in Manually",IF(OR(K13687="Unit", K13687=""), "", INDEX(LookUps!$E$5:$E$12, MATCH(OpenLCAbasic!K13687,LookUps!$D$5:$D$12,0))))</f>
        <v>Particulate Matter Formation Potential (PMFP) - kg PM2.5 eq</v>
      </c>
      <c r="M13687" s="154" t="str">
        <f t="shared" si="1210"/>
        <v>Low_High_Base_Upgraded_Particulate Matter Formation Potential (PMFP) - kg PM2.5 eq_Gravity Belt Thickener; wastewater treatment unit; at updated plant - US_Without Amendment_Aerated Static Pile</v>
      </c>
    </row>
    <row r="13688" spans="1:13" s="120" customFormat="1" x14ac:dyDescent="0.25">
      <c r="A13688" s="119"/>
      <c r="B13688" s="138" t="str">
        <f t="shared" si="1212"/>
        <v>Aerated Static Pile</v>
      </c>
      <c r="C13688" s="138" t="str">
        <f t="shared" si="1213"/>
        <v>Without Amendment</v>
      </c>
      <c r="D13688" s="138" t="str">
        <f t="shared" si="1211"/>
        <v>High_Base</v>
      </c>
      <c r="E13688" s="138" t="str">
        <f t="shared" si="1214"/>
        <v>Low</v>
      </c>
      <c r="F13688" s="138" t="str">
        <f t="shared" si="1215"/>
        <v>Upgraded</v>
      </c>
      <c r="G13688" s="153"/>
      <c r="H13688" s="210">
        <v>0.29670000000000002</v>
      </c>
      <c r="I13688" s="160" t="s">
        <v>59</v>
      </c>
      <c r="J13688" s="211">
        <v>6.9942200000000003E-5</v>
      </c>
      <c r="K13688" s="160" t="s">
        <v>145</v>
      </c>
      <c r="L13688" s="154" t="str">
        <f>IF(OpenLCAbasic!K13688="CTUh", "Fill in Manually",IF(OR(K13688="Unit", K13688=""), "", INDEX(LookUps!$E$5:$E$12, MATCH(OpenLCAbasic!K13688,LookUps!$D$5:$D$12,0))))</f>
        <v>Particulate Matter Formation Potential (PMFP) - kg PM2.5 eq</v>
      </c>
      <c r="M13688" s="154" t="str">
        <f t="shared" si="1210"/>
        <v>Low_High_Base_Upgraded_Particulate Matter Formation Potential (PMFP) - kg PM2.5 eq_Blend Tank; wastewater treatment unit; at updated plant - US_Without Amendment_Aerated Static Pile</v>
      </c>
    </row>
    <row r="13689" spans="1:13" s="120" customFormat="1" x14ac:dyDescent="0.25">
      <c r="A13689" s="119"/>
      <c r="B13689" s="138" t="str">
        <f t="shared" si="1212"/>
        <v>Aerated Static Pile</v>
      </c>
      <c r="C13689" s="138" t="str">
        <f t="shared" si="1213"/>
        <v>Without Amendment</v>
      </c>
      <c r="D13689" s="138" t="str">
        <f t="shared" si="1211"/>
        <v>High_Base</v>
      </c>
      <c r="E13689" s="138" t="str">
        <f t="shared" si="1214"/>
        <v>Low</v>
      </c>
      <c r="F13689" s="138" t="str">
        <f t="shared" si="1215"/>
        <v>Upgraded</v>
      </c>
      <c r="G13689" s="153"/>
      <c r="H13689" s="210">
        <v>0.28070000000000001</v>
      </c>
      <c r="I13689" s="160" t="s">
        <v>62</v>
      </c>
      <c r="J13689" s="211">
        <v>6.6154800000000006E-5</v>
      </c>
      <c r="K13689" s="160" t="s">
        <v>145</v>
      </c>
      <c r="L13689" s="154" t="str">
        <f>IF(OpenLCAbasic!K13689="CTUh", "Fill in Manually",IF(OR(K13689="Unit", K13689=""), "", INDEX(LookUps!$E$5:$E$12, MATCH(OpenLCAbasic!K13689,LookUps!$D$5:$D$12,0))))</f>
        <v>Particulate Matter Formation Potential (PMFP) - kg PM2.5 eq</v>
      </c>
      <c r="M13689" s="154" t="str">
        <f t="shared" si="1210"/>
        <v>Low_High_Base_Upgraded_Particulate Matter Formation Potential (PMFP) - kg PM2.5 eq_Land application of compost; wastewater treatment unit; at updated plant - US_Without Amendment_Aerated Static Pile</v>
      </c>
    </row>
    <row r="13690" spans="1:13" s="120" customFormat="1" x14ac:dyDescent="0.25">
      <c r="A13690" s="119"/>
      <c r="B13690" s="138" t="str">
        <f t="shared" si="1212"/>
        <v>Aerated Static Pile</v>
      </c>
      <c r="C13690" s="138" t="str">
        <f t="shared" si="1213"/>
        <v>Without Amendment</v>
      </c>
      <c r="D13690" s="138" t="str">
        <f t="shared" si="1211"/>
        <v>High_Base</v>
      </c>
      <c r="E13690" s="138" t="str">
        <f t="shared" si="1214"/>
        <v>Low</v>
      </c>
      <c r="F13690" s="138" t="str">
        <f t="shared" si="1215"/>
        <v>Upgraded</v>
      </c>
      <c r="G13690" s="153"/>
      <c r="H13690" s="210">
        <v>0.21199999999999999</v>
      </c>
      <c r="I13690" s="160" t="s">
        <v>48</v>
      </c>
      <c r="J13690" s="211">
        <v>4.99741E-5</v>
      </c>
      <c r="K13690" s="160" t="s">
        <v>145</v>
      </c>
      <c r="L13690" s="154" t="str">
        <f>IF(OpenLCAbasic!K13690="CTUh", "Fill in Manually",IF(OR(K13690="Unit", K13690=""), "", INDEX(LookUps!$E$5:$E$12, MATCH(OpenLCAbasic!K13690,LookUps!$D$5:$D$12,0))))</f>
        <v>Particulate Matter Formation Potential (PMFP) - kg PM2.5 eq</v>
      </c>
      <c r="M13690" s="154" t="str">
        <f t="shared" si="1210"/>
        <v>Low_High_Base_Upgraded_Particulate Matter Formation Potential (PMFP) - kg PM2.5 eq_Effluent release; wastewater treatment unit; at surface water; m3 wastewater - US_Without Amendment_Aerated Static Pile</v>
      </c>
    </row>
    <row r="13691" spans="1:13" s="120" customFormat="1" x14ac:dyDescent="0.25">
      <c r="A13691" s="119"/>
      <c r="B13691" s="138" t="str">
        <f t="shared" si="1212"/>
        <v>Aerated Static Pile</v>
      </c>
      <c r="C13691" s="138" t="str">
        <f t="shared" si="1213"/>
        <v>Without Amendment</v>
      </c>
      <c r="D13691" s="138" t="str">
        <f t="shared" si="1211"/>
        <v>High_Base</v>
      </c>
      <c r="E13691" s="138" t="str">
        <f t="shared" si="1214"/>
        <v>Low</v>
      </c>
      <c r="F13691" s="138" t="str">
        <f t="shared" si="1215"/>
        <v>Upgraded</v>
      </c>
      <c r="G13691" s="153"/>
      <c r="H13691" s="210">
        <v>0.14660000000000001</v>
      </c>
      <c r="I13691" s="160" t="s">
        <v>168</v>
      </c>
      <c r="J13691" s="211">
        <v>3.4562199999999999E-5</v>
      </c>
      <c r="K13691" s="160" t="s">
        <v>145</v>
      </c>
      <c r="L13691" s="154" t="str">
        <f>IF(OpenLCAbasic!K13691="CTUh", "Fill in Manually",IF(OR(K13691="Unit", K13691=""), "", INDEX(LookUps!$E$5:$E$12, MATCH(OpenLCAbasic!K13691,LookUps!$D$5:$D$12,0))))</f>
        <v>Particulate Matter Formation Potential (PMFP) - kg PM2.5 eq</v>
      </c>
      <c r="M13691" s="154" t="str">
        <f t="shared" si="1210"/>
        <v>Low_High_Base_Upgraded_Particulate Matter Formation Potential (PMFP) - kg PM2.5 eq_ClearCove SCP; wastewater treatment unit; at updated plant - US_Without Amendment_Aerated Static Pile</v>
      </c>
    </row>
    <row r="13692" spans="1:13" s="120" customFormat="1" x14ac:dyDescent="0.25">
      <c r="A13692" s="119"/>
      <c r="B13692" s="138" t="str">
        <f t="shared" si="1212"/>
        <v>Aerated Static Pile</v>
      </c>
      <c r="C13692" s="138" t="str">
        <f t="shared" si="1213"/>
        <v>Without Amendment</v>
      </c>
      <c r="D13692" s="138" t="str">
        <f t="shared" si="1211"/>
        <v>High_Base</v>
      </c>
      <c r="E13692" s="138" t="str">
        <f t="shared" si="1214"/>
        <v>Low</v>
      </c>
      <c r="F13692" s="138" t="str">
        <f t="shared" si="1215"/>
        <v>Upgraded</v>
      </c>
      <c r="G13692" s="153"/>
      <c r="H13692" s="210">
        <v>3.7400000000000003E-2</v>
      </c>
      <c r="I13692" s="160" t="s">
        <v>148</v>
      </c>
      <c r="J13692" s="211">
        <v>8.8212999999999997E-6</v>
      </c>
      <c r="K13692" s="160" t="s">
        <v>145</v>
      </c>
      <c r="L13692" s="154" t="str">
        <f>IF(OpenLCAbasic!K13692="CTUh", "Fill in Manually",IF(OR(K13692="Unit", K13692=""), "", INDEX(LookUps!$E$5:$E$12, MATCH(OpenLCAbasic!K13692,LookUps!$D$5:$D$12,0))))</f>
        <v>Particulate Matter Formation Potential (PMFP) - kg PM2.5 eq</v>
      </c>
      <c r="M13692" s="154" t="str">
        <f t="shared" si="1210"/>
        <v>Low_High_Base_Upgraded_Particulate Matter Formation Potential (PMFP) - kg PM2.5 eq_Control Building; at upgraded wastewater treatment plant - US_Without Amendment_Aerated Static Pile</v>
      </c>
    </row>
    <row r="13693" spans="1:13" s="120" customFormat="1" x14ac:dyDescent="0.25">
      <c r="A13693" s="119"/>
      <c r="B13693" s="138" t="str">
        <f t="shared" si="1212"/>
        <v>Aerated Static Pile</v>
      </c>
      <c r="C13693" s="138" t="str">
        <f t="shared" si="1213"/>
        <v>Without Amendment</v>
      </c>
      <c r="D13693" s="138" t="str">
        <f t="shared" si="1211"/>
        <v>High_Base</v>
      </c>
      <c r="E13693" s="138" t="str">
        <f t="shared" si="1214"/>
        <v>Low</v>
      </c>
      <c r="F13693" s="138" t="str">
        <f t="shared" si="1215"/>
        <v>Upgraded</v>
      </c>
      <c r="G13693" s="153"/>
      <c r="H13693" s="210">
        <v>-25.545999999999999</v>
      </c>
      <c r="I13693" s="160" t="s">
        <v>149</v>
      </c>
      <c r="J13693" s="160">
        <v>-6.0200000000000002E-3</v>
      </c>
      <c r="K13693" s="160" t="s">
        <v>145</v>
      </c>
      <c r="L13693" s="154" t="str">
        <f>IF(OpenLCAbasic!K13693="CTUh", "Fill in Manually",IF(OR(K13693="Unit", K13693=""), "", INDEX(LookUps!$E$5:$E$12, MATCH(OpenLCAbasic!K13693,LookUps!$D$5:$D$12,0))))</f>
        <v>Particulate Matter Formation Potential (PMFP) - kg PM2.5 eq</v>
      </c>
      <c r="M13693" s="154" t="str">
        <f t="shared" si="1210"/>
        <v>Low_High_Base_Upgraded_Particulate Matter Formation Potential (PMFP) - kg PM2.5 eq_Anaerobic Digestion; wastewater treatment unit; at updated plant - US_Without Amendment_Aerated Static Pile</v>
      </c>
    </row>
    <row r="13694" spans="1:13" s="120" customFormat="1" x14ac:dyDescent="0.25">
      <c r="A13694" s="119"/>
      <c r="B13694" s="138" t="str">
        <f t="shared" si="1212"/>
        <v/>
      </c>
      <c r="C13694" s="138" t="str">
        <f t="shared" si="1213"/>
        <v/>
      </c>
      <c r="D13694" s="138" t="str">
        <f t="shared" si="1211"/>
        <v/>
      </c>
      <c r="E13694" s="138" t="str">
        <f t="shared" si="1214"/>
        <v/>
      </c>
      <c r="F13694" s="138" t="str">
        <f t="shared" si="1215"/>
        <v/>
      </c>
      <c r="G13694" s="153" t="s">
        <v>51</v>
      </c>
      <c r="H13694" s="160"/>
      <c r="I13694" s="160" t="s">
        <v>47</v>
      </c>
      <c r="J13694" s="160" t="s">
        <v>52</v>
      </c>
      <c r="K13694" s="160" t="s">
        <v>27</v>
      </c>
      <c r="L13694" s="154" t="str">
        <f>IF(OpenLCAbasic!K13694="CTUh", "Fill in Manually",IF(OR(K13694="Unit", K13694=""), "", INDEX(LookUps!$E$5:$E$12, MATCH(OpenLCAbasic!K13694,LookUps!$D$5:$D$12,0))))</f>
        <v/>
      </c>
      <c r="M13694" s="154" t="str">
        <f t="shared" si="1210"/>
        <v>____Process__</v>
      </c>
    </row>
    <row r="13695" spans="1:13" s="120" customFormat="1" x14ac:dyDescent="0.25">
      <c r="A13695" s="119"/>
      <c r="B13695" s="138" t="str">
        <f t="shared" si="1212"/>
        <v>Aerated Static Pile</v>
      </c>
      <c r="C13695" s="138" t="str">
        <f t="shared" si="1213"/>
        <v>Without Amendment</v>
      </c>
      <c r="D13695" s="138" t="str">
        <f t="shared" si="1211"/>
        <v>High_Base</v>
      </c>
      <c r="E13695" s="138" t="str">
        <f t="shared" si="1214"/>
        <v>Low</v>
      </c>
      <c r="F13695" s="138" t="str">
        <f t="shared" si="1215"/>
        <v>Upgraded</v>
      </c>
      <c r="G13695" s="153"/>
      <c r="H13695" s="210">
        <v>9.9154</v>
      </c>
      <c r="I13695" s="160" t="s">
        <v>55</v>
      </c>
      <c r="J13695" s="160">
        <v>0.16577</v>
      </c>
      <c r="K13695" s="160" t="s">
        <v>25</v>
      </c>
      <c r="L13695" s="154" t="str">
        <f>IF(OpenLCAbasic!K13695="CTUh", "Fill in Manually",IF(OR(K13695="Unit", K13695=""), "", INDEX(LookUps!$E$5:$E$12, MATCH(OpenLCAbasic!K13695,LookUps!$D$5:$D$12,0))))</f>
        <v>Smog Formation Potential (SFP) - kg O3 eq</v>
      </c>
      <c r="M13695" s="154" t="str">
        <f t="shared" si="1210"/>
        <v>Low_High_Base_Upgraded_Smog Formation Potential (SFP) - kg O3 eq_Aeration Tanks; wastewater treatment unit; at updated plant - US_Without Amendment_Aerated Static Pile</v>
      </c>
    </row>
    <row r="13696" spans="1:13" s="120" customFormat="1" x14ac:dyDescent="0.25">
      <c r="A13696" s="119"/>
      <c r="B13696" s="138" t="str">
        <f t="shared" si="1212"/>
        <v>Aerated Static Pile</v>
      </c>
      <c r="C13696" s="138" t="str">
        <f t="shared" si="1213"/>
        <v>Without Amendment</v>
      </c>
      <c r="D13696" s="138" t="str">
        <f t="shared" si="1211"/>
        <v>High_Base</v>
      </c>
      <c r="E13696" s="138" t="str">
        <f t="shared" si="1214"/>
        <v>Low</v>
      </c>
      <c r="F13696" s="138" t="str">
        <f t="shared" si="1215"/>
        <v>Upgraded</v>
      </c>
      <c r="G13696" s="153"/>
      <c r="H13696" s="210">
        <v>2.8754</v>
      </c>
      <c r="I13696" s="160" t="s">
        <v>54</v>
      </c>
      <c r="J13696" s="160">
        <v>4.8070000000000002E-2</v>
      </c>
      <c r="K13696" s="160" t="s">
        <v>25</v>
      </c>
      <c r="L13696" s="154" t="str">
        <f>IF(OpenLCAbasic!K13696="CTUh", "Fill in Manually",IF(OR(K13696="Unit", K13696=""), "", INDEX(LookUps!$E$5:$E$12, MATCH(OpenLCAbasic!K13696,LookUps!$D$5:$D$12,0))))</f>
        <v>Smog Formation Potential (SFP) - kg O3 eq</v>
      </c>
      <c r="M13696" s="154" t="str">
        <f t="shared" si="1210"/>
        <v>Low_High_Base_Upgraded_Smog Formation Potential (SFP) - kg O3 eq_Clear Cove Primary Clarification; wastewater treatment unit; at updated plant - US_Without Amendment_Aerated Static Pile</v>
      </c>
    </row>
    <row r="13697" spans="1:13" s="120" customFormat="1" x14ac:dyDescent="0.25">
      <c r="A13697" s="119"/>
      <c r="B13697" s="138" t="str">
        <f t="shared" si="1212"/>
        <v>Aerated Static Pile</v>
      </c>
      <c r="C13697" s="138" t="str">
        <f t="shared" si="1213"/>
        <v>Without Amendment</v>
      </c>
      <c r="D13697" s="138" t="str">
        <f t="shared" si="1211"/>
        <v>High_Base</v>
      </c>
      <c r="E13697" s="138" t="str">
        <f t="shared" si="1214"/>
        <v>Low</v>
      </c>
      <c r="F13697" s="138" t="str">
        <f t="shared" si="1215"/>
        <v>Upgraded</v>
      </c>
      <c r="G13697" s="153"/>
      <c r="H13697" s="210">
        <v>2.5177</v>
      </c>
      <c r="I13697" s="160" t="s">
        <v>58</v>
      </c>
      <c r="J13697" s="160">
        <v>4.2090000000000002E-2</v>
      </c>
      <c r="K13697" s="160" t="s">
        <v>25</v>
      </c>
      <c r="L13697" s="154" t="str">
        <f>IF(OpenLCAbasic!K13697="CTUh", "Fill in Manually",IF(OR(K13697="Unit", K13697=""), "", INDEX(LookUps!$E$5:$E$12, MATCH(OpenLCAbasic!K13697,LookUps!$D$5:$D$12,0))))</f>
        <v>Smog Formation Potential (SFP) - kg O3 eq</v>
      </c>
      <c r="M13697" s="154" t="str">
        <f t="shared" si="1210"/>
        <v>Low_High_Base_Upgraded_Smog Formation Potential (SFP) - kg O3 eq_Pre-Anoxic &amp; Swing tank; wastewater treatment unit; at updated plant - US_Without Amendment_Aerated Static Pile</v>
      </c>
    </row>
    <row r="13698" spans="1:13" s="120" customFormat="1" x14ac:dyDescent="0.25">
      <c r="A13698" s="119"/>
      <c r="B13698" s="138" t="str">
        <f t="shared" si="1212"/>
        <v>Aerated Static Pile</v>
      </c>
      <c r="C13698" s="138" t="str">
        <f t="shared" si="1213"/>
        <v>Without Amendment</v>
      </c>
      <c r="D13698" s="138" t="str">
        <f t="shared" si="1211"/>
        <v>High_Base</v>
      </c>
      <c r="E13698" s="138" t="str">
        <f t="shared" si="1214"/>
        <v>Low</v>
      </c>
      <c r="F13698" s="138" t="str">
        <f t="shared" si="1215"/>
        <v>Upgraded</v>
      </c>
      <c r="G13698" s="153"/>
      <c r="H13698" s="210">
        <v>2.0190999999999999</v>
      </c>
      <c r="I13698" s="160" t="s">
        <v>167</v>
      </c>
      <c r="J13698" s="160">
        <v>3.3759999999999998E-2</v>
      </c>
      <c r="K13698" s="160" t="s">
        <v>25</v>
      </c>
      <c r="L13698" s="154" t="str">
        <f>IF(OpenLCAbasic!K13698="CTUh", "Fill in Manually",IF(OR(K13698="Unit", K13698=""), "", INDEX(LookUps!$E$5:$E$12, MATCH(OpenLCAbasic!K13698,LookUps!$D$5:$D$12,0))))</f>
        <v>Smog Formation Potential (SFP) - kg O3 eq</v>
      </c>
      <c r="M13698" s="154" t="str">
        <f t="shared" si="1210"/>
        <v>Low_High_Base_Upgraded_Smog Formation Potential (SFP) - kg O3 eq_Waste Receiving and Holding; wastewater treatment unit; at updated plant - US_Without Amendment_Aerated Static Pile</v>
      </c>
    </row>
    <row r="13699" spans="1:13" s="120" customFormat="1" x14ac:dyDescent="0.25">
      <c r="A13699" s="119"/>
      <c r="B13699" s="138" t="str">
        <f t="shared" si="1212"/>
        <v>Aerated Static Pile</v>
      </c>
      <c r="C13699" s="138" t="str">
        <f t="shared" si="1213"/>
        <v>Without Amendment</v>
      </c>
      <c r="D13699" s="138" t="str">
        <f t="shared" si="1211"/>
        <v>High_Base</v>
      </c>
      <c r="E13699" s="138" t="str">
        <f t="shared" si="1214"/>
        <v>Low</v>
      </c>
      <c r="F13699" s="138" t="str">
        <f t="shared" si="1215"/>
        <v>Upgraded</v>
      </c>
      <c r="G13699" s="153"/>
      <c r="H13699" s="210">
        <v>1.9813000000000001</v>
      </c>
      <c r="I13699" s="160" t="s">
        <v>53</v>
      </c>
      <c r="J13699" s="160">
        <v>3.313E-2</v>
      </c>
      <c r="K13699" s="160" t="s">
        <v>25</v>
      </c>
      <c r="L13699" s="154" t="str">
        <f>IF(OpenLCAbasic!K13699="CTUh", "Fill in Manually",IF(OR(K13699="Unit", K13699=""), "", INDEX(LookUps!$E$5:$E$12, MATCH(OpenLCAbasic!K13699,LookUps!$D$5:$D$12,0))))</f>
        <v>Smog Formation Potential (SFP) - kg O3 eq</v>
      </c>
      <c r="M13699" s="154" t="str">
        <f t="shared" si="1210"/>
        <v>Low_High_Base_Upgraded_Smog Formation Potential (SFP) - kg O3 eq_Wet Well and Sump Station; wastewater treatment unit; at updated plant - US_Without Amendment_Aerated Static Pile</v>
      </c>
    </row>
    <row r="13700" spans="1:13" s="120" customFormat="1" x14ac:dyDescent="0.25">
      <c r="A13700" s="119"/>
      <c r="B13700" s="138" t="str">
        <f t="shared" si="1212"/>
        <v>Aerated Static Pile</v>
      </c>
      <c r="C13700" s="138" t="str">
        <f t="shared" si="1213"/>
        <v>Without Amendment</v>
      </c>
      <c r="D13700" s="138" t="str">
        <f t="shared" si="1211"/>
        <v>High_Base</v>
      </c>
      <c r="E13700" s="138" t="str">
        <f t="shared" si="1214"/>
        <v>Low</v>
      </c>
      <c r="F13700" s="138" t="str">
        <f t="shared" si="1215"/>
        <v>Upgraded</v>
      </c>
      <c r="G13700" s="153"/>
      <c r="H13700" s="210">
        <v>1.8146</v>
      </c>
      <c r="I13700" s="160" t="s">
        <v>435</v>
      </c>
      <c r="J13700" s="160">
        <v>3.0339999999999999E-2</v>
      </c>
      <c r="K13700" s="160" t="s">
        <v>25</v>
      </c>
      <c r="L13700" s="154" t="str">
        <f>IF(OpenLCAbasic!K13700="CTUh", "Fill in Manually",IF(OR(K13700="Unit", K13700=""), "", INDEX(LookUps!$E$5:$E$12, MATCH(OpenLCAbasic!K13700,LookUps!$D$5:$D$12,0))))</f>
        <v>Smog Formation Potential (SFP) - kg O3 eq</v>
      </c>
      <c r="M13700" s="154" t="str">
        <f t="shared" ref="M13700:M13763" si="1216">CONCATENATE(E13700,"_",D13700,"_",F13700,"_",L13700, "_",I13700,"_", C13700,"_", B13700)</f>
        <v>Low_High_Base_Upgraded_Smog Formation Potential (SFP) - kg O3 eq_Biosolids composting; aerated static pile; wastewater treatment unit; at updated plant - US_Without Amendment_Aerated Static Pile</v>
      </c>
    </row>
    <row r="13701" spans="1:13" s="120" customFormat="1" x14ac:dyDescent="0.25">
      <c r="A13701" s="119"/>
      <c r="B13701" s="138" t="str">
        <f t="shared" si="1212"/>
        <v>Aerated Static Pile</v>
      </c>
      <c r="C13701" s="138" t="str">
        <f t="shared" si="1213"/>
        <v>Without Amendment</v>
      </c>
      <c r="D13701" s="138" t="str">
        <f t="shared" si="1211"/>
        <v>High_Base</v>
      </c>
      <c r="E13701" s="138" t="str">
        <f t="shared" si="1214"/>
        <v>Low</v>
      </c>
      <c r="F13701" s="138" t="str">
        <f t="shared" si="1215"/>
        <v>Upgraded</v>
      </c>
      <c r="G13701" s="153"/>
      <c r="H13701" s="210">
        <v>1.1603000000000001</v>
      </c>
      <c r="I13701" s="160" t="s">
        <v>147</v>
      </c>
      <c r="J13701" s="160">
        <v>1.9400000000000001E-2</v>
      </c>
      <c r="K13701" s="160" t="s">
        <v>25</v>
      </c>
      <c r="L13701" s="154" t="str">
        <f>IF(OpenLCAbasic!K13701="CTUh", "Fill in Manually",IF(OR(K13701="Unit", K13701=""), "", INDEX(LookUps!$E$5:$E$12, MATCH(OpenLCAbasic!K13701,LookUps!$D$5:$D$12,0))))</f>
        <v>Smog Formation Potential (SFP) - kg O3 eq</v>
      </c>
      <c r="M13701" s="154" t="str">
        <f t="shared" si="1216"/>
        <v>Low_High_Base_Upgraded_Smog Formation Potential (SFP) - kg O3 eq_Influent Pump Station; wastewater treatment unit; at updated plant - US_Without Amendment_Aerated Static Pile</v>
      </c>
    </row>
    <row r="13702" spans="1:13" s="120" customFormat="1" x14ac:dyDescent="0.25">
      <c r="A13702" s="119"/>
      <c r="B13702" s="138" t="str">
        <f t="shared" si="1212"/>
        <v>Aerated Static Pile</v>
      </c>
      <c r="C13702" s="138" t="str">
        <f t="shared" si="1213"/>
        <v>Without Amendment</v>
      </c>
      <c r="D13702" s="138" t="str">
        <f t="shared" si="1211"/>
        <v>High_Base</v>
      </c>
      <c r="E13702" s="138" t="str">
        <f t="shared" si="1214"/>
        <v>Low</v>
      </c>
      <c r="F13702" s="138" t="str">
        <f t="shared" si="1215"/>
        <v>Upgraded</v>
      </c>
      <c r="G13702" s="153"/>
      <c r="H13702" s="210">
        <v>0.82940000000000003</v>
      </c>
      <c r="I13702" s="160" t="s">
        <v>60</v>
      </c>
      <c r="J13702" s="160">
        <v>1.387E-2</v>
      </c>
      <c r="K13702" s="160" t="s">
        <v>25</v>
      </c>
      <c r="L13702" s="154" t="str">
        <f>IF(OpenLCAbasic!K13702="CTUh", "Fill in Manually",IF(OR(K13702="Unit", K13702=""), "", INDEX(LookUps!$E$5:$E$12, MATCH(OpenLCAbasic!K13702,LookUps!$D$5:$D$12,0))))</f>
        <v>Smog Formation Potential (SFP) - kg O3 eq</v>
      </c>
      <c r="M13702" s="154" t="str">
        <f t="shared" si="1216"/>
        <v>Low_High_Base_Upgraded_Smog Formation Potential (SFP) - kg O3 eq_Belt filter press; wastewater treatment unit; at updated plant - US_Without Amendment_Aerated Static Pile</v>
      </c>
    </row>
    <row r="13703" spans="1:13" s="120" customFormat="1" x14ac:dyDescent="0.25">
      <c r="A13703" s="119"/>
      <c r="B13703" s="138" t="str">
        <f t="shared" si="1212"/>
        <v>Aerated Static Pile</v>
      </c>
      <c r="C13703" s="138" t="str">
        <f t="shared" si="1213"/>
        <v>Without Amendment</v>
      </c>
      <c r="D13703" s="138" t="str">
        <f t="shared" si="1211"/>
        <v>High_Base</v>
      </c>
      <c r="E13703" s="138" t="str">
        <f t="shared" si="1214"/>
        <v>Low</v>
      </c>
      <c r="F13703" s="138" t="str">
        <f t="shared" si="1215"/>
        <v>Upgraded</v>
      </c>
      <c r="G13703" s="153"/>
      <c r="H13703" s="210">
        <v>0.71289999999999998</v>
      </c>
      <c r="I13703" s="160" t="s">
        <v>128</v>
      </c>
      <c r="J13703" s="160">
        <v>1.192E-2</v>
      </c>
      <c r="K13703" s="160" t="s">
        <v>25</v>
      </c>
      <c r="L13703" s="154" t="str">
        <f>IF(OpenLCAbasic!K13703="CTUh", "Fill in Manually",IF(OR(K13703="Unit", K13703=""), "", INDEX(LookUps!$E$5:$E$12, MATCH(OpenLCAbasic!K13703,LookUps!$D$5:$D$12,0))))</f>
        <v>Smog Formation Potential (SFP) - kg O3 eq</v>
      </c>
      <c r="M13703" s="154" t="str">
        <f t="shared" si="1216"/>
        <v>Low_High_Base_Upgraded_Smog Formation Potential (SFP) - kg O3 eq_Wastewater collection; operation and infrastructure; m3 wastewater_Without Amendment_Aerated Static Pile</v>
      </c>
    </row>
    <row r="13704" spans="1:13" s="120" customFormat="1" x14ac:dyDescent="0.25">
      <c r="A13704" s="119"/>
      <c r="B13704" s="138" t="str">
        <f t="shared" si="1212"/>
        <v>Aerated Static Pile</v>
      </c>
      <c r="C13704" s="138" t="str">
        <f t="shared" si="1213"/>
        <v>Without Amendment</v>
      </c>
      <c r="D13704" s="138" t="str">
        <f t="shared" si="1211"/>
        <v>High_Base</v>
      </c>
      <c r="E13704" s="138" t="str">
        <f t="shared" si="1214"/>
        <v>Low</v>
      </c>
      <c r="F13704" s="138" t="str">
        <f t="shared" si="1215"/>
        <v>Upgraded</v>
      </c>
      <c r="G13704" s="153"/>
      <c r="H13704" s="210">
        <v>0.39789999999999998</v>
      </c>
      <c r="I13704" s="160" t="s">
        <v>57</v>
      </c>
      <c r="J13704" s="160">
        <v>6.6499999999999997E-3</v>
      </c>
      <c r="K13704" s="160" t="s">
        <v>25</v>
      </c>
      <c r="L13704" s="154" t="str">
        <f>IF(OpenLCAbasic!K13704="CTUh", "Fill in Manually",IF(OR(K13704="Unit", K13704=""), "", INDEX(LookUps!$E$5:$E$12, MATCH(OpenLCAbasic!K13704,LookUps!$D$5:$D$12,0))))</f>
        <v>Smog Formation Potential (SFP) - kg O3 eq</v>
      </c>
      <c r="M13704" s="154" t="str">
        <f t="shared" si="1216"/>
        <v>Low_High_Base_Upgraded_Smog Formation Potential (SFP) - kg O3 eq_Gravity Belt Thickener; wastewater treatment unit; at updated plant - US_Without Amendment_Aerated Static Pile</v>
      </c>
    </row>
    <row r="13705" spans="1:13" s="120" customFormat="1" x14ac:dyDescent="0.25">
      <c r="A13705" s="119"/>
      <c r="B13705" s="138" t="str">
        <f t="shared" si="1212"/>
        <v>Aerated Static Pile</v>
      </c>
      <c r="C13705" s="138" t="str">
        <f t="shared" si="1213"/>
        <v>Without Amendment</v>
      </c>
      <c r="D13705" s="138" t="str">
        <f t="shared" si="1211"/>
        <v>High_Base</v>
      </c>
      <c r="E13705" s="138" t="str">
        <f t="shared" si="1214"/>
        <v>Low</v>
      </c>
      <c r="F13705" s="138" t="str">
        <f t="shared" si="1215"/>
        <v>Upgraded</v>
      </c>
      <c r="G13705" s="153"/>
      <c r="H13705" s="210">
        <v>0.29749999999999999</v>
      </c>
      <c r="I13705" s="160" t="s">
        <v>59</v>
      </c>
      <c r="J13705" s="160">
        <v>4.9699999999999996E-3</v>
      </c>
      <c r="K13705" s="160" t="s">
        <v>25</v>
      </c>
      <c r="L13705" s="154" t="str">
        <f>IF(OpenLCAbasic!K13705="CTUh", "Fill in Manually",IF(OR(K13705="Unit", K13705=""), "", INDEX(LookUps!$E$5:$E$12, MATCH(OpenLCAbasic!K13705,LookUps!$D$5:$D$12,0))))</f>
        <v>Smog Formation Potential (SFP) - kg O3 eq</v>
      </c>
      <c r="M13705" s="154" t="str">
        <f t="shared" si="1216"/>
        <v>Low_High_Base_Upgraded_Smog Formation Potential (SFP) - kg O3 eq_Blend Tank; wastewater treatment unit; at updated plant - US_Without Amendment_Aerated Static Pile</v>
      </c>
    </row>
    <row r="13706" spans="1:13" s="120" customFormat="1" x14ac:dyDescent="0.25">
      <c r="A13706" s="119"/>
      <c r="B13706" s="138" t="str">
        <f t="shared" si="1212"/>
        <v>Aerated Static Pile</v>
      </c>
      <c r="C13706" s="138" t="str">
        <f t="shared" si="1213"/>
        <v>Without Amendment</v>
      </c>
      <c r="D13706" s="138" t="str">
        <f t="shared" si="1211"/>
        <v>High_Base</v>
      </c>
      <c r="E13706" s="138" t="str">
        <f t="shared" si="1214"/>
        <v>Low</v>
      </c>
      <c r="F13706" s="138" t="str">
        <f t="shared" si="1215"/>
        <v>Upgraded</v>
      </c>
      <c r="G13706" s="153"/>
      <c r="H13706" s="210">
        <v>0.20250000000000001</v>
      </c>
      <c r="I13706" s="160" t="s">
        <v>48</v>
      </c>
      <c r="J13706" s="160">
        <v>3.3899999999999998E-3</v>
      </c>
      <c r="K13706" s="160" t="s">
        <v>25</v>
      </c>
      <c r="L13706" s="154" t="str">
        <f>IF(OpenLCAbasic!K13706="CTUh", "Fill in Manually",IF(OR(K13706="Unit", K13706=""), "", INDEX(LookUps!$E$5:$E$12, MATCH(OpenLCAbasic!K13706,LookUps!$D$5:$D$12,0))))</f>
        <v>Smog Formation Potential (SFP) - kg O3 eq</v>
      </c>
      <c r="M13706" s="154" t="str">
        <f t="shared" si="1216"/>
        <v>Low_High_Base_Upgraded_Smog Formation Potential (SFP) - kg O3 eq_Effluent release; wastewater treatment unit; at surface water; m3 wastewater - US_Without Amendment_Aerated Static Pile</v>
      </c>
    </row>
    <row r="13707" spans="1:13" s="120" customFormat="1" x14ac:dyDescent="0.25">
      <c r="A13707" s="119"/>
      <c r="B13707" s="138" t="str">
        <f t="shared" si="1212"/>
        <v>Aerated Static Pile</v>
      </c>
      <c r="C13707" s="138" t="str">
        <f t="shared" si="1213"/>
        <v>Without Amendment</v>
      </c>
      <c r="D13707" s="138" t="str">
        <f t="shared" si="1211"/>
        <v>High_Base</v>
      </c>
      <c r="E13707" s="138" t="str">
        <f t="shared" si="1214"/>
        <v>Low</v>
      </c>
      <c r="F13707" s="138" t="str">
        <f t="shared" si="1215"/>
        <v>Upgraded</v>
      </c>
      <c r="G13707" s="153"/>
      <c r="H13707" s="210">
        <v>0.1469</v>
      </c>
      <c r="I13707" s="160" t="s">
        <v>168</v>
      </c>
      <c r="J13707" s="160">
        <v>2.4599999999999999E-3</v>
      </c>
      <c r="K13707" s="160" t="s">
        <v>25</v>
      </c>
      <c r="L13707" s="154" t="str">
        <f>IF(OpenLCAbasic!K13707="CTUh", "Fill in Manually",IF(OR(K13707="Unit", K13707=""), "", INDEX(LookUps!$E$5:$E$12, MATCH(OpenLCAbasic!K13707,LookUps!$D$5:$D$12,0))))</f>
        <v>Smog Formation Potential (SFP) - kg O3 eq</v>
      </c>
      <c r="M13707" s="154" t="str">
        <f t="shared" si="1216"/>
        <v>Low_High_Base_Upgraded_Smog Formation Potential (SFP) - kg O3 eq_ClearCove SCP; wastewater treatment unit; at updated plant - US_Without Amendment_Aerated Static Pile</v>
      </c>
    </row>
    <row r="13708" spans="1:13" s="120" customFormat="1" x14ac:dyDescent="0.25">
      <c r="A13708" s="119"/>
      <c r="B13708" s="138" t="str">
        <f t="shared" si="1212"/>
        <v>Aerated Static Pile</v>
      </c>
      <c r="C13708" s="138" t="str">
        <f t="shared" si="1213"/>
        <v>Without Amendment</v>
      </c>
      <c r="D13708" s="138" t="str">
        <f t="shared" si="1211"/>
        <v>High_Base</v>
      </c>
      <c r="E13708" s="138" t="str">
        <f t="shared" si="1214"/>
        <v>Low</v>
      </c>
      <c r="F13708" s="138" t="str">
        <f t="shared" si="1215"/>
        <v>Upgraded</v>
      </c>
      <c r="G13708" s="153"/>
      <c r="H13708" s="210">
        <v>3.2199999999999999E-2</v>
      </c>
      <c r="I13708" s="160" t="s">
        <v>148</v>
      </c>
      <c r="J13708" s="160">
        <v>5.4000000000000001E-4</v>
      </c>
      <c r="K13708" s="160" t="s">
        <v>25</v>
      </c>
      <c r="L13708" s="154" t="str">
        <f>IF(OpenLCAbasic!K13708="CTUh", "Fill in Manually",IF(OR(K13708="Unit", K13708=""), "", INDEX(LookUps!$E$5:$E$12, MATCH(OpenLCAbasic!K13708,LookUps!$D$5:$D$12,0))))</f>
        <v>Smog Formation Potential (SFP) - kg O3 eq</v>
      </c>
      <c r="M13708" s="154" t="str">
        <f t="shared" si="1216"/>
        <v>Low_High_Base_Upgraded_Smog Formation Potential (SFP) - kg O3 eq_Control Building; at upgraded wastewater treatment plant - US_Without Amendment_Aerated Static Pile</v>
      </c>
    </row>
    <row r="13709" spans="1:13" s="120" customFormat="1" x14ac:dyDescent="0.25">
      <c r="A13709" s="119"/>
      <c r="B13709" s="138" t="str">
        <f t="shared" si="1212"/>
        <v>Aerated Static Pile</v>
      </c>
      <c r="C13709" s="138" t="str">
        <f t="shared" si="1213"/>
        <v>Without Amendment</v>
      </c>
      <c r="D13709" s="138" t="str">
        <f t="shared" si="1211"/>
        <v>High_Base</v>
      </c>
      <c r="E13709" s="138" t="str">
        <f t="shared" si="1214"/>
        <v>Low</v>
      </c>
      <c r="F13709" s="138" t="str">
        <f t="shared" si="1215"/>
        <v>Upgraded</v>
      </c>
      <c r="G13709" s="153"/>
      <c r="H13709" s="210">
        <v>-0.2034</v>
      </c>
      <c r="I13709" s="160" t="s">
        <v>62</v>
      </c>
      <c r="J13709" s="160">
        <v>-3.3999999999999998E-3</v>
      </c>
      <c r="K13709" s="160" t="s">
        <v>25</v>
      </c>
      <c r="L13709" s="154" t="str">
        <f>IF(OpenLCAbasic!K13709="CTUh", "Fill in Manually",IF(OR(K13709="Unit", K13709=""), "", INDEX(LookUps!$E$5:$E$12, MATCH(OpenLCAbasic!K13709,LookUps!$D$5:$D$12,0))))</f>
        <v>Smog Formation Potential (SFP) - kg O3 eq</v>
      </c>
      <c r="M13709" s="154" t="str">
        <f t="shared" si="1216"/>
        <v>Low_High_Base_Upgraded_Smog Formation Potential (SFP) - kg O3 eq_Land application of compost; wastewater treatment unit; at updated plant - US_Without Amendment_Aerated Static Pile</v>
      </c>
    </row>
    <row r="13710" spans="1:13" s="120" customFormat="1" x14ac:dyDescent="0.25">
      <c r="A13710" s="119"/>
      <c r="B13710" s="138" t="str">
        <f t="shared" si="1212"/>
        <v>Aerated Static Pile</v>
      </c>
      <c r="C13710" s="138" t="str">
        <f t="shared" si="1213"/>
        <v>Without Amendment</v>
      </c>
      <c r="D13710" s="138" t="str">
        <f t="shared" si="1211"/>
        <v>High_Base</v>
      </c>
      <c r="E13710" s="138" t="str">
        <f t="shared" si="1214"/>
        <v>Low</v>
      </c>
      <c r="F13710" s="138" t="str">
        <f t="shared" si="1215"/>
        <v>Upgraded</v>
      </c>
      <c r="G13710" s="153"/>
      <c r="H13710" s="210">
        <v>-25.6995</v>
      </c>
      <c r="I13710" s="160" t="s">
        <v>149</v>
      </c>
      <c r="J13710" s="160">
        <v>-0.42965999999999999</v>
      </c>
      <c r="K13710" s="160" t="s">
        <v>25</v>
      </c>
      <c r="L13710" s="154" t="str">
        <f>IF(OpenLCAbasic!K13710="CTUh", "Fill in Manually",IF(OR(K13710="Unit", K13710=""), "", INDEX(LookUps!$E$5:$E$12, MATCH(OpenLCAbasic!K13710,LookUps!$D$5:$D$12,0))))</f>
        <v>Smog Formation Potential (SFP) - kg O3 eq</v>
      </c>
      <c r="M13710" s="154" t="str">
        <f t="shared" si="1216"/>
        <v>Low_High_Base_Upgraded_Smog Formation Potential (SFP) - kg O3 eq_Anaerobic Digestion; wastewater treatment unit; at updated plant - US_Without Amendment_Aerated Static Pile</v>
      </c>
    </row>
    <row r="13711" spans="1:13" s="120" customFormat="1" x14ac:dyDescent="0.25">
      <c r="A13711" s="119"/>
      <c r="B13711" s="138" t="str">
        <f t="shared" si="1212"/>
        <v/>
      </c>
      <c r="C13711" s="138" t="str">
        <f t="shared" si="1213"/>
        <v/>
      </c>
      <c r="D13711" s="138" t="str">
        <f t="shared" si="1211"/>
        <v/>
      </c>
      <c r="E13711" s="138" t="str">
        <f t="shared" si="1214"/>
        <v/>
      </c>
      <c r="F13711" s="138" t="str">
        <f t="shared" si="1215"/>
        <v/>
      </c>
      <c r="G13711" s="153" t="s">
        <v>51</v>
      </c>
      <c r="H13711" s="160"/>
      <c r="I13711" s="160" t="s">
        <v>47</v>
      </c>
      <c r="J13711" s="160" t="s">
        <v>52</v>
      </c>
      <c r="K13711" s="160" t="s">
        <v>27</v>
      </c>
      <c r="L13711" s="154" t="str">
        <f>IF(OpenLCAbasic!K13711="CTUh", "Fill in Manually",IF(OR(K13711="Unit", K13711=""), "", INDEX(LookUps!$E$5:$E$12, MATCH(OpenLCAbasic!K13711,LookUps!$D$5:$D$12,0))))</f>
        <v/>
      </c>
      <c r="M13711" s="154" t="str">
        <f t="shared" si="1216"/>
        <v>____Process__</v>
      </c>
    </row>
    <row r="13712" spans="1:13" s="120" customFormat="1" x14ac:dyDescent="0.25">
      <c r="A13712" s="119"/>
      <c r="B13712" s="138" t="str">
        <f t="shared" si="1212"/>
        <v>Aerated Static Pile</v>
      </c>
      <c r="C13712" s="138" t="str">
        <f t="shared" si="1213"/>
        <v>Without Amendment</v>
      </c>
      <c r="D13712" s="138" t="str">
        <f t="shared" si="1211"/>
        <v>High_Base</v>
      </c>
      <c r="E13712" s="138" t="str">
        <f t="shared" si="1214"/>
        <v>Low</v>
      </c>
      <c r="F13712" s="138" t="str">
        <f t="shared" si="1215"/>
        <v>Upgraded</v>
      </c>
      <c r="G13712" s="153"/>
      <c r="H13712" s="210">
        <v>1.5705</v>
      </c>
      <c r="I13712" s="160" t="s">
        <v>167</v>
      </c>
      <c r="J13712" s="160">
        <v>3.4000000000000002E-4</v>
      </c>
      <c r="K13712" s="160" t="s">
        <v>26</v>
      </c>
      <c r="L13712" s="154" t="str">
        <f>IF(OpenLCAbasic!K13712="CTUh", "Fill in Manually",IF(OR(K13712="Unit", K13712=""), "", INDEX(LookUps!$E$5:$E$12, MATCH(OpenLCAbasic!K13712,LookUps!$D$5:$D$12,0))))</f>
        <v>Water Use (WU) - m3 H2O</v>
      </c>
      <c r="M13712" s="154" t="str">
        <f t="shared" si="1216"/>
        <v>Low_High_Base_Upgraded_Water Use (WU) - m3 H2O_Waste Receiving and Holding; wastewater treatment unit; at updated plant - US_Without Amendment_Aerated Static Pile</v>
      </c>
    </row>
    <row r="13713" spans="1:13" s="120" customFormat="1" x14ac:dyDescent="0.25">
      <c r="A13713" s="119"/>
      <c r="B13713" s="138" t="str">
        <f t="shared" si="1212"/>
        <v>Aerated Static Pile</v>
      </c>
      <c r="C13713" s="138" t="str">
        <f t="shared" si="1213"/>
        <v>Without Amendment</v>
      </c>
      <c r="D13713" s="138" t="str">
        <f t="shared" si="1211"/>
        <v>High_Base</v>
      </c>
      <c r="E13713" s="138" t="str">
        <f t="shared" si="1214"/>
        <v>Low</v>
      </c>
      <c r="F13713" s="138" t="str">
        <f t="shared" si="1215"/>
        <v>Upgraded</v>
      </c>
      <c r="G13713" s="153"/>
      <c r="H13713" s="210">
        <v>0.85940000000000005</v>
      </c>
      <c r="I13713" s="160" t="s">
        <v>147</v>
      </c>
      <c r="J13713" s="160">
        <v>1.8000000000000001E-4</v>
      </c>
      <c r="K13713" s="160" t="s">
        <v>26</v>
      </c>
      <c r="L13713" s="154" t="str">
        <f>IF(OpenLCAbasic!K13713="CTUh", "Fill in Manually",IF(OR(K13713="Unit", K13713=""), "", INDEX(LookUps!$E$5:$E$12, MATCH(OpenLCAbasic!K13713,LookUps!$D$5:$D$12,0))))</f>
        <v>Water Use (WU) - m3 H2O</v>
      </c>
      <c r="M13713" s="154" t="str">
        <f t="shared" si="1216"/>
        <v>Low_High_Base_Upgraded_Water Use (WU) - m3 H2O_Influent Pump Station; wastewater treatment unit; at updated plant - US_Without Amendment_Aerated Static Pile</v>
      </c>
    </row>
    <row r="13714" spans="1:13" s="120" customFormat="1" x14ac:dyDescent="0.25">
      <c r="A13714" s="119"/>
      <c r="B13714" s="138" t="str">
        <f t="shared" si="1212"/>
        <v>Aerated Static Pile</v>
      </c>
      <c r="C13714" s="138" t="str">
        <f t="shared" si="1213"/>
        <v>Without Amendment</v>
      </c>
      <c r="D13714" s="138" t="str">
        <f t="shared" si="1211"/>
        <v>High_Base</v>
      </c>
      <c r="E13714" s="138" t="str">
        <f t="shared" si="1214"/>
        <v>Low</v>
      </c>
      <c r="F13714" s="138" t="str">
        <f t="shared" si="1215"/>
        <v>Upgraded</v>
      </c>
      <c r="G13714" s="153"/>
      <c r="H13714" s="210">
        <v>0.83850000000000002</v>
      </c>
      <c r="I13714" s="160" t="s">
        <v>54</v>
      </c>
      <c r="J13714" s="160">
        <v>1.8000000000000001E-4</v>
      </c>
      <c r="K13714" s="160" t="s">
        <v>26</v>
      </c>
      <c r="L13714" s="154" t="str">
        <f>IF(OpenLCAbasic!K13714="CTUh", "Fill in Manually",IF(OR(K13714="Unit", K13714=""), "", INDEX(LookUps!$E$5:$E$12, MATCH(OpenLCAbasic!K13714,LookUps!$D$5:$D$12,0))))</f>
        <v>Water Use (WU) - m3 H2O</v>
      </c>
      <c r="M13714" s="154" t="str">
        <f t="shared" si="1216"/>
        <v>Low_High_Base_Upgraded_Water Use (WU) - m3 H2O_Clear Cove Primary Clarification; wastewater treatment unit; at updated plant - US_Without Amendment_Aerated Static Pile</v>
      </c>
    </row>
    <row r="13715" spans="1:13" s="120" customFormat="1" x14ac:dyDescent="0.25">
      <c r="A13715" s="119"/>
      <c r="B13715" s="138" t="str">
        <f t="shared" si="1212"/>
        <v>Aerated Static Pile</v>
      </c>
      <c r="C13715" s="138" t="str">
        <f t="shared" si="1213"/>
        <v>Without Amendment</v>
      </c>
      <c r="D13715" s="138" t="str">
        <f t="shared" si="1211"/>
        <v>High_Base</v>
      </c>
      <c r="E13715" s="138" t="str">
        <f t="shared" si="1214"/>
        <v>Low</v>
      </c>
      <c r="F13715" s="138" t="str">
        <f t="shared" si="1215"/>
        <v>Upgraded</v>
      </c>
      <c r="G13715" s="153"/>
      <c r="H13715" s="210">
        <v>0.76070000000000004</v>
      </c>
      <c r="I13715" s="160" t="s">
        <v>55</v>
      </c>
      <c r="J13715" s="160">
        <v>1.6000000000000001E-4</v>
      </c>
      <c r="K13715" s="160" t="s">
        <v>26</v>
      </c>
      <c r="L13715" s="154" t="str">
        <f>IF(OpenLCAbasic!K13715="CTUh", "Fill in Manually",IF(OR(K13715="Unit", K13715=""), "", INDEX(LookUps!$E$5:$E$12, MATCH(OpenLCAbasic!K13715,LookUps!$D$5:$D$12,0))))</f>
        <v>Water Use (WU) - m3 H2O</v>
      </c>
      <c r="M13715" s="154" t="str">
        <f t="shared" si="1216"/>
        <v>Low_High_Base_Upgraded_Water Use (WU) - m3 H2O_Aeration Tanks; wastewater treatment unit; at updated plant - US_Without Amendment_Aerated Static Pile</v>
      </c>
    </row>
    <row r="13716" spans="1:13" s="120" customFormat="1" x14ac:dyDescent="0.25">
      <c r="A13716" s="119"/>
      <c r="B13716" s="138" t="str">
        <f t="shared" si="1212"/>
        <v>Aerated Static Pile</v>
      </c>
      <c r="C13716" s="138" t="str">
        <f t="shared" si="1213"/>
        <v>Without Amendment</v>
      </c>
      <c r="D13716" s="138" t="str">
        <f t="shared" si="1211"/>
        <v>High_Base</v>
      </c>
      <c r="E13716" s="138" t="str">
        <f t="shared" si="1214"/>
        <v>Low</v>
      </c>
      <c r="F13716" s="138" t="str">
        <f t="shared" si="1215"/>
        <v>Upgraded</v>
      </c>
      <c r="G13716" s="153"/>
      <c r="H13716" s="210">
        <v>0.69289999999999996</v>
      </c>
      <c r="I13716" s="160" t="s">
        <v>148</v>
      </c>
      <c r="J13716" s="160">
        <v>1.4999999999999999E-4</v>
      </c>
      <c r="K13716" s="160" t="s">
        <v>26</v>
      </c>
      <c r="L13716" s="154" t="str">
        <f>IF(OpenLCAbasic!K13716="CTUh", "Fill in Manually",IF(OR(K13716="Unit", K13716=""), "", INDEX(LookUps!$E$5:$E$12, MATCH(OpenLCAbasic!K13716,LookUps!$D$5:$D$12,0))))</f>
        <v>Water Use (WU) - m3 H2O</v>
      </c>
      <c r="M13716" s="154" t="str">
        <f t="shared" si="1216"/>
        <v>Low_High_Base_Upgraded_Water Use (WU) - m3 H2O_Control Building; at upgraded wastewater treatment plant - US_Without Amendment_Aerated Static Pile</v>
      </c>
    </row>
    <row r="13717" spans="1:13" s="120" customFormat="1" x14ac:dyDescent="0.25">
      <c r="A13717" s="119"/>
      <c r="B13717" s="138" t="str">
        <f t="shared" si="1212"/>
        <v>Aerated Static Pile</v>
      </c>
      <c r="C13717" s="138" t="str">
        <f t="shared" si="1213"/>
        <v>Without Amendment</v>
      </c>
      <c r="D13717" s="138" t="str">
        <f t="shared" si="1211"/>
        <v>High_Base</v>
      </c>
      <c r="E13717" s="138" t="str">
        <f t="shared" si="1214"/>
        <v>Low</v>
      </c>
      <c r="F13717" s="138" t="str">
        <f t="shared" si="1215"/>
        <v>Upgraded</v>
      </c>
      <c r="G13717" s="153"/>
      <c r="H13717" s="210">
        <v>0.32179999999999997</v>
      </c>
      <c r="I13717" s="160" t="s">
        <v>48</v>
      </c>
      <c r="J13717" s="211">
        <v>6.8836400000000004E-5</v>
      </c>
      <c r="K13717" s="160" t="s">
        <v>26</v>
      </c>
      <c r="L13717" s="154" t="str">
        <f>IF(OpenLCAbasic!K13717="CTUh", "Fill in Manually",IF(OR(K13717="Unit", K13717=""), "", INDEX(LookUps!$E$5:$E$12, MATCH(OpenLCAbasic!K13717,LookUps!$D$5:$D$12,0))))</f>
        <v>Water Use (WU) - m3 H2O</v>
      </c>
      <c r="M13717" s="154" t="str">
        <f t="shared" si="1216"/>
        <v>Low_High_Base_Upgraded_Water Use (WU) - m3 H2O_Effluent release; wastewater treatment unit; at surface water; m3 wastewater - US_Without Amendment_Aerated Static Pile</v>
      </c>
    </row>
    <row r="13718" spans="1:13" s="120" customFormat="1" x14ac:dyDescent="0.25">
      <c r="A13718" s="119"/>
      <c r="B13718" s="138" t="str">
        <f t="shared" si="1212"/>
        <v>Aerated Static Pile</v>
      </c>
      <c r="C13718" s="138" t="str">
        <f t="shared" si="1213"/>
        <v>Without Amendment</v>
      </c>
      <c r="D13718" s="138" t="str">
        <f t="shared" si="1211"/>
        <v>High_Base</v>
      </c>
      <c r="E13718" s="138" t="str">
        <f t="shared" si="1214"/>
        <v>Low</v>
      </c>
      <c r="F13718" s="138" t="str">
        <f t="shared" si="1215"/>
        <v>Upgraded</v>
      </c>
      <c r="G13718" s="153"/>
      <c r="H13718" s="210">
        <v>0.2024</v>
      </c>
      <c r="I13718" s="160" t="s">
        <v>58</v>
      </c>
      <c r="J13718" s="211">
        <v>4.3289399999999999E-5</v>
      </c>
      <c r="K13718" s="160" t="s">
        <v>26</v>
      </c>
      <c r="L13718" s="154" t="str">
        <f>IF(OpenLCAbasic!K13718="CTUh", "Fill in Manually",IF(OR(K13718="Unit", K13718=""), "", INDEX(LookUps!$E$5:$E$12, MATCH(OpenLCAbasic!K13718,LookUps!$D$5:$D$12,0))))</f>
        <v>Water Use (WU) - m3 H2O</v>
      </c>
      <c r="M13718" s="154" t="str">
        <f t="shared" si="1216"/>
        <v>Low_High_Base_Upgraded_Water Use (WU) - m3 H2O_Pre-Anoxic &amp; Swing tank; wastewater treatment unit; at updated plant - US_Without Amendment_Aerated Static Pile</v>
      </c>
    </row>
    <row r="13719" spans="1:13" s="120" customFormat="1" x14ac:dyDescent="0.25">
      <c r="A13719" s="119"/>
      <c r="B13719" s="138" t="str">
        <f t="shared" si="1212"/>
        <v>Aerated Static Pile</v>
      </c>
      <c r="C13719" s="138" t="str">
        <f t="shared" si="1213"/>
        <v>Without Amendment</v>
      </c>
      <c r="D13719" s="138" t="str">
        <f t="shared" si="1211"/>
        <v>High_Base</v>
      </c>
      <c r="E13719" s="138" t="str">
        <f t="shared" si="1214"/>
        <v>Low</v>
      </c>
      <c r="F13719" s="138" t="str">
        <f t="shared" si="1215"/>
        <v>Upgraded</v>
      </c>
      <c r="G13719" s="153"/>
      <c r="H13719" s="210">
        <v>0.19359999999999999</v>
      </c>
      <c r="I13719" s="160" t="s">
        <v>60</v>
      </c>
      <c r="J13719" s="211">
        <v>4.1413099999999998E-5</v>
      </c>
      <c r="K13719" s="160" t="s">
        <v>26</v>
      </c>
      <c r="L13719" s="154" t="str">
        <f>IF(OpenLCAbasic!K13719="CTUh", "Fill in Manually",IF(OR(K13719="Unit", K13719=""), "", INDEX(LookUps!$E$5:$E$12, MATCH(OpenLCAbasic!K13719,LookUps!$D$5:$D$12,0))))</f>
        <v>Water Use (WU) - m3 H2O</v>
      </c>
      <c r="M13719" s="154" t="str">
        <f t="shared" si="1216"/>
        <v>Low_High_Base_Upgraded_Water Use (WU) - m3 H2O_Belt filter press; wastewater treatment unit; at updated plant - US_Without Amendment_Aerated Static Pile</v>
      </c>
    </row>
    <row r="13720" spans="1:13" s="120" customFormat="1" x14ac:dyDescent="0.25">
      <c r="A13720" s="119"/>
      <c r="B13720" s="138" t="str">
        <f t="shared" si="1212"/>
        <v>Aerated Static Pile</v>
      </c>
      <c r="C13720" s="138" t="str">
        <f t="shared" si="1213"/>
        <v>Without Amendment</v>
      </c>
      <c r="D13720" s="138" t="str">
        <f t="shared" si="1211"/>
        <v>High_Base</v>
      </c>
      <c r="E13720" s="138" t="str">
        <f t="shared" si="1214"/>
        <v>Low</v>
      </c>
      <c r="F13720" s="138" t="str">
        <f t="shared" si="1215"/>
        <v>Upgraded</v>
      </c>
      <c r="G13720" s="153"/>
      <c r="H13720" s="210">
        <v>0.1421</v>
      </c>
      <c r="I13720" s="160" t="s">
        <v>57</v>
      </c>
      <c r="J13720" s="211">
        <v>3.0408100000000001E-5</v>
      </c>
      <c r="K13720" s="160" t="s">
        <v>26</v>
      </c>
      <c r="L13720" s="154" t="str">
        <f>IF(OpenLCAbasic!K13720="CTUh", "Fill in Manually",IF(OR(K13720="Unit", K13720=""), "", INDEX(LookUps!$E$5:$E$12, MATCH(OpenLCAbasic!K13720,LookUps!$D$5:$D$12,0))))</f>
        <v>Water Use (WU) - m3 H2O</v>
      </c>
      <c r="M13720" s="154" t="str">
        <f t="shared" si="1216"/>
        <v>Low_High_Base_Upgraded_Water Use (WU) - m3 H2O_Gravity Belt Thickener; wastewater treatment unit; at updated plant - US_Without Amendment_Aerated Static Pile</v>
      </c>
    </row>
    <row r="13721" spans="1:13" s="120" customFormat="1" x14ac:dyDescent="0.25">
      <c r="A13721" s="119"/>
      <c r="B13721" s="138" t="str">
        <f t="shared" si="1212"/>
        <v>Aerated Static Pile</v>
      </c>
      <c r="C13721" s="138" t="str">
        <f t="shared" si="1213"/>
        <v>Without Amendment</v>
      </c>
      <c r="D13721" s="138" t="str">
        <f t="shared" ref="D13721:D13727" si="1217">IF(ISNUMBER($J13721),"High_Base","")</f>
        <v>High_Base</v>
      </c>
      <c r="E13721" s="138" t="str">
        <f t="shared" si="1214"/>
        <v>Low</v>
      </c>
      <c r="F13721" s="138" t="str">
        <f t="shared" si="1215"/>
        <v>Upgraded</v>
      </c>
      <c r="G13721" s="153"/>
      <c r="H13721" s="210">
        <v>8.1799999999999998E-2</v>
      </c>
      <c r="I13721" s="160" t="s">
        <v>53</v>
      </c>
      <c r="J13721" s="211">
        <v>1.75069E-5</v>
      </c>
      <c r="K13721" s="160" t="s">
        <v>26</v>
      </c>
      <c r="L13721" s="154" t="str">
        <f>IF(OpenLCAbasic!K13721="CTUh", "Fill in Manually",IF(OR(K13721="Unit", K13721=""), "", INDEX(LookUps!$E$5:$E$12, MATCH(OpenLCAbasic!K13721,LookUps!$D$5:$D$12,0))))</f>
        <v>Water Use (WU) - m3 H2O</v>
      </c>
      <c r="M13721" s="154" t="str">
        <f t="shared" si="1216"/>
        <v>Low_High_Base_Upgraded_Water Use (WU) - m3 H2O_Wet Well and Sump Station; wastewater treatment unit; at updated plant - US_Without Amendment_Aerated Static Pile</v>
      </c>
    </row>
    <row r="13722" spans="1:13" s="120" customFormat="1" x14ac:dyDescent="0.25">
      <c r="A13722" s="119"/>
      <c r="B13722" s="138" t="str">
        <f t="shared" si="1212"/>
        <v>Aerated Static Pile</v>
      </c>
      <c r="C13722" s="138" t="str">
        <f t="shared" si="1213"/>
        <v>Without Amendment</v>
      </c>
      <c r="D13722" s="138" t="str">
        <f t="shared" si="1217"/>
        <v>High_Base</v>
      </c>
      <c r="E13722" s="138" t="str">
        <f t="shared" si="1214"/>
        <v>Low</v>
      </c>
      <c r="F13722" s="138" t="str">
        <f t="shared" si="1215"/>
        <v>Upgraded</v>
      </c>
      <c r="G13722" s="153"/>
      <c r="H13722" s="210">
        <v>5.2999999999999999E-2</v>
      </c>
      <c r="I13722" s="160" t="s">
        <v>435</v>
      </c>
      <c r="J13722" s="211">
        <v>1.13379E-5</v>
      </c>
      <c r="K13722" s="160" t="s">
        <v>26</v>
      </c>
      <c r="L13722" s="154" t="str">
        <f>IF(OpenLCAbasic!K13722="CTUh", "Fill in Manually",IF(OR(K13722="Unit", K13722=""), "", INDEX(LookUps!$E$5:$E$12, MATCH(OpenLCAbasic!K13722,LookUps!$D$5:$D$12,0))))</f>
        <v>Water Use (WU) - m3 H2O</v>
      </c>
      <c r="M13722" s="154" t="str">
        <f t="shared" si="1216"/>
        <v>Low_High_Base_Upgraded_Water Use (WU) - m3 H2O_Biosolids composting; aerated static pile; wastewater treatment unit; at updated plant - US_Without Amendment_Aerated Static Pile</v>
      </c>
    </row>
    <row r="13723" spans="1:13" s="120" customFormat="1" x14ac:dyDescent="0.25">
      <c r="A13723" s="119"/>
      <c r="B13723" s="138" t="str">
        <f t="shared" si="1212"/>
        <v>Aerated Static Pile</v>
      </c>
      <c r="C13723" s="138" t="str">
        <f t="shared" si="1213"/>
        <v>Without Amendment</v>
      </c>
      <c r="D13723" s="138" t="str">
        <f t="shared" si="1217"/>
        <v>High_Base</v>
      </c>
      <c r="E13723" s="138" t="str">
        <f t="shared" si="1214"/>
        <v>Low</v>
      </c>
      <c r="F13723" s="138" t="str">
        <f t="shared" si="1215"/>
        <v>Upgraded</v>
      </c>
      <c r="G13723" s="153"/>
      <c r="H13723" s="210">
        <v>3.2800000000000003E-2</v>
      </c>
      <c r="I13723" s="160" t="s">
        <v>59</v>
      </c>
      <c r="J13723" s="211">
        <v>7.0179500000000003E-6</v>
      </c>
      <c r="K13723" s="160" t="s">
        <v>26</v>
      </c>
      <c r="L13723" s="154" t="str">
        <f>IF(OpenLCAbasic!K13723="CTUh", "Fill in Manually",IF(OR(K13723="Unit", K13723=""), "", INDEX(LookUps!$E$5:$E$12, MATCH(OpenLCAbasic!K13723,LookUps!$D$5:$D$12,0))))</f>
        <v>Water Use (WU) - m3 H2O</v>
      </c>
      <c r="M13723" s="154" t="str">
        <f t="shared" si="1216"/>
        <v>Low_High_Base_Upgraded_Water Use (WU) - m3 H2O_Blend Tank; wastewater treatment unit; at updated plant - US_Without Amendment_Aerated Static Pile</v>
      </c>
    </row>
    <row r="13724" spans="1:13" s="120" customFormat="1" x14ac:dyDescent="0.25">
      <c r="A13724" s="119"/>
      <c r="B13724" s="138" t="str">
        <f t="shared" si="1212"/>
        <v>Aerated Static Pile</v>
      </c>
      <c r="C13724" s="138" t="str">
        <f t="shared" si="1213"/>
        <v>Without Amendment</v>
      </c>
      <c r="D13724" s="138" t="str">
        <f t="shared" si="1217"/>
        <v>High_Base</v>
      </c>
      <c r="E13724" s="138" t="str">
        <f t="shared" si="1214"/>
        <v>Low</v>
      </c>
      <c r="F13724" s="138" t="str">
        <f t="shared" si="1215"/>
        <v>Upgraded</v>
      </c>
      <c r="G13724" s="153"/>
      <c r="H13724" s="210">
        <v>2.3699999999999999E-2</v>
      </c>
      <c r="I13724" s="160" t="s">
        <v>128</v>
      </c>
      <c r="J13724" s="211">
        <v>5.0608900000000003E-6</v>
      </c>
      <c r="K13724" s="160" t="s">
        <v>26</v>
      </c>
      <c r="L13724" s="154" t="str">
        <f>IF(OpenLCAbasic!K13724="CTUh", "Fill in Manually",IF(OR(K13724="Unit", K13724=""), "", INDEX(LookUps!$E$5:$E$12, MATCH(OpenLCAbasic!K13724,LookUps!$D$5:$D$12,0))))</f>
        <v>Water Use (WU) - m3 H2O</v>
      </c>
      <c r="M13724" s="154" t="str">
        <f t="shared" si="1216"/>
        <v>Low_High_Base_Upgraded_Water Use (WU) - m3 H2O_Wastewater collection; operation and infrastructure; m3 wastewater_Without Amendment_Aerated Static Pile</v>
      </c>
    </row>
    <row r="13725" spans="1:13" s="120" customFormat="1" x14ac:dyDescent="0.25">
      <c r="A13725" s="119"/>
      <c r="B13725" s="138" t="str">
        <f t="shared" si="1212"/>
        <v>Aerated Static Pile</v>
      </c>
      <c r="C13725" s="138" t="str">
        <f t="shared" si="1213"/>
        <v>Without Amendment</v>
      </c>
      <c r="D13725" s="138" t="str">
        <f t="shared" si="1217"/>
        <v>High_Base</v>
      </c>
      <c r="E13725" s="138" t="str">
        <f t="shared" si="1214"/>
        <v>Low</v>
      </c>
      <c r="F13725" s="138" t="str">
        <f t="shared" si="1215"/>
        <v>Upgraded</v>
      </c>
      <c r="G13725" s="153"/>
      <c r="H13725" s="210">
        <v>3.5999999999999999E-3</v>
      </c>
      <c r="I13725" s="160" t="s">
        <v>168</v>
      </c>
      <c r="J13725" s="211">
        <v>7.6697000000000004E-7</v>
      </c>
      <c r="K13725" s="160" t="s">
        <v>26</v>
      </c>
      <c r="L13725" s="154" t="str">
        <f>IF(OpenLCAbasic!K13725="CTUh", "Fill in Manually",IF(OR(K13725="Unit", K13725=""), "", INDEX(LookUps!$E$5:$E$12, MATCH(OpenLCAbasic!K13725,LookUps!$D$5:$D$12,0))))</f>
        <v>Water Use (WU) - m3 H2O</v>
      </c>
      <c r="M13725" s="154" t="str">
        <f t="shared" si="1216"/>
        <v>Low_High_Base_Upgraded_Water Use (WU) - m3 H2O_ClearCove SCP; wastewater treatment unit; at updated plant - US_Without Amendment_Aerated Static Pile</v>
      </c>
    </row>
    <row r="13726" spans="1:13" s="120" customFormat="1" x14ac:dyDescent="0.25">
      <c r="A13726" s="119"/>
      <c r="B13726" s="138" t="str">
        <f t="shared" si="1212"/>
        <v>Aerated Static Pile</v>
      </c>
      <c r="C13726" s="138" t="str">
        <f t="shared" si="1213"/>
        <v>Without Amendment</v>
      </c>
      <c r="D13726" s="138" t="str">
        <f t="shared" si="1217"/>
        <v>High_Base</v>
      </c>
      <c r="E13726" s="138" t="str">
        <f t="shared" si="1214"/>
        <v>Low</v>
      </c>
      <c r="F13726" s="138" t="str">
        <f t="shared" si="1215"/>
        <v>Upgraded</v>
      </c>
      <c r="G13726" s="153"/>
      <c r="H13726" s="210">
        <v>-0.5393</v>
      </c>
      <c r="I13726" s="160" t="s">
        <v>149</v>
      </c>
      <c r="J13726" s="160">
        <v>-1.2E-4</v>
      </c>
      <c r="K13726" s="160" t="s">
        <v>26</v>
      </c>
      <c r="L13726" s="154" t="str">
        <f>IF(OpenLCAbasic!K13726="CTUh", "Fill in Manually",IF(OR(K13726="Unit", K13726=""), "", INDEX(LookUps!$E$5:$E$12, MATCH(OpenLCAbasic!K13726,LookUps!$D$5:$D$12,0))))</f>
        <v>Water Use (WU) - m3 H2O</v>
      </c>
      <c r="M13726" s="154" t="str">
        <f t="shared" si="1216"/>
        <v>Low_High_Base_Upgraded_Water Use (WU) - m3 H2O_Anaerobic Digestion; wastewater treatment unit; at updated plant - US_Without Amendment_Aerated Static Pile</v>
      </c>
    </row>
    <row r="13727" spans="1:13" s="120" customFormat="1" x14ac:dyDescent="0.25">
      <c r="A13727" s="119"/>
      <c r="B13727" s="138" t="str">
        <f t="shared" si="1212"/>
        <v>Aerated Static Pile</v>
      </c>
      <c r="C13727" s="138" t="str">
        <f t="shared" si="1213"/>
        <v>Without Amendment</v>
      </c>
      <c r="D13727" s="138" t="str">
        <f t="shared" si="1217"/>
        <v>High_Base</v>
      </c>
      <c r="E13727" s="138" t="str">
        <f t="shared" si="1214"/>
        <v>Low</v>
      </c>
      <c r="F13727" s="138" t="str">
        <f t="shared" si="1215"/>
        <v>Upgraded</v>
      </c>
      <c r="G13727" s="153"/>
      <c r="H13727" s="210">
        <v>-6.2374999999999998</v>
      </c>
      <c r="I13727" s="160" t="s">
        <v>62</v>
      </c>
      <c r="J13727" s="160">
        <v>-1.33E-3</v>
      </c>
      <c r="K13727" s="160" t="s">
        <v>26</v>
      </c>
      <c r="L13727" s="154" t="str">
        <f>IF(OpenLCAbasic!K13727="CTUh", "Fill in Manually",IF(OR(K13727="Unit", K13727=""), "", INDEX(LookUps!$E$5:$E$12, MATCH(OpenLCAbasic!K13727,LookUps!$D$5:$D$12,0))))</f>
        <v>Water Use (WU) - m3 H2O</v>
      </c>
      <c r="M13727" s="154" t="str">
        <f t="shared" si="1216"/>
        <v>Low_High_Base_Upgraded_Water Use (WU) - m3 H2O_Land application of compost; wastewater treatment unit; at updated plant - US_Without Amendment_Aerated Static Pile</v>
      </c>
    </row>
    <row r="13728" spans="1:13" s="120" customFormat="1" x14ac:dyDescent="0.25">
      <c r="A13728" s="119"/>
      <c r="B13728" s="138" t="str">
        <f t="shared" si="1212"/>
        <v/>
      </c>
      <c r="C13728" s="138" t="str">
        <f t="shared" si="1213"/>
        <v/>
      </c>
      <c r="D13728" s="138" t="str">
        <f>IF(ISNUMBER($J13728),"High_High","")</f>
        <v/>
      </c>
      <c r="E13728" s="138" t="str">
        <f t="shared" si="1214"/>
        <v/>
      </c>
      <c r="F13728" s="138" t="str">
        <f t="shared" si="1215"/>
        <v/>
      </c>
      <c r="G13728" s="153" t="s">
        <v>51</v>
      </c>
      <c r="H13728" s="160"/>
      <c r="I13728" s="160" t="s">
        <v>47</v>
      </c>
      <c r="J13728" s="160" t="s">
        <v>52</v>
      </c>
      <c r="K13728" s="160" t="s">
        <v>27</v>
      </c>
      <c r="L13728" s="154" t="str">
        <f>IF(OpenLCAbasic!K13728="CTUh", "Fill in Manually",IF(OR(K13728="Unit", K13728=""), "", INDEX(LookUps!$E$5:$E$12, MATCH(OpenLCAbasic!K13728,LookUps!$D$5:$D$12,0))))</f>
        <v/>
      </c>
      <c r="M13728" s="154" t="str">
        <f t="shared" si="1216"/>
        <v>____Process__</v>
      </c>
    </row>
    <row r="13729" spans="1:13" s="120" customFormat="1" x14ac:dyDescent="0.25">
      <c r="A13729" s="119"/>
      <c r="B13729" s="138" t="str">
        <f t="shared" si="1212"/>
        <v>Aerated Static Pile</v>
      </c>
      <c r="C13729" s="138" t="str">
        <f t="shared" si="1213"/>
        <v>Without Amendment</v>
      </c>
      <c r="D13729" s="138" t="str">
        <f t="shared" ref="D13729:D13792" si="1218">IF(ISNUMBER($J13729),"High_High","")</f>
        <v>High_High</v>
      </c>
      <c r="E13729" s="138" t="str">
        <f t="shared" si="1214"/>
        <v>Low</v>
      </c>
      <c r="F13729" s="138" t="str">
        <f t="shared" si="1215"/>
        <v>Upgraded</v>
      </c>
      <c r="G13729" s="153"/>
      <c r="H13729" s="210">
        <v>0.3372</v>
      </c>
      <c r="I13729" s="160" t="s">
        <v>55</v>
      </c>
      <c r="J13729" s="160">
        <v>1.7219999999999999E-2</v>
      </c>
      <c r="K13729" s="160" t="s">
        <v>24</v>
      </c>
      <c r="L13729" s="154" t="str">
        <f>IF(OpenLCAbasic!K13729="CTUh", "Fill in Manually",IF(OR(K13729="Unit", K13729=""), "", INDEX(LookUps!$E$5:$E$12, MATCH(OpenLCAbasic!K13729,LookUps!$D$5:$D$12,0))))</f>
        <v>Acidification Potential (AP) - kg SO2 eq</v>
      </c>
      <c r="M13729" s="154" t="str">
        <f t="shared" si="1216"/>
        <v>Low_High_High_Upgraded_Acidification Potential (AP) - kg SO2 eq_Aeration Tanks; wastewater treatment unit; at updated plant - US_Without Amendment_Aerated Static Pile</v>
      </c>
    </row>
    <row r="13730" spans="1:13" s="120" customFormat="1" x14ac:dyDescent="0.25">
      <c r="A13730" s="119"/>
      <c r="B13730" s="138" t="str">
        <f t="shared" si="1212"/>
        <v>Aerated Static Pile</v>
      </c>
      <c r="C13730" s="138" t="str">
        <f t="shared" si="1213"/>
        <v>Without Amendment</v>
      </c>
      <c r="D13730" s="138" t="str">
        <f t="shared" si="1218"/>
        <v>High_High</v>
      </c>
      <c r="E13730" s="138" t="str">
        <f t="shared" si="1214"/>
        <v>Low</v>
      </c>
      <c r="F13730" s="138" t="str">
        <f t="shared" si="1215"/>
        <v>Upgraded</v>
      </c>
      <c r="G13730" s="153"/>
      <c r="H13730" s="210">
        <v>9.7500000000000003E-2</v>
      </c>
      <c r="I13730" s="160" t="s">
        <v>54</v>
      </c>
      <c r="J13730" s="160">
        <v>4.9800000000000001E-3</v>
      </c>
      <c r="K13730" s="160" t="s">
        <v>24</v>
      </c>
      <c r="L13730" s="154" t="str">
        <f>IF(OpenLCAbasic!K13730="CTUh", "Fill in Manually",IF(OR(K13730="Unit", K13730=""), "", INDEX(LookUps!$E$5:$E$12, MATCH(OpenLCAbasic!K13730,LookUps!$D$5:$D$12,0))))</f>
        <v>Acidification Potential (AP) - kg SO2 eq</v>
      </c>
      <c r="M13730" s="154" t="str">
        <f t="shared" si="1216"/>
        <v>Low_High_High_Upgraded_Acidification Potential (AP) - kg SO2 eq_Clear Cove Primary Clarification; wastewater treatment unit; at updated plant - US_Without Amendment_Aerated Static Pile</v>
      </c>
    </row>
    <row r="13731" spans="1:13" s="120" customFormat="1" x14ac:dyDescent="0.25">
      <c r="A13731" s="119"/>
      <c r="B13731" s="138" t="str">
        <f t="shared" si="1212"/>
        <v>Aerated Static Pile</v>
      </c>
      <c r="C13731" s="138" t="str">
        <f t="shared" si="1213"/>
        <v>Without Amendment</v>
      </c>
      <c r="D13731" s="138" t="str">
        <f t="shared" si="1218"/>
        <v>High_High</v>
      </c>
      <c r="E13731" s="138" t="str">
        <f t="shared" si="1214"/>
        <v>Low</v>
      </c>
      <c r="F13731" s="138" t="str">
        <f t="shared" si="1215"/>
        <v>Upgraded</v>
      </c>
      <c r="G13731" s="153"/>
      <c r="H13731" s="210">
        <v>8.5400000000000004E-2</v>
      </c>
      <c r="I13731" s="160" t="s">
        <v>58</v>
      </c>
      <c r="J13731" s="160">
        <v>4.3600000000000002E-3</v>
      </c>
      <c r="K13731" s="160" t="s">
        <v>24</v>
      </c>
      <c r="L13731" s="154" t="str">
        <f>IF(OpenLCAbasic!K13731="CTUh", "Fill in Manually",IF(OR(K13731="Unit", K13731=""), "", INDEX(LookUps!$E$5:$E$12, MATCH(OpenLCAbasic!K13731,LookUps!$D$5:$D$12,0))))</f>
        <v>Acidification Potential (AP) - kg SO2 eq</v>
      </c>
      <c r="M13731" s="154" t="str">
        <f t="shared" si="1216"/>
        <v>Low_High_High_Upgraded_Acidification Potential (AP) - kg SO2 eq_Pre-Anoxic &amp; Swing tank; wastewater treatment unit; at updated plant - US_Without Amendment_Aerated Static Pile</v>
      </c>
    </row>
    <row r="13732" spans="1:13" s="120" customFormat="1" x14ac:dyDescent="0.25">
      <c r="A13732" s="119"/>
      <c r="B13732" s="138" t="str">
        <f t="shared" si="1212"/>
        <v>Aerated Static Pile</v>
      </c>
      <c r="C13732" s="138" t="str">
        <f t="shared" si="1213"/>
        <v>Without Amendment</v>
      </c>
      <c r="D13732" s="138" t="str">
        <f t="shared" si="1218"/>
        <v>High_High</v>
      </c>
      <c r="E13732" s="138" t="str">
        <f t="shared" si="1214"/>
        <v>Low</v>
      </c>
      <c r="F13732" s="138" t="str">
        <f t="shared" si="1215"/>
        <v>Upgraded</v>
      </c>
      <c r="G13732" s="153"/>
      <c r="H13732" s="210">
        <v>6.7900000000000002E-2</v>
      </c>
      <c r="I13732" s="160" t="s">
        <v>62</v>
      </c>
      <c r="J13732" s="160">
        <v>3.47E-3</v>
      </c>
      <c r="K13732" s="160" t="s">
        <v>24</v>
      </c>
      <c r="L13732" s="154" t="str">
        <f>IF(OpenLCAbasic!K13732="CTUh", "Fill in Manually",IF(OR(K13732="Unit", K13732=""), "", INDEX(LookUps!$E$5:$E$12, MATCH(OpenLCAbasic!K13732,LookUps!$D$5:$D$12,0))))</f>
        <v>Acidification Potential (AP) - kg SO2 eq</v>
      </c>
      <c r="M13732" s="154" t="str">
        <f t="shared" si="1216"/>
        <v>Low_High_High_Upgraded_Acidification Potential (AP) - kg SO2 eq_Land application of compost; wastewater treatment unit; at updated plant - US_Without Amendment_Aerated Static Pile</v>
      </c>
    </row>
    <row r="13733" spans="1:13" s="120" customFormat="1" x14ac:dyDescent="0.25">
      <c r="A13733" s="119"/>
      <c r="B13733" s="138" t="str">
        <f t="shared" si="1212"/>
        <v>Aerated Static Pile</v>
      </c>
      <c r="C13733" s="138" t="str">
        <f t="shared" si="1213"/>
        <v>Without Amendment</v>
      </c>
      <c r="D13733" s="138" t="str">
        <f t="shared" si="1218"/>
        <v>High_High</v>
      </c>
      <c r="E13733" s="138" t="str">
        <f t="shared" si="1214"/>
        <v>Low</v>
      </c>
      <c r="F13733" s="138" t="str">
        <f t="shared" si="1215"/>
        <v>Upgraded</v>
      </c>
      <c r="G13733" s="153"/>
      <c r="H13733" s="210">
        <v>6.7599999999999993E-2</v>
      </c>
      <c r="I13733" s="160" t="s">
        <v>53</v>
      </c>
      <c r="J13733" s="160">
        <v>3.4499999999999999E-3</v>
      </c>
      <c r="K13733" s="160" t="s">
        <v>24</v>
      </c>
      <c r="L13733" s="154" t="str">
        <f>IF(OpenLCAbasic!K13733="CTUh", "Fill in Manually",IF(OR(K13733="Unit", K13733=""), "", INDEX(LookUps!$E$5:$E$12, MATCH(OpenLCAbasic!K13733,LookUps!$D$5:$D$12,0))))</f>
        <v>Acidification Potential (AP) - kg SO2 eq</v>
      </c>
      <c r="M13733" s="154" t="str">
        <f t="shared" si="1216"/>
        <v>Low_High_High_Upgraded_Acidification Potential (AP) - kg SO2 eq_Wet Well and Sump Station; wastewater treatment unit; at updated plant - US_Without Amendment_Aerated Static Pile</v>
      </c>
    </row>
    <row r="13734" spans="1:13" s="120" customFormat="1" x14ac:dyDescent="0.25">
      <c r="A13734" s="119"/>
      <c r="B13734" s="138" t="str">
        <f t="shared" si="1212"/>
        <v>Aerated Static Pile</v>
      </c>
      <c r="C13734" s="138" t="str">
        <f t="shared" si="1213"/>
        <v>Without Amendment</v>
      </c>
      <c r="D13734" s="138" t="str">
        <f t="shared" si="1218"/>
        <v>High_High</v>
      </c>
      <c r="E13734" s="138" t="str">
        <f t="shared" si="1214"/>
        <v>Low</v>
      </c>
      <c r="F13734" s="138" t="str">
        <f t="shared" si="1215"/>
        <v>Upgraded</v>
      </c>
      <c r="G13734" s="153"/>
      <c r="H13734" s="210">
        <v>5.9499999999999997E-2</v>
      </c>
      <c r="I13734" s="160" t="s">
        <v>435</v>
      </c>
      <c r="J13734" s="160">
        <v>3.0400000000000002E-3</v>
      </c>
      <c r="K13734" s="160" t="s">
        <v>24</v>
      </c>
      <c r="L13734" s="154" t="str">
        <f>IF(OpenLCAbasic!K13734="CTUh", "Fill in Manually",IF(OR(K13734="Unit", K13734=""), "", INDEX(LookUps!$E$5:$E$12, MATCH(OpenLCAbasic!K13734,LookUps!$D$5:$D$12,0))))</f>
        <v>Acidification Potential (AP) - kg SO2 eq</v>
      </c>
      <c r="M13734" s="154" t="str">
        <f t="shared" si="1216"/>
        <v>Low_High_High_Upgraded_Acidification Potential (AP) - kg SO2 eq_Biosolids composting; aerated static pile; wastewater treatment unit; at updated plant - US_Without Amendment_Aerated Static Pile</v>
      </c>
    </row>
    <row r="13735" spans="1:13" s="120" customFormat="1" x14ac:dyDescent="0.25">
      <c r="A13735" s="119"/>
      <c r="B13735" s="138" t="str">
        <f t="shared" si="1212"/>
        <v>Aerated Static Pile</v>
      </c>
      <c r="C13735" s="138" t="str">
        <f t="shared" si="1213"/>
        <v>Without Amendment</v>
      </c>
      <c r="D13735" s="138" t="str">
        <f t="shared" si="1218"/>
        <v>High_High</v>
      </c>
      <c r="E13735" s="138" t="str">
        <f t="shared" si="1214"/>
        <v>Low</v>
      </c>
      <c r="F13735" s="138" t="str">
        <f t="shared" si="1215"/>
        <v>Upgraded</v>
      </c>
      <c r="G13735" s="153"/>
      <c r="H13735" s="210">
        <v>5.2900000000000003E-2</v>
      </c>
      <c r="I13735" s="160" t="s">
        <v>167</v>
      </c>
      <c r="J13735" s="160">
        <v>2.7000000000000001E-3</v>
      </c>
      <c r="K13735" s="160" t="s">
        <v>24</v>
      </c>
      <c r="L13735" s="154" t="str">
        <f>IF(OpenLCAbasic!K13735="CTUh", "Fill in Manually",IF(OR(K13735="Unit", K13735=""), "", INDEX(LookUps!$E$5:$E$12, MATCH(OpenLCAbasic!K13735,LookUps!$D$5:$D$12,0))))</f>
        <v>Acidification Potential (AP) - kg SO2 eq</v>
      </c>
      <c r="M13735" s="154" t="str">
        <f t="shared" si="1216"/>
        <v>Low_High_High_Upgraded_Acidification Potential (AP) - kg SO2 eq_Waste Receiving and Holding; wastewater treatment unit; at updated plant - US_Without Amendment_Aerated Static Pile</v>
      </c>
    </row>
    <row r="13736" spans="1:13" s="120" customFormat="1" x14ac:dyDescent="0.25">
      <c r="A13736" s="119"/>
      <c r="B13736" s="138" t="str">
        <f t="shared" si="1212"/>
        <v>Aerated Static Pile</v>
      </c>
      <c r="C13736" s="138" t="str">
        <f t="shared" si="1213"/>
        <v>Without Amendment</v>
      </c>
      <c r="D13736" s="138" t="str">
        <f t="shared" si="1218"/>
        <v>High_High</v>
      </c>
      <c r="E13736" s="138" t="str">
        <f t="shared" si="1214"/>
        <v>Low</v>
      </c>
      <c r="F13736" s="138" t="str">
        <f t="shared" si="1215"/>
        <v>Upgraded</v>
      </c>
      <c r="G13736" s="153"/>
      <c r="H13736" s="210">
        <v>4.0500000000000001E-2</v>
      </c>
      <c r="I13736" s="160" t="s">
        <v>147</v>
      </c>
      <c r="J13736" s="160">
        <v>2.0699999999999998E-3</v>
      </c>
      <c r="K13736" s="160" t="s">
        <v>24</v>
      </c>
      <c r="L13736" s="154" t="str">
        <f>IF(OpenLCAbasic!K13736="CTUh", "Fill in Manually",IF(OR(K13736="Unit", K13736=""), "", INDEX(LookUps!$E$5:$E$12, MATCH(OpenLCAbasic!K13736,LookUps!$D$5:$D$12,0))))</f>
        <v>Acidification Potential (AP) - kg SO2 eq</v>
      </c>
      <c r="M13736" s="154" t="str">
        <f t="shared" si="1216"/>
        <v>Low_High_High_Upgraded_Acidification Potential (AP) - kg SO2 eq_Influent Pump Station; wastewater treatment unit; at updated plant - US_Without Amendment_Aerated Static Pile</v>
      </c>
    </row>
    <row r="13737" spans="1:13" s="120" customFormat="1" x14ac:dyDescent="0.25">
      <c r="A13737" s="119"/>
      <c r="B13737" s="138" t="str">
        <f t="shared" ref="B13737:B13800" si="1219">IF(F13737="Legacy","n.a.",IF(F13737="","","Aerated Static Pile"))</f>
        <v>Aerated Static Pile</v>
      </c>
      <c r="C13737" s="138" t="str">
        <f t="shared" ref="C13737:C13800" si="1220">IF(ISNUMBER($J13737),"Without Amendment","")</f>
        <v>Without Amendment</v>
      </c>
      <c r="D13737" s="138" t="str">
        <f t="shared" si="1218"/>
        <v>High_High</v>
      </c>
      <c r="E13737" s="138" t="str">
        <f t="shared" ref="E13737:E13800" si="1221">IF(ISNUMBER($J13737),"Low","")</f>
        <v>Low</v>
      </c>
      <c r="F13737" s="138" t="str">
        <f t="shared" ref="F13737:F13800" si="1222">IF(ISNUMBER(J13737),"Upgraded","")</f>
        <v>Upgraded</v>
      </c>
      <c r="G13737" s="153"/>
      <c r="H13737" s="210">
        <v>2.7099999999999999E-2</v>
      </c>
      <c r="I13737" s="160" t="s">
        <v>60</v>
      </c>
      <c r="J13737" s="160">
        <v>1.3799999999999999E-3</v>
      </c>
      <c r="K13737" s="160" t="s">
        <v>24</v>
      </c>
      <c r="L13737" s="154" t="str">
        <f>IF(OpenLCAbasic!K13737="CTUh", "Fill in Manually",IF(OR(K13737="Unit", K13737=""), "", INDEX(LookUps!$E$5:$E$12, MATCH(OpenLCAbasic!K13737,LookUps!$D$5:$D$12,0))))</f>
        <v>Acidification Potential (AP) - kg SO2 eq</v>
      </c>
      <c r="M13737" s="154" t="str">
        <f t="shared" si="1216"/>
        <v>Low_High_High_Upgraded_Acidification Potential (AP) - kg SO2 eq_Belt filter press; wastewater treatment unit; at updated plant - US_Without Amendment_Aerated Static Pile</v>
      </c>
    </row>
    <row r="13738" spans="1:13" s="120" customFormat="1" x14ac:dyDescent="0.25">
      <c r="A13738" s="119"/>
      <c r="B13738" s="138" t="str">
        <f t="shared" si="1219"/>
        <v>Aerated Static Pile</v>
      </c>
      <c r="C13738" s="138" t="str">
        <f t="shared" si="1220"/>
        <v>Without Amendment</v>
      </c>
      <c r="D13738" s="138" t="str">
        <f t="shared" si="1218"/>
        <v>High_High</v>
      </c>
      <c r="E13738" s="138" t="str">
        <f t="shared" si="1221"/>
        <v>Low</v>
      </c>
      <c r="F13738" s="138" t="str">
        <f t="shared" si="1222"/>
        <v>Upgraded</v>
      </c>
      <c r="G13738" s="153"/>
      <c r="H13738" s="210">
        <v>2.41E-2</v>
      </c>
      <c r="I13738" s="160" t="s">
        <v>128</v>
      </c>
      <c r="J13738" s="160">
        <v>1.23E-3</v>
      </c>
      <c r="K13738" s="160" t="s">
        <v>24</v>
      </c>
      <c r="L13738" s="154" t="str">
        <f>IF(OpenLCAbasic!K13738="CTUh", "Fill in Manually",IF(OR(K13738="Unit", K13738=""), "", INDEX(LookUps!$E$5:$E$12, MATCH(OpenLCAbasic!K13738,LookUps!$D$5:$D$12,0))))</f>
        <v>Acidification Potential (AP) - kg SO2 eq</v>
      </c>
      <c r="M13738" s="154" t="str">
        <f t="shared" si="1216"/>
        <v>Low_High_High_Upgraded_Acidification Potential (AP) - kg SO2 eq_Wastewater collection; operation and infrastructure; m3 wastewater_Without Amendment_Aerated Static Pile</v>
      </c>
    </row>
    <row r="13739" spans="1:13" s="120" customFormat="1" x14ac:dyDescent="0.25">
      <c r="A13739" s="119"/>
      <c r="B13739" s="138" t="str">
        <f t="shared" si="1219"/>
        <v>Aerated Static Pile</v>
      </c>
      <c r="C13739" s="138" t="str">
        <f t="shared" si="1220"/>
        <v>Without Amendment</v>
      </c>
      <c r="D13739" s="138" t="str">
        <f t="shared" si="1218"/>
        <v>High_High</v>
      </c>
      <c r="E13739" s="138" t="str">
        <f t="shared" si="1221"/>
        <v>Low</v>
      </c>
      <c r="F13739" s="138" t="str">
        <f t="shared" si="1222"/>
        <v>Upgraded</v>
      </c>
      <c r="G13739" s="153"/>
      <c r="H13739" s="210">
        <v>1.38E-2</v>
      </c>
      <c r="I13739" s="160" t="s">
        <v>57</v>
      </c>
      <c r="J13739" s="160">
        <v>6.9999999999999999E-4</v>
      </c>
      <c r="K13739" s="160" t="s">
        <v>24</v>
      </c>
      <c r="L13739" s="154" t="str">
        <f>IF(OpenLCAbasic!K13739="CTUh", "Fill in Manually",IF(OR(K13739="Unit", K13739=""), "", INDEX(LookUps!$E$5:$E$12, MATCH(OpenLCAbasic!K13739,LookUps!$D$5:$D$12,0))))</f>
        <v>Acidification Potential (AP) - kg SO2 eq</v>
      </c>
      <c r="M13739" s="154" t="str">
        <f t="shared" si="1216"/>
        <v>Low_High_High_Upgraded_Acidification Potential (AP) - kg SO2 eq_Gravity Belt Thickener; wastewater treatment unit; at updated plant - US_Without Amendment_Aerated Static Pile</v>
      </c>
    </row>
    <row r="13740" spans="1:13" s="120" customFormat="1" x14ac:dyDescent="0.25">
      <c r="A13740" s="119"/>
      <c r="B13740" s="138" t="str">
        <f t="shared" si="1219"/>
        <v>Aerated Static Pile</v>
      </c>
      <c r="C13740" s="138" t="str">
        <f t="shared" si="1220"/>
        <v>Without Amendment</v>
      </c>
      <c r="D13740" s="138" t="str">
        <f t="shared" si="1218"/>
        <v>High_High</v>
      </c>
      <c r="E13740" s="138" t="str">
        <f t="shared" si="1221"/>
        <v>Low</v>
      </c>
      <c r="F13740" s="138" t="str">
        <f t="shared" si="1222"/>
        <v>Upgraded</v>
      </c>
      <c r="G13740" s="153"/>
      <c r="H13740" s="210">
        <v>1.01E-2</v>
      </c>
      <c r="I13740" s="160" t="s">
        <v>59</v>
      </c>
      <c r="J13740" s="160">
        <v>5.1999999999999995E-4</v>
      </c>
      <c r="K13740" s="160" t="s">
        <v>24</v>
      </c>
      <c r="L13740" s="154" t="str">
        <f>IF(OpenLCAbasic!K13740="CTUh", "Fill in Manually",IF(OR(K13740="Unit", K13740=""), "", INDEX(LookUps!$E$5:$E$12, MATCH(OpenLCAbasic!K13740,LookUps!$D$5:$D$12,0))))</f>
        <v>Acidification Potential (AP) - kg SO2 eq</v>
      </c>
      <c r="M13740" s="154" t="str">
        <f t="shared" si="1216"/>
        <v>Low_High_High_Upgraded_Acidification Potential (AP) - kg SO2 eq_Blend Tank; wastewater treatment unit; at updated plant - US_Without Amendment_Aerated Static Pile</v>
      </c>
    </row>
    <row r="13741" spans="1:13" s="120" customFormat="1" x14ac:dyDescent="0.25">
      <c r="A13741" s="119"/>
      <c r="B13741" s="138" t="str">
        <f t="shared" si="1219"/>
        <v>Aerated Static Pile</v>
      </c>
      <c r="C13741" s="138" t="str">
        <f t="shared" si="1220"/>
        <v>Without Amendment</v>
      </c>
      <c r="D13741" s="138" t="str">
        <f t="shared" si="1218"/>
        <v>High_High</v>
      </c>
      <c r="E13741" s="138" t="str">
        <f t="shared" si="1221"/>
        <v>Low</v>
      </c>
      <c r="F13741" s="138" t="str">
        <f t="shared" si="1222"/>
        <v>Upgraded</v>
      </c>
      <c r="G13741" s="153"/>
      <c r="H13741" s="210">
        <v>6.7999999999999996E-3</v>
      </c>
      <c r="I13741" s="160" t="s">
        <v>48</v>
      </c>
      <c r="J13741" s="160">
        <v>3.5E-4</v>
      </c>
      <c r="K13741" s="160" t="s">
        <v>24</v>
      </c>
      <c r="L13741" s="154" t="str">
        <f>IF(OpenLCAbasic!K13741="CTUh", "Fill in Manually",IF(OR(K13741="Unit", K13741=""), "", INDEX(LookUps!$E$5:$E$12, MATCH(OpenLCAbasic!K13741,LookUps!$D$5:$D$12,0))))</f>
        <v>Acidification Potential (AP) - kg SO2 eq</v>
      </c>
      <c r="M13741" s="154" t="str">
        <f t="shared" si="1216"/>
        <v>Low_High_High_Upgraded_Acidification Potential (AP) - kg SO2 eq_Effluent release; wastewater treatment unit; at surface water; m3 wastewater - US_Without Amendment_Aerated Static Pile</v>
      </c>
    </row>
    <row r="13742" spans="1:13" s="120" customFormat="1" x14ac:dyDescent="0.25">
      <c r="A13742" s="119"/>
      <c r="B13742" s="138" t="str">
        <f t="shared" si="1219"/>
        <v>Aerated Static Pile</v>
      </c>
      <c r="C13742" s="138" t="str">
        <f t="shared" si="1220"/>
        <v>Without Amendment</v>
      </c>
      <c r="D13742" s="138" t="str">
        <f t="shared" si="1218"/>
        <v>High_High</v>
      </c>
      <c r="E13742" s="138" t="str">
        <f t="shared" si="1221"/>
        <v>Low</v>
      </c>
      <c r="F13742" s="138" t="str">
        <f t="shared" si="1222"/>
        <v>Upgraded</v>
      </c>
      <c r="G13742" s="153"/>
      <c r="H13742" s="210">
        <v>5.0000000000000001E-3</v>
      </c>
      <c r="I13742" s="160" t="s">
        <v>168</v>
      </c>
      <c r="J13742" s="160">
        <v>2.5999999999999998E-4</v>
      </c>
      <c r="K13742" s="160" t="s">
        <v>24</v>
      </c>
      <c r="L13742" s="154" t="str">
        <f>IF(OpenLCAbasic!K13742="CTUh", "Fill in Manually",IF(OR(K13742="Unit", K13742=""), "", INDEX(LookUps!$E$5:$E$12, MATCH(OpenLCAbasic!K13742,LookUps!$D$5:$D$12,0))))</f>
        <v>Acidification Potential (AP) - kg SO2 eq</v>
      </c>
      <c r="M13742" s="154" t="str">
        <f t="shared" si="1216"/>
        <v>Low_High_High_Upgraded_Acidification Potential (AP) - kg SO2 eq_ClearCove SCP; wastewater treatment unit; at updated plant - US_Without Amendment_Aerated Static Pile</v>
      </c>
    </row>
    <row r="13743" spans="1:13" s="120" customFormat="1" x14ac:dyDescent="0.25">
      <c r="A13743" s="119"/>
      <c r="B13743" s="138" t="str">
        <f t="shared" si="1219"/>
        <v>Aerated Static Pile</v>
      </c>
      <c r="C13743" s="138" t="str">
        <f t="shared" si="1220"/>
        <v>Without Amendment</v>
      </c>
      <c r="D13743" s="138" t="str">
        <f t="shared" si="1218"/>
        <v>High_High</v>
      </c>
      <c r="E13743" s="138" t="str">
        <f t="shared" si="1221"/>
        <v>Low</v>
      </c>
      <c r="F13743" s="138" t="str">
        <f t="shared" si="1222"/>
        <v>Upgraded</v>
      </c>
      <c r="G13743" s="153"/>
      <c r="H13743" s="210">
        <v>8.0000000000000004E-4</v>
      </c>
      <c r="I13743" s="160" t="s">
        <v>148</v>
      </c>
      <c r="J13743" s="211">
        <v>4.0354700000000002E-5</v>
      </c>
      <c r="K13743" s="160" t="s">
        <v>24</v>
      </c>
      <c r="L13743" s="154" t="str">
        <f>IF(OpenLCAbasic!K13743="CTUh", "Fill in Manually",IF(OR(K13743="Unit", K13743=""), "", INDEX(LookUps!$E$5:$E$12, MATCH(OpenLCAbasic!K13743,LookUps!$D$5:$D$12,0))))</f>
        <v>Acidification Potential (AP) - kg SO2 eq</v>
      </c>
      <c r="M13743" s="154" t="str">
        <f t="shared" si="1216"/>
        <v>Low_High_High_Upgraded_Acidification Potential (AP) - kg SO2 eq_Control Building; at upgraded wastewater treatment plant - US_Without Amendment_Aerated Static Pile</v>
      </c>
    </row>
    <row r="13744" spans="1:13" s="120" customFormat="1" x14ac:dyDescent="0.25">
      <c r="A13744" s="119"/>
      <c r="B13744" s="138" t="str">
        <f t="shared" si="1219"/>
        <v>Aerated Static Pile</v>
      </c>
      <c r="C13744" s="138" t="str">
        <f t="shared" si="1220"/>
        <v>Without Amendment</v>
      </c>
      <c r="D13744" s="138" t="str">
        <f t="shared" si="1218"/>
        <v>High_High</v>
      </c>
      <c r="E13744" s="138" t="str">
        <f t="shared" si="1221"/>
        <v>Low</v>
      </c>
      <c r="F13744" s="138" t="str">
        <f t="shared" si="1222"/>
        <v>Upgraded</v>
      </c>
      <c r="G13744" s="153"/>
      <c r="H13744" s="210">
        <v>-1.8962000000000001</v>
      </c>
      <c r="I13744" s="160" t="s">
        <v>149</v>
      </c>
      <c r="J13744" s="160">
        <v>-9.6839999999999996E-2</v>
      </c>
      <c r="K13744" s="160" t="s">
        <v>24</v>
      </c>
      <c r="L13744" s="154" t="str">
        <f>IF(OpenLCAbasic!K13744="CTUh", "Fill in Manually",IF(OR(K13744="Unit", K13744=""), "", INDEX(LookUps!$E$5:$E$12, MATCH(OpenLCAbasic!K13744,LookUps!$D$5:$D$12,0))))</f>
        <v>Acidification Potential (AP) - kg SO2 eq</v>
      </c>
      <c r="M13744" s="154" t="str">
        <f t="shared" si="1216"/>
        <v>Low_High_High_Upgraded_Acidification Potential (AP) - kg SO2 eq_Anaerobic Digestion; wastewater treatment unit; at updated plant - US_Without Amendment_Aerated Static Pile</v>
      </c>
    </row>
    <row r="13745" spans="1:13" s="120" customFormat="1" x14ac:dyDescent="0.25">
      <c r="A13745" s="119"/>
      <c r="B13745" s="138" t="str">
        <f t="shared" si="1219"/>
        <v/>
      </c>
      <c r="C13745" s="138" t="str">
        <f t="shared" si="1220"/>
        <v/>
      </c>
      <c r="D13745" s="138" t="str">
        <f t="shared" si="1218"/>
        <v/>
      </c>
      <c r="E13745" s="138" t="str">
        <f t="shared" si="1221"/>
        <v/>
      </c>
      <c r="F13745" s="138" t="str">
        <f t="shared" si="1222"/>
        <v/>
      </c>
      <c r="G13745" s="153" t="s">
        <v>51</v>
      </c>
      <c r="H13745" s="160"/>
      <c r="I13745" s="160" t="s">
        <v>47</v>
      </c>
      <c r="J13745" s="160" t="s">
        <v>52</v>
      </c>
      <c r="K13745" s="160" t="s">
        <v>27</v>
      </c>
      <c r="L13745" s="154" t="str">
        <f>IF(OpenLCAbasic!K13745="CTUh", "Fill in Manually",IF(OR(K13745="Unit", K13745=""), "", INDEX(LookUps!$E$5:$E$12, MATCH(OpenLCAbasic!K13745,LookUps!$D$5:$D$12,0))))</f>
        <v/>
      </c>
      <c r="M13745" s="154" t="str">
        <f t="shared" si="1216"/>
        <v>____Process__</v>
      </c>
    </row>
    <row r="13746" spans="1:13" s="120" customFormat="1" x14ac:dyDescent="0.25">
      <c r="A13746" s="119"/>
      <c r="B13746" s="138" t="str">
        <f t="shared" si="1219"/>
        <v>Aerated Static Pile</v>
      </c>
      <c r="C13746" s="138" t="str">
        <f t="shared" si="1220"/>
        <v>Without Amendment</v>
      </c>
      <c r="D13746" s="138" t="str">
        <f t="shared" si="1218"/>
        <v>High_High</v>
      </c>
      <c r="E13746" s="138" t="str">
        <f t="shared" si="1221"/>
        <v>Low</v>
      </c>
      <c r="F13746" s="138" t="str">
        <f t="shared" si="1222"/>
        <v>Upgraded</v>
      </c>
      <c r="G13746" s="153"/>
      <c r="H13746" s="210">
        <v>0.5333</v>
      </c>
      <c r="I13746" s="160" t="s">
        <v>167</v>
      </c>
      <c r="J13746" s="160">
        <v>5.1393399999999998</v>
      </c>
      <c r="K13746" s="160" t="s">
        <v>15</v>
      </c>
      <c r="L13746" s="154" t="str">
        <f>IF(OpenLCAbasic!K13746="CTUh", "Fill in Manually",IF(OR(K13746="Unit", K13746=""), "", INDEX(LookUps!$E$5:$E$12, MATCH(OpenLCAbasic!K13746,LookUps!$D$5:$D$12,0))))</f>
        <v>Cumulative Energy Demand (CED) - MJ</v>
      </c>
      <c r="M13746" s="154" t="str">
        <f t="shared" si="1216"/>
        <v>Low_High_High_Upgraded_Cumulative Energy Demand (CED) - MJ_Waste Receiving and Holding; wastewater treatment unit; at updated plant - US_Without Amendment_Aerated Static Pile</v>
      </c>
    </row>
    <row r="13747" spans="1:13" s="120" customFormat="1" x14ac:dyDescent="0.25">
      <c r="A13747" s="119"/>
      <c r="B13747" s="138" t="str">
        <f t="shared" si="1219"/>
        <v>Aerated Static Pile</v>
      </c>
      <c r="C13747" s="138" t="str">
        <f t="shared" si="1220"/>
        <v>Without Amendment</v>
      </c>
      <c r="D13747" s="138" t="str">
        <f t="shared" si="1218"/>
        <v>High_High</v>
      </c>
      <c r="E13747" s="138" t="str">
        <f t="shared" si="1221"/>
        <v>Low</v>
      </c>
      <c r="F13747" s="138" t="str">
        <f t="shared" si="1222"/>
        <v>Upgraded</v>
      </c>
      <c r="G13747" s="153"/>
      <c r="H13747" s="210">
        <v>0.36659999999999998</v>
      </c>
      <c r="I13747" s="160" t="s">
        <v>55</v>
      </c>
      <c r="J13747" s="160">
        <v>3.5330499999999998</v>
      </c>
      <c r="K13747" s="160" t="s">
        <v>15</v>
      </c>
      <c r="L13747" s="154" t="str">
        <f>IF(OpenLCAbasic!K13747="CTUh", "Fill in Manually",IF(OR(K13747="Unit", K13747=""), "", INDEX(LookUps!$E$5:$E$12, MATCH(OpenLCAbasic!K13747,LookUps!$D$5:$D$12,0))))</f>
        <v>Cumulative Energy Demand (CED) - MJ</v>
      </c>
      <c r="M13747" s="154" t="str">
        <f t="shared" si="1216"/>
        <v>Low_High_High_Upgraded_Cumulative Energy Demand (CED) - MJ_Aeration Tanks; wastewater treatment unit; at updated plant - US_Without Amendment_Aerated Static Pile</v>
      </c>
    </row>
    <row r="13748" spans="1:13" s="120" customFormat="1" x14ac:dyDescent="0.25">
      <c r="A13748" s="119"/>
      <c r="B13748" s="138" t="str">
        <f t="shared" si="1219"/>
        <v>Aerated Static Pile</v>
      </c>
      <c r="C13748" s="138" t="str">
        <f t="shared" si="1220"/>
        <v>Without Amendment</v>
      </c>
      <c r="D13748" s="138" t="str">
        <f t="shared" si="1218"/>
        <v>High_High</v>
      </c>
      <c r="E13748" s="138" t="str">
        <f t="shared" si="1221"/>
        <v>Low</v>
      </c>
      <c r="F13748" s="138" t="str">
        <f t="shared" si="1222"/>
        <v>Upgraded</v>
      </c>
      <c r="G13748" s="153"/>
      <c r="H13748" s="210">
        <v>0.1207</v>
      </c>
      <c r="I13748" s="160" t="s">
        <v>54</v>
      </c>
      <c r="J13748" s="160">
        <v>1.16289</v>
      </c>
      <c r="K13748" s="160" t="s">
        <v>15</v>
      </c>
      <c r="L13748" s="154" t="str">
        <f>IF(OpenLCAbasic!K13748="CTUh", "Fill in Manually",IF(OR(K13748="Unit", K13748=""), "", INDEX(LookUps!$E$5:$E$12, MATCH(OpenLCAbasic!K13748,LookUps!$D$5:$D$12,0))))</f>
        <v>Cumulative Energy Demand (CED) - MJ</v>
      </c>
      <c r="M13748" s="154" t="str">
        <f t="shared" si="1216"/>
        <v>Low_High_High_Upgraded_Cumulative Energy Demand (CED) - MJ_Clear Cove Primary Clarification; wastewater treatment unit; at updated plant - US_Without Amendment_Aerated Static Pile</v>
      </c>
    </row>
    <row r="13749" spans="1:13" s="120" customFormat="1" x14ac:dyDescent="0.25">
      <c r="A13749" s="119"/>
      <c r="B13749" s="138" t="str">
        <f t="shared" si="1219"/>
        <v>Aerated Static Pile</v>
      </c>
      <c r="C13749" s="138" t="str">
        <f t="shared" si="1220"/>
        <v>Without Amendment</v>
      </c>
      <c r="D13749" s="138" t="str">
        <f t="shared" si="1218"/>
        <v>High_High</v>
      </c>
      <c r="E13749" s="138" t="str">
        <f t="shared" si="1221"/>
        <v>Low</v>
      </c>
      <c r="F13749" s="138" t="str">
        <f t="shared" si="1222"/>
        <v>Upgraded</v>
      </c>
      <c r="G13749" s="153"/>
      <c r="H13749" s="210">
        <v>9.2399999999999996E-2</v>
      </c>
      <c r="I13749" s="160" t="s">
        <v>58</v>
      </c>
      <c r="J13749" s="160">
        <v>0.89063999999999999</v>
      </c>
      <c r="K13749" s="160" t="s">
        <v>15</v>
      </c>
      <c r="L13749" s="154" t="str">
        <f>IF(OpenLCAbasic!K13749="CTUh", "Fill in Manually",IF(OR(K13749="Unit", K13749=""), "", INDEX(LookUps!$E$5:$E$12, MATCH(OpenLCAbasic!K13749,LookUps!$D$5:$D$12,0))))</f>
        <v>Cumulative Energy Demand (CED) - MJ</v>
      </c>
      <c r="M13749" s="154" t="str">
        <f t="shared" si="1216"/>
        <v>Low_High_High_Upgraded_Cumulative Energy Demand (CED) - MJ_Pre-Anoxic &amp; Swing tank; wastewater treatment unit; at updated plant - US_Without Amendment_Aerated Static Pile</v>
      </c>
    </row>
    <row r="13750" spans="1:13" s="120" customFormat="1" x14ac:dyDescent="0.25">
      <c r="A13750" s="119"/>
      <c r="B13750" s="138" t="str">
        <f t="shared" si="1219"/>
        <v>Aerated Static Pile</v>
      </c>
      <c r="C13750" s="138" t="str">
        <f t="shared" si="1220"/>
        <v>Without Amendment</v>
      </c>
      <c r="D13750" s="138" t="str">
        <f t="shared" si="1218"/>
        <v>High_High</v>
      </c>
      <c r="E13750" s="138" t="str">
        <f t="shared" si="1221"/>
        <v>Low</v>
      </c>
      <c r="F13750" s="138" t="str">
        <f t="shared" si="1222"/>
        <v>Upgraded</v>
      </c>
      <c r="G13750" s="153"/>
      <c r="H13750" s="210">
        <v>9.1600000000000001E-2</v>
      </c>
      <c r="I13750" s="160" t="s">
        <v>147</v>
      </c>
      <c r="J13750" s="160">
        <v>0.88297000000000003</v>
      </c>
      <c r="K13750" s="160" t="s">
        <v>15</v>
      </c>
      <c r="L13750" s="154" t="str">
        <f>IF(OpenLCAbasic!K13750="CTUh", "Fill in Manually",IF(OR(K13750="Unit", K13750=""), "", INDEX(LookUps!$E$5:$E$12, MATCH(OpenLCAbasic!K13750,LookUps!$D$5:$D$12,0))))</f>
        <v>Cumulative Energy Demand (CED) - MJ</v>
      </c>
      <c r="M13750" s="154" t="str">
        <f t="shared" si="1216"/>
        <v>Low_High_High_Upgraded_Cumulative Energy Demand (CED) - MJ_Influent Pump Station; wastewater treatment unit; at updated plant - US_Without Amendment_Aerated Static Pile</v>
      </c>
    </row>
    <row r="13751" spans="1:13" s="120" customFormat="1" x14ac:dyDescent="0.25">
      <c r="A13751" s="119"/>
      <c r="B13751" s="138" t="str">
        <f t="shared" si="1219"/>
        <v>Aerated Static Pile</v>
      </c>
      <c r="C13751" s="138" t="str">
        <f t="shared" si="1220"/>
        <v>Without Amendment</v>
      </c>
      <c r="D13751" s="138" t="str">
        <f t="shared" si="1218"/>
        <v>High_High</v>
      </c>
      <c r="E13751" s="138" t="str">
        <f t="shared" si="1221"/>
        <v>Low</v>
      </c>
      <c r="F13751" s="138" t="str">
        <f t="shared" si="1222"/>
        <v>Upgraded</v>
      </c>
      <c r="G13751" s="153"/>
      <c r="H13751" s="210">
        <v>7.2300000000000003E-2</v>
      </c>
      <c r="I13751" s="160" t="s">
        <v>53</v>
      </c>
      <c r="J13751" s="160">
        <v>0.69645000000000001</v>
      </c>
      <c r="K13751" s="160" t="s">
        <v>15</v>
      </c>
      <c r="L13751" s="154" t="str">
        <f>IF(OpenLCAbasic!K13751="CTUh", "Fill in Manually",IF(OR(K13751="Unit", K13751=""), "", INDEX(LookUps!$E$5:$E$12, MATCH(OpenLCAbasic!K13751,LookUps!$D$5:$D$12,0))))</f>
        <v>Cumulative Energy Demand (CED) - MJ</v>
      </c>
      <c r="M13751" s="154" t="str">
        <f t="shared" si="1216"/>
        <v>Low_High_High_Upgraded_Cumulative Energy Demand (CED) - MJ_Wet Well and Sump Station; wastewater treatment unit; at updated plant - US_Without Amendment_Aerated Static Pile</v>
      </c>
    </row>
    <row r="13752" spans="1:13" s="120" customFormat="1" x14ac:dyDescent="0.25">
      <c r="A13752" s="119"/>
      <c r="B13752" s="138" t="str">
        <f t="shared" si="1219"/>
        <v>Aerated Static Pile</v>
      </c>
      <c r="C13752" s="138" t="str">
        <f t="shared" si="1220"/>
        <v>Without Amendment</v>
      </c>
      <c r="D13752" s="138" t="str">
        <f t="shared" si="1218"/>
        <v>High_High</v>
      </c>
      <c r="E13752" s="138" t="str">
        <f t="shared" si="1221"/>
        <v>Low</v>
      </c>
      <c r="F13752" s="138" t="str">
        <f t="shared" si="1222"/>
        <v>Upgraded</v>
      </c>
      <c r="G13752" s="153"/>
      <c r="H13752" s="210">
        <v>6.4699999999999994E-2</v>
      </c>
      <c r="I13752" s="160" t="s">
        <v>435</v>
      </c>
      <c r="J13752" s="160">
        <v>0.62302999999999997</v>
      </c>
      <c r="K13752" s="160" t="s">
        <v>15</v>
      </c>
      <c r="L13752" s="154" t="str">
        <f>IF(OpenLCAbasic!K13752="CTUh", "Fill in Manually",IF(OR(K13752="Unit", K13752=""), "", INDEX(LookUps!$E$5:$E$12, MATCH(OpenLCAbasic!K13752,LookUps!$D$5:$D$12,0))))</f>
        <v>Cumulative Energy Demand (CED) - MJ</v>
      </c>
      <c r="M13752" s="154" t="str">
        <f t="shared" si="1216"/>
        <v>Low_High_High_Upgraded_Cumulative Energy Demand (CED) - MJ_Biosolids composting; aerated static pile; wastewater treatment unit; at updated plant - US_Without Amendment_Aerated Static Pile</v>
      </c>
    </row>
    <row r="13753" spans="1:13" s="120" customFormat="1" x14ac:dyDescent="0.25">
      <c r="A13753" s="119"/>
      <c r="B13753" s="138" t="str">
        <f t="shared" si="1219"/>
        <v>Aerated Static Pile</v>
      </c>
      <c r="C13753" s="138" t="str">
        <f t="shared" si="1220"/>
        <v>Without Amendment</v>
      </c>
      <c r="D13753" s="138" t="str">
        <f t="shared" si="1218"/>
        <v>High_High</v>
      </c>
      <c r="E13753" s="138" t="str">
        <f t="shared" si="1221"/>
        <v>Low</v>
      </c>
      <c r="F13753" s="138" t="str">
        <f t="shared" si="1222"/>
        <v>Upgraded</v>
      </c>
      <c r="G13753" s="153"/>
      <c r="H13753" s="210">
        <v>5.3600000000000002E-2</v>
      </c>
      <c r="I13753" s="160" t="s">
        <v>60</v>
      </c>
      <c r="J13753" s="160">
        <v>0.51639000000000002</v>
      </c>
      <c r="K13753" s="160" t="s">
        <v>15</v>
      </c>
      <c r="L13753" s="154" t="str">
        <f>IF(OpenLCAbasic!K13753="CTUh", "Fill in Manually",IF(OR(K13753="Unit", K13753=""), "", INDEX(LookUps!$E$5:$E$12, MATCH(OpenLCAbasic!K13753,LookUps!$D$5:$D$12,0))))</f>
        <v>Cumulative Energy Demand (CED) - MJ</v>
      </c>
      <c r="M13753" s="154" t="str">
        <f t="shared" si="1216"/>
        <v>Low_High_High_Upgraded_Cumulative Energy Demand (CED) - MJ_Belt filter press; wastewater treatment unit; at updated plant - US_Without Amendment_Aerated Static Pile</v>
      </c>
    </row>
    <row r="13754" spans="1:13" s="120" customFormat="1" x14ac:dyDescent="0.25">
      <c r="A13754" s="119"/>
      <c r="B13754" s="138" t="str">
        <f t="shared" si="1219"/>
        <v>Aerated Static Pile</v>
      </c>
      <c r="C13754" s="138" t="str">
        <f t="shared" si="1220"/>
        <v>Without Amendment</v>
      </c>
      <c r="D13754" s="138" t="str">
        <f t="shared" si="1218"/>
        <v>High_High</v>
      </c>
      <c r="E13754" s="138" t="str">
        <f t="shared" si="1221"/>
        <v>Low</v>
      </c>
      <c r="F13754" s="138" t="str">
        <f t="shared" si="1222"/>
        <v>Upgraded</v>
      </c>
      <c r="G13754" s="153"/>
      <c r="H13754" s="210">
        <v>3.4700000000000002E-2</v>
      </c>
      <c r="I13754" s="160" t="s">
        <v>57</v>
      </c>
      <c r="J13754" s="160">
        <v>0.33404</v>
      </c>
      <c r="K13754" s="160" t="s">
        <v>15</v>
      </c>
      <c r="L13754" s="154" t="str">
        <f>IF(OpenLCAbasic!K13754="CTUh", "Fill in Manually",IF(OR(K13754="Unit", K13754=""), "", INDEX(LookUps!$E$5:$E$12, MATCH(OpenLCAbasic!K13754,LookUps!$D$5:$D$12,0))))</f>
        <v>Cumulative Energy Demand (CED) - MJ</v>
      </c>
      <c r="M13754" s="154" t="str">
        <f t="shared" si="1216"/>
        <v>Low_High_High_Upgraded_Cumulative Energy Demand (CED) - MJ_Gravity Belt Thickener; wastewater treatment unit; at updated plant - US_Without Amendment_Aerated Static Pile</v>
      </c>
    </row>
    <row r="13755" spans="1:13" s="120" customFormat="1" x14ac:dyDescent="0.25">
      <c r="A13755" s="119"/>
      <c r="B13755" s="138" t="str">
        <f t="shared" si="1219"/>
        <v>Aerated Static Pile</v>
      </c>
      <c r="C13755" s="138" t="str">
        <f t="shared" si="1220"/>
        <v>Without Amendment</v>
      </c>
      <c r="D13755" s="138" t="str">
        <f t="shared" si="1218"/>
        <v>High_High</v>
      </c>
      <c r="E13755" s="138" t="str">
        <f t="shared" si="1221"/>
        <v>Low</v>
      </c>
      <c r="F13755" s="138" t="str">
        <f t="shared" si="1222"/>
        <v>Upgraded</v>
      </c>
      <c r="G13755" s="153"/>
      <c r="H13755" s="210">
        <v>2.6599999999999999E-2</v>
      </c>
      <c r="I13755" s="160" t="s">
        <v>128</v>
      </c>
      <c r="J13755" s="160">
        <v>0.25606000000000001</v>
      </c>
      <c r="K13755" s="160" t="s">
        <v>15</v>
      </c>
      <c r="L13755" s="154" t="str">
        <f>IF(OpenLCAbasic!K13755="CTUh", "Fill in Manually",IF(OR(K13755="Unit", K13755=""), "", INDEX(LookUps!$E$5:$E$12, MATCH(OpenLCAbasic!K13755,LookUps!$D$5:$D$12,0))))</f>
        <v>Cumulative Energy Demand (CED) - MJ</v>
      </c>
      <c r="M13755" s="154" t="str">
        <f t="shared" si="1216"/>
        <v>Low_High_High_Upgraded_Cumulative Energy Demand (CED) - MJ_Wastewater collection; operation and infrastructure; m3 wastewater_Without Amendment_Aerated Static Pile</v>
      </c>
    </row>
    <row r="13756" spans="1:13" s="120" customFormat="1" x14ac:dyDescent="0.25">
      <c r="A13756" s="119"/>
      <c r="B13756" s="138" t="str">
        <f t="shared" si="1219"/>
        <v>Aerated Static Pile</v>
      </c>
      <c r="C13756" s="138" t="str">
        <f t="shared" si="1220"/>
        <v>Without Amendment</v>
      </c>
      <c r="D13756" s="138" t="str">
        <f t="shared" si="1218"/>
        <v>High_High</v>
      </c>
      <c r="E13756" s="138" t="str">
        <f t="shared" si="1221"/>
        <v>Low</v>
      </c>
      <c r="F13756" s="138" t="str">
        <f t="shared" si="1222"/>
        <v>Upgraded</v>
      </c>
      <c r="G13756" s="153"/>
      <c r="H13756" s="210">
        <v>1.5100000000000001E-2</v>
      </c>
      <c r="I13756" s="160" t="s">
        <v>148</v>
      </c>
      <c r="J13756" s="160">
        <v>0.14599000000000001</v>
      </c>
      <c r="K13756" s="160" t="s">
        <v>15</v>
      </c>
      <c r="L13756" s="154" t="str">
        <f>IF(OpenLCAbasic!K13756="CTUh", "Fill in Manually",IF(OR(K13756="Unit", K13756=""), "", INDEX(LookUps!$E$5:$E$12, MATCH(OpenLCAbasic!K13756,LookUps!$D$5:$D$12,0))))</f>
        <v>Cumulative Energy Demand (CED) - MJ</v>
      </c>
      <c r="M13756" s="154" t="str">
        <f t="shared" si="1216"/>
        <v>Low_High_High_Upgraded_Cumulative Energy Demand (CED) - MJ_Control Building; at upgraded wastewater treatment plant - US_Without Amendment_Aerated Static Pile</v>
      </c>
    </row>
    <row r="13757" spans="1:13" s="120" customFormat="1" x14ac:dyDescent="0.25">
      <c r="A13757" s="119"/>
      <c r="B13757" s="138" t="str">
        <f t="shared" si="1219"/>
        <v>Aerated Static Pile</v>
      </c>
      <c r="C13757" s="138" t="str">
        <f t="shared" si="1220"/>
        <v>Without Amendment</v>
      </c>
      <c r="D13757" s="138" t="str">
        <f t="shared" si="1218"/>
        <v>High_High</v>
      </c>
      <c r="E13757" s="138" t="str">
        <f t="shared" si="1221"/>
        <v>Low</v>
      </c>
      <c r="F13757" s="138" t="str">
        <f t="shared" si="1222"/>
        <v>Upgraded</v>
      </c>
      <c r="G13757" s="153"/>
      <c r="H13757" s="210">
        <v>1.38E-2</v>
      </c>
      <c r="I13757" s="160" t="s">
        <v>48</v>
      </c>
      <c r="J13757" s="160">
        <v>0.13321</v>
      </c>
      <c r="K13757" s="160" t="s">
        <v>15</v>
      </c>
      <c r="L13757" s="154" t="str">
        <f>IF(OpenLCAbasic!K13757="CTUh", "Fill in Manually",IF(OR(K13757="Unit", K13757=""), "", INDEX(LookUps!$E$5:$E$12, MATCH(OpenLCAbasic!K13757,LookUps!$D$5:$D$12,0))))</f>
        <v>Cumulative Energy Demand (CED) - MJ</v>
      </c>
      <c r="M13757" s="154" t="str">
        <f t="shared" si="1216"/>
        <v>Low_High_High_Upgraded_Cumulative Energy Demand (CED) - MJ_Effluent release; wastewater treatment unit; at surface water; m3 wastewater - US_Without Amendment_Aerated Static Pile</v>
      </c>
    </row>
    <row r="13758" spans="1:13" s="120" customFormat="1" x14ac:dyDescent="0.25">
      <c r="A13758" s="119"/>
      <c r="B13758" s="138" t="str">
        <f t="shared" si="1219"/>
        <v>Aerated Static Pile</v>
      </c>
      <c r="C13758" s="138" t="str">
        <f t="shared" si="1220"/>
        <v>Without Amendment</v>
      </c>
      <c r="D13758" s="138" t="str">
        <f t="shared" si="1218"/>
        <v>High_High</v>
      </c>
      <c r="E13758" s="138" t="str">
        <f t="shared" si="1221"/>
        <v>Low</v>
      </c>
      <c r="F13758" s="138" t="str">
        <f t="shared" si="1222"/>
        <v>Upgraded</v>
      </c>
      <c r="G13758" s="153"/>
      <c r="H13758" s="210">
        <v>1.0999999999999999E-2</v>
      </c>
      <c r="I13758" s="160" t="s">
        <v>59</v>
      </c>
      <c r="J13758" s="160">
        <v>0.10638</v>
      </c>
      <c r="K13758" s="160" t="s">
        <v>15</v>
      </c>
      <c r="L13758" s="154" t="str">
        <f>IF(OpenLCAbasic!K13758="CTUh", "Fill in Manually",IF(OR(K13758="Unit", K13758=""), "", INDEX(LookUps!$E$5:$E$12, MATCH(OpenLCAbasic!K13758,LookUps!$D$5:$D$12,0))))</f>
        <v>Cumulative Energy Demand (CED) - MJ</v>
      </c>
      <c r="M13758" s="154" t="str">
        <f t="shared" si="1216"/>
        <v>Low_High_High_Upgraded_Cumulative Energy Demand (CED) - MJ_Blend Tank; wastewater treatment unit; at updated plant - US_Without Amendment_Aerated Static Pile</v>
      </c>
    </row>
    <row r="13759" spans="1:13" s="120" customFormat="1" x14ac:dyDescent="0.25">
      <c r="A13759" s="119"/>
      <c r="B13759" s="138" t="str">
        <f t="shared" si="1219"/>
        <v>Aerated Static Pile</v>
      </c>
      <c r="C13759" s="138" t="str">
        <f t="shared" si="1220"/>
        <v>Without Amendment</v>
      </c>
      <c r="D13759" s="138" t="str">
        <f t="shared" si="1218"/>
        <v>High_High</v>
      </c>
      <c r="E13759" s="138" t="str">
        <f t="shared" si="1221"/>
        <v>Low</v>
      </c>
      <c r="F13759" s="138" t="str">
        <f t="shared" si="1222"/>
        <v>Upgraded</v>
      </c>
      <c r="G13759" s="153"/>
      <c r="H13759" s="210">
        <v>5.3E-3</v>
      </c>
      <c r="I13759" s="160" t="s">
        <v>168</v>
      </c>
      <c r="J13759" s="160">
        <v>5.0930000000000003E-2</v>
      </c>
      <c r="K13759" s="160" t="s">
        <v>15</v>
      </c>
      <c r="L13759" s="154" t="str">
        <f>IF(OpenLCAbasic!K13759="CTUh", "Fill in Manually",IF(OR(K13759="Unit", K13759=""), "", INDEX(LookUps!$E$5:$E$12, MATCH(OpenLCAbasic!K13759,LookUps!$D$5:$D$12,0))))</f>
        <v>Cumulative Energy Demand (CED) - MJ</v>
      </c>
      <c r="M13759" s="154" t="str">
        <f t="shared" si="1216"/>
        <v>Low_High_High_Upgraded_Cumulative Energy Demand (CED) - MJ_ClearCove SCP; wastewater treatment unit; at updated plant - US_Without Amendment_Aerated Static Pile</v>
      </c>
    </row>
    <row r="13760" spans="1:13" s="120" customFormat="1" x14ac:dyDescent="0.25">
      <c r="A13760" s="119"/>
      <c r="B13760" s="138" t="str">
        <f t="shared" si="1219"/>
        <v>Aerated Static Pile</v>
      </c>
      <c r="C13760" s="138" t="str">
        <f t="shared" si="1220"/>
        <v>Without Amendment</v>
      </c>
      <c r="D13760" s="138" t="str">
        <f t="shared" si="1218"/>
        <v>High_High</v>
      </c>
      <c r="E13760" s="138" t="str">
        <f t="shared" si="1221"/>
        <v>Low</v>
      </c>
      <c r="F13760" s="138" t="str">
        <f t="shared" si="1222"/>
        <v>Upgraded</v>
      </c>
      <c r="G13760" s="153"/>
      <c r="H13760" s="210">
        <v>-5.62E-2</v>
      </c>
      <c r="I13760" s="160" t="s">
        <v>62</v>
      </c>
      <c r="J13760" s="160">
        <v>-0.54122000000000003</v>
      </c>
      <c r="K13760" s="160" t="s">
        <v>15</v>
      </c>
      <c r="L13760" s="154" t="str">
        <f>IF(OpenLCAbasic!K13760="CTUh", "Fill in Manually",IF(OR(K13760="Unit", K13760=""), "", INDEX(LookUps!$E$5:$E$12, MATCH(OpenLCAbasic!K13760,LookUps!$D$5:$D$12,0))))</f>
        <v>Cumulative Energy Demand (CED) - MJ</v>
      </c>
      <c r="M13760" s="154" t="str">
        <f t="shared" si="1216"/>
        <v>Low_High_High_Upgraded_Cumulative Energy Demand (CED) - MJ_Land application of compost; wastewater treatment unit; at updated plant - US_Without Amendment_Aerated Static Pile</v>
      </c>
    </row>
    <row r="13761" spans="1:13" s="120" customFormat="1" x14ac:dyDescent="0.25">
      <c r="A13761" s="119"/>
      <c r="B13761" s="138" t="str">
        <f t="shared" si="1219"/>
        <v>Aerated Static Pile</v>
      </c>
      <c r="C13761" s="138" t="str">
        <f t="shared" si="1220"/>
        <v>Without Amendment</v>
      </c>
      <c r="D13761" s="138" t="str">
        <f t="shared" si="1218"/>
        <v>High_High</v>
      </c>
      <c r="E13761" s="138" t="str">
        <f t="shared" si="1221"/>
        <v>Low</v>
      </c>
      <c r="F13761" s="138" t="str">
        <f t="shared" si="1222"/>
        <v>Upgraded</v>
      </c>
      <c r="G13761" s="153"/>
      <c r="H13761" s="210">
        <v>-2.4455</v>
      </c>
      <c r="I13761" s="160" t="s">
        <v>149</v>
      </c>
      <c r="J13761" s="160">
        <v>-23.56711</v>
      </c>
      <c r="K13761" s="160" t="s">
        <v>15</v>
      </c>
      <c r="L13761" s="154" t="str">
        <f>IF(OpenLCAbasic!K13761="CTUh", "Fill in Manually",IF(OR(K13761="Unit", K13761=""), "", INDEX(LookUps!$E$5:$E$12, MATCH(OpenLCAbasic!K13761,LookUps!$D$5:$D$12,0))))</f>
        <v>Cumulative Energy Demand (CED) - MJ</v>
      </c>
      <c r="M13761" s="154" t="str">
        <f t="shared" si="1216"/>
        <v>Low_High_High_Upgraded_Cumulative Energy Demand (CED) - MJ_Anaerobic Digestion; wastewater treatment unit; at updated plant - US_Without Amendment_Aerated Static Pile</v>
      </c>
    </row>
    <row r="13762" spans="1:13" s="120" customFormat="1" x14ac:dyDescent="0.25">
      <c r="A13762" s="119"/>
      <c r="B13762" s="138" t="str">
        <f t="shared" si="1219"/>
        <v/>
      </c>
      <c r="C13762" s="138" t="str">
        <f t="shared" si="1220"/>
        <v/>
      </c>
      <c r="D13762" s="138" t="str">
        <f t="shared" si="1218"/>
        <v/>
      </c>
      <c r="E13762" s="138" t="str">
        <f t="shared" si="1221"/>
        <v/>
      </c>
      <c r="F13762" s="138" t="str">
        <f t="shared" si="1222"/>
        <v/>
      </c>
      <c r="G13762" s="153" t="s">
        <v>51</v>
      </c>
      <c r="H13762" s="160"/>
      <c r="I13762" s="160" t="s">
        <v>47</v>
      </c>
      <c r="J13762" s="160" t="s">
        <v>52</v>
      </c>
      <c r="K13762" s="160" t="s">
        <v>27</v>
      </c>
      <c r="L13762" s="154" t="str">
        <f>IF(OpenLCAbasic!K13762="CTUh", "Fill in Manually",IF(OR(K13762="Unit", K13762=""), "", INDEX(LookUps!$E$5:$E$12, MATCH(OpenLCAbasic!K13762,LookUps!$D$5:$D$12,0))))</f>
        <v/>
      </c>
      <c r="M13762" s="154" t="str">
        <f t="shared" si="1216"/>
        <v>____Process__</v>
      </c>
    </row>
    <row r="13763" spans="1:13" s="120" customFormat="1" x14ac:dyDescent="0.25">
      <c r="A13763" s="119"/>
      <c r="B13763" s="138" t="str">
        <f t="shared" si="1219"/>
        <v>Aerated Static Pile</v>
      </c>
      <c r="C13763" s="138" t="str">
        <f t="shared" si="1220"/>
        <v>Without Amendment</v>
      </c>
      <c r="D13763" s="138" t="str">
        <f t="shared" si="1218"/>
        <v>High_High</v>
      </c>
      <c r="E13763" s="138" t="str">
        <f t="shared" si="1221"/>
        <v>Low</v>
      </c>
      <c r="F13763" s="138" t="str">
        <f t="shared" si="1222"/>
        <v>Upgraded</v>
      </c>
      <c r="G13763" s="153"/>
      <c r="H13763" s="210">
        <v>0.90339999999999998</v>
      </c>
      <c r="I13763" s="160" t="s">
        <v>48</v>
      </c>
      <c r="J13763" s="160">
        <v>1.1610000000000001E-2</v>
      </c>
      <c r="K13763" s="160" t="s">
        <v>13</v>
      </c>
      <c r="L13763" s="154" t="str">
        <f>IF(OpenLCAbasic!K13763="CTUh", "Fill in Manually",IF(OR(K13763="Unit", K13763=""), "", INDEX(LookUps!$E$5:$E$12, MATCH(OpenLCAbasic!K13763,LookUps!$D$5:$D$12,0))))</f>
        <v>Eutrophication Potential (EP) - kg N eq</v>
      </c>
      <c r="M13763" s="154" t="str">
        <f t="shared" si="1216"/>
        <v>Low_High_High_Upgraded_Eutrophication Potential (EP) - kg N eq_Effluent release; wastewater treatment unit; at surface water; m3 wastewater - US_Without Amendment_Aerated Static Pile</v>
      </c>
    </row>
    <row r="13764" spans="1:13" s="120" customFormat="1" x14ac:dyDescent="0.25">
      <c r="A13764" s="119"/>
      <c r="B13764" s="138" t="str">
        <f t="shared" si="1219"/>
        <v>Aerated Static Pile</v>
      </c>
      <c r="C13764" s="138" t="str">
        <f t="shared" si="1220"/>
        <v>Without Amendment</v>
      </c>
      <c r="D13764" s="138" t="str">
        <f t="shared" si="1218"/>
        <v>High_High</v>
      </c>
      <c r="E13764" s="138" t="str">
        <f t="shared" si="1221"/>
        <v>Low</v>
      </c>
      <c r="F13764" s="138" t="str">
        <f t="shared" si="1222"/>
        <v>Upgraded</v>
      </c>
      <c r="G13764" s="153"/>
      <c r="H13764" s="210">
        <v>0.1867</v>
      </c>
      <c r="I13764" s="160" t="s">
        <v>62</v>
      </c>
      <c r="J13764" s="160">
        <v>2.3999999999999998E-3</v>
      </c>
      <c r="K13764" s="160" t="s">
        <v>13</v>
      </c>
      <c r="L13764" s="154" t="str">
        <f>IF(OpenLCAbasic!K13764="CTUh", "Fill in Manually",IF(OR(K13764="Unit", K13764=""), "", INDEX(LookUps!$E$5:$E$12, MATCH(OpenLCAbasic!K13764,LookUps!$D$5:$D$12,0))))</f>
        <v>Eutrophication Potential (EP) - kg N eq</v>
      </c>
      <c r="M13764" s="154" t="str">
        <f t="shared" ref="M13764:M13827" si="1223">CONCATENATE(E13764,"_",D13764,"_",F13764,"_",L13764, "_",I13764,"_", C13764,"_", B13764)</f>
        <v>Low_High_High_Upgraded_Eutrophication Potential (EP) - kg N eq_Land application of compost; wastewater treatment unit; at updated plant - US_Without Amendment_Aerated Static Pile</v>
      </c>
    </row>
    <row r="13765" spans="1:13" s="120" customFormat="1" x14ac:dyDescent="0.25">
      <c r="A13765" s="119"/>
      <c r="B13765" s="138" t="str">
        <f t="shared" si="1219"/>
        <v>Aerated Static Pile</v>
      </c>
      <c r="C13765" s="138" t="str">
        <f t="shared" si="1220"/>
        <v>Without Amendment</v>
      </c>
      <c r="D13765" s="138" t="str">
        <f t="shared" si="1218"/>
        <v>High_High</v>
      </c>
      <c r="E13765" s="138" t="str">
        <f t="shared" si="1221"/>
        <v>Low</v>
      </c>
      <c r="F13765" s="138" t="str">
        <f t="shared" si="1222"/>
        <v>Upgraded</v>
      </c>
      <c r="G13765" s="153"/>
      <c r="H13765" s="210">
        <v>4.2500000000000003E-2</v>
      </c>
      <c r="I13765" s="160" t="s">
        <v>55</v>
      </c>
      <c r="J13765" s="160">
        <v>5.5000000000000003E-4</v>
      </c>
      <c r="K13765" s="160" t="s">
        <v>13</v>
      </c>
      <c r="L13765" s="154" t="str">
        <f>IF(OpenLCAbasic!K13765="CTUh", "Fill in Manually",IF(OR(K13765="Unit", K13765=""), "", INDEX(LookUps!$E$5:$E$12, MATCH(OpenLCAbasic!K13765,LookUps!$D$5:$D$12,0))))</f>
        <v>Eutrophication Potential (EP) - kg N eq</v>
      </c>
      <c r="M13765" s="154" t="str">
        <f t="shared" si="1223"/>
        <v>Low_High_High_Upgraded_Eutrophication Potential (EP) - kg N eq_Aeration Tanks; wastewater treatment unit; at updated plant - US_Without Amendment_Aerated Static Pile</v>
      </c>
    </row>
    <row r="13766" spans="1:13" s="120" customFormat="1" x14ac:dyDescent="0.25">
      <c r="A13766" s="119"/>
      <c r="B13766" s="138" t="str">
        <f t="shared" si="1219"/>
        <v>Aerated Static Pile</v>
      </c>
      <c r="C13766" s="138" t="str">
        <f t="shared" si="1220"/>
        <v>Without Amendment</v>
      </c>
      <c r="D13766" s="138" t="str">
        <f t="shared" si="1218"/>
        <v>High_High</v>
      </c>
      <c r="E13766" s="138" t="str">
        <f t="shared" si="1221"/>
        <v>Low</v>
      </c>
      <c r="F13766" s="138" t="str">
        <f t="shared" si="1222"/>
        <v>Upgraded</v>
      </c>
      <c r="G13766" s="153"/>
      <c r="H13766" s="210">
        <v>1.9400000000000001E-2</v>
      </c>
      <c r="I13766" s="160" t="s">
        <v>147</v>
      </c>
      <c r="J13766" s="160">
        <v>2.5000000000000001E-4</v>
      </c>
      <c r="K13766" s="160" t="s">
        <v>13</v>
      </c>
      <c r="L13766" s="154" t="str">
        <f>IF(OpenLCAbasic!K13766="CTUh", "Fill in Manually",IF(OR(K13766="Unit", K13766=""), "", INDEX(LookUps!$E$5:$E$12, MATCH(OpenLCAbasic!K13766,LookUps!$D$5:$D$12,0))))</f>
        <v>Eutrophication Potential (EP) - kg N eq</v>
      </c>
      <c r="M13766" s="154" t="str">
        <f t="shared" si="1223"/>
        <v>Low_High_High_Upgraded_Eutrophication Potential (EP) - kg N eq_Influent Pump Station; wastewater treatment unit; at updated plant - US_Without Amendment_Aerated Static Pile</v>
      </c>
    </row>
    <row r="13767" spans="1:13" s="120" customFormat="1" x14ac:dyDescent="0.25">
      <c r="A13767" s="119"/>
      <c r="B13767" s="138" t="str">
        <f t="shared" si="1219"/>
        <v>Aerated Static Pile</v>
      </c>
      <c r="C13767" s="138" t="str">
        <f t="shared" si="1220"/>
        <v>Without Amendment</v>
      </c>
      <c r="D13767" s="138" t="str">
        <f t="shared" si="1218"/>
        <v>High_High</v>
      </c>
      <c r="E13767" s="138" t="str">
        <f t="shared" si="1221"/>
        <v>Low</v>
      </c>
      <c r="F13767" s="138" t="str">
        <f t="shared" si="1222"/>
        <v>Upgraded</v>
      </c>
      <c r="G13767" s="153"/>
      <c r="H13767" s="210">
        <v>1.7100000000000001E-2</v>
      </c>
      <c r="I13767" s="160" t="s">
        <v>167</v>
      </c>
      <c r="J13767" s="160">
        <v>2.2000000000000001E-4</v>
      </c>
      <c r="K13767" s="160" t="s">
        <v>13</v>
      </c>
      <c r="L13767" s="154" t="str">
        <f>IF(OpenLCAbasic!K13767="CTUh", "Fill in Manually",IF(OR(K13767="Unit", K13767=""), "", INDEX(LookUps!$E$5:$E$12, MATCH(OpenLCAbasic!K13767,LookUps!$D$5:$D$12,0))))</f>
        <v>Eutrophication Potential (EP) - kg N eq</v>
      </c>
      <c r="M13767" s="154" t="str">
        <f t="shared" si="1223"/>
        <v>Low_High_High_Upgraded_Eutrophication Potential (EP) - kg N eq_Waste Receiving and Holding; wastewater treatment unit; at updated plant - US_Without Amendment_Aerated Static Pile</v>
      </c>
    </row>
    <row r="13768" spans="1:13" s="120" customFormat="1" x14ac:dyDescent="0.25">
      <c r="A13768" s="119"/>
      <c r="B13768" s="138" t="str">
        <f t="shared" si="1219"/>
        <v>Aerated Static Pile</v>
      </c>
      <c r="C13768" s="138" t="str">
        <f t="shared" si="1220"/>
        <v>Without Amendment</v>
      </c>
      <c r="D13768" s="138" t="str">
        <f t="shared" si="1218"/>
        <v>High_High</v>
      </c>
      <c r="E13768" s="138" t="str">
        <f t="shared" si="1221"/>
        <v>Low</v>
      </c>
      <c r="F13768" s="138" t="str">
        <f t="shared" si="1222"/>
        <v>Upgraded</v>
      </c>
      <c r="G13768" s="153"/>
      <c r="H13768" s="210">
        <v>1.54E-2</v>
      </c>
      <c r="I13768" s="160" t="s">
        <v>54</v>
      </c>
      <c r="J13768" s="160">
        <v>2.0000000000000001E-4</v>
      </c>
      <c r="K13768" s="160" t="s">
        <v>13</v>
      </c>
      <c r="L13768" s="154" t="str">
        <f>IF(OpenLCAbasic!K13768="CTUh", "Fill in Manually",IF(OR(K13768="Unit", K13768=""), "", INDEX(LookUps!$E$5:$E$12, MATCH(OpenLCAbasic!K13768,LookUps!$D$5:$D$12,0))))</f>
        <v>Eutrophication Potential (EP) - kg N eq</v>
      </c>
      <c r="M13768" s="154" t="str">
        <f t="shared" si="1223"/>
        <v>Low_High_High_Upgraded_Eutrophication Potential (EP) - kg N eq_Clear Cove Primary Clarification; wastewater treatment unit; at updated plant - US_Without Amendment_Aerated Static Pile</v>
      </c>
    </row>
    <row r="13769" spans="1:13" s="120" customFormat="1" x14ac:dyDescent="0.25">
      <c r="A13769" s="119"/>
      <c r="B13769" s="138" t="str">
        <f t="shared" si="1219"/>
        <v>Aerated Static Pile</v>
      </c>
      <c r="C13769" s="138" t="str">
        <f t="shared" si="1220"/>
        <v>Without Amendment</v>
      </c>
      <c r="D13769" s="138" t="str">
        <f t="shared" si="1218"/>
        <v>High_High</v>
      </c>
      <c r="E13769" s="138" t="str">
        <f t="shared" si="1221"/>
        <v>Low</v>
      </c>
      <c r="F13769" s="138" t="str">
        <f t="shared" si="1222"/>
        <v>Upgraded</v>
      </c>
      <c r="G13769" s="153"/>
      <c r="H13769" s="210">
        <v>1.06E-2</v>
      </c>
      <c r="I13769" s="160" t="s">
        <v>58</v>
      </c>
      <c r="J13769" s="160">
        <v>1.3999999999999999E-4</v>
      </c>
      <c r="K13769" s="160" t="s">
        <v>13</v>
      </c>
      <c r="L13769" s="154" t="str">
        <f>IF(OpenLCAbasic!K13769="CTUh", "Fill in Manually",IF(OR(K13769="Unit", K13769=""), "", INDEX(LookUps!$E$5:$E$12, MATCH(OpenLCAbasic!K13769,LookUps!$D$5:$D$12,0))))</f>
        <v>Eutrophication Potential (EP) - kg N eq</v>
      </c>
      <c r="M13769" s="154" t="str">
        <f t="shared" si="1223"/>
        <v>Low_High_High_Upgraded_Eutrophication Potential (EP) - kg N eq_Pre-Anoxic &amp; Swing tank; wastewater treatment unit; at updated plant - US_Without Amendment_Aerated Static Pile</v>
      </c>
    </row>
    <row r="13770" spans="1:13" s="120" customFormat="1" x14ac:dyDescent="0.25">
      <c r="A13770" s="119"/>
      <c r="B13770" s="138" t="str">
        <f t="shared" si="1219"/>
        <v>Aerated Static Pile</v>
      </c>
      <c r="C13770" s="138" t="str">
        <f t="shared" si="1220"/>
        <v>Without Amendment</v>
      </c>
      <c r="D13770" s="138" t="str">
        <f t="shared" si="1218"/>
        <v>High_High</v>
      </c>
      <c r="E13770" s="138" t="str">
        <f t="shared" si="1221"/>
        <v>Low</v>
      </c>
      <c r="F13770" s="138" t="str">
        <f t="shared" si="1222"/>
        <v>Upgraded</v>
      </c>
      <c r="G13770" s="153"/>
      <c r="H13770" s="210">
        <v>8.3999999999999995E-3</v>
      </c>
      <c r="I13770" s="160" t="s">
        <v>53</v>
      </c>
      <c r="J13770" s="160">
        <v>1.1E-4</v>
      </c>
      <c r="K13770" s="160" t="s">
        <v>13</v>
      </c>
      <c r="L13770" s="154" t="str">
        <f>IF(OpenLCAbasic!K13770="CTUh", "Fill in Manually",IF(OR(K13770="Unit", K13770=""), "", INDEX(LookUps!$E$5:$E$12, MATCH(OpenLCAbasic!K13770,LookUps!$D$5:$D$12,0))))</f>
        <v>Eutrophication Potential (EP) - kg N eq</v>
      </c>
      <c r="M13770" s="154" t="str">
        <f t="shared" si="1223"/>
        <v>Low_High_High_Upgraded_Eutrophication Potential (EP) - kg N eq_Wet Well and Sump Station; wastewater treatment unit; at updated plant - US_Without Amendment_Aerated Static Pile</v>
      </c>
    </row>
    <row r="13771" spans="1:13" s="120" customFormat="1" x14ac:dyDescent="0.25">
      <c r="A13771" s="119"/>
      <c r="B13771" s="138" t="str">
        <f t="shared" si="1219"/>
        <v>Aerated Static Pile</v>
      </c>
      <c r="C13771" s="138" t="str">
        <f t="shared" si="1220"/>
        <v>Without Amendment</v>
      </c>
      <c r="D13771" s="138" t="str">
        <f t="shared" si="1218"/>
        <v>High_High</v>
      </c>
      <c r="E13771" s="138" t="str">
        <f t="shared" si="1221"/>
        <v>Low</v>
      </c>
      <c r="F13771" s="138" t="str">
        <f t="shared" si="1222"/>
        <v>Upgraded</v>
      </c>
      <c r="G13771" s="153"/>
      <c r="H13771" s="210">
        <v>7.4000000000000003E-3</v>
      </c>
      <c r="I13771" s="160" t="s">
        <v>435</v>
      </c>
      <c r="J13771" s="211">
        <v>9.5107100000000003E-5</v>
      </c>
      <c r="K13771" s="160" t="s">
        <v>13</v>
      </c>
      <c r="L13771" s="154" t="str">
        <f>IF(OpenLCAbasic!K13771="CTUh", "Fill in Manually",IF(OR(K13771="Unit", K13771=""), "", INDEX(LookUps!$E$5:$E$12, MATCH(OpenLCAbasic!K13771,LookUps!$D$5:$D$12,0))))</f>
        <v>Eutrophication Potential (EP) - kg N eq</v>
      </c>
      <c r="M13771" s="154" t="str">
        <f t="shared" si="1223"/>
        <v>Low_High_High_Upgraded_Eutrophication Potential (EP) - kg N eq_Biosolids composting; aerated static pile; wastewater treatment unit; at updated plant - US_Without Amendment_Aerated Static Pile</v>
      </c>
    </row>
    <row r="13772" spans="1:13" s="120" customFormat="1" x14ac:dyDescent="0.25">
      <c r="A13772" s="119"/>
      <c r="B13772" s="138" t="str">
        <f t="shared" si="1219"/>
        <v>Aerated Static Pile</v>
      </c>
      <c r="C13772" s="138" t="str">
        <f t="shared" si="1220"/>
        <v>Without Amendment</v>
      </c>
      <c r="D13772" s="138" t="str">
        <f t="shared" si="1218"/>
        <v>High_High</v>
      </c>
      <c r="E13772" s="138" t="str">
        <f t="shared" si="1221"/>
        <v>Low</v>
      </c>
      <c r="F13772" s="138" t="str">
        <f t="shared" si="1222"/>
        <v>Upgraded</v>
      </c>
      <c r="G13772" s="153"/>
      <c r="H13772" s="210">
        <v>7.1000000000000004E-3</v>
      </c>
      <c r="I13772" s="160" t="s">
        <v>60</v>
      </c>
      <c r="J13772" s="211">
        <v>9.0710800000000006E-5</v>
      </c>
      <c r="K13772" s="160" t="s">
        <v>13</v>
      </c>
      <c r="L13772" s="154" t="str">
        <f>IF(OpenLCAbasic!K13772="CTUh", "Fill in Manually",IF(OR(K13772="Unit", K13772=""), "", INDEX(LookUps!$E$5:$E$12, MATCH(OpenLCAbasic!K13772,LookUps!$D$5:$D$12,0))))</f>
        <v>Eutrophication Potential (EP) - kg N eq</v>
      </c>
      <c r="M13772" s="154" t="str">
        <f t="shared" si="1223"/>
        <v>Low_High_High_Upgraded_Eutrophication Potential (EP) - kg N eq_Belt filter press; wastewater treatment unit; at updated plant - US_Without Amendment_Aerated Static Pile</v>
      </c>
    </row>
    <row r="13773" spans="1:13" s="120" customFormat="1" x14ac:dyDescent="0.25">
      <c r="A13773" s="119"/>
      <c r="B13773" s="138" t="str">
        <f t="shared" si="1219"/>
        <v>Aerated Static Pile</v>
      </c>
      <c r="C13773" s="138" t="str">
        <f t="shared" si="1220"/>
        <v>Without Amendment</v>
      </c>
      <c r="D13773" s="138" t="str">
        <f t="shared" si="1218"/>
        <v>High_High</v>
      </c>
      <c r="E13773" s="138" t="str">
        <f t="shared" si="1221"/>
        <v>Low</v>
      </c>
      <c r="F13773" s="138" t="str">
        <f t="shared" si="1222"/>
        <v>Upgraded</v>
      </c>
      <c r="G13773" s="153"/>
      <c r="H13773" s="210">
        <v>4.7000000000000002E-3</v>
      </c>
      <c r="I13773" s="160" t="s">
        <v>57</v>
      </c>
      <c r="J13773" s="211">
        <v>6.0590300000000002E-5</v>
      </c>
      <c r="K13773" s="160" t="s">
        <v>13</v>
      </c>
      <c r="L13773" s="154" t="str">
        <f>IF(OpenLCAbasic!K13773="CTUh", "Fill in Manually",IF(OR(K13773="Unit", K13773=""), "", INDEX(LookUps!$E$5:$E$12, MATCH(OpenLCAbasic!K13773,LookUps!$D$5:$D$12,0))))</f>
        <v>Eutrophication Potential (EP) - kg N eq</v>
      </c>
      <c r="M13773" s="154" t="str">
        <f t="shared" si="1223"/>
        <v>Low_High_High_Upgraded_Eutrophication Potential (EP) - kg N eq_Gravity Belt Thickener; wastewater treatment unit; at updated plant - US_Without Amendment_Aerated Static Pile</v>
      </c>
    </row>
    <row r="13774" spans="1:13" s="120" customFormat="1" x14ac:dyDescent="0.25">
      <c r="A13774" s="119"/>
      <c r="B13774" s="138" t="str">
        <f t="shared" si="1219"/>
        <v>Aerated Static Pile</v>
      </c>
      <c r="C13774" s="138" t="str">
        <f t="shared" si="1220"/>
        <v>Without Amendment</v>
      </c>
      <c r="D13774" s="138" t="str">
        <f t="shared" si="1218"/>
        <v>High_High</v>
      </c>
      <c r="E13774" s="138" t="str">
        <f t="shared" si="1221"/>
        <v>Low</v>
      </c>
      <c r="F13774" s="138" t="str">
        <f t="shared" si="1222"/>
        <v>Upgraded</v>
      </c>
      <c r="G13774" s="153"/>
      <c r="H13774" s="210">
        <v>2.8999999999999998E-3</v>
      </c>
      <c r="I13774" s="160" t="s">
        <v>128</v>
      </c>
      <c r="J13774" s="211">
        <v>3.7559799999999999E-5</v>
      </c>
      <c r="K13774" s="160" t="s">
        <v>13</v>
      </c>
      <c r="L13774" s="154" t="str">
        <f>IF(OpenLCAbasic!K13774="CTUh", "Fill in Manually",IF(OR(K13774="Unit", K13774=""), "", INDEX(LookUps!$E$5:$E$12, MATCH(OpenLCAbasic!K13774,LookUps!$D$5:$D$12,0))))</f>
        <v>Eutrophication Potential (EP) - kg N eq</v>
      </c>
      <c r="M13774" s="154" t="str">
        <f t="shared" si="1223"/>
        <v>Low_High_High_Upgraded_Eutrophication Potential (EP) - kg N eq_Wastewater collection; operation and infrastructure; m3 wastewater_Without Amendment_Aerated Static Pile</v>
      </c>
    </row>
    <row r="13775" spans="1:13" s="120" customFormat="1" x14ac:dyDescent="0.25">
      <c r="A13775" s="119"/>
      <c r="B13775" s="138" t="str">
        <f t="shared" si="1219"/>
        <v>Aerated Static Pile</v>
      </c>
      <c r="C13775" s="138" t="str">
        <f t="shared" si="1220"/>
        <v>Without Amendment</v>
      </c>
      <c r="D13775" s="138" t="str">
        <f t="shared" si="1218"/>
        <v>High_High</v>
      </c>
      <c r="E13775" s="138" t="str">
        <f t="shared" si="1221"/>
        <v>Low</v>
      </c>
      <c r="F13775" s="138" t="str">
        <f t="shared" si="1222"/>
        <v>Upgraded</v>
      </c>
      <c r="G13775" s="153"/>
      <c r="H13775" s="210">
        <v>2.8999999999999998E-3</v>
      </c>
      <c r="I13775" s="160" t="s">
        <v>148</v>
      </c>
      <c r="J13775" s="211">
        <v>3.6874600000000001E-5</v>
      </c>
      <c r="K13775" s="160" t="s">
        <v>13</v>
      </c>
      <c r="L13775" s="154" t="str">
        <f>IF(OpenLCAbasic!K13775="CTUh", "Fill in Manually",IF(OR(K13775="Unit", K13775=""), "", INDEX(LookUps!$E$5:$E$12, MATCH(OpenLCAbasic!K13775,LookUps!$D$5:$D$12,0))))</f>
        <v>Eutrophication Potential (EP) - kg N eq</v>
      </c>
      <c r="M13775" s="154" t="str">
        <f t="shared" si="1223"/>
        <v>Low_High_High_Upgraded_Eutrophication Potential (EP) - kg N eq_Control Building; at upgraded wastewater treatment plant - US_Without Amendment_Aerated Static Pile</v>
      </c>
    </row>
    <row r="13776" spans="1:13" s="120" customFormat="1" x14ac:dyDescent="0.25">
      <c r="A13776" s="119"/>
      <c r="B13776" s="138" t="str">
        <f t="shared" si="1219"/>
        <v>Aerated Static Pile</v>
      </c>
      <c r="C13776" s="138" t="str">
        <f t="shared" si="1220"/>
        <v>Without Amendment</v>
      </c>
      <c r="D13776" s="138" t="str">
        <f t="shared" si="1218"/>
        <v>High_High</v>
      </c>
      <c r="E13776" s="138" t="str">
        <f t="shared" si="1221"/>
        <v>Low</v>
      </c>
      <c r="F13776" s="138" t="str">
        <f t="shared" si="1222"/>
        <v>Upgraded</v>
      </c>
      <c r="G13776" s="153"/>
      <c r="H13776" s="210">
        <v>1.2999999999999999E-3</v>
      </c>
      <c r="I13776" s="160" t="s">
        <v>59</v>
      </c>
      <c r="J13776" s="211">
        <v>1.6215700000000001E-5</v>
      </c>
      <c r="K13776" s="160" t="s">
        <v>13</v>
      </c>
      <c r="L13776" s="154" t="str">
        <f>IF(OpenLCAbasic!K13776="CTUh", "Fill in Manually",IF(OR(K13776="Unit", K13776=""), "", INDEX(LookUps!$E$5:$E$12, MATCH(OpenLCAbasic!K13776,LookUps!$D$5:$D$12,0))))</f>
        <v>Eutrophication Potential (EP) - kg N eq</v>
      </c>
      <c r="M13776" s="154" t="str">
        <f t="shared" si="1223"/>
        <v>Low_High_High_Upgraded_Eutrophication Potential (EP) - kg N eq_Blend Tank; wastewater treatment unit; at updated plant - US_Without Amendment_Aerated Static Pile</v>
      </c>
    </row>
    <row r="13777" spans="1:13" s="120" customFormat="1" x14ac:dyDescent="0.25">
      <c r="A13777" s="119"/>
      <c r="B13777" s="138" t="str">
        <f t="shared" si="1219"/>
        <v>Aerated Static Pile</v>
      </c>
      <c r="C13777" s="138" t="str">
        <f t="shared" si="1220"/>
        <v>Without Amendment</v>
      </c>
      <c r="D13777" s="138" t="str">
        <f t="shared" si="1218"/>
        <v>High_High</v>
      </c>
      <c r="E13777" s="138" t="str">
        <f t="shared" si="1221"/>
        <v>Low</v>
      </c>
      <c r="F13777" s="138" t="str">
        <f t="shared" si="1222"/>
        <v>Upgraded</v>
      </c>
      <c r="G13777" s="153"/>
      <c r="H13777" s="210">
        <v>5.9999999999999995E-4</v>
      </c>
      <c r="I13777" s="160" t="s">
        <v>168</v>
      </c>
      <c r="J13777" s="211">
        <v>7.7567199999999995E-6</v>
      </c>
      <c r="K13777" s="160" t="s">
        <v>13</v>
      </c>
      <c r="L13777" s="154" t="str">
        <f>IF(OpenLCAbasic!K13777="CTUh", "Fill in Manually",IF(OR(K13777="Unit", K13777=""), "", INDEX(LookUps!$E$5:$E$12, MATCH(OpenLCAbasic!K13777,LookUps!$D$5:$D$12,0))))</f>
        <v>Eutrophication Potential (EP) - kg N eq</v>
      </c>
      <c r="M13777" s="154" t="str">
        <f t="shared" si="1223"/>
        <v>Low_High_High_Upgraded_Eutrophication Potential (EP) - kg N eq_ClearCove SCP; wastewater treatment unit; at updated plant - US_Without Amendment_Aerated Static Pile</v>
      </c>
    </row>
    <row r="13778" spans="1:13" s="120" customFormat="1" x14ac:dyDescent="0.25">
      <c r="A13778" s="119"/>
      <c r="B13778" s="138" t="str">
        <f t="shared" si="1219"/>
        <v>Aerated Static Pile</v>
      </c>
      <c r="C13778" s="138" t="str">
        <f t="shared" si="1220"/>
        <v>Without Amendment</v>
      </c>
      <c r="D13778" s="138" t="str">
        <f t="shared" si="1218"/>
        <v>High_High</v>
      </c>
      <c r="E13778" s="138" t="str">
        <f t="shared" si="1221"/>
        <v>Low</v>
      </c>
      <c r="F13778" s="138" t="str">
        <f t="shared" si="1222"/>
        <v>Upgraded</v>
      </c>
      <c r="G13778" s="153"/>
      <c r="H13778" s="210">
        <v>-0.23039999999999999</v>
      </c>
      <c r="I13778" s="160" t="s">
        <v>149</v>
      </c>
      <c r="J13778" s="160">
        <v>-2.96E-3</v>
      </c>
      <c r="K13778" s="160" t="s">
        <v>13</v>
      </c>
      <c r="L13778" s="154" t="str">
        <f>IF(OpenLCAbasic!K13778="CTUh", "Fill in Manually",IF(OR(K13778="Unit", K13778=""), "", INDEX(LookUps!$E$5:$E$12, MATCH(OpenLCAbasic!K13778,LookUps!$D$5:$D$12,0))))</f>
        <v>Eutrophication Potential (EP) - kg N eq</v>
      </c>
      <c r="M13778" s="154" t="str">
        <f t="shared" si="1223"/>
        <v>Low_High_High_Upgraded_Eutrophication Potential (EP) - kg N eq_Anaerobic Digestion; wastewater treatment unit; at updated plant - US_Without Amendment_Aerated Static Pile</v>
      </c>
    </row>
    <row r="13779" spans="1:13" s="120" customFormat="1" x14ac:dyDescent="0.25">
      <c r="A13779" s="119"/>
      <c r="B13779" s="138" t="str">
        <f t="shared" si="1219"/>
        <v/>
      </c>
      <c r="C13779" s="138" t="str">
        <f t="shared" si="1220"/>
        <v/>
      </c>
      <c r="D13779" s="138" t="str">
        <f t="shared" si="1218"/>
        <v/>
      </c>
      <c r="E13779" s="138" t="str">
        <f t="shared" si="1221"/>
        <v/>
      </c>
      <c r="F13779" s="138" t="str">
        <f t="shared" si="1222"/>
        <v/>
      </c>
      <c r="G13779" s="153" t="s">
        <v>51</v>
      </c>
      <c r="H13779" s="160"/>
      <c r="I13779" s="160" t="s">
        <v>47</v>
      </c>
      <c r="J13779" s="160" t="s">
        <v>52</v>
      </c>
      <c r="K13779" s="160" t="s">
        <v>27</v>
      </c>
      <c r="L13779" s="154" t="str">
        <f>IF(OpenLCAbasic!K13779="CTUh", "Fill in Manually",IF(OR(K13779="Unit", K13779=""), "", INDEX(LookUps!$E$5:$E$12, MATCH(OpenLCAbasic!K13779,LookUps!$D$5:$D$12,0))))</f>
        <v/>
      </c>
      <c r="M13779" s="154" t="str">
        <f t="shared" si="1223"/>
        <v>____Process__</v>
      </c>
    </row>
    <row r="13780" spans="1:13" s="120" customFormat="1" x14ac:dyDescent="0.25">
      <c r="A13780" s="119"/>
      <c r="B13780" s="138" t="str">
        <f t="shared" si="1219"/>
        <v>Aerated Static Pile</v>
      </c>
      <c r="C13780" s="138" t="str">
        <f t="shared" si="1220"/>
        <v>Without Amendment</v>
      </c>
      <c r="D13780" s="138" t="str">
        <f t="shared" si="1218"/>
        <v>High_High</v>
      </c>
      <c r="E13780" s="138" t="str">
        <f t="shared" si="1221"/>
        <v>Low</v>
      </c>
      <c r="F13780" s="138" t="str">
        <f t="shared" si="1222"/>
        <v>Upgraded</v>
      </c>
      <c r="G13780" s="153"/>
      <c r="H13780" s="210">
        <v>0.69340000000000002</v>
      </c>
      <c r="I13780" s="160" t="s">
        <v>167</v>
      </c>
      <c r="J13780" s="160">
        <v>0.11719</v>
      </c>
      <c r="K13780" s="160" t="s">
        <v>14</v>
      </c>
      <c r="L13780" s="154" t="str">
        <f>IF(OpenLCAbasic!K13780="CTUh", "Fill in Manually",IF(OR(K13780="Unit", K13780=""), "", INDEX(LookUps!$E$5:$E$12, MATCH(OpenLCAbasic!K13780,LookUps!$D$5:$D$12,0))))</f>
        <v>Fossil Depletion Potential (FDP) - kg oil eq</v>
      </c>
      <c r="M13780" s="154" t="str">
        <f t="shared" si="1223"/>
        <v>Low_High_High_Upgraded_Fossil Depletion Potential (FDP) - kg oil eq_Waste Receiving and Holding; wastewater treatment unit; at updated plant - US_Without Amendment_Aerated Static Pile</v>
      </c>
    </row>
    <row r="13781" spans="1:13" s="120" customFormat="1" x14ac:dyDescent="0.25">
      <c r="A13781" s="119"/>
      <c r="B13781" s="138" t="str">
        <f t="shared" si="1219"/>
        <v>Aerated Static Pile</v>
      </c>
      <c r="C13781" s="138" t="str">
        <f t="shared" si="1220"/>
        <v>Without Amendment</v>
      </c>
      <c r="D13781" s="138" t="str">
        <f t="shared" si="1218"/>
        <v>High_High</v>
      </c>
      <c r="E13781" s="138" t="str">
        <f t="shared" si="1221"/>
        <v>Low</v>
      </c>
      <c r="F13781" s="138" t="str">
        <f t="shared" si="1222"/>
        <v>Upgraded</v>
      </c>
      <c r="G13781" s="153"/>
      <c r="H13781" s="210">
        <v>0.37619999999999998</v>
      </c>
      <c r="I13781" s="160" t="s">
        <v>55</v>
      </c>
      <c r="J13781" s="160">
        <v>6.3589999999999994E-2</v>
      </c>
      <c r="K13781" s="160" t="s">
        <v>14</v>
      </c>
      <c r="L13781" s="154" t="str">
        <f>IF(OpenLCAbasic!K13781="CTUh", "Fill in Manually",IF(OR(K13781="Unit", K13781=""), "", INDEX(LookUps!$E$5:$E$12, MATCH(OpenLCAbasic!K13781,LookUps!$D$5:$D$12,0))))</f>
        <v>Fossil Depletion Potential (FDP) - kg oil eq</v>
      </c>
      <c r="M13781" s="154" t="str">
        <f t="shared" si="1223"/>
        <v>Low_High_High_Upgraded_Fossil Depletion Potential (FDP) - kg oil eq_Aeration Tanks; wastewater treatment unit; at updated plant - US_Without Amendment_Aerated Static Pile</v>
      </c>
    </row>
    <row r="13782" spans="1:13" s="120" customFormat="1" x14ac:dyDescent="0.25">
      <c r="A13782" s="119"/>
      <c r="B13782" s="138" t="str">
        <f t="shared" si="1219"/>
        <v>Aerated Static Pile</v>
      </c>
      <c r="C13782" s="138" t="str">
        <f t="shared" si="1220"/>
        <v>Without Amendment</v>
      </c>
      <c r="D13782" s="138" t="str">
        <f t="shared" si="1218"/>
        <v>High_High</v>
      </c>
      <c r="E13782" s="138" t="str">
        <f t="shared" si="1221"/>
        <v>Low</v>
      </c>
      <c r="F13782" s="138" t="str">
        <f t="shared" si="1222"/>
        <v>Upgraded</v>
      </c>
      <c r="G13782" s="153"/>
      <c r="H13782" s="210">
        <v>0.1245</v>
      </c>
      <c r="I13782" s="160" t="s">
        <v>54</v>
      </c>
      <c r="J13782" s="160">
        <v>2.1049999999999999E-2</v>
      </c>
      <c r="K13782" s="160" t="s">
        <v>14</v>
      </c>
      <c r="L13782" s="154" t="str">
        <f>IF(OpenLCAbasic!K13782="CTUh", "Fill in Manually",IF(OR(K13782="Unit", K13782=""), "", INDEX(LookUps!$E$5:$E$12, MATCH(OpenLCAbasic!K13782,LookUps!$D$5:$D$12,0))))</f>
        <v>Fossil Depletion Potential (FDP) - kg oil eq</v>
      </c>
      <c r="M13782" s="154" t="str">
        <f t="shared" si="1223"/>
        <v>Low_High_High_Upgraded_Fossil Depletion Potential (FDP) - kg oil eq_Clear Cove Primary Clarification; wastewater treatment unit; at updated plant - US_Without Amendment_Aerated Static Pile</v>
      </c>
    </row>
    <row r="13783" spans="1:13" s="120" customFormat="1" x14ac:dyDescent="0.25">
      <c r="A13783" s="119"/>
      <c r="B13783" s="138" t="str">
        <f t="shared" si="1219"/>
        <v>Aerated Static Pile</v>
      </c>
      <c r="C13783" s="138" t="str">
        <f t="shared" si="1220"/>
        <v>Without Amendment</v>
      </c>
      <c r="D13783" s="138" t="str">
        <f t="shared" si="1218"/>
        <v>High_High</v>
      </c>
      <c r="E13783" s="138" t="str">
        <f t="shared" si="1221"/>
        <v>Low</v>
      </c>
      <c r="F13783" s="138" t="str">
        <f t="shared" si="1222"/>
        <v>Upgraded</v>
      </c>
      <c r="G13783" s="153"/>
      <c r="H13783" s="210">
        <v>9.4899999999999998E-2</v>
      </c>
      <c r="I13783" s="160" t="s">
        <v>58</v>
      </c>
      <c r="J13783" s="160">
        <v>1.6039999999999999E-2</v>
      </c>
      <c r="K13783" s="160" t="s">
        <v>14</v>
      </c>
      <c r="L13783" s="154" t="str">
        <f>IF(OpenLCAbasic!K13783="CTUh", "Fill in Manually",IF(OR(K13783="Unit", K13783=""), "", INDEX(LookUps!$E$5:$E$12, MATCH(OpenLCAbasic!K13783,LookUps!$D$5:$D$12,0))))</f>
        <v>Fossil Depletion Potential (FDP) - kg oil eq</v>
      </c>
      <c r="M13783" s="154" t="str">
        <f t="shared" si="1223"/>
        <v>Low_High_High_Upgraded_Fossil Depletion Potential (FDP) - kg oil eq_Pre-Anoxic &amp; Swing tank; wastewater treatment unit; at updated plant - US_Without Amendment_Aerated Static Pile</v>
      </c>
    </row>
    <row r="13784" spans="1:13" s="120" customFormat="1" x14ac:dyDescent="0.25">
      <c r="A13784" s="119"/>
      <c r="B13784" s="138" t="str">
        <f t="shared" si="1219"/>
        <v>Aerated Static Pile</v>
      </c>
      <c r="C13784" s="138" t="str">
        <f t="shared" si="1220"/>
        <v>Without Amendment</v>
      </c>
      <c r="D13784" s="138" t="str">
        <f t="shared" si="1218"/>
        <v>High_High</v>
      </c>
      <c r="E13784" s="138" t="str">
        <f t="shared" si="1221"/>
        <v>Low</v>
      </c>
      <c r="F13784" s="138" t="str">
        <f t="shared" si="1222"/>
        <v>Upgraded</v>
      </c>
      <c r="G13784" s="153"/>
      <c r="H13784" s="210">
        <v>8.9300000000000004E-2</v>
      </c>
      <c r="I13784" s="160" t="s">
        <v>147</v>
      </c>
      <c r="J13784" s="160">
        <v>1.5089999999999999E-2</v>
      </c>
      <c r="K13784" s="160" t="s">
        <v>14</v>
      </c>
      <c r="L13784" s="154" t="str">
        <f>IF(OpenLCAbasic!K13784="CTUh", "Fill in Manually",IF(OR(K13784="Unit", K13784=""), "", INDEX(LookUps!$E$5:$E$12, MATCH(OpenLCAbasic!K13784,LookUps!$D$5:$D$12,0))))</f>
        <v>Fossil Depletion Potential (FDP) - kg oil eq</v>
      </c>
      <c r="M13784" s="154" t="str">
        <f t="shared" si="1223"/>
        <v>Low_High_High_Upgraded_Fossil Depletion Potential (FDP) - kg oil eq_Influent Pump Station; wastewater treatment unit; at updated plant - US_Without Amendment_Aerated Static Pile</v>
      </c>
    </row>
    <row r="13785" spans="1:13" s="120" customFormat="1" x14ac:dyDescent="0.25">
      <c r="A13785" s="119"/>
      <c r="B13785" s="138" t="str">
        <f t="shared" si="1219"/>
        <v>Aerated Static Pile</v>
      </c>
      <c r="C13785" s="138" t="str">
        <f t="shared" si="1220"/>
        <v>Without Amendment</v>
      </c>
      <c r="D13785" s="138" t="str">
        <f t="shared" si="1218"/>
        <v>High_High</v>
      </c>
      <c r="E13785" s="138" t="str">
        <f t="shared" si="1221"/>
        <v>Low</v>
      </c>
      <c r="F13785" s="138" t="str">
        <f t="shared" si="1222"/>
        <v>Upgraded</v>
      </c>
      <c r="G13785" s="153"/>
      <c r="H13785" s="210">
        <v>7.3899999999999993E-2</v>
      </c>
      <c r="I13785" s="160" t="s">
        <v>53</v>
      </c>
      <c r="J13785" s="160">
        <v>1.2489999999999999E-2</v>
      </c>
      <c r="K13785" s="160" t="s">
        <v>14</v>
      </c>
      <c r="L13785" s="154" t="str">
        <f>IF(OpenLCAbasic!K13785="CTUh", "Fill in Manually",IF(OR(K13785="Unit", K13785=""), "", INDEX(LookUps!$E$5:$E$12, MATCH(OpenLCAbasic!K13785,LookUps!$D$5:$D$12,0))))</f>
        <v>Fossil Depletion Potential (FDP) - kg oil eq</v>
      </c>
      <c r="M13785" s="154" t="str">
        <f t="shared" si="1223"/>
        <v>Low_High_High_Upgraded_Fossil Depletion Potential (FDP) - kg oil eq_Wet Well and Sump Station; wastewater treatment unit; at updated plant - US_Without Amendment_Aerated Static Pile</v>
      </c>
    </row>
    <row r="13786" spans="1:13" s="120" customFormat="1" x14ac:dyDescent="0.25">
      <c r="A13786" s="119"/>
      <c r="B13786" s="138" t="str">
        <f t="shared" si="1219"/>
        <v>Aerated Static Pile</v>
      </c>
      <c r="C13786" s="138" t="str">
        <f t="shared" si="1220"/>
        <v>Without Amendment</v>
      </c>
      <c r="D13786" s="138" t="str">
        <f t="shared" si="1218"/>
        <v>High_High</v>
      </c>
      <c r="E13786" s="138" t="str">
        <f t="shared" si="1221"/>
        <v>Low</v>
      </c>
      <c r="F13786" s="138" t="str">
        <f t="shared" si="1222"/>
        <v>Upgraded</v>
      </c>
      <c r="G13786" s="153"/>
      <c r="H13786" s="210">
        <v>6.7000000000000004E-2</v>
      </c>
      <c r="I13786" s="160" t="s">
        <v>435</v>
      </c>
      <c r="J13786" s="160">
        <v>1.133E-2</v>
      </c>
      <c r="K13786" s="160" t="s">
        <v>14</v>
      </c>
      <c r="L13786" s="154" t="str">
        <f>IF(OpenLCAbasic!K13786="CTUh", "Fill in Manually",IF(OR(K13786="Unit", K13786=""), "", INDEX(LookUps!$E$5:$E$12, MATCH(OpenLCAbasic!K13786,LookUps!$D$5:$D$12,0))))</f>
        <v>Fossil Depletion Potential (FDP) - kg oil eq</v>
      </c>
      <c r="M13786" s="154" t="str">
        <f t="shared" si="1223"/>
        <v>Low_High_High_Upgraded_Fossil Depletion Potential (FDP) - kg oil eq_Biosolids composting; aerated static pile; wastewater treatment unit; at updated plant - US_Without Amendment_Aerated Static Pile</v>
      </c>
    </row>
    <row r="13787" spans="1:13" s="120" customFormat="1" x14ac:dyDescent="0.25">
      <c r="A13787" s="119"/>
      <c r="B13787" s="138" t="str">
        <f t="shared" si="1219"/>
        <v>Aerated Static Pile</v>
      </c>
      <c r="C13787" s="138" t="str">
        <f t="shared" si="1220"/>
        <v>Without Amendment</v>
      </c>
      <c r="D13787" s="138" t="str">
        <f t="shared" si="1218"/>
        <v>High_High</v>
      </c>
      <c r="E13787" s="138" t="str">
        <f t="shared" si="1221"/>
        <v>Low</v>
      </c>
      <c r="F13787" s="138" t="str">
        <f t="shared" si="1222"/>
        <v>Upgraded</v>
      </c>
      <c r="G13787" s="153"/>
      <c r="H13787" s="210">
        <v>6.1600000000000002E-2</v>
      </c>
      <c r="I13787" s="160" t="s">
        <v>60</v>
      </c>
      <c r="J13787" s="160">
        <v>1.0410000000000001E-2</v>
      </c>
      <c r="K13787" s="160" t="s">
        <v>14</v>
      </c>
      <c r="L13787" s="154" t="str">
        <f>IF(OpenLCAbasic!K13787="CTUh", "Fill in Manually",IF(OR(K13787="Unit", K13787=""), "", INDEX(LookUps!$E$5:$E$12, MATCH(OpenLCAbasic!K13787,LookUps!$D$5:$D$12,0))))</f>
        <v>Fossil Depletion Potential (FDP) - kg oil eq</v>
      </c>
      <c r="M13787" s="154" t="str">
        <f t="shared" si="1223"/>
        <v>Low_High_High_Upgraded_Fossil Depletion Potential (FDP) - kg oil eq_Belt filter press; wastewater treatment unit; at updated plant - US_Without Amendment_Aerated Static Pile</v>
      </c>
    </row>
    <row r="13788" spans="1:13" s="120" customFormat="1" x14ac:dyDescent="0.25">
      <c r="A13788" s="119"/>
      <c r="B13788" s="138" t="str">
        <f t="shared" si="1219"/>
        <v>Aerated Static Pile</v>
      </c>
      <c r="C13788" s="138" t="str">
        <f t="shared" si="1220"/>
        <v>Without Amendment</v>
      </c>
      <c r="D13788" s="138" t="str">
        <f t="shared" si="1218"/>
        <v>High_High</v>
      </c>
      <c r="E13788" s="138" t="str">
        <f t="shared" si="1221"/>
        <v>Low</v>
      </c>
      <c r="F13788" s="138" t="str">
        <f t="shared" si="1222"/>
        <v>Upgraded</v>
      </c>
      <c r="G13788" s="153"/>
      <c r="H13788" s="210">
        <v>4.0899999999999999E-2</v>
      </c>
      <c r="I13788" s="160" t="s">
        <v>57</v>
      </c>
      <c r="J13788" s="160">
        <v>6.9199999999999999E-3</v>
      </c>
      <c r="K13788" s="160" t="s">
        <v>14</v>
      </c>
      <c r="L13788" s="154" t="str">
        <f>IF(OpenLCAbasic!K13788="CTUh", "Fill in Manually",IF(OR(K13788="Unit", K13788=""), "", INDEX(LookUps!$E$5:$E$12, MATCH(OpenLCAbasic!K13788,LookUps!$D$5:$D$12,0))))</f>
        <v>Fossil Depletion Potential (FDP) - kg oil eq</v>
      </c>
      <c r="M13788" s="154" t="str">
        <f t="shared" si="1223"/>
        <v>Low_High_High_Upgraded_Fossil Depletion Potential (FDP) - kg oil eq_Gravity Belt Thickener; wastewater treatment unit; at updated plant - US_Without Amendment_Aerated Static Pile</v>
      </c>
    </row>
    <row r="13789" spans="1:13" s="120" customFormat="1" x14ac:dyDescent="0.25">
      <c r="A13789" s="119"/>
      <c r="B13789" s="138" t="str">
        <f t="shared" si="1219"/>
        <v>Aerated Static Pile</v>
      </c>
      <c r="C13789" s="138" t="str">
        <f t="shared" si="1220"/>
        <v>Without Amendment</v>
      </c>
      <c r="D13789" s="138" t="str">
        <f t="shared" si="1218"/>
        <v>High_High</v>
      </c>
      <c r="E13789" s="138" t="str">
        <f t="shared" si="1221"/>
        <v>Low</v>
      </c>
      <c r="F13789" s="138" t="str">
        <f t="shared" si="1222"/>
        <v>Upgraded</v>
      </c>
      <c r="G13789" s="153"/>
      <c r="H13789" s="210">
        <v>2.6599999999999999E-2</v>
      </c>
      <c r="I13789" s="160" t="s">
        <v>128</v>
      </c>
      <c r="J13789" s="160">
        <v>4.4999999999999997E-3</v>
      </c>
      <c r="K13789" s="160" t="s">
        <v>14</v>
      </c>
      <c r="L13789" s="154" t="str">
        <f>IF(OpenLCAbasic!K13789="CTUh", "Fill in Manually",IF(OR(K13789="Unit", K13789=""), "", INDEX(LookUps!$E$5:$E$12, MATCH(OpenLCAbasic!K13789,LookUps!$D$5:$D$12,0))))</f>
        <v>Fossil Depletion Potential (FDP) - kg oil eq</v>
      </c>
      <c r="M13789" s="154" t="str">
        <f t="shared" si="1223"/>
        <v>Low_High_High_Upgraded_Fossil Depletion Potential (FDP) - kg oil eq_Wastewater collection; operation and infrastructure; m3 wastewater_Without Amendment_Aerated Static Pile</v>
      </c>
    </row>
    <row r="13790" spans="1:13" s="120" customFormat="1" x14ac:dyDescent="0.25">
      <c r="A13790" s="119"/>
      <c r="B13790" s="138" t="str">
        <f t="shared" si="1219"/>
        <v>Aerated Static Pile</v>
      </c>
      <c r="C13790" s="138" t="str">
        <f t="shared" si="1220"/>
        <v>Without Amendment</v>
      </c>
      <c r="D13790" s="138" t="str">
        <f t="shared" si="1218"/>
        <v>High_High</v>
      </c>
      <c r="E13790" s="138" t="str">
        <f t="shared" si="1221"/>
        <v>Low</v>
      </c>
      <c r="F13790" s="138" t="str">
        <f t="shared" si="1222"/>
        <v>Upgraded</v>
      </c>
      <c r="G13790" s="153"/>
      <c r="H13790" s="210">
        <v>1.66E-2</v>
      </c>
      <c r="I13790" s="160" t="s">
        <v>148</v>
      </c>
      <c r="J13790" s="160">
        <v>2.8E-3</v>
      </c>
      <c r="K13790" s="160" t="s">
        <v>14</v>
      </c>
      <c r="L13790" s="154" t="str">
        <f>IF(OpenLCAbasic!K13790="CTUh", "Fill in Manually",IF(OR(K13790="Unit", K13790=""), "", INDEX(LookUps!$E$5:$E$12, MATCH(OpenLCAbasic!K13790,LookUps!$D$5:$D$12,0))))</f>
        <v>Fossil Depletion Potential (FDP) - kg oil eq</v>
      </c>
      <c r="M13790" s="154" t="str">
        <f t="shared" si="1223"/>
        <v>Low_High_High_Upgraded_Fossil Depletion Potential (FDP) - kg oil eq_Control Building; at upgraded wastewater treatment plant - US_Without Amendment_Aerated Static Pile</v>
      </c>
    </row>
    <row r="13791" spans="1:13" s="120" customFormat="1" x14ac:dyDescent="0.25">
      <c r="A13791" s="119"/>
      <c r="B13791" s="138" t="str">
        <f t="shared" si="1219"/>
        <v>Aerated Static Pile</v>
      </c>
      <c r="C13791" s="138" t="str">
        <f t="shared" si="1220"/>
        <v>Without Amendment</v>
      </c>
      <c r="D13791" s="138" t="str">
        <f t="shared" si="1218"/>
        <v>High_High</v>
      </c>
      <c r="E13791" s="138" t="str">
        <f t="shared" si="1221"/>
        <v>Low</v>
      </c>
      <c r="F13791" s="138" t="str">
        <f t="shared" si="1222"/>
        <v>Upgraded</v>
      </c>
      <c r="G13791" s="153"/>
      <c r="H13791" s="210">
        <v>1.4E-2</v>
      </c>
      <c r="I13791" s="160" t="s">
        <v>48</v>
      </c>
      <c r="J13791" s="160">
        <v>2.3600000000000001E-3</v>
      </c>
      <c r="K13791" s="160" t="s">
        <v>14</v>
      </c>
      <c r="L13791" s="154" t="str">
        <f>IF(OpenLCAbasic!K13791="CTUh", "Fill in Manually",IF(OR(K13791="Unit", K13791=""), "", INDEX(LookUps!$E$5:$E$12, MATCH(OpenLCAbasic!K13791,LookUps!$D$5:$D$12,0))))</f>
        <v>Fossil Depletion Potential (FDP) - kg oil eq</v>
      </c>
      <c r="M13791" s="154" t="str">
        <f t="shared" si="1223"/>
        <v>Low_High_High_Upgraded_Fossil Depletion Potential (FDP) - kg oil eq_Effluent release; wastewater treatment unit; at surface water; m3 wastewater - US_Without Amendment_Aerated Static Pile</v>
      </c>
    </row>
    <row r="13792" spans="1:13" s="120" customFormat="1" x14ac:dyDescent="0.25">
      <c r="A13792" s="119"/>
      <c r="B13792" s="138" t="str">
        <f t="shared" si="1219"/>
        <v>Aerated Static Pile</v>
      </c>
      <c r="C13792" s="138" t="str">
        <f t="shared" si="1220"/>
        <v>Without Amendment</v>
      </c>
      <c r="D13792" s="138" t="str">
        <f t="shared" si="1218"/>
        <v>High_High</v>
      </c>
      <c r="E13792" s="138" t="str">
        <f t="shared" si="1221"/>
        <v>Low</v>
      </c>
      <c r="F13792" s="138" t="str">
        <f t="shared" si="1222"/>
        <v>Upgraded</v>
      </c>
      <c r="G13792" s="153"/>
      <c r="H13792" s="210">
        <v>1.14E-2</v>
      </c>
      <c r="I13792" s="160" t="s">
        <v>59</v>
      </c>
      <c r="J13792" s="160">
        <v>1.92E-3</v>
      </c>
      <c r="K13792" s="160" t="s">
        <v>14</v>
      </c>
      <c r="L13792" s="154" t="str">
        <f>IF(OpenLCAbasic!K13792="CTUh", "Fill in Manually",IF(OR(K13792="Unit", K13792=""), "", INDEX(LookUps!$E$5:$E$12, MATCH(OpenLCAbasic!K13792,LookUps!$D$5:$D$12,0))))</f>
        <v>Fossil Depletion Potential (FDP) - kg oil eq</v>
      </c>
      <c r="M13792" s="154" t="str">
        <f t="shared" si="1223"/>
        <v>Low_High_High_Upgraded_Fossil Depletion Potential (FDP) - kg oil eq_Blend Tank; wastewater treatment unit; at updated plant - US_Without Amendment_Aerated Static Pile</v>
      </c>
    </row>
    <row r="13793" spans="1:13" s="120" customFormat="1" x14ac:dyDescent="0.25">
      <c r="A13793" s="119"/>
      <c r="B13793" s="138" t="str">
        <f t="shared" si="1219"/>
        <v>Aerated Static Pile</v>
      </c>
      <c r="C13793" s="138" t="str">
        <f t="shared" si="1220"/>
        <v>Without Amendment</v>
      </c>
      <c r="D13793" s="138" t="str">
        <f t="shared" ref="D13793:D13856" si="1224">IF(ISNUMBER($J13793),"High_High","")</f>
        <v>High_High</v>
      </c>
      <c r="E13793" s="138" t="str">
        <f t="shared" si="1221"/>
        <v>Low</v>
      </c>
      <c r="F13793" s="138" t="str">
        <f t="shared" si="1222"/>
        <v>Upgraded</v>
      </c>
      <c r="G13793" s="153"/>
      <c r="H13793" s="210">
        <v>5.4000000000000003E-3</v>
      </c>
      <c r="I13793" s="160" t="s">
        <v>168</v>
      </c>
      <c r="J13793" s="160">
        <v>9.1E-4</v>
      </c>
      <c r="K13793" s="160" t="s">
        <v>14</v>
      </c>
      <c r="L13793" s="154" t="str">
        <f>IF(OpenLCAbasic!K13793="CTUh", "Fill in Manually",IF(OR(K13793="Unit", K13793=""), "", INDEX(LookUps!$E$5:$E$12, MATCH(OpenLCAbasic!K13793,LookUps!$D$5:$D$12,0))))</f>
        <v>Fossil Depletion Potential (FDP) - kg oil eq</v>
      </c>
      <c r="M13793" s="154" t="str">
        <f t="shared" si="1223"/>
        <v>Low_High_High_Upgraded_Fossil Depletion Potential (FDP) - kg oil eq_ClearCove SCP; wastewater treatment unit; at updated plant - US_Without Amendment_Aerated Static Pile</v>
      </c>
    </row>
    <row r="13794" spans="1:13" s="120" customFormat="1" x14ac:dyDescent="0.25">
      <c r="A13794" s="119"/>
      <c r="B13794" s="138" t="str">
        <f t="shared" si="1219"/>
        <v>Aerated Static Pile</v>
      </c>
      <c r="C13794" s="138" t="str">
        <f t="shared" si="1220"/>
        <v>Without Amendment</v>
      </c>
      <c r="D13794" s="138" t="str">
        <f t="shared" si="1224"/>
        <v>High_High</v>
      </c>
      <c r="E13794" s="138" t="str">
        <f t="shared" si="1221"/>
        <v>Low</v>
      </c>
      <c r="F13794" s="138" t="str">
        <f t="shared" si="1222"/>
        <v>Upgraded</v>
      </c>
      <c r="G13794" s="153"/>
      <c r="H13794" s="210">
        <v>-4.65E-2</v>
      </c>
      <c r="I13794" s="160" t="s">
        <v>62</v>
      </c>
      <c r="J13794" s="160">
        <v>-7.8700000000000003E-3</v>
      </c>
      <c r="K13794" s="160" t="s">
        <v>14</v>
      </c>
      <c r="L13794" s="154" t="str">
        <f>IF(OpenLCAbasic!K13794="CTUh", "Fill in Manually",IF(OR(K13794="Unit", K13794=""), "", INDEX(LookUps!$E$5:$E$12, MATCH(OpenLCAbasic!K13794,LookUps!$D$5:$D$12,0))))</f>
        <v>Fossil Depletion Potential (FDP) - kg oil eq</v>
      </c>
      <c r="M13794" s="154" t="str">
        <f t="shared" si="1223"/>
        <v>Low_High_High_Upgraded_Fossil Depletion Potential (FDP) - kg oil eq_Land application of compost; wastewater treatment unit; at updated plant - US_Without Amendment_Aerated Static Pile</v>
      </c>
    </row>
    <row r="13795" spans="1:13" s="120" customFormat="1" x14ac:dyDescent="0.25">
      <c r="A13795" s="119"/>
      <c r="B13795" s="138" t="str">
        <f t="shared" si="1219"/>
        <v>Aerated Static Pile</v>
      </c>
      <c r="C13795" s="138" t="str">
        <f t="shared" si="1220"/>
        <v>Without Amendment</v>
      </c>
      <c r="D13795" s="138" t="str">
        <f t="shared" si="1224"/>
        <v>High_High</v>
      </c>
      <c r="E13795" s="138" t="str">
        <f t="shared" si="1221"/>
        <v>Low</v>
      </c>
      <c r="F13795" s="138" t="str">
        <f t="shared" si="1222"/>
        <v>Upgraded</v>
      </c>
      <c r="G13795" s="153"/>
      <c r="H13795" s="210">
        <v>-2.6492</v>
      </c>
      <c r="I13795" s="160" t="s">
        <v>149</v>
      </c>
      <c r="J13795" s="160">
        <v>-0.44775999999999999</v>
      </c>
      <c r="K13795" s="160" t="s">
        <v>14</v>
      </c>
      <c r="L13795" s="154" t="str">
        <f>IF(OpenLCAbasic!K13795="CTUh", "Fill in Manually",IF(OR(K13795="Unit", K13795=""), "", INDEX(LookUps!$E$5:$E$12, MATCH(OpenLCAbasic!K13795,LookUps!$D$5:$D$12,0))))</f>
        <v>Fossil Depletion Potential (FDP) - kg oil eq</v>
      </c>
      <c r="M13795" s="154" t="str">
        <f t="shared" si="1223"/>
        <v>Low_High_High_Upgraded_Fossil Depletion Potential (FDP) - kg oil eq_Anaerobic Digestion; wastewater treatment unit; at updated plant - US_Without Amendment_Aerated Static Pile</v>
      </c>
    </row>
    <row r="13796" spans="1:13" s="120" customFormat="1" x14ac:dyDescent="0.25">
      <c r="A13796" s="119"/>
      <c r="B13796" s="138" t="str">
        <f t="shared" si="1219"/>
        <v/>
      </c>
      <c r="C13796" s="138" t="str">
        <f t="shared" si="1220"/>
        <v/>
      </c>
      <c r="D13796" s="138" t="str">
        <f t="shared" si="1224"/>
        <v/>
      </c>
      <c r="E13796" s="138" t="str">
        <f t="shared" si="1221"/>
        <v/>
      </c>
      <c r="F13796" s="138" t="str">
        <f t="shared" si="1222"/>
        <v/>
      </c>
      <c r="G13796" s="153" t="s">
        <v>51</v>
      </c>
      <c r="H13796" s="160"/>
      <c r="I13796" s="160" t="s">
        <v>47</v>
      </c>
      <c r="J13796" s="160" t="s">
        <v>52</v>
      </c>
      <c r="K13796" s="160" t="s">
        <v>27</v>
      </c>
      <c r="L13796" s="154" t="str">
        <f>IF(OpenLCAbasic!K13796="CTUh", "Fill in Manually",IF(OR(K13796="Unit", K13796=""), "", INDEX(LookUps!$E$5:$E$12, MATCH(OpenLCAbasic!K13796,LookUps!$D$5:$D$12,0))))</f>
        <v/>
      </c>
      <c r="M13796" s="154" t="str">
        <f t="shared" si="1223"/>
        <v>____Process__</v>
      </c>
    </row>
    <row r="13797" spans="1:13" s="120" customFormat="1" x14ac:dyDescent="0.25">
      <c r="A13797" s="119"/>
      <c r="B13797" s="138" t="str">
        <f t="shared" si="1219"/>
        <v>Aerated Static Pile</v>
      </c>
      <c r="C13797" s="138" t="str">
        <f t="shared" si="1220"/>
        <v>Without Amendment</v>
      </c>
      <c r="D13797" s="138" t="str">
        <f t="shared" si="1224"/>
        <v>High_High</v>
      </c>
      <c r="E13797" s="138" t="str">
        <f t="shared" si="1221"/>
        <v>Low</v>
      </c>
      <c r="F13797" s="138" t="str">
        <f t="shared" si="1222"/>
        <v>Upgraded</v>
      </c>
      <c r="G13797" s="153"/>
      <c r="H13797" s="210">
        <v>1.1826000000000001</v>
      </c>
      <c r="I13797" s="160" t="s">
        <v>58</v>
      </c>
      <c r="J13797" s="160">
        <v>0.24992</v>
      </c>
      <c r="K13797" s="160" t="s">
        <v>23</v>
      </c>
      <c r="L13797" s="154" t="str">
        <f>IF(OpenLCAbasic!K13797="CTUh", "Fill in Manually",IF(OR(K13797="Unit", K13797=""), "", INDEX(LookUps!$E$5:$E$12, MATCH(OpenLCAbasic!K13797,LookUps!$D$5:$D$12,0))))</f>
        <v>Global Warming Potential (GWP) - kg CO2 eq</v>
      </c>
      <c r="M13797" s="154" t="str">
        <f t="shared" si="1223"/>
        <v>Low_High_High_Upgraded_Global Warming Potential (GWP) - kg CO2 eq_Pre-Anoxic &amp; Swing tank; wastewater treatment unit; at updated plant - US_Without Amendment_Aerated Static Pile</v>
      </c>
    </row>
    <row r="13798" spans="1:13" s="120" customFormat="1" x14ac:dyDescent="0.25">
      <c r="A13798" s="119"/>
      <c r="B13798" s="138" t="str">
        <f t="shared" si="1219"/>
        <v>Aerated Static Pile</v>
      </c>
      <c r="C13798" s="138" t="str">
        <f t="shared" si="1220"/>
        <v>Without Amendment</v>
      </c>
      <c r="D13798" s="138" t="str">
        <f t="shared" si="1224"/>
        <v>High_High</v>
      </c>
      <c r="E13798" s="138" t="str">
        <f t="shared" si="1221"/>
        <v>Low</v>
      </c>
      <c r="F13798" s="138" t="str">
        <f t="shared" si="1222"/>
        <v>Upgraded</v>
      </c>
      <c r="G13798" s="153"/>
      <c r="H13798" s="210">
        <v>0.79600000000000004</v>
      </c>
      <c r="I13798" s="160" t="s">
        <v>55</v>
      </c>
      <c r="J13798" s="160">
        <v>0.16822000000000001</v>
      </c>
      <c r="K13798" s="160" t="s">
        <v>23</v>
      </c>
      <c r="L13798" s="154" t="str">
        <f>IF(OpenLCAbasic!K13798="CTUh", "Fill in Manually",IF(OR(K13798="Unit", K13798=""), "", INDEX(LookUps!$E$5:$E$12, MATCH(OpenLCAbasic!K13798,LookUps!$D$5:$D$12,0))))</f>
        <v>Global Warming Potential (GWP) - kg CO2 eq</v>
      </c>
      <c r="M13798" s="154" t="str">
        <f t="shared" si="1223"/>
        <v>Low_High_High_Upgraded_Global Warming Potential (GWP) - kg CO2 eq_Aeration Tanks; wastewater treatment unit; at updated plant - US_Without Amendment_Aerated Static Pile</v>
      </c>
    </row>
    <row r="13799" spans="1:13" s="120" customFormat="1" x14ac:dyDescent="0.25">
      <c r="A13799" s="119"/>
      <c r="B13799" s="138" t="str">
        <f t="shared" si="1219"/>
        <v>Aerated Static Pile</v>
      </c>
      <c r="C13799" s="138" t="str">
        <f t="shared" si="1220"/>
        <v>Without Amendment</v>
      </c>
      <c r="D13799" s="138" t="str">
        <f t="shared" si="1224"/>
        <v>High_High</v>
      </c>
      <c r="E13799" s="138" t="str">
        <f t="shared" si="1221"/>
        <v>Low</v>
      </c>
      <c r="F13799" s="138" t="str">
        <f t="shared" si="1222"/>
        <v>Upgraded</v>
      </c>
      <c r="G13799" s="153"/>
      <c r="H13799" s="210">
        <v>0.69489999999999996</v>
      </c>
      <c r="I13799" s="160" t="s">
        <v>167</v>
      </c>
      <c r="J13799" s="160">
        <v>0.14685000000000001</v>
      </c>
      <c r="K13799" s="160" t="s">
        <v>23</v>
      </c>
      <c r="L13799" s="154" t="str">
        <f>IF(OpenLCAbasic!K13799="CTUh", "Fill in Manually",IF(OR(K13799="Unit", K13799=""), "", INDEX(LookUps!$E$5:$E$12, MATCH(OpenLCAbasic!K13799,LookUps!$D$5:$D$12,0))))</f>
        <v>Global Warming Potential (GWP) - kg CO2 eq</v>
      </c>
      <c r="M13799" s="154" t="str">
        <f t="shared" si="1223"/>
        <v>Low_High_High_Upgraded_Global Warming Potential (GWP) - kg CO2 eq_Waste Receiving and Holding; wastewater treatment unit; at updated plant - US_Without Amendment_Aerated Static Pile</v>
      </c>
    </row>
    <row r="13800" spans="1:13" s="120" customFormat="1" x14ac:dyDescent="0.25">
      <c r="A13800" s="119"/>
      <c r="B13800" s="138" t="str">
        <f t="shared" si="1219"/>
        <v>Aerated Static Pile</v>
      </c>
      <c r="C13800" s="138" t="str">
        <f t="shared" si="1220"/>
        <v>Without Amendment</v>
      </c>
      <c r="D13800" s="138" t="str">
        <f t="shared" si="1224"/>
        <v>High_High</v>
      </c>
      <c r="E13800" s="138" t="str">
        <f t="shared" si="1221"/>
        <v>Low</v>
      </c>
      <c r="F13800" s="138" t="str">
        <f t="shared" si="1222"/>
        <v>Upgraded</v>
      </c>
      <c r="G13800" s="153"/>
      <c r="H13800" s="210">
        <v>0.45879999999999999</v>
      </c>
      <c r="I13800" s="160" t="s">
        <v>435</v>
      </c>
      <c r="J13800" s="160">
        <v>9.6960000000000005E-2</v>
      </c>
      <c r="K13800" s="160" t="s">
        <v>23</v>
      </c>
      <c r="L13800" s="154" t="str">
        <f>IF(OpenLCAbasic!K13800="CTUh", "Fill in Manually",IF(OR(K13800="Unit", K13800=""), "", INDEX(LookUps!$E$5:$E$12, MATCH(OpenLCAbasic!K13800,LookUps!$D$5:$D$12,0))))</f>
        <v>Global Warming Potential (GWP) - kg CO2 eq</v>
      </c>
      <c r="M13800" s="154" t="str">
        <f t="shared" si="1223"/>
        <v>Low_High_High_Upgraded_Global Warming Potential (GWP) - kg CO2 eq_Biosolids composting; aerated static pile; wastewater treatment unit; at updated plant - US_Without Amendment_Aerated Static Pile</v>
      </c>
    </row>
    <row r="13801" spans="1:13" s="120" customFormat="1" x14ac:dyDescent="0.25">
      <c r="A13801" s="119"/>
      <c r="B13801" s="138" t="str">
        <f t="shared" ref="B13801:B13864" si="1225">IF(F13801="Legacy","n.a.",IF(F13801="","","Aerated Static Pile"))</f>
        <v>Aerated Static Pile</v>
      </c>
      <c r="C13801" s="138" t="str">
        <f t="shared" ref="C13801:C13864" si="1226">IF(ISNUMBER($J13801),"Without Amendment","")</f>
        <v>Without Amendment</v>
      </c>
      <c r="D13801" s="138" t="str">
        <f t="shared" si="1224"/>
        <v>High_High</v>
      </c>
      <c r="E13801" s="138" t="str">
        <f t="shared" ref="E13801:E13863" si="1227">IF(ISNUMBER($J13801),"Low","")</f>
        <v>Low</v>
      </c>
      <c r="F13801" s="138" t="str">
        <f t="shared" ref="F13801:F13864" si="1228">IF(ISNUMBER(J13801),"Upgraded","")</f>
        <v>Upgraded</v>
      </c>
      <c r="G13801" s="153"/>
      <c r="H13801" s="210">
        <v>0.27010000000000001</v>
      </c>
      <c r="I13801" s="160" t="s">
        <v>54</v>
      </c>
      <c r="J13801" s="160">
        <v>5.7079999999999999E-2</v>
      </c>
      <c r="K13801" s="160" t="s">
        <v>23</v>
      </c>
      <c r="L13801" s="154" t="str">
        <f>IF(OpenLCAbasic!K13801="CTUh", "Fill in Manually",IF(OR(K13801="Unit", K13801=""), "", INDEX(LookUps!$E$5:$E$12, MATCH(OpenLCAbasic!K13801,LookUps!$D$5:$D$12,0))))</f>
        <v>Global Warming Potential (GWP) - kg CO2 eq</v>
      </c>
      <c r="M13801" s="154" t="str">
        <f t="shared" si="1223"/>
        <v>Low_High_High_Upgraded_Global Warming Potential (GWP) - kg CO2 eq_Clear Cove Primary Clarification; wastewater treatment unit; at updated plant - US_Without Amendment_Aerated Static Pile</v>
      </c>
    </row>
    <row r="13802" spans="1:13" s="120" customFormat="1" x14ac:dyDescent="0.25">
      <c r="A13802" s="119"/>
      <c r="B13802" s="138" t="str">
        <f t="shared" si="1225"/>
        <v>Aerated Static Pile</v>
      </c>
      <c r="C13802" s="138" t="str">
        <f t="shared" si="1226"/>
        <v>Without Amendment</v>
      </c>
      <c r="D13802" s="138" t="str">
        <f t="shared" si="1224"/>
        <v>High_High</v>
      </c>
      <c r="E13802" s="138" t="str">
        <f t="shared" si="1227"/>
        <v>Low</v>
      </c>
      <c r="F13802" s="138" t="str">
        <f t="shared" si="1228"/>
        <v>Upgraded</v>
      </c>
      <c r="G13802" s="153"/>
      <c r="H13802" s="210">
        <v>0.24909999999999999</v>
      </c>
      <c r="I13802" s="160" t="s">
        <v>48</v>
      </c>
      <c r="J13802" s="160">
        <v>5.2639999999999999E-2</v>
      </c>
      <c r="K13802" s="160" t="s">
        <v>23</v>
      </c>
      <c r="L13802" s="154" t="str">
        <f>IF(OpenLCAbasic!K13802="CTUh", "Fill in Manually",IF(OR(K13802="Unit", K13802=""), "", INDEX(LookUps!$E$5:$E$12, MATCH(OpenLCAbasic!K13802,LookUps!$D$5:$D$12,0))))</f>
        <v>Global Warming Potential (GWP) - kg CO2 eq</v>
      </c>
      <c r="M13802" s="154" t="str">
        <f t="shared" si="1223"/>
        <v>Low_High_High_Upgraded_Global Warming Potential (GWP) - kg CO2 eq_Effluent release; wastewater treatment unit; at surface water; m3 wastewater - US_Without Amendment_Aerated Static Pile</v>
      </c>
    </row>
    <row r="13803" spans="1:13" s="120" customFormat="1" x14ac:dyDescent="0.25">
      <c r="A13803" s="119"/>
      <c r="B13803" s="138" t="str">
        <f t="shared" si="1225"/>
        <v>Aerated Static Pile</v>
      </c>
      <c r="C13803" s="138" t="str">
        <f t="shared" si="1226"/>
        <v>Without Amendment</v>
      </c>
      <c r="D13803" s="138" t="str">
        <f t="shared" si="1224"/>
        <v>High_High</v>
      </c>
      <c r="E13803" s="138" t="str">
        <f t="shared" si="1227"/>
        <v>Low</v>
      </c>
      <c r="F13803" s="138" t="str">
        <f t="shared" si="1228"/>
        <v>Upgraded</v>
      </c>
      <c r="G13803" s="153"/>
      <c r="H13803" s="210">
        <v>0.23899999999999999</v>
      </c>
      <c r="I13803" s="160" t="s">
        <v>147</v>
      </c>
      <c r="J13803" s="160">
        <v>5.0500000000000003E-2</v>
      </c>
      <c r="K13803" s="160" t="s">
        <v>23</v>
      </c>
      <c r="L13803" s="154" t="str">
        <f>IF(OpenLCAbasic!K13803="CTUh", "Fill in Manually",IF(OR(K13803="Unit", K13803=""), "", INDEX(LookUps!$E$5:$E$12, MATCH(OpenLCAbasic!K13803,LookUps!$D$5:$D$12,0))))</f>
        <v>Global Warming Potential (GWP) - kg CO2 eq</v>
      </c>
      <c r="M13803" s="154" t="str">
        <f t="shared" si="1223"/>
        <v>Low_High_High_Upgraded_Global Warming Potential (GWP) - kg CO2 eq_Influent Pump Station; wastewater treatment unit; at updated plant - US_Without Amendment_Aerated Static Pile</v>
      </c>
    </row>
    <row r="13804" spans="1:13" s="120" customFormat="1" x14ac:dyDescent="0.25">
      <c r="A13804" s="119"/>
      <c r="B13804" s="138" t="str">
        <f t="shared" si="1225"/>
        <v>Aerated Static Pile</v>
      </c>
      <c r="C13804" s="138" t="str">
        <f t="shared" si="1226"/>
        <v>Without Amendment</v>
      </c>
      <c r="D13804" s="138" t="str">
        <f t="shared" si="1224"/>
        <v>High_High</v>
      </c>
      <c r="E13804" s="138" t="str">
        <f t="shared" si="1227"/>
        <v>Low</v>
      </c>
      <c r="F13804" s="138" t="str">
        <f t="shared" si="1228"/>
        <v>Upgraded</v>
      </c>
      <c r="G13804" s="153"/>
      <c r="H13804" s="210">
        <v>0.15740000000000001</v>
      </c>
      <c r="I13804" s="160" t="s">
        <v>53</v>
      </c>
      <c r="J13804" s="160">
        <v>3.3259999999999998E-2</v>
      </c>
      <c r="K13804" s="160" t="s">
        <v>23</v>
      </c>
      <c r="L13804" s="154" t="str">
        <f>IF(OpenLCAbasic!K13804="CTUh", "Fill in Manually",IF(OR(K13804="Unit", K13804=""), "", INDEX(LookUps!$E$5:$E$12, MATCH(OpenLCAbasic!K13804,LookUps!$D$5:$D$12,0))))</f>
        <v>Global Warming Potential (GWP) - kg CO2 eq</v>
      </c>
      <c r="M13804" s="154" t="str">
        <f t="shared" si="1223"/>
        <v>Low_High_High_Upgraded_Global Warming Potential (GWP) - kg CO2 eq_Wet Well and Sump Station; wastewater treatment unit; at updated plant - US_Without Amendment_Aerated Static Pile</v>
      </c>
    </row>
    <row r="13805" spans="1:13" s="120" customFormat="1" x14ac:dyDescent="0.25">
      <c r="A13805" s="119"/>
      <c r="B13805" s="138" t="str">
        <f t="shared" si="1225"/>
        <v>Aerated Static Pile</v>
      </c>
      <c r="C13805" s="138" t="str">
        <f t="shared" si="1226"/>
        <v>Without Amendment</v>
      </c>
      <c r="D13805" s="138" t="str">
        <f t="shared" si="1224"/>
        <v>High_High</v>
      </c>
      <c r="E13805" s="138" t="str">
        <f t="shared" si="1227"/>
        <v>Low</v>
      </c>
      <c r="F13805" s="138" t="str">
        <f t="shared" si="1228"/>
        <v>Upgraded</v>
      </c>
      <c r="G13805" s="153"/>
      <c r="H13805" s="210">
        <v>0.10829999999999999</v>
      </c>
      <c r="I13805" s="160" t="s">
        <v>60</v>
      </c>
      <c r="J13805" s="160">
        <v>2.2880000000000001E-2</v>
      </c>
      <c r="K13805" s="160" t="s">
        <v>23</v>
      </c>
      <c r="L13805" s="154" t="str">
        <f>IF(OpenLCAbasic!K13805="CTUh", "Fill in Manually",IF(OR(K13805="Unit", K13805=""), "", INDEX(LookUps!$E$5:$E$12, MATCH(OpenLCAbasic!K13805,LookUps!$D$5:$D$12,0))))</f>
        <v>Global Warming Potential (GWP) - kg CO2 eq</v>
      </c>
      <c r="M13805" s="154" t="str">
        <f t="shared" si="1223"/>
        <v>Low_High_High_Upgraded_Global Warming Potential (GWP) - kg CO2 eq_Belt filter press; wastewater treatment unit; at updated plant - US_Without Amendment_Aerated Static Pile</v>
      </c>
    </row>
    <row r="13806" spans="1:13" s="120" customFormat="1" x14ac:dyDescent="0.25">
      <c r="A13806" s="119"/>
      <c r="B13806" s="138" t="str">
        <f t="shared" si="1225"/>
        <v>Aerated Static Pile</v>
      </c>
      <c r="C13806" s="138" t="str">
        <f t="shared" si="1226"/>
        <v>Without Amendment</v>
      </c>
      <c r="D13806" s="138" t="str">
        <f t="shared" si="1224"/>
        <v>High_High</v>
      </c>
      <c r="E13806" s="138" t="str">
        <f t="shared" si="1227"/>
        <v>Low</v>
      </c>
      <c r="F13806" s="138" t="str">
        <f t="shared" si="1228"/>
        <v>Upgraded</v>
      </c>
      <c r="G13806" s="153"/>
      <c r="H13806" s="210">
        <v>6.8900000000000003E-2</v>
      </c>
      <c r="I13806" s="160" t="s">
        <v>57</v>
      </c>
      <c r="J13806" s="160">
        <v>1.455E-2</v>
      </c>
      <c r="K13806" s="160" t="s">
        <v>23</v>
      </c>
      <c r="L13806" s="154" t="str">
        <f>IF(OpenLCAbasic!K13806="CTUh", "Fill in Manually",IF(OR(K13806="Unit", K13806=""), "", INDEX(LookUps!$E$5:$E$12, MATCH(OpenLCAbasic!K13806,LookUps!$D$5:$D$12,0))))</f>
        <v>Global Warming Potential (GWP) - kg CO2 eq</v>
      </c>
      <c r="M13806" s="154" t="str">
        <f t="shared" si="1223"/>
        <v>Low_High_High_Upgraded_Global Warming Potential (GWP) - kg CO2 eq_Gravity Belt Thickener; wastewater treatment unit; at updated plant - US_Without Amendment_Aerated Static Pile</v>
      </c>
    </row>
    <row r="13807" spans="1:13" s="120" customFormat="1" x14ac:dyDescent="0.25">
      <c r="A13807" s="119"/>
      <c r="B13807" s="138" t="str">
        <f t="shared" si="1225"/>
        <v>Aerated Static Pile</v>
      </c>
      <c r="C13807" s="138" t="str">
        <f t="shared" si="1226"/>
        <v>Without Amendment</v>
      </c>
      <c r="D13807" s="138" t="str">
        <f t="shared" si="1224"/>
        <v>High_High</v>
      </c>
      <c r="E13807" s="138" t="str">
        <f t="shared" si="1227"/>
        <v>Low</v>
      </c>
      <c r="F13807" s="138" t="str">
        <f t="shared" si="1228"/>
        <v>Upgraded</v>
      </c>
      <c r="G13807" s="153"/>
      <c r="H13807" s="210">
        <v>6.3899999999999998E-2</v>
      </c>
      <c r="I13807" s="160" t="s">
        <v>128</v>
      </c>
      <c r="J13807" s="160">
        <v>1.3509999999999999E-2</v>
      </c>
      <c r="K13807" s="160" t="s">
        <v>23</v>
      </c>
      <c r="L13807" s="154" t="str">
        <f>IF(OpenLCAbasic!K13807="CTUh", "Fill in Manually",IF(OR(K13807="Unit", K13807=""), "", INDEX(LookUps!$E$5:$E$12, MATCH(OpenLCAbasic!K13807,LookUps!$D$5:$D$12,0))))</f>
        <v>Global Warming Potential (GWP) - kg CO2 eq</v>
      </c>
      <c r="M13807" s="154" t="str">
        <f t="shared" si="1223"/>
        <v>Low_High_High_Upgraded_Global Warming Potential (GWP) - kg CO2 eq_Wastewater collection; operation and infrastructure; m3 wastewater_Without Amendment_Aerated Static Pile</v>
      </c>
    </row>
    <row r="13808" spans="1:13" s="120" customFormat="1" x14ac:dyDescent="0.25">
      <c r="A13808" s="119"/>
      <c r="B13808" s="138" t="str">
        <f t="shared" si="1225"/>
        <v>Aerated Static Pile</v>
      </c>
      <c r="C13808" s="138" t="str">
        <f t="shared" si="1226"/>
        <v>Without Amendment</v>
      </c>
      <c r="D13808" s="138" t="str">
        <f t="shared" si="1224"/>
        <v>High_High</v>
      </c>
      <c r="E13808" s="138" t="str">
        <f t="shared" si="1227"/>
        <v>Low</v>
      </c>
      <c r="F13808" s="138" t="str">
        <f t="shared" si="1228"/>
        <v>Upgraded</v>
      </c>
      <c r="G13808" s="153"/>
      <c r="H13808" s="210">
        <v>3.9300000000000002E-2</v>
      </c>
      <c r="I13808" s="160" t="s">
        <v>148</v>
      </c>
      <c r="J13808" s="160">
        <v>8.3000000000000001E-3</v>
      </c>
      <c r="K13808" s="160" t="s">
        <v>23</v>
      </c>
      <c r="L13808" s="154" t="str">
        <f>IF(OpenLCAbasic!K13808="CTUh", "Fill in Manually",IF(OR(K13808="Unit", K13808=""), "", INDEX(LookUps!$E$5:$E$12, MATCH(OpenLCAbasic!K13808,LookUps!$D$5:$D$12,0))))</f>
        <v>Global Warming Potential (GWP) - kg CO2 eq</v>
      </c>
      <c r="M13808" s="154" t="str">
        <f t="shared" si="1223"/>
        <v>Low_High_High_Upgraded_Global Warming Potential (GWP) - kg CO2 eq_Control Building; at upgraded wastewater treatment plant - US_Without Amendment_Aerated Static Pile</v>
      </c>
    </row>
    <row r="13809" spans="1:13" s="120" customFormat="1" x14ac:dyDescent="0.25">
      <c r="A13809" s="119"/>
      <c r="B13809" s="138" t="str">
        <f t="shared" si="1225"/>
        <v>Aerated Static Pile</v>
      </c>
      <c r="C13809" s="138" t="str">
        <f t="shared" si="1226"/>
        <v>Without Amendment</v>
      </c>
      <c r="D13809" s="138" t="str">
        <f t="shared" si="1224"/>
        <v>High_High</v>
      </c>
      <c r="E13809" s="138" t="str">
        <f t="shared" si="1227"/>
        <v>Low</v>
      </c>
      <c r="F13809" s="138" t="str">
        <f t="shared" si="1228"/>
        <v>Upgraded</v>
      </c>
      <c r="G13809" s="153"/>
      <c r="H13809" s="210">
        <v>2.3900000000000001E-2</v>
      </c>
      <c r="I13809" s="160" t="s">
        <v>59</v>
      </c>
      <c r="J13809" s="160">
        <v>5.0400000000000002E-3</v>
      </c>
      <c r="K13809" s="160" t="s">
        <v>23</v>
      </c>
      <c r="L13809" s="154" t="str">
        <f>IF(OpenLCAbasic!K13809="CTUh", "Fill in Manually",IF(OR(K13809="Unit", K13809=""), "", INDEX(LookUps!$E$5:$E$12, MATCH(OpenLCAbasic!K13809,LookUps!$D$5:$D$12,0))))</f>
        <v>Global Warming Potential (GWP) - kg CO2 eq</v>
      </c>
      <c r="M13809" s="154" t="str">
        <f t="shared" si="1223"/>
        <v>Low_High_High_Upgraded_Global Warming Potential (GWP) - kg CO2 eq_Blend Tank; wastewater treatment unit; at updated plant - US_Without Amendment_Aerated Static Pile</v>
      </c>
    </row>
    <row r="13810" spans="1:13" s="120" customFormat="1" x14ac:dyDescent="0.25">
      <c r="A13810" s="119"/>
      <c r="B13810" s="138" t="str">
        <f t="shared" si="1225"/>
        <v>Aerated Static Pile</v>
      </c>
      <c r="C13810" s="138" t="str">
        <f t="shared" si="1226"/>
        <v>Without Amendment</v>
      </c>
      <c r="D13810" s="138" t="str">
        <f t="shared" si="1224"/>
        <v>High_High</v>
      </c>
      <c r="E13810" s="138" t="str">
        <f t="shared" si="1227"/>
        <v>Low</v>
      </c>
      <c r="F13810" s="138" t="str">
        <f t="shared" si="1228"/>
        <v>Upgraded</v>
      </c>
      <c r="G13810" s="153"/>
      <c r="H13810" s="210">
        <v>1.14E-2</v>
      </c>
      <c r="I13810" s="160" t="s">
        <v>168</v>
      </c>
      <c r="J13810" s="160">
        <v>2.4099999999999998E-3</v>
      </c>
      <c r="K13810" s="160" t="s">
        <v>23</v>
      </c>
      <c r="L13810" s="154" t="str">
        <f>IF(OpenLCAbasic!K13810="CTUh", "Fill in Manually",IF(OR(K13810="Unit", K13810=""), "", INDEX(LookUps!$E$5:$E$12, MATCH(OpenLCAbasic!K13810,LookUps!$D$5:$D$12,0))))</f>
        <v>Global Warming Potential (GWP) - kg CO2 eq</v>
      </c>
      <c r="M13810" s="154" t="str">
        <f t="shared" si="1223"/>
        <v>Low_High_High_Upgraded_Global Warming Potential (GWP) - kg CO2 eq_ClearCove SCP; wastewater treatment unit; at updated plant - US_Without Amendment_Aerated Static Pile</v>
      </c>
    </row>
    <row r="13811" spans="1:13" s="120" customFormat="1" x14ac:dyDescent="0.25">
      <c r="A13811" s="119"/>
      <c r="B13811" s="138" t="str">
        <f t="shared" si="1225"/>
        <v>Aerated Static Pile</v>
      </c>
      <c r="C13811" s="138" t="str">
        <f t="shared" si="1226"/>
        <v>Without Amendment</v>
      </c>
      <c r="D13811" s="138" t="str">
        <f t="shared" si="1224"/>
        <v>High_High</v>
      </c>
      <c r="E13811" s="138" t="str">
        <f t="shared" si="1227"/>
        <v>Low</v>
      </c>
      <c r="F13811" s="138" t="str">
        <f t="shared" si="1228"/>
        <v>Upgraded</v>
      </c>
      <c r="G13811" s="153"/>
      <c r="H13811" s="210">
        <v>-1.1524000000000001</v>
      </c>
      <c r="I13811" s="160" t="s">
        <v>62</v>
      </c>
      <c r="J13811" s="160">
        <v>-0.24353</v>
      </c>
      <c r="K13811" s="160" t="s">
        <v>23</v>
      </c>
      <c r="L13811" s="154" t="str">
        <f>IF(OpenLCAbasic!K13811="CTUh", "Fill in Manually",IF(OR(K13811="Unit", K13811=""), "", INDEX(LookUps!$E$5:$E$12, MATCH(OpenLCAbasic!K13811,LookUps!$D$5:$D$12,0))))</f>
        <v>Global Warming Potential (GWP) - kg CO2 eq</v>
      </c>
      <c r="M13811" s="154" t="str">
        <f t="shared" si="1223"/>
        <v>Low_High_High_Upgraded_Global Warming Potential (GWP) - kg CO2 eq_Land application of compost; wastewater treatment unit; at updated plant - US_Without Amendment_Aerated Static Pile</v>
      </c>
    </row>
    <row r="13812" spans="1:13" s="120" customFormat="1" x14ac:dyDescent="0.25">
      <c r="A13812" s="119"/>
      <c r="B13812" s="138" t="str">
        <f t="shared" si="1225"/>
        <v>Aerated Static Pile</v>
      </c>
      <c r="C13812" s="138" t="str">
        <f t="shared" si="1226"/>
        <v>Without Amendment</v>
      </c>
      <c r="D13812" s="138" t="str">
        <f t="shared" si="1224"/>
        <v>High_High</v>
      </c>
      <c r="E13812" s="138" t="str">
        <f t="shared" si="1227"/>
        <v>Low</v>
      </c>
      <c r="F13812" s="138" t="str">
        <f t="shared" si="1228"/>
        <v>Upgraded</v>
      </c>
      <c r="G13812" s="153"/>
      <c r="H13812" s="210">
        <v>-4.2111000000000001</v>
      </c>
      <c r="I13812" s="160" t="s">
        <v>149</v>
      </c>
      <c r="J13812" s="160">
        <v>-0.88992000000000004</v>
      </c>
      <c r="K13812" s="160" t="s">
        <v>23</v>
      </c>
      <c r="L13812" s="154" t="str">
        <f>IF(OpenLCAbasic!K13812="CTUh", "Fill in Manually",IF(OR(K13812="Unit", K13812=""), "", INDEX(LookUps!$E$5:$E$12, MATCH(OpenLCAbasic!K13812,LookUps!$D$5:$D$12,0))))</f>
        <v>Global Warming Potential (GWP) - kg CO2 eq</v>
      </c>
      <c r="M13812" s="154" t="str">
        <f t="shared" si="1223"/>
        <v>Low_High_High_Upgraded_Global Warming Potential (GWP) - kg CO2 eq_Anaerobic Digestion; wastewater treatment unit; at updated plant - US_Without Amendment_Aerated Static Pile</v>
      </c>
    </row>
    <row r="13813" spans="1:13" s="120" customFormat="1" x14ac:dyDescent="0.25">
      <c r="A13813" s="119"/>
      <c r="B13813" s="138" t="str">
        <f t="shared" si="1225"/>
        <v/>
      </c>
      <c r="C13813" s="138" t="str">
        <f t="shared" si="1226"/>
        <v/>
      </c>
      <c r="D13813" s="138" t="str">
        <f t="shared" si="1224"/>
        <v/>
      </c>
      <c r="E13813" s="138" t="str">
        <f t="shared" si="1227"/>
        <v/>
      </c>
      <c r="F13813" s="138" t="str">
        <f t="shared" si="1228"/>
        <v/>
      </c>
      <c r="G13813" s="153" t="s">
        <v>51</v>
      </c>
      <c r="H13813" s="160"/>
      <c r="I13813" s="160" t="s">
        <v>47</v>
      </c>
      <c r="J13813" s="160" t="s">
        <v>52</v>
      </c>
      <c r="K13813" s="160" t="s">
        <v>27</v>
      </c>
      <c r="L13813" s="154" t="str">
        <f>IF(OpenLCAbasic!K13813="CTUh", "Fill in Manually",IF(OR(K13813="Unit", K13813=""), "", INDEX(LookUps!$E$5:$E$12, MATCH(OpenLCAbasic!K13813,LookUps!$D$5:$D$12,0))))</f>
        <v/>
      </c>
      <c r="M13813" s="154" t="str">
        <f t="shared" si="1223"/>
        <v>____Process__</v>
      </c>
    </row>
    <row r="13814" spans="1:13" s="120" customFormat="1" x14ac:dyDescent="0.25">
      <c r="A13814" s="119"/>
      <c r="B13814" s="138" t="str">
        <f t="shared" si="1225"/>
        <v>Aerated Static Pile</v>
      </c>
      <c r="C13814" s="138" t="str">
        <f t="shared" si="1226"/>
        <v>Without Amendment</v>
      </c>
      <c r="D13814" s="138" t="str">
        <f t="shared" si="1224"/>
        <v>High_High</v>
      </c>
      <c r="E13814" s="138" t="str">
        <f t="shared" si="1227"/>
        <v>Low</v>
      </c>
      <c r="F13814" s="138" t="str">
        <f t="shared" si="1228"/>
        <v>Upgraded</v>
      </c>
      <c r="G13814" s="153"/>
      <c r="H13814" s="210">
        <v>0.318</v>
      </c>
      <c r="I13814" s="160" t="s">
        <v>55</v>
      </c>
      <c r="J13814" s="160">
        <v>2.33E-3</v>
      </c>
      <c r="K13814" s="160" t="s">
        <v>145</v>
      </c>
      <c r="L13814" s="154" t="str">
        <f>IF(OpenLCAbasic!K13814="CTUh", "Fill in Manually",IF(OR(K13814="Unit", K13814=""), "", INDEX(LookUps!$E$5:$E$12, MATCH(OpenLCAbasic!K13814,LookUps!$D$5:$D$12,0))))</f>
        <v>Particulate Matter Formation Potential (PMFP) - kg PM2.5 eq</v>
      </c>
      <c r="M13814" s="154" t="str">
        <f t="shared" si="1223"/>
        <v>Low_High_High_Upgraded_Particulate Matter Formation Potential (PMFP) - kg PM2.5 eq_Aeration Tanks; wastewater treatment unit; at updated plant - US_Without Amendment_Aerated Static Pile</v>
      </c>
    </row>
    <row r="13815" spans="1:13" s="120" customFormat="1" x14ac:dyDescent="0.25">
      <c r="A13815" s="119"/>
      <c r="B13815" s="138" t="str">
        <f t="shared" si="1225"/>
        <v>Aerated Static Pile</v>
      </c>
      <c r="C13815" s="138" t="str">
        <f t="shared" si="1226"/>
        <v>Without Amendment</v>
      </c>
      <c r="D13815" s="138" t="str">
        <f t="shared" si="1224"/>
        <v>High_High</v>
      </c>
      <c r="E13815" s="138" t="str">
        <f t="shared" si="1227"/>
        <v>Low</v>
      </c>
      <c r="F13815" s="138" t="str">
        <f t="shared" si="1228"/>
        <v>Upgraded</v>
      </c>
      <c r="G13815" s="153"/>
      <c r="H13815" s="210">
        <v>9.2499999999999999E-2</v>
      </c>
      <c r="I13815" s="160" t="s">
        <v>54</v>
      </c>
      <c r="J13815" s="160">
        <v>6.8000000000000005E-4</v>
      </c>
      <c r="K13815" s="160" t="s">
        <v>145</v>
      </c>
      <c r="L13815" s="154" t="str">
        <f>IF(OpenLCAbasic!K13815="CTUh", "Fill in Manually",IF(OR(K13815="Unit", K13815=""), "", INDEX(LookUps!$E$5:$E$12, MATCH(OpenLCAbasic!K13815,LookUps!$D$5:$D$12,0))))</f>
        <v>Particulate Matter Formation Potential (PMFP) - kg PM2.5 eq</v>
      </c>
      <c r="M13815" s="154" t="str">
        <f t="shared" si="1223"/>
        <v>Low_High_High_Upgraded_Particulate Matter Formation Potential (PMFP) - kg PM2.5 eq_Clear Cove Primary Clarification; wastewater treatment unit; at updated plant - US_Without Amendment_Aerated Static Pile</v>
      </c>
    </row>
    <row r="13816" spans="1:13" s="120" customFormat="1" x14ac:dyDescent="0.25">
      <c r="A13816" s="119"/>
      <c r="B13816" s="138" t="str">
        <f t="shared" si="1225"/>
        <v>Aerated Static Pile</v>
      </c>
      <c r="C13816" s="138" t="str">
        <f t="shared" si="1226"/>
        <v>Without Amendment</v>
      </c>
      <c r="D13816" s="138" t="str">
        <f t="shared" si="1224"/>
        <v>High_High</v>
      </c>
      <c r="E13816" s="138" t="str">
        <f t="shared" si="1227"/>
        <v>Low</v>
      </c>
      <c r="F13816" s="138" t="str">
        <f t="shared" si="1228"/>
        <v>Upgraded</v>
      </c>
      <c r="G13816" s="153"/>
      <c r="H13816" s="210">
        <v>8.0600000000000005E-2</v>
      </c>
      <c r="I13816" s="160" t="s">
        <v>58</v>
      </c>
      <c r="J13816" s="160">
        <v>5.9000000000000003E-4</v>
      </c>
      <c r="K13816" s="160" t="s">
        <v>145</v>
      </c>
      <c r="L13816" s="154" t="str">
        <f>IF(OpenLCAbasic!K13816="CTUh", "Fill in Manually",IF(OR(K13816="Unit", K13816=""), "", INDEX(LookUps!$E$5:$E$12, MATCH(OpenLCAbasic!K13816,LookUps!$D$5:$D$12,0))))</f>
        <v>Particulate Matter Formation Potential (PMFP) - kg PM2.5 eq</v>
      </c>
      <c r="M13816" s="154" t="str">
        <f t="shared" si="1223"/>
        <v>Low_High_High_Upgraded_Particulate Matter Formation Potential (PMFP) - kg PM2.5 eq_Pre-Anoxic &amp; Swing tank; wastewater treatment unit; at updated plant - US_Without Amendment_Aerated Static Pile</v>
      </c>
    </row>
    <row r="13817" spans="1:13" s="120" customFormat="1" x14ac:dyDescent="0.25">
      <c r="A13817" s="119"/>
      <c r="B13817" s="138" t="str">
        <f t="shared" si="1225"/>
        <v>Aerated Static Pile</v>
      </c>
      <c r="C13817" s="138" t="str">
        <f t="shared" si="1226"/>
        <v>Without Amendment</v>
      </c>
      <c r="D13817" s="138" t="str">
        <f t="shared" si="1224"/>
        <v>High_High</v>
      </c>
      <c r="E13817" s="138" t="str">
        <f t="shared" si="1227"/>
        <v>Low</v>
      </c>
      <c r="F13817" s="138" t="str">
        <f t="shared" si="1228"/>
        <v>Upgraded</v>
      </c>
      <c r="G13817" s="153"/>
      <c r="H13817" s="210">
        <v>6.3600000000000004E-2</v>
      </c>
      <c r="I13817" s="160" t="s">
        <v>53</v>
      </c>
      <c r="J13817" s="160">
        <v>4.6999999999999999E-4</v>
      </c>
      <c r="K13817" s="160" t="s">
        <v>145</v>
      </c>
      <c r="L13817" s="154" t="str">
        <f>IF(OpenLCAbasic!K13817="CTUh", "Fill in Manually",IF(OR(K13817="Unit", K13817=""), "", INDEX(LookUps!$E$5:$E$12, MATCH(OpenLCAbasic!K13817,LookUps!$D$5:$D$12,0))))</f>
        <v>Particulate Matter Formation Potential (PMFP) - kg PM2.5 eq</v>
      </c>
      <c r="M13817" s="154" t="str">
        <f t="shared" si="1223"/>
        <v>Low_High_High_Upgraded_Particulate Matter Formation Potential (PMFP) - kg PM2.5 eq_Wet Well and Sump Station; wastewater treatment unit; at updated plant - US_Without Amendment_Aerated Static Pile</v>
      </c>
    </row>
    <row r="13818" spans="1:13" s="120" customFormat="1" x14ac:dyDescent="0.25">
      <c r="A13818" s="119"/>
      <c r="B13818" s="138" t="str">
        <f t="shared" si="1225"/>
        <v>Aerated Static Pile</v>
      </c>
      <c r="C13818" s="138" t="str">
        <f t="shared" si="1226"/>
        <v>Without Amendment</v>
      </c>
      <c r="D13818" s="138" t="str">
        <f t="shared" si="1224"/>
        <v>High_High</v>
      </c>
      <c r="E13818" s="138" t="str">
        <f t="shared" si="1227"/>
        <v>Low</v>
      </c>
      <c r="F13818" s="138" t="str">
        <f t="shared" si="1228"/>
        <v>Upgraded</v>
      </c>
      <c r="G13818" s="153"/>
      <c r="H13818" s="210">
        <v>5.5300000000000002E-2</v>
      </c>
      <c r="I13818" s="160" t="s">
        <v>435</v>
      </c>
      <c r="J13818" s="160">
        <v>4.0999999999999999E-4</v>
      </c>
      <c r="K13818" s="160" t="s">
        <v>145</v>
      </c>
      <c r="L13818" s="154" t="str">
        <f>IF(OpenLCAbasic!K13818="CTUh", "Fill in Manually",IF(OR(K13818="Unit", K13818=""), "", INDEX(LookUps!$E$5:$E$12, MATCH(OpenLCAbasic!K13818,LookUps!$D$5:$D$12,0))))</f>
        <v>Particulate Matter Formation Potential (PMFP) - kg PM2.5 eq</v>
      </c>
      <c r="M13818" s="154" t="str">
        <f t="shared" si="1223"/>
        <v>Low_High_High_Upgraded_Particulate Matter Formation Potential (PMFP) - kg PM2.5 eq_Biosolids composting; aerated static pile; wastewater treatment unit; at updated plant - US_Without Amendment_Aerated Static Pile</v>
      </c>
    </row>
    <row r="13819" spans="1:13" s="120" customFormat="1" x14ac:dyDescent="0.25">
      <c r="A13819" s="119"/>
      <c r="B13819" s="138" t="str">
        <f t="shared" si="1225"/>
        <v>Aerated Static Pile</v>
      </c>
      <c r="C13819" s="138" t="str">
        <f t="shared" si="1226"/>
        <v>Without Amendment</v>
      </c>
      <c r="D13819" s="138" t="str">
        <f t="shared" si="1224"/>
        <v>High_High</v>
      </c>
      <c r="E13819" s="138" t="str">
        <f t="shared" si="1227"/>
        <v>Low</v>
      </c>
      <c r="F13819" s="138" t="str">
        <f t="shared" si="1228"/>
        <v>Upgraded</v>
      </c>
      <c r="G13819" s="153"/>
      <c r="H13819" s="210">
        <v>4.5199999999999997E-2</v>
      </c>
      <c r="I13819" s="160" t="s">
        <v>167</v>
      </c>
      <c r="J13819" s="160">
        <v>3.3E-4</v>
      </c>
      <c r="K13819" s="160" t="s">
        <v>145</v>
      </c>
      <c r="L13819" s="154" t="str">
        <f>IF(OpenLCAbasic!K13819="CTUh", "Fill in Manually",IF(OR(K13819="Unit", K13819=""), "", INDEX(LookUps!$E$5:$E$12, MATCH(OpenLCAbasic!K13819,LookUps!$D$5:$D$12,0))))</f>
        <v>Particulate Matter Formation Potential (PMFP) - kg PM2.5 eq</v>
      </c>
      <c r="M13819" s="154" t="str">
        <f t="shared" si="1223"/>
        <v>Low_High_High_Upgraded_Particulate Matter Formation Potential (PMFP) - kg PM2.5 eq_Waste Receiving and Holding; wastewater treatment unit; at updated plant - US_Without Amendment_Aerated Static Pile</v>
      </c>
    </row>
    <row r="13820" spans="1:13" s="120" customFormat="1" x14ac:dyDescent="0.25">
      <c r="A13820" s="119"/>
      <c r="B13820" s="138" t="str">
        <f t="shared" si="1225"/>
        <v>Aerated Static Pile</v>
      </c>
      <c r="C13820" s="138" t="str">
        <f t="shared" si="1226"/>
        <v>Without Amendment</v>
      </c>
      <c r="D13820" s="138" t="str">
        <f t="shared" si="1224"/>
        <v>High_High</v>
      </c>
      <c r="E13820" s="138" t="str">
        <f t="shared" si="1227"/>
        <v>Low</v>
      </c>
      <c r="F13820" s="138" t="str">
        <f t="shared" si="1228"/>
        <v>Upgraded</v>
      </c>
      <c r="G13820" s="153"/>
      <c r="H13820" s="210">
        <v>3.6299999999999999E-2</v>
      </c>
      <c r="I13820" s="160" t="s">
        <v>147</v>
      </c>
      <c r="J13820" s="160">
        <v>2.7E-4</v>
      </c>
      <c r="K13820" s="160" t="s">
        <v>145</v>
      </c>
      <c r="L13820" s="154" t="str">
        <f>IF(OpenLCAbasic!K13820="CTUh", "Fill in Manually",IF(OR(K13820="Unit", K13820=""), "", INDEX(LookUps!$E$5:$E$12, MATCH(OpenLCAbasic!K13820,LookUps!$D$5:$D$12,0))))</f>
        <v>Particulate Matter Formation Potential (PMFP) - kg PM2.5 eq</v>
      </c>
      <c r="M13820" s="154" t="str">
        <f t="shared" si="1223"/>
        <v>Low_High_High_Upgraded_Particulate Matter Formation Potential (PMFP) - kg PM2.5 eq_Influent Pump Station; wastewater treatment unit; at updated plant - US_Without Amendment_Aerated Static Pile</v>
      </c>
    </row>
    <row r="13821" spans="1:13" s="120" customFormat="1" x14ac:dyDescent="0.25">
      <c r="A13821" s="119"/>
      <c r="B13821" s="138" t="str">
        <f t="shared" si="1225"/>
        <v>Aerated Static Pile</v>
      </c>
      <c r="C13821" s="138" t="str">
        <f t="shared" si="1226"/>
        <v>Without Amendment</v>
      </c>
      <c r="D13821" s="138" t="str">
        <f t="shared" si="1224"/>
        <v>High_High</v>
      </c>
      <c r="E13821" s="138" t="str">
        <f t="shared" si="1227"/>
        <v>Low</v>
      </c>
      <c r="F13821" s="138" t="str">
        <f t="shared" si="1228"/>
        <v>Upgraded</v>
      </c>
      <c r="G13821" s="153"/>
      <c r="H13821" s="210">
        <v>2.5499999999999998E-2</v>
      </c>
      <c r="I13821" s="160" t="s">
        <v>60</v>
      </c>
      <c r="J13821" s="160">
        <v>1.9000000000000001E-4</v>
      </c>
      <c r="K13821" s="160" t="s">
        <v>145</v>
      </c>
      <c r="L13821" s="154" t="str">
        <f>IF(OpenLCAbasic!K13821="CTUh", "Fill in Manually",IF(OR(K13821="Unit", K13821=""), "", INDEX(LookUps!$E$5:$E$12, MATCH(OpenLCAbasic!K13821,LookUps!$D$5:$D$12,0))))</f>
        <v>Particulate Matter Formation Potential (PMFP) - kg PM2.5 eq</v>
      </c>
      <c r="M13821" s="154" t="str">
        <f t="shared" si="1223"/>
        <v>Low_High_High_Upgraded_Particulate Matter Formation Potential (PMFP) - kg PM2.5 eq_Belt filter press; wastewater treatment unit; at updated plant - US_Without Amendment_Aerated Static Pile</v>
      </c>
    </row>
    <row r="13822" spans="1:13" s="120" customFormat="1" x14ac:dyDescent="0.25">
      <c r="A13822" s="119"/>
      <c r="B13822" s="138" t="str">
        <f t="shared" si="1225"/>
        <v>Aerated Static Pile</v>
      </c>
      <c r="C13822" s="138" t="str">
        <f t="shared" si="1226"/>
        <v>Without Amendment</v>
      </c>
      <c r="D13822" s="138" t="str">
        <f t="shared" si="1224"/>
        <v>High_High</v>
      </c>
      <c r="E13822" s="138" t="str">
        <f t="shared" si="1227"/>
        <v>Low</v>
      </c>
      <c r="F13822" s="138" t="str">
        <f t="shared" si="1228"/>
        <v>Upgraded</v>
      </c>
      <c r="G13822" s="153"/>
      <c r="H13822" s="210">
        <v>2.2700000000000001E-2</v>
      </c>
      <c r="I13822" s="160" t="s">
        <v>128</v>
      </c>
      <c r="J13822" s="160">
        <v>1.7000000000000001E-4</v>
      </c>
      <c r="K13822" s="160" t="s">
        <v>145</v>
      </c>
      <c r="L13822" s="154" t="str">
        <f>IF(OpenLCAbasic!K13822="CTUh", "Fill in Manually",IF(OR(K13822="Unit", K13822=""), "", INDEX(LookUps!$E$5:$E$12, MATCH(OpenLCAbasic!K13822,LookUps!$D$5:$D$12,0))))</f>
        <v>Particulate Matter Formation Potential (PMFP) - kg PM2.5 eq</v>
      </c>
      <c r="M13822" s="154" t="str">
        <f t="shared" si="1223"/>
        <v>Low_High_High_Upgraded_Particulate Matter Formation Potential (PMFP) - kg PM2.5 eq_Wastewater collection; operation and infrastructure; m3 wastewater_Without Amendment_Aerated Static Pile</v>
      </c>
    </row>
    <row r="13823" spans="1:13" s="120" customFormat="1" x14ac:dyDescent="0.25">
      <c r="A13823" s="119"/>
      <c r="B13823" s="138" t="str">
        <f t="shared" si="1225"/>
        <v>Aerated Static Pile</v>
      </c>
      <c r="C13823" s="138" t="str">
        <f t="shared" si="1226"/>
        <v>Without Amendment</v>
      </c>
      <c r="D13823" s="138" t="str">
        <f t="shared" si="1224"/>
        <v>High_High</v>
      </c>
      <c r="E13823" s="138" t="str">
        <f t="shared" si="1227"/>
        <v>Low</v>
      </c>
      <c r="F13823" s="138" t="str">
        <f t="shared" si="1228"/>
        <v>Upgraded</v>
      </c>
      <c r="G13823" s="153"/>
      <c r="H13823" s="210">
        <v>1.2999999999999999E-2</v>
      </c>
      <c r="I13823" s="160" t="s">
        <v>57</v>
      </c>
      <c r="J13823" s="211">
        <v>9.5153800000000004E-5</v>
      </c>
      <c r="K13823" s="160" t="s">
        <v>145</v>
      </c>
      <c r="L13823" s="154" t="str">
        <f>IF(OpenLCAbasic!K13823="CTUh", "Fill in Manually",IF(OR(K13823="Unit", K13823=""), "", INDEX(LookUps!$E$5:$E$12, MATCH(OpenLCAbasic!K13823,LookUps!$D$5:$D$12,0))))</f>
        <v>Particulate Matter Formation Potential (PMFP) - kg PM2.5 eq</v>
      </c>
      <c r="M13823" s="154" t="str">
        <f t="shared" si="1223"/>
        <v>Low_High_High_Upgraded_Particulate Matter Formation Potential (PMFP) - kg PM2.5 eq_Gravity Belt Thickener; wastewater treatment unit; at updated plant - US_Without Amendment_Aerated Static Pile</v>
      </c>
    </row>
    <row r="13824" spans="1:13" s="120" customFormat="1" x14ac:dyDescent="0.25">
      <c r="A13824" s="119"/>
      <c r="B13824" s="138" t="str">
        <f t="shared" si="1225"/>
        <v>Aerated Static Pile</v>
      </c>
      <c r="C13824" s="138" t="str">
        <f t="shared" si="1226"/>
        <v>Without Amendment</v>
      </c>
      <c r="D13824" s="138" t="str">
        <f t="shared" si="1224"/>
        <v>High_High</v>
      </c>
      <c r="E13824" s="138" t="str">
        <f t="shared" si="1227"/>
        <v>Low</v>
      </c>
      <c r="F13824" s="138" t="str">
        <f t="shared" si="1228"/>
        <v>Upgraded</v>
      </c>
      <c r="G13824" s="153"/>
      <c r="H13824" s="210">
        <v>9.4999999999999998E-3</v>
      </c>
      <c r="I13824" s="160" t="s">
        <v>59</v>
      </c>
      <c r="J13824" s="211">
        <v>6.9942200000000003E-5</v>
      </c>
      <c r="K13824" s="160" t="s">
        <v>145</v>
      </c>
      <c r="L13824" s="154" t="str">
        <f>IF(OpenLCAbasic!K13824="CTUh", "Fill in Manually",IF(OR(K13824="Unit", K13824=""), "", INDEX(LookUps!$E$5:$E$12, MATCH(OpenLCAbasic!K13824,LookUps!$D$5:$D$12,0))))</f>
        <v>Particulate Matter Formation Potential (PMFP) - kg PM2.5 eq</v>
      </c>
      <c r="M13824" s="154" t="str">
        <f t="shared" si="1223"/>
        <v>Low_High_High_Upgraded_Particulate Matter Formation Potential (PMFP) - kg PM2.5 eq_Blend Tank; wastewater treatment unit; at updated plant - US_Without Amendment_Aerated Static Pile</v>
      </c>
    </row>
    <row r="13825" spans="1:13" s="120" customFormat="1" x14ac:dyDescent="0.25">
      <c r="A13825" s="119"/>
      <c r="B13825" s="138" t="str">
        <f t="shared" si="1225"/>
        <v>Aerated Static Pile</v>
      </c>
      <c r="C13825" s="138" t="str">
        <f t="shared" si="1226"/>
        <v>Without Amendment</v>
      </c>
      <c r="D13825" s="138" t="str">
        <f t="shared" si="1224"/>
        <v>High_High</v>
      </c>
      <c r="E13825" s="138" t="str">
        <f t="shared" si="1227"/>
        <v>Low</v>
      </c>
      <c r="F13825" s="138" t="str">
        <f t="shared" si="1228"/>
        <v>Upgraded</v>
      </c>
      <c r="G13825" s="153"/>
      <c r="H13825" s="210">
        <v>8.6E-3</v>
      </c>
      <c r="I13825" s="160" t="s">
        <v>62</v>
      </c>
      <c r="J13825" s="211">
        <v>6.2799000000000006E-5</v>
      </c>
      <c r="K13825" s="160" t="s">
        <v>145</v>
      </c>
      <c r="L13825" s="154" t="str">
        <f>IF(OpenLCAbasic!K13825="CTUh", "Fill in Manually",IF(OR(K13825="Unit", K13825=""), "", INDEX(LookUps!$E$5:$E$12, MATCH(OpenLCAbasic!K13825,LookUps!$D$5:$D$12,0))))</f>
        <v>Particulate Matter Formation Potential (PMFP) - kg PM2.5 eq</v>
      </c>
      <c r="M13825" s="154" t="str">
        <f t="shared" si="1223"/>
        <v>Low_High_High_Upgraded_Particulate Matter Formation Potential (PMFP) - kg PM2.5 eq_Land application of compost; wastewater treatment unit; at updated plant - US_Without Amendment_Aerated Static Pile</v>
      </c>
    </row>
    <row r="13826" spans="1:13" s="120" customFormat="1" x14ac:dyDescent="0.25">
      <c r="A13826" s="119"/>
      <c r="B13826" s="138" t="str">
        <f t="shared" si="1225"/>
        <v>Aerated Static Pile</v>
      </c>
      <c r="C13826" s="138" t="str">
        <f t="shared" si="1226"/>
        <v>Without Amendment</v>
      </c>
      <c r="D13826" s="138" t="str">
        <f t="shared" si="1224"/>
        <v>High_High</v>
      </c>
      <c r="E13826" s="138" t="str">
        <f t="shared" si="1227"/>
        <v>Low</v>
      </c>
      <c r="F13826" s="138" t="str">
        <f t="shared" si="1228"/>
        <v>Upgraded</v>
      </c>
      <c r="G13826" s="153"/>
      <c r="H13826" s="210">
        <v>6.7999999999999996E-3</v>
      </c>
      <c r="I13826" s="160" t="s">
        <v>48</v>
      </c>
      <c r="J13826" s="211">
        <v>4.99741E-5</v>
      </c>
      <c r="K13826" s="160" t="s">
        <v>145</v>
      </c>
      <c r="L13826" s="154" t="str">
        <f>IF(OpenLCAbasic!K13826="CTUh", "Fill in Manually",IF(OR(K13826="Unit", K13826=""), "", INDEX(LookUps!$E$5:$E$12, MATCH(OpenLCAbasic!K13826,LookUps!$D$5:$D$12,0))))</f>
        <v>Particulate Matter Formation Potential (PMFP) - kg PM2.5 eq</v>
      </c>
      <c r="M13826" s="154" t="str">
        <f t="shared" si="1223"/>
        <v>Low_High_High_Upgraded_Particulate Matter Formation Potential (PMFP) - kg PM2.5 eq_Effluent release; wastewater treatment unit; at surface water; m3 wastewater - US_Without Amendment_Aerated Static Pile</v>
      </c>
    </row>
    <row r="13827" spans="1:13" s="120" customFormat="1" x14ac:dyDescent="0.25">
      <c r="A13827" s="119"/>
      <c r="B13827" s="138" t="str">
        <f t="shared" si="1225"/>
        <v>Aerated Static Pile</v>
      </c>
      <c r="C13827" s="138" t="str">
        <f t="shared" si="1226"/>
        <v>Without Amendment</v>
      </c>
      <c r="D13827" s="138" t="str">
        <f t="shared" si="1224"/>
        <v>High_High</v>
      </c>
      <c r="E13827" s="138" t="str">
        <f t="shared" si="1227"/>
        <v>Low</v>
      </c>
      <c r="F13827" s="138" t="str">
        <f t="shared" si="1228"/>
        <v>Upgraded</v>
      </c>
      <c r="G13827" s="153"/>
      <c r="H13827" s="210">
        <v>4.7000000000000002E-3</v>
      </c>
      <c r="I13827" s="160" t="s">
        <v>168</v>
      </c>
      <c r="J13827" s="211">
        <v>3.4562199999999999E-5</v>
      </c>
      <c r="K13827" s="160" t="s">
        <v>145</v>
      </c>
      <c r="L13827" s="154" t="str">
        <f>IF(OpenLCAbasic!K13827="CTUh", "Fill in Manually",IF(OR(K13827="Unit", K13827=""), "", INDEX(LookUps!$E$5:$E$12, MATCH(OpenLCAbasic!K13827,LookUps!$D$5:$D$12,0))))</f>
        <v>Particulate Matter Formation Potential (PMFP) - kg PM2.5 eq</v>
      </c>
      <c r="M13827" s="154" t="str">
        <f t="shared" si="1223"/>
        <v>Low_High_High_Upgraded_Particulate Matter Formation Potential (PMFP) - kg PM2.5 eq_ClearCove SCP; wastewater treatment unit; at updated plant - US_Without Amendment_Aerated Static Pile</v>
      </c>
    </row>
    <row r="13828" spans="1:13" s="120" customFormat="1" x14ac:dyDescent="0.25">
      <c r="A13828" s="119"/>
      <c r="B13828" s="138" t="str">
        <f t="shared" si="1225"/>
        <v>Aerated Static Pile</v>
      </c>
      <c r="C13828" s="138" t="str">
        <f t="shared" si="1226"/>
        <v>Without Amendment</v>
      </c>
      <c r="D13828" s="138" t="str">
        <f t="shared" si="1224"/>
        <v>High_High</v>
      </c>
      <c r="E13828" s="138" t="str">
        <f t="shared" si="1227"/>
        <v>Low</v>
      </c>
      <c r="F13828" s="138" t="str">
        <f t="shared" si="1228"/>
        <v>Upgraded</v>
      </c>
      <c r="G13828" s="153"/>
      <c r="H13828" s="210">
        <v>1.1999999999999999E-3</v>
      </c>
      <c r="I13828" s="160" t="s">
        <v>148</v>
      </c>
      <c r="J13828" s="211">
        <v>8.8212999999999997E-6</v>
      </c>
      <c r="K13828" s="160" t="s">
        <v>145</v>
      </c>
      <c r="L13828" s="154" t="str">
        <f>IF(OpenLCAbasic!K13828="CTUh", "Fill in Manually",IF(OR(K13828="Unit", K13828=""), "", INDEX(LookUps!$E$5:$E$12, MATCH(OpenLCAbasic!K13828,LookUps!$D$5:$D$12,0))))</f>
        <v>Particulate Matter Formation Potential (PMFP) - kg PM2.5 eq</v>
      </c>
      <c r="M13828" s="154" t="str">
        <f t="shared" ref="M13828:M13891" si="1229">CONCATENATE(E13828,"_",D13828,"_",F13828,"_",L13828, "_",I13828,"_", C13828,"_", B13828)</f>
        <v>Low_High_High_Upgraded_Particulate Matter Formation Potential (PMFP) - kg PM2.5 eq_Control Building; at upgraded wastewater treatment plant - US_Without Amendment_Aerated Static Pile</v>
      </c>
    </row>
    <row r="13829" spans="1:13" s="120" customFormat="1" x14ac:dyDescent="0.25">
      <c r="A13829" s="119"/>
      <c r="B13829" s="138" t="str">
        <f t="shared" si="1225"/>
        <v>Aerated Static Pile</v>
      </c>
      <c r="C13829" s="138" t="str">
        <f t="shared" si="1226"/>
        <v>Without Amendment</v>
      </c>
      <c r="D13829" s="138" t="str">
        <f t="shared" si="1224"/>
        <v>High_High</v>
      </c>
      <c r="E13829" s="138" t="str">
        <f t="shared" si="1227"/>
        <v>Low</v>
      </c>
      <c r="F13829" s="138" t="str">
        <f t="shared" si="1228"/>
        <v>Upgraded</v>
      </c>
      <c r="G13829" s="153"/>
      <c r="H13829" s="210">
        <v>-1.7835000000000001</v>
      </c>
      <c r="I13829" s="160" t="s">
        <v>149</v>
      </c>
      <c r="J13829" s="160">
        <v>-1.3089999999999999E-2</v>
      </c>
      <c r="K13829" s="160" t="s">
        <v>145</v>
      </c>
      <c r="L13829" s="154" t="str">
        <f>IF(OpenLCAbasic!K13829="CTUh", "Fill in Manually",IF(OR(K13829="Unit", K13829=""), "", INDEX(LookUps!$E$5:$E$12, MATCH(OpenLCAbasic!K13829,LookUps!$D$5:$D$12,0))))</f>
        <v>Particulate Matter Formation Potential (PMFP) - kg PM2.5 eq</v>
      </c>
      <c r="M13829" s="154" t="str">
        <f t="shared" si="1229"/>
        <v>Low_High_High_Upgraded_Particulate Matter Formation Potential (PMFP) - kg PM2.5 eq_Anaerobic Digestion; wastewater treatment unit; at updated plant - US_Without Amendment_Aerated Static Pile</v>
      </c>
    </row>
    <row r="13830" spans="1:13" s="120" customFormat="1" x14ac:dyDescent="0.25">
      <c r="A13830" s="119"/>
      <c r="B13830" s="138" t="str">
        <f t="shared" si="1225"/>
        <v/>
      </c>
      <c r="C13830" s="138" t="str">
        <f t="shared" si="1226"/>
        <v/>
      </c>
      <c r="D13830" s="138" t="str">
        <f t="shared" si="1224"/>
        <v/>
      </c>
      <c r="E13830" s="138" t="str">
        <f t="shared" si="1227"/>
        <v/>
      </c>
      <c r="F13830" s="138" t="str">
        <f t="shared" si="1228"/>
        <v/>
      </c>
      <c r="G13830" s="153" t="s">
        <v>51</v>
      </c>
      <c r="H13830" s="160"/>
      <c r="I13830" s="160" t="s">
        <v>47</v>
      </c>
      <c r="J13830" s="160" t="s">
        <v>52</v>
      </c>
      <c r="K13830" s="160" t="s">
        <v>27</v>
      </c>
      <c r="L13830" s="154" t="str">
        <f>IF(OpenLCAbasic!K13830="CTUh", "Fill in Manually",IF(OR(K13830="Unit", K13830=""), "", INDEX(LookUps!$E$5:$E$12, MATCH(OpenLCAbasic!K13830,LookUps!$D$5:$D$12,0))))</f>
        <v/>
      </c>
      <c r="M13830" s="154" t="str">
        <f t="shared" si="1229"/>
        <v>____Process__</v>
      </c>
    </row>
    <row r="13831" spans="1:13" s="120" customFormat="1" x14ac:dyDescent="0.25">
      <c r="A13831" s="119"/>
      <c r="B13831" s="138" t="str">
        <f t="shared" si="1225"/>
        <v>Aerated Static Pile</v>
      </c>
      <c r="C13831" s="138" t="str">
        <f t="shared" si="1226"/>
        <v>Without Amendment</v>
      </c>
      <c r="D13831" s="138" t="str">
        <f t="shared" si="1224"/>
        <v>High_High</v>
      </c>
      <c r="E13831" s="138" t="str">
        <f t="shared" si="1227"/>
        <v>Low</v>
      </c>
      <c r="F13831" s="138" t="str">
        <f t="shared" si="1228"/>
        <v>Upgraded</v>
      </c>
      <c r="G13831" s="153"/>
      <c r="H13831" s="210">
        <v>0.31850000000000001</v>
      </c>
      <c r="I13831" s="160" t="s">
        <v>55</v>
      </c>
      <c r="J13831" s="160">
        <v>0.16577</v>
      </c>
      <c r="K13831" s="160" t="s">
        <v>25</v>
      </c>
      <c r="L13831" s="154" t="str">
        <f>IF(OpenLCAbasic!K13831="CTUh", "Fill in Manually",IF(OR(K13831="Unit", K13831=""), "", INDEX(LookUps!$E$5:$E$12, MATCH(OpenLCAbasic!K13831,LookUps!$D$5:$D$12,0))))</f>
        <v>Smog Formation Potential (SFP) - kg O3 eq</v>
      </c>
      <c r="M13831" s="154" t="str">
        <f t="shared" si="1229"/>
        <v>Low_High_High_Upgraded_Smog Formation Potential (SFP) - kg O3 eq_Aeration Tanks; wastewater treatment unit; at updated plant - US_Without Amendment_Aerated Static Pile</v>
      </c>
    </row>
    <row r="13832" spans="1:13" s="120" customFormat="1" x14ac:dyDescent="0.25">
      <c r="A13832" s="119"/>
      <c r="B13832" s="138" t="str">
        <f t="shared" si="1225"/>
        <v>Aerated Static Pile</v>
      </c>
      <c r="C13832" s="138" t="str">
        <f t="shared" si="1226"/>
        <v>Without Amendment</v>
      </c>
      <c r="D13832" s="138" t="str">
        <f t="shared" si="1224"/>
        <v>High_High</v>
      </c>
      <c r="E13832" s="138" t="str">
        <f t="shared" si="1227"/>
        <v>Low</v>
      </c>
      <c r="F13832" s="138" t="str">
        <f t="shared" si="1228"/>
        <v>Upgraded</v>
      </c>
      <c r="G13832" s="153"/>
      <c r="H13832" s="210">
        <v>9.2399999999999996E-2</v>
      </c>
      <c r="I13832" s="160" t="s">
        <v>54</v>
      </c>
      <c r="J13832" s="160">
        <v>4.8070000000000002E-2</v>
      </c>
      <c r="K13832" s="160" t="s">
        <v>25</v>
      </c>
      <c r="L13832" s="154" t="str">
        <f>IF(OpenLCAbasic!K13832="CTUh", "Fill in Manually",IF(OR(K13832="Unit", K13832=""), "", INDEX(LookUps!$E$5:$E$12, MATCH(OpenLCAbasic!K13832,LookUps!$D$5:$D$12,0))))</f>
        <v>Smog Formation Potential (SFP) - kg O3 eq</v>
      </c>
      <c r="M13832" s="154" t="str">
        <f t="shared" si="1229"/>
        <v>Low_High_High_Upgraded_Smog Formation Potential (SFP) - kg O3 eq_Clear Cove Primary Clarification; wastewater treatment unit; at updated plant - US_Without Amendment_Aerated Static Pile</v>
      </c>
    </row>
    <row r="13833" spans="1:13" s="120" customFormat="1" x14ac:dyDescent="0.25">
      <c r="A13833" s="119"/>
      <c r="B13833" s="138" t="str">
        <f t="shared" si="1225"/>
        <v>Aerated Static Pile</v>
      </c>
      <c r="C13833" s="138" t="str">
        <f t="shared" si="1226"/>
        <v>Without Amendment</v>
      </c>
      <c r="D13833" s="138" t="str">
        <f t="shared" si="1224"/>
        <v>High_High</v>
      </c>
      <c r="E13833" s="138" t="str">
        <f t="shared" si="1227"/>
        <v>Low</v>
      </c>
      <c r="F13833" s="138" t="str">
        <f t="shared" si="1228"/>
        <v>Upgraded</v>
      </c>
      <c r="G13833" s="153"/>
      <c r="H13833" s="210">
        <v>8.09E-2</v>
      </c>
      <c r="I13833" s="160" t="s">
        <v>58</v>
      </c>
      <c r="J13833" s="160">
        <v>4.2090000000000002E-2</v>
      </c>
      <c r="K13833" s="160" t="s">
        <v>25</v>
      </c>
      <c r="L13833" s="154" t="str">
        <f>IF(OpenLCAbasic!K13833="CTUh", "Fill in Manually",IF(OR(K13833="Unit", K13833=""), "", INDEX(LookUps!$E$5:$E$12, MATCH(OpenLCAbasic!K13833,LookUps!$D$5:$D$12,0))))</f>
        <v>Smog Formation Potential (SFP) - kg O3 eq</v>
      </c>
      <c r="M13833" s="154" t="str">
        <f t="shared" si="1229"/>
        <v>Low_High_High_Upgraded_Smog Formation Potential (SFP) - kg O3 eq_Pre-Anoxic &amp; Swing tank; wastewater treatment unit; at updated plant - US_Without Amendment_Aerated Static Pile</v>
      </c>
    </row>
    <row r="13834" spans="1:13" s="120" customFormat="1" x14ac:dyDescent="0.25">
      <c r="A13834" s="119"/>
      <c r="B13834" s="138" t="str">
        <f t="shared" si="1225"/>
        <v>Aerated Static Pile</v>
      </c>
      <c r="C13834" s="138" t="str">
        <f t="shared" si="1226"/>
        <v>Without Amendment</v>
      </c>
      <c r="D13834" s="138" t="str">
        <f t="shared" si="1224"/>
        <v>High_High</v>
      </c>
      <c r="E13834" s="138" t="str">
        <f t="shared" si="1227"/>
        <v>Low</v>
      </c>
      <c r="F13834" s="138" t="str">
        <f t="shared" si="1228"/>
        <v>Upgraded</v>
      </c>
      <c r="G13834" s="153"/>
      <c r="H13834" s="210">
        <v>6.4899999999999999E-2</v>
      </c>
      <c r="I13834" s="160" t="s">
        <v>167</v>
      </c>
      <c r="J13834" s="160">
        <v>3.3759999999999998E-2</v>
      </c>
      <c r="K13834" s="160" t="s">
        <v>25</v>
      </c>
      <c r="L13834" s="154" t="str">
        <f>IF(OpenLCAbasic!K13834="CTUh", "Fill in Manually",IF(OR(K13834="Unit", K13834=""), "", INDEX(LookUps!$E$5:$E$12, MATCH(OpenLCAbasic!K13834,LookUps!$D$5:$D$12,0))))</f>
        <v>Smog Formation Potential (SFP) - kg O3 eq</v>
      </c>
      <c r="M13834" s="154" t="str">
        <f t="shared" si="1229"/>
        <v>Low_High_High_Upgraded_Smog Formation Potential (SFP) - kg O3 eq_Waste Receiving and Holding; wastewater treatment unit; at updated plant - US_Without Amendment_Aerated Static Pile</v>
      </c>
    </row>
    <row r="13835" spans="1:13" s="120" customFormat="1" x14ac:dyDescent="0.25">
      <c r="A13835" s="119"/>
      <c r="B13835" s="138" t="str">
        <f t="shared" si="1225"/>
        <v>Aerated Static Pile</v>
      </c>
      <c r="C13835" s="138" t="str">
        <f t="shared" si="1226"/>
        <v>Without Amendment</v>
      </c>
      <c r="D13835" s="138" t="str">
        <f t="shared" si="1224"/>
        <v>High_High</v>
      </c>
      <c r="E13835" s="138" t="str">
        <f t="shared" si="1227"/>
        <v>Low</v>
      </c>
      <c r="F13835" s="138" t="str">
        <f t="shared" si="1228"/>
        <v>Upgraded</v>
      </c>
      <c r="G13835" s="153"/>
      <c r="H13835" s="210">
        <v>6.3700000000000007E-2</v>
      </c>
      <c r="I13835" s="160" t="s">
        <v>53</v>
      </c>
      <c r="J13835" s="160">
        <v>3.313E-2</v>
      </c>
      <c r="K13835" s="160" t="s">
        <v>25</v>
      </c>
      <c r="L13835" s="154" t="str">
        <f>IF(OpenLCAbasic!K13835="CTUh", "Fill in Manually",IF(OR(K13835="Unit", K13835=""), "", INDEX(LookUps!$E$5:$E$12, MATCH(OpenLCAbasic!K13835,LookUps!$D$5:$D$12,0))))</f>
        <v>Smog Formation Potential (SFP) - kg O3 eq</v>
      </c>
      <c r="M13835" s="154" t="str">
        <f t="shared" si="1229"/>
        <v>Low_High_High_Upgraded_Smog Formation Potential (SFP) - kg O3 eq_Wet Well and Sump Station; wastewater treatment unit; at updated plant - US_Without Amendment_Aerated Static Pile</v>
      </c>
    </row>
    <row r="13836" spans="1:13" s="120" customFormat="1" x14ac:dyDescent="0.25">
      <c r="A13836" s="119"/>
      <c r="B13836" s="138" t="str">
        <f t="shared" si="1225"/>
        <v>Aerated Static Pile</v>
      </c>
      <c r="C13836" s="138" t="str">
        <f t="shared" si="1226"/>
        <v>Without Amendment</v>
      </c>
      <c r="D13836" s="138" t="str">
        <f t="shared" si="1224"/>
        <v>High_High</v>
      </c>
      <c r="E13836" s="138" t="str">
        <f t="shared" si="1227"/>
        <v>Low</v>
      </c>
      <c r="F13836" s="138" t="str">
        <f t="shared" si="1228"/>
        <v>Upgraded</v>
      </c>
      <c r="G13836" s="153"/>
      <c r="H13836" s="210">
        <v>5.5300000000000002E-2</v>
      </c>
      <c r="I13836" s="160" t="s">
        <v>435</v>
      </c>
      <c r="J13836" s="160">
        <v>2.878E-2</v>
      </c>
      <c r="K13836" s="160" t="s">
        <v>25</v>
      </c>
      <c r="L13836" s="154" t="str">
        <f>IF(OpenLCAbasic!K13836="CTUh", "Fill in Manually",IF(OR(K13836="Unit", K13836=""), "", INDEX(LookUps!$E$5:$E$12, MATCH(OpenLCAbasic!K13836,LookUps!$D$5:$D$12,0))))</f>
        <v>Smog Formation Potential (SFP) - kg O3 eq</v>
      </c>
      <c r="M13836" s="154" t="str">
        <f t="shared" si="1229"/>
        <v>Low_High_High_Upgraded_Smog Formation Potential (SFP) - kg O3 eq_Biosolids composting; aerated static pile; wastewater treatment unit; at updated plant - US_Without Amendment_Aerated Static Pile</v>
      </c>
    </row>
    <row r="13837" spans="1:13" s="120" customFormat="1" x14ac:dyDescent="0.25">
      <c r="A13837" s="119"/>
      <c r="B13837" s="138" t="str">
        <f t="shared" si="1225"/>
        <v>Aerated Static Pile</v>
      </c>
      <c r="C13837" s="138" t="str">
        <f t="shared" si="1226"/>
        <v>Without Amendment</v>
      </c>
      <c r="D13837" s="138" t="str">
        <f t="shared" si="1224"/>
        <v>High_High</v>
      </c>
      <c r="E13837" s="138" t="str">
        <f t="shared" si="1227"/>
        <v>Low</v>
      </c>
      <c r="F13837" s="138" t="str">
        <f t="shared" si="1228"/>
        <v>Upgraded</v>
      </c>
      <c r="G13837" s="153"/>
      <c r="H13837" s="210">
        <v>3.73E-2</v>
      </c>
      <c r="I13837" s="160" t="s">
        <v>147</v>
      </c>
      <c r="J13837" s="160">
        <v>1.9400000000000001E-2</v>
      </c>
      <c r="K13837" s="160" t="s">
        <v>25</v>
      </c>
      <c r="L13837" s="154" t="str">
        <f>IF(OpenLCAbasic!K13837="CTUh", "Fill in Manually",IF(OR(K13837="Unit", K13837=""), "", INDEX(LookUps!$E$5:$E$12, MATCH(OpenLCAbasic!K13837,LookUps!$D$5:$D$12,0))))</f>
        <v>Smog Formation Potential (SFP) - kg O3 eq</v>
      </c>
      <c r="M13837" s="154" t="str">
        <f t="shared" si="1229"/>
        <v>Low_High_High_Upgraded_Smog Formation Potential (SFP) - kg O3 eq_Influent Pump Station; wastewater treatment unit; at updated plant - US_Without Amendment_Aerated Static Pile</v>
      </c>
    </row>
    <row r="13838" spans="1:13" s="120" customFormat="1" x14ac:dyDescent="0.25">
      <c r="A13838" s="119"/>
      <c r="B13838" s="138" t="str">
        <f t="shared" si="1225"/>
        <v>Aerated Static Pile</v>
      </c>
      <c r="C13838" s="138" t="str">
        <f t="shared" si="1226"/>
        <v>Without Amendment</v>
      </c>
      <c r="D13838" s="138" t="str">
        <f t="shared" si="1224"/>
        <v>High_High</v>
      </c>
      <c r="E13838" s="138" t="str">
        <f t="shared" si="1227"/>
        <v>Low</v>
      </c>
      <c r="F13838" s="138" t="str">
        <f t="shared" si="1228"/>
        <v>Upgraded</v>
      </c>
      <c r="G13838" s="153"/>
      <c r="H13838" s="210">
        <v>2.53E-2</v>
      </c>
      <c r="I13838" s="160" t="s">
        <v>60</v>
      </c>
      <c r="J13838" s="160">
        <v>1.316E-2</v>
      </c>
      <c r="K13838" s="160" t="s">
        <v>25</v>
      </c>
      <c r="L13838" s="154" t="str">
        <f>IF(OpenLCAbasic!K13838="CTUh", "Fill in Manually",IF(OR(K13838="Unit", K13838=""), "", INDEX(LookUps!$E$5:$E$12, MATCH(OpenLCAbasic!K13838,LookUps!$D$5:$D$12,0))))</f>
        <v>Smog Formation Potential (SFP) - kg O3 eq</v>
      </c>
      <c r="M13838" s="154" t="str">
        <f t="shared" si="1229"/>
        <v>Low_High_High_Upgraded_Smog Formation Potential (SFP) - kg O3 eq_Belt filter press; wastewater treatment unit; at updated plant - US_Without Amendment_Aerated Static Pile</v>
      </c>
    </row>
    <row r="13839" spans="1:13" s="120" customFormat="1" x14ac:dyDescent="0.25">
      <c r="A13839" s="119"/>
      <c r="B13839" s="138" t="str">
        <f t="shared" si="1225"/>
        <v>Aerated Static Pile</v>
      </c>
      <c r="C13839" s="138" t="str">
        <f t="shared" si="1226"/>
        <v>Without Amendment</v>
      </c>
      <c r="D13839" s="138" t="str">
        <f t="shared" si="1224"/>
        <v>High_High</v>
      </c>
      <c r="E13839" s="138" t="str">
        <f t="shared" si="1227"/>
        <v>Low</v>
      </c>
      <c r="F13839" s="138" t="str">
        <f t="shared" si="1228"/>
        <v>Upgraded</v>
      </c>
      <c r="G13839" s="153"/>
      <c r="H13839" s="210">
        <v>2.29E-2</v>
      </c>
      <c r="I13839" s="160" t="s">
        <v>128</v>
      </c>
      <c r="J13839" s="160">
        <v>1.192E-2</v>
      </c>
      <c r="K13839" s="160" t="s">
        <v>25</v>
      </c>
      <c r="L13839" s="154" t="str">
        <f>IF(OpenLCAbasic!K13839="CTUh", "Fill in Manually",IF(OR(K13839="Unit", K13839=""), "", INDEX(LookUps!$E$5:$E$12, MATCH(OpenLCAbasic!K13839,LookUps!$D$5:$D$12,0))))</f>
        <v>Smog Formation Potential (SFP) - kg O3 eq</v>
      </c>
      <c r="M13839" s="154" t="str">
        <f t="shared" si="1229"/>
        <v>Low_High_High_Upgraded_Smog Formation Potential (SFP) - kg O3 eq_Wastewater collection; operation and infrastructure; m3 wastewater_Without Amendment_Aerated Static Pile</v>
      </c>
    </row>
    <row r="13840" spans="1:13" s="120" customFormat="1" x14ac:dyDescent="0.25">
      <c r="A13840" s="119"/>
      <c r="B13840" s="138" t="str">
        <f t="shared" si="1225"/>
        <v>Aerated Static Pile</v>
      </c>
      <c r="C13840" s="138" t="str">
        <f t="shared" si="1226"/>
        <v>Without Amendment</v>
      </c>
      <c r="D13840" s="138" t="str">
        <f t="shared" si="1224"/>
        <v>High_High</v>
      </c>
      <c r="E13840" s="138" t="str">
        <f t="shared" si="1227"/>
        <v>Low</v>
      </c>
      <c r="F13840" s="138" t="str">
        <f t="shared" si="1228"/>
        <v>Upgraded</v>
      </c>
      <c r="G13840" s="153"/>
      <c r="H13840" s="210">
        <v>1.2800000000000001E-2</v>
      </c>
      <c r="I13840" s="160" t="s">
        <v>57</v>
      </c>
      <c r="J13840" s="160">
        <v>6.6499999999999997E-3</v>
      </c>
      <c r="K13840" s="160" t="s">
        <v>25</v>
      </c>
      <c r="L13840" s="154" t="str">
        <f>IF(OpenLCAbasic!K13840="CTUh", "Fill in Manually",IF(OR(K13840="Unit", K13840=""), "", INDEX(LookUps!$E$5:$E$12, MATCH(OpenLCAbasic!K13840,LookUps!$D$5:$D$12,0))))</f>
        <v>Smog Formation Potential (SFP) - kg O3 eq</v>
      </c>
      <c r="M13840" s="154" t="str">
        <f t="shared" si="1229"/>
        <v>Low_High_High_Upgraded_Smog Formation Potential (SFP) - kg O3 eq_Gravity Belt Thickener; wastewater treatment unit; at updated plant - US_Without Amendment_Aerated Static Pile</v>
      </c>
    </row>
    <row r="13841" spans="1:13" s="120" customFormat="1" x14ac:dyDescent="0.25">
      <c r="A13841" s="119"/>
      <c r="B13841" s="138" t="str">
        <f t="shared" si="1225"/>
        <v>Aerated Static Pile</v>
      </c>
      <c r="C13841" s="138" t="str">
        <f t="shared" si="1226"/>
        <v>Without Amendment</v>
      </c>
      <c r="D13841" s="138" t="str">
        <f t="shared" si="1224"/>
        <v>High_High</v>
      </c>
      <c r="E13841" s="138" t="str">
        <f t="shared" si="1227"/>
        <v>Low</v>
      </c>
      <c r="F13841" s="138" t="str">
        <f t="shared" si="1228"/>
        <v>Upgraded</v>
      </c>
      <c r="G13841" s="153"/>
      <c r="H13841" s="210">
        <v>9.5999999999999992E-3</v>
      </c>
      <c r="I13841" s="160" t="s">
        <v>59</v>
      </c>
      <c r="J13841" s="160">
        <v>4.9699999999999996E-3</v>
      </c>
      <c r="K13841" s="160" t="s">
        <v>25</v>
      </c>
      <c r="L13841" s="154" t="str">
        <f>IF(OpenLCAbasic!K13841="CTUh", "Fill in Manually",IF(OR(K13841="Unit", K13841=""), "", INDEX(LookUps!$E$5:$E$12, MATCH(OpenLCAbasic!K13841,LookUps!$D$5:$D$12,0))))</f>
        <v>Smog Formation Potential (SFP) - kg O3 eq</v>
      </c>
      <c r="M13841" s="154" t="str">
        <f t="shared" si="1229"/>
        <v>Low_High_High_Upgraded_Smog Formation Potential (SFP) - kg O3 eq_Blend Tank; wastewater treatment unit; at updated plant - US_Without Amendment_Aerated Static Pile</v>
      </c>
    </row>
    <row r="13842" spans="1:13" s="120" customFormat="1" x14ac:dyDescent="0.25">
      <c r="A13842" s="119"/>
      <c r="B13842" s="138" t="str">
        <f t="shared" si="1225"/>
        <v>Aerated Static Pile</v>
      </c>
      <c r="C13842" s="138" t="str">
        <f t="shared" si="1226"/>
        <v>Without Amendment</v>
      </c>
      <c r="D13842" s="138" t="str">
        <f t="shared" si="1224"/>
        <v>High_High</v>
      </c>
      <c r="E13842" s="138" t="str">
        <f t="shared" si="1227"/>
        <v>Low</v>
      </c>
      <c r="F13842" s="138" t="str">
        <f t="shared" si="1228"/>
        <v>Upgraded</v>
      </c>
      <c r="G13842" s="153"/>
      <c r="H13842" s="210">
        <v>6.4999999999999997E-3</v>
      </c>
      <c r="I13842" s="160" t="s">
        <v>48</v>
      </c>
      <c r="J13842" s="160">
        <v>3.3899999999999998E-3</v>
      </c>
      <c r="K13842" s="160" t="s">
        <v>25</v>
      </c>
      <c r="L13842" s="154" t="str">
        <f>IF(OpenLCAbasic!K13842="CTUh", "Fill in Manually",IF(OR(K13842="Unit", K13842=""), "", INDEX(LookUps!$E$5:$E$12, MATCH(OpenLCAbasic!K13842,LookUps!$D$5:$D$12,0))))</f>
        <v>Smog Formation Potential (SFP) - kg O3 eq</v>
      </c>
      <c r="M13842" s="154" t="str">
        <f t="shared" si="1229"/>
        <v>Low_High_High_Upgraded_Smog Formation Potential (SFP) - kg O3 eq_Effluent release; wastewater treatment unit; at surface water; m3 wastewater - US_Without Amendment_Aerated Static Pile</v>
      </c>
    </row>
    <row r="13843" spans="1:13" s="120" customFormat="1" x14ac:dyDescent="0.25">
      <c r="A13843" s="119"/>
      <c r="B13843" s="138" t="str">
        <f t="shared" si="1225"/>
        <v>Aerated Static Pile</v>
      </c>
      <c r="C13843" s="138" t="str">
        <f t="shared" si="1226"/>
        <v>Without Amendment</v>
      </c>
      <c r="D13843" s="138" t="str">
        <f t="shared" si="1224"/>
        <v>High_High</v>
      </c>
      <c r="E13843" s="138" t="str">
        <f t="shared" si="1227"/>
        <v>Low</v>
      </c>
      <c r="F13843" s="138" t="str">
        <f t="shared" si="1228"/>
        <v>Upgraded</v>
      </c>
      <c r="G13843" s="153"/>
      <c r="H13843" s="210">
        <v>4.7000000000000002E-3</v>
      </c>
      <c r="I13843" s="160" t="s">
        <v>168</v>
      </c>
      <c r="J13843" s="160">
        <v>2.4599999999999999E-3</v>
      </c>
      <c r="K13843" s="160" t="s">
        <v>25</v>
      </c>
      <c r="L13843" s="154" t="str">
        <f>IF(OpenLCAbasic!K13843="CTUh", "Fill in Manually",IF(OR(K13843="Unit", K13843=""), "", INDEX(LookUps!$E$5:$E$12, MATCH(OpenLCAbasic!K13843,LookUps!$D$5:$D$12,0))))</f>
        <v>Smog Formation Potential (SFP) - kg O3 eq</v>
      </c>
      <c r="M13843" s="154" t="str">
        <f t="shared" si="1229"/>
        <v>Low_High_High_Upgraded_Smog Formation Potential (SFP) - kg O3 eq_ClearCove SCP; wastewater treatment unit; at updated plant - US_Without Amendment_Aerated Static Pile</v>
      </c>
    </row>
    <row r="13844" spans="1:13" s="120" customFormat="1" x14ac:dyDescent="0.25">
      <c r="A13844" s="119"/>
      <c r="B13844" s="138" t="str">
        <f t="shared" si="1225"/>
        <v>Aerated Static Pile</v>
      </c>
      <c r="C13844" s="138" t="str">
        <f t="shared" si="1226"/>
        <v>Without Amendment</v>
      </c>
      <c r="D13844" s="138" t="str">
        <f t="shared" si="1224"/>
        <v>High_High</v>
      </c>
      <c r="E13844" s="138" t="str">
        <f t="shared" si="1227"/>
        <v>Low</v>
      </c>
      <c r="F13844" s="138" t="str">
        <f t="shared" si="1228"/>
        <v>Upgraded</v>
      </c>
      <c r="G13844" s="153"/>
      <c r="H13844" s="210">
        <v>1E-3</v>
      </c>
      <c r="I13844" s="160" t="s">
        <v>148</v>
      </c>
      <c r="J13844" s="160">
        <v>5.4000000000000001E-4</v>
      </c>
      <c r="K13844" s="160" t="s">
        <v>25</v>
      </c>
      <c r="L13844" s="154" t="str">
        <f>IF(OpenLCAbasic!K13844="CTUh", "Fill in Manually",IF(OR(K13844="Unit", K13844=""), "", INDEX(LookUps!$E$5:$E$12, MATCH(OpenLCAbasic!K13844,LookUps!$D$5:$D$12,0))))</f>
        <v>Smog Formation Potential (SFP) - kg O3 eq</v>
      </c>
      <c r="M13844" s="154" t="str">
        <f t="shared" si="1229"/>
        <v>Low_High_High_Upgraded_Smog Formation Potential (SFP) - kg O3 eq_Control Building; at upgraded wastewater treatment plant - US_Without Amendment_Aerated Static Pile</v>
      </c>
    </row>
    <row r="13845" spans="1:13" s="120" customFormat="1" x14ac:dyDescent="0.25">
      <c r="A13845" s="119"/>
      <c r="B13845" s="138" t="str">
        <f t="shared" si="1225"/>
        <v>Aerated Static Pile</v>
      </c>
      <c r="C13845" s="138" t="str">
        <f t="shared" si="1226"/>
        <v>Without Amendment</v>
      </c>
      <c r="D13845" s="138" t="str">
        <f t="shared" si="1224"/>
        <v>High_High</v>
      </c>
      <c r="E13845" s="138" t="str">
        <f t="shared" si="1227"/>
        <v>Low</v>
      </c>
      <c r="F13845" s="138" t="str">
        <f t="shared" si="1228"/>
        <v>Upgraded</v>
      </c>
      <c r="G13845" s="153"/>
      <c r="H13845" s="210">
        <v>-6.1999999999999998E-3</v>
      </c>
      <c r="I13845" s="160" t="s">
        <v>62</v>
      </c>
      <c r="J13845" s="160">
        <v>-3.2299999999999998E-3</v>
      </c>
      <c r="K13845" s="160" t="s">
        <v>25</v>
      </c>
      <c r="L13845" s="154" t="str">
        <f>IF(OpenLCAbasic!K13845="CTUh", "Fill in Manually",IF(OR(K13845="Unit", K13845=""), "", INDEX(LookUps!$E$5:$E$12, MATCH(OpenLCAbasic!K13845,LookUps!$D$5:$D$12,0))))</f>
        <v>Smog Formation Potential (SFP) - kg O3 eq</v>
      </c>
      <c r="M13845" s="154" t="str">
        <f t="shared" si="1229"/>
        <v>Low_High_High_Upgraded_Smog Formation Potential (SFP) - kg O3 eq_Land application of compost; wastewater treatment unit; at updated plant - US_Without Amendment_Aerated Static Pile</v>
      </c>
    </row>
    <row r="13846" spans="1:13" s="120" customFormat="1" x14ac:dyDescent="0.25">
      <c r="A13846" s="119"/>
      <c r="B13846" s="138" t="str">
        <f t="shared" si="1225"/>
        <v>Aerated Static Pile</v>
      </c>
      <c r="C13846" s="138" t="str">
        <f t="shared" si="1226"/>
        <v>Without Amendment</v>
      </c>
      <c r="D13846" s="138" t="str">
        <f t="shared" si="1224"/>
        <v>High_High</v>
      </c>
      <c r="E13846" s="138" t="str">
        <f t="shared" si="1227"/>
        <v>Low</v>
      </c>
      <c r="F13846" s="138" t="str">
        <f t="shared" si="1228"/>
        <v>Upgraded</v>
      </c>
      <c r="G13846" s="153"/>
      <c r="H13846" s="210">
        <v>-1.7895000000000001</v>
      </c>
      <c r="I13846" s="160" t="s">
        <v>149</v>
      </c>
      <c r="J13846" s="160">
        <v>-0.93125999999999998</v>
      </c>
      <c r="K13846" s="160" t="s">
        <v>25</v>
      </c>
      <c r="L13846" s="154" t="str">
        <f>IF(OpenLCAbasic!K13846="CTUh", "Fill in Manually",IF(OR(K13846="Unit", K13846=""), "", INDEX(LookUps!$E$5:$E$12, MATCH(OpenLCAbasic!K13846,LookUps!$D$5:$D$12,0))))</f>
        <v>Smog Formation Potential (SFP) - kg O3 eq</v>
      </c>
      <c r="M13846" s="154" t="str">
        <f t="shared" si="1229"/>
        <v>Low_High_High_Upgraded_Smog Formation Potential (SFP) - kg O3 eq_Anaerobic Digestion; wastewater treatment unit; at updated plant - US_Without Amendment_Aerated Static Pile</v>
      </c>
    </row>
    <row r="13847" spans="1:13" s="120" customFormat="1" x14ac:dyDescent="0.25">
      <c r="A13847" s="119"/>
      <c r="B13847" s="138" t="str">
        <f t="shared" si="1225"/>
        <v/>
      </c>
      <c r="C13847" s="138" t="str">
        <f t="shared" si="1226"/>
        <v/>
      </c>
      <c r="D13847" s="138" t="str">
        <f t="shared" si="1224"/>
        <v/>
      </c>
      <c r="E13847" s="138" t="str">
        <f t="shared" si="1227"/>
        <v/>
      </c>
      <c r="F13847" s="138" t="str">
        <f t="shared" si="1228"/>
        <v/>
      </c>
      <c r="G13847" s="153" t="s">
        <v>51</v>
      </c>
      <c r="H13847" s="160"/>
      <c r="I13847" s="160" t="s">
        <v>47</v>
      </c>
      <c r="J13847" s="160" t="s">
        <v>52</v>
      </c>
      <c r="K13847" s="160" t="s">
        <v>27</v>
      </c>
      <c r="L13847" s="154" t="str">
        <f>IF(OpenLCAbasic!K13847="CTUh", "Fill in Manually",IF(OR(K13847="Unit", K13847=""), "", INDEX(LookUps!$E$5:$E$12, MATCH(OpenLCAbasic!K13847,LookUps!$D$5:$D$12,0))))</f>
        <v/>
      </c>
      <c r="M13847" s="154" t="str">
        <f t="shared" si="1229"/>
        <v>____Process__</v>
      </c>
    </row>
    <row r="13848" spans="1:13" s="120" customFormat="1" x14ac:dyDescent="0.25">
      <c r="A13848" s="119"/>
      <c r="B13848" s="138" t="str">
        <f t="shared" si="1225"/>
        <v>Aerated Static Pile</v>
      </c>
      <c r="C13848" s="138" t="str">
        <f t="shared" si="1226"/>
        <v>Without Amendment</v>
      </c>
      <c r="D13848" s="138" t="str">
        <f t="shared" si="1224"/>
        <v>High_High</v>
      </c>
      <c r="E13848" s="138" t="str">
        <f t="shared" si="1227"/>
        <v>Low</v>
      </c>
      <c r="F13848" s="138" t="str">
        <f t="shared" si="1228"/>
        <v>Upgraded</v>
      </c>
      <c r="G13848" s="153"/>
      <c r="H13848" s="210">
        <v>1.1115999999999999</v>
      </c>
      <c r="I13848" s="160" t="s">
        <v>167</v>
      </c>
      <c r="J13848" s="160">
        <v>3.4000000000000002E-4</v>
      </c>
      <c r="K13848" s="160" t="s">
        <v>26</v>
      </c>
      <c r="L13848" s="154" t="str">
        <f>IF(OpenLCAbasic!K13848="CTUh", "Fill in Manually",IF(OR(K13848="Unit", K13848=""), "", INDEX(LookUps!$E$5:$E$12, MATCH(OpenLCAbasic!K13848,LookUps!$D$5:$D$12,0))))</f>
        <v>Water Use (WU) - m3 H2O</v>
      </c>
      <c r="M13848" s="154" t="str">
        <f t="shared" si="1229"/>
        <v>Low_High_High_Upgraded_Water Use (WU) - m3 H2O_Waste Receiving and Holding; wastewater treatment unit; at updated plant - US_Without Amendment_Aerated Static Pile</v>
      </c>
    </row>
    <row r="13849" spans="1:13" s="120" customFormat="1" x14ac:dyDescent="0.25">
      <c r="A13849" s="119"/>
      <c r="B13849" s="138" t="str">
        <f t="shared" si="1225"/>
        <v>Aerated Static Pile</v>
      </c>
      <c r="C13849" s="138" t="str">
        <f t="shared" si="1226"/>
        <v>Without Amendment</v>
      </c>
      <c r="D13849" s="138" t="str">
        <f t="shared" si="1224"/>
        <v>High_High</v>
      </c>
      <c r="E13849" s="138" t="str">
        <f t="shared" si="1227"/>
        <v>Low</v>
      </c>
      <c r="F13849" s="138" t="str">
        <f t="shared" si="1228"/>
        <v>Upgraded</v>
      </c>
      <c r="G13849" s="153"/>
      <c r="H13849" s="210">
        <v>0.60829999999999995</v>
      </c>
      <c r="I13849" s="160" t="s">
        <v>147</v>
      </c>
      <c r="J13849" s="160">
        <v>1.8000000000000001E-4</v>
      </c>
      <c r="K13849" s="160" t="s">
        <v>26</v>
      </c>
      <c r="L13849" s="154" t="str">
        <f>IF(OpenLCAbasic!K13849="CTUh", "Fill in Manually",IF(OR(K13849="Unit", K13849=""), "", INDEX(LookUps!$E$5:$E$12, MATCH(OpenLCAbasic!K13849,LookUps!$D$5:$D$12,0))))</f>
        <v>Water Use (WU) - m3 H2O</v>
      </c>
      <c r="M13849" s="154" t="str">
        <f t="shared" si="1229"/>
        <v>Low_High_High_Upgraded_Water Use (WU) - m3 H2O_Influent Pump Station; wastewater treatment unit; at updated plant - US_Without Amendment_Aerated Static Pile</v>
      </c>
    </row>
    <row r="13850" spans="1:13" s="120" customFormat="1" x14ac:dyDescent="0.25">
      <c r="A13850" s="119"/>
      <c r="B13850" s="138" t="str">
        <f t="shared" si="1225"/>
        <v>Aerated Static Pile</v>
      </c>
      <c r="C13850" s="138" t="str">
        <f t="shared" si="1226"/>
        <v>Without Amendment</v>
      </c>
      <c r="D13850" s="138" t="str">
        <f t="shared" si="1224"/>
        <v>High_High</v>
      </c>
      <c r="E13850" s="138" t="str">
        <f t="shared" si="1227"/>
        <v>Low</v>
      </c>
      <c r="F13850" s="138" t="str">
        <f t="shared" si="1228"/>
        <v>Upgraded</v>
      </c>
      <c r="G13850" s="153"/>
      <c r="H13850" s="210">
        <v>0.59350000000000003</v>
      </c>
      <c r="I13850" s="160" t="s">
        <v>54</v>
      </c>
      <c r="J13850" s="160">
        <v>1.8000000000000001E-4</v>
      </c>
      <c r="K13850" s="160" t="s">
        <v>26</v>
      </c>
      <c r="L13850" s="154" t="str">
        <f>IF(OpenLCAbasic!K13850="CTUh", "Fill in Manually",IF(OR(K13850="Unit", K13850=""), "", INDEX(LookUps!$E$5:$E$12, MATCH(OpenLCAbasic!K13850,LookUps!$D$5:$D$12,0))))</f>
        <v>Water Use (WU) - m3 H2O</v>
      </c>
      <c r="M13850" s="154" t="str">
        <f t="shared" si="1229"/>
        <v>Low_High_High_Upgraded_Water Use (WU) - m3 H2O_Clear Cove Primary Clarification; wastewater treatment unit; at updated plant - US_Without Amendment_Aerated Static Pile</v>
      </c>
    </row>
    <row r="13851" spans="1:13" s="120" customFormat="1" x14ac:dyDescent="0.25">
      <c r="A13851" s="119"/>
      <c r="B13851" s="138" t="str">
        <f t="shared" si="1225"/>
        <v>Aerated Static Pile</v>
      </c>
      <c r="C13851" s="138" t="str">
        <f t="shared" si="1226"/>
        <v>Without Amendment</v>
      </c>
      <c r="D13851" s="138" t="str">
        <f t="shared" si="1224"/>
        <v>High_High</v>
      </c>
      <c r="E13851" s="138" t="str">
        <f t="shared" si="1227"/>
        <v>Low</v>
      </c>
      <c r="F13851" s="138" t="str">
        <f t="shared" si="1228"/>
        <v>Upgraded</v>
      </c>
      <c r="G13851" s="153"/>
      <c r="H13851" s="210">
        <v>0.53839999999999999</v>
      </c>
      <c r="I13851" s="160" t="s">
        <v>55</v>
      </c>
      <c r="J13851" s="160">
        <v>1.6000000000000001E-4</v>
      </c>
      <c r="K13851" s="160" t="s">
        <v>26</v>
      </c>
      <c r="L13851" s="154" t="str">
        <f>IF(OpenLCAbasic!K13851="CTUh", "Fill in Manually",IF(OR(K13851="Unit", K13851=""), "", INDEX(LookUps!$E$5:$E$12, MATCH(OpenLCAbasic!K13851,LookUps!$D$5:$D$12,0))))</f>
        <v>Water Use (WU) - m3 H2O</v>
      </c>
      <c r="M13851" s="154" t="str">
        <f t="shared" si="1229"/>
        <v>Low_High_High_Upgraded_Water Use (WU) - m3 H2O_Aeration Tanks; wastewater treatment unit; at updated plant - US_Without Amendment_Aerated Static Pile</v>
      </c>
    </row>
    <row r="13852" spans="1:13" s="120" customFormat="1" x14ac:dyDescent="0.25">
      <c r="A13852" s="119"/>
      <c r="B13852" s="138" t="str">
        <f t="shared" si="1225"/>
        <v>Aerated Static Pile</v>
      </c>
      <c r="C13852" s="138" t="str">
        <f t="shared" si="1226"/>
        <v>Without Amendment</v>
      </c>
      <c r="D13852" s="138" t="str">
        <f t="shared" si="1224"/>
        <v>High_High</v>
      </c>
      <c r="E13852" s="138" t="str">
        <f t="shared" si="1227"/>
        <v>Low</v>
      </c>
      <c r="F13852" s="138" t="str">
        <f t="shared" si="1228"/>
        <v>Upgraded</v>
      </c>
      <c r="G13852" s="153"/>
      <c r="H13852" s="210">
        <v>0.4904</v>
      </c>
      <c r="I13852" s="160" t="s">
        <v>148</v>
      </c>
      <c r="J13852" s="160">
        <v>1.4999999999999999E-4</v>
      </c>
      <c r="K13852" s="160" t="s">
        <v>26</v>
      </c>
      <c r="L13852" s="154" t="str">
        <f>IF(OpenLCAbasic!K13852="CTUh", "Fill in Manually",IF(OR(K13852="Unit", K13852=""), "", INDEX(LookUps!$E$5:$E$12, MATCH(OpenLCAbasic!K13852,LookUps!$D$5:$D$12,0))))</f>
        <v>Water Use (WU) - m3 H2O</v>
      </c>
      <c r="M13852" s="154" t="str">
        <f t="shared" si="1229"/>
        <v>Low_High_High_Upgraded_Water Use (WU) - m3 H2O_Control Building; at upgraded wastewater treatment plant - US_Without Amendment_Aerated Static Pile</v>
      </c>
    </row>
    <row r="13853" spans="1:13" s="120" customFormat="1" x14ac:dyDescent="0.25">
      <c r="A13853" s="119"/>
      <c r="B13853" s="138" t="str">
        <f t="shared" si="1225"/>
        <v>Aerated Static Pile</v>
      </c>
      <c r="C13853" s="138" t="str">
        <f t="shared" si="1226"/>
        <v>Without Amendment</v>
      </c>
      <c r="D13853" s="138" t="str">
        <f t="shared" si="1224"/>
        <v>High_High</v>
      </c>
      <c r="E13853" s="138" t="str">
        <f t="shared" si="1227"/>
        <v>Low</v>
      </c>
      <c r="F13853" s="138" t="str">
        <f t="shared" si="1228"/>
        <v>Upgraded</v>
      </c>
      <c r="G13853" s="153"/>
      <c r="H13853" s="210">
        <v>0.22770000000000001</v>
      </c>
      <c r="I13853" s="160" t="s">
        <v>48</v>
      </c>
      <c r="J13853" s="211">
        <v>6.8836400000000004E-5</v>
      </c>
      <c r="K13853" s="160" t="s">
        <v>26</v>
      </c>
      <c r="L13853" s="154" t="str">
        <f>IF(OpenLCAbasic!K13853="CTUh", "Fill in Manually",IF(OR(K13853="Unit", K13853=""), "", INDEX(LookUps!$E$5:$E$12, MATCH(OpenLCAbasic!K13853,LookUps!$D$5:$D$12,0))))</f>
        <v>Water Use (WU) - m3 H2O</v>
      </c>
      <c r="M13853" s="154" t="str">
        <f t="shared" si="1229"/>
        <v>Low_High_High_Upgraded_Water Use (WU) - m3 H2O_Effluent release; wastewater treatment unit; at surface water; m3 wastewater - US_Without Amendment_Aerated Static Pile</v>
      </c>
    </row>
    <row r="13854" spans="1:13" s="120" customFormat="1" x14ac:dyDescent="0.25">
      <c r="A13854" s="119"/>
      <c r="B13854" s="138" t="str">
        <f t="shared" si="1225"/>
        <v>Aerated Static Pile</v>
      </c>
      <c r="C13854" s="138" t="str">
        <f t="shared" si="1226"/>
        <v>Without Amendment</v>
      </c>
      <c r="D13854" s="138" t="str">
        <f t="shared" si="1224"/>
        <v>High_High</v>
      </c>
      <c r="E13854" s="138" t="str">
        <f t="shared" si="1227"/>
        <v>Low</v>
      </c>
      <c r="F13854" s="138" t="str">
        <f t="shared" si="1228"/>
        <v>Upgraded</v>
      </c>
      <c r="G13854" s="153"/>
      <c r="H13854" s="210">
        <v>0.14319999999999999</v>
      </c>
      <c r="I13854" s="160" t="s">
        <v>58</v>
      </c>
      <c r="J13854" s="211">
        <v>4.3289399999999999E-5</v>
      </c>
      <c r="K13854" s="160" t="s">
        <v>26</v>
      </c>
      <c r="L13854" s="154" t="str">
        <f>IF(OpenLCAbasic!K13854="CTUh", "Fill in Manually",IF(OR(K13854="Unit", K13854=""), "", INDEX(LookUps!$E$5:$E$12, MATCH(OpenLCAbasic!K13854,LookUps!$D$5:$D$12,0))))</f>
        <v>Water Use (WU) - m3 H2O</v>
      </c>
      <c r="M13854" s="154" t="str">
        <f t="shared" si="1229"/>
        <v>Low_High_High_Upgraded_Water Use (WU) - m3 H2O_Pre-Anoxic &amp; Swing tank; wastewater treatment unit; at updated plant - US_Without Amendment_Aerated Static Pile</v>
      </c>
    </row>
    <row r="13855" spans="1:13" s="120" customFormat="1" x14ac:dyDescent="0.25">
      <c r="A13855" s="119"/>
      <c r="B13855" s="138" t="str">
        <f t="shared" si="1225"/>
        <v>Aerated Static Pile</v>
      </c>
      <c r="C13855" s="138" t="str">
        <f t="shared" si="1226"/>
        <v>Without Amendment</v>
      </c>
      <c r="D13855" s="138" t="str">
        <f t="shared" si="1224"/>
        <v>High_High</v>
      </c>
      <c r="E13855" s="138" t="str">
        <f t="shared" si="1227"/>
        <v>Low</v>
      </c>
      <c r="F13855" s="138" t="str">
        <f t="shared" si="1228"/>
        <v>Upgraded</v>
      </c>
      <c r="G13855" s="153"/>
      <c r="H13855" s="210">
        <v>0.13</v>
      </c>
      <c r="I13855" s="160" t="s">
        <v>60</v>
      </c>
      <c r="J13855" s="211">
        <v>3.9294400000000001E-5</v>
      </c>
      <c r="K13855" s="160" t="s">
        <v>26</v>
      </c>
      <c r="L13855" s="154" t="str">
        <f>IF(OpenLCAbasic!K13855="CTUh", "Fill in Manually",IF(OR(K13855="Unit", K13855=""), "", INDEX(LookUps!$E$5:$E$12, MATCH(OpenLCAbasic!K13855,LookUps!$D$5:$D$12,0))))</f>
        <v>Water Use (WU) - m3 H2O</v>
      </c>
      <c r="M13855" s="154" t="str">
        <f t="shared" si="1229"/>
        <v>Low_High_High_Upgraded_Water Use (WU) - m3 H2O_Belt filter press; wastewater treatment unit; at updated plant - US_Without Amendment_Aerated Static Pile</v>
      </c>
    </row>
    <row r="13856" spans="1:13" s="120" customFormat="1" x14ac:dyDescent="0.25">
      <c r="A13856" s="119"/>
      <c r="B13856" s="138" t="str">
        <f t="shared" si="1225"/>
        <v>Aerated Static Pile</v>
      </c>
      <c r="C13856" s="138" t="str">
        <f t="shared" si="1226"/>
        <v>Without Amendment</v>
      </c>
      <c r="D13856" s="138" t="str">
        <f t="shared" si="1224"/>
        <v>High_High</v>
      </c>
      <c r="E13856" s="138" t="str">
        <f t="shared" si="1227"/>
        <v>Low</v>
      </c>
      <c r="F13856" s="138" t="str">
        <f t="shared" si="1228"/>
        <v>Upgraded</v>
      </c>
      <c r="G13856" s="153"/>
      <c r="H13856" s="210">
        <v>0.10059999999999999</v>
      </c>
      <c r="I13856" s="160" t="s">
        <v>57</v>
      </c>
      <c r="J13856" s="211">
        <v>3.0408100000000001E-5</v>
      </c>
      <c r="K13856" s="160" t="s">
        <v>26</v>
      </c>
      <c r="L13856" s="154" t="str">
        <f>IF(OpenLCAbasic!K13856="CTUh", "Fill in Manually",IF(OR(K13856="Unit", K13856=""), "", INDEX(LookUps!$E$5:$E$12, MATCH(OpenLCAbasic!K13856,LookUps!$D$5:$D$12,0))))</f>
        <v>Water Use (WU) - m3 H2O</v>
      </c>
      <c r="M13856" s="154" t="str">
        <f t="shared" si="1229"/>
        <v>Low_High_High_Upgraded_Water Use (WU) - m3 H2O_Gravity Belt Thickener; wastewater treatment unit; at updated plant - US_Without Amendment_Aerated Static Pile</v>
      </c>
    </row>
    <row r="13857" spans="1:13" s="120" customFormat="1" x14ac:dyDescent="0.25">
      <c r="A13857" s="119"/>
      <c r="B13857" s="138" t="str">
        <f t="shared" si="1225"/>
        <v>Aerated Static Pile</v>
      </c>
      <c r="C13857" s="138" t="str">
        <f t="shared" si="1226"/>
        <v>Without Amendment</v>
      </c>
      <c r="D13857" s="138" t="str">
        <f t="shared" ref="D13857:D13863" si="1230">IF(ISNUMBER($J13857),"High_High","")</f>
        <v>High_High</v>
      </c>
      <c r="E13857" s="138" t="str">
        <f t="shared" si="1227"/>
        <v>Low</v>
      </c>
      <c r="F13857" s="138" t="str">
        <f t="shared" si="1228"/>
        <v>Upgraded</v>
      </c>
      <c r="G13857" s="153"/>
      <c r="H13857" s="210">
        <v>5.79E-2</v>
      </c>
      <c r="I13857" s="160" t="s">
        <v>53</v>
      </c>
      <c r="J13857" s="211">
        <v>1.75069E-5</v>
      </c>
      <c r="K13857" s="160" t="s">
        <v>26</v>
      </c>
      <c r="L13857" s="154" t="str">
        <f>IF(OpenLCAbasic!K13857="CTUh", "Fill in Manually",IF(OR(K13857="Unit", K13857=""), "", INDEX(LookUps!$E$5:$E$12, MATCH(OpenLCAbasic!K13857,LookUps!$D$5:$D$12,0))))</f>
        <v>Water Use (WU) - m3 H2O</v>
      </c>
      <c r="M13857" s="154" t="str">
        <f t="shared" si="1229"/>
        <v>Low_High_High_Upgraded_Water Use (WU) - m3 H2O_Wet Well and Sump Station; wastewater treatment unit; at updated plant - US_Without Amendment_Aerated Static Pile</v>
      </c>
    </row>
    <row r="13858" spans="1:13" s="120" customFormat="1" x14ac:dyDescent="0.25">
      <c r="A13858" s="119"/>
      <c r="B13858" s="138" t="str">
        <f t="shared" si="1225"/>
        <v>Aerated Static Pile</v>
      </c>
      <c r="C13858" s="138" t="str">
        <f t="shared" si="1226"/>
        <v>Without Amendment</v>
      </c>
      <c r="D13858" s="138" t="str">
        <f t="shared" si="1230"/>
        <v>High_High</v>
      </c>
      <c r="E13858" s="138" t="str">
        <f t="shared" si="1227"/>
        <v>Low</v>
      </c>
      <c r="F13858" s="138" t="str">
        <f t="shared" si="1228"/>
        <v>Upgraded</v>
      </c>
      <c r="G13858" s="153"/>
      <c r="H13858" s="210">
        <v>3.56E-2</v>
      </c>
      <c r="I13858" s="160" t="s">
        <v>435</v>
      </c>
      <c r="J13858" s="211">
        <v>1.0757900000000001E-5</v>
      </c>
      <c r="K13858" s="160" t="s">
        <v>26</v>
      </c>
      <c r="L13858" s="154" t="str">
        <f>IF(OpenLCAbasic!K13858="CTUh", "Fill in Manually",IF(OR(K13858="Unit", K13858=""), "", INDEX(LookUps!$E$5:$E$12, MATCH(OpenLCAbasic!K13858,LookUps!$D$5:$D$12,0))))</f>
        <v>Water Use (WU) - m3 H2O</v>
      </c>
      <c r="M13858" s="154" t="str">
        <f t="shared" si="1229"/>
        <v>Low_High_High_Upgraded_Water Use (WU) - m3 H2O_Biosolids composting; aerated static pile; wastewater treatment unit; at updated plant - US_Without Amendment_Aerated Static Pile</v>
      </c>
    </row>
    <row r="13859" spans="1:13" s="120" customFormat="1" x14ac:dyDescent="0.25">
      <c r="A13859" s="119"/>
      <c r="B13859" s="138" t="str">
        <f t="shared" si="1225"/>
        <v>Aerated Static Pile</v>
      </c>
      <c r="C13859" s="138" t="str">
        <f t="shared" si="1226"/>
        <v>Without Amendment</v>
      </c>
      <c r="D13859" s="138" t="str">
        <f t="shared" si="1230"/>
        <v>High_High</v>
      </c>
      <c r="E13859" s="138" t="str">
        <f t="shared" si="1227"/>
        <v>Low</v>
      </c>
      <c r="F13859" s="138" t="str">
        <f t="shared" si="1228"/>
        <v>Upgraded</v>
      </c>
      <c r="G13859" s="153"/>
      <c r="H13859" s="210">
        <v>2.3199999999999998E-2</v>
      </c>
      <c r="I13859" s="160" t="s">
        <v>59</v>
      </c>
      <c r="J13859" s="211">
        <v>7.0179500000000003E-6</v>
      </c>
      <c r="K13859" s="160" t="s">
        <v>26</v>
      </c>
      <c r="L13859" s="154" t="str">
        <f>IF(OpenLCAbasic!K13859="CTUh", "Fill in Manually",IF(OR(K13859="Unit", K13859=""), "", INDEX(LookUps!$E$5:$E$12, MATCH(OpenLCAbasic!K13859,LookUps!$D$5:$D$12,0))))</f>
        <v>Water Use (WU) - m3 H2O</v>
      </c>
      <c r="M13859" s="154" t="str">
        <f t="shared" si="1229"/>
        <v>Low_High_High_Upgraded_Water Use (WU) - m3 H2O_Blend Tank; wastewater treatment unit; at updated plant - US_Without Amendment_Aerated Static Pile</v>
      </c>
    </row>
    <row r="13860" spans="1:13" s="120" customFormat="1" x14ac:dyDescent="0.25">
      <c r="A13860" s="119"/>
      <c r="B13860" s="138" t="str">
        <f t="shared" si="1225"/>
        <v>Aerated Static Pile</v>
      </c>
      <c r="C13860" s="138" t="str">
        <f t="shared" si="1226"/>
        <v>Without Amendment</v>
      </c>
      <c r="D13860" s="138" t="str">
        <f t="shared" si="1230"/>
        <v>High_High</v>
      </c>
      <c r="E13860" s="138" t="str">
        <f t="shared" si="1227"/>
        <v>Low</v>
      </c>
      <c r="F13860" s="138" t="str">
        <f t="shared" si="1228"/>
        <v>Upgraded</v>
      </c>
      <c r="G13860" s="153"/>
      <c r="H13860" s="210">
        <v>1.67E-2</v>
      </c>
      <c r="I13860" s="160" t="s">
        <v>128</v>
      </c>
      <c r="J13860" s="211">
        <v>5.0608900000000003E-6</v>
      </c>
      <c r="K13860" s="160" t="s">
        <v>26</v>
      </c>
      <c r="L13860" s="154" t="str">
        <f>IF(OpenLCAbasic!K13860="CTUh", "Fill in Manually",IF(OR(K13860="Unit", K13860=""), "", INDEX(LookUps!$E$5:$E$12, MATCH(OpenLCAbasic!K13860,LookUps!$D$5:$D$12,0))))</f>
        <v>Water Use (WU) - m3 H2O</v>
      </c>
      <c r="M13860" s="154" t="str">
        <f t="shared" si="1229"/>
        <v>Low_High_High_Upgraded_Water Use (WU) - m3 H2O_Wastewater collection; operation and infrastructure; m3 wastewater_Without Amendment_Aerated Static Pile</v>
      </c>
    </row>
    <row r="13861" spans="1:13" s="120" customFormat="1" x14ac:dyDescent="0.25">
      <c r="A13861" s="119"/>
      <c r="B13861" s="138" t="str">
        <f t="shared" si="1225"/>
        <v>Aerated Static Pile</v>
      </c>
      <c r="C13861" s="138" t="str">
        <f t="shared" si="1226"/>
        <v>Without Amendment</v>
      </c>
      <c r="D13861" s="138" t="str">
        <f t="shared" si="1230"/>
        <v>High_High</v>
      </c>
      <c r="E13861" s="138" t="str">
        <f t="shared" si="1227"/>
        <v>Low</v>
      </c>
      <c r="F13861" s="138" t="str">
        <f t="shared" si="1228"/>
        <v>Upgraded</v>
      </c>
      <c r="G13861" s="153"/>
      <c r="H13861" s="210">
        <v>2.5000000000000001E-3</v>
      </c>
      <c r="I13861" s="160" t="s">
        <v>168</v>
      </c>
      <c r="J13861" s="211">
        <v>7.6697000000000004E-7</v>
      </c>
      <c r="K13861" s="160" t="s">
        <v>26</v>
      </c>
      <c r="L13861" s="154" t="str">
        <f>IF(OpenLCAbasic!K13861="CTUh", "Fill in Manually",IF(OR(K13861="Unit", K13861=""), "", INDEX(LookUps!$E$5:$E$12, MATCH(OpenLCAbasic!K13861,LookUps!$D$5:$D$12,0))))</f>
        <v>Water Use (WU) - m3 H2O</v>
      </c>
      <c r="M13861" s="154" t="str">
        <f t="shared" si="1229"/>
        <v>Low_High_High_Upgraded_Water Use (WU) - m3 H2O_ClearCove SCP; wastewater treatment unit; at updated plant - US_Without Amendment_Aerated Static Pile</v>
      </c>
    </row>
    <row r="13862" spans="1:13" s="120" customFormat="1" x14ac:dyDescent="0.25">
      <c r="A13862" s="119"/>
      <c r="B13862" s="138" t="str">
        <f t="shared" si="1225"/>
        <v>Aerated Static Pile</v>
      </c>
      <c r="C13862" s="138" t="str">
        <f t="shared" si="1226"/>
        <v>Without Amendment</v>
      </c>
      <c r="D13862" s="138" t="str">
        <f t="shared" si="1230"/>
        <v>High_High</v>
      </c>
      <c r="E13862" s="138" t="str">
        <f t="shared" si="1227"/>
        <v>Low</v>
      </c>
      <c r="F13862" s="138" t="str">
        <f t="shared" si="1228"/>
        <v>Upgraded</v>
      </c>
      <c r="G13862" s="153"/>
      <c r="H13862" s="210">
        <v>-0.89090000000000003</v>
      </c>
      <c r="I13862" s="160" t="s">
        <v>149</v>
      </c>
      <c r="J13862" s="160">
        <v>-2.7E-4</v>
      </c>
      <c r="K13862" s="160" t="s">
        <v>26</v>
      </c>
      <c r="L13862" s="154" t="str">
        <f>IF(OpenLCAbasic!K13862="CTUh", "Fill in Manually",IF(OR(K13862="Unit", K13862=""), "", INDEX(LookUps!$E$5:$E$12, MATCH(OpenLCAbasic!K13862,LookUps!$D$5:$D$12,0))))</f>
        <v>Water Use (WU) - m3 H2O</v>
      </c>
      <c r="M13862" s="154" t="str">
        <f t="shared" si="1229"/>
        <v>Low_High_High_Upgraded_Water Use (WU) - m3 H2O_Anaerobic Digestion; wastewater treatment unit; at updated plant - US_Without Amendment_Aerated Static Pile</v>
      </c>
    </row>
    <row r="13863" spans="1:13" s="120" customFormat="1" x14ac:dyDescent="0.25">
      <c r="A13863" s="119"/>
      <c r="B13863" s="138" t="str">
        <f t="shared" si="1225"/>
        <v>Aerated Static Pile</v>
      </c>
      <c r="C13863" s="138" t="str">
        <f t="shared" si="1226"/>
        <v>Without Amendment</v>
      </c>
      <c r="D13863" s="138" t="str">
        <f t="shared" si="1230"/>
        <v>High_High</v>
      </c>
      <c r="E13863" s="138" t="str">
        <f t="shared" si="1227"/>
        <v>Low</v>
      </c>
      <c r="F13863" s="138" t="str">
        <f t="shared" si="1228"/>
        <v>Upgraded</v>
      </c>
      <c r="G13863" s="153"/>
      <c r="H13863" s="210">
        <v>-4.1889000000000003</v>
      </c>
      <c r="I13863" s="160" t="s">
        <v>62</v>
      </c>
      <c r="J13863" s="160">
        <v>-1.2700000000000001E-3</v>
      </c>
      <c r="K13863" s="160" t="s">
        <v>26</v>
      </c>
      <c r="L13863" s="154" t="str">
        <f>IF(OpenLCAbasic!K13863="CTUh", "Fill in Manually",IF(OR(K13863="Unit", K13863=""), "", INDEX(LookUps!$E$5:$E$12, MATCH(OpenLCAbasic!K13863,LookUps!$D$5:$D$12,0))))</f>
        <v>Water Use (WU) - m3 H2O</v>
      </c>
      <c r="M13863" s="154" t="str">
        <f t="shared" si="1229"/>
        <v>Low_High_High_Upgraded_Water Use (WU) - m3 H2O_Land application of compost; wastewater treatment unit; at updated plant - US_Without Amendment_Aerated Static Pile</v>
      </c>
    </row>
    <row r="13864" spans="1:13" s="120" customFormat="1" x14ac:dyDescent="0.25">
      <c r="A13864" s="119"/>
      <c r="B13864" s="138" t="str">
        <f t="shared" si="1225"/>
        <v/>
      </c>
      <c r="C13864" s="138" t="str">
        <f t="shared" si="1226"/>
        <v/>
      </c>
      <c r="D13864" s="138" t="str">
        <f>IF(ISNUMBER($J13864),"Base_Low","")</f>
        <v/>
      </c>
      <c r="E13864" s="138" t="str">
        <f>IF(ISNUMBER($J13864),"High","")</f>
        <v/>
      </c>
      <c r="F13864" s="138" t="str">
        <f t="shared" si="1228"/>
        <v/>
      </c>
      <c r="G13864" s="153" t="s">
        <v>51</v>
      </c>
      <c r="H13864" s="160"/>
      <c r="I13864" s="160" t="s">
        <v>47</v>
      </c>
      <c r="J13864" s="160" t="s">
        <v>52</v>
      </c>
      <c r="K13864" s="160" t="s">
        <v>27</v>
      </c>
      <c r="L13864" s="154" t="str">
        <f>IF(OpenLCAbasic!K13864="CTUh", "Fill in Manually",IF(OR(K13864="Unit", K13864=""), "", INDEX(LookUps!$E$5:$E$12, MATCH(OpenLCAbasic!K13864,LookUps!$D$5:$D$12,0))))</f>
        <v/>
      </c>
      <c r="M13864" s="154" t="str">
        <f t="shared" si="1229"/>
        <v>____Process__</v>
      </c>
    </row>
    <row r="13865" spans="1:13" s="120" customFormat="1" x14ac:dyDescent="0.25">
      <c r="A13865" s="119"/>
      <c r="B13865" s="138" t="str">
        <f t="shared" ref="B13865:B13928" si="1231">IF(F13865="Legacy","n.a.",IF(F13865="","","Aerated Static Pile"))</f>
        <v>Aerated Static Pile</v>
      </c>
      <c r="C13865" s="138" t="str">
        <f t="shared" ref="C13865:C13928" si="1232">IF(ISNUMBER($J13865),"Without Amendment","")</f>
        <v>Without Amendment</v>
      </c>
      <c r="D13865" s="138" t="str">
        <f t="shared" ref="D13865:D13928" si="1233">IF(ISNUMBER($J13865),"Base_Low","")</f>
        <v>Base_Low</v>
      </c>
      <c r="E13865" s="138" t="str">
        <f t="shared" ref="E13865:E13928" si="1234">IF(ISNUMBER($J13865),"High","")</f>
        <v>High</v>
      </c>
      <c r="F13865" s="138" t="str">
        <f t="shared" ref="F13865:F13928" si="1235">IF(ISNUMBER(J13865),"Upgraded","")</f>
        <v>Upgraded</v>
      </c>
      <c r="G13865" s="153"/>
      <c r="H13865" s="210">
        <v>0.38350000000000001</v>
      </c>
      <c r="I13865" s="160" t="s">
        <v>55</v>
      </c>
      <c r="J13865" s="160">
        <v>1.7219999999999999E-2</v>
      </c>
      <c r="K13865" s="160" t="s">
        <v>24</v>
      </c>
      <c r="L13865" s="154" t="str">
        <f>IF(OpenLCAbasic!K13865="CTUh", "Fill in Manually",IF(OR(K13865="Unit", K13865=""), "", INDEX(LookUps!$E$5:$E$12, MATCH(OpenLCAbasic!K13865,LookUps!$D$5:$D$12,0))))</f>
        <v>Acidification Potential (AP) - kg SO2 eq</v>
      </c>
      <c r="M13865" s="154" t="str">
        <f t="shared" si="1229"/>
        <v>High_Base_Low_Upgraded_Acidification Potential (AP) - kg SO2 eq_Aeration Tanks; wastewater treatment unit; at updated plant - US_Without Amendment_Aerated Static Pile</v>
      </c>
    </row>
    <row r="13866" spans="1:13" s="120" customFormat="1" x14ac:dyDescent="0.25">
      <c r="A13866" s="119"/>
      <c r="B13866" s="138" t="str">
        <f t="shared" si="1231"/>
        <v>Aerated Static Pile</v>
      </c>
      <c r="C13866" s="138" t="str">
        <f t="shared" si="1232"/>
        <v>Without Amendment</v>
      </c>
      <c r="D13866" s="138" t="str">
        <f t="shared" si="1233"/>
        <v>Base_Low</v>
      </c>
      <c r="E13866" s="138" t="str">
        <f t="shared" si="1234"/>
        <v>High</v>
      </c>
      <c r="F13866" s="138" t="str">
        <f t="shared" si="1235"/>
        <v>Upgraded</v>
      </c>
      <c r="G13866" s="153"/>
      <c r="H13866" s="210">
        <v>0.1109</v>
      </c>
      <c r="I13866" s="160" t="s">
        <v>54</v>
      </c>
      <c r="J13866" s="160">
        <v>4.9800000000000001E-3</v>
      </c>
      <c r="K13866" s="160" t="s">
        <v>24</v>
      </c>
      <c r="L13866" s="154" t="str">
        <f>IF(OpenLCAbasic!K13866="CTUh", "Fill in Manually",IF(OR(K13866="Unit", K13866=""), "", INDEX(LookUps!$E$5:$E$12, MATCH(OpenLCAbasic!K13866,LookUps!$D$5:$D$12,0))))</f>
        <v>Acidification Potential (AP) - kg SO2 eq</v>
      </c>
      <c r="M13866" s="154" t="str">
        <f t="shared" si="1229"/>
        <v>High_Base_Low_Upgraded_Acidification Potential (AP) - kg SO2 eq_Clear Cove Primary Clarification; wastewater treatment unit; at updated plant - US_Without Amendment_Aerated Static Pile</v>
      </c>
    </row>
    <row r="13867" spans="1:13" s="120" customFormat="1" x14ac:dyDescent="0.25">
      <c r="A13867" s="119"/>
      <c r="B13867" s="138" t="str">
        <f t="shared" si="1231"/>
        <v>Aerated Static Pile</v>
      </c>
      <c r="C13867" s="138" t="str">
        <f t="shared" si="1232"/>
        <v>Without Amendment</v>
      </c>
      <c r="D13867" s="138" t="str">
        <f t="shared" si="1233"/>
        <v>Base_Low</v>
      </c>
      <c r="E13867" s="138" t="str">
        <f t="shared" si="1234"/>
        <v>High</v>
      </c>
      <c r="F13867" s="138" t="str">
        <f t="shared" si="1235"/>
        <v>Upgraded</v>
      </c>
      <c r="G13867" s="153"/>
      <c r="H13867" s="210">
        <v>9.6500000000000002E-2</v>
      </c>
      <c r="I13867" s="160" t="s">
        <v>58</v>
      </c>
      <c r="J13867" s="160">
        <v>4.3299999999999996E-3</v>
      </c>
      <c r="K13867" s="160" t="s">
        <v>24</v>
      </c>
      <c r="L13867" s="154" t="str">
        <f>IF(OpenLCAbasic!K13867="CTUh", "Fill in Manually",IF(OR(K13867="Unit", K13867=""), "", INDEX(LookUps!$E$5:$E$12, MATCH(OpenLCAbasic!K13867,LookUps!$D$5:$D$12,0))))</f>
        <v>Acidification Potential (AP) - kg SO2 eq</v>
      </c>
      <c r="M13867" s="154" t="str">
        <f t="shared" si="1229"/>
        <v>High_Base_Low_Upgraded_Acidification Potential (AP) - kg SO2 eq_Pre-Anoxic &amp; Swing tank; wastewater treatment unit; at updated plant - US_Without Amendment_Aerated Static Pile</v>
      </c>
    </row>
    <row r="13868" spans="1:13" s="120" customFormat="1" x14ac:dyDescent="0.25">
      <c r="A13868" s="119"/>
      <c r="B13868" s="138" t="str">
        <f t="shared" si="1231"/>
        <v>Aerated Static Pile</v>
      </c>
      <c r="C13868" s="138" t="str">
        <f t="shared" si="1232"/>
        <v>Without Amendment</v>
      </c>
      <c r="D13868" s="138" t="str">
        <f t="shared" si="1233"/>
        <v>Base_Low</v>
      </c>
      <c r="E13868" s="138" t="str">
        <f t="shared" si="1234"/>
        <v>High</v>
      </c>
      <c r="F13868" s="138" t="str">
        <f t="shared" si="1235"/>
        <v>Upgraded</v>
      </c>
      <c r="G13868" s="153"/>
      <c r="H13868" s="210">
        <v>7.6899999999999996E-2</v>
      </c>
      <c r="I13868" s="160" t="s">
        <v>53</v>
      </c>
      <c r="J13868" s="160">
        <v>3.4499999999999999E-3</v>
      </c>
      <c r="K13868" s="160" t="s">
        <v>24</v>
      </c>
      <c r="L13868" s="154" t="str">
        <f>IF(OpenLCAbasic!K13868="CTUh", "Fill in Manually",IF(OR(K13868="Unit", K13868=""), "", INDEX(LookUps!$E$5:$E$12, MATCH(OpenLCAbasic!K13868,LookUps!$D$5:$D$12,0))))</f>
        <v>Acidification Potential (AP) - kg SO2 eq</v>
      </c>
      <c r="M13868" s="154" t="str">
        <f t="shared" si="1229"/>
        <v>High_Base_Low_Upgraded_Acidification Potential (AP) - kg SO2 eq_Wet Well and Sump Station; wastewater treatment unit; at updated plant - US_Without Amendment_Aerated Static Pile</v>
      </c>
    </row>
    <row r="13869" spans="1:13" s="120" customFormat="1" x14ac:dyDescent="0.25">
      <c r="A13869" s="119"/>
      <c r="B13869" s="138" t="str">
        <f t="shared" si="1231"/>
        <v>Aerated Static Pile</v>
      </c>
      <c r="C13869" s="138" t="str">
        <f t="shared" si="1232"/>
        <v>Without Amendment</v>
      </c>
      <c r="D13869" s="138" t="str">
        <f t="shared" si="1233"/>
        <v>Base_Low</v>
      </c>
      <c r="E13869" s="138" t="str">
        <f t="shared" si="1234"/>
        <v>High</v>
      </c>
      <c r="F13869" s="138" t="str">
        <f t="shared" si="1235"/>
        <v>Upgraded</v>
      </c>
      <c r="G13869" s="153"/>
      <c r="H13869" s="210">
        <v>5.7799999999999997E-2</v>
      </c>
      <c r="I13869" s="160" t="s">
        <v>149</v>
      </c>
      <c r="J13869" s="160">
        <v>2.5999999999999999E-3</v>
      </c>
      <c r="K13869" s="160" t="s">
        <v>24</v>
      </c>
      <c r="L13869" s="154" t="str">
        <f>IF(OpenLCAbasic!K13869="CTUh", "Fill in Manually",IF(OR(K13869="Unit", K13869=""), "", INDEX(LookUps!$E$5:$E$12, MATCH(OpenLCAbasic!K13869,LookUps!$D$5:$D$12,0))))</f>
        <v>Acidification Potential (AP) - kg SO2 eq</v>
      </c>
      <c r="M13869" s="154" t="str">
        <f t="shared" si="1229"/>
        <v>High_Base_Low_Upgraded_Acidification Potential (AP) - kg SO2 eq_Anaerobic Digestion; wastewater treatment unit; at updated plant - US_Without Amendment_Aerated Static Pile</v>
      </c>
    </row>
    <row r="13870" spans="1:13" s="120" customFormat="1" x14ac:dyDescent="0.25">
      <c r="A13870" s="119"/>
      <c r="B13870" s="138" t="str">
        <f t="shared" si="1231"/>
        <v>Aerated Static Pile</v>
      </c>
      <c r="C13870" s="138" t="str">
        <f t="shared" si="1232"/>
        <v>Without Amendment</v>
      </c>
      <c r="D13870" s="138" t="str">
        <f t="shared" si="1233"/>
        <v>Base_Low</v>
      </c>
      <c r="E13870" s="138" t="str">
        <f t="shared" si="1234"/>
        <v>High</v>
      </c>
      <c r="F13870" s="138" t="str">
        <f t="shared" si="1235"/>
        <v>Upgraded</v>
      </c>
      <c r="G13870" s="153"/>
      <c r="H13870" s="210">
        <v>5.2900000000000003E-2</v>
      </c>
      <c r="I13870" s="160" t="s">
        <v>167</v>
      </c>
      <c r="J13870" s="160">
        <v>2.3800000000000002E-3</v>
      </c>
      <c r="K13870" s="160" t="s">
        <v>24</v>
      </c>
      <c r="L13870" s="154" t="str">
        <f>IF(OpenLCAbasic!K13870="CTUh", "Fill in Manually",IF(OR(K13870="Unit", K13870=""), "", INDEX(LookUps!$E$5:$E$12, MATCH(OpenLCAbasic!K13870,LookUps!$D$5:$D$12,0))))</f>
        <v>Acidification Potential (AP) - kg SO2 eq</v>
      </c>
      <c r="M13870" s="154" t="str">
        <f t="shared" si="1229"/>
        <v>High_Base_Low_Upgraded_Acidification Potential (AP) - kg SO2 eq_Waste Receiving and Holding; wastewater treatment unit; at updated plant - US_Without Amendment_Aerated Static Pile</v>
      </c>
    </row>
    <row r="13871" spans="1:13" s="120" customFormat="1" x14ac:dyDescent="0.25">
      <c r="A13871" s="119"/>
      <c r="B13871" s="138" t="str">
        <f t="shared" si="1231"/>
        <v>Aerated Static Pile</v>
      </c>
      <c r="C13871" s="138" t="str">
        <f t="shared" si="1232"/>
        <v>Without Amendment</v>
      </c>
      <c r="D13871" s="138" t="str">
        <f t="shared" si="1233"/>
        <v>Base_Low</v>
      </c>
      <c r="E13871" s="138" t="str">
        <f t="shared" si="1234"/>
        <v>High</v>
      </c>
      <c r="F13871" s="138" t="str">
        <f t="shared" si="1235"/>
        <v>Upgraded</v>
      </c>
      <c r="G13871" s="153"/>
      <c r="H13871" s="210">
        <v>4.9500000000000002E-2</v>
      </c>
      <c r="I13871" s="160" t="s">
        <v>435</v>
      </c>
      <c r="J13871" s="160">
        <v>2.2200000000000002E-3</v>
      </c>
      <c r="K13871" s="160" t="s">
        <v>24</v>
      </c>
      <c r="L13871" s="154" t="str">
        <f>IF(OpenLCAbasic!K13871="CTUh", "Fill in Manually",IF(OR(K13871="Unit", K13871=""), "", INDEX(LookUps!$E$5:$E$12, MATCH(OpenLCAbasic!K13871,LookUps!$D$5:$D$12,0))))</f>
        <v>Acidification Potential (AP) - kg SO2 eq</v>
      </c>
      <c r="M13871" s="154" t="str">
        <f t="shared" si="1229"/>
        <v>High_Base_Low_Upgraded_Acidification Potential (AP) - kg SO2 eq_Biosolids composting; aerated static pile; wastewater treatment unit; at updated plant - US_Without Amendment_Aerated Static Pile</v>
      </c>
    </row>
    <row r="13872" spans="1:13" s="120" customFormat="1" x14ac:dyDescent="0.25">
      <c r="A13872" s="119"/>
      <c r="B13872" s="138" t="str">
        <f t="shared" si="1231"/>
        <v>Aerated Static Pile</v>
      </c>
      <c r="C13872" s="138" t="str">
        <f t="shared" si="1232"/>
        <v>Without Amendment</v>
      </c>
      <c r="D13872" s="138" t="str">
        <f t="shared" si="1233"/>
        <v>Base_Low</v>
      </c>
      <c r="E13872" s="138" t="str">
        <f t="shared" si="1234"/>
        <v>High</v>
      </c>
      <c r="F13872" s="138" t="str">
        <f t="shared" si="1235"/>
        <v>Upgraded</v>
      </c>
      <c r="G13872" s="153"/>
      <c r="H13872" s="210">
        <v>4.6100000000000002E-2</v>
      </c>
      <c r="I13872" s="160" t="s">
        <v>147</v>
      </c>
      <c r="J13872" s="160">
        <v>2.0699999999999998E-3</v>
      </c>
      <c r="K13872" s="160" t="s">
        <v>24</v>
      </c>
      <c r="L13872" s="154" t="str">
        <f>IF(OpenLCAbasic!K13872="CTUh", "Fill in Manually",IF(OR(K13872="Unit", K13872=""), "", INDEX(LookUps!$E$5:$E$12, MATCH(OpenLCAbasic!K13872,LookUps!$D$5:$D$12,0))))</f>
        <v>Acidification Potential (AP) - kg SO2 eq</v>
      </c>
      <c r="M13872" s="154" t="str">
        <f t="shared" si="1229"/>
        <v>High_Base_Low_Upgraded_Acidification Potential (AP) - kg SO2 eq_Influent Pump Station; wastewater treatment unit; at updated plant - US_Without Amendment_Aerated Static Pile</v>
      </c>
    </row>
    <row r="13873" spans="1:13" s="120" customFormat="1" x14ac:dyDescent="0.25">
      <c r="A13873" s="119"/>
      <c r="B13873" s="138" t="str">
        <f t="shared" si="1231"/>
        <v>Aerated Static Pile</v>
      </c>
      <c r="C13873" s="138" t="str">
        <f t="shared" si="1232"/>
        <v>Without Amendment</v>
      </c>
      <c r="D13873" s="138" t="str">
        <f t="shared" si="1233"/>
        <v>Base_Low</v>
      </c>
      <c r="E13873" s="138" t="str">
        <f t="shared" si="1234"/>
        <v>High</v>
      </c>
      <c r="F13873" s="138" t="str">
        <f t="shared" si="1235"/>
        <v>Upgraded</v>
      </c>
      <c r="G13873" s="153"/>
      <c r="H13873" s="210">
        <v>3.7900000000000003E-2</v>
      </c>
      <c r="I13873" s="160" t="s">
        <v>62</v>
      </c>
      <c r="J13873" s="160">
        <v>1.6999999999999999E-3</v>
      </c>
      <c r="K13873" s="160" t="s">
        <v>24</v>
      </c>
      <c r="L13873" s="154" t="str">
        <f>IF(OpenLCAbasic!K13873="CTUh", "Fill in Manually",IF(OR(K13873="Unit", K13873=""), "", INDEX(LookUps!$E$5:$E$12, MATCH(OpenLCAbasic!K13873,LookUps!$D$5:$D$12,0))))</f>
        <v>Acidification Potential (AP) - kg SO2 eq</v>
      </c>
      <c r="M13873" s="154" t="str">
        <f t="shared" si="1229"/>
        <v>High_Base_Low_Upgraded_Acidification Potential (AP) - kg SO2 eq_Land application of compost; wastewater treatment unit; at updated plant - US_Without Amendment_Aerated Static Pile</v>
      </c>
    </row>
    <row r="13874" spans="1:13" s="120" customFormat="1" x14ac:dyDescent="0.25">
      <c r="A13874" s="119"/>
      <c r="B13874" s="138" t="str">
        <f t="shared" si="1231"/>
        <v>Aerated Static Pile</v>
      </c>
      <c r="C13874" s="138" t="str">
        <f t="shared" si="1232"/>
        <v>Without Amendment</v>
      </c>
      <c r="D13874" s="138" t="str">
        <f t="shared" si="1233"/>
        <v>Base_Low</v>
      </c>
      <c r="E13874" s="138" t="str">
        <f t="shared" si="1234"/>
        <v>High</v>
      </c>
      <c r="F13874" s="138" t="str">
        <f t="shared" si="1235"/>
        <v>Upgraded</v>
      </c>
      <c r="G13874" s="153"/>
      <c r="H13874" s="210">
        <v>2.75E-2</v>
      </c>
      <c r="I13874" s="160" t="s">
        <v>128</v>
      </c>
      <c r="J13874" s="160">
        <v>1.23E-3</v>
      </c>
      <c r="K13874" s="160" t="s">
        <v>24</v>
      </c>
      <c r="L13874" s="154" t="str">
        <f>IF(OpenLCAbasic!K13874="CTUh", "Fill in Manually",IF(OR(K13874="Unit", K13874=""), "", INDEX(LookUps!$E$5:$E$12, MATCH(OpenLCAbasic!K13874,LookUps!$D$5:$D$12,0))))</f>
        <v>Acidification Potential (AP) - kg SO2 eq</v>
      </c>
      <c r="M13874" s="154" t="str">
        <f t="shared" si="1229"/>
        <v>High_Base_Low_Upgraded_Acidification Potential (AP) - kg SO2 eq_Wastewater collection; operation and infrastructure; m3 wastewater_Without Amendment_Aerated Static Pile</v>
      </c>
    </row>
    <row r="13875" spans="1:13" s="120" customFormat="1" x14ac:dyDescent="0.25">
      <c r="A13875" s="119"/>
      <c r="B13875" s="138" t="str">
        <f t="shared" si="1231"/>
        <v>Aerated Static Pile</v>
      </c>
      <c r="C13875" s="138" t="str">
        <f t="shared" si="1232"/>
        <v>Without Amendment</v>
      </c>
      <c r="D13875" s="138" t="str">
        <f t="shared" si="1233"/>
        <v>Base_Low</v>
      </c>
      <c r="E13875" s="138" t="str">
        <f t="shared" si="1234"/>
        <v>High</v>
      </c>
      <c r="F13875" s="138" t="str">
        <f t="shared" si="1235"/>
        <v>Upgraded</v>
      </c>
      <c r="G13875" s="153"/>
      <c r="H13875" s="210">
        <v>1.9099999999999999E-2</v>
      </c>
      <c r="I13875" s="160" t="s">
        <v>60</v>
      </c>
      <c r="J13875" s="160">
        <v>8.5999999999999998E-4</v>
      </c>
      <c r="K13875" s="160" t="s">
        <v>24</v>
      </c>
      <c r="L13875" s="154" t="str">
        <f>IF(OpenLCAbasic!K13875="CTUh", "Fill in Manually",IF(OR(K13875="Unit", K13875=""), "", INDEX(LookUps!$E$5:$E$12, MATCH(OpenLCAbasic!K13875,LookUps!$D$5:$D$12,0))))</f>
        <v>Acidification Potential (AP) - kg SO2 eq</v>
      </c>
      <c r="M13875" s="154" t="str">
        <f t="shared" si="1229"/>
        <v>High_Base_Low_Upgraded_Acidification Potential (AP) - kg SO2 eq_Belt filter press; wastewater treatment unit; at updated plant - US_Without Amendment_Aerated Static Pile</v>
      </c>
    </row>
    <row r="13876" spans="1:13" s="120" customFormat="1" x14ac:dyDescent="0.25">
      <c r="A13876" s="119"/>
      <c r="B13876" s="138" t="str">
        <f t="shared" si="1231"/>
        <v>Aerated Static Pile</v>
      </c>
      <c r="C13876" s="138" t="str">
        <f t="shared" si="1232"/>
        <v>Without Amendment</v>
      </c>
      <c r="D13876" s="138" t="str">
        <f t="shared" si="1233"/>
        <v>Base_Low</v>
      </c>
      <c r="E13876" s="138" t="str">
        <f t="shared" si="1234"/>
        <v>High</v>
      </c>
      <c r="F13876" s="138" t="str">
        <f t="shared" si="1235"/>
        <v>Upgraded</v>
      </c>
      <c r="G13876" s="153"/>
      <c r="H13876" s="210">
        <v>1.5699999999999999E-2</v>
      </c>
      <c r="I13876" s="160" t="s">
        <v>57</v>
      </c>
      <c r="J13876" s="160">
        <v>6.9999999999999999E-4</v>
      </c>
      <c r="K13876" s="160" t="s">
        <v>24</v>
      </c>
      <c r="L13876" s="154" t="str">
        <f>IF(OpenLCAbasic!K13876="CTUh", "Fill in Manually",IF(OR(K13876="Unit", K13876=""), "", INDEX(LookUps!$E$5:$E$12, MATCH(OpenLCAbasic!K13876,LookUps!$D$5:$D$12,0))))</f>
        <v>Acidification Potential (AP) - kg SO2 eq</v>
      </c>
      <c r="M13876" s="154" t="str">
        <f t="shared" si="1229"/>
        <v>High_Base_Low_Upgraded_Acidification Potential (AP) - kg SO2 eq_Gravity Belt Thickener; wastewater treatment unit; at updated plant - US_Without Amendment_Aerated Static Pile</v>
      </c>
    </row>
    <row r="13877" spans="1:13" s="120" customFormat="1" x14ac:dyDescent="0.25">
      <c r="A13877" s="119"/>
      <c r="B13877" s="138" t="str">
        <f t="shared" si="1231"/>
        <v>Aerated Static Pile</v>
      </c>
      <c r="C13877" s="138" t="str">
        <f t="shared" si="1232"/>
        <v>Without Amendment</v>
      </c>
      <c r="D13877" s="138" t="str">
        <f t="shared" si="1233"/>
        <v>Base_Low</v>
      </c>
      <c r="E13877" s="138" t="str">
        <f t="shared" si="1234"/>
        <v>High</v>
      </c>
      <c r="F13877" s="138" t="str">
        <f t="shared" si="1235"/>
        <v>Upgraded</v>
      </c>
      <c r="G13877" s="153"/>
      <c r="H13877" s="210">
        <v>1.15E-2</v>
      </c>
      <c r="I13877" s="160" t="s">
        <v>59</v>
      </c>
      <c r="J13877" s="160">
        <v>5.1999999999999995E-4</v>
      </c>
      <c r="K13877" s="160" t="s">
        <v>24</v>
      </c>
      <c r="L13877" s="154" t="str">
        <f>IF(OpenLCAbasic!K13877="CTUh", "Fill in Manually",IF(OR(K13877="Unit", K13877=""), "", INDEX(LookUps!$E$5:$E$12, MATCH(OpenLCAbasic!K13877,LookUps!$D$5:$D$12,0))))</f>
        <v>Acidification Potential (AP) - kg SO2 eq</v>
      </c>
      <c r="M13877" s="154" t="str">
        <f t="shared" si="1229"/>
        <v>High_Base_Low_Upgraded_Acidification Potential (AP) - kg SO2 eq_Blend Tank; wastewater treatment unit; at updated plant - US_Without Amendment_Aerated Static Pile</v>
      </c>
    </row>
    <row r="13878" spans="1:13" s="120" customFormat="1" x14ac:dyDescent="0.25">
      <c r="A13878" s="119"/>
      <c r="B13878" s="138" t="str">
        <f t="shared" si="1231"/>
        <v>Aerated Static Pile</v>
      </c>
      <c r="C13878" s="138" t="str">
        <f t="shared" si="1232"/>
        <v>Without Amendment</v>
      </c>
      <c r="D13878" s="138" t="str">
        <f t="shared" si="1233"/>
        <v>Base_Low</v>
      </c>
      <c r="E13878" s="138" t="str">
        <f t="shared" si="1234"/>
        <v>High</v>
      </c>
      <c r="F13878" s="138" t="str">
        <f t="shared" si="1235"/>
        <v>Upgraded</v>
      </c>
      <c r="G13878" s="153"/>
      <c r="H13878" s="210">
        <v>7.7000000000000002E-3</v>
      </c>
      <c r="I13878" s="160" t="s">
        <v>48</v>
      </c>
      <c r="J13878" s="160">
        <v>3.5E-4</v>
      </c>
      <c r="K13878" s="160" t="s">
        <v>24</v>
      </c>
      <c r="L13878" s="154" t="str">
        <f>IF(OpenLCAbasic!K13878="CTUh", "Fill in Manually",IF(OR(K13878="Unit", K13878=""), "", INDEX(LookUps!$E$5:$E$12, MATCH(OpenLCAbasic!K13878,LookUps!$D$5:$D$12,0))))</f>
        <v>Acidification Potential (AP) - kg SO2 eq</v>
      </c>
      <c r="M13878" s="154" t="str">
        <f t="shared" si="1229"/>
        <v>High_Base_Low_Upgraded_Acidification Potential (AP) - kg SO2 eq_Effluent release; wastewater treatment unit; at surface water; m3 wastewater - US_Without Amendment_Aerated Static Pile</v>
      </c>
    </row>
    <row r="13879" spans="1:13" s="120" customFormat="1" x14ac:dyDescent="0.25">
      <c r="A13879" s="119"/>
      <c r="B13879" s="138" t="str">
        <f t="shared" si="1231"/>
        <v>Aerated Static Pile</v>
      </c>
      <c r="C13879" s="138" t="str">
        <f t="shared" si="1232"/>
        <v>Without Amendment</v>
      </c>
      <c r="D13879" s="138" t="str">
        <f t="shared" si="1233"/>
        <v>Base_Low</v>
      </c>
      <c r="E13879" s="138" t="str">
        <f t="shared" si="1234"/>
        <v>High</v>
      </c>
      <c r="F13879" s="138" t="str">
        <f t="shared" si="1235"/>
        <v>Upgraded</v>
      </c>
      <c r="G13879" s="153"/>
      <c r="H13879" s="210">
        <v>5.7000000000000002E-3</v>
      </c>
      <c r="I13879" s="160" t="s">
        <v>168</v>
      </c>
      <c r="J13879" s="160">
        <v>2.5999999999999998E-4</v>
      </c>
      <c r="K13879" s="160" t="s">
        <v>24</v>
      </c>
      <c r="L13879" s="154" t="str">
        <f>IF(OpenLCAbasic!K13879="CTUh", "Fill in Manually",IF(OR(K13879="Unit", K13879=""), "", INDEX(LookUps!$E$5:$E$12, MATCH(OpenLCAbasic!K13879,LookUps!$D$5:$D$12,0))))</f>
        <v>Acidification Potential (AP) - kg SO2 eq</v>
      </c>
      <c r="M13879" s="154" t="str">
        <f t="shared" si="1229"/>
        <v>High_Base_Low_Upgraded_Acidification Potential (AP) - kg SO2 eq_ClearCove SCP; wastewater treatment unit; at updated plant - US_Without Amendment_Aerated Static Pile</v>
      </c>
    </row>
    <row r="13880" spans="1:13" s="120" customFormat="1" x14ac:dyDescent="0.25">
      <c r="A13880" s="119"/>
      <c r="B13880" s="138" t="str">
        <f t="shared" si="1231"/>
        <v>Aerated Static Pile</v>
      </c>
      <c r="C13880" s="138" t="str">
        <f t="shared" si="1232"/>
        <v>Without Amendment</v>
      </c>
      <c r="D13880" s="138" t="str">
        <f t="shared" si="1233"/>
        <v>Base_Low</v>
      </c>
      <c r="E13880" s="138" t="str">
        <f t="shared" si="1234"/>
        <v>High</v>
      </c>
      <c r="F13880" s="138" t="str">
        <f t="shared" si="1235"/>
        <v>Upgraded</v>
      </c>
      <c r="G13880" s="153"/>
      <c r="H13880" s="210">
        <v>8.9999999999999998E-4</v>
      </c>
      <c r="I13880" s="160" t="s">
        <v>148</v>
      </c>
      <c r="J13880" s="211">
        <v>4.0354700000000002E-5</v>
      </c>
      <c r="K13880" s="160" t="s">
        <v>24</v>
      </c>
      <c r="L13880" s="154" t="str">
        <f>IF(OpenLCAbasic!K13880="CTUh", "Fill in Manually",IF(OR(K13880="Unit", K13880=""), "", INDEX(LookUps!$E$5:$E$12, MATCH(OpenLCAbasic!K13880,LookUps!$D$5:$D$12,0))))</f>
        <v>Acidification Potential (AP) - kg SO2 eq</v>
      </c>
      <c r="M13880" s="154" t="str">
        <f t="shared" si="1229"/>
        <v>High_Base_Low_Upgraded_Acidification Potential (AP) - kg SO2 eq_Control Building; at upgraded wastewater treatment plant - US_Without Amendment_Aerated Static Pile</v>
      </c>
    </row>
    <row r="13881" spans="1:13" s="120" customFormat="1" x14ac:dyDescent="0.25">
      <c r="A13881" s="119"/>
      <c r="B13881" s="138" t="str">
        <f t="shared" si="1231"/>
        <v/>
      </c>
      <c r="C13881" s="138" t="str">
        <f t="shared" si="1232"/>
        <v/>
      </c>
      <c r="D13881" s="138" t="str">
        <f t="shared" si="1233"/>
        <v/>
      </c>
      <c r="E13881" s="138" t="str">
        <f t="shared" si="1234"/>
        <v/>
      </c>
      <c r="F13881" s="138" t="str">
        <f t="shared" si="1235"/>
        <v/>
      </c>
      <c r="G13881" s="153" t="s">
        <v>51</v>
      </c>
      <c r="H13881" s="160"/>
      <c r="I13881" s="160" t="s">
        <v>47</v>
      </c>
      <c r="J13881" s="160" t="s">
        <v>52</v>
      </c>
      <c r="K13881" s="160" t="s">
        <v>27</v>
      </c>
      <c r="L13881" s="154" t="str">
        <f>IF(OpenLCAbasic!K13881="CTUh", "Fill in Manually",IF(OR(K13881="Unit", K13881=""), "", INDEX(LookUps!$E$5:$E$12, MATCH(OpenLCAbasic!K13881,LookUps!$D$5:$D$12,0))))</f>
        <v/>
      </c>
      <c r="M13881" s="154" t="str">
        <f t="shared" si="1229"/>
        <v>____Process__</v>
      </c>
    </row>
    <row r="13882" spans="1:13" s="120" customFormat="1" x14ac:dyDescent="0.25">
      <c r="A13882" s="119"/>
      <c r="B13882" s="138" t="str">
        <f t="shared" si="1231"/>
        <v>Aerated Static Pile</v>
      </c>
      <c r="C13882" s="138" t="str">
        <f t="shared" si="1232"/>
        <v>Without Amendment</v>
      </c>
      <c r="D13882" s="138" t="str">
        <f t="shared" si="1233"/>
        <v>Base_Low</v>
      </c>
      <c r="E13882" s="138" t="str">
        <f t="shared" si="1234"/>
        <v>High</v>
      </c>
      <c r="F13882" s="138" t="str">
        <f t="shared" si="1235"/>
        <v>Upgraded</v>
      </c>
      <c r="G13882" s="153"/>
      <c r="H13882" s="210">
        <v>0.2382</v>
      </c>
      <c r="I13882" s="160" t="s">
        <v>55</v>
      </c>
      <c r="J13882" s="160">
        <v>3.5330499999999998</v>
      </c>
      <c r="K13882" s="160" t="s">
        <v>15</v>
      </c>
      <c r="L13882" s="154" t="str">
        <f>IF(OpenLCAbasic!K13882="CTUh", "Fill in Manually",IF(OR(K13882="Unit", K13882=""), "", INDEX(LookUps!$E$5:$E$12, MATCH(OpenLCAbasic!K13882,LookUps!$D$5:$D$12,0))))</f>
        <v>Cumulative Energy Demand (CED) - MJ</v>
      </c>
      <c r="M13882" s="154" t="str">
        <f t="shared" si="1229"/>
        <v>High_Base_Low_Upgraded_Cumulative Energy Demand (CED) - MJ_Aeration Tanks; wastewater treatment unit; at updated plant - US_Without Amendment_Aerated Static Pile</v>
      </c>
    </row>
    <row r="13883" spans="1:13" s="120" customFormat="1" x14ac:dyDescent="0.25">
      <c r="A13883" s="119"/>
      <c r="B13883" s="138" t="str">
        <f t="shared" si="1231"/>
        <v>Aerated Static Pile</v>
      </c>
      <c r="C13883" s="138" t="str">
        <f t="shared" si="1232"/>
        <v>Without Amendment</v>
      </c>
      <c r="D13883" s="138" t="str">
        <f t="shared" si="1233"/>
        <v>Base_Low</v>
      </c>
      <c r="E13883" s="138" t="str">
        <f t="shared" si="1234"/>
        <v>High</v>
      </c>
      <c r="F13883" s="138" t="str">
        <f t="shared" si="1235"/>
        <v>Upgraded</v>
      </c>
      <c r="G13883" s="153"/>
      <c r="H13883" s="210">
        <v>0.2359</v>
      </c>
      <c r="I13883" s="160" t="s">
        <v>167</v>
      </c>
      <c r="J13883" s="160">
        <v>3.4982700000000002</v>
      </c>
      <c r="K13883" s="160" t="s">
        <v>15</v>
      </c>
      <c r="L13883" s="154" t="str">
        <f>IF(OpenLCAbasic!K13883="CTUh", "Fill in Manually",IF(OR(K13883="Unit", K13883=""), "", INDEX(LookUps!$E$5:$E$12, MATCH(OpenLCAbasic!K13883,LookUps!$D$5:$D$12,0))))</f>
        <v>Cumulative Energy Demand (CED) - MJ</v>
      </c>
      <c r="M13883" s="154" t="str">
        <f t="shared" si="1229"/>
        <v>High_Base_Low_Upgraded_Cumulative Energy Demand (CED) - MJ_Waste Receiving and Holding; wastewater treatment unit; at updated plant - US_Without Amendment_Aerated Static Pile</v>
      </c>
    </row>
    <row r="13884" spans="1:13" s="120" customFormat="1" x14ac:dyDescent="0.25">
      <c r="A13884" s="119"/>
      <c r="B13884" s="138" t="str">
        <f t="shared" si="1231"/>
        <v>Aerated Static Pile</v>
      </c>
      <c r="C13884" s="138" t="str">
        <f t="shared" si="1232"/>
        <v>Without Amendment</v>
      </c>
      <c r="D13884" s="138" t="str">
        <f t="shared" si="1233"/>
        <v>Base_Low</v>
      </c>
      <c r="E13884" s="138" t="str">
        <f t="shared" si="1234"/>
        <v>High</v>
      </c>
      <c r="F13884" s="138" t="str">
        <f t="shared" si="1235"/>
        <v>Upgraded</v>
      </c>
      <c r="G13884" s="153"/>
      <c r="H13884" s="210">
        <v>0.18429999999999999</v>
      </c>
      <c r="I13884" s="160" t="s">
        <v>149</v>
      </c>
      <c r="J13884" s="160">
        <v>2.7332200000000002</v>
      </c>
      <c r="K13884" s="160" t="s">
        <v>15</v>
      </c>
      <c r="L13884" s="154" t="str">
        <f>IF(OpenLCAbasic!K13884="CTUh", "Fill in Manually",IF(OR(K13884="Unit", K13884=""), "", INDEX(LookUps!$E$5:$E$12, MATCH(OpenLCAbasic!K13884,LookUps!$D$5:$D$12,0))))</f>
        <v>Cumulative Energy Demand (CED) - MJ</v>
      </c>
      <c r="M13884" s="154" t="str">
        <f t="shared" si="1229"/>
        <v>High_Base_Low_Upgraded_Cumulative Energy Demand (CED) - MJ_Anaerobic Digestion; wastewater treatment unit; at updated plant - US_Without Amendment_Aerated Static Pile</v>
      </c>
    </row>
    <row r="13885" spans="1:13" s="120" customFormat="1" x14ac:dyDescent="0.25">
      <c r="A13885" s="119"/>
      <c r="B13885" s="138" t="str">
        <f t="shared" si="1231"/>
        <v>Aerated Static Pile</v>
      </c>
      <c r="C13885" s="138" t="str">
        <f t="shared" si="1232"/>
        <v>Without Amendment</v>
      </c>
      <c r="D13885" s="138" t="str">
        <f t="shared" si="1233"/>
        <v>Base_Low</v>
      </c>
      <c r="E13885" s="138" t="str">
        <f t="shared" si="1234"/>
        <v>High</v>
      </c>
      <c r="F13885" s="138" t="str">
        <f t="shared" si="1235"/>
        <v>Upgraded</v>
      </c>
      <c r="G13885" s="153"/>
      <c r="H13885" s="210">
        <v>7.8399999999999997E-2</v>
      </c>
      <c r="I13885" s="160" t="s">
        <v>54</v>
      </c>
      <c r="J13885" s="160">
        <v>1.16289</v>
      </c>
      <c r="K13885" s="160" t="s">
        <v>15</v>
      </c>
      <c r="L13885" s="154" t="str">
        <f>IF(OpenLCAbasic!K13885="CTUh", "Fill in Manually",IF(OR(K13885="Unit", K13885=""), "", INDEX(LookUps!$E$5:$E$12, MATCH(OpenLCAbasic!K13885,LookUps!$D$5:$D$12,0))))</f>
        <v>Cumulative Energy Demand (CED) - MJ</v>
      </c>
      <c r="M13885" s="154" t="str">
        <f t="shared" si="1229"/>
        <v>High_Base_Low_Upgraded_Cumulative Energy Demand (CED) - MJ_Clear Cove Primary Clarification; wastewater treatment unit; at updated plant - US_Without Amendment_Aerated Static Pile</v>
      </c>
    </row>
    <row r="13886" spans="1:13" s="120" customFormat="1" x14ac:dyDescent="0.25">
      <c r="A13886" s="119"/>
      <c r="B13886" s="138" t="str">
        <f t="shared" si="1231"/>
        <v>Aerated Static Pile</v>
      </c>
      <c r="C13886" s="138" t="str">
        <f t="shared" si="1232"/>
        <v>Without Amendment</v>
      </c>
      <c r="D13886" s="138" t="str">
        <f t="shared" si="1233"/>
        <v>Base_Low</v>
      </c>
      <c r="E13886" s="138" t="str">
        <f t="shared" si="1234"/>
        <v>High</v>
      </c>
      <c r="F13886" s="138" t="str">
        <f t="shared" si="1235"/>
        <v>Upgraded</v>
      </c>
      <c r="G13886" s="153"/>
      <c r="H13886" s="210">
        <v>5.96E-2</v>
      </c>
      <c r="I13886" s="160" t="s">
        <v>58</v>
      </c>
      <c r="J13886" s="160">
        <v>0.88417000000000001</v>
      </c>
      <c r="K13886" s="160" t="s">
        <v>15</v>
      </c>
      <c r="L13886" s="154" t="str">
        <f>IF(OpenLCAbasic!K13886="CTUh", "Fill in Manually",IF(OR(K13886="Unit", K13886=""), "", INDEX(LookUps!$E$5:$E$12, MATCH(OpenLCAbasic!K13886,LookUps!$D$5:$D$12,0))))</f>
        <v>Cumulative Energy Demand (CED) - MJ</v>
      </c>
      <c r="M13886" s="154" t="str">
        <f t="shared" si="1229"/>
        <v>High_Base_Low_Upgraded_Cumulative Energy Demand (CED) - MJ_Pre-Anoxic &amp; Swing tank; wastewater treatment unit; at updated plant - US_Without Amendment_Aerated Static Pile</v>
      </c>
    </row>
    <row r="13887" spans="1:13" s="120" customFormat="1" x14ac:dyDescent="0.25">
      <c r="A13887" s="119"/>
      <c r="B13887" s="138" t="str">
        <f t="shared" si="1231"/>
        <v>Aerated Static Pile</v>
      </c>
      <c r="C13887" s="138" t="str">
        <f t="shared" si="1232"/>
        <v>Without Amendment</v>
      </c>
      <c r="D13887" s="138" t="str">
        <f t="shared" si="1233"/>
        <v>Base_Low</v>
      </c>
      <c r="E13887" s="138" t="str">
        <f t="shared" si="1234"/>
        <v>High</v>
      </c>
      <c r="F13887" s="138" t="str">
        <f t="shared" si="1235"/>
        <v>Upgraded</v>
      </c>
      <c r="G13887" s="153"/>
      <c r="H13887" s="210">
        <v>5.9499999999999997E-2</v>
      </c>
      <c r="I13887" s="160" t="s">
        <v>147</v>
      </c>
      <c r="J13887" s="160">
        <v>0.88297000000000003</v>
      </c>
      <c r="K13887" s="160" t="s">
        <v>15</v>
      </c>
      <c r="L13887" s="154" t="str">
        <f>IF(OpenLCAbasic!K13887="CTUh", "Fill in Manually",IF(OR(K13887="Unit", K13887=""), "", INDEX(LookUps!$E$5:$E$12, MATCH(OpenLCAbasic!K13887,LookUps!$D$5:$D$12,0))))</f>
        <v>Cumulative Energy Demand (CED) - MJ</v>
      </c>
      <c r="M13887" s="154" t="str">
        <f t="shared" si="1229"/>
        <v>High_Base_Low_Upgraded_Cumulative Energy Demand (CED) - MJ_Influent Pump Station; wastewater treatment unit; at updated plant - US_Without Amendment_Aerated Static Pile</v>
      </c>
    </row>
    <row r="13888" spans="1:13" s="120" customFormat="1" x14ac:dyDescent="0.25">
      <c r="A13888" s="119"/>
      <c r="B13888" s="138" t="str">
        <f t="shared" si="1231"/>
        <v>Aerated Static Pile</v>
      </c>
      <c r="C13888" s="138" t="str">
        <f t="shared" si="1232"/>
        <v>Without Amendment</v>
      </c>
      <c r="D13888" s="138" t="str">
        <f t="shared" si="1233"/>
        <v>Base_Low</v>
      </c>
      <c r="E13888" s="138" t="str">
        <f t="shared" si="1234"/>
        <v>High</v>
      </c>
      <c r="F13888" s="138" t="str">
        <f t="shared" si="1235"/>
        <v>Upgraded</v>
      </c>
      <c r="G13888" s="153"/>
      <c r="H13888" s="210">
        <v>4.7E-2</v>
      </c>
      <c r="I13888" s="160" t="s">
        <v>53</v>
      </c>
      <c r="J13888" s="160">
        <v>0.69645000000000001</v>
      </c>
      <c r="K13888" s="160" t="s">
        <v>15</v>
      </c>
      <c r="L13888" s="154" t="str">
        <f>IF(OpenLCAbasic!K13888="CTUh", "Fill in Manually",IF(OR(K13888="Unit", K13888=""), "", INDEX(LookUps!$E$5:$E$12, MATCH(OpenLCAbasic!K13888,LookUps!$D$5:$D$12,0))))</f>
        <v>Cumulative Energy Demand (CED) - MJ</v>
      </c>
      <c r="M13888" s="154" t="str">
        <f t="shared" si="1229"/>
        <v>High_Base_Low_Upgraded_Cumulative Energy Demand (CED) - MJ_Wet Well and Sump Station; wastewater treatment unit; at updated plant - US_Without Amendment_Aerated Static Pile</v>
      </c>
    </row>
    <row r="13889" spans="1:13" s="120" customFormat="1" x14ac:dyDescent="0.25">
      <c r="A13889" s="119"/>
      <c r="B13889" s="138" t="str">
        <f t="shared" si="1231"/>
        <v>Aerated Static Pile</v>
      </c>
      <c r="C13889" s="138" t="str">
        <f t="shared" si="1232"/>
        <v>Without Amendment</v>
      </c>
      <c r="D13889" s="138" t="str">
        <f t="shared" si="1233"/>
        <v>Base_Low</v>
      </c>
      <c r="E13889" s="138" t="str">
        <f t="shared" si="1234"/>
        <v>High</v>
      </c>
      <c r="F13889" s="138" t="str">
        <f t="shared" si="1235"/>
        <v>Upgraded</v>
      </c>
      <c r="G13889" s="153"/>
      <c r="H13889" s="210">
        <v>2.5999999999999999E-2</v>
      </c>
      <c r="I13889" s="160" t="s">
        <v>435</v>
      </c>
      <c r="J13889" s="160">
        <v>0.38619999999999999</v>
      </c>
      <c r="K13889" s="160" t="s">
        <v>15</v>
      </c>
      <c r="L13889" s="154" t="str">
        <f>IF(OpenLCAbasic!K13889="CTUh", "Fill in Manually",IF(OR(K13889="Unit", K13889=""), "", INDEX(LookUps!$E$5:$E$12, MATCH(OpenLCAbasic!K13889,LookUps!$D$5:$D$12,0))))</f>
        <v>Cumulative Energy Demand (CED) - MJ</v>
      </c>
      <c r="M13889" s="154" t="str">
        <f t="shared" si="1229"/>
        <v>High_Base_Low_Upgraded_Cumulative Energy Demand (CED) - MJ_Biosolids composting; aerated static pile; wastewater treatment unit; at updated plant - US_Without Amendment_Aerated Static Pile</v>
      </c>
    </row>
    <row r="13890" spans="1:13" s="120" customFormat="1" x14ac:dyDescent="0.25">
      <c r="A13890" s="119"/>
      <c r="B13890" s="138" t="str">
        <f t="shared" si="1231"/>
        <v>Aerated Static Pile</v>
      </c>
      <c r="C13890" s="138" t="str">
        <f t="shared" si="1232"/>
        <v>Without Amendment</v>
      </c>
      <c r="D13890" s="138" t="str">
        <f t="shared" si="1233"/>
        <v>Base_Low</v>
      </c>
      <c r="E13890" s="138" t="str">
        <f t="shared" si="1234"/>
        <v>High</v>
      </c>
      <c r="F13890" s="138" t="str">
        <f t="shared" si="1235"/>
        <v>Upgraded</v>
      </c>
      <c r="G13890" s="153"/>
      <c r="H13890" s="210">
        <v>2.2499999999999999E-2</v>
      </c>
      <c r="I13890" s="160" t="s">
        <v>57</v>
      </c>
      <c r="J13890" s="160">
        <v>0.33404</v>
      </c>
      <c r="K13890" s="160" t="s">
        <v>15</v>
      </c>
      <c r="L13890" s="154" t="str">
        <f>IF(OpenLCAbasic!K13890="CTUh", "Fill in Manually",IF(OR(K13890="Unit", K13890=""), "", INDEX(LookUps!$E$5:$E$12, MATCH(OpenLCAbasic!K13890,LookUps!$D$5:$D$12,0))))</f>
        <v>Cumulative Energy Demand (CED) - MJ</v>
      </c>
      <c r="M13890" s="154" t="str">
        <f t="shared" si="1229"/>
        <v>High_Base_Low_Upgraded_Cumulative Energy Demand (CED) - MJ_Gravity Belt Thickener; wastewater treatment unit; at updated plant - US_Without Amendment_Aerated Static Pile</v>
      </c>
    </row>
    <row r="13891" spans="1:13" s="120" customFormat="1" x14ac:dyDescent="0.25">
      <c r="A13891" s="119"/>
      <c r="B13891" s="138" t="str">
        <f t="shared" si="1231"/>
        <v>Aerated Static Pile</v>
      </c>
      <c r="C13891" s="138" t="str">
        <f t="shared" si="1232"/>
        <v>Without Amendment</v>
      </c>
      <c r="D13891" s="138" t="str">
        <f t="shared" si="1233"/>
        <v>Base_Low</v>
      </c>
      <c r="E13891" s="138" t="str">
        <f t="shared" si="1234"/>
        <v>High</v>
      </c>
      <c r="F13891" s="138" t="str">
        <f t="shared" si="1235"/>
        <v>Upgraded</v>
      </c>
      <c r="G13891" s="153"/>
      <c r="H13891" s="210">
        <v>2.1600000000000001E-2</v>
      </c>
      <c r="I13891" s="160" t="s">
        <v>60</v>
      </c>
      <c r="J13891" s="160">
        <v>0.32008999999999999</v>
      </c>
      <c r="K13891" s="160" t="s">
        <v>15</v>
      </c>
      <c r="L13891" s="154" t="str">
        <f>IF(OpenLCAbasic!K13891="CTUh", "Fill in Manually",IF(OR(K13891="Unit", K13891=""), "", INDEX(LookUps!$E$5:$E$12, MATCH(OpenLCAbasic!K13891,LookUps!$D$5:$D$12,0))))</f>
        <v>Cumulative Energy Demand (CED) - MJ</v>
      </c>
      <c r="M13891" s="154" t="str">
        <f t="shared" si="1229"/>
        <v>High_Base_Low_Upgraded_Cumulative Energy Demand (CED) - MJ_Belt filter press; wastewater treatment unit; at updated plant - US_Without Amendment_Aerated Static Pile</v>
      </c>
    </row>
    <row r="13892" spans="1:13" s="120" customFormat="1" x14ac:dyDescent="0.25">
      <c r="A13892" s="119"/>
      <c r="B13892" s="138" t="str">
        <f t="shared" si="1231"/>
        <v>Aerated Static Pile</v>
      </c>
      <c r="C13892" s="138" t="str">
        <f t="shared" si="1232"/>
        <v>Without Amendment</v>
      </c>
      <c r="D13892" s="138" t="str">
        <f t="shared" si="1233"/>
        <v>Base_Low</v>
      </c>
      <c r="E13892" s="138" t="str">
        <f t="shared" si="1234"/>
        <v>High</v>
      </c>
      <c r="F13892" s="138" t="str">
        <f t="shared" si="1235"/>
        <v>Upgraded</v>
      </c>
      <c r="G13892" s="153"/>
      <c r="H13892" s="210">
        <v>1.7299999999999999E-2</v>
      </c>
      <c r="I13892" s="160" t="s">
        <v>128</v>
      </c>
      <c r="J13892" s="160">
        <v>0.25606000000000001</v>
      </c>
      <c r="K13892" s="160" t="s">
        <v>15</v>
      </c>
      <c r="L13892" s="154" t="str">
        <f>IF(OpenLCAbasic!K13892="CTUh", "Fill in Manually",IF(OR(K13892="Unit", K13892=""), "", INDEX(LookUps!$E$5:$E$12, MATCH(OpenLCAbasic!K13892,LookUps!$D$5:$D$12,0))))</f>
        <v>Cumulative Energy Demand (CED) - MJ</v>
      </c>
      <c r="M13892" s="154" t="str">
        <f t="shared" ref="M13892:M13955" si="1236">CONCATENATE(E13892,"_",D13892,"_",F13892,"_",L13892, "_",I13892,"_", C13892,"_", B13892)</f>
        <v>High_Base_Low_Upgraded_Cumulative Energy Demand (CED) - MJ_Wastewater collection; operation and infrastructure; m3 wastewater_Without Amendment_Aerated Static Pile</v>
      </c>
    </row>
    <row r="13893" spans="1:13" s="120" customFormat="1" x14ac:dyDescent="0.25">
      <c r="A13893" s="119"/>
      <c r="B13893" s="138" t="str">
        <f t="shared" si="1231"/>
        <v>Aerated Static Pile</v>
      </c>
      <c r="C13893" s="138" t="str">
        <f t="shared" si="1232"/>
        <v>Without Amendment</v>
      </c>
      <c r="D13893" s="138" t="str">
        <f t="shared" si="1233"/>
        <v>Base_Low</v>
      </c>
      <c r="E13893" s="138" t="str">
        <f t="shared" si="1234"/>
        <v>High</v>
      </c>
      <c r="F13893" s="138" t="str">
        <f t="shared" si="1235"/>
        <v>Upgraded</v>
      </c>
      <c r="G13893" s="153"/>
      <c r="H13893" s="210">
        <v>9.7999999999999997E-3</v>
      </c>
      <c r="I13893" s="160" t="s">
        <v>148</v>
      </c>
      <c r="J13893" s="160">
        <v>0.14599000000000001</v>
      </c>
      <c r="K13893" s="160" t="s">
        <v>15</v>
      </c>
      <c r="L13893" s="154" t="str">
        <f>IF(OpenLCAbasic!K13893="CTUh", "Fill in Manually",IF(OR(K13893="Unit", K13893=""), "", INDEX(LookUps!$E$5:$E$12, MATCH(OpenLCAbasic!K13893,LookUps!$D$5:$D$12,0))))</f>
        <v>Cumulative Energy Demand (CED) - MJ</v>
      </c>
      <c r="M13893" s="154" t="str">
        <f t="shared" si="1236"/>
        <v>High_Base_Low_Upgraded_Cumulative Energy Demand (CED) - MJ_Control Building; at upgraded wastewater treatment plant - US_Without Amendment_Aerated Static Pile</v>
      </c>
    </row>
    <row r="13894" spans="1:13" s="120" customFormat="1" x14ac:dyDescent="0.25">
      <c r="A13894" s="119"/>
      <c r="B13894" s="138" t="str">
        <f t="shared" si="1231"/>
        <v>Aerated Static Pile</v>
      </c>
      <c r="C13894" s="138" t="str">
        <f t="shared" si="1232"/>
        <v>Without Amendment</v>
      </c>
      <c r="D13894" s="138" t="str">
        <f t="shared" si="1233"/>
        <v>Base_Low</v>
      </c>
      <c r="E13894" s="138" t="str">
        <f t="shared" si="1234"/>
        <v>High</v>
      </c>
      <c r="F13894" s="138" t="str">
        <f t="shared" si="1235"/>
        <v>Upgraded</v>
      </c>
      <c r="G13894" s="153"/>
      <c r="H13894" s="210">
        <v>8.9999999999999993E-3</v>
      </c>
      <c r="I13894" s="160" t="s">
        <v>48</v>
      </c>
      <c r="J13894" s="160">
        <v>0.13321</v>
      </c>
      <c r="K13894" s="160" t="s">
        <v>15</v>
      </c>
      <c r="L13894" s="154" t="str">
        <f>IF(OpenLCAbasic!K13894="CTUh", "Fill in Manually",IF(OR(K13894="Unit", K13894=""), "", INDEX(LookUps!$E$5:$E$12, MATCH(OpenLCAbasic!K13894,LookUps!$D$5:$D$12,0))))</f>
        <v>Cumulative Energy Demand (CED) - MJ</v>
      </c>
      <c r="M13894" s="154" t="str">
        <f t="shared" si="1236"/>
        <v>High_Base_Low_Upgraded_Cumulative Energy Demand (CED) - MJ_Effluent release; wastewater treatment unit; at surface water; m3 wastewater - US_Without Amendment_Aerated Static Pile</v>
      </c>
    </row>
    <row r="13895" spans="1:13" s="120" customFormat="1" x14ac:dyDescent="0.25">
      <c r="A13895" s="119"/>
      <c r="B13895" s="138" t="str">
        <f t="shared" si="1231"/>
        <v>Aerated Static Pile</v>
      </c>
      <c r="C13895" s="138" t="str">
        <f t="shared" si="1232"/>
        <v>Without Amendment</v>
      </c>
      <c r="D13895" s="138" t="str">
        <f t="shared" si="1233"/>
        <v>Base_Low</v>
      </c>
      <c r="E13895" s="138" t="str">
        <f t="shared" si="1234"/>
        <v>High</v>
      </c>
      <c r="F13895" s="138" t="str">
        <f t="shared" si="1235"/>
        <v>Upgraded</v>
      </c>
      <c r="G13895" s="153"/>
      <c r="H13895" s="210">
        <v>7.1999999999999998E-3</v>
      </c>
      <c r="I13895" s="160" t="s">
        <v>59</v>
      </c>
      <c r="J13895" s="160">
        <v>0.10638</v>
      </c>
      <c r="K13895" s="160" t="s">
        <v>15</v>
      </c>
      <c r="L13895" s="154" t="str">
        <f>IF(OpenLCAbasic!K13895="CTUh", "Fill in Manually",IF(OR(K13895="Unit", K13895=""), "", INDEX(LookUps!$E$5:$E$12, MATCH(OpenLCAbasic!K13895,LookUps!$D$5:$D$12,0))))</f>
        <v>Cumulative Energy Demand (CED) - MJ</v>
      </c>
      <c r="M13895" s="154" t="str">
        <f t="shared" si="1236"/>
        <v>High_Base_Low_Upgraded_Cumulative Energy Demand (CED) - MJ_Blend Tank; wastewater treatment unit; at updated plant - US_Without Amendment_Aerated Static Pile</v>
      </c>
    </row>
    <row r="13896" spans="1:13" s="120" customFormat="1" x14ac:dyDescent="0.25">
      <c r="A13896" s="119"/>
      <c r="B13896" s="138" t="str">
        <f t="shared" si="1231"/>
        <v>Aerated Static Pile</v>
      </c>
      <c r="C13896" s="138" t="str">
        <f t="shared" si="1232"/>
        <v>Without Amendment</v>
      </c>
      <c r="D13896" s="138" t="str">
        <f t="shared" si="1233"/>
        <v>Base_Low</v>
      </c>
      <c r="E13896" s="138" t="str">
        <f t="shared" si="1234"/>
        <v>High</v>
      </c>
      <c r="F13896" s="138" t="str">
        <f t="shared" si="1235"/>
        <v>Upgraded</v>
      </c>
      <c r="G13896" s="153"/>
      <c r="H13896" s="210">
        <v>3.3999999999999998E-3</v>
      </c>
      <c r="I13896" s="160" t="s">
        <v>168</v>
      </c>
      <c r="J13896" s="160">
        <v>5.0930000000000003E-2</v>
      </c>
      <c r="K13896" s="160" t="s">
        <v>15</v>
      </c>
      <c r="L13896" s="154" t="str">
        <f>IF(OpenLCAbasic!K13896="CTUh", "Fill in Manually",IF(OR(K13896="Unit", K13896=""), "", INDEX(LookUps!$E$5:$E$12, MATCH(OpenLCAbasic!K13896,LookUps!$D$5:$D$12,0))))</f>
        <v>Cumulative Energy Demand (CED) - MJ</v>
      </c>
      <c r="M13896" s="154" t="str">
        <f t="shared" si="1236"/>
        <v>High_Base_Low_Upgraded_Cumulative Energy Demand (CED) - MJ_ClearCove SCP; wastewater treatment unit; at updated plant - US_Without Amendment_Aerated Static Pile</v>
      </c>
    </row>
    <row r="13897" spans="1:13" s="120" customFormat="1" x14ac:dyDescent="0.25">
      <c r="A13897" s="119"/>
      <c r="B13897" s="138" t="str">
        <f t="shared" si="1231"/>
        <v>Aerated Static Pile</v>
      </c>
      <c r="C13897" s="138" t="str">
        <f t="shared" si="1232"/>
        <v>Without Amendment</v>
      </c>
      <c r="D13897" s="138" t="str">
        <f t="shared" si="1233"/>
        <v>Base_Low</v>
      </c>
      <c r="E13897" s="138" t="str">
        <f t="shared" si="1234"/>
        <v>High</v>
      </c>
      <c r="F13897" s="138" t="str">
        <f t="shared" si="1235"/>
        <v>Upgraded</v>
      </c>
      <c r="G13897" s="153"/>
      <c r="H13897" s="210">
        <v>-1.9699999999999999E-2</v>
      </c>
      <c r="I13897" s="160" t="s">
        <v>62</v>
      </c>
      <c r="J13897" s="160">
        <v>-0.29252</v>
      </c>
      <c r="K13897" s="160" t="s">
        <v>15</v>
      </c>
      <c r="L13897" s="154" t="str">
        <f>IF(OpenLCAbasic!K13897="CTUh", "Fill in Manually",IF(OR(K13897="Unit", K13897=""), "", INDEX(LookUps!$E$5:$E$12, MATCH(OpenLCAbasic!K13897,LookUps!$D$5:$D$12,0))))</f>
        <v>Cumulative Energy Demand (CED) - MJ</v>
      </c>
      <c r="M13897" s="154" t="str">
        <f t="shared" si="1236"/>
        <v>High_Base_Low_Upgraded_Cumulative Energy Demand (CED) - MJ_Land application of compost; wastewater treatment unit; at updated plant - US_Without Amendment_Aerated Static Pile</v>
      </c>
    </row>
    <row r="13898" spans="1:13" s="120" customFormat="1" x14ac:dyDescent="0.25">
      <c r="A13898" s="119"/>
      <c r="B13898" s="138" t="str">
        <f t="shared" si="1231"/>
        <v/>
      </c>
      <c r="C13898" s="138" t="str">
        <f t="shared" si="1232"/>
        <v/>
      </c>
      <c r="D13898" s="138" t="str">
        <f t="shared" si="1233"/>
        <v/>
      </c>
      <c r="E13898" s="138" t="str">
        <f t="shared" si="1234"/>
        <v/>
      </c>
      <c r="F13898" s="138" t="str">
        <f t="shared" si="1235"/>
        <v/>
      </c>
      <c r="G13898" s="153" t="s">
        <v>51</v>
      </c>
      <c r="H13898" s="160"/>
      <c r="I13898" s="160" t="s">
        <v>47</v>
      </c>
      <c r="J13898" s="160" t="s">
        <v>52</v>
      </c>
      <c r="K13898" s="160" t="s">
        <v>27</v>
      </c>
      <c r="L13898" s="154" t="str">
        <f>IF(OpenLCAbasic!K13898="CTUh", "Fill in Manually",IF(OR(K13898="Unit", K13898=""), "", INDEX(LookUps!$E$5:$E$12, MATCH(OpenLCAbasic!K13898,LookUps!$D$5:$D$12,0))))</f>
        <v/>
      </c>
      <c r="M13898" s="154" t="str">
        <f t="shared" si="1236"/>
        <v>____Process__</v>
      </c>
    </row>
    <row r="13899" spans="1:13" s="120" customFormat="1" x14ac:dyDescent="0.25">
      <c r="A13899" s="119"/>
      <c r="B13899" s="138" t="str">
        <f t="shared" si="1231"/>
        <v>Aerated Static Pile</v>
      </c>
      <c r="C13899" s="138" t="str">
        <f t="shared" si="1232"/>
        <v>Without Amendment</v>
      </c>
      <c r="D13899" s="138" t="str">
        <f t="shared" si="1233"/>
        <v>Base_Low</v>
      </c>
      <c r="E13899" s="138" t="str">
        <f t="shared" si="1234"/>
        <v>High</v>
      </c>
      <c r="F13899" s="138" t="str">
        <f t="shared" si="1235"/>
        <v>Upgraded</v>
      </c>
      <c r="G13899" s="153"/>
      <c r="H13899" s="210">
        <v>0.78580000000000005</v>
      </c>
      <c r="I13899" s="160" t="s">
        <v>48</v>
      </c>
      <c r="J13899" s="160">
        <v>1.1610000000000001E-2</v>
      </c>
      <c r="K13899" s="160" t="s">
        <v>13</v>
      </c>
      <c r="L13899" s="154" t="str">
        <f>IF(OpenLCAbasic!K13899="CTUh", "Fill in Manually",IF(OR(K13899="Unit", K13899=""), "", INDEX(LookUps!$E$5:$E$12, MATCH(OpenLCAbasic!K13899,LookUps!$D$5:$D$12,0))))</f>
        <v>Eutrophication Potential (EP) - kg N eq</v>
      </c>
      <c r="M13899" s="154" t="str">
        <f t="shared" si="1236"/>
        <v>High_Base_Low_Upgraded_Eutrophication Potential (EP) - kg N eq_Effluent release; wastewater treatment unit; at surface water; m3 wastewater - US_Without Amendment_Aerated Static Pile</v>
      </c>
    </row>
    <row r="13900" spans="1:13" s="120" customFormat="1" x14ac:dyDescent="0.25">
      <c r="A13900" s="119"/>
      <c r="B13900" s="138" t="str">
        <f t="shared" si="1231"/>
        <v>Aerated Static Pile</v>
      </c>
      <c r="C13900" s="138" t="str">
        <f t="shared" si="1232"/>
        <v>Without Amendment</v>
      </c>
      <c r="D13900" s="138" t="str">
        <f t="shared" si="1233"/>
        <v>Base_Low</v>
      </c>
      <c r="E13900" s="138" t="str">
        <f t="shared" si="1234"/>
        <v>High</v>
      </c>
      <c r="F13900" s="138" t="str">
        <f t="shared" si="1235"/>
        <v>Upgraded</v>
      </c>
      <c r="G13900" s="153"/>
      <c r="H13900" s="210">
        <v>9.3200000000000005E-2</v>
      </c>
      <c r="I13900" s="160" t="s">
        <v>62</v>
      </c>
      <c r="J13900" s="160">
        <v>1.3799999999999999E-3</v>
      </c>
      <c r="K13900" s="160" t="s">
        <v>13</v>
      </c>
      <c r="L13900" s="154" t="str">
        <f>IF(OpenLCAbasic!K13900="CTUh", "Fill in Manually",IF(OR(K13900="Unit", K13900=""), "", INDEX(LookUps!$E$5:$E$12, MATCH(OpenLCAbasic!K13900,LookUps!$D$5:$D$12,0))))</f>
        <v>Eutrophication Potential (EP) - kg N eq</v>
      </c>
      <c r="M13900" s="154" t="str">
        <f t="shared" si="1236"/>
        <v>High_Base_Low_Upgraded_Eutrophication Potential (EP) - kg N eq_Land application of compost; wastewater treatment unit; at updated plant - US_Without Amendment_Aerated Static Pile</v>
      </c>
    </row>
    <row r="13901" spans="1:13" s="120" customFormat="1" x14ac:dyDescent="0.25">
      <c r="A13901" s="119"/>
      <c r="B13901" s="138" t="str">
        <f t="shared" si="1231"/>
        <v>Aerated Static Pile</v>
      </c>
      <c r="C13901" s="138" t="str">
        <f t="shared" si="1232"/>
        <v>Without Amendment</v>
      </c>
      <c r="D13901" s="138" t="str">
        <f t="shared" si="1233"/>
        <v>Base_Low</v>
      </c>
      <c r="E13901" s="138" t="str">
        <f t="shared" si="1234"/>
        <v>High</v>
      </c>
      <c r="F13901" s="138" t="str">
        <f t="shared" si="1235"/>
        <v>Upgraded</v>
      </c>
      <c r="G13901" s="153"/>
      <c r="H13901" s="210">
        <v>3.6999999999999998E-2</v>
      </c>
      <c r="I13901" s="160" t="s">
        <v>55</v>
      </c>
      <c r="J13901" s="160">
        <v>5.5000000000000003E-4</v>
      </c>
      <c r="K13901" s="160" t="s">
        <v>13</v>
      </c>
      <c r="L13901" s="154" t="str">
        <f>IF(OpenLCAbasic!K13901="CTUh", "Fill in Manually",IF(OR(K13901="Unit", K13901=""), "", INDEX(LookUps!$E$5:$E$12, MATCH(OpenLCAbasic!K13901,LookUps!$D$5:$D$12,0))))</f>
        <v>Eutrophication Potential (EP) - kg N eq</v>
      </c>
      <c r="M13901" s="154" t="str">
        <f t="shared" si="1236"/>
        <v>High_Base_Low_Upgraded_Eutrophication Potential (EP) - kg N eq_Aeration Tanks; wastewater treatment unit; at updated plant - US_Without Amendment_Aerated Static Pile</v>
      </c>
    </row>
    <row r="13902" spans="1:13" s="120" customFormat="1" x14ac:dyDescent="0.25">
      <c r="A13902" s="119"/>
      <c r="B13902" s="138" t="str">
        <f t="shared" si="1231"/>
        <v>Aerated Static Pile</v>
      </c>
      <c r="C13902" s="138" t="str">
        <f t="shared" si="1232"/>
        <v>Without Amendment</v>
      </c>
      <c r="D13902" s="138" t="str">
        <f t="shared" si="1233"/>
        <v>Base_Low</v>
      </c>
      <c r="E13902" s="138" t="str">
        <f t="shared" si="1234"/>
        <v>High</v>
      </c>
      <c r="F13902" s="138" t="str">
        <f t="shared" si="1235"/>
        <v>Upgraded</v>
      </c>
      <c r="G13902" s="153"/>
      <c r="H13902" s="210">
        <v>1.6899999999999998E-2</v>
      </c>
      <c r="I13902" s="160" t="s">
        <v>147</v>
      </c>
      <c r="J13902" s="160">
        <v>2.5000000000000001E-4</v>
      </c>
      <c r="K13902" s="160" t="s">
        <v>13</v>
      </c>
      <c r="L13902" s="154" t="str">
        <f>IF(OpenLCAbasic!K13902="CTUh", "Fill in Manually",IF(OR(K13902="Unit", K13902=""), "", INDEX(LookUps!$E$5:$E$12, MATCH(OpenLCAbasic!K13902,LookUps!$D$5:$D$12,0))))</f>
        <v>Eutrophication Potential (EP) - kg N eq</v>
      </c>
      <c r="M13902" s="154" t="str">
        <f t="shared" si="1236"/>
        <v>High_Base_Low_Upgraded_Eutrophication Potential (EP) - kg N eq_Influent Pump Station; wastewater treatment unit; at updated plant - US_Without Amendment_Aerated Static Pile</v>
      </c>
    </row>
    <row r="13903" spans="1:13" s="120" customFormat="1" x14ac:dyDescent="0.25">
      <c r="A13903" s="119"/>
      <c r="B13903" s="138" t="str">
        <f t="shared" si="1231"/>
        <v>Aerated Static Pile</v>
      </c>
      <c r="C13903" s="138" t="str">
        <f t="shared" si="1232"/>
        <v>Without Amendment</v>
      </c>
      <c r="D13903" s="138" t="str">
        <f t="shared" si="1233"/>
        <v>Base_Low</v>
      </c>
      <c r="E13903" s="138" t="str">
        <f t="shared" si="1234"/>
        <v>High</v>
      </c>
      <c r="F13903" s="138" t="str">
        <f t="shared" si="1235"/>
        <v>Upgraded</v>
      </c>
      <c r="G13903" s="153"/>
      <c r="H13903" s="210">
        <v>1.34E-2</v>
      </c>
      <c r="I13903" s="160" t="s">
        <v>54</v>
      </c>
      <c r="J13903" s="160">
        <v>2.0000000000000001E-4</v>
      </c>
      <c r="K13903" s="160" t="s">
        <v>13</v>
      </c>
      <c r="L13903" s="154" t="str">
        <f>IF(OpenLCAbasic!K13903="CTUh", "Fill in Manually",IF(OR(K13903="Unit", K13903=""), "", INDEX(LookUps!$E$5:$E$12, MATCH(OpenLCAbasic!K13903,LookUps!$D$5:$D$12,0))))</f>
        <v>Eutrophication Potential (EP) - kg N eq</v>
      </c>
      <c r="M13903" s="154" t="str">
        <f t="shared" si="1236"/>
        <v>High_Base_Low_Upgraded_Eutrophication Potential (EP) - kg N eq_Clear Cove Primary Clarification; wastewater treatment unit; at updated plant - US_Without Amendment_Aerated Static Pile</v>
      </c>
    </row>
    <row r="13904" spans="1:13" s="120" customFormat="1" x14ac:dyDescent="0.25">
      <c r="A13904" s="119"/>
      <c r="B13904" s="138" t="str">
        <f t="shared" si="1231"/>
        <v>Aerated Static Pile</v>
      </c>
      <c r="C13904" s="138" t="str">
        <f t="shared" si="1232"/>
        <v>Without Amendment</v>
      </c>
      <c r="D13904" s="138" t="str">
        <f t="shared" si="1233"/>
        <v>Base_Low</v>
      </c>
      <c r="E13904" s="138" t="str">
        <f t="shared" si="1234"/>
        <v>High</v>
      </c>
      <c r="F13904" s="138" t="str">
        <f t="shared" si="1235"/>
        <v>Upgraded</v>
      </c>
      <c r="G13904" s="153"/>
      <c r="H13904" s="210">
        <v>1.11E-2</v>
      </c>
      <c r="I13904" s="160" t="s">
        <v>167</v>
      </c>
      <c r="J13904" s="160">
        <v>1.6000000000000001E-4</v>
      </c>
      <c r="K13904" s="160" t="s">
        <v>13</v>
      </c>
      <c r="L13904" s="154" t="str">
        <f>IF(OpenLCAbasic!K13904="CTUh", "Fill in Manually",IF(OR(K13904="Unit", K13904=""), "", INDEX(LookUps!$E$5:$E$12, MATCH(OpenLCAbasic!K13904,LookUps!$D$5:$D$12,0))))</f>
        <v>Eutrophication Potential (EP) - kg N eq</v>
      </c>
      <c r="M13904" s="154" t="str">
        <f t="shared" si="1236"/>
        <v>High_Base_Low_Upgraded_Eutrophication Potential (EP) - kg N eq_Waste Receiving and Holding; wastewater treatment unit; at updated plant - US_Without Amendment_Aerated Static Pile</v>
      </c>
    </row>
    <row r="13905" spans="1:13" s="120" customFormat="1" x14ac:dyDescent="0.25">
      <c r="A13905" s="119"/>
      <c r="B13905" s="138" t="str">
        <f t="shared" si="1231"/>
        <v>Aerated Static Pile</v>
      </c>
      <c r="C13905" s="138" t="str">
        <f t="shared" si="1232"/>
        <v>Without Amendment</v>
      </c>
      <c r="D13905" s="138" t="str">
        <f t="shared" si="1233"/>
        <v>Base_Low</v>
      </c>
      <c r="E13905" s="138" t="str">
        <f t="shared" si="1234"/>
        <v>High</v>
      </c>
      <c r="F13905" s="138" t="str">
        <f t="shared" si="1235"/>
        <v>Upgraded</v>
      </c>
      <c r="G13905" s="153"/>
      <c r="H13905" s="210">
        <v>9.1999999999999998E-3</v>
      </c>
      <c r="I13905" s="160" t="s">
        <v>58</v>
      </c>
      <c r="J13905" s="160">
        <v>1.3999999999999999E-4</v>
      </c>
      <c r="K13905" s="160" t="s">
        <v>13</v>
      </c>
      <c r="L13905" s="154" t="str">
        <f>IF(OpenLCAbasic!K13905="CTUh", "Fill in Manually",IF(OR(K13905="Unit", K13905=""), "", INDEX(LookUps!$E$5:$E$12, MATCH(OpenLCAbasic!K13905,LookUps!$D$5:$D$12,0))))</f>
        <v>Eutrophication Potential (EP) - kg N eq</v>
      </c>
      <c r="M13905" s="154" t="str">
        <f t="shared" si="1236"/>
        <v>High_Base_Low_Upgraded_Eutrophication Potential (EP) - kg N eq_Pre-Anoxic &amp; Swing tank; wastewater treatment unit; at updated plant - US_Without Amendment_Aerated Static Pile</v>
      </c>
    </row>
    <row r="13906" spans="1:13" s="120" customFormat="1" x14ac:dyDescent="0.25">
      <c r="A13906" s="119"/>
      <c r="B13906" s="138" t="str">
        <f t="shared" si="1231"/>
        <v>Aerated Static Pile</v>
      </c>
      <c r="C13906" s="138" t="str">
        <f t="shared" si="1232"/>
        <v>Without Amendment</v>
      </c>
      <c r="D13906" s="138" t="str">
        <f t="shared" si="1233"/>
        <v>Base_Low</v>
      </c>
      <c r="E13906" s="138" t="str">
        <f t="shared" si="1234"/>
        <v>High</v>
      </c>
      <c r="F13906" s="138" t="str">
        <f t="shared" si="1235"/>
        <v>Upgraded</v>
      </c>
      <c r="G13906" s="153"/>
      <c r="H13906" s="210">
        <v>7.3000000000000001E-3</v>
      </c>
      <c r="I13906" s="160" t="s">
        <v>53</v>
      </c>
      <c r="J13906" s="160">
        <v>1.1E-4</v>
      </c>
      <c r="K13906" s="160" t="s">
        <v>13</v>
      </c>
      <c r="L13906" s="154" t="str">
        <f>IF(OpenLCAbasic!K13906="CTUh", "Fill in Manually",IF(OR(K13906="Unit", K13906=""), "", INDEX(LookUps!$E$5:$E$12, MATCH(OpenLCAbasic!K13906,LookUps!$D$5:$D$12,0))))</f>
        <v>Eutrophication Potential (EP) - kg N eq</v>
      </c>
      <c r="M13906" s="154" t="str">
        <f t="shared" si="1236"/>
        <v>High_Base_Low_Upgraded_Eutrophication Potential (EP) - kg N eq_Wet Well and Sump Station; wastewater treatment unit; at updated plant - US_Without Amendment_Aerated Static Pile</v>
      </c>
    </row>
    <row r="13907" spans="1:13" s="120" customFormat="1" x14ac:dyDescent="0.25">
      <c r="A13907" s="119"/>
      <c r="B13907" s="138" t="str">
        <f t="shared" si="1231"/>
        <v>Aerated Static Pile</v>
      </c>
      <c r="C13907" s="138" t="str">
        <f t="shared" si="1232"/>
        <v>Without Amendment</v>
      </c>
      <c r="D13907" s="138" t="str">
        <f t="shared" si="1233"/>
        <v>Base_Low</v>
      </c>
      <c r="E13907" s="138" t="str">
        <f t="shared" si="1234"/>
        <v>High</v>
      </c>
      <c r="F13907" s="138" t="str">
        <f t="shared" si="1235"/>
        <v>Upgraded</v>
      </c>
      <c r="G13907" s="153"/>
      <c r="H13907" s="210">
        <v>6.1999999999999998E-3</v>
      </c>
      <c r="I13907" s="160" t="s">
        <v>149</v>
      </c>
      <c r="J13907" s="211">
        <v>9.1798299999999998E-5</v>
      </c>
      <c r="K13907" s="160" t="s">
        <v>13</v>
      </c>
      <c r="L13907" s="154" t="str">
        <f>IF(OpenLCAbasic!K13907="CTUh", "Fill in Manually",IF(OR(K13907="Unit", K13907=""), "", INDEX(LookUps!$E$5:$E$12, MATCH(OpenLCAbasic!K13907,LookUps!$D$5:$D$12,0))))</f>
        <v>Eutrophication Potential (EP) - kg N eq</v>
      </c>
      <c r="M13907" s="154" t="str">
        <f t="shared" si="1236"/>
        <v>High_Base_Low_Upgraded_Eutrophication Potential (EP) - kg N eq_Anaerobic Digestion; wastewater treatment unit; at updated plant - US_Without Amendment_Aerated Static Pile</v>
      </c>
    </row>
    <row r="13908" spans="1:13" s="120" customFormat="1" x14ac:dyDescent="0.25">
      <c r="A13908" s="119"/>
      <c r="B13908" s="138" t="str">
        <f t="shared" si="1231"/>
        <v>Aerated Static Pile</v>
      </c>
      <c r="C13908" s="138" t="str">
        <f t="shared" si="1232"/>
        <v>Without Amendment</v>
      </c>
      <c r="D13908" s="138" t="str">
        <f t="shared" si="1233"/>
        <v>Base_Low</v>
      </c>
      <c r="E13908" s="138" t="str">
        <f t="shared" si="1234"/>
        <v>High</v>
      </c>
      <c r="F13908" s="138" t="str">
        <f t="shared" si="1235"/>
        <v>Upgraded</v>
      </c>
      <c r="G13908" s="153"/>
      <c r="H13908" s="210">
        <v>5.4000000000000003E-3</v>
      </c>
      <c r="I13908" s="160" t="s">
        <v>435</v>
      </c>
      <c r="J13908" s="211">
        <v>8.0440700000000004E-5</v>
      </c>
      <c r="K13908" s="160" t="s">
        <v>13</v>
      </c>
      <c r="L13908" s="154" t="str">
        <f>IF(OpenLCAbasic!K13908="CTUh", "Fill in Manually",IF(OR(K13908="Unit", K13908=""), "", INDEX(LookUps!$E$5:$E$12, MATCH(OpenLCAbasic!K13908,LookUps!$D$5:$D$12,0))))</f>
        <v>Eutrophication Potential (EP) - kg N eq</v>
      </c>
      <c r="M13908" s="154" t="str">
        <f t="shared" si="1236"/>
        <v>High_Base_Low_Upgraded_Eutrophication Potential (EP) - kg N eq_Biosolids composting; aerated static pile; wastewater treatment unit; at updated plant - US_Without Amendment_Aerated Static Pile</v>
      </c>
    </row>
    <row r="13909" spans="1:13" s="120" customFormat="1" x14ac:dyDescent="0.25">
      <c r="A13909" s="119"/>
      <c r="B13909" s="138" t="str">
        <f t="shared" si="1231"/>
        <v>Aerated Static Pile</v>
      </c>
      <c r="C13909" s="138" t="str">
        <f t="shared" si="1232"/>
        <v>Without Amendment</v>
      </c>
      <c r="D13909" s="138" t="str">
        <f t="shared" si="1233"/>
        <v>Base_Low</v>
      </c>
      <c r="E13909" s="138" t="str">
        <f t="shared" si="1234"/>
        <v>High</v>
      </c>
      <c r="F13909" s="138" t="str">
        <f t="shared" si="1235"/>
        <v>Upgraded</v>
      </c>
      <c r="G13909" s="153"/>
      <c r="H13909" s="210">
        <v>4.1000000000000003E-3</v>
      </c>
      <c r="I13909" s="160" t="s">
        <v>57</v>
      </c>
      <c r="J13909" s="211">
        <v>6.0590300000000002E-5</v>
      </c>
      <c r="K13909" s="160" t="s">
        <v>13</v>
      </c>
      <c r="L13909" s="154" t="str">
        <f>IF(OpenLCAbasic!K13909="CTUh", "Fill in Manually",IF(OR(K13909="Unit", K13909=""), "", INDEX(LookUps!$E$5:$E$12, MATCH(OpenLCAbasic!K13909,LookUps!$D$5:$D$12,0))))</f>
        <v>Eutrophication Potential (EP) - kg N eq</v>
      </c>
      <c r="M13909" s="154" t="str">
        <f t="shared" si="1236"/>
        <v>High_Base_Low_Upgraded_Eutrophication Potential (EP) - kg N eq_Gravity Belt Thickener; wastewater treatment unit; at updated plant - US_Without Amendment_Aerated Static Pile</v>
      </c>
    </row>
    <row r="13910" spans="1:13" s="120" customFormat="1" x14ac:dyDescent="0.25">
      <c r="A13910" s="119"/>
      <c r="B13910" s="138" t="str">
        <f t="shared" si="1231"/>
        <v>Aerated Static Pile</v>
      </c>
      <c r="C13910" s="138" t="str">
        <f t="shared" si="1232"/>
        <v>Without Amendment</v>
      </c>
      <c r="D13910" s="138" t="str">
        <f t="shared" si="1233"/>
        <v>Base_Low</v>
      </c>
      <c r="E13910" s="138" t="str">
        <f t="shared" si="1234"/>
        <v>High</v>
      </c>
      <c r="F13910" s="138" t="str">
        <f t="shared" si="1235"/>
        <v>Upgraded</v>
      </c>
      <c r="G13910" s="153"/>
      <c r="H13910" s="210">
        <v>3.8E-3</v>
      </c>
      <c r="I13910" s="160" t="s">
        <v>60</v>
      </c>
      <c r="J13910" s="211">
        <v>5.62289E-5</v>
      </c>
      <c r="K13910" s="160" t="s">
        <v>13</v>
      </c>
      <c r="L13910" s="154" t="str">
        <f>IF(OpenLCAbasic!K13910="CTUh", "Fill in Manually",IF(OR(K13910="Unit", K13910=""), "", INDEX(LookUps!$E$5:$E$12, MATCH(OpenLCAbasic!K13910,LookUps!$D$5:$D$12,0))))</f>
        <v>Eutrophication Potential (EP) - kg N eq</v>
      </c>
      <c r="M13910" s="154" t="str">
        <f t="shared" si="1236"/>
        <v>High_Base_Low_Upgraded_Eutrophication Potential (EP) - kg N eq_Belt filter press; wastewater treatment unit; at updated plant - US_Without Amendment_Aerated Static Pile</v>
      </c>
    </row>
    <row r="13911" spans="1:13" s="120" customFormat="1" x14ac:dyDescent="0.25">
      <c r="A13911" s="119"/>
      <c r="B13911" s="138" t="str">
        <f t="shared" si="1231"/>
        <v>Aerated Static Pile</v>
      </c>
      <c r="C13911" s="138" t="str">
        <f t="shared" si="1232"/>
        <v>Without Amendment</v>
      </c>
      <c r="D13911" s="138" t="str">
        <f t="shared" si="1233"/>
        <v>Base_Low</v>
      </c>
      <c r="E13911" s="138" t="str">
        <f t="shared" si="1234"/>
        <v>High</v>
      </c>
      <c r="F13911" s="138" t="str">
        <f t="shared" si="1235"/>
        <v>Upgraded</v>
      </c>
      <c r="G13911" s="153"/>
      <c r="H13911" s="210">
        <v>2.5000000000000001E-3</v>
      </c>
      <c r="I13911" s="160" t="s">
        <v>128</v>
      </c>
      <c r="J13911" s="211">
        <v>3.7559799999999999E-5</v>
      </c>
      <c r="K13911" s="160" t="s">
        <v>13</v>
      </c>
      <c r="L13911" s="154" t="str">
        <f>IF(OpenLCAbasic!K13911="CTUh", "Fill in Manually",IF(OR(K13911="Unit", K13911=""), "", INDEX(LookUps!$E$5:$E$12, MATCH(OpenLCAbasic!K13911,LookUps!$D$5:$D$12,0))))</f>
        <v>Eutrophication Potential (EP) - kg N eq</v>
      </c>
      <c r="M13911" s="154" t="str">
        <f t="shared" si="1236"/>
        <v>High_Base_Low_Upgraded_Eutrophication Potential (EP) - kg N eq_Wastewater collection; operation and infrastructure; m3 wastewater_Without Amendment_Aerated Static Pile</v>
      </c>
    </row>
    <row r="13912" spans="1:13" s="120" customFormat="1" x14ac:dyDescent="0.25">
      <c r="A13912" s="119"/>
      <c r="B13912" s="138" t="str">
        <f t="shared" si="1231"/>
        <v>Aerated Static Pile</v>
      </c>
      <c r="C13912" s="138" t="str">
        <f t="shared" si="1232"/>
        <v>Without Amendment</v>
      </c>
      <c r="D13912" s="138" t="str">
        <f t="shared" si="1233"/>
        <v>Base_Low</v>
      </c>
      <c r="E13912" s="138" t="str">
        <f t="shared" si="1234"/>
        <v>High</v>
      </c>
      <c r="F13912" s="138" t="str">
        <f t="shared" si="1235"/>
        <v>Upgraded</v>
      </c>
      <c r="G13912" s="153"/>
      <c r="H13912" s="210">
        <v>2.5000000000000001E-3</v>
      </c>
      <c r="I13912" s="160" t="s">
        <v>148</v>
      </c>
      <c r="J13912" s="211">
        <v>3.6874600000000001E-5</v>
      </c>
      <c r="K13912" s="160" t="s">
        <v>13</v>
      </c>
      <c r="L13912" s="154" t="str">
        <f>IF(OpenLCAbasic!K13912="CTUh", "Fill in Manually",IF(OR(K13912="Unit", K13912=""), "", INDEX(LookUps!$E$5:$E$12, MATCH(OpenLCAbasic!K13912,LookUps!$D$5:$D$12,0))))</f>
        <v>Eutrophication Potential (EP) - kg N eq</v>
      </c>
      <c r="M13912" s="154" t="str">
        <f t="shared" si="1236"/>
        <v>High_Base_Low_Upgraded_Eutrophication Potential (EP) - kg N eq_Control Building; at upgraded wastewater treatment plant - US_Without Amendment_Aerated Static Pile</v>
      </c>
    </row>
    <row r="13913" spans="1:13" s="120" customFormat="1" x14ac:dyDescent="0.25">
      <c r="A13913" s="119"/>
      <c r="B13913" s="138" t="str">
        <f t="shared" si="1231"/>
        <v>Aerated Static Pile</v>
      </c>
      <c r="C13913" s="138" t="str">
        <f t="shared" si="1232"/>
        <v>Without Amendment</v>
      </c>
      <c r="D13913" s="138" t="str">
        <f t="shared" si="1233"/>
        <v>Base_Low</v>
      </c>
      <c r="E13913" s="138" t="str">
        <f t="shared" si="1234"/>
        <v>High</v>
      </c>
      <c r="F13913" s="138" t="str">
        <f t="shared" si="1235"/>
        <v>Upgraded</v>
      </c>
      <c r="G13913" s="153"/>
      <c r="H13913" s="210">
        <v>1.1000000000000001E-3</v>
      </c>
      <c r="I13913" s="160" t="s">
        <v>59</v>
      </c>
      <c r="J13913" s="211">
        <v>1.6215700000000001E-5</v>
      </c>
      <c r="K13913" s="160" t="s">
        <v>13</v>
      </c>
      <c r="L13913" s="154" t="str">
        <f>IF(OpenLCAbasic!K13913="CTUh", "Fill in Manually",IF(OR(K13913="Unit", K13913=""), "", INDEX(LookUps!$E$5:$E$12, MATCH(OpenLCAbasic!K13913,LookUps!$D$5:$D$12,0))))</f>
        <v>Eutrophication Potential (EP) - kg N eq</v>
      </c>
      <c r="M13913" s="154" t="str">
        <f t="shared" si="1236"/>
        <v>High_Base_Low_Upgraded_Eutrophication Potential (EP) - kg N eq_Blend Tank; wastewater treatment unit; at updated plant - US_Without Amendment_Aerated Static Pile</v>
      </c>
    </row>
    <row r="13914" spans="1:13" s="120" customFormat="1" x14ac:dyDescent="0.25">
      <c r="A13914" s="119"/>
      <c r="B13914" s="138" t="str">
        <f t="shared" si="1231"/>
        <v>Aerated Static Pile</v>
      </c>
      <c r="C13914" s="138" t="str">
        <f t="shared" si="1232"/>
        <v>Without Amendment</v>
      </c>
      <c r="D13914" s="138" t="str">
        <f t="shared" si="1233"/>
        <v>Base_Low</v>
      </c>
      <c r="E13914" s="138" t="str">
        <f t="shared" si="1234"/>
        <v>High</v>
      </c>
      <c r="F13914" s="138" t="str">
        <f t="shared" si="1235"/>
        <v>Upgraded</v>
      </c>
      <c r="G13914" s="153"/>
      <c r="H13914" s="210">
        <v>5.0000000000000001E-4</v>
      </c>
      <c r="I13914" s="160" t="s">
        <v>168</v>
      </c>
      <c r="J13914" s="211">
        <v>7.7567199999999995E-6</v>
      </c>
      <c r="K13914" s="160" t="s">
        <v>13</v>
      </c>
      <c r="L13914" s="154" t="str">
        <f>IF(OpenLCAbasic!K13914="CTUh", "Fill in Manually",IF(OR(K13914="Unit", K13914=""), "", INDEX(LookUps!$E$5:$E$12, MATCH(OpenLCAbasic!K13914,LookUps!$D$5:$D$12,0))))</f>
        <v>Eutrophication Potential (EP) - kg N eq</v>
      </c>
      <c r="M13914" s="154" t="str">
        <f t="shared" si="1236"/>
        <v>High_Base_Low_Upgraded_Eutrophication Potential (EP) - kg N eq_ClearCove SCP; wastewater treatment unit; at updated plant - US_Without Amendment_Aerated Static Pile</v>
      </c>
    </row>
    <row r="13915" spans="1:13" s="120" customFormat="1" x14ac:dyDescent="0.25">
      <c r="A13915" s="119"/>
      <c r="B13915" s="138" t="str">
        <f t="shared" si="1231"/>
        <v/>
      </c>
      <c r="C13915" s="138" t="str">
        <f t="shared" si="1232"/>
        <v/>
      </c>
      <c r="D13915" s="138" t="str">
        <f t="shared" si="1233"/>
        <v/>
      </c>
      <c r="E13915" s="138" t="str">
        <f t="shared" si="1234"/>
        <v/>
      </c>
      <c r="F13915" s="138" t="str">
        <f t="shared" si="1235"/>
        <v/>
      </c>
      <c r="G13915" s="153" t="s">
        <v>51</v>
      </c>
      <c r="H13915" s="160"/>
      <c r="I13915" s="160" t="s">
        <v>47</v>
      </c>
      <c r="J13915" s="160" t="s">
        <v>52</v>
      </c>
      <c r="K13915" s="160" t="s">
        <v>27</v>
      </c>
      <c r="L13915" s="154" t="str">
        <f>IF(OpenLCAbasic!K13915="CTUh", "Fill in Manually",IF(OR(K13915="Unit", K13915=""), "", INDEX(LookUps!$E$5:$E$12, MATCH(OpenLCAbasic!K13915,LookUps!$D$5:$D$12,0))))</f>
        <v/>
      </c>
      <c r="M13915" s="154" t="str">
        <f t="shared" si="1236"/>
        <v>____Process__</v>
      </c>
    </row>
    <row r="13916" spans="1:13" s="120" customFormat="1" x14ac:dyDescent="0.25">
      <c r="A13916" s="119"/>
      <c r="B13916" s="138" t="str">
        <f t="shared" si="1231"/>
        <v>Aerated Static Pile</v>
      </c>
      <c r="C13916" s="138" t="str">
        <f t="shared" si="1232"/>
        <v>Without Amendment</v>
      </c>
      <c r="D13916" s="138" t="str">
        <f t="shared" si="1233"/>
        <v>Base_Low</v>
      </c>
      <c r="E13916" s="138" t="str">
        <f t="shared" si="1234"/>
        <v>High</v>
      </c>
      <c r="F13916" s="138" t="str">
        <f t="shared" si="1235"/>
        <v>Upgraded</v>
      </c>
      <c r="G13916" s="153"/>
      <c r="H13916" s="210">
        <v>0.26569999999999999</v>
      </c>
      <c r="I13916" s="160" t="s">
        <v>167</v>
      </c>
      <c r="J13916" s="160">
        <v>7.9170000000000004E-2</v>
      </c>
      <c r="K13916" s="160" t="s">
        <v>14</v>
      </c>
      <c r="L13916" s="154" t="str">
        <f>IF(OpenLCAbasic!K13916="CTUh", "Fill in Manually",IF(OR(K13916="Unit", K13916=""), "", INDEX(LookUps!$E$5:$E$12, MATCH(OpenLCAbasic!K13916,LookUps!$D$5:$D$12,0))))</f>
        <v>Fossil Depletion Potential (FDP) - kg oil eq</v>
      </c>
      <c r="M13916" s="154" t="str">
        <f t="shared" si="1236"/>
        <v>High_Base_Low_Upgraded_Fossil Depletion Potential (FDP) - kg oil eq_Waste Receiving and Holding; wastewater treatment unit; at updated plant - US_Without Amendment_Aerated Static Pile</v>
      </c>
    </row>
    <row r="13917" spans="1:13" s="120" customFormat="1" x14ac:dyDescent="0.25">
      <c r="A13917" s="119"/>
      <c r="B13917" s="138" t="str">
        <f t="shared" si="1231"/>
        <v>Aerated Static Pile</v>
      </c>
      <c r="C13917" s="138" t="str">
        <f t="shared" si="1232"/>
        <v>Without Amendment</v>
      </c>
      <c r="D13917" s="138" t="str">
        <f t="shared" si="1233"/>
        <v>Base_Low</v>
      </c>
      <c r="E13917" s="138" t="str">
        <f t="shared" si="1234"/>
        <v>High</v>
      </c>
      <c r="F13917" s="138" t="str">
        <f t="shared" si="1235"/>
        <v>Upgraded</v>
      </c>
      <c r="G13917" s="153"/>
      <c r="H13917" s="210">
        <v>0.21340000000000001</v>
      </c>
      <c r="I13917" s="160" t="s">
        <v>55</v>
      </c>
      <c r="J13917" s="160">
        <v>6.3589999999999994E-2</v>
      </c>
      <c r="K13917" s="160" t="s">
        <v>14</v>
      </c>
      <c r="L13917" s="154" t="str">
        <f>IF(OpenLCAbasic!K13917="CTUh", "Fill in Manually",IF(OR(K13917="Unit", K13917=""), "", INDEX(LookUps!$E$5:$E$12, MATCH(OpenLCAbasic!K13917,LookUps!$D$5:$D$12,0))))</f>
        <v>Fossil Depletion Potential (FDP) - kg oil eq</v>
      </c>
      <c r="M13917" s="154" t="str">
        <f t="shared" si="1236"/>
        <v>High_Base_Low_Upgraded_Fossil Depletion Potential (FDP) - kg oil eq_Aeration Tanks; wastewater treatment unit; at updated plant - US_Without Amendment_Aerated Static Pile</v>
      </c>
    </row>
    <row r="13918" spans="1:13" s="120" customFormat="1" x14ac:dyDescent="0.25">
      <c r="A13918" s="119"/>
      <c r="B13918" s="138" t="str">
        <f t="shared" si="1231"/>
        <v>Aerated Static Pile</v>
      </c>
      <c r="C13918" s="138" t="str">
        <f t="shared" si="1232"/>
        <v>Without Amendment</v>
      </c>
      <c r="D13918" s="138" t="str">
        <f t="shared" si="1233"/>
        <v>Base_Low</v>
      </c>
      <c r="E13918" s="138" t="str">
        <f t="shared" si="1234"/>
        <v>High</v>
      </c>
      <c r="F13918" s="138" t="str">
        <f t="shared" si="1235"/>
        <v>Upgraded</v>
      </c>
      <c r="G13918" s="153"/>
      <c r="H13918" s="210">
        <v>0.2074</v>
      </c>
      <c r="I13918" s="160" t="s">
        <v>149</v>
      </c>
      <c r="J13918" s="160">
        <v>6.1809999999999997E-2</v>
      </c>
      <c r="K13918" s="160" t="s">
        <v>14</v>
      </c>
      <c r="L13918" s="154" t="str">
        <f>IF(OpenLCAbasic!K13918="CTUh", "Fill in Manually",IF(OR(K13918="Unit", K13918=""), "", INDEX(LookUps!$E$5:$E$12, MATCH(OpenLCAbasic!K13918,LookUps!$D$5:$D$12,0))))</f>
        <v>Fossil Depletion Potential (FDP) - kg oil eq</v>
      </c>
      <c r="M13918" s="154" t="str">
        <f t="shared" si="1236"/>
        <v>High_Base_Low_Upgraded_Fossil Depletion Potential (FDP) - kg oil eq_Anaerobic Digestion; wastewater treatment unit; at updated plant - US_Without Amendment_Aerated Static Pile</v>
      </c>
    </row>
    <row r="13919" spans="1:13" s="120" customFormat="1" x14ac:dyDescent="0.25">
      <c r="A13919" s="119"/>
      <c r="B13919" s="138" t="str">
        <f t="shared" si="1231"/>
        <v>Aerated Static Pile</v>
      </c>
      <c r="C13919" s="138" t="str">
        <f t="shared" si="1232"/>
        <v>Without Amendment</v>
      </c>
      <c r="D13919" s="138" t="str">
        <f t="shared" si="1233"/>
        <v>Base_Low</v>
      </c>
      <c r="E13919" s="138" t="str">
        <f t="shared" si="1234"/>
        <v>High</v>
      </c>
      <c r="F13919" s="138" t="str">
        <f t="shared" si="1235"/>
        <v>Upgraded</v>
      </c>
      <c r="G13919" s="153"/>
      <c r="H13919" s="210">
        <v>7.0599999999999996E-2</v>
      </c>
      <c r="I13919" s="160" t="s">
        <v>54</v>
      </c>
      <c r="J13919" s="160">
        <v>2.1049999999999999E-2</v>
      </c>
      <c r="K13919" s="160" t="s">
        <v>14</v>
      </c>
      <c r="L13919" s="154" t="str">
        <f>IF(OpenLCAbasic!K13919="CTUh", "Fill in Manually",IF(OR(K13919="Unit", K13919=""), "", INDEX(LookUps!$E$5:$E$12, MATCH(OpenLCAbasic!K13919,LookUps!$D$5:$D$12,0))))</f>
        <v>Fossil Depletion Potential (FDP) - kg oil eq</v>
      </c>
      <c r="M13919" s="154" t="str">
        <f t="shared" si="1236"/>
        <v>High_Base_Low_Upgraded_Fossil Depletion Potential (FDP) - kg oil eq_Clear Cove Primary Clarification; wastewater treatment unit; at updated plant - US_Without Amendment_Aerated Static Pile</v>
      </c>
    </row>
    <row r="13920" spans="1:13" s="120" customFormat="1" x14ac:dyDescent="0.25">
      <c r="A13920" s="119"/>
      <c r="B13920" s="138" t="str">
        <f t="shared" si="1231"/>
        <v>Aerated Static Pile</v>
      </c>
      <c r="C13920" s="138" t="str">
        <f t="shared" si="1232"/>
        <v>Without Amendment</v>
      </c>
      <c r="D13920" s="138" t="str">
        <f t="shared" si="1233"/>
        <v>Base_Low</v>
      </c>
      <c r="E13920" s="138" t="str">
        <f t="shared" si="1234"/>
        <v>High</v>
      </c>
      <c r="F13920" s="138" t="str">
        <f t="shared" si="1235"/>
        <v>Upgraded</v>
      </c>
      <c r="G13920" s="153"/>
      <c r="H13920" s="210">
        <v>5.3400000000000003E-2</v>
      </c>
      <c r="I13920" s="160" t="s">
        <v>58</v>
      </c>
      <c r="J13920" s="160">
        <v>1.592E-2</v>
      </c>
      <c r="K13920" s="160" t="s">
        <v>14</v>
      </c>
      <c r="L13920" s="154" t="str">
        <f>IF(OpenLCAbasic!K13920="CTUh", "Fill in Manually",IF(OR(K13920="Unit", K13920=""), "", INDEX(LookUps!$E$5:$E$12, MATCH(OpenLCAbasic!K13920,LookUps!$D$5:$D$12,0))))</f>
        <v>Fossil Depletion Potential (FDP) - kg oil eq</v>
      </c>
      <c r="M13920" s="154" t="str">
        <f t="shared" si="1236"/>
        <v>High_Base_Low_Upgraded_Fossil Depletion Potential (FDP) - kg oil eq_Pre-Anoxic &amp; Swing tank; wastewater treatment unit; at updated plant - US_Without Amendment_Aerated Static Pile</v>
      </c>
    </row>
    <row r="13921" spans="1:13" s="120" customFormat="1" x14ac:dyDescent="0.25">
      <c r="A13921" s="119"/>
      <c r="B13921" s="138" t="str">
        <f t="shared" si="1231"/>
        <v>Aerated Static Pile</v>
      </c>
      <c r="C13921" s="138" t="str">
        <f t="shared" si="1232"/>
        <v>Without Amendment</v>
      </c>
      <c r="D13921" s="138" t="str">
        <f t="shared" si="1233"/>
        <v>Base_Low</v>
      </c>
      <c r="E13921" s="138" t="str">
        <f t="shared" si="1234"/>
        <v>High</v>
      </c>
      <c r="F13921" s="138" t="str">
        <f t="shared" si="1235"/>
        <v>Upgraded</v>
      </c>
      <c r="G13921" s="153"/>
      <c r="H13921" s="210">
        <v>5.0599999999999999E-2</v>
      </c>
      <c r="I13921" s="160" t="s">
        <v>147</v>
      </c>
      <c r="J13921" s="160">
        <v>1.5089999999999999E-2</v>
      </c>
      <c r="K13921" s="160" t="s">
        <v>14</v>
      </c>
      <c r="L13921" s="154" t="str">
        <f>IF(OpenLCAbasic!K13921="CTUh", "Fill in Manually",IF(OR(K13921="Unit", K13921=""), "", INDEX(LookUps!$E$5:$E$12, MATCH(OpenLCAbasic!K13921,LookUps!$D$5:$D$12,0))))</f>
        <v>Fossil Depletion Potential (FDP) - kg oil eq</v>
      </c>
      <c r="M13921" s="154" t="str">
        <f t="shared" si="1236"/>
        <v>High_Base_Low_Upgraded_Fossil Depletion Potential (FDP) - kg oil eq_Influent Pump Station; wastewater treatment unit; at updated plant - US_Without Amendment_Aerated Static Pile</v>
      </c>
    </row>
    <row r="13922" spans="1:13" s="120" customFormat="1" x14ac:dyDescent="0.25">
      <c r="A13922" s="119"/>
      <c r="B13922" s="138" t="str">
        <f t="shared" si="1231"/>
        <v>Aerated Static Pile</v>
      </c>
      <c r="C13922" s="138" t="str">
        <f t="shared" si="1232"/>
        <v>Without Amendment</v>
      </c>
      <c r="D13922" s="138" t="str">
        <f t="shared" si="1233"/>
        <v>Base_Low</v>
      </c>
      <c r="E13922" s="138" t="str">
        <f t="shared" si="1234"/>
        <v>High</v>
      </c>
      <c r="F13922" s="138" t="str">
        <f t="shared" si="1235"/>
        <v>Upgraded</v>
      </c>
      <c r="G13922" s="153"/>
      <c r="H13922" s="210">
        <v>4.19E-2</v>
      </c>
      <c r="I13922" s="160" t="s">
        <v>53</v>
      </c>
      <c r="J13922" s="160">
        <v>1.2489999999999999E-2</v>
      </c>
      <c r="K13922" s="160" t="s">
        <v>14</v>
      </c>
      <c r="L13922" s="154" t="str">
        <f>IF(OpenLCAbasic!K13922="CTUh", "Fill in Manually",IF(OR(K13922="Unit", K13922=""), "", INDEX(LookUps!$E$5:$E$12, MATCH(OpenLCAbasic!K13922,LookUps!$D$5:$D$12,0))))</f>
        <v>Fossil Depletion Potential (FDP) - kg oil eq</v>
      </c>
      <c r="M13922" s="154" t="str">
        <f t="shared" si="1236"/>
        <v>High_Base_Low_Upgraded_Fossil Depletion Potential (FDP) - kg oil eq_Wet Well and Sump Station; wastewater treatment unit; at updated plant - US_Without Amendment_Aerated Static Pile</v>
      </c>
    </row>
    <row r="13923" spans="1:13" s="120" customFormat="1" x14ac:dyDescent="0.25">
      <c r="A13923" s="119"/>
      <c r="B13923" s="138" t="str">
        <f t="shared" si="1231"/>
        <v>Aerated Static Pile</v>
      </c>
      <c r="C13923" s="138" t="str">
        <f t="shared" si="1232"/>
        <v>Without Amendment</v>
      </c>
      <c r="D13923" s="138" t="str">
        <f t="shared" si="1233"/>
        <v>Base_Low</v>
      </c>
      <c r="E13923" s="138" t="str">
        <f t="shared" si="1234"/>
        <v>High</v>
      </c>
      <c r="F13923" s="138" t="str">
        <f t="shared" si="1235"/>
        <v>Upgraded</v>
      </c>
      <c r="G13923" s="153"/>
      <c r="H13923" s="210">
        <v>2.3599999999999999E-2</v>
      </c>
      <c r="I13923" s="160" t="s">
        <v>435</v>
      </c>
      <c r="J13923" s="160">
        <v>7.0200000000000002E-3</v>
      </c>
      <c r="K13923" s="160" t="s">
        <v>14</v>
      </c>
      <c r="L13923" s="154" t="str">
        <f>IF(OpenLCAbasic!K13923="CTUh", "Fill in Manually",IF(OR(K13923="Unit", K13923=""), "", INDEX(LookUps!$E$5:$E$12, MATCH(OpenLCAbasic!K13923,LookUps!$D$5:$D$12,0))))</f>
        <v>Fossil Depletion Potential (FDP) - kg oil eq</v>
      </c>
      <c r="M13923" s="154" t="str">
        <f t="shared" si="1236"/>
        <v>High_Base_Low_Upgraded_Fossil Depletion Potential (FDP) - kg oil eq_Biosolids composting; aerated static pile; wastewater treatment unit; at updated plant - US_Without Amendment_Aerated Static Pile</v>
      </c>
    </row>
    <row r="13924" spans="1:13" s="120" customFormat="1" x14ac:dyDescent="0.25">
      <c r="A13924" s="119"/>
      <c r="B13924" s="138" t="str">
        <f t="shared" si="1231"/>
        <v>Aerated Static Pile</v>
      </c>
      <c r="C13924" s="138" t="str">
        <f t="shared" si="1232"/>
        <v>Without Amendment</v>
      </c>
      <c r="D13924" s="138" t="str">
        <f t="shared" si="1233"/>
        <v>Base_Low</v>
      </c>
      <c r="E13924" s="138" t="str">
        <f t="shared" si="1234"/>
        <v>High</v>
      </c>
      <c r="F13924" s="138" t="str">
        <f t="shared" si="1235"/>
        <v>Upgraded</v>
      </c>
      <c r="G13924" s="153"/>
      <c r="H13924" s="210">
        <v>2.3199999999999998E-2</v>
      </c>
      <c r="I13924" s="160" t="s">
        <v>57</v>
      </c>
      <c r="J13924" s="160">
        <v>6.9199999999999999E-3</v>
      </c>
      <c r="K13924" s="160" t="s">
        <v>14</v>
      </c>
      <c r="L13924" s="154" t="str">
        <f>IF(OpenLCAbasic!K13924="CTUh", "Fill in Manually",IF(OR(K13924="Unit", K13924=""), "", INDEX(LookUps!$E$5:$E$12, MATCH(OpenLCAbasic!K13924,LookUps!$D$5:$D$12,0))))</f>
        <v>Fossil Depletion Potential (FDP) - kg oil eq</v>
      </c>
      <c r="M13924" s="154" t="str">
        <f t="shared" si="1236"/>
        <v>High_Base_Low_Upgraded_Fossil Depletion Potential (FDP) - kg oil eq_Gravity Belt Thickener; wastewater treatment unit; at updated plant - US_Without Amendment_Aerated Static Pile</v>
      </c>
    </row>
    <row r="13925" spans="1:13" s="120" customFormat="1" x14ac:dyDescent="0.25">
      <c r="A13925" s="119"/>
      <c r="B13925" s="138" t="str">
        <f t="shared" si="1231"/>
        <v>Aerated Static Pile</v>
      </c>
      <c r="C13925" s="138" t="str">
        <f t="shared" si="1232"/>
        <v>Without Amendment</v>
      </c>
      <c r="D13925" s="138" t="str">
        <f t="shared" si="1233"/>
        <v>Base_Low</v>
      </c>
      <c r="E13925" s="138" t="str">
        <f t="shared" si="1234"/>
        <v>High</v>
      </c>
      <c r="F13925" s="138" t="str">
        <f t="shared" si="1235"/>
        <v>Upgraded</v>
      </c>
      <c r="G13925" s="153"/>
      <c r="H13925" s="210">
        <v>2.1700000000000001E-2</v>
      </c>
      <c r="I13925" s="160" t="s">
        <v>60</v>
      </c>
      <c r="J13925" s="160">
        <v>6.45E-3</v>
      </c>
      <c r="K13925" s="160" t="s">
        <v>14</v>
      </c>
      <c r="L13925" s="154" t="str">
        <f>IF(OpenLCAbasic!K13925="CTUh", "Fill in Manually",IF(OR(K13925="Unit", K13925=""), "", INDEX(LookUps!$E$5:$E$12, MATCH(OpenLCAbasic!K13925,LookUps!$D$5:$D$12,0))))</f>
        <v>Fossil Depletion Potential (FDP) - kg oil eq</v>
      </c>
      <c r="M13925" s="154" t="str">
        <f t="shared" si="1236"/>
        <v>High_Base_Low_Upgraded_Fossil Depletion Potential (FDP) - kg oil eq_Belt filter press; wastewater treatment unit; at updated plant - US_Without Amendment_Aerated Static Pile</v>
      </c>
    </row>
    <row r="13926" spans="1:13" s="120" customFormat="1" x14ac:dyDescent="0.25">
      <c r="A13926" s="119"/>
      <c r="B13926" s="138" t="str">
        <f t="shared" si="1231"/>
        <v>Aerated Static Pile</v>
      </c>
      <c r="C13926" s="138" t="str">
        <f t="shared" si="1232"/>
        <v>Without Amendment</v>
      </c>
      <c r="D13926" s="138" t="str">
        <f t="shared" si="1233"/>
        <v>Base_Low</v>
      </c>
      <c r="E13926" s="138" t="str">
        <f t="shared" si="1234"/>
        <v>High</v>
      </c>
      <c r="F13926" s="138" t="str">
        <f t="shared" si="1235"/>
        <v>Upgraded</v>
      </c>
      <c r="G13926" s="153"/>
      <c r="H13926" s="210">
        <v>1.5100000000000001E-2</v>
      </c>
      <c r="I13926" s="160" t="s">
        <v>128</v>
      </c>
      <c r="J13926" s="160">
        <v>4.4999999999999997E-3</v>
      </c>
      <c r="K13926" s="160" t="s">
        <v>14</v>
      </c>
      <c r="L13926" s="154" t="str">
        <f>IF(OpenLCAbasic!K13926="CTUh", "Fill in Manually",IF(OR(K13926="Unit", K13926=""), "", INDEX(LookUps!$E$5:$E$12, MATCH(OpenLCAbasic!K13926,LookUps!$D$5:$D$12,0))))</f>
        <v>Fossil Depletion Potential (FDP) - kg oil eq</v>
      </c>
      <c r="M13926" s="154" t="str">
        <f t="shared" si="1236"/>
        <v>High_Base_Low_Upgraded_Fossil Depletion Potential (FDP) - kg oil eq_Wastewater collection; operation and infrastructure; m3 wastewater_Without Amendment_Aerated Static Pile</v>
      </c>
    </row>
    <row r="13927" spans="1:13" s="120" customFormat="1" x14ac:dyDescent="0.25">
      <c r="A13927" s="119"/>
      <c r="B13927" s="138" t="str">
        <f t="shared" si="1231"/>
        <v>Aerated Static Pile</v>
      </c>
      <c r="C13927" s="138" t="str">
        <f t="shared" si="1232"/>
        <v>Without Amendment</v>
      </c>
      <c r="D13927" s="138" t="str">
        <f t="shared" si="1233"/>
        <v>Base_Low</v>
      </c>
      <c r="E13927" s="138" t="str">
        <f t="shared" si="1234"/>
        <v>High</v>
      </c>
      <c r="F13927" s="138" t="str">
        <f t="shared" si="1235"/>
        <v>Upgraded</v>
      </c>
      <c r="G13927" s="153"/>
      <c r="H13927" s="210">
        <v>9.4000000000000004E-3</v>
      </c>
      <c r="I13927" s="160" t="s">
        <v>148</v>
      </c>
      <c r="J13927" s="160">
        <v>2.8E-3</v>
      </c>
      <c r="K13927" s="160" t="s">
        <v>14</v>
      </c>
      <c r="L13927" s="154" t="str">
        <f>IF(OpenLCAbasic!K13927="CTUh", "Fill in Manually",IF(OR(K13927="Unit", K13927=""), "", INDEX(LookUps!$E$5:$E$12, MATCH(OpenLCAbasic!K13927,LookUps!$D$5:$D$12,0))))</f>
        <v>Fossil Depletion Potential (FDP) - kg oil eq</v>
      </c>
      <c r="M13927" s="154" t="str">
        <f t="shared" si="1236"/>
        <v>High_Base_Low_Upgraded_Fossil Depletion Potential (FDP) - kg oil eq_Control Building; at upgraded wastewater treatment plant - US_Without Amendment_Aerated Static Pile</v>
      </c>
    </row>
    <row r="13928" spans="1:13" s="120" customFormat="1" x14ac:dyDescent="0.25">
      <c r="A13928" s="119"/>
      <c r="B13928" s="138" t="str">
        <f t="shared" si="1231"/>
        <v>Aerated Static Pile</v>
      </c>
      <c r="C13928" s="138" t="str">
        <f t="shared" si="1232"/>
        <v>Without Amendment</v>
      </c>
      <c r="D13928" s="138" t="str">
        <f t="shared" si="1233"/>
        <v>Base_Low</v>
      </c>
      <c r="E13928" s="138" t="str">
        <f t="shared" si="1234"/>
        <v>High</v>
      </c>
      <c r="F13928" s="138" t="str">
        <f t="shared" si="1235"/>
        <v>Upgraded</v>
      </c>
      <c r="G13928" s="153"/>
      <c r="H13928" s="210">
        <v>7.9000000000000008E-3</v>
      </c>
      <c r="I13928" s="160" t="s">
        <v>48</v>
      </c>
      <c r="J13928" s="160">
        <v>2.3600000000000001E-3</v>
      </c>
      <c r="K13928" s="160" t="s">
        <v>14</v>
      </c>
      <c r="L13928" s="154" t="str">
        <f>IF(OpenLCAbasic!K13928="CTUh", "Fill in Manually",IF(OR(K13928="Unit", K13928=""), "", INDEX(LookUps!$E$5:$E$12, MATCH(OpenLCAbasic!K13928,LookUps!$D$5:$D$12,0))))</f>
        <v>Fossil Depletion Potential (FDP) - kg oil eq</v>
      </c>
      <c r="M13928" s="154" t="str">
        <f t="shared" si="1236"/>
        <v>High_Base_Low_Upgraded_Fossil Depletion Potential (FDP) - kg oil eq_Effluent release; wastewater treatment unit; at surface water; m3 wastewater - US_Without Amendment_Aerated Static Pile</v>
      </c>
    </row>
    <row r="13929" spans="1:13" s="120" customFormat="1" x14ac:dyDescent="0.25">
      <c r="A13929" s="119"/>
      <c r="B13929" s="138" t="str">
        <f t="shared" ref="B13929:B13992" si="1237">IF(F13929="Legacy","n.a.",IF(F13929="","","Aerated Static Pile"))</f>
        <v>Aerated Static Pile</v>
      </c>
      <c r="C13929" s="138" t="str">
        <f t="shared" ref="C13929:C13992" si="1238">IF(ISNUMBER($J13929),"Without Amendment","")</f>
        <v>Without Amendment</v>
      </c>
      <c r="D13929" s="138" t="str">
        <f t="shared" ref="D13929:D13992" si="1239">IF(ISNUMBER($J13929),"Base_Low","")</f>
        <v>Base_Low</v>
      </c>
      <c r="E13929" s="138" t="str">
        <f t="shared" ref="E13929:E13992" si="1240">IF(ISNUMBER($J13929),"High","")</f>
        <v>High</v>
      </c>
      <c r="F13929" s="138" t="str">
        <f t="shared" ref="F13929:F13992" si="1241">IF(ISNUMBER(J13929),"Upgraded","")</f>
        <v>Upgraded</v>
      </c>
      <c r="G13929" s="153"/>
      <c r="H13929" s="210">
        <v>6.4000000000000003E-3</v>
      </c>
      <c r="I13929" s="160" t="s">
        <v>59</v>
      </c>
      <c r="J13929" s="160">
        <v>1.92E-3</v>
      </c>
      <c r="K13929" s="160" t="s">
        <v>14</v>
      </c>
      <c r="L13929" s="154" t="str">
        <f>IF(OpenLCAbasic!K13929="CTUh", "Fill in Manually",IF(OR(K13929="Unit", K13929=""), "", INDEX(LookUps!$E$5:$E$12, MATCH(OpenLCAbasic!K13929,LookUps!$D$5:$D$12,0))))</f>
        <v>Fossil Depletion Potential (FDP) - kg oil eq</v>
      </c>
      <c r="M13929" s="154" t="str">
        <f t="shared" si="1236"/>
        <v>High_Base_Low_Upgraded_Fossil Depletion Potential (FDP) - kg oil eq_Blend Tank; wastewater treatment unit; at updated plant - US_Without Amendment_Aerated Static Pile</v>
      </c>
    </row>
    <row r="13930" spans="1:13" s="120" customFormat="1" x14ac:dyDescent="0.25">
      <c r="A13930" s="119"/>
      <c r="B13930" s="138" t="str">
        <f t="shared" si="1237"/>
        <v>Aerated Static Pile</v>
      </c>
      <c r="C13930" s="138" t="str">
        <f t="shared" si="1238"/>
        <v>Without Amendment</v>
      </c>
      <c r="D13930" s="138" t="str">
        <f t="shared" si="1239"/>
        <v>Base_Low</v>
      </c>
      <c r="E13930" s="138" t="str">
        <f t="shared" si="1240"/>
        <v>High</v>
      </c>
      <c r="F13930" s="138" t="str">
        <f t="shared" si="1241"/>
        <v>Upgraded</v>
      </c>
      <c r="G13930" s="153"/>
      <c r="H13930" s="210">
        <v>3.0999999999999999E-3</v>
      </c>
      <c r="I13930" s="160" t="s">
        <v>168</v>
      </c>
      <c r="J13930" s="160">
        <v>9.1E-4</v>
      </c>
      <c r="K13930" s="160" t="s">
        <v>14</v>
      </c>
      <c r="L13930" s="154" t="str">
        <f>IF(OpenLCAbasic!K13930="CTUh", "Fill in Manually",IF(OR(K13930="Unit", K13930=""), "", INDEX(LookUps!$E$5:$E$12, MATCH(OpenLCAbasic!K13930,LookUps!$D$5:$D$12,0))))</f>
        <v>Fossil Depletion Potential (FDP) - kg oil eq</v>
      </c>
      <c r="M13930" s="154" t="str">
        <f t="shared" si="1236"/>
        <v>High_Base_Low_Upgraded_Fossil Depletion Potential (FDP) - kg oil eq_ClearCove SCP; wastewater treatment unit; at updated plant - US_Without Amendment_Aerated Static Pile</v>
      </c>
    </row>
    <row r="13931" spans="1:13" s="120" customFormat="1" x14ac:dyDescent="0.25">
      <c r="A13931" s="119"/>
      <c r="B13931" s="138" t="str">
        <f t="shared" si="1237"/>
        <v>Aerated Static Pile</v>
      </c>
      <c r="C13931" s="138" t="str">
        <f t="shared" si="1238"/>
        <v>Without Amendment</v>
      </c>
      <c r="D13931" s="138" t="str">
        <f t="shared" si="1239"/>
        <v>Base_Low</v>
      </c>
      <c r="E13931" s="138" t="str">
        <f t="shared" si="1240"/>
        <v>High</v>
      </c>
      <c r="F13931" s="138" t="str">
        <f t="shared" si="1241"/>
        <v>Upgraded</v>
      </c>
      <c r="G13931" s="153"/>
      <c r="H13931" s="210">
        <v>-1.35E-2</v>
      </c>
      <c r="I13931" s="160" t="s">
        <v>62</v>
      </c>
      <c r="J13931" s="160">
        <v>-4.0299999999999997E-3</v>
      </c>
      <c r="K13931" s="160" t="s">
        <v>14</v>
      </c>
      <c r="L13931" s="154" t="str">
        <f>IF(OpenLCAbasic!K13931="CTUh", "Fill in Manually",IF(OR(K13931="Unit", K13931=""), "", INDEX(LookUps!$E$5:$E$12, MATCH(OpenLCAbasic!K13931,LookUps!$D$5:$D$12,0))))</f>
        <v>Fossil Depletion Potential (FDP) - kg oil eq</v>
      </c>
      <c r="M13931" s="154" t="str">
        <f t="shared" si="1236"/>
        <v>High_Base_Low_Upgraded_Fossil Depletion Potential (FDP) - kg oil eq_Land application of compost; wastewater treatment unit; at updated plant - US_Without Amendment_Aerated Static Pile</v>
      </c>
    </row>
    <row r="13932" spans="1:13" s="120" customFormat="1" x14ac:dyDescent="0.25">
      <c r="A13932" s="119"/>
      <c r="B13932" s="138" t="str">
        <f t="shared" si="1237"/>
        <v/>
      </c>
      <c r="C13932" s="138" t="str">
        <f t="shared" si="1238"/>
        <v/>
      </c>
      <c r="D13932" s="138" t="str">
        <f t="shared" si="1239"/>
        <v/>
      </c>
      <c r="E13932" s="138" t="str">
        <f t="shared" si="1240"/>
        <v/>
      </c>
      <c r="F13932" s="138" t="str">
        <f t="shared" si="1241"/>
        <v/>
      </c>
      <c r="G13932" s="153" t="s">
        <v>51</v>
      </c>
      <c r="H13932" s="160"/>
      <c r="I13932" s="160" t="s">
        <v>47</v>
      </c>
      <c r="J13932" s="160" t="s">
        <v>52</v>
      </c>
      <c r="K13932" s="160" t="s">
        <v>27</v>
      </c>
      <c r="L13932" s="154" t="str">
        <f>IF(OpenLCAbasic!K13932="CTUh", "Fill in Manually",IF(OR(K13932="Unit", K13932=""), "", INDEX(LookUps!$E$5:$E$12, MATCH(OpenLCAbasic!K13932,LookUps!$D$5:$D$12,0))))</f>
        <v/>
      </c>
      <c r="M13932" s="154" t="str">
        <f t="shared" si="1236"/>
        <v>____Process__</v>
      </c>
    </row>
    <row r="13933" spans="1:13" s="120" customFormat="1" x14ac:dyDescent="0.25">
      <c r="A13933" s="119"/>
      <c r="B13933" s="138" t="str">
        <f t="shared" si="1237"/>
        <v>Aerated Static Pile</v>
      </c>
      <c r="C13933" s="138" t="str">
        <f t="shared" si="1238"/>
        <v>Without Amendment</v>
      </c>
      <c r="D13933" s="138" t="str">
        <f t="shared" si="1239"/>
        <v>Base_Low</v>
      </c>
      <c r="E13933" s="138" t="str">
        <f t="shared" si="1240"/>
        <v>High</v>
      </c>
      <c r="F13933" s="138" t="str">
        <f t="shared" si="1241"/>
        <v>Upgraded</v>
      </c>
      <c r="G13933" s="153"/>
      <c r="H13933" s="210">
        <v>0.42520000000000002</v>
      </c>
      <c r="I13933" s="160" t="s">
        <v>435</v>
      </c>
      <c r="J13933" s="160">
        <v>0.58177999999999996</v>
      </c>
      <c r="K13933" s="160" t="s">
        <v>23</v>
      </c>
      <c r="L13933" s="154" t="str">
        <f>IF(OpenLCAbasic!K13933="CTUh", "Fill in Manually",IF(OR(K13933="Unit", K13933=""), "", INDEX(LookUps!$E$5:$E$12, MATCH(OpenLCAbasic!K13933,LookUps!$D$5:$D$12,0))))</f>
        <v>Global Warming Potential (GWP) - kg CO2 eq</v>
      </c>
      <c r="M13933" s="154" t="str">
        <f t="shared" si="1236"/>
        <v>High_Base_Low_Upgraded_Global Warming Potential (GWP) - kg CO2 eq_Biosolids composting; aerated static pile; wastewater treatment unit; at updated plant - US_Without Amendment_Aerated Static Pile</v>
      </c>
    </row>
    <row r="13934" spans="1:13" s="120" customFormat="1" x14ac:dyDescent="0.25">
      <c r="A13934" s="119"/>
      <c r="B13934" s="138" t="str">
        <f t="shared" si="1237"/>
        <v>Aerated Static Pile</v>
      </c>
      <c r="C13934" s="138" t="str">
        <f t="shared" si="1238"/>
        <v>Without Amendment</v>
      </c>
      <c r="D13934" s="138" t="str">
        <f t="shared" si="1239"/>
        <v>Base_Low</v>
      </c>
      <c r="E13934" s="138" t="str">
        <f t="shared" si="1240"/>
        <v>High</v>
      </c>
      <c r="F13934" s="138" t="str">
        <f t="shared" si="1241"/>
        <v>Upgraded</v>
      </c>
      <c r="G13934" s="153"/>
      <c r="H13934" s="210">
        <v>0.17749999999999999</v>
      </c>
      <c r="I13934" s="160" t="s">
        <v>58</v>
      </c>
      <c r="J13934" s="160">
        <v>0.24279999999999999</v>
      </c>
      <c r="K13934" s="160" t="s">
        <v>23</v>
      </c>
      <c r="L13934" s="154" t="str">
        <f>IF(OpenLCAbasic!K13934="CTUh", "Fill in Manually",IF(OR(K13934="Unit", K13934=""), "", INDEX(LookUps!$E$5:$E$12, MATCH(OpenLCAbasic!K13934,LookUps!$D$5:$D$12,0))))</f>
        <v>Global Warming Potential (GWP) - kg CO2 eq</v>
      </c>
      <c r="M13934" s="154" t="str">
        <f t="shared" si="1236"/>
        <v>High_Base_Low_Upgraded_Global Warming Potential (GWP) - kg CO2 eq_Pre-Anoxic &amp; Swing tank; wastewater treatment unit; at updated plant - US_Without Amendment_Aerated Static Pile</v>
      </c>
    </row>
    <row r="13935" spans="1:13" s="120" customFormat="1" x14ac:dyDescent="0.25">
      <c r="A13935" s="119"/>
      <c r="B13935" s="138" t="str">
        <f t="shared" si="1237"/>
        <v>Aerated Static Pile</v>
      </c>
      <c r="C13935" s="138" t="str">
        <f t="shared" si="1238"/>
        <v>Without Amendment</v>
      </c>
      <c r="D13935" s="138" t="str">
        <f t="shared" si="1239"/>
        <v>Base_Low</v>
      </c>
      <c r="E13935" s="138" t="str">
        <f t="shared" si="1240"/>
        <v>High</v>
      </c>
      <c r="F13935" s="138" t="str">
        <f t="shared" si="1241"/>
        <v>Upgraded</v>
      </c>
      <c r="G13935" s="153"/>
      <c r="H13935" s="210">
        <v>0.12820000000000001</v>
      </c>
      <c r="I13935" s="160" t="s">
        <v>149</v>
      </c>
      <c r="J13935" s="160">
        <v>0.17544999999999999</v>
      </c>
      <c r="K13935" s="160" t="s">
        <v>23</v>
      </c>
      <c r="L13935" s="154" t="str">
        <f>IF(OpenLCAbasic!K13935="CTUh", "Fill in Manually",IF(OR(K13935="Unit", K13935=""), "", INDEX(LookUps!$E$5:$E$12, MATCH(OpenLCAbasic!K13935,LookUps!$D$5:$D$12,0))))</f>
        <v>Global Warming Potential (GWP) - kg CO2 eq</v>
      </c>
      <c r="M13935" s="154" t="str">
        <f t="shared" si="1236"/>
        <v>High_Base_Low_Upgraded_Global Warming Potential (GWP) - kg CO2 eq_Anaerobic Digestion; wastewater treatment unit; at updated plant - US_Without Amendment_Aerated Static Pile</v>
      </c>
    </row>
    <row r="13936" spans="1:13" s="120" customFormat="1" x14ac:dyDescent="0.25">
      <c r="A13936" s="119"/>
      <c r="B13936" s="138" t="str">
        <f t="shared" si="1237"/>
        <v>Aerated Static Pile</v>
      </c>
      <c r="C13936" s="138" t="str">
        <f t="shared" si="1238"/>
        <v>Without Amendment</v>
      </c>
      <c r="D13936" s="138" t="str">
        <f t="shared" si="1239"/>
        <v>Base_Low</v>
      </c>
      <c r="E13936" s="138" t="str">
        <f t="shared" si="1240"/>
        <v>High</v>
      </c>
      <c r="F13936" s="138" t="str">
        <f t="shared" si="1241"/>
        <v>Upgraded</v>
      </c>
      <c r="G13936" s="153"/>
      <c r="H13936" s="210">
        <v>0.123</v>
      </c>
      <c r="I13936" s="160" t="s">
        <v>55</v>
      </c>
      <c r="J13936" s="160">
        <v>0.16822000000000001</v>
      </c>
      <c r="K13936" s="160" t="s">
        <v>23</v>
      </c>
      <c r="L13936" s="154" t="str">
        <f>IF(OpenLCAbasic!K13936="CTUh", "Fill in Manually",IF(OR(K13936="Unit", K13936=""), "", INDEX(LookUps!$E$5:$E$12, MATCH(OpenLCAbasic!K13936,LookUps!$D$5:$D$12,0))))</f>
        <v>Global Warming Potential (GWP) - kg CO2 eq</v>
      </c>
      <c r="M13936" s="154" t="str">
        <f t="shared" si="1236"/>
        <v>High_Base_Low_Upgraded_Global Warming Potential (GWP) - kg CO2 eq_Aeration Tanks; wastewater treatment unit; at updated plant - US_Without Amendment_Aerated Static Pile</v>
      </c>
    </row>
    <row r="13937" spans="1:13" s="120" customFormat="1" x14ac:dyDescent="0.25">
      <c r="A13937" s="119"/>
      <c r="B13937" s="138" t="str">
        <f t="shared" si="1237"/>
        <v>Aerated Static Pile</v>
      </c>
      <c r="C13937" s="138" t="str">
        <f t="shared" si="1238"/>
        <v>Without Amendment</v>
      </c>
      <c r="D13937" s="138" t="str">
        <f t="shared" si="1239"/>
        <v>Base_Low</v>
      </c>
      <c r="E13937" s="138" t="str">
        <f t="shared" si="1240"/>
        <v>High</v>
      </c>
      <c r="F13937" s="138" t="str">
        <f t="shared" si="1241"/>
        <v>Upgraded</v>
      </c>
      <c r="G13937" s="153"/>
      <c r="H13937" s="210">
        <v>7.4899999999999994E-2</v>
      </c>
      <c r="I13937" s="160" t="s">
        <v>167</v>
      </c>
      <c r="J13937" s="160">
        <v>0.10241</v>
      </c>
      <c r="K13937" s="160" t="s">
        <v>23</v>
      </c>
      <c r="L13937" s="154" t="str">
        <f>IF(OpenLCAbasic!K13937="CTUh", "Fill in Manually",IF(OR(K13937="Unit", K13937=""), "", INDEX(LookUps!$E$5:$E$12, MATCH(OpenLCAbasic!K13937,LookUps!$D$5:$D$12,0))))</f>
        <v>Global Warming Potential (GWP) - kg CO2 eq</v>
      </c>
      <c r="M13937" s="154" t="str">
        <f t="shared" si="1236"/>
        <v>High_Base_Low_Upgraded_Global Warming Potential (GWP) - kg CO2 eq_Waste Receiving and Holding; wastewater treatment unit; at updated plant - US_Without Amendment_Aerated Static Pile</v>
      </c>
    </row>
    <row r="13938" spans="1:13" s="120" customFormat="1" x14ac:dyDescent="0.25">
      <c r="A13938" s="119"/>
      <c r="B13938" s="138" t="str">
        <f t="shared" si="1237"/>
        <v>Aerated Static Pile</v>
      </c>
      <c r="C13938" s="138" t="str">
        <f t="shared" si="1238"/>
        <v>Without Amendment</v>
      </c>
      <c r="D13938" s="138" t="str">
        <f t="shared" si="1239"/>
        <v>Base_Low</v>
      </c>
      <c r="E13938" s="138" t="str">
        <f t="shared" si="1240"/>
        <v>High</v>
      </c>
      <c r="F13938" s="138" t="str">
        <f t="shared" si="1241"/>
        <v>Upgraded</v>
      </c>
      <c r="G13938" s="153"/>
      <c r="H13938" s="210">
        <v>4.1700000000000001E-2</v>
      </c>
      <c r="I13938" s="160" t="s">
        <v>54</v>
      </c>
      <c r="J13938" s="160">
        <v>5.7079999999999999E-2</v>
      </c>
      <c r="K13938" s="160" t="s">
        <v>23</v>
      </c>
      <c r="L13938" s="154" t="str">
        <f>IF(OpenLCAbasic!K13938="CTUh", "Fill in Manually",IF(OR(K13938="Unit", K13938=""), "", INDEX(LookUps!$E$5:$E$12, MATCH(OpenLCAbasic!K13938,LookUps!$D$5:$D$12,0))))</f>
        <v>Global Warming Potential (GWP) - kg CO2 eq</v>
      </c>
      <c r="M13938" s="154" t="str">
        <f t="shared" si="1236"/>
        <v>High_Base_Low_Upgraded_Global Warming Potential (GWP) - kg CO2 eq_Clear Cove Primary Clarification; wastewater treatment unit; at updated plant - US_Without Amendment_Aerated Static Pile</v>
      </c>
    </row>
    <row r="13939" spans="1:13" s="120" customFormat="1" x14ac:dyDescent="0.25">
      <c r="A13939" s="119"/>
      <c r="B13939" s="138" t="str">
        <f t="shared" si="1237"/>
        <v>Aerated Static Pile</v>
      </c>
      <c r="C13939" s="138" t="str">
        <f t="shared" si="1238"/>
        <v>Without Amendment</v>
      </c>
      <c r="D13939" s="138" t="str">
        <f t="shared" si="1239"/>
        <v>Base_Low</v>
      </c>
      <c r="E13939" s="138" t="str">
        <f t="shared" si="1240"/>
        <v>High</v>
      </c>
      <c r="F13939" s="138" t="str">
        <f t="shared" si="1241"/>
        <v>Upgraded</v>
      </c>
      <c r="G13939" s="153"/>
      <c r="H13939" s="210">
        <v>3.85E-2</v>
      </c>
      <c r="I13939" s="160" t="s">
        <v>48</v>
      </c>
      <c r="J13939" s="160">
        <v>5.2639999999999999E-2</v>
      </c>
      <c r="K13939" s="160" t="s">
        <v>23</v>
      </c>
      <c r="L13939" s="154" t="str">
        <f>IF(OpenLCAbasic!K13939="CTUh", "Fill in Manually",IF(OR(K13939="Unit", K13939=""), "", INDEX(LookUps!$E$5:$E$12, MATCH(OpenLCAbasic!K13939,LookUps!$D$5:$D$12,0))))</f>
        <v>Global Warming Potential (GWP) - kg CO2 eq</v>
      </c>
      <c r="M13939" s="154" t="str">
        <f t="shared" si="1236"/>
        <v>High_Base_Low_Upgraded_Global Warming Potential (GWP) - kg CO2 eq_Effluent release; wastewater treatment unit; at surface water; m3 wastewater - US_Without Amendment_Aerated Static Pile</v>
      </c>
    </row>
    <row r="13940" spans="1:13" s="120" customFormat="1" x14ac:dyDescent="0.25">
      <c r="A13940" s="119"/>
      <c r="B13940" s="138" t="str">
        <f t="shared" si="1237"/>
        <v>Aerated Static Pile</v>
      </c>
      <c r="C13940" s="138" t="str">
        <f t="shared" si="1238"/>
        <v>Without Amendment</v>
      </c>
      <c r="D13940" s="138" t="str">
        <f t="shared" si="1239"/>
        <v>Base_Low</v>
      </c>
      <c r="E13940" s="138" t="str">
        <f t="shared" si="1240"/>
        <v>High</v>
      </c>
      <c r="F13940" s="138" t="str">
        <f t="shared" si="1241"/>
        <v>Upgraded</v>
      </c>
      <c r="G13940" s="153"/>
      <c r="H13940" s="210">
        <v>3.6900000000000002E-2</v>
      </c>
      <c r="I13940" s="160" t="s">
        <v>147</v>
      </c>
      <c r="J13940" s="160">
        <v>5.0500000000000003E-2</v>
      </c>
      <c r="K13940" s="160" t="s">
        <v>23</v>
      </c>
      <c r="L13940" s="154" t="str">
        <f>IF(OpenLCAbasic!K13940="CTUh", "Fill in Manually",IF(OR(K13940="Unit", K13940=""), "", INDEX(LookUps!$E$5:$E$12, MATCH(OpenLCAbasic!K13940,LookUps!$D$5:$D$12,0))))</f>
        <v>Global Warming Potential (GWP) - kg CO2 eq</v>
      </c>
      <c r="M13940" s="154" t="str">
        <f t="shared" si="1236"/>
        <v>High_Base_Low_Upgraded_Global Warming Potential (GWP) - kg CO2 eq_Influent Pump Station; wastewater treatment unit; at updated plant - US_Without Amendment_Aerated Static Pile</v>
      </c>
    </row>
    <row r="13941" spans="1:13" s="120" customFormat="1" x14ac:dyDescent="0.25">
      <c r="A13941" s="119"/>
      <c r="B13941" s="138" t="str">
        <f t="shared" si="1237"/>
        <v>Aerated Static Pile</v>
      </c>
      <c r="C13941" s="138" t="str">
        <f t="shared" si="1238"/>
        <v>Without Amendment</v>
      </c>
      <c r="D13941" s="138" t="str">
        <f t="shared" si="1239"/>
        <v>Base_Low</v>
      </c>
      <c r="E13941" s="138" t="str">
        <f t="shared" si="1240"/>
        <v>High</v>
      </c>
      <c r="F13941" s="138" t="str">
        <f t="shared" si="1241"/>
        <v>Upgraded</v>
      </c>
      <c r="G13941" s="153"/>
      <c r="H13941" s="210">
        <v>2.4299999999999999E-2</v>
      </c>
      <c r="I13941" s="160" t="s">
        <v>53</v>
      </c>
      <c r="J13941" s="160">
        <v>3.3259999999999998E-2</v>
      </c>
      <c r="K13941" s="160" t="s">
        <v>23</v>
      </c>
      <c r="L13941" s="154" t="str">
        <f>IF(OpenLCAbasic!K13941="CTUh", "Fill in Manually",IF(OR(K13941="Unit", K13941=""), "", INDEX(LookUps!$E$5:$E$12, MATCH(OpenLCAbasic!K13941,LookUps!$D$5:$D$12,0))))</f>
        <v>Global Warming Potential (GWP) - kg CO2 eq</v>
      </c>
      <c r="M13941" s="154" t="str">
        <f t="shared" si="1236"/>
        <v>High_Base_Low_Upgraded_Global Warming Potential (GWP) - kg CO2 eq_Wet Well and Sump Station; wastewater treatment unit; at updated plant - US_Without Amendment_Aerated Static Pile</v>
      </c>
    </row>
    <row r="13942" spans="1:13" s="120" customFormat="1" x14ac:dyDescent="0.25">
      <c r="A13942" s="119"/>
      <c r="B13942" s="138" t="str">
        <f t="shared" si="1237"/>
        <v>Aerated Static Pile</v>
      </c>
      <c r="C13942" s="138" t="str">
        <f t="shared" si="1238"/>
        <v>Without Amendment</v>
      </c>
      <c r="D13942" s="138" t="str">
        <f t="shared" si="1239"/>
        <v>Base_Low</v>
      </c>
      <c r="E13942" s="138" t="str">
        <f t="shared" si="1240"/>
        <v>High</v>
      </c>
      <c r="F13942" s="138" t="str">
        <f t="shared" si="1241"/>
        <v>Upgraded</v>
      </c>
      <c r="G13942" s="153"/>
      <c r="H13942" s="210">
        <v>1.06E-2</v>
      </c>
      <c r="I13942" s="160" t="s">
        <v>57</v>
      </c>
      <c r="J13942" s="160">
        <v>1.455E-2</v>
      </c>
      <c r="K13942" s="160" t="s">
        <v>23</v>
      </c>
      <c r="L13942" s="154" t="str">
        <f>IF(OpenLCAbasic!K13942="CTUh", "Fill in Manually",IF(OR(K13942="Unit", K13942=""), "", INDEX(LookUps!$E$5:$E$12, MATCH(OpenLCAbasic!K13942,LookUps!$D$5:$D$12,0))))</f>
        <v>Global Warming Potential (GWP) - kg CO2 eq</v>
      </c>
      <c r="M13942" s="154" t="str">
        <f t="shared" si="1236"/>
        <v>High_Base_Low_Upgraded_Global Warming Potential (GWP) - kg CO2 eq_Gravity Belt Thickener; wastewater treatment unit; at updated plant - US_Without Amendment_Aerated Static Pile</v>
      </c>
    </row>
    <row r="13943" spans="1:13" s="120" customFormat="1" x14ac:dyDescent="0.25">
      <c r="A13943" s="119"/>
      <c r="B13943" s="138" t="str">
        <f t="shared" si="1237"/>
        <v>Aerated Static Pile</v>
      </c>
      <c r="C13943" s="138" t="str">
        <f t="shared" si="1238"/>
        <v>Without Amendment</v>
      </c>
      <c r="D13943" s="138" t="str">
        <f t="shared" si="1239"/>
        <v>Base_Low</v>
      </c>
      <c r="E13943" s="138" t="str">
        <f t="shared" si="1240"/>
        <v>High</v>
      </c>
      <c r="F13943" s="138" t="str">
        <f t="shared" si="1241"/>
        <v>Upgraded</v>
      </c>
      <c r="G13943" s="153"/>
      <c r="H13943" s="210">
        <v>1.04E-2</v>
      </c>
      <c r="I13943" s="160" t="s">
        <v>60</v>
      </c>
      <c r="J13943" s="160">
        <v>1.418E-2</v>
      </c>
      <c r="K13943" s="160" t="s">
        <v>23</v>
      </c>
      <c r="L13943" s="154" t="str">
        <f>IF(OpenLCAbasic!K13943="CTUh", "Fill in Manually",IF(OR(K13943="Unit", K13943=""), "", INDEX(LookUps!$E$5:$E$12, MATCH(OpenLCAbasic!K13943,LookUps!$D$5:$D$12,0))))</f>
        <v>Global Warming Potential (GWP) - kg CO2 eq</v>
      </c>
      <c r="M13943" s="154" t="str">
        <f t="shared" si="1236"/>
        <v>High_Base_Low_Upgraded_Global Warming Potential (GWP) - kg CO2 eq_Belt filter press; wastewater treatment unit; at updated plant - US_Without Amendment_Aerated Static Pile</v>
      </c>
    </row>
    <row r="13944" spans="1:13" s="120" customFormat="1" x14ac:dyDescent="0.25">
      <c r="A13944" s="119"/>
      <c r="B13944" s="138" t="str">
        <f t="shared" si="1237"/>
        <v>Aerated Static Pile</v>
      </c>
      <c r="C13944" s="138" t="str">
        <f t="shared" si="1238"/>
        <v>Without Amendment</v>
      </c>
      <c r="D13944" s="138" t="str">
        <f t="shared" si="1239"/>
        <v>Base_Low</v>
      </c>
      <c r="E13944" s="138" t="str">
        <f t="shared" si="1240"/>
        <v>High</v>
      </c>
      <c r="F13944" s="138" t="str">
        <f t="shared" si="1241"/>
        <v>Upgraded</v>
      </c>
      <c r="G13944" s="153"/>
      <c r="H13944" s="210">
        <v>9.9000000000000008E-3</v>
      </c>
      <c r="I13944" s="160" t="s">
        <v>128</v>
      </c>
      <c r="J13944" s="160">
        <v>1.3509999999999999E-2</v>
      </c>
      <c r="K13944" s="160" t="s">
        <v>23</v>
      </c>
      <c r="L13944" s="154" t="str">
        <f>IF(OpenLCAbasic!K13944="CTUh", "Fill in Manually",IF(OR(K13944="Unit", K13944=""), "", INDEX(LookUps!$E$5:$E$12, MATCH(OpenLCAbasic!K13944,LookUps!$D$5:$D$12,0))))</f>
        <v>Global Warming Potential (GWP) - kg CO2 eq</v>
      </c>
      <c r="M13944" s="154" t="str">
        <f t="shared" si="1236"/>
        <v>High_Base_Low_Upgraded_Global Warming Potential (GWP) - kg CO2 eq_Wastewater collection; operation and infrastructure; m3 wastewater_Without Amendment_Aerated Static Pile</v>
      </c>
    </row>
    <row r="13945" spans="1:13" s="120" customFormat="1" x14ac:dyDescent="0.25">
      <c r="A13945" s="119"/>
      <c r="B13945" s="138" t="str">
        <f t="shared" si="1237"/>
        <v>Aerated Static Pile</v>
      </c>
      <c r="C13945" s="138" t="str">
        <f t="shared" si="1238"/>
        <v>Without Amendment</v>
      </c>
      <c r="D13945" s="138" t="str">
        <f t="shared" si="1239"/>
        <v>Base_Low</v>
      </c>
      <c r="E13945" s="138" t="str">
        <f t="shared" si="1240"/>
        <v>High</v>
      </c>
      <c r="F13945" s="138" t="str">
        <f t="shared" si="1241"/>
        <v>Upgraded</v>
      </c>
      <c r="G13945" s="153"/>
      <c r="H13945" s="210">
        <v>6.1000000000000004E-3</v>
      </c>
      <c r="I13945" s="160" t="s">
        <v>148</v>
      </c>
      <c r="J13945" s="160">
        <v>8.3000000000000001E-3</v>
      </c>
      <c r="K13945" s="160" t="s">
        <v>23</v>
      </c>
      <c r="L13945" s="154" t="str">
        <f>IF(OpenLCAbasic!K13945="CTUh", "Fill in Manually",IF(OR(K13945="Unit", K13945=""), "", INDEX(LookUps!$E$5:$E$12, MATCH(OpenLCAbasic!K13945,LookUps!$D$5:$D$12,0))))</f>
        <v>Global Warming Potential (GWP) - kg CO2 eq</v>
      </c>
      <c r="M13945" s="154" t="str">
        <f t="shared" si="1236"/>
        <v>High_Base_Low_Upgraded_Global Warming Potential (GWP) - kg CO2 eq_Control Building; at upgraded wastewater treatment plant - US_Without Amendment_Aerated Static Pile</v>
      </c>
    </row>
    <row r="13946" spans="1:13" s="120" customFormat="1" x14ac:dyDescent="0.25">
      <c r="A13946" s="119"/>
      <c r="B13946" s="138" t="str">
        <f t="shared" si="1237"/>
        <v>Aerated Static Pile</v>
      </c>
      <c r="C13946" s="138" t="str">
        <f t="shared" si="1238"/>
        <v>Without Amendment</v>
      </c>
      <c r="D13946" s="138" t="str">
        <f t="shared" si="1239"/>
        <v>Base_Low</v>
      </c>
      <c r="E13946" s="138" t="str">
        <f t="shared" si="1240"/>
        <v>High</v>
      </c>
      <c r="F13946" s="138" t="str">
        <f t="shared" si="1241"/>
        <v>Upgraded</v>
      </c>
      <c r="G13946" s="153"/>
      <c r="H13946" s="210">
        <v>3.7000000000000002E-3</v>
      </c>
      <c r="I13946" s="160" t="s">
        <v>59</v>
      </c>
      <c r="J13946" s="160">
        <v>5.0400000000000002E-3</v>
      </c>
      <c r="K13946" s="160" t="s">
        <v>23</v>
      </c>
      <c r="L13946" s="154" t="str">
        <f>IF(OpenLCAbasic!K13946="CTUh", "Fill in Manually",IF(OR(K13946="Unit", K13946=""), "", INDEX(LookUps!$E$5:$E$12, MATCH(OpenLCAbasic!K13946,LookUps!$D$5:$D$12,0))))</f>
        <v>Global Warming Potential (GWP) - kg CO2 eq</v>
      </c>
      <c r="M13946" s="154" t="str">
        <f t="shared" si="1236"/>
        <v>High_Base_Low_Upgraded_Global Warming Potential (GWP) - kg CO2 eq_Blend Tank; wastewater treatment unit; at updated plant - US_Without Amendment_Aerated Static Pile</v>
      </c>
    </row>
    <row r="13947" spans="1:13" s="120" customFormat="1" x14ac:dyDescent="0.25">
      <c r="A13947" s="119"/>
      <c r="B13947" s="138" t="str">
        <f t="shared" si="1237"/>
        <v>Aerated Static Pile</v>
      </c>
      <c r="C13947" s="138" t="str">
        <f t="shared" si="1238"/>
        <v>Without Amendment</v>
      </c>
      <c r="D13947" s="138" t="str">
        <f t="shared" si="1239"/>
        <v>Base_Low</v>
      </c>
      <c r="E13947" s="138" t="str">
        <f t="shared" si="1240"/>
        <v>High</v>
      </c>
      <c r="F13947" s="138" t="str">
        <f t="shared" si="1241"/>
        <v>Upgraded</v>
      </c>
      <c r="G13947" s="153"/>
      <c r="H13947" s="210">
        <v>1.8E-3</v>
      </c>
      <c r="I13947" s="160" t="s">
        <v>168</v>
      </c>
      <c r="J13947" s="160">
        <v>2.4099999999999998E-3</v>
      </c>
      <c r="K13947" s="160" t="s">
        <v>23</v>
      </c>
      <c r="L13947" s="154" t="str">
        <f>IF(OpenLCAbasic!K13947="CTUh", "Fill in Manually",IF(OR(K13947="Unit", K13947=""), "", INDEX(LookUps!$E$5:$E$12, MATCH(OpenLCAbasic!K13947,LookUps!$D$5:$D$12,0))))</f>
        <v>Global Warming Potential (GWP) - kg CO2 eq</v>
      </c>
      <c r="M13947" s="154" t="str">
        <f t="shared" si="1236"/>
        <v>High_Base_Low_Upgraded_Global Warming Potential (GWP) - kg CO2 eq_ClearCove SCP; wastewater treatment unit; at updated plant - US_Without Amendment_Aerated Static Pile</v>
      </c>
    </row>
    <row r="13948" spans="1:13" s="120" customFormat="1" x14ac:dyDescent="0.25">
      <c r="A13948" s="119"/>
      <c r="B13948" s="138" t="str">
        <f t="shared" si="1237"/>
        <v>Aerated Static Pile</v>
      </c>
      <c r="C13948" s="138" t="str">
        <f t="shared" si="1238"/>
        <v>Without Amendment</v>
      </c>
      <c r="D13948" s="138" t="str">
        <f t="shared" si="1239"/>
        <v>Base_Low</v>
      </c>
      <c r="E13948" s="138" t="str">
        <f t="shared" si="1240"/>
        <v>High</v>
      </c>
      <c r="F13948" s="138" t="str">
        <f t="shared" si="1241"/>
        <v>Upgraded</v>
      </c>
      <c r="G13948" s="153"/>
      <c r="H13948" s="210">
        <v>-0.11260000000000001</v>
      </c>
      <c r="I13948" s="160" t="s">
        <v>62</v>
      </c>
      <c r="J13948" s="160">
        <v>-0.15398999999999999</v>
      </c>
      <c r="K13948" s="160" t="s">
        <v>23</v>
      </c>
      <c r="L13948" s="154" t="str">
        <f>IF(OpenLCAbasic!K13948="CTUh", "Fill in Manually",IF(OR(K13948="Unit", K13948=""), "", INDEX(LookUps!$E$5:$E$12, MATCH(OpenLCAbasic!K13948,LookUps!$D$5:$D$12,0))))</f>
        <v>Global Warming Potential (GWP) - kg CO2 eq</v>
      </c>
      <c r="M13948" s="154" t="str">
        <f t="shared" si="1236"/>
        <v>High_Base_Low_Upgraded_Global Warming Potential (GWP) - kg CO2 eq_Land application of compost; wastewater treatment unit; at updated plant - US_Without Amendment_Aerated Static Pile</v>
      </c>
    </row>
    <row r="13949" spans="1:13" s="120" customFormat="1" x14ac:dyDescent="0.25">
      <c r="A13949" s="119"/>
      <c r="B13949" s="138" t="str">
        <f t="shared" si="1237"/>
        <v/>
      </c>
      <c r="C13949" s="138" t="str">
        <f t="shared" si="1238"/>
        <v/>
      </c>
      <c r="D13949" s="138" t="str">
        <f t="shared" si="1239"/>
        <v/>
      </c>
      <c r="E13949" s="138" t="str">
        <f t="shared" si="1240"/>
        <v/>
      </c>
      <c r="F13949" s="138" t="str">
        <f t="shared" si="1241"/>
        <v/>
      </c>
      <c r="G13949" s="153" t="s">
        <v>51</v>
      </c>
      <c r="H13949" s="160"/>
      <c r="I13949" s="160" t="s">
        <v>47</v>
      </c>
      <c r="J13949" s="160" t="s">
        <v>52</v>
      </c>
      <c r="K13949" s="160" t="s">
        <v>27</v>
      </c>
      <c r="L13949" s="154" t="str">
        <f>IF(OpenLCAbasic!K13949="CTUh", "Fill in Manually",IF(OR(K13949="Unit", K13949=""), "", INDEX(LookUps!$E$5:$E$12, MATCH(OpenLCAbasic!K13949,LookUps!$D$5:$D$12,0))))</f>
        <v/>
      </c>
      <c r="M13949" s="154" t="str">
        <f t="shared" si="1236"/>
        <v>____Process__</v>
      </c>
    </row>
    <row r="13950" spans="1:13" s="120" customFormat="1" x14ac:dyDescent="0.25">
      <c r="A13950" s="119"/>
      <c r="B13950" s="138" t="str">
        <f t="shared" si="1237"/>
        <v>Aerated Static Pile</v>
      </c>
      <c r="C13950" s="138" t="str">
        <f t="shared" si="1238"/>
        <v>Without Amendment</v>
      </c>
      <c r="D13950" s="138" t="str">
        <f t="shared" si="1239"/>
        <v>Base_Low</v>
      </c>
      <c r="E13950" s="138" t="str">
        <f t="shared" si="1240"/>
        <v>High</v>
      </c>
      <c r="F13950" s="138" t="str">
        <f t="shared" si="1241"/>
        <v>Upgraded</v>
      </c>
      <c r="G13950" s="153"/>
      <c r="H13950" s="210">
        <v>0.40239999999999998</v>
      </c>
      <c r="I13950" s="160" t="s">
        <v>55</v>
      </c>
      <c r="J13950" s="160">
        <v>2.33E-3</v>
      </c>
      <c r="K13950" s="160" t="s">
        <v>145</v>
      </c>
      <c r="L13950" s="154" t="str">
        <f>IF(OpenLCAbasic!K13950="CTUh", "Fill in Manually",IF(OR(K13950="Unit", K13950=""), "", INDEX(LookUps!$E$5:$E$12, MATCH(OpenLCAbasic!K13950,LookUps!$D$5:$D$12,0))))</f>
        <v>Particulate Matter Formation Potential (PMFP) - kg PM2.5 eq</v>
      </c>
      <c r="M13950" s="154" t="str">
        <f t="shared" si="1236"/>
        <v>High_Base_Low_Upgraded_Particulate Matter Formation Potential (PMFP) - kg PM2.5 eq_Aeration Tanks; wastewater treatment unit; at updated plant - US_Without Amendment_Aerated Static Pile</v>
      </c>
    </row>
    <row r="13951" spans="1:13" s="120" customFormat="1" x14ac:dyDescent="0.25">
      <c r="A13951" s="119"/>
      <c r="B13951" s="138" t="str">
        <f t="shared" si="1237"/>
        <v>Aerated Static Pile</v>
      </c>
      <c r="C13951" s="138" t="str">
        <f t="shared" si="1238"/>
        <v>Without Amendment</v>
      </c>
      <c r="D13951" s="138" t="str">
        <f t="shared" si="1239"/>
        <v>Base_Low</v>
      </c>
      <c r="E13951" s="138" t="str">
        <f t="shared" si="1240"/>
        <v>High</v>
      </c>
      <c r="F13951" s="138" t="str">
        <f t="shared" si="1241"/>
        <v>Upgraded</v>
      </c>
      <c r="G13951" s="153"/>
      <c r="H13951" s="210">
        <v>0.1171</v>
      </c>
      <c r="I13951" s="160" t="s">
        <v>54</v>
      </c>
      <c r="J13951" s="160">
        <v>6.8000000000000005E-4</v>
      </c>
      <c r="K13951" s="160" t="s">
        <v>145</v>
      </c>
      <c r="L13951" s="154" t="str">
        <f>IF(OpenLCAbasic!K13951="CTUh", "Fill in Manually",IF(OR(K13951="Unit", K13951=""), "", INDEX(LookUps!$E$5:$E$12, MATCH(OpenLCAbasic!K13951,LookUps!$D$5:$D$12,0))))</f>
        <v>Particulate Matter Formation Potential (PMFP) - kg PM2.5 eq</v>
      </c>
      <c r="M13951" s="154" t="str">
        <f t="shared" si="1236"/>
        <v>High_Base_Low_Upgraded_Particulate Matter Formation Potential (PMFP) - kg PM2.5 eq_Clear Cove Primary Clarification; wastewater treatment unit; at updated plant - US_Without Amendment_Aerated Static Pile</v>
      </c>
    </row>
    <row r="13952" spans="1:13" s="120" customFormat="1" x14ac:dyDescent="0.25">
      <c r="A13952" s="119"/>
      <c r="B13952" s="138" t="str">
        <f t="shared" si="1237"/>
        <v>Aerated Static Pile</v>
      </c>
      <c r="C13952" s="138" t="str">
        <f t="shared" si="1238"/>
        <v>Without Amendment</v>
      </c>
      <c r="D13952" s="138" t="str">
        <f t="shared" si="1239"/>
        <v>Base_Low</v>
      </c>
      <c r="E13952" s="138" t="str">
        <f t="shared" si="1240"/>
        <v>High</v>
      </c>
      <c r="F13952" s="138" t="str">
        <f t="shared" si="1241"/>
        <v>Upgraded</v>
      </c>
      <c r="G13952" s="153"/>
      <c r="H13952" s="210">
        <v>0.1012</v>
      </c>
      <c r="I13952" s="160" t="s">
        <v>58</v>
      </c>
      <c r="J13952" s="160">
        <v>5.9000000000000003E-4</v>
      </c>
      <c r="K13952" s="160" t="s">
        <v>145</v>
      </c>
      <c r="L13952" s="154" t="str">
        <f>IF(OpenLCAbasic!K13952="CTUh", "Fill in Manually",IF(OR(K13952="Unit", K13952=""), "", INDEX(LookUps!$E$5:$E$12, MATCH(OpenLCAbasic!K13952,LookUps!$D$5:$D$12,0))))</f>
        <v>Particulate Matter Formation Potential (PMFP) - kg PM2.5 eq</v>
      </c>
      <c r="M13952" s="154" t="str">
        <f t="shared" si="1236"/>
        <v>High_Base_Low_Upgraded_Particulate Matter Formation Potential (PMFP) - kg PM2.5 eq_Pre-Anoxic &amp; Swing tank; wastewater treatment unit; at updated plant - US_Without Amendment_Aerated Static Pile</v>
      </c>
    </row>
    <row r="13953" spans="1:13" s="120" customFormat="1" x14ac:dyDescent="0.25">
      <c r="A13953" s="119"/>
      <c r="B13953" s="138" t="str">
        <f t="shared" si="1237"/>
        <v>Aerated Static Pile</v>
      </c>
      <c r="C13953" s="138" t="str">
        <f t="shared" si="1238"/>
        <v>Without Amendment</v>
      </c>
      <c r="D13953" s="138" t="str">
        <f t="shared" si="1239"/>
        <v>Base_Low</v>
      </c>
      <c r="E13953" s="138" t="str">
        <f t="shared" si="1240"/>
        <v>High</v>
      </c>
      <c r="F13953" s="138" t="str">
        <f t="shared" si="1241"/>
        <v>Upgraded</v>
      </c>
      <c r="G13953" s="153"/>
      <c r="H13953" s="210">
        <v>8.0500000000000002E-2</v>
      </c>
      <c r="I13953" s="160" t="s">
        <v>53</v>
      </c>
      <c r="J13953" s="160">
        <v>4.6999999999999999E-4</v>
      </c>
      <c r="K13953" s="160" t="s">
        <v>145</v>
      </c>
      <c r="L13953" s="154" t="str">
        <f>IF(OpenLCAbasic!K13953="CTUh", "Fill in Manually",IF(OR(K13953="Unit", K13953=""), "", INDEX(LookUps!$E$5:$E$12, MATCH(OpenLCAbasic!K13953,LookUps!$D$5:$D$12,0))))</f>
        <v>Particulate Matter Formation Potential (PMFP) - kg PM2.5 eq</v>
      </c>
      <c r="M13953" s="154" t="str">
        <f t="shared" si="1236"/>
        <v>High_Base_Low_Upgraded_Particulate Matter Formation Potential (PMFP) - kg PM2.5 eq_Wet Well and Sump Station; wastewater treatment unit; at updated plant - US_Without Amendment_Aerated Static Pile</v>
      </c>
    </row>
    <row r="13954" spans="1:13" s="120" customFormat="1" x14ac:dyDescent="0.25">
      <c r="A13954" s="119"/>
      <c r="B13954" s="138" t="str">
        <f t="shared" si="1237"/>
        <v>Aerated Static Pile</v>
      </c>
      <c r="C13954" s="138" t="str">
        <f t="shared" si="1238"/>
        <v>Without Amendment</v>
      </c>
      <c r="D13954" s="138" t="str">
        <f t="shared" si="1239"/>
        <v>Base_Low</v>
      </c>
      <c r="E13954" s="138" t="str">
        <f t="shared" si="1240"/>
        <v>High</v>
      </c>
      <c r="F13954" s="138" t="str">
        <f t="shared" si="1241"/>
        <v>Upgraded</v>
      </c>
      <c r="G13954" s="153"/>
      <c r="H13954" s="210">
        <v>5.8200000000000002E-2</v>
      </c>
      <c r="I13954" s="160" t="s">
        <v>149</v>
      </c>
      <c r="J13954" s="160">
        <v>3.4000000000000002E-4</v>
      </c>
      <c r="K13954" s="160" t="s">
        <v>145</v>
      </c>
      <c r="L13954" s="154" t="str">
        <f>IF(OpenLCAbasic!K13954="CTUh", "Fill in Manually",IF(OR(K13954="Unit", K13954=""), "", INDEX(LookUps!$E$5:$E$12, MATCH(OpenLCAbasic!K13954,LookUps!$D$5:$D$12,0))))</f>
        <v>Particulate Matter Formation Potential (PMFP) - kg PM2.5 eq</v>
      </c>
      <c r="M13954" s="154" t="str">
        <f t="shared" si="1236"/>
        <v>High_Base_Low_Upgraded_Particulate Matter Formation Potential (PMFP) - kg PM2.5 eq_Anaerobic Digestion; wastewater treatment unit; at updated plant - US_Without Amendment_Aerated Static Pile</v>
      </c>
    </row>
    <row r="13955" spans="1:13" s="120" customFormat="1" x14ac:dyDescent="0.25">
      <c r="A13955" s="119"/>
      <c r="B13955" s="138" t="str">
        <f t="shared" si="1237"/>
        <v>Aerated Static Pile</v>
      </c>
      <c r="C13955" s="138" t="str">
        <f t="shared" si="1238"/>
        <v>Without Amendment</v>
      </c>
      <c r="D13955" s="138" t="str">
        <f t="shared" si="1239"/>
        <v>Base_Low</v>
      </c>
      <c r="E13955" s="138" t="str">
        <f t="shared" si="1240"/>
        <v>High</v>
      </c>
      <c r="F13955" s="138" t="str">
        <f t="shared" si="1241"/>
        <v>Upgraded</v>
      </c>
      <c r="G13955" s="153"/>
      <c r="H13955" s="210">
        <v>5.16E-2</v>
      </c>
      <c r="I13955" s="160" t="s">
        <v>167</v>
      </c>
      <c r="J13955" s="160">
        <v>2.9999999999999997E-4</v>
      </c>
      <c r="K13955" s="160" t="s">
        <v>145</v>
      </c>
      <c r="L13955" s="154" t="str">
        <f>IF(OpenLCAbasic!K13955="CTUh", "Fill in Manually",IF(OR(K13955="Unit", K13955=""), "", INDEX(LookUps!$E$5:$E$12, MATCH(OpenLCAbasic!K13955,LookUps!$D$5:$D$12,0))))</f>
        <v>Particulate Matter Formation Potential (PMFP) - kg PM2.5 eq</v>
      </c>
      <c r="M13955" s="154" t="str">
        <f t="shared" si="1236"/>
        <v>High_Base_Low_Upgraded_Particulate Matter Formation Potential (PMFP) - kg PM2.5 eq_Waste Receiving and Holding; wastewater treatment unit; at updated plant - US_Without Amendment_Aerated Static Pile</v>
      </c>
    </row>
    <row r="13956" spans="1:13" s="120" customFormat="1" x14ac:dyDescent="0.25">
      <c r="A13956" s="119"/>
      <c r="B13956" s="138" t="str">
        <f t="shared" si="1237"/>
        <v>Aerated Static Pile</v>
      </c>
      <c r="C13956" s="138" t="str">
        <f t="shared" si="1238"/>
        <v>Without Amendment</v>
      </c>
      <c r="D13956" s="138" t="str">
        <f t="shared" si="1239"/>
        <v>Base_Low</v>
      </c>
      <c r="E13956" s="138" t="str">
        <f t="shared" si="1240"/>
        <v>High</v>
      </c>
      <c r="F13956" s="138" t="str">
        <f t="shared" si="1241"/>
        <v>Upgraded</v>
      </c>
      <c r="G13956" s="153"/>
      <c r="H13956" s="210">
        <v>4.5999999999999999E-2</v>
      </c>
      <c r="I13956" s="160" t="s">
        <v>147</v>
      </c>
      <c r="J13956" s="160">
        <v>2.7E-4</v>
      </c>
      <c r="K13956" s="160" t="s">
        <v>145</v>
      </c>
      <c r="L13956" s="154" t="str">
        <f>IF(OpenLCAbasic!K13956="CTUh", "Fill in Manually",IF(OR(K13956="Unit", K13956=""), "", INDEX(LookUps!$E$5:$E$12, MATCH(OpenLCAbasic!K13956,LookUps!$D$5:$D$12,0))))</f>
        <v>Particulate Matter Formation Potential (PMFP) - kg PM2.5 eq</v>
      </c>
      <c r="M13956" s="154" t="str">
        <f t="shared" ref="M13956:M14019" si="1242">CONCATENATE(E13956,"_",D13956,"_",F13956,"_",L13956, "_",I13956,"_", C13956,"_", B13956)</f>
        <v>High_Base_Low_Upgraded_Particulate Matter Formation Potential (PMFP) - kg PM2.5 eq_Influent Pump Station; wastewater treatment unit; at updated plant - US_Without Amendment_Aerated Static Pile</v>
      </c>
    </row>
    <row r="13957" spans="1:13" s="120" customFormat="1" x14ac:dyDescent="0.25">
      <c r="A13957" s="119"/>
      <c r="B13957" s="138" t="str">
        <f t="shared" si="1237"/>
        <v>Aerated Static Pile</v>
      </c>
      <c r="C13957" s="138" t="str">
        <f t="shared" si="1238"/>
        <v>Without Amendment</v>
      </c>
      <c r="D13957" s="138" t="str">
        <f t="shared" si="1239"/>
        <v>Base_Low</v>
      </c>
      <c r="E13957" s="138" t="str">
        <f t="shared" si="1240"/>
        <v>High</v>
      </c>
      <c r="F13957" s="138" t="str">
        <f t="shared" si="1241"/>
        <v>Upgraded</v>
      </c>
      <c r="G13957" s="153"/>
      <c r="H13957" s="210">
        <v>4.5400000000000003E-2</v>
      </c>
      <c r="I13957" s="160" t="s">
        <v>435</v>
      </c>
      <c r="J13957" s="160">
        <v>2.5999999999999998E-4</v>
      </c>
      <c r="K13957" s="160" t="s">
        <v>145</v>
      </c>
      <c r="L13957" s="154" t="str">
        <f>IF(OpenLCAbasic!K13957="CTUh", "Fill in Manually",IF(OR(K13957="Unit", K13957=""), "", INDEX(LookUps!$E$5:$E$12, MATCH(OpenLCAbasic!K13957,LookUps!$D$5:$D$12,0))))</f>
        <v>Particulate Matter Formation Potential (PMFP) - kg PM2.5 eq</v>
      </c>
      <c r="M13957" s="154" t="str">
        <f t="shared" si="1242"/>
        <v>High_Base_Low_Upgraded_Particulate Matter Formation Potential (PMFP) - kg PM2.5 eq_Biosolids composting; aerated static pile; wastewater treatment unit; at updated plant - US_Without Amendment_Aerated Static Pile</v>
      </c>
    </row>
    <row r="13958" spans="1:13" s="120" customFormat="1" x14ac:dyDescent="0.25">
      <c r="A13958" s="119"/>
      <c r="B13958" s="138" t="str">
        <f t="shared" si="1237"/>
        <v>Aerated Static Pile</v>
      </c>
      <c r="C13958" s="138" t="str">
        <f t="shared" si="1238"/>
        <v>Without Amendment</v>
      </c>
      <c r="D13958" s="138" t="str">
        <f t="shared" si="1239"/>
        <v>Base_Low</v>
      </c>
      <c r="E13958" s="138" t="str">
        <f t="shared" si="1240"/>
        <v>High</v>
      </c>
      <c r="F13958" s="138" t="str">
        <f t="shared" si="1241"/>
        <v>Upgraded</v>
      </c>
      <c r="G13958" s="153"/>
      <c r="H13958" s="210">
        <v>2.87E-2</v>
      </c>
      <c r="I13958" s="160" t="s">
        <v>128</v>
      </c>
      <c r="J13958" s="160">
        <v>1.7000000000000001E-4</v>
      </c>
      <c r="K13958" s="160" t="s">
        <v>145</v>
      </c>
      <c r="L13958" s="154" t="str">
        <f>IF(OpenLCAbasic!K13958="CTUh", "Fill in Manually",IF(OR(K13958="Unit", K13958=""), "", INDEX(LookUps!$E$5:$E$12, MATCH(OpenLCAbasic!K13958,LookUps!$D$5:$D$12,0))))</f>
        <v>Particulate Matter Formation Potential (PMFP) - kg PM2.5 eq</v>
      </c>
      <c r="M13958" s="154" t="str">
        <f t="shared" si="1242"/>
        <v>High_Base_Low_Upgraded_Particulate Matter Formation Potential (PMFP) - kg PM2.5 eq_Wastewater collection; operation and infrastructure; m3 wastewater_Without Amendment_Aerated Static Pile</v>
      </c>
    </row>
    <row r="13959" spans="1:13" s="120" customFormat="1" x14ac:dyDescent="0.25">
      <c r="A13959" s="119"/>
      <c r="B13959" s="138" t="str">
        <f t="shared" si="1237"/>
        <v>Aerated Static Pile</v>
      </c>
      <c r="C13959" s="138" t="str">
        <f t="shared" si="1238"/>
        <v>Without Amendment</v>
      </c>
      <c r="D13959" s="138" t="str">
        <f t="shared" si="1239"/>
        <v>Base_Low</v>
      </c>
      <c r="E13959" s="138" t="str">
        <f t="shared" si="1240"/>
        <v>High</v>
      </c>
      <c r="F13959" s="138" t="str">
        <f t="shared" si="1241"/>
        <v>Upgraded</v>
      </c>
      <c r="G13959" s="153"/>
      <c r="H13959" s="210">
        <v>0.02</v>
      </c>
      <c r="I13959" s="160" t="s">
        <v>60</v>
      </c>
      <c r="J13959" s="160">
        <v>1.2E-4</v>
      </c>
      <c r="K13959" s="160" t="s">
        <v>145</v>
      </c>
      <c r="L13959" s="154" t="str">
        <f>IF(OpenLCAbasic!K13959="CTUh", "Fill in Manually",IF(OR(K13959="Unit", K13959=""), "", INDEX(LookUps!$E$5:$E$12, MATCH(OpenLCAbasic!K13959,LookUps!$D$5:$D$12,0))))</f>
        <v>Particulate Matter Formation Potential (PMFP) - kg PM2.5 eq</v>
      </c>
      <c r="M13959" s="154" t="str">
        <f t="shared" si="1242"/>
        <v>High_Base_Low_Upgraded_Particulate Matter Formation Potential (PMFP) - kg PM2.5 eq_Belt filter press; wastewater treatment unit; at updated plant - US_Without Amendment_Aerated Static Pile</v>
      </c>
    </row>
    <row r="13960" spans="1:13" s="120" customFormat="1" x14ac:dyDescent="0.25">
      <c r="A13960" s="119"/>
      <c r="B13960" s="138" t="str">
        <f t="shared" si="1237"/>
        <v>Aerated Static Pile</v>
      </c>
      <c r="C13960" s="138" t="str">
        <f t="shared" si="1238"/>
        <v>Without Amendment</v>
      </c>
      <c r="D13960" s="138" t="str">
        <f t="shared" si="1239"/>
        <v>Base_Low</v>
      </c>
      <c r="E13960" s="138" t="str">
        <f t="shared" si="1240"/>
        <v>High</v>
      </c>
      <c r="F13960" s="138" t="str">
        <f t="shared" si="1241"/>
        <v>Upgraded</v>
      </c>
      <c r="G13960" s="153"/>
      <c r="H13960" s="210">
        <v>1.6400000000000001E-2</v>
      </c>
      <c r="I13960" s="160" t="s">
        <v>57</v>
      </c>
      <c r="J13960" s="211">
        <v>9.5153800000000004E-5</v>
      </c>
      <c r="K13960" s="160" t="s">
        <v>145</v>
      </c>
      <c r="L13960" s="154" t="str">
        <f>IF(OpenLCAbasic!K13960="CTUh", "Fill in Manually",IF(OR(K13960="Unit", K13960=""), "", INDEX(LookUps!$E$5:$E$12, MATCH(OpenLCAbasic!K13960,LookUps!$D$5:$D$12,0))))</f>
        <v>Particulate Matter Formation Potential (PMFP) - kg PM2.5 eq</v>
      </c>
      <c r="M13960" s="154" t="str">
        <f t="shared" si="1242"/>
        <v>High_Base_Low_Upgraded_Particulate Matter Formation Potential (PMFP) - kg PM2.5 eq_Gravity Belt Thickener; wastewater treatment unit; at updated plant - US_Without Amendment_Aerated Static Pile</v>
      </c>
    </row>
    <row r="13961" spans="1:13" s="120" customFormat="1" x14ac:dyDescent="0.25">
      <c r="A13961" s="119"/>
      <c r="B13961" s="138" t="str">
        <f t="shared" si="1237"/>
        <v>Aerated Static Pile</v>
      </c>
      <c r="C13961" s="138" t="str">
        <f t="shared" si="1238"/>
        <v>Without Amendment</v>
      </c>
      <c r="D13961" s="138" t="str">
        <f t="shared" si="1239"/>
        <v>Base_Low</v>
      </c>
      <c r="E13961" s="138" t="str">
        <f t="shared" si="1240"/>
        <v>High</v>
      </c>
      <c r="F13961" s="138" t="str">
        <f t="shared" si="1241"/>
        <v>Upgraded</v>
      </c>
      <c r="G13961" s="153"/>
      <c r="H13961" s="210">
        <v>1.21E-2</v>
      </c>
      <c r="I13961" s="160" t="s">
        <v>59</v>
      </c>
      <c r="J13961" s="211">
        <v>6.9942200000000003E-5</v>
      </c>
      <c r="K13961" s="160" t="s">
        <v>145</v>
      </c>
      <c r="L13961" s="154" t="str">
        <f>IF(OpenLCAbasic!K13961="CTUh", "Fill in Manually",IF(OR(K13961="Unit", K13961=""), "", INDEX(LookUps!$E$5:$E$12, MATCH(OpenLCAbasic!K13961,LookUps!$D$5:$D$12,0))))</f>
        <v>Particulate Matter Formation Potential (PMFP) - kg PM2.5 eq</v>
      </c>
      <c r="M13961" s="154" t="str">
        <f t="shared" si="1242"/>
        <v>High_Base_Low_Upgraded_Particulate Matter Formation Potential (PMFP) - kg PM2.5 eq_Blend Tank; wastewater treatment unit; at updated plant - US_Without Amendment_Aerated Static Pile</v>
      </c>
    </row>
    <row r="13962" spans="1:13" s="120" customFormat="1" x14ac:dyDescent="0.25">
      <c r="A13962" s="119"/>
      <c r="B13962" s="138" t="str">
        <f t="shared" si="1237"/>
        <v>Aerated Static Pile</v>
      </c>
      <c r="C13962" s="138" t="str">
        <f t="shared" si="1238"/>
        <v>Without Amendment</v>
      </c>
      <c r="D13962" s="138" t="str">
        <f t="shared" si="1239"/>
        <v>Base_Low</v>
      </c>
      <c r="E13962" s="138" t="str">
        <f t="shared" si="1240"/>
        <v>High</v>
      </c>
      <c r="F13962" s="138" t="str">
        <f t="shared" si="1241"/>
        <v>Upgraded</v>
      </c>
      <c r="G13962" s="153"/>
      <c r="H13962" s="210">
        <v>8.6E-3</v>
      </c>
      <c r="I13962" s="160" t="s">
        <v>48</v>
      </c>
      <c r="J13962" s="211">
        <v>4.99741E-5</v>
      </c>
      <c r="K13962" s="160" t="s">
        <v>145</v>
      </c>
      <c r="L13962" s="154" t="str">
        <f>IF(OpenLCAbasic!K13962="CTUh", "Fill in Manually",IF(OR(K13962="Unit", K13962=""), "", INDEX(LookUps!$E$5:$E$12, MATCH(OpenLCAbasic!K13962,LookUps!$D$5:$D$12,0))))</f>
        <v>Particulate Matter Formation Potential (PMFP) - kg PM2.5 eq</v>
      </c>
      <c r="M13962" s="154" t="str">
        <f t="shared" si="1242"/>
        <v>High_Base_Low_Upgraded_Particulate Matter Formation Potential (PMFP) - kg PM2.5 eq_Effluent release; wastewater treatment unit; at surface water; m3 wastewater - US_Without Amendment_Aerated Static Pile</v>
      </c>
    </row>
    <row r="13963" spans="1:13" s="120" customFormat="1" x14ac:dyDescent="0.25">
      <c r="A13963" s="119"/>
      <c r="B13963" s="138" t="str">
        <f t="shared" si="1237"/>
        <v>Aerated Static Pile</v>
      </c>
      <c r="C13963" s="138" t="str">
        <f t="shared" si="1238"/>
        <v>Without Amendment</v>
      </c>
      <c r="D13963" s="138" t="str">
        <f t="shared" si="1239"/>
        <v>Base_Low</v>
      </c>
      <c r="E13963" s="138" t="str">
        <f t="shared" si="1240"/>
        <v>High</v>
      </c>
      <c r="F13963" s="138" t="str">
        <f t="shared" si="1241"/>
        <v>Upgraded</v>
      </c>
      <c r="G13963" s="153"/>
      <c r="H13963" s="210">
        <v>6.0000000000000001E-3</v>
      </c>
      <c r="I13963" s="160" t="s">
        <v>168</v>
      </c>
      <c r="J13963" s="211">
        <v>3.4562199999999999E-5</v>
      </c>
      <c r="K13963" s="160" t="s">
        <v>145</v>
      </c>
      <c r="L13963" s="154" t="str">
        <f>IF(OpenLCAbasic!K13963="CTUh", "Fill in Manually",IF(OR(K13963="Unit", K13963=""), "", INDEX(LookUps!$E$5:$E$12, MATCH(OpenLCAbasic!K13963,LookUps!$D$5:$D$12,0))))</f>
        <v>Particulate Matter Formation Potential (PMFP) - kg PM2.5 eq</v>
      </c>
      <c r="M13963" s="154" t="str">
        <f t="shared" si="1242"/>
        <v>High_Base_Low_Upgraded_Particulate Matter Formation Potential (PMFP) - kg PM2.5 eq_ClearCove SCP; wastewater treatment unit; at updated plant - US_Without Amendment_Aerated Static Pile</v>
      </c>
    </row>
    <row r="13964" spans="1:13" s="120" customFormat="1" x14ac:dyDescent="0.25">
      <c r="A13964" s="119"/>
      <c r="B13964" s="138" t="str">
        <f t="shared" si="1237"/>
        <v>Aerated Static Pile</v>
      </c>
      <c r="C13964" s="138" t="str">
        <f t="shared" si="1238"/>
        <v>Without Amendment</v>
      </c>
      <c r="D13964" s="138" t="str">
        <f t="shared" si="1239"/>
        <v>Base_Low</v>
      </c>
      <c r="E13964" s="138" t="str">
        <f t="shared" si="1240"/>
        <v>High</v>
      </c>
      <c r="F13964" s="138" t="str">
        <f t="shared" si="1241"/>
        <v>Upgraded</v>
      </c>
      <c r="G13964" s="153"/>
      <c r="H13964" s="210">
        <v>4.4999999999999997E-3</v>
      </c>
      <c r="I13964" s="160" t="s">
        <v>62</v>
      </c>
      <c r="J13964" s="211">
        <v>2.6144099999999999E-5</v>
      </c>
      <c r="K13964" s="160" t="s">
        <v>145</v>
      </c>
      <c r="L13964" s="154" t="str">
        <f>IF(OpenLCAbasic!K13964="CTUh", "Fill in Manually",IF(OR(K13964="Unit", K13964=""), "", INDEX(LookUps!$E$5:$E$12, MATCH(OpenLCAbasic!K13964,LookUps!$D$5:$D$12,0))))</f>
        <v>Particulate Matter Formation Potential (PMFP) - kg PM2.5 eq</v>
      </c>
      <c r="M13964" s="154" t="str">
        <f t="shared" si="1242"/>
        <v>High_Base_Low_Upgraded_Particulate Matter Formation Potential (PMFP) - kg PM2.5 eq_Land application of compost; wastewater treatment unit; at updated plant - US_Without Amendment_Aerated Static Pile</v>
      </c>
    </row>
    <row r="13965" spans="1:13" s="120" customFormat="1" x14ac:dyDescent="0.25">
      <c r="A13965" s="119"/>
      <c r="B13965" s="138" t="str">
        <f t="shared" si="1237"/>
        <v>Aerated Static Pile</v>
      </c>
      <c r="C13965" s="138" t="str">
        <f t="shared" si="1238"/>
        <v>Without Amendment</v>
      </c>
      <c r="D13965" s="138" t="str">
        <f t="shared" si="1239"/>
        <v>Base_Low</v>
      </c>
      <c r="E13965" s="138" t="str">
        <f t="shared" si="1240"/>
        <v>High</v>
      </c>
      <c r="F13965" s="138" t="str">
        <f t="shared" si="1241"/>
        <v>Upgraded</v>
      </c>
      <c r="G13965" s="153"/>
      <c r="H13965" s="210">
        <v>1.5E-3</v>
      </c>
      <c r="I13965" s="160" t="s">
        <v>148</v>
      </c>
      <c r="J13965" s="211">
        <v>8.8212999999999997E-6</v>
      </c>
      <c r="K13965" s="160" t="s">
        <v>145</v>
      </c>
      <c r="L13965" s="154" t="str">
        <f>IF(OpenLCAbasic!K13965="CTUh", "Fill in Manually",IF(OR(K13965="Unit", K13965=""), "", INDEX(LookUps!$E$5:$E$12, MATCH(OpenLCAbasic!K13965,LookUps!$D$5:$D$12,0))))</f>
        <v>Particulate Matter Formation Potential (PMFP) - kg PM2.5 eq</v>
      </c>
      <c r="M13965" s="154" t="str">
        <f t="shared" si="1242"/>
        <v>High_Base_Low_Upgraded_Particulate Matter Formation Potential (PMFP) - kg PM2.5 eq_Control Building; at upgraded wastewater treatment plant - US_Without Amendment_Aerated Static Pile</v>
      </c>
    </row>
    <row r="13966" spans="1:13" s="120" customFormat="1" x14ac:dyDescent="0.25">
      <c r="A13966" s="119"/>
      <c r="B13966" s="138" t="str">
        <f t="shared" si="1237"/>
        <v/>
      </c>
      <c r="C13966" s="138" t="str">
        <f t="shared" si="1238"/>
        <v/>
      </c>
      <c r="D13966" s="138" t="str">
        <f t="shared" si="1239"/>
        <v/>
      </c>
      <c r="E13966" s="138" t="str">
        <f t="shared" si="1240"/>
        <v/>
      </c>
      <c r="F13966" s="138" t="str">
        <f t="shared" si="1241"/>
        <v/>
      </c>
      <c r="G13966" s="153" t="s">
        <v>51</v>
      </c>
      <c r="H13966" s="160"/>
      <c r="I13966" s="160" t="s">
        <v>47</v>
      </c>
      <c r="J13966" s="160" t="s">
        <v>52</v>
      </c>
      <c r="K13966" s="160" t="s">
        <v>27</v>
      </c>
      <c r="L13966" s="154" t="str">
        <f>IF(OpenLCAbasic!K13966="CTUh", "Fill in Manually",IF(OR(K13966="Unit", K13966=""), "", INDEX(LookUps!$E$5:$E$12, MATCH(OpenLCAbasic!K13966,LookUps!$D$5:$D$12,0))))</f>
        <v/>
      </c>
      <c r="M13966" s="154" t="str">
        <f t="shared" si="1242"/>
        <v>____Process__</v>
      </c>
    </row>
    <row r="13967" spans="1:13" s="120" customFormat="1" x14ac:dyDescent="0.25">
      <c r="A13967" s="119"/>
      <c r="B13967" s="138" t="str">
        <f t="shared" si="1237"/>
        <v>Aerated Static Pile</v>
      </c>
      <c r="C13967" s="138" t="str">
        <f t="shared" si="1238"/>
        <v>Without Amendment</v>
      </c>
      <c r="D13967" s="138" t="str">
        <f t="shared" si="1239"/>
        <v>Base_Low</v>
      </c>
      <c r="E13967" s="138" t="str">
        <f t="shared" si="1240"/>
        <v>High</v>
      </c>
      <c r="F13967" s="138" t="str">
        <f t="shared" si="1241"/>
        <v>Upgraded</v>
      </c>
      <c r="G13967" s="153"/>
      <c r="H13967" s="210">
        <v>0.39939999999999998</v>
      </c>
      <c r="I13967" s="160" t="s">
        <v>55</v>
      </c>
      <c r="J13967" s="160">
        <v>0.16577</v>
      </c>
      <c r="K13967" s="160" t="s">
        <v>25</v>
      </c>
      <c r="L13967" s="154" t="str">
        <f>IF(OpenLCAbasic!K13967="CTUh", "Fill in Manually",IF(OR(K13967="Unit", K13967=""), "", INDEX(LookUps!$E$5:$E$12, MATCH(OpenLCAbasic!K13967,LookUps!$D$5:$D$12,0))))</f>
        <v>Smog Formation Potential (SFP) - kg O3 eq</v>
      </c>
      <c r="M13967" s="154" t="str">
        <f t="shared" si="1242"/>
        <v>High_Base_Low_Upgraded_Smog Formation Potential (SFP) - kg O3 eq_Aeration Tanks; wastewater treatment unit; at updated plant - US_Without Amendment_Aerated Static Pile</v>
      </c>
    </row>
    <row r="13968" spans="1:13" s="120" customFormat="1" x14ac:dyDescent="0.25">
      <c r="A13968" s="119"/>
      <c r="B13968" s="138" t="str">
        <f t="shared" si="1237"/>
        <v>Aerated Static Pile</v>
      </c>
      <c r="C13968" s="138" t="str">
        <f t="shared" si="1238"/>
        <v>Without Amendment</v>
      </c>
      <c r="D13968" s="138" t="str">
        <f t="shared" si="1239"/>
        <v>Base_Low</v>
      </c>
      <c r="E13968" s="138" t="str">
        <f t="shared" si="1240"/>
        <v>High</v>
      </c>
      <c r="F13968" s="138" t="str">
        <f t="shared" si="1241"/>
        <v>Upgraded</v>
      </c>
      <c r="G13968" s="153"/>
      <c r="H13968" s="210">
        <v>0.1158</v>
      </c>
      <c r="I13968" s="160" t="s">
        <v>54</v>
      </c>
      <c r="J13968" s="160">
        <v>4.8070000000000002E-2</v>
      </c>
      <c r="K13968" s="160" t="s">
        <v>25</v>
      </c>
      <c r="L13968" s="154" t="str">
        <f>IF(OpenLCAbasic!K13968="CTUh", "Fill in Manually",IF(OR(K13968="Unit", K13968=""), "", INDEX(LookUps!$E$5:$E$12, MATCH(OpenLCAbasic!K13968,LookUps!$D$5:$D$12,0))))</f>
        <v>Smog Formation Potential (SFP) - kg O3 eq</v>
      </c>
      <c r="M13968" s="154" t="str">
        <f t="shared" si="1242"/>
        <v>High_Base_Low_Upgraded_Smog Formation Potential (SFP) - kg O3 eq_Clear Cove Primary Clarification; wastewater treatment unit; at updated plant - US_Without Amendment_Aerated Static Pile</v>
      </c>
    </row>
    <row r="13969" spans="1:13" s="120" customFormat="1" x14ac:dyDescent="0.25">
      <c r="A13969" s="119"/>
      <c r="B13969" s="138" t="str">
        <f t="shared" si="1237"/>
        <v>Aerated Static Pile</v>
      </c>
      <c r="C13969" s="138" t="str">
        <f t="shared" si="1238"/>
        <v>Without Amendment</v>
      </c>
      <c r="D13969" s="138" t="str">
        <f t="shared" si="1239"/>
        <v>Base_Low</v>
      </c>
      <c r="E13969" s="138" t="str">
        <f t="shared" si="1240"/>
        <v>High</v>
      </c>
      <c r="F13969" s="138" t="str">
        <f t="shared" si="1241"/>
        <v>Upgraded</v>
      </c>
      <c r="G13969" s="153"/>
      <c r="H13969" s="210">
        <v>0.1007</v>
      </c>
      <c r="I13969" s="160" t="s">
        <v>58</v>
      </c>
      <c r="J13969" s="160">
        <v>4.1779999999999998E-2</v>
      </c>
      <c r="K13969" s="160" t="s">
        <v>25</v>
      </c>
      <c r="L13969" s="154" t="str">
        <f>IF(OpenLCAbasic!K13969="CTUh", "Fill in Manually",IF(OR(K13969="Unit", K13969=""), "", INDEX(LookUps!$E$5:$E$12, MATCH(OpenLCAbasic!K13969,LookUps!$D$5:$D$12,0))))</f>
        <v>Smog Formation Potential (SFP) - kg O3 eq</v>
      </c>
      <c r="M13969" s="154" t="str">
        <f t="shared" si="1242"/>
        <v>High_Base_Low_Upgraded_Smog Formation Potential (SFP) - kg O3 eq_Pre-Anoxic &amp; Swing tank; wastewater treatment unit; at updated plant - US_Without Amendment_Aerated Static Pile</v>
      </c>
    </row>
    <row r="13970" spans="1:13" s="120" customFormat="1" x14ac:dyDescent="0.25">
      <c r="A13970" s="119"/>
      <c r="B13970" s="138" t="str">
        <f t="shared" si="1237"/>
        <v>Aerated Static Pile</v>
      </c>
      <c r="C13970" s="138" t="str">
        <f t="shared" si="1238"/>
        <v>Without Amendment</v>
      </c>
      <c r="D13970" s="138" t="str">
        <f t="shared" si="1239"/>
        <v>Base_Low</v>
      </c>
      <c r="E13970" s="138" t="str">
        <f t="shared" si="1240"/>
        <v>High</v>
      </c>
      <c r="F13970" s="138" t="str">
        <f t="shared" si="1241"/>
        <v>Upgraded</v>
      </c>
      <c r="G13970" s="153"/>
      <c r="H13970" s="210">
        <v>7.9799999999999996E-2</v>
      </c>
      <c r="I13970" s="160" t="s">
        <v>53</v>
      </c>
      <c r="J13970" s="160">
        <v>3.313E-2</v>
      </c>
      <c r="K13970" s="160" t="s">
        <v>25</v>
      </c>
      <c r="L13970" s="154" t="str">
        <f>IF(OpenLCAbasic!K13970="CTUh", "Fill in Manually",IF(OR(K13970="Unit", K13970=""), "", INDEX(LookUps!$E$5:$E$12, MATCH(OpenLCAbasic!K13970,LookUps!$D$5:$D$12,0))))</f>
        <v>Smog Formation Potential (SFP) - kg O3 eq</v>
      </c>
      <c r="M13970" s="154" t="str">
        <f t="shared" si="1242"/>
        <v>High_Base_Low_Upgraded_Smog Formation Potential (SFP) - kg O3 eq_Wet Well and Sump Station; wastewater treatment unit; at updated plant - US_Without Amendment_Aerated Static Pile</v>
      </c>
    </row>
    <row r="13971" spans="1:13" s="120" customFormat="1" x14ac:dyDescent="0.25">
      <c r="A13971" s="119"/>
      <c r="B13971" s="138" t="str">
        <f t="shared" si="1237"/>
        <v>Aerated Static Pile</v>
      </c>
      <c r="C13971" s="138" t="str">
        <f t="shared" si="1238"/>
        <v>Without Amendment</v>
      </c>
      <c r="D13971" s="138" t="str">
        <f t="shared" si="1239"/>
        <v>Base_Low</v>
      </c>
      <c r="E13971" s="138" t="str">
        <f t="shared" si="1240"/>
        <v>High</v>
      </c>
      <c r="F13971" s="138" t="str">
        <f t="shared" si="1241"/>
        <v>Upgraded</v>
      </c>
      <c r="G13971" s="153"/>
      <c r="H13971" s="210">
        <v>6.7299999999999999E-2</v>
      </c>
      <c r="I13971" s="160" t="s">
        <v>167</v>
      </c>
      <c r="J13971" s="160">
        <v>2.7949999999999999E-2</v>
      </c>
      <c r="K13971" s="160" t="s">
        <v>25</v>
      </c>
      <c r="L13971" s="154" t="str">
        <f>IF(OpenLCAbasic!K13971="CTUh", "Fill in Manually",IF(OR(K13971="Unit", K13971=""), "", INDEX(LookUps!$E$5:$E$12, MATCH(OpenLCAbasic!K13971,LookUps!$D$5:$D$12,0))))</f>
        <v>Smog Formation Potential (SFP) - kg O3 eq</v>
      </c>
      <c r="M13971" s="154" t="str">
        <f t="shared" si="1242"/>
        <v>High_Base_Low_Upgraded_Smog Formation Potential (SFP) - kg O3 eq_Waste Receiving and Holding; wastewater treatment unit; at updated plant - US_Without Amendment_Aerated Static Pile</v>
      </c>
    </row>
    <row r="13972" spans="1:13" s="120" customFormat="1" x14ac:dyDescent="0.25">
      <c r="A13972" s="119"/>
      <c r="B13972" s="138" t="str">
        <f t="shared" si="1237"/>
        <v>Aerated Static Pile</v>
      </c>
      <c r="C13972" s="138" t="str">
        <f t="shared" si="1238"/>
        <v>Without Amendment</v>
      </c>
      <c r="D13972" s="138" t="str">
        <f t="shared" si="1239"/>
        <v>Base_Low</v>
      </c>
      <c r="E13972" s="138" t="str">
        <f t="shared" si="1240"/>
        <v>High</v>
      </c>
      <c r="F13972" s="138" t="str">
        <f t="shared" si="1241"/>
        <v>Upgraded</v>
      </c>
      <c r="G13972" s="153"/>
      <c r="H13972" s="210">
        <v>0.06</v>
      </c>
      <c r="I13972" s="160" t="s">
        <v>149</v>
      </c>
      <c r="J13972" s="160">
        <v>2.4889999999999999E-2</v>
      </c>
      <c r="K13972" s="160" t="s">
        <v>25</v>
      </c>
      <c r="L13972" s="154" t="str">
        <f>IF(OpenLCAbasic!K13972="CTUh", "Fill in Manually",IF(OR(K13972="Unit", K13972=""), "", INDEX(LookUps!$E$5:$E$12, MATCH(OpenLCAbasic!K13972,LookUps!$D$5:$D$12,0))))</f>
        <v>Smog Formation Potential (SFP) - kg O3 eq</v>
      </c>
      <c r="M13972" s="154" t="str">
        <f t="shared" si="1242"/>
        <v>High_Base_Low_Upgraded_Smog Formation Potential (SFP) - kg O3 eq_Anaerobic Digestion; wastewater treatment unit; at updated plant - US_Without Amendment_Aerated Static Pile</v>
      </c>
    </row>
    <row r="13973" spans="1:13" s="120" customFormat="1" x14ac:dyDescent="0.25">
      <c r="A13973" s="119"/>
      <c r="B13973" s="138" t="str">
        <f t="shared" si="1237"/>
        <v>Aerated Static Pile</v>
      </c>
      <c r="C13973" s="138" t="str">
        <f t="shared" si="1238"/>
        <v>Without Amendment</v>
      </c>
      <c r="D13973" s="138" t="str">
        <f t="shared" si="1239"/>
        <v>Base_Low</v>
      </c>
      <c r="E13973" s="138" t="str">
        <f t="shared" si="1240"/>
        <v>High</v>
      </c>
      <c r="F13973" s="138" t="str">
        <f t="shared" si="1241"/>
        <v>Upgraded</v>
      </c>
      <c r="G13973" s="153"/>
      <c r="H13973" s="210">
        <v>4.6699999999999998E-2</v>
      </c>
      <c r="I13973" s="160" t="s">
        <v>147</v>
      </c>
      <c r="J13973" s="160">
        <v>1.9400000000000001E-2</v>
      </c>
      <c r="K13973" s="160" t="s">
        <v>25</v>
      </c>
      <c r="L13973" s="154" t="str">
        <f>IF(OpenLCAbasic!K13973="CTUh", "Fill in Manually",IF(OR(K13973="Unit", K13973=""), "", INDEX(LookUps!$E$5:$E$12, MATCH(OpenLCAbasic!K13973,LookUps!$D$5:$D$12,0))))</f>
        <v>Smog Formation Potential (SFP) - kg O3 eq</v>
      </c>
      <c r="M13973" s="154" t="str">
        <f t="shared" si="1242"/>
        <v>High_Base_Low_Upgraded_Smog Formation Potential (SFP) - kg O3 eq_Influent Pump Station; wastewater treatment unit; at updated plant - US_Without Amendment_Aerated Static Pile</v>
      </c>
    </row>
    <row r="13974" spans="1:13" s="120" customFormat="1" x14ac:dyDescent="0.25">
      <c r="A13974" s="119"/>
      <c r="B13974" s="138" t="str">
        <f t="shared" si="1237"/>
        <v>Aerated Static Pile</v>
      </c>
      <c r="C13974" s="138" t="str">
        <f t="shared" si="1238"/>
        <v>Without Amendment</v>
      </c>
      <c r="D13974" s="138" t="str">
        <f t="shared" si="1239"/>
        <v>Base_Low</v>
      </c>
      <c r="E13974" s="138" t="str">
        <f t="shared" si="1240"/>
        <v>High</v>
      </c>
      <c r="F13974" s="138" t="str">
        <f t="shared" si="1241"/>
        <v>Upgraded</v>
      </c>
      <c r="G13974" s="153"/>
      <c r="H13974" s="210">
        <v>4.2999999999999997E-2</v>
      </c>
      <c r="I13974" s="160" t="s">
        <v>435</v>
      </c>
      <c r="J13974" s="160">
        <v>1.7840000000000002E-2</v>
      </c>
      <c r="K13974" s="160" t="s">
        <v>25</v>
      </c>
      <c r="L13974" s="154" t="str">
        <f>IF(OpenLCAbasic!K13974="CTUh", "Fill in Manually",IF(OR(K13974="Unit", K13974=""), "", INDEX(LookUps!$E$5:$E$12, MATCH(OpenLCAbasic!K13974,LookUps!$D$5:$D$12,0))))</f>
        <v>Smog Formation Potential (SFP) - kg O3 eq</v>
      </c>
      <c r="M13974" s="154" t="str">
        <f t="shared" si="1242"/>
        <v>High_Base_Low_Upgraded_Smog Formation Potential (SFP) - kg O3 eq_Biosolids composting; aerated static pile; wastewater treatment unit; at updated plant - US_Without Amendment_Aerated Static Pile</v>
      </c>
    </row>
    <row r="13975" spans="1:13" s="120" customFormat="1" x14ac:dyDescent="0.25">
      <c r="A13975" s="119"/>
      <c r="B13975" s="138" t="str">
        <f t="shared" si="1237"/>
        <v>Aerated Static Pile</v>
      </c>
      <c r="C13975" s="138" t="str">
        <f t="shared" si="1238"/>
        <v>Without Amendment</v>
      </c>
      <c r="D13975" s="138" t="str">
        <f t="shared" si="1239"/>
        <v>Base_Low</v>
      </c>
      <c r="E13975" s="138" t="str">
        <f t="shared" si="1240"/>
        <v>High</v>
      </c>
      <c r="F13975" s="138" t="str">
        <f t="shared" si="1241"/>
        <v>Upgraded</v>
      </c>
      <c r="G13975" s="153"/>
      <c r="H13975" s="210">
        <v>2.87E-2</v>
      </c>
      <c r="I13975" s="160" t="s">
        <v>128</v>
      </c>
      <c r="J13975" s="160">
        <v>1.192E-2</v>
      </c>
      <c r="K13975" s="160" t="s">
        <v>25</v>
      </c>
      <c r="L13975" s="154" t="str">
        <f>IF(OpenLCAbasic!K13975="CTUh", "Fill in Manually",IF(OR(K13975="Unit", K13975=""), "", INDEX(LookUps!$E$5:$E$12, MATCH(OpenLCAbasic!K13975,LookUps!$D$5:$D$12,0))))</f>
        <v>Smog Formation Potential (SFP) - kg O3 eq</v>
      </c>
      <c r="M13975" s="154" t="str">
        <f t="shared" si="1242"/>
        <v>High_Base_Low_Upgraded_Smog Formation Potential (SFP) - kg O3 eq_Wastewater collection; operation and infrastructure; m3 wastewater_Without Amendment_Aerated Static Pile</v>
      </c>
    </row>
    <row r="13976" spans="1:13" s="120" customFormat="1" x14ac:dyDescent="0.25">
      <c r="A13976" s="119"/>
      <c r="B13976" s="138" t="str">
        <f t="shared" si="1237"/>
        <v>Aerated Static Pile</v>
      </c>
      <c r="C13976" s="138" t="str">
        <f t="shared" si="1238"/>
        <v>Without Amendment</v>
      </c>
      <c r="D13976" s="138" t="str">
        <f t="shared" si="1239"/>
        <v>Base_Low</v>
      </c>
      <c r="E13976" s="138" t="str">
        <f t="shared" si="1240"/>
        <v>High</v>
      </c>
      <c r="F13976" s="138" t="str">
        <f t="shared" si="1241"/>
        <v>Upgraded</v>
      </c>
      <c r="G13976" s="153"/>
      <c r="H13976" s="210">
        <v>1.9599999999999999E-2</v>
      </c>
      <c r="I13976" s="160" t="s">
        <v>60</v>
      </c>
      <c r="J13976" s="160">
        <v>8.1600000000000006E-3</v>
      </c>
      <c r="K13976" s="160" t="s">
        <v>25</v>
      </c>
      <c r="L13976" s="154" t="str">
        <f>IF(OpenLCAbasic!K13976="CTUh", "Fill in Manually",IF(OR(K13976="Unit", K13976=""), "", INDEX(LookUps!$E$5:$E$12, MATCH(OpenLCAbasic!K13976,LookUps!$D$5:$D$12,0))))</f>
        <v>Smog Formation Potential (SFP) - kg O3 eq</v>
      </c>
      <c r="M13976" s="154" t="str">
        <f t="shared" si="1242"/>
        <v>High_Base_Low_Upgraded_Smog Formation Potential (SFP) - kg O3 eq_Belt filter press; wastewater treatment unit; at updated plant - US_Without Amendment_Aerated Static Pile</v>
      </c>
    </row>
    <row r="13977" spans="1:13" s="120" customFormat="1" x14ac:dyDescent="0.25">
      <c r="A13977" s="119"/>
      <c r="B13977" s="138" t="str">
        <f t="shared" si="1237"/>
        <v>Aerated Static Pile</v>
      </c>
      <c r="C13977" s="138" t="str">
        <f t="shared" si="1238"/>
        <v>Without Amendment</v>
      </c>
      <c r="D13977" s="138" t="str">
        <f t="shared" si="1239"/>
        <v>Base_Low</v>
      </c>
      <c r="E13977" s="138" t="str">
        <f t="shared" si="1240"/>
        <v>High</v>
      </c>
      <c r="F13977" s="138" t="str">
        <f t="shared" si="1241"/>
        <v>Upgraded</v>
      </c>
      <c r="G13977" s="153"/>
      <c r="H13977" s="210">
        <v>1.6E-2</v>
      </c>
      <c r="I13977" s="160" t="s">
        <v>57</v>
      </c>
      <c r="J13977" s="160">
        <v>6.6499999999999997E-3</v>
      </c>
      <c r="K13977" s="160" t="s">
        <v>25</v>
      </c>
      <c r="L13977" s="154" t="str">
        <f>IF(OpenLCAbasic!K13977="CTUh", "Fill in Manually",IF(OR(K13977="Unit", K13977=""), "", INDEX(LookUps!$E$5:$E$12, MATCH(OpenLCAbasic!K13977,LookUps!$D$5:$D$12,0))))</f>
        <v>Smog Formation Potential (SFP) - kg O3 eq</v>
      </c>
      <c r="M13977" s="154" t="str">
        <f t="shared" si="1242"/>
        <v>High_Base_Low_Upgraded_Smog Formation Potential (SFP) - kg O3 eq_Gravity Belt Thickener; wastewater treatment unit; at updated plant - US_Without Amendment_Aerated Static Pile</v>
      </c>
    </row>
    <row r="13978" spans="1:13" s="120" customFormat="1" x14ac:dyDescent="0.25">
      <c r="A13978" s="119"/>
      <c r="B13978" s="138" t="str">
        <f t="shared" si="1237"/>
        <v>Aerated Static Pile</v>
      </c>
      <c r="C13978" s="138" t="str">
        <f t="shared" si="1238"/>
        <v>Without Amendment</v>
      </c>
      <c r="D13978" s="138" t="str">
        <f t="shared" si="1239"/>
        <v>Base_Low</v>
      </c>
      <c r="E13978" s="138" t="str">
        <f t="shared" si="1240"/>
        <v>High</v>
      </c>
      <c r="F13978" s="138" t="str">
        <f t="shared" si="1241"/>
        <v>Upgraded</v>
      </c>
      <c r="G13978" s="153"/>
      <c r="H13978" s="210">
        <v>1.2E-2</v>
      </c>
      <c r="I13978" s="160" t="s">
        <v>59</v>
      </c>
      <c r="J13978" s="160">
        <v>4.9699999999999996E-3</v>
      </c>
      <c r="K13978" s="160" t="s">
        <v>25</v>
      </c>
      <c r="L13978" s="154" t="str">
        <f>IF(OpenLCAbasic!K13978="CTUh", "Fill in Manually",IF(OR(K13978="Unit", K13978=""), "", INDEX(LookUps!$E$5:$E$12, MATCH(OpenLCAbasic!K13978,LookUps!$D$5:$D$12,0))))</f>
        <v>Smog Formation Potential (SFP) - kg O3 eq</v>
      </c>
      <c r="M13978" s="154" t="str">
        <f t="shared" si="1242"/>
        <v>High_Base_Low_Upgraded_Smog Formation Potential (SFP) - kg O3 eq_Blend Tank; wastewater treatment unit; at updated plant - US_Without Amendment_Aerated Static Pile</v>
      </c>
    </row>
    <row r="13979" spans="1:13" s="120" customFormat="1" x14ac:dyDescent="0.25">
      <c r="A13979" s="119"/>
      <c r="B13979" s="138" t="str">
        <f t="shared" si="1237"/>
        <v>Aerated Static Pile</v>
      </c>
      <c r="C13979" s="138" t="str">
        <f t="shared" si="1238"/>
        <v>Without Amendment</v>
      </c>
      <c r="D13979" s="138" t="str">
        <f t="shared" si="1239"/>
        <v>Base_Low</v>
      </c>
      <c r="E13979" s="138" t="str">
        <f t="shared" si="1240"/>
        <v>High</v>
      </c>
      <c r="F13979" s="138" t="str">
        <f t="shared" si="1241"/>
        <v>Upgraded</v>
      </c>
      <c r="G13979" s="153"/>
      <c r="H13979" s="210">
        <v>8.2000000000000007E-3</v>
      </c>
      <c r="I13979" s="160" t="s">
        <v>48</v>
      </c>
      <c r="J13979" s="160">
        <v>3.3899999999999998E-3</v>
      </c>
      <c r="K13979" s="160" t="s">
        <v>25</v>
      </c>
      <c r="L13979" s="154" t="str">
        <f>IF(OpenLCAbasic!K13979="CTUh", "Fill in Manually",IF(OR(K13979="Unit", K13979=""), "", INDEX(LookUps!$E$5:$E$12, MATCH(OpenLCAbasic!K13979,LookUps!$D$5:$D$12,0))))</f>
        <v>Smog Formation Potential (SFP) - kg O3 eq</v>
      </c>
      <c r="M13979" s="154" t="str">
        <f t="shared" si="1242"/>
        <v>High_Base_Low_Upgraded_Smog Formation Potential (SFP) - kg O3 eq_Effluent release; wastewater treatment unit; at surface water; m3 wastewater - US_Without Amendment_Aerated Static Pile</v>
      </c>
    </row>
    <row r="13980" spans="1:13" s="120" customFormat="1" x14ac:dyDescent="0.25">
      <c r="A13980" s="119"/>
      <c r="B13980" s="138" t="str">
        <f t="shared" si="1237"/>
        <v>Aerated Static Pile</v>
      </c>
      <c r="C13980" s="138" t="str">
        <f t="shared" si="1238"/>
        <v>Without Amendment</v>
      </c>
      <c r="D13980" s="138" t="str">
        <f t="shared" si="1239"/>
        <v>Base_Low</v>
      </c>
      <c r="E13980" s="138" t="str">
        <f t="shared" si="1240"/>
        <v>High</v>
      </c>
      <c r="F13980" s="138" t="str">
        <f t="shared" si="1241"/>
        <v>Upgraded</v>
      </c>
      <c r="G13980" s="153"/>
      <c r="H13980" s="210">
        <v>5.8999999999999999E-3</v>
      </c>
      <c r="I13980" s="160" t="s">
        <v>168</v>
      </c>
      <c r="J13980" s="160">
        <v>2.4599999999999999E-3</v>
      </c>
      <c r="K13980" s="160" t="s">
        <v>25</v>
      </c>
      <c r="L13980" s="154" t="str">
        <f>IF(OpenLCAbasic!K13980="CTUh", "Fill in Manually",IF(OR(K13980="Unit", K13980=""), "", INDEX(LookUps!$E$5:$E$12, MATCH(OpenLCAbasic!K13980,LookUps!$D$5:$D$12,0))))</f>
        <v>Smog Formation Potential (SFP) - kg O3 eq</v>
      </c>
      <c r="M13980" s="154" t="str">
        <f t="shared" si="1242"/>
        <v>High_Base_Low_Upgraded_Smog Formation Potential (SFP) - kg O3 eq_ClearCove SCP; wastewater treatment unit; at updated plant - US_Without Amendment_Aerated Static Pile</v>
      </c>
    </row>
    <row r="13981" spans="1:13" s="120" customFormat="1" x14ac:dyDescent="0.25">
      <c r="A13981" s="119"/>
      <c r="B13981" s="138" t="str">
        <f t="shared" si="1237"/>
        <v>Aerated Static Pile</v>
      </c>
      <c r="C13981" s="138" t="str">
        <f t="shared" si="1238"/>
        <v>Without Amendment</v>
      </c>
      <c r="D13981" s="138" t="str">
        <f t="shared" si="1239"/>
        <v>Base_Low</v>
      </c>
      <c r="E13981" s="138" t="str">
        <f t="shared" si="1240"/>
        <v>High</v>
      </c>
      <c r="F13981" s="138" t="str">
        <f t="shared" si="1241"/>
        <v>Upgraded</v>
      </c>
      <c r="G13981" s="153"/>
      <c r="H13981" s="210">
        <v>1.2999999999999999E-3</v>
      </c>
      <c r="I13981" s="160" t="s">
        <v>148</v>
      </c>
      <c r="J13981" s="160">
        <v>5.4000000000000001E-4</v>
      </c>
      <c r="K13981" s="160" t="s">
        <v>25</v>
      </c>
      <c r="L13981" s="154" t="str">
        <f>IF(OpenLCAbasic!K13981="CTUh", "Fill in Manually",IF(OR(K13981="Unit", K13981=""), "", INDEX(LookUps!$E$5:$E$12, MATCH(OpenLCAbasic!K13981,LookUps!$D$5:$D$12,0))))</f>
        <v>Smog Formation Potential (SFP) - kg O3 eq</v>
      </c>
      <c r="M13981" s="154" t="str">
        <f t="shared" si="1242"/>
        <v>High_Base_Low_Upgraded_Smog Formation Potential (SFP) - kg O3 eq_Control Building; at upgraded wastewater treatment plant - US_Without Amendment_Aerated Static Pile</v>
      </c>
    </row>
    <row r="13982" spans="1:13" s="120" customFormat="1" x14ac:dyDescent="0.25">
      <c r="A13982" s="119"/>
      <c r="B13982" s="138" t="str">
        <f t="shared" si="1237"/>
        <v>Aerated Static Pile</v>
      </c>
      <c r="C13982" s="138" t="str">
        <f t="shared" si="1238"/>
        <v>Without Amendment</v>
      </c>
      <c r="D13982" s="138" t="str">
        <f t="shared" si="1239"/>
        <v>Base_Low</v>
      </c>
      <c r="E13982" s="138" t="str">
        <f t="shared" si="1240"/>
        <v>High</v>
      </c>
      <c r="F13982" s="138" t="str">
        <f t="shared" si="1241"/>
        <v>Upgraded</v>
      </c>
      <c r="G13982" s="153"/>
      <c r="H13982" s="210">
        <v>-4.4999999999999997E-3</v>
      </c>
      <c r="I13982" s="160" t="s">
        <v>62</v>
      </c>
      <c r="J13982" s="160">
        <v>-1.8600000000000001E-3</v>
      </c>
      <c r="K13982" s="160" t="s">
        <v>25</v>
      </c>
      <c r="L13982" s="154" t="str">
        <f>IF(OpenLCAbasic!K13982="CTUh", "Fill in Manually",IF(OR(K13982="Unit", K13982=""), "", INDEX(LookUps!$E$5:$E$12, MATCH(OpenLCAbasic!K13982,LookUps!$D$5:$D$12,0))))</f>
        <v>Smog Formation Potential (SFP) - kg O3 eq</v>
      </c>
      <c r="M13982" s="154" t="str">
        <f t="shared" si="1242"/>
        <v>High_Base_Low_Upgraded_Smog Formation Potential (SFP) - kg O3 eq_Land application of compost; wastewater treatment unit; at updated plant - US_Without Amendment_Aerated Static Pile</v>
      </c>
    </row>
    <row r="13983" spans="1:13" s="120" customFormat="1" x14ac:dyDescent="0.25">
      <c r="A13983" s="119"/>
      <c r="B13983" s="138" t="str">
        <f t="shared" si="1237"/>
        <v/>
      </c>
      <c r="C13983" s="138" t="str">
        <f t="shared" si="1238"/>
        <v/>
      </c>
      <c r="D13983" s="138" t="str">
        <f t="shared" si="1239"/>
        <v/>
      </c>
      <c r="E13983" s="138" t="str">
        <f t="shared" si="1240"/>
        <v/>
      </c>
      <c r="F13983" s="138" t="str">
        <f t="shared" si="1241"/>
        <v/>
      </c>
      <c r="G13983" s="153" t="s">
        <v>51</v>
      </c>
      <c r="H13983" s="160"/>
      <c r="I13983" s="160" t="s">
        <v>47</v>
      </c>
      <c r="J13983" s="160" t="s">
        <v>52</v>
      </c>
      <c r="K13983" s="160" t="s">
        <v>27</v>
      </c>
      <c r="L13983" s="154" t="str">
        <f>IF(OpenLCAbasic!K13983="CTUh", "Fill in Manually",IF(OR(K13983="Unit", K13983=""), "", INDEX(LookUps!$E$5:$E$12, MATCH(OpenLCAbasic!K13983,LookUps!$D$5:$D$12,0))))</f>
        <v/>
      </c>
      <c r="M13983" s="154" t="str">
        <f t="shared" si="1242"/>
        <v>____Process__</v>
      </c>
    </row>
    <row r="13984" spans="1:13" s="120" customFormat="1" x14ac:dyDescent="0.25">
      <c r="A13984" s="119"/>
      <c r="B13984" s="138" t="str">
        <f t="shared" si="1237"/>
        <v>Aerated Static Pile</v>
      </c>
      <c r="C13984" s="138" t="str">
        <f t="shared" si="1238"/>
        <v>Without Amendment</v>
      </c>
      <c r="D13984" s="138" t="str">
        <f t="shared" si="1239"/>
        <v>Base_Low</v>
      </c>
      <c r="E13984" s="138" t="str">
        <f t="shared" si="1240"/>
        <v>High</v>
      </c>
      <c r="F13984" s="138" t="str">
        <f t="shared" si="1241"/>
        <v>Upgraded</v>
      </c>
      <c r="G13984" s="153"/>
      <c r="H13984" s="210">
        <v>0.6139</v>
      </c>
      <c r="I13984" s="160" t="s">
        <v>167</v>
      </c>
      <c r="J13984" s="160">
        <v>2.3000000000000001E-4</v>
      </c>
      <c r="K13984" s="160" t="s">
        <v>26</v>
      </c>
      <c r="L13984" s="154" t="str">
        <f>IF(OpenLCAbasic!K13984="CTUh", "Fill in Manually",IF(OR(K13984="Unit", K13984=""), "", INDEX(LookUps!$E$5:$E$12, MATCH(OpenLCAbasic!K13984,LookUps!$D$5:$D$12,0))))</f>
        <v>Water Use (WU) - m3 H2O</v>
      </c>
      <c r="M13984" s="154" t="str">
        <f t="shared" si="1242"/>
        <v>High_Base_Low_Upgraded_Water Use (WU) - m3 H2O_Waste Receiving and Holding; wastewater treatment unit; at updated plant - US_Without Amendment_Aerated Static Pile</v>
      </c>
    </row>
    <row r="13985" spans="1:13" s="120" customFormat="1" x14ac:dyDescent="0.25">
      <c r="A13985" s="119"/>
      <c r="B13985" s="138" t="str">
        <f t="shared" si="1237"/>
        <v>Aerated Static Pile</v>
      </c>
      <c r="C13985" s="138" t="str">
        <f t="shared" si="1238"/>
        <v>Without Amendment</v>
      </c>
      <c r="D13985" s="138" t="str">
        <f t="shared" si="1239"/>
        <v>Base_Low</v>
      </c>
      <c r="E13985" s="138" t="str">
        <f t="shared" si="1240"/>
        <v>High</v>
      </c>
      <c r="F13985" s="138" t="str">
        <f t="shared" si="1241"/>
        <v>Upgraded</v>
      </c>
      <c r="G13985" s="153"/>
      <c r="H13985" s="210">
        <v>0.48580000000000001</v>
      </c>
      <c r="I13985" s="160" t="s">
        <v>147</v>
      </c>
      <c r="J13985" s="160">
        <v>1.8000000000000001E-4</v>
      </c>
      <c r="K13985" s="160" t="s">
        <v>26</v>
      </c>
      <c r="L13985" s="154" t="str">
        <f>IF(OpenLCAbasic!K13985="CTUh", "Fill in Manually",IF(OR(K13985="Unit", K13985=""), "", INDEX(LookUps!$E$5:$E$12, MATCH(OpenLCAbasic!K13985,LookUps!$D$5:$D$12,0))))</f>
        <v>Water Use (WU) - m3 H2O</v>
      </c>
      <c r="M13985" s="154" t="str">
        <f t="shared" si="1242"/>
        <v>High_Base_Low_Upgraded_Water Use (WU) - m3 H2O_Influent Pump Station; wastewater treatment unit; at updated plant - US_Without Amendment_Aerated Static Pile</v>
      </c>
    </row>
    <row r="13986" spans="1:13" s="120" customFormat="1" x14ac:dyDescent="0.25">
      <c r="A13986" s="119"/>
      <c r="B13986" s="138" t="str">
        <f t="shared" si="1237"/>
        <v>Aerated Static Pile</v>
      </c>
      <c r="C13986" s="138" t="str">
        <f t="shared" si="1238"/>
        <v>Without Amendment</v>
      </c>
      <c r="D13986" s="138" t="str">
        <f t="shared" si="1239"/>
        <v>Base_Low</v>
      </c>
      <c r="E13986" s="138" t="str">
        <f t="shared" si="1240"/>
        <v>High</v>
      </c>
      <c r="F13986" s="138" t="str">
        <f t="shared" si="1241"/>
        <v>Upgraded</v>
      </c>
      <c r="G13986" s="153"/>
      <c r="H13986" s="210">
        <v>0.47399999999999998</v>
      </c>
      <c r="I13986" s="160" t="s">
        <v>54</v>
      </c>
      <c r="J13986" s="160">
        <v>1.8000000000000001E-4</v>
      </c>
      <c r="K13986" s="160" t="s">
        <v>26</v>
      </c>
      <c r="L13986" s="154" t="str">
        <f>IF(OpenLCAbasic!K13986="CTUh", "Fill in Manually",IF(OR(K13986="Unit", K13986=""), "", INDEX(LookUps!$E$5:$E$12, MATCH(OpenLCAbasic!K13986,LookUps!$D$5:$D$12,0))))</f>
        <v>Water Use (WU) - m3 H2O</v>
      </c>
      <c r="M13986" s="154" t="str">
        <f t="shared" si="1242"/>
        <v>High_Base_Low_Upgraded_Water Use (WU) - m3 H2O_Clear Cove Primary Clarification; wastewater treatment unit; at updated plant - US_Without Amendment_Aerated Static Pile</v>
      </c>
    </row>
    <row r="13987" spans="1:13" s="120" customFormat="1" x14ac:dyDescent="0.25">
      <c r="A13987" s="119"/>
      <c r="B13987" s="138" t="str">
        <f t="shared" si="1237"/>
        <v>Aerated Static Pile</v>
      </c>
      <c r="C13987" s="138" t="str">
        <f t="shared" si="1238"/>
        <v>Without Amendment</v>
      </c>
      <c r="D13987" s="138" t="str">
        <f t="shared" si="1239"/>
        <v>Base_Low</v>
      </c>
      <c r="E13987" s="138" t="str">
        <f t="shared" si="1240"/>
        <v>High</v>
      </c>
      <c r="F13987" s="138" t="str">
        <f t="shared" si="1241"/>
        <v>Upgraded</v>
      </c>
      <c r="G13987" s="153"/>
      <c r="H13987" s="210">
        <v>0.43</v>
      </c>
      <c r="I13987" s="160" t="s">
        <v>55</v>
      </c>
      <c r="J13987" s="160">
        <v>1.6000000000000001E-4</v>
      </c>
      <c r="K13987" s="160" t="s">
        <v>26</v>
      </c>
      <c r="L13987" s="154" t="str">
        <f>IF(OpenLCAbasic!K13987="CTUh", "Fill in Manually",IF(OR(K13987="Unit", K13987=""), "", INDEX(LookUps!$E$5:$E$12, MATCH(OpenLCAbasic!K13987,LookUps!$D$5:$D$12,0))))</f>
        <v>Water Use (WU) - m3 H2O</v>
      </c>
      <c r="M13987" s="154" t="str">
        <f t="shared" si="1242"/>
        <v>High_Base_Low_Upgraded_Water Use (WU) - m3 H2O_Aeration Tanks; wastewater treatment unit; at updated plant - US_Without Amendment_Aerated Static Pile</v>
      </c>
    </row>
    <row r="13988" spans="1:13" s="120" customFormat="1" x14ac:dyDescent="0.25">
      <c r="A13988" s="119"/>
      <c r="B13988" s="138" t="str">
        <f t="shared" si="1237"/>
        <v>Aerated Static Pile</v>
      </c>
      <c r="C13988" s="138" t="str">
        <f t="shared" si="1238"/>
        <v>Without Amendment</v>
      </c>
      <c r="D13988" s="138" t="str">
        <f t="shared" si="1239"/>
        <v>Base_Low</v>
      </c>
      <c r="E13988" s="138" t="str">
        <f t="shared" si="1240"/>
        <v>High</v>
      </c>
      <c r="F13988" s="138" t="str">
        <f t="shared" si="1241"/>
        <v>Upgraded</v>
      </c>
      <c r="G13988" s="153"/>
      <c r="H13988" s="210">
        <v>0.39169999999999999</v>
      </c>
      <c r="I13988" s="160" t="s">
        <v>148</v>
      </c>
      <c r="J13988" s="160">
        <v>1.4999999999999999E-4</v>
      </c>
      <c r="K13988" s="160" t="s">
        <v>26</v>
      </c>
      <c r="L13988" s="154" t="str">
        <f>IF(OpenLCAbasic!K13988="CTUh", "Fill in Manually",IF(OR(K13988="Unit", K13988=""), "", INDEX(LookUps!$E$5:$E$12, MATCH(OpenLCAbasic!K13988,LookUps!$D$5:$D$12,0))))</f>
        <v>Water Use (WU) - m3 H2O</v>
      </c>
      <c r="M13988" s="154" t="str">
        <f t="shared" si="1242"/>
        <v>High_Base_Low_Upgraded_Water Use (WU) - m3 H2O_Control Building; at upgraded wastewater treatment plant - US_Without Amendment_Aerated Static Pile</v>
      </c>
    </row>
    <row r="13989" spans="1:13" s="120" customFormat="1" x14ac:dyDescent="0.25">
      <c r="A13989" s="119"/>
      <c r="B13989" s="138" t="str">
        <f t="shared" si="1237"/>
        <v>Aerated Static Pile</v>
      </c>
      <c r="C13989" s="138" t="str">
        <f t="shared" si="1238"/>
        <v>Without Amendment</v>
      </c>
      <c r="D13989" s="138" t="str">
        <f t="shared" si="1239"/>
        <v>Base_Low</v>
      </c>
      <c r="E13989" s="138" t="str">
        <f t="shared" si="1240"/>
        <v>High</v>
      </c>
      <c r="F13989" s="138" t="str">
        <f t="shared" si="1241"/>
        <v>Upgraded</v>
      </c>
      <c r="G13989" s="153"/>
      <c r="H13989" s="210">
        <v>0.18190000000000001</v>
      </c>
      <c r="I13989" s="160" t="s">
        <v>48</v>
      </c>
      <c r="J13989" s="211">
        <v>6.8836400000000004E-5</v>
      </c>
      <c r="K13989" s="160" t="s">
        <v>26</v>
      </c>
      <c r="L13989" s="154" t="str">
        <f>IF(OpenLCAbasic!K13989="CTUh", "Fill in Manually",IF(OR(K13989="Unit", K13989=""), "", INDEX(LookUps!$E$5:$E$12, MATCH(OpenLCAbasic!K13989,LookUps!$D$5:$D$12,0))))</f>
        <v>Water Use (WU) - m3 H2O</v>
      </c>
      <c r="M13989" s="154" t="str">
        <f t="shared" si="1242"/>
        <v>High_Base_Low_Upgraded_Water Use (WU) - m3 H2O_Effluent release; wastewater treatment unit; at surface water; m3 wastewater - US_Without Amendment_Aerated Static Pile</v>
      </c>
    </row>
    <row r="13990" spans="1:13" s="120" customFormat="1" x14ac:dyDescent="0.25">
      <c r="A13990" s="119"/>
      <c r="B13990" s="138" t="str">
        <f t="shared" si="1237"/>
        <v>Aerated Static Pile</v>
      </c>
      <c r="C13990" s="138" t="str">
        <f t="shared" si="1238"/>
        <v>Without Amendment</v>
      </c>
      <c r="D13990" s="138" t="str">
        <f t="shared" si="1239"/>
        <v>Base_Low</v>
      </c>
      <c r="E13990" s="138" t="str">
        <f t="shared" si="1240"/>
        <v>High</v>
      </c>
      <c r="F13990" s="138" t="str">
        <f t="shared" si="1241"/>
        <v>Upgraded</v>
      </c>
      <c r="G13990" s="153"/>
      <c r="H13990" s="210">
        <v>0.12509999999999999</v>
      </c>
      <c r="I13990" s="160" t="s">
        <v>149</v>
      </c>
      <c r="J13990" s="211">
        <v>4.7332900000000002E-5</v>
      </c>
      <c r="K13990" s="160" t="s">
        <v>26</v>
      </c>
      <c r="L13990" s="154" t="str">
        <f>IF(OpenLCAbasic!K13990="CTUh", "Fill in Manually",IF(OR(K13990="Unit", K13990=""), "", INDEX(LookUps!$E$5:$E$12, MATCH(OpenLCAbasic!K13990,LookUps!$D$5:$D$12,0))))</f>
        <v>Water Use (WU) - m3 H2O</v>
      </c>
      <c r="M13990" s="154" t="str">
        <f t="shared" si="1242"/>
        <v>High_Base_Low_Upgraded_Water Use (WU) - m3 H2O_Anaerobic Digestion; wastewater treatment unit; at updated plant - US_Without Amendment_Aerated Static Pile</v>
      </c>
    </row>
    <row r="13991" spans="1:13" s="120" customFormat="1" x14ac:dyDescent="0.25">
      <c r="A13991" s="119"/>
      <c r="B13991" s="138" t="str">
        <f t="shared" si="1237"/>
        <v>Aerated Static Pile</v>
      </c>
      <c r="C13991" s="138" t="str">
        <f t="shared" si="1238"/>
        <v>Without Amendment</v>
      </c>
      <c r="D13991" s="138" t="str">
        <f t="shared" si="1239"/>
        <v>Base_Low</v>
      </c>
      <c r="E13991" s="138" t="str">
        <f t="shared" si="1240"/>
        <v>High</v>
      </c>
      <c r="F13991" s="138" t="str">
        <f t="shared" si="1241"/>
        <v>Upgraded</v>
      </c>
      <c r="G13991" s="153"/>
      <c r="H13991" s="210">
        <v>0.11409999999999999</v>
      </c>
      <c r="I13991" s="160" t="s">
        <v>58</v>
      </c>
      <c r="J13991" s="211">
        <v>4.3192100000000003E-5</v>
      </c>
      <c r="K13991" s="160" t="s">
        <v>26</v>
      </c>
      <c r="L13991" s="154" t="str">
        <f>IF(OpenLCAbasic!K13991="CTUh", "Fill in Manually",IF(OR(K13991="Unit", K13991=""), "", INDEX(LookUps!$E$5:$E$12, MATCH(OpenLCAbasic!K13991,LookUps!$D$5:$D$12,0))))</f>
        <v>Water Use (WU) - m3 H2O</v>
      </c>
      <c r="M13991" s="154" t="str">
        <f t="shared" si="1242"/>
        <v>High_Base_Low_Upgraded_Water Use (WU) - m3 H2O_Pre-Anoxic &amp; Swing tank; wastewater treatment unit; at updated plant - US_Without Amendment_Aerated Static Pile</v>
      </c>
    </row>
    <row r="13992" spans="1:13" s="120" customFormat="1" x14ac:dyDescent="0.25">
      <c r="A13992" s="119"/>
      <c r="B13992" s="138" t="str">
        <f t="shared" si="1237"/>
        <v>Aerated Static Pile</v>
      </c>
      <c r="C13992" s="138" t="str">
        <f t="shared" si="1238"/>
        <v>Without Amendment</v>
      </c>
      <c r="D13992" s="138" t="str">
        <f t="shared" si="1239"/>
        <v>Base_Low</v>
      </c>
      <c r="E13992" s="138" t="str">
        <f t="shared" si="1240"/>
        <v>High</v>
      </c>
      <c r="F13992" s="138" t="str">
        <f t="shared" si="1241"/>
        <v>Upgraded</v>
      </c>
      <c r="G13992" s="153"/>
      <c r="H13992" s="210">
        <v>8.0299999999999996E-2</v>
      </c>
      <c r="I13992" s="160" t="s">
        <v>57</v>
      </c>
      <c r="J13992" s="211">
        <v>3.0408100000000001E-5</v>
      </c>
      <c r="K13992" s="160" t="s">
        <v>26</v>
      </c>
      <c r="L13992" s="154" t="str">
        <f>IF(OpenLCAbasic!K13992="CTUh", "Fill in Manually",IF(OR(K13992="Unit", K13992=""), "", INDEX(LookUps!$E$5:$E$12, MATCH(OpenLCAbasic!K13992,LookUps!$D$5:$D$12,0))))</f>
        <v>Water Use (WU) - m3 H2O</v>
      </c>
      <c r="M13992" s="154" t="str">
        <f t="shared" si="1242"/>
        <v>High_Base_Low_Upgraded_Water Use (WU) - m3 H2O_Gravity Belt Thickener; wastewater treatment unit; at updated plant - US_Without Amendment_Aerated Static Pile</v>
      </c>
    </row>
    <row r="13993" spans="1:13" s="120" customFormat="1" x14ac:dyDescent="0.25">
      <c r="A13993" s="119"/>
      <c r="B13993" s="138" t="str">
        <f t="shared" ref="B13993:B14056" si="1243">IF(F13993="Legacy","n.a.",IF(F13993="","","Aerated Static Pile"))</f>
        <v>Aerated Static Pile</v>
      </c>
      <c r="C13993" s="138" t="str">
        <f t="shared" ref="C13993:C14056" si="1244">IF(ISNUMBER($J13993),"Without Amendment","")</f>
        <v>Without Amendment</v>
      </c>
      <c r="D13993" s="138" t="str">
        <f t="shared" ref="D13993:D13999" si="1245">IF(ISNUMBER($J13993),"Base_Low","")</f>
        <v>Base_Low</v>
      </c>
      <c r="E13993" s="138" t="str">
        <f t="shared" ref="E13993:E14056" si="1246">IF(ISNUMBER($J13993),"High","")</f>
        <v>High</v>
      </c>
      <c r="F13993" s="138" t="str">
        <f t="shared" ref="F13993:F14056" si="1247">IF(ISNUMBER(J13993),"Upgraded","")</f>
        <v>Upgraded</v>
      </c>
      <c r="G13993" s="153"/>
      <c r="H13993" s="210">
        <v>6.4399999999999999E-2</v>
      </c>
      <c r="I13993" s="160" t="s">
        <v>60</v>
      </c>
      <c r="J13993" s="211">
        <v>2.4357400000000002E-5</v>
      </c>
      <c r="K13993" s="160" t="s">
        <v>26</v>
      </c>
      <c r="L13993" s="154" t="str">
        <f>IF(OpenLCAbasic!K13993="CTUh", "Fill in Manually",IF(OR(K13993="Unit", K13993=""), "", INDEX(LookUps!$E$5:$E$12, MATCH(OpenLCAbasic!K13993,LookUps!$D$5:$D$12,0))))</f>
        <v>Water Use (WU) - m3 H2O</v>
      </c>
      <c r="M13993" s="154" t="str">
        <f t="shared" si="1242"/>
        <v>High_Base_Low_Upgraded_Water Use (WU) - m3 H2O_Belt filter press; wastewater treatment unit; at updated plant - US_Without Amendment_Aerated Static Pile</v>
      </c>
    </row>
    <row r="13994" spans="1:13" s="120" customFormat="1" x14ac:dyDescent="0.25">
      <c r="A13994" s="119"/>
      <c r="B13994" s="138" t="str">
        <f t="shared" si="1243"/>
        <v>Aerated Static Pile</v>
      </c>
      <c r="C13994" s="138" t="str">
        <f t="shared" si="1244"/>
        <v>Without Amendment</v>
      </c>
      <c r="D13994" s="138" t="str">
        <f t="shared" si="1245"/>
        <v>Base_Low</v>
      </c>
      <c r="E13994" s="138" t="str">
        <f t="shared" si="1246"/>
        <v>High</v>
      </c>
      <c r="F13994" s="138" t="str">
        <f t="shared" si="1247"/>
        <v>Upgraded</v>
      </c>
      <c r="G13994" s="153"/>
      <c r="H13994" s="210">
        <v>4.6300000000000001E-2</v>
      </c>
      <c r="I13994" s="160" t="s">
        <v>53</v>
      </c>
      <c r="J13994" s="211">
        <v>1.75069E-5</v>
      </c>
      <c r="K13994" s="160" t="s">
        <v>26</v>
      </c>
      <c r="L13994" s="154" t="str">
        <f>IF(OpenLCAbasic!K13994="CTUh", "Fill in Manually",IF(OR(K13994="Unit", K13994=""), "", INDEX(LookUps!$E$5:$E$12, MATCH(OpenLCAbasic!K13994,LookUps!$D$5:$D$12,0))))</f>
        <v>Water Use (WU) - m3 H2O</v>
      </c>
      <c r="M13994" s="154" t="str">
        <f t="shared" si="1242"/>
        <v>High_Base_Low_Upgraded_Water Use (WU) - m3 H2O_Wet Well and Sump Station; wastewater treatment unit; at updated plant - US_Without Amendment_Aerated Static Pile</v>
      </c>
    </row>
    <row r="13995" spans="1:13" s="120" customFormat="1" x14ac:dyDescent="0.25">
      <c r="A13995" s="119"/>
      <c r="B13995" s="138" t="str">
        <f t="shared" si="1243"/>
        <v>Aerated Static Pile</v>
      </c>
      <c r="C13995" s="138" t="str">
        <f t="shared" si="1244"/>
        <v>Without Amendment</v>
      </c>
      <c r="D13995" s="138" t="str">
        <f t="shared" si="1245"/>
        <v>Base_Low</v>
      </c>
      <c r="E13995" s="138" t="str">
        <f t="shared" si="1246"/>
        <v>High</v>
      </c>
      <c r="F13995" s="138" t="str">
        <f t="shared" si="1247"/>
        <v>Upgraded</v>
      </c>
      <c r="G13995" s="153"/>
      <c r="H13995" s="210">
        <v>1.8499999999999999E-2</v>
      </c>
      <c r="I13995" s="160" t="s">
        <v>59</v>
      </c>
      <c r="J13995" s="211">
        <v>7.0179500000000003E-6</v>
      </c>
      <c r="K13995" s="160" t="s">
        <v>26</v>
      </c>
      <c r="L13995" s="154" t="str">
        <f>IF(OpenLCAbasic!K13995="CTUh", "Fill in Manually",IF(OR(K13995="Unit", K13995=""), "", INDEX(LookUps!$E$5:$E$12, MATCH(OpenLCAbasic!K13995,LookUps!$D$5:$D$12,0))))</f>
        <v>Water Use (WU) - m3 H2O</v>
      </c>
      <c r="M13995" s="154" t="str">
        <f t="shared" si="1242"/>
        <v>High_Base_Low_Upgraded_Water Use (WU) - m3 H2O_Blend Tank; wastewater treatment unit; at updated plant - US_Without Amendment_Aerated Static Pile</v>
      </c>
    </row>
    <row r="13996" spans="1:13" s="120" customFormat="1" x14ac:dyDescent="0.25">
      <c r="A13996" s="119"/>
      <c r="B13996" s="138" t="str">
        <f t="shared" si="1243"/>
        <v>Aerated Static Pile</v>
      </c>
      <c r="C13996" s="138" t="str">
        <f t="shared" si="1244"/>
        <v>Without Amendment</v>
      </c>
      <c r="D13996" s="138" t="str">
        <f t="shared" si="1245"/>
        <v>Base_Low</v>
      </c>
      <c r="E13996" s="138" t="str">
        <f t="shared" si="1246"/>
        <v>High</v>
      </c>
      <c r="F13996" s="138" t="str">
        <f t="shared" si="1247"/>
        <v>Upgraded</v>
      </c>
      <c r="G13996" s="153"/>
      <c r="H13996" s="210">
        <v>1.7600000000000001E-2</v>
      </c>
      <c r="I13996" s="160" t="s">
        <v>435</v>
      </c>
      <c r="J13996" s="211">
        <v>6.6684800000000001E-6</v>
      </c>
      <c r="K13996" s="160" t="s">
        <v>26</v>
      </c>
      <c r="L13996" s="154" t="str">
        <f>IF(OpenLCAbasic!K13996="CTUh", "Fill in Manually",IF(OR(K13996="Unit", K13996=""), "", INDEX(LookUps!$E$5:$E$12, MATCH(OpenLCAbasic!K13996,LookUps!$D$5:$D$12,0))))</f>
        <v>Water Use (WU) - m3 H2O</v>
      </c>
      <c r="M13996" s="154" t="str">
        <f t="shared" si="1242"/>
        <v>High_Base_Low_Upgraded_Water Use (WU) - m3 H2O_Biosolids composting; aerated static pile; wastewater treatment unit; at updated plant - US_Without Amendment_Aerated Static Pile</v>
      </c>
    </row>
    <row r="13997" spans="1:13" s="120" customFormat="1" x14ac:dyDescent="0.25">
      <c r="A13997" s="119"/>
      <c r="B13997" s="138" t="str">
        <f t="shared" si="1243"/>
        <v>Aerated Static Pile</v>
      </c>
      <c r="C13997" s="138" t="str">
        <f t="shared" si="1244"/>
        <v>Without Amendment</v>
      </c>
      <c r="D13997" s="138" t="str">
        <f t="shared" si="1245"/>
        <v>Base_Low</v>
      </c>
      <c r="E13997" s="138" t="str">
        <f t="shared" si="1246"/>
        <v>High</v>
      </c>
      <c r="F13997" s="138" t="str">
        <f t="shared" si="1247"/>
        <v>Upgraded</v>
      </c>
      <c r="G13997" s="153"/>
      <c r="H13997" s="210">
        <v>1.34E-2</v>
      </c>
      <c r="I13997" s="160" t="s">
        <v>128</v>
      </c>
      <c r="J13997" s="211">
        <v>5.0608900000000003E-6</v>
      </c>
      <c r="K13997" s="160" t="s">
        <v>26</v>
      </c>
      <c r="L13997" s="154" t="str">
        <f>IF(OpenLCAbasic!K13997="CTUh", "Fill in Manually",IF(OR(K13997="Unit", K13997=""), "", INDEX(LookUps!$E$5:$E$12, MATCH(OpenLCAbasic!K13997,LookUps!$D$5:$D$12,0))))</f>
        <v>Water Use (WU) - m3 H2O</v>
      </c>
      <c r="M13997" s="154" t="str">
        <f t="shared" si="1242"/>
        <v>High_Base_Low_Upgraded_Water Use (WU) - m3 H2O_Wastewater collection; operation and infrastructure; m3 wastewater_Without Amendment_Aerated Static Pile</v>
      </c>
    </row>
    <row r="13998" spans="1:13" s="120" customFormat="1" x14ac:dyDescent="0.25">
      <c r="A13998" s="119"/>
      <c r="B13998" s="138" t="str">
        <f t="shared" si="1243"/>
        <v>Aerated Static Pile</v>
      </c>
      <c r="C13998" s="138" t="str">
        <f t="shared" si="1244"/>
        <v>Without Amendment</v>
      </c>
      <c r="D13998" s="138" t="str">
        <f t="shared" si="1245"/>
        <v>Base_Low</v>
      </c>
      <c r="E13998" s="138" t="str">
        <f t="shared" si="1246"/>
        <v>High</v>
      </c>
      <c r="F13998" s="138" t="str">
        <f t="shared" si="1247"/>
        <v>Upgraded</v>
      </c>
      <c r="G13998" s="153"/>
      <c r="H13998" s="210">
        <v>2E-3</v>
      </c>
      <c r="I13998" s="160" t="s">
        <v>168</v>
      </c>
      <c r="J13998" s="211">
        <v>7.6697000000000004E-7</v>
      </c>
      <c r="K13998" s="160" t="s">
        <v>26</v>
      </c>
      <c r="L13998" s="154" t="str">
        <f>IF(OpenLCAbasic!K13998="CTUh", "Fill in Manually",IF(OR(K13998="Unit", K13998=""), "", INDEX(LookUps!$E$5:$E$12, MATCH(OpenLCAbasic!K13998,LookUps!$D$5:$D$12,0))))</f>
        <v>Water Use (WU) - m3 H2O</v>
      </c>
      <c r="M13998" s="154" t="str">
        <f t="shared" si="1242"/>
        <v>High_Base_Low_Upgraded_Water Use (WU) - m3 H2O_ClearCove SCP; wastewater treatment unit; at updated plant - US_Without Amendment_Aerated Static Pile</v>
      </c>
    </row>
    <row r="13999" spans="1:13" s="120" customFormat="1" x14ac:dyDescent="0.25">
      <c r="A13999" s="119"/>
      <c r="B13999" s="138" t="str">
        <f t="shared" si="1243"/>
        <v>Aerated Static Pile</v>
      </c>
      <c r="C13999" s="138" t="str">
        <f t="shared" si="1244"/>
        <v>Without Amendment</v>
      </c>
      <c r="D13999" s="138" t="str">
        <f t="shared" si="1245"/>
        <v>Base_Low</v>
      </c>
      <c r="E13999" s="138" t="str">
        <f t="shared" si="1246"/>
        <v>High</v>
      </c>
      <c r="F13999" s="138" t="str">
        <f t="shared" si="1247"/>
        <v>Upgraded</v>
      </c>
      <c r="G13999" s="153"/>
      <c r="H13999" s="210">
        <v>-2.0589</v>
      </c>
      <c r="I13999" s="160" t="s">
        <v>62</v>
      </c>
      <c r="J13999" s="160">
        <v>-7.7999999999999999E-4</v>
      </c>
      <c r="K13999" s="160" t="s">
        <v>26</v>
      </c>
      <c r="L13999" s="154" t="str">
        <f>IF(OpenLCAbasic!K13999="CTUh", "Fill in Manually",IF(OR(K13999="Unit", K13999=""), "", INDEX(LookUps!$E$5:$E$12, MATCH(OpenLCAbasic!K13999,LookUps!$D$5:$D$12,0))))</f>
        <v>Water Use (WU) - m3 H2O</v>
      </c>
      <c r="M13999" s="154" t="str">
        <f t="shared" si="1242"/>
        <v>High_Base_Low_Upgraded_Water Use (WU) - m3 H2O_Land application of compost; wastewater treatment unit; at updated plant - US_Without Amendment_Aerated Static Pile</v>
      </c>
    </row>
    <row r="14000" spans="1:13" s="120" customFormat="1" x14ac:dyDescent="0.25">
      <c r="A14000" s="119"/>
      <c r="B14000" s="138" t="str">
        <f t="shared" si="1243"/>
        <v/>
      </c>
      <c r="C14000" s="138" t="str">
        <f t="shared" si="1244"/>
        <v/>
      </c>
      <c r="D14000" s="138" t="str">
        <f>IF(ISNUMBER($J14000),"Base_High","")</f>
        <v/>
      </c>
      <c r="E14000" s="138" t="str">
        <f t="shared" si="1246"/>
        <v/>
      </c>
      <c r="F14000" s="138" t="str">
        <f t="shared" si="1247"/>
        <v/>
      </c>
      <c r="G14000" s="153" t="s">
        <v>51</v>
      </c>
      <c r="H14000" s="160"/>
      <c r="I14000" s="160" t="s">
        <v>47</v>
      </c>
      <c r="J14000" s="160" t="s">
        <v>52</v>
      </c>
      <c r="K14000" s="160" t="s">
        <v>27</v>
      </c>
      <c r="L14000" s="154" t="str">
        <f>IF(OpenLCAbasic!K14000="CTUh", "Fill in Manually",IF(OR(K14000="Unit", K14000=""), "", INDEX(LookUps!$E$5:$E$12, MATCH(OpenLCAbasic!K14000,LookUps!$D$5:$D$12,0))))</f>
        <v/>
      </c>
      <c r="M14000" s="154" t="str">
        <f t="shared" si="1242"/>
        <v>____Process__</v>
      </c>
    </row>
    <row r="14001" spans="1:13" s="120" customFormat="1" x14ac:dyDescent="0.25">
      <c r="A14001" s="119"/>
      <c r="B14001" s="138" t="str">
        <f t="shared" si="1243"/>
        <v>Aerated Static Pile</v>
      </c>
      <c r="C14001" s="138" t="str">
        <f t="shared" si="1244"/>
        <v>Without Amendment</v>
      </c>
      <c r="D14001" s="138" t="str">
        <f t="shared" ref="D14001:D14064" si="1248">IF(ISNUMBER($J14001),"Base_High","")</f>
        <v>Base_High</v>
      </c>
      <c r="E14001" s="138" t="str">
        <f t="shared" si="1246"/>
        <v>High</v>
      </c>
      <c r="F14001" s="138" t="str">
        <f t="shared" si="1247"/>
        <v>Upgraded</v>
      </c>
      <c r="G14001" s="153"/>
      <c r="H14001" s="210">
        <v>6.1505000000000001</v>
      </c>
      <c r="I14001" s="160" t="s">
        <v>55</v>
      </c>
      <c r="J14001" s="160">
        <v>1.7219999999999999E-2</v>
      </c>
      <c r="K14001" s="160" t="s">
        <v>24</v>
      </c>
      <c r="L14001" s="154" t="str">
        <f>IF(OpenLCAbasic!K14001="CTUh", "Fill in Manually",IF(OR(K14001="Unit", K14001=""), "", INDEX(LookUps!$E$5:$E$12, MATCH(OpenLCAbasic!K14001,LookUps!$D$5:$D$12,0))))</f>
        <v>Acidification Potential (AP) - kg SO2 eq</v>
      </c>
      <c r="M14001" s="154" t="str">
        <f t="shared" si="1242"/>
        <v>High_Base_High_Upgraded_Acidification Potential (AP) - kg SO2 eq_Aeration Tanks; wastewater treatment unit; at updated plant - US_Without Amendment_Aerated Static Pile</v>
      </c>
    </row>
    <row r="14002" spans="1:13" s="120" customFormat="1" x14ac:dyDescent="0.25">
      <c r="A14002" s="119"/>
      <c r="B14002" s="138" t="str">
        <f t="shared" si="1243"/>
        <v>Aerated Static Pile</v>
      </c>
      <c r="C14002" s="138" t="str">
        <f t="shared" si="1244"/>
        <v>Without Amendment</v>
      </c>
      <c r="D14002" s="138" t="str">
        <f t="shared" si="1248"/>
        <v>Base_High</v>
      </c>
      <c r="E14002" s="138" t="str">
        <f t="shared" si="1246"/>
        <v>High</v>
      </c>
      <c r="F14002" s="138" t="str">
        <f t="shared" si="1247"/>
        <v>Upgraded</v>
      </c>
      <c r="G14002" s="153"/>
      <c r="H14002" s="210">
        <v>1.7788999999999999</v>
      </c>
      <c r="I14002" s="160" t="s">
        <v>54</v>
      </c>
      <c r="J14002" s="160">
        <v>4.9800000000000001E-3</v>
      </c>
      <c r="K14002" s="160" t="s">
        <v>24</v>
      </c>
      <c r="L14002" s="154" t="str">
        <f>IF(OpenLCAbasic!K14002="CTUh", "Fill in Manually",IF(OR(K14002="Unit", K14002=""), "", INDEX(LookUps!$E$5:$E$12, MATCH(OpenLCAbasic!K14002,LookUps!$D$5:$D$12,0))))</f>
        <v>Acidification Potential (AP) - kg SO2 eq</v>
      </c>
      <c r="M14002" s="154" t="str">
        <f t="shared" si="1242"/>
        <v>High_Base_High_Upgraded_Acidification Potential (AP) - kg SO2 eq_Clear Cove Primary Clarification; wastewater treatment unit; at updated plant - US_Without Amendment_Aerated Static Pile</v>
      </c>
    </row>
    <row r="14003" spans="1:13" s="120" customFormat="1" x14ac:dyDescent="0.25">
      <c r="A14003" s="119"/>
      <c r="B14003" s="138" t="str">
        <f t="shared" si="1243"/>
        <v>Aerated Static Pile</v>
      </c>
      <c r="C14003" s="138" t="str">
        <f t="shared" si="1244"/>
        <v>Without Amendment</v>
      </c>
      <c r="D14003" s="138" t="str">
        <f t="shared" si="1248"/>
        <v>Base_High</v>
      </c>
      <c r="E14003" s="138" t="str">
        <f t="shared" si="1246"/>
        <v>High</v>
      </c>
      <c r="F14003" s="138" t="str">
        <f t="shared" si="1247"/>
        <v>Upgraded</v>
      </c>
      <c r="G14003" s="153"/>
      <c r="H14003" s="210">
        <v>1.5470999999999999</v>
      </c>
      <c r="I14003" s="160" t="s">
        <v>58</v>
      </c>
      <c r="J14003" s="160">
        <v>4.3299999999999996E-3</v>
      </c>
      <c r="K14003" s="160" t="s">
        <v>24</v>
      </c>
      <c r="L14003" s="154" t="str">
        <f>IF(OpenLCAbasic!K14003="CTUh", "Fill in Manually",IF(OR(K14003="Unit", K14003=""), "", INDEX(LookUps!$E$5:$E$12, MATCH(OpenLCAbasic!K14003,LookUps!$D$5:$D$12,0))))</f>
        <v>Acidification Potential (AP) - kg SO2 eq</v>
      </c>
      <c r="M14003" s="154" t="str">
        <f t="shared" si="1242"/>
        <v>High_Base_High_Upgraded_Acidification Potential (AP) - kg SO2 eq_Pre-Anoxic &amp; Swing tank; wastewater treatment unit; at updated plant - US_Without Amendment_Aerated Static Pile</v>
      </c>
    </row>
    <row r="14004" spans="1:13" s="120" customFormat="1" x14ac:dyDescent="0.25">
      <c r="A14004" s="119"/>
      <c r="B14004" s="138" t="str">
        <f t="shared" si="1243"/>
        <v>Aerated Static Pile</v>
      </c>
      <c r="C14004" s="138" t="str">
        <f t="shared" si="1244"/>
        <v>Without Amendment</v>
      </c>
      <c r="D14004" s="138" t="str">
        <f t="shared" si="1248"/>
        <v>Base_High</v>
      </c>
      <c r="E14004" s="138" t="str">
        <f t="shared" si="1246"/>
        <v>High</v>
      </c>
      <c r="F14004" s="138" t="str">
        <f t="shared" si="1247"/>
        <v>Upgraded</v>
      </c>
      <c r="G14004" s="153"/>
      <c r="H14004" s="210">
        <v>1.2325999999999999</v>
      </c>
      <c r="I14004" s="160" t="s">
        <v>53</v>
      </c>
      <c r="J14004" s="160">
        <v>3.4499999999999999E-3</v>
      </c>
      <c r="K14004" s="160" t="s">
        <v>24</v>
      </c>
      <c r="L14004" s="154" t="str">
        <f>IF(OpenLCAbasic!K14004="CTUh", "Fill in Manually",IF(OR(K14004="Unit", K14004=""), "", INDEX(LookUps!$E$5:$E$12, MATCH(OpenLCAbasic!K14004,LookUps!$D$5:$D$12,0))))</f>
        <v>Acidification Potential (AP) - kg SO2 eq</v>
      </c>
      <c r="M14004" s="154" t="str">
        <f t="shared" si="1242"/>
        <v>High_Base_High_Upgraded_Acidification Potential (AP) - kg SO2 eq_Wet Well and Sump Station; wastewater treatment unit; at updated plant - US_Without Amendment_Aerated Static Pile</v>
      </c>
    </row>
    <row r="14005" spans="1:13" s="120" customFormat="1" x14ac:dyDescent="0.25">
      <c r="A14005" s="119"/>
      <c r="B14005" s="138" t="str">
        <f t="shared" si="1243"/>
        <v>Aerated Static Pile</v>
      </c>
      <c r="C14005" s="138" t="str">
        <f t="shared" si="1244"/>
        <v>Without Amendment</v>
      </c>
      <c r="D14005" s="138" t="str">
        <f t="shared" si="1248"/>
        <v>Base_High</v>
      </c>
      <c r="E14005" s="138" t="str">
        <f t="shared" si="1246"/>
        <v>High</v>
      </c>
      <c r="F14005" s="138" t="str">
        <f t="shared" si="1247"/>
        <v>Upgraded</v>
      </c>
      <c r="G14005" s="153"/>
      <c r="H14005" s="210">
        <v>0.84840000000000004</v>
      </c>
      <c r="I14005" s="160" t="s">
        <v>167</v>
      </c>
      <c r="J14005" s="160">
        <v>2.3800000000000002E-3</v>
      </c>
      <c r="K14005" s="160" t="s">
        <v>24</v>
      </c>
      <c r="L14005" s="154" t="str">
        <f>IF(OpenLCAbasic!K14005="CTUh", "Fill in Manually",IF(OR(K14005="Unit", K14005=""), "", INDEX(LookUps!$E$5:$E$12, MATCH(OpenLCAbasic!K14005,LookUps!$D$5:$D$12,0))))</f>
        <v>Acidification Potential (AP) - kg SO2 eq</v>
      </c>
      <c r="M14005" s="154" t="str">
        <f t="shared" si="1242"/>
        <v>High_Base_High_Upgraded_Acidification Potential (AP) - kg SO2 eq_Waste Receiving and Holding; wastewater treatment unit; at updated plant - US_Without Amendment_Aerated Static Pile</v>
      </c>
    </row>
    <row r="14006" spans="1:13" s="120" customFormat="1" x14ac:dyDescent="0.25">
      <c r="A14006" s="119"/>
      <c r="B14006" s="138" t="str">
        <f t="shared" si="1243"/>
        <v>Aerated Static Pile</v>
      </c>
      <c r="C14006" s="138" t="str">
        <f t="shared" si="1244"/>
        <v>Without Amendment</v>
      </c>
      <c r="D14006" s="138" t="str">
        <f t="shared" si="1248"/>
        <v>Base_High</v>
      </c>
      <c r="E14006" s="138" t="str">
        <f t="shared" si="1246"/>
        <v>High</v>
      </c>
      <c r="F14006" s="138" t="str">
        <f t="shared" si="1247"/>
        <v>Upgraded</v>
      </c>
      <c r="G14006" s="153"/>
      <c r="H14006" s="210">
        <v>0.7389</v>
      </c>
      <c r="I14006" s="160" t="s">
        <v>147</v>
      </c>
      <c r="J14006" s="160">
        <v>2.0699999999999998E-3</v>
      </c>
      <c r="K14006" s="160" t="s">
        <v>24</v>
      </c>
      <c r="L14006" s="154" t="str">
        <f>IF(OpenLCAbasic!K14006="CTUh", "Fill in Manually",IF(OR(K14006="Unit", K14006=""), "", INDEX(LookUps!$E$5:$E$12, MATCH(OpenLCAbasic!K14006,LookUps!$D$5:$D$12,0))))</f>
        <v>Acidification Potential (AP) - kg SO2 eq</v>
      </c>
      <c r="M14006" s="154" t="str">
        <f t="shared" si="1242"/>
        <v>High_Base_High_Upgraded_Acidification Potential (AP) - kg SO2 eq_Influent Pump Station; wastewater treatment unit; at updated plant - US_Without Amendment_Aerated Static Pile</v>
      </c>
    </row>
    <row r="14007" spans="1:13" s="120" customFormat="1" x14ac:dyDescent="0.25">
      <c r="A14007" s="119"/>
      <c r="B14007" s="138" t="str">
        <f t="shared" si="1243"/>
        <v>Aerated Static Pile</v>
      </c>
      <c r="C14007" s="138" t="str">
        <f t="shared" si="1244"/>
        <v>Without Amendment</v>
      </c>
      <c r="D14007" s="138" t="str">
        <f t="shared" si="1248"/>
        <v>Base_High</v>
      </c>
      <c r="E14007" s="138" t="str">
        <f t="shared" si="1246"/>
        <v>High</v>
      </c>
      <c r="F14007" s="138" t="str">
        <f t="shared" si="1247"/>
        <v>Upgraded</v>
      </c>
      <c r="G14007" s="153"/>
      <c r="H14007" s="210">
        <v>0.68989999999999996</v>
      </c>
      <c r="I14007" s="160" t="s">
        <v>435</v>
      </c>
      <c r="J14007" s="160">
        <v>1.9300000000000001E-3</v>
      </c>
      <c r="K14007" s="160" t="s">
        <v>24</v>
      </c>
      <c r="L14007" s="154" t="str">
        <f>IF(OpenLCAbasic!K14007="CTUh", "Fill in Manually",IF(OR(K14007="Unit", K14007=""), "", INDEX(LookUps!$E$5:$E$12, MATCH(OpenLCAbasic!K14007,LookUps!$D$5:$D$12,0))))</f>
        <v>Acidification Potential (AP) - kg SO2 eq</v>
      </c>
      <c r="M14007" s="154" t="str">
        <f t="shared" si="1242"/>
        <v>High_Base_High_Upgraded_Acidification Potential (AP) - kg SO2 eq_Biosolids composting; aerated static pile; wastewater treatment unit; at updated plant - US_Without Amendment_Aerated Static Pile</v>
      </c>
    </row>
    <row r="14008" spans="1:13" s="120" customFormat="1" x14ac:dyDescent="0.25">
      <c r="A14008" s="119"/>
      <c r="B14008" s="138" t="str">
        <f t="shared" si="1243"/>
        <v>Aerated Static Pile</v>
      </c>
      <c r="C14008" s="138" t="str">
        <f t="shared" si="1244"/>
        <v>Without Amendment</v>
      </c>
      <c r="D14008" s="138" t="str">
        <f t="shared" si="1248"/>
        <v>Base_High</v>
      </c>
      <c r="E14008" s="138" t="str">
        <f t="shared" si="1246"/>
        <v>High</v>
      </c>
      <c r="F14008" s="138" t="str">
        <f t="shared" si="1247"/>
        <v>Upgraded</v>
      </c>
      <c r="G14008" s="153"/>
      <c r="H14008" s="210">
        <v>0.52739999999999998</v>
      </c>
      <c r="I14008" s="160" t="s">
        <v>62</v>
      </c>
      <c r="J14008" s="160">
        <v>1.48E-3</v>
      </c>
      <c r="K14008" s="160" t="s">
        <v>24</v>
      </c>
      <c r="L14008" s="154" t="str">
        <f>IF(OpenLCAbasic!K14008="CTUh", "Fill in Manually",IF(OR(K14008="Unit", K14008=""), "", INDEX(LookUps!$E$5:$E$12, MATCH(OpenLCAbasic!K14008,LookUps!$D$5:$D$12,0))))</f>
        <v>Acidification Potential (AP) - kg SO2 eq</v>
      </c>
      <c r="M14008" s="154" t="str">
        <f t="shared" si="1242"/>
        <v>High_Base_High_Upgraded_Acidification Potential (AP) - kg SO2 eq_Land application of compost; wastewater treatment unit; at updated plant - US_Without Amendment_Aerated Static Pile</v>
      </c>
    </row>
    <row r="14009" spans="1:13" s="120" customFormat="1" x14ac:dyDescent="0.25">
      <c r="A14009" s="119"/>
      <c r="B14009" s="138" t="str">
        <f t="shared" si="1243"/>
        <v>Aerated Static Pile</v>
      </c>
      <c r="C14009" s="138" t="str">
        <f t="shared" si="1244"/>
        <v>Without Amendment</v>
      </c>
      <c r="D14009" s="138" t="str">
        <f t="shared" si="1248"/>
        <v>Base_High</v>
      </c>
      <c r="E14009" s="138" t="str">
        <f t="shared" si="1246"/>
        <v>High</v>
      </c>
      <c r="F14009" s="138" t="str">
        <f t="shared" si="1247"/>
        <v>Upgraded</v>
      </c>
      <c r="G14009" s="153"/>
      <c r="H14009" s="210">
        <v>0.44040000000000001</v>
      </c>
      <c r="I14009" s="160" t="s">
        <v>128</v>
      </c>
      <c r="J14009" s="160">
        <v>1.23E-3</v>
      </c>
      <c r="K14009" s="160" t="s">
        <v>24</v>
      </c>
      <c r="L14009" s="154" t="str">
        <f>IF(OpenLCAbasic!K14009="CTUh", "Fill in Manually",IF(OR(K14009="Unit", K14009=""), "", INDEX(LookUps!$E$5:$E$12, MATCH(OpenLCAbasic!K14009,LookUps!$D$5:$D$12,0))))</f>
        <v>Acidification Potential (AP) - kg SO2 eq</v>
      </c>
      <c r="M14009" s="154" t="str">
        <f t="shared" si="1242"/>
        <v>High_Base_High_Upgraded_Acidification Potential (AP) - kg SO2 eq_Wastewater collection; operation and infrastructure; m3 wastewater_Without Amendment_Aerated Static Pile</v>
      </c>
    </row>
    <row r="14010" spans="1:13" s="120" customFormat="1" x14ac:dyDescent="0.25">
      <c r="A14010" s="119"/>
      <c r="B14010" s="138" t="str">
        <f t="shared" si="1243"/>
        <v>Aerated Static Pile</v>
      </c>
      <c r="C14010" s="138" t="str">
        <f t="shared" si="1244"/>
        <v>Without Amendment</v>
      </c>
      <c r="D14010" s="138" t="str">
        <f t="shared" si="1248"/>
        <v>Base_High</v>
      </c>
      <c r="E14010" s="138" t="str">
        <f t="shared" si="1246"/>
        <v>High</v>
      </c>
      <c r="F14010" s="138" t="str">
        <f t="shared" si="1247"/>
        <v>Upgraded</v>
      </c>
      <c r="G14010" s="153"/>
      <c r="H14010" s="210">
        <v>0.26569999999999999</v>
      </c>
      <c r="I14010" s="160" t="s">
        <v>60</v>
      </c>
      <c r="J14010" s="160">
        <v>7.3999999999999999E-4</v>
      </c>
      <c r="K14010" s="160" t="s">
        <v>24</v>
      </c>
      <c r="L14010" s="154" t="str">
        <f>IF(OpenLCAbasic!K14010="CTUh", "Fill in Manually",IF(OR(K14010="Unit", K14010=""), "", INDEX(LookUps!$E$5:$E$12, MATCH(OpenLCAbasic!K14010,LookUps!$D$5:$D$12,0))))</f>
        <v>Acidification Potential (AP) - kg SO2 eq</v>
      </c>
      <c r="M14010" s="154" t="str">
        <f t="shared" si="1242"/>
        <v>High_Base_High_Upgraded_Acidification Potential (AP) - kg SO2 eq_Belt filter press; wastewater treatment unit; at updated plant - US_Without Amendment_Aerated Static Pile</v>
      </c>
    </row>
    <row r="14011" spans="1:13" s="120" customFormat="1" x14ac:dyDescent="0.25">
      <c r="A14011" s="119"/>
      <c r="B14011" s="138" t="str">
        <f t="shared" si="1243"/>
        <v>Aerated Static Pile</v>
      </c>
      <c r="C14011" s="138" t="str">
        <f t="shared" si="1244"/>
        <v>Without Amendment</v>
      </c>
      <c r="D14011" s="138" t="str">
        <f t="shared" si="1248"/>
        <v>Base_High</v>
      </c>
      <c r="E14011" s="138" t="str">
        <f t="shared" si="1246"/>
        <v>High</v>
      </c>
      <c r="F14011" s="138" t="str">
        <f t="shared" si="1247"/>
        <v>Upgraded</v>
      </c>
      <c r="G14011" s="153"/>
      <c r="H14011" s="210">
        <v>0.25140000000000001</v>
      </c>
      <c r="I14011" s="160" t="s">
        <v>57</v>
      </c>
      <c r="J14011" s="160">
        <v>6.9999999999999999E-4</v>
      </c>
      <c r="K14011" s="160" t="s">
        <v>24</v>
      </c>
      <c r="L14011" s="154" t="str">
        <f>IF(OpenLCAbasic!K14011="CTUh", "Fill in Manually",IF(OR(K14011="Unit", K14011=""), "", INDEX(LookUps!$E$5:$E$12, MATCH(OpenLCAbasic!K14011,LookUps!$D$5:$D$12,0))))</f>
        <v>Acidification Potential (AP) - kg SO2 eq</v>
      </c>
      <c r="M14011" s="154" t="str">
        <f t="shared" si="1242"/>
        <v>High_Base_High_Upgraded_Acidification Potential (AP) - kg SO2 eq_Gravity Belt Thickener; wastewater treatment unit; at updated plant - US_Without Amendment_Aerated Static Pile</v>
      </c>
    </row>
    <row r="14012" spans="1:13" s="120" customFormat="1" x14ac:dyDescent="0.25">
      <c r="A14012" s="119"/>
      <c r="B14012" s="138" t="str">
        <f t="shared" si="1243"/>
        <v>Aerated Static Pile</v>
      </c>
      <c r="C14012" s="138" t="str">
        <f t="shared" si="1244"/>
        <v>Without Amendment</v>
      </c>
      <c r="D14012" s="138" t="str">
        <f t="shared" si="1248"/>
        <v>Base_High</v>
      </c>
      <c r="E14012" s="138" t="str">
        <f t="shared" si="1246"/>
        <v>High</v>
      </c>
      <c r="F14012" s="138" t="str">
        <f t="shared" si="1247"/>
        <v>Upgraded</v>
      </c>
      <c r="G14012" s="153"/>
      <c r="H14012" s="210">
        <v>0.18440000000000001</v>
      </c>
      <c r="I14012" s="160" t="s">
        <v>59</v>
      </c>
      <c r="J14012" s="160">
        <v>5.1999999999999995E-4</v>
      </c>
      <c r="K14012" s="160" t="s">
        <v>24</v>
      </c>
      <c r="L14012" s="154" t="str">
        <f>IF(OpenLCAbasic!K14012="CTUh", "Fill in Manually",IF(OR(K14012="Unit", K14012=""), "", INDEX(LookUps!$E$5:$E$12, MATCH(OpenLCAbasic!K14012,LookUps!$D$5:$D$12,0))))</f>
        <v>Acidification Potential (AP) - kg SO2 eq</v>
      </c>
      <c r="M14012" s="154" t="str">
        <f t="shared" si="1242"/>
        <v>High_Base_High_Upgraded_Acidification Potential (AP) - kg SO2 eq_Blend Tank; wastewater treatment unit; at updated plant - US_Without Amendment_Aerated Static Pile</v>
      </c>
    </row>
    <row r="14013" spans="1:13" s="120" customFormat="1" x14ac:dyDescent="0.25">
      <c r="A14013" s="119"/>
      <c r="B14013" s="138" t="str">
        <f t="shared" si="1243"/>
        <v>Aerated Static Pile</v>
      </c>
      <c r="C14013" s="138" t="str">
        <f t="shared" si="1244"/>
        <v>Without Amendment</v>
      </c>
      <c r="D14013" s="138" t="str">
        <f t="shared" si="1248"/>
        <v>Base_High</v>
      </c>
      <c r="E14013" s="138" t="str">
        <f t="shared" si="1246"/>
        <v>High</v>
      </c>
      <c r="F14013" s="138" t="str">
        <f t="shared" si="1247"/>
        <v>Upgraded</v>
      </c>
      <c r="G14013" s="153"/>
      <c r="H14013" s="210">
        <v>0.12379999999999999</v>
      </c>
      <c r="I14013" s="160" t="s">
        <v>48</v>
      </c>
      <c r="J14013" s="160">
        <v>3.5E-4</v>
      </c>
      <c r="K14013" s="160" t="s">
        <v>24</v>
      </c>
      <c r="L14013" s="154" t="str">
        <f>IF(OpenLCAbasic!K14013="CTUh", "Fill in Manually",IF(OR(K14013="Unit", K14013=""), "", INDEX(LookUps!$E$5:$E$12, MATCH(OpenLCAbasic!K14013,LookUps!$D$5:$D$12,0))))</f>
        <v>Acidification Potential (AP) - kg SO2 eq</v>
      </c>
      <c r="M14013" s="154" t="str">
        <f t="shared" si="1242"/>
        <v>High_Base_High_Upgraded_Acidification Potential (AP) - kg SO2 eq_Effluent release; wastewater treatment unit; at surface water; m3 wastewater - US_Without Amendment_Aerated Static Pile</v>
      </c>
    </row>
    <row r="14014" spans="1:13" s="120" customFormat="1" x14ac:dyDescent="0.25">
      <c r="A14014" s="119"/>
      <c r="B14014" s="138" t="str">
        <f t="shared" si="1243"/>
        <v>Aerated Static Pile</v>
      </c>
      <c r="C14014" s="138" t="str">
        <f t="shared" si="1244"/>
        <v>Without Amendment</v>
      </c>
      <c r="D14014" s="138" t="str">
        <f t="shared" si="1248"/>
        <v>Base_High</v>
      </c>
      <c r="E14014" s="138" t="str">
        <f t="shared" si="1246"/>
        <v>High</v>
      </c>
      <c r="F14014" s="138" t="str">
        <f t="shared" si="1247"/>
        <v>Upgraded</v>
      </c>
      <c r="G14014" s="153"/>
      <c r="H14014" s="210">
        <v>9.1200000000000003E-2</v>
      </c>
      <c r="I14014" s="160" t="s">
        <v>168</v>
      </c>
      <c r="J14014" s="160">
        <v>2.5999999999999998E-4</v>
      </c>
      <c r="K14014" s="160" t="s">
        <v>24</v>
      </c>
      <c r="L14014" s="154" t="str">
        <f>IF(OpenLCAbasic!K14014="CTUh", "Fill in Manually",IF(OR(K14014="Unit", K14014=""), "", INDEX(LookUps!$E$5:$E$12, MATCH(OpenLCAbasic!K14014,LookUps!$D$5:$D$12,0))))</f>
        <v>Acidification Potential (AP) - kg SO2 eq</v>
      </c>
      <c r="M14014" s="154" t="str">
        <f t="shared" si="1242"/>
        <v>High_Base_High_Upgraded_Acidification Potential (AP) - kg SO2 eq_ClearCove SCP; wastewater treatment unit; at updated plant - US_Without Amendment_Aerated Static Pile</v>
      </c>
    </row>
    <row r="14015" spans="1:13" s="120" customFormat="1" x14ac:dyDescent="0.25">
      <c r="A14015" s="119"/>
      <c r="B14015" s="138" t="str">
        <f t="shared" si="1243"/>
        <v>Aerated Static Pile</v>
      </c>
      <c r="C14015" s="138" t="str">
        <f t="shared" si="1244"/>
        <v>Without Amendment</v>
      </c>
      <c r="D14015" s="138" t="str">
        <f t="shared" si="1248"/>
        <v>Base_High</v>
      </c>
      <c r="E14015" s="138" t="str">
        <f t="shared" si="1246"/>
        <v>High</v>
      </c>
      <c r="F14015" s="138" t="str">
        <f t="shared" si="1247"/>
        <v>Upgraded</v>
      </c>
      <c r="G14015" s="153"/>
      <c r="H14015" s="210">
        <v>1.44E-2</v>
      </c>
      <c r="I14015" s="160" t="s">
        <v>148</v>
      </c>
      <c r="J14015" s="211">
        <v>4.0354700000000002E-5</v>
      </c>
      <c r="K14015" s="160" t="s">
        <v>24</v>
      </c>
      <c r="L14015" s="154" t="str">
        <f>IF(OpenLCAbasic!K14015="CTUh", "Fill in Manually",IF(OR(K14015="Unit", K14015=""), "", INDEX(LookUps!$E$5:$E$12, MATCH(OpenLCAbasic!K14015,LookUps!$D$5:$D$12,0))))</f>
        <v>Acidification Potential (AP) - kg SO2 eq</v>
      </c>
      <c r="M14015" s="154" t="str">
        <f t="shared" si="1242"/>
        <v>High_Base_High_Upgraded_Acidification Potential (AP) - kg SO2 eq_Control Building; at upgraded wastewater treatment plant - US_Without Amendment_Aerated Static Pile</v>
      </c>
    </row>
    <row r="14016" spans="1:13" s="120" customFormat="1" x14ac:dyDescent="0.25">
      <c r="A14016" s="119"/>
      <c r="B14016" s="138" t="str">
        <f t="shared" si="1243"/>
        <v>Aerated Static Pile</v>
      </c>
      <c r="C14016" s="138" t="str">
        <f t="shared" si="1244"/>
        <v>Without Amendment</v>
      </c>
      <c r="D14016" s="138" t="str">
        <f t="shared" si="1248"/>
        <v>Base_High</v>
      </c>
      <c r="E14016" s="138" t="str">
        <f t="shared" si="1246"/>
        <v>High</v>
      </c>
      <c r="F14016" s="138" t="str">
        <f t="shared" si="1247"/>
        <v>Upgraded</v>
      </c>
      <c r="G14016" s="153"/>
      <c r="H14016" s="210">
        <v>-13.885</v>
      </c>
      <c r="I14016" s="160" t="s">
        <v>149</v>
      </c>
      <c r="J14016" s="160">
        <v>-3.8870000000000002E-2</v>
      </c>
      <c r="K14016" s="160" t="s">
        <v>24</v>
      </c>
      <c r="L14016" s="154" t="str">
        <f>IF(OpenLCAbasic!K14016="CTUh", "Fill in Manually",IF(OR(K14016="Unit", K14016=""), "", INDEX(LookUps!$E$5:$E$12, MATCH(OpenLCAbasic!K14016,LookUps!$D$5:$D$12,0))))</f>
        <v>Acidification Potential (AP) - kg SO2 eq</v>
      </c>
      <c r="M14016" s="154" t="str">
        <f t="shared" si="1242"/>
        <v>High_Base_High_Upgraded_Acidification Potential (AP) - kg SO2 eq_Anaerobic Digestion; wastewater treatment unit; at updated plant - US_Without Amendment_Aerated Static Pile</v>
      </c>
    </row>
    <row r="14017" spans="1:13" s="120" customFormat="1" x14ac:dyDescent="0.25">
      <c r="A14017" s="119"/>
      <c r="B14017" s="138" t="str">
        <f t="shared" si="1243"/>
        <v/>
      </c>
      <c r="C14017" s="138" t="str">
        <f t="shared" si="1244"/>
        <v/>
      </c>
      <c r="D14017" s="138" t="str">
        <f t="shared" si="1248"/>
        <v/>
      </c>
      <c r="E14017" s="138" t="str">
        <f t="shared" si="1246"/>
        <v/>
      </c>
      <c r="F14017" s="138" t="str">
        <f t="shared" si="1247"/>
        <v/>
      </c>
      <c r="G14017" s="153" t="s">
        <v>51</v>
      </c>
      <c r="H14017" s="160"/>
      <c r="I14017" s="160" t="s">
        <v>47</v>
      </c>
      <c r="J14017" s="160" t="s">
        <v>52</v>
      </c>
      <c r="K14017" s="160" t="s">
        <v>27</v>
      </c>
      <c r="L14017" s="154" t="str">
        <f>IF(OpenLCAbasic!K14017="CTUh", "Fill in Manually",IF(OR(K14017="Unit", K14017=""), "", INDEX(LookUps!$E$5:$E$12, MATCH(OpenLCAbasic!K14017,LookUps!$D$5:$D$12,0))))</f>
        <v/>
      </c>
      <c r="M14017" s="154" t="str">
        <f t="shared" si="1242"/>
        <v>____Process__</v>
      </c>
    </row>
    <row r="14018" spans="1:13" s="120" customFormat="1" x14ac:dyDescent="0.25">
      <c r="A14018" s="119"/>
      <c r="B14018" s="138" t="str">
        <f t="shared" si="1243"/>
        <v>Aerated Static Pile</v>
      </c>
      <c r="C14018" s="138" t="str">
        <f t="shared" si="1244"/>
        <v>Without Amendment</v>
      </c>
      <c r="D14018" s="138" t="str">
        <f t="shared" si="1248"/>
        <v>Base_High</v>
      </c>
      <c r="E14018" s="138" t="str">
        <f t="shared" si="1246"/>
        <v>High</v>
      </c>
      <c r="F14018" s="138" t="str">
        <f t="shared" si="1247"/>
        <v>Upgraded</v>
      </c>
      <c r="G14018" s="153"/>
      <c r="H14018" s="210">
        <v>4.8339999999999996</v>
      </c>
      <c r="I14018" s="160" t="s">
        <v>55</v>
      </c>
      <c r="J14018" s="160">
        <v>3.5330499999999998</v>
      </c>
      <c r="K14018" s="160" t="s">
        <v>15</v>
      </c>
      <c r="L14018" s="154" t="str">
        <f>IF(OpenLCAbasic!K14018="CTUh", "Fill in Manually",IF(OR(K14018="Unit", K14018=""), "", INDEX(LookUps!$E$5:$E$12, MATCH(OpenLCAbasic!K14018,LookUps!$D$5:$D$12,0))))</f>
        <v>Cumulative Energy Demand (CED) - MJ</v>
      </c>
      <c r="M14018" s="154" t="str">
        <f t="shared" si="1242"/>
        <v>High_Base_High_Upgraded_Cumulative Energy Demand (CED) - MJ_Aeration Tanks; wastewater treatment unit; at updated plant - US_Without Amendment_Aerated Static Pile</v>
      </c>
    </row>
    <row r="14019" spans="1:13" s="120" customFormat="1" x14ac:dyDescent="0.25">
      <c r="A14019" s="119"/>
      <c r="B14019" s="138" t="str">
        <f t="shared" si="1243"/>
        <v>Aerated Static Pile</v>
      </c>
      <c r="C14019" s="138" t="str">
        <f t="shared" si="1244"/>
        <v>Without Amendment</v>
      </c>
      <c r="D14019" s="138" t="str">
        <f t="shared" si="1248"/>
        <v>Base_High</v>
      </c>
      <c r="E14019" s="138" t="str">
        <f t="shared" si="1246"/>
        <v>High</v>
      </c>
      <c r="F14019" s="138" t="str">
        <f t="shared" si="1247"/>
        <v>Upgraded</v>
      </c>
      <c r="G14019" s="153"/>
      <c r="H14019" s="210">
        <v>4.7864000000000004</v>
      </c>
      <c r="I14019" s="160" t="s">
        <v>167</v>
      </c>
      <c r="J14019" s="160">
        <v>3.4982700000000002</v>
      </c>
      <c r="K14019" s="160" t="s">
        <v>15</v>
      </c>
      <c r="L14019" s="154" t="str">
        <f>IF(OpenLCAbasic!K14019="CTUh", "Fill in Manually",IF(OR(K14019="Unit", K14019=""), "", INDEX(LookUps!$E$5:$E$12, MATCH(OpenLCAbasic!K14019,LookUps!$D$5:$D$12,0))))</f>
        <v>Cumulative Energy Demand (CED) - MJ</v>
      </c>
      <c r="M14019" s="154" t="str">
        <f t="shared" si="1242"/>
        <v>High_Base_High_Upgraded_Cumulative Energy Demand (CED) - MJ_Waste Receiving and Holding; wastewater treatment unit; at updated plant - US_Without Amendment_Aerated Static Pile</v>
      </c>
    </row>
    <row r="14020" spans="1:13" s="120" customFormat="1" x14ac:dyDescent="0.25">
      <c r="A14020" s="119"/>
      <c r="B14020" s="138" t="str">
        <f t="shared" si="1243"/>
        <v>Aerated Static Pile</v>
      </c>
      <c r="C14020" s="138" t="str">
        <f t="shared" si="1244"/>
        <v>Without Amendment</v>
      </c>
      <c r="D14020" s="138" t="str">
        <f t="shared" si="1248"/>
        <v>Base_High</v>
      </c>
      <c r="E14020" s="138" t="str">
        <f t="shared" si="1246"/>
        <v>High</v>
      </c>
      <c r="F14020" s="138" t="str">
        <f t="shared" si="1247"/>
        <v>Upgraded</v>
      </c>
      <c r="G14020" s="153"/>
      <c r="H14020" s="210">
        <v>1.5911</v>
      </c>
      <c r="I14020" s="160" t="s">
        <v>54</v>
      </c>
      <c r="J14020" s="160">
        <v>1.16289</v>
      </c>
      <c r="K14020" s="160" t="s">
        <v>15</v>
      </c>
      <c r="L14020" s="154" t="str">
        <f>IF(OpenLCAbasic!K14020="CTUh", "Fill in Manually",IF(OR(K14020="Unit", K14020=""), "", INDEX(LookUps!$E$5:$E$12, MATCH(OpenLCAbasic!K14020,LookUps!$D$5:$D$12,0))))</f>
        <v>Cumulative Energy Demand (CED) - MJ</v>
      </c>
      <c r="M14020" s="154" t="str">
        <f t="shared" ref="M14020:M14083" si="1249">CONCATENATE(E14020,"_",D14020,"_",F14020,"_",L14020, "_",I14020,"_", C14020,"_", B14020)</f>
        <v>High_Base_High_Upgraded_Cumulative Energy Demand (CED) - MJ_Clear Cove Primary Clarification; wastewater treatment unit; at updated plant - US_Without Amendment_Aerated Static Pile</v>
      </c>
    </row>
    <row r="14021" spans="1:13" s="120" customFormat="1" x14ac:dyDescent="0.25">
      <c r="A14021" s="119"/>
      <c r="B14021" s="138" t="str">
        <f t="shared" si="1243"/>
        <v>Aerated Static Pile</v>
      </c>
      <c r="C14021" s="138" t="str">
        <f t="shared" si="1244"/>
        <v>Without Amendment</v>
      </c>
      <c r="D14021" s="138" t="str">
        <f t="shared" si="1248"/>
        <v>Base_High</v>
      </c>
      <c r="E14021" s="138" t="str">
        <f t="shared" si="1246"/>
        <v>High</v>
      </c>
      <c r="F14021" s="138" t="str">
        <f t="shared" si="1247"/>
        <v>Upgraded</v>
      </c>
      <c r="G14021" s="153"/>
      <c r="H14021" s="210">
        <v>1.2097</v>
      </c>
      <c r="I14021" s="160" t="s">
        <v>58</v>
      </c>
      <c r="J14021" s="160">
        <v>0.88417000000000001</v>
      </c>
      <c r="K14021" s="160" t="s">
        <v>15</v>
      </c>
      <c r="L14021" s="154" t="str">
        <f>IF(OpenLCAbasic!K14021="CTUh", "Fill in Manually",IF(OR(K14021="Unit", K14021=""), "", INDEX(LookUps!$E$5:$E$12, MATCH(OpenLCAbasic!K14021,LookUps!$D$5:$D$12,0))))</f>
        <v>Cumulative Energy Demand (CED) - MJ</v>
      </c>
      <c r="M14021" s="154" t="str">
        <f t="shared" si="1249"/>
        <v>High_Base_High_Upgraded_Cumulative Energy Demand (CED) - MJ_Pre-Anoxic &amp; Swing tank; wastewater treatment unit; at updated plant - US_Without Amendment_Aerated Static Pile</v>
      </c>
    </row>
    <row r="14022" spans="1:13" s="120" customFormat="1" x14ac:dyDescent="0.25">
      <c r="A14022" s="119"/>
      <c r="B14022" s="138" t="str">
        <f t="shared" si="1243"/>
        <v>Aerated Static Pile</v>
      </c>
      <c r="C14022" s="138" t="str">
        <f t="shared" si="1244"/>
        <v>Without Amendment</v>
      </c>
      <c r="D14022" s="138" t="str">
        <f t="shared" si="1248"/>
        <v>Base_High</v>
      </c>
      <c r="E14022" s="138" t="str">
        <f t="shared" si="1246"/>
        <v>High</v>
      </c>
      <c r="F14022" s="138" t="str">
        <f t="shared" si="1247"/>
        <v>Upgraded</v>
      </c>
      <c r="G14022" s="153"/>
      <c r="H14022" s="210">
        <v>1.2081</v>
      </c>
      <c r="I14022" s="160" t="s">
        <v>147</v>
      </c>
      <c r="J14022" s="160">
        <v>0.88297000000000003</v>
      </c>
      <c r="K14022" s="160" t="s">
        <v>15</v>
      </c>
      <c r="L14022" s="154" t="str">
        <f>IF(OpenLCAbasic!K14022="CTUh", "Fill in Manually",IF(OR(K14022="Unit", K14022=""), "", INDEX(LookUps!$E$5:$E$12, MATCH(OpenLCAbasic!K14022,LookUps!$D$5:$D$12,0))))</f>
        <v>Cumulative Energy Demand (CED) - MJ</v>
      </c>
      <c r="M14022" s="154" t="str">
        <f t="shared" si="1249"/>
        <v>High_Base_High_Upgraded_Cumulative Energy Demand (CED) - MJ_Influent Pump Station; wastewater treatment unit; at updated plant - US_Without Amendment_Aerated Static Pile</v>
      </c>
    </row>
    <row r="14023" spans="1:13" s="120" customFormat="1" x14ac:dyDescent="0.25">
      <c r="A14023" s="119"/>
      <c r="B14023" s="138" t="str">
        <f t="shared" si="1243"/>
        <v>Aerated Static Pile</v>
      </c>
      <c r="C14023" s="138" t="str">
        <f t="shared" si="1244"/>
        <v>Without Amendment</v>
      </c>
      <c r="D14023" s="138" t="str">
        <f t="shared" si="1248"/>
        <v>Base_High</v>
      </c>
      <c r="E14023" s="138" t="str">
        <f t="shared" si="1246"/>
        <v>High</v>
      </c>
      <c r="F14023" s="138" t="str">
        <f t="shared" si="1247"/>
        <v>Upgraded</v>
      </c>
      <c r="G14023" s="153"/>
      <c r="H14023" s="210">
        <v>0.95289999999999997</v>
      </c>
      <c r="I14023" s="160" t="s">
        <v>53</v>
      </c>
      <c r="J14023" s="160">
        <v>0.69645000000000001</v>
      </c>
      <c r="K14023" s="160" t="s">
        <v>15</v>
      </c>
      <c r="L14023" s="154" t="str">
        <f>IF(OpenLCAbasic!K14023="CTUh", "Fill in Manually",IF(OR(K14023="Unit", K14023=""), "", INDEX(LookUps!$E$5:$E$12, MATCH(OpenLCAbasic!K14023,LookUps!$D$5:$D$12,0))))</f>
        <v>Cumulative Energy Demand (CED) - MJ</v>
      </c>
      <c r="M14023" s="154" t="str">
        <f t="shared" si="1249"/>
        <v>High_Base_High_Upgraded_Cumulative Energy Demand (CED) - MJ_Wet Well and Sump Station; wastewater treatment unit; at updated plant - US_Without Amendment_Aerated Static Pile</v>
      </c>
    </row>
    <row r="14024" spans="1:13" s="120" customFormat="1" x14ac:dyDescent="0.25">
      <c r="A14024" s="119"/>
      <c r="B14024" s="138" t="str">
        <f t="shared" si="1243"/>
        <v>Aerated Static Pile</v>
      </c>
      <c r="C14024" s="138" t="str">
        <f t="shared" si="1244"/>
        <v>Without Amendment</v>
      </c>
      <c r="D14024" s="138" t="str">
        <f t="shared" si="1248"/>
        <v>Base_High</v>
      </c>
      <c r="E14024" s="138" t="str">
        <f t="shared" si="1246"/>
        <v>High</v>
      </c>
      <c r="F14024" s="138" t="str">
        <f t="shared" si="1247"/>
        <v>Upgraded</v>
      </c>
      <c r="G14024" s="153"/>
      <c r="H14024" s="210">
        <v>0.45850000000000002</v>
      </c>
      <c r="I14024" s="160" t="s">
        <v>435</v>
      </c>
      <c r="J14024" s="160">
        <v>0.33511999999999997</v>
      </c>
      <c r="K14024" s="160" t="s">
        <v>15</v>
      </c>
      <c r="L14024" s="154" t="str">
        <f>IF(OpenLCAbasic!K14024="CTUh", "Fill in Manually",IF(OR(K14024="Unit", K14024=""), "", INDEX(LookUps!$E$5:$E$12, MATCH(OpenLCAbasic!K14024,LookUps!$D$5:$D$12,0))))</f>
        <v>Cumulative Energy Demand (CED) - MJ</v>
      </c>
      <c r="M14024" s="154" t="str">
        <f t="shared" si="1249"/>
        <v>High_Base_High_Upgraded_Cumulative Energy Demand (CED) - MJ_Biosolids composting; aerated static pile; wastewater treatment unit; at updated plant - US_Without Amendment_Aerated Static Pile</v>
      </c>
    </row>
    <row r="14025" spans="1:13" s="120" customFormat="1" x14ac:dyDescent="0.25">
      <c r="A14025" s="119"/>
      <c r="B14025" s="138" t="str">
        <f t="shared" si="1243"/>
        <v>Aerated Static Pile</v>
      </c>
      <c r="C14025" s="138" t="str">
        <f t="shared" si="1244"/>
        <v>Without Amendment</v>
      </c>
      <c r="D14025" s="138" t="str">
        <f t="shared" si="1248"/>
        <v>Base_High</v>
      </c>
      <c r="E14025" s="138" t="str">
        <f t="shared" si="1246"/>
        <v>High</v>
      </c>
      <c r="F14025" s="138" t="str">
        <f t="shared" si="1247"/>
        <v>Upgraded</v>
      </c>
      <c r="G14025" s="153"/>
      <c r="H14025" s="210">
        <v>0.45700000000000002</v>
      </c>
      <c r="I14025" s="160" t="s">
        <v>57</v>
      </c>
      <c r="J14025" s="160">
        <v>0.33404</v>
      </c>
      <c r="K14025" s="160" t="s">
        <v>15</v>
      </c>
      <c r="L14025" s="154" t="str">
        <f>IF(OpenLCAbasic!K14025="CTUh", "Fill in Manually",IF(OR(K14025="Unit", K14025=""), "", INDEX(LookUps!$E$5:$E$12, MATCH(OpenLCAbasic!K14025,LookUps!$D$5:$D$12,0))))</f>
        <v>Cumulative Energy Demand (CED) - MJ</v>
      </c>
      <c r="M14025" s="154" t="str">
        <f t="shared" si="1249"/>
        <v>High_Base_High_Upgraded_Cumulative Energy Demand (CED) - MJ_Gravity Belt Thickener; wastewater treatment unit; at updated plant - US_Without Amendment_Aerated Static Pile</v>
      </c>
    </row>
    <row r="14026" spans="1:13" s="120" customFormat="1" x14ac:dyDescent="0.25">
      <c r="A14026" s="119"/>
      <c r="B14026" s="138" t="str">
        <f t="shared" si="1243"/>
        <v>Aerated Static Pile</v>
      </c>
      <c r="C14026" s="138" t="str">
        <f t="shared" si="1244"/>
        <v>Without Amendment</v>
      </c>
      <c r="D14026" s="138" t="str">
        <f t="shared" si="1248"/>
        <v>Base_High</v>
      </c>
      <c r="E14026" s="138" t="str">
        <f t="shared" si="1246"/>
        <v>High</v>
      </c>
      <c r="F14026" s="138" t="str">
        <f t="shared" si="1247"/>
        <v>Upgraded</v>
      </c>
      <c r="G14026" s="153"/>
      <c r="H14026" s="210">
        <v>0.38</v>
      </c>
      <c r="I14026" s="160" t="s">
        <v>60</v>
      </c>
      <c r="J14026" s="160">
        <v>0.27775</v>
      </c>
      <c r="K14026" s="160" t="s">
        <v>15</v>
      </c>
      <c r="L14026" s="154" t="str">
        <f>IF(OpenLCAbasic!K14026="CTUh", "Fill in Manually",IF(OR(K14026="Unit", K14026=""), "", INDEX(LookUps!$E$5:$E$12, MATCH(OpenLCAbasic!K14026,LookUps!$D$5:$D$12,0))))</f>
        <v>Cumulative Energy Demand (CED) - MJ</v>
      </c>
      <c r="M14026" s="154" t="str">
        <f t="shared" si="1249"/>
        <v>High_Base_High_Upgraded_Cumulative Energy Demand (CED) - MJ_Belt filter press; wastewater treatment unit; at updated plant - US_Without Amendment_Aerated Static Pile</v>
      </c>
    </row>
    <row r="14027" spans="1:13" s="120" customFormat="1" x14ac:dyDescent="0.25">
      <c r="A14027" s="119"/>
      <c r="B14027" s="138" t="str">
        <f t="shared" si="1243"/>
        <v>Aerated Static Pile</v>
      </c>
      <c r="C14027" s="138" t="str">
        <f t="shared" si="1244"/>
        <v>Without Amendment</v>
      </c>
      <c r="D14027" s="138" t="str">
        <f t="shared" si="1248"/>
        <v>Base_High</v>
      </c>
      <c r="E14027" s="138" t="str">
        <f t="shared" si="1246"/>
        <v>High</v>
      </c>
      <c r="F14027" s="138" t="str">
        <f t="shared" si="1247"/>
        <v>Upgraded</v>
      </c>
      <c r="G14027" s="153"/>
      <c r="H14027" s="210">
        <v>0.3503</v>
      </c>
      <c r="I14027" s="160" t="s">
        <v>128</v>
      </c>
      <c r="J14027" s="160">
        <v>0.25606000000000001</v>
      </c>
      <c r="K14027" s="160" t="s">
        <v>15</v>
      </c>
      <c r="L14027" s="154" t="str">
        <f>IF(OpenLCAbasic!K14027="CTUh", "Fill in Manually",IF(OR(K14027="Unit", K14027=""), "", INDEX(LookUps!$E$5:$E$12, MATCH(OpenLCAbasic!K14027,LookUps!$D$5:$D$12,0))))</f>
        <v>Cumulative Energy Demand (CED) - MJ</v>
      </c>
      <c r="M14027" s="154" t="str">
        <f t="shared" si="1249"/>
        <v>High_Base_High_Upgraded_Cumulative Energy Demand (CED) - MJ_Wastewater collection; operation and infrastructure; m3 wastewater_Without Amendment_Aerated Static Pile</v>
      </c>
    </row>
    <row r="14028" spans="1:13" s="120" customFormat="1" x14ac:dyDescent="0.25">
      <c r="A14028" s="119"/>
      <c r="B14028" s="138" t="str">
        <f t="shared" si="1243"/>
        <v>Aerated Static Pile</v>
      </c>
      <c r="C14028" s="138" t="str">
        <f t="shared" si="1244"/>
        <v>Without Amendment</v>
      </c>
      <c r="D14028" s="138" t="str">
        <f t="shared" si="1248"/>
        <v>Base_High</v>
      </c>
      <c r="E14028" s="138" t="str">
        <f t="shared" si="1246"/>
        <v>High</v>
      </c>
      <c r="F14028" s="138" t="str">
        <f t="shared" si="1247"/>
        <v>Upgraded</v>
      </c>
      <c r="G14028" s="153"/>
      <c r="H14028" s="210">
        <v>0.19980000000000001</v>
      </c>
      <c r="I14028" s="160" t="s">
        <v>148</v>
      </c>
      <c r="J14028" s="160">
        <v>0.14599000000000001</v>
      </c>
      <c r="K14028" s="160" t="s">
        <v>15</v>
      </c>
      <c r="L14028" s="154" t="str">
        <f>IF(OpenLCAbasic!K14028="CTUh", "Fill in Manually",IF(OR(K14028="Unit", K14028=""), "", INDEX(LookUps!$E$5:$E$12, MATCH(OpenLCAbasic!K14028,LookUps!$D$5:$D$12,0))))</f>
        <v>Cumulative Energy Demand (CED) - MJ</v>
      </c>
      <c r="M14028" s="154" t="str">
        <f t="shared" si="1249"/>
        <v>High_Base_High_Upgraded_Cumulative Energy Demand (CED) - MJ_Control Building; at upgraded wastewater treatment plant - US_Without Amendment_Aerated Static Pile</v>
      </c>
    </row>
    <row r="14029" spans="1:13" s="120" customFormat="1" x14ac:dyDescent="0.25">
      <c r="A14029" s="119"/>
      <c r="B14029" s="138" t="str">
        <f t="shared" si="1243"/>
        <v>Aerated Static Pile</v>
      </c>
      <c r="C14029" s="138" t="str">
        <f t="shared" si="1244"/>
        <v>Without Amendment</v>
      </c>
      <c r="D14029" s="138" t="str">
        <f t="shared" si="1248"/>
        <v>Base_High</v>
      </c>
      <c r="E14029" s="138" t="str">
        <f t="shared" si="1246"/>
        <v>High</v>
      </c>
      <c r="F14029" s="138" t="str">
        <f t="shared" si="1247"/>
        <v>Upgraded</v>
      </c>
      <c r="G14029" s="153"/>
      <c r="H14029" s="210">
        <v>0.18229999999999999</v>
      </c>
      <c r="I14029" s="160" t="s">
        <v>48</v>
      </c>
      <c r="J14029" s="160">
        <v>0.13321</v>
      </c>
      <c r="K14029" s="160" t="s">
        <v>15</v>
      </c>
      <c r="L14029" s="154" t="str">
        <f>IF(OpenLCAbasic!K14029="CTUh", "Fill in Manually",IF(OR(K14029="Unit", K14029=""), "", INDEX(LookUps!$E$5:$E$12, MATCH(OpenLCAbasic!K14029,LookUps!$D$5:$D$12,0))))</f>
        <v>Cumulative Energy Demand (CED) - MJ</v>
      </c>
      <c r="M14029" s="154" t="str">
        <f t="shared" si="1249"/>
        <v>High_Base_High_Upgraded_Cumulative Energy Demand (CED) - MJ_Effluent release; wastewater treatment unit; at surface water; m3 wastewater - US_Without Amendment_Aerated Static Pile</v>
      </c>
    </row>
    <row r="14030" spans="1:13" s="120" customFormat="1" x14ac:dyDescent="0.25">
      <c r="A14030" s="119"/>
      <c r="B14030" s="138" t="str">
        <f t="shared" si="1243"/>
        <v>Aerated Static Pile</v>
      </c>
      <c r="C14030" s="138" t="str">
        <f t="shared" si="1244"/>
        <v>Without Amendment</v>
      </c>
      <c r="D14030" s="138" t="str">
        <f t="shared" si="1248"/>
        <v>Base_High</v>
      </c>
      <c r="E14030" s="138" t="str">
        <f t="shared" si="1246"/>
        <v>High</v>
      </c>
      <c r="F14030" s="138" t="str">
        <f t="shared" si="1247"/>
        <v>Upgraded</v>
      </c>
      <c r="G14030" s="153"/>
      <c r="H14030" s="210">
        <v>0.14549999999999999</v>
      </c>
      <c r="I14030" s="160" t="s">
        <v>59</v>
      </c>
      <c r="J14030" s="160">
        <v>0.10638</v>
      </c>
      <c r="K14030" s="160" t="s">
        <v>15</v>
      </c>
      <c r="L14030" s="154" t="str">
        <f>IF(OpenLCAbasic!K14030="CTUh", "Fill in Manually",IF(OR(K14030="Unit", K14030=""), "", INDEX(LookUps!$E$5:$E$12, MATCH(OpenLCAbasic!K14030,LookUps!$D$5:$D$12,0))))</f>
        <v>Cumulative Energy Demand (CED) - MJ</v>
      </c>
      <c r="M14030" s="154" t="str">
        <f t="shared" si="1249"/>
        <v>High_Base_High_Upgraded_Cumulative Energy Demand (CED) - MJ_Blend Tank; wastewater treatment unit; at updated plant - US_Without Amendment_Aerated Static Pile</v>
      </c>
    </row>
    <row r="14031" spans="1:13" s="120" customFormat="1" x14ac:dyDescent="0.25">
      <c r="A14031" s="119"/>
      <c r="B14031" s="138" t="str">
        <f t="shared" si="1243"/>
        <v>Aerated Static Pile</v>
      </c>
      <c r="C14031" s="138" t="str">
        <f t="shared" si="1244"/>
        <v>Without Amendment</v>
      </c>
      <c r="D14031" s="138" t="str">
        <f t="shared" si="1248"/>
        <v>Base_High</v>
      </c>
      <c r="E14031" s="138" t="str">
        <f t="shared" si="1246"/>
        <v>High</v>
      </c>
      <c r="F14031" s="138" t="str">
        <f t="shared" si="1247"/>
        <v>Upgraded</v>
      </c>
      <c r="G14031" s="153"/>
      <c r="H14031" s="210">
        <v>6.9699999999999998E-2</v>
      </c>
      <c r="I14031" s="160" t="s">
        <v>168</v>
      </c>
      <c r="J14031" s="160">
        <v>5.0930000000000003E-2</v>
      </c>
      <c r="K14031" s="160" t="s">
        <v>15</v>
      </c>
      <c r="L14031" s="154" t="str">
        <f>IF(OpenLCAbasic!K14031="CTUh", "Fill in Manually",IF(OR(K14031="Unit", K14031=""), "", INDEX(LookUps!$E$5:$E$12, MATCH(OpenLCAbasic!K14031,LookUps!$D$5:$D$12,0))))</f>
        <v>Cumulative Energy Demand (CED) - MJ</v>
      </c>
      <c r="M14031" s="154" t="str">
        <f t="shared" si="1249"/>
        <v>High_Base_High_Upgraded_Cumulative Energy Demand (CED) - MJ_ClearCove SCP; wastewater treatment unit; at updated plant - US_Without Amendment_Aerated Static Pile</v>
      </c>
    </row>
    <row r="14032" spans="1:13" s="120" customFormat="1" x14ac:dyDescent="0.25">
      <c r="A14032" s="119"/>
      <c r="B14032" s="138" t="str">
        <f t="shared" si="1243"/>
        <v>Aerated Static Pile</v>
      </c>
      <c r="C14032" s="138" t="str">
        <f t="shared" si="1244"/>
        <v>Without Amendment</v>
      </c>
      <c r="D14032" s="138" t="str">
        <f t="shared" si="1248"/>
        <v>Base_High</v>
      </c>
      <c r="E14032" s="138" t="str">
        <f t="shared" si="1246"/>
        <v>High</v>
      </c>
      <c r="F14032" s="138" t="str">
        <f t="shared" si="1247"/>
        <v>Upgraded</v>
      </c>
      <c r="G14032" s="153"/>
      <c r="H14032" s="210">
        <v>-0.3473</v>
      </c>
      <c r="I14032" s="160" t="s">
        <v>62</v>
      </c>
      <c r="J14032" s="160">
        <v>-0.25383</v>
      </c>
      <c r="K14032" s="160" t="s">
        <v>15</v>
      </c>
      <c r="L14032" s="154" t="str">
        <f>IF(OpenLCAbasic!K14032="CTUh", "Fill in Manually",IF(OR(K14032="Unit", K14032=""), "", INDEX(LookUps!$E$5:$E$12, MATCH(OpenLCAbasic!K14032,LookUps!$D$5:$D$12,0))))</f>
        <v>Cumulative Energy Demand (CED) - MJ</v>
      </c>
      <c r="M14032" s="154" t="str">
        <f t="shared" si="1249"/>
        <v>High_Base_High_Upgraded_Cumulative Energy Demand (CED) - MJ_Land application of compost; wastewater treatment unit; at updated plant - US_Without Amendment_Aerated Static Pile</v>
      </c>
    </row>
    <row r="14033" spans="1:13" s="120" customFormat="1" x14ac:dyDescent="0.25">
      <c r="A14033" s="119"/>
      <c r="B14033" s="138" t="str">
        <f t="shared" si="1243"/>
        <v>Aerated Static Pile</v>
      </c>
      <c r="C14033" s="138" t="str">
        <f t="shared" si="1244"/>
        <v>Without Amendment</v>
      </c>
      <c r="D14033" s="138" t="str">
        <f t="shared" si="1248"/>
        <v>Base_High</v>
      </c>
      <c r="E14033" s="138" t="str">
        <f t="shared" si="1246"/>
        <v>High</v>
      </c>
      <c r="F14033" s="138" t="str">
        <f t="shared" si="1247"/>
        <v>Upgraded</v>
      </c>
      <c r="G14033" s="153"/>
      <c r="H14033" s="210">
        <v>-15.4781</v>
      </c>
      <c r="I14033" s="160" t="s">
        <v>149</v>
      </c>
      <c r="J14033" s="160">
        <v>-11.31259</v>
      </c>
      <c r="K14033" s="160" t="s">
        <v>15</v>
      </c>
      <c r="L14033" s="154" t="str">
        <f>IF(OpenLCAbasic!K14033="CTUh", "Fill in Manually",IF(OR(K14033="Unit", K14033=""), "", INDEX(LookUps!$E$5:$E$12, MATCH(OpenLCAbasic!K14033,LookUps!$D$5:$D$12,0))))</f>
        <v>Cumulative Energy Demand (CED) - MJ</v>
      </c>
      <c r="M14033" s="154" t="str">
        <f t="shared" si="1249"/>
        <v>High_Base_High_Upgraded_Cumulative Energy Demand (CED) - MJ_Anaerobic Digestion; wastewater treatment unit; at updated plant - US_Without Amendment_Aerated Static Pile</v>
      </c>
    </row>
    <row r="14034" spans="1:13" s="120" customFormat="1" x14ac:dyDescent="0.25">
      <c r="A14034" s="119"/>
      <c r="B14034" s="138" t="str">
        <f t="shared" si="1243"/>
        <v/>
      </c>
      <c r="C14034" s="138" t="str">
        <f t="shared" si="1244"/>
        <v/>
      </c>
      <c r="D14034" s="138" t="str">
        <f t="shared" si="1248"/>
        <v/>
      </c>
      <c r="E14034" s="138" t="str">
        <f t="shared" si="1246"/>
        <v/>
      </c>
      <c r="F14034" s="138" t="str">
        <f t="shared" si="1247"/>
        <v/>
      </c>
      <c r="G14034" s="153" t="s">
        <v>51</v>
      </c>
      <c r="H14034" s="160"/>
      <c r="I14034" s="160" t="s">
        <v>47</v>
      </c>
      <c r="J14034" s="160" t="s">
        <v>52</v>
      </c>
      <c r="K14034" s="160" t="s">
        <v>27</v>
      </c>
      <c r="L14034" s="154" t="str">
        <f>IF(OpenLCAbasic!K14034="CTUh", "Fill in Manually",IF(OR(K14034="Unit", K14034=""), "", INDEX(LookUps!$E$5:$E$12, MATCH(OpenLCAbasic!K14034,LookUps!$D$5:$D$12,0))))</f>
        <v/>
      </c>
      <c r="M14034" s="154" t="str">
        <f t="shared" si="1249"/>
        <v>____Process__</v>
      </c>
    </row>
    <row r="14035" spans="1:13" s="120" customFormat="1" x14ac:dyDescent="0.25">
      <c r="A14035" s="119"/>
      <c r="B14035" s="138" t="str">
        <f t="shared" si="1243"/>
        <v>Aerated Static Pile</v>
      </c>
      <c r="C14035" s="138" t="str">
        <f t="shared" si="1244"/>
        <v>Without Amendment</v>
      </c>
      <c r="D14035" s="138" t="str">
        <f t="shared" si="1248"/>
        <v>Base_High</v>
      </c>
      <c r="E14035" s="138" t="str">
        <f t="shared" si="1246"/>
        <v>High</v>
      </c>
      <c r="F14035" s="138" t="str">
        <f t="shared" si="1247"/>
        <v>Upgraded</v>
      </c>
      <c r="G14035" s="153"/>
      <c r="H14035" s="210">
        <v>0.87380000000000002</v>
      </c>
      <c r="I14035" s="160" t="s">
        <v>48</v>
      </c>
      <c r="J14035" s="160">
        <v>1.1610000000000001E-2</v>
      </c>
      <c r="K14035" s="160" t="s">
        <v>13</v>
      </c>
      <c r="L14035" s="154" t="str">
        <f>IF(OpenLCAbasic!K14035="CTUh", "Fill in Manually",IF(OR(K14035="Unit", K14035=""), "", INDEX(LookUps!$E$5:$E$12, MATCH(OpenLCAbasic!K14035,LookUps!$D$5:$D$12,0))))</f>
        <v>Eutrophication Potential (EP) - kg N eq</v>
      </c>
      <c r="M14035" s="154" t="str">
        <f t="shared" si="1249"/>
        <v>High_Base_High_Upgraded_Eutrophication Potential (EP) - kg N eq_Effluent release; wastewater treatment unit; at surface water; m3 wastewater - US_Without Amendment_Aerated Static Pile</v>
      </c>
    </row>
    <row r="14036" spans="1:13" s="120" customFormat="1" x14ac:dyDescent="0.25">
      <c r="A14036" s="119"/>
      <c r="B14036" s="138" t="str">
        <f t="shared" si="1243"/>
        <v>Aerated Static Pile</v>
      </c>
      <c r="C14036" s="138" t="str">
        <f t="shared" si="1244"/>
        <v>Without Amendment</v>
      </c>
      <c r="D14036" s="138" t="str">
        <f t="shared" si="1248"/>
        <v>Base_High</v>
      </c>
      <c r="E14036" s="138" t="str">
        <f t="shared" si="1246"/>
        <v>High</v>
      </c>
      <c r="F14036" s="138" t="str">
        <f t="shared" si="1247"/>
        <v>Upgraded</v>
      </c>
      <c r="G14036" s="153"/>
      <c r="H14036" s="210">
        <v>8.9899999999999994E-2</v>
      </c>
      <c r="I14036" s="160" t="s">
        <v>62</v>
      </c>
      <c r="J14036" s="160">
        <v>1.1900000000000001E-3</v>
      </c>
      <c r="K14036" s="160" t="s">
        <v>13</v>
      </c>
      <c r="L14036" s="154" t="str">
        <f>IF(OpenLCAbasic!K14036="CTUh", "Fill in Manually",IF(OR(K14036="Unit", K14036=""), "", INDEX(LookUps!$E$5:$E$12, MATCH(OpenLCAbasic!K14036,LookUps!$D$5:$D$12,0))))</f>
        <v>Eutrophication Potential (EP) - kg N eq</v>
      </c>
      <c r="M14036" s="154" t="str">
        <f t="shared" si="1249"/>
        <v>High_Base_High_Upgraded_Eutrophication Potential (EP) - kg N eq_Land application of compost; wastewater treatment unit; at updated plant - US_Without Amendment_Aerated Static Pile</v>
      </c>
    </row>
    <row r="14037" spans="1:13" s="120" customFormat="1" x14ac:dyDescent="0.25">
      <c r="A14037" s="119"/>
      <c r="B14037" s="138" t="str">
        <f t="shared" si="1243"/>
        <v>Aerated Static Pile</v>
      </c>
      <c r="C14037" s="138" t="str">
        <f t="shared" si="1244"/>
        <v>Without Amendment</v>
      </c>
      <c r="D14037" s="138" t="str">
        <f t="shared" si="1248"/>
        <v>Base_High</v>
      </c>
      <c r="E14037" s="138" t="str">
        <f t="shared" si="1246"/>
        <v>High</v>
      </c>
      <c r="F14037" s="138" t="str">
        <f t="shared" si="1247"/>
        <v>Upgraded</v>
      </c>
      <c r="G14037" s="153"/>
      <c r="H14037" s="210">
        <v>4.1099999999999998E-2</v>
      </c>
      <c r="I14037" s="160" t="s">
        <v>55</v>
      </c>
      <c r="J14037" s="160">
        <v>5.5000000000000003E-4</v>
      </c>
      <c r="K14037" s="160" t="s">
        <v>13</v>
      </c>
      <c r="L14037" s="154" t="str">
        <f>IF(OpenLCAbasic!K14037="CTUh", "Fill in Manually",IF(OR(K14037="Unit", K14037=""), "", INDEX(LookUps!$E$5:$E$12, MATCH(OpenLCAbasic!K14037,LookUps!$D$5:$D$12,0))))</f>
        <v>Eutrophication Potential (EP) - kg N eq</v>
      </c>
      <c r="M14037" s="154" t="str">
        <f t="shared" si="1249"/>
        <v>High_Base_High_Upgraded_Eutrophication Potential (EP) - kg N eq_Aeration Tanks; wastewater treatment unit; at updated plant - US_Without Amendment_Aerated Static Pile</v>
      </c>
    </row>
    <row r="14038" spans="1:13" s="120" customFormat="1" x14ac:dyDescent="0.25">
      <c r="A14038" s="119"/>
      <c r="B14038" s="138" t="str">
        <f t="shared" si="1243"/>
        <v>Aerated Static Pile</v>
      </c>
      <c r="C14038" s="138" t="str">
        <f t="shared" si="1244"/>
        <v>Without Amendment</v>
      </c>
      <c r="D14038" s="138" t="str">
        <f t="shared" si="1248"/>
        <v>Base_High</v>
      </c>
      <c r="E14038" s="138" t="str">
        <f t="shared" si="1246"/>
        <v>High</v>
      </c>
      <c r="F14038" s="138" t="str">
        <f t="shared" si="1247"/>
        <v>Upgraded</v>
      </c>
      <c r="G14038" s="153"/>
      <c r="H14038" s="210">
        <v>1.8800000000000001E-2</v>
      </c>
      <c r="I14038" s="160" t="s">
        <v>147</v>
      </c>
      <c r="J14038" s="160">
        <v>2.5000000000000001E-4</v>
      </c>
      <c r="K14038" s="160" t="s">
        <v>13</v>
      </c>
      <c r="L14038" s="154" t="str">
        <f>IF(OpenLCAbasic!K14038="CTUh", "Fill in Manually",IF(OR(K14038="Unit", K14038=""), "", INDEX(LookUps!$E$5:$E$12, MATCH(OpenLCAbasic!K14038,LookUps!$D$5:$D$12,0))))</f>
        <v>Eutrophication Potential (EP) - kg N eq</v>
      </c>
      <c r="M14038" s="154" t="str">
        <f t="shared" si="1249"/>
        <v>High_Base_High_Upgraded_Eutrophication Potential (EP) - kg N eq_Influent Pump Station; wastewater treatment unit; at updated plant - US_Without Amendment_Aerated Static Pile</v>
      </c>
    </row>
    <row r="14039" spans="1:13" s="120" customFormat="1" x14ac:dyDescent="0.25">
      <c r="A14039" s="119"/>
      <c r="B14039" s="138" t="str">
        <f t="shared" si="1243"/>
        <v>Aerated Static Pile</v>
      </c>
      <c r="C14039" s="138" t="str">
        <f t="shared" si="1244"/>
        <v>Without Amendment</v>
      </c>
      <c r="D14039" s="138" t="str">
        <f t="shared" si="1248"/>
        <v>Base_High</v>
      </c>
      <c r="E14039" s="138" t="str">
        <f t="shared" si="1246"/>
        <v>High</v>
      </c>
      <c r="F14039" s="138" t="str">
        <f t="shared" si="1247"/>
        <v>Upgraded</v>
      </c>
      <c r="G14039" s="153"/>
      <c r="H14039" s="210">
        <v>1.49E-2</v>
      </c>
      <c r="I14039" s="160" t="s">
        <v>54</v>
      </c>
      <c r="J14039" s="160">
        <v>2.0000000000000001E-4</v>
      </c>
      <c r="K14039" s="160" t="s">
        <v>13</v>
      </c>
      <c r="L14039" s="154" t="str">
        <f>IF(OpenLCAbasic!K14039="CTUh", "Fill in Manually",IF(OR(K14039="Unit", K14039=""), "", INDEX(LookUps!$E$5:$E$12, MATCH(OpenLCAbasic!K14039,LookUps!$D$5:$D$12,0))))</f>
        <v>Eutrophication Potential (EP) - kg N eq</v>
      </c>
      <c r="M14039" s="154" t="str">
        <f t="shared" si="1249"/>
        <v>High_Base_High_Upgraded_Eutrophication Potential (EP) - kg N eq_Clear Cove Primary Clarification; wastewater treatment unit; at updated plant - US_Without Amendment_Aerated Static Pile</v>
      </c>
    </row>
    <row r="14040" spans="1:13" s="120" customFormat="1" x14ac:dyDescent="0.25">
      <c r="A14040" s="119"/>
      <c r="B14040" s="138" t="str">
        <f t="shared" si="1243"/>
        <v>Aerated Static Pile</v>
      </c>
      <c r="C14040" s="138" t="str">
        <f t="shared" si="1244"/>
        <v>Without Amendment</v>
      </c>
      <c r="D14040" s="138" t="str">
        <f t="shared" si="1248"/>
        <v>Base_High</v>
      </c>
      <c r="E14040" s="138" t="str">
        <f t="shared" si="1246"/>
        <v>High</v>
      </c>
      <c r="F14040" s="138" t="str">
        <f t="shared" si="1247"/>
        <v>Upgraded</v>
      </c>
      <c r="G14040" s="153"/>
      <c r="H14040" s="210">
        <v>1.23E-2</v>
      </c>
      <c r="I14040" s="160" t="s">
        <v>167</v>
      </c>
      <c r="J14040" s="160">
        <v>1.6000000000000001E-4</v>
      </c>
      <c r="K14040" s="160" t="s">
        <v>13</v>
      </c>
      <c r="L14040" s="154" t="str">
        <f>IF(OpenLCAbasic!K14040="CTUh", "Fill in Manually",IF(OR(K14040="Unit", K14040=""), "", INDEX(LookUps!$E$5:$E$12, MATCH(OpenLCAbasic!K14040,LookUps!$D$5:$D$12,0))))</f>
        <v>Eutrophication Potential (EP) - kg N eq</v>
      </c>
      <c r="M14040" s="154" t="str">
        <f t="shared" si="1249"/>
        <v>High_Base_High_Upgraded_Eutrophication Potential (EP) - kg N eq_Waste Receiving and Holding; wastewater treatment unit; at updated plant - US_Without Amendment_Aerated Static Pile</v>
      </c>
    </row>
    <row r="14041" spans="1:13" s="120" customFormat="1" x14ac:dyDescent="0.25">
      <c r="A14041" s="119"/>
      <c r="B14041" s="138" t="str">
        <f t="shared" si="1243"/>
        <v>Aerated Static Pile</v>
      </c>
      <c r="C14041" s="138" t="str">
        <f t="shared" si="1244"/>
        <v>Without Amendment</v>
      </c>
      <c r="D14041" s="138" t="str">
        <f t="shared" si="1248"/>
        <v>Base_High</v>
      </c>
      <c r="E14041" s="138" t="str">
        <f t="shared" si="1246"/>
        <v>High</v>
      </c>
      <c r="F14041" s="138" t="str">
        <f t="shared" si="1247"/>
        <v>Upgraded</v>
      </c>
      <c r="G14041" s="153"/>
      <c r="H14041" s="210">
        <v>1.0200000000000001E-2</v>
      </c>
      <c r="I14041" s="160" t="s">
        <v>58</v>
      </c>
      <c r="J14041" s="160">
        <v>1.3999999999999999E-4</v>
      </c>
      <c r="K14041" s="160" t="s">
        <v>13</v>
      </c>
      <c r="L14041" s="154" t="str">
        <f>IF(OpenLCAbasic!K14041="CTUh", "Fill in Manually",IF(OR(K14041="Unit", K14041=""), "", INDEX(LookUps!$E$5:$E$12, MATCH(OpenLCAbasic!K14041,LookUps!$D$5:$D$12,0))))</f>
        <v>Eutrophication Potential (EP) - kg N eq</v>
      </c>
      <c r="M14041" s="154" t="str">
        <f t="shared" si="1249"/>
        <v>High_Base_High_Upgraded_Eutrophication Potential (EP) - kg N eq_Pre-Anoxic &amp; Swing tank; wastewater treatment unit; at updated plant - US_Without Amendment_Aerated Static Pile</v>
      </c>
    </row>
    <row r="14042" spans="1:13" s="120" customFormat="1" x14ac:dyDescent="0.25">
      <c r="A14042" s="119"/>
      <c r="B14042" s="138" t="str">
        <f t="shared" si="1243"/>
        <v>Aerated Static Pile</v>
      </c>
      <c r="C14042" s="138" t="str">
        <f t="shared" si="1244"/>
        <v>Without Amendment</v>
      </c>
      <c r="D14042" s="138" t="str">
        <f t="shared" si="1248"/>
        <v>Base_High</v>
      </c>
      <c r="E14042" s="138" t="str">
        <f t="shared" si="1246"/>
        <v>High</v>
      </c>
      <c r="F14042" s="138" t="str">
        <f t="shared" si="1247"/>
        <v>Upgraded</v>
      </c>
      <c r="G14042" s="153"/>
      <c r="H14042" s="210">
        <v>8.0999999999999996E-3</v>
      </c>
      <c r="I14042" s="160" t="s">
        <v>53</v>
      </c>
      <c r="J14042" s="160">
        <v>1.1E-4</v>
      </c>
      <c r="K14042" s="160" t="s">
        <v>13</v>
      </c>
      <c r="L14042" s="154" t="str">
        <f>IF(OpenLCAbasic!K14042="CTUh", "Fill in Manually",IF(OR(K14042="Unit", K14042=""), "", INDEX(LookUps!$E$5:$E$12, MATCH(OpenLCAbasic!K14042,LookUps!$D$5:$D$12,0))))</f>
        <v>Eutrophication Potential (EP) - kg N eq</v>
      </c>
      <c r="M14042" s="154" t="str">
        <f t="shared" si="1249"/>
        <v>High_Base_High_Upgraded_Eutrophication Potential (EP) - kg N eq_Wet Well and Sump Station; wastewater treatment unit; at updated plant - US_Without Amendment_Aerated Static Pile</v>
      </c>
    </row>
    <row r="14043" spans="1:13" s="120" customFormat="1" x14ac:dyDescent="0.25">
      <c r="A14043" s="119"/>
      <c r="B14043" s="138" t="str">
        <f t="shared" si="1243"/>
        <v>Aerated Static Pile</v>
      </c>
      <c r="C14043" s="138" t="str">
        <f t="shared" si="1244"/>
        <v>Without Amendment</v>
      </c>
      <c r="D14043" s="138" t="str">
        <f t="shared" si="1248"/>
        <v>Base_High</v>
      </c>
      <c r="E14043" s="138" t="str">
        <f t="shared" si="1246"/>
        <v>High</v>
      </c>
      <c r="F14043" s="138" t="str">
        <f t="shared" si="1247"/>
        <v>Upgraded</v>
      </c>
      <c r="G14043" s="153"/>
      <c r="H14043" s="210">
        <v>5.3E-3</v>
      </c>
      <c r="I14043" s="160" t="s">
        <v>435</v>
      </c>
      <c r="J14043" s="211">
        <v>6.9872300000000005E-5</v>
      </c>
      <c r="K14043" s="160" t="s">
        <v>13</v>
      </c>
      <c r="L14043" s="154" t="str">
        <f>IF(OpenLCAbasic!K14043="CTUh", "Fill in Manually",IF(OR(K14043="Unit", K14043=""), "", INDEX(LookUps!$E$5:$E$12, MATCH(OpenLCAbasic!K14043,LookUps!$D$5:$D$12,0))))</f>
        <v>Eutrophication Potential (EP) - kg N eq</v>
      </c>
      <c r="M14043" s="154" t="str">
        <f t="shared" si="1249"/>
        <v>High_Base_High_Upgraded_Eutrophication Potential (EP) - kg N eq_Biosolids composting; aerated static pile; wastewater treatment unit; at updated plant - US_Without Amendment_Aerated Static Pile</v>
      </c>
    </row>
    <row r="14044" spans="1:13" s="120" customFormat="1" x14ac:dyDescent="0.25">
      <c r="A14044" s="119"/>
      <c r="B14044" s="138" t="str">
        <f t="shared" si="1243"/>
        <v>Aerated Static Pile</v>
      </c>
      <c r="C14044" s="138" t="str">
        <f t="shared" si="1244"/>
        <v>Without Amendment</v>
      </c>
      <c r="D14044" s="138" t="str">
        <f t="shared" si="1248"/>
        <v>Base_High</v>
      </c>
      <c r="E14044" s="138" t="str">
        <f t="shared" si="1246"/>
        <v>High</v>
      </c>
      <c r="F14044" s="138" t="str">
        <f t="shared" si="1247"/>
        <v>Upgraded</v>
      </c>
      <c r="G14044" s="153"/>
      <c r="H14044" s="210">
        <v>4.5999999999999999E-3</v>
      </c>
      <c r="I14044" s="160" t="s">
        <v>57</v>
      </c>
      <c r="J14044" s="211">
        <v>6.0590300000000002E-5</v>
      </c>
      <c r="K14044" s="160" t="s">
        <v>13</v>
      </c>
      <c r="L14044" s="154" t="str">
        <f>IF(OpenLCAbasic!K14044="CTUh", "Fill in Manually",IF(OR(K14044="Unit", K14044=""), "", INDEX(LookUps!$E$5:$E$12, MATCH(OpenLCAbasic!K14044,LookUps!$D$5:$D$12,0))))</f>
        <v>Eutrophication Potential (EP) - kg N eq</v>
      </c>
      <c r="M14044" s="154" t="str">
        <f t="shared" si="1249"/>
        <v>High_Base_High_Upgraded_Eutrophication Potential (EP) - kg N eq_Gravity Belt Thickener; wastewater treatment unit; at updated plant - US_Without Amendment_Aerated Static Pile</v>
      </c>
    </row>
    <row r="14045" spans="1:13" s="120" customFormat="1" x14ac:dyDescent="0.25">
      <c r="A14045" s="119"/>
      <c r="B14045" s="138" t="str">
        <f t="shared" si="1243"/>
        <v>Aerated Static Pile</v>
      </c>
      <c r="C14045" s="138" t="str">
        <f t="shared" si="1244"/>
        <v>Without Amendment</v>
      </c>
      <c r="D14045" s="138" t="str">
        <f t="shared" si="1248"/>
        <v>Base_High</v>
      </c>
      <c r="E14045" s="138" t="str">
        <f t="shared" si="1246"/>
        <v>High</v>
      </c>
      <c r="F14045" s="138" t="str">
        <f t="shared" si="1247"/>
        <v>Upgraded</v>
      </c>
      <c r="G14045" s="153"/>
      <c r="H14045" s="210">
        <v>3.7000000000000002E-3</v>
      </c>
      <c r="I14045" s="160" t="s">
        <v>60</v>
      </c>
      <c r="J14045" s="211">
        <v>4.8791500000000002E-5</v>
      </c>
      <c r="K14045" s="160" t="s">
        <v>13</v>
      </c>
      <c r="L14045" s="154" t="str">
        <f>IF(OpenLCAbasic!K14045="CTUh", "Fill in Manually",IF(OR(K14045="Unit", K14045=""), "", INDEX(LookUps!$E$5:$E$12, MATCH(OpenLCAbasic!K14045,LookUps!$D$5:$D$12,0))))</f>
        <v>Eutrophication Potential (EP) - kg N eq</v>
      </c>
      <c r="M14045" s="154" t="str">
        <f t="shared" si="1249"/>
        <v>High_Base_High_Upgraded_Eutrophication Potential (EP) - kg N eq_Belt filter press; wastewater treatment unit; at updated plant - US_Without Amendment_Aerated Static Pile</v>
      </c>
    </row>
    <row r="14046" spans="1:13" s="120" customFormat="1" x14ac:dyDescent="0.25">
      <c r="A14046" s="119"/>
      <c r="B14046" s="138" t="str">
        <f t="shared" si="1243"/>
        <v>Aerated Static Pile</v>
      </c>
      <c r="C14046" s="138" t="str">
        <f t="shared" si="1244"/>
        <v>Without Amendment</v>
      </c>
      <c r="D14046" s="138" t="str">
        <f t="shared" si="1248"/>
        <v>Base_High</v>
      </c>
      <c r="E14046" s="138" t="str">
        <f t="shared" si="1246"/>
        <v>High</v>
      </c>
      <c r="F14046" s="138" t="str">
        <f t="shared" si="1247"/>
        <v>Upgraded</v>
      </c>
      <c r="G14046" s="153"/>
      <c r="H14046" s="210">
        <v>2.8E-3</v>
      </c>
      <c r="I14046" s="160" t="s">
        <v>128</v>
      </c>
      <c r="J14046" s="211">
        <v>3.7559799999999999E-5</v>
      </c>
      <c r="K14046" s="160" t="s">
        <v>13</v>
      </c>
      <c r="L14046" s="154" t="str">
        <f>IF(OpenLCAbasic!K14046="CTUh", "Fill in Manually",IF(OR(K14046="Unit", K14046=""), "", INDEX(LookUps!$E$5:$E$12, MATCH(OpenLCAbasic!K14046,LookUps!$D$5:$D$12,0))))</f>
        <v>Eutrophication Potential (EP) - kg N eq</v>
      </c>
      <c r="M14046" s="154" t="str">
        <f t="shared" si="1249"/>
        <v>High_Base_High_Upgraded_Eutrophication Potential (EP) - kg N eq_Wastewater collection; operation and infrastructure; m3 wastewater_Without Amendment_Aerated Static Pile</v>
      </c>
    </row>
    <row r="14047" spans="1:13" s="120" customFormat="1" x14ac:dyDescent="0.25">
      <c r="A14047" s="119"/>
      <c r="B14047" s="138" t="str">
        <f t="shared" si="1243"/>
        <v>Aerated Static Pile</v>
      </c>
      <c r="C14047" s="138" t="str">
        <f t="shared" si="1244"/>
        <v>Without Amendment</v>
      </c>
      <c r="D14047" s="138" t="str">
        <f t="shared" si="1248"/>
        <v>Base_High</v>
      </c>
      <c r="E14047" s="138" t="str">
        <f t="shared" si="1246"/>
        <v>High</v>
      </c>
      <c r="F14047" s="138" t="str">
        <f t="shared" si="1247"/>
        <v>Upgraded</v>
      </c>
      <c r="G14047" s="153"/>
      <c r="H14047" s="210">
        <v>2.8E-3</v>
      </c>
      <c r="I14047" s="160" t="s">
        <v>148</v>
      </c>
      <c r="J14047" s="211">
        <v>3.6874600000000001E-5</v>
      </c>
      <c r="K14047" s="160" t="s">
        <v>13</v>
      </c>
      <c r="L14047" s="154" t="str">
        <f>IF(OpenLCAbasic!K14047="CTUh", "Fill in Manually",IF(OR(K14047="Unit", K14047=""), "", INDEX(LookUps!$E$5:$E$12, MATCH(OpenLCAbasic!K14047,LookUps!$D$5:$D$12,0))))</f>
        <v>Eutrophication Potential (EP) - kg N eq</v>
      </c>
      <c r="M14047" s="154" t="str">
        <f t="shared" si="1249"/>
        <v>High_Base_High_Upgraded_Eutrophication Potential (EP) - kg N eq_Control Building; at upgraded wastewater treatment plant - US_Without Amendment_Aerated Static Pile</v>
      </c>
    </row>
    <row r="14048" spans="1:13" s="120" customFormat="1" x14ac:dyDescent="0.25">
      <c r="A14048" s="119"/>
      <c r="B14048" s="138" t="str">
        <f t="shared" si="1243"/>
        <v>Aerated Static Pile</v>
      </c>
      <c r="C14048" s="138" t="str">
        <f t="shared" si="1244"/>
        <v>Without Amendment</v>
      </c>
      <c r="D14048" s="138" t="str">
        <f t="shared" si="1248"/>
        <v>Base_High</v>
      </c>
      <c r="E14048" s="138" t="str">
        <f t="shared" si="1246"/>
        <v>High</v>
      </c>
      <c r="F14048" s="138" t="str">
        <f t="shared" si="1247"/>
        <v>Upgraded</v>
      </c>
      <c r="G14048" s="153"/>
      <c r="H14048" s="210">
        <v>1.1999999999999999E-3</v>
      </c>
      <c r="I14048" s="160" t="s">
        <v>59</v>
      </c>
      <c r="J14048" s="211">
        <v>1.6215700000000001E-5</v>
      </c>
      <c r="K14048" s="160" t="s">
        <v>13</v>
      </c>
      <c r="L14048" s="154" t="str">
        <f>IF(OpenLCAbasic!K14048="CTUh", "Fill in Manually",IF(OR(K14048="Unit", K14048=""), "", INDEX(LookUps!$E$5:$E$12, MATCH(OpenLCAbasic!K14048,LookUps!$D$5:$D$12,0))))</f>
        <v>Eutrophication Potential (EP) - kg N eq</v>
      </c>
      <c r="M14048" s="154" t="str">
        <f t="shared" si="1249"/>
        <v>High_Base_High_Upgraded_Eutrophication Potential (EP) - kg N eq_Blend Tank; wastewater treatment unit; at updated plant - US_Without Amendment_Aerated Static Pile</v>
      </c>
    </row>
    <row r="14049" spans="1:13" s="120" customFormat="1" x14ac:dyDescent="0.25">
      <c r="A14049" s="119"/>
      <c r="B14049" s="138" t="str">
        <f t="shared" si="1243"/>
        <v>Aerated Static Pile</v>
      </c>
      <c r="C14049" s="138" t="str">
        <f t="shared" si="1244"/>
        <v>Without Amendment</v>
      </c>
      <c r="D14049" s="138" t="str">
        <f t="shared" si="1248"/>
        <v>Base_High</v>
      </c>
      <c r="E14049" s="138" t="str">
        <f t="shared" si="1246"/>
        <v>High</v>
      </c>
      <c r="F14049" s="138" t="str">
        <f t="shared" si="1247"/>
        <v>Upgraded</v>
      </c>
      <c r="G14049" s="153"/>
      <c r="H14049" s="210">
        <v>5.9999999999999995E-4</v>
      </c>
      <c r="I14049" s="160" t="s">
        <v>168</v>
      </c>
      <c r="J14049" s="211">
        <v>7.7567199999999995E-6</v>
      </c>
      <c r="K14049" s="160" t="s">
        <v>13</v>
      </c>
      <c r="L14049" s="154" t="str">
        <f>IF(OpenLCAbasic!K14049="CTUh", "Fill in Manually",IF(OR(K14049="Unit", K14049=""), "", INDEX(LookUps!$E$5:$E$12, MATCH(OpenLCAbasic!K14049,LookUps!$D$5:$D$12,0))))</f>
        <v>Eutrophication Potential (EP) - kg N eq</v>
      </c>
      <c r="M14049" s="154" t="str">
        <f t="shared" si="1249"/>
        <v>High_Base_High_Upgraded_Eutrophication Potential (EP) - kg N eq_ClearCove SCP; wastewater treatment unit; at updated plant - US_Without Amendment_Aerated Static Pile</v>
      </c>
    </row>
    <row r="14050" spans="1:13" s="120" customFormat="1" x14ac:dyDescent="0.25">
      <c r="A14050" s="119"/>
      <c r="B14050" s="138" t="str">
        <f t="shared" si="1243"/>
        <v>Aerated Static Pile</v>
      </c>
      <c r="C14050" s="138" t="str">
        <f t="shared" si="1244"/>
        <v>Without Amendment</v>
      </c>
      <c r="D14050" s="138" t="str">
        <f t="shared" si="1248"/>
        <v>Base_High</v>
      </c>
      <c r="E14050" s="138" t="str">
        <f t="shared" si="1246"/>
        <v>High</v>
      </c>
      <c r="F14050" s="138" t="str">
        <f t="shared" si="1247"/>
        <v>Upgraded</v>
      </c>
      <c r="G14050" s="153"/>
      <c r="H14050" s="210">
        <v>-0.09</v>
      </c>
      <c r="I14050" s="160" t="s">
        <v>149</v>
      </c>
      <c r="J14050" s="160">
        <v>-1.1999999999999999E-3</v>
      </c>
      <c r="K14050" s="160" t="s">
        <v>13</v>
      </c>
      <c r="L14050" s="154" t="str">
        <f>IF(OpenLCAbasic!K14050="CTUh", "Fill in Manually",IF(OR(K14050="Unit", K14050=""), "", INDEX(LookUps!$E$5:$E$12, MATCH(OpenLCAbasic!K14050,LookUps!$D$5:$D$12,0))))</f>
        <v>Eutrophication Potential (EP) - kg N eq</v>
      </c>
      <c r="M14050" s="154" t="str">
        <f t="shared" si="1249"/>
        <v>High_Base_High_Upgraded_Eutrophication Potential (EP) - kg N eq_Anaerobic Digestion; wastewater treatment unit; at updated plant - US_Without Amendment_Aerated Static Pile</v>
      </c>
    </row>
    <row r="14051" spans="1:13" s="120" customFormat="1" x14ac:dyDescent="0.25">
      <c r="A14051" s="119"/>
      <c r="B14051" s="138" t="str">
        <f t="shared" si="1243"/>
        <v/>
      </c>
      <c r="C14051" s="138" t="str">
        <f t="shared" si="1244"/>
        <v/>
      </c>
      <c r="D14051" s="138" t="str">
        <f t="shared" si="1248"/>
        <v/>
      </c>
      <c r="E14051" s="138" t="str">
        <f t="shared" si="1246"/>
        <v/>
      </c>
      <c r="F14051" s="138" t="str">
        <f t="shared" si="1247"/>
        <v/>
      </c>
      <c r="G14051" s="153" t="s">
        <v>51</v>
      </c>
      <c r="H14051" s="160"/>
      <c r="I14051" s="160" t="s">
        <v>47</v>
      </c>
      <c r="J14051" s="160" t="s">
        <v>52</v>
      </c>
      <c r="K14051" s="160" t="s">
        <v>27</v>
      </c>
      <c r="L14051" s="154" t="str">
        <f>IF(OpenLCAbasic!K14051="CTUh", "Fill in Manually",IF(OR(K14051="Unit", K14051=""), "", INDEX(LookUps!$E$5:$E$12, MATCH(OpenLCAbasic!K14051,LookUps!$D$5:$D$12,0))))</f>
        <v/>
      </c>
      <c r="M14051" s="154" t="str">
        <f t="shared" si="1249"/>
        <v>____Process__</v>
      </c>
    </row>
    <row r="14052" spans="1:13" s="120" customFormat="1" x14ac:dyDescent="0.25">
      <c r="A14052" s="119"/>
      <c r="B14052" s="138" t="str">
        <f t="shared" si="1243"/>
        <v>Aerated Static Pile</v>
      </c>
      <c r="C14052" s="138" t="str">
        <f t="shared" si="1244"/>
        <v>Without Amendment</v>
      </c>
      <c r="D14052" s="138" t="str">
        <f t="shared" si="1248"/>
        <v>Base_High</v>
      </c>
      <c r="E14052" s="138" t="str">
        <f t="shared" si="1246"/>
        <v>High</v>
      </c>
      <c r="F14052" s="138" t="str">
        <f t="shared" si="1247"/>
        <v>Upgraded</v>
      </c>
      <c r="G14052" s="153"/>
      <c r="H14052" s="210">
        <v>7.0707000000000004</v>
      </c>
      <c r="I14052" s="160" t="s">
        <v>167</v>
      </c>
      <c r="J14052" s="160">
        <v>7.9170000000000004E-2</v>
      </c>
      <c r="K14052" s="160" t="s">
        <v>14</v>
      </c>
      <c r="L14052" s="154" t="str">
        <f>IF(OpenLCAbasic!K14052="CTUh", "Fill in Manually",IF(OR(K14052="Unit", K14052=""), "", INDEX(LookUps!$E$5:$E$12, MATCH(OpenLCAbasic!K14052,LookUps!$D$5:$D$12,0))))</f>
        <v>Fossil Depletion Potential (FDP) - kg oil eq</v>
      </c>
      <c r="M14052" s="154" t="str">
        <f t="shared" si="1249"/>
        <v>High_Base_High_Upgraded_Fossil Depletion Potential (FDP) - kg oil eq_Waste Receiving and Holding; wastewater treatment unit; at updated plant - US_Without Amendment_Aerated Static Pile</v>
      </c>
    </row>
    <row r="14053" spans="1:13" s="120" customFormat="1" x14ac:dyDescent="0.25">
      <c r="A14053" s="119"/>
      <c r="B14053" s="138" t="str">
        <f t="shared" si="1243"/>
        <v>Aerated Static Pile</v>
      </c>
      <c r="C14053" s="138" t="str">
        <f t="shared" si="1244"/>
        <v>Without Amendment</v>
      </c>
      <c r="D14053" s="138" t="str">
        <f t="shared" si="1248"/>
        <v>Base_High</v>
      </c>
      <c r="E14053" s="138" t="str">
        <f t="shared" si="1246"/>
        <v>High</v>
      </c>
      <c r="F14053" s="138" t="str">
        <f t="shared" si="1247"/>
        <v>Upgraded</v>
      </c>
      <c r="G14053" s="153"/>
      <c r="H14053" s="210">
        <v>5.6792999999999996</v>
      </c>
      <c r="I14053" s="160" t="s">
        <v>55</v>
      </c>
      <c r="J14053" s="160">
        <v>6.3589999999999994E-2</v>
      </c>
      <c r="K14053" s="160" t="s">
        <v>14</v>
      </c>
      <c r="L14053" s="154" t="str">
        <f>IF(OpenLCAbasic!K14053="CTUh", "Fill in Manually",IF(OR(K14053="Unit", K14053=""), "", INDEX(LookUps!$E$5:$E$12, MATCH(OpenLCAbasic!K14053,LookUps!$D$5:$D$12,0))))</f>
        <v>Fossil Depletion Potential (FDP) - kg oil eq</v>
      </c>
      <c r="M14053" s="154" t="str">
        <f t="shared" si="1249"/>
        <v>High_Base_High_Upgraded_Fossil Depletion Potential (FDP) - kg oil eq_Aeration Tanks; wastewater treatment unit; at updated plant - US_Without Amendment_Aerated Static Pile</v>
      </c>
    </row>
    <row r="14054" spans="1:13" s="120" customFormat="1" x14ac:dyDescent="0.25">
      <c r="A14054" s="119"/>
      <c r="B14054" s="138" t="str">
        <f t="shared" si="1243"/>
        <v>Aerated Static Pile</v>
      </c>
      <c r="C14054" s="138" t="str">
        <f t="shared" si="1244"/>
        <v>Without Amendment</v>
      </c>
      <c r="D14054" s="138" t="str">
        <f t="shared" si="1248"/>
        <v>Base_High</v>
      </c>
      <c r="E14054" s="138" t="str">
        <f t="shared" si="1246"/>
        <v>High</v>
      </c>
      <c r="F14054" s="138" t="str">
        <f t="shared" si="1247"/>
        <v>Upgraded</v>
      </c>
      <c r="G14054" s="153"/>
      <c r="H14054" s="210">
        <v>1.88</v>
      </c>
      <c r="I14054" s="160" t="s">
        <v>54</v>
      </c>
      <c r="J14054" s="160">
        <v>2.1049999999999999E-2</v>
      </c>
      <c r="K14054" s="160" t="s">
        <v>14</v>
      </c>
      <c r="L14054" s="154" t="str">
        <f>IF(OpenLCAbasic!K14054="CTUh", "Fill in Manually",IF(OR(K14054="Unit", K14054=""), "", INDEX(LookUps!$E$5:$E$12, MATCH(OpenLCAbasic!K14054,LookUps!$D$5:$D$12,0))))</f>
        <v>Fossil Depletion Potential (FDP) - kg oil eq</v>
      </c>
      <c r="M14054" s="154" t="str">
        <f t="shared" si="1249"/>
        <v>High_Base_High_Upgraded_Fossil Depletion Potential (FDP) - kg oil eq_Clear Cove Primary Clarification; wastewater treatment unit; at updated plant - US_Without Amendment_Aerated Static Pile</v>
      </c>
    </row>
    <row r="14055" spans="1:13" s="120" customFormat="1" x14ac:dyDescent="0.25">
      <c r="A14055" s="119"/>
      <c r="B14055" s="138" t="str">
        <f t="shared" si="1243"/>
        <v>Aerated Static Pile</v>
      </c>
      <c r="C14055" s="138" t="str">
        <f t="shared" si="1244"/>
        <v>Without Amendment</v>
      </c>
      <c r="D14055" s="138" t="str">
        <f t="shared" si="1248"/>
        <v>Base_High</v>
      </c>
      <c r="E14055" s="138" t="str">
        <f t="shared" si="1246"/>
        <v>High</v>
      </c>
      <c r="F14055" s="138" t="str">
        <f t="shared" si="1247"/>
        <v>Upgraded</v>
      </c>
      <c r="G14055" s="153"/>
      <c r="H14055" s="210">
        <v>1.4221999999999999</v>
      </c>
      <c r="I14055" s="160" t="s">
        <v>58</v>
      </c>
      <c r="J14055" s="160">
        <v>1.592E-2</v>
      </c>
      <c r="K14055" s="160" t="s">
        <v>14</v>
      </c>
      <c r="L14055" s="154" t="str">
        <f>IF(OpenLCAbasic!K14055="CTUh", "Fill in Manually",IF(OR(K14055="Unit", K14055=""), "", INDEX(LookUps!$E$5:$E$12, MATCH(OpenLCAbasic!K14055,LookUps!$D$5:$D$12,0))))</f>
        <v>Fossil Depletion Potential (FDP) - kg oil eq</v>
      </c>
      <c r="M14055" s="154" t="str">
        <f t="shared" si="1249"/>
        <v>High_Base_High_Upgraded_Fossil Depletion Potential (FDP) - kg oil eq_Pre-Anoxic &amp; Swing tank; wastewater treatment unit; at updated plant - US_Without Amendment_Aerated Static Pile</v>
      </c>
    </row>
    <row r="14056" spans="1:13" s="120" customFormat="1" x14ac:dyDescent="0.25">
      <c r="A14056" s="119"/>
      <c r="B14056" s="138" t="str">
        <f t="shared" si="1243"/>
        <v>Aerated Static Pile</v>
      </c>
      <c r="C14056" s="138" t="str">
        <f t="shared" si="1244"/>
        <v>Without Amendment</v>
      </c>
      <c r="D14056" s="138" t="str">
        <f t="shared" si="1248"/>
        <v>Base_High</v>
      </c>
      <c r="E14056" s="138" t="str">
        <f t="shared" si="1246"/>
        <v>High</v>
      </c>
      <c r="F14056" s="138" t="str">
        <f t="shared" si="1247"/>
        <v>Upgraded</v>
      </c>
      <c r="G14056" s="153"/>
      <c r="H14056" s="210">
        <v>1.3474999999999999</v>
      </c>
      <c r="I14056" s="160" t="s">
        <v>147</v>
      </c>
      <c r="J14056" s="160">
        <v>1.5089999999999999E-2</v>
      </c>
      <c r="K14056" s="160" t="s">
        <v>14</v>
      </c>
      <c r="L14056" s="154" t="str">
        <f>IF(OpenLCAbasic!K14056="CTUh", "Fill in Manually",IF(OR(K14056="Unit", K14056=""), "", INDEX(LookUps!$E$5:$E$12, MATCH(OpenLCAbasic!K14056,LookUps!$D$5:$D$12,0))))</f>
        <v>Fossil Depletion Potential (FDP) - kg oil eq</v>
      </c>
      <c r="M14056" s="154" t="str">
        <f t="shared" si="1249"/>
        <v>High_Base_High_Upgraded_Fossil Depletion Potential (FDP) - kg oil eq_Influent Pump Station; wastewater treatment unit; at updated plant - US_Without Amendment_Aerated Static Pile</v>
      </c>
    </row>
    <row r="14057" spans="1:13" s="120" customFormat="1" x14ac:dyDescent="0.25">
      <c r="A14057" s="119"/>
      <c r="B14057" s="138" t="str">
        <f t="shared" ref="B14057:B14120" si="1250">IF(F14057="Legacy","n.a.",IF(F14057="","","Aerated Static Pile"))</f>
        <v>Aerated Static Pile</v>
      </c>
      <c r="C14057" s="138" t="str">
        <f t="shared" ref="C14057:C14120" si="1251">IF(ISNUMBER($J14057),"Without Amendment","")</f>
        <v>Without Amendment</v>
      </c>
      <c r="D14057" s="138" t="str">
        <f t="shared" si="1248"/>
        <v>Base_High</v>
      </c>
      <c r="E14057" s="138" t="str">
        <f t="shared" ref="E14057:E14120" si="1252">IF(ISNUMBER($J14057),"High","")</f>
        <v>High</v>
      </c>
      <c r="F14057" s="138" t="str">
        <f t="shared" ref="F14057:F14120" si="1253">IF(ISNUMBER(J14057),"Upgraded","")</f>
        <v>Upgraded</v>
      </c>
      <c r="G14057" s="153"/>
      <c r="H14057" s="210">
        <v>1.1153999999999999</v>
      </c>
      <c r="I14057" s="160" t="s">
        <v>53</v>
      </c>
      <c r="J14057" s="160">
        <v>1.2489999999999999E-2</v>
      </c>
      <c r="K14057" s="160" t="s">
        <v>14</v>
      </c>
      <c r="L14057" s="154" t="str">
        <f>IF(OpenLCAbasic!K14057="CTUh", "Fill in Manually",IF(OR(K14057="Unit", K14057=""), "", INDEX(LookUps!$E$5:$E$12, MATCH(OpenLCAbasic!K14057,LookUps!$D$5:$D$12,0))))</f>
        <v>Fossil Depletion Potential (FDP) - kg oil eq</v>
      </c>
      <c r="M14057" s="154" t="str">
        <f t="shared" si="1249"/>
        <v>High_Base_High_Upgraded_Fossil Depletion Potential (FDP) - kg oil eq_Wet Well and Sump Station; wastewater treatment unit; at updated plant - US_Without Amendment_Aerated Static Pile</v>
      </c>
    </row>
    <row r="14058" spans="1:13" s="120" customFormat="1" x14ac:dyDescent="0.25">
      <c r="A14058" s="119"/>
      <c r="B14058" s="138" t="str">
        <f t="shared" si="1250"/>
        <v>Aerated Static Pile</v>
      </c>
      <c r="C14058" s="138" t="str">
        <f t="shared" si="1251"/>
        <v>Without Amendment</v>
      </c>
      <c r="D14058" s="138" t="str">
        <f t="shared" si="1248"/>
        <v>Base_High</v>
      </c>
      <c r="E14058" s="138" t="str">
        <f t="shared" si="1252"/>
        <v>High</v>
      </c>
      <c r="F14058" s="138" t="str">
        <f t="shared" si="1253"/>
        <v>Upgraded</v>
      </c>
      <c r="G14058" s="153"/>
      <c r="H14058" s="210">
        <v>0.61770000000000003</v>
      </c>
      <c r="I14058" s="160" t="s">
        <v>57</v>
      </c>
      <c r="J14058" s="160">
        <v>6.9199999999999999E-3</v>
      </c>
      <c r="K14058" s="160" t="s">
        <v>14</v>
      </c>
      <c r="L14058" s="154" t="str">
        <f>IF(OpenLCAbasic!K14058="CTUh", "Fill in Manually",IF(OR(K14058="Unit", K14058=""), "", INDEX(LookUps!$E$5:$E$12, MATCH(OpenLCAbasic!K14058,LookUps!$D$5:$D$12,0))))</f>
        <v>Fossil Depletion Potential (FDP) - kg oil eq</v>
      </c>
      <c r="M14058" s="154" t="str">
        <f t="shared" si="1249"/>
        <v>High_Base_High_Upgraded_Fossil Depletion Potential (FDP) - kg oil eq_Gravity Belt Thickener; wastewater treatment unit; at updated plant - US_Without Amendment_Aerated Static Pile</v>
      </c>
    </row>
    <row r="14059" spans="1:13" s="120" customFormat="1" x14ac:dyDescent="0.25">
      <c r="A14059" s="119"/>
      <c r="B14059" s="138" t="str">
        <f t="shared" si="1250"/>
        <v>Aerated Static Pile</v>
      </c>
      <c r="C14059" s="138" t="str">
        <f t="shared" si="1251"/>
        <v>Without Amendment</v>
      </c>
      <c r="D14059" s="138" t="str">
        <f t="shared" si="1248"/>
        <v>Base_High</v>
      </c>
      <c r="E14059" s="138" t="str">
        <f t="shared" si="1252"/>
        <v>High</v>
      </c>
      <c r="F14059" s="138" t="str">
        <f t="shared" si="1253"/>
        <v>Upgraded</v>
      </c>
      <c r="G14059" s="153"/>
      <c r="H14059" s="210">
        <v>0.54430000000000001</v>
      </c>
      <c r="I14059" s="160" t="s">
        <v>435</v>
      </c>
      <c r="J14059" s="160">
        <v>6.0899999999999999E-3</v>
      </c>
      <c r="K14059" s="160" t="s">
        <v>14</v>
      </c>
      <c r="L14059" s="154" t="str">
        <f>IF(OpenLCAbasic!K14059="CTUh", "Fill in Manually",IF(OR(K14059="Unit", K14059=""), "", INDEX(LookUps!$E$5:$E$12, MATCH(OpenLCAbasic!K14059,LookUps!$D$5:$D$12,0))))</f>
        <v>Fossil Depletion Potential (FDP) - kg oil eq</v>
      </c>
      <c r="M14059" s="154" t="str">
        <f t="shared" si="1249"/>
        <v>High_Base_High_Upgraded_Fossil Depletion Potential (FDP) - kg oil eq_Biosolids composting; aerated static pile; wastewater treatment unit; at updated plant - US_Without Amendment_Aerated Static Pile</v>
      </c>
    </row>
    <row r="14060" spans="1:13" s="120" customFormat="1" x14ac:dyDescent="0.25">
      <c r="A14060" s="119"/>
      <c r="B14060" s="138" t="str">
        <f t="shared" si="1250"/>
        <v>Aerated Static Pile</v>
      </c>
      <c r="C14060" s="138" t="str">
        <f t="shared" si="1251"/>
        <v>Without Amendment</v>
      </c>
      <c r="D14060" s="138" t="str">
        <f t="shared" si="1248"/>
        <v>Base_High</v>
      </c>
      <c r="E14060" s="138" t="str">
        <f t="shared" si="1252"/>
        <v>High</v>
      </c>
      <c r="F14060" s="138" t="str">
        <f t="shared" si="1253"/>
        <v>Upgraded</v>
      </c>
      <c r="G14060" s="153"/>
      <c r="H14060" s="210">
        <v>0.50019999999999998</v>
      </c>
      <c r="I14060" s="160" t="s">
        <v>60</v>
      </c>
      <c r="J14060" s="160">
        <v>5.5999999999999999E-3</v>
      </c>
      <c r="K14060" s="160" t="s">
        <v>14</v>
      </c>
      <c r="L14060" s="154" t="str">
        <f>IF(OpenLCAbasic!K14060="CTUh", "Fill in Manually",IF(OR(K14060="Unit", K14060=""), "", INDEX(LookUps!$E$5:$E$12, MATCH(OpenLCAbasic!K14060,LookUps!$D$5:$D$12,0))))</f>
        <v>Fossil Depletion Potential (FDP) - kg oil eq</v>
      </c>
      <c r="M14060" s="154" t="str">
        <f t="shared" si="1249"/>
        <v>High_Base_High_Upgraded_Fossil Depletion Potential (FDP) - kg oil eq_Belt filter press; wastewater treatment unit; at updated plant - US_Without Amendment_Aerated Static Pile</v>
      </c>
    </row>
    <row r="14061" spans="1:13" s="120" customFormat="1" x14ac:dyDescent="0.25">
      <c r="A14061" s="119"/>
      <c r="B14061" s="138" t="str">
        <f t="shared" si="1250"/>
        <v>Aerated Static Pile</v>
      </c>
      <c r="C14061" s="138" t="str">
        <f t="shared" si="1251"/>
        <v>Without Amendment</v>
      </c>
      <c r="D14061" s="138" t="str">
        <f t="shared" si="1248"/>
        <v>Base_High</v>
      </c>
      <c r="E14061" s="138" t="str">
        <f t="shared" si="1252"/>
        <v>High</v>
      </c>
      <c r="F14061" s="138" t="str">
        <f t="shared" si="1253"/>
        <v>Upgraded</v>
      </c>
      <c r="G14061" s="153"/>
      <c r="H14061" s="210">
        <v>0.40179999999999999</v>
      </c>
      <c r="I14061" s="160" t="s">
        <v>128</v>
      </c>
      <c r="J14061" s="160">
        <v>4.4999999999999997E-3</v>
      </c>
      <c r="K14061" s="160" t="s">
        <v>14</v>
      </c>
      <c r="L14061" s="154" t="str">
        <f>IF(OpenLCAbasic!K14061="CTUh", "Fill in Manually",IF(OR(K14061="Unit", K14061=""), "", INDEX(LookUps!$E$5:$E$12, MATCH(OpenLCAbasic!K14061,LookUps!$D$5:$D$12,0))))</f>
        <v>Fossil Depletion Potential (FDP) - kg oil eq</v>
      </c>
      <c r="M14061" s="154" t="str">
        <f t="shared" si="1249"/>
        <v>High_Base_High_Upgraded_Fossil Depletion Potential (FDP) - kg oil eq_Wastewater collection; operation and infrastructure; m3 wastewater_Without Amendment_Aerated Static Pile</v>
      </c>
    </row>
    <row r="14062" spans="1:13" s="120" customFormat="1" x14ac:dyDescent="0.25">
      <c r="A14062" s="119"/>
      <c r="B14062" s="138" t="str">
        <f t="shared" si="1250"/>
        <v>Aerated Static Pile</v>
      </c>
      <c r="C14062" s="138" t="str">
        <f t="shared" si="1251"/>
        <v>Without Amendment</v>
      </c>
      <c r="D14062" s="138" t="str">
        <f t="shared" si="1248"/>
        <v>Base_High</v>
      </c>
      <c r="E14062" s="138" t="str">
        <f t="shared" si="1252"/>
        <v>High</v>
      </c>
      <c r="F14062" s="138" t="str">
        <f t="shared" si="1253"/>
        <v>Upgraded</v>
      </c>
      <c r="G14062" s="153"/>
      <c r="H14062" s="210">
        <v>0.24979999999999999</v>
      </c>
      <c r="I14062" s="160" t="s">
        <v>148</v>
      </c>
      <c r="J14062" s="160">
        <v>2.8E-3</v>
      </c>
      <c r="K14062" s="160" t="s">
        <v>14</v>
      </c>
      <c r="L14062" s="154" t="str">
        <f>IF(OpenLCAbasic!K14062="CTUh", "Fill in Manually",IF(OR(K14062="Unit", K14062=""), "", INDEX(LookUps!$E$5:$E$12, MATCH(OpenLCAbasic!K14062,LookUps!$D$5:$D$12,0))))</f>
        <v>Fossil Depletion Potential (FDP) - kg oil eq</v>
      </c>
      <c r="M14062" s="154" t="str">
        <f t="shared" si="1249"/>
        <v>High_Base_High_Upgraded_Fossil Depletion Potential (FDP) - kg oil eq_Control Building; at upgraded wastewater treatment plant - US_Without Amendment_Aerated Static Pile</v>
      </c>
    </row>
    <row r="14063" spans="1:13" s="120" customFormat="1" x14ac:dyDescent="0.25">
      <c r="A14063" s="119"/>
      <c r="B14063" s="138" t="str">
        <f t="shared" si="1250"/>
        <v>Aerated Static Pile</v>
      </c>
      <c r="C14063" s="138" t="str">
        <f t="shared" si="1251"/>
        <v>Without Amendment</v>
      </c>
      <c r="D14063" s="138" t="str">
        <f t="shared" si="1248"/>
        <v>Base_High</v>
      </c>
      <c r="E14063" s="138" t="str">
        <f t="shared" si="1252"/>
        <v>High</v>
      </c>
      <c r="F14063" s="138" t="str">
        <f t="shared" si="1253"/>
        <v>Upgraded</v>
      </c>
      <c r="G14063" s="153"/>
      <c r="H14063" s="210">
        <v>0.21110000000000001</v>
      </c>
      <c r="I14063" s="160" t="s">
        <v>48</v>
      </c>
      <c r="J14063" s="160">
        <v>2.3600000000000001E-3</v>
      </c>
      <c r="K14063" s="160" t="s">
        <v>14</v>
      </c>
      <c r="L14063" s="154" t="str">
        <f>IF(OpenLCAbasic!K14063="CTUh", "Fill in Manually",IF(OR(K14063="Unit", K14063=""), "", INDEX(LookUps!$E$5:$E$12, MATCH(OpenLCAbasic!K14063,LookUps!$D$5:$D$12,0))))</f>
        <v>Fossil Depletion Potential (FDP) - kg oil eq</v>
      </c>
      <c r="M14063" s="154" t="str">
        <f t="shared" si="1249"/>
        <v>High_Base_High_Upgraded_Fossil Depletion Potential (FDP) - kg oil eq_Effluent release; wastewater treatment unit; at surface water; m3 wastewater - US_Without Amendment_Aerated Static Pile</v>
      </c>
    </row>
    <row r="14064" spans="1:13" s="120" customFormat="1" x14ac:dyDescent="0.25">
      <c r="A14064" s="119"/>
      <c r="B14064" s="138" t="str">
        <f t="shared" si="1250"/>
        <v>Aerated Static Pile</v>
      </c>
      <c r="C14064" s="138" t="str">
        <f t="shared" si="1251"/>
        <v>Without Amendment</v>
      </c>
      <c r="D14064" s="138" t="str">
        <f t="shared" si="1248"/>
        <v>Base_High</v>
      </c>
      <c r="E14064" s="138" t="str">
        <f t="shared" si="1252"/>
        <v>High</v>
      </c>
      <c r="F14064" s="138" t="str">
        <f t="shared" si="1253"/>
        <v>Upgraded</v>
      </c>
      <c r="G14064" s="153"/>
      <c r="H14064" s="210">
        <v>0.1714</v>
      </c>
      <c r="I14064" s="160" t="s">
        <v>59</v>
      </c>
      <c r="J14064" s="160">
        <v>1.92E-3</v>
      </c>
      <c r="K14064" s="160" t="s">
        <v>14</v>
      </c>
      <c r="L14064" s="154" t="str">
        <f>IF(OpenLCAbasic!K14064="CTUh", "Fill in Manually",IF(OR(K14064="Unit", K14064=""), "", INDEX(LookUps!$E$5:$E$12, MATCH(OpenLCAbasic!K14064,LookUps!$D$5:$D$12,0))))</f>
        <v>Fossil Depletion Potential (FDP) - kg oil eq</v>
      </c>
      <c r="M14064" s="154" t="str">
        <f t="shared" si="1249"/>
        <v>High_Base_High_Upgraded_Fossil Depletion Potential (FDP) - kg oil eq_Blend Tank; wastewater treatment unit; at updated plant - US_Without Amendment_Aerated Static Pile</v>
      </c>
    </row>
    <row r="14065" spans="1:13" s="120" customFormat="1" x14ac:dyDescent="0.25">
      <c r="A14065" s="119"/>
      <c r="B14065" s="138" t="str">
        <f t="shared" si="1250"/>
        <v>Aerated Static Pile</v>
      </c>
      <c r="C14065" s="138" t="str">
        <f t="shared" si="1251"/>
        <v>Without Amendment</v>
      </c>
      <c r="D14065" s="138" t="str">
        <f t="shared" ref="D14065:D14128" si="1254">IF(ISNUMBER($J14065),"Base_High","")</f>
        <v>Base_High</v>
      </c>
      <c r="E14065" s="138" t="str">
        <f t="shared" si="1252"/>
        <v>High</v>
      </c>
      <c r="F14065" s="138" t="str">
        <f t="shared" si="1253"/>
        <v>Upgraded</v>
      </c>
      <c r="G14065" s="153"/>
      <c r="H14065" s="210">
        <v>8.1699999999999995E-2</v>
      </c>
      <c r="I14065" s="160" t="s">
        <v>168</v>
      </c>
      <c r="J14065" s="160">
        <v>9.1E-4</v>
      </c>
      <c r="K14065" s="160" t="s">
        <v>14</v>
      </c>
      <c r="L14065" s="154" t="str">
        <f>IF(OpenLCAbasic!K14065="CTUh", "Fill in Manually",IF(OR(K14065="Unit", K14065=""), "", INDEX(LookUps!$E$5:$E$12, MATCH(OpenLCAbasic!K14065,LookUps!$D$5:$D$12,0))))</f>
        <v>Fossil Depletion Potential (FDP) - kg oil eq</v>
      </c>
      <c r="M14065" s="154" t="str">
        <f t="shared" si="1249"/>
        <v>High_Base_High_Upgraded_Fossil Depletion Potential (FDP) - kg oil eq_ClearCove SCP; wastewater treatment unit; at updated plant - US_Without Amendment_Aerated Static Pile</v>
      </c>
    </row>
    <row r="14066" spans="1:13" s="120" customFormat="1" x14ac:dyDescent="0.25">
      <c r="A14066" s="119"/>
      <c r="B14066" s="138" t="str">
        <f t="shared" si="1250"/>
        <v>Aerated Static Pile</v>
      </c>
      <c r="C14066" s="138" t="str">
        <f t="shared" si="1251"/>
        <v>Without Amendment</v>
      </c>
      <c r="D14066" s="138" t="str">
        <f t="shared" si="1254"/>
        <v>Base_High</v>
      </c>
      <c r="E14066" s="138" t="str">
        <f t="shared" si="1252"/>
        <v>High</v>
      </c>
      <c r="F14066" s="138" t="str">
        <f t="shared" si="1253"/>
        <v>Upgraded</v>
      </c>
      <c r="G14066" s="153"/>
      <c r="H14066" s="210">
        <v>-0.31190000000000001</v>
      </c>
      <c r="I14066" s="160" t="s">
        <v>62</v>
      </c>
      <c r="J14066" s="160">
        <v>-3.49E-3</v>
      </c>
      <c r="K14066" s="160" t="s">
        <v>14</v>
      </c>
      <c r="L14066" s="154" t="str">
        <f>IF(OpenLCAbasic!K14066="CTUh", "Fill in Manually",IF(OR(K14066="Unit", K14066=""), "", INDEX(LookUps!$E$5:$E$12, MATCH(OpenLCAbasic!K14066,LookUps!$D$5:$D$12,0))))</f>
        <v>Fossil Depletion Potential (FDP) - kg oil eq</v>
      </c>
      <c r="M14066" s="154" t="str">
        <f t="shared" si="1249"/>
        <v>High_Base_High_Upgraded_Fossil Depletion Potential (FDP) - kg oil eq_Land application of compost; wastewater treatment unit; at updated plant - US_Without Amendment_Aerated Static Pile</v>
      </c>
    </row>
    <row r="14067" spans="1:13" s="120" customFormat="1" x14ac:dyDescent="0.25">
      <c r="A14067" s="119"/>
      <c r="B14067" s="138" t="str">
        <f t="shared" si="1250"/>
        <v>Aerated Static Pile</v>
      </c>
      <c r="C14067" s="138" t="str">
        <f t="shared" si="1251"/>
        <v>Without Amendment</v>
      </c>
      <c r="D14067" s="138" t="str">
        <f t="shared" si="1254"/>
        <v>Base_High</v>
      </c>
      <c r="E14067" s="138" t="str">
        <f t="shared" si="1252"/>
        <v>High</v>
      </c>
      <c r="F14067" s="138" t="str">
        <f t="shared" si="1253"/>
        <v>Upgraded</v>
      </c>
      <c r="G14067" s="153"/>
      <c r="H14067" s="210">
        <v>-19.981300000000001</v>
      </c>
      <c r="I14067" s="160" t="s">
        <v>149</v>
      </c>
      <c r="J14067" s="160">
        <v>-0.22373000000000001</v>
      </c>
      <c r="K14067" s="160" t="s">
        <v>14</v>
      </c>
      <c r="L14067" s="154" t="str">
        <f>IF(OpenLCAbasic!K14067="CTUh", "Fill in Manually",IF(OR(K14067="Unit", K14067=""), "", INDEX(LookUps!$E$5:$E$12, MATCH(OpenLCAbasic!K14067,LookUps!$D$5:$D$12,0))))</f>
        <v>Fossil Depletion Potential (FDP) - kg oil eq</v>
      </c>
      <c r="M14067" s="154" t="str">
        <f t="shared" si="1249"/>
        <v>High_Base_High_Upgraded_Fossil Depletion Potential (FDP) - kg oil eq_Anaerobic Digestion; wastewater treatment unit; at updated plant - US_Without Amendment_Aerated Static Pile</v>
      </c>
    </row>
    <row r="14068" spans="1:13" s="120" customFormat="1" x14ac:dyDescent="0.25">
      <c r="A14068" s="119"/>
      <c r="B14068" s="138" t="str">
        <f t="shared" si="1250"/>
        <v/>
      </c>
      <c r="C14068" s="138" t="str">
        <f t="shared" si="1251"/>
        <v/>
      </c>
      <c r="D14068" s="138" t="str">
        <f t="shared" si="1254"/>
        <v/>
      </c>
      <c r="E14068" s="138" t="str">
        <f t="shared" si="1252"/>
        <v/>
      </c>
      <c r="F14068" s="138" t="str">
        <f t="shared" si="1253"/>
        <v/>
      </c>
      <c r="G14068" s="153" t="s">
        <v>51</v>
      </c>
      <c r="H14068" s="160"/>
      <c r="I14068" s="160" t="s">
        <v>47</v>
      </c>
      <c r="J14068" s="160" t="s">
        <v>52</v>
      </c>
      <c r="K14068" s="160" t="s">
        <v>27</v>
      </c>
      <c r="L14068" s="154" t="str">
        <f>IF(OpenLCAbasic!K14068="CTUh", "Fill in Manually",IF(OR(K14068="Unit", K14068=""), "", INDEX(LookUps!$E$5:$E$12, MATCH(OpenLCAbasic!K14068,LookUps!$D$5:$D$12,0))))</f>
        <v/>
      </c>
      <c r="M14068" s="154" t="str">
        <f t="shared" si="1249"/>
        <v>____Process__</v>
      </c>
    </row>
    <row r="14069" spans="1:13" s="120" customFormat="1" x14ac:dyDescent="0.25">
      <c r="A14069" s="119"/>
      <c r="B14069" s="138" t="str">
        <f t="shared" si="1250"/>
        <v>Aerated Static Pile</v>
      </c>
      <c r="C14069" s="138" t="str">
        <f t="shared" si="1251"/>
        <v>Without Amendment</v>
      </c>
      <c r="D14069" s="138" t="str">
        <f t="shared" si="1254"/>
        <v>Base_High</v>
      </c>
      <c r="E14069" s="138" t="str">
        <f t="shared" si="1252"/>
        <v>High</v>
      </c>
      <c r="F14069" s="138" t="str">
        <f t="shared" si="1253"/>
        <v>Upgraded</v>
      </c>
      <c r="G14069" s="153"/>
      <c r="H14069" s="210">
        <v>0.73740000000000006</v>
      </c>
      <c r="I14069" s="160" t="s">
        <v>435</v>
      </c>
      <c r="J14069" s="160">
        <v>0.50653000000000004</v>
      </c>
      <c r="K14069" s="160" t="s">
        <v>23</v>
      </c>
      <c r="L14069" s="154" t="str">
        <f>IF(OpenLCAbasic!K14069="CTUh", "Fill in Manually",IF(OR(K14069="Unit", K14069=""), "", INDEX(LookUps!$E$5:$E$12, MATCH(OpenLCAbasic!K14069,LookUps!$D$5:$D$12,0))))</f>
        <v>Global Warming Potential (GWP) - kg CO2 eq</v>
      </c>
      <c r="M14069" s="154" t="str">
        <f t="shared" si="1249"/>
        <v>High_Base_High_Upgraded_Global Warming Potential (GWP) - kg CO2 eq_Biosolids composting; aerated static pile; wastewater treatment unit; at updated plant - US_Without Amendment_Aerated Static Pile</v>
      </c>
    </row>
    <row r="14070" spans="1:13" s="120" customFormat="1" x14ac:dyDescent="0.25">
      <c r="A14070" s="119"/>
      <c r="B14070" s="138" t="str">
        <f t="shared" si="1250"/>
        <v>Aerated Static Pile</v>
      </c>
      <c r="C14070" s="138" t="str">
        <f t="shared" si="1251"/>
        <v>Without Amendment</v>
      </c>
      <c r="D14070" s="138" t="str">
        <f t="shared" si="1254"/>
        <v>Base_High</v>
      </c>
      <c r="E14070" s="138" t="str">
        <f t="shared" si="1252"/>
        <v>High</v>
      </c>
      <c r="F14070" s="138" t="str">
        <f t="shared" si="1253"/>
        <v>Upgraded</v>
      </c>
      <c r="G14070" s="153"/>
      <c r="H14070" s="210">
        <v>0.35339999999999999</v>
      </c>
      <c r="I14070" s="160" t="s">
        <v>58</v>
      </c>
      <c r="J14070" s="160">
        <v>0.24279999999999999</v>
      </c>
      <c r="K14070" s="160" t="s">
        <v>23</v>
      </c>
      <c r="L14070" s="154" t="str">
        <f>IF(OpenLCAbasic!K14070="CTUh", "Fill in Manually",IF(OR(K14070="Unit", K14070=""), "", INDEX(LookUps!$E$5:$E$12, MATCH(OpenLCAbasic!K14070,LookUps!$D$5:$D$12,0))))</f>
        <v>Global Warming Potential (GWP) - kg CO2 eq</v>
      </c>
      <c r="M14070" s="154" t="str">
        <f t="shared" si="1249"/>
        <v>High_Base_High_Upgraded_Global Warming Potential (GWP) - kg CO2 eq_Pre-Anoxic &amp; Swing tank; wastewater treatment unit; at updated plant - US_Without Amendment_Aerated Static Pile</v>
      </c>
    </row>
    <row r="14071" spans="1:13" s="120" customFormat="1" x14ac:dyDescent="0.25">
      <c r="A14071" s="119"/>
      <c r="B14071" s="138" t="str">
        <f t="shared" si="1250"/>
        <v>Aerated Static Pile</v>
      </c>
      <c r="C14071" s="138" t="str">
        <f t="shared" si="1251"/>
        <v>Without Amendment</v>
      </c>
      <c r="D14071" s="138" t="str">
        <f t="shared" si="1254"/>
        <v>Base_High</v>
      </c>
      <c r="E14071" s="138" t="str">
        <f t="shared" si="1252"/>
        <v>High</v>
      </c>
      <c r="F14071" s="138" t="str">
        <f t="shared" si="1253"/>
        <v>Upgraded</v>
      </c>
      <c r="G14071" s="153"/>
      <c r="H14071" s="210">
        <v>0.24490000000000001</v>
      </c>
      <c r="I14071" s="160" t="s">
        <v>55</v>
      </c>
      <c r="J14071" s="160">
        <v>0.16822000000000001</v>
      </c>
      <c r="K14071" s="160" t="s">
        <v>23</v>
      </c>
      <c r="L14071" s="154" t="str">
        <f>IF(OpenLCAbasic!K14071="CTUh", "Fill in Manually",IF(OR(K14071="Unit", K14071=""), "", INDEX(LookUps!$E$5:$E$12, MATCH(OpenLCAbasic!K14071,LookUps!$D$5:$D$12,0))))</f>
        <v>Global Warming Potential (GWP) - kg CO2 eq</v>
      </c>
      <c r="M14071" s="154" t="str">
        <f t="shared" si="1249"/>
        <v>High_Base_High_Upgraded_Global Warming Potential (GWP) - kg CO2 eq_Aeration Tanks; wastewater treatment unit; at updated plant - US_Without Amendment_Aerated Static Pile</v>
      </c>
    </row>
    <row r="14072" spans="1:13" s="120" customFormat="1" x14ac:dyDescent="0.25">
      <c r="A14072" s="119"/>
      <c r="B14072" s="138" t="str">
        <f t="shared" si="1250"/>
        <v>Aerated Static Pile</v>
      </c>
      <c r="C14072" s="138" t="str">
        <f t="shared" si="1251"/>
        <v>Without Amendment</v>
      </c>
      <c r="D14072" s="138" t="str">
        <f t="shared" si="1254"/>
        <v>Base_High</v>
      </c>
      <c r="E14072" s="138" t="str">
        <f t="shared" si="1252"/>
        <v>High</v>
      </c>
      <c r="F14072" s="138" t="str">
        <f t="shared" si="1253"/>
        <v>Upgraded</v>
      </c>
      <c r="G14072" s="153"/>
      <c r="H14072" s="210">
        <v>0.14910000000000001</v>
      </c>
      <c r="I14072" s="160" t="s">
        <v>167</v>
      </c>
      <c r="J14072" s="160">
        <v>0.10241</v>
      </c>
      <c r="K14072" s="160" t="s">
        <v>23</v>
      </c>
      <c r="L14072" s="154" t="str">
        <f>IF(OpenLCAbasic!K14072="CTUh", "Fill in Manually",IF(OR(K14072="Unit", K14072=""), "", INDEX(LookUps!$E$5:$E$12, MATCH(OpenLCAbasic!K14072,LookUps!$D$5:$D$12,0))))</f>
        <v>Global Warming Potential (GWP) - kg CO2 eq</v>
      </c>
      <c r="M14072" s="154" t="str">
        <f t="shared" si="1249"/>
        <v>High_Base_High_Upgraded_Global Warming Potential (GWP) - kg CO2 eq_Waste Receiving and Holding; wastewater treatment unit; at updated plant - US_Without Amendment_Aerated Static Pile</v>
      </c>
    </row>
    <row r="14073" spans="1:13" s="120" customFormat="1" x14ac:dyDescent="0.25">
      <c r="A14073" s="119"/>
      <c r="B14073" s="138" t="str">
        <f t="shared" si="1250"/>
        <v>Aerated Static Pile</v>
      </c>
      <c r="C14073" s="138" t="str">
        <f t="shared" si="1251"/>
        <v>Without Amendment</v>
      </c>
      <c r="D14073" s="138" t="str">
        <f t="shared" si="1254"/>
        <v>Base_High</v>
      </c>
      <c r="E14073" s="138" t="str">
        <f t="shared" si="1252"/>
        <v>High</v>
      </c>
      <c r="F14073" s="138" t="str">
        <f t="shared" si="1253"/>
        <v>Upgraded</v>
      </c>
      <c r="G14073" s="153"/>
      <c r="H14073" s="210">
        <v>8.3099999999999993E-2</v>
      </c>
      <c r="I14073" s="160" t="s">
        <v>54</v>
      </c>
      <c r="J14073" s="160">
        <v>5.7079999999999999E-2</v>
      </c>
      <c r="K14073" s="160" t="s">
        <v>23</v>
      </c>
      <c r="L14073" s="154" t="str">
        <f>IF(OpenLCAbasic!K14073="CTUh", "Fill in Manually",IF(OR(K14073="Unit", K14073=""), "", INDEX(LookUps!$E$5:$E$12, MATCH(OpenLCAbasic!K14073,LookUps!$D$5:$D$12,0))))</f>
        <v>Global Warming Potential (GWP) - kg CO2 eq</v>
      </c>
      <c r="M14073" s="154" t="str">
        <f t="shared" si="1249"/>
        <v>High_Base_High_Upgraded_Global Warming Potential (GWP) - kg CO2 eq_Clear Cove Primary Clarification; wastewater treatment unit; at updated plant - US_Without Amendment_Aerated Static Pile</v>
      </c>
    </row>
    <row r="14074" spans="1:13" s="120" customFormat="1" x14ac:dyDescent="0.25">
      <c r="A14074" s="119"/>
      <c r="B14074" s="138" t="str">
        <f t="shared" si="1250"/>
        <v>Aerated Static Pile</v>
      </c>
      <c r="C14074" s="138" t="str">
        <f t="shared" si="1251"/>
        <v>Without Amendment</v>
      </c>
      <c r="D14074" s="138" t="str">
        <f t="shared" si="1254"/>
        <v>Base_High</v>
      </c>
      <c r="E14074" s="138" t="str">
        <f t="shared" si="1252"/>
        <v>High</v>
      </c>
      <c r="F14074" s="138" t="str">
        <f t="shared" si="1253"/>
        <v>Upgraded</v>
      </c>
      <c r="G14074" s="153"/>
      <c r="H14074" s="210">
        <v>7.6600000000000001E-2</v>
      </c>
      <c r="I14074" s="160" t="s">
        <v>48</v>
      </c>
      <c r="J14074" s="160">
        <v>5.2639999999999999E-2</v>
      </c>
      <c r="K14074" s="160" t="s">
        <v>23</v>
      </c>
      <c r="L14074" s="154" t="str">
        <f>IF(OpenLCAbasic!K14074="CTUh", "Fill in Manually",IF(OR(K14074="Unit", K14074=""), "", INDEX(LookUps!$E$5:$E$12, MATCH(OpenLCAbasic!K14074,LookUps!$D$5:$D$12,0))))</f>
        <v>Global Warming Potential (GWP) - kg CO2 eq</v>
      </c>
      <c r="M14074" s="154" t="str">
        <f t="shared" si="1249"/>
        <v>High_Base_High_Upgraded_Global Warming Potential (GWP) - kg CO2 eq_Effluent release; wastewater treatment unit; at surface water; m3 wastewater - US_Without Amendment_Aerated Static Pile</v>
      </c>
    </row>
    <row r="14075" spans="1:13" s="120" customFormat="1" x14ac:dyDescent="0.25">
      <c r="A14075" s="119"/>
      <c r="B14075" s="138" t="str">
        <f t="shared" si="1250"/>
        <v>Aerated Static Pile</v>
      </c>
      <c r="C14075" s="138" t="str">
        <f t="shared" si="1251"/>
        <v>Without Amendment</v>
      </c>
      <c r="D14075" s="138" t="str">
        <f t="shared" si="1254"/>
        <v>Base_High</v>
      </c>
      <c r="E14075" s="138" t="str">
        <f t="shared" si="1252"/>
        <v>High</v>
      </c>
      <c r="F14075" s="138" t="str">
        <f t="shared" si="1253"/>
        <v>Upgraded</v>
      </c>
      <c r="G14075" s="153"/>
      <c r="H14075" s="210">
        <v>7.3499999999999996E-2</v>
      </c>
      <c r="I14075" s="160" t="s">
        <v>147</v>
      </c>
      <c r="J14075" s="160">
        <v>5.0500000000000003E-2</v>
      </c>
      <c r="K14075" s="160" t="s">
        <v>23</v>
      </c>
      <c r="L14075" s="154" t="str">
        <f>IF(OpenLCAbasic!K14075="CTUh", "Fill in Manually",IF(OR(K14075="Unit", K14075=""), "", INDEX(LookUps!$E$5:$E$12, MATCH(OpenLCAbasic!K14075,LookUps!$D$5:$D$12,0))))</f>
        <v>Global Warming Potential (GWP) - kg CO2 eq</v>
      </c>
      <c r="M14075" s="154" t="str">
        <f t="shared" si="1249"/>
        <v>High_Base_High_Upgraded_Global Warming Potential (GWP) - kg CO2 eq_Influent Pump Station; wastewater treatment unit; at updated plant - US_Without Amendment_Aerated Static Pile</v>
      </c>
    </row>
    <row r="14076" spans="1:13" s="120" customFormat="1" x14ac:dyDescent="0.25">
      <c r="A14076" s="119"/>
      <c r="B14076" s="138" t="str">
        <f t="shared" si="1250"/>
        <v>Aerated Static Pile</v>
      </c>
      <c r="C14076" s="138" t="str">
        <f t="shared" si="1251"/>
        <v>Without Amendment</v>
      </c>
      <c r="D14076" s="138" t="str">
        <f t="shared" si="1254"/>
        <v>Base_High</v>
      </c>
      <c r="E14076" s="138" t="str">
        <f t="shared" si="1252"/>
        <v>High</v>
      </c>
      <c r="F14076" s="138" t="str">
        <f t="shared" si="1253"/>
        <v>Upgraded</v>
      </c>
      <c r="G14076" s="153"/>
      <c r="H14076" s="210">
        <v>4.8399999999999999E-2</v>
      </c>
      <c r="I14076" s="160" t="s">
        <v>53</v>
      </c>
      <c r="J14076" s="160">
        <v>3.3259999999999998E-2</v>
      </c>
      <c r="K14076" s="160" t="s">
        <v>23</v>
      </c>
      <c r="L14076" s="154" t="str">
        <f>IF(OpenLCAbasic!K14076="CTUh", "Fill in Manually",IF(OR(K14076="Unit", K14076=""), "", INDEX(LookUps!$E$5:$E$12, MATCH(OpenLCAbasic!K14076,LookUps!$D$5:$D$12,0))))</f>
        <v>Global Warming Potential (GWP) - kg CO2 eq</v>
      </c>
      <c r="M14076" s="154" t="str">
        <f t="shared" si="1249"/>
        <v>High_Base_High_Upgraded_Global Warming Potential (GWP) - kg CO2 eq_Wet Well and Sump Station; wastewater treatment unit; at updated plant - US_Without Amendment_Aerated Static Pile</v>
      </c>
    </row>
    <row r="14077" spans="1:13" s="120" customFormat="1" x14ac:dyDescent="0.25">
      <c r="A14077" s="119"/>
      <c r="B14077" s="138" t="str">
        <f t="shared" si="1250"/>
        <v>Aerated Static Pile</v>
      </c>
      <c r="C14077" s="138" t="str">
        <f t="shared" si="1251"/>
        <v>Without Amendment</v>
      </c>
      <c r="D14077" s="138" t="str">
        <f t="shared" si="1254"/>
        <v>Base_High</v>
      </c>
      <c r="E14077" s="138" t="str">
        <f t="shared" si="1252"/>
        <v>High</v>
      </c>
      <c r="F14077" s="138" t="str">
        <f t="shared" si="1253"/>
        <v>Upgraded</v>
      </c>
      <c r="G14077" s="153"/>
      <c r="H14077" s="210">
        <v>2.12E-2</v>
      </c>
      <c r="I14077" s="160" t="s">
        <v>57</v>
      </c>
      <c r="J14077" s="160">
        <v>1.455E-2</v>
      </c>
      <c r="K14077" s="160" t="s">
        <v>23</v>
      </c>
      <c r="L14077" s="154" t="str">
        <f>IF(OpenLCAbasic!K14077="CTUh", "Fill in Manually",IF(OR(K14077="Unit", K14077=""), "", INDEX(LookUps!$E$5:$E$12, MATCH(OpenLCAbasic!K14077,LookUps!$D$5:$D$12,0))))</f>
        <v>Global Warming Potential (GWP) - kg CO2 eq</v>
      </c>
      <c r="M14077" s="154" t="str">
        <f t="shared" si="1249"/>
        <v>High_Base_High_Upgraded_Global Warming Potential (GWP) - kg CO2 eq_Gravity Belt Thickener; wastewater treatment unit; at updated plant - US_Without Amendment_Aerated Static Pile</v>
      </c>
    </row>
    <row r="14078" spans="1:13" s="120" customFormat="1" x14ac:dyDescent="0.25">
      <c r="A14078" s="119"/>
      <c r="B14078" s="138" t="str">
        <f t="shared" si="1250"/>
        <v>Aerated Static Pile</v>
      </c>
      <c r="C14078" s="138" t="str">
        <f t="shared" si="1251"/>
        <v>Without Amendment</v>
      </c>
      <c r="D14078" s="138" t="str">
        <f t="shared" si="1254"/>
        <v>Base_High</v>
      </c>
      <c r="E14078" s="138" t="str">
        <f t="shared" si="1252"/>
        <v>High</v>
      </c>
      <c r="F14078" s="138" t="str">
        <f t="shared" si="1253"/>
        <v>Upgraded</v>
      </c>
      <c r="G14078" s="153"/>
      <c r="H14078" s="210">
        <v>1.9699999999999999E-2</v>
      </c>
      <c r="I14078" s="160" t="s">
        <v>128</v>
      </c>
      <c r="J14078" s="160">
        <v>1.3509999999999999E-2</v>
      </c>
      <c r="K14078" s="160" t="s">
        <v>23</v>
      </c>
      <c r="L14078" s="154" t="str">
        <f>IF(OpenLCAbasic!K14078="CTUh", "Fill in Manually",IF(OR(K14078="Unit", K14078=""), "", INDEX(LookUps!$E$5:$E$12, MATCH(OpenLCAbasic!K14078,LookUps!$D$5:$D$12,0))))</f>
        <v>Global Warming Potential (GWP) - kg CO2 eq</v>
      </c>
      <c r="M14078" s="154" t="str">
        <f t="shared" si="1249"/>
        <v>High_Base_High_Upgraded_Global Warming Potential (GWP) - kg CO2 eq_Wastewater collection; operation and infrastructure; m3 wastewater_Without Amendment_Aerated Static Pile</v>
      </c>
    </row>
    <row r="14079" spans="1:13" s="120" customFormat="1" x14ac:dyDescent="0.25">
      <c r="A14079" s="119"/>
      <c r="B14079" s="138" t="str">
        <f t="shared" si="1250"/>
        <v>Aerated Static Pile</v>
      </c>
      <c r="C14079" s="138" t="str">
        <f t="shared" si="1251"/>
        <v>Without Amendment</v>
      </c>
      <c r="D14079" s="138" t="str">
        <f t="shared" si="1254"/>
        <v>Base_High</v>
      </c>
      <c r="E14079" s="138" t="str">
        <f t="shared" si="1252"/>
        <v>High</v>
      </c>
      <c r="F14079" s="138" t="str">
        <f t="shared" si="1253"/>
        <v>Upgraded</v>
      </c>
      <c r="G14079" s="153"/>
      <c r="H14079" s="210">
        <v>1.7899999999999999E-2</v>
      </c>
      <c r="I14079" s="160" t="s">
        <v>60</v>
      </c>
      <c r="J14079" s="160">
        <v>1.231E-2</v>
      </c>
      <c r="K14079" s="160" t="s">
        <v>23</v>
      </c>
      <c r="L14079" s="154" t="str">
        <f>IF(OpenLCAbasic!K14079="CTUh", "Fill in Manually",IF(OR(K14079="Unit", K14079=""), "", INDEX(LookUps!$E$5:$E$12, MATCH(OpenLCAbasic!K14079,LookUps!$D$5:$D$12,0))))</f>
        <v>Global Warming Potential (GWP) - kg CO2 eq</v>
      </c>
      <c r="M14079" s="154" t="str">
        <f t="shared" si="1249"/>
        <v>High_Base_High_Upgraded_Global Warming Potential (GWP) - kg CO2 eq_Belt filter press; wastewater treatment unit; at updated plant - US_Without Amendment_Aerated Static Pile</v>
      </c>
    </row>
    <row r="14080" spans="1:13" s="120" customFormat="1" x14ac:dyDescent="0.25">
      <c r="A14080" s="119"/>
      <c r="B14080" s="138" t="str">
        <f t="shared" si="1250"/>
        <v>Aerated Static Pile</v>
      </c>
      <c r="C14080" s="138" t="str">
        <f t="shared" si="1251"/>
        <v>Without Amendment</v>
      </c>
      <c r="D14080" s="138" t="str">
        <f t="shared" si="1254"/>
        <v>Base_High</v>
      </c>
      <c r="E14080" s="138" t="str">
        <f t="shared" si="1252"/>
        <v>High</v>
      </c>
      <c r="F14080" s="138" t="str">
        <f t="shared" si="1253"/>
        <v>Upgraded</v>
      </c>
      <c r="G14080" s="153"/>
      <c r="H14080" s="210">
        <v>1.21E-2</v>
      </c>
      <c r="I14080" s="160" t="s">
        <v>148</v>
      </c>
      <c r="J14080" s="160">
        <v>8.3000000000000001E-3</v>
      </c>
      <c r="K14080" s="160" t="s">
        <v>23</v>
      </c>
      <c r="L14080" s="154" t="str">
        <f>IF(OpenLCAbasic!K14080="CTUh", "Fill in Manually",IF(OR(K14080="Unit", K14080=""), "", INDEX(LookUps!$E$5:$E$12, MATCH(OpenLCAbasic!K14080,LookUps!$D$5:$D$12,0))))</f>
        <v>Global Warming Potential (GWP) - kg CO2 eq</v>
      </c>
      <c r="M14080" s="154" t="str">
        <f t="shared" si="1249"/>
        <v>High_Base_High_Upgraded_Global Warming Potential (GWP) - kg CO2 eq_Control Building; at upgraded wastewater treatment plant - US_Without Amendment_Aerated Static Pile</v>
      </c>
    </row>
    <row r="14081" spans="1:13" s="120" customFormat="1" x14ac:dyDescent="0.25">
      <c r="A14081" s="119"/>
      <c r="B14081" s="138" t="str">
        <f t="shared" si="1250"/>
        <v>Aerated Static Pile</v>
      </c>
      <c r="C14081" s="138" t="str">
        <f t="shared" si="1251"/>
        <v>Without Amendment</v>
      </c>
      <c r="D14081" s="138" t="str">
        <f t="shared" si="1254"/>
        <v>Base_High</v>
      </c>
      <c r="E14081" s="138" t="str">
        <f t="shared" si="1252"/>
        <v>High</v>
      </c>
      <c r="F14081" s="138" t="str">
        <f t="shared" si="1253"/>
        <v>Upgraded</v>
      </c>
      <c r="G14081" s="153"/>
      <c r="H14081" s="210">
        <v>7.3000000000000001E-3</v>
      </c>
      <c r="I14081" s="160" t="s">
        <v>59</v>
      </c>
      <c r="J14081" s="160">
        <v>5.0400000000000002E-3</v>
      </c>
      <c r="K14081" s="160" t="s">
        <v>23</v>
      </c>
      <c r="L14081" s="154" t="str">
        <f>IF(OpenLCAbasic!K14081="CTUh", "Fill in Manually",IF(OR(K14081="Unit", K14081=""), "", INDEX(LookUps!$E$5:$E$12, MATCH(OpenLCAbasic!K14081,LookUps!$D$5:$D$12,0))))</f>
        <v>Global Warming Potential (GWP) - kg CO2 eq</v>
      </c>
      <c r="M14081" s="154" t="str">
        <f t="shared" si="1249"/>
        <v>High_Base_High_Upgraded_Global Warming Potential (GWP) - kg CO2 eq_Blend Tank; wastewater treatment unit; at updated plant - US_Without Amendment_Aerated Static Pile</v>
      </c>
    </row>
    <row r="14082" spans="1:13" s="120" customFormat="1" x14ac:dyDescent="0.25">
      <c r="A14082" s="119"/>
      <c r="B14082" s="138" t="str">
        <f t="shared" si="1250"/>
        <v>Aerated Static Pile</v>
      </c>
      <c r="C14082" s="138" t="str">
        <f t="shared" si="1251"/>
        <v>Without Amendment</v>
      </c>
      <c r="D14082" s="138" t="str">
        <f t="shared" si="1254"/>
        <v>Base_High</v>
      </c>
      <c r="E14082" s="138" t="str">
        <f t="shared" si="1252"/>
        <v>High</v>
      </c>
      <c r="F14082" s="138" t="str">
        <f t="shared" si="1253"/>
        <v>Upgraded</v>
      </c>
      <c r="G14082" s="153"/>
      <c r="H14082" s="210">
        <v>3.5000000000000001E-3</v>
      </c>
      <c r="I14082" s="160" t="s">
        <v>168</v>
      </c>
      <c r="J14082" s="160">
        <v>2.4099999999999998E-3</v>
      </c>
      <c r="K14082" s="160" t="s">
        <v>23</v>
      </c>
      <c r="L14082" s="154" t="str">
        <f>IF(OpenLCAbasic!K14082="CTUh", "Fill in Manually",IF(OR(K14082="Unit", K14082=""), "", INDEX(LookUps!$E$5:$E$12, MATCH(OpenLCAbasic!K14082,LookUps!$D$5:$D$12,0))))</f>
        <v>Global Warming Potential (GWP) - kg CO2 eq</v>
      </c>
      <c r="M14082" s="154" t="str">
        <f t="shared" si="1249"/>
        <v>High_Base_High_Upgraded_Global Warming Potential (GWP) - kg CO2 eq_ClearCove SCP; wastewater treatment unit; at updated plant - US_Without Amendment_Aerated Static Pile</v>
      </c>
    </row>
    <row r="14083" spans="1:13" s="120" customFormat="1" x14ac:dyDescent="0.25">
      <c r="A14083" s="119"/>
      <c r="B14083" s="138" t="str">
        <f t="shared" si="1250"/>
        <v>Aerated Static Pile</v>
      </c>
      <c r="C14083" s="138" t="str">
        <f t="shared" si="1251"/>
        <v>Without Amendment</v>
      </c>
      <c r="D14083" s="138" t="str">
        <f t="shared" si="1254"/>
        <v>Base_High</v>
      </c>
      <c r="E14083" s="138" t="str">
        <f t="shared" si="1252"/>
        <v>High</v>
      </c>
      <c r="F14083" s="138" t="str">
        <f t="shared" si="1253"/>
        <v>Upgraded</v>
      </c>
      <c r="G14083" s="153"/>
      <c r="H14083" s="210">
        <v>-0.19439999999999999</v>
      </c>
      <c r="I14083" s="160" t="s">
        <v>62</v>
      </c>
      <c r="J14083" s="160">
        <v>-0.13352</v>
      </c>
      <c r="K14083" s="160" t="s">
        <v>23</v>
      </c>
      <c r="L14083" s="154" t="str">
        <f>IF(OpenLCAbasic!K14083="CTUh", "Fill in Manually",IF(OR(K14083="Unit", K14083=""), "", INDEX(LookUps!$E$5:$E$12, MATCH(OpenLCAbasic!K14083,LookUps!$D$5:$D$12,0))))</f>
        <v>Global Warming Potential (GWP) - kg CO2 eq</v>
      </c>
      <c r="M14083" s="154" t="str">
        <f t="shared" si="1249"/>
        <v>High_Base_High_Upgraded_Global Warming Potential (GWP) - kg CO2 eq_Land application of compost; wastewater treatment unit; at updated plant - US_Without Amendment_Aerated Static Pile</v>
      </c>
    </row>
    <row r="14084" spans="1:13" s="120" customFormat="1" x14ac:dyDescent="0.25">
      <c r="A14084" s="119"/>
      <c r="B14084" s="138" t="str">
        <f t="shared" si="1250"/>
        <v>Aerated Static Pile</v>
      </c>
      <c r="C14084" s="138" t="str">
        <f t="shared" si="1251"/>
        <v>Without Amendment</v>
      </c>
      <c r="D14084" s="138" t="str">
        <f t="shared" si="1254"/>
        <v>Base_High</v>
      </c>
      <c r="E14084" s="138" t="str">
        <f t="shared" si="1252"/>
        <v>High</v>
      </c>
      <c r="F14084" s="138" t="str">
        <f t="shared" si="1253"/>
        <v>Upgraded</v>
      </c>
      <c r="G14084" s="153"/>
      <c r="H14084" s="210">
        <v>-0.65380000000000005</v>
      </c>
      <c r="I14084" s="160" t="s">
        <v>149</v>
      </c>
      <c r="J14084" s="160">
        <v>-0.44908999999999999</v>
      </c>
      <c r="K14084" s="160" t="s">
        <v>23</v>
      </c>
      <c r="L14084" s="154" t="str">
        <f>IF(OpenLCAbasic!K14084="CTUh", "Fill in Manually",IF(OR(K14084="Unit", K14084=""), "", INDEX(LookUps!$E$5:$E$12, MATCH(OpenLCAbasic!K14084,LookUps!$D$5:$D$12,0))))</f>
        <v>Global Warming Potential (GWP) - kg CO2 eq</v>
      </c>
      <c r="M14084" s="154" t="str">
        <f t="shared" ref="M14084:M14147" si="1255">CONCATENATE(E14084,"_",D14084,"_",F14084,"_",L14084, "_",I14084,"_", C14084,"_", B14084)</f>
        <v>High_Base_High_Upgraded_Global Warming Potential (GWP) - kg CO2 eq_Anaerobic Digestion; wastewater treatment unit; at updated plant - US_Without Amendment_Aerated Static Pile</v>
      </c>
    </row>
    <row r="14085" spans="1:13" s="120" customFormat="1" x14ac:dyDescent="0.25">
      <c r="A14085" s="119"/>
      <c r="B14085" s="138" t="str">
        <f t="shared" si="1250"/>
        <v/>
      </c>
      <c r="C14085" s="138" t="str">
        <f t="shared" si="1251"/>
        <v/>
      </c>
      <c r="D14085" s="138" t="str">
        <f t="shared" si="1254"/>
        <v/>
      </c>
      <c r="E14085" s="138" t="str">
        <f t="shared" si="1252"/>
        <v/>
      </c>
      <c r="F14085" s="138" t="str">
        <f t="shared" si="1253"/>
        <v/>
      </c>
      <c r="G14085" s="153" t="s">
        <v>51</v>
      </c>
      <c r="H14085" s="160"/>
      <c r="I14085" s="160" t="s">
        <v>47</v>
      </c>
      <c r="J14085" s="160" t="s">
        <v>52</v>
      </c>
      <c r="K14085" s="160" t="s">
        <v>27</v>
      </c>
      <c r="L14085" s="154" t="str">
        <f>IF(OpenLCAbasic!K14085="CTUh", "Fill in Manually",IF(OR(K14085="Unit", K14085=""), "", INDEX(LookUps!$E$5:$E$12, MATCH(OpenLCAbasic!K14085,LookUps!$D$5:$D$12,0))))</f>
        <v/>
      </c>
      <c r="M14085" s="154" t="str">
        <f t="shared" si="1255"/>
        <v>____Process__</v>
      </c>
    </row>
    <row r="14086" spans="1:13" s="120" customFormat="1" x14ac:dyDescent="0.25">
      <c r="A14086" s="119"/>
      <c r="B14086" s="138" t="str">
        <f t="shared" si="1250"/>
        <v>Aerated Static Pile</v>
      </c>
      <c r="C14086" s="138" t="str">
        <f t="shared" si="1251"/>
        <v>Without Amendment</v>
      </c>
      <c r="D14086" s="138" t="str">
        <f t="shared" si="1254"/>
        <v>Base_High</v>
      </c>
      <c r="E14086" s="138" t="str">
        <f t="shared" si="1252"/>
        <v>High</v>
      </c>
      <c r="F14086" s="138" t="str">
        <f t="shared" si="1253"/>
        <v>Upgraded</v>
      </c>
      <c r="G14086" s="153"/>
      <c r="H14086" s="210">
        <v>13.943099999999999</v>
      </c>
      <c r="I14086" s="160" t="s">
        <v>55</v>
      </c>
      <c r="J14086" s="160">
        <v>2.33E-3</v>
      </c>
      <c r="K14086" s="160" t="s">
        <v>145</v>
      </c>
      <c r="L14086" s="154" t="str">
        <f>IF(OpenLCAbasic!K14086="CTUh", "Fill in Manually",IF(OR(K14086="Unit", K14086=""), "", INDEX(LookUps!$E$5:$E$12, MATCH(OpenLCAbasic!K14086,LookUps!$D$5:$D$12,0))))</f>
        <v>Particulate Matter Formation Potential (PMFP) - kg PM2.5 eq</v>
      </c>
      <c r="M14086" s="154" t="str">
        <f t="shared" si="1255"/>
        <v>High_Base_High_Upgraded_Particulate Matter Formation Potential (PMFP) - kg PM2.5 eq_Aeration Tanks; wastewater treatment unit; at updated plant - US_Without Amendment_Aerated Static Pile</v>
      </c>
    </row>
    <row r="14087" spans="1:13" s="120" customFormat="1" x14ac:dyDescent="0.25">
      <c r="A14087" s="119"/>
      <c r="B14087" s="138" t="str">
        <f t="shared" si="1250"/>
        <v>Aerated Static Pile</v>
      </c>
      <c r="C14087" s="138" t="str">
        <f t="shared" si="1251"/>
        <v>Without Amendment</v>
      </c>
      <c r="D14087" s="138" t="str">
        <f t="shared" si="1254"/>
        <v>Base_High</v>
      </c>
      <c r="E14087" s="138" t="str">
        <f t="shared" si="1252"/>
        <v>High</v>
      </c>
      <c r="F14087" s="138" t="str">
        <f t="shared" si="1253"/>
        <v>Upgraded</v>
      </c>
      <c r="G14087" s="153"/>
      <c r="H14087" s="210">
        <v>4.0572999999999997</v>
      </c>
      <c r="I14087" s="160" t="s">
        <v>54</v>
      </c>
      <c r="J14087" s="160">
        <v>6.8000000000000005E-4</v>
      </c>
      <c r="K14087" s="160" t="s">
        <v>145</v>
      </c>
      <c r="L14087" s="154" t="str">
        <f>IF(OpenLCAbasic!K14087="CTUh", "Fill in Manually",IF(OR(K14087="Unit", K14087=""), "", INDEX(LookUps!$E$5:$E$12, MATCH(OpenLCAbasic!K14087,LookUps!$D$5:$D$12,0))))</f>
        <v>Particulate Matter Formation Potential (PMFP) - kg PM2.5 eq</v>
      </c>
      <c r="M14087" s="154" t="str">
        <f t="shared" si="1255"/>
        <v>High_Base_High_Upgraded_Particulate Matter Formation Potential (PMFP) - kg PM2.5 eq_Clear Cove Primary Clarification; wastewater treatment unit; at updated plant - US_Without Amendment_Aerated Static Pile</v>
      </c>
    </row>
    <row r="14088" spans="1:13" s="120" customFormat="1" x14ac:dyDescent="0.25">
      <c r="A14088" s="119"/>
      <c r="B14088" s="138" t="str">
        <f t="shared" si="1250"/>
        <v>Aerated Static Pile</v>
      </c>
      <c r="C14088" s="138" t="str">
        <f t="shared" si="1251"/>
        <v>Without Amendment</v>
      </c>
      <c r="D14088" s="138" t="str">
        <f t="shared" si="1254"/>
        <v>Base_High</v>
      </c>
      <c r="E14088" s="138" t="str">
        <f t="shared" si="1252"/>
        <v>High</v>
      </c>
      <c r="F14088" s="138" t="str">
        <f t="shared" si="1253"/>
        <v>Upgraded</v>
      </c>
      <c r="G14088" s="153"/>
      <c r="H14088" s="210">
        <v>3.5055000000000001</v>
      </c>
      <c r="I14088" s="160" t="s">
        <v>58</v>
      </c>
      <c r="J14088" s="160">
        <v>5.9000000000000003E-4</v>
      </c>
      <c r="K14088" s="160" t="s">
        <v>145</v>
      </c>
      <c r="L14088" s="154" t="str">
        <f>IF(OpenLCAbasic!K14088="CTUh", "Fill in Manually",IF(OR(K14088="Unit", K14088=""), "", INDEX(LookUps!$E$5:$E$12, MATCH(OpenLCAbasic!K14088,LookUps!$D$5:$D$12,0))))</f>
        <v>Particulate Matter Formation Potential (PMFP) - kg PM2.5 eq</v>
      </c>
      <c r="M14088" s="154" t="str">
        <f t="shared" si="1255"/>
        <v>High_Base_High_Upgraded_Particulate Matter Formation Potential (PMFP) - kg PM2.5 eq_Pre-Anoxic &amp; Swing tank; wastewater treatment unit; at updated plant - US_Without Amendment_Aerated Static Pile</v>
      </c>
    </row>
    <row r="14089" spans="1:13" s="120" customFormat="1" x14ac:dyDescent="0.25">
      <c r="A14089" s="119"/>
      <c r="B14089" s="138" t="str">
        <f t="shared" si="1250"/>
        <v>Aerated Static Pile</v>
      </c>
      <c r="C14089" s="138" t="str">
        <f t="shared" si="1251"/>
        <v>Without Amendment</v>
      </c>
      <c r="D14089" s="138" t="str">
        <f t="shared" si="1254"/>
        <v>Base_High</v>
      </c>
      <c r="E14089" s="138" t="str">
        <f t="shared" si="1252"/>
        <v>High</v>
      </c>
      <c r="F14089" s="138" t="str">
        <f t="shared" si="1253"/>
        <v>Upgraded</v>
      </c>
      <c r="G14089" s="153"/>
      <c r="H14089" s="210">
        <v>2.7877999999999998</v>
      </c>
      <c r="I14089" s="160" t="s">
        <v>53</v>
      </c>
      <c r="J14089" s="160">
        <v>4.6999999999999999E-4</v>
      </c>
      <c r="K14089" s="160" t="s">
        <v>145</v>
      </c>
      <c r="L14089" s="154" t="str">
        <f>IF(OpenLCAbasic!K14089="CTUh", "Fill in Manually",IF(OR(K14089="Unit", K14089=""), "", INDEX(LookUps!$E$5:$E$12, MATCH(OpenLCAbasic!K14089,LookUps!$D$5:$D$12,0))))</f>
        <v>Particulate Matter Formation Potential (PMFP) - kg PM2.5 eq</v>
      </c>
      <c r="M14089" s="154" t="str">
        <f t="shared" si="1255"/>
        <v>High_Base_High_Upgraded_Particulate Matter Formation Potential (PMFP) - kg PM2.5 eq_Wet Well and Sump Station; wastewater treatment unit; at updated plant - US_Without Amendment_Aerated Static Pile</v>
      </c>
    </row>
    <row r="14090" spans="1:13" s="120" customFormat="1" x14ac:dyDescent="0.25">
      <c r="A14090" s="119"/>
      <c r="B14090" s="138" t="str">
        <f t="shared" si="1250"/>
        <v>Aerated Static Pile</v>
      </c>
      <c r="C14090" s="138" t="str">
        <f t="shared" si="1251"/>
        <v>Without Amendment</v>
      </c>
      <c r="D14090" s="138" t="str">
        <f t="shared" si="1254"/>
        <v>Base_High</v>
      </c>
      <c r="E14090" s="138" t="str">
        <f t="shared" si="1252"/>
        <v>High</v>
      </c>
      <c r="F14090" s="138" t="str">
        <f t="shared" si="1253"/>
        <v>Upgraded</v>
      </c>
      <c r="G14090" s="153"/>
      <c r="H14090" s="210">
        <v>1.7871999999999999</v>
      </c>
      <c r="I14090" s="160" t="s">
        <v>167</v>
      </c>
      <c r="J14090" s="160">
        <v>2.9999999999999997E-4</v>
      </c>
      <c r="K14090" s="160" t="s">
        <v>145</v>
      </c>
      <c r="L14090" s="154" t="str">
        <f>IF(OpenLCAbasic!K14090="CTUh", "Fill in Manually",IF(OR(K14090="Unit", K14090=""), "", INDEX(LookUps!$E$5:$E$12, MATCH(OpenLCAbasic!K14090,LookUps!$D$5:$D$12,0))))</f>
        <v>Particulate Matter Formation Potential (PMFP) - kg PM2.5 eq</v>
      </c>
      <c r="M14090" s="154" t="str">
        <f t="shared" si="1255"/>
        <v>High_Base_High_Upgraded_Particulate Matter Formation Potential (PMFP) - kg PM2.5 eq_Waste Receiving and Holding; wastewater treatment unit; at updated plant - US_Without Amendment_Aerated Static Pile</v>
      </c>
    </row>
    <row r="14091" spans="1:13" s="120" customFormat="1" x14ac:dyDescent="0.25">
      <c r="A14091" s="119"/>
      <c r="B14091" s="138" t="str">
        <f t="shared" si="1250"/>
        <v>Aerated Static Pile</v>
      </c>
      <c r="C14091" s="138" t="str">
        <f t="shared" si="1251"/>
        <v>Without Amendment</v>
      </c>
      <c r="D14091" s="138" t="str">
        <f t="shared" si="1254"/>
        <v>Base_High</v>
      </c>
      <c r="E14091" s="138" t="str">
        <f t="shared" si="1252"/>
        <v>High</v>
      </c>
      <c r="F14091" s="138" t="str">
        <f t="shared" si="1253"/>
        <v>Upgraded</v>
      </c>
      <c r="G14091" s="153"/>
      <c r="H14091" s="210">
        <v>1.5934999999999999</v>
      </c>
      <c r="I14091" s="160" t="s">
        <v>147</v>
      </c>
      <c r="J14091" s="160">
        <v>2.7E-4</v>
      </c>
      <c r="K14091" s="160" t="s">
        <v>145</v>
      </c>
      <c r="L14091" s="154" t="str">
        <f>IF(OpenLCAbasic!K14091="CTUh", "Fill in Manually",IF(OR(K14091="Unit", K14091=""), "", INDEX(LookUps!$E$5:$E$12, MATCH(OpenLCAbasic!K14091,LookUps!$D$5:$D$12,0))))</f>
        <v>Particulate Matter Formation Potential (PMFP) - kg PM2.5 eq</v>
      </c>
      <c r="M14091" s="154" t="str">
        <f t="shared" si="1255"/>
        <v>High_Base_High_Upgraded_Particulate Matter Formation Potential (PMFP) - kg PM2.5 eq_Influent Pump Station; wastewater treatment unit; at updated plant - US_Without Amendment_Aerated Static Pile</v>
      </c>
    </row>
    <row r="14092" spans="1:13" s="120" customFormat="1" x14ac:dyDescent="0.25">
      <c r="A14092" s="119"/>
      <c r="B14092" s="138" t="str">
        <f t="shared" si="1250"/>
        <v>Aerated Static Pile</v>
      </c>
      <c r="C14092" s="138" t="str">
        <f t="shared" si="1251"/>
        <v>Without Amendment</v>
      </c>
      <c r="D14092" s="138" t="str">
        <f t="shared" si="1254"/>
        <v>Base_High</v>
      </c>
      <c r="E14092" s="138" t="str">
        <f t="shared" si="1252"/>
        <v>High</v>
      </c>
      <c r="F14092" s="138" t="str">
        <f t="shared" si="1253"/>
        <v>Upgraded</v>
      </c>
      <c r="G14092" s="153"/>
      <c r="H14092" s="210">
        <v>1.3667</v>
      </c>
      <c r="I14092" s="160" t="s">
        <v>435</v>
      </c>
      <c r="J14092" s="160">
        <v>2.3000000000000001E-4</v>
      </c>
      <c r="K14092" s="160" t="s">
        <v>145</v>
      </c>
      <c r="L14092" s="154" t="str">
        <f>IF(OpenLCAbasic!K14092="CTUh", "Fill in Manually",IF(OR(K14092="Unit", K14092=""), "", INDEX(LookUps!$E$5:$E$12, MATCH(OpenLCAbasic!K14092,LookUps!$D$5:$D$12,0))))</f>
        <v>Particulate Matter Formation Potential (PMFP) - kg PM2.5 eq</v>
      </c>
      <c r="M14092" s="154" t="str">
        <f t="shared" si="1255"/>
        <v>High_Base_High_Upgraded_Particulate Matter Formation Potential (PMFP) - kg PM2.5 eq_Biosolids composting; aerated static pile; wastewater treatment unit; at updated plant - US_Without Amendment_Aerated Static Pile</v>
      </c>
    </row>
    <row r="14093" spans="1:13" s="120" customFormat="1" x14ac:dyDescent="0.25">
      <c r="A14093" s="119"/>
      <c r="B14093" s="138" t="str">
        <f t="shared" si="1250"/>
        <v>Aerated Static Pile</v>
      </c>
      <c r="C14093" s="138" t="str">
        <f t="shared" si="1251"/>
        <v>Without Amendment</v>
      </c>
      <c r="D14093" s="138" t="str">
        <f t="shared" si="1254"/>
        <v>Base_High</v>
      </c>
      <c r="E14093" s="138" t="str">
        <f t="shared" si="1252"/>
        <v>High</v>
      </c>
      <c r="F14093" s="138" t="str">
        <f t="shared" si="1253"/>
        <v>Upgraded</v>
      </c>
      <c r="G14093" s="153"/>
      <c r="H14093" s="210">
        <v>0.99450000000000005</v>
      </c>
      <c r="I14093" s="160" t="s">
        <v>128</v>
      </c>
      <c r="J14093" s="160">
        <v>1.7000000000000001E-4</v>
      </c>
      <c r="K14093" s="160" t="s">
        <v>145</v>
      </c>
      <c r="L14093" s="154" t="str">
        <f>IF(OpenLCAbasic!K14093="CTUh", "Fill in Manually",IF(OR(K14093="Unit", K14093=""), "", INDEX(LookUps!$E$5:$E$12, MATCH(OpenLCAbasic!K14093,LookUps!$D$5:$D$12,0))))</f>
        <v>Particulate Matter Formation Potential (PMFP) - kg PM2.5 eq</v>
      </c>
      <c r="M14093" s="154" t="str">
        <f t="shared" si="1255"/>
        <v>High_Base_High_Upgraded_Particulate Matter Formation Potential (PMFP) - kg PM2.5 eq_Wastewater collection; operation and infrastructure; m3 wastewater_Without Amendment_Aerated Static Pile</v>
      </c>
    </row>
    <row r="14094" spans="1:13" s="120" customFormat="1" x14ac:dyDescent="0.25">
      <c r="A14094" s="119"/>
      <c r="B14094" s="138" t="str">
        <f t="shared" si="1250"/>
        <v>Aerated Static Pile</v>
      </c>
      <c r="C14094" s="138" t="str">
        <f t="shared" si="1251"/>
        <v>Without Amendment</v>
      </c>
      <c r="D14094" s="138" t="str">
        <f t="shared" si="1254"/>
        <v>Base_High</v>
      </c>
      <c r="E14094" s="138" t="str">
        <f t="shared" si="1252"/>
        <v>High</v>
      </c>
      <c r="F14094" s="138" t="str">
        <f t="shared" si="1253"/>
        <v>Upgraded</v>
      </c>
      <c r="G14094" s="153"/>
      <c r="H14094" s="210">
        <v>0.60109999999999997</v>
      </c>
      <c r="I14094" s="160" t="s">
        <v>60</v>
      </c>
      <c r="J14094" s="160">
        <v>1E-4</v>
      </c>
      <c r="K14094" s="160" t="s">
        <v>145</v>
      </c>
      <c r="L14094" s="154" t="str">
        <f>IF(OpenLCAbasic!K14094="CTUh", "Fill in Manually",IF(OR(K14094="Unit", K14094=""), "", INDEX(LookUps!$E$5:$E$12, MATCH(OpenLCAbasic!K14094,LookUps!$D$5:$D$12,0))))</f>
        <v>Particulate Matter Formation Potential (PMFP) - kg PM2.5 eq</v>
      </c>
      <c r="M14094" s="154" t="str">
        <f t="shared" si="1255"/>
        <v>High_Base_High_Upgraded_Particulate Matter Formation Potential (PMFP) - kg PM2.5 eq_Belt filter press; wastewater treatment unit; at updated plant - US_Without Amendment_Aerated Static Pile</v>
      </c>
    </row>
    <row r="14095" spans="1:13" s="120" customFormat="1" x14ac:dyDescent="0.25">
      <c r="A14095" s="119"/>
      <c r="B14095" s="138" t="str">
        <f t="shared" si="1250"/>
        <v>Aerated Static Pile</v>
      </c>
      <c r="C14095" s="138" t="str">
        <f t="shared" si="1251"/>
        <v>Without Amendment</v>
      </c>
      <c r="D14095" s="138" t="str">
        <f t="shared" si="1254"/>
        <v>Base_High</v>
      </c>
      <c r="E14095" s="138" t="str">
        <f t="shared" si="1252"/>
        <v>High</v>
      </c>
      <c r="F14095" s="138" t="str">
        <f t="shared" si="1253"/>
        <v>Upgraded</v>
      </c>
      <c r="G14095" s="153"/>
      <c r="H14095" s="210">
        <v>0.56840000000000002</v>
      </c>
      <c r="I14095" s="160" t="s">
        <v>57</v>
      </c>
      <c r="J14095" s="211">
        <v>9.5153800000000004E-5</v>
      </c>
      <c r="K14095" s="160" t="s">
        <v>145</v>
      </c>
      <c r="L14095" s="154" t="str">
        <f>IF(OpenLCAbasic!K14095="CTUh", "Fill in Manually",IF(OR(K14095="Unit", K14095=""), "", INDEX(LookUps!$E$5:$E$12, MATCH(OpenLCAbasic!K14095,LookUps!$D$5:$D$12,0))))</f>
        <v>Particulate Matter Formation Potential (PMFP) - kg PM2.5 eq</v>
      </c>
      <c r="M14095" s="154" t="str">
        <f t="shared" si="1255"/>
        <v>High_Base_High_Upgraded_Particulate Matter Formation Potential (PMFP) - kg PM2.5 eq_Gravity Belt Thickener; wastewater treatment unit; at updated plant - US_Without Amendment_Aerated Static Pile</v>
      </c>
    </row>
    <row r="14096" spans="1:13" s="120" customFormat="1" x14ac:dyDescent="0.25">
      <c r="A14096" s="119"/>
      <c r="B14096" s="138" t="str">
        <f t="shared" si="1250"/>
        <v>Aerated Static Pile</v>
      </c>
      <c r="C14096" s="138" t="str">
        <f t="shared" si="1251"/>
        <v>Without Amendment</v>
      </c>
      <c r="D14096" s="138" t="str">
        <f t="shared" si="1254"/>
        <v>Base_High</v>
      </c>
      <c r="E14096" s="138" t="str">
        <f t="shared" si="1252"/>
        <v>High</v>
      </c>
      <c r="F14096" s="138" t="str">
        <f t="shared" si="1253"/>
        <v>Upgraded</v>
      </c>
      <c r="G14096" s="153"/>
      <c r="H14096" s="210">
        <v>0.4178</v>
      </c>
      <c r="I14096" s="160" t="s">
        <v>59</v>
      </c>
      <c r="J14096" s="211">
        <v>6.9942200000000003E-5</v>
      </c>
      <c r="K14096" s="160" t="s">
        <v>145</v>
      </c>
      <c r="L14096" s="154" t="str">
        <f>IF(OpenLCAbasic!K14096="CTUh", "Fill in Manually",IF(OR(K14096="Unit", K14096=""), "", INDEX(LookUps!$E$5:$E$12, MATCH(OpenLCAbasic!K14096,LookUps!$D$5:$D$12,0))))</f>
        <v>Particulate Matter Formation Potential (PMFP) - kg PM2.5 eq</v>
      </c>
      <c r="M14096" s="154" t="str">
        <f t="shared" si="1255"/>
        <v>High_Base_High_Upgraded_Particulate Matter Formation Potential (PMFP) - kg PM2.5 eq_Blend Tank; wastewater treatment unit; at updated plant - US_Without Amendment_Aerated Static Pile</v>
      </c>
    </row>
    <row r="14097" spans="1:13" s="120" customFormat="1" x14ac:dyDescent="0.25">
      <c r="A14097" s="119"/>
      <c r="B14097" s="138" t="str">
        <f t="shared" si="1250"/>
        <v>Aerated Static Pile</v>
      </c>
      <c r="C14097" s="138" t="str">
        <f t="shared" si="1251"/>
        <v>Without Amendment</v>
      </c>
      <c r="D14097" s="138" t="str">
        <f t="shared" si="1254"/>
        <v>Base_High</v>
      </c>
      <c r="E14097" s="138" t="str">
        <f t="shared" si="1252"/>
        <v>High</v>
      </c>
      <c r="F14097" s="138" t="str">
        <f t="shared" si="1253"/>
        <v>Upgraded</v>
      </c>
      <c r="G14097" s="153"/>
      <c r="H14097" s="210">
        <v>0.29849999999999999</v>
      </c>
      <c r="I14097" s="160" t="s">
        <v>48</v>
      </c>
      <c r="J14097" s="211">
        <v>4.99741E-5</v>
      </c>
      <c r="K14097" s="160" t="s">
        <v>145</v>
      </c>
      <c r="L14097" s="154" t="str">
        <f>IF(OpenLCAbasic!K14097="CTUh", "Fill in Manually",IF(OR(K14097="Unit", K14097=""), "", INDEX(LookUps!$E$5:$E$12, MATCH(OpenLCAbasic!K14097,LookUps!$D$5:$D$12,0))))</f>
        <v>Particulate Matter Formation Potential (PMFP) - kg PM2.5 eq</v>
      </c>
      <c r="M14097" s="154" t="str">
        <f t="shared" si="1255"/>
        <v>High_Base_High_Upgraded_Particulate Matter Formation Potential (PMFP) - kg PM2.5 eq_Effluent release; wastewater treatment unit; at surface water; m3 wastewater - US_Without Amendment_Aerated Static Pile</v>
      </c>
    </row>
    <row r="14098" spans="1:13" s="120" customFormat="1" x14ac:dyDescent="0.25">
      <c r="A14098" s="119"/>
      <c r="B14098" s="138" t="str">
        <f t="shared" si="1250"/>
        <v>Aerated Static Pile</v>
      </c>
      <c r="C14098" s="138" t="str">
        <f t="shared" si="1251"/>
        <v>Without Amendment</v>
      </c>
      <c r="D14098" s="138" t="str">
        <f t="shared" si="1254"/>
        <v>Base_High</v>
      </c>
      <c r="E14098" s="138" t="str">
        <f t="shared" si="1252"/>
        <v>High</v>
      </c>
      <c r="F14098" s="138" t="str">
        <f t="shared" si="1253"/>
        <v>Upgraded</v>
      </c>
      <c r="G14098" s="153"/>
      <c r="H14098" s="210">
        <v>0.20649999999999999</v>
      </c>
      <c r="I14098" s="160" t="s">
        <v>168</v>
      </c>
      <c r="J14098" s="211">
        <v>3.4562199999999999E-5</v>
      </c>
      <c r="K14098" s="160" t="s">
        <v>145</v>
      </c>
      <c r="L14098" s="154" t="str">
        <f>IF(OpenLCAbasic!K14098="CTUh", "Fill in Manually",IF(OR(K14098="Unit", K14098=""), "", INDEX(LookUps!$E$5:$E$12, MATCH(OpenLCAbasic!K14098,LookUps!$D$5:$D$12,0))))</f>
        <v>Particulate Matter Formation Potential (PMFP) - kg PM2.5 eq</v>
      </c>
      <c r="M14098" s="154" t="str">
        <f t="shared" si="1255"/>
        <v>High_Base_High_Upgraded_Particulate Matter Formation Potential (PMFP) - kg PM2.5 eq_ClearCove SCP; wastewater treatment unit; at updated plant - US_Without Amendment_Aerated Static Pile</v>
      </c>
    </row>
    <row r="14099" spans="1:13" s="120" customFormat="1" x14ac:dyDescent="0.25">
      <c r="A14099" s="119"/>
      <c r="B14099" s="138" t="str">
        <f t="shared" si="1250"/>
        <v>Aerated Static Pile</v>
      </c>
      <c r="C14099" s="138" t="str">
        <f t="shared" si="1251"/>
        <v>Without Amendment</v>
      </c>
      <c r="D14099" s="138" t="str">
        <f t="shared" si="1254"/>
        <v>Base_High</v>
      </c>
      <c r="E14099" s="138" t="str">
        <f t="shared" si="1252"/>
        <v>High</v>
      </c>
      <c r="F14099" s="138" t="str">
        <f t="shared" si="1253"/>
        <v>Upgraded</v>
      </c>
      <c r="G14099" s="153"/>
      <c r="H14099" s="210">
        <v>0.1356</v>
      </c>
      <c r="I14099" s="160" t="s">
        <v>62</v>
      </c>
      <c r="J14099" s="211">
        <v>2.2705799999999999E-5</v>
      </c>
      <c r="K14099" s="160" t="s">
        <v>145</v>
      </c>
      <c r="L14099" s="154" t="str">
        <f>IF(OpenLCAbasic!K14099="CTUh", "Fill in Manually",IF(OR(K14099="Unit", K14099=""), "", INDEX(LookUps!$E$5:$E$12, MATCH(OpenLCAbasic!K14099,LookUps!$D$5:$D$12,0))))</f>
        <v>Particulate Matter Formation Potential (PMFP) - kg PM2.5 eq</v>
      </c>
      <c r="M14099" s="154" t="str">
        <f t="shared" si="1255"/>
        <v>High_Base_High_Upgraded_Particulate Matter Formation Potential (PMFP) - kg PM2.5 eq_Land application of compost; wastewater treatment unit; at updated plant - US_Without Amendment_Aerated Static Pile</v>
      </c>
    </row>
    <row r="14100" spans="1:13" s="120" customFormat="1" x14ac:dyDescent="0.25">
      <c r="A14100" s="119"/>
      <c r="B14100" s="138" t="str">
        <f t="shared" si="1250"/>
        <v>Aerated Static Pile</v>
      </c>
      <c r="C14100" s="138" t="str">
        <f t="shared" si="1251"/>
        <v>Without Amendment</v>
      </c>
      <c r="D14100" s="138" t="str">
        <f t="shared" si="1254"/>
        <v>Base_High</v>
      </c>
      <c r="E14100" s="138" t="str">
        <f t="shared" si="1252"/>
        <v>High</v>
      </c>
      <c r="F14100" s="138" t="str">
        <f t="shared" si="1253"/>
        <v>Upgraded</v>
      </c>
      <c r="G14100" s="153"/>
      <c r="H14100" s="210">
        <v>5.2699999999999997E-2</v>
      </c>
      <c r="I14100" s="160" t="s">
        <v>148</v>
      </c>
      <c r="J14100" s="211">
        <v>8.8212999999999997E-6</v>
      </c>
      <c r="K14100" s="160" t="s">
        <v>145</v>
      </c>
      <c r="L14100" s="154" t="str">
        <f>IF(OpenLCAbasic!K14100="CTUh", "Fill in Manually",IF(OR(K14100="Unit", K14100=""), "", INDEX(LookUps!$E$5:$E$12, MATCH(OpenLCAbasic!K14100,LookUps!$D$5:$D$12,0))))</f>
        <v>Particulate Matter Formation Potential (PMFP) - kg PM2.5 eq</v>
      </c>
      <c r="M14100" s="154" t="str">
        <f t="shared" si="1255"/>
        <v>High_Base_High_Upgraded_Particulate Matter Formation Potential (PMFP) - kg PM2.5 eq_Control Building; at upgraded wastewater treatment plant - US_Without Amendment_Aerated Static Pile</v>
      </c>
    </row>
    <row r="14101" spans="1:13" s="120" customFormat="1" x14ac:dyDescent="0.25">
      <c r="A14101" s="119"/>
      <c r="B14101" s="138" t="str">
        <f t="shared" si="1250"/>
        <v>Aerated Static Pile</v>
      </c>
      <c r="C14101" s="138" t="str">
        <f t="shared" si="1251"/>
        <v>Without Amendment</v>
      </c>
      <c r="D14101" s="138" t="str">
        <f t="shared" si="1254"/>
        <v>Base_High</v>
      </c>
      <c r="E14101" s="138" t="str">
        <f t="shared" si="1252"/>
        <v>High</v>
      </c>
      <c r="F14101" s="138" t="str">
        <f t="shared" si="1253"/>
        <v>Upgraded</v>
      </c>
      <c r="G14101" s="153"/>
      <c r="H14101" s="210">
        <v>-31.316099999999999</v>
      </c>
      <c r="I14101" s="160" t="s">
        <v>149</v>
      </c>
      <c r="J14101" s="160">
        <v>-5.2399999999999999E-3</v>
      </c>
      <c r="K14101" s="160" t="s">
        <v>145</v>
      </c>
      <c r="L14101" s="154" t="str">
        <f>IF(OpenLCAbasic!K14101="CTUh", "Fill in Manually",IF(OR(K14101="Unit", K14101=""), "", INDEX(LookUps!$E$5:$E$12, MATCH(OpenLCAbasic!K14101,LookUps!$D$5:$D$12,0))))</f>
        <v>Particulate Matter Formation Potential (PMFP) - kg PM2.5 eq</v>
      </c>
      <c r="M14101" s="154" t="str">
        <f t="shared" si="1255"/>
        <v>High_Base_High_Upgraded_Particulate Matter Formation Potential (PMFP) - kg PM2.5 eq_Anaerobic Digestion; wastewater treatment unit; at updated plant - US_Without Amendment_Aerated Static Pile</v>
      </c>
    </row>
    <row r="14102" spans="1:13" s="120" customFormat="1" x14ac:dyDescent="0.25">
      <c r="A14102" s="119"/>
      <c r="B14102" s="138" t="str">
        <f t="shared" si="1250"/>
        <v/>
      </c>
      <c r="C14102" s="138" t="str">
        <f t="shared" si="1251"/>
        <v/>
      </c>
      <c r="D14102" s="138" t="str">
        <f t="shared" si="1254"/>
        <v/>
      </c>
      <c r="E14102" s="138" t="str">
        <f t="shared" si="1252"/>
        <v/>
      </c>
      <c r="F14102" s="138" t="str">
        <f t="shared" si="1253"/>
        <v/>
      </c>
      <c r="G14102" s="153" t="s">
        <v>51</v>
      </c>
      <c r="H14102" s="160"/>
      <c r="I14102" s="160" t="s">
        <v>47</v>
      </c>
      <c r="J14102" s="160" t="s">
        <v>52</v>
      </c>
      <c r="K14102" s="160" t="s">
        <v>27</v>
      </c>
      <c r="L14102" s="154" t="str">
        <f>IF(OpenLCAbasic!K14102="CTUh", "Fill in Manually",IF(OR(K14102="Unit", K14102=""), "", INDEX(LookUps!$E$5:$E$12, MATCH(OpenLCAbasic!K14102,LookUps!$D$5:$D$12,0))))</f>
        <v/>
      </c>
      <c r="M14102" s="154" t="str">
        <f t="shared" si="1255"/>
        <v>____Process__</v>
      </c>
    </row>
    <row r="14103" spans="1:13" s="120" customFormat="1" x14ac:dyDescent="0.25">
      <c r="A14103" s="119"/>
      <c r="B14103" s="138" t="str">
        <f t="shared" si="1250"/>
        <v>Aerated Static Pile</v>
      </c>
      <c r="C14103" s="138" t="str">
        <f t="shared" si="1251"/>
        <v>Without Amendment</v>
      </c>
      <c r="D14103" s="138" t="str">
        <f t="shared" si="1254"/>
        <v>Base_High</v>
      </c>
      <c r="E14103" s="138" t="str">
        <f t="shared" si="1252"/>
        <v>High</v>
      </c>
      <c r="F14103" s="138" t="str">
        <f t="shared" si="1253"/>
        <v>Upgraded</v>
      </c>
      <c r="G14103" s="153"/>
      <c r="H14103" s="210">
        <v>12.4763</v>
      </c>
      <c r="I14103" s="160" t="s">
        <v>55</v>
      </c>
      <c r="J14103" s="160">
        <v>0.16577</v>
      </c>
      <c r="K14103" s="160" t="s">
        <v>25</v>
      </c>
      <c r="L14103" s="154" t="str">
        <f>IF(OpenLCAbasic!K14103="CTUh", "Fill in Manually",IF(OR(K14103="Unit", K14103=""), "", INDEX(LookUps!$E$5:$E$12, MATCH(OpenLCAbasic!K14103,LookUps!$D$5:$D$12,0))))</f>
        <v>Smog Formation Potential (SFP) - kg O3 eq</v>
      </c>
      <c r="M14103" s="154" t="str">
        <f t="shared" si="1255"/>
        <v>High_Base_High_Upgraded_Smog Formation Potential (SFP) - kg O3 eq_Aeration Tanks; wastewater treatment unit; at updated plant - US_Without Amendment_Aerated Static Pile</v>
      </c>
    </row>
    <row r="14104" spans="1:13" s="120" customFormat="1" x14ac:dyDescent="0.25">
      <c r="A14104" s="119"/>
      <c r="B14104" s="138" t="str">
        <f t="shared" si="1250"/>
        <v>Aerated Static Pile</v>
      </c>
      <c r="C14104" s="138" t="str">
        <f t="shared" si="1251"/>
        <v>Without Amendment</v>
      </c>
      <c r="D14104" s="138" t="str">
        <f t="shared" si="1254"/>
        <v>Base_High</v>
      </c>
      <c r="E14104" s="138" t="str">
        <f t="shared" si="1252"/>
        <v>High</v>
      </c>
      <c r="F14104" s="138" t="str">
        <f t="shared" si="1253"/>
        <v>Upgraded</v>
      </c>
      <c r="G14104" s="153"/>
      <c r="H14104" s="210">
        <v>3.6181000000000001</v>
      </c>
      <c r="I14104" s="160" t="s">
        <v>54</v>
      </c>
      <c r="J14104" s="160">
        <v>4.8070000000000002E-2</v>
      </c>
      <c r="K14104" s="160" t="s">
        <v>25</v>
      </c>
      <c r="L14104" s="154" t="str">
        <f>IF(OpenLCAbasic!K14104="CTUh", "Fill in Manually",IF(OR(K14104="Unit", K14104=""), "", INDEX(LookUps!$E$5:$E$12, MATCH(OpenLCAbasic!K14104,LookUps!$D$5:$D$12,0))))</f>
        <v>Smog Formation Potential (SFP) - kg O3 eq</v>
      </c>
      <c r="M14104" s="154" t="str">
        <f t="shared" si="1255"/>
        <v>High_Base_High_Upgraded_Smog Formation Potential (SFP) - kg O3 eq_Clear Cove Primary Clarification; wastewater treatment unit; at updated plant - US_Without Amendment_Aerated Static Pile</v>
      </c>
    </row>
    <row r="14105" spans="1:13" s="120" customFormat="1" x14ac:dyDescent="0.25">
      <c r="A14105" s="119"/>
      <c r="B14105" s="138" t="str">
        <f t="shared" si="1250"/>
        <v>Aerated Static Pile</v>
      </c>
      <c r="C14105" s="138" t="str">
        <f t="shared" si="1251"/>
        <v>Without Amendment</v>
      </c>
      <c r="D14105" s="138" t="str">
        <f t="shared" si="1254"/>
        <v>Base_High</v>
      </c>
      <c r="E14105" s="138" t="str">
        <f t="shared" si="1252"/>
        <v>High</v>
      </c>
      <c r="F14105" s="138" t="str">
        <f t="shared" si="1253"/>
        <v>Upgraded</v>
      </c>
      <c r="G14105" s="153"/>
      <c r="H14105" s="210">
        <v>3.1444000000000001</v>
      </c>
      <c r="I14105" s="160" t="s">
        <v>58</v>
      </c>
      <c r="J14105" s="160">
        <v>4.1779999999999998E-2</v>
      </c>
      <c r="K14105" s="160" t="s">
        <v>25</v>
      </c>
      <c r="L14105" s="154" t="str">
        <f>IF(OpenLCAbasic!K14105="CTUh", "Fill in Manually",IF(OR(K14105="Unit", K14105=""), "", INDEX(LookUps!$E$5:$E$12, MATCH(OpenLCAbasic!K14105,LookUps!$D$5:$D$12,0))))</f>
        <v>Smog Formation Potential (SFP) - kg O3 eq</v>
      </c>
      <c r="M14105" s="154" t="str">
        <f t="shared" si="1255"/>
        <v>High_Base_High_Upgraded_Smog Formation Potential (SFP) - kg O3 eq_Pre-Anoxic &amp; Swing tank; wastewater treatment unit; at updated plant - US_Without Amendment_Aerated Static Pile</v>
      </c>
    </row>
    <row r="14106" spans="1:13" s="120" customFormat="1" x14ac:dyDescent="0.25">
      <c r="A14106" s="119"/>
      <c r="B14106" s="138" t="str">
        <f t="shared" si="1250"/>
        <v>Aerated Static Pile</v>
      </c>
      <c r="C14106" s="138" t="str">
        <f t="shared" si="1251"/>
        <v>Without Amendment</v>
      </c>
      <c r="D14106" s="138" t="str">
        <f t="shared" si="1254"/>
        <v>Base_High</v>
      </c>
      <c r="E14106" s="138" t="str">
        <f t="shared" si="1252"/>
        <v>High</v>
      </c>
      <c r="F14106" s="138" t="str">
        <f t="shared" si="1253"/>
        <v>Upgraded</v>
      </c>
      <c r="G14106" s="153"/>
      <c r="H14106" s="210">
        <v>2.4931000000000001</v>
      </c>
      <c r="I14106" s="160" t="s">
        <v>53</v>
      </c>
      <c r="J14106" s="160">
        <v>3.313E-2</v>
      </c>
      <c r="K14106" s="160" t="s">
        <v>25</v>
      </c>
      <c r="L14106" s="154" t="str">
        <f>IF(OpenLCAbasic!K14106="CTUh", "Fill in Manually",IF(OR(K14106="Unit", K14106=""), "", INDEX(LookUps!$E$5:$E$12, MATCH(OpenLCAbasic!K14106,LookUps!$D$5:$D$12,0))))</f>
        <v>Smog Formation Potential (SFP) - kg O3 eq</v>
      </c>
      <c r="M14106" s="154" t="str">
        <f t="shared" si="1255"/>
        <v>High_Base_High_Upgraded_Smog Formation Potential (SFP) - kg O3 eq_Wet Well and Sump Station; wastewater treatment unit; at updated plant - US_Without Amendment_Aerated Static Pile</v>
      </c>
    </row>
    <row r="14107" spans="1:13" s="120" customFormat="1" x14ac:dyDescent="0.25">
      <c r="A14107" s="119"/>
      <c r="B14107" s="138" t="str">
        <f t="shared" si="1250"/>
        <v>Aerated Static Pile</v>
      </c>
      <c r="C14107" s="138" t="str">
        <f t="shared" si="1251"/>
        <v>Without Amendment</v>
      </c>
      <c r="D14107" s="138" t="str">
        <f t="shared" si="1254"/>
        <v>Base_High</v>
      </c>
      <c r="E14107" s="138" t="str">
        <f t="shared" si="1252"/>
        <v>High</v>
      </c>
      <c r="F14107" s="138" t="str">
        <f t="shared" si="1253"/>
        <v>Upgraded</v>
      </c>
      <c r="G14107" s="153"/>
      <c r="H14107" s="210">
        <v>2.1032000000000002</v>
      </c>
      <c r="I14107" s="160" t="s">
        <v>167</v>
      </c>
      <c r="J14107" s="160">
        <v>2.7949999999999999E-2</v>
      </c>
      <c r="K14107" s="160" t="s">
        <v>25</v>
      </c>
      <c r="L14107" s="154" t="str">
        <f>IF(OpenLCAbasic!K14107="CTUh", "Fill in Manually",IF(OR(K14107="Unit", K14107=""), "", INDEX(LookUps!$E$5:$E$12, MATCH(OpenLCAbasic!K14107,LookUps!$D$5:$D$12,0))))</f>
        <v>Smog Formation Potential (SFP) - kg O3 eq</v>
      </c>
      <c r="M14107" s="154" t="str">
        <f t="shared" si="1255"/>
        <v>High_Base_High_Upgraded_Smog Formation Potential (SFP) - kg O3 eq_Waste Receiving and Holding; wastewater treatment unit; at updated plant - US_Without Amendment_Aerated Static Pile</v>
      </c>
    </row>
    <row r="14108" spans="1:13" s="120" customFormat="1" x14ac:dyDescent="0.25">
      <c r="A14108" s="119"/>
      <c r="B14108" s="138" t="str">
        <f t="shared" si="1250"/>
        <v>Aerated Static Pile</v>
      </c>
      <c r="C14108" s="138" t="str">
        <f t="shared" si="1251"/>
        <v>Without Amendment</v>
      </c>
      <c r="D14108" s="138" t="str">
        <f t="shared" si="1254"/>
        <v>Base_High</v>
      </c>
      <c r="E14108" s="138" t="str">
        <f t="shared" si="1252"/>
        <v>High</v>
      </c>
      <c r="F14108" s="138" t="str">
        <f t="shared" si="1253"/>
        <v>Upgraded</v>
      </c>
      <c r="G14108" s="153"/>
      <c r="H14108" s="210">
        <v>1.46</v>
      </c>
      <c r="I14108" s="160" t="s">
        <v>147</v>
      </c>
      <c r="J14108" s="160">
        <v>1.9400000000000001E-2</v>
      </c>
      <c r="K14108" s="160" t="s">
        <v>25</v>
      </c>
      <c r="L14108" s="154" t="str">
        <f>IF(OpenLCAbasic!K14108="CTUh", "Fill in Manually",IF(OR(K14108="Unit", K14108=""), "", INDEX(LookUps!$E$5:$E$12, MATCH(OpenLCAbasic!K14108,LookUps!$D$5:$D$12,0))))</f>
        <v>Smog Formation Potential (SFP) - kg O3 eq</v>
      </c>
      <c r="M14108" s="154" t="str">
        <f t="shared" si="1255"/>
        <v>High_Base_High_Upgraded_Smog Formation Potential (SFP) - kg O3 eq_Influent Pump Station; wastewater treatment unit; at updated plant - US_Without Amendment_Aerated Static Pile</v>
      </c>
    </row>
    <row r="14109" spans="1:13" s="120" customFormat="1" x14ac:dyDescent="0.25">
      <c r="A14109" s="119"/>
      <c r="B14109" s="138" t="str">
        <f t="shared" si="1250"/>
        <v>Aerated Static Pile</v>
      </c>
      <c r="C14109" s="138" t="str">
        <f t="shared" si="1251"/>
        <v>Without Amendment</v>
      </c>
      <c r="D14109" s="138" t="str">
        <f t="shared" si="1254"/>
        <v>Base_High</v>
      </c>
      <c r="E14109" s="138" t="str">
        <f t="shared" si="1252"/>
        <v>High</v>
      </c>
      <c r="F14109" s="138" t="str">
        <f t="shared" si="1253"/>
        <v>Upgraded</v>
      </c>
      <c r="G14109" s="153"/>
      <c r="H14109" s="210">
        <v>1.1653</v>
      </c>
      <c r="I14109" s="160" t="s">
        <v>435</v>
      </c>
      <c r="J14109" s="160">
        <v>1.5480000000000001E-2</v>
      </c>
      <c r="K14109" s="160" t="s">
        <v>25</v>
      </c>
      <c r="L14109" s="154" t="str">
        <f>IF(OpenLCAbasic!K14109="CTUh", "Fill in Manually",IF(OR(K14109="Unit", K14109=""), "", INDEX(LookUps!$E$5:$E$12, MATCH(OpenLCAbasic!K14109,LookUps!$D$5:$D$12,0))))</f>
        <v>Smog Formation Potential (SFP) - kg O3 eq</v>
      </c>
      <c r="M14109" s="154" t="str">
        <f t="shared" si="1255"/>
        <v>High_Base_High_Upgraded_Smog Formation Potential (SFP) - kg O3 eq_Biosolids composting; aerated static pile; wastewater treatment unit; at updated plant - US_Without Amendment_Aerated Static Pile</v>
      </c>
    </row>
    <row r="14110" spans="1:13" s="120" customFormat="1" x14ac:dyDescent="0.25">
      <c r="A14110" s="119"/>
      <c r="B14110" s="138" t="str">
        <f t="shared" si="1250"/>
        <v>Aerated Static Pile</v>
      </c>
      <c r="C14110" s="138" t="str">
        <f t="shared" si="1251"/>
        <v>Without Amendment</v>
      </c>
      <c r="D14110" s="138" t="str">
        <f t="shared" si="1254"/>
        <v>Base_High</v>
      </c>
      <c r="E14110" s="138" t="str">
        <f t="shared" si="1252"/>
        <v>High</v>
      </c>
      <c r="F14110" s="138" t="str">
        <f t="shared" si="1253"/>
        <v>Upgraded</v>
      </c>
      <c r="G14110" s="153"/>
      <c r="H14110" s="210">
        <v>0.89700000000000002</v>
      </c>
      <c r="I14110" s="160" t="s">
        <v>128</v>
      </c>
      <c r="J14110" s="160">
        <v>1.192E-2</v>
      </c>
      <c r="K14110" s="160" t="s">
        <v>25</v>
      </c>
      <c r="L14110" s="154" t="str">
        <f>IF(OpenLCAbasic!K14110="CTUh", "Fill in Manually",IF(OR(K14110="Unit", K14110=""), "", INDEX(LookUps!$E$5:$E$12, MATCH(OpenLCAbasic!K14110,LookUps!$D$5:$D$12,0))))</f>
        <v>Smog Formation Potential (SFP) - kg O3 eq</v>
      </c>
      <c r="M14110" s="154" t="str">
        <f t="shared" si="1255"/>
        <v>High_Base_High_Upgraded_Smog Formation Potential (SFP) - kg O3 eq_Wastewater collection; operation and infrastructure; m3 wastewater_Without Amendment_Aerated Static Pile</v>
      </c>
    </row>
    <row r="14111" spans="1:13" s="120" customFormat="1" x14ac:dyDescent="0.25">
      <c r="A14111" s="119"/>
      <c r="B14111" s="138" t="str">
        <f t="shared" si="1250"/>
        <v>Aerated Static Pile</v>
      </c>
      <c r="C14111" s="138" t="str">
        <f t="shared" si="1251"/>
        <v>Without Amendment</v>
      </c>
      <c r="D14111" s="138" t="str">
        <f t="shared" si="1254"/>
        <v>Base_High</v>
      </c>
      <c r="E14111" s="138" t="str">
        <f t="shared" si="1252"/>
        <v>High</v>
      </c>
      <c r="F14111" s="138" t="str">
        <f t="shared" si="1253"/>
        <v>Upgraded</v>
      </c>
      <c r="G14111" s="153"/>
      <c r="H14111" s="210">
        <v>0.53259999999999996</v>
      </c>
      <c r="I14111" s="160" t="s">
        <v>60</v>
      </c>
      <c r="J14111" s="160">
        <v>7.0800000000000004E-3</v>
      </c>
      <c r="K14111" s="160" t="s">
        <v>25</v>
      </c>
      <c r="L14111" s="154" t="str">
        <f>IF(OpenLCAbasic!K14111="CTUh", "Fill in Manually",IF(OR(K14111="Unit", K14111=""), "", INDEX(LookUps!$E$5:$E$12, MATCH(OpenLCAbasic!K14111,LookUps!$D$5:$D$12,0))))</f>
        <v>Smog Formation Potential (SFP) - kg O3 eq</v>
      </c>
      <c r="M14111" s="154" t="str">
        <f t="shared" si="1255"/>
        <v>High_Base_High_Upgraded_Smog Formation Potential (SFP) - kg O3 eq_Belt filter press; wastewater treatment unit; at updated plant - US_Without Amendment_Aerated Static Pile</v>
      </c>
    </row>
    <row r="14112" spans="1:13" s="120" customFormat="1" x14ac:dyDescent="0.25">
      <c r="A14112" s="119"/>
      <c r="B14112" s="138" t="str">
        <f t="shared" si="1250"/>
        <v>Aerated Static Pile</v>
      </c>
      <c r="C14112" s="138" t="str">
        <f t="shared" si="1251"/>
        <v>Without Amendment</v>
      </c>
      <c r="D14112" s="138" t="str">
        <f t="shared" si="1254"/>
        <v>Base_High</v>
      </c>
      <c r="E14112" s="138" t="str">
        <f t="shared" si="1252"/>
        <v>High</v>
      </c>
      <c r="F14112" s="138" t="str">
        <f t="shared" si="1253"/>
        <v>Upgraded</v>
      </c>
      <c r="G14112" s="153"/>
      <c r="H14112" s="210">
        <v>0.50070000000000003</v>
      </c>
      <c r="I14112" s="160" t="s">
        <v>57</v>
      </c>
      <c r="J14112" s="160">
        <v>6.6499999999999997E-3</v>
      </c>
      <c r="K14112" s="160" t="s">
        <v>25</v>
      </c>
      <c r="L14112" s="154" t="str">
        <f>IF(OpenLCAbasic!K14112="CTUh", "Fill in Manually",IF(OR(K14112="Unit", K14112=""), "", INDEX(LookUps!$E$5:$E$12, MATCH(OpenLCAbasic!K14112,LookUps!$D$5:$D$12,0))))</f>
        <v>Smog Formation Potential (SFP) - kg O3 eq</v>
      </c>
      <c r="M14112" s="154" t="str">
        <f t="shared" si="1255"/>
        <v>High_Base_High_Upgraded_Smog Formation Potential (SFP) - kg O3 eq_Gravity Belt Thickener; wastewater treatment unit; at updated plant - US_Without Amendment_Aerated Static Pile</v>
      </c>
    </row>
    <row r="14113" spans="1:13" s="120" customFormat="1" x14ac:dyDescent="0.25">
      <c r="A14113" s="119"/>
      <c r="B14113" s="138" t="str">
        <f t="shared" si="1250"/>
        <v>Aerated Static Pile</v>
      </c>
      <c r="C14113" s="138" t="str">
        <f t="shared" si="1251"/>
        <v>Without Amendment</v>
      </c>
      <c r="D14113" s="138" t="str">
        <f t="shared" si="1254"/>
        <v>Base_High</v>
      </c>
      <c r="E14113" s="138" t="str">
        <f t="shared" si="1252"/>
        <v>High</v>
      </c>
      <c r="F14113" s="138" t="str">
        <f t="shared" si="1253"/>
        <v>Upgraded</v>
      </c>
      <c r="G14113" s="153"/>
      <c r="H14113" s="210">
        <v>0.37430000000000002</v>
      </c>
      <c r="I14113" s="160" t="s">
        <v>59</v>
      </c>
      <c r="J14113" s="160">
        <v>4.9699999999999996E-3</v>
      </c>
      <c r="K14113" s="160" t="s">
        <v>25</v>
      </c>
      <c r="L14113" s="154" t="str">
        <f>IF(OpenLCAbasic!K14113="CTUh", "Fill in Manually",IF(OR(K14113="Unit", K14113=""), "", INDEX(LookUps!$E$5:$E$12, MATCH(OpenLCAbasic!K14113,LookUps!$D$5:$D$12,0))))</f>
        <v>Smog Formation Potential (SFP) - kg O3 eq</v>
      </c>
      <c r="M14113" s="154" t="str">
        <f t="shared" si="1255"/>
        <v>High_Base_High_Upgraded_Smog Formation Potential (SFP) - kg O3 eq_Blend Tank; wastewater treatment unit; at updated plant - US_Without Amendment_Aerated Static Pile</v>
      </c>
    </row>
    <row r="14114" spans="1:13" s="120" customFormat="1" x14ac:dyDescent="0.25">
      <c r="A14114" s="119"/>
      <c r="B14114" s="138" t="str">
        <f t="shared" si="1250"/>
        <v>Aerated Static Pile</v>
      </c>
      <c r="C14114" s="138" t="str">
        <f t="shared" si="1251"/>
        <v>Without Amendment</v>
      </c>
      <c r="D14114" s="138" t="str">
        <f t="shared" si="1254"/>
        <v>Base_High</v>
      </c>
      <c r="E14114" s="138" t="str">
        <f t="shared" si="1252"/>
        <v>High</v>
      </c>
      <c r="F14114" s="138" t="str">
        <f t="shared" si="1253"/>
        <v>Upgraded</v>
      </c>
      <c r="G14114" s="153"/>
      <c r="H14114" s="210">
        <v>0.25480000000000003</v>
      </c>
      <c r="I14114" s="160" t="s">
        <v>48</v>
      </c>
      <c r="J14114" s="160">
        <v>3.3899999999999998E-3</v>
      </c>
      <c r="K14114" s="160" t="s">
        <v>25</v>
      </c>
      <c r="L14114" s="154" t="str">
        <f>IF(OpenLCAbasic!K14114="CTUh", "Fill in Manually",IF(OR(K14114="Unit", K14114=""), "", INDEX(LookUps!$E$5:$E$12, MATCH(OpenLCAbasic!K14114,LookUps!$D$5:$D$12,0))))</f>
        <v>Smog Formation Potential (SFP) - kg O3 eq</v>
      </c>
      <c r="M14114" s="154" t="str">
        <f t="shared" si="1255"/>
        <v>High_Base_High_Upgraded_Smog Formation Potential (SFP) - kg O3 eq_Effluent release; wastewater treatment unit; at surface water; m3 wastewater - US_Without Amendment_Aerated Static Pile</v>
      </c>
    </row>
    <row r="14115" spans="1:13" s="120" customFormat="1" x14ac:dyDescent="0.25">
      <c r="A14115" s="119"/>
      <c r="B14115" s="138" t="str">
        <f t="shared" si="1250"/>
        <v>Aerated Static Pile</v>
      </c>
      <c r="C14115" s="138" t="str">
        <f t="shared" si="1251"/>
        <v>Without Amendment</v>
      </c>
      <c r="D14115" s="138" t="str">
        <f t="shared" si="1254"/>
        <v>Base_High</v>
      </c>
      <c r="E14115" s="138" t="str">
        <f t="shared" si="1252"/>
        <v>High</v>
      </c>
      <c r="F14115" s="138" t="str">
        <f t="shared" si="1253"/>
        <v>Upgraded</v>
      </c>
      <c r="G14115" s="153"/>
      <c r="H14115" s="210">
        <v>0.18479999999999999</v>
      </c>
      <c r="I14115" s="160" t="s">
        <v>168</v>
      </c>
      <c r="J14115" s="160">
        <v>2.4599999999999999E-3</v>
      </c>
      <c r="K14115" s="160" t="s">
        <v>25</v>
      </c>
      <c r="L14115" s="154" t="str">
        <f>IF(OpenLCAbasic!K14115="CTUh", "Fill in Manually",IF(OR(K14115="Unit", K14115=""), "", INDEX(LookUps!$E$5:$E$12, MATCH(OpenLCAbasic!K14115,LookUps!$D$5:$D$12,0))))</f>
        <v>Smog Formation Potential (SFP) - kg O3 eq</v>
      </c>
      <c r="M14115" s="154" t="str">
        <f t="shared" si="1255"/>
        <v>High_Base_High_Upgraded_Smog Formation Potential (SFP) - kg O3 eq_ClearCove SCP; wastewater treatment unit; at updated plant - US_Without Amendment_Aerated Static Pile</v>
      </c>
    </row>
    <row r="14116" spans="1:13" s="120" customFormat="1" x14ac:dyDescent="0.25">
      <c r="A14116" s="119"/>
      <c r="B14116" s="138" t="str">
        <f t="shared" si="1250"/>
        <v>Aerated Static Pile</v>
      </c>
      <c r="C14116" s="138" t="str">
        <f t="shared" si="1251"/>
        <v>Without Amendment</v>
      </c>
      <c r="D14116" s="138" t="str">
        <f t="shared" si="1254"/>
        <v>Base_High</v>
      </c>
      <c r="E14116" s="138" t="str">
        <f t="shared" si="1252"/>
        <v>High</v>
      </c>
      <c r="F14116" s="138" t="str">
        <f t="shared" si="1253"/>
        <v>Upgraded</v>
      </c>
      <c r="G14116" s="153"/>
      <c r="H14116" s="210">
        <v>4.0500000000000001E-2</v>
      </c>
      <c r="I14116" s="160" t="s">
        <v>148</v>
      </c>
      <c r="J14116" s="160">
        <v>5.4000000000000001E-4</v>
      </c>
      <c r="K14116" s="160" t="s">
        <v>25</v>
      </c>
      <c r="L14116" s="154" t="str">
        <f>IF(OpenLCAbasic!K14116="CTUh", "Fill in Manually",IF(OR(K14116="Unit", K14116=""), "", INDEX(LookUps!$E$5:$E$12, MATCH(OpenLCAbasic!K14116,LookUps!$D$5:$D$12,0))))</f>
        <v>Smog Formation Potential (SFP) - kg O3 eq</v>
      </c>
      <c r="M14116" s="154" t="str">
        <f t="shared" si="1255"/>
        <v>High_Base_High_Upgraded_Smog Formation Potential (SFP) - kg O3 eq_Control Building; at upgraded wastewater treatment plant - US_Without Amendment_Aerated Static Pile</v>
      </c>
    </row>
    <row r="14117" spans="1:13" s="120" customFormat="1" x14ac:dyDescent="0.25">
      <c r="A14117" s="119"/>
      <c r="B14117" s="138" t="str">
        <f t="shared" si="1250"/>
        <v>Aerated Static Pile</v>
      </c>
      <c r="C14117" s="138" t="str">
        <f t="shared" si="1251"/>
        <v>Without Amendment</v>
      </c>
      <c r="D14117" s="138" t="str">
        <f t="shared" si="1254"/>
        <v>Base_High</v>
      </c>
      <c r="E14117" s="138" t="str">
        <f t="shared" si="1252"/>
        <v>High</v>
      </c>
      <c r="F14117" s="138" t="str">
        <f t="shared" si="1253"/>
        <v>Upgraded</v>
      </c>
      <c r="G14117" s="153"/>
      <c r="H14117" s="210">
        <v>-0.1215</v>
      </c>
      <c r="I14117" s="160" t="s">
        <v>62</v>
      </c>
      <c r="J14117" s="160">
        <v>-1.6100000000000001E-3</v>
      </c>
      <c r="K14117" s="160" t="s">
        <v>25</v>
      </c>
      <c r="L14117" s="154" t="str">
        <f>IF(OpenLCAbasic!K14117="CTUh", "Fill in Manually",IF(OR(K14117="Unit", K14117=""), "", INDEX(LookUps!$E$5:$E$12, MATCH(OpenLCAbasic!K14117,LookUps!$D$5:$D$12,0))))</f>
        <v>Smog Formation Potential (SFP) - kg O3 eq</v>
      </c>
      <c r="M14117" s="154" t="str">
        <f t="shared" si="1255"/>
        <v>High_Base_High_Upgraded_Smog Formation Potential (SFP) - kg O3 eq_Land application of compost; wastewater treatment unit; at updated plant - US_Without Amendment_Aerated Static Pile</v>
      </c>
    </row>
    <row r="14118" spans="1:13" s="120" customFormat="1" x14ac:dyDescent="0.25">
      <c r="A14118" s="119"/>
      <c r="B14118" s="138" t="str">
        <f t="shared" si="1250"/>
        <v>Aerated Static Pile</v>
      </c>
      <c r="C14118" s="138" t="str">
        <f t="shared" si="1251"/>
        <v>Without Amendment</v>
      </c>
      <c r="D14118" s="138" t="str">
        <f t="shared" si="1254"/>
        <v>Base_High</v>
      </c>
      <c r="E14118" s="138" t="str">
        <f t="shared" si="1252"/>
        <v>High</v>
      </c>
      <c r="F14118" s="138" t="str">
        <f t="shared" si="1253"/>
        <v>Upgraded</v>
      </c>
      <c r="G14118" s="153"/>
      <c r="H14118" s="210">
        <v>-28.1235</v>
      </c>
      <c r="I14118" s="160" t="s">
        <v>149</v>
      </c>
      <c r="J14118" s="160">
        <v>-0.37367</v>
      </c>
      <c r="K14118" s="160" t="s">
        <v>25</v>
      </c>
      <c r="L14118" s="154" t="str">
        <f>IF(OpenLCAbasic!K14118="CTUh", "Fill in Manually",IF(OR(K14118="Unit", K14118=""), "", INDEX(LookUps!$E$5:$E$12, MATCH(OpenLCAbasic!K14118,LookUps!$D$5:$D$12,0))))</f>
        <v>Smog Formation Potential (SFP) - kg O3 eq</v>
      </c>
      <c r="M14118" s="154" t="str">
        <f t="shared" si="1255"/>
        <v>High_Base_High_Upgraded_Smog Formation Potential (SFP) - kg O3 eq_Anaerobic Digestion; wastewater treatment unit; at updated plant - US_Without Amendment_Aerated Static Pile</v>
      </c>
    </row>
    <row r="14119" spans="1:13" s="120" customFormat="1" x14ac:dyDescent="0.25">
      <c r="A14119" s="119"/>
      <c r="B14119" s="138" t="str">
        <f t="shared" si="1250"/>
        <v/>
      </c>
      <c r="C14119" s="138" t="str">
        <f t="shared" si="1251"/>
        <v/>
      </c>
      <c r="D14119" s="138" t="str">
        <f t="shared" si="1254"/>
        <v/>
      </c>
      <c r="E14119" s="138" t="str">
        <f t="shared" si="1252"/>
        <v/>
      </c>
      <c r="F14119" s="138" t="str">
        <f t="shared" si="1253"/>
        <v/>
      </c>
      <c r="G14119" s="153" t="s">
        <v>51</v>
      </c>
      <c r="H14119" s="160"/>
      <c r="I14119" s="160" t="s">
        <v>47</v>
      </c>
      <c r="J14119" s="160" t="s">
        <v>52</v>
      </c>
      <c r="K14119" s="160" t="s">
        <v>27</v>
      </c>
      <c r="L14119" s="154" t="str">
        <f>IF(OpenLCAbasic!K14119="CTUh", "Fill in Manually",IF(OR(K14119="Unit", K14119=""), "", INDEX(LookUps!$E$5:$E$12, MATCH(OpenLCAbasic!K14119,LookUps!$D$5:$D$12,0))))</f>
        <v/>
      </c>
      <c r="M14119" s="154" t="str">
        <f t="shared" si="1255"/>
        <v>____Process__</v>
      </c>
    </row>
    <row r="14120" spans="1:13" s="120" customFormat="1" x14ac:dyDescent="0.25">
      <c r="A14120" s="119"/>
      <c r="B14120" s="138" t="str">
        <f t="shared" si="1250"/>
        <v>Aerated Static Pile</v>
      </c>
      <c r="C14120" s="138" t="str">
        <f t="shared" si="1251"/>
        <v>Without Amendment</v>
      </c>
      <c r="D14120" s="138" t="str">
        <f t="shared" si="1254"/>
        <v>Base_High</v>
      </c>
      <c r="E14120" s="138" t="str">
        <f t="shared" si="1252"/>
        <v>High</v>
      </c>
      <c r="F14120" s="138" t="str">
        <f t="shared" si="1253"/>
        <v>Upgraded</v>
      </c>
      <c r="G14120" s="153"/>
      <c r="H14120" s="210">
        <v>0.68959999999999999</v>
      </c>
      <c r="I14120" s="160" t="s">
        <v>167</v>
      </c>
      <c r="J14120" s="160">
        <v>2.3000000000000001E-4</v>
      </c>
      <c r="K14120" s="160" t="s">
        <v>26</v>
      </c>
      <c r="L14120" s="154" t="str">
        <f>IF(OpenLCAbasic!K14120="CTUh", "Fill in Manually",IF(OR(K14120="Unit", K14120=""), "", INDEX(LookUps!$E$5:$E$12, MATCH(OpenLCAbasic!K14120,LookUps!$D$5:$D$12,0))))</f>
        <v>Water Use (WU) - m3 H2O</v>
      </c>
      <c r="M14120" s="154" t="str">
        <f t="shared" si="1255"/>
        <v>High_Base_High_Upgraded_Water Use (WU) - m3 H2O_Waste Receiving and Holding; wastewater treatment unit; at updated plant - US_Without Amendment_Aerated Static Pile</v>
      </c>
    </row>
    <row r="14121" spans="1:13" s="120" customFormat="1" x14ac:dyDescent="0.25">
      <c r="A14121" s="119"/>
      <c r="B14121" s="138" t="str">
        <f t="shared" ref="B14121:B14184" si="1256">IF(F14121="Legacy","n.a.",IF(F14121="","","Aerated Static Pile"))</f>
        <v>Aerated Static Pile</v>
      </c>
      <c r="C14121" s="138" t="str">
        <f t="shared" ref="C14121:C14184" si="1257">IF(ISNUMBER($J14121),"Without Amendment","")</f>
        <v>Without Amendment</v>
      </c>
      <c r="D14121" s="138" t="str">
        <f t="shared" si="1254"/>
        <v>Base_High</v>
      </c>
      <c r="E14121" s="138" t="str">
        <f t="shared" ref="E14121:E14184" si="1258">IF(ISNUMBER($J14121),"High","")</f>
        <v>High</v>
      </c>
      <c r="F14121" s="138" t="str">
        <f t="shared" ref="F14121:F14184" si="1259">IF(ISNUMBER(J14121),"Upgraded","")</f>
        <v>Upgraded</v>
      </c>
      <c r="G14121" s="153"/>
      <c r="H14121" s="210">
        <v>0.54569999999999996</v>
      </c>
      <c r="I14121" s="160" t="s">
        <v>147</v>
      </c>
      <c r="J14121" s="160">
        <v>1.8000000000000001E-4</v>
      </c>
      <c r="K14121" s="160" t="s">
        <v>26</v>
      </c>
      <c r="L14121" s="154" t="str">
        <f>IF(OpenLCAbasic!K14121="CTUh", "Fill in Manually",IF(OR(K14121="Unit", K14121=""), "", INDEX(LookUps!$E$5:$E$12, MATCH(OpenLCAbasic!K14121,LookUps!$D$5:$D$12,0))))</f>
        <v>Water Use (WU) - m3 H2O</v>
      </c>
      <c r="M14121" s="154" t="str">
        <f t="shared" si="1255"/>
        <v>High_Base_High_Upgraded_Water Use (WU) - m3 H2O_Influent Pump Station; wastewater treatment unit; at updated plant - US_Without Amendment_Aerated Static Pile</v>
      </c>
    </row>
    <row r="14122" spans="1:13" s="120" customFormat="1" x14ac:dyDescent="0.25">
      <c r="A14122" s="119"/>
      <c r="B14122" s="138" t="str">
        <f t="shared" si="1256"/>
        <v>Aerated Static Pile</v>
      </c>
      <c r="C14122" s="138" t="str">
        <f t="shared" si="1257"/>
        <v>Without Amendment</v>
      </c>
      <c r="D14122" s="138" t="str">
        <f t="shared" si="1254"/>
        <v>Base_High</v>
      </c>
      <c r="E14122" s="138" t="str">
        <f t="shared" si="1258"/>
        <v>High</v>
      </c>
      <c r="F14122" s="138" t="str">
        <f t="shared" si="1259"/>
        <v>Upgraded</v>
      </c>
      <c r="G14122" s="153"/>
      <c r="H14122" s="210">
        <v>0.53239999999999998</v>
      </c>
      <c r="I14122" s="160" t="s">
        <v>54</v>
      </c>
      <c r="J14122" s="160">
        <v>1.8000000000000001E-4</v>
      </c>
      <c r="K14122" s="160" t="s">
        <v>26</v>
      </c>
      <c r="L14122" s="154" t="str">
        <f>IF(OpenLCAbasic!K14122="CTUh", "Fill in Manually",IF(OR(K14122="Unit", K14122=""), "", INDEX(LookUps!$E$5:$E$12, MATCH(OpenLCAbasic!K14122,LookUps!$D$5:$D$12,0))))</f>
        <v>Water Use (WU) - m3 H2O</v>
      </c>
      <c r="M14122" s="154" t="str">
        <f t="shared" si="1255"/>
        <v>High_Base_High_Upgraded_Water Use (WU) - m3 H2O_Clear Cove Primary Clarification; wastewater treatment unit; at updated plant - US_Without Amendment_Aerated Static Pile</v>
      </c>
    </row>
    <row r="14123" spans="1:13" s="120" customFormat="1" x14ac:dyDescent="0.25">
      <c r="A14123" s="119"/>
      <c r="B14123" s="138" t="str">
        <f t="shared" si="1256"/>
        <v>Aerated Static Pile</v>
      </c>
      <c r="C14123" s="138" t="str">
        <f t="shared" si="1257"/>
        <v>Without Amendment</v>
      </c>
      <c r="D14123" s="138" t="str">
        <f t="shared" si="1254"/>
        <v>Base_High</v>
      </c>
      <c r="E14123" s="138" t="str">
        <f t="shared" si="1258"/>
        <v>High</v>
      </c>
      <c r="F14123" s="138" t="str">
        <f t="shared" si="1259"/>
        <v>Upgraded</v>
      </c>
      <c r="G14123" s="153"/>
      <c r="H14123" s="210">
        <v>0.48299999999999998</v>
      </c>
      <c r="I14123" s="160" t="s">
        <v>55</v>
      </c>
      <c r="J14123" s="160">
        <v>1.6000000000000001E-4</v>
      </c>
      <c r="K14123" s="160" t="s">
        <v>26</v>
      </c>
      <c r="L14123" s="154" t="str">
        <f>IF(OpenLCAbasic!K14123="CTUh", "Fill in Manually",IF(OR(K14123="Unit", K14123=""), "", INDEX(LookUps!$E$5:$E$12, MATCH(OpenLCAbasic!K14123,LookUps!$D$5:$D$12,0))))</f>
        <v>Water Use (WU) - m3 H2O</v>
      </c>
      <c r="M14123" s="154" t="str">
        <f t="shared" si="1255"/>
        <v>High_Base_High_Upgraded_Water Use (WU) - m3 H2O_Aeration Tanks; wastewater treatment unit; at updated plant - US_Without Amendment_Aerated Static Pile</v>
      </c>
    </row>
    <row r="14124" spans="1:13" s="120" customFormat="1" x14ac:dyDescent="0.25">
      <c r="A14124" s="119"/>
      <c r="B14124" s="138" t="str">
        <f t="shared" si="1256"/>
        <v>Aerated Static Pile</v>
      </c>
      <c r="C14124" s="138" t="str">
        <f t="shared" si="1257"/>
        <v>Without Amendment</v>
      </c>
      <c r="D14124" s="138" t="str">
        <f t="shared" si="1254"/>
        <v>Base_High</v>
      </c>
      <c r="E14124" s="138" t="str">
        <f t="shared" si="1258"/>
        <v>High</v>
      </c>
      <c r="F14124" s="138" t="str">
        <f t="shared" si="1259"/>
        <v>Upgraded</v>
      </c>
      <c r="G14124" s="153"/>
      <c r="H14124" s="210">
        <v>0.44</v>
      </c>
      <c r="I14124" s="160" t="s">
        <v>148</v>
      </c>
      <c r="J14124" s="160">
        <v>1.4999999999999999E-4</v>
      </c>
      <c r="K14124" s="160" t="s">
        <v>26</v>
      </c>
      <c r="L14124" s="154" t="str">
        <f>IF(OpenLCAbasic!K14124="CTUh", "Fill in Manually",IF(OR(K14124="Unit", K14124=""), "", INDEX(LookUps!$E$5:$E$12, MATCH(OpenLCAbasic!K14124,LookUps!$D$5:$D$12,0))))</f>
        <v>Water Use (WU) - m3 H2O</v>
      </c>
      <c r="M14124" s="154" t="str">
        <f t="shared" si="1255"/>
        <v>High_Base_High_Upgraded_Water Use (WU) - m3 H2O_Control Building; at upgraded wastewater treatment plant - US_Without Amendment_Aerated Static Pile</v>
      </c>
    </row>
    <row r="14125" spans="1:13" s="120" customFormat="1" x14ac:dyDescent="0.25">
      <c r="A14125" s="119"/>
      <c r="B14125" s="138" t="str">
        <f t="shared" si="1256"/>
        <v>Aerated Static Pile</v>
      </c>
      <c r="C14125" s="138" t="str">
        <f t="shared" si="1257"/>
        <v>Without Amendment</v>
      </c>
      <c r="D14125" s="138" t="str">
        <f t="shared" si="1254"/>
        <v>Base_High</v>
      </c>
      <c r="E14125" s="138" t="str">
        <f t="shared" si="1258"/>
        <v>High</v>
      </c>
      <c r="F14125" s="138" t="str">
        <f t="shared" si="1259"/>
        <v>Upgraded</v>
      </c>
      <c r="G14125" s="153"/>
      <c r="H14125" s="210">
        <v>0.20430000000000001</v>
      </c>
      <c r="I14125" s="160" t="s">
        <v>48</v>
      </c>
      <c r="J14125" s="211">
        <v>6.8836400000000004E-5</v>
      </c>
      <c r="K14125" s="160" t="s">
        <v>26</v>
      </c>
      <c r="L14125" s="154" t="str">
        <f>IF(OpenLCAbasic!K14125="CTUh", "Fill in Manually",IF(OR(K14125="Unit", K14125=""), "", INDEX(LookUps!$E$5:$E$12, MATCH(OpenLCAbasic!K14125,LookUps!$D$5:$D$12,0))))</f>
        <v>Water Use (WU) - m3 H2O</v>
      </c>
      <c r="M14125" s="154" t="str">
        <f t="shared" si="1255"/>
        <v>High_Base_High_Upgraded_Water Use (WU) - m3 H2O_Effluent release; wastewater treatment unit; at surface water; m3 wastewater - US_Without Amendment_Aerated Static Pile</v>
      </c>
    </row>
    <row r="14126" spans="1:13" s="120" customFormat="1" x14ac:dyDescent="0.25">
      <c r="A14126" s="119"/>
      <c r="B14126" s="138" t="str">
        <f t="shared" si="1256"/>
        <v>Aerated Static Pile</v>
      </c>
      <c r="C14126" s="138" t="str">
        <f t="shared" si="1257"/>
        <v>Without Amendment</v>
      </c>
      <c r="D14126" s="138" t="str">
        <f t="shared" si="1254"/>
        <v>Base_High</v>
      </c>
      <c r="E14126" s="138" t="str">
        <f t="shared" si="1258"/>
        <v>High</v>
      </c>
      <c r="F14126" s="138" t="str">
        <f t="shared" si="1259"/>
        <v>Upgraded</v>
      </c>
      <c r="G14126" s="153"/>
      <c r="H14126" s="210">
        <v>0.12820000000000001</v>
      </c>
      <c r="I14126" s="160" t="s">
        <v>58</v>
      </c>
      <c r="J14126" s="211">
        <v>4.3192100000000003E-5</v>
      </c>
      <c r="K14126" s="160" t="s">
        <v>26</v>
      </c>
      <c r="L14126" s="154" t="str">
        <f>IF(OpenLCAbasic!K14126="CTUh", "Fill in Manually",IF(OR(K14126="Unit", K14126=""), "", INDEX(LookUps!$E$5:$E$12, MATCH(OpenLCAbasic!K14126,LookUps!$D$5:$D$12,0))))</f>
        <v>Water Use (WU) - m3 H2O</v>
      </c>
      <c r="M14126" s="154" t="str">
        <f t="shared" si="1255"/>
        <v>High_Base_High_Upgraded_Water Use (WU) - m3 H2O_Pre-Anoxic &amp; Swing tank; wastewater treatment unit; at updated plant - US_Without Amendment_Aerated Static Pile</v>
      </c>
    </row>
    <row r="14127" spans="1:13" s="120" customFormat="1" x14ac:dyDescent="0.25">
      <c r="A14127" s="119"/>
      <c r="B14127" s="138" t="str">
        <f t="shared" si="1256"/>
        <v>Aerated Static Pile</v>
      </c>
      <c r="C14127" s="138" t="str">
        <f t="shared" si="1257"/>
        <v>Without Amendment</v>
      </c>
      <c r="D14127" s="138" t="str">
        <f t="shared" si="1254"/>
        <v>Base_High</v>
      </c>
      <c r="E14127" s="138" t="str">
        <f t="shared" si="1258"/>
        <v>High</v>
      </c>
      <c r="F14127" s="138" t="str">
        <f t="shared" si="1259"/>
        <v>Upgraded</v>
      </c>
      <c r="G14127" s="153"/>
      <c r="H14127" s="210">
        <v>9.0200000000000002E-2</v>
      </c>
      <c r="I14127" s="160" t="s">
        <v>57</v>
      </c>
      <c r="J14127" s="211">
        <v>3.0408100000000001E-5</v>
      </c>
      <c r="K14127" s="160" t="s">
        <v>26</v>
      </c>
      <c r="L14127" s="154" t="str">
        <f>IF(OpenLCAbasic!K14127="CTUh", "Fill in Manually",IF(OR(K14127="Unit", K14127=""), "", INDEX(LookUps!$E$5:$E$12, MATCH(OpenLCAbasic!K14127,LookUps!$D$5:$D$12,0))))</f>
        <v>Water Use (WU) - m3 H2O</v>
      </c>
      <c r="M14127" s="154" t="str">
        <f t="shared" si="1255"/>
        <v>High_Base_High_Upgraded_Water Use (WU) - m3 H2O_Gravity Belt Thickener; wastewater treatment unit; at updated plant - US_Without Amendment_Aerated Static Pile</v>
      </c>
    </row>
    <row r="14128" spans="1:13" s="120" customFormat="1" x14ac:dyDescent="0.25">
      <c r="A14128" s="119"/>
      <c r="B14128" s="138" t="str">
        <f t="shared" si="1256"/>
        <v>Aerated Static Pile</v>
      </c>
      <c r="C14128" s="138" t="str">
        <f t="shared" si="1257"/>
        <v>Without Amendment</v>
      </c>
      <c r="D14128" s="138" t="str">
        <f t="shared" si="1254"/>
        <v>Base_High</v>
      </c>
      <c r="E14128" s="138" t="str">
        <f t="shared" si="1258"/>
        <v>High</v>
      </c>
      <c r="F14128" s="138" t="str">
        <f t="shared" si="1259"/>
        <v>Upgraded</v>
      </c>
      <c r="G14128" s="153"/>
      <c r="H14128" s="210">
        <v>6.2700000000000006E-2</v>
      </c>
      <c r="I14128" s="160" t="s">
        <v>60</v>
      </c>
      <c r="J14128" s="211">
        <v>2.1135600000000001E-5</v>
      </c>
      <c r="K14128" s="160" t="s">
        <v>26</v>
      </c>
      <c r="L14128" s="154" t="str">
        <f>IF(OpenLCAbasic!K14128="CTUh", "Fill in Manually",IF(OR(K14128="Unit", K14128=""), "", INDEX(LookUps!$E$5:$E$12, MATCH(OpenLCAbasic!K14128,LookUps!$D$5:$D$12,0))))</f>
        <v>Water Use (WU) - m3 H2O</v>
      </c>
      <c r="M14128" s="154" t="str">
        <f t="shared" si="1255"/>
        <v>High_Base_High_Upgraded_Water Use (WU) - m3 H2O_Belt filter press; wastewater treatment unit; at updated plant - US_Without Amendment_Aerated Static Pile</v>
      </c>
    </row>
    <row r="14129" spans="1:13" s="120" customFormat="1" x14ac:dyDescent="0.25">
      <c r="A14129" s="119"/>
      <c r="B14129" s="138" t="str">
        <f t="shared" si="1256"/>
        <v>Aerated Static Pile</v>
      </c>
      <c r="C14129" s="138" t="str">
        <f t="shared" si="1257"/>
        <v>Without Amendment</v>
      </c>
      <c r="D14129" s="138" t="str">
        <f t="shared" ref="D14129:D14135" si="1260">IF(ISNUMBER($J14129),"Base_High","")</f>
        <v>Base_High</v>
      </c>
      <c r="E14129" s="138" t="str">
        <f t="shared" si="1258"/>
        <v>High</v>
      </c>
      <c r="F14129" s="138" t="str">
        <f t="shared" si="1259"/>
        <v>Upgraded</v>
      </c>
      <c r="G14129" s="153"/>
      <c r="H14129" s="210">
        <v>5.1999999999999998E-2</v>
      </c>
      <c r="I14129" s="160" t="s">
        <v>53</v>
      </c>
      <c r="J14129" s="211">
        <v>1.75069E-5</v>
      </c>
      <c r="K14129" s="160" t="s">
        <v>26</v>
      </c>
      <c r="L14129" s="154" t="str">
        <f>IF(OpenLCAbasic!K14129="CTUh", "Fill in Manually",IF(OR(K14129="Unit", K14129=""), "", INDEX(LookUps!$E$5:$E$12, MATCH(OpenLCAbasic!K14129,LookUps!$D$5:$D$12,0))))</f>
        <v>Water Use (WU) - m3 H2O</v>
      </c>
      <c r="M14129" s="154" t="str">
        <f t="shared" si="1255"/>
        <v>High_Base_High_Upgraded_Water Use (WU) - m3 H2O_Wet Well and Sump Station; wastewater treatment unit; at updated plant - US_Without Amendment_Aerated Static Pile</v>
      </c>
    </row>
    <row r="14130" spans="1:13" s="120" customFormat="1" x14ac:dyDescent="0.25">
      <c r="A14130" s="119"/>
      <c r="B14130" s="138" t="str">
        <f t="shared" si="1256"/>
        <v>Aerated Static Pile</v>
      </c>
      <c r="C14130" s="138" t="str">
        <f t="shared" si="1257"/>
        <v>Without Amendment</v>
      </c>
      <c r="D14130" s="138" t="str">
        <f t="shared" si="1260"/>
        <v>Base_High</v>
      </c>
      <c r="E14130" s="138" t="str">
        <f t="shared" si="1258"/>
        <v>High</v>
      </c>
      <c r="F14130" s="138" t="str">
        <f t="shared" si="1259"/>
        <v>Upgraded</v>
      </c>
      <c r="G14130" s="153"/>
      <c r="H14130" s="210">
        <v>2.0799999999999999E-2</v>
      </c>
      <c r="I14130" s="160" t="s">
        <v>59</v>
      </c>
      <c r="J14130" s="211">
        <v>7.0179500000000003E-6</v>
      </c>
      <c r="K14130" s="160" t="s">
        <v>26</v>
      </c>
      <c r="L14130" s="154" t="str">
        <f>IF(OpenLCAbasic!K14130="CTUh", "Fill in Manually",IF(OR(K14130="Unit", K14130=""), "", INDEX(LookUps!$E$5:$E$12, MATCH(OpenLCAbasic!K14130,LookUps!$D$5:$D$12,0))))</f>
        <v>Water Use (WU) - m3 H2O</v>
      </c>
      <c r="M14130" s="154" t="str">
        <f t="shared" si="1255"/>
        <v>High_Base_High_Upgraded_Water Use (WU) - m3 H2O_Blend Tank; wastewater treatment unit; at updated plant - US_Without Amendment_Aerated Static Pile</v>
      </c>
    </row>
    <row r="14131" spans="1:13" s="120" customFormat="1" x14ac:dyDescent="0.25">
      <c r="A14131" s="119"/>
      <c r="B14131" s="138" t="str">
        <f t="shared" si="1256"/>
        <v>Aerated Static Pile</v>
      </c>
      <c r="C14131" s="138" t="str">
        <f t="shared" si="1257"/>
        <v>Without Amendment</v>
      </c>
      <c r="D14131" s="138" t="str">
        <f t="shared" si="1260"/>
        <v>Base_High</v>
      </c>
      <c r="E14131" s="138" t="str">
        <f t="shared" si="1258"/>
        <v>High</v>
      </c>
      <c r="F14131" s="138" t="str">
        <f t="shared" si="1259"/>
        <v>Upgraded</v>
      </c>
      <c r="G14131" s="153"/>
      <c r="H14131" s="210">
        <v>1.72E-2</v>
      </c>
      <c r="I14131" s="160" t="s">
        <v>435</v>
      </c>
      <c r="J14131" s="211">
        <v>5.7864299999999998E-6</v>
      </c>
      <c r="K14131" s="160" t="s">
        <v>26</v>
      </c>
      <c r="L14131" s="154" t="str">
        <f>IF(OpenLCAbasic!K14131="CTUh", "Fill in Manually",IF(OR(K14131="Unit", K14131=""), "", INDEX(LookUps!$E$5:$E$12, MATCH(OpenLCAbasic!K14131,LookUps!$D$5:$D$12,0))))</f>
        <v>Water Use (WU) - m3 H2O</v>
      </c>
      <c r="M14131" s="154" t="str">
        <f t="shared" si="1255"/>
        <v>High_Base_High_Upgraded_Water Use (WU) - m3 H2O_Biosolids composting; aerated static pile; wastewater treatment unit; at updated plant - US_Without Amendment_Aerated Static Pile</v>
      </c>
    </row>
    <row r="14132" spans="1:13" s="120" customFormat="1" x14ac:dyDescent="0.25">
      <c r="A14132" s="119"/>
      <c r="B14132" s="138" t="str">
        <f t="shared" si="1256"/>
        <v>Aerated Static Pile</v>
      </c>
      <c r="C14132" s="138" t="str">
        <f t="shared" si="1257"/>
        <v>Without Amendment</v>
      </c>
      <c r="D14132" s="138" t="str">
        <f t="shared" si="1260"/>
        <v>Base_High</v>
      </c>
      <c r="E14132" s="138" t="str">
        <f t="shared" si="1258"/>
        <v>High</v>
      </c>
      <c r="F14132" s="138" t="str">
        <f t="shared" si="1259"/>
        <v>Upgraded</v>
      </c>
      <c r="G14132" s="153"/>
      <c r="H14132" s="210">
        <v>1.4999999999999999E-2</v>
      </c>
      <c r="I14132" s="160" t="s">
        <v>128</v>
      </c>
      <c r="J14132" s="211">
        <v>5.0608900000000003E-6</v>
      </c>
      <c r="K14132" s="160" t="s">
        <v>26</v>
      </c>
      <c r="L14132" s="154" t="str">
        <f>IF(OpenLCAbasic!K14132="CTUh", "Fill in Manually",IF(OR(K14132="Unit", K14132=""), "", INDEX(LookUps!$E$5:$E$12, MATCH(OpenLCAbasic!K14132,LookUps!$D$5:$D$12,0))))</f>
        <v>Water Use (WU) - m3 H2O</v>
      </c>
      <c r="M14132" s="154" t="str">
        <f t="shared" si="1255"/>
        <v>High_Base_High_Upgraded_Water Use (WU) - m3 H2O_Wastewater collection; operation and infrastructure; m3 wastewater_Without Amendment_Aerated Static Pile</v>
      </c>
    </row>
    <row r="14133" spans="1:13" s="120" customFormat="1" x14ac:dyDescent="0.25">
      <c r="A14133" s="119"/>
      <c r="B14133" s="138" t="str">
        <f t="shared" si="1256"/>
        <v>Aerated Static Pile</v>
      </c>
      <c r="C14133" s="138" t="str">
        <f t="shared" si="1257"/>
        <v>Without Amendment</v>
      </c>
      <c r="D14133" s="138" t="str">
        <f t="shared" si="1260"/>
        <v>Base_High</v>
      </c>
      <c r="E14133" s="138" t="str">
        <f t="shared" si="1258"/>
        <v>High</v>
      </c>
      <c r="F14133" s="138" t="str">
        <f t="shared" si="1259"/>
        <v>Upgraded</v>
      </c>
      <c r="G14133" s="153"/>
      <c r="H14133" s="210">
        <v>2.3E-3</v>
      </c>
      <c r="I14133" s="160" t="s">
        <v>168</v>
      </c>
      <c r="J14133" s="211">
        <v>7.6697000000000004E-7</v>
      </c>
      <c r="K14133" s="160" t="s">
        <v>26</v>
      </c>
      <c r="L14133" s="154" t="str">
        <f>IF(OpenLCAbasic!K14133="CTUh", "Fill in Manually",IF(OR(K14133="Unit", K14133=""), "", INDEX(LookUps!$E$5:$E$12, MATCH(OpenLCAbasic!K14133,LookUps!$D$5:$D$12,0))))</f>
        <v>Water Use (WU) - m3 H2O</v>
      </c>
      <c r="M14133" s="154" t="str">
        <f t="shared" si="1255"/>
        <v>High_Base_High_Upgraded_Water Use (WU) - m3 H2O_ClearCove SCP; wastewater treatment unit; at updated plant - US_Without Amendment_Aerated Static Pile</v>
      </c>
    </row>
    <row r="14134" spans="1:13" s="120" customFormat="1" x14ac:dyDescent="0.25">
      <c r="A14134" s="119"/>
      <c r="B14134" s="138" t="str">
        <f t="shared" si="1256"/>
        <v>Aerated Static Pile</v>
      </c>
      <c r="C14134" s="138" t="str">
        <f t="shared" si="1257"/>
        <v>Without Amendment</v>
      </c>
      <c r="D14134" s="138" t="str">
        <f t="shared" si="1260"/>
        <v>Base_High</v>
      </c>
      <c r="E14134" s="138" t="str">
        <f t="shared" si="1258"/>
        <v>High</v>
      </c>
      <c r="F14134" s="138" t="str">
        <f t="shared" si="1259"/>
        <v>Upgraded</v>
      </c>
      <c r="G14134" s="153"/>
      <c r="H14134" s="210">
        <v>-0.27650000000000002</v>
      </c>
      <c r="I14134" s="160" t="s">
        <v>149</v>
      </c>
      <c r="J14134" s="211">
        <v>-9.3162899999999995E-5</v>
      </c>
      <c r="K14134" s="160" t="s">
        <v>26</v>
      </c>
      <c r="L14134" s="154" t="str">
        <f>IF(OpenLCAbasic!K14134="CTUh", "Fill in Manually",IF(OR(K14134="Unit", K14134=""), "", INDEX(LookUps!$E$5:$E$12, MATCH(OpenLCAbasic!K14134,LookUps!$D$5:$D$12,0))))</f>
        <v>Water Use (WU) - m3 H2O</v>
      </c>
      <c r="M14134" s="154" t="str">
        <f t="shared" si="1255"/>
        <v>High_Base_High_Upgraded_Water Use (WU) - m3 H2O_Anaerobic Digestion; wastewater treatment unit; at updated plant - US_Without Amendment_Aerated Static Pile</v>
      </c>
    </row>
    <row r="14135" spans="1:13" s="120" customFormat="1" x14ac:dyDescent="0.25">
      <c r="A14135" s="119"/>
      <c r="B14135" s="138" t="str">
        <f t="shared" si="1256"/>
        <v>Aerated Static Pile</v>
      </c>
      <c r="C14135" s="138" t="str">
        <f t="shared" si="1257"/>
        <v>Without Amendment</v>
      </c>
      <c r="D14135" s="138" t="str">
        <f t="shared" si="1260"/>
        <v>Base_High</v>
      </c>
      <c r="E14135" s="138" t="str">
        <f t="shared" si="1258"/>
        <v>High</v>
      </c>
      <c r="F14135" s="138" t="str">
        <f t="shared" si="1259"/>
        <v>Upgraded</v>
      </c>
      <c r="G14135" s="153"/>
      <c r="H14135" s="210">
        <v>-2.0068000000000001</v>
      </c>
      <c r="I14135" s="160" t="s">
        <v>62</v>
      </c>
      <c r="J14135" s="160">
        <v>-6.8000000000000005E-4</v>
      </c>
      <c r="K14135" s="160" t="s">
        <v>26</v>
      </c>
      <c r="L14135" s="154" t="str">
        <f>IF(OpenLCAbasic!K14135="CTUh", "Fill in Manually",IF(OR(K14135="Unit", K14135=""), "", INDEX(LookUps!$E$5:$E$12, MATCH(OpenLCAbasic!K14135,LookUps!$D$5:$D$12,0))))</f>
        <v>Water Use (WU) - m3 H2O</v>
      </c>
      <c r="M14135" s="154" t="str">
        <f t="shared" si="1255"/>
        <v>High_Base_High_Upgraded_Water Use (WU) - m3 H2O_Land application of compost; wastewater treatment unit; at updated plant - US_Without Amendment_Aerated Static Pile</v>
      </c>
    </row>
    <row r="14136" spans="1:13" s="120" customFormat="1" x14ac:dyDescent="0.25">
      <c r="A14136" s="119"/>
      <c r="B14136" s="138" t="str">
        <f t="shared" si="1256"/>
        <v/>
      </c>
      <c r="C14136" s="138" t="str">
        <f t="shared" si="1257"/>
        <v/>
      </c>
      <c r="D14136" s="138" t="str">
        <f>IF(ISNUMBER($J14136),"Medium_Low","")</f>
        <v/>
      </c>
      <c r="E14136" s="138" t="str">
        <f t="shared" si="1258"/>
        <v/>
      </c>
      <c r="F14136" s="138" t="str">
        <f t="shared" si="1259"/>
        <v/>
      </c>
      <c r="G14136" s="153" t="s">
        <v>51</v>
      </c>
      <c r="H14136" s="160"/>
      <c r="I14136" s="160" t="s">
        <v>47</v>
      </c>
      <c r="J14136" s="160" t="s">
        <v>52</v>
      </c>
      <c r="K14136" s="160" t="s">
        <v>27</v>
      </c>
      <c r="L14136" s="154" t="str">
        <f>IF(OpenLCAbasic!K14136="CTUh", "Fill in Manually",IF(OR(K14136="Unit", K14136=""), "", INDEX(LookUps!$E$5:$E$12, MATCH(OpenLCAbasic!K14136,LookUps!$D$5:$D$12,0))))</f>
        <v/>
      </c>
      <c r="M14136" s="154" t="str">
        <f t="shared" si="1255"/>
        <v>____Process__</v>
      </c>
    </row>
    <row r="14137" spans="1:13" s="120" customFormat="1" x14ac:dyDescent="0.25">
      <c r="A14137" s="119"/>
      <c r="B14137" s="138" t="str">
        <f t="shared" si="1256"/>
        <v>Aerated Static Pile</v>
      </c>
      <c r="C14137" s="138" t="str">
        <f t="shared" si="1257"/>
        <v>Without Amendment</v>
      </c>
      <c r="D14137" s="138" t="str">
        <f t="shared" ref="D14137:D14200" si="1261">IF(ISNUMBER($J14137),"Medium_Low","")</f>
        <v>Medium_Low</v>
      </c>
      <c r="E14137" s="138" t="str">
        <f t="shared" si="1258"/>
        <v>High</v>
      </c>
      <c r="F14137" s="138" t="str">
        <f t="shared" si="1259"/>
        <v>Upgraded</v>
      </c>
      <c r="G14137" s="153"/>
      <c r="H14137" s="210">
        <v>0.41360000000000002</v>
      </c>
      <c r="I14137" s="160" t="s">
        <v>55</v>
      </c>
      <c r="J14137" s="160">
        <v>1.7219999999999999E-2</v>
      </c>
      <c r="K14137" s="160" t="s">
        <v>24</v>
      </c>
      <c r="L14137" s="154" t="str">
        <f>IF(OpenLCAbasic!K14137="CTUh", "Fill in Manually",IF(OR(K14137="Unit", K14137=""), "", INDEX(LookUps!$E$5:$E$12, MATCH(OpenLCAbasic!K14137,LookUps!$D$5:$D$12,0))))</f>
        <v>Acidification Potential (AP) - kg SO2 eq</v>
      </c>
      <c r="M14137" s="154" t="str">
        <f t="shared" si="1255"/>
        <v>High_Medium_Low_Upgraded_Acidification Potential (AP) - kg SO2 eq_Aeration Tanks; wastewater treatment unit; at updated plant - US_Without Amendment_Aerated Static Pile</v>
      </c>
    </row>
    <row r="14138" spans="1:13" s="120" customFormat="1" x14ac:dyDescent="0.25">
      <c r="A14138" s="119"/>
      <c r="B14138" s="138" t="str">
        <f t="shared" si="1256"/>
        <v>Aerated Static Pile</v>
      </c>
      <c r="C14138" s="138" t="str">
        <f t="shared" si="1257"/>
        <v>Without Amendment</v>
      </c>
      <c r="D14138" s="138" t="str">
        <f t="shared" si="1261"/>
        <v>Medium_Low</v>
      </c>
      <c r="E14138" s="138" t="str">
        <f t="shared" si="1258"/>
        <v>High</v>
      </c>
      <c r="F14138" s="138" t="str">
        <f t="shared" si="1259"/>
        <v>Upgraded</v>
      </c>
      <c r="G14138" s="153"/>
      <c r="H14138" s="210">
        <v>0.1196</v>
      </c>
      <c r="I14138" s="160" t="s">
        <v>54</v>
      </c>
      <c r="J14138" s="160">
        <v>4.9800000000000001E-3</v>
      </c>
      <c r="K14138" s="160" t="s">
        <v>24</v>
      </c>
      <c r="L14138" s="154" t="str">
        <f>IF(OpenLCAbasic!K14138="CTUh", "Fill in Manually",IF(OR(K14138="Unit", K14138=""), "", INDEX(LookUps!$E$5:$E$12, MATCH(OpenLCAbasic!K14138,LookUps!$D$5:$D$12,0))))</f>
        <v>Acidification Potential (AP) - kg SO2 eq</v>
      </c>
      <c r="M14138" s="154" t="str">
        <f t="shared" si="1255"/>
        <v>High_Medium_Low_Upgraded_Acidification Potential (AP) - kg SO2 eq_Clear Cove Primary Clarification; wastewater treatment unit; at updated plant - US_Without Amendment_Aerated Static Pile</v>
      </c>
    </row>
    <row r="14139" spans="1:13" s="120" customFormat="1" x14ac:dyDescent="0.25">
      <c r="A14139" s="119"/>
      <c r="B14139" s="138" t="str">
        <f t="shared" si="1256"/>
        <v>Aerated Static Pile</v>
      </c>
      <c r="C14139" s="138" t="str">
        <f t="shared" si="1257"/>
        <v>Without Amendment</v>
      </c>
      <c r="D14139" s="138" t="str">
        <f t="shared" si="1261"/>
        <v>Medium_Low</v>
      </c>
      <c r="E14139" s="138" t="str">
        <f t="shared" si="1258"/>
        <v>High</v>
      </c>
      <c r="F14139" s="138" t="str">
        <f t="shared" si="1259"/>
        <v>Upgraded</v>
      </c>
      <c r="G14139" s="153"/>
      <c r="H14139" s="210">
        <v>0.10440000000000001</v>
      </c>
      <c r="I14139" s="160" t="s">
        <v>58</v>
      </c>
      <c r="J14139" s="160">
        <v>4.3499999999999997E-3</v>
      </c>
      <c r="K14139" s="160" t="s">
        <v>24</v>
      </c>
      <c r="L14139" s="154" t="str">
        <f>IF(OpenLCAbasic!K14139="CTUh", "Fill in Manually",IF(OR(K14139="Unit", K14139=""), "", INDEX(LookUps!$E$5:$E$12, MATCH(OpenLCAbasic!K14139,LookUps!$D$5:$D$12,0))))</f>
        <v>Acidification Potential (AP) - kg SO2 eq</v>
      </c>
      <c r="M14139" s="154" t="str">
        <f t="shared" si="1255"/>
        <v>High_Medium_Low_Upgraded_Acidification Potential (AP) - kg SO2 eq_Pre-Anoxic &amp; Swing tank; wastewater treatment unit; at updated plant - US_Without Amendment_Aerated Static Pile</v>
      </c>
    </row>
    <row r="14140" spans="1:13" s="120" customFormat="1" x14ac:dyDescent="0.25">
      <c r="A14140" s="119"/>
      <c r="B14140" s="138" t="str">
        <f t="shared" si="1256"/>
        <v>Aerated Static Pile</v>
      </c>
      <c r="C14140" s="138" t="str">
        <f t="shared" si="1257"/>
        <v>Without Amendment</v>
      </c>
      <c r="D14140" s="138" t="str">
        <f t="shared" si="1261"/>
        <v>Medium_Low</v>
      </c>
      <c r="E14140" s="138" t="str">
        <f t="shared" si="1258"/>
        <v>High</v>
      </c>
      <c r="F14140" s="138" t="str">
        <f t="shared" si="1259"/>
        <v>Upgraded</v>
      </c>
      <c r="G14140" s="153"/>
      <c r="H14140" s="210">
        <v>8.2900000000000001E-2</v>
      </c>
      <c r="I14140" s="160" t="s">
        <v>53</v>
      </c>
      <c r="J14140" s="160">
        <v>3.4499999999999999E-3</v>
      </c>
      <c r="K14140" s="160" t="s">
        <v>24</v>
      </c>
      <c r="L14140" s="154" t="str">
        <f>IF(OpenLCAbasic!K14140="CTUh", "Fill in Manually",IF(OR(K14140="Unit", K14140=""), "", INDEX(LookUps!$E$5:$E$12, MATCH(OpenLCAbasic!K14140,LookUps!$D$5:$D$12,0))))</f>
        <v>Acidification Potential (AP) - kg SO2 eq</v>
      </c>
      <c r="M14140" s="154" t="str">
        <f t="shared" si="1255"/>
        <v>High_Medium_Low_Upgraded_Acidification Potential (AP) - kg SO2 eq_Wet Well and Sump Station; wastewater treatment unit; at updated plant - US_Without Amendment_Aerated Static Pile</v>
      </c>
    </row>
    <row r="14141" spans="1:13" s="120" customFormat="1" x14ac:dyDescent="0.25">
      <c r="A14141" s="119"/>
      <c r="B14141" s="138" t="str">
        <f t="shared" si="1256"/>
        <v>Aerated Static Pile</v>
      </c>
      <c r="C14141" s="138" t="str">
        <f t="shared" si="1257"/>
        <v>Without Amendment</v>
      </c>
      <c r="D14141" s="138" t="str">
        <f t="shared" si="1261"/>
        <v>Medium_Low</v>
      </c>
      <c r="E14141" s="138" t="str">
        <f t="shared" si="1258"/>
        <v>High</v>
      </c>
      <c r="F14141" s="138" t="str">
        <f t="shared" si="1259"/>
        <v>Upgraded</v>
      </c>
      <c r="G14141" s="153"/>
      <c r="H14141" s="210">
        <v>7.51E-2</v>
      </c>
      <c r="I14141" s="160" t="s">
        <v>435</v>
      </c>
      <c r="J14141" s="160">
        <v>3.13E-3</v>
      </c>
      <c r="K14141" s="160" t="s">
        <v>24</v>
      </c>
      <c r="L14141" s="154" t="str">
        <f>IF(OpenLCAbasic!K14141="CTUh", "Fill in Manually",IF(OR(K14141="Unit", K14141=""), "", INDEX(LookUps!$E$5:$E$12, MATCH(OpenLCAbasic!K14141,LookUps!$D$5:$D$12,0))))</f>
        <v>Acidification Potential (AP) - kg SO2 eq</v>
      </c>
      <c r="M14141" s="154" t="str">
        <f t="shared" si="1255"/>
        <v>High_Medium_Low_Upgraded_Acidification Potential (AP) - kg SO2 eq_Biosolids composting; aerated static pile; wastewater treatment unit; at updated plant - US_Without Amendment_Aerated Static Pile</v>
      </c>
    </row>
    <row r="14142" spans="1:13" s="120" customFormat="1" x14ac:dyDescent="0.25">
      <c r="A14142" s="119"/>
      <c r="B14142" s="138" t="str">
        <f t="shared" si="1256"/>
        <v>Aerated Static Pile</v>
      </c>
      <c r="C14142" s="138" t="str">
        <f t="shared" si="1257"/>
        <v>Without Amendment</v>
      </c>
      <c r="D14142" s="138" t="str">
        <f t="shared" si="1261"/>
        <v>Medium_Low</v>
      </c>
      <c r="E14142" s="138" t="str">
        <f t="shared" si="1258"/>
        <v>High</v>
      </c>
      <c r="F14142" s="138" t="str">
        <f t="shared" si="1259"/>
        <v>Upgraded</v>
      </c>
      <c r="G14142" s="153"/>
      <c r="H14142" s="210">
        <v>6.08E-2</v>
      </c>
      <c r="I14142" s="160" t="s">
        <v>167</v>
      </c>
      <c r="J14142" s="160">
        <v>2.5300000000000001E-3</v>
      </c>
      <c r="K14142" s="160" t="s">
        <v>24</v>
      </c>
      <c r="L14142" s="154" t="str">
        <f>IF(OpenLCAbasic!K14142="CTUh", "Fill in Manually",IF(OR(K14142="Unit", K14142=""), "", INDEX(LookUps!$E$5:$E$12, MATCH(OpenLCAbasic!K14142,LookUps!$D$5:$D$12,0))))</f>
        <v>Acidification Potential (AP) - kg SO2 eq</v>
      </c>
      <c r="M14142" s="154" t="str">
        <f t="shared" si="1255"/>
        <v>High_Medium_Low_Upgraded_Acidification Potential (AP) - kg SO2 eq_Waste Receiving and Holding; wastewater treatment unit; at updated plant - US_Without Amendment_Aerated Static Pile</v>
      </c>
    </row>
    <row r="14143" spans="1:13" s="120" customFormat="1" x14ac:dyDescent="0.25">
      <c r="A14143" s="119"/>
      <c r="B14143" s="138" t="str">
        <f t="shared" si="1256"/>
        <v>Aerated Static Pile</v>
      </c>
      <c r="C14143" s="138" t="str">
        <f t="shared" si="1257"/>
        <v>Without Amendment</v>
      </c>
      <c r="D14143" s="138" t="str">
        <f t="shared" si="1261"/>
        <v>Medium_Low</v>
      </c>
      <c r="E14143" s="138" t="str">
        <f t="shared" si="1258"/>
        <v>High</v>
      </c>
      <c r="F14143" s="138" t="str">
        <f t="shared" si="1259"/>
        <v>Upgraded</v>
      </c>
      <c r="G14143" s="153"/>
      <c r="H14143" s="210">
        <v>5.74E-2</v>
      </c>
      <c r="I14143" s="160" t="s">
        <v>62</v>
      </c>
      <c r="J14143" s="160">
        <v>2.3900000000000002E-3</v>
      </c>
      <c r="K14143" s="160" t="s">
        <v>24</v>
      </c>
      <c r="L14143" s="154" t="str">
        <f>IF(OpenLCAbasic!K14143="CTUh", "Fill in Manually",IF(OR(K14143="Unit", K14143=""), "", INDEX(LookUps!$E$5:$E$12, MATCH(OpenLCAbasic!K14143,LookUps!$D$5:$D$12,0))))</f>
        <v>Acidification Potential (AP) - kg SO2 eq</v>
      </c>
      <c r="M14143" s="154" t="str">
        <f t="shared" si="1255"/>
        <v>High_Medium_Low_Upgraded_Acidification Potential (AP) - kg SO2 eq_Land application of compost; wastewater treatment unit; at updated plant - US_Without Amendment_Aerated Static Pile</v>
      </c>
    </row>
    <row r="14144" spans="1:13" s="120" customFormat="1" x14ac:dyDescent="0.25">
      <c r="A14144" s="119"/>
      <c r="B14144" s="138" t="str">
        <f t="shared" si="1256"/>
        <v>Aerated Static Pile</v>
      </c>
      <c r="C14144" s="138" t="str">
        <f t="shared" si="1257"/>
        <v>Without Amendment</v>
      </c>
      <c r="D14144" s="138" t="str">
        <f t="shared" si="1261"/>
        <v>Medium_Low</v>
      </c>
      <c r="E14144" s="138" t="str">
        <f t="shared" si="1258"/>
        <v>High</v>
      </c>
      <c r="F14144" s="138" t="str">
        <f t="shared" si="1259"/>
        <v>Upgraded</v>
      </c>
      <c r="G14144" s="153"/>
      <c r="H14144" s="210">
        <v>4.9700000000000001E-2</v>
      </c>
      <c r="I14144" s="160" t="s">
        <v>147</v>
      </c>
      <c r="J14144" s="160">
        <v>2.0699999999999998E-3</v>
      </c>
      <c r="K14144" s="160" t="s">
        <v>24</v>
      </c>
      <c r="L14144" s="154" t="str">
        <f>IF(OpenLCAbasic!K14144="CTUh", "Fill in Manually",IF(OR(K14144="Unit", K14144=""), "", INDEX(LookUps!$E$5:$E$12, MATCH(OpenLCAbasic!K14144,LookUps!$D$5:$D$12,0))))</f>
        <v>Acidification Potential (AP) - kg SO2 eq</v>
      </c>
      <c r="M14144" s="154" t="str">
        <f t="shared" si="1255"/>
        <v>High_Medium_Low_Upgraded_Acidification Potential (AP) - kg SO2 eq_Influent Pump Station; wastewater treatment unit; at updated plant - US_Without Amendment_Aerated Static Pile</v>
      </c>
    </row>
    <row r="14145" spans="1:13" s="120" customFormat="1" x14ac:dyDescent="0.25">
      <c r="A14145" s="119"/>
      <c r="B14145" s="138" t="str">
        <f t="shared" si="1256"/>
        <v>Aerated Static Pile</v>
      </c>
      <c r="C14145" s="138" t="str">
        <f t="shared" si="1257"/>
        <v>Without Amendment</v>
      </c>
      <c r="D14145" s="138" t="str">
        <f t="shared" si="1261"/>
        <v>Medium_Low</v>
      </c>
      <c r="E14145" s="138" t="str">
        <f t="shared" si="1258"/>
        <v>High</v>
      </c>
      <c r="F14145" s="138" t="str">
        <f t="shared" si="1259"/>
        <v>Upgraded</v>
      </c>
      <c r="G14145" s="153"/>
      <c r="H14145" s="210">
        <v>2.9600000000000001E-2</v>
      </c>
      <c r="I14145" s="160" t="s">
        <v>128</v>
      </c>
      <c r="J14145" s="160">
        <v>1.23E-3</v>
      </c>
      <c r="K14145" s="160" t="s">
        <v>24</v>
      </c>
      <c r="L14145" s="154" t="str">
        <f>IF(OpenLCAbasic!K14145="CTUh", "Fill in Manually",IF(OR(K14145="Unit", K14145=""), "", INDEX(LookUps!$E$5:$E$12, MATCH(OpenLCAbasic!K14145,LookUps!$D$5:$D$12,0))))</f>
        <v>Acidification Potential (AP) - kg SO2 eq</v>
      </c>
      <c r="M14145" s="154" t="str">
        <f t="shared" si="1255"/>
        <v>High_Medium_Low_Upgraded_Acidification Potential (AP) - kg SO2 eq_Wastewater collection; operation and infrastructure; m3 wastewater_Without Amendment_Aerated Static Pile</v>
      </c>
    </row>
    <row r="14146" spans="1:13" s="120" customFormat="1" x14ac:dyDescent="0.25">
      <c r="A14146" s="119"/>
      <c r="B14146" s="138" t="str">
        <f t="shared" si="1256"/>
        <v>Aerated Static Pile</v>
      </c>
      <c r="C14146" s="138" t="str">
        <f t="shared" si="1257"/>
        <v>Without Amendment</v>
      </c>
      <c r="D14146" s="138" t="str">
        <f t="shared" si="1261"/>
        <v>Medium_Low</v>
      </c>
      <c r="E14146" s="138" t="str">
        <f t="shared" si="1258"/>
        <v>High</v>
      </c>
      <c r="F14146" s="138" t="str">
        <f t="shared" si="1259"/>
        <v>Upgraded</v>
      </c>
      <c r="G14146" s="153"/>
      <c r="H14146" s="210">
        <v>2.8899999999999999E-2</v>
      </c>
      <c r="I14146" s="160" t="s">
        <v>60</v>
      </c>
      <c r="J14146" s="160">
        <v>1.1999999999999999E-3</v>
      </c>
      <c r="K14146" s="160" t="s">
        <v>24</v>
      </c>
      <c r="L14146" s="154" t="str">
        <f>IF(OpenLCAbasic!K14146="CTUh", "Fill in Manually",IF(OR(K14146="Unit", K14146=""), "", INDEX(LookUps!$E$5:$E$12, MATCH(OpenLCAbasic!K14146,LookUps!$D$5:$D$12,0))))</f>
        <v>Acidification Potential (AP) - kg SO2 eq</v>
      </c>
      <c r="M14146" s="154" t="str">
        <f t="shared" si="1255"/>
        <v>High_Medium_Low_Upgraded_Acidification Potential (AP) - kg SO2 eq_Belt filter press; wastewater treatment unit; at updated plant - US_Without Amendment_Aerated Static Pile</v>
      </c>
    </row>
    <row r="14147" spans="1:13" s="120" customFormat="1" x14ac:dyDescent="0.25">
      <c r="A14147" s="119"/>
      <c r="B14147" s="138" t="str">
        <f t="shared" si="1256"/>
        <v>Aerated Static Pile</v>
      </c>
      <c r="C14147" s="138" t="str">
        <f t="shared" si="1257"/>
        <v>Without Amendment</v>
      </c>
      <c r="D14147" s="138" t="str">
        <f t="shared" si="1261"/>
        <v>Medium_Low</v>
      </c>
      <c r="E14147" s="138" t="str">
        <f t="shared" si="1258"/>
        <v>High</v>
      </c>
      <c r="F14147" s="138" t="str">
        <f t="shared" si="1259"/>
        <v>Upgraded</v>
      </c>
      <c r="G14147" s="153"/>
      <c r="H14147" s="210">
        <v>1.6899999999999998E-2</v>
      </c>
      <c r="I14147" s="160" t="s">
        <v>57</v>
      </c>
      <c r="J14147" s="160">
        <v>6.9999999999999999E-4</v>
      </c>
      <c r="K14147" s="160" t="s">
        <v>24</v>
      </c>
      <c r="L14147" s="154" t="str">
        <f>IF(OpenLCAbasic!K14147="CTUh", "Fill in Manually",IF(OR(K14147="Unit", K14147=""), "", INDEX(LookUps!$E$5:$E$12, MATCH(OpenLCAbasic!K14147,LookUps!$D$5:$D$12,0))))</f>
        <v>Acidification Potential (AP) - kg SO2 eq</v>
      </c>
      <c r="M14147" s="154" t="str">
        <f t="shared" si="1255"/>
        <v>High_Medium_Low_Upgraded_Acidification Potential (AP) - kg SO2 eq_Gravity Belt Thickener; wastewater treatment unit; at updated plant - US_Without Amendment_Aerated Static Pile</v>
      </c>
    </row>
    <row r="14148" spans="1:13" s="120" customFormat="1" x14ac:dyDescent="0.25">
      <c r="A14148" s="119"/>
      <c r="B14148" s="138" t="str">
        <f t="shared" si="1256"/>
        <v>Aerated Static Pile</v>
      </c>
      <c r="C14148" s="138" t="str">
        <f t="shared" si="1257"/>
        <v>Without Amendment</v>
      </c>
      <c r="D14148" s="138" t="str">
        <f t="shared" si="1261"/>
        <v>Medium_Low</v>
      </c>
      <c r="E14148" s="138" t="str">
        <f t="shared" si="1258"/>
        <v>High</v>
      </c>
      <c r="F14148" s="138" t="str">
        <f t="shared" si="1259"/>
        <v>Upgraded</v>
      </c>
      <c r="G14148" s="153"/>
      <c r="H14148" s="210">
        <v>1.24E-2</v>
      </c>
      <c r="I14148" s="160" t="s">
        <v>59</v>
      </c>
      <c r="J14148" s="160">
        <v>5.1999999999999995E-4</v>
      </c>
      <c r="K14148" s="160" t="s">
        <v>24</v>
      </c>
      <c r="L14148" s="154" t="str">
        <f>IF(OpenLCAbasic!K14148="CTUh", "Fill in Manually",IF(OR(K14148="Unit", K14148=""), "", INDEX(LookUps!$E$5:$E$12, MATCH(OpenLCAbasic!K14148,LookUps!$D$5:$D$12,0))))</f>
        <v>Acidification Potential (AP) - kg SO2 eq</v>
      </c>
      <c r="M14148" s="154" t="str">
        <f t="shared" ref="M14148:M14211" si="1262">CONCATENATE(E14148,"_",D14148,"_",F14148,"_",L14148, "_",I14148,"_", C14148,"_", B14148)</f>
        <v>High_Medium_Low_Upgraded_Acidification Potential (AP) - kg SO2 eq_Blend Tank; wastewater treatment unit; at updated plant - US_Without Amendment_Aerated Static Pile</v>
      </c>
    </row>
    <row r="14149" spans="1:13" s="120" customFormat="1" x14ac:dyDescent="0.25">
      <c r="A14149" s="119"/>
      <c r="B14149" s="138" t="str">
        <f t="shared" si="1256"/>
        <v>Aerated Static Pile</v>
      </c>
      <c r="C14149" s="138" t="str">
        <f t="shared" si="1257"/>
        <v>Without Amendment</v>
      </c>
      <c r="D14149" s="138" t="str">
        <f t="shared" si="1261"/>
        <v>Medium_Low</v>
      </c>
      <c r="E14149" s="138" t="str">
        <f t="shared" si="1258"/>
        <v>High</v>
      </c>
      <c r="F14149" s="138" t="str">
        <f t="shared" si="1259"/>
        <v>Upgraded</v>
      </c>
      <c r="G14149" s="153"/>
      <c r="H14149" s="210">
        <v>8.3000000000000001E-3</v>
      </c>
      <c r="I14149" s="160" t="s">
        <v>48</v>
      </c>
      <c r="J14149" s="160">
        <v>3.5E-4</v>
      </c>
      <c r="K14149" s="160" t="s">
        <v>24</v>
      </c>
      <c r="L14149" s="154" t="str">
        <f>IF(OpenLCAbasic!K14149="CTUh", "Fill in Manually",IF(OR(K14149="Unit", K14149=""), "", INDEX(LookUps!$E$5:$E$12, MATCH(OpenLCAbasic!K14149,LookUps!$D$5:$D$12,0))))</f>
        <v>Acidification Potential (AP) - kg SO2 eq</v>
      </c>
      <c r="M14149" s="154" t="str">
        <f t="shared" si="1262"/>
        <v>High_Medium_Low_Upgraded_Acidification Potential (AP) - kg SO2 eq_Effluent release; wastewater treatment unit; at surface water; m3 wastewater - US_Without Amendment_Aerated Static Pile</v>
      </c>
    </row>
    <row r="14150" spans="1:13" s="120" customFormat="1" x14ac:dyDescent="0.25">
      <c r="A14150" s="119"/>
      <c r="B14150" s="138" t="str">
        <f t="shared" si="1256"/>
        <v>Aerated Static Pile</v>
      </c>
      <c r="C14150" s="138" t="str">
        <f t="shared" si="1257"/>
        <v>Without Amendment</v>
      </c>
      <c r="D14150" s="138" t="str">
        <f t="shared" si="1261"/>
        <v>Medium_Low</v>
      </c>
      <c r="E14150" s="138" t="str">
        <f t="shared" si="1258"/>
        <v>High</v>
      </c>
      <c r="F14150" s="138" t="str">
        <f t="shared" si="1259"/>
        <v>Upgraded</v>
      </c>
      <c r="G14150" s="153"/>
      <c r="H14150" s="210">
        <v>6.1000000000000004E-3</v>
      </c>
      <c r="I14150" s="160" t="s">
        <v>168</v>
      </c>
      <c r="J14150" s="160">
        <v>2.5999999999999998E-4</v>
      </c>
      <c r="K14150" s="160" t="s">
        <v>24</v>
      </c>
      <c r="L14150" s="154" t="str">
        <f>IF(OpenLCAbasic!K14150="CTUh", "Fill in Manually",IF(OR(K14150="Unit", K14150=""), "", INDEX(LookUps!$E$5:$E$12, MATCH(OpenLCAbasic!K14150,LookUps!$D$5:$D$12,0))))</f>
        <v>Acidification Potential (AP) - kg SO2 eq</v>
      </c>
      <c r="M14150" s="154" t="str">
        <f t="shared" si="1262"/>
        <v>High_Medium_Low_Upgraded_Acidification Potential (AP) - kg SO2 eq_ClearCove SCP; wastewater treatment unit; at updated plant - US_Without Amendment_Aerated Static Pile</v>
      </c>
    </row>
    <row r="14151" spans="1:13" s="120" customFormat="1" x14ac:dyDescent="0.25">
      <c r="A14151" s="119"/>
      <c r="B14151" s="138" t="str">
        <f t="shared" si="1256"/>
        <v>Aerated Static Pile</v>
      </c>
      <c r="C14151" s="138" t="str">
        <f t="shared" si="1257"/>
        <v>Without Amendment</v>
      </c>
      <c r="D14151" s="138" t="str">
        <f t="shared" si="1261"/>
        <v>Medium_Low</v>
      </c>
      <c r="E14151" s="138" t="str">
        <f t="shared" si="1258"/>
        <v>High</v>
      </c>
      <c r="F14151" s="138" t="str">
        <f t="shared" si="1259"/>
        <v>Upgraded</v>
      </c>
      <c r="G14151" s="153"/>
      <c r="H14151" s="210">
        <v>1E-3</v>
      </c>
      <c r="I14151" s="160" t="s">
        <v>148</v>
      </c>
      <c r="J14151" s="211">
        <v>4.0354700000000002E-5</v>
      </c>
      <c r="K14151" s="160" t="s">
        <v>24</v>
      </c>
      <c r="L14151" s="154" t="str">
        <f>IF(OpenLCAbasic!K14151="CTUh", "Fill in Manually",IF(OR(K14151="Unit", K14151=""), "", INDEX(LookUps!$E$5:$E$12, MATCH(OpenLCAbasic!K14151,LookUps!$D$5:$D$12,0))))</f>
        <v>Acidification Potential (AP) - kg SO2 eq</v>
      </c>
      <c r="M14151" s="154" t="str">
        <f t="shared" si="1262"/>
        <v>High_Medium_Low_Upgraded_Acidification Potential (AP) - kg SO2 eq_Control Building; at upgraded wastewater treatment plant - US_Without Amendment_Aerated Static Pile</v>
      </c>
    </row>
    <row r="14152" spans="1:13" s="120" customFormat="1" x14ac:dyDescent="0.25">
      <c r="A14152" s="119"/>
      <c r="B14152" s="138" t="str">
        <f t="shared" si="1256"/>
        <v>Aerated Static Pile</v>
      </c>
      <c r="C14152" s="138" t="str">
        <f t="shared" si="1257"/>
        <v>Without Amendment</v>
      </c>
      <c r="D14152" s="138" t="str">
        <f t="shared" si="1261"/>
        <v>Medium_Low</v>
      </c>
      <c r="E14152" s="138" t="str">
        <f t="shared" si="1258"/>
        <v>High</v>
      </c>
      <c r="F14152" s="138" t="str">
        <f t="shared" si="1259"/>
        <v>Upgraded</v>
      </c>
      <c r="G14152" s="153"/>
      <c r="H14152" s="210">
        <v>-6.6799999999999998E-2</v>
      </c>
      <c r="I14152" s="160" t="s">
        <v>149</v>
      </c>
      <c r="J14152" s="160">
        <v>-2.7799999999999999E-3</v>
      </c>
      <c r="K14152" s="160" t="s">
        <v>24</v>
      </c>
      <c r="L14152" s="154" t="str">
        <f>IF(OpenLCAbasic!K14152="CTUh", "Fill in Manually",IF(OR(K14152="Unit", K14152=""), "", INDEX(LookUps!$E$5:$E$12, MATCH(OpenLCAbasic!K14152,LookUps!$D$5:$D$12,0))))</f>
        <v>Acidification Potential (AP) - kg SO2 eq</v>
      </c>
      <c r="M14152" s="154" t="str">
        <f t="shared" si="1262"/>
        <v>High_Medium_Low_Upgraded_Acidification Potential (AP) - kg SO2 eq_Anaerobic Digestion; wastewater treatment unit; at updated plant - US_Without Amendment_Aerated Static Pile</v>
      </c>
    </row>
    <row r="14153" spans="1:13" s="120" customFormat="1" x14ac:dyDescent="0.25">
      <c r="A14153" s="119"/>
      <c r="B14153" s="138" t="str">
        <f t="shared" si="1256"/>
        <v/>
      </c>
      <c r="C14153" s="138" t="str">
        <f t="shared" si="1257"/>
        <v/>
      </c>
      <c r="D14153" s="138" t="str">
        <f t="shared" si="1261"/>
        <v/>
      </c>
      <c r="E14153" s="138" t="str">
        <f t="shared" si="1258"/>
        <v/>
      </c>
      <c r="F14153" s="138" t="str">
        <f t="shared" si="1259"/>
        <v/>
      </c>
      <c r="G14153" s="153" t="s">
        <v>51</v>
      </c>
      <c r="H14153" s="160"/>
      <c r="I14153" s="160" t="s">
        <v>47</v>
      </c>
      <c r="J14153" s="160" t="s">
        <v>52</v>
      </c>
      <c r="K14153" s="160" t="s">
        <v>27</v>
      </c>
      <c r="L14153" s="154" t="str">
        <f>IF(OpenLCAbasic!K14153="CTUh", "Fill in Manually",IF(OR(K14153="Unit", K14153=""), "", INDEX(LookUps!$E$5:$E$12, MATCH(OpenLCAbasic!K14153,LookUps!$D$5:$D$12,0))))</f>
        <v/>
      </c>
      <c r="M14153" s="154" t="str">
        <f t="shared" si="1262"/>
        <v>____Process__</v>
      </c>
    </row>
    <row r="14154" spans="1:13" s="120" customFormat="1" x14ac:dyDescent="0.25">
      <c r="A14154" s="119"/>
      <c r="B14154" s="138" t="str">
        <f t="shared" si="1256"/>
        <v>Aerated Static Pile</v>
      </c>
      <c r="C14154" s="138" t="str">
        <f t="shared" si="1257"/>
        <v>Without Amendment</v>
      </c>
      <c r="D14154" s="138" t="str">
        <f t="shared" si="1261"/>
        <v>Medium_Low</v>
      </c>
      <c r="E14154" s="138" t="str">
        <f t="shared" si="1258"/>
        <v>High</v>
      </c>
      <c r="F14154" s="138" t="str">
        <f t="shared" si="1259"/>
        <v>Upgraded</v>
      </c>
      <c r="G14154" s="153"/>
      <c r="H14154" s="210">
        <v>0.32119999999999999</v>
      </c>
      <c r="I14154" s="160" t="s">
        <v>167</v>
      </c>
      <c r="J14154" s="160">
        <v>4.2789599999999997</v>
      </c>
      <c r="K14154" s="160" t="s">
        <v>15</v>
      </c>
      <c r="L14154" s="154" t="str">
        <f>IF(OpenLCAbasic!K14154="CTUh", "Fill in Manually",IF(OR(K14154="Unit", K14154=""), "", INDEX(LookUps!$E$5:$E$12, MATCH(OpenLCAbasic!K14154,LookUps!$D$5:$D$12,0))))</f>
        <v>Cumulative Energy Demand (CED) - MJ</v>
      </c>
      <c r="M14154" s="154" t="str">
        <f t="shared" si="1262"/>
        <v>High_Medium_Low_Upgraded_Cumulative Energy Demand (CED) - MJ_Waste Receiving and Holding; wastewater treatment unit; at updated plant - US_Without Amendment_Aerated Static Pile</v>
      </c>
    </row>
    <row r="14155" spans="1:13" s="120" customFormat="1" x14ac:dyDescent="0.25">
      <c r="A14155" s="119"/>
      <c r="B14155" s="138" t="str">
        <f t="shared" si="1256"/>
        <v>Aerated Static Pile</v>
      </c>
      <c r="C14155" s="138" t="str">
        <f t="shared" si="1257"/>
        <v>Without Amendment</v>
      </c>
      <c r="D14155" s="138" t="str">
        <f t="shared" si="1261"/>
        <v>Medium_Low</v>
      </c>
      <c r="E14155" s="138" t="str">
        <f t="shared" si="1258"/>
        <v>High</v>
      </c>
      <c r="F14155" s="138" t="str">
        <f t="shared" si="1259"/>
        <v>Upgraded</v>
      </c>
      <c r="G14155" s="153"/>
      <c r="H14155" s="210">
        <v>0.26519999999999999</v>
      </c>
      <c r="I14155" s="160" t="s">
        <v>55</v>
      </c>
      <c r="J14155" s="160">
        <v>3.5330499999999998</v>
      </c>
      <c r="K14155" s="160" t="s">
        <v>15</v>
      </c>
      <c r="L14155" s="154" t="str">
        <f>IF(OpenLCAbasic!K14155="CTUh", "Fill in Manually",IF(OR(K14155="Unit", K14155=""), "", INDEX(LookUps!$E$5:$E$12, MATCH(OpenLCAbasic!K14155,LookUps!$D$5:$D$12,0))))</f>
        <v>Cumulative Energy Demand (CED) - MJ</v>
      </c>
      <c r="M14155" s="154" t="str">
        <f t="shared" si="1262"/>
        <v>High_Medium_Low_Upgraded_Cumulative Energy Demand (CED) - MJ_Aeration Tanks; wastewater treatment unit; at updated plant - US_Without Amendment_Aerated Static Pile</v>
      </c>
    </row>
    <row r="14156" spans="1:13" s="120" customFormat="1" x14ac:dyDescent="0.25">
      <c r="A14156" s="119"/>
      <c r="B14156" s="138" t="str">
        <f t="shared" si="1256"/>
        <v>Aerated Static Pile</v>
      </c>
      <c r="C14156" s="138" t="str">
        <f t="shared" si="1257"/>
        <v>Without Amendment</v>
      </c>
      <c r="D14156" s="138" t="str">
        <f t="shared" si="1261"/>
        <v>Medium_Low</v>
      </c>
      <c r="E14156" s="138" t="str">
        <f t="shared" si="1258"/>
        <v>High</v>
      </c>
      <c r="F14156" s="138" t="str">
        <f t="shared" si="1259"/>
        <v>Upgraded</v>
      </c>
      <c r="G14156" s="153"/>
      <c r="H14156" s="210">
        <v>8.7300000000000003E-2</v>
      </c>
      <c r="I14156" s="160" t="s">
        <v>54</v>
      </c>
      <c r="J14156" s="160">
        <v>1.16289</v>
      </c>
      <c r="K14156" s="160" t="s">
        <v>15</v>
      </c>
      <c r="L14156" s="154" t="str">
        <f>IF(OpenLCAbasic!K14156="CTUh", "Fill in Manually",IF(OR(K14156="Unit", K14156=""), "", INDEX(LookUps!$E$5:$E$12, MATCH(OpenLCAbasic!K14156,LookUps!$D$5:$D$12,0))))</f>
        <v>Cumulative Energy Demand (CED) - MJ</v>
      </c>
      <c r="M14156" s="154" t="str">
        <f t="shared" si="1262"/>
        <v>High_Medium_Low_Upgraded_Cumulative Energy Demand (CED) - MJ_Clear Cove Primary Clarification; wastewater treatment unit; at updated plant - US_Without Amendment_Aerated Static Pile</v>
      </c>
    </row>
    <row r="14157" spans="1:13" s="120" customFormat="1" x14ac:dyDescent="0.25">
      <c r="A14157" s="119"/>
      <c r="B14157" s="138" t="str">
        <f t="shared" si="1256"/>
        <v>Aerated Static Pile</v>
      </c>
      <c r="C14157" s="138" t="str">
        <f t="shared" si="1257"/>
        <v>Without Amendment</v>
      </c>
      <c r="D14157" s="138" t="str">
        <f t="shared" si="1261"/>
        <v>Medium_Low</v>
      </c>
      <c r="E14157" s="138" t="str">
        <f t="shared" si="1258"/>
        <v>High</v>
      </c>
      <c r="F14157" s="138" t="str">
        <f t="shared" si="1259"/>
        <v>Upgraded</v>
      </c>
      <c r="G14157" s="153"/>
      <c r="H14157" s="210">
        <v>6.6600000000000006E-2</v>
      </c>
      <c r="I14157" s="160" t="s">
        <v>58</v>
      </c>
      <c r="J14157" s="160">
        <v>0.88705000000000001</v>
      </c>
      <c r="K14157" s="160" t="s">
        <v>15</v>
      </c>
      <c r="L14157" s="154" t="str">
        <f>IF(OpenLCAbasic!K14157="CTUh", "Fill in Manually",IF(OR(K14157="Unit", K14157=""), "", INDEX(LookUps!$E$5:$E$12, MATCH(OpenLCAbasic!K14157,LookUps!$D$5:$D$12,0))))</f>
        <v>Cumulative Energy Demand (CED) - MJ</v>
      </c>
      <c r="M14157" s="154" t="str">
        <f t="shared" si="1262"/>
        <v>High_Medium_Low_Upgraded_Cumulative Energy Demand (CED) - MJ_Pre-Anoxic &amp; Swing tank; wastewater treatment unit; at updated plant - US_Without Amendment_Aerated Static Pile</v>
      </c>
    </row>
    <row r="14158" spans="1:13" s="120" customFormat="1" x14ac:dyDescent="0.25">
      <c r="A14158" s="119"/>
      <c r="B14158" s="138" t="str">
        <f t="shared" si="1256"/>
        <v>Aerated Static Pile</v>
      </c>
      <c r="C14158" s="138" t="str">
        <f t="shared" si="1257"/>
        <v>Without Amendment</v>
      </c>
      <c r="D14158" s="138" t="str">
        <f t="shared" si="1261"/>
        <v>Medium_Low</v>
      </c>
      <c r="E14158" s="138" t="str">
        <f t="shared" si="1258"/>
        <v>High</v>
      </c>
      <c r="F14158" s="138" t="str">
        <f t="shared" si="1259"/>
        <v>Upgraded</v>
      </c>
      <c r="G14158" s="153"/>
      <c r="H14158" s="210">
        <v>6.6299999999999998E-2</v>
      </c>
      <c r="I14158" s="160" t="s">
        <v>147</v>
      </c>
      <c r="J14158" s="160">
        <v>0.88297000000000003</v>
      </c>
      <c r="K14158" s="160" t="s">
        <v>15</v>
      </c>
      <c r="L14158" s="154" t="str">
        <f>IF(OpenLCAbasic!K14158="CTUh", "Fill in Manually",IF(OR(K14158="Unit", K14158=""), "", INDEX(LookUps!$E$5:$E$12, MATCH(OpenLCAbasic!K14158,LookUps!$D$5:$D$12,0))))</f>
        <v>Cumulative Energy Demand (CED) - MJ</v>
      </c>
      <c r="M14158" s="154" t="str">
        <f t="shared" si="1262"/>
        <v>High_Medium_Low_Upgraded_Cumulative Energy Demand (CED) - MJ_Influent Pump Station; wastewater treatment unit; at updated plant - US_Without Amendment_Aerated Static Pile</v>
      </c>
    </row>
    <row r="14159" spans="1:13" s="120" customFormat="1" x14ac:dyDescent="0.25">
      <c r="A14159" s="119"/>
      <c r="B14159" s="138" t="str">
        <f t="shared" si="1256"/>
        <v>Aerated Static Pile</v>
      </c>
      <c r="C14159" s="138" t="str">
        <f t="shared" si="1257"/>
        <v>Without Amendment</v>
      </c>
      <c r="D14159" s="138" t="str">
        <f t="shared" si="1261"/>
        <v>Medium_Low</v>
      </c>
      <c r="E14159" s="138" t="str">
        <f t="shared" si="1258"/>
        <v>High</v>
      </c>
      <c r="F14159" s="138" t="str">
        <f t="shared" si="1259"/>
        <v>Upgraded</v>
      </c>
      <c r="G14159" s="153"/>
      <c r="H14159" s="210">
        <v>5.2299999999999999E-2</v>
      </c>
      <c r="I14159" s="160" t="s">
        <v>53</v>
      </c>
      <c r="J14159" s="160">
        <v>0.69645000000000001</v>
      </c>
      <c r="K14159" s="160" t="s">
        <v>15</v>
      </c>
      <c r="L14159" s="154" t="str">
        <f>IF(OpenLCAbasic!K14159="CTUh", "Fill in Manually",IF(OR(K14159="Unit", K14159=""), "", INDEX(LookUps!$E$5:$E$12, MATCH(OpenLCAbasic!K14159,LookUps!$D$5:$D$12,0))))</f>
        <v>Cumulative Energy Demand (CED) - MJ</v>
      </c>
      <c r="M14159" s="154" t="str">
        <f t="shared" si="1262"/>
        <v>High_Medium_Low_Upgraded_Cumulative Energy Demand (CED) - MJ_Wet Well and Sump Station; wastewater treatment unit; at updated plant - US_Without Amendment_Aerated Static Pile</v>
      </c>
    </row>
    <row r="14160" spans="1:13" s="120" customFormat="1" x14ac:dyDescent="0.25">
      <c r="A14160" s="119"/>
      <c r="B14160" s="138" t="str">
        <f t="shared" si="1256"/>
        <v>Aerated Static Pile</v>
      </c>
      <c r="C14160" s="138" t="str">
        <f t="shared" si="1257"/>
        <v>Without Amendment</v>
      </c>
      <c r="D14160" s="138" t="str">
        <f t="shared" si="1261"/>
        <v>Medium_Low</v>
      </c>
      <c r="E14160" s="138" t="str">
        <f t="shared" si="1258"/>
        <v>High</v>
      </c>
      <c r="F14160" s="138" t="str">
        <f t="shared" si="1259"/>
        <v>Upgraded</v>
      </c>
      <c r="G14160" s="153"/>
      <c r="H14160" s="210">
        <v>4.07E-2</v>
      </c>
      <c r="I14160" s="160" t="s">
        <v>435</v>
      </c>
      <c r="J14160" s="160">
        <v>0.54220000000000002</v>
      </c>
      <c r="K14160" s="160" t="s">
        <v>15</v>
      </c>
      <c r="L14160" s="154" t="str">
        <f>IF(OpenLCAbasic!K14160="CTUh", "Fill in Manually",IF(OR(K14160="Unit", K14160=""), "", INDEX(LookUps!$E$5:$E$12, MATCH(OpenLCAbasic!K14160,LookUps!$D$5:$D$12,0))))</f>
        <v>Cumulative Energy Demand (CED) - MJ</v>
      </c>
      <c r="M14160" s="154" t="str">
        <f t="shared" si="1262"/>
        <v>High_Medium_Low_Upgraded_Cumulative Energy Demand (CED) - MJ_Biosolids composting; aerated static pile; wastewater treatment unit; at updated plant - US_Without Amendment_Aerated Static Pile</v>
      </c>
    </row>
    <row r="14161" spans="1:13" s="120" customFormat="1" x14ac:dyDescent="0.25">
      <c r="A14161" s="119"/>
      <c r="B14161" s="138" t="str">
        <f t="shared" si="1256"/>
        <v>Aerated Static Pile</v>
      </c>
      <c r="C14161" s="138" t="str">
        <f t="shared" si="1257"/>
        <v>Without Amendment</v>
      </c>
      <c r="D14161" s="138" t="str">
        <f t="shared" si="1261"/>
        <v>Medium_Low</v>
      </c>
      <c r="E14161" s="138" t="str">
        <f t="shared" si="1258"/>
        <v>High</v>
      </c>
      <c r="F14161" s="138" t="str">
        <f t="shared" si="1259"/>
        <v>Upgraded</v>
      </c>
      <c r="G14161" s="153"/>
      <c r="H14161" s="210">
        <v>3.3700000000000001E-2</v>
      </c>
      <c r="I14161" s="160" t="s">
        <v>60</v>
      </c>
      <c r="J14161" s="160">
        <v>0.44939000000000001</v>
      </c>
      <c r="K14161" s="160" t="s">
        <v>15</v>
      </c>
      <c r="L14161" s="154" t="str">
        <f>IF(OpenLCAbasic!K14161="CTUh", "Fill in Manually",IF(OR(K14161="Unit", K14161=""), "", INDEX(LookUps!$E$5:$E$12, MATCH(OpenLCAbasic!K14161,LookUps!$D$5:$D$12,0))))</f>
        <v>Cumulative Energy Demand (CED) - MJ</v>
      </c>
      <c r="M14161" s="154" t="str">
        <f t="shared" si="1262"/>
        <v>High_Medium_Low_Upgraded_Cumulative Energy Demand (CED) - MJ_Belt filter press; wastewater treatment unit; at updated plant - US_Without Amendment_Aerated Static Pile</v>
      </c>
    </row>
    <row r="14162" spans="1:13" s="120" customFormat="1" x14ac:dyDescent="0.25">
      <c r="A14162" s="119"/>
      <c r="B14162" s="138" t="str">
        <f t="shared" si="1256"/>
        <v>Aerated Static Pile</v>
      </c>
      <c r="C14162" s="138" t="str">
        <f t="shared" si="1257"/>
        <v>Without Amendment</v>
      </c>
      <c r="D14162" s="138" t="str">
        <f t="shared" si="1261"/>
        <v>Medium_Low</v>
      </c>
      <c r="E14162" s="138" t="str">
        <f t="shared" si="1258"/>
        <v>High</v>
      </c>
      <c r="F14162" s="138" t="str">
        <f t="shared" si="1259"/>
        <v>Upgraded</v>
      </c>
      <c r="G14162" s="153"/>
      <c r="H14162" s="210">
        <v>2.5100000000000001E-2</v>
      </c>
      <c r="I14162" s="160" t="s">
        <v>57</v>
      </c>
      <c r="J14162" s="160">
        <v>0.33404</v>
      </c>
      <c r="K14162" s="160" t="s">
        <v>15</v>
      </c>
      <c r="L14162" s="154" t="str">
        <f>IF(OpenLCAbasic!K14162="CTUh", "Fill in Manually",IF(OR(K14162="Unit", K14162=""), "", INDEX(LookUps!$E$5:$E$12, MATCH(OpenLCAbasic!K14162,LookUps!$D$5:$D$12,0))))</f>
        <v>Cumulative Energy Demand (CED) - MJ</v>
      </c>
      <c r="M14162" s="154" t="str">
        <f t="shared" si="1262"/>
        <v>High_Medium_Low_Upgraded_Cumulative Energy Demand (CED) - MJ_Gravity Belt Thickener; wastewater treatment unit; at updated plant - US_Without Amendment_Aerated Static Pile</v>
      </c>
    </row>
    <row r="14163" spans="1:13" s="120" customFormat="1" x14ac:dyDescent="0.25">
      <c r="A14163" s="119"/>
      <c r="B14163" s="138" t="str">
        <f t="shared" si="1256"/>
        <v>Aerated Static Pile</v>
      </c>
      <c r="C14163" s="138" t="str">
        <f t="shared" si="1257"/>
        <v>Without Amendment</v>
      </c>
      <c r="D14163" s="138" t="str">
        <f t="shared" si="1261"/>
        <v>Medium_Low</v>
      </c>
      <c r="E14163" s="138" t="str">
        <f t="shared" si="1258"/>
        <v>High</v>
      </c>
      <c r="F14163" s="138" t="str">
        <f t="shared" si="1259"/>
        <v>Upgraded</v>
      </c>
      <c r="G14163" s="153"/>
      <c r="H14163" s="210">
        <v>2.06E-2</v>
      </c>
      <c r="I14163" s="160" t="s">
        <v>149</v>
      </c>
      <c r="J14163" s="160">
        <v>0.27453</v>
      </c>
      <c r="K14163" s="160" t="s">
        <v>15</v>
      </c>
      <c r="L14163" s="154" t="str">
        <f>IF(OpenLCAbasic!K14163="CTUh", "Fill in Manually",IF(OR(K14163="Unit", K14163=""), "", INDEX(LookUps!$E$5:$E$12, MATCH(OpenLCAbasic!K14163,LookUps!$D$5:$D$12,0))))</f>
        <v>Cumulative Energy Demand (CED) - MJ</v>
      </c>
      <c r="M14163" s="154" t="str">
        <f t="shared" si="1262"/>
        <v>High_Medium_Low_Upgraded_Cumulative Energy Demand (CED) - MJ_Anaerobic Digestion; wastewater treatment unit; at updated plant - US_Without Amendment_Aerated Static Pile</v>
      </c>
    </row>
    <row r="14164" spans="1:13" s="120" customFormat="1" x14ac:dyDescent="0.25">
      <c r="A14164" s="119"/>
      <c r="B14164" s="138" t="str">
        <f t="shared" si="1256"/>
        <v>Aerated Static Pile</v>
      </c>
      <c r="C14164" s="138" t="str">
        <f t="shared" si="1257"/>
        <v>Without Amendment</v>
      </c>
      <c r="D14164" s="138" t="str">
        <f t="shared" si="1261"/>
        <v>Medium_Low</v>
      </c>
      <c r="E14164" s="138" t="str">
        <f t="shared" si="1258"/>
        <v>High</v>
      </c>
      <c r="F14164" s="138" t="str">
        <f t="shared" si="1259"/>
        <v>Upgraded</v>
      </c>
      <c r="G14164" s="153"/>
      <c r="H14164" s="210">
        <v>1.9199999999999998E-2</v>
      </c>
      <c r="I14164" s="160" t="s">
        <v>128</v>
      </c>
      <c r="J14164" s="160">
        <v>0.25606000000000001</v>
      </c>
      <c r="K14164" s="160" t="s">
        <v>15</v>
      </c>
      <c r="L14164" s="154" t="str">
        <f>IF(OpenLCAbasic!K14164="CTUh", "Fill in Manually",IF(OR(K14164="Unit", K14164=""), "", INDEX(LookUps!$E$5:$E$12, MATCH(OpenLCAbasic!K14164,LookUps!$D$5:$D$12,0))))</f>
        <v>Cumulative Energy Demand (CED) - MJ</v>
      </c>
      <c r="M14164" s="154" t="str">
        <f t="shared" si="1262"/>
        <v>High_Medium_Low_Upgraded_Cumulative Energy Demand (CED) - MJ_Wastewater collection; operation and infrastructure; m3 wastewater_Without Amendment_Aerated Static Pile</v>
      </c>
    </row>
    <row r="14165" spans="1:13" s="120" customFormat="1" x14ac:dyDescent="0.25">
      <c r="A14165" s="119"/>
      <c r="B14165" s="138" t="str">
        <f t="shared" si="1256"/>
        <v>Aerated Static Pile</v>
      </c>
      <c r="C14165" s="138" t="str">
        <f t="shared" si="1257"/>
        <v>Without Amendment</v>
      </c>
      <c r="D14165" s="138" t="str">
        <f t="shared" si="1261"/>
        <v>Medium_Low</v>
      </c>
      <c r="E14165" s="138" t="str">
        <f t="shared" si="1258"/>
        <v>High</v>
      </c>
      <c r="F14165" s="138" t="str">
        <f t="shared" si="1259"/>
        <v>Upgraded</v>
      </c>
      <c r="G14165" s="153"/>
      <c r="H14165" s="210">
        <v>1.0999999999999999E-2</v>
      </c>
      <c r="I14165" s="160" t="s">
        <v>148</v>
      </c>
      <c r="J14165" s="160">
        <v>0.14599000000000001</v>
      </c>
      <c r="K14165" s="160" t="s">
        <v>15</v>
      </c>
      <c r="L14165" s="154" t="str">
        <f>IF(OpenLCAbasic!K14165="CTUh", "Fill in Manually",IF(OR(K14165="Unit", K14165=""), "", INDEX(LookUps!$E$5:$E$12, MATCH(OpenLCAbasic!K14165,LookUps!$D$5:$D$12,0))))</f>
        <v>Cumulative Energy Demand (CED) - MJ</v>
      </c>
      <c r="M14165" s="154" t="str">
        <f t="shared" si="1262"/>
        <v>High_Medium_Low_Upgraded_Cumulative Energy Demand (CED) - MJ_Control Building; at upgraded wastewater treatment plant - US_Without Amendment_Aerated Static Pile</v>
      </c>
    </row>
    <row r="14166" spans="1:13" s="120" customFormat="1" x14ac:dyDescent="0.25">
      <c r="A14166" s="119"/>
      <c r="B14166" s="138" t="str">
        <f t="shared" si="1256"/>
        <v>Aerated Static Pile</v>
      </c>
      <c r="C14166" s="138" t="str">
        <f t="shared" si="1257"/>
        <v>Without Amendment</v>
      </c>
      <c r="D14166" s="138" t="str">
        <f t="shared" si="1261"/>
        <v>Medium_Low</v>
      </c>
      <c r="E14166" s="138" t="str">
        <f t="shared" si="1258"/>
        <v>High</v>
      </c>
      <c r="F14166" s="138" t="str">
        <f t="shared" si="1259"/>
        <v>Upgraded</v>
      </c>
      <c r="G14166" s="153"/>
      <c r="H14166" s="210">
        <v>0.01</v>
      </c>
      <c r="I14166" s="160" t="s">
        <v>48</v>
      </c>
      <c r="J14166" s="160">
        <v>0.13321</v>
      </c>
      <c r="K14166" s="160" t="s">
        <v>15</v>
      </c>
      <c r="L14166" s="154" t="str">
        <f>IF(OpenLCAbasic!K14166="CTUh", "Fill in Manually",IF(OR(K14166="Unit", K14166=""), "", INDEX(LookUps!$E$5:$E$12, MATCH(OpenLCAbasic!K14166,LookUps!$D$5:$D$12,0))))</f>
        <v>Cumulative Energy Demand (CED) - MJ</v>
      </c>
      <c r="M14166" s="154" t="str">
        <f t="shared" si="1262"/>
        <v>High_Medium_Low_Upgraded_Cumulative Energy Demand (CED) - MJ_Effluent release; wastewater treatment unit; at surface water; m3 wastewater - US_Without Amendment_Aerated Static Pile</v>
      </c>
    </row>
    <row r="14167" spans="1:13" s="120" customFormat="1" x14ac:dyDescent="0.25">
      <c r="A14167" s="119"/>
      <c r="B14167" s="138" t="str">
        <f t="shared" si="1256"/>
        <v>Aerated Static Pile</v>
      </c>
      <c r="C14167" s="138" t="str">
        <f t="shared" si="1257"/>
        <v>Without Amendment</v>
      </c>
      <c r="D14167" s="138" t="str">
        <f t="shared" si="1261"/>
        <v>Medium_Low</v>
      </c>
      <c r="E14167" s="138" t="str">
        <f t="shared" si="1258"/>
        <v>High</v>
      </c>
      <c r="F14167" s="138" t="str">
        <f t="shared" si="1259"/>
        <v>Upgraded</v>
      </c>
      <c r="G14167" s="153"/>
      <c r="H14167" s="210">
        <v>8.0000000000000002E-3</v>
      </c>
      <c r="I14167" s="160" t="s">
        <v>59</v>
      </c>
      <c r="J14167" s="160">
        <v>0.10638</v>
      </c>
      <c r="K14167" s="160" t="s">
        <v>15</v>
      </c>
      <c r="L14167" s="154" t="str">
        <f>IF(OpenLCAbasic!K14167="CTUh", "Fill in Manually",IF(OR(K14167="Unit", K14167=""), "", INDEX(LookUps!$E$5:$E$12, MATCH(OpenLCAbasic!K14167,LookUps!$D$5:$D$12,0))))</f>
        <v>Cumulative Energy Demand (CED) - MJ</v>
      </c>
      <c r="M14167" s="154" t="str">
        <f t="shared" si="1262"/>
        <v>High_Medium_Low_Upgraded_Cumulative Energy Demand (CED) - MJ_Blend Tank; wastewater treatment unit; at updated plant - US_Without Amendment_Aerated Static Pile</v>
      </c>
    </row>
    <row r="14168" spans="1:13" s="120" customFormat="1" x14ac:dyDescent="0.25">
      <c r="A14168" s="119"/>
      <c r="B14168" s="138" t="str">
        <f t="shared" si="1256"/>
        <v>Aerated Static Pile</v>
      </c>
      <c r="C14168" s="138" t="str">
        <f t="shared" si="1257"/>
        <v>Without Amendment</v>
      </c>
      <c r="D14168" s="138" t="str">
        <f t="shared" si="1261"/>
        <v>Medium_Low</v>
      </c>
      <c r="E14168" s="138" t="str">
        <f t="shared" si="1258"/>
        <v>High</v>
      </c>
      <c r="F14168" s="138" t="str">
        <f t="shared" si="1259"/>
        <v>Upgraded</v>
      </c>
      <c r="G14168" s="153"/>
      <c r="H14168" s="210">
        <v>3.8E-3</v>
      </c>
      <c r="I14168" s="160" t="s">
        <v>168</v>
      </c>
      <c r="J14168" s="160">
        <v>5.0930000000000003E-2</v>
      </c>
      <c r="K14168" s="160" t="s">
        <v>15</v>
      </c>
      <c r="L14168" s="154" t="str">
        <f>IF(OpenLCAbasic!K14168="CTUh", "Fill in Manually",IF(OR(K14168="Unit", K14168=""), "", INDEX(LookUps!$E$5:$E$12, MATCH(OpenLCAbasic!K14168,LookUps!$D$5:$D$12,0))))</f>
        <v>Cumulative Energy Demand (CED) - MJ</v>
      </c>
      <c r="M14168" s="154" t="str">
        <f t="shared" si="1262"/>
        <v>High_Medium_Low_Upgraded_Cumulative Energy Demand (CED) - MJ_ClearCove SCP; wastewater treatment unit; at updated plant - US_Without Amendment_Aerated Static Pile</v>
      </c>
    </row>
    <row r="14169" spans="1:13" s="120" customFormat="1" x14ac:dyDescent="0.25">
      <c r="A14169" s="119"/>
      <c r="B14169" s="138" t="str">
        <f t="shared" si="1256"/>
        <v>Aerated Static Pile</v>
      </c>
      <c r="C14169" s="138" t="str">
        <f t="shared" si="1257"/>
        <v>Without Amendment</v>
      </c>
      <c r="D14169" s="138" t="str">
        <f t="shared" si="1261"/>
        <v>Medium_Low</v>
      </c>
      <c r="E14169" s="138" t="str">
        <f t="shared" si="1258"/>
        <v>High</v>
      </c>
      <c r="F14169" s="138" t="str">
        <f t="shared" si="1259"/>
        <v>Upgraded</v>
      </c>
      <c r="G14169" s="153"/>
      <c r="H14169" s="210">
        <v>-3.0800000000000001E-2</v>
      </c>
      <c r="I14169" s="160" t="s">
        <v>62</v>
      </c>
      <c r="J14169" s="160">
        <v>-0.41067999999999999</v>
      </c>
      <c r="K14169" s="160" t="s">
        <v>15</v>
      </c>
      <c r="L14169" s="154" t="str">
        <f>IF(OpenLCAbasic!K14169="CTUh", "Fill in Manually",IF(OR(K14169="Unit", K14169=""), "", INDEX(LookUps!$E$5:$E$12, MATCH(OpenLCAbasic!K14169,LookUps!$D$5:$D$12,0))))</f>
        <v>Cumulative Energy Demand (CED) - MJ</v>
      </c>
      <c r="M14169" s="154" t="str">
        <f t="shared" si="1262"/>
        <v>High_Medium_Low_Upgraded_Cumulative Energy Demand (CED) - MJ_Land application of compost; wastewater treatment unit; at updated plant - US_Without Amendment_Aerated Static Pile</v>
      </c>
    </row>
    <row r="14170" spans="1:13" s="120" customFormat="1" x14ac:dyDescent="0.25">
      <c r="A14170" s="119"/>
      <c r="B14170" s="138" t="str">
        <f t="shared" si="1256"/>
        <v/>
      </c>
      <c r="C14170" s="138" t="str">
        <f t="shared" si="1257"/>
        <v/>
      </c>
      <c r="D14170" s="138" t="str">
        <f t="shared" si="1261"/>
        <v/>
      </c>
      <c r="E14170" s="138" t="str">
        <f t="shared" si="1258"/>
        <v/>
      </c>
      <c r="F14170" s="138" t="str">
        <f t="shared" si="1259"/>
        <v/>
      </c>
      <c r="G14170" s="153" t="s">
        <v>51</v>
      </c>
      <c r="H14170" s="160"/>
      <c r="I14170" s="160" t="s">
        <v>47</v>
      </c>
      <c r="J14170" s="160" t="s">
        <v>52</v>
      </c>
      <c r="K14170" s="160" t="s">
        <v>27</v>
      </c>
      <c r="L14170" s="154" t="str">
        <f>IF(OpenLCAbasic!K14170="CTUh", "Fill in Manually",IF(OR(K14170="Unit", K14170=""), "", INDEX(LookUps!$E$5:$E$12, MATCH(OpenLCAbasic!K14170,LookUps!$D$5:$D$12,0))))</f>
        <v/>
      </c>
      <c r="M14170" s="154" t="str">
        <f t="shared" si="1262"/>
        <v>____Process__</v>
      </c>
    </row>
    <row r="14171" spans="1:13" s="120" customFormat="1" x14ac:dyDescent="0.25">
      <c r="A14171" s="119"/>
      <c r="B14171" s="138" t="str">
        <f t="shared" si="1256"/>
        <v>Aerated Static Pile</v>
      </c>
      <c r="C14171" s="138" t="str">
        <f t="shared" si="1257"/>
        <v>Without Amendment</v>
      </c>
      <c r="D14171" s="138" t="str">
        <f t="shared" si="1261"/>
        <v>Medium_Low</v>
      </c>
      <c r="E14171" s="138" t="str">
        <f t="shared" si="1258"/>
        <v>High</v>
      </c>
      <c r="F14171" s="138" t="str">
        <f t="shared" si="1259"/>
        <v>Upgraded</v>
      </c>
      <c r="G14171" s="153"/>
      <c r="H14171" s="210">
        <v>0.76160000000000005</v>
      </c>
      <c r="I14171" s="160" t="s">
        <v>48</v>
      </c>
      <c r="J14171" s="160">
        <v>1.1610000000000001E-2</v>
      </c>
      <c r="K14171" s="160" t="s">
        <v>13</v>
      </c>
      <c r="L14171" s="154" t="str">
        <f>IF(OpenLCAbasic!K14171="CTUh", "Fill in Manually",IF(OR(K14171="Unit", K14171=""), "", INDEX(LookUps!$E$5:$E$12, MATCH(OpenLCAbasic!K14171,LookUps!$D$5:$D$12,0))))</f>
        <v>Eutrophication Potential (EP) - kg N eq</v>
      </c>
      <c r="M14171" s="154" t="str">
        <f t="shared" si="1262"/>
        <v>High_Medium_Low_Upgraded_Eutrophication Potential (EP) - kg N eq_Effluent release; wastewater treatment unit; at surface water; m3 wastewater - US_Without Amendment_Aerated Static Pile</v>
      </c>
    </row>
    <row r="14172" spans="1:13" s="120" customFormat="1" x14ac:dyDescent="0.25">
      <c r="A14172" s="119"/>
      <c r="B14172" s="138" t="str">
        <f t="shared" si="1256"/>
        <v>Aerated Static Pile</v>
      </c>
      <c r="C14172" s="138" t="str">
        <f t="shared" si="1257"/>
        <v>Without Amendment</v>
      </c>
      <c r="D14172" s="138" t="str">
        <f t="shared" si="1261"/>
        <v>Medium_Low</v>
      </c>
      <c r="E14172" s="138" t="str">
        <f t="shared" si="1258"/>
        <v>High</v>
      </c>
      <c r="F14172" s="138" t="str">
        <f t="shared" si="1259"/>
        <v>Upgraded</v>
      </c>
      <c r="G14172" s="153"/>
      <c r="H14172" s="210">
        <v>0.1268</v>
      </c>
      <c r="I14172" s="160" t="s">
        <v>62</v>
      </c>
      <c r="J14172" s="160">
        <v>1.9300000000000001E-3</v>
      </c>
      <c r="K14172" s="160" t="s">
        <v>13</v>
      </c>
      <c r="L14172" s="154" t="str">
        <f>IF(OpenLCAbasic!K14172="CTUh", "Fill in Manually",IF(OR(K14172="Unit", K14172=""), "", INDEX(LookUps!$E$5:$E$12, MATCH(OpenLCAbasic!K14172,LookUps!$D$5:$D$12,0))))</f>
        <v>Eutrophication Potential (EP) - kg N eq</v>
      </c>
      <c r="M14172" s="154" t="str">
        <f t="shared" si="1262"/>
        <v>High_Medium_Low_Upgraded_Eutrophication Potential (EP) - kg N eq_Land application of compost; wastewater treatment unit; at updated plant - US_Without Amendment_Aerated Static Pile</v>
      </c>
    </row>
    <row r="14173" spans="1:13" s="120" customFormat="1" x14ac:dyDescent="0.25">
      <c r="A14173" s="119"/>
      <c r="B14173" s="138" t="str">
        <f t="shared" si="1256"/>
        <v>Aerated Static Pile</v>
      </c>
      <c r="C14173" s="138" t="str">
        <f t="shared" si="1257"/>
        <v>Without Amendment</v>
      </c>
      <c r="D14173" s="138" t="str">
        <f t="shared" si="1261"/>
        <v>Medium_Low</v>
      </c>
      <c r="E14173" s="138" t="str">
        <f t="shared" si="1258"/>
        <v>High</v>
      </c>
      <c r="F14173" s="138" t="str">
        <f t="shared" si="1259"/>
        <v>Upgraded</v>
      </c>
      <c r="G14173" s="153"/>
      <c r="H14173" s="210">
        <v>3.5799999999999998E-2</v>
      </c>
      <c r="I14173" s="160" t="s">
        <v>55</v>
      </c>
      <c r="J14173" s="160">
        <v>5.5000000000000003E-4</v>
      </c>
      <c r="K14173" s="160" t="s">
        <v>13</v>
      </c>
      <c r="L14173" s="154" t="str">
        <f>IF(OpenLCAbasic!K14173="CTUh", "Fill in Manually",IF(OR(K14173="Unit", K14173=""), "", INDEX(LookUps!$E$5:$E$12, MATCH(OpenLCAbasic!K14173,LookUps!$D$5:$D$12,0))))</f>
        <v>Eutrophication Potential (EP) - kg N eq</v>
      </c>
      <c r="M14173" s="154" t="str">
        <f t="shared" si="1262"/>
        <v>High_Medium_Low_Upgraded_Eutrophication Potential (EP) - kg N eq_Aeration Tanks; wastewater treatment unit; at updated plant - US_Without Amendment_Aerated Static Pile</v>
      </c>
    </row>
    <row r="14174" spans="1:13" s="120" customFormat="1" x14ac:dyDescent="0.25">
      <c r="A14174" s="119"/>
      <c r="B14174" s="138" t="str">
        <f t="shared" si="1256"/>
        <v>Aerated Static Pile</v>
      </c>
      <c r="C14174" s="138" t="str">
        <f t="shared" si="1257"/>
        <v>Without Amendment</v>
      </c>
      <c r="D14174" s="138" t="str">
        <f t="shared" si="1261"/>
        <v>Medium_Low</v>
      </c>
      <c r="E14174" s="138" t="str">
        <f t="shared" si="1258"/>
        <v>High</v>
      </c>
      <c r="F14174" s="138" t="str">
        <f t="shared" si="1259"/>
        <v>Upgraded</v>
      </c>
      <c r="G14174" s="153"/>
      <c r="H14174" s="210">
        <v>1.6400000000000001E-2</v>
      </c>
      <c r="I14174" s="160" t="s">
        <v>147</v>
      </c>
      <c r="J14174" s="160">
        <v>2.5000000000000001E-4</v>
      </c>
      <c r="K14174" s="160" t="s">
        <v>13</v>
      </c>
      <c r="L14174" s="154" t="str">
        <f>IF(OpenLCAbasic!K14174="CTUh", "Fill in Manually",IF(OR(K14174="Unit", K14174=""), "", INDEX(LookUps!$E$5:$E$12, MATCH(OpenLCAbasic!K14174,LookUps!$D$5:$D$12,0))))</f>
        <v>Eutrophication Potential (EP) - kg N eq</v>
      </c>
      <c r="M14174" s="154" t="str">
        <f t="shared" si="1262"/>
        <v>High_Medium_Low_Upgraded_Eutrophication Potential (EP) - kg N eq_Influent Pump Station; wastewater treatment unit; at updated plant - US_Without Amendment_Aerated Static Pile</v>
      </c>
    </row>
    <row r="14175" spans="1:13" s="120" customFormat="1" x14ac:dyDescent="0.25">
      <c r="A14175" s="119"/>
      <c r="B14175" s="138" t="str">
        <f t="shared" si="1256"/>
        <v>Aerated Static Pile</v>
      </c>
      <c r="C14175" s="138" t="str">
        <f t="shared" si="1257"/>
        <v>Without Amendment</v>
      </c>
      <c r="D14175" s="138" t="str">
        <f t="shared" si="1261"/>
        <v>Medium_Low</v>
      </c>
      <c r="E14175" s="138" t="str">
        <f t="shared" si="1258"/>
        <v>High</v>
      </c>
      <c r="F14175" s="138" t="str">
        <f t="shared" si="1259"/>
        <v>Upgraded</v>
      </c>
      <c r="G14175" s="153"/>
      <c r="H14175" s="210">
        <v>1.2999999999999999E-2</v>
      </c>
      <c r="I14175" s="160" t="s">
        <v>54</v>
      </c>
      <c r="J14175" s="160">
        <v>2.0000000000000001E-4</v>
      </c>
      <c r="K14175" s="160" t="s">
        <v>13</v>
      </c>
      <c r="L14175" s="154" t="str">
        <f>IF(OpenLCAbasic!K14175="CTUh", "Fill in Manually",IF(OR(K14175="Unit", K14175=""), "", INDEX(LookUps!$E$5:$E$12, MATCH(OpenLCAbasic!K14175,LookUps!$D$5:$D$12,0))))</f>
        <v>Eutrophication Potential (EP) - kg N eq</v>
      </c>
      <c r="M14175" s="154" t="str">
        <f t="shared" si="1262"/>
        <v>High_Medium_Low_Upgraded_Eutrophication Potential (EP) - kg N eq_Clear Cove Primary Clarification; wastewater treatment unit; at updated plant - US_Without Amendment_Aerated Static Pile</v>
      </c>
    </row>
    <row r="14176" spans="1:13" s="120" customFormat="1" x14ac:dyDescent="0.25">
      <c r="A14176" s="119"/>
      <c r="B14176" s="138" t="str">
        <f t="shared" si="1256"/>
        <v>Aerated Static Pile</v>
      </c>
      <c r="C14176" s="138" t="str">
        <f t="shared" si="1257"/>
        <v>Without Amendment</v>
      </c>
      <c r="D14176" s="138" t="str">
        <f t="shared" si="1261"/>
        <v>Medium_Low</v>
      </c>
      <c r="E14176" s="138" t="str">
        <f t="shared" si="1258"/>
        <v>High</v>
      </c>
      <c r="F14176" s="138" t="str">
        <f t="shared" si="1259"/>
        <v>Upgraded</v>
      </c>
      <c r="G14176" s="153"/>
      <c r="H14176" s="210">
        <v>1.2500000000000001E-2</v>
      </c>
      <c r="I14176" s="160" t="s">
        <v>167</v>
      </c>
      <c r="J14176" s="160">
        <v>1.9000000000000001E-4</v>
      </c>
      <c r="K14176" s="160" t="s">
        <v>13</v>
      </c>
      <c r="L14176" s="154" t="str">
        <f>IF(OpenLCAbasic!K14176="CTUh", "Fill in Manually",IF(OR(K14176="Unit", K14176=""), "", INDEX(LookUps!$E$5:$E$12, MATCH(OpenLCAbasic!K14176,LookUps!$D$5:$D$12,0))))</f>
        <v>Eutrophication Potential (EP) - kg N eq</v>
      </c>
      <c r="M14176" s="154" t="str">
        <f t="shared" si="1262"/>
        <v>High_Medium_Low_Upgraded_Eutrophication Potential (EP) - kg N eq_Waste Receiving and Holding; wastewater treatment unit; at updated plant - US_Without Amendment_Aerated Static Pile</v>
      </c>
    </row>
    <row r="14177" spans="1:13" s="120" customFormat="1" x14ac:dyDescent="0.25">
      <c r="A14177" s="119"/>
      <c r="B14177" s="138" t="str">
        <f t="shared" si="1256"/>
        <v>Aerated Static Pile</v>
      </c>
      <c r="C14177" s="138" t="str">
        <f t="shared" si="1257"/>
        <v>Without Amendment</v>
      </c>
      <c r="D14177" s="138" t="str">
        <f t="shared" si="1261"/>
        <v>Medium_Low</v>
      </c>
      <c r="E14177" s="138" t="str">
        <f t="shared" si="1258"/>
        <v>High</v>
      </c>
      <c r="F14177" s="138" t="str">
        <f t="shared" si="1259"/>
        <v>Upgraded</v>
      </c>
      <c r="G14177" s="153"/>
      <c r="H14177" s="210">
        <v>8.8999999999999999E-3</v>
      </c>
      <c r="I14177" s="160" t="s">
        <v>58</v>
      </c>
      <c r="J14177" s="160">
        <v>1.3999999999999999E-4</v>
      </c>
      <c r="K14177" s="160" t="s">
        <v>13</v>
      </c>
      <c r="L14177" s="154" t="str">
        <f>IF(OpenLCAbasic!K14177="CTUh", "Fill in Manually",IF(OR(K14177="Unit", K14177=""), "", INDEX(LookUps!$E$5:$E$12, MATCH(OpenLCAbasic!K14177,LookUps!$D$5:$D$12,0))))</f>
        <v>Eutrophication Potential (EP) - kg N eq</v>
      </c>
      <c r="M14177" s="154" t="str">
        <f t="shared" si="1262"/>
        <v>High_Medium_Low_Upgraded_Eutrophication Potential (EP) - kg N eq_Pre-Anoxic &amp; Swing tank; wastewater treatment unit; at updated plant - US_Without Amendment_Aerated Static Pile</v>
      </c>
    </row>
    <row r="14178" spans="1:13" s="120" customFormat="1" x14ac:dyDescent="0.25">
      <c r="A14178" s="119"/>
      <c r="B14178" s="138" t="str">
        <f t="shared" si="1256"/>
        <v>Aerated Static Pile</v>
      </c>
      <c r="C14178" s="138" t="str">
        <f t="shared" si="1257"/>
        <v>Without Amendment</v>
      </c>
      <c r="D14178" s="138" t="str">
        <f t="shared" si="1261"/>
        <v>Medium_Low</v>
      </c>
      <c r="E14178" s="138" t="str">
        <f t="shared" si="1258"/>
        <v>High</v>
      </c>
      <c r="F14178" s="138" t="str">
        <f t="shared" si="1259"/>
        <v>Upgraded</v>
      </c>
      <c r="G14178" s="153"/>
      <c r="H14178" s="210">
        <v>7.4000000000000003E-3</v>
      </c>
      <c r="I14178" s="160" t="s">
        <v>435</v>
      </c>
      <c r="J14178" s="160">
        <v>1.1E-4</v>
      </c>
      <c r="K14178" s="160" t="s">
        <v>13</v>
      </c>
      <c r="L14178" s="154" t="str">
        <f>IF(OpenLCAbasic!K14178="CTUh", "Fill in Manually",IF(OR(K14178="Unit", K14178=""), "", INDEX(LookUps!$E$5:$E$12, MATCH(OpenLCAbasic!K14178,LookUps!$D$5:$D$12,0))))</f>
        <v>Eutrophication Potential (EP) - kg N eq</v>
      </c>
      <c r="M14178" s="154" t="str">
        <f t="shared" si="1262"/>
        <v>High_Medium_Low_Upgraded_Eutrophication Potential (EP) - kg N eq_Biosolids composting; aerated static pile; wastewater treatment unit; at updated plant - US_Without Amendment_Aerated Static Pile</v>
      </c>
    </row>
    <row r="14179" spans="1:13" s="120" customFormat="1" x14ac:dyDescent="0.25">
      <c r="A14179" s="119"/>
      <c r="B14179" s="138" t="str">
        <f t="shared" si="1256"/>
        <v>Aerated Static Pile</v>
      </c>
      <c r="C14179" s="138" t="str">
        <f t="shared" si="1257"/>
        <v>Without Amendment</v>
      </c>
      <c r="D14179" s="138" t="str">
        <f t="shared" si="1261"/>
        <v>Medium_Low</v>
      </c>
      <c r="E14179" s="138" t="str">
        <f t="shared" si="1258"/>
        <v>High</v>
      </c>
      <c r="F14179" s="138" t="str">
        <f t="shared" si="1259"/>
        <v>Upgraded</v>
      </c>
      <c r="G14179" s="153"/>
      <c r="H14179" s="210">
        <v>7.0000000000000001E-3</v>
      </c>
      <c r="I14179" s="160" t="s">
        <v>53</v>
      </c>
      <c r="J14179" s="160">
        <v>1.1E-4</v>
      </c>
      <c r="K14179" s="160" t="s">
        <v>13</v>
      </c>
      <c r="L14179" s="154" t="str">
        <f>IF(OpenLCAbasic!K14179="CTUh", "Fill in Manually",IF(OR(K14179="Unit", K14179=""), "", INDEX(LookUps!$E$5:$E$12, MATCH(OpenLCAbasic!K14179,LookUps!$D$5:$D$12,0))))</f>
        <v>Eutrophication Potential (EP) - kg N eq</v>
      </c>
      <c r="M14179" s="154" t="str">
        <f t="shared" si="1262"/>
        <v>High_Medium_Low_Upgraded_Eutrophication Potential (EP) - kg N eq_Wet Well and Sump Station; wastewater treatment unit; at updated plant - US_Without Amendment_Aerated Static Pile</v>
      </c>
    </row>
    <row r="14180" spans="1:13" s="120" customFormat="1" x14ac:dyDescent="0.25">
      <c r="A14180" s="119"/>
      <c r="B14180" s="138" t="str">
        <f t="shared" si="1256"/>
        <v>Aerated Static Pile</v>
      </c>
      <c r="C14180" s="138" t="str">
        <f t="shared" si="1257"/>
        <v>Without Amendment</v>
      </c>
      <c r="D14180" s="138" t="str">
        <f t="shared" si="1261"/>
        <v>Medium_Low</v>
      </c>
      <c r="E14180" s="138" t="str">
        <f t="shared" si="1258"/>
        <v>High</v>
      </c>
      <c r="F14180" s="138" t="str">
        <f t="shared" si="1259"/>
        <v>Upgraded</v>
      </c>
      <c r="G14180" s="153"/>
      <c r="H14180" s="210">
        <v>5.1999999999999998E-3</v>
      </c>
      <c r="I14180" s="160" t="s">
        <v>60</v>
      </c>
      <c r="J14180" s="211">
        <v>7.8941800000000004E-5</v>
      </c>
      <c r="K14180" s="160" t="s">
        <v>13</v>
      </c>
      <c r="L14180" s="154" t="str">
        <f>IF(OpenLCAbasic!K14180="CTUh", "Fill in Manually",IF(OR(K14180="Unit", K14180=""), "", INDEX(LookUps!$E$5:$E$12, MATCH(OpenLCAbasic!K14180,LookUps!$D$5:$D$12,0))))</f>
        <v>Eutrophication Potential (EP) - kg N eq</v>
      </c>
      <c r="M14180" s="154" t="str">
        <f t="shared" si="1262"/>
        <v>High_Medium_Low_Upgraded_Eutrophication Potential (EP) - kg N eq_Belt filter press; wastewater treatment unit; at updated plant - US_Without Amendment_Aerated Static Pile</v>
      </c>
    </row>
    <row r="14181" spans="1:13" s="120" customFormat="1" x14ac:dyDescent="0.25">
      <c r="A14181" s="119"/>
      <c r="B14181" s="138" t="str">
        <f t="shared" si="1256"/>
        <v>Aerated Static Pile</v>
      </c>
      <c r="C14181" s="138" t="str">
        <f t="shared" si="1257"/>
        <v>Without Amendment</v>
      </c>
      <c r="D14181" s="138" t="str">
        <f t="shared" si="1261"/>
        <v>Medium_Low</v>
      </c>
      <c r="E14181" s="138" t="str">
        <f t="shared" si="1258"/>
        <v>High</v>
      </c>
      <c r="F14181" s="138" t="str">
        <f t="shared" si="1259"/>
        <v>Upgraded</v>
      </c>
      <c r="G14181" s="153"/>
      <c r="H14181" s="210">
        <v>4.0000000000000001E-3</v>
      </c>
      <c r="I14181" s="160" t="s">
        <v>57</v>
      </c>
      <c r="J14181" s="211">
        <v>6.0590300000000002E-5</v>
      </c>
      <c r="K14181" s="160" t="s">
        <v>13</v>
      </c>
      <c r="L14181" s="154" t="str">
        <f>IF(OpenLCAbasic!K14181="CTUh", "Fill in Manually",IF(OR(K14181="Unit", K14181=""), "", INDEX(LookUps!$E$5:$E$12, MATCH(OpenLCAbasic!K14181,LookUps!$D$5:$D$12,0))))</f>
        <v>Eutrophication Potential (EP) - kg N eq</v>
      </c>
      <c r="M14181" s="154" t="str">
        <f t="shared" si="1262"/>
        <v>High_Medium_Low_Upgraded_Eutrophication Potential (EP) - kg N eq_Gravity Belt Thickener; wastewater treatment unit; at updated plant - US_Without Amendment_Aerated Static Pile</v>
      </c>
    </row>
    <row r="14182" spans="1:13" s="120" customFormat="1" x14ac:dyDescent="0.25">
      <c r="A14182" s="119"/>
      <c r="B14182" s="138" t="str">
        <f t="shared" si="1256"/>
        <v>Aerated Static Pile</v>
      </c>
      <c r="C14182" s="138" t="str">
        <f t="shared" si="1257"/>
        <v>Without Amendment</v>
      </c>
      <c r="D14182" s="138" t="str">
        <f t="shared" si="1261"/>
        <v>Medium_Low</v>
      </c>
      <c r="E14182" s="138" t="str">
        <f t="shared" si="1258"/>
        <v>High</v>
      </c>
      <c r="F14182" s="138" t="str">
        <f t="shared" si="1259"/>
        <v>Upgraded</v>
      </c>
      <c r="G14182" s="153"/>
      <c r="H14182" s="210">
        <v>2.5000000000000001E-3</v>
      </c>
      <c r="I14182" s="160" t="s">
        <v>128</v>
      </c>
      <c r="J14182" s="211">
        <v>3.7559799999999999E-5</v>
      </c>
      <c r="K14182" s="160" t="s">
        <v>13</v>
      </c>
      <c r="L14182" s="154" t="str">
        <f>IF(OpenLCAbasic!K14182="CTUh", "Fill in Manually",IF(OR(K14182="Unit", K14182=""), "", INDEX(LookUps!$E$5:$E$12, MATCH(OpenLCAbasic!K14182,LookUps!$D$5:$D$12,0))))</f>
        <v>Eutrophication Potential (EP) - kg N eq</v>
      </c>
      <c r="M14182" s="154" t="str">
        <f t="shared" si="1262"/>
        <v>High_Medium_Low_Upgraded_Eutrophication Potential (EP) - kg N eq_Wastewater collection; operation and infrastructure; m3 wastewater_Without Amendment_Aerated Static Pile</v>
      </c>
    </row>
    <row r="14183" spans="1:13" s="120" customFormat="1" x14ac:dyDescent="0.25">
      <c r="A14183" s="119"/>
      <c r="B14183" s="138" t="str">
        <f t="shared" si="1256"/>
        <v>Aerated Static Pile</v>
      </c>
      <c r="C14183" s="138" t="str">
        <f t="shared" si="1257"/>
        <v>Without Amendment</v>
      </c>
      <c r="D14183" s="138" t="str">
        <f t="shared" si="1261"/>
        <v>Medium_Low</v>
      </c>
      <c r="E14183" s="138" t="str">
        <f t="shared" si="1258"/>
        <v>High</v>
      </c>
      <c r="F14183" s="138" t="str">
        <f t="shared" si="1259"/>
        <v>Upgraded</v>
      </c>
      <c r="G14183" s="153"/>
      <c r="H14183" s="210">
        <v>2.3999999999999998E-3</v>
      </c>
      <c r="I14183" s="160" t="s">
        <v>148</v>
      </c>
      <c r="J14183" s="211">
        <v>3.6874600000000001E-5</v>
      </c>
      <c r="K14183" s="160" t="s">
        <v>13</v>
      </c>
      <c r="L14183" s="154" t="str">
        <f>IF(OpenLCAbasic!K14183="CTUh", "Fill in Manually",IF(OR(K14183="Unit", K14183=""), "", INDEX(LookUps!$E$5:$E$12, MATCH(OpenLCAbasic!K14183,LookUps!$D$5:$D$12,0))))</f>
        <v>Eutrophication Potential (EP) - kg N eq</v>
      </c>
      <c r="M14183" s="154" t="str">
        <f t="shared" si="1262"/>
        <v>High_Medium_Low_Upgraded_Eutrophication Potential (EP) - kg N eq_Control Building; at upgraded wastewater treatment plant - US_Without Amendment_Aerated Static Pile</v>
      </c>
    </row>
    <row r="14184" spans="1:13" s="120" customFormat="1" x14ac:dyDescent="0.25">
      <c r="A14184" s="119"/>
      <c r="B14184" s="138" t="str">
        <f t="shared" si="1256"/>
        <v>Aerated Static Pile</v>
      </c>
      <c r="C14184" s="138" t="str">
        <f t="shared" si="1257"/>
        <v>Without Amendment</v>
      </c>
      <c r="D14184" s="138" t="str">
        <f t="shared" si="1261"/>
        <v>Medium_Low</v>
      </c>
      <c r="E14184" s="138" t="str">
        <f t="shared" si="1258"/>
        <v>High</v>
      </c>
      <c r="F14184" s="138" t="str">
        <f t="shared" si="1259"/>
        <v>Upgraded</v>
      </c>
      <c r="G14184" s="153"/>
      <c r="H14184" s="210">
        <v>1.1000000000000001E-3</v>
      </c>
      <c r="I14184" s="160" t="s">
        <v>59</v>
      </c>
      <c r="J14184" s="211">
        <v>1.6215700000000001E-5</v>
      </c>
      <c r="K14184" s="160" t="s">
        <v>13</v>
      </c>
      <c r="L14184" s="154" t="str">
        <f>IF(OpenLCAbasic!K14184="CTUh", "Fill in Manually",IF(OR(K14184="Unit", K14184=""), "", INDEX(LookUps!$E$5:$E$12, MATCH(OpenLCAbasic!K14184,LookUps!$D$5:$D$12,0))))</f>
        <v>Eutrophication Potential (EP) - kg N eq</v>
      </c>
      <c r="M14184" s="154" t="str">
        <f t="shared" si="1262"/>
        <v>High_Medium_Low_Upgraded_Eutrophication Potential (EP) - kg N eq_Blend Tank; wastewater treatment unit; at updated plant - US_Without Amendment_Aerated Static Pile</v>
      </c>
    </row>
    <row r="14185" spans="1:13" s="120" customFormat="1" x14ac:dyDescent="0.25">
      <c r="A14185" s="119"/>
      <c r="B14185" s="138" t="str">
        <f t="shared" ref="B14185:B14248" si="1263">IF(F14185="Legacy","n.a.",IF(F14185="","","Aerated Static Pile"))</f>
        <v>Aerated Static Pile</v>
      </c>
      <c r="C14185" s="138" t="str">
        <f t="shared" ref="C14185:C14248" si="1264">IF(ISNUMBER($J14185),"Without Amendment","")</f>
        <v>Without Amendment</v>
      </c>
      <c r="D14185" s="138" t="str">
        <f t="shared" si="1261"/>
        <v>Medium_Low</v>
      </c>
      <c r="E14185" s="138" t="str">
        <f t="shared" ref="E14185:E14248" si="1265">IF(ISNUMBER($J14185),"High","")</f>
        <v>High</v>
      </c>
      <c r="F14185" s="138" t="str">
        <f t="shared" ref="F14185:F14248" si="1266">IF(ISNUMBER(J14185),"Upgraded","")</f>
        <v>Upgraded</v>
      </c>
      <c r="G14185" s="153"/>
      <c r="H14185" s="210">
        <v>5.0000000000000001E-4</v>
      </c>
      <c r="I14185" s="160" t="s">
        <v>168</v>
      </c>
      <c r="J14185" s="211">
        <v>7.7567199999999995E-6</v>
      </c>
      <c r="K14185" s="160" t="s">
        <v>13</v>
      </c>
      <c r="L14185" s="154" t="str">
        <f>IF(OpenLCAbasic!K14185="CTUh", "Fill in Manually",IF(OR(K14185="Unit", K14185=""), "", INDEX(LookUps!$E$5:$E$12, MATCH(OpenLCAbasic!K14185,LookUps!$D$5:$D$12,0))))</f>
        <v>Eutrophication Potential (EP) - kg N eq</v>
      </c>
      <c r="M14185" s="154" t="str">
        <f t="shared" si="1262"/>
        <v>High_Medium_Low_Upgraded_Eutrophication Potential (EP) - kg N eq_ClearCove SCP; wastewater treatment unit; at updated plant - US_Without Amendment_Aerated Static Pile</v>
      </c>
    </row>
    <row r="14186" spans="1:13" s="120" customFormat="1" x14ac:dyDescent="0.25">
      <c r="A14186" s="119"/>
      <c r="B14186" s="138" t="str">
        <f t="shared" si="1263"/>
        <v>Aerated Static Pile</v>
      </c>
      <c r="C14186" s="138" t="str">
        <f t="shared" si="1264"/>
        <v>Without Amendment</v>
      </c>
      <c r="D14186" s="138" t="str">
        <f t="shared" si="1261"/>
        <v>Medium_Low</v>
      </c>
      <c r="E14186" s="138" t="str">
        <f t="shared" si="1265"/>
        <v>High</v>
      </c>
      <c r="F14186" s="138" t="str">
        <f t="shared" si="1266"/>
        <v>Upgraded</v>
      </c>
      <c r="G14186" s="153"/>
      <c r="H14186" s="210">
        <v>-5.1000000000000004E-3</v>
      </c>
      <c r="I14186" s="160" t="s">
        <v>149</v>
      </c>
      <c r="J14186" s="211">
        <v>-7.8280099999999996E-5</v>
      </c>
      <c r="K14186" s="160" t="s">
        <v>13</v>
      </c>
      <c r="L14186" s="154" t="str">
        <f>IF(OpenLCAbasic!K14186="CTUh", "Fill in Manually",IF(OR(K14186="Unit", K14186=""), "", INDEX(LookUps!$E$5:$E$12, MATCH(OpenLCAbasic!K14186,LookUps!$D$5:$D$12,0))))</f>
        <v>Eutrophication Potential (EP) - kg N eq</v>
      </c>
      <c r="M14186" s="154" t="str">
        <f t="shared" si="1262"/>
        <v>High_Medium_Low_Upgraded_Eutrophication Potential (EP) - kg N eq_Anaerobic Digestion; wastewater treatment unit; at updated plant - US_Without Amendment_Aerated Static Pile</v>
      </c>
    </row>
    <row r="14187" spans="1:13" s="120" customFormat="1" x14ac:dyDescent="0.25">
      <c r="A14187" s="119"/>
      <c r="B14187" s="138" t="str">
        <f t="shared" si="1263"/>
        <v/>
      </c>
      <c r="C14187" s="138" t="str">
        <f t="shared" si="1264"/>
        <v/>
      </c>
      <c r="D14187" s="138" t="str">
        <f t="shared" si="1261"/>
        <v/>
      </c>
      <c r="E14187" s="138" t="str">
        <f t="shared" si="1265"/>
        <v/>
      </c>
      <c r="F14187" s="138" t="str">
        <f t="shared" si="1266"/>
        <v/>
      </c>
      <c r="G14187" s="153" t="s">
        <v>51</v>
      </c>
      <c r="H14187" s="160"/>
      <c r="I14187" s="160" t="s">
        <v>47</v>
      </c>
      <c r="J14187" s="160" t="s">
        <v>52</v>
      </c>
      <c r="K14187" s="160" t="s">
        <v>27</v>
      </c>
      <c r="L14187" s="154" t="str">
        <f>IF(OpenLCAbasic!K14187="CTUh", "Fill in Manually",IF(OR(K14187="Unit", K14187=""), "", INDEX(LookUps!$E$5:$E$12, MATCH(OpenLCAbasic!K14187,LookUps!$D$5:$D$12,0))))</f>
        <v/>
      </c>
      <c r="M14187" s="154" t="str">
        <f t="shared" si="1262"/>
        <v>____Process__</v>
      </c>
    </row>
    <row r="14188" spans="1:13" s="120" customFormat="1" x14ac:dyDescent="0.25">
      <c r="A14188" s="119"/>
      <c r="B14188" s="138" t="str">
        <f t="shared" si="1263"/>
        <v>Aerated Static Pile</v>
      </c>
      <c r="C14188" s="138" t="str">
        <f t="shared" si="1264"/>
        <v>Without Amendment</v>
      </c>
      <c r="D14188" s="138" t="str">
        <f t="shared" si="1261"/>
        <v>Medium_Low</v>
      </c>
      <c r="E14188" s="138" t="str">
        <f t="shared" si="1265"/>
        <v>High</v>
      </c>
      <c r="F14188" s="138" t="str">
        <f t="shared" si="1266"/>
        <v>Upgraded</v>
      </c>
      <c r="G14188" s="153"/>
      <c r="H14188" s="210">
        <v>0.36320000000000002</v>
      </c>
      <c r="I14188" s="160" t="s">
        <v>167</v>
      </c>
      <c r="J14188" s="160">
        <v>9.7259999999999999E-2</v>
      </c>
      <c r="K14188" s="160" t="s">
        <v>14</v>
      </c>
      <c r="L14188" s="154" t="str">
        <f>IF(OpenLCAbasic!K14188="CTUh", "Fill in Manually",IF(OR(K14188="Unit", K14188=""), "", INDEX(LookUps!$E$5:$E$12, MATCH(OpenLCAbasic!K14188,LookUps!$D$5:$D$12,0))))</f>
        <v>Fossil Depletion Potential (FDP) - kg oil eq</v>
      </c>
      <c r="M14188" s="154" t="str">
        <f t="shared" si="1262"/>
        <v>High_Medium_Low_Upgraded_Fossil Depletion Potential (FDP) - kg oil eq_Waste Receiving and Holding; wastewater treatment unit; at updated plant - US_Without Amendment_Aerated Static Pile</v>
      </c>
    </row>
    <row r="14189" spans="1:13" s="120" customFormat="1" x14ac:dyDescent="0.25">
      <c r="A14189" s="119"/>
      <c r="B14189" s="138" t="str">
        <f t="shared" si="1263"/>
        <v>Aerated Static Pile</v>
      </c>
      <c r="C14189" s="138" t="str">
        <f t="shared" si="1264"/>
        <v>Without Amendment</v>
      </c>
      <c r="D14189" s="138" t="str">
        <f t="shared" si="1261"/>
        <v>Medium_Low</v>
      </c>
      <c r="E14189" s="138" t="str">
        <f t="shared" si="1265"/>
        <v>High</v>
      </c>
      <c r="F14189" s="138" t="str">
        <f t="shared" si="1266"/>
        <v>Upgraded</v>
      </c>
      <c r="G14189" s="153"/>
      <c r="H14189" s="210">
        <v>0.23749999999999999</v>
      </c>
      <c r="I14189" s="160" t="s">
        <v>55</v>
      </c>
      <c r="J14189" s="160">
        <v>6.3589999999999994E-2</v>
      </c>
      <c r="K14189" s="160" t="s">
        <v>14</v>
      </c>
      <c r="L14189" s="154" t="str">
        <f>IF(OpenLCAbasic!K14189="CTUh", "Fill in Manually",IF(OR(K14189="Unit", K14189=""), "", INDEX(LookUps!$E$5:$E$12, MATCH(OpenLCAbasic!K14189,LookUps!$D$5:$D$12,0))))</f>
        <v>Fossil Depletion Potential (FDP) - kg oil eq</v>
      </c>
      <c r="M14189" s="154" t="str">
        <f t="shared" si="1262"/>
        <v>High_Medium_Low_Upgraded_Fossil Depletion Potential (FDP) - kg oil eq_Aeration Tanks; wastewater treatment unit; at updated plant - US_Without Amendment_Aerated Static Pile</v>
      </c>
    </row>
    <row r="14190" spans="1:13" s="120" customFormat="1" x14ac:dyDescent="0.25">
      <c r="A14190" s="119"/>
      <c r="B14190" s="138" t="str">
        <f t="shared" si="1263"/>
        <v>Aerated Static Pile</v>
      </c>
      <c r="C14190" s="138" t="str">
        <f t="shared" si="1264"/>
        <v>Without Amendment</v>
      </c>
      <c r="D14190" s="138" t="str">
        <f t="shared" si="1261"/>
        <v>Medium_Low</v>
      </c>
      <c r="E14190" s="138" t="str">
        <f t="shared" si="1265"/>
        <v>High</v>
      </c>
      <c r="F14190" s="138" t="str">
        <f t="shared" si="1266"/>
        <v>Upgraded</v>
      </c>
      <c r="G14190" s="153"/>
      <c r="H14190" s="210">
        <v>7.8600000000000003E-2</v>
      </c>
      <c r="I14190" s="160" t="s">
        <v>54</v>
      </c>
      <c r="J14190" s="160">
        <v>2.1049999999999999E-2</v>
      </c>
      <c r="K14190" s="160" t="s">
        <v>14</v>
      </c>
      <c r="L14190" s="154" t="str">
        <f>IF(OpenLCAbasic!K14190="CTUh", "Fill in Manually",IF(OR(K14190="Unit", K14190=""), "", INDEX(LookUps!$E$5:$E$12, MATCH(OpenLCAbasic!K14190,LookUps!$D$5:$D$12,0))))</f>
        <v>Fossil Depletion Potential (FDP) - kg oil eq</v>
      </c>
      <c r="M14190" s="154" t="str">
        <f t="shared" si="1262"/>
        <v>High_Medium_Low_Upgraded_Fossil Depletion Potential (FDP) - kg oil eq_Clear Cove Primary Clarification; wastewater treatment unit; at updated plant - US_Without Amendment_Aerated Static Pile</v>
      </c>
    </row>
    <row r="14191" spans="1:13" s="120" customFormat="1" x14ac:dyDescent="0.25">
      <c r="A14191" s="119"/>
      <c r="B14191" s="138" t="str">
        <f t="shared" si="1263"/>
        <v>Aerated Static Pile</v>
      </c>
      <c r="C14191" s="138" t="str">
        <f t="shared" si="1264"/>
        <v>Without Amendment</v>
      </c>
      <c r="D14191" s="138" t="str">
        <f t="shared" si="1261"/>
        <v>Medium_Low</v>
      </c>
      <c r="E14191" s="138" t="str">
        <f t="shared" si="1265"/>
        <v>High</v>
      </c>
      <c r="F14191" s="138" t="str">
        <f t="shared" si="1266"/>
        <v>Upgraded</v>
      </c>
      <c r="G14191" s="153"/>
      <c r="H14191" s="210">
        <v>5.9700000000000003E-2</v>
      </c>
      <c r="I14191" s="160" t="s">
        <v>58</v>
      </c>
      <c r="J14191" s="160">
        <v>1.5980000000000001E-2</v>
      </c>
      <c r="K14191" s="160" t="s">
        <v>14</v>
      </c>
      <c r="L14191" s="154" t="str">
        <f>IF(OpenLCAbasic!K14191="CTUh", "Fill in Manually",IF(OR(K14191="Unit", K14191=""), "", INDEX(LookUps!$E$5:$E$12, MATCH(OpenLCAbasic!K14191,LookUps!$D$5:$D$12,0))))</f>
        <v>Fossil Depletion Potential (FDP) - kg oil eq</v>
      </c>
      <c r="M14191" s="154" t="str">
        <f t="shared" si="1262"/>
        <v>High_Medium_Low_Upgraded_Fossil Depletion Potential (FDP) - kg oil eq_Pre-Anoxic &amp; Swing tank; wastewater treatment unit; at updated plant - US_Without Amendment_Aerated Static Pile</v>
      </c>
    </row>
    <row r="14192" spans="1:13" s="120" customFormat="1" x14ac:dyDescent="0.25">
      <c r="A14192" s="119"/>
      <c r="B14192" s="138" t="str">
        <f t="shared" si="1263"/>
        <v>Aerated Static Pile</v>
      </c>
      <c r="C14192" s="138" t="str">
        <f t="shared" si="1264"/>
        <v>Without Amendment</v>
      </c>
      <c r="D14192" s="138" t="str">
        <f t="shared" si="1261"/>
        <v>Medium_Low</v>
      </c>
      <c r="E14192" s="138" t="str">
        <f t="shared" si="1265"/>
        <v>High</v>
      </c>
      <c r="F14192" s="138" t="str">
        <f t="shared" si="1266"/>
        <v>Upgraded</v>
      </c>
      <c r="G14192" s="153"/>
      <c r="H14192" s="210">
        <v>5.6300000000000003E-2</v>
      </c>
      <c r="I14192" s="160" t="s">
        <v>147</v>
      </c>
      <c r="J14192" s="160">
        <v>1.5089999999999999E-2</v>
      </c>
      <c r="K14192" s="160" t="s">
        <v>14</v>
      </c>
      <c r="L14192" s="154" t="str">
        <f>IF(OpenLCAbasic!K14192="CTUh", "Fill in Manually",IF(OR(K14192="Unit", K14192=""), "", INDEX(LookUps!$E$5:$E$12, MATCH(OpenLCAbasic!K14192,LookUps!$D$5:$D$12,0))))</f>
        <v>Fossil Depletion Potential (FDP) - kg oil eq</v>
      </c>
      <c r="M14192" s="154" t="str">
        <f t="shared" si="1262"/>
        <v>High_Medium_Low_Upgraded_Fossil Depletion Potential (FDP) - kg oil eq_Influent Pump Station; wastewater treatment unit; at updated plant - US_Without Amendment_Aerated Static Pile</v>
      </c>
    </row>
    <row r="14193" spans="1:13" s="120" customFormat="1" x14ac:dyDescent="0.25">
      <c r="A14193" s="119"/>
      <c r="B14193" s="138" t="str">
        <f t="shared" si="1263"/>
        <v>Aerated Static Pile</v>
      </c>
      <c r="C14193" s="138" t="str">
        <f t="shared" si="1264"/>
        <v>Without Amendment</v>
      </c>
      <c r="D14193" s="138" t="str">
        <f t="shared" si="1261"/>
        <v>Medium_Low</v>
      </c>
      <c r="E14193" s="138" t="str">
        <f t="shared" si="1265"/>
        <v>High</v>
      </c>
      <c r="F14193" s="138" t="str">
        <f t="shared" si="1266"/>
        <v>Upgraded</v>
      </c>
      <c r="G14193" s="153"/>
      <c r="H14193" s="210">
        <v>4.6600000000000003E-2</v>
      </c>
      <c r="I14193" s="160" t="s">
        <v>53</v>
      </c>
      <c r="J14193" s="160">
        <v>1.2489999999999999E-2</v>
      </c>
      <c r="K14193" s="160" t="s">
        <v>14</v>
      </c>
      <c r="L14193" s="154" t="str">
        <f>IF(OpenLCAbasic!K14193="CTUh", "Fill in Manually",IF(OR(K14193="Unit", K14193=""), "", INDEX(LookUps!$E$5:$E$12, MATCH(OpenLCAbasic!K14193,LookUps!$D$5:$D$12,0))))</f>
        <v>Fossil Depletion Potential (FDP) - kg oil eq</v>
      </c>
      <c r="M14193" s="154" t="str">
        <f t="shared" si="1262"/>
        <v>High_Medium_Low_Upgraded_Fossil Depletion Potential (FDP) - kg oil eq_Wet Well and Sump Station; wastewater treatment unit; at updated plant - US_Without Amendment_Aerated Static Pile</v>
      </c>
    </row>
    <row r="14194" spans="1:13" s="120" customFormat="1" x14ac:dyDescent="0.25">
      <c r="A14194" s="119"/>
      <c r="B14194" s="138" t="str">
        <f t="shared" si="1263"/>
        <v>Aerated Static Pile</v>
      </c>
      <c r="C14194" s="138" t="str">
        <f t="shared" si="1264"/>
        <v>Without Amendment</v>
      </c>
      <c r="D14194" s="138" t="str">
        <f t="shared" si="1261"/>
        <v>Medium_Low</v>
      </c>
      <c r="E14194" s="138" t="str">
        <f t="shared" si="1265"/>
        <v>High</v>
      </c>
      <c r="F14194" s="138" t="str">
        <f t="shared" si="1266"/>
        <v>Upgraded</v>
      </c>
      <c r="G14194" s="153"/>
      <c r="H14194" s="210">
        <v>3.6799999999999999E-2</v>
      </c>
      <c r="I14194" s="160" t="s">
        <v>435</v>
      </c>
      <c r="J14194" s="160">
        <v>9.8600000000000007E-3</v>
      </c>
      <c r="K14194" s="160" t="s">
        <v>14</v>
      </c>
      <c r="L14194" s="154" t="str">
        <f>IF(OpenLCAbasic!K14194="CTUh", "Fill in Manually",IF(OR(K14194="Unit", K14194=""), "", INDEX(LookUps!$E$5:$E$12, MATCH(OpenLCAbasic!K14194,LookUps!$D$5:$D$12,0))))</f>
        <v>Fossil Depletion Potential (FDP) - kg oil eq</v>
      </c>
      <c r="M14194" s="154" t="str">
        <f t="shared" si="1262"/>
        <v>High_Medium_Low_Upgraded_Fossil Depletion Potential (FDP) - kg oil eq_Biosolids composting; aerated static pile; wastewater treatment unit; at updated plant - US_Without Amendment_Aerated Static Pile</v>
      </c>
    </row>
    <row r="14195" spans="1:13" s="120" customFormat="1" x14ac:dyDescent="0.25">
      <c r="A14195" s="119"/>
      <c r="B14195" s="138" t="str">
        <f t="shared" si="1263"/>
        <v>Aerated Static Pile</v>
      </c>
      <c r="C14195" s="138" t="str">
        <f t="shared" si="1264"/>
        <v>Without Amendment</v>
      </c>
      <c r="D14195" s="138" t="str">
        <f t="shared" si="1261"/>
        <v>Medium_Low</v>
      </c>
      <c r="E14195" s="138" t="str">
        <f t="shared" si="1265"/>
        <v>High</v>
      </c>
      <c r="F14195" s="138" t="str">
        <f t="shared" si="1266"/>
        <v>Upgraded</v>
      </c>
      <c r="G14195" s="153"/>
      <c r="H14195" s="210">
        <v>3.61E-2</v>
      </c>
      <c r="I14195" s="160" t="s">
        <v>149</v>
      </c>
      <c r="J14195" s="160">
        <v>9.6600000000000002E-3</v>
      </c>
      <c r="K14195" s="160" t="s">
        <v>14</v>
      </c>
      <c r="L14195" s="154" t="str">
        <f>IF(OpenLCAbasic!K14195="CTUh", "Fill in Manually",IF(OR(K14195="Unit", K14195=""), "", INDEX(LookUps!$E$5:$E$12, MATCH(OpenLCAbasic!K14195,LookUps!$D$5:$D$12,0))))</f>
        <v>Fossil Depletion Potential (FDP) - kg oil eq</v>
      </c>
      <c r="M14195" s="154" t="str">
        <f t="shared" si="1262"/>
        <v>High_Medium_Low_Upgraded_Fossil Depletion Potential (FDP) - kg oil eq_Anaerobic Digestion; wastewater treatment unit; at updated plant - US_Without Amendment_Aerated Static Pile</v>
      </c>
    </row>
    <row r="14196" spans="1:13" s="120" customFormat="1" x14ac:dyDescent="0.25">
      <c r="A14196" s="119"/>
      <c r="B14196" s="138" t="str">
        <f t="shared" si="1263"/>
        <v>Aerated Static Pile</v>
      </c>
      <c r="C14196" s="138" t="str">
        <f t="shared" si="1264"/>
        <v>Without Amendment</v>
      </c>
      <c r="D14196" s="138" t="str">
        <f t="shared" si="1261"/>
        <v>Medium_Low</v>
      </c>
      <c r="E14196" s="138" t="str">
        <f t="shared" si="1265"/>
        <v>High</v>
      </c>
      <c r="F14196" s="138" t="str">
        <f t="shared" si="1266"/>
        <v>Upgraded</v>
      </c>
      <c r="G14196" s="153"/>
      <c r="H14196" s="210">
        <v>3.3799999999999997E-2</v>
      </c>
      <c r="I14196" s="160" t="s">
        <v>60</v>
      </c>
      <c r="J14196" s="160">
        <v>9.0600000000000003E-3</v>
      </c>
      <c r="K14196" s="160" t="s">
        <v>14</v>
      </c>
      <c r="L14196" s="154" t="str">
        <f>IF(OpenLCAbasic!K14196="CTUh", "Fill in Manually",IF(OR(K14196="Unit", K14196=""), "", INDEX(LookUps!$E$5:$E$12, MATCH(OpenLCAbasic!K14196,LookUps!$D$5:$D$12,0))))</f>
        <v>Fossil Depletion Potential (FDP) - kg oil eq</v>
      </c>
      <c r="M14196" s="154" t="str">
        <f t="shared" si="1262"/>
        <v>High_Medium_Low_Upgraded_Fossil Depletion Potential (FDP) - kg oil eq_Belt filter press; wastewater treatment unit; at updated plant - US_Without Amendment_Aerated Static Pile</v>
      </c>
    </row>
    <row r="14197" spans="1:13" s="120" customFormat="1" x14ac:dyDescent="0.25">
      <c r="A14197" s="119"/>
      <c r="B14197" s="138" t="str">
        <f t="shared" si="1263"/>
        <v>Aerated Static Pile</v>
      </c>
      <c r="C14197" s="138" t="str">
        <f t="shared" si="1264"/>
        <v>Without Amendment</v>
      </c>
      <c r="D14197" s="138" t="str">
        <f t="shared" si="1261"/>
        <v>Medium_Low</v>
      </c>
      <c r="E14197" s="138" t="str">
        <f t="shared" si="1265"/>
        <v>High</v>
      </c>
      <c r="F14197" s="138" t="str">
        <f t="shared" si="1266"/>
        <v>Upgraded</v>
      </c>
      <c r="G14197" s="153"/>
      <c r="H14197" s="210">
        <v>2.58E-2</v>
      </c>
      <c r="I14197" s="160" t="s">
        <v>57</v>
      </c>
      <c r="J14197" s="160">
        <v>6.9199999999999999E-3</v>
      </c>
      <c r="K14197" s="160" t="s">
        <v>14</v>
      </c>
      <c r="L14197" s="154" t="str">
        <f>IF(OpenLCAbasic!K14197="CTUh", "Fill in Manually",IF(OR(K14197="Unit", K14197=""), "", INDEX(LookUps!$E$5:$E$12, MATCH(OpenLCAbasic!K14197,LookUps!$D$5:$D$12,0))))</f>
        <v>Fossil Depletion Potential (FDP) - kg oil eq</v>
      </c>
      <c r="M14197" s="154" t="str">
        <f t="shared" si="1262"/>
        <v>High_Medium_Low_Upgraded_Fossil Depletion Potential (FDP) - kg oil eq_Gravity Belt Thickener; wastewater treatment unit; at updated plant - US_Without Amendment_Aerated Static Pile</v>
      </c>
    </row>
    <row r="14198" spans="1:13" s="120" customFormat="1" x14ac:dyDescent="0.25">
      <c r="A14198" s="119"/>
      <c r="B14198" s="138" t="str">
        <f t="shared" si="1263"/>
        <v>Aerated Static Pile</v>
      </c>
      <c r="C14198" s="138" t="str">
        <f t="shared" si="1264"/>
        <v>Without Amendment</v>
      </c>
      <c r="D14198" s="138" t="str">
        <f t="shared" si="1261"/>
        <v>Medium_Low</v>
      </c>
      <c r="E14198" s="138" t="str">
        <f t="shared" si="1265"/>
        <v>High</v>
      </c>
      <c r="F14198" s="138" t="str">
        <f t="shared" si="1266"/>
        <v>Upgraded</v>
      </c>
      <c r="G14198" s="153"/>
      <c r="H14198" s="210">
        <v>1.6799999999999999E-2</v>
      </c>
      <c r="I14198" s="160" t="s">
        <v>128</v>
      </c>
      <c r="J14198" s="160">
        <v>4.4999999999999997E-3</v>
      </c>
      <c r="K14198" s="160" t="s">
        <v>14</v>
      </c>
      <c r="L14198" s="154" t="str">
        <f>IF(OpenLCAbasic!K14198="CTUh", "Fill in Manually",IF(OR(K14198="Unit", K14198=""), "", INDEX(LookUps!$E$5:$E$12, MATCH(OpenLCAbasic!K14198,LookUps!$D$5:$D$12,0))))</f>
        <v>Fossil Depletion Potential (FDP) - kg oil eq</v>
      </c>
      <c r="M14198" s="154" t="str">
        <f t="shared" si="1262"/>
        <v>High_Medium_Low_Upgraded_Fossil Depletion Potential (FDP) - kg oil eq_Wastewater collection; operation and infrastructure; m3 wastewater_Without Amendment_Aerated Static Pile</v>
      </c>
    </row>
    <row r="14199" spans="1:13" s="120" customFormat="1" x14ac:dyDescent="0.25">
      <c r="A14199" s="119"/>
      <c r="B14199" s="138" t="str">
        <f t="shared" si="1263"/>
        <v>Aerated Static Pile</v>
      </c>
      <c r="C14199" s="138" t="str">
        <f t="shared" si="1264"/>
        <v>Without Amendment</v>
      </c>
      <c r="D14199" s="138" t="str">
        <f t="shared" si="1261"/>
        <v>Medium_Low</v>
      </c>
      <c r="E14199" s="138" t="str">
        <f t="shared" si="1265"/>
        <v>High</v>
      </c>
      <c r="F14199" s="138" t="str">
        <f t="shared" si="1266"/>
        <v>Upgraded</v>
      </c>
      <c r="G14199" s="153"/>
      <c r="H14199" s="210">
        <v>1.04E-2</v>
      </c>
      <c r="I14199" s="160" t="s">
        <v>148</v>
      </c>
      <c r="J14199" s="160">
        <v>2.8E-3</v>
      </c>
      <c r="K14199" s="160" t="s">
        <v>14</v>
      </c>
      <c r="L14199" s="154" t="str">
        <f>IF(OpenLCAbasic!K14199="CTUh", "Fill in Manually",IF(OR(K14199="Unit", K14199=""), "", INDEX(LookUps!$E$5:$E$12, MATCH(OpenLCAbasic!K14199,LookUps!$D$5:$D$12,0))))</f>
        <v>Fossil Depletion Potential (FDP) - kg oil eq</v>
      </c>
      <c r="M14199" s="154" t="str">
        <f t="shared" si="1262"/>
        <v>High_Medium_Low_Upgraded_Fossil Depletion Potential (FDP) - kg oil eq_Control Building; at upgraded wastewater treatment plant - US_Without Amendment_Aerated Static Pile</v>
      </c>
    </row>
    <row r="14200" spans="1:13" s="120" customFormat="1" x14ac:dyDescent="0.25">
      <c r="A14200" s="119"/>
      <c r="B14200" s="138" t="str">
        <f t="shared" si="1263"/>
        <v>Aerated Static Pile</v>
      </c>
      <c r="C14200" s="138" t="str">
        <f t="shared" si="1264"/>
        <v>Without Amendment</v>
      </c>
      <c r="D14200" s="138" t="str">
        <f t="shared" si="1261"/>
        <v>Medium_Low</v>
      </c>
      <c r="E14200" s="138" t="str">
        <f t="shared" si="1265"/>
        <v>High</v>
      </c>
      <c r="F14200" s="138" t="str">
        <f t="shared" si="1266"/>
        <v>Upgraded</v>
      </c>
      <c r="G14200" s="153"/>
      <c r="H14200" s="210">
        <v>8.8000000000000005E-3</v>
      </c>
      <c r="I14200" s="160" t="s">
        <v>48</v>
      </c>
      <c r="J14200" s="160">
        <v>2.3600000000000001E-3</v>
      </c>
      <c r="K14200" s="160" t="s">
        <v>14</v>
      </c>
      <c r="L14200" s="154" t="str">
        <f>IF(OpenLCAbasic!K14200="CTUh", "Fill in Manually",IF(OR(K14200="Unit", K14200=""), "", INDEX(LookUps!$E$5:$E$12, MATCH(OpenLCAbasic!K14200,LookUps!$D$5:$D$12,0))))</f>
        <v>Fossil Depletion Potential (FDP) - kg oil eq</v>
      </c>
      <c r="M14200" s="154" t="str">
        <f t="shared" si="1262"/>
        <v>High_Medium_Low_Upgraded_Fossil Depletion Potential (FDP) - kg oil eq_Effluent release; wastewater treatment unit; at surface water; m3 wastewater - US_Without Amendment_Aerated Static Pile</v>
      </c>
    </row>
    <row r="14201" spans="1:13" s="120" customFormat="1" x14ac:dyDescent="0.25">
      <c r="A14201" s="119"/>
      <c r="B14201" s="138" t="str">
        <f t="shared" si="1263"/>
        <v>Aerated Static Pile</v>
      </c>
      <c r="C14201" s="138" t="str">
        <f t="shared" si="1264"/>
        <v>Without Amendment</v>
      </c>
      <c r="D14201" s="138" t="str">
        <f t="shared" ref="D14201:D14264" si="1267">IF(ISNUMBER($J14201),"Medium_Low","")</f>
        <v>Medium_Low</v>
      </c>
      <c r="E14201" s="138" t="str">
        <f t="shared" si="1265"/>
        <v>High</v>
      </c>
      <c r="F14201" s="138" t="str">
        <f t="shared" si="1266"/>
        <v>Upgraded</v>
      </c>
      <c r="G14201" s="153"/>
      <c r="H14201" s="210">
        <v>7.1999999999999998E-3</v>
      </c>
      <c r="I14201" s="160" t="s">
        <v>59</v>
      </c>
      <c r="J14201" s="160">
        <v>1.92E-3</v>
      </c>
      <c r="K14201" s="160" t="s">
        <v>14</v>
      </c>
      <c r="L14201" s="154" t="str">
        <f>IF(OpenLCAbasic!K14201="CTUh", "Fill in Manually",IF(OR(K14201="Unit", K14201=""), "", INDEX(LookUps!$E$5:$E$12, MATCH(OpenLCAbasic!K14201,LookUps!$D$5:$D$12,0))))</f>
        <v>Fossil Depletion Potential (FDP) - kg oil eq</v>
      </c>
      <c r="M14201" s="154" t="str">
        <f t="shared" si="1262"/>
        <v>High_Medium_Low_Upgraded_Fossil Depletion Potential (FDP) - kg oil eq_Blend Tank; wastewater treatment unit; at updated plant - US_Without Amendment_Aerated Static Pile</v>
      </c>
    </row>
    <row r="14202" spans="1:13" s="120" customFormat="1" x14ac:dyDescent="0.25">
      <c r="A14202" s="119"/>
      <c r="B14202" s="138" t="str">
        <f t="shared" si="1263"/>
        <v>Aerated Static Pile</v>
      </c>
      <c r="C14202" s="138" t="str">
        <f t="shared" si="1264"/>
        <v>Without Amendment</v>
      </c>
      <c r="D14202" s="138" t="str">
        <f t="shared" si="1267"/>
        <v>Medium_Low</v>
      </c>
      <c r="E14202" s="138" t="str">
        <f t="shared" si="1265"/>
        <v>High</v>
      </c>
      <c r="F14202" s="138" t="str">
        <f t="shared" si="1266"/>
        <v>Upgraded</v>
      </c>
      <c r="G14202" s="153"/>
      <c r="H14202" s="210">
        <v>3.3999999999999998E-3</v>
      </c>
      <c r="I14202" s="160" t="s">
        <v>168</v>
      </c>
      <c r="J14202" s="160">
        <v>9.1E-4</v>
      </c>
      <c r="K14202" s="160" t="s">
        <v>14</v>
      </c>
      <c r="L14202" s="154" t="str">
        <f>IF(OpenLCAbasic!K14202="CTUh", "Fill in Manually",IF(OR(K14202="Unit", K14202=""), "", INDEX(LookUps!$E$5:$E$12, MATCH(OpenLCAbasic!K14202,LookUps!$D$5:$D$12,0))))</f>
        <v>Fossil Depletion Potential (FDP) - kg oil eq</v>
      </c>
      <c r="M14202" s="154" t="str">
        <f t="shared" si="1262"/>
        <v>High_Medium_Low_Upgraded_Fossil Depletion Potential (FDP) - kg oil eq_ClearCove SCP; wastewater treatment unit; at updated plant - US_Without Amendment_Aerated Static Pile</v>
      </c>
    </row>
    <row r="14203" spans="1:13" s="120" customFormat="1" x14ac:dyDescent="0.25">
      <c r="A14203" s="119"/>
      <c r="B14203" s="138" t="str">
        <f t="shared" si="1263"/>
        <v>Aerated Static Pile</v>
      </c>
      <c r="C14203" s="138" t="str">
        <f t="shared" si="1264"/>
        <v>Without Amendment</v>
      </c>
      <c r="D14203" s="138" t="str">
        <f t="shared" si="1267"/>
        <v>Medium_Low</v>
      </c>
      <c r="E14203" s="138" t="str">
        <f t="shared" si="1265"/>
        <v>High</v>
      </c>
      <c r="F14203" s="138" t="str">
        <f t="shared" si="1266"/>
        <v>Upgraded</v>
      </c>
      <c r="G14203" s="153"/>
      <c r="H14203" s="210">
        <v>-2.1100000000000001E-2</v>
      </c>
      <c r="I14203" s="160" t="s">
        <v>62</v>
      </c>
      <c r="J14203" s="160">
        <v>-5.6499999999999996E-3</v>
      </c>
      <c r="K14203" s="160" t="s">
        <v>14</v>
      </c>
      <c r="L14203" s="154" t="str">
        <f>IF(OpenLCAbasic!K14203="CTUh", "Fill in Manually",IF(OR(K14203="Unit", K14203=""), "", INDEX(LookUps!$E$5:$E$12, MATCH(OpenLCAbasic!K14203,LookUps!$D$5:$D$12,0))))</f>
        <v>Fossil Depletion Potential (FDP) - kg oil eq</v>
      </c>
      <c r="M14203" s="154" t="str">
        <f t="shared" si="1262"/>
        <v>High_Medium_Low_Upgraded_Fossil Depletion Potential (FDP) - kg oil eq_Land application of compost; wastewater treatment unit; at updated plant - US_Without Amendment_Aerated Static Pile</v>
      </c>
    </row>
    <row r="14204" spans="1:13" s="120" customFormat="1" x14ac:dyDescent="0.25">
      <c r="A14204" s="119"/>
      <c r="B14204" s="138" t="str">
        <f t="shared" si="1263"/>
        <v/>
      </c>
      <c r="C14204" s="138" t="str">
        <f t="shared" si="1264"/>
        <v/>
      </c>
      <c r="D14204" s="138" t="str">
        <f t="shared" si="1267"/>
        <v/>
      </c>
      <c r="E14204" s="138" t="str">
        <f t="shared" si="1265"/>
        <v/>
      </c>
      <c r="F14204" s="138" t="str">
        <f t="shared" si="1266"/>
        <v/>
      </c>
      <c r="G14204" s="153" t="s">
        <v>51</v>
      </c>
      <c r="H14204" s="160"/>
      <c r="I14204" s="160" t="s">
        <v>47</v>
      </c>
      <c r="J14204" s="160" t="s">
        <v>52</v>
      </c>
      <c r="K14204" s="160" t="s">
        <v>27</v>
      </c>
      <c r="L14204" s="154" t="str">
        <f>IF(OpenLCAbasic!K14204="CTUh", "Fill in Manually",IF(OR(K14204="Unit", K14204=""), "", INDEX(LookUps!$E$5:$E$12, MATCH(OpenLCAbasic!K14204,LookUps!$D$5:$D$12,0))))</f>
        <v/>
      </c>
      <c r="M14204" s="154" t="str">
        <f t="shared" si="1262"/>
        <v>____Process__</v>
      </c>
    </row>
    <row r="14205" spans="1:13" s="120" customFormat="1" x14ac:dyDescent="0.25">
      <c r="A14205" s="119"/>
      <c r="B14205" s="138" t="str">
        <f t="shared" si="1263"/>
        <v>Aerated Static Pile</v>
      </c>
      <c r="C14205" s="138" t="str">
        <f t="shared" si="1264"/>
        <v>Without Amendment</v>
      </c>
      <c r="D14205" s="138" t="str">
        <f t="shared" si="1267"/>
        <v>Medium_Low</v>
      </c>
      <c r="E14205" s="138" t="str">
        <f t="shared" si="1265"/>
        <v>High</v>
      </c>
      <c r="F14205" s="138" t="str">
        <f t="shared" si="1266"/>
        <v>Upgraded</v>
      </c>
      <c r="G14205" s="153"/>
      <c r="H14205" s="210">
        <v>0.56059999999999999</v>
      </c>
      <c r="I14205" s="160" t="s">
        <v>435</v>
      </c>
      <c r="J14205" s="160">
        <v>0.81950999999999996</v>
      </c>
      <c r="K14205" s="160" t="s">
        <v>23</v>
      </c>
      <c r="L14205" s="154" t="str">
        <f>IF(OpenLCAbasic!K14205="CTUh", "Fill in Manually",IF(OR(K14205="Unit", K14205=""), "", INDEX(LookUps!$E$5:$E$12, MATCH(OpenLCAbasic!K14205,LookUps!$D$5:$D$12,0))))</f>
        <v>Global Warming Potential (GWP) - kg CO2 eq</v>
      </c>
      <c r="M14205" s="154" t="str">
        <f t="shared" si="1262"/>
        <v>High_Medium_Low_Upgraded_Global Warming Potential (GWP) - kg CO2 eq_Biosolids composting; aerated static pile; wastewater treatment unit; at updated plant - US_Without Amendment_Aerated Static Pile</v>
      </c>
    </row>
    <row r="14206" spans="1:13" s="120" customFormat="1" x14ac:dyDescent="0.25">
      <c r="A14206" s="119"/>
      <c r="B14206" s="138" t="str">
        <f t="shared" si="1263"/>
        <v>Aerated Static Pile</v>
      </c>
      <c r="C14206" s="138" t="str">
        <f t="shared" si="1264"/>
        <v>Without Amendment</v>
      </c>
      <c r="D14206" s="138" t="str">
        <f t="shared" si="1267"/>
        <v>Medium_Low</v>
      </c>
      <c r="E14206" s="138" t="str">
        <f t="shared" si="1265"/>
        <v>High</v>
      </c>
      <c r="F14206" s="138" t="str">
        <f t="shared" si="1266"/>
        <v>Upgraded</v>
      </c>
      <c r="G14206" s="153"/>
      <c r="H14206" s="210">
        <v>0.1681</v>
      </c>
      <c r="I14206" s="160" t="s">
        <v>58</v>
      </c>
      <c r="J14206" s="160">
        <v>0.24568999999999999</v>
      </c>
      <c r="K14206" s="160" t="s">
        <v>23</v>
      </c>
      <c r="L14206" s="154" t="str">
        <f>IF(OpenLCAbasic!K14206="CTUh", "Fill in Manually",IF(OR(K14206="Unit", K14206=""), "", INDEX(LookUps!$E$5:$E$12, MATCH(OpenLCAbasic!K14206,LookUps!$D$5:$D$12,0))))</f>
        <v>Global Warming Potential (GWP) - kg CO2 eq</v>
      </c>
      <c r="M14206" s="154" t="str">
        <f t="shared" si="1262"/>
        <v>High_Medium_Low_Upgraded_Global Warming Potential (GWP) - kg CO2 eq_Pre-Anoxic &amp; Swing tank; wastewater treatment unit; at updated plant - US_Without Amendment_Aerated Static Pile</v>
      </c>
    </row>
    <row r="14207" spans="1:13" s="120" customFormat="1" x14ac:dyDescent="0.25">
      <c r="A14207" s="119"/>
      <c r="B14207" s="138" t="str">
        <f t="shared" si="1263"/>
        <v>Aerated Static Pile</v>
      </c>
      <c r="C14207" s="138" t="str">
        <f t="shared" si="1264"/>
        <v>Without Amendment</v>
      </c>
      <c r="D14207" s="138" t="str">
        <f t="shared" si="1267"/>
        <v>Medium_Low</v>
      </c>
      <c r="E14207" s="138" t="str">
        <f t="shared" si="1265"/>
        <v>High</v>
      </c>
      <c r="F14207" s="138" t="str">
        <f t="shared" si="1266"/>
        <v>Upgraded</v>
      </c>
      <c r="G14207" s="153"/>
      <c r="H14207" s="210">
        <v>0.11509999999999999</v>
      </c>
      <c r="I14207" s="160" t="s">
        <v>55</v>
      </c>
      <c r="J14207" s="160">
        <v>0.16822000000000001</v>
      </c>
      <c r="K14207" s="160" t="s">
        <v>23</v>
      </c>
      <c r="L14207" s="154" t="str">
        <f>IF(OpenLCAbasic!K14207="CTUh", "Fill in Manually",IF(OR(K14207="Unit", K14207=""), "", INDEX(LookUps!$E$5:$E$12, MATCH(OpenLCAbasic!K14207,LookUps!$D$5:$D$12,0))))</f>
        <v>Global Warming Potential (GWP) - kg CO2 eq</v>
      </c>
      <c r="M14207" s="154" t="str">
        <f t="shared" si="1262"/>
        <v>High_Medium_Low_Upgraded_Global Warming Potential (GWP) - kg CO2 eq_Aeration Tanks; wastewater treatment unit; at updated plant - US_Without Amendment_Aerated Static Pile</v>
      </c>
    </row>
    <row r="14208" spans="1:13" s="120" customFormat="1" x14ac:dyDescent="0.25">
      <c r="A14208" s="119"/>
      <c r="B14208" s="138" t="str">
        <f t="shared" si="1263"/>
        <v>Aerated Static Pile</v>
      </c>
      <c r="C14208" s="138" t="str">
        <f t="shared" si="1264"/>
        <v>Without Amendment</v>
      </c>
      <c r="D14208" s="138" t="str">
        <f t="shared" si="1267"/>
        <v>Medium_Low</v>
      </c>
      <c r="E14208" s="138" t="str">
        <f t="shared" si="1265"/>
        <v>High</v>
      </c>
      <c r="F14208" s="138" t="str">
        <f t="shared" si="1266"/>
        <v>Upgraded</v>
      </c>
      <c r="G14208" s="153"/>
      <c r="H14208" s="210">
        <v>8.4500000000000006E-2</v>
      </c>
      <c r="I14208" s="160" t="s">
        <v>167</v>
      </c>
      <c r="J14208" s="160">
        <v>0.12354999999999999</v>
      </c>
      <c r="K14208" s="160" t="s">
        <v>23</v>
      </c>
      <c r="L14208" s="154" t="str">
        <f>IF(OpenLCAbasic!K14208="CTUh", "Fill in Manually",IF(OR(K14208="Unit", K14208=""), "", INDEX(LookUps!$E$5:$E$12, MATCH(OpenLCAbasic!K14208,LookUps!$D$5:$D$12,0))))</f>
        <v>Global Warming Potential (GWP) - kg CO2 eq</v>
      </c>
      <c r="M14208" s="154" t="str">
        <f t="shared" si="1262"/>
        <v>High_Medium_Low_Upgraded_Global Warming Potential (GWP) - kg CO2 eq_Waste Receiving and Holding; wastewater treatment unit; at updated plant - US_Without Amendment_Aerated Static Pile</v>
      </c>
    </row>
    <row r="14209" spans="1:13" s="120" customFormat="1" x14ac:dyDescent="0.25">
      <c r="A14209" s="119"/>
      <c r="B14209" s="138" t="str">
        <f t="shared" si="1263"/>
        <v>Aerated Static Pile</v>
      </c>
      <c r="C14209" s="138" t="str">
        <f t="shared" si="1264"/>
        <v>Without Amendment</v>
      </c>
      <c r="D14209" s="138" t="str">
        <f t="shared" si="1267"/>
        <v>Medium_Low</v>
      </c>
      <c r="E14209" s="138" t="str">
        <f t="shared" si="1265"/>
        <v>High</v>
      </c>
      <c r="F14209" s="138" t="str">
        <f t="shared" si="1266"/>
        <v>Upgraded</v>
      </c>
      <c r="G14209" s="153"/>
      <c r="H14209" s="210">
        <v>4.3499999999999997E-2</v>
      </c>
      <c r="I14209" s="160" t="s">
        <v>149</v>
      </c>
      <c r="J14209" s="160">
        <v>6.3659999999999994E-2</v>
      </c>
      <c r="K14209" s="160" t="s">
        <v>23</v>
      </c>
      <c r="L14209" s="154" t="str">
        <f>IF(OpenLCAbasic!K14209="CTUh", "Fill in Manually",IF(OR(K14209="Unit", K14209=""), "", INDEX(LookUps!$E$5:$E$12, MATCH(OpenLCAbasic!K14209,LookUps!$D$5:$D$12,0))))</f>
        <v>Global Warming Potential (GWP) - kg CO2 eq</v>
      </c>
      <c r="M14209" s="154" t="str">
        <f t="shared" si="1262"/>
        <v>High_Medium_Low_Upgraded_Global Warming Potential (GWP) - kg CO2 eq_Anaerobic Digestion; wastewater treatment unit; at updated plant - US_Without Amendment_Aerated Static Pile</v>
      </c>
    </row>
    <row r="14210" spans="1:13" s="120" customFormat="1" x14ac:dyDescent="0.25">
      <c r="A14210" s="119"/>
      <c r="B14210" s="138" t="str">
        <f t="shared" si="1263"/>
        <v>Aerated Static Pile</v>
      </c>
      <c r="C14210" s="138" t="str">
        <f t="shared" si="1264"/>
        <v>Without Amendment</v>
      </c>
      <c r="D14210" s="138" t="str">
        <f t="shared" si="1267"/>
        <v>Medium_Low</v>
      </c>
      <c r="E14210" s="138" t="str">
        <f t="shared" si="1265"/>
        <v>High</v>
      </c>
      <c r="F14210" s="138" t="str">
        <f t="shared" si="1266"/>
        <v>Upgraded</v>
      </c>
      <c r="G14210" s="153"/>
      <c r="H14210" s="210">
        <v>3.9E-2</v>
      </c>
      <c r="I14210" s="160" t="s">
        <v>54</v>
      </c>
      <c r="J14210" s="160">
        <v>5.7079999999999999E-2</v>
      </c>
      <c r="K14210" s="160" t="s">
        <v>23</v>
      </c>
      <c r="L14210" s="154" t="str">
        <f>IF(OpenLCAbasic!K14210="CTUh", "Fill in Manually",IF(OR(K14210="Unit", K14210=""), "", INDEX(LookUps!$E$5:$E$12, MATCH(OpenLCAbasic!K14210,LookUps!$D$5:$D$12,0))))</f>
        <v>Global Warming Potential (GWP) - kg CO2 eq</v>
      </c>
      <c r="M14210" s="154" t="str">
        <f t="shared" si="1262"/>
        <v>High_Medium_Low_Upgraded_Global Warming Potential (GWP) - kg CO2 eq_Clear Cove Primary Clarification; wastewater treatment unit; at updated plant - US_Without Amendment_Aerated Static Pile</v>
      </c>
    </row>
    <row r="14211" spans="1:13" s="120" customFormat="1" x14ac:dyDescent="0.25">
      <c r="A14211" s="119"/>
      <c r="B14211" s="138" t="str">
        <f t="shared" si="1263"/>
        <v>Aerated Static Pile</v>
      </c>
      <c r="C14211" s="138" t="str">
        <f t="shared" si="1264"/>
        <v>Without Amendment</v>
      </c>
      <c r="D14211" s="138" t="str">
        <f t="shared" si="1267"/>
        <v>Medium_Low</v>
      </c>
      <c r="E14211" s="138" t="str">
        <f t="shared" si="1265"/>
        <v>High</v>
      </c>
      <c r="F14211" s="138" t="str">
        <f t="shared" si="1266"/>
        <v>Upgraded</v>
      </c>
      <c r="G14211" s="153"/>
      <c r="H14211" s="210">
        <v>3.5999999999999997E-2</v>
      </c>
      <c r="I14211" s="160" t="s">
        <v>48</v>
      </c>
      <c r="J14211" s="160">
        <v>5.2639999999999999E-2</v>
      </c>
      <c r="K14211" s="160" t="s">
        <v>23</v>
      </c>
      <c r="L14211" s="154" t="str">
        <f>IF(OpenLCAbasic!K14211="CTUh", "Fill in Manually",IF(OR(K14211="Unit", K14211=""), "", INDEX(LookUps!$E$5:$E$12, MATCH(OpenLCAbasic!K14211,LookUps!$D$5:$D$12,0))))</f>
        <v>Global Warming Potential (GWP) - kg CO2 eq</v>
      </c>
      <c r="M14211" s="154" t="str">
        <f t="shared" si="1262"/>
        <v>High_Medium_Low_Upgraded_Global Warming Potential (GWP) - kg CO2 eq_Effluent release; wastewater treatment unit; at surface water; m3 wastewater - US_Without Amendment_Aerated Static Pile</v>
      </c>
    </row>
    <row r="14212" spans="1:13" s="120" customFormat="1" x14ac:dyDescent="0.25">
      <c r="A14212" s="119"/>
      <c r="B14212" s="138" t="str">
        <f t="shared" si="1263"/>
        <v>Aerated Static Pile</v>
      </c>
      <c r="C14212" s="138" t="str">
        <f t="shared" si="1264"/>
        <v>Without Amendment</v>
      </c>
      <c r="D14212" s="138" t="str">
        <f t="shared" si="1267"/>
        <v>Medium_Low</v>
      </c>
      <c r="E14212" s="138" t="str">
        <f t="shared" si="1265"/>
        <v>High</v>
      </c>
      <c r="F14212" s="138" t="str">
        <f t="shared" si="1266"/>
        <v>Upgraded</v>
      </c>
      <c r="G14212" s="153"/>
      <c r="H14212" s="210">
        <v>3.4500000000000003E-2</v>
      </c>
      <c r="I14212" s="160" t="s">
        <v>147</v>
      </c>
      <c r="J14212" s="160">
        <v>5.0500000000000003E-2</v>
      </c>
      <c r="K14212" s="160" t="s">
        <v>23</v>
      </c>
      <c r="L14212" s="154" t="str">
        <f>IF(OpenLCAbasic!K14212="CTUh", "Fill in Manually",IF(OR(K14212="Unit", K14212=""), "", INDEX(LookUps!$E$5:$E$12, MATCH(OpenLCAbasic!K14212,LookUps!$D$5:$D$12,0))))</f>
        <v>Global Warming Potential (GWP) - kg CO2 eq</v>
      </c>
      <c r="M14212" s="154" t="str">
        <f t="shared" ref="M14212:M14275" si="1268">CONCATENATE(E14212,"_",D14212,"_",F14212,"_",L14212, "_",I14212,"_", C14212,"_", B14212)</f>
        <v>High_Medium_Low_Upgraded_Global Warming Potential (GWP) - kg CO2 eq_Influent Pump Station; wastewater treatment unit; at updated plant - US_Without Amendment_Aerated Static Pile</v>
      </c>
    </row>
    <row r="14213" spans="1:13" s="120" customFormat="1" x14ac:dyDescent="0.25">
      <c r="A14213" s="119"/>
      <c r="B14213" s="138" t="str">
        <f t="shared" si="1263"/>
        <v>Aerated Static Pile</v>
      </c>
      <c r="C14213" s="138" t="str">
        <f t="shared" si="1264"/>
        <v>Without Amendment</v>
      </c>
      <c r="D14213" s="138" t="str">
        <f t="shared" si="1267"/>
        <v>Medium_Low</v>
      </c>
      <c r="E14213" s="138" t="str">
        <f t="shared" si="1265"/>
        <v>High</v>
      </c>
      <c r="F14213" s="138" t="str">
        <f t="shared" si="1266"/>
        <v>Upgraded</v>
      </c>
      <c r="G14213" s="153"/>
      <c r="H14213" s="210">
        <v>2.2700000000000001E-2</v>
      </c>
      <c r="I14213" s="160" t="s">
        <v>53</v>
      </c>
      <c r="J14213" s="160">
        <v>3.3259999999999998E-2</v>
      </c>
      <c r="K14213" s="160" t="s">
        <v>23</v>
      </c>
      <c r="L14213" s="154" t="str">
        <f>IF(OpenLCAbasic!K14213="CTUh", "Fill in Manually",IF(OR(K14213="Unit", K14213=""), "", INDEX(LookUps!$E$5:$E$12, MATCH(OpenLCAbasic!K14213,LookUps!$D$5:$D$12,0))))</f>
        <v>Global Warming Potential (GWP) - kg CO2 eq</v>
      </c>
      <c r="M14213" s="154" t="str">
        <f t="shared" si="1268"/>
        <v>High_Medium_Low_Upgraded_Global Warming Potential (GWP) - kg CO2 eq_Wet Well and Sump Station; wastewater treatment unit; at updated plant - US_Without Amendment_Aerated Static Pile</v>
      </c>
    </row>
    <row r="14214" spans="1:13" s="120" customFormat="1" x14ac:dyDescent="0.25">
      <c r="A14214" s="119"/>
      <c r="B14214" s="138" t="str">
        <f t="shared" si="1263"/>
        <v>Aerated Static Pile</v>
      </c>
      <c r="C14214" s="138" t="str">
        <f t="shared" si="1264"/>
        <v>Without Amendment</v>
      </c>
      <c r="D14214" s="138" t="str">
        <f t="shared" si="1267"/>
        <v>Medium_Low</v>
      </c>
      <c r="E14214" s="138" t="str">
        <f t="shared" si="1265"/>
        <v>High</v>
      </c>
      <c r="F14214" s="138" t="str">
        <f t="shared" si="1266"/>
        <v>Upgraded</v>
      </c>
      <c r="G14214" s="153"/>
      <c r="H14214" s="210">
        <v>1.3599999999999999E-2</v>
      </c>
      <c r="I14214" s="160" t="s">
        <v>60</v>
      </c>
      <c r="J14214" s="160">
        <v>1.9910000000000001E-2</v>
      </c>
      <c r="K14214" s="160" t="s">
        <v>23</v>
      </c>
      <c r="L14214" s="154" t="str">
        <f>IF(OpenLCAbasic!K14214="CTUh", "Fill in Manually",IF(OR(K14214="Unit", K14214=""), "", INDEX(LookUps!$E$5:$E$12, MATCH(OpenLCAbasic!K14214,LookUps!$D$5:$D$12,0))))</f>
        <v>Global Warming Potential (GWP) - kg CO2 eq</v>
      </c>
      <c r="M14214" s="154" t="str">
        <f t="shared" si="1268"/>
        <v>High_Medium_Low_Upgraded_Global Warming Potential (GWP) - kg CO2 eq_Belt filter press; wastewater treatment unit; at updated plant - US_Without Amendment_Aerated Static Pile</v>
      </c>
    </row>
    <row r="14215" spans="1:13" s="120" customFormat="1" x14ac:dyDescent="0.25">
      <c r="A14215" s="119"/>
      <c r="B14215" s="138" t="str">
        <f t="shared" si="1263"/>
        <v>Aerated Static Pile</v>
      </c>
      <c r="C14215" s="138" t="str">
        <f t="shared" si="1264"/>
        <v>Without Amendment</v>
      </c>
      <c r="D14215" s="138" t="str">
        <f t="shared" si="1267"/>
        <v>Medium_Low</v>
      </c>
      <c r="E14215" s="138" t="str">
        <f t="shared" si="1265"/>
        <v>High</v>
      </c>
      <c r="F14215" s="138" t="str">
        <f t="shared" si="1266"/>
        <v>Upgraded</v>
      </c>
      <c r="G14215" s="153"/>
      <c r="H14215" s="210">
        <v>0.01</v>
      </c>
      <c r="I14215" s="160" t="s">
        <v>57</v>
      </c>
      <c r="J14215" s="160">
        <v>1.455E-2</v>
      </c>
      <c r="K14215" s="160" t="s">
        <v>23</v>
      </c>
      <c r="L14215" s="154" t="str">
        <f>IF(OpenLCAbasic!K14215="CTUh", "Fill in Manually",IF(OR(K14215="Unit", K14215=""), "", INDEX(LookUps!$E$5:$E$12, MATCH(OpenLCAbasic!K14215,LookUps!$D$5:$D$12,0))))</f>
        <v>Global Warming Potential (GWP) - kg CO2 eq</v>
      </c>
      <c r="M14215" s="154" t="str">
        <f t="shared" si="1268"/>
        <v>High_Medium_Low_Upgraded_Global Warming Potential (GWP) - kg CO2 eq_Gravity Belt Thickener; wastewater treatment unit; at updated plant - US_Without Amendment_Aerated Static Pile</v>
      </c>
    </row>
    <row r="14216" spans="1:13" s="120" customFormat="1" x14ac:dyDescent="0.25">
      <c r="A14216" s="119"/>
      <c r="B14216" s="138" t="str">
        <f t="shared" si="1263"/>
        <v>Aerated Static Pile</v>
      </c>
      <c r="C14216" s="138" t="str">
        <f t="shared" si="1264"/>
        <v>Without Amendment</v>
      </c>
      <c r="D14216" s="138" t="str">
        <f t="shared" si="1267"/>
        <v>Medium_Low</v>
      </c>
      <c r="E14216" s="138" t="str">
        <f t="shared" si="1265"/>
        <v>High</v>
      </c>
      <c r="F14216" s="138" t="str">
        <f t="shared" si="1266"/>
        <v>Upgraded</v>
      </c>
      <c r="G14216" s="153"/>
      <c r="H14216" s="210">
        <v>9.1999999999999998E-3</v>
      </c>
      <c r="I14216" s="160" t="s">
        <v>128</v>
      </c>
      <c r="J14216" s="160">
        <v>1.3509999999999999E-2</v>
      </c>
      <c r="K14216" s="160" t="s">
        <v>23</v>
      </c>
      <c r="L14216" s="154" t="str">
        <f>IF(OpenLCAbasic!K14216="CTUh", "Fill in Manually",IF(OR(K14216="Unit", K14216=""), "", INDEX(LookUps!$E$5:$E$12, MATCH(OpenLCAbasic!K14216,LookUps!$D$5:$D$12,0))))</f>
        <v>Global Warming Potential (GWP) - kg CO2 eq</v>
      </c>
      <c r="M14216" s="154" t="str">
        <f t="shared" si="1268"/>
        <v>High_Medium_Low_Upgraded_Global Warming Potential (GWP) - kg CO2 eq_Wastewater collection; operation and infrastructure; m3 wastewater_Without Amendment_Aerated Static Pile</v>
      </c>
    </row>
    <row r="14217" spans="1:13" s="120" customFormat="1" x14ac:dyDescent="0.25">
      <c r="A14217" s="119"/>
      <c r="B14217" s="138" t="str">
        <f t="shared" si="1263"/>
        <v>Aerated Static Pile</v>
      </c>
      <c r="C14217" s="138" t="str">
        <f t="shared" si="1264"/>
        <v>Without Amendment</v>
      </c>
      <c r="D14217" s="138" t="str">
        <f t="shared" si="1267"/>
        <v>Medium_Low</v>
      </c>
      <c r="E14217" s="138" t="str">
        <f t="shared" si="1265"/>
        <v>High</v>
      </c>
      <c r="F14217" s="138" t="str">
        <f t="shared" si="1266"/>
        <v>Upgraded</v>
      </c>
      <c r="G14217" s="153"/>
      <c r="H14217" s="210">
        <v>5.7000000000000002E-3</v>
      </c>
      <c r="I14217" s="160" t="s">
        <v>148</v>
      </c>
      <c r="J14217" s="160">
        <v>8.3000000000000001E-3</v>
      </c>
      <c r="K14217" s="160" t="s">
        <v>23</v>
      </c>
      <c r="L14217" s="154" t="str">
        <f>IF(OpenLCAbasic!K14217="CTUh", "Fill in Manually",IF(OR(K14217="Unit", K14217=""), "", INDEX(LookUps!$E$5:$E$12, MATCH(OpenLCAbasic!K14217,LookUps!$D$5:$D$12,0))))</f>
        <v>Global Warming Potential (GWP) - kg CO2 eq</v>
      </c>
      <c r="M14217" s="154" t="str">
        <f t="shared" si="1268"/>
        <v>High_Medium_Low_Upgraded_Global Warming Potential (GWP) - kg CO2 eq_Control Building; at upgraded wastewater treatment plant - US_Without Amendment_Aerated Static Pile</v>
      </c>
    </row>
    <row r="14218" spans="1:13" s="120" customFormat="1" x14ac:dyDescent="0.25">
      <c r="A14218" s="119"/>
      <c r="B14218" s="138" t="str">
        <f t="shared" si="1263"/>
        <v>Aerated Static Pile</v>
      </c>
      <c r="C14218" s="138" t="str">
        <f t="shared" si="1264"/>
        <v>Without Amendment</v>
      </c>
      <c r="D14218" s="138" t="str">
        <f t="shared" si="1267"/>
        <v>Medium_Low</v>
      </c>
      <c r="E14218" s="138" t="str">
        <f t="shared" si="1265"/>
        <v>High</v>
      </c>
      <c r="F14218" s="138" t="str">
        <f t="shared" si="1266"/>
        <v>Upgraded</v>
      </c>
      <c r="G14218" s="153"/>
      <c r="H14218" s="210">
        <v>3.5000000000000001E-3</v>
      </c>
      <c r="I14218" s="160" t="s">
        <v>59</v>
      </c>
      <c r="J14218" s="160">
        <v>5.0400000000000002E-3</v>
      </c>
      <c r="K14218" s="160" t="s">
        <v>23</v>
      </c>
      <c r="L14218" s="154" t="str">
        <f>IF(OpenLCAbasic!K14218="CTUh", "Fill in Manually",IF(OR(K14218="Unit", K14218=""), "", INDEX(LookUps!$E$5:$E$12, MATCH(OpenLCAbasic!K14218,LookUps!$D$5:$D$12,0))))</f>
        <v>Global Warming Potential (GWP) - kg CO2 eq</v>
      </c>
      <c r="M14218" s="154" t="str">
        <f t="shared" si="1268"/>
        <v>High_Medium_Low_Upgraded_Global Warming Potential (GWP) - kg CO2 eq_Blend Tank; wastewater treatment unit; at updated plant - US_Without Amendment_Aerated Static Pile</v>
      </c>
    </row>
    <row r="14219" spans="1:13" s="120" customFormat="1" x14ac:dyDescent="0.25">
      <c r="A14219" s="119"/>
      <c r="B14219" s="138" t="str">
        <f t="shared" si="1263"/>
        <v>Aerated Static Pile</v>
      </c>
      <c r="C14219" s="138" t="str">
        <f t="shared" si="1264"/>
        <v>Without Amendment</v>
      </c>
      <c r="D14219" s="138" t="str">
        <f t="shared" si="1267"/>
        <v>Medium_Low</v>
      </c>
      <c r="E14219" s="138" t="str">
        <f t="shared" si="1265"/>
        <v>High</v>
      </c>
      <c r="F14219" s="138" t="str">
        <f t="shared" si="1266"/>
        <v>Upgraded</v>
      </c>
      <c r="G14219" s="153"/>
      <c r="H14219" s="210">
        <v>1.6999999999999999E-3</v>
      </c>
      <c r="I14219" s="160" t="s">
        <v>168</v>
      </c>
      <c r="J14219" s="160">
        <v>2.4099999999999998E-3</v>
      </c>
      <c r="K14219" s="160" t="s">
        <v>23</v>
      </c>
      <c r="L14219" s="154" t="str">
        <f>IF(OpenLCAbasic!K14219="CTUh", "Fill in Manually",IF(OR(K14219="Unit", K14219=""), "", INDEX(LookUps!$E$5:$E$12, MATCH(OpenLCAbasic!K14219,LookUps!$D$5:$D$12,0))))</f>
        <v>Global Warming Potential (GWP) - kg CO2 eq</v>
      </c>
      <c r="M14219" s="154" t="str">
        <f t="shared" si="1268"/>
        <v>High_Medium_Low_Upgraded_Global Warming Potential (GWP) - kg CO2 eq_ClearCove SCP; wastewater treatment unit; at updated plant - US_Without Amendment_Aerated Static Pile</v>
      </c>
    </row>
    <row r="14220" spans="1:13" s="120" customFormat="1" x14ac:dyDescent="0.25">
      <c r="A14220" s="119"/>
      <c r="B14220" s="138" t="str">
        <f t="shared" si="1263"/>
        <v>Aerated Static Pile</v>
      </c>
      <c r="C14220" s="138" t="str">
        <f t="shared" si="1264"/>
        <v>Without Amendment</v>
      </c>
      <c r="D14220" s="138" t="str">
        <f t="shared" si="1267"/>
        <v>Medium_Low</v>
      </c>
      <c r="E14220" s="138" t="str">
        <f t="shared" si="1265"/>
        <v>High</v>
      </c>
      <c r="F14220" s="138" t="str">
        <f t="shared" si="1266"/>
        <v>Upgraded</v>
      </c>
      <c r="G14220" s="153"/>
      <c r="H14220" s="210">
        <v>-0.1477</v>
      </c>
      <c r="I14220" s="160" t="s">
        <v>62</v>
      </c>
      <c r="J14220" s="160">
        <v>-0.21592</v>
      </c>
      <c r="K14220" s="160" t="s">
        <v>23</v>
      </c>
      <c r="L14220" s="154" t="str">
        <f>IF(OpenLCAbasic!K14220="CTUh", "Fill in Manually",IF(OR(K14220="Unit", K14220=""), "", INDEX(LookUps!$E$5:$E$12, MATCH(OpenLCAbasic!K14220,LookUps!$D$5:$D$12,0))))</f>
        <v>Global Warming Potential (GWP) - kg CO2 eq</v>
      </c>
      <c r="M14220" s="154" t="str">
        <f t="shared" si="1268"/>
        <v>High_Medium_Low_Upgraded_Global Warming Potential (GWP) - kg CO2 eq_Land application of compost; wastewater treatment unit; at updated plant - US_Without Amendment_Aerated Static Pile</v>
      </c>
    </row>
    <row r="14221" spans="1:13" s="120" customFormat="1" x14ac:dyDescent="0.25">
      <c r="A14221" s="119"/>
      <c r="B14221" s="138" t="str">
        <f t="shared" si="1263"/>
        <v/>
      </c>
      <c r="C14221" s="138" t="str">
        <f t="shared" si="1264"/>
        <v/>
      </c>
      <c r="D14221" s="138" t="str">
        <f t="shared" si="1267"/>
        <v/>
      </c>
      <c r="E14221" s="138" t="str">
        <f t="shared" si="1265"/>
        <v/>
      </c>
      <c r="F14221" s="138" t="str">
        <f t="shared" si="1266"/>
        <v/>
      </c>
      <c r="G14221" s="153" t="s">
        <v>51</v>
      </c>
      <c r="H14221" s="160"/>
      <c r="I14221" s="160" t="s">
        <v>47</v>
      </c>
      <c r="J14221" s="160" t="s">
        <v>52</v>
      </c>
      <c r="K14221" s="160" t="s">
        <v>27</v>
      </c>
      <c r="L14221" s="154" t="str">
        <f>IF(OpenLCAbasic!K14221="CTUh", "Fill in Manually",IF(OR(K14221="Unit", K14221=""), "", INDEX(LookUps!$E$5:$E$12, MATCH(OpenLCAbasic!K14221,LookUps!$D$5:$D$12,0))))</f>
        <v/>
      </c>
      <c r="M14221" s="154" t="str">
        <f t="shared" si="1268"/>
        <v>____Process__</v>
      </c>
    </row>
    <row r="14222" spans="1:13" s="120" customFormat="1" x14ac:dyDescent="0.25">
      <c r="A14222" s="119"/>
      <c r="B14222" s="138" t="str">
        <f t="shared" si="1263"/>
        <v>Aerated Static Pile</v>
      </c>
      <c r="C14222" s="138" t="str">
        <f t="shared" si="1264"/>
        <v>Without Amendment</v>
      </c>
      <c r="D14222" s="138" t="str">
        <f t="shared" si="1267"/>
        <v>Medium_Low</v>
      </c>
      <c r="E14222" s="138" t="str">
        <f t="shared" si="1265"/>
        <v>High</v>
      </c>
      <c r="F14222" s="138" t="str">
        <f t="shared" si="1266"/>
        <v>Upgraded</v>
      </c>
      <c r="G14222" s="153"/>
      <c r="H14222" s="210">
        <v>0.44350000000000001</v>
      </c>
      <c r="I14222" s="160" t="s">
        <v>55</v>
      </c>
      <c r="J14222" s="160">
        <v>2.33E-3</v>
      </c>
      <c r="K14222" s="160" t="s">
        <v>145</v>
      </c>
      <c r="L14222" s="154" t="str">
        <f>IF(OpenLCAbasic!K14222="CTUh", "Fill in Manually",IF(OR(K14222="Unit", K14222=""), "", INDEX(LookUps!$E$5:$E$12, MATCH(OpenLCAbasic!K14222,LookUps!$D$5:$D$12,0))))</f>
        <v>Particulate Matter Formation Potential (PMFP) - kg PM2.5 eq</v>
      </c>
      <c r="M14222" s="154" t="str">
        <f t="shared" si="1268"/>
        <v>High_Medium_Low_Upgraded_Particulate Matter Formation Potential (PMFP) - kg PM2.5 eq_Aeration Tanks; wastewater treatment unit; at updated plant - US_Without Amendment_Aerated Static Pile</v>
      </c>
    </row>
    <row r="14223" spans="1:13" s="120" customFormat="1" x14ac:dyDescent="0.25">
      <c r="A14223" s="119"/>
      <c r="B14223" s="138" t="str">
        <f t="shared" si="1263"/>
        <v>Aerated Static Pile</v>
      </c>
      <c r="C14223" s="138" t="str">
        <f t="shared" si="1264"/>
        <v>Without Amendment</v>
      </c>
      <c r="D14223" s="138" t="str">
        <f t="shared" si="1267"/>
        <v>Medium_Low</v>
      </c>
      <c r="E14223" s="138" t="str">
        <f t="shared" si="1265"/>
        <v>High</v>
      </c>
      <c r="F14223" s="138" t="str">
        <f t="shared" si="1266"/>
        <v>Upgraded</v>
      </c>
      <c r="G14223" s="153"/>
      <c r="H14223" s="210">
        <v>0.12909999999999999</v>
      </c>
      <c r="I14223" s="160" t="s">
        <v>54</v>
      </c>
      <c r="J14223" s="160">
        <v>6.8000000000000005E-4</v>
      </c>
      <c r="K14223" s="160" t="s">
        <v>145</v>
      </c>
      <c r="L14223" s="154" t="str">
        <f>IF(OpenLCAbasic!K14223="CTUh", "Fill in Manually",IF(OR(K14223="Unit", K14223=""), "", INDEX(LookUps!$E$5:$E$12, MATCH(OpenLCAbasic!K14223,LookUps!$D$5:$D$12,0))))</f>
        <v>Particulate Matter Formation Potential (PMFP) - kg PM2.5 eq</v>
      </c>
      <c r="M14223" s="154" t="str">
        <f t="shared" si="1268"/>
        <v>High_Medium_Low_Upgraded_Particulate Matter Formation Potential (PMFP) - kg PM2.5 eq_Clear Cove Primary Clarification; wastewater treatment unit; at updated plant - US_Without Amendment_Aerated Static Pile</v>
      </c>
    </row>
    <row r="14224" spans="1:13" s="120" customFormat="1" x14ac:dyDescent="0.25">
      <c r="A14224" s="119"/>
      <c r="B14224" s="138" t="str">
        <f t="shared" si="1263"/>
        <v>Aerated Static Pile</v>
      </c>
      <c r="C14224" s="138" t="str">
        <f t="shared" si="1264"/>
        <v>Without Amendment</v>
      </c>
      <c r="D14224" s="138" t="str">
        <f t="shared" si="1267"/>
        <v>Medium_Low</v>
      </c>
      <c r="E14224" s="138" t="str">
        <f t="shared" si="1265"/>
        <v>High</v>
      </c>
      <c r="F14224" s="138" t="str">
        <f t="shared" si="1266"/>
        <v>Upgraded</v>
      </c>
      <c r="G14224" s="153"/>
      <c r="H14224" s="210">
        <v>0.1119</v>
      </c>
      <c r="I14224" s="160" t="s">
        <v>58</v>
      </c>
      <c r="J14224" s="160">
        <v>5.9000000000000003E-4</v>
      </c>
      <c r="K14224" s="160" t="s">
        <v>145</v>
      </c>
      <c r="L14224" s="154" t="str">
        <f>IF(OpenLCAbasic!K14224="CTUh", "Fill in Manually",IF(OR(K14224="Unit", K14224=""), "", INDEX(LookUps!$E$5:$E$12, MATCH(OpenLCAbasic!K14224,LookUps!$D$5:$D$12,0))))</f>
        <v>Particulate Matter Formation Potential (PMFP) - kg PM2.5 eq</v>
      </c>
      <c r="M14224" s="154" t="str">
        <f t="shared" si="1268"/>
        <v>High_Medium_Low_Upgraded_Particulate Matter Formation Potential (PMFP) - kg PM2.5 eq_Pre-Anoxic &amp; Swing tank; wastewater treatment unit; at updated plant - US_Without Amendment_Aerated Static Pile</v>
      </c>
    </row>
    <row r="14225" spans="1:13" s="120" customFormat="1" x14ac:dyDescent="0.25">
      <c r="A14225" s="119"/>
      <c r="B14225" s="138" t="str">
        <f t="shared" si="1263"/>
        <v>Aerated Static Pile</v>
      </c>
      <c r="C14225" s="138" t="str">
        <f t="shared" si="1264"/>
        <v>Without Amendment</v>
      </c>
      <c r="D14225" s="138" t="str">
        <f t="shared" si="1267"/>
        <v>Medium_Low</v>
      </c>
      <c r="E14225" s="138" t="str">
        <f t="shared" si="1265"/>
        <v>High</v>
      </c>
      <c r="F14225" s="138" t="str">
        <f t="shared" si="1266"/>
        <v>Upgraded</v>
      </c>
      <c r="G14225" s="153"/>
      <c r="H14225" s="210">
        <v>8.8700000000000001E-2</v>
      </c>
      <c r="I14225" s="160" t="s">
        <v>53</v>
      </c>
      <c r="J14225" s="160">
        <v>4.6999999999999999E-4</v>
      </c>
      <c r="K14225" s="160" t="s">
        <v>145</v>
      </c>
      <c r="L14225" s="154" t="str">
        <f>IF(OpenLCAbasic!K14225="CTUh", "Fill in Manually",IF(OR(K14225="Unit", K14225=""), "", INDEX(LookUps!$E$5:$E$12, MATCH(OpenLCAbasic!K14225,LookUps!$D$5:$D$12,0))))</f>
        <v>Particulate Matter Formation Potential (PMFP) - kg PM2.5 eq</v>
      </c>
      <c r="M14225" s="154" t="str">
        <f t="shared" si="1268"/>
        <v>High_Medium_Low_Upgraded_Particulate Matter Formation Potential (PMFP) - kg PM2.5 eq_Wet Well and Sump Station; wastewater treatment unit; at updated plant - US_Without Amendment_Aerated Static Pile</v>
      </c>
    </row>
    <row r="14226" spans="1:13" s="120" customFormat="1" x14ac:dyDescent="0.25">
      <c r="A14226" s="119"/>
      <c r="B14226" s="138" t="str">
        <f t="shared" si="1263"/>
        <v>Aerated Static Pile</v>
      </c>
      <c r="C14226" s="138" t="str">
        <f t="shared" si="1264"/>
        <v>Without Amendment</v>
      </c>
      <c r="D14226" s="138" t="str">
        <f t="shared" si="1267"/>
        <v>Medium_Low</v>
      </c>
      <c r="E14226" s="138" t="str">
        <f t="shared" si="1265"/>
        <v>High</v>
      </c>
      <c r="F14226" s="138" t="str">
        <f t="shared" si="1266"/>
        <v>Upgraded</v>
      </c>
      <c r="G14226" s="153"/>
      <c r="H14226" s="210">
        <v>7.0300000000000001E-2</v>
      </c>
      <c r="I14226" s="160" t="s">
        <v>435</v>
      </c>
      <c r="J14226" s="160">
        <v>3.6999999999999999E-4</v>
      </c>
      <c r="K14226" s="160" t="s">
        <v>145</v>
      </c>
      <c r="L14226" s="154" t="str">
        <f>IF(OpenLCAbasic!K14226="CTUh", "Fill in Manually",IF(OR(K14226="Unit", K14226=""), "", INDEX(LookUps!$E$5:$E$12, MATCH(OpenLCAbasic!K14226,LookUps!$D$5:$D$12,0))))</f>
        <v>Particulate Matter Formation Potential (PMFP) - kg PM2.5 eq</v>
      </c>
      <c r="M14226" s="154" t="str">
        <f t="shared" si="1268"/>
        <v>High_Medium_Low_Upgraded_Particulate Matter Formation Potential (PMFP) - kg PM2.5 eq_Biosolids composting; aerated static pile; wastewater treatment unit; at updated plant - US_Without Amendment_Aerated Static Pile</v>
      </c>
    </row>
    <row r="14227" spans="1:13" s="120" customFormat="1" x14ac:dyDescent="0.25">
      <c r="A14227" s="119"/>
      <c r="B14227" s="138" t="str">
        <f t="shared" si="1263"/>
        <v>Aerated Static Pile</v>
      </c>
      <c r="C14227" s="138" t="str">
        <f t="shared" si="1264"/>
        <v>Without Amendment</v>
      </c>
      <c r="D14227" s="138" t="str">
        <f t="shared" si="1267"/>
        <v>Medium_Low</v>
      </c>
      <c r="E14227" s="138" t="str">
        <f t="shared" si="1265"/>
        <v>High</v>
      </c>
      <c r="F14227" s="138" t="str">
        <f t="shared" si="1266"/>
        <v>Upgraded</v>
      </c>
      <c r="G14227" s="153"/>
      <c r="H14227" s="210">
        <v>5.9799999999999999E-2</v>
      </c>
      <c r="I14227" s="160" t="s">
        <v>167</v>
      </c>
      <c r="J14227" s="160">
        <v>3.1E-4</v>
      </c>
      <c r="K14227" s="160" t="s">
        <v>145</v>
      </c>
      <c r="L14227" s="154" t="str">
        <f>IF(OpenLCAbasic!K14227="CTUh", "Fill in Manually",IF(OR(K14227="Unit", K14227=""), "", INDEX(LookUps!$E$5:$E$12, MATCH(OpenLCAbasic!K14227,LookUps!$D$5:$D$12,0))))</f>
        <v>Particulate Matter Formation Potential (PMFP) - kg PM2.5 eq</v>
      </c>
      <c r="M14227" s="154" t="str">
        <f t="shared" si="1268"/>
        <v>High_Medium_Low_Upgraded_Particulate Matter Formation Potential (PMFP) - kg PM2.5 eq_Waste Receiving and Holding; wastewater treatment unit; at updated plant - US_Without Amendment_Aerated Static Pile</v>
      </c>
    </row>
    <row r="14228" spans="1:13" s="120" customFormat="1" x14ac:dyDescent="0.25">
      <c r="A14228" s="119"/>
      <c r="B14228" s="138" t="str">
        <f t="shared" si="1263"/>
        <v>Aerated Static Pile</v>
      </c>
      <c r="C14228" s="138" t="str">
        <f t="shared" si="1264"/>
        <v>Without Amendment</v>
      </c>
      <c r="D14228" s="138" t="str">
        <f t="shared" si="1267"/>
        <v>Medium_Low</v>
      </c>
      <c r="E14228" s="138" t="str">
        <f t="shared" si="1265"/>
        <v>High</v>
      </c>
      <c r="F14228" s="138" t="str">
        <f t="shared" si="1266"/>
        <v>Upgraded</v>
      </c>
      <c r="G14228" s="153"/>
      <c r="H14228" s="210">
        <v>5.0700000000000002E-2</v>
      </c>
      <c r="I14228" s="160" t="s">
        <v>147</v>
      </c>
      <c r="J14228" s="160">
        <v>2.7E-4</v>
      </c>
      <c r="K14228" s="160" t="s">
        <v>145</v>
      </c>
      <c r="L14228" s="154" t="str">
        <f>IF(OpenLCAbasic!K14228="CTUh", "Fill in Manually",IF(OR(K14228="Unit", K14228=""), "", INDEX(LookUps!$E$5:$E$12, MATCH(OpenLCAbasic!K14228,LookUps!$D$5:$D$12,0))))</f>
        <v>Particulate Matter Formation Potential (PMFP) - kg PM2.5 eq</v>
      </c>
      <c r="M14228" s="154" t="str">
        <f t="shared" si="1268"/>
        <v>High_Medium_Low_Upgraded_Particulate Matter Formation Potential (PMFP) - kg PM2.5 eq_Influent Pump Station; wastewater treatment unit; at updated plant - US_Without Amendment_Aerated Static Pile</v>
      </c>
    </row>
    <row r="14229" spans="1:13" s="120" customFormat="1" x14ac:dyDescent="0.25">
      <c r="A14229" s="119"/>
      <c r="B14229" s="138" t="str">
        <f t="shared" si="1263"/>
        <v>Aerated Static Pile</v>
      </c>
      <c r="C14229" s="138" t="str">
        <f t="shared" si="1264"/>
        <v>Without Amendment</v>
      </c>
      <c r="D14229" s="138" t="str">
        <f t="shared" si="1267"/>
        <v>Medium_Low</v>
      </c>
      <c r="E14229" s="138" t="str">
        <f t="shared" si="1265"/>
        <v>High</v>
      </c>
      <c r="F14229" s="138" t="str">
        <f t="shared" si="1266"/>
        <v>Upgraded</v>
      </c>
      <c r="G14229" s="153"/>
      <c r="H14229" s="210">
        <v>3.1600000000000003E-2</v>
      </c>
      <c r="I14229" s="160" t="s">
        <v>128</v>
      </c>
      <c r="J14229" s="160">
        <v>1.7000000000000001E-4</v>
      </c>
      <c r="K14229" s="160" t="s">
        <v>145</v>
      </c>
      <c r="L14229" s="154" t="str">
        <f>IF(OpenLCAbasic!K14229="CTUh", "Fill in Manually",IF(OR(K14229="Unit", K14229=""), "", INDEX(LookUps!$E$5:$E$12, MATCH(OpenLCAbasic!K14229,LookUps!$D$5:$D$12,0))))</f>
        <v>Particulate Matter Formation Potential (PMFP) - kg PM2.5 eq</v>
      </c>
      <c r="M14229" s="154" t="str">
        <f t="shared" si="1268"/>
        <v>High_Medium_Low_Upgraded_Particulate Matter Formation Potential (PMFP) - kg PM2.5 eq_Wastewater collection; operation and infrastructure; m3 wastewater_Without Amendment_Aerated Static Pile</v>
      </c>
    </row>
    <row r="14230" spans="1:13" s="120" customFormat="1" x14ac:dyDescent="0.25">
      <c r="A14230" s="119"/>
      <c r="B14230" s="138" t="str">
        <f t="shared" si="1263"/>
        <v>Aerated Static Pile</v>
      </c>
      <c r="C14230" s="138" t="str">
        <f t="shared" si="1264"/>
        <v>Without Amendment</v>
      </c>
      <c r="D14230" s="138" t="str">
        <f t="shared" si="1267"/>
        <v>Medium_Low</v>
      </c>
      <c r="E14230" s="138" t="str">
        <f t="shared" si="1265"/>
        <v>High</v>
      </c>
      <c r="F14230" s="138" t="str">
        <f t="shared" si="1266"/>
        <v>Upgraded</v>
      </c>
      <c r="G14230" s="153"/>
      <c r="H14230" s="210">
        <v>3.09E-2</v>
      </c>
      <c r="I14230" s="160" t="s">
        <v>60</v>
      </c>
      <c r="J14230" s="160">
        <v>1.6000000000000001E-4</v>
      </c>
      <c r="K14230" s="160" t="s">
        <v>145</v>
      </c>
      <c r="L14230" s="154" t="str">
        <f>IF(OpenLCAbasic!K14230="CTUh", "Fill in Manually",IF(OR(K14230="Unit", K14230=""), "", INDEX(LookUps!$E$5:$E$12, MATCH(OpenLCAbasic!K14230,LookUps!$D$5:$D$12,0))))</f>
        <v>Particulate Matter Formation Potential (PMFP) - kg PM2.5 eq</v>
      </c>
      <c r="M14230" s="154" t="str">
        <f t="shared" si="1268"/>
        <v>High_Medium_Low_Upgraded_Particulate Matter Formation Potential (PMFP) - kg PM2.5 eq_Belt filter press; wastewater treatment unit; at updated plant - US_Without Amendment_Aerated Static Pile</v>
      </c>
    </row>
    <row r="14231" spans="1:13" s="120" customFormat="1" x14ac:dyDescent="0.25">
      <c r="A14231" s="119"/>
      <c r="B14231" s="138" t="str">
        <f t="shared" si="1263"/>
        <v>Aerated Static Pile</v>
      </c>
      <c r="C14231" s="138" t="str">
        <f t="shared" si="1264"/>
        <v>Without Amendment</v>
      </c>
      <c r="D14231" s="138" t="str">
        <f t="shared" si="1267"/>
        <v>Medium_Low</v>
      </c>
      <c r="E14231" s="138" t="str">
        <f t="shared" si="1265"/>
        <v>High</v>
      </c>
      <c r="F14231" s="138" t="str">
        <f t="shared" si="1266"/>
        <v>Upgraded</v>
      </c>
      <c r="G14231" s="153"/>
      <c r="H14231" s="210">
        <v>1.8100000000000002E-2</v>
      </c>
      <c r="I14231" s="160" t="s">
        <v>57</v>
      </c>
      <c r="J14231" s="211">
        <v>9.5153800000000004E-5</v>
      </c>
      <c r="K14231" s="160" t="s">
        <v>145</v>
      </c>
      <c r="L14231" s="154" t="str">
        <f>IF(OpenLCAbasic!K14231="CTUh", "Fill in Manually",IF(OR(K14231="Unit", K14231=""), "", INDEX(LookUps!$E$5:$E$12, MATCH(OpenLCAbasic!K14231,LookUps!$D$5:$D$12,0))))</f>
        <v>Particulate Matter Formation Potential (PMFP) - kg PM2.5 eq</v>
      </c>
      <c r="M14231" s="154" t="str">
        <f t="shared" si="1268"/>
        <v>High_Medium_Low_Upgraded_Particulate Matter Formation Potential (PMFP) - kg PM2.5 eq_Gravity Belt Thickener; wastewater treatment unit; at updated plant - US_Without Amendment_Aerated Static Pile</v>
      </c>
    </row>
    <row r="14232" spans="1:13" s="120" customFormat="1" x14ac:dyDescent="0.25">
      <c r="A14232" s="119"/>
      <c r="B14232" s="138" t="str">
        <f t="shared" si="1263"/>
        <v>Aerated Static Pile</v>
      </c>
      <c r="C14232" s="138" t="str">
        <f t="shared" si="1264"/>
        <v>Without Amendment</v>
      </c>
      <c r="D14232" s="138" t="str">
        <f t="shared" si="1267"/>
        <v>Medium_Low</v>
      </c>
      <c r="E14232" s="138" t="str">
        <f t="shared" si="1265"/>
        <v>High</v>
      </c>
      <c r="F14232" s="138" t="str">
        <f t="shared" si="1266"/>
        <v>Upgraded</v>
      </c>
      <c r="G14232" s="153"/>
      <c r="H14232" s="210">
        <v>1.3299999999999999E-2</v>
      </c>
      <c r="I14232" s="160" t="s">
        <v>59</v>
      </c>
      <c r="J14232" s="211">
        <v>6.9942200000000003E-5</v>
      </c>
      <c r="K14232" s="160" t="s">
        <v>145</v>
      </c>
      <c r="L14232" s="154" t="str">
        <f>IF(OpenLCAbasic!K14232="CTUh", "Fill in Manually",IF(OR(K14232="Unit", K14232=""), "", INDEX(LookUps!$E$5:$E$12, MATCH(OpenLCAbasic!K14232,LookUps!$D$5:$D$12,0))))</f>
        <v>Particulate Matter Formation Potential (PMFP) - kg PM2.5 eq</v>
      </c>
      <c r="M14232" s="154" t="str">
        <f t="shared" si="1268"/>
        <v>High_Medium_Low_Upgraded_Particulate Matter Formation Potential (PMFP) - kg PM2.5 eq_Blend Tank; wastewater treatment unit; at updated plant - US_Without Amendment_Aerated Static Pile</v>
      </c>
    </row>
    <row r="14233" spans="1:13" s="120" customFormat="1" x14ac:dyDescent="0.25">
      <c r="A14233" s="119"/>
      <c r="B14233" s="138" t="str">
        <f t="shared" si="1263"/>
        <v>Aerated Static Pile</v>
      </c>
      <c r="C14233" s="138" t="str">
        <f t="shared" si="1264"/>
        <v>Without Amendment</v>
      </c>
      <c r="D14233" s="138" t="str">
        <f t="shared" si="1267"/>
        <v>Medium_Low</v>
      </c>
      <c r="E14233" s="138" t="str">
        <f t="shared" si="1265"/>
        <v>High</v>
      </c>
      <c r="F14233" s="138" t="str">
        <f t="shared" si="1266"/>
        <v>Upgraded</v>
      </c>
      <c r="G14233" s="153"/>
      <c r="H14233" s="210">
        <v>9.4999999999999998E-3</v>
      </c>
      <c r="I14233" s="160" t="s">
        <v>48</v>
      </c>
      <c r="J14233" s="211">
        <v>4.99741E-5</v>
      </c>
      <c r="K14233" s="160" t="s">
        <v>145</v>
      </c>
      <c r="L14233" s="154" t="str">
        <f>IF(OpenLCAbasic!K14233="CTUh", "Fill in Manually",IF(OR(K14233="Unit", K14233=""), "", INDEX(LookUps!$E$5:$E$12, MATCH(OpenLCAbasic!K14233,LookUps!$D$5:$D$12,0))))</f>
        <v>Particulate Matter Formation Potential (PMFP) - kg PM2.5 eq</v>
      </c>
      <c r="M14233" s="154" t="str">
        <f t="shared" si="1268"/>
        <v>High_Medium_Low_Upgraded_Particulate Matter Formation Potential (PMFP) - kg PM2.5 eq_Effluent release; wastewater treatment unit; at surface water; m3 wastewater - US_Without Amendment_Aerated Static Pile</v>
      </c>
    </row>
    <row r="14234" spans="1:13" s="120" customFormat="1" x14ac:dyDescent="0.25">
      <c r="A14234" s="119"/>
      <c r="B14234" s="138" t="str">
        <f t="shared" si="1263"/>
        <v>Aerated Static Pile</v>
      </c>
      <c r="C14234" s="138" t="str">
        <f t="shared" si="1264"/>
        <v>Without Amendment</v>
      </c>
      <c r="D14234" s="138" t="str">
        <f t="shared" si="1267"/>
        <v>Medium_Low</v>
      </c>
      <c r="E14234" s="138" t="str">
        <f t="shared" si="1265"/>
        <v>High</v>
      </c>
      <c r="F14234" s="138" t="str">
        <f t="shared" si="1266"/>
        <v>Upgraded</v>
      </c>
      <c r="G14234" s="153"/>
      <c r="H14234" s="210">
        <v>7.0000000000000001E-3</v>
      </c>
      <c r="I14234" s="160" t="s">
        <v>62</v>
      </c>
      <c r="J14234" s="211">
        <v>3.6718599999999998E-5</v>
      </c>
      <c r="K14234" s="160" t="s">
        <v>145</v>
      </c>
      <c r="L14234" s="154" t="str">
        <f>IF(OpenLCAbasic!K14234="CTUh", "Fill in Manually",IF(OR(K14234="Unit", K14234=""), "", INDEX(LookUps!$E$5:$E$12, MATCH(OpenLCAbasic!K14234,LookUps!$D$5:$D$12,0))))</f>
        <v>Particulate Matter Formation Potential (PMFP) - kg PM2.5 eq</v>
      </c>
      <c r="M14234" s="154" t="str">
        <f t="shared" si="1268"/>
        <v>High_Medium_Low_Upgraded_Particulate Matter Formation Potential (PMFP) - kg PM2.5 eq_Land application of compost; wastewater treatment unit; at updated plant - US_Without Amendment_Aerated Static Pile</v>
      </c>
    </row>
    <row r="14235" spans="1:13" s="120" customFormat="1" x14ac:dyDescent="0.25">
      <c r="A14235" s="119"/>
      <c r="B14235" s="138" t="str">
        <f t="shared" si="1263"/>
        <v>Aerated Static Pile</v>
      </c>
      <c r="C14235" s="138" t="str">
        <f t="shared" si="1264"/>
        <v>Without Amendment</v>
      </c>
      <c r="D14235" s="138" t="str">
        <f t="shared" si="1267"/>
        <v>Medium_Low</v>
      </c>
      <c r="E14235" s="138" t="str">
        <f t="shared" si="1265"/>
        <v>High</v>
      </c>
      <c r="F14235" s="138" t="str">
        <f t="shared" si="1266"/>
        <v>Upgraded</v>
      </c>
      <c r="G14235" s="153"/>
      <c r="H14235" s="210">
        <v>6.6E-3</v>
      </c>
      <c r="I14235" s="160" t="s">
        <v>168</v>
      </c>
      <c r="J14235" s="211">
        <v>3.4562199999999999E-5</v>
      </c>
      <c r="K14235" s="160" t="s">
        <v>145</v>
      </c>
      <c r="L14235" s="154" t="str">
        <f>IF(OpenLCAbasic!K14235="CTUh", "Fill in Manually",IF(OR(K14235="Unit", K14235=""), "", INDEX(LookUps!$E$5:$E$12, MATCH(OpenLCAbasic!K14235,LookUps!$D$5:$D$12,0))))</f>
        <v>Particulate Matter Formation Potential (PMFP) - kg PM2.5 eq</v>
      </c>
      <c r="M14235" s="154" t="str">
        <f t="shared" si="1268"/>
        <v>High_Medium_Low_Upgraded_Particulate Matter Formation Potential (PMFP) - kg PM2.5 eq_ClearCove SCP; wastewater treatment unit; at updated plant - US_Without Amendment_Aerated Static Pile</v>
      </c>
    </row>
    <row r="14236" spans="1:13" s="120" customFormat="1" x14ac:dyDescent="0.25">
      <c r="A14236" s="119"/>
      <c r="B14236" s="138" t="str">
        <f t="shared" si="1263"/>
        <v>Aerated Static Pile</v>
      </c>
      <c r="C14236" s="138" t="str">
        <f t="shared" si="1264"/>
        <v>Without Amendment</v>
      </c>
      <c r="D14236" s="138" t="str">
        <f t="shared" si="1267"/>
        <v>Medium_Low</v>
      </c>
      <c r="E14236" s="138" t="str">
        <f t="shared" si="1265"/>
        <v>High</v>
      </c>
      <c r="F14236" s="138" t="str">
        <f t="shared" si="1266"/>
        <v>Upgraded</v>
      </c>
      <c r="G14236" s="153"/>
      <c r="H14236" s="210">
        <v>1.6999999999999999E-3</v>
      </c>
      <c r="I14236" s="160" t="s">
        <v>148</v>
      </c>
      <c r="J14236" s="211">
        <v>8.8212999999999997E-6</v>
      </c>
      <c r="K14236" s="160" t="s">
        <v>145</v>
      </c>
      <c r="L14236" s="154" t="str">
        <f>IF(OpenLCAbasic!K14236="CTUh", "Fill in Manually",IF(OR(K14236="Unit", K14236=""), "", INDEX(LookUps!$E$5:$E$12, MATCH(OpenLCAbasic!K14236,LookUps!$D$5:$D$12,0))))</f>
        <v>Particulate Matter Formation Potential (PMFP) - kg PM2.5 eq</v>
      </c>
      <c r="M14236" s="154" t="str">
        <f t="shared" si="1268"/>
        <v>High_Medium_Low_Upgraded_Particulate Matter Formation Potential (PMFP) - kg PM2.5 eq_Control Building; at upgraded wastewater treatment plant - US_Without Amendment_Aerated Static Pile</v>
      </c>
    </row>
    <row r="14237" spans="1:13" s="120" customFormat="1" x14ac:dyDescent="0.25">
      <c r="A14237" s="119"/>
      <c r="B14237" s="138" t="str">
        <f t="shared" si="1263"/>
        <v>Aerated Static Pile</v>
      </c>
      <c r="C14237" s="138" t="str">
        <f t="shared" si="1264"/>
        <v>Without Amendment</v>
      </c>
      <c r="D14237" s="138" t="str">
        <f t="shared" si="1267"/>
        <v>Medium_Low</v>
      </c>
      <c r="E14237" s="138" t="str">
        <f t="shared" si="1265"/>
        <v>High</v>
      </c>
      <c r="F14237" s="138" t="str">
        <f t="shared" si="1266"/>
        <v>Upgraded</v>
      </c>
      <c r="G14237" s="153"/>
      <c r="H14237" s="210">
        <v>-7.2499999999999995E-2</v>
      </c>
      <c r="I14237" s="160" t="s">
        <v>149</v>
      </c>
      <c r="J14237" s="160">
        <v>-3.8000000000000002E-4</v>
      </c>
      <c r="K14237" s="160" t="s">
        <v>145</v>
      </c>
      <c r="L14237" s="154" t="str">
        <f>IF(OpenLCAbasic!K14237="CTUh", "Fill in Manually",IF(OR(K14237="Unit", K14237=""), "", INDEX(LookUps!$E$5:$E$12, MATCH(OpenLCAbasic!K14237,LookUps!$D$5:$D$12,0))))</f>
        <v>Particulate Matter Formation Potential (PMFP) - kg PM2.5 eq</v>
      </c>
      <c r="M14237" s="154" t="str">
        <f t="shared" si="1268"/>
        <v>High_Medium_Low_Upgraded_Particulate Matter Formation Potential (PMFP) - kg PM2.5 eq_Anaerobic Digestion; wastewater treatment unit; at updated plant - US_Without Amendment_Aerated Static Pile</v>
      </c>
    </row>
    <row r="14238" spans="1:13" s="120" customFormat="1" x14ac:dyDescent="0.25">
      <c r="A14238" s="119"/>
      <c r="B14238" s="138" t="str">
        <f t="shared" si="1263"/>
        <v/>
      </c>
      <c r="C14238" s="138" t="str">
        <f t="shared" si="1264"/>
        <v/>
      </c>
      <c r="D14238" s="138" t="str">
        <f t="shared" si="1267"/>
        <v/>
      </c>
      <c r="E14238" s="138" t="str">
        <f t="shared" si="1265"/>
        <v/>
      </c>
      <c r="F14238" s="138" t="str">
        <f t="shared" si="1266"/>
        <v/>
      </c>
      <c r="G14238" s="153" t="s">
        <v>51</v>
      </c>
      <c r="H14238" s="160"/>
      <c r="I14238" s="160" t="s">
        <v>47</v>
      </c>
      <c r="J14238" s="160" t="s">
        <v>52</v>
      </c>
      <c r="K14238" s="160" t="s">
        <v>27</v>
      </c>
      <c r="L14238" s="154" t="str">
        <f>IF(OpenLCAbasic!K14238="CTUh", "Fill in Manually",IF(OR(K14238="Unit", K14238=""), "", INDEX(LookUps!$E$5:$E$12, MATCH(OpenLCAbasic!K14238,LookUps!$D$5:$D$12,0))))</f>
        <v/>
      </c>
      <c r="M14238" s="154" t="str">
        <f t="shared" si="1268"/>
        <v>____Process__</v>
      </c>
    </row>
    <row r="14239" spans="1:13" s="120" customFormat="1" x14ac:dyDescent="0.25">
      <c r="A14239" s="119"/>
      <c r="B14239" s="138" t="str">
        <f t="shared" si="1263"/>
        <v>Aerated Static Pile</v>
      </c>
      <c r="C14239" s="138" t="str">
        <f t="shared" si="1264"/>
        <v>Without Amendment</v>
      </c>
      <c r="D14239" s="138" t="str">
        <f t="shared" si="1267"/>
        <v>Medium_Low</v>
      </c>
      <c r="E14239" s="138" t="str">
        <f t="shared" si="1265"/>
        <v>High</v>
      </c>
      <c r="F14239" s="138" t="str">
        <f t="shared" si="1266"/>
        <v>Upgraded</v>
      </c>
      <c r="G14239" s="153"/>
      <c r="H14239" s="210">
        <v>0.44080000000000003</v>
      </c>
      <c r="I14239" s="160" t="s">
        <v>55</v>
      </c>
      <c r="J14239" s="160">
        <v>0.16577</v>
      </c>
      <c r="K14239" s="160" t="s">
        <v>25</v>
      </c>
      <c r="L14239" s="154" t="str">
        <f>IF(OpenLCAbasic!K14239="CTUh", "Fill in Manually",IF(OR(K14239="Unit", K14239=""), "", INDEX(LookUps!$E$5:$E$12, MATCH(OpenLCAbasic!K14239,LookUps!$D$5:$D$12,0))))</f>
        <v>Smog Formation Potential (SFP) - kg O3 eq</v>
      </c>
      <c r="M14239" s="154" t="str">
        <f t="shared" si="1268"/>
        <v>High_Medium_Low_Upgraded_Smog Formation Potential (SFP) - kg O3 eq_Aeration Tanks; wastewater treatment unit; at updated plant - US_Without Amendment_Aerated Static Pile</v>
      </c>
    </row>
    <row r="14240" spans="1:13" s="120" customFormat="1" x14ac:dyDescent="0.25">
      <c r="A14240" s="119"/>
      <c r="B14240" s="138" t="str">
        <f t="shared" si="1263"/>
        <v>Aerated Static Pile</v>
      </c>
      <c r="C14240" s="138" t="str">
        <f t="shared" si="1264"/>
        <v>Without Amendment</v>
      </c>
      <c r="D14240" s="138" t="str">
        <f t="shared" si="1267"/>
        <v>Medium_Low</v>
      </c>
      <c r="E14240" s="138" t="str">
        <f t="shared" si="1265"/>
        <v>High</v>
      </c>
      <c r="F14240" s="138" t="str">
        <f t="shared" si="1266"/>
        <v>Upgraded</v>
      </c>
      <c r="G14240" s="153"/>
      <c r="H14240" s="210">
        <v>0.1278</v>
      </c>
      <c r="I14240" s="160" t="s">
        <v>54</v>
      </c>
      <c r="J14240" s="160">
        <v>4.8070000000000002E-2</v>
      </c>
      <c r="K14240" s="160" t="s">
        <v>25</v>
      </c>
      <c r="L14240" s="154" t="str">
        <f>IF(OpenLCAbasic!K14240="CTUh", "Fill in Manually",IF(OR(K14240="Unit", K14240=""), "", INDEX(LookUps!$E$5:$E$12, MATCH(OpenLCAbasic!K14240,LookUps!$D$5:$D$12,0))))</f>
        <v>Smog Formation Potential (SFP) - kg O3 eq</v>
      </c>
      <c r="M14240" s="154" t="str">
        <f t="shared" si="1268"/>
        <v>High_Medium_Low_Upgraded_Smog Formation Potential (SFP) - kg O3 eq_Clear Cove Primary Clarification; wastewater treatment unit; at updated plant - US_Without Amendment_Aerated Static Pile</v>
      </c>
    </row>
    <row r="14241" spans="1:13" s="120" customFormat="1" x14ac:dyDescent="0.25">
      <c r="A14241" s="119"/>
      <c r="B14241" s="138" t="str">
        <f t="shared" si="1263"/>
        <v>Aerated Static Pile</v>
      </c>
      <c r="C14241" s="138" t="str">
        <f t="shared" si="1264"/>
        <v>Without Amendment</v>
      </c>
      <c r="D14241" s="138" t="str">
        <f t="shared" si="1267"/>
        <v>Medium_Low</v>
      </c>
      <c r="E14241" s="138" t="str">
        <f t="shared" si="1265"/>
        <v>High</v>
      </c>
      <c r="F14241" s="138" t="str">
        <f t="shared" si="1266"/>
        <v>Upgraded</v>
      </c>
      <c r="G14241" s="153"/>
      <c r="H14241" s="210">
        <v>0.1115</v>
      </c>
      <c r="I14241" s="160" t="s">
        <v>58</v>
      </c>
      <c r="J14241" s="160">
        <v>4.1919999999999999E-2</v>
      </c>
      <c r="K14241" s="160" t="s">
        <v>25</v>
      </c>
      <c r="L14241" s="154" t="str">
        <f>IF(OpenLCAbasic!K14241="CTUh", "Fill in Manually",IF(OR(K14241="Unit", K14241=""), "", INDEX(LookUps!$E$5:$E$12, MATCH(OpenLCAbasic!K14241,LookUps!$D$5:$D$12,0))))</f>
        <v>Smog Formation Potential (SFP) - kg O3 eq</v>
      </c>
      <c r="M14241" s="154" t="str">
        <f t="shared" si="1268"/>
        <v>High_Medium_Low_Upgraded_Smog Formation Potential (SFP) - kg O3 eq_Pre-Anoxic &amp; Swing tank; wastewater treatment unit; at updated plant - US_Without Amendment_Aerated Static Pile</v>
      </c>
    </row>
    <row r="14242" spans="1:13" s="120" customFormat="1" x14ac:dyDescent="0.25">
      <c r="A14242" s="119"/>
      <c r="B14242" s="138" t="str">
        <f t="shared" si="1263"/>
        <v>Aerated Static Pile</v>
      </c>
      <c r="C14242" s="138" t="str">
        <f t="shared" si="1264"/>
        <v>Without Amendment</v>
      </c>
      <c r="D14242" s="138" t="str">
        <f t="shared" si="1267"/>
        <v>Medium_Low</v>
      </c>
      <c r="E14242" s="138" t="str">
        <f t="shared" si="1265"/>
        <v>High</v>
      </c>
      <c r="F14242" s="138" t="str">
        <f t="shared" si="1266"/>
        <v>Upgraded</v>
      </c>
      <c r="G14242" s="153"/>
      <c r="H14242" s="210">
        <v>8.8099999999999998E-2</v>
      </c>
      <c r="I14242" s="160" t="s">
        <v>53</v>
      </c>
      <c r="J14242" s="160">
        <v>3.313E-2</v>
      </c>
      <c r="K14242" s="160" t="s">
        <v>25</v>
      </c>
      <c r="L14242" s="154" t="str">
        <f>IF(OpenLCAbasic!K14242="CTUh", "Fill in Manually",IF(OR(K14242="Unit", K14242=""), "", INDEX(LookUps!$E$5:$E$12, MATCH(OpenLCAbasic!K14242,LookUps!$D$5:$D$12,0))))</f>
        <v>Smog Formation Potential (SFP) - kg O3 eq</v>
      </c>
      <c r="M14242" s="154" t="str">
        <f t="shared" si="1268"/>
        <v>High_Medium_Low_Upgraded_Smog Formation Potential (SFP) - kg O3 eq_Wet Well and Sump Station; wastewater treatment unit; at updated plant - US_Without Amendment_Aerated Static Pile</v>
      </c>
    </row>
    <row r="14243" spans="1:13" s="120" customFormat="1" x14ac:dyDescent="0.25">
      <c r="A14243" s="119"/>
      <c r="B14243" s="138" t="str">
        <f t="shared" si="1263"/>
        <v>Aerated Static Pile</v>
      </c>
      <c r="C14243" s="138" t="str">
        <f t="shared" si="1264"/>
        <v>Without Amendment</v>
      </c>
      <c r="D14243" s="138" t="str">
        <f t="shared" si="1267"/>
        <v>Medium_Low</v>
      </c>
      <c r="E14243" s="138" t="str">
        <f t="shared" si="1265"/>
        <v>High</v>
      </c>
      <c r="F14243" s="138" t="str">
        <f t="shared" si="1266"/>
        <v>Upgraded</v>
      </c>
      <c r="G14243" s="153"/>
      <c r="H14243" s="210">
        <v>8.1699999999999995E-2</v>
      </c>
      <c r="I14243" s="160" t="s">
        <v>167</v>
      </c>
      <c r="J14243" s="160">
        <v>3.0710000000000001E-2</v>
      </c>
      <c r="K14243" s="160" t="s">
        <v>25</v>
      </c>
      <c r="L14243" s="154" t="str">
        <f>IF(OpenLCAbasic!K14243="CTUh", "Fill in Manually",IF(OR(K14243="Unit", K14243=""), "", INDEX(LookUps!$E$5:$E$12, MATCH(OpenLCAbasic!K14243,LookUps!$D$5:$D$12,0))))</f>
        <v>Smog Formation Potential (SFP) - kg O3 eq</v>
      </c>
      <c r="M14243" s="154" t="str">
        <f t="shared" si="1268"/>
        <v>High_Medium_Low_Upgraded_Smog Formation Potential (SFP) - kg O3 eq_Waste Receiving and Holding; wastewater treatment unit; at updated plant - US_Without Amendment_Aerated Static Pile</v>
      </c>
    </row>
    <row r="14244" spans="1:13" s="120" customFormat="1" x14ac:dyDescent="0.25">
      <c r="A14244" s="119"/>
      <c r="B14244" s="138" t="str">
        <f t="shared" si="1263"/>
        <v>Aerated Static Pile</v>
      </c>
      <c r="C14244" s="138" t="str">
        <f t="shared" si="1264"/>
        <v>Without Amendment</v>
      </c>
      <c r="D14244" s="138" t="str">
        <f t="shared" si="1267"/>
        <v>Medium_Low</v>
      </c>
      <c r="E14244" s="138" t="str">
        <f t="shared" si="1265"/>
        <v>High</v>
      </c>
      <c r="F14244" s="138" t="str">
        <f t="shared" si="1266"/>
        <v>Upgraded</v>
      </c>
      <c r="G14244" s="153"/>
      <c r="H14244" s="210">
        <v>6.6600000000000006E-2</v>
      </c>
      <c r="I14244" s="160" t="s">
        <v>435</v>
      </c>
      <c r="J14244" s="160">
        <v>2.5049999999999999E-2</v>
      </c>
      <c r="K14244" s="160" t="s">
        <v>25</v>
      </c>
      <c r="L14244" s="154" t="str">
        <f>IF(OpenLCAbasic!K14244="CTUh", "Fill in Manually",IF(OR(K14244="Unit", K14244=""), "", INDEX(LookUps!$E$5:$E$12, MATCH(OpenLCAbasic!K14244,LookUps!$D$5:$D$12,0))))</f>
        <v>Smog Formation Potential (SFP) - kg O3 eq</v>
      </c>
      <c r="M14244" s="154" t="str">
        <f t="shared" si="1268"/>
        <v>High_Medium_Low_Upgraded_Smog Formation Potential (SFP) - kg O3 eq_Biosolids composting; aerated static pile; wastewater treatment unit; at updated plant - US_Without Amendment_Aerated Static Pile</v>
      </c>
    </row>
    <row r="14245" spans="1:13" s="120" customFormat="1" x14ac:dyDescent="0.25">
      <c r="A14245" s="119"/>
      <c r="B14245" s="138" t="str">
        <f t="shared" si="1263"/>
        <v>Aerated Static Pile</v>
      </c>
      <c r="C14245" s="138" t="str">
        <f t="shared" si="1264"/>
        <v>Without Amendment</v>
      </c>
      <c r="D14245" s="138" t="str">
        <f t="shared" si="1267"/>
        <v>Medium_Low</v>
      </c>
      <c r="E14245" s="138" t="str">
        <f t="shared" si="1265"/>
        <v>High</v>
      </c>
      <c r="F14245" s="138" t="str">
        <f t="shared" si="1266"/>
        <v>Upgraded</v>
      </c>
      <c r="G14245" s="153"/>
      <c r="H14245" s="210">
        <v>5.16E-2</v>
      </c>
      <c r="I14245" s="160" t="s">
        <v>147</v>
      </c>
      <c r="J14245" s="160">
        <v>1.9400000000000001E-2</v>
      </c>
      <c r="K14245" s="160" t="s">
        <v>25</v>
      </c>
      <c r="L14245" s="154" t="str">
        <f>IF(OpenLCAbasic!K14245="CTUh", "Fill in Manually",IF(OR(K14245="Unit", K14245=""), "", INDEX(LookUps!$E$5:$E$12, MATCH(OpenLCAbasic!K14245,LookUps!$D$5:$D$12,0))))</f>
        <v>Smog Formation Potential (SFP) - kg O3 eq</v>
      </c>
      <c r="M14245" s="154" t="str">
        <f t="shared" si="1268"/>
        <v>High_Medium_Low_Upgraded_Smog Formation Potential (SFP) - kg O3 eq_Influent Pump Station; wastewater treatment unit; at updated plant - US_Without Amendment_Aerated Static Pile</v>
      </c>
    </row>
    <row r="14246" spans="1:13" s="120" customFormat="1" x14ac:dyDescent="0.25">
      <c r="A14246" s="119"/>
      <c r="B14246" s="138" t="str">
        <f t="shared" si="1263"/>
        <v>Aerated Static Pile</v>
      </c>
      <c r="C14246" s="138" t="str">
        <f t="shared" si="1264"/>
        <v>Without Amendment</v>
      </c>
      <c r="D14246" s="138" t="str">
        <f t="shared" si="1267"/>
        <v>Medium_Low</v>
      </c>
      <c r="E14246" s="138" t="str">
        <f t="shared" si="1265"/>
        <v>High</v>
      </c>
      <c r="F14246" s="138" t="str">
        <f t="shared" si="1266"/>
        <v>Upgraded</v>
      </c>
      <c r="G14246" s="153"/>
      <c r="H14246" s="210">
        <v>3.1699999999999999E-2</v>
      </c>
      <c r="I14246" s="160" t="s">
        <v>128</v>
      </c>
      <c r="J14246" s="160">
        <v>1.192E-2</v>
      </c>
      <c r="K14246" s="160" t="s">
        <v>25</v>
      </c>
      <c r="L14246" s="154" t="str">
        <f>IF(OpenLCAbasic!K14246="CTUh", "Fill in Manually",IF(OR(K14246="Unit", K14246=""), "", INDEX(LookUps!$E$5:$E$12, MATCH(OpenLCAbasic!K14246,LookUps!$D$5:$D$12,0))))</f>
        <v>Smog Formation Potential (SFP) - kg O3 eq</v>
      </c>
      <c r="M14246" s="154" t="str">
        <f t="shared" si="1268"/>
        <v>High_Medium_Low_Upgraded_Smog Formation Potential (SFP) - kg O3 eq_Wastewater collection; operation and infrastructure; m3 wastewater_Without Amendment_Aerated Static Pile</v>
      </c>
    </row>
    <row r="14247" spans="1:13" s="120" customFormat="1" x14ac:dyDescent="0.25">
      <c r="A14247" s="119"/>
      <c r="B14247" s="138" t="str">
        <f t="shared" si="1263"/>
        <v>Aerated Static Pile</v>
      </c>
      <c r="C14247" s="138" t="str">
        <f t="shared" si="1264"/>
        <v>Without Amendment</v>
      </c>
      <c r="D14247" s="138" t="str">
        <f t="shared" si="1267"/>
        <v>Medium_Low</v>
      </c>
      <c r="E14247" s="138" t="str">
        <f t="shared" si="1265"/>
        <v>High</v>
      </c>
      <c r="F14247" s="138" t="str">
        <f t="shared" si="1266"/>
        <v>Upgraded</v>
      </c>
      <c r="G14247" s="153"/>
      <c r="H14247" s="210">
        <v>3.04E-2</v>
      </c>
      <c r="I14247" s="160" t="s">
        <v>60</v>
      </c>
      <c r="J14247" s="160">
        <v>1.145E-2</v>
      </c>
      <c r="K14247" s="160" t="s">
        <v>25</v>
      </c>
      <c r="L14247" s="154" t="str">
        <f>IF(OpenLCAbasic!K14247="CTUh", "Fill in Manually",IF(OR(K14247="Unit", K14247=""), "", INDEX(LookUps!$E$5:$E$12, MATCH(OpenLCAbasic!K14247,LookUps!$D$5:$D$12,0))))</f>
        <v>Smog Formation Potential (SFP) - kg O3 eq</v>
      </c>
      <c r="M14247" s="154" t="str">
        <f t="shared" si="1268"/>
        <v>High_Medium_Low_Upgraded_Smog Formation Potential (SFP) - kg O3 eq_Belt filter press; wastewater treatment unit; at updated plant - US_Without Amendment_Aerated Static Pile</v>
      </c>
    </row>
    <row r="14248" spans="1:13" s="120" customFormat="1" x14ac:dyDescent="0.25">
      <c r="A14248" s="119"/>
      <c r="B14248" s="138" t="str">
        <f t="shared" si="1263"/>
        <v>Aerated Static Pile</v>
      </c>
      <c r="C14248" s="138" t="str">
        <f t="shared" si="1264"/>
        <v>Without Amendment</v>
      </c>
      <c r="D14248" s="138" t="str">
        <f t="shared" si="1267"/>
        <v>Medium_Low</v>
      </c>
      <c r="E14248" s="138" t="str">
        <f t="shared" si="1265"/>
        <v>High</v>
      </c>
      <c r="F14248" s="138" t="str">
        <f t="shared" si="1266"/>
        <v>Upgraded</v>
      </c>
      <c r="G14248" s="153"/>
      <c r="H14248" s="210">
        <v>1.77E-2</v>
      </c>
      <c r="I14248" s="160" t="s">
        <v>57</v>
      </c>
      <c r="J14248" s="160">
        <v>6.6499999999999997E-3</v>
      </c>
      <c r="K14248" s="160" t="s">
        <v>25</v>
      </c>
      <c r="L14248" s="154" t="str">
        <f>IF(OpenLCAbasic!K14248="CTUh", "Fill in Manually",IF(OR(K14248="Unit", K14248=""), "", INDEX(LookUps!$E$5:$E$12, MATCH(OpenLCAbasic!K14248,LookUps!$D$5:$D$12,0))))</f>
        <v>Smog Formation Potential (SFP) - kg O3 eq</v>
      </c>
      <c r="M14248" s="154" t="str">
        <f t="shared" si="1268"/>
        <v>High_Medium_Low_Upgraded_Smog Formation Potential (SFP) - kg O3 eq_Gravity Belt Thickener; wastewater treatment unit; at updated plant - US_Without Amendment_Aerated Static Pile</v>
      </c>
    </row>
    <row r="14249" spans="1:13" s="120" customFormat="1" x14ac:dyDescent="0.25">
      <c r="A14249" s="119"/>
      <c r="B14249" s="138" t="str">
        <f t="shared" ref="B14249:B14312" si="1269">IF(F14249="Legacy","n.a.",IF(F14249="","","Aerated Static Pile"))</f>
        <v>Aerated Static Pile</v>
      </c>
      <c r="C14249" s="138" t="str">
        <f t="shared" ref="C14249:C14312" si="1270">IF(ISNUMBER($J14249),"Without Amendment","")</f>
        <v>Without Amendment</v>
      </c>
      <c r="D14249" s="138" t="str">
        <f t="shared" si="1267"/>
        <v>Medium_Low</v>
      </c>
      <c r="E14249" s="138" t="str">
        <f t="shared" ref="E14249:E14312" si="1271">IF(ISNUMBER($J14249),"High","")</f>
        <v>High</v>
      </c>
      <c r="F14249" s="138" t="str">
        <f t="shared" ref="F14249:F14312" si="1272">IF(ISNUMBER(J14249),"Upgraded","")</f>
        <v>Upgraded</v>
      </c>
      <c r="G14249" s="153"/>
      <c r="H14249" s="210">
        <v>1.32E-2</v>
      </c>
      <c r="I14249" s="160" t="s">
        <v>59</v>
      </c>
      <c r="J14249" s="160">
        <v>4.9699999999999996E-3</v>
      </c>
      <c r="K14249" s="160" t="s">
        <v>25</v>
      </c>
      <c r="L14249" s="154" t="str">
        <f>IF(OpenLCAbasic!K14249="CTUh", "Fill in Manually",IF(OR(K14249="Unit", K14249=""), "", INDEX(LookUps!$E$5:$E$12, MATCH(OpenLCAbasic!K14249,LookUps!$D$5:$D$12,0))))</f>
        <v>Smog Formation Potential (SFP) - kg O3 eq</v>
      </c>
      <c r="M14249" s="154" t="str">
        <f t="shared" si="1268"/>
        <v>High_Medium_Low_Upgraded_Smog Formation Potential (SFP) - kg O3 eq_Blend Tank; wastewater treatment unit; at updated plant - US_Without Amendment_Aerated Static Pile</v>
      </c>
    </row>
    <row r="14250" spans="1:13" s="120" customFormat="1" x14ac:dyDescent="0.25">
      <c r="A14250" s="119"/>
      <c r="B14250" s="138" t="str">
        <f t="shared" si="1269"/>
        <v>Aerated Static Pile</v>
      </c>
      <c r="C14250" s="138" t="str">
        <f t="shared" si="1270"/>
        <v>Without Amendment</v>
      </c>
      <c r="D14250" s="138" t="str">
        <f t="shared" si="1267"/>
        <v>Medium_Low</v>
      </c>
      <c r="E14250" s="138" t="str">
        <f t="shared" si="1271"/>
        <v>High</v>
      </c>
      <c r="F14250" s="138" t="str">
        <f t="shared" si="1272"/>
        <v>Upgraded</v>
      </c>
      <c r="G14250" s="153"/>
      <c r="H14250" s="210">
        <v>8.9999999999999993E-3</v>
      </c>
      <c r="I14250" s="160" t="s">
        <v>48</v>
      </c>
      <c r="J14250" s="160">
        <v>3.3899999999999998E-3</v>
      </c>
      <c r="K14250" s="160" t="s">
        <v>25</v>
      </c>
      <c r="L14250" s="154" t="str">
        <f>IF(OpenLCAbasic!K14250="CTUh", "Fill in Manually",IF(OR(K14250="Unit", K14250=""), "", INDEX(LookUps!$E$5:$E$12, MATCH(OpenLCAbasic!K14250,LookUps!$D$5:$D$12,0))))</f>
        <v>Smog Formation Potential (SFP) - kg O3 eq</v>
      </c>
      <c r="M14250" s="154" t="str">
        <f t="shared" si="1268"/>
        <v>High_Medium_Low_Upgraded_Smog Formation Potential (SFP) - kg O3 eq_Effluent release; wastewater treatment unit; at surface water; m3 wastewater - US_Without Amendment_Aerated Static Pile</v>
      </c>
    </row>
    <row r="14251" spans="1:13" s="120" customFormat="1" x14ac:dyDescent="0.25">
      <c r="A14251" s="119"/>
      <c r="B14251" s="138" t="str">
        <f t="shared" si="1269"/>
        <v>Aerated Static Pile</v>
      </c>
      <c r="C14251" s="138" t="str">
        <f t="shared" si="1270"/>
        <v>Without Amendment</v>
      </c>
      <c r="D14251" s="138" t="str">
        <f t="shared" si="1267"/>
        <v>Medium_Low</v>
      </c>
      <c r="E14251" s="138" t="str">
        <f t="shared" si="1271"/>
        <v>High</v>
      </c>
      <c r="F14251" s="138" t="str">
        <f t="shared" si="1272"/>
        <v>Upgraded</v>
      </c>
      <c r="G14251" s="153"/>
      <c r="H14251" s="210">
        <v>6.4999999999999997E-3</v>
      </c>
      <c r="I14251" s="160" t="s">
        <v>168</v>
      </c>
      <c r="J14251" s="160">
        <v>2.4599999999999999E-3</v>
      </c>
      <c r="K14251" s="160" t="s">
        <v>25</v>
      </c>
      <c r="L14251" s="154" t="str">
        <f>IF(OpenLCAbasic!K14251="CTUh", "Fill in Manually",IF(OR(K14251="Unit", K14251=""), "", INDEX(LookUps!$E$5:$E$12, MATCH(OpenLCAbasic!K14251,LookUps!$D$5:$D$12,0))))</f>
        <v>Smog Formation Potential (SFP) - kg O3 eq</v>
      </c>
      <c r="M14251" s="154" t="str">
        <f t="shared" si="1268"/>
        <v>High_Medium_Low_Upgraded_Smog Formation Potential (SFP) - kg O3 eq_ClearCove SCP; wastewater treatment unit; at updated plant - US_Without Amendment_Aerated Static Pile</v>
      </c>
    </row>
    <row r="14252" spans="1:13" s="120" customFormat="1" x14ac:dyDescent="0.25">
      <c r="A14252" s="119"/>
      <c r="B14252" s="138" t="str">
        <f t="shared" si="1269"/>
        <v>Aerated Static Pile</v>
      </c>
      <c r="C14252" s="138" t="str">
        <f t="shared" si="1270"/>
        <v>Without Amendment</v>
      </c>
      <c r="D14252" s="138" t="str">
        <f t="shared" si="1267"/>
        <v>Medium_Low</v>
      </c>
      <c r="E14252" s="138" t="str">
        <f t="shared" si="1271"/>
        <v>High</v>
      </c>
      <c r="F14252" s="138" t="str">
        <f t="shared" si="1272"/>
        <v>Upgraded</v>
      </c>
      <c r="G14252" s="153"/>
      <c r="H14252" s="210">
        <v>1.4E-3</v>
      </c>
      <c r="I14252" s="160" t="s">
        <v>148</v>
      </c>
      <c r="J14252" s="160">
        <v>5.4000000000000001E-4</v>
      </c>
      <c r="K14252" s="160" t="s">
        <v>25</v>
      </c>
      <c r="L14252" s="154" t="str">
        <f>IF(OpenLCAbasic!K14252="CTUh", "Fill in Manually",IF(OR(K14252="Unit", K14252=""), "", INDEX(LookUps!$E$5:$E$12, MATCH(OpenLCAbasic!K14252,LookUps!$D$5:$D$12,0))))</f>
        <v>Smog Formation Potential (SFP) - kg O3 eq</v>
      </c>
      <c r="M14252" s="154" t="str">
        <f t="shared" si="1268"/>
        <v>High_Medium_Low_Upgraded_Smog Formation Potential (SFP) - kg O3 eq_Control Building; at upgraded wastewater treatment plant - US_Without Amendment_Aerated Static Pile</v>
      </c>
    </row>
    <row r="14253" spans="1:13" s="120" customFormat="1" x14ac:dyDescent="0.25">
      <c r="A14253" s="119"/>
      <c r="B14253" s="138" t="str">
        <f t="shared" si="1269"/>
        <v>Aerated Static Pile</v>
      </c>
      <c r="C14253" s="138" t="str">
        <f t="shared" si="1270"/>
        <v>Without Amendment</v>
      </c>
      <c r="D14253" s="138" t="str">
        <f t="shared" si="1267"/>
        <v>Medium_Low</v>
      </c>
      <c r="E14253" s="138" t="str">
        <f t="shared" si="1271"/>
        <v>High</v>
      </c>
      <c r="F14253" s="138" t="str">
        <f t="shared" si="1272"/>
        <v>Upgraded</v>
      </c>
      <c r="G14253" s="153"/>
      <c r="H14253" s="210">
        <v>-6.8999999999999999E-3</v>
      </c>
      <c r="I14253" s="160" t="s">
        <v>62</v>
      </c>
      <c r="J14253" s="160">
        <v>-2.6099999999999999E-3</v>
      </c>
      <c r="K14253" s="160" t="s">
        <v>25</v>
      </c>
      <c r="L14253" s="154" t="str">
        <f>IF(OpenLCAbasic!K14253="CTUh", "Fill in Manually",IF(OR(K14253="Unit", K14253=""), "", INDEX(LookUps!$E$5:$E$12, MATCH(OpenLCAbasic!K14253,LookUps!$D$5:$D$12,0))))</f>
        <v>Smog Formation Potential (SFP) - kg O3 eq</v>
      </c>
      <c r="M14253" s="154" t="str">
        <f t="shared" si="1268"/>
        <v>High_Medium_Low_Upgraded_Smog Formation Potential (SFP) - kg O3 eq_Land application of compost; wastewater treatment unit; at updated plant - US_Without Amendment_Aerated Static Pile</v>
      </c>
    </row>
    <row r="14254" spans="1:13" s="120" customFormat="1" x14ac:dyDescent="0.25">
      <c r="A14254" s="119"/>
      <c r="B14254" s="138" t="str">
        <f t="shared" si="1269"/>
        <v>Aerated Static Pile</v>
      </c>
      <c r="C14254" s="138" t="str">
        <f t="shared" si="1270"/>
        <v>Without Amendment</v>
      </c>
      <c r="D14254" s="138" t="str">
        <f t="shared" si="1267"/>
        <v>Medium_Low</v>
      </c>
      <c r="E14254" s="138" t="str">
        <f t="shared" si="1271"/>
        <v>High</v>
      </c>
      <c r="F14254" s="138" t="str">
        <f t="shared" si="1272"/>
        <v>Upgraded</v>
      </c>
      <c r="G14254" s="153"/>
      <c r="H14254" s="210">
        <v>-7.1099999999999997E-2</v>
      </c>
      <c r="I14254" s="160" t="s">
        <v>149</v>
      </c>
      <c r="J14254" s="160">
        <v>-2.673E-2</v>
      </c>
      <c r="K14254" s="160" t="s">
        <v>25</v>
      </c>
      <c r="L14254" s="154" t="str">
        <f>IF(OpenLCAbasic!K14254="CTUh", "Fill in Manually",IF(OR(K14254="Unit", K14254=""), "", INDEX(LookUps!$E$5:$E$12, MATCH(OpenLCAbasic!K14254,LookUps!$D$5:$D$12,0))))</f>
        <v>Smog Formation Potential (SFP) - kg O3 eq</v>
      </c>
      <c r="M14254" s="154" t="str">
        <f t="shared" si="1268"/>
        <v>High_Medium_Low_Upgraded_Smog Formation Potential (SFP) - kg O3 eq_Anaerobic Digestion; wastewater treatment unit; at updated plant - US_Without Amendment_Aerated Static Pile</v>
      </c>
    </row>
    <row r="14255" spans="1:13" s="120" customFormat="1" x14ac:dyDescent="0.25">
      <c r="A14255" s="119"/>
      <c r="B14255" s="138" t="str">
        <f t="shared" si="1269"/>
        <v/>
      </c>
      <c r="C14255" s="138" t="str">
        <f t="shared" si="1270"/>
        <v/>
      </c>
      <c r="D14255" s="138" t="str">
        <f t="shared" si="1267"/>
        <v/>
      </c>
      <c r="E14255" s="138" t="str">
        <f t="shared" si="1271"/>
        <v/>
      </c>
      <c r="F14255" s="138" t="str">
        <f t="shared" si="1272"/>
        <v/>
      </c>
      <c r="G14255" s="153" t="s">
        <v>51</v>
      </c>
      <c r="H14255" s="160"/>
      <c r="I14255" s="160" t="s">
        <v>47</v>
      </c>
      <c r="J14255" s="160" t="s">
        <v>52</v>
      </c>
      <c r="K14255" s="160" t="s">
        <v>27</v>
      </c>
      <c r="L14255" s="154" t="str">
        <f>IF(OpenLCAbasic!K14255="CTUh", "Fill in Manually",IF(OR(K14255="Unit", K14255=""), "", INDEX(LookUps!$E$5:$E$12, MATCH(OpenLCAbasic!K14255,LookUps!$D$5:$D$12,0))))</f>
        <v/>
      </c>
      <c r="M14255" s="154" t="str">
        <f t="shared" si="1268"/>
        <v>____Process__</v>
      </c>
    </row>
    <row r="14256" spans="1:13" s="120" customFormat="1" x14ac:dyDescent="0.25">
      <c r="A14256" s="119"/>
      <c r="B14256" s="138" t="str">
        <f t="shared" si="1269"/>
        <v>Aerated Static Pile</v>
      </c>
      <c r="C14256" s="138" t="str">
        <f t="shared" si="1270"/>
        <v>Without Amendment</v>
      </c>
      <c r="D14256" s="138" t="str">
        <f t="shared" si="1267"/>
        <v>Medium_Low</v>
      </c>
      <c r="E14256" s="138" t="str">
        <f t="shared" si="1271"/>
        <v>High</v>
      </c>
      <c r="F14256" s="138" t="str">
        <f t="shared" si="1272"/>
        <v>Upgraded</v>
      </c>
      <c r="G14256" s="153"/>
      <c r="H14256" s="210">
        <v>2.6665000000000001</v>
      </c>
      <c r="I14256" s="160" t="s">
        <v>167</v>
      </c>
      <c r="J14256" s="160">
        <v>2.7999999999999998E-4</v>
      </c>
      <c r="K14256" s="160" t="s">
        <v>26</v>
      </c>
      <c r="L14256" s="154" t="str">
        <f>IF(OpenLCAbasic!K14256="CTUh", "Fill in Manually",IF(OR(K14256="Unit", K14256=""), "", INDEX(LookUps!$E$5:$E$12, MATCH(OpenLCAbasic!K14256,LookUps!$D$5:$D$12,0))))</f>
        <v>Water Use (WU) - m3 H2O</v>
      </c>
      <c r="M14256" s="154" t="str">
        <f t="shared" si="1268"/>
        <v>High_Medium_Low_Upgraded_Water Use (WU) - m3 H2O_Waste Receiving and Holding; wastewater treatment unit; at updated plant - US_Without Amendment_Aerated Static Pile</v>
      </c>
    </row>
    <row r="14257" spans="1:13" s="120" customFormat="1" x14ac:dyDescent="0.25">
      <c r="A14257" s="119"/>
      <c r="B14257" s="138" t="str">
        <f t="shared" si="1269"/>
        <v>Aerated Static Pile</v>
      </c>
      <c r="C14257" s="138" t="str">
        <f t="shared" si="1270"/>
        <v>Without Amendment</v>
      </c>
      <c r="D14257" s="138" t="str">
        <f t="shared" si="1267"/>
        <v>Medium_Low</v>
      </c>
      <c r="E14257" s="138" t="str">
        <f t="shared" si="1271"/>
        <v>High</v>
      </c>
      <c r="F14257" s="138" t="str">
        <f t="shared" si="1272"/>
        <v>Upgraded</v>
      </c>
      <c r="G14257" s="153"/>
      <c r="H14257" s="210">
        <v>1.7405999999999999</v>
      </c>
      <c r="I14257" s="160" t="s">
        <v>147</v>
      </c>
      <c r="J14257" s="160">
        <v>1.8000000000000001E-4</v>
      </c>
      <c r="K14257" s="160" t="s">
        <v>26</v>
      </c>
      <c r="L14257" s="154" t="str">
        <f>IF(OpenLCAbasic!K14257="CTUh", "Fill in Manually",IF(OR(K14257="Unit", K14257=""), "", INDEX(LookUps!$E$5:$E$12, MATCH(OpenLCAbasic!K14257,LookUps!$D$5:$D$12,0))))</f>
        <v>Water Use (WU) - m3 H2O</v>
      </c>
      <c r="M14257" s="154" t="str">
        <f t="shared" si="1268"/>
        <v>High_Medium_Low_Upgraded_Water Use (WU) - m3 H2O_Influent Pump Station; wastewater treatment unit; at updated plant - US_Without Amendment_Aerated Static Pile</v>
      </c>
    </row>
    <row r="14258" spans="1:13" s="120" customFormat="1" x14ac:dyDescent="0.25">
      <c r="A14258" s="119"/>
      <c r="B14258" s="138" t="str">
        <f t="shared" si="1269"/>
        <v>Aerated Static Pile</v>
      </c>
      <c r="C14258" s="138" t="str">
        <f t="shared" si="1270"/>
        <v>Without Amendment</v>
      </c>
      <c r="D14258" s="138" t="str">
        <f t="shared" si="1267"/>
        <v>Medium_Low</v>
      </c>
      <c r="E14258" s="138" t="str">
        <f t="shared" si="1271"/>
        <v>High</v>
      </c>
      <c r="F14258" s="138" t="str">
        <f t="shared" si="1272"/>
        <v>Upgraded</v>
      </c>
      <c r="G14258" s="153"/>
      <c r="H14258" s="210">
        <v>1.6982999999999999</v>
      </c>
      <c r="I14258" s="160" t="s">
        <v>54</v>
      </c>
      <c r="J14258" s="160">
        <v>1.8000000000000001E-4</v>
      </c>
      <c r="K14258" s="160" t="s">
        <v>26</v>
      </c>
      <c r="L14258" s="154" t="str">
        <f>IF(OpenLCAbasic!K14258="CTUh", "Fill in Manually",IF(OR(K14258="Unit", K14258=""), "", INDEX(LookUps!$E$5:$E$12, MATCH(OpenLCAbasic!K14258,LookUps!$D$5:$D$12,0))))</f>
        <v>Water Use (WU) - m3 H2O</v>
      </c>
      <c r="M14258" s="154" t="str">
        <f t="shared" si="1268"/>
        <v>High_Medium_Low_Upgraded_Water Use (WU) - m3 H2O_Clear Cove Primary Clarification; wastewater treatment unit; at updated plant - US_Without Amendment_Aerated Static Pile</v>
      </c>
    </row>
    <row r="14259" spans="1:13" s="120" customFormat="1" x14ac:dyDescent="0.25">
      <c r="A14259" s="119"/>
      <c r="B14259" s="138" t="str">
        <f t="shared" si="1269"/>
        <v>Aerated Static Pile</v>
      </c>
      <c r="C14259" s="138" t="str">
        <f t="shared" si="1270"/>
        <v>Without Amendment</v>
      </c>
      <c r="D14259" s="138" t="str">
        <f t="shared" si="1267"/>
        <v>Medium_Low</v>
      </c>
      <c r="E14259" s="138" t="str">
        <f t="shared" si="1271"/>
        <v>High</v>
      </c>
      <c r="F14259" s="138" t="str">
        <f t="shared" si="1272"/>
        <v>Upgraded</v>
      </c>
      <c r="G14259" s="153"/>
      <c r="H14259" s="210">
        <v>1.5407</v>
      </c>
      <c r="I14259" s="160" t="s">
        <v>55</v>
      </c>
      <c r="J14259" s="160">
        <v>1.6000000000000001E-4</v>
      </c>
      <c r="K14259" s="160" t="s">
        <v>26</v>
      </c>
      <c r="L14259" s="154" t="str">
        <f>IF(OpenLCAbasic!K14259="CTUh", "Fill in Manually",IF(OR(K14259="Unit", K14259=""), "", INDEX(LookUps!$E$5:$E$12, MATCH(OpenLCAbasic!K14259,LookUps!$D$5:$D$12,0))))</f>
        <v>Water Use (WU) - m3 H2O</v>
      </c>
      <c r="M14259" s="154" t="str">
        <f t="shared" si="1268"/>
        <v>High_Medium_Low_Upgraded_Water Use (WU) - m3 H2O_Aeration Tanks; wastewater treatment unit; at updated plant - US_Without Amendment_Aerated Static Pile</v>
      </c>
    </row>
    <row r="14260" spans="1:13" s="120" customFormat="1" x14ac:dyDescent="0.25">
      <c r="A14260" s="119"/>
      <c r="B14260" s="138" t="str">
        <f t="shared" si="1269"/>
        <v>Aerated Static Pile</v>
      </c>
      <c r="C14260" s="138" t="str">
        <f t="shared" si="1270"/>
        <v>Without Amendment</v>
      </c>
      <c r="D14260" s="138" t="str">
        <f t="shared" si="1267"/>
        <v>Medium_Low</v>
      </c>
      <c r="E14260" s="138" t="str">
        <f t="shared" si="1271"/>
        <v>High</v>
      </c>
      <c r="F14260" s="138" t="str">
        <f t="shared" si="1272"/>
        <v>Upgraded</v>
      </c>
      <c r="G14260" s="153"/>
      <c r="H14260" s="210">
        <v>1.4034</v>
      </c>
      <c r="I14260" s="160" t="s">
        <v>148</v>
      </c>
      <c r="J14260" s="160">
        <v>1.4999999999999999E-4</v>
      </c>
      <c r="K14260" s="160" t="s">
        <v>26</v>
      </c>
      <c r="L14260" s="154" t="str">
        <f>IF(OpenLCAbasic!K14260="CTUh", "Fill in Manually",IF(OR(K14260="Unit", K14260=""), "", INDEX(LookUps!$E$5:$E$12, MATCH(OpenLCAbasic!K14260,LookUps!$D$5:$D$12,0))))</f>
        <v>Water Use (WU) - m3 H2O</v>
      </c>
      <c r="M14260" s="154" t="str">
        <f t="shared" si="1268"/>
        <v>High_Medium_Low_Upgraded_Water Use (WU) - m3 H2O_Control Building; at upgraded wastewater treatment plant - US_Without Amendment_Aerated Static Pile</v>
      </c>
    </row>
    <row r="14261" spans="1:13" s="120" customFormat="1" x14ac:dyDescent="0.25">
      <c r="A14261" s="119"/>
      <c r="B14261" s="138" t="str">
        <f t="shared" si="1269"/>
        <v>Aerated Static Pile</v>
      </c>
      <c r="C14261" s="138" t="str">
        <f t="shared" si="1270"/>
        <v>Without Amendment</v>
      </c>
      <c r="D14261" s="138" t="str">
        <f t="shared" si="1267"/>
        <v>Medium_Low</v>
      </c>
      <c r="E14261" s="138" t="str">
        <f t="shared" si="1271"/>
        <v>High</v>
      </c>
      <c r="F14261" s="138" t="str">
        <f t="shared" si="1272"/>
        <v>Upgraded</v>
      </c>
      <c r="G14261" s="153"/>
      <c r="H14261" s="210">
        <v>0.65169999999999995</v>
      </c>
      <c r="I14261" s="160" t="s">
        <v>48</v>
      </c>
      <c r="J14261" s="211">
        <v>6.8836400000000004E-5</v>
      </c>
      <c r="K14261" s="160" t="s">
        <v>26</v>
      </c>
      <c r="L14261" s="154" t="str">
        <f>IF(OpenLCAbasic!K14261="CTUh", "Fill in Manually",IF(OR(K14261="Unit", K14261=""), "", INDEX(LookUps!$E$5:$E$12, MATCH(OpenLCAbasic!K14261,LookUps!$D$5:$D$12,0))))</f>
        <v>Water Use (WU) - m3 H2O</v>
      </c>
      <c r="M14261" s="154" t="str">
        <f t="shared" si="1268"/>
        <v>High_Medium_Low_Upgraded_Water Use (WU) - m3 H2O_Effluent release; wastewater treatment unit; at surface water; m3 wastewater - US_Without Amendment_Aerated Static Pile</v>
      </c>
    </row>
    <row r="14262" spans="1:13" s="120" customFormat="1" x14ac:dyDescent="0.25">
      <c r="A14262" s="119"/>
      <c r="B14262" s="138" t="str">
        <f t="shared" si="1269"/>
        <v>Aerated Static Pile</v>
      </c>
      <c r="C14262" s="138" t="str">
        <f t="shared" si="1270"/>
        <v>Without Amendment</v>
      </c>
      <c r="D14262" s="138" t="str">
        <f t="shared" si="1267"/>
        <v>Medium_Low</v>
      </c>
      <c r="E14262" s="138" t="str">
        <f t="shared" si="1271"/>
        <v>High</v>
      </c>
      <c r="F14262" s="138" t="str">
        <f t="shared" si="1272"/>
        <v>Upgraded</v>
      </c>
      <c r="G14262" s="153"/>
      <c r="H14262" s="210">
        <v>0.4093</v>
      </c>
      <c r="I14262" s="160" t="s">
        <v>58</v>
      </c>
      <c r="J14262" s="211">
        <v>4.3235300000000003E-5</v>
      </c>
      <c r="K14262" s="160" t="s">
        <v>26</v>
      </c>
      <c r="L14262" s="154" t="str">
        <f>IF(OpenLCAbasic!K14262="CTUh", "Fill in Manually",IF(OR(K14262="Unit", K14262=""), "", INDEX(LookUps!$E$5:$E$12, MATCH(OpenLCAbasic!K14262,LookUps!$D$5:$D$12,0))))</f>
        <v>Water Use (WU) - m3 H2O</v>
      </c>
      <c r="M14262" s="154" t="str">
        <f t="shared" si="1268"/>
        <v>High_Medium_Low_Upgraded_Water Use (WU) - m3 H2O_Pre-Anoxic &amp; Swing tank; wastewater treatment unit; at updated plant - US_Without Amendment_Aerated Static Pile</v>
      </c>
    </row>
    <row r="14263" spans="1:13" s="120" customFormat="1" x14ac:dyDescent="0.25">
      <c r="A14263" s="119"/>
      <c r="B14263" s="138" t="str">
        <f t="shared" si="1269"/>
        <v>Aerated Static Pile</v>
      </c>
      <c r="C14263" s="138" t="str">
        <f t="shared" si="1270"/>
        <v>Without Amendment</v>
      </c>
      <c r="D14263" s="138" t="str">
        <f t="shared" si="1267"/>
        <v>Medium_Low</v>
      </c>
      <c r="E14263" s="138" t="str">
        <f t="shared" si="1271"/>
        <v>High</v>
      </c>
      <c r="F14263" s="138" t="str">
        <f t="shared" si="1272"/>
        <v>Upgraded</v>
      </c>
      <c r="G14263" s="153"/>
      <c r="H14263" s="210">
        <v>0.32379999999999998</v>
      </c>
      <c r="I14263" s="160" t="s">
        <v>60</v>
      </c>
      <c r="J14263" s="211">
        <v>3.4196200000000003E-5</v>
      </c>
      <c r="K14263" s="160" t="s">
        <v>26</v>
      </c>
      <c r="L14263" s="154" t="str">
        <f>IF(OpenLCAbasic!K14263="CTUh", "Fill in Manually",IF(OR(K14263="Unit", K14263=""), "", INDEX(LookUps!$E$5:$E$12, MATCH(OpenLCAbasic!K14263,LookUps!$D$5:$D$12,0))))</f>
        <v>Water Use (WU) - m3 H2O</v>
      </c>
      <c r="M14263" s="154" t="str">
        <f t="shared" si="1268"/>
        <v>High_Medium_Low_Upgraded_Water Use (WU) - m3 H2O_Belt filter press; wastewater treatment unit; at updated plant - US_Without Amendment_Aerated Static Pile</v>
      </c>
    </row>
    <row r="14264" spans="1:13" s="120" customFormat="1" x14ac:dyDescent="0.25">
      <c r="A14264" s="119"/>
      <c r="B14264" s="138" t="str">
        <f t="shared" si="1269"/>
        <v>Aerated Static Pile</v>
      </c>
      <c r="C14264" s="138" t="str">
        <f t="shared" si="1270"/>
        <v>Without Amendment</v>
      </c>
      <c r="D14264" s="138" t="str">
        <f t="shared" si="1267"/>
        <v>Medium_Low</v>
      </c>
      <c r="E14264" s="138" t="str">
        <f t="shared" si="1271"/>
        <v>High</v>
      </c>
      <c r="F14264" s="138" t="str">
        <f t="shared" si="1272"/>
        <v>Upgraded</v>
      </c>
      <c r="G14264" s="153"/>
      <c r="H14264" s="210">
        <v>0.28789999999999999</v>
      </c>
      <c r="I14264" s="160" t="s">
        <v>57</v>
      </c>
      <c r="J14264" s="211">
        <v>3.0408100000000001E-5</v>
      </c>
      <c r="K14264" s="160" t="s">
        <v>26</v>
      </c>
      <c r="L14264" s="154" t="str">
        <f>IF(OpenLCAbasic!K14264="CTUh", "Fill in Manually",IF(OR(K14264="Unit", K14264=""), "", INDEX(LookUps!$E$5:$E$12, MATCH(OpenLCAbasic!K14264,LookUps!$D$5:$D$12,0))))</f>
        <v>Water Use (WU) - m3 H2O</v>
      </c>
      <c r="M14264" s="154" t="str">
        <f t="shared" si="1268"/>
        <v>High_Medium_Low_Upgraded_Water Use (WU) - m3 H2O_Gravity Belt Thickener; wastewater treatment unit; at updated plant - US_Without Amendment_Aerated Static Pile</v>
      </c>
    </row>
    <row r="14265" spans="1:13" s="120" customFormat="1" x14ac:dyDescent="0.25">
      <c r="A14265" s="119"/>
      <c r="B14265" s="138" t="str">
        <f t="shared" si="1269"/>
        <v>Aerated Static Pile</v>
      </c>
      <c r="C14265" s="138" t="str">
        <f t="shared" si="1270"/>
        <v>Without Amendment</v>
      </c>
      <c r="D14265" s="138" t="str">
        <f t="shared" ref="D14265:D14271" si="1273">IF(ISNUMBER($J14265),"Medium_Low","")</f>
        <v>Medium_Low</v>
      </c>
      <c r="E14265" s="138" t="str">
        <f t="shared" si="1271"/>
        <v>High</v>
      </c>
      <c r="F14265" s="138" t="str">
        <f t="shared" si="1272"/>
        <v>Upgraded</v>
      </c>
      <c r="G14265" s="153"/>
      <c r="H14265" s="210">
        <v>0.2591</v>
      </c>
      <c r="I14265" s="160" t="s">
        <v>149</v>
      </c>
      <c r="J14265" s="211">
        <v>2.7368600000000001E-5</v>
      </c>
      <c r="K14265" s="160" t="s">
        <v>26</v>
      </c>
      <c r="L14265" s="154" t="str">
        <f>IF(OpenLCAbasic!K14265="CTUh", "Fill in Manually",IF(OR(K14265="Unit", K14265=""), "", INDEX(LookUps!$E$5:$E$12, MATCH(OpenLCAbasic!K14265,LookUps!$D$5:$D$12,0))))</f>
        <v>Water Use (WU) - m3 H2O</v>
      </c>
      <c r="M14265" s="154" t="str">
        <f t="shared" si="1268"/>
        <v>High_Medium_Low_Upgraded_Water Use (WU) - m3 H2O_Anaerobic Digestion; wastewater treatment unit; at updated plant - US_Without Amendment_Aerated Static Pile</v>
      </c>
    </row>
    <row r="14266" spans="1:13" s="120" customFormat="1" x14ac:dyDescent="0.25">
      <c r="A14266" s="119"/>
      <c r="B14266" s="138" t="str">
        <f t="shared" si="1269"/>
        <v>Aerated Static Pile</v>
      </c>
      <c r="C14266" s="138" t="str">
        <f t="shared" si="1270"/>
        <v>Without Amendment</v>
      </c>
      <c r="D14266" s="138" t="str">
        <f t="shared" si="1273"/>
        <v>Medium_Low</v>
      </c>
      <c r="E14266" s="138" t="str">
        <f t="shared" si="1271"/>
        <v>High</v>
      </c>
      <c r="F14266" s="138" t="str">
        <f t="shared" si="1272"/>
        <v>Upgraded</v>
      </c>
      <c r="G14266" s="153"/>
      <c r="H14266" s="210">
        <v>0.16569999999999999</v>
      </c>
      <c r="I14266" s="160" t="s">
        <v>53</v>
      </c>
      <c r="J14266" s="211">
        <v>1.75069E-5</v>
      </c>
      <c r="K14266" s="160" t="s">
        <v>26</v>
      </c>
      <c r="L14266" s="154" t="str">
        <f>IF(OpenLCAbasic!K14266="CTUh", "Fill in Manually",IF(OR(K14266="Unit", K14266=""), "", INDEX(LookUps!$E$5:$E$12, MATCH(OpenLCAbasic!K14266,LookUps!$D$5:$D$12,0))))</f>
        <v>Water Use (WU) - m3 H2O</v>
      </c>
      <c r="M14266" s="154" t="str">
        <f t="shared" si="1268"/>
        <v>High_Medium_Low_Upgraded_Water Use (WU) - m3 H2O_Wet Well and Sump Station; wastewater treatment unit; at updated plant - US_Without Amendment_Aerated Static Pile</v>
      </c>
    </row>
    <row r="14267" spans="1:13" s="120" customFormat="1" x14ac:dyDescent="0.25">
      <c r="A14267" s="119"/>
      <c r="B14267" s="138" t="str">
        <f t="shared" si="1269"/>
        <v>Aerated Static Pile</v>
      </c>
      <c r="C14267" s="138" t="str">
        <f t="shared" si="1270"/>
        <v>Without Amendment</v>
      </c>
      <c r="D14267" s="138" t="str">
        <f t="shared" si="1273"/>
        <v>Medium_Low</v>
      </c>
      <c r="E14267" s="138" t="str">
        <f t="shared" si="1271"/>
        <v>High</v>
      </c>
      <c r="F14267" s="138" t="str">
        <f t="shared" si="1272"/>
        <v>Upgraded</v>
      </c>
      <c r="G14267" s="153"/>
      <c r="H14267" s="210">
        <v>8.8599999999999998E-2</v>
      </c>
      <c r="I14267" s="160" t="s">
        <v>435</v>
      </c>
      <c r="J14267" s="211">
        <v>9.3621199999999994E-6</v>
      </c>
      <c r="K14267" s="160" t="s">
        <v>26</v>
      </c>
      <c r="L14267" s="154" t="str">
        <f>IF(OpenLCAbasic!K14267="CTUh", "Fill in Manually",IF(OR(K14267="Unit", K14267=""), "", INDEX(LookUps!$E$5:$E$12, MATCH(OpenLCAbasic!K14267,LookUps!$D$5:$D$12,0))))</f>
        <v>Water Use (WU) - m3 H2O</v>
      </c>
      <c r="M14267" s="154" t="str">
        <f t="shared" si="1268"/>
        <v>High_Medium_Low_Upgraded_Water Use (WU) - m3 H2O_Biosolids composting; aerated static pile; wastewater treatment unit; at updated plant - US_Without Amendment_Aerated Static Pile</v>
      </c>
    </row>
    <row r="14268" spans="1:13" s="120" customFormat="1" x14ac:dyDescent="0.25">
      <c r="A14268" s="119"/>
      <c r="B14268" s="138" t="str">
        <f t="shared" si="1269"/>
        <v>Aerated Static Pile</v>
      </c>
      <c r="C14268" s="138" t="str">
        <f t="shared" si="1270"/>
        <v>Without Amendment</v>
      </c>
      <c r="D14268" s="138" t="str">
        <f t="shared" si="1273"/>
        <v>Medium_Low</v>
      </c>
      <c r="E14268" s="138" t="str">
        <f t="shared" si="1271"/>
        <v>High</v>
      </c>
      <c r="F14268" s="138" t="str">
        <f t="shared" si="1272"/>
        <v>Upgraded</v>
      </c>
      <c r="G14268" s="153"/>
      <c r="H14268" s="210">
        <v>6.6400000000000001E-2</v>
      </c>
      <c r="I14268" s="160" t="s">
        <v>59</v>
      </c>
      <c r="J14268" s="211">
        <v>7.0179500000000003E-6</v>
      </c>
      <c r="K14268" s="160" t="s">
        <v>26</v>
      </c>
      <c r="L14268" s="154" t="str">
        <f>IF(OpenLCAbasic!K14268="CTUh", "Fill in Manually",IF(OR(K14268="Unit", K14268=""), "", INDEX(LookUps!$E$5:$E$12, MATCH(OpenLCAbasic!K14268,LookUps!$D$5:$D$12,0))))</f>
        <v>Water Use (WU) - m3 H2O</v>
      </c>
      <c r="M14268" s="154" t="str">
        <f t="shared" si="1268"/>
        <v>High_Medium_Low_Upgraded_Water Use (WU) - m3 H2O_Blend Tank; wastewater treatment unit; at updated plant - US_Without Amendment_Aerated Static Pile</v>
      </c>
    </row>
    <row r="14269" spans="1:13" s="120" customFormat="1" x14ac:dyDescent="0.25">
      <c r="A14269" s="119"/>
      <c r="B14269" s="138" t="str">
        <f t="shared" si="1269"/>
        <v>Aerated Static Pile</v>
      </c>
      <c r="C14269" s="138" t="str">
        <f t="shared" si="1270"/>
        <v>Without Amendment</v>
      </c>
      <c r="D14269" s="138" t="str">
        <f t="shared" si="1273"/>
        <v>Medium_Low</v>
      </c>
      <c r="E14269" s="138" t="str">
        <f t="shared" si="1271"/>
        <v>High</v>
      </c>
      <c r="F14269" s="138" t="str">
        <f t="shared" si="1272"/>
        <v>Upgraded</v>
      </c>
      <c r="G14269" s="153"/>
      <c r="H14269" s="210">
        <v>4.7899999999999998E-2</v>
      </c>
      <c r="I14269" s="160" t="s">
        <v>128</v>
      </c>
      <c r="J14269" s="211">
        <v>5.0608900000000003E-6</v>
      </c>
      <c r="K14269" s="160" t="s">
        <v>26</v>
      </c>
      <c r="L14269" s="154" t="str">
        <f>IF(OpenLCAbasic!K14269="CTUh", "Fill in Manually",IF(OR(K14269="Unit", K14269=""), "", INDEX(LookUps!$E$5:$E$12, MATCH(OpenLCAbasic!K14269,LookUps!$D$5:$D$12,0))))</f>
        <v>Water Use (WU) - m3 H2O</v>
      </c>
      <c r="M14269" s="154" t="str">
        <f t="shared" si="1268"/>
        <v>High_Medium_Low_Upgraded_Water Use (WU) - m3 H2O_Wastewater collection; operation and infrastructure; m3 wastewater_Without Amendment_Aerated Static Pile</v>
      </c>
    </row>
    <row r="14270" spans="1:13" s="120" customFormat="1" x14ac:dyDescent="0.25">
      <c r="A14270" s="119"/>
      <c r="B14270" s="138" t="str">
        <f t="shared" si="1269"/>
        <v>Aerated Static Pile</v>
      </c>
      <c r="C14270" s="138" t="str">
        <f t="shared" si="1270"/>
        <v>Without Amendment</v>
      </c>
      <c r="D14270" s="138" t="str">
        <f t="shared" si="1273"/>
        <v>Medium_Low</v>
      </c>
      <c r="E14270" s="138" t="str">
        <f t="shared" si="1271"/>
        <v>High</v>
      </c>
      <c r="F14270" s="138" t="str">
        <f t="shared" si="1272"/>
        <v>Upgraded</v>
      </c>
      <c r="G14270" s="153"/>
      <c r="H14270" s="210">
        <v>7.3000000000000001E-3</v>
      </c>
      <c r="I14270" s="160" t="s">
        <v>168</v>
      </c>
      <c r="J14270" s="211">
        <v>7.6697000000000004E-7</v>
      </c>
      <c r="K14270" s="160" t="s">
        <v>26</v>
      </c>
      <c r="L14270" s="154" t="str">
        <f>IF(OpenLCAbasic!K14270="CTUh", "Fill in Manually",IF(OR(K14270="Unit", K14270=""), "", INDEX(LookUps!$E$5:$E$12, MATCH(OpenLCAbasic!K14270,LookUps!$D$5:$D$12,0))))</f>
        <v>Water Use (WU) - m3 H2O</v>
      </c>
      <c r="M14270" s="154" t="str">
        <f t="shared" si="1268"/>
        <v>High_Medium_Low_Upgraded_Water Use (WU) - m3 H2O_ClearCove SCP; wastewater treatment unit; at updated plant - US_Without Amendment_Aerated Static Pile</v>
      </c>
    </row>
    <row r="14271" spans="1:13" s="120" customFormat="1" x14ac:dyDescent="0.25">
      <c r="A14271" s="119"/>
      <c r="B14271" s="138" t="str">
        <f t="shared" si="1269"/>
        <v>Aerated Static Pile</v>
      </c>
      <c r="C14271" s="138" t="str">
        <f t="shared" si="1270"/>
        <v>Without Amendment</v>
      </c>
      <c r="D14271" s="138" t="str">
        <f t="shared" si="1273"/>
        <v>Medium_Low</v>
      </c>
      <c r="E14271" s="138" t="str">
        <f t="shared" si="1271"/>
        <v>High</v>
      </c>
      <c r="F14271" s="138" t="str">
        <f t="shared" si="1272"/>
        <v>Upgraded</v>
      </c>
      <c r="G14271" s="153"/>
      <c r="H14271" s="210">
        <v>-10.3574</v>
      </c>
      <c r="I14271" s="160" t="s">
        <v>62</v>
      </c>
      <c r="J14271" s="160">
        <v>-1.09E-3</v>
      </c>
      <c r="K14271" s="160" t="s">
        <v>26</v>
      </c>
      <c r="L14271" s="154" t="str">
        <f>IF(OpenLCAbasic!K14271="CTUh", "Fill in Manually",IF(OR(K14271="Unit", K14271=""), "", INDEX(LookUps!$E$5:$E$12, MATCH(OpenLCAbasic!K14271,LookUps!$D$5:$D$12,0))))</f>
        <v>Water Use (WU) - m3 H2O</v>
      </c>
      <c r="M14271" s="154" t="str">
        <f t="shared" si="1268"/>
        <v>High_Medium_Low_Upgraded_Water Use (WU) - m3 H2O_Land application of compost; wastewater treatment unit; at updated plant - US_Without Amendment_Aerated Static Pile</v>
      </c>
    </row>
    <row r="14272" spans="1:13" s="120" customFormat="1" x14ac:dyDescent="0.25">
      <c r="A14272" s="119"/>
      <c r="B14272" s="138" t="str">
        <f t="shared" si="1269"/>
        <v/>
      </c>
      <c r="C14272" s="138" t="str">
        <f t="shared" si="1270"/>
        <v/>
      </c>
      <c r="D14272" s="138" t="str">
        <f>IF(ISNUMBER($J14272),"Medium_Base","")</f>
        <v/>
      </c>
      <c r="E14272" s="138" t="str">
        <f t="shared" si="1271"/>
        <v/>
      </c>
      <c r="F14272" s="138" t="str">
        <f t="shared" si="1272"/>
        <v/>
      </c>
      <c r="G14272" s="153" t="s">
        <v>51</v>
      </c>
      <c r="H14272" s="160"/>
      <c r="I14272" s="160" t="s">
        <v>47</v>
      </c>
      <c r="J14272" s="160" t="s">
        <v>52</v>
      </c>
      <c r="K14272" s="160" t="s">
        <v>27</v>
      </c>
      <c r="L14272" s="154" t="str">
        <f>IF(OpenLCAbasic!K14272="CTUh", "Fill in Manually",IF(OR(K14272="Unit", K14272=""), "", INDEX(LookUps!$E$5:$E$12, MATCH(OpenLCAbasic!K14272,LookUps!$D$5:$D$12,0))))</f>
        <v/>
      </c>
      <c r="M14272" s="154" t="str">
        <f t="shared" si="1268"/>
        <v>____Process__</v>
      </c>
    </row>
    <row r="14273" spans="1:13" s="120" customFormat="1" x14ac:dyDescent="0.25">
      <c r="A14273" s="119"/>
      <c r="B14273" s="138" t="str">
        <f t="shared" si="1269"/>
        <v>Aerated Static Pile</v>
      </c>
      <c r="C14273" s="138" t="str">
        <f t="shared" si="1270"/>
        <v>Without Amendment</v>
      </c>
      <c r="D14273" s="138" t="str">
        <f t="shared" ref="D14273:D14336" si="1274">IF(ISNUMBER($J14273),"Medium_Base","")</f>
        <v>Medium_Base</v>
      </c>
      <c r="E14273" s="138" t="str">
        <f t="shared" si="1271"/>
        <v>High</v>
      </c>
      <c r="F14273" s="138" t="str">
        <f t="shared" si="1272"/>
        <v>Upgraded</v>
      </c>
      <c r="G14273" s="153"/>
      <c r="H14273" s="210">
        <v>0.71940000000000004</v>
      </c>
      <c r="I14273" s="160" t="s">
        <v>55</v>
      </c>
      <c r="J14273" s="160">
        <v>1.7219999999999999E-2</v>
      </c>
      <c r="K14273" s="160" t="s">
        <v>24</v>
      </c>
      <c r="L14273" s="154" t="str">
        <f>IF(OpenLCAbasic!K14273="CTUh", "Fill in Manually",IF(OR(K14273="Unit", K14273=""), "", INDEX(LookUps!$E$5:$E$12, MATCH(OpenLCAbasic!K14273,LookUps!$D$5:$D$12,0))))</f>
        <v>Acidification Potential (AP) - kg SO2 eq</v>
      </c>
      <c r="M14273" s="154" t="str">
        <f t="shared" si="1268"/>
        <v>High_Medium_Base_Upgraded_Acidification Potential (AP) - kg SO2 eq_Aeration Tanks; wastewater treatment unit; at updated plant - US_Without Amendment_Aerated Static Pile</v>
      </c>
    </row>
    <row r="14274" spans="1:13" s="120" customFormat="1" x14ac:dyDescent="0.25">
      <c r="A14274" s="119"/>
      <c r="B14274" s="138" t="str">
        <f t="shared" si="1269"/>
        <v>Aerated Static Pile</v>
      </c>
      <c r="C14274" s="138" t="str">
        <f t="shared" si="1270"/>
        <v>Without Amendment</v>
      </c>
      <c r="D14274" s="138" t="str">
        <f t="shared" si="1274"/>
        <v>Medium_Base</v>
      </c>
      <c r="E14274" s="138" t="str">
        <f t="shared" si="1271"/>
        <v>High</v>
      </c>
      <c r="F14274" s="138" t="str">
        <f t="shared" si="1272"/>
        <v>Upgraded</v>
      </c>
      <c r="G14274" s="153"/>
      <c r="H14274" s="210">
        <v>0.20810000000000001</v>
      </c>
      <c r="I14274" s="160" t="s">
        <v>54</v>
      </c>
      <c r="J14274" s="160">
        <v>4.9800000000000001E-3</v>
      </c>
      <c r="K14274" s="160" t="s">
        <v>24</v>
      </c>
      <c r="L14274" s="154" t="str">
        <f>IF(OpenLCAbasic!K14274="CTUh", "Fill in Manually",IF(OR(K14274="Unit", K14274=""), "", INDEX(LookUps!$E$5:$E$12, MATCH(OpenLCAbasic!K14274,LookUps!$D$5:$D$12,0))))</f>
        <v>Acidification Potential (AP) - kg SO2 eq</v>
      </c>
      <c r="M14274" s="154" t="str">
        <f t="shared" si="1268"/>
        <v>High_Medium_Base_Upgraded_Acidification Potential (AP) - kg SO2 eq_Clear Cove Primary Clarification; wastewater treatment unit; at updated plant - US_Without Amendment_Aerated Static Pile</v>
      </c>
    </row>
    <row r="14275" spans="1:13" s="120" customFormat="1" x14ac:dyDescent="0.25">
      <c r="A14275" s="119"/>
      <c r="B14275" s="138" t="str">
        <f t="shared" si="1269"/>
        <v>Aerated Static Pile</v>
      </c>
      <c r="C14275" s="138" t="str">
        <f t="shared" si="1270"/>
        <v>Without Amendment</v>
      </c>
      <c r="D14275" s="138" t="str">
        <f t="shared" si="1274"/>
        <v>Medium_Base</v>
      </c>
      <c r="E14275" s="138" t="str">
        <f t="shared" si="1271"/>
        <v>High</v>
      </c>
      <c r="F14275" s="138" t="str">
        <f t="shared" si="1272"/>
        <v>Upgraded</v>
      </c>
      <c r="G14275" s="153"/>
      <c r="H14275" s="210">
        <v>0.18160000000000001</v>
      </c>
      <c r="I14275" s="160" t="s">
        <v>58</v>
      </c>
      <c r="J14275" s="160">
        <v>4.3499999999999997E-3</v>
      </c>
      <c r="K14275" s="160" t="s">
        <v>24</v>
      </c>
      <c r="L14275" s="154" t="str">
        <f>IF(OpenLCAbasic!K14275="CTUh", "Fill in Manually",IF(OR(K14275="Unit", K14275=""), "", INDEX(LookUps!$E$5:$E$12, MATCH(OpenLCAbasic!K14275,LookUps!$D$5:$D$12,0))))</f>
        <v>Acidification Potential (AP) - kg SO2 eq</v>
      </c>
      <c r="M14275" s="154" t="str">
        <f t="shared" si="1268"/>
        <v>High_Medium_Base_Upgraded_Acidification Potential (AP) - kg SO2 eq_Pre-Anoxic &amp; Swing tank; wastewater treatment unit; at updated plant - US_Without Amendment_Aerated Static Pile</v>
      </c>
    </row>
    <row r="14276" spans="1:13" s="120" customFormat="1" x14ac:dyDescent="0.25">
      <c r="A14276" s="119"/>
      <c r="B14276" s="138" t="str">
        <f t="shared" si="1269"/>
        <v>Aerated Static Pile</v>
      </c>
      <c r="C14276" s="138" t="str">
        <f t="shared" si="1270"/>
        <v>Without Amendment</v>
      </c>
      <c r="D14276" s="138" t="str">
        <f t="shared" si="1274"/>
        <v>Medium_Base</v>
      </c>
      <c r="E14276" s="138" t="str">
        <f t="shared" si="1271"/>
        <v>High</v>
      </c>
      <c r="F14276" s="138" t="str">
        <f t="shared" si="1272"/>
        <v>Upgraded</v>
      </c>
      <c r="G14276" s="153"/>
      <c r="H14276" s="210">
        <v>0.14419999999999999</v>
      </c>
      <c r="I14276" s="160" t="s">
        <v>53</v>
      </c>
      <c r="J14276" s="160">
        <v>3.4499999999999999E-3</v>
      </c>
      <c r="K14276" s="160" t="s">
        <v>24</v>
      </c>
      <c r="L14276" s="154" t="str">
        <f>IF(OpenLCAbasic!K14276="CTUh", "Fill in Manually",IF(OR(K14276="Unit", K14276=""), "", INDEX(LookUps!$E$5:$E$12, MATCH(OpenLCAbasic!K14276,LookUps!$D$5:$D$12,0))))</f>
        <v>Acidification Potential (AP) - kg SO2 eq</v>
      </c>
      <c r="M14276" s="154" t="str">
        <f t="shared" ref="M14276:M14339" si="1275">CONCATENATE(E14276,"_",D14276,"_",F14276,"_",L14276, "_",I14276,"_", C14276,"_", B14276)</f>
        <v>High_Medium_Base_Upgraded_Acidification Potential (AP) - kg SO2 eq_Wet Well and Sump Station; wastewater treatment unit; at updated plant - US_Without Amendment_Aerated Static Pile</v>
      </c>
    </row>
    <row r="14277" spans="1:13" s="120" customFormat="1" x14ac:dyDescent="0.25">
      <c r="A14277" s="119"/>
      <c r="B14277" s="138" t="str">
        <f t="shared" si="1269"/>
        <v>Aerated Static Pile</v>
      </c>
      <c r="C14277" s="138" t="str">
        <f t="shared" si="1270"/>
        <v>Without Amendment</v>
      </c>
      <c r="D14277" s="138" t="str">
        <f t="shared" si="1274"/>
        <v>Medium_Base</v>
      </c>
      <c r="E14277" s="138" t="str">
        <f t="shared" si="1271"/>
        <v>High</v>
      </c>
      <c r="F14277" s="138" t="str">
        <f t="shared" si="1272"/>
        <v>Upgraded</v>
      </c>
      <c r="G14277" s="153"/>
      <c r="H14277" s="210">
        <v>0.1162</v>
      </c>
      <c r="I14277" s="160" t="s">
        <v>435</v>
      </c>
      <c r="J14277" s="160">
        <v>2.7799999999999999E-3</v>
      </c>
      <c r="K14277" s="160" t="s">
        <v>24</v>
      </c>
      <c r="L14277" s="154" t="str">
        <f>IF(OpenLCAbasic!K14277="CTUh", "Fill in Manually",IF(OR(K14277="Unit", K14277=""), "", INDEX(LookUps!$E$5:$E$12, MATCH(OpenLCAbasic!K14277,LookUps!$D$5:$D$12,0))))</f>
        <v>Acidification Potential (AP) - kg SO2 eq</v>
      </c>
      <c r="M14277" s="154" t="str">
        <f t="shared" si="1275"/>
        <v>High_Medium_Base_Upgraded_Acidification Potential (AP) - kg SO2 eq_Biosolids composting; aerated static pile; wastewater treatment unit; at updated plant - US_Without Amendment_Aerated Static Pile</v>
      </c>
    </row>
    <row r="14278" spans="1:13" s="120" customFormat="1" x14ac:dyDescent="0.25">
      <c r="A14278" s="119"/>
      <c r="B14278" s="138" t="str">
        <f t="shared" si="1269"/>
        <v>Aerated Static Pile</v>
      </c>
      <c r="C14278" s="138" t="str">
        <f t="shared" si="1270"/>
        <v>Without Amendment</v>
      </c>
      <c r="D14278" s="138" t="str">
        <f t="shared" si="1274"/>
        <v>Medium_Base</v>
      </c>
      <c r="E14278" s="138" t="str">
        <f t="shared" si="1271"/>
        <v>High</v>
      </c>
      <c r="F14278" s="138" t="str">
        <f t="shared" si="1272"/>
        <v>Upgraded</v>
      </c>
      <c r="G14278" s="153"/>
      <c r="H14278" s="210">
        <v>0.1057</v>
      </c>
      <c r="I14278" s="160" t="s">
        <v>167</v>
      </c>
      <c r="J14278" s="160">
        <v>2.5300000000000001E-3</v>
      </c>
      <c r="K14278" s="160" t="s">
        <v>24</v>
      </c>
      <c r="L14278" s="154" t="str">
        <f>IF(OpenLCAbasic!K14278="CTUh", "Fill in Manually",IF(OR(K14278="Unit", K14278=""), "", INDEX(LookUps!$E$5:$E$12, MATCH(OpenLCAbasic!K14278,LookUps!$D$5:$D$12,0))))</f>
        <v>Acidification Potential (AP) - kg SO2 eq</v>
      </c>
      <c r="M14278" s="154" t="str">
        <f t="shared" si="1275"/>
        <v>High_Medium_Base_Upgraded_Acidification Potential (AP) - kg SO2 eq_Waste Receiving and Holding; wastewater treatment unit; at updated plant - US_Without Amendment_Aerated Static Pile</v>
      </c>
    </row>
    <row r="14279" spans="1:13" s="120" customFormat="1" x14ac:dyDescent="0.25">
      <c r="A14279" s="119"/>
      <c r="B14279" s="138" t="str">
        <f t="shared" si="1269"/>
        <v>Aerated Static Pile</v>
      </c>
      <c r="C14279" s="138" t="str">
        <f t="shared" si="1270"/>
        <v>Without Amendment</v>
      </c>
      <c r="D14279" s="138" t="str">
        <f t="shared" si="1274"/>
        <v>Medium_Base</v>
      </c>
      <c r="E14279" s="138" t="str">
        <f t="shared" si="1271"/>
        <v>High</v>
      </c>
      <c r="F14279" s="138" t="str">
        <f t="shared" si="1272"/>
        <v>Upgraded</v>
      </c>
      <c r="G14279" s="153"/>
      <c r="H14279" s="210">
        <v>8.8400000000000006E-2</v>
      </c>
      <c r="I14279" s="160" t="s">
        <v>62</v>
      </c>
      <c r="J14279" s="160">
        <v>2.1099999999999999E-3</v>
      </c>
      <c r="K14279" s="160" t="s">
        <v>24</v>
      </c>
      <c r="L14279" s="154" t="str">
        <f>IF(OpenLCAbasic!K14279="CTUh", "Fill in Manually",IF(OR(K14279="Unit", K14279=""), "", INDEX(LookUps!$E$5:$E$12, MATCH(OpenLCAbasic!K14279,LookUps!$D$5:$D$12,0))))</f>
        <v>Acidification Potential (AP) - kg SO2 eq</v>
      </c>
      <c r="M14279" s="154" t="str">
        <f t="shared" si="1275"/>
        <v>High_Medium_Base_Upgraded_Acidification Potential (AP) - kg SO2 eq_Land application of compost; wastewater treatment unit; at updated plant - US_Without Amendment_Aerated Static Pile</v>
      </c>
    </row>
    <row r="14280" spans="1:13" s="120" customFormat="1" x14ac:dyDescent="0.25">
      <c r="A14280" s="119"/>
      <c r="B14280" s="138" t="str">
        <f t="shared" si="1269"/>
        <v>Aerated Static Pile</v>
      </c>
      <c r="C14280" s="138" t="str">
        <f t="shared" si="1270"/>
        <v>Without Amendment</v>
      </c>
      <c r="D14280" s="138" t="str">
        <f t="shared" si="1274"/>
        <v>Medium_Base</v>
      </c>
      <c r="E14280" s="138" t="str">
        <f t="shared" si="1271"/>
        <v>High</v>
      </c>
      <c r="F14280" s="138" t="str">
        <f t="shared" si="1272"/>
        <v>Upgraded</v>
      </c>
      <c r="G14280" s="153"/>
      <c r="H14280" s="210">
        <v>8.6400000000000005E-2</v>
      </c>
      <c r="I14280" s="160" t="s">
        <v>147</v>
      </c>
      <c r="J14280" s="160">
        <v>2.0699999999999998E-3</v>
      </c>
      <c r="K14280" s="160" t="s">
        <v>24</v>
      </c>
      <c r="L14280" s="154" t="str">
        <f>IF(OpenLCAbasic!K14280="CTUh", "Fill in Manually",IF(OR(K14280="Unit", K14280=""), "", INDEX(LookUps!$E$5:$E$12, MATCH(OpenLCAbasic!K14280,LookUps!$D$5:$D$12,0))))</f>
        <v>Acidification Potential (AP) - kg SO2 eq</v>
      </c>
      <c r="M14280" s="154" t="str">
        <f t="shared" si="1275"/>
        <v>High_Medium_Base_Upgraded_Acidification Potential (AP) - kg SO2 eq_Influent Pump Station; wastewater treatment unit; at updated plant - US_Without Amendment_Aerated Static Pile</v>
      </c>
    </row>
    <row r="14281" spans="1:13" s="120" customFormat="1" x14ac:dyDescent="0.25">
      <c r="A14281" s="119"/>
      <c r="B14281" s="138" t="str">
        <f t="shared" si="1269"/>
        <v>Aerated Static Pile</v>
      </c>
      <c r="C14281" s="138" t="str">
        <f t="shared" si="1270"/>
        <v>Without Amendment</v>
      </c>
      <c r="D14281" s="138" t="str">
        <f t="shared" si="1274"/>
        <v>Medium_Base</v>
      </c>
      <c r="E14281" s="138" t="str">
        <f t="shared" si="1271"/>
        <v>High</v>
      </c>
      <c r="F14281" s="138" t="str">
        <f t="shared" si="1272"/>
        <v>Upgraded</v>
      </c>
      <c r="G14281" s="153"/>
      <c r="H14281" s="210">
        <v>5.1499999999999997E-2</v>
      </c>
      <c r="I14281" s="160" t="s">
        <v>128</v>
      </c>
      <c r="J14281" s="160">
        <v>1.23E-3</v>
      </c>
      <c r="K14281" s="160" t="s">
        <v>24</v>
      </c>
      <c r="L14281" s="154" t="str">
        <f>IF(OpenLCAbasic!K14281="CTUh", "Fill in Manually",IF(OR(K14281="Unit", K14281=""), "", INDEX(LookUps!$E$5:$E$12, MATCH(OpenLCAbasic!K14281,LookUps!$D$5:$D$12,0))))</f>
        <v>Acidification Potential (AP) - kg SO2 eq</v>
      </c>
      <c r="M14281" s="154" t="str">
        <f t="shared" si="1275"/>
        <v>High_Medium_Base_Upgraded_Acidification Potential (AP) - kg SO2 eq_Wastewater collection; operation and infrastructure; m3 wastewater_Without Amendment_Aerated Static Pile</v>
      </c>
    </row>
    <row r="14282" spans="1:13" s="120" customFormat="1" x14ac:dyDescent="0.25">
      <c r="A14282" s="119"/>
      <c r="B14282" s="138" t="str">
        <f t="shared" si="1269"/>
        <v>Aerated Static Pile</v>
      </c>
      <c r="C14282" s="138" t="str">
        <f t="shared" si="1270"/>
        <v>Without Amendment</v>
      </c>
      <c r="D14282" s="138" t="str">
        <f t="shared" si="1274"/>
        <v>Medium_Base</v>
      </c>
      <c r="E14282" s="138" t="str">
        <f t="shared" si="1271"/>
        <v>High</v>
      </c>
      <c r="F14282" s="138" t="str">
        <f t="shared" si="1272"/>
        <v>Upgraded</v>
      </c>
      <c r="G14282" s="153"/>
      <c r="H14282" s="210">
        <v>4.4499999999999998E-2</v>
      </c>
      <c r="I14282" s="160" t="s">
        <v>60</v>
      </c>
      <c r="J14282" s="160">
        <v>1.07E-3</v>
      </c>
      <c r="K14282" s="160" t="s">
        <v>24</v>
      </c>
      <c r="L14282" s="154" t="str">
        <f>IF(OpenLCAbasic!K14282="CTUh", "Fill in Manually",IF(OR(K14282="Unit", K14282=""), "", INDEX(LookUps!$E$5:$E$12, MATCH(OpenLCAbasic!K14282,LookUps!$D$5:$D$12,0))))</f>
        <v>Acidification Potential (AP) - kg SO2 eq</v>
      </c>
      <c r="M14282" s="154" t="str">
        <f t="shared" si="1275"/>
        <v>High_Medium_Base_Upgraded_Acidification Potential (AP) - kg SO2 eq_Belt filter press; wastewater treatment unit; at updated plant - US_Without Amendment_Aerated Static Pile</v>
      </c>
    </row>
    <row r="14283" spans="1:13" s="120" customFormat="1" x14ac:dyDescent="0.25">
      <c r="A14283" s="119"/>
      <c r="B14283" s="138" t="str">
        <f t="shared" si="1269"/>
        <v>Aerated Static Pile</v>
      </c>
      <c r="C14283" s="138" t="str">
        <f t="shared" si="1270"/>
        <v>Without Amendment</v>
      </c>
      <c r="D14283" s="138" t="str">
        <f t="shared" si="1274"/>
        <v>Medium_Base</v>
      </c>
      <c r="E14283" s="138" t="str">
        <f t="shared" si="1271"/>
        <v>High</v>
      </c>
      <c r="F14283" s="138" t="str">
        <f t="shared" si="1272"/>
        <v>Upgraded</v>
      </c>
      <c r="G14283" s="153"/>
      <c r="H14283" s="210">
        <v>2.9399999999999999E-2</v>
      </c>
      <c r="I14283" s="160" t="s">
        <v>57</v>
      </c>
      <c r="J14283" s="160">
        <v>6.9999999999999999E-4</v>
      </c>
      <c r="K14283" s="160" t="s">
        <v>24</v>
      </c>
      <c r="L14283" s="154" t="str">
        <f>IF(OpenLCAbasic!K14283="CTUh", "Fill in Manually",IF(OR(K14283="Unit", K14283=""), "", INDEX(LookUps!$E$5:$E$12, MATCH(OpenLCAbasic!K14283,LookUps!$D$5:$D$12,0))))</f>
        <v>Acidification Potential (AP) - kg SO2 eq</v>
      </c>
      <c r="M14283" s="154" t="str">
        <f t="shared" si="1275"/>
        <v>High_Medium_Base_Upgraded_Acidification Potential (AP) - kg SO2 eq_Gravity Belt Thickener; wastewater treatment unit; at updated plant - US_Without Amendment_Aerated Static Pile</v>
      </c>
    </row>
    <row r="14284" spans="1:13" s="120" customFormat="1" x14ac:dyDescent="0.25">
      <c r="A14284" s="119"/>
      <c r="B14284" s="138" t="str">
        <f t="shared" si="1269"/>
        <v>Aerated Static Pile</v>
      </c>
      <c r="C14284" s="138" t="str">
        <f t="shared" si="1270"/>
        <v>Without Amendment</v>
      </c>
      <c r="D14284" s="138" t="str">
        <f t="shared" si="1274"/>
        <v>Medium_Base</v>
      </c>
      <c r="E14284" s="138" t="str">
        <f t="shared" si="1271"/>
        <v>High</v>
      </c>
      <c r="F14284" s="138" t="str">
        <f t="shared" si="1272"/>
        <v>Upgraded</v>
      </c>
      <c r="G14284" s="153"/>
      <c r="H14284" s="210">
        <v>2.1600000000000001E-2</v>
      </c>
      <c r="I14284" s="160" t="s">
        <v>59</v>
      </c>
      <c r="J14284" s="160">
        <v>5.1999999999999995E-4</v>
      </c>
      <c r="K14284" s="160" t="s">
        <v>24</v>
      </c>
      <c r="L14284" s="154" t="str">
        <f>IF(OpenLCAbasic!K14284="CTUh", "Fill in Manually",IF(OR(K14284="Unit", K14284=""), "", INDEX(LookUps!$E$5:$E$12, MATCH(OpenLCAbasic!K14284,LookUps!$D$5:$D$12,0))))</f>
        <v>Acidification Potential (AP) - kg SO2 eq</v>
      </c>
      <c r="M14284" s="154" t="str">
        <f t="shared" si="1275"/>
        <v>High_Medium_Base_Upgraded_Acidification Potential (AP) - kg SO2 eq_Blend Tank; wastewater treatment unit; at updated plant - US_Without Amendment_Aerated Static Pile</v>
      </c>
    </row>
    <row r="14285" spans="1:13" s="120" customFormat="1" x14ac:dyDescent="0.25">
      <c r="A14285" s="119"/>
      <c r="B14285" s="138" t="str">
        <f t="shared" si="1269"/>
        <v>Aerated Static Pile</v>
      </c>
      <c r="C14285" s="138" t="str">
        <f t="shared" si="1270"/>
        <v>Without Amendment</v>
      </c>
      <c r="D14285" s="138" t="str">
        <f t="shared" si="1274"/>
        <v>Medium_Base</v>
      </c>
      <c r="E14285" s="138" t="str">
        <f t="shared" si="1271"/>
        <v>High</v>
      </c>
      <c r="F14285" s="138" t="str">
        <f t="shared" si="1272"/>
        <v>Upgraded</v>
      </c>
      <c r="G14285" s="153"/>
      <c r="H14285" s="210">
        <v>1.4500000000000001E-2</v>
      </c>
      <c r="I14285" s="160" t="s">
        <v>48</v>
      </c>
      <c r="J14285" s="160">
        <v>3.5E-4</v>
      </c>
      <c r="K14285" s="160" t="s">
        <v>24</v>
      </c>
      <c r="L14285" s="154" t="str">
        <f>IF(OpenLCAbasic!K14285="CTUh", "Fill in Manually",IF(OR(K14285="Unit", K14285=""), "", INDEX(LookUps!$E$5:$E$12, MATCH(OpenLCAbasic!K14285,LookUps!$D$5:$D$12,0))))</f>
        <v>Acidification Potential (AP) - kg SO2 eq</v>
      </c>
      <c r="M14285" s="154" t="str">
        <f t="shared" si="1275"/>
        <v>High_Medium_Base_Upgraded_Acidification Potential (AP) - kg SO2 eq_Effluent release; wastewater treatment unit; at surface water; m3 wastewater - US_Without Amendment_Aerated Static Pile</v>
      </c>
    </row>
    <row r="14286" spans="1:13" s="120" customFormat="1" x14ac:dyDescent="0.25">
      <c r="A14286" s="119"/>
      <c r="B14286" s="138" t="str">
        <f t="shared" si="1269"/>
        <v>Aerated Static Pile</v>
      </c>
      <c r="C14286" s="138" t="str">
        <f t="shared" si="1270"/>
        <v>Without Amendment</v>
      </c>
      <c r="D14286" s="138" t="str">
        <f t="shared" si="1274"/>
        <v>Medium_Base</v>
      </c>
      <c r="E14286" s="138" t="str">
        <f t="shared" si="1271"/>
        <v>High</v>
      </c>
      <c r="F14286" s="138" t="str">
        <f t="shared" si="1272"/>
        <v>Upgraded</v>
      </c>
      <c r="G14286" s="153"/>
      <c r="H14286" s="210">
        <v>1.0699999999999999E-2</v>
      </c>
      <c r="I14286" s="160" t="s">
        <v>168</v>
      </c>
      <c r="J14286" s="160">
        <v>2.5999999999999998E-4</v>
      </c>
      <c r="K14286" s="160" t="s">
        <v>24</v>
      </c>
      <c r="L14286" s="154" t="str">
        <f>IF(OpenLCAbasic!K14286="CTUh", "Fill in Manually",IF(OR(K14286="Unit", K14286=""), "", INDEX(LookUps!$E$5:$E$12, MATCH(OpenLCAbasic!K14286,LookUps!$D$5:$D$12,0))))</f>
        <v>Acidification Potential (AP) - kg SO2 eq</v>
      </c>
      <c r="M14286" s="154" t="str">
        <f t="shared" si="1275"/>
        <v>High_Medium_Base_Upgraded_Acidification Potential (AP) - kg SO2 eq_ClearCove SCP; wastewater treatment unit; at updated plant - US_Without Amendment_Aerated Static Pile</v>
      </c>
    </row>
    <row r="14287" spans="1:13" s="120" customFormat="1" x14ac:dyDescent="0.25">
      <c r="A14287" s="119"/>
      <c r="B14287" s="138" t="str">
        <f t="shared" si="1269"/>
        <v>Aerated Static Pile</v>
      </c>
      <c r="C14287" s="138" t="str">
        <f t="shared" si="1270"/>
        <v>Without Amendment</v>
      </c>
      <c r="D14287" s="138" t="str">
        <f t="shared" si="1274"/>
        <v>Medium_Base</v>
      </c>
      <c r="E14287" s="138" t="str">
        <f t="shared" si="1271"/>
        <v>High</v>
      </c>
      <c r="F14287" s="138" t="str">
        <f t="shared" si="1272"/>
        <v>Upgraded</v>
      </c>
      <c r="G14287" s="153"/>
      <c r="H14287" s="210">
        <v>1.6999999999999999E-3</v>
      </c>
      <c r="I14287" s="160" t="s">
        <v>148</v>
      </c>
      <c r="J14287" s="211">
        <v>4.0354700000000002E-5</v>
      </c>
      <c r="K14287" s="160" t="s">
        <v>24</v>
      </c>
      <c r="L14287" s="154" t="str">
        <f>IF(OpenLCAbasic!K14287="CTUh", "Fill in Manually",IF(OR(K14287="Unit", K14287=""), "", INDEX(LookUps!$E$5:$E$12, MATCH(OpenLCAbasic!K14287,LookUps!$D$5:$D$12,0))))</f>
        <v>Acidification Potential (AP) - kg SO2 eq</v>
      </c>
      <c r="M14287" s="154" t="str">
        <f t="shared" si="1275"/>
        <v>High_Medium_Base_Upgraded_Acidification Potential (AP) - kg SO2 eq_Control Building; at upgraded wastewater treatment plant - US_Without Amendment_Aerated Static Pile</v>
      </c>
    </row>
    <row r="14288" spans="1:13" s="120" customFormat="1" x14ac:dyDescent="0.25">
      <c r="A14288" s="119"/>
      <c r="B14288" s="138" t="str">
        <f t="shared" si="1269"/>
        <v>Aerated Static Pile</v>
      </c>
      <c r="C14288" s="138" t="str">
        <f t="shared" si="1270"/>
        <v>Without Amendment</v>
      </c>
      <c r="D14288" s="138" t="str">
        <f t="shared" si="1274"/>
        <v>Medium_Base</v>
      </c>
      <c r="E14288" s="138" t="str">
        <f t="shared" si="1271"/>
        <v>High</v>
      </c>
      <c r="F14288" s="138" t="str">
        <f t="shared" si="1272"/>
        <v>Upgraded</v>
      </c>
      <c r="G14288" s="153"/>
      <c r="H14288" s="210">
        <v>-0.82379999999999998</v>
      </c>
      <c r="I14288" s="160" t="s">
        <v>149</v>
      </c>
      <c r="J14288" s="160">
        <v>-1.9720000000000001E-2</v>
      </c>
      <c r="K14288" s="160" t="s">
        <v>24</v>
      </c>
      <c r="L14288" s="154" t="str">
        <f>IF(OpenLCAbasic!K14288="CTUh", "Fill in Manually",IF(OR(K14288="Unit", K14288=""), "", INDEX(LookUps!$E$5:$E$12, MATCH(OpenLCAbasic!K14288,LookUps!$D$5:$D$12,0))))</f>
        <v>Acidification Potential (AP) - kg SO2 eq</v>
      </c>
      <c r="M14288" s="154" t="str">
        <f t="shared" si="1275"/>
        <v>High_Medium_Base_Upgraded_Acidification Potential (AP) - kg SO2 eq_Anaerobic Digestion; wastewater treatment unit; at updated plant - US_Without Amendment_Aerated Static Pile</v>
      </c>
    </row>
    <row r="14289" spans="1:13" s="120" customFormat="1" x14ac:dyDescent="0.25">
      <c r="A14289" s="119"/>
      <c r="B14289" s="138" t="str">
        <f t="shared" si="1269"/>
        <v/>
      </c>
      <c r="C14289" s="138" t="str">
        <f t="shared" si="1270"/>
        <v/>
      </c>
      <c r="D14289" s="138" t="str">
        <f t="shared" si="1274"/>
        <v/>
      </c>
      <c r="E14289" s="138" t="str">
        <f t="shared" si="1271"/>
        <v/>
      </c>
      <c r="F14289" s="138" t="str">
        <f t="shared" si="1272"/>
        <v/>
      </c>
      <c r="G14289" s="153" t="s">
        <v>51</v>
      </c>
      <c r="H14289" s="160"/>
      <c r="I14289" s="160" t="s">
        <v>47</v>
      </c>
      <c r="J14289" s="160" t="s">
        <v>52</v>
      </c>
      <c r="K14289" s="160" t="s">
        <v>27</v>
      </c>
      <c r="L14289" s="154" t="str">
        <f>IF(OpenLCAbasic!K14289="CTUh", "Fill in Manually",IF(OR(K14289="Unit", K14289=""), "", INDEX(LookUps!$E$5:$E$12, MATCH(OpenLCAbasic!K14289,LookUps!$D$5:$D$12,0))))</f>
        <v/>
      </c>
      <c r="M14289" s="154" t="str">
        <f t="shared" si="1275"/>
        <v>____Process__</v>
      </c>
    </row>
    <row r="14290" spans="1:13" s="120" customFormat="1" x14ac:dyDescent="0.25">
      <c r="A14290" s="119"/>
      <c r="B14290" s="138" t="str">
        <f t="shared" si="1269"/>
        <v>Aerated Static Pile</v>
      </c>
      <c r="C14290" s="138" t="str">
        <f t="shared" si="1270"/>
        <v>Without Amendment</v>
      </c>
      <c r="D14290" s="138" t="str">
        <f t="shared" si="1274"/>
        <v>Medium_Base</v>
      </c>
      <c r="E14290" s="138" t="str">
        <f t="shared" si="1271"/>
        <v>High</v>
      </c>
      <c r="F14290" s="138" t="str">
        <f t="shared" si="1272"/>
        <v>Upgraded</v>
      </c>
      <c r="G14290" s="153"/>
      <c r="H14290" s="210">
        <v>0.97170000000000001</v>
      </c>
      <c r="I14290" s="160" t="s">
        <v>167</v>
      </c>
      <c r="J14290" s="160">
        <v>4.2789599999999997</v>
      </c>
      <c r="K14290" s="160" t="s">
        <v>15</v>
      </c>
      <c r="L14290" s="154" t="str">
        <f>IF(OpenLCAbasic!K14290="CTUh", "Fill in Manually",IF(OR(K14290="Unit", K14290=""), "", INDEX(LookUps!$E$5:$E$12, MATCH(OpenLCAbasic!K14290,LookUps!$D$5:$D$12,0))))</f>
        <v>Cumulative Energy Demand (CED) - MJ</v>
      </c>
      <c r="M14290" s="154" t="str">
        <f t="shared" si="1275"/>
        <v>High_Medium_Base_Upgraded_Cumulative Energy Demand (CED) - MJ_Waste Receiving and Holding; wastewater treatment unit; at updated plant - US_Without Amendment_Aerated Static Pile</v>
      </c>
    </row>
    <row r="14291" spans="1:13" s="120" customFormat="1" x14ac:dyDescent="0.25">
      <c r="A14291" s="119"/>
      <c r="B14291" s="138" t="str">
        <f t="shared" si="1269"/>
        <v>Aerated Static Pile</v>
      </c>
      <c r="C14291" s="138" t="str">
        <f t="shared" si="1270"/>
        <v>Without Amendment</v>
      </c>
      <c r="D14291" s="138" t="str">
        <f t="shared" si="1274"/>
        <v>Medium_Base</v>
      </c>
      <c r="E14291" s="138" t="str">
        <f t="shared" si="1271"/>
        <v>High</v>
      </c>
      <c r="F14291" s="138" t="str">
        <f t="shared" si="1272"/>
        <v>Upgraded</v>
      </c>
      <c r="G14291" s="153"/>
      <c r="H14291" s="210">
        <v>0.80230000000000001</v>
      </c>
      <c r="I14291" s="160" t="s">
        <v>55</v>
      </c>
      <c r="J14291" s="160">
        <v>3.5330499999999998</v>
      </c>
      <c r="K14291" s="160" t="s">
        <v>15</v>
      </c>
      <c r="L14291" s="154" t="str">
        <f>IF(OpenLCAbasic!K14291="CTUh", "Fill in Manually",IF(OR(K14291="Unit", K14291=""), "", INDEX(LookUps!$E$5:$E$12, MATCH(OpenLCAbasic!K14291,LookUps!$D$5:$D$12,0))))</f>
        <v>Cumulative Energy Demand (CED) - MJ</v>
      </c>
      <c r="M14291" s="154" t="str">
        <f t="shared" si="1275"/>
        <v>High_Medium_Base_Upgraded_Cumulative Energy Demand (CED) - MJ_Aeration Tanks; wastewater treatment unit; at updated plant - US_Without Amendment_Aerated Static Pile</v>
      </c>
    </row>
    <row r="14292" spans="1:13" s="120" customFormat="1" x14ac:dyDescent="0.25">
      <c r="A14292" s="119"/>
      <c r="B14292" s="138" t="str">
        <f t="shared" si="1269"/>
        <v>Aerated Static Pile</v>
      </c>
      <c r="C14292" s="138" t="str">
        <f t="shared" si="1270"/>
        <v>Without Amendment</v>
      </c>
      <c r="D14292" s="138" t="str">
        <f t="shared" si="1274"/>
        <v>Medium_Base</v>
      </c>
      <c r="E14292" s="138" t="str">
        <f t="shared" si="1271"/>
        <v>High</v>
      </c>
      <c r="F14292" s="138" t="str">
        <f t="shared" si="1272"/>
        <v>Upgraded</v>
      </c>
      <c r="G14292" s="153"/>
      <c r="H14292" s="210">
        <v>0.2641</v>
      </c>
      <c r="I14292" s="160" t="s">
        <v>54</v>
      </c>
      <c r="J14292" s="160">
        <v>1.16289</v>
      </c>
      <c r="K14292" s="160" t="s">
        <v>15</v>
      </c>
      <c r="L14292" s="154" t="str">
        <f>IF(OpenLCAbasic!K14292="CTUh", "Fill in Manually",IF(OR(K14292="Unit", K14292=""), "", INDEX(LookUps!$E$5:$E$12, MATCH(OpenLCAbasic!K14292,LookUps!$D$5:$D$12,0))))</f>
        <v>Cumulative Energy Demand (CED) - MJ</v>
      </c>
      <c r="M14292" s="154" t="str">
        <f t="shared" si="1275"/>
        <v>High_Medium_Base_Upgraded_Cumulative Energy Demand (CED) - MJ_Clear Cove Primary Clarification; wastewater treatment unit; at updated plant - US_Without Amendment_Aerated Static Pile</v>
      </c>
    </row>
    <row r="14293" spans="1:13" s="120" customFormat="1" x14ac:dyDescent="0.25">
      <c r="A14293" s="119"/>
      <c r="B14293" s="138" t="str">
        <f t="shared" si="1269"/>
        <v>Aerated Static Pile</v>
      </c>
      <c r="C14293" s="138" t="str">
        <f t="shared" si="1270"/>
        <v>Without Amendment</v>
      </c>
      <c r="D14293" s="138" t="str">
        <f t="shared" si="1274"/>
        <v>Medium_Base</v>
      </c>
      <c r="E14293" s="138" t="str">
        <f t="shared" si="1271"/>
        <v>High</v>
      </c>
      <c r="F14293" s="138" t="str">
        <f t="shared" si="1272"/>
        <v>Upgraded</v>
      </c>
      <c r="G14293" s="153"/>
      <c r="H14293" s="210">
        <v>0.2014</v>
      </c>
      <c r="I14293" s="160" t="s">
        <v>58</v>
      </c>
      <c r="J14293" s="160">
        <v>0.88705000000000001</v>
      </c>
      <c r="K14293" s="160" t="s">
        <v>15</v>
      </c>
      <c r="L14293" s="154" t="str">
        <f>IF(OpenLCAbasic!K14293="CTUh", "Fill in Manually",IF(OR(K14293="Unit", K14293=""), "", INDEX(LookUps!$E$5:$E$12, MATCH(OpenLCAbasic!K14293,LookUps!$D$5:$D$12,0))))</f>
        <v>Cumulative Energy Demand (CED) - MJ</v>
      </c>
      <c r="M14293" s="154" t="str">
        <f t="shared" si="1275"/>
        <v>High_Medium_Base_Upgraded_Cumulative Energy Demand (CED) - MJ_Pre-Anoxic &amp; Swing tank; wastewater treatment unit; at updated plant - US_Without Amendment_Aerated Static Pile</v>
      </c>
    </row>
    <row r="14294" spans="1:13" s="120" customFormat="1" x14ac:dyDescent="0.25">
      <c r="A14294" s="119"/>
      <c r="B14294" s="138" t="str">
        <f t="shared" si="1269"/>
        <v>Aerated Static Pile</v>
      </c>
      <c r="C14294" s="138" t="str">
        <f t="shared" si="1270"/>
        <v>Without Amendment</v>
      </c>
      <c r="D14294" s="138" t="str">
        <f t="shared" si="1274"/>
        <v>Medium_Base</v>
      </c>
      <c r="E14294" s="138" t="str">
        <f t="shared" si="1271"/>
        <v>High</v>
      </c>
      <c r="F14294" s="138" t="str">
        <f t="shared" si="1272"/>
        <v>Upgraded</v>
      </c>
      <c r="G14294" s="153"/>
      <c r="H14294" s="210">
        <v>0.20050000000000001</v>
      </c>
      <c r="I14294" s="160" t="s">
        <v>147</v>
      </c>
      <c r="J14294" s="160">
        <v>0.88297000000000003</v>
      </c>
      <c r="K14294" s="160" t="s">
        <v>15</v>
      </c>
      <c r="L14294" s="154" t="str">
        <f>IF(OpenLCAbasic!K14294="CTUh", "Fill in Manually",IF(OR(K14294="Unit", K14294=""), "", INDEX(LookUps!$E$5:$E$12, MATCH(OpenLCAbasic!K14294,LookUps!$D$5:$D$12,0))))</f>
        <v>Cumulative Energy Demand (CED) - MJ</v>
      </c>
      <c r="M14294" s="154" t="str">
        <f t="shared" si="1275"/>
        <v>High_Medium_Base_Upgraded_Cumulative Energy Demand (CED) - MJ_Influent Pump Station; wastewater treatment unit; at updated plant - US_Without Amendment_Aerated Static Pile</v>
      </c>
    </row>
    <row r="14295" spans="1:13" s="120" customFormat="1" x14ac:dyDescent="0.25">
      <c r="A14295" s="119"/>
      <c r="B14295" s="138" t="str">
        <f t="shared" si="1269"/>
        <v>Aerated Static Pile</v>
      </c>
      <c r="C14295" s="138" t="str">
        <f t="shared" si="1270"/>
        <v>Without Amendment</v>
      </c>
      <c r="D14295" s="138" t="str">
        <f t="shared" si="1274"/>
        <v>Medium_Base</v>
      </c>
      <c r="E14295" s="138" t="str">
        <f t="shared" si="1271"/>
        <v>High</v>
      </c>
      <c r="F14295" s="138" t="str">
        <f t="shared" si="1272"/>
        <v>Upgraded</v>
      </c>
      <c r="G14295" s="153"/>
      <c r="H14295" s="210">
        <v>0.15820000000000001</v>
      </c>
      <c r="I14295" s="160" t="s">
        <v>53</v>
      </c>
      <c r="J14295" s="160">
        <v>0.69645000000000001</v>
      </c>
      <c r="K14295" s="160" t="s">
        <v>15</v>
      </c>
      <c r="L14295" s="154" t="str">
        <f>IF(OpenLCAbasic!K14295="CTUh", "Fill in Manually",IF(OR(K14295="Unit", K14295=""), "", INDEX(LookUps!$E$5:$E$12, MATCH(OpenLCAbasic!K14295,LookUps!$D$5:$D$12,0))))</f>
        <v>Cumulative Energy Demand (CED) - MJ</v>
      </c>
      <c r="M14295" s="154" t="str">
        <f t="shared" si="1275"/>
        <v>High_Medium_Base_Upgraded_Cumulative Energy Demand (CED) - MJ_Wet Well and Sump Station; wastewater treatment unit; at updated plant - US_Without Amendment_Aerated Static Pile</v>
      </c>
    </row>
    <row r="14296" spans="1:13" s="120" customFormat="1" x14ac:dyDescent="0.25">
      <c r="A14296" s="119"/>
      <c r="B14296" s="138" t="str">
        <f t="shared" si="1269"/>
        <v>Aerated Static Pile</v>
      </c>
      <c r="C14296" s="138" t="str">
        <f t="shared" si="1270"/>
        <v>Without Amendment</v>
      </c>
      <c r="D14296" s="138" t="str">
        <f t="shared" si="1274"/>
        <v>Medium_Base</v>
      </c>
      <c r="E14296" s="138" t="str">
        <f t="shared" si="1271"/>
        <v>High</v>
      </c>
      <c r="F14296" s="138" t="str">
        <f t="shared" si="1272"/>
        <v>Upgraded</v>
      </c>
      <c r="G14296" s="153"/>
      <c r="H14296" s="210">
        <v>0.1091</v>
      </c>
      <c r="I14296" s="160" t="s">
        <v>435</v>
      </c>
      <c r="J14296" s="160">
        <v>0.48025000000000001</v>
      </c>
      <c r="K14296" s="160" t="s">
        <v>15</v>
      </c>
      <c r="L14296" s="154" t="str">
        <f>IF(OpenLCAbasic!K14296="CTUh", "Fill in Manually",IF(OR(K14296="Unit", K14296=""), "", INDEX(LookUps!$E$5:$E$12, MATCH(OpenLCAbasic!K14296,LookUps!$D$5:$D$12,0))))</f>
        <v>Cumulative Energy Demand (CED) - MJ</v>
      </c>
      <c r="M14296" s="154" t="str">
        <f t="shared" si="1275"/>
        <v>High_Medium_Base_Upgraded_Cumulative Energy Demand (CED) - MJ_Biosolids composting; aerated static pile; wastewater treatment unit; at updated plant - US_Without Amendment_Aerated Static Pile</v>
      </c>
    </row>
    <row r="14297" spans="1:13" s="120" customFormat="1" x14ac:dyDescent="0.25">
      <c r="A14297" s="119"/>
      <c r="B14297" s="138" t="str">
        <f t="shared" si="1269"/>
        <v>Aerated Static Pile</v>
      </c>
      <c r="C14297" s="138" t="str">
        <f t="shared" si="1270"/>
        <v>Without Amendment</v>
      </c>
      <c r="D14297" s="138" t="str">
        <f t="shared" si="1274"/>
        <v>Medium_Base</v>
      </c>
      <c r="E14297" s="138" t="str">
        <f t="shared" si="1271"/>
        <v>High</v>
      </c>
      <c r="F14297" s="138" t="str">
        <f t="shared" si="1272"/>
        <v>Upgraded</v>
      </c>
      <c r="G14297" s="153"/>
      <c r="H14297" s="210">
        <v>9.0399999999999994E-2</v>
      </c>
      <c r="I14297" s="160" t="s">
        <v>60</v>
      </c>
      <c r="J14297" s="160">
        <v>0.39804</v>
      </c>
      <c r="K14297" s="160" t="s">
        <v>15</v>
      </c>
      <c r="L14297" s="154" t="str">
        <f>IF(OpenLCAbasic!K14297="CTUh", "Fill in Manually",IF(OR(K14297="Unit", K14297=""), "", INDEX(LookUps!$E$5:$E$12, MATCH(OpenLCAbasic!K14297,LookUps!$D$5:$D$12,0))))</f>
        <v>Cumulative Energy Demand (CED) - MJ</v>
      </c>
      <c r="M14297" s="154" t="str">
        <f t="shared" si="1275"/>
        <v>High_Medium_Base_Upgraded_Cumulative Energy Demand (CED) - MJ_Belt filter press; wastewater treatment unit; at updated plant - US_Without Amendment_Aerated Static Pile</v>
      </c>
    </row>
    <row r="14298" spans="1:13" s="120" customFormat="1" x14ac:dyDescent="0.25">
      <c r="A14298" s="119"/>
      <c r="B14298" s="138" t="str">
        <f t="shared" si="1269"/>
        <v>Aerated Static Pile</v>
      </c>
      <c r="C14298" s="138" t="str">
        <f t="shared" si="1270"/>
        <v>Without Amendment</v>
      </c>
      <c r="D14298" s="138" t="str">
        <f t="shared" si="1274"/>
        <v>Medium_Base</v>
      </c>
      <c r="E14298" s="138" t="str">
        <f t="shared" si="1271"/>
        <v>High</v>
      </c>
      <c r="F14298" s="138" t="str">
        <f t="shared" si="1272"/>
        <v>Upgraded</v>
      </c>
      <c r="G14298" s="153"/>
      <c r="H14298" s="210">
        <v>7.5899999999999995E-2</v>
      </c>
      <c r="I14298" s="160" t="s">
        <v>57</v>
      </c>
      <c r="J14298" s="160">
        <v>0.33404</v>
      </c>
      <c r="K14298" s="160" t="s">
        <v>15</v>
      </c>
      <c r="L14298" s="154" t="str">
        <f>IF(OpenLCAbasic!K14298="CTUh", "Fill in Manually",IF(OR(K14298="Unit", K14298=""), "", INDEX(LookUps!$E$5:$E$12, MATCH(OpenLCAbasic!K14298,LookUps!$D$5:$D$12,0))))</f>
        <v>Cumulative Energy Demand (CED) - MJ</v>
      </c>
      <c r="M14298" s="154" t="str">
        <f t="shared" si="1275"/>
        <v>High_Medium_Base_Upgraded_Cumulative Energy Demand (CED) - MJ_Gravity Belt Thickener; wastewater treatment unit; at updated plant - US_Without Amendment_Aerated Static Pile</v>
      </c>
    </row>
    <row r="14299" spans="1:13" s="120" customFormat="1" x14ac:dyDescent="0.25">
      <c r="A14299" s="119"/>
      <c r="B14299" s="138" t="str">
        <f t="shared" si="1269"/>
        <v>Aerated Static Pile</v>
      </c>
      <c r="C14299" s="138" t="str">
        <f t="shared" si="1270"/>
        <v>Without Amendment</v>
      </c>
      <c r="D14299" s="138" t="str">
        <f t="shared" si="1274"/>
        <v>Medium_Base</v>
      </c>
      <c r="E14299" s="138" t="str">
        <f t="shared" si="1271"/>
        <v>High</v>
      </c>
      <c r="F14299" s="138" t="str">
        <f t="shared" si="1272"/>
        <v>Upgraded</v>
      </c>
      <c r="G14299" s="153"/>
      <c r="H14299" s="210">
        <v>5.8099999999999999E-2</v>
      </c>
      <c r="I14299" s="160" t="s">
        <v>128</v>
      </c>
      <c r="J14299" s="160">
        <v>0.25606000000000001</v>
      </c>
      <c r="K14299" s="160" t="s">
        <v>15</v>
      </c>
      <c r="L14299" s="154" t="str">
        <f>IF(OpenLCAbasic!K14299="CTUh", "Fill in Manually",IF(OR(K14299="Unit", K14299=""), "", INDEX(LookUps!$E$5:$E$12, MATCH(OpenLCAbasic!K14299,LookUps!$D$5:$D$12,0))))</f>
        <v>Cumulative Energy Demand (CED) - MJ</v>
      </c>
      <c r="M14299" s="154" t="str">
        <f t="shared" si="1275"/>
        <v>High_Medium_Base_Upgraded_Cumulative Energy Demand (CED) - MJ_Wastewater collection; operation and infrastructure; m3 wastewater_Without Amendment_Aerated Static Pile</v>
      </c>
    </row>
    <row r="14300" spans="1:13" s="120" customFormat="1" x14ac:dyDescent="0.25">
      <c r="A14300" s="119"/>
      <c r="B14300" s="138" t="str">
        <f t="shared" si="1269"/>
        <v>Aerated Static Pile</v>
      </c>
      <c r="C14300" s="138" t="str">
        <f t="shared" si="1270"/>
        <v>Without Amendment</v>
      </c>
      <c r="D14300" s="138" t="str">
        <f t="shared" si="1274"/>
        <v>Medium_Base</v>
      </c>
      <c r="E14300" s="138" t="str">
        <f t="shared" si="1271"/>
        <v>High</v>
      </c>
      <c r="F14300" s="138" t="str">
        <f t="shared" si="1272"/>
        <v>Upgraded</v>
      </c>
      <c r="G14300" s="153"/>
      <c r="H14300" s="210">
        <v>3.32E-2</v>
      </c>
      <c r="I14300" s="160" t="s">
        <v>148</v>
      </c>
      <c r="J14300" s="160">
        <v>0.14599000000000001</v>
      </c>
      <c r="K14300" s="160" t="s">
        <v>15</v>
      </c>
      <c r="L14300" s="154" t="str">
        <f>IF(OpenLCAbasic!K14300="CTUh", "Fill in Manually",IF(OR(K14300="Unit", K14300=""), "", INDEX(LookUps!$E$5:$E$12, MATCH(OpenLCAbasic!K14300,LookUps!$D$5:$D$12,0))))</f>
        <v>Cumulative Energy Demand (CED) - MJ</v>
      </c>
      <c r="M14300" s="154" t="str">
        <f t="shared" si="1275"/>
        <v>High_Medium_Base_Upgraded_Cumulative Energy Demand (CED) - MJ_Control Building; at upgraded wastewater treatment plant - US_Without Amendment_Aerated Static Pile</v>
      </c>
    </row>
    <row r="14301" spans="1:13" s="120" customFormat="1" x14ac:dyDescent="0.25">
      <c r="A14301" s="119"/>
      <c r="B14301" s="138" t="str">
        <f t="shared" si="1269"/>
        <v>Aerated Static Pile</v>
      </c>
      <c r="C14301" s="138" t="str">
        <f t="shared" si="1270"/>
        <v>Without Amendment</v>
      </c>
      <c r="D14301" s="138" t="str">
        <f t="shared" si="1274"/>
        <v>Medium_Base</v>
      </c>
      <c r="E14301" s="138" t="str">
        <f t="shared" si="1271"/>
        <v>High</v>
      </c>
      <c r="F14301" s="138" t="str">
        <f t="shared" si="1272"/>
        <v>Upgraded</v>
      </c>
      <c r="G14301" s="153"/>
      <c r="H14301" s="210">
        <v>3.0300000000000001E-2</v>
      </c>
      <c r="I14301" s="160" t="s">
        <v>48</v>
      </c>
      <c r="J14301" s="160">
        <v>0.13321</v>
      </c>
      <c r="K14301" s="160" t="s">
        <v>15</v>
      </c>
      <c r="L14301" s="154" t="str">
        <f>IF(OpenLCAbasic!K14301="CTUh", "Fill in Manually",IF(OR(K14301="Unit", K14301=""), "", INDEX(LookUps!$E$5:$E$12, MATCH(OpenLCAbasic!K14301,LookUps!$D$5:$D$12,0))))</f>
        <v>Cumulative Energy Demand (CED) - MJ</v>
      </c>
      <c r="M14301" s="154" t="str">
        <f t="shared" si="1275"/>
        <v>High_Medium_Base_Upgraded_Cumulative Energy Demand (CED) - MJ_Effluent release; wastewater treatment unit; at surface water; m3 wastewater - US_Without Amendment_Aerated Static Pile</v>
      </c>
    </row>
    <row r="14302" spans="1:13" s="120" customFormat="1" x14ac:dyDescent="0.25">
      <c r="A14302" s="119"/>
      <c r="B14302" s="138" t="str">
        <f t="shared" si="1269"/>
        <v>Aerated Static Pile</v>
      </c>
      <c r="C14302" s="138" t="str">
        <f t="shared" si="1270"/>
        <v>Without Amendment</v>
      </c>
      <c r="D14302" s="138" t="str">
        <f t="shared" si="1274"/>
        <v>Medium_Base</v>
      </c>
      <c r="E14302" s="138" t="str">
        <f t="shared" si="1271"/>
        <v>High</v>
      </c>
      <c r="F14302" s="138" t="str">
        <f t="shared" si="1272"/>
        <v>Upgraded</v>
      </c>
      <c r="G14302" s="153"/>
      <c r="H14302" s="210">
        <v>2.4199999999999999E-2</v>
      </c>
      <c r="I14302" s="160" t="s">
        <v>59</v>
      </c>
      <c r="J14302" s="160">
        <v>0.10638</v>
      </c>
      <c r="K14302" s="160" t="s">
        <v>15</v>
      </c>
      <c r="L14302" s="154" t="str">
        <f>IF(OpenLCAbasic!K14302="CTUh", "Fill in Manually",IF(OR(K14302="Unit", K14302=""), "", INDEX(LookUps!$E$5:$E$12, MATCH(OpenLCAbasic!K14302,LookUps!$D$5:$D$12,0))))</f>
        <v>Cumulative Energy Demand (CED) - MJ</v>
      </c>
      <c r="M14302" s="154" t="str">
        <f t="shared" si="1275"/>
        <v>High_Medium_Base_Upgraded_Cumulative Energy Demand (CED) - MJ_Blend Tank; wastewater treatment unit; at updated plant - US_Without Amendment_Aerated Static Pile</v>
      </c>
    </row>
    <row r="14303" spans="1:13" s="120" customFormat="1" x14ac:dyDescent="0.25">
      <c r="A14303" s="119"/>
      <c r="B14303" s="138" t="str">
        <f t="shared" si="1269"/>
        <v>Aerated Static Pile</v>
      </c>
      <c r="C14303" s="138" t="str">
        <f t="shared" si="1270"/>
        <v>Without Amendment</v>
      </c>
      <c r="D14303" s="138" t="str">
        <f t="shared" si="1274"/>
        <v>Medium_Base</v>
      </c>
      <c r="E14303" s="138" t="str">
        <f t="shared" si="1271"/>
        <v>High</v>
      </c>
      <c r="F14303" s="138" t="str">
        <f t="shared" si="1272"/>
        <v>Upgraded</v>
      </c>
      <c r="G14303" s="153"/>
      <c r="H14303" s="210">
        <v>1.1599999999999999E-2</v>
      </c>
      <c r="I14303" s="160" t="s">
        <v>168</v>
      </c>
      <c r="J14303" s="160">
        <v>5.0930000000000003E-2</v>
      </c>
      <c r="K14303" s="160" t="s">
        <v>15</v>
      </c>
      <c r="L14303" s="154" t="str">
        <f>IF(OpenLCAbasic!K14303="CTUh", "Fill in Manually",IF(OR(K14303="Unit", K14303=""), "", INDEX(LookUps!$E$5:$E$12, MATCH(OpenLCAbasic!K14303,LookUps!$D$5:$D$12,0))))</f>
        <v>Cumulative Energy Demand (CED) - MJ</v>
      </c>
      <c r="M14303" s="154" t="str">
        <f t="shared" si="1275"/>
        <v>High_Medium_Base_Upgraded_Cumulative Energy Demand (CED) - MJ_ClearCove SCP; wastewater treatment unit; at updated plant - US_Without Amendment_Aerated Static Pile</v>
      </c>
    </row>
    <row r="14304" spans="1:13" s="120" customFormat="1" x14ac:dyDescent="0.25">
      <c r="A14304" s="119"/>
      <c r="B14304" s="138" t="str">
        <f t="shared" si="1269"/>
        <v>Aerated Static Pile</v>
      </c>
      <c r="C14304" s="138" t="str">
        <f t="shared" si="1270"/>
        <v>Without Amendment</v>
      </c>
      <c r="D14304" s="138" t="str">
        <f t="shared" si="1274"/>
        <v>Medium_Base</v>
      </c>
      <c r="E14304" s="138" t="str">
        <f t="shared" si="1271"/>
        <v>High</v>
      </c>
      <c r="F14304" s="138" t="str">
        <f t="shared" si="1272"/>
        <v>Upgraded</v>
      </c>
      <c r="G14304" s="153"/>
      <c r="H14304" s="210">
        <v>-8.2600000000000007E-2</v>
      </c>
      <c r="I14304" s="160" t="s">
        <v>62</v>
      </c>
      <c r="J14304" s="160">
        <v>-0.36375000000000002</v>
      </c>
      <c r="K14304" s="160" t="s">
        <v>15</v>
      </c>
      <c r="L14304" s="154" t="str">
        <f>IF(OpenLCAbasic!K14304="CTUh", "Fill in Manually",IF(OR(K14304="Unit", K14304=""), "", INDEX(LookUps!$E$5:$E$12, MATCH(OpenLCAbasic!K14304,LookUps!$D$5:$D$12,0))))</f>
        <v>Cumulative Energy Demand (CED) - MJ</v>
      </c>
      <c r="M14304" s="154" t="str">
        <f t="shared" si="1275"/>
        <v>High_Medium_Base_Upgraded_Cumulative Energy Demand (CED) - MJ_Land application of compost; wastewater treatment unit; at updated plant - US_Without Amendment_Aerated Static Pile</v>
      </c>
    </row>
    <row r="14305" spans="1:13" s="120" customFormat="1" x14ac:dyDescent="0.25">
      <c r="A14305" s="119"/>
      <c r="B14305" s="138" t="str">
        <f t="shared" si="1269"/>
        <v>Aerated Static Pile</v>
      </c>
      <c r="C14305" s="138" t="str">
        <f t="shared" si="1270"/>
        <v>Without Amendment</v>
      </c>
      <c r="D14305" s="138" t="str">
        <f t="shared" si="1274"/>
        <v>Medium_Base</v>
      </c>
      <c r="E14305" s="138" t="str">
        <f t="shared" si="1271"/>
        <v>High</v>
      </c>
      <c r="F14305" s="138" t="str">
        <f t="shared" si="1272"/>
        <v>Upgraded</v>
      </c>
      <c r="G14305" s="153"/>
      <c r="H14305" s="210">
        <v>-1.9480999999999999</v>
      </c>
      <c r="I14305" s="160" t="s">
        <v>149</v>
      </c>
      <c r="J14305" s="160">
        <v>-8.5788899999999995</v>
      </c>
      <c r="K14305" s="160" t="s">
        <v>15</v>
      </c>
      <c r="L14305" s="154" t="str">
        <f>IF(OpenLCAbasic!K14305="CTUh", "Fill in Manually",IF(OR(K14305="Unit", K14305=""), "", INDEX(LookUps!$E$5:$E$12, MATCH(OpenLCAbasic!K14305,LookUps!$D$5:$D$12,0))))</f>
        <v>Cumulative Energy Demand (CED) - MJ</v>
      </c>
      <c r="M14305" s="154" t="str">
        <f t="shared" si="1275"/>
        <v>High_Medium_Base_Upgraded_Cumulative Energy Demand (CED) - MJ_Anaerobic Digestion; wastewater treatment unit; at updated plant - US_Without Amendment_Aerated Static Pile</v>
      </c>
    </row>
    <row r="14306" spans="1:13" s="120" customFormat="1" x14ac:dyDescent="0.25">
      <c r="A14306" s="119"/>
      <c r="B14306" s="138" t="str">
        <f t="shared" si="1269"/>
        <v/>
      </c>
      <c r="C14306" s="138" t="str">
        <f t="shared" si="1270"/>
        <v/>
      </c>
      <c r="D14306" s="138" t="str">
        <f t="shared" si="1274"/>
        <v/>
      </c>
      <c r="E14306" s="138" t="str">
        <f t="shared" si="1271"/>
        <v/>
      </c>
      <c r="F14306" s="138" t="str">
        <f t="shared" si="1272"/>
        <v/>
      </c>
      <c r="G14306" s="153" t="s">
        <v>51</v>
      </c>
      <c r="H14306" s="160"/>
      <c r="I14306" s="160" t="s">
        <v>47</v>
      </c>
      <c r="J14306" s="160" t="s">
        <v>52</v>
      </c>
      <c r="K14306" s="160" t="s">
        <v>27</v>
      </c>
      <c r="L14306" s="154" t="str">
        <f>IF(OpenLCAbasic!K14306="CTUh", "Fill in Manually",IF(OR(K14306="Unit", K14306=""), "", INDEX(LookUps!$E$5:$E$12, MATCH(OpenLCAbasic!K14306,LookUps!$D$5:$D$12,0))))</f>
        <v/>
      </c>
      <c r="M14306" s="154" t="str">
        <f t="shared" si="1275"/>
        <v>____Process__</v>
      </c>
    </row>
    <row r="14307" spans="1:13" s="120" customFormat="1" x14ac:dyDescent="0.25">
      <c r="A14307" s="119"/>
      <c r="B14307" s="138" t="str">
        <f t="shared" si="1269"/>
        <v>Aerated Static Pile</v>
      </c>
      <c r="C14307" s="138" t="str">
        <f t="shared" si="1270"/>
        <v>Without Amendment</v>
      </c>
      <c r="D14307" s="138" t="str">
        <f t="shared" si="1274"/>
        <v>Medium_Base</v>
      </c>
      <c r="E14307" s="138" t="str">
        <f t="shared" si="1271"/>
        <v>High</v>
      </c>
      <c r="F14307" s="138" t="str">
        <f t="shared" si="1272"/>
        <v>Upgraded</v>
      </c>
      <c r="G14307" s="153"/>
      <c r="H14307" s="210">
        <v>0.80289999999999995</v>
      </c>
      <c r="I14307" s="160" t="s">
        <v>48</v>
      </c>
      <c r="J14307" s="160">
        <v>1.1610000000000001E-2</v>
      </c>
      <c r="K14307" s="160" t="s">
        <v>13</v>
      </c>
      <c r="L14307" s="154" t="str">
        <f>IF(OpenLCAbasic!K14307="CTUh", "Fill in Manually",IF(OR(K14307="Unit", K14307=""), "", INDEX(LookUps!$E$5:$E$12, MATCH(OpenLCAbasic!K14307,LookUps!$D$5:$D$12,0))))</f>
        <v>Eutrophication Potential (EP) - kg N eq</v>
      </c>
      <c r="M14307" s="154" t="str">
        <f t="shared" si="1275"/>
        <v>High_Medium_Base_Upgraded_Eutrophication Potential (EP) - kg N eq_Effluent release; wastewater treatment unit; at surface water; m3 wastewater - US_Without Amendment_Aerated Static Pile</v>
      </c>
    </row>
    <row r="14308" spans="1:13" s="120" customFormat="1" x14ac:dyDescent="0.25">
      <c r="A14308" s="119"/>
      <c r="B14308" s="138" t="str">
        <f t="shared" si="1269"/>
        <v>Aerated Static Pile</v>
      </c>
      <c r="C14308" s="138" t="str">
        <f t="shared" si="1270"/>
        <v>Without Amendment</v>
      </c>
      <c r="D14308" s="138" t="str">
        <f t="shared" si="1274"/>
        <v>Medium_Base</v>
      </c>
      <c r="E14308" s="138" t="str">
        <f t="shared" si="1271"/>
        <v>High</v>
      </c>
      <c r="F14308" s="138" t="str">
        <f t="shared" si="1272"/>
        <v>Upgraded</v>
      </c>
      <c r="G14308" s="153"/>
      <c r="H14308" s="210">
        <v>0.11840000000000001</v>
      </c>
      <c r="I14308" s="160" t="s">
        <v>62</v>
      </c>
      <c r="J14308" s="160">
        <v>1.7099999999999999E-3</v>
      </c>
      <c r="K14308" s="160" t="s">
        <v>13</v>
      </c>
      <c r="L14308" s="154" t="str">
        <f>IF(OpenLCAbasic!K14308="CTUh", "Fill in Manually",IF(OR(K14308="Unit", K14308=""), "", INDEX(LookUps!$E$5:$E$12, MATCH(OpenLCAbasic!K14308,LookUps!$D$5:$D$12,0))))</f>
        <v>Eutrophication Potential (EP) - kg N eq</v>
      </c>
      <c r="M14308" s="154" t="str">
        <f t="shared" si="1275"/>
        <v>High_Medium_Base_Upgraded_Eutrophication Potential (EP) - kg N eq_Land application of compost; wastewater treatment unit; at updated plant - US_Without Amendment_Aerated Static Pile</v>
      </c>
    </row>
    <row r="14309" spans="1:13" s="120" customFormat="1" x14ac:dyDescent="0.25">
      <c r="A14309" s="119"/>
      <c r="B14309" s="138" t="str">
        <f t="shared" si="1269"/>
        <v>Aerated Static Pile</v>
      </c>
      <c r="C14309" s="138" t="str">
        <f t="shared" si="1270"/>
        <v>Without Amendment</v>
      </c>
      <c r="D14309" s="138" t="str">
        <f t="shared" si="1274"/>
        <v>Medium_Base</v>
      </c>
      <c r="E14309" s="138" t="str">
        <f t="shared" si="1271"/>
        <v>High</v>
      </c>
      <c r="F14309" s="138" t="str">
        <f t="shared" si="1272"/>
        <v>Upgraded</v>
      </c>
      <c r="G14309" s="153"/>
      <c r="H14309" s="210">
        <v>3.78E-2</v>
      </c>
      <c r="I14309" s="160" t="s">
        <v>55</v>
      </c>
      <c r="J14309" s="160">
        <v>5.5000000000000003E-4</v>
      </c>
      <c r="K14309" s="160" t="s">
        <v>13</v>
      </c>
      <c r="L14309" s="154" t="str">
        <f>IF(OpenLCAbasic!K14309="CTUh", "Fill in Manually",IF(OR(K14309="Unit", K14309=""), "", INDEX(LookUps!$E$5:$E$12, MATCH(OpenLCAbasic!K14309,LookUps!$D$5:$D$12,0))))</f>
        <v>Eutrophication Potential (EP) - kg N eq</v>
      </c>
      <c r="M14309" s="154" t="str">
        <f t="shared" si="1275"/>
        <v>High_Medium_Base_Upgraded_Eutrophication Potential (EP) - kg N eq_Aeration Tanks; wastewater treatment unit; at updated plant - US_Without Amendment_Aerated Static Pile</v>
      </c>
    </row>
    <row r="14310" spans="1:13" s="120" customFormat="1" x14ac:dyDescent="0.25">
      <c r="A14310" s="119"/>
      <c r="B14310" s="138" t="str">
        <f t="shared" si="1269"/>
        <v>Aerated Static Pile</v>
      </c>
      <c r="C14310" s="138" t="str">
        <f t="shared" si="1270"/>
        <v>Without Amendment</v>
      </c>
      <c r="D14310" s="138" t="str">
        <f t="shared" si="1274"/>
        <v>Medium_Base</v>
      </c>
      <c r="E14310" s="138" t="str">
        <f t="shared" si="1271"/>
        <v>High</v>
      </c>
      <c r="F14310" s="138" t="str">
        <f t="shared" si="1272"/>
        <v>Upgraded</v>
      </c>
      <c r="G14310" s="153"/>
      <c r="H14310" s="210">
        <v>1.7299999999999999E-2</v>
      </c>
      <c r="I14310" s="160" t="s">
        <v>147</v>
      </c>
      <c r="J14310" s="160">
        <v>2.5000000000000001E-4</v>
      </c>
      <c r="K14310" s="160" t="s">
        <v>13</v>
      </c>
      <c r="L14310" s="154" t="str">
        <f>IF(OpenLCAbasic!K14310="CTUh", "Fill in Manually",IF(OR(K14310="Unit", K14310=""), "", INDEX(LookUps!$E$5:$E$12, MATCH(OpenLCAbasic!K14310,LookUps!$D$5:$D$12,0))))</f>
        <v>Eutrophication Potential (EP) - kg N eq</v>
      </c>
      <c r="M14310" s="154" t="str">
        <f t="shared" si="1275"/>
        <v>High_Medium_Base_Upgraded_Eutrophication Potential (EP) - kg N eq_Influent Pump Station; wastewater treatment unit; at updated plant - US_Without Amendment_Aerated Static Pile</v>
      </c>
    </row>
    <row r="14311" spans="1:13" s="120" customFormat="1" x14ac:dyDescent="0.25">
      <c r="A14311" s="119"/>
      <c r="B14311" s="138" t="str">
        <f t="shared" si="1269"/>
        <v>Aerated Static Pile</v>
      </c>
      <c r="C14311" s="138" t="str">
        <f t="shared" si="1270"/>
        <v>Without Amendment</v>
      </c>
      <c r="D14311" s="138" t="str">
        <f t="shared" si="1274"/>
        <v>Medium_Base</v>
      </c>
      <c r="E14311" s="138" t="str">
        <f t="shared" si="1271"/>
        <v>High</v>
      </c>
      <c r="F14311" s="138" t="str">
        <f t="shared" si="1272"/>
        <v>Upgraded</v>
      </c>
      <c r="G14311" s="153"/>
      <c r="H14311" s="210">
        <v>1.37E-2</v>
      </c>
      <c r="I14311" s="160" t="s">
        <v>54</v>
      </c>
      <c r="J14311" s="160">
        <v>2.0000000000000001E-4</v>
      </c>
      <c r="K14311" s="160" t="s">
        <v>13</v>
      </c>
      <c r="L14311" s="154" t="str">
        <f>IF(OpenLCAbasic!K14311="CTUh", "Fill in Manually",IF(OR(K14311="Unit", K14311=""), "", INDEX(LookUps!$E$5:$E$12, MATCH(OpenLCAbasic!K14311,LookUps!$D$5:$D$12,0))))</f>
        <v>Eutrophication Potential (EP) - kg N eq</v>
      </c>
      <c r="M14311" s="154" t="str">
        <f t="shared" si="1275"/>
        <v>High_Medium_Base_Upgraded_Eutrophication Potential (EP) - kg N eq_Clear Cove Primary Clarification; wastewater treatment unit; at updated plant - US_Without Amendment_Aerated Static Pile</v>
      </c>
    </row>
    <row r="14312" spans="1:13" s="120" customFormat="1" x14ac:dyDescent="0.25">
      <c r="A14312" s="119"/>
      <c r="B14312" s="138" t="str">
        <f t="shared" si="1269"/>
        <v>Aerated Static Pile</v>
      </c>
      <c r="C14312" s="138" t="str">
        <f t="shared" si="1270"/>
        <v>Without Amendment</v>
      </c>
      <c r="D14312" s="138" t="str">
        <f t="shared" si="1274"/>
        <v>Medium_Base</v>
      </c>
      <c r="E14312" s="138" t="str">
        <f t="shared" si="1271"/>
        <v>High</v>
      </c>
      <c r="F14312" s="138" t="str">
        <f t="shared" si="1272"/>
        <v>Upgraded</v>
      </c>
      <c r="G14312" s="153"/>
      <c r="H14312" s="210">
        <v>1.32E-2</v>
      </c>
      <c r="I14312" s="160" t="s">
        <v>167</v>
      </c>
      <c r="J14312" s="160">
        <v>1.9000000000000001E-4</v>
      </c>
      <c r="K14312" s="160" t="s">
        <v>13</v>
      </c>
      <c r="L14312" s="154" t="str">
        <f>IF(OpenLCAbasic!K14312="CTUh", "Fill in Manually",IF(OR(K14312="Unit", K14312=""), "", INDEX(LookUps!$E$5:$E$12, MATCH(OpenLCAbasic!K14312,LookUps!$D$5:$D$12,0))))</f>
        <v>Eutrophication Potential (EP) - kg N eq</v>
      </c>
      <c r="M14312" s="154" t="str">
        <f t="shared" si="1275"/>
        <v>High_Medium_Base_Upgraded_Eutrophication Potential (EP) - kg N eq_Waste Receiving and Holding; wastewater treatment unit; at updated plant - US_Without Amendment_Aerated Static Pile</v>
      </c>
    </row>
    <row r="14313" spans="1:13" s="120" customFormat="1" x14ac:dyDescent="0.25">
      <c r="A14313" s="119"/>
      <c r="B14313" s="138" t="str">
        <f t="shared" ref="B14313:B14376" si="1276">IF(F14313="Legacy","n.a.",IF(F14313="","","Aerated Static Pile"))</f>
        <v>Aerated Static Pile</v>
      </c>
      <c r="C14313" s="138" t="str">
        <f t="shared" ref="C14313:C14376" si="1277">IF(ISNUMBER($J14313),"Without Amendment","")</f>
        <v>Without Amendment</v>
      </c>
      <c r="D14313" s="138" t="str">
        <f t="shared" si="1274"/>
        <v>Medium_Base</v>
      </c>
      <c r="E14313" s="138" t="str">
        <f t="shared" ref="E14313:E14376" si="1278">IF(ISNUMBER($J14313),"High","")</f>
        <v>High</v>
      </c>
      <c r="F14313" s="138" t="str">
        <f t="shared" ref="F14313:F14376" si="1279">IF(ISNUMBER(J14313),"Upgraded","")</f>
        <v>Upgraded</v>
      </c>
      <c r="G14313" s="153"/>
      <c r="H14313" s="210">
        <v>9.4000000000000004E-3</v>
      </c>
      <c r="I14313" s="160" t="s">
        <v>58</v>
      </c>
      <c r="J14313" s="160">
        <v>1.3999999999999999E-4</v>
      </c>
      <c r="K14313" s="160" t="s">
        <v>13</v>
      </c>
      <c r="L14313" s="154" t="str">
        <f>IF(OpenLCAbasic!K14313="CTUh", "Fill in Manually",IF(OR(K14313="Unit", K14313=""), "", INDEX(LookUps!$E$5:$E$12, MATCH(OpenLCAbasic!K14313,LookUps!$D$5:$D$12,0))))</f>
        <v>Eutrophication Potential (EP) - kg N eq</v>
      </c>
      <c r="M14313" s="154" t="str">
        <f t="shared" si="1275"/>
        <v>High_Medium_Base_Upgraded_Eutrophication Potential (EP) - kg N eq_Pre-Anoxic &amp; Swing tank; wastewater treatment unit; at updated plant - US_Without Amendment_Aerated Static Pile</v>
      </c>
    </row>
    <row r="14314" spans="1:13" s="120" customFormat="1" x14ac:dyDescent="0.25">
      <c r="A14314" s="119"/>
      <c r="B14314" s="138" t="str">
        <f t="shared" si="1276"/>
        <v>Aerated Static Pile</v>
      </c>
      <c r="C14314" s="138" t="str">
        <f t="shared" si="1277"/>
        <v>Without Amendment</v>
      </c>
      <c r="D14314" s="138" t="str">
        <f t="shared" si="1274"/>
        <v>Medium_Base</v>
      </c>
      <c r="E14314" s="138" t="str">
        <f t="shared" si="1278"/>
        <v>High</v>
      </c>
      <c r="F14314" s="138" t="str">
        <f t="shared" si="1279"/>
        <v>Upgraded</v>
      </c>
      <c r="G14314" s="153"/>
      <c r="H14314" s="210">
        <v>7.4000000000000003E-3</v>
      </c>
      <c r="I14314" s="160" t="s">
        <v>53</v>
      </c>
      <c r="J14314" s="160">
        <v>1.1E-4</v>
      </c>
      <c r="K14314" s="160" t="s">
        <v>13</v>
      </c>
      <c r="L14314" s="154" t="str">
        <f>IF(OpenLCAbasic!K14314="CTUh", "Fill in Manually",IF(OR(K14314="Unit", K14314=""), "", INDEX(LookUps!$E$5:$E$12, MATCH(OpenLCAbasic!K14314,LookUps!$D$5:$D$12,0))))</f>
        <v>Eutrophication Potential (EP) - kg N eq</v>
      </c>
      <c r="M14314" s="154" t="str">
        <f t="shared" si="1275"/>
        <v>High_Medium_Base_Upgraded_Eutrophication Potential (EP) - kg N eq_Wet Well and Sump Station; wastewater treatment unit; at updated plant - US_Without Amendment_Aerated Static Pile</v>
      </c>
    </row>
    <row r="14315" spans="1:13" s="120" customFormat="1" x14ac:dyDescent="0.25">
      <c r="A14315" s="119"/>
      <c r="B14315" s="138" t="str">
        <f t="shared" si="1276"/>
        <v>Aerated Static Pile</v>
      </c>
      <c r="C14315" s="138" t="str">
        <f t="shared" si="1277"/>
        <v>Without Amendment</v>
      </c>
      <c r="D14315" s="138" t="str">
        <f t="shared" si="1274"/>
        <v>Medium_Base</v>
      </c>
      <c r="E14315" s="138" t="str">
        <f t="shared" si="1278"/>
        <v>High</v>
      </c>
      <c r="F14315" s="138" t="str">
        <f t="shared" si="1279"/>
        <v>Upgraded</v>
      </c>
      <c r="G14315" s="153"/>
      <c r="H14315" s="210">
        <v>7.0000000000000001E-3</v>
      </c>
      <c r="I14315" s="160" t="s">
        <v>435</v>
      </c>
      <c r="J14315" s="160">
        <v>1E-4</v>
      </c>
      <c r="K14315" s="160" t="s">
        <v>13</v>
      </c>
      <c r="L14315" s="154" t="str">
        <f>IF(OpenLCAbasic!K14315="CTUh", "Fill in Manually",IF(OR(K14315="Unit", K14315=""), "", INDEX(LookUps!$E$5:$E$12, MATCH(OpenLCAbasic!K14315,LookUps!$D$5:$D$12,0))))</f>
        <v>Eutrophication Potential (EP) - kg N eq</v>
      </c>
      <c r="M14315" s="154" t="str">
        <f t="shared" si="1275"/>
        <v>High_Medium_Base_Upgraded_Eutrophication Potential (EP) - kg N eq_Biosolids composting; aerated static pile; wastewater treatment unit; at updated plant - US_Without Amendment_Aerated Static Pile</v>
      </c>
    </row>
    <row r="14316" spans="1:13" s="120" customFormat="1" x14ac:dyDescent="0.25">
      <c r="A14316" s="119"/>
      <c r="B14316" s="138" t="str">
        <f t="shared" si="1276"/>
        <v>Aerated Static Pile</v>
      </c>
      <c r="C14316" s="138" t="str">
        <f t="shared" si="1277"/>
        <v>Without Amendment</v>
      </c>
      <c r="D14316" s="138" t="str">
        <f t="shared" si="1274"/>
        <v>Medium_Base</v>
      </c>
      <c r="E14316" s="138" t="str">
        <f t="shared" si="1278"/>
        <v>High</v>
      </c>
      <c r="F14316" s="138" t="str">
        <f t="shared" si="1279"/>
        <v>Upgraded</v>
      </c>
      <c r="G14316" s="153"/>
      <c r="H14316" s="210">
        <v>4.7999999999999996E-3</v>
      </c>
      <c r="I14316" s="160" t="s">
        <v>60</v>
      </c>
      <c r="J14316" s="211">
        <v>6.9922100000000006E-5</v>
      </c>
      <c r="K14316" s="160" t="s">
        <v>13</v>
      </c>
      <c r="L14316" s="154" t="str">
        <f>IF(OpenLCAbasic!K14316="CTUh", "Fill in Manually",IF(OR(K14316="Unit", K14316=""), "", INDEX(LookUps!$E$5:$E$12, MATCH(OpenLCAbasic!K14316,LookUps!$D$5:$D$12,0))))</f>
        <v>Eutrophication Potential (EP) - kg N eq</v>
      </c>
      <c r="M14316" s="154" t="str">
        <f t="shared" si="1275"/>
        <v>High_Medium_Base_Upgraded_Eutrophication Potential (EP) - kg N eq_Belt filter press; wastewater treatment unit; at updated plant - US_Without Amendment_Aerated Static Pile</v>
      </c>
    </row>
    <row r="14317" spans="1:13" s="120" customFormat="1" x14ac:dyDescent="0.25">
      <c r="A14317" s="119"/>
      <c r="B14317" s="138" t="str">
        <f t="shared" si="1276"/>
        <v>Aerated Static Pile</v>
      </c>
      <c r="C14317" s="138" t="str">
        <f t="shared" si="1277"/>
        <v>Without Amendment</v>
      </c>
      <c r="D14317" s="138" t="str">
        <f t="shared" si="1274"/>
        <v>Medium_Base</v>
      </c>
      <c r="E14317" s="138" t="str">
        <f t="shared" si="1278"/>
        <v>High</v>
      </c>
      <c r="F14317" s="138" t="str">
        <f t="shared" si="1279"/>
        <v>Upgraded</v>
      </c>
      <c r="G14317" s="153"/>
      <c r="H14317" s="210">
        <v>4.1999999999999997E-3</v>
      </c>
      <c r="I14317" s="160" t="s">
        <v>57</v>
      </c>
      <c r="J14317" s="211">
        <v>6.0590300000000002E-5</v>
      </c>
      <c r="K14317" s="160" t="s">
        <v>13</v>
      </c>
      <c r="L14317" s="154" t="str">
        <f>IF(OpenLCAbasic!K14317="CTUh", "Fill in Manually",IF(OR(K14317="Unit", K14317=""), "", INDEX(LookUps!$E$5:$E$12, MATCH(OpenLCAbasic!K14317,LookUps!$D$5:$D$12,0))))</f>
        <v>Eutrophication Potential (EP) - kg N eq</v>
      </c>
      <c r="M14317" s="154" t="str">
        <f t="shared" si="1275"/>
        <v>High_Medium_Base_Upgraded_Eutrophication Potential (EP) - kg N eq_Gravity Belt Thickener; wastewater treatment unit; at updated plant - US_Without Amendment_Aerated Static Pile</v>
      </c>
    </row>
    <row r="14318" spans="1:13" s="120" customFormat="1" x14ac:dyDescent="0.25">
      <c r="A14318" s="119"/>
      <c r="B14318" s="138" t="str">
        <f t="shared" si="1276"/>
        <v>Aerated Static Pile</v>
      </c>
      <c r="C14318" s="138" t="str">
        <f t="shared" si="1277"/>
        <v>Without Amendment</v>
      </c>
      <c r="D14318" s="138" t="str">
        <f t="shared" si="1274"/>
        <v>Medium_Base</v>
      </c>
      <c r="E14318" s="138" t="str">
        <f t="shared" si="1278"/>
        <v>High</v>
      </c>
      <c r="F14318" s="138" t="str">
        <f t="shared" si="1279"/>
        <v>Upgraded</v>
      </c>
      <c r="G14318" s="153"/>
      <c r="H14318" s="210">
        <v>2.5999999999999999E-3</v>
      </c>
      <c r="I14318" s="160" t="s">
        <v>128</v>
      </c>
      <c r="J14318" s="211">
        <v>3.7559799999999999E-5</v>
      </c>
      <c r="K14318" s="160" t="s">
        <v>13</v>
      </c>
      <c r="L14318" s="154" t="str">
        <f>IF(OpenLCAbasic!K14318="CTUh", "Fill in Manually",IF(OR(K14318="Unit", K14318=""), "", INDEX(LookUps!$E$5:$E$12, MATCH(OpenLCAbasic!K14318,LookUps!$D$5:$D$12,0))))</f>
        <v>Eutrophication Potential (EP) - kg N eq</v>
      </c>
      <c r="M14318" s="154" t="str">
        <f t="shared" si="1275"/>
        <v>High_Medium_Base_Upgraded_Eutrophication Potential (EP) - kg N eq_Wastewater collection; operation and infrastructure; m3 wastewater_Without Amendment_Aerated Static Pile</v>
      </c>
    </row>
    <row r="14319" spans="1:13" s="120" customFormat="1" x14ac:dyDescent="0.25">
      <c r="A14319" s="119"/>
      <c r="B14319" s="138" t="str">
        <f t="shared" si="1276"/>
        <v>Aerated Static Pile</v>
      </c>
      <c r="C14319" s="138" t="str">
        <f t="shared" si="1277"/>
        <v>Without Amendment</v>
      </c>
      <c r="D14319" s="138" t="str">
        <f t="shared" si="1274"/>
        <v>Medium_Base</v>
      </c>
      <c r="E14319" s="138" t="str">
        <f t="shared" si="1278"/>
        <v>High</v>
      </c>
      <c r="F14319" s="138" t="str">
        <f t="shared" si="1279"/>
        <v>Upgraded</v>
      </c>
      <c r="G14319" s="153"/>
      <c r="H14319" s="210">
        <v>2.5000000000000001E-3</v>
      </c>
      <c r="I14319" s="160" t="s">
        <v>148</v>
      </c>
      <c r="J14319" s="211">
        <v>3.6874600000000001E-5</v>
      </c>
      <c r="K14319" s="160" t="s">
        <v>13</v>
      </c>
      <c r="L14319" s="154" t="str">
        <f>IF(OpenLCAbasic!K14319="CTUh", "Fill in Manually",IF(OR(K14319="Unit", K14319=""), "", INDEX(LookUps!$E$5:$E$12, MATCH(OpenLCAbasic!K14319,LookUps!$D$5:$D$12,0))))</f>
        <v>Eutrophication Potential (EP) - kg N eq</v>
      </c>
      <c r="M14319" s="154" t="str">
        <f t="shared" si="1275"/>
        <v>High_Medium_Base_Upgraded_Eutrophication Potential (EP) - kg N eq_Control Building; at upgraded wastewater treatment plant - US_Without Amendment_Aerated Static Pile</v>
      </c>
    </row>
    <row r="14320" spans="1:13" s="120" customFormat="1" x14ac:dyDescent="0.25">
      <c r="A14320" s="119"/>
      <c r="B14320" s="138" t="str">
        <f t="shared" si="1276"/>
        <v>Aerated Static Pile</v>
      </c>
      <c r="C14320" s="138" t="str">
        <f t="shared" si="1277"/>
        <v>Without Amendment</v>
      </c>
      <c r="D14320" s="138" t="str">
        <f t="shared" si="1274"/>
        <v>Medium_Base</v>
      </c>
      <c r="E14320" s="138" t="str">
        <f t="shared" si="1278"/>
        <v>High</v>
      </c>
      <c r="F14320" s="138" t="str">
        <f t="shared" si="1279"/>
        <v>Upgraded</v>
      </c>
      <c r="G14320" s="153"/>
      <c r="H14320" s="210">
        <v>1.1000000000000001E-3</v>
      </c>
      <c r="I14320" s="160" t="s">
        <v>59</v>
      </c>
      <c r="J14320" s="211">
        <v>1.6215700000000001E-5</v>
      </c>
      <c r="K14320" s="160" t="s">
        <v>13</v>
      </c>
      <c r="L14320" s="154" t="str">
        <f>IF(OpenLCAbasic!K14320="CTUh", "Fill in Manually",IF(OR(K14320="Unit", K14320=""), "", INDEX(LookUps!$E$5:$E$12, MATCH(OpenLCAbasic!K14320,LookUps!$D$5:$D$12,0))))</f>
        <v>Eutrophication Potential (EP) - kg N eq</v>
      </c>
      <c r="M14320" s="154" t="str">
        <f t="shared" si="1275"/>
        <v>High_Medium_Base_Upgraded_Eutrophication Potential (EP) - kg N eq_Blend Tank; wastewater treatment unit; at updated plant - US_Without Amendment_Aerated Static Pile</v>
      </c>
    </row>
    <row r="14321" spans="1:13" s="120" customFormat="1" x14ac:dyDescent="0.25">
      <c r="A14321" s="119"/>
      <c r="B14321" s="138" t="str">
        <f t="shared" si="1276"/>
        <v>Aerated Static Pile</v>
      </c>
      <c r="C14321" s="138" t="str">
        <f t="shared" si="1277"/>
        <v>Without Amendment</v>
      </c>
      <c r="D14321" s="138" t="str">
        <f t="shared" si="1274"/>
        <v>Medium_Base</v>
      </c>
      <c r="E14321" s="138" t="str">
        <f t="shared" si="1278"/>
        <v>High</v>
      </c>
      <c r="F14321" s="138" t="str">
        <f t="shared" si="1279"/>
        <v>Upgraded</v>
      </c>
      <c r="G14321" s="153"/>
      <c r="H14321" s="210">
        <v>5.0000000000000001E-4</v>
      </c>
      <c r="I14321" s="160" t="s">
        <v>168</v>
      </c>
      <c r="J14321" s="211">
        <v>7.7567199999999995E-6</v>
      </c>
      <c r="K14321" s="160" t="s">
        <v>13</v>
      </c>
      <c r="L14321" s="154" t="str">
        <f>IF(OpenLCAbasic!K14321="CTUh", "Fill in Manually",IF(OR(K14321="Unit", K14321=""), "", INDEX(LookUps!$E$5:$E$12, MATCH(OpenLCAbasic!K14321,LookUps!$D$5:$D$12,0))))</f>
        <v>Eutrophication Potential (EP) - kg N eq</v>
      </c>
      <c r="M14321" s="154" t="str">
        <f t="shared" si="1275"/>
        <v>High_Medium_Base_Upgraded_Eutrophication Potential (EP) - kg N eq_ClearCove SCP; wastewater treatment unit; at updated plant - US_Without Amendment_Aerated Static Pile</v>
      </c>
    </row>
    <row r="14322" spans="1:13" s="120" customFormat="1" x14ac:dyDescent="0.25">
      <c r="A14322" s="119"/>
      <c r="B14322" s="138" t="str">
        <f t="shared" si="1276"/>
        <v>Aerated Static Pile</v>
      </c>
      <c r="C14322" s="138" t="str">
        <f t="shared" si="1277"/>
        <v>Without Amendment</v>
      </c>
      <c r="D14322" s="138" t="str">
        <f t="shared" si="1274"/>
        <v>Medium_Base</v>
      </c>
      <c r="E14322" s="138" t="str">
        <f t="shared" si="1278"/>
        <v>High</v>
      </c>
      <c r="F14322" s="138" t="str">
        <f t="shared" si="1279"/>
        <v>Upgraded</v>
      </c>
      <c r="G14322" s="153"/>
      <c r="H14322" s="210">
        <v>-4.2799999999999998E-2</v>
      </c>
      <c r="I14322" s="160" t="s">
        <v>149</v>
      </c>
      <c r="J14322" s="160">
        <v>-6.2E-4</v>
      </c>
      <c r="K14322" s="160" t="s">
        <v>13</v>
      </c>
      <c r="L14322" s="154" t="str">
        <f>IF(OpenLCAbasic!K14322="CTUh", "Fill in Manually",IF(OR(K14322="Unit", K14322=""), "", INDEX(LookUps!$E$5:$E$12, MATCH(OpenLCAbasic!K14322,LookUps!$D$5:$D$12,0))))</f>
        <v>Eutrophication Potential (EP) - kg N eq</v>
      </c>
      <c r="M14322" s="154" t="str">
        <f t="shared" si="1275"/>
        <v>High_Medium_Base_Upgraded_Eutrophication Potential (EP) - kg N eq_Anaerobic Digestion; wastewater treatment unit; at updated plant - US_Without Amendment_Aerated Static Pile</v>
      </c>
    </row>
    <row r="14323" spans="1:13" s="120" customFormat="1" x14ac:dyDescent="0.25">
      <c r="A14323" s="119"/>
      <c r="B14323" s="138" t="str">
        <f t="shared" si="1276"/>
        <v/>
      </c>
      <c r="C14323" s="138" t="str">
        <f t="shared" si="1277"/>
        <v/>
      </c>
      <c r="D14323" s="138" t="str">
        <f t="shared" si="1274"/>
        <v/>
      </c>
      <c r="E14323" s="138" t="str">
        <f t="shared" si="1278"/>
        <v/>
      </c>
      <c r="F14323" s="138" t="str">
        <f t="shared" si="1279"/>
        <v/>
      </c>
      <c r="G14323" s="153" t="s">
        <v>51</v>
      </c>
      <c r="H14323" s="160"/>
      <c r="I14323" s="160" t="s">
        <v>47</v>
      </c>
      <c r="J14323" s="160" t="s">
        <v>52</v>
      </c>
      <c r="K14323" s="160" t="s">
        <v>27</v>
      </c>
      <c r="L14323" s="154" t="str">
        <f>IF(OpenLCAbasic!K14323="CTUh", "Fill in Manually",IF(OR(K14323="Unit", K14323=""), "", INDEX(LookUps!$E$5:$E$12, MATCH(OpenLCAbasic!K14323,LookUps!$D$5:$D$12,0))))</f>
        <v/>
      </c>
      <c r="M14323" s="154" t="str">
        <f t="shared" si="1275"/>
        <v>____Process__</v>
      </c>
    </row>
    <row r="14324" spans="1:13" s="120" customFormat="1" x14ac:dyDescent="0.25">
      <c r="A14324" s="119"/>
      <c r="B14324" s="138" t="str">
        <f t="shared" si="1276"/>
        <v>Aerated Static Pile</v>
      </c>
      <c r="C14324" s="138" t="str">
        <f t="shared" si="1277"/>
        <v>Without Amendment</v>
      </c>
      <c r="D14324" s="138" t="str">
        <f t="shared" si="1274"/>
        <v>Medium_Base</v>
      </c>
      <c r="E14324" s="138" t="str">
        <f t="shared" si="1278"/>
        <v>High</v>
      </c>
      <c r="F14324" s="138" t="str">
        <f t="shared" si="1279"/>
        <v>Upgraded</v>
      </c>
      <c r="G14324" s="153"/>
      <c r="H14324" s="210">
        <v>1.2847999999999999</v>
      </c>
      <c r="I14324" s="160" t="s">
        <v>167</v>
      </c>
      <c r="J14324" s="160">
        <v>9.7259999999999999E-2</v>
      </c>
      <c r="K14324" s="160" t="s">
        <v>14</v>
      </c>
      <c r="L14324" s="154" t="str">
        <f>IF(OpenLCAbasic!K14324="CTUh", "Fill in Manually",IF(OR(K14324="Unit", K14324=""), "", INDEX(LookUps!$E$5:$E$12, MATCH(OpenLCAbasic!K14324,LookUps!$D$5:$D$12,0))))</f>
        <v>Fossil Depletion Potential (FDP) - kg oil eq</v>
      </c>
      <c r="M14324" s="154" t="str">
        <f t="shared" si="1275"/>
        <v>High_Medium_Base_Upgraded_Fossil Depletion Potential (FDP) - kg oil eq_Waste Receiving and Holding; wastewater treatment unit; at updated plant - US_Without Amendment_Aerated Static Pile</v>
      </c>
    </row>
    <row r="14325" spans="1:13" s="120" customFormat="1" x14ac:dyDescent="0.25">
      <c r="A14325" s="119"/>
      <c r="B14325" s="138" t="str">
        <f t="shared" si="1276"/>
        <v>Aerated Static Pile</v>
      </c>
      <c r="C14325" s="138" t="str">
        <f t="shared" si="1277"/>
        <v>Without Amendment</v>
      </c>
      <c r="D14325" s="138" t="str">
        <f t="shared" si="1274"/>
        <v>Medium_Base</v>
      </c>
      <c r="E14325" s="138" t="str">
        <f t="shared" si="1278"/>
        <v>High</v>
      </c>
      <c r="F14325" s="138" t="str">
        <f t="shared" si="1279"/>
        <v>Upgraded</v>
      </c>
      <c r="G14325" s="153"/>
      <c r="H14325" s="210">
        <v>0.84009999999999996</v>
      </c>
      <c r="I14325" s="160" t="s">
        <v>55</v>
      </c>
      <c r="J14325" s="160">
        <v>6.3589999999999994E-2</v>
      </c>
      <c r="K14325" s="160" t="s">
        <v>14</v>
      </c>
      <c r="L14325" s="154" t="str">
        <f>IF(OpenLCAbasic!K14325="CTUh", "Fill in Manually",IF(OR(K14325="Unit", K14325=""), "", INDEX(LookUps!$E$5:$E$12, MATCH(OpenLCAbasic!K14325,LookUps!$D$5:$D$12,0))))</f>
        <v>Fossil Depletion Potential (FDP) - kg oil eq</v>
      </c>
      <c r="M14325" s="154" t="str">
        <f t="shared" si="1275"/>
        <v>High_Medium_Base_Upgraded_Fossil Depletion Potential (FDP) - kg oil eq_Aeration Tanks; wastewater treatment unit; at updated plant - US_Without Amendment_Aerated Static Pile</v>
      </c>
    </row>
    <row r="14326" spans="1:13" s="120" customFormat="1" x14ac:dyDescent="0.25">
      <c r="A14326" s="119"/>
      <c r="B14326" s="138" t="str">
        <f t="shared" si="1276"/>
        <v>Aerated Static Pile</v>
      </c>
      <c r="C14326" s="138" t="str">
        <f t="shared" si="1277"/>
        <v>Without Amendment</v>
      </c>
      <c r="D14326" s="138" t="str">
        <f t="shared" si="1274"/>
        <v>Medium_Base</v>
      </c>
      <c r="E14326" s="138" t="str">
        <f t="shared" si="1278"/>
        <v>High</v>
      </c>
      <c r="F14326" s="138" t="str">
        <f t="shared" si="1279"/>
        <v>Upgraded</v>
      </c>
      <c r="G14326" s="153"/>
      <c r="H14326" s="210">
        <v>0.27810000000000001</v>
      </c>
      <c r="I14326" s="160" t="s">
        <v>54</v>
      </c>
      <c r="J14326" s="160">
        <v>2.1049999999999999E-2</v>
      </c>
      <c r="K14326" s="160" t="s">
        <v>14</v>
      </c>
      <c r="L14326" s="154" t="str">
        <f>IF(OpenLCAbasic!K14326="CTUh", "Fill in Manually",IF(OR(K14326="Unit", K14326=""), "", INDEX(LookUps!$E$5:$E$12, MATCH(OpenLCAbasic!K14326,LookUps!$D$5:$D$12,0))))</f>
        <v>Fossil Depletion Potential (FDP) - kg oil eq</v>
      </c>
      <c r="M14326" s="154" t="str">
        <f t="shared" si="1275"/>
        <v>High_Medium_Base_Upgraded_Fossil Depletion Potential (FDP) - kg oil eq_Clear Cove Primary Clarification; wastewater treatment unit; at updated plant - US_Without Amendment_Aerated Static Pile</v>
      </c>
    </row>
    <row r="14327" spans="1:13" s="120" customFormat="1" x14ac:dyDescent="0.25">
      <c r="A14327" s="119"/>
      <c r="B14327" s="138" t="str">
        <f t="shared" si="1276"/>
        <v>Aerated Static Pile</v>
      </c>
      <c r="C14327" s="138" t="str">
        <f t="shared" si="1277"/>
        <v>Without Amendment</v>
      </c>
      <c r="D14327" s="138" t="str">
        <f t="shared" si="1274"/>
        <v>Medium_Base</v>
      </c>
      <c r="E14327" s="138" t="str">
        <f t="shared" si="1278"/>
        <v>High</v>
      </c>
      <c r="F14327" s="138" t="str">
        <f t="shared" si="1279"/>
        <v>Upgraded</v>
      </c>
      <c r="G14327" s="153"/>
      <c r="H14327" s="210">
        <v>0.21110000000000001</v>
      </c>
      <c r="I14327" s="160" t="s">
        <v>58</v>
      </c>
      <c r="J14327" s="160">
        <v>1.5980000000000001E-2</v>
      </c>
      <c r="K14327" s="160" t="s">
        <v>14</v>
      </c>
      <c r="L14327" s="154" t="str">
        <f>IF(OpenLCAbasic!K14327="CTUh", "Fill in Manually",IF(OR(K14327="Unit", K14327=""), "", INDEX(LookUps!$E$5:$E$12, MATCH(OpenLCAbasic!K14327,LookUps!$D$5:$D$12,0))))</f>
        <v>Fossil Depletion Potential (FDP) - kg oil eq</v>
      </c>
      <c r="M14327" s="154" t="str">
        <f t="shared" si="1275"/>
        <v>High_Medium_Base_Upgraded_Fossil Depletion Potential (FDP) - kg oil eq_Pre-Anoxic &amp; Swing tank; wastewater treatment unit; at updated plant - US_Without Amendment_Aerated Static Pile</v>
      </c>
    </row>
    <row r="14328" spans="1:13" s="120" customFormat="1" x14ac:dyDescent="0.25">
      <c r="A14328" s="119"/>
      <c r="B14328" s="138" t="str">
        <f t="shared" si="1276"/>
        <v>Aerated Static Pile</v>
      </c>
      <c r="C14328" s="138" t="str">
        <f t="shared" si="1277"/>
        <v>Without Amendment</v>
      </c>
      <c r="D14328" s="138" t="str">
        <f t="shared" si="1274"/>
        <v>Medium_Base</v>
      </c>
      <c r="E14328" s="138" t="str">
        <f t="shared" si="1278"/>
        <v>High</v>
      </c>
      <c r="F14328" s="138" t="str">
        <f t="shared" si="1279"/>
        <v>Upgraded</v>
      </c>
      <c r="G14328" s="153"/>
      <c r="H14328" s="210">
        <v>0.1993</v>
      </c>
      <c r="I14328" s="160" t="s">
        <v>147</v>
      </c>
      <c r="J14328" s="160">
        <v>1.5089999999999999E-2</v>
      </c>
      <c r="K14328" s="160" t="s">
        <v>14</v>
      </c>
      <c r="L14328" s="154" t="str">
        <f>IF(OpenLCAbasic!K14328="CTUh", "Fill in Manually",IF(OR(K14328="Unit", K14328=""), "", INDEX(LookUps!$E$5:$E$12, MATCH(OpenLCAbasic!K14328,LookUps!$D$5:$D$12,0))))</f>
        <v>Fossil Depletion Potential (FDP) - kg oil eq</v>
      </c>
      <c r="M14328" s="154" t="str">
        <f t="shared" si="1275"/>
        <v>High_Medium_Base_Upgraded_Fossil Depletion Potential (FDP) - kg oil eq_Influent Pump Station; wastewater treatment unit; at updated plant - US_Without Amendment_Aerated Static Pile</v>
      </c>
    </row>
    <row r="14329" spans="1:13" s="120" customFormat="1" x14ac:dyDescent="0.25">
      <c r="A14329" s="119"/>
      <c r="B14329" s="138" t="str">
        <f t="shared" si="1276"/>
        <v>Aerated Static Pile</v>
      </c>
      <c r="C14329" s="138" t="str">
        <f t="shared" si="1277"/>
        <v>Without Amendment</v>
      </c>
      <c r="D14329" s="138" t="str">
        <f t="shared" si="1274"/>
        <v>Medium_Base</v>
      </c>
      <c r="E14329" s="138" t="str">
        <f t="shared" si="1278"/>
        <v>High</v>
      </c>
      <c r="F14329" s="138" t="str">
        <f t="shared" si="1279"/>
        <v>Upgraded</v>
      </c>
      <c r="G14329" s="153"/>
      <c r="H14329" s="210">
        <v>0.16500000000000001</v>
      </c>
      <c r="I14329" s="160" t="s">
        <v>53</v>
      </c>
      <c r="J14329" s="160">
        <v>1.2489999999999999E-2</v>
      </c>
      <c r="K14329" s="160" t="s">
        <v>14</v>
      </c>
      <c r="L14329" s="154" t="str">
        <f>IF(OpenLCAbasic!K14329="CTUh", "Fill in Manually",IF(OR(K14329="Unit", K14329=""), "", INDEX(LookUps!$E$5:$E$12, MATCH(OpenLCAbasic!K14329,LookUps!$D$5:$D$12,0))))</f>
        <v>Fossil Depletion Potential (FDP) - kg oil eq</v>
      </c>
      <c r="M14329" s="154" t="str">
        <f t="shared" si="1275"/>
        <v>High_Medium_Base_Upgraded_Fossil Depletion Potential (FDP) - kg oil eq_Wet Well and Sump Station; wastewater treatment unit; at updated plant - US_Without Amendment_Aerated Static Pile</v>
      </c>
    </row>
    <row r="14330" spans="1:13" s="120" customFormat="1" x14ac:dyDescent="0.25">
      <c r="A14330" s="119"/>
      <c r="B14330" s="138" t="str">
        <f t="shared" si="1276"/>
        <v>Aerated Static Pile</v>
      </c>
      <c r="C14330" s="138" t="str">
        <f t="shared" si="1277"/>
        <v>Without Amendment</v>
      </c>
      <c r="D14330" s="138" t="str">
        <f t="shared" si="1274"/>
        <v>Medium_Base</v>
      </c>
      <c r="E14330" s="138" t="str">
        <f t="shared" si="1278"/>
        <v>High</v>
      </c>
      <c r="F14330" s="138" t="str">
        <f t="shared" si="1279"/>
        <v>Upgraded</v>
      </c>
      <c r="G14330" s="153"/>
      <c r="H14330" s="210">
        <v>0.1154</v>
      </c>
      <c r="I14330" s="160" t="s">
        <v>435</v>
      </c>
      <c r="J14330" s="160">
        <v>8.7299999999999999E-3</v>
      </c>
      <c r="K14330" s="160" t="s">
        <v>14</v>
      </c>
      <c r="L14330" s="154" t="str">
        <f>IF(OpenLCAbasic!K14330="CTUh", "Fill in Manually",IF(OR(K14330="Unit", K14330=""), "", INDEX(LookUps!$E$5:$E$12, MATCH(OpenLCAbasic!K14330,LookUps!$D$5:$D$12,0))))</f>
        <v>Fossil Depletion Potential (FDP) - kg oil eq</v>
      </c>
      <c r="M14330" s="154" t="str">
        <f t="shared" si="1275"/>
        <v>High_Medium_Base_Upgraded_Fossil Depletion Potential (FDP) - kg oil eq_Biosolids composting; aerated static pile; wastewater treatment unit; at updated plant - US_Without Amendment_Aerated Static Pile</v>
      </c>
    </row>
    <row r="14331" spans="1:13" s="120" customFormat="1" x14ac:dyDescent="0.25">
      <c r="A14331" s="119"/>
      <c r="B14331" s="138" t="str">
        <f t="shared" si="1276"/>
        <v>Aerated Static Pile</v>
      </c>
      <c r="C14331" s="138" t="str">
        <f t="shared" si="1277"/>
        <v>Without Amendment</v>
      </c>
      <c r="D14331" s="138" t="str">
        <f t="shared" si="1274"/>
        <v>Medium_Base</v>
      </c>
      <c r="E14331" s="138" t="str">
        <f t="shared" si="1278"/>
        <v>High</v>
      </c>
      <c r="F14331" s="138" t="str">
        <f t="shared" si="1279"/>
        <v>Upgraded</v>
      </c>
      <c r="G14331" s="153"/>
      <c r="H14331" s="210">
        <v>0.106</v>
      </c>
      <c r="I14331" s="160" t="s">
        <v>60</v>
      </c>
      <c r="J14331" s="160">
        <v>8.0300000000000007E-3</v>
      </c>
      <c r="K14331" s="160" t="s">
        <v>14</v>
      </c>
      <c r="L14331" s="154" t="str">
        <f>IF(OpenLCAbasic!K14331="CTUh", "Fill in Manually",IF(OR(K14331="Unit", K14331=""), "", INDEX(LookUps!$E$5:$E$12, MATCH(OpenLCAbasic!K14331,LookUps!$D$5:$D$12,0))))</f>
        <v>Fossil Depletion Potential (FDP) - kg oil eq</v>
      </c>
      <c r="M14331" s="154" t="str">
        <f t="shared" si="1275"/>
        <v>High_Medium_Base_Upgraded_Fossil Depletion Potential (FDP) - kg oil eq_Belt filter press; wastewater treatment unit; at updated plant - US_Without Amendment_Aerated Static Pile</v>
      </c>
    </row>
    <row r="14332" spans="1:13" s="120" customFormat="1" x14ac:dyDescent="0.25">
      <c r="A14332" s="119"/>
      <c r="B14332" s="138" t="str">
        <f t="shared" si="1276"/>
        <v>Aerated Static Pile</v>
      </c>
      <c r="C14332" s="138" t="str">
        <f t="shared" si="1277"/>
        <v>Without Amendment</v>
      </c>
      <c r="D14332" s="138" t="str">
        <f t="shared" si="1274"/>
        <v>Medium_Base</v>
      </c>
      <c r="E14332" s="138" t="str">
        <f t="shared" si="1278"/>
        <v>High</v>
      </c>
      <c r="F14332" s="138" t="str">
        <f t="shared" si="1279"/>
        <v>Upgraded</v>
      </c>
      <c r="G14332" s="153"/>
      <c r="H14332" s="210">
        <v>9.1399999999999995E-2</v>
      </c>
      <c r="I14332" s="160" t="s">
        <v>57</v>
      </c>
      <c r="J14332" s="160">
        <v>6.9199999999999999E-3</v>
      </c>
      <c r="K14332" s="160" t="s">
        <v>14</v>
      </c>
      <c r="L14332" s="154" t="str">
        <f>IF(OpenLCAbasic!K14332="CTUh", "Fill in Manually",IF(OR(K14332="Unit", K14332=""), "", INDEX(LookUps!$E$5:$E$12, MATCH(OpenLCAbasic!K14332,LookUps!$D$5:$D$12,0))))</f>
        <v>Fossil Depletion Potential (FDP) - kg oil eq</v>
      </c>
      <c r="M14332" s="154" t="str">
        <f t="shared" si="1275"/>
        <v>High_Medium_Base_Upgraded_Fossil Depletion Potential (FDP) - kg oil eq_Gravity Belt Thickener; wastewater treatment unit; at updated plant - US_Without Amendment_Aerated Static Pile</v>
      </c>
    </row>
    <row r="14333" spans="1:13" s="120" customFormat="1" x14ac:dyDescent="0.25">
      <c r="A14333" s="119"/>
      <c r="B14333" s="138" t="str">
        <f t="shared" si="1276"/>
        <v>Aerated Static Pile</v>
      </c>
      <c r="C14333" s="138" t="str">
        <f t="shared" si="1277"/>
        <v>Without Amendment</v>
      </c>
      <c r="D14333" s="138" t="str">
        <f t="shared" si="1274"/>
        <v>Medium_Base</v>
      </c>
      <c r="E14333" s="138" t="str">
        <f t="shared" si="1278"/>
        <v>High</v>
      </c>
      <c r="F14333" s="138" t="str">
        <f t="shared" si="1279"/>
        <v>Upgraded</v>
      </c>
      <c r="G14333" s="153"/>
      <c r="H14333" s="210">
        <v>5.9400000000000001E-2</v>
      </c>
      <c r="I14333" s="160" t="s">
        <v>128</v>
      </c>
      <c r="J14333" s="160">
        <v>4.4999999999999997E-3</v>
      </c>
      <c r="K14333" s="160" t="s">
        <v>14</v>
      </c>
      <c r="L14333" s="154" t="str">
        <f>IF(OpenLCAbasic!K14333="CTUh", "Fill in Manually",IF(OR(K14333="Unit", K14333=""), "", INDEX(LookUps!$E$5:$E$12, MATCH(OpenLCAbasic!K14333,LookUps!$D$5:$D$12,0))))</f>
        <v>Fossil Depletion Potential (FDP) - kg oil eq</v>
      </c>
      <c r="M14333" s="154" t="str">
        <f t="shared" si="1275"/>
        <v>High_Medium_Base_Upgraded_Fossil Depletion Potential (FDP) - kg oil eq_Wastewater collection; operation and infrastructure; m3 wastewater_Without Amendment_Aerated Static Pile</v>
      </c>
    </row>
    <row r="14334" spans="1:13" s="120" customFormat="1" x14ac:dyDescent="0.25">
      <c r="A14334" s="119"/>
      <c r="B14334" s="138" t="str">
        <f t="shared" si="1276"/>
        <v>Aerated Static Pile</v>
      </c>
      <c r="C14334" s="138" t="str">
        <f t="shared" si="1277"/>
        <v>Without Amendment</v>
      </c>
      <c r="D14334" s="138" t="str">
        <f t="shared" si="1274"/>
        <v>Medium_Base</v>
      </c>
      <c r="E14334" s="138" t="str">
        <f t="shared" si="1278"/>
        <v>High</v>
      </c>
      <c r="F14334" s="138" t="str">
        <f t="shared" si="1279"/>
        <v>Upgraded</v>
      </c>
      <c r="G14334" s="153"/>
      <c r="H14334" s="210">
        <v>3.6999999999999998E-2</v>
      </c>
      <c r="I14334" s="160" t="s">
        <v>148</v>
      </c>
      <c r="J14334" s="160">
        <v>2.8E-3</v>
      </c>
      <c r="K14334" s="160" t="s">
        <v>14</v>
      </c>
      <c r="L14334" s="154" t="str">
        <f>IF(OpenLCAbasic!K14334="CTUh", "Fill in Manually",IF(OR(K14334="Unit", K14334=""), "", INDEX(LookUps!$E$5:$E$12, MATCH(OpenLCAbasic!K14334,LookUps!$D$5:$D$12,0))))</f>
        <v>Fossil Depletion Potential (FDP) - kg oil eq</v>
      </c>
      <c r="M14334" s="154" t="str">
        <f t="shared" si="1275"/>
        <v>High_Medium_Base_Upgraded_Fossil Depletion Potential (FDP) - kg oil eq_Control Building; at upgraded wastewater treatment plant - US_Without Amendment_Aerated Static Pile</v>
      </c>
    </row>
    <row r="14335" spans="1:13" s="120" customFormat="1" x14ac:dyDescent="0.25">
      <c r="A14335" s="119"/>
      <c r="B14335" s="138" t="str">
        <f t="shared" si="1276"/>
        <v>Aerated Static Pile</v>
      </c>
      <c r="C14335" s="138" t="str">
        <f t="shared" si="1277"/>
        <v>Without Amendment</v>
      </c>
      <c r="D14335" s="138" t="str">
        <f t="shared" si="1274"/>
        <v>Medium_Base</v>
      </c>
      <c r="E14335" s="138" t="str">
        <f t="shared" si="1278"/>
        <v>High</v>
      </c>
      <c r="F14335" s="138" t="str">
        <f t="shared" si="1279"/>
        <v>Upgraded</v>
      </c>
      <c r="G14335" s="153"/>
      <c r="H14335" s="210">
        <v>3.1199999999999999E-2</v>
      </c>
      <c r="I14335" s="160" t="s">
        <v>48</v>
      </c>
      <c r="J14335" s="160">
        <v>2.3600000000000001E-3</v>
      </c>
      <c r="K14335" s="160" t="s">
        <v>14</v>
      </c>
      <c r="L14335" s="154" t="str">
        <f>IF(OpenLCAbasic!K14335="CTUh", "Fill in Manually",IF(OR(K14335="Unit", K14335=""), "", INDEX(LookUps!$E$5:$E$12, MATCH(OpenLCAbasic!K14335,LookUps!$D$5:$D$12,0))))</f>
        <v>Fossil Depletion Potential (FDP) - kg oil eq</v>
      </c>
      <c r="M14335" s="154" t="str">
        <f t="shared" si="1275"/>
        <v>High_Medium_Base_Upgraded_Fossil Depletion Potential (FDP) - kg oil eq_Effluent release; wastewater treatment unit; at surface water; m3 wastewater - US_Without Amendment_Aerated Static Pile</v>
      </c>
    </row>
    <row r="14336" spans="1:13" s="120" customFormat="1" x14ac:dyDescent="0.25">
      <c r="A14336" s="119"/>
      <c r="B14336" s="138" t="str">
        <f t="shared" si="1276"/>
        <v>Aerated Static Pile</v>
      </c>
      <c r="C14336" s="138" t="str">
        <f t="shared" si="1277"/>
        <v>Without Amendment</v>
      </c>
      <c r="D14336" s="138" t="str">
        <f t="shared" si="1274"/>
        <v>Medium_Base</v>
      </c>
      <c r="E14336" s="138" t="str">
        <f t="shared" si="1278"/>
        <v>High</v>
      </c>
      <c r="F14336" s="138" t="str">
        <f t="shared" si="1279"/>
        <v>Upgraded</v>
      </c>
      <c r="G14336" s="153"/>
      <c r="H14336" s="210">
        <v>2.5399999999999999E-2</v>
      </c>
      <c r="I14336" s="160" t="s">
        <v>59</v>
      </c>
      <c r="J14336" s="160">
        <v>1.92E-3</v>
      </c>
      <c r="K14336" s="160" t="s">
        <v>14</v>
      </c>
      <c r="L14336" s="154" t="str">
        <f>IF(OpenLCAbasic!K14336="CTUh", "Fill in Manually",IF(OR(K14336="Unit", K14336=""), "", INDEX(LookUps!$E$5:$E$12, MATCH(OpenLCAbasic!K14336,LookUps!$D$5:$D$12,0))))</f>
        <v>Fossil Depletion Potential (FDP) - kg oil eq</v>
      </c>
      <c r="M14336" s="154" t="str">
        <f t="shared" si="1275"/>
        <v>High_Medium_Base_Upgraded_Fossil Depletion Potential (FDP) - kg oil eq_Blend Tank; wastewater treatment unit; at updated plant - US_Without Amendment_Aerated Static Pile</v>
      </c>
    </row>
    <row r="14337" spans="1:13" s="120" customFormat="1" x14ac:dyDescent="0.25">
      <c r="A14337" s="119"/>
      <c r="B14337" s="138" t="str">
        <f t="shared" si="1276"/>
        <v>Aerated Static Pile</v>
      </c>
      <c r="C14337" s="138" t="str">
        <f t="shared" si="1277"/>
        <v>Without Amendment</v>
      </c>
      <c r="D14337" s="138" t="str">
        <f t="shared" ref="D14337:D14400" si="1280">IF(ISNUMBER($J14337),"Medium_Base","")</f>
        <v>Medium_Base</v>
      </c>
      <c r="E14337" s="138" t="str">
        <f t="shared" si="1278"/>
        <v>High</v>
      </c>
      <c r="F14337" s="138" t="str">
        <f t="shared" si="1279"/>
        <v>Upgraded</v>
      </c>
      <c r="G14337" s="153"/>
      <c r="H14337" s="210">
        <v>1.21E-2</v>
      </c>
      <c r="I14337" s="160" t="s">
        <v>168</v>
      </c>
      <c r="J14337" s="160">
        <v>9.1E-4</v>
      </c>
      <c r="K14337" s="160" t="s">
        <v>14</v>
      </c>
      <c r="L14337" s="154" t="str">
        <f>IF(OpenLCAbasic!K14337="CTUh", "Fill in Manually",IF(OR(K14337="Unit", K14337=""), "", INDEX(LookUps!$E$5:$E$12, MATCH(OpenLCAbasic!K14337,LookUps!$D$5:$D$12,0))))</f>
        <v>Fossil Depletion Potential (FDP) - kg oil eq</v>
      </c>
      <c r="M14337" s="154" t="str">
        <f t="shared" si="1275"/>
        <v>High_Medium_Base_Upgraded_Fossil Depletion Potential (FDP) - kg oil eq_ClearCove SCP; wastewater treatment unit; at updated plant - US_Without Amendment_Aerated Static Pile</v>
      </c>
    </row>
    <row r="14338" spans="1:13" s="120" customFormat="1" x14ac:dyDescent="0.25">
      <c r="A14338" s="119"/>
      <c r="B14338" s="138" t="str">
        <f t="shared" si="1276"/>
        <v>Aerated Static Pile</v>
      </c>
      <c r="C14338" s="138" t="str">
        <f t="shared" si="1277"/>
        <v>Without Amendment</v>
      </c>
      <c r="D14338" s="138" t="str">
        <f t="shared" si="1280"/>
        <v>Medium_Base</v>
      </c>
      <c r="E14338" s="138" t="str">
        <f t="shared" si="1278"/>
        <v>High</v>
      </c>
      <c r="F14338" s="138" t="str">
        <f t="shared" si="1279"/>
        <v>Upgraded</v>
      </c>
      <c r="G14338" s="153"/>
      <c r="H14338" s="210">
        <v>-6.6100000000000006E-2</v>
      </c>
      <c r="I14338" s="160" t="s">
        <v>62</v>
      </c>
      <c r="J14338" s="160">
        <v>-5.0099999999999997E-3</v>
      </c>
      <c r="K14338" s="160" t="s">
        <v>14</v>
      </c>
      <c r="L14338" s="154" t="str">
        <f>IF(OpenLCAbasic!K14338="CTUh", "Fill in Manually",IF(OR(K14338="Unit", K14338=""), "", INDEX(LookUps!$E$5:$E$12, MATCH(OpenLCAbasic!K14338,LookUps!$D$5:$D$12,0))))</f>
        <v>Fossil Depletion Potential (FDP) - kg oil eq</v>
      </c>
      <c r="M14338" s="154" t="str">
        <f t="shared" si="1275"/>
        <v>High_Medium_Base_Upgraded_Fossil Depletion Potential (FDP) - kg oil eq_Land application of compost; wastewater treatment unit; at updated plant - US_Without Amendment_Aerated Static Pile</v>
      </c>
    </row>
    <row r="14339" spans="1:13" s="120" customFormat="1" x14ac:dyDescent="0.25">
      <c r="A14339" s="119"/>
      <c r="B14339" s="138" t="str">
        <f t="shared" si="1276"/>
        <v>Aerated Static Pile</v>
      </c>
      <c r="C14339" s="138" t="str">
        <f t="shared" si="1277"/>
        <v>Without Amendment</v>
      </c>
      <c r="D14339" s="138" t="str">
        <f t="shared" si="1280"/>
        <v>Medium_Base</v>
      </c>
      <c r="E14339" s="138" t="str">
        <f t="shared" si="1278"/>
        <v>High</v>
      </c>
      <c r="F14339" s="138" t="str">
        <f t="shared" si="1279"/>
        <v>Upgraded</v>
      </c>
      <c r="G14339" s="153"/>
      <c r="H14339" s="210">
        <v>-2.3900999999999999</v>
      </c>
      <c r="I14339" s="160" t="s">
        <v>149</v>
      </c>
      <c r="J14339" s="160">
        <v>-0.18092</v>
      </c>
      <c r="K14339" s="160" t="s">
        <v>14</v>
      </c>
      <c r="L14339" s="154" t="str">
        <f>IF(OpenLCAbasic!K14339="CTUh", "Fill in Manually",IF(OR(K14339="Unit", K14339=""), "", INDEX(LookUps!$E$5:$E$12, MATCH(OpenLCAbasic!K14339,LookUps!$D$5:$D$12,0))))</f>
        <v>Fossil Depletion Potential (FDP) - kg oil eq</v>
      </c>
      <c r="M14339" s="154" t="str">
        <f t="shared" si="1275"/>
        <v>High_Medium_Base_Upgraded_Fossil Depletion Potential (FDP) - kg oil eq_Anaerobic Digestion; wastewater treatment unit; at updated plant - US_Without Amendment_Aerated Static Pile</v>
      </c>
    </row>
    <row r="14340" spans="1:13" s="120" customFormat="1" x14ac:dyDescent="0.25">
      <c r="A14340" s="119"/>
      <c r="B14340" s="138" t="str">
        <f t="shared" si="1276"/>
        <v/>
      </c>
      <c r="C14340" s="138" t="str">
        <f t="shared" si="1277"/>
        <v/>
      </c>
      <c r="D14340" s="138" t="str">
        <f t="shared" si="1280"/>
        <v/>
      </c>
      <c r="E14340" s="138" t="str">
        <f t="shared" si="1278"/>
        <v/>
      </c>
      <c r="F14340" s="138" t="str">
        <f t="shared" si="1279"/>
        <v/>
      </c>
      <c r="G14340" s="153" t="s">
        <v>51</v>
      </c>
      <c r="H14340" s="160"/>
      <c r="I14340" s="160" t="s">
        <v>47</v>
      </c>
      <c r="J14340" s="160" t="s">
        <v>52</v>
      </c>
      <c r="K14340" s="160" t="s">
        <v>27</v>
      </c>
      <c r="L14340" s="154" t="str">
        <f>IF(OpenLCAbasic!K14340="CTUh", "Fill in Manually",IF(OR(K14340="Unit", K14340=""), "", INDEX(LookUps!$E$5:$E$12, MATCH(OpenLCAbasic!K14340,LookUps!$D$5:$D$12,0))))</f>
        <v/>
      </c>
      <c r="M14340" s="154" t="str">
        <f t="shared" ref="M14340:M14403" si="1281">CONCATENATE(E14340,"_",D14340,"_",F14340,"_",L14340, "_",I14340,"_", C14340,"_", B14340)</f>
        <v>____Process__</v>
      </c>
    </row>
    <row r="14341" spans="1:13" s="120" customFormat="1" x14ac:dyDescent="0.25">
      <c r="A14341" s="119"/>
      <c r="B14341" s="138" t="str">
        <f t="shared" si="1276"/>
        <v>Aerated Static Pile</v>
      </c>
      <c r="C14341" s="138" t="str">
        <f t="shared" si="1277"/>
        <v>Without Amendment</v>
      </c>
      <c r="D14341" s="138" t="str">
        <f t="shared" si="1280"/>
        <v>Medium_Base</v>
      </c>
      <c r="E14341" s="138" t="str">
        <f t="shared" si="1278"/>
        <v>High</v>
      </c>
      <c r="F14341" s="138" t="str">
        <f t="shared" si="1279"/>
        <v>Upgraded</v>
      </c>
      <c r="G14341" s="153"/>
      <c r="H14341" s="210">
        <v>0.76380000000000003</v>
      </c>
      <c r="I14341" s="160" t="s">
        <v>435</v>
      </c>
      <c r="J14341" s="160">
        <v>0.74699000000000004</v>
      </c>
      <c r="K14341" s="160" t="s">
        <v>23</v>
      </c>
      <c r="L14341" s="154" t="str">
        <f>IF(OpenLCAbasic!K14341="CTUh", "Fill in Manually",IF(OR(K14341="Unit", K14341=""), "", INDEX(LookUps!$E$5:$E$12, MATCH(OpenLCAbasic!K14341,LookUps!$D$5:$D$12,0))))</f>
        <v>Global Warming Potential (GWP) - kg CO2 eq</v>
      </c>
      <c r="M14341" s="154" t="str">
        <f t="shared" si="1281"/>
        <v>High_Medium_Base_Upgraded_Global Warming Potential (GWP) - kg CO2 eq_Biosolids composting; aerated static pile; wastewater treatment unit; at updated plant - US_Without Amendment_Aerated Static Pile</v>
      </c>
    </row>
    <row r="14342" spans="1:13" s="120" customFormat="1" x14ac:dyDescent="0.25">
      <c r="A14342" s="119"/>
      <c r="B14342" s="138" t="str">
        <f t="shared" si="1276"/>
        <v>Aerated Static Pile</v>
      </c>
      <c r="C14342" s="138" t="str">
        <f t="shared" si="1277"/>
        <v>Without Amendment</v>
      </c>
      <c r="D14342" s="138" t="str">
        <f t="shared" si="1280"/>
        <v>Medium_Base</v>
      </c>
      <c r="E14342" s="138" t="str">
        <f t="shared" si="1278"/>
        <v>High</v>
      </c>
      <c r="F14342" s="138" t="str">
        <f t="shared" si="1279"/>
        <v>Upgraded</v>
      </c>
      <c r="G14342" s="153"/>
      <c r="H14342" s="210">
        <v>0.25119999999999998</v>
      </c>
      <c r="I14342" s="160" t="s">
        <v>58</v>
      </c>
      <c r="J14342" s="160">
        <v>0.24568999999999999</v>
      </c>
      <c r="K14342" s="160" t="s">
        <v>23</v>
      </c>
      <c r="L14342" s="154" t="str">
        <f>IF(OpenLCAbasic!K14342="CTUh", "Fill in Manually",IF(OR(K14342="Unit", K14342=""), "", INDEX(LookUps!$E$5:$E$12, MATCH(OpenLCAbasic!K14342,LookUps!$D$5:$D$12,0))))</f>
        <v>Global Warming Potential (GWP) - kg CO2 eq</v>
      </c>
      <c r="M14342" s="154" t="str">
        <f t="shared" si="1281"/>
        <v>High_Medium_Base_Upgraded_Global Warming Potential (GWP) - kg CO2 eq_Pre-Anoxic &amp; Swing tank; wastewater treatment unit; at updated plant - US_Without Amendment_Aerated Static Pile</v>
      </c>
    </row>
    <row r="14343" spans="1:13" s="120" customFormat="1" x14ac:dyDescent="0.25">
      <c r="A14343" s="119"/>
      <c r="B14343" s="138" t="str">
        <f t="shared" si="1276"/>
        <v>Aerated Static Pile</v>
      </c>
      <c r="C14343" s="138" t="str">
        <f t="shared" si="1277"/>
        <v>Without Amendment</v>
      </c>
      <c r="D14343" s="138" t="str">
        <f t="shared" si="1280"/>
        <v>Medium_Base</v>
      </c>
      <c r="E14343" s="138" t="str">
        <f t="shared" si="1278"/>
        <v>High</v>
      </c>
      <c r="F14343" s="138" t="str">
        <f t="shared" si="1279"/>
        <v>Upgraded</v>
      </c>
      <c r="G14343" s="153"/>
      <c r="H14343" s="210">
        <v>0.17199999999999999</v>
      </c>
      <c r="I14343" s="160" t="s">
        <v>55</v>
      </c>
      <c r="J14343" s="160">
        <v>0.16822000000000001</v>
      </c>
      <c r="K14343" s="160" t="s">
        <v>23</v>
      </c>
      <c r="L14343" s="154" t="str">
        <f>IF(OpenLCAbasic!K14343="CTUh", "Fill in Manually",IF(OR(K14343="Unit", K14343=""), "", INDEX(LookUps!$E$5:$E$12, MATCH(OpenLCAbasic!K14343,LookUps!$D$5:$D$12,0))))</f>
        <v>Global Warming Potential (GWP) - kg CO2 eq</v>
      </c>
      <c r="M14343" s="154" t="str">
        <f t="shared" si="1281"/>
        <v>High_Medium_Base_Upgraded_Global Warming Potential (GWP) - kg CO2 eq_Aeration Tanks; wastewater treatment unit; at updated plant - US_Without Amendment_Aerated Static Pile</v>
      </c>
    </row>
    <row r="14344" spans="1:13" s="120" customFormat="1" x14ac:dyDescent="0.25">
      <c r="A14344" s="119"/>
      <c r="B14344" s="138" t="str">
        <f t="shared" si="1276"/>
        <v>Aerated Static Pile</v>
      </c>
      <c r="C14344" s="138" t="str">
        <f t="shared" si="1277"/>
        <v>Without Amendment</v>
      </c>
      <c r="D14344" s="138" t="str">
        <f t="shared" si="1280"/>
        <v>Medium_Base</v>
      </c>
      <c r="E14344" s="138" t="str">
        <f t="shared" si="1278"/>
        <v>High</v>
      </c>
      <c r="F14344" s="138" t="str">
        <f t="shared" si="1279"/>
        <v>Upgraded</v>
      </c>
      <c r="G14344" s="153"/>
      <c r="H14344" s="210">
        <v>0.1263</v>
      </c>
      <c r="I14344" s="160" t="s">
        <v>167</v>
      </c>
      <c r="J14344" s="160">
        <v>0.12354999999999999</v>
      </c>
      <c r="K14344" s="160" t="s">
        <v>23</v>
      </c>
      <c r="L14344" s="154" t="str">
        <f>IF(OpenLCAbasic!K14344="CTUh", "Fill in Manually",IF(OR(K14344="Unit", K14344=""), "", INDEX(LookUps!$E$5:$E$12, MATCH(OpenLCAbasic!K14344,LookUps!$D$5:$D$12,0))))</f>
        <v>Global Warming Potential (GWP) - kg CO2 eq</v>
      </c>
      <c r="M14344" s="154" t="str">
        <f t="shared" si="1281"/>
        <v>High_Medium_Base_Upgraded_Global Warming Potential (GWP) - kg CO2 eq_Waste Receiving and Holding; wastewater treatment unit; at updated plant - US_Without Amendment_Aerated Static Pile</v>
      </c>
    </row>
    <row r="14345" spans="1:13" s="120" customFormat="1" x14ac:dyDescent="0.25">
      <c r="A14345" s="119"/>
      <c r="B14345" s="138" t="str">
        <f t="shared" si="1276"/>
        <v>Aerated Static Pile</v>
      </c>
      <c r="C14345" s="138" t="str">
        <f t="shared" si="1277"/>
        <v>Without Amendment</v>
      </c>
      <c r="D14345" s="138" t="str">
        <f t="shared" si="1280"/>
        <v>Medium_Base</v>
      </c>
      <c r="E14345" s="138" t="str">
        <f t="shared" si="1278"/>
        <v>High</v>
      </c>
      <c r="F14345" s="138" t="str">
        <f t="shared" si="1279"/>
        <v>Upgraded</v>
      </c>
      <c r="G14345" s="153"/>
      <c r="H14345" s="210">
        <v>5.8400000000000001E-2</v>
      </c>
      <c r="I14345" s="160" t="s">
        <v>54</v>
      </c>
      <c r="J14345" s="160">
        <v>5.7079999999999999E-2</v>
      </c>
      <c r="K14345" s="160" t="s">
        <v>23</v>
      </c>
      <c r="L14345" s="154" t="str">
        <f>IF(OpenLCAbasic!K14345="CTUh", "Fill in Manually",IF(OR(K14345="Unit", K14345=""), "", INDEX(LookUps!$E$5:$E$12, MATCH(OpenLCAbasic!K14345,LookUps!$D$5:$D$12,0))))</f>
        <v>Global Warming Potential (GWP) - kg CO2 eq</v>
      </c>
      <c r="M14345" s="154" t="str">
        <f t="shared" si="1281"/>
        <v>High_Medium_Base_Upgraded_Global Warming Potential (GWP) - kg CO2 eq_Clear Cove Primary Clarification; wastewater treatment unit; at updated plant - US_Without Amendment_Aerated Static Pile</v>
      </c>
    </row>
    <row r="14346" spans="1:13" s="120" customFormat="1" x14ac:dyDescent="0.25">
      <c r="A14346" s="119"/>
      <c r="B14346" s="138" t="str">
        <f t="shared" si="1276"/>
        <v>Aerated Static Pile</v>
      </c>
      <c r="C14346" s="138" t="str">
        <f t="shared" si="1277"/>
        <v>Without Amendment</v>
      </c>
      <c r="D14346" s="138" t="str">
        <f t="shared" si="1280"/>
        <v>Medium_Base</v>
      </c>
      <c r="E14346" s="138" t="str">
        <f t="shared" si="1278"/>
        <v>High</v>
      </c>
      <c r="F14346" s="138" t="str">
        <f t="shared" si="1279"/>
        <v>Upgraded</v>
      </c>
      <c r="G14346" s="153"/>
      <c r="H14346" s="210">
        <v>5.3800000000000001E-2</v>
      </c>
      <c r="I14346" s="160" t="s">
        <v>48</v>
      </c>
      <c r="J14346" s="160">
        <v>5.2639999999999999E-2</v>
      </c>
      <c r="K14346" s="160" t="s">
        <v>23</v>
      </c>
      <c r="L14346" s="154" t="str">
        <f>IF(OpenLCAbasic!K14346="CTUh", "Fill in Manually",IF(OR(K14346="Unit", K14346=""), "", INDEX(LookUps!$E$5:$E$12, MATCH(OpenLCAbasic!K14346,LookUps!$D$5:$D$12,0))))</f>
        <v>Global Warming Potential (GWP) - kg CO2 eq</v>
      </c>
      <c r="M14346" s="154" t="str">
        <f t="shared" si="1281"/>
        <v>High_Medium_Base_Upgraded_Global Warming Potential (GWP) - kg CO2 eq_Effluent release; wastewater treatment unit; at surface water; m3 wastewater - US_Without Amendment_Aerated Static Pile</v>
      </c>
    </row>
    <row r="14347" spans="1:13" s="120" customFormat="1" x14ac:dyDescent="0.25">
      <c r="A14347" s="119"/>
      <c r="B14347" s="138" t="str">
        <f t="shared" si="1276"/>
        <v>Aerated Static Pile</v>
      </c>
      <c r="C14347" s="138" t="str">
        <f t="shared" si="1277"/>
        <v>Without Amendment</v>
      </c>
      <c r="D14347" s="138" t="str">
        <f t="shared" si="1280"/>
        <v>Medium_Base</v>
      </c>
      <c r="E14347" s="138" t="str">
        <f t="shared" si="1278"/>
        <v>High</v>
      </c>
      <c r="F14347" s="138" t="str">
        <f t="shared" si="1279"/>
        <v>Upgraded</v>
      </c>
      <c r="G14347" s="153"/>
      <c r="H14347" s="210">
        <v>5.16E-2</v>
      </c>
      <c r="I14347" s="160" t="s">
        <v>147</v>
      </c>
      <c r="J14347" s="160">
        <v>5.0500000000000003E-2</v>
      </c>
      <c r="K14347" s="160" t="s">
        <v>23</v>
      </c>
      <c r="L14347" s="154" t="str">
        <f>IF(OpenLCAbasic!K14347="CTUh", "Fill in Manually",IF(OR(K14347="Unit", K14347=""), "", INDEX(LookUps!$E$5:$E$12, MATCH(OpenLCAbasic!K14347,LookUps!$D$5:$D$12,0))))</f>
        <v>Global Warming Potential (GWP) - kg CO2 eq</v>
      </c>
      <c r="M14347" s="154" t="str">
        <f t="shared" si="1281"/>
        <v>High_Medium_Base_Upgraded_Global Warming Potential (GWP) - kg CO2 eq_Influent Pump Station; wastewater treatment unit; at updated plant - US_Without Amendment_Aerated Static Pile</v>
      </c>
    </row>
    <row r="14348" spans="1:13" s="120" customFormat="1" x14ac:dyDescent="0.25">
      <c r="A14348" s="119"/>
      <c r="B14348" s="138" t="str">
        <f t="shared" si="1276"/>
        <v>Aerated Static Pile</v>
      </c>
      <c r="C14348" s="138" t="str">
        <f t="shared" si="1277"/>
        <v>Without Amendment</v>
      </c>
      <c r="D14348" s="138" t="str">
        <f t="shared" si="1280"/>
        <v>Medium_Base</v>
      </c>
      <c r="E14348" s="138" t="str">
        <f t="shared" si="1278"/>
        <v>High</v>
      </c>
      <c r="F14348" s="138" t="str">
        <f t="shared" si="1279"/>
        <v>Upgraded</v>
      </c>
      <c r="G14348" s="153"/>
      <c r="H14348" s="210">
        <v>3.4000000000000002E-2</v>
      </c>
      <c r="I14348" s="160" t="s">
        <v>53</v>
      </c>
      <c r="J14348" s="160">
        <v>3.3259999999999998E-2</v>
      </c>
      <c r="K14348" s="160" t="s">
        <v>23</v>
      </c>
      <c r="L14348" s="154" t="str">
        <f>IF(OpenLCAbasic!K14348="CTUh", "Fill in Manually",IF(OR(K14348="Unit", K14348=""), "", INDEX(LookUps!$E$5:$E$12, MATCH(OpenLCAbasic!K14348,LookUps!$D$5:$D$12,0))))</f>
        <v>Global Warming Potential (GWP) - kg CO2 eq</v>
      </c>
      <c r="M14348" s="154" t="str">
        <f t="shared" si="1281"/>
        <v>High_Medium_Base_Upgraded_Global Warming Potential (GWP) - kg CO2 eq_Wet Well and Sump Station; wastewater treatment unit; at updated plant - US_Without Amendment_Aerated Static Pile</v>
      </c>
    </row>
    <row r="14349" spans="1:13" s="120" customFormat="1" x14ac:dyDescent="0.25">
      <c r="A14349" s="119"/>
      <c r="B14349" s="138" t="str">
        <f t="shared" si="1276"/>
        <v>Aerated Static Pile</v>
      </c>
      <c r="C14349" s="138" t="str">
        <f t="shared" si="1277"/>
        <v>Without Amendment</v>
      </c>
      <c r="D14349" s="138" t="str">
        <f t="shared" si="1280"/>
        <v>Medium_Base</v>
      </c>
      <c r="E14349" s="138" t="str">
        <f t="shared" si="1278"/>
        <v>High</v>
      </c>
      <c r="F14349" s="138" t="str">
        <f t="shared" si="1279"/>
        <v>Upgraded</v>
      </c>
      <c r="G14349" s="153"/>
      <c r="H14349" s="210">
        <v>1.7999999999999999E-2</v>
      </c>
      <c r="I14349" s="160" t="s">
        <v>60</v>
      </c>
      <c r="J14349" s="160">
        <v>1.7639999999999999E-2</v>
      </c>
      <c r="K14349" s="160" t="s">
        <v>23</v>
      </c>
      <c r="L14349" s="154" t="str">
        <f>IF(OpenLCAbasic!K14349="CTUh", "Fill in Manually",IF(OR(K14349="Unit", K14349=""), "", INDEX(LookUps!$E$5:$E$12, MATCH(OpenLCAbasic!K14349,LookUps!$D$5:$D$12,0))))</f>
        <v>Global Warming Potential (GWP) - kg CO2 eq</v>
      </c>
      <c r="M14349" s="154" t="str">
        <f t="shared" si="1281"/>
        <v>High_Medium_Base_Upgraded_Global Warming Potential (GWP) - kg CO2 eq_Belt filter press; wastewater treatment unit; at updated plant - US_Without Amendment_Aerated Static Pile</v>
      </c>
    </row>
    <row r="14350" spans="1:13" s="120" customFormat="1" x14ac:dyDescent="0.25">
      <c r="A14350" s="119"/>
      <c r="B14350" s="138" t="str">
        <f t="shared" si="1276"/>
        <v>Aerated Static Pile</v>
      </c>
      <c r="C14350" s="138" t="str">
        <f t="shared" si="1277"/>
        <v>Without Amendment</v>
      </c>
      <c r="D14350" s="138" t="str">
        <f t="shared" si="1280"/>
        <v>Medium_Base</v>
      </c>
      <c r="E14350" s="138" t="str">
        <f t="shared" si="1278"/>
        <v>High</v>
      </c>
      <c r="F14350" s="138" t="str">
        <f t="shared" si="1279"/>
        <v>Upgraded</v>
      </c>
      <c r="G14350" s="153"/>
      <c r="H14350" s="210">
        <v>1.49E-2</v>
      </c>
      <c r="I14350" s="160" t="s">
        <v>57</v>
      </c>
      <c r="J14350" s="160">
        <v>1.455E-2</v>
      </c>
      <c r="K14350" s="160" t="s">
        <v>23</v>
      </c>
      <c r="L14350" s="154" t="str">
        <f>IF(OpenLCAbasic!K14350="CTUh", "Fill in Manually",IF(OR(K14350="Unit", K14350=""), "", INDEX(LookUps!$E$5:$E$12, MATCH(OpenLCAbasic!K14350,LookUps!$D$5:$D$12,0))))</f>
        <v>Global Warming Potential (GWP) - kg CO2 eq</v>
      </c>
      <c r="M14350" s="154" t="str">
        <f t="shared" si="1281"/>
        <v>High_Medium_Base_Upgraded_Global Warming Potential (GWP) - kg CO2 eq_Gravity Belt Thickener; wastewater treatment unit; at updated plant - US_Without Amendment_Aerated Static Pile</v>
      </c>
    </row>
    <row r="14351" spans="1:13" s="120" customFormat="1" x14ac:dyDescent="0.25">
      <c r="A14351" s="119"/>
      <c r="B14351" s="138" t="str">
        <f t="shared" si="1276"/>
        <v>Aerated Static Pile</v>
      </c>
      <c r="C14351" s="138" t="str">
        <f t="shared" si="1277"/>
        <v>Without Amendment</v>
      </c>
      <c r="D14351" s="138" t="str">
        <f t="shared" si="1280"/>
        <v>Medium_Base</v>
      </c>
      <c r="E14351" s="138" t="str">
        <f t="shared" si="1278"/>
        <v>High</v>
      </c>
      <c r="F14351" s="138" t="str">
        <f t="shared" si="1279"/>
        <v>Upgraded</v>
      </c>
      <c r="G14351" s="153"/>
      <c r="H14351" s="210">
        <v>1.38E-2</v>
      </c>
      <c r="I14351" s="160" t="s">
        <v>128</v>
      </c>
      <c r="J14351" s="160">
        <v>1.3509999999999999E-2</v>
      </c>
      <c r="K14351" s="160" t="s">
        <v>23</v>
      </c>
      <c r="L14351" s="154" t="str">
        <f>IF(OpenLCAbasic!K14351="CTUh", "Fill in Manually",IF(OR(K14351="Unit", K14351=""), "", INDEX(LookUps!$E$5:$E$12, MATCH(OpenLCAbasic!K14351,LookUps!$D$5:$D$12,0))))</f>
        <v>Global Warming Potential (GWP) - kg CO2 eq</v>
      </c>
      <c r="M14351" s="154" t="str">
        <f t="shared" si="1281"/>
        <v>High_Medium_Base_Upgraded_Global Warming Potential (GWP) - kg CO2 eq_Wastewater collection; operation and infrastructure; m3 wastewater_Without Amendment_Aerated Static Pile</v>
      </c>
    </row>
    <row r="14352" spans="1:13" s="120" customFormat="1" x14ac:dyDescent="0.25">
      <c r="A14352" s="119"/>
      <c r="B14352" s="138" t="str">
        <f t="shared" si="1276"/>
        <v>Aerated Static Pile</v>
      </c>
      <c r="C14352" s="138" t="str">
        <f t="shared" si="1277"/>
        <v>Without Amendment</v>
      </c>
      <c r="D14352" s="138" t="str">
        <f t="shared" si="1280"/>
        <v>Medium_Base</v>
      </c>
      <c r="E14352" s="138" t="str">
        <f t="shared" si="1278"/>
        <v>High</v>
      </c>
      <c r="F14352" s="138" t="str">
        <f t="shared" si="1279"/>
        <v>Upgraded</v>
      </c>
      <c r="G14352" s="153"/>
      <c r="H14352" s="210">
        <v>8.5000000000000006E-3</v>
      </c>
      <c r="I14352" s="160" t="s">
        <v>148</v>
      </c>
      <c r="J14352" s="160">
        <v>8.3000000000000001E-3</v>
      </c>
      <c r="K14352" s="160" t="s">
        <v>23</v>
      </c>
      <c r="L14352" s="154" t="str">
        <f>IF(OpenLCAbasic!K14352="CTUh", "Fill in Manually",IF(OR(K14352="Unit", K14352=""), "", INDEX(LookUps!$E$5:$E$12, MATCH(OpenLCAbasic!K14352,LookUps!$D$5:$D$12,0))))</f>
        <v>Global Warming Potential (GWP) - kg CO2 eq</v>
      </c>
      <c r="M14352" s="154" t="str">
        <f t="shared" si="1281"/>
        <v>High_Medium_Base_Upgraded_Global Warming Potential (GWP) - kg CO2 eq_Control Building; at upgraded wastewater treatment plant - US_Without Amendment_Aerated Static Pile</v>
      </c>
    </row>
    <row r="14353" spans="1:13" s="120" customFormat="1" x14ac:dyDescent="0.25">
      <c r="A14353" s="119"/>
      <c r="B14353" s="138" t="str">
        <f t="shared" si="1276"/>
        <v>Aerated Static Pile</v>
      </c>
      <c r="C14353" s="138" t="str">
        <f t="shared" si="1277"/>
        <v>Without Amendment</v>
      </c>
      <c r="D14353" s="138" t="str">
        <f t="shared" si="1280"/>
        <v>Medium_Base</v>
      </c>
      <c r="E14353" s="138" t="str">
        <f t="shared" si="1278"/>
        <v>High</v>
      </c>
      <c r="F14353" s="138" t="str">
        <f t="shared" si="1279"/>
        <v>Upgraded</v>
      </c>
      <c r="G14353" s="153"/>
      <c r="H14353" s="210">
        <v>5.1999999999999998E-3</v>
      </c>
      <c r="I14353" s="160" t="s">
        <v>59</v>
      </c>
      <c r="J14353" s="160">
        <v>5.0400000000000002E-3</v>
      </c>
      <c r="K14353" s="160" t="s">
        <v>23</v>
      </c>
      <c r="L14353" s="154" t="str">
        <f>IF(OpenLCAbasic!K14353="CTUh", "Fill in Manually",IF(OR(K14353="Unit", K14353=""), "", INDEX(LookUps!$E$5:$E$12, MATCH(OpenLCAbasic!K14353,LookUps!$D$5:$D$12,0))))</f>
        <v>Global Warming Potential (GWP) - kg CO2 eq</v>
      </c>
      <c r="M14353" s="154" t="str">
        <f t="shared" si="1281"/>
        <v>High_Medium_Base_Upgraded_Global Warming Potential (GWP) - kg CO2 eq_Blend Tank; wastewater treatment unit; at updated plant - US_Without Amendment_Aerated Static Pile</v>
      </c>
    </row>
    <row r="14354" spans="1:13" s="120" customFormat="1" x14ac:dyDescent="0.25">
      <c r="A14354" s="119"/>
      <c r="B14354" s="138" t="str">
        <f t="shared" si="1276"/>
        <v>Aerated Static Pile</v>
      </c>
      <c r="C14354" s="138" t="str">
        <f t="shared" si="1277"/>
        <v>Without Amendment</v>
      </c>
      <c r="D14354" s="138" t="str">
        <f t="shared" si="1280"/>
        <v>Medium_Base</v>
      </c>
      <c r="E14354" s="138" t="str">
        <f t="shared" si="1278"/>
        <v>High</v>
      </c>
      <c r="F14354" s="138" t="str">
        <f t="shared" si="1279"/>
        <v>Upgraded</v>
      </c>
      <c r="G14354" s="153"/>
      <c r="H14354" s="210">
        <v>2.5000000000000001E-3</v>
      </c>
      <c r="I14354" s="160" t="s">
        <v>168</v>
      </c>
      <c r="J14354" s="160">
        <v>2.4099999999999998E-3</v>
      </c>
      <c r="K14354" s="160" t="s">
        <v>23</v>
      </c>
      <c r="L14354" s="154" t="str">
        <f>IF(OpenLCAbasic!K14354="CTUh", "Fill in Manually",IF(OR(K14354="Unit", K14354=""), "", INDEX(LookUps!$E$5:$E$12, MATCH(OpenLCAbasic!K14354,LookUps!$D$5:$D$12,0))))</f>
        <v>Global Warming Potential (GWP) - kg CO2 eq</v>
      </c>
      <c r="M14354" s="154" t="str">
        <f t="shared" si="1281"/>
        <v>High_Medium_Base_Upgraded_Global Warming Potential (GWP) - kg CO2 eq_ClearCove SCP; wastewater treatment unit; at updated plant - US_Without Amendment_Aerated Static Pile</v>
      </c>
    </row>
    <row r="14355" spans="1:13" s="120" customFormat="1" x14ac:dyDescent="0.25">
      <c r="A14355" s="119"/>
      <c r="B14355" s="138" t="str">
        <f t="shared" si="1276"/>
        <v>Aerated Static Pile</v>
      </c>
      <c r="C14355" s="138" t="str">
        <f t="shared" si="1277"/>
        <v>Without Amendment</v>
      </c>
      <c r="D14355" s="138" t="str">
        <f t="shared" si="1280"/>
        <v>Medium_Base</v>
      </c>
      <c r="E14355" s="138" t="str">
        <f t="shared" si="1278"/>
        <v>High</v>
      </c>
      <c r="F14355" s="138" t="str">
        <f t="shared" si="1279"/>
        <v>Upgraded</v>
      </c>
      <c r="G14355" s="153"/>
      <c r="H14355" s="210">
        <v>-0.19570000000000001</v>
      </c>
      <c r="I14355" s="160" t="s">
        <v>62</v>
      </c>
      <c r="J14355" s="160">
        <v>-0.19139999999999999</v>
      </c>
      <c r="K14355" s="160" t="s">
        <v>23</v>
      </c>
      <c r="L14355" s="154" t="str">
        <f>IF(OpenLCAbasic!K14355="CTUh", "Fill in Manually",IF(OR(K14355="Unit", K14355=""), "", INDEX(LookUps!$E$5:$E$12, MATCH(OpenLCAbasic!K14355,LookUps!$D$5:$D$12,0))))</f>
        <v>Global Warming Potential (GWP) - kg CO2 eq</v>
      </c>
      <c r="M14355" s="154" t="str">
        <f t="shared" si="1281"/>
        <v>High_Medium_Base_Upgraded_Global Warming Potential (GWP) - kg CO2 eq_Land application of compost; wastewater treatment unit; at updated plant - US_Without Amendment_Aerated Static Pile</v>
      </c>
    </row>
    <row r="14356" spans="1:13" s="120" customFormat="1" x14ac:dyDescent="0.25">
      <c r="A14356" s="119"/>
      <c r="B14356" s="138" t="str">
        <f t="shared" si="1276"/>
        <v>Aerated Static Pile</v>
      </c>
      <c r="C14356" s="138" t="str">
        <f t="shared" si="1277"/>
        <v>Without Amendment</v>
      </c>
      <c r="D14356" s="138" t="str">
        <f t="shared" si="1280"/>
        <v>Medium_Base</v>
      </c>
      <c r="E14356" s="138" t="str">
        <f t="shared" si="1278"/>
        <v>High</v>
      </c>
      <c r="F14356" s="138" t="str">
        <f t="shared" si="1279"/>
        <v>Upgraded</v>
      </c>
      <c r="G14356" s="153"/>
      <c r="H14356" s="210">
        <v>-0.37830000000000003</v>
      </c>
      <c r="I14356" s="160" t="s">
        <v>149</v>
      </c>
      <c r="J14356" s="160">
        <v>-0.36997999999999998</v>
      </c>
      <c r="K14356" s="160" t="s">
        <v>23</v>
      </c>
      <c r="L14356" s="154" t="str">
        <f>IF(OpenLCAbasic!K14356="CTUh", "Fill in Manually",IF(OR(K14356="Unit", K14356=""), "", INDEX(LookUps!$E$5:$E$12, MATCH(OpenLCAbasic!K14356,LookUps!$D$5:$D$12,0))))</f>
        <v>Global Warming Potential (GWP) - kg CO2 eq</v>
      </c>
      <c r="M14356" s="154" t="str">
        <f t="shared" si="1281"/>
        <v>High_Medium_Base_Upgraded_Global Warming Potential (GWP) - kg CO2 eq_Anaerobic Digestion; wastewater treatment unit; at updated plant - US_Without Amendment_Aerated Static Pile</v>
      </c>
    </row>
    <row r="14357" spans="1:13" s="120" customFormat="1" x14ac:dyDescent="0.25">
      <c r="A14357" s="119"/>
      <c r="B14357" s="138" t="str">
        <f t="shared" si="1276"/>
        <v/>
      </c>
      <c r="C14357" s="138" t="str">
        <f t="shared" si="1277"/>
        <v/>
      </c>
      <c r="D14357" s="138" t="str">
        <f t="shared" si="1280"/>
        <v/>
      </c>
      <c r="E14357" s="138" t="str">
        <f t="shared" si="1278"/>
        <v/>
      </c>
      <c r="F14357" s="138" t="str">
        <f t="shared" si="1279"/>
        <v/>
      </c>
      <c r="G14357" s="153" t="s">
        <v>51</v>
      </c>
      <c r="H14357" s="160"/>
      <c r="I14357" s="160" t="s">
        <v>47</v>
      </c>
      <c r="J14357" s="160" t="s">
        <v>52</v>
      </c>
      <c r="K14357" s="160" t="s">
        <v>27</v>
      </c>
      <c r="L14357" s="154" t="str">
        <f>IF(OpenLCAbasic!K14357="CTUh", "Fill in Manually",IF(OR(K14357="Unit", K14357=""), "", INDEX(LookUps!$E$5:$E$12, MATCH(OpenLCAbasic!K14357,LookUps!$D$5:$D$12,0))))</f>
        <v/>
      </c>
      <c r="M14357" s="154" t="str">
        <f t="shared" si="1281"/>
        <v>____Process__</v>
      </c>
    </row>
    <row r="14358" spans="1:13" s="120" customFormat="1" x14ac:dyDescent="0.25">
      <c r="A14358" s="119"/>
      <c r="B14358" s="138" t="str">
        <f t="shared" si="1276"/>
        <v>Aerated Static Pile</v>
      </c>
      <c r="C14358" s="138" t="str">
        <f t="shared" si="1277"/>
        <v>Without Amendment</v>
      </c>
      <c r="D14358" s="138" t="str">
        <f t="shared" si="1280"/>
        <v>Medium_Base</v>
      </c>
      <c r="E14358" s="138" t="str">
        <f t="shared" si="1278"/>
        <v>High</v>
      </c>
      <c r="F14358" s="138" t="str">
        <f t="shared" si="1279"/>
        <v>Upgraded</v>
      </c>
      <c r="G14358" s="153"/>
      <c r="H14358" s="210">
        <v>0.79420000000000002</v>
      </c>
      <c r="I14358" s="160" t="s">
        <v>55</v>
      </c>
      <c r="J14358" s="160">
        <v>2.33E-3</v>
      </c>
      <c r="K14358" s="160" t="s">
        <v>145</v>
      </c>
      <c r="L14358" s="154" t="str">
        <f>IF(OpenLCAbasic!K14358="CTUh", "Fill in Manually",IF(OR(K14358="Unit", K14358=""), "", INDEX(LookUps!$E$5:$E$12, MATCH(OpenLCAbasic!K14358,LookUps!$D$5:$D$12,0))))</f>
        <v>Particulate Matter Formation Potential (PMFP) - kg PM2.5 eq</v>
      </c>
      <c r="M14358" s="154" t="str">
        <f t="shared" si="1281"/>
        <v>High_Medium_Base_Upgraded_Particulate Matter Formation Potential (PMFP) - kg PM2.5 eq_Aeration Tanks; wastewater treatment unit; at updated plant - US_Without Amendment_Aerated Static Pile</v>
      </c>
    </row>
    <row r="14359" spans="1:13" s="120" customFormat="1" x14ac:dyDescent="0.25">
      <c r="A14359" s="119"/>
      <c r="B14359" s="138" t="str">
        <f t="shared" si="1276"/>
        <v>Aerated Static Pile</v>
      </c>
      <c r="C14359" s="138" t="str">
        <f t="shared" si="1277"/>
        <v>Without Amendment</v>
      </c>
      <c r="D14359" s="138" t="str">
        <f t="shared" si="1280"/>
        <v>Medium_Base</v>
      </c>
      <c r="E14359" s="138" t="str">
        <f t="shared" si="1278"/>
        <v>High</v>
      </c>
      <c r="F14359" s="138" t="str">
        <f t="shared" si="1279"/>
        <v>Upgraded</v>
      </c>
      <c r="G14359" s="153"/>
      <c r="H14359" s="210">
        <v>0.2311</v>
      </c>
      <c r="I14359" s="160" t="s">
        <v>54</v>
      </c>
      <c r="J14359" s="160">
        <v>6.8000000000000005E-4</v>
      </c>
      <c r="K14359" s="160" t="s">
        <v>145</v>
      </c>
      <c r="L14359" s="154" t="str">
        <f>IF(OpenLCAbasic!K14359="CTUh", "Fill in Manually",IF(OR(K14359="Unit", K14359=""), "", INDEX(LookUps!$E$5:$E$12, MATCH(OpenLCAbasic!K14359,LookUps!$D$5:$D$12,0))))</f>
        <v>Particulate Matter Formation Potential (PMFP) - kg PM2.5 eq</v>
      </c>
      <c r="M14359" s="154" t="str">
        <f t="shared" si="1281"/>
        <v>High_Medium_Base_Upgraded_Particulate Matter Formation Potential (PMFP) - kg PM2.5 eq_Clear Cove Primary Clarification; wastewater treatment unit; at updated plant - US_Without Amendment_Aerated Static Pile</v>
      </c>
    </row>
    <row r="14360" spans="1:13" s="120" customFormat="1" x14ac:dyDescent="0.25">
      <c r="A14360" s="119"/>
      <c r="B14360" s="138" t="str">
        <f t="shared" si="1276"/>
        <v>Aerated Static Pile</v>
      </c>
      <c r="C14360" s="138" t="str">
        <f t="shared" si="1277"/>
        <v>Without Amendment</v>
      </c>
      <c r="D14360" s="138" t="str">
        <f t="shared" si="1280"/>
        <v>Medium_Base</v>
      </c>
      <c r="E14360" s="138" t="str">
        <f t="shared" si="1278"/>
        <v>High</v>
      </c>
      <c r="F14360" s="138" t="str">
        <f t="shared" si="1279"/>
        <v>Upgraded</v>
      </c>
      <c r="G14360" s="153"/>
      <c r="H14360" s="210">
        <v>0.20030000000000001</v>
      </c>
      <c r="I14360" s="160" t="s">
        <v>58</v>
      </c>
      <c r="J14360" s="160">
        <v>5.9000000000000003E-4</v>
      </c>
      <c r="K14360" s="160" t="s">
        <v>145</v>
      </c>
      <c r="L14360" s="154" t="str">
        <f>IF(OpenLCAbasic!K14360="CTUh", "Fill in Manually",IF(OR(K14360="Unit", K14360=""), "", INDEX(LookUps!$E$5:$E$12, MATCH(OpenLCAbasic!K14360,LookUps!$D$5:$D$12,0))))</f>
        <v>Particulate Matter Formation Potential (PMFP) - kg PM2.5 eq</v>
      </c>
      <c r="M14360" s="154" t="str">
        <f t="shared" si="1281"/>
        <v>High_Medium_Base_Upgraded_Particulate Matter Formation Potential (PMFP) - kg PM2.5 eq_Pre-Anoxic &amp; Swing tank; wastewater treatment unit; at updated plant - US_Without Amendment_Aerated Static Pile</v>
      </c>
    </row>
    <row r="14361" spans="1:13" s="120" customFormat="1" x14ac:dyDescent="0.25">
      <c r="A14361" s="119"/>
      <c r="B14361" s="138" t="str">
        <f t="shared" si="1276"/>
        <v>Aerated Static Pile</v>
      </c>
      <c r="C14361" s="138" t="str">
        <f t="shared" si="1277"/>
        <v>Without Amendment</v>
      </c>
      <c r="D14361" s="138" t="str">
        <f t="shared" si="1280"/>
        <v>Medium_Base</v>
      </c>
      <c r="E14361" s="138" t="str">
        <f t="shared" si="1278"/>
        <v>High</v>
      </c>
      <c r="F14361" s="138" t="str">
        <f t="shared" si="1279"/>
        <v>Upgraded</v>
      </c>
      <c r="G14361" s="153"/>
      <c r="H14361" s="210">
        <v>0.1588</v>
      </c>
      <c r="I14361" s="160" t="s">
        <v>53</v>
      </c>
      <c r="J14361" s="160">
        <v>4.6999999999999999E-4</v>
      </c>
      <c r="K14361" s="160" t="s">
        <v>145</v>
      </c>
      <c r="L14361" s="154" t="str">
        <f>IF(OpenLCAbasic!K14361="CTUh", "Fill in Manually",IF(OR(K14361="Unit", K14361=""), "", INDEX(LookUps!$E$5:$E$12, MATCH(OpenLCAbasic!K14361,LookUps!$D$5:$D$12,0))))</f>
        <v>Particulate Matter Formation Potential (PMFP) - kg PM2.5 eq</v>
      </c>
      <c r="M14361" s="154" t="str">
        <f t="shared" si="1281"/>
        <v>High_Medium_Base_Upgraded_Particulate Matter Formation Potential (PMFP) - kg PM2.5 eq_Wet Well and Sump Station; wastewater treatment unit; at updated plant - US_Without Amendment_Aerated Static Pile</v>
      </c>
    </row>
    <row r="14362" spans="1:13" s="120" customFormat="1" x14ac:dyDescent="0.25">
      <c r="A14362" s="119"/>
      <c r="B14362" s="138" t="str">
        <f t="shared" si="1276"/>
        <v>Aerated Static Pile</v>
      </c>
      <c r="C14362" s="138" t="str">
        <f t="shared" si="1277"/>
        <v>Without Amendment</v>
      </c>
      <c r="D14362" s="138" t="str">
        <f t="shared" si="1280"/>
        <v>Medium_Base</v>
      </c>
      <c r="E14362" s="138" t="str">
        <f t="shared" si="1278"/>
        <v>High</v>
      </c>
      <c r="F14362" s="138" t="str">
        <f t="shared" si="1279"/>
        <v>Upgraded</v>
      </c>
      <c r="G14362" s="153"/>
      <c r="H14362" s="210">
        <v>0.11169999999999999</v>
      </c>
      <c r="I14362" s="160" t="s">
        <v>435</v>
      </c>
      <c r="J14362" s="160">
        <v>3.3E-4</v>
      </c>
      <c r="K14362" s="160" t="s">
        <v>145</v>
      </c>
      <c r="L14362" s="154" t="str">
        <f>IF(OpenLCAbasic!K14362="CTUh", "Fill in Manually",IF(OR(K14362="Unit", K14362=""), "", INDEX(LookUps!$E$5:$E$12, MATCH(OpenLCAbasic!K14362,LookUps!$D$5:$D$12,0))))</f>
        <v>Particulate Matter Formation Potential (PMFP) - kg PM2.5 eq</v>
      </c>
      <c r="M14362" s="154" t="str">
        <f t="shared" si="1281"/>
        <v>High_Medium_Base_Upgraded_Particulate Matter Formation Potential (PMFP) - kg PM2.5 eq_Biosolids composting; aerated static pile; wastewater treatment unit; at updated plant - US_Without Amendment_Aerated Static Pile</v>
      </c>
    </row>
    <row r="14363" spans="1:13" s="120" customFormat="1" x14ac:dyDescent="0.25">
      <c r="A14363" s="119"/>
      <c r="B14363" s="138" t="str">
        <f t="shared" si="1276"/>
        <v>Aerated Static Pile</v>
      </c>
      <c r="C14363" s="138" t="str">
        <f t="shared" si="1277"/>
        <v>Without Amendment</v>
      </c>
      <c r="D14363" s="138" t="str">
        <f t="shared" si="1280"/>
        <v>Medium_Base</v>
      </c>
      <c r="E14363" s="138" t="str">
        <f t="shared" si="1278"/>
        <v>High</v>
      </c>
      <c r="F14363" s="138" t="str">
        <f t="shared" si="1279"/>
        <v>Upgraded</v>
      </c>
      <c r="G14363" s="153"/>
      <c r="H14363" s="210">
        <v>0.1071</v>
      </c>
      <c r="I14363" s="160" t="s">
        <v>167</v>
      </c>
      <c r="J14363" s="160">
        <v>3.1E-4</v>
      </c>
      <c r="K14363" s="160" t="s">
        <v>145</v>
      </c>
      <c r="L14363" s="154" t="str">
        <f>IF(OpenLCAbasic!K14363="CTUh", "Fill in Manually",IF(OR(K14363="Unit", K14363=""), "", INDEX(LookUps!$E$5:$E$12, MATCH(OpenLCAbasic!K14363,LookUps!$D$5:$D$12,0))))</f>
        <v>Particulate Matter Formation Potential (PMFP) - kg PM2.5 eq</v>
      </c>
      <c r="M14363" s="154" t="str">
        <f t="shared" si="1281"/>
        <v>High_Medium_Base_Upgraded_Particulate Matter Formation Potential (PMFP) - kg PM2.5 eq_Waste Receiving and Holding; wastewater treatment unit; at updated plant - US_Without Amendment_Aerated Static Pile</v>
      </c>
    </row>
    <row r="14364" spans="1:13" s="120" customFormat="1" x14ac:dyDescent="0.25">
      <c r="A14364" s="119"/>
      <c r="B14364" s="138" t="str">
        <f t="shared" si="1276"/>
        <v>Aerated Static Pile</v>
      </c>
      <c r="C14364" s="138" t="str">
        <f t="shared" si="1277"/>
        <v>Without Amendment</v>
      </c>
      <c r="D14364" s="138" t="str">
        <f t="shared" si="1280"/>
        <v>Medium_Base</v>
      </c>
      <c r="E14364" s="138" t="str">
        <f t="shared" si="1278"/>
        <v>High</v>
      </c>
      <c r="F14364" s="138" t="str">
        <f t="shared" si="1279"/>
        <v>Upgraded</v>
      </c>
      <c r="G14364" s="153"/>
      <c r="H14364" s="210">
        <v>9.0800000000000006E-2</v>
      </c>
      <c r="I14364" s="160" t="s">
        <v>147</v>
      </c>
      <c r="J14364" s="160">
        <v>2.7E-4</v>
      </c>
      <c r="K14364" s="160" t="s">
        <v>145</v>
      </c>
      <c r="L14364" s="154" t="str">
        <f>IF(OpenLCAbasic!K14364="CTUh", "Fill in Manually",IF(OR(K14364="Unit", K14364=""), "", INDEX(LookUps!$E$5:$E$12, MATCH(OpenLCAbasic!K14364,LookUps!$D$5:$D$12,0))))</f>
        <v>Particulate Matter Formation Potential (PMFP) - kg PM2.5 eq</v>
      </c>
      <c r="M14364" s="154" t="str">
        <f t="shared" si="1281"/>
        <v>High_Medium_Base_Upgraded_Particulate Matter Formation Potential (PMFP) - kg PM2.5 eq_Influent Pump Station; wastewater treatment unit; at updated plant - US_Without Amendment_Aerated Static Pile</v>
      </c>
    </row>
    <row r="14365" spans="1:13" s="120" customFormat="1" x14ac:dyDescent="0.25">
      <c r="A14365" s="119"/>
      <c r="B14365" s="138" t="str">
        <f t="shared" si="1276"/>
        <v>Aerated Static Pile</v>
      </c>
      <c r="C14365" s="138" t="str">
        <f t="shared" si="1277"/>
        <v>Without Amendment</v>
      </c>
      <c r="D14365" s="138" t="str">
        <f t="shared" si="1280"/>
        <v>Medium_Base</v>
      </c>
      <c r="E14365" s="138" t="str">
        <f t="shared" si="1278"/>
        <v>High</v>
      </c>
      <c r="F14365" s="138" t="str">
        <f t="shared" si="1279"/>
        <v>Upgraded</v>
      </c>
      <c r="G14365" s="153"/>
      <c r="H14365" s="210">
        <v>5.6599999999999998E-2</v>
      </c>
      <c r="I14365" s="160" t="s">
        <v>128</v>
      </c>
      <c r="J14365" s="160">
        <v>1.7000000000000001E-4</v>
      </c>
      <c r="K14365" s="160" t="s">
        <v>145</v>
      </c>
      <c r="L14365" s="154" t="str">
        <f>IF(OpenLCAbasic!K14365="CTUh", "Fill in Manually",IF(OR(K14365="Unit", K14365=""), "", INDEX(LookUps!$E$5:$E$12, MATCH(OpenLCAbasic!K14365,LookUps!$D$5:$D$12,0))))</f>
        <v>Particulate Matter Formation Potential (PMFP) - kg PM2.5 eq</v>
      </c>
      <c r="M14365" s="154" t="str">
        <f t="shared" si="1281"/>
        <v>High_Medium_Base_Upgraded_Particulate Matter Formation Potential (PMFP) - kg PM2.5 eq_Wastewater collection; operation and infrastructure; m3 wastewater_Without Amendment_Aerated Static Pile</v>
      </c>
    </row>
    <row r="14366" spans="1:13" s="120" customFormat="1" x14ac:dyDescent="0.25">
      <c r="A14366" s="119"/>
      <c r="B14366" s="138" t="str">
        <f t="shared" si="1276"/>
        <v>Aerated Static Pile</v>
      </c>
      <c r="C14366" s="138" t="str">
        <f t="shared" si="1277"/>
        <v>Without Amendment</v>
      </c>
      <c r="D14366" s="138" t="str">
        <f t="shared" si="1280"/>
        <v>Medium_Base</v>
      </c>
      <c r="E14366" s="138" t="str">
        <f t="shared" si="1278"/>
        <v>High</v>
      </c>
      <c r="F14366" s="138" t="str">
        <f t="shared" si="1279"/>
        <v>Upgraded</v>
      </c>
      <c r="G14366" s="153"/>
      <c r="H14366" s="210">
        <v>4.9099999999999998E-2</v>
      </c>
      <c r="I14366" s="160" t="s">
        <v>60</v>
      </c>
      <c r="J14366" s="160">
        <v>1.3999999999999999E-4</v>
      </c>
      <c r="K14366" s="160" t="s">
        <v>145</v>
      </c>
      <c r="L14366" s="154" t="str">
        <f>IF(OpenLCAbasic!K14366="CTUh", "Fill in Manually",IF(OR(K14366="Unit", K14366=""), "", INDEX(LookUps!$E$5:$E$12, MATCH(OpenLCAbasic!K14366,LookUps!$D$5:$D$12,0))))</f>
        <v>Particulate Matter Formation Potential (PMFP) - kg PM2.5 eq</v>
      </c>
      <c r="M14366" s="154" t="str">
        <f t="shared" si="1281"/>
        <v>High_Medium_Base_Upgraded_Particulate Matter Formation Potential (PMFP) - kg PM2.5 eq_Belt filter press; wastewater treatment unit; at updated plant - US_Without Amendment_Aerated Static Pile</v>
      </c>
    </row>
    <row r="14367" spans="1:13" s="120" customFormat="1" x14ac:dyDescent="0.25">
      <c r="A14367" s="119"/>
      <c r="B14367" s="138" t="str">
        <f t="shared" si="1276"/>
        <v>Aerated Static Pile</v>
      </c>
      <c r="C14367" s="138" t="str">
        <f t="shared" si="1277"/>
        <v>Without Amendment</v>
      </c>
      <c r="D14367" s="138" t="str">
        <f t="shared" si="1280"/>
        <v>Medium_Base</v>
      </c>
      <c r="E14367" s="138" t="str">
        <f t="shared" si="1278"/>
        <v>High</v>
      </c>
      <c r="F14367" s="138" t="str">
        <f t="shared" si="1279"/>
        <v>Upgraded</v>
      </c>
      <c r="G14367" s="153"/>
      <c r="H14367" s="210">
        <v>3.2399999999999998E-2</v>
      </c>
      <c r="I14367" s="160" t="s">
        <v>57</v>
      </c>
      <c r="J14367" s="211">
        <v>9.5153800000000004E-5</v>
      </c>
      <c r="K14367" s="160" t="s">
        <v>145</v>
      </c>
      <c r="L14367" s="154" t="str">
        <f>IF(OpenLCAbasic!K14367="CTUh", "Fill in Manually",IF(OR(K14367="Unit", K14367=""), "", INDEX(LookUps!$E$5:$E$12, MATCH(OpenLCAbasic!K14367,LookUps!$D$5:$D$12,0))))</f>
        <v>Particulate Matter Formation Potential (PMFP) - kg PM2.5 eq</v>
      </c>
      <c r="M14367" s="154" t="str">
        <f t="shared" si="1281"/>
        <v>High_Medium_Base_Upgraded_Particulate Matter Formation Potential (PMFP) - kg PM2.5 eq_Gravity Belt Thickener; wastewater treatment unit; at updated plant - US_Without Amendment_Aerated Static Pile</v>
      </c>
    </row>
    <row r="14368" spans="1:13" s="120" customFormat="1" x14ac:dyDescent="0.25">
      <c r="A14368" s="119"/>
      <c r="B14368" s="138" t="str">
        <f t="shared" si="1276"/>
        <v>Aerated Static Pile</v>
      </c>
      <c r="C14368" s="138" t="str">
        <f t="shared" si="1277"/>
        <v>Without Amendment</v>
      </c>
      <c r="D14368" s="138" t="str">
        <f t="shared" si="1280"/>
        <v>Medium_Base</v>
      </c>
      <c r="E14368" s="138" t="str">
        <f t="shared" si="1278"/>
        <v>High</v>
      </c>
      <c r="F14368" s="138" t="str">
        <f t="shared" si="1279"/>
        <v>Upgraded</v>
      </c>
      <c r="G14368" s="153"/>
      <c r="H14368" s="210">
        <v>2.3800000000000002E-2</v>
      </c>
      <c r="I14368" s="160" t="s">
        <v>59</v>
      </c>
      <c r="J14368" s="211">
        <v>6.9942200000000003E-5</v>
      </c>
      <c r="K14368" s="160" t="s">
        <v>145</v>
      </c>
      <c r="L14368" s="154" t="str">
        <f>IF(OpenLCAbasic!K14368="CTUh", "Fill in Manually",IF(OR(K14368="Unit", K14368=""), "", INDEX(LookUps!$E$5:$E$12, MATCH(OpenLCAbasic!K14368,LookUps!$D$5:$D$12,0))))</f>
        <v>Particulate Matter Formation Potential (PMFP) - kg PM2.5 eq</v>
      </c>
      <c r="M14368" s="154" t="str">
        <f t="shared" si="1281"/>
        <v>High_Medium_Base_Upgraded_Particulate Matter Formation Potential (PMFP) - kg PM2.5 eq_Blend Tank; wastewater treatment unit; at updated plant - US_Without Amendment_Aerated Static Pile</v>
      </c>
    </row>
    <row r="14369" spans="1:13" s="120" customFormat="1" x14ac:dyDescent="0.25">
      <c r="A14369" s="119"/>
      <c r="B14369" s="138" t="str">
        <f t="shared" si="1276"/>
        <v>Aerated Static Pile</v>
      </c>
      <c r="C14369" s="138" t="str">
        <f t="shared" si="1277"/>
        <v>Without Amendment</v>
      </c>
      <c r="D14369" s="138" t="str">
        <f t="shared" si="1280"/>
        <v>Medium_Base</v>
      </c>
      <c r="E14369" s="138" t="str">
        <f t="shared" si="1278"/>
        <v>High</v>
      </c>
      <c r="F14369" s="138" t="str">
        <f t="shared" si="1279"/>
        <v>Upgraded</v>
      </c>
      <c r="G14369" s="153"/>
      <c r="H14369" s="210">
        <v>1.7000000000000001E-2</v>
      </c>
      <c r="I14369" s="160" t="s">
        <v>48</v>
      </c>
      <c r="J14369" s="211">
        <v>4.99741E-5</v>
      </c>
      <c r="K14369" s="160" t="s">
        <v>145</v>
      </c>
      <c r="L14369" s="154" t="str">
        <f>IF(OpenLCAbasic!K14369="CTUh", "Fill in Manually",IF(OR(K14369="Unit", K14369=""), "", INDEX(LookUps!$E$5:$E$12, MATCH(OpenLCAbasic!K14369,LookUps!$D$5:$D$12,0))))</f>
        <v>Particulate Matter Formation Potential (PMFP) - kg PM2.5 eq</v>
      </c>
      <c r="M14369" s="154" t="str">
        <f t="shared" si="1281"/>
        <v>High_Medium_Base_Upgraded_Particulate Matter Formation Potential (PMFP) - kg PM2.5 eq_Effluent release; wastewater treatment unit; at surface water; m3 wastewater - US_Without Amendment_Aerated Static Pile</v>
      </c>
    </row>
    <row r="14370" spans="1:13" s="120" customFormat="1" x14ac:dyDescent="0.25">
      <c r="A14370" s="119"/>
      <c r="B14370" s="138" t="str">
        <f t="shared" si="1276"/>
        <v>Aerated Static Pile</v>
      </c>
      <c r="C14370" s="138" t="str">
        <f t="shared" si="1277"/>
        <v>Without Amendment</v>
      </c>
      <c r="D14370" s="138" t="str">
        <f t="shared" si="1280"/>
        <v>Medium_Base</v>
      </c>
      <c r="E14370" s="138" t="str">
        <f t="shared" si="1278"/>
        <v>High</v>
      </c>
      <c r="F14370" s="138" t="str">
        <f t="shared" si="1279"/>
        <v>Upgraded</v>
      </c>
      <c r="G14370" s="153"/>
      <c r="H14370" s="210">
        <v>1.18E-2</v>
      </c>
      <c r="I14370" s="160" t="s">
        <v>168</v>
      </c>
      <c r="J14370" s="211">
        <v>3.4562199999999999E-5</v>
      </c>
      <c r="K14370" s="160" t="s">
        <v>145</v>
      </c>
      <c r="L14370" s="154" t="str">
        <f>IF(OpenLCAbasic!K14370="CTUh", "Fill in Manually",IF(OR(K14370="Unit", K14370=""), "", INDEX(LookUps!$E$5:$E$12, MATCH(OpenLCAbasic!K14370,LookUps!$D$5:$D$12,0))))</f>
        <v>Particulate Matter Formation Potential (PMFP) - kg PM2.5 eq</v>
      </c>
      <c r="M14370" s="154" t="str">
        <f t="shared" si="1281"/>
        <v>High_Medium_Base_Upgraded_Particulate Matter Formation Potential (PMFP) - kg PM2.5 eq_ClearCove SCP; wastewater treatment unit; at updated plant - US_Without Amendment_Aerated Static Pile</v>
      </c>
    </row>
    <row r="14371" spans="1:13" s="120" customFormat="1" x14ac:dyDescent="0.25">
      <c r="A14371" s="119"/>
      <c r="B14371" s="138" t="str">
        <f t="shared" si="1276"/>
        <v>Aerated Static Pile</v>
      </c>
      <c r="C14371" s="138" t="str">
        <f t="shared" si="1277"/>
        <v>Without Amendment</v>
      </c>
      <c r="D14371" s="138" t="str">
        <f t="shared" si="1280"/>
        <v>Medium_Base</v>
      </c>
      <c r="E14371" s="138" t="str">
        <f t="shared" si="1278"/>
        <v>High</v>
      </c>
      <c r="F14371" s="138" t="str">
        <f t="shared" si="1279"/>
        <v>Upgraded</v>
      </c>
      <c r="G14371" s="153"/>
      <c r="H14371" s="210">
        <v>1.11E-2</v>
      </c>
      <c r="I14371" s="160" t="s">
        <v>62</v>
      </c>
      <c r="J14371" s="211">
        <v>3.2500099999999997E-5</v>
      </c>
      <c r="K14371" s="160" t="s">
        <v>145</v>
      </c>
      <c r="L14371" s="154" t="str">
        <f>IF(OpenLCAbasic!K14371="CTUh", "Fill in Manually",IF(OR(K14371="Unit", K14371=""), "", INDEX(LookUps!$E$5:$E$12, MATCH(OpenLCAbasic!K14371,LookUps!$D$5:$D$12,0))))</f>
        <v>Particulate Matter Formation Potential (PMFP) - kg PM2.5 eq</v>
      </c>
      <c r="M14371" s="154" t="str">
        <f t="shared" si="1281"/>
        <v>High_Medium_Base_Upgraded_Particulate Matter Formation Potential (PMFP) - kg PM2.5 eq_Land application of compost; wastewater treatment unit; at updated plant - US_Without Amendment_Aerated Static Pile</v>
      </c>
    </row>
    <row r="14372" spans="1:13" s="120" customFormat="1" x14ac:dyDescent="0.25">
      <c r="A14372" s="119"/>
      <c r="B14372" s="138" t="str">
        <f t="shared" si="1276"/>
        <v>Aerated Static Pile</v>
      </c>
      <c r="C14372" s="138" t="str">
        <f t="shared" si="1277"/>
        <v>Without Amendment</v>
      </c>
      <c r="D14372" s="138" t="str">
        <f t="shared" si="1280"/>
        <v>Medium_Base</v>
      </c>
      <c r="E14372" s="138" t="str">
        <f t="shared" si="1278"/>
        <v>High</v>
      </c>
      <c r="F14372" s="138" t="str">
        <f t="shared" si="1279"/>
        <v>Upgraded</v>
      </c>
      <c r="G14372" s="153"/>
      <c r="H14372" s="210">
        <v>3.0000000000000001E-3</v>
      </c>
      <c r="I14372" s="160" t="s">
        <v>148</v>
      </c>
      <c r="J14372" s="211">
        <v>8.8212999999999997E-6</v>
      </c>
      <c r="K14372" s="160" t="s">
        <v>145</v>
      </c>
      <c r="L14372" s="154" t="str">
        <f>IF(OpenLCAbasic!K14372="CTUh", "Fill in Manually",IF(OR(K14372="Unit", K14372=""), "", INDEX(LookUps!$E$5:$E$12, MATCH(OpenLCAbasic!K14372,LookUps!$D$5:$D$12,0))))</f>
        <v>Particulate Matter Formation Potential (PMFP) - kg PM2.5 eq</v>
      </c>
      <c r="M14372" s="154" t="str">
        <f t="shared" si="1281"/>
        <v>High_Medium_Base_Upgraded_Particulate Matter Formation Potential (PMFP) - kg PM2.5 eq_Control Building; at upgraded wastewater treatment plant - US_Without Amendment_Aerated Static Pile</v>
      </c>
    </row>
    <row r="14373" spans="1:13" s="120" customFormat="1" x14ac:dyDescent="0.25">
      <c r="A14373" s="119"/>
      <c r="B14373" s="138" t="str">
        <f t="shared" si="1276"/>
        <v>Aerated Static Pile</v>
      </c>
      <c r="C14373" s="138" t="str">
        <f t="shared" si="1277"/>
        <v>Without Amendment</v>
      </c>
      <c r="D14373" s="138" t="str">
        <f t="shared" si="1280"/>
        <v>Medium_Base</v>
      </c>
      <c r="E14373" s="138" t="str">
        <f t="shared" si="1278"/>
        <v>High</v>
      </c>
      <c r="F14373" s="138" t="str">
        <f t="shared" si="1279"/>
        <v>Upgraded</v>
      </c>
      <c r="G14373" s="153"/>
      <c r="H14373" s="210">
        <v>-0.89870000000000005</v>
      </c>
      <c r="I14373" s="160" t="s">
        <v>149</v>
      </c>
      <c r="J14373" s="160">
        <v>-2.64E-3</v>
      </c>
      <c r="K14373" s="160" t="s">
        <v>145</v>
      </c>
      <c r="L14373" s="154" t="str">
        <f>IF(OpenLCAbasic!K14373="CTUh", "Fill in Manually",IF(OR(K14373="Unit", K14373=""), "", INDEX(LookUps!$E$5:$E$12, MATCH(OpenLCAbasic!K14373,LookUps!$D$5:$D$12,0))))</f>
        <v>Particulate Matter Formation Potential (PMFP) - kg PM2.5 eq</v>
      </c>
      <c r="M14373" s="154" t="str">
        <f t="shared" si="1281"/>
        <v>High_Medium_Base_Upgraded_Particulate Matter Formation Potential (PMFP) - kg PM2.5 eq_Anaerobic Digestion; wastewater treatment unit; at updated plant - US_Without Amendment_Aerated Static Pile</v>
      </c>
    </row>
    <row r="14374" spans="1:13" s="120" customFormat="1" x14ac:dyDescent="0.25">
      <c r="A14374" s="119"/>
      <c r="B14374" s="138" t="str">
        <f t="shared" si="1276"/>
        <v/>
      </c>
      <c r="C14374" s="138" t="str">
        <f t="shared" si="1277"/>
        <v/>
      </c>
      <c r="D14374" s="138" t="str">
        <f t="shared" si="1280"/>
        <v/>
      </c>
      <c r="E14374" s="138" t="str">
        <f t="shared" si="1278"/>
        <v/>
      </c>
      <c r="F14374" s="138" t="str">
        <f t="shared" si="1279"/>
        <v/>
      </c>
      <c r="G14374" s="153" t="s">
        <v>51</v>
      </c>
      <c r="H14374" s="160"/>
      <c r="I14374" s="160" t="s">
        <v>47</v>
      </c>
      <c r="J14374" s="160" t="s">
        <v>52</v>
      </c>
      <c r="K14374" s="160" t="s">
        <v>27</v>
      </c>
      <c r="L14374" s="154" t="str">
        <f>IF(OpenLCAbasic!K14374="CTUh", "Fill in Manually",IF(OR(K14374="Unit", K14374=""), "", INDEX(LookUps!$E$5:$E$12, MATCH(OpenLCAbasic!K14374,LookUps!$D$5:$D$12,0))))</f>
        <v/>
      </c>
      <c r="M14374" s="154" t="str">
        <f t="shared" si="1281"/>
        <v>____Process__</v>
      </c>
    </row>
    <row r="14375" spans="1:13" s="120" customFormat="1" x14ac:dyDescent="0.25">
      <c r="A14375" s="119"/>
      <c r="B14375" s="138" t="str">
        <f t="shared" si="1276"/>
        <v>Aerated Static Pile</v>
      </c>
      <c r="C14375" s="138" t="str">
        <f t="shared" si="1277"/>
        <v>Without Amendment</v>
      </c>
      <c r="D14375" s="138" t="str">
        <f t="shared" si="1280"/>
        <v>Medium_Base</v>
      </c>
      <c r="E14375" s="138" t="str">
        <f t="shared" si="1278"/>
        <v>High</v>
      </c>
      <c r="F14375" s="138" t="str">
        <f t="shared" si="1279"/>
        <v>Upgraded</v>
      </c>
      <c r="G14375" s="153"/>
      <c r="H14375" s="210">
        <v>0.79100000000000004</v>
      </c>
      <c r="I14375" s="160" t="s">
        <v>55</v>
      </c>
      <c r="J14375" s="160">
        <v>0.16577</v>
      </c>
      <c r="K14375" s="160" t="s">
        <v>25</v>
      </c>
      <c r="L14375" s="154" t="str">
        <f>IF(OpenLCAbasic!K14375="CTUh", "Fill in Manually",IF(OR(K14375="Unit", K14375=""), "", INDEX(LookUps!$E$5:$E$12, MATCH(OpenLCAbasic!K14375,LookUps!$D$5:$D$12,0))))</f>
        <v>Smog Formation Potential (SFP) - kg O3 eq</v>
      </c>
      <c r="M14375" s="154" t="str">
        <f t="shared" si="1281"/>
        <v>High_Medium_Base_Upgraded_Smog Formation Potential (SFP) - kg O3 eq_Aeration Tanks; wastewater treatment unit; at updated plant - US_Without Amendment_Aerated Static Pile</v>
      </c>
    </row>
    <row r="14376" spans="1:13" s="120" customFormat="1" x14ac:dyDescent="0.25">
      <c r="A14376" s="119"/>
      <c r="B14376" s="138" t="str">
        <f t="shared" si="1276"/>
        <v>Aerated Static Pile</v>
      </c>
      <c r="C14376" s="138" t="str">
        <f t="shared" si="1277"/>
        <v>Without Amendment</v>
      </c>
      <c r="D14376" s="138" t="str">
        <f t="shared" si="1280"/>
        <v>Medium_Base</v>
      </c>
      <c r="E14376" s="138" t="str">
        <f t="shared" si="1278"/>
        <v>High</v>
      </c>
      <c r="F14376" s="138" t="str">
        <f t="shared" si="1279"/>
        <v>Upgraded</v>
      </c>
      <c r="G14376" s="153"/>
      <c r="H14376" s="210">
        <v>0.22939999999999999</v>
      </c>
      <c r="I14376" s="160" t="s">
        <v>54</v>
      </c>
      <c r="J14376" s="160">
        <v>4.8070000000000002E-2</v>
      </c>
      <c r="K14376" s="160" t="s">
        <v>25</v>
      </c>
      <c r="L14376" s="154" t="str">
        <f>IF(OpenLCAbasic!K14376="CTUh", "Fill in Manually",IF(OR(K14376="Unit", K14376=""), "", INDEX(LookUps!$E$5:$E$12, MATCH(OpenLCAbasic!K14376,LookUps!$D$5:$D$12,0))))</f>
        <v>Smog Formation Potential (SFP) - kg O3 eq</v>
      </c>
      <c r="M14376" s="154" t="str">
        <f t="shared" si="1281"/>
        <v>High_Medium_Base_Upgraded_Smog Formation Potential (SFP) - kg O3 eq_Clear Cove Primary Clarification; wastewater treatment unit; at updated plant - US_Without Amendment_Aerated Static Pile</v>
      </c>
    </row>
    <row r="14377" spans="1:13" s="120" customFormat="1" x14ac:dyDescent="0.25">
      <c r="A14377" s="119"/>
      <c r="B14377" s="138" t="str">
        <f t="shared" ref="B14377:B14440" si="1282">IF(F14377="Legacy","n.a.",IF(F14377="","","Aerated Static Pile"))</f>
        <v>Aerated Static Pile</v>
      </c>
      <c r="C14377" s="138" t="str">
        <f t="shared" ref="C14377:C14440" si="1283">IF(ISNUMBER($J14377),"Without Amendment","")</f>
        <v>Without Amendment</v>
      </c>
      <c r="D14377" s="138" t="str">
        <f t="shared" si="1280"/>
        <v>Medium_Base</v>
      </c>
      <c r="E14377" s="138" t="str">
        <f t="shared" ref="E14377:E14440" si="1284">IF(ISNUMBER($J14377),"High","")</f>
        <v>High</v>
      </c>
      <c r="F14377" s="138" t="str">
        <f t="shared" ref="F14377:F14440" si="1285">IF(ISNUMBER(J14377),"Upgraded","")</f>
        <v>Upgraded</v>
      </c>
      <c r="G14377" s="153"/>
      <c r="H14377" s="210">
        <v>0.2</v>
      </c>
      <c r="I14377" s="160" t="s">
        <v>58</v>
      </c>
      <c r="J14377" s="160">
        <v>4.1919999999999999E-2</v>
      </c>
      <c r="K14377" s="160" t="s">
        <v>25</v>
      </c>
      <c r="L14377" s="154" t="str">
        <f>IF(OpenLCAbasic!K14377="CTUh", "Fill in Manually",IF(OR(K14377="Unit", K14377=""), "", INDEX(LookUps!$E$5:$E$12, MATCH(OpenLCAbasic!K14377,LookUps!$D$5:$D$12,0))))</f>
        <v>Smog Formation Potential (SFP) - kg O3 eq</v>
      </c>
      <c r="M14377" s="154" t="str">
        <f t="shared" si="1281"/>
        <v>High_Medium_Base_Upgraded_Smog Formation Potential (SFP) - kg O3 eq_Pre-Anoxic &amp; Swing tank; wastewater treatment unit; at updated plant - US_Without Amendment_Aerated Static Pile</v>
      </c>
    </row>
    <row r="14378" spans="1:13" s="120" customFormat="1" x14ac:dyDescent="0.25">
      <c r="A14378" s="119"/>
      <c r="B14378" s="138" t="str">
        <f t="shared" si="1282"/>
        <v>Aerated Static Pile</v>
      </c>
      <c r="C14378" s="138" t="str">
        <f t="shared" si="1283"/>
        <v>Without Amendment</v>
      </c>
      <c r="D14378" s="138" t="str">
        <f t="shared" si="1280"/>
        <v>Medium_Base</v>
      </c>
      <c r="E14378" s="138" t="str">
        <f t="shared" si="1284"/>
        <v>High</v>
      </c>
      <c r="F14378" s="138" t="str">
        <f t="shared" si="1285"/>
        <v>Upgraded</v>
      </c>
      <c r="G14378" s="153"/>
      <c r="H14378" s="210">
        <v>0.15809999999999999</v>
      </c>
      <c r="I14378" s="160" t="s">
        <v>53</v>
      </c>
      <c r="J14378" s="160">
        <v>3.313E-2</v>
      </c>
      <c r="K14378" s="160" t="s">
        <v>25</v>
      </c>
      <c r="L14378" s="154" t="str">
        <f>IF(OpenLCAbasic!K14378="CTUh", "Fill in Manually",IF(OR(K14378="Unit", K14378=""), "", INDEX(LookUps!$E$5:$E$12, MATCH(OpenLCAbasic!K14378,LookUps!$D$5:$D$12,0))))</f>
        <v>Smog Formation Potential (SFP) - kg O3 eq</v>
      </c>
      <c r="M14378" s="154" t="str">
        <f t="shared" si="1281"/>
        <v>High_Medium_Base_Upgraded_Smog Formation Potential (SFP) - kg O3 eq_Wet Well and Sump Station; wastewater treatment unit; at updated plant - US_Without Amendment_Aerated Static Pile</v>
      </c>
    </row>
    <row r="14379" spans="1:13" s="120" customFormat="1" x14ac:dyDescent="0.25">
      <c r="A14379" s="119"/>
      <c r="B14379" s="138" t="str">
        <f t="shared" si="1282"/>
        <v>Aerated Static Pile</v>
      </c>
      <c r="C14379" s="138" t="str">
        <f t="shared" si="1283"/>
        <v>Without Amendment</v>
      </c>
      <c r="D14379" s="138" t="str">
        <f t="shared" si="1280"/>
        <v>Medium_Base</v>
      </c>
      <c r="E14379" s="138" t="str">
        <f t="shared" si="1284"/>
        <v>High</v>
      </c>
      <c r="F14379" s="138" t="str">
        <f t="shared" si="1285"/>
        <v>Upgraded</v>
      </c>
      <c r="G14379" s="153"/>
      <c r="H14379" s="210">
        <v>0.14649999999999999</v>
      </c>
      <c r="I14379" s="160" t="s">
        <v>167</v>
      </c>
      <c r="J14379" s="160">
        <v>3.0710000000000001E-2</v>
      </c>
      <c r="K14379" s="160" t="s">
        <v>25</v>
      </c>
      <c r="L14379" s="154" t="str">
        <f>IF(OpenLCAbasic!K14379="CTUh", "Fill in Manually",IF(OR(K14379="Unit", K14379=""), "", INDEX(LookUps!$E$5:$E$12, MATCH(OpenLCAbasic!K14379,LookUps!$D$5:$D$12,0))))</f>
        <v>Smog Formation Potential (SFP) - kg O3 eq</v>
      </c>
      <c r="M14379" s="154" t="str">
        <f t="shared" si="1281"/>
        <v>High_Medium_Base_Upgraded_Smog Formation Potential (SFP) - kg O3 eq_Waste Receiving and Holding; wastewater treatment unit; at updated plant - US_Without Amendment_Aerated Static Pile</v>
      </c>
    </row>
    <row r="14380" spans="1:13" s="120" customFormat="1" x14ac:dyDescent="0.25">
      <c r="A14380" s="119"/>
      <c r="B14380" s="138" t="str">
        <f t="shared" si="1282"/>
        <v>Aerated Static Pile</v>
      </c>
      <c r="C14380" s="138" t="str">
        <f t="shared" si="1283"/>
        <v>Without Amendment</v>
      </c>
      <c r="D14380" s="138" t="str">
        <f t="shared" si="1280"/>
        <v>Medium_Base</v>
      </c>
      <c r="E14380" s="138" t="str">
        <f t="shared" si="1284"/>
        <v>High</v>
      </c>
      <c r="F14380" s="138" t="str">
        <f t="shared" si="1285"/>
        <v>Upgraded</v>
      </c>
      <c r="G14380" s="153"/>
      <c r="H14380" s="210">
        <v>0.10589999999999999</v>
      </c>
      <c r="I14380" s="160" t="s">
        <v>435</v>
      </c>
      <c r="J14380" s="160">
        <v>2.2190000000000001E-2</v>
      </c>
      <c r="K14380" s="160" t="s">
        <v>25</v>
      </c>
      <c r="L14380" s="154" t="str">
        <f>IF(OpenLCAbasic!K14380="CTUh", "Fill in Manually",IF(OR(K14380="Unit", K14380=""), "", INDEX(LookUps!$E$5:$E$12, MATCH(OpenLCAbasic!K14380,LookUps!$D$5:$D$12,0))))</f>
        <v>Smog Formation Potential (SFP) - kg O3 eq</v>
      </c>
      <c r="M14380" s="154" t="str">
        <f t="shared" si="1281"/>
        <v>High_Medium_Base_Upgraded_Smog Formation Potential (SFP) - kg O3 eq_Biosolids composting; aerated static pile; wastewater treatment unit; at updated plant - US_Without Amendment_Aerated Static Pile</v>
      </c>
    </row>
    <row r="14381" spans="1:13" s="120" customFormat="1" x14ac:dyDescent="0.25">
      <c r="A14381" s="119"/>
      <c r="B14381" s="138" t="str">
        <f t="shared" si="1282"/>
        <v>Aerated Static Pile</v>
      </c>
      <c r="C14381" s="138" t="str">
        <f t="shared" si="1283"/>
        <v>Without Amendment</v>
      </c>
      <c r="D14381" s="138" t="str">
        <f t="shared" si="1280"/>
        <v>Medium_Base</v>
      </c>
      <c r="E14381" s="138" t="str">
        <f t="shared" si="1284"/>
        <v>High</v>
      </c>
      <c r="F14381" s="138" t="str">
        <f t="shared" si="1285"/>
        <v>Upgraded</v>
      </c>
      <c r="G14381" s="153"/>
      <c r="H14381" s="210">
        <v>9.2600000000000002E-2</v>
      </c>
      <c r="I14381" s="160" t="s">
        <v>147</v>
      </c>
      <c r="J14381" s="160">
        <v>1.9400000000000001E-2</v>
      </c>
      <c r="K14381" s="160" t="s">
        <v>25</v>
      </c>
      <c r="L14381" s="154" t="str">
        <f>IF(OpenLCAbasic!K14381="CTUh", "Fill in Manually",IF(OR(K14381="Unit", K14381=""), "", INDEX(LookUps!$E$5:$E$12, MATCH(OpenLCAbasic!K14381,LookUps!$D$5:$D$12,0))))</f>
        <v>Smog Formation Potential (SFP) - kg O3 eq</v>
      </c>
      <c r="M14381" s="154" t="str">
        <f t="shared" si="1281"/>
        <v>High_Medium_Base_Upgraded_Smog Formation Potential (SFP) - kg O3 eq_Influent Pump Station; wastewater treatment unit; at updated plant - US_Without Amendment_Aerated Static Pile</v>
      </c>
    </row>
    <row r="14382" spans="1:13" s="120" customFormat="1" x14ac:dyDescent="0.25">
      <c r="A14382" s="119"/>
      <c r="B14382" s="138" t="str">
        <f t="shared" si="1282"/>
        <v>Aerated Static Pile</v>
      </c>
      <c r="C14382" s="138" t="str">
        <f t="shared" si="1283"/>
        <v>Without Amendment</v>
      </c>
      <c r="D14382" s="138" t="str">
        <f t="shared" si="1280"/>
        <v>Medium_Base</v>
      </c>
      <c r="E14382" s="138" t="str">
        <f t="shared" si="1284"/>
        <v>High</v>
      </c>
      <c r="F14382" s="138" t="str">
        <f t="shared" si="1285"/>
        <v>Upgraded</v>
      </c>
      <c r="G14382" s="153"/>
      <c r="H14382" s="210">
        <v>5.6899999999999999E-2</v>
      </c>
      <c r="I14382" s="160" t="s">
        <v>128</v>
      </c>
      <c r="J14382" s="160">
        <v>1.192E-2</v>
      </c>
      <c r="K14382" s="160" t="s">
        <v>25</v>
      </c>
      <c r="L14382" s="154" t="str">
        <f>IF(OpenLCAbasic!K14382="CTUh", "Fill in Manually",IF(OR(K14382="Unit", K14382=""), "", INDEX(LookUps!$E$5:$E$12, MATCH(OpenLCAbasic!K14382,LookUps!$D$5:$D$12,0))))</f>
        <v>Smog Formation Potential (SFP) - kg O3 eq</v>
      </c>
      <c r="M14382" s="154" t="str">
        <f t="shared" si="1281"/>
        <v>High_Medium_Base_Upgraded_Smog Formation Potential (SFP) - kg O3 eq_Wastewater collection; operation and infrastructure; m3 wastewater_Without Amendment_Aerated Static Pile</v>
      </c>
    </row>
    <row r="14383" spans="1:13" s="120" customFormat="1" x14ac:dyDescent="0.25">
      <c r="A14383" s="119"/>
      <c r="B14383" s="138" t="str">
        <f t="shared" si="1282"/>
        <v>Aerated Static Pile</v>
      </c>
      <c r="C14383" s="138" t="str">
        <f t="shared" si="1283"/>
        <v>Without Amendment</v>
      </c>
      <c r="D14383" s="138" t="str">
        <f t="shared" si="1280"/>
        <v>Medium_Base</v>
      </c>
      <c r="E14383" s="138" t="str">
        <f t="shared" si="1284"/>
        <v>High</v>
      </c>
      <c r="F14383" s="138" t="str">
        <f t="shared" si="1285"/>
        <v>Upgraded</v>
      </c>
      <c r="G14383" s="153"/>
      <c r="H14383" s="210">
        <v>4.8399999999999999E-2</v>
      </c>
      <c r="I14383" s="160" t="s">
        <v>60</v>
      </c>
      <c r="J14383" s="160">
        <v>1.014E-2</v>
      </c>
      <c r="K14383" s="160" t="s">
        <v>25</v>
      </c>
      <c r="L14383" s="154" t="str">
        <f>IF(OpenLCAbasic!K14383="CTUh", "Fill in Manually",IF(OR(K14383="Unit", K14383=""), "", INDEX(LookUps!$E$5:$E$12, MATCH(OpenLCAbasic!K14383,LookUps!$D$5:$D$12,0))))</f>
        <v>Smog Formation Potential (SFP) - kg O3 eq</v>
      </c>
      <c r="M14383" s="154" t="str">
        <f t="shared" si="1281"/>
        <v>High_Medium_Base_Upgraded_Smog Formation Potential (SFP) - kg O3 eq_Belt filter press; wastewater treatment unit; at updated plant - US_Without Amendment_Aerated Static Pile</v>
      </c>
    </row>
    <row r="14384" spans="1:13" s="120" customFormat="1" x14ac:dyDescent="0.25">
      <c r="A14384" s="119"/>
      <c r="B14384" s="138" t="str">
        <f t="shared" si="1282"/>
        <v>Aerated Static Pile</v>
      </c>
      <c r="C14384" s="138" t="str">
        <f t="shared" si="1283"/>
        <v>Without Amendment</v>
      </c>
      <c r="D14384" s="138" t="str">
        <f t="shared" si="1280"/>
        <v>Medium_Base</v>
      </c>
      <c r="E14384" s="138" t="str">
        <f t="shared" si="1284"/>
        <v>High</v>
      </c>
      <c r="F14384" s="138" t="str">
        <f t="shared" si="1285"/>
        <v>Upgraded</v>
      </c>
      <c r="G14384" s="153"/>
      <c r="H14384" s="210">
        <v>3.1699999999999999E-2</v>
      </c>
      <c r="I14384" s="160" t="s">
        <v>57</v>
      </c>
      <c r="J14384" s="160">
        <v>6.6499999999999997E-3</v>
      </c>
      <c r="K14384" s="160" t="s">
        <v>25</v>
      </c>
      <c r="L14384" s="154" t="str">
        <f>IF(OpenLCAbasic!K14384="CTUh", "Fill in Manually",IF(OR(K14384="Unit", K14384=""), "", INDEX(LookUps!$E$5:$E$12, MATCH(OpenLCAbasic!K14384,LookUps!$D$5:$D$12,0))))</f>
        <v>Smog Formation Potential (SFP) - kg O3 eq</v>
      </c>
      <c r="M14384" s="154" t="str">
        <f t="shared" si="1281"/>
        <v>High_Medium_Base_Upgraded_Smog Formation Potential (SFP) - kg O3 eq_Gravity Belt Thickener; wastewater treatment unit; at updated plant - US_Without Amendment_Aerated Static Pile</v>
      </c>
    </row>
    <row r="14385" spans="1:13" s="120" customFormat="1" x14ac:dyDescent="0.25">
      <c r="A14385" s="119"/>
      <c r="B14385" s="138" t="str">
        <f t="shared" si="1282"/>
        <v>Aerated Static Pile</v>
      </c>
      <c r="C14385" s="138" t="str">
        <f t="shared" si="1283"/>
        <v>Without Amendment</v>
      </c>
      <c r="D14385" s="138" t="str">
        <f t="shared" si="1280"/>
        <v>Medium_Base</v>
      </c>
      <c r="E14385" s="138" t="str">
        <f t="shared" si="1284"/>
        <v>High</v>
      </c>
      <c r="F14385" s="138" t="str">
        <f t="shared" si="1285"/>
        <v>Upgraded</v>
      </c>
      <c r="G14385" s="153"/>
      <c r="H14385" s="210">
        <v>2.3699999999999999E-2</v>
      </c>
      <c r="I14385" s="160" t="s">
        <v>59</v>
      </c>
      <c r="J14385" s="160">
        <v>4.9699999999999996E-3</v>
      </c>
      <c r="K14385" s="160" t="s">
        <v>25</v>
      </c>
      <c r="L14385" s="154" t="str">
        <f>IF(OpenLCAbasic!K14385="CTUh", "Fill in Manually",IF(OR(K14385="Unit", K14385=""), "", INDEX(LookUps!$E$5:$E$12, MATCH(OpenLCAbasic!K14385,LookUps!$D$5:$D$12,0))))</f>
        <v>Smog Formation Potential (SFP) - kg O3 eq</v>
      </c>
      <c r="M14385" s="154" t="str">
        <f t="shared" si="1281"/>
        <v>High_Medium_Base_Upgraded_Smog Formation Potential (SFP) - kg O3 eq_Blend Tank; wastewater treatment unit; at updated plant - US_Without Amendment_Aerated Static Pile</v>
      </c>
    </row>
    <row r="14386" spans="1:13" s="120" customFormat="1" x14ac:dyDescent="0.25">
      <c r="A14386" s="119"/>
      <c r="B14386" s="138" t="str">
        <f t="shared" si="1282"/>
        <v>Aerated Static Pile</v>
      </c>
      <c r="C14386" s="138" t="str">
        <f t="shared" si="1283"/>
        <v>Without Amendment</v>
      </c>
      <c r="D14386" s="138" t="str">
        <f t="shared" si="1280"/>
        <v>Medium_Base</v>
      </c>
      <c r="E14386" s="138" t="str">
        <f t="shared" si="1284"/>
        <v>High</v>
      </c>
      <c r="F14386" s="138" t="str">
        <f t="shared" si="1285"/>
        <v>Upgraded</v>
      </c>
      <c r="G14386" s="153"/>
      <c r="H14386" s="210">
        <v>1.6199999999999999E-2</v>
      </c>
      <c r="I14386" s="160" t="s">
        <v>48</v>
      </c>
      <c r="J14386" s="160">
        <v>3.3899999999999998E-3</v>
      </c>
      <c r="K14386" s="160" t="s">
        <v>25</v>
      </c>
      <c r="L14386" s="154" t="str">
        <f>IF(OpenLCAbasic!K14386="CTUh", "Fill in Manually",IF(OR(K14386="Unit", K14386=""), "", INDEX(LookUps!$E$5:$E$12, MATCH(OpenLCAbasic!K14386,LookUps!$D$5:$D$12,0))))</f>
        <v>Smog Formation Potential (SFP) - kg O3 eq</v>
      </c>
      <c r="M14386" s="154" t="str">
        <f t="shared" si="1281"/>
        <v>High_Medium_Base_Upgraded_Smog Formation Potential (SFP) - kg O3 eq_Effluent release; wastewater treatment unit; at surface water; m3 wastewater - US_Without Amendment_Aerated Static Pile</v>
      </c>
    </row>
    <row r="14387" spans="1:13" s="120" customFormat="1" x14ac:dyDescent="0.25">
      <c r="A14387" s="119"/>
      <c r="B14387" s="138" t="str">
        <f t="shared" si="1282"/>
        <v>Aerated Static Pile</v>
      </c>
      <c r="C14387" s="138" t="str">
        <f t="shared" si="1283"/>
        <v>Without Amendment</v>
      </c>
      <c r="D14387" s="138" t="str">
        <f t="shared" si="1280"/>
        <v>Medium_Base</v>
      </c>
      <c r="E14387" s="138" t="str">
        <f t="shared" si="1284"/>
        <v>High</v>
      </c>
      <c r="F14387" s="138" t="str">
        <f t="shared" si="1285"/>
        <v>Upgraded</v>
      </c>
      <c r="G14387" s="153"/>
      <c r="H14387" s="210">
        <v>1.17E-2</v>
      </c>
      <c r="I14387" s="160" t="s">
        <v>168</v>
      </c>
      <c r="J14387" s="160">
        <v>2.4599999999999999E-3</v>
      </c>
      <c r="K14387" s="160" t="s">
        <v>25</v>
      </c>
      <c r="L14387" s="154" t="str">
        <f>IF(OpenLCAbasic!K14387="CTUh", "Fill in Manually",IF(OR(K14387="Unit", K14387=""), "", INDEX(LookUps!$E$5:$E$12, MATCH(OpenLCAbasic!K14387,LookUps!$D$5:$D$12,0))))</f>
        <v>Smog Formation Potential (SFP) - kg O3 eq</v>
      </c>
      <c r="M14387" s="154" t="str">
        <f t="shared" si="1281"/>
        <v>High_Medium_Base_Upgraded_Smog Formation Potential (SFP) - kg O3 eq_ClearCove SCP; wastewater treatment unit; at updated plant - US_Without Amendment_Aerated Static Pile</v>
      </c>
    </row>
    <row r="14388" spans="1:13" s="120" customFormat="1" x14ac:dyDescent="0.25">
      <c r="A14388" s="119"/>
      <c r="B14388" s="138" t="str">
        <f t="shared" si="1282"/>
        <v>Aerated Static Pile</v>
      </c>
      <c r="C14388" s="138" t="str">
        <f t="shared" si="1283"/>
        <v>Without Amendment</v>
      </c>
      <c r="D14388" s="138" t="str">
        <f t="shared" si="1280"/>
        <v>Medium_Base</v>
      </c>
      <c r="E14388" s="138" t="str">
        <f t="shared" si="1284"/>
        <v>High</v>
      </c>
      <c r="F14388" s="138" t="str">
        <f t="shared" si="1285"/>
        <v>Upgraded</v>
      </c>
      <c r="G14388" s="153"/>
      <c r="H14388" s="210">
        <v>2.5999999999999999E-3</v>
      </c>
      <c r="I14388" s="160" t="s">
        <v>148</v>
      </c>
      <c r="J14388" s="160">
        <v>5.4000000000000001E-4</v>
      </c>
      <c r="K14388" s="160" t="s">
        <v>25</v>
      </c>
      <c r="L14388" s="154" t="str">
        <f>IF(OpenLCAbasic!K14388="CTUh", "Fill in Manually",IF(OR(K14388="Unit", K14388=""), "", INDEX(LookUps!$E$5:$E$12, MATCH(OpenLCAbasic!K14388,LookUps!$D$5:$D$12,0))))</f>
        <v>Smog Formation Potential (SFP) - kg O3 eq</v>
      </c>
      <c r="M14388" s="154" t="str">
        <f t="shared" si="1281"/>
        <v>High_Medium_Base_Upgraded_Smog Formation Potential (SFP) - kg O3 eq_Control Building; at upgraded wastewater treatment plant - US_Without Amendment_Aerated Static Pile</v>
      </c>
    </row>
    <row r="14389" spans="1:13" s="120" customFormat="1" x14ac:dyDescent="0.25">
      <c r="A14389" s="119"/>
      <c r="B14389" s="138" t="str">
        <f t="shared" si="1282"/>
        <v>Aerated Static Pile</v>
      </c>
      <c r="C14389" s="138" t="str">
        <f t="shared" si="1283"/>
        <v>Without Amendment</v>
      </c>
      <c r="D14389" s="138" t="str">
        <f t="shared" si="1280"/>
        <v>Medium_Base</v>
      </c>
      <c r="E14389" s="138" t="str">
        <f t="shared" si="1284"/>
        <v>High</v>
      </c>
      <c r="F14389" s="138" t="str">
        <f t="shared" si="1285"/>
        <v>Upgraded</v>
      </c>
      <c r="G14389" s="153"/>
      <c r="H14389" s="210">
        <v>-1.0999999999999999E-2</v>
      </c>
      <c r="I14389" s="160" t="s">
        <v>62</v>
      </c>
      <c r="J14389" s="160">
        <v>-2.31E-3</v>
      </c>
      <c r="K14389" s="160" t="s">
        <v>25</v>
      </c>
      <c r="L14389" s="154" t="str">
        <f>IF(OpenLCAbasic!K14389="CTUh", "Fill in Manually",IF(OR(K14389="Unit", K14389=""), "", INDEX(LookUps!$E$5:$E$12, MATCH(OpenLCAbasic!K14389,LookUps!$D$5:$D$12,0))))</f>
        <v>Smog Formation Potential (SFP) - kg O3 eq</v>
      </c>
      <c r="M14389" s="154" t="str">
        <f t="shared" si="1281"/>
        <v>High_Medium_Base_Upgraded_Smog Formation Potential (SFP) - kg O3 eq_Land application of compost; wastewater treatment unit; at updated plant - US_Without Amendment_Aerated Static Pile</v>
      </c>
    </row>
    <row r="14390" spans="1:13" s="120" customFormat="1" x14ac:dyDescent="0.25">
      <c r="A14390" s="119"/>
      <c r="B14390" s="138" t="str">
        <f t="shared" si="1282"/>
        <v>Aerated Static Pile</v>
      </c>
      <c r="C14390" s="138" t="str">
        <f t="shared" si="1283"/>
        <v>Without Amendment</v>
      </c>
      <c r="D14390" s="138" t="str">
        <f t="shared" si="1280"/>
        <v>Medium_Base</v>
      </c>
      <c r="E14390" s="138" t="str">
        <f t="shared" si="1284"/>
        <v>High</v>
      </c>
      <c r="F14390" s="138" t="str">
        <f t="shared" si="1285"/>
        <v>Upgraded</v>
      </c>
      <c r="G14390" s="153"/>
      <c r="H14390" s="210">
        <v>-0.90349999999999997</v>
      </c>
      <c r="I14390" s="160" t="s">
        <v>149</v>
      </c>
      <c r="J14390" s="160">
        <v>-0.18936</v>
      </c>
      <c r="K14390" s="160" t="s">
        <v>25</v>
      </c>
      <c r="L14390" s="154" t="str">
        <f>IF(OpenLCAbasic!K14390="CTUh", "Fill in Manually",IF(OR(K14390="Unit", K14390=""), "", INDEX(LookUps!$E$5:$E$12, MATCH(OpenLCAbasic!K14390,LookUps!$D$5:$D$12,0))))</f>
        <v>Smog Formation Potential (SFP) - kg O3 eq</v>
      </c>
      <c r="M14390" s="154" t="str">
        <f t="shared" si="1281"/>
        <v>High_Medium_Base_Upgraded_Smog Formation Potential (SFP) - kg O3 eq_Anaerobic Digestion; wastewater treatment unit; at updated plant - US_Without Amendment_Aerated Static Pile</v>
      </c>
    </row>
    <row r="14391" spans="1:13" s="120" customFormat="1" x14ac:dyDescent="0.25">
      <c r="A14391" s="119"/>
      <c r="B14391" s="138" t="str">
        <f t="shared" si="1282"/>
        <v/>
      </c>
      <c r="C14391" s="138" t="str">
        <f t="shared" si="1283"/>
        <v/>
      </c>
      <c r="D14391" s="138" t="str">
        <f t="shared" si="1280"/>
        <v/>
      </c>
      <c r="E14391" s="138" t="str">
        <f t="shared" si="1284"/>
        <v/>
      </c>
      <c r="F14391" s="138" t="str">
        <f t="shared" si="1285"/>
        <v/>
      </c>
      <c r="G14391" s="153" t="s">
        <v>51</v>
      </c>
      <c r="H14391" s="160"/>
      <c r="I14391" s="160" t="s">
        <v>47</v>
      </c>
      <c r="J14391" s="160" t="s">
        <v>52</v>
      </c>
      <c r="K14391" s="160" t="s">
        <v>27</v>
      </c>
      <c r="L14391" s="154" t="str">
        <f>IF(OpenLCAbasic!K14391="CTUh", "Fill in Manually",IF(OR(K14391="Unit", K14391=""), "", INDEX(LookUps!$E$5:$E$12, MATCH(OpenLCAbasic!K14391,LookUps!$D$5:$D$12,0))))</f>
        <v/>
      </c>
      <c r="M14391" s="154" t="str">
        <f t="shared" si="1281"/>
        <v>____Process__</v>
      </c>
    </row>
    <row r="14392" spans="1:13" s="120" customFormat="1" x14ac:dyDescent="0.25">
      <c r="A14392" s="119"/>
      <c r="B14392" s="138" t="str">
        <f t="shared" si="1282"/>
        <v>Aerated Static Pile</v>
      </c>
      <c r="C14392" s="138" t="str">
        <f t="shared" si="1283"/>
        <v>Without Amendment</v>
      </c>
      <c r="D14392" s="138" t="str">
        <f t="shared" si="1280"/>
        <v>Medium_Base</v>
      </c>
      <c r="E14392" s="138" t="str">
        <f t="shared" si="1284"/>
        <v>High</v>
      </c>
      <c r="F14392" s="138" t="str">
        <f t="shared" si="1285"/>
        <v>Upgraded</v>
      </c>
      <c r="G14392" s="153"/>
      <c r="H14392" s="210">
        <v>1.7638</v>
      </c>
      <c r="I14392" s="160" t="s">
        <v>167</v>
      </c>
      <c r="J14392" s="160">
        <v>2.7999999999999998E-4</v>
      </c>
      <c r="K14392" s="160" t="s">
        <v>26</v>
      </c>
      <c r="L14392" s="154" t="str">
        <f>IF(OpenLCAbasic!K14392="CTUh", "Fill in Manually",IF(OR(K14392="Unit", K14392=""), "", INDEX(LookUps!$E$5:$E$12, MATCH(OpenLCAbasic!K14392,LookUps!$D$5:$D$12,0))))</f>
        <v>Water Use (WU) - m3 H2O</v>
      </c>
      <c r="M14392" s="154" t="str">
        <f t="shared" si="1281"/>
        <v>High_Medium_Base_Upgraded_Water Use (WU) - m3 H2O_Waste Receiving and Holding; wastewater treatment unit; at updated plant - US_Without Amendment_Aerated Static Pile</v>
      </c>
    </row>
    <row r="14393" spans="1:13" s="120" customFormat="1" x14ac:dyDescent="0.25">
      <c r="A14393" s="119"/>
      <c r="B14393" s="138" t="str">
        <f t="shared" si="1282"/>
        <v>Aerated Static Pile</v>
      </c>
      <c r="C14393" s="138" t="str">
        <f t="shared" si="1283"/>
        <v>Without Amendment</v>
      </c>
      <c r="D14393" s="138" t="str">
        <f t="shared" si="1280"/>
        <v>Medium_Base</v>
      </c>
      <c r="E14393" s="138" t="str">
        <f t="shared" si="1284"/>
        <v>High</v>
      </c>
      <c r="F14393" s="138" t="str">
        <f t="shared" si="1285"/>
        <v>Upgraded</v>
      </c>
      <c r="G14393" s="153"/>
      <c r="H14393" s="210">
        <v>1.1513</v>
      </c>
      <c r="I14393" s="160" t="s">
        <v>147</v>
      </c>
      <c r="J14393" s="160">
        <v>1.8000000000000001E-4</v>
      </c>
      <c r="K14393" s="160" t="s">
        <v>26</v>
      </c>
      <c r="L14393" s="154" t="str">
        <f>IF(OpenLCAbasic!K14393="CTUh", "Fill in Manually",IF(OR(K14393="Unit", K14393=""), "", INDEX(LookUps!$E$5:$E$12, MATCH(OpenLCAbasic!K14393,LookUps!$D$5:$D$12,0))))</f>
        <v>Water Use (WU) - m3 H2O</v>
      </c>
      <c r="M14393" s="154" t="str">
        <f t="shared" si="1281"/>
        <v>High_Medium_Base_Upgraded_Water Use (WU) - m3 H2O_Influent Pump Station; wastewater treatment unit; at updated plant - US_Without Amendment_Aerated Static Pile</v>
      </c>
    </row>
    <row r="14394" spans="1:13" s="120" customFormat="1" x14ac:dyDescent="0.25">
      <c r="A14394" s="119"/>
      <c r="B14394" s="138" t="str">
        <f t="shared" si="1282"/>
        <v>Aerated Static Pile</v>
      </c>
      <c r="C14394" s="138" t="str">
        <f t="shared" si="1283"/>
        <v>Without Amendment</v>
      </c>
      <c r="D14394" s="138" t="str">
        <f t="shared" si="1280"/>
        <v>Medium_Base</v>
      </c>
      <c r="E14394" s="138" t="str">
        <f t="shared" si="1284"/>
        <v>High</v>
      </c>
      <c r="F14394" s="138" t="str">
        <f t="shared" si="1285"/>
        <v>Upgraded</v>
      </c>
      <c r="G14394" s="153"/>
      <c r="H14394" s="210">
        <v>1.1234</v>
      </c>
      <c r="I14394" s="160" t="s">
        <v>54</v>
      </c>
      <c r="J14394" s="160">
        <v>1.8000000000000001E-4</v>
      </c>
      <c r="K14394" s="160" t="s">
        <v>26</v>
      </c>
      <c r="L14394" s="154" t="str">
        <f>IF(OpenLCAbasic!K14394="CTUh", "Fill in Manually",IF(OR(K14394="Unit", K14394=""), "", INDEX(LookUps!$E$5:$E$12, MATCH(OpenLCAbasic!K14394,LookUps!$D$5:$D$12,0))))</f>
        <v>Water Use (WU) - m3 H2O</v>
      </c>
      <c r="M14394" s="154" t="str">
        <f t="shared" si="1281"/>
        <v>High_Medium_Base_Upgraded_Water Use (WU) - m3 H2O_Clear Cove Primary Clarification; wastewater treatment unit; at updated plant - US_Without Amendment_Aerated Static Pile</v>
      </c>
    </row>
    <row r="14395" spans="1:13" s="120" customFormat="1" x14ac:dyDescent="0.25">
      <c r="A14395" s="119"/>
      <c r="B14395" s="138" t="str">
        <f t="shared" si="1282"/>
        <v>Aerated Static Pile</v>
      </c>
      <c r="C14395" s="138" t="str">
        <f t="shared" si="1283"/>
        <v>Without Amendment</v>
      </c>
      <c r="D14395" s="138" t="str">
        <f t="shared" si="1280"/>
        <v>Medium_Base</v>
      </c>
      <c r="E14395" s="138" t="str">
        <f t="shared" si="1284"/>
        <v>High</v>
      </c>
      <c r="F14395" s="138" t="str">
        <f t="shared" si="1285"/>
        <v>Upgraded</v>
      </c>
      <c r="G14395" s="153"/>
      <c r="H14395" s="210">
        <v>1.0190999999999999</v>
      </c>
      <c r="I14395" s="160" t="s">
        <v>55</v>
      </c>
      <c r="J14395" s="160">
        <v>1.6000000000000001E-4</v>
      </c>
      <c r="K14395" s="160" t="s">
        <v>26</v>
      </c>
      <c r="L14395" s="154" t="str">
        <f>IF(OpenLCAbasic!K14395="CTUh", "Fill in Manually",IF(OR(K14395="Unit", K14395=""), "", INDEX(LookUps!$E$5:$E$12, MATCH(OpenLCAbasic!K14395,LookUps!$D$5:$D$12,0))))</f>
        <v>Water Use (WU) - m3 H2O</v>
      </c>
      <c r="M14395" s="154" t="str">
        <f t="shared" si="1281"/>
        <v>High_Medium_Base_Upgraded_Water Use (WU) - m3 H2O_Aeration Tanks; wastewater treatment unit; at updated plant - US_Without Amendment_Aerated Static Pile</v>
      </c>
    </row>
    <row r="14396" spans="1:13" s="120" customFormat="1" x14ac:dyDescent="0.25">
      <c r="A14396" s="119"/>
      <c r="B14396" s="138" t="str">
        <f t="shared" si="1282"/>
        <v>Aerated Static Pile</v>
      </c>
      <c r="C14396" s="138" t="str">
        <f t="shared" si="1283"/>
        <v>Without Amendment</v>
      </c>
      <c r="D14396" s="138" t="str">
        <f t="shared" si="1280"/>
        <v>Medium_Base</v>
      </c>
      <c r="E14396" s="138" t="str">
        <f t="shared" si="1284"/>
        <v>High</v>
      </c>
      <c r="F14396" s="138" t="str">
        <f t="shared" si="1285"/>
        <v>Upgraded</v>
      </c>
      <c r="G14396" s="153"/>
      <c r="H14396" s="210">
        <v>0.92830000000000001</v>
      </c>
      <c r="I14396" s="160" t="s">
        <v>148</v>
      </c>
      <c r="J14396" s="160">
        <v>1.4999999999999999E-4</v>
      </c>
      <c r="K14396" s="160" t="s">
        <v>26</v>
      </c>
      <c r="L14396" s="154" t="str">
        <f>IF(OpenLCAbasic!K14396="CTUh", "Fill in Manually",IF(OR(K14396="Unit", K14396=""), "", INDEX(LookUps!$E$5:$E$12, MATCH(OpenLCAbasic!K14396,LookUps!$D$5:$D$12,0))))</f>
        <v>Water Use (WU) - m3 H2O</v>
      </c>
      <c r="M14396" s="154" t="str">
        <f t="shared" si="1281"/>
        <v>High_Medium_Base_Upgraded_Water Use (WU) - m3 H2O_Control Building; at upgraded wastewater treatment plant - US_Without Amendment_Aerated Static Pile</v>
      </c>
    </row>
    <row r="14397" spans="1:13" s="120" customFormat="1" x14ac:dyDescent="0.25">
      <c r="A14397" s="119"/>
      <c r="B14397" s="138" t="str">
        <f t="shared" si="1282"/>
        <v>Aerated Static Pile</v>
      </c>
      <c r="C14397" s="138" t="str">
        <f t="shared" si="1283"/>
        <v>Without Amendment</v>
      </c>
      <c r="D14397" s="138" t="str">
        <f t="shared" si="1280"/>
        <v>Medium_Base</v>
      </c>
      <c r="E14397" s="138" t="str">
        <f t="shared" si="1284"/>
        <v>High</v>
      </c>
      <c r="F14397" s="138" t="str">
        <f t="shared" si="1285"/>
        <v>Upgraded</v>
      </c>
      <c r="G14397" s="153"/>
      <c r="H14397" s="210">
        <v>0.43109999999999998</v>
      </c>
      <c r="I14397" s="160" t="s">
        <v>48</v>
      </c>
      <c r="J14397" s="211">
        <v>6.8836400000000004E-5</v>
      </c>
      <c r="K14397" s="160" t="s">
        <v>26</v>
      </c>
      <c r="L14397" s="154" t="str">
        <f>IF(OpenLCAbasic!K14397="CTUh", "Fill in Manually",IF(OR(K14397="Unit", K14397=""), "", INDEX(LookUps!$E$5:$E$12, MATCH(OpenLCAbasic!K14397,LookUps!$D$5:$D$12,0))))</f>
        <v>Water Use (WU) - m3 H2O</v>
      </c>
      <c r="M14397" s="154" t="str">
        <f t="shared" si="1281"/>
        <v>High_Medium_Base_Upgraded_Water Use (WU) - m3 H2O_Effluent release; wastewater treatment unit; at surface water; m3 wastewater - US_Without Amendment_Aerated Static Pile</v>
      </c>
    </row>
    <row r="14398" spans="1:13" s="120" customFormat="1" x14ac:dyDescent="0.25">
      <c r="A14398" s="119"/>
      <c r="B14398" s="138" t="str">
        <f t="shared" si="1282"/>
        <v>Aerated Static Pile</v>
      </c>
      <c r="C14398" s="138" t="str">
        <f t="shared" si="1283"/>
        <v>Without Amendment</v>
      </c>
      <c r="D14398" s="138" t="str">
        <f t="shared" si="1280"/>
        <v>Medium_Base</v>
      </c>
      <c r="E14398" s="138" t="str">
        <f t="shared" si="1284"/>
        <v>High</v>
      </c>
      <c r="F14398" s="138" t="str">
        <f t="shared" si="1285"/>
        <v>Upgraded</v>
      </c>
      <c r="G14398" s="153"/>
      <c r="H14398" s="210">
        <v>0.27079999999999999</v>
      </c>
      <c r="I14398" s="160" t="s">
        <v>58</v>
      </c>
      <c r="J14398" s="211">
        <v>4.3235300000000003E-5</v>
      </c>
      <c r="K14398" s="160" t="s">
        <v>26</v>
      </c>
      <c r="L14398" s="154" t="str">
        <f>IF(OpenLCAbasic!K14398="CTUh", "Fill in Manually",IF(OR(K14398="Unit", K14398=""), "", INDEX(LookUps!$E$5:$E$12, MATCH(OpenLCAbasic!K14398,LookUps!$D$5:$D$12,0))))</f>
        <v>Water Use (WU) - m3 H2O</v>
      </c>
      <c r="M14398" s="154" t="str">
        <f t="shared" si="1281"/>
        <v>High_Medium_Base_Upgraded_Water Use (WU) - m3 H2O_Pre-Anoxic &amp; Swing tank; wastewater treatment unit; at updated plant - US_Without Amendment_Aerated Static Pile</v>
      </c>
    </row>
    <row r="14399" spans="1:13" s="120" customFormat="1" x14ac:dyDescent="0.25">
      <c r="A14399" s="119"/>
      <c r="B14399" s="138" t="str">
        <f t="shared" si="1282"/>
        <v>Aerated Static Pile</v>
      </c>
      <c r="C14399" s="138" t="str">
        <f t="shared" si="1283"/>
        <v>Without Amendment</v>
      </c>
      <c r="D14399" s="138" t="str">
        <f t="shared" si="1280"/>
        <v>Medium_Base</v>
      </c>
      <c r="E14399" s="138" t="str">
        <f t="shared" si="1284"/>
        <v>High</v>
      </c>
      <c r="F14399" s="138" t="str">
        <f t="shared" si="1285"/>
        <v>Upgraded</v>
      </c>
      <c r="G14399" s="153"/>
      <c r="H14399" s="210">
        <v>0.19040000000000001</v>
      </c>
      <c r="I14399" s="160" t="s">
        <v>57</v>
      </c>
      <c r="J14399" s="211">
        <v>3.0408100000000001E-5</v>
      </c>
      <c r="K14399" s="160" t="s">
        <v>26</v>
      </c>
      <c r="L14399" s="154" t="str">
        <f>IF(OpenLCAbasic!K14399="CTUh", "Fill in Manually",IF(OR(K14399="Unit", K14399=""), "", INDEX(LookUps!$E$5:$E$12, MATCH(OpenLCAbasic!K14399,LookUps!$D$5:$D$12,0))))</f>
        <v>Water Use (WU) - m3 H2O</v>
      </c>
      <c r="M14399" s="154" t="str">
        <f t="shared" si="1281"/>
        <v>High_Medium_Base_Upgraded_Water Use (WU) - m3 H2O_Gravity Belt Thickener; wastewater treatment unit; at updated plant - US_Without Amendment_Aerated Static Pile</v>
      </c>
    </row>
    <row r="14400" spans="1:13" s="120" customFormat="1" x14ac:dyDescent="0.25">
      <c r="A14400" s="119"/>
      <c r="B14400" s="138" t="str">
        <f t="shared" si="1282"/>
        <v>Aerated Static Pile</v>
      </c>
      <c r="C14400" s="138" t="str">
        <f t="shared" si="1283"/>
        <v>Without Amendment</v>
      </c>
      <c r="D14400" s="138" t="str">
        <f t="shared" si="1280"/>
        <v>Medium_Base</v>
      </c>
      <c r="E14400" s="138" t="str">
        <f t="shared" si="1284"/>
        <v>High</v>
      </c>
      <c r="F14400" s="138" t="str">
        <f t="shared" si="1285"/>
        <v>Upgraded</v>
      </c>
      <c r="G14400" s="153"/>
      <c r="H14400" s="210">
        <v>0.18970000000000001</v>
      </c>
      <c r="I14400" s="160" t="s">
        <v>60</v>
      </c>
      <c r="J14400" s="211">
        <v>3.0289000000000001E-5</v>
      </c>
      <c r="K14400" s="160" t="s">
        <v>26</v>
      </c>
      <c r="L14400" s="154" t="str">
        <f>IF(OpenLCAbasic!K14400="CTUh", "Fill in Manually",IF(OR(K14400="Unit", K14400=""), "", INDEX(LookUps!$E$5:$E$12, MATCH(OpenLCAbasic!K14400,LookUps!$D$5:$D$12,0))))</f>
        <v>Water Use (WU) - m3 H2O</v>
      </c>
      <c r="M14400" s="154" t="str">
        <f t="shared" si="1281"/>
        <v>High_Medium_Base_Upgraded_Water Use (WU) - m3 H2O_Belt filter press; wastewater treatment unit; at updated plant - US_Without Amendment_Aerated Static Pile</v>
      </c>
    </row>
    <row r="14401" spans="1:13" s="120" customFormat="1" x14ac:dyDescent="0.25">
      <c r="A14401" s="119"/>
      <c r="B14401" s="138" t="str">
        <f t="shared" si="1282"/>
        <v>Aerated Static Pile</v>
      </c>
      <c r="C14401" s="138" t="str">
        <f t="shared" si="1283"/>
        <v>Without Amendment</v>
      </c>
      <c r="D14401" s="138" t="str">
        <f t="shared" ref="D14401:D14407" si="1286">IF(ISNUMBER($J14401),"Medium_Base","")</f>
        <v>Medium_Base</v>
      </c>
      <c r="E14401" s="138" t="str">
        <f t="shared" si="1284"/>
        <v>High</v>
      </c>
      <c r="F14401" s="138" t="str">
        <f t="shared" si="1285"/>
        <v>Upgraded</v>
      </c>
      <c r="G14401" s="153"/>
      <c r="H14401" s="210">
        <v>0.1096</v>
      </c>
      <c r="I14401" s="160" t="s">
        <v>53</v>
      </c>
      <c r="J14401" s="211">
        <v>1.75069E-5</v>
      </c>
      <c r="K14401" s="160" t="s">
        <v>26</v>
      </c>
      <c r="L14401" s="154" t="str">
        <f>IF(OpenLCAbasic!K14401="CTUh", "Fill in Manually",IF(OR(K14401="Unit", K14401=""), "", INDEX(LookUps!$E$5:$E$12, MATCH(OpenLCAbasic!K14401,LookUps!$D$5:$D$12,0))))</f>
        <v>Water Use (WU) - m3 H2O</v>
      </c>
      <c r="M14401" s="154" t="str">
        <f t="shared" si="1281"/>
        <v>High_Medium_Base_Upgraded_Water Use (WU) - m3 H2O_Wet Well and Sump Station; wastewater treatment unit; at updated plant - US_Without Amendment_Aerated Static Pile</v>
      </c>
    </row>
    <row r="14402" spans="1:13" s="120" customFormat="1" x14ac:dyDescent="0.25">
      <c r="A14402" s="119"/>
      <c r="B14402" s="138" t="str">
        <f t="shared" si="1282"/>
        <v>Aerated Static Pile</v>
      </c>
      <c r="C14402" s="138" t="str">
        <f t="shared" si="1283"/>
        <v>Without Amendment</v>
      </c>
      <c r="D14402" s="138" t="str">
        <f t="shared" si="1286"/>
        <v>Medium_Base</v>
      </c>
      <c r="E14402" s="138" t="str">
        <f t="shared" si="1284"/>
        <v>High</v>
      </c>
      <c r="F14402" s="138" t="str">
        <f t="shared" si="1285"/>
        <v>Upgraded</v>
      </c>
      <c r="G14402" s="153"/>
      <c r="H14402" s="210">
        <v>5.1900000000000002E-2</v>
      </c>
      <c r="I14402" s="160" t="s">
        <v>435</v>
      </c>
      <c r="J14402" s="211">
        <v>8.2924200000000001E-6</v>
      </c>
      <c r="K14402" s="160" t="s">
        <v>26</v>
      </c>
      <c r="L14402" s="154" t="str">
        <f>IF(OpenLCAbasic!K14402="CTUh", "Fill in Manually",IF(OR(K14402="Unit", K14402=""), "", INDEX(LookUps!$E$5:$E$12, MATCH(OpenLCAbasic!K14402,LookUps!$D$5:$D$12,0))))</f>
        <v>Water Use (WU) - m3 H2O</v>
      </c>
      <c r="M14402" s="154" t="str">
        <f t="shared" si="1281"/>
        <v>High_Medium_Base_Upgraded_Water Use (WU) - m3 H2O_Biosolids composting; aerated static pile; wastewater treatment unit; at updated plant - US_Without Amendment_Aerated Static Pile</v>
      </c>
    </row>
    <row r="14403" spans="1:13" s="120" customFormat="1" x14ac:dyDescent="0.25">
      <c r="A14403" s="119"/>
      <c r="B14403" s="138" t="str">
        <f t="shared" si="1282"/>
        <v>Aerated Static Pile</v>
      </c>
      <c r="C14403" s="138" t="str">
        <f t="shared" si="1283"/>
        <v>Without Amendment</v>
      </c>
      <c r="D14403" s="138" t="str">
        <f t="shared" si="1286"/>
        <v>Medium_Base</v>
      </c>
      <c r="E14403" s="138" t="str">
        <f t="shared" si="1284"/>
        <v>High</v>
      </c>
      <c r="F14403" s="138" t="str">
        <f t="shared" si="1285"/>
        <v>Upgraded</v>
      </c>
      <c r="G14403" s="153"/>
      <c r="H14403" s="210">
        <v>4.3900000000000002E-2</v>
      </c>
      <c r="I14403" s="160" t="s">
        <v>59</v>
      </c>
      <c r="J14403" s="211">
        <v>7.0179500000000003E-6</v>
      </c>
      <c r="K14403" s="160" t="s">
        <v>26</v>
      </c>
      <c r="L14403" s="154" t="str">
        <f>IF(OpenLCAbasic!K14403="CTUh", "Fill in Manually",IF(OR(K14403="Unit", K14403=""), "", INDEX(LookUps!$E$5:$E$12, MATCH(OpenLCAbasic!K14403,LookUps!$D$5:$D$12,0))))</f>
        <v>Water Use (WU) - m3 H2O</v>
      </c>
      <c r="M14403" s="154" t="str">
        <f t="shared" si="1281"/>
        <v>High_Medium_Base_Upgraded_Water Use (WU) - m3 H2O_Blend Tank; wastewater treatment unit; at updated plant - US_Without Amendment_Aerated Static Pile</v>
      </c>
    </row>
    <row r="14404" spans="1:13" s="120" customFormat="1" x14ac:dyDescent="0.25">
      <c r="A14404" s="119"/>
      <c r="B14404" s="138" t="str">
        <f t="shared" si="1282"/>
        <v>Aerated Static Pile</v>
      </c>
      <c r="C14404" s="138" t="str">
        <f t="shared" si="1283"/>
        <v>Without Amendment</v>
      </c>
      <c r="D14404" s="138" t="str">
        <f t="shared" si="1286"/>
        <v>Medium_Base</v>
      </c>
      <c r="E14404" s="138" t="str">
        <f t="shared" si="1284"/>
        <v>High</v>
      </c>
      <c r="F14404" s="138" t="str">
        <f t="shared" si="1285"/>
        <v>Upgraded</v>
      </c>
      <c r="G14404" s="153"/>
      <c r="H14404" s="210">
        <v>3.1699999999999999E-2</v>
      </c>
      <c r="I14404" s="160" t="s">
        <v>128</v>
      </c>
      <c r="J14404" s="211">
        <v>5.0608900000000003E-6</v>
      </c>
      <c r="K14404" s="160" t="s">
        <v>26</v>
      </c>
      <c r="L14404" s="154" t="str">
        <f>IF(OpenLCAbasic!K14404="CTUh", "Fill in Manually",IF(OR(K14404="Unit", K14404=""), "", INDEX(LookUps!$E$5:$E$12, MATCH(OpenLCAbasic!K14404,LookUps!$D$5:$D$12,0))))</f>
        <v>Water Use (WU) - m3 H2O</v>
      </c>
      <c r="M14404" s="154" t="str">
        <f t="shared" ref="M14404:M14415" si="1287">CONCATENATE(E14404,"_",D14404,"_",F14404,"_",L14404, "_",I14404,"_", C14404,"_", B14404)</f>
        <v>High_Medium_Base_Upgraded_Water Use (WU) - m3 H2O_Wastewater collection; operation and infrastructure; m3 wastewater_Without Amendment_Aerated Static Pile</v>
      </c>
    </row>
    <row r="14405" spans="1:13" s="120" customFormat="1" x14ac:dyDescent="0.25">
      <c r="A14405" s="119"/>
      <c r="B14405" s="138" t="str">
        <f t="shared" si="1282"/>
        <v>Aerated Static Pile</v>
      </c>
      <c r="C14405" s="138" t="str">
        <f t="shared" si="1283"/>
        <v>Without Amendment</v>
      </c>
      <c r="D14405" s="138" t="str">
        <f t="shared" si="1286"/>
        <v>Medium_Base</v>
      </c>
      <c r="E14405" s="138" t="str">
        <f t="shared" si="1284"/>
        <v>High</v>
      </c>
      <c r="F14405" s="138" t="str">
        <f t="shared" si="1285"/>
        <v>Upgraded</v>
      </c>
      <c r="G14405" s="153"/>
      <c r="H14405" s="210">
        <v>4.7999999999999996E-3</v>
      </c>
      <c r="I14405" s="160" t="s">
        <v>168</v>
      </c>
      <c r="J14405" s="211">
        <v>7.6697000000000004E-7</v>
      </c>
      <c r="K14405" s="160" t="s">
        <v>26</v>
      </c>
      <c r="L14405" s="154" t="str">
        <f>IF(OpenLCAbasic!K14405="CTUh", "Fill in Manually",IF(OR(K14405="Unit", K14405=""), "", INDEX(LookUps!$E$5:$E$12, MATCH(OpenLCAbasic!K14405,LookUps!$D$5:$D$12,0))))</f>
        <v>Water Use (WU) - m3 H2O</v>
      </c>
      <c r="M14405" s="154" t="str">
        <f t="shared" si="1287"/>
        <v>High_Medium_Base_Upgraded_Water Use (WU) - m3 H2O_ClearCove SCP; wastewater treatment unit; at updated plant - US_Without Amendment_Aerated Static Pile</v>
      </c>
    </row>
    <row r="14406" spans="1:13" s="120" customFormat="1" x14ac:dyDescent="0.25">
      <c r="A14406" s="119"/>
      <c r="B14406" s="138" t="str">
        <f t="shared" si="1282"/>
        <v>Aerated Static Pile</v>
      </c>
      <c r="C14406" s="138" t="str">
        <f t="shared" si="1283"/>
        <v>Without Amendment</v>
      </c>
      <c r="D14406" s="138" t="str">
        <f t="shared" si="1286"/>
        <v>Medium_Base</v>
      </c>
      <c r="E14406" s="138" t="str">
        <f t="shared" si="1284"/>
        <v>High</v>
      </c>
      <c r="F14406" s="138" t="str">
        <f t="shared" si="1285"/>
        <v>Upgraded</v>
      </c>
      <c r="G14406" s="153"/>
      <c r="H14406" s="210">
        <v>-0.2417</v>
      </c>
      <c r="I14406" s="160" t="s">
        <v>149</v>
      </c>
      <c r="J14406" s="211">
        <v>-3.8591399999999998E-5</v>
      </c>
      <c r="K14406" s="160" t="s">
        <v>26</v>
      </c>
      <c r="L14406" s="154" t="str">
        <f>IF(OpenLCAbasic!K14406="CTUh", "Fill in Manually",IF(OR(K14406="Unit", K14406=""), "", INDEX(LookUps!$E$5:$E$12, MATCH(OpenLCAbasic!K14406,LookUps!$D$5:$D$12,0))))</f>
        <v>Water Use (WU) - m3 H2O</v>
      </c>
      <c r="M14406" s="154" t="str">
        <f t="shared" si="1287"/>
        <v>High_Medium_Base_Upgraded_Water Use (WU) - m3 H2O_Anaerobic Digestion; wastewater treatment unit; at updated plant - US_Without Amendment_Aerated Static Pile</v>
      </c>
    </row>
    <row r="14407" spans="1:13" s="120" customFormat="1" x14ac:dyDescent="0.25">
      <c r="A14407" s="119"/>
      <c r="B14407" s="138" t="str">
        <f t="shared" si="1282"/>
        <v>Aerated Static Pile</v>
      </c>
      <c r="C14407" s="138" t="str">
        <f t="shared" si="1283"/>
        <v>Without Amendment</v>
      </c>
      <c r="D14407" s="138" t="str">
        <f t="shared" si="1286"/>
        <v>Medium_Base</v>
      </c>
      <c r="E14407" s="138" t="str">
        <f t="shared" si="1284"/>
        <v>High</v>
      </c>
      <c r="F14407" s="138" t="str">
        <f t="shared" si="1285"/>
        <v>Upgraded</v>
      </c>
      <c r="G14407" s="153"/>
      <c r="H14407" s="210">
        <v>-6.0682</v>
      </c>
      <c r="I14407" s="160" t="s">
        <v>62</v>
      </c>
      <c r="J14407" s="160">
        <v>-9.7000000000000005E-4</v>
      </c>
      <c r="K14407" s="160" t="s">
        <v>26</v>
      </c>
      <c r="L14407" s="154" t="str">
        <f>IF(OpenLCAbasic!K14407="CTUh", "Fill in Manually",IF(OR(K14407="Unit", K14407=""), "", INDEX(LookUps!$E$5:$E$12, MATCH(OpenLCAbasic!K14407,LookUps!$D$5:$D$12,0))))</f>
        <v>Water Use (WU) - m3 H2O</v>
      </c>
      <c r="M14407" s="154" t="str">
        <f t="shared" si="1287"/>
        <v>High_Medium_Base_Upgraded_Water Use (WU) - m3 H2O_Land application of compost; wastewater treatment unit; at updated plant - US_Without Amendment_Aerated Static Pile</v>
      </c>
    </row>
    <row r="14408" spans="1:13" s="120" customFormat="1" x14ac:dyDescent="0.25">
      <c r="A14408" s="119"/>
      <c r="B14408" s="138" t="str">
        <f t="shared" si="1282"/>
        <v/>
      </c>
      <c r="C14408" s="138" t="str">
        <f t="shared" si="1283"/>
        <v/>
      </c>
      <c r="D14408" s="138" t="str">
        <f>IF(ISNUMBER($J14408),"Medium_High","")</f>
        <v/>
      </c>
      <c r="E14408" s="138" t="str">
        <f t="shared" si="1284"/>
        <v/>
      </c>
      <c r="F14408" s="138" t="str">
        <f t="shared" si="1285"/>
        <v/>
      </c>
      <c r="G14408" s="153" t="s">
        <v>51</v>
      </c>
      <c r="H14408" s="160"/>
      <c r="I14408" s="160" t="s">
        <v>47</v>
      </c>
      <c r="J14408" s="160" t="s">
        <v>52</v>
      </c>
      <c r="K14408" s="160" t="s">
        <v>27</v>
      </c>
      <c r="L14408" s="154" t="str">
        <f>IF(OpenLCAbasic!K14408="CTUh", "Fill in Manually",IF(OR(K14408="Unit", K14408=""), "", INDEX(LookUps!$E$5:$E$12, MATCH(OpenLCAbasic!K14408,LookUps!$D$5:$D$12,0))))</f>
        <v/>
      </c>
      <c r="M14408" s="154" t="str">
        <f t="shared" si="1287"/>
        <v>____Process__</v>
      </c>
    </row>
    <row r="14409" spans="1:13" s="120" customFormat="1" x14ac:dyDescent="0.25">
      <c r="A14409" s="119"/>
      <c r="B14409" s="138" t="str">
        <f t="shared" si="1282"/>
        <v>Aerated Static Pile</v>
      </c>
      <c r="C14409" s="138" t="str">
        <f t="shared" si="1283"/>
        <v>Without Amendment</v>
      </c>
      <c r="D14409" s="138" t="str">
        <f t="shared" ref="D14409:D14472" si="1288">IF(ISNUMBER($J14409),"Medium_High","")</f>
        <v>Medium_High</v>
      </c>
      <c r="E14409" s="138" t="str">
        <f t="shared" si="1284"/>
        <v>High</v>
      </c>
      <c r="F14409" s="138" t="str">
        <f t="shared" si="1285"/>
        <v>Upgraded</v>
      </c>
      <c r="G14409" s="153"/>
      <c r="H14409" s="210">
        <v>1.1777</v>
      </c>
      <c r="I14409" s="160" t="s">
        <v>55</v>
      </c>
      <c r="J14409" s="160">
        <v>1.7219999999999999E-2</v>
      </c>
      <c r="K14409" s="160" t="s">
        <v>24</v>
      </c>
      <c r="L14409" s="154" t="str">
        <f>IF(OpenLCAbasic!K14409="CTUh", "Fill in Manually",IF(OR(K14409="Unit", K14409=""), "", INDEX(LookUps!$E$5:$E$12, MATCH(OpenLCAbasic!K14409,LookUps!$D$5:$D$12,0))))</f>
        <v>Acidification Potential (AP) - kg SO2 eq</v>
      </c>
      <c r="M14409" s="154" t="str">
        <f t="shared" si="1287"/>
        <v>High_Medium_High_Upgraded_Acidification Potential (AP) - kg SO2 eq_Aeration Tanks; wastewater treatment unit; at updated plant - US_Without Amendment_Aerated Static Pile</v>
      </c>
    </row>
    <row r="14410" spans="1:13" s="120" customFormat="1" x14ac:dyDescent="0.25">
      <c r="A14410" s="119"/>
      <c r="B14410" s="138" t="str">
        <f t="shared" si="1282"/>
        <v>Aerated Static Pile</v>
      </c>
      <c r="C14410" s="138" t="str">
        <f t="shared" si="1283"/>
        <v>Without Amendment</v>
      </c>
      <c r="D14410" s="138" t="str">
        <f t="shared" si="1288"/>
        <v>Medium_High</v>
      </c>
      <c r="E14410" s="138" t="str">
        <f t="shared" si="1284"/>
        <v>High</v>
      </c>
      <c r="F14410" s="138" t="str">
        <f t="shared" si="1285"/>
        <v>Upgraded</v>
      </c>
      <c r="G14410" s="153"/>
      <c r="H14410" s="210">
        <v>0.34060000000000001</v>
      </c>
      <c r="I14410" s="160" t="s">
        <v>54</v>
      </c>
      <c r="J14410" s="160">
        <v>4.9800000000000001E-3</v>
      </c>
      <c r="K14410" s="160" t="s">
        <v>24</v>
      </c>
      <c r="L14410" s="154" t="str">
        <f>IF(OpenLCAbasic!K14410="CTUh", "Fill in Manually",IF(OR(K14410="Unit", K14410=""), "", INDEX(LookUps!$E$5:$E$12, MATCH(OpenLCAbasic!K14410,LookUps!$D$5:$D$12,0))))</f>
        <v>Acidification Potential (AP) - kg SO2 eq</v>
      </c>
      <c r="M14410" s="154" t="str">
        <f t="shared" si="1287"/>
        <v>High_Medium_High_Upgraded_Acidification Potential (AP) - kg SO2 eq_Clear Cove Primary Clarification; wastewater treatment unit; at updated plant - US_Without Amendment_Aerated Static Pile</v>
      </c>
    </row>
    <row r="14411" spans="1:13" s="120" customFormat="1" x14ac:dyDescent="0.25">
      <c r="A14411" s="119"/>
      <c r="B14411" s="138" t="str">
        <f t="shared" si="1282"/>
        <v>Aerated Static Pile</v>
      </c>
      <c r="C14411" s="138" t="str">
        <f t="shared" si="1283"/>
        <v>Without Amendment</v>
      </c>
      <c r="D14411" s="138" t="str">
        <f t="shared" si="1288"/>
        <v>Medium_High</v>
      </c>
      <c r="E14411" s="138" t="str">
        <f t="shared" si="1284"/>
        <v>High</v>
      </c>
      <c r="F14411" s="138" t="str">
        <f t="shared" si="1285"/>
        <v>Upgraded</v>
      </c>
      <c r="G14411" s="153"/>
      <c r="H14411" s="210">
        <v>0.29720000000000002</v>
      </c>
      <c r="I14411" s="160" t="s">
        <v>58</v>
      </c>
      <c r="J14411" s="160">
        <v>4.3499999999999997E-3</v>
      </c>
      <c r="K14411" s="160" t="s">
        <v>24</v>
      </c>
      <c r="L14411" s="154" t="str">
        <f>IF(OpenLCAbasic!K14411="CTUh", "Fill in Manually",IF(OR(K14411="Unit", K14411=""), "", INDEX(LookUps!$E$5:$E$12, MATCH(OpenLCAbasic!K14411,LookUps!$D$5:$D$12,0))))</f>
        <v>Acidification Potential (AP) - kg SO2 eq</v>
      </c>
      <c r="M14411" s="154" t="str">
        <f t="shared" si="1287"/>
        <v>High_Medium_High_Upgraded_Acidification Potential (AP) - kg SO2 eq_Pre-Anoxic &amp; Swing tank; wastewater treatment unit; at updated plant - US_Without Amendment_Aerated Static Pile</v>
      </c>
    </row>
    <row r="14412" spans="1:13" s="120" customFormat="1" x14ac:dyDescent="0.25">
      <c r="A14412" s="119"/>
      <c r="B14412" s="138" t="str">
        <f t="shared" si="1282"/>
        <v>Aerated Static Pile</v>
      </c>
      <c r="C14412" s="138" t="str">
        <f t="shared" si="1283"/>
        <v>Without Amendment</v>
      </c>
      <c r="D14412" s="138" t="str">
        <f t="shared" si="1288"/>
        <v>Medium_High</v>
      </c>
      <c r="E14412" s="138" t="str">
        <f t="shared" si="1284"/>
        <v>High</v>
      </c>
      <c r="F14412" s="138" t="str">
        <f t="shared" si="1285"/>
        <v>Upgraded</v>
      </c>
      <c r="G14412" s="153"/>
      <c r="H14412" s="210">
        <v>0.23599999999999999</v>
      </c>
      <c r="I14412" s="160" t="s">
        <v>53</v>
      </c>
      <c r="J14412" s="160">
        <v>3.4499999999999999E-3</v>
      </c>
      <c r="K14412" s="160" t="s">
        <v>24</v>
      </c>
      <c r="L14412" s="154" t="str">
        <f>IF(OpenLCAbasic!K14412="CTUh", "Fill in Manually",IF(OR(K14412="Unit", K14412=""), "", INDEX(LookUps!$E$5:$E$12, MATCH(OpenLCAbasic!K14412,LookUps!$D$5:$D$12,0))))</f>
        <v>Acidification Potential (AP) - kg SO2 eq</v>
      </c>
      <c r="M14412" s="154" t="str">
        <f t="shared" si="1287"/>
        <v>High_Medium_High_Upgraded_Acidification Potential (AP) - kg SO2 eq_Wet Well and Sump Station; wastewater treatment unit; at updated plant - US_Without Amendment_Aerated Static Pile</v>
      </c>
    </row>
    <row r="14413" spans="1:13" s="120" customFormat="1" x14ac:dyDescent="0.25">
      <c r="A14413" s="119"/>
      <c r="B14413" s="138" t="str">
        <f t="shared" si="1282"/>
        <v>Aerated Static Pile</v>
      </c>
      <c r="C14413" s="138" t="str">
        <f t="shared" si="1283"/>
        <v>Without Amendment</v>
      </c>
      <c r="D14413" s="138" t="str">
        <f t="shared" si="1288"/>
        <v>Medium_High</v>
      </c>
      <c r="E14413" s="138" t="str">
        <f t="shared" si="1284"/>
        <v>High</v>
      </c>
      <c r="F14413" s="138" t="str">
        <f t="shared" si="1285"/>
        <v>Upgraded</v>
      </c>
      <c r="G14413" s="153"/>
      <c r="H14413" s="210">
        <v>0.18129999999999999</v>
      </c>
      <c r="I14413" s="160" t="s">
        <v>435</v>
      </c>
      <c r="J14413" s="160">
        <v>2.65E-3</v>
      </c>
      <c r="K14413" s="160" t="s">
        <v>24</v>
      </c>
      <c r="L14413" s="154" t="str">
        <f>IF(OpenLCAbasic!K14413="CTUh", "Fill in Manually",IF(OR(K14413="Unit", K14413=""), "", INDEX(LookUps!$E$5:$E$12, MATCH(OpenLCAbasic!K14413,LookUps!$D$5:$D$12,0))))</f>
        <v>Acidification Potential (AP) - kg SO2 eq</v>
      </c>
      <c r="M14413" s="154" t="str">
        <f t="shared" si="1287"/>
        <v>High_Medium_High_Upgraded_Acidification Potential (AP) - kg SO2 eq_Biosolids composting; aerated static pile; wastewater treatment unit; at updated plant - US_Without Amendment_Aerated Static Pile</v>
      </c>
    </row>
    <row r="14414" spans="1:13" s="120" customFormat="1" x14ac:dyDescent="0.25">
      <c r="A14414" s="119"/>
      <c r="B14414" s="138" t="str">
        <f t="shared" si="1282"/>
        <v>Aerated Static Pile</v>
      </c>
      <c r="C14414" s="138" t="str">
        <f t="shared" si="1283"/>
        <v>Without Amendment</v>
      </c>
      <c r="D14414" s="138" t="str">
        <f t="shared" si="1288"/>
        <v>Medium_High</v>
      </c>
      <c r="E14414" s="138" t="str">
        <f t="shared" si="1284"/>
        <v>High</v>
      </c>
      <c r="F14414" s="138" t="str">
        <f t="shared" si="1285"/>
        <v>Upgraded</v>
      </c>
      <c r="G14414" s="153"/>
      <c r="H14414" s="210">
        <v>0.1731</v>
      </c>
      <c r="I14414" s="160" t="s">
        <v>167</v>
      </c>
      <c r="J14414" s="160">
        <v>2.5300000000000001E-3</v>
      </c>
      <c r="K14414" s="160" t="s">
        <v>24</v>
      </c>
      <c r="L14414" s="154" t="str">
        <f>IF(OpenLCAbasic!K14414="CTUh", "Fill in Manually",IF(OR(K14414="Unit", K14414=""), "", INDEX(LookUps!$E$5:$E$12, MATCH(OpenLCAbasic!K14414,LookUps!$D$5:$D$12,0))))</f>
        <v>Acidification Potential (AP) - kg SO2 eq</v>
      </c>
      <c r="M14414" s="154" t="str">
        <f t="shared" si="1287"/>
        <v>High_Medium_High_Upgraded_Acidification Potential (AP) - kg SO2 eq_Waste Receiving and Holding; wastewater treatment unit; at updated plant - US_Without Amendment_Aerated Static Pile</v>
      </c>
    </row>
    <row r="14415" spans="1:13" s="120" customFormat="1" x14ac:dyDescent="0.25">
      <c r="A14415" s="119"/>
      <c r="B14415" s="138" t="str">
        <f t="shared" si="1282"/>
        <v>Aerated Static Pile</v>
      </c>
      <c r="C14415" s="138" t="str">
        <f t="shared" si="1283"/>
        <v>Without Amendment</v>
      </c>
      <c r="D14415" s="138" t="str">
        <f t="shared" si="1288"/>
        <v>Medium_High</v>
      </c>
      <c r="E14415" s="138" t="str">
        <f t="shared" si="1284"/>
        <v>High</v>
      </c>
      <c r="F14415" s="138" t="str">
        <f t="shared" si="1285"/>
        <v>Upgraded</v>
      </c>
      <c r="G14415" s="153"/>
      <c r="H14415" s="210">
        <v>0.14149999999999999</v>
      </c>
      <c r="I14415" s="160" t="s">
        <v>147</v>
      </c>
      <c r="J14415" s="160">
        <v>2.0699999999999998E-3</v>
      </c>
      <c r="K14415" s="160" t="s">
        <v>24</v>
      </c>
      <c r="L14415" s="154" t="str">
        <f>IF(OpenLCAbasic!K14415="CTUh", "Fill in Manually",IF(OR(K14415="Unit", K14415=""), "", INDEX(LookUps!$E$5:$E$12, MATCH(OpenLCAbasic!K14415,LookUps!$D$5:$D$12,0))))</f>
        <v>Acidification Potential (AP) - kg SO2 eq</v>
      </c>
      <c r="M14415" s="154" t="str">
        <f t="shared" si="1287"/>
        <v>High_Medium_High_Upgraded_Acidification Potential (AP) - kg SO2 eq_Influent Pump Station; wastewater treatment unit; at updated plant - US_Without Amendment_Aerated Static Pile</v>
      </c>
    </row>
    <row r="14416" spans="1:13" s="120" customFormat="1" x14ac:dyDescent="0.25">
      <c r="A14416" s="119"/>
      <c r="B14416" s="138" t="str">
        <f t="shared" si="1282"/>
        <v>Aerated Static Pile</v>
      </c>
      <c r="C14416" s="138" t="str">
        <f t="shared" si="1283"/>
        <v>Without Amendment</v>
      </c>
      <c r="D14416" s="138" t="str">
        <f t="shared" si="1288"/>
        <v>Medium_High</v>
      </c>
      <c r="E14416" s="138" t="str">
        <f t="shared" si="1284"/>
        <v>High</v>
      </c>
      <c r="F14416" s="138" t="str">
        <f t="shared" si="1285"/>
        <v>Upgraded</v>
      </c>
      <c r="G14416" s="153"/>
      <c r="H14416" s="210">
        <v>0.1384</v>
      </c>
      <c r="I14416" s="160" t="s">
        <v>62</v>
      </c>
      <c r="J14416" s="160">
        <v>2.0200000000000001E-3</v>
      </c>
      <c r="K14416" s="160" t="s">
        <v>24</v>
      </c>
      <c r="L14416" s="154" t="str">
        <f>IF(OpenLCAbasic!K14416="CTUh", "Fill in Manually",IF(OR(K14416="Unit", K14416=""), "", INDEX(LookUps!$E$5:$E$12, MATCH(OpenLCAbasic!K14416,LookUps!$D$5:$D$12,0))))</f>
        <v>Acidification Potential (AP) - kg SO2 eq</v>
      </c>
      <c r="M14416" s="154" t="str">
        <f t="shared" ref="M14416:M14479" si="1289">CONCATENATE(E14416,"_",D14416,"_",F14416,"_",L14416, "_",I14416,"_", C14416,"_", B14416)</f>
        <v>High_Medium_High_Upgraded_Acidification Potential (AP) - kg SO2 eq_Land application of compost; wastewater treatment unit; at updated plant - US_Without Amendment_Aerated Static Pile</v>
      </c>
    </row>
    <row r="14417" spans="1:13" s="120" customFormat="1" x14ac:dyDescent="0.25">
      <c r="A14417" s="119"/>
      <c r="B14417" s="138" t="str">
        <f t="shared" si="1282"/>
        <v>Aerated Static Pile</v>
      </c>
      <c r="C14417" s="138" t="str">
        <f t="shared" si="1283"/>
        <v>Without Amendment</v>
      </c>
      <c r="D14417" s="138" t="str">
        <f t="shared" si="1288"/>
        <v>Medium_High</v>
      </c>
      <c r="E14417" s="138" t="str">
        <f t="shared" si="1284"/>
        <v>High</v>
      </c>
      <c r="F14417" s="138" t="str">
        <f t="shared" si="1285"/>
        <v>Upgraded</v>
      </c>
      <c r="G14417" s="153"/>
      <c r="H14417" s="210">
        <v>8.43E-2</v>
      </c>
      <c r="I14417" s="160" t="s">
        <v>128</v>
      </c>
      <c r="J14417" s="160">
        <v>1.23E-3</v>
      </c>
      <c r="K14417" s="160" t="s">
        <v>24</v>
      </c>
      <c r="L14417" s="154" t="str">
        <f>IF(OpenLCAbasic!K14417="CTUh", "Fill in Manually",IF(OR(K14417="Unit", K14417=""), "", INDEX(LookUps!$E$5:$E$12, MATCH(OpenLCAbasic!K14417,LookUps!$D$5:$D$12,0))))</f>
        <v>Acidification Potential (AP) - kg SO2 eq</v>
      </c>
      <c r="M14417" s="154" t="str">
        <f t="shared" si="1289"/>
        <v>High_Medium_High_Upgraded_Acidification Potential (AP) - kg SO2 eq_Wastewater collection; operation and infrastructure; m3 wastewater_Without Amendment_Aerated Static Pile</v>
      </c>
    </row>
    <row r="14418" spans="1:13" s="120" customFormat="1" x14ac:dyDescent="0.25">
      <c r="A14418" s="119"/>
      <c r="B14418" s="138" t="str">
        <f t="shared" si="1282"/>
        <v>Aerated Static Pile</v>
      </c>
      <c r="C14418" s="138" t="str">
        <f t="shared" si="1283"/>
        <v>Without Amendment</v>
      </c>
      <c r="D14418" s="138" t="str">
        <f t="shared" si="1288"/>
        <v>Medium_High</v>
      </c>
      <c r="E14418" s="138" t="str">
        <f t="shared" si="1284"/>
        <v>High</v>
      </c>
      <c r="F14418" s="138" t="str">
        <f t="shared" si="1285"/>
        <v>Upgraded</v>
      </c>
      <c r="G14418" s="153"/>
      <c r="H14418" s="210">
        <v>6.9800000000000001E-2</v>
      </c>
      <c r="I14418" s="160" t="s">
        <v>60</v>
      </c>
      <c r="J14418" s="160">
        <v>1.0200000000000001E-3</v>
      </c>
      <c r="K14418" s="160" t="s">
        <v>24</v>
      </c>
      <c r="L14418" s="154" t="str">
        <f>IF(OpenLCAbasic!K14418="CTUh", "Fill in Manually",IF(OR(K14418="Unit", K14418=""), "", INDEX(LookUps!$E$5:$E$12, MATCH(OpenLCAbasic!K14418,LookUps!$D$5:$D$12,0))))</f>
        <v>Acidification Potential (AP) - kg SO2 eq</v>
      </c>
      <c r="M14418" s="154" t="str">
        <f t="shared" si="1289"/>
        <v>High_Medium_High_Upgraded_Acidification Potential (AP) - kg SO2 eq_Belt filter press; wastewater treatment unit; at updated plant - US_Without Amendment_Aerated Static Pile</v>
      </c>
    </row>
    <row r="14419" spans="1:13" s="120" customFormat="1" x14ac:dyDescent="0.25">
      <c r="A14419" s="119"/>
      <c r="B14419" s="138" t="str">
        <f t="shared" si="1282"/>
        <v>Aerated Static Pile</v>
      </c>
      <c r="C14419" s="138" t="str">
        <f t="shared" si="1283"/>
        <v>Without Amendment</v>
      </c>
      <c r="D14419" s="138" t="str">
        <f t="shared" si="1288"/>
        <v>Medium_High</v>
      </c>
      <c r="E14419" s="138" t="str">
        <f t="shared" si="1284"/>
        <v>High</v>
      </c>
      <c r="F14419" s="138" t="str">
        <f t="shared" si="1285"/>
        <v>Upgraded</v>
      </c>
      <c r="G14419" s="153"/>
      <c r="H14419" s="210">
        <v>4.8099999999999997E-2</v>
      </c>
      <c r="I14419" s="160" t="s">
        <v>57</v>
      </c>
      <c r="J14419" s="160">
        <v>6.9999999999999999E-4</v>
      </c>
      <c r="K14419" s="160" t="s">
        <v>24</v>
      </c>
      <c r="L14419" s="154" t="str">
        <f>IF(OpenLCAbasic!K14419="CTUh", "Fill in Manually",IF(OR(K14419="Unit", K14419=""), "", INDEX(LookUps!$E$5:$E$12, MATCH(OpenLCAbasic!K14419,LookUps!$D$5:$D$12,0))))</f>
        <v>Acidification Potential (AP) - kg SO2 eq</v>
      </c>
      <c r="M14419" s="154" t="str">
        <f t="shared" si="1289"/>
        <v>High_Medium_High_Upgraded_Acidification Potential (AP) - kg SO2 eq_Gravity Belt Thickener; wastewater treatment unit; at updated plant - US_Without Amendment_Aerated Static Pile</v>
      </c>
    </row>
    <row r="14420" spans="1:13" s="120" customFormat="1" x14ac:dyDescent="0.25">
      <c r="A14420" s="119"/>
      <c r="B14420" s="138" t="str">
        <f t="shared" si="1282"/>
        <v>Aerated Static Pile</v>
      </c>
      <c r="C14420" s="138" t="str">
        <f t="shared" si="1283"/>
        <v>Without Amendment</v>
      </c>
      <c r="D14420" s="138" t="str">
        <f t="shared" si="1288"/>
        <v>Medium_High</v>
      </c>
      <c r="E14420" s="138" t="str">
        <f t="shared" si="1284"/>
        <v>High</v>
      </c>
      <c r="F14420" s="138" t="str">
        <f t="shared" si="1285"/>
        <v>Upgraded</v>
      </c>
      <c r="G14420" s="153"/>
      <c r="H14420" s="210">
        <v>3.5299999999999998E-2</v>
      </c>
      <c r="I14420" s="160" t="s">
        <v>59</v>
      </c>
      <c r="J14420" s="160">
        <v>5.1999999999999995E-4</v>
      </c>
      <c r="K14420" s="160" t="s">
        <v>24</v>
      </c>
      <c r="L14420" s="154" t="str">
        <f>IF(OpenLCAbasic!K14420="CTUh", "Fill in Manually",IF(OR(K14420="Unit", K14420=""), "", INDEX(LookUps!$E$5:$E$12, MATCH(OpenLCAbasic!K14420,LookUps!$D$5:$D$12,0))))</f>
        <v>Acidification Potential (AP) - kg SO2 eq</v>
      </c>
      <c r="M14420" s="154" t="str">
        <f t="shared" si="1289"/>
        <v>High_Medium_High_Upgraded_Acidification Potential (AP) - kg SO2 eq_Blend Tank; wastewater treatment unit; at updated plant - US_Without Amendment_Aerated Static Pile</v>
      </c>
    </row>
    <row r="14421" spans="1:13" s="120" customFormat="1" x14ac:dyDescent="0.25">
      <c r="A14421" s="119"/>
      <c r="B14421" s="138" t="str">
        <f t="shared" si="1282"/>
        <v>Aerated Static Pile</v>
      </c>
      <c r="C14421" s="138" t="str">
        <f t="shared" si="1283"/>
        <v>Without Amendment</v>
      </c>
      <c r="D14421" s="138" t="str">
        <f t="shared" si="1288"/>
        <v>Medium_High</v>
      </c>
      <c r="E14421" s="138" t="str">
        <f t="shared" si="1284"/>
        <v>High</v>
      </c>
      <c r="F14421" s="138" t="str">
        <f t="shared" si="1285"/>
        <v>Upgraded</v>
      </c>
      <c r="G14421" s="153"/>
      <c r="H14421" s="210">
        <v>2.3699999999999999E-2</v>
      </c>
      <c r="I14421" s="160" t="s">
        <v>48</v>
      </c>
      <c r="J14421" s="160">
        <v>3.5E-4</v>
      </c>
      <c r="K14421" s="160" t="s">
        <v>24</v>
      </c>
      <c r="L14421" s="154" t="str">
        <f>IF(OpenLCAbasic!K14421="CTUh", "Fill in Manually",IF(OR(K14421="Unit", K14421=""), "", INDEX(LookUps!$E$5:$E$12, MATCH(OpenLCAbasic!K14421,LookUps!$D$5:$D$12,0))))</f>
        <v>Acidification Potential (AP) - kg SO2 eq</v>
      </c>
      <c r="M14421" s="154" t="str">
        <f t="shared" si="1289"/>
        <v>High_Medium_High_Upgraded_Acidification Potential (AP) - kg SO2 eq_Effluent release; wastewater treatment unit; at surface water; m3 wastewater - US_Without Amendment_Aerated Static Pile</v>
      </c>
    </row>
    <row r="14422" spans="1:13" s="120" customFormat="1" x14ac:dyDescent="0.25">
      <c r="A14422" s="119"/>
      <c r="B14422" s="138" t="str">
        <f t="shared" si="1282"/>
        <v>Aerated Static Pile</v>
      </c>
      <c r="C14422" s="138" t="str">
        <f t="shared" si="1283"/>
        <v>Without Amendment</v>
      </c>
      <c r="D14422" s="138" t="str">
        <f t="shared" si="1288"/>
        <v>Medium_High</v>
      </c>
      <c r="E14422" s="138" t="str">
        <f t="shared" si="1284"/>
        <v>High</v>
      </c>
      <c r="F14422" s="138" t="str">
        <f t="shared" si="1285"/>
        <v>Upgraded</v>
      </c>
      <c r="G14422" s="153"/>
      <c r="H14422" s="210">
        <v>1.7500000000000002E-2</v>
      </c>
      <c r="I14422" s="160" t="s">
        <v>168</v>
      </c>
      <c r="J14422" s="160">
        <v>2.5999999999999998E-4</v>
      </c>
      <c r="K14422" s="160" t="s">
        <v>24</v>
      </c>
      <c r="L14422" s="154" t="str">
        <f>IF(OpenLCAbasic!K14422="CTUh", "Fill in Manually",IF(OR(K14422="Unit", K14422=""), "", INDEX(LookUps!$E$5:$E$12, MATCH(OpenLCAbasic!K14422,LookUps!$D$5:$D$12,0))))</f>
        <v>Acidification Potential (AP) - kg SO2 eq</v>
      </c>
      <c r="M14422" s="154" t="str">
        <f t="shared" si="1289"/>
        <v>High_Medium_High_Upgraded_Acidification Potential (AP) - kg SO2 eq_ClearCove SCP; wastewater treatment unit; at updated plant - US_Without Amendment_Aerated Static Pile</v>
      </c>
    </row>
    <row r="14423" spans="1:13" s="120" customFormat="1" x14ac:dyDescent="0.25">
      <c r="A14423" s="119"/>
      <c r="B14423" s="138" t="str">
        <f t="shared" si="1282"/>
        <v>Aerated Static Pile</v>
      </c>
      <c r="C14423" s="138" t="str">
        <f t="shared" si="1283"/>
        <v>Without Amendment</v>
      </c>
      <c r="D14423" s="138" t="str">
        <f t="shared" si="1288"/>
        <v>Medium_High</v>
      </c>
      <c r="E14423" s="138" t="str">
        <f t="shared" si="1284"/>
        <v>High</v>
      </c>
      <c r="F14423" s="138" t="str">
        <f t="shared" si="1285"/>
        <v>Upgraded</v>
      </c>
      <c r="G14423" s="153"/>
      <c r="H14423" s="210">
        <v>2.8E-3</v>
      </c>
      <c r="I14423" s="160" t="s">
        <v>148</v>
      </c>
      <c r="J14423" s="211">
        <v>4.0354700000000002E-5</v>
      </c>
      <c r="K14423" s="160" t="s">
        <v>24</v>
      </c>
      <c r="L14423" s="154" t="str">
        <f>IF(OpenLCAbasic!K14423="CTUh", "Fill in Manually",IF(OR(K14423="Unit", K14423=""), "", INDEX(LookUps!$E$5:$E$12, MATCH(OpenLCAbasic!K14423,LookUps!$D$5:$D$12,0))))</f>
        <v>Acidification Potential (AP) - kg SO2 eq</v>
      </c>
      <c r="M14423" s="154" t="str">
        <f t="shared" si="1289"/>
        <v>High_Medium_High_Upgraded_Acidification Potential (AP) - kg SO2 eq_Control Building; at upgraded wastewater treatment plant - US_Without Amendment_Aerated Static Pile</v>
      </c>
    </row>
    <row r="14424" spans="1:13" s="120" customFormat="1" x14ac:dyDescent="0.25">
      <c r="A14424" s="119"/>
      <c r="B14424" s="138" t="str">
        <f t="shared" si="1282"/>
        <v>Aerated Static Pile</v>
      </c>
      <c r="C14424" s="138" t="str">
        <f t="shared" si="1283"/>
        <v>Without Amendment</v>
      </c>
      <c r="D14424" s="138" t="str">
        <f t="shared" si="1288"/>
        <v>Medium_High</v>
      </c>
      <c r="E14424" s="138" t="str">
        <f t="shared" si="1284"/>
        <v>High</v>
      </c>
      <c r="F14424" s="138" t="str">
        <f t="shared" si="1285"/>
        <v>Upgraded</v>
      </c>
      <c r="G14424" s="153"/>
      <c r="H14424" s="210">
        <v>-3.9672999999999998</v>
      </c>
      <c r="I14424" s="160" t="s">
        <v>149</v>
      </c>
      <c r="J14424" s="160">
        <v>-5.8009999999999999E-2</v>
      </c>
      <c r="K14424" s="160" t="s">
        <v>24</v>
      </c>
      <c r="L14424" s="154" t="str">
        <f>IF(OpenLCAbasic!K14424="CTUh", "Fill in Manually",IF(OR(K14424="Unit", K14424=""), "", INDEX(LookUps!$E$5:$E$12, MATCH(OpenLCAbasic!K14424,LookUps!$D$5:$D$12,0))))</f>
        <v>Acidification Potential (AP) - kg SO2 eq</v>
      </c>
      <c r="M14424" s="154" t="str">
        <f t="shared" si="1289"/>
        <v>High_Medium_High_Upgraded_Acidification Potential (AP) - kg SO2 eq_Anaerobic Digestion; wastewater treatment unit; at updated plant - US_Without Amendment_Aerated Static Pile</v>
      </c>
    </row>
    <row r="14425" spans="1:13" s="120" customFormat="1" x14ac:dyDescent="0.25">
      <c r="A14425" s="119"/>
      <c r="B14425" s="138" t="str">
        <f t="shared" si="1282"/>
        <v/>
      </c>
      <c r="C14425" s="138" t="str">
        <f t="shared" si="1283"/>
        <v/>
      </c>
      <c r="D14425" s="138" t="str">
        <f t="shared" si="1288"/>
        <v/>
      </c>
      <c r="E14425" s="138" t="str">
        <f t="shared" si="1284"/>
        <v/>
      </c>
      <c r="F14425" s="138" t="str">
        <f t="shared" si="1285"/>
        <v/>
      </c>
      <c r="G14425" s="153" t="s">
        <v>51</v>
      </c>
      <c r="H14425" s="160"/>
      <c r="I14425" s="160" t="s">
        <v>47</v>
      </c>
      <c r="J14425" s="160" t="s">
        <v>52</v>
      </c>
      <c r="K14425" s="160" t="s">
        <v>27</v>
      </c>
      <c r="L14425" s="154" t="str">
        <f>IF(OpenLCAbasic!K14425="CTUh", "Fill in Manually",IF(OR(K14425="Unit", K14425=""), "", INDEX(LookUps!$E$5:$E$12, MATCH(OpenLCAbasic!K14425,LookUps!$D$5:$D$12,0))))</f>
        <v/>
      </c>
      <c r="M14425" s="154" t="str">
        <f t="shared" si="1289"/>
        <v>____Process__</v>
      </c>
    </row>
    <row r="14426" spans="1:13" s="120" customFormat="1" x14ac:dyDescent="0.25">
      <c r="A14426" s="119"/>
      <c r="B14426" s="138" t="str">
        <f t="shared" si="1282"/>
        <v>Aerated Static Pile</v>
      </c>
      <c r="C14426" s="138" t="str">
        <f t="shared" si="1283"/>
        <v>Without Amendment</v>
      </c>
      <c r="D14426" s="138" t="str">
        <f t="shared" si="1288"/>
        <v>Medium_High</v>
      </c>
      <c r="E14426" s="138" t="str">
        <f t="shared" si="1284"/>
        <v>High</v>
      </c>
      <c r="F14426" s="138" t="str">
        <f t="shared" si="1285"/>
        <v>Upgraded</v>
      </c>
      <c r="G14426" s="153"/>
      <c r="H14426" s="210">
        <v>1.7038</v>
      </c>
      <c r="I14426" s="160" t="s">
        <v>167</v>
      </c>
      <c r="J14426" s="160">
        <v>4.2789599999999997</v>
      </c>
      <c r="K14426" s="160" t="s">
        <v>15</v>
      </c>
      <c r="L14426" s="154" t="str">
        <f>IF(OpenLCAbasic!K14426="CTUh", "Fill in Manually",IF(OR(K14426="Unit", K14426=""), "", INDEX(LookUps!$E$5:$E$12, MATCH(OpenLCAbasic!K14426,LookUps!$D$5:$D$12,0))))</f>
        <v>Cumulative Energy Demand (CED) - MJ</v>
      </c>
      <c r="M14426" s="154" t="str">
        <f t="shared" si="1289"/>
        <v>High_Medium_High_Upgraded_Cumulative Energy Demand (CED) - MJ_Waste Receiving and Holding; wastewater treatment unit; at updated plant - US_Without Amendment_Aerated Static Pile</v>
      </c>
    </row>
    <row r="14427" spans="1:13" s="120" customFormat="1" x14ac:dyDescent="0.25">
      <c r="A14427" s="119"/>
      <c r="B14427" s="138" t="str">
        <f t="shared" si="1282"/>
        <v>Aerated Static Pile</v>
      </c>
      <c r="C14427" s="138" t="str">
        <f t="shared" si="1283"/>
        <v>Without Amendment</v>
      </c>
      <c r="D14427" s="138" t="str">
        <f t="shared" si="1288"/>
        <v>Medium_High</v>
      </c>
      <c r="E14427" s="138" t="str">
        <f t="shared" si="1284"/>
        <v>High</v>
      </c>
      <c r="F14427" s="138" t="str">
        <f t="shared" si="1285"/>
        <v>Upgraded</v>
      </c>
      <c r="G14427" s="153"/>
      <c r="H14427" s="210">
        <v>1.4068000000000001</v>
      </c>
      <c r="I14427" s="160" t="s">
        <v>55</v>
      </c>
      <c r="J14427" s="160">
        <v>3.5330499999999998</v>
      </c>
      <c r="K14427" s="160" t="s">
        <v>15</v>
      </c>
      <c r="L14427" s="154" t="str">
        <f>IF(OpenLCAbasic!K14427="CTUh", "Fill in Manually",IF(OR(K14427="Unit", K14427=""), "", INDEX(LookUps!$E$5:$E$12, MATCH(OpenLCAbasic!K14427,LookUps!$D$5:$D$12,0))))</f>
        <v>Cumulative Energy Demand (CED) - MJ</v>
      </c>
      <c r="M14427" s="154" t="str">
        <f t="shared" si="1289"/>
        <v>High_Medium_High_Upgraded_Cumulative Energy Demand (CED) - MJ_Aeration Tanks; wastewater treatment unit; at updated plant - US_Without Amendment_Aerated Static Pile</v>
      </c>
    </row>
    <row r="14428" spans="1:13" s="120" customFormat="1" x14ac:dyDescent="0.25">
      <c r="A14428" s="119"/>
      <c r="B14428" s="138" t="str">
        <f t="shared" si="1282"/>
        <v>Aerated Static Pile</v>
      </c>
      <c r="C14428" s="138" t="str">
        <f t="shared" si="1283"/>
        <v>Without Amendment</v>
      </c>
      <c r="D14428" s="138" t="str">
        <f t="shared" si="1288"/>
        <v>Medium_High</v>
      </c>
      <c r="E14428" s="138" t="str">
        <f t="shared" si="1284"/>
        <v>High</v>
      </c>
      <c r="F14428" s="138" t="str">
        <f t="shared" si="1285"/>
        <v>Upgraded</v>
      </c>
      <c r="G14428" s="153"/>
      <c r="H14428" s="210">
        <v>0.46300000000000002</v>
      </c>
      <c r="I14428" s="160" t="s">
        <v>54</v>
      </c>
      <c r="J14428" s="160">
        <v>1.16289</v>
      </c>
      <c r="K14428" s="160" t="s">
        <v>15</v>
      </c>
      <c r="L14428" s="154" t="str">
        <f>IF(OpenLCAbasic!K14428="CTUh", "Fill in Manually",IF(OR(K14428="Unit", K14428=""), "", INDEX(LookUps!$E$5:$E$12, MATCH(OpenLCAbasic!K14428,LookUps!$D$5:$D$12,0))))</f>
        <v>Cumulative Energy Demand (CED) - MJ</v>
      </c>
      <c r="M14428" s="154" t="str">
        <f t="shared" si="1289"/>
        <v>High_Medium_High_Upgraded_Cumulative Energy Demand (CED) - MJ_Clear Cove Primary Clarification; wastewater treatment unit; at updated plant - US_Without Amendment_Aerated Static Pile</v>
      </c>
    </row>
    <row r="14429" spans="1:13" s="120" customFormat="1" x14ac:dyDescent="0.25">
      <c r="A14429" s="119"/>
      <c r="B14429" s="138" t="str">
        <f t="shared" si="1282"/>
        <v>Aerated Static Pile</v>
      </c>
      <c r="C14429" s="138" t="str">
        <f t="shared" si="1283"/>
        <v>Without Amendment</v>
      </c>
      <c r="D14429" s="138" t="str">
        <f t="shared" si="1288"/>
        <v>Medium_High</v>
      </c>
      <c r="E14429" s="138" t="str">
        <f t="shared" si="1284"/>
        <v>High</v>
      </c>
      <c r="F14429" s="138" t="str">
        <f t="shared" si="1285"/>
        <v>Upgraded</v>
      </c>
      <c r="G14429" s="153"/>
      <c r="H14429" s="210">
        <v>0.35320000000000001</v>
      </c>
      <c r="I14429" s="160" t="s">
        <v>58</v>
      </c>
      <c r="J14429" s="160">
        <v>0.88705000000000001</v>
      </c>
      <c r="K14429" s="160" t="s">
        <v>15</v>
      </c>
      <c r="L14429" s="154" t="str">
        <f>IF(OpenLCAbasic!K14429="CTUh", "Fill in Manually",IF(OR(K14429="Unit", K14429=""), "", INDEX(LookUps!$E$5:$E$12, MATCH(OpenLCAbasic!K14429,LookUps!$D$5:$D$12,0))))</f>
        <v>Cumulative Energy Demand (CED) - MJ</v>
      </c>
      <c r="M14429" s="154" t="str">
        <f t="shared" si="1289"/>
        <v>High_Medium_High_Upgraded_Cumulative Energy Demand (CED) - MJ_Pre-Anoxic &amp; Swing tank; wastewater treatment unit; at updated plant - US_Without Amendment_Aerated Static Pile</v>
      </c>
    </row>
    <row r="14430" spans="1:13" s="120" customFormat="1" x14ac:dyDescent="0.25">
      <c r="A14430" s="119"/>
      <c r="B14430" s="138" t="str">
        <f t="shared" si="1282"/>
        <v>Aerated Static Pile</v>
      </c>
      <c r="C14430" s="138" t="str">
        <f t="shared" si="1283"/>
        <v>Without Amendment</v>
      </c>
      <c r="D14430" s="138" t="str">
        <f t="shared" si="1288"/>
        <v>Medium_High</v>
      </c>
      <c r="E14430" s="138" t="str">
        <f t="shared" si="1284"/>
        <v>High</v>
      </c>
      <c r="F14430" s="138" t="str">
        <f t="shared" si="1285"/>
        <v>Upgraded</v>
      </c>
      <c r="G14430" s="153"/>
      <c r="H14430" s="210">
        <v>0.35160000000000002</v>
      </c>
      <c r="I14430" s="160" t="s">
        <v>147</v>
      </c>
      <c r="J14430" s="160">
        <v>0.88297000000000003</v>
      </c>
      <c r="K14430" s="160" t="s">
        <v>15</v>
      </c>
      <c r="L14430" s="154" t="str">
        <f>IF(OpenLCAbasic!K14430="CTUh", "Fill in Manually",IF(OR(K14430="Unit", K14430=""), "", INDEX(LookUps!$E$5:$E$12, MATCH(OpenLCAbasic!K14430,LookUps!$D$5:$D$12,0))))</f>
        <v>Cumulative Energy Demand (CED) - MJ</v>
      </c>
      <c r="M14430" s="154" t="str">
        <f t="shared" si="1289"/>
        <v>High_Medium_High_Upgraded_Cumulative Energy Demand (CED) - MJ_Influent Pump Station; wastewater treatment unit; at updated plant - US_Without Amendment_Aerated Static Pile</v>
      </c>
    </row>
    <row r="14431" spans="1:13" s="120" customFormat="1" x14ac:dyDescent="0.25">
      <c r="A14431" s="119"/>
      <c r="B14431" s="138" t="str">
        <f t="shared" si="1282"/>
        <v>Aerated Static Pile</v>
      </c>
      <c r="C14431" s="138" t="str">
        <f t="shared" si="1283"/>
        <v>Without Amendment</v>
      </c>
      <c r="D14431" s="138" t="str">
        <f t="shared" si="1288"/>
        <v>Medium_High</v>
      </c>
      <c r="E14431" s="138" t="str">
        <f t="shared" si="1284"/>
        <v>High</v>
      </c>
      <c r="F14431" s="138" t="str">
        <f t="shared" si="1285"/>
        <v>Upgraded</v>
      </c>
      <c r="G14431" s="153"/>
      <c r="H14431" s="210">
        <v>0.27729999999999999</v>
      </c>
      <c r="I14431" s="160" t="s">
        <v>53</v>
      </c>
      <c r="J14431" s="160">
        <v>0.69645000000000001</v>
      </c>
      <c r="K14431" s="160" t="s">
        <v>15</v>
      </c>
      <c r="L14431" s="154" t="str">
        <f>IF(OpenLCAbasic!K14431="CTUh", "Fill in Manually",IF(OR(K14431="Unit", K14431=""), "", INDEX(LookUps!$E$5:$E$12, MATCH(OpenLCAbasic!K14431,LookUps!$D$5:$D$12,0))))</f>
        <v>Cumulative Energy Demand (CED) - MJ</v>
      </c>
      <c r="M14431" s="154" t="str">
        <f t="shared" si="1289"/>
        <v>High_Medium_High_Upgraded_Cumulative Energy Demand (CED) - MJ_Wet Well and Sump Station; wastewater treatment unit; at updated plant - US_Without Amendment_Aerated Static Pile</v>
      </c>
    </row>
    <row r="14432" spans="1:13" s="120" customFormat="1" x14ac:dyDescent="0.25">
      <c r="A14432" s="119"/>
      <c r="B14432" s="138" t="str">
        <f t="shared" si="1282"/>
        <v>Aerated Static Pile</v>
      </c>
      <c r="C14432" s="138" t="str">
        <f t="shared" si="1283"/>
        <v>Without Amendment</v>
      </c>
      <c r="D14432" s="138" t="str">
        <f t="shared" si="1288"/>
        <v>Medium_High</v>
      </c>
      <c r="E14432" s="138" t="str">
        <f t="shared" si="1284"/>
        <v>High</v>
      </c>
      <c r="F14432" s="138" t="str">
        <f t="shared" si="1285"/>
        <v>Upgraded</v>
      </c>
      <c r="G14432" s="153"/>
      <c r="H14432" s="210">
        <v>0.183</v>
      </c>
      <c r="I14432" s="160" t="s">
        <v>435</v>
      </c>
      <c r="J14432" s="160">
        <v>0.45960000000000001</v>
      </c>
      <c r="K14432" s="160" t="s">
        <v>15</v>
      </c>
      <c r="L14432" s="154" t="str">
        <f>IF(OpenLCAbasic!K14432="CTUh", "Fill in Manually",IF(OR(K14432="Unit", K14432=""), "", INDEX(LookUps!$E$5:$E$12, MATCH(OpenLCAbasic!K14432,LookUps!$D$5:$D$12,0))))</f>
        <v>Cumulative Energy Demand (CED) - MJ</v>
      </c>
      <c r="M14432" s="154" t="str">
        <f t="shared" si="1289"/>
        <v>High_Medium_High_Upgraded_Cumulative Energy Demand (CED) - MJ_Biosolids composting; aerated static pile; wastewater treatment unit; at updated plant - US_Without Amendment_Aerated Static Pile</v>
      </c>
    </row>
    <row r="14433" spans="1:13" s="120" customFormat="1" x14ac:dyDescent="0.25">
      <c r="A14433" s="119"/>
      <c r="B14433" s="138" t="str">
        <f t="shared" si="1282"/>
        <v>Aerated Static Pile</v>
      </c>
      <c r="C14433" s="138" t="str">
        <f t="shared" si="1283"/>
        <v>Without Amendment</v>
      </c>
      <c r="D14433" s="138" t="str">
        <f t="shared" si="1288"/>
        <v>Medium_High</v>
      </c>
      <c r="E14433" s="138" t="str">
        <f t="shared" si="1284"/>
        <v>High</v>
      </c>
      <c r="F14433" s="138" t="str">
        <f t="shared" si="1285"/>
        <v>Upgraded</v>
      </c>
      <c r="G14433" s="153"/>
      <c r="H14433" s="210">
        <v>0.1517</v>
      </c>
      <c r="I14433" s="160" t="s">
        <v>60</v>
      </c>
      <c r="J14433" s="160">
        <v>0.38092999999999999</v>
      </c>
      <c r="K14433" s="160" t="s">
        <v>15</v>
      </c>
      <c r="L14433" s="154" t="str">
        <f>IF(OpenLCAbasic!K14433="CTUh", "Fill in Manually",IF(OR(K14433="Unit", K14433=""), "", INDEX(LookUps!$E$5:$E$12, MATCH(OpenLCAbasic!K14433,LookUps!$D$5:$D$12,0))))</f>
        <v>Cumulative Energy Demand (CED) - MJ</v>
      </c>
      <c r="M14433" s="154" t="str">
        <f t="shared" si="1289"/>
        <v>High_Medium_High_Upgraded_Cumulative Energy Demand (CED) - MJ_Belt filter press; wastewater treatment unit; at updated plant - US_Without Amendment_Aerated Static Pile</v>
      </c>
    </row>
    <row r="14434" spans="1:13" s="120" customFormat="1" x14ac:dyDescent="0.25">
      <c r="A14434" s="119"/>
      <c r="B14434" s="138" t="str">
        <f t="shared" si="1282"/>
        <v>Aerated Static Pile</v>
      </c>
      <c r="C14434" s="138" t="str">
        <f t="shared" si="1283"/>
        <v>Without Amendment</v>
      </c>
      <c r="D14434" s="138" t="str">
        <f t="shared" si="1288"/>
        <v>Medium_High</v>
      </c>
      <c r="E14434" s="138" t="str">
        <f t="shared" si="1284"/>
        <v>High</v>
      </c>
      <c r="F14434" s="138" t="str">
        <f t="shared" si="1285"/>
        <v>Upgraded</v>
      </c>
      <c r="G14434" s="153"/>
      <c r="H14434" s="210">
        <v>0.13300000000000001</v>
      </c>
      <c r="I14434" s="160" t="s">
        <v>57</v>
      </c>
      <c r="J14434" s="160">
        <v>0.33404</v>
      </c>
      <c r="K14434" s="160" t="s">
        <v>15</v>
      </c>
      <c r="L14434" s="154" t="str">
        <f>IF(OpenLCAbasic!K14434="CTUh", "Fill in Manually",IF(OR(K14434="Unit", K14434=""), "", INDEX(LookUps!$E$5:$E$12, MATCH(OpenLCAbasic!K14434,LookUps!$D$5:$D$12,0))))</f>
        <v>Cumulative Energy Demand (CED) - MJ</v>
      </c>
      <c r="M14434" s="154" t="str">
        <f t="shared" si="1289"/>
        <v>High_Medium_High_Upgraded_Cumulative Energy Demand (CED) - MJ_Gravity Belt Thickener; wastewater treatment unit; at updated plant - US_Without Amendment_Aerated Static Pile</v>
      </c>
    </row>
    <row r="14435" spans="1:13" s="120" customFormat="1" x14ac:dyDescent="0.25">
      <c r="A14435" s="119"/>
      <c r="B14435" s="138" t="str">
        <f t="shared" si="1282"/>
        <v>Aerated Static Pile</v>
      </c>
      <c r="C14435" s="138" t="str">
        <f t="shared" si="1283"/>
        <v>Without Amendment</v>
      </c>
      <c r="D14435" s="138" t="str">
        <f t="shared" si="1288"/>
        <v>Medium_High</v>
      </c>
      <c r="E14435" s="138" t="str">
        <f t="shared" si="1284"/>
        <v>High</v>
      </c>
      <c r="F14435" s="138" t="str">
        <f t="shared" si="1285"/>
        <v>Upgraded</v>
      </c>
      <c r="G14435" s="153"/>
      <c r="H14435" s="210">
        <v>0.10199999999999999</v>
      </c>
      <c r="I14435" s="160" t="s">
        <v>128</v>
      </c>
      <c r="J14435" s="160">
        <v>0.25606000000000001</v>
      </c>
      <c r="K14435" s="160" t="s">
        <v>15</v>
      </c>
      <c r="L14435" s="154" t="str">
        <f>IF(OpenLCAbasic!K14435="CTUh", "Fill in Manually",IF(OR(K14435="Unit", K14435=""), "", INDEX(LookUps!$E$5:$E$12, MATCH(OpenLCAbasic!K14435,LookUps!$D$5:$D$12,0))))</f>
        <v>Cumulative Energy Demand (CED) - MJ</v>
      </c>
      <c r="M14435" s="154" t="str">
        <f t="shared" si="1289"/>
        <v>High_Medium_High_Upgraded_Cumulative Energy Demand (CED) - MJ_Wastewater collection; operation and infrastructure; m3 wastewater_Without Amendment_Aerated Static Pile</v>
      </c>
    </row>
    <row r="14436" spans="1:13" s="120" customFormat="1" x14ac:dyDescent="0.25">
      <c r="A14436" s="119"/>
      <c r="B14436" s="138" t="str">
        <f t="shared" si="1282"/>
        <v>Aerated Static Pile</v>
      </c>
      <c r="C14436" s="138" t="str">
        <f t="shared" si="1283"/>
        <v>Without Amendment</v>
      </c>
      <c r="D14436" s="138" t="str">
        <f t="shared" si="1288"/>
        <v>Medium_High</v>
      </c>
      <c r="E14436" s="138" t="str">
        <f t="shared" si="1284"/>
        <v>High</v>
      </c>
      <c r="F14436" s="138" t="str">
        <f t="shared" si="1285"/>
        <v>Upgraded</v>
      </c>
      <c r="G14436" s="153"/>
      <c r="H14436" s="210">
        <v>5.8099999999999999E-2</v>
      </c>
      <c r="I14436" s="160" t="s">
        <v>148</v>
      </c>
      <c r="J14436" s="160">
        <v>0.14599000000000001</v>
      </c>
      <c r="K14436" s="160" t="s">
        <v>15</v>
      </c>
      <c r="L14436" s="154" t="str">
        <f>IF(OpenLCAbasic!K14436="CTUh", "Fill in Manually",IF(OR(K14436="Unit", K14436=""), "", INDEX(LookUps!$E$5:$E$12, MATCH(OpenLCAbasic!K14436,LookUps!$D$5:$D$12,0))))</f>
        <v>Cumulative Energy Demand (CED) - MJ</v>
      </c>
      <c r="M14436" s="154" t="str">
        <f t="shared" si="1289"/>
        <v>High_Medium_High_Upgraded_Cumulative Energy Demand (CED) - MJ_Control Building; at upgraded wastewater treatment plant - US_Without Amendment_Aerated Static Pile</v>
      </c>
    </row>
    <row r="14437" spans="1:13" s="120" customFormat="1" x14ac:dyDescent="0.25">
      <c r="A14437" s="119"/>
      <c r="B14437" s="138" t="str">
        <f t="shared" si="1282"/>
        <v>Aerated Static Pile</v>
      </c>
      <c r="C14437" s="138" t="str">
        <f t="shared" si="1283"/>
        <v>Without Amendment</v>
      </c>
      <c r="D14437" s="138" t="str">
        <f t="shared" si="1288"/>
        <v>Medium_High</v>
      </c>
      <c r="E14437" s="138" t="str">
        <f t="shared" si="1284"/>
        <v>High</v>
      </c>
      <c r="F14437" s="138" t="str">
        <f t="shared" si="1285"/>
        <v>Upgraded</v>
      </c>
      <c r="G14437" s="153"/>
      <c r="H14437" s="210">
        <v>5.2999999999999999E-2</v>
      </c>
      <c r="I14437" s="160" t="s">
        <v>48</v>
      </c>
      <c r="J14437" s="160">
        <v>0.13321</v>
      </c>
      <c r="K14437" s="160" t="s">
        <v>15</v>
      </c>
      <c r="L14437" s="154" t="str">
        <f>IF(OpenLCAbasic!K14437="CTUh", "Fill in Manually",IF(OR(K14437="Unit", K14437=""), "", INDEX(LookUps!$E$5:$E$12, MATCH(OpenLCAbasic!K14437,LookUps!$D$5:$D$12,0))))</f>
        <v>Cumulative Energy Demand (CED) - MJ</v>
      </c>
      <c r="M14437" s="154" t="str">
        <f t="shared" si="1289"/>
        <v>High_Medium_High_Upgraded_Cumulative Energy Demand (CED) - MJ_Effluent release; wastewater treatment unit; at surface water; m3 wastewater - US_Without Amendment_Aerated Static Pile</v>
      </c>
    </row>
    <row r="14438" spans="1:13" s="120" customFormat="1" x14ac:dyDescent="0.25">
      <c r="A14438" s="119"/>
      <c r="B14438" s="138" t="str">
        <f t="shared" si="1282"/>
        <v>Aerated Static Pile</v>
      </c>
      <c r="C14438" s="138" t="str">
        <f t="shared" si="1283"/>
        <v>Without Amendment</v>
      </c>
      <c r="D14438" s="138" t="str">
        <f t="shared" si="1288"/>
        <v>Medium_High</v>
      </c>
      <c r="E14438" s="138" t="str">
        <f t="shared" si="1284"/>
        <v>High</v>
      </c>
      <c r="F14438" s="138" t="str">
        <f t="shared" si="1285"/>
        <v>Upgraded</v>
      </c>
      <c r="G14438" s="153"/>
      <c r="H14438" s="210">
        <v>4.24E-2</v>
      </c>
      <c r="I14438" s="160" t="s">
        <v>59</v>
      </c>
      <c r="J14438" s="160">
        <v>0.10638</v>
      </c>
      <c r="K14438" s="160" t="s">
        <v>15</v>
      </c>
      <c r="L14438" s="154" t="str">
        <f>IF(OpenLCAbasic!K14438="CTUh", "Fill in Manually",IF(OR(K14438="Unit", K14438=""), "", INDEX(LookUps!$E$5:$E$12, MATCH(OpenLCAbasic!K14438,LookUps!$D$5:$D$12,0))))</f>
        <v>Cumulative Energy Demand (CED) - MJ</v>
      </c>
      <c r="M14438" s="154" t="str">
        <f t="shared" si="1289"/>
        <v>High_Medium_High_Upgraded_Cumulative Energy Demand (CED) - MJ_Blend Tank; wastewater treatment unit; at updated plant - US_Without Amendment_Aerated Static Pile</v>
      </c>
    </row>
    <row r="14439" spans="1:13" s="120" customFormat="1" x14ac:dyDescent="0.25">
      <c r="A14439" s="119"/>
      <c r="B14439" s="138" t="str">
        <f t="shared" si="1282"/>
        <v>Aerated Static Pile</v>
      </c>
      <c r="C14439" s="138" t="str">
        <f t="shared" si="1283"/>
        <v>Without Amendment</v>
      </c>
      <c r="D14439" s="138" t="str">
        <f t="shared" si="1288"/>
        <v>Medium_High</v>
      </c>
      <c r="E14439" s="138" t="str">
        <f t="shared" si="1284"/>
        <v>High</v>
      </c>
      <c r="F14439" s="138" t="str">
        <f t="shared" si="1285"/>
        <v>Upgraded</v>
      </c>
      <c r="G14439" s="153"/>
      <c r="H14439" s="210">
        <v>2.0299999999999999E-2</v>
      </c>
      <c r="I14439" s="160" t="s">
        <v>168</v>
      </c>
      <c r="J14439" s="160">
        <v>5.0930000000000003E-2</v>
      </c>
      <c r="K14439" s="160" t="s">
        <v>15</v>
      </c>
      <c r="L14439" s="154" t="str">
        <f>IF(OpenLCAbasic!K14439="CTUh", "Fill in Manually",IF(OR(K14439="Unit", K14439=""), "", INDEX(LookUps!$E$5:$E$12, MATCH(OpenLCAbasic!K14439,LookUps!$D$5:$D$12,0))))</f>
        <v>Cumulative Energy Demand (CED) - MJ</v>
      </c>
      <c r="M14439" s="154" t="str">
        <f t="shared" si="1289"/>
        <v>High_Medium_High_Upgraded_Cumulative Energy Demand (CED) - MJ_ClearCove SCP; wastewater treatment unit; at updated plant - US_Without Amendment_Aerated Static Pile</v>
      </c>
    </row>
    <row r="14440" spans="1:13" s="120" customFormat="1" x14ac:dyDescent="0.25">
      <c r="A14440" s="119"/>
      <c r="B14440" s="138" t="str">
        <f t="shared" si="1282"/>
        <v>Aerated Static Pile</v>
      </c>
      <c r="C14440" s="138" t="str">
        <f t="shared" si="1283"/>
        <v>Without Amendment</v>
      </c>
      <c r="D14440" s="138" t="str">
        <f t="shared" si="1288"/>
        <v>Medium_High</v>
      </c>
      <c r="E14440" s="138" t="str">
        <f t="shared" si="1284"/>
        <v>High</v>
      </c>
      <c r="F14440" s="138" t="str">
        <f t="shared" si="1285"/>
        <v>Upgraded</v>
      </c>
      <c r="G14440" s="153"/>
      <c r="H14440" s="210">
        <v>-0.1386</v>
      </c>
      <c r="I14440" s="160" t="s">
        <v>62</v>
      </c>
      <c r="J14440" s="160">
        <v>-0.34810999999999998</v>
      </c>
      <c r="K14440" s="160" t="s">
        <v>15</v>
      </c>
      <c r="L14440" s="154" t="str">
        <f>IF(OpenLCAbasic!K14440="CTUh", "Fill in Manually",IF(OR(K14440="Unit", K14440=""), "", INDEX(LookUps!$E$5:$E$12, MATCH(OpenLCAbasic!K14440,LookUps!$D$5:$D$12,0))))</f>
        <v>Cumulative Energy Demand (CED) - MJ</v>
      </c>
      <c r="M14440" s="154" t="str">
        <f t="shared" si="1289"/>
        <v>High_Medium_High_Upgraded_Cumulative Energy Demand (CED) - MJ_Land application of compost; wastewater treatment unit; at updated plant - US_Without Amendment_Aerated Static Pile</v>
      </c>
    </row>
    <row r="14441" spans="1:13" s="120" customFormat="1" x14ac:dyDescent="0.25">
      <c r="A14441" s="119"/>
      <c r="B14441" s="138" t="str">
        <f t="shared" ref="B14441:B14504" si="1290">IF(F14441="Legacy","n.a.",IF(F14441="","","Aerated Static Pile"))</f>
        <v>Aerated Static Pile</v>
      </c>
      <c r="C14441" s="138" t="str">
        <f t="shared" ref="C14441:C14504" si="1291">IF(ISNUMBER($J14441),"Without Amendment","")</f>
        <v>Without Amendment</v>
      </c>
      <c r="D14441" s="138" t="str">
        <f t="shared" si="1288"/>
        <v>Medium_High</v>
      </c>
      <c r="E14441" s="138" t="str">
        <f t="shared" ref="E14441:E14504" si="1292">IF(ISNUMBER($J14441),"High","")</f>
        <v>High</v>
      </c>
      <c r="F14441" s="138" t="str">
        <f t="shared" ref="F14441:F14504" si="1293">IF(ISNUMBER(J14441),"Upgraded","")</f>
        <v>Upgraded</v>
      </c>
      <c r="G14441" s="153"/>
      <c r="H14441" s="210">
        <v>-6.1607000000000003</v>
      </c>
      <c r="I14441" s="160" t="s">
        <v>149</v>
      </c>
      <c r="J14441" s="160">
        <v>-15.471780000000001</v>
      </c>
      <c r="K14441" s="160" t="s">
        <v>15</v>
      </c>
      <c r="L14441" s="154" t="str">
        <f>IF(OpenLCAbasic!K14441="CTUh", "Fill in Manually",IF(OR(K14441="Unit", K14441=""), "", INDEX(LookUps!$E$5:$E$12, MATCH(OpenLCAbasic!K14441,LookUps!$D$5:$D$12,0))))</f>
        <v>Cumulative Energy Demand (CED) - MJ</v>
      </c>
      <c r="M14441" s="154" t="str">
        <f t="shared" si="1289"/>
        <v>High_Medium_High_Upgraded_Cumulative Energy Demand (CED) - MJ_Anaerobic Digestion; wastewater treatment unit; at updated plant - US_Without Amendment_Aerated Static Pile</v>
      </c>
    </row>
    <row r="14442" spans="1:13" s="120" customFormat="1" x14ac:dyDescent="0.25">
      <c r="A14442" s="119"/>
      <c r="B14442" s="138" t="str">
        <f t="shared" si="1290"/>
        <v/>
      </c>
      <c r="C14442" s="138" t="str">
        <f t="shared" si="1291"/>
        <v/>
      </c>
      <c r="D14442" s="138" t="str">
        <f t="shared" si="1288"/>
        <v/>
      </c>
      <c r="E14442" s="138" t="str">
        <f t="shared" si="1292"/>
        <v/>
      </c>
      <c r="F14442" s="138" t="str">
        <f t="shared" si="1293"/>
        <v/>
      </c>
      <c r="G14442" s="153" t="s">
        <v>51</v>
      </c>
      <c r="H14442" s="160"/>
      <c r="I14442" s="160" t="s">
        <v>47</v>
      </c>
      <c r="J14442" s="160" t="s">
        <v>52</v>
      </c>
      <c r="K14442" s="160" t="s">
        <v>27</v>
      </c>
      <c r="L14442" s="154" t="str">
        <f>IF(OpenLCAbasic!K14442="CTUh", "Fill in Manually",IF(OR(K14442="Unit", K14442=""), "", INDEX(LookUps!$E$5:$E$12, MATCH(OpenLCAbasic!K14442,LookUps!$D$5:$D$12,0))))</f>
        <v/>
      </c>
      <c r="M14442" s="154" t="str">
        <f t="shared" si="1289"/>
        <v>____Process__</v>
      </c>
    </row>
    <row r="14443" spans="1:13" s="120" customFormat="1" x14ac:dyDescent="0.25">
      <c r="A14443" s="119"/>
      <c r="B14443" s="138" t="str">
        <f t="shared" si="1290"/>
        <v>Aerated Static Pile</v>
      </c>
      <c r="C14443" s="138" t="str">
        <f t="shared" si="1291"/>
        <v>Without Amendment</v>
      </c>
      <c r="D14443" s="138" t="str">
        <f t="shared" si="1288"/>
        <v>Medium_High</v>
      </c>
      <c r="E14443" s="138" t="str">
        <f t="shared" si="1292"/>
        <v>High</v>
      </c>
      <c r="F14443" s="138" t="str">
        <f t="shared" si="1293"/>
        <v>Upgraded</v>
      </c>
      <c r="G14443" s="153"/>
      <c r="H14443" s="210">
        <v>0.87829999999999997</v>
      </c>
      <c r="I14443" s="160" t="s">
        <v>48</v>
      </c>
      <c r="J14443" s="160">
        <v>1.1610000000000001E-2</v>
      </c>
      <c r="K14443" s="160" t="s">
        <v>13</v>
      </c>
      <c r="L14443" s="154" t="str">
        <f>IF(OpenLCAbasic!K14443="CTUh", "Fill in Manually",IF(OR(K14443="Unit", K14443=""), "", INDEX(LookUps!$E$5:$E$12, MATCH(OpenLCAbasic!K14443,LookUps!$D$5:$D$12,0))))</f>
        <v>Eutrophication Potential (EP) - kg N eq</v>
      </c>
      <c r="M14443" s="154" t="str">
        <f t="shared" si="1289"/>
        <v>High_Medium_High_Upgraded_Eutrophication Potential (EP) - kg N eq_Effluent release; wastewater treatment unit; at surface water; m3 wastewater - US_Without Amendment_Aerated Static Pile</v>
      </c>
    </row>
    <row r="14444" spans="1:13" s="120" customFormat="1" x14ac:dyDescent="0.25">
      <c r="A14444" s="119"/>
      <c r="B14444" s="138" t="str">
        <f t="shared" si="1290"/>
        <v>Aerated Static Pile</v>
      </c>
      <c r="C14444" s="138" t="str">
        <f t="shared" si="1291"/>
        <v>Without Amendment</v>
      </c>
      <c r="D14444" s="138" t="str">
        <f t="shared" si="1288"/>
        <v>Medium_High</v>
      </c>
      <c r="E14444" s="138" t="str">
        <f t="shared" si="1292"/>
        <v>High</v>
      </c>
      <c r="F14444" s="138" t="str">
        <f t="shared" si="1293"/>
        <v>Upgraded</v>
      </c>
      <c r="G14444" s="153"/>
      <c r="H14444" s="210">
        <v>0.1239</v>
      </c>
      <c r="I14444" s="160" t="s">
        <v>62</v>
      </c>
      <c r="J14444" s="160">
        <v>1.64E-3</v>
      </c>
      <c r="K14444" s="160" t="s">
        <v>13</v>
      </c>
      <c r="L14444" s="154" t="str">
        <f>IF(OpenLCAbasic!K14444="CTUh", "Fill in Manually",IF(OR(K14444="Unit", K14444=""), "", INDEX(LookUps!$E$5:$E$12, MATCH(OpenLCAbasic!K14444,LookUps!$D$5:$D$12,0))))</f>
        <v>Eutrophication Potential (EP) - kg N eq</v>
      </c>
      <c r="M14444" s="154" t="str">
        <f t="shared" si="1289"/>
        <v>High_Medium_High_Upgraded_Eutrophication Potential (EP) - kg N eq_Land application of compost; wastewater treatment unit; at updated plant - US_Without Amendment_Aerated Static Pile</v>
      </c>
    </row>
    <row r="14445" spans="1:13" s="120" customFormat="1" x14ac:dyDescent="0.25">
      <c r="A14445" s="119"/>
      <c r="B14445" s="138" t="str">
        <f t="shared" si="1290"/>
        <v>Aerated Static Pile</v>
      </c>
      <c r="C14445" s="138" t="str">
        <f t="shared" si="1291"/>
        <v>Without Amendment</v>
      </c>
      <c r="D14445" s="138" t="str">
        <f t="shared" si="1288"/>
        <v>Medium_High</v>
      </c>
      <c r="E14445" s="138" t="str">
        <f t="shared" si="1292"/>
        <v>High</v>
      </c>
      <c r="F14445" s="138" t="str">
        <f t="shared" si="1293"/>
        <v>Upgraded</v>
      </c>
      <c r="G14445" s="153"/>
      <c r="H14445" s="210">
        <v>4.1300000000000003E-2</v>
      </c>
      <c r="I14445" s="160" t="s">
        <v>55</v>
      </c>
      <c r="J14445" s="160">
        <v>5.5000000000000003E-4</v>
      </c>
      <c r="K14445" s="160" t="s">
        <v>13</v>
      </c>
      <c r="L14445" s="154" t="str">
        <f>IF(OpenLCAbasic!K14445="CTUh", "Fill in Manually",IF(OR(K14445="Unit", K14445=""), "", INDEX(LookUps!$E$5:$E$12, MATCH(OpenLCAbasic!K14445,LookUps!$D$5:$D$12,0))))</f>
        <v>Eutrophication Potential (EP) - kg N eq</v>
      </c>
      <c r="M14445" s="154" t="str">
        <f t="shared" si="1289"/>
        <v>High_Medium_High_Upgraded_Eutrophication Potential (EP) - kg N eq_Aeration Tanks; wastewater treatment unit; at updated plant - US_Without Amendment_Aerated Static Pile</v>
      </c>
    </row>
    <row r="14446" spans="1:13" s="120" customFormat="1" x14ac:dyDescent="0.25">
      <c r="A14446" s="119"/>
      <c r="B14446" s="138" t="str">
        <f t="shared" si="1290"/>
        <v>Aerated Static Pile</v>
      </c>
      <c r="C14446" s="138" t="str">
        <f t="shared" si="1291"/>
        <v>Without Amendment</v>
      </c>
      <c r="D14446" s="138" t="str">
        <f t="shared" si="1288"/>
        <v>Medium_High</v>
      </c>
      <c r="E14446" s="138" t="str">
        <f t="shared" si="1292"/>
        <v>High</v>
      </c>
      <c r="F14446" s="138" t="str">
        <f t="shared" si="1293"/>
        <v>Upgraded</v>
      </c>
      <c r="G14446" s="153"/>
      <c r="H14446" s="210">
        <v>1.89E-2</v>
      </c>
      <c r="I14446" s="160" t="s">
        <v>147</v>
      </c>
      <c r="J14446" s="160">
        <v>2.5000000000000001E-4</v>
      </c>
      <c r="K14446" s="160" t="s">
        <v>13</v>
      </c>
      <c r="L14446" s="154" t="str">
        <f>IF(OpenLCAbasic!K14446="CTUh", "Fill in Manually",IF(OR(K14446="Unit", K14446=""), "", INDEX(LookUps!$E$5:$E$12, MATCH(OpenLCAbasic!K14446,LookUps!$D$5:$D$12,0))))</f>
        <v>Eutrophication Potential (EP) - kg N eq</v>
      </c>
      <c r="M14446" s="154" t="str">
        <f t="shared" si="1289"/>
        <v>High_Medium_High_Upgraded_Eutrophication Potential (EP) - kg N eq_Influent Pump Station; wastewater treatment unit; at updated plant - US_Without Amendment_Aerated Static Pile</v>
      </c>
    </row>
    <row r="14447" spans="1:13" s="120" customFormat="1" x14ac:dyDescent="0.25">
      <c r="A14447" s="119"/>
      <c r="B14447" s="138" t="str">
        <f t="shared" si="1290"/>
        <v>Aerated Static Pile</v>
      </c>
      <c r="C14447" s="138" t="str">
        <f t="shared" si="1291"/>
        <v>Without Amendment</v>
      </c>
      <c r="D14447" s="138" t="str">
        <f t="shared" si="1288"/>
        <v>Medium_High</v>
      </c>
      <c r="E14447" s="138" t="str">
        <f t="shared" si="1292"/>
        <v>High</v>
      </c>
      <c r="F14447" s="138" t="str">
        <f t="shared" si="1293"/>
        <v>Upgraded</v>
      </c>
      <c r="G14447" s="153"/>
      <c r="H14447" s="210">
        <v>1.4999999999999999E-2</v>
      </c>
      <c r="I14447" s="160" t="s">
        <v>54</v>
      </c>
      <c r="J14447" s="160">
        <v>2.0000000000000001E-4</v>
      </c>
      <c r="K14447" s="160" t="s">
        <v>13</v>
      </c>
      <c r="L14447" s="154" t="str">
        <f>IF(OpenLCAbasic!K14447="CTUh", "Fill in Manually",IF(OR(K14447="Unit", K14447=""), "", INDEX(LookUps!$E$5:$E$12, MATCH(OpenLCAbasic!K14447,LookUps!$D$5:$D$12,0))))</f>
        <v>Eutrophication Potential (EP) - kg N eq</v>
      </c>
      <c r="M14447" s="154" t="str">
        <f t="shared" si="1289"/>
        <v>High_Medium_High_Upgraded_Eutrophication Potential (EP) - kg N eq_Clear Cove Primary Clarification; wastewater treatment unit; at updated plant - US_Without Amendment_Aerated Static Pile</v>
      </c>
    </row>
    <row r="14448" spans="1:13" s="120" customFormat="1" x14ac:dyDescent="0.25">
      <c r="A14448" s="119"/>
      <c r="B14448" s="138" t="str">
        <f t="shared" si="1290"/>
        <v>Aerated Static Pile</v>
      </c>
      <c r="C14448" s="138" t="str">
        <f t="shared" si="1291"/>
        <v>Without Amendment</v>
      </c>
      <c r="D14448" s="138" t="str">
        <f t="shared" si="1288"/>
        <v>Medium_High</v>
      </c>
      <c r="E14448" s="138" t="str">
        <f t="shared" si="1292"/>
        <v>High</v>
      </c>
      <c r="F14448" s="138" t="str">
        <f t="shared" si="1293"/>
        <v>Upgraded</v>
      </c>
      <c r="G14448" s="153"/>
      <c r="H14448" s="210">
        <v>1.44E-2</v>
      </c>
      <c r="I14448" s="160" t="s">
        <v>167</v>
      </c>
      <c r="J14448" s="160">
        <v>1.9000000000000001E-4</v>
      </c>
      <c r="K14448" s="160" t="s">
        <v>13</v>
      </c>
      <c r="L14448" s="154" t="str">
        <f>IF(OpenLCAbasic!K14448="CTUh", "Fill in Manually",IF(OR(K14448="Unit", K14448=""), "", INDEX(LookUps!$E$5:$E$12, MATCH(OpenLCAbasic!K14448,LookUps!$D$5:$D$12,0))))</f>
        <v>Eutrophication Potential (EP) - kg N eq</v>
      </c>
      <c r="M14448" s="154" t="str">
        <f t="shared" si="1289"/>
        <v>High_Medium_High_Upgraded_Eutrophication Potential (EP) - kg N eq_Waste Receiving and Holding; wastewater treatment unit; at updated plant - US_Without Amendment_Aerated Static Pile</v>
      </c>
    </row>
    <row r="14449" spans="1:13" s="120" customFormat="1" x14ac:dyDescent="0.25">
      <c r="A14449" s="119"/>
      <c r="B14449" s="138" t="str">
        <f t="shared" si="1290"/>
        <v>Aerated Static Pile</v>
      </c>
      <c r="C14449" s="138" t="str">
        <f t="shared" si="1291"/>
        <v>Without Amendment</v>
      </c>
      <c r="D14449" s="138" t="str">
        <f t="shared" si="1288"/>
        <v>Medium_High</v>
      </c>
      <c r="E14449" s="138" t="str">
        <f t="shared" si="1292"/>
        <v>High</v>
      </c>
      <c r="F14449" s="138" t="str">
        <f t="shared" si="1293"/>
        <v>Upgraded</v>
      </c>
      <c r="G14449" s="153"/>
      <c r="H14449" s="210">
        <v>1.03E-2</v>
      </c>
      <c r="I14449" s="160" t="s">
        <v>58</v>
      </c>
      <c r="J14449" s="160">
        <v>1.3999999999999999E-4</v>
      </c>
      <c r="K14449" s="160" t="s">
        <v>13</v>
      </c>
      <c r="L14449" s="154" t="str">
        <f>IF(OpenLCAbasic!K14449="CTUh", "Fill in Manually",IF(OR(K14449="Unit", K14449=""), "", INDEX(LookUps!$E$5:$E$12, MATCH(OpenLCAbasic!K14449,LookUps!$D$5:$D$12,0))))</f>
        <v>Eutrophication Potential (EP) - kg N eq</v>
      </c>
      <c r="M14449" s="154" t="str">
        <f t="shared" si="1289"/>
        <v>High_Medium_High_Upgraded_Eutrophication Potential (EP) - kg N eq_Pre-Anoxic &amp; Swing tank; wastewater treatment unit; at updated plant - US_Without Amendment_Aerated Static Pile</v>
      </c>
    </row>
    <row r="14450" spans="1:13" s="120" customFormat="1" x14ac:dyDescent="0.25">
      <c r="A14450" s="119"/>
      <c r="B14450" s="138" t="str">
        <f t="shared" si="1290"/>
        <v>Aerated Static Pile</v>
      </c>
      <c r="C14450" s="138" t="str">
        <f t="shared" si="1291"/>
        <v>Without Amendment</v>
      </c>
      <c r="D14450" s="138" t="str">
        <f t="shared" si="1288"/>
        <v>Medium_High</v>
      </c>
      <c r="E14450" s="138" t="str">
        <f t="shared" si="1292"/>
        <v>High</v>
      </c>
      <c r="F14450" s="138" t="str">
        <f t="shared" si="1293"/>
        <v>Upgraded</v>
      </c>
      <c r="G14450" s="153"/>
      <c r="H14450" s="210">
        <v>8.0999999999999996E-3</v>
      </c>
      <c r="I14450" s="160" t="s">
        <v>53</v>
      </c>
      <c r="J14450" s="160">
        <v>1.1E-4</v>
      </c>
      <c r="K14450" s="160" t="s">
        <v>13</v>
      </c>
      <c r="L14450" s="154" t="str">
        <f>IF(OpenLCAbasic!K14450="CTUh", "Fill in Manually",IF(OR(K14450="Unit", K14450=""), "", INDEX(LookUps!$E$5:$E$12, MATCH(OpenLCAbasic!K14450,LookUps!$D$5:$D$12,0))))</f>
        <v>Eutrophication Potential (EP) - kg N eq</v>
      </c>
      <c r="M14450" s="154" t="str">
        <f t="shared" si="1289"/>
        <v>High_Medium_High_Upgraded_Eutrophication Potential (EP) - kg N eq_Wet Well and Sump Station; wastewater treatment unit; at updated plant - US_Without Amendment_Aerated Static Pile</v>
      </c>
    </row>
    <row r="14451" spans="1:13" s="120" customFormat="1" x14ac:dyDescent="0.25">
      <c r="A14451" s="119"/>
      <c r="B14451" s="138" t="str">
        <f t="shared" si="1290"/>
        <v>Aerated Static Pile</v>
      </c>
      <c r="C14451" s="138" t="str">
        <f t="shared" si="1291"/>
        <v>Without Amendment</v>
      </c>
      <c r="D14451" s="138" t="str">
        <f t="shared" si="1288"/>
        <v>Medium_High</v>
      </c>
      <c r="E14451" s="138" t="str">
        <f t="shared" si="1292"/>
        <v>High</v>
      </c>
      <c r="F14451" s="138" t="str">
        <f t="shared" si="1293"/>
        <v>Upgraded</v>
      </c>
      <c r="G14451" s="153"/>
      <c r="H14451" s="210">
        <v>7.3000000000000001E-3</v>
      </c>
      <c r="I14451" s="160" t="s">
        <v>435</v>
      </c>
      <c r="J14451" s="211">
        <v>9.5938800000000004E-5</v>
      </c>
      <c r="K14451" s="160" t="s">
        <v>13</v>
      </c>
      <c r="L14451" s="154" t="str">
        <f>IF(OpenLCAbasic!K14451="CTUh", "Fill in Manually",IF(OR(K14451="Unit", K14451=""), "", INDEX(LookUps!$E$5:$E$12, MATCH(OpenLCAbasic!K14451,LookUps!$D$5:$D$12,0))))</f>
        <v>Eutrophication Potential (EP) - kg N eq</v>
      </c>
      <c r="M14451" s="154" t="str">
        <f t="shared" si="1289"/>
        <v>High_Medium_High_Upgraded_Eutrophication Potential (EP) - kg N eq_Biosolids composting; aerated static pile; wastewater treatment unit; at updated plant - US_Without Amendment_Aerated Static Pile</v>
      </c>
    </row>
    <row r="14452" spans="1:13" s="120" customFormat="1" x14ac:dyDescent="0.25">
      <c r="A14452" s="119"/>
      <c r="B14452" s="138" t="str">
        <f t="shared" si="1290"/>
        <v>Aerated Static Pile</v>
      </c>
      <c r="C14452" s="138" t="str">
        <f t="shared" si="1291"/>
        <v>Without Amendment</v>
      </c>
      <c r="D14452" s="138" t="str">
        <f t="shared" si="1288"/>
        <v>Medium_High</v>
      </c>
      <c r="E14452" s="138" t="str">
        <f t="shared" si="1292"/>
        <v>High</v>
      </c>
      <c r="F14452" s="138" t="str">
        <f t="shared" si="1293"/>
        <v>Upgraded</v>
      </c>
      <c r="G14452" s="153"/>
      <c r="H14452" s="210">
        <v>5.1000000000000004E-3</v>
      </c>
      <c r="I14452" s="160" t="s">
        <v>60</v>
      </c>
      <c r="J14452" s="211">
        <v>6.69155E-5</v>
      </c>
      <c r="K14452" s="160" t="s">
        <v>13</v>
      </c>
      <c r="L14452" s="154" t="str">
        <f>IF(OpenLCAbasic!K14452="CTUh", "Fill in Manually",IF(OR(K14452="Unit", K14452=""), "", INDEX(LookUps!$E$5:$E$12, MATCH(OpenLCAbasic!K14452,LookUps!$D$5:$D$12,0))))</f>
        <v>Eutrophication Potential (EP) - kg N eq</v>
      </c>
      <c r="M14452" s="154" t="str">
        <f t="shared" si="1289"/>
        <v>High_Medium_High_Upgraded_Eutrophication Potential (EP) - kg N eq_Belt filter press; wastewater treatment unit; at updated plant - US_Without Amendment_Aerated Static Pile</v>
      </c>
    </row>
    <row r="14453" spans="1:13" s="120" customFormat="1" x14ac:dyDescent="0.25">
      <c r="A14453" s="119"/>
      <c r="B14453" s="138" t="str">
        <f t="shared" si="1290"/>
        <v>Aerated Static Pile</v>
      </c>
      <c r="C14453" s="138" t="str">
        <f t="shared" si="1291"/>
        <v>Without Amendment</v>
      </c>
      <c r="D14453" s="138" t="str">
        <f t="shared" si="1288"/>
        <v>Medium_High</v>
      </c>
      <c r="E14453" s="138" t="str">
        <f t="shared" si="1292"/>
        <v>High</v>
      </c>
      <c r="F14453" s="138" t="str">
        <f t="shared" si="1293"/>
        <v>Upgraded</v>
      </c>
      <c r="G14453" s="153"/>
      <c r="H14453" s="210">
        <v>4.5999999999999999E-3</v>
      </c>
      <c r="I14453" s="160" t="s">
        <v>57</v>
      </c>
      <c r="J14453" s="211">
        <v>6.0590300000000002E-5</v>
      </c>
      <c r="K14453" s="160" t="s">
        <v>13</v>
      </c>
      <c r="L14453" s="154" t="str">
        <f>IF(OpenLCAbasic!K14453="CTUh", "Fill in Manually",IF(OR(K14453="Unit", K14453=""), "", INDEX(LookUps!$E$5:$E$12, MATCH(OpenLCAbasic!K14453,LookUps!$D$5:$D$12,0))))</f>
        <v>Eutrophication Potential (EP) - kg N eq</v>
      </c>
      <c r="M14453" s="154" t="str">
        <f t="shared" si="1289"/>
        <v>High_Medium_High_Upgraded_Eutrophication Potential (EP) - kg N eq_Gravity Belt Thickener; wastewater treatment unit; at updated plant - US_Without Amendment_Aerated Static Pile</v>
      </c>
    </row>
    <row r="14454" spans="1:13" s="120" customFormat="1" x14ac:dyDescent="0.25">
      <c r="A14454" s="119"/>
      <c r="B14454" s="138" t="str">
        <f t="shared" si="1290"/>
        <v>Aerated Static Pile</v>
      </c>
      <c r="C14454" s="138" t="str">
        <f t="shared" si="1291"/>
        <v>Without Amendment</v>
      </c>
      <c r="D14454" s="138" t="str">
        <f t="shared" si="1288"/>
        <v>Medium_High</v>
      </c>
      <c r="E14454" s="138" t="str">
        <f t="shared" si="1292"/>
        <v>High</v>
      </c>
      <c r="F14454" s="138" t="str">
        <f t="shared" si="1293"/>
        <v>Upgraded</v>
      </c>
      <c r="G14454" s="153"/>
      <c r="H14454" s="210">
        <v>2.8E-3</v>
      </c>
      <c r="I14454" s="160" t="s">
        <v>128</v>
      </c>
      <c r="J14454" s="211">
        <v>3.7559799999999999E-5</v>
      </c>
      <c r="K14454" s="160" t="s">
        <v>13</v>
      </c>
      <c r="L14454" s="154" t="str">
        <f>IF(OpenLCAbasic!K14454="CTUh", "Fill in Manually",IF(OR(K14454="Unit", K14454=""), "", INDEX(LookUps!$E$5:$E$12, MATCH(OpenLCAbasic!K14454,LookUps!$D$5:$D$12,0))))</f>
        <v>Eutrophication Potential (EP) - kg N eq</v>
      </c>
      <c r="M14454" s="154" t="str">
        <f t="shared" si="1289"/>
        <v>High_Medium_High_Upgraded_Eutrophication Potential (EP) - kg N eq_Wastewater collection; operation and infrastructure; m3 wastewater_Without Amendment_Aerated Static Pile</v>
      </c>
    </row>
    <row r="14455" spans="1:13" s="120" customFormat="1" x14ac:dyDescent="0.25">
      <c r="A14455" s="119"/>
      <c r="B14455" s="138" t="str">
        <f t="shared" si="1290"/>
        <v>Aerated Static Pile</v>
      </c>
      <c r="C14455" s="138" t="str">
        <f t="shared" si="1291"/>
        <v>Without Amendment</v>
      </c>
      <c r="D14455" s="138" t="str">
        <f t="shared" si="1288"/>
        <v>Medium_High</v>
      </c>
      <c r="E14455" s="138" t="str">
        <f t="shared" si="1292"/>
        <v>High</v>
      </c>
      <c r="F14455" s="138" t="str">
        <f t="shared" si="1293"/>
        <v>Upgraded</v>
      </c>
      <c r="G14455" s="153"/>
      <c r="H14455" s="210">
        <v>2.8E-3</v>
      </c>
      <c r="I14455" s="160" t="s">
        <v>148</v>
      </c>
      <c r="J14455" s="211">
        <v>3.6874600000000001E-5</v>
      </c>
      <c r="K14455" s="160" t="s">
        <v>13</v>
      </c>
      <c r="L14455" s="154" t="str">
        <f>IF(OpenLCAbasic!K14455="CTUh", "Fill in Manually",IF(OR(K14455="Unit", K14455=""), "", INDEX(LookUps!$E$5:$E$12, MATCH(OpenLCAbasic!K14455,LookUps!$D$5:$D$12,0))))</f>
        <v>Eutrophication Potential (EP) - kg N eq</v>
      </c>
      <c r="M14455" s="154" t="str">
        <f t="shared" si="1289"/>
        <v>High_Medium_High_Upgraded_Eutrophication Potential (EP) - kg N eq_Control Building; at upgraded wastewater treatment plant - US_Without Amendment_Aerated Static Pile</v>
      </c>
    </row>
    <row r="14456" spans="1:13" s="120" customFormat="1" x14ac:dyDescent="0.25">
      <c r="A14456" s="119"/>
      <c r="B14456" s="138" t="str">
        <f t="shared" si="1290"/>
        <v>Aerated Static Pile</v>
      </c>
      <c r="C14456" s="138" t="str">
        <f t="shared" si="1291"/>
        <v>Without Amendment</v>
      </c>
      <c r="D14456" s="138" t="str">
        <f t="shared" si="1288"/>
        <v>Medium_High</v>
      </c>
      <c r="E14456" s="138" t="str">
        <f t="shared" si="1292"/>
        <v>High</v>
      </c>
      <c r="F14456" s="138" t="str">
        <f t="shared" si="1293"/>
        <v>Upgraded</v>
      </c>
      <c r="G14456" s="153"/>
      <c r="H14456" s="210">
        <v>1.1999999999999999E-3</v>
      </c>
      <c r="I14456" s="160" t="s">
        <v>59</v>
      </c>
      <c r="J14456" s="211">
        <v>1.6215700000000001E-5</v>
      </c>
      <c r="K14456" s="160" t="s">
        <v>13</v>
      </c>
      <c r="L14456" s="154" t="str">
        <f>IF(OpenLCAbasic!K14456="CTUh", "Fill in Manually",IF(OR(K14456="Unit", K14456=""), "", INDEX(LookUps!$E$5:$E$12, MATCH(OpenLCAbasic!K14456,LookUps!$D$5:$D$12,0))))</f>
        <v>Eutrophication Potential (EP) - kg N eq</v>
      </c>
      <c r="M14456" s="154" t="str">
        <f t="shared" si="1289"/>
        <v>High_Medium_High_Upgraded_Eutrophication Potential (EP) - kg N eq_Blend Tank; wastewater treatment unit; at updated plant - US_Without Amendment_Aerated Static Pile</v>
      </c>
    </row>
    <row r="14457" spans="1:13" s="120" customFormat="1" x14ac:dyDescent="0.25">
      <c r="A14457" s="119"/>
      <c r="B14457" s="138" t="str">
        <f t="shared" si="1290"/>
        <v>Aerated Static Pile</v>
      </c>
      <c r="C14457" s="138" t="str">
        <f t="shared" si="1291"/>
        <v>Without Amendment</v>
      </c>
      <c r="D14457" s="138" t="str">
        <f t="shared" si="1288"/>
        <v>Medium_High</v>
      </c>
      <c r="E14457" s="138" t="str">
        <f t="shared" si="1292"/>
        <v>High</v>
      </c>
      <c r="F14457" s="138" t="str">
        <f t="shared" si="1293"/>
        <v>Upgraded</v>
      </c>
      <c r="G14457" s="153"/>
      <c r="H14457" s="210">
        <v>5.9999999999999995E-4</v>
      </c>
      <c r="I14457" s="160" t="s">
        <v>168</v>
      </c>
      <c r="J14457" s="211">
        <v>7.7567199999999995E-6</v>
      </c>
      <c r="K14457" s="160" t="s">
        <v>13</v>
      </c>
      <c r="L14457" s="154" t="str">
        <f>IF(OpenLCAbasic!K14457="CTUh", "Fill in Manually",IF(OR(K14457="Unit", K14457=""), "", INDEX(LookUps!$E$5:$E$12, MATCH(OpenLCAbasic!K14457,LookUps!$D$5:$D$12,0))))</f>
        <v>Eutrophication Potential (EP) - kg N eq</v>
      </c>
      <c r="M14457" s="154" t="str">
        <f t="shared" si="1289"/>
        <v>High_Medium_High_Upgraded_Eutrophication Potential (EP) - kg N eq_ClearCove SCP; wastewater treatment unit; at updated plant - US_Without Amendment_Aerated Static Pile</v>
      </c>
    </row>
    <row r="14458" spans="1:13" s="120" customFormat="1" x14ac:dyDescent="0.25">
      <c r="A14458" s="119"/>
      <c r="B14458" s="138" t="str">
        <f t="shared" si="1290"/>
        <v>Aerated Static Pile</v>
      </c>
      <c r="C14458" s="138" t="str">
        <f t="shared" si="1291"/>
        <v>Without Amendment</v>
      </c>
      <c r="D14458" s="138" t="str">
        <f t="shared" si="1288"/>
        <v>Medium_High</v>
      </c>
      <c r="E14458" s="138" t="str">
        <f t="shared" si="1292"/>
        <v>High</v>
      </c>
      <c r="F14458" s="138" t="str">
        <f t="shared" si="1293"/>
        <v>Upgraded</v>
      </c>
      <c r="G14458" s="153"/>
      <c r="H14458" s="210">
        <v>-0.1346</v>
      </c>
      <c r="I14458" s="160" t="s">
        <v>149</v>
      </c>
      <c r="J14458" s="160">
        <v>-1.7799999999999999E-3</v>
      </c>
      <c r="K14458" s="160" t="s">
        <v>13</v>
      </c>
      <c r="L14458" s="154" t="str">
        <f>IF(OpenLCAbasic!K14458="CTUh", "Fill in Manually",IF(OR(K14458="Unit", K14458=""), "", INDEX(LookUps!$E$5:$E$12, MATCH(OpenLCAbasic!K14458,LookUps!$D$5:$D$12,0))))</f>
        <v>Eutrophication Potential (EP) - kg N eq</v>
      </c>
      <c r="M14458" s="154" t="str">
        <f t="shared" si="1289"/>
        <v>High_Medium_High_Upgraded_Eutrophication Potential (EP) - kg N eq_Anaerobic Digestion; wastewater treatment unit; at updated plant - US_Without Amendment_Aerated Static Pile</v>
      </c>
    </row>
    <row r="14459" spans="1:13" s="120" customFormat="1" x14ac:dyDescent="0.25">
      <c r="A14459" s="119"/>
      <c r="B14459" s="138" t="str">
        <f t="shared" si="1290"/>
        <v/>
      </c>
      <c r="C14459" s="138" t="str">
        <f t="shared" si="1291"/>
        <v/>
      </c>
      <c r="D14459" s="138" t="str">
        <f t="shared" si="1288"/>
        <v/>
      </c>
      <c r="E14459" s="138" t="str">
        <f t="shared" si="1292"/>
        <v/>
      </c>
      <c r="F14459" s="138" t="str">
        <f t="shared" si="1293"/>
        <v/>
      </c>
      <c r="G14459" s="153" t="s">
        <v>51</v>
      </c>
      <c r="H14459" s="160"/>
      <c r="I14459" s="160" t="s">
        <v>47</v>
      </c>
      <c r="J14459" s="160" t="s">
        <v>52</v>
      </c>
      <c r="K14459" s="160" t="s">
        <v>27</v>
      </c>
      <c r="L14459" s="154" t="str">
        <f>IF(OpenLCAbasic!K14459="CTUh", "Fill in Manually",IF(OR(K14459="Unit", K14459=""), "", INDEX(LookUps!$E$5:$E$12, MATCH(OpenLCAbasic!K14459,LookUps!$D$5:$D$12,0))))</f>
        <v/>
      </c>
      <c r="M14459" s="154" t="str">
        <f t="shared" si="1289"/>
        <v>____Process__</v>
      </c>
    </row>
    <row r="14460" spans="1:13" s="120" customFormat="1" x14ac:dyDescent="0.25">
      <c r="A14460" s="119"/>
      <c r="B14460" s="138" t="str">
        <f t="shared" si="1290"/>
        <v>Aerated Static Pile</v>
      </c>
      <c r="C14460" s="138" t="str">
        <f t="shared" si="1291"/>
        <v>Without Amendment</v>
      </c>
      <c r="D14460" s="138" t="str">
        <f t="shared" si="1288"/>
        <v>Medium_High</v>
      </c>
      <c r="E14460" s="138" t="str">
        <f t="shared" si="1292"/>
        <v>High</v>
      </c>
      <c r="F14460" s="138" t="str">
        <f t="shared" si="1293"/>
        <v>Upgraded</v>
      </c>
      <c r="G14460" s="153"/>
      <c r="H14460" s="210">
        <v>2.1966000000000001</v>
      </c>
      <c r="I14460" s="160" t="s">
        <v>167</v>
      </c>
      <c r="J14460" s="160">
        <v>9.7259999999999999E-2</v>
      </c>
      <c r="K14460" s="160" t="s">
        <v>14</v>
      </c>
      <c r="L14460" s="154" t="str">
        <f>IF(OpenLCAbasic!K14460="CTUh", "Fill in Manually",IF(OR(K14460="Unit", K14460=""), "", INDEX(LookUps!$E$5:$E$12, MATCH(OpenLCAbasic!K14460,LookUps!$D$5:$D$12,0))))</f>
        <v>Fossil Depletion Potential (FDP) - kg oil eq</v>
      </c>
      <c r="M14460" s="154" t="str">
        <f t="shared" si="1289"/>
        <v>High_Medium_High_Upgraded_Fossil Depletion Potential (FDP) - kg oil eq_Waste Receiving and Holding; wastewater treatment unit; at updated plant - US_Without Amendment_Aerated Static Pile</v>
      </c>
    </row>
    <row r="14461" spans="1:13" s="120" customFormat="1" x14ac:dyDescent="0.25">
      <c r="A14461" s="119"/>
      <c r="B14461" s="138" t="str">
        <f t="shared" si="1290"/>
        <v>Aerated Static Pile</v>
      </c>
      <c r="C14461" s="138" t="str">
        <f t="shared" si="1291"/>
        <v>Without Amendment</v>
      </c>
      <c r="D14461" s="138" t="str">
        <f t="shared" si="1288"/>
        <v>Medium_High</v>
      </c>
      <c r="E14461" s="138" t="str">
        <f t="shared" si="1292"/>
        <v>High</v>
      </c>
      <c r="F14461" s="138" t="str">
        <f t="shared" si="1293"/>
        <v>Upgraded</v>
      </c>
      <c r="G14461" s="153"/>
      <c r="H14461" s="210">
        <v>1.4362999999999999</v>
      </c>
      <c r="I14461" s="160" t="s">
        <v>55</v>
      </c>
      <c r="J14461" s="160">
        <v>6.3589999999999994E-2</v>
      </c>
      <c r="K14461" s="160" t="s">
        <v>14</v>
      </c>
      <c r="L14461" s="154" t="str">
        <f>IF(OpenLCAbasic!K14461="CTUh", "Fill in Manually",IF(OR(K14461="Unit", K14461=""), "", INDEX(LookUps!$E$5:$E$12, MATCH(OpenLCAbasic!K14461,LookUps!$D$5:$D$12,0))))</f>
        <v>Fossil Depletion Potential (FDP) - kg oil eq</v>
      </c>
      <c r="M14461" s="154" t="str">
        <f t="shared" si="1289"/>
        <v>High_Medium_High_Upgraded_Fossil Depletion Potential (FDP) - kg oil eq_Aeration Tanks; wastewater treatment unit; at updated plant - US_Without Amendment_Aerated Static Pile</v>
      </c>
    </row>
    <row r="14462" spans="1:13" s="120" customFormat="1" x14ac:dyDescent="0.25">
      <c r="A14462" s="119"/>
      <c r="B14462" s="138" t="str">
        <f t="shared" si="1290"/>
        <v>Aerated Static Pile</v>
      </c>
      <c r="C14462" s="138" t="str">
        <f t="shared" si="1291"/>
        <v>Without Amendment</v>
      </c>
      <c r="D14462" s="138" t="str">
        <f t="shared" si="1288"/>
        <v>Medium_High</v>
      </c>
      <c r="E14462" s="138" t="str">
        <f t="shared" si="1292"/>
        <v>High</v>
      </c>
      <c r="F14462" s="138" t="str">
        <f t="shared" si="1293"/>
        <v>Upgraded</v>
      </c>
      <c r="G14462" s="153"/>
      <c r="H14462" s="210">
        <v>0.47539999999999999</v>
      </c>
      <c r="I14462" s="160" t="s">
        <v>54</v>
      </c>
      <c r="J14462" s="160">
        <v>2.1049999999999999E-2</v>
      </c>
      <c r="K14462" s="160" t="s">
        <v>14</v>
      </c>
      <c r="L14462" s="154" t="str">
        <f>IF(OpenLCAbasic!K14462="CTUh", "Fill in Manually",IF(OR(K14462="Unit", K14462=""), "", INDEX(LookUps!$E$5:$E$12, MATCH(OpenLCAbasic!K14462,LookUps!$D$5:$D$12,0))))</f>
        <v>Fossil Depletion Potential (FDP) - kg oil eq</v>
      </c>
      <c r="M14462" s="154" t="str">
        <f t="shared" si="1289"/>
        <v>High_Medium_High_Upgraded_Fossil Depletion Potential (FDP) - kg oil eq_Clear Cove Primary Clarification; wastewater treatment unit; at updated plant - US_Without Amendment_Aerated Static Pile</v>
      </c>
    </row>
    <row r="14463" spans="1:13" s="120" customFormat="1" x14ac:dyDescent="0.25">
      <c r="A14463" s="119"/>
      <c r="B14463" s="138" t="str">
        <f t="shared" si="1290"/>
        <v>Aerated Static Pile</v>
      </c>
      <c r="C14463" s="138" t="str">
        <f t="shared" si="1291"/>
        <v>Without Amendment</v>
      </c>
      <c r="D14463" s="138" t="str">
        <f t="shared" si="1288"/>
        <v>Medium_High</v>
      </c>
      <c r="E14463" s="138" t="str">
        <f t="shared" si="1292"/>
        <v>High</v>
      </c>
      <c r="F14463" s="138" t="str">
        <f t="shared" si="1293"/>
        <v>Upgraded</v>
      </c>
      <c r="G14463" s="153"/>
      <c r="H14463" s="210">
        <v>0.36080000000000001</v>
      </c>
      <c r="I14463" s="160" t="s">
        <v>58</v>
      </c>
      <c r="J14463" s="160">
        <v>1.5980000000000001E-2</v>
      </c>
      <c r="K14463" s="160" t="s">
        <v>14</v>
      </c>
      <c r="L14463" s="154" t="str">
        <f>IF(OpenLCAbasic!K14463="CTUh", "Fill in Manually",IF(OR(K14463="Unit", K14463=""), "", INDEX(LookUps!$E$5:$E$12, MATCH(OpenLCAbasic!K14463,LookUps!$D$5:$D$12,0))))</f>
        <v>Fossil Depletion Potential (FDP) - kg oil eq</v>
      </c>
      <c r="M14463" s="154" t="str">
        <f t="shared" si="1289"/>
        <v>High_Medium_High_Upgraded_Fossil Depletion Potential (FDP) - kg oil eq_Pre-Anoxic &amp; Swing tank; wastewater treatment unit; at updated plant - US_Without Amendment_Aerated Static Pile</v>
      </c>
    </row>
    <row r="14464" spans="1:13" s="120" customFormat="1" x14ac:dyDescent="0.25">
      <c r="A14464" s="119"/>
      <c r="B14464" s="138" t="str">
        <f t="shared" si="1290"/>
        <v>Aerated Static Pile</v>
      </c>
      <c r="C14464" s="138" t="str">
        <f t="shared" si="1291"/>
        <v>Without Amendment</v>
      </c>
      <c r="D14464" s="138" t="str">
        <f t="shared" si="1288"/>
        <v>Medium_High</v>
      </c>
      <c r="E14464" s="138" t="str">
        <f t="shared" si="1292"/>
        <v>High</v>
      </c>
      <c r="F14464" s="138" t="str">
        <f t="shared" si="1293"/>
        <v>Upgraded</v>
      </c>
      <c r="G14464" s="153"/>
      <c r="H14464" s="210">
        <v>0.34079999999999999</v>
      </c>
      <c r="I14464" s="160" t="s">
        <v>147</v>
      </c>
      <c r="J14464" s="160">
        <v>1.5089999999999999E-2</v>
      </c>
      <c r="K14464" s="160" t="s">
        <v>14</v>
      </c>
      <c r="L14464" s="154" t="str">
        <f>IF(OpenLCAbasic!K14464="CTUh", "Fill in Manually",IF(OR(K14464="Unit", K14464=""), "", INDEX(LookUps!$E$5:$E$12, MATCH(OpenLCAbasic!K14464,LookUps!$D$5:$D$12,0))))</f>
        <v>Fossil Depletion Potential (FDP) - kg oil eq</v>
      </c>
      <c r="M14464" s="154" t="str">
        <f t="shared" si="1289"/>
        <v>High_Medium_High_Upgraded_Fossil Depletion Potential (FDP) - kg oil eq_Influent Pump Station; wastewater treatment unit; at updated plant - US_Without Amendment_Aerated Static Pile</v>
      </c>
    </row>
    <row r="14465" spans="1:13" s="120" customFormat="1" x14ac:dyDescent="0.25">
      <c r="A14465" s="119"/>
      <c r="B14465" s="138" t="str">
        <f t="shared" si="1290"/>
        <v>Aerated Static Pile</v>
      </c>
      <c r="C14465" s="138" t="str">
        <f t="shared" si="1291"/>
        <v>Without Amendment</v>
      </c>
      <c r="D14465" s="138" t="str">
        <f t="shared" si="1288"/>
        <v>Medium_High</v>
      </c>
      <c r="E14465" s="138" t="str">
        <f t="shared" si="1292"/>
        <v>High</v>
      </c>
      <c r="F14465" s="138" t="str">
        <f t="shared" si="1293"/>
        <v>Upgraded</v>
      </c>
      <c r="G14465" s="153"/>
      <c r="H14465" s="210">
        <v>0.28210000000000002</v>
      </c>
      <c r="I14465" s="160" t="s">
        <v>53</v>
      </c>
      <c r="J14465" s="160">
        <v>1.2489999999999999E-2</v>
      </c>
      <c r="K14465" s="160" t="s">
        <v>14</v>
      </c>
      <c r="L14465" s="154" t="str">
        <f>IF(OpenLCAbasic!K14465="CTUh", "Fill in Manually",IF(OR(K14465="Unit", K14465=""), "", INDEX(LookUps!$E$5:$E$12, MATCH(OpenLCAbasic!K14465,LookUps!$D$5:$D$12,0))))</f>
        <v>Fossil Depletion Potential (FDP) - kg oil eq</v>
      </c>
      <c r="M14465" s="154" t="str">
        <f t="shared" si="1289"/>
        <v>High_Medium_High_Upgraded_Fossil Depletion Potential (FDP) - kg oil eq_Wet Well and Sump Station; wastewater treatment unit; at updated plant - US_Without Amendment_Aerated Static Pile</v>
      </c>
    </row>
    <row r="14466" spans="1:13" s="120" customFormat="1" x14ac:dyDescent="0.25">
      <c r="A14466" s="119"/>
      <c r="B14466" s="138" t="str">
        <f t="shared" si="1290"/>
        <v>Aerated Static Pile</v>
      </c>
      <c r="C14466" s="138" t="str">
        <f t="shared" si="1291"/>
        <v>Without Amendment</v>
      </c>
      <c r="D14466" s="138" t="str">
        <f t="shared" si="1288"/>
        <v>Medium_High</v>
      </c>
      <c r="E14466" s="138" t="str">
        <f t="shared" si="1292"/>
        <v>High</v>
      </c>
      <c r="F14466" s="138" t="str">
        <f t="shared" si="1293"/>
        <v>Upgraded</v>
      </c>
      <c r="G14466" s="153"/>
      <c r="H14466" s="210">
        <v>0.1888</v>
      </c>
      <c r="I14466" s="160" t="s">
        <v>435</v>
      </c>
      <c r="J14466" s="160">
        <v>8.3599999999999994E-3</v>
      </c>
      <c r="K14466" s="160" t="s">
        <v>14</v>
      </c>
      <c r="L14466" s="154" t="str">
        <f>IF(OpenLCAbasic!K14466="CTUh", "Fill in Manually",IF(OR(K14466="Unit", K14466=""), "", INDEX(LookUps!$E$5:$E$12, MATCH(OpenLCAbasic!K14466,LookUps!$D$5:$D$12,0))))</f>
        <v>Fossil Depletion Potential (FDP) - kg oil eq</v>
      </c>
      <c r="M14466" s="154" t="str">
        <f t="shared" si="1289"/>
        <v>High_Medium_High_Upgraded_Fossil Depletion Potential (FDP) - kg oil eq_Biosolids composting; aerated static pile; wastewater treatment unit; at updated plant - US_Without Amendment_Aerated Static Pile</v>
      </c>
    </row>
    <row r="14467" spans="1:13" s="120" customFormat="1" x14ac:dyDescent="0.25">
      <c r="A14467" s="119"/>
      <c r="B14467" s="138" t="str">
        <f t="shared" si="1290"/>
        <v>Aerated Static Pile</v>
      </c>
      <c r="C14467" s="138" t="str">
        <f t="shared" si="1291"/>
        <v>Without Amendment</v>
      </c>
      <c r="D14467" s="138" t="str">
        <f t="shared" si="1288"/>
        <v>Medium_High</v>
      </c>
      <c r="E14467" s="138" t="str">
        <f t="shared" si="1292"/>
        <v>High</v>
      </c>
      <c r="F14467" s="138" t="str">
        <f t="shared" si="1293"/>
        <v>Upgraded</v>
      </c>
      <c r="G14467" s="153"/>
      <c r="H14467" s="210">
        <v>0.17349999999999999</v>
      </c>
      <c r="I14467" s="160" t="s">
        <v>60</v>
      </c>
      <c r="J14467" s="160">
        <v>7.6800000000000002E-3</v>
      </c>
      <c r="K14467" s="160" t="s">
        <v>14</v>
      </c>
      <c r="L14467" s="154" t="str">
        <f>IF(OpenLCAbasic!K14467="CTUh", "Fill in Manually",IF(OR(K14467="Unit", K14467=""), "", INDEX(LookUps!$E$5:$E$12, MATCH(OpenLCAbasic!K14467,LookUps!$D$5:$D$12,0))))</f>
        <v>Fossil Depletion Potential (FDP) - kg oil eq</v>
      </c>
      <c r="M14467" s="154" t="str">
        <f t="shared" si="1289"/>
        <v>High_Medium_High_Upgraded_Fossil Depletion Potential (FDP) - kg oil eq_Belt filter press; wastewater treatment unit; at updated plant - US_Without Amendment_Aerated Static Pile</v>
      </c>
    </row>
    <row r="14468" spans="1:13" s="120" customFormat="1" x14ac:dyDescent="0.25">
      <c r="A14468" s="119"/>
      <c r="B14468" s="138" t="str">
        <f t="shared" si="1290"/>
        <v>Aerated Static Pile</v>
      </c>
      <c r="C14468" s="138" t="str">
        <f t="shared" si="1291"/>
        <v>Without Amendment</v>
      </c>
      <c r="D14468" s="138" t="str">
        <f t="shared" si="1288"/>
        <v>Medium_High</v>
      </c>
      <c r="E14468" s="138" t="str">
        <f t="shared" si="1292"/>
        <v>High</v>
      </c>
      <c r="F14468" s="138" t="str">
        <f t="shared" si="1293"/>
        <v>Upgraded</v>
      </c>
      <c r="G14468" s="153"/>
      <c r="H14468" s="210">
        <v>0.15620000000000001</v>
      </c>
      <c r="I14468" s="160" t="s">
        <v>57</v>
      </c>
      <c r="J14468" s="160">
        <v>6.9199999999999999E-3</v>
      </c>
      <c r="K14468" s="160" t="s">
        <v>14</v>
      </c>
      <c r="L14468" s="154" t="str">
        <f>IF(OpenLCAbasic!K14468="CTUh", "Fill in Manually",IF(OR(K14468="Unit", K14468=""), "", INDEX(LookUps!$E$5:$E$12, MATCH(OpenLCAbasic!K14468,LookUps!$D$5:$D$12,0))))</f>
        <v>Fossil Depletion Potential (FDP) - kg oil eq</v>
      </c>
      <c r="M14468" s="154" t="str">
        <f t="shared" si="1289"/>
        <v>High_Medium_High_Upgraded_Fossil Depletion Potential (FDP) - kg oil eq_Gravity Belt Thickener; wastewater treatment unit; at updated plant - US_Without Amendment_Aerated Static Pile</v>
      </c>
    </row>
    <row r="14469" spans="1:13" s="120" customFormat="1" x14ac:dyDescent="0.25">
      <c r="A14469" s="119"/>
      <c r="B14469" s="138" t="str">
        <f t="shared" si="1290"/>
        <v>Aerated Static Pile</v>
      </c>
      <c r="C14469" s="138" t="str">
        <f t="shared" si="1291"/>
        <v>Without Amendment</v>
      </c>
      <c r="D14469" s="138" t="str">
        <f t="shared" si="1288"/>
        <v>Medium_High</v>
      </c>
      <c r="E14469" s="138" t="str">
        <f t="shared" si="1292"/>
        <v>High</v>
      </c>
      <c r="F14469" s="138" t="str">
        <f t="shared" si="1293"/>
        <v>Upgraded</v>
      </c>
      <c r="G14469" s="153"/>
      <c r="H14469" s="210">
        <v>0.1016</v>
      </c>
      <c r="I14469" s="160" t="s">
        <v>128</v>
      </c>
      <c r="J14469" s="160">
        <v>4.4999999999999997E-3</v>
      </c>
      <c r="K14469" s="160" t="s">
        <v>14</v>
      </c>
      <c r="L14469" s="154" t="str">
        <f>IF(OpenLCAbasic!K14469="CTUh", "Fill in Manually",IF(OR(K14469="Unit", K14469=""), "", INDEX(LookUps!$E$5:$E$12, MATCH(OpenLCAbasic!K14469,LookUps!$D$5:$D$12,0))))</f>
        <v>Fossil Depletion Potential (FDP) - kg oil eq</v>
      </c>
      <c r="M14469" s="154" t="str">
        <f t="shared" si="1289"/>
        <v>High_Medium_High_Upgraded_Fossil Depletion Potential (FDP) - kg oil eq_Wastewater collection; operation and infrastructure; m3 wastewater_Without Amendment_Aerated Static Pile</v>
      </c>
    </row>
    <row r="14470" spans="1:13" s="120" customFormat="1" x14ac:dyDescent="0.25">
      <c r="A14470" s="119"/>
      <c r="B14470" s="138" t="str">
        <f t="shared" si="1290"/>
        <v>Aerated Static Pile</v>
      </c>
      <c r="C14470" s="138" t="str">
        <f t="shared" si="1291"/>
        <v>Without Amendment</v>
      </c>
      <c r="D14470" s="138" t="str">
        <f t="shared" si="1288"/>
        <v>Medium_High</v>
      </c>
      <c r="E14470" s="138" t="str">
        <f t="shared" si="1292"/>
        <v>High</v>
      </c>
      <c r="F14470" s="138" t="str">
        <f t="shared" si="1293"/>
        <v>Upgraded</v>
      </c>
      <c r="G14470" s="153"/>
      <c r="H14470" s="210">
        <v>6.3200000000000006E-2</v>
      </c>
      <c r="I14470" s="160" t="s">
        <v>148</v>
      </c>
      <c r="J14470" s="160">
        <v>2.8E-3</v>
      </c>
      <c r="K14470" s="160" t="s">
        <v>14</v>
      </c>
      <c r="L14470" s="154" t="str">
        <f>IF(OpenLCAbasic!K14470="CTUh", "Fill in Manually",IF(OR(K14470="Unit", K14470=""), "", INDEX(LookUps!$E$5:$E$12, MATCH(OpenLCAbasic!K14470,LookUps!$D$5:$D$12,0))))</f>
        <v>Fossil Depletion Potential (FDP) - kg oil eq</v>
      </c>
      <c r="M14470" s="154" t="str">
        <f t="shared" si="1289"/>
        <v>High_Medium_High_Upgraded_Fossil Depletion Potential (FDP) - kg oil eq_Control Building; at upgraded wastewater treatment plant - US_Without Amendment_Aerated Static Pile</v>
      </c>
    </row>
    <row r="14471" spans="1:13" s="120" customFormat="1" x14ac:dyDescent="0.25">
      <c r="A14471" s="119"/>
      <c r="B14471" s="138" t="str">
        <f t="shared" si="1290"/>
        <v>Aerated Static Pile</v>
      </c>
      <c r="C14471" s="138" t="str">
        <f t="shared" si="1291"/>
        <v>Without Amendment</v>
      </c>
      <c r="D14471" s="138" t="str">
        <f t="shared" si="1288"/>
        <v>Medium_High</v>
      </c>
      <c r="E14471" s="138" t="str">
        <f t="shared" si="1292"/>
        <v>High</v>
      </c>
      <c r="F14471" s="138" t="str">
        <f t="shared" si="1293"/>
        <v>Upgraded</v>
      </c>
      <c r="G14471" s="153"/>
      <c r="H14471" s="210">
        <v>5.3400000000000003E-2</v>
      </c>
      <c r="I14471" s="160" t="s">
        <v>48</v>
      </c>
      <c r="J14471" s="160">
        <v>2.3600000000000001E-3</v>
      </c>
      <c r="K14471" s="160" t="s">
        <v>14</v>
      </c>
      <c r="L14471" s="154" t="str">
        <f>IF(OpenLCAbasic!K14471="CTUh", "Fill in Manually",IF(OR(K14471="Unit", K14471=""), "", INDEX(LookUps!$E$5:$E$12, MATCH(OpenLCAbasic!K14471,LookUps!$D$5:$D$12,0))))</f>
        <v>Fossil Depletion Potential (FDP) - kg oil eq</v>
      </c>
      <c r="M14471" s="154" t="str">
        <f t="shared" si="1289"/>
        <v>High_Medium_High_Upgraded_Fossil Depletion Potential (FDP) - kg oil eq_Effluent release; wastewater treatment unit; at surface water; m3 wastewater - US_Without Amendment_Aerated Static Pile</v>
      </c>
    </row>
    <row r="14472" spans="1:13" s="120" customFormat="1" x14ac:dyDescent="0.25">
      <c r="A14472" s="119"/>
      <c r="B14472" s="138" t="str">
        <f t="shared" si="1290"/>
        <v>Aerated Static Pile</v>
      </c>
      <c r="C14472" s="138" t="str">
        <f t="shared" si="1291"/>
        <v>Without Amendment</v>
      </c>
      <c r="D14472" s="138" t="str">
        <f t="shared" si="1288"/>
        <v>Medium_High</v>
      </c>
      <c r="E14472" s="138" t="str">
        <f t="shared" si="1292"/>
        <v>High</v>
      </c>
      <c r="F14472" s="138" t="str">
        <f t="shared" si="1293"/>
        <v>Upgraded</v>
      </c>
      <c r="G14472" s="153"/>
      <c r="H14472" s="210">
        <v>4.3400000000000001E-2</v>
      </c>
      <c r="I14472" s="160" t="s">
        <v>59</v>
      </c>
      <c r="J14472" s="160">
        <v>1.92E-3</v>
      </c>
      <c r="K14472" s="160" t="s">
        <v>14</v>
      </c>
      <c r="L14472" s="154" t="str">
        <f>IF(OpenLCAbasic!K14472="CTUh", "Fill in Manually",IF(OR(K14472="Unit", K14472=""), "", INDEX(LookUps!$E$5:$E$12, MATCH(OpenLCAbasic!K14472,LookUps!$D$5:$D$12,0))))</f>
        <v>Fossil Depletion Potential (FDP) - kg oil eq</v>
      </c>
      <c r="M14472" s="154" t="str">
        <f t="shared" si="1289"/>
        <v>High_Medium_High_Upgraded_Fossil Depletion Potential (FDP) - kg oil eq_Blend Tank; wastewater treatment unit; at updated plant - US_Without Amendment_Aerated Static Pile</v>
      </c>
    </row>
    <row r="14473" spans="1:13" s="120" customFormat="1" x14ac:dyDescent="0.25">
      <c r="A14473" s="119"/>
      <c r="B14473" s="138" t="str">
        <f t="shared" si="1290"/>
        <v>Aerated Static Pile</v>
      </c>
      <c r="C14473" s="138" t="str">
        <f t="shared" si="1291"/>
        <v>Without Amendment</v>
      </c>
      <c r="D14473" s="138" t="str">
        <f t="shared" ref="D14473:D14536" si="1294">IF(ISNUMBER($J14473),"Medium_High","")</f>
        <v>Medium_High</v>
      </c>
      <c r="E14473" s="138" t="str">
        <f t="shared" si="1292"/>
        <v>High</v>
      </c>
      <c r="F14473" s="138" t="str">
        <f t="shared" si="1293"/>
        <v>Upgraded</v>
      </c>
      <c r="G14473" s="153"/>
      <c r="H14473" s="210">
        <v>2.07E-2</v>
      </c>
      <c r="I14473" s="160" t="s">
        <v>168</v>
      </c>
      <c r="J14473" s="160">
        <v>9.1E-4</v>
      </c>
      <c r="K14473" s="160" t="s">
        <v>14</v>
      </c>
      <c r="L14473" s="154" t="str">
        <f>IF(OpenLCAbasic!K14473="CTUh", "Fill in Manually",IF(OR(K14473="Unit", K14473=""), "", INDEX(LookUps!$E$5:$E$12, MATCH(OpenLCAbasic!K14473,LookUps!$D$5:$D$12,0))))</f>
        <v>Fossil Depletion Potential (FDP) - kg oil eq</v>
      </c>
      <c r="M14473" s="154" t="str">
        <f t="shared" si="1289"/>
        <v>High_Medium_High_Upgraded_Fossil Depletion Potential (FDP) - kg oil eq_ClearCove SCP; wastewater treatment unit; at updated plant - US_Without Amendment_Aerated Static Pile</v>
      </c>
    </row>
    <row r="14474" spans="1:13" s="120" customFormat="1" x14ac:dyDescent="0.25">
      <c r="A14474" s="119"/>
      <c r="B14474" s="138" t="str">
        <f t="shared" si="1290"/>
        <v>Aerated Static Pile</v>
      </c>
      <c r="C14474" s="138" t="str">
        <f t="shared" si="1291"/>
        <v>Without Amendment</v>
      </c>
      <c r="D14474" s="138" t="str">
        <f t="shared" si="1294"/>
        <v>Medium_High</v>
      </c>
      <c r="E14474" s="138" t="str">
        <f t="shared" si="1292"/>
        <v>High</v>
      </c>
      <c r="F14474" s="138" t="str">
        <f t="shared" si="1293"/>
        <v>Upgraded</v>
      </c>
      <c r="G14474" s="153"/>
      <c r="H14474" s="210">
        <v>-0.1082</v>
      </c>
      <c r="I14474" s="160" t="s">
        <v>62</v>
      </c>
      <c r="J14474" s="160">
        <v>-4.79E-3</v>
      </c>
      <c r="K14474" s="160" t="s">
        <v>14</v>
      </c>
      <c r="L14474" s="154" t="str">
        <f>IF(OpenLCAbasic!K14474="CTUh", "Fill in Manually",IF(OR(K14474="Unit", K14474=""), "", INDEX(LookUps!$E$5:$E$12, MATCH(OpenLCAbasic!K14474,LookUps!$D$5:$D$12,0))))</f>
        <v>Fossil Depletion Potential (FDP) - kg oil eq</v>
      </c>
      <c r="M14474" s="154" t="str">
        <f t="shared" si="1289"/>
        <v>High_Medium_High_Upgraded_Fossil Depletion Potential (FDP) - kg oil eq_Land application of compost; wastewater treatment unit; at updated plant - US_Without Amendment_Aerated Static Pile</v>
      </c>
    </row>
    <row r="14475" spans="1:13" s="120" customFormat="1" x14ac:dyDescent="0.25">
      <c r="A14475" s="119"/>
      <c r="B14475" s="138" t="str">
        <f t="shared" si="1290"/>
        <v>Aerated Static Pile</v>
      </c>
      <c r="C14475" s="138" t="str">
        <f t="shared" si="1291"/>
        <v>Without Amendment</v>
      </c>
      <c r="D14475" s="138" t="str">
        <f t="shared" si="1294"/>
        <v>Medium_High</v>
      </c>
      <c r="E14475" s="138" t="str">
        <f t="shared" si="1292"/>
        <v>High</v>
      </c>
      <c r="F14475" s="138" t="str">
        <f t="shared" si="1293"/>
        <v>Upgraded</v>
      </c>
      <c r="G14475" s="153"/>
      <c r="H14475" s="210">
        <v>-6.7845000000000004</v>
      </c>
      <c r="I14475" s="160" t="s">
        <v>149</v>
      </c>
      <c r="J14475" s="160">
        <v>-0.30038999999999999</v>
      </c>
      <c r="K14475" s="160" t="s">
        <v>14</v>
      </c>
      <c r="L14475" s="154" t="str">
        <f>IF(OpenLCAbasic!K14475="CTUh", "Fill in Manually",IF(OR(K14475="Unit", K14475=""), "", INDEX(LookUps!$E$5:$E$12, MATCH(OpenLCAbasic!K14475,LookUps!$D$5:$D$12,0))))</f>
        <v>Fossil Depletion Potential (FDP) - kg oil eq</v>
      </c>
      <c r="M14475" s="154" t="str">
        <f t="shared" si="1289"/>
        <v>High_Medium_High_Upgraded_Fossil Depletion Potential (FDP) - kg oil eq_Anaerobic Digestion; wastewater treatment unit; at updated plant - US_Without Amendment_Aerated Static Pile</v>
      </c>
    </row>
    <row r="14476" spans="1:13" s="120" customFormat="1" x14ac:dyDescent="0.25">
      <c r="A14476" s="119"/>
      <c r="B14476" s="138" t="str">
        <f t="shared" si="1290"/>
        <v/>
      </c>
      <c r="C14476" s="138" t="str">
        <f t="shared" si="1291"/>
        <v/>
      </c>
      <c r="D14476" s="138" t="str">
        <f t="shared" si="1294"/>
        <v/>
      </c>
      <c r="E14476" s="138" t="str">
        <f t="shared" si="1292"/>
        <v/>
      </c>
      <c r="F14476" s="138" t="str">
        <f t="shared" si="1293"/>
        <v/>
      </c>
      <c r="G14476" s="153" t="s">
        <v>51</v>
      </c>
      <c r="H14476" s="160"/>
      <c r="I14476" s="160" t="s">
        <v>47</v>
      </c>
      <c r="J14476" s="160" t="s">
        <v>52</v>
      </c>
      <c r="K14476" s="160" t="s">
        <v>27</v>
      </c>
      <c r="L14476" s="154" t="str">
        <f>IF(OpenLCAbasic!K14476="CTUh", "Fill in Manually",IF(OR(K14476="Unit", K14476=""), "", INDEX(LookUps!$E$5:$E$12, MATCH(OpenLCAbasic!K14476,LookUps!$D$5:$D$12,0))))</f>
        <v/>
      </c>
      <c r="M14476" s="154" t="str">
        <f t="shared" si="1289"/>
        <v>____Process__</v>
      </c>
    </row>
    <row r="14477" spans="1:13" s="120" customFormat="1" x14ac:dyDescent="0.25">
      <c r="A14477" s="119"/>
      <c r="B14477" s="138" t="str">
        <f t="shared" si="1290"/>
        <v>Aerated Static Pile</v>
      </c>
      <c r="C14477" s="138" t="str">
        <f t="shared" si="1291"/>
        <v>Without Amendment</v>
      </c>
      <c r="D14477" s="138" t="str">
        <f t="shared" si="1294"/>
        <v>Medium_High</v>
      </c>
      <c r="E14477" s="138" t="str">
        <f t="shared" si="1292"/>
        <v>High</v>
      </c>
      <c r="F14477" s="138" t="str">
        <f t="shared" si="1293"/>
        <v>Upgraded</v>
      </c>
      <c r="G14477" s="153"/>
      <c r="H14477" s="210">
        <v>0.98970000000000002</v>
      </c>
      <c r="I14477" s="160" t="s">
        <v>435</v>
      </c>
      <c r="J14477" s="160">
        <v>0.69733999999999996</v>
      </c>
      <c r="K14477" s="160" t="s">
        <v>23</v>
      </c>
      <c r="L14477" s="154" t="str">
        <f>IF(OpenLCAbasic!K14477="CTUh", "Fill in Manually",IF(OR(K14477="Unit", K14477=""), "", INDEX(LookUps!$E$5:$E$12, MATCH(OpenLCAbasic!K14477,LookUps!$D$5:$D$12,0))))</f>
        <v>Global Warming Potential (GWP) - kg CO2 eq</v>
      </c>
      <c r="M14477" s="154" t="str">
        <f t="shared" si="1289"/>
        <v>High_Medium_High_Upgraded_Global Warming Potential (GWP) - kg CO2 eq_Biosolids composting; aerated static pile; wastewater treatment unit; at updated plant - US_Without Amendment_Aerated Static Pile</v>
      </c>
    </row>
    <row r="14478" spans="1:13" s="120" customFormat="1" x14ac:dyDescent="0.25">
      <c r="A14478" s="119"/>
      <c r="B14478" s="138" t="str">
        <f t="shared" si="1290"/>
        <v>Aerated Static Pile</v>
      </c>
      <c r="C14478" s="138" t="str">
        <f t="shared" si="1291"/>
        <v>Without Amendment</v>
      </c>
      <c r="D14478" s="138" t="str">
        <f t="shared" si="1294"/>
        <v>Medium_High</v>
      </c>
      <c r="E14478" s="138" t="str">
        <f t="shared" si="1292"/>
        <v>High</v>
      </c>
      <c r="F14478" s="138" t="str">
        <f t="shared" si="1293"/>
        <v>Upgraded</v>
      </c>
      <c r="G14478" s="153"/>
      <c r="H14478" s="210">
        <v>0.34870000000000001</v>
      </c>
      <c r="I14478" s="160" t="s">
        <v>58</v>
      </c>
      <c r="J14478" s="160">
        <v>0.24568999999999999</v>
      </c>
      <c r="K14478" s="160" t="s">
        <v>23</v>
      </c>
      <c r="L14478" s="154" t="str">
        <f>IF(OpenLCAbasic!K14478="CTUh", "Fill in Manually",IF(OR(K14478="Unit", K14478=""), "", INDEX(LookUps!$E$5:$E$12, MATCH(OpenLCAbasic!K14478,LookUps!$D$5:$D$12,0))))</f>
        <v>Global Warming Potential (GWP) - kg CO2 eq</v>
      </c>
      <c r="M14478" s="154" t="str">
        <f t="shared" si="1289"/>
        <v>High_Medium_High_Upgraded_Global Warming Potential (GWP) - kg CO2 eq_Pre-Anoxic &amp; Swing tank; wastewater treatment unit; at updated plant - US_Without Amendment_Aerated Static Pile</v>
      </c>
    </row>
    <row r="14479" spans="1:13" s="120" customFormat="1" x14ac:dyDescent="0.25">
      <c r="A14479" s="119"/>
      <c r="B14479" s="138" t="str">
        <f t="shared" si="1290"/>
        <v>Aerated Static Pile</v>
      </c>
      <c r="C14479" s="138" t="str">
        <f t="shared" si="1291"/>
        <v>Without Amendment</v>
      </c>
      <c r="D14479" s="138" t="str">
        <f t="shared" si="1294"/>
        <v>Medium_High</v>
      </c>
      <c r="E14479" s="138" t="str">
        <f t="shared" si="1292"/>
        <v>High</v>
      </c>
      <c r="F14479" s="138" t="str">
        <f t="shared" si="1293"/>
        <v>Upgraded</v>
      </c>
      <c r="G14479" s="153"/>
      <c r="H14479" s="210">
        <v>0.2387</v>
      </c>
      <c r="I14479" s="160" t="s">
        <v>55</v>
      </c>
      <c r="J14479" s="160">
        <v>0.16822000000000001</v>
      </c>
      <c r="K14479" s="160" t="s">
        <v>23</v>
      </c>
      <c r="L14479" s="154" t="str">
        <f>IF(OpenLCAbasic!K14479="CTUh", "Fill in Manually",IF(OR(K14479="Unit", K14479=""), "", INDEX(LookUps!$E$5:$E$12, MATCH(OpenLCAbasic!K14479,LookUps!$D$5:$D$12,0))))</f>
        <v>Global Warming Potential (GWP) - kg CO2 eq</v>
      </c>
      <c r="M14479" s="154" t="str">
        <f t="shared" si="1289"/>
        <v>High_Medium_High_Upgraded_Global Warming Potential (GWP) - kg CO2 eq_Aeration Tanks; wastewater treatment unit; at updated plant - US_Without Amendment_Aerated Static Pile</v>
      </c>
    </row>
    <row r="14480" spans="1:13" s="120" customFormat="1" x14ac:dyDescent="0.25">
      <c r="A14480" s="119"/>
      <c r="B14480" s="138" t="str">
        <f t="shared" si="1290"/>
        <v>Aerated Static Pile</v>
      </c>
      <c r="C14480" s="138" t="str">
        <f t="shared" si="1291"/>
        <v>Without Amendment</v>
      </c>
      <c r="D14480" s="138" t="str">
        <f t="shared" si="1294"/>
        <v>Medium_High</v>
      </c>
      <c r="E14480" s="138" t="str">
        <f t="shared" si="1292"/>
        <v>High</v>
      </c>
      <c r="F14480" s="138" t="str">
        <f t="shared" si="1293"/>
        <v>Upgraded</v>
      </c>
      <c r="G14480" s="153"/>
      <c r="H14480" s="210">
        <v>0.17530000000000001</v>
      </c>
      <c r="I14480" s="160" t="s">
        <v>167</v>
      </c>
      <c r="J14480" s="160">
        <v>0.12354999999999999</v>
      </c>
      <c r="K14480" s="160" t="s">
        <v>23</v>
      </c>
      <c r="L14480" s="154" t="str">
        <f>IF(OpenLCAbasic!K14480="CTUh", "Fill in Manually",IF(OR(K14480="Unit", K14480=""), "", INDEX(LookUps!$E$5:$E$12, MATCH(OpenLCAbasic!K14480,LookUps!$D$5:$D$12,0))))</f>
        <v>Global Warming Potential (GWP) - kg CO2 eq</v>
      </c>
      <c r="M14480" s="154" t="str">
        <f t="shared" ref="M14480:M14543" si="1295">CONCATENATE(E14480,"_",D14480,"_",F14480,"_",L14480, "_",I14480,"_", C14480,"_", B14480)</f>
        <v>High_Medium_High_Upgraded_Global Warming Potential (GWP) - kg CO2 eq_Waste Receiving and Holding; wastewater treatment unit; at updated plant - US_Without Amendment_Aerated Static Pile</v>
      </c>
    </row>
    <row r="14481" spans="1:13" s="120" customFormat="1" x14ac:dyDescent="0.25">
      <c r="A14481" s="119"/>
      <c r="B14481" s="138" t="str">
        <f t="shared" si="1290"/>
        <v>Aerated Static Pile</v>
      </c>
      <c r="C14481" s="138" t="str">
        <f t="shared" si="1291"/>
        <v>Without Amendment</v>
      </c>
      <c r="D14481" s="138" t="str">
        <f t="shared" si="1294"/>
        <v>Medium_High</v>
      </c>
      <c r="E14481" s="138" t="str">
        <f t="shared" si="1292"/>
        <v>High</v>
      </c>
      <c r="F14481" s="138" t="str">
        <f t="shared" si="1293"/>
        <v>Upgraded</v>
      </c>
      <c r="G14481" s="153"/>
      <c r="H14481" s="210">
        <v>8.1000000000000003E-2</v>
      </c>
      <c r="I14481" s="160" t="s">
        <v>54</v>
      </c>
      <c r="J14481" s="160">
        <v>5.7079999999999999E-2</v>
      </c>
      <c r="K14481" s="160" t="s">
        <v>23</v>
      </c>
      <c r="L14481" s="154" t="str">
        <f>IF(OpenLCAbasic!K14481="CTUh", "Fill in Manually",IF(OR(K14481="Unit", K14481=""), "", INDEX(LookUps!$E$5:$E$12, MATCH(OpenLCAbasic!K14481,LookUps!$D$5:$D$12,0))))</f>
        <v>Global Warming Potential (GWP) - kg CO2 eq</v>
      </c>
      <c r="M14481" s="154" t="str">
        <f t="shared" si="1295"/>
        <v>High_Medium_High_Upgraded_Global Warming Potential (GWP) - kg CO2 eq_Clear Cove Primary Clarification; wastewater treatment unit; at updated plant - US_Without Amendment_Aerated Static Pile</v>
      </c>
    </row>
    <row r="14482" spans="1:13" s="120" customFormat="1" x14ac:dyDescent="0.25">
      <c r="A14482" s="119"/>
      <c r="B14482" s="138" t="str">
        <f t="shared" si="1290"/>
        <v>Aerated Static Pile</v>
      </c>
      <c r="C14482" s="138" t="str">
        <f t="shared" si="1291"/>
        <v>Without Amendment</v>
      </c>
      <c r="D14482" s="138" t="str">
        <f t="shared" si="1294"/>
        <v>Medium_High</v>
      </c>
      <c r="E14482" s="138" t="str">
        <f t="shared" si="1292"/>
        <v>High</v>
      </c>
      <c r="F14482" s="138" t="str">
        <f t="shared" si="1293"/>
        <v>Upgraded</v>
      </c>
      <c r="G14482" s="153"/>
      <c r="H14482" s="210">
        <v>7.4700000000000003E-2</v>
      </c>
      <c r="I14482" s="160" t="s">
        <v>48</v>
      </c>
      <c r="J14482" s="160">
        <v>5.2639999999999999E-2</v>
      </c>
      <c r="K14482" s="160" t="s">
        <v>23</v>
      </c>
      <c r="L14482" s="154" t="str">
        <f>IF(OpenLCAbasic!K14482="CTUh", "Fill in Manually",IF(OR(K14482="Unit", K14482=""), "", INDEX(LookUps!$E$5:$E$12, MATCH(OpenLCAbasic!K14482,LookUps!$D$5:$D$12,0))))</f>
        <v>Global Warming Potential (GWP) - kg CO2 eq</v>
      </c>
      <c r="M14482" s="154" t="str">
        <f t="shared" si="1295"/>
        <v>High_Medium_High_Upgraded_Global Warming Potential (GWP) - kg CO2 eq_Effluent release; wastewater treatment unit; at surface water; m3 wastewater - US_Without Amendment_Aerated Static Pile</v>
      </c>
    </row>
    <row r="14483" spans="1:13" s="120" customFormat="1" x14ac:dyDescent="0.25">
      <c r="A14483" s="119"/>
      <c r="B14483" s="138" t="str">
        <f t="shared" si="1290"/>
        <v>Aerated Static Pile</v>
      </c>
      <c r="C14483" s="138" t="str">
        <f t="shared" si="1291"/>
        <v>Without Amendment</v>
      </c>
      <c r="D14483" s="138" t="str">
        <f t="shared" si="1294"/>
        <v>Medium_High</v>
      </c>
      <c r="E14483" s="138" t="str">
        <f t="shared" si="1292"/>
        <v>High</v>
      </c>
      <c r="F14483" s="138" t="str">
        <f t="shared" si="1293"/>
        <v>Upgraded</v>
      </c>
      <c r="G14483" s="153"/>
      <c r="H14483" s="210">
        <v>7.17E-2</v>
      </c>
      <c r="I14483" s="160" t="s">
        <v>147</v>
      </c>
      <c r="J14483" s="160">
        <v>5.0500000000000003E-2</v>
      </c>
      <c r="K14483" s="160" t="s">
        <v>23</v>
      </c>
      <c r="L14483" s="154" t="str">
        <f>IF(OpenLCAbasic!K14483="CTUh", "Fill in Manually",IF(OR(K14483="Unit", K14483=""), "", INDEX(LookUps!$E$5:$E$12, MATCH(OpenLCAbasic!K14483,LookUps!$D$5:$D$12,0))))</f>
        <v>Global Warming Potential (GWP) - kg CO2 eq</v>
      </c>
      <c r="M14483" s="154" t="str">
        <f t="shared" si="1295"/>
        <v>High_Medium_High_Upgraded_Global Warming Potential (GWP) - kg CO2 eq_Influent Pump Station; wastewater treatment unit; at updated plant - US_Without Amendment_Aerated Static Pile</v>
      </c>
    </row>
    <row r="14484" spans="1:13" s="120" customFormat="1" x14ac:dyDescent="0.25">
      <c r="A14484" s="119"/>
      <c r="B14484" s="138" t="str">
        <f t="shared" si="1290"/>
        <v>Aerated Static Pile</v>
      </c>
      <c r="C14484" s="138" t="str">
        <f t="shared" si="1291"/>
        <v>Without Amendment</v>
      </c>
      <c r="D14484" s="138" t="str">
        <f t="shared" si="1294"/>
        <v>Medium_High</v>
      </c>
      <c r="E14484" s="138" t="str">
        <f t="shared" si="1292"/>
        <v>High</v>
      </c>
      <c r="F14484" s="138" t="str">
        <f t="shared" si="1293"/>
        <v>Upgraded</v>
      </c>
      <c r="G14484" s="153"/>
      <c r="H14484" s="210">
        <v>4.7199999999999999E-2</v>
      </c>
      <c r="I14484" s="160" t="s">
        <v>53</v>
      </c>
      <c r="J14484" s="160">
        <v>3.3259999999999998E-2</v>
      </c>
      <c r="K14484" s="160" t="s">
        <v>23</v>
      </c>
      <c r="L14484" s="154" t="str">
        <f>IF(OpenLCAbasic!K14484="CTUh", "Fill in Manually",IF(OR(K14484="Unit", K14484=""), "", INDEX(LookUps!$E$5:$E$12, MATCH(OpenLCAbasic!K14484,LookUps!$D$5:$D$12,0))))</f>
        <v>Global Warming Potential (GWP) - kg CO2 eq</v>
      </c>
      <c r="M14484" s="154" t="str">
        <f t="shared" si="1295"/>
        <v>High_Medium_High_Upgraded_Global Warming Potential (GWP) - kg CO2 eq_Wet Well and Sump Station; wastewater treatment unit; at updated plant - US_Without Amendment_Aerated Static Pile</v>
      </c>
    </row>
    <row r="14485" spans="1:13" s="120" customFormat="1" x14ac:dyDescent="0.25">
      <c r="A14485" s="119"/>
      <c r="B14485" s="138" t="str">
        <f t="shared" si="1290"/>
        <v>Aerated Static Pile</v>
      </c>
      <c r="C14485" s="138" t="str">
        <f t="shared" si="1291"/>
        <v>Without Amendment</v>
      </c>
      <c r="D14485" s="138" t="str">
        <f t="shared" si="1294"/>
        <v>Medium_High</v>
      </c>
      <c r="E14485" s="138" t="str">
        <f t="shared" si="1292"/>
        <v>High</v>
      </c>
      <c r="F14485" s="138" t="str">
        <f t="shared" si="1293"/>
        <v>Upgraded</v>
      </c>
      <c r="G14485" s="153"/>
      <c r="H14485" s="210">
        <v>2.4E-2</v>
      </c>
      <c r="I14485" s="160" t="s">
        <v>60</v>
      </c>
      <c r="J14485" s="160">
        <v>1.6879999999999999E-2</v>
      </c>
      <c r="K14485" s="160" t="s">
        <v>23</v>
      </c>
      <c r="L14485" s="154" t="str">
        <f>IF(OpenLCAbasic!K14485="CTUh", "Fill in Manually",IF(OR(K14485="Unit", K14485=""), "", INDEX(LookUps!$E$5:$E$12, MATCH(OpenLCAbasic!K14485,LookUps!$D$5:$D$12,0))))</f>
        <v>Global Warming Potential (GWP) - kg CO2 eq</v>
      </c>
      <c r="M14485" s="154" t="str">
        <f t="shared" si="1295"/>
        <v>High_Medium_High_Upgraded_Global Warming Potential (GWP) - kg CO2 eq_Belt filter press; wastewater treatment unit; at updated plant - US_Without Amendment_Aerated Static Pile</v>
      </c>
    </row>
    <row r="14486" spans="1:13" s="120" customFormat="1" x14ac:dyDescent="0.25">
      <c r="A14486" s="119"/>
      <c r="B14486" s="138" t="str">
        <f t="shared" si="1290"/>
        <v>Aerated Static Pile</v>
      </c>
      <c r="C14486" s="138" t="str">
        <f t="shared" si="1291"/>
        <v>Without Amendment</v>
      </c>
      <c r="D14486" s="138" t="str">
        <f t="shared" si="1294"/>
        <v>Medium_High</v>
      </c>
      <c r="E14486" s="138" t="str">
        <f t="shared" si="1292"/>
        <v>High</v>
      </c>
      <c r="F14486" s="138" t="str">
        <f t="shared" si="1293"/>
        <v>Upgraded</v>
      </c>
      <c r="G14486" s="153"/>
      <c r="H14486" s="210">
        <v>2.07E-2</v>
      </c>
      <c r="I14486" s="160" t="s">
        <v>57</v>
      </c>
      <c r="J14486" s="160">
        <v>1.455E-2</v>
      </c>
      <c r="K14486" s="160" t="s">
        <v>23</v>
      </c>
      <c r="L14486" s="154" t="str">
        <f>IF(OpenLCAbasic!K14486="CTUh", "Fill in Manually",IF(OR(K14486="Unit", K14486=""), "", INDEX(LookUps!$E$5:$E$12, MATCH(OpenLCAbasic!K14486,LookUps!$D$5:$D$12,0))))</f>
        <v>Global Warming Potential (GWP) - kg CO2 eq</v>
      </c>
      <c r="M14486" s="154" t="str">
        <f t="shared" si="1295"/>
        <v>High_Medium_High_Upgraded_Global Warming Potential (GWP) - kg CO2 eq_Gravity Belt Thickener; wastewater treatment unit; at updated plant - US_Without Amendment_Aerated Static Pile</v>
      </c>
    </row>
    <row r="14487" spans="1:13" s="120" customFormat="1" x14ac:dyDescent="0.25">
      <c r="A14487" s="119"/>
      <c r="B14487" s="138" t="str">
        <f t="shared" si="1290"/>
        <v>Aerated Static Pile</v>
      </c>
      <c r="C14487" s="138" t="str">
        <f t="shared" si="1291"/>
        <v>Without Amendment</v>
      </c>
      <c r="D14487" s="138" t="str">
        <f t="shared" si="1294"/>
        <v>Medium_High</v>
      </c>
      <c r="E14487" s="138" t="str">
        <f t="shared" si="1292"/>
        <v>High</v>
      </c>
      <c r="F14487" s="138" t="str">
        <f t="shared" si="1293"/>
        <v>Upgraded</v>
      </c>
      <c r="G14487" s="153"/>
      <c r="H14487" s="210">
        <v>1.9199999999999998E-2</v>
      </c>
      <c r="I14487" s="160" t="s">
        <v>128</v>
      </c>
      <c r="J14487" s="160">
        <v>1.3509999999999999E-2</v>
      </c>
      <c r="K14487" s="160" t="s">
        <v>23</v>
      </c>
      <c r="L14487" s="154" t="str">
        <f>IF(OpenLCAbasic!K14487="CTUh", "Fill in Manually",IF(OR(K14487="Unit", K14487=""), "", INDEX(LookUps!$E$5:$E$12, MATCH(OpenLCAbasic!K14487,LookUps!$D$5:$D$12,0))))</f>
        <v>Global Warming Potential (GWP) - kg CO2 eq</v>
      </c>
      <c r="M14487" s="154" t="str">
        <f t="shared" si="1295"/>
        <v>High_Medium_High_Upgraded_Global Warming Potential (GWP) - kg CO2 eq_Wastewater collection; operation and infrastructure; m3 wastewater_Without Amendment_Aerated Static Pile</v>
      </c>
    </row>
    <row r="14488" spans="1:13" s="120" customFormat="1" x14ac:dyDescent="0.25">
      <c r="A14488" s="119"/>
      <c r="B14488" s="138" t="str">
        <f t="shared" si="1290"/>
        <v>Aerated Static Pile</v>
      </c>
      <c r="C14488" s="138" t="str">
        <f t="shared" si="1291"/>
        <v>Without Amendment</v>
      </c>
      <c r="D14488" s="138" t="str">
        <f t="shared" si="1294"/>
        <v>Medium_High</v>
      </c>
      <c r="E14488" s="138" t="str">
        <f t="shared" si="1292"/>
        <v>High</v>
      </c>
      <c r="F14488" s="138" t="str">
        <f t="shared" si="1293"/>
        <v>Upgraded</v>
      </c>
      <c r="G14488" s="153"/>
      <c r="H14488" s="210">
        <v>1.18E-2</v>
      </c>
      <c r="I14488" s="160" t="s">
        <v>148</v>
      </c>
      <c r="J14488" s="160">
        <v>8.3000000000000001E-3</v>
      </c>
      <c r="K14488" s="160" t="s">
        <v>23</v>
      </c>
      <c r="L14488" s="154" t="str">
        <f>IF(OpenLCAbasic!K14488="CTUh", "Fill in Manually",IF(OR(K14488="Unit", K14488=""), "", INDEX(LookUps!$E$5:$E$12, MATCH(OpenLCAbasic!K14488,LookUps!$D$5:$D$12,0))))</f>
        <v>Global Warming Potential (GWP) - kg CO2 eq</v>
      </c>
      <c r="M14488" s="154" t="str">
        <f t="shared" si="1295"/>
        <v>High_Medium_High_Upgraded_Global Warming Potential (GWP) - kg CO2 eq_Control Building; at upgraded wastewater treatment plant - US_Without Amendment_Aerated Static Pile</v>
      </c>
    </row>
    <row r="14489" spans="1:13" s="120" customFormat="1" x14ac:dyDescent="0.25">
      <c r="A14489" s="119"/>
      <c r="B14489" s="138" t="str">
        <f t="shared" si="1290"/>
        <v>Aerated Static Pile</v>
      </c>
      <c r="C14489" s="138" t="str">
        <f t="shared" si="1291"/>
        <v>Without Amendment</v>
      </c>
      <c r="D14489" s="138" t="str">
        <f t="shared" si="1294"/>
        <v>Medium_High</v>
      </c>
      <c r="E14489" s="138" t="str">
        <f t="shared" si="1292"/>
        <v>High</v>
      </c>
      <c r="F14489" s="138" t="str">
        <f t="shared" si="1293"/>
        <v>Upgraded</v>
      </c>
      <c r="G14489" s="153"/>
      <c r="H14489" s="210">
        <v>7.1999999999999998E-3</v>
      </c>
      <c r="I14489" s="160" t="s">
        <v>59</v>
      </c>
      <c r="J14489" s="160">
        <v>5.0400000000000002E-3</v>
      </c>
      <c r="K14489" s="160" t="s">
        <v>23</v>
      </c>
      <c r="L14489" s="154" t="str">
        <f>IF(OpenLCAbasic!K14489="CTUh", "Fill in Manually",IF(OR(K14489="Unit", K14489=""), "", INDEX(LookUps!$E$5:$E$12, MATCH(OpenLCAbasic!K14489,LookUps!$D$5:$D$12,0))))</f>
        <v>Global Warming Potential (GWP) - kg CO2 eq</v>
      </c>
      <c r="M14489" s="154" t="str">
        <f t="shared" si="1295"/>
        <v>High_Medium_High_Upgraded_Global Warming Potential (GWP) - kg CO2 eq_Blend Tank; wastewater treatment unit; at updated plant - US_Without Amendment_Aerated Static Pile</v>
      </c>
    </row>
    <row r="14490" spans="1:13" s="120" customFormat="1" x14ac:dyDescent="0.25">
      <c r="A14490" s="119"/>
      <c r="B14490" s="138" t="str">
        <f t="shared" si="1290"/>
        <v>Aerated Static Pile</v>
      </c>
      <c r="C14490" s="138" t="str">
        <f t="shared" si="1291"/>
        <v>Without Amendment</v>
      </c>
      <c r="D14490" s="138" t="str">
        <f t="shared" si="1294"/>
        <v>Medium_High</v>
      </c>
      <c r="E14490" s="138" t="str">
        <f t="shared" si="1292"/>
        <v>High</v>
      </c>
      <c r="F14490" s="138" t="str">
        <f t="shared" si="1293"/>
        <v>Upgraded</v>
      </c>
      <c r="G14490" s="153"/>
      <c r="H14490" s="210">
        <v>3.3999999999999998E-3</v>
      </c>
      <c r="I14490" s="160" t="s">
        <v>168</v>
      </c>
      <c r="J14490" s="160">
        <v>2.4099999999999998E-3</v>
      </c>
      <c r="K14490" s="160" t="s">
        <v>23</v>
      </c>
      <c r="L14490" s="154" t="str">
        <f>IF(OpenLCAbasic!K14490="CTUh", "Fill in Manually",IF(OR(K14490="Unit", K14490=""), "", INDEX(LookUps!$E$5:$E$12, MATCH(OpenLCAbasic!K14490,LookUps!$D$5:$D$12,0))))</f>
        <v>Global Warming Potential (GWP) - kg CO2 eq</v>
      </c>
      <c r="M14490" s="154" t="str">
        <f t="shared" si="1295"/>
        <v>High_Medium_High_Upgraded_Global Warming Potential (GWP) - kg CO2 eq_ClearCove SCP; wastewater treatment unit; at updated plant - US_Without Amendment_Aerated Static Pile</v>
      </c>
    </row>
    <row r="14491" spans="1:13" s="120" customFormat="1" x14ac:dyDescent="0.25">
      <c r="A14491" s="119"/>
      <c r="B14491" s="138" t="str">
        <f t="shared" si="1290"/>
        <v>Aerated Static Pile</v>
      </c>
      <c r="C14491" s="138" t="str">
        <f t="shared" si="1291"/>
        <v>Without Amendment</v>
      </c>
      <c r="D14491" s="138" t="str">
        <f t="shared" si="1294"/>
        <v>Medium_High</v>
      </c>
      <c r="E14491" s="138" t="str">
        <f t="shared" si="1292"/>
        <v>High</v>
      </c>
      <c r="F14491" s="138" t="str">
        <f t="shared" si="1293"/>
        <v>Upgraded</v>
      </c>
      <c r="G14491" s="153"/>
      <c r="H14491" s="210">
        <v>-0.2601</v>
      </c>
      <c r="I14491" s="160" t="s">
        <v>62</v>
      </c>
      <c r="J14491" s="160">
        <v>-0.18328</v>
      </c>
      <c r="K14491" s="160" t="s">
        <v>23</v>
      </c>
      <c r="L14491" s="154" t="str">
        <f>IF(OpenLCAbasic!K14491="CTUh", "Fill in Manually",IF(OR(K14491="Unit", K14491=""), "", INDEX(LookUps!$E$5:$E$12, MATCH(OpenLCAbasic!K14491,LookUps!$D$5:$D$12,0))))</f>
        <v>Global Warming Potential (GWP) - kg CO2 eq</v>
      </c>
      <c r="M14491" s="154" t="str">
        <f t="shared" si="1295"/>
        <v>High_Medium_High_Upgraded_Global Warming Potential (GWP) - kg CO2 eq_Land application of compost; wastewater treatment unit; at updated plant - US_Without Amendment_Aerated Static Pile</v>
      </c>
    </row>
    <row r="14492" spans="1:13" s="120" customFormat="1" x14ac:dyDescent="0.25">
      <c r="A14492" s="119"/>
      <c r="B14492" s="138" t="str">
        <f t="shared" si="1290"/>
        <v>Aerated Static Pile</v>
      </c>
      <c r="C14492" s="138" t="str">
        <f t="shared" si="1291"/>
        <v>Without Amendment</v>
      </c>
      <c r="D14492" s="138" t="str">
        <f t="shared" si="1294"/>
        <v>Medium_High</v>
      </c>
      <c r="E14492" s="138" t="str">
        <f t="shared" si="1292"/>
        <v>High</v>
      </c>
      <c r="F14492" s="138" t="str">
        <f t="shared" si="1293"/>
        <v>Upgraded</v>
      </c>
      <c r="G14492" s="153"/>
      <c r="H14492" s="210">
        <v>-0.85309999999999997</v>
      </c>
      <c r="I14492" s="160" t="s">
        <v>149</v>
      </c>
      <c r="J14492" s="160">
        <v>-0.60107999999999995</v>
      </c>
      <c r="K14492" s="160" t="s">
        <v>23</v>
      </c>
      <c r="L14492" s="154" t="str">
        <f>IF(OpenLCAbasic!K14492="CTUh", "Fill in Manually",IF(OR(K14492="Unit", K14492=""), "", INDEX(LookUps!$E$5:$E$12, MATCH(OpenLCAbasic!K14492,LookUps!$D$5:$D$12,0))))</f>
        <v>Global Warming Potential (GWP) - kg CO2 eq</v>
      </c>
      <c r="M14492" s="154" t="str">
        <f t="shared" si="1295"/>
        <v>High_Medium_High_Upgraded_Global Warming Potential (GWP) - kg CO2 eq_Anaerobic Digestion; wastewater treatment unit; at updated plant - US_Without Amendment_Aerated Static Pile</v>
      </c>
    </row>
    <row r="14493" spans="1:13" s="120" customFormat="1" x14ac:dyDescent="0.25">
      <c r="A14493" s="119"/>
      <c r="B14493" s="138" t="str">
        <f t="shared" si="1290"/>
        <v/>
      </c>
      <c r="C14493" s="138" t="str">
        <f t="shared" si="1291"/>
        <v/>
      </c>
      <c r="D14493" s="138" t="str">
        <f t="shared" si="1294"/>
        <v/>
      </c>
      <c r="E14493" s="138" t="str">
        <f t="shared" si="1292"/>
        <v/>
      </c>
      <c r="F14493" s="138" t="str">
        <f t="shared" si="1293"/>
        <v/>
      </c>
      <c r="G14493" s="153" t="s">
        <v>51</v>
      </c>
      <c r="H14493" s="160"/>
      <c r="I14493" s="160" t="s">
        <v>47</v>
      </c>
      <c r="J14493" s="160" t="s">
        <v>52</v>
      </c>
      <c r="K14493" s="160" t="s">
        <v>27</v>
      </c>
      <c r="L14493" s="154" t="str">
        <f>IF(OpenLCAbasic!K14493="CTUh", "Fill in Manually",IF(OR(K14493="Unit", K14493=""), "", INDEX(LookUps!$E$5:$E$12, MATCH(OpenLCAbasic!K14493,LookUps!$D$5:$D$12,0))))</f>
        <v/>
      </c>
      <c r="M14493" s="154" t="str">
        <f t="shared" si="1295"/>
        <v>____Process__</v>
      </c>
    </row>
    <row r="14494" spans="1:13" s="120" customFormat="1" x14ac:dyDescent="0.25">
      <c r="A14494" s="119"/>
      <c r="B14494" s="138" t="str">
        <f t="shared" si="1290"/>
        <v>Aerated Static Pile</v>
      </c>
      <c r="C14494" s="138" t="str">
        <f t="shared" si="1291"/>
        <v>Without Amendment</v>
      </c>
      <c r="D14494" s="138" t="str">
        <f t="shared" si="1294"/>
        <v>Medium_High</v>
      </c>
      <c r="E14494" s="138" t="str">
        <f t="shared" si="1292"/>
        <v>High</v>
      </c>
      <c r="F14494" s="138" t="str">
        <f t="shared" si="1293"/>
        <v>Upgraded</v>
      </c>
      <c r="G14494" s="153"/>
      <c r="H14494" s="210">
        <v>1.0266</v>
      </c>
      <c r="I14494" s="160" t="s">
        <v>55</v>
      </c>
      <c r="J14494" s="160">
        <v>2.33E-3</v>
      </c>
      <c r="K14494" s="160" t="s">
        <v>145</v>
      </c>
      <c r="L14494" s="154" t="str">
        <f>IF(OpenLCAbasic!K14494="CTUh", "Fill in Manually",IF(OR(K14494="Unit", K14494=""), "", INDEX(LookUps!$E$5:$E$12, MATCH(OpenLCAbasic!K14494,LookUps!$D$5:$D$12,0))))</f>
        <v>Particulate Matter Formation Potential (PMFP) - kg PM2.5 eq</v>
      </c>
      <c r="M14494" s="154" t="str">
        <f t="shared" si="1295"/>
        <v>High_Medium_High_Upgraded_Particulate Matter Formation Potential (PMFP) - kg PM2.5 eq_Aeration Tanks; wastewater treatment unit; at updated plant - US_Without Amendment_Aerated Static Pile</v>
      </c>
    </row>
    <row r="14495" spans="1:13" s="120" customFormat="1" x14ac:dyDescent="0.25">
      <c r="A14495" s="119"/>
      <c r="B14495" s="138" t="str">
        <f t="shared" si="1290"/>
        <v>Aerated Static Pile</v>
      </c>
      <c r="C14495" s="138" t="str">
        <f t="shared" si="1291"/>
        <v>Without Amendment</v>
      </c>
      <c r="D14495" s="138" t="str">
        <f t="shared" si="1294"/>
        <v>Medium_High</v>
      </c>
      <c r="E14495" s="138" t="str">
        <f t="shared" si="1292"/>
        <v>High</v>
      </c>
      <c r="F14495" s="138" t="str">
        <f t="shared" si="1293"/>
        <v>Upgraded</v>
      </c>
      <c r="G14495" s="153"/>
      <c r="H14495" s="210">
        <v>0.29870000000000002</v>
      </c>
      <c r="I14495" s="160" t="s">
        <v>54</v>
      </c>
      <c r="J14495" s="160">
        <v>6.8000000000000005E-4</v>
      </c>
      <c r="K14495" s="160" t="s">
        <v>145</v>
      </c>
      <c r="L14495" s="154" t="str">
        <f>IF(OpenLCAbasic!K14495="CTUh", "Fill in Manually",IF(OR(K14495="Unit", K14495=""), "", INDEX(LookUps!$E$5:$E$12, MATCH(OpenLCAbasic!K14495,LookUps!$D$5:$D$12,0))))</f>
        <v>Particulate Matter Formation Potential (PMFP) - kg PM2.5 eq</v>
      </c>
      <c r="M14495" s="154" t="str">
        <f t="shared" si="1295"/>
        <v>High_Medium_High_Upgraded_Particulate Matter Formation Potential (PMFP) - kg PM2.5 eq_Clear Cove Primary Clarification; wastewater treatment unit; at updated plant - US_Without Amendment_Aerated Static Pile</v>
      </c>
    </row>
    <row r="14496" spans="1:13" s="120" customFormat="1" x14ac:dyDescent="0.25">
      <c r="A14496" s="119"/>
      <c r="B14496" s="138" t="str">
        <f t="shared" si="1290"/>
        <v>Aerated Static Pile</v>
      </c>
      <c r="C14496" s="138" t="str">
        <f t="shared" si="1291"/>
        <v>Without Amendment</v>
      </c>
      <c r="D14496" s="138" t="str">
        <f t="shared" si="1294"/>
        <v>Medium_High</v>
      </c>
      <c r="E14496" s="138" t="str">
        <f t="shared" si="1292"/>
        <v>High</v>
      </c>
      <c r="F14496" s="138" t="str">
        <f t="shared" si="1293"/>
        <v>Upgraded</v>
      </c>
      <c r="G14496" s="153"/>
      <c r="H14496" s="210">
        <v>0.25900000000000001</v>
      </c>
      <c r="I14496" s="160" t="s">
        <v>58</v>
      </c>
      <c r="J14496" s="160">
        <v>5.9000000000000003E-4</v>
      </c>
      <c r="K14496" s="160" t="s">
        <v>145</v>
      </c>
      <c r="L14496" s="154" t="str">
        <f>IF(OpenLCAbasic!K14496="CTUh", "Fill in Manually",IF(OR(K14496="Unit", K14496=""), "", INDEX(LookUps!$E$5:$E$12, MATCH(OpenLCAbasic!K14496,LookUps!$D$5:$D$12,0))))</f>
        <v>Particulate Matter Formation Potential (PMFP) - kg PM2.5 eq</v>
      </c>
      <c r="M14496" s="154" t="str">
        <f t="shared" si="1295"/>
        <v>High_Medium_High_Upgraded_Particulate Matter Formation Potential (PMFP) - kg PM2.5 eq_Pre-Anoxic &amp; Swing tank; wastewater treatment unit; at updated plant - US_Without Amendment_Aerated Static Pile</v>
      </c>
    </row>
    <row r="14497" spans="1:13" s="120" customFormat="1" x14ac:dyDescent="0.25">
      <c r="A14497" s="119"/>
      <c r="B14497" s="138" t="str">
        <f t="shared" si="1290"/>
        <v>Aerated Static Pile</v>
      </c>
      <c r="C14497" s="138" t="str">
        <f t="shared" si="1291"/>
        <v>Without Amendment</v>
      </c>
      <c r="D14497" s="138" t="str">
        <f t="shared" si="1294"/>
        <v>Medium_High</v>
      </c>
      <c r="E14497" s="138" t="str">
        <f t="shared" si="1292"/>
        <v>High</v>
      </c>
      <c r="F14497" s="138" t="str">
        <f t="shared" si="1293"/>
        <v>Upgraded</v>
      </c>
      <c r="G14497" s="153"/>
      <c r="H14497" s="210">
        <v>0.20530000000000001</v>
      </c>
      <c r="I14497" s="160" t="s">
        <v>53</v>
      </c>
      <c r="J14497" s="160">
        <v>4.6999999999999999E-4</v>
      </c>
      <c r="K14497" s="160" t="s">
        <v>145</v>
      </c>
      <c r="L14497" s="154" t="str">
        <f>IF(OpenLCAbasic!K14497="CTUh", "Fill in Manually",IF(OR(K14497="Unit", K14497=""), "", INDEX(LookUps!$E$5:$E$12, MATCH(OpenLCAbasic!K14497,LookUps!$D$5:$D$12,0))))</f>
        <v>Particulate Matter Formation Potential (PMFP) - kg PM2.5 eq</v>
      </c>
      <c r="M14497" s="154" t="str">
        <f t="shared" si="1295"/>
        <v>High_Medium_High_Upgraded_Particulate Matter Formation Potential (PMFP) - kg PM2.5 eq_Wet Well and Sump Station; wastewater treatment unit; at updated plant - US_Without Amendment_Aerated Static Pile</v>
      </c>
    </row>
    <row r="14498" spans="1:13" s="120" customFormat="1" x14ac:dyDescent="0.25">
      <c r="A14498" s="119"/>
      <c r="B14498" s="138" t="str">
        <f t="shared" si="1290"/>
        <v>Aerated Static Pile</v>
      </c>
      <c r="C14498" s="138" t="str">
        <f t="shared" si="1291"/>
        <v>Without Amendment</v>
      </c>
      <c r="D14498" s="138" t="str">
        <f t="shared" si="1294"/>
        <v>Medium_High</v>
      </c>
      <c r="E14498" s="138" t="str">
        <f t="shared" si="1292"/>
        <v>High</v>
      </c>
      <c r="F14498" s="138" t="str">
        <f t="shared" si="1293"/>
        <v>Upgraded</v>
      </c>
      <c r="G14498" s="153"/>
      <c r="H14498" s="210">
        <v>0.1384</v>
      </c>
      <c r="I14498" s="160" t="s">
        <v>167</v>
      </c>
      <c r="J14498" s="160">
        <v>3.1E-4</v>
      </c>
      <c r="K14498" s="160" t="s">
        <v>145</v>
      </c>
      <c r="L14498" s="154" t="str">
        <f>IF(OpenLCAbasic!K14498="CTUh", "Fill in Manually",IF(OR(K14498="Unit", K14498=""), "", INDEX(LookUps!$E$5:$E$12, MATCH(OpenLCAbasic!K14498,LookUps!$D$5:$D$12,0))))</f>
        <v>Particulate Matter Formation Potential (PMFP) - kg PM2.5 eq</v>
      </c>
      <c r="M14498" s="154" t="str">
        <f t="shared" si="1295"/>
        <v>High_Medium_High_Upgraded_Particulate Matter Formation Potential (PMFP) - kg PM2.5 eq_Waste Receiving and Holding; wastewater treatment unit; at updated plant - US_Without Amendment_Aerated Static Pile</v>
      </c>
    </row>
    <row r="14499" spans="1:13" s="120" customFormat="1" x14ac:dyDescent="0.25">
      <c r="A14499" s="119"/>
      <c r="B14499" s="138" t="str">
        <f t="shared" si="1290"/>
        <v>Aerated Static Pile</v>
      </c>
      <c r="C14499" s="138" t="str">
        <f t="shared" si="1291"/>
        <v>Without Amendment</v>
      </c>
      <c r="D14499" s="138" t="str">
        <f t="shared" si="1294"/>
        <v>Medium_High</v>
      </c>
      <c r="E14499" s="138" t="str">
        <f t="shared" si="1292"/>
        <v>High</v>
      </c>
      <c r="F14499" s="138" t="str">
        <f t="shared" si="1293"/>
        <v>Upgraded</v>
      </c>
      <c r="G14499" s="153"/>
      <c r="H14499" s="210">
        <v>0.13800000000000001</v>
      </c>
      <c r="I14499" s="160" t="s">
        <v>435</v>
      </c>
      <c r="J14499" s="160">
        <v>3.1E-4</v>
      </c>
      <c r="K14499" s="160" t="s">
        <v>145</v>
      </c>
      <c r="L14499" s="154" t="str">
        <f>IF(OpenLCAbasic!K14499="CTUh", "Fill in Manually",IF(OR(K14499="Unit", K14499=""), "", INDEX(LookUps!$E$5:$E$12, MATCH(OpenLCAbasic!K14499,LookUps!$D$5:$D$12,0))))</f>
        <v>Particulate Matter Formation Potential (PMFP) - kg PM2.5 eq</v>
      </c>
      <c r="M14499" s="154" t="str">
        <f t="shared" si="1295"/>
        <v>High_Medium_High_Upgraded_Particulate Matter Formation Potential (PMFP) - kg PM2.5 eq_Biosolids composting; aerated static pile; wastewater treatment unit; at updated plant - US_Without Amendment_Aerated Static Pile</v>
      </c>
    </row>
    <row r="14500" spans="1:13" s="120" customFormat="1" x14ac:dyDescent="0.25">
      <c r="A14500" s="119"/>
      <c r="B14500" s="138" t="str">
        <f t="shared" si="1290"/>
        <v>Aerated Static Pile</v>
      </c>
      <c r="C14500" s="138" t="str">
        <f t="shared" si="1291"/>
        <v>Without Amendment</v>
      </c>
      <c r="D14500" s="138" t="str">
        <f t="shared" si="1294"/>
        <v>Medium_High</v>
      </c>
      <c r="E14500" s="138" t="str">
        <f t="shared" si="1292"/>
        <v>High</v>
      </c>
      <c r="F14500" s="138" t="str">
        <f t="shared" si="1293"/>
        <v>Upgraded</v>
      </c>
      <c r="G14500" s="153"/>
      <c r="H14500" s="210">
        <v>0.1173</v>
      </c>
      <c r="I14500" s="160" t="s">
        <v>147</v>
      </c>
      <c r="J14500" s="160">
        <v>2.7E-4</v>
      </c>
      <c r="K14500" s="160" t="s">
        <v>145</v>
      </c>
      <c r="L14500" s="154" t="str">
        <f>IF(OpenLCAbasic!K14500="CTUh", "Fill in Manually",IF(OR(K14500="Unit", K14500=""), "", INDEX(LookUps!$E$5:$E$12, MATCH(OpenLCAbasic!K14500,LookUps!$D$5:$D$12,0))))</f>
        <v>Particulate Matter Formation Potential (PMFP) - kg PM2.5 eq</v>
      </c>
      <c r="M14500" s="154" t="str">
        <f t="shared" si="1295"/>
        <v>High_Medium_High_Upgraded_Particulate Matter Formation Potential (PMFP) - kg PM2.5 eq_Influent Pump Station; wastewater treatment unit; at updated plant - US_Without Amendment_Aerated Static Pile</v>
      </c>
    </row>
    <row r="14501" spans="1:13" s="120" customFormat="1" x14ac:dyDescent="0.25">
      <c r="A14501" s="119"/>
      <c r="B14501" s="138" t="str">
        <f t="shared" si="1290"/>
        <v>Aerated Static Pile</v>
      </c>
      <c r="C14501" s="138" t="str">
        <f t="shared" si="1291"/>
        <v>Without Amendment</v>
      </c>
      <c r="D14501" s="138" t="str">
        <f t="shared" si="1294"/>
        <v>Medium_High</v>
      </c>
      <c r="E14501" s="138" t="str">
        <f t="shared" si="1292"/>
        <v>High</v>
      </c>
      <c r="F14501" s="138" t="str">
        <f t="shared" si="1293"/>
        <v>Upgraded</v>
      </c>
      <c r="G14501" s="153"/>
      <c r="H14501" s="210">
        <v>7.3200000000000001E-2</v>
      </c>
      <c r="I14501" s="160" t="s">
        <v>128</v>
      </c>
      <c r="J14501" s="160">
        <v>1.7000000000000001E-4</v>
      </c>
      <c r="K14501" s="160" t="s">
        <v>145</v>
      </c>
      <c r="L14501" s="154" t="str">
        <f>IF(OpenLCAbasic!K14501="CTUh", "Fill in Manually",IF(OR(K14501="Unit", K14501=""), "", INDEX(LookUps!$E$5:$E$12, MATCH(OpenLCAbasic!K14501,LookUps!$D$5:$D$12,0))))</f>
        <v>Particulate Matter Formation Potential (PMFP) - kg PM2.5 eq</v>
      </c>
      <c r="M14501" s="154" t="str">
        <f t="shared" si="1295"/>
        <v>High_Medium_High_Upgraded_Particulate Matter Formation Potential (PMFP) - kg PM2.5 eq_Wastewater collection; operation and infrastructure; m3 wastewater_Without Amendment_Aerated Static Pile</v>
      </c>
    </row>
    <row r="14502" spans="1:13" s="120" customFormat="1" x14ac:dyDescent="0.25">
      <c r="A14502" s="119"/>
      <c r="B14502" s="138" t="str">
        <f t="shared" si="1290"/>
        <v>Aerated Static Pile</v>
      </c>
      <c r="C14502" s="138" t="str">
        <f t="shared" si="1291"/>
        <v>Without Amendment</v>
      </c>
      <c r="D14502" s="138" t="str">
        <f t="shared" si="1294"/>
        <v>Medium_High</v>
      </c>
      <c r="E14502" s="138" t="str">
        <f t="shared" si="1292"/>
        <v>High</v>
      </c>
      <c r="F14502" s="138" t="str">
        <f t="shared" si="1293"/>
        <v>Upgraded</v>
      </c>
      <c r="G14502" s="153"/>
      <c r="H14502" s="210">
        <v>6.0699999999999997E-2</v>
      </c>
      <c r="I14502" s="160" t="s">
        <v>60</v>
      </c>
      <c r="J14502" s="160">
        <v>1.3999999999999999E-4</v>
      </c>
      <c r="K14502" s="160" t="s">
        <v>145</v>
      </c>
      <c r="L14502" s="154" t="str">
        <f>IF(OpenLCAbasic!K14502="CTUh", "Fill in Manually",IF(OR(K14502="Unit", K14502=""), "", INDEX(LookUps!$E$5:$E$12, MATCH(OpenLCAbasic!K14502,LookUps!$D$5:$D$12,0))))</f>
        <v>Particulate Matter Formation Potential (PMFP) - kg PM2.5 eq</v>
      </c>
      <c r="M14502" s="154" t="str">
        <f t="shared" si="1295"/>
        <v>High_Medium_High_Upgraded_Particulate Matter Formation Potential (PMFP) - kg PM2.5 eq_Belt filter press; wastewater treatment unit; at updated plant - US_Without Amendment_Aerated Static Pile</v>
      </c>
    </row>
    <row r="14503" spans="1:13" s="120" customFormat="1" x14ac:dyDescent="0.25">
      <c r="A14503" s="119"/>
      <c r="B14503" s="138" t="str">
        <f t="shared" si="1290"/>
        <v>Aerated Static Pile</v>
      </c>
      <c r="C14503" s="138" t="str">
        <f t="shared" si="1291"/>
        <v>Without Amendment</v>
      </c>
      <c r="D14503" s="138" t="str">
        <f t="shared" si="1294"/>
        <v>Medium_High</v>
      </c>
      <c r="E14503" s="138" t="str">
        <f t="shared" si="1292"/>
        <v>High</v>
      </c>
      <c r="F14503" s="138" t="str">
        <f t="shared" si="1293"/>
        <v>Upgraded</v>
      </c>
      <c r="G14503" s="153"/>
      <c r="H14503" s="210">
        <v>4.19E-2</v>
      </c>
      <c r="I14503" s="160" t="s">
        <v>57</v>
      </c>
      <c r="J14503" s="211">
        <v>9.5153800000000004E-5</v>
      </c>
      <c r="K14503" s="160" t="s">
        <v>145</v>
      </c>
      <c r="L14503" s="154" t="str">
        <f>IF(OpenLCAbasic!K14503="CTUh", "Fill in Manually",IF(OR(K14503="Unit", K14503=""), "", INDEX(LookUps!$E$5:$E$12, MATCH(OpenLCAbasic!K14503,LookUps!$D$5:$D$12,0))))</f>
        <v>Particulate Matter Formation Potential (PMFP) - kg PM2.5 eq</v>
      </c>
      <c r="M14503" s="154" t="str">
        <f t="shared" si="1295"/>
        <v>High_Medium_High_Upgraded_Particulate Matter Formation Potential (PMFP) - kg PM2.5 eq_Gravity Belt Thickener; wastewater treatment unit; at updated plant - US_Without Amendment_Aerated Static Pile</v>
      </c>
    </row>
    <row r="14504" spans="1:13" s="120" customFormat="1" x14ac:dyDescent="0.25">
      <c r="A14504" s="119"/>
      <c r="B14504" s="138" t="str">
        <f t="shared" si="1290"/>
        <v>Aerated Static Pile</v>
      </c>
      <c r="C14504" s="138" t="str">
        <f t="shared" si="1291"/>
        <v>Without Amendment</v>
      </c>
      <c r="D14504" s="138" t="str">
        <f t="shared" si="1294"/>
        <v>Medium_High</v>
      </c>
      <c r="E14504" s="138" t="str">
        <f t="shared" si="1292"/>
        <v>High</v>
      </c>
      <c r="F14504" s="138" t="str">
        <f t="shared" si="1293"/>
        <v>Upgraded</v>
      </c>
      <c r="G14504" s="153"/>
      <c r="H14504" s="210">
        <v>3.0800000000000001E-2</v>
      </c>
      <c r="I14504" s="160" t="s">
        <v>59</v>
      </c>
      <c r="J14504" s="211">
        <v>6.9942200000000003E-5</v>
      </c>
      <c r="K14504" s="160" t="s">
        <v>145</v>
      </c>
      <c r="L14504" s="154" t="str">
        <f>IF(OpenLCAbasic!K14504="CTUh", "Fill in Manually",IF(OR(K14504="Unit", K14504=""), "", INDEX(LookUps!$E$5:$E$12, MATCH(OpenLCAbasic!K14504,LookUps!$D$5:$D$12,0))))</f>
        <v>Particulate Matter Formation Potential (PMFP) - kg PM2.5 eq</v>
      </c>
      <c r="M14504" s="154" t="str">
        <f t="shared" si="1295"/>
        <v>High_Medium_High_Upgraded_Particulate Matter Formation Potential (PMFP) - kg PM2.5 eq_Blend Tank; wastewater treatment unit; at updated plant - US_Without Amendment_Aerated Static Pile</v>
      </c>
    </row>
    <row r="14505" spans="1:13" s="120" customFormat="1" x14ac:dyDescent="0.25">
      <c r="A14505" s="119"/>
      <c r="B14505" s="138" t="str">
        <f t="shared" ref="B14505:B14568" si="1296">IF(F14505="Legacy","n.a.",IF(F14505="","","Aerated Static Pile"))</f>
        <v>Aerated Static Pile</v>
      </c>
      <c r="C14505" s="138" t="str">
        <f t="shared" ref="C14505:C14568" si="1297">IF(ISNUMBER($J14505),"Without Amendment","")</f>
        <v>Without Amendment</v>
      </c>
      <c r="D14505" s="138" t="str">
        <f t="shared" si="1294"/>
        <v>Medium_High</v>
      </c>
      <c r="E14505" s="138" t="str">
        <f t="shared" ref="E14505:E14568" si="1298">IF(ISNUMBER($J14505),"High","")</f>
        <v>High</v>
      </c>
      <c r="F14505" s="138" t="str">
        <f t="shared" ref="F14505:F14568" si="1299">IF(ISNUMBER(J14505),"Upgraded","")</f>
        <v>Upgraded</v>
      </c>
      <c r="G14505" s="153"/>
      <c r="H14505" s="210">
        <v>2.1999999999999999E-2</v>
      </c>
      <c r="I14505" s="160" t="s">
        <v>48</v>
      </c>
      <c r="J14505" s="211">
        <v>4.99741E-5</v>
      </c>
      <c r="K14505" s="160" t="s">
        <v>145</v>
      </c>
      <c r="L14505" s="154" t="str">
        <f>IF(OpenLCAbasic!K14505="CTUh", "Fill in Manually",IF(OR(K14505="Unit", K14505=""), "", INDEX(LookUps!$E$5:$E$12, MATCH(OpenLCAbasic!K14505,LookUps!$D$5:$D$12,0))))</f>
        <v>Particulate Matter Formation Potential (PMFP) - kg PM2.5 eq</v>
      </c>
      <c r="M14505" s="154" t="str">
        <f t="shared" si="1295"/>
        <v>High_Medium_High_Upgraded_Particulate Matter Formation Potential (PMFP) - kg PM2.5 eq_Effluent release; wastewater treatment unit; at surface water; m3 wastewater - US_Without Amendment_Aerated Static Pile</v>
      </c>
    </row>
    <row r="14506" spans="1:13" s="120" customFormat="1" x14ac:dyDescent="0.25">
      <c r="A14506" s="119"/>
      <c r="B14506" s="138" t="str">
        <f t="shared" si="1296"/>
        <v>Aerated Static Pile</v>
      </c>
      <c r="C14506" s="138" t="str">
        <f t="shared" si="1297"/>
        <v>Without Amendment</v>
      </c>
      <c r="D14506" s="138" t="str">
        <f t="shared" si="1294"/>
        <v>Medium_High</v>
      </c>
      <c r="E14506" s="138" t="str">
        <f t="shared" si="1298"/>
        <v>High</v>
      </c>
      <c r="F14506" s="138" t="str">
        <f t="shared" si="1299"/>
        <v>Upgraded</v>
      </c>
      <c r="G14506" s="153"/>
      <c r="H14506" s="210">
        <v>1.52E-2</v>
      </c>
      <c r="I14506" s="160" t="s">
        <v>168</v>
      </c>
      <c r="J14506" s="211">
        <v>3.4562199999999999E-5</v>
      </c>
      <c r="K14506" s="160" t="s">
        <v>145</v>
      </c>
      <c r="L14506" s="154" t="str">
        <f>IF(OpenLCAbasic!K14506="CTUh", "Fill in Manually",IF(OR(K14506="Unit", K14506=""), "", INDEX(LookUps!$E$5:$E$12, MATCH(OpenLCAbasic!K14506,LookUps!$D$5:$D$12,0))))</f>
        <v>Particulate Matter Formation Potential (PMFP) - kg PM2.5 eq</v>
      </c>
      <c r="M14506" s="154" t="str">
        <f t="shared" si="1295"/>
        <v>High_Medium_High_Upgraded_Particulate Matter Formation Potential (PMFP) - kg PM2.5 eq_ClearCove SCP; wastewater treatment unit; at updated plant - US_Without Amendment_Aerated Static Pile</v>
      </c>
    </row>
    <row r="14507" spans="1:13" s="120" customFormat="1" x14ac:dyDescent="0.25">
      <c r="A14507" s="119"/>
      <c r="B14507" s="138" t="str">
        <f t="shared" si="1296"/>
        <v>Aerated Static Pile</v>
      </c>
      <c r="C14507" s="138" t="str">
        <f t="shared" si="1297"/>
        <v>Without Amendment</v>
      </c>
      <c r="D14507" s="138" t="str">
        <f t="shared" si="1294"/>
        <v>Medium_High</v>
      </c>
      <c r="E14507" s="138" t="str">
        <f t="shared" si="1298"/>
        <v>High</v>
      </c>
      <c r="F14507" s="138" t="str">
        <f t="shared" si="1299"/>
        <v>Upgraded</v>
      </c>
      <c r="G14507" s="153"/>
      <c r="H14507" s="210">
        <v>1.37E-2</v>
      </c>
      <c r="I14507" s="160" t="s">
        <v>62</v>
      </c>
      <c r="J14507" s="211">
        <v>3.1103799999999999E-5</v>
      </c>
      <c r="K14507" s="160" t="s">
        <v>145</v>
      </c>
      <c r="L14507" s="154" t="str">
        <f>IF(OpenLCAbasic!K14507="CTUh", "Fill in Manually",IF(OR(K14507="Unit", K14507=""), "", INDEX(LookUps!$E$5:$E$12, MATCH(OpenLCAbasic!K14507,LookUps!$D$5:$D$12,0))))</f>
        <v>Particulate Matter Formation Potential (PMFP) - kg PM2.5 eq</v>
      </c>
      <c r="M14507" s="154" t="str">
        <f t="shared" si="1295"/>
        <v>High_Medium_High_Upgraded_Particulate Matter Formation Potential (PMFP) - kg PM2.5 eq_Land application of compost; wastewater treatment unit; at updated plant - US_Without Amendment_Aerated Static Pile</v>
      </c>
    </row>
    <row r="14508" spans="1:13" s="120" customFormat="1" x14ac:dyDescent="0.25">
      <c r="A14508" s="119"/>
      <c r="B14508" s="138" t="str">
        <f t="shared" si="1296"/>
        <v>Aerated Static Pile</v>
      </c>
      <c r="C14508" s="138" t="str">
        <f t="shared" si="1297"/>
        <v>Without Amendment</v>
      </c>
      <c r="D14508" s="138" t="str">
        <f t="shared" si="1294"/>
        <v>Medium_High</v>
      </c>
      <c r="E14508" s="138" t="str">
        <f t="shared" si="1298"/>
        <v>High</v>
      </c>
      <c r="F14508" s="138" t="str">
        <f t="shared" si="1299"/>
        <v>Upgraded</v>
      </c>
      <c r="G14508" s="153"/>
      <c r="H14508" s="210">
        <v>3.8999999999999998E-3</v>
      </c>
      <c r="I14508" s="160" t="s">
        <v>148</v>
      </c>
      <c r="J14508" s="211">
        <v>8.8212999999999997E-6</v>
      </c>
      <c r="K14508" s="160" t="s">
        <v>145</v>
      </c>
      <c r="L14508" s="154" t="str">
        <f>IF(OpenLCAbasic!K14508="CTUh", "Fill in Manually",IF(OR(K14508="Unit", K14508=""), "", INDEX(LookUps!$E$5:$E$12, MATCH(OpenLCAbasic!K14508,LookUps!$D$5:$D$12,0))))</f>
        <v>Particulate Matter Formation Potential (PMFP) - kg PM2.5 eq</v>
      </c>
      <c r="M14508" s="154" t="str">
        <f t="shared" si="1295"/>
        <v>High_Medium_High_Upgraded_Particulate Matter Formation Potential (PMFP) - kg PM2.5 eq_Control Building; at upgraded wastewater treatment plant - US_Without Amendment_Aerated Static Pile</v>
      </c>
    </row>
    <row r="14509" spans="1:13" s="120" customFormat="1" x14ac:dyDescent="0.25">
      <c r="A14509" s="119"/>
      <c r="B14509" s="138" t="str">
        <f t="shared" si="1296"/>
        <v>Aerated Static Pile</v>
      </c>
      <c r="C14509" s="138" t="str">
        <f t="shared" si="1297"/>
        <v>Without Amendment</v>
      </c>
      <c r="D14509" s="138" t="str">
        <f t="shared" si="1294"/>
        <v>Medium_High</v>
      </c>
      <c r="E14509" s="138" t="str">
        <f t="shared" si="1298"/>
        <v>High</v>
      </c>
      <c r="F14509" s="138" t="str">
        <f t="shared" si="1299"/>
        <v>Upgraded</v>
      </c>
      <c r="G14509" s="153"/>
      <c r="H14509" s="210">
        <v>-3.4445999999999999</v>
      </c>
      <c r="I14509" s="160" t="s">
        <v>149</v>
      </c>
      <c r="J14509" s="160">
        <v>-7.8300000000000002E-3</v>
      </c>
      <c r="K14509" s="160" t="s">
        <v>145</v>
      </c>
      <c r="L14509" s="154" t="str">
        <f>IF(OpenLCAbasic!K14509="CTUh", "Fill in Manually",IF(OR(K14509="Unit", K14509=""), "", INDEX(LookUps!$E$5:$E$12, MATCH(OpenLCAbasic!K14509,LookUps!$D$5:$D$12,0))))</f>
        <v>Particulate Matter Formation Potential (PMFP) - kg PM2.5 eq</v>
      </c>
      <c r="M14509" s="154" t="str">
        <f t="shared" si="1295"/>
        <v>High_Medium_High_Upgraded_Particulate Matter Formation Potential (PMFP) - kg PM2.5 eq_Anaerobic Digestion; wastewater treatment unit; at updated plant - US_Without Amendment_Aerated Static Pile</v>
      </c>
    </row>
    <row r="14510" spans="1:13" s="120" customFormat="1" x14ac:dyDescent="0.25">
      <c r="A14510" s="119"/>
      <c r="B14510" s="138" t="str">
        <f t="shared" si="1296"/>
        <v/>
      </c>
      <c r="C14510" s="138" t="str">
        <f t="shared" si="1297"/>
        <v/>
      </c>
      <c r="D14510" s="138" t="str">
        <f t="shared" si="1294"/>
        <v/>
      </c>
      <c r="E14510" s="138" t="str">
        <f t="shared" si="1298"/>
        <v/>
      </c>
      <c r="F14510" s="138" t="str">
        <f t="shared" si="1299"/>
        <v/>
      </c>
      <c r="G14510" s="153" t="s">
        <v>51</v>
      </c>
      <c r="H14510" s="160"/>
      <c r="I14510" s="160" t="s">
        <v>47</v>
      </c>
      <c r="J14510" s="160" t="s">
        <v>52</v>
      </c>
      <c r="K14510" s="160" t="s">
        <v>27</v>
      </c>
      <c r="L14510" s="154" t="str">
        <f>IF(OpenLCAbasic!K14510="CTUh", "Fill in Manually",IF(OR(K14510="Unit", K14510=""), "", INDEX(LookUps!$E$5:$E$12, MATCH(OpenLCAbasic!K14510,LookUps!$D$5:$D$12,0))))</f>
        <v/>
      </c>
      <c r="M14510" s="154" t="str">
        <f t="shared" si="1295"/>
        <v>____Process__</v>
      </c>
    </row>
    <row r="14511" spans="1:13" s="120" customFormat="1" x14ac:dyDescent="0.25">
      <c r="A14511" s="119"/>
      <c r="B14511" s="138" t="str">
        <f t="shared" si="1296"/>
        <v>Aerated Static Pile</v>
      </c>
      <c r="C14511" s="138" t="str">
        <f t="shared" si="1297"/>
        <v>Without Amendment</v>
      </c>
      <c r="D14511" s="138" t="str">
        <f t="shared" si="1294"/>
        <v>Medium_High</v>
      </c>
      <c r="E14511" s="138" t="str">
        <f t="shared" si="1298"/>
        <v>High</v>
      </c>
      <c r="F14511" s="138" t="str">
        <f t="shared" si="1299"/>
        <v>Upgraded</v>
      </c>
      <c r="G14511" s="153"/>
      <c r="H14511" s="210">
        <v>1.0357000000000001</v>
      </c>
      <c r="I14511" s="160" t="s">
        <v>55</v>
      </c>
      <c r="J14511" s="160">
        <v>0.16577</v>
      </c>
      <c r="K14511" s="160" t="s">
        <v>25</v>
      </c>
      <c r="L14511" s="154" t="str">
        <f>IF(OpenLCAbasic!K14511="CTUh", "Fill in Manually",IF(OR(K14511="Unit", K14511=""), "", INDEX(LookUps!$E$5:$E$12, MATCH(OpenLCAbasic!K14511,LookUps!$D$5:$D$12,0))))</f>
        <v>Smog Formation Potential (SFP) - kg O3 eq</v>
      </c>
      <c r="M14511" s="154" t="str">
        <f t="shared" si="1295"/>
        <v>High_Medium_High_Upgraded_Smog Formation Potential (SFP) - kg O3 eq_Aeration Tanks; wastewater treatment unit; at updated plant - US_Without Amendment_Aerated Static Pile</v>
      </c>
    </row>
    <row r="14512" spans="1:13" s="120" customFormat="1" x14ac:dyDescent="0.25">
      <c r="A14512" s="119"/>
      <c r="B14512" s="138" t="str">
        <f t="shared" si="1296"/>
        <v>Aerated Static Pile</v>
      </c>
      <c r="C14512" s="138" t="str">
        <f t="shared" si="1297"/>
        <v>Without Amendment</v>
      </c>
      <c r="D14512" s="138" t="str">
        <f t="shared" si="1294"/>
        <v>Medium_High</v>
      </c>
      <c r="E14512" s="138" t="str">
        <f t="shared" si="1298"/>
        <v>High</v>
      </c>
      <c r="F14512" s="138" t="str">
        <f t="shared" si="1299"/>
        <v>Upgraded</v>
      </c>
      <c r="G14512" s="153"/>
      <c r="H14512" s="210">
        <v>0.30030000000000001</v>
      </c>
      <c r="I14512" s="160" t="s">
        <v>54</v>
      </c>
      <c r="J14512" s="160">
        <v>4.8070000000000002E-2</v>
      </c>
      <c r="K14512" s="160" t="s">
        <v>25</v>
      </c>
      <c r="L14512" s="154" t="str">
        <f>IF(OpenLCAbasic!K14512="CTUh", "Fill in Manually",IF(OR(K14512="Unit", K14512=""), "", INDEX(LookUps!$E$5:$E$12, MATCH(OpenLCAbasic!K14512,LookUps!$D$5:$D$12,0))))</f>
        <v>Smog Formation Potential (SFP) - kg O3 eq</v>
      </c>
      <c r="M14512" s="154" t="str">
        <f t="shared" si="1295"/>
        <v>High_Medium_High_Upgraded_Smog Formation Potential (SFP) - kg O3 eq_Clear Cove Primary Clarification; wastewater treatment unit; at updated plant - US_Without Amendment_Aerated Static Pile</v>
      </c>
    </row>
    <row r="14513" spans="1:13" s="120" customFormat="1" x14ac:dyDescent="0.25">
      <c r="A14513" s="119"/>
      <c r="B14513" s="138" t="str">
        <f t="shared" si="1296"/>
        <v>Aerated Static Pile</v>
      </c>
      <c r="C14513" s="138" t="str">
        <f t="shared" si="1297"/>
        <v>Without Amendment</v>
      </c>
      <c r="D14513" s="138" t="str">
        <f t="shared" si="1294"/>
        <v>Medium_High</v>
      </c>
      <c r="E14513" s="138" t="str">
        <f t="shared" si="1298"/>
        <v>High</v>
      </c>
      <c r="F14513" s="138" t="str">
        <f t="shared" si="1299"/>
        <v>Upgraded</v>
      </c>
      <c r="G14513" s="153"/>
      <c r="H14513" s="210">
        <v>0.26190000000000002</v>
      </c>
      <c r="I14513" s="160" t="s">
        <v>58</v>
      </c>
      <c r="J14513" s="160">
        <v>4.1919999999999999E-2</v>
      </c>
      <c r="K14513" s="160" t="s">
        <v>25</v>
      </c>
      <c r="L14513" s="154" t="str">
        <f>IF(OpenLCAbasic!K14513="CTUh", "Fill in Manually",IF(OR(K14513="Unit", K14513=""), "", INDEX(LookUps!$E$5:$E$12, MATCH(OpenLCAbasic!K14513,LookUps!$D$5:$D$12,0))))</f>
        <v>Smog Formation Potential (SFP) - kg O3 eq</v>
      </c>
      <c r="M14513" s="154" t="str">
        <f t="shared" si="1295"/>
        <v>High_Medium_High_Upgraded_Smog Formation Potential (SFP) - kg O3 eq_Pre-Anoxic &amp; Swing tank; wastewater treatment unit; at updated plant - US_Without Amendment_Aerated Static Pile</v>
      </c>
    </row>
    <row r="14514" spans="1:13" s="120" customFormat="1" x14ac:dyDescent="0.25">
      <c r="A14514" s="119"/>
      <c r="B14514" s="138" t="str">
        <f t="shared" si="1296"/>
        <v>Aerated Static Pile</v>
      </c>
      <c r="C14514" s="138" t="str">
        <f t="shared" si="1297"/>
        <v>Without Amendment</v>
      </c>
      <c r="D14514" s="138" t="str">
        <f t="shared" si="1294"/>
        <v>Medium_High</v>
      </c>
      <c r="E14514" s="138" t="str">
        <f t="shared" si="1298"/>
        <v>High</v>
      </c>
      <c r="F14514" s="138" t="str">
        <f t="shared" si="1299"/>
        <v>Upgraded</v>
      </c>
      <c r="G14514" s="153"/>
      <c r="H14514" s="210">
        <v>0.20699999999999999</v>
      </c>
      <c r="I14514" s="160" t="s">
        <v>53</v>
      </c>
      <c r="J14514" s="160">
        <v>3.313E-2</v>
      </c>
      <c r="K14514" s="160" t="s">
        <v>25</v>
      </c>
      <c r="L14514" s="154" t="str">
        <f>IF(OpenLCAbasic!K14514="CTUh", "Fill in Manually",IF(OR(K14514="Unit", K14514=""), "", INDEX(LookUps!$E$5:$E$12, MATCH(OpenLCAbasic!K14514,LookUps!$D$5:$D$12,0))))</f>
        <v>Smog Formation Potential (SFP) - kg O3 eq</v>
      </c>
      <c r="M14514" s="154" t="str">
        <f t="shared" si="1295"/>
        <v>High_Medium_High_Upgraded_Smog Formation Potential (SFP) - kg O3 eq_Wet Well and Sump Station; wastewater treatment unit; at updated plant - US_Without Amendment_Aerated Static Pile</v>
      </c>
    </row>
    <row r="14515" spans="1:13" s="120" customFormat="1" x14ac:dyDescent="0.25">
      <c r="A14515" s="119"/>
      <c r="B14515" s="138" t="str">
        <f t="shared" si="1296"/>
        <v>Aerated Static Pile</v>
      </c>
      <c r="C14515" s="138" t="str">
        <f t="shared" si="1297"/>
        <v>Without Amendment</v>
      </c>
      <c r="D14515" s="138" t="str">
        <f t="shared" si="1294"/>
        <v>Medium_High</v>
      </c>
      <c r="E14515" s="138" t="str">
        <f t="shared" si="1298"/>
        <v>High</v>
      </c>
      <c r="F14515" s="138" t="str">
        <f t="shared" si="1299"/>
        <v>Upgraded</v>
      </c>
      <c r="G14515" s="153"/>
      <c r="H14515" s="210">
        <v>0.19189999999999999</v>
      </c>
      <c r="I14515" s="160" t="s">
        <v>167</v>
      </c>
      <c r="J14515" s="160">
        <v>3.0710000000000001E-2</v>
      </c>
      <c r="K14515" s="160" t="s">
        <v>25</v>
      </c>
      <c r="L14515" s="154" t="str">
        <f>IF(OpenLCAbasic!K14515="CTUh", "Fill in Manually",IF(OR(K14515="Unit", K14515=""), "", INDEX(LookUps!$E$5:$E$12, MATCH(OpenLCAbasic!K14515,LookUps!$D$5:$D$12,0))))</f>
        <v>Smog Formation Potential (SFP) - kg O3 eq</v>
      </c>
      <c r="M14515" s="154" t="str">
        <f t="shared" si="1295"/>
        <v>High_Medium_High_Upgraded_Smog Formation Potential (SFP) - kg O3 eq_Waste Receiving and Holding; wastewater treatment unit; at updated plant - US_Without Amendment_Aerated Static Pile</v>
      </c>
    </row>
    <row r="14516" spans="1:13" s="120" customFormat="1" x14ac:dyDescent="0.25">
      <c r="A14516" s="119"/>
      <c r="B14516" s="138" t="str">
        <f t="shared" si="1296"/>
        <v>Aerated Static Pile</v>
      </c>
      <c r="C14516" s="138" t="str">
        <f t="shared" si="1297"/>
        <v>Without Amendment</v>
      </c>
      <c r="D14516" s="138" t="str">
        <f t="shared" si="1294"/>
        <v>Medium_High</v>
      </c>
      <c r="E14516" s="138" t="str">
        <f t="shared" si="1298"/>
        <v>High</v>
      </c>
      <c r="F14516" s="138" t="str">
        <f t="shared" si="1299"/>
        <v>Upgraded</v>
      </c>
      <c r="G14516" s="153"/>
      <c r="H14516" s="210">
        <v>0.13270000000000001</v>
      </c>
      <c r="I14516" s="160" t="s">
        <v>435</v>
      </c>
      <c r="J14516" s="160">
        <v>2.1229999999999999E-2</v>
      </c>
      <c r="K14516" s="160" t="s">
        <v>25</v>
      </c>
      <c r="L14516" s="154" t="str">
        <f>IF(OpenLCAbasic!K14516="CTUh", "Fill in Manually",IF(OR(K14516="Unit", K14516=""), "", INDEX(LookUps!$E$5:$E$12, MATCH(OpenLCAbasic!K14516,LookUps!$D$5:$D$12,0))))</f>
        <v>Smog Formation Potential (SFP) - kg O3 eq</v>
      </c>
      <c r="M14516" s="154" t="str">
        <f t="shared" si="1295"/>
        <v>High_Medium_High_Upgraded_Smog Formation Potential (SFP) - kg O3 eq_Biosolids composting; aerated static pile; wastewater treatment unit; at updated plant - US_Without Amendment_Aerated Static Pile</v>
      </c>
    </row>
    <row r="14517" spans="1:13" s="120" customFormat="1" x14ac:dyDescent="0.25">
      <c r="A14517" s="119"/>
      <c r="B14517" s="138" t="str">
        <f t="shared" si="1296"/>
        <v>Aerated Static Pile</v>
      </c>
      <c r="C14517" s="138" t="str">
        <f t="shared" si="1297"/>
        <v>Without Amendment</v>
      </c>
      <c r="D14517" s="138" t="str">
        <f t="shared" si="1294"/>
        <v>Medium_High</v>
      </c>
      <c r="E14517" s="138" t="str">
        <f t="shared" si="1298"/>
        <v>High</v>
      </c>
      <c r="F14517" s="138" t="str">
        <f t="shared" si="1299"/>
        <v>Upgraded</v>
      </c>
      <c r="G14517" s="153"/>
      <c r="H14517" s="210">
        <v>0.1212</v>
      </c>
      <c r="I14517" s="160" t="s">
        <v>147</v>
      </c>
      <c r="J14517" s="160">
        <v>1.9400000000000001E-2</v>
      </c>
      <c r="K14517" s="160" t="s">
        <v>25</v>
      </c>
      <c r="L14517" s="154" t="str">
        <f>IF(OpenLCAbasic!K14517="CTUh", "Fill in Manually",IF(OR(K14517="Unit", K14517=""), "", INDEX(LookUps!$E$5:$E$12, MATCH(OpenLCAbasic!K14517,LookUps!$D$5:$D$12,0))))</f>
        <v>Smog Formation Potential (SFP) - kg O3 eq</v>
      </c>
      <c r="M14517" s="154" t="str">
        <f t="shared" si="1295"/>
        <v>High_Medium_High_Upgraded_Smog Formation Potential (SFP) - kg O3 eq_Influent Pump Station; wastewater treatment unit; at updated plant - US_Without Amendment_Aerated Static Pile</v>
      </c>
    </row>
    <row r="14518" spans="1:13" s="120" customFormat="1" x14ac:dyDescent="0.25">
      <c r="A14518" s="119"/>
      <c r="B14518" s="138" t="str">
        <f t="shared" si="1296"/>
        <v>Aerated Static Pile</v>
      </c>
      <c r="C14518" s="138" t="str">
        <f t="shared" si="1297"/>
        <v>Without Amendment</v>
      </c>
      <c r="D14518" s="138" t="str">
        <f t="shared" si="1294"/>
        <v>Medium_High</v>
      </c>
      <c r="E14518" s="138" t="str">
        <f t="shared" si="1298"/>
        <v>High</v>
      </c>
      <c r="F14518" s="138" t="str">
        <f t="shared" si="1299"/>
        <v>Upgraded</v>
      </c>
      <c r="G14518" s="153"/>
      <c r="H14518" s="210">
        <v>7.4499999999999997E-2</v>
      </c>
      <c r="I14518" s="160" t="s">
        <v>128</v>
      </c>
      <c r="J14518" s="160">
        <v>1.192E-2</v>
      </c>
      <c r="K14518" s="160" t="s">
        <v>25</v>
      </c>
      <c r="L14518" s="154" t="str">
        <f>IF(OpenLCAbasic!K14518="CTUh", "Fill in Manually",IF(OR(K14518="Unit", K14518=""), "", INDEX(LookUps!$E$5:$E$12, MATCH(OpenLCAbasic!K14518,LookUps!$D$5:$D$12,0))))</f>
        <v>Smog Formation Potential (SFP) - kg O3 eq</v>
      </c>
      <c r="M14518" s="154" t="str">
        <f t="shared" si="1295"/>
        <v>High_Medium_High_Upgraded_Smog Formation Potential (SFP) - kg O3 eq_Wastewater collection; operation and infrastructure; m3 wastewater_Without Amendment_Aerated Static Pile</v>
      </c>
    </row>
    <row r="14519" spans="1:13" s="120" customFormat="1" x14ac:dyDescent="0.25">
      <c r="A14519" s="119"/>
      <c r="B14519" s="138" t="str">
        <f t="shared" si="1296"/>
        <v>Aerated Static Pile</v>
      </c>
      <c r="C14519" s="138" t="str">
        <f t="shared" si="1297"/>
        <v>Without Amendment</v>
      </c>
      <c r="D14519" s="138" t="str">
        <f t="shared" si="1294"/>
        <v>Medium_High</v>
      </c>
      <c r="E14519" s="138" t="str">
        <f t="shared" si="1298"/>
        <v>High</v>
      </c>
      <c r="F14519" s="138" t="str">
        <f t="shared" si="1299"/>
        <v>Upgraded</v>
      </c>
      <c r="G14519" s="153"/>
      <c r="H14519" s="210">
        <v>6.0600000000000001E-2</v>
      </c>
      <c r="I14519" s="160" t="s">
        <v>60</v>
      </c>
      <c r="J14519" s="160">
        <v>9.7099999999999999E-3</v>
      </c>
      <c r="K14519" s="160" t="s">
        <v>25</v>
      </c>
      <c r="L14519" s="154" t="str">
        <f>IF(OpenLCAbasic!K14519="CTUh", "Fill in Manually",IF(OR(K14519="Unit", K14519=""), "", INDEX(LookUps!$E$5:$E$12, MATCH(OpenLCAbasic!K14519,LookUps!$D$5:$D$12,0))))</f>
        <v>Smog Formation Potential (SFP) - kg O3 eq</v>
      </c>
      <c r="M14519" s="154" t="str">
        <f t="shared" si="1295"/>
        <v>High_Medium_High_Upgraded_Smog Formation Potential (SFP) - kg O3 eq_Belt filter press; wastewater treatment unit; at updated plant - US_Without Amendment_Aerated Static Pile</v>
      </c>
    </row>
    <row r="14520" spans="1:13" s="120" customFormat="1" x14ac:dyDescent="0.25">
      <c r="A14520" s="119"/>
      <c r="B14520" s="138" t="str">
        <f t="shared" si="1296"/>
        <v>Aerated Static Pile</v>
      </c>
      <c r="C14520" s="138" t="str">
        <f t="shared" si="1297"/>
        <v>Without Amendment</v>
      </c>
      <c r="D14520" s="138" t="str">
        <f t="shared" si="1294"/>
        <v>Medium_High</v>
      </c>
      <c r="E14520" s="138" t="str">
        <f t="shared" si="1298"/>
        <v>High</v>
      </c>
      <c r="F14520" s="138" t="str">
        <f t="shared" si="1299"/>
        <v>Upgraded</v>
      </c>
      <c r="G14520" s="153"/>
      <c r="H14520" s="210">
        <v>4.1599999999999998E-2</v>
      </c>
      <c r="I14520" s="160" t="s">
        <v>57</v>
      </c>
      <c r="J14520" s="160">
        <v>6.6499999999999997E-3</v>
      </c>
      <c r="K14520" s="160" t="s">
        <v>25</v>
      </c>
      <c r="L14520" s="154" t="str">
        <f>IF(OpenLCAbasic!K14520="CTUh", "Fill in Manually",IF(OR(K14520="Unit", K14520=""), "", INDEX(LookUps!$E$5:$E$12, MATCH(OpenLCAbasic!K14520,LookUps!$D$5:$D$12,0))))</f>
        <v>Smog Formation Potential (SFP) - kg O3 eq</v>
      </c>
      <c r="M14520" s="154" t="str">
        <f t="shared" si="1295"/>
        <v>High_Medium_High_Upgraded_Smog Formation Potential (SFP) - kg O3 eq_Gravity Belt Thickener; wastewater treatment unit; at updated plant - US_Without Amendment_Aerated Static Pile</v>
      </c>
    </row>
    <row r="14521" spans="1:13" s="120" customFormat="1" x14ac:dyDescent="0.25">
      <c r="A14521" s="119"/>
      <c r="B14521" s="138" t="str">
        <f t="shared" si="1296"/>
        <v>Aerated Static Pile</v>
      </c>
      <c r="C14521" s="138" t="str">
        <f t="shared" si="1297"/>
        <v>Without Amendment</v>
      </c>
      <c r="D14521" s="138" t="str">
        <f t="shared" si="1294"/>
        <v>Medium_High</v>
      </c>
      <c r="E14521" s="138" t="str">
        <f t="shared" si="1298"/>
        <v>High</v>
      </c>
      <c r="F14521" s="138" t="str">
        <f t="shared" si="1299"/>
        <v>Upgraded</v>
      </c>
      <c r="G14521" s="153"/>
      <c r="H14521" s="210">
        <v>3.1099999999999999E-2</v>
      </c>
      <c r="I14521" s="160" t="s">
        <v>59</v>
      </c>
      <c r="J14521" s="160">
        <v>4.9699999999999996E-3</v>
      </c>
      <c r="K14521" s="160" t="s">
        <v>25</v>
      </c>
      <c r="L14521" s="154" t="str">
        <f>IF(OpenLCAbasic!K14521="CTUh", "Fill in Manually",IF(OR(K14521="Unit", K14521=""), "", INDEX(LookUps!$E$5:$E$12, MATCH(OpenLCAbasic!K14521,LookUps!$D$5:$D$12,0))))</f>
        <v>Smog Formation Potential (SFP) - kg O3 eq</v>
      </c>
      <c r="M14521" s="154" t="str">
        <f t="shared" si="1295"/>
        <v>High_Medium_High_Upgraded_Smog Formation Potential (SFP) - kg O3 eq_Blend Tank; wastewater treatment unit; at updated plant - US_Without Amendment_Aerated Static Pile</v>
      </c>
    </row>
    <row r="14522" spans="1:13" s="120" customFormat="1" x14ac:dyDescent="0.25">
      <c r="A14522" s="119"/>
      <c r="B14522" s="138" t="str">
        <f t="shared" si="1296"/>
        <v>Aerated Static Pile</v>
      </c>
      <c r="C14522" s="138" t="str">
        <f t="shared" si="1297"/>
        <v>Without Amendment</v>
      </c>
      <c r="D14522" s="138" t="str">
        <f t="shared" si="1294"/>
        <v>Medium_High</v>
      </c>
      <c r="E14522" s="138" t="str">
        <f t="shared" si="1298"/>
        <v>High</v>
      </c>
      <c r="F14522" s="138" t="str">
        <f t="shared" si="1299"/>
        <v>Upgraded</v>
      </c>
      <c r="G14522" s="153"/>
      <c r="H14522" s="210">
        <v>2.1100000000000001E-2</v>
      </c>
      <c r="I14522" s="160" t="s">
        <v>48</v>
      </c>
      <c r="J14522" s="160">
        <v>3.3899999999999998E-3</v>
      </c>
      <c r="K14522" s="160" t="s">
        <v>25</v>
      </c>
      <c r="L14522" s="154" t="str">
        <f>IF(OpenLCAbasic!K14522="CTUh", "Fill in Manually",IF(OR(K14522="Unit", K14522=""), "", INDEX(LookUps!$E$5:$E$12, MATCH(OpenLCAbasic!K14522,LookUps!$D$5:$D$12,0))))</f>
        <v>Smog Formation Potential (SFP) - kg O3 eq</v>
      </c>
      <c r="M14522" s="154" t="str">
        <f t="shared" si="1295"/>
        <v>High_Medium_High_Upgraded_Smog Formation Potential (SFP) - kg O3 eq_Effluent release; wastewater treatment unit; at surface water; m3 wastewater - US_Without Amendment_Aerated Static Pile</v>
      </c>
    </row>
    <row r="14523" spans="1:13" s="120" customFormat="1" x14ac:dyDescent="0.25">
      <c r="A14523" s="119"/>
      <c r="B14523" s="138" t="str">
        <f t="shared" si="1296"/>
        <v>Aerated Static Pile</v>
      </c>
      <c r="C14523" s="138" t="str">
        <f t="shared" si="1297"/>
        <v>Without Amendment</v>
      </c>
      <c r="D14523" s="138" t="str">
        <f t="shared" si="1294"/>
        <v>Medium_High</v>
      </c>
      <c r="E14523" s="138" t="str">
        <f t="shared" si="1298"/>
        <v>High</v>
      </c>
      <c r="F14523" s="138" t="str">
        <f t="shared" si="1299"/>
        <v>Upgraded</v>
      </c>
      <c r="G14523" s="153"/>
      <c r="H14523" s="210">
        <v>1.5299999999999999E-2</v>
      </c>
      <c r="I14523" s="160" t="s">
        <v>168</v>
      </c>
      <c r="J14523" s="160">
        <v>2.4599999999999999E-3</v>
      </c>
      <c r="K14523" s="160" t="s">
        <v>25</v>
      </c>
      <c r="L14523" s="154" t="str">
        <f>IF(OpenLCAbasic!K14523="CTUh", "Fill in Manually",IF(OR(K14523="Unit", K14523=""), "", INDEX(LookUps!$E$5:$E$12, MATCH(OpenLCAbasic!K14523,LookUps!$D$5:$D$12,0))))</f>
        <v>Smog Formation Potential (SFP) - kg O3 eq</v>
      </c>
      <c r="M14523" s="154" t="str">
        <f t="shared" si="1295"/>
        <v>High_Medium_High_Upgraded_Smog Formation Potential (SFP) - kg O3 eq_ClearCove SCP; wastewater treatment unit; at updated plant - US_Without Amendment_Aerated Static Pile</v>
      </c>
    </row>
    <row r="14524" spans="1:13" s="120" customFormat="1" x14ac:dyDescent="0.25">
      <c r="A14524" s="119"/>
      <c r="B14524" s="138" t="str">
        <f t="shared" si="1296"/>
        <v>Aerated Static Pile</v>
      </c>
      <c r="C14524" s="138" t="str">
        <f t="shared" si="1297"/>
        <v>Without Amendment</v>
      </c>
      <c r="D14524" s="138" t="str">
        <f t="shared" si="1294"/>
        <v>Medium_High</v>
      </c>
      <c r="E14524" s="138" t="str">
        <f t="shared" si="1298"/>
        <v>High</v>
      </c>
      <c r="F14524" s="138" t="str">
        <f t="shared" si="1299"/>
        <v>Upgraded</v>
      </c>
      <c r="G14524" s="153"/>
      <c r="H14524" s="210">
        <v>3.3999999999999998E-3</v>
      </c>
      <c r="I14524" s="160" t="s">
        <v>148</v>
      </c>
      <c r="J14524" s="160">
        <v>5.4000000000000001E-4</v>
      </c>
      <c r="K14524" s="160" t="s">
        <v>25</v>
      </c>
      <c r="L14524" s="154" t="str">
        <f>IF(OpenLCAbasic!K14524="CTUh", "Fill in Manually",IF(OR(K14524="Unit", K14524=""), "", INDEX(LookUps!$E$5:$E$12, MATCH(OpenLCAbasic!K14524,LookUps!$D$5:$D$12,0))))</f>
        <v>Smog Formation Potential (SFP) - kg O3 eq</v>
      </c>
      <c r="M14524" s="154" t="str">
        <f t="shared" si="1295"/>
        <v>High_Medium_High_Upgraded_Smog Formation Potential (SFP) - kg O3 eq_Control Building; at upgraded wastewater treatment plant - US_Without Amendment_Aerated Static Pile</v>
      </c>
    </row>
    <row r="14525" spans="1:13" s="120" customFormat="1" x14ac:dyDescent="0.25">
      <c r="A14525" s="119"/>
      <c r="B14525" s="138" t="str">
        <f t="shared" si="1296"/>
        <v>Aerated Static Pile</v>
      </c>
      <c r="C14525" s="138" t="str">
        <f t="shared" si="1297"/>
        <v>Without Amendment</v>
      </c>
      <c r="D14525" s="138" t="str">
        <f t="shared" si="1294"/>
        <v>Medium_High</v>
      </c>
      <c r="E14525" s="138" t="str">
        <f t="shared" si="1298"/>
        <v>High</v>
      </c>
      <c r="F14525" s="138" t="str">
        <f t="shared" si="1299"/>
        <v>Upgraded</v>
      </c>
      <c r="G14525" s="153"/>
      <c r="H14525" s="210">
        <v>-1.38E-2</v>
      </c>
      <c r="I14525" s="160" t="s">
        <v>62</v>
      </c>
      <c r="J14525" s="160">
        <v>-2.2100000000000002E-3</v>
      </c>
      <c r="K14525" s="160" t="s">
        <v>25</v>
      </c>
      <c r="L14525" s="154" t="str">
        <f>IF(OpenLCAbasic!K14525="CTUh", "Fill in Manually",IF(OR(K14525="Unit", K14525=""), "", INDEX(LookUps!$E$5:$E$12, MATCH(OpenLCAbasic!K14525,LookUps!$D$5:$D$12,0))))</f>
        <v>Smog Formation Potential (SFP) - kg O3 eq</v>
      </c>
      <c r="M14525" s="154" t="str">
        <f t="shared" si="1295"/>
        <v>High_Medium_High_Upgraded_Smog Formation Potential (SFP) - kg O3 eq_Land application of compost; wastewater treatment unit; at updated plant - US_Without Amendment_Aerated Static Pile</v>
      </c>
    </row>
    <row r="14526" spans="1:13" s="120" customFormat="1" x14ac:dyDescent="0.25">
      <c r="A14526" s="119"/>
      <c r="B14526" s="138" t="str">
        <f t="shared" si="1296"/>
        <v>Aerated Static Pile</v>
      </c>
      <c r="C14526" s="138" t="str">
        <f t="shared" si="1297"/>
        <v>Without Amendment</v>
      </c>
      <c r="D14526" s="138" t="str">
        <f t="shared" si="1294"/>
        <v>Medium_High</v>
      </c>
      <c r="E14526" s="138" t="str">
        <f t="shared" si="1298"/>
        <v>High</v>
      </c>
      <c r="F14526" s="138" t="str">
        <f t="shared" si="1299"/>
        <v>Upgraded</v>
      </c>
      <c r="G14526" s="153"/>
      <c r="H14526" s="210">
        <v>-3.4843000000000002</v>
      </c>
      <c r="I14526" s="160" t="s">
        <v>149</v>
      </c>
      <c r="J14526" s="160">
        <v>-0.55771000000000004</v>
      </c>
      <c r="K14526" s="160" t="s">
        <v>25</v>
      </c>
      <c r="L14526" s="154" t="str">
        <f>IF(OpenLCAbasic!K14526="CTUh", "Fill in Manually",IF(OR(K14526="Unit", K14526=""), "", INDEX(LookUps!$E$5:$E$12, MATCH(OpenLCAbasic!K14526,LookUps!$D$5:$D$12,0))))</f>
        <v>Smog Formation Potential (SFP) - kg O3 eq</v>
      </c>
      <c r="M14526" s="154" t="str">
        <f t="shared" si="1295"/>
        <v>High_Medium_High_Upgraded_Smog Formation Potential (SFP) - kg O3 eq_Anaerobic Digestion; wastewater treatment unit; at updated plant - US_Without Amendment_Aerated Static Pile</v>
      </c>
    </row>
    <row r="14527" spans="1:13" s="120" customFormat="1" x14ac:dyDescent="0.25">
      <c r="A14527" s="119"/>
      <c r="B14527" s="138" t="str">
        <f t="shared" si="1296"/>
        <v/>
      </c>
      <c r="C14527" s="138" t="str">
        <f t="shared" si="1297"/>
        <v/>
      </c>
      <c r="D14527" s="138" t="str">
        <f t="shared" si="1294"/>
        <v/>
      </c>
      <c r="E14527" s="138" t="str">
        <f t="shared" si="1298"/>
        <v/>
      </c>
      <c r="F14527" s="138" t="str">
        <f t="shared" si="1299"/>
        <v/>
      </c>
      <c r="G14527" s="153" t="s">
        <v>51</v>
      </c>
      <c r="H14527" s="160"/>
      <c r="I14527" s="160" t="s">
        <v>47</v>
      </c>
      <c r="J14527" s="160" t="s">
        <v>52</v>
      </c>
      <c r="K14527" s="160" t="s">
        <v>27</v>
      </c>
      <c r="L14527" s="154" t="str">
        <f>IF(OpenLCAbasic!K14527="CTUh", "Fill in Manually",IF(OR(K14527="Unit", K14527=""), "", INDEX(LookUps!$E$5:$E$12, MATCH(OpenLCAbasic!K14527,LookUps!$D$5:$D$12,0))))</f>
        <v/>
      </c>
      <c r="M14527" s="154" t="str">
        <f t="shared" si="1295"/>
        <v>____Process__</v>
      </c>
    </row>
    <row r="14528" spans="1:13" s="120" customFormat="1" x14ac:dyDescent="0.25">
      <c r="A14528" s="119"/>
      <c r="B14528" s="138" t="str">
        <f t="shared" si="1296"/>
        <v>Aerated Static Pile</v>
      </c>
      <c r="C14528" s="138" t="str">
        <f t="shared" si="1297"/>
        <v>Without Amendment</v>
      </c>
      <c r="D14528" s="138" t="str">
        <f t="shared" si="1294"/>
        <v>Medium_High</v>
      </c>
      <c r="E14528" s="138" t="str">
        <f t="shared" si="1298"/>
        <v>High</v>
      </c>
      <c r="F14528" s="138" t="str">
        <f t="shared" si="1299"/>
        <v>Upgraded</v>
      </c>
      <c r="G14528" s="153"/>
      <c r="H14528" s="210">
        <v>3.2494000000000001</v>
      </c>
      <c r="I14528" s="160" t="s">
        <v>167</v>
      </c>
      <c r="J14528" s="160">
        <v>2.7999999999999998E-4</v>
      </c>
      <c r="K14528" s="160" t="s">
        <v>26</v>
      </c>
      <c r="L14528" s="154" t="str">
        <f>IF(OpenLCAbasic!K14528="CTUh", "Fill in Manually",IF(OR(K14528="Unit", K14528=""), "", INDEX(LookUps!$E$5:$E$12, MATCH(OpenLCAbasic!K14528,LookUps!$D$5:$D$12,0))))</f>
        <v>Water Use (WU) - m3 H2O</v>
      </c>
      <c r="M14528" s="154" t="str">
        <f t="shared" si="1295"/>
        <v>High_Medium_High_Upgraded_Water Use (WU) - m3 H2O_Waste Receiving and Holding; wastewater treatment unit; at updated plant - US_Without Amendment_Aerated Static Pile</v>
      </c>
    </row>
    <row r="14529" spans="1:13" s="120" customFormat="1" x14ac:dyDescent="0.25">
      <c r="A14529" s="119"/>
      <c r="B14529" s="138" t="str">
        <f t="shared" si="1296"/>
        <v>Aerated Static Pile</v>
      </c>
      <c r="C14529" s="138" t="str">
        <f t="shared" si="1297"/>
        <v>Without Amendment</v>
      </c>
      <c r="D14529" s="138" t="str">
        <f t="shared" si="1294"/>
        <v>Medium_High</v>
      </c>
      <c r="E14529" s="138" t="str">
        <f t="shared" si="1298"/>
        <v>High</v>
      </c>
      <c r="F14529" s="138" t="str">
        <f t="shared" si="1299"/>
        <v>Upgraded</v>
      </c>
      <c r="G14529" s="153"/>
      <c r="H14529" s="210">
        <v>2.1211000000000002</v>
      </c>
      <c r="I14529" s="160" t="s">
        <v>147</v>
      </c>
      <c r="J14529" s="160">
        <v>1.8000000000000001E-4</v>
      </c>
      <c r="K14529" s="160" t="s">
        <v>26</v>
      </c>
      <c r="L14529" s="154" t="str">
        <f>IF(OpenLCAbasic!K14529="CTUh", "Fill in Manually",IF(OR(K14529="Unit", K14529=""), "", INDEX(LookUps!$E$5:$E$12, MATCH(OpenLCAbasic!K14529,LookUps!$D$5:$D$12,0))))</f>
        <v>Water Use (WU) - m3 H2O</v>
      </c>
      <c r="M14529" s="154" t="str">
        <f t="shared" si="1295"/>
        <v>High_Medium_High_Upgraded_Water Use (WU) - m3 H2O_Influent Pump Station; wastewater treatment unit; at updated plant - US_Without Amendment_Aerated Static Pile</v>
      </c>
    </row>
    <row r="14530" spans="1:13" s="120" customFormat="1" x14ac:dyDescent="0.25">
      <c r="A14530" s="119"/>
      <c r="B14530" s="138" t="str">
        <f t="shared" si="1296"/>
        <v>Aerated Static Pile</v>
      </c>
      <c r="C14530" s="138" t="str">
        <f t="shared" si="1297"/>
        <v>Without Amendment</v>
      </c>
      <c r="D14530" s="138" t="str">
        <f t="shared" si="1294"/>
        <v>Medium_High</v>
      </c>
      <c r="E14530" s="138" t="str">
        <f t="shared" si="1298"/>
        <v>High</v>
      </c>
      <c r="F14530" s="138" t="str">
        <f t="shared" si="1299"/>
        <v>Upgraded</v>
      </c>
      <c r="G14530" s="153"/>
      <c r="H14530" s="210">
        <v>2.0695999999999999</v>
      </c>
      <c r="I14530" s="160" t="s">
        <v>54</v>
      </c>
      <c r="J14530" s="160">
        <v>1.8000000000000001E-4</v>
      </c>
      <c r="K14530" s="160" t="s">
        <v>26</v>
      </c>
      <c r="L14530" s="154" t="str">
        <f>IF(OpenLCAbasic!K14530="CTUh", "Fill in Manually",IF(OR(K14530="Unit", K14530=""), "", INDEX(LookUps!$E$5:$E$12, MATCH(OpenLCAbasic!K14530,LookUps!$D$5:$D$12,0))))</f>
        <v>Water Use (WU) - m3 H2O</v>
      </c>
      <c r="M14530" s="154" t="str">
        <f t="shared" si="1295"/>
        <v>High_Medium_High_Upgraded_Water Use (WU) - m3 H2O_Clear Cove Primary Clarification; wastewater treatment unit; at updated plant - US_Without Amendment_Aerated Static Pile</v>
      </c>
    </row>
    <row r="14531" spans="1:13" s="120" customFormat="1" x14ac:dyDescent="0.25">
      <c r="A14531" s="119"/>
      <c r="B14531" s="138" t="str">
        <f t="shared" si="1296"/>
        <v>Aerated Static Pile</v>
      </c>
      <c r="C14531" s="138" t="str">
        <f t="shared" si="1297"/>
        <v>Without Amendment</v>
      </c>
      <c r="D14531" s="138" t="str">
        <f t="shared" si="1294"/>
        <v>Medium_High</v>
      </c>
      <c r="E14531" s="138" t="str">
        <f t="shared" si="1298"/>
        <v>High</v>
      </c>
      <c r="F14531" s="138" t="str">
        <f t="shared" si="1299"/>
        <v>Upgraded</v>
      </c>
      <c r="G14531" s="153"/>
      <c r="H14531" s="210">
        <v>1.8774999999999999</v>
      </c>
      <c r="I14531" s="160" t="s">
        <v>55</v>
      </c>
      <c r="J14531" s="160">
        <v>1.6000000000000001E-4</v>
      </c>
      <c r="K14531" s="160" t="s">
        <v>26</v>
      </c>
      <c r="L14531" s="154" t="str">
        <f>IF(OpenLCAbasic!K14531="CTUh", "Fill in Manually",IF(OR(K14531="Unit", K14531=""), "", INDEX(LookUps!$E$5:$E$12, MATCH(OpenLCAbasic!K14531,LookUps!$D$5:$D$12,0))))</f>
        <v>Water Use (WU) - m3 H2O</v>
      </c>
      <c r="M14531" s="154" t="str">
        <f t="shared" si="1295"/>
        <v>High_Medium_High_Upgraded_Water Use (WU) - m3 H2O_Aeration Tanks; wastewater treatment unit; at updated plant - US_Without Amendment_Aerated Static Pile</v>
      </c>
    </row>
    <row r="14532" spans="1:13" s="120" customFormat="1" x14ac:dyDescent="0.25">
      <c r="A14532" s="119"/>
      <c r="B14532" s="138" t="str">
        <f t="shared" si="1296"/>
        <v>Aerated Static Pile</v>
      </c>
      <c r="C14532" s="138" t="str">
        <f t="shared" si="1297"/>
        <v>Without Amendment</v>
      </c>
      <c r="D14532" s="138" t="str">
        <f t="shared" si="1294"/>
        <v>Medium_High</v>
      </c>
      <c r="E14532" s="138" t="str">
        <f t="shared" si="1298"/>
        <v>High</v>
      </c>
      <c r="F14532" s="138" t="str">
        <f t="shared" si="1299"/>
        <v>Upgraded</v>
      </c>
      <c r="G14532" s="153"/>
      <c r="H14532" s="210">
        <v>1.7101999999999999</v>
      </c>
      <c r="I14532" s="160" t="s">
        <v>148</v>
      </c>
      <c r="J14532" s="160">
        <v>1.4999999999999999E-4</v>
      </c>
      <c r="K14532" s="160" t="s">
        <v>26</v>
      </c>
      <c r="L14532" s="154" t="str">
        <f>IF(OpenLCAbasic!K14532="CTUh", "Fill in Manually",IF(OR(K14532="Unit", K14532=""), "", INDEX(LookUps!$E$5:$E$12, MATCH(OpenLCAbasic!K14532,LookUps!$D$5:$D$12,0))))</f>
        <v>Water Use (WU) - m3 H2O</v>
      </c>
      <c r="M14532" s="154" t="str">
        <f t="shared" si="1295"/>
        <v>High_Medium_High_Upgraded_Water Use (WU) - m3 H2O_Control Building; at upgraded wastewater treatment plant - US_Without Amendment_Aerated Static Pile</v>
      </c>
    </row>
    <row r="14533" spans="1:13" s="120" customFormat="1" x14ac:dyDescent="0.25">
      <c r="A14533" s="119"/>
      <c r="B14533" s="138" t="str">
        <f t="shared" si="1296"/>
        <v>Aerated Static Pile</v>
      </c>
      <c r="C14533" s="138" t="str">
        <f t="shared" si="1297"/>
        <v>Without Amendment</v>
      </c>
      <c r="D14533" s="138" t="str">
        <f t="shared" si="1294"/>
        <v>Medium_High</v>
      </c>
      <c r="E14533" s="138" t="str">
        <f t="shared" si="1298"/>
        <v>High</v>
      </c>
      <c r="F14533" s="138" t="str">
        <f t="shared" si="1299"/>
        <v>Upgraded</v>
      </c>
      <c r="G14533" s="153"/>
      <c r="H14533" s="210">
        <v>0.79420000000000002</v>
      </c>
      <c r="I14533" s="160" t="s">
        <v>48</v>
      </c>
      <c r="J14533" s="211">
        <v>6.8836400000000004E-5</v>
      </c>
      <c r="K14533" s="160" t="s">
        <v>26</v>
      </c>
      <c r="L14533" s="154" t="str">
        <f>IF(OpenLCAbasic!K14533="CTUh", "Fill in Manually",IF(OR(K14533="Unit", K14533=""), "", INDEX(LookUps!$E$5:$E$12, MATCH(OpenLCAbasic!K14533,LookUps!$D$5:$D$12,0))))</f>
        <v>Water Use (WU) - m3 H2O</v>
      </c>
      <c r="M14533" s="154" t="str">
        <f t="shared" si="1295"/>
        <v>High_Medium_High_Upgraded_Water Use (WU) - m3 H2O_Effluent release; wastewater treatment unit; at surface water; m3 wastewater - US_Without Amendment_Aerated Static Pile</v>
      </c>
    </row>
    <row r="14534" spans="1:13" s="120" customFormat="1" x14ac:dyDescent="0.25">
      <c r="A14534" s="119"/>
      <c r="B14534" s="138" t="str">
        <f t="shared" si="1296"/>
        <v>Aerated Static Pile</v>
      </c>
      <c r="C14534" s="138" t="str">
        <f t="shared" si="1297"/>
        <v>Without Amendment</v>
      </c>
      <c r="D14534" s="138" t="str">
        <f t="shared" si="1294"/>
        <v>Medium_High</v>
      </c>
      <c r="E14534" s="138" t="str">
        <f t="shared" si="1298"/>
        <v>High</v>
      </c>
      <c r="F14534" s="138" t="str">
        <f t="shared" si="1299"/>
        <v>Upgraded</v>
      </c>
      <c r="G14534" s="153"/>
      <c r="H14534" s="210">
        <v>0.49880000000000002</v>
      </c>
      <c r="I14534" s="160" t="s">
        <v>58</v>
      </c>
      <c r="J14534" s="211">
        <v>4.3235300000000003E-5</v>
      </c>
      <c r="K14534" s="160" t="s">
        <v>26</v>
      </c>
      <c r="L14534" s="154" t="str">
        <f>IF(OpenLCAbasic!K14534="CTUh", "Fill in Manually",IF(OR(K14534="Unit", K14534=""), "", INDEX(LookUps!$E$5:$E$12, MATCH(OpenLCAbasic!K14534,LookUps!$D$5:$D$12,0))))</f>
        <v>Water Use (WU) - m3 H2O</v>
      </c>
      <c r="M14534" s="154" t="str">
        <f t="shared" si="1295"/>
        <v>High_Medium_High_Upgraded_Water Use (WU) - m3 H2O_Pre-Anoxic &amp; Swing tank; wastewater treatment unit; at updated plant - US_Without Amendment_Aerated Static Pile</v>
      </c>
    </row>
    <row r="14535" spans="1:13" s="120" customFormat="1" x14ac:dyDescent="0.25">
      <c r="A14535" s="119"/>
      <c r="B14535" s="138" t="str">
        <f t="shared" si="1296"/>
        <v>Aerated Static Pile</v>
      </c>
      <c r="C14535" s="138" t="str">
        <f t="shared" si="1297"/>
        <v>Without Amendment</v>
      </c>
      <c r="D14535" s="138" t="str">
        <f t="shared" si="1294"/>
        <v>Medium_High</v>
      </c>
      <c r="E14535" s="138" t="str">
        <f t="shared" si="1298"/>
        <v>High</v>
      </c>
      <c r="F14535" s="138" t="str">
        <f t="shared" si="1299"/>
        <v>Upgraded</v>
      </c>
      <c r="G14535" s="153"/>
      <c r="H14535" s="210">
        <v>0.3508</v>
      </c>
      <c r="I14535" s="160" t="s">
        <v>57</v>
      </c>
      <c r="J14535" s="211">
        <v>3.0408100000000001E-5</v>
      </c>
      <c r="K14535" s="160" t="s">
        <v>26</v>
      </c>
      <c r="L14535" s="154" t="str">
        <f>IF(OpenLCAbasic!K14535="CTUh", "Fill in Manually",IF(OR(K14535="Unit", K14535=""), "", INDEX(LookUps!$E$5:$E$12, MATCH(OpenLCAbasic!K14535,LookUps!$D$5:$D$12,0))))</f>
        <v>Water Use (WU) - m3 H2O</v>
      </c>
      <c r="M14535" s="154" t="str">
        <f t="shared" si="1295"/>
        <v>High_Medium_High_Upgraded_Water Use (WU) - m3 H2O_Gravity Belt Thickener; wastewater treatment unit; at updated plant - US_Without Amendment_Aerated Static Pile</v>
      </c>
    </row>
    <row r="14536" spans="1:13" s="120" customFormat="1" x14ac:dyDescent="0.25">
      <c r="A14536" s="119"/>
      <c r="B14536" s="138" t="str">
        <f t="shared" si="1296"/>
        <v>Aerated Static Pile</v>
      </c>
      <c r="C14536" s="138" t="str">
        <f t="shared" si="1297"/>
        <v>Without Amendment</v>
      </c>
      <c r="D14536" s="138" t="str">
        <f t="shared" si="1294"/>
        <v>Medium_High</v>
      </c>
      <c r="E14536" s="138" t="str">
        <f t="shared" si="1298"/>
        <v>High</v>
      </c>
      <c r="F14536" s="138" t="str">
        <f t="shared" si="1299"/>
        <v>Upgraded</v>
      </c>
      <c r="G14536" s="153"/>
      <c r="H14536" s="210">
        <v>0.33439999999999998</v>
      </c>
      <c r="I14536" s="160" t="s">
        <v>60</v>
      </c>
      <c r="J14536" s="211">
        <v>2.8986600000000001E-5</v>
      </c>
      <c r="K14536" s="160" t="s">
        <v>26</v>
      </c>
      <c r="L14536" s="154" t="str">
        <f>IF(OpenLCAbasic!K14536="CTUh", "Fill in Manually",IF(OR(K14536="Unit", K14536=""), "", INDEX(LookUps!$E$5:$E$12, MATCH(OpenLCAbasic!K14536,LookUps!$D$5:$D$12,0))))</f>
        <v>Water Use (WU) - m3 H2O</v>
      </c>
      <c r="M14536" s="154" t="str">
        <f t="shared" si="1295"/>
        <v>High_Medium_High_Upgraded_Water Use (WU) - m3 H2O_Belt filter press; wastewater treatment unit; at updated plant - US_Without Amendment_Aerated Static Pile</v>
      </c>
    </row>
    <row r="14537" spans="1:13" s="120" customFormat="1" x14ac:dyDescent="0.25">
      <c r="A14537" s="119"/>
      <c r="B14537" s="138" t="str">
        <f t="shared" si="1296"/>
        <v>Aerated Static Pile</v>
      </c>
      <c r="C14537" s="138" t="str">
        <f t="shared" si="1297"/>
        <v>Without Amendment</v>
      </c>
      <c r="D14537" s="138" t="str">
        <f t="shared" ref="D14537:D14543" si="1300">IF(ISNUMBER($J14537),"Medium_High","")</f>
        <v>Medium_High</v>
      </c>
      <c r="E14537" s="138" t="str">
        <f t="shared" si="1298"/>
        <v>High</v>
      </c>
      <c r="F14537" s="138" t="str">
        <f t="shared" si="1299"/>
        <v>Upgraded</v>
      </c>
      <c r="G14537" s="153"/>
      <c r="H14537" s="210">
        <v>0.20200000000000001</v>
      </c>
      <c r="I14537" s="160" t="s">
        <v>53</v>
      </c>
      <c r="J14537" s="211">
        <v>1.75069E-5</v>
      </c>
      <c r="K14537" s="160" t="s">
        <v>26</v>
      </c>
      <c r="L14537" s="154" t="str">
        <f>IF(OpenLCAbasic!K14537="CTUh", "Fill in Manually",IF(OR(K14537="Unit", K14537=""), "", INDEX(LookUps!$E$5:$E$12, MATCH(OpenLCAbasic!K14537,LookUps!$D$5:$D$12,0))))</f>
        <v>Water Use (WU) - m3 H2O</v>
      </c>
      <c r="M14537" s="154" t="str">
        <f t="shared" si="1295"/>
        <v>High_Medium_High_Upgraded_Water Use (WU) - m3 H2O_Wet Well and Sump Station; wastewater treatment unit; at updated plant - US_Without Amendment_Aerated Static Pile</v>
      </c>
    </row>
    <row r="14538" spans="1:13" s="120" customFormat="1" x14ac:dyDescent="0.25">
      <c r="A14538" s="119"/>
      <c r="B14538" s="138" t="str">
        <f t="shared" si="1296"/>
        <v>Aerated Static Pile</v>
      </c>
      <c r="C14538" s="138" t="str">
        <f t="shared" si="1297"/>
        <v>Without Amendment</v>
      </c>
      <c r="D14538" s="138" t="str">
        <f t="shared" si="1300"/>
        <v>Medium_High</v>
      </c>
      <c r="E14538" s="138" t="str">
        <f t="shared" si="1298"/>
        <v>High</v>
      </c>
      <c r="F14538" s="138" t="str">
        <f t="shared" si="1299"/>
        <v>Upgraded</v>
      </c>
      <c r="G14538" s="153"/>
      <c r="H14538" s="210">
        <v>9.1600000000000001E-2</v>
      </c>
      <c r="I14538" s="160" t="s">
        <v>435</v>
      </c>
      <c r="J14538" s="211">
        <v>7.9358499999999996E-6</v>
      </c>
      <c r="K14538" s="160" t="s">
        <v>26</v>
      </c>
      <c r="L14538" s="154" t="str">
        <f>IF(OpenLCAbasic!K14538="CTUh", "Fill in Manually",IF(OR(K14538="Unit", K14538=""), "", INDEX(LookUps!$E$5:$E$12, MATCH(OpenLCAbasic!K14538,LookUps!$D$5:$D$12,0))))</f>
        <v>Water Use (WU) - m3 H2O</v>
      </c>
      <c r="M14538" s="154" t="str">
        <f t="shared" si="1295"/>
        <v>High_Medium_High_Upgraded_Water Use (WU) - m3 H2O_Biosolids composting; aerated static pile; wastewater treatment unit; at updated plant - US_Without Amendment_Aerated Static Pile</v>
      </c>
    </row>
    <row r="14539" spans="1:13" s="120" customFormat="1" x14ac:dyDescent="0.25">
      <c r="A14539" s="119"/>
      <c r="B14539" s="138" t="str">
        <f t="shared" si="1296"/>
        <v>Aerated Static Pile</v>
      </c>
      <c r="C14539" s="138" t="str">
        <f t="shared" si="1297"/>
        <v>Without Amendment</v>
      </c>
      <c r="D14539" s="138" t="str">
        <f t="shared" si="1300"/>
        <v>Medium_High</v>
      </c>
      <c r="E14539" s="138" t="str">
        <f t="shared" si="1298"/>
        <v>High</v>
      </c>
      <c r="F14539" s="138" t="str">
        <f t="shared" si="1299"/>
        <v>Upgraded</v>
      </c>
      <c r="G14539" s="153"/>
      <c r="H14539" s="210">
        <v>8.1000000000000003E-2</v>
      </c>
      <c r="I14539" s="160" t="s">
        <v>59</v>
      </c>
      <c r="J14539" s="211">
        <v>7.0179500000000003E-6</v>
      </c>
      <c r="K14539" s="160" t="s">
        <v>26</v>
      </c>
      <c r="L14539" s="154" t="str">
        <f>IF(OpenLCAbasic!K14539="CTUh", "Fill in Manually",IF(OR(K14539="Unit", K14539=""), "", INDEX(LookUps!$E$5:$E$12, MATCH(OpenLCAbasic!K14539,LookUps!$D$5:$D$12,0))))</f>
        <v>Water Use (WU) - m3 H2O</v>
      </c>
      <c r="M14539" s="154" t="str">
        <f t="shared" si="1295"/>
        <v>High_Medium_High_Upgraded_Water Use (WU) - m3 H2O_Blend Tank; wastewater treatment unit; at updated plant - US_Without Amendment_Aerated Static Pile</v>
      </c>
    </row>
    <row r="14540" spans="1:13" s="120" customFormat="1" x14ac:dyDescent="0.25">
      <c r="A14540" s="119"/>
      <c r="B14540" s="138" t="str">
        <f t="shared" si="1296"/>
        <v>Aerated Static Pile</v>
      </c>
      <c r="C14540" s="138" t="str">
        <f t="shared" si="1297"/>
        <v>Without Amendment</v>
      </c>
      <c r="D14540" s="138" t="str">
        <f t="shared" si="1300"/>
        <v>Medium_High</v>
      </c>
      <c r="E14540" s="138" t="str">
        <f t="shared" si="1298"/>
        <v>High</v>
      </c>
      <c r="F14540" s="138" t="str">
        <f t="shared" si="1299"/>
        <v>Upgraded</v>
      </c>
      <c r="G14540" s="153"/>
      <c r="H14540" s="210">
        <v>5.8400000000000001E-2</v>
      </c>
      <c r="I14540" s="160" t="s">
        <v>128</v>
      </c>
      <c r="J14540" s="211">
        <v>5.0608900000000003E-6</v>
      </c>
      <c r="K14540" s="160" t="s">
        <v>26</v>
      </c>
      <c r="L14540" s="154" t="str">
        <f>IF(OpenLCAbasic!K14540="CTUh", "Fill in Manually",IF(OR(K14540="Unit", K14540=""), "", INDEX(LookUps!$E$5:$E$12, MATCH(OpenLCAbasic!K14540,LookUps!$D$5:$D$12,0))))</f>
        <v>Water Use (WU) - m3 H2O</v>
      </c>
      <c r="M14540" s="154" t="str">
        <f t="shared" si="1295"/>
        <v>High_Medium_High_Upgraded_Water Use (WU) - m3 H2O_Wastewater collection; operation and infrastructure; m3 wastewater_Without Amendment_Aerated Static Pile</v>
      </c>
    </row>
    <row r="14541" spans="1:13" s="120" customFormat="1" x14ac:dyDescent="0.25">
      <c r="A14541" s="119"/>
      <c r="B14541" s="138" t="str">
        <f t="shared" si="1296"/>
        <v>Aerated Static Pile</v>
      </c>
      <c r="C14541" s="138" t="str">
        <f t="shared" si="1297"/>
        <v>Without Amendment</v>
      </c>
      <c r="D14541" s="138" t="str">
        <f t="shared" si="1300"/>
        <v>Medium_High</v>
      </c>
      <c r="E14541" s="138" t="str">
        <f t="shared" si="1298"/>
        <v>High</v>
      </c>
      <c r="F14541" s="138" t="str">
        <f t="shared" si="1299"/>
        <v>Upgraded</v>
      </c>
      <c r="G14541" s="153"/>
      <c r="H14541" s="210">
        <v>8.8000000000000005E-3</v>
      </c>
      <c r="I14541" s="160" t="s">
        <v>168</v>
      </c>
      <c r="J14541" s="211">
        <v>7.6697000000000004E-7</v>
      </c>
      <c r="K14541" s="160" t="s">
        <v>26</v>
      </c>
      <c r="L14541" s="154" t="str">
        <f>IF(OpenLCAbasic!K14541="CTUh", "Fill in Manually",IF(OR(K14541="Unit", K14541=""), "", INDEX(LookUps!$E$5:$E$12, MATCH(OpenLCAbasic!K14541,LookUps!$D$5:$D$12,0))))</f>
        <v>Water Use (WU) - m3 H2O</v>
      </c>
      <c r="M14541" s="154" t="str">
        <f t="shared" si="1295"/>
        <v>High_Medium_High_Upgraded_Water Use (WU) - m3 H2O_ClearCove SCP; wastewater treatment unit; at updated plant - US_Without Amendment_Aerated Static Pile</v>
      </c>
    </row>
    <row r="14542" spans="1:13" s="120" customFormat="1" x14ac:dyDescent="0.25">
      <c r="A14542" s="119"/>
      <c r="B14542" s="138" t="str">
        <f t="shared" si="1296"/>
        <v>Aerated Static Pile</v>
      </c>
      <c r="C14542" s="138" t="str">
        <f t="shared" si="1297"/>
        <v>Without Amendment</v>
      </c>
      <c r="D14542" s="138" t="str">
        <f t="shared" si="1300"/>
        <v>Medium_High</v>
      </c>
      <c r="E14542" s="138" t="str">
        <f t="shared" si="1298"/>
        <v>High</v>
      </c>
      <c r="F14542" s="138" t="str">
        <f t="shared" si="1299"/>
        <v>Upgraded</v>
      </c>
      <c r="G14542" s="153"/>
      <c r="H14542" s="210">
        <v>-1.7491000000000001</v>
      </c>
      <c r="I14542" s="160" t="s">
        <v>149</v>
      </c>
      <c r="J14542" s="160">
        <v>-1.4999999999999999E-4</v>
      </c>
      <c r="K14542" s="160" t="s">
        <v>26</v>
      </c>
      <c r="L14542" s="154" t="str">
        <f>IF(OpenLCAbasic!K14542="CTUh", "Fill in Manually",IF(OR(K14542="Unit", K14542=""), "", INDEX(LookUps!$E$5:$E$12, MATCH(OpenLCAbasic!K14542,LookUps!$D$5:$D$12,0))))</f>
        <v>Water Use (WU) - m3 H2O</v>
      </c>
      <c r="M14542" s="154" t="str">
        <f t="shared" si="1295"/>
        <v>High_Medium_High_Upgraded_Water Use (WU) - m3 H2O_Anaerobic Digestion; wastewater treatment unit; at updated plant - US_Without Amendment_Aerated Static Pile</v>
      </c>
    </row>
    <row r="14543" spans="1:13" s="120" customFormat="1" x14ac:dyDescent="0.25">
      <c r="A14543" s="119"/>
      <c r="B14543" s="138" t="str">
        <f t="shared" si="1296"/>
        <v>Aerated Static Pile</v>
      </c>
      <c r="C14543" s="138" t="str">
        <f t="shared" si="1297"/>
        <v>Without Amendment</v>
      </c>
      <c r="D14543" s="138" t="str">
        <f t="shared" si="1300"/>
        <v>Medium_High</v>
      </c>
      <c r="E14543" s="138" t="str">
        <f t="shared" si="1298"/>
        <v>High</v>
      </c>
      <c r="F14543" s="138" t="str">
        <f t="shared" si="1299"/>
        <v>Upgraded</v>
      </c>
      <c r="G14543" s="153"/>
      <c r="H14543" s="210">
        <v>-10.698700000000001</v>
      </c>
      <c r="I14543" s="160" t="s">
        <v>62</v>
      </c>
      <c r="J14543" s="160">
        <v>-9.3000000000000005E-4</v>
      </c>
      <c r="K14543" s="160" t="s">
        <v>26</v>
      </c>
      <c r="L14543" s="154" t="str">
        <f>IF(OpenLCAbasic!K14543="CTUh", "Fill in Manually",IF(OR(K14543="Unit", K14543=""), "", INDEX(LookUps!$E$5:$E$12, MATCH(OpenLCAbasic!K14543,LookUps!$D$5:$D$12,0))))</f>
        <v>Water Use (WU) - m3 H2O</v>
      </c>
      <c r="M14543" s="154" t="str">
        <f t="shared" si="1295"/>
        <v>High_Medium_High_Upgraded_Water Use (WU) - m3 H2O_Land application of compost; wastewater treatment unit; at updated plant - US_Without Amendment_Aerated Static Pile</v>
      </c>
    </row>
    <row r="14544" spans="1:13" s="120" customFormat="1" x14ac:dyDescent="0.25">
      <c r="A14544" s="119"/>
      <c r="B14544" s="138" t="str">
        <f t="shared" si="1296"/>
        <v/>
      </c>
      <c r="C14544" s="138" t="str">
        <f t="shared" si="1297"/>
        <v/>
      </c>
      <c r="D14544" s="138" t="str">
        <f>IF(ISNUMBER($J14544),"High_Low","")</f>
        <v/>
      </c>
      <c r="E14544" s="138" t="str">
        <f t="shared" si="1298"/>
        <v/>
      </c>
      <c r="F14544" s="138" t="str">
        <f t="shared" si="1299"/>
        <v/>
      </c>
      <c r="G14544" s="153" t="s">
        <v>51</v>
      </c>
      <c r="H14544" s="160"/>
      <c r="I14544" s="160" t="s">
        <v>47</v>
      </c>
      <c r="J14544" s="160" t="s">
        <v>52</v>
      </c>
      <c r="K14544" s="160" t="s">
        <v>27</v>
      </c>
      <c r="L14544" s="154" t="str">
        <f>IF(OpenLCAbasic!K14544="CTUh", "Fill in Manually",IF(OR(K14544="Unit", K14544=""), "", INDEX(LookUps!$E$5:$E$12, MATCH(OpenLCAbasic!K14544,LookUps!$D$5:$D$12,0))))</f>
        <v/>
      </c>
      <c r="M14544" s="154" t="str">
        <f t="shared" ref="M14544:M14607" si="1301">CONCATENATE(E14544,"_",D14544,"_",F14544,"_",L14544, "_",I14544,"_", C14544,"_", B14544)</f>
        <v>____Process__</v>
      </c>
    </row>
    <row r="14545" spans="1:13" s="120" customFormat="1" x14ac:dyDescent="0.25">
      <c r="A14545" s="119"/>
      <c r="B14545" s="138" t="str">
        <f t="shared" si="1296"/>
        <v>Aerated Static Pile</v>
      </c>
      <c r="C14545" s="138" t="str">
        <f t="shared" si="1297"/>
        <v>Without Amendment</v>
      </c>
      <c r="D14545" s="138" t="str">
        <f t="shared" ref="D14545:D14608" si="1302">IF(ISNUMBER($J14545),"High_Low","")</f>
        <v>High_Low</v>
      </c>
      <c r="E14545" s="138" t="str">
        <f t="shared" si="1298"/>
        <v>High</v>
      </c>
      <c r="F14545" s="138" t="str">
        <f t="shared" si="1299"/>
        <v>Upgraded</v>
      </c>
      <c r="G14545" s="153"/>
      <c r="H14545" s="210">
        <v>0.50619999999999998</v>
      </c>
      <c r="I14545" s="160" t="s">
        <v>55</v>
      </c>
      <c r="J14545" s="160">
        <v>1.7219999999999999E-2</v>
      </c>
      <c r="K14545" s="160" t="s">
        <v>24</v>
      </c>
      <c r="L14545" s="154" t="str">
        <f>IF(OpenLCAbasic!K14545="CTUh", "Fill in Manually",IF(OR(K14545="Unit", K14545=""), "", INDEX(LookUps!$E$5:$E$12, MATCH(OpenLCAbasic!K14545,LookUps!$D$5:$D$12,0))))</f>
        <v>Acidification Potential (AP) - kg SO2 eq</v>
      </c>
      <c r="M14545" s="154" t="str">
        <f t="shared" si="1301"/>
        <v>High_High_Low_Upgraded_Acidification Potential (AP) - kg SO2 eq_Aeration Tanks; wastewater treatment unit; at updated plant - US_Without Amendment_Aerated Static Pile</v>
      </c>
    </row>
    <row r="14546" spans="1:13" s="120" customFormat="1" x14ac:dyDescent="0.25">
      <c r="A14546" s="119"/>
      <c r="B14546" s="138" t="str">
        <f t="shared" si="1296"/>
        <v>Aerated Static Pile</v>
      </c>
      <c r="C14546" s="138" t="str">
        <f t="shared" si="1297"/>
        <v>Without Amendment</v>
      </c>
      <c r="D14546" s="138" t="str">
        <f t="shared" si="1302"/>
        <v>High_Low</v>
      </c>
      <c r="E14546" s="138" t="str">
        <f t="shared" si="1298"/>
        <v>High</v>
      </c>
      <c r="F14546" s="138" t="str">
        <f t="shared" si="1299"/>
        <v>Upgraded</v>
      </c>
      <c r="G14546" s="153"/>
      <c r="H14546" s="210">
        <v>0.1464</v>
      </c>
      <c r="I14546" s="160" t="s">
        <v>54</v>
      </c>
      <c r="J14546" s="160">
        <v>4.9800000000000001E-3</v>
      </c>
      <c r="K14546" s="160" t="s">
        <v>24</v>
      </c>
      <c r="L14546" s="154" t="str">
        <f>IF(OpenLCAbasic!K14546="CTUh", "Fill in Manually",IF(OR(K14546="Unit", K14546=""), "", INDEX(LookUps!$E$5:$E$12, MATCH(OpenLCAbasic!K14546,LookUps!$D$5:$D$12,0))))</f>
        <v>Acidification Potential (AP) - kg SO2 eq</v>
      </c>
      <c r="M14546" s="154" t="str">
        <f t="shared" si="1301"/>
        <v>High_High_Low_Upgraded_Acidification Potential (AP) - kg SO2 eq_Clear Cove Primary Clarification; wastewater treatment unit; at updated plant - US_Without Amendment_Aerated Static Pile</v>
      </c>
    </row>
    <row r="14547" spans="1:13" s="120" customFormat="1" x14ac:dyDescent="0.25">
      <c r="A14547" s="119"/>
      <c r="B14547" s="138" t="str">
        <f t="shared" si="1296"/>
        <v>Aerated Static Pile</v>
      </c>
      <c r="C14547" s="138" t="str">
        <f t="shared" si="1297"/>
        <v>Without Amendment</v>
      </c>
      <c r="D14547" s="138" t="str">
        <f t="shared" si="1302"/>
        <v>High_Low</v>
      </c>
      <c r="E14547" s="138" t="str">
        <f t="shared" si="1298"/>
        <v>High</v>
      </c>
      <c r="F14547" s="138" t="str">
        <f t="shared" si="1299"/>
        <v>Upgraded</v>
      </c>
      <c r="G14547" s="153"/>
      <c r="H14547" s="210">
        <v>0.12839999999999999</v>
      </c>
      <c r="I14547" s="160" t="s">
        <v>435</v>
      </c>
      <c r="J14547" s="160">
        <v>4.3699999999999998E-3</v>
      </c>
      <c r="K14547" s="160" t="s">
        <v>24</v>
      </c>
      <c r="L14547" s="154" t="str">
        <f>IF(OpenLCAbasic!K14547="CTUh", "Fill in Manually",IF(OR(K14547="Unit", K14547=""), "", INDEX(LookUps!$E$5:$E$12, MATCH(OpenLCAbasic!K14547,LookUps!$D$5:$D$12,0))))</f>
        <v>Acidification Potential (AP) - kg SO2 eq</v>
      </c>
      <c r="M14547" s="154" t="str">
        <f t="shared" si="1301"/>
        <v>High_High_Low_Upgraded_Acidification Potential (AP) - kg SO2 eq_Biosolids composting; aerated static pile; wastewater treatment unit; at updated plant - US_Without Amendment_Aerated Static Pile</v>
      </c>
    </row>
    <row r="14548" spans="1:13" s="120" customFormat="1" x14ac:dyDescent="0.25">
      <c r="A14548" s="119"/>
      <c r="B14548" s="138" t="str">
        <f t="shared" si="1296"/>
        <v>Aerated Static Pile</v>
      </c>
      <c r="C14548" s="138" t="str">
        <f t="shared" si="1297"/>
        <v>Without Amendment</v>
      </c>
      <c r="D14548" s="138" t="str">
        <f t="shared" si="1302"/>
        <v>High_Low</v>
      </c>
      <c r="E14548" s="138" t="str">
        <f t="shared" si="1298"/>
        <v>High</v>
      </c>
      <c r="F14548" s="138" t="str">
        <f t="shared" si="1299"/>
        <v>Upgraded</v>
      </c>
      <c r="G14548" s="153"/>
      <c r="H14548" s="210">
        <v>0.1283</v>
      </c>
      <c r="I14548" s="160" t="s">
        <v>58</v>
      </c>
      <c r="J14548" s="160">
        <v>4.3600000000000002E-3</v>
      </c>
      <c r="K14548" s="160" t="s">
        <v>24</v>
      </c>
      <c r="L14548" s="154" t="str">
        <f>IF(OpenLCAbasic!K14548="CTUh", "Fill in Manually",IF(OR(K14548="Unit", K14548=""), "", INDEX(LookUps!$E$5:$E$12, MATCH(OpenLCAbasic!K14548,LookUps!$D$5:$D$12,0))))</f>
        <v>Acidification Potential (AP) - kg SO2 eq</v>
      </c>
      <c r="M14548" s="154" t="str">
        <f t="shared" si="1301"/>
        <v>High_High_Low_Upgraded_Acidification Potential (AP) - kg SO2 eq_Pre-Anoxic &amp; Swing tank; wastewater treatment unit; at updated plant - US_Without Amendment_Aerated Static Pile</v>
      </c>
    </row>
    <row r="14549" spans="1:13" s="120" customFormat="1" x14ac:dyDescent="0.25">
      <c r="A14549" s="119"/>
      <c r="B14549" s="138" t="str">
        <f t="shared" si="1296"/>
        <v>Aerated Static Pile</v>
      </c>
      <c r="C14549" s="138" t="str">
        <f t="shared" si="1297"/>
        <v>Without Amendment</v>
      </c>
      <c r="D14549" s="138" t="str">
        <f t="shared" si="1302"/>
        <v>High_Low</v>
      </c>
      <c r="E14549" s="138" t="str">
        <f t="shared" si="1298"/>
        <v>High</v>
      </c>
      <c r="F14549" s="138" t="str">
        <f t="shared" si="1299"/>
        <v>Upgraded</v>
      </c>
      <c r="G14549" s="153"/>
      <c r="H14549" s="210">
        <v>0.1014</v>
      </c>
      <c r="I14549" s="160" t="s">
        <v>53</v>
      </c>
      <c r="J14549" s="160">
        <v>3.4499999999999999E-3</v>
      </c>
      <c r="K14549" s="160" t="s">
        <v>24</v>
      </c>
      <c r="L14549" s="154" t="str">
        <f>IF(OpenLCAbasic!K14549="CTUh", "Fill in Manually",IF(OR(K14549="Unit", K14549=""), "", INDEX(LookUps!$E$5:$E$12, MATCH(OpenLCAbasic!K14549,LookUps!$D$5:$D$12,0))))</f>
        <v>Acidification Potential (AP) - kg SO2 eq</v>
      </c>
      <c r="M14549" s="154" t="str">
        <f t="shared" si="1301"/>
        <v>High_High_Low_Upgraded_Acidification Potential (AP) - kg SO2 eq_Wet Well and Sump Station; wastewater treatment unit; at updated plant - US_Without Amendment_Aerated Static Pile</v>
      </c>
    </row>
    <row r="14550" spans="1:13" s="120" customFormat="1" x14ac:dyDescent="0.25">
      <c r="A14550" s="119"/>
      <c r="B14550" s="138" t="str">
        <f t="shared" si="1296"/>
        <v>Aerated Static Pile</v>
      </c>
      <c r="C14550" s="138" t="str">
        <f t="shared" si="1297"/>
        <v>Without Amendment</v>
      </c>
      <c r="D14550" s="138" t="str">
        <f t="shared" si="1302"/>
        <v>High_Low</v>
      </c>
      <c r="E14550" s="138" t="str">
        <f t="shared" si="1298"/>
        <v>High</v>
      </c>
      <c r="F14550" s="138" t="str">
        <f t="shared" si="1299"/>
        <v>Upgraded</v>
      </c>
      <c r="G14550" s="153"/>
      <c r="H14550" s="210">
        <v>9.8100000000000007E-2</v>
      </c>
      <c r="I14550" s="160" t="s">
        <v>62</v>
      </c>
      <c r="J14550" s="160">
        <v>3.3400000000000001E-3</v>
      </c>
      <c r="K14550" s="160" t="s">
        <v>24</v>
      </c>
      <c r="L14550" s="154" t="str">
        <f>IF(OpenLCAbasic!K14550="CTUh", "Fill in Manually",IF(OR(K14550="Unit", K14550=""), "", INDEX(LookUps!$E$5:$E$12, MATCH(OpenLCAbasic!K14550,LookUps!$D$5:$D$12,0))))</f>
        <v>Acidification Potential (AP) - kg SO2 eq</v>
      </c>
      <c r="M14550" s="154" t="str">
        <f t="shared" si="1301"/>
        <v>High_High_Low_Upgraded_Acidification Potential (AP) - kg SO2 eq_Land application of compost; wastewater treatment unit; at updated plant - US_Without Amendment_Aerated Static Pile</v>
      </c>
    </row>
    <row r="14551" spans="1:13" s="120" customFormat="1" x14ac:dyDescent="0.25">
      <c r="A14551" s="119"/>
      <c r="B14551" s="138" t="str">
        <f t="shared" si="1296"/>
        <v>Aerated Static Pile</v>
      </c>
      <c r="C14551" s="138" t="str">
        <f t="shared" si="1297"/>
        <v>Without Amendment</v>
      </c>
      <c r="D14551" s="138" t="str">
        <f t="shared" si="1302"/>
        <v>High_Low</v>
      </c>
      <c r="E14551" s="138" t="str">
        <f t="shared" si="1298"/>
        <v>High</v>
      </c>
      <c r="F14551" s="138" t="str">
        <f t="shared" si="1299"/>
        <v>Upgraded</v>
      </c>
      <c r="G14551" s="153"/>
      <c r="H14551" s="210">
        <v>7.9500000000000001E-2</v>
      </c>
      <c r="I14551" s="160" t="s">
        <v>167</v>
      </c>
      <c r="J14551" s="160">
        <v>2.7000000000000001E-3</v>
      </c>
      <c r="K14551" s="160" t="s">
        <v>24</v>
      </c>
      <c r="L14551" s="154" t="str">
        <f>IF(OpenLCAbasic!K14551="CTUh", "Fill in Manually",IF(OR(K14551="Unit", K14551=""), "", INDEX(LookUps!$E$5:$E$12, MATCH(OpenLCAbasic!K14551,LookUps!$D$5:$D$12,0))))</f>
        <v>Acidification Potential (AP) - kg SO2 eq</v>
      </c>
      <c r="M14551" s="154" t="str">
        <f t="shared" si="1301"/>
        <v>High_High_Low_Upgraded_Acidification Potential (AP) - kg SO2 eq_Waste Receiving and Holding; wastewater treatment unit; at updated plant - US_Without Amendment_Aerated Static Pile</v>
      </c>
    </row>
    <row r="14552" spans="1:13" s="120" customFormat="1" x14ac:dyDescent="0.25">
      <c r="A14552" s="119"/>
      <c r="B14552" s="138" t="str">
        <f t="shared" si="1296"/>
        <v>Aerated Static Pile</v>
      </c>
      <c r="C14552" s="138" t="str">
        <f t="shared" si="1297"/>
        <v>Without Amendment</v>
      </c>
      <c r="D14552" s="138" t="str">
        <f t="shared" si="1302"/>
        <v>High_Low</v>
      </c>
      <c r="E14552" s="138" t="str">
        <f t="shared" si="1298"/>
        <v>High</v>
      </c>
      <c r="F14552" s="138" t="str">
        <f t="shared" si="1299"/>
        <v>Upgraded</v>
      </c>
      <c r="G14552" s="153"/>
      <c r="H14552" s="210">
        <v>6.08E-2</v>
      </c>
      <c r="I14552" s="160" t="s">
        <v>147</v>
      </c>
      <c r="J14552" s="160">
        <v>2.0699999999999998E-3</v>
      </c>
      <c r="K14552" s="160" t="s">
        <v>24</v>
      </c>
      <c r="L14552" s="154" t="str">
        <f>IF(OpenLCAbasic!K14552="CTUh", "Fill in Manually",IF(OR(K14552="Unit", K14552=""), "", INDEX(LookUps!$E$5:$E$12, MATCH(OpenLCAbasic!K14552,LookUps!$D$5:$D$12,0))))</f>
        <v>Acidification Potential (AP) - kg SO2 eq</v>
      </c>
      <c r="M14552" s="154" t="str">
        <f t="shared" si="1301"/>
        <v>High_High_Low_Upgraded_Acidification Potential (AP) - kg SO2 eq_Influent Pump Station; wastewater treatment unit; at updated plant - US_Without Amendment_Aerated Static Pile</v>
      </c>
    </row>
    <row r="14553" spans="1:13" s="120" customFormat="1" x14ac:dyDescent="0.25">
      <c r="A14553" s="119"/>
      <c r="B14553" s="138" t="str">
        <f t="shared" si="1296"/>
        <v>Aerated Static Pile</v>
      </c>
      <c r="C14553" s="138" t="str">
        <f t="shared" si="1297"/>
        <v>Without Amendment</v>
      </c>
      <c r="D14553" s="138" t="str">
        <f t="shared" si="1302"/>
        <v>High_Low</v>
      </c>
      <c r="E14553" s="138" t="str">
        <f t="shared" si="1298"/>
        <v>High</v>
      </c>
      <c r="F14553" s="138" t="str">
        <f t="shared" si="1299"/>
        <v>Upgraded</v>
      </c>
      <c r="G14553" s="153"/>
      <c r="H14553" s="210">
        <v>4.9399999999999999E-2</v>
      </c>
      <c r="I14553" s="160" t="s">
        <v>60</v>
      </c>
      <c r="J14553" s="160">
        <v>1.6800000000000001E-3</v>
      </c>
      <c r="K14553" s="160" t="s">
        <v>24</v>
      </c>
      <c r="L14553" s="154" t="str">
        <f>IF(OpenLCAbasic!K14553="CTUh", "Fill in Manually",IF(OR(K14553="Unit", K14553=""), "", INDEX(LookUps!$E$5:$E$12, MATCH(OpenLCAbasic!K14553,LookUps!$D$5:$D$12,0))))</f>
        <v>Acidification Potential (AP) - kg SO2 eq</v>
      </c>
      <c r="M14553" s="154" t="str">
        <f t="shared" si="1301"/>
        <v>High_High_Low_Upgraded_Acidification Potential (AP) - kg SO2 eq_Belt filter press; wastewater treatment unit; at updated plant - US_Without Amendment_Aerated Static Pile</v>
      </c>
    </row>
    <row r="14554" spans="1:13" s="120" customFormat="1" x14ac:dyDescent="0.25">
      <c r="A14554" s="119"/>
      <c r="B14554" s="138" t="str">
        <f t="shared" si="1296"/>
        <v>Aerated Static Pile</v>
      </c>
      <c r="C14554" s="138" t="str">
        <f t="shared" si="1297"/>
        <v>Without Amendment</v>
      </c>
      <c r="D14554" s="138" t="str">
        <f t="shared" si="1302"/>
        <v>High_Low</v>
      </c>
      <c r="E14554" s="138" t="str">
        <f t="shared" si="1298"/>
        <v>High</v>
      </c>
      <c r="F14554" s="138" t="str">
        <f t="shared" si="1299"/>
        <v>Upgraded</v>
      </c>
      <c r="G14554" s="153"/>
      <c r="H14554" s="210">
        <v>3.6200000000000003E-2</v>
      </c>
      <c r="I14554" s="160" t="s">
        <v>128</v>
      </c>
      <c r="J14554" s="160">
        <v>1.23E-3</v>
      </c>
      <c r="K14554" s="160" t="s">
        <v>24</v>
      </c>
      <c r="L14554" s="154" t="str">
        <f>IF(OpenLCAbasic!K14554="CTUh", "Fill in Manually",IF(OR(K14554="Unit", K14554=""), "", INDEX(LookUps!$E$5:$E$12, MATCH(OpenLCAbasic!K14554,LookUps!$D$5:$D$12,0))))</f>
        <v>Acidification Potential (AP) - kg SO2 eq</v>
      </c>
      <c r="M14554" s="154" t="str">
        <f t="shared" si="1301"/>
        <v>High_High_Low_Upgraded_Acidification Potential (AP) - kg SO2 eq_Wastewater collection; operation and infrastructure; m3 wastewater_Without Amendment_Aerated Static Pile</v>
      </c>
    </row>
    <row r="14555" spans="1:13" s="120" customFormat="1" x14ac:dyDescent="0.25">
      <c r="A14555" s="119"/>
      <c r="B14555" s="138" t="str">
        <f t="shared" si="1296"/>
        <v>Aerated Static Pile</v>
      </c>
      <c r="C14555" s="138" t="str">
        <f t="shared" si="1297"/>
        <v>Without Amendment</v>
      </c>
      <c r="D14555" s="138" t="str">
        <f t="shared" si="1302"/>
        <v>High_Low</v>
      </c>
      <c r="E14555" s="138" t="str">
        <f t="shared" si="1298"/>
        <v>High</v>
      </c>
      <c r="F14555" s="138" t="str">
        <f t="shared" si="1299"/>
        <v>Upgraded</v>
      </c>
      <c r="G14555" s="153"/>
      <c r="H14555" s="210">
        <v>2.07E-2</v>
      </c>
      <c r="I14555" s="160" t="s">
        <v>57</v>
      </c>
      <c r="J14555" s="160">
        <v>6.9999999999999999E-4</v>
      </c>
      <c r="K14555" s="160" t="s">
        <v>24</v>
      </c>
      <c r="L14555" s="154" t="str">
        <f>IF(OpenLCAbasic!K14555="CTUh", "Fill in Manually",IF(OR(K14555="Unit", K14555=""), "", INDEX(LookUps!$E$5:$E$12, MATCH(OpenLCAbasic!K14555,LookUps!$D$5:$D$12,0))))</f>
        <v>Acidification Potential (AP) - kg SO2 eq</v>
      </c>
      <c r="M14555" s="154" t="str">
        <f t="shared" si="1301"/>
        <v>High_High_Low_Upgraded_Acidification Potential (AP) - kg SO2 eq_Gravity Belt Thickener; wastewater treatment unit; at updated plant - US_Without Amendment_Aerated Static Pile</v>
      </c>
    </row>
    <row r="14556" spans="1:13" s="120" customFormat="1" x14ac:dyDescent="0.25">
      <c r="A14556" s="119"/>
      <c r="B14556" s="138" t="str">
        <f t="shared" si="1296"/>
        <v>Aerated Static Pile</v>
      </c>
      <c r="C14556" s="138" t="str">
        <f t="shared" si="1297"/>
        <v>Without Amendment</v>
      </c>
      <c r="D14556" s="138" t="str">
        <f t="shared" si="1302"/>
        <v>High_Low</v>
      </c>
      <c r="E14556" s="138" t="str">
        <f t="shared" si="1298"/>
        <v>High</v>
      </c>
      <c r="F14556" s="138" t="str">
        <f t="shared" si="1299"/>
        <v>Upgraded</v>
      </c>
      <c r="G14556" s="153"/>
      <c r="H14556" s="210">
        <v>1.52E-2</v>
      </c>
      <c r="I14556" s="160" t="s">
        <v>59</v>
      </c>
      <c r="J14556" s="160">
        <v>5.1999999999999995E-4</v>
      </c>
      <c r="K14556" s="160" t="s">
        <v>24</v>
      </c>
      <c r="L14556" s="154" t="str">
        <f>IF(OpenLCAbasic!K14556="CTUh", "Fill in Manually",IF(OR(K14556="Unit", K14556=""), "", INDEX(LookUps!$E$5:$E$12, MATCH(OpenLCAbasic!K14556,LookUps!$D$5:$D$12,0))))</f>
        <v>Acidification Potential (AP) - kg SO2 eq</v>
      </c>
      <c r="M14556" s="154" t="str">
        <f t="shared" si="1301"/>
        <v>High_High_Low_Upgraded_Acidification Potential (AP) - kg SO2 eq_Blend Tank; wastewater treatment unit; at updated plant - US_Without Amendment_Aerated Static Pile</v>
      </c>
    </row>
    <row r="14557" spans="1:13" s="120" customFormat="1" x14ac:dyDescent="0.25">
      <c r="A14557" s="119"/>
      <c r="B14557" s="138" t="str">
        <f t="shared" si="1296"/>
        <v>Aerated Static Pile</v>
      </c>
      <c r="C14557" s="138" t="str">
        <f t="shared" si="1297"/>
        <v>Without Amendment</v>
      </c>
      <c r="D14557" s="138" t="str">
        <f t="shared" si="1302"/>
        <v>High_Low</v>
      </c>
      <c r="E14557" s="138" t="str">
        <f t="shared" si="1298"/>
        <v>High</v>
      </c>
      <c r="F14557" s="138" t="str">
        <f t="shared" si="1299"/>
        <v>Upgraded</v>
      </c>
      <c r="G14557" s="153"/>
      <c r="H14557" s="210">
        <v>1.0200000000000001E-2</v>
      </c>
      <c r="I14557" s="160" t="s">
        <v>48</v>
      </c>
      <c r="J14557" s="160">
        <v>3.5E-4</v>
      </c>
      <c r="K14557" s="160" t="s">
        <v>24</v>
      </c>
      <c r="L14557" s="154" t="str">
        <f>IF(OpenLCAbasic!K14557="CTUh", "Fill in Manually",IF(OR(K14557="Unit", K14557=""), "", INDEX(LookUps!$E$5:$E$12, MATCH(OpenLCAbasic!K14557,LookUps!$D$5:$D$12,0))))</f>
        <v>Acidification Potential (AP) - kg SO2 eq</v>
      </c>
      <c r="M14557" s="154" t="str">
        <f t="shared" si="1301"/>
        <v>High_High_Low_Upgraded_Acidification Potential (AP) - kg SO2 eq_Effluent release; wastewater treatment unit; at surface water; m3 wastewater - US_Without Amendment_Aerated Static Pile</v>
      </c>
    </row>
    <row r="14558" spans="1:13" s="120" customFormat="1" x14ac:dyDescent="0.25">
      <c r="A14558" s="119"/>
      <c r="B14558" s="138" t="str">
        <f t="shared" si="1296"/>
        <v>Aerated Static Pile</v>
      </c>
      <c r="C14558" s="138" t="str">
        <f t="shared" si="1297"/>
        <v>Without Amendment</v>
      </c>
      <c r="D14558" s="138" t="str">
        <f t="shared" si="1302"/>
        <v>High_Low</v>
      </c>
      <c r="E14558" s="138" t="str">
        <f t="shared" si="1298"/>
        <v>High</v>
      </c>
      <c r="F14558" s="138" t="str">
        <f t="shared" si="1299"/>
        <v>Upgraded</v>
      </c>
      <c r="G14558" s="153"/>
      <c r="H14558" s="210">
        <v>7.4999999999999997E-3</v>
      </c>
      <c r="I14558" s="160" t="s">
        <v>168</v>
      </c>
      <c r="J14558" s="160">
        <v>2.5999999999999998E-4</v>
      </c>
      <c r="K14558" s="160" t="s">
        <v>24</v>
      </c>
      <c r="L14558" s="154" t="str">
        <f>IF(OpenLCAbasic!K14558="CTUh", "Fill in Manually",IF(OR(K14558="Unit", K14558=""), "", INDEX(LookUps!$E$5:$E$12, MATCH(OpenLCAbasic!K14558,LookUps!$D$5:$D$12,0))))</f>
        <v>Acidification Potential (AP) - kg SO2 eq</v>
      </c>
      <c r="M14558" s="154" t="str">
        <f t="shared" si="1301"/>
        <v>High_High_Low_Upgraded_Acidification Potential (AP) - kg SO2 eq_ClearCove SCP; wastewater treatment unit; at updated plant - US_Without Amendment_Aerated Static Pile</v>
      </c>
    </row>
    <row r="14559" spans="1:13" s="120" customFormat="1" x14ac:dyDescent="0.25">
      <c r="A14559" s="119"/>
      <c r="B14559" s="138" t="str">
        <f t="shared" si="1296"/>
        <v>Aerated Static Pile</v>
      </c>
      <c r="C14559" s="138" t="str">
        <f t="shared" si="1297"/>
        <v>Without Amendment</v>
      </c>
      <c r="D14559" s="138" t="str">
        <f t="shared" si="1302"/>
        <v>High_Low</v>
      </c>
      <c r="E14559" s="138" t="str">
        <f t="shared" si="1298"/>
        <v>High</v>
      </c>
      <c r="F14559" s="138" t="str">
        <f t="shared" si="1299"/>
        <v>Upgraded</v>
      </c>
      <c r="G14559" s="153"/>
      <c r="H14559" s="210">
        <v>1.1999999999999999E-3</v>
      </c>
      <c r="I14559" s="160" t="s">
        <v>148</v>
      </c>
      <c r="J14559" s="211">
        <v>4.0354700000000002E-5</v>
      </c>
      <c r="K14559" s="160" t="s">
        <v>24</v>
      </c>
      <c r="L14559" s="154" t="str">
        <f>IF(OpenLCAbasic!K14559="CTUh", "Fill in Manually",IF(OR(K14559="Unit", K14559=""), "", INDEX(LookUps!$E$5:$E$12, MATCH(OpenLCAbasic!K14559,LookUps!$D$5:$D$12,0))))</f>
        <v>Acidification Potential (AP) - kg SO2 eq</v>
      </c>
      <c r="M14559" s="154" t="str">
        <f t="shared" si="1301"/>
        <v>High_High_Low_Upgraded_Acidification Potential (AP) - kg SO2 eq_Control Building; at upgraded wastewater treatment plant - US_Without Amendment_Aerated Static Pile</v>
      </c>
    </row>
    <row r="14560" spans="1:13" s="120" customFormat="1" x14ac:dyDescent="0.25">
      <c r="A14560" s="119"/>
      <c r="B14560" s="138" t="str">
        <f t="shared" si="1296"/>
        <v>Aerated Static Pile</v>
      </c>
      <c r="C14560" s="138" t="str">
        <f t="shared" si="1297"/>
        <v>Without Amendment</v>
      </c>
      <c r="D14560" s="138" t="str">
        <f t="shared" si="1302"/>
        <v>High_Low</v>
      </c>
      <c r="E14560" s="138" t="str">
        <f t="shared" si="1298"/>
        <v>High</v>
      </c>
      <c r="F14560" s="138" t="str">
        <f t="shared" si="1299"/>
        <v>Upgraded</v>
      </c>
      <c r="G14560" s="153"/>
      <c r="H14560" s="210">
        <v>-0.38940000000000002</v>
      </c>
      <c r="I14560" s="160" t="s">
        <v>149</v>
      </c>
      <c r="J14560" s="160">
        <v>-1.325E-2</v>
      </c>
      <c r="K14560" s="160" t="s">
        <v>24</v>
      </c>
      <c r="L14560" s="154" t="str">
        <f>IF(OpenLCAbasic!K14560="CTUh", "Fill in Manually",IF(OR(K14560="Unit", K14560=""), "", INDEX(LookUps!$E$5:$E$12, MATCH(OpenLCAbasic!K14560,LookUps!$D$5:$D$12,0))))</f>
        <v>Acidification Potential (AP) - kg SO2 eq</v>
      </c>
      <c r="M14560" s="154" t="str">
        <f t="shared" si="1301"/>
        <v>High_High_Low_Upgraded_Acidification Potential (AP) - kg SO2 eq_Anaerobic Digestion; wastewater treatment unit; at updated plant - US_Without Amendment_Aerated Static Pile</v>
      </c>
    </row>
    <row r="14561" spans="1:13" s="120" customFormat="1" x14ac:dyDescent="0.25">
      <c r="A14561" s="119"/>
      <c r="B14561" s="138" t="str">
        <f t="shared" si="1296"/>
        <v/>
      </c>
      <c r="C14561" s="138" t="str">
        <f t="shared" si="1297"/>
        <v/>
      </c>
      <c r="D14561" s="138" t="str">
        <f t="shared" si="1302"/>
        <v/>
      </c>
      <c r="E14561" s="138" t="str">
        <f t="shared" si="1298"/>
        <v/>
      </c>
      <c r="F14561" s="138" t="str">
        <f t="shared" si="1299"/>
        <v/>
      </c>
      <c r="G14561" s="153" t="s">
        <v>51</v>
      </c>
      <c r="H14561" s="160"/>
      <c r="I14561" s="160" t="s">
        <v>47</v>
      </c>
      <c r="J14561" s="160" t="s">
        <v>52</v>
      </c>
      <c r="K14561" s="160" t="s">
        <v>27</v>
      </c>
      <c r="L14561" s="154" t="str">
        <f>IF(OpenLCAbasic!K14561="CTUh", "Fill in Manually",IF(OR(K14561="Unit", K14561=""), "", INDEX(LookUps!$E$5:$E$12, MATCH(OpenLCAbasic!K14561,LookUps!$D$5:$D$12,0))))</f>
        <v/>
      </c>
      <c r="M14561" s="154" t="str">
        <f t="shared" si="1301"/>
        <v>____Process__</v>
      </c>
    </row>
    <row r="14562" spans="1:13" s="120" customFormat="1" x14ac:dyDescent="0.25">
      <c r="A14562" s="119"/>
      <c r="B14562" s="138" t="str">
        <f t="shared" si="1296"/>
        <v>Aerated Static Pile</v>
      </c>
      <c r="C14562" s="138" t="str">
        <f t="shared" si="1297"/>
        <v>Without Amendment</v>
      </c>
      <c r="D14562" s="138" t="str">
        <f t="shared" si="1302"/>
        <v>High_Low</v>
      </c>
      <c r="E14562" s="138" t="str">
        <f t="shared" si="1298"/>
        <v>High</v>
      </c>
      <c r="F14562" s="138" t="str">
        <f t="shared" si="1299"/>
        <v>Upgraded</v>
      </c>
      <c r="G14562" s="153"/>
      <c r="H14562" s="210">
        <v>0.54990000000000006</v>
      </c>
      <c r="I14562" s="160" t="s">
        <v>167</v>
      </c>
      <c r="J14562" s="160">
        <v>5.1393399999999998</v>
      </c>
      <c r="K14562" s="160" t="s">
        <v>15</v>
      </c>
      <c r="L14562" s="154" t="str">
        <f>IF(OpenLCAbasic!K14562="CTUh", "Fill in Manually",IF(OR(K14562="Unit", K14562=""), "", INDEX(LookUps!$E$5:$E$12, MATCH(OpenLCAbasic!K14562,LookUps!$D$5:$D$12,0))))</f>
        <v>Cumulative Energy Demand (CED) - MJ</v>
      </c>
      <c r="M14562" s="154" t="str">
        <f t="shared" si="1301"/>
        <v>High_High_Low_Upgraded_Cumulative Energy Demand (CED) - MJ_Waste Receiving and Holding; wastewater treatment unit; at updated plant - US_Without Amendment_Aerated Static Pile</v>
      </c>
    </row>
    <row r="14563" spans="1:13" s="120" customFormat="1" x14ac:dyDescent="0.25">
      <c r="A14563" s="119"/>
      <c r="B14563" s="138" t="str">
        <f t="shared" si="1296"/>
        <v>Aerated Static Pile</v>
      </c>
      <c r="C14563" s="138" t="str">
        <f t="shared" si="1297"/>
        <v>Without Amendment</v>
      </c>
      <c r="D14563" s="138" t="str">
        <f t="shared" si="1302"/>
        <v>High_Low</v>
      </c>
      <c r="E14563" s="138" t="str">
        <f t="shared" si="1298"/>
        <v>High</v>
      </c>
      <c r="F14563" s="138" t="str">
        <f t="shared" si="1299"/>
        <v>Upgraded</v>
      </c>
      <c r="G14563" s="153"/>
      <c r="H14563" s="210">
        <v>0.378</v>
      </c>
      <c r="I14563" s="160" t="s">
        <v>55</v>
      </c>
      <c r="J14563" s="160">
        <v>3.5330499999999998</v>
      </c>
      <c r="K14563" s="160" t="s">
        <v>15</v>
      </c>
      <c r="L14563" s="154" t="str">
        <f>IF(OpenLCAbasic!K14563="CTUh", "Fill in Manually",IF(OR(K14563="Unit", K14563=""), "", INDEX(LookUps!$E$5:$E$12, MATCH(OpenLCAbasic!K14563,LookUps!$D$5:$D$12,0))))</f>
        <v>Cumulative Energy Demand (CED) - MJ</v>
      </c>
      <c r="M14563" s="154" t="str">
        <f t="shared" si="1301"/>
        <v>High_High_Low_Upgraded_Cumulative Energy Demand (CED) - MJ_Aeration Tanks; wastewater treatment unit; at updated plant - US_Without Amendment_Aerated Static Pile</v>
      </c>
    </row>
    <row r="14564" spans="1:13" s="120" customFormat="1" x14ac:dyDescent="0.25">
      <c r="A14564" s="119"/>
      <c r="B14564" s="138" t="str">
        <f t="shared" si="1296"/>
        <v>Aerated Static Pile</v>
      </c>
      <c r="C14564" s="138" t="str">
        <f t="shared" si="1297"/>
        <v>Without Amendment</v>
      </c>
      <c r="D14564" s="138" t="str">
        <f t="shared" si="1302"/>
        <v>High_Low</v>
      </c>
      <c r="E14564" s="138" t="str">
        <f t="shared" si="1298"/>
        <v>High</v>
      </c>
      <c r="F14564" s="138" t="str">
        <f t="shared" si="1299"/>
        <v>Upgraded</v>
      </c>
      <c r="G14564" s="153"/>
      <c r="H14564" s="210">
        <v>0.1244</v>
      </c>
      <c r="I14564" s="160" t="s">
        <v>54</v>
      </c>
      <c r="J14564" s="160">
        <v>1.16289</v>
      </c>
      <c r="K14564" s="160" t="s">
        <v>15</v>
      </c>
      <c r="L14564" s="154" t="str">
        <f>IF(OpenLCAbasic!K14564="CTUh", "Fill in Manually",IF(OR(K14564="Unit", K14564=""), "", INDEX(LookUps!$E$5:$E$12, MATCH(OpenLCAbasic!K14564,LookUps!$D$5:$D$12,0))))</f>
        <v>Cumulative Energy Demand (CED) - MJ</v>
      </c>
      <c r="M14564" s="154" t="str">
        <f t="shared" si="1301"/>
        <v>High_High_Low_Upgraded_Cumulative Energy Demand (CED) - MJ_Clear Cove Primary Clarification; wastewater treatment unit; at updated plant - US_Without Amendment_Aerated Static Pile</v>
      </c>
    </row>
    <row r="14565" spans="1:13" s="120" customFormat="1" x14ac:dyDescent="0.25">
      <c r="A14565" s="119"/>
      <c r="B14565" s="138" t="str">
        <f t="shared" si="1296"/>
        <v>Aerated Static Pile</v>
      </c>
      <c r="C14565" s="138" t="str">
        <f t="shared" si="1297"/>
        <v>Without Amendment</v>
      </c>
      <c r="D14565" s="138" t="str">
        <f t="shared" si="1302"/>
        <v>High_Low</v>
      </c>
      <c r="E14565" s="138" t="str">
        <f t="shared" si="1298"/>
        <v>High</v>
      </c>
      <c r="F14565" s="138" t="str">
        <f t="shared" si="1299"/>
        <v>Upgraded</v>
      </c>
      <c r="G14565" s="153"/>
      <c r="H14565" s="210">
        <v>9.5299999999999996E-2</v>
      </c>
      <c r="I14565" s="160" t="s">
        <v>58</v>
      </c>
      <c r="J14565" s="160">
        <v>0.89063999999999999</v>
      </c>
      <c r="K14565" s="160" t="s">
        <v>15</v>
      </c>
      <c r="L14565" s="154" t="str">
        <f>IF(OpenLCAbasic!K14565="CTUh", "Fill in Manually",IF(OR(K14565="Unit", K14565=""), "", INDEX(LookUps!$E$5:$E$12, MATCH(OpenLCAbasic!K14565,LookUps!$D$5:$D$12,0))))</f>
        <v>Cumulative Energy Demand (CED) - MJ</v>
      </c>
      <c r="M14565" s="154" t="str">
        <f t="shared" si="1301"/>
        <v>High_High_Low_Upgraded_Cumulative Energy Demand (CED) - MJ_Pre-Anoxic &amp; Swing tank; wastewater treatment unit; at updated plant - US_Without Amendment_Aerated Static Pile</v>
      </c>
    </row>
    <row r="14566" spans="1:13" s="120" customFormat="1" x14ac:dyDescent="0.25">
      <c r="A14566" s="119"/>
      <c r="B14566" s="138" t="str">
        <f t="shared" si="1296"/>
        <v>Aerated Static Pile</v>
      </c>
      <c r="C14566" s="138" t="str">
        <f t="shared" si="1297"/>
        <v>Without Amendment</v>
      </c>
      <c r="D14566" s="138" t="str">
        <f t="shared" si="1302"/>
        <v>High_Low</v>
      </c>
      <c r="E14566" s="138" t="str">
        <f t="shared" si="1298"/>
        <v>High</v>
      </c>
      <c r="F14566" s="138" t="str">
        <f t="shared" si="1299"/>
        <v>Upgraded</v>
      </c>
      <c r="G14566" s="153"/>
      <c r="H14566" s="210">
        <v>9.4500000000000001E-2</v>
      </c>
      <c r="I14566" s="160" t="s">
        <v>147</v>
      </c>
      <c r="J14566" s="160">
        <v>0.88297000000000003</v>
      </c>
      <c r="K14566" s="160" t="s">
        <v>15</v>
      </c>
      <c r="L14566" s="154" t="str">
        <f>IF(OpenLCAbasic!K14566="CTUh", "Fill in Manually",IF(OR(K14566="Unit", K14566=""), "", INDEX(LookUps!$E$5:$E$12, MATCH(OpenLCAbasic!K14566,LookUps!$D$5:$D$12,0))))</f>
        <v>Cumulative Energy Demand (CED) - MJ</v>
      </c>
      <c r="M14566" s="154" t="str">
        <f t="shared" si="1301"/>
        <v>High_High_Low_Upgraded_Cumulative Energy Demand (CED) - MJ_Influent Pump Station; wastewater treatment unit; at updated plant - US_Without Amendment_Aerated Static Pile</v>
      </c>
    </row>
    <row r="14567" spans="1:13" s="120" customFormat="1" x14ac:dyDescent="0.25">
      <c r="A14567" s="119"/>
      <c r="B14567" s="138" t="str">
        <f t="shared" si="1296"/>
        <v>Aerated Static Pile</v>
      </c>
      <c r="C14567" s="138" t="str">
        <f t="shared" si="1297"/>
        <v>Without Amendment</v>
      </c>
      <c r="D14567" s="138" t="str">
        <f t="shared" si="1302"/>
        <v>High_Low</v>
      </c>
      <c r="E14567" s="138" t="str">
        <f t="shared" si="1298"/>
        <v>High</v>
      </c>
      <c r="F14567" s="138" t="str">
        <f t="shared" si="1299"/>
        <v>Upgraded</v>
      </c>
      <c r="G14567" s="153"/>
      <c r="H14567" s="210">
        <v>8.1000000000000003E-2</v>
      </c>
      <c r="I14567" s="160" t="s">
        <v>435</v>
      </c>
      <c r="J14567" s="160">
        <v>0.75741000000000003</v>
      </c>
      <c r="K14567" s="160" t="s">
        <v>15</v>
      </c>
      <c r="L14567" s="154" t="str">
        <f>IF(OpenLCAbasic!K14567="CTUh", "Fill in Manually",IF(OR(K14567="Unit", K14567=""), "", INDEX(LookUps!$E$5:$E$12, MATCH(OpenLCAbasic!K14567,LookUps!$D$5:$D$12,0))))</f>
        <v>Cumulative Energy Demand (CED) - MJ</v>
      </c>
      <c r="M14567" s="154" t="str">
        <f t="shared" si="1301"/>
        <v>High_High_Low_Upgraded_Cumulative Energy Demand (CED) - MJ_Biosolids composting; aerated static pile; wastewater treatment unit; at updated plant - US_Without Amendment_Aerated Static Pile</v>
      </c>
    </row>
    <row r="14568" spans="1:13" s="120" customFormat="1" x14ac:dyDescent="0.25">
      <c r="A14568" s="119"/>
      <c r="B14568" s="138" t="str">
        <f t="shared" si="1296"/>
        <v>Aerated Static Pile</v>
      </c>
      <c r="C14568" s="138" t="str">
        <f t="shared" si="1297"/>
        <v>Without Amendment</v>
      </c>
      <c r="D14568" s="138" t="str">
        <f t="shared" si="1302"/>
        <v>High_Low</v>
      </c>
      <c r="E14568" s="138" t="str">
        <f t="shared" si="1298"/>
        <v>High</v>
      </c>
      <c r="F14568" s="138" t="str">
        <f t="shared" si="1299"/>
        <v>Upgraded</v>
      </c>
      <c r="G14568" s="153"/>
      <c r="H14568" s="210">
        <v>7.4499999999999997E-2</v>
      </c>
      <c r="I14568" s="160" t="s">
        <v>53</v>
      </c>
      <c r="J14568" s="160">
        <v>0.69645000000000001</v>
      </c>
      <c r="K14568" s="160" t="s">
        <v>15</v>
      </c>
      <c r="L14568" s="154" t="str">
        <f>IF(OpenLCAbasic!K14568="CTUh", "Fill in Manually",IF(OR(K14568="Unit", K14568=""), "", INDEX(LookUps!$E$5:$E$12, MATCH(OpenLCAbasic!K14568,LookUps!$D$5:$D$12,0))))</f>
        <v>Cumulative Energy Demand (CED) - MJ</v>
      </c>
      <c r="M14568" s="154" t="str">
        <f t="shared" si="1301"/>
        <v>High_High_Low_Upgraded_Cumulative Energy Demand (CED) - MJ_Wet Well and Sump Station; wastewater treatment unit; at updated plant - US_Without Amendment_Aerated Static Pile</v>
      </c>
    </row>
    <row r="14569" spans="1:13" s="120" customFormat="1" x14ac:dyDescent="0.25">
      <c r="A14569" s="119"/>
      <c r="B14569" s="138" t="str">
        <f t="shared" ref="B14569:B14632" si="1303">IF(F14569="Legacy","n.a.",IF(F14569="","","Aerated Static Pile"))</f>
        <v>Aerated Static Pile</v>
      </c>
      <c r="C14569" s="138" t="str">
        <f t="shared" ref="C14569:C14632" si="1304">IF(ISNUMBER($J14569),"Without Amendment","")</f>
        <v>Without Amendment</v>
      </c>
      <c r="D14569" s="138" t="str">
        <f t="shared" si="1302"/>
        <v>High_Low</v>
      </c>
      <c r="E14569" s="138" t="str">
        <f t="shared" ref="E14569:E14632" si="1305">IF(ISNUMBER($J14569),"High","")</f>
        <v>High</v>
      </c>
      <c r="F14569" s="138" t="str">
        <f t="shared" ref="F14569:F14632" si="1306">IF(ISNUMBER(J14569),"Upgraded","")</f>
        <v>Upgraded</v>
      </c>
      <c r="G14569" s="153"/>
      <c r="H14569" s="210">
        <v>6.7199999999999996E-2</v>
      </c>
      <c r="I14569" s="160" t="s">
        <v>60</v>
      </c>
      <c r="J14569" s="160">
        <v>0.62775999999999998</v>
      </c>
      <c r="K14569" s="160" t="s">
        <v>15</v>
      </c>
      <c r="L14569" s="154" t="str">
        <f>IF(OpenLCAbasic!K14569="CTUh", "Fill in Manually",IF(OR(K14569="Unit", K14569=""), "", INDEX(LookUps!$E$5:$E$12, MATCH(OpenLCAbasic!K14569,LookUps!$D$5:$D$12,0))))</f>
        <v>Cumulative Energy Demand (CED) - MJ</v>
      </c>
      <c r="M14569" s="154" t="str">
        <f t="shared" si="1301"/>
        <v>High_High_Low_Upgraded_Cumulative Energy Demand (CED) - MJ_Belt filter press; wastewater treatment unit; at updated plant - US_Without Amendment_Aerated Static Pile</v>
      </c>
    </row>
    <row r="14570" spans="1:13" s="120" customFormat="1" x14ac:dyDescent="0.25">
      <c r="A14570" s="119"/>
      <c r="B14570" s="138" t="str">
        <f t="shared" si="1303"/>
        <v>Aerated Static Pile</v>
      </c>
      <c r="C14570" s="138" t="str">
        <f t="shared" si="1304"/>
        <v>Without Amendment</v>
      </c>
      <c r="D14570" s="138" t="str">
        <f t="shared" si="1302"/>
        <v>High_Low</v>
      </c>
      <c r="E14570" s="138" t="str">
        <f t="shared" si="1305"/>
        <v>High</v>
      </c>
      <c r="F14570" s="138" t="str">
        <f t="shared" si="1306"/>
        <v>Upgraded</v>
      </c>
      <c r="G14570" s="153"/>
      <c r="H14570" s="210">
        <v>3.5700000000000003E-2</v>
      </c>
      <c r="I14570" s="160" t="s">
        <v>57</v>
      </c>
      <c r="J14570" s="160">
        <v>0.33404</v>
      </c>
      <c r="K14570" s="160" t="s">
        <v>15</v>
      </c>
      <c r="L14570" s="154" t="str">
        <f>IF(OpenLCAbasic!K14570="CTUh", "Fill in Manually",IF(OR(K14570="Unit", K14570=""), "", INDEX(LookUps!$E$5:$E$12, MATCH(OpenLCAbasic!K14570,LookUps!$D$5:$D$12,0))))</f>
        <v>Cumulative Energy Demand (CED) - MJ</v>
      </c>
      <c r="M14570" s="154" t="str">
        <f t="shared" si="1301"/>
        <v>High_High_Low_Upgraded_Cumulative Energy Demand (CED) - MJ_Gravity Belt Thickener; wastewater treatment unit; at updated plant - US_Without Amendment_Aerated Static Pile</v>
      </c>
    </row>
    <row r="14571" spans="1:13" s="120" customFormat="1" x14ac:dyDescent="0.25">
      <c r="A14571" s="119"/>
      <c r="B14571" s="138" t="str">
        <f t="shared" si="1303"/>
        <v>Aerated Static Pile</v>
      </c>
      <c r="C14571" s="138" t="str">
        <f t="shared" si="1304"/>
        <v>Without Amendment</v>
      </c>
      <c r="D14571" s="138" t="str">
        <f t="shared" si="1302"/>
        <v>High_Low</v>
      </c>
      <c r="E14571" s="138" t="str">
        <f t="shared" si="1305"/>
        <v>High</v>
      </c>
      <c r="F14571" s="138" t="str">
        <f t="shared" si="1306"/>
        <v>Upgraded</v>
      </c>
      <c r="G14571" s="153"/>
      <c r="H14571" s="210">
        <v>2.7400000000000001E-2</v>
      </c>
      <c r="I14571" s="160" t="s">
        <v>128</v>
      </c>
      <c r="J14571" s="160">
        <v>0.25606000000000001</v>
      </c>
      <c r="K14571" s="160" t="s">
        <v>15</v>
      </c>
      <c r="L14571" s="154" t="str">
        <f>IF(OpenLCAbasic!K14571="CTUh", "Fill in Manually",IF(OR(K14571="Unit", K14571=""), "", INDEX(LookUps!$E$5:$E$12, MATCH(OpenLCAbasic!K14571,LookUps!$D$5:$D$12,0))))</f>
        <v>Cumulative Energy Demand (CED) - MJ</v>
      </c>
      <c r="M14571" s="154" t="str">
        <f t="shared" si="1301"/>
        <v>High_High_Low_Upgraded_Cumulative Energy Demand (CED) - MJ_Wastewater collection; operation and infrastructure; m3 wastewater_Without Amendment_Aerated Static Pile</v>
      </c>
    </row>
    <row r="14572" spans="1:13" s="120" customFormat="1" x14ac:dyDescent="0.25">
      <c r="A14572" s="119"/>
      <c r="B14572" s="138" t="str">
        <f t="shared" si="1303"/>
        <v>Aerated Static Pile</v>
      </c>
      <c r="C14572" s="138" t="str">
        <f t="shared" si="1304"/>
        <v>Without Amendment</v>
      </c>
      <c r="D14572" s="138" t="str">
        <f t="shared" si="1302"/>
        <v>High_Low</v>
      </c>
      <c r="E14572" s="138" t="str">
        <f t="shared" si="1305"/>
        <v>High</v>
      </c>
      <c r="F14572" s="138" t="str">
        <f t="shared" si="1306"/>
        <v>Upgraded</v>
      </c>
      <c r="G14572" s="153"/>
      <c r="H14572" s="210">
        <v>1.5599999999999999E-2</v>
      </c>
      <c r="I14572" s="160" t="s">
        <v>148</v>
      </c>
      <c r="J14572" s="160">
        <v>0.14599000000000001</v>
      </c>
      <c r="K14572" s="160" t="s">
        <v>15</v>
      </c>
      <c r="L14572" s="154" t="str">
        <f>IF(OpenLCAbasic!K14572="CTUh", "Fill in Manually",IF(OR(K14572="Unit", K14572=""), "", INDEX(LookUps!$E$5:$E$12, MATCH(OpenLCAbasic!K14572,LookUps!$D$5:$D$12,0))))</f>
        <v>Cumulative Energy Demand (CED) - MJ</v>
      </c>
      <c r="M14572" s="154" t="str">
        <f t="shared" si="1301"/>
        <v>High_High_Low_Upgraded_Cumulative Energy Demand (CED) - MJ_Control Building; at upgraded wastewater treatment plant - US_Without Amendment_Aerated Static Pile</v>
      </c>
    </row>
    <row r="14573" spans="1:13" s="120" customFormat="1" x14ac:dyDescent="0.25">
      <c r="A14573" s="119"/>
      <c r="B14573" s="138" t="str">
        <f t="shared" si="1303"/>
        <v>Aerated Static Pile</v>
      </c>
      <c r="C14573" s="138" t="str">
        <f t="shared" si="1304"/>
        <v>Without Amendment</v>
      </c>
      <c r="D14573" s="138" t="str">
        <f t="shared" si="1302"/>
        <v>High_Low</v>
      </c>
      <c r="E14573" s="138" t="str">
        <f t="shared" si="1305"/>
        <v>High</v>
      </c>
      <c r="F14573" s="138" t="str">
        <f t="shared" si="1306"/>
        <v>Upgraded</v>
      </c>
      <c r="G14573" s="153"/>
      <c r="H14573" s="210">
        <v>1.43E-2</v>
      </c>
      <c r="I14573" s="160" t="s">
        <v>48</v>
      </c>
      <c r="J14573" s="160">
        <v>0.13321</v>
      </c>
      <c r="K14573" s="160" t="s">
        <v>15</v>
      </c>
      <c r="L14573" s="154" t="str">
        <f>IF(OpenLCAbasic!K14573="CTUh", "Fill in Manually",IF(OR(K14573="Unit", K14573=""), "", INDEX(LookUps!$E$5:$E$12, MATCH(OpenLCAbasic!K14573,LookUps!$D$5:$D$12,0))))</f>
        <v>Cumulative Energy Demand (CED) - MJ</v>
      </c>
      <c r="M14573" s="154" t="str">
        <f t="shared" si="1301"/>
        <v>High_High_Low_Upgraded_Cumulative Energy Demand (CED) - MJ_Effluent release; wastewater treatment unit; at surface water; m3 wastewater - US_Without Amendment_Aerated Static Pile</v>
      </c>
    </row>
    <row r="14574" spans="1:13" s="120" customFormat="1" x14ac:dyDescent="0.25">
      <c r="A14574" s="119"/>
      <c r="B14574" s="138" t="str">
        <f t="shared" si="1303"/>
        <v>Aerated Static Pile</v>
      </c>
      <c r="C14574" s="138" t="str">
        <f t="shared" si="1304"/>
        <v>Without Amendment</v>
      </c>
      <c r="D14574" s="138" t="str">
        <f t="shared" si="1302"/>
        <v>High_Low</v>
      </c>
      <c r="E14574" s="138" t="str">
        <f t="shared" si="1305"/>
        <v>High</v>
      </c>
      <c r="F14574" s="138" t="str">
        <f t="shared" si="1306"/>
        <v>Upgraded</v>
      </c>
      <c r="G14574" s="153"/>
      <c r="H14574" s="210">
        <v>1.14E-2</v>
      </c>
      <c r="I14574" s="160" t="s">
        <v>59</v>
      </c>
      <c r="J14574" s="160">
        <v>0.10638</v>
      </c>
      <c r="K14574" s="160" t="s">
        <v>15</v>
      </c>
      <c r="L14574" s="154" t="str">
        <f>IF(OpenLCAbasic!K14574="CTUh", "Fill in Manually",IF(OR(K14574="Unit", K14574=""), "", INDEX(LookUps!$E$5:$E$12, MATCH(OpenLCAbasic!K14574,LookUps!$D$5:$D$12,0))))</f>
        <v>Cumulative Energy Demand (CED) - MJ</v>
      </c>
      <c r="M14574" s="154" t="str">
        <f t="shared" si="1301"/>
        <v>High_High_Low_Upgraded_Cumulative Energy Demand (CED) - MJ_Blend Tank; wastewater treatment unit; at updated plant - US_Without Amendment_Aerated Static Pile</v>
      </c>
    </row>
    <row r="14575" spans="1:13" s="120" customFormat="1" x14ac:dyDescent="0.25">
      <c r="A14575" s="119"/>
      <c r="B14575" s="138" t="str">
        <f t="shared" si="1303"/>
        <v>Aerated Static Pile</v>
      </c>
      <c r="C14575" s="138" t="str">
        <f t="shared" si="1304"/>
        <v>Without Amendment</v>
      </c>
      <c r="D14575" s="138" t="str">
        <f t="shared" si="1302"/>
        <v>High_Low</v>
      </c>
      <c r="E14575" s="138" t="str">
        <f t="shared" si="1305"/>
        <v>High</v>
      </c>
      <c r="F14575" s="138" t="str">
        <f t="shared" si="1306"/>
        <v>Upgraded</v>
      </c>
      <c r="G14575" s="153"/>
      <c r="H14575" s="210">
        <v>5.4000000000000003E-3</v>
      </c>
      <c r="I14575" s="160" t="s">
        <v>168</v>
      </c>
      <c r="J14575" s="160">
        <v>5.0930000000000003E-2</v>
      </c>
      <c r="K14575" s="160" t="s">
        <v>15</v>
      </c>
      <c r="L14575" s="154" t="str">
        <f>IF(OpenLCAbasic!K14575="CTUh", "Fill in Manually",IF(OR(K14575="Unit", K14575=""), "", INDEX(LookUps!$E$5:$E$12, MATCH(OpenLCAbasic!K14575,LookUps!$D$5:$D$12,0))))</f>
        <v>Cumulative Energy Demand (CED) - MJ</v>
      </c>
      <c r="M14575" s="154" t="str">
        <f t="shared" si="1301"/>
        <v>High_High_Low_Upgraded_Cumulative Energy Demand (CED) - MJ_ClearCove SCP; wastewater treatment unit; at updated plant - US_Without Amendment_Aerated Static Pile</v>
      </c>
    </row>
    <row r="14576" spans="1:13" s="120" customFormat="1" x14ac:dyDescent="0.25">
      <c r="A14576" s="119"/>
      <c r="B14576" s="138" t="str">
        <f t="shared" si="1303"/>
        <v>Aerated Static Pile</v>
      </c>
      <c r="C14576" s="138" t="str">
        <f t="shared" si="1304"/>
        <v>Without Amendment</v>
      </c>
      <c r="D14576" s="138" t="str">
        <f t="shared" si="1302"/>
        <v>High_Low</v>
      </c>
      <c r="E14576" s="138" t="str">
        <f t="shared" si="1305"/>
        <v>High</v>
      </c>
      <c r="F14576" s="138" t="str">
        <f t="shared" si="1306"/>
        <v>Upgraded</v>
      </c>
      <c r="G14576" s="153"/>
      <c r="H14576" s="210">
        <v>-6.1400000000000003E-2</v>
      </c>
      <c r="I14576" s="160" t="s">
        <v>62</v>
      </c>
      <c r="J14576" s="160">
        <v>-0.57367999999999997</v>
      </c>
      <c r="K14576" s="160" t="s">
        <v>15</v>
      </c>
      <c r="L14576" s="154" t="str">
        <f>IF(OpenLCAbasic!K14576="CTUh", "Fill in Manually",IF(OR(K14576="Unit", K14576=""), "", INDEX(LookUps!$E$5:$E$12, MATCH(OpenLCAbasic!K14576,LookUps!$D$5:$D$12,0))))</f>
        <v>Cumulative Energy Demand (CED) - MJ</v>
      </c>
      <c r="M14576" s="154" t="str">
        <f t="shared" si="1301"/>
        <v>High_High_Low_Upgraded_Cumulative Energy Demand (CED) - MJ_Land application of compost; wastewater treatment unit; at updated plant - US_Without Amendment_Aerated Static Pile</v>
      </c>
    </row>
    <row r="14577" spans="1:13" s="120" customFormat="1" x14ac:dyDescent="0.25">
      <c r="A14577" s="119"/>
      <c r="B14577" s="138" t="str">
        <f t="shared" si="1303"/>
        <v>Aerated Static Pile</v>
      </c>
      <c r="C14577" s="138" t="str">
        <f t="shared" si="1304"/>
        <v>Without Amendment</v>
      </c>
      <c r="D14577" s="138" t="str">
        <f t="shared" si="1302"/>
        <v>High_Low</v>
      </c>
      <c r="E14577" s="138" t="str">
        <f t="shared" si="1305"/>
        <v>High</v>
      </c>
      <c r="F14577" s="138" t="str">
        <f t="shared" si="1306"/>
        <v>Upgraded</v>
      </c>
      <c r="G14577" s="153"/>
      <c r="H14577" s="210">
        <v>-0.51329999999999998</v>
      </c>
      <c r="I14577" s="160" t="s">
        <v>149</v>
      </c>
      <c r="J14577" s="160">
        <v>-4.7974600000000001</v>
      </c>
      <c r="K14577" s="160" t="s">
        <v>15</v>
      </c>
      <c r="L14577" s="154" t="str">
        <f>IF(OpenLCAbasic!K14577="CTUh", "Fill in Manually",IF(OR(K14577="Unit", K14577=""), "", INDEX(LookUps!$E$5:$E$12, MATCH(OpenLCAbasic!K14577,LookUps!$D$5:$D$12,0))))</f>
        <v>Cumulative Energy Demand (CED) - MJ</v>
      </c>
      <c r="M14577" s="154" t="str">
        <f t="shared" si="1301"/>
        <v>High_High_Low_Upgraded_Cumulative Energy Demand (CED) - MJ_Anaerobic Digestion; wastewater treatment unit; at updated plant - US_Without Amendment_Aerated Static Pile</v>
      </c>
    </row>
    <row r="14578" spans="1:13" s="120" customFormat="1" x14ac:dyDescent="0.25">
      <c r="A14578" s="119"/>
      <c r="B14578" s="138" t="str">
        <f t="shared" si="1303"/>
        <v/>
      </c>
      <c r="C14578" s="138" t="str">
        <f t="shared" si="1304"/>
        <v/>
      </c>
      <c r="D14578" s="138" t="str">
        <f t="shared" si="1302"/>
        <v/>
      </c>
      <c r="E14578" s="138" t="str">
        <f t="shared" si="1305"/>
        <v/>
      </c>
      <c r="F14578" s="138" t="str">
        <f t="shared" si="1306"/>
        <v/>
      </c>
      <c r="G14578" s="153" t="s">
        <v>51</v>
      </c>
      <c r="H14578" s="160"/>
      <c r="I14578" s="160" t="s">
        <v>47</v>
      </c>
      <c r="J14578" s="160" t="s">
        <v>52</v>
      </c>
      <c r="K14578" s="160" t="s">
        <v>27</v>
      </c>
      <c r="L14578" s="154" t="str">
        <f>IF(OpenLCAbasic!K14578="CTUh", "Fill in Manually",IF(OR(K14578="Unit", K14578=""), "", INDEX(LookUps!$E$5:$E$12, MATCH(OpenLCAbasic!K14578,LookUps!$D$5:$D$12,0))))</f>
        <v/>
      </c>
      <c r="M14578" s="154" t="str">
        <f t="shared" si="1301"/>
        <v>____Process__</v>
      </c>
    </row>
    <row r="14579" spans="1:13" s="120" customFormat="1" x14ac:dyDescent="0.25">
      <c r="A14579" s="119"/>
      <c r="B14579" s="138" t="str">
        <f t="shared" si="1303"/>
        <v>Aerated Static Pile</v>
      </c>
      <c r="C14579" s="138" t="str">
        <f t="shared" si="1304"/>
        <v>Without Amendment</v>
      </c>
      <c r="D14579" s="138" t="str">
        <f t="shared" si="1302"/>
        <v>High_Low</v>
      </c>
      <c r="E14579" s="138" t="str">
        <f t="shared" si="1305"/>
        <v>High</v>
      </c>
      <c r="F14579" s="138" t="str">
        <f t="shared" si="1306"/>
        <v>Upgraded</v>
      </c>
      <c r="G14579" s="153"/>
      <c r="H14579" s="210">
        <v>0.73550000000000004</v>
      </c>
      <c r="I14579" s="160" t="s">
        <v>48</v>
      </c>
      <c r="J14579" s="160">
        <v>1.1610000000000001E-2</v>
      </c>
      <c r="K14579" s="160" t="s">
        <v>13</v>
      </c>
      <c r="L14579" s="154" t="str">
        <f>IF(OpenLCAbasic!K14579="CTUh", "Fill in Manually",IF(OR(K14579="Unit", K14579=""), "", INDEX(LookUps!$E$5:$E$12, MATCH(OpenLCAbasic!K14579,LookUps!$D$5:$D$12,0))))</f>
        <v>Eutrophication Potential (EP) - kg N eq</v>
      </c>
      <c r="M14579" s="154" t="str">
        <f t="shared" si="1301"/>
        <v>High_High_Low_Upgraded_Eutrophication Potential (EP) - kg N eq_Effluent release; wastewater treatment unit; at surface water; m3 wastewater - US_Without Amendment_Aerated Static Pile</v>
      </c>
    </row>
    <row r="14580" spans="1:13" s="120" customFormat="1" x14ac:dyDescent="0.25">
      <c r="A14580" s="119"/>
      <c r="B14580" s="138" t="str">
        <f t="shared" si="1303"/>
        <v>Aerated Static Pile</v>
      </c>
      <c r="C14580" s="138" t="str">
        <f t="shared" si="1304"/>
        <v>Without Amendment</v>
      </c>
      <c r="D14580" s="138" t="str">
        <f t="shared" si="1302"/>
        <v>High_Low</v>
      </c>
      <c r="E14580" s="138" t="str">
        <f t="shared" si="1305"/>
        <v>High</v>
      </c>
      <c r="F14580" s="138" t="str">
        <f t="shared" si="1306"/>
        <v>Upgraded</v>
      </c>
      <c r="G14580" s="153"/>
      <c r="H14580" s="210">
        <v>0.17100000000000001</v>
      </c>
      <c r="I14580" s="160" t="s">
        <v>62</v>
      </c>
      <c r="J14580" s="160">
        <v>2.7000000000000001E-3</v>
      </c>
      <c r="K14580" s="160" t="s">
        <v>13</v>
      </c>
      <c r="L14580" s="154" t="str">
        <f>IF(OpenLCAbasic!K14580="CTUh", "Fill in Manually",IF(OR(K14580="Unit", K14580=""), "", INDEX(LookUps!$E$5:$E$12, MATCH(OpenLCAbasic!K14580,LookUps!$D$5:$D$12,0))))</f>
        <v>Eutrophication Potential (EP) - kg N eq</v>
      </c>
      <c r="M14580" s="154" t="str">
        <f t="shared" si="1301"/>
        <v>High_High_Low_Upgraded_Eutrophication Potential (EP) - kg N eq_Land application of compost; wastewater treatment unit; at updated plant - US_Without Amendment_Aerated Static Pile</v>
      </c>
    </row>
    <row r="14581" spans="1:13" s="120" customFormat="1" x14ac:dyDescent="0.25">
      <c r="A14581" s="119"/>
      <c r="B14581" s="138" t="str">
        <f t="shared" si="1303"/>
        <v>Aerated Static Pile</v>
      </c>
      <c r="C14581" s="138" t="str">
        <f t="shared" si="1304"/>
        <v>Without Amendment</v>
      </c>
      <c r="D14581" s="138" t="str">
        <f t="shared" si="1302"/>
        <v>High_Low</v>
      </c>
      <c r="E14581" s="138" t="str">
        <f t="shared" si="1305"/>
        <v>High</v>
      </c>
      <c r="F14581" s="138" t="str">
        <f t="shared" si="1306"/>
        <v>Upgraded</v>
      </c>
      <c r="G14581" s="153"/>
      <c r="H14581" s="210">
        <v>3.4599999999999999E-2</v>
      </c>
      <c r="I14581" s="160" t="s">
        <v>55</v>
      </c>
      <c r="J14581" s="160">
        <v>5.5000000000000003E-4</v>
      </c>
      <c r="K14581" s="160" t="s">
        <v>13</v>
      </c>
      <c r="L14581" s="154" t="str">
        <f>IF(OpenLCAbasic!K14581="CTUh", "Fill in Manually",IF(OR(K14581="Unit", K14581=""), "", INDEX(LookUps!$E$5:$E$12, MATCH(OpenLCAbasic!K14581,LookUps!$D$5:$D$12,0))))</f>
        <v>Eutrophication Potential (EP) - kg N eq</v>
      </c>
      <c r="M14581" s="154" t="str">
        <f t="shared" si="1301"/>
        <v>High_High_Low_Upgraded_Eutrophication Potential (EP) - kg N eq_Aeration Tanks; wastewater treatment unit; at updated plant - US_Without Amendment_Aerated Static Pile</v>
      </c>
    </row>
    <row r="14582" spans="1:13" s="120" customFormat="1" x14ac:dyDescent="0.25">
      <c r="A14582" s="119"/>
      <c r="B14582" s="138" t="str">
        <f t="shared" si="1303"/>
        <v>Aerated Static Pile</v>
      </c>
      <c r="C14582" s="138" t="str">
        <f t="shared" si="1304"/>
        <v>Without Amendment</v>
      </c>
      <c r="D14582" s="138" t="str">
        <f t="shared" si="1302"/>
        <v>High_Low</v>
      </c>
      <c r="E14582" s="138" t="str">
        <f t="shared" si="1305"/>
        <v>High</v>
      </c>
      <c r="F14582" s="138" t="str">
        <f t="shared" si="1306"/>
        <v>Upgraded</v>
      </c>
      <c r="G14582" s="153"/>
      <c r="H14582" s="210">
        <v>1.5800000000000002E-2</v>
      </c>
      <c r="I14582" s="160" t="s">
        <v>147</v>
      </c>
      <c r="J14582" s="160">
        <v>2.5000000000000001E-4</v>
      </c>
      <c r="K14582" s="160" t="s">
        <v>13</v>
      </c>
      <c r="L14582" s="154" t="str">
        <f>IF(OpenLCAbasic!K14582="CTUh", "Fill in Manually",IF(OR(K14582="Unit", K14582=""), "", INDEX(LookUps!$E$5:$E$12, MATCH(OpenLCAbasic!K14582,LookUps!$D$5:$D$12,0))))</f>
        <v>Eutrophication Potential (EP) - kg N eq</v>
      </c>
      <c r="M14582" s="154" t="str">
        <f t="shared" si="1301"/>
        <v>High_High_Low_Upgraded_Eutrophication Potential (EP) - kg N eq_Influent Pump Station; wastewater treatment unit; at updated plant - US_Without Amendment_Aerated Static Pile</v>
      </c>
    </row>
    <row r="14583" spans="1:13" s="120" customFormat="1" x14ac:dyDescent="0.25">
      <c r="A14583" s="119"/>
      <c r="B14583" s="138" t="str">
        <f t="shared" si="1303"/>
        <v>Aerated Static Pile</v>
      </c>
      <c r="C14583" s="138" t="str">
        <f t="shared" si="1304"/>
        <v>Without Amendment</v>
      </c>
      <c r="D14583" s="138" t="str">
        <f t="shared" si="1302"/>
        <v>High_Low</v>
      </c>
      <c r="E14583" s="138" t="str">
        <f t="shared" si="1305"/>
        <v>High</v>
      </c>
      <c r="F14583" s="138" t="str">
        <f t="shared" si="1306"/>
        <v>Upgraded</v>
      </c>
      <c r="G14583" s="153"/>
      <c r="H14583" s="210">
        <v>1.4E-2</v>
      </c>
      <c r="I14583" s="160" t="s">
        <v>167</v>
      </c>
      <c r="J14583" s="160">
        <v>2.2000000000000001E-4</v>
      </c>
      <c r="K14583" s="160" t="s">
        <v>13</v>
      </c>
      <c r="L14583" s="154" t="str">
        <f>IF(OpenLCAbasic!K14583="CTUh", "Fill in Manually",IF(OR(K14583="Unit", K14583=""), "", INDEX(LookUps!$E$5:$E$12, MATCH(OpenLCAbasic!K14583,LookUps!$D$5:$D$12,0))))</f>
        <v>Eutrophication Potential (EP) - kg N eq</v>
      </c>
      <c r="M14583" s="154" t="str">
        <f t="shared" si="1301"/>
        <v>High_High_Low_Upgraded_Eutrophication Potential (EP) - kg N eq_Waste Receiving and Holding; wastewater treatment unit; at updated plant - US_Without Amendment_Aerated Static Pile</v>
      </c>
    </row>
    <row r="14584" spans="1:13" s="120" customFormat="1" x14ac:dyDescent="0.25">
      <c r="A14584" s="119"/>
      <c r="B14584" s="138" t="str">
        <f t="shared" si="1303"/>
        <v>Aerated Static Pile</v>
      </c>
      <c r="C14584" s="138" t="str">
        <f t="shared" si="1304"/>
        <v>Without Amendment</v>
      </c>
      <c r="D14584" s="138" t="str">
        <f t="shared" si="1302"/>
        <v>High_Low</v>
      </c>
      <c r="E14584" s="138" t="str">
        <f t="shared" si="1305"/>
        <v>High</v>
      </c>
      <c r="F14584" s="138" t="str">
        <f t="shared" si="1306"/>
        <v>Upgraded</v>
      </c>
      <c r="G14584" s="153"/>
      <c r="H14584" s="210">
        <v>1.26E-2</v>
      </c>
      <c r="I14584" s="160" t="s">
        <v>54</v>
      </c>
      <c r="J14584" s="160">
        <v>2.0000000000000001E-4</v>
      </c>
      <c r="K14584" s="160" t="s">
        <v>13</v>
      </c>
      <c r="L14584" s="154" t="str">
        <f>IF(OpenLCAbasic!K14584="CTUh", "Fill in Manually",IF(OR(K14584="Unit", K14584=""), "", INDEX(LookUps!$E$5:$E$12, MATCH(OpenLCAbasic!K14584,LookUps!$D$5:$D$12,0))))</f>
        <v>Eutrophication Potential (EP) - kg N eq</v>
      </c>
      <c r="M14584" s="154" t="str">
        <f t="shared" si="1301"/>
        <v>High_High_Low_Upgraded_Eutrophication Potential (EP) - kg N eq_Clear Cove Primary Clarification; wastewater treatment unit; at updated plant - US_Without Amendment_Aerated Static Pile</v>
      </c>
    </row>
    <row r="14585" spans="1:13" s="120" customFormat="1" x14ac:dyDescent="0.25">
      <c r="A14585" s="119"/>
      <c r="B14585" s="138" t="str">
        <f t="shared" si="1303"/>
        <v>Aerated Static Pile</v>
      </c>
      <c r="C14585" s="138" t="str">
        <f t="shared" si="1304"/>
        <v>Without Amendment</v>
      </c>
      <c r="D14585" s="138" t="str">
        <f t="shared" si="1302"/>
        <v>High_Low</v>
      </c>
      <c r="E14585" s="138" t="str">
        <f t="shared" si="1305"/>
        <v>High</v>
      </c>
      <c r="F14585" s="138" t="str">
        <f t="shared" si="1306"/>
        <v>Upgraded</v>
      </c>
      <c r="G14585" s="153"/>
      <c r="H14585" s="210">
        <v>0.01</v>
      </c>
      <c r="I14585" s="160" t="s">
        <v>435</v>
      </c>
      <c r="J14585" s="160">
        <v>1.6000000000000001E-4</v>
      </c>
      <c r="K14585" s="160" t="s">
        <v>13</v>
      </c>
      <c r="L14585" s="154" t="str">
        <f>IF(OpenLCAbasic!K14585="CTUh", "Fill in Manually",IF(OR(K14585="Unit", K14585=""), "", INDEX(LookUps!$E$5:$E$12, MATCH(OpenLCAbasic!K14585,LookUps!$D$5:$D$12,0))))</f>
        <v>Eutrophication Potential (EP) - kg N eq</v>
      </c>
      <c r="M14585" s="154" t="str">
        <f t="shared" si="1301"/>
        <v>High_High_Low_Upgraded_Eutrophication Potential (EP) - kg N eq_Biosolids composting; aerated static pile; wastewater treatment unit; at updated plant - US_Without Amendment_Aerated Static Pile</v>
      </c>
    </row>
    <row r="14586" spans="1:13" s="120" customFormat="1" x14ac:dyDescent="0.25">
      <c r="A14586" s="119"/>
      <c r="B14586" s="138" t="str">
        <f t="shared" si="1303"/>
        <v>Aerated Static Pile</v>
      </c>
      <c r="C14586" s="138" t="str">
        <f t="shared" si="1304"/>
        <v>Without Amendment</v>
      </c>
      <c r="D14586" s="138" t="str">
        <f t="shared" si="1302"/>
        <v>High_Low</v>
      </c>
      <c r="E14586" s="138" t="str">
        <f t="shared" si="1305"/>
        <v>High</v>
      </c>
      <c r="F14586" s="138" t="str">
        <f t="shared" si="1306"/>
        <v>Upgraded</v>
      </c>
      <c r="G14586" s="153"/>
      <c r="H14586" s="210">
        <v>8.6E-3</v>
      </c>
      <c r="I14586" s="160" t="s">
        <v>58</v>
      </c>
      <c r="J14586" s="160">
        <v>1.3999999999999999E-4</v>
      </c>
      <c r="K14586" s="160" t="s">
        <v>13</v>
      </c>
      <c r="L14586" s="154" t="str">
        <f>IF(OpenLCAbasic!K14586="CTUh", "Fill in Manually",IF(OR(K14586="Unit", K14586=""), "", INDEX(LookUps!$E$5:$E$12, MATCH(OpenLCAbasic!K14586,LookUps!$D$5:$D$12,0))))</f>
        <v>Eutrophication Potential (EP) - kg N eq</v>
      </c>
      <c r="M14586" s="154" t="str">
        <f t="shared" si="1301"/>
        <v>High_High_Low_Upgraded_Eutrophication Potential (EP) - kg N eq_Pre-Anoxic &amp; Swing tank; wastewater treatment unit; at updated plant - US_Without Amendment_Aerated Static Pile</v>
      </c>
    </row>
    <row r="14587" spans="1:13" s="120" customFormat="1" x14ac:dyDescent="0.25">
      <c r="A14587" s="119"/>
      <c r="B14587" s="138" t="str">
        <f t="shared" si="1303"/>
        <v>Aerated Static Pile</v>
      </c>
      <c r="C14587" s="138" t="str">
        <f t="shared" si="1304"/>
        <v>Without Amendment</v>
      </c>
      <c r="D14587" s="138" t="str">
        <f t="shared" si="1302"/>
        <v>High_Low</v>
      </c>
      <c r="E14587" s="138" t="str">
        <f t="shared" si="1305"/>
        <v>High</v>
      </c>
      <c r="F14587" s="138" t="str">
        <f t="shared" si="1306"/>
        <v>Upgraded</v>
      </c>
      <c r="G14587" s="153"/>
      <c r="H14587" s="210">
        <v>7.0000000000000001E-3</v>
      </c>
      <c r="I14587" s="160" t="s">
        <v>60</v>
      </c>
      <c r="J14587" s="160">
        <v>1.1E-4</v>
      </c>
      <c r="K14587" s="160" t="s">
        <v>13</v>
      </c>
      <c r="L14587" s="154" t="str">
        <f>IF(OpenLCAbasic!K14587="CTUh", "Fill in Manually",IF(OR(K14587="Unit", K14587=""), "", INDEX(LookUps!$E$5:$E$12, MATCH(OpenLCAbasic!K14587,LookUps!$D$5:$D$12,0))))</f>
        <v>Eutrophication Potential (EP) - kg N eq</v>
      </c>
      <c r="M14587" s="154" t="str">
        <f t="shared" si="1301"/>
        <v>High_High_Low_Upgraded_Eutrophication Potential (EP) - kg N eq_Belt filter press; wastewater treatment unit; at updated plant - US_Without Amendment_Aerated Static Pile</v>
      </c>
    </row>
    <row r="14588" spans="1:13" s="120" customFormat="1" x14ac:dyDescent="0.25">
      <c r="A14588" s="119"/>
      <c r="B14588" s="138" t="str">
        <f t="shared" si="1303"/>
        <v>Aerated Static Pile</v>
      </c>
      <c r="C14588" s="138" t="str">
        <f t="shared" si="1304"/>
        <v>Without Amendment</v>
      </c>
      <c r="D14588" s="138" t="str">
        <f t="shared" si="1302"/>
        <v>High_Low</v>
      </c>
      <c r="E14588" s="138" t="str">
        <f t="shared" si="1305"/>
        <v>High</v>
      </c>
      <c r="F14588" s="138" t="str">
        <f t="shared" si="1306"/>
        <v>Upgraded</v>
      </c>
      <c r="G14588" s="153"/>
      <c r="H14588" s="210">
        <v>6.7999999999999996E-3</v>
      </c>
      <c r="I14588" s="160" t="s">
        <v>53</v>
      </c>
      <c r="J14588" s="211">
        <v>1.1E-4</v>
      </c>
      <c r="K14588" s="160" t="s">
        <v>13</v>
      </c>
      <c r="L14588" s="154" t="str">
        <f>IF(OpenLCAbasic!K14588="CTUh", "Fill in Manually",IF(OR(K14588="Unit", K14588=""), "", INDEX(LookUps!$E$5:$E$12, MATCH(OpenLCAbasic!K14588,LookUps!$D$5:$D$12,0))))</f>
        <v>Eutrophication Potential (EP) - kg N eq</v>
      </c>
      <c r="M14588" s="154" t="str">
        <f t="shared" si="1301"/>
        <v>High_High_Low_Upgraded_Eutrophication Potential (EP) - kg N eq_Wet Well and Sump Station; wastewater treatment unit; at updated plant - US_Without Amendment_Aerated Static Pile</v>
      </c>
    </row>
    <row r="14589" spans="1:13" s="120" customFormat="1" x14ac:dyDescent="0.25">
      <c r="A14589" s="119"/>
      <c r="B14589" s="138" t="str">
        <f t="shared" si="1303"/>
        <v>Aerated Static Pile</v>
      </c>
      <c r="C14589" s="138" t="str">
        <f t="shared" si="1304"/>
        <v>Without Amendment</v>
      </c>
      <c r="D14589" s="138" t="str">
        <f t="shared" si="1302"/>
        <v>High_Low</v>
      </c>
      <c r="E14589" s="138" t="str">
        <f t="shared" si="1305"/>
        <v>High</v>
      </c>
      <c r="F14589" s="138" t="str">
        <f t="shared" si="1306"/>
        <v>Upgraded</v>
      </c>
      <c r="G14589" s="153"/>
      <c r="H14589" s="210">
        <v>3.8E-3</v>
      </c>
      <c r="I14589" s="160" t="s">
        <v>57</v>
      </c>
      <c r="J14589" s="211">
        <v>6.0590300000000002E-5</v>
      </c>
      <c r="K14589" s="160" t="s">
        <v>13</v>
      </c>
      <c r="L14589" s="154" t="str">
        <f>IF(OpenLCAbasic!K14589="CTUh", "Fill in Manually",IF(OR(K14589="Unit", K14589=""), "", INDEX(LookUps!$E$5:$E$12, MATCH(OpenLCAbasic!K14589,LookUps!$D$5:$D$12,0))))</f>
        <v>Eutrophication Potential (EP) - kg N eq</v>
      </c>
      <c r="M14589" s="154" t="str">
        <f t="shared" si="1301"/>
        <v>High_High_Low_Upgraded_Eutrophication Potential (EP) - kg N eq_Gravity Belt Thickener; wastewater treatment unit; at updated plant - US_Without Amendment_Aerated Static Pile</v>
      </c>
    </row>
    <row r="14590" spans="1:13" s="120" customFormat="1" x14ac:dyDescent="0.25">
      <c r="A14590" s="119"/>
      <c r="B14590" s="138" t="str">
        <f t="shared" si="1303"/>
        <v>Aerated Static Pile</v>
      </c>
      <c r="C14590" s="138" t="str">
        <f t="shared" si="1304"/>
        <v>Without Amendment</v>
      </c>
      <c r="D14590" s="138" t="str">
        <f t="shared" si="1302"/>
        <v>High_Low</v>
      </c>
      <c r="E14590" s="138" t="str">
        <f t="shared" si="1305"/>
        <v>High</v>
      </c>
      <c r="F14590" s="138" t="str">
        <f t="shared" si="1306"/>
        <v>Upgraded</v>
      </c>
      <c r="G14590" s="153"/>
      <c r="H14590" s="210">
        <v>2.3999999999999998E-3</v>
      </c>
      <c r="I14590" s="160" t="s">
        <v>128</v>
      </c>
      <c r="J14590" s="211">
        <v>3.7559799999999999E-5</v>
      </c>
      <c r="K14590" s="160" t="s">
        <v>13</v>
      </c>
      <c r="L14590" s="154" t="str">
        <f>IF(OpenLCAbasic!K14590="CTUh", "Fill in Manually",IF(OR(K14590="Unit", K14590=""), "", INDEX(LookUps!$E$5:$E$12, MATCH(OpenLCAbasic!K14590,LookUps!$D$5:$D$12,0))))</f>
        <v>Eutrophication Potential (EP) - kg N eq</v>
      </c>
      <c r="M14590" s="154" t="str">
        <f t="shared" si="1301"/>
        <v>High_High_Low_Upgraded_Eutrophication Potential (EP) - kg N eq_Wastewater collection; operation and infrastructure; m3 wastewater_Without Amendment_Aerated Static Pile</v>
      </c>
    </row>
    <row r="14591" spans="1:13" s="120" customFormat="1" x14ac:dyDescent="0.25">
      <c r="A14591" s="119"/>
      <c r="B14591" s="138" t="str">
        <f t="shared" si="1303"/>
        <v>Aerated Static Pile</v>
      </c>
      <c r="C14591" s="138" t="str">
        <f t="shared" si="1304"/>
        <v>Without Amendment</v>
      </c>
      <c r="D14591" s="138" t="str">
        <f t="shared" si="1302"/>
        <v>High_Low</v>
      </c>
      <c r="E14591" s="138" t="str">
        <f t="shared" si="1305"/>
        <v>High</v>
      </c>
      <c r="F14591" s="138" t="str">
        <f t="shared" si="1306"/>
        <v>Upgraded</v>
      </c>
      <c r="G14591" s="153"/>
      <c r="H14591" s="210">
        <v>2.3E-3</v>
      </c>
      <c r="I14591" s="160" t="s">
        <v>148</v>
      </c>
      <c r="J14591" s="211">
        <v>3.6874600000000001E-5</v>
      </c>
      <c r="K14591" s="160" t="s">
        <v>13</v>
      </c>
      <c r="L14591" s="154" t="str">
        <f>IF(OpenLCAbasic!K14591="CTUh", "Fill in Manually",IF(OR(K14591="Unit", K14591=""), "", INDEX(LookUps!$E$5:$E$12, MATCH(OpenLCAbasic!K14591,LookUps!$D$5:$D$12,0))))</f>
        <v>Eutrophication Potential (EP) - kg N eq</v>
      </c>
      <c r="M14591" s="154" t="str">
        <f t="shared" si="1301"/>
        <v>High_High_Low_Upgraded_Eutrophication Potential (EP) - kg N eq_Control Building; at upgraded wastewater treatment plant - US_Without Amendment_Aerated Static Pile</v>
      </c>
    </row>
    <row r="14592" spans="1:13" s="120" customFormat="1" x14ac:dyDescent="0.25">
      <c r="A14592" s="119"/>
      <c r="B14592" s="138" t="str">
        <f t="shared" si="1303"/>
        <v>Aerated Static Pile</v>
      </c>
      <c r="C14592" s="138" t="str">
        <f t="shared" si="1304"/>
        <v>Without Amendment</v>
      </c>
      <c r="D14592" s="138" t="str">
        <f t="shared" si="1302"/>
        <v>High_Low</v>
      </c>
      <c r="E14592" s="138" t="str">
        <f t="shared" si="1305"/>
        <v>High</v>
      </c>
      <c r="F14592" s="138" t="str">
        <f t="shared" si="1306"/>
        <v>Upgraded</v>
      </c>
      <c r="G14592" s="153"/>
      <c r="H14592" s="210">
        <v>1E-3</v>
      </c>
      <c r="I14592" s="160" t="s">
        <v>59</v>
      </c>
      <c r="J14592" s="211">
        <v>1.6215700000000001E-5</v>
      </c>
      <c r="K14592" s="160" t="s">
        <v>13</v>
      </c>
      <c r="L14592" s="154" t="str">
        <f>IF(OpenLCAbasic!K14592="CTUh", "Fill in Manually",IF(OR(K14592="Unit", K14592=""), "", INDEX(LookUps!$E$5:$E$12, MATCH(OpenLCAbasic!K14592,LookUps!$D$5:$D$12,0))))</f>
        <v>Eutrophication Potential (EP) - kg N eq</v>
      </c>
      <c r="M14592" s="154" t="str">
        <f t="shared" si="1301"/>
        <v>High_High_Low_Upgraded_Eutrophication Potential (EP) - kg N eq_Blend Tank; wastewater treatment unit; at updated plant - US_Without Amendment_Aerated Static Pile</v>
      </c>
    </row>
    <row r="14593" spans="1:13" s="120" customFormat="1" x14ac:dyDescent="0.25">
      <c r="A14593" s="119"/>
      <c r="B14593" s="138" t="str">
        <f t="shared" si="1303"/>
        <v>Aerated Static Pile</v>
      </c>
      <c r="C14593" s="138" t="str">
        <f t="shared" si="1304"/>
        <v>Without Amendment</v>
      </c>
      <c r="D14593" s="138" t="str">
        <f t="shared" si="1302"/>
        <v>High_Low</v>
      </c>
      <c r="E14593" s="138" t="str">
        <f t="shared" si="1305"/>
        <v>High</v>
      </c>
      <c r="F14593" s="138" t="str">
        <f t="shared" si="1306"/>
        <v>Upgraded</v>
      </c>
      <c r="G14593" s="153"/>
      <c r="H14593" s="210">
        <v>5.0000000000000001E-4</v>
      </c>
      <c r="I14593" s="160" t="s">
        <v>168</v>
      </c>
      <c r="J14593" s="211">
        <v>7.7567199999999995E-6</v>
      </c>
      <c r="K14593" s="160" t="s">
        <v>13</v>
      </c>
      <c r="L14593" s="154" t="str">
        <f>IF(OpenLCAbasic!K14593="CTUh", "Fill in Manually",IF(OR(K14593="Unit", K14593=""), "", INDEX(LookUps!$E$5:$E$12, MATCH(OpenLCAbasic!K14593,LookUps!$D$5:$D$12,0))))</f>
        <v>Eutrophication Potential (EP) - kg N eq</v>
      </c>
      <c r="M14593" s="154" t="str">
        <f t="shared" si="1301"/>
        <v>High_High_Low_Upgraded_Eutrophication Potential (EP) - kg N eq_ClearCove SCP; wastewater treatment unit; at updated plant - US_Without Amendment_Aerated Static Pile</v>
      </c>
    </row>
    <row r="14594" spans="1:13" s="120" customFormat="1" x14ac:dyDescent="0.25">
      <c r="A14594" s="119"/>
      <c r="B14594" s="138" t="str">
        <f t="shared" si="1303"/>
        <v>Aerated Static Pile</v>
      </c>
      <c r="C14594" s="138" t="str">
        <f t="shared" si="1304"/>
        <v>Without Amendment</v>
      </c>
      <c r="D14594" s="138" t="str">
        <f t="shared" si="1302"/>
        <v>High_Low</v>
      </c>
      <c r="E14594" s="138" t="str">
        <f t="shared" si="1305"/>
        <v>High</v>
      </c>
      <c r="F14594" s="138" t="str">
        <f t="shared" si="1306"/>
        <v>Upgraded</v>
      </c>
      <c r="G14594" s="153"/>
      <c r="H14594" s="210">
        <v>-2.5999999999999999E-2</v>
      </c>
      <c r="I14594" s="160" t="s">
        <v>149</v>
      </c>
      <c r="J14594" s="160">
        <v>-4.0999999999999999E-4</v>
      </c>
      <c r="K14594" s="160" t="s">
        <v>13</v>
      </c>
      <c r="L14594" s="154" t="str">
        <f>IF(OpenLCAbasic!K14594="CTUh", "Fill in Manually",IF(OR(K14594="Unit", K14594=""), "", INDEX(LookUps!$E$5:$E$12, MATCH(OpenLCAbasic!K14594,LookUps!$D$5:$D$12,0))))</f>
        <v>Eutrophication Potential (EP) - kg N eq</v>
      </c>
      <c r="M14594" s="154" t="str">
        <f t="shared" si="1301"/>
        <v>High_High_Low_Upgraded_Eutrophication Potential (EP) - kg N eq_Anaerobic Digestion; wastewater treatment unit; at updated plant - US_Without Amendment_Aerated Static Pile</v>
      </c>
    </row>
    <row r="14595" spans="1:13" s="120" customFormat="1" x14ac:dyDescent="0.25">
      <c r="A14595" s="119"/>
      <c r="B14595" s="138" t="str">
        <f t="shared" si="1303"/>
        <v/>
      </c>
      <c r="C14595" s="138" t="str">
        <f t="shared" si="1304"/>
        <v/>
      </c>
      <c r="D14595" s="138" t="str">
        <f t="shared" si="1302"/>
        <v/>
      </c>
      <c r="E14595" s="138" t="str">
        <f t="shared" si="1305"/>
        <v/>
      </c>
      <c r="F14595" s="138" t="str">
        <f t="shared" si="1306"/>
        <v/>
      </c>
      <c r="G14595" s="153" t="s">
        <v>51</v>
      </c>
      <c r="H14595" s="160"/>
      <c r="I14595" s="160" t="s">
        <v>47</v>
      </c>
      <c r="J14595" s="160" t="s">
        <v>52</v>
      </c>
      <c r="K14595" s="160" t="s">
        <v>27</v>
      </c>
      <c r="L14595" s="154" t="str">
        <f>IF(OpenLCAbasic!K14595="CTUh", "Fill in Manually",IF(OR(K14595="Unit", K14595=""), "", INDEX(LookUps!$E$5:$E$12, MATCH(OpenLCAbasic!K14595,LookUps!$D$5:$D$12,0))))</f>
        <v/>
      </c>
      <c r="M14595" s="154" t="str">
        <f t="shared" si="1301"/>
        <v>____Process__</v>
      </c>
    </row>
    <row r="14596" spans="1:13" s="120" customFormat="1" x14ac:dyDescent="0.25">
      <c r="A14596" s="119"/>
      <c r="B14596" s="138" t="str">
        <f t="shared" si="1303"/>
        <v>Aerated Static Pile</v>
      </c>
      <c r="C14596" s="138" t="str">
        <f t="shared" si="1304"/>
        <v>Without Amendment</v>
      </c>
      <c r="D14596" s="138" t="str">
        <f t="shared" si="1302"/>
        <v>High_Low</v>
      </c>
      <c r="E14596" s="138" t="str">
        <f t="shared" si="1305"/>
        <v>High</v>
      </c>
      <c r="F14596" s="138" t="str">
        <f t="shared" si="1306"/>
        <v>Upgraded</v>
      </c>
      <c r="G14596" s="153"/>
      <c r="H14596" s="210">
        <v>0.63429999999999997</v>
      </c>
      <c r="I14596" s="160" t="s">
        <v>167</v>
      </c>
      <c r="J14596" s="160">
        <v>0.11719</v>
      </c>
      <c r="K14596" s="160" t="s">
        <v>14</v>
      </c>
      <c r="L14596" s="154" t="str">
        <f>IF(OpenLCAbasic!K14596="CTUh", "Fill in Manually",IF(OR(K14596="Unit", K14596=""), "", INDEX(LookUps!$E$5:$E$12, MATCH(OpenLCAbasic!K14596,LookUps!$D$5:$D$12,0))))</f>
        <v>Fossil Depletion Potential (FDP) - kg oil eq</v>
      </c>
      <c r="M14596" s="154" t="str">
        <f t="shared" si="1301"/>
        <v>High_High_Low_Upgraded_Fossil Depletion Potential (FDP) - kg oil eq_Waste Receiving and Holding; wastewater treatment unit; at updated plant - US_Without Amendment_Aerated Static Pile</v>
      </c>
    </row>
    <row r="14597" spans="1:13" s="120" customFormat="1" x14ac:dyDescent="0.25">
      <c r="A14597" s="119"/>
      <c r="B14597" s="138" t="str">
        <f t="shared" si="1303"/>
        <v>Aerated Static Pile</v>
      </c>
      <c r="C14597" s="138" t="str">
        <f t="shared" si="1304"/>
        <v>Without Amendment</v>
      </c>
      <c r="D14597" s="138" t="str">
        <f t="shared" si="1302"/>
        <v>High_Low</v>
      </c>
      <c r="E14597" s="138" t="str">
        <f t="shared" si="1305"/>
        <v>High</v>
      </c>
      <c r="F14597" s="138" t="str">
        <f t="shared" si="1306"/>
        <v>Upgraded</v>
      </c>
      <c r="G14597" s="153"/>
      <c r="H14597" s="210">
        <v>0.34420000000000001</v>
      </c>
      <c r="I14597" s="160" t="s">
        <v>55</v>
      </c>
      <c r="J14597" s="160">
        <v>6.3589999999999994E-2</v>
      </c>
      <c r="K14597" s="160" t="s">
        <v>14</v>
      </c>
      <c r="L14597" s="154" t="str">
        <f>IF(OpenLCAbasic!K14597="CTUh", "Fill in Manually",IF(OR(K14597="Unit", K14597=""), "", INDEX(LookUps!$E$5:$E$12, MATCH(OpenLCAbasic!K14597,LookUps!$D$5:$D$12,0))))</f>
        <v>Fossil Depletion Potential (FDP) - kg oil eq</v>
      </c>
      <c r="M14597" s="154" t="str">
        <f t="shared" si="1301"/>
        <v>High_High_Low_Upgraded_Fossil Depletion Potential (FDP) - kg oil eq_Aeration Tanks; wastewater treatment unit; at updated plant - US_Without Amendment_Aerated Static Pile</v>
      </c>
    </row>
    <row r="14598" spans="1:13" s="120" customFormat="1" x14ac:dyDescent="0.25">
      <c r="A14598" s="119"/>
      <c r="B14598" s="138" t="str">
        <f t="shared" si="1303"/>
        <v>Aerated Static Pile</v>
      </c>
      <c r="C14598" s="138" t="str">
        <f t="shared" si="1304"/>
        <v>Without Amendment</v>
      </c>
      <c r="D14598" s="138" t="str">
        <f t="shared" si="1302"/>
        <v>High_Low</v>
      </c>
      <c r="E14598" s="138" t="str">
        <f t="shared" si="1305"/>
        <v>High</v>
      </c>
      <c r="F14598" s="138" t="str">
        <f t="shared" si="1306"/>
        <v>Upgraded</v>
      </c>
      <c r="G14598" s="153"/>
      <c r="H14598" s="210">
        <v>0.1139</v>
      </c>
      <c r="I14598" s="160" t="s">
        <v>54</v>
      </c>
      <c r="J14598" s="160">
        <v>2.1049999999999999E-2</v>
      </c>
      <c r="K14598" s="160" t="s">
        <v>14</v>
      </c>
      <c r="L14598" s="154" t="str">
        <f>IF(OpenLCAbasic!K14598="CTUh", "Fill in Manually",IF(OR(K14598="Unit", K14598=""), "", INDEX(LookUps!$E$5:$E$12, MATCH(OpenLCAbasic!K14598,LookUps!$D$5:$D$12,0))))</f>
        <v>Fossil Depletion Potential (FDP) - kg oil eq</v>
      </c>
      <c r="M14598" s="154" t="str">
        <f t="shared" si="1301"/>
        <v>High_High_Low_Upgraded_Fossil Depletion Potential (FDP) - kg oil eq_Clear Cove Primary Clarification; wastewater treatment unit; at updated plant - US_Without Amendment_Aerated Static Pile</v>
      </c>
    </row>
    <row r="14599" spans="1:13" s="120" customFormat="1" x14ac:dyDescent="0.25">
      <c r="A14599" s="119"/>
      <c r="B14599" s="138" t="str">
        <f t="shared" si="1303"/>
        <v>Aerated Static Pile</v>
      </c>
      <c r="C14599" s="138" t="str">
        <f t="shared" si="1304"/>
        <v>Without Amendment</v>
      </c>
      <c r="D14599" s="138" t="str">
        <f t="shared" si="1302"/>
        <v>High_Low</v>
      </c>
      <c r="E14599" s="138" t="str">
        <f t="shared" si="1305"/>
        <v>High</v>
      </c>
      <c r="F14599" s="138" t="str">
        <f t="shared" si="1306"/>
        <v>Upgraded</v>
      </c>
      <c r="G14599" s="153"/>
      <c r="H14599" s="210">
        <v>8.6800000000000002E-2</v>
      </c>
      <c r="I14599" s="160" t="s">
        <v>58</v>
      </c>
      <c r="J14599" s="160">
        <v>1.6039999999999999E-2</v>
      </c>
      <c r="K14599" s="160" t="s">
        <v>14</v>
      </c>
      <c r="L14599" s="154" t="str">
        <f>IF(OpenLCAbasic!K14599="CTUh", "Fill in Manually",IF(OR(K14599="Unit", K14599=""), "", INDEX(LookUps!$E$5:$E$12, MATCH(OpenLCAbasic!K14599,LookUps!$D$5:$D$12,0))))</f>
        <v>Fossil Depletion Potential (FDP) - kg oil eq</v>
      </c>
      <c r="M14599" s="154" t="str">
        <f t="shared" si="1301"/>
        <v>High_High_Low_Upgraded_Fossil Depletion Potential (FDP) - kg oil eq_Pre-Anoxic &amp; Swing tank; wastewater treatment unit; at updated plant - US_Without Amendment_Aerated Static Pile</v>
      </c>
    </row>
    <row r="14600" spans="1:13" s="120" customFormat="1" x14ac:dyDescent="0.25">
      <c r="A14600" s="119"/>
      <c r="B14600" s="138" t="str">
        <f t="shared" si="1303"/>
        <v>Aerated Static Pile</v>
      </c>
      <c r="C14600" s="138" t="str">
        <f t="shared" si="1304"/>
        <v>Without Amendment</v>
      </c>
      <c r="D14600" s="138" t="str">
        <f t="shared" si="1302"/>
        <v>High_Low</v>
      </c>
      <c r="E14600" s="138" t="str">
        <f t="shared" si="1305"/>
        <v>High</v>
      </c>
      <c r="F14600" s="138" t="str">
        <f t="shared" si="1306"/>
        <v>Upgraded</v>
      </c>
      <c r="G14600" s="153"/>
      <c r="H14600" s="210">
        <v>8.1699999999999995E-2</v>
      </c>
      <c r="I14600" s="160" t="s">
        <v>147</v>
      </c>
      <c r="J14600" s="160">
        <v>1.5089999999999999E-2</v>
      </c>
      <c r="K14600" s="160" t="s">
        <v>14</v>
      </c>
      <c r="L14600" s="154" t="str">
        <f>IF(OpenLCAbasic!K14600="CTUh", "Fill in Manually",IF(OR(K14600="Unit", K14600=""), "", INDEX(LookUps!$E$5:$E$12, MATCH(OpenLCAbasic!K14600,LookUps!$D$5:$D$12,0))))</f>
        <v>Fossil Depletion Potential (FDP) - kg oil eq</v>
      </c>
      <c r="M14600" s="154" t="str">
        <f t="shared" si="1301"/>
        <v>High_High_Low_Upgraded_Fossil Depletion Potential (FDP) - kg oil eq_Influent Pump Station; wastewater treatment unit; at updated plant - US_Without Amendment_Aerated Static Pile</v>
      </c>
    </row>
    <row r="14601" spans="1:13" s="120" customFormat="1" x14ac:dyDescent="0.25">
      <c r="A14601" s="119"/>
      <c r="B14601" s="138" t="str">
        <f t="shared" si="1303"/>
        <v>Aerated Static Pile</v>
      </c>
      <c r="C14601" s="138" t="str">
        <f t="shared" si="1304"/>
        <v>Without Amendment</v>
      </c>
      <c r="D14601" s="138" t="str">
        <f t="shared" si="1302"/>
        <v>High_Low</v>
      </c>
      <c r="E14601" s="138" t="str">
        <f t="shared" si="1305"/>
        <v>High</v>
      </c>
      <c r="F14601" s="138" t="str">
        <f t="shared" si="1306"/>
        <v>Upgraded</v>
      </c>
      <c r="G14601" s="153"/>
      <c r="H14601" s="210">
        <v>7.46E-2</v>
      </c>
      <c r="I14601" s="160" t="s">
        <v>435</v>
      </c>
      <c r="J14601" s="160">
        <v>1.3769999999999999E-2</v>
      </c>
      <c r="K14601" s="160" t="s">
        <v>14</v>
      </c>
      <c r="L14601" s="154" t="str">
        <f>IF(OpenLCAbasic!K14601="CTUh", "Fill in Manually",IF(OR(K14601="Unit", K14601=""), "", INDEX(LookUps!$E$5:$E$12, MATCH(OpenLCAbasic!K14601,LookUps!$D$5:$D$12,0))))</f>
        <v>Fossil Depletion Potential (FDP) - kg oil eq</v>
      </c>
      <c r="M14601" s="154" t="str">
        <f t="shared" si="1301"/>
        <v>High_High_Low_Upgraded_Fossil Depletion Potential (FDP) - kg oil eq_Biosolids composting; aerated static pile; wastewater treatment unit; at updated plant - US_Without Amendment_Aerated Static Pile</v>
      </c>
    </row>
    <row r="14602" spans="1:13" s="120" customFormat="1" x14ac:dyDescent="0.25">
      <c r="A14602" s="119"/>
      <c r="B14602" s="138" t="str">
        <f t="shared" si="1303"/>
        <v>Aerated Static Pile</v>
      </c>
      <c r="C14602" s="138" t="str">
        <f t="shared" si="1304"/>
        <v>Without Amendment</v>
      </c>
      <c r="D14602" s="138" t="str">
        <f t="shared" si="1302"/>
        <v>High_Low</v>
      </c>
      <c r="E14602" s="138" t="str">
        <f t="shared" si="1305"/>
        <v>High</v>
      </c>
      <c r="F14602" s="138" t="str">
        <f t="shared" si="1306"/>
        <v>Upgraded</v>
      </c>
      <c r="G14602" s="153"/>
      <c r="H14602" s="210">
        <v>6.8500000000000005E-2</v>
      </c>
      <c r="I14602" s="160" t="s">
        <v>60</v>
      </c>
      <c r="J14602" s="160">
        <v>1.2659999999999999E-2</v>
      </c>
      <c r="K14602" s="160" t="s">
        <v>14</v>
      </c>
      <c r="L14602" s="154" t="str">
        <f>IF(OpenLCAbasic!K14602="CTUh", "Fill in Manually",IF(OR(K14602="Unit", K14602=""), "", INDEX(LookUps!$E$5:$E$12, MATCH(OpenLCAbasic!K14602,LookUps!$D$5:$D$12,0))))</f>
        <v>Fossil Depletion Potential (FDP) - kg oil eq</v>
      </c>
      <c r="M14602" s="154" t="str">
        <f t="shared" si="1301"/>
        <v>High_High_Low_Upgraded_Fossil Depletion Potential (FDP) - kg oil eq_Belt filter press; wastewater treatment unit; at updated plant - US_Without Amendment_Aerated Static Pile</v>
      </c>
    </row>
    <row r="14603" spans="1:13" s="120" customFormat="1" x14ac:dyDescent="0.25">
      <c r="A14603" s="119"/>
      <c r="B14603" s="138" t="str">
        <f t="shared" si="1303"/>
        <v>Aerated Static Pile</v>
      </c>
      <c r="C14603" s="138" t="str">
        <f t="shared" si="1304"/>
        <v>Without Amendment</v>
      </c>
      <c r="D14603" s="138" t="str">
        <f t="shared" si="1302"/>
        <v>High_Low</v>
      </c>
      <c r="E14603" s="138" t="str">
        <f t="shared" si="1305"/>
        <v>High</v>
      </c>
      <c r="F14603" s="138" t="str">
        <f t="shared" si="1306"/>
        <v>Upgraded</v>
      </c>
      <c r="G14603" s="153"/>
      <c r="H14603" s="210">
        <v>6.7599999999999993E-2</v>
      </c>
      <c r="I14603" s="160" t="s">
        <v>53</v>
      </c>
      <c r="J14603" s="160">
        <v>1.2489999999999999E-2</v>
      </c>
      <c r="K14603" s="160" t="s">
        <v>14</v>
      </c>
      <c r="L14603" s="154" t="str">
        <f>IF(OpenLCAbasic!K14603="CTUh", "Fill in Manually",IF(OR(K14603="Unit", K14603=""), "", INDEX(LookUps!$E$5:$E$12, MATCH(OpenLCAbasic!K14603,LookUps!$D$5:$D$12,0))))</f>
        <v>Fossil Depletion Potential (FDP) - kg oil eq</v>
      </c>
      <c r="M14603" s="154" t="str">
        <f t="shared" si="1301"/>
        <v>High_High_Low_Upgraded_Fossil Depletion Potential (FDP) - kg oil eq_Wet Well and Sump Station; wastewater treatment unit; at updated plant - US_Without Amendment_Aerated Static Pile</v>
      </c>
    </row>
    <row r="14604" spans="1:13" s="120" customFormat="1" x14ac:dyDescent="0.25">
      <c r="A14604" s="119"/>
      <c r="B14604" s="138" t="str">
        <f t="shared" si="1303"/>
        <v>Aerated Static Pile</v>
      </c>
      <c r="C14604" s="138" t="str">
        <f t="shared" si="1304"/>
        <v>Without Amendment</v>
      </c>
      <c r="D14604" s="138" t="str">
        <f t="shared" si="1302"/>
        <v>High_Low</v>
      </c>
      <c r="E14604" s="138" t="str">
        <f t="shared" si="1305"/>
        <v>High</v>
      </c>
      <c r="F14604" s="138" t="str">
        <f t="shared" si="1306"/>
        <v>Upgraded</v>
      </c>
      <c r="G14604" s="153"/>
      <c r="H14604" s="210">
        <v>3.7400000000000003E-2</v>
      </c>
      <c r="I14604" s="160" t="s">
        <v>57</v>
      </c>
      <c r="J14604" s="160">
        <v>6.9199999999999999E-3</v>
      </c>
      <c r="K14604" s="160" t="s">
        <v>14</v>
      </c>
      <c r="L14604" s="154" t="str">
        <f>IF(OpenLCAbasic!K14604="CTUh", "Fill in Manually",IF(OR(K14604="Unit", K14604=""), "", INDEX(LookUps!$E$5:$E$12, MATCH(OpenLCAbasic!K14604,LookUps!$D$5:$D$12,0))))</f>
        <v>Fossil Depletion Potential (FDP) - kg oil eq</v>
      </c>
      <c r="M14604" s="154" t="str">
        <f t="shared" si="1301"/>
        <v>High_High_Low_Upgraded_Fossil Depletion Potential (FDP) - kg oil eq_Gravity Belt Thickener; wastewater treatment unit; at updated plant - US_Without Amendment_Aerated Static Pile</v>
      </c>
    </row>
    <row r="14605" spans="1:13" s="120" customFormat="1" x14ac:dyDescent="0.25">
      <c r="A14605" s="119"/>
      <c r="B14605" s="138" t="str">
        <f t="shared" si="1303"/>
        <v>Aerated Static Pile</v>
      </c>
      <c r="C14605" s="138" t="str">
        <f t="shared" si="1304"/>
        <v>Without Amendment</v>
      </c>
      <c r="D14605" s="138" t="str">
        <f t="shared" si="1302"/>
        <v>High_Low</v>
      </c>
      <c r="E14605" s="138" t="str">
        <f t="shared" si="1305"/>
        <v>High</v>
      </c>
      <c r="F14605" s="138" t="str">
        <f t="shared" si="1306"/>
        <v>Upgraded</v>
      </c>
      <c r="G14605" s="153"/>
      <c r="H14605" s="210">
        <v>2.4400000000000002E-2</v>
      </c>
      <c r="I14605" s="160" t="s">
        <v>128</v>
      </c>
      <c r="J14605" s="160">
        <v>4.4999999999999997E-3</v>
      </c>
      <c r="K14605" s="160" t="s">
        <v>14</v>
      </c>
      <c r="L14605" s="154" t="str">
        <f>IF(OpenLCAbasic!K14605="CTUh", "Fill in Manually",IF(OR(K14605="Unit", K14605=""), "", INDEX(LookUps!$E$5:$E$12, MATCH(OpenLCAbasic!K14605,LookUps!$D$5:$D$12,0))))</f>
        <v>Fossil Depletion Potential (FDP) - kg oil eq</v>
      </c>
      <c r="M14605" s="154" t="str">
        <f t="shared" si="1301"/>
        <v>High_High_Low_Upgraded_Fossil Depletion Potential (FDP) - kg oil eq_Wastewater collection; operation and infrastructure; m3 wastewater_Without Amendment_Aerated Static Pile</v>
      </c>
    </row>
    <row r="14606" spans="1:13" s="120" customFormat="1" x14ac:dyDescent="0.25">
      <c r="A14606" s="119"/>
      <c r="B14606" s="138" t="str">
        <f t="shared" si="1303"/>
        <v>Aerated Static Pile</v>
      </c>
      <c r="C14606" s="138" t="str">
        <f t="shared" si="1304"/>
        <v>Without Amendment</v>
      </c>
      <c r="D14606" s="138" t="str">
        <f t="shared" si="1302"/>
        <v>High_Low</v>
      </c>
      <c r="E14606" s="138" t="str">
        <f t="shared" si="1305"/>
        <v>High</v>
      </c>
      <c r="F14606" s="138" t="str">
        <f t="shared" si="1306"/>
        <v>Upgraded</v>
      </c>
      <c r="G14606" s="153"/>
      <c r="H14606" s="210">
        <v>1.5100000000000001E-2</v>
      </c>
      <c r="I14606" s="160" t="s">
        <v>148</v>
      </c>
      <c r="J14606" s="160">
        <v>2.8E-3</v>
      </c>
      <c r="K14606" s="160" t="s">
        <v>14</v>
      </c>
      <c r="L14606" s="154" t="str">
        <f>IF(OpenLCAbasic!K14606="CTUh", "Fill in Manually",IF(OR(K14606="Unit", K14606=""), "", INDEX(LookUps!$E$5:$E$12, MATCH(OpenLCAbasic!K14606,LookUps!$D$5:$D$12,0))))</f>
        <v>Fossil Depletion Potential (FDP) - kg oil eq</v>
      </c>
      <c r="M14606" s="154" t="str">
        <f t="shared" si="1301"/>
        <v>High_High_Low_Upgraded_Fossil Depletion Potential (FDP) - kg oil eq_Control Building; at upgraded wastewater treatment plant - US_Without Amendment_Aerated Static Pile</v>
      </c>
    </row>
    <row r="14607" spans="1:13" s="120" customFormat="1" x14ac:dyDescent="0.25">
      <c r="A14607" s="119"/>
      <c r="B14607" s="138" t="str">
        <f t="shared" si="1303"/>
        <v>Aerated Static Pile</v>
      </c>
      <c r="C14607" s="138" t="str">
        <f t="shared" si="1304"/>
        <v>Without Amendment</v>
      </c>
      <c r="D14607" s="138" t="str">
        <f t="shared" si="1302"/>
        <v>High_Low</v>
      </c>
      <c r="E14607" s="138" t="str">
        <f t="shared" si="1305"/>
        <v>High</v>
      </c>
      <c r="F14607" s="138" t="str">
        <f t="shared" si="1306"/>
        <v>Upgraded</v>
      </c>
      <c r="G14607" s="153"/>
      <c r="H14607" s="210">
        <v>1.2800000000000001E-2</v>
      </c>
      <c r="I14607" s="160" t="s">
        <v>48</v>
      </c>
      <c r="J14607" s="160">
        <v>2.3600000000000001E-3</v>
      </c>
      <c r="K14607" s="160" t="s">
        <v>14</v>
      </c>
      <c r="L14607" s="154" t="str">
        <f>IF(OpenLCAbasic!K14607="CTUh", "Fill in Manually",IF(OR(K14607="Unit", K14607=""), "", INDEX(LookUps!$E$5:$E$12, MATCH(OpenLCAbasic!K14607,LookUps!$D$5:$D$12,0))))</f>
        <v>Fossil Depletion Potential (FDP) - kg oil eq</v>
      </c>
      <c r="M14607" s="154" t="str">
        <f t="shared" si="1301"/>
        <v>High_High_Low_Upgraded_Fossil Depletion Potential (FDP) - kg oil eq_Effluent release; wastewater treatment unit; at surface water; m3 wastewater - US_Without Amendment_Aerated Static Pile</v>
      </c>
    </row>
    <row r="14608" spans="1:13" s="120" customFormat="1" x14ac:dyDescent="0.25">
      <c r="A14608" s="119"/>
      <c r="B14608" s="138" t="str">
        <f t="shared" si="1303"/>
        <v>Aerated Static Pile</v>
      </c>
      <c r="C14608" s="138" t="str">
        <f t="shared" si="1304"/>
        <v>Without Amendment</v>
      </c>
      <c r="D14608" s="138" t="str">
        <f t="shared" si="1302"/>
        <v>High_Low</v>
      </c>
      <c r="E14608" s="138" t="str">
        <f t="shared" si="1305"/>
        <v>High</v>
      </c>
      <c r="F14608" s="138" t="str">
        <f t="shared" si="1306"/>
        <v>Upgraded</v>
      </c>
      <c r="G14608" s="153"/>
      <c r="H14608" s="210">
        <v>1.04E-2</v>
      </c>
      <c r="I14608" s="160" t="s">
        <v>59</v>
      </c>
      <c r="J14608" s="160">
        <v>1.92E-3</v>
      </c>
      <c r="K14608" s="160" t="s">
        <v>14</v>
      </c>
      <c r="L14608" s="154" t="str">
        <f>IF(OpenLCAbasic!K14608="CTUh", "Fill in Manually",IF(OR(K14608="Unit", K14608=""), "", INDEX(LookUps!$E$5:$E$12, MATCH(OpenLCAbasic!K14608,LookUps!$D$5:$D$12,0))))</f>
        <v>Fossil Depletion Potential (FDP) - kg oil eq</v>
      </c>
      <c r="M14608" s="154" t="str">
        <f t="shared" ref="M14608:M14671" si="1307">CONCATENATE(E14608,"_",D14608,"_",F14608,"_",L14608, "_",I14608,"_", C14608,"_", B14608)</f>
        <v>High_High_Low_Upgraded_Fossil Depletion Potential (FDP) - kg oil eq_Blend Tank; wastewater treatment unit; at updated plant - US_Without Amendment_Aerated Static Pile</v>
      </c>
    </row>
    <row r="14609" spans="1:13" s="120" customFormat="1" x14ac:dyDescent="0.25">
      <c r="A14609" s="119"/>
      <c r="B14609" s="138" t="str">
        <f t="shared" si="1303"/>
        <v>Aerated Static Pile</v>
      </c>
      <c r="C14609" s="138" t="str">
        <f t="shared" si="1304"/>
        <v>Without Amendment</v>
      </c>
      <c r="D14609" s="138" t="str">
        <f t="shared" ref="D14609:D14672" si="1308">IF(ISNUMBER($J14609),"High_Low","")</f>
        <v>High_Low</v>
      </c>
      <c r="E14609" s="138" t="str">
        <f t="shared" si="1305"/>
        <v>High</v>
      </c>
      <c r="F14609" s="138" t="str">
        <f t="shared" si="1306"/>
        <v>Upgraded</v>
      </c>
      <c r="G14609" s="153"/>
      <c r="H14609" s="210">
        <v>5.0000000000000001E-3</v>
      </c>
      <c r="I14609" s="160" t="s">
        <v>168</v>
      </c>
      <c r="J14609" s="160">
        <v>9.1E-4</v>
      </c>
      <c r="K14609" s="160" t="s">
        <v>14</v>
      </c>
      <c r="L14609" s="154" t="str">
        <f>IF(OpenLCAbasic!K14609="CTUh", "Fill in Manually",IF(OR(K14609="Unit", K14609=""), "", INDEX(LookUps!$E$5:$E$12, MATCH(OpenLCAbasic!K14609,LookUps!$D$5:$D$12,0))))</f>
        <v>Fossil Depletion Potential (FDP) - kg oil eq</v>
      </c>
      <c r="M14609" s="154" t="str">
        <f t="shared" si="1307"/>
        <v>High_High_Low_Upgraded_Fossil Depletion Potential (FDP) - kg oil eq_ClearCove SCP; wastewater treatment unit; at updated plant - US_Without Amendment_Aerated Static Pile</v>
      </c>
    </row>
    <row r="14610" spans="1:13" s="120" customFormat="1" x14ac:dyDescent="0.25">
      <c r="A14610" s="119"/>
      <c r="B14610" s="138" t="str">
        <f t="shared" si="1303"/>
        <v>Aerated Static Pile</v>
      </c>
      <c r="C14610" s="138" t="str">
        <f t="shared" si="1304"/>
        <v>Without Amendment</v>
      </c>
      <c r="D14610" s="138" t="str">
        <f t="shared" si="1308"/>
        <v>High_Low</v>
      </c>
      <c r="E14610" s="138" t="str">
        <f t="shared" si="1305"/>
        <v>High</v>
      </c>
      <c r="F14610" s="138" t="str">
        <f t="shared" si="1306"/>
        <v>Upgraded</v>
      </c>
      <c r="G14610" s="153"/>
      <c r="H14610" s="210">
        <v>-4.2700000000000002E-2</v>
      </c>
      <c r="I14610" s="160" t="s">
        <v>62</v>
      </c>
      <c r="J14610" s="160">
        <v>-7.8899999999999994E-3</v>
      </c>
      <c r="K14610" s="160" t="s">
        <v>14</v>
      </c>
      <c r="L14610" s="154" t="str">
        <f>IF(OpenLCAbasic!K14610="CTUh", "Fill in Manually",IF(OR(K14610="Unit", K14610=""), "", INDEX(LookUps!$E$5:$E$12, MATCH(OpenLCAbasic!K14610,LookUps!$D$5:$D$12,0))))</f>
        <v>Fossil Depletion Potential (FDP) - kg oil eq</v>
      </c>
      <c r="M14610" s="154" t="str">
        <f t="shared" si="1307"/>
        <v>High_High_Low_Upgraded_Fossil Depletion Potential (FDP) - kg oil eq_Land application of compost; wastewater treatment unit; at updated plant - US_Without Amendment_Aerated Static Pile</v>
      </c>
    </row>
    <row r="14611" spans="1:13" s="120" customFormat="1" x14ac:dyDescent="0.25">
      <c r="A14611" s="119"/>
      <c r="B14611" s="138" t="str">
        <f t="shared" si="1303"/>
        <v>Aerated Static Pile</v>
      </c>
      <c r="C14611" s="138" t="str">
        <f t="shared" si="1304"/>
        <v>Without Amendment</v>
      </c>
      <c r="D14611" s="138" t="str">
        <f t="shared" si="1308"/>
        <v>High_Low</v>
      </c>
      <c r="E14611" s="138" t="str">
        <f t="shared" si="1305"/>
        <v>High</v>
      </c>
      <c r="F14611" s="138" t="str">
        <f t="shared" si="1306"/>
        <v>Upgraded</v>
      </c>
      <c r="G14611" s="153"/>
      <c r="H14611" s="210">
        <v>-0.53390000000000004</v>
      </c>
      <c r="I14611" s="160" t="s">
        <v>149</v>
      </c>
      <c r="J14611" s="160">
        <v>-9.8640000000000005E-2</v>
      </c>
      <c r="K14611" s="160" t="s">
        <v>14</v>
      </c>
      <c r="L14611" s="154" t="str">
        <f>IF(OpenLCAbasic!K14611="CTUh", "Fill in Manually",IF(OR(K14611="Unit", K14611=""), "", INDEX(LookUps!$E$5:$E$12, MATCH(OpenLCAbasic!K14611,LookUps!$D$5:$D$12,0))))</f>
        <v>Fossil Depletion Potential (FDP) - kg oil eq</v>
      </c>
      <c r="M14611" s="154" t="str">
        <f t="shared" si="1307"/>
        <v>High_High_Low_Upgraded_Fossil Depletion Potential (FDP) - kg oil eq_Anaerobic Digestion; wastewater treatment unit; at updated plant - US_Without Amendment_Aerated Static Pile</v>
      </c>
    </row>
    <row r="14612" spans="1:13" s="120" customFormat="1" x14ac:dyDescent="0.25">
      <c r="A14612" s="119"/>
      <c r="B14612" s="138" t="str">
        <f t="shared" si="1303"/>
        <v/>
      </c>
      <c r="C14612" s="138" t="str">
        <f t="shared" si="1304"/>
        <v/>
      </c>
      <c r="D14612" s="138" t="str">
        <f t="shared" si="1308"/>
        <v/>
      </c>
      <c r="E14612" s="138" t="str">
        <f t="shared" si="1305"/>
        <v/>
      </c>
      <c r="F14612" s="138" t="str">
        <f t="shared" si="1306"/>
        <v/>
      </c>
      <c r="G14612" s="153" t="s">
        <v>51</v>
      </c>
      <c r="H14612" s="160"/>
      <c r="I14612" s="160" t="s">
        <v>47</v>
      </c>
      <c r="J14612" s="160" t="s">
        <v>52</v>
      </c>
      <c r="K14612" s="160" t="s">
        <v>27</v>
      </c>
      <c r="L14612" s="154" t="str">
        <f>IF(OpenLCAbasic!K14612="CTUh", "Fill in Manually",IF(OR(K14612="Unit", K14612=""), "", INDEX(LookUps!$E$5:$E$12, MATCH(OpenLCAbasic!K14612,LookUps!$D$5:$D$12,0))))</f>
        <v/>
      </c>
      <c r="M14612" s="154" t="str">
        <f t="shared" si="1307"/>
        <v>____Process__</v>
      </c>
    </row>
    <row r="14613" spans="1:13" s="120" customFormat="1" x14ac:dyDescent="0.25">
      <c r="A14613" s="119"/>
      <c r="B14613" s="138" t="str">
        <f t="shared" si="1303"/>
        <v>Aerated Static Pile</v>
      </c>
      <c r="C14613" s="138" t="str">
        <f t="shared" si="1304"/>
        <v>Without Amendment</v>
      </c>
      <c r="D14613" s="138" t="str">
        <f t="shared" si="1308"/>
        <v>High_Low</v>
      </c>
      <c r="E14613" s="138" t="str">
        <f t="shared" si="1305"/>
        <v>High</v>
      </c>
      <c r="F14613" s="138" t="str">
        <f t="shared" si="1306"/>
        <v>Upgraded</v>
      </c>
      <c r="G14613" s="153"/>
      <c r="H14613" s="210">
        <v>0.76249999999999996</v>
      </c>
      <c r="I14613" s="160" t="s">
        <v>435</v>
      </c>
      <c r="J14613" s="160">
        <v>1.14934</v>
      </c>
      <c r="K14613" s="160" t="s">
        <v>23</v>
      </c>
      <c r="L14613" s="154" t="str">
        <f>IF(OpenLCAbasic!K14613="CTUh", "Fill in Manually",IF(OR(K14613="Unit", K14613=""), "", INDEX(LookUps!$E$5:$E$12, MATCH(OpenLCAbasic!K14613,LookUps!$D$5:$D$12,0))))</f>
        <v>Global Warming Potential (GWP) - kg CO2 eq</v>
      </c>
      <c r="M14613" s="154" t="str">
        <f t="shared" si="1307"/>
        <v>High_High_Low_Upgraded_Global Warming Potential (GWP) - kg CO2 eq_Biosolids composting; aerated static pile; wastewater treatment unit; at updated plant - US_Without Amendment_Aerated Static Pile</v>
      </c>
    </row>
    <row r="14614" spans="1:13" s="120" customFormat="1" x14ac:dyDescent="0.25">
      <c r="A14614" s="119"/>
      <c r="B14614" s="138" t="str">
        <f t="shared" si="1303"/>
        <v>Aerated Static Pile</v>
      </c>
      <c r="C14614" s="138" t="str">
        <f t="shared" si="1304"/>
        <v>Without Amendment</v>
      </c>
      <c r="D14614" s="138" t="str">
        <f t="shared" si="1308"/>
        <v>High_Low</v>
      </c>
      <c r="E14614" s="138" t="str">
        <f t="shared" si="1305"/>
        <v>High</v>
      </c>
      <c r="F14614" s="138" t="str">
        <f t="shared" si="1306"/>
        <v>Upgraded</v>
      </c>
      <c r="G14614" s="153"/>
      <c r="H14614" s="210">
        <v>0.1658</v>
      </c>
      <c r="I14614" s="160" t="s">
        <v>58</v>
      </c>
      <c r="J14614" s="160">
        <v>0.24992</v>
      </c>
      <c r="K14614" s="160" t="s">
        <v>23</v>
      </c>
      <c r="L14614" s="154" t="str">
        <f>IF(OpenLCAbasic!K14614="CTUh", "Fill in Manually",IF(OR(K14614="Unit", K14614=""), "", INDEX(LookUps!$E$5:$E$12, MATCH(OpenLCAbasic!K14614,LookUps!$D$5:$D$12,0))))</f>
        <v>Global Warming Potential (GWP) - kg CO2 eq</v>
      </c>
      <c r="M14614" s="154" t="str">
        <f t="shared" si="1307"/>
        <v>High_High_Low_Upgraded_Global Warming Potential (GWP) - kg CO2 eq_Pre-Anoxic &amp; Swing tank; wastewater treatment unit; at updated plant - US_Without Amendment_Aerated Static Pile</v>
      </c>
    </row>
    <row r="14615" spans="1:13" s="120" customFormat="1" x14ac:dyDescent="0.25">
      <c r="A14615" s="119"/>
      <c r="B14615" s="138" t="str">
        <f t="shared" si="1303"/>
        <v>Aerated Static Pile</v>
      </c>
      <c r="C14615" s="138" t="str">
        <f t="shared" si="1304"/>
        <v>Without Amendment</v>
      </c>
      <c r="D14615" s="138" t="str">
        <f t="shared" si="1308"/>
        <v>High_Low</v>
      </c>
      <c r="E14615" s="138" t="str">
        <f t="shared" si="1305"/>
        <v>High</v>
      </c>
      <c r="F14615" s="138" t="str">
        <f t="shared" si="1306"/>
        <v>Upgraded</v>
      </c>
      <c r="G14615" s="153"/>
      <c r="H14615" s="210">
        <v>0.1116</v>
      </c>
      <c r="I14615" s="160" t="s">
        <v>55</v>
      </c>
      <c r="J14615" s="160">
        <v>0.16822000000000001</v>
      </c>
      <c r="K14615" s="160" t="s">
        <v>23</v>
      </c>
      <c r="L14615" s="154" t="str">
        <f>IF(OpenLCAbasic!K14615="CTUh", "Fill in Manually",IF(OR(K14615="Unit", K14615=""), "", INDEX(LookUps!$E$5:$E$12, MATCH(OpenLCAbasic!K14615,LookUps!$D$5:$D$12,0))))</f>
        <v>Global Warming Potential (GWP) - kg CO2 eq</v>
      </c>
      <c r="M14615" s="154" t="str">
        <f t="shared" si="1307"/>
        <v>High_High_Low_Upgraded_Global Warming Potential (GWP) - kg CO2 eq_Aeration Tanks; wastewater treatment unit; at updated plant - US_Without Amendment_Aerated Static Pile</v>
      </c>
    </row>
    <row r="14616" spans="1:13" s="120" customFormat="1" x14ac:dyDescent="0.25">
      <c r="A14616" s="119"/>
      <c r="B14616" s="138" t="str">
        <f t="shared" si="1303"/>
        <v>Aerated Static Pile</v>
      </c>
      <c r="C14616" s="138" t="str">
        <f t="shared" si="1304"/>
        <v>Without Amendment</v>
      </c>
      <c r="D14616" s="138" t="str">
        <f t="shared" si="1308"/>
        <v>High_Low</v>
      </c>
      <c r="E14616" s="138" t="str">
        <f t="shared" si="1305"/>
        <v>High</v>
      </c>
      <c r="F14616" s="138" t="str">
        <f t="shared" si="1306"/>
        <v>Upgraded</v>
      </c>
      <c r="G14616" s="153"/>
      <c r="H14616" s="210">
        <v>9.74E-2</v>
      </c>
      <c r="I14616" s="160" t="s">
        <v>167</v>
      </c>
      <c r="J14616" s="160">
        <v>0.14685000000000001</v>
      </c>
      <c r="K14616" s="160" t="s">
        <v>23</v>
      </c>
      <c r="L14616" s="154" t="str">
        <f>IF(OpenLCAbasic!K14616="CTUh", "Fill in Manually",IF(OR(K14616="Unit", K14616=""), "", INDEX(LookUps!$E$5:$E$12, MATCH(OpenLCAbasic!K14616,LookUps!$D$5:$D$12,0))))</f>
        <v>Global Warming Potential (GWP) - kg CO2 eq</v>
      </c>
      <c r="M14616" s="154" t="str">
        <f t="shared" si="1307"/>
        <v>High_High_Low_Upgraded_Global Warming Potential (GWP) - kg CO2 eq_Waste Receiving and Holding; wastewater treatment unit; at updated plant - US_Without Amendment_Aerated Static Pile</v>
      </c>
    </row>
    <row r="14617" spans="1:13" s="120" customFormat="1" x14ac:dyDescent="0.25">
      <c r="A14617" s="119"/>
      <c r="B14617" s="138" t="str">
        <f t="shared" si="1303"/>
        <v>Aerated Static Pile</v>
      </c>
      <c r="C14617" s="138" t="str">
        <f t="shared" si="1304"/>
        <v>Without Amendment</v>
      </c>
      <c r="D14617" s="138" t="str">
        <f t="shared" si="1308"/>
        <v>High_Low</v>
      </c>
      <c r="E14617" s="138" t="str">
        <f t="shared" si="1305"/>
        <v>High</v>
      </c>
      <c r="F14617" s="138" t="str">
        <f t="shared" si="1306"/>
        <v>Upgraded</v>
      </c>
      <c r="G14617" s="153"/>
      <c r="H14617" s="210">
        <v>3.7900000000000003E-2</v>
      </c>
      <c r="I14617" s="160" t="s">
        <v>54</v>
      </c>
      <c r="J14617" s="160">
        <v>5.7079999999999999E-2</v>
      </c>
      <c r="K14617" s="160" t="s">
        <v>23</v>
      </c>
      <c r="L14617" s="154" t="str">
        <f>IF(OpenLCAbasic!K14617="CTUh", "Fill in Manually",IF(OR(K14617="Unit", K14617=""), "", INDEX(LookUps!$E$5:$E$12, MATCH(OpenLCAbasic!K14617,LookUps!$D$5:$D$12,0))))</f>
        <v>Global Warming Potential (GWP) - kg CO2 eq</v>
      </c>
      <c r="M14617" s="154" t="str">
        <f t="shared" si="1307"/>
        <v>High_High_Low_Upgraded_Global Warming Potential (GWP) - kg CO2 eq_Clear Cove Primary Clarification; wastewater treatment unit; at updated plant - US_Without Amendment_Aerated Static Pile</v>
      </c>
    </row>
    <row r="14618" spans="1:13" s="120" customFormat="1" x14ac:dyDescent="0.25">
      <c r="A14618" s="119"/>
      <c r="B14618" s="138" t="str">
        <f t="shared" si="1303"/>
        <v>Aerated Static Pile</v>
      </c>
      <c r="C14618" s="138" t="str">
        <f t="shared" si="1304"/>
        <v>Without Amendment</v>
      </c>
      <c r="D14618" s="138" t="str">
        <f t="shared" si="1308"/>
        <v>High_Low</v>
      </c>
      <c r="E14618" s="138" t="str">
        <f t="shared" si="1305"/>
        <v>High</v>
      </c>
      <c r="F14618" s="138" t="str">
        <f t="shared" si="1306"/>
        <v>Upgraded</v>
      </c>
      <c r="G14618" s="153"/>
      <c r="H14618" s="210">
        <v>3.49E-2</v>
      </c>
      <c r="I14618" s="160" t="s">
        <v>48</v>
      </c>
      <c r="J14618" s="160">
        <v>5.2639999999999999E-2</v>
      </c>
      <c r="K14618" s="160" t="s">
        <v>23</v>
      </c>
      <c r="L14618" s="154" t="str">
        <f>IF(OpenLCAbasic!K14618="CTUh", "Fill in Manually",IF(OR(K14618="Unit", K14618=""), "", INDEX(LookUps!$E$5:$E$12, MATCH(OpenLCAbasic!K14618,LookUps!$D$5:$D$12,0))))</f>
        <v>Global Warming Potential (GWP) - kg CO2 eq</v>
      </c>
      <c r="M14618" s="154" t="str">
        <f t="shared" si="1307"/>
        <v>High_High_Low_Upgraded_Global Warming Potential (GWP) - kg CO2 eq_Effluent release; wastewater treatment unit; at surface water; m3 wastewater - US_Without Amendment_Aerated Static Pile</v>
      </c>
    </row>
    <row r="14619" spans="1:13" s="120" customFormat="1" x14ac:dyDescent="0.25">
      <c r="A14619" s="119"/>
      <c r="B14619" s="138" t="str">
        <f t="shared" si="1303"/>
        <v>Aerated Static Pile</v>
      </c>
      <c r="C14619" s="138" t="str">
        <f t="shared" si="1304"/>
        <v>Without Amendment</v>
      </c>
      <c r="D14619" s="138" t="str">
        <f t="shared" si="1308"/>
        <v>High_Low</v>
      </c>
      <c r="E14619" s="138" t="str">
        <f t="shared" si="1305"/>
        <v>High</v>
      </c>
      <c r="F14619" s="138" t="str">
        <f t="shared" si="1306"/>
        <v>Upgraded</v>
      </c>
      <c r="G14619" s="153"/>
      <c r="H14619" s="210">
        <v>3.3500000000000002E-2</v>
      </c>
      <c r="I14619" s="160" t="s">
        <v>147</v>
      </c>
      <c r="J14619" s="160">
        <v>5.0500000000000003E-2</v>
      </c>
      <c r="K14619" s="160" t="s">
        <v>23</v>
      </c>
      <c r="L14619" s="154" t="str">
        <f>IF(OpenLCAbasic!K14619="CTUh", "Fill in Manually",IF(OR(K14619="Unit", K14619=""), "", INDEX(LookUps!$E$5:$E$12, MATCH(OpenLCAbasic!K14619,LookUps!$D$5:$D$12,0))))</f>
        <v>Global Warming Potential (GWP) - kg CO2 eq</v>
      </c>
      <c r="M14619" s="154" t="str">
        <f t="shared" si="1307"/>
        <v>High_High_Low_Upgraded_Global Warming Potential (GWP) - kg CO2 eq_Influent Pump Station; wastewater treatment unit; at updated plant - US_Without Amendment_Aerated Static Pile</v>
      </c>
    </row>
    <row r="14620" spans="1:13" s="120" customFormat="1" x14ac:dyDescent="0.25">
      <c r="A14620" s="119"/>
      <c r="B14620" s="138" t="str">
        <f t="shared" si="1303"/>
        <v>Aerated Static Pile</v>
      </c>
      <c r="C14620" s="138" t="str">
        <f t="shared" si="1304"/>
        <v>Without Amendment</v>
      </c>
      <c r="D14620" s="138" t="str">
        <f t="shared" si="1308"/>
        <v>High_Low</v>
      </c>
      <c r="E14620" s="138" t="str">
        <f t="shared" si="1305"/>
        <v>High</v>
      </c>
      <c r="F14620" s="138" t="str">
        <f t="shared" si="1306"/>
        <v>Upgraded</v>
      </c>
      <c r="G14620" s="153"/>
      <c r="H14620" s="210">
        <v>2.2100000000000002E-2</v>
      </c>
      <c r="I14620" s="160" t="s">
        <v>53</v>
      </c>
      <c r="J14620" s="160">
        <v>3.3259999999999998E-2</v>
      </c>
      <c r="K14620" s="160" t="s">
        <v>23</v>
      </c>
      <c r="L14620" s="154" t="str">
        <f>IF(OpenLCAbasic!K14620="CTUh", "Fill in Manually",IF(OR(K14620="Unit", K14620=""), "", INDEX(LookUps!$E$5:$E$12, MATCH(OpenLCAbasic!K14620,LookUps!$D$5:$D$12,0))))</f>
        <v>Global Warming Potential (GWP) - kg CO2 eq</v>
      </c>
      <c r="M14620" s="154" t="str">
        <f t="shared" si="1307"/>
        <v>High_High_Low_Upgraded_Global Warming Potential (GWP) - kg CO2 eq_Wet Well and Sump Station; wastewater treatment unit; at updated plant - US_Without Amendment_Aerated Static Pile</v>
      </c>
    </row>
    <row r="14621" spans="1:13" s="120" customFormat="1" x14ac:dyDescent="0.25">
      <c r="A14621" s="119"/>
      <c r="B14621" s="138" t="str">
        <f t="shared" si="1303"/>
        <v>Aerated Static Pile</v>
      </c>
      <c r="C14621" s="138" t="str">
        <f t="shared" si="1304"/>
        <v>Without Amendment</v>
      </c>
      <c r="D14621" s="138" t="str">
        <f t="shared" si="1308"/>
        <v>High_Low</v>
      </c>
      <c r="E14621" s="138" t="str">
        <f t="shared" si="1305"/>
        <v>High</v>
      </c>
      <c r="F14621" s="138" t="str">
        <f t="shared" si="1306"/>
        <v>Upgraded</v>
      </c>
      <c r="G14621" s="153"/>
      <c r="H14621" s="210">
        <v>1.8499999999999999E-2</v>
      </c>
      <c r="I14621" s="160" t="s">
        <v>60</v>
      </c>
      <c r="J14621" s="160">
        <v>2.7820000000000001E-2</v>
      </c>
      <c r="K14621" s="160" t="s">
        <v>23</v>
      </c>
      <c r="L14621" s="154" t="str">
        <f>IF(OpenLCAbasic!K14621="CTUh", "Fill in Manually",IF(OR(K14621="Unit", K14621=""), "", INDEX(LookUps!$E$5:$E$12, MATCH(OpenLCAbasic!K14621,LookUps!$D$5:$D$12,0))))</f>
        <v>Global Warming Potential (GWP) - kg CO2 eq</v>
      </c>
      <c r="M14621" s="154" t="str">
        <f t="shared" si="1307"/>
        <v>High_High_Low_Upgraded_Global Warming Potential (GWP) - kg CO2 eq_Belt filter press; wastewater treatment unit; at updated plant - US_Without Amendment_Aerated Static Pile</v>
      </c>
    </row>
    <row r="14622" spans="1:13" s="120" customFormat="1" x14ac:dyDescent="0.25">
      <c r="A14622" s="119"/>
      <c r="B14622" s="138" t="str">
        <f t="shared" si="1303"/>
        <v>Aerated Static Pile</v>
      </c>
      <c r="C14622" s="138" t="str">
        <f t="shared" si="1304"/>
        <v>Without Amendment</v>
      </c>
      <c r="D14622" s="138" t="str">
        <f t="shared" si="1308"/>
        <v>High_Low</v>
      </c>
      <c r="E14622" s="138" t="str">
        <f t="shared" si="1305"/>
        <v>High</v>
      </c>
      <c r="F14622" s="138" t="str">
        <f t="shared" si="1306"/>
        <v>Upgraded</v>
      </c>
      <c r="G14622" s="153"/>
      <c r="H14622" s="210">
        <v>9.7000000000000003E-3</v>
      </c>
      <c r="I14622" s="160" t="s">
        <v>57</v>
      </c>
      <c r="J14622" s="160">
        <v>1.455E-2</v>
      </c>
      <c r="K14622" s="160" t="s">
        <v>23</v>
      </c>
      <c r="L14622" s="154" t="str">
        <f>IF(OpenLCAbasic!K14622="CTUh", "Fill in Manually",IF(OR(K14622="Unit", K14622=""), "", INDEX(LookUps!$E$5:$E$12, MATCH(OpenLCAbasic!K14622,LookUps!$D$5:$D$12,0))))</f>
        <v>Global Warming Potential (GWP) - kg CO2 eq</v>
      </c>
      <c r="M14622" s="154" t="str">
        <f t="shared" si="1307"/>
        <v>High_High_Low_Upgraded_Global Warming Potential (GWP) - kg CO2 eq_Gravity Belt Thickener; wastewater treatment unit; at updated plant - US_Without Amendment_Aerated Static Pile</v>
      </c>
    </row>
    <row r="14623" spans="1:13" s="120" customFormat="1" x14ac:dyDescent="0.25">
      <c r="A14623" s="119"/>
      <c r="B14623" s="138" t="str">
        <f t="shared" si="1303"/>
        <v>Aerated Static Pile</v>
      </c>
      <c r="C14623" s="138" t="str">
        <f t="shared" si="1304"/>
        <v>Without Amendment</v>
      </c>
      <c r="D14623" s="138" t="str">
        <f t="shared" si="1308"/>
        <v>High_Low</v>
      </c>
      <c r="E14623" s="138" t="str">
        <f t="shared" si="1305"/>
        <v>High</v>
      </c>
      <c r="F14623" s="138" t="str">
        <f t="shared" si="1306"/>
        <v>Upgraded</v>
      </c>
      <c r="G14623" s="153"/>
      <c r="H14623" s="210">
        <v>8.9999999999999993E-3</v>
      </c>
      <c r="I14623" s="160" t="s">
        <v>128</v>
      </c>
      <c r="J14623" s="160">
        <v>1.3509999999999999E-2</v>
      </c>
      <c r="K14623" s="160" t="s">
        <v>23</v>
      </c>
      <c r="L14623" s="154" t="str">
        <f>IF(OpenLCAbasic!K14623="CTUh", "Fill in Manually",IF(OR(K14623="Unit", K14623=""), "", INDEX(LookUps!$E$5:$E$12, MATCH(OpenLCAbasic!K14623,LookUps!$D$5:$D$12,0))))</f>
        <v>Global Warming Potential (GWP) - kg CO2 eq</v>
      </c>
      <c r="M14623" s="154" t="str">
        <f t="shared" si="1307"/>
        <v>High_High_Low_Upgraded_Global Warming Potential (GWP) - kg CO2 eq_Wastewater collection; operation and infrastructure; m3 wastewater_Without Amendment_Aerated Static Pile</v>
      </c>
    </row>
    <row r="14624" spans="1:13" s="120" customFormat="1" x14ac:dyDescent="0.25">
      <c r="A14624" s="119"/>
      <c r="B14624" s="138" t="str">
        <f t="shared" si="1303"/>
        <v>Aerated Static Pile</v>
      </c>
      <c r="C14624" s="138" t="str">
        <f t="shared" si="1304"/>
        <v>Without Amendment</v>
      </c>
      <c r="D14624" s="138" t="str">
        <f t="shared" si="1308"/>
        <v>High_Low</v>
      </c>
      <c r="E14624" s="138" t="str">
        <f t="shared" si="1305"/>
        <v>High</v>
      </c>
      <c r="F14624" s="138" t="str">
        <f t="shared" si="1306"/>
        <v>Upgraded</v>
      </c>
      <c r="G14624" s="153"/>
      <c r="H14624" s="210">
        <v>5.4999999999999997E-3</v>
      </c>
      <c r="I14624" s="160" t="s">
        <v>148</v>
      </c>
      <c r="J14624" s="160">
        <v>8.3000000000000001E-3</v>
      </c>
      <c r="K14624" s="160" t="s">
        <v>23</v>
      </c>
      <c r="L14624" s="154" t="str">
        <f>IF(OpenLCAbasic!K14624="CTUh", "Fill in Manually",IF(OR(K14624="Unit", K14624=""), "", INDEX(LookUps!$E$5:$E$12, MATCH(OpenLCAbasic!K14624,LookUps!$D$5:$D$12,0))))</f>
        <v>Global Warming Potential (GWP) - kg CO2 eq</v>
      </c>
      <c r="M14624" s="154" t="str">
        <f t="shared" si="1307"/>
        <v>High_High_Low_Upgraded_Global Warming Potential (GWP) - kg CO2 eq_Control Building; at upgraded wastewater treatment plant - US_Without Amendment_Aerated Static Pile</v>
      </c>
    </row>
    <row r="14625" spans="1:13" s="120" customFormat="1" x14ac:dyDescent="0.25">
      <c r="A14625" s="119"/>
      <c r="B14625" s="138" t="str">
        <f t="shared" si="1303"/>
        <v>Aerated Static Pile</v>
      </c>
      <c r="C14625" s="138" t="str">
        <f t="shared" si="1304"/>
        <v>Without Amendment</v>
      </c>
      <c r="D14625" s="138" t="str">
        <f t="shared" si="1308"/>
        <v>High_Low</v>
      </c>
      <c r="E14625" s="138" t="str">
        <f t="shared" si="1305"/>
        <v>High</v>
      </c>
      <c r="F14625" s="138" t="str">
        <f t="shared" si="1306"/>
        <v>Upgraded</v>
      </c>
      <c r="G14625" s="153"/>
      <c r="H14625" s="210">
        <v>3.3E-3</v>
      </c>
      <c r="I14625" s="160" t="s">
        <v>59</v>
      </c>
      <c r="J14625" s="160">
        <v>5.0400000000000002E-3</v>
      </c>
      <c r="K14625" s="160" t="s">
        <v>23</v>
      </c>
      <c r="L14625" s="154" t="str">
        <f>IF(OpenLCAbasic!K14625="CTUh", "Fill in Manually",IF(OR(K14625="Unit", K14625=""), "", INDEX(LookUps!$E$5:$E$12, MATCH(OpenLCAbasic!K14625,LookUps!$D$5:$D$12,0))))</f>
        <v>Global Warming Potential (GWP) - kg CO2 eq</v>
      </c>
      <c r="M14625" s="154" t="str">
        <f t="shared" si="1307"/>
        <v>High_High_Low_Upgraded_Global Warming Potential (GWP) - kg CO2 eq_Blend Tank; wastewater treatment unit; at updated plant - US_Without Amendment_Aerated Static Pile</v>
      </c>
    </row>
    <row r="14626" spans="1:13" s="120" customFormat="1" x14ac:dyDescent="0.25">
      <c r="A14626" s="119"/>
      <c r="B14626" s="138" t="str">
        <f t="shared" si="1303"/>
        <v>Aerated Static Pile</v>
      </c>
      <c r="C14626" s="138" t="str">
        <f t="shared" si="1304"/>
        <v>Without Amendment</v>
      </c>
      <c r="D14626" s="138" t="str">
        <f t="shared" si="1308"/>
        <v>High_Low</v>
      </c>
      <c r="E14626" s="138" t="str">
        <f t="shared" si="1305"/>
        <v>High</v>
      </c>
      <c r="F14626" s="138" t="str">
        <f t="shared" si="1306"/>
        <v>Upgraded</v>
      </c>
      <c r="G14626" s="153"/>
      <c r="H14626" s="210">
        <v>1.6000000000000001E-3</v>
      </c>
      <c r="I14626" s="160" t="s">
        <v>168</v>
      </c>
      <c r="J14626" s="160">
        <v>2.4099999999999998E-3</v>
      </c>
      <c r="K14626" s="160" t="s">
        <v>23</v>
      </c>
      <c r="L14626" s="154" t="str">
        <f>IF(OpenLCAbasic!K14626="CTUh", "Fill in Manually",IF(OR(K14626="Unit", K14626=""), "", INDEX(LookUps!$E$5:$E$12, MATCH(OpenLCAbasic!K14626,LookUps!$D$5:$D$12,0))))</f>
        <v>Global Warming Potential (GWP) - kg CO2 eq</v>
      </c>
      <c r="M14626" s="154" t="str">
        <f t="shared" si="1307"/>
        <v>High_High_Low_Upgraded_Global Warming Potential (GWP) - kg CO2 eq_ClearCove SCP; wastewater treatment unit; at updated plant - US_Without Amendment_Aerated Static Pile</v>
      </c>
    </row>
    <row r="14627" spans="1:13" s="120" customFormat="1" x14ac:dyDescent="0.25">
      <c r="A14627" s="119"/>
      <c r="B14627" s="138" t="str">
        <f t="shared" si="1303"/>
        <v>Aerated Static Pile</v>
      </c>
      <c r="C14627" s="138" t="str">
        <f t="shared" si="1304"/>
        <v>Without Amendment</v>
      </c>
      <c r="D14627" s="138" t="str">
        <f t="shared" si="1308"/>
        <v>High_Low</v>
      </c>
      <c r="E14627" s="138" t="str">
        <f t="shared" si="1305"/>
        <v>High</v>
      </c>
      <c r="F14627" s="138" t="str">
        <f t="shared" si="1306"/>
        <v>Upgraded</v>
      </c>
      <c r="G14627" s="153"/>
      <c r="H14627" s="210">
        <v>-0.1132</v>
      </c>
      <c r="I14627" s="160" t="s">
        <v>149</v>
      </c>
      <c r="J14627" s="160">
        <v>-0.17055999999999999</v>
      </c>
      <c r="K14627" s="160" t="s">
        <v>23</v>
      </c>
      <c r="L14627" s="154" t="str">
        <f>IF(OpenLCAbasic!K14627="CTUh", "Fill in Manually",IF(OR(K14627="Unit", K14627=""), "", INDEX(LookUps!$E$5:$E$12, MATCH(OpenLCAbasic!K14627,LookUps!$D$5:$D$12,0))))</f>
        <v>Global Warming Potential (GWP) - kg CO2 eq</v>
      </c>
      <c r="M14627" s="154" t="str">
        <f t="shared" si="1307"/>
        <v>High_High_Low_Upgraded_Global Warming Potential (GWP) - kg CO2 eq_Anaerobic Digestion; wastewater treatment unit; at updated plant - US_Without Amendment_Aerated Static Pile</v>
      </c>
    </row>
    <row r="14628" spans="1:13" s="120" customFormat="1" x14ac:dyDescent="0.25">
      <c r="A14628" s="119"/>
      <c r="B14628" s="138" t="str">
        <f t="shared" si="1303"/>
        <v>Aerated Static Pile</v>
      </c>
      <c r="C14628" s="138" t="str">
        <f t="shared" si="1304"/>
        <v>Without Amendment</v>
      </c>
      <c r="D14628" s="138" t="str">
        <f t="shared" si="1308"/>
        <v>High_Low</v>
      </c>
      <c r="E14628" s="138" t="str">
        <f t="shared" si="1305"/>
        <v>High</v>
      </c>
      <c r="F14628" s="138" t="str">
        <f t="shared" si="1306"/>
        <v>Upgraded</v>
      </c>
      <c r="G14628" s="153"/>
      <c r="H14628" s="210">
        <v>-0.2</v>
      </c>
      <c r="I14628" s="160" t="s">
        <v>62</v>
      </c>
      <c r="J14628" s="160">
        <v>-0.30152000000000001</v>
      </c>
      <c r="K14628" s="160" t="s">
        <v>23</v>
      </c>
      <c r="L14628" s="154" t="str">
        <f>IF(OpenLCAbasic!K14628="CTUh", "Fill in Manually",IF(OR(K14628="Unit", K14628=""), "", INDEX(LookUps!$E$5:$E$12, MATCH(OpenLCAbasic!K14628,LookUps!$D$5:$D$12,0))))</f>
        <v>Global Warming Potential (GWP) - kg CO2 eq</v>
      </c>
      <c r="M14628" s="154" t="str">
        <f t="shared" si="1307"/>
        <v>High_High_Low_Upgraded_Global Warming Potential (GWP) - kg CO2 eq_Land application of compost; wastewater treatment unit; at updated plant - US_Without Amendment_Aerated Static Pile</v>
      </c>
    </row>
    <row r="14629" spans="1:13" s="120" customFormat="1" x14ac:dyDescent="0.25">
      <c r="A14629" s="119"/>
      <c r="B14629" s="138" t="str">
        <f t="shared" si="1303"/>
        <v/>
      </c>
      <c r="C14629" s="138" t="str">
        <f t="shared" si="1304"/>
        <v/>
      </c>
      <c r="D14629" s="138" t="str">
        <f t="shared" si="1308"/>
        <v/>
      </c>
      <c r="E14629" s="138" t="str">
        <f t="shared" si="1305"/>
        <v/>
      </c>
      <c r="F14629" s="138" t="str">
        <f t="shared" si="1306"/>
        <v/>
      </c>
      <c r="G14629" s="153" t="s">
        <v>51</v>
      </c>
      <c r="H14629" s="160"/>
      <c r="I14629" s="160" t="s">
        <v>47</v>
      </c>
      <c r="J14629" s="160" t="s">
        <v>52</v>
      </c>
      <c r="K14629" s="160" t="s">
        <v>27</v>
      </c>
      <c r="L14629" s="154" t="str">
        <f>IF(OpenLCAbasic!K14629="CTUh", "Fill in Manually",IF(OR(K14629="Unit", K14629=""), "", INDEX(LookUps!$E$5:$E$12, MATCH(OpenLCAbasic!K14629,LookUps!$D$5:$D$12,0))))</f>
        <v/>
      </c>
      <c r="M14629" s="154" t="str">
        <f t="shared" si="1307"/>
        <v>____Process__</v>
      </c>
    </row>
    <row r="14630" spans="1:13" s="120" customFormat="1" x14ac:dyDescent="0.25">
      <c r="A14630" s="119"/>
      <c r="B14630" s="138" t="str">
        <f t="shared" si="1303"/>
        <v>Aerated Static Pile</v>
      </c>
      <c r="C14630" s="138" t="str">
        <f t="shared" si="1304"/>
        <v>Without Amendment</v>
      </c>
      <c r="D14630" s="138" t="str">
        <f t="shared" si="1308"/>
        <v>High_Low</v>
      </c>
      <c r="E14630" s="138" t="str">
        <f t="shared" si="1305"/>
        <v>High</v>
      </c>
      <c r="F14630" s="138" t="str">
        <f t="shared" si="1306"/>
        <v>Upgraded</v>
      </c>
      <c r="G14630" s="153"/>
      <c r="H14630" s="210">
        <v>0.56789999999999996</v>
      </c>
      <c r="I14630" s="160" t="s">
        <v>55</v>
      </c>
      <c r="J14630" s="160">
        <v>2.33E-3</v>
      </c>
      <c r="K14630" s="160" t="s">
        <v>145</v>
      </c>
      <c r="L14630" s="154" t="str">
        <f>IF(OpenLCAbasic!K14630="CTUh", "Fill in Manually",IF(OR(K14630="Unit", K14630=""), "", INDEX(LookUps!$E$5:$E$12, MATCH(OpenLCAbasic!K14630,LookUps!$D$5:$D$12,0))))</f>
        <v>Particulate Matter Formation Potential (PMFP) - kg PM2.5 eq</v>
      </c>
      <c r="M14630" s="154" t="str">
        <f t="shared" si="1307"/>
        <v>High_High_Low_Upgraded_Particulate Matter Formation Potential (PMFP) - kg PM2.5 eq_Aeration Tanks; wastewater treatment unit; at updated plant - US_Without Amendment_Aerated Static Pile</v>
      </c>
    </row>
    <row r="14631" spans="1:13" s="120" customFormat="1" x14ac:dyDescent="0.25">
      <c r="A14631" s="119"/>
      <c r="B14631" s="138" t="str">
        <f t="shared" si="1303"/>
        <v>Aerated Static Pile</v>
      </c>
      <c r="C14631" s="138" t="str">
        <f t="shared" si="1304"/>
        <v>Without Amendment</v>
      </c>
      <c r="D14631" s="138" t="str">
        <f t="shared" si="1308"/>
        <v>High_Low</v>
      </c>
      <c r="E14631" s="138" t="str">
        <f t="shared" si="1305"/>
        <v>High</v>
      </c>
      <c r="F14631" s="138" t="str">
        <f t="shared" si="1306"/>
        <v>Upgraded</v>
      </c>
      <c r="G14631" s="153"/>
      <c r="H14631" s="210">
        <v>0.1653</v>
      </c>
      <c r="I14631" s="160" t="s">
        <v>54</v>
      </c>
      <c r="J14631" s="160">
        <v>6.8000000000000005E-4</v>
      </c>
      <c r="K14631" s="160" t="s">
        <v>145</v>
      </c>
      <c r="L14631" s="154" t="str">
        <f>IF(OpenLCAbasic!K14631="CTUh", "Fill in Manually",IF(OR(K14631="Unit", K14631=""), "", INDEX(LookUps!$E$5:$E$12, MATCH(OpenLCAbasic!K14631,LookUps!$D$5:$D$12,0))))</f>
        <v>Particulate Matter Formation Potential (PMFP) - kg PM2.5 eq</v>
      </c>
      <c r="M14631" s="154" t="str">
        <f t="shared" si="1307"/>
        <v>High_High_Low_Upgraded_Particulate Matter Formation Potential (PMFP) - kg PM2.5 eq_Clear Cove Primary Clarification; wastewater treatment unit; at updated plant - US_Without Amendment_Aerated Static Pile</v>
      </c>
    </row>
    <row r="14632" spans="1:13" s="120" customFormat="1" x14ac:dyDescent="0.25">
      <c r="A14632" s="119"/>
      <c r="B14632" s="138" t="str">
        <f t="shared" si="1303"/>
        <v>Aerated Static Pile</v>
      </c>
      <c r="C14632" s="138" t="str">
        <f t="shared" si="1304"/>
        <v>Without Amendment</v>
      </c>
      <c r="D14632" s="138" t="str">
        <f t="shared" si="1308"/>
        <v>High_Low</v>
      </c>
      <c r="E14632" s="138" t="str">
        <f t="shared" si="1305"/>
        <v>High</v>
      </c>
      <c r="F14632" s="138" t="str">
        <f t="shared" si="1306"/>
        <v>Upgraded</v>
      </c>
      <c r="G14632" s="153"/>
      <c r="H14632" s="210">
        <v>0.1439</v>
      </c>
      <c r="I14632" s="160" t="s">
        <v>58</v>
      </c>
      <c r="J14632" s="160">
        <v>5.9000000000000003E-4</v>
      </c>
      <c r="K14632" s="160" t="s">
        <v>145</v>
      </c>
      <c r="L14632" s="154" t="str">
        <f>IF(OpenLCAbasic!K14632="CTUh", "Fill in Manually",IF(OR(K14632="Unit", K14632=""), "", INDEX(LookUps!$E$5:$E$12, MATCH(OpenLCAbasic!K14632,LookUps!$D$5:$D$12,0))))</f>
        <v>Particulate Matter Formation Potential (PMFP) - kg PM2.5 eq</v>
      </c>
      <c r="M14632" s="154" t="str">
        <f t="shared" si="1307"/>
        <v>High_High_Low_Upgraded_Particulate Matter Formation Potential (PMFP) - kg PM2.5 eq_Pre-Anoxic &amp; Swing tank; wastewater treatment unit; at updated plant - US_Without Amendment_Aerated Static Pile</v>
      </c>
    </row>
    <row r="14633" spans="1:13" s="120" customFormat="1" x14ac:dyDescent="0.25">
      <c r="A14633" s="119"/>
      <c r="B14633" s="138" t="str">
        <f t="shared" ref="B14633:B14696" si="1309">IF(F14633="Legacy","n.a.",IF(F14633="","","Aerated Static Pile"))</f>
        <v>Aerated Static Pile</v>
      </c>
      <c r="C14633" s="138" t="str">
        <f t="shared" ref="C14633:C14696" si="1310">IF(ISNUMBER($J14633),"Without Amendment","")</f>
        <v>Without Amendment</v>
      </c>
      <c r="D14633" s="138" t="str">
        <f t="shared" si="1308"/>
        <v>High_Low</v>
      </c>
      <c r="E14633" s="138" t="str">
        <f t="shared" ref="E14633:E14696" si="1311">IF(ISNUMBER($J14633),"High","")</f>
        <v>High</v>
      </c>
      <c r="F14633" s="138" t="str">
        <f t="shared" ref="F14633:F14696" si="1312">IF(ISNUMBER(J14633),"Upgraded","")</f>
        <v>Upgraded</v>
      </c>
      <c r="G14633" s="153"/>
      <c r="H14633" s="210">
        <v>0.1258</v>
      </c>
      <c r="I14633" s="160" t="s">
        <v>435</v>
      </c>
      <c r="J14633" s="160">
        <v>5.1999999999999995E-4</v>
      </c>
      <c r="K14633" s="160" t="s">
        <v>145</v>
      </c>
      <c r="L14633" s="154" t="str">
        <f>IF(OpenLCAbasic!K14633="CTUh", "Fill in Manually",IF(OR(K14633="Unit", K14633=""), "", INDEX(LookUps!$E$5:$E$12, MATCH(OpenLCAbasic!K14633,LookUps!$D$5:$D$12,0))))</f>
        <v>Particulate Matter Formation Potential (PMFP) - kg PM2.5 eq</v>
      </c>
      <c r="M14633" s="154" t="str">
        <f t="shared" si="1307"/>
        <v>High_High_Low_Upgraded_Particulate Matter Formation Potential (PMFP) - kg PM2.5 eq_Biosolids composting; aerated static pile; wastewater treatment unit; at updated plant - US_Without Amendment_Aerated Static Pile</v>
      </c>
    </row>
    <row r="14634" spans="1:13" s="120" customFormat="1" x14ac:dyDescent="0.25">
      <c r="A14634" s="119"/>
      <c r="B14634" s="138" t="str">
        <f t="shared" si="1309"/>
        <v>Aerated Static Pile</v>
      </c>
      <c r="C14634" s="138" t="str">
        <f t="shared" si="1310"/>
        <v>Without Amendment</v>
      </c>
      <c r="D14634" s="138" t="str">
        <f t="shared" si="1308"/>
        <v>High_Low</v>
      </c>
      <c r="E14634" s="138" t="str">
        <f t="shared" si="1311"/>
        <v>High</v>
      </c>
      <c r="F14634" s="138" t="str">
        <f t="shared" si="1312"/>
        <v>Upgraded</v>
      </c>
      <c r="G14634" s="153"/>
      <c r="H14634" s="210">
        <v>0.11360000000000001</v>
      </c>
      <c r="I14634" s="160" t="s">
        <v>53</v>
      </c>
      <c r="J14634" s="160">
        <v>4.6999999999999999E-4</v>
      </c>
      <c r="K14634" s="160" t="s">
        <v>145</v>
      </c>
      <c r="L14634" s="154" t="str">
        <f>IF(OpenLCAbasic!K14634="CTUh", "Fill in Manually",IF(OR(K14634="Unit", K14634=""), "", INDEX(LookUps!$E$5:$E$12, MATCH(OpenLCAbasic!K14634,LookUps!$D$5:$D$12,0))))</f>
        <v>Particulate Matter Formation Potential (PMFP) - kg PM2.5 eq</v>
      </c>
      <c r="M14634" s="154" t="str">
        <f t="shared" si="1307"/>
        <v>High_High_Low_Upgraded_Particulate Matter Formation Potential (PMFP) - kg PM2.5 eq_Wet Well and Sump Station; wastewater treatment unit; at updated plant - US_Without Amendment_Aerated Static Pile</v>
      </c>
    </row>
    <row r="14635" spans="1:13" s="120" customFormat="1" x14ac:dyDescent="0.25">
      <c r="A14635" s="119"/>
      <c r="B14635" s="138" t="str">
        <f t="shared" si="1309"/>
        <v>Aerated Static Pile</v>
      </c>
      <c r="C14635" s="138" t="str">
        <f t="shared" si="1310"/>
        <v>Without Amendment</v>
      </c>
      <c r="D14635" s="138" t="str">
        <f t="shared" si="1308"/>
        <v>High_Low</v>
      </c>
      <c r="E14635" s="138" t="str">
        <f t="shared" si="1311"/>
        <v>High</v>
      </c>
      <c r="F14635" s="138" t="str">
        <f t="shared" si="1312"/>
        <v>Upgraded</v>
      </c>
      <c r="G14635" s="153"/>
      <c r="H14635" s="210">
        <v>8.0699999999999994E-2</v>
      </c>
      <c r="I14635" s="160" t="s">
        <v>167</v>
      </c>
      <c r="J14635" s="160">
        <v>3.3E-4</v>
      </c>
      <c r="K14635" s="160" t="s">
        <v>145</v>
      </c>
      <c r="L14635" s="154" t="str">
        <f>IF(OpenLCAbasic!K14635="CTUh", "Fill in Manually",IF(OR(K14635="Unit", K14635=""), "", INDEX(LookUps!$E$5:$E$12, MATCH(OpenLCAbasic!K14635,LookUps!$D$5:$D$12,0))))</f>
        <v>Particulate Matter Formation Potential (PMFP) - kg PM2.5 eq</v>
      </c>
      <c r="M14635" s="154" t="str">
        <f t="shared" si="1307"/>
        <v>High_High_Low_Upgraded_Particulate Matter Formation Potential (PMFP) - kg PM2.5 eq_Waste Receiving and Holding; wastewater treatment unit; at updated plant - US_Without Amendment_Aerated Static Pile</v>
      </c>
    </row>
    <row r="14636" spans="1:13" s="120" customFormat="1" x14ac:dyDescent="0.25">
      <c r="A14636" s="119"/>
      <c r="B14636" s="138" t="str">
        <f t="shared" si="1309"/>
        <v>Aerated Static Pile</v>
      </c>
      <c r="C14636" s="138" t="str">
        <f t="shared" si="1310"/>
        <v>Without Amendment</v>
      </c>
      <c r="D14636" s="138" t="str">
        <f t="shared" si="1308"/>
        <v>High_Low</v>
      </c>
      <c r="E14636" s="138" t="str">
        <f t="shared" si="1311"/>
        <v>High</v>
      </c>
      <c r="F14636" s="138" t="str">
        <f t="shared" si="1312"/>
        <v>Upgraded</v>
      </c>
      <c r="G14636" s="153"/>
      <c r="H14636" s="210">
        <v>6.4899999999999999E-2</v>
      </c>
      <c r="I14636" s="160" t="s">
        <v>147</v>
      </c>
      <c r="J14636" s="160">
        <v>2.7E-4</v>
      </c>
      <c r="K14636" s="160" t="s">
        <v>145</v>
      </c>
      <c r="L14636" s="154" t="str">
        <f>IF(OpenLCAbasic!K14636="CTUh", "Fill in Manually",IF(OR(K14636="Unit", K14636=""), "", INDEX(LookUps!$E$5:$E$12, MATCH(OpenLCAbasic!K14636,LookUps!$D$5:$D$12,0))))</f>
        <v>Particulate Matter Formation Potential (PMFP) - kg PM2.5 eq</v>
      </c>
      <c r="M14636" s="154" t="str">
        <f t="shared" si="1307"/>
        <v>High_High_Low_Upgraded_Particulate Matter Formation Potential (PMFP) - kg PM2.5 eq_Influent Pump Station; wastewater treatment unit; at updated plant - US_Without Amendment_Aerated Static Pile</v>
      </c>
    </row>
    <row r="14637" spans="1:13" s="120" customFormat="1" x14ac:dyDescent="0.25">
      <c r="A14637" s="119"/>
      <c r="B14637" s="138" t="str">
        <f t="shared" si="1309"/>
        <v>Aerated Static Pile</v>
      </c>
      <c r="C14637" s="138" t="str">
        <f t="shared" si="1310"/>
        <v>Without Amendment</v>
      </c>
      <c r="D14637" s="138" t="str">
        <f t="shared" si="1308"/>
        <v>High_Low</v>
      </c>
      <c r="E14637" s="138" t="str">
        <f t="shared" si="1311"/>
        <v>High</v>
      </c>
      <c r="F14637" s="138" t="str">
        <f t="shared" si="1312"/>
        <v>Upgraded</v>
      </c>
      <c r="G14637" s="153"/>
      <c r="H14637" s="210">
        <v>5.5300000000000002E-2</v>
      </c>
      <c r="I14637" s="160" t="s">
        <v>60</v>
      </c>
      <c r="J14637" s="160">
        <v>2.3000000000000001E-4</v>
      </c>
      <c r="K14637" s="160" t="s">
        <v>145</v>
      </c>
      <c r="L14637" s="154" t="str">
        <f>IF(OpenLCAbasic!K14637="CTUh", "Fill in Manually",IF(OR(K14637="Unit", K14637=""), "", INDEX(LookUps!$E$5:$E$12, MATCH(OpenLCAbasic!K14637,LookUps!$D$5:$D$12,0))))</f>
        <v>Particulate Matter Formation Potential (PMFP) - kg PM2.5 eq</v>
      </c>
      <c r="M14637" s="154" t="str">
        <f t="shared" si="1307"/>
        <v>High_High_Low_Upgraded_Particulate Matter Formation Potential (PMFP) - kg PM2.5 eq_Belt filter press; wastewater treatment unit; at updated plant - US_Without Amendment_Aerated Static Pile</v>
      </c>
    </row>
    <row r="14638" spans="1:13" s="120" customFormat="1" x14ac:dyDescent="0.25">
      <c r="A14638" s="119"/>
      <c r="B14638" s="138" t="str">
        <f t="shared" si="1309"/>
        <v>Aerated Static Pile</v>
      </c>
      <c r="C14638" s="138" t="str">
        <f t="shared" si="1310"/>
        <v>Without Amendment</v>
      </c>
      <c r="D14638" s="138" t="str">
        <f t="shared" si="1308"/>
        <v>High_Low</v>
      </c>
      <c r="E14638" s="138" t="str">
        <f t="shared" si="1311"/>
        <v>High</v>
      </c>
      <c r="F14638" s="138" t="str">
        <f t="shared" si="1312"/>
        <v>Upgraded</v>
      </c>
      <c r="G14638" s="153"/>
      <c r="H14638" s="210">
        <v>4.0500000000000001E-2</v>
      </c>
      <c r="I14638" s="160" t="s">
        <v>128</v>
      </c>
      <c r="J14638" s="160">
        <v>1.7000000000000001E-4</v>
      </c>
      <c r="K14638" s="160" t="s">
        <v>145</v>
      </c>
      <c r="L14638" s="154" t="str">
        <f>IF(OpenLCAbasic!K14638="CTUh", "Fill in Manually",IF(OR(K14638="Unit", K14638=""), "", INDEX(LookUps!$E$5:$E$12, MATCH(OpenLCAbasic!K14638,LookUps!$D$5:$D$12,0))))</f>
        <v>Particulate Matter Formation Potential (PMFP) - kg PM2.5 eq</v>
      </c>
      <c r="M14638" s="154" t="str">
        <f t="shared" si="1307"/>
        <v>High_High_Low_Upgraded_Particulate Matter Formation Potential (PMFP) - kg PM2.5 eq_Wastewater collection; operation and infrastructure; m3 wastewater_Without Amendment_Aerated Static Pile</v>
      </c>
    </row>
    <row r="14639" spans="1:13" s="120" customFormat="1" x14ac:dyDescent="0.25">
      <c r="A14639" s="119"/>
      <c r="B14639" s="138" t="str">
        <f t="shared" si="1309"/>
        <v>Aerated Static Pile</v>
      </c>
      <c r="C14639" s="138" t="str">
        <f t="shared" si="1310"/>
        <v>Without Amendment</v>
      </c>
      <c r="D14639" s="138" t="str">
        <f t="shared" si="1308"/>
        <v>High_Low</v>
      </c>
      <c r="E14639" s="138" t="str">
        <f t="shared" si="1311"/>
        <v>High</v>
      </c>
      <c r="F14639" s="138" t="str">
        <f t="shared" si="1312"/>
        <v>Upgraded</v>
      </c>
      <c r="G14639" s="153"/>
      <c r="H14639" s="210">
        <v>2.3199999999999998E-2</v>
      </c>
      <c r="I14639" s="160" t="s">
        <v>57</v>
      </c>
      <c r="J14639" s="211">
        <v>9.5153800000000004E-5</v>
      </c>
      <c r="K14639" s="160" t="s">
        <v>145</v>
      </c>
      <c r="L14639" s="154" t="str">
        <f>IF(OpenLCAbasic!K14639="CTUh", "Fill in Manually",IF(OR(K14639="Unit", K14639=""), "", INDEX(LookUps!$E$5:$E$12, MATCH(OpenLCAbasic!K14639,LookUps!$D$5:$D$12,0))))</f>
        <v>Particulate Matter Formation Potential (PMFP) - kg PM2.5 eq</v>
      </c>
      <c r="M14639" s="154" t="str">
        <f t="shared" si="1307"/>
        <v>High_High_Low_Upgraded_Particulate Matter Formation Potential (PMFP) - kg PM2.5 eq_Gravity Belt Thickener; wastewater treatment unit; at updated plant - US_Without Amendment_Aerated Static Pile</v>
      </c>
    </row>
    <row r="14640" spans="1:13" s="120" customFormat="1" x14ac:dyDescent="0.25">
      <c r="A14640" s="119"/>
      <c r="B14640" s="138" t="str">
        <f t="shared" si="1309"/>
        <v>Aerated Static Pile</v>
      </c>
      <c r="C14640" s="138" t="str">
        <f t="shared" si="1310"/>
        <v>Without Amendment</v>
      </c>
      <c r="D14640" s="138" t="str">
        <f t="shared" si="1308"/>
        <v>High_Low</v>
      </c>
      <c r="E14640" s="138" t="str">
        <f t="shared" si="1311"/>
        <v>High</v>
      </c>
      <c r="F14640" s="138" t="str">
        <f t="shared" si="1312"/>
        <v>Upgraded</v>
      </c>
      <c r="G14640" s="153"/>
      <c r="H14640" s="210">
        <v>1.7000000000000001E-2</v>
      </c>
      <c r="I14640" s="160" t="s">
        <v>59</v>
      </c>
      <c r="J14640" s="211">
        <v>6.9942200000000003E-5</v>
      </c>
      <c r="K14640" s="160" t="s">
        <v>145</v>
      </c>
      <c r="L14640" s="154" t="str">
        <f>IF(OpenLCAbasic!K14640="CTUh", "Fill in Manually",IF(OR(K14640="Unit", K14640=""), "", INDEX(LookUps!$E$5:$E$12, MATCH(OpenLCAbasic!K14640,LookUps!$D$5:$D$12,0))))</f>
        <v>Particulate Matter Formation Potential (PMFP) - kg PM2.5 eq</v>
      </c>
      <c r="M14640" s="154" t="str">
        <f t="shared" si="1307"/>
        <v>High_High_Low_Upgraded_Particulate Matter Formation Potential (PMFP) - kg PM2.5 eq_Blend Tank; wastewater treatment unit; at updated plant - US_Without Amendment_Aerated Static Pile</v>
      </c>
    </row>
    <row r="14641" spans="1:13" s="120" customFormat="1" x14ac:dyDescent="0.25">
      <c r="A14641" s="119"/>
      <c r="B14641" s="138" t="str">
        <f t="shared" si="1309"/>
        <v>Aerated Static Pile</v>
      </c>
      <c r="C14641" s="138" t="str">
        <f t="shared" si="1310"/>
        <v>Without Amendment</v>
      </c>
      <c r="D14641" s="138" t="str">
        <f t="shared" si="1308"/>
        <v>High_Low</v>
      </c>
      <c r="E14641" s="138" t="str">
        <f t="shared" si="1311"/>
        <v>High</v>
      </c>
      <c r="F14641" s="138" t="str">
        <f t="shared" si="1312"/>
        <v>Upgraded</v>
      </c>
      <c r="G14641" s="153"/>
      <c r="H14641" s="210">
        <v>1.2500000000000001E-2</v>
      </c>
      <c r="I14641" s="160" t="s">
        <v>62</v>
      </c>
      <c r="J14641" s="211">
        <v>5.1302599999999999E-5</v>
      </c>
      <c r="K14641" s="160" t="s">
        <v>145</v>
      </c>
      <c r="L14641" s="154" t="str">
        <f>IF(OpenLCAbasic!K14641="CTUh", "Fill in Manually",IF(OR(K14641="Unit", K14641=""), "", INDEX(LookUps!$E$5:$E$12, MATCH(OpenLCAbasic!K14641,LookUps!$D$5:$D$12,0))))</f>
        <v>Particulate Matter Formation Potential (PMFP) - kg PM2.5 eq</v>
      </c>
      <c r="M14641" s="154" t="str">
        <f t="shared" si="1307"/>
        <v>High_High_Low_Upgraded_Particulate Matter Formation Potential (PMFP) - kg PM2.5 eq_Land application of compost; wastewater treatment unit; at updated plant - US_Without Amendment_Aerated Static Pile</v>
      </c>
    </row>
    <row r="14642" spans="1:13" s="120" customFormat="1" x14ac:dyDescent="0.25">
      <c r="A14642" s="119"/>
      <c r="B14642" s="138" t="str">
        <f t="shared" si="1309"/>
        <v>Aerated Static Pile</v>
      </c>
      <c r="C14642" s="138" t="str">
        <f t="shared" si="1310"/>
        <v>Without Amendment</v>
      </c>
      <c r="D14642" s="138" t="str">
        <f t="shared" si="1308"/>
        <v>High_Low</v>
      </c>
      <c r="E14642" s="138" t="str">
        <f t="shared" si="1311"/>
        <v>High</v>
      </c>
      <c r="F14642" s="138" t="str">
        <f t="shared" si="1312"/>
        <v>Upgraded</v>
      </c>
      <c r="G14642" s="153"/>
      <c r="H14642" s="210">
        <v>1.2200000000000001E-2</v>
      </c>
      <c r="I14642" s="160" t="s">
        <v>48</v>
      </c>
      <c r="J14642" s="211">
        <v>4.99741E-5</v>
      </c>
      <c r="K14642" s="160" t="s">
        <v>145</v>
      </c>
      <c r="L14642" s="154" t="str">
        <f>IF(OpenLCAbasic!K14642="CTUh", "Fill in Manually",IF(OR(K14642="Unit", K14642=""), "", INDEX(LookUps!$E$5:$E$12, MATCH(OpenLCAbasic!K14642,LookUps!$D$5:$D$12,0))))</f>
        <v>Particulate Matter Formation Potential (PMFP) - kg PM2.5 eq</v>
      </c>
      <c r="M14642" s="154" t="str">
        <f t="shared" si="1307"/>
        <v>High_High_Low_Upgraded_Particulate Matter Formation Potential (PMFP) - kg PM2.5 eq_Effluent release; wastewater treatment unit; at surface water; m3 wastewater - US_Without Amendment_Aerated Static Pile</v>
      </c>
    </row>
    <row r="14643" spans="1:13" s="120" customFormat="1" x14ac:dyDescent="0.25">
      <c r="A14643" s="119"/>
      <c r="B14643" s="138" t="str">
        <f t="shared" si="1309"/>
        <v>Aerated Static Pile</v>
      </c>
      <c r="C14643" s="138" t="str">
        <f t="shared" si="1310"/>
        <v>Without Amendment</v>
      </c>
      <c r="D14643" s="138" t="str">
        <f t="shared" si="1308"/>
        <v>High_Low</v>
      </c>
      <c r="E14643" s="138" t="str">
        <f t="shared" si="1311"/>
        <v>High</v>
      </c>
      <c r="F14643" s="138" t="str">
        <f t="shared" si="1312"/>
        <v>Upgraded</v>
      </c>
      <c r="G14643" s="153"/>
      <c r="H14643" s="210">
        <v>8.3999999999999995E-3</v>
      </c>
      <c r="I14643" s="160" t="s">
        <v>168</v>
      </c>
      <c r="J14643" s="211">
        <v>3.4562199999999999E-5</v>
      </c>
      <c r="K14643" s="160" t="s">
        <v>145</v>
      </c>
      <c r="L14643" s="154" t="str">
        <f>IF(OpenLCAbasic!K14643="CTUh", "Fill in Manually",IF(OR(K14643="Unit", K14643=""), "", INDEX(LookUps!$E$5:$E$12, MATCH(OpenLCAbasic!K14643,LookUps!$D$5:$D$12,0))))</f>
        <v>Particulate Matter Formation Potential (PMFP) - kg PM2.5 eq</v>
      </c>
      <c r="M14643" s="154" t="str">
        <f t="shared" si="1307"/>
        <v>High_High_Low_Upgraded_Particulate Matter Formation Potential (PMFP) - kg PM2.5 eq_ClearCove SCP; wastewater treatment unit; at updated plant - US_Without Amendment_Aerated Static Pile</v>
      </c>
    </row>
    <row r="14644" spans="1:13" s="120" customFormat="1" x14ac:dyDescent="0.25">
      <c r="A14644" s="119"/>
      <c r="B14644" s="138" t="str">
        <f t="shared" si="1309"/>
        <v>Aerated Static Pile</v>
      </c>
      <c r="C14644" s="138" t="str">
        <f t="shared" si="1310"/>
        <v>Without Amendment</v>
      </c>
      <c r="D14644" s="138" t="str">
        <f t="shared" si="1308"/>
        <v>High_Low</v>
      </c>
      <c r="E14644" s="138" t="str">
        <f t="shared" si="1311"/>
        <v>High</v>
      </c>
      <c r="F14644" s="138" t="str">
        <f t="shared" si="1312"/>
        <v>Upgraded</v>
      </c>
      <c r="G14644" s="153"/>
      <c r="H14644" s="210">
        <v>2.0999999999999999E-3</v>
      </c>
      <c r="I14644" s="160" t="s">
        <v>148</v>
      </c>
      <c r="J14644" s="211">
        <v>8.8212999999999997E-6</v>
      </c>
      <c r="K14644" s="160" t="s">
        <v>145</v>
      </c>
      <c r="L14644" s="154" t="str">
        <f>IF(OpenLCAbasic!K14644="CTUh", "Fill in Manually",IF(OR(K14644="Unit", K14644=""), "", INDEX(LookUps!$E$5:$E$12, MATCH(OpenLCAbasic!K14644,LookUps!$D$5:$D$12,0))))</f>
        <v>Particulate Matter Formation Potential (PMFP) - kg PM2.5 eq</v>
      </c>
      <c r="M14644" s="154" t="str">
        <f t="shared" si="1307"/>
        <v>High_High_Low_Upgraded_Particulate Matter Formation Potential (PMFP) - kg PM2.5 eq_Control Building; at upgraded wastewater treatment plant - US_Without Amendment_Aerated Static Pile</v>
      </c>
    </row>
    <row r="14645" spans="1:13" s="120" customFormat="1" x14ac:dyDescent="0.25">
      <c r="A14645" s="119"/>
      <c r="B14645" s="138" t="str">
        <f t="shared" si="1309"/>
        <v>Aerated Static Pile</v>
      </c>
      <c r="C14645" s="138" t="str">
        <f t="shared" si="1310"/>
        <v>Without Amendment</v>
      </c>
      <c r="D14645" s="138" t="str">
        <f t="shared" si="1308"/>
        <v>High_Low</v>
      </c>
      <c r="E14645" s="138" t="str">
        <f t="shared" si="1311"/>
        <v>High</v>
      </c>
      <c r="F14645" s="138" t="str">
        <f t="shared" si="1312"/>
        <v>Upgraded</v>
      </c>
      <c r="G14645" s="153"/>
      <c r="H14645" s="210">
        <v>-0.43330000000000002</v>
      </c>
      <c r="I14645" s="160" t="s">
        <v>149</v>
      </c>
      <c r="J14645" s="160">
        <v>-1.7799999999999999E-3</v>
      </c>
      <c r="K14645" s="160" t="s">
        <v>145</v>
      </c>
      <c r="L14645" s="154" t="str">
        <f>IF(OpenLCAbasic!K14645="CTUh", "Fill in Manually",IF(OR(K14645="Unit", K14645=""), "", INDEX(LookUps!$E$5:$E$12, MATCH(OpenLCAbasic!K14645,LookUps!$D$5:$D$12,0))))</f>
        <v>Particulate Matter Formation Potential (PMFP) - kg PM2.5 eq</v>
      </c>
      <c r="M14645" s="154" t="str">
        <f t="shared" si="1307"/>
        <v>High_High_Low_Upgraded_Particulate Matter Formation Potential (PMFP) - kg PM2.5 eq_Anaerobic Digestion; wastewater treatment unit; at updated plant - US_Without Amendment_Aerated Static Pile</v>
      </c>
    </row>
    <row r="14646" spans="1:13" s="120" customFormat="1" x14ac:dyDescent="0.25">
      <c r="A14646" s="119"/>
      <c r="B14646" s="138" t="str">
        <f t="shared" si="1309"/>
        <v/>
      </c>
      <c r="C14646" s="138" t="str">
        <f t="shared" si="1310"/>
        <v/>
      </c>
      <c r="D14646" s="138" t="str">
        <f t="shared" si="1308"/>
        <v/>
      </c>
      <c r="E14646" s="138" t="str">
        <f t="shared" si="1311"/>
        <v/>
      </c>
      <c r="F14646" s="138" t="str">
        <f t="shared" si="1312"/>
        <v/>
      </c>
      <c r="G14646" s="153" t="s">
        <v>51</v>
      </c>
      <c r="H14646" s="160"/>
      <c r="I14646" s="160" t="s">
        <v>47</v>
      </c>
      <c r="J14646" s="160" t="s">
        <v>52</v>
      </c>
      <c r="K14646" s="160" t="s">
        <v>27</v>
      </c>
      <c r="L14646" s="154" t="str">
        <f>IF(OpenLCAbasic!K14646="CTUh", "Fill in Manually",IF(OR(K14646="Unit", K14646=""), "", INDEX(LookUps!$E$5:$E$12, MATCH(OpenLCAbasic!K14646,LookUps!$D$5:$D$12,0))))</f>
        <v/>
      </c>
      <c r="M14646" s="154" t="str">
        <f t="shared" si="1307"/>
        <v>____Process__</v>
      </c>
    </row>
    <row r="14647" spans="1:13" s="120" customFormat="1" x14ac:dyDescent="0.25">
      <c r="A14647" s="119"/>
      <c r="B14647" s="138" t="str">
        <f t="shared" si="1309"/>
        <v>Aerated Static Pile</v>
      </c>
      <c r="C14647" s="138" t="str">
        <f t="shared" si="1310"/>
        <v>Without Amendment</v>
      </c>
      <c r="D14647" s="138" t="str">
        <f t="shared" si="1308"/>
        <v>High_Low</v>
      </c>
      <c r="E14647" s="138" t="str">
        <f t="shared" si="1311"/>
        <v>High</v>
      </c>
      <c r="F14647" s="138" t="str">
        <f t="shared" si="1312"/>
        <v>Upgraded</v>
      </c>
      <c r="G14647" s="153"/>
      <c r="H14647" s="210">
        <v>0.56730000000000003</v>
      </c>
      <c r="I14647" s="160" t="s">
        <v>55</v>
      </c>
      <c r="J14647" s="160">
        <v>0.16577</v>
      </c>
      <c r="K14647" s="160" t="s">
        <v>25</v>
      </c>
      <c r="L14647" s="154" t="str">
        <f>IF(OpenLCAbasic!K14647="CTUh", "Fill in Manually",IF(OR(K14647="Unit", K14647=""), "", INDEX(LookUps!$E$5:$E$12, MATCH(OpenLCAbasic!K14647,LookUps!$D$5:$D$12,0))))</f>
        <v>Smog Formation Potential (SFP) - kg O3 eq</v>
      </c>
      <c r="M14647" s="154" t="str">
        <f t="shared" si="1307"/>
        <v>High_High_Low_Upgraded_Smog Formation Potential (SFP) - kg O3 eq_Aeration Tanks; wastewater treatment unit; at updated plant - US_Without Amendment_Aerated Static Pile</v>
      </c>
    </row>
    <row r="14648" spans="1:13" s="120" customFormat="1" x14ac:dyDescent="0.25">
      <c r="A14648" s="119"/>
      <c r="B14648" s="138" t="str">
        <f t="shared" si="1309"/>
        <v>Aerated Static Pile</v>
      </c>
      <c r="C14648" s="138" t="str">
        <f t="shared" si="1310"/>
        <v>Without Amendment</v>
      </c>
      <c r="D14648" s="138" t="str">
        <f t="shared" si="1308"/>
        <v>High_Low</v>
      </c>
      <c r="E14648" s="138" t="str">
        <f t="shared" si="1311"/>
        <v>High</v>
      </c>
      <c r="F14648" s="138" t="str">
        <f t="shared" si="1312"/>
        <v>Upgraded</v>
      </c>
      <c r="G14648" s="153"/>
      <c r="H14648" s="210">
        <v>0.16450000000000001</v>
      </c>
      <c r="I14648" s="160" t="s">
        <v>54</v>
      </c>
      <c r="J14648" s="160">
        <v>4.8070000000000002E-2</v>
      </c>
      <c r="K14648" s="160" t="s">
        <v>25</v>
      </c>
      <c r="L14648" s="154" t="str">
        <f>IF(OpenLCAbasic!K14648="CTUh", "Fill in Manually",IF(OR(K14648="Unit", K14648=""), "", INDEX(LookUps!$E$5:$E$12, MATCH(OpenLCAbasic!K14648,LookUps!$D$5:$D$12,0))))</f>
        <v>Smog Formation Potential (SFP) - kg O3 eq</v>
      </c>
      <c r="M14648" s="154" t="str">
        <f t="shared" si="1307"/>
        <v>High_High_Low_Upgraded_Smog Formation Potential (SFP) - kg O3 eq_Clear Cove Primary Clarification; wastewater treatment unit; at updated plant - US_Without Amendment_Aerated Static Pile</v>
      </c>
    </row>
    <row r="14649" spans="1:13" s="120" customFormat="1" x14ac:dyDescent="0.25">
      <c r="A14649" s="119"/>
      <c r="B14649" s="138" t="str">
        <f t="shared" si="1309"/>
        <v>Aerated Static Pile</v>
      </c>
      <c r="C14649" s="138" t="str">
        <f t="shared" si="1310"/>
        <v>Without Amendment</v>
      </c>
      <c r="D14649" s="138" t="str">
        <f t="shared" si="1308"/>
        <v>High_Low</v>
      </c>
      <c r="E14649" s="138" t="str">
        <f t="shared" si="1311"/>
        <v>High</v>
      </c>
      <c r="F14649" s="138" t="str">
        <f t="shared" si="1312"/>
        <v>Upgraded</v>
      </c>
      <c r="G14649" s="153"/>
      <c r="H14649" s="210">
        <v>0.14399999999999999</v>
      </c>
      <c r="I14649" s="160" t="s">
        <v>58</v>
      </c>
      <c r="J14649" s="160">
        <v>4.2090000000000002E-2</v>
      </c>
      <c r="K14649" s="160" t="s">
        <v>25</v>
      </c>
      <c r="L14649" s="154" t="str">
        <f>IF(OpenLCAbasic!K14649="CTUh", "Fill in Manually",IF(OR(K14649="Unit", K14649=""), "", INDEX(LookUps!$E$5:$E$12, MATCH(OpenLCAbasic!K14649,LookUps!$D$5:$D$12,0))))</f>
        <v>Smog Formation Potential (SFP) - kg O3 eq</v>
      </c>
      <c r="M14649" s="154" t="str">
        <f t="shared" si="1307"/>
        <v>High_High_Low_Upgraded_Smog Formation Potential (SFP) - kg O3 eq_Pre-Anoxic &amp; Swing tank; wastewater treatment unit; at updated plant - US_Without Amendment_Aerated Static Pile</v>
      </c>
    </row>
    <row r="14650" spans="1:13" s="120" customFormat="1" x14ac:dyDescent="0.25">
      <c r="A14650" s="119"/>
      <c r="B14650" s="138" t="str">
        <f t="shared" si="1309"/>
        <v>Aerated Static Pile</v>
      </c>
      <c r="C14650" s="138" t="str">
        <f t="shared" si="1310"/>
        <v>Without Amendment</v>
      </c>
      <c r="D14650" s="138" t="str">
        <f t="shared" si="1308"/>
        <v>High_Low</v>
      </c>
      <c r="E14650" s="138" t="str">
        <f t="shared" si="1311"/>
        <v>High</v>
      </c>
      <c r="F14650" s="138" t="str">
        <f t="shared" si="1312"/>
        <v>Upgraded</v>
      </c>
      <c r="G14650" s="153"/>
      <c r="H14650" s="210">
        <v>0.1197</v>
      </c>
      <c r="I14650" s="160" t="s">
        <v>435</v>
      </c>
      <c r="J14650" s="160">
        <v>3.499E-2</v>
      </c>
      <c r="K14650" s="160" t="s">
        <v>25</v>
      </c>
      <c r="L14650" s="154" t="str">
        <f>IF(OpenLCAbasic!K14650="CTUh", "Fill in Manually",IF(OR(K14650="Unit", K14650=""), "", INDEX(LookUps!$E$5:$E$12, MATCH(OpenLCAbasic!K14650,LookUps!$D$5:$D$12,0))))</f>
        <v>Smog Formation Potential (SFP) - kg O3 eq</v>
      </c>
      <c r="M14650" s="154" t="str">
        <f t="shared" si="1307"/>
        <v>High_High_Low_Upgraded_Smog Formation Potential (SFP) - kg O3 eq_Biosolids composting; aerated static pile; wastewater treatment unit; at updated plant - US_Without Amendment_Aerated Static Pile</v>
      </c>
    </row>
    <row r="14651" spans="1:13" s="120" customFormat="1" x14ac:dyDescent="0.25">
      <c r="A14651" s="119"/>
      <c r="B14651" s="138" t="str">
        <f t="shared" si="1309"/>
        <v>Aerated Static Pile</v>
      </c>
      <c r="C14651" s="138" t="str">
        <f t="shared" si="1310"/>
        <v>Without Amendment</v>
      </c>
      <c r="D14651" s="138" t="str">
        <f t="shared" si="1308"/>
        <v>High_Low</v>
      </c>
      <c r="E14651" s="138" t="str">
        <f t="shared" si="1311"/>
        <v>High</v>
      </c>
      <c r="F14651" s="138" t="str">
        <f t="shared" si="1312"/>
        <v>Upgraded</v>
      </c>
      <c r="G14651" s="153"/>
      <c r="H14651" s="210">
        <v>0.11550000000000001</v>
      </c>
      <c r="I14651" s="160" t="s">
        <v>167</v>
      </c>
      <c r="J14651" s="160">
        <v>3.3759999999999998E-2</v>
      </c>
      <c r="K14651" s="160" t="s">
        <v>25</v>
      </c>
      <c r="L14651" s="154" t="str">
        <f>IF(OpenLCAbasic!K14651="CTUh", "Fill in Manually",IF(OR(K14651="Unit", K14651=""), "", INDEX(LookUps!$E$5:$E$12, MATCH(OpenLCAbasic!K14651,LookUps!$D$5:$D$12,0))))</f>
        <v>Smog Formation Potential (SFP) - kg O3 eq</v>
      </c>
      <c r="M14651" s="154" t="str">
        <f t="shared" si="1307"/>
        <v>High_High_Low_Upgraded_Smog Formation Potential (SFP) - kg O3 eq_Waste Receiving and Holding; wastewater treatment unit; at updated plant - US_Without Amendment_Aerated Static Pile</v>
      </c>
    </row>
    <row r="14652" spans="1:13" s="120" customFormat="1" x14ac:dyDescent="0.25">
      <c r="A14652" s="119"/>
      <c r="B14652" s="138" t="str">
        <f t="shared" si="1309"/>
        <v>Aerated Static Pile</v>
      </c>
      <c r="C14652" s="138" t="str">
        <f t="shared" si="1310"/>
        <v>Without Amendment</v>
      </c>
      <c r="D14652" s="138" t="str">
        <f t="shared" si="1308"/>
        <v>High_Low</v>
      </c>
      <c r="E14652" s="138" t="str">
        <f t="shared" si="1311"/>
        <v>High</v>
      </c>
      <c r="F14652" s="138" t="str">
        <f t="shared" si="1312"/>
        <v>Upgraded</v>
      </c>
      <c r="G14652" s="153"/>
      <c r="H14652" s="210">
        <v>0.1134</v>
      </c>
      <c r="I14652" s="160" t="s">
        <v>53</v>
      </c>
      <c r="J14652" s="160">
        <v>3.313E-2</v>
      </c>
      <c r="K14652" s="160" t="s">
        <v>25</v>
      </c>
      <c r="L14652" s="154" t="str">
        <f>IF(OpenLCAbasic!K14652="CTUh", "Fill in Manually",IF(OR(K14652="Unit", K14652=""), "", INDEX(LookUps!$E$5:$E$12, MATCH(OpenLCAbasic!K14652,LookUps!$D$5:$D$12,0))))</f>
        <v>Smog Formation Potential (SFP) - kg O3 eq</v>
      </c>
      <c r="M14652" s="154" t="str">
        <f t="shared" si="1307"/>
        <v>High_High_Low_Upgraded_Smog Formation Potential (SFP) - kg O3 eq_Wet Well and Sump Station; wastewater treatment unit; at updated plant - US_Without Amendment_Aerated Static Pile</v>
      </c>
    </row>
    <row r="14653" spans="1:13" s="120" customFormat="1" x14ac:dyDescent="0.25">
      <c r="A14653" s="119"/>
      <c r="B14653" s="138" t="str">
        <f t="shared" si="1309"/>
        <v>Aerated Static Pile</v>
      </c>
      <c r="C14653" s="138" t="str">
        <f t="shared" si="1310"/>
        <v>Without Amendment</v>
      </c>
      <c r="D14653" s="138" t="str">
        <f t="shared" si="1308"/>
        <v>High_Low</v>
      </c>
      <c r="E14653" s="138" t="str">
        <f t="shared" si="1311"/>
        <v>High</v>
      </c>
      <c r="F14653" s="138" t="str">
        <f t="shared" si="1312"/>
        <v>Upgraded</v>
      </c>
      <c r="G14653" s="153"/>
      <c r="H14653" s="210">
        <v>6.6400000000000001E-2</v>
      </c>
      <c r="I14653" s="160" t="s">
        <v>147</v>
      </c>
      <c r="J14653" s="160">
        <v>1.9400000000000001E-2</v>
      </c>
      <c r="K14653" s="160" t="s">
        <v>25</v>
      </c>
      <c r="L14653" s="154" t="str">
        <f>IF(OpenLCAbasic!K14653="CTUh", "Fill in Manually",IF(OR(K14653="Unit", K14653=""), "", INDEX(LookUps!$E$5:$E$12, MATCH(OpenLCAbasic!K14653,LookUps!$D$5:$D$12,0))))</f>
        <v>Smog Formation Potential (SFP) - kg O3 eq</v>
      </c>
      <c r="M14653" s="154" t="str">
        <f t="shared" si="1307"/>
        <v>High_High_Low_Upgraded_Smog Formation Potential (SFP) - kg O3 eq_Influent Pump Station; wastewater treatment unit; at updated plant - US_Without Amendment_Aerated Static Pile</v>
      </c>
    </row>
    <row r="14654" spans="1:13" s="120" customFormat="1" x14ac:dyDescent="0.25">
      <c r="A14654" s="119"/>
      <c r="B14654" s="138" t="str">
        <f t="shared" si="1309"/>
        <v>Aerated Static Pile</v>
      </c>
      <c r="C14654" s="138" t="str">
        <f t="shared" si="1310"/>
        <v>Without Amendment</v>
      </c>
      <c r="D14654" s="138" t="str">
        <f t="shared" si="1308"/>
        <v>High_Low</v>
      </c>
      <c r="E14654" s="138" t="str">
        <f t="shared" si="1311"/>
        <v>High</v>
      </c>
      <c r="F14654" s="138" t="str">
        <f t="shared" si="1312"/>
        <v>Upgraded</v>
      </c>
      <c r="G14654" s="153"/>
      <c r="H14654" s="210">
        <v>5.4699999999999999E-2</v>
      </c>
      <c r="I14654" s="160" t="s">
        <v>60</v>
      </c>
      <c r="J14654" s="160">
        <v>1.5990000000000001E-2</v>
      </c>
      <c r="K14654" s="160" t="s">
        <v>25</v>
      </c>
      <c r="L14654" s="154" t="str">
        <f>IF(OpenLCAbasic!K14654="CTUh", "Fill in Manually",IF(OR(K14654="Unit", K14654=""), "", INDEX(LookUps!$E$5:$E$12, MATCH(OpenLCAbasic!K14654,LookUps!$D$5:$D$12,0))))</f>
        <v>Smog Formation Potential (SFP) - kg O3 eq</v>
      </c>
      <c r="M14654" s="154" t="str">
        <f t="shared" si="1307"/>
        <v>High_High_Low_Upgraded_Smog Formation Potential (SFP) - kg O3 eq_Belt filter press; wastewater treatment unit; at updated plant - US_Without Amendment_Aerated Static Pile</v>
      </c>
    </row>
    <row r="14655" spans="1:13" s="120" customFormat="1" x14ac:dyDescent="0.25">
      <c r="A14655" s="119"/>
      <c r="B14655" s="138" t="str">
        <f t="shared" si="1309"/>
        <v>Aerated Static Pile</v>
      </c>
      <c r="C14655" s="138" t="str">
        <f t="shared" si="1310"/>
        <v>Without Amendment</v>
      </c>
      <c r="D14655" s="138" t="str">
        <f t="shared" si="1308"/>
        <v>High_Low</v>
      </c>
      <c r="E14655" s="138" t="str">
        <f t="shared" si="1311"/>
        <v>High</v>
      </c>
      <c r="F14655" s="138" t="str">
        <f t="shared" si="1312"/>
        <v>Upgraded</v>
      </c>
      <c r="G14655" s="153"/>
      <c r="H14655" s="210">
        <v>4.0800000000000003E-2</v>
      </c>
      <c r="I14655" s="160" t="s">
        <v>128</v>
      </c>
      <c r="J14655" s="160">
        <v>1.192E-2</v>
      </c>
      <c r="K14655" s="160" t="s">
        <v>25</v>
      </c>
      <c r="L14655" s="154" t="str">
        <f>IF(OpenLCAbasic!K14655="CTUh", "Fill in Manually",IF(OR(K14655="Unit", K14655=""), "", INDEX(LookUps!$E$5:$E$12, MATCH(OpenLCAbasic!K14655,LookUps!$D$5:$D$12,0))))</f>
        <v>Smog Formation Potential (SFP) - kg O3 eq</v>
      </c>
      <c r="M14655" s="154" t="str">
        <f t="shared" si="1307"/>
        <v>High_High_Low_Upgraded_Smog Formation Potential (SFP) - kg O3 eq_Wastewater collection; operation and infrastructure; m3 wastewater_Without Amendment_Aerated Static Pile</v>
      </c>
    </row>
    <row r="14656" spans="1:13" s="120" customFormat="1" x14ac:dyDescent="0.25">
      <c r="A14656" s="119"/>
      <c r="B14656" s="138" t="str">
        <f t="shared" si="1309"/>
        <v>Aerated Static Pile</v>
      </c>
      <c r="C14656" s="138" t="str">
        <f t="shared" si="1310"/>
        <v>Without Amendment</v>
      </c>
      <c r="D14656" s="138" t="str">
        <f t="shared" si="1308"/>
        <v>High_Low</v>
      </c>
      <c r="E14656" s="138" t="str">
        <f t="shared" si="1311"/>
        <v>High</v>
      </c>
      <c r="F14656" s="138" t="str">
        <f t="shared" si="1312"/>
        <v>Upgraded</v>
      </c>
      <c r="G14656" s="153"/>
      <c r="H14656" s="210">
        <v>2.2800000000000001E-2</v>
      </c>
      <c r="I14656" s="160" t="s">
        <v>57</v>
      </c>
      <c r="J14656" s="160">
        <v>6.6499999999999997E-3</v>
      </c>
      <c r="K14656" s="160" t="s">
        <v>25</v>
      </c>
      <c r="L14656" s="154" t="str">
        <f>IF(OpenLCAbasic!K14656="CTUh", "Fill in Manually",IF(OR(K14656="Unit", K14656=""), "", INDEX(LookUps!$E$5:$E$12, MATCH(OpenLCAbasic!K14656,LookUps!$D$5:$D$12,0))))</f>
        <v>Smog Formation Potential (SFP) - kg O3 eq</v>
      </c>
      <c r="M14656" s="154" t="str">
        <f t="shared" si="1307"/>
        <v>High_High_Low_Upgraded_Smog Formation Potential (SFP) - kg O3 eq_Gravity Belt Thickener; wastewater treatment unit; at updated plant - US_Without Amendment_Aerated Static Pile</v>
      </c>
    </row>
    <row r="14657" spans="1:13" s="120" customFormat="1" x14ac:dyDescent="0.25">
      <c r="A14657" s="119"/>
      <c r="B14657" s="138" t="str">
        <f t="shared" si="1309"/>
        <v>Aerated Static Pile</v>
      </c>
      <c r="C14657" s="138" t="str">
        <f t="shared" si="1310"/>
        <v>Without Amendment</v>
      </c>
      <c r="D14657" s="138" t="str">
        <f t="shared" si="1308"/>
        <v>High_Low</v>
      </c>
      <c r="E14657" s="138" t="str">
        <f t="shared" si="1311"/>
        <v>High</v>
      </c>
      <c r="F14657" s="138" t="str">
        <f t="shared" si="1312"/>
        <v>Upgraded</v>
      </c>
      <c r="G14657" s="153"/>
      <c r="H14657" s="210">
        <v>1.7000000000000001E-2</v>
      </c>
      <c r="I14657" s="160" t="s">
        <v>59</v>
      </c>
      <c r="J14657" s="160">
        <v>4.9699999999999996E-3</v>
      </c>
      <c r="K14657" s="160" t="s">
        <v>25</v>
      </c>
      <c r="L14657" s="154" t="str">
        <f>IF(OpenLCAbasic!K14657="CTUh", "Fill in Manually",IF(OR(K14657="Unit", K14657=""), "", INDEX(LookUps!$E$5:$E$12, MATCH(OpenLCAbasic!K14657,LookUps!$D$5:$D$12,0))))</f>
        <v>Smog Formation Potential (SFP) - kg O3 eq</v>
      </c>
      <c r="M14657" s="154" t="str">
        <f t="shared" si="1307"/>
        <v>High_High_Low_Upgraded_Smog Formation Potential (SFP) - kg O3 eq_Blend Tank; wastewater treatment unit; at updated plant - US_Without Amendment_Aerated Static Pile</v>
      </c>
    </row>
    <row r="14658" spans="1:13" s="120" customFormat="1" x14ac:dyDescent="0.25">
      <c r="A14658" s="119"/>
      <c r="B14658" s="138" t="str">
        <f t="shared" si="1309"/>
        <v>Aerated Static Pile</v>
      </c>
      <c r="C14658" s="138" t="str">
        <f t="shared" si="1310"/>
        <v>Without Amendment</v>
      </c>
      <c r="D14658" s="138" t="str">
        <f t="shared" si="1308"/>
        <v>High_Low</v>
      </c>
      <c r="E14658" s="138" t="str">
        <f t="shared" si="1311"/>
        <v>High</v>
      </c>
      <c r="F14658" s="138" t="str">
        <f t="shared" si="1312"/>
        <v>Upgraded</v>
      </c>
      <c r="G14658" s="153"/>
      <c r="H14658" s="210">
        <v>1.1599999999999999E-2</v>
      </c>
      <c r="I14658" s="160" t="s">
        <v>48</v>
      </c>
      <c r="J14658" s="160">
        <v>3.3899999999999998E-3</v>
      </c>
      <c r="K14658" s="160" t="s">
        <v>25</v>
      </c>
      <c r="L14658" s="154" t="str">
        <f>IF(OpenLCAbasic!K14658="CTUh", "Fill in Manually",IF(OR(K14658="Unit", K14658=""), "", INDEX(LookUps!$E$5:$E$12, MATCH(OpenLCAbasic!K14658,LookUps!$D$5:$D$12,0))))</f>
        <v>Smog Formation Potential (SFP) - kg O3 eq</v>
      </c>
      <c r="M14658" s="154" t="str">
        <f t="shared" si="1307"/>
        <v>High_High_Low_Upgraded_Smog Formation Potential (SFP) - kg O3 eq_Effluent release; wastewater treatment unit; at surface water; m3 wastewater - US_Without Amendment_Aerated Static Pile</v>
      </c>
    </row>
    <row r="14659" spans="1:13" s="120" customFormat="1" x14ac:dyDescent="0.25">
      <c r="A14659" s="119"/>
      <c r="B14659" s="138" t="str">
        <f t="shared" si="1309"/>
        <v>Aerated Static Pile</v>
      </c>
      <c r="C14659" s="138" t="str">
        <f t="shared" si="1310"/>
        <v>Without Amendment</v>
      </c>
      <c r="D14659" s="138" t="str">
        <f t="shared" si="1308"/>
        <v>High_Low</v>
      </c>
      <c r="E14659" s="138" t="str">
        <f t="shared" si="1311"/>
        <v>High</v>
      </c>
      <c r="F14659" s="138" t="str">
        <f t="shared" si="1312"/>
        <v>Upgraded</v>
      </c>
      <c r="G14659" s="153"/>
      <c r="H14659" s="210">
        <v>8.3999999999999995E-3</v>
      </c>
      <c r="I14659" s="160" t="s">
        <v>168</v>
      </c>
      <c r="J14659" s="160">
        <v>2.4599999999999999E-3</v>
      </c>
      <c r="K14659" s="160" t="s">
        <v>25</v>
      </c>
      <c r="L14659" s="154" t="str">
        <f>IF(OpenLCAbasic!K14659="CTUh", "Fill in Manually",IF(OR(K14659="Unit", K14659=""), "", INDEX(LookUps!$E$5:$E$12, MATCH(OpenLCAbasic!K14659,LookUps!$D$5:$D$12,0))))</f>
        <v>Smog Formation Potential (SFP) - kg O3 eq</v>
      </c>
      <c r="M14659" s="154" t="str">
        <f t="shared" si="1307"/>
        <v>High_High_Low_Upgraded_Smog Formation Potential (SFP) - kg O3 eq_ClearCove SCP; wastewater treatment unit; at updated plant - US_Without Amendment_Aerated Static Pile</v>
      </c>
    </row>
    <row r="14660" spans="1:13" s="120" customFormat="1" x14ac:dyDescent="0.25">
      <c r="A14660" s="119"/>
      <c r="B14660" s="138" t="str">
        <f t="shared" si="1309"/>
        <v>Aerated Static Pile</v>
      </c>
      <c r="C14660" s="138" t="str">
        <f t="shared" si="1310"/>
        <v>Without Amendment</v>
      </c>
      <c r="D14660" s="138" t="str">
        <f t="shared" si="1308"/>
        <v>High_Low</v>
      </c>
      <c r="E14660" s="138" t="str">
        <f t="shared" si="1311"/>
        <v>High</v>
      </c>
      <c r="F14660" s="138" t="str">
        <f t="shared" si="1312"/>
        <v>Upgraded</v>
      </c>
      <c r="G14660" s="153"/>
      <c r="H14660" s="210">
        <v>1.8E-3</v>
      </c>
      <c r="I14660" s="160" t="s">
        <v>148</v>
      </c>
      <c r="J14660" s="160">
        <v>5.4000000000000001E-4</v>
      </c>
      <c r="K14660" s="160" t="s">
        <v>25</v>
      </c>
      <c r="L14660" s="154" t="str">
        <f>IF(OpenLCAbasic!K14660="CTUh", "Fill in Manually",IF(OR(K14660="Unit", K14660=""), "", INDEX(LookUps!$E$5:$E$12, MATCH(OpenLCAbasic!K14660,LookUps!$D$5:$D$12,0))))</f>
        <v>Smog Formation Potential (SFP) - kg O3 eq</v>
      </c>
      <c r="M14660" s="154" t="str">
        <f t="shared" si="1307"/>
        <v>High_High_Low_Upgraded_Smog Formation Potential (SFP) - kg O3 eq_Control Building; at upgraded wastewater treatment plant - US_Without Amendment_Aerated Static Pile</v>
      </c>
    </row>
    <row r="14661" spans="1:13" s="120" customFormat="1" x14ac:dyDescent="0.25">
      <c r="A14661" s="119"/>
      <c r="B14661" s="138" t="str">
        <f t="shared" si="1309"/>
        <v>Aerated Static Pile</v>
      </c>
      <c r="C14661" s="138" t="str">
        <f t="shared" si="1310"/>
        <v>Without Amendment</v>
      </c>
      <c r="D14661" s="138" t="str">
        <f t="shared" si="1308"/>
        <v>High_Low</v>
      </c>
      <c r="E14661" s="138" t="str">
        <f t="shared" si="1311"/>
        <v>High</v>
      </c>
      <c r="F14661" s="138" t="str">
        <f t="shared" si="1312"/>
        <v>Upgraded</v>
      </c>
      <c r="G14661" s="153"/>
      <c r="H14661" s="210">
        <v>-1.2500000000000001E-2</v>
      </c>
      <c r="I14661" s="160" t="s">
        <v>62</v>
      </c>
      <c r="J14661" s="160">
        <v>-3.65E-3</v>
      </c>
      <c r="K14661" s="160" t="s">
        <v>25</v>
      </c>
      <c r="L14661" s="154" t="str">
        <f>IF(OpenLCAbasic!K14661="CTUh", "Fill in Manually",IF(OR(K14661="Unit", K14661=""), "", INDEX(LookUps!$E$5:$E$12, MATCH(OpenLCAbasic!K14661,LookUps!$D$5:$D$12,0))))</f>
        <v>Smog Formation Potential (SFP) - kg O3 eq</v>
      </c>
      <c r="M14661" s="154" t="str">
        <f t="shared" si="1307"/>
        <v>High_High_Low_Upgraded_Smog Formation Potential (SFP) - kg O3 eq_Land application of compost; wastewater treatment unit; at updated plant - US_Without Amendment_Aerated Static Pile</v>
      </c>
    </row>
    <row r="14662" spans="1:13" s="120" customFormat="1" x14ac:dyDescent="0.25">
      <c r="A14662" s="119"/>
      <c r="B14662" s="138" t="str">
        <f t="shared" si="1309"/>
        <v>Aerated Static Pile</v>
      </c>
      <c r="C14662" s="138" t="str">
        <f t="shared" si="1310"/>
        <v>Without Amendment</v>
      </c>
      <c r="D14662" s="138" t="str">
        <f t="shared" si="1308"/>
        <v>High_Low</v>
      </c>
      <c r="E14662" s="138" t="str">
        <f t="shared" si="1311"/>
        <v>High</v>
      </c>
      <c r="F14662" s="138" t="str">
        <f t="shared" si="1312"/>
        <v>Upgraded</v>
      </c>
      <c r="G14662" s="153"/>
      <c r="H14662" s="210">
        <v>-0.4355</v>
      </c>
      <c r="I14662" s="160" t="s">
        <v>149</v>
      </c>
      <c r="J14662" s="160">
        <v>-0.12725</v>
      </c>
      <c r="K14662" s="160" t="s">
        <v>25</v>
      </c>
      <c r="L14662" s="154" t="str">
        <f>IF(OpenLCAbasic!K14662="CTUh", "Fill in Manually",IF(OR(K14662="Unit", K14662=""), "", INDEX(LookUps!$E$5:$E$12, MATCH(OpenLCAbasic!K14662,LookUps!$D$5:$D$12,0))))</f>
        <v>Smog Formation Potential (SFP) - kg O3 eq</v>
      </c>
      <c r="M14662" s="154" t="str">
        <f t="shared" si="1307"/>
        <v>High_High_Low_Upgraded_Smog Formation Potential (SFP) - kg O3 eq_Anaerobic Digestion; wastewater treatment unit; at updated plant - US_Without Amendment_Aerated Static Pile</v>
      </c>
    </row>
    <row r="14663" spans="1:13" s="120" customFormat="1" x14ac:dyDescent="0.25">
      <c r="A14663" s="119"/>
      <c r="B14663" s="138" t="str">
        <f t="shared" si="1309"/>
        <v/>
      </c>
      <c r="C14663" s="138" t="str">
        <f t="shared" si="1310"/>
        <v/>
      </c>
      <c r="D14663" s="138" t="str">
        <f t="shared" si="1308"/>
        <v/>
      </c>
      <c r="E14663" s="138" t="str">
        <f t="shared" si="1311"/>
        <v/>
      </c>
      <c r="F14663" s="138" t="str">
        <f t="shared" si="1312"/>
        <v/>
      </c>
      <c r="G14663" s="153" t="s">
        <v>51</v>
      </c>
      <c r="H14663" s="160"/>
      <c r="I14663" s="160" t="s">
        <v>47</v>
      </c>
      <c r="J14663" s="160" t="s">
        <v>52</v>
      </c>
      <c r="K14663" s="160" t="s">
        <v>27</v>
      </c>
      <c r="L14663" s="154" t="str">
        <f>IF(OpenLCAbasic!K14663="CTUh", "Fill in Manually",IF(OR(K14663="Unit", K14663=""), "", INDEX(LookUps!$E$5:$E$12, MATCH(OpenLCAbasic!K14663,LookUps!$D$5:$D$12,0))))</f>
        <v/>
      </c>
      <c r="M14663" s="154" t="str">
        <f t="shared" si="1307"/>
        <v>____Process__</v>
      </c>
    </row>
    <row r="14664" spans="1:13" s="120" customFormat="1" x14ac:dyDescent="0.25">
      <c r="A14664" s="119"/>
      <c r="B14664" s="138" t="str">
        <f t="shared" si="1309"/>
        <v>Aerated Static Pile</v>
      </c>
      <c r="C14664" s="138" t="str">
        <f t="shared" si="1310"/>
        <v>Without Amendment</v>
      </c>
      <c r="D14664" s="138" t="str">
        <f t="shared" si="1308"/>
        <v>High_Low</v>
      </c>
      <c r="E14664" s="138" t="str">
        <f t="shared" si="1311"/>
        <v>High</v>
      </c>
      <c r="F14664" s="138" t="str">
        <f t="shared" si="1312"/>
        <v>Upgraded</v>
      </c>
      <c r="G14664" s="153"/>
      <c r="H14664" s="210">
        <v>1.1328</v>
      </c>
      <c r="I14664" s="160" t="s">
        <v>167</v>
      </c>
      <c r="J14664" s="160">
        <v>3.4000000000000002E-4</v>
      </c>
      <c r="K14664" s="160" t="s">
        <v>26</v>
      </c>
      <c r="L14664" s="154" t="str">
        <f>IF(OpenLCAbasic!K14664="CTUh", "Fill in Manually",IF(OR(K14664="Unit", K14664=""), "", INDEX(LookUps!$E$5:$E$12, MATCH(OpenLCAbasic!K14664,LookUps!$D$5:$D$12,0))))</f>
        <v>Water Use (WU) - m3 H2O</v>
      </c>
      <c r="M14664" s="154" t="str">
        <f t="shared" si="1307"/>
        <v>High_High_Low_Upgraded_Water Use (WU) - m3 H2O_Waste Receiving and Holding; wastewater treatment unit; at updated plant - US_Without Amendment_Aerated Static Pile</v>
      </c>
    </row>
    <row r="14665" spans="1:13" s="120" customFormat="1" x14ac:dyDescent="0.25">
      <c r="A14665" s="119"/>
      <c r="B14665" s="138" t="str">
        <f t="shared" si="1309"/>
        <v>Aerated Static Pile</v>
      </c>
      <c r="C14665" s="138" t="str">
        <f t="shared" si="1310"/>
        <v>Without Amendment</v>
      </c>
      <c r="D14665" s="138" t="str">
        <f t="shared" si="1308"/>
        <v>High_Low</v>
      </c>
      <c r="E14665" s="138" t="str">
        <f t="shared" si="1311"/>
        <v>High</v>
      </c>
      <c r="F14665" s="138" t="str">
        <f t="shared" si="1312"/>
        <v>Upgraded</v>
      </c>
      <c r="G14665" s="153"/>
      <c r="H14665" s="210">
        <v>0.61990000000000001</v>
      </c>
      <c r="I14665" s="160" t="s">
        <v>147</v>
      </c>
      <c r="J14665" s="160">
        <v>1.8000000000000001E-4</v>
      </c>
      <c r="K14665" s="160" t="s">
        <v>26</v>
      </c>
      <c r="L14665" s="154" t="str">
        <f>IF(OpenLCAbasic!K14665="CTUh", "Fill in Manually",IF(OR(K14665="Unit", K14665=""), "", INDEX(LookUps!$E$5:$E$12, MATCH(OpenLCAbasic!K14665,LookUps!$D$5:$D$12,0))))</f>
        <v>Water Use (WU) - m3 H2O</v>
      </c>
      <c r="M14665" s="154" t="str">
        <f t="shared" si="1307"/>
        <v>High_High_Low_Upgraded_Water Use (WU) - m3 H2O_Influent Pump Station; wastewater treatment unit; at updated plant - US_Without Amendment_Aerated Static Pile</v>
      </c>
    </row>
    <row r="14666" spans="1:13" s="120" customFormat="1" x14ac:dyDescent="0.25">
      <c r="A14666" s="119"/>
      <c r="B14666" s="138" t="str">
        <f t="shared" si="1309"/>
        <v>Aerated Static Pile</v>
      </c>
      <c r="C14666" s="138" t="str">
        <f t="shared" si="1310"/>
        <v>Without Amendment</v>
      </c>
      <c r="D14666" s="138" t="str">
        <f t="shared" si="1308"/>
        <v>High_Low</v>
      </c>
      <c r="E14666" s="138" t="str">
        <f t="shared" si="1311"/>
        <v>High</v>
      </c>
      <c r="F14666" s="138" t="str">
        <f t="shared" si="1312"/>
        <v>Upgraded</v>
      </c>
      <c r="G14666" s="153"/>
      <c r="H14666" s="210">
        <v>0.6048</v>
      </c>
      <c r="I14666" s="160" t="s">
        <v>54</v>
      </c>
      <c r="J14666" s="160">
        <v>1.8000000000000001E-4</v>
      </c>
      <c r="K14666" s="160" t="s">
        <v>26</v>
      </c>
      <c r="L14666" s="154" t="str">
        <f>IF(OpenLCAbasic!K14666="CTUh", "Fill in Manually",IF(OR(K14666="Unit", K14666=""), "", INDEX(LookUps!$E$5:$E$12, MATCH(OpenLCAbasic!K14666,LookUps!$D$5:$D$12,0))))</f>
        <v>Water Use (WU) - m3 H2O</v>
      </c>
      <c r="M14666" s="154" t="str">
        <f t="shared" si="1307"/>
        <v>High_High_Low_Upgraded_Water Use (WU) - m3 H2O_Clear Cove Primary Clarification; wastewater treatment unit; at updated plant - US_Without Amendment_Aerated Static Pile</v>
      </c>
    </row>
    <row r="14667" spans="1:13" s="120" customFormat="1" x14ac:dyDescent="0.25">
      <c r="A14667" s="119"/>
      <c r="B14667" s="138" t="str">
        <f t="shared" si="1309"/>
        <v>Aerated Static Pile</v>
      </c>
      <c r="C14667" s="138" t="str">
        <f t="shared" si="1310"/>
        <v>Without Amendment</v>
      </c>
      <c r="D14667" s="138" t="str">
        <f t="shared" si="1308"/>
        <v>High_Low</v>
      </c>
      <c r="E14667" s="138" t="str">
        <f t="shared" si="1311"/>
        <v>High</v>
      </c>
      <c r="F14667" s="138" t="str">
        <f t="shared" si="1312"/>
        <v>Upgraded</v>
      </c>
      <c r="G14667" s="153"/>
      <c r="H14667" s="210">
        <v>0.54869999999999997</v>
      </c>
      <c r="I14667" s="160" t="s">
        <v>55</v>
      </c>
      <c r="J14667" s="160">
        <v>1.6000000000000001E-4</v>
      </c>
      <c r="K14667" s="160" t="s">
        <v>26</v>
      </c>
      <c r="L14667" s="154" t="str">
        <f>IF(OpenLCAbasic!K14667="CTUh", "Fill in Manually",IF(OR(K14667="Unit", K14667=""), "", INDEX(LookUps!$E$5:$E$12, MATCH(OpenLCAbasic!K14667,LookUps!$D$5:$D$12,0))))</f>
        <v>Water Use (WU) - m3 H2O</v>
      </c>
      <c r="M14667" s="154" t="str">
        <f t="shared" si="1307"/>
        <v>High_High_Low_Upgraded_Water Use (WU) - m3 H2O_Aeration Tanks; wastewater treatment unit; at updated plant - US_Without Amendment_Aerated Static Pile</v>
      </c>
    </row>
    <row r="14668" spans="1:13" s="120" customFormat="1" x14ac:dyDescent="0.25">
      <c r="A14668" s="119"/>
      <c r="B14668" s="138" t="str">
        <f t="shared" si="1309"/>
        <v>Aerated Static Pile</v>
      </c>
      <c r="C14668" s="138" t="str">
        <f t="shared" si="1310"/>
        <v>Without Amendment</v>
      </c>
      <c r="D14668" s="138" t="str">
        <f t="shared" si="1308"/>
        <v>High_Low</v>
      </c>
      <c r="E14668" s="138" t="str">
        <f t="shared" si="1311"/>
        <v>High</v>
      </c>
      <c r="F14668" s="138" t="str">
        <f t="shared" si="1312"/>
        <v>Upgraded</v>
      </c>
      <c r="G14668" s="153"/>
      <c r="H14668" s="210">
        <v>0.49980000000000002</v>
      </c>
      <c r="I14668" s="160" t="s">
        <v>148</v>
      </c>
      <c r="J14668" s="160">
        <v>1.4999999999999999E-4</v>
      </c>
      <c r="K14668" s="160" t="s">
        <v>26</v>
      </c>
      <c r="L14668" s="154" t="str">
        <f>IF(OpenLCAbasic!K14668="CTUh", "Fill in Manually",IF(OR(K14668="Unit", K14668=""), "", INDEX(LookUps!$E$5:$E$12, MATCH(OpenLCAbasic!K14668,LookUps!$D$5:$D$12,0))))</f>
        <v>Water Use (WU) - m3 H2O</v>
      </c>
      <c r="M14668" s="154" t="str">
        <f t="shared" si="1307"/>
        <v>High_High_Low_Upgraded_Water Use (WU) - m3 H2O_Control Building; at upgraded wastewater treatment plant - US_Without Amendment_Aerated Static Pile</v>
      </c>
    </row>
    <row r="14669" spans="1:13" s="120" customFormat="1" x14ac:dyDescent="0.25">
      <c r="A14669" s="119"/>
      <c r="B14669" s="138" t="str">
        <f t="shared" si="1309"/>
        <v>Aerated Static Pile</v>
      </c>
      <c r="C14669" s="138" t="str">
        <f t="shared" si="1310"/>
        <v>Without Amendment</v>
      </c>
      <c r="D14669" s="138" t="str">
        <f t="shared" si="1308"/>
        <v>High_Low</v>
      </c>
      <c r="E14669" s="138" t="str">
        <f t="shared" si="1311"/>
        <v>High</v>
      </c>
      <c r="F14669" s="138" t="str">
        <f t="shared" si="1312"/>
        <v>Upgraded</v>
      </c>
      <c r="G14669" s="153"/>
      <c r="H14669" s="210">
        <v>0.2321</v>
      </c>
      <c r="I14669" s="160" t="s">
        <v>48</v>
      </c>
      <c r="J14669" s="211">
        <v>6.8836400000000004E-5</v>
      </c>
      <c r="K14669" s="160" t="s">
        <v>26</v>
      </c>
      <c r="L14669" s="154" t="str">
        <f>IF(OpenLCAbasic!K14669="CTUh", "Fill in Manually",IF(OR(K14669="Unit", K14669=""), "", INDEX(LookUps!$E$5:$E$12, MATCH(OpenLCAbasic!K14669,LookUps!$D$5:$D$12,0))))</f>
        <v>Water Use (WU) - m3 H2O</v>
      </c>
      <c r="M14669" s="154" t="str">
        <f t="shared" si="1307"/>
        <v>High_High_Low_Upgraded_Water Use (WU) - m3 H2O_Effluent release; wastewater treatment unit; at surface water; m3 wastewater - US_Without Amendment_Aerated Static Pile</v>
      </c>
    </row>
    <row r="14670" spans="1:13" s="120" customFormat="1" x14ac:dyDescent="0.25">
      <c r="A14670" s="119"/>
      <c r="B14670" s="138" t="str">
        <f t="shared" si="1309"/>
        <v>Aerated Static Pile</v>
      </c>
      <c r="C14670" s="138" t="str">
        <f t="shared" si="1310"/>
        <v>Without Amendment</v>
      </c>
      <c r="D14670" s="138" t="str">
        <f t="shared" si="1308"/>
        <v>High_Low</v>
      </c>
      <c r="E14670" s="138" t="str">
        <f t="shared" si="1311"/>
        <v>High</v>
      </c>
      <c r="F14670" s="138" t="str">
        <f t="shared" si="1312"/>
        <v>Upgraded</v>
      </c>
      <c r="G14670" s="153"/>
      <c r="H14670" s="210">
        <v>0.16109999999999999</v>
      </c>
      <c r="I14670" s="160" t="s">
        <v>60</v>
      </c>
      <c r="J14670" s="211">
        <v>4.7769200000000003E-5</v>
      </c>
      <c r="K14670" s="160" t="s">
        <v>26</v>
      </c>
      <c r="L14670" s="154" t="str">
        <f>IF(OpenLCAbasic!K14670="CTUh", "Fill in Manually",IF(OR(K14670="Unit", K14670=""), "", INDEX(LookUps!$E$5:$E$12, MATCH(OpenLCAbasic!K14670,LookUps!$D$5:$D$12,0))))</f>
        <v>Water Use (WU) - m3 H2O</v>
      </c>
      <c r="M14670" s="154" t="str">
        <f t="shared" si="1307"/>
        <v>High_High_Low_Upgraded_Water Use (WU) - m3 H2O_Belt filter press; wastewater treatment unit; at updated plant - US_Without Amendment_Aerated Static Pile</v>
      </c>
    </row>
    <row r="14671" spans="1:13" s="120" customFormat="1" x14ac:dyDescent="0.25">
      <c r="A14671" s="119"/>
      <c r="B14671" s="138" t="str">
        <f t="shared" si="1309"/>
        <v>Aerated Static Pile</v>
      </c>
      <c r="C14671" s="138" t="str">
        <f t="shared" si="1310"/>
        <v>Without Amendment</v>
      </c>
      <c r="D14671" s="138" t="str">
        <f t="shared" si="1308"/>
        <v>High_Low</v>
      </c>
      <c r="E14671" s="138" t="str">
        <f t="shared" si="1311"/>
        <v>High</v>
      </c>
      <c r="F14671" s="138" t="str">
        <f t="shared" si="1312"/>
        <v>Upgraded</v>
      </c>
      <c r="G14671" s="153"/>
      <c r="H14671" s="210">
        <v>0.14599999999999999</v>
      </c>
      <c r="I14671" s="160" t="s">
        <v>58</v>
      </c>
      <c r="J14671" s="211">
        <v>4.3289399999999999E-5</v>
      </c>
      <c r="K14671" s="160" t="s">
        <v>26</v>
      </c>
      <c r="L14671" s="154" t="str">
        <f>IF(OpenLCAbasic!K14671="CTUh", "Fill in Manually",IF(OR(K14671="Unit", K14671=""), "", INDEX(LookUps!$E$5:$E$12, MATCH(OpenLCAbasic!K14671,LookUps!$D$5:$D$12,0))))</f>
        <v>Water Use (WU) - m3 H2O</v>
      </c>
      <c r="M14671" s="154" t="str">
        <f t="shared" si="1307"/>
        <v>High_High_Low_Upgraded_Water Use (WU) - m3 H2O_Pre-Anoxic &amp; Swing tank; wastewater treatment unit; at updated plant - US_Without Amendment_Aerated Static Pile</v>
      </c>
    </row>
    <row r="14672" spans="1:13" s="120" customFormat="1" x14ac:dyDescent="0.25">
      <c r="A14672" s="119"/>
      <c r="B14672" s="138" t="str">
        <f t="shared" si="1309"/>
        <v>Aerated Static Pile</v>
      </c>
      <c r="C14672" s="138" t="str">
        <f t="shared" si="1310"/>
        <v>Without Amendment</v>
      </c>
      <c r="D14672" s="138" t="str">
        <f t="shared" si="1308"/>
        <v>High_Low</v>
      </c>
      <c r="E14672" s="138" t="str">
        <f t="shared" si="1311"/>
        <v>High</v>
      </c>
      <c r="F14672" s="138" t="str">
        <f t="shared" si="1312"/>
        <v>Upgraded</v>
      </c>
      <c r="G14672" s="153"/>
      <c r="H14672" s="210">
        <v>0.10249999999999999</v>
      </c>
      <c r="I14672" s="160" t="s">
        <v>57</v>
      </c>
      <c r="J14672" s="211">
        <v>3.0408100000000001E-5</v>
      </c>
      <c r="K14672" s="160" t="s">
        <v>26</v>
      </c>
      <c r="L14672" s="154" t="str">
        <f>IF(OpenLCAbasic!K14672="CTUh", "Fill in Manually",IF(OR(K14672="Unit", K14672=""), "", INDEX(LookUps!$E$5:$E$12, MATCH(OpenLCAbasic!K14672,LookUps!$D$5:$D$12,0))))</f>
        <v>Water Use (WU) - m3 H2O</v>
      </c>
      <c r="M14672" s="154" t="str">
        <f t="shared" ref="M14672:M14735" si="1313">CONCATENATE(E14672,"_",D14672,"_",F14672,"_",L14672, "_",I14672,"_", C14672,"_", B14672)</f>
        <v>High_High_Low_Upgraded_Water Use (WU) - m3 H2O_Gravity Belt Thickener; wastewater treatment unit; at updated plant - US_Without Amendment_Aerated Static Pile</v>
      </c>
    </row>
    <row r="14673" spans="1:13" s="120" customFormat="1" x14ac:dyDescent="0.25">
      <c r="A14673" s="119"/>
      <c r="B14673" s="138" t="str">
        <f t="shared" si="1309"/>
        <v>Aerated Static Pile</v>
      </c>
      <c r="C14673" s="138" t="str">
        <f t="shared" si="1310"/>
        <v>Without Amendment</v>
      </c>
      <c r="D14673" s="138" t="str">
        <f t="shared" ref="D14673:D14679" si="1314">IF(ISNUMBER($J14673),"High_Low","")</f>
        <v>High_Low</v>
      </c>
      <c r="E14673" s="138" t="str">
        <f t="shared" si="1311"/>
        <v>High</v>
      </c>
      <c r="F14673" s="138" t="str">
        <f t="shared" si="1312"/>
        <v>Upgraded</v>
      </c>
      <c r="G14673" s="153"/>
      <c r="H14673" s="210">
        <v>5.8999999999999997E-2</v>
      </c>
      <c r="I14673" s="160" t="s">
        <v>53</v>
      </c>
      <c r="J14673" s="211">
        <v>1.75069E-5</v>
      </c>
      <c r="K14673" s="160" t="s">
        <v>26</v>
      </c>
      <c r="L14673" s="154" t="str">
        <f>IF(OpenLCAbasic!K14673="CTUh", "Fill in Manually",IF(OR(K14673="Unit", K14673=""), "", INDEX(LookUps!$E$5:$E$12, MATCH(OpenLCAbasic!K14673,LookUps!$D$5:$D$12,0))))</f>
        <v>Water Use (WU) - m3 H2O</v>
      </c>
      <c r="M14673" s="154" t="str">
        <f t="shared" si="1313"/>
        <v>High_High_Low_Upgraded_Water Use (WU) - m3 H2O_Wet Well and Sump Station; wastewater treatment unit; at updated plant - US_Without Amendment_Aerated Static Pile</v>
      </c>
    </row>
    <row r="14674" spans="1:13" s="120" customFormat="1" x14ac:dyDescent="0.25">
      <c r="A14674" s="119"/>
      <c r="B14674" s="138" t="str">
        <f t="shared" si="1309"/>
        <v>Aerated Static Pile</v>
      </c>
      <c r="C14674" s="138" t="str">
        <f t="shared" si="1310"/>
        <v>Without Amendment</v>
      </c>
      <c r="D14674" s="138" t="str">
        <f t="shared" si="1314"/>
        <v>High_Low</v>
      </c>
      <c r="E14674" s="138" t="str">
        <f t="shared" si="1311"/>
        <v>High</v>
      </c>
      <c r="F14674" s="138" t="str">
        <f t="shared" si="1312"/>
        <v>Upgraded</v>
      </c>
      <c r="G14674" s="153"/>
      <c r="H14674" s="210">
        <v>4.41E-2</v>
      </c>
      <c r="I14674" s="160" t="s">
        <v>435</v>
      </c>
      <c r="J14674" s="211">
        <v>1.3078099999999999E-5</v>
      </c>
      <c r="K14674" s="160" t="s">
        <v>26</v>
      </c>
      <c r="L14674" s="154" t="str">
        <f>IF(OpenLCAbasic!K14674="CTUh", "Fill in Manually",IF(OR(K14674="Unit", K14674=""), "", INDEX(LookUps!$E$5:$E$12, MATCH(OpenLCAbasic!K14674,LookUps!$D$5:$D$12,0))))</f>
        <v>Water Use (WU) - m3 H2O</v>
      </c>
      <c r="M14674" s="154" t="str">
        <f t="shared" si="1313"/>
        <v>High_High_Low_Upgraded_Water Use (WU) - m3 H2O_Biosolids composting; aerated static pile; wastewater treatment unit; at updated plant - US_Without Amendment_Aerated Static Pile</v>
      </c>
    </row>
    <row r="14675" spans="1:13" s="120" customFormat="1" x14ac:dyDescent="0.25">
      <c r="A14675" s="119"/>
      <c r="B14675" s="138" t="str">
        <f t="shared" si="1309"/>
        <v>Aerated Static Pile</v>
      </c>
      <c r="C14675" s="138" t="str">
        <f t="shared" si="1310"/>
        <v>Without Amendment</v>
      </c>
      <c r="D14675" s="138" t="str">
        <f t="shared" si="1314"/>
        <v>High_Low</v>
      </c>
      <c r="E14675" s="138" t="str">
        <f t="shared" si="1311"/>
        <v>High</v>
      </c>
      <c r="F14675" s="138" t="str">
        <f t="shared" si="1312"/>
        <v>Upgraded</v>
      </c>
      <c r="G14675" s="153"/>
      <c r="H14675" s="210">
        <v>2.3699999999999999E-2</v>
      </c>
      <c r="I14675" s="160" t="s">
        <v>59</v>
      </c>
      <c r="J14675" s="211">
        <v>7.0179500000000003E-6</v>
      </c>
      <c r="K14675" s="160" t="s">
        <v>26</v>
      </c>
      <c r="L14675" s="154" t="str">
        <f>IF(OpenLCAbasic!K14675="CTUh", "Fill in Manually",IF(OR(K14675="Unit", K14675=""), "", INDEX(LookUps!$E$5:$E$12, MATCH(OpenLCAbasic!K14675,LookUps!$D$5:$D$12,0))))</f>
        <v>Water Use (WU) - m3 H2O</v>
      </c>
      <c r="M14675" s="154" t="str">
        <f t="shared" si="1313"/>
        <v>High_High_Low_Upgraded_Water Use (WU) - m3 H2O_Blend Tank; wastewater treatment unit; at updated plant - US_Without Amendment_Aerated Static Pile</v>
      </c>
    </row>
    <row r="14676" spans="1:13" s="120" customFormat="1" x14ac:dyDescent="0.25">
      <c r="A14676" s="119"/>
      <c r="B14676" s="138" t="str">
        <f t="shared" si="1309"/>
        <v>Aerated Static Pile</v>
      </c>
      <c r="C14676" s="138" t="str">
        <f t="shared" si="1310"/>
        <v>Without Amendment</v>
      </c>
      <c r="D14676" s="138" t="str">
        <f t="shared" si="1314"/>
        <v>High_Low</v>
      </c>
      <c r="E14676" s="138" t="str">
        <f t="shared" si="1311"/>
        <v>High</v>
      </c>
      <c r="F14676" s="138" t="str">
        <f t="shared" si="1312"/>
        <v>Upgraded</v>
      </c>
      <c r="G14676" s="153"/>
      <c r="H14676" s="210">
        <v>1.7100000000000001E-2</v>
      </c>
      <c r="I14676" s="160" t="s">
        <v>128</v>
      </c>
      <c r="J14676" s="211">
        <v>5.0608900000000003E-6</v>
      </c>
      <c r="K14676" s="160" t="s">
        <v>26</v>
      </c>
      <c r="L14676" s="154" t="str">
        <f>IF(OpenLCAbasic!K14676="CTUh", "Fill in Manually",IF(OR(K14676="Unit", K14676=""), "", INDEX(LookUps!$E$5:$E$12, MATCH(OpenLCAbasic!K14676,LookUps!$D$5:$D$12,0))))</f>
        <v>Water Use (WU) - m3 H2O</v>
      </c>
      <c r="M14676" s="154" t="str">
        <f t="shared" si="1313"/>
        <v>High_High_Low_Upgraded_Water Use (WU) - m3 H2O_Wastewater collection; operation and infrastructure; m3 wastewater_Without Amendment_Aerated Static Pile</v>
      </c>
    </row>
    <row r="14677" spans="1:13" s="120" customFormat="1" x14ac:dyDescent="0.25">
      <c r="A14677" s="119"/>
      <c r="B14677" s="138" t="str">
        <f t="shared" si="1309"/>
        <v>Aerated Static Pile</v>
      </c>
      <c r="C14677" s="138" t="str">
        <f t="shared" si="1310"/>
        <v>Without Amendment</v>
      </c>
      <c r="D14677" s="138" t="str">
        <f t="shared" si="1314"/>
        <v>High_Low</v>
      </c>
      <c r="E14677" s="138" t="str">
        <f t="shared" si="1311"/>
        <v>High</v>
      </c>
      <c r="F14677" s="138" t="str">
        <f t="shared" si="1312"/>
        <v>Upgraded</v>
      </c>
      <c r="G14677" s="153"/>
      <c r="H14677" s="210">
        <v>2.5999999999999999E-3</v>
      </c>
      <c r="I14677" s="160" t="s">
        <v>168</v>
      </c>
      <c r="J14677" s="211">
        <v>7.6697000000000004E-7</v>
      </c>
      <c r="K14677" s="160" t="s">
        <v>26</v>
      </c>
      <c r="L14677" s="154" t="str">
        <f>IF(OpenLCAbasic!K14677="CTUh", "Fill in Manually",IF(OR(K14677="Unit", K14677=""), "", INDEX(LookUps!$E$5:$E$12, MATCH(OpenLCAbasic!K14677,LookUps!$D$5:$D$12,0))))</f>
        <v>Water Use (WU) - m3 H2O</v>
      </c>
      <c r="M14677" s="154" t="str">
        <f t="shared" si="1313"/>
        <v>High_High_Low_Upgraded_Water Use (WU) - m3 H2O_ClearCove SCP; wastewater treatment unit; at updated plant - US_Without Amendment_Aerated Static Pile</v>
      </c>
    </row>
    <row r="14678" spans="1:13" s="120" customFormat="1" x14ac:dyDescent="0.25">
      <c r="A14678" s="119"/>
      <c r="B14678" s="138" t="str">
        <f t="shared" si="1309"/>
        <v>Aerated Static Pile</v>
      </c>
      <c r="C14678" s="138" t="str">
        <f t="shared" si="1310"/>
        <v>Without Amendment</v>
      </c>
      <c r="D14678" s="138" t="str">
        <f t="shared" si="1314"/>
        <v>High_Low</v>
      </c>
      <c r="E14678" s="138" t="str">
        <f t="shared" si="1311"/>
        <v>High</v>
      </c>
      <c r="F14678" s="138" t="str">
        <f t="shared" si="1312"/>
        <v>Upgraded</v>
      </c>
      <c r="G14678" s="153"/>
      <c r="H14678" s="210">
        <v>-4.1500000000000002E-2</v>
      </c>
      <c r="I14678" s="160" t="s">
        <v>149</v>
      </c>
      <c r="J14678" s="211">
        <v>-1.22975E-5</v>
      </c>
      <c r="K14678" s="160" t="s">
        <v>26</v>
      </c>
      <c r="L14678" s="154" t="str">
        <f>IF(OpenLCAbasic!K14678="CTUh", "Fill in Manually",IF(OR(K14678="Unit", K14678=""), "", INDEX(LookUps!$E$5:$E$12, MATCH(OpenLCAbasic!K14678,LookUps!$D$5:$D$12,0))))</f>
        <v>Water Use (WU) - m3 H2O</v>
      </c>
      <c r="M14678" s="154" t="str">
        <f t="shared" si="1313"/>
        <v>High_High_Low_Upgraded_Water Use (WU) - m3 H2O_Anaerobic Digestion; wastewater treatment unit; at updated plant - US_Without Amendment_Aerated Static Pile</v>
      </c>
    </row>
    <row r="14679" spans="1:13" s="120" customFormat="1" x14ac:dyDescent="0.25">
      <c r="A14679" s="119"/>
      <c r="B14679" s="138" t="str">
        <f t="shared" si="1309"/>
        <v>Aerated Static Pile</v>
      </c>
      <c r="C14679" s="138" t="str">
        <f t="shared" si="1310"/>
        <v>Without Amendment</v>
      </c>
      <c r="D14679" s="138" t="str">
        <f t="shared" si="1314"/>
        <v>High_Low</v>
      </c>
      <c r="E14679" s="138" t="str">
        <f t="shared" si="1311"/>
        <v>High</v>
      </c>
      <c r="F14679" s="138" t="str">
        <f t="shared" si="1312"/>
        <v>Upgraded</v>
      </c>
      <c r="G14679" s="153"/>
      <c r="H14679" s="210">
        <v>-5.1527000000000003</v>
      </c>
      <c r="I14679" s="160" t="s">
        <v>62</v>
      </c>
      <c r="J14679" s="160">
        <v>-1.5299999999999999E-3</v>
      </c>
      <c r="K14679" s="160" t="s">
        <v>26</v>
      </c>
      <c r="L14679" s="154" t="str">
        <f>IF(OpenLCAbasic!K14679="CTUh", "Fill in Manually",IF(OR(K14679="Unit", K14679=""), "", INDEX(LookUps!$E$5:$E$12, MATCH(OpenLCAbasic!K14679,LookUps!$D$5:$D$12,0))))</f>
        <v>Water Use (WU) - m3 H2O</v>
      </c>
      <c r="M14679" s="154" t="str">
        <f t="shared" si="1313"/>
        <v>High_High_Low_Upgraded_Water Use (WU) - m3 H2O_Land application of compost; wastewater treatment unit; at updated plant - US_Without Amendment_Aerated Static Pile</v>
      </c>
    </row>
    <row r="14680" spans="1:13" s="120" customFormat="1" x14ac:dyDescent="0.25">
      <c r="A14680" s="119"/>
      <c r="B14680" s="138" t="str">
        <f t="shared" si="1309"/>
        <v/>
      </c>
      <c r="C14680" s="138" t="str">
        <f t="shared" si="1310"/>
        <v/>
      </c>
      <c r="D14680" s="138" t="str">
        <f>IF(ISNUMBER($J14680),"High_Base","")</f>
        <v/>
      </c>
      <c r="E14680" s="138" t="str">
        <f t="shared" si="1311"/>
        <v/>
      </c>
      <c r="F14680" s="138" t="str">
        <f t="shared" si="1312"/>
        <v/>
      </c>
      <c r="G14680" s="153" t="s">
        <v>51</v>
      </c>
      <c r="H14680" s="160"/>
      <c r="I14680" s="160" t="s">
        <v>47</v>
      </c>
      <c r="J14680" s="160" t="s">
        <v>52</v>
      </c>
      <c r="K14680" s="160" t="s">
        <v>27</v>
      </c>
      <c r="L14680" s="154" t="str">
        <f>IF(OpenLCAbasic!K14680="CTUh", "Fill in Manually",IF(OR(K14680="Unit", K14680=""), "", INDEX(LookUps!$E$5:$E$12, MATCH(OpenLCAbasic!K14680,LookUps!$D$5:$D$12,0))))</f>
        <v/>
      </c>
      <c r="M14680" s="154" t="str">
        <f t="shared" si="1313"/>
        <v>____Process__</v>
      </c>
    </row>
    <row r="14681" spans="1:13" s="120" customFormat="1" x14ac:dyDescent="0.25">
      <c r="A14681" s="119"/>
      <c r="B14681" s="138" t="str">
        <f t="shared" si="1309"/>
        <v>Aerated Static Pile</v>
      </c>
      <c r="C14681" s="138" t="str">
        <f t="shared" si="1310"/>
        <v>Without Amendment</v>
      </c>
      <c r="D14681" s="138" t="str">
        <f t="shared" ref="D14681:D14744" si="1315">IF(ISNUMBER($J14681),"High_Base","")</f>
        <v>High_Base</v>
      </c>
      <c r="E14681" s="138" t="str">
        <f t="shared" si="1311"/>
        <v>High</v>
      </c>
      <c r="F14681" s="138" t="str">
        <f t="shared" si="1312"/>
        <v>Upgraded</v>
      </c>
      <c r="G14681" s="153"/>
      <c r="H14681" s="210">
        <v>12.8888</v>
      </c>
      <c r="I14681" s="160" t="s">
        <v>55</v>
      </c>
      <c r="J14681" s="160">
        <v>1.7219999999999999E-2</v>
      </c>
      <c r="K14681" s="160" t="s">
        <v>24</v>
      </c>
      <c r="L14681" s="154" t="str">
        <f>IF(OpenLCAbasic!K14681="CTUh", "Fill in Manually",IF(OR(K14681="Unit", K14681=""), "", INDEX(LookUps!$E$5:$E$12, MATCH(OpenLCAbasic!K14681,LookUps!$D$5:$D$12,0))))</f>
        <v>Acidification Potential (AP) - kg SO2 eq</v>
      </c>
      <c r="M14681" s="154" t="str">
        <f t="shared" si="1313"/>
        <v>High_High_Base_Upgraded_Acidification Potential (AP) - kg SO2 eq_Aeration Tanks; wastewater treatment unit; at updated plant - US_Without Amendment_Aerated Static Pile</v>
      </c>
    </row>
    <row r="14682" spans="1:13" s="120" customFormat="1" x14ac:dyDescent="0.25">
      <c r="A14682" s="119"/>
      <c r="B14682" s="138" t="str">
        <f t="shared" si="1309"/>
        <v>Aerated Static Pile</v>
      </c>
      <c r="C14682" s="138" t="str">
        <f t="shared" si="1310"/>
        <v>Without Amendment</v>
      </c>
      <c r="D14682" s="138" t="str">
        <f t="shared" si="1315"/>
        <v>High_Base</v>
      </c>
      <c r="E14682" s="138" t="str">
        <f t="shared" si="1311"/>
        <v>High</v>
      </c>
      <c r="F14682" s="138" t="str">
        <f t="shared" si="1312"/>
        <v>Upgraded</v>
      </c>
      <c r="G14682" s="153"/>
      <c r="H14682" s="210">
        <v>3.7279</v>
      </c>
      <c r="I14682" s="160" t="s">
        <v>54</v>
      </c>
      <c r="J14682" s="160">
        <v>4.9800000000000001E-3</v>
      </c>
      <c r="K14682" s="160" t="s">
        <v>24</v>
      </c>
      <c r="L14682" s="154" t="str">
        <f>IF(OpenLCAbasic!K14682="CTUh", "Fill in Manually",IF(OR(K14682="Unit", K14682=""), "", INDEX(LookUps!$E$5:$E$12, MATCH(OpenLCAbasic!K14682,LookUps!$D$5:$D$12,0))))</f>
        <v>Acidification Potential (AP) - kg SO2 eq</v>
      </c>
      <c r="M14682" s="154" t="str">
        <f t="shared" si="1313"/>
        <v>High_High_Base_Upgraded_Acidification Potential (AP) - kg SO2 eq_Clear Cove Primary Clarification; wastewater treatment unit; at updated plant - US_Without Amendment_Aerated Static Pile</v>
      </c>
    </row>
    <row r="14683" spans="1:13" s="120" customFormat="1" x14ac:dyDescent="0.25">
      <c r="A14683" s="119"/>
      <c r="B14683" s="138" t="str">
        <f t="shared" si="1309"/>
        <v>Aerated Static Pile</v>
      </c>
      <c r="C14683" s="138" t="str">
        <f t="shared" si="1310"/>
        <v>Without Amendment</v>
      </c>
      <c r="D14683" s="138" t="str">
        <f t="shared" si="1315"/>
        <v>High_Base</v>
      </c>
      <c r="E14683" s="138" t="str">
        <f t="shared" si="1311"/>
        <v>High</v>
      </c>
      <c r="F14683" s="138" t="str">
        <f t="shared" si="1312"/>
        <v>Upgraded</v>
      </c>
      <c r="G14683" s="153"/>
      <c r="H14683" s="210">
        <v>3.2664</v>
      </c>
      <c r="I14683" s="160" t="s">
        <v>58</v>
      </c>
      <c r="J14683" s="160">
        <v>4.3600000000000002E-3</v>
      </c>
      <c r="K14683" s="160" t="s">
        <v>24</v>
      </c>
      <c r="L14683" s="154" t="str">
        <f>IF(OpenLCAbasic!K14683="CTUh", "Fill in Manually",IF(OR(K14683="Unit", K14683=""), "", INDEX(LookUps!$E$5:$E$12, MATCH(OpenLCAbasic!K14683,LookUps!$D$5:$D$12,0))))</f>
        <v>Acidification Potential (AP) - kg SO2 eq</v>
      </c>
      <c r="M14683" s="154" t="str">
        <f t="shared" si="1313"/>
        <v>High_High_Base_Upgraded_Acidification Potential (AP) - kg SO2 eq_Pre-Anoxic &amp; Swing tank; wastewater treatment unit; at updated plant - US_Without Amendment_Aerated Static Pile</v>
      </c>
    </row>
    <row r="14684" spans="1:13" s="120" customFormat="1" x14ac:dyDescent="0.25">
      <c r="A14684" s="119"/>
      <c r="B14684" s="138" t="str">
        <f t="shared" si="1309"/>
        <v>Aerated Static Pile</v>
      </c>
      <c r="C14684" s="138" t="str">
        <f t="shared" si="1310"/>
        <v>Without Amendment</v>
      </c>
      <c r="D14684" s="138" t="str">
        <f t="shared" si="1315"/>
        <v>High_Base</v>
      </c>
      <c r="E14684" s="138" t="str">
        <f t="shared" si="1311"/>
        <v>High</v>
      </c>
      <c r="F14684" s="138" t="str">
        <f t="shared" si="1312"/>
        <v>Upgraded</v>
      </c>
      <c r="G14684" s="153"/>
      <c r="H14684" s="210">
        <v>2.8521999999999998</v>
      </c>
      <c r="I14684" s="160" t="s">
        <v>435</v>
      </c>
      <c r="J14684" s="160">
        <v>3.81E-3</v>
      </c>
      <c r="K14684" s="160" t="s">
        <v>24</v>
      </c>
      <c r="L14684" s="154" t="str">
        <f>IF(OpenLCAbasic!K14684="CTUh", "Fill in Manually",IF(OR(K14684="Unit", K14684=""), "", INDEX(LookUps!$E$5:$E$12, MATCH(OpenLCAbasic!K14684,LookUps!$D$5:$D$12,0))))</f>
        <v>Acidification Potential (AP) - kg SO2 eq</v>
      </c>
      <c r="M14684" s="154" t="str">
        <f t="shared" si="1313"/>
        <v>High_High_Base_Upgraded_Acidification Potential (AP) - kg SO2 eq_Biosolids composting; aerated static pile; wastewater treatment unit; at updated plant - US_Without Amendment_Aerated Static Pile</v>
      </c>
    </row>
    <row r="14685" spans="1:13" s="120" customFormat="1" x14ac:dyDescent="0.25">
      <c r="A14685" s="119"/>
      <c r="B14685" s="138" t="str">
        <f t="shared" si="1309"/>
        <v>Aerated Static Pile</v>
      </c>
      <c r="C14685" s="138" t="str">
        <f t="shared" si="1310"/>
        <v>Without Amendment</v>
      </c>
      <c r="D14685" s="138" t="str">
        <f t="shared" si="1315"/>
        <v>High_Base</v>
      </c>
      <c r="E14685" s="138" t="str">
        <f t="shared" si="1311"/>
        <v>High</v>
      </c>
      <c r="F14685" s="138" t="str">
        <f t="shared" si="1312"/>
        <v>Upgraded</v>
      </c>
      <c r="G14685" s="153"/>
      <c r="H14685" s="210">
        <v>2.5829</v>
      </c>
      <c r="I14685" s="160" t="s">
        <v>53</v>
      </c>
      <c r="J14685" s="160">
        <v>3.4499999999999999E-3</v>
      </c>
      <c r="K14685" s="160" t="s">
        <v>24</v>
      </c>
      <c r="L14685" s="154" t="str">
        <f>IF(OpenLCAbasic!K14685="CTUh", "Fill in Manually",IF(OR(K14685="Unit", K14685=""), "", INDEX(LookUps!$E$5:$E$12, MATCH(OpenLCAbasic!K14685,LookUps!$D$5:$D$12,0))))</f>
        <v>Acidification Potential (AP) - kg SO2 eq</v>
      </c>
      <c r="M14685" s="154" t="str">
        <f t="shared" si="1313"/>
        <v>High_High_Base_Upgraded_Acidification Potential (AP) - kg SO2 eq_Wet Well and Sump Station; wastewater treatment unit; at updated plant - US_Without Amendment_Aerated Static Pile</v>
      </c>
    </row>
    <row r="14686" spans="1:13" s="120" customFormat="1" x14ac:dyDescent="0.25">
      <c r="A14686" s="119"/>
      <c r="B14686" s="138" t="str">
        <f t="shared" si="1309"/>
        <v>Aerated Static Pile</v>
      </c>
      <c r="C14686" s="138" t="str">
        <f t="shared" si="1310"/>
        <v>Without Amendment</v>
      </c>
      <c r="D14686" s="138" t="str">
        <f t="shared" si="1315"/>
        <v>High_Base</v>
      </c>
      <c r="E14686" s="138" t="str">
        <f t="shared" si="1311"/>
        <v>High</v>
      </c>
      <c r="F14686" s="138" t="str">
        <f t="shared" si="1312"/>
        <v>Upgraded</v>
      </c>
      <c r="G14686" s="153"/>
      <c r="H14686" s="210">
        <v>2.1640999999999999</v>
      </c>
      <c r="I14686" s="160" t="s">
        <v>62</v>
      </c>
      <c r="J14686" s="160">
        <v>2.8900000000000002E-3</v>
      </c>
      <c r="K14686" s="160" t="s">
        <v>24</v>
      </c>
      <c r="L14686" s="154" t="str">
        <f>IF(OpenLCAbasic!K14686="CTUh", "Fill in Manually",IF(OR(K14686="Unit", K14686=""), "", INDEX(LookUps!$E$5:$E$12, MATCH(OpenLCAbasic!K14686,LookUps!$D$5:$D$12,0))))</f>
        <v>Acidification Potential (AP) - kg SO2 eq</v>
      </c>
      <c r="M14686" s="154" t="str">
        <f t="shared" si="1313"/>
        <v>High_High_Base_Upgraded_Acidification Potential (AP) - kg SO2 eq_Land application of compost; wastewater treatment unit; at updated plant - US_Without Amendment_Aerated Static Pile</v>
      </c>
    </row>
    <row r="14687" spans="1:13" s="120" customFormat="1" x14ac:dyDescent="0.25">
      <c r="A14687" s="119"/>
      <c r="B14687" s="138" t="str">
        <f t="shared" si="1309"/>
        <v>Aerated Static Pile</v>
      </c>
      <c r="C14687" s="138" t="str">
        <f t="shared" si="1310"/>
        <v>Without Amendment</v>
      </c>
      <c r="D14687" s="138" t="str">
        <f t="shared" si="1315"/>
        <v>High_Base</v>
      </c>
      <c r="E14687" s="138" t="str">
        <f t="shared" si="1311"/>
        <v>High</v>
      </c>
      <c r="F14687" s="138" t="str">
        <f t="shared" si="1312"/>
        <v>Upgraded</v>
      </c>
      <c r="G14687" s="153"/>
      <c r="H14687" s="210">
        <v>2.0232999999999999</v>
      </c>
      <c r="I14687" s="160" t="s">
        <v>167</v>
      </c>
      <c r="J14687" s="160">
        <v>2.7000000000000001E-3</v>
      </c>
      <c r="K14687" s="160" t="s">
        <v>24</v>
      </c>
      <c r="L14687" s="154" t="str">
        <f>IF(OpenLCAbasic!K14687="CTUh", "Fill in Manually",IF(OR(K14687="Unit", K14687=""), "", INDEX(LookUps!$E$5:$E$12, MATCH(OpenLCAbasic!K14687,LookUps!$D$5:$D$12,0))))</f>
        <v>Acidification Potential (AP) - kg SO2 eq</v>
      </c>
      <c r="M14687" s="154" t="str">
        <f t="shared" si="1313"/>
        <v>High_High_Base_Upgraded_Acidification Potential (AP) - kg SO2 eq_Waste Receiving and Holding; wastewater treatment unit; at updated plant - US_Without Amendment_Aerated Static Pile</v>
      </c>
    </row>
    <row r="14688" spans="1:13" s="120" customFormat="1" x14ac:dyDescent="0.25">
      <c r="A14688" s="119"/>
      <c r="B14688" s="138" t="str">
        <f t="shared" si="1309"/>
        <v>Aerated Static Pile</v>
      </c>
      <c r="C14688" s="138" t="str">
        <f t="shared" si="1310"/>
        <v>Without Amendment</v>
      </c>
      <c r="D14688" s="138" t="str">
        <f t="shared" si="1315"/>
        <v>High_Base</v>
      </c>
      <c r="E14688" s="138" t="str">
        <f t="shared" si="1311"/>
        <v>High</v>
      </c>
      <c r="F14688" s="138" t="str">
        <f t="shared" si="1312"/>
        <v>Upgraded</v>
      </c>
      <c r="G14688" s="153"/>
      <c r="H14688" s="210">
        <v>1.5483</v>
      </c>
      <c r="I14688" s="160" t="s">
        <v>147</v>
      </c>
      <c r="J14688" s="160">
        <v>2.0699999999999998E-3</v>
      </c>
      <c r="K14688" s="160" t="s">
        <v>24</v>
      </c>
      <c r="L14688" s="154" t="str">
        <f>IF(OpenLCAbasic!K14688="CTUh", "Fill in Manually",IF(OR(K14688="Unit", K14688=""), "", INDEX(LookUps!$E$5:$E$12, MATCH(OpenLCAbasic!K14688,LookUps!$D$5:$D$12,0))))</f>
        <v>Acidification Potential (AP) - kg SO2 eq</v>
      </c>
      <c r="M14688" s="154" t="str">
        <f t="shared" si="1313"/>
        <v>High_High_Base_Upgraded_Acidification Potential (AP) - kg SO2 eq_Influent Pump Station; wastewater treatment unit; at updated plant - US_Without Amendment_Aerated Static Pile</v>
      </c>
    </row>
    <row r="14689" spans="1:13" s="120" customFormat="1" x14ac:dyDescent="0.25">
      <c r="A14689" s="119"/>
      <c r="B14689" s="138" t="str">
        <f t="shared" si="1309"/>
        <v>Aerated Static Pile</v>
      </c>
      <c r="C14689" s="138" t="str">
        <f t="shared" si="1310"/>
        <v>Without Amendment</v>
      </c>
      <c r="D14689" s="138" t="str">
        <f t="shared" si="1315"/>
        <v>High_Base</v>
      </c>
      <c r="E14689" s="138" t="str">
        <f t="shared" si="1311"/>
        <v>High</v>
      </c>
      <c r="F14689" s="138" t="str">
        <f t="shared" si="1312"/>
        <v>Upgraded</v>
      </c>
      <c r="G14689" s="153"/>
      <c r="H14689" s="210">
        <v>1.0909</v>
      </c>
      <c r="I14689" s="160" t="s">
        <v>60</v>
      </c>
      <c r="J14689" s="160">
        <v>1.4599999999999999E-3</v>
      </c>
      <c r="K14689" s="160" t="s">
        <v>24</v>
      </c>
      <c r="L14689" s="154" t="str">
        <f>IF(OpenLCAbasic!K14689="CTUh", "Fill in Manually",IF(OR(K14689="Unit", K14689=""), "", INDEX(LookUps!$E$5:$E$12, MATCH(OpenLCAbasic!K14689,LookUps!$D$5:$D$12,0))))</f>
        <v>Acidification Potential (AP) - kg SO2 eq</v>
      </c>
      <c r="M14689" s="154" t="str">
        <f t="shared" si="1313"/>
        <v>High_High_Base_Upgraded_Acidification Potential (AP) - kg SO2 eq_Belt filter press; wastewater treatment unit; at updated plant - US_Without Amendment_Aerated Static Pile</v>
      </c>
    </row>
    <row r="14690" spans="1:13" s="120" customFormat="1" x14ac:dyDescent="0.25">
      <c r="A14690" s="119"/>
      <c r="B14690" s="138" t="str">
        <f t="shared" si="1309"/>
        <v>Aerated Static Pile</v>
      </c>
      <c r="C14690" s="138" t="str">
        <f t="shared" si="1310"/>
        <v>Without Amendment</v>
      </c>
      <c r="D14690" s="138" t="str">
        <f t="shared" si="1315"/>
        <v>High_Base</v>
      </c>
      <c r="E14690" s="138" t="str">
        <f t="shared" si="1311"/>
        <v>High</v>
      </c>
      <c r="F14690" s="138" t="str">
        <f t="shared" si="1312"/>
        <v>Upgraded</v>
      </c>
      <c r="G14690" s="153"/>
      <c r="H14690" s="210">
        <v>0.92290000000000005</v>
      </c>
      <c r="I14690" s="160" t="s">
        <v>128</v>
      </c>
      <c r="J14690" s="160">
        <v>1.23E-3</v>
      </c>
      <c r="K14690" s="160" t="s">
        <v>24</v>
      </c>
      <c r="L14690" s="154" t="str">
        <f>IF(OpenLCAbasic!K14690="CTUh", "Fill in Manually",IF(OR(K14690="Unit", K14690=""), "", INDEX(LookUps!$E$5:$E$12, MATCH(OpenLCAbasic!K14690,LookUps!$D$5:$D$12,0))))</f>
        <v>Acidification Potential (AP) - kg SO2 eq</v>
      </c>
      <c r="M14690" s="154" t="str">
        <f t="shared" si="1313"/>
        <v>High_High_Base_Upgraded_Acidification Potential (AP) - kg SO2 eq_Wastewater collection; operation and infrastructure; m3 wastewater_Without Amendment_Aerated Static Pile</v>
      </c>
    </row>
    <row r="14691" spans="1:13" s="120" customFormat="1" x14ac:dyDescent="0.25">
      <c r="A14691" s="119"/>
      <c r="B14691" s="138" t="str">
        <f t="shared" si="1309"/>
        <v>Aerated Static Pile</v>
      </c>
      <c r="C14691" s="138" t="str">
        <f t="shared" si="1310"/>
        <v>Without Amendment</v>
      </c>
      <c r="D14691" s="138" t="str">
        <f t="shared" si="1315"/>
        <v>High_Base</v>
      </c>
      <c r="E14691" s="138" t="str">
        <f t="shared" si="1311"/>
        <v>High</v>
      </c>
      <c r="F14691" s="138" t="str">
        <f t="shared" si="1312"/>
        <v>Upgraded</v>
      </c>
      <c r="G14691" s="153"/>
      <c r="H14691" s="210">
        <v>0.52690000000000003</v>
      </c>
      <c r="I14691" s="160" t="s">
        <v>57</v>
      </c>
      <c r="J14691" s="160">
        <v>6.9999999999999999E-4</v>
      </c>
      <c r="K14691" s="160" t="s">
        <v>24</v>
      </c>
      <c r="L14691" s="154" t="str">
        <f>IF(OpenLCAbasic!K14691="CTUh", "Fill in Manually",IF(OR(K14691="Unit", K14691=""), "", INDEX(LookUps!$E$5:$E$12, MATCH(OpenLCAbasic!K14691,LookUps!$D$5:$D$12,0))))</f>
        <v>Acidification Potential (AP) - kg SO2 eq</v>
      </c>
      <c r="M14691" s="154" t="str">
        <f t="shared" si="1313"/>
        <v>High_High_Base_Upgraded_Acidification Potential (AP) - kg SO2 eq_Gravity Belt Thickener; wastewater treatment unit; at updated plant - US_Without Amendment_Aerated Static Pile</v>
      </c>
    </row>
    <row r="14692" spans="1:13" s="120" customFormat="1" x14ac:dyDescent="0.25">
      <c r="A14692" s="119"/>
      <c r="B14692" s="138" t="str">
        <f t="shared" si="1309"/>
        <v>Aerated Static Pile</v>
      </c>
      <c r="C14692" s="138" t="str">
        <f t="shared" si="1310"/>
        <v>Without Amendment</v>
      </c>
      <c r="D14692" s="138" t="str">
        <f t="shared" si="1315"/>
        <v>High_Base</v>
      </c>
      <c r="E14692" s="138" t="str">
        <f t="shared" si="1311"/>
        <v>High</v>
      </c>
      <c r="F14692" s="138" t="str">
        <f t="shared" si="1312"/>
        <v>Upgraded</v>
      </c>
      <c r="G14692" s="153"/>
      <c r="H14692" s="210">
        <v>0.38650000000000001</v>
      </c>
      <c r="I14692" s="160" t="s">
        <v>59</v>
      </c>
      <c r="J14692" s="160">
        <v>5.1999999999999995E-4</v>
      </c>
      <c r="K14692" s="160" t="s">
        <v>24</v>
      </c>
      <c r="L14692" s="154" t="str">
        <f>IF(OpenLCAbasic!K14692="CTUh", "Fill in Manually",IF(OR(K14692="Unit", K14692=""), "", INDEX(LookUps!$E$5:$E$12, MATCH(OpenLCAbasic!K14692,LookUps!$D$5:$D$12,0))))</f>
        <v>Acidification Potential (AP) - kg SO2 eq</v>
      </c>
      <c r="M14692" s="154" t="str">
        <f t="shared" si="1313"/>
        <v>High_High_Base_Upgraded_Acidification Potential (AP) - kg SO2 eq_Blend Tank; wastewater treatment unit; at updated plant - US_Without Amendment_Aerated Static Pile</v>
      </c>
    </row>
    <row r="14693" spans="1:13" s="120" customFormat="1" x14ac:dyDescent="0.25">
      <c r="A14693" s="119"/>
      <c r="B14693" s="138" t="str">
        <f t="shared" si="1309"/>
        <v>Aerated Static Pile</v>
      </c>
      <c r="C14693" s="138" t="str">
        <f t="shared" si="1310"/>
        <v>Without Amendment</v>
      </c>
      <c r="D14693" s="138" t="str">
        <f t="shared" si="1315"/>
        <v>High_Base</v>
      </c>
      <c r="E14693" s="138" t="str">
        <f t="shared" si="1311"/>
        <v>High</v>
      </c>
      <c r="F14693" s="138" t="str">
        <f t="shared" si="1312"/>
        <v>Upgraded</v>
      </c>
      <c r="G14693" s="153"/>
      <c r="H14693" s="210">
        <v>0.25940000000000002</v>
      </c>
      <c r="I14693" s="160" t="s">
        <v>48</v>
      </c>
      <c r="J14693" s="160">
        <v>3.5E-4</v>
      </c>
      <c r="K14693" s="160" t="s">
        <v>24</v>
      </c>
      <c r="L14693" s="154" t="str">
        <f>IF(OpenLCAbasic!K14693="CTUh", "Fill in Manually",IF(OR(K14693="Unit", K14693=""), "", INDEX(LookUps!$E$5:$E$12, MATCH(OpenLCAbasic!K14693,LookUps!$D$5:$D$12,0))))</f>
        <v>Acidification Potential (AP) - kg SO2 eq</v>
      </c>
      <c r="M14693" s="154" t="str">
        <f t="shared" si="1313"/>
        <v>High_High_Base_Upgraded_Acidification Potential (AP) - kg SO2 eq_Effluent release; wastewater treatment unit; at surface water; m3 wastewater - US_Without Amendment_Aerated Static Pile</v>
      </c>
    </row>
    <row r="14694" spans="1:13" s="120" customFormat="1" x14ac:dyDescent="0.25">
      <c r="A14694" s="119"/>
      <c r="B14694" s="138" t="str">
        <f t="shared" si="1309"/>
        <v>Aerated Static Pile</v>
      </c>
      <c r="C14694" s="138" t="str">
        <f t="shared" si="1310"/>
        <v>Without Amendment</v>
      </c>
      <c r="D14694" s="138" t="str">
        <f t="shared" si="1315"/>
        <v>High_Base</v>
      </c>
      <c r="E14694" s="138" t="str">
        <f t="shared" si="1311"/>
        <v>High</v>
      </c>
      <c r="F14694" s="138" t="str">
        <f t="shared" si="1312"/>
        <v>Upgraded</v>
      </c>
      <c r="G14694" s="153"/>
      <c r="H14694" s="210">
        <v>0.191</v>
      </c>
      <c r="I14694" s="160" t="s">
        <v>168</v>
      </c>
      <c r="J14694" s="160">
        <v>2.5999999999999998E-4</v>
      </c>
      <c r="K14694" s="160" t="s">
        <v>24</v>
      </c>
      <c r="L14694" s="154" t="str">
        <f>IF(OpenLCAbasic!K14694="CTUh", "Fill in Manually",IF(OR(K14694="Unit", K14694=""), "", INDEX(LookUps!$E$5:$E$12, MATCH(OpenLCAbasic!K14694,LookUps!$D$5:$D$12,0))))</f>
        <v>Acidification Potential (AP) - kg SO2 eq</v>
      </c>
      <c r="M14694" s="154" t="str">
        <f t="shared" si="1313"/>
        <v>High_High_Base_Upgraded_Acidification Potential (AP) - kg SO2 eq_ClearCove SCP; wastewater treatment unit; at updated plant - US_Without Amendment_Aerated Static Pile</v>
      </c>
    </row>
    <row r="14695" spans="1:13" s="120" customFormat="1" x14ac:dyDescent="0.25">
      <c r="A14695" s="119"/>
      <c r="B14695" s="138" t="str">
        <f t="shared" si="1309"/>
        <v>Aerated Static Pile</v>
      </c>
      <c r="C14695" s="138" t="str">
        <f t="shared" si="1310"/>
        <v>Without Amendment</v>
      </c>
      <c r="D14695" s="138" t="str">
        <f t="shared" si="1315"/>
        <v>High_Base</v>
      </c>
      <c r="E14695" s="138" t="str">
        <f t="shared" si="1311"/>
        <v>High</v>
      </c>
      <c r="F14695" s="138" t="str">
        <f t="shared" si="1312"/>
        <v>Upgraded</v>
      </c>
      <c r="G14695" s="153"/>
      <c r="H14695" s="210">
        <v>3.0200000000000001E-2</v>
      </c>
      <c r="I14695" s="160" t="s">
        <v>148</v>
      </c>
      <c r="J14695" s="211">
        <v>4.0354700000000002E-5</v>
      </c>
      <c r="K14695" s="160" t="s">
        <v>24</v>
      </c>
      <c r="L14695" s="154" t="str">
        <f>IF(OpenLCAbasic!K14695="CTUh", "Fill in Manually",IF(OR(K14695="Unit", K14695=""), "", INDEX(LookUps!$E$5:$E$12, MATCH(OpenLCAbasic!K14695,LookUps!$D$5:$D$12,0))))</f>
        <v>Acidification Potential (AP) - kg SO2 eq</v>
      </c>
      <c r="M14695" s="154" t="str">
        <f t="shared" si="1313"/>
        <v>High_High_Base_Upgraded_Acidification Potential (AP) - kg SO2 eq_Control Building; at upgraded wastewater treatment plant - US_Without Amendment_Aerated Static Pile</v>
      </c>
    </row>
    <row r="14696" spans="1:13" s="120" customFormat="1" x14ac:dyDescent="0.25">
      <c r="A14696" s="119"/>
      <c r="B14696" s="138" t="str">
        <f t="shared" si="1309"/>
        <v>Aerated Static Pile</v>
      </c>
      <c r="C14696" s="138" t="str">
        <f t="shared" si="1310"/>
        <v>Without Amendment</v>
      </c>
      <c r="D14696" s="138" t="str">
        <f t="shared" si="1315"/>
        <v>High_Base</v>
      </c>
      <c r="E14696" s="138" t="str">
        <f t="shared" si="1311"/>
        <v>High</v>
      </c>
      <c r="F14696" s="138" t="str">
        <f t="shared" si="1312"/>
        <v>Upgraded</v>
      </c>
      <c r="G14696" s="153"/>
      <c r="H14696" s="210">
        <v>-33.461799999999997</v>
      </c>
      <c r="I14696" s="160" t="s">
        <v>149</v>
      </c>
      <c r="J14696" s="160">
        <v>-4.4699999999999997E-2</v>
      </c>
      <c r="K14696" s="160" t="s">
        <v>24</v>
      </c>
      <c r="L14696" s="154" t="str">
        <f>IF(OpenLCAbasic!K14696="CTUh", "Fill in Manually",IF(OR(K14696="Unit", K14696=""), "", INDEX(LookUps!$E$5:$E$12, MATCH(OpenLCAbasic!K14696,LookUps!$D$5:$D$12,0))))</f>
        <v>Acidification Potential (AP) - kg SO2 eq</v>
      </c>
      <c r="M14696" s="154" t="str">
        <f t="shared" si="1313"/>
        <v>High_High_Base_Upgraded_Acidification Potential (AP) - kg SO2 eq_Anaerobic Digestion; wastewater treatment unit; at updated plant - US_Without Amendment_Aerated Static Pile</v>
      </c>
    </row>
    <row r="14697" spans="1:13" s="120" customFormat="1" x14ac:dyDescent="0.25">
      <c r="A14697" s="119"/>
      <c r="B14697" s="138" t="str">
        <f t="shared" ref="B14697:B14760" si="1316">IF(F14697="Legacy","n.a.",IF(F14697="","","Aerated Static Pile"))</f>
        <v/>
      </c>
      <c r="C14697" s="138" t="str">
        <f t="shared" ref="C14697:C14760" si="1317">IF(ISNUMBER($J14697),"Without Amendment","")</f>
        <v/>
      </c>
      <c r="D14697" s="138" t="str">
        <f t="shared" si="1315"/>
        <v/>
      </c>
      <c r="E14697" s="138" t="str">
        <f t="shared" ref="E14697:E14760" si="1318">IF(ISNUMBER($J14697),"High","")</f>
        <v/>
      </c>
      <c r="F14697" s="138" t="str">
        <f t="shared" ref="F14697:F14760" si="1319">IF(ISNUMBER(J14697),"Upgraded","")</f>
        <v/>
      </c>
      <c r="G14697" s="153" t="s">
        <v>51</v>
      </c>
      <c r="H14697" s="160"/>
      <c r="I14697" s="160" t="s">
        <v>47</v>
      </c>
      <c r="J14697" s="160" t="s">
        <v>52</v>
      </c>
      <c r="K14697" s="160" t="s">
        <v>27</v>
      </c>
      <c r="L14697" s="154" t="str">
        <f>IF(OpenLCAbasic!K14697="CTUh", "Fill in Manually",IF(OR(K14697="Unit", K14697=""), "", INDEX(LookUps!$E$5:$E$12, MATCH(OpenLCAbasic!K14697,LookUps!$D$5:$D$12,0))))</f>
        <v/>
      </c>
      <c r="M14697" s="154" t="str">
        <f t="shared" si="1313"/>
        <v>____Process__</v>
      </c>
    </row>
    <row r="14698" spans="1:13" s="120" customFormat="1" x14ac:dyDescent="0.25">
      <c r="A14698" s="119"/>
      <c r="B14698" s="138" t="str">
        <f t="shared" si="1316"/>
        <v>Aerated Static Pile</v>
      </c>
      <c r="C14698" s="138" t="str">
        <f t="shared" si="1317"/>
        <v>Without Amendment</v>
      </c>
      <c r="D14698" s="138" t="str">
        <f t="shared" si="1315"/>
        <v>High_Base</v>
      </c>
      <c r="E14698" s="138" t="str">
        <f t="shared" si="1318"/>
        <v>High</v>
      </c>
      <c r="F14698" s="138" t="str">
        <f t="shared" si="1319"/>
        <v>Upgraded</v>
      </c>
      <c r="G14698" s="153"/>
      <c r="H14698" s="210">
        <v>35.609099999999998</v>
      </c>
      <c r="I14698" s="160" t="s">
        <v>167</v>
      </c>
      <c r="J14698" s="160">
        <v>5.1393399999999998</v>
      </c>
      <c r="K14698" s="160" t="s">
        <v>15</v>
      </c>
      <c r="L14698" s="154" t="str">
        <f>IF(OpenLCAbasic!K14698="CTUh", "Fill in Manually",IF(OR(K14698="Unit", K14698=""), "", INDEX(LookUps!$E$5:$E$12, MATCH(OpenLCAbasic!K14698,LookUps!$D$5:$D$12,0))))</f>
        <v>Cumulative Energy Demand (CED) - MJ</v>
      </c>
      <c r="M14698" s="154" t="str">
        <f t="shared" si="1313"/>
        <v>High_High_Base_Upgraded_Cumulative Energy Demand (CED) - MJ_Waste Receiving and Holding; wastewater treatment unit; at updated plant - US_Without Amendment_Aerated Static Pile</v>
      </c>
    </row>
    <row r="14699" spans="1:13" s="120" customFormat="1" x14ac:dyDescent="0.25">
      <c r="A14699" s="119"/>
      <c r="B14699" s="138" t="str">
        <f t="shared" si="1316"/>
        <v>Aerated Static Pile</v>
      </c>
      <c r="C14699" s="138" t="str">
        <f t="shared" si="1317"/>
        <v>Without Amendment</v>
      </c>
      <c r="D14699" s="138" t="str">
        <f t="shared" si="1315"/>
        <v>High_Base</v>
      </c>
      <c r="E14699" s="138" t="str">
        <f t="shared" si="1318"/>
        <v>High</v>
      </c>
      <c r="F14699" s="138" t="str">
        <f t="shared" si="1319"/>
        <v>Upgraded</v>
      </c>
      <c r="G14699" s="153"/>
      <c r="H14699" s="210">
        <v>24.479600000000001</v>
      </c>
      <c r="I14699" s="160" t="s">
        <v>55</v>
      </c>
      <c r="J14699" s="160">
        <v>3.5330499999999998</v>
      </c>
      <c r="K14699" s="160" t="s">
        <v>15</v>
      </c>
      <c r="L14699" s="154" t="str">
        <f>IF(OpenLCAbasic!K14699="CTUh", "Fill in Manually",IF(OR(K14699="Unit", K14699=""), "", INDEX(LookUps!$E$5:$E$12, MATCH(OpenLCAbasic!K14699,LookUps!$D$5:$D$12,0))))</f>
        <v>Cumulative Energy Demand (CED) - MJ</v>
      </c>
      <c r="M14699" s="154" t="str">
        <f t="shared" si="1313"/>
        <v>High_High_Base_Upgraded_Cumulative Energy Demand (CED) - MJ_Aeration Tanks; wastewater treatment unit; at updated plant - US_Without Amendment_Aerated Static Pile</v>
      </c>
    </row>
    <row r="14700" spans="1:13" s="120" customFormat="1" x14ac:dyDescent="0.25">
      <c r="A14700" s="119"/>
      <c r="B14700" s="138" t="str">
        <f t="shared" si="1316"/>
        <v>Aerated Static Pile</v>
      </c>
      <c r="C14700" s="138" t="str">
        <f t="shared" si="1317"/>
        <v>Without Amendment</v>
      </c>
      <c r="D14700" s="138" t="str">
        <f t="shared" si="1315"/>
        <v>High_Base</v>
      </c>
      <c r="E14700" s="138" t="str">
        <f t="shared" si="1318"/>
        <v>High</v>
      </c>
      <c r="F14700" s="138" t="str">
        <f t="shared" si="1319"/>
        <v>Upgraded</v>
      </c>
      <c r="G14700" s="153"/>
      <c r="H14700" s="210">
        <v>8.0573999999999995</v>
      </c>
      <c r="I14700" s="160" t="s">
        <v>54</v>
      </c>
      <c r="J14700" s="160">
        <v>1.16289</v>
      </c>
      <c r="K14700" s="160" t="s">
        <v>15</v>
      </c>
      <c r="L14700" s="154" t="str">
        <f>IF(OpenLCAbasic!K14700="CTUh", "Fill in Manually",IF(OR(K14700="Unit", K14700=""), "", INDEX(LookUps!$E$5:$E$12, MATCH(OpenLCAbasic!K14700,LookUps!$D$5:$D$12,0))))</f>
        <v>Cumulative Energy Demand (CED) - MJ</v>
      </c>
      <c r="M14700" s="154" t="str">
        <f t="shared" si="1313"/>
        <v>High_High_Base_Upgraded_Cumulative Energy Demand (CED) - MJ_Clear Cove Primary Clarification; wastewater treatment unit; at updated plant - US_Without Amendment_Aerated Static Pile</v>
      </c>
    </row>
    <row r="14701" spans="1:13" s="120" customFormat="1" x14ac:dyDescent="0.25">
      <c r="A14701" s="119"/>
      <c r="B14701" s="138" t="str">
        <f t="shared" si="1316"/>
        <v>Aerated Static Pile</v>
      </c>
      <c r="C14701" s="138" t="str">
        <f t="shared" si="1317"/>
        <v>Without Amendment</v>
      </c>
      <c r="D14701" s="138" t="str">
        <f t="shared" si="1315"/>
        <v>High_Base</v>
      </c>
      <c r="E14701" s="138" t="str">
        <f t="shared" si="1318"/>
        <v>High</v>
      </c>
      <c r="F14701" s="138" t="str">
        <f t="shared" si="1319"/>
        <v>Upgraded</v>
      </c>
      <c r="G14701" s="153"/>
      <c r="H14701" s="210">
        <v>6.1710000000000003</v>
      </c>
      <c r="I14701" s="160" t="s">
        <v>58</v>
      </c>
      <c r="J14701" s="160">
        <v>0.89063999999999999</v>
      </c>
      <c r="K14701" s="160" t="s">
        <v>15</v>
      </c>
      <c r="L14701" s="154" t="str">
        <f>IF(OpenLCAbasic!K14701="CTUh", "Fill in Manually",IF(OR(K14701="Unit", K14701=""), "", INDEX(LookUps!$E$5:$E$12, MATCH(OpenLCAbasic!K14701,LookUps!$D$5:$D$12,0))))</f>
        <v>Cumulative Energy Demand (CED) - MJ</v>
      </c>
      <c r="M14701" s="154" t="str">
        <f t="shared" si="1313"/>
        <v>High_High_Base_Upgraded_Cumulative Energy Demand (CED) - MJ_Pre-Anoxic &amp; Swing tank; wastewater treatment unit; at updated plant - US_Without Amendment_Aerated Static Pile</v>
      </c>
    </row>
    <row r="14702" spans="1:13" s="120" customFormat="1" x14ac:dyDescent="0.25">
      <c r="A14702" s="119"/>
      <c r="B14702" s="138" t="str">
        <f t="shared" si="1316"/>
        <v>Aerated Static Pile</v>
      </c>
      <c r="C14702" s="138" t="str">
        <f t="shared" si="1317"/>
        <v>Without Amendment</v>
      </c>
      <c r="D14702" s="138" t="str">
        <f t="shared" si="1315"/>
        <v>High_Base</v>
      </c>
      <c r="E14702" s="138" t="str">
        <f t="shared" si="1318"/>
        <v>High</v>
      </c>
      <c r="F14702" s="138" t="str">
        <f t="shared" si="1319"/>
        <v>Upgraded</v>
      </c>
      <c r="G14702" s="153"/>
      <c r="H14702" s="210">
        <v>6.1178999999999997</v>
      </c>
      <c r="I14702" s="160" t="s">
        <v>147</v>
      </c>
      <c r="J14702" s="160">
        <v>0.88297000000000003</v>
      </c>
      <c r="K14702" s="160" t="s">
        <v>15</v>
      </c>
      <c r="L14702" s="154" t="str">
        <f>IF(OpenLCAbasic!K14702="CTUh", "Fill in Manually",IF(OR(K14702="Unit", K14702=""), "", INDEX(LookUps!$E$5:$E$12, MATCH(OpenLCAbasic!K14702,LookUps!$D$5:$D$12,0))))</f>
        <v>Cumulative Energy Demand (CED) - MJ</v>
      </c>
      <c r="M14702" s="154" t="str">
        <f t="shared" si="1313"/>
        <v>High_High_Base_Upgraded_Cumulative Energy Demand (CED) - MJ_Influent Pump Station; wastewater treatment unit; at updated plant - US_Without Amendment_Aerated Static Pile</v>
      </c>
    </row>
    <row r="14703" spans="1:13" s="120" customFormat="1" x14ac:dyDescent="0.25">
      <c r="A14703" s="119"/>
      <c r="B14703" s="138" t="str">
        <f t="shared" si="1316"/>
        <v>Aerated Static Pile</v>
      </c>
      <c r="C14703" s="138" t="str">
        <f t="shared" si="1317"/>
        <v>Without Amendment</v>
      </c>
      <c r="D14703" s="138" t="str">
        <f t="shared" si="1315"/>
        <v>High_Base</v>
      </c>
      <c r="E14703" s="138" t="str">
        <f t="shared" si="1318"/>
        <v>High</v>
      </c>
      <c r="F14703" s="138" t="str">
        <f t="shared" si="1319"/>
        <v>Upgraded</v>
      </c>
      <c r="G14703" s="153"/>
      <c r="H14703" s="210">
        <v>4.8254999999999999</v>
      </c>
      <c r="I14703" s="160" t="s">
        <v>53</v>
      </c>
      <c r="J14703" s="160">
        <v>0.69645000000000001</v>
      </c>
      <c r="K14703" s="160" t="s">
        <v>15</v>
      </c>
      <c r="L14703" s="154" t="str">
        <f>IF(OpenLCAbasic!K14703="CTUh", "Fill in Manually",IF(OR(K14703="Unit", K14703=""), "", INDEX(LookUps!$E$5:$E$12, MATCH(OpenLCAbasic!K14703,LookUps!$D$5:$D$12,0))))</f>
        <v>Cumulative Energy Demand (CED) - MJ</v>
      </c>
      <c r="M14703" s="154" t="str">
        <f t="shared" si="1313"/>
        <v>High_High_Base_Upgraded_Cumulative Energy Demand (CED) - MJ_Wet Well and Sump Station; wastewater treatment unit; at updated plant - US_Without Amendment_Aerated Static Pile</v>
      </c>
    </row>
    <row r="14704" spans="1:13" s="120" customFormat="1" x14ac:dyDescent="0.25">
      <c r="A14704" s="119"/>
      <c r="B14704" s="138" t="str">
        <f t="shared" si="1316"/>
        <v>Aerated Static Pile</v>
      </c>
      <c r="C14704" s="138" t="str">
        <f t="shared" si="1317"/>
        <v>Without Amendment</v>
      </c>
      <c r="D14704" s="138" t="str">
        <f t="shared" si="1315"/>
        <v>High_Base</v>
      </c>
      <c r="E14704" s="138" t="str">
        <f t="shared" si="1318"/>
        <v>High</v>
      </c>
      <c r="F14704" s="138" t="str">
        <f t="shared" si="1319"/>
        <v>Upgraded</v>
      </c>
      <c r="G14704" s="153"/>
      <c r="H14704" s="210">
        <v>4.5495999999999999</v>
      </c>
      <c r="I14704" s="160" t="s">
        <v>435</v>
      </c>
      <c r="J14704" s="160">
        <v>0.65663000000000005</v>
      </c>
      <c r="K14704" s="160" t="s">
        <v>15</v>
      </c>
      <c r="L14704" s="154" t="str">
        <f>IF(OpenLCAbasic!K14704="CTUh", "Fill in Manually",IF(OR(K14704="Unit", K14704=""), "", INDEX(LookUps!$E$5:$E$12, MATCH(OpenLCAbasic!K14704,LookUps!$D$5:$D$12,0))))</f>
        <v>Cumulative Energy Demand (CED) - MJ</v>
      </c>
      <c r="M14704" s="154" t="str">
        <f t="shared" si="1313"/>
        <v>High_High_Base_Upgraded_Cumulative Energy Demand (CED) - MJ_Biosolids composting; aerated static pile; wastewater treatment unit; at updated plant - US_Without Amendment_Aerated Static Pile</v>
      </c>
    </row>
    <row r="14705" spans="1:13" s="120" customFormat="1" x14ac:dyDescent="0.25">
      <c r="A14705" s="119"/>
      <c r="B14705" s="138" t="str">
        <f t="shared" si="1316"/>
        <v>Aerated Static Pile</v>
      </c>
      <c r="C14705" s="138" t="str">
        <f t="shared" si="1317"/>
        <v>Without Amendment</v>
      </c>
      <c r="D14705" s="138" t="str">
        <f t="shared" si="1315"/>
        <v>High_Base</v>
      </c>
      <c r="E14705" s="138" t="str">
        <f t="shared" si="1318"/>
        <v>High</v>
      </c>
      <c r="F14705" s="138" t="str">
        <f t="shared" si="1319"/>
        <v>Upgraded</v>
      </c>
      <c r="G14705" s="153"/>
      <c r="H14705" s="210">
        <v>3.7707999999999999</v>
      </c>
      <c r="I14705" s="160" t="s">
        <v>60</v>
      </c>
      <c r="J14705" s="160">
        <v>0.54422999999999999</v>
      </c>
      <c r="K14705" s="160" t="s">
        <v>15</v>
      </c>
      <c r="L14705" s="154" t="str">
        <f>IF(OpenLCAbasic!K14705="CTUh", "Fill in Manually",IF(OR(K14705="Unit", K14705=""), "", INDEX(LookUps!$E$5:$E$12, MATCH(OpenLCAbasic!K14705,LookUps!$D$5:$D$12,0))))</f>
        <v>Cumulative Energy Demand (CED) - MJ</v>
      </c>
      <c r="M14705" s="154" t="str">
        <f t="shared" si="1313"/>
        <v>High_High_Base_Upgraded_Cumulative Energy Demand (CED) - MJ_Belt filter press; wastewater treatment unit; at updated plant - US_Without Amendment_Aerated Static Pile</v>
      </c>
    </row>
    <row r="14706" spans="1:13" s="120" customFormat="1" x14ac:dyDescent="0.25">
      <c r="A14706" s="119"/>
      <c r="B14706" s="138" t="str">
        <f t="shared" si="1316"/>
        <v>Aerated Static Pile</v>
      </c>
      <c r="C14706" s="138" t="str">
        <f t="shared" si="1317"/>
        <v>Without Amendment</v>
      </c>
      <c r="D14706" s="138" t="str">
        <f t="shared" si="1315"/>
        <v>High_Base</v>
      </c>
      <c r="E14706" s="138" t="str">
        <f t="shared" si="1318"/>
        <v>High</v>
      </c>
      <c r="F14706" s="138" t="str">
        <f t="shared" si="1319"/>
        <v>Upgraded</v>
      </c>
      <c r="G14706" s="153"/>
      <c r="H14706" s="210">
        <v>2.3144999999999998</v>
      </c>
      <c r="I14706" s="160" t="s">
        <v>57</v>
      </c>
      <c r="J14706" s="160">
        <v>0.33404</v>
      </c>
      <c r="K14706" s="160" t="s">
        <v>15</v>
      </c>
      <c r="L14706" s="154" t="str">
        <f>IF(OpenLCAbasic!K14706="CTUh", "Fill in Manually",IF(OR(K14706="Unit", K14706=""), "", INDEX(LookUps!$E$5:$E$12, MATCH(OpenLCAbasic!K14706,LookUps!$D$5:$D$12,0))))</f>
        <v>Cumulative Energy Demand (CED) - MJ</v>
      </c>
      <c r="M14706" s="154" t="str">
        <f t="shared" si="1313"/>
        <v>High_High_Base_Upgraded_Cumulative Energy Demand (CED) - MJ_Gravity Belt Thickener; wastewater treatment unit; at updated plant - US_Without Amendment_Aerated Static Pile</v>
      </c>
    </row>
    <row r="14707" spans="1:13" s="120" customFormat="1" x14ac:dyDescent="0.25">
      <c r="A14707" s="119"/>
      <c r="B14707" s="138" t="str">
        <f t="shared" si="1316"/>
        <v>Aerated Static Pile</v>
      </c>
      <c r="C14707" s="138" t="str">
        <f t="shared" si="1317"/>
        <v>Without Amendment</v>
      </c>
      <c r="D14707" s="138" t="str">
        <f t="shared" si="1315"/>
        <v>High_Base</v>
      </c>
      <c r="E14707" s="138" t="str">
        <f t="shared" si="1318"/>
        <v>High</v>
      </c>
      <c r="F14707" s="138" t="str">
        <f t="shared" si="1319"/>
        <v>Upgraded</v>
      </c>
      <c r="G14707" s="153"/>
      <c r="H14707" s="210">
        <v>1.7741</v>
      </c>
      <c r="I14707" s="160" t="s">
        <v>128</v>
      </c>
      <c r="J14707" s="160">
        <v>0.25606000000000001</v>
      </c>
      <c r="K14707" s="160" t="s">
        <v>15</v>
      </c>
      <c r="L14707" s="154" t="str">
        <f>IF(OpenLCAbasic!K14707="CTUh", "Fill in Manually",IF(OR(K14707="Unit", K14707=""), "", INDEX(LookUps!$E$5:$E$12, MATCH(OpenLCAbasic!K14707,LookUps!$D$5:$D$12,0))))</f>
        <v>Cumulative Energy Demand (CED) - MJ</v>
      </c>
      <c r="M14707" s="154" t="str">
        <f t="shared" si="1313"/>
        <v>High_High_Base_Upgraded_Cumulative Energy Demand (CED) - MJ_Wastewater collection; operation and infrastructure; m3 wastewater_Without Amendment_Aerated Static Pile</v>
      </c>
    </row>
    <row r="14708" spans="1:13" s="120" customFormat="1" x14ac:dyDescent="0.25">
      <c r="A14708" s="119"/>
      <c r="B14708" s="138" t="str">
        <f t="shared" si="1316"/>
        <v>Aerated Static Pile</v>
      </c>
      <c r="C14708" s="138" t="str">
        <f t="shared" si="1317"/>
        <v>Without Amendment</v>
      </c>
      <c r="D14708" s="138" t="str">
        <f t="shared" si="1315"/>
        <v>High_Base</v>
      </c>
      <c r="E14708" s="138" t="str">
        <f t="shared" si="1318"/>
        <v>High</v>
      </c>
      <c r="F14708" s="138" t="str">
        <f t="shared" si="1319"/>
        <v>Upgraded</v>
      </c>
      <c r="G14708" s="153"/>
      <c r="H14708" s="210">
        <v>1.0116000000000001</v>
      </c>
      <c r="I14708" s="160" t="s">
        <v>148</v>
      </c>
      <c r="J14708" s="160">
        <v>0.14599000000000001</v>
      </c>
      <c r="K14708" s="160" t="s">
        <v>15</v>
      </c>
      <c r="L14708" s="154" t="str">
        <f>IF(OpenLCAbasic!K14708="CTUh", "Fill in Manually",IF(OR(K14708="Unit", K14708=""), "", INDEX(LookUps!$E$5:$E$12, MATCH(OpenLCAbasic!K14708,LookUps!$D$5:$D$12,0))))</f>
        <v>Cumulative Energy Demand (CED) - MJ</v>
      </c>
      <c r="M14708" s="154" t="str">
        <f t="shared" si="1313"/>
        <v>High_High_Base_Upgraded_Cumulative Energy Demand (CED) - MJ_Control Building; at upgraded wastewater treatment plant - US_Without Amendment_Aerated Static Pile</v>
      </c>
    </row>
    <row r="14709" spans="1:13" s="120" customFormat="1" x14ac:dyDescent="0.25">
      <c r="A14709" s="119"/>
      <c r="B14709" s="138" t="str">
        <f t="shared" si="1316"/>
        <v>Aerated Static Pile</v>
      </c>
      <c r="C14709" s="138" t="str">
        <f t="shared" si="1317"/>
        <v>Without Amendment</v>
      </c>
      <c r="D14709" s="138" t="str">
        <f t="shared" si="1315"/>
        <v>High_Base</v>
      </c>
      <c r="E14709" s="138" t="str">
        <f t="shared" si="1318"/>
        <v>High</v>
      </c>
      <c r="F14709" s="138" t="str">
        <f t="shared" si="1319"/>
        <v>Upgraded</v>
      </c>
      <c r="G14709" s="153"/>
      <c r="H14709" s="210">
        <v>0.92300000000000004</v>
      </c>
      <c r="I14709" s="160" t="s">
        <v>48</v>
      </c>
      <c r="J14709" s="160">
        <v>0.13321</v>
      </c>
      <c r="K14709" s="160" t="s">
        <v>15</v>
      </c>
      <c r="L14709" s="154" t="str">
        <f>IF(OpenLCAbasic!K14709="CTUh", "Fill in Manually",IF(OR(K14709="Unit", K14709=""), "", INDEX(LookUps!$E$5:$E$12, MATCH(OpenLCAbasic!K14709,LookUps!$D$5:$D$12,0))))</f>
        <v>Cumulative Energy Demand (CED) - MJ</v>
      </c>
      <c r="M14709" s="154" t="str">
        <f t="shared" si="1313"/>
        <v>High_High_Base_Upgraded_Cumulative Energy Demand (CED) - MJ_Effluent release; wastewater treatment unit; at surface water; m3 wastewater - US_Without Amendment_Aerated Static Pile</v>
      </c>
    </row>
    <row r="14710" spans="1:13" s="120" customFormat="1" x14ac:dyDescent="0.25">
      <c r="A14710" s="119"/>
      <c r="B14710" s="138" t="str">
        <f t="shared" si="1316"/>
        <v>Aerated Static Pile</v>
      </c>
      <c r="C14710" s="138" t="str">
        <f t="shared" si="1317"/>
        <v>Without Amendment</v>
      </c>
      <c r="D14710" s="138" t="str">
        <f t="shared" si="1315"/>
        <v>High_Base</v>
      </c>
      <c r="E14710" s="138" t="str">
        <f t="shared" si="1318"/>
        <v>High</v>
      </c>
      <c r="F14710" s="138" t="str">
        <f t="shared" si="1319"/>
        <v>Upgraded</v>
      </c>
      <c r="G14710" s="153"/>
      <c r="H14710" s="210">
        <v>0.73709999999999998</v>
      </c>
      <c r="I14710" s="160" t="s">
        <v>59</v>
      </c>
      <c r="J14710" s="160">
        <v>0.10638</v>
      </c>
      <c r="K14710" s="160" t="s">
        <v>15</v>
      </c>
      <c r="L14710" s="154" t="str">
        <f>IF(OpenLCAbasic!K14710="CTUh", "Fill in Manually",IF(OR(K14710="Unit", K14710=""), "", INDEX(LookUps!$E$5:$E$12, MATCH(OpenLCAbasic!K14710,LookUps!$D$5:$D$12,0))))</f>
        <v>Cumulative Energy Demand (CED) - MJ</v>
      </c>
      <c r="M14710" s="154" t="str">
        <f t="shared" si="1313"/>
        <v>High_High_Base_Upgraded_Cumulative Energy Demand (CED) - MJ_Blend Tank; wastewater treatment unit; at updated plant - US_Without Amendment_Aerated Static Pile</v>
      </c>
    </row>
    <row r="14711" spans="1:13" s="120" customFormat="1" x14ac:dyDescent="0.25">
      <c r="A14711" s="119"/>
      <c r="B14711" s="138" t="str">
        <f t="shared" si="1316"/>
        <v>Aerated Static Pile</v>
      </c>
      <c r="C14711" s="138" t="str">
        <f t="shared" si="1317"/>
        <v>Without Amendment</v>
      </c>
      <c r="D14711" s="138" t="str">
        <f t="shared" si="1315"/>
        <v>High_Base</v>
      </c>
      <c r="E14711" s="138" t="str">
        <f t="shared" si="1318"/>
        <v>High</v>
      </c>
      <c r="F14711" s="138" t="str">
        <f t="shared" si="1319"/>
        <v>Upgraded</v>
      </c>
      <c r="G14711" s="153"/>
      <c r="H14711" s="210">
        <v>0.35289999999999999</v>
      </c>
      <c r="I14711" s="160" t="s">
        <v>168</v>
      </c>
      <c r="J14711" s="160">
        <v>5.0930000000000003E-2</v>
      </c>
      <c r="K14711" s="160" t="s">
        <v>15</v>
      </c>
      <c r="L14711" s="154" t="str">
        <f>IF(OpenLCAbasic!K14711="CTUh", "Fill in Manually",IF(OR(K14711="Unit", K14711=""), "", INDEX(LookUps!$E$5:$E$12, MATCH(OpenLCAbasic!K14711,LookUps!$D$5:$D$12,0))))</f>
        <v>Cumulative Energy Demand (CED) - MJ</v>
      </c>
      <c r="M14711" s="154" t="str">
        <f t="shared" si="1313"/>
        <v>High_High_Base_Upgraded_Cumulative Energy Demand (CED) - MJ_ClearCove SCP; wastewater treatment unit; at updated plant - US_Without Amendment_Aerated Static Pile</v>
      </c>
    </row>
    <row r="14712" spans="1:13" s="120" customFormat="1" x14ac:dyDescent="0.25">
      <c r="A14712" s="119"/>
      <c r="B14712" s="138" t="str">
        <f t="shared" si="1316"/>
        <v>Aerated Static Pile</v>
      </c>
      <c r="C14712" s="138" t="str">
        <f t="shared" si="1317"/>
        <v>Without Amendment</v>
      </c>
      <c r="D14712" s="138" t="str">
        <f t="shared" si="1315"/>
        <v>High_Base</v>
      </c>
      <c r="E14712" s="138" t="str">
        <f t="shared" si="1318"/>
        <v>High</v>
      </c>
      <c r="F14712" s="138" t="str">
        <f t="shared" si="1319"/>
        <v>Upgraded</v>
      </c>
      <c r="G14712" s="153"/>
      <c r="H14712" s="210">
        <v>-3.4460000000000002</v>
      </c>
      <c r="I14712" s="160" t="s">
        <v>62</v>
      </c>
      <c r="J14712" s="160">
        <v>-0.49734</v>
      </c>
      <c r="K14712" s="160" t="s">
        <v>15</v>
      </c>
      <c r="L14712" s="154" t="str">
        <f>IF(OpenLCAbasic!K14712="CTUh", "Fill in Manually",IF(OR(K14712="Unit", K14712=""), "", INDEX(LookUps!$E$5:$E$12, MATCH(OpenLCAbasic!K14712,LookUps!$D$5:$D$12,0))))</f>
        <v>Cumulative Energy Demand (CED) - MJ</v>
      </c>
      <c r="M14712" s="154" t="str">
        <f t="shared" si="1313"/>
        <v>High_High_Base_Upgraded_Cumulative Energy Demand (CED) - MJ_Land application of compost; wastewater treatment unit; at updated plant - US_Without Amendment_Aerated Static Pile</v>
      </c>
    </row>
    <row r="14713" spans="1:13" s="120" customFormat="1" x14ac:dyDescent="0.25">
      <c r="A14713" s="119"/>
      <c r="B14713" s="138" t="str">
        <f t="shared" si="1316"/>
        <v>Aerated Static Pile</v>
      </c>
      <c r="C14713" s="138" t="str">
        <f t="shared" si="1317"/>
        <v>Without Amendment</v>
      </c>
      <c r="D14713" s="138" t="str">
        <f t="shared" si="1315"/>
        <v>High_Base</v>
      </c>
      <c r="E14713" s="138" t="str">
        <f t="shared" si="1318"/>
        <v>High</v>
      </c>
      <c r="F14713" s="138" t="str">
        <f t="shared" si="1319"/>
        <v>Upgraded</v>
      </c>
      <c r="G14713" s="153"/>
      <c r="H14713" s="210">
        <v>-98.248099999999994</v>
      </c>
      <c r="I14713" s="160" t="s">
        <v>149</v>
      </c>
      <c r="J14713" s="160">
        <v>-14.179790000000001</v>
      </c>
      <c r="K14713" s="160" t="s">
        <v>15</v>
      </c>
      <c r="L14713" s="154" t="str">
        <f>IF(OpenLCAbasic!K14713="CTUh", "Fill in Manually",IF(OR(K14713="Unit", K14713=""), "", INDEX(LookUps!$E$5:$E$12, MATCH(OpenLCAbasic!K14713,LookUps!$D$5:$D$12,0))))</f>
        <v>Cumulative Energy Demand (CED) - MJ</v>
      </c>
      <c r="M14713" s="154" t="str">
        <f t="shared" si="1313"/>
        <v>High_High_Base_Upgraded_Cumulative Energy Demand (CED) - MJ_Anaerobic Digestion; wastewater treatment unit; at updated plant - US_Without Amendment_Aerated Static Pile</v>
      </c>
    </row>
    <row r="14714" spans="1:13" s="120" customFormat="1" x14ac:dyDescent="0.25">
      <c r="A14714" s="119"/>
      <c r="B14714" s="138" t="str">
        <f t="shared" si="1316"/>
        <v/>
      </c>
      <c r="C14714" s="138" t="str">
        <f t="shared" si="1317"/>
        <v/>
      </c>
      <c r="D14714" s="138" t="str">
        <f t="shared" si="1315"/>
        <v/>
      </c>
      <c r="E14714" s="138" t="str">
        <f t="shared" si="1318"/>
        <v/>
      </c>
      <c r="F14714" s="138" t="str">
        <f t="shared" si="1319"/>
        <v/>
      </c>
      <c r="G14714" s="153" t="s">
        <v>51</v>
      </c>
      <c r="H14714" s="160"/>
      <c r="I14714" s="160" t="s">
        <v>47</v>
      </c>
      <c r="J14714" s="160" t="s">
        <v>52</v>
      </c>
      <c r="K14714" s="160" t="s">
        <v>27</v>
      </c>
      <c r="L14714" s="154" t="str">
        <f>IF(OpenLCAbasic!K14714="CTUh", "Fill in Manually",IF(OR(K14714="Unit", K14714=""), "", INDEX(LookUps!$E$5:$E$12, MATCH(OpenLCAbasic!K14714,LookUps!$D$5:$D$12,0))))</f>
        <v/>
      </c>
      <c r="M14714" s="154" t="str">
        <f t="shared" si="1313"/>
        <v>____Process__</v>
      </c>
    </row>
    <row r="14715" spans="1:13" s="120" customFormat="1" x14ac:dyDescent="0.25">
      <c r="A14715" s="119"/>
      <c r="B14715" s="138" t="str">
        <f t="shared" si="1316"/>
        <v>Aerated Static Pile</v>
      </c>
      <c r="C14715" s="138" t="str">
        <f t="shared" si="1317"/>
        <v>Without Amendment</v>
      </c>
      <c r="D14715" s="138" t="str">
        <f t="shared" si="1315"/>
        <v>High_Base</v>
      </c>
      <c r="E14715" s="138" t="str">
        <f t="shared" si="1318"/>
        <v>High</v>
      </c>
      <c r="F14715" s="138" t="str">
        <f t="shared" si="1319"/>
        <v>Upgraded</v>
      </c>
      <c r="G14715" s="153"/>
      <c r="H14715" s="210">
        <v>0.80510000000000004</v>
      </c>
      <c r="I14715" s="160" t="s">
        <v>48</v>
      </c>
      <c r="J14715" s="160">
        <v>1.1610000000000001E-2</v>
      </c>
      <c r="K14715" s="160" t="s">
        <v>13</v>
      </c>
      <c r="L14715" s="154" t="str">
        <f>IF(OpenLCAbasic!K14715="CTUh", "Fill in Manually",IF(OR(K14715="Unit", K14715=""), "", INDEX(LookUps!$E$5:$E$12, MATCH(OpenLCAbasic!K14715,LookUps!$D$5:$D$12,0))))</f>
        <v>Eutrophication Potential (EP) - kg N eq</v>
      </c>
      <c r="M14715" s="154" t="str">
        <f t="shared" si="1313"/>
        <v>High_High_Base_Upgraded_Eutrophication Potential (EP) - kg N eq_Effluent release; wastewater treatment unit; at surface water; m3 wastewater - US_Without Amendment_Aerated Static Pile</v>
      </c>
    </row>
    <row r="14716" spans="1:13" s="120" customFormat="1" x14ac:dyDescent="0.25">
      <c r="A14716" s="119"/>
      <c r="B14716" s="138" t="str">
        <f t="shared" si="1316"/>
        <v>Aerated Static Pile</v>
      </c>
      <c r="C14716" s="138" t="str">
        <f t="shared" si="1317"/>
        <v>Without Amendment</v>
      </c>
      <c r="D14716" s="138" t="str">
        <f t="shared" si="1315"/>
        <v>High_Base</v>
      </c>
      <c r="E14716" s="138" t="str">
        <f t="shared" si="1318"/>
        <v>High</v>
      </c>
      <c r="F14716" s="138" t="str">
        <f t="shared" si="1319"/>
        <v>Upgraded</v>
      </c>
      <c r="G14716" s="153"/>
      <c r="H14716" s="210">
        <v>0.1623</v>
      </c>
      <c r="I14716" s="160" t="s">
        <v>62</v>
      </c>
      <c r="J14716" s="160">
        <v>2.3400000000000001E-3</v>
      </c>
      <c r="K14716" s="160" t="s">
        <v>13</v>
      </c>
      <c r="L14716" s="154" t="str">
        <f>IF(OpenLCAbasic!K14716="CTUh", "Fill in Manually",IF(OR(K14716="Unit", K14716=""), "", INDEX(LookUps!$E$5:$E$12, MATCH(OpenLCAbasic!K14716,LookUps!$D$5:$D$12,0))))</f>
        <v>Eutrophication Potential (EP) - kg N eq</v>
      </c>
      <c r="M14716" s="154" t="str">
        <f t="shared" si="1313"/>
        <v>High_High_Base_Upgraded_Eutrophication Potential (EP) - kg N eq_Land application of compost; wastewater treatment unit; at updated plant - US_Without Amendment_Aerated Static Pile</v>
      </c>
    </row>
    <row r="14717" spans="1:13" s="120" customFormat="1" x14ac:dyDescent="0.25">
      <c r="A14717" s="119"/>
      <c r="B14717" s="138" t="str">
        <f t="shared" si="1316"/>
        <v>Aerated Static Pile</v>
      </c>
      <c r="C14717" s="138" t="str">
        <f t="shared" si="1317"/>
        <v>Without Amendment</v>
      </c>
      <c r="D14717" s="138" t="str">
        <f t="shared" si="1315"/>
        <v>High_Base</v>
      </c>
      <c r="E14717" s="138" t="str">
        <f t="shared" si="1318"/>
        <v>High</v>
      </c>
      <c r="F14717" s="138" t="str">
        <f t="shared" si="1319"/>
        <v>Upgraded</v>
      </c>
      <c r="G14717" s="153"/>
      <c r="H14717" s="210">
        <v>3.7900000000000003E-2</v>
      </c>
      <c r="I14717" s="160" t="s">
        <v>55</v>
      </c>
      <c r="J14717" s="160">
        <v>5.5000000000000003E-4</v>
      </c>
      <c r="K14717" s="160" t="s">
        <v>13</v>
      </c>
      <c r="L14717" s="154" t="str">
        <f>IF(OpenLCAbasic!K14717="CTUh", "Fill in Manually",IF(OR(K14717="Unit", K14717=""), "", INDEX(LookUps!$E$5:$E$12, MATCH(OpenLCAbasic!K14717,LookUps!$D$5:$D$12,0))))</f>
        <v>Eutrophication Potential (EP) - kg N eq</v>
      </c>
      <c r="M14717" s="154" t="str">
        <f t="shared" si="1313"/>
        <v>High_High_Base_Upgraded_Eutrophication Potential (EP) - kg N eq_Aeration Tanks; wastewater treatment unit; at updated plant - US_Without Amendment_Aerated Static Pile</v>
      </c>
    </row>
    <row r="14718" spans="1:13" s="120" customFormat="1" x14ac:dyDescent="0.25">
      <c r="A14718" s="119"/>
      <c r="B14718" s="138" t="str">
        <f t="shared" si="1316"/>
        <v>Aerated Static Pile</v>
      </c>
      <c r="C14718" s="138" t="str">
        <f t="shared" si="1317"/>
        <v>Without Amendment</v>
      </c>
      <c r="D14718" s="138" t="str">
        <f t="shared" si="1315"/>
        <v>High_Base</v>
      </c>
      <c r="E14718" s="138" t="str">
        <f t="shared" si="1318"/>
        <v>High</v>
      </c>
      <c r="F14718" s="138" t="str">
        <f t="shared" si="1319"/>
        <v>Upgraded</v>
      </c>
      <c r="G14718" s="153"/>
      <c r="H14718" s="210">
        <v>1.7299999999999999E-2</v>
      </c>
      <c r="I14718" s="160" t="s">
        <v>147</v>
      </c>
      <c r="J14718" s="160">
        <v>2.5000000000000001E-4</v>
      </c>
      <c r="K14718" s="160" t="s">
        <v>13</v>
      </c>
      <c r="L14718" s="154" t="str">
        <f>IF(OpenLCAbasic!K14718="CTUh", "Fill in Manually",IF(OR(K14718="Unit", K14718=""), "", INDEX(LookUps!$E$5:$E$12, MATCH(OpenLCAbasic!K14718,LookUps!$D$5:$D$12,0))))</f>
        <v>Eutrophication Potential (EP) - kg N eq</v>
      </c>
      <c r="M14718" s="154" t="str">
        <f t="shared" si="1313"/>
        <v>High_High_Base_Upgraded_Eutrophication Potential (EP) - kg N eq_Influent Pump Station; wastewater treatment unit; at updated plant - US_Without Amendment_Aerated Static Pile</v>
      </c>
    </row>
    <row r="14719" spans="1:13" s="120" customFormat="1" x14ac:dyDescent="0.25">
      <c r="A14719" s="119"/>
      <c r="B14719" s="138" t="str">
        <f t="shared" si="1316"/>
        <v>Aerated Static Pile</v>
      </c>
      <c r="C14719" s="138" t="str">
        <f t="shared" si="1317"/>
        <v>Without Amendment</v>
      </c>
      <c r="D14719" s="138" t="str">
        <f t="shared" si="1315"/>
        <v>High_Base</v>
      </c>
      <c r="E14719" s="138" t="str">
        <f t="shared" si="1318"/>
        <v>High</v>
      </c>
      <c r="F14719" s="138" t="str">
        <f t="shared" si="1319"/>
        <v>Upgraded</v>
      </c>
      <c r="G14719" s="153"/>
      <c r="H14719" s="210">
        <v>1.5299999999999999E-2</v>
      </c>
      <c r="I14719" s="160" t="s">
        <v>167</v>
      </c>
      <c r="J14719" s="160">
        <v>2.2000000000000001E-4</v>
      </c>
      <c r="K14719" s="160" t="s">
        <v>13</v>
      </c>
      <c r="L14719" s="154" t="str">
        <f>IF(OpenLCAbasic!K14719="CTUh", "Fill in Manually",IF(OR(K14719="Unit", K14719=""), "", INDEX(LookUps!$E$5:$E$12, MATCH(OpenLCAbasic!K14719,LookUps!$D$5:$D$12,0))))</f>
        <v>Eutrophication Potential (EP) - kg N eq</v>
      </c>
      <c r="M14719" s="154" t="str">
        <f t="shared" si="1313"/>
        <v>High_High_Base_Upgraded_Eutrophication Potential (EP) - kg N eq_Waste Receiving and Holding; wastewater treatment unit; at updated plant - US_Without Amendment_Aerated Static Pile</v>
      </c>
    </row>
    <row r="14720" spans="1:13" s="120" customFormat="1" x14ac:dyDescent="0.25">
      <c r="A14720" s="119"/>
      <c r="B14720" s="138" t="str">
        <f t="shared" si="1316"/>
        <v>Aerated Static Pile</v>
      </c>
      <c r="C14720" s="138" t="str">
        <f t="shared" si="1317"/>
        <v>Without Amendment</v>
      </c>
      <c r="D14720" s="138" t="str">
        <f t="shared" si="1315"/>
        <v>High_Base</v>
      </c>
      <c r="E14720" s="138" t="str">
        <f t="shared" si="1318"/>
        <v>High</v>
      </c>
      <c r="F14720" s="138" t="str">
        <f t="shared" si="1319"/>
        <v>Upgraded</v>
      </c>
      <c r="G14720" s="153"/>
      <c r="H14720" s="210">
        <v>1.37E-2</v>
      </c>
      <c r="I14720" s="160" t="s">
        <v>54</v>
      </c>
      <c r="J14720" s="160">
        <v>2.0000000000000001E-4</v>
      </c>
      <c r="K14720" s="160" t="s">
        <v>13</v>
      </c>
      <c r="L14720" s="154" t="str">
        <f>IF(OpenLCAbasic!K14720="CTUh", "Fill in Manually",IF(OR(K14720="Unit", K14720=""), "", INDEX(LookUps!$E$5:$E$12, MATCH(OpenLCAbasic!K14720,LookUps!$D$5:$D$12,0))))</f>
        <v>Eutrophication Potential (EP) - kg N eq</v>
      </c>
      <c r="M14720" s="154" t="str">
        <f t="shared" si="1313"/>
        <v>High_High_Base_Upgraded_Eutrophication Potential (EP) - kg N eq_Clear Cove Primary Clarification; wastewater treatment unit; at updated plant - US_Without Amendment_Aerated Static Pile</v>
      </c>
    </row>
    <row r="14721" spans="1:13" s="120" customFormat="1" x14ac:dyDescent="0.25">
      <c r="A14721" s="119"/>
      <c r="B14721" s="138" t="str">
        <f t="shared" si="1316"/>
        <v>Aerated Static Pile</v>
      </c>
      <c r="C14721" s="138" t="str">
        <f t="shared" si="1317"/>
        <v>Without Amendment</v>
      </c>
      <c r="D14721" s="138" t="str">
        <f t="shared" si="1315"/>
        <v>High_Base</v>
      </c>
      <c r="E14721" s="138" t="str">
        <f t="shared" si="1318"/>
        <v>High</v>
      </c>
      <c r="F14721" s="138" t="str">
        <f t="shared" si="1319"/>
        <v>Upgraded</v>
      </c>
      <c r="G14721" s="153"/>
      <c r="H14721" s="210">
        <v>9.5999999999999992E-3</v>
      </c>
      <c r="I14721" s="160" t="s">
        <v>435</v>
      </c>
      <c r="J14721" s="160">
        <v>1.3999999999999999E-4</v>
      </c>
      <c r="K14721" s="160" t="s">
        <v>13</v>
      </c>
      <c r="L14721" s="154" t="str">
        <f>IF(OpenLCAbasic!K14721="CTUh", "Fill in Manually",IF(OR(K14721="Unit", K14721=""), "", INDEX(LookUps!$E$5:$E$12, MATCH(OpenLCAbasic!K14721,LookUps!$D$5:$D$12,0))))</f>
        <v>Eutrophication Potential (EP) - kg N eq</v>
      </c>
      <c r="M14721" s="154" t="str">
        <f t="shared" si="1313"/>
        <v>High_High_Base_Upgraded_Eutrophication Potential (EP) - kg N eq_Biosolids composting; aerated static pile; wastewater treatment unit; at updated plant - US_Without Amendment_Aerated Static Pile</v>
      </c>
    </row>
    <row r="14722" spans="1:13" s="120" customFormat="1" x14ac:dyDescent="0.25">
      <c r="A14722" s="119"/>
      <c r="B14722" s="138" t="str">
        <f t="shared" si="1316"/>
        <v>Aerated Static Pile</v>
      </c>
      <c r="C14722" s="138" t="str">
        <f t="shared" si="1317"/>
        <v>Without Amendment</v>
      </c>
      <c r="D14722" s="138" t="str">
        <f t="shared" si="1315"/>
        <v>High_Base</v>
      </c>
      <c r="E14722" s="138" t="str">
        <f t="shared" si="1318"/>
        <v>High</v>
      </c>
      <c r="F14722" s="138" t="str">
        <f t="shared" si="1319"/>
        <v>Upgraded</v>
      </c>
      <c r="G14722" s="153"/>
      <c r="H14722" s="210">
        <v>9.4000000000000004E-3</v>
      </c>
      <c r="I14722" s="160" t="s">
        <v>58</v>
      </c>
      <c r="J14722" s="160">
        <v>1.3999999999999999E-4</v>
      </c>
      <c r="K14722" s="160" t="s">
        <v>13</v>
      </c>
      <c r="L14722" s="154" t="str">
        <f>IF(OpenLCAbasic!K14722="CTUh", "Fill in Manually",IF(OR(K14722="Unit", K14722=""), "", INDEX(LookUps!$E$5:$E$12, MATCH(OpenLCAbasic!K14722,LookUps!$D$5:$D$12,0))))</f>
        <v>Eutrophication Potential (EP) - kg N eq</v>
      </c>
      <c r="M14722" s="154" t="str">
        <f t="shared" si="1313"/>
        <v>High_High_Base_Upgraded_Eutrophication Potential (EP) - kg N eq_Pre-Anoxic &amp; Swing tank; wastewater treatment unit; at updated plant - US_Without Amendment_Aerated Static Pile</v>
      </c>
    </row>
    <row r="14723" spans="1:13" s="120" customFormat="1" x14ac:dyDescent="0.25">
      <c r="A14723" s="119"/>
      <c r="B14723" s="138" t="str">
        <f t="shared" si="1316"/>
        <v>Aerated Static Pile</v>
      </c>
      <c r="C14723" s="138" t="str">
        <f t="shared" si="1317"/>
        <v>Without Amendment</v>
      </c>
      <c r="D14723" s="138" t="str">
        <f t="shared" si="1315"/>
        <v>High_Base</v>
      </c>
      <c r="E14723" s="138" t="str">
        <f t="shared" si="1318"/>
        <v>High</v>
      </c>
      <c r="F14723" s="138" t="str">
        <f t="shared" si="1319"/>
        <v>Upgraded</v>
      </c>
      <c r="G14723" s="153"/>
      <c r="H14723" s="210">
        <v>7.4999999999999997E-3</v>
      </c>
      <c r="I14723" s="160" t="s">
        <v>53</v>
      </c>
      <c r="J14723" s="160">
        <v>1.1E-4</v>
      </c>
      <c r="K14723" s="160" t="s">
        <v>13</v>
      </c>
      <c r="L14723" s="154" t="str">
        <f>IF(OpenLCAbasic!K14723="CTUh", "Fill in Manually",IF(OR(K14723="Unit", K14723=""), "", INDEX(LookUps!$E$5:$E$12, MATCH(OpenLCAbasic!K14723,LookUps!$D$5:$D$12,0))))</f>
        <v>Eutrophication Potential (EP) - kg N eq</v>
      </c>
      <c r="M14723" s="154" t="str">
        <f t="shared" si="1313"/>
        <v>High_High_Base_Upgraded_Eutrophication Potential (EP) - kg N eq_Wet Well and Sump Station; wastewater treatment unit; at updated plant - US_Without Amendment_Aerated Static Pile</v>
      </c>
    </row>
    <row r="14724" spans="1:13" s="120" customFormat="1" x14ac:dyDescent="0.25">
      <c r="A14724" s="119"/>
      <c r="B14724" s="138" t="str">
        <f t="shared" si="1316"/>
        <v>Aerated Static Pile</v>
      </c>
      <c r="C14724" s="138" t="str">
        <f t="shared" si="1317"/>
        <v>Without Amendment</v>
      </c>
      <c r="D14724" s="138" t="str">
        <f t="shared" si="1315"/>
        <v>High_Base</v>
      </c>
      <c r="E14724" s="138" t="str">
        <f t="shared" si="1318"/>
        <v>High</v>
      </c>
      <c r="F14724" s="138" t="str">
        <f t="shared" si="1319"/>
        <v>Upgraded</v>
      </c>
      <c r="G14724" s="153"/>
      <c r="H14724" s="210">
        <v>6.6E-3</v>
      </c>
      <c r="I14724" s="160" t="s">
        <v>60</v>
      </c>
      <c r="J14724" s="211">
        <v>9.5601799999999997E-5</v>
      </c>
      <c r="K14724" s="160" t="s">
        <v>13</v>
      </c>
      <c r="L14724" s="154" t="str">
        <f>IF(OpenLCAbasic!K14724="CTUh", "Fill in Manually",IF(OR(K14724="Unit", K14724=""), "", INDEX(LookUps!$E$5:$E$12, MATCH(OpenLCAbasic!K14724,LookUps!$D$5:$D$12,0))))</f>
        <v>Eutrophication Potential (EP) - kg N eq</v>
      </c>
      <c r="M14724" s="154" t="str">
        <f t="shared" si="1313"/>
        <v>High_High_Base_Upgraded_Eutrophication Potential (EP) - kg N eq_Belt filter press; wastewater treatment unit; at updated plant - US_Without Amendment_Aerated Static Pile</v>
      </c>
    </row>
    <row r="14725" spans="1:13" s="120" customFormat="1" x14ac:dyDescent="0.25">
      <c r="A14725" s="119"/>
      <c r="B14725" s="138" t="str">
        <f t="shared" si="1316"/>
        <v>Aerated Static Pile</v>
      </c>
      <c r="C14725" s="138" t="str">
        <f t="shared" si="1317"/>
        <v>Without Amendment</v>
      </c>
      <c r="D14725" s="138" t="str">
        <f t="shared" si="1315"/>
        <v>High_Base</v>
      </c>
      <c r="E14725" s="138" t="str">
        <f t="shared" si="1318"/>
        <v>High</v>
      </c>
      <c r="F14725" s="138" t="str">
        <f t="shared" si="1319"/>
        <v>Upgraded</v>
      </c>
      <c r="G14725" s="153"/>
      <c r="H14725" s="210">
        <v>4.1999999999999997E-3</v>
      </c>
      <c r="I14725" s="160" t="s">
        <v>57</v>
      </c>
      <c r="J14725" s="211">
        <v>6.0590300000000002E-5</v>
      </c>
      <c r="K14725" s="160" t="s">
        <v>13</v>
      </c>
      <c r="L14725" s="154" t="str">
        <f>IF(OpenLCAbasic!K14725="CTUh", "Fill in Manually",IF(OR(K14725="Unit", K14725=""), "", INDEX(LookUps!$E$5:$E$12, MATCH(OpenLCAbasic!K14725,LookUps!$D$5:$D$12,0))))</f>
        <v>Eutrophication Potential (EP) - kg N eq</v>
      </c>
      <c r="M14725" s="154" t="str">
        <f t="shared" si="1313"/>
        <v>High_High_Base_Upgraded_Eutrophication Potential (EP) - kg N eq_Gravity Belt Thickener; wastewater treatment unit; at updated plant - US_Without Amendment_Aerated Static Pile</v>
      </c>
    </row>
    <row r="14726" spans="1:13" s="120" customFormat="1" x14ac:dyDescent="0.25">
      <c r="A14726" s="119"/>
      <c r="B14726" s="138" t="str">
        <f t="shared" si="1316"/>
        <v>Aerated Static Pile</v>
      </c>
      <c r="C14726" s="138" t="str">
        <f t="shared" si="1317"/>
        <v>Without Amendment</v>
      </c>
      <c r="D14726" s="138" t="str">
        <f t="shared" si="1315"/>
        <v>High_Base</v>
      </c>
      <c r="E14726" s="138" t="str">
        <f t="shared" si="1318"/>
        <v>High</v>
      </c>
      <c r="F14726" s="138" t="str">
        <f t="shared" si="1319"/>
        <v>Upgraded</v>
      </c>
      <c r="G14726" s="153"/>
      <c r="H14726" s="210">
        <v>2.5999999999999999E-3</v>
      </c>
      <c r="I14726" s="160" t="s">
        <v>128</v>
      </c>
      <c r="J14726" s="211">
        <v>3.7559799999999999E-5</v>
      </c>
      <c r="K14726" s="160" t="s">
        <v>13</v>
      </c>
      <c r="L14726" s="154" t="str">
        <f>IF(OpenLCAbasic!K14726="CTUh", "Fill in Manually",IF(OR(K14726="Unit", K14726=""), "", INDEX(LookUps!$E$5:$E$12, MATCH(OpenLCAbasic!K14726,LookUps!$D$5:$D$12,0))))</f>
        <v>Eutrophication Potential (EP) - kg N eq</v>
      </c>
      <c r="M14726" s="154" t="str">
        <f t="shared" si="1313"/>
        <v>High_High_Base_Upgraded_Eutrophication Potential (EP) - kg N eq_Wastewater collection; operation and infrastructure; m3 wastewater_Without Amendment_Aerated Static Pile</v>
      </c>
    </row>
    <row r="14727" spans="1:13" s="120" customFormat="1" x14ac:dyDescent="0.25">
      <c r="A14727" s="119"/>
      <c r="B14727" s="138" t="str">
        <f t="shared" si="1316"/>
        <v>Aerated Static Pile</v>
      </c>
      <c r="C14727" s="138" t="str">
        <f t="shared" si="1317"/>
        <v>Without Amendment</v>
      </c>
      <c r="D14727" s="138" t="str">
        <f t="shared" si="1315"/>
        <v>High_Base</v>
      </c>
      <c r="E14727" s="138" t="str">
        <f t="shared" si="1318"/>
        <v>High</v>
      </c>
      <c r="F14727" s="138" t="str">
        <f t="shared" si="1319"/>
        <v>Upgraded</v>
      </c>
      <c r="G14727" s="153"/>
      <c r="H14727" s="210">
        <v>2.5999999999999999E-3</v>
      </c>
      <c r="I14727" s="160" t="s">
        <v>148</v>
      </c>
      <c r="J14727" s="211">
        <v>3.6874600000000001E-5</v>
      </c>
      <c r="K14727" s="160" t="s">
        <v>13</v>
      </c>
      <c r="L14727" s="154" t="str">
        <f>IF(OpenLCAbasic!K14727="CTUh", "Fill in Manually",IF(OR(K14727="Unit", K14727=""), "", INDEX(LookUps!$E$5:$E$12, MATCH(OpenLCAbasic!K14727,LookUps!$D$5:$D$12,0))))</f>
        <v>Eutrophication Potential (EP) - kg N eq</v>
      </c>
      <c r="M14727" s="154" t="str">
        <f t="shared" si="1313"/>
        <v>High_High_Base_Upgraded_Eutrophication Potential (EP) - kg N eq_Control Building; at upgraded wastewater treatment plant - US_Without Amendment_Aerated Static Pile</v>
      </c>
    </row>
    <row r="14728" spans="1:13" s="120" customFormat="1" x14ac:dyDescent="0.25">
      <c r="A14728" s="119"/>
      <c r="B14728" s="138" t="str">
        <f t="shared" si="1316"/>
        <v>Aerated Static Pile</v>
      </c>
      <c r="C14728" s="138" t="str">
        <f t="shared" si="1317"/>
        <v>Without Amendment</v>
      </c>
      <c r="D14728" s="138" t="str">
        <f t="shared" si="1315"/>
        <v>High_Base</v>
      </c>
      <c r="E14728" s="138" t="str">
        <f t="shared" si="1318"/>
        <v>High</v>
      </c>
      <c r="F14728" s="138" t="str">
        <f t="shared" si="1319"/>
        <v>Upgraded</v>
      </c>
      <c r="G14728" s="153"/>
      <c r="H14728" s="210">
        <v>1.1000000000000001E-3</v>
      </c>
      <c r="I14728" s="160" t="s">
        <v>59</v>
      </c>
      <c r="J14728" s="211">
        <v>1.6215700000000001E-5</v>
      </c>
      <c r="K14728" s="160" t="s">
        <v>13</v>
      </c>
      <c r="L14728" s="154" t="str">
        <f>IF(OpenLCAbasic!K14728="CTUh", "Fill in Manually",IF(OR(K14728="Unit", K14728=""), "", INDEX(LookUps!$E$5:$E$12, MATCH(OpenLCAbasic!K14728,LookUps!$D$5:$D$12,0))))</f>
        <v>Eutrophication Potential (EP) - kg N eq</v>
      </c>
      <c r="M14728" s="154" t="str">
        <f t="shared" si="1313"/>
        <v>High_High_Base_Upgraded_Eutrophication Potential (EP) - kg N eq_Blend Tank; wastewater treatment unit; at updated plant - US_Without Amendment_Aerated Static Pile</v>
      </c>
    </row>
    <row r="14729" spans="1:13" s="120" customFormat="1" x14ac:dyDescent="0.25">
      <c r="A14729" s="119"/>
      <c r="B14729" s="138" t="str">
        <f t="shared" si="1316"/>
        <v>Aerated Static Pile</v>
      </c>
      <c r="C14729" s="138" t="str">
        <f t="shared" si="1317"/>
        <v>Without Amendment</v>
      </c>
      <c r="D14729" s="138" t="str">
        <f t="shared" si="1315"/>
        <v>High_Base</v>
      </c>
      <c r="E14729" s="138" t="str">
        <f t="shared" si="1318"/>
        <v>High</v>
      </c>
      <c r="F14729" s="138" t="str">
        <f t="shared" si="1319"/>
        <v>Upgraded</v>
      </c>
      <c r="G14729" s="153"/>
      <c r="H14729" s="210">
        <v>5.0000000000000001E-4</v>
      </c>
      <c r="I14729" s="160" t="s">
        <v>168</v>
      </c>
      <c r="J14729" s="211">
        <v>7.7567199999999995E-6</v>
      </c>
      <c r="K14729" s="160" t="s">
        <v>13</v>
      </c>
      <c r="L14729" s="154" t="str">
        <f>IF(OpenLCAbasic!K14729="CTUh", "Fill in Manually",IF(OR(K14729="Unit", K14729=""), "", INDEX(LookUps!$E$5:$E$12, MATCH(OpenLCAbasic!K14729,LookUps!$D$5:$D$12,0))))</f>
        <v>Eutrophication Potential (EP) - kg N eq</v>
      </c>
      <c r="M14729" s="154" t="str">
        <f t="shared" si="1313"/>
        <v>High_High_Base_Upgraded_Eutrophication Potential (EP) - kg N eq_ClearCove SCP; wastewater treatment unit; at updated plant - US_Without Amendment_Aerated Static Pile</v>
      </c>
    </row>
    <row r="14730" spans="1:13" s="120" customFormat="1" x14ac:dyDescent="0.25">
      <c r="A14730" s="119"/>
      <c r="B14730" s="138" t="str">
        <f t="shared" si="1316"/>
        <v>Aerated Static Pile</v>
      </c>
      <c r="C14730" s="138" t="str">
        <f t="shared" si="1317"/>
        <v>Without Amendment</v>
      </c>
      <c r="D14730" s="138" t="str">
        <f t="shared" si="1315"/>
        <v>High_Base</v>
      </c>
      <c r="E14730" s="138" t="str">
        <f t="shared" si="1318"/>
        <v>High</v>
      </c>
      <c r="F14730" s="138" t="str">
        <f t="shared" si="1319"/>
        <v>Upgraded</v>
      </c>
      <c r="G14730" s="153"/>
      <c r="H14730" s="210">
        <v>-9.5799999999999996E-2</v>
      </c>
      <c r="I14730" s="160" t="s">
        <v>149</v>
      </c>
      <c r="J14730" s="160">
        <v>-1.3799999999999999E-3</v>
      </c>
      <c r="K14730" s="160" t="s">
        <v>13</v>
      </c>
      <c r="L14730" s="154" t="str">
        <f>IF(OpenLCAbasic!K14730="CTUh", "Fill in Manually",IF(OR(K14730="Unit", K14730=""), "", INDEX(LookUps!$E$5:$E$12, MATCH(OpenLCAbasic!K14730,LookUps!$D$5:$D$12,0))))</f>
        <v>Eutrophication Potential (EP) - kg N eq</v>
      </c>
      <c r="M14730" s="154" t="str">
        <f t="shared" si="1313"/>
        <v>High_High_Base_Upgraded_Eutrophication Potential (EP) - kg N eq_Anaerobic Digestion; wastewater treatment unit; at updated plant - US_Without Amendment_Aerated Static Pile</v>
      </c>
    </row>
    <row r="14731" spans="1:13" s="120" customFormat="1" x14ac:dyDescent="0.25">
      <c r="A14731" s="119"/>
      <c r="B14731" s="138" t="str">
        <f t="shared" si="1316"/>
        <v/>
      </c>
      <c r="C14731" s="138" t="str">
        <f t="shared" si="1317"/>
        <v/>
      </c>
      <c r="D14731" s="138" t="str">
        <f t="shared" si="1315"/>
        <v/>
      </c>
      <c r="E14731" s="138" t="str">
        <f t="shared" si="1318"/>
        <v/>
      </c>
      <c r="F14731" s="138" t="str">
        <f t="shared" si="1319"/>
        <v/>
      </c>
      <c r="G14731" s="153" t="s">
        <v>51</v>
      </c>
      <c r="H14731" s="160"/>
      <c r="I14731" s="160" t="s">
        <v>47</v>
      </c>
      <c r="J14731" s="160" t="s">
        <v>52</v>
      </c>
      <c r="K14731" s="160" t="s">
        <v>27</v>
      </c>
      <c r="L14731" s="154" t="str">
        <f>IF(OpenLCAbasic!K14731="CTUh", "Fill in Manually",IF(OR(K14731="Unit", K14731=""), "", INDEX(LookUps!$E$5:$E$12, MATCH(OpenLCAbasic!K14731,LookUps!$D$5:$D$12,0))))</f>
        <v/>
      </c>
      <c r="M14731" s="154" t="str">
        <f t="shared" si="1313"/>
        <v>____Process__</v>
      </c>
    </row>
    <row r="14732" spans="1:13" s="120" customFormat="1" x14ac:dyDescent="0.25">
      <c r="A14732" s="119"/>
      <c r="B14732" s="138" t="str">
        <f t="shared" si="1316"/>
        <v>Aerated Static Pile</v>
      </c>
      <c r="C14732" s="138" t="str">
        <f t="shared" si="1317"/>
        <v>Without Amendment</v>
      </c>
      <c r="D14732" s="138" t="str">
        <f t="shared" si="1315"/>
        <v>High_Base</v>
      </c>
      <c r="E14732" s="138" t="str">
        <f t="shared" si="1318"/>
        <v>High</v>
      </c>
      <c r="F14732" s="138" t="str">
        <f t="shared" si="1319"/>
        <v>Upgraded</v>
      </c>
      <c r="G14732" s="153"/>
      <c r="H14732" s="210">
        <v>28.4603</v>
      </c>
      <c r="I14732" s="160" t="s">
        <v>167</v>
      </c>
      <c r="J14732" s="160">
        <v>0.11719</v>
      </c>
      <c r="K14732" s="160" t="s">
        <v>14</v>
      </c>
      <c r="L14732" s="154" t="str">
        <f>IF(OpenLCAbasic!K14732="CTUh", "Fill in Manually",IF(OR(K14732="Unit", K14732=""), "", INDEX(LookUps!$E$5:$E$12, MATCH(OpenLCAbasic!K14732,LookUps!$D$5:$D$12,0))))</f>
        <v>Fossil Depletion Potential (FDP) - kg oil eq</v>
      </c>
      <c r="M14732" s="154" t="str">
        <f t="shared" si="1313"/>
        <v>High_High_Base_Upgraded_Fossil Depletion Potential (FDP) - kg oil eq_Waste Receiving and Holding; wastewater treatment unit; at updated plant - US_Without Amendment_Aerated Static Pile</v>
      </c>
    </row>
    <row r="14733" spans="1:13" s="120" customFormat="1" x14ac:dyDescent="0.25">
      <c r="A14733" s="119"/>
      <c r="B14733" s="138" t="str">
        <f t="shared" si="1316"/>
        <v>Aerated Static Pile</v>
      </c>
      <c r="C14733" s="138" t="str">
        <f t="shared" si="1317"/>
        <v>Without Amendment</v>
      </c>
      <c r="D14733" s="138" t="str">
        <f t="shared" si="1315"/>
        <v>High_Base</v>
      </c>
      <c r="E14733" s="138" t="str">
        <f t="shared" si="1318"/>
        <v>High</v>
      </c>
      <c r="F14733" s="138" t="str">
        <f t="shared" si="1319"/>
        <v>Upgraded</v>
      </c>
      <c r="G14733" s="153"/>
      <c r="H14733" s="210">
        <v>15.4434</v>
      </c>
      <c r="I14733" s="160" t="s">
        <v>55</v>
      </c>
      <c r="J14733" s="160">
        <v>6.3589999999999994E-2</v>
      </c>
      <c r="K14733" s="160" t="s">
        <v>14</v>
      </c>
      <c r="L14733" s="154" t="str">
        <f>IF(OpenLCAbasic!K14733="CTUh", "Fill in Manually",IF(OR(K14733="Unit", K14733=""), "", INDEX(LookUps!$E$5:$E$12, MATCH(OpenLCAbasic!K14733,LookUps!$D$5:$D$12,0))))</f>
        <v>Fossil Depletion Potential (FDP) - kg oil eq</v>
      </c>
      <c r="M14733" s="154" t="str">
        <f t="shared" si="1313"/>
        <v>High_High_Base_Upgraded_Fossil Depletion Potential (FDP) - kg oil eq_Aeration Tanks; wastewater treatment unit; at updated plant - US_Without Amendment_Aerated Static Pile</v>
      </c>
    </row>
    <row r="14734" spans="1:13" s="120" customFormat="1" x14ac:dyDescent="0.25">
      <c r="A14734" s="119"/>
      <c r="B14734" s="138" t="str">
        <f t="shared" si="1316"/>
        <v>Aerated Static Pile</v>
      </c>
      <c r="C14734" s="138" t="str">
        <f t="shared" si="1317"/>
        <v>Without Amendment</v>
      </c>
      <c r="D14734" s="138" t="str">
        <f t="shared" si="1315"/>
        <v>High_Base</v>
      </c>
      <c r="E14734" s="138" t="str">
        <f t="shared" si="1318"/>
        <v>High</v>
      </c>
      <c r="F14734" s="138" t="str">
        <f t="shared" si="1319"/>
        <v>Upgraded</v>
      </c>
      <c r="G14734" s="153"/>
      <c r="H14734" s="210">
        <v>5.1121999999999996</v>
      </c>
      <c r="I14734" s="160" t="s">
        <v>54</v>
      </c>
      <c r="J14734" s="160">
        <v>2.1049999999999999E-2</v>
      </c>
      <c r="K14734" s="160" t="s">
        <v>14</v>
      </c>
      <c r="L14734" s="154" t="str">
        <f>IF(OpenLCAbasic!K14734="CTUh", "Fill in Manually",IF(OR(K14734="Unit", K14734=""), "", INDEX(LookUps!$E$5:$E$12, MATCH(OpenLCAbasic!K14734,LookUps!$D$5:$D$12,0))))</f>
        <v>Fossil Depletion Potential (FDP) - kg oil eq</v>
      </c>
      <c r="M14734" s="154" t="str">
        <f t="shared" si="1313"/>
        <v>High_High_Base_Upgraded_Fossil Depletion Potential (FDP) - kg oil eq_Clear Cove Primary Clarification; wastewater treatment unit; at updated plant - US_Without Amendment_Aerated Static Pile</v>
      </c>
    </row>
    <row r="14735" spans="1:13" s="120" customFormat="1" x14ac:dyDescent="0.25">
      <c r="A14735" s="119"/>
      <c r="B14735" s="138" t="str">
        <f t="shared" si="1316"/>
        <v>Aerated Static Pile</v>
      </c>
      <c r="C14735" s="138" t="str">
        <f t="shared" si="1317"/>
        <v>Without Amendment</v>
      </c>
      <c r="D14735" s="138" t="str">
        <f t="shared" si="1315"/>
        <v>High_Base</v>
      </c>
      <c r="E14735" s="138" t="str">
        <f t="shared" si="1318"/>
        <v>High</v>
      </c>
      <c r="F14735" s="138" t="str">
        <f t="shared" si="1319"/>
        <v>Upgraded</v>
      </c>
      <c r="G14735" s="153"/>
      <c r="H14735" s="210">
        <v>3.8955000000000002</v>
      </c>
      <c r="I14735" s="160" t="s">
        <v>58</v>
      </c>
      <c r="J14735" s="160">
        <v>1.6039999999999999E-2</v>
      </c>
      <c r="K14735" s="160" t="s">
        <v>14</v>
      </c>
      <c r="L14735" s="154" t="str">
        <f>IF(OpenLCAbasic!K14735="CTUh", "Fill in Manually",IF(OR(K14735="Unit", K14735=""), "", INDEX(LookUps!$E$5:$E$12, MATCH(OpenLCAbasic!K14735,LookUps!$D$5:$D$12,0))))</f>
        <v>Fossil Depletion Potential (FDP) - kg oil eq</v>
      </c>
      <c r="M14735" s="154" t="str">
        <f t="shared" si="1313"/>
        <v>High_High_Base_Upgraded_Fossil Depletion Potential (FDP) - kg oil eq_Pre-Anoxic &amp; Swing tank; wastewater treatment unit; at updated plant - US_Without Amendment_Aerated Static Pile</v>
      </c>
    </row>
    <row r="14736" spans="1:13" s="120" customFormat="1" x14ac:dyDescent="0.25">
      <c r="A14736" s="119"/>
      <c r="B14736" s="138" t="str">
        <f t="shared" si="1316"/>
        <v>Aerated Static Pile</v>
      </c>
      <c r="C14736" s="138" t="str">
        <f t="shared" si="1317"/>
        <v>Without Amendment</v>
      </c>
      <c r="D14736" s="138" t="str">
        <f t="shared" si="1315"/>
        <v>High_Base</v>
      </c>
      <c r="E14736" s="138" t="str">
        <f t="shared" si="1318"/>
        <v>High</v>
      </c>
      <c r="F14736" s="138" t="str">
        <f t="shared" si="1319"/>
        <v>Upgraded</v>
      </c>
      <c r="G14736" s="153"/>
      <c r="H14736" s="210">
        <v>3.6642000000000001</v>
      </c>
      <c r="I14736" s="160" t="s">
        <v>147</v>
      </c>
      <c r="J14736" s="160">
        <v>1.5089999999999999E-2</v>
      </c>
      <c r="K14736" s="160" t="s">
        <v>14</v>
      </c>
      <c r="L14736" s="154" t="str">
        <f>IF(OpenLCAbasic!K14736="CTUh", "Fill in Manually",IF(OR(K14736="Unit", K14736=""), "", INDEX(LookUps!$E$5:$E$12, MATCH(OpenLCAbasic!K14736,LookUps!$D$5:$D$12,0))))</f>
        <v>Fossil Depletion Potential (FDP) - kg oil eq</v>
      </c>
      <c r="M14736" s="154" t="str">
        <f t="shared" ref="M14736:M14799" si="1320">CONCATENATE(E14736,"_",D14736,"_",F14736,"_",L14736, "_",I14736,"_", C14736,"_", B14736)</f>
        <v>High_High_Base_Upgraded_Fossil Depletion Potential (FDP) - kg oil eq_Influent Pump Station; wastewater treatment unit; at updated plant - US_Without Amendment_Aerated Static Pile</v>
      </c>
    </row>
    <row r="14737" spans="1:13" s="120" customFormat="1" x14ac:dyDescent="0.25">
      <c r="A14737" s="119"/>
      <c r="B14737" s="138" t="str">
        <f t="shared" si="1316"/>
        <v>Aerated Static Pile</v>
      </c>
      <c r="C14737" s="138" t="str">
        <f t="shared" si="1317"/>
        <v>Without Amendment</v>
      </c>
      <c r="D14737" s="138" t="str">
        <f t="shared" si="1315"/>
        <v>High_Base</v>
      </c>
      <c r="E14737" s="138" t="str">
        <f t="shared" si="1318"/>
        <v>High</v>
      </c>
      <c r="F14737" s="138" t="str">
        <f t="shared" si="1319"/>
        <v>Upgraded</v>
      </c>
      <c r="G14737" s="153"/>
      <c r="H14737" s="210">
        <v>3.0329999999999999</v>
      </c>
      <c r="I14737" s="160" t="s">
        <v>53</v>
      </c>
      <c r="J14737" s="160">
        <v>1.2489999999999999E-2</v>
      </c>
      <c r="K14737" s="160" t="s">
        <v>14</v>
      </c>
      <c r="L14737" s="154" t="str">
        <f>IF(OpenLCAbasic!K14737="CTUh", "Fill in Manually",IF(OR(K14737="Unit", K14737=""), "", INDEX(LookUps!$E$5:$E$12, MATCH(OpenLCAbasic!K14737,LookUps!$D$5:$D$12,0))))</f>
        <v>Fossil Depletion Potential (FDP) - kg oil eq</v>
      </c>
      <c r="M14737" s="154" t="str">
        <f t="shared" si="1320"/>
        <v>High_High_Base_Upgraded_Fossil Depletion Potential (FDP) - kg oil eq_Wet Well and Sump Station; wastewater treatment unit; at updated plant - US_Without Amendment_Aerated Static Pile</v>
      </c>
    </row>
    <row r="14738" spans="1:13" s="120" customFormat="1" x14ac:dyDescent="0.25">
      <c r="A14738" s="119"/>
      <c r="B14738" s="138" t="str">
        <f t="shared" si="1316"/>
        <v>Aerated Static Pile</v>
      </c>
      <c r="C14738" s="138" t="str">
        <f t="shared" si="1317"/>
        <v>Without Amendment</v>
      </c>
      <c r="D14738" s="138" t="str">
        <f t="shared" si="1315"/>
        <v>High_Base</v>
      </c>
      <c r="E14738" s="138" t="str">
        <f t="shared" si="1318"/>
        <v>High</v>
      </c>
      <c r="F14738" s="138" t="str">
        <f t="shared" si="1319"/>
        <v>Upgraded</v>
      </c>
      <c r="G14738" s="153"/>
      <c r="H14738" s="210">
        <v>2.9001000000000001</v>
      </c>
      <c r="I14738" s="160" t="s">
        <v>435</v>
      </c>
      <c r="J14738" s="160">
        <v>1.1939999999999999E-2</v>
      </c>
      <c r="K14738" s="160" t="s">
        <v>14</v>
      </c>
      <c r="L14738" s="154" t="str">
        <f>IF(OpenLCAbasic!K14738="CTUh", "Fill in Manually",IF(OR(K14738="Unit", K14738=""), "", INDEX(LookUps!$E$5:$E$12, MATCH(OpenLCAbasic!K14738,LookUps!$D$5:$D$12,0))))</f>
        <v>Fossil Depletion Potential (FDP) - kg oil eq</v>
      </c>
      <c r="M14738" s="154" t="str">
        <f t="shared" si="1320"/>
        <v>High_High_Base_Upgraded_Fossil Depletion Potential (FDP) - kg oil eq_Biosolids composting; aerated static pile; wastewater treatment unit; at updated plant - US_Without Amendment_Aerated Static Pile</v>
      </c>
    </row>
    <row r="14739" spans="1:13" s="120" customFormat="1" x14ac:dyDescent="0.25">
      <c r="A14739" s="119"/>
      <c r="B14739" s="138" t="str">
        <f t="shared" si="1316"/>
        <v>Aerated Static Pile</v>
      </c>
      <c r="C14739" s="138" t="str">
        <f t="shared" si="1317"/>
        <v>Without Amendment</v>
      </c>
      <c r="D14739" s="138" t="str">
        <f t="shared" si="1315"/>
        <v>High_Base</v>
      </c>
      <c r="E14739" s="138" t="str">
        <f t="shared" si="1318"/>
        <v>High</v>
      </c>
      <c r="F14739" s="138" t="str">
        <f t="shared" si="1319"/>
        <v>Upgraded</v>
      </c>
      <c r="G14739" s="153"/>
      <c r="H14739" s="210">
        <v>2.6650999999999998</v>
      </c>
      <c r="I14739" s="160" t="s">
        <v>60</v>
      </c>
      <c r="J14739" s="160">
        <v>1.0970000000000001E-2</v>
      </c>
      <c r="K14739" s="160" t="s">
        <v>14</v>
      </c>
      <c r="L14739" s="154" t="str">
        <f>IF(OpenLCAbasic!K14739="CTUh", "Fill in Manually",IF(OR(K14739="Unit", K14739=""), "", INDEX(LookUps!$E$5:$E$12, MATCH(OpenLCAbasic!K14739,LookUps!$D$5:$D$12,0))))</f>
        <v>Fossil Depletion Potential (FDP) - kg oil eq</v>
      </c>
      <c r="M14739" s="154" t="str">
        <f t="shared" si="1320"/>
        <v>High_High_Base_Upgraded_Fossil Depletion Potential (FDP) - kg oil eq_Belt filter press; wastewater treatment unit; at updated plant - US_Without Amendment_Aerated Static Pile</v>
      </c>
    </row>
    <row r="14740" spans="1:13" s="120" customFormat="1" x14ac:dyDescent="0.25">
      <c r="A14740" s="119"/>
      <c r="B14740" s="138" t="str">
        <f t="shared" si="1316"/>
        <v>Aerated Static Pile</v>
      </c>
      <c r="C14740" s="138" t="str">
        <f t="shared" si="1317"/>
        <v>Without Amendment</v>
      </c>
      <c r="D14740" s="138" t="str">
        <f t="shared" si="1315"/>
        <v>High_Base</v>
      </c>
      <c r="E14740" s="138" t="str">
        <f t="shared" si="1318"/>
        <v>High</v>
      </c>
      <c r="F14740" s="138" t="str">
        <f t="shared" si="1319"/>
        <v>Upgraded</v>
      </c>
      <c r="G14740" s="153"/>
      <c r="H14740" s="210">
        <v>1.6796</v>
      </c>
      <c r="I14740" s="160" t="s">
        <v>57</v>
      </c>
      <c r="J14740" s="160">
        <v>6.9199999999999999E-3</v>
      </c>
      <c r="K14740" s="160" t="s">
        <v>14</v>
      </c>
      <c r="L14740" s="154" t="str">
        <f>IF(OpenLCAbasic!K14740="CTUh", "Fill in Manually",IF(OR(K14740="Unit", K14740=""), "", INDEX(LookUps!$E$5:$E$12, MATCH(OpenLCAbasic!K14740,LookUps!$D$5:$D$12,0))))</f>
        <v>Fossil Depletion Potential (FDP) - kg oil eq</v>
      </c>
      <c r="M14740" s="154" t="str">
        <f t="shared" si="1320"/>
        <v>High_High_Base_Upgraded_Fossil Depletion Potential (FDP) - kg oil eq_Gravity Belt Thickener; wastewater treatment unit; at updated plant - US_Without Amendment_Aerated Static Pile</v>
      </c>
    </row>
    <row r="14741" spans="1:13" s="120" customFormat="1" x14ac:dyDescent="0.25">
      <c r="A14741" s="119"/>
      <c r="B14741" s="138" t="str">
        <f t="shared" si="1316"/>
        <v>Aerated Static Pile</v>
      </c>
      <c r="C14741" s="138" t="str">
        <f t="shared" si="1317"/>
        <v>Without Amendment</v>
      </c>
      <c r="D14741" s="138" t="str">
        <f t="shared" si="1315"/>
        <v>High_Base</v>
      </c>
      <c r="E14741" s="138" t="str">
        <f t="shared" si="1318"/>
        <v>High</v>
      </c>
      <c r="F14741" s="138" t="str">
        <f t="shared" si="1319"/>
        <v>Upgraded</v>
      </c>
      <c r="G14741" s="153"/>
      <c r="H14741" s="210">
        <v>1.0926</v>
      </c>
      <c r="I14741" s="160" t="s">
        <v>128</v>
      </c>
      <c r="J14741" s="160">
        <v>4.4999999999999997E-3</v>
      </c>
      <c r="K14741" s="160" t="s">
        <v>14</v>
      </c>
      <c r="L14741" s="154" t="str">
        <f>IF(OpenLCAbasic!K14741="CTUh", "Fill in Manually",IF(OR(K14741="Unit", K14741=""), "", INDEX(LookUps!$E$5:$E$12, MATCH(OpenLCAbasic!K14741,LookUps!$D$5:$D$12,0))))</f>
        <v>Fossil Depletion Potential (FDP) - kg oil eq</v>
      </c>
      <c r="M14741" s="154" t="str">
        <f t="shared" si="1320"/>
        <v>High_High_Base_Upgraded_Fossil Depletion Potential (FDP) - kg oil eq_Wastewater collection; operation and infrastructure; m3 wastewater_Without Amendment_Aerated Static Pile</v>
      </c>
    </row>
    <row r="14742" spans="1:13" s="120" customFormat="1" x14ac:dyDescent="0.25">
      <c r="A14742" s="119"/>
      <c r="B14742" s="138" t="str">
        <f t="shared" si="1316"/>
        <v>Aerated Static Pile</v>
      </c>
      <c r="C14742" s="138" t="str">
        <f t="shared" si="1317"/>
        <v>Without Amendment</v>
      </c>
      <c r="D14742" s="138" t="str">
        <f t="shared" si="1315"/>
        <v>High_Base</v>
      </c>
      <c r="E14742" s="138" t="str">
        <f t="shared" si="1318"/>
        <v>High</v>
      </c>
      <c r="F14742" s="138" t="str">
        <f t="shared" si="1319"/>
        <v>Upgraded</v>
      </c>
      <c r="G14742" s="153"/>
      <c r="H14742" s="210">
        <v>0.6794</v>
      </c>
      <c r="I14742" s="160" t="s">
        <v>148</v>
      </c>
      <c r="J14742" s="160">
        <v>2.8E-3</v>
      </c>
      <c r="K14742" s="160" t="s">
        <v>14</v>
      </c>
      <c r="L14742" s="154" t="str">
        <f>IF(OpenLCAbasic!K14742="CTUh", "Fill in Manually",IF(OR(K14742="Unit", K14742=""), "", INDEX(LookUps!$E$5:$E$12, MATCH(OpenLCAbasic!K14742,LookUps!$D$5:$D$12,0))))</f>
        <v>Fossil Depletion Potential (FDP) - kg oil eq</v>
      </c>
      <c r="M14742" s="154" t="str">
        <f t="shared" si="1320"/>
        <v>High_High_Base_Upgraded_Fossil Depletion Potential (FDP) - kg oil eq_Control Building; at upgraded wastewater treatment plant - US_Without Amendment_Aerated Static Pile</v>
      </c>
    </row>
    <row r="14743" spans="1:13" s="120" customFormat="1" x14ac:dyDescent="0.25">
      <c r="A14743" s="119"/>
      <c r="B14743" s="138" t="str">
        <f t="shared" si="1316"/>
        <v>Aerated Static Pile</v>
      </c>
      <c r="C14743" s="138" t="str">
        <f t="shared" si="1317"/>
        <v>Without Amendment</v>
      </c>
      <c r="D14743" s="138" t="str">
        <f t="shared" si="1315"/>
        <v>High_Base</v>
      </c>
      <c r="E14743" s="138" t="str">
        <f t="shared" si="1318"/>
        <v>High</v>
      </c>
      <c r="F14743" s="138" t="str">
        <f t="shared" si="1319"/>
        <v>Upgraded</v>
      </c>
      <c r="G14743" s="153"/>
      <c r="H14743" s="210">
        <v>0.57399999999999995</v>
      </c>
      <c r="I14743" s="160" t="s">
        <v>48</v>
      </c>
      <c r="J14743" s="160">
        <v>2.3600000000000001E-3</v>
      </c>
      <c r="K14743" s="160" t="s">
        <v>14</v>
      </c>
      <c r="L14743" s="154" t="str">
        <f>IF(OpenLCAbasic!K14743="CTUh", "Fill in Manually",IF(OR(K14743="Unit", K14743=""), "", INDEX(LookUps!$E$5:$E$12, MATCH(OpenLCAbasic!K14743,LookUps!$D$5:$D$12,0))))</f>
        <v>Fossil Depletion Potential (FDP) - kg oil eq</v>
      </c>
      <c r="M14743" s="154" t="str">
        <f t="shared" si="1320"/>
        <v>High_High_Base_Upgraded_Fossil Depletion Potential (FDP) - kg oil eq_Effluent release; wastewater treatment unit; at surface water; m3 wastewater - US_Without Amendment_Aerated Static Pile</v>
      </c>
    </row>
    <row r="14744" spans="1:13" s="120" customFormat="1" x14ac:dyDescent="0.25">
      <c r="A14744" s="119"/>
      <c r="B14744" s="138" t="str">
        <f t="shared" si="1316"/>
        <v>Aerated Static Pile</v>
      </c>
      <c r="C14744" s="138" t="str">
        <f t="shared" si="1317"/>
        <v>Without Amendment</v>
      </c>
      <c r="D14744" s="138" t="str">
        <f t="shared" si="1315"/>
        <v>High_Base</v>
      </c>
      <c r="E14744" s="138" t="str">
        <f t="shared" si="1318"/>
        <v>High</v>
      </c>
      <c r="F14744" s="138" t="str">
        <f t="shared" si="1319"/>
        <v>Upgraded</v>
      </c>
      <c r="G14744" s="153"/>
      <c r="H14744" s="210">
        <v>0.4662</v>
      </c>
      <c r="I14744" s="160" t="s">
        <v>59</v>
      </c>
      <c r="J14744" s="160">
        <v>1.92E-3</v>
      </c>
      <c r="K14744" s="160" t="s">
        <v>14</v>
      </c>
      <c r="L14744" s="154" t="str">
        <f>IF(OpenLCAbasic!K14744="CTUh", "Fill in Manually",IF(OR(K14744="Unit", K14744=""), "", INDEX(LookUps!$E$5:$E$12, MATCH(OpenLCAbasic!K14744,LookUps!$D$5:$D$12,0))))</f>
        <v>Fossil Depletion Potential (FDP) - kg oil eq</v>
      </c>
      <c r="M14744" s="154" t="str">
        <f t="shared" si="1320"/>
        <v>High_High_Base_Upgraded_Fossil Depletion Potential (FDP) - kg oil eq_Blend Tank; wastewater treatment unit; at updated plant - US_Without Amendment_Aerated Static Pile</v>
      </c>
    </row>
    <row r="14745" spans="1:13" s="120" customFormat="1" x14ac:dyDescent="0.25">
      <c r="A14745" s="119"/>
      <c r="B14745" s="138" t="str">
        <f t="shared" si="1316"/>
        <v>Aerated Static Pile</v>
      </c>
      <c r="C14745" s="138" t="str">
        <f t="shared" si="1317"/>
        <v>Without Amendment</v>
      </c>
      <c r="D14745" s="138" t="str">
        <f t="shared" ref="D14745:D14808" si="1321">IF(ISNUMBER($J14745),"High_Base","")</f>
        <v>High_Base</v>
      </c>
      <c r="E14745" s="138" t="str">
        <f t="shared" si="1318"/>
        <v>High</v>
      </c>
      <c r="F14745" s="138" t="str">
        <f t="shared" si="1319"/>
        <v>Upgraded</v>
      </c>
      <c r="G14745" s="153"/>
      <c r="H14745" s="210">
        <v>0.22209999999999999</v>
      </c>
      <c r="I14745" s="160" t="s">
        <v>168</v>
      </c>
      <c r="J14745" s="160">
        <v>9.1E-4</v>
      </c>
      <c r="K14745" s="160" t="s">
        <v>14</v>
      </c>
      <c r="L14745" s="154" t="str">
        <f>IF(OpenLCAbasic!K14745="CTUh", "Fill in Manually",IF(OR(K14745="Unit", K14745=""), "", INDEX(LookUps!$E$5:$E$12, MATCH(OpenLCAbasic!K14745,LookUps!$D$5:$D$12,0))))</f>
        <v>Fossil Depletion Potential (FDP) - kg oil eq</v>
      </c>
      <c r="M14745" s="154" t="str">
        <f t="shared" si="1320"/>
        <v>High_High_Base_Upgraded_Fossil Depletion Potential (FDP) - kg oil eq_ClearCove SCP; wastewater treatment unit; at updated plant - US_Without Amendment_Aerated Static Pile</v>
      </c>
    </row>
    <row r="14746" spans="1:13" s="120" customFormat="1" x14ac:dyDescent="0.25">
      <c r="A14746" s="119"/>
      <c r="B14746" s="138" t="str">
        <f t="shared" si="1316"/>
        <v>Aerated Static Pile</v>
      </c>
      <c r="C14746" s="138" t="str">
        <f t="shared" si="1317"/>
        <v>Without Amendment</v>
      </c>
      <c r="D14746" s="138" t="str">
        <f t="shared" si="1321"/>
        <v>High_Base</v>
      </c>
      <c r="E14746" s="138" t="str">
        <f t="shared" si="1318"/>
        <v>High</v>
      </c>
      <c r="F14746" s="138" t="str">
        <f t="shared" si="1319"/>
        <v>Upgraded</v>
      </c>
      <c r="G14746" s="153"/>
      <c r="H14746" s="210">
        <v>-1.6619999999999999</v>
      </c>
      <c r="I14746" s="160" t="s">
        <v>62</v>
      </c>
      <c r="J14746" s="160">
        <v>-6.8399999999999997E-3</v>
      </c>
      <c r="K14746" s="160" t="s">
        <v>14</v>
      </c>
      <c r="L14746" s="154" t="str">
        <f>IF(OpenLCAbasic!K14746="CTUh", "Fill in Manually",IF(OR(K14746="Unit", K14746=""), "", INDEX(LookUps!$E$5:$E$12, MATCH(OpenLCAbasic!K14746,LookUps!$D$5:$D$12,0))))</f>
        <v>Fossil Depletion Potential (FDP) - kg oil eq</v>
      </c>
      <c r="M14746" s="154" t="str">
        <f t="shared" si="1320"/>
        <v>High_High_Base_Upgraded_Fossil Depletion Potential (FDP) - kg oil eq_Land application of compost; wastewater treatment unit; at updated plant - US_Without Amendment_Aerated Static Pile</v>
      </c>
    </row>
    <row r="14747" spans="1:13" s="120" customFormat="1" x14ac:dyDescent="0.25">
      <c r="A14747" s="119"/>
      <c r="B14747" s="138" t="str">
        <f t="shared" si="1316"/>
        <v>Aerated Static Pile</v>
      </c>
      <c r="C14747" s="138" t="str">
        <f t="shared" si="1317"/>
        <v>Without Amendment</v>
      </c>
      <c r="D14747" s="138" t="str">
        <f t="shared" si="1321"/>
        <v>High_Base</v>
      </c>
      <c r="E14747" s="138" t="str">
        <f t="shared" si="1318"/>
        <v>High</v>
      </c>
      <c r="F14747" s="138" t="str">
        <f t="shared" si="1319"/>
        <v>Upgraded</v>
      </c>
      <c r="G14747" s="153"/>
      <c r="H14747" s="210">
        <v>-69.225700000000003</v>
      </c>
      <c r="I14747" s="160" t="s">
        <v>149</v>
      </c>
      <c r="J14747" s="160">
        <v>-0.28505000000000003</v>
      </c>
      <c r="K14747" s="160" t="s">
        <v>14</v>
      </c>
      <c r="L14747" s="154" t="str">
        <f>IF(OpenLCAbasic!K14747="CTUh", "Fill in Manually",IF(OR(K14747="Unit", K14747=""), "", INDEX(LookUps!$E$5:$E$12, MATCH(OpenLCAbasic!K14747,LookUps!$D$5:$D$12,0))))</f>
        <v>Fossil Depletion Potential (FDP) - kg oil eq</v>
      </c>
      <c r="M14747" s="154" t="str">
        <f t="shared" si="1320"/>
        <v>High_High_Base_Upgraded_Fossil Depletion Potential (FDP) - kg oil eq_Anaerobic Digestion; wastewater treatment unit; at updated plant - US_Without Amendment_Aerated Static Pile</v>
      </c>
    </row>
    <row r="14748" spans="1:13" s="120" customFormat="1" x14ac:dyDescent="0.25">
      <c r="A14748" s="119"/>
      <c r="B14748" s="138" t="str">
        <f t="shared" si="1316"/>
        <v/>
      </c>
      <c r="C14748" s="138" t="str">
        <f t="shared" si="1317"/>
        <v/>
      </c>
      <c r="D14748" s="138" t="str">
        <f t="shared" si="1321"/>
        <v/>
      </c>
      <c r="E14748" s="138" t="str">
        <f t="shared" si="1318"/>
        <v/>
      </c>
      <c r="F14748" s="138" t="str">
        <f t="shared" si="1319"/>
        <v/>
      </c>
      <c r="G14748" s="153" t="s">
        <v>51</v>
      </c>
      <c r="H14748" s="160"/>
      <c r="I14748" s="160" t="s">
        <v>47</v>
      </c>
      <c r="J14748" s="160" t="s">
        <v>52</v>
      </c>
      <c r="K14748" s="160" t="s">
        <v>27</v>
      </c>
      <c r="L14748" s="154" t="str">
        <f>IF(OpenLCAbasic!K14748="CTUh", "Fill in Manually",IF(OR(K14748="Unit", K14748=""), "", INDEX(LookUps!$E$5:$E$12, MATCH(OpenLCAbasic!K14748,LookUps!$D$5:$D$12,0))))</f>
        <v/>
      </c>
      <c r="M14748" s="154" t="str">
        <f t="shared" si="1320"/>
        <v>____Process__</v>
      </c>
    </row>
    <row r="14749" spans="1:13" s="120" customFormat="1" x14ac:dyDescent="0.25">
      <c r="A14749" s="119"/>
      <c r="B14749" s="138" t="str">
        <f t="shared" si="1316"/>
        <v>Aerated Static Pile</v>
      </c>
      <c r="C14749" s="138" t="str">
        <f t="shared" si="1317"/>
        <v>Without Amendment</v>
      </c>
      <c r="D14749" s="138" t="str">
        <f t="shared" si="1321"/>
        <v>High_Base</v>
      </c>
      <c r="E14749" s="138" t="str">
        <f t="shared" si="1318"/>
        <v>High</v>
      </c>
      <c r="F14749" s="138" t="str">
        <f t="shared" si="1319"/>
        <v>Upgraded</v>
      </c>
      <c r="G14749" s="153"/>
      <c r="H14749" s="210">
        <v>1.0062</v>
      </c>
      <c r="I14749" s="160" t="s">
        <v>435</v>
      </c>
      <c r="J14749" s="160">
        <v>1.03094</v>
      </c>
      <c r="K14749" s="160" t="s">
        <v>23</v>
      </c>
      <c r="L14749" s="154" t="str">
        <f>IF(OpenLCAbasic!K14749="CTUh", "Fill in Manually",IF(OR(K14749="Unit", K14749=""), "", INDEX(LookUps!$E$5:$E$12, MATCH(OpenLCAbasic!K14749,LookUps!$D$5:$D$12,0))))</f>
        <v>Global Warming Potential (GWP) - kg CO2 eq</v>
      </c>
      <c r="M14749" s="154" t="str">
        <f t="shared" si="1320"/>
        <v>High_High_Base_Upgraded_Global Warming Potential (GWP) - kg CO2 eq_Biosolids composting; aerated static pile; wastewater treatment unit; at updated plant - US_Without Amendment_Aerated Static Pile</v>
      </c>
    </row>
    <row r="14750" spans="1:13" s="120" customFormat="1" x14ac:dyDescent="0.25">
      <c r="A14750" s="119"/>
      <c r="B14750" s="138" t="str">
        <f t="shared" si="1316"/>
        <v>Aerated Static Pile</v>
      </c>
      <c r="C14750" s="138" t="str">
        <f t="shared" si="1317"/>
        <v>Without Amendment</v>
      </c>
      <c r="D14750" s="138" t="str">
        <f t="shared" si="1321"/>
        <v>High_Base</v>
      </c>
      <c r="E14750" s="138" t="str">
        <f t="shared" si="1318"/>
        <v>High</v>
      </c>
      <c r="F14750" s="138" t="str">
        <f t="shared" si="1319"/>
        <v>Upgraded</v>
      </c>
      <c r="G14750" s="153"/>
      <c r="H14750" s="210">
        <v>0.24390000000000001</v>
      </c>
      <c r="I14750" s="160" t="s">
        <v>58</v>
      </c>
      <c r="J14750" s="160">
        <v>0.24992</v>
      </c>
      <c r="K14750" s="160" t="s">
        <v>23</v>
      </c>
      <c r="L14750" s="154" t="str">
        <f>IF(OpenLCAbasic!K14750="CTUh", "Fill in Manually",IF(OR(K14750="Unit", K14750=""), "", INDEX(LookUps!$E$5:$E$12, MATCH(OpenLCAbasic!K14750,LookUps!$D$5:$D$12,0))))</f>
        <v>Global Warming Potential (GWP) - kg CO2 eq</v>
      </c>
      <c r="M14750" s="154" t="str">
        <f t="shared" si="1320"/>
        <v>High_High_Base_Upgraded_Global Warming Potential (GWP) - kg CO2 eq_Pre-Anoxic &amp; Swing tank; wastewater treatment unit; at updated plant - US_Without Amendment_Aerated Static Pile</v>
      </c>
    </row>
    <row r="14751" spans="1:13" s="120" customFormat="1" x14ac:dyDescent="0.25">
      <c r="A14751" s="119"/>
      <c r="B14751" s="138" t="str">
        <f t="shared" si="1316"/>
        <v>Aerated Static Pile</v>
      </c>
      <c r="C14751" s="138" t="str">
        <f t="shared" si="1317"/>
        <v>Without Amendment</v>
      </c>
      <c r="D14751" s="138" t="str">
        <f t="shared" si="1321"/>
        <v>High_Base</v>
      </c>
      <c r="E14751" s="138" t="str">
        <f t="shared" si="1318"/>
        <v>High</v>
      </c>
      <c r="F14751" s="138" t="str">
        <f t="shared" si="1319"/>
        <v>Upgraded</v>
      </c>
      <c r="G14751" s="153"/>
      <c r="H14751" s="210">
        <v>0.16420000000000001</v>
      </c>
      <c r="I14751" s="160" t="s">
        <v>55</v>
      </c>
      <c r="J14751" s="160">
        <v>0.16822000000000001</v>
      </c>
      <c r="K14751" s="160" t="s">
        <v>23</v>
      </c>
      <c r="L14751" s="154" t="str">
        <f>IF(OpenLCAbasic!K14751="CTUh", "Fill in Manually",IF(OR(K14751="Unit", K14751=""), "", INDEX(LookUps!$E$5:$E$12, MATCH(OpenLCAbasic!K14751,LookUps!$D$5:$D$12,0))))</f>
        <v>Global Warming Potential (GWP) - kg CO2 eq</v>
      </c>
      <c r="M14751" s="154" t="str">
        <f t="shared" si="1320"/>
        <v>High_High_Base_Upgraded_Global Warming Potential (GWP) - kg CO2 eq_Aeration Tanks; wastewater treatment unit; at updated plant - US_Without Amendment_Aerated Static Pile</v>
      </c>
    </row>
    <row r="14752" spans="1:13" s="120" customFormat="1" x14ac:dyDescent="0.25">
      <c r="A14752" s="119"/>
      <c r="B14752" s="138" t="str">
        <f t="shared" si="1316"/>
        <v>Aerated Static Pile</v>
      </c>
      <c r="C14752" s="138" t="str">
        <f t="shared" si="1317"/>
        <v>Without Amendment</v>
      </c>
      <c r="D14752" s="138" t="str">
        <f t="shared" si="1321"/>
        <v>High_Base</v>
      </c>
      <c r="E14752" s="138" t="str">
        <f t="shared" si="1318"/>
        <v>High</v>
      </c>
      <c r="F14752" s="138" t="str">
        <f t="shared" si="1319"/>
        <v>Upgraded</v>
      </c>
      <c r="G14752" s="153"/>
      <c r="H14752" s="210">
        <v>0.14330000000000001</v>
      </c>
      <c r="I14752" s="160" t="s">
        <v>167</v>
      </c>
      <c r="J14752" s="160">
        <v>0.14685000000000001</v>
      </c>
      <c r="K14752" s="160" t="s">
        <v>23</v>
      </c>
      <c r="L14752" s="154" t="str">
        <f>IF(OpenLCAbasic!K14752="CTUh", "Fill in Manually",IF(OR(K14752="Unit", K14752=""), "", INDEX(LookUps!$E$5:$E$12, MATCH(OpenLCAbasic!K14752,LookUps!$D$5:$D$12,0))))</f>
        <v>Global Warming Potential (GWP) - kg CO2 eq</v>
      </c>
      <c r="M14752" s="154" t="str">
        <f t="shared" si="1320"/>
        <v>High_High_Base_Upgraded_Global Warming Potential (GWP) - kg CO2 eq_Waste Receiving and Holding; wastewater treatment unit; at updated plant - US_Without Amendment_Aerated Static Pile</v>
      </c>
    </row>
    <row r="14753" spans="1:13" s="120" customFormat="1" x14ac:dyDescent="0.25">
      <c r="A14753" s="119"/>
      <c r="B14753" s="138" t="str">
        <f t="shared" si="1316"/>
        <v>Aerated Static Pile</v>
      </c>
      <c r="C14753" s="138" t="str">
        <f t="shared" si="1317"/>
        <v>Without Amendment</v>
      </c>
      <c r="D14753" s="138" t="str">
        <f t="shared" si="1321"/>
        <v>High_Base</v>
      </c>
      <c r="E14753" s="138" t="str">
        <f t="shared" si="1318"/>
        <v>High</v>
      </c>
      <c r="F14753" s="138" t="str">
        <f t="shared" si="1319"/>
        <v>Upgraded</v>
      </c>
      <c r="G14753" s="153"/>
      <c r="H14753" s="210">
        <v>5.57E-2</v>
      </c>
      <c r="I14753" s="160" t="s">
        <v>54</v>
      </c>
      <c r="J14753" s="160">
        <v>5.7079999999999999E-2</v>
      </c>
      <c r="K14753" s="160" t="s">
        <v>23</v>
      </c>
      <c r="L14753" s="154" t="str">
        <f>IF(OpenLCAbasic!K14753="CTUh", "Fill in Manually",IF(OR(K14753="Unit", K14753=""), "", INDEX(LookUps!$E$5:$E$12, MATCH(OpenLCAbasic!K14753,LookUps!$D$5:$D$12,0))))</f>
        <v>Global Warming Potential (GWP) - kg CO2 eq</v>
      </c>
      <c r="M14753" s="154" t="str">
        <f t="shared" si="1320"/>
        <v>High_High_Base_Upgraded_Global Warming Potential (GWP) - kg CO2 eq_Clear Cove Primary Clarification; wastewater treatment unit; at updated plant - US_Without Amendment_Aerated Static Pile</v>
      </c>
    </row>
    <row r="14754" spans="1:13" s="120" customFormat="1" x14ac:dyDescent="0.25">
      <c r="A14754" s="119"/>
      <c r="B14754" s="138" t="str">
        <f t="shared" si="1316"/>
        <v>Aerated Static Pile</v>
      </c>
      <c r="C14754" s="138" t="str">
        <f t="shared" si="1317"/>
        <v>Without Amendment</v>
      </c>
      <c r="D14754" s="138" t="str">
        <f t="shared" si="1321"/>
        <v>High_Base</v>
      </c>
      <c r="E14754" s="138" t="str">
        <f t="shared" si="1318"/>
        <v>High</v>
      </c>
      <c r="F14754" s="138" t="str">
        <f t="shared" si="1319"/>
        <v>Upgraded</v>
      </c>
      <c r="G14754" s="153"/>
      <c r="H14754" s="210">
        <v>5.1400000000000001E-2</v>
      </c>
      <c r="I14754" s="160" t="s">
        <v>48</v>
      </c>
      <c r="J14754" s="160">
        <v>5.2639999999999999E-2</v>
      </c>
      <c r="K14754" s="160" t="s">
        <v>23</v>
      </c>
      <c r="L14754" s="154" t="str">
        <f>IF(OpenLCAbasic!K14754="CTUh", "Fill in Manually",IF(OR(K14754="Unit", K14754=""), "", INDEX(LookUps!$E$5:$E$12, MATCH(OpenLCAbasic!K14754,LookUps!$D$5:$D$12,0))))</f>
        <v>Global Warming Potential (GWP) - kg CO2 eq</v>
      </c>
      <c r="M14754" s="154" t="str">
        <f t="shared" si="1320"/>
        <v>High_High_Base_Upgraded_Global Warming Potential (GWP) - kg CO2 eq_Effluent release; wastewater treatment unit; at surface water; m3 wastewater - US_Without Amendment_Aerated Static Pile</v>
      </c>
    </row>
    <row r="14755" spans="1:13" s="120" customFormat="1" x14ac:dyDescent="0.25">
      <c r="A14755" s="119"/>
      <c r="B14755" s="138" t="str">
        <f t="shared" si="1316"/>
        <v>Aerated Static Pile</v>
      </c>
      <c r="C14755" s="138" t="str">
        <f t="shared" si="1317"/>
        <v>Without Amendment</v>
      </c>
      <c r="D14755" s="138" t="str">
        <f t="shared" si="1321"/>
        <v>High_Base</v>
      </c>
      <c r="E14755" s="138" t="str">
        <f t="shared" si="1318"/>
        <v>High</v>
      </c>
      <c r="F14755" s="138" t="str">
        <f t="shared" si="1319"/>
        <v>Upgraded</v>
      </c>
      <c r="G14755" s="153"/>
      <c r="H14755" s="210">
        <v>4.9299999999999997E-2</v>
      </c>
      <c r="I14755" s="160" t="s">
        <v>147</v>
      </c>
      <c r="J14755" s="160">
        <v>5.0500000000000003E-2</v>
      </c>
      <c r="K14755" s="160" t="s">
        <v>23</v>
      </c>
      <c r="L14755" s="154" t="str">
        <f>IF(OpenLCAbasic!K14755="CTUh", "Fill in Manually",IF(OR(K14755="Unit", K14755=""), "", INDEX(LookUps!$E$5:$E$12, MATCH(OpenLCAbasic!K14755,LookUps!$D$5:$D$12,0))))</f>
        <v>Global Warming Potential (GWP) - kg CO2 eq</v>
      </c>
      <c r="M14755" s="154" t="str">
        <f t="shared" si="1320"/>
        <v>High_High_Base_Upgraded_Global Warming Potential (GWP) - kg CO2 eq_Influent Pump Station; wastewater treatment unit; at updated plant - US_Without Amendment_Aerated Static Pile</v>
      </c>
    </row>
    <row r="14756" spans="1:13" s="120" customFormat="1" x14ac:dyDescent="0.25">
      <c r="A14756" s="119"/>
      <c r="B14756" s="138" t="str">
        <f t="shared" si="1316"/>
        <v>Aerated Static Pile</v>
      </c>
      <c r="C14756" s="138" t="str">
        <f t="shared" si="1317"/>
        <v>Without Amendment</v>
      </c>
      <c r="D14756" s="138" t="str">
        <f t="shared" si="1321"/>
        <v>High_Base</v>
      </c>
      <c r="E14756" s="138" t="str">
        <f t="shared" si="1318"/>
        <v>High</v>
      </c>
      <c r="F14756" s="138" t="str">
        <f t="shared" si="1319"/>
        <v>Upgraded</v>
      </c>
      <c r="G14756" s="153"/>
      <c r="H14756" s="210">
        <v>3.2500000000000001E-2</v>
      </c>
      <c r="I14756" s="160" t="s">
        <v>53</v>
      </c>
      <c r="J14756" s="160">
        <v>3.3259999999999998E-2</v>
      </c>
      <c r="K14756" s="160" t="s">
        <v>23</v>
      </c>
      <c r="L14756" s="154" t="str">
        <f>IF(OpenLCAbasic!K14756="CTUh", "Fill in Manually",IF(OR(K14756="Unit", K14756=""), "", INDEX(LookUps!$E$5:$E$12, MATCH(OpenLCAbasic!K14756,LookUps!$D$5:$D$12,0))))</f>
        <v>Global Warming Potential (GWP) - kg CO2 eq</v>
      </c>
      <c r="M14756" s="154" t="str">
        <f t="shared" si="1320"/>
        <v>High_High_Base_Upgraded_Global Warming Potential (GWP) - kg CO2 eq_Wet Well and Sump Station; wastewater treatment unit; at updated plant - US_Without Amendment_Aerated Static Pile</v>
      </c>
    </row>
    <row r="14757" spans="1:13" s="120" customFormat="1" x14ac:dyDescent="0.25">
      <c r="A14757" s="119"/>
      <c r="B14757" s="138" t="str">
        <f t="shared" si="1316"/>
        <v>Aerated Static Pile</v>
      </c>
      <c r="C14757" s="138" t="str">
        <f t="shared" si="1317"/>
        <v>Without Amendment</v>
      </c>
      <c r="D14757" s="138" t="str">
        <f t="shared" si="1321"/>
        <v>High_Base</v>
      </c>
      <c r="E14757" s="138" t="str">
        <f t="shared" si="1318"/>
        <v>High</v>
      </c>
      <c r="F14757" s="138" t="str">
        <f t="shared" si="1319"/>
        <v>Upgraded</v>
      </c>
      <c r="G14757" s="153"/>
      <c r="H14757" s="210">
        <v>2.35E-2</v>
      </c>
      <c r="I14757" s="160" t="s">
        <v>60</v>
      </c>
      <c r="J14757" s="160">
        <v>2.4119999999999999E-2</v>
      </c>
      <c r="K14757" s="160" t="s">
        <v>23</v>
      </c>
      <c r="L14757" s="154" t="str">
        <f>IF(OpenLCAbasic!K14757="CTUh", "Fill in Manually",IF(OR(K14757="Unit", K14757=""), "", INDEX(LookUps!$E$5:$E$12, MATCH(OpenLCAbasic!K14757,LookUps!$D$5:$D$12,0))))</f>
        <v>Global Warming Potential (GWP) - kg CO2 eq</v>
      </c>
      <c r="M14757" s="154" t="str">
        <f t="shared" si="1320"/>
        <v>High_High_Base_Upgraded_Global Warming Potential (GWP) - kg CO2 eq_Belt filter press; wastewater treatment unit; at updated plant - US_Without Amendment_Aerated Static Pile</v>
      </c>
    </row>
    <row r="14758" spans="1:13" s="120" customFormat="1" x14ac:dyDescent="0.25">
      <c r="A14758" s="119"/>
      <c r="B14758" s="138" t="str">
        <f t="shared" si="1316"/>
        <v>Aerated Static Pile</v>
      </c>
      <c r="C14758" s="138" t="str">
        <f t="shared" si="1317"/>
        <v>Without Amendment</v>
      </c>
      <c r="D14758" s="138" t="str">
        <f t="shared" si="1321"/>
        <v>High_Base</v>
      </c>
      <c r="E14758" s="138" t="str">
        <f t="shared" si="1318"/>
        <v>High</v>
      </c>
      <c r="F14758" s="138" t="str">
        <f t="shared" si="1319"/>
        <v>Upgraded</v>
      </c>
      <c r="G14758" s="153"/>
      <c r="H14758" s="210">
        <v>1.4200000000000001E-2</v>
      </c>
      <c r="I14758" s="160" t="s">
        <v>57</v>
      </c>
      <c r="J14758" s="160">
        <v>1.455E-2</v>
      </c>
      <c r="K14758" s="160" t="s">
        <v>23</v>
      </c>
      <c r="L14758" s="154" t="str">
        <f>IF(OpenLCAbasic!K14758="CTUh", "Fill in Manually",IF(OR(K14758="Unit", K14758=""), "", INDEX(LookUps!$E$5:$E$12, MATCH(OpenLCAbasic!K14758,LookUps!$D$5:$D$12,0))))</f>
        <v>Global Warming Potential (GWP) - kg CO2 eq</v>
      </c>
      <c r="M14758" s="154" t="str">
        <f t="shared" si="1320"/>
        <v>High_High_Base_Upgraded_Global Warming Potential (GWP) - kg CO2 eq_Gravity Belt Thickener; wastewater treatment unit; at updated plant - US_Without Amendment_Aerated Static Pile</v>
      </c>
    </row>
    <row r="14759" spans="1:13" s="120" customFormat="1" x14ac:dyDescent="0.25">
      <c r="A14759" s="119"/>
      <c r="B14759" s="138" t="str">
        <f t="shared" si="1316"/>
        <v>Aerated Static Pile</v>
      </c>
      <c r="C14759" s="138" t="str">
        <f t="shared" si="1317"/>
        <v>Without Amendment</v>
      </c>
      <c r="D14759" s="138" t="str">
        <f t="shared" si="1321"/>
        <v>High_Base</v>
      </c>
      <c r="E14759" s="138" t="str">
        <f t="shared" si="1318"/>
        <v>High</v>
      </c>
      <c r="F14759" s="138" t="str">
        <f t="shared" si="1319"/>
        <v>Upgraded</v>
      </c>
      <c r="G14759" s="153"/>
      <c r="H14759" s="210">
        <v>1.32E-2</v>
      </c>
      <c r="I14759" s="160" t="s">
        <v>128</v>
      </c>
      <c r="J14759" s="160">
        <v>1.3509999999999999E-2</v>
      </c>
      <c r="K14759" s="160" t="s">
        <v>23</v>
      </c>
      <c r="L14759" s="154" t="str">
        <f>IF(OpenLCAbasic!K14759="CTUh", "Fill in Manually",IF(OR(K14759="Unit", K14759=""), "", INDEX(LookUps!$E$5:$E$12, MATCH(OpenLCAbasic!K14759,LookUps!$D$5:$D$12,0))))</f>
        <v>Global Warming Potential (GWP) - kg CO2 eq</v>
      </c>
      <c r="M14759" s="154" t="str">
        <f t="shared" si="1320"/>
        <v>High_High_Base_Upgraded_Global Warming Potential (GWP) - kg CO2 eq_Wastewater collection; operation and infrastructure; m3 wastewater_Without Amendment_Aerated Static Pile</v>
      </c>
    </row>
    <row r="14760" spans="1:13" s="120" customFormat="1" x14ac:dyDescent="0.25">
      <c r="A14760" s="119"/>
      <c r="B14760" s="138" t="str">
        <f t="shared" si="1316"/>
        <v>Aerated Static Pile</v>
      </c>
      <c r="C14760" s="138" t="str">
        <f t="shared" si="1317"/>
        <v>Without Amendment</v>
      </c>
      <c r="D14760" s="138" t="str">
        <f t="shared" si="1321"/>
        <v>High_Base</v>
      </c>
      <c r="E14760" s="138" t="str">
        <f t="shared" si="1318"/>
        <v>High</v>
      </c>
      <c r="F14760" s="138" t="str">
        <f t="shared" si="1319"/>
        <v>Upgraded</v>
      </c>
      <c r="G14760" s="153"/>
      <c r="H14760" s="210">
        <v>8.0999999999999996E-3</v>
      </c>
      <c r="I14760" s="160" t="s">
        <v>148</v>
      </c>
      <c r="J14760" s="160">
        <v>8.3000000000000001E-3</v>
      </c>
      <c r="K14760" s="160" t="s">
        <v>23</v>
      </c>
      <c r="L14760" s="154" t="str">
        <f>IF(OpenLCAbasic!K14760="CTUh", "Fill in Manually",IF(OR(K14760="Unit", K14760=""), "", INDEX(LookUps!$E$5:$E$12, MATCH(OpenLCAbasic!K14760,LookUps!$D$5:$D$12,0))))</f>
        <v>Global Warming Potential (GWP) - kg CO2 eq</v>
      </c>
      <c r="M14760" s="154" t="str">
        <f t="shared" si="1320"/>
        <v>High_High_Base_Upgraded_Global Warming Potential (GWP) - kg CO2 eq_Control Building; at upgraded wastewater treatment plant - US_Without Amendment_Aerated Static Pile</v>
      </c>
    </row>
    <row r="14761" spans="1:13" s="120" customFormat="1" x14ac:dyDescent="0.25">
      <c r="A14761" s="119"/>
      <c r="B14761" s="138" t="str">
        <f t="shared" ref="B14761:B14824" si="1322">IF(F14761="Legacy","n.a.",IF(F14761="","","Aerated Static Pile"))</f>
        <v>Aerated Static Pile</v>
      </c>
      <c r="C14761" s="138" t="str">
        <f t="shared" ref="C14761:C14824" si="1323">IF(ISNUMBER($J14761),"Without Amendment","")</f>
        <v>Without Amendment</v>
      </c>
      <c r="D14761" s="138" t="str">
        <f t="shared" si="1321"/>
        <v>High_Base</v>
      </c>
      <c r="E14761" s="138" t="str">
        <f t="shared" ref="E14761:E14824" si="1324">IF(ISNUMBER($J14761),"High","")</f>
        <v>High</v>
      </c>
      <c r="F14761" s="138" t="str">
        <f t="shared" ref="F14761:F14824" si="1325">IF(ISNUMBER(J14761),"Upgraded","")</f>
        <v>Upgraded</v>
      </c>
      <c r="G14761" s="153"/>
      <c r="H14761" s="210">
        <v>4.8999999999999998E-3</v>
      </c>
      <c r="I14761" s="160" t="s">
        <v>59</v>
      </c>
      <c r="J14761" s="160">
        <v>5.0400000000000002E-3</v>
      </c>
      <c r="K14761" s="160" t="s">
        <v>23</v>
      </c>
      <c r="L14761" s="154" t="str">
        <f>IF(OpenLCAbasic!K14761="CTUh", "Fill in Manually",IF(OR(K14761="Unit", K14761=""), "", INDEX(LookUps!$E$5:$E$12, MATCH(OpenLCAbasic!K14761,LookUps!$D$5:$D$12,0))))</f>
        <v>Global Warming Potential (GWP) - kg CO2 eq</v>
      </c>
      <c r="M14761" s="154" t="str">
        <f t="shared" si="1320"/>
        <v>High_High_Base_Upgraded_Global Warming Potential (GWP) - kg CO2 eq_Blend Tank; wastewater treatment unit; at updated plant - US_Without Amendment_Aerated Static Pile</v>
      </c>
    </row>
    <row r="14762" spans="1:13" s="120" customFormat="1" x14ac:dyDescent="0.25">
      <c r="A14762" s="119"/>
      <c r="B14762" s="138" t="str">
        <f t="shared" si="1322"/>
        <v>Aerated Static Pile</v>
      </c>
      <c r="C14762" s="138" t="str">
        <f t="shared" si="1323"/>
        <v>Without Amendment</v>
      </c>
      <c r="D14762" s="138" t="str">
        <f t="shared" si="1321"/>
        <v>High_Base</v>
      </c>
      <c r="E14762" s="138" t="str">
        <f t="shared" si="1324"/>
        <v>High</v>
      </c>
      <c r="F14762" s="138" t="str">
        <f t="shared" si="1325"/>
        <v>Upgraded</v>
      </c>
      <c r="G14762" s="153"/>
      <c r="H14762" s="210">
        <v>2.3999999999999998E-3</v>
      </c>
      <c r="I14762" s="160" t="s">
        <v>168</v>
      </c>
      <c r="J14762" s="160">
        <v>2.4099999999999998E-3</v>
      </c>
      <c r="K14762" s="160" t="s">
        <v>23</v>
      </c>
      <c r="L14762" s="154" t="str">
        <f>IF(OpenLCAbasic!K14762="CTUh", "Fill in Manually",IF(OR(K14762="Unit", K14762=""), "", INDEX(LookUps!$E$5:$E$12, MATCH(OpenLCAbasic!K14762,LookUps!$D$5:$D$12,0))))</f>
        <v>Global Warming Potential (GWP) - kg CO2 eq</v>
      </c>
      <c r="M14762" s="154" t="str">
        <f t="shared" si="1320"/>
        <v>High_High_Base_Upgraded_Global Warming Potential (GWP) - kg CO2 eq_ClearCove SCP; wastewater treatment unit; at updated plant - US_Without Amendment_Aerated Static Pile</v>
      </c>
    </row>
    <row r="14763" spans="1:13" s="120" customFormat="1" x14ac:dyDescent="0.25">
      <c r="A14763" s="119"/>
      <c r="B14763" s="138" t="str">
        <f t="shared" si="1322"/>
        <v>Aerated Static Pile</v>
      </c>
      <c r="C14763" s="138" t="str">
        <f t="shared" si="1323"/>
        <v>Without Amendment</v>
      </c>
      <c r="D14763" s="138" t="str">
        <f t="shared" si="1321"/>
        <v>High_Base</v>
      </c>
      <c r="E14763" s="138" t="str">
        <f t="shared" si="1324"/>
        <v>High</v>
      </c>
      <c r="F14763" s="138" t="str">
        <f t="shared" si="1325"/>
        <v>Upgraded</v>
      </c>
      <c r="G14763" s="153"/>
      <c r="H14763" s="210">
        <v>-0.2555</v>
      </c>
      <c r="I14763" s="160" t="s">
        <v>62</v>
      </c>
      <c r="J14763" s="160">
        <v>-0.26180999999999999</v>
      </c>
      <c r="K14763" s="160" t="s">
        <v>23</v>
      </c>
      <c r="L14763" s="154" t="str">
        <f>IF(OpenLCAbasic!K14763="CTUh", "Fill in Manually",IF(OR(K14763="Unit", K14763=""), "", INDEX(LookUps!$E$5:$E$12, MATCH(OpenLCAbasic!K14763,LookUps!$D$5:$D$12,0))))</f>
        <v>Global Warming Potential (GWP) - kg CO2 eq</v>
      </c>
      <c r="M14763" s="154" t="str">
        <f t="shared" si="1320"/>
        <v>High_High_Base_Upgraded_Global Warming Potential (GWP) - kg CO2 eq_Land application of compost; wastewater treatment unit; at updated plant - US_Without Amendment_Aerated Static Pile</v>
      </c>
    </row>
    <row r="14764" spans="1:13" s="120" customFormat="1" x14ac:dyDescent="0.25">
      <c r="A14764" s="119"/>
      <c r="B14764" s="138" t="str">
        <f t="shared" si="1322"/>
        <v>Aerated Static Pile</v>
      </c>
      <c r="C14764" s="138" t="str">
        <f t="shared" si="1323"/>
        <v>Without Amendment</v>
      </c>
      <c r="D14764" s="138" t="str">
        <f t="shared" si="1321"/>
        <v>High_Base</v>
      </c>
      <c r="E14764" s="138" t="str">
        <f t="shared" si="1324"/>
        <v>High</v>
      </c>
      <c r="F14764" s="138" t="str">
        <f t="shared" si="1325"/>
        <v>Upgraded</v>
      </c>
      <c r="G14764" s="153"/>
      <c r="H14764" s="210">
        <v>-0.55730000000000002</v>
      </c>
      <c r="I14764" s="160" t="s">
        <v>149</v>
      </c>
      <c r="J14764" s="160">
        <v>-0.57099</v>
      </c>
      <c r="K14764" s="160" t="s">
        <v>23</v>
      </c>
      <c r="L14764" s="154" t="str">
        <f>IF(OpenLCAbasic!K14764="CTUh", "Fill in Manually",IF(OR(K14764="Unit", K14764=""), "", INDEX(LookUps!$E$5:$E$12, MATCH(OpenLCAbasic!K14764,LookUps!$D$5:$D$12,0))))</f>
        <v>Global Warming Potential (GWP) - kg CO2 eq</v>
      </c>
      <c r="M14764" s="154" t="str">
        <f t="shared" si="1320"/>
        <v>High_High_Base_Upgraded_Global Warming Potential (GWP) - kg CO2 eq_Anaerobic Digestion; wastewater treatment unit; at updated plant - US_Without Amendment_Aerated Static Pile</v>
      </c>
    </row>
    <row r="14765" spans="1:13" s="120" customFormat="1" x14ac:dyDescent="0.25">
      <c r="A14765" s="119"/>
      <c r="B14765" s="138" t="str">
        <f t="shared" si="1322"/>
        <v/>
      </c>
      <c r="C14765" s="138" t="str">
        <f t="shared" si="1323"/>
        <v/>
      </c>
      <c r="D14765" s="138" t="str">
        <f t="shared" si="1321"/>
        <v/>
      </c>
      <c r="E14765" s="138" t="str">
        <f t="shared" si="1324"/>
        <v/>
      </c>
      <c r="F14765" s="138" t="str">
        <f t="shared" si="1325"/>
        <v/>
      </c>
      <c r="G14765" s="153" t="s">
        <v>51</v>
      </c>
      <c r="H14765" s="160"/>
      <c r="I14765" s="160" t="s">
        <v>47</v>
      </c>
      <c r="J14765" s="160" t="s">
        <v>52</v>
      </c>
      <c r="K14765" s="160" t="s">
        <v>27</v>
      </c>
      <c r="L14765" s="154" t="str">
        <f>IF(OpenLCAbasic!K14765="CTUh", "Fill in Manually",IF(OR(K14765="Unit", K14765=""), "", INDEX(LookUps!$E$5:$E$12, MATCH(OpenLCAbasic!K14765,LookUps!$D$5:$D$12,0))))</f>
        <v/>
      </c>
      <c r="M14765" s="154" t="str">
        <f t="shared" si="1320"/>
        <v>____Process__</v>
      </c>
    </row>
    <row r="14766" spans="1:13" s="120" customFormat="1" x14ac:dyDescent="0.25">
      <c r="A14766" s="119"/>
      <c r="B14766" s="138" t="str">
        <f t="shared" si="1322"/>
        <v>Aerated Static Pile</v>
      </c>
      <c r="C14766" s="138" t="str">
        <f t="shared" si="1323"/>
        <v>Without Amendment</v>
      </c>
      <c r="D14766" s="138" t="str">
        <f t="shared" si="1321"/>
        <v>High_Base</v>
      </c>
      <c r="E14766" s="138" t="str">
        <f t="shared" si="1324"/>
        <v>High</v>
      </c>
      <c r="F14766" s="138" t="str">
        <f t="shared" si="1325"/>
        <v>Upgraded</v>
      </c>
      <c r="G14766" s="153"/>
      <c r="H14766" s="210">
        <v>9.8910999999999998</v>
      </c>
      <c r="I14766" s="160" t="s">
        <v>55</v>
      </c>
      <c r="J14766" s="160">
        <v>2.33E-3</v>
      </c>
      <c r="K14766" s="160" t="s">
        <v>145</v>
      </c>
      <c r="L14766" s="154" t="str">
        <f>IF(OpenLCAbasic!K14766="CTUh", "Fill in Manually",IF(OR(K14766="Unit", K14766=""), "", INDEX(LookUps!$E$5:$E$12, MATCH(OpenLCAbasic!K14766,LookUps!$D$5:$D$12,0))))</f>
        <v>Particulate Matter Formation Potential (PMFP) - kg PM2.5 eq</v>
      </c>
      <c r="M14766" s="154" t="str">
        <f t="shared" si="1320"/>
        <v>High_High_Base_Upgraded_Particulate Matter Formation Potential (PMFP) - kg PM2.5 eq_Aeration Tanks; wastewater treatment unit; at updated plant - US_Without Amendment_Aerated Static Pile</v>
      </c>
    </row>
    <row r="14767" spans="1:13" s="120" customFormat="1" x14ac:dyDescent="0.25">
      <c r="A14767" s="119"/>
      <c r="B14767" s="138" t="str">
        <f t="shared" si="1322"/>
        <v>Aerated Static Pile</v>
      </c>
      <c r="C14767" s="138" t="str">
        <f t="shared" si="1323"/>
        <v>Without Amendment</v>
      </c>
      <c r="D14767" s="138" t="str">
        <f t="shared" si="1321"/>
        <v>High_Base</v>
      </c>
      <c r="E14767" s="138" t="str">
        <f t="shared" si="1324"/>
        <v>High</v>
      </c>
      <c r="F14767" s="138" t="str">
        <f t="shared" si="1325"/>
        <v>Upgraded</v>
      </c>
      <c r="G14767" s="153"/>
      <c r="H14767" s="210">
        <v>2.8782000000000001</v>
      </c>
      <c r="I14767" s="160" t="s">
        <v>54</v>
      </c>
      <c r="J14767" s="160">
        <v>6.8000000000000005E-4</v>
      </c>
      <c r="K14767" s="160" t="s">
        <v>145</v>
      </c>
      <c r="L14767" s="154" t="str">
        <f>IF(OpenLCAbasic!K14767="CTUh", "Fill in Manually",IF(OR(K14767="Unit", K14767=""), "", INDEX(LookUps!$E$5:$E$12, MATCH(OpenLCAbasic!K14767,LookUps!$D$5:$D$12,0))))</f>
        <v>Particulate Matter Formation Potential (PMFP) - kg PM2.5 eq</v>
      </c>
      <c r="M14767" s="154" t="str">
        <f t="shared" si="1320"/>
        <v>High_High_Base_Upgraded_Particulate Matter Formation Potential (PMFP) - kg PM2.5 eq_Clear Cove Primary Clarification; wastewater treatment unit; at updated plant - US_Without Amendment_Aerated Static Pile</v>
      </c>
    </row>
    <row r="14768" spans="1:13" s="120" customFormat="1" x14ac:dyDescent="0.25">
      <c r="A14768" s="119"/>
      <c r="B14768" s="138" t="str">
        <f t="shared" si="1322"/>
        <v>Aerated Static Pile</v>
      </c>
      <c r="C14768" s="138" t="str">
        <f t="shared" si="1323"/>
        <v>Without Amendment</v>
      </c>
      <c r="D14768" s="138" t="str">
        <f t="shared" si="1321"/>
        <v>High_Base</v>
      </c>
      <c r="E14768" s="138" t="str">
        <f t="shared" si="1324"/>
        <v>High</v>
      </c>
      <c r="F14768" s="138" t="str">
        <f t="shared" si="1325"/>
        <v>Upgraded</v>
      </c>
      <c r="G14768" s="153"/>
      <c r="H14768" s="210">
        <v>2.5053000000000001</v>
      </c>
      <c r="I14768" s="160" t="s">
        <v>58</v>
      </c>
      <c r="J14768" s="160">
        <v>5.9000000000000003E-4</v>
      </c>
      <c r="K14768" s="160" t="s">
        <v>145</v>
      </c>
      <c r="L14768" s="154" t="str">
        <f>IF(OpenLCAbasic!K14768="CTUh", "Fill in Manually",IF(OR(K14768="Unit", K14768=""), "", INDEX(LookUps!$E$5:$E$12, MATCH(OpenLCAbasic!K14768,LookUps!$D$5:$D$12,0))))</f>
        <v>Particulate Matter Formation Potential (PMFP) - kg PM2.5 eq</v>
      </c>
      <c r="M14768" s="154" t="str">
        <f t="shared" si="1320"/>
        <v>High_High_Base_Upgraded_Particulate Matter Formation Potential (PMFP) - kg PM2.5 eq_Pre-Anoxic &amp; Swing tank; wastewater treatment unit; at updated plant - US_Without Amendment_Aerated Static Pile</v>
      </c>
    </row>
    <row r="14769" spans="1:13" s="120" customFormat="1" x14ac:dyDescent="0.25">
      <c r="A14769" s="119"/>
      <c r="B14769" s="138" t="str">
        <f t="shared" si="1322"/>
        <v>Aerated Static Pile</v>
      </c>
      <c r="C14769" s="138" t="str">
        <f t="shared" si="1323"/>
        <v>Without Amendment</v>
      </c>
      <c r="D14769" s="138" t="str">
        <f t="shared" si="1321"/>
        <v>High_Base</v>
      </c>
      <c r="E14769" s="138" t="str">
        <f t="shared" si="1324"/>
        <v>High</v>
      </c>
      <c r="F14769" s="138" t="str">
        <f t="shared" si="1325"/>
        <v>Upgraded</v>
      </c>
      <c r="G14769" s="153"/>
      <c r="H14769" s="210">
        <v>1.9776</v>
      </c>
      <c r="I14769" s="160" t="s">
        <v>53</v>
      </c>
      <c r="J14769" s="160">
        <v>4.6999999999999999E-4</v>
      </c>
      <c r="K14769" s="160" t="s">
        <v>145</v>
      </c>
      <c r="L14769" s="154" t="str">
        <f>IF(OpenLCAbasic!K14769="CTUh", "Fill in Manually",IF(OR(K14769="Unit", K14769=""), "", INDEX(LookUps!$E$5:$E$12, MATCH(OpenLCAbasic!K14769,LookUps!$D$5:$D$12,0))))</f>
        <v>Particulate Matter Formation Potential (PMFP) - kg PM2.5 eq</v>
      </c>
      <c r="M14769" s="154" t="str">
        <f t="shared" si="1320"/>
        <v>High_High_Base_Upgraded_Particulate Matter Formation Potential (PMFP) - kg PM2.5 eq_Wet Well and Sump Station; wastewater treatment unit; at updated plant - US_Without Amendment_Aerated Static Pile</v>
      </c>
    </row>
    <row r="14770" spans="1:13" s="120" customFormat="1" x14ac:dyDescent="0.25">
      <c r="A14770" s="119"/>
      <c r="B14770" s="138" t="str">
        <f t="shared" si="1322"/>
        <v>Aerated Static Pile</v>
      </c>
      <c r="C14770" s="138" t="str">
        <f t="shared" si="1323"/>
        <v>Without Amendment</v>
      </c>
      <c r="D14770" s="138" t="str">
        <f t="shared" si="1321"/>
        <v>High_Base</v>
      </c>
      <c r="E14770" s="138" t="str">
        <f t="shared" si="1324"/>
        <v>High</v>
      </c>
      <c r="F14770" s="138" t="str">
        <f t="shared" si="1325"/>
        <v>Upgraded</v>
      </c>
      <c r="G14770" s="153"/>
      <c r="H14770" s="210">
        <v>1.9035</v>
      </c>
      <c r="I14770" s="160" t="s">
        <v>435</v>
      </c>
      <c r="J14770" s="160">
        <v>4.4999999999999999E-4</v>
      </c>
      <c r="K14770" s="160" t="s">
        <v>145</v>
      </c>
      <c r="L14770" s="154" t="str">
        <f>IF(OpenLCAbasic!K14770="CTUh", "Fill in Manually",IF(OR(K14770="Unit", K14770=""), "", INDEX(LookUps!$E$5:$E$12, MATCH(OpenLCAbasic!K14770,LookUps!$D$5:$D$12,0))))</f>
        <v>Particulate Matter Formation Potential (PMFP) - kg PM2.5 eq</v>
      </c>
      <c r="M14770" s="154" t="str">
        <f t="shared" si="1320"/>
        <v>High_High_Base_Upgraded_Particulate Matter Formation Potential (PMFP) - kg PM2.5 eq_Biosolids composting; aerated static pile; wastewater treatment unit; at updated plant - US_Without Amendment_Aerated Static Pile</v>
      </c>
    </row>
    <row r="14771" spans="1:13" s="120" customFormat="1" x14ac:dyDescent="0.25">
      <c r="A14771" s="119"/>
      <c r="B14771" s="138" t="str">
        <f t="shared" si="1322"/>
        <v>Aerated Static Pile</v>
      </c>
      <c r="C14771" s="138" t="str">
        <f t="shared" si="1323"/>
        <v>Without Amendment</v>
      </c>
      <c r="D14771" s="138" t="str">
        <f t="shared" si="1321"/>
        <v>High_Base</v>
      </c>
      <c r="E14771" s="138" t="str">
        <f t="shared" si="1324"/>
        <v>High</v>
      </c>
      <c r="F14771" s="138" t="str">
        <f t="shared" si="1325"/>
        <v>Upgraded</v>
      </c>
      <c r="G14771" s="153"/>
      <c r="H14771" s="210">
        <v>1.4057999999999999</v>
      </c>
      <c r="I14771" s="160" t="s">
        <v>167</v>
      </c>
      <c r="J14771" s="160">
        <v>3.3E-4</v>
      </c>
      <c r="K14771" s="160" t="s">
        <v>145</v>
      </c>
      <c r="L14771" s="154" t="str">
        <f>IF(OpenLCAbasic!K14771="CTUh", "Fill in Manually",IF(OR(K14771="Unit", K14771=""), "", INDEX(LookUps!$E$5:$E$12, MATCH(OpenLCAbasic!K14771,LookUps!$D$5:$D$12,0))))</f>
        <v>Particulate Matter Formation Potential (PMFP) - kg PM2.5 eq</v>
      </c>
      <c r="M14771" s="154" t="str">
        <f t="shared" si="1320"/>
        <v>High_High_Base_Upgraded_Particulate Matter Formation Potential (PMFP) - kg PM2.5 eq_Waste Receiving and Holding; wastewater treatment unit; at updated plant - US_Without Amendment_Aerated Static Pile</v>
      </c>
    </row>
    <row r="14772" spans="1:13" s="120" customFormat="1" x14ac:dyDescent="0.25">
      <c r="A14772" s="119"/>
      <c r="B14772" s="138" t="str">
        <f t="shared" si="1322"/>
        <v>Aerated Static Pile</v>
      </c>
      <c r="C14772" s="138" t="str">
        <f t="shared" si="1323"/>
        <v>Without Amendment</v>
      </c>
      <c r="D14772" s="138" t="str">
        <f t="shared" si="1321"/>
        <v>High_Base</v>
      </c>
      <c r="E14772" s="138" t="str">
        <f t="shared" si="1324"/>
        <v>High</v>
      </c>
      <c r="F14772" s="138" t="str">
        <f t="shared" si="1325"/>
        <v>Upgraded</v>
      </c>
      <c r="G14772" s="153"/>
      <c r="H14772" s="210">
        <v>1.1304000000000001</v>
      </c>
      <c r="I14772" s="160" t="s">
        <v>147</v>
      </c>
      <c r="J14772" s="160">
        <v>2.7E-4</v>
      </c>
      <c r="K14772" s="160" t="s">
        <v>145</v>
      </c>
      <c r="L14772" s="154" t="str">
        <f>IF(OpenLCAbasic!K14772="CTUh", "Fill in Manually",IF(OR(K14772="Unit", K14772=""), "", INDEX(LookUps!$E$5:$E$12, MATCH(OpenLCAbasic!K14772,LookUps!$D$5:$D$12,0))))</f>
        <v>Particulate Matter Formation Potential (PMFP) - kg PM2.5 eq</v>
      </c>
      <c r="M14772" s="154" t="str">
        <f t="shared" si="1320"/>
        <v>High_High_Base_Upgraded_Particulate Matter Formation Potential (PMFP) - kg PM2.5 eq_Influent Pump Station; wastewater treatment unit; at updated plant - US_Without Amendment_Aerated Static Pile</v>
      </c>
    </row>
    <row r="14773" spans="1:13" s="120" customFormat="1" x14ac:dyDescent="0.25">
      <c r="A14773" s="119"/>
      <c r="B14773" s="138" t="str">
        <f t="shared" si="1322"/>
        <v>Aerated Static Pile</v>
      </c>
      <c r="C14773" s="138" t="str">
        <f t="shared" si="1323"/>
        <v>Without Amendment</v>
      </c>
      <c r="D14773" s="138" t="str">
        <f t="shared" si="1321"/>
        <v>High_Base</v>
      </c>
      <c r="E14773" s="138" t="str">
        <f t="shared" si="1324"/>
        <v>High</v>
      </c>
      <c r="F14773" s="138" t="str">
        <f t="shared" si="1325"/>
        <v>Upgraded</v>
      </c>
      <c r="G14773" s="153"/>
      <c r="H14773" s="210">
        <v>0.83550000000000002</v>
      </c>
      <c r="I14773" s="160" t="s">
        <v>60</v>
      </c>
      <c r="J14773" s="160">
        <v>2.0000000000000001E-4</v>
      </c>
      <c r="K14773" s="160" t="s">
        <v>145</v>
      </c>
      <c r="L14773" s="154" t="str">
        <f>IF(OpenLCAbasic!K14773="CTUh", "Fill in Manually",IF(OR(K14773="Unit", K14773=""), "", INDEX(LookUps!$E$5:$E$12, MATCH(OpenLCAbasic!K14773,LookUps!$D$5:$D$12,0))))</f>
        <v>Particulate Matter Formation Potential (PMFP) - kg PM2.5 eq</v>
      </c>
      <c r="M14773" s="154" t="str">
        <f t="shared" si="1320"/>
        <v>High_High_Base_Upgraded_Particulate Matter Formation Potential (PMFP) - kg PM2.5 eq_Belt filter press; wastewater treatment unit; at updated plant - US_Without Amendment_Aerated Static Pile</v>
      </c>
    </row>
    <row r="14774" spans="1:13" s="120" customFormat="1" x14ac:dyDescent="0.25">
      <c r="A14774" s="119"/>
      <c r="B14774" s="138" t="str">
        <f t="shared" si="1322"/>
        <v>Aerated Static Pile</v>
      </c>
      <c r="C14774" s="138" t="str">
        <f t="shared" si="1323"/>
        <v>Without Amendment</v>
      </c>
      <c r="D14774" s="138" t="str">
        <f t="shared" si="1321"/>
        <v>High_Base</v>
      </c>
      <c r="E14774" s="138" t="str">
        <f t="shared" si="1324"/>
        <v>High</v>
      </c>
      <c r="F14774" s="138" t="str">
        <f t="shared" si="1325"/>
        <v>Upgraded</v>
      </c>
      <c r="G14774" s="153"/>
      <c r="H14774" s="210">
        <v>0.70550000000000002</v>
      </c>
      <c r="I14774" s="160" t="s">
        <v>128</v>
      </c>
      <c r="J14774" s="160">
        <v>1.7000000000000001E-4</v>
      </c>
      <c r="K14774" s="160" t="s">
        <v>145</v>
      </c>
      <c r="L14774" s="154" t="str">
        <f>IF(OpenLCAbasic!K14774="CTUh", "Fill in Manually",IF(OR(K14774="Unit", K14774=""), "", INDEX(LookUps!$E$5:$E$12, MATCH(OpenLCAbasic!K14774,LookUps!$D$5:$D$12,0))))</f>
        <v>Particulate Matter Formation Potential (PMFP) - kg PM2.5 eq</v>
      </c>
      <c r="M14774" s="154" t="str">
        <f t="shared" si="1320"/>
        <v>High_High_Base_Upgraded_Particulate Matter Formation Potential (PMFP) - kg PM2.5 eq_Wastewater collection; operation and infrastructure; m3 wastewater_Without Amendment_Aerated Static Pile</v>
      </c>
    </row>
    <row r="14775" spans="1:13" s="120" customFormat="1" x14ac:dyDescent="0.25">
      <c r="A14775" s="119"/>
      <c r="B14775" s="138" t="str">
        <f t="shared" si="1322"/>
        <v>Aerated Static Pile</v>
      </c>
      <c r="C14775" s="138" t="str">
        <f t="shared" si="1323"/>
        <v>Without Amendment</v>
      </c>
      <c r="D14775" s="138" t="str">
        <f t="shared" si="1321"/>
        <v>High_Base</v>
      </c>
      <c r="E14775" s="138" t="str">
        <f t="shared" si="1324"/>
        <v>High</v>
      </c>
      <c r="F14775" s="138" t="str">
        <f t="shared" si="1325"/>
        <v>Upgraded</v>
      </c>
      <c r="G14775" s="153"/>
      <c r="H14775" s="210">
        <v>0.4032</v>
      </c>
      <c r="I14775" s="160" t="s">
        <v>57</v>
      </c>
      <c r="J14775" s="211">
        <v>9.5153800000000004E-5</v>
      </c>
      <c r="K14775" s="160" t="s">
        <v>145</v>
      </c>
      <c r="L14775" s="154" t="str">
        <f>IF(OpenLCAbasic!K14775="CTUh", "Fill in Manually",IF(OR(K14775="Unit", K14775=""), "", INDEX(LookUps!$E$5:$E$12, MATCH(OpenLCAbasic!K14775,LookUps!$D$5:$D$12,0))))</f>
        <v>Particulate Matter Formation Potential (PMFP) - kg PM2.5 eq</v>
      </c>
      <c r="M14775" s="154" t="str">
        <f t="shared" si="1320"/>
        <v>High_High_Base_Upgraded_Particulate Matter Formation Potential (PMFP) - kg PM2.5 eq_Gravity Belt Thickener; wastewater treatment unit; at updated plant - US_Without Amendment_Aerated Static Pile</v>
      </c>
    </row>
    <row r="14776" spans="1:13" s="120" customFormat="1" x14ac:dyDescent="0.25">
      <c r="A14776" s="119"/>
      <c r="B14776" s="138" t="str">
        <f t="shared" si="1322"/>
        <v>Aerated Static Pile</v>
      </c>
      <c r="C14776" s="138" t="str">
        <f t="shared" si="1323"/>
        <v>Without Amendment</v>
      </c>
      <c r="D14776" s="138" t="str">
        <f t="shared" si="1321"/>
        <v>High_Base</v>
      </c>
      <c r="E14776" s="138" t="str">
        <f t="shared" si="1324"/>
        <v>High</v>
      </c>
      <c r="F14776" s="138" t="str">
        <f t="shared" si="1325"/>
        <v>Upgraded</v>
      </c>
      <c r="G14776" s="153"/>
      <c r="H14776" s="210">
        <v>0.2964</v>
      </c>
      <c r="I14776" s="160" t="s">
        <v>59</v>
      </c>
      <c r="J14776" s="211">
        <v>6.9942200000000003E-5</v>
      </c>
      <c r="K14776" s="160" t="s">
        <v>145</v>
      </c>
      <c r="L14776" s="154" t="str">
        <f>IF(OpenLCAbasic!K14776="CTUh", "Fill in Manually",IF(OR(K14776="Unit", K14776=""), "", INDEX(LookUps!$E$5:$E$12, MATCH(OpenLCAbasic!K14776,LookUps!$D$5:$D$12,0))))</f>
        <v>Particulate Matter Formation Potential (PMFP) - kg PM2.5 eq</v>
      </c>
      <c r="M14776" s="154" t="str">
        <f t="shared" si="1320"/>
        <v>High_High_Base_Upgraded_Particulate Matter Formation Potential (PMFP) - kg PM2.5 eq_Blend Tank; wastewater treatment unit; at updated plant - US_Without Amendment_Aerated Static Pile</v>
      </c>
    </row>
    <row r="14777" spans="1:13" s="120" customFormat="1" x14ac:dyDescent="0.25">
      <c r="A14777" s="119"/>
      <c r="B14777" s="138" t="str">
        <f t="shared" si="1322"/>
        <v>Aerated Static Pile</v>
      </c>
      <c r="C14777" s="138" t="str">
        <f t="shared" si="1323"/>
        <v>Without Amendment</v>
      </c>
      <c r="D14777" s="138" t="str">
        <f t="shared" si="1321"/>
        <v>High_Base</v>
      </c>
      <c r="E14777" s="138" t="str">
        <f t="shared" si="1324"/>
        <v>High</v>
      </c>
      <c r="F14777" s="138" t="str">
        <f t="shared" si="1325"/>
        <v>Upgraded</v>
      </c>
      <c r="G14777" s="153"/>
      <c r="H14777" s="210">
        <v>0.21179999999999999</v>
      </c>
      <c r="I14777" s="160" t="s">
        <v>48</v>
      </c>
      <c r="J14777" s="211">
        <v>4.99741E-5</v>
      </c>
      <c r="K14777" s="160" t="s">
        <v>145</v>
      </c>
      <c r="L14777" s="154" t="str">
        <f>IF(OpenLCAbasic!K14777="CTUh", "Fill in Manually",IF(OR(K14777="Unit", K14777=""), "", INDEX(LookUps!$E$5:$E$12, MATCH(OpenLCAbasic!K14777,LookUps!$D$5:$D$12,0))))</f>
        <v>Particulate Matter Formation Potential (PMFP) - kg PM2.5 eq</v>
      </c>
      <c r="M14777" s="154" t="str">
        <f t="shared" si="1320"/>
        <v>High_High_Base_Upgraded_Particulate Matter Formation Potential (PMFP) - kg PM2.5 eq_Effluent release; wastewater treatment unit; at surface water; m3 wastewater - US_Without Amendment_Aerated Static Pile</v>
      </c>
    </row>
    <row r="14778" spans="1:13" s="120" customFormat="1" x14ac:dyDescent="0.25">
      <c r="A14778" s="119"/>
      <c r="B14778" s="138" t="str">
        <f t="shared" si="1322"/>
        <v>Aerated Static Pile</v>
      </c>
      <c r="C14778" s="138" t="str">
        <f t="shared" si="1323"/>
        <v>Without Amendment</v>
      </c>
      <c r="D14778" s="138" t="str">
        <f t="shared" si="1321"/>
        <v>High_Base</v>
      </c>
      <c r="E14778" s="138" t="str">
        <f t="shared" si="1324"/>
        <v>High</v>
      </c>
      <c r="F14778" s="138" t="str">
        <f t="shared" si="1325"/>
        <v>Upgraded</v>
      </c>
      <c r="G14778" s="153"/>
      <c r="H14778" s="210">
        <v>0.1883</v>
      </c>
      <c r="I14778" s="160" t="s">
        <v>62</v>
      </c>
      <c r="J14778" s="211">
        <v>4.4422599999999997E-5</v>
      </c>
      <c r="K14778" s="160" t="s">
        <v>145</v>
      </c>
      <c r="L14778" s="154" t="str">
        <f>IF(OpenLCAbasic!K14778="CTUh", "Fill in Manually",IF(OR(K14778="Unit", K14778=""), "", INDEX(LookUps!$E$5:$E$12, MATCH(OpenLCAbasic!K14778,LookUps!$D$5:$D$12,0))))</f>
        <v>Particulate Matter Formation Potential (PMFP) - kg PM2.5 eq</v>
      </c>
      <c r="M14778" s="154" t="str">
        <f t="shared" si="1320"/>
        <v>High_High_Base_Upgraded_Particulate Matter Formation Potential (PMFP) - kg PM2.5 eq_Land application of compost; wastewater treatment unit; at updated plant - US_Without Amendment_Aerated Static Pile</v>
      </c>
    </row>
    <row r="14779" spans="1:13" s="120" customFormat="1" x14ac:dyDescent="0.25">
      <c r="A14779" s="119"/>
      <c r="B14779" s="138" t="str">
        <f t="shared" si="1322"/>
        <v>Aerated Static Pile</v>
      </c>
      <c r="C14779" s="138" t="str">
        <f t="shared" si="1323"/>
        <v>Without Amendment</v>
      </c>
      <c r="D14779" s="138" t="str">
        <f t="shared" si="1321"/>
        <v>High_Base</v>
      </c>
      <c r="E14779" s="138" t="str">
        <f t="shared" si="1324"/>
        <v>High</v>
      </c>
      <c r="F14779" s="138" t="str">
        <f t="shared" si="1325"/>
        <v>Upgraded</v>
      </c>
      <c r="G14779" s="153"/>
      <c r="H14779" s="210">
        <v>0.14649999999999999</v>
      </c>
      <c r="I14779" s="160" t="s">
        <v>168</v>
      </c>
      <c r="J14779" s="211">
        <v>3.4562199999999999E-5</v>
      </c>
      <c r="K14779" s="160" t="s">
        <v>145</v>
      </c>
      <c r="L14779" s="154" t="str">
        <f>IF(OpenLCAbasic!K14779="CTUh", "Fill in Manually",IF(OR(K14779="Unit", K14779=""), "", INDEX(LookUps!$E$5:$E$12, MATCH(OpenLCAbasic!K14779,LookUps!$D$5:$D$12,0))))</f>
        <v>Particulate Matter Formation Potential (PMFP) - kg PM2.5 eq</v>
      </c>
      <c r="M14779" s="154" t="str">
        <f t="shared" si="1320"/>
        <v>High_High_Base_Upgraded_Particulate Matter Formation Potential (PMFP) - kg PM2.5 eq_ClearCove SCP; wastewater treatment unit; at updated plant - US_Without Amendment_Aerated Static Pile</v>
      </c>
    </row>
    <row r="14780" spans="1:13" s="120" customFormat="1" x14ac:dyDescent="0.25">
      <c r="A14780" s="119"/>
      <c r="B14780" s="138" t="str">
        <f t="shared" si="1322"/>
        <v>Aerated Static Pile</v>
      </c>
      <c r="C14780" s="138" t="str">
        <f t="shared" si="1323"/>
        <v>Without Amendment</v>
      </c>
      <c r="D14780" s="138" t="str">
        <f t="shared" si="1321"/>
        <v>High_Base</v>
      </c>
      <c r="E14780" s="138" t="str">
        <f t="shared" si="1324"/>
        <v>High</v>
      </c>
      <c r="F14780" s="138" t="str">
        <f t="shared" si="1325"/>
        <v>Upgraded</v>
      </c>
      <c r="G14780" s="153"/>
      <c r="H14780" s="210">
        <v>3.7400000000000003E-2</v>
      </c>
      <c r="I14780" s="160" t="s">
        <v>148</v>
      </c>
      <c r="J14780" s="211">
        <v>8.8212999999999997E-6</v>
      </c>
      <c r="K14780" s="160" t="s">
        <v>145</v>
      </c>
      <c r="L14780" s="154" t="str">
        <f>IF(OpenLCAbasic!K14780="CTUh", "Fill in Manually",IF(OR(K14780="Unit", K14780=""), "", INDEX(LookUps!$E$5:$E$12, MATCH(OpenLCAbasic!K14780,LookUps!$D$5:$D$12,0))))</f>
        <v>Particulate Matter Formation Potential (PMFP) - kg PM2.5 eq</v>
      </c>
      <c r="M14780" s="154" t="str">
        <f t="shared" si="1320"/>
        <v>High_High_Base_Upgraded_Particulate Matter Formation Potential (PMFP) - kg PM2.5 eq_Control Building; at upgraded wastewater treatment plant - US_Without Amendment_Aerated Static Pile</v>
      </c>
    </row>
    <row r="14781" spans="1:13" s="120" customFormat="1" x14ac:dyDescent="0.25">
      <c r="A14781" s="119"/>
      <c r="B14781" s="138" t="str">
        <f t="shared" si="1322"/>
        <v>Aerated Static Pile</v>
      </c>
      <c r="C14781" s="138" t="str">
        <f t="shared" si="1323"/>
        <v>Without Amendment</v>
      </c>
      <c r="D14781" s="138" t="str">
        <f t="shared" si="1321"/>
        <v>High_Base</v>
      </c>
      <c r="E14781" s="138" t="str">
        <f t="shared" si="1324"/>
        <v>High</v>
      </c>
      <c r="F14781" s="138" t="str">
        <f t="shared" si="1325"/>
        <v>Upgraded</v>
      </c>
      <c r="G14781" s="153"/>
      <c r="H14781" s="210">
        <v>-25.516500000000001</v>
      </c>
      <c r="I14781" s="160" t="s">
        <v>149</v>
      </c>
      <c r="J14781" s="160">
        <v>-6.0200000000000002E-3</v>
      </c>
      <c r="K14781" s="160" t="s">
        <v>145</v>
      </c>
      <c r="L14781" s="154" t="str">
        <f>IF(OpenLCAbasic!K14781="CTUh", "Fill in Manually",IF(OR(K14781="Unit", K14781=""), "", INDEX(LookUps!$E$5:$E$12, MATCH(OpenLCAbasic!K14781,LookUps!$D$5:$D$12,0))))</f>
        <v>Particulate Matter Formation Potential (PMFP) - kg PM2.5 eq</v>
      </c>
      <c r="M14781" s="154" t="str">
        <f t="shared" si="1320"/>
        <v>High_High_Base_Upgraded_Particulate Matter Formation Potential (PMFP) - kg PM2.5 eq_Anaerobic Digestion; wastewater treatment unit; at updated plant - US_Without Amendment_Aerated Static Pile</v>
      </c>
    </row>
    <row r="14782" spans="1:13" s="120" customFormat="1" x14ac:dyDescent="0.25">
      <c r="A14782" s="119"/>
      <c r="B14782" s="138" t="str">
        <f t="shared" si="1322"/>
        <v/>
      </c>
      <c r="C14782" s="138" t="str">
        <f t="shared" si="1323"/>
        <v/>
      </c>
      <c r="D14782" s="138" t="str">
        <f t="shared" si="1321"/>
        <v/>
      </c>
      <c r="E14782" s="138" t="str">
        <f t="shared" si="1324"/>
        <v/>
      </c>
      <c r="F14782" s="138" t="str">
        <f t="shared" si="1325"/>
        <v/>
      </c>
      <c r="G14782" s="153" t="s">
        <v>51</v>
      </c>
      <c r="H14782" s="160"/>
      <c r="I14782" s="160" t="s">
        <v>47</v>
      </c>
      <c r="J14782" s="160" t="s">
        <v>52</v>
      </c>
      <c r="K14782" s="160" t="s">
        <v>27</v>
      </c>
      <c r="L14782" s="154" t="str">
        <f>IF(OpenLCAbasic!K14782="CTUh", "Fill in Manually",IF(OR(K14782="Unit", K14782=""), "", INDEX(LookUps!$E$5:$E$12, MATCH(OpenLCAbasic!K14782,LookUps!$D$5:$D$12,0))))</f>
        <v/>
      </c>
      <c r="M14782" s="154" t="str">
        <f t="shared" si="1320"/>
        <v>____Process__</v>
      </c>
    </row>
    <row r="14783" spans="1:13" s="120" customFormat="1" x14ac:dyDescent="0.25">
      <c r="A14783" s="119"/>
      <c r="B14783" s="138" t="str">
        <f t="shared" si="1322"/>
        <v>Aerated Static Pile</v>
      </c>
      <c r="C14783" s="138" t="str">
        <f t="shared" si="1323"/>
        <v>Without Amendment</v>
      </c>
      <c r="D14783" s="138" t="str">
        <f t="shared" si="1321"/>
        <v>High_Base</v>
      </c>
      <c r="E14783" s="138" t="str">
        <f t="shared" si="1324"/>
        <v>High</v>
      </c>
      <c r="F14783" s="138" t="str">
        <f t="shared" si="1325"/>
        <v>Upgraded</v>
      </c>
      <c r="G14783" s="153"/>
      <c r="H14783" s="210">
        <v>10.0581</v>
      </c>
      <c r="I14783" s="160" t="s">
        <v>55</v>
      </c>
      <c r="J14783" s="160">
        <v>0.16577</v>
      </c>
      <c r="K14783" s="160" t="s">
        <v>25</v>
      </c>
      <c r="L14783" s="154" t="str">
        <f>IF(OpenLCAbasic!K14783="CTUh", "Fill in Manually",IF(OR(K14783="Unit", K14783=""), "", INDEX(LookUps!$E$5:$E$12, MATCH(OpenLCAbasic!K14783,LookUps!$D$5:$D$12,0))))</f>
        <v>Smog Formation Potential (SFP) - kg O3 eq</v>
      </c>
      <c r="M14783" s="154" t="str">
        <f t="shared" si="1320"/>
        <v>High_High_Base_Upgraded_Smog Formation Potential (SFP) - kg O3 eq_Aeration Tanks; wastewater treatment unit; at updated plant - US_Without Amendment_Aerated Static Pile</v>
      </c>
    </row>
    <row r="14784" spans="1:13" s="120" customFormat="1" x14ac:dyDescent="0.25">
      <c r="A14784" s="119"/>
      <c r="B14784" s="138" t="str">
        <f t="shared" si="1322"/>
        <v>Aerated Static Pile</v>
      </c>
      <c r="C14784" s="138" t="str">
        <f t="shared" si="1323"/>
        <v>Without Amendment</v>
      </c>
      <c r="D14784" s="138" t="str">
        <f t="shared" si="1321"/>
        <v>High_Base</v>
      </c>
      <c r="E14784" s="138" t="str">
        <f t="shared" si="1324"/>
        <v>High</v>
      </c>
      <c r="F14784" s="138" t="str">
        <f t="shared" si="1325"/>
        <v>Upgraded</v>
      </c>
      <c r="G14784" s="153"/>
      <c r="H14784" s="210">
        <v>2.9167999999999998</v>
      </c>
      <c r="I14784" s="160" t="s">
        <v>54</v>
      </c>
      <c r="J14784" s="160">
        <v>4.8070000000000002E-2</v>
      </c>
      <c r="K14784" s="160" t="s">
        <v>25</v>
      </c>
      <c r="L14784" s="154" t="str">
        <f>IF(OpenLCAbasic!K14784="CTUh", "Fill in Manually",IF(OR(K14784="Unit", K14784=""), "", INDEX(LookUps!$E$5:$E$12, MATCH(OpenLCAbasic!K14784,LookUps!$D$5:$D$12,0))))</f>
        <v>Smog Formation Potential (SFP) - kg O3 eq</v>
      </c>
      <c r="M14784" s="154" t="str">
        <f t="shared" si="1320"/>
        <v>High_High_Base_Upgraded_Smog Formation Potential (SFP) - kg O3 eq_Clear Cove Primary Clarification; wastewater treatment unit; at updated plant - US_Without Amendment_Aerated Static Pile</v>
      </c>
    </row>
    <row r="14785" spans="1:13" s="120" customFormat="1" x14ac:dyDescent="0.25">
      <c r="A14785" s="119"/>
      <c r="B14785" s="138" t="str">
        <f t="shared" si="1322"/>
        <v>Aerated Static Pile</v>
      </c>
      <c r="C14785" s="138" t="str">
        <f t="shared" si="1323"/>
        <v>Without Amendment</v>
      </c>
      <c r="D14785" s="138" t="str">
        <f t="shared" si="1321"/>
        <v>High_Base</v>
      </c>
      <c r="E14785" s="138" t="str">
        <f t="shared" si="1324"/>
        <v>High</v>
      </c>
      <c r="F14785" s="138" t="str">
        <f t="shared" si="1325"/>
        <v>Upgraded</v>
      </c>
      <c r="G14785" s="153"/>
      <c r="H14785" s="210">
        <v>2.5539000000000001</v>
      </c>
      <c r="I14785" s="160" t="s">
        <v>58</v>
      </c>
      <c r="J14785" s="160">
        <v>4.2090000000000002E-2</v>
      </c>
      <c r="K14785" s="160" t="s">
        <v>25</v>
      </c>
      <c r="L14785" s="154" t="str">
        <f>IF(OpenLCAbasic!K14785="CTUh", "Fill in Manually",IF(OR(K14785="Unit", K14785=""), "", INDEX(LookUps!$E$5:$E$12, MATCH(OpenLCAbasic!K14785,LookUps!$D$5:$D$12,0))))</f>
        <v>Smog Formation Potential (SFP) - kg O3 eq</v>
      </c>
      <c r="M14785" s="154" t="str">
        <f t="shared" si="1320"/>
        <v>High_High_Base_Upgraded_Smog Formation Potential (SFP) - kg O3 eq_Pre-Anoxic &amp; Swing tank; wastewater treatment unit; at updated plant - US_Without Amendment_Aerated Static Pile</v>
      </c>
    </row>
    <row r="14786" spans="1:13" s="120" customFormat="1" x14ac:dyDescent="0.25">
      <c r="A14786" s="119"/>
      <c r="B14786" s="138" t="str">
        <f t="shared" si="1322"/>
        <v>Aerated Static Pile</v>
      </c>
      <c r="C14786" s="138" t="str">
        <f t="shared" si="1323"/>
        <v>Without Amendment</v>
      </c>
      <c r="D14786" s="138" t="str">
        <f t="shared" si="1321"/>
        <v>High_Base</v>
      </c>
      <c r="E14786" s="138" t="str">
        <f t="shared" si="1324"/>
        <v>High</v>
      </c>
      <c r="F14786" s="138" t="str">
        <f t="shared" si="1325"/>
        <v>Upgraded</v>
      </c>
      <c r="G14786" s="153"/>
      <c r="H14786" s="210">
        <v>2.0480999999999998</v>
      </c>
      <c r="I14786" s="160" t="s">
        <v>167</v>
      </c>
      <c r="J14786" s="160">
        <v>3.3759999999999998E-2</v>
      </c>
      <c r="K14786" s="160" t="s">
        <v>25</v>
      </c>
      <c r="L14786" s="154" t="str">
        <f>IF(OpenLCAbasic!K14786="CTUh", "Fill in Manually",IF(OR(K14786="Unit", K14786=""), "", INDEX(LookUps!$E$5:$E$12, MATCH(OpenLCAbasic!K14786,LookUps!$D$5:$D$12,0))))</f>
        <v>Smog Formation Potential (SFP) - kg O3 eq</v>
      </c>
      <c r="M14786" s="154" t="str">
        <f t="shared" si="1320"/>
        <v>High_High_Base_Upgraded_Smog Formation Potential (SFP) - kg O3 eq_Waste Receiving and Holding; wastewater treatment unit; at updated plant - US_Without Amendment_Aerated Static Pile</v>
      </c>
    </row>
    <row r="14787" spans="1:13" s="120" customFormat="1" x14ac:dyDescent="0.25">
      <c r="A14787" s="119"/>
      <c r="B14787" s="138" t="str">
        <f t="shared" si="1322"/>
        <v>Aerated Static Pile</v>
      </c>
      <c r="C14787" s="138" t="str">
        <f t="shared" si="1323"/>
        <v>Without Amendment</v>
      </c>
      <c r="D14787" s="138" t="str">
        <f t="shared" si="1321"/>
        <v>High_Base</v>
      </c>
      <c r="E14787" s="138" t="str">
        <f t="shared" si="1324"/>
        <v>High</v>
      </c>
      <c r="F14787" s="138" t="str">
        <f t="shared" si="1325"/>
        <v>Upgraded</v>
      </c>
      <c r="G14787" s="153"/>
      <c r="H14787" s="210">
        <v>2.0099</v>
      </c>
      <c r="I14787" s="160" t="s">
        <v>53</v>
      </c>
      <c r="J14787" s="160">
        <v>3.313E-2</v>
      </c>
      <c r="K14787" s="160" t="s">
        <v>25</v>
      </c>
      <c r="L14787" s="154" t="str">
        <f>IF(OpenLCAbasic!K14787="CTUh", "Fill in Manually",IF(OR(K14787="Unit", K14787=""), "", INDEX(LookUps!$E$5:$E$12, MATCH(OpenLCAbasic!K14787,LookUps!$D$5:$D$12,0))))</f>
        <v>Smog Formation Potential (SFP) - kg O3 eq</v>
      </c>
      <c r="M14787" s="154" t="str">
        <f t="shared" si="1320"/>
        <v>High_High_Base_Upgraded_Smog Formation Potential (SFP) - kg O3 eq_Wet Well and Sump Station; wastewater treatment unit; at updated plant - US_Without Amendment_Aerated Static Pile</v>
      </c>
    </row>
    <row r="14788" spans="1:13" s="120" customFormat="1" x14ac:dyDescent="0.25">
      <c r="A14788" s="119"/>
      <c r="B14788" s="138" t="str">
        <f t="shared" si="1322"/>
        <v>Aerated Static Pile</v>
      </c>
      <c r="C14788" s="138" t="str">
        <f t="shared" si="1323"/>
        <v>Without Amendment</v>
      </c>
      <c r="D14788" s="138" t="str">
        <f t="shared" si="1321"/>
        <v>High_Base</v>
      </c>
      <c r="E14788" s="138" t="str">
        <f t="shared" si="1324"/>
        <v>High</v>
      </c>
      <c r="F14788" s="138" t="str">
        <f t="shared" si="1325"/>
        <v>Upgraded</v>
      </c>
      <c r="G14788" s="153"/>
      <c r="H14788" s="210">
        <v>1.8407</v>
      </c>
      <c r="I14788" s="160" t="s">
        <v>435</v>
      </c>
      <c r="J14788" s="160">
        <v>3.0339999999999999E-2</v>
      </c>
      <c r="K14788" s="160" t="s">
        <v>25</v>
      </c>
      <c r="L14788" s="154" t="str">
        <f>IF(OpenLCAbasic!K14788="CTUh", "Fill in Manually",IF(OR(K14788="Unit", K14788=""), "", INDEX(LookUps!$E$5:$E$12, MATCH(OpenLCAbasic!K14788,LookUps!$D$5:$D$12,0))))</f>
        <v>Smog Formation Potential (SFP) - kg O3 eq</v>
      </c>
      <c r="M14788" s="154" t="str">
        <f t="shared" si="1320"/>
        <v>High_High_Base_Upgraded_Smog Formation Potential (SFP) - kg O3 eq_Biosolids composting; aerated static pile; wastewater treatment unit; at updated plant - US_Without Amendment_Aerated Static Pile</v>
      </c>
    </row>
    <row r="14789" spans="1:13" s="120" customFormat="1" x14ac:dyDescent="0.25">
      <c r="A14789" s="119"/>
      <c r="B14789" s="138" t="str">
        <f t="shared" si="1322"/>
        <v>Aerated Static Pile</v>
      </c>
      <c r="C14789" s="138" t="str">
        <f t="shared" si="1323"/>
        <v>Without Amendment</v>
      </c>
      <c r="D14789" s="138" t="str">
        <f t="shared" si="1321"/>
        <v>High_Base</v>
      </c>
      <c r="E14789" s="138" t="str">
        <f t="shared" si="1324"/>
        <v>High</v>
      </c>
      <c r="F14789" s="138" t="str">
        <f t="shared" si="1325"/>
        <v>Upgraded</v>
      </c>
      <c r="G14789" s="153"/>
      <c r="H14789" s="210">
        <v>1.177</v>
      </c>
      <c r="I14789" s="160" t="s">
        <v>147</v>
      </c>
      <c r="J14789" s="160">
        <v>1.9400000000000001E-2</v>
      </c>
      <c r="K14789" s="160" t="s">
        <v>25</v>
      </c>
      <c r="L14789" s="154" t="str">
        <f>IF(OpenLCAbasic!K14789="CTUh", "Fill in Manually",IF(OR(K14789="Unit", K14789=""), "", INDEX(LookUps!$E$5:$E$12, MATCH(OpenLCAbasic!K14789,LookUps!$D$5:$D$12,0))))</f>
        <v>Smog Formation Potential (SFP) - kg O3 eq</v>
      </c>
      <c r="M14789" s="154" t="str">
        <f t="shared" si="1320"/>
        <v>High_High_Base_Upgraded_Smog Formation Potential (SFP) - kg O3 eq_Influent Pump Station; wastewater treatment unit; at updated plant - US_Without Amendment_Aerated Static Pile</v>
      </c>
    </row>
    <row r="14790" spans="1:13" s="120" customFormat="1" x14ac:dyDescent="0.25">
      <c r="A14790" s="119"/>
      <c r="B14790" s="138" t="str">
        <f t="shared" si="1322"/>
        <v>Aerated Static Pile</v>
      </c>
      <c r="C14790" s="138" t="str">
        <f t="shared" si="1323"/>
        <v>Without Amendment</v>
      </c>
      <c r="D14790" s="138" t="str">
        <f t="shared" si="1321"/>
        <v>High_Base</v>
      </c>
      <c r="E14790" s="138" t="str">
        <f t="shared" si="1324"/>
        <v>High</v>
      </c>
      <c r="F14790" s="138" t="str">
        <f t="shared" si="1325"/>
        <v>Upgraded</v>
      </c>
      <c r="G14790" s="153"/>
      <c r="H14790" s="210">
        <v>0.84130000000000005</v>
      </c>
      <c r="I14790" s="160" t="s">
        <v>60</v>
      </c>
      <c r="J14790" s="160">
        <v>1.387E-2</v>
      </c>
      <c r="K14790" s="160" t="s">
        <v>25</v>
      </c>
      <c r="L14790" s="154" t="str">
        <f>IF(OpenLCAbasic!K14790="CTUh", "Fill in Manually",IF(OR(K14790="Unit", K14790=""), "", INDEX(LookUps!$E$5:$E$12, MATCH(OpenLCAbasic!K14790,LookUps!$D$5:$D$12,0))))</f>
        <v>Smog Formation Potential (SFP) - kg O3 eq</v>
      </c>
      <c r="M14790" s="154" t="str">
        <f t="shared" si="1320"/>
        <v>High_High_Base_Upgraded_Smog Formation Potential (SFP) - kg O3 eq_Belt filter press; wastewater treatment unit; at updated plant - US_Without Amendment_Aerated Static Pile</v>
      </c>
    </row>
    <row r="14791" spans="1:13" s="120" customFormat="1" x14ac:dyDescent="0.25">
      <c r="A14791" s="119"/>
      <c r="B14791" s="138" t="str">
        <f t="shared" si="1322"/>
        <v>Aerated Static Pile</v>
      </c>
      <c r="C14791" s="138" t="str">
        <f t="shared" si="1323"/>
        <v>Without Amendment</v>
      </c>
      <c r="D14791" s="138" t="str">
        <f t="shared" si="1321"/>
        <v>High_Base</v>
      </c>
      <c r="E14791" s="138" t="str">
        <f t="shared" si="1324"/>
        <v>High</v>
      </c>
      <c r="F14791" s="138" t="str">
        <f t="shared" si="1325"/>
        <v>Upgraded</v>
      </c>
      <c r="G14791" s="153"/>
      <c r="H14791" s="210">
        <v>0.72309999999999997</v>
      </c>
      <c r="I14791" s="160" t="s">
        <v>128</v>
      </c>
      <c r="J14791" s="160">
        <v>1.192E-2</v>
      </c>
      <c r="K14791" s="160" t="s">
        <v>25</v>
      </c>
      <c r="L14791" s="154" t="str">
        <f>IF(OpenLCAbasic!K14791="CTUh", "Fill in Manually",IF(OR(K14791="Unit", K14791=""), "", INDEX(LookUps!$E$5:$E$12, MATCH(OpenLCAbasic!K14791,LookUps!$D$5:$D$12,0))))</f>
        <v>Smog Formation Potential (SFP) - kg O3 eq</v>
      </c>
      <c r="M14791" s="154" t="str">
        <f t="shared" si="1320"/>
        <v>High_High_Base_Upgraded_Smog Formation Potential (SFP) - kg O3 eq_Wastewater collection; operation and infrastructure; m3 wastewater_Without Amendment_Aerated Static Pile</v>
      </c>
    </row>
    <row r="14792" spans="1:13" s="120" customFormat="1" x14ac:dyDescent="0.25">
      <c r="A14792" s="119"/>
      <c r="B14792" s="138" t="str">
        <f t="shared" si="1322"/>
        <v>Aerated Static Pile</v>
      </c>
      <c r="C14792" s="138" t="str">
        <f t="shared" si="1323"/>
        <v>Without Amendment</v>
      </c>
      <c r="D14792" s="138" t="str">
        <f t="shared" si="1321"/>
        <v>High_Base</v>
      </c>
      <c r="E14792" s="138" t="str">
        <f t="shared" si="1324"/>
        <v>High</v>
      </c>
      <c r="F14792" s="138" t="str">
        <f t="shared" si="1325"/>
        <v>Upgraded</v>
      </c>
      <c r="G14792" s="153"/>
      <c r="H14792" s="210">
        <v>0.4037</v>
      </c>
      <c r="I14792" s="160" t="s">
        <v>57</v>
      </c>
      <c r="J14792" s="160">
        <v>6.6499999999999997E-3</v>
      </c>
      <c r="K14792" s="160" t="s">
        <v>25</v>
      </c>
      <c r="L14792" s="154" t="str">
        <f>IF(OpenLCAbasic!K14792="CTUh", "Fill in Manually",IF(OR(K14792="Unit", K14792=""), "", INDEX(LookUps!$E$5:$E$12, MATCH(OpenLCAbasic!K14792,LookUps!$D$5:$D$12,0))))</f>
        <v>Smog Formation Potential (SFP) - kg O3 eq</v>
      </c>
      <c r="M14792" s="154" t="str">
        <f t="shared" si="1320"/>
        <v>High_High_Base_Upgraded_Smog Formation Potential (SFP) - kg O3 eq_Gravity Belt Thickener; wastewater treatment unit; at updated plant - US_Without Amendment_Aerated Static Pile</v>
      </c>
    </row>
    <row r="14793" spans="1:13" s="120" customFormat="1" x14ac:dyDescent="0.25">
      <c r="A14793" s="119"/>
      <c r="B14793" s="138" t="str">
        <f t="shared" si="1322"/>
        <v>Aerated Static Pile</v>
      </c>
      <c r="C14793" s="138" t="str">
        <f t="shared" si="1323"/>
        <v>Without Amendment</v>
      </c>
      <c r="D14793" s="138" t="str">
        <f t="shared" si="1321"/>
        <v>High_Base</v>
      </c>
      <c r="E14793" s="138" t="str">
        <f t="shared" si="1324"/>
        <v>High</v>
      </c>
      <c r="F14793" s="138" t="str">
        <f t="shared" si="1325"/>
        <v>Upgraded</v>
      </c>
      <c r="G14793" s="153"/>
      <c r="H14793" s="210">
        <v>0.30170000000000002</v>
      </c>
      <c r="I14793" s="160" t="s">
        <v>59</v>
      </c>
      <c r="J14793" s="160">
        <v>4.9699999999999996E-3</v>
      </c>
      <c r="K14793" s="160" t="s">
        <v>25</v>
      </c>
      <c r="L14793" s="154" t="str">
        <f>IF(OpenLCAbasic!K14793="CTUh", "Fill in Manually",IF(OR(K14793="Unit", K14793=""), "", INDEX(LookUps!$E$5:$E$12, MATCH(OpenLCAbasic!K14793,LookUps!$D$5:$D$12,0))))</f>
        <v>Smog Formation Potential (SFP) - kg O3 eq</v>
      </c>
      <c r="M14793" s="154" t="str">
        <f t="shared" si="1320"/>
        <v>High_High_Base_Upgraded_Smog Formation Potential (SFP) - kg O3 eq_Blend Tank; wastewater treatment unit; at updated plant - US_Without Amendment_Aerated Static Pile</v>
      </c>
    </row>
    <row r="14794" spans="1:13" s="120" customFormat="1" x14ac:dyDescent="0.25">
      <c r="A14794" s="119"/>
      <c r="B14794" s="138" t="str">
        <f t="shared" si="1322"/>
        <v>Aerated Static Pile</v>
      </c>
      <c r="C14794" s="138" t="str">
        <f t="shared" si="1323"/>
        <v>Without Amendment</v>
      </c>
      <c r="D14794" s="138" t="str">
        <f t="shared" si="1321"/>
        <v>High_Base</v>
      </c>
      <c r="E14794" s="138" t="str">
        <f t="shared" si="1324"/>
        <v>High</v>
      </c>
      <c r="F14794" s="138" t="str">
        <f t="shared" si="1325"/>
        <v>Upgraded</v>
      </c>
      <c r="G14794" s="153"/>
      <c r="H14794" s="210">
        <v>0.2054</v>
      </c>
      <c r="I14794" s="160" t="s">
        <v>48</v>
      </c>
      <c r="J14794" s="160">
        <v>3.3899999999999998E-3</v>
      </c>
      <c r="K14794" s="160" t="s">
        <v>25</v>
      </c>
      <c r="L14794" s="154" t="str">
        <f>IF(OpenLCAbasic!K14794="CTUh", "Fill in Manually",IF(OR(K14794="Unit", K14794=""), "", INDEX(LookUps!$E$5:$E$12, MATCH(OpenLCAbasic!K14794,LookUps!$D$5:$D$12,0))))</f>
        <v>Smog Formation Potential (SFP) - kg O3 eq</v>
      </c>
      <c r="M14794" s="154" t="str">
        <f t="shared" si="1320"/>
        <v>High_High_Base_Upgraded_Smog Formation Potential (SFP) - kg O3 eq_Effluent release; wastewater treatment unit; at surface water; m3 wastewater - US_Without Amendment_Aerated Static Pile</v>
      </c>
    </row>
    <row r="14795" spans="1:13" s="120" customFormat="1" x14ac:dyDescent="0.25">
      <c r="A14795" s="119"/>
      <c r="B14795" s="138" t="str">
        <f t="shared" si="1322"/>
        <v>Aerated Static Pile</v>
      </c>
      <c r="C14795" s="138" t="str">
        <f t="shared" si="1323"/>
        <v>Without Amendment</v>
      </c>
      <c r="D14795" s="138" t="str">
        <f t="shared" si="1321"/>
        <v>High_Base</v>
      </c>
      <c r="E14795" s="138" t="str">
        <f t="shared" si="1324"/>
        <v>High</v>
      </c>
      <c r="F14795" s="138" t="str">
        <f t="shared" si="1325"/>
        <v>Upgraded</v>
      </c>
      <c r="G14795" s="153"/>
      <c r="H14795" s="210">
        <v>0.14899999999999999</v>
      </c>
      <c r="I14795" s="160" t="s">
        <v>168</v>
      </c>
      <c r="J14795" s="160">
        <v>2.4599999999999999E-3</v>
      </c>
      <c r="K14795" s="160" t="s">
        <v>25</v>
      </c>
      <c r="L14795" s="154" t="str">
        <f>IF(OpenLCAbasic!K14795="CTUh", "Fill in Manually",IF(OR(K14795="Unit", K14795=""), "", INDEX(LookUps!$E$5:$E$12, MATCH(OpenLCAbasic!K14795,LookUps!$D$5:$D$12,0))))</f>
        <v>Smog Formation Potential (SFP) - kg O3 eq</v>
      </c>
      <c r="M14795" s="154" t="str">
        <f t="shared" si="1320"/>
        <v>High_High_Base_Upgraded_Smog Formation Potential (SFP) - kg O3 eq_ClearCove SCP; wastewater treatment unit; at updated plant - US_Without Amendment_Aerated Static Pile</v>
      </c>
    </row>
    <row r="14796" spans="1:13" s="120" customFormat="1" x14ac:dyDescent="0.25">
      <c r="A14796" s="119"/>
      <c r="B14796" s="138" t="str">
        <f t="shared" si="1322"/>
        <v>Aerated Static Pile</v>
      </c>
      <c r="C14796" s="138" t="str">
        <f t="shared" si="1323"/>
        <v>Without Amendment</v>
      </c>
      <c r="D14796" s="138" t="str">
        <f t="shared" si="1321"/>
        <v>High_Base</v>
      </c>
      <c r="E14796" s="138" t="str">
        <f t="shared" si="1324"/>
        <v>High</v>
      </c>
      <c r="F14796" s="138" t="str">
        <f t="shared" si="1325"/>
        <v>Upgraded</v>
      </c>
      <c r="G14796" s="153"/>
      <c r="H14796" s="210">
        <v>3.27E-2</v>
      </c>
      <c r="I14796" s="160" t="s">
        <v>148</v>
      </c>
      <c r="J14796" s="160">
        <v>5.4000000000000001E-4</v>
      </c>
      <c r="K14796" s="160" t="s">
        <v>25</v>
      </c>
      <c r="L14796" s="154" t="str">
        <f>IF(OpenLCAbasic!K14796="CTUh", "Fill in Manually",IF(OR(K14796="Unit", K14796=""), "", INDEX(LookUps!$E$5:$E$12, MATCH(OpenLCAbasic!K14796,LookUps!$D$5:$D$12,0))))</f>
        <v>Smog Formation Potential (SFP) - kg O3 eq</v>
      </c>
      <c r="M14796" s="154" t="str">
        <f t="shared" si="1320"/>
        <v>High_High_Base_Upgraded_Smog Formation Potential (SFP) - kg O3 eq_Control Building; at upgraded wastewater treatment plant - US_Without Amendment_Aerated Static Pile</v>
      </c>
    </row>
    <row r="14797" spans="1:13" s="120" customFormat="1" x14ac:dyDescent="0.25">
      <c r="A14797" s="119"/>
      <c r="B14797" s="138" t="str">
        <f t="shared" si="1322"/>
        <v>Aerated Static Pile</v>
      </c>
      <c r="C14797" s="138" t="str">
        <f t="shared" si="1323"/>
        <v>Without Amendment</v>
      </c>
      <c r="D14797" s="138" t="str">
        <f t="shared" si="1321"/>
        <v>High_Base</v>
      </c>
      <c r="E14797" s="138" t="str">
        <f t="shared" si="1324"/>
        <v>High</v>
      </c>
      <c r="F14797" s="138" t="str">
        <f t="shared" si="1325"/>
        <v>Upgraded</v>
      </c>
      <c r="G14797" s="153"/>
      <c r="H14797" s="210">
        <v>-0.192</v>
      </c>
      <c r="I14797" s="160" t="s">
        <v>62</v>
      </c>
      <c r="J14797" s="160">
        <v>-3.16E-3</v>
      </c>
      <c r="K14797" s="160" t="s">
        <v>25</v>
      </c>
      <c r="L14797" s="154" t="str">
        <f>IF(OpenLCAbasic!K14797="CTUh", "Fill in Manually",IF(OR(K14797="Unit", K14797=""), "", INDEX(LookUps!$E$5:$E$12, MATCH(OpenLCAbasic!K14797,LookUps!$D$5:$D$12,0))))</f>
        <v>Smog Formation Potential (SFP) - kg O3 eq</v>
      </c>
      <c r="M14797" s="154" t="str">
        <f t="shared" si="1320"/>
        <v>High_High_Base_Upgraded_Smog Formation Potential (SFP) - kg O3 eq_Land application of compost; wastewater treatment unit; at updated plant - US_Without Amendment_Aerated Static Pile</v>
      </c>
    </row>
    <row r="14798" spans="1:13" s="120" customFormat="1" x14ac:dyDescent="0.25">
      <c r="A14798" s="119"/>
      <c r="B14798" s="138" t="str">
        <f t="shared" si="1322"/>
        <v>Aerated Static Pile</v>
      </c>
      <c r="C14798" s="138" t="str">
        <f t="shared" si="1323"/>
        <v>Without Amendment</v>
      </c>
      <c r="D14798" s="138" t="str">
        <f t="shared" si="1321"/>
        <v>High_Base</v>
      </c>
      <c r="E14798" s="138" t="str">
        <f t="shared" si="1324"/>
        <v>High</v>
      </c>
      <c r="F14798" s="138" t="str">
        <f t="shared" si="1325"/>
        <v>Upgraded</v>
      </c>
      <c r="G14798" s="153"/>
      <c r="H14798" s="210">
        <v>-26.069400000000002</v>
      </c>
      <c r="I14798" s="160" t="s">
        <v>149</v>
      </c>
      <c r="J14798" s="160">
        <v>-0.42965999999999999</v>
      </c>
      <c r="K14798" s="160" t="s">
        <v>25</v>
      </c>
      <c r="L14798" s="154" t="str">
        <f>IF(OpenLCAbasic!K14798="CTUh", "Fill in Manually",IF(OR(K14798="Unit", K14798=""), "", INDEX(LookUps!$E$5:$E$12, MATCH(OpenLCAbasic!K14798,LookUps!$D$5:$D$12,0))))</f>
        <v>Smog Formation Potential (SFP) - kg O3 eq</v>
      </c>
      <c r="M14798" s="154" t="str">
        <f t="shared" si="1320"/>
        <v>High_High_Base_Upgraded_Smog Formation Potential (SFP) - kg O3 eq_Anaerobic Digestion; wastewater treatment unit; at updated plant - US_Without Amendment_Aerated Static Pile</v>
      </c>
    </row>
    <row r="14799" spans="1:13" s="120" customFormat="1" x14ac:dyDescent="0.25">
      <c r="A14799" s="119"/>
      <c r="B14799" s="138" t="str">
        <f t="shared" si="1322"/>
        <v/>
      </c>
      <c r="C14799" s="138" t="str">
        <f t="shared" si="1323"/>
        <v/>
      </c>
      <c r="D14799" s="138" t="str">
        <f t="shared" si="1321"/>
        <v/>
      </c>
      <c r="E14799" s="138" t="str">
        <f t="shared" si="1324"/>
        <v/>
      </c>
      <c r="F14799" s="138" t="str">
        <f t="shared" si="1325"/>
        <v/>
      </c>
      <c r="G14799" s="153" t="s">
        <v>51</v>
      </c>
      <c r="H14799" s="160"/>
      <c r="I14799" s="160" t="s">
        <v>47</v>
      </c>
      <c r="J14799" s="160" t="s">
        <v>52</v>
      </c>
      <c r="K14799" s="160" t="s">
        <v>27</v>
      </c>
      <c r="L14799" s="154" t="str">
        <f>IF(OpenLCAbasic!K14799="CTUh", "Fill in Manually",IF(OR(K14799="Unit", K14799=""), "", INDEX(LookUps!$E$5:$E$12, MATCH(OpenLCAbasic!K14799,LookUps!$D$5:$D$12,0))))</f>
        <v/>
      </c>
      <c r="M14799" s="154" t="str">
        <f t="shared" si="1320"/>
        <v>____Process__</v>
      </c>
    </row>
    <row r="14800" spans="1:13" s="120" customFormat="1" x14ac:dyDescent="0.25">
      <c r="A14800" s="119"/>
      <c r="B14800" s="138" t="str">
        <f t="shared" si="1322"/>
        <v>Aerated Static Pile</v>
      </c>
      <c r="C14800" s="138" t="str">
        <f t="shared" si="1323"/>
        <v>Without Amendment</v>
      </c>
      <c r="D14800" s="138" t="str">
        <f t="shared" si="1321"/>
        <v>High_Base</v>
      </c>
      <c r="E14800" s="138" t="str">
        <f t="shared" si="1324"/>
        <v>High</v>
      </c>
      <c r="F14800" s="138" t="str">
        <f t="shared" si="1325"/>
        <v>Upgraded</v>
      </c>
      <c r="G14800" s="153"/>
      <c r="H14800" s="210">
        <v>1.6435999999999999</v>
      </c>
      <c r="I14800" s="160" t="s">
        <v>167</v>
      </c>
      <c r="J14800" s="160">
        <v>3.4000000000000002E-4</v>
      </c>
      <c r="K14800" s="160" t="s">
        <v>26</v>
      </c>
      <c r="L14800" s="154" t="str">
        <f>IF(OpenLCAbasic!K14800="CTUh", "Fill in Manually",IF(OR(K14800="Unit", K14800=""), "", INDEX(LookUps!$E$5:$E$12, MATCH(OpenLCAbasic!K14800,LookUps!$D$5:$D$12,0))))</f>
        <v>Water Use (WU) - m3 H2O</v>
      </c>
      <c r="M14800" s="154" t="str">
        <f t="shared" ref="M14800:M14863" si="1326">CONCATENATE(E14800,"_",D14800,"_",F14800,"_",L14800, "_",I14800,"_", C14800,"_", B14800)</f>
        <v>High_High_Base_Upgraded_Water Use (WU) - m3 H2O_Waste Receiving and Holding; wastewater treatment unit; at updated plant - US_Without Amendment_Aerated Static Pile</v>
      </c>
    </row>
    <row r="14801" spans="1:13" s="120" customFormat="1" x14ac:dyDescent="0.25">
      <c r="A14801" s="119"/>
      <c r="B14801" s="138" t="str">
        <f t="shared" si="1322"/>
        <v>Aerated Static Pile</v>
      </c>
      <c r="C14801" s="138" t="str">
        <f t="shared" si="1323"/>
        <v>Without Amendment</v>
      </c>
      <c r="D14801" s="138" t="str">
        <f t="shared" si="1321"/>
        <v>High_Base</v>
      </c>
      <c r="E14801" s="138" t="str">
        <f t="shared" si="1324"/>
        <v>High</v>
      </c>
      <c r="F14801" s="138" t="str">
        <f t="shared" si="1325"/>
        <v>Upgraded</v>
      </c>
      <c r="G14801" s="153"/>
      <c r="H14801" s="210">
        <v>0.89939999999999998</v>
      </c>
      <c r="I14801" s="160" t="s">
        <v>147</v>
      </c>
      <c r="J14801" s="160">
        <v>1.8000000000000001E-4</v>
      </c>
      <c r="K14801" s="160" t="s">
        <v>26</v>
      </c>
      <c r="L14801" s="154" t="str">
        <f>IF(OpenLCAbasic!K14801="CTUh", "Fill in Manually",IF(OR(K14801="Unit", K14801=""), "", INDEX(LookUps!$E$5:$E$12, MATCH(OpenLCAbasic!K14801,LookUps!$D$5:$D$12,0))))</f>
        <v>Water Use (WU) - m3 H2O</v>
      </c>
      <c r="M14801" s="154" t="str">
        <f t="shared" si="1326"/>
        <v>High_High_Base_Upgraded_Water Use (WU) - m3 H2O_Influent Pump Station; wastewater treatment unit; at updated plant - US_Without Amendment_Aerated Static Pile</v>
      </c>
    </row>
    <row r="14802" spans="1:13" s="120" customFormat="1" x14ac:dyDescent="0.25">
      <c r="A14802" s="119"/>
      <c r="B14802" s="138" t="str">
        <f t="shared" si="1322"/>
        <v>Aerated Static Pile</v>
      </c>
      <c r="C14802" s="138" t="str">
        <f t="shared" si="1323"/>
        <v>Without Amendment</v>
      </c>
      <c r="D14802" s="138" t="str">
        <f t="shared" si="1321"/>
        <v>High_Base</v>
      </c>
      <c r="E14802" s="138" t="str">
        <f t="shared" si="1324"/>
        <v>High</v>
      </c>
      <c r="F14802" s="138" t="str">
        <f t="shared" si="1325"/>
        <v>Upgraded</v>
      </c>
      <c r="G14802" s="153"/>
      <c r="H14802" s="210">
        <v>0.87760000000000005</v>
      </c>
      <c r="I14802" s="160" t="s">
        <v>54</v>
      </c>
      <c r="J14802" s="160">
        <v>1.8000000000000001E-4</v>
      </c>
      <c r="K14802" s="160" t="s">
        <v>26</v>
      </c>
      <c r="L14802" s="154" t="str">
        <f>IF(OpenLCAbasic!K14802="CTUh", "Fill in Manually",IF(OR(K14802="Unit", K14802=""), "", INDEX(LookUps!$E$5:$E$12, MATCH(OpenLCAbasic!K14802,LookUps!$D$5:$D$12,0))))</f>
        <v>Water Use (WU) - m3 H2O</v>
      </c>
      <c r="M14802" s="154" t="str">
        <f t="shared" si="1326"/>
        <v>High_High_Base_Upgraded_Water Use (WU) - m3 H2O_Clear Cove Primary Clarification; wastewater treatment unit; at updated plant - US_Without Amendment_Aerated Static Pile</v>
      </c>
    </row>
    <row r="14803" spans="1:13" s="120" customFormat="1" x14ac:dyDescent="0.25">
      <c r="A14803" s="119"/>
      <c r="B14803" s="138" t="str">
        <f t="shared" si="1322"/>
        <v>Aerated Static Pile</v>
      </c>
      <c r="C14803" s="138" t="str">
        <f t="shared" si="1323"/>
        <v>Without Amendment</v>
      </c>
      <c r="D14803" s="138" t="str">
        <f t="shared" si="1321"/>
        <v>High_Base</v>
      </c>
      <c r="E14803" s="138" t="str">
        <f t="shared" si="1324"/>
        <v>High</v>
      </c>
      <c r="F14803" s="138" t="str">
        <f t="shared" si="1325"/>
        <v>Upgraded</v>
      </c>
      <c r="G14803" s="153"/>
      <c r="H14803" s="210">
        <v>0.79610000000000003</v>
      </c>
      <c r="I14803" s="160" t="s">
        <v>55</v>
      </c>
      <c r="J14803" s="160">
        <v>1.6000000000000001E-4</v>
      </c>
      <c r="K14803" s="160" t="s">
        <v>26</v>
      </c>
      <c r="L14803" s="154" t="str">
        <f>IF(OpenLCAbasic!K14803="CTUh", "Fill in Manually",IF(OR(K14803="Unit", K14803=""), "", INDEX(LookUps!$E$5:$E$12, MATCH(OpenLCAbasic!K14803,LookUps!$D$5:$D$12,0))))</f>
        <v>Water Use (WU) - m3 H2O</v>
      </c>
      <c r="M14803" s="154" t="str">
        <f t="shared" si="1326"/>
        <v>High_High_Base_Upgraded_Water Use (WU) - m3 H2O_Aeration Tanks; wastewater treatment unit; at updated plant - US_Without Amendment_Aerated Static Pile</v>
      </c>
    </row>
    <row r="14804" spans="1:13" s="120" customFormat="1" x14ac:dyDescent="0.25">
      <c r="A14804" s="119"/>
      <c r="B14804" s="138" t="str">
        <f t="shared" si="1322"/>
        <v>Aerated Static Pile</v>
      </c>
      <c r="C14804" s="138" t="str">
        <f t="shared" si="1323"/>
        <v>Without Amendment</v>
      </c>
      <c r="D14804" s="138" t="str">
        <f t="shared" si="1321"/>
        <v>High_Base</v>
      </c>
      <c r="E14804" s="138" t="str">
        <f t="shared" si="1324"/>
        <v>High</v>
      </c>
      <c r="F14804" s="138" t="str">
        <f t="shared" si="1325"/>
        <v>Upgraded</v>
      </c>
      <c r="G14804" s="153"/>
      <c r="H14804" s="210">
        <v>0.72519999999999996</v>
      </c>
      <c r="I14804" s="160" t="s">
        <v>148</v>
      </c>
      <c r="J14804" s="160">
        <v>1.4999999999999999E-4</v>
      </c>
      <c r="K14804" s="160" t="s">
        <v>26</v>
      </c>
      <c r="L14804" s="154" t="str">
        <f>IF(OpenLCAbasic!K14804="CTUh", "Fill in Manually",IF(OR(K14804="Unit", K14804=""), "", INDEX(LookUps!$E$5:$E$12, MATCH(OpenLCAbasic!K14804,LookUps!$D$5:$D$12,0))))</f>
        <v>Water Use (WU) - m3 H2O</v>
      </c>
      <c r="M14804" s="154" t="str">
        <f t="shared" si="1326"/>
        <v>High_High_Base_Upgraded_Water Use (WU) - m3 H2O_Control Building; at upgraded wastewater treatment plant - US_Without Amendment_Aerated Static Pile</v>
      </c>
    </row>
    <row r="14805" spans="1:13" s="120" customFormat="1" x14ac:dyDescent="0.25">
      <c r="A14805" s="119"/>
      <c r="B14805" s="138" t="str">
        <f t="shared" si="1322"/>
        <v>Aerated Static Pile</v>
      </c>
      <c r="C14805" s="138" t="str">
        <f t="shared" si="1323"/>
        <v>Without Amendment</v>
      </c>
      <c r="D14805" s="138" t="str">
        <f t="shared" si="1321"/>
        <v>High_Base</v>
      </c>
      <c r="E14805" s="138" t="str">
        <f t="shared" si="1324"/>
        <v>High</v>
      </c>
      <c r="F14805" s="138" t="str">
        <f t="shared" si="1325"/>
        <v>Upgraded</v>
      </c>
      <c r="G14805" s="153"/>
      <c r="H14805" s="210">
        <v>0.33679999999999999</v>
      </c>
      <c r="I14805" s="160" t="s">
        <v>48</v>
      </c>
      <c r="J14805" s="211">
        <v>6.8836400000000004E-5</v>
      </c>
      <c r="K14805" s="160" t="s">
        <v>26</v>
      </c>
      <c r="L14805" s="154" t="str">
        <f>IF(OpenLCAbasic!K14805="CTUh", "Fill in Manually",IF(OR(K14805="Unit", K14805=""), "", INDEX(LookUps!$E$5:$E$12, MATCH(OpenLCAbasic!K14805,LookUps!$D$5:$D$12,0))))</f>
        <v>Water Use (WU) - m3 H2O</v>
      </c>
      <c r="M14805" s="154" t="str">
        <f t="shared" si="1326"/>
        <v>High_High_Base_Upgraded_Water Use (WU) - m3 H2O_Effluent release; wastewater treatment unit; at surface water; m3 wastewater - US_Without Amendment_Aerated Static Pile</v>
      </c>
    </row>
    <row r="14806" spans="1:13" s="120" customFormat="1" x14ac:dyDescent="0.25">
      <c r="A14806" s="119"/>
      <c r="B14806" s="138" t="str">
        <f t="shared" si="1322"/>
        <v>Aerated Static Pile</v>
      </c>
      <c r="C14806" s="138" t="str">
        <f t="shared" si="1323"/>
        <v>Without Amendment</v>
      </c>
      <c r="D14806" s="138" t="str">
        <f t="shared" si="1321"/>
        <v>High_Base</v>
      </c>
      <c r="E14806" s="138" t="str">
        <f t="shared" si="1324"/>
        <v>High</v>
      </c>
      <c r="F14806" s="138" t="str">
        <f t="shared" si="1325"/>
        <v>Upgraded</v>
      </c>
      <c r="G14806" s="153"/>
      <c r="H14806" s="210">
        <v>0.21179999999999999</v>
      </c>
      <c r="I14806" s="160" t="s">
        <v>58</v>
      </c>
      <c r="J14806" s="211">
        <v>4.3289399999999999E-5</v>
      </c>
      <c r="K14806" s="160" t="s">
        <v>26</v>
      </c>
      <c r="L14806" s="154" t="str">
        <f>IF(OpenLCAbasic!K14806="CTUh", "Fill in Manually",IF(OR(K14806="Unit", K14806=""), "", INDEX(LookUps!$E$5:$E$12, MATCH(OpenLCAbasic!K14806,LookUps!$D$5:$D$12,0))))</f>
        <v>Water Use (WU) - m3 H2O</v>
      </c>
      <c r="M14806" s="154" t="str">
        <f t="shared" si="1326"/>
        <v>High_High_Base_Upgraded_Water Use (WU) - m3 H2O_Pre-Anoxic &amp; Swing tank; wastewater treatment unit; at updated plant - US_Without Amendment_Aerated Static Pile</v>
      </c>
    </row>
    <row r="14807" spans="1:13" s="120" customFormat="1" x14ac:dyDescent="0.25">
      <c r="A14807" s="119"/>
      <c r="B14807" s="138" t="str">
        <f t="shared" si="1322"/>
        <v>Aerated Static Pile</v>
      </c>
      <c r="C14807" s="138" t="str">
        <f t="shared" si="1323"/>
        <v>Without Amendment</v>
      </c>
      <c r="D14807" s="138" t="str">
        <f t="shared" si="1321"/>
        <v>High_Base</v>
      </c>
      <c r="E14807" s="138" t="str">
        <f t="shared" si="1324"/>
        <v>High</v>
      </c>
      <c r="F14807" s="138" t="str">
        <f t="shared" si="1325"/>
        <v>Upgraded</v>
      </c>
      <c r="G14807" s="153"/>
      <c r="H14807" s="210">
        <v>0.2026</v>
      </c>
      <c r="I14807" s="160" t="s">
        <v>60</v>
      </c>
      <c r="J14807" s="211">
        <v>4.1413099999999998E-5</v>
      </c>
      <c r="K14807" s="160" t="s">
        <v>26</v>
      </c>
      <c r="L14807" s="154" t="str">
        <f>IF(OpenLCAbasic!K14807="CTUh", "Fill in Manually",IF(OR(K14807="Unit", K14807=""), "", INDEX(LookUps!$E$5:$E$12, MATCH(OpenLCAbasic!K14807,LookUps!$D$5:$D$12,0))))</f>
        <v>Water Use (WU) - m3 H2O</v>
      </c>
      <c r="M14807" s="154" t="str">
        <f t="shared" si="1326"/>
        <v>High_High_Base_Upgraded_Water Use (WU) - m3 H2O_Belt filter press; wastewater treatment unit; at updated plant - US_Without Amendment_Aerated Static Pile</v>
      </c>
    </row>
    <row r="14808" spans="1:13" s="120" customFormat="1" x14ac:dyDescent="0.25">
      <c r="A14808" s="119"/>
      <c r="B14808" s="138" t="str">
        <f t="shared" si="1322"/>
        <v>Aerated Static Pile</v>
      </c>
      <c r="C14808" s="138" t="str">
        <f t="shared" si="1323"/>
        <v>Without Amendment</v>
      </c>
      <c r="D14808" s="138" t="str">
        <f t="shared" si="1321"/>
        <v>High_Base</v>
      </c>
      <c r="E14808" s="138" t="str">
        <f t="shared" si="1324"/>
        <v>High</v>
      </c>
      <c r="F14808" s="138" t="str">
        <f t="shared" si="1325"/>
        <v>Upgraded</v>
      </c>
      <c r="G14808" s="153"/>
      <c r="H14808" s="210">
        <v>0.14879999999999999</v>
      </c>
      <c r="I14808" s="160" t="s">
        <v>57</v>
      </c>
      <c r="J14808" s="211">
        <v>3.0408100000000001E-5</v>
      </c>
      <c r="K14808" s="160" t="s">
        <v>26</v>
      </c>
      <c r="L14808" s="154" t="str">
        <f>IF(OpenLCAbasic!K14808="CTUh", "Fill in Manually",IF(OR(K14808="Unit", K14808=""), "", INDEX(LookUps!$E$5:$E$12, MATCH(OpenLCAbasic!K14808,LookUps!$D$5:$D$12,0))))</f>
        <v>Water Use (WU) - m3 H2O</v>
      </c>
      <c r="M14808" s="154" t="str">
        <f t="shared" si="1326"/>
        <v>High_High_Base_Upgraded_Water Use (WU) - m3 H2O_Gravity Belt Thickener; wastewater treatment unit; at updated plant - US_Without Amendment_Aerated Static Pile</v>
      </c>
    </row>
    <row r="14809" spans="1:13" s="120" customFormat="1" x14ac:dyDescent="0.25">
      <c r="A14809" s="119"/>
      <c r="B14809" s="138" t="str">
        <f t="shared" si="1322"/>
        <v>Aerated Static Pile</v>
      </c>
      <c r="C14809" s="138" t="str">
        <f t="shared" si="1323"/>
        <v>Without Amendment</v>
      </c>
      <c r="D14809" s="138" t="str">
        <f t="shared" ref="D14809:D14815" si="1327">IF(ISNUMBER($J14809),"High_Base","")</f>
        <v>High_Base</v>
      </c>
      <c r="E14809" s="138" t="str">
        <f t="shared" si="1324"/>
        <v>High</v>
      </c>
      <c r="F14809" s="138" t="str">
        <f t="shared" si="1325"/>
        <v>Upgraded</v>
      </c>
      <c r="G14809" s="153"/>
      <c r="H14809" s="210">
        <v>8.5599999999999996E-2</v>
      </c>
      <c r="I14809" s="160" t="s">
        <v>53</v>
      </c>
      <c r="J14809" s="211">
        <v>1.75069E-5</v>
      </c>
      <c r="K14809" s="160" t="s">
        <v>26</v>
      </c>
      <c r="L14809" s="154" t="str">
        <f>IF(OpenLCAbasic!K14809="CTUh", "Fill in Manually",IF(OR(K14809="Unit", K14809=""), "", INDEX(LookUps!$E$5:$E$12, MATCH(OpenLCAbasic!K14809,LookUps!$D$5:$D$12,0))))</f>
        <v>Water Use (WU) - m3 H2O</v>
      </c>
      <c r="M14809" s="154" t="str">
        <f t="shared" si="1326"/>
        <v>High_High_Base_Upgraded_Water Use (WU) - m3 H2O_Wet Well and Sump Station; wastewater treatment unit; at updated plant - US_Without Amendment_Aerated Static Pile</v>
      </c>
    </row>
    <row r="14810" spans="1:13" s="120" customFormat="1" x14ac:dyDescent="0.25">
      <c r="A14810" s="119"/>
      <c r="B14810" s="138" t="str">
        <f t="shared" si="1322"/>
        <v>Aerated Static Pile</v>
      </c>
      <c r="C14810" s="138" t="str">
        <f t="shared" si="1323"/>
        <v>Without Amendment</v>
      </c>
      <c r="D14810" s="138" t="str">
        <f t="shared" si="1327"/>
        <v>High_Base</v>
      </c>
      <c r="E14810" s="138" t="str">
        <f t="shared" si="1324"/>
        <v>High</v>
      </c>
      <c r="F14810" s="138" t="str">
        <f t="shared" si="1325"/>
        <v>Upgraded</v>
      </c>
      <c r="G14810" s="153"/>
      <c r="H14810" s="210">
        <v>5.5500000000000001E-2</v>
      </c>
      <c r="I14810" s="160" t="s">
        <v>435</v>
      </c>
      <c r="J14810" s="211">
        <v>1.13379E-5</v>
      </c>
      <c r="K14810" s="160" t="s">
        <v>26</v>
      </c>
      <c r="L14810" s="154" t="str">
        <f>IF(OpenLCAbasic!K14810="CTUh", "Fill in Manually",IF(OR(K14810="Unit", K14810=""), "", INDEX(LookUps!$E$5:$E$12, MATCH(OpenLCAbasic!K14810,LookUps!$D$5:$D$12,0))))</f>
        <v>Water Use (WU) - m3 H2O</v>
      </c>
      <c r="M14810" s="154" t="str">
        <f t="shared" si="1326"/>
        <v>High_High_Base_Upgraded_Water Use (WU) - m3 H2O_Biosolids composting; aerated static pile; wastewater treatment unit; at updated plant - US_Without Amendment_Aerated Static Pile</v>
      </c>
    </row>
    <row r="14811" spans="1:13" s="120" customFormat="1" x14ac:dyDescent="0.25">
      <c r="A14811" s="119"/>
      <c r="B14811" s="138" t="str">
        <f t="shared" si="1322"/>
        <v>Aerated Static Pile</v>
      </c>
      <c r="C14811" s="138" t="str">
        <f t="shared" si="1323"/>
        <v>Without Amendment</v>
      </c>
      <c r="D14811" s="138" t="str">
        <f t="shared" si="1327"/>
        <v>High_Base</v>
      </c>
      <c r="E14811" s="138" t="str">
        <f t="shared" si="1324"/>
        <v>High</v>
      </c>
      <c r="F14811" s="138" t="str">
        <f t="shared" si="1325"/>
        <v>Upgraded</v>
      </c>
      <c r="G14811" s="153"/>
      <c r="H14811" s="210">
        <v>3.4299999999999997E-2</v>
      </c>
      <c r="I14811" s="160" t="s">
        <v>59</v>
      </c>
      <c r="J14811" s="211">
        <v>7.0179500000000003E-6</v>
      </c>
      <c r="K14811" s="160" t="s">
        <v>26</v>
      </c>
      <c r="L14811" s="154" t="str">
        <f>IF(OpenLCAbasic!K14811="CTUh", "Fill in Manually",IF(OR(K14811="Unit", K14811=""), "", INDEX(LookUps!$E$5:$E$12, MATCH(OpenLCAbasic!K14811,LookUps!$D$5:$D$12,0))))</f>
        <v>Water Use (WU) - m3 H2O</v>
      </c>
      <c r="M14811" s="154" t="str">
        <f t="shared" si="1326"/>
        <v>High_High_Base_Upgraded_Water Use (WU) - m3 H2O_Blend Tank; wastewater treatment unit; at updated plant - US_Without Amendment_Aerated Static Pile</v>
      </c>
    </row>
    <row r="14812" spans="1:13" s="120" customFormat="1" x14ac:dyDescent="0.25">
      <c r="A14812" s="119"/>
      <c r="B14812" s="138" t="str">
        <f t="shared" si="1322"/>
        <v>Aerated Static Pile</v>
      </c>
      <c r="C14812" s="138" t="str">
        <f t="shared" si="1323"/>
        <v>Without Amendment</v>
      </c>
      <c r="D14812" s="138" t="str">
        <f t="shared" si="1327"/>
        <v>High_Base</v>
      </c>
      <c r="E14812" s="138" t="str">
        <f t="shared" si="1324"/>
        <v>High</v>
      </c>
      <c r="F14812" s="138" t="str">
        <f t="shared" si="1325"/>
        <v>Upgraded</v>
      </c>
      <c r="G14812" s="153"/>
      <c r="H14812" s="210">
        <v>2.4799999999999999E-2</v>
      </c>
      <c r="I14812" s="160" t="s">
        <v>128</v>
      </c>
      <c r="J14812" s="211">
        <v>5.0608900000000003E-6</v>
      </c>
      <c r="K14812" s="160" t="s">
        <v>26</v>
      </c>
      <c r="L14812" s="154" t="str">
        <f>IF(OpenLCAbasic!K14812="CTUh", "Fill in Manually",IF(OR(K14812="Unit", K14812=""), "", INDEX(LookUps!$E$5:$E$12, MATCH(OpenLCAbasic!K14812,LookUps!$D$5:$D$12,0))))</f>
        <v>Water Use (WU) - m3 H2O</v>
      </c>
      <c r="M14812" s="154" t="str">
        <f t="shared" si="1326"/>
        <v>High_High_Base_Upgraded_Water Use (WU) - m3 H2O_Wastewater collection; operation and infrastructure; m3 wastewater_Without Amendment_Aerated Static Pile</v>
      </c>
    </row>
    <row r="14813" spans="1:13" s="120" customFormat="1" x14ac:dyDescent="0.25">
      <c r="A14813" s="119"/>
      <c r="B14813" s="138" t="str">
        <f t="shared" si="1322"/>
        <v>Aerated Static Pile</v>
      </c>
      <c r="C14813" s="138" t="str">
        <f t="shared" si="1323"/>
        <v>Without Amendment</v>
      </c>
      <c r="D14813" s="138" t="str">
        <f t="shared" si="1327"/>
        <v>High_Base</v>
      </c>
      <c r="E14813" s="138" t="str">
        <f t="shared" si="1324"/>
        <v>High</v>
      </c>
      <c r="F14813" s="138" t="str">
        <f t="shared" si="1325"/>
        <v>Upgraded</v>
      </c>
      <c r="G14813" s="153"/>
      <c r="H14813" s="210">
        <v>3.8E-3</v>
      </c>
      <c r="I14813" s="160" t="s">
        <v>168</v>
      </c>
      <c r="J14813" s="211">
        <v>7.6697000000000004E-7</v>
      </c>
      <c r="K14813" s="160" t="s">
        <v>26</v>
      </c>
      <c r="L14813" s="154" t="str">
        <f>IF(OpenLCAbasic!K14813="CTUh", "Fill in Manually",IF(OR(K14813="Unit", K14813=""), "", INDEX(LookUps!$E$5:$E$12, MATCH(OpenLCAbasic!K14813,LookUps!$D$5:$D$12,0))))</f>
        <v>Water Use (WU) - m3 H2O</v>
      </c>
      <c r="M14813" s="154" t="str">
        <f t="shared" si="1326"/>
        <v>High_High_Base_Upgraded_Water Use (WU) - m3 H2O_ClearCove SCP; wastewater treatment unit; at updated plant - US_Without Amendment_Aerated Static Pile</v>
      </c>
    </row>
    <row r="14814" spans="1:13" s="120" customFormat="1" x14ac:dyDescent="0.25">
      <c r="A14814" s="119"/>
      <c r="B14814" s="138" t="str">
        <f t="shared" si="1322"/>
        <v>Aerated Static Pile</v>
      </c>
      <c r="C14814" s="138" t="str">
        <f t="shared" si="1323"/>
        <v>Without Amendment</v>
      </c>
      <c r="D14814" s="138" t="str">
        <f t="shared" si="1327"/>
        <v>High_Base</v>
      </c>
      <c r="E14814" s="138" t="str">
        <f t="shared" si="1324"/>
        <v>High</v>
      </c>
      <c r="F14814" s="138" t="str">
        <f t="shared" si="1325"/>
        <v>Upgraded</v>
      </c>
      <c r="G14814" s="153"/>
      <c r="H14814" s="210">
        <v>-0.56440000000000001</v>
      </c>
      <c r="I14814" s="160" t="s">
        <v>149</v>
      </c>
      <c r="J14814" s="160">
        <v>-1.2E-4</v>
      </c>
      <c r="K14814" s="160" t="s">
        <v>26</v>
      </c>
      <c r="L14814" s="154" t="str">
        <f>IF(OpenLCAbasic!K14814="CTUh", "Fill in Manually",IF(OR(K14814="Unit", K14814=""), "", INDEX(LookUps!$E$5:$E$12, MATCH(OpenLCAbasic!K14814,LookUps!$D$5:$D$12,0))))</f>
        <v>Water Use (WU) - m3 H2O</v>
      </c>
      <c r="M14814" s="154" t="str">
        <f t="shared" si="1326"/>
        <v>High_High_Base_Upgraded_Water Use (WU) - m3 H2O_Anaerobic Digestion; wastewater treatment unit; at updated plant - US_Without Amendment_Aerated Static Pile</v>
      </c>
    </row>
    <row r="14815" spans="1:13" s="120" customFormat="1" x14ac:dyDescent="0.25">
      <c r="A14815" s="119"/>
      <c r="B14815" s="138" t="str">
        <f t="shared" si="1322"/>
        <v>Aerated Static Pile</v>
      </c>
      <c r="C14815" s="138" t="str">
        <f t="shared" si="1323"/>
        <v>Without Amendment</v>
      </c>
      <c r="D14815" s="138" t="str">
        <f t="shared" si="1327"/>
        <v>High_Base</v>
      </c>
      <c r="E14815" s="138" t="str">
        <f t="shared" si="1324"/>
        <v>High</v>
      </c>
      <c r="F14815" s="138" t="str">
        <f t="shared" si="1325"/>
        <v>Upgraded</v>
      </c>
      <c r="G14815" s="153"/>
      <c r="H14815" s="210">
        <v>-6.4813000000000001</v>
      </c>
      <c r="I14815" s="160" t="s">
        <v>62</v>
      </c>
      <c r="J14815" s="160">
        <v>-1.32E-3</v>
      </c>
      <c r="K14815" s="160" t="s">
        <v>26</v>
      </c>
      <c r="L14815" s="154" t="str">
        <f>IF(OpenLCAbasic!K14815="CTUh", "Fill in Manually",IF(OR(K14815="Unit", K14815=""), "", INDEX(LookUps!$E$5:$E$12, MATCH(OpenLCAbasic!K14815,LookUps!$D$5:$D$12,0))))</f>
        <v>Water Use (WU) - m3 H2O</v>
      </c>
      <c r="M14815" s="154" t="str">
        <f t="shared" si="1326"/>
        <v>High_High_Base_Upgraded_Water Use (WU) - m3 H2O_Land application of compost; wastewater treatment unit; at updated plant - US_Without Amendment_Aerated Static Pile</v>
      </c>
    </row>
    <row r="14816" spans="1:13" s="120" customFormat="1" x14ac:dyDescent="0.25">
      <c r="A14816" s="119"/>
      <c r="B14816" s="138" t="str">
        <f t="shared" si="1322"/>
        <v/>
      </c>
      <c r="C14816" s="138" t="str">
        <f t="shared" si="1323"/>
        <v/>
      </c>
      <c r="D14816" s="138" t="str">
        <f>IF(ISNUMBER($J14816),"High_High","")</f>
        <v/>
      </c>
      <c r="E14816" s="138" t="str">
        <f t="shared" si="1324"/>
        <v/>
      </c>
      <c r="F14816" s="138" t="str">
        <f t="shared" si="1325"/>
        <v/>
      </c>
      <c r="G14816" s="153" t="s">
        <v>51</v>
      </c>
      <c r="H14816" s="160"/>
      <c r="I14816" s="160" t="s">
        <v>47</v>
      </c>
      <c r="J14816" s="160" t="s">
        <v>52</v>
      </c>
      <c r="K14816" s="160" t="s">
        <v>27</v>
      </c>
      <c r="L14816" s="154" t="str">
        <f>IF(OpenLCAbasic!K14816="CTUh", "Fill in Manually",IF(OR(K14816="Unit", K14816=""), "", INDEX(LookUps!$E$5:$E$12, MATCH(OpenLCAbasic!K14816,LookUps!$D$5:$D$12,0))))</f>
        <v/>
      </c>
      <c r="M14816" s="154" t="str">
        <f t="shared" si="1326"/>
        <v>____Process__</v>
      </c>
    </row>
    <row r="14817" spans="1:13" s="120" customFormat="1" x14ac:dyDescent="0.25">
      <c r="A14817" s="119"/>
      <c r="B14817" s="138" t="str">
        <f t="shared" si="1322"/>
        <v>Aerated Static Pile</v>
      </c>
      <c r="C14817" s="138" t="str">
        <f t="shared" si="1323"/>
        <v>Without Amendment</v>
      </c>
      <c r="D14817" s="138" t="str">
        <f t="shared" ref="D14817:D14880" si="1328">IF(ISNUMBER($J14817),"High_High","")</f>
        <v>High_High</v>
      </c>
      <c r="E14817" s="138" t="str">
        <f t="shared" si="1324"/>
        <v>High</v>
      </c>
      <c r="F14817" s="138" t="str">
        <f t="shared" si="1325"/>
        <v>Upgraded</v>
      </c>
      <c r="G14817" s="153"/>
      <c r="H14817" s="210">
        <v>0.33610000000000001</v>
      </c>
      <c r="I14817" s="160" t="s">
        <v>55</v>
      </c>
      <c r="J14817" s="160">
        <v>1.7219999999999999E-2</v>
      </c>
      <c r="K14817" s="160" t="s">
        <v>24</v>
      </c>
      <c r="L14817" s="154" t="str">
        <f>IF(OpenLCAbasic!K14817="CTUh", "Fill in Manually",IF(OR(K14817="Unit", K14817=""), "", INDEX(LookUps!$E$5:$E$12, MATCH(OpenLCAbasic!K14817,LookUps!$D$5:$D$12,0))))</f>
        <v>Acidification Potential (AP) - kg SO2 eq</v>
      </c>
      <c r="M14817" s="154" t="str">
        <f t="shared" si="1326"/>
        <v>High_High_High_Upgraded_Acidification Potential (AP) - kg SO2 eq_Aeration Tanks; wastewater treatment unit; at updated plant - US_Without Amendment_Aerated Static Pile</v>
      </c>
    </row>
    <row r="14818" spans="1:13" s="120" customFormat="1" x14ac:dyDescent="0.25">
      <c r="A14818" s="119"/>
      <c r="B14818" s="138" t="str">
        <f t="shared" si="1322"/>
        <v>Aerated Static Pile</v>
      </c>
      <c r="C14818" s="138" t="str">
        <f t="shared" si="1323"/>
        <v>Without Amendment</v>
      </c>
      <c r="D14818" s="138" t="str">
        <f t="shared" si="1328"/>
        <v>High_High</v>
      </c>
      <c r="E14818" s="138" t="str">
        <f t="shared" si="1324"/>
        <v>High</v>
      </c>
      <c r="F14818" s="138" t="str">
        <f t="shared" si="1325"/>
        <v>Upgraded</v>
      </c>
      <c r="G14818" s="153"/>
      <c r="H14818" s="210">
        <v>9.7199999999999995E-2</v>
      </c>
      <c r="I14818" s="160" t="s">
        <v>54</v>
      </c>
      <c r="J14818" s="160">
        <v>4.9800000000000001E-3</v>
      </c>
      <c r="K14818" s="160" t="s">
        <v>24</v>
      </c>
      <c r="L14818" s="154" t="str">
        <f>IF(OpenLCAbasic!K14818="CTUh", "Fill in Manually",IF(OR(K14818="Unit", K14818=""), "", INDEX(LookUps!$E$5:$E$12, MATCH(OpenLCAbasic!K14818,LookUps!$D$5:$D$12,0))))</f>
        <v>Acidification Potential (AP) - kg SO2 eq</v>
      </c>
      <c r="M14818" s="154" t="str">
        <f t="shared" si="1326"/>
        <v>High_High_High_Upgraded_Acidification Potential (AP) - kg SO2 eq_Clear Cove Primary Clarification; wastewater treatment unit; at updated plant - US_Without Amendment_Aerated Static Pile</v>
      </c>
    </row>
    <row r="14819" spans="1:13" s="120" customFormat="1" x14ac:dyDescent="0.25">
      <c r="A14819" s="119"/>
      <c r="B14819" s="138" t="str">
        <f t="shared" si="1322"/>
        <v>Aerated Static Pile</v>
      </c>
      <c r="C14819" s="138" t="str">
        <f t="shared" si="1323"/>
        <v>Without Amendment</v>
      </c>
      <c r="D14819" s="138" t="str">
        <f t="shared" si="1328"/>
        <v>High_High</v>
      </c>
      <c r="E14819" s="138" t="str">
        <f t="shared" si="1324"/>
        <v>High</v>
      </c>
      <c r="F14819" s="138" t="str">
        <f t="shared" si="1325"/>
        <v>Upgraded</v>
      </c>
      <c r="G14819" s="153"/>
      <c r="H14819" s="210">
        <v>8.5199999999999998E-2</v>
      </c>
      <c r="I14819" s="160" t="s">
        <v>58</v>
      </c>
      <c r="J14819" s="160">
        <v>4.3600000000000002E-3</v>
      </c>
      <c r="K14819" s="160" t="s">
        <v>24</v>
      </c>
      <c r="L14819" s="154" t="str">
        <f>IF(OpenLCAbasic!K14819="CTUh", "Fill in Manually",IF(OR(K14819="Unit", K14819=""), "", INDEX(LookUps!$E$5:$E$12, MATCH(OpenLCAbasic!K14819,LookUps!$D$5:$D$12,0))))</f>
        <v>Acidification Potential (AP) - kg SO2 eq</v>
      </c>
      <c r="M14819" s="154" t="str">
        <f t="shared" si="1326"/>
        <v>High_High_High_Upgraded_Acidification Potential (AP) - kg SO2 eq_Pre-Anoxic &amp; Swing tank; wastewater treatment unit; at updated plant - US_Without Amendment_Aerated Static Pile</v>
      </c>
    </row>
    <row r="14820" spans="1:13" s="120" customFormat="1" x14ac:dyDescent="0.25">
      <c r="A14820" s="119"/>
      <c r="B14820" s="138" t="str">
        <f t="shared" si="1322"/>
        <v>Aerated Static Pile</v>
      </c>
      <c r="C14820" s="138" t="str">
        <f t="shared" si="1323"/>
        <v>Without Amendment</v>
      </c>
      <c r="D14820" s="138" t="str">
        <f t="shared" si="1328"/>
        <v>High_High</v>
      </c>
      <c r="E14820" s="138" t="str">
        <f t="shared" si="1324"/>
        <v>High</v>
      </c>
      <c r="F14820" s="138" t="str">
        <f t="shared" si="1325"/>
        <v>Upgraded</v>
      </c>
      <c r="G14820" s="153"/>
      <c r="H14820" s="210">
        <v>7.0199999999999999E-2</v>
      </c>
      <c r="I14820" s="160" t="s">
        <v>435</v>
      </c>
      <c r="J14820" s="160">
        <v>3.5999999999999999E-3</v>
      </c>
      <c r="K14820" s="160" t="s">
        <v>24</v>
      </c>
      <c r="L14820" s="154" t="str">
        <f>IF(OpenLCAbasic!K14820="CTUh", "Fill in Manually",IF(OR(K14820="Unit", K14820=""), "", INDEX(LookUps!$E$5:$E$12, MATCH(OpenLCAbasic!K14820,LookUps!$D$5:$D$12,0))))</f>
        <v>Acidification Potential (AP) - kg SO2 eq</v>
      </c>
      <c r="M14820" s="154" t="str">
        <f t="shared" si="1326"/>
        <v>High_High_High_Upgraded_Acidification Potential (AP) - kg SO2 eq_Biosolids composting; aerated static pile; wastewater treatment unit; at updated plant - US_Without Amendment_Aerated Static Pile</v>
      </c>
    </row>
    <row r="14821" spans="1:13" s="120" customFormat="1" x14ac:dyDescent="0.25">
      <c r="A14821" s="119"/>
      <c r="B14821" s="138" t="str">
        <f t="shared" si="1322"/>
        <v>Aerated Static Pile</v>
      </c>
      <c r="C14821" s="138" t="str">
        <f t="shared" si="1323"/>
        <v>Without Amendment</v>
      </c>
      <c r="D14821" s="138" t="str">
        <f t="shared" si="1328"/>
        <v>High_High</v>
      </c>
      <c r="E14821" s="138" t="str">
        <f t="shared" si="1324"/>
        <v>High</v>
      </c>
      <c r="F14821" s="138" t="str">
        <f t="shared" si="1325"/>
        <v>Upgraded</v>
      </c>
      <c r="G14821" s="153"/>
      <c r="H14821" s="210">
        <v>6.7299999999999999E-2</v>
      </c>
      <c r="I14821" s="160" t="s">
        <v>53</v>
      </c>
      <c r="J14821" s="160">
        <v>3.4499999999999999E-3</v>
      </c>
      <c r="K14821" s="160" t="s">
        <v>24</v>
      </c>
      <c r="L14821" s="154" t="str">
        <f>IF(OpenLCAbasic!K14821="CTUh", "Fill in Manually",IF(OR(K14821="Unit", K14821=""), "", INDEX(LookUps!$E$5:$E$12, MATCH(OpenLCAbasic!K14821,LookUps!$D$5:$D$12,0))))</f>
        <v>Acidification Potential (AP) - kg SO2 eq</v>
      </c>
      <c r="M14821" s="154" t="str">
        <f t="shared" si="1326"/>
        <v>High_High_High_Upgraded_Acidification Potential (AP) - kg SO2 eq_Wet Well and Sump Station; wastewater treatment unit; at updated plant - US_Without Amendment_Aerated Static Pile</v>
      </c>
    </row>
    <row r="14822" spans="1:13" s="120" customFormat="1" x14ac:dyDescent="0.25">
      <c r="A14822" s="119"/>
      <c r="B14822" s="138" t="str">
        <f t="shared" si="1322"/>
        <v>Aerated Static Pile</v>
      </c>
      <c r="C14822" s="138" t="str">
        <f t="shared" si="1323"/>
        <v>Without Amendment</v>
      </c>
      <c r="D14822" s="138" t="str">
        <f t="shared" si="1328"/>
        <v>High_High</v>
      </c>
      <c r="E14822" s="138" t="str">
        <f t="shared" si="1324"/>
        <v>High</v>
      </c>
      <c r="F14822" s="138" t="str">
        <f t="shared" si="1325"/>
        <v>Upgraded</v>
      </c>
      <c r="G14822" s="153"/>
      <c r="H14822" s="210">
        <v>5.3600000000000002E-2</v>
      </c>
      <c r="I14822" s="160" t="s">
        <v>62</v>
      </c>
      <c r="J14822" s="160">
        <v>2.7399999999999998E-3</v>
      </c>
      <c r="K14822" s="160" t="s">
        <v>24</v>
      </c>
      <c r="L14822" s="154" t="str">
        <f>IF(OpenLCAbasic!K14822="CTUh", "Fill in Manually",IF(OR(K14822="Unit", K14822=""), "", INDEX(LookUps!$E$5:$E$12, MATCH(OpenLCAbasic!K14822,LookUps!$D$5:$D$12,0))))</f>
        <v>Acidification Potential (AP) - kg SO2 eq</v>
      </c>
      <c r="M14822" s="154" t="str">
        <f t="shared" si="1326"/>
        <v>High_High_High_Upgraded_Acidification Potential (AP) - kg SO2 eq_Land application of compost; wastewater treatment unit; at updated plant - US_Without Amendment_Aerated Static Pile</v>
      </c>
    </row>
    <row r="14823" spans="1:13" s="120" customFormat="1" x14ac:dyDescent="0.25">
      <c r="A14823" s="119"/>
      <c r="B14823" s="138" t="str">
        <f t="shared" si="1322"/>
        <v>Aerated Static Pile</v>
      </c>
      <c r="C14823" s="138" t="str">
        <f t="shared" si="1323"/>
        <v>Without Amendment</v>
      </c>
      <c r="D14823" s="138" t="str">
        <f t="shared" si="1328"/>
        <v>High_High</v>
      </c>
      <c r="E14823" s="138" t="str">
        <f t="shared" si="1324"/>
        <v>High</v>
      </c>
      <c r="F14823" s="138" t="str">
        <f t="shared" si="1325"/>
        <v>Upgraded</v>
      </c>
      <c r="G14823" s="153"/>
      <c r="H14823" s="210">
        <v>5.28E-2</v>
      </c>
      <c r="I14823" s="160" t="s">
        <v>167</v>
      </c>
      <c r="J14823" s="160">
        <v>2.7000000000000001E-3</v>
      </c>
      <c r="K14823" s="160" t="s">
        <v>24</v>
      </c>
      <c r="L14823" s="154" t="str">
        <f>IF(OpenLCAbasic!K14823="CTUh", "Fill in Manually",IF(OR(K14823="Unit", K14823=""), "", INDEX(LookUps!$E$5:$E$12, MATCH(OpenLCAbasic!K14823,LookUps!$D$5:$D$12,0))))</f>
        <v>Acidification Potential (AP) - kg SO2 eq</v>
      </c>
      <c r="M14823" s="154" t="str">
        <f t="shared" si="1326"/>
        <v>High_High_High_Upgraded_Acidification Potential (AP) - kg SO2 eq_Waste Receiving and Holding; wastewater treatment unit; at updated plant - US_Without Amendment_Aerated Static Pile</v>
      </c>
    </row>
    <row r="14824" spans="1:13" s="120" customFormat="1" x14ac:dyDescent="0.25">
      <c r="A14824" s="119"/>
      <c r="B14824" s="138" t="str">
        <f t="shared" si="1322"/>
        <v>Aerated Static Pile</v>
      </c>
      <c r="C14824" s="138" t="str">
        <f t="shared" si="1323"/>
        <v>Without Amendment</v>
      </c>
      <c r="D14824" s="138" t="str">
        <f t="shared" si="1328"/>
        <v>High_High</v>
      </c>
      <c r="E14824" s="138" t="str">
        <f t="shared" si="1324"/>
        <v>High</v>
      </c>
      <c r="F14824" s="138" t="str">
        <f t="shared" si="1325"/>
        <v>Upgraded</v>
      </c>
      <c r="G14824" s="153"/>
      <c r="H14824" s="210">
        <v>4.0399999999999998E-2</v>
      </c>
      <c r="I14824" s="160" t="s">
        <v>147</v>
      </c>
      <c r="J14824" s="160">
        <v>2.0699999999999998E-3</v>
      </c>
      <c r="K14824" s="160" t="s">
        <v>24</v>
      </c>
      <c r="L14824" s="154" t="str">
        <f>IF(OpenLCAbasic!K14824="CTUh", "Fill in Manually",IF(OR(K14824="Unit", K14824=""), "", INDEX(LookUps!$E$5:$E$12, MATCH(OpenLCAbasic!K14824,LookUps!$D$5:$D$12,0))))</f>
        <v>Acidification Potential (AP) - kg SO2 eq</v>
      </c>
      <c r="M14824" s="154" t="str">
        <f t="shared" si="1326"/>
        <v>High_High_High_Upgraded_Acidification Potential (AP) - kg SO2 eq_Influent Pump Station; wastewater treatment unit; at updated plant - US_Without Amendment_Aerated Static Pile</v>
      </c>
    </row>
    <row r="14825" spans="1:13" s="120" customFormat="1" x14ac:dyDescent="0.25">
      <c r="A14825" s="119"/>
      <c r="B14825" s="138" t="str">
        <f t="shared" ref="B14825:B14888" si="1329">IF(F14825="Legacy","n.a.",IF(F14825="","","Aerated Static Pile"))</f>
        <v>Aerated Static Pile</v>
      </c>
      <c r="C14825" s="138" t="str">
        <f t="shared" ref="C14825:C14888" si="1330">IF(ISNUMBER($J14825),"Without Amendment","")</f>
        <v>Without Amendment</v>
      </c>
      <c r="D14825" s="138" t="str">
        <f t="shared" si="1328"/>
        <v>High_High</v>
      </c>
      <c r="E14825" s="138" t="str">
        <f t="shared" ref="E14825:E14888" si="1331">IF(ISNUMBER($J14825),"High","")</f>
        <v>High</v>
      </c>
      <c r="F14825" s="138" t="str">
        <f t="shared" ref="F14825:F14888" si="1332">IF(ISNUMBER(J14825),"Upgraded","")</f>
        <v>Upgraded</v>
      </c>
      <c r="G14825" s="153"/>
      <c r="H14825" s="210">
        <v>2.7E-2</v>
      </c>
      <c r="I14825" s="160" t="s">
        <v>60</v>
      </c>
      <c r="J14825" s="160">
        <v>1.3799999999999999E-3</v>
      </c>
      <c r="K14825" s="160" t="s">
        <v>24</v>
      </c>
      <c r="L14825" s="154" t="str">
        <f>IF(OpenLCAbasic!K14825="CTUh", "Fill in Manually",IF(OR(K14825="Unit", K14825=""), "", INDEX(LookUps!$E$5:$E$12, MATCH(OpenLCAbasic!K14825,LookUps!$D$5:$D$12,0))))</f>
        <v>Acidification Potential (AP) - kg SO2 eq</v>
      </c>
      <c r="M14825" s="154" t="str">
        <f t="shared" si="1326"/>
        <v>High_High_High_Upgraded_Acidification Potential (AP) - kg SO2 eq_Belt filter press; wastewater treatment unit; at updated plant - US_Without Amendment_Aerated Static Pile</v>
      </c>
    </row>
    <row r="14826" spans="1:13" s="120" customFormat="1" x14ac:dyDescent="0.25">
      <c r="A14826" s="119"/>
      <c r="B14826" s="138" t="str">
        <f t="shared" si="1329"/>
        <v>Aerated Static Pile</v>
      </c>
      <c r="C14826" s="138" t="str">
        <f t="shared" si="1330"/>
        <v>Without Amendment</v>
      </c>
      <c r="D14826" s="138" t="str">
        <f t="shared" si="1328"/>
        <v>High_High</v>
      </c>
      <c r="E14826" s="138" t="str">
        <f t="shared" si="1331"/>
        <v>High</v>
      </c>
      <c r="F14826" s="138" t="str">
        <f t="shared" si="1332"/>
        <v>Upgraded</v>
      </c>
      <c r="G14826" s="153"/>
      <c r="H14826" s="210">
        <v>2.41E-2</v>
      </c>
      <c r="I14826" s="160" t="s">
        <v>128</v>
      </c>
      <c r="J14826" s="160">
        <v>1.23E-3</v>
      </c>
      <c r="K14826" s="160" t="s">
        <v>24</v>
      </c>
      <c r="L14826" s="154" t="str">
        <f>IF(OpenLCAbasic!K14826="CTUh", "Fill in Manually",IF(OR(K14826="Unit", K14826=""), "", INDEX(LookUps!$E$5:$E$12, MATCH(OpenLCAbasic!K14826,LookUps!$D$5:$D$12,0))))</f>
        <v>Acidification Potential (AP) - kg SO2 eq</v>
      </c>
      <c r="M14826" s="154" t="str">
        <f t="shared" si="1326"/>
        <v>High_High_High_Upgraded_Acidification Potential (AP) - kg SO2 eq_Wastewater collection; operation and infrastructure; m3 wastewater_Without Amendment_Aerated Static Pile</v>
      </c>
    </row>
    <row r="14827" spans="1:13" s="120" customFormat="1" x14ac:dyDescent="0.25">
      <c r="A14827" s="119"/>
      <c r="B14827" s="138" t="str">
        <f t="shared" si="1329"/>
        <v>Aerated Static Pile</v>
      </c>
      <c r="C14827" s="138" t="str">
        <f t="shared" si="1330"/>
        <v>Without Amendment</v>
      </c>
      <c r="D14827" s="138" t="str">
        <f t="shared" si="1328"/>
        <v>High_High</v>
      </c>
      <c r="E14827" s="138" t="str">
        <f t="shared" si="1331"/>
        <v>High</v>
      </c>
      <c r="F14827" s="138" t="str">
        <f t="shared" si="1332"/>
        <v>Upgraded</v>
      </c>
      <c r="G14827" s="153"/>
      <c r="H14827" s="210">
        <v>1.37E-2</v>
      </c>
      <c r="I14827" s="160" t="s">
        <v>57</v>
      </c>
      <c r="J14827" s="160">
        <v>6.9999999999999999E-4</v>
      </c>
      <c r="K14827" s="160" t="s">
        <v>24</v>
      </c>
      <c r="L14827" s="154" t="str">
        <f>IF(OpenLCAbasic!K14827="CTUh", "Fill in Manually",IF(OR(K14827="Unit", K14827=""), "", INDEX(LookUps!$E$5:$E$12, MATCH(OpenLCAbasic!K14827,LookUps!$D$5:$D$12,0))))</f>
        <v>Acidification Potential (AP) - kg SO2 eq</v>
      </c>
      <c r="M14827" s="154" t="str">
        <f t="shared" si="1326"/>
        <v>High_High_High_Upgraded_Acidification Potential (AP) - kg SO2 eq_Gravity Belt Thickener; wastewater treatment unit; at updated plant - US_Without Amendment_Aerated Static Pile</v>
      </c>
    </row>
    <row r="14828" spans="1:13" s="120" customFormat="1" x14ac:dyDescent="0.25">
      <c r="A14828" s="119"/>
      <c r="B14828" s="138" t="str">
        <f t="shared" si="1329"/>
        <v>Aerated Static Pile</v>
      </c>
      <c r="C14828" s="138" t="str">
        <f t="shared" si="1330"/>
        <v>Without Amendment</v>
      </c>
      <c r="D14828" s="138" t="str">
        <f t="shared" si="1328"/>
        <v>High_High</v>
      </c>
      <c r="E14828" s="138" t="str">
        <f t="shared" si="1331"/>
        <v>High</v>
      </c>
      <c r="F14828" s="138" t="str">
        <f t="shared" si="1332"/>
        <v>Upgraded</v>
      </c>
      <c r="G14828" s="153"/>
      <c r="H14828" s="210">
        <v>1.01E-2</v>
      </c>
      <c r="I14828" s="160" t="s">
        <v>59</v>
      </c>
      <c r="J14828" s="160">
        <v>5.1999999999999995E-4</v>
      </c>
      <c r="K14828" s="160" t="s">
        <v>24</v>
      </c>
      <c r="L14828" s="154" t="str">
        <f>IF(OpenLCAbasic!K14828="CTUh", "Fill in Manually",IF(OR(K14828="Unit", K14828=""), "", INDEX(LookUps!$E$5:$E$12, MATCH(OpenLCAbasic!K14828,LookUps!$D$5:$D$12,0))))</f>
        <v>Acidification Potential (AP) - kg SO2 eq</v>
      </c>
      <c r="M14828" s="154" t="str">
        <f t="shared" si="1326"/>
        <v>High_High_High_Upgraded_Acidification Potential (AP) - kg SO2 eq_Blend Tank; wastewater treatment unit; at updated plant - US_Without Amendment_Aerated Static Pile</v>
      </c>
    </row>
    <row r="14829" spans="1:13" s="120" customFormat="1" x14ac:dyDescent="0.25">
      <c r="A14829" s="119"/>
      <c r="B14829" s="138" t="str">
        <f t="shared" si="1329"/>
        <v>Aerated Static Pile</v>
      </c>
      <c r="C14829" s="138" t="str">
        <f t="shared" si="1330"/>
        <v>Without Amendment</v>
      </c>
      <c r="D14829" s="138" t="str">
        <f t="shared" si="1328"/>
        <v>High_High</v>
      </c>
      <c r="E14829" s="138" t="str">
        <f t="shared" si="1331"/>
        <v>High</v>
      </c>
      <c r="F14829" s="138" t="str">
        <f t="shared" si="1332"/>
        <v>Upgraded</v>
      </c>
      <c r="G14829" s="153"/>
      <c r="H14829" s="210">
        <v>6.7999999999999996E-3</v>
      </c>
      <c r="I14829" s="160" t="s">
        <v>48</v>
      </c>
      <c r="J14829" s="160">
        <v>3.5E-4</v>
      </c>
      <c r="K14829" s="160" t="s">
        <v>24</v>
      </c>
      <c r="L14829" s="154" t="str">
        <f>IF(OpenLCAbasic!K14829="CTUh", "Fill in Manually",IF(OR(K14829="Unit", K14829=""), "", INDEX(LookUps!$E$5:$E$12, MATCH(OpenLCAbasic!K14829,LookUps!$D$5:$D$12,0))))</f>
        <v>Acidification Potential (AP) - kg SO2 eq</v>
      </c>
      <c r="M14829" s="154" t="str">
        <f t="shared" si="1326"/>
        <v>High_High_High_Upgraded_Acidification Potential (AP) - kg SO2 eq_Effluent release; wastewater treatment unit; at surface water; m3 wastewater - US_Without Amendment_Aerated Static Pile</v>
      </c>
    </row>
    <row r="14830" spans="1:13" s="120" customFormat="1" x14ac:dyDescent="0.25">
      <c r="A14830" s="119"/>
      <c r="B14830" s="138" t="str">
        <f t="shared" si="1329"/>
        <v>Aerated Static Pile</v>
      </c>
      <c r="C14830" s="138" t="str">
        <f t="shared" si="1330"/>
        <v>Without Amendment</v>
      </c>
      <c r="D14830" s="138" t="str">
        <f t="shared" si="1328"/>
        <v>High_High</v>
      </c>
      <c r="E14830" s="138" t="str">
        <f t="shared" si="1331"/>
        <v>High</v>
      </c>
      <c r="F14830" s="138" t="str">
        <f t="shared" si="1332"/>
        <v>Upgraded</v>
      </c>
      <c r="G14830" s="153"/>
      <c r="H14830" s="210">
        <v>5.0000000000000001E-3</v>
      </c>
      <c r="I14830" s="160" t="s">
        <v>168</v>
      </c>
      <c r="J14830" s="160">
        <v>2.5999999999999998E-4</v>
      </c>
      <c r="K14830" s="160" t="s">
        <v>24</v>
      </c>
      <c r="L14830" s="154" t="str">
        <f>IF(OpenLCAbasic!K14830="CTUh", "Fill in Manually",IF(OR(K14830="Unit", K14830=""), "", INDEX(LookUps!$E$5:$E$12, MATCH(OpenLCAbasic!K14830,LookUps!$D$5:$D$12,0))))</f>
        <v>Acidification Potential (AP) - kg SO2 eq</v>
      </c>
      <c r="M14830" s="154" t="str">
        <f t="shared" si="1326"/>
        <v>High_High_High_Upgraded_Acidification Potential (AP) - kg SO2 eq_ClearCove SCP; wastewater treatment unit; at updated plant - US_Without Amendment_Aerated Static Pile</v>
      </c>
    </row>
    <row r="14831" spans="1:13" s="120" customFormat="1" x14ac:dyDescent="0.25">
      <c r="A14831" s="119"/>
      <c r="B14831" s="138" t="str">
        <f t="shared" si="1329"/>
        <v>Aerated Static Pile</v>
      </c>
      <c r="C14831" s="138" t="str">
        <f t="shared" si="1330"/>
        <v>Without Amendment</v>
      </c>
      <c r="D14831" s="138" t="str">
        <f t="shared" si="1328"/>
        <v>High_High</v>
      </c>
      <c r="E14831" s="138" t="str">
        <f t="shared" si="1331"/>
        <v>High</v>
      </c>
      <c r="F14831" s="138" t="str">
        <f t="shared" si="1332"/>
        <v>Upgraded</v>
      </c>
      <c r="G14831" s="153"/>
      <c r="H14831" s="210">
        <v>8.0000000000000004E-4</v>
      </c>
      <c r="I14831" s="160" t="s">
        <v>148</v>
      </c>
      <c r="J14831" s="211">
        <v>4.0354700000000002E-5</v>
      </c>
      <c r="K14831" s="160" t="s">
        <v>24</v>
      </c>
      <c r="L14831" s="154" t="str">
        <f>IF(OpenLCAbasic!K14831="CTUh", "Fill in Manually",IF(OR(K14831="Unit", K14831=""), "", INDEX(LookUps!$E$5:$E$12, MATCH(OpenLCAbasic!K14831,LookUps!$D$5:$D$12,0))))</f>
        <v>Acidification Potential (AP) - kg SO2 eq</v>
      </c>
      <c r="M14831" s="154" t="str">
        <f t="shared" si="1326"/>
        <v>High_High_High_Upgraded_Acidification Potential (AP) - kg SO2 eq_Control Building; at upgraded wastewater treatment plant - US_Without Amendment_Aerated Static Pile</v>
      </c>
    </row>
    <row r="14832" spans="1:13" s="120" customFormat="1" x14ac:dyDescent="0.25">
      <c r="A14832" s="119"/>
      <c r="B14832" s="138" t="str">
        <f t="shared" si="1329"/>
        <v>Aerated Static Pile</v>
      </c>
      <c r="C14832" s="138" t="str">
        <f t="shared" si="1330"/>
        <v>Without Amendment</v>
      </c>
      <c r="D14832" s="138" t="str">
        <f t="shared" si="1328"/>
        <v>High_High</v>
      </c>
      <c r="E14832" s="138" t="str">
        <f t="shared" si="1331"/>
        <v>High</v>
      </c>
      <c r="F14832" s="138" t="str">
        <f t="shared" si="1332"/>
        <v>Upgraded</v>
      </c>
      <c r="G14832" s="153"/>
      <c r="H14832" s="210">
        <v>-1.8900999999999999</v>
      </c>
      <c r="I14832" s="160" t="s">
        <v>149</v>
      </c>
      <c r="J14832" s="160">
        <v>-9.6839999999999996E-2</v>
      </c>
      <c r="K14832" s="160" t="s">
        <v>24</v>
      </c>
      <c r="L14832" s="154" t="str">
        <f>IF(OpenLCAbasic!K14832="CTUh", "Fill in Manually",IF(OR(K14832="Unit", K14832=""), "", INDEX(LookUps!$E$5:$E$12, MATCH(OpenLCAbasic!K14832,LookUps!$D$5:$D$12,0))))</f>
        <v>Acidification Potential (AP) - kg SO2 eq</v>
      </c>
      <c r="M14832" s="154" t="str">
        <f t="shared" si="1326"/>
        <v>High_High_High_Upgraded_Acidification Potential (AP) - kg SO2 eq_Anaerobic Digestion; wastewater treatment unit; at updated plant - US_Without Amendment_Aerated Static Pile</v>
      </c>
    </row>
    <row r="14833" spans="1:13" s="120" customFormat="1" x14ac:dyDescent="0.25">
      <c r="A14833" s="119"/>
      <c r="B14833" s="138" t="str">
        <f t="shared" si="1329"/>
        <v/>
      </c>
      <c r="C14833" s="138" t="str">
        <f t="shared" si="1330"/>
        <v/>
      </c>
      <c r="D14833" s="138" t="str">
        <f t="shared" si="1328"/>
        <v/>
      </c>
      <c r="E14833" s="138" t="str">
        <f t="shared" si="1331"/>
        <v/>
      </c>
      <c r="F14833" s="138" t="str">
        <f t="shared" si="1332"/>
        <v/>
      </c>
      <c r="G14833" s="153" t="s">
        <v>51</v>
      </c>
      <c r="H14833" s="160"/>
      <c r="I14833" s="160" t="s">
        <v>47</v>
      </c>
      <c r="J14833" s="160" t="s">
        <v>52</v>
      </c>
      <c r="K14833" s="160" t="s">
        <v>27</v>
      </c>
      <c r="L14833" s="154" t="str">
        <f>IF(OpenLCAbasic!K14833="CTUh", "Fill in Manually",IF(OR(K14833="Unit", K14833=""), "", INDEX(LookUps!$E$5:$E$12, MATCH(OpenLCAbasic!K14833,LookUps!$D$5:$D$12,0))))</f>
        <v/>
      </c>
      <c r="M14833" s="154" t="str">
        <f t="shared" si="1326"/>
        <v>____Process__</v>
      </c>
    </row>
    <row r="14834" spans="1:13" s="120" customFormat="1" x14ac:dyDescent="0.25">
      <c r="A14834" s="119"/>
      <c r="B14834" s="138" t="str">
        <f t="shared" si="1329"/>
        <v>Aerated Static Pile</v>
      </c>
      <c r="C14834" s="138" t="str">
        <f t="shared" si="1330"/>
        <v>Without Amendment</v>
      </c>
      <c r="D14834" s="138" t="str">
        <f t="shared" si="1328"/>
        <v>High_High</v>
      </c>
      <c r="E14834" s="138" t="str">
        <f t="shared" si="1331"/>
        <v>High</v>
      </c>
      <c r="F14834" s="138" t="str">
        <f t="shared" si="1332"/>
        <v>Upgraded</v>
      </c>
      <c r="G14834" s="153"/>
      <c r="H14834" s="210">
        <v>0.53720000000000001</v>
      </c>
      <c r="I14834" s="160" t="s">
        <v>167</v>
      </c>
      <c r="J14834" s="160">
        <v>5.1393399999999998</v>
      </c>
      <c r="K14834" s="160" t="s">
        <v>15</v>
      </c>
      <c r="L14834" s="154" t="str">
        <f>IF(OpenLCAbasic!K14834="CTUh", "Fill in Manually",IF(OR(K14834="Unit", K14834=""), "", INDEX(LookUps!$E$5:$E$12, MATCH(OpenLCAbasic!K14834,LookUps!$D$5:$D$12,0))))</f>
        <v>Cumulative Energy Demand (CED) - MJ</v>
      </c>
      <c r="M14834" s="154" t="str">
        <f t="shared" si="1326"/>
        <v>High_High_High_Upgraded_Cumulative Energy Demand (CED) - MJ_Waste Receiving and Holding; wastewater treatment unit; at updated plant - US_Without Amendment_Aerated Static Pile</v>
      </c>
    </row>
    <row r="14835" spans="1:13" s="120" customFormat="1" x14ac:dyDescent="0.25">
      <c r="A14835" s="119"/>
      <c r="B14835" s="138" t="str">
        <f t="shared" si="1329"/>
        <v>Aerated Static Pile</v>
      </c>
      <c r="C14835" s="138" t="str">
        <f t="shared" si="1330"/>
        <v>Without Amendment</v>
      </c>
      <c r="D14835" s="138" t="str">
        <f t="shared" si="1328"/>
        <v>High_High</v>
      </c>
      <c r="E14835" s="138" t="str">
        <f t="shared" si="1331"/>
        <v>High</v>
      </c>
      <c r="F14835" s="138" t="str">
        <f t="shared" si="1332"/>
        <v>Upgraded</v>
      </c>
      <c r="G14835" s="153"/>
      <c r="H14835" s="210">
        <v>0.36930000000000002</v>
      </c>
      <c r="I14835" s="160" t="s">
        <v>55</v>
      </c>
      <c r="J14835" s="160">
        <v>3.5330499999999998</v>
      </c>
      <c r="K14835" s="160" t="s">
        <v>15</v>
      </c>
      <c r="L14835" s="154" t="str">
        <f>IF(OpenLCAbasic!K14835="CTUh", "Fill in Manually",IF(OR(K14835="Unit", K14835=""), "", INDEX(LookUps!$E$5:$E$12, MATCH(OpenLCAbasic!K14835,LookUps!$D$5:$D$12,0))))</f>
        <v>Cumulative Energy Demand (CED) - MJ</v>
      </c>
      <c r="M14835" s="154" t="str">
        <f t="shared" si="1326"/>
        <v>High_High_High_Upgraded_Cumulative Energy Demand (CED) - MJ_Aeration Tanks; wastewater treatment unit; at updated plant - US_Without Amendment_Aerated Static Pile</v>
      </c>
    </row>
    <row r="14836" spans="1:13" s="120" customFormat="1" x14ac:dyDescent="0.25">
      <c r="A14836" s="119"/>
      <c r="B14836" s="138" t="str">
        <f t="shared" si="1329"/>
        <v>Aerated Static Pile</v>
      </c>
      <c r="C14836" s="138" t="str">
        <f t="shared" si="1330"/>
        <v>Without Amendment</v>
      </c>
      <c r="D14836" s="138" t="str">
        <f t="shared" si="1328"/>
        <v>High_High</v>
      </c>
      <c r="E14836" s="138" t="str">
        <f t="shared" si="1331"/>
        <v>High</v>
      </c>
      <c r="F14836" s="138" t="str">
        <f t="shared" si="1332"/>
        <v>Upgraded</v>
      </c>
      <c r="G14836" s="153"/>
      <c r="H14836" s="210">
        <v>0.1215</v>
      </c>
      <c r="I14836" s="160" t="s">
        <v>54</v>
      </c>
      <c r="J14836" s="160">
        <v>1.16289</v>
      </c>
      <c r="K14836" s="160" t="s">
        <v>15</v>
      </c>
      <c r="L14836" s="154" t="str">
        <f>IF(OpenLCAbasic!K14836="CTUh", "Fill in Manually",IF(OR(K14836="Unit", K14836=""), "", INDEX(LookUps!$E$5:$E$12, MATCH(OpenLCAbasic!K14836,LookUps!$D$5:$D$12,0))))</f>
        <v>Cumulative Energy Demand (CED) - MJ</v>
      </c>
      <c r="M14836" s="154" t="str">
        <f t="shared" si="1326"/>
        <v>High_High_High_Upgraded_Cumulative Energy Demand (CED) - MJ_Clear Cove Primary Clarification; wastewater treatment unit; at updated plant - US_Without Amendment_Aerated Static Pile</v>
      </c>
    </row>
    <row r="14837" spans="1:13" s="120" customFormat="1" x14ac:dyDescent="0.25">
      <c r="A14837" s="119"/>
      <c r="B14837" s="138" t="str">
        <f t="shared" si="1329"/>
        <v>Aerated Static Pile</v>
      </c>
      <c r="C14837" s="138" t="str">
        <f t="shared" si="1330"/>
        <v>Without Amendment</v>
      </c>
      <c r="D14837" s="138" t="str">
        <f t="shared" si="1328"/>
        <v>High_High</v>
      </c>
      <c r="E14837" s="138" t="str">
        <f t="shared" si="1331"/>
        <v>High</v>
      </c>
      <c r="F14837" s="138" t="str">
        <f t="shared" si="1332"/>
        <v>Upgraded</v>
      </c>
      <c r="G14837" s="153"/>
      <c r="H14837" s="210">
        <v>9.3100000000000002E-2</v>
      </c>
      <c r="I14837" s="160" t="s">
        <v>58</v>
      </c>
      <c r="J14837" s="160">
        <v>0.89063999999999999</v>
      </c>
      <c r="K14837" s="160" t="s">
        <v>15</v>
      </c>
      <c r="L14837" s="154" t="str">
        <f>IF(OpenLCAbasic!K14837="CTUh", "Fill in Manually",IF(OR(K14837="Unit", K14837=""), "", INDEX(LookUps!$E$5:$E$12, MATCH(OpenLCAbasic!K14837,LookUps!$D$5:$D$12,0))))</f>
        <v>Cumulative Energy Demand (CED) - MJ</v>
      </c>
      <c r="M14837" s="154" t="str">
        <f t="shared" si="1326"/>
        <v>High_High_High_Upgraded_Cumulative Energy Demand (CED) - MJ_Pre-Anoxic &amp; Swing tank; wastewater treatment unit; at updated plant - US_Without Amendment_Aerated Static Pile</v>
      </c>
    </row>
    <row r="14838" spans="1:13" s="120" customFormat="1" x14ac:dyDescent="0.25">
      <c r="A14838" s="119"/>
      <c r="B14838" s="138" t="str">
        <f t="shared" si="1329"/>
        <v>Aerated Static Pile</v>
      </c>
      <c r="C14838" s="138" t="str">
        <f t="shared" si="1330"/>
        <v>Without Amendment</v>
      </c>
      <c r="D14838" s="138" t="str">
        <f t="shared" si="1328"/>
        <v>High_High</v>
      </c>
      <c r="E14838" s="138" t="str">
        <f t="shared" si="1331"/>
        <v>High</v>
      </c>
      <c r="F14838" s="138" t="str">
        <f t="shared" si="1332"/>
        <v>Upgraded</v>
      </c>
      <c r="G14838" s="153"/>
      <c r="H14838" s="210">
        <v>9.2299999999999993E-2</v>
      </c>
      <c r="I14838" s="160" t="s">
        <v>147</v>
      </c>
      <c r="J14838" s="160">
        <v>0.88297000000000003</v>
      </c>
      <c r="K14838" s="160" t="s">
        <v>15</v>
      </c>
      <c r="L14838" s="154" t="str">
        <f>IF(OpenLCAbasic!K14838="CTUh", "Fill in Manually",IF(OR(K14838="Unit", K14838=""), "", INDEX(LookUps!$E$5:$E$12, MATCH(OpenLCAbasic!K14838,LookUps!$D$5:$D$12,0))))</f>
        <v>Cumulative Energy Demand (CED) - MJ</v>
      </c>
      <c r="M14838" s="154" t="str">
        <f t="shared" si="1326"/>
        <v>High_High_High_Upgraded_Cumulative Energy Demand (CED) - MJ_Influent Pump Station; wastewater treatment unit; at updated plant - US_Without Amendment_Aerated Static Pile</v>
      </c>
    </row>
    <row r="14839" spans="1:13" s="120" customFormat="1" x14ac:dyDescent="0.25">
      <c r="A14839" s="119"/>
      <c r="B14839" s="138" t="str">
        <f t="shared" si="1329"/>
        <v>Aerated Static Pile</v>
      </c>
      <c r="C14839" s="138" t="str">
        <f t="shared" si="1330"/>
        <v>Without Amendment</v>
      </c>
      <c r="D14839" s="138" t="str">
        <f t="shared" si="1328"/>
        <v>High_High</v>
      </c>
      <c r="E14839" s="138" t="str">
        <f t="shared" si="1331"/>
        <v>High</v>
      </c>
      <c r="F14839" s="138" t="str">
        <f t="shared" si="1332"/>
        <v>Upgraded</v>
      </c>
      <c r="G14839" s="153"/>
      <c r="H14839" s="210">
        <v>7.2800000000000004E-2</v>
      </c>
      <c r="I14839" s="160" t="s">
        <v>53</v>
      </c>
      <c r="J14839" s="160">
        <v>0.69645000000000001</v>
      </c>
      <c r="K14839" s="160" t="s">
        <v>15</v>
      </c>
      <c r="L14839" s="154" t="str">
        <f>IF(OpenLCAbasic!K14839="CTUh", "Fill in Manually",IF(OR(K14839="Unit", K14839=""), "", INDEX(LookUps!$E$5:$E$12, MATCH(OpenLCAbasic!K14839,LookUps!$D$5:$D$12,0))))</f>
        <v>Cumulative Energy Demand (CED) - MJ</v>
      </c>
      <c r="M14839" s="154" t="str">
        <f t="shared" si="1326"/>
        <v>High_High_High_Upgraded_Cumulative Energy Demand (CED) - MJ_Wet Well and Sump Station; wastewater treatment unit; at updated plant - US_Without Amendment_Aerated Static Pile</v>
      </c>
    </row>
    <row r="14840" spans="1:13" s="120" customFormat="1" x14ac:dyDescent="0.25">
      <c r="A14840" s="119"/>
      <c r="B14840" s="138" t="str">
        <f t="shared" si="1329"/>
        <v>Aerated Static Pile</v>
      </c>
      <c r="C14840" s="138" t="str">
        <f t="shared" si="1330"/>
        <v>Without Amendment</v>
      </c>
      <c r="D14840" s="138" t="str">
        <f t="shared" si="1328"/>
        <v>High_High</v>
      </c>
      <c r="E14840" s="138" t="str">
        <f t="shared" si="1331"/>
        <v>High</v>
      </c>
      <c r="F14840" s="138" t="str">
        <f t="shared" si="1332"/>
        <v>Upgraded</v>
      </c>
      <c r="G14840" s="153"/>
      <c r="H14840" s="210">
        <v>6.5100000000000005E-2</v>
      </c>
      <c r="I14840" s="160" t="s">
        <v>435</v>
      </c>
      <c r="J14840" s="160">
        <v>0.62302999999999997</v>
      </c>
      <c r="K14840" s="160" t="s">
        <v>15</v>
      </c>
      <c r="L14840" s="154" t="str">
        <f>IF(OpenLCAbasic!K14840="CTUh", "Fill in Manually",IF(OR(K14840="Unit", K14840=""), "", INDEX(LookUps!$E$5:$E$12, MATCH(OpenLCAbasic!K14840,LookUps!$D$5:$D$12,0))))</f>
        <v>Cumulative Energy Demand (CED) - MJ</v>
      </c>
      <c r="M14840" s="154" t="str">
        <f t="shared" si="1326"/>
        <v>High_High_High_Upgraded_Cumulative Energy Demand (CED) - MJ_Biosolids composting; aerated static pile; wastewater treatment unit; at updated plant - US_Without Amendment_Aerated Static Pile</v>
      </c>
    </row>
    <row r="14841" spans="1:13" s="120" customFormat="1" x14ac:dyDescent="0.25">
      <c r="A14841" s="119"/>
      <c r="B14841" s="138" t="str">
        <f t="shared" si="1329"/>
        <v>Aerated Static Pile</v>
      </c>
      <c r="C14841" s="138" t="str">
        <f t="shared" si="1330"/>
        <v>Without Amendment</v>
      </c>
      <c r="D14841" s="138" t="str">
        <f t="shared" si="1328"/>
        <v>High_High</v>
      </c>
      <c r="E14841" s="138" t="str">
        <f t="shared" si="1331"/>
        <v>High</v>
      </c>
      <c r="F14841" s="138" t="str">
        <f t="shared" si="1332"/>
        <v>Upgraded</v>
      </c>
      <c r="G14841" s="153"/>
      <c r="H14841" s="210">
        <v>5.3999999999999999E-2</v>
      </c>
      <c r="I14841" s="160" t="s">
        <v>60</v>
      </c>
      <c r="J14841" s="160">
        <v>0.51639000000000002</v>
      </c>
      <c r="K14841" s="160" t="s">
        <v>15</v>
      </c>
      <c r="L14841" s="154" t="str">
        <f>IF(OpenLCAbasic!K14841="CTUh", "Fill in Manually",IF(OR(K14841="Unit", K14841=""), "", INDEX(LookUps!$E$5:$E$12, MATCH(OpenLCAbasic!K14841,LookUps!$D$5:$D$12,0))))</f>
        <v>Cumulative Energy Demand (CED) - MJ</v>
      </c>
      <c r="M14841" s="154" t="str">
        <f t="shared" si="1326"/>
        <v>High_High_High_Upgraded_Cumulative Energy Demand (CED) - MJ_Belt filter press; wastewater treatment unit; at updated plant - US_Without Amendment_Aerated Static Pile</v>
      </c>
    </row>
    <row r="14842" spans="1:13" s="120" customFormat="1" x14ac:dyDescent="0.25">
      <c r="A14842" s="119"/>
      <c r="B14842" s="138" t="str">
        <f t="shared" si="1329"/>
        <v>Aerated Static Pile</v>
      </c>
      <c r="C14842" s="138" t="str">
        <f t="shared" si="1330"/>
        <v>Without Amendment</v>
      </c>
      <c r="D14842" s="138" t="str">
        <f t="shared" si="1328"/>
        <v>High_High</v>
      </c>
      <c r="E14842" s="138" t="str">
        <f t="shared" si="1331"/>
        <v>High</v>
      </c>
      <c r="F14842" s="138" t="str">
        <f t="shared" si="1332"/>
        <v>Upgraded</v>
      </c>
      <c r="G14842" s="153"/>
      <c r="H14842" s="210">
        <v>3.49E-2</v>
      </c>
      <c r="I14842" s="160" t="s">
        <v>57</v>
      </c>
      <c r="J14842" s="160">
        <v>0.33404</v>
      </c>
      <c r="K14842" s="160" t="s">
        <v>15</v>
      </c>
      <c r="L14842" s="154" t="str">
        <f>IF(OpenLCAbasic!K14842="CTUh", "Fill in Manually",IF(OR(K14842="Unit", K14842=""), "", INDEX(LookUps!$E$5:$E$12, MATCH(OpenLCAbasic!K14842,LookUps!$D$5:$D$12,0))))</f>
        <v>Cumulative Energy Demand (CED) - MJ</v>
      </c>
      <c r="M14842" s="154" t="str">
        <f t="shared" si="1326"/>
        <v>High_High_High_Upgraded_Cumulative Energy Demand (CED) - MJ_Gravity Belt Thickener; wastewater treatment unit; at updated plant - US_Without Amendment_Aerated Static Pile</v>
      </c>
    </row>
    <row r="14843" spans="1:13" s="120" customFormat="1" x14ac:dyDescent="0.25">
      <c r="A14843" s="119"/>
      <c r="B14843" s="138" t="str">
        <f t="shared" si="1329"/>
        <v>Aerated Static Pile</v>
      </c>
      <c r="C14843" s="138" t="str">
        <f t="shared" si="1330"/>
        <v>Without Amendment</v>
      </c>
      <c r="D14843" s="138" t="str">
        <f t="shared" si="1328"/>
        <v>High_High</v>
      </c>
      <c r="E14843" s="138" t="str">
        <f t="shared" si="1331"/>
        <v>High</v>
      </c>
      <c r="F14843" s="138" t="str">
        <f t="shared" si="1332"/>
        <v>Upgraded</v>
      </c>
      <c r="G14843" s="153"/>
      <c r="H14843" s="210">
        <v>2.6800000000000001E-2</v>
      </c>
      <c r="I14843" s="160" t="s">
        <v>128</v>
      </c>
      <c r="J14843" s="160">
        <v>0.25606000000000001</v>
      </c>
      <c r="K14843" s="160" t="s">
        <v>15</v>
      </c>
      <c r="L14843" s="154" t="str">
        <f>IF(OpenLCAbasic!K14843="CTUh", "Fill in Manually",IF(OR(K14843="Unit", K14843=""), "", INDEX(LookUps!$E$5:$E$12, MATCH(OpenLCAbasic!K14843,LookUps!$D$5:$D$12,0))))</f>
        <v>Cumulative Energy Demand (CED) - MJ</v>
      </c>
      <c r="M14843" s="154" t="str">
        <f t="shared" si="1326"/>
        <v>High_High_High_Upgraded_Cumulative Energy Demand (CED) - MJ_Wastewater collection; operation and infrastructure; m3 wastewater_Without Amendment_Aerated Static Pile</v>
      </c>
    </row>
    <row r="14844" spans="1:13" s="120" customFormat="1" x14ac:dyDescent="0.25">
      <c r="A14844" s="119"/>
      <c r="B14844" s="138" t="str">
        <f t="shared" si="1329"/>
        <v>Aerated Static Pile</v>
      </c>
      <c r="C14844" s="138" t="str">
        <f t="shared" si="1330"/>
        <v>Without Amendment</v>
      </c>
      <c r="D14844" s="138" t="str">
        <f t="shared" si="1328"/>
        <v>High_High</v>
      </c>
      <c r="E14844" s="138" t="str">
        <f t="shared" si="1331"/>
        <v>High</v>
      </c>
      <c r="F14844" s="138" t="str">
        <f t="shared" si="1332"/>
        <v>Upgraded</v>
      </c>
      <c r="G14844" s="153"/>
      <c r="H14844" s="210">
        <v>1.5299999999999999E-2</v>
      </c>
      <c r="I14844" s="160" t="s">
        <v>148</v>
      </c>
      <c r="J14844" s="160">
        <v>0.14599000000000001</v>
      </c>
      <c r="K14844" s="160" t="s">
        <v>15</v>
      </c>
      <c r="L14844" s="154" t="str">
        <f>IF(OpenLCAbasic!K14844="CTUh", "Fill in Manually",IF(OR(K14844="Unit", K14844=""), "", INDEX(LookUps!$E$5:$E$12, MATCH(OpenLCAbasic!K14844,LookUps!$D$5:$D$12,0))))</f>
        <v>Cumulative Energy Demand (CED) - MJ</v>
      </c>
      <c r="M14844" s="154" t="str">
        <f t="shared" si="1326"/>
        <v>High_High_High_Upgraded_Cumulative Energy Demand (CED) - MJ_Control Building; at upgraded wastewater treatment plant - US_Without Amendment_Aerated Static Pile</v>
      </c>
    </row>
    <row r="14845" spans="1:13" s="120" customFormat="1" x14ac:dyDescent="0.25">
      <c r="A14845" s="119"/>
      <c r="B14845" s="138" t="str">
        <f t="shared" si="1329"/>
        <v>Aerated Static Pile</v>
      </c>
      <c r="C14845" s="138" t="str">
        <f t="shared" si="1330"/>
        <v>Without Amendment</v>
      </c>
      <c r="D14845" s="138" t="str">
        <f t="shared" si="1328"/>
        <v>High_High</v>
      </c>
      <c r="E14845" s="138" t="str">
        <f t="shared" si="1331"/>
        <v>High</v>
      </c>
      <c r="F14845" s="138" t="str">
        <f t="shared" si="1332"/>
        <v>Upgraded</v>
      </c>
      <c r="G14845" s="153"/>
      <c r="H14845" s="210">
        <v>1.3899999999999999E-2</v>
      </c>
      <c r="I14845" s="160" t="s">
        <v>48</v>
      </c>
      <c r="J14845" s="160">
        <v>0.13321</v>
      </c>
      <c r="K14845" s="160" t="s">
        <v>15</v>
      </c>
      <c r="L14845" s="154" t="str">
        <f>IF(OpenLCAbasic!K14845="CTUh", "Fill in Manually",IF(OR(K14845="Unit", K14845=""), "", INDEX(LookUps!$E$5:$E$12, MATCH(OpenLCAbasic!K14845,LookUps!$D$5:$D$12,0))))</f>
        <v>Cumulative Energy Demand (CED) - MJ</v>
      </c>
      <c r="M14845" s="154" t="str">
        <f t="shared" si="1326"/>
        <v>High_High_High_Upgraded_Cumulative Energy Demand (CED) - MJ_Effluent release; wastewater treatment unit; at surface water; m3 wastewater - US_Without Amendment_Aerated Static Pile</v>
      </c>
    </row>
    <row r="14846" spans="1:13" s="120" customFormat="1" x14ac:dyDescent="0.25">
      <c r="A14846" s="119"/>
      <c r="B14846" s="138" t="str">
        <f t="shared" si="1329"/>
        <v>Aerated Static Pile</v>
      </c>
      <c r="C14846" s="138" t="str">
        <f t="shared" si="1330"/>
        <v>Without Amendment</v>
      </c>
      <c r="D14846" s="138" t="str">
        <f t="shared" si="1328"/>
        <v>High_High</v>
      </c>
      <c r="E14846" s="138" t="str">
        <f t="shared" si="1331"/>
        <v>High</v>
      </c>
      <c r="F14846" s="138" t="str">
        <f t="shared" si="1332"/>
        <v>Upgraded</v>
      </c>
      <c r="G14846" s="153"/>
      <c r="H14846" s="210">
        <v>1.11E-2</v>
      </c>
      <c r="I14846" s="160" t="s">
        <v>59</v>
      </c>
      <c r="J14846" s="160">
        <v>0.10638</v>
      </c>
      <c r="K14846" s="160" t="s">
        <v>15</v>
      </c>
      <c r="L14846" s="154" t="str">
        <f>IF(OpenLCAbasic!K14846="CTUh", "Fill in Manually",IF(OR(K14846="Unit", K14846=""), "", INDEX(LookUps!$E$5:$E$12, MATCH(OpenLCAbasic!K14846,LookUps!$D$5:$D$12,0))))</f>
        <v>Cumulative Energy Demand (CED) - MJ</v>
      </c>
      <c r="M14846" s="154" t="str">
        <f t="shared" si="1326"/>
        <v>High_High_High_Upgraded_Cumulative Energy Demand (CED) - MJ_Blend Tank; wastewater treatment unit; at updated plant - US_Without Amendment_Aerated Static Pile</v>
      </c>
    </row>
    <row r="14847" spans="1:13" s="120" customFormat="1" x14ac:dyDescent="0.25">
      <c r="A14847" s="119"/>
      <c r="B14847" s="138" t="str">
        <f t="shared" si="1329"/>
        <v>Aerated Static Pile</v>
      </c>
      <c r="C14847" s="138" t="str">
        <f t="shared" si="1330"/>
        <v>Without Amendment</v>
      </c>
      <c r="D14847" s="138" t="str">
        <f t="shared" si="1328"/>
        <v>High_High</v>
      </c>
      <c r="E14847" s="138" t="str">
        <f t="shared" si="1331"/>
        <v>High</v>
      </c>
      <c r="F14847" s="138" t="str">
        <f t="shared" si="1332"/>
        <v>Upgraded</v>
      </c>
      <c r="G14847" s="153"/>
      <c r="H14847" s="210">
        <v>5.3E-3</v>
      </c>
      <c r="I14847" s="160" t="s">
        <v>168</v>
      </c>
      <c r="J14847" s="160">
        <v>5.0930000000000003E-2</v>
      </c>
      <c r="K14847" s="160" t="s">
        <v>15</v>
      </c>
      <c r="L14847" s="154" t="str">
        <f>IF(OpenLCAbasic!K14847="CTUh", "Fill in Manually",IF(OR(K14847="Unit", K14847=""), "", INDEX(LookUps!$E$5:$E$12, MATCH(OpenLCAbasic!K14847,LookUps!$D$5:$D$12,0))))</f>
        <v>Cumulative Energy Demand (CED) - MJ</v>
      </c>
      <c r="M14847" s="154" t="str">
        <f t="shared" si="1326"/>
        <v>High_High_High_Upgraded_Cumulative Energy Demand (CED) - MJ_ClearCove SCP; wastewater treatment unit; at updated plant - US_Without Amendment_Aerated Static Pile</v>
      </c>
    </row>
    <row r="14848" spans="1:13" s="120" customFormat="1" x14ac:dyDescent="0.25">
      <c r="A14848" s="119"/>
      <c r="B14848" s="138" t="str">
        <f t="shared" si="1329"/>
        <v>Aerated Static Pile</v>
      </c>
      <c r="C14848" s="138" t="str">
        <f t="shared" si="1330"/>
        <v>Without Amendment</v>
      </c>
      <c r="D14848" s="138" t="str">
        <f t="shared" si="1328"/>
        <v>High_High</v>
      </c>
      <c r="E14848" s="138" t="str">
        <f t="shared" si="1331"/>
        <v>High</v>
      </c>
      <c r="F14848" s="138" t="str">
        <f t="shared" si="1332"/>
        <v>Upgraded</v>
      </c>
      <c r="G14848" s="153"/>
      <c r="H14848" s="210">
        <v>-4.9299999999999997E-2</v>
      </c>
      <c r="I14848" s="160" t="s">
        <v>62</v>
      </c>
      <c r="J14848" s="160">
        <v>-0.47189999999999999</v>
      </c>
      <c r="K14848" s="160" t="s">
        <v>15</v>
      </c>
      <c r="L14848" s="154" t="str">
        <f>IF(OpenLCAbasic!K14848="CTUh", "Fill in Manually",IF(OR(K14848="Unit", K14848=""), "", INDEX(LookUps!$E$5:$E$12, MATCH(OpenLCAbasic!K14848,LookUps!$D$5:$D$12,0))))</f>
        <v>Cumulative Energy Demand (CED) - MJ</v>
      </c>
      <c r="M14848" s="154" t="str">
        <f t="shared" si="1326"/>
        <v>High_High_High_Upgraded_Cumulative Energy Demand (CED) - MJ_Land application of compost; wastewater treatment unit; at updated plant - US_Without Amendment_Aerated Static Pile</v>
      </c>
    </row>
    <row r="14849" spans="1:13" s="120" customFormat="1" x14ac:dyDescent="0.25">
      <c r="A14849" s="119"/>
      <c r="B14849" s="138" t="str">
        <f t="shared" si="1329"/>
        <v>Aerated Static Pile</v>
      </c>
      <c r="C14849" s="138" t="str">
        <f t="shared" si="1330"/>
        <v>Without Amendment</v>
      </c>
      <c r="D14849" s="138" t="str">
        <f t="shared" si="1328"/>
        <v>High_High</v>
      </c>
      <c r="E14849" s="138" t="str">
        <f t="shared" si="1331"/>
        <v>High</v>
      </c>
      <c r="F14849" s="138" t="str">
        <f t="shared" si="1332"/>
        <v>Upgraded</v>
      </c>
      <c r="G14849" s="153"/>
      <c r="H14849" s="210">
        <v>-2.4632000000000001</v>
      </c>
      <c r="I14849" s="160" t="s">
        <v>149</v>
      </c>
      <c r="J14849" s="160">
        <v>-23.56711</v>
      </c>
      <c r="K14849" s="160" t="s">
        <v>15</v>
      </c>
      <c r="L14849" s="154" t="str">
        <f>IF(OpenLCAbasic!K14849="CTUh", "Fill in Manually",IF(OR(K14849="Unit", K14849=""), "", INDEX(LookUps!$E$5:$E$12, MATCH(OpenLCAbasic!K14849,LookUps!$D$5:$D$12,0))))</f>
        <v>Cumulative Energy Demand (CED) - MJ</v>
      </c>
      <c r="M14849" s="154" t="str">
        <f t="shared" si="1326"/>
        <v>High_High_High_Upgraded_Cumulative Energy Demand (CED) - MJ_Anaerobic Digestion; wastewater treatment unit; at updated plant - US_Without Amendment_Aerated Static Pile</v>
      </c>
    </row>
    <row r="14850" spans="1:13" s="120" customFormat="1" x14ac:dyDescent="0.25">
      <c r="A14850" s="119"/>
      <c r="B14850" s="138" t="str">
        <f t="shared" si="1329"/>
        <v/>
      </c>
      <c r="C14850" s="138" t="str">
        <f t="shared" si="1330"/>
        <v/>
      </c>
      <c r="D14850" s="138" t="str">
        <f t="shared" si="1328"/>
        <v/>
      </c>
      <c r="E14850" s="138" t="str">
        <f t="shared" si="1331"/>
        <v/>
      </c>
      <c r="F14850" s="138" t="str">
        <f t="shared" si="1332"/>
        <v/>
      </c>
      <c r="G14850" s="153" t="s">
        <v>51</v>
      </c>
      <c r="H14850" s="160"/>
      <c r="I14850" s="160" t="s">
        <v>47</v>
      </c>
      <c r="J14850" s="160" t="s">
        <v>52</v>
      </c>
      <c r="K14850" s="160" t="s">
        <v>27</v>
      </c>
      <c r="L14850" s="154" t="str">
        <f>IF(OpenLCAbasic!K14850="CTUh", "Fill in Manually",IF(OR(K14850="Unit", K14850=""), "", INDEX(LookUps!$E$5:$E$12, MATCH(OpenLCAbasic!K14850,LookUps!$D$5:$D$12,0))))</f>
        <v/>
      </c>
      <c r="M14850" s="154" t="str">
        <f t="shared" si="1326"/>
        <v>____Process__</v>
      </c>
    </row>
    <row r="14851" spans="1:13" s="120" customFormat="1" x14ac:dyDescent="0.25">
      <c r="A14851" s="119"/>
      <c r="B14851" s="138" t="str">
        <f t="shared" si="1329"/>
        <v>Aerated Static Pile</v>
      </c>
      <c r="C14851" s="138" t="str">
        <f t="shared" si="1330"/>
        <v>Without Amendment</v>
      </c>
      <c r="D14851" s="138" t="str">
        <f t="shared" si="1328"/>
        <v>High_High</v>
      </c>
      <c r="E14851" s="138" t="str">
        <f t="shared" si="1331"/>
        <v>High</v>
      </c>
      <c r="F14851" s="138" t="str">
        <f t="shared" si="1332"/>
        <v>Upgraded</v>
      </c>
      <c r="G14851" s="153"/>
      <c r="H14851" s="210">
        <v>0.91359999999999997</v>
      </c>
      <c r="I14851" s="160" t="s">
        <v>48</v>
      </c>
      <c r="J14851" s="160">
        <v>1.1610000000000001E-2</v>
      </c>
      <c r="K14851" s="160" t="s">
        <v>13</v>
      </c>
      <c r="L14851" s="154" t="str">
        <f>IF(OpenLCAbasic!K14851="CTUh", "Fill in Manually",IF(OR(K14851="Unit", K14851=""), "", INDEX(LookUps!$E$5:$E$12, MATCH(OpenLCAbasic!K14851,LookUps!$D$5:$D$12,0))))</f>
        <v>Eutrophication Potential (EP) - kg N eq</v>
      </c>
      <c r="M14851" s="154" t="str">
        <f t="shared" si="1326"/>
        <v>High_High_High_Upgraded_Eutrophication Potential (EP) - kg N eq_Effluent release; wastewater treatment unit; at surface water; m3 wastewater - US_Without Amendment_Aerated Static Pile</v>
      </c>
    </row>
    <row r="14852" spans="1:13" s="120" customFormat="1" x14ac:dyDescent="0.25">
      <c r="A14852" s="119"/>
      <c r="B14852" s="138" t="str">
        <f t="shared" si="1329"/>
        <v>Aerated Static Pile</v>
      </c>
      <c r="C14852" s="138" t="str">
        <f t="shared" si="1330"/>
        <v>Without Amendment</v>
      </c>
      <c r="D14852" s="138" t="str">
        <f t="shared" si="1328"/>
        <v>High_High</v>
      </c>
      <c r="E14852" s="138" t="str">
        <f t="shared" si="1331"/>
        <v>High</v>
      </c>
      <c r="F14852" s="138" t="str">
        <f t="shared" si="1332"/>
        <v>Upgraded</v>
      </c>
      <c r="G14852" s="153"/>
      <c r="H14852" s="210">
        <v>0.17480000000000001</v>
      </c>
      <c r="I14852" s="160" t="s">
        <v>62</v>
      </c>
      <c r="J14852" s="160">
        <v>2.2200000000000002E-3</v>
      </c>
      <c r="K14852" s="160" t="s">
        <v>13</v>
      </c>
      <c r="L14852" s="154" t="str">
        <f>IF(OpenLCAbasic!K14852="CTUh", "Fill in Manually",IF(OR(K14852="Unit", K14852=""), "", INDEX(LookUps!$E$5:$E$12, MATCH(OpenLCAbasic!K14852,LookUps!$D$5:$D$12,0))))</f>
        <v>Eutrophication Potential (EP) - kg N eq</v>
      </c>
      <c r="M14852" s="154" t="str">
        <f t="shared" si="1326"/>
        <v>High_High_High_Upgraded_Eutrophication Potential (EP) - kg N eq_Land application of compost; wastewater treatment unit; at updated plant - US_Without Amendment_Aerated Static Pile</v>
      </c>
    </row>
    <row r="14853" spans="1:13" s="120" customFormat="1" x14ac:dyDescent="0.25">
      <c r="A14853" s="119"/>
      <c r="B14853" s="138" t="str">
        <f t="shared" si="1329"/>
        <v>Aerated Static Pile</v>
      </c>
      <c r="C14853" s="138" t="str">
        <f t="shared" si="1330"/>
        <v>Without Amendment</v>
      </c>
      <c r="D14853" s="138" t="str">
        <f t="shared" si="1328"/>
        <v>High_High</v>
      </c>
      <c r="E14853" s="138" t="str">
        <f t="shared" si="1331"/>
        <v>High</v>
      </c>
      <c r="F14853" s="138" t="str">
        <f t="shared" si="1332"/>
        <v>Upgraded</v>
      </c>
      <c r="G14853" s="153"/>
      <c r="H14853" s="210">
        <v>4.2999999999999997E-2</v>
      </c>
      <c r="I14853" s="160" t="s">
        <v>55</v>
      </c>
      <c r="J14853" s="160">
        <v>5.5000000000000003E-4</v>
      </c>
      <c r="K14853" s="160" t="s">
        <v>13</v>
      </c>
      <c r="L14853" s="154" t="str">
        <f>IF(OpenLCAbasic!K14853="CTUh", "Fill in Manually",IF(OR(K14853="Unit", K14853=""), "", INDEX(LookUps!$E$5:$E$12, MATCH(OpenLCAbasic!K14853,LookUps!$D$5:$D$12,0))))</f>
        <v>Eutrophication Potential (EP) - kg N eq</v>
      </c>
      <c r="M14853" s="154" t="str">
        <f t="shared" si="1326"/>
        <v>High_High_High_Upgraded_Eutrophication Potential (EP) - kg N eq_Aeration Tanks; wastewater treatment unit; at updated plant - US_Without Amendment_Aerated Static Pile</v>
      </c>
    </row>
    <row r="14854" spans="1:13" s="120" customFormat="1" x14ac:dyDescent="0.25">
      <c r="A14854" s="119"/>
      <c r="B14854" s="138" t="str">
        <f t="shared" si="1329"/>
        <v>Aerated Static Pile</v>
      </c>
      <c r="C14854" s="138" t="str">
        <f t="shared" si="1330"/>
        <v>Without Amendment</v>
      </c>
      <c r="D14854" s="138" t="str">
        <f t="shared" si="1328"/>
        <v>High_High</v>
      </c>
      <c r="E14854" s="138" t="str">
        <f t="shared" si="1331"/>
        <v>High</v>
      </c>
      <c r="F14854" s="138" t="str">
        <f t="shared" si="1332"/>
        <v>Upgraded</v>
      </c>
      <c r="G14854" s="153"/>
      <c r="H14854" s="210">
        <v>1.9599999999999999E-2</v>
      </c>
      <c r="I14854" s="160" t="s">
        <v>147</v>
      </c>
      <c r="J14854" s="160">
        <v>2.5000000000000001E-4</v>
      </c>
      <c r="K14854" s="160" t="s">
        <v>13</v>
      </c>
      <c r="L14854" s="154" t="str">
        <f>IF(OpenLCAbasic!K14854="CTUh", "Fill in Manually",IF(OR(K14854="Unit", K14854=""), "", INDEX(LookUps!$E$5:$E$12, MATCH(OpenLCAbasic!K14854,LookUps!$D$5:$D$12,0))))</f>
        <v>Eutrophication Potential (EP) - kg N eq</v>
      </c>
      <c r="M14854" s="154" t="str">
        <f t="shared" si="1326"/>
        <v>High_High_High_Upgraded_Eutrophication Potential (EP) - kg N eq_Influent Pump Station; wastewater treatment unit; at updated plant - US_Without Amendment_Aerated Static Pile</v>
      </c>
    </row>
    <row r="14855" spans="1:13" s="120" customFormat="1" x14ac:dyDescent="0.25">
      <c r="A14855" s="119"/>
      <c r="B14855" s="138" t="str">
        <f t="shared" si="1329"/>
        <v>Aerated Static Pile</v>
      </c>
      <c r="C14855" s="138" t="str">
        <f t="shared" si="1330"/>
        <v>Without Amendment</v>
      </c>
      <c r="D14855" s="138" t="str">
        <f t="shared" si="1328"/>
        <v>High_High</v>
      </c>
      <c r="E14855" s="138" t="str">
        <f t="shared" si="1331"/>
        <v>High</v>
      </c>
      <c r="F14855" s="138" t="str">
        <f t="shared" si="1332"/>
        <v>Upgraded</v>
      </c>
      <c r="G14855" s="153"/>
      <c r="H14855" s="210">
        <v>1.7299999999999999E-2</v>
      </c>
      <c r="I14855" s="160" t="s">
        <v>167</v>
      </c>
      <c r="J14855" s="160">
        <v>2.2000000000000001E-4</v>
      </c>
      <c r="K14855" s="160" t="s">
        <v>13</v>
      </c>
      <c r="L14855" s="154" t="str">
        <f>IF(OpenLCAbasic!K14855="CTUh", "Fill in Manually",IF(OR(K14855="Unit", K14855=""), "", INDEX(LookUps!$E$5:$E$12, MATCH(OpenLCAbasic!K14855,LookUps!$D$5:$D$12,0))))</f>
        <v>Eutrophication Potential (EP) - kg N eq</v>
      </c>
      <c r="M14855" s="154" t="str">
        <f t="shared" si="1326"/>
        <v>High_High_High_Upgraded_Eutrophication Potential (EP) - kg N eq_Waste Receiving and Holding; wastewater treatment unit; at updated plant - US_Without Amendment_Aerated Static Pile</v>
      </c>
    </row>
    <row r="14856" spans="1:13" s="120" customFormat="1" x14ac:dyDescent="0.25">
      <c r="A14856" s="119"/>
      <c r="B14856" s="138" t="str">
        <f t="shared" si="1329"/>
        <v>Aerated Static Pile</v>
      </c>
      <c r="C14856" s="138" t="str">
        <f t="shared" si="1330"/>
        <v>Without Amendment</v>
      </c>
      <c r="D14856" s="138" t="str">
        <f t="shared" si="1328"/>
        <v>High_High</v>
      </c>
      <c r="E14856" s="138" t="str">
        <f t="shared" si="1331"/>
        <v>High</v>
      </c>
      <c r="F14856" s="138" t="str">
        <f t="shared" si="1332"/>
        <v>Upgraded</v>
      </c>
      <c r="G14856" s="153"/>
      <c r="H14856" s="210">
        <v>1.5599999999999999E-2</v>
      </c>
      <c r="I14856" s="160" t="s">
        <v>54</v>
      </c>
      <c r="J14856" s="160">
        <v>2.0000000000000001E-4</v>
      </c>
      <c r="K14856" s="160" t="s">
        <v>13</v>
      </c>
      <c r="L14856" s="154" t="str">
        <f>IF(OpenLCAbasic!K14856="CTUh", "Fill in Manually",IF(OR(K14856="Unit", K14856=""), "", INDEX(LookUps!$E$5:$E$12, MATCH(OpenLCAbasic!K14856,LookUps!$D$5:$D$12,0))))</f>
        <v>Eutrophication Potential (EP) - kg N eq</v>
      </c>
      <c r="M14856" s="154" t="str">
        <f t="shared" si="1326"/>
        <v>High_High_High_Upgraded_Eutrophication Potential (EP) - kg N eq_Clear Cove Primary Clarification; wastewater treatment unit; at updated plant - US_Without Amendment_Aerated Static Pile</v>
      </c>
    </row>
    <row r="14857" spans="1:13" s="120" customFormat="1" x14ac:dyDescent="0.25">
      <c r="A14857" s="119"/>
      <c r="B14857" s="138" t="str">
        <f t="shared" si="1329"/>
        <v>Aerated Static Pile</v>
      </c>
      <c r="C14857" s="138" t="str">
        <f t="shared" si="1330"/>
        <v>Without Amendment</v>
      </c>
      <c r="D14857" s="138" t="str">
        <f t="shared" si="1328"/>
        <v>High_High</v>
      </c>
      <c r="E14857" s="138" t="str">
        <f t="shared" si="1331"/>
        <v>High</v>
      </c>
      <c r="F14857" s="138" t="str">
        <f t="shared" si="1332"/>
        <v>Upgraded</v>
      </c>
      <c r="G14857" s="153"/>
      <c r="H14857" s="210">
        <v>1.0699999999999999E-2</v>
      </c>
      <c r="I14857" s="160" t="s">
        <v>58</v>
      </c>
      <c r="J14857" s="160">
        <v>1.3999999999999999E-4</v>
      </c>
      <c r="K14857" s="160" t="s">
        <v>13</v>
      </c>
      <c r="L14857" s="154" t="str">
        <f>IF(OpenLCAbasic!K14857="CTUh", "Fill in Manually",IF(OR(K14857="Unit", K14857=""), "", INDEX(LookUps!$E$5:$E$12, MATCH(OpenLCAbasic!K14857,LookUps!$D$5:$D$12,0))))</f>
        <v>Eutrophication Potential (EP) - kg N eq</v>
      </c>
      <c r="M14857" s="154" t="str">
        <f t="shared" si="1326"/>
        <v>High_High_High_Upgraded_Eutrophication Potential (EP) - kg N eq_Pre-Anoxic &amp; Swing tank; wastewater treatment unit; at updated plant - US_Without Amendment_Aerated Static Pile</v>
      </c>
    </row>
    <row r="14858" spans="1:13" s="120" customFormat="1" x14ac:dyDescent="0.25">
      <c r="A14858" s="119"/>
      <c r="B14858" s="138" t="str">
        <f t="shared" si="1329"/>
        <v>Aerated Static Pile</v>
      </c>
      <c r="C14858" s="138" t="str">
        <f t="shared" si="1330"/>
        <v>Without Amendment</v>
      </c>
      <c r="D14858" s="138" t="str">
        <f t="shared" si="1328"/>
        <v>High_High</v>
      </c>
      <c r="E14858" s="138" t="str">
        <f t="shared" si="1331"/>
        <v>High</v>
      </c>
      <c r="F14858" s="138" t="str">
        <f t="shared" si="1332"/>
        <v>Upgraded</v>
      </c>
      <c r="G14858" s="153"/>
      <c r="H14858" s="210">
        <v>1.03E-2</v>
      </c>
      <c r="I14858" s="160" t="s">
        <v>435</v>
      </c>
      <c r="J14858" s="160">
        <v>1.2999999999999999E-4</v>
      </c>
      <c r="K14858" s="160" t="s">
        <v>13</v>
      </c>
      <c r="L14858" s="154" t="str">
        <f>IF(OpenLCAbasic!K14858="CTUh", "Fill in Manually",IF(OR(K14858="Unit", K14858=""), "", INDEX(LookUps!$E$5:$E$12, MATCH(OpenLCAbasic!K14858,LookUps!$D$5:$D$12,0))))</f>
        <v>Eutrophication Potential (EP) - kg N eq</v>
      </c>
      <c r="M14858" s="154" t="str">
        <f t="shared" si="1326"/>
        <v>High_High_High_Upgraded_Eutrophication Potential (EP) - kg N eq_Biosolids composting; aerated static pile; wastewater treatment unit; at updated plant - US_Without Amendment_Aerated Static Pile</v>
      </c>
    </row>
    <row r="14859" spans="1:13" s="120" customFormat="1" x14ac:dyDescent="0.25">
      <c r="A14859" s="119"/>
      <c r="B14859" s="138" t="str">
        <f t="shared" si="1329"/>
        <v>Aerated Static Pile</v>
      </c>
      <c r="C14859" s="138" t="str">
        <f t="shared" si="1330"/>
        <v>Without Amendment</v>
      </c>
      <c r="D14859" s="138" t="str">
        <f t="shared" si="1328"/>
        <v>High_High</v>
      </c>
      <c r="E14859" s="138" t="str">
        <f t="shared" si="1331"/>
        <v>High</v>
      </c>
      <c r="F14859" s="138" t="str">
        <f t="shared" si="1332"/>
        <v>Upgraded</v>
      </c>
      <c r="G14859" s="153"/>
      <c r="H14859" s="210">
        <v>8.5000000000000006E-3</v>
      </c>
      <c r="I14859" s="160" t="s">
        <v>53</v>
      </c>
      <c r="J14859" s="160">
        <v>1.1E-4</v>
      </c>
      <c r="K14859" s="160" t="s">
        <v>13</v>
      </c>
      <c r="L14859" s="154" t="str">
        <f>IF(OpenLCAbasic!K14859="CTUh", "Fill in Manually",IF(OR(K14859="Unit", K14859=""), "", INDEX(LookUps!$E$5:$E$12, MATCH(OpenLCAbasic!K14859,LookUps!$D$5:$D$12,0))))</f>
        <v>Eutrophication Potential (EP) - kg N eq</v>
      </c>
      <c r="M14859" s="154" t="str">
        <f t="shared" si="1326"/>
        <v>High_High_High_Upgraded_Eutrophication Potential (EP) - kg N eq_Wet Well and Sump Station; wastewater treatment unit; at updated plant - US_Without Amendment_Aerated Static Pile</v>
      </c>
    </row>
    <row r="14860" spans="1:13" s="120" customFormat="1" x14ac:dyDescent="0.25">
      <c r="A14860" s="119"/>
      <c r="B14860" s="138" t="str">
        <f t="shared" si="1329"/>
        <v>Aerated Static Pile</v>
      </c>
      <c r="C14860" s="138" t="str">
        <f t="shared" si="1330"/>
        <v>Without Amendment</v>
      </c>
      <c r="D14860" s="138" t="str">
        <f t="shared" si="1328"/>
        <v>High_High</v>
      </c>
      <c r="E14860" s="138" t="str">
        <f t="shared" si="1331"/>
        <v>High</v>
      </c>
      <c r="F14860" s="138" t="str">
        <f t="shared" si="1332"/>
        <v>Upgraded</v>
      </c>
      <c r="G14860" s="153"/>
      <c r="H14860" s="210">
        <v>7.1000000000000004E-3</v>
      </c>
      <c r="I14860" s="160" t="s">
        <v>60</v>
      </c>
      <c r="J14860" s="211">
        <v>9.0710800000000006E-5</v>
      </c>
      <c r="K14860" s="160" t="s">
        <v>13</v>
      </c>
      <c r="L14860" s="154" t="str">
        <f>IF(OpenLCAbasic!K14860="CTUh", "Fill in Manually",IF(OR(K14860="Unit", K14860=""), "", INDEX(LookUps!$E$5:$E$12, MATCH(OpenLCAbasic!K14860,LookUps!$D$5:$D$12,0))))</f>
        <v>Eutrophication Potential (EP) - kg N eq</v>
      </c>
      <c r="M14860" s="154" t="str">
        <f t="shared" si="1326"/>
        <v>High_High_High_Upgraded_Eutrophication Potential (EP) - kg N eq_Belt filter press; wastewater treatment unit; at updated plant - US_Without Amendment_Aerated Static Pile</v>
      </c>
    </row>
    <row r="14861" spans="1:13" s="120" customFormat="1" x14ac:dyDescent="0.25">
      <c r="A14861" s="119"/>
      <c r="B14861" s="138" t="str">
        <f t="shared" si="1329"/>
        <v>Aerated Static Pile</v>
      </c>
      <c r="C14861" s="138" t="str">
        <f t="shared" si="1330"/>
        <v>Without Amendment</v>
      </c>
      <c r="D14861" s="138" t="str">
        <f t="shared" si="1328"/>
        <v>High_High</v>
      </c>
      <c r="E14861" s="138" t="str">
        <f t="shared" si="1331"/>
        <v>High</v>
      </c>
      <c r="F14861" s="138" t="str">
        <f t="shared" si="1332"/>
        <v>Upgraded</v>
      </c>
      <c r="G14861" s="153"/>
      <c r="H14861" s="210">
        <v>4.7999999999999996E-3</v>
      </c>
      <c r="I14861" s="160" t="s">
        <v>57</v>
      </c>
      <c r="J14861" s="211">
        <v>6.0590300000000002E-5</v>
      </c>
      <c r="K14861" s="160" t="s">
        <v>13</v>
      </c>
      <c r="L14861" s="154" t="str">
        <f>IF(OpenLCAbasic!K14861="CTUh", "Fill in Manually",IF(OR(K14861="Unit", K14861=""), "", INDEX(LookUps!$E$5:$E$12, MATCH(OpenLCAbasic!K14861,LookUps!$D$5:$D$12,0))))</f>
        <v>Eutrophication Potential (EP) - kg N eq</v>
      </c>
      <c r="M14861" s="154" t="str">
        <f t="shared" si="1326"/>
        <v>High_High_High_Upgraded_Eutrophication Potential (EP) - kg N eq_Gravity Belt Thickener; wastewater treatment unit; at updated plant - US_Without Amendment_Aerated Static Pile</v>
      </c>
    </row>
    <row r="14862" spans="1:13" s="120" customFormat="1" x14ac:dyDescent="0.25">
      <c r="A14862" s="119"/>
      <c r="B14862" s="138" t="str">
        <f t="shared" si="1329"/>
        <v>Aerated Static Pile</v>
      </c>
      <c r="C14862" s="138" t="str">
        <f t="shared" si="1330"/>
        <v>Without Amendment</v>
      </c>
      <c r="D14862" s="138" t="str">
        <f t="shared" si="1328"/>
        <v>High_High</v>
      </c>
      <c r="E14862" s="138" t="str">
        <f t="shared" si="1331"/>
        <v>High</v>
      </c>
      <c r="F14862" s="138" t="str">
        <f t="shared" si="1332"/>
        <v>Upgraded</v>
      </c>
      <c r="G14862" s="153"/>
      <c r="H14862" s="210">
        <v>3.0000000000000001E-3</v>
      </c>
      <c r="I14862" s="160" t="s">
        <v>128</v>
      </c>
      <c r="J14862" s="211">
        <v>3.7559799999999999E-5</v>
      </c>
      <c r="K14862" s="160" t="s">
        <v>13</v>
      </c>
      <c r="L14862" s="154" t="str">
        <f>IF(OpenLCAbasic!K14862="CTUh", "Fill in Manually",IF(OR(K14862="Unit", K14862=""), "", INDEX(LookUps!$E$5:$E$12, MATCH(OpenLCAbasic!K14862,LookUps!$D$5:$D$12,0))))</f>
        <v>Eutrophication Potential (EP) - kg N eq</v>
      </c>
      <c r="M14862" s="154" t="str">
        <f t="shared" si="1326"/>
        <v>High_High_High_Upgraded_Eutrophication Potential (EP) - kg N eq_Wastewater collection; operation and infrastructure; m3 wastewater_Without Amendment_Aerated Static Pile</v>
      </c>
    </row>
    <row r="14863" spans="1:13" s="120" customFormat="1" x14ac:dyDescent="0.25">
      <c r="A14863" s="119"/>
      <c r="B14863" s="138" t="str">
        <f t="shared" si="1329"/>
        <v>Aerated Static Pile</v>
      </c>
      <c r="C14863" s="138" t="str">
        <f t="shared" si="1330"/>
        <v>Without Amendment</v>
      </c>
      <c r="D14863" s="138" t="str">
        <f t="shared" si="1328"/>
        <v>High_High</v>
      </c>
      <c r="E14863" s="138" t="str">
        <f t="shared" si="1331"/>
        <v>High</v>
      </c>
      <c r="F14863" s="138" t="str">
        <f t="shared" si="1332"/>
        <v>Upgraded</v>
      </c>
      <c r="G14863" s="153"/>
      <c r="H14863" s="210">
        <v>2.8999999999999998E-3</v>
      </c>
      <c r="I14863" s="160" t="s">
        <v>148</v>
      </c>
      <c r="J14863" s="211">
        <v>3.6874600000000001E-5</v>
      </c>
      <c r="K14863" s="160" t="s">
        <v>13</v>
      </c>
      <c r="L14863" s="154" t="str">
        <f>IF(OpenLCAbasic!K14863="CTUh", "Fill in Manually",IF(OR(K14863="Unit", K14863=""), "", INDEX(LookUps!$E$5:$E$12, MATCH(OpenLCAbasic!K14863,LookUps!$D$5:$D$12,0))))</f>
        <v>Eutrophication Potential (EP) - kg N eq</v>
      </c>
      <c r="M14863" s="154" t="str">
        <f t="shared" si="1326"/>
        <v>High_High_High_Upgraded_Eutrophication Potential (EP) - kg N eq_Control Building; at upgraded wastewater treatment plant - US_Without Amendment_Aerated Static Pile</v>
      </c>
    </row>
    <row r="14864" spans="1:13" s="120" customFormat="1" x14ac:dyDescent="0.25">
      <c r="A14864" s="119"/>
      <c r="B14864" s="138" t="str">
        <f t="shared" si="1329"/>
        <v>Aerated Static Pile</v>
      </c>
      <c r="C14864" s="138" t="str">
        <f t="shared" si="1330"/>
        <v>Without Amendment</v>
      </c>
      <c r="D14864" s="138" t="str">
        <f t="shared" si="1328"/>
        <v>High_High</v>
      </c>
      <c r="E14864" s="138" t="str">
        <f t="shared" si="1331"/>
        <v>High</v>
      </c>
      <c r="F14864" s="138" t="str">
        <f t="shared" si="1332"/>
        <v>Upgraded</v>
      </c>
      <c r="G14864" s="153"/>
      <c r="H14864" s="210">
        <v>1.2999999999999999E-3</v>
      </c>
      <c r="I14864" s="160" t="s">
        <v>59</v>
      </c>
      <c r="J14864" s="211">
        <v>1.6215700000000001E-5</v>
      </c>
      <c r="K14864" s="160" t="s">
        <v>13</v>
      </c>
      <c r="L14864" s="154" t="str">
        <f>IF(OpenLCAbasic!K14864="CTUh", "Fill in Manually",IF(OR(K14864="Unit", K14864=""), "", INDEX(LookUps!$E$5:$E$12, MATCH(OpenLCAbasic!K14864,LookUps!$D$5:$D$12,0))))</f>
        <v>Eutrophication Potential (EP) - kg N eq</v>
      </c>
      <c r="M14864" s="154" t="str">
        <f t="shared" ref="M14864:M14927" si="1333">CONCATENATE(E14864,"_",D14864,"_",F14864,"_",L14864, "_",I14864,"_", C14864,"_", B14864)</f>
        <v>High_High_High_Upgraded_Eutrophication Potential (EP) - kg N eq_Blend Tank; wastewater treatment unit; at updated plant - US_Without Amendment_Aerated Static Pile</v>
      </c>
    </row>
    <row r="14865" spans="1:13" s="120" customFormat="1" x14ac:dyDescent="0.25">
      <c r="A14865" s="119"/>
      <c r="B14865" s="138" t="str">
        <f t="shared" si="1329"/>
        <v>Aerated Static Pile</v>
      </c>
      <c r="C14865" s="138" t="str">
        <f t="shared" si="1330"/>
        <v>Without Amendment</v>
      </c>
      <c r="D14865" s="138" t="str">
        <f t="shared" si="1328"/>
        <v>High_High</v>
      </c>
      <c r="E14865" s="138" t="str">
        <f t="shared" si="1331"/>
        <v>High</v>
      </c>
      <c r="F14865" s="138" t="str">
        <f t="shared" si="1332"/>
        <v>Upgraded</v>
      </c>
      <c r="G14865" s="153"/>
      <c r="H14865" s="210">
        <v>5.9999999999999995E-4</v>
      </c>
      <c r="I14865" s="160" t="s">
        <v>168</v>
      </c>
      <c r="J14865" s="211">
        <v>7.7567199999999995E-6</v>
      </c>
      <c r="K14865" s="160" t="s">
        <v>13</v>
      </c>
      <c r="L14865" s="154" t="str">
        <f>IF(OpenLCAbasic!K14865="CTUh", "Fill in Manually",IF(OR(K14865="Unit", K14865=""), "", INDEX(LookUps!$E$5:$E$12, MATCH(OpenLCAbasic!K14865,LookUps!$D$5:$D$12,0))))</f>
        <v>Eutrophication Potential (EP) - kg N eq</v>
      </c>
      <c r="M14865" s="154" t="str">
        <f t="shared" si="1333"/>
        <v>High_High_High_Upgraded_Eutrophication Potential (EP) - kg N eq_ClearCove SCP; wastewater treatment unit; at updated plant - US_Without Amendment_Aerated Static Pile</v>
      </c>
    </row>
    <row r="14866" spans="1:13" s="120" customFormat="1" x14ac:dyDescent="0.25">
      <c r="A14866" s="119"/>
      <c r="B14866" s="138" t="str">
        <f t="shared" si="1329"/>
        <v>Aerated Static Pile</v>
      </c>
      <c r="C14866" s="138" t="str">
        <f t="shared" si="1330"/>
        <v>Without Amendment</v>
      </c>
      <c r="D14866" s="138" t="str">
        <f t="shared" si="1328"/>
        <v>High_High</v>
      </c>
      <c r="E14866" s="138" t="str">
        <f t="shared" si="1331"/>
        <v>High</v>
      </c>
      <c r="F14866" s="138" t="str">
        <f t="shared" si="1332"/>
        <v>Upgraded</v>
      </c>
      <c r="G14866" s="153"/>
      <c r="H14866" s="210">
        <v>-0.23300000000000001</v>
      </c>
      <c r="I14866" s="160" t="s">
        <v>149</v>
      </c>
      <c r="J14866" s="160">
        <v>-2.96E-3</v>
      </c>
      <c r="K14866" s="160" t="s">
        <v>13</v>
      </c>
      <c r="L14866" s="154" t="str">
        <f>IF(OpenLCAbasic!K14866="CTUh", "Fill in Manually",IF(OR(K14866="Unit", K14866=""), "", INDEX(LookUps!$E$5:$E$12, MATCH(OpenLCAbasic!K14866,LookUps!$D$5:$D$12,0))))</f>
        <v>Eutrophication Potential (EP) - kg N eq</v>
      </c>
      <c r="M14866" s="154" t="str">
        <f t="shared" si="1333"/>
        <v>High_High_High_Upgraded_Eutrophication Potential (EP) - kg N eq_Anaerobic Digestion; wastewater treatment unit; at updated plant - US_Without Amendment_Aerated Static Pile</v>
      </c>
    </row>
    <row r="14867" spans="1:13" s="120" customFormat="1" x14ac:dyDescent="0.25">
      <c r="A14867" s="119"/>
      <c r="B14867" s="138" t="str">
        <f t="shared" si="1329"/>
        <v/>
      </c>
      <c r="C14867" s="138" t="str">
        <f t="shared" si="1330"/>
        <v/>
      </c>
      <c r="D14867" s="138" t="str">
        <f t="shared" si="1328"/>
        <v/>
      </c>
      <c r="E14867" s="138" t="str">
        <f t="shared" si="1331"/>
        <v/>
      </c>
      <c r="F14867" s="138" t="str">
        <f t="shared" si="1332"/>
        <v/>
      </c>
      <c r="G14867" s="153" t="s">
        <v>51</v>
      </c>
      <c r="H14867" s="160"/>
      <c r="I14867" s="160" t="s">
        <v>47</v>
      </c>
      <c r="J14867" s="160" t="s">
        <v>52</v>
      </c>
      <c r="K14867" s="160" t="s">
        <v>27</v>
      </c>
      <c r="L14867" s="154" t="str">
        <f>IF(OpenLCAbasic!K14867="CTUh", "Fill in Manually",IF(OR(K14867="Unit", K14867=""), "", INDEX(LookUps!$E$5:$E$12, MATCH(OpenLCAbasic!K14867,LookUps!$D$5:$D$12,0))))</f>
        <v/>
      </c>
      <c r="M14867" s="154" t="str">
        <f t="shared" si="1333"/>
        <v>____Process__</v>
      </c>
    </row>
    <row r="14868" spans="1:13" s="120" customFormat="1" x14ac:dyDescent="0.25">
      <c r="A14868" s="119"/>
      <c r="B14868" s="138" t="str">
        <f t="shared" si="1329"/>
        <v>Aerated Static Pile</v>
      </c>
      <c r="C14868" s="138" t="str">
        <f t="shared" si="1330"/>
        <v>Without Amendment</v>
      </c>
      <c r="D14868" s="138" t="str">
        <f t="shared" si="1328"/>
        <v>High_High</v>
      </c>
      <c r="E14868" s="138" t="str">
        <f t="shared" si="1331"/>
        <v>High</v>
      </c>
      <c r="F14868" s="138" t="str">
        <f t="shared" si="1332"/>
        <v>Upgraded</v>
      </c>
      <c r="G14868" s="153"/>
      <c r="H14868" s="210">
        <v>0.69899999999999995</v>
      </c>
      <c r="I14868" s="160" t="s">
        <v>167</v>
      </c>
      <c r="J14868" s="160">
        <v>0.11719</v>
      </c>
      <c r="K14868" s="160" t="s">
        <v>14</v>
      </c>
      <c r="L14868" s="154" t="str">
        <f>IF(OpenLCAbasic!K14868="CTUh", "Fill in Manually",IF(OR(K14868="Unit", K14868=""), "", INDEX(LookUps!$E$5:$E$12, MATCH(OpenLCAbasic!K14868,LookUps!$D$5:$D$12,0))))</f>
        <v>Fossil Depletion Potential (FDP) - kg oil eq</v>
      </c>
      <c r="M14868" s="154" t="str">
        <f t="shared" si="1333"/>
        <v>High_High_High_Upgraded_Fossil Depletion Potential (FDP) - kg oil eq_Waste Receiving and Holding; wastewater treatment unit; at updated plant - US_Without Amendment_Aerated Static Pile</v>
      </c>
    </row>
    <row r="14869" spans="1:13" s="120" customFormat="1" x14ac:dyDescent="0.25">
      <c r="A14869" s="119"/>
      <c r="B14869" s="138" t="str">
        <f t="shared" si="1329"/>
        <v>Aerated Static Pile</v>
      </c>
      <c r="C14869" s="138" t="str">
        <f t="shared" si="1330"/>
        <v>Without Amendment</v>
      </c>
      <c r="D14869" s="138" t="str">
        <f t="shared" si="1328"/>
        <v>High_High</v>
      </c>
      <c r="E14869" s="138" t="str">
        <f t="shared" si="1331"/>
        <v>High</v>
      </c>
      <c r="F14869" s="138" t="str">
        <f t="shared" si="1332"/>
        <v>Upgraded</v>
      </c>
      <c r="G14869" s="153"/>
      <c r="H14869" s="210">
        <v>0.37930000000000003</v>
      </c>
      <c r="I14869" s="160" t="s">
        <v>55</v>
      </c>
      <c r="J14869" s="160">
        <v>6.3589999999999994E-2</v>
      </c>
      <c r="K14869" s="160" t="s">
        <v>14</v>
      </c>
      <c r="L14869" s="154" t="str">
        <f>IF(OpenLCAbasic!K14869="CTUh", "Fill in Manually",IF(OR(K14869="Unit", K14869=""), "", INDEX(LookUps!$E$5:$E$12, MATCH(OpenLCAbasic!K14869,LookUps!$D$5:$D$12,0))))</f>
        <v>Fossil Depletion Potential (FDP) - kg oil eq</v>
      </c>
      <c r="M14869" s="154" t="str">
        <f t="shared" si="1333"/>
        <v>High_High_High_Upgraded_Fossil Depletion Potential (FDP) - kg oil eq_Aeration Tanks; wastewater treatment unit; at updated plant - US_Without Amendment_Aerated Static Pile</v>
      </c>
    </row>
    <row r="14870" spans="1:13" s="120" customFormat="1" x14ac:dyDescent="0.25">
      <c r="A14870" s="119"/>
      <c r="B14870" s="138" t="str">
        <f t="shared" si="1329"/>
        <v>Aerated Static Pile</v>
      </c>
      <c r="C14870" s="138" t="str">
        <f t="shared" si="1330"/>
        <v>Without Amendment</v>
      </c>
      <c r="D14870" s="138" t="str">
        <f t="shared" si="1328"/>
        <v>High_High</v>
      </c>
      <c r="E14870" s="138" t="str">
        <f t="shared" si="1331"/>
        <v>High</v>
      </c>
      <c r="F14870" s="138" t="str">
        <f t="shared" si="1332"/>
        <v>Upgraded</v>
      </c>
      <c r="G14870" s="153"/>
      <c r="H14870" s="210">
        <v>0.12559999999999999</v>
      </c>
      <c r="I14870" s="160" t="s">
        <v>54</v>
      </c>
      <c r="J14870" s="160">
        <v>2.1049999999999999E-2</v>
      </c>
      <c r="K14870" s="160" t="s">
        <v>14</v>
      </c>
      <c r="L14870" s="154" t="str">
        <f>IF(OpenLCAbasic!K14870="CTUh", "Fill in Manually",IF(OR(K14870="Unit", K14870=""), "", INDEX(LookUps!$E$5:$E$12, MATCH(OpenLCAbasic!K14870,LookUps!$D$5:$D$12,0))))</f>
        <v>Fossil Depletion Potential (FDP) - kg oil eq</v>
      </c>
      <c r="M14870" s="154" t="str">
        <f t="shared" si="1333"/>
        <v>High_High_High_Upgraded_Fossil Depletion Potential (FDP) - kg oil eq_Clear Cove Primary Clarification; wastewater treatment unit; at updated plant - US_Without Amendment_Aerated Static Pile</v>
      </c>
    </row>
    <row r="14871" spans="1:13" s="120" customFormat="1" x14ac:dyDescent="0.25">
      <c r="A14871" s="119"/>
      <c r="B14871" s="138" t="str">
        <f t="shared" si="1329"/>
        <v>Aerated Static Pile</v>
      </c>
      <c r="C14871" s="138" t="str">
        <f t="shared" si="1330"/>
        <v>Without Amendment</v>
      </c>
      <c r="D14871" s="138" t="str">
        <f t="shared" si="1328"/>
        <v>High_High</v>
      </c>
      <c r="E14871" s="138" t="str">
        <f t="shared" si="1331"/>
        <v>High</v>
      </c>
      <c r="F14871" s="138" t="str">
        <f t="shared" si="1332"/>
        <v>Upgraded</v>
      </c>
      <c r="G14871" s="153"/>
      <c r="H14871" s="210">
        <v>9.5699999999999993E-2</v>
      </c>
      <c r="I14871" s="160" t="s">
        <v>58</v>
      </c>
      <c r="J14871" s="160">
        <v>1.6039999999999999E-2</v>
      </c>
      <c r="K14871" s="160" t="s">
        <v>14</v>
      </c>
      <c r="L14871" s="154" t="str">
        <f>IF(OpenLCAbasic!K14871="CTUh", "Fill in Manually",IF(OR(K14871="Unit", K14871=""), "", INDEX(LookUps!$E$5:$E$12, MATCH(OpenLCAbasic!K14871,LookUps!$D$5:$D$12,0))))</f>
        <v>Fossil Depletion Potential (FDP) - kg oil eq</v>
      </c>
      <c r="M14871" s="154" t="str">
        <f t="shared" si="1333"/>
        <v>High_High_High_Upgraded_Fossil Depletion Potential (FDP) - kg oil eq_Pre-Anoxic &amp; Swing tank; wastewater treatment unit; at updated plant - US_Without Amendment_Aerated Static Pile</v>
      </c>
    </row>
    <row r="14872" spans="1:13" s="120" customFormat="1" x14ac:dyDescent="0.25">
      <c r="A14872" s="119"/>
      <c r="B14872" s="138" t="str">
        <f t="shared" si="1329"/>
        <v>Aerated Static Pile</v>
      </c>
      <c r="C14872" s="138" t="str">
        <f t="shared" si="1330"/>
        <v>Without Amendment</v>
      </c>
      <c r="D14872" s="138" t="str">
        <f t="shared" si="1328"/>
        <v>High_High</v>
      </c>
      <c r="E14872" s="138" t="str">
        <f t="shared" si="1331"/>
        <v>High</v>
      </c>
      <c r="F14872" s="138" t="str">
        <f t="shared" si="1332"/>
        <v>Upgraded</v>
      </c>
      <c r="G14872" s="153"/>
      <c r="H14872" s="210">
        <v>0.09</v>
      </c>
      <c r="I14872" s="160" t="s">
        <v>147</v>
      </c>
      <c r="J14872" s="160">
        <v>1.5089999999999999E-2</v>
      </c>
      <c r="K14872" s="160" t="s">
        <v>14</v>
      </c>
      <c r="L14872" s="154" t="str">
        <f>IF(OpenLCAbasic!K14872="CTUh", "Fill in Manually",IF(OR(K14872="Unit", K14872=""), "", INDEX(LookUps!$E$5:$E$12, MATCH(OpenLCAbasic!K14872,LookUps!$D$5:$D$12,0))))</f>
        <v>Fossil Depletion Potential (FDP) - kg oil eq</v>
      </c>
      <c r="M14872" s="154" t="str">
        <f t="shared" si="1333"/>
        <v>High_High_High_Upgraded_Fossil Depletion Potential (FDP) - kg oil eq_Influent Pump Station; wastewater treatment unit; at updated plant - US_Without Amendment_Aerated Static Pile</v>
      </c>
    </row>
    <row r="14873" spans="1:13" s="120" customFormat="1" x14ac:dyDescent="0.25">
      <c r="A14873" s="119"/>
      <c r="B14873" s="138" t="str">
        <f t="shared" si="1329"/>
        <v>Aerated Static Pile</v>
      </c>
      <c r="C14873" s="138" t="str">
        <f t="shared" si="1330"/>
        <v>Without Amendment</v>
      </c>
      <c r="D14873" s="138" t="str">
        <f t="shared" si="1328"/>
        <v>High_High</v>
      </c>
      <c r="E14873" s="138" t="str">
        <f t="shared" si="1331"/>
        <v>High</v>
      </c>
      <c r="F14873" s="138" t="str">
        <f t="shared" si="1332"/>
        <v>Upgraded</v>
      </c>
      <c r="G14873" s="153"/>
      <c r="H14873" s="210">
        <v>7.4499999999999997E-2</v>
      </c>
      <c r="I14873" s="160" t="s">
        <v>53</v>
      </c>
      <c r="J14873" s="160">
        <v>1.2489999999999999E-2</v>
      </c>
      <c r="K14873" s="160" t="s">
        <v>14</v>
      </c>
      <c r="L14873" s="154" t="str">
        <f>IF(OpenLCAbasic!K14873="CTUh", "Fill in Manually",IF(OR(K14873="Unit", K14873=""), "", INDEX(LookUps!$E$5:$E$12, MATCH(OpenLCAbasic!K14873,LookUps!$D$5:$D$12,0))))</f>
        <v>Fossil Depletion Potential (FDP) - kg oil eq</v>
      </c>
      <c r="M14873" s="154" t="str">
        <f t="shared" si="1333"/>
        <v>High_High_High_Upgraded_Fossil Depletion Potential (FDP) - kg oil eq_Wet Well and Sump Station; wastewater treatment unit; at updated plant - US_Without Amendment_Aerated Static Pile</v>
      </c>
    </row>
    <row r="14874" spans="1:13" s="120" customFormat="1" x14ac:dyDescent="0.25">
      <c r="A14874" s="119"/>
      <c r="B14874" s="138" t="str">
        <f t="shared" si="1329"/>
        <v>Aerated Static Pile</v>
      </c>
      <c r="C14874" s="138" t="str">
        <f t="shared" si="1330"/>
        <v>Without Amendment</v>
      </c>
      <c r="D14874" s="138" t="str">
        <f t="shared" si="1328"/>
        <v>High_High</v>
      </c>
      <c r="E14874" s="138" t="str">
        <f t="shared" si="1331"/>
        <v>High</v>
      </c>
      <c r="F14874" s="138" t="str">
        <f t="shared" si="1332"/>
        <v>Upgraded</v>
      </c>
      <c r="G14874" s="153"/>
      <c r="H14874" s="210">
        <v>6.7599999999999993E-2</v>
      </c>
      <c r="I14874" s="160" t="s">
        <v>435</v>
      </c>
      <c r="J14874" s="160">
        <v>1.133E-2</v>
      </c>
      <c r="K14874" s="160" t="s">
        <v>14</v>
      </c>
      <c r="L14874" s="154" t="str">
        <f>IF(OpenLCAbasic!K14874="CTUh", "Fill in Manually",IF(OR(K14874="Unit", K14874=""), "", INDEX(LookUps!$E$5:$E$12, MATCH(OpenLCAbasic!K14874,LookUps!$D$5:$D$12,0))))</f>
        <v>Fossil Depletion Potential (FDP) - kg oil eq</v>
      </c>
      <c r="M14874" s="154" t="str">
        <f t="shared" si="1333"/>
        <v>High_High_High_Upgraded_Fossil Depletion Potential (FDP) - kg oil eq_Biosolids composting; aerated static pile; wastewater treatment unit; at updated plant - US_Without Amendment_Aerated Static Pile</v>
      </c>
    </row>
    <row r="14875" spans="1:13" s="120" customFormat="1" x14ac:dyDescent="0.25">
      <c r="A14875" s="119"/>
      <c r="B14875" s="138" t="str">
        <f t="shared" si="1329"/>
        <v>Aerated Static Pile</v>
      </c>
      <c r="C14875" s="138" t="str">
        <f t="shared" si="1330"/>
        <v>Without Amendment</v>
      </c>
      <c r="D14875" s="138" t="str">
        <f t="shared" si="1328"/>
        <v>High_High</v>
      </c>
      <c r="E14875" s="138" t="str">
        <f t="shared" si="1331"/>
        <v>High</v>
      </c>
      <c r="F14875" s="138" t="str">
        <f t="shared" si="1332"/>
        <v>Upgraded</v>
      </c>
      <c r="G14875" s="153"/>
      <c r="H14875" s="210">
        <v>6.2100000000000002E-2</v>
      </c>
      <c r="I14875" s="160" t="s">
        <v>60</v>
      </c>
      <c r="J14875" s="160">
        <v>1.0410000000000001E-2</v>
      </c>
      <c r="K14875" s="160" t="s">
        <v>14</v>
      </c>
      <c r="L14875" s="154" t="str">
        <f>IF(OpenLCAbasic!K14875="CTUh", "Fill in Manually",IF(OR(K14875="Unit", K14875=""), "", INDEX(LookUps!$E$5:$E$12, MATCH(OpenLCAbasic!K14875,LookUps!$D$5:$D$12,0))))</f>
        <v>Fossil Depletion Potential (FDP) - kg oil eq</v>
      </c>
      <c r="M14875" s="154" t="str">
        <f t="shared" si="1333"/>
        <v>High_High_High_Upgraded_Fossil Depletion Potential (FDP) - kg oil eq_Belt filter press; wastewater treatment unit; at updated plant - US_Without Amendment_Aerated Static Pile</v>
      </c>
    </row>
    <row r="14876" spans="1:13" s="120" customFormat="1" x14ac:dyDescent="0.25">
      <c r="A14876" s="119"/>
      <c r="B14876" s="138" t="str">
        <f t="shared" si="1329"/>
        <v>Aerated Static Pile</v>
      </c>
      <c r="C14876" s="138" t="str">
        <f t="shared" si="1330"/>
        <v>Without Amendment</v>
      </c>
      <c r="D14876" s="138" t="str">
        <f t="shared" si="1328"/>
        <v>High_High</v>
      </c>
      <c r="E14876" s="138" t="str">
        <f t="shared" si="1331"/>
        <v>High</v>
      </c>
      <c r="F14876" s="138" t="str">
        <f t="shared" si="1332"/>
        <v>Upgraded</v>
      </c>
      <c r="G14876" s="153"/>
      <c r="H14876" s="210">
        <v>4.1300000000000003E-2</v>
      </c>
      <c r="I14876" s="160" t="s">
        <v>57</v>
      </c>
      <c r="J14876" s="160">
        <v>6.9199999999999999E-3</v>
      </c>
      <c r="K14876" s="160" t="s">
        <v>14</v>
      </c>
      <c r="L14876" s="154" t="str">
        <f>IF(OpenLCAbasic!K14876="CTUh", "Fill in Manually",IF(OR(K14876="Unit", K14876=""), "", INDEX(LookUps!$E$5:$E$12, MATCH(OpenLCAbasic!K14876,LookUps!$D$5:$D$12,0))))</f>
        <v>Fossil Depletion Potential (FDP) - kg oil eq</v>
      </c>
      <c r="M14876" s="154" t="str">
        <f t="shared" si="1333"/>
        <v>High_High_High_Upgraded_Fossil Depletion Potential (FDP) - kg oil eq_Gravity Belt Thickener; wastewater treatment unit; at updated plant - US_Without Amendment_Aerated Static Pile</v>
      </c>
    </row>
    <row r="14877" spans="1:13" s="120" customFormat="1" x14ac:dyDescent="0.25">
      <c r="A14877" s="119"/>
      <c r="B14877" s="138" t="str">
        <f t="shared" si="1329"/>
        <v>Aerated Static Pile</v>
      </c>
      <c r="C14877" s="138" t="str">
        <f t="shared" si="1330"/>
        <v>Without Amendment</v>
      </c>
      <c r="D14877" s="138" t="str">
        <f t="shared" si="1328"/>
        <v>High_High</v>
      </c>
      <c r="E14877" s="138" t="str">
        <f t="shared" si="1331"/>
        <v>High</v>
      </c>
      <c r="F14877" s="138" t="str">
        <f t="shared" si="1332"/>
        <v>Upgraded</v>
      </c>
      <c r="G14877" s="153"/>
      <c r="H14877" s="210">
        <v>2.6800000000000001E-2</v>
      </c>
      <c r="I14877" s="160" t="s">
        <v>128</v>
      </c>
      <c r="J14877" s="160">
        <v>4.4999999999999997E-3</v>
      </c>
      <c r="K14877" s="160" t="s">
        <v>14</v>
      </c>
      <c r="L14877" s="154" t="str">
        <f>IF(OpenLCAbasic!K14877="CTUh", "Fill in Manually",IF(OR(K14877="Unit", K14877=""), "", INDEX(LookUps!$E$5:$E$12, MATCH(OpenLCAbasic!K14877,LookUps!$D$5:$D$12,0))))</f>
        <v>Fossil Depletion Potential (FDP) - kg oil eq</v>
      </c>
      <c r="M14877" s="154" t="str">
        <f t="shared" si="1333"/>
        <v>High_High_High_Upgraded_Fossil Depletion Potential (FDP) - kg oil eq_Wastewater collection; operation and infrastructure; m3 wastewater_Without Amendment_Aerated Static Pile</v>
      </c>
    </row>
    <row r="14878" spans="1:13" s="120" customFormat="1" x14ac:dyDescent="0.25">
      <c r="A14878" s="119"/>
      <c r="B14878" s="138" t="str">
        <f t="shared" si="1329"/>
        <v>Aerated Static Pile</v>
      </c>
      <c r="C14878" s="138" t="str">
        <f t="shared" si="1330"/>
        <v>Without Amendment</v>
      </c>
      <c r="D14878" s="138" t="str">
        <f t="shared" si="1328"/>
        <v>High_High</v>
      </c>
      <c r="E14878" s="138" t="str">
        <f t="shared" si="1331"/>
        <v>High</v>
      </c>
      <c r="F14878" s="138" t="str">
        <f t="shared" si="1332"/>
        <v>Upgraded</v>
      </c>
      <c r="G14878" s="153"/>
      <c r="H14878" s="210">
        <v>1.67E-2</v>
      </c>
      <c r="I14878" s="160" t="s">
        <v>148</v>
      </c>
      <c r="J14878" s="160">
        <v>2.8E-3</v>
      </c>
      <c r="K14878" s="160" t="s">
        <v>14</v>
      </c>
      <c r="L14878" s="154" t="str">
        <f>IF(OpenLCAbasic!K14878="CTUh", "Fill in Manually",IF(OR(K14878="Unit", K14878=""), "", INDEX(LookUps!$E$5:$E$12, MATCH(OpenLCAbasic!K14878,LookUps!$D$5:$D$12,0))))</f>
        <v>Fossil Depletion Potential (FDP) - kg oil eq</v>
      </c>
      <c r="M14878" s="154" t="str">
        <f t="shared" si="1333"/>
        <v>High_High_High_Upgraded_Fossil Depletion Potential (FDP) - kg oil eq_Control Building; at upgraded wastewater treatment plant - US_Without Amendment_Aerated Static Pile</v>
      </c>
    </row>
    <row r="14879" spans="1:13" s="120" customFormat="1" x14ac:dyDescent="0.25">
      <c r="A14879" s="119"/>
      <c r="B14879" s="138" t="str">
        <f t="shared" si="1329"/>
        <v>Aerated Static Pile</v>
      </c>
      <c r="C14879" s="138" t="str">
        <f t="shared" si="1330"/>
        <v>Without Amendment</v>
      </c>
      <c r="D14879" s="138" t="str">
        <f t="shared" si="1328"/>
        <v>High_High</v>
      </c>
      <c r="E14879" s="138" t="str">
        <f t="shared" si="1331"/>
        <v>High</v>
      </c>
      <c r="F14879" s="138" t="str">
        <f t="shared" si="1332"/>
        <v>Upgraded</v>
      </c>
      <c r="G14879" s="153"/>
      <c r="H14879" s="210">
        <v>1.41E-2</v>
      </c>
      <c r="I14879" s="160" t="s">
        <v>48</v>
      </c>
      <c r="J14879" s="160">
        <v>2.3600000000000001E-3</v>
      </c>
      <c r="K14879" s="160" t="s">
        <v>14</v>
      </c>
      <c r="L14879" s="154" t="str">
        <f>IF(OpenLCAbasic!K14879="CTUh", "Fill in Manually",IF(OR(K14879="Unit", K14879=""), "", INDEX(LookUps!$E$5:$E$12, MATCH(OpenLCAbasic!K14879,LookUps!$D$5:$D$12,0))))</f>
        <v>Fossil Depletion Potential (FDP) - kg oil eq</v>
      </c>
      <c r="M14879" s="154" t="str">
        <f t="shared" si="1333"/>
        <v>High_High_High_Upgraded_Fossil Depletion Potential (FDP) - kg oil eq_Effluent release; wastewater treatment unit; at surface water; m3 wastewater - US_Without Amendment_Aerated Static Pile</v>
      </c>
    </row>
    <row r="14880" spans="1:13" s="120" customFormat="1" x14ac:dyDescent="0.25">
      <c r="A14880" s="119"/>
      <c r="B14880" s="138" t="str">
        <f t="shared" si="1329"/>
        <v>Aerated Static Pile</v>
      </c>
      <c r="C14880" s="138" t="str">
        <f t="shared" si="1330"/>
        <v>Without Amendment</v>
      </c>
      <c r="D14880" s="138" t="str">
        <f t="shared" si="1328"/>
        <v>High_High</v>
      </c>
      <c r="E14880" s="138" t="str">
        <f t="shared" si="1331"/>
        <v>High</v>
      </c>
      <c r="F14880" s="138" t="str">
        <f t="shared" si="1332"/>
        <v>Upgraded</v>
      </c>
      <c r="G14880" s="153"/>
      <c r="H14880" s="210">
        <v>1.15E-2</v>
      </c>
      <c r="I14880" s="160" t="s">
        <v>59</v>
      </c>
      <c r="J14880" s="160">
        <v>1.92E-3</v>
      </c>
      <c r="K14880" s="160" t="s">
        <v>14</v>
      </c>
      <c r="L14880" s="154" t="str">
        <f>IF(OpenLCAbasic!K14880="CTUh", "Fill in Manually",IF(OR(K14880="Unit", K14880=""), "", INDEX(LookUps!$E$5:$E$12, MATCH(OpenLCAbasic!K14880,LookUps!$D$5:$D$12,0))))</f>
        <v>Fossil Depletion Potential (FDP) - kg oil eq</v>
      </c>
      <c r="M14880" s="154" t="str">
        <f t="shared" si="1333"/>
        <v>High_High_High_Upgraded_Fossil Depletion Potential (FDP) - kg oil eq_Blend Tank; wastewater treatment unit; at updated plant - US_Without Amendment_Aerated Static Pile</v>
      </c>
    </row>
    <row r="14881" spans="1:13" s="120" customFormat="1" x14ac:dyDescent="0.25">
      <c r="A14881" s="119"/>
      <c r="B14881" s="138" t="str">
        <f t="shared" si="1329"/>
        <v>Aerated Static Pile</v>
      </c>
      <c r="C14881" s="138" t="str">
        <f t="shared" si="1330"/>
        <v>Without Amendment</v>
      </c>
      <c r="D14881" s="138" t="str">
        <f t="shared" ref="D14881:D14944" si="1334">IF(ISNUMBER($J14881),"High_High","")</f>
        <v>High_High</v>
      </c>
      <c r="E14881" s="138" t="str">
        <f t="shared" si="1331"/>
        <v>High</v>
      </c>
      <c r="F14881" s="138" t="str">
        <f t="shared" si="1332"/>
        <v>Upgraded</v>
      </c>
      <c r="G14881" s="153"/>
      <c r="H14881" s="210">
        <v>5.4999999999999997E-3</v>
      </c>
      <c r="I14881" s="160" t="s">
        <v>168</v>
      </c>
      <c r="J14881" s="160">
        <v>9.1E-4</v>
      </c>
      <c r="K14881" s="160" t="s">
        <v>14</v>
      </c>
      <c r="L14881" s="154" t="str">
        <f>IF(OpenLCAbasic!K14881="CTUh", "Fill in Manually",IF(OR(K14881="Unit", K14881=""), "", INDEX(LookUps!$E$5:$E$12, MATCH(OpenLCAbasic!K14881,LookUps!$D$5:$D$12,0))))</f>
        <v>Fossil Depletion Potential (FDP) - kg oil eq</v>
      </c>
      <c r="M14881" s="154" t="str">
        <f t="shared" si="1333"/>
        <v>High_High_High_Upgraded_Fossil Depletion Potential (FDP) - kg oil eq_ClearCove SCP; wastewater treatment unit; at updated plant - US_Without Amendment_Aerated Static Pile</v>
      </c>
    </row>
    <row r="14882" spans="1:13" s="120" customFormat="1" x14ac:dyDescent="0.25">
      <c r="A14882" s="119"/>
      <c r="B14882" s="138" t="str">
        <f t="shared" si="1329"/>
        <v>Aerated Static Pile</v>
      </c>
      <c r="C14882" s="138" t="str">
        <f t="shared" si="1330"/>
        <v>Without Amendment</v>
      </c>
      <c r="D14882" s="138" t="str">
        <f t="shared" si="1334"/>
        <v>High_High</v>
      </c>
      <c r="E14882" s="138" t="str">
        <f t="shared" si="1331"/>
        <v>High</v>
      </c>
      <c r="F14882" s="138" t="str">
        <f t="shared" si="1332"/>
        <v>Upgraded</v>
      </c>
      <c r="G14882" s="153"/>
      <c r="H14882" s="210">
        <v>-3.8699999999999998E-2</v>
      </c>
      <c r="I14882" s="160" t="s">
        <v>62</v>
      </c>
      <c r="J14882" s="160">
        <v>-6.4900000000000001E-3</v>
      </c>
      <c r="K14882" s="160" t="s">
        <v>14</v>
      </c>
      <c r="L14882" s="154" t="str">
        <f>IF(OpenLCAbasic!K14882="CTUh", "Fill in Manually",IF(OR(K14882="Unit", K14882=""), "", INDEX(LookUps!$E$5:$E$12, MATCH(OpenLCAbasic!K14882,LookUps!$D$5:$D$12,0))))</f>
        <v>Fossil Depletion Potential (FDP) - kg oil eq</v>
      </c>
      <c r="M14882" s="154" t="str">
        <f t="shared" si="1333"/>
        <v>High_High_High_Upgraded_Fossil Depletion Potential (FDP) - kg oil eq_Land application of compost; wastewater treatment unit; at updated plant - US_Without Amendment_Aerated Static Pile</v>
      </c>
    </row>
    <row r="14883" spans="1:13" s="120" customFormat="1" x14ac:dyDescent="0.25">
      <c r="A14883" s="119"/>
      <c r="B14883" s="138" t="str">
        <f t="shared" si="1329"/>
        <v>Aerated Static Pile</v>
      </c>
      <c r="C14883" s="138" t="str">
        <f t="shared" si="1330"/>
        <v>Without Amendment</v>
      </c>
      <c r="D14883" s="138" t="str">
        <f t="shared" si="1334"/>
        <v>High_High</v>
      </c>
      <c r="E14883" s="138" t="str">
        <f t="shared" si="1331"/>
        <v>High</v>
      </c>
      <c r="F14883" s="138" t="str">
        <f t="shared" si="1332"/>
        <v>Upgraded</v>
      </c>
      <c r="G14883" s="153"/>
      <c r="H14883" s="210">
        <v>-2.6707999999999998</v>
      </c>
      <c r="I14883" s="160" t="s">
        <v>149</v>
      </c>
      <c r="J14883" s="160">
        <v>-0.44775999999999999</v>
      </c>
      <c r="K14883" s="160" t="s">
        <v>14</v>
      </c>
      <c r="L14883" s="154" t="str">
        <f>IF(OpenLCAbasic!K14883="CTUh", "Fill in Manually",IF(OR(K14883="Unit", K14883=""), "", INDEX(LookUps!$E$5:$E$12, MATCH(OpenLCAbasic!K14883,LookUps!$D$5:$D$12,0))))</f>
        <v>Fossil Depletion Potential (FDP) - kg oil eq</v>
      </c>
      <c r="M14883" s="154" t="str">
        <f t="shared" si="1333"/>
        <v>High_High_High_Upgraded_Fossil Depletion Potential (FDP) - kg oil eq_Anaerobic Digestion; wastewater treatment unit; at updated plant - US_Without Amendment_Aerated Static Pile</v>
      </c>
    </row>
    <row r="14884" spans="1:13" s="120" customFormat="1" x14ac:dyDescent="0.25">
      <c r="A14884" s="119"/>
      <c r="B14884" s="138" t="str">
        <f t="shared" si="1329"/>
        <v/>
      </c>
      <c r="C14884" s="138" t="str">
        <f t="shared" si="1330"/>
        <v/>
      </c>
      <c r="D14884" s="138" t="str">
        <f t="shared" si="1334"/>
        <v/>
      </c>
      <c r="E14884" s="138" t="str">
        <f t="shared" si="1331"/>
        <v/>
      </c>
      <c r="F14884" s="138" t="str">
        <f t="shared" si="1332"/>
        <v/>
      </c>
      <c r="G14884" s="153" t="s">
        <v>51</v>
      </c>
      <c r="H14884" s="160"/>
      <c r="I14884" s="160" t="s">
        <v>47</v>
      </c>
      <c r="J14884" s="160" t="s">
        <v>52</v>
      </c>
      <c r="K14884" s="160" t="s">
        <v>27</v>
      </c>
      <c r="L14884" s="154" t="str">
        <f>IF(OpenLCAbasic!K14884="CTUh", "Fill in Manually",IF(OR(K14884="Unit", K14884=""), "", INDEX(LookUps!$E$5:$E$12, MATCH(OpenLCAbasic!K14884,LookUps!$D$5:$D$12,0))))</f>
        <v/>
      </c>
      <c r="M14884" s="154" t="str">
        <f t="shared" si="1333"/>
        <v>____Process__</v>
      </c>
    </row>
    <row r="14885" spans="1:13" s="120" customFormat="1" x14ac:dyDescent="0.25">
      <c r="A14885" s="119"/>
      <c r="B14885" s="138" t="str">
        <f t="shared" si="1329"/>
        <v>Aerated Static Pile</v>
      </c>
      <c r="C14885" s="138" t="str">
        <f t="shared" si="1330"/>
        <v>Without Amendment</v>
      </c>
      <c r="D14885" s="138" t="str">
        <f t="shared" si="1334"/>
        <v>High_High</v>
      </c>
      <c r="E14885" s="138" t="str">
        <f t="shared" si="1331"/>
        <v>High</v>
      </c>
      <c r="F14885" s="138" t="str">
        <f t="shared" si="1332"/>
        <v>Upgraded</v>
      </c>
      <c r="G14885" s="153"/>
      <c r="H14885" s="210">
        <v>1.4911000000000001</v>
      </c>
      <c r="I14885" s="160" t="s">
        <v>435</v>
      </c>
      <c r="J14885" s="160">
        <v>0.95065999999999995</v>
      </c>
      <c r="K14885" s="160" t="s">
        <v>23</v>
      </c>
      <c r="L14885" s="154" t="str">
        <f>IF(OpenLCAbasic!K14885="CTUh", "Fill in Manually",IF(OR(K14885="Unit", K14885=""), "", INDEX(LookUps!$E$5:$E$12, MATCH(OpenLCAbasic!K14885,LookUps!$D$5:$D$12,0))))</f>
        <v>Global Warming Potential (GWP) - kg CO2 eq</v>
      </c>
      <c r="M14885" s="154" t="str">
        <f t="shared" si="1333"/>
        <v>High_High_High_Upgraded_Global Warming Potential (GWP) - kg CO2 eq_Biosolids composting; aerated static pile; wastewater treatment unit; at updated plant - US_Without Amendment_Aerated Static Pile</v>
      </c>
    </row>
    <row r="14886" spans="1:13" s="120" customFormat="1" x14ac:dyDescent="0.25">
      <c r="A14886" s="119"/>
      <c r="B14886" s="138" t="str">
        <f t="shared" si="1329"/>
        <v>Aerated Static Pile</v>
      </c>
      <c r="C14886" s="138" t="str">
        <f t="shared" si="1330"/>
        <v>Without Amendment</v>
      </c>
      <c r="D14886" s="138" t="str">
        <f t="shared" si="1334"/>
        <v>High_High</v>
      </c>
      <c r="E14886" s="138" t="str">
        <f t="shared" si="1331"/>
        <v>High</v>
      </c>
      <c r="F14886" s="138" t="str">
        <f t="shared" si="1332"/>
        <v>Upgraded</v>
      </c>
      <c r="G14886" s="153"/>
      <c r="H14886" s="210">
        <v>0.39200000000000002</v>
      </c>
      <c r="I14886" s="160" t="s">
        <v>58</v>
      </c>
      <c r="J14886" s="160">
        <v>0.24992</v>
      </c>
      <c r="K14886" s="160" t="s">
        <v>23</v>
      </c>
      <c r="L14886" s="154" t="str">
        <f>IF(OpenLCAbasic!K14886="CTUh", "Fill in Manually",IF(OR(K14886="Unit", K14886=""), "", INDEX(LookUps!$E$5:$E$12, MATCH(OpenLCAbasic!K14886,LookUps!$D$5:$D$12,0))))</f>
        <v>Global Warming Potential (GWP) - kg CO2 eq</v>
      </c>
      <c r="M14886" s="154" t="str">
        <f t="shared" si="1333"/>
        <v>High_High_High_Upgraded_Global Warming Potential (GWP) - kg CO2 eq_Pre-Anoxic &amp; Swing tank; wastewater treatment unit; at updated plant - US_Without Amendment_Aerated Static Pile</v>
      </c>
    </row>
    <row r="14887" spans="1:13" s="120" customFormat="1" x14ac:dyDescent="0.25">
      <c r="A14887" s="119"/>
      <c r="B14887" s="138" t="str">
        <f t="shared" si="1329"/>
        <v>Aerated Static Pile</v>
      </c>
      <c r="C14887" s="138" t="str">
        <f t="shared" si="1330"/>
        <v>Without Amendment</v>
      </c>
      <c r="D14887" s="138" t="str">
        <f t="shared" si="1334"/>
        <v>High_High</v>
      </c>
      <c r="E14887" s="138" t="str">
        <f t="shared" si="1331"/>
        <v>High</v>
      </c>
      <c r="F14887" s="138" t="str">
        <f t="shared" si="1332"/>
        <v>Upgraded</v>
      </c>
      <c r="G14887" s="153"/>
      <c r="H14887" s="210">
        <v>0.26390000000000002</v>
      </c>
      <c r="I14887" s="160" t="s">
        <v>55</v>
      </c>
      <c r="J14887" s="160">
        <v>0.16822000000000001</v>
      </c>
      <c r="K14887" s="160" t="s">
        <v>23</v>
      </c>
      <c r="L14887" s="154" t="str">
        <f>IF(OpenLCAbasic!K14887="CTUh", "Fill in Manually",IF(OR(K14887="Unit", K14887=""), "", INDEX(LookUps!$E$5:$E$12, MATCH(OpenLCAbasic!K14887,LookUps!$D$5:$D$12,0))))</f>
        <v>Global Warming Potential (GWP) - kg CO2 eq</v>
      </c>
      <c r="M14887" s="154" t="str">
        <f t="shared" si="1333"/>
        <v>High_High_High_Upgraded_Global Warming Potential (GWP) - kg CO2 eq_Aeration Tanks; wastewater treatment unit; at updated plant - US_Without Amendment_Aerated Static Pile</v>
      </c>
    </row>
    <row r="14888" spans="1:13" s="120" customFormat="1" x14ac:dyDescent="0.25">
      <c r="A14888" s="119"/>
      <c r="B14888" s="138" t="str">
        <f t="shared" si="1329"/>
        <v>Aerated Static Pile</v>
      </c>
      <c r="C14888" s="138" t="str">
        <f t="shared" si="1330"/>
        <v>Without Amendment</v>
      </c>
      <c r="D14888" s="138" t="str">
        <f t="shared" si="1334"/>
        <v>High_High</v>
      </c>
      <c r="E14888" s="138" t="str">
        <f t="shared" si="1331"/>
        <v>High</v>
      </c>
      <c r="F14888" s="138" t="str">
        <f t="shared" si="1332"/>
        <v>Upgraded</v>
      </c>
      <c r="G14888" s="153"/>
      <c r="H14888" s="210">
        <v>0.2303</v>
      </c>
      <c r="I14888" s="160" t="s">
        <v>167</v>
      </c>
      <c r="J14888" s="160">
        <v>0.14685000000000001</v>
      </c>
      <c r="K14888" s="160" t="s">
        <v>23</v>
      </c>
      <c r="L14888" s="154" t="str">
        <f>IF(OpenLCAbasic!K14888="CTUh", "Fill in Manually",IF(OR(K14888="Unit", K14888=""), "", INDEX(LookUps!$E$5:$E$12, MATCH(OpenLCAbasic!K14888,LookUps!$D$5:$D$12,0))))</f>
        <v>Global Warming Potential (GWP) - kg CO2 eq</v>
      </c>
      <c r="M14888" s="154" t="str">
        <f t="shared" si="1333"/>
        <v>High_High_High_Upgraded_Global Warming Potential (GWP) - kg CO2 eq_Waste Receiving and Holding; wastewater treatment unit; at updated plant - US_Without Amendment_Aerated Static Pile</v>
      </c>
    </row>
    <row r="14889" spans="1:13" s="120" customFormat="1" x14ac:dyDescent="0.25">
      <c r="A14889" s="119"/>
      <c r="B14889" s="138" t="str">
        <f t="shared" ref="B14889:B14951" si="1335">IF(F14889="Legacy","n.a.",IF(F14889="","","Aerated Static Pile"))</f>
        <v>Aerated Static Pile</v>
      </c>
      <c r="C14889" s="138" t="str">
        <f t="shared" ref="C14889:C14951" si="1336">IF(ISNUMBER($J14889),"Without Amendment","")</f>
        <v>Without Amendment</v>
      </c>
      <c r="D14889" s="138" t="str">
        <f t="shared" si="1334"/>
        <v>High_High</v>
      </c>
      <c r="E14889" s="138" t="str">
        <f t="shared" ref="E14889:E14951" si="1337">IF(ISNUMBER($J14889),"High","")</f>
        <v>High</v>
      </c>
      <c r="F14889" s="138" t="str">
        <f t="shared" ref="F14889:F14951" si="1338">IF(ISNUMBER(J14889),"Upgraded","")</f>
        <v>Upgraded</v>
      </c>
      <c r="G14889" s="153"/>
      <c r="H14889" s="210">
        <v>8.9499999999999996E-2</v>
      </c>
      <c r="I14889" s="160" t="s">
        <v>54</v>
      </c>
      <c r="J14889" s="160">
        <v>5.7079999999999999E-2</v>
      </c>
      <c r="K14889" s="160" t="s">
        <v>23</v>
      </c>
      <c r="L14889" s="154" t="str">
        <f>IF(OpenLCAbasic!K14889="CTUh", "Fill in Manually",IF(OR(K14889="Unit", K14889=""), "", INDEX(LookUps!$E$5:$E$12, MATCH(OpenLCAbasic!K14889,LookUps!$D$5:$D$12,0))))</f>
        <v>Global Warming Potential (GWP) - kg CO2 eq</v>
      </c>
      <c r="M14889" s="154" t="str">
        <f t="shared" si="1333"/>
        <v>High_High_High_Upgraded_Global Warming Potential (GWP) - kg CO2 eq_Clear Cove Primary Clarification; wastewater treatment unit; at updated plant - US_Without Amendment_Aerated Static Pile</v>
      </c>
    </row>
    <row r="14890" spans="1:13" s="120" customFormat="1" x14ac:dyDescent="0.25">
      <c r="A14890" s="119"/>
      <c r="B14890" s="138" t="str">
        <f t="shared" si="1335"/>
        <v>Aerated Static Pile</v>
      </c>
      <c r="C14890" s="138" t="str">
        <f t="shared" si="1336"/>
        <v>Without Amendment</v>
      </c>
      <c r="D14890" s="138" t="str">
        <f t="shared" si="1334"/>
        <v>High_High</v>
      </c>
      <c r="E14890" s="138" t="str">
        <f t="shared" si="1337"/>
        <v>High</v>
      </c>
      <c r="F14890" s="138" t="str">
        <f t="shared" si="1338"/>
        <v>Upgraded</v>
      </c>
      <c r="G14890" s="153"/>
      <c r="H14890" s="210">
        <v>8.2600000000000007E-2</v>
      </c>
      <c r="I14890" s="160" t="s">
        <v>48</v>
      </c>
      <c r="J14890" s="160">
        <v>5.2639999999999999E-2</v>
      </c>
      <c r="K14890" s="160" t="s">
        <v>23</v>
      </c>
      <c r="L14890" s="154" t="str">
        <f>IF(OpenLCAbasic!K14890="CTUh", "Fill in Manually",IF(OR(K14890="Unit", K14890=""), "", INDEX(LookUps!$E$5:$E$12, MATCH(OpenLCAbasic!K14890,LookUps!$D$5:$D$12,0))))</f>
        <v>Global Warming Potential (GWP) - kg CO2 eq</v>
      </c>
      <c r="M14890" s="154" t="str">
        <f t="shared" si="1333"/>
        <v>High_High_High_Upgraded_Global Warming Potential (GWP) - kg CO2 eq_Effluent release; wastewater treatment unit; at surface water; m3 wastewater - US_Without Amendment_Aerated Static Pile</v>
      </c>
    </row>
    <row r="14891" spans="1:13" s="120" customFormat="1" x14ac:dyDescent="0.25">
      <c r="A14891" s="119"/>
      <c r="B14891" s="138" t="str">
        <f t="shared" si="1335"/>
        <v>Aerated Static Pile</v>
      </c>
      <c r="C14891" s="138" t="str">
        <f t="shared" si="1336"/>
        <v>Without Amendment</v>
      </c>
      <c r="D14891" s="138" t="str">
        <f t="shared" si="1334"/>
        <v>High_High</v>
      </c>
      <c r="E14891" s="138" t="str">
        <f t="shared" si="1337"/>
        <v>High</v>
      </c>
      <c r="F14891" s="138" t="str">
        <f t="shared" si="1338"/>
        <v>Upgraded</v>
      </c>
      <c r="G14891" s="153"/>
      <c r="H14891" s="210">
        <v>7.9200000000000007E-2</v>
      </c>
      <c r="I14891" s="160" t="s">
        <v>147</v>
      </c>
      <c r="J14891" s="160">
        <v>5.0500000000000003E-2</v>
      </c>
      <c r="K14891" s="160" t="s">
        <v>23</v>
      </c>
      <c r="L14891" s="154" t="str">
        <f>IF(OpenLCAbasic!K14891="CTUh", "Fill in Manually",IF(OR(K14891="Unit", K14891=""), "", INDEX(LookUps!$E$5:$E$12, MATCH(OpenLCAbasic!K14891,LookUps!$D$5:$D$12,0))))</f>
        <v>Global Warming Potential (GWP) - kg CO2 eq</v>
      </c>
      <c r="M14891" s="154" t="str">
        <f t="shared" si="1333"/>
        <v>High_High_High_Upgraded_Global Warming Potential (GWP) - kg CO2 eq_Influent Pump Station; wastewater treatment unit; at updated plant - US_Without Amendment_Aerated Static Pile</v>
      </c>
    </row>
    <row r="14892" spans="1:13" s="120" customFormat="1" x14ac:dyDescent="0.25">
      <c r="A14892" s="119"/>
      <c r="B14892" s="138" t="str">
        <f t="shared" si="1335"/>
        <v>Aerated Static Pile</v>
      </c>
      <c r="C14892" s="138" t="str">
        <f t="shared" si="1336"/>
        <v>Without Amendment</v>
      </c>
      <c r="D14892" s="138" t="str">
        <f t="shared" si="1334"/>
        <v>High_High</v>
      </c>
      <c r="E14892" s="138" t="str">
        <f t="shared" si="1337"/>
        <v>High</v>
      </c>
      <c r="F14892" s="138" t="str">
        <f t="shared" si="1338"/>
        <v>Upgraded</v>
      </c>
      <c r="G14892" s="153"/>
      <c r="H14892" s="210">
        <v>5.2200000000000003E-2</v>
      </c>
      <c r="I14892" s="160" t="s">
        <v>53</v>
      </c>
      <c r="J14892" s="160">
        <v>3.3259999999999998E-2</v>
      </c>
      <c r="K14892" s="160" t="s">
        <v>23</v>
      </c>
      <c r="L14892" s="154" t="str">
        <f>IF(OpenLCAbasic!K14892="CTUh", "Fill in Manually",IF(OR(K14892="Unit", K14892=""), "", INDEX(LookUps!$E$5:$E$12, MATCH(OpenLCAbasic!K14892,LookUps!$D$5:$D$12,0))))</f>
        <v>Global Warming Potential (GWP) - kg CO2 eq</v>
      </c>
      <c r="M14892" s="154" t="str">
        <f t="shared" si="1333"/>
        <v>High_High_High_Upgraded_Global Warming Potential (GWP) - kg CO2 eq_Wet Well and Sump Station; wastewater treatment unit; at updated plant - US_Without Amendment_Aerated Static Pile</v>
      </c>
    </row>
    <row r="14893" spans="1:13" s="120" customFormat="1" x14ac:dyDescent="0.25">
      <c r="A14893" s="119"/>
      <c r="B14893" s="138" t="str">
        <f t="shared" si="1335"/>
        <v>Aerated Static Pile</v>
      </c>
      <c r="C14893" s="138" t="str">
        <f t="shared" si="1336"/>
        <v>Without Amendment</v>
      </c>
      <c r="D14893" s="138" t="str">
        <f t="shared" si="1334"/>
        <v>High_High</v>
      </c>
      <c r="E14893" s="138" t="str">
        <f t="shared" si="1337"/>
        <v>High</v>
      </c>
      <c r="F14893" s="138" t="str">
        <f t="shared" si="1338"/>
        <v>Upgraded</v>
      </c>
      <c r="G14893" s="153"/>
      <c r="H14893" s="210">
        <v>3.5900000000000001E-2</v>
      </c>
      <c r="I14893" s="160" t="s">
        <v>60</v>
      </c>
      <c r="J14893" s="160">
        <v>2.2880000000000001E-2</v>
      </c>
      <c r="K14893" s="160" t="s">
        <v>23</v>
      </c>
      <c r="L14893" s="154" t="str">
        <f>IF(OpenLCAbasic!K14893="CTUh", "Fill in Manually",IF(OR(K14893="Unit", K14893=""), "", INDEX(LookUps!$E$5:$E$12, MATCH(OpenLCAbasic!K14893,LookUps!$D$5:$D$12,0))))</f>
        <v>Global Warming Potential (GWP) - kg CO2 eq</v>
      </c>
      <c r="M14893" s="154" t="str">
        <f t="shared" si="1333"/>
        <v>High_High_High_Upgraded_Global Warming Potential (GWP) - kg CO2 eq_Belt filter press; wastewater treatment unit; at updated plant - US_Without Amendment_Aerated Static Pile</v>
      </c>
    </row>
    <row r="14894" spans="1:13" s="120" customFormat="1" x14ac:dyDescent="0.25">
      <c r="A14894" s="119"/>
      <c r="B14894" s="138" t="str">
        <f t="shared" si="1335"/>
        <v>Aerated Static Pile</v>
      </c>
      <c r="C14894" s="138" t="str">
        <f t="shared" si="1336"/>
        <v>Without Amendment</v>
      </c>
      <c r="D14894" s="138" t="str">
        <f t="shared" si="1334"/>
        <v>High_High</v>
      </c>
      <c r="E14894" s="138" t="str">
        <f t="shared" si="1337"/>
        <v>High</v>
      </c>
      <c r="F14894" s="138" t="str">
        <f t="shared" si="1338"/>
        <v>Upgraded</v>
      </c>
      <c r="G14894" s="153"/>
      <c r="H14894" s="210">
        <v>2.2800000000000001E-2</v>
      </c>
      <c r="I14894" s="160" t="s">
        <v>57</v>
      </c>
      <c r="J14894" s="160">
        <v>1.455E-2</v>
      </c>
      <c r="K14894" s="160" t="s">
        <v>23</v>
      </c>
      <c r="L14894" s="154" t="str">
        <f>IF(OpenLCAbasic!K14894="CTUh", "Fill in Manually",IF(OR(K14894="Unit", K14894=""), "", INDEX(LookUps!$E$5:$E$12, MATCH(OpenLCAbasic!K14894,LookUps!$D$5:$D$12,0))))</f>
        <v>Global Warming Potential (GWP) - kg CO2 eq</v>
      </c>
      <c r="M14894" s="154" t="str">
        <f t="shared" si="1333"/>
        <v>High_High_High_Upgraded_Global Warming Potential (GWP) - kg CO2 eq_Gravity Belt Thickener; wastewater treatment unit; at updated plant - US_Without Amendment_Aerated Static Pile</v>
      </c>
    </row>
    <row r="14895" spans="1:13" s="120" customFormat="1" x14ac:dyDescent="0.25">
      <c r="A14895" s="119"/>
      <c r="B14895" s="138" t="str">
        <f t="shared" si="1335"/>
        <v>Aerated Static Pile</v>
      </c>
      <c r="C14895" s="138" t="str">
        <f t="shared" si="1336"/>
        <v>Without Amendment</v>
      </c>
      <c r="D14895" s="138" t="str">
        <f t="shared" si="1334"/>
        <v>High_High</v>
      </c>
      <c r="E14895" s="138" t="str">
        <f t="shared" si="1337"/>
        <v>High</v>
      </c>
      <c r="F14895" s="138" t="str">
        <f t="shared" si="1338"/>
        <v>Upgraded</v>
      </c>
      <c r="G14895" s="153"/>
      <c r="H14895" s="210">
        <v>2.12E-2</v>
      </c>
      <c r="I14895" s="160" t="s">
        <v>128</v>
      </c>
      <c r="J14895" s="160">
        <v>1.3509999999999999E-2</v>
      </c>
      <c r="K14895" s="160" t="s">
        <v>23</v>
      </c>
      <c r="L14895" s="154" t="str">
        <f>IF(OpenLCAbasic!K14895="CTUh", "Fill in Manually",IF(OR(K14895="Unit", K14895=""), "", INDEX(LookUps!$E$5:$E$12, MATCH(OpenLCAbasic!K14895,LookUps!$D$5:$D$12,0))))</f>
        <v>Global Warming Potential (GWP) - kg CO2 eq</v>
      </c>
      <c r="M14895" s="154" t="str">
        <f t="shared" si="1333"/>
        <v>High_High_High_Upgraded_Global Warming Potential (GWP) - kg CO2 eq_Wastewater collection; operation and infrastructure; m3 wastewater_Without Amendment_Aerated Static Pile</v>
      </c>
    </row>
    <row r="14896" spans="1:13" s="120" customFormat="1" x14ac:dyDescent="0.25">
      <c r="A14896" s="119"/>
      <c r="B14896" s="138" t="str">
        <f t="shared" si="1335"/>
        <v>Aerated Static Pile</v>
      </c>
      <c r="C14896" s="138" t="str">
        <f t="shared" si="1336"/>
        <v>Without Amendment</v>
      </c>
      <c r="D14896" s="138" t="str">
        <f t="shared" si="1334"/>
        <v>High_High</v>
      </c>
      <c r="E14896" s="138" t="str">
        <f t="shared" si="1337"/>
        <v>High</v>
      </c>
      <c r="F14896" s="138" t="str">
        <f t="shared" si="1338"/>
        <v>Upgraded</v>
      </c>
      <c r="G14896" s="153"/>
      <c r="H14896" s="210">
        <v>1.2999999999999999E-2</v>
      </c>
      <c r="I14896" s="160" t="s">
        <v>148</v>
      </c>
      <c r="J14896" s="160">
        <v>8.3000000000000001E-3</v>
      </c>
      <c r="K14896" s="160" t="s">
        <v>23</v>
      </c>
      <c r="L14896" s="154" t="str">
        <f>IF(OpenLCAbasic!K14896="CTUh", "Fill in Manually",IF(OR(K14896="Unit", K14896=""), "", INDEX(LookUps!$E$5:$E$12, MATCH(OpenLCAbasic!K14896,LookUps!$D$5:$D$12,0))))</f>
        <v>Global Warming Potential (GWP) - kg CO2 eq</v>
      </c>
      <c r="M14896" s="154" t="str">
        <f t="shared" si="1333"/>
        <v>High_High_High_Upgraded_Global Warming Potential (GWP) - kg CO2 eq_Control Building; at upgraded wastewater treatment plant - US_Without Amendment_Aerated Static Pile</v>
      </c>
    </row>
    <row r="14897" spans="1:13" s="120" customFormat="1" x14ac:dyDescent="0.25">
      <c r="A14897" s="119"/>
      <c r="B14897" s="138" t="str">
        <f t="shared" si="1335"/>
        <v>Aerated Static Pile</v>
      </c>
      <c r="C14897" s="138" t="str">
        <f t="shared" si="1336"/>
        <v>Without Amendment</v>
      </c>
      <c r="D14897" s="138" t="str">
        <f t="shared" si="1334"/>
        <v>High_High</v>
      </c>
      <c r="E14897" s="138" t="str">
        <f t="shared" si="1337"/>
        <v>High</v>
      </c>
      <c r="F14897" s="138" t="str">
        <f t="shared" si="1338"/>
        <v>Upgraded</v>
      </c>
      <c r="G14897" s="153"/>
      <c r="H14897" s="210">
        <v>7.9000000000000008E-3</v>
      </c>
      <c r="I14897" s="160" t="s">
        <v>59</v>
      </c>
      <c r="J14897" s="160">
        <v>5.0400000000000002E-3</v>
      </c>
      <c r="K14897" s="160" t="s">
        <v>23</v>
      </c>
      <c r="L14897" s="154" t="str">
        <f>IF(OpenLCAbasic!K14897="CTUh", "Fill in Manually",IF(OR(K14897="Unit", K14897=""), "", INDEX(LookUps!$E$5:$E$12, MATCH(OpenLCAbasic!K14897,LookUps!$D$5:$D$12,0))))</f>
        <v>Global Warming Potential (GWP) - kg CO2 eq</v>
      </c>
      <c r="M14897" s="154" t="str">
        <f t="shared" si="1333"/>
        <v>High_High_High_Upgraded_Global Warming Potential (GWP) - kg CO2 eq_Blend Tank; wastewater treatment unit; at updated plant - US_Without Amendment_Aerated Static Pile</v>
      </c>
    </row>
    <row r="14898" spans="1:13" s="120" customFormat="1" x14ac:dyDescent="0.25">
      <c r="A14898" s="119"/>
      <c r="B14898" s="138" t="str">
        <f t="shared" si="1335"/>
        <v>Aerated Static Pile</v>
      </c>
      <c r="C14898" s="138" t="str">
        <f t="shared" si="1336"/>
        <v>Without Amendment</v>
      </c>
      <c r="D14898" s="138" t="str">
        <f t="shared" si="1334"/>
        <v>High_High</v>
      </c>
      <c r="E14898" s="138" t="str">
        <f t="shared" si="1337"/>
        <v>High</v>
      </c>
      <c r="F14898" s="138" t="str">
        <f t="shared" si="1338"/>
        <v>Upgraded</v>
      </c>
      <c r="G14898" s="153"/>
      <c r="H14898" s="210">
        <v>3.8E-3</v>
      </c>
      <c r="I14898" s="160" t="s">
        <v>168</v>
      </c>
      <c r="J14898" s="160">
        <v>2.4099999999999998E-3</v>
      </c>
      <c r="K14898" s="160" t="s">
        <v>23</v>
      </c>
      <c r="L14898" s="154" t="str">
        <f>IF(OpenLCAbasic!K14898="CTUh", "Fill in Manually",IF(OR(K14898="Unit", K14898=""), "", INDEX(LookUps!$E$5:$E$12, MATCH(OpenLCAbasic!K14898,LookUps!$D$5:$D$12,0))))</f>
        <v>Global Warming Potential (GWP) - kg CO2 eq</v>
      </c>
      <c r="M14898" s="154" t="str">
        <f t="shared" si="1333"/>
        <v>High_High_High_Upgraded_Global Warming Potential (GWP) - kg CO2 eq_ClearCove SCP; wastewater treatment unit; at updated plant - US_Without Amendment_Aerated Static Pile</v>
      </c>
    </row>
    <row r="14899" spans="1:13" s="120" customFormat="1" x14ac:dyDescent="0.25">
      <c r="A14899" s="119"/>
      <c r="B14899" s="138" t="str">
        <f t="shared" si="1335"/>
        <v>Aerated Static Pile</v>
      </c>
      <c r="C14899" s="138" t="str">
        <f t="shared" si="1336"/>
        <v>Without Amendment</v>
      </c>
      <c r="D14899" s="138" t="str">
        <f t="shared" si="1334"/>
        <v>High_High</v>
      </c>
      <c r="E14899" s="138" t="str">
        <f t="shared" si="1337"/>
        <v>High</v>
      </c>
      <c r="F14899" s="138" t="str">
        <f t="shared" si="1338"/>
        <v>Upgraded</v>
      </c>
      <c r="G14899" s="153"/>
      <c r="H14899" s="210">
        <v>-0.38950000000000001</v>
      </c>
      <c r="I14899" s="160" t="s">
        <v>62</v>
      </c>
      <c r="J14899" s="160">
        <v>-0.24834999999999999</v>
      </c>
      <c r="K14899" s="160" t="s">
        <v>23</v>
      </c>
      <c r="L14899" s="154" t="str">
        <f>IF(OpenLCAbasic!K14899="CTUh", "Fill in Manually",IF(OR(K14899="Unit", K14899=""), "", INDEX(LookUps!$E$5:$E$12, MATCH(OpenLCAbasic!K14899,LookUps!$D$5:$D$12,0))))</f>
        <v>Global Warming Potential (GWP) - kg CO2 eq</v>
      </c>
      <c r="M14899" s="154" t="str">
        <f t="shared" si="1333"/>
        <v>High_High_High_Upgraded_Global Warming Potential (GWP) - kg CO2 eq_Land application of compost; wastewater treatment unit; at updated plant - US_Without Amendment_Aerated Static Pile</v>
      </c>
    </row>
    <row r="14900" spans="1:13" s="120" customFormat="1" x14ac:dyDescent="0.25">
      <c r="A14900" s="119"/>
      <c r="B14900" s="138" t="str">
        <f t="shared" si="1335"/>
        <v>Aerated Static Pile</v>
      </c>
      <c r="C14900" s="138" t="str">
        <f t="shared" si="1336"/>
        <v>Without Amendment</v>
      </c>
      <c r="D14900" s="138" t="str">
        <f t="shared" si="1334"/>
        <v>High_High</v>
      </c>
      <c r="E14900" s="138" t="str">
        <f t="shared" si="1337"/>
        <v>High</v>
      </c>
      <c r="F14900" s="138" t="str">
        <f t="shared" si="1338"/>
        <v>Upgraded</v>
      </c>
      <c r="G14900" s="153"/>
      <c r="H14900" s="210">
        <v>-1.3957999999999999</v>
      </c>
      <c r="I14900" s="160" t="s">
        <v>149</v>
      </c>
      <c r="J14900" s="160">
        <v>-0.88992000000000004</v>
      </c>
      <c r="K14900" s="160" t="s">
        <v>23</v>
      </c>
      <c r="L14900" s="154" t="str">
        <f>IF(OpenLCAbasic!K14900="CTUh", "Fill in Manually",IF(OR(K14900="Unit", K14900=""), "", INDEX(LookUps!$E$5:$E$12, MATCH(OpenLCAbasic!K14900,LookUps!$D$5:$D$12,0))))</f>
        <v>Global Warming Potential (GWP) - kg CO2 eq</v>
      </c>
      <c r="M14900" s="154" t="str">
        <f t="shared" si="1333"/>
        <v>High_High_High_Upgraded_Global Warming Potential (GWP) - kg CO2 eq_Anaerobic Digestion; wastewater treatment unit; at updated plant - US_Without Amendment_Aerated Static Pile</v>
      </c>
    </row>
    <row r="14901" spans="1:13" s="120" customFormat="1" x14ac:dyDescent="0.25">
      <c r="A14901" s="119"/>
      <c r="B14901" s="138" t="str">
        <f t="shared" si="1335"/>
        <v/>
      </c>
      <c r="C14901" s="138" t="str">
        <f t="shared" si="1336"/>
        <v/>
      </c>
      <c r="D14901" s="138" t="str">
        <f t="shared" si="1334"/>
        <v/>
      </c>
      <c r="E14901" s="138" t="str">
        <f t="shared" si="1337"/>
        <v/>
      </c>
      <c r="F14901" s="138" t="str">
        <f t="shared" si="1338"/>
        <v/>
      </c>
      <c r="G14901" s="153" t="s">
        <v>51</v>
      </c>
      <c r="H14901" s="160"/>
      <c r="I14901" s="160" t="s">
        <v>47</v>
      </c>
      <c r="J14901" s="160" t="s">
        <v>52</v>
      </c>
      <c r="K14901" s="160" t="s">
        <v>27</v>
      </c>
      <c r="L14901" s="154" t="str">
        <f>IF(OpenLCAbasic!K14901="CTUh", "Fill in Manually",IF(OR(K14901="Unit", K14901=""), "", INDEX(LookUps!$E$5:$E$12, MATCH(OpenLCAbasic!K14901,LookUps!$D$5:$D$12,0))))</f>
        <v/>
      </c>
      <c r="M14901" s="154" t="str">
        <f t="shared" si="1333"/>
        <v>____Process__</v>
      </c>
    </row>
    <row r="14902" spans="1:13" s="120" customFormat="1" x14ac:dyDescent="0.25">
      <c r="A14902" s="119"/>
      <c r="B14902" s="138" t="str">
        <f t="shared" si="1335"/>
        <v>Aerated Static Pile</v>
      </c>
      <c r="C14902" s="138" t="str">
        <f t="shared" si="1336"/>
        <v>Without Amendment</v>
      </c>
      <c r="D14902" s="138" t="str">
        <f t="shared" si="1334"/>
        <v>High_High</v>
      </c>
      <c r="E14902" s="138" t="str">
        <f t="shared" si="1337"/>
        <v>High</v>
      </c>
      <c r="F14902" s="138" t="str">
        <f t="shared" si="1338"/>
        <v>Upgraded</v>
      </c>
      <c r="G14902" s="153"/>
      <c r="H14902" s="210">
        <v>0.318</v>
      </c>
      <c r="I14902" s="160" t="s">
        <v>55</v>
      </c>
      <c r="J14902" s="160">
        <v>2.33E-3</v>
      </c>
      <c r="K14902" s="160" t="s">
        <v>145</v>
      </c>
      <c r="L14902" s="154" t="str">
        <f>IF(OpenLCAbasic!K14902="CTUh", "Fill in Manually",IF(OR(K14902="Unit", K14902=""), "", INDEX(LookUps!$E$5:$E$12, MATCH(OpenLCAbasic!K14902,LookUps!$D$5:$D$12,0))))</f>
        <v>Particulate Matter Formation Potential (PMFP) - kg PM2.5 eq</v>
      </c>
      <c r="M14902" s="154" t="str">
        <f t="shared" si="1333"/>
        <v>High_High_High_Upgraded_Particulate Matter Formation Potential (PMFP) - kg PM2.5 eq_Aeration Tanks; wastewater treatment unit; at updated plant - US_Without Amendment_Aerated Static Pile</v>
      </c>
    </row>
    <row r="14903" spans="1:13" s="120" customFormat="1" x14ac:dyDescent="0.25">
      <c r="A14903" s="119"/>
      <c r="B14903" s="138" t="str">
        <f t="shared" si="1335"/>
        <v>Aerated Static Pile</v>
      </c>
      <c r="C14903" s="138" t="str">
        <f t="shared" si="1336"/>
        <v>Without Amendment</v>
      </c>
      <c r="D14903" s="138" t="str">
        <f t="shared" si="1334"/>
        <v>High_High</v>
      </c>
      <c r="E14903" s="138" t="str">
        <f t="shared" si="1337"/>
        <v>High</v>
      </c>
      <c r="F14903" s="138" t="str">
        <f t="shared" si="1338"/>
        <v>Upgraded</v>
      </c>
      <c r="G14903" s="153"/>
      <c r="H14903" s="210">
        <v>9.2499999999999999E-2</v>
      </c>
      <c r="I14903" s="160" t="s">
        <v>54</v>
      </c>
      <c r="J14903" s="160">
        <v>6.8000000000000005E-4</v>
      </c>
      <c r="K14903" s="160" t="s">
        <v>145</v>
      </c>
      <c r="L14903" s="154" t="str">
        <f>IF(OpenLCAbasic!K14903="CTUh", "Fill in Manually",IF(OR(K14903="Unit", K14903=""), "", INDEX(LookUps!$E$5:$E$12, MATCH(OpenLCAbasic!K14903,LookUps!$D$5:$D$12,0))))</f>
        <v>Particulate Matter Formation Potential (PMFP) - kg PM2.5 eq</v>
      </c>
      <c r="M14903" s="154" t="str">
        <f t="shared" si="1333"/>
        <v>High_High_High_Upgraded_Particulate Matter Formation Potential (PMFP) - kg PM2.5 eq_Clear Cove Primary Clarification; wastewater treatment unit; at updated plant - US_Without Amendment_Aerated Static Pile</v>
      </c>
    </row>
    <row r="14904" spans="1:13" s="120" customFormat="1" x14ac:dyDescent="0.25">
      <c r="A14904" s="119"/>
      <c r="B14904" s="138" t="str">
        <f t="shared" si="1335"/>
        <v>Aerated Static Pile</v>
      </c>
      <c r="C14904" s="138" t="str">
        <f t="shared" si="1336"/>
        <v>Without Amendment</v>
      </c>
      <c r="D14904" s="138" t="str">
        <f t="shared" si="1334"/>
        <v>High_High</v>
      </c>
      <c r="E14904" s="138" t="str">
        <f t="shared" si="1337"/>
        <v>High</v>
      </c>
      <c r="F14904" s="138" t="str">
        <f t="shared" si="1338"/>
        <v>Upgraded</v>
      </c>
      <c r="G14904" s="153"/>
      <c r="H14904" s="210">
        <v>8.0500000000000002E-2</v>
      </c>
      <c r="I14904" s="160" t="s">
        <v>58</v>
      </c>
      <c r="J14904" s="160">
        <v>5.9000000000000003E-4</v>
      </c>
      <c r="K14904" s="160" t="s">
        <v>145</v>
      </c>
      <c r="L14904" s="154" t="str">
        <f>IF(OpenLCAbasic!K14904="CTUh", "Fill in Manually",IF(OR(K14904="Unit", K14904=""), "", INDEX(LookUps!$E$5:$E$12, MATCH(OpenLCAbasic!K14904,LookUps!$D$5:$D$12,0))))</f>
        <v>Particulate Matter Formation Potential (PMFP) - kg PM2.5 eq</v>
      </c>
      <c r="M14904" s="154" t="str">
        <f t="shared" si="1333"/>
        <v>High_High_High_Upgraded_Particulate Matter Formation Potential (PMFP) - kg PM2.5 eq_Pre-Anoxic &amp; Swing tank; wastewater treatment unit; at updated plant - US_Without Amendment_Aerated Static Pile</v>
      </c>
    </row>
    <row r="14905" spans="1:13" s="120" customFormat="1" x14ac:dyDescent="0.25">
      <c r="A14905" s="119"/>
      <c r="B14905" s="138" t="str">
        <f t="shared" si="1335"/>
        <v>Aerated Static Pile</v>
      </c>
      <c r="C14905" s="138" t="str">
        <f t="shared" si="1336"/>
        <v>Without Amendment</v>
      </c>
      <c r="D14905" s="138" t="str">
        <f t="shared" si="1334"/>
        <v>High_High</v>
      </c>
      <c r="E14905" s="138" t="str">
        <f t="shared" si="1337"/>
        <v>High</v>
      </c>
      <c r="F14905" s="138" t="str">
        <f t="shared" si="1338"/>
        <v>Upgraded</v>
      </c>
      <c r="G14905" s="153"/>
      <c r="H14905" s="210">
        <v>6.3600000000000004E-2</v>
      </c>
      <c r="I14905" s="160" t="s">
        <v>53</v>
      </c>
      <c r="J14905" s="160">
        <v>4.6999999999999999E-4</v>
      </c>
      <c r="K14905" s="160" t="s">
        <v>145</v>
      </c>
      <c r="L14905" s="154" t="str">
        <f>IF(OpenLCAbasic!K14905="CTUh", "Fill in Manually",IF(OR(K14905="Unit", K14905=""), "", INDEX(LookUps!$E$5:$E$12, MATCH(OpenLCAbasic!K14905,LookUps!$D$5:$D$12,0))))</f>
        <v>Particulate Matter Formation Potential (PMFP) - kg PM2.5 eq</v>
      </c>
      <c r="M14905" s="154" t="str">
        <f t="shared" si="1333"/>
        <v>High_High_High_Upgraded_Particulate Matter Formation Potential (PMFP) - kg PM2.5 eq_Wet Well and Sump Station; wastewater treatment unit; at updated plant - US_Without Amendment_Aerated Static Pile</v>
      </c>
    </row>
    <row r="14906" spans="1:13" s="120" customFormat="1" x14ac:dyDescent="0.25">
      <c r="A14906" s="119"/>
      <c r="B14906" s="138" t="str">
        <f t="shared" si="1335"/>
        <v>Aerated Static Pile</v>
      </c>
      <c r="C14906" s="138" t="str">
        <f t="shared" si="1336"/>
        <v>Without Amendment</v>
      </c>
      <c r="D14906" s="138" t="str">
        <f t="shared" si="1334"/>
        <v>High_High</v>
      </c>
      <c r="E14906" s="138" t="str">
        <f t="shared" si="1337"/>
        <v>High</v>
      </c>
      <c r="F14906" s="138" t="str">
        <f t="shared" si="1338"/>
        <v>Upgraded</v>
      </c>
      <c r="G14906" s="153"/>
      <c r="H14906" s="210">
        <v>5.8000000000000003E-2</v>
      </c>
      <c r="I14906" s="160" t="s">
        <v>435</v>
      </c>
      <c r="J14906" s="160">
        <v>4.2999999999999999E-4</v>
      </c>
      <c r="K14906" s="160" t="s">
        <v>145</v>
      </c>
      <c r="L14906" s="154" t="str">
        <f>IF(OpenLCAbasic!K14906="CTUh", "Fill in Manually",IF(OR(K14906="Unit", K14906=""), "", INDEX(LookUps!$E$5:$E$12, MATCH(OpenLCAbasic!K14906,LookUps!$D$5:$D$12,0))))</f>
        <v>Particulate Matter Formation Potential (PMFP) - kg PM2.5 eq</v>
      </c>
      <c r="M14906" s="154" t="str">
        <f t="shared" si="1333"/>
        <v>High_High_High_Upgraded_Particulate Matter Formation Potential (PMFP) - kg PM2.5 eq_Biosolids composting; aerated static pile; wastewater treatment unit; at updated plant - US_Without Amendment_Aerated Static Pile</v>
      </c>
    </row>
    <row r="14907" spans="1:13" s="120" customFormat="1" x14ac:dyDescent="0.25">
      <c r="A14907" s="119"/>
      <c r="B14907" s="138" t="str">
        <f t="shared" si="1335"/>
        <v>Aerated Static Pile</v>
      </c>
      <c r="C14907" s="138" t="str">
        <f t="shared" si="1336"/>
        <v>Without Amendment</v>
      </c>
      <c r="D14907" s="138" t="str">
        <f t="shared" si="1334"/>
        <v>High_High</v>
      </c>
      <c r="E14907" s="138" t="str">
        <f t="shared" si="1337"/>
        <v>High</v>
      </c>
      <c r="F14907" s="138" t="str">
        <f t="shared" si="1338"/>
        <v>Upgraded</v>
      </c>
      <c r="G14907" s="153"/>
      <c r="H14907" s="210">
        <v>4.5199999999999997E-2</v>
      </c>
      <c r="I14907" s="160" t="s">
        <v>167</v>
      </c>
      <c r="J14907" s="160">
        <v>3.3E-4</v>
      </c>
      <c r="K14907" s="160" t="s">
        <v>145</v>
      </c>
      <c r="L14907" s="154" t="str">
        <f>IF(OpenLCAbasic!K14907="CTUh", "Fill in Manually",IF(OR(K14907="Unit", K14907=""), "", INDEX(LookUps!$E$5:$E$12, MATCH(OpenLCAbasic!K14907,LookUps!$D$5:$D$12,0))))</f>
        <v>Particulate Matter Formation Potential (PMFP) - kg PM2.5 eq</v>
      </c>
      <c r="M14907" s="154" t="str">
        <f t="shared" si="1333"/>
        <v>High_High_High_Upgraded_Particulate Matter Formation Potential (PMFP) - kg PM2.5 eq_Waste Receiving and Holding; wastewater treatment unit; at updated plant - US_Without Amendment_Aerated Static Pile</v>
      </c>
    </row>
    <row r="14908" spans="1:13" s="120" customFormat="1" x14ac:dyDescent="0.25">
      <c r="A14908" s="119"/>
      <c r="B14908" s="138" t="str">
        <f t="shared" si="1335"/>
        <v>Aerated Static Pile</v>
      </c>
      <c r="C14908" s="138" t="str">
        <f t="shared" si="1336"/>
        <v>Without Amendment</v>
      </c>
      <c r="D14908" s="138" t="str">
        <f t="shared" si="1334"/>
        <v>High_High</v>
      </c>
      <c r="E14908" s="138" t="str">
        <f t="shared" si="1337"/>
        <v>High</v>
      </c>
      <c r="F14908" s="138" t="str">
        <f t="shared" si="1338"/>
        <v>Upgraded</v>
      </c>
      <c r="G14908" s="153"/>
      <c r="H14908" s="210">
        <v>3.6299999999999999E-2</v>
      </c>
      <c r="I14908" s="160" t="s">
        <v>147</v>
      </c>
      <c r="J14908" s="160">
        <v>2.7E-4</v>
      </c>
      <c r="K14908" s="160" t="s">
        <v>145</v>
      </c>
      <c r="L14908" s="154" t="str">
        <f>IF(OpenLCAbasic!K14908="CTUh", "Fill in Manually",IF(OR(K14908="Unit", K14908=""), "", INDEX(LookUps!$E$5:$E$12, MATCH(OpenLCAbasic!K14908,LookUps!$D$5:$D$12,0))))</f>
        <v>Particulate Matter Formation Potential (PMFP) - kg PM2.5 eq</v>
      </c>
      <c r="M14908" s="154" t="str">
        <f t="shared" si="1333"/>
        <v>High_High_High_Upgraded_Particulate Matter Formation Potential (PMFP) - kg PM2.5 eq_Influent Pump Station; wastewater treatment unit; at updated plant - US_Without Amendment_Aerated Static Pile</v>
      </c>
    </row>
    <row r="14909" spans="1:13" s="120" customFormat="1" x14ac:dyDescent="0.25">
      <c r="A14909" s="119"/>
      <c r="B14909" s="138" t="str">
        <f t="shared" si="1335"/>
        <v>Aerated Static Pile</v>
      </c>
      <c r="C14909" s="138" t="str">
        <f t="shared" si="1336"/>
        <v>Without Amendment</v>
      </c>
      <c r="D14909" s="138" t="str">
        <f t="shared" si="1334"/>
        <v>High_High</v>
      </c>
      <c r="E14909" s="138" t="str">
        <f t="shared" si="1337"/>
        <v>High</v>
      </c>
      <c r="F14909" s="138" t="str">
        <f t="shared" si="1338"/>
        <v>Upgraded</v>
      </c>
      <c r="G14909" s="153"/>
      <c r="H14909" s="210">
        <v>2.5499999999999998E-2</v>
      </c>
      <c r="I14909" s="160" t="s">
        <v>60</v>
      </c>
      <c r="J14909" s="160">
        <v>1.9000000000000001E-4</v>
      </c>
      <c r="K14909" s="160" t="s">
        <v>145</v>
      </c>
      <c r="L14909" s="154" t="str">
        <f>IF(OpenLCAbasic!K14909="CTUh", "Fill in Manually",IF(OR(K14909="Unit", K14909=""), "", INDEX(LookUps!$E$5:$E$12, MATCH(OpenLCAbasic!K14909,LookUps!$D$5:$D$12,0))))</f>
        <v>Particulate Matter Formation Potential (PMFP) - kg PM2.5 eq</v>
      </c>
      <c r="M14909" s="154" t="str">
        <f t="shared" si="1333"/>
        <v>High_High_High_Upgraded_Particulate Matter Formation Potential (PMFP) - kg PM2.5 eq_Belt filter press; wastewater treatment unit; at updated plant - US_Without Amendment_Aerated Static Pile</v>
      </c>
    </row>
    <row r="14910" spans="1:13" s="120" customFormat="1" x14ac:dyDescent="0.25">
      <c r="A14910" s="119"/>
      <c r="B14910" s="138" t="str">
        <f t="shared" si="1335"/>
        <v>Aerated Static Pile</v>
      </c>
      <c r="C14910" s="138" t="str">
        <f t="shared" si="1336"/>
        <v>Without Amendment</v>
      </c>
      <c r="D14910" s="138" t="str">
        <f t="shared" si="1334"/>
        <v>High_High</v>
      </c>
      <c r="E14910" s="138" t="str">
        <f t="shared" si="1337"/>
        <v>High</v>
      </c>
      <c r="F14910" s="138" t="str">
        <f t="shared" si="1338"/>
        <v>Upgraded</v>
      </c>
      <c r="G14910" s="153"/>
      <c r="H14910" s="210">
        <v>2.2700000000000001E-2</v>
      </c>
      <c r="I14910" s="160" t="s">
        <v>128</v>
      </c>
      <c r="J14910" s="160">
        <v>1.7000000000000001E-4</v>
      </c>
      <c r="K14910" s="160" t="s">
        <v>145</v>
      </c>
      <c r="L14910" s="154" t="str">
        <f>IF(OpenLCAbasic!K14910="CTUh", "Fill in Manually",IF(OR(K14910="Unit", K14910=""), "", INDEX(LookUps!$E$5:$E$12, MATCH(OpenLCAbasic!K14910,LookUps!$D$5:$D$12,0))))</f>
        <v>Particulate Matter Formation Potential (PMFP) - kg PM2.5 eq</v>
      </c>
      <c r="M14910" s="154" t="str">
        <f t="shared" si="1333"/>
        <v>High_High_High_Upgraded_Particulate Matter Formation Potential (PMFP) - kg PM2.5 eq_Wastewater collection; operation and infrastructure; m3 wastewater_Without Amendment_Aerated Static Pile</v>
      </c>
    </row>
    <row r="14911" spans="1:13" s="120" customFormat="1" x14ac:dyDescent="0.25">
      <c r="A14911" s="119"/>
      <c r="B14911" s="138" t="str">
        <f t="shared" si="1335"/>
        <v>Aerated Static Pile</v>
      </c>
      <c r="C14911" s="138" t="str">
        <f t="shared" si="1336"/>
        <v>Without Amendment</v>
      </c>
      <c r="D14911" s="138" t="str">
        <f t="shared" si="1334"/>
        <v>High_High</v>
      </c>
      <c r="E14911" s="138" t="str">
        <f t="shared" si="1337"/>
        <v>High</v>
      </c>
      <c r="F14911" s="138" t="str">
        <f t="shared" si="1338"/>
        <v>Upgraded</v>
      </c>
      <c r="G14911" s="153"/>
      <c r="H14911" s="210">
        <v>1.2999999999999999E-2</v>
      </c>
      <c r="I14911" s="160" t="s">
        <v>57</v>
      </c>
      <c r="J14911" s="211">
        <v>9.5153800000000004E-5</v>
      </c>
      <c r="K14911" s="160" t="s">
        <v>145</v>
      </c>
      <c r="L14911" s="154" t="str">
        <f>IF(OpenLCAbasic!K14911="CTUh", "Fill in Manually",IF(OR(K14911="Unit", K14911=""), "", INDEX(LookUps!$E$5:$E$12, MATCH(OpenLCAbasic!K14911,LookUps!$D$5:$D$12,0))))</f>
        <v>Particulate Matter Formation Potential (PMFP) - kg PM2.5 eq</v>
      </c>
      <c r="M14911" s="154" t="str">
        <f t="shared" si="1333"/>
        <v>High_High_High_Upgraded_Particulate Matter Formation Potential (PMFP) - kg PM2.5 eq_Gravity Belt Thickener; wastewater treatment unit; at updated plant - US_Without Amendment_Aerated Static Pile</v>
      </c>
    </row>
    <row r="14912" spans="1:13" s="120" customFormat="1" x14ac:dyDescent="0.25">
      <c r="A14912" s="119"/>
      <c r="B14912" s="138" t="str">
        <f t="shared" si="1335"/>
        <v>Aerated Static Pile</v>
      </c>
      <c r="C14912" s="138" t="str">
        <f t="shared" si="1336"/>
        <v>Without Amendment</v>
      </c>
      <c r="D14912" s="138" t="str">
        <f t="shared" si="1334"/>
        <v>High_High</v>
      </c>
      <c r="E14912" s="138" t="str">
        <f t="shared" si="1337"/>
        <v>High</v>
      </c>
      <c r="F14912" s="138" t="str">
        <f t="shared" si="1338"/>
        <v>Upgraded</v>
      </c>
      <c r="G14912" s="153"/>
      <c r="H14912" s="210">
        <v>9.4999999999999998E-3</v>
      </c>
      <c r="I14912" s="160" t="s">
        <v>59</v>
      </c>
      <c r="J14912" s="211">
        <v>6.9942200000000003E-5</v>
      </c>
      <c r="K14912" s="160" t="s">
        <v>145</v>
      </c>
      <c r="L14912" s="154" t="str">
        <f>IF(OpenLCAbasic!K14912="CTUh", "Fill in Manually",IF(OR(K14912="Unit", K14912=""), "", INDEX(LookUps!$E$5:$E$12, MATCH(OpenLCAbasic!K14912,LookUps!$D$5:$D$12,0))))</f>
        <v>Particulate Matter Formation Potential (PMFP) - kg PM2.5 eq</v>
      </c>
      <c r="M14912" s="154" t="str">
        <f t="shared" si="1333"/>
        <v>High_High_High_Upgraded_Particulate Matter Formation Potential (PMFP) - kg PM2.5 eq_Blend Tank; wastewater treatment unit; at updated plant - US_Without Amendment_Aerated Static Pile</v>
      </c>
    </row>
    <row r="14913" spans="1:13" s="120" customFormat="1" x14ac:dyDescent="0.25">
      <c r="A14913" s="119"/>
      <c r="B14913" s="138" t="str">
        <f t="shared" si="1335"/>
        <v>Aerated Static Pile</v>
      </c>
      <c r="C14913" s="138" t="str">
        <f t="shared" si="1336"/>
        <v>Without Amendment</v>
      </c>
      <c r="D14913" s="138" t="str">
        <f t="shared" si="1334"/>
        <v>High_High</v>
      </c>
      <c r="E14913" s="138" t="str">
        <f t="shared" si="1337"/>
        <v>High</v>
      </c>
      <c r="F14913" s="138" t="str">
        <f t="shared" si="1338"/>
        <v>Upgraded</v>
      </c>
      <c r="G14913" s="153"/>
      <c r="H14913" s="210">
        <v>6.7999999999999996E-3</v>
      </c>
      <c r="I14913" s="160" t="s">
        <v>48</v>
      </c>
      <c r="J14913" s="211">
        <v>4.99741E-5</v>
      </c>
      <c r="K14913" s="160" t="s">
        <v>145</v>
      </c>
      <c r="L14913" s="154" t="str">
        <f>IF(OpenLCAbasic!K14913="CTUh", "Fill in Manually",IF(OR(K14913="Unit", K14913=""), "", INDEX(LookUps!$E$5:$E$12, MATCH(OpenLCAbasic!K14913,LookUps!$D$5:$D$12,0))))</f>
        <v>Particulate Matter Formation Potential (PMFP) - kg PM2.5 eq</v>
      </c>
      <c r="M14913" s="154" t="str">
        <f t="shared" si="1333"/>
        <v>High_High_High_Upgraded_Particulate Matter Formation Potential (PMFP) - kg PM2.5 eq_Effluent release; wastewater treatment unit; at surface water; m3 wastewater - US_Without Amendment_Aerated Static Pile</v>
      </c>
    </row>
    <row r="14914" spans="1:13" s="120" customFormat="1" x14ac:dyDescent="0.25">
      <c r="A14914" s="119"/>
      <c r="B14914" s="138" t="str">
        <f t="shared" si="1335"/>
        <v>Aerated Static Pile</v>
      </c>
      <c r="C14914" s="138" t="str">
        <f t="shared" si="1336"/>
        <v>Without Amendment</v>
      </c>
      <c r="D14914" s="138" t="str">
        <f t="shared" si="1334"/>
        <v>High_High</v>
      </c>
      <c r="E14914" s="138" t="str">
        <f t="shared" si="1337"/>
        <v>High</v>
      </c>
      <c r="F14914" s="138" t="str">
        <f t="shared" si="1338"/>
        <v>Upgraded</v>
      </c>
      <c r="G14914" s="153"/>
      <c r="H14914" s="210">
        <v>5.7000000000000002E-3</v>
      </c>
      <c r="I14914" s="160" t="s">
        <v>62</v>
      </c>
      <c r="J14914" s="211">
        <v>4.2181600000000003E-5</v>
      </c>
      <c r="K14914" s="160" t="s">
        <v>145</v>
      </c>
      <c r="L14914" s="154" t="str">
        <f>IF(OpenLCAbasic!K14914="CTUh", "Fill in Manually",IF(OR(K14914="Unit", K14914=""), "", INDEX(LookUps!$E$5:$E$12, MATCH(OpenLCAbasic!K14914,LookUps!$D$5:$D$12,0))))</f>
        <v>Particulate Matter Formation Potential (PMFP) - kg PM2.5 eq</v>
      </c>
      <c r="M14914" s="154" t="str">
        <f t="shared" si="1333"/>
        <v>High_High_High_Upgraded_Particulate Matter Formation Potential (PMFP) - kg PM2.5 eq_Land application of compost; wastewater treatment unit; at updated plant - US_Without Amendment_Aerated Static Pile</v>
      </c>
    </row>
    <row r="14915" spans="1:13" s="120" customFormat="1" x14ac:dyDescent="0.25">
      <c r="A14915" s="119"/>
      <c r="B14915" s="138" t="str">
        <f t="shared" si="1335"/>
        <v>Aerated Static Pile</v>
      </c>
      <c r="C14915" s="138" t="str">
        <f t="shared" si="1336"/>
        <v>Without Amendment</v>
      </c>
      <c r="D14915" s="138" t="str">
        <f t="shared" si="1334"/>
        <v>High_High</v>
      </c>
      <c r="E14915" s="138" t="str">
        <f t="shared" si="1337"/>
        <v>High</v>
      </c>
      <c r="F14915" s="138" t="str">
        <f t="shared" si="1338"/>
        <v>Upgraded</v>
      </c>
      <c r="G14915" s="153"/>
      <c r="H14915" s="210">
        <v>4.7000000000000002E-3</v>
      </c>
      <c r="I14915" s="160" t="s">
        <v>168</v>
      </c>
      <c r="J14915" s="211">
        <v>3.4562199999999999E-5</v>
      </c>
      <c r="K14915" s="160" t="s">
        <v>145</v>
      </c>
      <c r="L14915" s="154" t="str">
        <f>IF(OpenLCAbasic!K14915="CTUh", "Fill in Manually",IF(OR(K14915="Unit", K14915=""), "", INDEX(LookUps!$E$5:$E$12, MATCH(OpenLCAbasic!K14915,LookUps!$D$5:$D$12,0))))</f>
        <v>Particulate Matter Formation Potential (PMFP) - kg PM2.5 eq</v>
      </c>
      <c r="M14915" s="154" t="str">
        <f t="shared" si="1333"/>
        <v>High_High_High_Upgraded_Particulate Matter Formation Potential (PMFP) - kg PM2.5 eq_ClearCove SCP; wastewater treatment unit; at updated plant - US_Without Amendment_Aerated Static Pile</v>
      </c>
    </row>
    <row r="14916" spans="1:13" s="120" customFormat="1" x14ac:dyDescent="0.25">
      <c r="A14916" s="119"/>
      <c r="B14916" s="138" t="str">
        <f t="shared" si="1335"/>
        <v>Aerated Static Pile</v>
      </c>
      <c r="C14916" s="138" t="str">
        <f t="shared" si="1336"/>
        <v>Without Amendment</v>
      </c>
      <c r="D14916" s="138" t="str">
        <f t="shared" si="1334"/>
        <v>High_High</v>
      </c>
      <c r="E14916" s="138" t="str">
        <f t="shared" si="1337"/>
        <v>High</v>
      </c>
      <c r="F14916" s="138" t="str">
        <f t="shared" si="1338"/>
        <v>Upgraded</v>
      </c>
      <c r="G14916" s="153"/>
      <c r="H14916" s="210">
        <v>1.1999999999999999E-3</v>
      </c>
      <c r="I14916" s="160" t="s">
        <v>148</v>
      </c>
      <c r="J14916" s="211">
        <v>8.8212999999999997E-6</v>
      </c>
      <c r="K14916" s="160" t="s">
        <v>145</v>
      </c>
      <c r="L14916" s="154" t="str">
        <f>IF(OpenLCAbasic!K14916="CTUh", "Fill in Manually",IF(OR(K14916="Unit", K14916=""), "", INDEX(LookUps!$E$5:$E$12, MATCH(OpenLCAbasic!K14916,LookUps!$D$5:$D$12,0))))</f>
        <v>Particulate Matter Formation Potential (PMFP) - kg PM2.5 eq</v>
      </c>
      <c r="M14916" s="154" t="str">
        <f t="shared" si="1333"/>
        <v>High_High_High_Upgraded_Particulate Matter Formation Potential (PMFP) - kg PM2.5 eq_Control Building; at upgraded wastewater treatment plant - US_Without Amendment_Aerated Static Pile</v>
      </c>
    </row>
    <row r="14917" spans="1:13" s="120" customFormat="1" x14ac:dyDescent="0.25">
      <c r="A14917" s="119"/>
      <c r="B14917" s="138" t="str">
        <f t="shared" si="1335"/>
        <v>Aerated Static Pile</v>
      </c>
      <c r="C14917" s="138" t="str">
        <f t="shared" si="1336"/>
        <v>Without Amendment</v>
      </c>
      <c r="D14917" s="138" t="str">
        <f t="shared" si="1334"/>
        <v>High_High</v>
      </c>
      <c r="E14917" s="138" t="str">
        <f t="shared" si="1337"/>
        <v>High</v>
      </c>
      <c r="F14917" s="138" t="str">
        <f t="shared" si="1338"/>
        <v>Upgraded</v>
      </c>
      <c r="G14917" s="153"/>
      <c r="H14917" s="210">
        <v>-1.7833000000000001</v>
      </c>
      <c r="I14917" s="160" t="s">
        <v>149</v>
      </c>
      <c r="J14917" s="160">
        <v>-1.3089999999999999E-2</v>
      </c>
      <c r="K14917" s="160" t="s">
        <v>145</v>
      </c>
      <c r="L14917" s="154" t="str">
        <f>IF(OpenLCAbasic!K14917="CTUh", "Fill in Manually",IF(OR(K14917="Unit", K14917=""), "", INDEX(LookUps!$E$5:$E$12, MATCH(OpenLCAbasic!K14917,LookUps!$D$5:$D$12,0))))</f>
        <v>Particulate Matter Formation Potential (PMFP) - kg PM2.5 eq</v>
      </c>
      <c r="M14917" s="154" t="str">
        <f t="shared" si="1333"/>
        <v>High_High_High_Upgraded_Particulate Matter Formation Potential (PMFP) - kg PM2.5 eq_Anaerobic Digestion; wastewater treatment unit; at updated plant - US_Without Amendment_Aerated Static Pile</v>
      </c>
    </row>
    <row r="14918" spans="1:13" s="120" customFormat="1" x14ac:dyDescent="0.25">
      <c r="A14918" s="119"/>
      <c r="B14918" s="138" t="str">
        <f t="shared" si="1335"/>
        <v/>
      </c>
      <c r="C14918" s="138" t="str">
        <f t="shared" si="1336"/>
        <v/>
      </c>
      <c r="D14918" s="138" t="str">
        <f t="shared" si="1334"/>
        <v/>
      </c>
      <c r="E14918" s="138" t="str">
        <f t="shared" si="1337"/>
        <v/>
      </c>
      <c r="F14918" s="138" t="str">
        <f t="shared" si="1338"/>
        <v/>
      </c>
      <c r="G14918" s="153" t="s">
        <v>51</v>
      </c>
      <c r="H14918" s="160"/>
      <c r="I14918" s="160" t="s">
        <v>47</v>
      </c>
      <c r="J14918" s="160" t="s">
        <v>52</v>
      </c>
      <c r="K14918" s="160" t="s">
        <v>27</v>
      </c>
      <c r="L14918" s="154" t="str">
        <f>IF(OpenLCAbasic!K14918="CTUh", "Fill in Manually",IF(OR(K14918="Unit", K14918=""), "", INDEX(LookUps!$E$5:$E$12, MATCH(OpenLCAbasic!K14918,LookUps!$D$5:$D$12,0))))</f>
        <v/>
      </c>
      <c r="M14918" s="154" t="str">
        <f t="shared" si="1333"/>
        <v>____Process__</v>
      </c>
    </row>
    <row r="14919" spans="1:13" s="120" customFormat="1" x14ac:dyDescent="0.25">
      <c r="A14919" s="119"/>
      <c r="B14919" s="138" t="str">
        <f t="shared" si="1335"/>
        <v>Aerated Static Pile</v>
      </c>
      <c r="C14919" s="138" t="str">
        <f t="shared" si="1336"/>
        <v>Without Amendment</v>
      </c>
      <c r="D14919" s="138" t="str">
        <f t="shared" si="1334"/>
        <v>High_High</v>
      </c>
      <c r="E14919" s="138" t="str">
        <f t="shared" si="1337"/>
        <v>High</v>
      </c>
      <c r="F14919" s="138" t="str">
        <f t="shared" si="1338"/>
        <v>Upgraded</v>
      </c>
      <c r="G14919" s="153"/>
      <c r="H14919" s="210">
        <v>0.31869999999999998</v>
      </c>
      <c r="I14919" s="160" t="s">
        <v>55</v>
      </c>
      <c r="J14919" s="160">
        <v>0.16577</v>
      </c>
      <c r="K14919" s="160" t="s">
        <v>25</v>
      </c>
      <c r="L14919" s="154" t="str">
        <f>IF(OpenLCAbasic!K14919="CTUh", "Fill in Manually",IF(OR(K14919="Unit", K14919=""), "", INDEX(LookUps!$E$5:$E$12, MATCH(OpenLCAbasic!K14919,LookUps!$D$5:$D$12,0))))</f>
        <v>Smog Formation Potential (SFP) - kg O3 eq</v>
      </c>
      <c r="M14919" s="154" t="str">
        <f t="shared" si="1333"/>
        <v>High_High_High_Upgraded_Smog Formation Potential (SFP) - kg O3 eq_Aeration Tanks; wastewater treatment unit; at updated plant - US_Without Amendment_Aerated Static Pile</v>
      </c>
    </row>
    <row r="14920" spans="1:13" s="120" customFormat="1" x14ac:dyDescent="0.25">
      <c r="A14920" s="119"/>
      <c r="B14920" s="138" t="str">
        <f t="shared" si="1335"/>
        <v>Aerated Static Pile</v>
      </c>
      <c r="C14920" s="138" t="str">
        <f t="shared" si="1336"/>
        <v>Without Amendment</v>
      </c>
      <c r="D14920" s="138" t="str">
        <f t="shared" si="1334"/>
        <v>High_High</v>
      </c>
      <c r="E14920" s="138" t="str">
        <f t="shared" si="1337"/>
        <v>High</v>
      </c>
      <c r="F14920" s="138" t="str">
        <f t="shared" si="1338"/>
        <v>Upgraded</v>
      </c>
      <c r="G14920" s="153"/>
      <c r="H14920" s="210">
        <v>9.2399999999999996E-2</v>
      </c>
      <c r="I14920" s="160" t="s">
        <v>54</v>
      </c>
      <c r="J14920" s="160">
        <v>4.8070000000000002E-2</v>
      </c>
      <c r="K14920" s="160" t="s">
        <v>25</v>
      </c>
      <c r="L14920" s="154" t="str">
        <f>IF(OpenLCAbasic!K14920="CTUh", "Fill in Manually",IF(OR(K14920="Unit", K14920=""), "", INDEX(LookUps!$E$5:$E$12, MATCH(OpenLCAbasic!K14920,LookUps!$D$5:$D$12,0))))</f>
        <v>Smog Formation Potential (SFP) - kg O3 eq</v>
      </c>
      <c r="M14920" s="154" t="str">
        <f t="shared" si="1333"/>
        <v>High_High_High_Upgraded_Smog Formation Potential (SFP) - kg O3 eq_Clear Cove Primary Clarification; wastewater treatment unit; at updated plant - US_Without Amendment_Aerated Static Pile</v>
      </c>
    </row>
    <row r="14921" spans="1:13" s="120" customFormat="1" x14ac:dyDescent="0.25">
      <c r="A14921" s="119"/>
      <c r="B14921" s="138" t="str">
        <f t="shared" si="1335"/>
        <v>Aerated Static Pile</v>
      </c>
      <c r="C14921" s="138" t="str">
        <f t="shared" si="1336"/>
        <v>Without Amendment</v>
      </c>
      <c r="D14921" s="138" t="str">
        <f t="shared" si="1334"/>
        <v>High_High</v>
      </c>
      <c r="E14921" s="138" t="str">
        <f t="shared" si="1337"/>
        <v>High</v>
      </c>
      <c r="F14921" s="138" t="str">
        <f t="shared" si="1338"/>
        <v>Upgraded</v>
      </c>
      <c r="G14921" s="153"/>
      <c r="H14921" s="210">
        <v>8.09E-2</v>
      </c>
      <c r="I14921" s="160" t="s">
        <v>58</v>
      </c>
      <c r="J14921" s="160">
        <v>4.2090000000000002E-2</v>
      </c>
      <c r="K14921" s="160" t="s">
        <v>25</v>
      </c>
      <c r="L14921" s="154" t="str">
        <f>IF(OpenLCAbasic!K14921="CTUh", "Fill in Manually",IF(OR(K14921="Unit", K14921=""), "", INDEX(LookUps!$E$5:$E$12, MATCH(OpenLCAbasic!K14921,LookUps!$D$5:$D$12,0))))</f>
        <v>Smog Formation Potential (SFP) - kg O3 eq</v>
      </c>
      <c r="M14921" s="154" t="str">
        <f t="shared" si="1333"/>
        <v>High_High_High_Upgraded_Smog Formation Potential (SFP) - kg O3 eq_Pre-Anoxic &amp; Swing tank; wastewater treatment unit; at updated plant - US_Without Amendment_Aerated Static Pile</v>
      </c>
    </row>
    <row r="14922" spans="1:13" s="120" customFormat="1" x14ac:dyDescent="0.25">
      <c r="A14922" s="119"/>
      <c r="B14922" s="138" t="str">
        <f t="shared" si="1335"/>
        <v>Aerated Static Pile</v>
      </c>
      <c r="C14922" s="138" t="str">
        <f t="shared" si="1336"/>
        <v>Without Amendment</v>
      </c>
      <c r="D14922" s="138" t="str">
        <f t="shared" si="1334"/>
        <v>High_High</v>
      </c>
      <c r="E14922" s="138" t="str">
        <f t="shared" si="1337"/>
        <v>High</v>
      </c>
      <c r="F14922" s="138" t="str">
        <f t="shared" si="1338"/>
        <v>Upgraded</v>
      </c>
      <c r="G14922" s="153"/>
      <c r="H14922" s="210">
        <v>6.4899999999999999E-2</v>
      </c>
      <c r="I14922" s="160" t="s">
        <v>167</v>
      </c>
      <c r="J14922" s="160">
        <v>3.3759999999999998E-2</v>
      </c>
      <c r="K14922" s="160" t="s">
        <v>25</v>
      </c>
      <c r="L14922" s="154" t="str">
        <f>IF(OpenLCAbasic!K14922="CTUh", "Fill in Manually",IF(OR(K14922="Unit", K14922=""), "", INDEX(LookUps!$E$5:$E$12, MATCH(OpenLCAbasic!K14922,LookUps!$D$5:$D$12,0))))</f>
        <v>Smog Formation Potential (SFP) - kg O3 eq</v>
      </c>
      <c r="M14922" s="154" t="str">
        <f t="shared" si="1333"/>
        <v>High_High_High_Upgraded_Smog Formation Potential (SFP) - kg O3 eq_Waste Receiving and Holding; wastewater treatment unit; at updated plant - US_Without Amendment_Aerated Static Pile</v>
      </c>
    </row>
    <row r="14923" spans="1:13" s="120" customFormat="1" x14ac:dyDescent="0.25">
      <c r="A14923" s="119"/>
      <c r="B14923" s="138" t="str">
        <f t="shared" si="1335"/>
        <v>Aerated Static Pile</v>
      </c>
      <c r="C14923" s="138" t="str">
        <f t="shared" si="1336"/>
        <v>Without Amendment</v>
      </c>
      <c r="D14923" s="138" t="str">
        <f t="shared" si="1334"/>
        <v>High_High</v>
      </c>
      <c r="E14923" s="138" t="str">
        <f t="shared" si="1337"/>
        <v>High</v>
      </c>
      <c r="F14923" s="138" t="str">
        <f t="shared" si="1338"/>
        <v>Upgraded</v>
      </c>
      <c r="G14923" s="153"/>
      <c r="H14923" s="210">
        <v>6.3700000000000007E-2</v>
      </c>
      <c r="I14923" s="160" t="s">
        <v>53</v>
      </c>
      <c r="J14923" s="160">
        <v>3.313E-2</v>
      </c>
      <c r="K14923" s="160" t="s">
        <v>25</v>
      </c>
      <c r="L14923" s="154" t="str">
        <f>IF(OpenLCAbasic!K14923="CTUh", "Fill in Manually",IF(OR(K14923="Unit", K14923=""), "", INDEX(LookUps!$E$5:$E$12, MATCH(OpenLCAbasic!K14923,LookUps!$D$5:$D$12,0))))</f>
        <v>Smog Formation Potential (SFP) - kg O3 eq</v>
      </c>
      <c r="M14923" s="154" t="str">
        <f t="shared" si="1333"/>
        <v>High_High_High_Upgraded_Smog Formation Potential (SFP) - kg O3 eq_Wet Well and Sump Station; wastewater treatment unit; at updated plant - US_Without Amendment_Aerated Static Pile</v>
      </c>
    </row>
    <row r="14924" spans="1:13" s="120" customFormat="1" x14ac:dyDescent="0.25">
      <c r="A14924" s="119"/>
      <c r="B14924" s="138" t="str">
        <f t="shared" si="1335"/>
        <v>Aerated Static Pile</v>
      </c>
      <c r="C14924" s="138" t="str">
        <f t="shared" si="1336"/>
        <v>Without Amendment</v>
      </c>
      <c r="D14924" s="138" t="str">
        <f t="shared" si="1334"/>
        <v>High_High</v>
      </c>
      <c r="E14924" s="138" t="str">
        <f t="shared" si="1337"/>
        <v>High</v>
      </c>
      <c r="F14924" s="138" t="str">
        <f t="shared" si="1338"/>
        <v>Upgraded</v>
      </c>
      <c r="G14924" s="153"/>
      <c r="H14924" s="210">
        <v>5.5300000000000002E-2</v>
      </c>
      <c r="I14924" s="160" t="s">
        <v>435</v>
      </c>
      <c r="J14924" s="160">
        <v>2.878E-2</v>
      </c>
      <c r="K14924" s="160" t="s">
        <v>25</v>
      </c>
      <c r="L14924" s="154" t="str">
        <f>IF(OpenLCAbasic!K14924="CTUh", "Fill in Manually",IF(OR(K14924="Unit", K14924=""), "", INDEX(LookUps!$E$5:$E$12, MATCH(OpenLCAbasic!K14924,LookUps!$D$5:$D$12,0))))</f>
        <v>Smog Formation Potential (SFP) - kg O3 eq</v>
      </c>
      <c r="M14924" s="154" t="str">
        <f t="shared" si="1333"/>
        <v>High_High_High_Upgraded_Smog Formation Potential (SFP) - kg O3 eq_Biosolids composting; aerated static pile; wastewater treatment unit; at updated plant - US_Without Amendment_Aerated Static Pile</v>
      </c>
    </row>
    <row r="14925" spans="1:13" s="120" customFormat="1" x14ac:dyDescent="0.25">
      <c r="A14925" s="119"/>
      <c r="B14925" s="138" t="str">
        <f t="shared" si="1335"/>
        <v>Aerated Static Pile</v>
      </c>
      <c r="C14925" s="138" t="str">
        <f t="shared" si="1336"/>
        <v>Without Amendment</v>
      </c>
      <c r="D14925" s="138" t="str">
        <f t="shared" si="1334"/>
        <v>High_High</v>
      </c>
      <c r="E14925" s="138" t="str">
        <f t="shared" si="1337"/>
        <v>High</v>
      </c>
      <c r="F14925" s="138" t="str">
        <f t="shared" si="1338"/>
        <v>Upgraded</v>
      </c>
      <c r="G14925" s="153"/>
      <c r="H14925" s="210">
        <v>3.73E-2</v>
      </c>
      <c r="I14925" s="160" t="s">
        <v>147</v>
      </c>
      <c r="J14925" s="160">
        <v>1.9400000000000001E-2</v>
      </c>
      <c r="K14925" s="160" t="s">
        <v>25</v>
      </c>
      <c r="L14925" s="154" t="str">
        <f>IF(OpenLCAbasic!K14925="CTUh", "Fill in Manually",IF(OR(K14925="Unit", K14925=""), "", INDEX(LookUps!$E$5:$E$12, MATCH(OpenLCAbasic!K14925,LookUps!$D$5:$D$12,0))))</f>
        <v>Smog Formation Potential (SFP) - kg O3 eq</v>
      </c>
      <c r="M14925" s="154" t="str">
        <f t="shared" si="1333"/>
        <v>High_High_High_Upgraded_Smog Formation Potential (SFP) - kg O3 eq_Influent Pump Station; wastewater treatment unit; at updated plant - US_Without Amendment_Aerated Static Pile</v>
      </c>
    </row>
    <row r="14926" spans="1:13" s="120" customFormat="1" x14ac:dyDescent="0.25">
      <c r="A14926" s="119"/>
      <c r="B14926" s="138" t="str">
        <f t="shared" si="1335"/>
        <v>Aerated Static Pile</v>
      </c>
      <c r="C14926" s="138" t="str">
        <f t="shared" si="1336"/>
        <v>Without Amendment</v>
      </c>
      <c r="D14926" s="138" t="str">
        <f t="shared" si="1334"/>
        <v>High_High</v>
      </c>
      <c r="E14926" s="138" t="str">
        <f t="shared" si="1337"/>
        <v>High</v>
      </c>
      <c r="F14926" s="138" t="str">
        <f t="shared" si="1338"/>
        <v>Upgraded</v>
      </c>
      <c r="G14926" s="153"/>
      <c r="H14926" s="210">
        <v>2.53E-2</v>
      </c>
      <c r="I14926" s="160" t="s">
        <v>60</v>
      </c>
      <c r="J14926" s="160">
        <v>1.316E-2</v>
      </c>
      <c r="K14926" s="160" t="s">
        <v>25</v>
      </c>
      <c r="L14926" s="154" t="str">
        <f>IF(OpenLCAbasic!K14926="CTUh", "Fill in Manually",IF(OR(K14926="Unit", K14926=""), "", INDEX(LookUps!$E$5:$E$12, MATCH(OpenLCAbasic!K14926,LookUps!$D$5:$D$12,0))))</f>
        <v>Smog Formation Potential (SFP) - kg O3 eq</v>
      </c>
      <c r="M14926" s="154" t="str">
        <f t="shared" si="1333"/>
        <v>High_High_High_Upgraded_Smog Formation Potential (SFP) - kg O3 eq_Belt filter press; wastewater treatment unit; at updated plant - US_Without Amendment_Aerated Static Pile</v>
      </c>
    </row>
    <row r="14927" spans="1:13" s="120" customFormat="1" x14ac:dyDescent="0.25">
      <c r="A14927" s="119"/>
      <c r="B14927" s="138" t="str">
        <f t="shared" si="1335"/>
        <v>Aerated Static Pile</v>
      </c>
      <c r="C14927" s="138" t="str">
        <f t="shared" si="1336"/>
        <v>Without Amendment</v>
      </c>
      <c r="D14927" s="138" t="str">
        <f t="shared" si="1334"/>
        <v>High_High</v>
      </c>
      <c r="E14927" s="138" t="str">
        <f t="shared" si="1337"/>
        <v>High</v>
      </c>
      <c r="F14927" s="138" t="str">
        <f t="shared" si="1338"/>
        <v>Upgraded</v>
      </c>
      <c r="G14927" s="153"/>
      <c r="H14927" s="210">
        <v>2.29E-2</v>
      </c>
      <c r="I14927" s="160" t="s">
        <v>128</v>
      </c>
      <c r="J14927" s="160">
        <v>1.192E-2</v>
      </c>
      <c r="K14927" s="160" t="s">
        <v>25</v>
      </c>
      <c r="L14927" s="154" t="str">
        <f>IF(OpenLCAbasic!K14927="CTUh", "Fill in Manually",IF(OR(K14927="Unit", K14927=""), "", INDEX(LookUps!$E$5:$E$12, MATCH(OpenLCAbasic!K14927,LookUps!$D$5:$D$12,0))))</f>
        <v>Smog Formation Potential (SFP) - kg O3 eq</v>
      </c>
      <c r="M14927" s="154" t="str">
        <f t="shared" si="1333"/>
        <v>High_High_High_Upgraded_Smog Formation Potential (SFP) - kg O3 eq_Wastewater collection; operation and infrastructure; m3 wastewater_Without Amendment_Aerated Static Pile</v>
      </c>
    </row>
    <row r="14928" spans="1:13" s="120" customFormat="1" x14ac:dyDescent="0.25">
      <c r="A14928" s="119"/>
      <c r="B14928" s="138" t="str">
        <f t="shared" si="1335"/>
        <v>Aerated Static Pile</v>
      </c>
      <c r="C14928" s="138" t="str">
        <f t="shared" si="1336"/>
        <v>Without Amendment</v>
      </c>
      <c r="D14928" s="138" t="str">
        <f t="shared" si="1334"/>
        <v>High_High</v>
      </c>
      <c r="E14928" s="138" t="str">
        <f t="shared" si="1337"/>
        <v>High</v>
      </c>
      <c r="F14928" s="138" t="str">
        <f t="shared" si="1338"/>
        <v>Upgraded</v>
      </c>
      <c r="G14928" s="153"/>
      <c r="H14928" s="210">
        <v>1.2800000000000001E-2</v>
      </c>
      <c r="I14928" s="160" t="s">
        <v>57</v>
      </c>
      <c r="J14928" s="160">
        <v>6.6499999999999997E-3</v>
      </c>
      <c r="K14928" s="160" t="s">
        <v>25</v>
      </c>
      <c r="L14928" s="154" t="str">
        <f>IF(OpenLCAbasic!K14928="CTUh", "Fill in Manually",IF(OR(K14928="Unit", K14928=""), "", INDEX(LookUps!$E$5:$E$12, MATCH(OpenLCAbasic!K14928,LookUps!$D$5:$D$12,0))))</f>
        <v>Smog Formation Potential (SFP) - kg O3 eq</v>
      </c>
      <c r="M14928" s="154" t="str">
        <f t="shared" ref="M14928:M14951" si="1339">CONCATENATE(E14928,"_",D14928,"_",F14928,"_",L14928, "_",I14928,"_", C14928,"_", B14928)</f>
        <v>High_High_High_Upgraded_Smog Formation Potential (SFP) - kg O3 eq_Gravity Belt Thickener; wastewater treatment unit; at updated plant - US_Without Amendment_Aerated Static Pile</v>
      </c>
    </row>
    <row r="14929" spans="1:13" s="120" customFormat="1" x14ac:dyDescent="0.25">
      <c r="A14929" s="119"/>
      <c r="B14929" s="138" t="str">
        <f t="shared" si="1335"/>
        <v>Aerated Static Pile</v>
      </c>
      <c r="C14929" s="138" t="str">
        <f t="shared" si="1336"/>
        <v>Without Amendment</v>
      </c>
      <c r="D14929" s="138" t="str">
        <f t="shared" si="1334"/>
        <v>High_High</v>
      </c>
      <c r="E14929" s="138" t="str">
        <f t="shared" si="1337"/>
        <v>High</v>
      </c>
      <c r="F14929" s="138" t="str">
        <f t="shared" si="1338"/>
        <v>Upgraded</v>
      </c>
      <c r="G14929" s="153"/>
      <c r="H14929" s="210">
        <v>9.5999999999999992E-3</v>
      </c>
      <c r="I14929" s="160" t="s">
        <v>59</v>
      </c>
      <c r="J14929" s="160">
        <v>4.9699999999999996E-3</v>
      </c>
      <c r="K14929" s="160" t="s">
        <v>25</v>
      </c>
      <c r="L14929" s="154" t="str">
        <f>IF(OpenLCAbasic!K14929="CTUh", "Fill in Manually",IF(OR(K14929="Unit", K14929=""), "", INDEX(LookUps!$E$5:$E$12, MATCH(OpenLCAbasic!K14929,LookUps!$D$5:$D$12,0))))</f>
        <v>Smog Formation Potential (SFP) - kg O3 eq</v>
      </c>
      <c r="M14929" s="154" t="str">
        <f t="shared" si="1339"/>
        <v>High_High_High_Upgraded_Smog Formation Potential (SFP) - kg O3 eq_Blend Tank; wastewater treatment unit; at updated plant - US_Without Amendment_Aerated Static Pile</v>
      </c>
    </row>
    <row r="14930" spans="1:13" s="120" customFormat="1" x14ac:dyDescent="0.25">
      <c r="A14930" s="119"/>
      <c r="B14930" s="138" t="str">
        <f t="shared" si="1335"/>
        <v>Aerated Static Pile</v>
      </c>
      <c r="C14930" s="138" t="str">
        <f t="shared" si="1336"/>
        <v>Without Amendment</v>
      </c>
      <c r="D14930" s="138" t="str">
        <f t="shared" si="1334"/>
        <v>High_High</v>
      </c>
      <c r="E14930" s="138" t="str">
        <f t="shared" si="1337"/>
        <v>High</v>
      </c>
      <c r="F14930" s="138" t="str">
        <f t="shared" si="1338"/>
        <v>Upgraded</v>
      </c>
      <c r="G14930" s="153"/>
      <c r="H14930" s="210">
        <v>6.4999999999999997E-3</v>
      </c>
      <c r="I14930" s="160" t="s">
        <v>48</v>
      </c>
      <c r="J14930" s="160">
        <v>3.3899999999999998E-3</v>
      </c>
      <c r="K14930" s="160" t="s">
        <v>25</v>
      </c>
      <c r="L14930" s="154" t="str">
        <f>IF(OpenLCAbasic!K14930="CTUh", "Fill in Manually",IF(OR(K14930="Unit", K14930=""), "", INDEX(LookUps!$E$5:$E$12, MATCH(OpenLCAbasic!K14930,LookUps!$D$5:$D$12,0))))</f>
        <v>Smog Formation Potential (SFP) - kg O3 eq</v>
      </c>
      <c r="M14930" s="154" t="str">
        <f t="shared" si="1339"/>
        <v>High_High_High_Upgraded_Smog Formation Potential (SFP) - kg O3 eq_Effluent release; wastewater treatment unit; at surface water; m3 wastewater - US_Without Amendment_Aerated Static Pile</v>
      </c>
    </row>
    <row r="14931" spans="1:13" s="120" customFormat="1" x14ac:dyDescent="0.25">
      <c r="A14931" s="119"/>
      <c r="B14931" s="138" t="str">
        <f t="shared" si="1335"/>
        <v>Aerated Static Pile</v>
      </c>
      <c r="C14931" s="138" t="str">
        <f t="shared" si="1336"/>
        <v>Without Amendment</v>
      </c>
      <c r="D14931" s="138" t="str">
        <f t="shared" si="1334"/>
        <v>High_High</v>
      </c>
      <c r="E14931" s="138" t="str">
        <f t="shared" si="1337"/>
        <v>High</v>
      </c>
      <c r="F14931" s="138" t="str">
        <f t="shared" si="1338"/>
        <v>Upgraded</v>
      </c>
      <c r="G14931" s="153"/>
      <c r="H14931" s="210">
        <v>4.7000000000000002E-3</v>
      </c>
      <c r="I14931" s="160" t="s">
        <v>168</v>
      </c>
      <c r="J14931" s="160">
        <v>2.4599999999999999E-3</v>
      </c>
      <c r="K14931" s="160" t="s">
        <v>25</v>
      </c>
      <c r="L14931" s="154" t="str">
        <f>IF(OpenLCAbasic!K14931="CTUh", "Fill in Manually",IF(OR(K14931="Unit", K14931=""), "", INDEX(LookUps!$E$5:$E$12, MATCH(OpenLCAbasic!K14931,LookUps!$D$5:$D$12,0))))</f>
        <v>Smog Formation Potential (SFP) - kg O3 eq</v>
      </c>
      <c r="M14931" s="154" t="str">
        <f t="shared" si="1339"/>
        <v>High_High_High_Upgraded_Smog Formation Potential (SFP) - kg O3 eq_ClearCove SCP; wastewater treatment unit; at updated plant - US_Without Amendment_Aerated Static Pile</v>
      </c>
    </row>
    <row r="14932" spans="1:13" s="120" customFormat="1" x14ac:dyDescent="0.25">
      <c r="A14932" s="119"/>
      <c r="B14932" s="138" t="str">
        <f t="shared" si="1335"/>
        <v>Aerated Static Pile</v>
      </c>
      <c r="C14932" s="138" t="str">
        <f t="shared" si="1336"/>
        <v>Without Amendment</v>
      </c>
      <c r="D14932" s="138" t="str">
        <f t="shared" si="1334"/>
        <v>High_High</v>
      </c>
      <c r="E14932" s="138" t="str">
        <f t="shared" si="1337"/>
        <v>High</v>
      </c>
      <c r="F14932" s="138" t="str">
        <f t="shared" si="1338"/>
        <v>Upgraded</v>
      </c>
      <c r="G14932" s="153"/>
      <c r="H14932" s="210">
        <v>1E-3</v>
      </c>
      <c r="I14932" s="160" t="s">
        <v>148</v>
      </c>
      <c r="J14932" s="160">
        <v>5.4000000000000001E-4</v>
      </c>
      <c r="K14932" s="160" t="s">
        <v>25</v>
      </c>
      <c r="L14932" s="154" t="str">
        <f>IF(OpenLCAbasic!K14932="CTUh", "Fill in Manually",IF(OR(K14932="Unit", K14932=""), "", INDEX(LookUps!$E$5:$E$12, MATCH(OpenLCAbasic!K14932,LookUps!$D$5:$D$12,0))))</f>
        <v>Smog Formation Potential (SFP) - kg O3 eq</v>
      </c>
      <c r="M14932" s="154" t="str">
        <f t="shared" si="1339"/>
        <v>High_High_High_Upgraded_Smog Formation Potential (SFP) - kg O3 eq_Control Building; at upgraded wastewater treatment plant - US_Without Amendment_Aerated Static Pile</v>
      </c>
    </row>
    <row r="14933" spans="1:13" s="120" customFormat="1" x14ac:dyDescent="0.25">
      <c r="A14933" s="119"/>
      <c r="B14933" s="138" t="str">
        <f t="shared" si="1335"/>
        <v>Aerated Static Pile</v>
      </c>
      <c r="C14933" s="138" t="str">
        <f t="shared" si="1336"/>
        <v>Without Amendment</v>
      </c>
      <c r="D14933" s="138" t="str">
        <f t="shared" si="1334"/>
        <v>High_High</v>
      </c>
      <c r="E14933" s="138" t="str">
        <f t="shared" si="1337"/>
        <v>High</v>
      </c>
      <c r="F14933" s="138" t="str">
        <f t="shared" si="1338"/>
        <v>Upgraded</v>
      </c>
      <c r="G14933" s="153"/>
      <c r="H14933" s="210">
        <v>-5.7999999999999996E-3</v>
      </c>
      <c r="I14933" s="160" t="s">
        <v>62</v>
      </c>
      <c r="J14933" s="160">
        <v>-3.0000000000000001E-3</v>
      </c>
      <c r="K14933" s="160" t="s">
        <v>25</v>
      </c>
      <c r="L14933" s="154" t="str">
        <f>IF(OpenLCAbasic!K14933="CTUh", "Fill in Manually",IF(OR(K14933="Unit", K14933=""), "", INDEX(LookUps!$E$5:$E$12, MATCH(OpenLCAbasic!K14933,LookUps!$D$5:$D$12,0))))</f>
        <v>Smog Formation Potential (SFP) - kg O3 eq</v>
      </c>
      <c r="M14933" s="154" t="str">
        <f t="shared" si="1339"/>
        <v>High_High_High_Upgraded_Smog Formation Potential (SFP) - kg O3 eq_Land application of compost; wastewater treatment unit; at updated plant - US_Without Amendment_Aerated Static Pile</v>
      </c>
    </row>
    <row r="14934" spans="1:13" s="120" customFormat="1" x14ac:dyDescent="0.25">
      <c r="A14934" s="119"/>
      <c r="B14934" s="138" t="str">
        <f t="shared" si="1335"/>
        <v>Aerated Static Pile</v>
      </c>
      <c r="C14934" s="138" t="str">
        <f t="shared" si="1336"/>
        <v>Without Amendment</v>
      </c>
      <c r="D14934" s="138" t="str">
        <f t="shared" si="1334"/>
        <v>High_High</v>
      </c>
      <c r="E14934" s="138" t="str">
        <f t="shared" si="1337"/>
        <v>High</v>
      </c>
      <c r="F14934" s="138" t="str">
        <f t="shared" si="1338"/>
        <v>Upgraded</v>
      </c>
      <c r="G14934" s="153"/>
      <c r="H14934" s="210">
        <v>-1.7903</v>
      </c>
      <c r="I14934" s="160" t="s">
        <v>149</v>
      </c>
      <c r="J14934" s="160">
        <v>-0.93125999999999998</v>
      </c>
      <c r="K14934" s="160" t="s">
        <v>25</v>
      </c>
      <c r="L14934" s="154" t="str">
        <f>IF(OpenLCAbasic!K14934="CTUh", "Fill in Manually",IF(OR(K14934="Unit", K14934=""), "", INDEX(LookUps!$E$5:$E$12, MATCH(OpenLCAbasic!K14934,LookUps!$D$5:$D$12,0))))</f>
        <v>Smog Formation Potential (SFP) - kg O3 eq</v>
      </c>
      <c r="M14934" s="154" t="str">
        <f t="shared" si="1339"/>
        <v>High_High_High_Upgraded_Smog Formation Potential (SFP) - kg O3 eq_Anaerobic Digestion; wastewater treatment unit; at updated plant - US_Without Amendment_Aerated Static Pile</v>
      </c>
    </row>
    <row r="14935" spans="1:13" s="120" customFormat="1" x14ac:dyDescent="0.25">
      <c r="A14935" s="119"/>
      <c r="B14935" s="138" t="str">
        <f t="shared" si="1335"/>
        <v/>
      </c>
      <c r="C14935" s="138" t="str">
        <f t="shared" si="1336"/>
        <v/>
      </c>
      <c r="D14935" s="138" t="str">
        <f t="shared" si="1334"/>
        <v/>
      </c>
      <c r="E14935" s="138" t="str">
        <f t="shared" si="1337"/>
        <v/>
      </c>
      <c r="F14935" s="138" t="str">
        <f t="shared" si="1338"/>
        <v/>
      </c>
      <c r="G14935" s="153" t="s">
        <v>51</v>
      </c>
      <c r="H14935" s="160"/>
      <c r="I14935" s="160" t="s">
        <v>47</v>
      </c>
      <c r="J14935" s="160" t="s">
        <v>52</v>
      </c>
      <c r="K14935" s="160" t="s">
        <v>27</v>
      </c>
      <c r="L14935" s="154" t="str">
        <f>IF(OpenLCAbasic!K14935="CTUh", "Fill in Manually",IF(OR(K14935="Unit", K14935=""), "", INDEX(LookUps!$E$5:$E$12, MATCH(OpenLCAbasic!K14935,LookUps!$D$5:$D$12,0))))</f>
        <v/>
      </c>
      <c r="M14935" s="154" t="str">
        <f t="shared" si="1339"/>
        <v>____Process__</v>
      </c>
    </row>
    <row r="14936" spans="1:13" s="120" customFormat="1" x14ac:dyDescent="0.25">
      <c r="A14936" s="119"/>
      <c r="B14936" s="138" t="str">
        <f t="shared" si="1335"/>
        <v>Aerated Static Pile</v>
      </c>
      <c r="C14936" s="138" t="str">
        <f t="shared" si="1336"/>
        <v>Without Amendment</v>
      </c>
      <c r="D14936" s="138" t="str">
        <f t="shared" si="1334"/>
        <v>High_High</v>
      </c>
      <c r="E14936" s="138" t="str">
        <f t="shared" si="1337"/>
        <v>High</v>
      </c>
      <c r="F14936" s="138" t="str">
        <f t="shared" si="1338"/>
        <v>Upgraded</v>
      </c>
      <c r="G14936" s="153"/>
      <c r="H14936" s="210">
        <v>1.1457999999999999</v>
      </c>
      <c r="I14936" s="160" t="s">
        <v>167</v>
      </c>
      <c r="J14936" s="160">
        <v>3.4000000000000002E-4</v>
      </c>
      <c r="K14936" s="160" t="s">
        <v>26</v>
      </c>
      <c r="L14936" s="154" t="str">
        <f>IF(OpenLCAbasic!K14936="CTUh", "Fill in Manually",IF(OR(K14936="Unit", K14936=""), "", INDEX(LookUps!$E$5:$E$12, MATCH(OpenLCAbasic!K14936,LookUps!$D$5:$D$12,0))))</f>
        <v>Water Use (WU) - m3 H2O</v>
      </c>
      <c r="M14936" s="154" t="str">
        <f t="shared" si="1339"/>
        <v>High_High_High_Upgraded_Water Use (WU) - m3 H2O_Waste Receiving and Holding; wastewater treatment unit; at updated plant - US_Without Amendment_Aerated Static Pile</v>
      </c>
    </row>
    <row r="14937" spans="1:13" s="120" customFormat="1" x14ac:dyDescent="0.25">
      <c r="A14937" s="119"/>
      <c r="B14937" s="138" t="str">
        <f t="shared" si="1335"/>
        <v>Aerated Static Pile</v>
      </c>
      <c r="C14937" s="138" t="str">
        <f t="shared" si="1336"/>
        <v>Without Amendment</v>
      </c>
      <c r="D14937" s="138" t="str">
        <f t="shared" si="1334"/>
        <v>High_High</v>
      </c>
      <c r="E14937" s="138" t="str">
        <f t="shared" si="1337"/>
        <v>High</v>
      </c>
      <c r="F14937" s="138" t="str">
        <f t="shared" si="1338"/>
        <v>Upgraded</v>
      </c>
      <c r="G14937" s="153"/>
      <c r="H14937" s="210">
        <v>0.627</v>
      </c>
      <c r="I14937" s="160" t="s">
        <v>147</v>
      </c>
      <c r="J14937" s="160">
        <v>1.8000000000000001E-4</v>
      </c>
      <c r="K14937" s="160" t="s">
        <v>26</v>
      </c>
      <c r="L14937" s="154" t="str">
        <f>IF(OpenLCAbasic!K14937="CTUh", "Fill in Manually",IF(OR(K14937="Unit", K14937=""), "", INDEX(LookUps!$E$5:$E$12, MATCH(OpenLCAbasic!K14937,LookUps!$D$5:$D$12,0))))</f>
        <v>Water Use (WU) - m3 H2O</v>
      </c>
      <c r="M14937" s="154" t="str">
        <f t="shared" si="1339"/>
        <v>High_High_High_Upgraded_Water Use (WU) - m3 H2O_Influent Pump Station; wastewater treatment unit; at updated plant - US_Without Amendment_Aerated Static Pile</v>
      </c>
    </row>
    <row r="14938" spans="1:13" s="120" customFormat="1" x14ac:dyDescent="0.25">
      <c r="A14938" s="119"/>
      <c r="B14938" s="138" t="str">
        <f t="shared" si="1335"/>
        <v>Aerated Static Pile</v>
      </c>
      <c r="C14938" s="138" t="str">
        <f t="shared" si="1336"/>
        <v>Without Amendment</v>
      </c>
      <c r="D14938" s="138" t="str">
        <f t="shared" si="1334"/>
        <v>High_High</v>
      </c>
      <c r="E14938" s="138" t="str">
        <f t="shared" si="1337"/>
        <v>High</v>
      </c>
      <c r="F14938" s="138" t="str">
        <f t="shared" si="1338"/>
        <v>Upgraded</v>
      </c>
      <c r="G14938" s="153"/>
      <c r="H14938" s="210">
        <v>0.61180000000000001</v>
      </c>
      <c r="I14938" s="160" t="s">
        <v>54</v>
      </c>
      <c r="J14938" s="160">
        <v>1.8000000000000001E-4</v>
      </c>
      <c r="K14938" s="160" t="s">
        <v>26</v>
      </c>
      <c r="L14938" s="154" t="str">
        <f>IF(OpenLCAbasic!K14938="CTUh", "Fill in Manually",IF(OR(K14938="Unit", K14938=""), "", INDEX(LookUps!$E$5:$E$12, MATCH(OpenLCAbasic!K14938,LookUps!$D$5:$D$12,0))))</f>
        <v>Water Use (WU) - m3 H2O</v>
      </c>
      <c r="M14938" s="154" t="str">
        <f t="shared" si="1339"/>
        <v>High_High_High_Upgraded_Water Use (WU) - m3 H2O_Clear Cove Primary Clarification; wastewater treatment unit; at updated plant - US_Without Amendment_Aerated Static Pile</v>
      </c>
    </row>
    <row r="14939" spans="1:13" s="120" customFormat="1" x14ac:dyDescent="0.25">
      <c r="A14939" s="119"/>
      <c r="B14939" s="138" t="str">
        <f t="shared" si="1335"/>
        <v>Aerated Static Pile</v>
      </c>
      <c r="C14939" s="138" t="str">
        <f t="shared" si="1336"/>
        <v>Without Amendment</v>
      </c>
      <c r="D14939" s="138" t="str">
        <f t="shared" si="1334"/>
        <v>High_High</v>
      </c>
      <c r="E14939" s="138" t="str">
        <f t="shared" si="1337"/>
        <v>High</v>
      </c>
      <c r="F14939" s="138" t="str">
        <f t="shared" si="1338"/>
        <v>Upgraded</v>
      </c>
      <c r="G14939" s="153"/>
      <c r="H14939" s="210">
        <v>0.55500000000000005</v>
      </c>
      <c r="I14939" s="160" t="s">
        <v>55</v>
      </c>
      <c r="J14939" s="160">
        <v>1.6000000000000001E-4</v>
      </c>
      <c r="K14939" s="160" t="s">
        <v>26</v>
      </c>
      <c r="L14939" s="154" t="str">
        <f>IF(OpenLCAbasic!K14939="CTUh", "Fill in Manually",IF(OR(K14939="Unit", K14939=""), "", INDEX(LookUps!$E$5:$E$12, MATCH(OpenLCAbasic!K14939,LookUps!$D$5:$D$12,0))))</f>
        <v>Water Use (WU) - m3 H2O</v>
      </c>
      <c r="M14939" s="154" t="str">
        <f t="shared" si="1339"/>
        <v>High_High_High_Upgraded_Water Use (WU) - m3 H2O_Aeration Tanks; wastewater treatment unit; at updated plant - US_Without Amendment_Aerated Static Pile</v>
      </c>
    </row>
    <row r="14940" spans="1:13" s="120" customFormat="1" x14ac:dyDescent="0.25">
      <c r="A14940" s="119"/>
      <c r="B14940" s="138" t="str">
        <f t="shared" si="1335"/>
        <v>Aerated Static Pile</v>
      </c>
      <c r="C14940" s="138" t="str">
        <f t="shared" si="1336"/>
        <v>Without Amendment</v>
      </c>
      <c r="D14940" s="138" t="str">
        <f t="shared" si="1334"/>
        <v>High_High</v>
      </c>
      <c r="E14940" s="138" t="str">
        <f t="shared" si="1337"/>
        <v>High</v>
      </c>
      <c r="F14940" s="138" t="str">
        <f t="shared" si="1338"/>
        <v>Upgraded</v>
      </c>
      <c r="G14940" s="153"/>
      <c r="H14940" s="210">
        <v>0.50549999999999995</v>
      </c>
      <c r="I14940" s="160" t="s">
        <v>148</v>
      </c>
      <c r="J14940" s="160">
        <v>1.4999999999999999E-4</v>
      </c>
      <c r="K14940" s="160" t="s">
        <v>26</v>
      </c>
      <c r="L14940" s="154" t="str">
        <f>IF(OpenLCAbasic!K14940="CTUh", "Fill in Manually",IF(OR(K14940="Unit", K14940=""), "", INDEX(LookUps!$E$5:$E$12, MATCH(OpenLCAbasic!K14940,LookUps!$D$5:$D$12,0))))</f>
        <v>Water Use (WU) - m3 H2O</v>
      </c>
      <c r="M14940" s="154" t="str">
        <f t="shared" si="1339"/>
        <v>High_High_High_Upgraded_Water Use (WU) - m3 H2O_Control Building; at upgraded wastewater treatment plant - US_Without Amendment_Aerated Static Pile</v>
      </c>
    </row>
    <row r="14941" spans="1:13" s="120" customFormat="1" x14ac:dyDescent="0.25">
      <c r="A14941" s="119"/>
      <c r="B14941" s="138" t="str">
        <f t="shared" si="1335"/>
        <v>Aerated Static Pile</v>
      </c>
      <c r="C14941" s="138" t="str">
        <f t="shared" si="1336"/>
        <v>Without Amendment</v>
      </c>
      <c r="D14941" s="138" t="str">
        <f t="shared" si="1334"/>
        <v>High_High</v>
      </c>
      <c r="E14941" s="138" t="str">
        <f t="shared" si="1337"/>
        <v>High</v>
      </c>
      <c r="F14941" s="138" t="str">
        <f t="shared" si="1338"/>
        <v>Upgraded</v>
      </c>
      <c r="G14941" s="153"/>
      <c r="H14941" s="210">
        <v>0.23480000000000001</v>
      </c>
      <c r="I14941" s="160" t="s">
        <v>48</v>
      </c>
      <c r="J14941" s="211">
        <v>6.8836400000000004E-5</v>
      </c>
      <c r="K14941" s="160" t="s">
        <v>26</v>
      </c>
      <c r="L14941" s="154" t="str">
        <f>IF(OpenLCAbasic!K14941="CTUh", "Fill in Manually",IF(OR(K14941="Unit", K14941=""), "", INDEX(LookUps!$E$5:$E$12, MATCH(OpenLCAbasic!K14941,LookUps!$D$5:$D$12,0))))</f>
        <v>Water Use (WU) - m3 H2O</v>
      </c>
      <c r="M14941" s="154" t="str">
        <f t="shared" si="1339"/>
        <v>High_High_High_Upgraded_Water Use (WU) - m3 H2O_Effluent release; wastewater treatment unit; at surface water; m3 wastewater - US_Without Amendment_Aerated Static Pile</v>
      </c>
    </row>
    <row r="14942" spans="1:13" s="120" customFormat="1" x14ac:dyDescent="0.25">
      <c r="A14942" s="119"/>
      <c r="B14942" s="138" t="str">
        <f t="shared" si="1335"/>
        <v>Aerated Static Pile</v>
      </c>
      <c r="C14942" s="138" t="str">
        <f t="shared" si="1336"/>
        <v>Without Amendment</v>
      </c>
      <c r="D14942" s="138" t="str">
        <f t="shared" si="1334"/>
        <v>High_High</v>
      </c>
      <c r="E14942" s="138" t="str">
        <f t="shared" si="1337"/>
        <v>High</v>
      </c>
      <c r="F14942" s="138" t="str">
        <f t="shared" si="1338"/>
        <v>Upgraded</v>
      </c>
      <c r="G14942" s="153"/>
      <c r="H14942" s="210">
        <v>0.14760000000000001</v>
      </c>
      <c r="I14942" s="160" t="s">
        <v>58</v>
      </c>
      <c r="J14942" s="211">
        <v>4.3289399999999999E-5</v>
      </c>
      <c r="K14942" s="160" t="s">
        <v>26</v>
      </c>
      <c r="L14942" s="154" t="str">
        <f>IF(OpenLCAbasic!K14942="CTUh", "Fill in Manually",IF(OR(K14942="Unit", K14942=""), "", INDEX(LookUps!$E$5:$E$12, MATCH(OpenLCAbasic!K14942,LookUps!$D$5:$D$12,0))))</f>
        <v>Water Use (WU) - m3 H2O</v>
      </c>
      <c r="M14942" s="154" t="str">
        <f t="shared" si="1339"/>
        <v>High_High_High_Upgraded_Water Use (WU) - m3 H2O_Pre-Anoxic &amp; Swing tank; wastewater treatment unit; at updated plant - US_Without Amendment_Aerated Static Pile</v>
      </c>
    </row>
    <row r="14943" spans="1:13" s="120" customFormat="1" x14ac:dyDescent="0.25">
      <c r="A14943" s="119"/>
      <c r="B14943" s="138" t="str">
        <f t="shared" si="1335"/>
        <v>Aerated Static Pile</v>
      </c>
      <c r="C14943" s="138" t="str">
        <f t="shared" si="1336"/>
        <v>Without Amendment</v>
      </c>
      <c r="D14943" s="138" t="str">
        <f t="shared" si="1334"/>
        <v>High_High</v>
      </c>
      <c r="E14943" s="138" t="str">
        <f t="shared" si="1337"/>
        <v>High</v>
      </c>
      <c r="F14943" s="138" t="str">
        <f t="shared" si="1338"/>
        <v>Upgraded</v>
      </c>
      <c r="G14943" s="153"/>
      <c r="H14943" s="210">
        <v>0.13400000000000001</v>
      </c>
      <c r="I14943" s="160" t="s">
        <v>60</v>
      </c>
      <c r="J14943" s="211">
        <v>3.9294400000000001E-5</v>
      </c>
      <c r="K14943" s="160" t="s">
        <v>26</v>
      </c>
      <c r="L14943" s="154" t="str">
        <f>IF(OpenLCAbasic!K14943="CTUh", "Fill in Manually",IF(OR(K14943="Unit", K14943=""), "", INDEX(LookUps!$E$5:$E$12, MATCH(OpenLCAbasic!K14943,LookUps!$D$5:$D$12,0))))</f>
        <v>Water Use (WU) - m3 H2O</v>
      </c>
      <c r="M14943" s="154" t="str">
        <f t="shared" si="1339"/>
        <v>High_High_High_Upgraded_Water Use (WU) - m3 H2O_Belt filter press; wastewater treatment unit; at updated plant - US_Without Amendment_Aerated Static Pile</v>
      </c>
    </row>
    <row r="14944" spans="1:13" s="120" customFormat="1" x14ac:dyDescent="0.25">
      <c r="A14944" s="119"/>
      <c r="B14944" s="138" t="str">
        <f t="shared" si="1335"/>
        <v>Aerated Static Pile</v>
      </c>
      <c r="C14944" s="138" t="str">
        <f t="shared" si="1336"/>
        <v>Without Amendment</v>
      </c>
      <c r="D14944" s="138" t="str">
        <f t="shared" si="1334"/>
        <v>High_High</v>
      </c>
      <c r="E14944" s="138" t="str">
        <f t="shared" si="1337"/>
        <v>High</v>
      </c>
      <c r="F14944" s="138" t="str">
        <f t="shared" si="1338"/>
        <v>Upgraded</v>
      </c>
      <c r="G14944" s="153"/>
      <c r="H14944" s="210">
        <v>0.1037</v>
      </c>
      <c r="I14944" s="160" t="s">
        <v>57</v>
      </c>
      <c r="J14944" s="211">
        <v>3.0408100000000001E-5</v>
      </c>
      <c r="K14944" s="160" t="s">
        <v>26</v>
      </c>
      <c r="L14944" s="154" t="str">
        <f>IF(OpenLCAbasic!K14944="CTUh", "Fill in Manually",IF(OR(K14944="Unit", K14944=""), "", INDEX(LookUps!$E$5:$E$12, MATCH(OpenLCAbasic!K14944,LookUps!$D$5:$D$12,0))))</f>
        <v>Water Use (WU) - m3 H2O</v>
      </c>
      <c r="M14944" s="154" t="str">
        <f t="shared" si="1339"/>
        <v>High_High_High_Upgraded_Water Use (WU) - m3 H2O_Gravity Belt Thickener; wastewater treatment unit; at updated plant - US_Without Amendment_Aerated Static Pile</v>
      </c>
    </row>
    <row r="14945" spans="1:13" s="120" customFormat="1" x14ac:dyDescent="0.25">
      <c r="A14945" s="119"/>
      <c r="B14945" s="138" t="str">
        <f t="shared" si="1335"/>
        <v>Aerated Static Pile</v>
      </c>
      <c r="C14945" s="138" t="str">
        <f t="shared" si="1336"/>
        <v>Without Amendment</v>
      </c>
      <c r="D14945" s="138" t="str">
        <f t="shared" ref="D14945:D14951" si="1340">IF(ISNUMBER($J14945),"High_High","")</f>
        <v>High_High</v>
      </c>
      <c r="E14945" s="138" t="str">
        <f t="shared" si="1337"/>
        <v>High</v>
      </c>
      <c r="F14945" s="138" t="str">
        <f t="shared" si="1338"/>
        <v>Upgraded</v>
      </c>
      <c r="G14945" s="153"/>
      <c r="H14945" s="210">
        <v>5.9700000000000003E-2</v>
      </c>
      <c r="I14945" s="160" t="s">
        <v>53</v>
      </c>
      <c r="J14945" s="211">
        <v>1.75069E-5</v>
      </c>
      <c r="K14945" s="160" t="s">
        <v>26</v>
      </c>
      <c r="L14945" s="154" t="str">
        <f>IF(OpenLCAbasic!K14945="CTUh", "Fill in Manually",IF(OR(K14945="Unit", K14945=""), "", INDEX(LookUps!$E$5:$E$12, MATCH(OpenLCAbasic!K14945,LookUps!$D$5:$D$12,0))))</f>
        <v>Water Use (WU) - m3 H2O</v>
      </c>
      <c r="M14945" s="154" t="str">
        <f t="shared" si="1339"/>
        <v>High_High_High_Upgraded_Water Use (WU) - m3 H2O_Wet Well and Sump Station; wastewater treatment unit; at updated plant - US_Without Amendment_Aerated Static Pile</v>
      </c>
    </row>
    <row r="14946" spans="1:13" s="120" customFormat="1" x14ac:dyDescent="0.25">
      <c r="A14946" s="119"/>
      <c r="B14946" s="138" t="str">
        <f t="shared" si="1335"/>
        <v>Aerated Static Pile</v>
      </c>
      <c r="C14946" s="138" t="str">
        <f t="shared" si="1336"/>
        <v>Without Amendment</v>
      </c>
      <c r="D14946" s="138" t="str">
        <f t="shared" si="1340"/>
        <v>High_High</v>
      </c>
      <c r="E14946" s="138" t="str">
        <f t="shared" si="1337"/>
        <v>High</v>
      </c>
      <c r="F14946" s="138" t="str">
        <f t="shared" si="1338"/>
        <v>Upgraded</v>
      </c>
      <c r="G14946" s="153"/>
      <c r="H14946" s="210">
        <v>3.6700000000000003E-2</v>
      </c>
      <c r="I14946" s="160" t="s">
        <v>435</v>
      </c>
      <c r="J14946" s="211">
        <v>1.0757900000000001E-5</v>
      </c>
      <c r="K14946" s="160" t="s">
        <v>26</v>
      </c>
      <c r="L14946" s="154" t="str">
        <f>IF(OpenLCAbasic!K14946="CTUh", "Fill in Manually",IF(OR(K14946="Unit", K14946=""), "", INDEX(LookUps!$E$5:$E$12, MATCH(OpenLCAbasic!K14946,LookUps!$D$5:$D$12,0))))</f>
        <v>Water Use (WU) - m3 H2O</v>
      </c>
      <c r="M14946" s="154" t="str">
        <f t="shared" si="1339"/>
        <v>High_High_High_Upgraded_Water Use (WU) - m3 H2O_Biosolids composting; aerated static pile; wastewater treatment unit; at updated plant - US_Without Amendment_Aerated Static Pile</v>
      </c>
    </row>
    <row r="14947" spans="1:13" s="120" customFormat="1" x14ac:dyDescent="0.25">
      <c r="A14947" s="119"/>
      <c r="B14947" s="138" t="str">
        <f t="shared" si="1335"/>
        <v>Aerated Static Pile</v>
      </c>
      <c r="C14947" s="138" t="str">
        <f t="shared" si="1336"/>
        <v>Without Amendment</v>
      </c>
      <c r="D14947" s="138" t="str">
        <f t="shared" si="1340"/>
        <v>High_High</v>
      </c>
      <c r="E14947" s="138" t="str">
        <f t="shared" si="1337"/>
        <v>High</v>
      </c>
      <c r="F14947" s="138" t="str">
        <f t="shared" si="1338"/>
        <v>Upgraded</v>
      </c>
      <c r="G14947" s="153"/>
      <c r="H14947" s="210">
        <v>2.3900000000000001E-2</v>
      </c>
      <c r="I14947" s="160" t="s">
        <v>59</v>
      </c>
      <c r="J14947" s="211">
        <v>7.0179500000000003E-6</v>
      </c>
      <c r="K14947" s="160" t="s">
        <v>26</v>
      </c>
      <c r="L14947" s="154" t="str">
        <f>IF(OpenLCAbasic!K14947="CTUh", "Fill in Manually",IF(OR(K14947="Unit", K14947=""), "", INDEX(LookUps!$E$5:$E$12, MATCH(OpenLCAbasic!K14947,LookUps!$D$5:$D$12,0))))</f>
        <v>Water Use (WU) - m3 H2O</v>
      </c>
      <c r="M14947" s="154" t="str">
        <f t="shared" si="1339"/>
        <v>High_High_High_Upgraded_Water Use (WU) - m3 H2O_Blend Tank; wastewater treatment unit; at updated plant - US_Without Amendment_Aerated Static Pile</v>
      </c>
    </row>
    <row r="14948" spans="1:13" s="120" customFormat="1" x14ac:dyDescent="0.25">
      <c r="A14948" s="119"/>
      <c r="B14948" s="138" t="str">
        <f t="shared" si="1335"/>
        <v>Aerated Static Pile</v>
      </c>
      <c r="C14948" s="138" t="str">
        <f t="shared" si="1336"/>
        <v>Without Amendment</v>
      </c>
      <c r="D14948" s="138" t="str">
        <f t="shared" si="1340"/>
        <v>High_High</v>
      </c>
      <c r="E14948" s="138" t="str">
        <f t="shared" si="1337"/>
        <v>High</v>
      </c>
      <c r="F14948" s="138" t="str">
        <f t="shared" si="1338"/>
        <v>Upgraded</v>
      </c>
      <c r="G14948" s="153"/>
      <c r="H14948" s="210">
        <v>1.7299999999999999E-2</v>
      </c>
      <c r="I14948" s="160" t="s">
        <v>128</v>
      </c>
      <c r="J14948" s="211">
        <v>5.0608900000000003E-6</v>
      </c>
      <c r="K14948" s="160" t="s">
        <v>26</v>
      </c>
      <c r="L14948" s="154" t="str">
        <f>IF(OpenLCAbasic!K14948="CTUh", "Fill in Manually",IF(OR(K14948="Unit", K14948=""), "", INDEX(LookUps!$E$5:$E$12, MATCH(OpenLCAbasic!K14948,LookUps!$D$5:$D$12,0))))</f>
        <v>Water Use (WU) - m3 H2O</v>
      </c>
      <c r="M14948" s="154" t="str">
        <f t="shared" si="1339"/>
        <v>High_High_High_Upgraded_Water Use (WU) - m3 H2O_Wastewater collection; operation and infrastructure; m3 wastewater_Without Amendment_Aerated Static Pile</v>
      </c>
    </row>
    <row r="14949" spans="1:13" s="120" customFormat="1" x14ac:dyDescent="0.25">
      <c r="A14949" s="119"/>
      <c r="B14949" s="138" t="str">
        <f t="shared" si="1335"/>
        <v>Aerated Static Pile</v>
      </c>
      <c r="C14949" s="138" t="str">
        <f t="shared" si="1336"/>
        <v>Without Amendment</v>
      </c>
      <c r="D14949" s="138" t="str">
        <f t="shared" si="1340"/>
        <v>High_High</v>
      </c>
      <c r="E14949" s="138" t="str">
        <f t="shared" si="1337"/>
        <v>High</v>
      </c>
      <c r="F14949" s="138" t="str">
        <f t="shared" si="1338"/>
        <v>Upgraded</v>
      </c>
      <c r="G14949" s="153"/>
      <c r="H14949" s="210">
        <v>2.5999999999999999E-3</v>
      </c>
      <c r="I14949" s="160" t="s">
        <v>168</v>
      </c>
      <c r="J14949" s="211">
        <v>7.6697000000000004E-7</v>
      </c>
      <c r="K14949" s="160" t="s">
        <v>26</v>
      </c>
      <c r="L14949" s="154" t="str">
        <f>IF(OpenLCAbasic!K14949="CTUh", "Fill in Manually",IF(OR(K14949="Unit", K14949=""), "", INDEX(LookUps!$E$5:$E$12, MATCH(OpenLCAbasic!K14949,LookUps!$D$5:$D$12,0))))</f>
        <v>Water Use (WU) - m3 H2O</v>
      </c>
      <c r="M14949" s="154" t="str">
        <f t="shared" si="1339"/>
        <v>High_High_High_Upgraded_Water Use (WU) - m3 H2O_ClearCove SCP; wastewater treatment unit; at updated plant - US_Without Amendment_Aerated Static Pile</v>
      </c>
    </row>
    <row r="14950" spans="1:13" s="120" customFormat="1" x14ac:dyDescent="0.25">
      <c r="A14950" s="119"/>
      <c r="B14950" s="138" t="str">
        <f t="shared" si="1335"/>
        <v>Aerated Static Pile</v>
      </c>
      <c r="C14950" s="138" t="str">
        <f t="shared" si="1336"/>
        <v>Without Amendment</v>
      </c>
      <c r="D14950" s="138" t="str">
        <f t="shared" si="1340"/>
        <v>High_High</v>
      </c>
      <c r="E14950" s="138" t="str">
        <f t="shared" si="1337"/>
        <v>High</v>
      </c>
      <c r="F14950" s="138" t="str">
        <f t="shared" si="1338"/>
        <v>Upgraded</v>
      </c>
      <c r="G14950" s="153"/>
      <c r="H14950" s="210">
        <v>-0.91830000000000001</v>
      </c>
      <c r="I14950" s="160" t="s">
        <v>149</v>
      </c>
      <c r="J14950" s="160">
        <v>-2.7E-4</v>
      </c>
      <c r="K14950" s="160" t="s">
        <v>26</v>
      </c>
      <c r="L14950" s="154" t="str">
        <f>IF(OpenLCAbasic!K14950="CTUh", "Fill in Manually",IF(OR(K14950="Unit", K14950=""), "", INDEX(LookUps!$E$5:$E$12, MATCH(OpenLCAbasic!K14950,LookUps!$D$5:$D$12,0))))</f>
        <v>Water Use (WU) - m3 H2O</v>
      </c>
      <c r="M14950" s="154" t="str">
        <f t="shared" si="1339"/>
        <v>High_High_High_Upgraded_Water Use (WU) - m3 H2O_Anaerobic Digestion; wastewater treatment unit; at updated plant - US_Without Amendment_Aerated Static Pile</v>
      </c>
    </row>
    <row r="14951" spans="1:13" s="120" customFormat="1" x14ac:dyDescent="0.25">
      <c r="A14951" s="119"/>
      <c r="B14951" s="138" t="str">
        <f t="shared" si="1335"/>
        <v>Aerated Static Pile</v>
      </c>
      <c r="C14951" s="138" t="str">
        <f t="shared" si="1336"/>
        <v>Without Amendment</v>
      </c>
      <c r="D14951" s="138" t="str">
        <f t="shared" si="1340"/>
        <v>High_High</v>
      </c>
      <c r="E14951" s="138" t="str">
        <f t="shared" si="1337"/>
        <v>High</v>
      </c>
      <c r="F14951" s="138" t="str">
        <f t="shared" si="1338"/>
        <v>Upgraded</v>
      </c>
      <c r="G14951" s="153"/>
      <c r="H14951" s="210">
        <v>-4.2870999999999997</v>
      </c>
      <c r="I14951" s="160" t="s">
        <v>62</v>
      </c>
      <c r="J14951" s="160">
        <v>-1.2600000000000001E-3</v>
      </c>
      <c r="K14951" s="160" t="s">
        <v>26</v>
      </c>
      <c r="L14951" s="154" t="str">
        <f>IF(OpenLCAbasic!K14951="CTUh", "Fill in Manually",IF(OR(K14951="Unit", K14951=""), "", INDEX(LookUps!$E$5:$E$12, MATCH(OpenLCAbasic!K14951,LookUps!$D$5:$D$12,0))))</f>
        <v>Water Use (WU) - m3 H2O</v>
      </c>
      <c r="M14951" s="154" t="str">
        <f t="shared" si="1339"/>
        <v>High_High_High_Upgraded_Water Use (WU) - m3 H2O_Land application of compost; wastewater treatment unit; at updated plant - US_Without Amendment_Aerated Static Pile</v>
      </c>
    </row>
    <row r="14952" spans="1:13" x14ac:dyDescent="0.25">
      <c r="B14952" s="320"/>
      <c r="C14952" s="320"/>
      <c r="D14952" s="320"/>
      <c r="E14952" s="320"/>
      <c r="F14952" s="320"/>
      <c r="G14952" s="320"/>
      <c r="H14952" s="321"/>
      <c r="I14952" s="321"/>
      <c r="J14952" s="321"/>
      <c r="K14952" s="321"/>
      <c r="L14952" s="321"/>
      <c r="M14952" s="321"/>
    </row>
    <row r="14953" spans="1:13" x14ac:dyDescent="0.25"/>
    <row r="14954" spans="1:13" x14ac:dyDescent="0.25"/>
    <row r="14955" spans="1:13" x14ac:dyDescent="0.25"/>
    <row r="14956" spans="1:13" x14ac:dyDescent="0.25"/>
    <row r="14957" spans="1:13" x14ac:dyDescent="0.25"/>
    <row r="14958" spans="1:13" x14ac:dyDescent="0.25"/>
    <row r="14959" spans="1:13" x14ac:dyDescent="0.25"/>
    <row r="14960" spans="1:13" x14ac:dyDescent="0.25"/>
    <row r="14961" x14ac:dyDescent="0.25"/>
    <row r="14962" x14ac:dyDescent="0.25"/>
    <row r="14963" x14ac:dyDescent="0.25"/>
    <row r="14964"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sheetData>
  <autoFilter ref="A5:M355568"/>
  <dataValidations disablePrompts="1" count="1">
    <dataValidation type="list" allowBlank="1" showInputMessage="1" showErrorMessage="1" sqref="D6:D3815">
      <formula1>$H$24:$H$32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LookUps!$H$24:$H$32</xm:f>
          </x14:formula1>
          <xm:sqref>D1:D4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T496"/>
  <sheetViews>
    <sheetView topLeftCell="A83" zoomScale="90" zoomScaleNormal="90" workbookViewId="0">
      <selection activeCell="C91" sqref="C91"/>
    </sheetView>
  </sheetViews>
  <sheetFormatPr defaultColWidth="0" defaultRowHeight="15.75" x14ac:dyDescent="0.25"/>
  <cols>
    <col min="1" max="1" width="9" style="3" customWidth="1"/>
    <col min="2" max="2" width="16.625" style="4" bestFit="1" customWidth="1"/>
    <col min="3" max="3" width="21.75" style="4" customWidth="1"/>
    <col min="4" max="4" width="2" style="29" customWidth="1"/>
    <col min="5" max="6" width="2" style="4" customWidth="1"/>
    <col min="7" max="7" width="66.375" style="4" customWidth="1"/>
    <col min="8" max="8" width="15.125" style="327" customWidth="1"/>
    <col min="9" max="9" width="22.625" style="4" customWidth="1"/>
    <col min="10" max="10" width="20.125" style="4" bestFit="1" customWidth="1"/>
    <col min="11" max="11" width="44.5" style="4" bestFit="1" customWidth="1"/>
    <col min="12" max="12" width="9" style="97" customWidth="1"/>
    <col min="13" max="13" width="34.5" style="3" bestFit="1" customWidth="1"/>
    <col min="14" max="14" width="9.5" style="3" bestFit="1" customWidth="1"/>
    <col min="15" max="15" width="16.5" style="3" customWidth="1"/>
    <col min="16" max="16" width="88" style="3" bestFit="1" customWidth="1"/>
    <col min="17" max="20" width="9" style="3" customWidth="1"/>
    <col min="21" max="16384" width="9" style="3" hidden="1"/>
  </cols>
  <sheetData>
    <row r="1" spans="1:16" x14ac:dyDescent="0.25">
      <c r="A1" s="2" t="s">
        <v>84</v>
      </c>
      <c r="B1" s="3"/>
      <c r="C1" s="3"/>
      <c r="D1" s="3"/>
      <c r="E1" s="3"/>
      <c r="F1" s="3"/>
      <c r="G1" s="3"/>
      <c r="H1" s="324"/>
      <c r="I1" s="3"/>
      <c r="J1" s="3"/>
      <c r="K1" s="3"/>
      <c r="M1" s="43"/>
    </row>
    <row r="2" spans="1:16" x14ac:dyDescent="0.25">
      <c r="B2" s="38" t="s">
        <v>92</v>
      </c>
      <c r="C2" s="7"/>
      <c r="D2" s="37" t="s">
        <v>91</v>
      </c>
      <c r="E2" s="3"/>
      <c r="F2" s="3"/>
      <c r="G2" s="3"/>
      <c r="H2" s="324"/>
      <c r="I2" s="3"/>
      <c r="J2" s="37" t="s">
        <v>93</v>
      </c>
      <c r="K2" s="3"/>
      <c r="M2" s="99"/>
    </row>
    <row r="3" spans="1:16" x14ac:dyDescent="0.25">
      <c r="B3" s="5" t="s">
        <v>69</v>
      </c>
      <c r="C3" s="5" t="s">
        <v>82</v>
      </c>
      <c r="D3" s="5" t="s">
        <v>51</v>
      </c>
      <c r="E3" s="5"/>
      <c r="F3" s="5"/>
      <c r="G3" s="5" t="s">
        <v>47</v>
      </c>
      <c r="H3" s="325" t="s">
        <v>52</v>
      </c>
      <c r="I3" s="5" t="s">
        <v>27</v>
      </c>
      <c r="J3" s="5" t="s">
        <v>83</v>
      </c>
      <c r="K3" s="5" t="s">
        <v>68</v>
      </c>
    </row>
    <row r="4" spans="1:16" x14ac:dyDescent="0.25">
      <c r="B4" s="101"/>
      <c r="C4" s="101"/>
      <c r="D4" s="101" t="s">
        <v>51</v>
      </c>
      <c r="E4" s="101"/>
      <c r="F4" s="101"/>
      <c r="G4" s="101" t="s">
        <v>47</v>
      </c>
      <c r="H4" s="326" t="s">
        <v>52</v>
      </c>
      <c r="I4" s="101" t="s">
        <v>27</v>
      </c>
      <c r="J4" s="28"/>
      <c r="K4" s="101"/>
    </row>
    <row r="5" spans="1:16" x14ac:dyDescent="0.25">
      <c r="B5" s="4" t="s">
        <v>45</v>
      </c>
      <c r="C5" s="4" t="str">
        <f>INDEX($O$10:$O$60,MATCH(G5, $P$10:$P$60,0))</f>
        <v>Unit Process Emissions</v>
      </c>
      <c r="D5" s="26"/>
      <c r="E5" s="27">
        <v>0.29959999999999998</v>
      </c>
      <c r="G5" s="4" t="s">
        <v>125</v>
      </c>
      <c r="H5" s="327">
        <v>2.7189700000000001</v>
      </c>
      <c r="I5" s="4" t="s">
        <v>15</v>
      </c>
      <c r="J5" s="28">
        <f>H5-SUM(H6:H13)</f>
        <v>4.8094000004716975E-6</v>
      </c>
      <c r="K5" s="4" t="str">
        <f>IF(OpenLCAdetail!I5="CTUh", "Fill in Manually", INDEX(LookUps!$E$5:$E$12, MATCH(OpenLCAdetail!I5,LookUps!$D$5:$D$12,0)))</f>
        <v>Cumulative Energy Demand (CED) - MJ</v>
      </c>
    </row>
    <row r="6" spans="1:16" x14ac:dyDescent="0.25">
      <c r="B6" s="4" t="s">
        <v>45</v>
      </c>
      <c r="C6" s="4" t="str">
        <f t="shared" ref="C6:C69" si="0">INDEX($O$10:$O$60,MATCH(G6, $P$10:$P$60,0))</f>
        <v>Electricity</v>
      </c>
      <c r="E6" s="27"/>
      <c r="F6" s="27">
        <v>0.29499999999999998</v>
      </c>
      <c r="G6" s="4" t="s">
        <v>71</v>
      </c>
      <c r="H6" s="327">
        <v>2.6764899999999998</v>
      </c>
      <c r="I6" s="4" t="s">
        <v>15</v>
      </c>
      <c r="J6" s="28">
        <f t="shared" ref="J6:J70" si="1">IF(F6="", "FILL MANUALLY", H6)</f>
        <v>2.6764899999999998</v>
      </c>
      <c r="K6" s="4" t="str">
        <f>IF(OpenLCAdetail!I6="CTUh", "Fill in Manually", INDEX(LookUps!$E$5:$E$12, MATCH(OpenLCAdetail!I6,LookUps!$D$5:$D$12,0)))</f>
        <v>Cumulative Energy Demand (CED) - MJ</v>
      </c>
    </row>
    <row r="7" spans="1:16" x14ac:dyDescent="0.25">
      <c r="B7" s="4" t="s">
        <v>45</v>
      </c>
      <c r="C7" s="4" t="str">
        <f t="shared" si="0"/>
        <v>Infrastructure</v>
      </c>
      <c r="E7" s="27"/>
      <c r="F7" s="27">
        <v>1.4E-3</v>
      </c>
      <c r="G7" s="4" t="s">
        <v>74</v>
      </c>
      <c r="H7" s="327">
        <v>1.303E-2</v>
      </c>
      <c r="I7" s="4" t="s">
        <v>15</v>
      </c>
      <c r="J7" s="28">
        <f t="shared" si="1"/>
        <v>1.303E-2</v>
      </c>
      <c r="K7" s="4" t="str">
        <f>IF(OpenLCAdetail!I7="CTUh", "Fill in Manually", INDEX(LookUps!$E$5:$E$12, MATCH(OpenLCAdetail!I7,LookUps!$D$5:$D$12,0)))</f>
        <v>Cumulative Energy Demand (CED) - MJ</v>
      </c>
    </row>
    <row r="8" spans="1:16" x14ac:dyDescent="0.25">
      <c r="B8" s="4" t="s">
        <v>45</v>
      </c>
      <c r="C8" s="4" t="str">
        <f t="shared" si="0"/>
        <v>Infrastructure</v>
      </c>
      <c r="E8" s="27"/>
      <c r="F8" s="27">
        <v>1.2999999999999999E-3</v>
      </c>
      <c r="G8" s="4" t="s">
        <v>73</v>
      </c>
      <c r="H8" s="327">
        <v>1.163E-2</v>
      </c>
      <c r="I8" s="4" t="s">
        <v>15</v>
      </c>
      <c r="J8" s="28">
        <f t="shared" si="1"/>
        <v>1.163E-2</v>
      </c>
      <c r="K8" s="4" t="str">
        <f>IF(OpenLCAdetail!I8="CTUh", "Fill in Manually", INDEX(LookUps!$E$5:$E$12, MATCH(OpenLCAdetail!I8,LookUps!$D$5:$D$12,0)))</f>
        <v>Cumulative Energy Demand (CED) - MJ</v>
      </c>
    </row>
    <row r="9" spans="1:16" x14ac:dyDescent="0.25">
      <c r="B9" s="4" t="s">
        <v>45</v>
      </c>
      <c r="C9" s="4" t="str">
        <f t="shared" si="0"/>
        <v>Infrastructure</v>
      </c>
      <c r="E9" s="27"/>
      <c r="F9" s="27">
        <v>1.1000000000000001E-3</v>
      </c>
      <c r="G9" s="4" t="s">
        <v>72</v>
      </c>
      <c r="H9" s="327">
        <v>1.0290000000000001E-2</v>
      </c>
      <c r="I9" s="4" t="s">
        <v>15</v>
      </c>
      <c r="J9" s="28">
        <f t="shared" si="1"/>
        <v>1.0290000000000001E-2</v>
      </c>
      <c r="K9" s="4" t="str">
        <f>IF(OpenLCAdetail!I9="CTUh", "Fill in Manually", INDEX(LookUps!$E$5:$E$12, MATCH(OpenLCAdetail!I9,LookUps!$D$5:$D$12,0)))</f>
        <v>Cumulative Energy Demand (CED) - MJ</v>
      </c>
      <c r="O9" s="2" t="s">
        <v>209</v>
      </c>
    </row>
    <row r="10" spans="1:16" x14ac:dyDescent="0.25">
      <c r="B10" s="4" t="s">
        <v>45</v>
      </c>
      <c r="C10" s="4" t="str">
        <f t="shared" si="0"/>
        <v>Infrastructure</v>
      </c>
      <c r="E10" s="27"/>
      <c r="F10" s="27">
        <v>8.0000000000000004E-4</v>
      </c>
      <c r="G10" s="4" t="s">
        <v>75</v>
      </c>
      <c r="H10" s="327">
        <v>7.3400000000000002E-3</v>
      </c>
      <c r="I10" s="4" t="s">
        <v>15</v>
      </c>
      <c r="J10" s="28">
        <f t="shared" si="1"/>
        <v>7.3400000000000002E-3</v>
      </c>
      <c r="K10" s="4" t="str">
        <f>IF(OpenLCAdetail!I10="CTUh", "Fill in Manually", INDEX(LookUps!$E$5:$E$12, MATCH(OpenLCAdetail!I10,LookUps!$D$5:$D$12,0)))</f>
        <v>Cumulative Energy Demand (CED) - MJ</v>
      </c>
      <c r="O10" s="6" t="s">
        <v>161</v>
      </c>
      <c r="P10" s="6" t="s">
        <v>125</v>
      </c>
    </row>
    <row r="11" spans="1:16" x14ac:dyDescent="0.25">
      <c r="B11" s="4" t="s">
        <v>45</v>
      </c>
      <c r="C11" s="4" t="str">
        <f t="shared" si="0"/>
        <v>Infrastructure</v>
      </c>
      <c r="E11" s="27"/>
      <c r="F11" s="27">
        <v>0</v>
      </c>
      <c r="G11" s="28" t="s">
        <v>152</v>
      </c>
      <c r="H11" s="327">
        <v>1.1E-4</v>
      </c>
      <c r="I11" s="4" t="s">
        <v>15</v>
      </c>
      <c r="J11" s="28">
        <f t="shared" si="1"/>
        <v>1.1E-4</v>
      </c>
      <c r="K11" s="4" t="str">
        <f>IF(OpenLCAdetail!I11="CTUh", "Fill in Manually", INDEX(LookUps!$E$5:$E$12, MATCH(OpenLCAdetail!I11,LookUps!$D$5:$D$12,0)))</f>
        <v>Cumulative Energy Demand (CED) - MJ</v>
      </c>
      <c r="O11" s="6" t="s">
        <v>29</v>
      </c>
      <c r="P11" s="6" t="s">
        <v>71</v>
      </c>
    </row>
    <row r="12" spans="1:16" x14ac:dyDescent="0.25">
      <c r="B12" s="4" t="s">
        <v>45</v>
      </c>
      <c r="C12" s="4" t="str">
        <f t="shared" si="0"/>
        <v>Infrastructure</v>
      </c>
      <c r="E12" s="27"/>
      <c r="F12" s="27">
        <v>0</v>
      </c>
      <c r="G12" s="28" t="s">
        <v>76</v>
      </c>
      <c r="H12" s="327">
        <v>5.9993800000000001E-5</v>
      </c>
      <c r="I12" s="4" t="s">
        <v>15</v>
      </c>
      <c r="J12" s="28">
        <f t="shared" si="1"/>
        <v>5.9993800000000001E-5</v>
      </c>
      <c r="K12" s="4" t="str">
        <f>IF(OpenLCAdetail!I12="CTUh", "Fill in Manually", INDEX(LookUps!$E$5:$E$12, MATCH(OpenLCAdetail!I12,LookUps!$D$5:$D$12,0)))</f>
        <v>Cumulative Energy Demand (CED) - MJ</v>
      </c>
      <c r="O12" s="6" t="s">
        <v>31</v>
      </c>
      <c r="P12" s="6" t="s">
        <v>74</v>
      </c>
    </row>
    <row r="13" spans="1:16" x14ac:dyDescent="0.25">
      <c r="B13" s="4" t="s">
        <v>45</v>
      </c>
      <c r="C13" s="4" t="str">
        <f t="shared" si="0"/>
        <v>Infrastructure</v>
      </c>
      <c r="E13" s="27"/>
      <c r="F13" s="27">
        <v>0</v>
      </c>
      <c r="G13" s="28" t="s">
        <v>153</v>
      </c>
      <c r="H13" s="327">
        <v>1.51968E-5</v>
      </c>
      <c r="I13" s="4" t="s">
        <v>15</v>
      </c>
      <c r="J13" s="28">
        <f t="shared" si="1"/>
        <v>1.51968E-5</v>
      </c>
      <c r="K13" s="4" t="str">
        <f>IF(OpenLCAdetail!I13="CTUh", "Fill in Manually", INDEX(LookUps!$E$5:$E$12, MATCH(OpenLCAdetail!I13,LookUps!$D$5:$D$12,0)))</f>
        <v>Cumulative Energy Demand (CED) - MJ</v>
      </c>
      <c r="O13" s="6" t="s">
        <v>31</v>
      </c>
      <c r="P13" s="6" t="s">
        <v>73</v>
      </c>
    </row>
    <row r="14" spans="1:16" x14ac:dyDescent="0.25">
      <c r="B14" s="4" t="s">
        <v>45</v>
      </c>
      <c r="C14" s="4" t="str">
        <f t="shared" si="0"/>
        <v>Unit Process Emissions</v>
      </c>
      <c r="E14" s="27">
        <v>0.29899999999999999</v>
      </c>
      <c r="F14" s="27"/>
      <c r="G14" s="28" t="s">
        <v>124</v>
      </c>
      <c r="H14" s="327">
        <v>2.7128199999999998</v>
      </c>
      <c r="I14" s="4" t="s">
        <v>15</v>
      </c>
      <c r="J14" s="28">
        <f>H14-SUM(H15:H22)</f>
        <v>3.2228999997663266E-6</v>
      </c>
      <c r="K14" s="4" t="str">
        <f>IF(OpenLCAdetail!I14="CTUh", "Fill in Manually", INDEX(LookUps!$E$5:$E$12, MATCH(OpenLCAdetail!I14,LookUps!$D$5:$D$12,0)))</f>
        <v>Cumulative Energy Demand (CED) - MJ</v>
      </c>
      <c r="O14" s="6" t="s">
        <v>31</v>
      </c>
      <c r="P14" s="6" t="s">
        <v>72</v>
      </c>
    </row>
    <row r="15" spans="1:16" x14ac:dyDescent="0.25">
      <c r="B15" s="4" t="s">
        <v>45</v>
      </c>
      <c r="C15" s="4" t="str">
        <f t="shared" si="0"/>
        <v>Electricity</v>
      </c>
      <c r="E15" s="27"/>
      <c r="F15" s="27">
        <v>0.2878</v>
      </c>
      <c r="G15" s="28" t="s">
        <v>71</v>
      </c>
      <c r="H15" s="327">
        <v>2.6115200000000001</v>
      </c>
      <c r="I15" s="4" t="s">
        <v>15</v>
      </c>
      <c r="J15" s="28">
        <f t="shared" si="1"/>
        <v>2.6115200000000001</v>
      </c>
      <c r="K15" s="4" t="str">
        <f>IF(OpenLCAdetail!I15="CTUh", "Fill in Manually", INDEX(LookUps!$E$5:$E$12, MATCH(OpenLCAdetail!I15,LookUps!$D$5:$D$12,0)))</f>
        <v>Cumulative Energy Demand (CED) - MJ</v>
      </c>
      <c r="O15" s="6" t="s">
        <v>31</v>
      </c>
      <c r="P15" s="6" t="s">
        <v>75</v>
      </c>
    </row>
    <row r="16" spans="1:16" x14ac:dyDescent="0.25">
      <c r="B16" s="4" t="s">
        <v>45</v>
      </c>
      <c r="C16" s="4" t="str">
        <f t="shared" si="0"/>
        <v>Infrastructure</v>
      </c>
      <c r="E16" s="27"/>
      <c r="F16" s="27">
        <v>4.4000000000000003E-3</v>
      </c>
      <c r="G16" s="28" t="s">
        <v>73</v>
      </c>
      <c r="H16" s="327">
        <v>3.9809999999999998E-2</v>
      </c>
      <c r="I16" s="4" t="s">
        <v>15</v>
      </c>
      <c r="J16" s="28">
        <f t="shared" si="1"/>
        <v>3.9809999999999998E-2</v>
      </c>
      <c r="K16" s="4" t="str">
        <f>IF(OpenLCAdetail!I16="CTUh", "Fill in Manually", INDEX(LookUps!$E$5:$E$12, MATCH(OpenLCAdetail!I16,LookUps!$D$5:$D$12,0)))</f>
        <v>Cumulative Energy Demand (CED) - MJ</v>
      </c>
      <c r="O16" s="6" t="s">
        <v>31</v>
      </c>
      <c r="P16" s="6" t="s">
        <v>152</v>
      </c>
    </row>
    <row r="17" spans="2:16" x14ac:dyDescent="0.25">
      <c r="B17" s="4" t="s">
        <v>45</v>
      </c>
      <c r="C17" s="4" t="str">
        <f t="shared" si="0"/>
        <v>Infrastructure</v>
      </c>
      <c r="E17" s="27"/>
      <c r="F17" s="27">
        <v>3.8999999999999998E-3</v>
      </c>
      <c r="G17" s="4" t="s">
        <v>72</v>
      </c>
      <c r="H17" s="327">
        <v>3.5200000000000002E-2</v>
      </c>
      <c r="I17" s="4" t="s">
        <v>15</v>
      </c>
      <c r="J17" s="28">
        <f t="shared" si="1"/>
        <v>3.5200000000000002E-2</v>
      </c>
      <c r="K17" s="4" t="str">
        <f>IF(OpenLCAdetail!I17="CTUh", "Fill in Manually", INDEX(LookUps!$E$5:$E$12, MATCH(OpenLCAdetail!I17,LookUps!$D$5:$D$12,0)))</f>
        <v>Cumulative Energy Demand (CED) - MJ</v>
      </c>
      <c r="O17" s="6" t="s">
        <v>31</v>
      </c>
      <c r="P17" s="6" t="s">
        <v>76</v>
      </c>
    </row>
    <row r="18" spans="2:16" x14ac:dyDescent="0.25">
      <c r="B18" s="4" t="s">
        <v>45</v>
      </c>
      <c r="C18" s="4" t="str">
        <f t="shared" si="0"/>
        <v>Infrastructure</v>
      </c>
      <c r="E18" s="27"/>
      <c r="F18" s="27">
        <v>1.8E-3</v>
      </c>
      <c r="G18" s="4" t="s">
        <v>74</v>
      </c>
      <c r="H18" s="327">
        <v>1.5990000000000001E-2</v>
      </c>
      <c r="I18" s="4" t="s">
        <v>15</v>
      </c>
      <c r="J18" s="28">
        <f t="shared" si="1"/>
        <v>1.5990000000000001E-2</v>
      </c>
      <c r="K18" s="4" t="str">
        <f>IF(OpenLCAdetail!I18="CTUh", "Fill in Manually", INDEX(LookUps!$E$5:$E$12, MATCH(OpenLCAdetail!I18,LookUps!$D$5:$D$12,0)))</f>
        <v>Cumulative Energy Demand (CED) - MJ</v>
      </c>
      <c r="O18" s="6" t="s">
        <v>31</v>
      </c>
      <c r="P18" s="6" t="s">
        <v>153</v>
      </c>
    </row>
    <row r="19" spans="2:16" x14ac:dyDescent="0.25">
      <c r="B19" s="4" t="s">
        <v>45</v>
      </c>
      <c r="C19" s="4" t="str">
        <f t="shared" si="0"/>
        <v>Infrastructure</v>
      </c>
      <c r="E19" s="27"/>
      <c r="F19" s="27">
        <v>8.9999999999999998E-4</v>
      </c>
      <c r="G19" s="28" t="s">
        <v>75</v>
      </c>
      <c r="H19" s="327">
        <v>8.5100000000000002E-3</v>
      </c>
      <c r="I19" s="4" t="s">
        <v>15</v>
      </c>
      <c r="J19" s="28">
        <f t="shared" si="1"/>
        <v>8.5100000000000002E-3</v>
      </c>
      <c r="K19" s="4" t="str">
        <f>IF(OpenLCAdetail!I19="CTUh", "Fill in Manually", INDEX(LookUps!$E$5:$E$12, MATCH(OpenLCAdetail!I19,LookUps!$D$5:$D$12,0)))</f>
        <v>Cumulative Energy Demand (CED) - MJ</v>
      </c>
      <c r="O19" s="6" t="s">
        <v>161</v>
      </c>
      <c r="P19" s="6" t="s">
        <v>124</v>
      </c>
    </row>
    <row r="20" spans="2:16" x14ac:dyDescent="0.25">
      <c r="B20" s="4" t="s">
        <v>45</v>
      </c>
      <c r="C20" s="4" t="str">
        <f t="shared" si="0"/>
        <v>Infrastructure</v>
      </c>
      <c r="E20" s="27"/>
      <c r="F20" s="27">
        <v>2.0000000000000001E-4</v>
      </c>
      <c r="G20" s="4" t="s">
        <v>152</v>
      </c>
      <c r="H20" s="327">
        <v>1.5E-3</v>
      </c>
      <c r="I20" s="4" t="s">
        <v>15</v>
      </c>
      <c r="J20" s="28">
        <f t="shared" si="1"/>
        <v>1.5E-3</v>
      </c>
      <c r="K20" s="4" t="str">
        <f>IF(OpenLCAdetail!I20="CTUh", "Fill in Manually", INDEX(LookUps!$E$5:$E$12, MATCH(OpenLCAdetail!I20,LookUps!$D$5:$D$12,0)))</f>
        <v>Cumulative Energy Demand (CED) - MJ</v>
      </c>
      <c r="O20" s="6" t="s">
        <v>161</v>
      </c>
      <c r="P20" s="6" t="s">
        <v>126</v>
      </c>
    </row>
    <row r="21" spans="2:16" x14ac:dyDescent="0.25">
      <c r="B21" s="4" t="s">
        <v>45</v>
      </c>
      <c r="C21" s="4" t="str">
        <f t="shared" si="0"/>
        <v>Infrastructure</v>
      </c>
      <c r="E21" s="27"/>
      <c r="F21" s="27">
        <v>0</v>
      </c>
      <c r="G21" s="4" t="s">
        <v>153</v>
      </c>
      <c r="H21" s="327">
        <v>2.0000000000000001E-4</v>
      </c>
      <c r="I21" s="4" t="s">
        <v>15</v>
      </c>
      <c r="J21" s="28">
        <f t="shared" si="1"/>
        <v>2.0000000000000001E-4</v>
      </c>
      <c r="K21" s="4" t="str">
        <f>IF(OpenLCAdetail!I21="CTUh", "Fill in Manually", INDEX(LookUps!$E$5:$E$12, MATCH(OpenLCAdetail!I21,LookUps!$D$5:$D$12,0)))</f>
        <v>Cumulative Energy Demand (CED) - MJ</v>
      </c>
      <c r="O21" s="6" t="s">
        <v>163</v>
      </c>
      <c r="P21" s="6" t="s">
        <v>154</v>
      </c>
    </row>
    <row r="22" spans="2:16" x14ac:dyDescent="0.25">
      <c r="B22" s="4" t="s">
        <v>45</v>
      </c>
      <c r="C22" s="4" t="str">
        <f t="shared" si="0"/>
        <v>Infrastructure</v>
      </c>
      <c r="E22" s="27"/>
      <c r="F22" s="27">
        <v>0</v>
      </c>
      <c r="G22" s="4" t="s">
        <v>76</v>
      </c>
      <c r="H22" s="327">
        <v>8.6777100000000006E-5</v>
      </c>
      <c r="I22" s="4" t="s">
        <v>15</v>
      </c>
      <c r="J22" s="28">
        <f t="shared" si="1"/>
        <v>8.6777100000000006E-5</v>
      </c>
      <c r="K22" s="4" t="str">
        <f>IF(OpenLCAdetail!I22="CTUh", "Fill in Manually", INDEX(LookUps!$E$5:$E$12, MATCH(OpenLCAdetail!I22,LookUps!$D$5:$D$12,0)))</f>
        <v>Cumulative Energy Demand (CED) - MJ</v>
      </c>
      <c r="O22" s="6" t="s">
        <v>161</v>
      </c>
      <c r="P22" s="6" t="s">
        <v>151</v>
      </c>
    </row>
    <row r="23" spans="2:16" x14ac:dyDescent="0.25">
      <c r="B23" s="4" t="s">
        <v>45</v>
      </c>
      <c r="C23" s="4" t="str">
        <f t="shared" si="0"/>
        <v>Unit Process Emissions</v>
      </c>
      <c r="E23" s="27">
        <v>0.1953</v>
      </c>
      <c r="F23" s="27"/>
      <c r="G23" s="4" t="s">
        <v>126</v>
      </c>
      <c r="H23" s="327">
        <v>1.7720800000000001</v>
      </c>
      <c r="I23" s="4" t="s">
        <v>15</v>
      </c>
      <c r="J23" s="28">
        <f>H23-SUM(H24:H30)</f>
        <v>-2.2365999998719133E-6</v>
      </c>
      <c r="K23" s="4" t="str">
        <f>IF(OpenLCAdetail!I23="CTUh", "Fill in Manually", INDEX(LookUps!$E$5:$E$12, MATCH(OpenLCAdetail!I23,LookUps!$D$5:$D$12,0)))</f>
        <v>Cumulative Energy Demand (CED) - MJ</v>
      </c>
      <c r="O23" s="6" t="s">
        <v>165</v>
      </c>
      <c r="P23" s="6" t="s">
        <v>155</v>
      </c>
    </row>
    <row r="24" spans="2:16" x14ac:dyDescent="0.25">
      <c r="B24" s="4" t="s">
        <v>45</v>
      </c>
      <c r="C24" s="4" t="str">
        <f t="shared" si="0"/>
        <v>chemicals</v>
      </c>
      <c r="E24" s="27"/>
      <c r="F24" s="27">
        <v>0.12089999999999999</v>
      </c>
      <c r="G24" s="4" t="s">
        <v>154</v>
      </c>
      <c r="H24" s="327">
        <v>1.0967800000000001</v>
      </c>
      <c r="I24" s="4" t="s">
        <v>15</v>
      </c>
      <c r="J24" s="28">
        <f t="shared" si="1"/>
        <v>1.0967800000000001</v>
      </c>
      <c r="K24" s="4" t="str">
        <f>IF(OpenLCAdetail!I24="CTUh", "Fill in Manually", INDEX(LookUps!$E$5:$E$12, MATCH(OpenLCAdetail!I24,LookUps!$D$5:$D$12,0)))</f>
        <v>Cumulative Energy Demand (CED) - MJ</v>
      </c>
      <c r="O24" s="6" t="s">
        <v>164</v>
      </c>
      <c r="P24" s="6" t="s">
        <v>156</v>
      </c>
    </row>
    <row r="25" spans="2:16" x14ac:dyDescent="0.25">
      <c r="B25" s="4" t="s">
        <v>45</v>
      </c>
      <c r="C25" s="4" t="str">
        <f t="shared" si="0"/>
        <v>Electricity</v>
      </c>
      <c r="E25" s="27"/>
      <c r="F25" s="27">
        <v>7.1999999999999995E-2</v>
      </c>
      <c r="G25" s="4" t="s">
        <v>71</v>
      </c>
      <c r="H25" s="327">
        <v>0.65329999999999999</v>
      </c>
      <c r="I25" s="4" t="s">
        <v>15</v>
      </c>
      <c r="J25" s="28">
        <f t="shared" si="1"/>
        <v>0.65329999999999999</v>
      </c>
      <c r="K25" s="4" t="str">
        <f>IF(OpenLCAdetail!I25="CTUh", "Fill in Manually", INDEX(LookUps!$E$5:$E$12, MATCH(OpenLCAdetail!I25,LookUps!$D$5:$D$12,0)))</f>
        <v>Cumulative Energy Demand (CED) - MJ</v>
      </c>
      <c r="O25" s="6" t="s">
        <v>161</v>
      </c>
      <c r="P25" s="6" t="s">
        <v>128</v>
      </c>
    </row>
    <row r="26" spans="2:16" x14ac:dyDescent="0.25">
      <c r="B26" s="4" t="s">
        <v>45</v>
      </c>
      <c r="C26" s="4" t="str">
        <f t="shared" si="0"/>
        <v>Infrastructure</v>
      </c>
      <c r="E26" s="27"/>
      <c r="F26" s="27">
        <v>1E-3</v>
      </c>
      <c r="G26" s="4" t="s">
        <v>73</v>
      </c>
      <c r="H26" s="327">
        <v>9.2399999999999999E-3</v>
      </c>
      <c r="I26" s="4" t="s">
        <v>15</v>
      </c>
      <c r="J26" s="28">
        <f t="shared" si="1"/>
        <v>9.2399999999999999E-3</v>
      </c>
      <c r="K26" s="4" t="str">
        <f>IF(OpenLCAdetail!I26="CTUh", "Fill in Manually", INDEX(LookUps!$E$5:$E$12, MATCH(OpenLCAdetail!I26,LookUps!$D$5:$D$12,0)))</f>
        <v>Cumulative Energy Demand (CED) - MJ</v>
      </c>
      <c r="O26" s="6" t="s">
        <v>31</v>
      </c>
      <c r="P26" s="6" t="s">
        <v>157</v>
      </c>
    </row>
    <row r="27" spans="2:16" x14ac:dyDescent="0.25">
      <c r="B27" s="4" t="s">
        <v>45</v>
      </c>
      <c r="C27" s="4" t="str">
        <f t="shared" si="0"/>
        <v>Infrastructure</v>
      </c>
      <c r="E27" s="27"/>
      <c r="F27" s="27">
        <v>8.9999999999999998E-4</v>
      </c>
      <c r="G27" s="4" t="s">
        <v>72</v>
      </c>
      <c r="H27" s="327">
        <v>8.1700000000000002E-3</v>
      </c>
      <c r="I27" s="4" t="s">
        <v>15</v>
      </c>
      <c r="J27" s="28">
        <f t="shared" si="1"/>
        <v>8.1700000000000002E-3</v>
      </c>
      <c r="K27" s="4" t="str">
        <f>IF(OpenLCAdetail!I27="CTUh", "Fill in Manually", INDEX(LookUps!$E$5:$E$12, MATCH(OpenLCAdetail!I27,LookUps!$D$5:$D$12,0)))</f>
        <v>Cumulative Energy Demand (CED) - MJ</v>
      </c>
      <c r="O27" s="6" t="s">
        <v>161</v>
      </c>
      <c r="P27" s="6" t="s">
        <v>150</v>
      </c>
    </row>
    <row r="28" spans="2:16" x14ac:dyDescent="0.25">
      <c r="B28" s="4" t="s">
        <v>45</v>
      </c>
      <c r="C28" s="4" t="str">
        <f t="shared" si="0"/>
        <v>Infrastructure</v>
      </c>
      <c r="E28" s="27"/>
      <c r="F28" s="27">
        <v>2.9999999999999997E-4</v>
      </c>
      <c r="G28" s="4" t="s">
        <v>74</v>
      </c>
      <c r="H28" s="327">
        <v>3.1099999999999999E-3</v>
      </c>
      <c r="I28" s="4" t="s">
        <v>15</v>
      </c>
      <c r="J28" s="28">
        <f t="shared" si="1"/>
        <v>3.1099999999999999E-3</v>
      </c>
      <c r="K28" s="4" t="str">
        <f>IF(OpenLCAdetail!I28="CTUh", "Fill in Manually", INDEX(LookUps!$E$5:$E$12, MATCH(OpenLCAdetail!I28,LookUps!$D$5:$D$12,0)))</f>
        <v>Cumulative Energy Demand (CED) - MJ</v>
      </c>
      <c r="O28" s="6" t="s">
        <v>161</v>
      </c>
      <c r="P28" s="6" t="s">
        <v>123</v>
      </c>
    </row>
    <row r="29" spans="2:16" x14ac:dyDescent="0.25">
      <c r="B29" s="4" t="s">
        <v>45</v>
      </c>
      <c r="C29" s="4" t="str">
        <f t="shared" si="0"/>
        <v>Infrastructure</v>
      </c>
      <c r="E29" s="27"/>
      <c r="F29" s="27">
        <v>2.0000000000000001E-4</v>
      </c>
      <c r="G29" s="28" t="s">
        <v>75</v>
      </c>
      <c r="H29" s="327">
        <v>1.4599999999999999E-3</v>
      </c>
      <c r="I29" s="4" t="s">
        <v>15</v>
      </c>
      <c r="J29" s="28">
        <f t="shared" si="1"/>
        <v>1.4599999999999999E-3</v>
      </c>
      <c r="K29" s="4" t="str">
        <f>IF(OpenLCAdetail!I29="CTUh", "Fill in Manually", INDEX(LookUps!$E$5:$E$12, MATCH(OpenLCAdetail!I29,LookUps!$D$5:$D$12,0)))</f>
        <v>Cumulative Energy Demand (CED) - MJ</v>
      </c>
      <c r="O29" s="6" t="s">
        <v>163</v>
      </c>
      <c r="P29" s="6" t="s">
        <v>77</v>
      </c>
    </row>
    <row r="30" spans="2:16" x14ac:dyDescent="0.25">
      <c r="B30" s="4" t="s">
        <v>45</v>
      </c>
      <c r="C30" s="4" t="str">
        <f t="shared" si="0"/>
        <v>Infrastructure</v>
      </c>
      <c r="E30" s="27"/>
      <c r="F30" s="27">
        <v>0</v>
      </c>
      <c r="G30" s="28" t="s">
        <v>76</v>
      </c>
      <c r="H30" s="327">
        <v>2.22366E-5</v>
      </c>
      <c r="I30" s="4" t="s">
        <v>15</v>
      </c>
      <c r="J30" s="28">
        <f t="shared" si="1"/>
        <v>2.22366E-5</v>
      </c>
      <c r="K30" s="4" t="str">
        <f>IF(OpenLCAdetail!I30="CTUh", "Fill in Manually", INDEX(LookUps!$E$5:$E$12, MATCH(OpenLCAdetail!I30,LookUps!$D$5:$D$12,0)))</f>
        <v>Cumulative Energy Demand (CED) - MJ</v>
      </c>
      <c r="O30" s="6" t="s">
        <v>161</v>
      </c>
      <c r="P30" s="6" t="s">
        <v>56</v>
      </c>
    </row>
    <row r="31" spans="2:16" x14ac:dyDescent="0.25">
      <c r="B31" s="4" t="s">
        <v>45</v>
      </c>
      <c r="C31" s="4" t="s">
        <v>161</v>
      </c>
      <c r="E31" s="27">
        <v>0.1023</v>
      </c>
      <c r="F31" s="27"/>
      <c r="G31" s="28" t="s">
        <v>56</v>
      </c>
      <c r="H31" s="327">
        <v>0.92825000000000002</v>
      </c>
      <c r="I31" s="4" t="s">
        <v>15</v>
      </c>
      <c r="J31" s="28">
        <f>H31-SUM(H32:H37)</f>
        <v>1.0000000000065512E-5</v>
      </c>
      <c r="K31" s="4" t="str">
        <f>IF(OpenLCAdetail!I31="CTUh", "Fill in Manually", INDEX(LookUps!$E$5:$E$12, MATCH(OpenLCAdetail!I31,LookUps!$D$5:$D$12,0)))</f>
        <v>Cumulative Energy Demand (CED) - MJ</v>
      </c>
      <c r="O31" s="6" t="s">
        <v>166</v>
      </c>
      <c r="P31" s="6" t="s">
        <v>158</v>
      </c>
    </row>
    <row r="32" spans="2:16" x14ac:dyDescent="0.25">
      <c r="B32" s="4" t="s">
        <v>45</v>
      </c>
      <c r="C32" s="4" t="str">
        <f t="shared" si="0"/>
        <v>natural gas</v>
      </c>
      <c r="E32" s="27"/>
      <c r="F32" s="27">
        <v>9.0300000000000005E-2</v>
      </c>
      <c r="G32" s="28" t="s">
        <v>158</v>
      </c>
      <c r="H32" s="327">
        <v>0.81969999999999998</v>
      </c>
      <c r="I32" s="4" t="s">
        <v>15</v>
      </c>
      <c r="J32" s="28">
        <f t="shared" si="1"/>
        <v>0.81969999999999998</v>
      </c>
      <c r="K32" s="4" t="str">
        <f>IF(OpenLCAdetail!I32="CTUh", "Fill in Manually", INDEX(LookUps!$E$5:$E$12, MATCH(OpenLCAdetail!I32,LookUps!$D$5:$D$12,0)))</f>
        <v>Cumulative Energy Demand (CED) - MJ</v>
      </c>
      <c r="O32" s="6" t="s">
        <v>161</v>
      </c>
      <c r="P32" s="6" t="s">
        <v>127</v>
      </c>
    </row>
    <row r="33" spans="2:16" x14ac:dyDescent="0.25">
      <c r="B33" s="4" t="s">
        <v>45</v>
      </c>
      <c r="C33" s="4" t="str">
        <f t="shared" si="0"/>
        <v>Infrastructure</v>
      </c>
      <c r="E33" s="27"/>
      <c r="F33" s="27">
        <v>4.8999999999999998E-3</v>
      </c>
      <c r="G33" s="28" t="s">
        <v>73</v>
      </c>
      <c r="H33" s="327">
        <v>4.478E-2</v>
      </c>
      <c r="I33" s="4" t="s">
        <v>15</v>
      </c>
      <c r="J33" s="28">
        <f t="shared" si="1"/>
        <v>4.478E-2</v>
      </c>
      <c r="K33" s="4" t="str">
        <f>IF(OpenLCAdetail!I33="CTUh", "Fill in Manually", INDEX(LookUps!$E$5:$E$12, MATCH(OpenLCAdetail!I33,LookUps!$D$5:$D$12,0)))</f>
        <v>Cumulative Energy Demand (CED) - MJ</v>
      </c>
      <c r="O33" s="6" t="s">
        <v>161</v>
      </c>
      <c r="P33" s="6" t="s">
        <v>48</v>
      </c>
    </row>
    <row r="34" spans="2:16" x14ac:dyDescent="0.25">
      <c r="B34" s="4" t="s">
        <v>45</v>
      </c>
      <c r="C34" s="4" t="str">
        <f t="shared" si="0"/>
        <v>Infrastructure</v>
      </c>
      <c r="E34" s="27"/>
      <c r="F34" s="27">
        <v>4.4000000000000003E-3</v>
      </c>
      <c r="G34" s="28" t="s">
        <v>72</v>
      </c>
      <c r="H34" s="327">
        <v>3.9600000000000003E-2</v>
      </c>
      <c r="I34" s="4" t="s">
        <v>15</v>
      </c>
      <c r="J34" s="28">
        <f t="shared" si="1"/>
        <v>3.9600000000000003E-2</v>
      </c>
      <c r="K34" s="4" t="str">
        <f>IF(OpenLCAdetail!I34="CTUh", "Fill in Manually", INDEX(LookUps!$E$5:$E$12, MATCH(OpenLCAdetail!I34,LookUps!$D$5:$D$12,0)))</f>
        <v>Cumulative Energy Demand (CED) - MJ</v>
      </c>
      <c r="O34" s="6" t="s">
        <v>162</v>
      </c>
      <c r="P34" s="6" t="s">
        <v>159</v>
      </c>
    </row>
    <row r="35" spans="2:16" x14ac:dyDescent="0.25">
      <c r="B35" s="4" t="s">
        <v>45</v>
      </c>
      <c r="C35" s="4" t="str">
        <f t="shared" si="0"/>
        <v>Infrastructure</v>
      </c>
      <c r="E35" s="27"/>
      <c r="F35" s="27">
        <v>1.8E-3</v>
      </c>
      <c r="G35" s="4" t="s">
        <v>74</v>
      </c>
      <c r="H35" s="327">
        <v>1.6469999999999999E-2</v>
      </c>
      <c r="I35" s="4" t="s">
        <v>15</v>
      </c>
      <c r="J35" s="28">
        <f t="shared" si="1"/>
        <v>1.6469999999999999E-2</v>
      </c>
      <c r="K35" s="4" t="str">
        <f>IF(OpenLCAdetail!I35="CTUh", "Fill in Manually", INDEX(LookUps!$E$5:$E$12, MATCH(OpenLCAdetail!I35,LookUps!$D$5:$D$12,0)))</f>
        <v>Cumulative Energy Demand (CED) - MJ</v>
      </c>
      <c r="O35" s="6" t="s">
        <v>162</v>
      </c>
      <c r="P35" s="6" t="s">
        <v>175</v>
      </c>
    </row>
    <row r="36" spans="2:16" x14ac:dyDescent="0.25">
      <c r="B36" s="4" t="s">
        <v>45</v>
      </c>
      <c r="C36" s="4" t="str">
        <f t="shared" si="0"/>
        <v>Infrastructure</v>
      </c>
      <c r="E36" s="27"/>
      <c r="F36" s="27">
        <v>8.0000000000000004E-4</v>
      </c>
      <c r="G36" s="4" t="s">
        <v>75</v>
      </c>
      <c r="H36" s="327">
        <v>7.45E-3</v>
      </c>
      <c r="I36" s="4" t="s">
        <v>15</v>
      </c>
      <c r="J36" s="28">
        <f t="shared" si="1"/>
        <v>7.45E-3</v>
      </c>
      <c r="K36" s="4" t="str">
        <f>IF(OpenLCAdetail!I36="CTUh", "Fill in Manually", INDEX(LookUps!$E$5:$E$12, MATCH(OpenLCAdetail!I36,LookUps!$D$5:$D$12,0)))</f>
        <v>Cumulative Energy Demand (CED) - MJ</v>
      </c>
      <c r="O36" s="6" t="s">
        <v>161</v>
      </c>
      <c r="P36" s="6" t="s">
        <v>61</v>
      </c>
    </row>
    <row r="37" spans="2:16" x14ac:dyDescent="0.25">
      <c r="B37" s="4" t="s">
        <v>45</v>
      </c>
      <c r="C37" s="4" t="str">
        <f t="shared" si="0"/>
        <v>Infrastructure</v>
      </c>
      <c r="F37" s="27">
        <v>0</v>
      </c>
      <c r="G37" s="4" t="s">
        <v>76</v>
      </c>
      <c r="H37" s="327">
        <v>2.4000000000000001E-4</v>
      </c>
      <c r="I37" s="4" t="s">
        <v>15</v>
      </c>
      <c r="J37" s="28">
        <f t="shared" si="1"/>
        <v>2.4000000000000001E-4</v>
      </c>
      <c r="K37" s="4" t="str">
        <f>IF(OpenLCAdetail!I37="CTUh", "Fill in Manually", INDEX(LookUps!$E$5:$E$12, MATCH(OpenLCAdetail!I37,LookUps!$D$5:$D$12,0)))</f>
        <v>Cumulative Energy Demand (CED) - MJ</v>
      </c>
      <c r="O37" s="6" t="s">
        <v>164</v>
      </c>
      <c r="P37" s="6" t="s">
        <v>170</v>
      </c>
    </row>
    <row r="38" spans="2:16" x14ac:dyDescent="0.25">
      <c r="B38" s="4" t="s">
        <v>45</v>
      </c>
      <c r="C38" s="4" t="s">
        <v>184</v>
      </c>
      <c r="E38" s="27">
        <v>3.8399999999999997E-2</v>
      </c>
      <c r="F38" s="27"/>
      <c r="G38" s="4" t="s">
        <v>151</v>
      </c>
      <c r="H38" s="327">
        <v>0.34827000000000002</v>
      </c>
      <c r="I38" s="4" t="s">
        <v>15</v>
      </c>
      <c r="J38" s="28">
        <f>H38-SUM(H39:H41)</f>
        <v>1.0000000000121023E-5</v>
      </c>
      <c r="K38" s="4" t="str">
        <f>IF(OpenLCAdetail!I38="CTUh", "Fill in Manually", INDEX(LookUps!$E$5:$E$12, MATCH(OpenLCAdetail!I38,LookUps!$D$5:$D$12,0)))</f>
        <v>Cumulative Energy Demand (CED) - MJ</v>
      </c>
      <c r="O38" s="6" t="s">
        <v>165</v>
      </c>
      <c r="P38" s="6" t="s">
        <v>172</v>
      </c>
    </row>
    <row r="39" spans="2:16" x14ac:dyDescent="0.25">
      <c r="B39" s="4" t="s">
        <v>45</v>
      </c>
      <c r="C39" s="4" t="str">
        <f t="shared" si="0"/>
        <v>Diesel</v>
      </c>
      <c r="E39" s="27"/>
      <c r="F39" s="27">
        <v>7.3099999999999998E-2</v>
      </c>
      <c r="G39" s="4" t="s">
        <v>155</v>
      </c>
      <c r="H39" s="327">
        <v>0.66330999999999996</v>
      </c>
      <c r="I39" s="4" t="s">
        <v>15</v>
      </c>
      <c r="J39" s="28">
        <f t="shared" si="1"/>
        <v>0.66330999999999996</v>
      </c>
      <c r="K39" s="4" t="str">
        <f>IF(OpenLCAdetail!I39="CTUh", "Fill in Manually", INDEX(LookUps!$E$5:$E$12, MATCH(OpenLCAdetail!I39,LookUps!$D$5:$D$12,0)))</f>
        <v>Cumulative Energy Demand (CED) - MJ</v>
      </c>
      <c r="O39" s="6" t="s">
        <v>161</v>
      </c>
      <c r="P39" s="6" t="s">
        <v>58</v>
      </c>
    </row>
    <row r="40" spans="2:16" x14ac:dyDescent="0.25">
      <c r="B40" s="4" t="s">
        <v>45</v>
      </c>
      <c r="C40" s="4" t="str">
        <f t="shared" si="0"/>
        <v>Transport</v>
      </c>
      <c r="E40" s="27"/>
      <c r="F40" s="27">
        <v>3.9600000000000003E-2</v>
      </c>
      <c r="G40" s="4" t="s">
        <v>156</v>
      </c>
      <c r="H40" s="327">
        <v>0.35979</v>
      </c>
      <c r="I40" s="4" t="s">
        <v>15</v>
      </c>
      <c r="J40" s="28">
        <f t="shared" si="1"/>
        <v>0.35979</v>
      </c>
      <c r="K40" s="4" t="str">
        <f>IF(OpenLCAdetail!I40="CTUh", "Fill in Manually", INDEX(LookUps!$E$5:$E$12, MATCH(OpenLCAdetail!I40,LookUps!$D$5:$D$12,0)))</f>
        <v>Cumulative Energy Demand (CED) - MJ</v>
      </c>
      <c r="O40" s="6" t="s">
        <v>31</v>
      </c>
      <c r="P40" s="6" t="s">
        <v>169</v>
      </c>
    </row>
    <row r="41" spans="2:16" x14ac:dyDescent="0.25">
      <c r="B41" s="4" t="s">
        <v>45</v>
      </c>
      <c r="C41" s="4" t="s">
        <v>81</v>
      </c>
      <c r="E41" s="27"/>
      <c r="F41" s="27">
        <v>-7.4399999999999994E-2</v>
      </c>
      <c r="G41" s="4" t="s">
        <v>71</v>
      </c>
      <c r="H41" s="327">
        <v>-0.67484</v>
      </c>
      <c r="I41" s="4" t="s">
        <v>15</v>
      </c>
      <c r="J41" s="28">
        <f t="shared" si="1"/>
        <v>-0.67484</v>
      </c>
      <c r="K41" s="4" t="str">
        <f>IF(OpenLCAdetail!I41="CTUh", "Fill in Manually", INDEX(LookUps!$E$5:$E$12, MATCH(OpenLCAdetail!I41,LookUps!$D$5:$D$12,0)))</f>
        <v>Cumulative Energy Demand (CED) - MJ</v>
      </c>
      <c r="O41" s="6" t="s">
        <v>161</v>
      </c>
      <c r="P41" s="6" t="s">
        <v>167</v>
      </c>
    </row>
    <row r="42" spans="2:16" x14ac:dyDescent="0.25">
      <c r="B42" s="4" t="s">
        <v>45</v>
      </c>
      <c r="C42" s="4" t="str">
        <f t="shared" si="0"/>
        <v>Unit Process Emissions</v>
      </c>
      <c r="E42" s="27">
        <v>2.8199999999999999E-2</v>
      </c>
      <c r="F42" s="27"/>
      <c r="G42" s="4" t="s">
        <v>128</v>
      </c>
      <c r="H42" s="327">
        <v>0.25606000000000001</v>
      </c>
      <c r="I42" s="4" t="s">
        <v>15</v>
      </c>
      <c r="J42" s="28">
        <f>H42-SUM(H43:H44)</f>
        <v>0</v>
      </c>
      <c r="K42" s="4" t="str">
        <f>IF(OpenLCAdetail!I42="CTUh", "Fill in Manually", INDEX(LookUps!$E$5:$E$12, MATCH(OpenLCAdetail!I42,LookUps!$D$5:$D$12,0)))</f>
        <v>Cumulative Energy Demand (CED) - MJ</v>
      </c>
      <c r="O42" s="6" t="s">
        <v>161</v>
      </c>
      <c r="P42" s="6" t="s">
        <v>55</v>
      </c>
    </row>
    <row r="43" spans="2:16" x14ac:dyDescent="0.25">
      <c r="B43" s="4" t="s">
        <v>45</v>
      </c>
      <c r="C43" s="4" t="str">
        <f t="shared" si="0"/>
        <v>Electricity</v>
      </c>
      <c r="F43" s="27">
        <v>2.69E-2</v>
      </c>
      <c r="G43" s="4" t="s">
        <v>71</v>
      </c>
      <c r="H43" s="327">
        <v>0.24409</v>
      </c>
      <c r="I43" s="4" t="s">
        <v>15</v>
      </c>
      <c r="J43" s="28">
        <f t="shared" si="1"/>
        <v>0.24409</v>
      </c>
      <c r="K43" s="4" t="str">
        <f>IF(OpenLCAdetail!I43="CTUh", "Fill in Manually", INDEX(LookUps!$E$5:$E$12, MATCH(OpenLCAdetail!I43,LookUps!$D$5:$D$12,0)))</f>
        <v>Cumulative Energy Demand (CED) - MJ</v>
      </c>
      <c r="O43" s="6" t="s">
        <v>161</v>
      </c>
      <c r="P43" s="6" t="s">
        <v>54</v>
      </c>
    </row>
    <row r="44" spans="2:16" x14ac:dyDescent="0.25">
      <c r="B44" s="4" t="s">
        <v>45</v>
      </c>
      <c r="C44" s="4" t="str">
        <f t="shared" si="0"/>
        <v>Infrastructure</v>
      </c>
      <c r="F44" s="27">
        <v>1.2999999999999999E-3</v>
      </c>
      <c r="G44" s="4" t="s">
        <v>157</v>
      </c>
      <c r="H44" s="327">
        <v>1.197E-2</v>
      </c>
      <c r="I44" s="4" t="s">
        <v>15</v>
      </c>
      <c r="J44" s="28">
        <f t="shared" si="1"/>
        <v>1.197E-2</v>
      </c>
      <c r="K44" s="4" t="str">
        <f>IF(OpenLCAdetail!I44="CTUh", "Fill in Manually", INDEX(LookUps!$E$5:$E$12, MATCH(OpenLCAdetail!I44,LookUps!$D$5:$D$12,0)))</f>
        <v>Cumulative Energy Demand (CED) - MJ</v>
      </c>
      <c r="O44" s="6" t="s">
        <v>161</v>
      </c>
      <c r="P44" s="6" t="s">
        <v>149</v>
      </c>
    </row>
    <row r="45" spans="2:16" x14ac:dyDescent="0.25">
      <c r="B45" s="4" t="s">
        <v>45</v>
      </c>
      <c r="C45" s="4" t="str">
        <f t="shared" si="0"/>
        <v>Unit Process Emissions</v>
      </c>
      <c r="E45" s="27">
        <v>1.7899999999999999E-2</v>
      </c>
      <c r="F45" s="27"/>
      <c r="G45" s="4" t="s">
        <v>123</v>
      </c>
      <c r="H45" s="327">
        <v>0.16199</v>
      </c>
      <c r="I45" s="4" t="s">
        <v>15</v>
      </c>
      <c r="J45" s="28">
        <f>H45-SUM(H46:H47)</f>
        <v>-9.9999999999822453E-6</v>
      </c>
      <c r="K45" s="4" t="str">
        <f>IF(OpenLCAdetail!I45="CTUh", "Fill in Manually", INDEX(LookUps!$E$5:$E$12, MATCH(OpenLCAdetail!I45,LookUps!$D$5:$D$12,0)))</f>
        <v>Cumulative Energy Demand (CED) - MJ</v>
      </c>
      <c r="O45" s="6" t="s">
        <v>30</v>
      </c>
      <c r="P45" s="6" t="s">
        <v>173</v>
      </c>
    </row>
    <row r="46" spans="2:16" x14ac:dyDescent="0.25">
      <c r="B46" s="4" t="s">
        <v>45</v>
      </c>
      <c r="C46" s="4" t="str">
        <f t="shared" si="0"/>
        <v>Electricity</v>
      </c>
      <c r="F46" s="27">
        <v>1.38E-2</v>
      </c>
      <c r="G46" s="4" t="s">
        <v>71</v>
      </c>
      <c r="H46" s="327">
        <v>0.12531999999999999</v>
      </c>
      <c r="I46" s="4" t="s">
        <v>15</v>
      </c>
      <c r="J46" s="28">
        <f t="shared" si="1"/>
        <v>0.12531999999999999</v>
      </c>
      <c r="K46" s="4" t="str">
        <f>IF(OpenLCAdetail!I46="CTUh", "Fill in Manually", INDEX(LookUps!$E$5:$E$12, MATCH(OpenLCAdetail!I46,LookUps!$D$5:$D$12,0)))</f>
        <v>Cumulative Energy Demand (CED) - MJ</v>
      </c>
      <c r="O46" s="6" t="s">
        <v>162</v>
      </c>
      <c r="P46" s="6" t="s">
        <v>174</v>
      </c>
    </row>
    <row r="47" spans="2:16" x14ac:dyDescent="0.25">
      <c r="B47" s="4" t="s">
        <v>45</v>
      </c>
      <c r="C47" s="4" t="str">
        <f t="shared" si="0"/>
        <v>chemicals</v>
      </c>
      <c r="E47" s="27"/>
      <c r="F47" s="27">
        <v>4.0000000000000001E-3</v>
      </c>
      <c r="G47" s="4" t="s">
        <v>77</v>
      </c>
      <c r="H47" s="327">
        <v>3.6679999999999997E-2</v>
      </c>
      <c r="I47" s="4" t="s">
        <v>15</v>
      </c>
      <c r="J47" s="28">
        <f t="shared" si="1"/>
        <v>3.6679999999999997E-2</v>
      </c>
      <c r="K47" s="4" t="str">
        <f>IF(OpenLCAdetail!I47="CTUh", "Fill in Manually", INDEX(LookUps!$E$5:$E$12, MATCH(OpenLCAdetail!I47,LookUps!$D$5:$D$12,0)))</f>
        <v>Cumulative Energy Demand (CED) - MJ</v>
      </c>
      <c r="O47" s="6" t="s">
        <v>162</v>
      </c>
      <c r="P47" s="6" t="s">
        <v>175</v>
      </c>
    </row>
    <row r="48" spans="2:16" x14ac:dyDescent="0.25">
      <c r="B48" s="4" t="s">
        <v>45</v>
      </c>
      <c r="C48" s="4" t="str">
        <f t="shared" si="0"/>
        <v>Unit Process Emissions</v>
      </c>
      <c r="E48" s="27">
        <v>1.6799999999999999E-2</v>
      </c>
      <c r="F48" s="27"/>
      <c r="G48" s="4" t="s">
        <v>150</v>
      </c>
      <c r="H48" s="327">
        <v>0.1525</v>
      </c>
      <c r="I48" s="4" t="s">
        <v>15</v>
      </c>
      <c r="J48" s="28">
        <f>H48-SUM(H49:H54)</f>
        <v>-5.3925800000131918E-6</v>
      </c>
      <c r="K48" s="4" t="str">
        <f>IF(OpenLCAdetail!I48="CTUh", "Fill in Manually", INDEX(LookUps!$E$5:$E$12, MATCH(OpenLCAdetail!I48,LookUps!$D$5:$D$12,0)))</f>
        <v>Cumulative Energy Demand (CED) - MJ</v>
      </c>
      <c r="O48" s="6" t="s">
        <v>161</v>
      </c>
      <c r="P48" s="6" t="s">
        <v>53</v>
      </c>
    </row>
    <row r="49" spans="2:16" x14ac:dyDescent="0.25">
      <c r="B49" s="4" t="s">
        <v>45</v>
      </c>
      <c r="C49" s="4" t="str">
        <f t="shared" si="0"/>
        <v>Electricity</v>
      </c>
      <c r="F49" s="27">
        <v>1.5800000000000002E-2</v>
      </c>
      <c r="G49" s="4" t="s">
        <v>71</v>
      </c>
      <c r="H49" s="327">
        <v>0.14358000000000001</v>
      </c>
      <c r="I49" s="4" t="s">
        <v>15</v>
      </c>
      <c r="J49" s="28">
        <f t="shared" si="1"/>
        <v>0.14358000000000001</v>
      </c>
      <c r="K49" s="4" t="str">
        <f>IF(OpenLCAdetail!I49="CTUh", "Fill in Manually", INDEX(LookUps!$E$5:$E$12, MATCH(OpenLCAdetail!I49,LookUps!$D$5:$D$12,0)))</f>
        <v>Cumulative Energy Demand (CED) - MJ</v>
      </c>
      <c r="O49" s="6" t="s">
        <v>161</v>
      </c>
      <c r="P49" s="6" t="s">
        <v>147</v>
      </c>
    </row>
    <row r="50" spans="2:16" x14ac:dyDescent="0.25">
      <c r="B50" s="4" t="s">
        <v>45</v>
      </c>
      <c r="C50" s="4" t="str">
        <f t="shared" si="0"/>
        <v>Infrastructure</v>
      </c>
      <c r="F50" s="27">
        <v>5.0000000000000001E-4</v>
      </c>
      <c r="G50" s="4" t="s">
        <v>73</v>
      </c>
      <c r="H50" s="327">
        <v>4.2900000000000004E-3</v>
      </c>
      <c r="I50" s="4" t="s">
        <v>15</v>
      </c>
      <c r="J50" s="28">
        <f t="shared" si="1"/>
        <v>4.2900000000000004E-3</v>
      </c>
      <c r="K50" s="4" t="str">
        <f>IF(OpenLCAdetail!I50="CTUh", "Fill in Manually", INDEX(LookUps!$E$5:$E$12, MATCH(OpenLCAdetail!I50,LookUps!$D$5:$D$12,0)))</f>
        <v>Cumulative Energy Demand (CED) - MJ</v>
      </c>
      <c r="O50" s="6" t="s">
        <v>31</v>
      </c>
      <c r="P50" s="6" t="s">
        <v>171</v>
      </c>
    </row>
    <row r="51" spans="2:16" x14ac:dyDescent="0.25">
      <c r="B51" s="4" t="s">
        <v>45</v>
      </c>
      <c r="C51" s="4" t="str">
        <f t="shared" si="0"/>
        <v>Infrastructure</v>
      </c>
      <c r="F51" s="27">
        <v>4.0000000000000002E-4</v>
      </c>
      <c r="G51" s="4" t="s">
        <v>72</v>
      </c>
      <c r="H51" s="327">
        <v>3.8E-3</v>
      </c>
      <c r="I51" s="4" t="s">
        <v>15</v>
      </c>
      <c r="J51" s="28">
        <f t="shared" si="1"/>
        <v>3.8E-3</v>
      </c>
      <c r="K51" s="4" t="str">
        <f>IF(OpenLCAdetail!I51="CTUh", "Fill in Manually", INDEX(LookUps!$E$5:$E$12, MATCH(OpenLCAdetail!I51,LookUps!$D$5:$D$12,0)))</f>
        <v>Cumulative Energy Demand (CED) - MJ</v>
      </c>
      <c r="O51" s="6" t="s">
        <v>161</v>
      </c>
      <c r="P51" s="6" t="s">
        <v>60</v>
      </c>
    </row>
    <row r="52" spans="2:16" x14ac:dyDescent="0.25">
      <c r="B52" s="4" t="s">
        <v>45</v>
      </c>
      <c r="C52" s="4" t="str">
        <f t="shared" si="0"/>
        <v>Infrastructure</v>
      </c>
      <c r="F52" s="27">
        <v>0</v>
      </c>
      <c r="G52" s="4" t="s">
        <v>75</v>
      </c>
      <c r="H52" s="327">
        <v>4.2000000000000002E-4</v>
      </c>
      <c r="I52" s="4" t="s">
        <v>15</v>
      </c>
      <c r="J52" s="28">
        <f t="shared" si="1"/>
        <v>4.2000000000000002E-4</v>
      </c>
      <c r="K52" s="4" t="str">
        <f>IF(OpenLCAdetail!I52="CTUh", "Fill in Manually", INDEX(LookUps!$E$5:$E$12, MATCH(OpenLCAdetail!I52,LookUps!$D$5:$D$12,0)))</f>
        <v>Cumulative Energy Demand (CED) - MJ</v>
      </c>
      <c r="O52" s="6" t="s">
        <v>161</v>
      </c>
      <c r="P52" s="6" t="s">
        <v>57</v>
      </c>
    </row>
    <row r="53" spans="2:16" x14ac:dyDescent="0.25">
      <c r="B53" s="4" t="s">
        <v>45</v>
      </c>
      <c r="C53" s="4" t="str">
        <f t="shared" si="0"/>
        <v>Infrastructure</v>
      </c>
      <c r="F53" s="27">
        <v>0</v>
      </c>
      <c r="G53" s="4" t="s">
        <v>74</v>
      </c>
      <c r="H53" s="327">
        <v>4.0999999999999999E-4</v>
      </c>
      <c r="I53" s="4" t="s">
        <v>15</v>
      </c>
      <c r="J53" s="28">
        <f t="shared" si="1"/>
        <v>4.0999999999999999E-4</v>
      </c>
      <c r="K53" s="4" t="str">
        <f>IF(OpenLCAdetail!I53="CTUh", "Fill in Manually", INDEX(LookUps!$E$5:$E$12, MATCH(OpenLCAdetail!I53,LookUps!$D$5:$D$12,0)))</f>
        <v>Cumulative Energy Demand (CED) - MJ</v>
      </c>
      <c r="O53" s="6" t="s">
        <v>161</v>
      </c>
      <c r="P53" s="6" t="s">
        <v>148</v>
      </c>
    </row>
    <row r="54" spans="2:16" x14ac:dyDescent="0.25">
      <c r="B54" s="4" t="s">
        <v>45</v>
      </c>
      <c r="C54" s="4" t="str">
        <f t="shared" si="0"/>
        <v>Infrastructure</v>
      </c>
      <c r="F54" s="27">
        <v>0</v>
      </c>
      <c r="G54" s="4" t="s">
        <v>76</v>
      </c>
      <c r="H54" s="327">
        <v>5.3925800000000001E-6</v>
      </c>
      <c r="I54" s="4" t="s">
        <v>15</v>
      </c>
      <c r="J54" s="28">
        <f t="shared" si="1"/>
        <v>5.3925800000000001E-6</v>
      </c>
      <c r="K54" s="4" t="str">
        <f>IF(OpenLCAdetail!I54="CTUh", "Fill in Manually", INDEX(LookUps!$E$5:$E$12, MATCH(OpenLCAdetail!I54,LookUps!$D$5:$D$12,0)))</f>
        <v>Cumulative Energy Demand (CED) - MJ</v>
      </c>
      <c r="O54" s="6" t="s">
        <v>161</v>
      </c>
      <c r="P54" s="6" t="s">
        <v>59</v>
      </c>
    </row>
    <row r="55" spans="2:16" x14ac:dyDescent="0.25">
      <c r="B55" s="4" t="s">
        <v>45</v>
      </c>
      <c r="C55" s="4" t="str">
        <f t="shared" si="0"/>
        <v>Unit Process Emissions</v>
      </c>
      <c r="E55" s="27">
        <v>2.2000000000000001E-3</v>
      </c>
      <c r="G55" s="4" t="s">
        <v>127</v>
      </c>
      <c r="H55" s="327">
        <v>1.9869999999999999E-2</v>
      </c>
      <c r="I55" s="4" t="s">
        <v>15</v>
      </c>
      <c r="J55" s="28">
        <f>H55-SUM(H56:H61)</f>
        <v>-1.9724999999956583E-6</v>
      </c>
      <c r="K55" s="4" t="str">
        <f>IF(OpenLCAdetail!I55="CTUh", "Fill in Manually", INDEX(LookUps!$E$5:$E$12, MATCH(OpenLCAdetail!I55,LookUps!$D$5:$D$12,0)))</f>
        <v>Cumulative Energy Demand (CED) - MJ</v>
      </c>
      <c r="O55" s="6" t="s">
        <v>161</v>
      </c>
      <c r="P55" s="6" t="s">
        <v>168</v>
      </c>
    </row>
    <row r="56" spans="2:16" x14ac:dyDescent="0.25">
      <c r="B56" s="4" t="s">
        <v>45</v>
      </c>
      <c r="C56" s="4" t="str">
        <f t="shared" si="0"/>
        <v>Electricity</v>
      </c>
      <c r="F56" s="27">
        <v>1.8E-3</v>
      </c>
      <c r="G56" s="4" t="s">
        <v>71</v>
      </c>
      <c r="H56" s="327">
        <v>1.6250000000000001E-2</v>
      </c>
      <c r="I56" s="4" t="s">
        <v>15</v>
      </c>
      <c r="J56" s="28">
        <f t="shared" si="1"/>
        <v>1.6250000000000001E-2</v>
      </c>
      <c r="K56" s="4" t="str">
        <f>IF(OpenLCAdetail!I56="CTUh", "Fill in Manually", INDEX(LookUps!$E$5:$E$12, MATCH(OpenLCAdetail!I56,LookUps!$D$5:$D$12,0)))</f>
        <v>Cumulative Energy Demand (CED) - MJ</v>
      </c>
      <c r="O56" s="6" t="s">
        <v>161</v>
      </c>
      <c r="P56" s="6" t="s">
        <v>62</v>
      </c>
    </row>
    <row r="57" spans="2:16" x14ac:dyDescent="0.25">
      <c r="B57" s="4" t="s">
        <v>45</v>
      </c>
      <c r="C57" s="4" t="str">
        <f t="shared" si="0"/>
        <v>Infrastructure</v>
      </c>
      <c r="F57" s="27">
        <v>1E-4</v>
      </c>
      <c r="G57" s="4" t="s">
        <v>74</v>
      </c>
      <c r="H57" s="327">
        <v>1.1299999999999999E-3</v>
      </c>
      <c r="I57" s="4" t="s">
        <v>15</v>
      </c>
      <c r="J57" s="28">
        <f t="shared" si="1"/>
        <v>1.1299999999999999E-3</v>
      </c>
      <c r="K57" s="4" t="str">
        <f>IF(OpenLCAdetail!I57="CTUh", "Fill in Manually", INDEX(LookUps!$E$5:$E$12, MATCH(OpenLCAdetail!I57,LookUps!$D$5:$D$12,0)))</f>
        <v>Cumulative Energy Demand (CED) - MJ</v>
      </c>
      <c r="O57" s="6" t="s">
        <v>162</v>
      </c>
      <c r="P57" s="6" t="s">
        <v>176</v>
      </c>
    </row>
    <row r="58" spans="2:16" x14ac:dyDescent="0.25">
      <c r="B58" s="4" t="s">
        <v>45</v>
      </c>
      <c r="C58" s="4" t="str">
        <f t="shared" si="0"/>
        <v>Infrastructure</v>
      </c>
      <c r="F58" s="27">
        <v>1E-4</v>
      </c>
      <c r="G58" s="4" t="s">
        <v>75</v>
      </c>
      <c r="H58" s="327">
        <v>9.7000000000000005E-4</v>
      </c>
      <c r="I58" s="4" t="s">
        <v>15</v>
      </c>
      <c r="J58" s="28">
        <f t="shared" si="1"/>
        <v>9.7000000000000005E-4</v>
      </c>
      <c r="K58" s="4" t="str">
        <f>IF(OpenLCAdetail!I58="CTUh", "Fill in Manually", INDEX(LookUps!$E$5:$E$12, MATCH(OpenLCAdetail!I58,LookUps!$D$5:$D$12,0)))</f>
        <v>Cumulative Energy Demand (CED) - MJ</v>
      </c>
      <c r="O58" s="6" t="s">
        <v>162</v>
      </c>
      <c r="P58" s="6" t="s">
        <v>177</v>
      </c>
    </row>
    <row r="59" spans="2:16" x14ac:dyDescent="0.25">
      <c r="B59" s="4" t="s">
        <v>45</v>
      </c>
      <c r="C59" s="4" t="str">
        <f t="shared" si="0"/>
        <v>Infrastructure</v>
      </c>
      <c r="F59" s="27">
        <v>1E-4</v>
      </c>
      <c r="G59" s="4" t="s">
        <v>73</v>
      </c>
      <c r="H59" s="327">
        <v>8.0000000000000004E-4</v>
      </c>
      <c r="I59" s="4" t="s">
        <v>15</v>
      </c>
      <c r="J59" s="28">
        <f t="shared" si="1"/>
        <v>8.0000000000000004E-4</v>
      </c>
      <c r="K59" s="4" t="str">
        <f>IF(OpenLCAdetail!I59="CTUh", "Fill in Manually", INDEX(LookUps!$E$5:$E$12, MATCH(OpenLCAdetail!I59,LookUps!$D$5:$D$12,0)))</f>
        <v>Cumulative Energy Demand (CED) - MJ</v>
      </c>
      <c r="O59" s="6" t="s">
        <v>162</v>
      </c>
      <c r="P59" s="6" t="s">
        <v>178</v>
      </c>
    </row>
    <row r="60" spans="2:16" x14ac:dyDescent="0.25">
      <c r="B60" s="4" t="s">
        <v>45</v>
      </c>
      <c r="C60" s="4" t="str">
        <f t="shared" si="0"/>
        <v>Infrastructure</v>
      </c>
      <c r="F60" s="27">
        <v>1E-4</v>
      </c>
      <c r="G60" s="4" t="s">
        <v>72</v>
      </c>
      <c r="H60" s="327">
        <v>7.1000000000000002E-4</v>
      </c>
      <c r="I60" s="4" t="s">
        <v>15</v>
      </c>
      <c r="J60" s="28">
        <f t="shared" si="1"/>
        <v>7.1000000000000002E-4</v>
      </c>
      <c r="K60" s="4" t="str">
        <f>IF(OpenLCAdetail!I60="CTUh", "Fill in Manually", INDEX(LookUps!$E$5:$E$12, MATCH(OpenLCAdetail!I60,LookUps!$D$5:$D$12,0)))</f>
        <v>Cumulative Energy Demand (CED) - MJ</v>
      </c>
      <c r="O60" s="6" t="s">
        <v>161</v>
      </c>
      <c r="P60" s="6" t="s">
        <v>57</v>
      </c>
    </row>
    <row r="61" spans="2:16" x14ac:dyDescent="0.25">
      <c r="B61" s="4" t="s">
        <v>45</v>
      </c>
      <c r="C61" s="4" t="str">
        <f t="shared" si="0"/>
        <v>Infrastructure</v>
      </c>
      <c r="F61" s="27">
        <v>0</v>
      </c>
      <c r="G61" s="4" t="s">
        <v>76</v>
      </c>
      <c r="H61" s="327">
        <v>1.1972499999999999E-5</v>
      </c>
      <c r="I61" s="4" t="s">
        <v>15</v>
      </c>
      <c r="J61" s="28">
        <f t="shared" si="1"/>
        <v>1.1972499999999999E-5</v>
      </c>
      <c r="K61" s="4" t="str">
        <f>IF(OpenLCAdetail!I61="CTUh", "Fill in Manually", INDEX(LookUps!$E$5:$E$12, MATCH(OpenLCAdetail!I61,LookUps!$D$5:$D$12,0)))</f>
        <v>Cumulative Energy Demand (CED) - MJ</v>
      </c>
      <c r="O61" s="119"/>
      <c r="P61" s="119"/>
    </row>
    <row r="62" spans="2:16" x14ac:dyDescent="0.25">
      <c r="B62" s="4" t="s">
        <v>45</v>
      </c>
      <c r="C62" s="4" t="s">
        <v>33</v>
      </c>
      <c r="E62" s="27">
        <v>4.0000000000000002E-4</v>
      </c>
      <c r="G62" s="4" t="s">
        <v>48</v>
      </c>
      <c r="H62" s="327">
        <v>3.47E-3</v>
      </c>
      <c r="I62" s="4" t="s">
        <v>15</v>
      </c>
      <c r="J62" s="28">
        <f>H62-SUM(H63:H66)</f>
        <v>-1.0000000000000026E-5</v>
      </c>
      <c r="K62" s="4" t="str">
        <f>IF(OpenLCAdetail!I62="CTUh", "Fill in Manually", INDEX(LookUps!$E$5:$E$12, MATCH(OpenLCAdetail!I62,LookUps!$D$5:$D$12,0)))</f>
        <v>Cumulative Energy Demand (CED) - MJ</v>
      </c>
      <c r="O62" s="119"/>
      <c r="P62" s="119"/>
    </row>
    <row r="63" spans="2:16" x14ac:dyDescent="0.25">
      <c r="B63" s="4" t="s">
        <v>45</v>
      </c>
      <c r="C63" s="4" t="str">
        <f t="shared" si="0"/>
        <v>Infrastructure</v>
      </c>
      <c r="F63" s="27">
        <v>2.0000000000000001E-4</v>
      </c>
      <c r="G63" s="4" t="s">
        <v>73</v>
      </c>
      <c r="H63" s="327">
        <v>1.49E-3</v>
      </c>
      <c r="I63" s="4" t="s">
        <v>15</v>
      </c>
      <c r="J63" s="28">
        <f t="shared" si="1"/>
        <v>1.49E-3</v>
      </c>
      <c r="K63" s="4" t="str">
        <f>IF(OpenLCAdetail!I63="CTUh", "Fill in Manually", INDEX(LookUps!$E$5:$E$12, MATCH(OpenLCAdetail!I63,LookUps!$D$5:$D$12,0)))</f>
        <v>Cumulative Energy Demand (CED) - MJ</v>
      </c>
      <c r="O63" s="119"/>
      <c r="P63" s="119"/>
    </row>
    <row r="64" spans="2:16" x14ac:dyDescent="0.25">
      <c r="B64" s="4" t="s">
        <v>45</v>
      </c>
      <c r="C64" s="4" t="str">
        <f t="shared" si="0"/>
        <v>Infrastructure</v>
      </c>
      <c r="F64" s="27">
        <v>1E-4</v>
      </c>
      <c r="G64" s="4" t="s">
        <v>72</v>
      </c>
      <c r="H64" s="327">
        <v>1.32E-3</v>
      </c>
      <c r="I64" s="4" t="s">
        <v>15</v>
      </c>
      <c r="J64" s="28">
        <f t="shared" si="1"/>
        <v>1.32E-3</v>
      </c>
      <c r="K64" s="4" t="str">
        <f>IF(OpenLCAdetail!I64="CTUh", "Fill in Manually", INDEX(LookUps!$E$5:$E$12, MATCH(OpenLCAdetail!I64,LookUps!$D$5:$D$12,0)))</f>
        <v>Cumulative Energy Demand (CED) - MJ</v>
      </c>
      <c r="O64" s="119"/>
      <c r="P64" s="119"/>
    </row>
    <row r="65" spans="2:16" x14ac:dyDescent="0.25">
      <c r="B65" s="4" t="s">
        <v>45</v>
      </c>
      <c r="C65" s="4" t="str">
        <f t="shared" si="0"/>
        <v>Electricity</v>
      </c>
      <c r="E65" s="27"/>
      <c r="F65" s="27">
        <v>1E-4</v>
      </c>
      <c r="G65" s="4" t="s">
        <v>71</v>
      </c>
      <c r="H65" s="327">
        <v>6.7000000000000002E-4</v>
      </c>
      <c r="I65" s="4" t="s">
        <v>15</v>
      </c>
      <c r="J65" s="28">
        <f t="shared" si="1"/>
        <v>6.7000000000000002E-4</v>
      </c>
      <c r="K65" s="4" t="str">
        <f>IF(OpenLCAdetail!I65="CTUh", "Fill in Manually", INDEX(LookUps!$E$5:$E$12, MATCH(OpenLCAdetail!I65,LookUps!$D$5:$D$12,0)))</f>
        <v>Cumulative Energy Demand (CED) - MJ</v>
      </c>
      <c r="O65" s="119"/>
      <c r="P65" s="119"/>
    </row>
    <row r="66" spans="2:16" x14ac:dyDescent="0.25">
      <c r="B66" s="4" t="s">
        <v>45</v>
      </c>
      <c r="C66" s="4" t="str">
        <f t="shared" si="0"/>
        <v>avoided products</v>
      </c>
      <c r="E66" s="27"/>
      <c r="F66" s="27">
        <v>0</v>
      </c>
      <c r="G66" s="4" t="s">
        <v>159</v>
      </c>
      <c r="H66" s="327">
        <v>0</v>
      </c>
      <c r="I66" s="4" t="s">
        <v>15</v>
      </c>
      <c r="J66" s="28">
        <f t="shared" si="1"/>
        <v>0</v>
      </c>
      <c r="K66" s="4" t="str">
        <f>IF(OpenLCAdetail!I66="CTUh", "Fill in Manually", INDEX(LookUps!$E$5:$E$12, MATCH(OpenLCAdetail!I66,LookUps!$D$5:$D$12,0)))</f>
        <v>Cumulative Energy Demand (CED) - MJ</v>
      </c>
      <c r="N66" s="96"/>
      <c r="O66" s="119"/>
      <c r="P66" s="119"/>
    </row>
    <row r="67" spans="2:16" x14ac:dyDescent="0.25">
      <c r="D67" s="29" t="s">
        <v>51</v>
      </c>
      <c r="E67" s="27"/>
      <c r="F67" s="27"/>
      <c r="G67" s="4" t="s">
        <v>47</v>
      </c>
      <c r="H67" s="327" t="s">
        <v>52</v>
      </c>
      <c r="I67" s="4" t="s">
        <v>27</v>
      </c>
      <c r="J67" s="28"/>
      <c r="N67" s="96"/>
      <c r="O67" s="119"/>
      <c r="P67" s="119"/>
    </row>
    <row r="68" spans="2:16" x14ac:dyDescent="0.25">
      <c r="B68" s="4" t="s">
        <v>45</v>
      </c>
      <c r="C68" s="4" t="s">
        <v>161</v>
      </c>
      <c r="E68" s="88">
        <v>0.2878</v>
      </c>
      <c r="F68" s="89"/>
      <c r="G68" s="89" t="s">
        <v>125</v>
      </c>
      <c r="H68" s="328">
        <v>0.22309000000000001</v>
      </c>
      <c r="I68" s="89" t="s">
        <v>23</v>
      </c>
      <c r="J68" s="28">
        <f>H68-SUM(H69:H76)</f>
        <v>9.4091376237999985E-2</v>
      </c>
      <c r="K68" s="89" t="str">
        <f>IF(OpenLCAdetail!I68="CTUh", "Fill in Manually", INDEX(LookUps!$E$5:$E$12, MATCH(OpenLCAdetail!I68,LookUps!$D$5:$D$12,0)))</f>
        <v>Global Warming Potential (GWP) - kg CO2 eq</v>
      </c>
      <c r="N68" s="96"/>
      <c r="O68" s="119"/>
      <c r="P68" s="119"/>
    </row>
    <row r="69" spans="2:16" x14ac:dyDescent="0.25">
      <c r="B69" s="4" t="s">
        <v>45</v>
      </c>
      <c r="C69" s="4" t="str">
        <f t="shared" si="0"/>
        <v>Electricity</v>
      </c>
      <c r="F69" s="27">
        <v>0.1636</v>
      </c>
      <c r="G69" s="4" t="s">
        <v>71</v>
      </c>
      <c r="H69" s="327">
        <v>0.12683</v>
      </c>
      <c r="I69" s="4" t="s">
        <v>23</v>
      </c>
      <c r="J69" s="28">
        <f t="shared" si="1"/>
        <v>0.12683</v>
      </c>
      <c r="K69" s="4" t="str">
        <f>IF(OpenLCAdetail!I69="CTUh", "Fill in Manually", INDEX(LookUps!$E$5:$E$12, MATCH(OpenLCAdetail!I69,LookUps!$D$5:$D$12,0)))</f>
        <v>Global Warming Potential (GWP) - kg CO2 eq</v>
      </c>
      <c r="N69" s="96"/>
      <c r="O69" s="119"/>
      <c r="P69" s="119"/>
    </row>
    <row r="70" spans="2:16" x14ac:dyDescent="0.25">
      <c r="B70" s="4" t="s">
        <v>45</v>
      </c>
      <c r="C70" s="4" t="str">
        <f t="shared" ref="C70:C129" si="2">INDEX($O$10:$O$60,MATCH(G70, $P$10:$P$60,0))</f>
        <v>Infrastructure</v>
      </c>
      <c r="F70" s="27">
        <v>8.9999999999999998E-4</v>
      </c>
      <c r="G70" s="4" t="s">
        <v>73</v>
      </c>
      <c r="H70" s="327">
        <v>6.7000000000000002E-4</v>
      </c>
      <c r="I70" s="4" t="s">
        <v>23</v>
      </c>
      <c r="J70" s="28">
        <f t="shared" si="1"/>
        <v>6.7000000000000002E-4</v>
      </c>
      <c r="K70" s="4" t="str">
        <f>IF(OpenLCAdetail!I70="CTUh", "Fill in Manually", INDEX(LookUps!$E$5:$E$12, MATCH(OpenLCAdetail!I70,LookUps!$D$5:$D$12,0)))</f>
        <v>Global Warming Potential (GWP) - kg CO2 eq</v>
      </c>
      <c r="O70" s="119"/>
      <c r="P70" s="119"/>
    </row>
    <row r="71" spans="2:16" x14ac:dyDescent="0.25">
      <c r="B71" s="4" t="s">
        <v>45</v>
      </c>
      <c r="C71" s="4" t="str">
        <f t="shared" si="2"/>
        <v>Infrastructure</v>
      </c>
      <c r="F71" s="27">
        <v>8.0000000000000004E-4</v>
      </c>
      <c r="G71" s="4" t="s">
        <v>72</v>
      </c>
      <c r="H71" s="327">
        <v>6.4000000000000005E-4</v>
      </c>
      <c r="I71" s="4" t="s">
        <v>23</v>
      </c>
      <c r="J71" s="28">
        <f t="shared" ref="J71:J134" si="3">IF(F71="", "FILL MANUALLY", H71)</f>
        <v>6.4000000000000005E-4</v>
      </c>
      <c r="K71" s="4" t="str">
        <f>IF(OpenLCAdetail!I71="CTUh", "Fill in Manually", INDEX(LookUps!$E$5:$E$12, MATCH(OpenLCAdetail!I71,LookUps!$D$5:$D$12,0)))</f>
        <v>Global Warming Potential (GWP) - kg CO2 eq</v>
      </c>
      <c r="O71" s="119"/>
      <c r="P71" s="119"/>
    </row>
    <row r="72" spans="2:16" x14ac:dyDescent="0.25">
      <c r="B72" s="4" t="s">
        <v>45</v>
      </c>
      <c r="C72" s="4" t="str">
        <f t="shared" si="2"/>
        <v>Infrastructure</v>
      </c>
      <c r="E72" s="27"/>
      <c r="F72" s="27">
        <v>8.0000000000000004E-4</v>
      </c>
      <c r="G72" s="4" t="s">
        <v>74</v>
      </c>
      <c r="H72" s="327">
        <v>6.2E-4</v>
      </c>
      <c r="I72" s="4" t="s">
        <v>23</v>
      </c>
      <c r="J72" s="28">
        <f t="shared" si="3"/>
        <v>6.2E-4</v>
      </c>
      <c r="K72" s="4" t="str">
        <f>IF(OpenLCAdetail!I72="CTUh", "Fill in Manually", INDEX(LookUps!$E$5:$E$12, MATCH(OpenLCAdetail!I72,LookUps!$D$5:$D$12,0)))</f>
        <v>Global Warming Potential (GWP) - kg CO2 eq</v>
      </c>
      <c r="O72" s="119"/>
      <c r="P72" s="119"/>
    </row>
    <row r="73" spans="2:16" x14ac:dyDescent="0.25">
      <c r="B73" s="4" t="s">
        <v>45</v>
      </c>
      <c r="C73" s="4" t="str">
        <f t="shared" si="2"/>
        <v>Infrastructure</v>
      </c>
      <c r="F73" s="27">
        <v>2.9999999999999997E-4</v>
      </c>
      <c r="G73" s="4" t="s">
        <v>75</v>
      </c>
      <c r="H73" s="327">
        <v>2.3000000000000001E-4</v>
      </c>
      <c r="I73" s="4" t="s">
        <v>23</v>
      </c>
      <c r="J73" s="28">
        <f t="shared" si="3"/>
        <v>2.3000000000000001E-4</v>
      </c>
      <c r="K73" s="4" t="str">
        <f>IF(OpenLCAdetail!I73="CTUh", "Fill in Manually", INDEX(LookUps!$E$5:$E$12, MATCH(OpenLCAdetail!I73,LookUps!$D$5:$D$12,0)))</f>
        <v>Global Warming Potential (GWP) - kg CO2 eq</v>
      </c>
      <c r="O73" s="119"/>
      <c r="P73" s="119"/>
    </row>
    <row r="74" spans="2:16" x14ac:dyDescent="0.25">
      <c r="B74" s="4" t="s">
        <v>45</v>
      </c>
      <c r="C74" s="4" t="str">
        <f t="shared" si="2"/>
        <v>Infrastructure</v>
      </c>
      <c r="F74" s="27">
        <v>0</v>
      </c>
      <c r="G74" s="4" t="s">
        <v>76</v>
      </c>
      <c r="H74" s="327">
        <v>4.1116700000000004E-6</v>
      </c>
      <c r="I74" s="4" t="s">
        <v>23</v>
      </c>
      <c r="J74" s="28">
        <f t="shared" si="3"/>
        <v>4.1116700000000004E-6</v>
      </c>
      <c r="K74" s="4" t="str">
        <f>IF(OpenLCAdetail!I74="CTUh", "Fill in Manually", INDEX(LookUps!$E$5:$E$12, MATCH(OpenLCAdetail!I74,LookUps!$D$5:$D$12,0)))</f>
        <v>Global Warming Potential (GWP) - kg CO2 eq</v>
      </c>
      <c r="O74" s="119"/>
      <c r="P74" s="119"/>
    </row>
    <row r="75" spans="2:16" x14ac:dyDescent="0.25">
      <c r="B75" s="4" t="s">
        <v>45</v>
      </c>
      <c r="C75" s="4" t="str">
        <f t="shared" si="2"/>
        <v>Infrastructure</v>
      </c>
      <c r="F75" s="27">
        <v>0</v>
      </c>
      <c r="G75" s="4" t="s">
        <v>152</v>
      </c>
      <c r="H75" s="327">
        <v>3.79159E-6</v>
      </c>
      <c r="I75" s="4" t="s">
        <v>23</v>
      </c>
      <c r="J75" s="28">
        <f t="shared" si="3"/>
        <v>3.79159E-6</v>
      </c>
      <c r="K75" s="4" t="str">
        <f>IF(OpenLCAdetail!I75="CTUh", "Fill in Manually", INDEX(LookUps!$E$5:$E$12, MATCH(OpenLCAdetail!I75,LookUps!$D$5:$D$12,0)))</f>
        <v>Global Warming Potential (GWP) - kg CO2 eq</v>
      </c>
      <c r="O75" s="119"/>
      <c r="P75" s="119"/>
    </row>
    <row r="76" spans="2:16" x14ac:dyDescent="0.25">
      <c r="B76" s="4" t="s">
        <v>45</v>
      </c>
      <c r="C76" s="4" t="str">
        <f t="shared" si="2"/>
        <v>Infrastructure</v>
      </c>
      <c r="F76" s="27">
        <v>0</v>
      </c>
      <c r="G76" s="4" t="s">
        <v>153</v>
      </c>
      <c r="H76" s="327">
        <v>7.2050199999999998E-7</v>
      </c>
      <c r="I76" s="4" t="s">
        <v>23</v>
      </c>
      <c r="J76" s="28">
        <f t="shared" si="3"/>
        <v>7.2050199999999998E-7</v>
      </c>
      <c r="K76" s="4" t="str">
        <f>IF(OpenLCAdetail!I76="CTUh", "Fill in Manually", INDEX(LookUps!$E$5:$E$12, MATCH(OpenLCAdetail!I76,LookUps!$D$5:$D$12,0)))</f>
        <v>Global Warming Potential (GWP) - kg CO2 eq</v>
      </c>
      <c r="O76" s="119"/>
      <c r="P76" s="119"/>
    </row>
    <row r="77" spans="2:16" x14ac:dyDescent="0.25">
      <c r="B77" s="4" t="s">
        <v>45</v>
      </c>
      <c r="C77" s="4" t="str">
        <f t="shared" si="2"/>
        <v>Unit Process Emissions</v>
      </c>
      <c r="E77" s="27">
        <v>0.20619999999999999</v>
      </c>
      <c r="F77" s="27"/>
      <c r="G77" s="4" t="s">
        <v>124</v>
      </c>
      <c r="H77" s="327">
        <v>0.15987000000000001</v>
      </c>
      <c r="I77" s="4" t="s">
        <v>23</v>
      </c>
      <c r="J77" s="28">
        <f>H77-SUM(H78:H85)</f>
        <v>3.0534631280000002E-2</v>
      </c>
      <c r="K77" s="4" t="str">
        <f>IF(OpenLCAdetail!I77="CTUh", "Fill in Manually", INDEX(LookUps!$E$5:$E$12, MATCH(OpenLCAdetail!I77,LookUps!$D$5:$D$12,0)))</f>
        <v>Global Warming Potential (GWP) - kg CO2 eq</v>
      </c>
      <c r="M77" s="98"/>
      <c r="O77" s="119"/>
      <c r="P77" s="119"/>
    </row>
    <row r="78" spans="2:16" x14ac:dyDescent="0.25">
      <c r="B78" s="4" t="s">
        <v>45</v>
      </c>
      <c r="C78" s="4" t="str">
        <f t="shared" si="2"/>
        <v>Electricity</v>
      </c>
      <c r="F78" s="27">
        <v>0.15959999999999999</v>
      </c>
      <c r="G78" s="4" t="s">
        <v>71</v>
      </c>
      <c r="H78" s="327">
        <v>0.12375</v>
      </c>
      <c r="I78" s="4" t="s">
        <v>23</v>
      </c>
      <c r="J78" s="28">
        <f t="shared" si="3"/>
        <v>0.12375</v>
      </c>
      <c r="K78" s="4" t="str">
        <f>IF(OpenLCAdetail!I78="CTUh", "Fill in Manually", INDEX(LookUps!$E$5:$E$12, MATCH(OpenLCAdetail!I78,LookUps!$D$5:$D$12,0)))</f>
        <v>Global Warming Potential (GWP) - kg CO2 eq</v>
      </c>
      <c r="O78" s="119"/>
      <c r="P78" s="119"/>
    </row>
    <row r="79" spans="2:16" x14ac:dyDescent="0.25">
      <c r="B79" s="4" t="s">
        <v>45</v>
      </c>
      <c r="C79" s="4" t="str">
        <f t="shared" si="2"/>
        <v>Infrastructure</v>
      </c>
      <c r="F79" s="27">
        <v>3.0000000000000001E-3</v>
      </c>
      <c r="G79" s="4" t="s">
        <v>73</v>
      </c>
      <c r="H79" s="327">
        <v>2.3E-3</v>
      </c>
      <c r="I79" s="4" t="s">
        <v>23</v>
      </c>
      <c r="J79" s="28">
        <f t="shared" si="3"/>
        <v>2.3E-3</v>
      </c>
      <c r="K79" s="4" t="str">
        <f>IF(OpenLCAdetail!I79="CTUh", "Fill in Manually", INDEX(LookUps!$E$5:$E$12, MATCH(OpenLCAdetail!I79,LookUps!$D$5:$D$12,0)))</f>
        <v>Global Warming Potential (GWP) - kg CO2 eq</v>
      </c>
      <c r="O79" s="119"/>
      <c r="P79" s="119"/>
    </row>
    <row r="80" spans="2:16" x14ac:dyDescent="0.25">
      <c r="B80" s="4" t="s">
        <v>45</v>
      </c>
      <c r="C80" s="4" t="str">
        <f t="shared" si="2"/>
        <v>Infrastructure</v>
      </c>
      <c r="F80" s="27">
        <v>2.8E-3</v>
      </c>
      <c r="G80" s="4" t="s">
        <v>72</v>
      </c>
      <c r="H80" s="327">
        <v>2.2000000000000001E-3</v>
      </c>
      <c r="I80" s="4" t="s">
        <v>23</v>
      </c>
      <c r="J80" s="28">
        <f t="shared" si="3"/>
        <v>2.2000000000000001E-3</v>
      </c>
      <c r="K80" s="4" t="str">
        <f>IF(OpenLCAdetail!I80="CTUh", "Fill in Manually", INDEX(LookUps!$E$5:$E$12, MATCH(OpenLCAdetail!I80,LookUps!$D$5:$D$12,0)))</f>
        <v>Global Warming Potential (GWP) - kg CO2 eq</v>
      </c>
      <c r="O80" s="119"/>
      <c r="P80" s="119"/>
    </row>
    <row r="81" spans="2:16" x14ac:dyDescent="0.25">
      <c r="B81" s="4" t="s">
        <v>45</v>
      </c>
      <c r="C81" s="4" t="str">
        <f t="shared" si="2"/>
        <v>Infrastructure</v>
      </c>
      <c r="E81" s="27"/>
      <c r="F81" s="27">
        <v>1E-3</v>
      </c>
      <c r="G81" s="4" t="s">
        <v>74</v>
      </c>
      <c r="H81" s="327">
        <v>7.6000000000000004E-4</v>
      </c>
      <c r="I81" s="4" t="s">
        <v>23</v>
      </c>
      <c r="J81" s="28">
        <f t="shared" si="3"/>
        <v>7.6000000000000004E-4</v>
      </c>
      <c r="K81" s="4" t="str">
        <f>IF(OpenLCAdetail!I81="CTUh", "Fill in Manually", INDEX(LookUps!$E$5:$E$12, MATCH(OpenLCAdetail!I81,LookUps!$D$5:$D$12,0)))</f>
        <v>Global Warming Potential (GWP) - kg CO2 eq</v>
      </c>
      <c r="O81" s="119"/>
      <c r="P81" s="119"/>
    </row>
    <row r="82" spans="2:16" x14ac:dyDescent="0.25">
      <c r="B82" s="4" t="s">
        <v>45</v>
      </c>
      <c r="C82" s="4" t="str">
        <f t="shared" si="2"/>
        <v>Infrastructure</v>
      </c>
      <c r="F82" s="27">
        <v>2.9999999999999997E-4</v>
      </c>
      <c r="G82" s="4" t="s">
        <v>75</v>
      </c>
      <c r="H82" s="327">
        <v>2.5999999999999998E-4</v>
      </c>
      <c r="I82" s="4" t="s">
        <v>23</v>
      </c>
      <c r="J82" s="28">
        <f t="shared" si="3"/>
        <v>2.5999999999999998E-4</v>
      </c>
      <c r="K82" s="4" t="str">
        <f>IF(OpenLCAdetail!I82="CTUh", "Fill in Manually", INDEX(LookUps!$E$5:$E$12, MATCH(OpenLCAdetail!I82,LookUps!$D$5:$D$12,0)))</f>
        <v>Global Warming Potential (GWP) - kg CO2 eq</v>
      </c>
      <c r="O82" s="119"/>
      <c r="P82" s="119"/>
    </row>
    <row r="83" spans="2:16" x14ac:dyDescent="0.25">
      <c r="B83" s="4" t="s">
        <v>45</v>
      </c>
      <c r="C83" s="4" t="str">
        <f t="shared" si="2"/>
        <v>Infrastructure</v>
      </c>
      <c r="F83" s="27">
        <v>1E-4</v>
      </c>
      <c r="G83" s="4" t="s">
        <v>152</v>
      </c>
      <c r="H83" s="327">
        <v>4.9932899999999998E-5</v>
      </c>
      <c r="I83" s="4" t="s">
        <v>23</v>
      </c>
      <c r="J83" s="28">
        <f t="shared" si="3"/>
        <v>4.9932899999999998E-5</v>
      </c>
      <c r="K83" s="4" t="str">
        <f>IF(OpenLCAdetail!I83="CTUh", "Fill in Manually", INDEX(LookUps!$E$5:$E$12, MATCH(OpenLCAdetail!I83,LookUps!$D$5:$D$12,0)))</f>
        <v>Global Warming Potential (GWP) - kg CO2 eq</v>
      </c>
      <c r="O83" s="119"/>
      <c r="P83" s="119"/>
    </row>
    <row r="84" spans="2:16" x14ac:dyDescent="0.25">
      <c r="B84" s="4" t="s">
        <v>45</v>
      </c>
      <c r="C84" s="4" t="str">
        <f t="shared" si="2"/>
        <v>Infrastructure</v>
      </c>
      <c r="F84" s="27">
        <v>0</v>
      </c>
      <c r="G84" s="4" t="s">
        <v>153</v>
      </c>
      <c r="H84" s="327">
        <v>9.4885599999999998E-6</v>
      </c>
      <c r="I84" s="4" t="s">
        <v>23</v>
      </c>
      <c r="J84" s="28">
        <f t="shared" si="3"/>
        <v>9.4885599999999998E-6</v>
      </c>
      <c r="K84" s="4" t="str">
        <f>IF(OpenLCAdetail!I84="CTUh", "Fill in Manually", INDEX(LookUps!$E$5:$E$12, MATCH(OpenLCAdetail!I84,LookUps!$D$5:$D$12,0)))</f>
        <v>Global Warming Potential (GWP) - kg CO2 eq</v>
      </c>
      <c r="O84" s="119"/>
      <c r="P84" s="119"/>
    </row>
    <row r="85" spans="2:16" x14ac:dyDescent="0.25">
      <c r="B85" s="4" t="s">
        <v>45</v>
      </c>
      <c r="C85" s="4" t="str">
        <f t="shared" si="2"/>
        <v>Infrastructure</v>
      </c>
      <c r="F85" s="27">
        <v>0</v>
      </c>
      <c r="G85" s="4" t="s">
        <v>76</v>
      </c>
      <c r="H85" s="327">
        <v>5.9472600000000004E-6</v>
      </c>
      <c r="I85" s="4" t="s">
        <v>23</v>
      </c>
      <c r="J85" s="28">
        <f t="shared" si="3"/>
        <v>5.9472600000000004E-6</v>
      </c>
      <c r="K85" s="4" t="str">
        <f>IF(OpenLCAdetail!I85="CTUh", "Fill in Manually", INDEX(LookUps!$E$5:$E$12, MATCH(OpenLCAdetail!I85,LookUps!$D$5:$D$12,0)))</f>
        <v>Global Warming Potential (GWP) - kg CO2 eq</v>
      </c>
      <c r="O85" s="119"/>
      <c r="P85" s="119"/>
    </row>
    <row r="86" spans="2:16" x14ac:dyDescent="0.25">
      <c r="B86" s="4" t="s">
        <v>45</v>
      </c>
      <c r="C86" s="4" t="s">
        <v>184</v>
      </c>
      <c r="E86" s="27">
        <v>0.15959999999999999</v>
      </c>
      <c r="F86" s="27"/>
      <c r="G86" s="4" t="s">
        <v>151</v>
      </c>
      <c r="H86" s="327">
        <v>0.12368</v>
      </c>
      <c r="I86" s="4" t="s">
        <v>23</v>
      </c>
      <c r="J86" s="28">
        <f>H86-SUM(H87:H89)</f>
        <v>0.13897000000000001</v>
      </c>
      <c r="K86" s="4" t="str">
        <f>IF(OpenLCAdetail!I86="CTUh", "Fill in Manually", INDEX(LookUps!$E$5:$E$12, MATCH(OpenLCAdetail!I86,LookUps!$D$5:$D$12,0)))</f>
        <v>Global Warming Potential (GWP) - kg CO2 eq</v>
      </c>
      <c r="M86" s="98"/>
      <c r="O86" s="119"/>
      <c r="P86" s="119"/>
    </row>
    <row r="87" spans="2:16" x14ac:dyDescent="0.25">
      <c r="B87" s="4" t="s">
        <v>45</v>
      </c>
      <c r="C87" s="4" t="str">
        <f t="shared" si="2"/>
        <v>Transport</v>
      </c>
      <c r="F87" s="27">
        <v>1.26E-2</v>
      </c>
      <c r="G87" s="4" t="s">
        <v>156</v>
      </c>
      <c r="H87" s="327">
        <v>9.75E-3</v>
      </c>
      <c r="I87" s="4" t="s">
        <v>23</v>
      </c>
      <c r="J87" s="28">
        <f t="shared" si="3"/>
        <v>9.75E-3</v>
      </c>
      <c r="K87" s="4" t="str">
        <f>IF(OpenLCAdetail!I87="CTUh", "Fill in Manually", INDEX(LookUps!$E$5:$E$12, MATCH(OpenLCAdetail!I87,LookUps!$D$5:$D$12,0)))</f>
        <v>Global Warming Potential (GWP) - kg CO2 eq</v>
      </c>
      <c r="O87" s="119"/>
      <c r="P87" s="119"/>
    </row>
    <row r="88" spans="2:16" x14ac:dyDescent="0.25">
      <c r="B88" s="4" t="s">
        <v>45</v>
      </c>
      <c r="C88" s="4" t="str">
        <f t="shared" si="2"/>
        <v>Diesel</v>
      </c>
      <c r="F88" s="27">
        <v>8.9999999999999993E-3</v>
      </c>
      <c r="G88" s="4" t="s">
        <v>155</v>
      </c>
      <c r="H88" s="327">
        <v>6.94E-3</v>
      </c>
      <c r="I88" s="4" t="s">
        <v>23</v>
      </c>
      <c r="J88" s="28">
        <f t="shared" si="3"/>
        <v>6.94E-3</v>
      </c>
      <c r="K88" s="4" t="str">
        <f>IF(OpenLCAdetail!I88="CTUh", "Fill in Manually", INDEX(LookUps!$E$5:$E$12, MATCH(OpenLCAdetail!I88,LookUps!$D$5:$D$12,0)))</f>
        <v>Global Warming Potential (GWP) - kg CO2 eq</v>
      </c>
      <c r="O88" s="119"/>
      <c r="P88" s="119"/>
    </row>
    <row r="89" spans="2:16" x14ac:dyDescent="0.25">
      <c r="B89" s="4" t="s">
        <v>45</v>
      </c>
      <c r="C89" s="4" t="s">
        <v>81</v>
      </c>
      <c r="F89" s="27">
        <v>-4.1300000000000003E-2</v>
      </c>
      <c r="G89" s="4" t="s">
        <v>71</v>
      </c>
      <c r="H89" s="327">
        <v>-3.1980000000000001E-2</v>
      </c>
      <c r="I89" s="4" t="s">
        <v>23</v>
      </c>
      <c r="J89" s="28">
        <f t="shared" si="3"/>
        <v>-3.1980000000000001E-2</v>
      </c>
      <c r="K89" s="4" t="str">
        <f>IF(OpenLCAdetail!I89="CTUh", "Fill in Manually", INDEX(LookUps!$E$5:$E$12, MATCH(OpenLCAdetail!I89,LookUps!$D$5:$D$12,0)))</f>
        <v>Global Warming Potential (GWP) - kg CO2 eq</v>
      </c>
      <c r="O89" s="119"/>
      <c r="P89" s="119"/>
    </row>
    <row r="90" spans="2:16" x14ac:dyDescent="0.25">
      <c r="B90" s="4" t="s">
        <v>45</v>
      </c>
      <c r="C90" s="4" t="str">
        <f t="shared" si="2"/>
        <v>Unit Process Emissions</v>
      </c>
      <c r="E90" s="27">
        <v>0.14530000000000001</v>
      </c>
      <c r="F90" s="27"/>
      <c r="G90" s="4" t="s">
        <v>126</v>
      </c>
      <c r="H90" s="327">
        <v>0.11262999999999999</v>
      </c>
      <c r="I90" s="4" t="s">
        <v>23</v>
      </c>
      <c r="J90" s="28">
        <f>H90-SUM(H91:H97)</f>
        <v>3.6991099999911237E-6</v>
      </c>
      <c r="K90" s="4" t="str">
        <f>IF(OpenLCAdetail!I90="CTUh", "Fill in Manually", INDEX(LookUps!$E$5:$E$12, MATCH(OpenLCAdetail!I90,LookUps!$D$5:$D$12,0)))</f>
        <v>Global Warming Potential (GWP) - kg CO2 eq</v>
      </c>
      <c r="O90" s="119"/>
      <c r="P90" s="119"/>
    </row>
    <row r="91" spans="2:16" x14ac:dyDescent="0.25">
      <c r="B91" s="4" t="s">
        <v>45</v>
      </c>
      <c r="C91" s="4" t="str">
        <f t="shared" si="2"/>
        <v>chemicals</v>
      </c>
      <c r="F91" s="27">
        <v>0.1038</v>
      </c>
      <c r="G91" s="4" t="s">
        <v>154</v>
      </c>
      <c r="H91" s="327">
        <v>8.0430000000000001E-2</v>
      </c>
      <c r="I91" s="4" t="s">
        <v>23</v>
      </c>
      <c r="J91" s="28">
        <f t="shared" si="3"/>
        <v>8.0430000000000001E-2</v>
      </c>
      <c r="K91" s="4" t="str">
        <f>IF(OpenLCAdetail!I91="CTUh", "Fill in Manually", INDEX(LookUps!$E$5:$E$12, MATCH(OpenLCAdetail!I91,LookUps!$D$5:$D$12,0)))</f>
        <v>Global Warming Potential (GWP) - kg CO2 eq</v>
      </c>
      <c r="O91" s="119"/>
      <c r="P91" s="119"/>
    </row>
    <row r="92" spans="2:16" x14ac:dyDescent="0.25">
      <c r="B92" s="4" t="s">
        <v>45</v>
      </c>
      <c r="C92" s="4" t="str">
        <f t="shared" si="2"/>
        <v>Electricity</v>
      </c>
      <c r="F92" s="27">
        <v>3.9899999999999998E-2</v>
      </c>
      <c r="G92" s="4" t="s">
        <v>71</v>
      </c>
      <c r="H92" s="327">
        <v>3.0960000000000001E-2</v>
      </c>
      <c r="I92" s="4" t="s">
        <v>23</v>
      </c>
      <c r="J92" s="28">
        <f t="shared" si="3"/>
        <v>3.0960000000000001E-2</v>
      </c>
      <c r="K92" s="4" t="str">
        <f>IF(OpenLCAdetail!I92="CTUh", "Fill in Manually", INDEX(LookUps!$E$5:$E$12, MATCH(OpenLCAdetail!I92,LookUps!$D$5:$D$12,0)))</f>
        <v>Global Warming Potential (GWP) - kg CO2 eq</v>
      </c>
      <c r="O92" s="119"/>
      <c r="P92" s="119"/>
    </row>
    <row r="93" spans="2:16" x14ac:dyDescent="0.25">
      <c r="B93" s="4" t="s">
        <v>45</v>
      </c>
      <c r="C93" s="4" t="str">
        <f t="shared" si="2"/>
        <v>Infrastructure</v>
      </c>
      <c r="F93" s="27">
        <v>6.9999999999999999E-4</v>
      </c>
      <c r="G93" s="4" t="s">
        <v>73</v>
      </c>
      <c r="H93" s="327">
        <v>5.2999999999999998E-4</v>
      </c>
      <c r="I93" s="4" t="s">
        <v>23</v>
      </c>
      <c r="J93" s="28">
        <f t="shared" si="3"/>
        <v>5.2999999999999998E-4</v>
      </c>
      <c r="K93" s="4" t="str">
        <f>IF(OpenLCAdetail!I93="CTUh", "Fill in Manually", INDEX(LookUps!$E$5:$E$12, MATCH(OpenLCAdetail!I93,LookUps!$D$5:$D$12,0)))</f>
        <v>Global Warming Potential (GWP) - kg CO2 eq</v>
      </c>
      <c r="O93" s="119"/>
      <c r="P93" s="119"/>
    </row>
    <row r="94" spans="2:16" x14ac:dyDescent="0.25">
      <c r="B94" s="4" t="s">
        <v>45</v>
      </c>
      <c r="C94" s="4" t="str">
        <f t="shared" si="2"/>
        <v>Infrastructure</v>
      </c>
      <c r="E94" s="27"/>
      <c r="F94" s="27">
        <v>6.9999999999999999E-4</v>
      </c>
      <c r="G94" s="4" t="s">
        <v>72</v>
      </c>
      <c r="H94" s="327">
        <v>5.1000000000000004E-4</v>
      </c>
      <c r="I94" s="4" t="s">
        <v>23</v>
      </c>
      <c r="J94" s="28">
        <f t="shared" si="3"/>
        <v>5.1000000000000004E-4</v>
      </c>
      <c r="K94" s="4" t="str">
        <f>IF(OpenLCAdetail!I94="CTUh", "Fill in Manually", INDEX(LookUps!$E$5:$E$12, MATCH(OpenLCAdetail!I94,LookUps!$D$5:$D$12,0)))</f>
        <v>Global Warming Potential (GWP) - kg CO2 eq</v>
      </c>
      <c r="M94" s="98"/>
      <c r="O94" s="119"/>
      <c r="P94" s="119"/>
    </row>
    <row r="95" spans="2:16" x14ac:dyDescent="0.25">
      <c r="B95" s="4" t="s">
        <v>45</v>
      </c>
      <c r="C95" s="4" t="str">
        <f t="shared" si="2"/>
        <v>Infrastructure</v>
      </c>
      <c r="F95" s="27">
        <v>2.0000000000000001E-4</v>
      </c>
      <c r="G95" s="4" t="s">
        <v>74</v>
      </c>
      <c r="H95" s="327">
        <v>1.4999999999999999E-4</v>
      </c>
      <c r="I95" s="4" t="s">
        <v>23</v>
      </c>
      <c r="J95" s="28">
        <f t="shared" si="3"/>
        <v>1.4999999999999999E-4</v>
      </c>
      <c r="K95" s="4" t="str">
        <f>IF(OpenLCAdetail!I95="CTUh", "Fill in Manually", INDEX(LookUps!$E$5:$E$12, MATCH(OpenLCAdetail!I95,LookUps!$D$5:$D$12,0)))</f>
        <v>Global Warming Potential (GWP) - kg CO2 eq</v>
      </c>
      <c r="O95" s="119"/>
      <c r="P95" s="119"/>
    </row>
    <row r="96" spans="2:16" x14ac:dyDescent="0.25">
      <c r="B96" s="4" t="s">
        <v>45</v>
      </c>
      <c r="C96" s="4" t="str">
        <f t="shared" si="2"/>
        <v>Infrastructure</v>
      </c>
      <c r="F96" s="27">
        <v>1E-4</v>
      </c>
      <c r="G96" s="4" t="s">
        <v>75</v>
      </c>
      <c r="H96" s="327">
        <v>4.4776900000000002E-5</v>
      </c>
      <c r="I96" s="4" t="s">
        <v>23</v>
      </c>
      <c r="J96" s="28">
        <f t="shared" si="3"/>
        <v>4.4776900000000002E-5</v>
      </c>
      <c r="K96" s="4" t="str">
        <f>IF(OpenLCAdetail!I96="CTUh", "Fill in Manually", INDEX(LookUps!$E$5:$E$12, MATCH(OpenLCAdetail!I96,LookUps!$D$5:$D$12,0)))</f>
        <v>Global Warming Potential (GWP) - kg CO2 eq</v>
      </c>
      <c r="O96" s="119"/>
      <c r="P96" s="119"/>
    </row>
    <row r="97" spans="2:16" x14ac:dyDescent="0.25">
      <c r="B97" s="4" t="s">
        <v>45</v>
      </c>
      <c r="C97" s="4" t="str">
        <f t="shared" si="2"/>
        <v>Infrastructure</v>
      </c>
      <c r="F97" s="27">
        <v>0</v>
      </c>
      <c r="G97" s="4" t="s">
        <v>76</v>
      </c>
      <c r="H97" s="327">
        <v>1.5239900000000001E-6</v>
      </c>
      <c r="I97" s="4" t="s">
        <v>23</v>
      </c>
      <c r="J97" s="28">
        <f t="shared" si="3"/>
        <v>1.5239900000000001E-6</v>
      </c>
      <c r="K97" s="4" t="str">
        <f>IF(OpenLCAdetail!I97="CTUh", "Fill in Manually", INDEX(LookUps!$E$5:$E$12, MATCH(OpenLCAdetail!I97,LookUps!$D$5:$D$12,0)))</f>
        <v>Global Warming Potential (GWP) - kg CO2 eq</v>
      </c>
      <c r="O97" s="119"/>
      <c r="P97" s="119"/>
    </row>
    <row r="98" spans="2:16" x14ac:dyDescent="0.25">
      <c r="B98" s="4" t="s">
        <v>45</v>
      </c>
      <c r="C98" s="4" t="s">
        <v>33</v>
      </c>
      <c r="E98" s="27">
        <v>9.5600000000000004E-2</v>
      </c>
      <c r="F98" s="27"/>
      <c r="G98" s="4" t="s">
        <v>48</v>
      </c>
      <c r="H98" s="327">
        <v>7.4099999999999999E-2</v>
      </c>
      <c r="I98" s="4" t="s">
        <v>23</v>
      </c>
      <c r="J98" s="28">
        <f>H98-SUM(H99:H102)</f>
        <v>7.3900090599999996E-2</v>
      </c>
      <c r="K98" s="4" t="str">
        <f>IF(OpenLCAdetail!I98="CTUh", "Fill in Manually", INDEX(LookUps!$E$5:$E$12, MATCH(OpenLCAdetail!I98,LookUps!$D$5:$D$12,0)))</f>
        <v>Global Warming Potential (GWP) - kg CO2 eq</v>
      </c>
      <c r="O98" s="119"/>
      <c r="P98" s="119"/>
    </row>
    <row r="99" spans="2:16" x14ac:dyDescent="0.25">
      <c r="B99" s="4" t="s">
        <v>45</v>
      </c>
      <c r="C99" s="4" t="str">
        <f t="shared" si="2"/>
        <v>Infrastructure</v>
      </c>
      <c r="E99" s="27"/>
      <c r="F99" s="27">
        <v>1E-4</v>
      </c>
      <c r="G99" s="4" t="s">
        <v>73</v>
      </c>
      <c r="H99" s="327">
        <v>8.5951000000000004E-5</v>
      </c>
      <c r="I99" s="4" t="s">
        <v>23</v>
      </c>
      <c r="J99" s="28">
        <f t="shared" si="3"/>
        <v>8.5951000000000004E-5</v>
      </c>
      <c r="K99" s="4" t="str">
        <f>IF(OpenLCAdetail!I99="CTUh", "Fill in Manually", INDEX(LookUps!$E$5:$E$12, MATCH(OpenLCAdetail!I99,LookUps!$D$5:$D$12,0)))</f>
        <v>Global Warming Potential (GWP) - kg CO2 eq</v>
      </c>
      <c r="M99" s="98"/>
      <c r="O99" s="119"/>
      <c r="P99" s="119"/>
    </row>
    <row r="100" spans="2:16" x14ac:dyDescent="0.25">
      <c r="B100" s="4" t="s">
        <v>45</v>
      </c>
      <c r="C100" s="4" t="str">
        <f t="shared" si="2"/>
        <v>Infrastructure</v>
      </c>
      <c r="F100" s="27">
        <v>1E-4</v>
      </c>
      <c r="G100" s="4" t="s">
        <v>72</v>
      </c>
      <c r="H100" s="327">
        <v>8.2320199999999998E-5</v>
      </c>
      <c r="I100" s="4" t="s">
        <v>23</v>
      </c>
      <c r="J100" s="28">
        <f t="shared" si="3"/>
        <v>8.2320199999999998E-5</v>
      </c>
      <c r="K100" s="4" t="str">
        <f>IF(OpenLCAdetail!I100="CTUh", "Fill in Manually", INDEX(LookUps!$E$5:$E$12, MATCH(OpenLCAdetail!I100,LookUps!$D$5:$D$12,0)))</f>
        <v>Global Warming Potential (GWP) - kg CO2 eq</v>
      </c>
      <c r="O100" s="119"/>
      <c r="P100" s="119"/>
    </row>
    <row r="101" spans="2:16" x14ac:dyDescent="0.25">
      <c r="B101" s="4" t="s">
        <v>45</v>
      </c>
      <c r="C101" s="4" t="str">
        <f t="shared" si="2"/>
        <v>Electricity</v>
      </c>
      <c r="F101" s="27">
        <v>0</v>
      </c>
      <c r="G101" s="4" t="s">
        <v>71</v>
      </c>
      <c r="H101" s="327">
        <v>3.1638199999999998E-5</v>
      </c>
      <c r="I101" s="4" t="s">
        <v>23</v>
      </c>
      <c r="J101" s="28">
        <f t="shared" si="3"/>
        <v>3.1638199999999998E-5</v>
      </c>
      <c r="K101" s="4" t="str">
        <f>IF(OpenLCAdetail!I101="CTUh", "Fill in Manually", INDEX(LookUps!$E$5:$E$12, MATCH(OpenLCAdetail!I101,LookUps!$D$5:$D$12,0)))</f>
        <v>Global Warming Potential (GWP) - kg CO2 eq</v>
      </c>
      <c r="O101" s="119"/>
      <c r="P101" s="119"/>
    </row>
    <row r="102" spans="2:16" x14ac:dyDescent="0.25">
      <c r="B102" s="4" t="s">
        <v>45</v>
      </c>
      <c r="C102" s="4" t="str">
        <f t="shared" si="2"/>
        <v>avoided products</v>
      </c>
      <c r="F102" s="27">
        <v>0</v>
      </c>
      <c r="G102" s="4" t="s">
        <v>159</v>
      </c>
      <c r="H102" s="327">
        <v>0</v>
      </c>
      <c r="I102" s="4" t="s">
        <v>23</v>
      </c>
      <c r="J102" s="28">
        <f t="shared" si="3"/>
        <v>0</v>
      </c>
      <c r="K102" s="4" t="str">
        <f>IF(OpenLCAdetail!I102="CTUh", "Fill in Manually", INDEX(LookUps!$E$5:$E$12, MATCH(OpenLCAdetail!I102,LookUps!$D$5:$D$12,0)))</f>
        <v>Global Warming Potential (GWP) - kg CO2 eq</v>
      </c>
      <c r="O102" s="119"/>
      <c r="P102" s="119"/>
    </row>
    <row r="103" spans="2:16" x14ac:dyDescent="0.25">
      <c r="B103" s="4" t="s">
        <v>45</v>
      </c>
      <c r="C103" s="4" t="str">
        <f t="shared" si="2"/>
        <v>Unit Process Emissions</v>
      </c>
      <c r="E103" s="27">
        <v>6.7799999999999999E-2</v>
      </c>
      <c r="G103" s="4" t="s">
        <v>56</v>
      </c>
      <c r="H103" s="327">
        <v>5.2569999999999999E-2</v>
      </c>
      <c r="I103" s="4" t="s">
        <v>23</v>
      </c>
      <c r="J103" s="28">
        <f>H103-SUM(H104:H109)</f>
        <v>-6.6736000000136575E-6</v>
      </c>
      <c r="K103" s="4" t="str">
        <f>IF(OpenLCAdetail!I103="CTUh", "Fill in Manually", INDEX(LookUps!$E$5:$E$12, MATCH(OpenLCAdetail!I103,LookUps!$D$5:$D$12,0)))</f>
        <v>Global Warming Potential (GWP) - kg CO2 eq</v>
      </c>
      <c r="M103" s="98"/>
      <c r="O103" s="119"/>
      <c r="P103" s="119"/>
    </row>
    <row r="104" spans="2:16" x14ac:dyDescent="0.25">
      <c r="B104" s="4" t="s">
        <v>45</v>
      </c>
      <c r="C104" s="4" t="str">
        <f t="shared" si="2"/>
        <v>natural gas</v>
      </c>
      <c r="F104" s="27">
        <v>0.06</v>
      </c>
      <c r="G104" s="4" t="s">
        <v>158</v>
      </c>
      <c r="H104" s="327">
        <v>4.648E-2</v>
      </c>
      <c r="I104" s="4" t="s">
        <v>23</v>
      </c>
      <c r="J104" s="28">
        <f t="shared" si="3"/>
        <v>4.648E-2</v>
      </c>
      <c r="K104" s="4" t="str">
        <f>IF(OpenLCAdetail!I104="CTUh", "Fill in Manually", INDEX(LookUps!$E$5:$E$12, MATCH(OpenLCAdetail!I104,LookUps!$D$5:$D$12,0)))</f>
        <v>Global Warming Potential (GWP) - kg CO2 eq</v>
      </c>
      <c r="O104" s="119"/>
      <c r="P104" s="119"/>
    </row>
    <row r="105" spans="2:16" x14ac:dyDescent="0.25">
      <c r="B105" s="4" t="s">
        <v>45</v>
      </c>
      <c r="C105" s="4" t="str">
        <f t="shared" si="2"/>
        <v>Infrastructure</v>
      </c>
      <c r="F105" s="27">
        <v>3.3E-3</v>
      </c>
      <c r="G105" s="4" t="s">
        <v>73</v>
      </c>
      <c r="H105" s="327">
        <v>2.5899999999999999E-3</v>
      </c>
      <c r="I105" s="4" t="s">
        <v>23</v>
      </c>
      <c r="J105" s="28">
        <f t="shared" si="3"/>
        <v>2.5899999999999999E-3</v>
      </c>
      <c r="K105" s="4" t="str">
        <f>IF(OpenLCAdetail!I105="CTUh", "Fill in Manually", INDEX(LookUps!$E$5:$E$12, MATCH(OpenLCAdetail!I105,LookUps!$D$5:$D$12,0)))</f>
        <v>Global Warming Potential (GWP) - kg CO2 eq</v>
      </c>
      <c r="O105" s="119"/>
      <c r="P105" s="119"/>
    </row>
    <row r="106" spans="2:16" x14ac:dyDescent="0.25">
      <c r="B106" s="4" t="s">
        <v>45</v>
      </c>
      <c r="C106" s="4" t="str">
        <f t="shared" si="2"/>
        <v>Infrastructure</v>
      </c>
      <c r="F106" s="27">
        <v>3.2000000000000002E-3</v>
      </c>
      <c r="G106" s="4" t="s">
        <v>72</v>
      </c>
      <c r="H106" s="327">
        <v>2.48E-3</v>
      </c>
      <c r="I106" s="4" t="s">
        <v>23</v>
      </c>
      <c r="J106" s="28">
        <f t="shared" si="3"/>
        <v>2.48E-3</v>
      </c>
      <c r="K106" s="4" t="str">
        <f>IF(OpenLCAdetail!I106="CTUh", "Fill in Manually", INDEX(LookUps!$E$5:$E$12, MATCH(OpenLCAdetail!I106,LookUps!$D$5:$D$12,0)))</f>
        <v>Global Warming Potential (GWP) - kg CO2 eq</v>
      </c>
      <c r="O106" s="119"/>
      <c r="P106" s="119"/>
    </row>
    <row r="107" spans="2:16" x14ac:dyDescent="0.25">
      <c r="B107" s="4" t="s">
        <v>45</v>
      </c>
      <c r="C107" s="4" t="str">
        <f t="shared" si="2"/>
        <v>Infrastructure</v>
      </c>
      <c r="F107" s="27">
        <v>1E-3</v>
      </c>
      <c r="G107" s="4" t="s">
        <v>74</v>
      </c>
      <c r="H107" s="327">
        <v>7.7999999999999999E-4</v>
      </c>
      <c r="I107" s="4" t="s">
        <v>23</v>
      </c>
      <c r="J107" s="28">
        <f t="shared" si="3"/>
        <v>7.7999999999999999E-4</v>
      </c>
      <c r="K107" s="4" t="str">
        <f>IF(OpenLCAdetail!I107="CTUh", "Fill in Manually", INDEX(LookUps!$E$5:$E$12, MATCH(OpenLCAdetail!I107,LookUps!$D$5:$D$12,0)))</f>
        <v>Global Warming Potential (GWP) - kg CO2 eq</v>
      </c>
      <c r="O107" s="119"/>
      <c r="P107" s="119"/>
    </row>
    <row r="108" spans="2:16" x14ac:dyDescent="0.25">
      <c r="B108" s="4" t="s">
        <v>45</v>
      </c>
      <c r="C108" s="4" t="str">
        <f t="shared" si="2"/>
        <v>Infrastructure</v>
      </c>
      <c r="F108" s="27">
        <v>2.9999999999999997E-4</v>
      </c>
      <c r="G108" s="4" t="s">
        <v>75</v>
      </c>
      <c r="H108" s="327">
        <v>2.3000000000000001E-4</v>
      </c>
      <c r="I108" s="4" t="s">
        <v>23</v>
      </c>
      <c r="J108" s="28">
        <f t="shared" si="3"/>
        <v>2.3000000000000001E-4</v>
      </c>
      <c r="K108" s="4" t="str">
        <f>IF(OpenLCAdetail!I108="CTUh", "Fill in Manually", INDEX(LookUps!$E$5:$E$12, MATCH(OpenLCAdetail!I108,LookUps!$D$5:$D$12,0)))</f>
        <v>Global Warming Potential (GWP) - kg CO2 eq</v>
      </c>
      <c r="O108" s="119"/>
      <c r="P108" s="119"/>
    </row>
    <row r="109" spans="2:16" x14ac:dyDescent="0.25">
      <c r="B109" s="4" t="s">
        <v>45</v>
      </c>
      <c r="C109" s="4" t="str">
        <f t="shared" si="2"/>
        <v>Infrastructure</v>
      </c>
      <c r="F109" s="27">
        <v>0</v>
      </c>
      <c r="G109" s="4" t="s">
        <v>76</v>
      </c>
      <c r="H109" s="327">
        <v>1.6673599999999999E-5</v>
      </c>
      <c r="I109" s="4" t="s">
        <v>23</v>
      </c>
      <c r="J109" s="28">
        <f t="shared" si="3"/>
        <v>1.6673599999999999E-5</v>
      </c>
      <c r="K109" s="4" t="str">
        <f>IF(OpenLCAdetail!I109="CTUh", "Fill in Manually", INDEX(LookUps!$E$5:$E$12, MATCH(OpenLCAdetail!I109,LookUps!$D$5:$D$12,0)))</f>
        <v>Global Warming Potential (GWP) - kg CO2 eq</v>
      </c>
      <c r="O109" s="119"/>
      <c r="P109" s="119"/>
    </row>
    <row r="110" spans="2:16" x14ac:dyDescent="0.25">
      <c r="B110" s="4" t="s">
        <v>45</v>
      </c>
      <c r="C110" s="4" t="str">
        <f t="shared" si="2"/>
        <v>Unit Process Emissions</v>
      </c>
      <c r="E110" s="27">
        <v>1.7399999999999999E-2</v>
      </c>
      <c r="G110" s="4" t="s">
        <v>128</v>
      </c>
      <c r="H110" s="327">
        <v>1.3509999999999999E-2</v>
      </c>
      <c r="I110" s="4" t="s">
        <v>23</v>
      </c>
      <c r="J110" s="28">
        <f>H110-SUM(H111:H112)</f>
        <v>0</v>
      </c>
      <c r="K110" s="4" t="str">
        <f>IF(OpenLCAdetail!I110="CTUh", "Fill in Manually", INDEX(LookUps!$E$5:$E$12, MATCH(OpenLCAdetail!I110,LookUps!$D$5:$D$12,0)))</f>
        <v>Global Warming Potential (GWP) - kg CO2 eq</v>
      </c>
      <c r="M110" s="98"/>
      <c r="O110" s="119"/>
      <c r="P110" s="119"/>
    </row>
    <row r="111" spans="2:16" x14ac:dyDescent="0.25">
      <c r="B111" s="4" t="s">
        <v>45</v>
      </c>
      <c r="C111" s="4" t="str">
        <f t="shared" si="2"/>
        <v>Electricity</v>
      </c>
      <c r="F111" s="27">
        <v>1.49E-2</v>
      </c>
      <c r="G111" s="4" t="s">
        <v>71</v>
      </c>
      <c r="H111" s="327">
        <v>1.157E-2</v>
      </c>
      <c r="I111" s="4" t="s">
        <v>23</v>
      </c>
      <c r="J111" s="28">
        <f t="shared" si="3"/>
        <v>1.157E-2</v>
      </c>
      <c r="K111" s="4" t="str">
        <f>IF(OpenLCAdetail!I111="CTUh", "Fill in Manually", INDEX(LookUps!$E$5:$E$12, MATCH(OpenLCAdetail!I111,LookUps!$D$5:$D$12,0)))</f>
        <v>Global Warming Potential (GWP) - kg CO2 eq</v>
      </c>
      <c r="O111" s="119"/>
      <c r="P111" s="119"/>
    </row>
    <row r="112" spans="2:16" x14ac:dyDescent="0.25">
      <c r="B112" s="4" t="s">
        <v>45</v>
      </c>
      <c r="C112" s="4" t="str">
        <f t="shared" si="2"/>
        <v>Infrastructure</v>
      </c>
      <c r="F112" s="27">
        <v>2.5000000000000001E-3</v>
      </c>
      <c r="G112" s="4" t="s">
        <v>157</v>
      </c>
      <c r="H112" s="327">
        <v>1.9400000000000001E-3</v>
      </c>
      <c r="I112" s="4" t="s">
        <v>23</v>
      </c>
      <c r="J112" s="28">
        <f t="shared" si="3"/>
        <v>1.9400000000000001E-3</v>
      </c>
      <c r="K112" s="4" t="str">
        <f>IF(OpenLCAdetail!I112="CTUh", "Fill in Manually", INDEX(LookUps!$E$5:$E$12, MATCH(OpenLCAdetail!I112,LookUps!$D$5:$D$12,0)))</f>
        <v>Global Warming Potential (GWP) - kg CO2 eq</v>
      </c>
      <c r="O112" s="119"/>
      <c r="P112" s="119"/>
    </row>
    <row r="113" spans="2:16" x14ac:dyDescent="0.25">
      <c r="B113" s="4" t="s">
        <v>45</v>
      </c>
      <c r="C113" s="4" t="str">
        <f t="shared" si="2"/>
        <v>Unit Process Emissions</v>
      </c>
      <c r="E113" s="27">
        <v>9.5999999999999992E-3</v>
      </c>
      <c r="G113" s="4" t="s">
        <v>123</v>
      </c>
      <c r="H113" s="327">
        <v>7.4400000000000004E-3</v>
      </c>
      <c r="I113" s="4" t="s">
        <v>23</v>
      </c>
      <c r="J113" s="28">
        <f>H113-SUM(H114:H115)</f>
        <v>-9.9999999999995925E-6</v>
      </c>
      <c r="K113" s="4" t="str">
        <f>IF(OpenLCAdetail!I113="CTUh", "Fill in Manually", INDEX(LookUps!$E$5:$E$12, MATCH(OpenLCAdetail!I113,LookUps!$D$5:$D$12,0)))</f>
        <v>Global Warming Potential (GWP) - kg CO2 eq</v>
      </c>
      <c r="O113" s="119"/>
      <c r="P113" s="119"/>
    </row>
    <row r="114" spans="2:16" x14ac:dyDescent="0.25">
      <c r="B114" s="4" t="s">
        <v>45</v>
      </c>
      <c r="C114" s="4" t="str">
        <f t="shared" si="2"/>
        <v>Electricity</v>
      </c>
      <c r="F114" s="27">
        <v>7.7000000000000002E-3</v>
      </c>
      <c r="G114" s="4" t="s">
        <v>71</v>
      </c>
      <c r="H114" s="327">
        <v>5.94E-3</v>
      </c>
      <c r="I114" s="4" t="s">
        <v>23</v>
      </c>
      <c r="J114" s="28">
        <f t="shared" si="3"/>
        <v>5.94E-3</v>
      </c>
      <c r="K114" s="4" t="str">
        <f>IF(OpenLCAdetail!I114="CTUh", "Fill in Manually", INDEX(LookUps!$E$5:$E$12, MATCH(OpenLCAdetail!I114,LookUps!$D$5:$D$12,0)))</f>
        <v>Global Warming Potential (GWP) - kg CO2 eq</v>
      </c>
      <c r="O114" s="119"/>
      <c r="P114" s="119"/>
    </row>
    <row r="115" spans="2:16" x14ac:dyDescent="0.25">
      <c r="B115" s="4" t="s">
        <v>45</v>
      </c>
      <c r="C115" s="4" t="str">
        <f t="shared" si="2"/>
        <v>chemicals</v>
      </c>
      <c r="F115" s="27">
        <v>1.9E-3</v>
      </c>
      <c r="G115" s="4" t="s">
        <v>77</v>
      </c>
      <c r="H115" s="327">
        <v>1.5100000000000001E-3</v>
      </c>
      <c r="I115" s="4" t="s">
        <v>23</v>
      </c>
      <c r="J115" s="28">
        <f t="shared" si="3"/>
        <v>1.5100000000000001E-3</v>
      </c>
      <c r="K115" s="4" t="str">
        <f>IF(OpenLCAdetail!I115="CTUh", "Fill in Manually", INDEX(LookUps!$E$5:$E$12, MATCH(OpenLCAdetail!I115,LookUps!$D$5:$D$12,0)))</f>
        <v>Global Warming Potential (GWP) - kg CO2 eq</v>
      </c>
      <c r="O115" s="119"/>
      <c r="P115" s="119"/>
    </row>
    <row r="116" spans="2:16" x14ac:dyDescent="0.25">
      <c r="B116" s="4" t="s">
        <v>45</v>
      </c>
      <c r="C116" s="4" t="str">
        <f t="shared" si="2"/>
        <v>Unit Process Emissions</v>
      </c>
      <c r="E116" s="27">
        <v>9.4000000000000004E-3</v>
      </c>
      <c r="F116" s="27"/>
      <c r="G116" s="4" t="s">
        <v>150</v>
      </c>
      <c r="H116" s="327">
        <v>7.3200000000000001E-3</v>
      </c>
      <c r="I116" s="4" t="s">
        <v>23</v>
      </c>
      <c r="J116" s="28">
        <f>H116-SUM(H117:H122)</f>
        <v>-2.70068000000033E-6</v>
      </c>
      <c r="K116" s="4" t="str">
        <f>IF(OpenLCAdetail!I116="CTUh", "Fill in Manually", INDEX(LookUps!$E$5:$E$12, MATCH(OpenLCAdetail!I116,LookUps!$D$5:$D$12,0)))</f>
        <v>Global Warming Potential (GWP) - kg CO2 eq</v>
      </c>
      <c r="O116" s="119"/>
      <c r="P116" s="119"/>
    </row>
    <row r="117" spans="2:16" x14ac:dyDescent="0.25">
      <c r="B117" s="4" t="s">
        <v>45</v>
      </c>
      <c r="C117" s="4" t="str">
        <f t="shared" si="2"/>
        <v>Electricity</v>
      </c>
      <c r="F117" s="27">
        <v>8.8000000000000005E-3</v>
      </c>
      <c r="G117" s="4" t="s">
        <v>71</v>
      </c>
      <c r="H117" s="327">
        <v>6.7999999999999996E-3</v>
      </c>
      <c r="I117" s="4" t="s">
        <v>23</v>
      </c>
      <c r="J117" s="28">
        <f t="shared" si="3"/>
        <v>6.7999999999999996E-3</v>
      </c>
      <c r="K117" s="4" t="str">
        <f>IF(OpenLCAdetail!I117="CTUh", "Fill in Manually", INDEX(LookUps!$E$5:$E$12, MATCH(OpenLCAdetail!I117,LookUps!$D$5:$D$12,0)))</f>
        <v>Global Warming Potential (GWP) - kg CO2 eq</v>
      </c>
      <c r="O117" s="119"/>
      <c r="P117" s="119"/>
    </row>
    <row r="118" spans="2:16" x14ac:dyDescent="0.25">
      <c r="B118" s="4" t="s">
        <v>45</v>
      </c>
      <c r="C118" s="4" t="str">
        <f t="shared" si="2"/>
        <v>Infrastructure</v>
      </c>
      <c r="F118" s="27">
        <v>2.9999999999999997E-4</v>
      </c>
      <c r="G118" s="4" t="s">
        <v>73</v>
      </c>
      <c r="H118" s="327">
        <v>2.5000000000000001E-4</v>
      </c>
      <c r="I118" s="4" t="s">
        <v>23</v>
      </c>
      <c r="J118" s="28">
        <f t="shared" si="3"/>
        <v>2.5000000000000001E-4</v>
      </c>
      <c r="K118" s="4" t="str">
        <f>IF(OpenLCAdetail!I118="CTUh", "Fill in Manually", INDEX(LookUps!$E$5:$E$12, MATCH(OpenLCAdetail!I118,LookUps!$D$5:$D$12,0)))</f>
        <v>Global Warming Potential (GWP) - kg CO2 eq</v>
      </c>
      <c r="O118" s="119"/>
      <c r="P118" s="119"/>
    </row>
    <row r="119" spans="2:16" x14ac:dyDescent="0.25">
      <c r="B119" s="4" t="s">
        <v>45</v>
      </c>
      <c r="C119" s="4" t="str">
        <f t="shared" si="2"/>
        <v>Infrastructure</v>
      </c>
      <c r="F119" s="27">
        <v>2.9999999999999997E-4</v>
      </c>
      <c r="G119" s="4" t="s">
        <v>72</v>
      </c>
      <c r="H119" s="327">
        <v>2.4000000000000001E-4</v>
      </c>
      <c r="I119" s="4" t="s">
        <v>23</v>
      </c>
      <c r="J119" s="28">
        <f t="shared" si="3"/>
        <v>2.4000000000000001E-4</v>
      </c>
      <c r="K119" s="4" t="str">
        <f>IF(OpenLCAdetail!I119="CTUh", "Fill in Manually", INDEX(LookUps!$E$5:$E$12, MATCH(OpenLCAdetail!I119,LookUps!$D$5:$D$12,0)))</f>
        <v>Global Warming Potential (GWP) - kg CO2 eq</v>
      </c>
      <c r="O119" s="119"/>
      <c r="P119" s="119"/>
    </row>
    <row r="120" spans="2:16" x14ac:dyDescent="0.25">
      <c r="B120" s="4" t="s">
        <v>45</v>
      </c>
      <c r="C120" s="4" t="str">
        <f t="shared" si="2"/>
        <v>Infrastructure</v>
      </c>
      <c r="E120" s="27"/>
      <c r="F120" s="27">
        <v>0</v>
      </c>
      <c r="G120" s="4" t="s">
        <v>74</v>
      </c>
      <c r="H120" s="327">
        <v>1.9364999999999998E-5</v>
      </c>
      <c r="I120" s="4" t="s">
        <v>23</v>
      </c>
      <c r="J120" s="28">
        <f t="shared" si="3"/>
        <v>1.9364999999999998E-5</v>
      </c>
      <c r="K120" s="4" t="str">
        <f>IF(OpenLCAdetail!I120="CTUh", "Fill in Manually", INDEX(LookUps!$E$5:$E$12, MATCH(OpenLCAdetail!I120,LookUps!$D$5:$D$12,0)))</f>
        <v>Global Warming Potential (GWP) - kg CO2 eq</v>
      </c>
      <c r="O120" s="119"/>
      <c r="P120" s="119"/>
    </row>
    <row r="121" spans="2:16" x14ac:dyDescent="0.25">
      <c r="B121" s="4" t="s">
        <v>45</v>
      </c>
      <c r="C121" s="4" t="str">
        <f t="shared" si="2"/>
        <v>Infrastructure</v>
      </c>
      <c r="F121" s="27">
        <v>0</v>
      </c>
      <c r="G121" s="4" t="s">
        <v>75</v>
      </c>
      <c r="H121" s="327">
        <v>1.2966099999999999E-5</v>
      </c>
      <c r="I121" s="4" t="s">
        <v>23</v>
      </c>
      <c r="J121" s="28">
        <f t="shared" si="3"/>
        <v>1.2966099999999999E-5</v>
      </c>
      <c r="K121" s="4" t="str">
        <f>IF(OpenLCAdetail!I121="CTUh", "Fill in Manually", INDEX(LookUps!$E$5:$E$12, MATCH(OpenLCAdetail!I121,LookUps!$D$5:$D$12,0)))</f>
        <v>Global Warming Potential (GWP) - kg CO2 eq</v>
      </c>
      <c r="O121" s="119"/>
      <c r="P121" s="119"/>
    </row>
    <row r="122" spans="2:16" x14ac:dyDescent="0.25">
      <c r="B122" s="4" t="s">
        <v>45</v>
      </c>
      <c r="C122" s="4" t="str">
        <f t="shared" si="2"/>
        <v>Infrastructure</v>
      </c>
      <c r="F122" s="27">
        <v>0</v>
      </c>
      <c r="G122" s="4" t="s">
        <v>76</v>
      </c>
      <c r="H122" s="327">
        <v>3.6958E-7</v>
      </c>
      <c r="I122" s="4" t="s">
        <v>23</v>
      </c>
      <c r="J122" s="28">
        <f t="shared" si="3"/>
        <v>3.6958E-7</v>
      </c>
      <c r="K122" s="4" t="str">
        <f>IF(OpenLCAdetail!I122="CTUh", "Fill in Manually", INDEX(LookUps!$E$5:$E$12, MATCH(OpenLCAdetail!I122,LookUps!$D$5:$D$12,0)))</f>
        <v>Global Warming Potential (GWP) - kg CO2 eq</v>
      </c>
      <c r="O122" s="119"/>
      <c r="P122" s="119"/>
    </row>
    <row r="123" spans="2:16" x14ac:dyDescent="0.25">
      <c r="B123" s="4" t="s">
        <v>45</v>
      </c>
      <c r="C123" s="4" t="str">
        <f t="shared" si="2"/>
        <v>Unit Process Emissions</v>
      </c>
      <c r="E123" s="27">
        <v>1.1999999999999999E-3</v>
      </c>
      <c r="G123" s="4" t="s">
        <v>127</v>
      </c>
      <c r="H123" s="327">
        <v>9.3999999999999997E-4</v>
      </c>
      <c r="I123" s="4" t="s">
        <v>23</v>
      </c>
      <c r="J123" s="28">
        <f>H123-SUM(H124:H129)</f>
        <v>-4.7321360000000205E-6</v>
      </c>
      <c r="K123" s="4" t="str">
        <f>IF(OpenLCAdetail!I123="CTUh", "Fill in Manually", INDEX(LookUps!$E$5:$E$12, MATCH(OpenLCAdetail!I123,LookUps!$D$5:$D$12,0)))</f>
        <v>Global Warming Potential (GWP) - kg CO2 eq</v>
      </c>
      <c r="M123" s="95"/>
      <c r="O123" s="119"/>
      <c r="P123" s="119"/>
    </row>
    <row r="124" spans="2:16" x14ac:dyDescent="0.25">
      <c r="B124" s="4" t="s">
        <v>45</v>
      </c>
      <c r="C124" s="4" t="str">
        <f t="shared" si="2"/>
        <v>Electricity</v>
      </c>
      <c r="F124" s="27">
        <v>1E-3</v>
      </c>
      <c r="G124" s="4" t="s">
        <v>71</v>
      </c>
      <c r="H124" s="327">
        <v>7.6999999999999996E-4</v>
      </c>
      <c r="I124" s="4" t="s">
        <v>23</v>
      </c>
      <c r="J124" s="28">
        <f t="shared" si="3"/>
        <v>7.6999999999999996E-4</v>
      </c>
      <c r="K124" s="4" t="str">
        <f>IF(OpenLCAdetail!I124="CTUh", "Fill in Manually", INDEX(LookUps!$E$5:$E$12, MATCH(OpenLCAdetail!I124,LookUps!$D$5:$D$12,0)))</f>
        <v>Global Warming Potential (GWP) - kg CO2 eq</v>
      </c>
      <c r="O124" s="119"/>
      <c r="P124" s="119"/>
    </row>
    <row r="125" spans="2:16" x14ac:dyDescent="0.25">
      <c r="B125" s="4" t="s">
        <v>45</v>
      </c>
      <c r="C125" s="4" t="str">
        <f t="shared" si="2"/>
        <v>Infrastructure</v>
      </c>
      <c r="F125" s="27">
        <v>1E-4</v>
      </c>
      <c r="G125" s="4" t="s">
        <v>74</v>
      </c>
      <c r="H125" s="327">
        <v>5.3637600000000003E-5</v>
      </c>
      <c r="I125" s="4" t="s">
        <v>23</v>
      </c>
      <c r="J125" s="28">
        <f t="shared" si="3"/>
        <v>5.3637600000000003E-5</v>
      </c>
      <c r="K125" s="4" t="str">
        <f>IF(OpenLCAdetail!I125="CTUh", "Fill in Manually", INDEX(LookUps!$E$5:$E$12, MATCH(OpenLCAdetail!I125,LookUps!$D$5:$D$12,0)))</f>
        <v>Global Warming Potential (GWP) - kg CO2 eq</v>
      </c>
      <c r="O125" s="119"/>
      <c r="P125" s="119"/>
    </row>
    <row r="126" spans="2:16" x14ac:dyDescent="0.25">
      <c r="B126" s="4" t="s">
        <v>45</v>
      </c>
      <c r="C126" s="4" t="str">
        <f t="shared" si="2"/>
        <v>Infrastructure</v>
      </c>
      <c r="F126" s="27">
        <v>1E-4</v>
      </c>
      <c r="G126" s="4" t="s">
        <v>73</v>
      </c>
      <c r="H126" s="327">
        <v>4.6140100000000002E-5</v>
      </c>
      <c r="I126" s="4" t="s">
        <v>23</v>
      </c>
      <c r="J126" s="28">
        <f t="shared" si="3"/>
        <v>4.6140100000000002E-5</v>
      </c>
      <c r="K126" s="4" t="str">
        <f>IF(OpenLCAdetail!I126="CTUh", "Fill in Manually", INDEX(LookUps!$E$5:$E$12, MATCH(OpenLCAdetail!I126,LookUps!$D$5:$D$12,0)))</f>
        <v>Global Warming Potential (GWP) - kg CO2 eq</v>
      </c>
      <c r="O126" s="119"/>
      <c r="P126" s="119"/>
    </row>
    <row r="127" spans="2:16" x14ac:dyDescent="0.25">
      <c r="B127" s="4" t="s">
        <v>45</v>
      </c>
      <c r="C127" s="4" t="str">
        <f t="shared" si="2"/>
        <v>Infrastructure</v>
      </c>
      <c r="F127" s="27">
        <v>1E-4</v>
      </c>
      <c r="G127" s="4" t="s">
        <v>72</v>
      </c>
      <c r="H127" s="327">
        <v>4.4191099999999998E-5</v>
      </c>
      <c r="I127" s="4" t="s">
        <v>23</v>
      </c>
      <c r="J127" s="28">
        <f t="shared" si="3"/>
        <v>4.4191099999999998E-5</v>
      </c>
      <c r="K127" s="4" t="str">
        <f>IF(OpenLCAdetail!I127="CTUh", "Fill in Manually", INDEX(LookUps!$E$5:$E$12, MATCH(OpenLCAdetail!I127,LookUps!$D$5:$D$12,0)))</f>
        <v>Global Warming Potential (GWP) - kg CO2 eq</v>
      </c>
      <c r="O127" s="119"/>
      <c r="P127" s="119"/>
    </row>
    <row r="128" spans="2:16" x14ac:dyDescent="0.25">
      <c r="B128" s="4" t="s">
        <v>45</v>
      </c>
      <c r="C128" s="4" t="str">
        <f t="shared" si="2"/>
        <v>Infrastructure</v>
      </c>
      <c r="F128" s="27">
        <v>0</v>
      </c>
      <c r="G128" s="4" t="s">
        <v>75</v>
      </c>
      <c r="H128" s="327">
        <v>2.9942800000000001E-5</v>
      </c>
      <c r="I128" s="4" t="s">
        <v>23</v>
      </c>
      <c r="J128" s="28">
        <f t="shared" si="3"/>
        <v>2.9942800000000001E-5</v>
      </c>
      <c r="K128" s="4" t="str">
        <f>IF(OpenLCAdetail!I128="CTUh", "Fill in Manually", INDEX(LookUps!$E$5:$E$12, MATCH(OpenLCAdetail!I128,LookUps!$D$5:$D$12,0)))</f>
        <v>Global Warming Potential (GWP) - kg CO2 eq</v>
      </c>
      <c r="O128" s="119"/>
      <c r="P128" s="119"/>
    </row>
    <row r="129" spans="2:16" x14ac:dyDescent="0.25">
      <c r="B129" s="4" t="s">
        <v>45</v>
      </c>
      <c r="C129" s="4" t="str">
        <f t="shared" si="2"/>
        <v>Infrastructure</v>
      </c>
      <c r="F129" s="27">
        <v>0</v>
      </c>
      <c r="G129" s="4" t="s">
        <v>76</v>
      </c>
      <c r="H129" s="327">
        <v>8.2053599999999996E-7</v>
      </c>
      <c r="I129" s="4" t="s">
        <v>23</v>
      </c>
      <c r="J129" s="28">
        <f t="shared" si="3"/>
        <v>8.2053599999999996E-7</v>
      </c>
      <c r="K129" s="4" t="str">
        <f>IF(OpenLCAdetail!I129="CTUh", "Fill in Manually", INDEX(LookUps!$E$5:$E$12, MATCH(OpenLCAdetail!I129,LookUps!$D$5:$D$12,0)))</f>
        <v>Global Warming Potential (GWP) - kg CO2 eq</v>
      </c>
      <c r="O129" s="119"/>
      <c r="P129" s="119"/>
    </row>
    <row r="130" spans="2:16" x14ac:dyDescent="0.25">
      <c r="D130" s="29" t="s">
        <v>51</v>
      </c>
      <c r="F130" s="27"/>
      <c r="G130" s="4" t="s">
        <v>47</v>
      </c>
      <c r="H130" s="327" t="s">
        <v>52</v>
      </c>
      <c r="I130" s="4" t="s">
        <v>27</v>
      </c>
      <c r="J130" s="28"/>
      <c r="O130" s="119"/>
      <c r="P130" s="119"/>
    </row>
    <row r="131" spans="2:16" x14ac:dyDescent="0.25">
      <c r="B131" s="4" t="s">
        <v>45</v>
      </c>
      <c r="C131" s="4" t="s">
        <v>33</v>
      </c>
      <c r="E131" s="88">
        <v>0.94630000000000003</v>
      </c>
      <c r="F131" s="89"/>
      <c r="G131" s="89" t="s">
        <v>48</v>
      </c>
      <c r="H131" s="328">
        <v>2.3099999999999999E-2</v>
      </c>
      <c r="I131" s="89" t="s">
        <v>13</v>
      </c>
      <c r="J131" s="28">
        <f>H131-SUM(H132:H135)</f>
        <v>2.3099070082E-2</v>
      </c>
      <c r="K131" s="89" t="str">
        <f>IF(OpenLCAdetail!I131="CTUh", "Fill in Manually", INDEX(LookUps!$E$5:$E$12, MATCH(OpenLCAdetail!I131,LookUps!$D$5:$D$12,0)))</f>
        <v>Eutrophication Potential (EP) - kg N eq</v>
      </c>
      <c r="O131" s="119"/>
      <c r="P131" s="119"/>
    </row>
    <row r="132" spans="2:16" x14ac:dyDescent="0.25">
      <c r="B132" s="4" t="s">
        <v>45</v>
      </c>
      <c r="C132" s="4" t="str">
        <f t="shared" ref="C132:C168" si="4">INDEX($O$10:$O$60,MATCH(G132, $P$10:$P$60,0))</f>
        <v>Infrastructure</v>
      </c>
      <c r="F132" s="27">
        <v>0</v>
      </c>
      <c r="G132" s="4" t="s">
        <v>73</v>
      </c>
      <c r="H132" s="327">
        <v>4.2124100000000001E-7</v>
      </c>
      <c r="I132" s="4" t="s">
        <v>13</v>
      </c>
      <c r="J132" s="28">
        <f t="shared" si="3"/>
        <v>4.2124100000000001E-7</v>
      </c>
      <c r="K132" s="4" t="str">
        <f>IF(OpenLCAdetail!I132="CTUh", "Fill in Manually", INDEX(LookUps!$E$5:$E$12, MATCH(OpenLCAdetail!I132,LookUps!$D$5:$D$12,0)))</f>
        <v>Eutrophication Potential (EP) - kg N eq</v>
      </c>
      <c r="O132" s="119"/>
      <c r="P132" s="119"/>
    </row>
    <row r="133" spans="2:16" x14ac:dyDescent="0.25">
      <c r="B133" s="4" t="s">
        <v>45</v>
      </c>
      <c r="C133" s="4" t="str">
        <f t="shared" si="4"/>
        <v>Infrastructure</v>
      </c>
      <c r="F133" s="27">
        <v>0</v>
      </c>
      <c r="G133" s="4" t="s">
        <v>72</v>
      </c>
      <c r="H133" s="327">
        <v>4.0699799999999998E-7</v>
      </c>
      <c r="I133" s="4" t="s">
        <v>13</v>
      </c>
      <c r="J133" s="28">
        <f t="shared" si="3"/>
        <v>4.0699799999999998E-7</v>
      </c>
      <c r="K133" s="4" t="str">
        <f>IF(OpenLCAdetail!I133="CTUh", "Fill in Manually", INDEX(LookUps!$E$5:$E$12, MATCH(OpenLCAdetail!I133,LookUps!$D$5:$D$12,0)))</f>
        <v>Eutrophication Potential (EP) - kg N eq</v>
      </c>
      <c r="O133" s="119"/>
      <c r="P133" s="119"/>
    </row>
    <row r="134" spans="2:16" x14ac:dyDescent="0.25">
      <c r="B134" s="4" t="s">
        <v>45</v>
      </c>
      <c r="C134" s="4" t="str">
        <f t="shared" si="4"/>
        <v>Electricity</v>
      </c>
      <c r="F134" s="27">
        <v>0</v>
      </c>
      <c r="G134" s="4" t="s">
        <v>71</v>
      </c>
      <c r="H134" s="327">
        <v>1.0167899999999999E-7</v>
      </c>
      <c r="I134" s="4" t="s">
        <v>13</v>
      </c>
      <c r="J134" s="28">
        <f t="shared" si="3"/>
        <v>1.0167899999999999E-7</v>
      </c>
      <c r="K134" s="4" t="str">
        <f>IF(OpenLCAdetail!I134="CTUh", "Fill in Manually", INDEX(LookUps!$E$5:$E$12, MATCH(OpenLCAdetail!I134,LookUps!$D$5:$D$12,0)))</f>
        <v>Eutrophication Potential (EP) - kg N eq</v>
      </c>
      <c r="O134" s="119"/>
      <c r="P134" s="119"/>
    </row>
    <row r="135" spans="2:16" x14ac:dyDescent="0.25">
      <c r="B135" s="4" t="s">
        <v>45</v>
      </c>
      <c r="C135" s="4" t="str">
        <f t="shared" si="4"/>
        <v>avoided products</v>
      </c>
      <c r="F135" s="27">
        <v>0</v>
      </c>
      <c r="G135" s="4" t="s">
        <v>159</v>
      </c>
      <c r="H135" s="327">
        <v>0</v>
      </c>
      <c r="I135" s="4" t="s">
        <v>13</v>
      </c>
      <c r="J135" s="28">
        <f t="shared" ref="J135:J192" si="5">IF(F135="", "FILL MANUALLY", H135)</f>
        <v>0</v>
      </c>
      <c r="K135" s="4" t="str">
        <f>IF(OpenLCAdetail!I135="CTUh", "Fill in Manually", INDEX(LookUps!$E$5:$E$12, MATCH(OpenLCAdetail!I135,LookUps!$D$5:$D$12,0)))</f>
        <v>Eutrophication Potential (EP) - kg N eq</v>
      </c>
      <c r="O135" s="119"/>
      <c r="P135" s="119"/>
    </row>
    <row r="136" spans="2:16" x14ac:dyDescent="0.25">
      <c r="B136" s="4" t="s">
        <v>45</v>
      </c>
      <c r="C136" s="4" t="str">
        <f t="shared" si="4"/>
        <v>Unit Process Emissions</v>
      </c>
      <c r="E136" s="27">
        <v>1.7500000000000002E-2</v>
      </c>
      <c r="G136" s="4" t="s">
        <v>126</v>
      </c>
      <c r="H136" s="327">
        <v>4.2999999999999999E-4</v>
      </c>
      <c r="I136" s="4" t="s">
        <v>13</v>
      </c>
      <c r="J136" s="28">
        <f>H136-SUM(H137:H143)</f>
        <v>5.0954097299999194E-6</v>
      </c>
      <c r="K136" s="4" t="str">
        <f>IF(OpenLCAdetail!I136="CTUh", "Fill in Manually", INDEX(LookUps!$E$5:$E$12, MATCH(OpenLCAdetail!I136,LookUps!$D$5:$D$12,0)))</f>
        <v>Eutrophication Potential (EP) - kg N eq</v>
      </c>
      <c r="O136" s="119"/>
      <c r="P136" s="119"/>
    </row>
    <row r="137" spans="2:16" x14ac:dyDescent="0.25">
      <c r="B137" s="4" t="s">
        <v>45</v>
      </c>
      <c r="C137" s="4" t="str">
        <f t="shared" si="4"/>
        <v>chemicals</v>
      </c>
      <c r="F137" s="27">
        <v>1.32E-2</v>
      </c>
      <c r="G137" s="4" t="s">
        <v>154</v>
      </c>
      <c r="H137" s="327">
        <v>3.2000000000000003E-4</v>
      </c>
      <c r="I137" s="4" t="s">
        <v>13</v>
      </c>
      <c r="J137" s="28">
        <f t="shared" si="5"/>
        <v>3.2000000000000003E-4</v>
      </c>
      <c r="K137" s="4" t="str">
        <f>IF(OpenLCAdetail!I137="CTUh", "Fill in Manually", INDEX(LookUps!$E$5:$E$12, MATCH(OpenLCAdetail!I137,LookUps!$D$5:$D$12,0)))</f>
        <v>Eutrophication Potential (EP) - kg N eq</v>
      </c>
      <c r="O137" s="119"/>
      <c r="P137" s="119"/>
    </row>
    <row r="138" spans="2:16" x14ac:dyDescent="0.25">
      <c r="B138" s="4" t="s">
        <v>45</v>
      </c>
      <c r="C138" s="4" t="str">
        <f t="shared" si="4"/>
        <v>Electricity</v>
      </c>
      <c r="F138" s="27">
        <v>4.1000000000000003E-3</v>
      </c>
      <c r="G138" s="4" t="s">
        <v>71</v>
      </c>
      <c r="H138" s="327">
        <v>9.9492800000000004E-5</v>
      </c>
      <c r="I138" s="4" t="s">
        <v>13</v>
      </c>
      <c r="J138" s="28">
        <f t="shared" si="5"/>
        <v>9.9492800000000004E-5</v>
      </c>
      <c r="K138" s="4" t="str">
        <f>IF(OpenLCAdetail!I138="CTUh", "Fill in Manually", INDEX(LookUps!$E$5:$E$12, MATCH(OpenLCAdetail!I138,LookUps!$D$5:$D$12,0)))</f>
        <v>Eutrophication Potential (EP) - kg N eq</v>
      </c>
      <c r="O138" s="119"/>
      <c r="P138" s="119"/>
    </row>
    <row r="139" spans="2:16" x14ac:dyDescent="0.25">
      <c r="B139" s="4" t="s">
        <v>45</v>
      </c>
      <c r="C139" s="4" t="str">
        <f t="shared" si="4"/>
        <v>Infrastructure</v>
      </c>
      <c r="F139" s="27">
        <v>1E-4</v>
      </c>
      <c r="G139" s="4" t="s">
        <v>73</v>
      </c>
      <c r="H139" s="327">
        <v>2.6132600000000002E-6</v>
      </c>
      <c r="I139" s="4" t="s">
        <v>13</v>
      </c>
      <c r="J139" s="28">
        <f t="shared" si="5"/>
        <v>2.6132600000000002E-6</v>
      </c>
      <c r="K139" s="4" t="str">
        <f>IF(OpenLCAdetail!I139="CTUh", "Fill in Manually", INDEX(LookUps!$E$5:$E$12, MATCH(OpenLCAdetail!I139,LookUps!$D$5:$D$12,0)))</f>
        <v>Eutrophication Potential (EP) - kg N eq</v>
      </c>
      <c r="O139" s="119"/>
      <c r="P139" s="119"/>
    </row>
    <row r="140" spans="2:16" x14ac:dyDescent="0.25">
      <c r="B140" s="4" t="s">
        <v>45</v>
      </c>
      <c r="C140" s="4" t="str">
        <f t="shared" si="4"/>
        <v>Infrastructure</v>
      </c>
      <c r="F140" s="27">
        <v>1E-4</v>
      </c>
      <c r="G140" s="4" t="s">
        <v>72</v>
      </c>
      <c r="H140" s="327">
        <v>2.5249000000000002E-6</v>
      </c>
      <c r="I140" s="4" t="s">
        <v>13</v>
      </c>
      <c r="J140" s="28">
        <f t="shared" si="5"/>
        <v>2.5249000000000002E-6</v>
      </c>
      <c r="K140" s="4" t="str">
        <f>IF(OpenLCAdetail!I140="CTUh", "Fill in Manually", INDEX(LookUps!$E$5:$E$12, MATCH(OpenLCAdetail!I140,LookUps!$D$5:$D$12,0)))</f>
        <v>Eutrophication Potential (EP) - kg N eq</v>
      </c>
      <c r="O140" s="119"/>
      <c r="P140" s="119"/>
    </row>
    <row r="141" spans="2:16" x14ac:dyDescent="0.25">
      <c r="B141" s="4" t="s">
        <v>45</v>
      </c>
      <c r="C141" s="4" t="str">
        <f t="shared" si="4"/>
        <v>Infrastructure</v>
      </c>
      <c r="F141" s="27">
        <v>0</v>
      </c>
      <c r="G141" s="4" t="s">
        <v>74</v>
      </c>
      <c r="H141" s="327">
        <v>1.9869299999999999E-7</v>
      </c>
      <c r="I141" s="4" t="s">
        <v>13</v>
      </c>
      <c r="J141" s="28">
        <f t="shared" si="5"/>
        <v>1.9869299999999999E-7</v>
      </c>
      <c r="K141" s="4" t="str">
        <f>IF(OpenLCAdetail!I141="CTUh", "Fill in Manually", INDEX(LookUps!$E$5:$E$12, MATCH(OpenLCAdetail!I141,LookUps!$D$5:$D$12,0)))</f>
        <v>Eutrophication Potential (EP) - kg N eq</v>
      </c>
      <c r="O141" s="119"/>
      <c r="P141" s="119"/>
    </row>
    <row r="142" spans="2:16" x14ac:dyDescent="0.25">
      <c r="B142" s="4" t="s">
        <v>45</v>
      </c>
      <c r="C142" s="4" t="str">
        <f t="shared" si="4"/>
        <v>Infrastructure</v>
      </c>
      <c r="F142" s="27">
        <v>0</v>
      </c>
      <c r="G142" s="4" t="s">
        <v>75</v>
      </c>
      <c r="H142" s="327">
        <v>7.3083700000000005E-8</v>
      </c>
      <c r="I142" s="4" t="s">
        <v>13</v>
      </c>
      <c r="J142" s="28">
        <f t="shared" si="5"/>
        <v>7.3083700000000005E-8</v>
      </c>
      <c r="K142" s="4" t="str">
        <f>IF(OpenLCAdetail!I142="CTUh", "Fill in Manually", INDEX(LookUps!$E$5:$E$12, MATCH(OpenLCAdetail!I142,LookUps!$D$5:$D$12,0)))</f>
        <v>Eutrophication Potential (EP) - kg N eq</v>
      </c>
      <c r="O142" s="119"/>
      <c r="P142" s="119"/>
    </row>
    <row r="143" spans="2:16" x14ac:dyDescent="0.25">
      <c r="B143" s="4" t="s">
        <v>45</v>
      </c>
      <c r="C143" s="4" t="str">
        <f t="shared" si="4"/>
        <v>Infrastructure</v>
      </c>
      <c r="F143" s="27">
        <v>0</v>
      </c>
      <c r="G143" s="4" t="s">
        <v>76</v>
      </c>
      <c r="H143" s="327">
        <v>1.85357E-9</v>
      </c>
      <c r="I143" s="4" t="s">
        <v>13</v>
      </c>
      <c r="J143" s="28">
        <f t="shared" si="5"/>
        <v>1.85357E-9</v>
      </c>
      <c r="K143" s="4" t="str">
        <f>IF(OpenLCAdetail!I143="CTUh", "Fill in Manually", INDEX(LookUps!$E$5:$E$12, MATCH(OpenLCAdetail!I143,LookUps!$D$5:$D$12,0)))</f>
        <v>Eutrophication Potential (EP) - kg N eq</v>
      </c>
      <c r="O143" s="119"/>
      <c r="P143" s="119"/>
    </row>
    <row r="144" spans="2:16" x14ac:dyDescent="0.25">
      <c r="B144" s="4" t="s">
        <v>45</v>
      </c>
      <c r="C144" s="4" t="str">
        <f t="shared" si="4"/>
        <v>Unit Process Emissions</v>
      </c>
      <c r="E144" s="27">
        <v>1.7299999999999999E-2</v>
      </c>
      <c r="F144" s="27"/>
      <c r="G144" s="4" t="s">
        <v>124</v>
      </c>
      <c r="H144" s="327">
        <v>4.2000000000000002E-4</v>
      </c>
      <c r="I144" s="4" t="s">
        <v>13</v>
      </c>
      <c r="J144" s="28">
        <f>H144-SUM(H145:H152)</f>
        <v>-3.6766553400000772E-6</v>
      </c>
      <c r="K144" s="4" t="str">
        <f>IF(OpenLCAdetail!I144="CTUh", "Fill in Manually", INDEX(LookUps!$E$5:$E$12, MATCH(OpenLCAdetail!I144,LookUps!$D$5:$D$12,0)))</f>
        <v>Eutrophication Potential (EP) - kg N eq</v>
      </c>
      <c r="O144" s="119"/>
      <c r="P144" s="119"/>
    </row>
    <row r="145" spans="2:16" x14ac:dyDescent="0.25">
      <c r="B145" s="4" t="s">
        <v>45</v>
      </c>
      <c r="C145" s="4" t="str">
        <f t="shared" si="4"/>
        <v>Electricity</v>
      </c>
      <c r="E145" s="27"/>
      <c r="F145" s="27">
        <v>1.6299999999999999E-2</v>
      </c>
      <c r="G145" s="4" t="s">
        <v>71</v>
      </c>
      <c r="H145" s="327">
        <v>4.0000000000000002E-4</v>
      </c>
      <c r="I145" s="4" t="s">
        <v>13</v>
      </c>
      <c r="J145" s="28">
        <f t="shared" si="5"/>
        <v>4.0000000000000002E-4</v>
      </c>
      <c r="K145" s="4" t="str">
        <f>IF(OpenLCAdetail!I145="CTUh", "Fill in Manually", INDEX(LookUps!$E$5:$E$12, MATCH(OpenLCAdetail!I145,LookUps!$D$5:$D$12,0)))</f>
        <v>Eutrophication Potential (EP) - kg N eq</v>
      </c>
      <c r="O145" s="119"/>
      <c r="P145" s="119"/>
    </row>
    <row r="146" spans="2:16" x14ac:dyDescent="0.25">
      <c r="B146" s="4" t="s">
        <v>45</v>
      </c>
      <c r="C146" s="4" t="str">
        <f t="shared" si="4"/>
        <v>Infrastructure</v>
      </c>
      <c r="F146" s="27">
        <v>5.0000000000000001E-4</v>
      </c>
      <c r="G146" s="4" t="s">
        <v>73</v>
      </c>
      <c r="H146" s="327">
        <v>1.1262499999999999E-5</v>
      </c>
      <c r="I146" s="4" t="s">
        <v>13</v>
      </c>
      <c r="J146" s="28">
        <f t="shared" si="5"/>
        <v>1.1262499999999999E-5</v>
      </c>
      <c r="K146" s="4" t="str">
        <f>IF(OpenLCAdetail!I146="CTUh", "Fill in Manually", INDEX(LookUps!$E$5:$E$12, MATCH(OpenLCAdetail!I146,LookUps!$D$5:$D$12,0)))</f>
        <v>Eutrophication Potential (EP) - kg N eq</v>
      </c>
      <c r="O146" s="119"/>
      <c r="P146" s="119"/>
    </row>
    <row r="147" spans="2:16" x14ac:dyDescent="0.25">
      <c r="B147" s="4" t="s">
        <v>45</v>
      </c>
      <c r="C147" s="4" t="str">
        <f t="shared" si="4"/>
        <v>Infrastructure</v>
      </c>
      <c r="F147" s="27">
        <v>4.0000000000000002E-4</v>
      </c>
      <c r="G147" s="4" t="s">
        <v>72</v>
      </c>
      <c r="H147" s="327">
        <v>1.08817E-5</v>
      </c>
      <c r="I147" s="4" t="s">
        <v>13</v>
      </c>
      <c r="J147" s="28">
        <f t="shared" si="5"/>
        <v>1.08817E-5</v>
      </c>
      <c r="K147" s="4" t="str">
        <f>IF(OpenLCAdetail!I147="CTUh", "Fill in Manually", INDEX(LookUps!$E$5:$E$12, MATCH(OpenLCAdetail!I147,LookUps!$D$5:$D$12,0)))</f>
        <v>Eutrophication Potential (EP) - kg N eq</v>
      </c>
      <c r="O147" s="119"/>
      <c r="P147" s="119"/>
    </row>
    <row r="148" spans="2:16" x14ac:dyDescent="0.25">
      <c r="B148" s="4" t="s">
        <v>45</v>
      </c>
      <c r="C148" s="4" t="str">
        <f t="shared" si="4"/>
        <v>Infrastructure</v>
      </c>
      <c r="F148" s="27">
        <v>0</v>
      </c>
      <c r="G148" s="4" t="s">
        <v>74</v>
      </c>
      <c r="H148" s="327">
        <v>1.0205199999999999E-6</v>
      </c>
      <c r="I148" s="4" t="s">
        <v>13</v>
      </c>
      <c r="J148" s="28">
        <f t="shared" si="5"/>
        <v>1.0205199999999999E-6</v>
      </c>
      <c r="K148" s="4" t="str">
        <f>IF(OpenLCAdetail!I148="CTUh", "Fill in Manually", INDEX(LookUps!$E$5:$E$12, MATCH(OpenLCAdetail!I148,LookUps!$D$5:$D$12,0)))</f>
        <v>Eutrophication Potential (EP) - kg N eq</v>
      </c>
      <c r="O148" s="119"/>
      <c r="P148" s="119"/>
    </row>
    <row r="149" spans="2:16" x14ac:dyDescent="0.25">
      <c r="B149" s="4" t="s">
        <v>45</v>
      </c>
      <c r="C149" s="4" t="str">
        <f t="shared" si="4"/>
        <v>Infrastructure</v>
      </c>
      <c r="F149" s="27">
        <v>0</v>
      </c>
      <c r="G149" s="4" t="s">
        <v>75</v>
      </c>
      <c r="H149" s="327">
        <v>4.2684500000000001E-7</v>
      </c>
      <c r="I149" s="4" t="s">
        <v>13</v>
      </c>
      <c r="J149" s="28">
        <f t="shared" si="5"/>
        <v>4.2684500000000001E-7</v>
      </c>
      <c r="K149" s="4" t="str">
        <f>IF(OpenLCAdetail!I149="CTUh", "Fill in Manually", INDEX(LookUps!$E$5:$E$12, MATCH(OpenLCAdetail!I149,LookUps!$D$5:$D$12,0)))</f>
        <v>Eutrophication Potential (EP) - kg N eq</v>
      </c>
      <c r="O149" s="119"/>
      <c r="P149" s="119"/>
    </row>
    <row r="150" spans="2:16" x14ac:dyDescent="0.25">
      <c r="B150" s="4" t="s">
        <v>45</v>
      </c>
      <c r="C150" s="4" t="str">
        <f t="shared" si="4"/>
        <v>Infrastructure</v>
      </c>
      <c r="F150" s="27">
        <v>0</v>
      </c>
      <c r="G150" s="4" t="s">
        <v>153</v>
      </c>
      <c r="H150" s="327">
        <v>5.3332599999999997E-8</v>
      </c>
      <c r="I150" s="4" t="s">
        <v>13</v>
      </c>
      <c r="J150" s="28">
        <f t="shared" si="5"/>
        <v>5.3332599999999997E-8</v>
      </c>
      <c r="K150" s="4" t="str">
        <f>IF(OpenLCAdetail!I150="CTUh", "Fill in Manually", INDEX(LookUps!$E$5:$E$12, MATCH(OpenLCAdetail!I150,LookUps!$D$5:$D$12,0)))</f>
        <v>Eutrophication Potential (EP) - kg N eq</v>
      </c>
      <c r="O150" s="119"/>
      <c r="P150" s="119"/>
    </row>
    <row r="151" spans="2:16" x14ac:dyDescent="0.25">
      <c r="B151" s="4" t="s">
        <v>45</v>
      </c>
      <c r="C151" s="4" t="str">
        <f t="shared" si="4"/>
        <v>Infrastructure</v>
      </c>
      <c r="F151" s="27">
        <v>0</v>
      </c>
      <c r="G151" s="4" t="s">
        <v>152</v>
      </c>
      <c r="H151" s="327">
        <v>2.4524300000000001E-8</v>
      </c>
      <c r="I151" s="4" t="s">
        <v>13</v>
      </c>
      <c r="J151" s="28">
        <f t="shared" si="5"/>
        <v>2.4524300000000001E-8</v>
      </c>
      <c r="K151" s="4" t="str">
        <f>IF(OpenLCAdetail!I151="CTUh", "Fill in Manually", INDEX(LookUps!$E$5:$E$12, MATCH(OpenLCAdetail!I151,LookUps!$D$5:$D$12,0)))</f>
        <v>Eutrophication Potential (EP) - kg N eq</v>
      </c>
      <c r="O151" s="119"/>
      <c r="P151" s="119"/>
    </row>
    <row r="152" spans="2:16" x14ac:dyDescent="0.25">
      <c r="B152" s="4" t="s">
        <v>45</v>
      </c>
      <c r="C152" s="4" t="str">
        <f t="shared" si="4"/>
        <v>Infrastructure</v>
      </c>
      <c r="F152" s="27">
        <v>0</v>
      </c>
      <c r="G152" s="4" t="s">
        <v>76</v>
      </c>
      <c r="H152" s="327">
        <v>7.2334399999999998E-9</v>
      </c>
      <c r="I152" s="4" t="s">
        <v>13</v>
      </c>
      <c r="J152" s="28">
        <f t="shared" si="5"/>
        <v>7.2334399999999998E-9</v>
      </c>
      <c r="K152" s="4" t="str">
        <f>IF(OpenLCAdetail!I152="CTUh", "Fill in Manually", INDEX(LookUps!$E$5:$E$12, MATCH(OpenLCAdetail!I152,LookUps!$D$5:$D$12,0)))</f>
        <v>Eutrophication Potential (EP) - kg N eq</v>
      </c>
      <c r="O152" s="119"/>
      <c r="P152" s="119"/>
    </row>
    <row r="153" spans="2:16" x14ac:dyDescent="0.25">
      <c r="B153" s="4" t="s">
        <v>45</v>
      </c>
      <c r="C153" s="4" t="str">
        <f t="shared" si="4"/>
        <v>Unit Process Emissions</v>
      </c>
      <c r="E153" s="27">
        <v>1.7000000000000001E-2</v>
      </c>
      <c r="F153" s="27"/>
      <c r="G153" s="4" t="s">
        <v>125</v>
      </c>
      <c r="H153" s="327">
        <v>4.2000000000000002E-4</v>
      </c>
      <c r="I153" s="4" t="s">
        <v>13</v>
      </c>
      <c r="J153" s="28">
        <f>H153-SUM(H154:H161)</f>
        <v>2.3188231499999992E-6</v>
      </c>
      <c r="K153" s="4" t="str">
        <f>IF(OpenLCAdetail!I153="CTUh", "Fill in Manually", INDEX(LookUps!$E$5:$E$12, MATCH(OpenLCAdetail!I153,LookUps!$D$5:$D$12,0)))</f>
        <v>Eutrophication Potential (EP) - kg N eq</v>
      </c>
      <c r="O153" s="119"/>
      <c r="P153" s="119"/>
    </row>
    <row r="154" spans="2:16" x14ac:dyDescent="0.25">
      <c r="B154" s="4" t="s">
        <v>45</v>
      </c>
      <c r="C154" s="4" t="str">
        <f t="shared" si="4"/>
        <v>Electricity</v>
      </c>
      <c r="E154" s="27"/>
      <c r="F154" s="27">
        <v>1.67E-2</v>
      </c>
      <c r="G154" s="4" t="s">
        <v>71</v>
      </c>
      <c r="H154" s="327">
        <v>4.0999999999999999E-4</v>
      </c>
      <c r="I154" s="4" t="s">
        <v>13</v>
      </c>
      <c r="J154" s="28">
        <f t="shared" si="5"/>
        <v>4.0999999999999999E-4</v>
      </c>
      <c r="K154" s="4" t="str">
        <f>IF(OpenLCAdetail!I154="CTUh", "Fill in Manually", INDEX(LookUps!$E$5:$E$12, MATCH(OpenLCAdetail!I154,LookUps!$D$5:$D$12,0)))</f>
        <v>Eutrophication Potential (EP) - kg N eq</v>
      </c>
      <c r="O154" s="119"/>
      <c r="P154" s="119"/>
    </row>
    <row r="155" spans="2:16" x14ac:dyDescent="0.25">
      <c r="B155" s="4" t="s">
        <v>45</v>
      </c>
      <c r="C155" s="4" t="str">
        <f t="shared" si="4"/>
        <v>Infrastructure</v>
      </c>
      <c r="F155" s="27">
        <v>1E-4</v>
      </c>
      <c r="G155" s="4" t="s">
        <v>73</v>
      </c>
      <c r="H155" s="327">
        <v>3.2907699999999999E-6</v>
      </c>
      <c r="I155" s="4" t="s">
        <v>13</v>
      </c>
      <c r="J155" s="28">
        <f t="shared" si="5"/>
        <v>3.2907699999999999E-6</v>
      </c>
      <c r="K155" s="4" t="str">
        <f>IF(OpenLCAdetail!I155="CTUh", "Fill in Manually", INDEX(LookUps!$E$5:$E$12, MATCH(OpenLCAdetail!I155,LookUps!$D$5:$D$12,0)))</f>
        <v>Eutrophication Potential (EP) - kg N eq</v>
      </c>
      <c r="O155" s="119"/>
      <c r="P155" s="119"/>
    </row>
    <row r="156" spans="2:16" x14ac:dyDescent="0.25">
      <c r="B156" s="4" t="s">
        <v>45</v>
      </c>
      <c r="C156" s="4" t="str">
        <f t="shared" si="4"/>
        <v>Infrastructure</v>
      </c>
      <c r="F156" s="27">
        <v>1E-4</v>
      </c>
      <c r="G156" s="4" t="s">
        <v>72</v>
      </c>
      <c r="H156" s="327">
        <v>3.1794999999999998E-6</v>
      </c>
      <c r="I156" s="4" t="s">
        <v>13</v>
      </c>
      <c r="J156" s="28">
        <f t="shared" si="5"/>
        <v>3.1794999999999998E-6</v>
      </c>
      <c r="K156" s="4" t="str">
        <f>IF(OpenLCAdetail!I156="CTUh", "Fill in Manually", INDEX(LookUps!$E$5:$E$12, MATCH(OpenLCAdetail!I156,LookUps!$D$5:$D$12,0)))</f>
        <v>Eutrophication Potential (EP) - kg N eq</v>
      </c>
      <c r="O156" s="119"/>
      <c r="P156" s="119"/>
    </row>
    <row r="157" spans="2:16" x14ac:dyDescent="0.25">
      <c r="B157" s="4" t="s">
        <v>45</v>
      </c>
      <c r="C157" s="4" t="str">
        <f t="shared" si="4"/>
        <v>Infrastructure</v>
      </c>
      <c r="F157" s="27">
        <v>0</v>
      </c>
      <c r="G157" s="4" t="s">
        <v>74</v>
      </c>
      <c r="H157" s="327">
        <v>8.3199600000000003E-7</v>
      </c>
      <c r="I157" s="4" t="s">
        <v>13</v>
      </c>
      <c r="J157" s="28">
        <f t="shared" si="5"/>
        <v>8.3199600000000003E-7</v>
      </c>
      <c r="K157" s="4" t="str">
        <f>IF(OpenLCAdetail!I157="CTUh", "Fill in Manually", INDEX(LookUps!$E$5:$E$12, MATCH(OpenLCAdetail!I157,LookUps!$D$5:$D$12,0)))</f>
        <v>Eutrophication Potential (EP) - kg N eq</v>
      </c>
      <c r="O157" s="119"/>
      <c r="P157" s="119"/>
    </row>
    <row r="158" spans="2:16" x14ac:dyDescent="0.25">
      <c r="B158" s="4" t="s">
        <v>45</v>
      </c>
      <c r="C158" s="4" t="str">
        <f t="shared" si="4"/>
        <v>Infrastructure</v>
      </c>
      <c r="F158" s="27">
        <v>0</v>
      </c>
      <c r="G158" s="4" t="s">
        <v>75</v>
      </c>
      <c r="H158" s="327">
        <v>3.6799800000000001E-7</v>
      </c>
      <c r="I158" s="4" t="s">
        <v>13</v>
      </c>
      <c r="J158" s="28">
        <f t="shared" si="5"/>
        <v>3.6799800000000001E-7</v>
      </c>
      <c r="K158" s="4" t="str">
        <f>IF(OpenLCAdetail!I158="CTUh", "Fill in Manually", INDEX(LookUps!$E$5:$E$12, MATCH(OpenLCAdetail!I158,LookUps!$D$5:$D$12,0)))</f>
        <v>Eutrophication Potential (EP) - kg N eq</v>
      </c>
      <c r="O158" s="119"/>
      <c r="P158" s="119"/>
    </row>
    <row r="159" spans="2:16" x14ac:dyDescent="0.25">
      <c r="B159" s="4" t="s">
        <v>45</v>
      </c>
      <c r="C159" s="4" t="str">
        <f t="shared" si="4"/>
        <v>Infrastructure</v>
      </c>
      <c r="F159" s="27">
        <v>0</v>
      </c>
      <c r="G159" s="4" t="s">
        <v>76</v>
      </c>
      <c r="H159" s="327">
        <v>5.0008800000000002E-9</v>
      </c>
      <c r="I159" s="4" t="s">
        <v>13</v>
      </c>
      <c r="J159" s="28">
        <f t="shared" si="5"/>
        <v>5.0008800000000002E-9</v>
      </c>
      <c r="K159" s="4" t="str">
        <f>IF(OpenLCAdetail!I159="CTUh", "Fill in Manually", INDEX(LookUps!$E$5:$E$12, MATCH(OpenLCAdetail!I159,LookUps!$D$5:$D$12,0)))</f>
        <v>Eutrophication Potential (EP) - kg N eq</v>
      </c>
      <c r="O159" s="119"/>
      <c r="P159" s="119"/>
    </row>
    <row r="160" spans="2:16" x14ac:dyDescent="0.25">
      <c r="B160" s="4" t="s">
        <v>45</v>
      </c>
      <c r="C160" s="4" t="str">
        <f t="shared" si="4"/>
        <v>Infrastructure</v>
      </c>
      <c r="F160" s="27">
        <v>0</v>
      </c>
      <c r="G160" s="4" t="s">
        <v>153</v>
      </c>
      <c r="H160" s="327">
        <v>4.0497499999999996E-9</v>
      </c>
      <c r="I160" s="4" t="s">
        <v>13</v>
      </c>
      <c r="J160" s="28">
        <f t="shared" si="5"/>
        <v>4.0497499999999996E-9</v>
      </c>
      <c r="K160" s="4" t="str">
        <f>IF(OpenLCAdetail!I160="CTUh", "Fill in Manually", INDEX(LookUps!$E$5:$E$12, MATCH(OpenLCAdetail!I160,LookUps!$D$5:$D$12,0)))</f>
        <v>Eutrophication Potential (EP) - kg N eq</v>
      </c>
      <c r="O160" s="119"/>
      <c r="P160" s="119"/>
    </row>
    <row r="161" spans="2:16" x14ac:dyDescent="0.25">
      <c r="B161" s="4" t="s">
        <v>45</v>
      </c>
      <c r="C161" s="4" t="str">
        <f t="shared" si="4"/>
        <v>Infrastructure</v>
      </c>
      <c r="F161" s="27">
        <v>0</v>
      </c>
      <c r="G161" s="4" t="s">
        <v>152</v>
      </c>
      <c r="H161" s="327">
        <v>1.86222E-9</v>
      </c>
      <c r="I161" s="4" t="s">
        <v>13</v>
      </c>
      <c r="J161" s="28">
        <f t="shared" si="5"/>
        <v>1.86222E-9</v>
      </c>
      <c r="K161" s="4" t="str">
        <f>IF(OpenLCAdetail!I161="CTUh", "Fill in Manually", INDEX(LookUps!$E$5:$E$12, MATCH(OpenLCAdetail!I161,LookUps!$D$5:$D$12,0)))</f>
        <v>Eutrophication Potential (EP) - kg N eq</v>
      </c>
      <c r="O161" s="119"/>
      <c r="P161" s="119"/>
    </row>
    <row r="162" spans="2:16" x14ac:dyDescent="0.25">
      <c r="B162" s="4" t="s">
        <v>45</v>
      </c>
      <c r="C162" s="4" t="str">
        <f t="shared" si="4"/>
        <v>Unit Process Emissions</v>
      </c>
      <c r="E162" s="27">
        <v>1.5E-3</v>
      </c>
      <c r="G162" s="4" t="s">
        <v>128</v>
      </c>
      <c r="H162" s="327">
        <v>3.7559799999999999E-5</v>
      </c>
      <c r="I162" s="4" t="s">
        <v>13</v>
      </c>
      <c r="J162" s="28">
        <f>H162-SUM(H163:H164)</f>
        <v>-2.2000000000183765E-11</v>
      </c>
      <c r="K162" s="4" t="str">
        <f>IF(OpenLCAdetail!I162="CTUh", "Fill in Manually", INDEX(LookUps!$E$5:$E$12, MATCH(OpenLCAdetail!I162,LookUps!$D$5:$D$12,0)))</f>
        <v>Eutrophication Potential (EP) - kg N eq</v>
      </c>
      <c r="O162" s="119"/>
      <c r="P162" s="119"/>
    </row>
    <row r="163" spans="2:16" x14ac:dyDescent="0.25">
      <c r="B163" s="4" t="s">
        <v>45</v>
      </c>
      <c r="C163" s="4" t="str">
        <f t="shared" si="4"/>
        <v>Electricity</v>
      </c>
      <c r="E163" s="27"/>
      <c r="F163" s="27">
        <v>1.5E-3</v>
      </c>
      <c r="G163" s="4" t="s">
        <v>71</v>
      </c>
      <c r="H163" s="327">
        <v>3.7173099999999998E-5</v>
      </c>
      <c r="I163" s="4" t="s">
        <v>13</v>
      </c>
      <c r="J163" s="28">
        <f t="shared" si="5"/>
        <v>3.7173099999999998E-5</v>
      </c>
      <c r="K163" s="4" t="str">
        <f>IF(OpenLCAdetail!I163="CTUh", "Fill in Manually", INDEX(LookUps!$E$5:$E$12, MATCH(OpenLCAdetail!I163,LookUps!$D$5:$D$12,0)))</f>
        <v>Eutrophication Potential (EP) - kg N eq</v>
      </c>
      <c r="O163" s="119"/>
      <c r="P163" s="119"/>
    </row>
    <row r="164" spans="2:16" x14ac:dyDescent="0.25">
      <c r="B164" s="4" t="s">
        <v>45</v>
      </c>
      <c r="C164" s="4" t="str">
        <f t="shared" si="4"/>
        <v>Infrastructure</v>
      </c>
      <c r="E164" s="27"/>
      <c r="F164" s="27">
        <v>0</v>
      </c>
      <c r="G164" s="4" t="s">
        <v>157</v>
      </c>
      <c r="H164" s="327">
        <v>3.8672200000000001E-7</v>
      </c>
      <c r="I164" s="4" t="s">
        <v>13</v>
      </c>
      <c r="J164" s="28">
        <f t="shared" si="5"/>
        <v>3.8672200000000001E-7</v>
      </c>
      <c r="K164" s="4" t="str">
        <f>IF(OpenLCAdetail!I164="CTUh", "Fill in Manually", INDEX(LookUps!$E$5:$E$12, MATCH(OpenLCAdetail!I164,LookUps!$D$5:$D$12,0)))</f>
        <v>Eutrophication Potential (EP) - kg N eq</v>
      </c>
      <c r="O164" s="119"/>
      <c r="P164" s="119"/>
    </row>
    <row r="165" spans="2:16" x14ac:dyDescent="0.25">
      <c r="B165" s="4" t="s">
        <v>45</v>
      </c>
      <c r="C165" s="4" t="str">
        <f t="shared" si="4"/>
        <v>Unit Process Emissions</v>
      </c>
      <c r="E165" s="27">
        <v>1.4E-3</v>
      </c>
      <c r="F165" s="27"/>
      <c r="G165" s="4" t="s">
        <v>56</v>
      </c>
      <c r="H165" s="327">
        <v>3.3376800000000002E-5</v>
      </c>
      <c r="I165" s="4" t="s">
        <v>13</v>
      </c>
      <c r="J165" s="28">
        <f>H165-SUM(H166:H171)</f>
        <v>2.1500000002181666E-11</v>
      </c>
      <c r="K165" s="4" t="str">
        <f>IF(OpenLCAdetail!I165="CTUh", "Fill in Manually", INDEX(LookUps!$E$5:$E$12, MATCH(OpenLCAdetail!I165,LookUps!$D$5:$D$12,0)))</f>
        <v>Eutrophication Potential (EP) - kg N eq</v>
      </c>
      <c r="O165" s="119"/>
      <c r="P165" s="119"/>
    </row>
    <row r="166" spans="2:16" x14ac:dyDescent="0.25">
      <c r="B166" s="4" t="s">
        <v>45</v>
      </c>
      <c r="C166" s="4" t="str">
        <f t="shared" si="4"/>
        <v>Infrastructure</v>
      </c>
      <c r="E166" s="27"/>
      <c r="F166" s="27">
        <v>5.0000000000000001E-4</v>
      </c>
      <c r="G166" s="4" t="s">
        <v>73</v>
      </c>
      <c r="H166" s="327">
        <v>1.26703E-5</v>
      </c>
      <c r="I166" s="4" t="s">
        <v>13</v>
      </c>
      <c r="J166" s="28">
        <f t="shared" si="5"/>
        <v>1.26703E-5</v>
      </c>
      <c r="K166" s="4" t="str">
        <f>IF(OpenLCAdetail!I166="CTUh", "Fill in Manually", INDEX(LookUps!$E$5:$E$12, MATCH(OpenLCAdetail!I166,LookUps!$D$5:$D$12,0)))</f>
        <v>Eutrophication Potential (EP) - kg N eq</v>
      </c>
      <c r="O166" s="119"/>
      <c r="P166" s="119"/>
    </row>
    <row r="167" spans="2:16" x14ac:dyDescent="0.25">
      <c r="B167" s="4" t="s">
        <v>45</v>
      </c>
      <c r="C167" s="4" t="str">
        <f t="shared" si="4"/>
        <v>Infrastructure</v>
      </c>
      <c r="E167" s="27"/>
      <c r="F167" s="27">
        <v>5.0000000000000001E-4</v>
      </c>
      <c r="G167" s="4" t="s">
        <v>72</v>
      </c>
      <c r="H167" s="327">
        <v>1.22419E-5</v>
      </c>
      <c r="I167" s="4" t="s">
        <v>13</v>
      </c>
      <c r="J167" s="28">
        <f t="shared" si="5"/>
        <v>1.22419E-5</v>
      </c>
      <c r="K167" s="4" t="str">
        <f>IF(OpenLCAdetail!I167="CTUh", "Fill in Manually", INDEX(LookUps!$E$5:$E$12, MATCH(OpenLCAdetail!I167,LookUps!$D$5:$D$12,0)))</f>
        <v>Eutrophication Potential (EP) - kg N eq</v>
      </c>
      <c r="O167" s="119"/>
      <c r="P167" s="119"/>
    </row>
    <row r="168" spans="2:16" x14ac:dyDescent="0.25">
      <c r="B168" s="4" t="s">
        <v>45</v>
      </c>
      <c r="C168" s="4" t="str">
        <f t="shared" si="4"/>
        <v>natural gas</v>
      </c>
      <c r="E168" s="27"/>
      <c r="F168" s="27">
        <v>2.9999999999999997E-4</v>
      </c>
      <c r="G168" s="4" t="s">
        <v>158</v>
      </c>
      <c r="H168" s="327">
        <v>7.0193599999999998E-6</v>
      </c>
      <c r="I168" s="4" t="s">
        <v>13</v>
      </c>
      <c r="J168" s="28">
        <f t="shared" si="5"/>
        <v>7.0193599999999998E-6</v>
      </c>
      <c r="K168" s="4" t="str">
        <f>IF(OpenLCAdetail!I168="CTUh", "Fill in Manually", INDEX(LookUps!$E$5:$E$12, MATCH(OpenLCAdetail!I168,LookUps!$D$5:$D$12,0)))</f>
        <v>Eutrophication Potential (EP) - kg N eq</v>
      </c>
      <c r="O168" s="119"/>
      <c r="P168" s="119"/>
    </row>
    <row r="169" spans="2:16" x14ac:dyDescent="0.25">
      <c r="B169" s="4" t="s">
        <v>45</v>
      </c>
      <c r="C169" s="4" t="str">
        <f t="shared" ref="C169:C235" si="6">INDEX($O$10:$O$60,MATCH(G169, $P$10:$P$60,0))</f>
        <v>Infrastructure</v>
      </c>
      <c r="E169" s="27"/>
      <c r="F169" s="27">
        <v>0</v>
      </c>
      <c r="G169" s="4" t="s">
        <v>74</v>
      </c>
      <c r="H169" s="327">
        <v>1.0514499999999999E-6</v>
      </c>
      <c r="I169" s="4" t="s">
        <v>13</v>
      </c>
      <c r="J169" s="28">
        <f t="shared" si="5"/>
        <v>1.0514499999999999E-6</v>
      </c>
      <c r="K169" s="4" t="str">
        <f>IF(OpenLCAdetail!I169="CTUh", "Fill in Manually", INDEX(LookUps!$E$5:$E$12, MATCH(OpenLCAdetail!I169,LookUps!$D$5:$D$12,0)))</f>
        <v>Eutrophication Potential (EP) - kg N eq</v>
      </c>
      <c r="O169" s="119"/>
      <c r="P169" s="119"/>
    </row>
    <row r="170" spans="2:16" x14ac:dyDescent="0.25">
      <c r="B170" s="4" t="s">
        <v>45</v>
      </c>
      <c r="C170" s="4" t="str">
        <f t="shared" si="6"/>
        <v>Infrastructure</v>
      </c>
      <c r="E170" s="27"/>
      <c r="F170" s="27">
        <v>0</v>
      </c>
      <c r="G170" s="4" t="s">
        <v>75</v>
      </c>
      <c r="H170" s="327">
        <v>3.7348900000000002E-7</v>
      </c>
      <c r="I170" s="4" t="s">
        <v>13</v>
      </c>
      <c r="J170" s="28">
        <f t="shared" si="5"/>
        <v>3.7348900000000002E-7</v>
      </c>
      <c r="K170" s="4" t="str">
        <f>IF(OpenLCAdetail!I170="CTUh", "Fill in Manually", INDEX(LookUps!$E$5:$E$12, MATCH(OpenLCAdetail!I170,LookUps!$D$5:$D$12,0)))</f>
        <v>Eutrophication Potential (EP) - kg N eq</v>
      </c>
      <c r="O170" s="119"/>
      <c r="P170" s="119"/>
    </row>
    <row r="171" spans="2:16" x14ac:dyDescent="0.25">
      <c r="B171" s="4" t="s">
        <v>45</v>
      </c>
      <c r="C171" s="4" t="str">
        <f t="shared" si="6"/>
        <v>Infrastructure</v>
      </c>
      <c r="E171" s="27"/>
      <c r="F171" s="27">
        <v>0</v>
      </c>
      <c r="G171" s="4" t="s">
        <v>76</v>
      </c>
      <c r="H171" s="327">
        <v>2.02795E-8</v>
      </c>
      <c r="I171" s="4" t="s">
        <v>13</v>
      </c>
      <c r="J171" s="28">
        <f t="shared" si="5"/>
        <v>2.02795E-8</v>
      </c>
      <c r="K171" s="4" t="str">
        <f>IF(OpenLCAdetail!I171="CTUh", "Fill in Manually", INDEX(LookUps!$E$5:$E$12, MATCH(OpenLCAdetail!I171,LookUps!$D$5:$D$12,0)))</f>
        <v>Eutrophication Potential (EP) - kg N eq</v>
      </c>
      <c r="O171" s="119"/>
      <c r="P171" s="119"/>
    </row>
    <row r="172" spans="2:16" x14ac:dyDescent="0.25">
      <c r="B172" s="4" t="s">
        <v>45</v>
      </c>
      <c r="C172" s="4" t="str">
        <f t="shared" si="6"/>
        <v>Unit Process Emissions</v>
      </c>
      <c r="E172" s="27">
        <v>1.1000000000000001E-3</v>
      </c>
      <c r="G172" s="4" t="s">
        <v>123</v>
      </c>
      <c r="H172" s="327">
        <v>2.6429899999999999E-5</v>
      </c>
      <c r="I172" s="4" t="s">
        <v>13</v>
      </c>
      <c r="J172" s="28">
        <f>H172-SUM(H173:H174)</f>
        <v>2.9999999998710529E-11</v>
      </c>
      <c r="K172" s="4" t="str">
        <f>IF(OpenLCAdetail!I172="CTUh", "Fill in Manually", INDEX(LookUps!$E$5:$E$12, MATCH(OpenLCAdetail!I172,LookUps!$D$5:$D$12,0)))</f>
        <v>Eutrophication Potential (EP) - kg N eq</v>
      </c>
      <c r="O172" s="119"/>
      <c r="P172" s="119"/>
    </row>
    <row r="173" spans="2:16" x14ac:dyDescent="0.25">
      <c r="B173" s="4" t="s">
        <v>45</v>
      </c>
      <c r="C173" s="4" t="str">
        <f t="shared" si="6"/>
        <v>Electricity</v>
      </c>
      <c r="E173" s="27"/>
      <c r="F173" s="27">
        <v>8.0000000000000004E-4</v>
      </c>
      <c r="G173" s="4" t="s">
        <v>71</v>
      </c>
      <c r="H173" s="327">
        <v>1.90847E-5</v>
      </c>
      <c r="I173" s="4" t="s">
        <v>13</v>
      </c>
      <c r="J173" s="28">
        <f t="shared" si="5"/>
        <v>1.90847E-5</v>
      </c>
      <c r="K173" s="4" t="str">
        <f>IF(OpenLCAdetail!I173="CTUh", "Fill in Manually", INDEX(LookUps!$E$5:$E$12, MATCH(OpenLCAdetail!I173,LookUps!$D$5:$D$12,0)))</f>
        <v>Eutrophication Potential (EP) - kg N eq</v>
      </c>
      <c r="O173" s="119"/>
      <c r="P173" s="119"/>
    </row>
    <row r="174" spans="2:16" x14ac:dyDescent="0.25">
      <c r="B174" s="4" t="s">
        <v>45</v>
      </c>
      <c r="C174" s="4" t="str">
        <f t="shared" si="6"/>
        <v>chemicals</v>
      </c>
      <c r="E174" s="27"/>
      <c r="F174" s="27">
        <v>2.9999999999999997E-4</v>
      </c>
      <c r="G174" s="4" t="s">
        <v>77</v>
      </c>
      <c r="H174" s="327">
        <v>7.34517E-6</v>
      </c>
      <c r="I174" s="4" t="s">
        <v>13</v>
      </c>
      <c r="J174" s="28">
        <f t="shared" si="5"/>
        <v>7.34517E-6</v>
      </c>
      <c r="K174" s="4" t="str">
        <f>IF(OpenLCAdetail!I174="CTUh", "Fill in Manually", INDEX(LookUps!$E$5:$E$12, MATCH(OpenLCAdetail!I174,LookUps!$D$5:$D$12,0)))</f>
        <v>Eutrophication Potential (EP) - kg N eq</v>
      </c>
      <c r="O174" s="119"/>
      <c r="P174" s="119"/>
    </row>
    <row r="175" spans="2:16" x14ac:dyDescent="0.25">
      <c r="B175" s="4" t="s">
        <v>45</v>
      </c>
      <c r="C175" s="4" t="str">
        <f t="shared" si="6"/>
        <v>Unit Process Emissions</v>
      </c>
      <c r="E175" s="27">
        <v>1E-3</v>
      </c>
      <c r="F175" s="27"/>
      <c r="G175" s="4" t="s">
        <v>150</v>
      </c>
      <c r="H175" s="327">
        <v>2.4301600000000001E-5</v>
      </c>
      <c r="I175" s="4" t="s">
        <v>13</v>
      </c>
      <c r="J175" s="28">
        <f>H175-SUM(H176:H181)</f>
        <v>7.1193000001918815E-11</v>
      </c>
      <c r="K175" s="4" t="str">
        <f>IF(OpenLCAdetail!I175="CTUh", "Fill in Manually", INDEX(LookUps!$E$5:$E$12, MATCH(OpenLCAdetail!I175,LookUps!$D$5:$D$12,0)))</f>
        <v>Eutrophication Potential (EP) - kg N eq</v>
      </c>
      <c r="O175" s="119"/>
      <c r="P175" s="119"/>
    </row>
    <row r="176" spans="2:16" x14ac:dyDescent="0.25">
      <c r="B176" s="4" t="s">
        <v>45</v>
      </c>
      <c r="C176" s="4" t="str">
        <f t="shared" si="6"/>
        <v>Electricity</v>
      </c>
      <c r="E176" s="27"/>
      <c r="F176" s="27">
        <v>8.9999999999999998E-4</v>
      </c>
      <c r="G176" s="4" t="s">
        <v>71</v>
      </c>
      <c r="H176" s="327">
        <v>2.1866500000000001E-5</v>
      </c>
      <c r="I176" s="4" t="s">
        <v>13</v>
      </c>
      <c r="J176" s="28">
        <f t="shared" si="5"/>
        <v>2.1866500000000001E-5</v>
      </c>
      <c r="K176" s="4" t="str">
        <f>IF(OpenLCAdetail!I176="CTUh", "Fill in Manually", INDEX(LookUps!$E$5:$E$12, MATCH(OpenLCAdetail!I176,LookUps!$D$5:$D$12,0)))</f>
        <v>Eutrophication Potential (EP) - kg N eq</v>
      </c>
      <c r="O176" s="119"/>
      <c r="P176" s="119"/>
    </row>
    <row r="177" spans="2:16" x14ac:dyDescent="0.25">
      <c r="B177" s="4" t="s">
        <v>45</v>
      </c>
      <c r="C177" s="4" t="str">
        <f t="shared" si="6"/>
        <v>Infrastructure</v>
      </c>
      <c r="E177" s="27"/>
      <c r="F177" s="27">
        <v>0</v>
      </c>
      <c r="G177" s="4" t="s">
        <v>73</v>
      </c>
      <c r="H177" s="327">
        <v>1.21424E-6</v>
      </c>
      <c r="I177" s="4" t="s">
        <v>13</v>
      </c>
      <c r="J177" s="28">
        <f t="shared" si="5"/>
        <v>1.21424E-6</v>
      </c>
      <c r="K177" s="4" t="str">
        <f>IF(OpenLCAdetail!I177="CTUh", "Fill in Manually", INDEX(LookUps!$E$5:$E$12, MATCH(OpenLCAdetail!I177,LookUps!$D$5:$D$12,0)))</f>
        <v>Eutrophication Potential (EP) - kg N eq</v>
      </c>
      <c r="O177" s="119"/>
      <c r="P177" s="119"/>
    </row>
    <row r="178" spans="2:16" x14ac:dyDescent="0.25">
      <c r="B178" s="4" t="s">
        <v>45</v>
      </c>
      <c r="C178" s="4" t="str">
        <f t="shared" si="6"/>
        <v>Infrastructure</v>
      </c>
      <c r="E178" s="27"/>
      <c r="F178" s="27">
        <v>0</v>
      </c>
      <c r="G178" s="4" t="s">
        <v>72</v>
      </c>
      <c r="H178" s="327">
        <v>1.17319E-6</v>
      </c>
      <c r="I178" s="4" t="s">
        <v>13</v>
      </c>
      <c r="J178" s="28">
        <f t="shared" si="5"/>
        <v>1.17319E-6</v>
      </c>
      <c r="K178" s="4" t="str">
        <f>IF(OpenLCAdetail!I178="CTUh", "Fill in Manually", INDEX(LookUps!$E$5:$E$12, MATCH(OpenLCAdetail!I178,LookUps!$D$5:$D$12,0)))</f>
        <v>Eutrophication Potential (EP) - kg N eq</v>
      </c>
      <c r="O178" s="119"/>
      <c r="P178" s="119"/>
    </row>
    <row r="179" spans="2:16" x14ac:dyDescent="0.25">
      <c r="B179" s="4" t="s">
        <v>45</v>
      </c>
      <c r="C179" s="4" t="str">
        <f t="shared" si="6"/>
        <v>Infrastructure</v>
      </c>
      <c r="E179" s="27"/>
      <c r="F179" s="27">
        <v>0</v>
      </c>
      <c r="G179" s="4" t="s">
        <v>74</v>
      </c>
      <c r="H179" s="327">
        <v>2.59864E-8</v>
      </c>
      <c r="I179" s="4" t="s">
        <v>13</v>
      </c>
      <c r="J179" s="28">
        <f t="shared" si="5"/>
        <v>2.59864E-8</v>
      </c>
      <c r="K179" s="4" t="str">
        <f>IF(OpenLCAdetail!I179="CTUh", "Fill in Manually", INDEX(LookUps!$E$5:$E$12, MATCH(OpenLCAdetail!I179,LookUps!$D$5:$D$12,0)))</f>
        <v>Eutrophication Potential (EP) - kg N eq</v>
      </c>
      <c r="O179" s="119"/>
      <c r="P179" s="119"/>
    </row>
    <row r="180" spans="2:16" x14ac:dyDescent="0.25">
      <c r="B180" s="4" t="s">
        <v>45</v>
      </c>
      <c r="C180" s="4" t="str">
        <f t="shared" si="6"/>
        <v>Infrastructure</v>
      </c>
      <c r="E180" s="27"/>
      <c r="F180" s="27">
        <v>0</v>
      </c>
      <c r="G180" s="4" t="s">
        <v>75</v>
      </c>
      <c r="H180" s="327">
        <v>2.11629E-8</v>
      </c>
      <c r="I180" s="4" t="s">
        <v>13</v>
      </c>
      <c r="J180" s="28">
        <f t="shared" si="5"/>
        <v>2.11629E-8</v>
      </c>
      <c r="K180" s="4" t="str">
        <f>IF(OpenLCAdetail!I180="CTUh", "Fill in Manually", INDEX(LookUps!$E$5:$E$12, MATCH(OpenLCAdetail!I180,LookUps!$D$5:$D$12,0)))</f>
        <v>Eutrophication Potential (EP) - kg N eq</v>
      </c>
      <c r="O180" s="119"/>
      <c r="P180" s="119"/>
    </row>
    <row r="181" spans="2:16" x14ac:dyDescent="0.25">
      <c r="B181" s="4" t="s">
        <v>45</v>
      </c>
      <c r="C181" s="4" t="str">
        <f t="shared" si="6"/>
        <v>Infrastructure</v>
      </c>
      <c r="E181" s="27"/>
      <c r="F181" s="27">
        <v>0</v>
      </c>
      <c r="G181" s="4" t="s">
        <v>76</v>
      </c>
      <c r="H181" s="327">
        <v>4.4950700000000001E-10</v>
      </c>
      <c r="I181" s="4" t="s">
        <v>13</v>
      </c>
      <c r="J181" s="28">
        <f t="shared" si="5"/>
        <v>4.4950700000000001E-10</v>
      </c>
      <c r="K181" s="4" t="str">
        <f>IF(OpenLCAdetail!I181="CTUh", "Fill in Manually", INDEX(LookUps!$E$5:$E$12, MATCH(OpenLCAdetail!I181,LookUps!$D$5:$D$12,0)))</f>
        <v>Eutrophication Potential (EP) - kg N eq</v>
      </c>
      <c r="O181" s="119"/>
      <c r="P181" s="119"/>
    </row>
    <row r="182" spans="2:16" x14ac:dyDescent="0.25">
      <c r="B182" s="4" t="s">
        <v>45</v>
      </c>
      <c r="C182" s="4" t="str">
        <f t="shared" si="6"/>
        <v>Unit Process Emissions</v>
      </c>
      <c r="E182" s="27">
        <v>1E-4</v>
      </c>
      <c r="G182" s="4" t="s">
        <v>127</v>
      </c>
      <c r="H182" s="327">
        <v>3.0418400000000001E-6</v>
      </c>
      <c r="I182" s="4" t="s">
        <v>13</v>
      </c>
      <c r="J182" s="28">
        <f>H182-SUM(H183:H188)</f>
        <v>7.4110000003076973E-12</v>
      </c>
      <c r="K182" s="4" t="str">
        <f>IF(OpenLCAdetail!I182="CTUh", "Fill in Manually", INDEX(LookUps!$E$5:$E$12, MATCH(OpenLCAdetail!I182,LookUps!$D$5:$D$12,0)))</f>
        <v>Eutrophication Potential (EP) - kg N eq</v>
      </c>
      <c r="O182" s="119"/>
      <c r="P182" s="119"/>
    </row>
    <row r="183" spans="2:16" x14ac:dyDescent="0.25">
      <c r="B183" s="4" t="s">
        <v>45</v>
      </c>
      <c r="C183" s="4" t="str">
        <f t="shared" si="6"/>
        <v>Electricity</v>
      </c>
      <c r="E183" s="27"/>
      <c r="F183" s="27">
        <v>1E-4</v>
      </c>
      <c r="G183" s="4" t="s">
        <v>71</v>
      </c>
      <c r="H183" s="327">
        <v>2.4753700000000001E-6</v>
      </c>
      <c r="I183" s="4" t="s">
        <v>13</v>
      </c>
      <c r="J183" s="28">
        <f t="shared" si="5"/>
        <v>2.4753700000000001E-6</v>
      </c>
      <c r="K183" s="4" t="str">
        <f>IF(OpenLCAdetail!I183="CTUh", "Fill in Manually", INDEX(LookUps!$E$5:$E$12, MATCH(OpenLCAdetail!I183,LookUps!$D$5:$D$12,0)))</f>
        <v>Eutrophication Potential (EP) - kg N eq</v>
      </c>
      <c r="O183" s="119"/>
      <c r="P183" s="119"/>
    </row>
    <row r="184" spans="2:16" x14ac:dyDescent="0.25">
      <c r="B184" s="4" t="s">
        <v>45</v>
      </c>
      <c r="C184" s="4" t="str">
        <f t="shared" si="6"/>
        <v>Infrastructure</v>
      </c>
      <c r="E184" s="27"/>
      <c r="F184" s="27">
        <v>0</v>
      </c>
      <c r="G184" s="4" t="s">
        <v>73</v>
      </c>
      <c r="H184" s="327">
        <v>2.2613E-7</v>
      </c>
      <c r="I184" s="4" t="s">
        <v>13</v>
      </c>
      <c r="J184" s="28">
        <f t="shared" si="5"/>
        <v>2.2613E-7</v>
      </c>
      <c r="K184" s="4" t="str">
        <f>IF(OpenLCAdetail!I184="CTUh", "Fill in Manually", INDEX(LookUps!$E$5:$E$12, MATCH(OpenLCAdetail!I184,LookUps!$D$5:$D$12,0)))</f>
        <v>Eutrophication Potential (EP) - kg N eq</v>
      </c>
      <c r="O184" s="119"/>
      <c r="P184" s="119"/>
    </row>
    <row r="185" spans="2:16" x14ac:dyDescent="0.25">
      <c r="B185" s="4" t="s">
        <v>45</v>
      </c>
      <c r="C185" s="4" t="str">
        <f t="shared" si="6"/>
        <v>Infrastructure</v>
      </c>
      <c r="E185" s="27"/>
      <c r="F185" s="27">
        <v>0</v>
      </c>
      <c r="G185" s="4" t="s">
        <v>72</v>
      </c>
      <c r="H185" s="327">
        <v>2.1848499999999999E-7</v>
      </c>
      <c r="I185" s="4" t="s">
        <v>13</v>
      </c>
      <c r="J185" s="28">
        <f t="shared" si="5"/>
        <v>2.1848499999999999E-7</v>
      </c>
      <c r="K185" s="4" t="str">
        <f>IF(OpenLCAdetail!I185="CTUh", "Fill in Manually", INDEX(LookUps!$E$5:$E$12, MATCH(OpenLCAdetail!I185,LookUps!$D$5:$D$12,0)))</f>
        <v>Eutrophication Potential (EP) - kg N eq</v>
      </c>
      <c r="O185" s="119"/>
      <c r="P185" s="119"/>
    </row>
    <row r="186" spans="2:16" x14ac:dyDescent="0.25">
      <c r="B186" s="4" t="s">
        <v>45</v>
      </c>
      <c r="C186" s="4" t="str">
        <f t="shared" si="6"/>
        <v>Infrastructure</v>
      </c>
      <c r="E186" s="27"/>
      <c r="F186" s="27">
        <v>0</v>
      </c>
      <c r="G186" s="4" t="s">
        <v>74</v>
      </c>
      <c r="H186" s="327">
        <v>7.1977699999999995E-8</v>
      </c>
      <c r="I186" s="4" t="s">
        <v>13</v>
      </c>
      <c r="J186" s="28">
        <f t="shared" si="5"/>
        <v>7.1977699999999995E-8</v>
      </c>
      <c r="K186" s="4" t="str">
        <f>IF(OpenLCAdetail!I186="CTUh", "Fill in Manually", INDEX(LookUps!$E$5:$E$12, MATCH(OpenLCAdetail!I186,LookUps!$D$5:$D$12,0)))</f>
        <v>Eutrophication Potential (EP) - kg N eq</v>
      </c>
      <c r="O186" s="119"/>
      <c r="P186" s="119"/>
    </row>
    <row r="187" spans="2:16" x14ac:dyDescent="0.25">
      <c r="B187" s="4" t="s">
        <v>45</v>
      </c>
      <c r="C187" s="4" t="str">
        <f t="shared" si="6"/>
        <v>Infrastructure</v>
      </c>
      <c r="E187" s="27"/>
      <c r="F187" s="27">
        <v>0</v>
      </c>
      <c r="G187" s="4" t="s">
        <v>75</v>
      </c>
      <c r="H187" s="327">
        <v>4.8871899999999997E-8</v>
      </c>
      <c r="I187" s="4" t="s">
        <v>13</v>
      </c>
      <c r="J187" s="28">
        <f t="shared" si="5"/>
        <v>4.8871899999999997E-8</v>
      </c>
      <c r="K187" s="4" t="str">
        <f>IF(OpenLCAdetail!I187="CTUh", "Fill in Manually", INDEX(LookUps!$E$5:$E$12, MATCH(OpenLCAdetail!I187,LookUps!$D$5:$D$12,0)))</f>
        <v>Eutrophication Potential (EP) - kg N eq</v>
      </c>
      <c r="O187" s="119"/>
      <c r="P187" s="119"/>
    </row>
    <row r="188" spans="2:16" x14ac:dyDescent="0.25">
      <c r="B188" s="4" t="s">
        <v>45</v>
      </c>
      <c r="C188" s="4" t="str">
        <f t="shared" si="6"/>
        <v>Infrastructure</v>
      </c>
      <c r="E188" s="27"/>
      <c r="F188" s="27">
        <v>0</v>
      </c>
      <c r="G188" s="4" t="s">
        <v>76</v>
      </c>
      <c r="H188" s="327">
        <v>9.9798900000000008E-10</v>
      </c>
      <c r="I188" s="4" t="s">
        <v>13</v>
      </c>
      <c r="J188" s="28">
        <f t="shared" si="5"/>
        <v>9.9798900000000008E-10</v>
      </c>
      <c r="K188" s="4" t="str">
        <f>IF(OpenLCAdetail!I188="CTUh", "Fill in Manually", INDEX(LookUps!$E$5:$E$12, MATCH(OpenLCAdetail!I188,LookUps!$D$5:$D$12,0)))</f>
        <v>Eutrophication Potential (EP) - kg N eq</v>
      </c>
      <c r="O188" s="119"/>
      <c r="P188" s="119"/>
    </row>
    <row r="189" spans="2:16" x14ac:dyDescent="0.25">
      <c r="B189" s="4" t="s">
        <v>45</v>
      </c>
      <c r="C189" s="4" t="s">
        <v>184</v>
      </c>
      <c r="E189" s="27">
        <v>-3.2000000000000002E-3</v>
      </c>
      <c r="G189" s="4" t="s">
        <v>151</v>
      </c>
      <c r="H189" s="327">
        <v>-7.8219699999999999E-5</v>
      </c>
      <c r="I189" s="4" t="s">
        <v>13</v>
      </c>
      <c r="J189" s="28">
        <f>H189-SUM(H190:H192)</f>
        <v>-2.7727999999999949E-6</v>
      </c>
      <c r="K189" s="4" t="str">
        <f>IF(OpenLCAdetail!I189="CTUh", "Fill in Manually", INDEX(LookUps!$E$5:$E$12, MATCH(OpenLCAdetail!I189,LookUps!$D$5:$D$12,0)))</f>
        <v>Eutrophication Potential (EP) - kg N eq</v>
      </c>
      <c r="O189" s="119"/>
      <c r="P189" s="119"/>
    </row>
    <row r="190" spans="2:16" x14ac:dyDescent="0.25">
      <c r="B190" s="4" t="s">
        <v>45</v>
      </c>
      <c r="C190" s="4" t="str">
        <f t="shared" si="6"/>
        <v>Transport</v>
      </c>
      <c r="E190" s="27"/>
      <c r="F190" s="27">
        <v>5.0000000000000001E-4</v>
      </c>
      <c r="G190" s="4" t="s">
        <v>156</v>
      </c>
      <c r="H190" s="327">
        <v>1.2667799999999999E-5</v>
      </c>
      <c r="I190" s="4" t="s">
        <v>13</v>
      </c>
      <c r="J190" s="28">
        <f t="shared" si="5"/>
        <v>1.2667799999999999E-5</v>
      </c>
      <c r="K190" s="4" t="str">
        <f>IF(OpenLCAdetail!I190="CTUh", "Fill in Manually", INDEX(LookUps!$E$5:$E$12, MATCH(OpenLCAdetail!I190,LookUps!$D$5:$D$12,0)))</f>
        <v>Eutrophication Potential (EP) - kg N eq</v>
      </c>
      <c r="O190" s="119"/>
      <c r="P190" s="119"/>
    </row>
    <row r="191" spans="2:16" x14ac:dyDescent="0.25">
      <c r="B191" s="4" t="s">
        <v>45</v>
      </c>
      <c r="C191" s="4" t="str">
        <f t="shared" si="6"/>
        <v>Diesel</v>
      </c>
      <c r="E191" s="27"/>
      <c r="F191" s="27">
        <v>5.0000000000000001E-4</v>
      </c>
      <c r="G191" s="4" t="s">
        <v>155</v>
      </c>
      <c r="H191" s="327">
        <v>1.18853E-5</v>
      </c>
      <c r="I191" s="4" t="s">
        <v>13</v>
      </c>
      <c r="J191" s="28">
        <f t="shared" si="5"/>
        <v>1.18853E-5</v>
      </c>
      <c r="K191" s="4" t="str">
        <f>IF(OpenLCAdetail!I191="CTUh", "Fill in Manually", INDEX(LookUps!$E$5:$E$12, MATCH(OpenLCAdetail!I191,LookUps!$D$5:$D$12,0)))</f>
        <v>Eutrophication Potential (EP) - kg N eq</v>
      </c>
      <c r="O191" s="119"/>
      <c r="P191" s="119"/>
    </row>
    <row r="192" spans="2:16" x14ac:dyDescent="0.25">
      <c r="B192" s="4" t="s">
        <v>45</v>
      </c>
      <c r="C192" s="4" t="s">
        <v>81</v>
      </c>
      <c r="E192" s="27"/>
      <c r="F192" s="27">
        <v>-4.1999999999999997E-3</v>
      </c>
      <c r="G192" s="4" t="s">
        <v>71</v>
      </c>
      <c r="H192" s="327">
        <v>-1E-4</v>
      </c>
      <c r="I192" s="4" t="s">
        <v>13</v>
      </c>
      <c r="J192" s="28">
        <f t="shared" si="5"/>
        <v>-1E-4</v>
      </c>
      <c r="K192" s="4" t="str">
        <f>IF(OpenLCAdetail!I192="CTUh", "Fill in Manually", INDEX(LookUps!$E$5:$E$12, MATCH(OpenLCAdetail!I192,LookUps!$D$5:$D$12,0)))</f>
        <v>Eutrophication Potential (EP) - kg N eq</v>
      </c>
      <c r="O192" s="119"/>
      <c r="P192" s="119"/>
    </row>
    <row r="193" spans="2:16" x14ac:dyDescent="0.25">
      <c r="E193" s="27"/>
      <c r="J193" s="28"/>
      <c r="O193" s="119"/>
      <c r="P193" s="119"/>
    </row>
    <row r="194" spans="2:16" x14ac:dyDescent="0.25">
      <c r="B194" s="93" t="s">
        <v>46</v>
      </c>
      <c r="C194" s="93" t="s">
        <v>79</v>
      </c>
      <c r="D194" s="93"/>
      <c r="E194" s="94">
        <v>0.75570000000000004</v>
      </c>
      <c r="F194" s="94"/>
      <c r="G194" s="93" t="s">
        <v>271</v>
      </c>
      <c r="H194" s="329">
        <v>0.73433000000000004</v>
      </c>
      <c r="I194" s="93" t="s">
        <v>23</v>
      </c>
      <c r="J194" s="28">
        <f>H194-SUM(H195:H198)</f>
        <v>0.73365559652000001</v>
      </c>
      <c r="K194" s="93" t="str">
        <f>IF(OpenLCAdetail!I194="CTUh", "Fill in Manually", INDEX(LookUps!$E$5:$E$12, MATCH(OpenLCAdetail!I194,LookUps!$D$5:$D$12,0)))</f>
        <v>Global Warming Potential (GWP) - kg CO2 eq</v>
      </c>
      <c r="O194" s="119"/>
      <c r="P194" s="119"/>
    </row>
    <row r="195" spans="2:16" x14ac:dyDescent="0.25">
      <c r="B195" s="4" t="s">
        <v>46</v>
      </c>
      <c r="C195" s="4" t="str">
        <f t="shared" si="6"/>
        <v>Transport</v>
      </c>
      <c r="F195" s="27">
        <v>4.0000000000000002E-4</v>
      </c>
      <c r="G195" s="4" t="s">
        <v>170</v>
      </c>
      <c r="H195" s="327">
        <v>4.2999999999999999E-4</v>
      </c>
      <c r="I195" s="4" t="s">
        <v>23</v>
      </c>
      <c r="J195" s="28">
        <f t="shared" ref="J195:J254" si="7">IF(F195="", "FILL MANUALLY", H195)</f>
        <v>4.2999999999999999E-4</v>
      </c>
      <c r="K195" s="4" t="str">
        <f>IF(OpenLCAdetail!I195="CTUh", "Fill in Manually", INDEX(LookUps!$E$5:$E$12, MATCH(OpenLCAdetail!I195,LookUps!$D$5:$D$12,0)))</f>
        <v>Global Warming Potential (GWP) - kg CO2 eq</v>
      </c>
      <c r="O195" s="119"/>
      <c r="P195" s="119"/>
    </row>
    <row r="196" spans="2:16" x14ac:dyDescent="0.25">
      <c r="B196" s="4" t="s">
        <v>46</v>
      </c>
      <c r="C196" s="4" t="str">
        <f t="shared" si="6"/>
        <v>Electricity</v>
      </c>
      <c r="F196" s="27">
        <v>2.0000000000000001E-4</v>
      </c>
      <c r="G196" s="4" t="s">
        <v>71</v>
      </c>
      <c r="H196" s="327">
        <v>1.9000000000000001E-4</v>
      </c>
      <c r="I196" s="4" t="s">
        <v>23</v>
      </c>
      <c r="J196" s="28">
        <f t="shared" si="7"/>
        <v>1.9000000000000001E-4</v>
      </c>
      <c r="K196" s="4" t="str">
        <f>IF(OpenLCAdetail!I196="CTUh", "Fill in Manually", INDEX(LookUps!$E$5:$E$12, MATCH(OpenLCAdetail!I196,LookUps!$D$5:$D$12,0)))</f>
        <v>Global Warming Potential (GWP) - kg CO2 eq</v>
      </c>
      <c r="O196" s="119"/>
      <c r="P196" s="119"/>
    </row>
    <row r="197" spans="2:16" x14ac:dyDescent="0.25">
      <c r="B197" s="4" t="s">
        <v>46</v>
      </c>
      <c r="C197" s="4" t="str">
        <f t="shared" si="6"/>
        <v>Diesel</v>
      </c>
      <c r="F197" s="27">
        <v>1E-4</v>
      </c>
      <c r="G197" s="4" t="s">
        <v>172</v>
      </c>
      <c r="H197" s="327">
        <v>6.3265100000000005E-5</v>
      </c>
      <c r="I197" s="4" t="s">
        <v>23</v>
      </c>
      <c r="J197" s="28">
        <f t="shared" si="7"/>
        <v>6.3265100000000005E-5</v>
      </c>
      <c r="K197" s="4" t="str">
        <f>IF(OpenLCAdetail!I197="CTUh", "Fill in Manually", INDEX(LookUps!$E$5:$E$12, MATCH(OpenLCAdetail!I197,LookUps!$D$5:$D$12,0)))</f>
        <v>Global Warming Potential (GWP) - kg CO2 eq</v>
      </c>
      <c r="O197" s="119"/>
      <c r="P197" s="119"/>
    </row>
    <row r="198" spans="2:16" x14ac:dyDescent="0.25">
      <c r="B198" s="4" t="s">
        <v>46</v>
      </c>
      <c r="C198" s="4" t="str">
        <f t="shared" si="6"/>
        <v>avoided products</v>
      </c>
      <c r="E198" s="27"/>
      <c r="F198" s="27">
        <v>0</v>
      </c>
      <c r="G198" s="4" t="s">
        <v>159</v>
      </c>
      <c r="H198" s="327">
        <v>-8.8616199999999997E-6</v>
      </c>
      <c r="I198" s="4" t="s">
        <v>23</v>
      </c>
      <c r="J198" s="28">
        <f t="shared" si="7"/>
        <v>-8.8616199999999997E-6</v>
      </c>
      <c r="K198" s="4" t="str">
        <f>IF(OpenLCAdetail!I198="CTUh", "Fill in Manually", INDEX(LookUps!$E$5:$E$12, MATCH(OpenLCAdetail!I198,LookUps!$D$5:$D$12,0)))</f>
        <v>Global Warming Potential (GWP) - kg CO2 eq</v>
      </c>
      <c r="O198" s="119"/>
      <c r="P198" s="119"/>
    </row>
    <row r="199" spans="2:16" x14ac:dyDescent="0.25">
      <c r="B199" s="4" t="s">
        <v>46</v>
      </c>
      <c r="C199" s="4" t="str">
        <f t="shared" si="6"/>
        <v>Unit Process Emissions</v>
      </c>
      <c r="E199" s="27">
        <v>0.24990000000000001</v>
      </c>
      <c r="F199" s="27"/>
      <c r="G199" s="4" t="s">
        <v>58</v>
      </c>
      <c r="H199" s="327">
        <v>0.24279999999999999</v>
      </c>
      <c r="I199" s="4" t="s">
        <v>23</v>
      </c>
      <c r="J199" s="28">
        <f>H199-SUM(H200:H207)</f>
        <v>0.200825067297</v>
      </c>
      <c r="K199" s="4" t="str">
        <f>IF(OpenLCAdetail!I199="CTUh", "Fill in Manually", INDEX(LookUps!$E$5:$E$12, MATCH(OpenLCAdetail!I199,LookUps!$D$5:$D$12,0)))</f>
        <v>Global Warming Potential (GWP) - kg CO2 eq</v>
      </c>
      <c r="O199" s="119"/>
      <c r="P199" s="119"/>
    </row>
    <row r="200" spans="2:16" x14ac:dyDescent="0.25">
      <c r="B200" s="4" t="s">
        <v>46</v>
      </c>
      <c r="C200" s="4" t="str">
        <f t="shared" si="6"/>
        <v>Electricity</v>
      </c>
      <c r="F200" s="27">
        <v>4.2099999999999999E-2</v>
      </c>
      <c r="G200" s="4" t="s">
        <v>71</v>
      </c>
      <c r="H200" s="327">
        <v>4.0890000000000003E-2</v>
      </c>
      <c r="I200" s="4" t="s">
        <v>23</v>
      </c>
      <c r="J200" s="28">
        <f t="shared" si="7"/>
        <v>4.0890000000000003E-2</v>
      </c>
      <c r="K200" s="4" t="str">
        <f>IF(OpenLCAdetail!I200="CTUh", "Fill in Manually", INDEX(LookUps!$E$5:$E$12, MATCH(OpenLCAdetail!I200,LookUps!$D$5:$D$12,0)))</f>
        <v>Global Warming Potential (GWP) - kg CO2 eq</v>
      </c>
      <c r="O200" s="119"/>
      <c r="P200" s="119"/>
    </row>
    <row r="201" spans="2:16" x14ac:dyDescent="0.25">
      <c r="B201" s="4" t="s">
        <v>46</v>
      </c>
      <c r="C201" s="4" t="str">
        <f t="shared" si="6"/>
        <v>Infrastructure</v>
      </c>
      <c r="F201" s="27">
        <v>2.9999999999999997E-4</v>
      </c>
      <c r="G201" s="4" t="s">
        <v>73</v>
      </c>
      <c r="H201" s="327">
        <v>3.4000000000000002E-4</v>
      </c>
      <c r="I201" s="4" t="s">
        <v>23</v>
      </c>
      <c r="J201" s="28">
        <f t="shared" si="7"/>
        <v>3.4000000000000002E-4</v>
      </c>
      <c r="K201" s="4" t="str">
        <f>IF(OpenLCAdetail!I201="CTUh", "Fill in Manually", INDEX(LookUps!$E$5:$E$12, MATCH(OpenLCAdetail!I201,LookUps!$D$5:$D$12,0)))</f>
        <v>Global Warming Potential (GWP) - kg CO2 eq</v>
      </c>
      <c r="O201" s="119"/>
      <c r="P201" s="119"/>
    </row>
    <row r="202" spans="2:16" x14ac:dyDescent="0.25">
      <c r="B202" s="4" t="s">
        <v>46</v>
      </c>
      <c r="C202" s="4" t="str">
        <f t="shared" si="6"/>
        <v>Infrastructure</v>
      </c>
      <c r="F202" s="27">
        <v>2.9999999999999997E-4</v>
      </c>
      <c r="G202" s="4" t="s">
        <v>72</v>
      </c>
      <c r="H202" s="327">
        <v>3.2000000000000003E-4</v>
      </c>
      <c r="I202" s="4" t="s">
        <v>23</v>
      </c>
      <c r="J202" s="28">
        <f t="shared" si="7"/>
        <v>3.2000000000000003E-4</v>
      </c>
      <c r="K202" s="4" t="str">
        <f>IF(OpenLCAdetail!I202="CTUh", "Fill in Manually", INDEX(LookUps!$E$5:$E$12, MATCH(OpenLCAdetail!I202,LookUps!$D$5:$D$12,0)))</f>
        <v>Global Warming Potential (GWP) - kg CO2 eq</v>
      </c>
      <c r="O202" s="119"/>
      <c r="P202" s="119"/>
    </row>
    <row r="203" spans="2:16" x14ac:dyDescent="0.25">
      <c r="B203" s="4" t="s">
        <v>46</v>
      </c>
      <c r="C203" s="4" t="str">
        <f t="shared" si="6"/>
        <v>Infrastructure</v>
      </c>
      <c r="F203" s="27">
        <v>2.9999999999999997E-4</v>
      </c>
      <c r="G203" s="4" t="s">
        <v>74</v>
      </c>
      <c r="H203" s="327">
        <v>3.1E-4</v>
      </c>
      <c r="I203" s="4" t="s">
        <v>23</v>
      </c>
      <c r="J203" s="28">
        <f t="shared" si="7"/>
        <v>3.1E-4</v>
      </c>
      <c r="K203" s="4" t="str">
        <f>IF(OpenLCAdetail!I203="CTUh", "Fill in Manually", INDEX(LookUps!$E$5:$E$12, MATCH(OpenLCAdetail!I203,LookUps!$D$5:$D$12,0)))</f>
        <v>Global Warming Potential (GWP) - kg CO2 eq</v>
      </c>
      <c r="O203" s="119"/>
      <c r="P203" s="119"/>
    </row>
    <row r="204" spans="2:16" x14ac:dyDescent="0.25">
      <c r="B204" s="4" t="s">
        <v>46</v>
      </c>
      <c r="C204" s="4" t="str">
        <f t="shared" si="6"/>
        <v>Infrastructure</v>
      </c>
      <c r="F204" s="27">
        <v>1E-4</v>
      </c>
      <c r="G204" s="4" t="s">
        <v>75</v>
      </c>
      <c r="H204" s="327">
        <v>1.1E-4</v>
      </c>
      <c r="I204" s="4" t="s">
        <v>23</v>
      </c>
      <c r="J204" s="28">
        <f t="shared" si="7"/>
        <v>1.1E-4</v>
      </c>
      <c r="K204" s="4" t="str">
        <f>IF(OpenLCAdetail!I204="CTUh", "Fill in Manually", INDEX(LookUps!$E$5:$E$12, MATCH(OpenLCAdetail!I204,LookUps!$D$5:$D$12,0)))</f>
        <v>Global Warming Potential (GWP) - kg CO2 eq</v>
      </c>
      <c r="O204" s="119"/>
      <c r="P204" s="119"/>
    </row>
    <row r="205" spans="2:16" x14ac:dyDescent="0.25">
      <c r="B205" s="4" t="s">
        <v>46</v>
      </c>
      <c r="C205" s="4" t="str">
        <f t="shared" si="6"/>
        <v>Infrastructure</v>
      </c>
      <c r="F205" s="27">
        <v>0</v>
      </c>
      <c r="G205" s="4" t="s">
        <v>76</v>
      </c>
      <c r="H205" s="327">
        <v>2.5697999999999999E-6</v>
      </c>
      <c r="I205" s="4" t="s">
        <v>23</v>
      </c>
      <c r="J205" s="28">
        <f t="shared" si="7"/>
        <v>2.5697999999999999E-6</v>
      </c>
      <c r="K205" s="4" t="str">
        <f>IF(OpenLCAdetail!I205="CTUh", "Fill in Manually", INDEX(LookUps!$E$5:$E$12, MATCH(OpenLCAdetail!I205,LookUps!$D$5:$D$12,0)))</f>
        <v>Global Warming Potential (GWP) - kg CO2 eq</v>
      </c>
      <c r="O205" s="119"/>
      <c r="P205" s="119"/>
    </row>
    <row r="206" spans="2:16" x14ac:dyDescent="0.25">
      <c r="B206" s="4" t="s">
        <v>46</v>
      </c>
      <c r="C206" s="4" t="str">
        <f t="shared" si="6"/>
        <v>Infrastructure</v>
      </c>
      <c r="F206" s="27">
        <v>0</v>
      </c>
      <c r="G206" s="4" t="s">
        <v>152</v>
      </c>
      <c r="H206" s="327">
        <v>1.8957999999999999E-6</v>
      </c>
      <c r="I206" s="4" t="s">
        <v>23</v>
      </c>
      <c r="J206" s="28">
        <f t="shared" si="7"/>
        <v>1.8957999999999999E-6</v>
      </c>
      <c r="K206" s="4" t="str">
        <f>IF(OpenLCAdetail!I206="CTUh", "Fill in Manually", INDEX(LookUps!$E$5:$E$12, MATCH(OpenLCAdetail!I206,LookUps!$D$5:$D$12,0)))</f>
        <v>Global Warming Potential (GWP) - kg CO2 eq</v>
      </c>
      <c r="O206" s="119"/>
      <c r="P206" s="119"/>
    </row>
    <row r="207" spans="2:16" x14ac:dyDescent="0.25">
      <c r="B207" s="4" t="s">
        <v>46</v>
      </c>
      <c r="C207" s="4" t="str">
        <f t="shared" si="6"/>
        <v>Infrastructure</v>
      </c>
      <c r="E207" s="27"/>
      <c r="F207" s="27">
        <v>0</v>
      </c>
      <c r="G207" s="4" t="s">
        <v>169</v>
      </c>
      <c r="H207" s="327">
        <v>4.6710300000000002E-7</v>
      </c>
      <c r="I207" s="4" t="s">
        <v>23</v>
      </c>
      <c r="J207" s="28">
        <f t="shared" si="7"/>
        <v>4.6710300000000002E-7</v>
      </c>
      <c r="K207" s="4" t="str">
        <f>IF(OpenLCAdetail!I207="CTUh", "Fill in Manually", INDEX(LookUps!$E$5:$E$12, MATCH(OpenLCAdetail!I207,LookUps!$D$5:$D$12,0)))</f>
        <v>Global Warming Potential (GWP) - kg CO2 eq</v>
      </c>
      <c r="O207" s="119"/>
      <c r="P207" s="119"/>
    </row>
    <row r="208" spans="2:16" x14ac:dyDescent="0.25">
      <c r="B208" s="4" t="s">
        <v>46</v>
      </c>
      <c r="C208" s="4" t="str">
        <f t="shared" si="6"/>
        <v>Unit Process Emissions</v>
      </c>
      <c r="E208" s="27">
        <v>0.1731</v>
      </c>
      <c r="F208" s="27"/>
      <c r="G208" s="4" t="s">
        <v>55</v>
      </c>
      <c r="H208" s="327">
        <v>0.16822000000000001</v>
      </c>
      <c r="I208" s="4" t="s">
        <v>23</v>
      </c>
      <c r="J208" s="28">
        <f>H208-SUM(H209:H216)</f>
        <v>-8.298160000003163E-6</v>
      </c>
      <c r="K208" s="4" t="str">
        <f>IF(OpenLCAdetail!I208="CTUh", "Fill in Manually", INDEX(LookUps!$E$5:$E$12, MATCH(OpenLCAdetail!I208,LookUps!$D$5:$D$12,0)))</f>
        <v>Global Warming Potential (GWP) - kg CO2 eq</v>
      </c>
      <c r="O208" s="119"/>
      <c r="P208" s="119"/>
    </row>
    <row r="209" spans="2:16" x14ac:dyDescent="0.25">
      <c r="B209" s="4" t="s">
        <v>46</v>
      </c>
      <c r="C209" s="4" t="str">
        <f t="shared" si="6"/>
        <v>Electricity</v>
      </c>
      <c r="F209" s="27">
        <v>0.1673</v>
      </c>
      <c r="G209" s="4" t="s">
        <v>71</v>
      </c>
      <c r="H209" s="327">
        <v>0.16256999999999999</v>
      </c>
      <c r="I209" s="4" t="s">
        <v>23</v>
      </c>
      <c r="J209" s="28">
        <f t="shared" si="7"/>
        <v>0.16256999999999999</v>
      </c>
      <c r="K209" s="4" t="str">
        <f>IF(OpenLCAdetail!I209="CTUh", "Fill in Manually", INDEX(LookUps!$E$5:$E$12, MATCH(OpenLCAdetail!I209,LookUps!$D$5:$D$12,0)))</f>
        <v>Global Warming Potential (GWP) - kg CO2 eq</v>
      </c>
      <c r="O209" s="119"/>
      <c r="P209" s="119"/>
    </row>
    <row r="210" spans="2:16" x14ac:dyDescent="0.25">
      <c r="B210" s="4" t="s">
        <v>46</v>
      </c>
      <c r="C210" s="4" t="str">
        <f t="shared" si="6"/>
        <v>Infrastructure</v>
      </c>
      <c r="F210" s="27">
        <v>2.3999999999999998E-3</v>
      </c>
      <c r="G210" s="4" t="s">
        <v>73</v>
      </c>
      <c r="H210" s="327">
        <v>2.33E-3</v>
      </c>
      <c r="I210" s="4" t="s">
        <v>23</v>
      </c>
      <c r="J210" s="28">
        <f t="shared" si="7"/>
        <v>2.33E-3</v>
      </c>
      <c r="K210" s="4" t="str">
        <f>IF(OpenLCAdetail!I210="CTUh", "Fill in Manually", INDEX(LookUps!$E$5:$E$12, MATCH(OpenLCAdetail!I210,LookUps!$D$5:$D$12,0)))</f>
        <v>Global Warming Potential (GWP) - kg CO2 eq</v>
      </c>
      <c r="O210" s="119"/>
      <c r="P210" s="119"/>
    </row>
    <row r="211" spans="2:16" x14ac:dyDescent="0.25">
      <c r="B211" s="4" t="s">
        <v>46</v>
      </c>
      <c r="C211" s="4" t="str">
        <f t="shared" si="6"/>
        <v>Infrastructure</v>
      </c>
      <c r="F211" s="27">
        <v>2.3E-3</v>
      </c>
      <c r="G211" s="4" t="s">
        <v>72</v>
      </c>
      <c r="H211" s="327">
        <v>2.2399999999999998E-3</v>
      </c>
      <c r="I211" s="4" t="s">
        <v>23</v>
      </c>
      <c r="J211" s="28">
        <f t="shared" si="7"/>
        <v>2.2399999999999998E-3</v>
      </c>
      <c r="K211" s="4" t="str">
        <f>IF(OpenLCAdetail!I211="CTUh", "Fill in Manually", INDEX(LookUps!$E$5:$E$12, MATCH(OpenLCAdetail!I211,LookUps!$D$5:$D$12,0)))</f>
        <v>Global Warming Potential (GWP) - kg CO2 eq</v>
      </c>
      <c r="O211" s="119"/>
      <c r="P211" s="119"/>
    </row>
    <row r="212" spans="2:16" x14ac:dyDescent="0.25">
      <c r="B212" s="4" t="s">
        <v>46</v>
      </c>
      <c r="C212" s="4" t="str">
        <f t="shared" si="6"/>
        <v>Infrastructure</v>
      </c>
      <c r="F212" s="27">
        <v>8.0000000000000004E-4</v>
      </c>
      <c r="G212" s="4" t="s">
        <v>74</v>
      </c>
      <c r="H212" s="327">
        <v>7.6000000000000004E-4</v>
      </c>
      <c r="I212" s="4" t="s">
        <v>23</v>
      </c>
      <c r="J212" s="28">
        <f t="shared" si="7"/>
        <v>7.6000000000000004E-4</v>
      </c>
      <c r="K212" s="4" t="str">
        <f>IF(OpenLCAdetail!I212="CTUh", "Fill in Manually", INDEX(LookUps!$E$5:$E$12, MATCH(OpenLCAdetail!I212,LookUps!$D$5:$D$12,0)))</f>
        <v>Global Warming Potential (GWP) - kg CO2 eq</v>
      </c>
      <c r="O212" s="119"/>
      <c r="P212" s="119"/>
    </row>
    <row r="213" spans="2:16" x14ac:dyDescent="0.25">
      <c r="B213" s="4" t="s">
        <v>46</v>
      </c>
      <c r="C213" s="4" t="str">
        <f t="shared" si="6"/>
        <v>Infrastructure</v>
      </c>
      <c r="F213" s="27">
        <v>2.9999999999999997E-4</v>
      </c>
      <c r="G213" s="4" t="s">
        <v>75</v>
      </c>
      <c r="H213" s="327">
        <v>2.5999999999999998E-4</v>
      </c>
      <c r="I213" s="4" t="s">
        <v>23</v>
      </c>
      <c r="J213" s="28">
        <f t="shared" si="7"/>
        <v>2.5999999999999998E-4</v>
      </c>
      <c r="K213" s="4" t="str">
        <f>IF(OpenLCAdetail!I213="CTUh", "Fill in Manually", INDEX(LookUps!$E$5:$E$12, MATCH(OpenLCAdetail!I213,LookUps!$D$5:$D$12,0)))</f>
        <v>Global Warming Potential (GWP) - kg CO2 eq</v>
      </c>
      <c r="O213" s="119"/>
      <c r="P213" s="119"/>
    </row>
    <row r="214" spans="2:16" x14ac:dyDescent="0.25">
      <c r="B214" s="4" t="s">
        <v>46</v>
      </c>
      <c r="C214" s="4" t="str">
        <f t="shared" si="6"/>
        <v>Infrastructure</v>
      </c>
      <c r="F214" s="27">
        <v>1E-4</v>
      </c>
      <c r="G214" s="4" t="s">
        <v>152</v>
      </c>
      <c r="H214" s="327">
        <v>5.0025199999999997E-5</v>
      </c>
      <c r="I214" s="4" t="s">
        <v>23</v>
      </c>
      <c r="J214" s="28">
        <f t="shared" si="7"/>
        <v>5.0025199999999997E-5</v>
      </c>
      <c r="K214" s="4" t="str">
        <f>IF(OpenLCAdetail!I214="CTUh", "Fill in Manually", INDEX(LookUps!$E$5:$E$12, MATCH(OpenLCAdetail!I214,LookUps!$D$5:$D$12,0)))</f>
        <v>Global Warming Potential (GWP) - kg CO2 eq</v>
      </c>
      <c r="O214" s="119"/>
      <c r="P214" s="119"/>
    </row>
    <row r="215" spans="2:16" x14ac:dyDescent="0.25">
      <c r="B215" s="4" t="s">
        <v>46</v>
      </c>
      <c r="C215" s="4" t="str">
        <f t="shared" si="6"/>
        <v>Infrastructure</v>
      </c>
      <c r="F215" s="27">
        <v>0</v>
      </c>
      <c r="G215" s="4" t="s">
        <v>169</v>
      </c>
      <c r="H215" s="327">
        <v>1.23257E-5</v>
      </c>
      <c r="I215" s="4" t="s">
        <v>23</v>
      </c>
      <c r="J215" s="28">
        <f t="shared" si="7"/>
        <v>1.23257E-5</v>
      </c>
      <c r="K215" s="4" t="str">
        <f>IF(OpenLCAdetail!I215="CTUh", "Fill in Manually", INDEX(LookUps!$E$5:$E$12, MATCH(OpenLCAdetail!I215,LookUps!$D$5:$D$12,0)))</f>
        <v>Global Warming Potential (GWP) - kg CO2 eq</v>
      </c>
      <c r="O215" s="119"/>
      <c r="P215" s="119"/>
    </row>
    <row r="216" spans="2:16" x14ac:dyDescent="0.25">
      <c r="B216" s="4" t="s">
        <v>46</v>
      </c>
      <c r="C216" s="4" t="str">
        <f t="shared" si="6"/>
        <v>Infrastructure</v>
      </c>
      <c r="F216" s="27">
        <v>0</v>
      </c>
      <c r="G216" s="4" t="s">
        <v>76</v>
      </c>
      <c r="H216" s="327">
        <v>5.9472600000000004E-6</v>
      </c>
      <c r="I216" s="4" t="s">
        <v>23</v>
      </c>
      <c r="J216" s="28">
        <f t="shared" si="7"/>
        <v>5.9472600000000004E-6</v>
      </c>
      <c r="K216" s="4" t="str">
        <f>IF(OpenLCAdetail!I216="CTUh", "Fill in Manually", INDEX(LookUps!$E$5:$E$12, MATCH(OpenLCAdetail!I216,LookUps!$D$5:$D$12,0)))</f>
        <v>Global Warming Potential (GWP) - kg CO2 eq</v>
      </c>
      <c r="O216" s="119"/>
      <c r="P216" s="119"/>
    </row>
    <row r="217" spans="2:16" x14ac:dyDescent="0.25">
      <c r="B217" s="4" t="s">
        <v>46</v>
      </c>
      <c r="C217" s="4" t="str">
        <f t="shared" si="6"/>
        <v>Unit Process Emissions</v>
      </c>
      <c r="E217" s="27">
        <v>0.10539999999999999</v>
      </c>
      <c r="F217" s="27"/>
      <c r="G217" s="4" t="s">
        <v>167</v>
      </c>
      <c r="H217" s="327">
        <v>0.10241</v>
      </c>
      <c r="I217" s="4" t="s">
        <v>23</v>
      </c>
      <c r="J217" s="28">
        <f>H217-SUM(H218:H226)</f>
        <v>-5.1082029999816037E-6</v>
      </c>
      <c r="K217" s="4" t="str">
        <f>IF(OpenLCAdetail!I217="CTUh", "Fill in Manually", INDEX(LookUps!$E$5:$E$12, MATCH(OpenLCAdetail!I217,LookUps!$D$5:$D$12,0)))</f>
        <v>Global Warming Potential (GWP) - kg CO2 eq</v>
      </c>
      <c r="O217" s="119"/>
      <c r="P217" s="119"/>
    </row>
    <row r="218" spans="2:16" x14ac:dyDescent="0.25">
      <c r="B218" s="4" t="s">
        <v>46</v>
      </c>
      <c r="C218" s="4" t="str">
        <f t="shared" si="6"/>
        <v>Transport</v>
      </c>
      <c r="E218" s="27"/>
      <c r="F218" s="27">
        <v>8.72E-2</v>
      </c>
      <c r="G218" s="4" t="s">
        <v>170</v>
      </c>
      <c r="H218" s="327">
        <v>8.4760000000000002E-2</v>
      </c>
      <c r="I218" s="4" t="s">
        <v>23</v>
      </c>
      <c r="J218" s="28">
        <f t="shared" si="7"/>
        <v>8.4760000000000002E-2</v>
      </c>
      <c r="K218" s="4" t="str">
        <f>IF(OpenLCAdetail!I218="CTUh", "Fill in Manually", INDEX(LookUps!$E$5:$E$12, MATCH(OpenLCAdetail!I218,LookUps!$D$5:$D$12,0)))</f>
        <v>Global Warming Potential (GWP) - kg CO2 eq</v>
      </c>
      <c r="O218" s="119"/>
      <c r="P218" s="119"/>
    </row>
    <row r="219" spans="2:16" x14ac:dyDescent="0.25">
      <c r="B219" s="4" t="s">
        <v>46</v>
      </c>
      <c r="C219" s="4" t="str">
        <f t="shared" si="6"/>
        <v>Electricity</v>
      </c>
      <c r="F219" s="27">
        <v>1.6899999999999998E-2</v>
      </c>
      <c r="G219" s="4" t="s">
        <v>71</v>
      </c>
      <c r="H219" s="327">
        <v>1.6469999999999999E-2</v>
      </c>
      <c r="I219" s="4" t="s">
        <v>23</v>
      </c>
      <c r="J219" s="28">
        <f t="shared" si="7"/>
        <v>1.6469999999999999E-2</v>
      </c>
      <c r="K219" s="4" t="str">
        <f>IF(OpenLCAdetail!I219="CTUh", "Fill in Manually", INDEX(LookUps!$E$5:$E$12, MATCH(OpenLCAdetail!I219,LookUps!$D$5:$D$12,0)))</f>
        <v>Global Warming Potential (GWP) - kg CO2 eq</v>
      </c>
      <c r="O219" s="119"/>
      <c r="P219" s="119"/>
    </row>
    <row r="220" spans="2:16" x14ac:dyDescent="0.25">
      <c r="B220" s="4" t="s">
        <v>46</v>
      </c>
      <c r="C220" s="4" t="str">
        <f t="shared" si="6"/>
        <v>Infrastructure</v>
      </c>
      <c r="F220" s="27">
        <v>4.0000000000000002E-4</v>
      </c>
      <c r="G220" s="4" t="s">
        <v>171</v>
      </c>
      <c r="H220" s="327">
        <v>3.6000000000000002E-4</v>
      </c>
      <c r="I220" s="4" t="s">
        <v>23</v>
      </c>
      <c r="J220" s="28">
        <f t="shared" si="7"/>
        <v>3.6000000000000002E-4</v>
      </c>
      <c r="K220" s="4" t="str">
        <f>IF(OpenLCAdetail!I220="CTUh", "Fill in Manually", INDEX(LookUps!$E$5:$E$12, MATCH(OpenLCAdetail!I220,LookUps!$D$5:$D$12,0)))</f>
        <v>Global Warming Potential (GWP) - kg CO2 eq</v>
      </c>
      <c r="O220" s="119"/>
      <c r="P220" s="119"/>
    </row>
    <row r="221" spans="2:16" x14ac:dyDescent="0.25">
      <c r="B221" s="4" t="s">
        <v>46</v>
      </c>
      <c r="C221" s="4" t="str">
        <f t="shared" si="6"/>
        <v>Infrastructure</v>
      </c>
      <c r="F221" s="27">
        <v>4.0000000000000002E-4</v>
      </c>
      <c r="G221" s="4" t="s">
        <v>73</v>
      </c>
      <c r="H221" s="327">
        <v>3.6000000000000002E-4</v>
      </c>
      <c r="I221" s="4" t="s">
        <v>23</v>
      </c>
      <c r="J221" s="28">
        <f t="shared" si="7"/>
        <v>3.6000000000000002E-4</v>
      </c>
      <c r="K221" s="4" t="str">
        <f>IF(OpenLCAdetail!I221="CTUh", "Fill in Manually", INDEX(LookUps!$E$5:$E$12, MATCH(OpenLCAdetail!I221,LookUps!$D$5:$D$12,0)))</f>
        <v>Global Warming Potential (GWP) - kg CO2 eq</v>
      </c>
      <c r="O221" s="119"/>
      <c r="P221" s="119"/>
    </row>
    <row r="222" spans="2:16" x14ac:dyDescent="0.25">
      <c r="B222" s="4" t="s">
        <v>46</v>
      </c>
      <c r="C222" s="4" t="str">
        <f t="shared" si="6"/>
        <v>Infrastructure</v>
      </c>
      <c r="F222" s="27">
        <v>2.9999999999999997E-4</v>
      </c>
      <c r="G222" s="4" t="s">
        <v>74</v>
      </c>
      <c r="H222" s="327">
        <v>3.4000000000000002E-4</v>
      </c>
      <c r="I222" s="4" t="s">
        <v>23</v>
      </c>
      <c r="J222" s="28">
        <f t="shared" si="7"/>
        <v>3.4000000000000002E-4</v>
      </c>
      <c r="K222" s="4" t="str">
        <f>IF(OpenLCAdetail!I222="CTUh", "Fill in Manually", INDEX(LookUps!$E$5:$E$12, MATCH(OpenLCAdetail!I222,LookUps!$D$5:$D$12,0)))</f>
        <v>Global Warming Potential (GWP) - kg CO2 eq</v>
      </c>
      <c r="O222" s="119"/>
      <c r="P222" s="119"/>
    </row>
    <row r="223" spans="2:16" x14ac:dyDescent="0.25">
      <c r="B223" s="4" t="s">
        <v>46</v>
      </c>
      <c r="C223" s="4" t="str">
        <f t="shared" si="6"/>
        <v>Infrastructure</v>
      </c>
      <c r="F223" s="27">
        <v>1E-4</v>
      </c>
      <c r="G223" s="4" t="s">
        <v>75</v>
      </c>
      <c r="H223" s="327">
        <v>1.2E-4</v>
      </c>
      <c r="I223" s="4" t="s">
        <v>23</v>
      </c>
      <c r="J223" s="28">
        <f t="shared" si="7"/>
        <v>1.2E-4</v>
      </c>
      <c r="K223" s="4" t="str">
        <f>IF(OpenLCAdetail!I223="CTUh", "Fill in Manually", INDEX(LookUps!$E$5:$E$12, MATCH(OpenLCAdetail!I223,LookUps!$D$5:$D$12,0)))</f>
        <v>Global Warming Potential (GWP) - kg CO2 eq</v>
      </c>
      <c r="O223" s="119"/>
      <c r="P223" s="119"/>
    </row>
    <row r="224" spans="2:16" x14ac:dyDescent="0.25">
      <c r="B224" s="4" t="s">
        <v>46</v>
      </c>
      <c r="C224" s="4" t="str">
        <f t="shared" si="6"/>
        <v>Infrastructure</v>
      </c>
      <c r="E224" s="27"/>
      <c r="F224" s="27">
        <v>0</v>
      </c>
      <c r="G224" s="4" t="s">
        <v>76</v>
      </c>
      <c r="H224" s="327">
        <v>2.7453000000000002E-6</v>
      </c>
      <c r="I224" s="4" t="s">
        <v>23</v>
      </c>
      <c r="J224" s="28">
        <f t="shared" si="7"/>
        <v>2.7453000000000002E-6</v>
      </c>
      <c r="K224" s="4" t="str">
        <f>IF(OpenLCAdetail!I224="CTUh", "Fill in Manually", INDEX(LookUps!$E$5:$E$12, MATCH(OpenLCAdetail!I224,LookUps!$D$5:$D$12,0)))</f>
        <v>Global Warming Potential (GWP) - kg CO2 eq</v>
      </c>
      <c r="O224" s="119"/>
      <c r="P224" s="119"/>
    </row>
    <row r="225" spans="2:16" x14ac:dyDescent="0.25">
      <c r="B225" s="4" t="s">
        <v>46</v>
      </c>
      <c r="C225" s="4" t="str">
        <f t="shared" si="6"/>
        <v>Infrastructure</v>
      </c>
      <c r="F225" s="27">
        <v>0</v>
      </c>
      <c r="G225" s="4" t="s">
        <v>152</v>
      </c>
      <c r="H225" s="327">
        <v>1.8957999999999999E-6</v>
      </c>
      <c r="I225" s="4" t="s">
        <v>23</v>
      </c>
      <c r="J225" s="28">
        <f t="shared" si="7"/>
        <v>1.8957999999999999E-6</v>
      </c>
      <c r="K225" s="4" t="str">
        <f>IF(OpenLCAdetail!I225="CTUh", "Fill in Manually", INDEX(LookUps!$E$5:$E$12, MATCH(OpenLCAdetail!I225,LookUps!$D$5:$D$12,0)))</f>
        <v>Global Warming Potential (GWP) - kg CO2 eq</v>
      </c>
      <c r="O225" s="119"/>
      <c r="P225" s="119"/>
    </row>
    <row r="226" spans="2:16" x14ac:dyDescent="0.25">
      <c r="B226" s="4" t="s">
        <v>46</v>
      </c>
      <c r="C226" s="4" t="str">
        <f t="shared" si="6"/>
        <v>Infrastructure</v>
      </c>
      <c r="F226" s="27">
        <v>0</v>
      </c>
      <c r="G226" s="4" t="s">
        <v>169</v>
      </c>
      <c r="H226" s="327">
        <v>4.6710300000000002E-7</v>
      </c>
      <c r="I226" s="4" t="s">
        <v>23</v>
      </c>
      <c r="J226" s="28">
        <f t="shared" si="7"/>
        <v>4.6710300000000002E-7</v>
      </c>
      <c r="K226" s="4" t="str">
        <f>IF(OpenLCAdetail!I226="CTUh", "Fill in Manually", INDEX(LookUps!$E$5:$E$12, MATCH(OpenLCAdetail!I226,LookUps!$D$5:$D$12,0)))</f>
        <v>Global Warming Potential (GWP) - kg CO2 eq</v>
      </c>
      <c r="O226" s="119"/>
      <c r="P226" s="119"/>
    </row>
    <row r="227" spans="2:16" x14ac:dyDescent="0.25">
      <c r="B227" s="4" t="s">
        <v>46</v>
      </c>
      <c r="C227" s="4" t="str">
        <f t="shared" si="6"/>
        <v>Unit Process Emissions</v>
      </c>
      <c r="E227" s="27">
        <v>5.8700000000000002E-2</v>
      </c>
      <c r="F227" s="27"/>
      <c r="G227" s="4" t="s">
        <v>54</v>
      </c>
      <c r="H227" s="327">
        <v>5.7079999999999999E-2</v>
      </c>
      <c r="I227" s="4" t="s">
        <v>23</v>
      </c>
      <c r="J227" s="28">
        <f>H227-SUM(H228:H233)</f>
        <v>5.3255200000018599E-6</v>
      </c>
      <c r="K227" s="4" t="str">
        <f>IF(OpenLCAdetail!I227="CTUh", "Fill in Manually", INDEX(LookUps!$E$5:$E$12, MATCH(OpenLCAdetail!I227,LookUps!$D$5:$D$12,0)))</f>
        <v>Global Warming Potential (GWP) - kg CO2 eq</v>
      </c>
      <c r="O227" s="119"/>
      <c r="P227" s="119"/>
    </row>
    <row r="228" spans="2:16" x14ac:dyDescent="0.25">
      <c r="B228" s="4" t="s">
        <v>46</v>
      </c>
      <c r="C228" s="4" t="str">
        <f t="shared" si="6"/>
        <v>Electricity</v>
      </c>
      <c r="F228" s="27">
        <v>4.8000000000000001E-2</v>
      </c>
      <c r="G228" s="4" t="s">
        <v>71</v>
      </c>
      <c r="H228" s="327">
        <v>4.6670000000000003E-2</v>
      </c>
      <c r="I228" s="4" t="s">
        <v>23</v>
      </c>
      <c r="J228" s="28">
        <f t="shared" si="7"/>
        <v>4.6670000000000003E-2</v>
      </c>
      <c r="K228" s="4" t="str">
        <f>IF(OpenLCAdetail!I228="CTUh", "Fill in Manually", INDEX(LookUps!$E$5:$E$12, MATCH(OpenLCAdetail!I228,LookUps!$D$5:$D$12,0)))</f>
        <v>Global Warming Potential (GWP) - kg CO2 eq</v>
      </c>
      <c r="O228" s="119"/>
      <c r="P228" s="119"/>
    </row>
    <row r="229" spans="2:16" x14ac:dyDescent="0.25">
      <c r="B229" s="4" t="s">
        <v>46</v>
      </c>
      <c r="C229" s="4" t="str">
        <f t="shared" si="6"/>
        <v>Infrastructure</v>
      </c>
      <c r="F229" s="27">
        <v>5.0000000000000001E-3</v>
      </c>
      <c r="G229" s="4" t="s">
        <v>73</v>
      </c>
      <c r="H229" s="327">
        <v>4.8799999999999998E-3</v>
      </c>
      <c r="I229" s="4" t="s">
        <v>23</v>
      </c>
      <c r="J229" s="28">
        <f t="shared" si="7"/>
        <v>4.8799999999999998E-3</v>
      </c>
      <c r="K229" s="4" t="str">
        <f>IF(OpenLCAdetail!I229="CTUh", "Fill in Manually", INDEX(LookUps!$E$5:$E$12, MATCH(OpenLCAdetail!I229,LookUps!$D$5:$D$12,0)))</f>
        <v>Global Warming Potential (GWP) - kg CO2 eq</v>
      </c>
      <c r="O229" s="119"/>
      <c r="P229" s="119"/>
    </row>
    <row r="230" spans="2:16" x14ac:dyDescent="0.25">
      <c r="B230" s="4" t="s">
        <v>46</v>
      </c>
      <c r="C230" s="4" t="str">
        <f t="shared" si="6"/>
        <v>Infrastructure</v>
      </c>
      <c r="F230" s="27">
        <v>4.7999999999999996E-3</v>
      </c>
      <c r="G230" s="4" t="s">
        <v>72</v>
      </c>
      <c r="H230" s="327">
        <v>4.6800000000000001E-3</v>
      </c>
      <c r="I230" s="4" t="s">
        <v>23</v>
      </c>
      <c r="J230" s="28">
        <f t="shared" si="7"/>
        <v>4.6800000000000001E-3</v>
      </c>
      <c r="K230" s="4" t="str">
        <f>IF(OpenLCAdetail!I230="CTUh", "Fill in Manually", INDEX(LookUps!$E$5:$E$12, MATCH(OpenLCAdetail!I230,LookUps!$D$5:$D$12,0)))</f>
        <v>Global Warming Potential (GWP) - kg CO2 eq</v>
      </c>
      <c r="O230" s="119"/>
      <c r="P230" s="119"/>
    </row>
    <row r="231" spans="2:16" x14ac:dyDescent="0.25">
      <c r="B231" s="4" t="s">
        <v>46</v>
      </c>
      <c r="C231" s="4" t="str">
        <f t="shared" si="6"/>
        <v>Infrastructure</v>
      </c>
      <c r="F231" s="27">
        <v>8.0000000000000004E-4</v>
      </c>
      <c r="G231" s="4" t="s">
        <v>74</v>
      </c>
      <c r="H231" s="327">
        <v>7.6999999999999996E-4</v>
      </c>
      <c r="I231" s="4" t="s">
        <v>23</v>
      </c>
      <c r="J231" s="28">
        <f t="shared" si="7"/>
        <v>7.6999999999999996E-4</v>
      </c>
      <c r="K231" s="4" t="str">
        <f>IF(OpenLCAdetail!I231="CTUh", "Fill in Manually", INDEX(LookUps!$E$5:$E$12, MATCH(OpenLCAdetail!I231,LookUps!$D$5:$D$12,0)))</f>
        <v>Global Warming Potential (GWP) - kg CO2 eq</v>
      </c>
      <c r="O231" s="119"/>
      <c r="P231" s="119"/>
    </row>
    <row r="232" spans="2:16" x14ac:dyDescent="0.25">
      <c r="B232" s="4" t="s">
        <v>46</v>
      </c>
      <c r="C232" s="4" t="str">
        <f t="shared" si="6"/>
        <v>Infrastructure</v>
      </c>
      <c r="F232" s="27">
        <v>1E-4</v>
      </c>
      <c r="G232" s="4" t="s">
        <v>75</v>
      </c>
      <c r="H232" s="327">
        <v>6.7027999999999996E-5</v>
      </c>
      <c r="I232" s="4" t="s">
        <v>23</v>
      </c>
      <c r="J232" s="28">
        <f t="shared" si="7"/>
        <v>6.7027999999999996E-5</v>
      </c>
      <c r="K232" s="4" t="str">
        <f>IF(OpenLCAdetail!I232="CTUh", "Fill in Manually", INDEX(LookUps!$E$5:$E$12, MATCH(OpenLCAdetail!I232,LookUps!$D$5:$D$12,0)))</f>
        <v>Global Warming Potential (GWP) - kg CO2 eq</v>
      </c>
      <c r="O232" s="119"/>
      <c r="P232" s="119"/>
    </row>
    <row r="233" spans="2:16" x14ac:dyDescent="0.25">
      <c r="B233" s="4" t="s">
        <v>46</v>
      </c>
      <c r="C233" s="4" t="str">
        <f t="shared" si="6"/>
        <v>Infrastructure</v>
      </c>
      <c r="E233" s="27"/>
      <c r="F233" s="27">
        <v>0</v>
      </c>
      <c r="G233" s="4" t="s">
        <v>76</v>
      </c>
      <c r="H233" s="327">
        <v>7.6464800000000007E-6</v>
      </c>
      <c r="I233" s="4" t="s">
        <v>23</v>
      </c>
      <c r="J233" s="28">
        <f t="shared" si="7"/>
        <v>7.6464800000000007E-6</v>
      </c>
      <c r="K233" s="4" t="str">
        <f>IF(OpenLCAdetail!I233="CTUh", "Fill in Manually", INDEX(LookUps!$E$5:$E$12, MATCH(OpenLCAdetail!I233,LookUps!$D$5:$D$12,0)))</f>
        <v>Global Warming Potential (GWP) - kg CO2 eq</v>
      </c>
      <c r="O233" s="119"/>
      <c r="P233" s="119"/>
    </row>
    <row r="234" spans="2:16" x14ac:dyDescent="0.25">
      <c r="B234" s="4" t="s">
        <v>46</v>
      </c>
      <c r="C234" s="4" t="s">
        <v>33</v>
      </c>
      <c r="E234" s="27">
        <v>5.4199999999999998E-2</v>
      </c>
      <c r="F234" s="27"/>
      <c r="G234" s="4" t="s">
        <v>48</v>
      </c>
      <c r="H234" s="327">
        <v>5.2639999999999999E-2</v>
      </c>
      <c r="I234" s="4" t="s">
        <v>23</v>
      </c>
      <c r="J234" s="28">
        <f>H234-SUM(H235:H238)</f>
        <v>4.5600000000000002E-2</v>
      </c>
      <c r="K234" s="4" t="str">
        <f>IF(OpenLCAdetail!I234="CTUh", "Fill in Manually", INDEX(LookUps!$E$5:$E$12, MATCH(OpenLCAdetail!I234,LookUps!$D$5:$D$12,0)))</f>
        <v>Global Warming Potential (GWP) - kg CO2 eq</v>
      </c>
      <c r="O234" s="119"/>
      <c r="P234" s="119"/>
    </row>
    <row r="235" spans="2:16" x14ac:dyDescent="0.25">
      <c r="B235" s="4" t="s">
        <v>46</v>
      </c>
      <c r="C235" s="4" t="str">
        <f t="shared" si="6"/>
        <v>Electricity</v>
      </c>
      <c r="F235" s="27">
        <v>1.1599999999999999E-2</v>
      </c>
      <c r="G235" s="4" t="s">
        <v>71</v>
      </c>
      <c r="H235" s="327">
        <v>1.124E-2</v>
      </c>
      <c r="I235" s="4" t="s">
        <v>23</v>
      </c>
      <c r="J235" s="28">
        <f t="shared" si="7"/>
        <v>1.124E-2</v>
      </c>
      <c r="K235" s="4" t="str">
        <f>IF(OpenLCAdetail!I235="CTUh", "Fill in Manually", INDEX(LookUps!$E$5:$E$12, MATCH(OpenLCAdetail!I235,LookUps!$D$5:$D$12,0)))</f>
        <v>Global Warming Potential (GWP) - kg CO2 eq</v>
      </c>
      <c r="O235" s="119"/>
      <c r="P235" s="119"/>
    </row>
    <row r="236" spans="2:16" x14ac:dyDescent="0.25">
      <c r="B236" s="4" t="s">
        <v>46</v>
      </c>
      <c r="C236" s="4" t="str">
        <f t="shared" ref="C236:C324" si="8">INDEX($O$10:$O$60,MATCH(G236, $P$10:$P$60,0))</f>
        <v>Infrastructure</v>
      </c>
      <c r="F236" s="27">
        <v>2.8999999999999998E-3</v>
      </c>
      <c r="G236" s="4" t="s">
        <v>73</v>
      </c>
      <c r="H236" s="327">
        <v>2.7799999999999999E-3</v>
      </c>
      <c r="I236" s="4" t="s">
        <v>23</v>
      </c>
      <c r="J236" s="28">
        <f t="shared" si="7"/>
        <v>2.7799999999999999E-3</v>
      </c>
      <c r="K236" s="4" t="str">
        <f>IF(OpenLCAdetail!I236="CTUh", "Fill in Manually", INDEX(LookUps!$E$5:$E$12, MATCH(OpenLCAdetail!I236,LookUps!$D$5:$D$12,0)))</f>
        <v>Global Warming Potential (GWP) - kg CO2 eq</v>
      </c>
      <c r="O236" s="119"/>
      <c r="P236" s="119"/>
    </row>
    <row r="237" spans="2:16" x14ac:dyDescent="0.25">
      <c r="B237" s="4" t="s">
        <v>46</v>
      </c>
      <c r="C237" s="4" t="str">
        <f t="shared" si="8"/>
        <v>Infrastructure</v>
      </c>
      <c r="F237" s="27">
        <v>2.7000000000000001E-3</v>
      </c>
      <c r="G237" s="4" t="s">
        <v>72</v>
      </c>
      <c r="H237" s="327">
        <v>2.6700000000000001E-3</v>
      </c>
      <c r="I237" s="4" t="s">
        <v>23</v>
      </c>
      <c r="J237" s="28">
        <f t="shared" si="7"/>
        <v>2.6700000000000001E-3</v>
      </c>
      <c r="K237" s="4" t="str">
        <f>IF(OpenLCAdetail!I237="CTUh", "Fill in Manually", INDEX(LookUps!$E$5:$E$12, MATCH(OpenLCAdetail!I237,LookUps!$D$5:$D$12,0)))</f>
        <v>Global Warming Potential (GWP) - kg CO2 eq</v>
      </c>
      <c r="O237" s="119"/>
      <c r="P237" s="119"/>
    </row>
    <row r="238" spans="2:16" x14ac:dyDescent="0.25">
      <c r="B238" s="4" t="s">
        <v>46</v>
      </c>
      <c r="C238" s="4" t="str">
        <f t="shared" si="8"/>
        <v>avoided products</v>
      </c>
      <c r="F238" s="27">
        <v>-9.9000000000000008E-3</v>
      </c>
      <c r="G238" s="4" t="s">
        <v>159</v>
      </c>
      <c r="H238" s="327">
        <v>-9.6500000000000006E-3</v>
      </c>
      <c r="I238" s="4" t="s">
        <v>23</v>
      </c>
      <c r="J238" s="28">
        <f t="shared" si="7"/>
        <v>-9.6500000000000006E-3</v>
      </c>
      <c r="K238" s="4" t="str">
        <f>IF(OpenLCAdetail!I238="CTUh", "Fill in Manually", INDEX(LookUps!$E$5:$E$12, MATCH(OpenLCAdetail!I238,LookUps!$D$5:$D$12,0)))</f>
        <v>Global Warming Potential (GWP) - kg CO2 eq</v>
      </c>
      <c r="O238" s="119"/>
      <c r="P238" s="119"/>
    </row>
    <row r="239" spans="2:16" x14ac:dyDescent="0.25">
      <c r="B239" s="4" t="s">
        <v>46</v>
      </c>
      <c r="C239" s="4" t="str">
        <f t="shared" si="8"/>
        <v>Unit Process Emissions</v>
      </c>
      <c r="E239" s="27">
        <v>5.1999999999999998E-2</v>
      </c>
      <c r="F239" s="27"/>
      <c r="G239" s="4" t="s">
        <v>147</v>
      </c>
      <c r="H239" s="327">
        <v>5.0500000000000003E-2</v>
      </c>
      <c r="I239" s="4" t="s">
        <v>23</v>
      </c>
      <c r="J239" s="28">
        <f>H239-SUM(H240:H244)</f>
        <v>7.6954799999931489E-6</v>
      </c>
      <c r="K239" s="4" t="str">
        <f>IF(OpenLCAdetail!I239="CTUh", "Fill in Manually", INDEX(LookUps!$E$5:$E$12, MATCH(OpenLCAdetail!I239,LookUps!$D$5:$D$12,0)))</f>
        <v>Global Warming Potential (GWP) - kg CO2 eq</v>
      </c>
      <c r="O239" s="119"/>
      <c r="P239" s="119"/>
    </row>
    <row r="240" spans="2:16" x14ac:dyDescent="0.25">
      <c r="B240" s="4" t="s">
        <v>46</v>
      </c>
      <c r="C240" s="4" t="s">
        <v>163</v>
      </c>
      <c r="F240" s="27">
        <v>3.39E-2</v>
      </c>
      <c r="G240" s="4" t="s">
        <v>183</v>
      </c>
      <c r="H240" s="327">
        <v>3.2969999999999999E-2</v>
      </c>
      <c r="I240" s="4" t="s">
        <v>23</v>
      </c>
      <c r="J240" s="28">
        <f t="shared" si="7"/>
        <v>3.2969999999999999E-2</v>
      </c>
      <c r="K240" s="4" t="str">
        <f>IF(OpenLCAdetail!I240="CTUh", "Fill in Manually", INDEX(LookUps!$E$5:$E$12, MATCH(OpenLCAdetail!I240,LookUps!$D$5:$D$12,0)))</f>
        <v>Global Warming Potential (GWP) - kg CO2 eq</v>
      </c>
      <c r="O240" s="119"/>
      <c r="P240" s="119"/>
    </row>
    <row r="241" spans="2:16" x14ac:dyDescent="0.25">
      <c r="B241" s="4" t="s">
        <v>46</v>
      </c>
      <c r="C241" s="4" t="str">
        <f t="shared" si="8"/>
        <v>Electricity</v>
      </c>
      <c r="E241" s="27"/>
      <c r="F241" s="27">
        <v>1.78E-2</v>
      </c>
      <c r="G241" s="4" t="s">
        <v>71</v>
      </c>
      <c r="H241" s="327">
        <v>1.7319999999999999E-2</v>
      </c>
      <c r="I241" s="4" t="s">
        <v>23</v>
      </c>
      <c r="J241" s="28">
        <f t="shared" si="7"/>
        <v>1.7319999999999999E-2</v>
      </c>
      <c r="K241" s="4" t="str">
        <f>IF(OpenLCAdetail!I241="CTUh", "Fill in Manually", INDEX(LookUps!$E$5:$E$12, MATCH(OpenLCAdetail!I241,LookUps!$D$5:$D$12,0)))</f>
        <v>Global Warming Potential (GWP) - kg CO2 eq</v>
      </c>
      <c r="O241" s="119"/>
      <c r="P241" s="119"/>
    </row>
    <row r="242" spans="2:16" x14ac:dyDescent="0.25">
      <c r="B242" s="4" t="s">
        <v>46</v>
      </c>
      <c r="C242" s="4" t="str">
        <f t="shared" si="8"/>
        <v>Infrastructure</v>
      </c>
      <c r="F242" s="27">
        <v>1E-4</v>
      </c>
      <c r="G242" s="4" t="s">
        <v>171</v>
      </c>
      <c r="H242" s="327">
        <v>1E-4</v>
      </c>
      <c r="I242" s="4" t="s">
        <v>23</v>
      </c>
      <c r="J242" s="28">
        <f t="shared" si="7"/>
        <v>1E-4</v>
      </c>
      <c r="K242" s="4" t="str">
        <f>IF(OpenLCAdetail!I242="CTUh", "Fill in Manually", INDEX(LookUps!$E$5:$E$12, MATCH(OpenLCAdetail!I242,LookUps!$D$5:$D$12,0)))</f>
        <v>Global Warming Potential (GWP) - kg CO2 eq</v>
      </c>
      <c r="O242" s="119"/>
      <c r="P242" s="119"/>
    </row>
    <row r="243" spans="2:16" x14ac:dyDescent="0.25">
      <c r="B243" s="4" t="s">
        <v>46</v>
      </c>
      <c r="C243" s="4" t="str">
        <f t="shared" si="8"/>
        <v>Infrastructure</v>
      </c>
      <c r="F243" s="27">
        <v>1E-4</v>
      </c>
      <c r="G243" s="4" t="s">
        <v>73</v>
      </c>
      <c r="H243" s="327">
        <v>1E-4</v>
      </c>
      <c r="I243" s="4" t="s">
        <v>23</v>
      </c>
      <c r="J243" s="28">
        <f t="shared" si="7"/>
        <v>1E-4</v>
      </c>
      <c r="K243" s="4" t="str">
        <f>IF(OpenLCAdetail!I243="CTUh", "Fill in Manually", INDEX(LookUps!$E$5:$E$12, MATCH(OpenLCAdetail!I243,LookUps!$D$5:$D$12,0)))</f>
        <v>Global Warming Potential (GWP) - kg CO2 eq</v>
      </c>
      <c r="O243" s="119"/>
      <c r="P243" s="119"/>
    </row>
    <row r="244" spans="2:16" x14ac:dyDescent="0.25">
      <c r="B244" s="4" t="s">
        <v>46</v>
      </c>
      <c r="C244" s="4" t="str">
        <f t="shared" si="8"/>
        <v>Infrastructure</v>
      </c>
      <c r="E244" s="27"/>
      <c r="F244" s="27">
        <v>0</v>
      </c>
      <c r="G244" s="4" t="s">
        <v>74</v>
      </c>
      <c r="H244" s="327">
        <v>2.3045199999999998E-6</v>
      </c>
      <c r="I244" s="4" t="s">
        <v>23</v>
      </c>
      <c r="J244" s="28">
        <f t="shared" si="7"/>
        <v>2.3045199999999998E-6</v>
      </c>
      <c r="K244" s="4" t="str">
        <f>IF(OpenLCAdetail!I244="CTUh", "Fill in Manually", INDEX(LookUps!$E$5:$E$12, MATCH(OpenLCAdetail!I244,LookUps!$D$5:$D$12,0)))</f>
        <v>Global Warming Potential (GWP) - kg CO2 eq</v>
      </c>
      <c r="O244" s="119"/>
      <c r="P244" s="119"/>
    </row>
    <row r="245" spans="2:16" x14ac:dyDescent="0.25">
      <c r="B245" s="4" t="s">
        <v>46</v>
      </c>
      <c r="C245" s="4" t="str">
        <f t="shared" si="8"/>
        <v>Unit Process Emissions</v>
      </c>
      <c r="E245" s="27">
        <v>3.4200000000000001E-2</v>
      </c>
      <c r="F245" s="27"/>
      <c r="G245" s="4" t="s">
        <v>53</v>
      </c>
      <c r="H245" s="327">
        <v>3.3259999999999998E-2</v>
      </c>
      <c r="I245" s="4" t="s">
        <v>23</v>
      </c>
      <c r="J245" s="28">
        <f>H245-SUM(H246:H252)</f>
        <v>-1.075594700007676E-6</v>
      </c>
      <c r="K245" s="4" t="str">
        <f>IF(OpenLCAdetail!I245="CTUh", "Fill in Manually", INDEX(LookUps!$E$5:$E$12, MATCH(OpenLCAdetail!I245,LookUps!$D$5:$D$12,0)))</f>
        <v>Global Warming Potential (GWP) - kg CO2 eq</v>
      </c>
      <c r="O245" s="119"/>
      <c r="P245" s="119"/>
    </row>
    <row r="246" spans="2:16" x14ac:dyDescent="0.25">
      <c r="B246" s="4" t="s">
        <v>46</v>
      </c>
      <c r="C246" s="4" t="str">
        <f t="shared" si="8"/>
        <v>Electricity</v>
      </c>
      <c r="E246" s="27"/>
      <c r="F246" s="27">
        <v>3.3500000000000002E-2</v>
      </c>
      <c r="G246" s="4" t="s">
        <v>71</v>
      </c>
      <c r="H246" s="327">
        <v>3.252E-2</v>
      </c>
      <c r="I246" s="4" t="s">
        <v>23</v>
      </c>
      <c r="J246" s="28">
        <f t="shared" si="7"/>
        <v>3.252E-2</v>
      </c>
      <c r="K246" s="4" t="str">
        <f>IF(OpenLCAdetail!I246="CTUh", "Fill in Manually", INDEX(LookUps!$E$5:$E$12, MATCH(OpenLCAdetail!I246,LookUps!$D$5:$D$12,0)))</f>
        <v>Global Warming Potential (GWP) - kg CO2 eq</v>
      </c>
      <c r="O246" s="119"/>
      <c r="P246" s="119"/>
    </row>
    <row r="247" spans="2:16" x14ac:dyDescent="0.25">
      <c r="B247" s="4" t="s">
        <v>46</v>
      </c>
      <c r="C247" s="4" t="str">
        <f t="shared" si="8"/>
        <v>chemicals</v>
      </c>
      <c r="F247" s="27">
        <v>6.9999999999999999E-4</v>
      </c>
      <c r="G247" s="4" t="s">
        <v>154</v>
      </c>
      <c r="H247" s="327">
        <v>7.1000000000000002E-4</v>
      </c>
      <c r="I247" s="4" t="s">
        <v>23</v>
      </c>
      <c r="J247" s="28">
        <f t="shared" si="7"/>
        <v>7.1000000000000002E-4</v>
      </c>
      <c r="K247" s="4" t="str">
        <f>IF(OpenLCAdetail!I247="CTUh", "Fill in Manually", INDEX(LookUps!$E$5:$E$12, MATCH(OpenLCAdetail!I247,LookUps!$D$5:$D$12,0)))</f>
        <v>Global Warming Potential (GWP) - kg CO2 eq</v>
      </c>
      <c r="O247" s="119"/>
      <c r="P247" s="119"/>
    </row>
    <row r="248" spans="2:16" x14ac:dyDescent="0.25">
      <c r="B248" s="4" t="s">
        <v>46</v>
      </c>
      <c r="C248" s="4" t="str">
        <f t="shared" si="8"/>
        <v>Infrastructure</v>
      </c>
      <c r="F248" s="27">
        <v>0</v>
      </c>
      <c r="G248" s="4" t="s">
        <v>73</v>
      </c>
      <c r="H248" s="327">
        <v>1.05566E-5</v>
      </c>
      <c r="I248" s="4" t="s">
        <v>23</v>
      </c>
      <c r="J248" s="28">
        <f t="shared" si="7"/>
        <v>1.05566E-5</v>
      </c>
      <c r="K248" s="4" t="str">
        <f>IF(OpenLCAdetail!I248="CTUh", "Fill in Manually", INDEX(LookUps!$E$5:$E$12, MATCH(OpenLCAdetail!I248,LookUps!$D$5:$D$12,0)))</f>
        <v>Global Warming Potential (GWP) - kg CO2 eq</v>
      </c>
      <c r="O248" s="119"/>
      <c r="P248" s="119"/>
    </row>
    <row r="249" spans="2:16" x14ac:dyDescent="0.25">
      <c r="B249" s="4" t="s">
        <v>46</v>
      </c>
      <c r="C249" s="4" t="str">
        <f t="shared" si="8"/>
        <v>Infrastructure</v>
      </c>
      <c r="E249" s="27"/>
      <c r="F249" s="27">
        <v>0</v>
      </c>
      <c r="G249" s="4" t="s">
        <v>72</v>
      </c>
      <c r="H249" s="327">
        <v>1.0110599999999999E-5</v>
      </c>
      <c r="I249" s="4" t="s">
        <v>23</v>
      </c>
      <c r="J249" s="28">
        <f t="shared" si="7"/>
        <v>1.0110599999999999E-5</v>
      </c>
      <c r="K249" s="4" t="str">
        <f>IF(OpenLCAdetail!I249="CTUh", "Fill in Manually", INDEX(LookUps!$E$5:$E$12, MATCH(OpenLCAdetail!I249,LookUps!$D$5:$D$12,0)))</f>
        <v>Global Warming Potential (GWP) - kg CO2 eq</v>
      </c>
      <c r="O249" s="119"/>
      <c r="P249" s="119"/>
    </row>
    <row r="250" spans="2:16" x14ac:dyDescent="0.25">
      <c r="B250" s="4" t="s">
        <v>46</v>
      </c>
      <c r="C250" s="4" t="str">
        <f t="shared" si="8"/>
        <v>Infrastructure</v>
      </c>
      <c r="F250" s="27">
        <v>0</v>
      </c>
      <c r="G250" s="4" t="s">
        <v>74</v>
      </c>
      <c r="H250" s="327">
        <v>8.5267099999999999E-6</v>
      </c>
      <c r="I250" s="4" t="s">
        <v>23</v>
      </c>
      <c r="J250" s="28">
        <f t="shared" si="7"/>
        <v>8.5267099999999999E-6</v>
      </c>
      <c r="K250" s="4" t="str">
        <f>IF(OpenLCAdetail!I250="CTUh", "Fill in Manually", INDEX(LookUps!$E$5:$E$12, MATCH(OpenLCAdetail!I250,LookUps!$D$5:$D$12,0)))</f>
        <v>Global Warming Potential (GWP) - kg CO2 eq</v>
      </c>
      <c r="O250" s="119"/>
      <c r="P250" s="119"/>
    </row>
    <row r="251" spans="2:16" x14ac:dyDescent="0.25">
      <c r="B251" s="4" t="s">
        <v>46</v>
      </c>
      <c r="C251" s="4" t="str">
        <f t="shared" si="8"/>
        <v>Infrastructure</v>
      </c>
      <c r="F251" s="27">
        <v>0</v>
      </c>
      <c r="G251" s="4" t="s">
        <v>75</v>
      </c>
      <c r="H251" s="327">
        <v>1.8295400000000001E-6</v>
      </c>
      <c r="I251" s="4" t="s">
        <v>23</v>
      </c>
      <c r="J251" s="28">
        <f t="shared" si="7"/>
        <v>1.8295400000000001E-6</v>
      </c>
      <c r="K251" s="4" t="str">
        <f>IF(OpenLCAdetail!I251="CTUh", "Fill in Manually", INDEX(LookUps!$E$5:$E$12, MATCH(OpenLCAdetail!I251,LookUps!$D$5:$D$12,0)))</f>
        <v>Global Warming Potential (GWP) - kg CO2 eq</v>
      </c>
      <c r="O251" s="119"/>
      <c r="P251" s="119"/>
    </row>
    <row r="252" spans="2:16" x14ac:dyDescent="0.25">
      <c r="B252" s="4" t="s">
        <v>46</v>
      </c>
      <c r="C252" s="4" t="str">
        <f t="shared" si="8"/>
        <v>Infrastructure</v>
      </c>
      <c r="E252" s="27"/>
      <c r="F252" s="27">
        <v>0</v>
      </c>
      <c r="G252" s="4" t="s">
        <v>76</v>
      </c>
      <c r="H252" s="327">
        <v>5.2144699999999998E-8</v>
      </c>
      <c r="I252" s="4" t="s">
        <v>23</v>
      </c>
      <c r="J252" s="28">
        <f t="shared" si="7"/>
        <v>5.2144699999999998E-8</v>
      </c>
      <c r="K252" s="4" t="str">
        <f>IF(OpenLCAdetail!I252="CTUh", "Fill in Manually", INDEX(LookUps!$E$5:$E$12, MATCH(OpenLCAdetail!I252,LookUps!$D$5:$D$12,0)))</f>
        <v>Global Warming Potential (GWP) - kg CO2 eq</v>
      </c>
      <c r="O252" s="119"/>
      <c r="P252" s="119"/>
    </row>
    <row r="253" spans="2:16" x14ac:dyDescent="0.25">
      <c r="B253" s="4" t="s">
        <v>46</v>
      </c>
      <c r="C253" s="4" t="str">
        <f t="shared" si="8"/>
        <v>Unit Process Emissions</v>
      </c>
      <c r="E253" s="27">
        <v>1.4999999999999999E-2</v>
      </c>
      <c r="F253" s="27"/>
      <c r="G253" s="4" t="s">
        <v>57</v>
      </c>
      <c r="H253" s="327">
        <v>1.455E-2</v>
      </c>
      <c r="I253" s="4" t="s">
        <v>23</v>
      </c>
      <c r="J253" s="28">
        <f>H253-SUM(H254:H255)</f>
        <v>0</v>
      </c>
      <c r="K253" s="4" t="str">
        <f>IF(OpenLCAdetail!I253="CTUh", "Fill in Manually", INDEX(LookUps!$E$5:$E$12, MATCH(OpenLCAdetail!I253,LookUps!$D$5:$D$12,0)))</f>
        <v>Global Warming Potential (GWP) - kg CO2 eq</v>
      </c>
      <c r="O253" s="119"/>
      <c r="P253" s="119"/>
    </row>
    <row r="254" spans="2:16" x14ac:dyDescent="0.25">
      <c r="B254" s="4" t="s">
        <v>46</v>
      </c>
      <c r="C254" s="4" t="str">
        <f t="shared" si="8"/>
        <v>chemicals</v>
      </c>
      <c r="F254" s="27">
        <v>8.6E-3</v>
      </c>
      <c r="G254" s="4" t="s">
        <v>77</v>
      </c>
      <c r="H254" s="327">
        <v>8.3199999999999993E-3</v>
      </c>
      <c r="I254" s="4" t="s">
        <v>23</v>
      </c>
      <c r="J254" s="28">
        <f t="shared" si="7"/>
        <v>8.3199999999999993E-3</v>
      </c>
      <c r="K254" s="4" t="str">
        <f>IF(OpenLCAdetail!I254="CTUh", "Fill in Manually", INDEX(LookUps!$E$5:$E$12, MATCH(OpenLCAdetail!I254,LookUps!$D$5:$D$12,0)))</f>
        <v>Global Warming Potential (GWP) - kg CO2 eq</v>
      </c>
      <c r="O254" s="119"/>
      <c r="P254" s="119"/>
    </row>
    <row r="255" spans="2:16" x14ac:dyDescent="0.25">
      <c r="B255" s="4" t="s">
        <v>46</v>
      </c>
      <c r="C255" s="4" t="str">
        <f t="shared" si="8"/>
        <v>Electricity</v>
      </c>
      <c r="F255" s="27">
        <v>6.4000000000000003E-3</v>
      </c>
      <c r="G255" s="4" t="s">
        <v>71</v>
      </c>
      <c r="H255" s="327">
        <v>6.2300000000000003E-3</v>
      </c>
      <c r="I255" s="4" t="s">
        <v>23</v>
      </c>
      <c r="J255" s="28">
        <f t="shared" ref="J255:J318" si="9">IF(F255="", "FILL MANUALLY", H255)</f>
        <v>6.2300000000000003E-3</v>
      </c>
      <c r="K255" s="4" t="str">
        <f>IF(OpenLCAdetail!I255="CTUh", "Fill in Manually", INDEX(LookUps!$E$5:$E$12, MATCH(OpenLCAdetail!I255,LookUps!$D$5:$D$12,0)))</f>
        <v>Global Warming Potential (GWP) - kg CO2 eq</v>
      </c>
      <c r="O255" s="119"/>
      <c r="P255" s="119"/>
    </row>
    <row r="256" spans="2:16" x14ac:dyDescent="0.25">
      <c r="B256" s="4" t="s">
        <v>46</v>
      </c>
      <c r="C256" s="4" t="str">
        <f t="shared" ref="C256:C292" si="10">INDEX($O$10:$O$60,MATCH(G256, $P$10:$P$60,0))</f>
        <v>Unit Process Emissions</v>
      </c>
      <c r="E256" s="27">
        <v>1.3899999999999999E-2</v>
      </c>
      <c r="F256" s="27"/>
      <c r="G256" s="4" t="s">
        <v>128</v>
      </c>
      <c r="H256" s="327">
        <v>1.3509999999999999E-2</v>
      </c>
      <c r="I256" s="4" t="s">
        <v>23</v>
      </c>
      <c r="J256" s="28">
        <f>H256-SUM(H257:H258)</f>
        <v>0</v>
      </c>
      <c r="K256" s="4" t="str">
        <f>IF(OpenLCAdetail!I256="CTUh", "Fill in Manually", INDEX(LookUps!$E$5:$E$12, MATCH(OpenLCAdetail!I256,LookUps!$D$5:$D$12,0)))</f>
        <v>Global Warming Potential (GWP) - kg CO2 eq</v>
      </c>
      <c r="O256" s="119"/>
      <c r="P256" s="119"/>
    </row>
    <row r="257" spans="2:16" x14ac:dyDescent="0.25">
      <c r="B257" s="4" t="s">
        <v>46</v>
      </c>
      <c r="C257" s="4" t="str">
        <f t="shared" si="10"/>
        <v>Electricity</v>
      </c>
      <c r="F257" s="27">
        <v>1.1900000000000001E-2</v>
      </c>
      <c r="G257" s="4" t="s">
        <v>71</v>
      </c>
      <c r="H257" s="327">
        <v>1.157E-2</v>
      </c>
      <c r="I257" s="4" t="s">
        <v>23</v>
      </c>
      <c r="J257" s="28">
        <f t="shared" si="9"/>
        <v>1.157E-2</v>
      </c>
      <c r="K257" s="4" t="str">
        <f>IF(OpenLCAdetail!I257="CTUh", "Fill in Manually", INDEX(LookUps!$E$5:$E$12, MATCH(OpenLCAdetail!I257,LookUps!$D$5:$D$12,0)))</f>
        <v>Global Warming Potential (GWP) - kg CO2 eq</v>
      </c>
      <c r="O257" s="119"/>
      <c r="P257" s="119"/>
    </row>
    <row r="258" spans="2:16" x14ac:dyDescent="0.25">
      <c r="B258" s="4" t="s">
        <v>46</v>
      </c>
      <c r="C258" s="4" t="str">
        <f t="shared" si="10"/>
        <v>Infrastructure</v>
      </c>
      <c r="F258" s="27">
        <v>2E-3</v>
      </c>
      <c r="G258" s="4" t="s">
        <v>157</v>
      </c>
      <c r="H258" s="327">
        <v>1.9400000000000001E-3</v>
      </c>
      <c r="I258" s="4" t="s">
        <v>23</v>
      </c>
      <c r="J258" s="28">
        <f t="shared" si="9"/>
        <v>1.9400000000000001E-3</v>
      </c>
      <c r="K258" s="4" t="str">
        <f>IF(OpenLCAdetail!I258="CTUh", "Fill in Manually", INDEX(LookUps!$E$5:$E$12, MATCH(OpenLCAdetail!I258,LookUps!$D$5:$D$12,0)))</f>
        <v>Global Warming Potential (GWP) - kg CO2 eq</v>
      </c>
      <c r="O258" s="119"/>
      <c r="P258" s="119"/>
    </row>
    <row r="259" spans="2:16" x14ac:dyDescent="0.25">
      <c r="B259" s="4" t="s">
        <v>46</v>
      </c>
      <c r="C259" s="4" t="str">
        <f t="shared" si="10"/>
        <v>Unit Process Emissions</v>
      </c>
      <c r="E259" s="27">
        <v>1.3100000000000001E-2</v>
      </c>
      <c r="F259" s="27"/>
      <c r="G259" s="4" t="s">
        <v>60</v>
      </c>
      <c r="H259" s="327">
        <v>1.278E-2</v>
      </c>
      <c r="I259" s="4" t="s">
        <v>23</v>
      </c>
      <c r="J259" s="28">
        <f>H259-SUM(H260:H261)</f>
        <v>0</v>
      </c>
      <c r="K259" s="4" t="str">
        <f>IF(OpenLCAdetail!I259="CTUh", "Fill in Manually", INDEX(LookUps!$E$5:$E$12, MATCH(OpenLCAdetail!I259,LookUps!$D$5:$D$12,0)))</f>
        <v>Global Warming Potential (GWP) - kg CO2 eq</v>
      </c>
      <c r="O259" s="119"/>
      <c r="P259" s="119"/>
    </row>
    <row r="260" spans="2:16" x14ac:dyDescent="0.25">
      <c r="B260" s="4" t="s">
        <v>46</v>
      </c>
      <c r="C260" s="4" t="str">
        <f t="shared" si="10"/>
        <v>Electricity</v>
      </c>
      <c r="F260" s="27">
        <v>7.1999999999999998E-3</v>
      </c>
      <c r="G260" s="4" t="s">
        <v>71</v>
      </c>
      <c r="H260" s="327">
        <v>7.0099999999999997E-3</v>
      </c>
      <c r="I260" s="4" t="s">
        <v>23</v>
      </c>
      <c r="J260" s="28">
        <f t="shared" si="9"/>
        <v>7.0099999999999997E-3</v>
      </c>
      <c r="K260" s="4" t="str">
        <f>IF(OpenLCAdetail!I260="CTUh", "Fill in Manually", INDEX(LookUps!$E$5:$E$12, MATCH(OpenLCAdetail!I260,LookUps!$D$5:$D$12,0)))</f>
        <v>Global Warming Potential (GWP) - kg CO2 eq</v>
      </c>
      <c r="O260" s="119"/>
      <c r="P260" s="119"/>
    </row>
    <row r="261" spans="2:16" x14ac:dyDescent="0.25">
      <c r="B261" s="4" t="s">
        <v>46</v>
      </c>
      <c r="C261" s="4" t="str">
        <f t="shared" si="10"/>
        <v>chemicals</v>
      </c>
      <c r="F261" s="27">
        <v>5.8999999999999999E-3</v>
      </c>
      <c r="G261" s="4" t="s">
        <v>77</v>
      </c>
      <c r="H261" s="327">
        <v>5.77E-3</v>
      </c>
      <c r="I261" s="4" t="s">
        <v>23</v>
      </c>
      <c r="J261" s="28">
        <f t="shared" si="9"/>
        <v>5.77E-3</v>
      </c>
      <c r="K261" s="4" t="str">
        <f>IF(OpenLCAdetail!I261="CTUh", "Fill in Manually", INDEX(LookUps!$E$5:$E$12, MATCH(OpenLCAdetail!I261,LookUps!$D$5:$D$12,0)))</f>
        <v>Global Warming Potential (GWP) - kg CO2 eq</v>
      </c>
      <c r="O261" s="119"/>
      <c r="P261" s="119"/>
    </row>
    <row r="262" spans="2:16" x14ac:dyDescent="0.25">
      <c r="B262" s="4" t="s">
        <v>46</v>
      </c>
      <c r="C262" s="4" t="str">
        <f t="shared" si="10"/>
        <v>Unit Process Emissions</v>
      </c>
      <c r="E262" s="27">
        <v>8.5000000000000006E-3</v>
      </c>
      <c r="F262" s="27"/>
      <c r="G262" s="4" t="s">
        <v>148</v>
      </c>
      <c r="H262" s="327">
        <v>8.3000000000000001E-3</v>
      </c>
      <c r="I262" s="4" t="s">
        <v>23</v>
      </c>
      <c r="J262" s="28">
        <f>H262-SUM(H263:H267)</f>
        <v>1.7333999999986915E-6</v>
      </c>
      <c r="K262" s="4" t="str">
        <f>IF(OpenLCAdetail!I262="CTUh", "Fill in Manually", INDEX(LookUps!$E$5:$E$12, MATCH(OpenLCAdetail!I262,LookUps!$D$5:$D$12,0)))</f>
        <v>Global Warming Potential (GWP) - kg CO2 eq</v>
      </c>
      <c r="O262" s="119"/>
      <c r="P262" s="119"/>
    </row>
    <row r="263" spans="2:16" x14ac:dyDescent="0.25">
      <c r="B263" s="4" t="s">
        <v>46</v>
      </c>
      <c r="C263" s="4" t="str">
        <f t="shared" si="10"/>
        <v>Infrastructure</v>
      </c>
      <c r="F263" s="27">
        <v>3.8E-3</v>
      </c>
      <c r="G263" s="4" t="s">
        <v>73</v>
      </c>
      <c r="H263" s="327">
        <v>3.6600000000000001E-3</v>
      </c>
      <c r="I263" s="4" t="s">
        <v>23</v>
      </c>
      <c r="J263" s="28">
        <f t="shared" si="9"/>
        <v>3.6600000000000001E-3</v>
      </c>
      <c r="K263" s="4" t="str">
        <f>IF(OpenLCAdetail!I263="CTUh", "Fill in Manually", INDEX(LookUps!$E$5:$E$12, MATCH(OpenLCAdetail!I263,LookUps!$D$5:$D$12,0)))</f>
        <v>Global Warming Potential (GWP) - kg CO2 eq</v>
      </c>
      <c r="O263" s="119"/>
      <c r="P263" s="119"/>
    </row>
    <row r="264" spans="2:16" x14ac:dyDescent="0.25">
      <c r="B264" s="4" t="s">
        <v>46</v>
      </c>
      <c r="C264" s="4" t="str">
        <f t="shared" si="10"/>
        <v>Infrastructure</v>
      </c>
      <c r="F264" s="27">
        <v>3.5999999999999999E-3</v>
      </c>
      <c r="G264" s="4" t="s">
        <v>72</v>
      </c>
      <c r="H264" s="327">
        <v>3.5100000000000001E-3</v>
      </c>
      <c r="I264" s="4" t="s">
        <v>23</v>
      </c>
      <c r="J264" s="28">
        <f t="shared" si="9"/>
        <v>3.5100000000000001E-3</v>
      </c>
      <c r="K264" s="4" t="str">
        <f>IF(OpenLCAdetail!I264="CTUh", "Fill in Manually", INDEX(LookUps!$E$5:$E$12, MATCH(OpenLCAdetail!I264,LookUps!$D$5:$D$12,0)))</f>
        <v>Global Warming Potential (GWP) - kg CO2 eq</v>
      </c>
      <c r="O264" s="119"/>
      <c r="P264" s="119"/>
    </row>
    <row r="265" spans="2:16" x14ac:dyDescent="0.25">
      <c r="B265" s="4" t="s">
        <v>46</v>
      </c>
      <c r="C265" s="4" t="str">
        <f t="shared" si="10"/>
        <v>Infrastructure</v>
      </c>
      <c r="F265" s="27">
        <v>8.9999999999999998E-4</v>
      </c>
      <c r="G265" s="4" t="s">
        <v>74</v>
      </c>
      <c r="H265" s="327">
        <v>8.5999999999999998E-4</v>
      </c>
      <c r="I265" s="4" t="s">
        <v>23</v>
      </c>
      <c r="J265" s="28">
        <f t="shared" si="9"/>
        <v>8.5999999999999998E-4</v>
      </c>
      <c r="K265" s="4" t="str">
        <f>IF(OpenLCAdetail!I265="CTUh", "Fill in Manually", INDEX(LookUps!$E$5:$E$12, MATCH(OpenLCAdetail!I265,LookUps!$D$5:$D$12,0)))</f>
        <v>Global Warming Potential (GWP) - kg CO2 eq</v>
      </c>
      <c r="O265" s="119"/>
      <c r="P265" s="119"/>
    </row>
    <row r="266" spans="2:16" x14ac:dyDescent="0.25">
      <c r="B266" s="4" t="s">
        <v>46</v>
      </c>
      <c r="C266" s="4" t="str">
        <f t="shared" si="10"/>
        <v>Infrastructure</v>
      </c>
      <c r="F266" s="27">
        <v>2.9999999999999997E-4</v>
      </c>
      <c r="G266" s="4" t="s">
        <v>75</v>
      </c>
      <c r="H266" s="327">
        <v>2.5000000000000001E-4</v>
      </c>
      <c r="I266" s="4" t="s">
        <v>23</v>
      </c>
      <c r="J266" s="28">
        <f t="shared" si="9"/>
        <v>2.5000000000000001E-4</v>
      </c>
      <c r="K266" s="4" t="str">
        <f>IF(OpenLCAdetail!I266="CTUh", "Fill in Manually", INDEX(LookUps!$E$5:$E$12, MATCH(OpenLCAdetail!I266,LookUps!$D$5:$D$12,0)))</f>
        <v>Global Warming Potential (GWP) - kg CO2 eq</v>
      </c>
      <c r="O266" s="119"/>
      <c r="P266" s="119"/>
    </row>
    <row r="267" spans="2:16" x14ac:dyDescent="0.25">
      <c r="B267" s="4" t="s">
        <v>46</v>
      </c>
      <c r="C267" s="4" t="str">
        <f t="shared" si="10"/>
        <v>Infrastructure</v>
      </c>
      <c r="F267" s="27">
        <v>0</v>
      </c>
      <c r="G267" s="4" t="s">
        <v>76</v>
      </c>
      <c r="H267" s="327">
        <v>1.8266599999999999E-5</v>
      </c>
      <c r="I267" s="4" t="s">
        <v>23</v>
      </c>
      <c r="J267" s="28">
        <f t="shared" si="9"/>
        <v>1.8266599999999999E-5</v>
      </c>
      <c r="K267" s="4" t="str">
        <f>IF(OpenLCAdetail!I267="CTUh", "Fill in Manually", INDEX(LookUps!$E$5:$E$12, MATCH(OpenLCAdetail!I267,LookUps!$D$5:$D$12,0)))</f>
        <v>Global Warming Potential (GWP) - kg CO2 eq</v>
      </c>
      <c r="O267" s="119"/>
      <c r="P267" s="119"/>
    </row>
    <row r="268" spans="2:16" x14ac:dyDescent="0.25">
      <c r="B268" s="4" t="s">
        <v>46</v>
      </c>
      <c r="C268" s="4" t="str">
        <f t="shared" si="10"/>
        <v>Unit Process Emissions</v>
      </c>
      <c r="E268" s="27">
        <v>5.1999999999999998E-3</v>
      </c>
      <c r="F268" s="27"/>
      <c r="G268" s="4" t="s">
        <v>59</v>
      </c>
      <c r="H268" s="327">
        <v>5.0400000000000002E-3</v>
      </c>
      <c r="I268" s="4" t="s">
        <v>23</v>
      </c>
      <c r="J268" s="28">
        <f>H268-SUM(H269:H274)</f>
        <v>-4.7346589999996969E-6</v>
      </c>
      <c r="K268" s="4" t="str">
        <f>IF(OpenLCAdetail!I268="CTUh", "Fill in Manually", INDEX(LookUps!$E$5:$E$12, MATCH(OpenLCAdetail!I268,LookUps!$D$5:$D$12,0)))</f>
        <v>Global Warming Potential (GWP) - kg CO2 eq</v>
      </c>
      <c r="O268" s="119"/>
      <c r="P268" s="119"/>
    </row>
    <row r="269" spans="2:16" x14ac:dyDescent="0.25">
      <c r="B269" s="4" t="s">
        <v>46</v>
      </c>
      <c r="C269" s="4" t="str">
        <f t="shared" si="10"/>
        <v>Electricity</v>
      </c>
      <c r="F269" s="27">
        <v>5.0000000000000001E-3</v>
      </c>
      <c r="G269" s="4" t="s">
        <v>71</v>
      </c>
      <c r="H269" s="327">
        <v>4.8700000000000002E-3</v>
      </c>
      <c r="I269" s="4" t="s">
        <v>23</v>
      </c>
      <c r="J269" s="28">
        <f t="shared" si="9"/>
        <v>4.8700000000000002E-3</v>
      </c>
      <c r="K269" s="4" t="str">
        <f>IF(OpenLCAdetail!I269="CTUh", "Fill in Manually", INDEX(LookUps!$E$5:$E$12, MATCH(OpenLCAdetail!I269,LookUps!$D$5:$D$12,0)))</f>
        <v>Global Warming Potential (GWP) - kg CO2 eq</v>
      </c>
      <c r="O269" s="119"/>
      <c r="P269" s="119"/>
    </row>
    <row r="270" spans="2:16" x14ac:dyDescent="0.25">
      <c r="B270" s="4" t="s">
        <v>46</v>
      </c>
      <c r="C270" s="4" t="str">
        <f t="shared" si="10"/>
        <v>Infrastructure</v>
      </c>
      <c r="F270" s="27">
        <v>1E-4</v>
      </c>
      <c r="G270" s="4" t="s">
        <v>74</v>
      </c>
      <c r="H270" s="327">
        <v>5.3637600000000003E-5</v>
      </c>
      <c r="I270" s="4" t="s">
        <v>23</v>
      </c>
      <c r="J270" s="28">
        <f t="shared" si="9"/>
        <v>5.3637600000000003E-5</v>
      </c>
      <c r="K270" s="4" t="str">
        <f>IF(OpenLCAdetail!I270="CTUh", "Fill in Manually", INDEX(LookUps!$E$5:$E$12, MATCH(OpenLCAdetail!I270,LookUps!$D$5:$D$12,0)))</f>
        <v>Global Warming Potential (GWP) - kg CO2 eq</v>
      </c>
      <c r="O270" s="119"/>
      <c r="P270" s="119"/>
    </row>
    <row r="271" spans="2:16" x14ac:dyDescent="0.25">
      <c r="B271" s="4" t="s">
        <v>46</v>
      </c>
      <c r="C271" s="4" t="str">
        <f t="shared" si="10"/>
        <v>Infrastructure</v>
      </c>
      <c r="F271" s="27">
        <v>0</v>
      </c>
      <c r="G271" s="4" t="s">
        <v>73</v>
      </c>
      <c r="H271" s="327">
        <v>4.6140100000000002E-5</v>
      </c>
      <c r="I271" s="4" t="s">
        <v>23</v>
      </c>
      <c r="J271" s="28">
        <f t="shared" si="9"/>
        <v>4.6140100000000002E-5</v>
      </c>
      <c r="K271" s="4" t="str">
        <f>IF(OpenLCAdetail!I271="CTUh", "Fill in Manually", INDEX(LookUps!$E$5:$E$12, MATCH(OpenLCAdetail!I271,LookUps!$D$5:$D$12,0)))</f>
        <v>Global Warming Potential (GWP) - kg CO2 eq</v>
      </c>
      <c r="O271" s="119"/>
      <c r="P271" s="119"/>
    </row>
    <row r="272" spans="2:16" x14ac:dyDescent="0.25">
      <c r="B272" s="4" t="s">
        <v>46</v>
      </c>
      <c r="C272" s="4" t="str">
        <f t="shared" si="10"/>
        <v>Infrastructure</v>
      </c>
      <c r="F272" s="27">
        <v>0</v>
      </c>
      <c r="G272" s="4" t="s">
        <v>72</v>
      </c>
      <c r="H272" s="327">
        <v>4.4191099999999998E-5</v>
      </c>
      <c r="I272" s="4" t="s">
        <v>23</v>
      </c>
      <c r="J272" s="28">
        <f t="shared" si="9"/>
        <v>4.4191099999999998E-5</v>
      </c>
      <c r="K272" s="4" t="str">
        <f>IF(OpenLCAdetail!I272="CTUh", "Fill in Manually", INDEX(LookUps!$E$5:$E$12, MATCH(OpenLCAdetail!I272,LookUps!$D$5:$D$12,0)))</f>
        <v>Global Warming Potential (GWP) - kg CO2 eq</v>
      </c>
      <c r="O272" s="119"/>
      <c r="P272" s="119"/>
    </row>
    <row r="273" spans="2:16" x14ac:dyDescent="0.25">
      <c r="B273" s="4" t="s">
        <v>46</v>
      </c>
      <c r="C273" s="4" t="str">
        <f t="shared" si="10"/>
        <v>Infrastructure</v>
      </c>
      <c r="F273" s="27">
        <v>0</v>
      </c>
      <c r="G273" s="4" t="s">
        <v>75</v>
      </c>
      <c r="H273" s="327">
        <v>2.9942800000000001E-5</v>
      </c>
      <c r="I273" s="4" t="s">
        <v>23</v>
      </c>
      <c r="J273" s="28">
        <f t="shared" si="9"/>
        <v>2.9942800000000001E-5</v>
      </c>
      <c r="K273" s="4" t="str">
        <f>IF(OpenLCAdetail!I273="CTUh", "Fill in Manually", INDEX(LookUps!$E$5:$E$12, MATCH(OpenLCAdetail!I273,LookUps!$D$5:$D$12,0)))</f>
        <v>Global Warming Potential (GWP) - kg CO2 eq</v>
      </c>
      <c r="O273" s="119"/>
      <c r="P273" s="119"/>
    </row>
    <row r="274" spans="2:16" x14ac:dyDescent="0.25">
      <c r="B274" s="4" t="s">
        <v>46</v>
      </c>
      <c r="C274" s="4" t="str">
        <f t="shared" si="10"/>
        <v>Infrastructure</v>
      </c>
      <c r="F274" s="27">
        <v>0</v>
      </c>
      <c r="G274" s="4" t="s">
        <v>76</v>
      </c>
      <c r="H274" s="327">
        <v>8.2305900000000004E-7</v>
      </c>
      <c r="I274" s="4" t="s">
        <v>23</v>
      </c>
      <c r="J274" s="28">
        <f t="shared" si="9"/>
        <v>8.2305900000000004E-7</v>
      </c>
      <c r="K274" s="4" t="str">
        <f>IF(OpenLCAdetail!I274="CTUh", "Fill in Manually", INDEX(LookUps!$E$5:$E$12, MATCH(OpenLCAdetail!I274,LookUps!$D$5:$D$12,0)))</f>
        <v>Global Warming Potential (GWP) - kg CO2 eq</v>
      </c>
      <c r="O274" s="119"/>
      <c r="P274" s="119"/>
    </row>
    <row r="275" spans="2:16" x14ac:dyDescent="0.25">
      <c r="B275" s="4" t="s">
        <v>46</v>
      </c>
      <c r="C275" s="4" t="str">
        <f t="shared" si="10"/>
        <v>Unit Process Emissions</v>
      </c>
      <c r="E275" s="27">
        <v>2.5000000000000001E-3</v>
      </c>
      <c r="F275" s="27"/>
      <c r="G275" s="4" t="s">
        <v>168</v>
      </c>
      <c r="H275" s="327">
        <v>2.4099999999999998E-3</v>
      </c>
      <c r="I275" s="4" t="s">
        <v>23</v>
      </c>
      <c r="J275" s="28">
        <f>H275-SUM(H276)</f>
        <v>0</v>
      </c>
      <c r="K275" s="4" t="str">
        <f>IF(OpenLCAdetail!I275="CTUh", "Fill in Manually", INDEX(LookUps!$E$5:$E$12, MATCH(OpenLCAdetail!I275,LookUps!$D$5:$D$12,0)))</f>
        <v>Global Warming Potential (GWP) - kg CO2 eq</v>
      </c>
      <c r="O275" s="119"/>
      <c r="P275" s="119"/>
    </row>
    <row r="276" spans="2:16" x14ac:dyDescent="0.25">
      <c r="B276" s="4" t="s">
        <v>46</v>
      </c>
      <c r="C276" s="4" t="str">
        <f t="shared" si="10"/>
        <v>Electricity</v>
      </c>
      <c r="F276" s="27">
        <v>2.5000000000000001E-3</v>
      </c>
      <c r="G276" s="4" t="s">
        <v>71</v>
      </c>
      <c r="H276" s="327">
        <v>2.4099999999999998E-3</v>
      </c>
      <c r="I276" s="4" t="s">
        <v>23</v>
      </c>
      <c r="J276" s="28">
        <f t="shared" si="9"/>
        <v>2.4099999999999998E-3</v>
      </c>
      <c r="K276" s="4" t="str">
        <f>IF(OpenLCAdetail!I276="CTUh", "Fill in Manually", INDEX(LookUps!$E$5:$E$12, MATCH(OpenLCAdetail!I276,LookUps!$D$5:$D$12,0)))</f>
        <v>Global Warming Potential (GWP) - kg CO2 eq</v>
      </c>
      <c r="O276" s="119"/>
      <c r="P276" s="119"/>
    </row>
    <row r="277" spans="2:16" x14ac:dyDescent="0.25">
      <c r="B277" s="4" t="s">
        <v>46</v>
      </c>
      <c r="C277" s="4" t="str">
        <f t="shared" si="10"/>
        <v>Unit Process Emissions</v>
      </c>
      <c r="E277" s="27">
        <v>-5.8299999999999998E-2</v>
      </c>
      <c r="F277" s="27"/>
      <c r="G277" s="4" t="s">
        <v>149</v>
      </c>
      <c r="H277" s="327">
        <v>-5.6640000000000003E-2</v>
      </c>
      <c r="I277" s="4" t="s">
        <v>23</v>
      </c>
      <c r="J277" s="28">
        <f>H277-SUM(H278:H286)</f>
        <v>4.4904949702999984E-2</v>
      </c>
      <c r="K277" s="4" t="str">
        <f>IF(OpenLCAdetail!I277="CTUh", "Fill in Manually", INDEX(LookUps!$E$5:$E$12, MATCH(OpenLCAdetail!I277,LookUps!$D$5:$D$12,0)))</f>
        <v>Global Warming Potential (GWP) - kg CO2 eq</v>
      </c>
      <c r="O277" s="119"/>
      <c r="P277" s="119"/>
    </row>
    <row r="278" spans="2:16" x14ac:dyDescent="0.25">
      <c r="B278" s="4" t="s">
        <v>46</v>
      </c>
      <c r="C278" s="4" t="str">
        <f t="shared" si="10"/>
        <v>Natural Gas</v>
      </c>
      <c r="F278" s="27">
        <v>0.11559999999999999</v>
      </c>
      <c r="G278" s="4" t="s">
        <v>173</v>
      </c>
      <c r="H278" s="327">
        <v>0.11232</v>
      </c>
      <c r="I278" s="4" t="s">
        <v>23</v>
      </c>
      <c r="J278" s="28">
        <f t="shared" si="9"/>
        <v>0.11232</v>
      </c>
      <c r="K278" s="4" t="str">
        <f>IF(OpenLCAdetail!I278="CTUh", "Fill in Manually", INDEX(LookUps!$E$5:$E$12, MATCH(OpenLCAdetail!I278,LookUps!$D$5:$D$12,0)))</f>
        <v>Global Warming Potential (GWP) - kg CO2 eq</v>
      </c>
      <c r="O278" s="119"/>
      <c r="P278" s="119"/>
    </row>
    <row r="279" spans="2:16" x14ac:dyDescent="0.25">
      <c r="B279" s="4" t="s">
        <v>46</v>
      </c>
      <c r="C279" s="4" t="str">
        <f t="shared" si="10"/>
        <v>Electricity</v>
      </c>
      <c r="F279" s="27">
        <v>9.4E-2</v>
      </c>
      <c r="G279" s="4" t="s">
        <v>71</v>
      </c>
      <c r="H279" s="327">
        <v>9.1359999999999997E-2</v>
      </c>
      <c r="I279" s="4" t="s">
        <v>23</v>
      </c>
      <c r="J279" s="28">
        <f t="shared" si="9"/>
        <v>9.1359999999999997E-2</v>
      </c>
      <c r="K279" s="4" t="str">
        <f>IF(OpenLCAdetail!I279="CTUh", "Fill in Manually", INDEX(LookUps!$E$5:$E$12, MATCH(OpenLCAdetail!I279,LookUps!$D$5:$D$12,0)))</f>
        <v>Global Warming Potential (GWP) - kg CO2 eq</v>
      </c>
      <c r="O279" s="119"/>
      <c r="P279" s="119"/>
    </row>
    <row r="280" spans="2:16" x14ac:dyDescent="0.25">
      <c r="B280" s="4" t="s">
        <v>46</v>
      </c>
      <c r="C280" s="4" t="str">
        <f t="shared" si="10"/>
        <v>Infrastructure</v>
      </c>
      <c r="F280" s="27">
        <v>5.0000000000000001E-4</v>
      </c>
      <c r="G280" s="4" t="s">
        <v>74</v>
      </c>
      <c r="H280" s="327">
        <v>4.8000000000000001E-4</v>
      </c>
      <c r="I280" s="4" t="s">
        <v>23</v>
      </c>
      <c r="J280" s="28">
        <f t="shared" si="9"/>
        <v>4.8000000000000001E-4</v>
      </c>
      <c r="K280" s="4" t="str">
        <f>IF(OpenLCAdetail!I280="CTUh", "Fill in Manually", INDEX(LookUps!$E$5:$E$12, MATCH(OpenLCAdetail!I280,LookUps!$D$5:$D$12,0)))</f>
        <v>Global Warming Potential (GWP) - kg CO2 eq</v>
      </c>
      <c r="O280" s="119"/>
      <c r="P280" s="119"/>
    </row>
    <row r="281" spans="2:16" x14ac:dyDescent="0.25">
      <c r="B281" s="4" t="s">
        <v>46</v>
      </c>
      <c r="C281" s="4" t="str">
        <f t="shared" si="10"/>
        <v>Infrastructure</v>
      </c>
      <c r="E281" s="27"/>
      <c r="F281" s="27">
        <v>4.0000000000000002E-4</v>
      </c>
      <c r="G281" s="4" t="s">
        <v>73</v>
      </c>
      <c r="H281" s="327">
        <v>3.5E-4</v>
      </c>
      <c r="I281" s="4" t="s">
        <v>23</v>
      </c>
      <c r="J281" s="28">
        <f t="shared" si="9"/>
        <v>3.5E-4</v>
      </c>
      <c r="K281" s="4" t="str">
        <f>IF(OpenLCAdetail!I281="CTUh", "Fill in Manually", INDEX(LookUps!$E$5:$E$12, MATCH(OpenLCAdetail!I281,LookUps!$D$5:$D$12,0)))</f>
        <v>Global Warming Potential (GWP) - kg CO2 eq</v>
      </c>
      <c r="O281" s="119"/>
      <c r="P281" s="119"/>
    </row>
    <row r="282" spans="2:16" x14ac:dyDescent="0.25">
      <c r="B282" s="4" t="s">
        <v>46</v>
      </c>
      <c r="C282" s="4" t="str">
        <f t="shared" si="10"/>
        <v>Infrastructure</v>
      </c>
      <c r="E282" s="27"/>
      <c r="F282" s="27">
        <v>1E-4</v>
      </c>
      <c r="G282" s="4" t="s">
        <v>75</v>
      </c>
      <c r="H282" s="327">
        <v>7.0324499999999994E-5</v>
      </c>
      <c r="I282" s="4" t="s">
        <v>23</v>
      </c>
      <c r="J282" s="28">
        <f t="shared" si="9"/>
        <v>7.0324499999999994E-5</v>
      </c>
      <c r="K282" s="4" t="str">
        <f>IF(OpenLCAdetail!I282="CTUh", "Fill in Manually", INDEX(LookUps!$E$5:$E$12, MATCH(OpenLCAdetail!I282,LookUps!$D$5:$D$12,0)))</f>
        <v>Global Warming Potential (GWP) - kg CO2 eq</v>
      </c>
      <c r="O282" s="119"/>
      <c r="P282" s="119"/>
    </row>
    <row r="283" spans="2:16" x14ac:dyDescent="0.25">
      <c r="B283" s="4" t="s">
        <v>46</v>
      </c>
      <c r="C283" s="4" t="str">
        <f t="shared" si="10"/>
        <v>Infrastructure</v>
      </c>
      <c r="E283" s="27"/>
      <c r="F283" s="27">
        <v>0</v>
      </c>
      <c r="G283" s="4" t="s">
        <v>152</v>
      </c>
      <c r="H283" s="327">
        <v>3.79159E-6</v>
      </c>
      <c r="I283" s="4" t="s">
        <v>23</v>
      </c>
      <c r="J283" s="28">
        <f t="shared" si="9"/>
        <v>3.79159E-6</v>
      </c>
      <c r="K283" s="4" t="str">
        <f>IF(OpenLCAdetail!I283="CTUh", "Fill in Manually", INDEX(LookUps!$E$5:$E$12, MATCH(OpenLCAdetail!I283,LookUps!$D$5:$D$12,0)))</f>
        <v>Global Warming Potential (GWP) - kg CO2 eq</v>
      </c>
      <c r="O283" s="119"/>
      <c r="P283" s="119"/>
    </row>
    <row r="284" spans="2:16" x14ac:dyDescent="0.25">
      <c r="B284" s="4" t="s">
        <v>46</v>
      </c>
      <c r="C284" s="4" t="str">
        <f t="shared" si="10"/>
        <v>Infrastructure</v>
      </c>
      <c r="E284" s="27"/>
      <c r="F284" s="27">
        <v>0</v>
      </c>
      <c r="G284" s="4" t="s">
        <v>169</v>
      </c>
      <c r="H284" s="327">
        <v>9.3420699999999997E-7</v>
      </c>
      <c r="I284" s="4" t="s">
        <v>23</v>
      </c>
      <c r="J284" s="28">
        <f t="shared" si="9"/>
        <v>9.3420699999999997E-7</v>
      </c>
      <c r="K284" s="4" t="str">
        <f>IF(OpenLCAdetail!I284="CTUh", "Fill in Manually", INDEX(LookUps!$E$5:$E$12, MATCH(OpenLCAdetail!I284,LookUps!$D$5:$D$12,0)))</f>
        <v>Global Warming Potential (GWP) - kg CO2 eq</v>
      </c>
      <c r="O284" s="119"/>
      <c r="P284" s="119"/>
    </row>
    <row r="285" spans="2:16" x14ac:dyDescent="0.25">
      <c r="B285" s="4" t="s">
        <v>46</v>
      </c>
      <c r="C285" s="4" t="str">
        <f t="shared" si="10"/>
        <v>avoided products</v>
      </c>
      <c r="E285" s="27"/>
      <c r="F285" s="27">
        <v>-0.156</v>
      </c>
      <c r="G285" s="4" t="s">
        <v>175</v>
      </c>
      <c r="H285" s="327">
        <v>-0.15153</v>
      </c>
      <c r="I285" s="4" t="s">
        <v>23</v>
      </c>
      <c r="J285" s="28">
        <f t="shared" si="9"/>
        <v>-0.15153</v>
      </c>
      <c r="K285" s="4" t="str">
        <f>IF(OpenLCAdetail!I285="CTUh", "Fill in Manually", INDEX(LookUps!$E$5:$E$12, MATCH(OpenLCAdetail!I285,LookUps!$D$5:$D$12,0)))</f>
        <v>Global Warming Potential (GWP) - kg CO2 eq</v>
      </c>
      <c r="O285" s="119"/>
      <c r="P285" s="119"/>
    </row>
    <row r="286" spans="2:16" x14ac:dyDescent="0.25">
      <c r="B286" s="4" t="s">
        <v>46</v>
      </c>
      <c r="C286" s="4" t="str">
        <f t="shared" si="10"/>
        <v>avoided products</v>
      </c>
      <c r="E286" s="27"/>
      <c r="F286" s="27">
        <v>-0.15909999999999999</v>
      </c>
      <c r="G286" s="4" t="s">
        <v>174</v>
      </c>
      <c r="H286" s="327">
        <v>-0.15459999999999999</v>
      </c>
      <c r="I286" s="4" t="s">
        <v>23</v>
      </c>
      <c r="J286" s="28">
        <f t="shared" si="9"/>
        <v>-0.15459999999999999</v>
      </c>
      <c r="K286" s="4" t="str">
        <f>IF(OpenLCAdetail!I286="CTUh", "Fill in Manually", INDEX(LookUps!$E$5:$E$12, MATCH(OpenLCAdetail!I286,LookUps!$D$5:$D$12,0)))</f>
        <v>Global Warming Potential (GWP) - kg CO2 eq</v>
      </c>
      <c r="O286" s="119"/>
      <c r="P286" s="119"/>
    </row>
    <row r="287" spans="2:16" x14ac:dyDescent="0.25">
      <c r="B287" s="4" t="s">
        <v>46</v>
      </c>
      <c r="C287" s="4" t="s">
        <v>80</v>
      </c>
      <c r="E287" s="27">
        <v>-0.48320000000000002</v>
      </c>
      <c r="F287" s="27"/>
      <c r="G287" s="4" t="s">
        <v>62</v>
      </c>
      <c r="H287" s="327">
        <v>-0.46950999999999998</v>
      </c>
      <c r="I287" s="4" t="s">
        <v>23</v>
      </c>
      <c r="J287" s="28">
        <f>H287-SUM(H288:H292)</f>
        <v>-0.42958641220999999</v>
      </c>
      <c r="K287" s="4" t="str">
        <f>IF(OpenLCAdetail!I287="CTUh", "Fill in Manually", INDEX(LookUps!$E$5:$E$12, MATCH(OpenLCAdetail!I287,LookUps!$D$5:$D$12,0)))</f>
        <v>Global Warming Potential (GWP) - kg CO2 eq</v>
      </c>
      <c r="O287" s="119"/>
      <c r="P287" s="119"/>
    </row>
    <row r="288" spans="2:16" x14ac:dyDescent="0.25">
      <c r="B288" s="4" t="s">
        <v>46</v>
      </c>
      <c r="C288" s="4" t="str">
        <f t="shared" si="10"/>
        <v>Transport</v>
      </c>
      <c r="E288" s="27"/>
      <c r="F288" s="27">
        <v>1.0999999999999999E-2</v>
      </c>
      <c r="G288" s="4" t="s">
        <v>156</v>
      </c>
      <c r="H288" s="327">
        <v>1.0699999999999999E-2</v>
      </c>
      <c r="I288" s="4" t="s">
        <v>23</v>
      </c>
      <c r="J288" s="28">
        <f t="shared" si="9"/>
        <v>1.0699999999999999E-2</v>
      </c>
      <c r="K288" s="4" t="str">
        <f>IF(OpenLCAdetail!I288="CTUh", "Fill in Manually", INDEX(LookUps!$E$5:$E$12, MATCH(OpenLCAdetail!I288,LookUps!$D$5:$D$12,0)))</f>
        <v>Global Warming Potential (GWP) - kg CO2 eq</v>
      </c>
      <c r="O288" s="119"/>
      <c r="P288" s="119"/>
    </row>
    <row r="289" spans="2:16" x14ac:dyDescent="0.25">
      <c r="B289" s="4" t="s">
        <v>46</v>
      </c>
      <c r="C289" s="4" t="str">
        <f t="shared" si="10"/>
        <v>Diesel</v>
      </c>
      <c r="E289" s="27"/>
      <c r="F289" s="27">
        <v>0</v>
      </c>
      <c r="G289" s="4" t="s">
        <v>172</v>
      </c>
      <c r="H289" s="327">
        <v>6.4122100000000001E-6</v>
      </c>
      <c r="I289" s="4" t="s">
        <v>23</v>
      </c>
      <c r="J289" s="28">
        <f t="shared" si="9"/>
        <v>6.4122100000000001E-6</v>
      </c>
      <c r="K289" s="4" t="str">
        <f>IF(OpenLCAdetail!I289="CTUh", "Fill in Manually", INDEX(LookUps!$E$5:$E$12, MATCH(OpenLCAdetail!I289,LookUps!$D$5:$D$12,0)))</f>
        <v>Global Warming Potential (GWP) - kg CO2 eq</v>
      </c>
      <c r="O289" s="119"/>
      <c r="P289" s="119"/>
    </row>
    <row r="290" spans="2:16" x14ac:dyDescent="0.25">
      <c r="B290" s="4" t="s">
        <v>46</v>
      </c>
      <c r="C290" s="4" t="str">
        <f t="shared" si="10"/>
        <v>avoided products</v>
      </c>
      <c r="F290" s="27">
        <v>-2.8999999999999998E-3</v>
      </c>
      <c r="G290" s="4" t="s">
        <v>176</v>
      </c>
      <c r="H290" s="327">
        <v>-2.8E-3</v>
      </c>
      <c r="I290" s="4" t="s">
        <v>23</v>
      </c>
      <c r="J290" s="28">
        <f t="shared" si="9"/>
        <v>-2.8E-3</v>
      </c>
      <c r="K290" s="4" t="str">
        <f>IF(OpenLCAdetail!I290="CTUh", "Fill in Manually", INDEX(LookUps!$E$5:$E$12, MATCH(OpenLCAdetail!I290,LookUps!$D$5:$D$12,0)))</f>
        <v>Global Warming Potential (GWP) - kg CO2 eq</v>
      </c>
      <c r="O290" s="119"/>
      <c r="P290" s="119"/>
    </row>
    <row r="291" spans="2:16" x14ac:dyDescent="0.25">
      <c r="B291" s="4" t="s">
        <v>46</v>
      </c>
      <c r="C291" s="4" t="str">
        <f t="shared" si="10"/>
        <v>avoided products</v>
      </c>
      <c r="E291" s="27"/>
      <c r="F291" s="27">
        <v>-2.4199999999999999E-2</v>
      </c>
      <c r="G291" s="4" t="s">
        <v>177</v>
      </c>
      <c r="H291" s="327">
        <v>-2.3529999999999999E-2</v>
      </c>
      <c r="I291" s="4" t="s">
        <v>23</v>
      </c>
      <c r="J291" s="28">
        <f t="shared" si="9"/>
        <v>-2.3529999999999999E-2</v>
      </c>
      <c r="K291" s="4" t="str">
        <f>IF(OpenLCAdetail!I291="CTUh", "Fill in Manually", INDEX(LookUps!$E$5:$E$12, MATCH(OpenLCAdetail!I291,LookUps!$D$5:$D$12,0)))</f>
        <v>Global Warming Potential (GWP) - kg CO2 eq</v>
      </c>
      <c r="O291" s="119"/>
      <c r="P291" s="119"/>
    </row>
    <row r="292" spans="2:16" x14ac:dyDescent="0.25">
      <c r="B292" s="4" t="s">
        <v>46</v>
      </c>
      <c r="C292" s="4" t="str">
        <f t="shared" si="10"/>
        <v>avoided products</v>
      </c>
      <c r="E292" s="27"/>
      <c r="F292" s="27">
        <v>-2.5000000000000001E-2</v>
      </c>
      <c r="G292" s="4" t="s">
        <v>178</v>
      </c>
      <c r="H292" s="327">
        <v>-2.4299999999999999E-2</v>
      </c>
      <c r="I292" s="4" t="s">
        <v>23</v>
      </c>
      <c r="J292" s="28">
        <f t="shared" si="9"/>
        <v>-2.4299999999999999E-2</v>
      </c>
      <c r="K292" s="4" t="str">
        <f>IF(OpenLCAdetail!I292="CTUh", "Fill in Manually", INDEX(LookUps!$E$5:$E$12, MATCH(OpenLCAdetail!I292,LookUps!$D$5:$D$12,0)))</f>
        <v>Global Warming Potential (GWP) - kg CO2 eq</v>
      </c>
      <c r="O292" s="119"/>
      <c r="P292" s="119"/>
    </row>
    <row r="293" spans="2:16" x14ac:dyDescent="0.25">
      <c r="F293" s="27"/>
      <c r="J293" s="28"/>
      <c r="O293" s="119"/>
      <c r="P293" s="119"/>
    </row>
    <row r="294" spans="2:16" x14ac:dyDescent="0.25">
      <c r="B294" s="93" t="s">
        <v>46</v>
      </c>
      <c r="C294" s="4" t="str">
        <f t="shared" si="8"/>
        <v>Unit Process Emissions</v>
      </c>
      <c r="D294" s="93"/>
      <c r="E294" s="94">
        <v>0.36990000000000001</v>
      </c>
      <c r="F294" s="93"/>
      <c r="G294" s="93" t="s">
        <v>55</v>
      </c>
      <c r="H294" s="329">
        <v>3.5330499999999998</v>
      </c>
      <c r="I294" s="93" t="s">
        <v>15</v>
      </c>
      <c r="J294" s="28">
        <f>H294-SUM(H295:H302)</f>
        <v>3.2228999997663266E-6</v>
      </c>
      <c r="K294" s="93" t="str">
        <f>IF(OpenLCAdetail!I294="CTUh", "Fill in Manually", INDEX(LookUps!$E$5:$E$12, MATCH(OpenLCAdetail!I294,LookUps!$D$5:$D$12,0)))</f>
        <v>Cumulative Energy Demand (CED) - MJ</v>
      </c>
      <c r="O294" s="119"/>
      <c r="P294" s="119"/>
    </row>
    <row r="295" spans="2:16" x14ac:dyDescent="0.25">
      <c r="B295" s="4" t="s">
        <v>46</v>
      </c>
      <c r="C295" s="4" t="str">
        <f t="shared" si="8"/>
        <v>Electricity</v>
      </c>
      <c r="F295" s="27">
        <v>0.35909999999999997</v>
      </c>
      <c r="G295" s="4" t="s">
        <v>71</v>
      </c>
      <c r="H295" s="327">
        <v>3.43059</v>
      </c>
      <c r="I295" s="4" t="s">
        <v>15</v>
      </c>
      <c r="J295" s="28">
        <f t="shared" si="9"/>
        <v>3.43059</v>
      </c>
      <c r="K295" s="4" t="str">
        <f>IF(OpenLCAdetail!I295="CTUh", "Fill in Manually", INDEX(LookUps!$E$5:$E$12, MATCH(OpenLCAdetail!I295,LookUps!$D$5:$D$12,0)))</f>
        <v>Cumulative Energy Demand (CED) - MJ</v>
      </c>
      <c r="O295" s="119"/>
      <c r="P295" s="119"/>
    </row>
    <row r="296" spans="2:16" x14ac:dyDescent="0.25">
      <c r="B296" s="4" t="s">
        <v>46</v>
      </c>
      <c r="C296" s="4" t="str">
        <f t="shared" si="8"/>
        <v>Infrastructure</v>
      </c>
      <c r="F296" s="27">
        <v>4.1999999999999997E-3</v>
      </c>
      <c r="G296" s="4" t="s">
        <v>73</v>
      </c>
      <c r="H296" s="327">
        <v>4.0430000000000001E-2</v>
      </c>
      <c r="I296" s="4" t="s">
        <v>15</v>
      </c>
      <c r="J296" s="28">
        <f t="shared" si="9"/>
        <v>4.0430000000000001E-2</v>
      </c>
      <c r="K296" s="4" t="str">
        <f>IF(OpenLCAdetail!I296="CTUh", "Fill in Manually", INDEX(LookUps!$E$5:$E$12, MATCH(OpenLCAdetail!I296,LookUps!$D$5:$D$12,0)))</f>
        <v>Cumulative Energy Demand (CED) - MJ</v>
      </c>
      <c r="O296" s="119"/>
      <c r="P296" s="119"/>
    </row>
    <row r="297" spans="2:16" x14ac:dyDescent="0.25">
      <c r="B297" s="4" t="s">
        <v>46</v>
      </c>
      <c r="C297" s="4" t="str">
        <f t="shared" si="8"/>
        <v>Infrastructure</v>
      </c>
      <c r="F297" s="27">
        <v>3.7000000000000002E-3</v>
      </c>
      <c r="G297" s="4" t="s">
        <v>72</v>
      </c>
      <c r="H297" s="327">
        <v>3.5749999999999997E-2</v>
      </c>
      <c r="I297" s="4" t="s">
        <v>15</v>
      </c>
      <c r="J297" s="28">
        <f t="shared" si="9"/>
        <v>3.5749999999999997E-2</v>
      </c>
      <c r="K297" s="4" t="str">
        <f>IF(OpenLCAdetail!I297="CTUh", "Fill in Manually", INDEX(LookUps!$E$5:$E$12, MATCH(OpenLCAdetail!I297,LookUps!$D$5:$D$12,0)))</f>
        <v>Cumulative Energy Demand (CED) - MJ</v>
      </c>
      <c r="O297" s="119"/>
      <c r="P297" s="119"/>
    </row>
    <row r="298" spans="2:16" x14ac:dyDescent="0.25">
      <c r="B298" s="4" t="s">
        <v>46</v>
      </c>
      <c r="C298" s="4" t="str">
        <f t="shared" si="8"/>
        <v>Infrastructure</v>
      </c>
      <c r="F298" s="27">
        <v>1.6999999999999999E-3</v>
      </c>
      <c r="G298" s="4" t="s">
        <v>74</v>
      </c>
      <c r="H298" s="327">
        <v>1.5990000000000001E-2</v>
      </c>
      <c r="I298" s="4" t="s">
        <v>15</v>
      </c>
      <c r="J298" s="28">
        <f t="shared" si="9"/>
        <v>1.5990000000000001E-2</v>
      </c>
      <c r="K298" s="4" t="str">
        <f>IF(OpenLCAdetail!I298="CTUh", "Fill in Manually", INDEX(LookUps!$E$5:$E$12, MATCH(OpenLCAdetail!I298,LookUps!$D$5:$D$12,0)))</f>
        <v>Cumulative Energy Demand (CED) - MJ</v>
      </c>
      <c r="O298" s="119"/>
      <c r="P298" s="119"/>
    </row>
    <row r="299" spans="2:16" x14ac:dyDescent="0.25">
      <c r="B299" s="4" t="s">
        <v>46</v>
      </c>
      <c r="C299" s="4" t="str">
        <f t="shared" si="8"/>
        <v>Infrastructure</v>
      </c>
      <c r="F299" s="27">
        <v>8.9999999999999998E-4</v>
      </c>
      <c r="G299" s="4" t="s">
        <v>75</v>
      </c>
      <c r="H299" s="327">
        <v>8.5100000000000002E-3</v>
      </c>
      <c r="I299" s="4" t="s">
        <v>15</v>
      </c>
      <c r="J299" s="28">
        <f t="shared" si="9"/>
        <v>8.5100000000000002E-3</v>
      </c>
      <c r="K299" s="4" t="str">
        <f>IF(OpenLCAdetail!I299="CTUh", "Fill in Manually", INDEX(LookUps!$E$5:$E$12, MATCH(OpenLCAdetail!I299,LookUps!$D$5:$D$12,0)))</f>
        <v>Cumulative Energy Demand (CED) - MJ</v>
      </c>
      <c r="O299" s="119"/>
      <c r="P299" s="119"/>
    </row>
    <row r="300" spans="2:16" x14ac:dyDescent="0.25">
      <c r="B300" s="4" t="s">
        <v>46</v>
      </c>
      <c r="C300" s="4" t="str">
        <f t="shared" si="8"/>
        <v>Infrastructure</v>
      </c>
      <c r="F300" s="27">
        <v>2.0000000000000001E-4</v>
      </c>
      <c r="G300" s="4" t="s">
        <v>152</v>
      </c>
      <c r="H300" s="327">
        <v>1.5E-3</v>
      </c>
      <c r="I300" s="4" t="s">
        <v>15</v>
      </c>
      <c r="J300" s="28">
        <f t="shared" si="9"/>
        <v>1.5E-3</v>
      </c>
      <c r="K300" s="4" t="str">
        <f>IF(OpenLCAdetail!I300="CTUh", "Fill in Manually", INDEX(LookUps!$E$5:$E$12, MATCH(OpenLCAdetail!I300,LookUps!$D$5:$D$12,0)))</f>
        <v>Cumulative Energy Demand (CED) - MJ</v>
      </c>
      <c r="O300" s="119"/>
      <c r="P300" s="119"/>
    </row>
    <row r="301" spans="2:16" x14ac:dyDescent="0.25">
      <c r="B301" s="4" t="s">
        <v>46</v>
      </c>
      <c r="C301" s="4" t="str">
        <f t="shared" si="8"/>
        <v>Infrastructure</v>
      </c>
      <c r="F301" s="27">
        <v>0</v>
      </c>
      <c r="G301" s="4" t="s">
        <v>169</v>
      </c>
      <c r="H301" s="327">
        <v>1.9000000000000001E-4</v>
      </c>
      <c r="I301" s="4" t="s">
        <v>15</v>
      </c>
      <c r="J301" s="28">
        <f t="shared" si="9"/>
        <v>1.9000000000000001E-4</v>
      </c>
      <c r="K301" s="4" t="str">
        <f>IF(OpenLCAdetail!I301="CTUh", "Fill in Manually", INDEX(LookUps!$E$5:$E$12, MATCH(OpenLCAdetail!I301,LookUps!$D$5:$D$12,0)))</f>
        <v>Cumulative Energy Demand (CED) - MJ</v>
      </c>
      <c r="O301" s="119"/>
      <c r="P301" s="119"/>
    </row>
    <row r="302" spans="2:16" x14ac:dyDescent="0.25">
      <c r="B302" s="4" t="s">
        <v>46</v>
      </c>
      <c r="C302" s="4" t="str">
        <f t="shared" si="8"/>
        <v>Infrastructure</v>
      </c>
      <c r="F302" s="27">
        <v>0</v>
      </c>
      <c r="G302" s="4" t="s">
        <v>76</v>
      </c>
      <c r="H302" s="327">
        <v>8.6777100000000006E-5</v>
      </c>
      <c r="I302" s="4" t="s">
        <v>15</v>
      </c>
      <c r="J302" s="28">
        <f t="shared" si="9"/>
        <v>8.6777100000000006E-5</v>
      </c>
      <c r="K302" s="4" t="str">
        <f>IF(OpenLCAdetail!I302="CTUh", "Fill in Manually", INDEX(LookUps!$E$5:$E$12, MATCH(OpenLCAdetail!I302,LookUps!$D$5:$D$12,0)))</f>
        <v>Cumulative Energy Demand (CED) - MJ</v>
      </c>
      <c r="O302" s="119"/>
      <c r="P302" s="119"/>
    </row>
    <row r="303" spans="2:16" x14ac:dyDescent="0.25">
      <c r="B303" s="4" t="s">
        <v>46</v>
      </c>
      <c r="C303" s="4" t="str">
        <f t="shared" si="8"/>
        <v>Unit Process Emissions</v>
      </c>
      <c r="E303" s="27">
        <v>0.36620000000000003</v>
      </c>
      <c r="F303" s="27"/>
      <c r="G303" s="4" t="s">
        <v>167</v>
      </c>
      <c r="H303" s="327">
        <v>3.4982700000000002</v>
      </c>
      <c r="I303" s="4" t="s">
        <v>15</v>
      </c>
      <c r="J303" s="28">
        <f>H303-SUM(H304:H312)</f>
        <v>-1.4213539999641256E-5</v>
      </c>
      <c r="K303" s="4" t="str">
        <f>IF(OpenLCAdetail!I303="CTUh", "Fill in Manually", INDEX(LookUps!$E$5:$E$12, MATCH(OpenLCAdetail!I303,LookUps!$D$5:$D$12,0)))</f>
        <v>Cumulative Energy Demand (CED) - MJ</v>
      </c>
      <c r="O303" s="119"/>
      <c r="P303" s="119"/>
    </row>
    <row r="304" spans="2:16" x14ac:dyDescent="0.25">
      <c r="B304" s="4" t="s">
        <v>46</v>
      </c>
      <c r="C304" s="4" t="str">
        <f t="shared" si="8"/>
        <v>Transport</v>
      </c>
      <c r="E304" s="27"/>
      <c r="F304" s="27">
        <v>0.32769999999999999</v>
      </c>
      <c r="G304" s="4" t="s">
        <v>170</v>
      </c>
      <c r="H304" s="327">
        <v>3.1301199999999998</v>
      </c>
      <c r="I304" s="4" t="s">
        <v>15</v>
      </c>
      <c r="J304" s="28">
        <f t="shared" si="9"/>
        <v>3.1301199999999998</v>
      </c>
      <c r="K304" s="4" t="str">
        <f>IF(OpenLCAdetail!I304="CTUh", "Fill in Manually", INDEX(LookUps!$E$5:$E$12, MATCH(OpenLCAdetail!I304,LookUps!$D$5:$D$12,0)))</f>
        <v>Cumulative Energy Demand (CED) - MJ</v>
      </c>
      <c r="O304" s="119"/>
      <c r="P304" s="119"/>
    </row>
    <row r="305" spans="2:16" x14ac:dyDescent="0.25">
      <c r="B305" s="4" t="s">
        <v>46</v>
      </c>
      <c r="C305" s="4" t="str">
        <f t="shared" si="8"/>
        <v>Electricity</v>
      </c>
      <c r="F305" s="27">
        <v>3.6400000000000002E-2</v>
      </c>
      <c r="G305" s="4" t="s">
        <v>71</v>
      </c>
      <c r="H305" s="327">
        <v>0.34748000000000001</v>
      </c>
      <c r="I305" s="4" t="s">
        <v>15</v>
      </c>
      <c r="J305" s="28">
        <f t="shared" si="9"/>
        <v>0.34748000000000001</v>
      </c>
      <c r="K305" s="4" t="str">
        <f>IF(OpenLCAdetail!I305="CTUh", "Fill in Manually", INDEX(LookUps!$E$5:$E$12, MATCH(OpenLCAdetail!I305,LookUps!$D$5:$D$12,0)))</f>
        <v>Cumulative Energy Demand (CED) - MJ</v>
      </c>
      <c r="O305" s="119"/>
      <c r="P305" s="119"/>
    </row>
    <row r="306" spans="2:16" x14ac:dyDescent="0.25">
      <c r="B306" s="4" t="s">
        <v>46</v>
      </c>
      <c r="C306" s="4" t="str">
        <f t="shared" si="8"/>
        <v>Infrastructure</v>
      </c>
      <c r="F306" s="27">
        <v>6.9999999999999999E-4</v>
      </c>
      <c r="G306" s="4" t="s">
        <v>74</v>
      </c>
      <c r="H306" s="327">
        <v>7.0899999999999999E-3</v>
      </c>
      <c r="I306" s="4" t="s">
        <v>15</v>
      </c>
      <c r="J306" s="28">
        <f t="shared" si="9"/>
        <v>7.0899999999999999E-3</v>
      </c>
      <c r="K306" s="4" t="str">
        <f>IF(OpenLCAdetail!I306="CTUh", "Fill in Manually", INDEX(LookUps!$E$5:$E$12, MATCH(OpenLCAdetail!I306,LookUps!$D$5:$D$12,0)))</f>
        <v>Cumulative Energy Demand (CED) - MJ</v>
      </c>
      <c r="O306" s="119"/>
      <c r="P306" s="119"/>
    </row>
    <row r="307" spans="2:16" x14ac:dyDescent="0.25">
      <c r="B307" s="4" t="s">
        <v>46</v>
      </c>
      <c r="C307" s="4" t="str">
        <f t="shared" si="8"/>
        <v>Infrastructure</v>
      </c>
      <c r="F307" s="27">
        <v>5.9999999999999995E-4</v>
      </c>
      <c r="G307" s="4" t="s">
        <v>73</v>
      </c>
      <c r="H307" s="327">
        <v>6.1599999999999997E-3</v>
      </c>
      <c r="I307" s="4" t="s">
        <v>15</v>
      </c>
      <c r="J307" s="28">
        <f t="shared" si="9"/>
        <v>6.1599999999999997E-3</v>
      </c>
      <c r="K307" s="4" t="str">
        <f>IF(OpenLCAdetail!I307="CTUh", "Fill in Manually", INDEX(LookUps!$E$5:$E$12, MATCH(OpenLCAdetail!I307,LookUps!$D$5:$D$12,0)))</f>
        <v>Cumulative Energy Demand (CED) - MJ</v>
      </c>
      <c r="O307" s="119"/>
      <c r="P307" s="119"/>
    </row>
    <row r="308" spans="2:16" x14ac:dyDescent="0.25">
      <c r="B308" s="4" t="s">
        <v>46</v>
      </c>
      <c r="C308" s="4" t="str">
        <f t="shared" si="8"/>
        <v>Infrastructure</v>
      </c>
      <c r="F308" s="27">
        <v>4.0000000000000002E-4</v>
      </c>
      <c r="G308" s="4" t="s">
        <v>75</v>
      </c>
      <c r="H308" s="327">
        <v>3.9300000000000003E-3</v>
      </c>
      <c r="I308" s="4" t="s">
        <v>15</v>
      </c>
      <c r="J308" s="28">
        <f t="shared" si="9"/>
        <v>3.9300000000000003E-3</v>
      </c>
      <c r="K308" s="4" t="str">
        <f>IF(OpenLCAdetail!I308="CTUh", "Fill in Manually", INDEX(LookUps!$E$5:$E$12, MATCH(OpenLCAdetail!I308,LookUps!$D$5:$D$12,0)))</f>
        <v>Cumulative Energy Demand (CED) - MJ</v>
      </c>
      <c r="O308" s="119"/>
      <c r="P308" s="119"/>
    </row>
    <row r="309" spans="2:16" x14ac:dyDescent="0.25">
      <c r="B309" s="4" t="s">
        <v>46</v>
      </c>
      <c r="C309" s="4" t="str">
        <f t="shared" si="8"/>
        <v>Infrastructure</v>
      </c>
      <c r="F309" s="27">
        <v>4.0000000000000002E-4</v>
      </c>
      <c r="G309" s="4" t="s">
        <v>171</v>
      </c>
      <c r="H309" s="327">
        <v>3.3999999999999998E-3</v>
      </c>
      <c r="I309" s="4" t="s">
        <v>15</v>
      </c>
      <c r="J309" s="28">
        <f t="shared" si="9"/>
        <v>3.3999999999999998E-3</v>
      </c>
      <c r="K309" s="4" t="str">
        <f>IF(OpenLCAdetail!I309="CTUh", "Fill in Manually", INDEX(LookUps!$E$5:$E$12, MATCH(OpenLCAdetail!I309,LookUps!$D$5:$D$12,0)))</f>
        <v>Cumulative Energy Demand (CED) - MJ</v>
      </c>
      <c r="O309" s="119"/>
      <c r="P309" s="119"/>
    </row>
    <row r="310" spans="2:16" x14ac:dyDescent="0.25">
      <c r="B310" s="4" t="s">
        <v>46</v>
      </c>
      <c r="C310" s="4" t="str">
        <f t="shared" si="8"/>
        <v>Infrastructure</v>
      </c>
      <c r="F310" s="27">
        <v>0</v>
      </c>
      <c r="G310" s="4" t="s">
        <v>152</v>
      </c>
      <c r="H310" s="327">
        <v>5.6980600000000001E-5</v>
      </c>
      <c r="I310" s="4" t="s">
        <v>15</v>
      </c>
      <c r="J310" s="28">
        <f t="shared" si="9"/>
        <v>5.6980600000000001E-5</v>
      </c>
      <c r="K310" s="4" t="str">
        <f>IF(OpenLCAdetail!I310="CTUh", "Fill in Manually", INDEX(LookUps!$E$5:$E$12, MATCH(OpenLCAdetail!I310,LookUps!$D$5:$D$12,0)))</f>
        <v>Cumulative Energy Demand (CED) - MJ</v>
      </c>
      <c r="O310" s="119"/>
      <c r="P310" s="119"/>
    </row>
    <row r="311" spans="2:16" x14ac:dyDescent="0.25">
      <c r="B311" s="4" t="s">
        <v>46</v>
      </c>
      <c r="C311" s="4" t="str">
        <f t="shared" si="8"/>
        <v>Infrastructure</v>
      </c>
      <c r="F311" s="27">
        <v>0</v>
      </c>
      <c r="G311" s="4" t="s">
        <v>76</v>
      </c>
      <c r="H311" s="327">
        <v>4.0056899999999999E-5</v>
      </c>
      <c r="I311" s="4" t="s">
        <v>15</v>
      </c>
      <c r="J311" s="28">
        <f t="shared" si="9"/>
        <v>4.0056899999999999E-5</v>
      </c>
      <c r="K311" s="4" t="str">
        <f>IF(OpenLCAdetail!I311="CTUh", "Fill in Manually", INDEX(LookUps!$E$5:$E$12, MATCH(OpenLCAdetail!I311,LookUps!$D$5:$D$12,0)))</f>
        <v>Cumulative Energy Demand (CED) - MJ</v>
      </c>
      <c r="O311" s="119"/>
      <c r="P311" s="119"/>
    </row>
    <row r="312" spans="2:16" x14ac:dyDescent="0.25">
      <c r="B312" s="4" t="s">
        <v>46</v>
      </c>
      <c r="C312" s="4" t="str">
        <f t="shared" si="8"/>
        <v>Infrastructure</v>
      </c>
      <c r="F312" s="27">
        <v>0</v>
      </c>
      <c r="G312" s="4" t="s">
        <v>169</v>
      </c>
      <c r="H312" s="327">
        <v>7.1760399999999998E-6</v>
      </c>
      <c r="I312" s="4" t="s">
        <v>15</v>
      </c>
      <c r="J312" s="28">
        <f t="shared" si="9"/>
        <v>7.1760399999999998E-6</v>
      </c>
      <c r="K312" s="4" t="str">
        <f>IF(OpenLCAdetail!I312="CTUh", "Fill in Manually", INDEX(LookUps!$E$5:$E$12, MATCH(OpenLCAdetail!I312,LookUps!$D$5:$D$12,0)))</f>
        <v>Cumulative Energy Demand (CED) - MJ</v>
      </c>
      <c r="O312" s="119"/>
      <c r="P312" s="119"/>
    </row>
    <row r="313" spans="2:16" x14ac:dyDescent="0.25">
      <c r="B313" s="4" t="s">
        <v>46</v>
      </c>
      <c r="C313" s="4" t="str">
        <f t="shared" si="8"/>
        <v>Unit Process Emissions</v>
      </c>
      <c r="E313" s="27">
        <v>0.1217</v>
      </c>
      <c r="G313" s="4" t="s">
        <v>54</v>
      </c>
      <c r="H313" s="327">
        <v>1.16289</v>
      </c>
      <c r="I313" s="4" t="s">
        <v>15</v>
      </c>
      <c r="J313" s="28">
        <f>H313-SUM(H314:H319)</f>
        <v>9.9999999998434674E-6</v>
      </c>
      <c r="K313" s="4" t="str">
        <f>IF(OpenLCAdetail!I313="CTUh", "Fill in Manually", INDEX(LookUps!$E$5:$E$12, MATCH(OpenLCAdetail!I313,LookUps!$D$5:$D$12,0)))</f>
        <v>Cumulative Energy Demand (CED) - MJ</v>
      </c>
      <c r="O313" s="119"/>
      <c r="P313" s="119"/>
    </row>
    <row r="314" spans="2:16" x14ac:dyDescent="0.25">
      <c r="B314" s="4" t="s">
        <v>46</v>
      </c>
      <c r="C314" s="4" t="str">
        <f t="shared" si="8"/>
        <v>Electricity</v>
      </c>
      <c r="F314" s="27">
        <v>0.1031</v>
      </c>
      <c r="G314" s="4" t="s">
        <v>71</v>
      </c>
      <c r="H314" s="327">
        <v>0.98497000000000001</v>
      </c>
      <c r="I314" s="4" t="s">
        <v>15</v>
      </c>
      <c r="J314" s="28">
        <f t="shared" si="9"/>
        <v>0.98497000000000001</v>
      </c>
      <c r="K314" s="4" t="str">
        <f>IF(OpenLCAdetail!I314="CTUh", "Fill in Manually", INDEX(LookUps!$E$5:$E$12, MATCH(OpenLCAdetail!I314,LookUps!$D$5:$D$12,0)))</f>
        <v>Cumulative Energy Demand (CED) - MJ</v>
      </c>
      <c r="O314" s="119"/>
      <c r="P314" s="119"/>
    </row>
    <row r="315" spans="2:16" x14ac:dyDescent="0.25">
      <c r="B315" s="4" t="s">
        <v>46</v>
      </c>
      <c r="C315" s="4" t="str">
        <f t="shared" si="8"/>
        <v>Infrastructure</v>
      </c>
      <c r="F315" s="27">
        <v>8.8999999999999999E-3</v>
      </c>
      <c r="G315" s="4" t="s">
        <v>73</v>
      </c>
      <c r="H315" s="327">
        <v>8.4589999999999999E-2</v>
      </c>
      <c r="I315" s="4" t="s">
        <v>15</v>
      </c>
      <c r="J315" s="28">
        <f t="shared" si="9"/>
        <v>8.4589999999999999E-2</v>
      </c>
      <c r="K315" s="4" t="str">
        <f>IF(OpenLCAdetail!I315="CTUh", "Fill in Manually", INDEX(LookUps!$E$5:$E$12, MATCH(OpenLCAdetail!I315,LookUps!$D$5:$D$12,0)))</f>
        <v>Cumulative Energy Demand (CED) - MJ</v>
      </c>
      <c r="O315" s="119"/>
      <c r="P315" s="119"/>
    </row>
    <row r="316" spans="2:16" x14ac:dyDescent="0.25">
      <c r="B316" s="4" t="s">
        <v>46</v>
      </c>
      <c r="C316" s="4" t="str">
        <f t="shared" si="8"/>
        <v>Infrastructure</v>
      </c>
      <c r="F316" s="27">
        <v>7.7999999999999996E-3</v>
      </c>
      <c r="G316" s="4" t="s">
        <v>72</v>
      </c>
      <c r="H316" s="327">
        <v>7.4800000000000005E-2</v>
      </c>
      <c r="I316" s="4" t="s">
        <v>15</v>
      </c>
      <c r="J316" s="28">
        <f t="shared" si="9"/>
        <v>7.4800000000000005E-2</v>
      </c>
      <c r="K316" s="4" t="str">
        <f>IF(OpenLCAdetail!I316="CTUh", "Fill in Manually", INDEX(LookUps!$E$5:$E$12, MATCH(OpenLCAdetail!I316,LookUps!$D$5:$D$12,0)))</f>
        <v>Cumulative Energy Demand (CED) - MJ</v>
      </c>
      <c r="O316" s="119"/>
      <c r="P316" s="119"/>
    </row>
    <row r="317" spans="2:16" x14ac:dyDescent="0.25">
      <c r="B317" s="4" t="s">
        <v>46</v>
      </c>
      <c r="C317" s="4" t="str">
        <f t="shared" si="8"/>
        <v>Infrastructure</v>
      </c>
      <c r="F317" s="27">
        <v>1.6999999999999999E-3</v>
      </c>
      <c r="G317" s="4" t="s">
        <v>74</v>
      </c>
      <c r="H317" s="327">
        <v>1.6230000000000001E-2</v>
      </c>
      <c r="I317" s="4" t="s">
        <v>15</v>
      </c>
      <c r="J317" s="28">
        <f t="shared" si="9"/>
        <v>1.6230000000000001E-2</v>
      </c>
      <c r="K317" s="4" t="str">
        <f>IF(OpenLCAdetail!I317="CTUh", "Fill in Manually", INDEX(LookUps!$E$5:$E$12, MATCH(OpenLCAdetail!I317,LookUps!$D$5:$D$12,0)))</f>
        <v>Cumulative Energy Demand (CED) - MJ</v>
      </c>
      <c r="O317" s="119"/>
      <c r="P317" s="119"/>
    </row>
    <row r="318" spans="2:16" x14ac:dyDescent="0.25">
      <c r="B318" s="4" t="s">
        <v>46</v>
      </c>
      <c r="C318" s="4" t="str">
        <f t="shared" si="8"/>
        <v>Infrastructure</v>
      </c>
      <c r="F318" s="27">
        <v>2.0000000000000001E-4</v>
      </c>
      <c r="G318" s="4" t="s">
        <v>75</v>
      </c>
      <c r="H318" s="327">
        <v>2.1800000000000001E-3</v>
      </c>
      <c r="I318" s="4" t="s">
        <v>15</v>
      </c>
      <c r="J318" s="28">
        <f t="shared" si="9"/>
        <v>2.1800000000000001E-3</v>
      </c>
      <c r="K318" s="4" t="str">
        <f>IF(OpenLCAdetail!I318="CTUh", "Fill in Manually", INDEX(LookUps!$E$5:$E$12, MATCH(OpenLCAdetail!I318,LookUps!$D$5:$D$12,0)))</f>
        <v>Cumulative Energy Demand (CED) - MJ</v>
      </c>
      <c r="O318" s="119"/>
      <c r="P318" s="119"/>
    </row>
    <row r="319" spans="2:16" x14ac:dyDescent="0.25">
      <c r="B319" s="4" t="s">
        <v>46</v>
      </c>
      <c r="C319" s="4" t="str">
        <f t="shared" si="8"/>
        <v>Infrastructure</v>
      </c>
      <c r="F319" s="27">
        <v>0</v>
      </c>
      <c r="G319" s="4" t="s">
        <v>76</v>
      </c>
      <c r="H319" s="327">
        <v>1.1E-4</v>
      </c>
      <c r="I319" s="4" t="s">
        <v>15</v>
      </c>
      <c r="J319" s="28">
        <f t="shared" ref="J319:J382" si="11">IF(F319="", "FILL MANUALLY", H319)</f>
        <v>1.1E-4</v>
      </c>
      <c r="K319" s="4" t="str">
        <f>IF(OpenLCAdetail!I319="CTUh", "Fill in Manually", INDEX(LookUps!$E$5:$E$12, MATCH(OpenLCAdetail!I319,LookUps!$D$5:$D$12,0)))</f>
        <v>Cumulative Energy Demand (CED) - MJ</v>
      </c>
      <c r="O319" s="119"/>
      <c r="P319" s="119"/>
    </row>
    <row r="320" spans="2:16" x14ac:dyDescent="0.25">
      <c r="B320" s="4" t="s">
        <v>46</v>
      </c>
      <c r="C320" s="4" t="str">
        <f t="shared" si="8"/>
        <v>Unit Process Emissions</v>
      </c>
      <c r="E320" s="27">
        <v>9.2600000000000002E-2</v>
      </c>
      <c r="G320" s="4" t="s">
        <v>58</v>
      </c>
      <c r="H320" s="327">
        <v>0.88417000000000001</v>
      </c>
      <c r="I320" s="4" t="s">
        <v>15</v>
      </c>
      <c r="J320" s="28">
        <f>H320-SUM(H321:H328)</f>
        <v>-1.165284000004263E-5</v>
      </c>
      <c r="K320" s="4" t="str">
        <f>IF(OpenLCAdetail!I320="CTUh", "Fill in Manually", INDEX(LookUps!$E$5:$E$12, MATCH(OpenLCAdetail!I320,LookUps!$D$5:$D$12,0)))</f>
        <v>Cumulative Energy Demand (CED) - MJ</v>
      </c>
      <c r="O320" s="119"/>
      <c r="P320" s="119"/>
    </row>
    <row r="321" spans="2:16" x14ac:dyDescent="0.25">
      <c r="B321" s="4" t="s">
        <v>46</v>
      </c>
      <c r="C321" s="4" t="str">
        <f t="shared" si="8"/>
        <v>Electricity</v>
      </c>
      <c r="F321" s="27">
        <v>9.0300000000000005E-2</v>
      </c>
      <c r="G321" s="4" t="s">
        <v>71</v>
      </c>
      <c r="H321" s="327">
        <v>0.86292999999999997</v>
      </c>
      <c r="I321" s="4" t="s">
        <v>15</v>
      </c>
      <c r="J321" s="28">
        <f t="shared" si="11"/>
        <v>0.86292999999999997</v>
      </c>
      <c r="K321" s="4" t="str">
        <f>IF(OpenLCAdetail!I321="CTUh", "Fill in Manually", INDEX(LookUps!$E$5:$E$12, MATCH(OpenLCAdetail!I321,LookUps!$D$5:$D$12,0)))</f>
        <v>Cumulative Energy Demand (CED) - MJ</v>
      </c>
      <c r="O321" s="119"/>
      <c r="P321" s="119"/>
    </row>
    <row r="322" spans="2:16" x14ac:dyDescent="0.25">
      <c r="B322" s="4" t="s">
        <v>46</v>
      </c>
      <c r="C322" s="4" t="str">
        <f t="shared" si="8"/>
        <v>Infrastructure</v>
      </c>
      <c r="F322" s="27">
        <v>6.9999999999999999E-4</v>
      </c>
      <c r="G322" s="4" t="s">
        <v>74</v>
      </c>
      <c r="H322" s="327">
        <v>6.5199999999999998E-3</v>
      </c>
      <c r="I322" s="4" t="s">
        <v>15</v>
      </c>
      <c r="J322" s="28">
        <f t="shared" si="11"/>
        <v>6.5199999999999998E-3</v>
      </c>
      <c r="K322" s="4" t="str">
        <f>IF(OpenLCAdetail!I322="CTUh", "Fill in Manually", INDEX(LookUps!$E$5:$E$12, MATCH(OpenLCAdetail!I322,LookUps!$D$5:$D$12,0)))</f>
        <v>Cumulative Energy Demand (CED) - MJ</v>
      </c>
      <c r="O322" s="119"/>
      <c r="P322" s="119"/>
    </row>
    <row r="323" spans="2:16" x14ac:dyDescent="0.25">
      <c r="B323" s="4" t="s">
        <v>46</v>
      </c>
      <c r="C323" s="4" t="str">
        <f t="shared" si="8"/>
        <v>Infrastructure</v>
      </c>
      <c r="F323" s="27">
        <v>5.9999999999999995E-4</v>
      </c>
      <c r="G323" s="4" t="s">
        <v>73</v>
      </c>
      <c r="H323" s="327">
        <v>5.8199999999999997E-3</v>
      </c>
      <c r="I323" s="4" t="s">
        <v>15</v>
      </c>
      <c r="J323" s="28">
        <f t="shared" si="11"/>
        <v>5.8199999999999997E-3</v>
      </c>
      <c r="K323" s="4" t="str">
        <f>IF(OpenLCAdetail!I323="CTUh", "Fill in Manually", INDEX(LookUps!$E$5:$E$12, MATCH(OpenLCAdetail!I323,LookUps!$D$5:$D$12,0)))</f>
        <v>Cumulative Energy Demand (CED) - MJ</v>
      </c>
      <c r="O323" s="119"/>
      <c r="P323" s="119"/>
    </row>
    <row r="324" spans="2:16" x14ac:dyDescent="0.25">
      <c r="B324" s="4" t="s">
        <v>46</v>
      </c>
      <c r="C324" s="4" t="str">
        <f t="shared" si="8"/>
        <v>Infrastructure</v>
      </c>
      <c r="F324" s="27">
        <v>5.0000000000000001E-4</v>
      </c>
      <c r="G324" s="4" t="s">
        <v>72</v>
      </c>
      <c r="H324" s="327">
        <v>5.1399999999999996E-3</v>
      </c>
      <c r="I324" s="4" t="s">
        <v>15</v>
      </c>
      <c r="J324" s="28">
        <f t="shared" si="11"/>
        <v>5.1399999999999996E-3</v>
      </c>
      <c r="K324" s="4" t="str">
        <f>IF(OpenLCAdetail!I324="CTUh", "Fill in Manually", INDEX(LookUps!$E$5:$E$12, MATCH(OpenLCAdetail!I324,LookUps!$D$5:$D$12,0)))</f>
        <v>Cumulative Energy Demand (CED) - MJ</v>
      </c>
      <c r="O324" s="119"/>
      <c r="P324" s="119"/>
    </row>
    <row r="325" spans="2:16" x14ac:dyDescent="0.25">
      <c r="B325" s="4" t="s">
        <v>46</v>
      </c>
      <c r="C325" s="4" t="str">
        <f t="shared" ref="C325:C408" si="12">INDEX($O$10:$O$60,MATCH(G325, $P$10:$P$60,0))</f>
        <v>Infrastructure</v>
      </c>
      <c r="F325" s="27">
        <v>4.0000000000000002E-4</v>
      </c>
      <c r="G325" s="4" t="s">
        <v>75</v>
      </c>
      <c r="H325" s="327">
        <v>3.6700000000000001E-3</v>
      </c>
      <c r="I325" s="4" t="s">
        <v>15</v>
      </c>
      <c r="J325" s="28">
        <f t="shared" si="11"/>
        <v>3.6700000000000001E-3</v>
      </c>
      <c r="K325" s="4" t="str">
        <f>IF(OpenLCAdetail!I325="CTUh", "Fill in Manually", INDEX(LookUps!$E$5:$E$12, MATCH(OpenLCAdetail!I325,LookUps!$D$5:$D$12,0)))</f>
        <v>Cumulative Energy Demand (CED) - MJ</v>
      </c>
      <c r="O325" s="119"/>
      <c r="P325" s="119"/>
    </row>
    <row r="326" spans="2:16" x14ac:dyDescent="0.25">
      <c r="B326" s="4" t="s">
        <v>46</v>
      </c>
      <c r="C326" s="4" t="str">
        <f t="shared" si="12"/>
        <v>Infrastructure</v>
      </c>
      <c r="F326" s="27">
        <v>0</v>
      </c>
      <c r="G326" s="4" t="s">
        <v>152</v>
      </c>
      <c r="H326" s="327">
        <v>5.6980600000000001E-5</v>
      </c>
      <c r="I326" s="4" t="s">
        <v>15</v>
      </c>
      <c r="J326" s="28">
        <f t="shared" si="11"/>
        <v>5.6980600000000001E-5</v>
      </c>
      <c r="K326" s="4" t="str">
        <f>IF(OpenLCAdetail!I326="CTUh", "Fill in Manually", INDEX(LookUps!$E$5:$E$12, MATCH(OpenLCAdetail!I326,LookUps!$D$5:$D$12,0)))</f>
        <v>Cumulative Energy Demand (CED) - MJ</v>
      </c>
      <c r="O326" s="119"/>
      <c r="P326" s="119"/>
    </row>
    <row r="327" spans="2:16" x14ac:dyDescent="0.25">
      <c r="B327" s="4" t="s">
        <v>46</v>
      </c>
      <c r="C327" s="4" t="str">
        <f t="shared" si="12"/>
        <v>Infrastructure</v>
      </c>
      <c r="F327" s="27">
        <v>0</v>
      </c>
      <c r="G327" s="4" t="s">
        <v>76</v>
      </c>
      <c r="H327" s="327">
        <v>3.7496200000000002E-5</v>
      </c>
      <c r="I327" s="4" t="s">
        <v>15</v>
      </c>
      <c r="J327" s="28">
        <f t="shared" si="11"/>
        <v>3.7496200000000002E-5</v>
      </c>
      <c r="K327" s="4" t="str">
        <f>IF(OpenLCAdetail!I327="CTUh", "Fill in Manually", INDEX(LookUps!$E$5:$E$12, MATCH(OpenLCAdetail!I327,LookUps!$D$5:$D$12,0)))</f>
        <v>Cumulative Energy Demand (CED) - MJ</v>
      </c>
      <c r="O327" s="119"/>
      <c r="P327" s="119"/>
    </row>
    <row r="328" spans="2:16" x14ac:dyDescent="0.25">
      <c r="B328" s="4" t="s">
        <v>46</v>
      </c>
      <c r="C328" s="4" t="str">
        <f t="shared" si="12"/>
        <v>Infrastructure</v>
      </c>
      <c r="F328" s="27">
        <v>0</v>
      </c>
      <c r="G328" s="4" t="s">
        <v>169</v>
      </c>
      <c r="H328" s="327">
        <v>7.1760399999999998E-6</v>
      </c>
      <c r="I328" s="4" t="s">
        <v>15</v>
      </c>
      <c r="J328" s="28">
        <f t="shared" si="11"/>
        <v>7.1760399999999998E-6</v>
      </c>
      <c r="K328" s="4" t="str">
        <f>IF(OpenLCAdetail!I328="CTUh", "Fill in Manually", INDEX(LookUps!$E$5:$E$12, MATCH(OpenLCAdetail!I328,LookUps!$D$5:$D$12,0)))</f>
        <v>Cumulative Energy Demand (CED) - MJ</v>
      </c>
      <c r="O328" s="119"/>
      <c r="P328" s="119"/>
    </row>
    <row r="329" spans="2:16" x14ac:dyDescent="0.25">
      <c r="B329" s="4" t="s">
        <v>46</v>
      </c>
      <c r="C329" s="4" t="str">
        <f t="shared" si="12"/>
        <v>Unit Process Emissions</v>
      </c>
      <c r="E329" s="27">
        <v>9.2399999999999996E-2</v>
      </c>
      <c r="G329" s="4" t="s">
        <v>147</v>
      </c>
      <c r="H329" s="327">
        <v>0.88297000000000003</v>
      </c>
      <c r="I329" s="4" t="s">
        <v>15</v>
      </c>
      <c r="J329" s="28">
        <f>H329-SUM(H330:H334)</f>
        <v>1.5555000000277985E-6</v>
      </c>
      <c r="K329" s="4" t="str">
        <f>IF(OpenLCAdetail!I329="CTUh", "Fill in Manually", INDEX(LookUps!$E$5:$E$12, MATCH(OpenLCAdetail!I329,LookUps!$D$5:$D$12,0)))</f>
        <v>Cumulative Energy Demand (CED) - MJ</v>
      </c>
      <c r="O329" s="119"/>
      <c r="P329" s="119"/>
    </row>
    <row r="330" spans="2:16" x14ac:dyDescent="0.25">
      <c r="B330" s="4" t="s">
        <v>46</v>
      </c>
      <c r="C330" s="4" t="s">
        <v>163</v>
      </c>
      <c r="F330" s="27">
        <v>5.3900000000000003E-2</v>
      </c>
      <c r="G330" s="4" t="s">
        <v>183</v>
      </c>
      <c r="H330" s="327">
        <v>0.51458000000000004</v>
      </c>
      <c r="I330" s="4" t="s">
        <v>15</v>
      </c>
      <c r="J330" s="28">
        <f t="shared" si="11"/>
        <v>0.51458000000000004</v>
      </c>
      <c r="K330" s="4" t="str">
        <f>IF(OpenLCAdetail!I330="CTUh", "Fill in Manually", INDEX(LookUps!$E$5:$E$12, MATCH(OpenLCAdetail!I330,LookUps!$D$5:$D$12,0)))</f>
        <v>Cumulative Energy Demand (CED) - MJ</v>
      </c>
      <c r="O330" s="119"/>
      <c r="P330" s="119"/>
    </row>
    <row r="331" spans="2:16" x14ac:dyDescent="0.25">
      <c r="B331" s="4" t="s">
        <v>46</v>
      </c>
      <c r="C331" s="4" t="str">
        <f t="shared" si="12"/>
        <v>Electricity</v>
      </c>
      <c r="F331" s="27">
        <v>3.8300000000000001E-2</v>
      </c>
      <c r="G331" s="4" t="s">
        <v>71</v>
      </c>
      <c r="H331" s="327">
        <v>0.36558000000000002</v>
      </c>
      <c r="I331" s="4" t="s">
        <v>15</v>
      </c>
      <c r="J331" s="28">
        <f t="shared" si="11"/>
        <v>0.36558000000000002</v>
      </c>
      <c r="K331" s="4" t="str">
        <f>IF(OpenLCAdetail!I331="CTUh", "Fill in Manually", INDEX(LookUps!$E$5:$E$12, MATCH(OpenLCAdetail!I331,LookUps!$D$5:$D$12,0)))</f>
        <v>Cumulative Energy Demand (CED) - MJ</v>
      </c>
      <c r="O331" s="119"/>
      <c r="P331" s="119"/>
    </row>
    <row r="332" spans="2:16" x14ac:dyDescent="0.25">
      <c r="B332" s="4" t="s">
        <v>46</v>
      </c>
      <c r="C332" s="4" t="str">
        <f t="shared" si="12"/>
        <v>Infrastructure</v>
      </c>
      <c r="F332" s="27">
        <v>2.0000000000000001E-4</v>
      </c>
      <c r="G332" s="4" t="s">
        <v>73</v>
      </c>
      <c r="H332" s="327">
        <v>1.7799999999999999E-3</v>
      </c>
      <c r="I332" s="4" t="s">
        <v>15</v>
      </c>
      <c r="J332" s="28">
        <f t="shared" si="11"/>
        <v>1.7799999999999999E-3</v>
      </c>
      <c r="K332" s="4" t="str">
        <f>IF(OpenLCAdetail!I332="CTUh", "Fill in Manually", INDEX(LookUps!$E$5:$E$12, MATCH(OpenLCAdetail!I332,LookUps!$D$5:$D$12,0)))</f>
        <v>Cumulative Energy Demand (CED) - MJ</v>
      </c>
      <c r="O332" s="119"/>
      <c r="P332" s="119"/>
    </row>
    <row r="333" spans="2:16" x14ac:dyDescent="0.25">
      <c r="B333" s="4" t="s">
        <v>46</v>
      </c>
      <c r="C333" s="4" t="str">
        <f t="shared" si="12"/>
        <v>Infrastructure</v>
      </c>
      <c r="F333" s="27">
        <v>1E-4</v>
      </c>
      <c r="G333" s="4" t="s">
        <v>171</v>
      </c>
      <c r="H333" s="327">
        <v>9.7999999999999997E-4</v>
      </c>
      <c r="I333" s="4" t="s">
        <v>15</v>
      </c>
      <c r="J333" s="28">
        <f t="shared" si="11"/>
        <v>9.7999999999999997E-4</v>
      </c>
      <c r="K333" s="4" t="str">
        <f>IF(OpenLCAdetail!I333="CTUh", "Fill in Manually", INDEX(LookUps!$E$5:$E$12, MATCH(OpenLCAdetail!I333,LookUps!$D$5:$D$12,0)))</f>
        <v>Cumulative Energy Demand (CED) - MJ</v>
      </c>
      <c r="O333" s="119"/>
      <c r="P333" s="119"/>
    </row>
    <row r="334" spans="2:16" x14ac:dyDescent="0.25">
      <c r="B334" s="4" t="s">
        <v>46</v>
      </c>
      <c r="C334" s="4" t="str">
        <f t="shared" si="12"/>
        <v>Infrastructure</v>
      </c>
      <c r="F334" s="27">
        <v>0</v>
      </c>
      <c r="G334" s="4" t="s">
        <v>74</v>
      </c>
      <c r="H334" s="327">
        <v>4.84445E-5</v>
      </c>
      <c r="I334" s="4" t="s">
        <v>15</v>
      </c>
      <c r="J334" s="28">
        <f t="shared" si="11"/>
        <v>4.84445E-5</v>
      </c>
      <c r="K334" s="4" t="str">
        <f>IF(OpenLCAdetail!I334="CTUh", "Fill in Manually", INDEX(LookUps!$E$5:$E$12, MATCH(OpenLCAdetail!I334,LookUps!$D$5:$D$12,0)))</f>
        <v>Cumulative Energy Demand (CED) - MJ</v>
      </c>
      <c r="O334" s="119"/>
      <c r="P334" s="119"/>
    </row>
    <row r="335" spans="2:16" x14ac:dyDescent="0.25">
      <c r="B335" s="4" t="s">
        <v>46</v>
      </c>
      <c r="C335" s="4" t="str">
        <f t="shared" si="12"/>
        <v>Unit Process Emissions</v>
      </c>
      <c r="E335" s="27">
        <v>7.2900000000000006E-2</v>
      </c>
      <c r="F335" s="27"/>
      <c r="G335" s="4" t="s">
        <v>53</v>
      </c>
      <c r="H335" s="327">
        <v>0.69645000000000001</v>
      </c>
      <c r="I335" s="4" t="s">
        <v>15</v>
      </c>
      <c r="J335" s="28">
        <f>H335-SUM(H336:H342)</f>
        <v>-3.0804999995304172E-7</v>
      </c>
      <c r="K335" s="4" t="str">
        <f>IF(OpenLCAdetail!I335="CTUh", "Fill in Manually", INDEX(LookUps!$E$5:$E$12, MATCH(OpenLCAdetail!I335,LookUps!$D$5:$D$12,0)))</f>
        <v>Cumulative Energy Demand (CED) - MJ</v>
      </c>
      <c r="O335" s="119"/>
      <c r="P335" s="119"/>
    </row>
    <row r="336" spans="2:16" x14ac:dyDescent="0.25">
      <c r="B336" s="4" t="s">
        <v>46</v>
      </c>
      <c r="C336" s="4" t="str">
        <f t="shared" si="12"/>
        <v>Electricity</v>
      </c>
      <c r="F336" s="27">
        <v>7.1800000000000003E-2</v>
      </c>
      <c r="G336" s="4" t="s">
        <v>71</v>
      </c>
      <c r="H336" s="327">
        <v>0.68623999999999996</v>
      </c>
      <c r="I336" s="4" t="s">
        <v>15</v>
      </c>
      <c r="J336" s="28">
        <f t="shared" si="11"/>
        <v>0.68623999999999996</v>
      </c>
      <c r="K336" s="4" t="str">
        <f>IF(OpenLCAdetail!I336="CTUh", "Fill in Manually", INDEX(LookUps!$E$5:$E$12, MATCH(OpenLCAdetail!I336,LookUps!$D$5:$D$12,0)))</f>
        <v>Cumulative Energy Demand (CED) - MJ</v>
      </c>
      <c r="O336" s="119"/>
      <c r="P336" s="119"/>
    </row>
    <row r="337" spans="2:16" x14ac:dyDescent="0.25">
      <c r="B337" s="4" t="s">
        <v>46</v>
      </c>
      <c r="C337" s="4" t="str">
        <f t="shared" si="12"/>
        <v>chemicals</v>
      </c>
      <c r="E337" s="27"/>
      <c r="F337" s="27">
        <v>1E-3</v>
      </c>
      <c r="G337" s="4" t="s">
        <v>154</v>
      </c>
      <c r="H337" s="327">
        <v>9.6299999999999997E-3</v>
      </c>
      <c r="I337" s="4" t="s">
        <v>15</v>
      </c>
      <c r="J337" s="28">
        <f t="shared" si="11"/>
        <v>9.6299999999999997E-3</v>
      </c>
      <c r="K337" s="4" t="str">
        <f>IF(OpenLCAdetail!I337="CTUh", "Fill in Manually", INDEX(LookUps!$E$5:$E$12, MATCH(OpenLCAdetail!I337,LookUps!$D$5:$D$12,0)))</f>
        <v>Cumulative Energy Demand (CED) - MJ</v>
      </c>
      <c r="O337" s="119"/>
      <c r="P337" s="119"/>
    </row>
    <row r="338" spans="2:16" x14ac:dyDescent="0.25">
      <c r="B338" s="4" t="s">
        <v>46</v>
      </c>
      <c r="C338" s="4" t="str">
        <f t="shared" si="12"/>
        <v>Infrastructure</v>
      </c>
      <c r="F338" s="27">
        <v>0</v>
      </c>
      <c r="G338" s="4" t="s">
        <v>73</v>
      </c>
      <c r="H338" s="327">
        <v>1.8000000000000001E-4</v>
      </c>
      <c r="I338" s="4" t="s">
        <v>15</v>
      </c>
      <c r="J338" s="28">
        <f t="shared" si="11"/>
        <v>1.8000000000000001E-4</v>
      </c>
      <c r="K338" s="4" t="str">
        <f>IF(OpenLCAdetail!I338="CTUh", "Fill in Manually", INDEX(LookUps!$E$5:$E$12, MATCH(OpenLCAdetail!I338,LookUps!$D$5:$D$12,0)))</f>
        <v>Cumulative Energy Demand (CED) - MJ</v>
      </c>
      <c r="O338" s="119"/>
      <c r="P338" s="119"/>
    </row>
    <row r="339" spans="2:16" x14ac:dyDescent="0.25">
      <c r="B339" s="4" t="s">
        <v>46</v>
      </c>
      <c r="C339" s="4" t="str">
        <f t="shared" si="12"/>
        <v>Infrastructure</v>
      </c>
      <c r="F339" s="27">
        <v>0</v>
      </c>
      <c r="G339" s="4" t="s">
        <v>74</v>
      </c>
      <c r="H339" s="327">
        <v>1.8000000000000001E-4</v>
      </c>
      <c r="I339" s="4" t="s">
        <v>15</v>
      </c>
      <c r="J339" s="28">
        <f t="shared" si="11"/>
        <v>1.8000000000000001E-4</v>
      </c>
      <c r="K339" s="4" t="str">
        <f>IF(OpenLCAdetail!I339="CTUh", "Fill in Manually", INDEX(LookUps!$E$5:$E$12, MATCH(OpenLCAdetail!I339,LookUps!$D$5:$D$12,0)))</f>
        <v>Cumulative Energy Demand (CED) - MJ</v>
      </c>
      <c r="O339" s="119"/>
      <c r="P339" s="119"/>
    </row>
    <row r="340" spans="2:16" x14ac:dyDescent="0.25">
      <c r="B340" s="4" t="s">
        <v>46</v>
      </c>
      <c r="C340" s="4" t="str">
        <f t="shared" si="12"/>
        <v>Infrastructure</v>
      </c>
      <c r="F340" s="27">
        <v>0</v>
      </c>
      <c r="G340" s="4" t="s">
        <v>72</v>
      </c>
      <c r="H340" s="327">
        <v>1.6000000000000001E-4</v>
      </c>
      <c r="I340" s="4" t="s">
        <v>15</v>
      </c>
      <c r="J340" s="28">
        <f t="shared" si="11"/>
        <v>1.6000000000000001E-4</v>
      </c>
      <c r="K340" s="4" t="str">
        <f>IF(OpenLCAdetail!I340="CTUh", "Fill in Manually", INDEX(LookUps!$E$5:$E$12, MATCH(OpenLCAdetail!I340,LookUps!$D$5:$D$12,0)))</f>
        <v>Cumulative Energy Demand (CED) - MJ</v>
      </c>
      <c r="O340" s="119"/>
      <c r="P340" s="119"/>
    </row>
    <row r="341" spans="2:16" x14ac:dyDescent="0.25">
      <c r="B341" s="4" t="s">
        <v>46</v>
      </c>
      <c r="C341" s="4" t="str">
        <f t="shared" si="12"/>
        <v>Infrastructure</v>
      </c>
      <c r="F341" s="27">
        <v>0</v>
      </c>
      <c r="G341" s="4" t="s">
        <v>75</v>
      </c>
      <c r="H341" s="327">
        <v>5.9547199999999998E-5</v>
      </c>
      <c r="I341" s="4" t="s">
        <v>15</v>
      </c>
      <c r="J341" s="28">
        <f t="shared" si="11"/>
        <v>5.9547199999999998E-5</v>
      </c>
      <c r="K341" s="4" t="str">
        <f>IF(OpenLCAdetail!I341="CTUh", "Fill in Manually", INDEX(LookUps!$E$5:$E$12, MATCH(OpenLCAdetail!I341,LookUps!$D$5:$D$12,0)))</f>
        <v>Cumulative Energy Demand (CED) - MJ</v>
      </c>
      <c r="O341" s="119"/>
      <c r="P341" s="119"/>
    </row>
    <row r="342" spans="2:16" x14ac:dyDescent="0.25">
      <c r="B342" s="4" t="s">
        <v>46</v>
      </c>
      <c r="C342" s="4" t="str">
        <f t="shared" si="12"/>
        <v>Infrastructure</v>
      </c>
      <c r="E342" s="27"/>
      <c r="F342" s="27">
        <v>0</v>
      </c>
      <c r="G342" s="4" t="s">
        <v>76</v>
      </c>
      <c r="H342" s="327">
        <v>7.6084999999999999E-7</v>
      </c>
      <c r="I342" s="4" t="s">
        <v>15</v>
      </c>
      <c r="J342" s="28">
        <f t="shared" si="11"/>
        <v>7.6084999999999999E-7</v>
      </c>
      <c r="K342" s="4" t="str">
        <f>IF(OpenLCAdetail!I342="CTUh", "Fill in Manually", INDEX(LookUps!$E$5:$E$12, MATCH(OpenLCAdetail!I342,LookUps!$D$5:$D$12,0)))</f>
        <v>Cumulative Energy Demand (CED) - MJ</v>
      </c>
      <c r="O342" s="119"/>
      <c r="P342" s="119"/>
    </row>
    <row r="343" spans="2:16" x14ac:dyDescent="0.25">
      <c r="B343" s="4" t="s">
        <v>46</v>
      </c>
      <c r="C343" s="4" t="str">
        <f t="shared" si="12"/>
        <v>Unit Process Emissions</v>
      </c>
      <c r="E343" s="27">
        <v>3.5000000000000003E-2</v>
      </c>
      <c r="F343" s="27"/>
      <c r="G343" s="4" t="s">
        <v>57</v>
      </c>
      <c r="H343" s="327">
        <v>0.33404</v>
      </c>
      <c r="I343" s="4" t="s">
        <v>15</v>
      </c>
      <c r="J343" s="28">
        <f>H343-SUM(H344:H345)</f>
        <v>-9.9999999999544897E-6</v>
      </c>
      <c r="K343" s="4" t="str">
        <f>IF(OpenLCAdetail!I343="CTUh", "Fill in Manually", INDEX(LookUps!$E$5:$E$12, MATCH(OpenLCAdetail!I343,LookUps!$D$5:$D$12,0)))</f>
        <v>Cumulative Energy Demand (CED) - MJ</v>
      </c>
      <c r="O343" s="119"/>
      <c r="P343" s="119"/>
    </row>
    <row r="344" spans="2:16" x14ac:dyDescent="0.25">
      <c r="B344" s="4" t="s">
        <v>46</v>
      </c>
      <c r="C344" s="4" t="str">
        <f t="shared" si="12"/>
        <v>chemicals</v>
      </c>
      <c r="F344" s="27">
        <v>2.12E-2</v>
      </c>
      <c r="G344" s="4" t="s">
        <v>77</v>
      </c>
      <c r="H344" s="327">
        <v>0.20254</v>
      </c>
      <c r="I344" s="4" t="s">
        <v>15</v>
      </c>
      <c r="J344" s="28">
        <f t="shared" si="11"/>
        <v>0.20254</v>
      </c>
      <c r="K344" s="4" t="str">
        <f>IF(OpenLCAdetail!I344="CTUh", "Fill in Manually", INDEX(LookUps!$E$5:$E$12, MATCH(OpenLCAdetail!I344,LookUps!$D$5:$D$12,0)))</f>
        <v>Cumulative Energy Demand (CED) - MJ</v>
      </c>
      <c r="O344" s="119"/>
      <c r="P344" s="119"/>
    </row>
    <row r="345" spans="2:16" x14ac:dyDescent="0.25">
      <c r="B345" s="4" t="s">
        <v>46</v>
      </c>
      <c r="C345" s="4" t="str">
        <f t="shared" si="12"/>
        <v>Electricity</v>
      </c>
      <c r="E345" s="27"/>
      <c r="F345" s="27">
        <v>1.38E-2</v>
      </c>
      <c r="G345" s="4" t="s">
        <v>71</v>
      </c>
      <c r="H345" s="327">
        <v>0.13150999999999999</v>
      </c>
      <c r="I345" s="4" t="s">
        <v>15</v>
      </c>
      <c r="J345" s="28">
        <f t="shared" si="11"/>
        <v>0.13150999999999999</v>
      </c>
      <c r="K345" s="4" t="str">
        <f>IF(OpenLCAdetail!I345="CTUh", "Fill in Manually", INDEX(LookUps!$E$5:$E$12, MATCH(OpenLCAdetail!I345,LookUps!$D$5:$D$12,0)))</f>
        <v>Cumulative Energy Demand (CED) - MJ</v>
      </c>
      <c r="O345" s="119"/>
      <c r="P345" s="119"/>
    </row>
    <row r="346" spans="2:16" x14ac:dyDescent="0.25">
      <c r="B346" s="4" t="s">
        <v>46</v>
      </c>
      <c r="C346" s="4" t="str">
        <f t="shared" si="12"/>
        <v>Unit Process Emissions</v>
      </c>
      <c r="E346" s="27">
        <v>3.0200000000000001E-2</v>
      </c>
      <c r="F346" s="27"/>
      <c r="G346" s="4" t="s">
        <v>60</v>
      </c>
      <c r="H346" s="327">
        <v>0.28833999999999999</v>
      </c>
      <c r="I346" s="4" t="s">
        <v>15</v>
      </c>
      <c r="J346" s="28">
        <f>H346-SUM(H347:H348)</f>
        <v>0</v>
      </c>
      <c r="K346" s="4" t="str">
        <f>IF(OpenLCAdetail!I346="CTUh", "Fill in Manually", INDEX(LookUps!$E$5:$E$12, MATCH(OpenLCAdetail!I346,LookUps!$D$5:$D$12,0)))</f>
        <v>Cumulative Energy Demand (CED) - MJ</v>
      </c>
      <c r="O346" s="119"/>
      <c r="P346" s="119"/>
    </row>
    <row r="347" spans="2:16" x14ac:dyDescent="0.25">
      <c r="B347" s="4" t="s">
        <v>46</v>
      </c>
      <c r="C347" s="4" t="str">
        <f t="shared" si="12"/>
        <v>Electricity</v>
      </c>
      <c r="F347" s="27">
        <v>1.55E-2</v>
      </c>
      <c r="G347" s="4" t="s">
        <v>71</v>
      </c>
      <c r="H347" s="327">
        <v>0.14788000000000001</v>
      </c>
      <c r="I347" s="4" t="s">
        <v>15</v>
      </c>
      <c r="J347" s="28">
        <f t="shared" si="11"/>
        <v>0.14788000000000001</v>
      </c>
      <c r="K347" s="4" t="str">
        <f>IF(OpenLCAdetail!I347="CTUh", "Fill in Manually", INDEX(LookUps!$E$5:$E$12, MATCH(OpenLCAdetail!I347,LookUps!$D$5:$D$12,0)))</f>
        <v>Cumulative Energy Demand (CED) - MJ</v>
      </c>
      <c r="O347" s="119"/>
      <c r="P347" s="119"/>
    </row>
    <row r="348" spans="2:16" x14ac:dyDescent="0.25">
      <c r="B348" s="4" t="s">
        <v>46</v>
      </c>
      <c r="C348" s="4" t="str">
        <f t="shared" si="12"/>
        <v>chemicals</v>
      </c>
      <c r="E348" s="27"/>
      <c r="F348" s="27">
        <v>1.47E-2</v>
      </c>
      <c r="G348" s="4" t="s">
        <v>77</v>
      </c>
      <c r="H348" s="327">
        <v>0.14046</v>
      </c>
      <c r="I348" s="4" t="s">
        <v>15</v>
      </c>
      <c r="J348" s="28">
        <f t="shared" si="11"/>
        <v>0.14046</v>
      </c>
      <c r="K348" s="4" t="str">
        <f>IF(OpenLCAdetail!I348="CTUh", "Fill in Manually", INDEX(LookUps!$E$5:$E$12, MATCH(OpenLCAdetail!I348,LookUps!$D$5:$D$12,0)))</f>
        <v>Cumulative Energy Demand (CED) - MJ</v>
      </c>
      <c r="O348" s="119"/>
      <c r="P348" s="119"/>
    </row>
    <row r="349" spans="2:16" x14ac:dyDescent="0.25">
      <c r="B349" s="4" t="s">
        <v>46</v>
      </c>
      <c r="C349" s="4" t="str">
        <f t="shared" si="12"/>
        <v>Unit Process Emissions</v>
      </c>
      <c r="E349" s="27">
        <v>2.6800000000000001E-2</v>
      </c>
      <c r="F349" s="27"/>
      <c r="G349" s="4" t="s">
        <v>128</v>
      </c>
      <c r="H349" s="327">
        <v>0.25606000000000001</v>
      </c>
      <c r="I349" s="4" t="s">
        <v>15</v>
      </c>
      <c r="J349" s="28">
        <f>H349-SUM(H350:H351)</f>
        <v>0</v>
      </c>
      <c r="K349" s="4" t="str">
        <f>IF(OpenLCAdetail!I349="CTUh", "Fill in Manually", INDEX(LookUps!$E$5:$E$12, MATCH(OpenLCAdetail!I349,LookUps!$D$5:$D$12,0)))</f>
        <v>Cumulative Energy Demand (CED) - MJ</v>
      </c>
      <c r="O349" s="119"/>
      <c r="P349" s="119"/>
    </row>
    <row r="350" spans="2:16" x14ac:dyDescent="0.25">
      <c r="B350" s="4" t="s">
        <v>46</v>
      </c>
      <c r="C350" s="4" t="str">
        <f t="shared" si="12"/>
        <v>Electricity</v>
      </c>
      <c r="F350" s="27">
        <v>2.5600000000000001E-2</v>
      </c>
      <c r="G350" s="4" t="s">
        <v>71</v>
      </c>
      <c r="H350" s="327">
        <v>0.24409</v>
      </c>
      <c r="I350" s="4" t="s">
        <v>15</v>
      </c>
      <c r="J350" s="28">
        <f t="shared" si="11"/>
        <v>0.24409</v>
      </c>
      <c r="K350" s="4" t="str">
        <f>IF(OpenLCAdetail!I350="CTUh", "Fill in Manually", INDEX(LookUps!$E$5:$E$12, MATCH(OpenLCAdetail!I350,LookUps!$D$5:$D$12,0)))</f>
        <v>Cumulative Energy Demand (CED) - MJ</v>
      </c>
      <c r="O350" s="119"/>
      <c r="P350" s="119"/>
    </row>
    <row r="351" spans="2:16" x14ac:dyDescent="0.25">
      <c r="B351" s="4" t="s">
        <v>46</v>
      </c>
      <c r="C351" s="4" t="str">
        <f t="shared" si="12"/>
        <v>Infrastructure</v>
      </c>
      <c r="E351" s="27"/>
      <c r="F351" s="27">
        <v>1.2999999999999999E-3</v>
      </c>
      <c r="G351" s="4" t="s">
        <v>157</v>
      </c>
      <c r="H351" s="327">
        <v>1.197E-2</v>
      </c>
      <c r="I351" s="4" t="s">
        <v>15</v>
      </c>
      <c r="J351" s="28">
        <f t="shared" si="11"/>
        <v>1.197E-2</v>
      </c>
      <c r="K351" s="4" t="str">
        <f>IF(OpenLCAdetail!I351="CTUh", "Fill in Manually", INDEX(LookUps!$E$5:$E$12, MATCH(OpenLCAdetail!I351,LookUps!$D$5:$D$12,0)))</f>
        <v>Cumulative Energy Demand (CED) - MJ</v>
      </c>
      <c r="O351" s="119"/>
      <c r="P351" s="119"/>
    </row>
    <row r="352" spans="2:16" x14ac:dyDescent="0.25">
      <c r="B352" s="4" t="s">
        <v>46</v>
      </c>
      <c r="C352" s="4" t="str">
        <f t="shared" si="12"/>
        <v>Unit Process Emissions</v>
      </c>
      <c r="E352" s="27">
        <v>1.5299999999999999E-2</v>
      </c>
      <c r="F352" s="27"/>
      <c r="G352" s="4" t="s">
        <v>148</v>
      </c>
      <c r="H352" s="327">
        <v>0.14599000000000001</v>
      </c>
      <c r="I352" s="4" t="s">
        <v>15</v>
      </c>
      <c r="J352" s="28">
        <f>H352-SUM(H353:H357)</f>
        <v>-9.9999999999822453E-6</v>
      </c>
      <c r="K352" s="4" t="str">
        <f>IF(OpenLCAdetail!I352="CTUh", "Fill in Manually", INDEX(LookUps!$E$5:$E$12, MATCH(OpenLCAdetail!I352,LookUps!$D$5:$D$12,0)))</f>
        <v>Cumulative Energy Demand (CED) - MJ</v>
      </c>
      <c r="O352" s="119"/>
      <c r="P352" s="119"/>
    </row>
    <row r="353" spans="2:16" x14ac:dyDescent="0.25">
      <c r="B353" s="4" t="s">
        <v>46</v>
      </c>
      <c r="C353" s="4" t="str">
        <f t="shared" si="12"/>
        <v>Infrastructure</v>
      </c>
      <c r="F353" s="27">
        <v>6.6E-3</v>
      </c>
      <c r="G353" s="4" t="s">
        <v>73</v>
      </c>
      <c r="H353" s="327">
        <v>6.3439999999999996E-2</v>
      </c>
      <c r="I353" s="4" t="s">
        <v>15</v>
      </c>
      <c r="J353" s="28">
        <f t="shared" si="11"/>
        <v>6.3439999999999996E-2</v>
      </c>
      <c r="K353" s="4" t="str">
        <f>IF(OpenLCAdetail!I353="CTUh", "Fill in Manually", INDEX(LookUps!$E$5:$E$12, MATCH(OpenLCAdetail!I353,LookUps!$D$5:$D$12,0)))</f>
        <v>Cumulative Energy Demand (CED) - MJ</v>
      </c>
      <c r="O353" s="119"/>
      <c r="P353" s="119"/>
    </row>
    <row r="354" spans="2:16" x14ac:dyDescent="0.25">
      <c r="B354" s="4" t="s">
        <v>46</v>
      </c>
      <c r="C354" s="4" t="str">
        <f t="shared" si="12"/>
        <v>Infrastructure</v>
      </c>
      <c r="F354" s="27">
        <v>5.8999999999999999E-3</v>
      </c>
      <c r="G354" s="4" t="s">
        <v>72</v>
      </c>
      <c r="H354" s="327">
        <v>5.6099999999999997E-2</v>
      </c>
      <c r="I354" s="4" t="s">
        <v>15</v>
      </c>
      <c r="J354" s="28">
        <f t="shared" si="11"/>
        <v>5.6099999999999997E-2</v>
      </c>
      <c r="K354" s="4" t="str">
        <f>IF(OpenLCAdetail!I354="CTUh", "Fill in Manually", INDEX(LookUps!$E$5:$E$12, MATCH(OpenLCAdetail!I354,LookUps!$D$5:$D$12,0)))</f>
        <v>Cumulative Energy Demand (CED) - MJ</v>
      </c>
      <c r="O354" s="119"/>
      <c r="P354" s="119"/>
    </row>
    <row r="355" spans="2:16" x14ac:dyDescent="0.25">
      <c r="B355" s="4" t="s">
        <v>46</v>
      </c>
      <c r="C355" s="4" t="str">
        <f t="shared" si="12"/>
        <v>Infrastructure</v>
      </c>
      <c r="F355" s="27">
        <v>1.9E-3</v>
      </c>
      <c r="G355" s="4" t="s">
        <v>74</v>
      </c>
      <c r="H355" s="327">
        <v>1.805E-2</v>
      </c>
      <c r="I355" s="4" t="s">
        <v>15</v>
      </c>
      <c r="J355" s="28">
        <f t="shared" si="11"/>
        <v>1.805E-2</v>
      </c>
      <c r="K355" s="4" t="str">
        <f>IF(OpenLCAdetail!I355="CTUh", "Fill in Manually", INDEX(LookUps!$E$5:$E$12, MATCH(OpenLCAdetail!I355,LookUps!$D$5:$D$12,0)))</f>
        <v>Cumulative Energy Demand (CED) - MJ</v>
      </c>
      <c r="O355" s="119"/>
      <c r="P355" s="119"/>
    </row>
    <row r="356" spans="2:16" x14ac:dyDescent="0.25">
      <c r="B356" s="4" t="s">
        <v>46</v>
      </c>
      <c r="C356" s="4" t="str">
        <f t="shared" si="12"/>
        <v>Infrastructure</v>
      </c>
      <c r="F356" s="27">
        <v>8.9999999999999998E-4</v>
      </c>
      <c r="G356" s="4" t="s">
        <v>75</v>
      </c>
      <c r="H356" s="327">
        <v>8.1399999999999997E-3</v>
      </c>
      <c r="I356" s="4" t="s">
        <v>15</v>
      </c>
      <c r="J356" s="28">
        <f t="shared" si="11"/>
        <v>8.1399999999999997E-3</v>
      </c>
      <c r="K356" s="4" t="str">
        <f>IF(OpenLCAdetail!I356="CTUh", "Fill in Manually", INDEX(LookUps!$E$5:$E$12, MATCH(OpenLCAdetail!I356,LookUps!$D$5:$D$12,0)))</f>
        <v>Cumulative Energy Demand (CED) - MJ</v>
      </c>
      <c r="O356" s="119"/>
      <c r="P356" s="119"/>
    </row>
    <row r="357" spans="2:16" x14ac:dyDescent="0.25">
      <c r="B357" s="4" t="s">
        <v>46</v>
      </c>
      <c r="C357" s="4" t="str">
        <f t="shared" si="12"/>
        <v>Infrastructure</v>
      </c>
      <c r="E357" s="27"/>
      <c r="F357" s="27">
        <v>0</v>
      </c>
      <c r="G357" s="4" t="s">
        <v>76</v>
      </c>
      <c r="H357" s="327">
        <v>2.7E-4</v>
      </c>
      <c r="I357" s="4" t="s">
        <v>15</v>
      </c>
      <c r="J357" s="28">
        <f t="shared" si="11"/>
        <v>2.7E-4</v>
      </c>
      <c r="K357" s="4" t="str">
        <f>IF(OpenLCAdetail!I357="CTUh", "Fill in Manually", INDEX(LookUps!$E$5:$E$12, MATCH(OpenLCAdetail!I357,LookUps!$D$5:$D$12,0)))</f>
        <v>Cumulative Energy Demand (CED) - MJ</v>
      </c>
      <c r="O357" s="119"/>
      <c r="P357" s="119"/>
    </row>
    <row r="358" spans="2:16" x14ac:dyDescent="0.25">
      <c r="B358" s="4" t="s">
        <v>46</v>
      </c>
      <c r="C358" s="4" t="s">
        <v>33</v>
      </c>
      <c r="E358" s="27">
        <v>1.3899999999999999E-2</v>
      </c>
      <c r="F358" s="27"/>
      <c r="G358" s="4" t="s">
        <v>48</v>
      </c>
      <c r="H358" s="327">
        <v>0.13321</v>
      </c>
      <c r="I358" s="4" t="s">
        <v>15</v>
      </c>
      <c r="J358" s="28">
        <f>H358-SUM(H359:H362)</f>
        <v>-9.9999999999822453E-6</v>
      </c>
      <c r="K358" s="4" t="str">
        <f>IF(OpenLCAdetail!I358="CTUh", "Fill in Manually", INDEX(LookUps!$E$5:$E$12, MATCH(OpenLCAdetail!I358,LookUps!$D$5:$D$12,0)))</f>
        <v>Cumulative Energy Demand (CED) - MJ</v>
      </c>
      <c r="O358" s="119"/>
      <c r="P358" s="119"/>
    </row>
    <row r="359" spans="2:16" x14ac:dyDescent="0.25">
      <c r="B359" s="4" t="s">
        <v>46</v>
      </c>
      <c r="C359" s="4" t="str">
        <f t="shared" si="12"/>
        <v>Electricity</v>
      </c>
      <c r="F359" s="27">
        <v>2.4799999999999999E-2</v>
      </c>
      <c r="G359" s="4" t="s">
        <v>71</v>
      </c>
      <c r="H359" s="327">
        <v>0.23729</v>
      </c>
      <c r="I359" s="4" t="s">
        <v>15</v>
      </c>
      <c r="J359" s="28">
        <f t="shared" si="11"/>
        <v>0.23729</v>
      </c>
      <c r="K359" s="4" t="str">
        <f>IF(OpenLCAdetail!I359="CTUh", "Fill in Manually", INDEX(LookUps!$E$5:$E$12, MATCH(OpenLCAdetail!I359,LookUps!$D$5:$D$12,0)))</f>
        <v>Cumulative Energy Demand (CED) - MJ</v>
      </c>
      <c r="O359" s="119"/>
      <c r="P359" s="119"/>
    </row>
    <row r="360" spans="2:16" x14ac:dyDescent="0.25">
      <c r="B360" s="4" t="s">
        <v>46</v>
      </c>
      <c r="C360" s="4" t="str">
        <f t="shared" si="12"/>
        <v>Infrastructure</v>
      </c>
      <c r="F360" s="27">
        <v>5.0000000000000001E-3</v>
      </c>
      <c r="G360" s="4" t="s">
        <v>73</v>
      </c>
      <c r="H360" s="327">
        <v>4.8210000000000003E-2</v>
      </c>
      <c r="I360" s="4" t="s">
        <v>15</v>
      </c>
      <c r="J360" s="28">
        <f t="shared" si="11"/>
        <v>4.8210000000000003E-2</v>
      </c>
      <c r="K360" s="4" t="str">
        <f>IF(OpenLCAdetail!I360="CTUh", "Fill in Manually", INDEX(LookUps!$E$5:$E$12, MATCH(OpenLCAdetail!I360,LookUps!$D$5:$D$12,0)))</f>
        <v>Cumulative Energy Demand (CED) - MJ</v>
      </c>
      <c r="O360" s="119"/>
      <c r="P360" s="119"/>
    </row>
    <row r="361" spans="2:16" x14ac:dyDescent="0.25">
      <c r="B361" s="4" t="s">
        <v>46</v>
      </c>
      <c r="C361" s="4" t="str">
        <f t="shared" si="12"/>
        <v>Infrastructure</v>
      </c>
      <c r="F361" s="27">
        <v>4.4999999999999997E-3</v>
      </c>
      <c r="G361" s="4" t="s">
        <v>72</v>
      </c>
      <c r="H361" s="327">
        <v>4.2630000000000001E-2</v>
      </c>
      <c r="I361" s="4" t="s">
        <v>15</v>
      </c>
      <c r="J361" s="28">
        <f t="shared" si="11"/>
        <v>4.2630000000000001E-2</v>
      </c>
      <c r="K361" s="4" t="str">
        <f>IF(OpenLCAdetail!I361="CTUh", "Fill in Manually", INDEX(LookUps!$E$5:$E$12, MATCH(OpenLCAdetail!I361,LookUps!$D$5:$D$12,0)))</f>
        <v>Cumulative Energy Demand (CED) - MJ</v>
      </c>
      <c r="O361" s="119"/>
      <c r="P361" s="119"/>
    </row>
    <row r="362" spans="2:16" x14ac:dyDescent="0.25">
      <c r="B362" s="4" t="s">
        <v>46</v>
      </c>
      <c r="C362" s="4" t="str">
        <f t="shared" si="12"/>
        <v>avoided products</v>
      </c>
      <c r="E362" s="27"/>
      <c r="F362" s="27">
        <v>-2.0400000000000001E-2</v>
      </c>
      <c r="G362" s="4" t="s">
        <v>159</v>
      </c>
      <c r="H362" s="327">
        <v>-0.19491</v>
      </c>
      <c r="I362" s="4" t="s">
        <v>15</v>
      </c>
      <c r="J362" s="28">
        <f t="shared" si="11"/>
        <v>-0.19491</v>
      </c>
      <c r="K362" s="4" t="str">
        <f>IF(OpenLCAdetail!I362="CTUh", "Fill in Manually", INDEX(LookUps!$E$5:$E$12, MATCH(OpenLCAdetail!I362,LookUps!$D$5:$D$12,0)))</f>
        <v>Cumulative Energy Demand (CED) - MJ</v>
      </c>
      <c r="O362" s="119"/>
      <c r="P362" s="119"/>
    </row>
    <row r="363" spans="2:16" x14ac:dyDescent="0.25">
      <c r="B363" s="4" t="s">
        <v>46</v>
      </c>
      <c r="C363" s="4" t="str">
        <f t="shared" si="12"/>
        <v>Unit Process Emissions</v>
      </c>
      <c r="E363" s="27">
        <v>1.11E-2</v>
      </c>
      <c r="F363" s="27"/>
      <c r="G363" s="4" t="s">
        <v>59</v>
      </c>
      <c r="H363" s="327">
        <v>0.10638</v>
      </c>
      <c r="I363" s="4" t="s">
        <v>15</v>
      </c>
      <c r="J363" s="28">
        <f>H363-SUM(H364:H369)</f>
        <v>-2.0093000000082073E-6</v>
      </c>
      <c r="K363" s="4" t="str">
        <f>IF(OpenLCAdetail!I363="CTUh", "Fill in Manually", INDEX(LookUps!$E$5:$E$12, MATCH(OpenLCAdetail!I363,LookUps!$D$5:$D$12,0)))</f>
        <v>Cumulative Energy Demand (CED) - MJ</v>
      </c>
      <c r="O363" s="119"/>
      <c r="P363" s="119"/>
    </row>
    <row r="364" spans="2:16" x14ac:dyDescent="0.25">
      <c r="B364" s="4" t="s">
        <v>46</v>
      </c>
      <c r="C364" s="4" t="str">
        <f t="shared" si="12"/>
        <v>Electricity</v>
      </c>
      <c r="F364" s="27">
        <v>1.0800000000000001E-2</v>
      </c>
      <c r="G364" s="4" t="s">
        <v>71</v>
      </c>
      <c r="H364" s="327">
        <v>0.10276</v>
      </c>
      <c r="I364" s="4" t="s">
        <v>15</v>
      </c>
      <c r="J364" s="28">
        <f t="shared" si="11"/>
        <v>0.10276</v>
      </c>
      <c r="K364" s="4" t="str">
        <f>IF(OpenLCAdetail!I364="CTUh", "Fill in Manually", INDEX(LookUps!$E$5:$E$12, MATCH(OpenLCAdetail!I364,LookUps!$D$5:$D$12,0)))</f>
        <v>Cumulative Energy Demand (CED) - MJ</v>
      </c>
      <c r="O364" s="119"/>
      <c r="P364" s="119"/>
    </row>
    <row r="365" spans="2:16" x14ac:dyDescent="0.25">
      <c r="B365" s="4" t="s">
        <v>46</v>
      </c>
      <c r="C365" s="4" t="str">
        <f t="shared" si="12"/>
        <v>Infrastructure</v>
      </c>
      <c r="F365" s="27">
        <v>1E-4</v>
      </c>
      <c r="G365" s="4" t="s">
        <v>74</v>
      </c>
      <c r="H365" s="327">
        <v>1.1299999999999999E-3</v>
      </c>
      <c r="I365" s="4" t="s">
        <v>15</v>
      </c>
      <c r="J365" s="28">
        <f t="shared" si="11"/>
        <v>1.1299999999999999E-3</v>
      </c>
      <c r="K365" s="4" t="str">
        <f>IF(OpenLCAdetail!I365="CTUh", "Fill in Manually", INDEX(LookUps!$E$5:$E$12, MATCH(OpenLCAdetail!I365,LookUps!$D$5:$D$12,0)))</f>
        <v>Cumulative Energy Demand (CED) - MJ</v>
      </c>
      <c r="O365" s="119"/>
      <c r="P365" s="119"/>
    </row>
    <row r="366" spans="2:16" x14ac:dyDescent="0.25">
      <c r="B366" s="4" t="s">
        <v>46</v>
      </c>
      <c r="C366" s="4" t="str">
        <f t="shared" si="12"/>
        <v>Infrastructure</v>
      </c>
      <c r="F366" s="27">
        <v>1E-4</v>
      </c>
      <c r="G366" s="4" t="s">
        <v>75</v>
      </c>
      <c r="H366" s="327">
        <v>9.7000000000000005E-4</v>
      </c>
      <c r="I366" s="4" t="s">
        <v>15</v>
      </c>
      <c r="J366" s="28">
        <f t="shared" si="11"/>
        <v>9.7000000000000005E-4</v>
      </c>
      <c r="K366" s="4" t="str">
        <f>IF(OpenLCAdetail!I366="CTUh", "Fill in Manually", INDEX(LookUps!$E$5:$E$12, MATCH(OpenLCAdetail!I366,LookUps!$D$5:$D$12,0)))</f>
        <v>Cumulative Energy Demand (CED) - MJ</v>
      </c>
      <c r="O366" s="119"/>
      <c r="P366" s="119"/>
    </row>
    <row r="367" spans="2:16" x14ac:dyDescent="0.25">
      <c r="B367" s="4" t="s">
        <v>46</v>
      </c>
      <c r="C367" s="4" t="str">
        <f t="shared" si="12"/>
        <v>Infrastructure</v>
      </c>
      <c r="F367" s="27">
        <v>1E-4</v>
      </c>
      <c r="G367" s="4" t="s">
        <v>73</v>
      </c>
      <c r="H367" s="327">
        <v>8.0000000000000004E-4</v>
      </c>
      <c r="I367" s="4" t="s">
        <v>15</v>
      </c>
      <c r="J367" s="28">
        <f t="shared" si="11"/>
        <v>8.0000000000000004E-4</v>
      </c>
      <c r="K367" s="4" t="str">
        <f>IF(OpenLCAdetail!I367="CTUh", "Fill in Manually", INDEX(LookUps!$E$5:$E$12, MATCH(OpenLCAdetail!I367,LookUps!$D$5:$D$12,0)))</f>
        <v>Cumulative Energy Demand (CED) - MJ</v>
      </c>
      <c r="O367" s="119"/>
      <c r="P367" s="119"/>
    </row>
    <row r="368" spans="2:16" x14ac:dyDescent="0.25">
      <c r="B368" s="4" t="s">
        <v>46</v>
      </c>
      <c r="C368" s="4" t="str">
        <f t="shared" si="12"/>
        <v>Infrastructure</v>
      </c>
      <c r="F368" s="27">
        <v>1E-4</v>
      </c>
      <c r="G368" s="4" t="s">
        <v>72</v>
      </c>
      <c r="H368" s="327">
        <v>7.1000000000000002E-4</v>
      </c>
      <c r="I368" s="4" t="s">
        <v>15</v>
      </c>
      <c r="J368" s="28">
        <f t="shared" si="11"/>
        <v>7.1000000000000002E-4</v>
      </c>
      <c r="K368" s="4" t="str">
        <f>IF(OpenLCAdetail!I368="CTUh", "Fill in Manually", INDEX(LookUps!$E$5:$E$12, MATCH(OpenLCAdetail!I368,LookUps!$D$5:$D$12,0)))</f>
        <v>Cumulative Energy Demand (CED) - MJ</v>
      </c>
      <c r="O368" s="119"/>
      <c r="P368" s="119"/>
    </row>
    <row r="369" spans="2:16" x14ac:dyDescent="0.25">
      <c r="B369" s="4" t="s">
        <v>46</v>
      </c>
      <c r="C369" s="4" t="str">
        <f t="shared" si="12"/>
        <v>Infrastructure</v>
      </c>
      <c r="E369" s="27"/>
      <c r="F369" s="27">
        <v>0</v>
      </c>
      <c r="G369" s="4" t="s">
        <v>76</v>
      </c>
      <c r="H369" s="327">
        <v>1.20093E-5</v>
      </c>
      <c r="I369" s="4" t="s">
        <v>15</v>
      </c>
      <c r="J369" s="28">
        <f t="shared" si="11"/>
        <v>1.20093E-5</v>
      </c>
      <c r="K369" s="4" t="str">
        <f>IF(OpenLCAdetail!I369="CTUh", "Fill in Manually", INDEX(LookUps!$E$5:$E$12, MATCH(OpenLCAdetail!I369,LookUps!$D$5:$D$12,0)))</f>
        <v>Cumulative Energy Demand (CED) - MJ</v>
      </c>
      <c r="O369" s="119"/>
      <c r="P369" s="119"/>
    </row>
    <row r="370" spans="2:16" x14ac:dyDescent="0.25">
      <c r="B370" s="4" t="s">
        <v>46</v>
      </c>
      <c r="C370" s="4" t="str">
        <f t="shared" ref="C370:C392" si="13">INDEX($O$10:$O$60,MATCH(G370, $P$10:$P$60,0))</f>
        <v>Unit Process Emissions</v>
      </c>
      <c r="E370" s="27">
        <v>5.3E-3</v>
      </c>
      <c r="F370" s="27"/>
      <c r="G370" s="4" t="s">
        <v>168</v>
      </c>
      <c r="H370" s="327">
        <v>5.0930000000000003E-2</v>
      </c>
      <c r="I370" s="4" t="s">
        <v>15</v>
      </c>
      <c r="J370" s="28">
        <f>H370-SUM(H371)</f>
        <v>0</v>
      </c>
      <c r="K370" s="4" t="str">
        <f>IF(OpenLCAdetail!I370="CTUh", "Fill in Manually", INDEX(LookUps!$E$5:$E$12, MATCH(OpenLCAdetail!I370,LookUps!$D$5:$D$12,0)))</f>
        <v>Cumulative Energy Demand (CED) - MJ</v>
      </c>
      <c r="O370" s="119"/>
      <c r="P370" s="119"/>
    </row>
    <row r="371" spans="2:16" x14ac:dyDescent="0.25">
      <c r="B371" s="4" t="s">
        <v>46</v>
      </c>
      <c r="C371" s="4" t="str">
        <f t="shared" si="13"/>
        <v>Electricity</v>
      </c>
      <c r="E371" s="27"/>
      <c r="F371" s="27">
        <v>5.3E-3</v>
      </c>
      <c r="G371" s="4" t="s">
        <v>71</v>
      </c>
      <c r="H371" s="327">
        <v>5.0930000000000003E-2</v>
      </c>
      <c r="I371" s="4" t="s">
        <v>15</v>
      </c>
      <c r="J371" s="28">
        <f t="shared" si="11"/>
        <v>5.0930000000000003E-2</v>
      </c>
      <c r="K371" s="4" t="str">
        <f>IF(OpenLCAdetail!I371="CTUh", "Fill in Manually", INDEX(LookUps!$E$5:$E$12, MATCH(OpenLCAdetail!I371,LookUps!$D$5:$D$12,0)))</f>
        <v>Cumulative Energy Demand (CED) - MJ</v>
      </c>
      <c r="O371" s="119"/>
      <c r="P371" s="119"/>
    </row>
    <row r="372" spans="2:16" x14ac:dyDescent="0.25">
      <c r="B372" s="4" t="s">
        <v>46</v>
      </c>
      <c r="C372" s="4" t="s">
        <v>79</v>
      </c>
      <c r="E372" s="27">
        <v>2.2000000000000001E-3</v>
      </c>
      <c r="F372" s="27"/>
      <c r="G372" s="4" t="s">
        <v>271</v>
      </c>
      <c r="H372" s="327">
        <v>2.0650000000000002E-2</v>
      </c>
      <c r="I372" s="4" t="s">
        <v>15</v>
      </c>
      <c r="J372" s="28">
        <f>H372-SUM(H373:H376)</f>
        <v>0</v>
      </c>
      <c r="K372" s="4" t="str">
        <f>IF(OpenLCAdetail!I372="CTUh", "Fill in Manually", INDEX(LookUps!$E$5:$E$12, MATCH(OpenLCAdetail!I372,LookUps!$D$5:$D$12,0)))</f>
        <v>Cumulative Energy Demand (CED) - MJ</v>
      </c>
      <c r="O372" s="119"/>
      <c r="P372" s="119"/>
    </row>
    <row r="373" spans="2:16" x14ac:dyDescent="0.25">
      <c r="B373" s="4" t="s">
        <v>46</v>
      </c>
      <c r="C373" s="4" t="str">
        <f t="shared" si="13"/>
        <v>Transport</v>
      </c>
      <c r="E373" s="27"/>
      <c r="F373" s="27">
        <v>1.6999999999999999E-3</v>
      </c>
      <c r="G373" s="4" t="s">
        <v>170</v>
      </c>
      <c r="H373" s="327">
        <v>1.6060000000000001E-2</v>
      </c>
      <c r="I373" s="4" t="s">
        <v>15</v>
      </c>
      <c r="J373" s="28">
        <f t="shared" si="11"/>
        <v>1.6060000000000001E-2</v>
      </c>
      <c r="K373" s="4" t="str">
        <f>IF(OpenLCAdetail!I373="CTUh", "Fill in Manually", INDEX(LookUps!$E$5:$E$12, MATCH(OpenLCAdetail!I373,LookUps!$D$5:$D$12,0)))</f>
        <v>Cumulative Energy Demand (CED) - MJ</v>
      </c>
      <c r="O373" s="119"/>
      <c r="P373" s="119"/>
    </row>
    <row r="374" spans="2:16" x14ac:dyDescent="0.25">
      <c r="B374" s="4" t="s">
        <v>46</v>
      </c>
      <c r="C374" s="4" t="str">
        <f t="shared" si="13"/>
        <v>Electricity</v>
      </c>
      <c r="E374" s="27"/>
      <c r="F374" s="27">
        <v>4.0000000000000002E-4</v>
      </c>
      <c r="G374" s="4" t="s">
        <v>71</v>
      </c>
      <c r="H374" s="327">
        <v>3.9199999999999999E-3</v>
      </c>
      <c r="I374" s="4" t="s">
        <v>15</v>
      </c>
      <c r="J374" s="28">
        <f t="shared" si="11"/>
        <v>3.9199999999999999E-3</v>
      </c>
      <c r="K374" s="4" t="str">
        <f>IF(OpenLCAdetail!I374="CTUh", "Fill in Manually", INDEX(LookUps!$E$5:$E$12, MATCH(OpenLCAdetail!I374,LookUps!$D$5:$D$12,0)))</f>
        <v>Cumulative Energy Demand (CED) - MJ</v>
      </c>
      <c r="O374" s="119"/>
      <c r="P374" s="119"/>
    </row>
    <row r="375" spans="2:16" x14ac:dyDescent="0.25">
      <c r="B375" s="4" t="s">
        <v>46</v>
      </c>
      <c r="C375" s="4" t="str">
        <f t="shared" si="13"/>
        <v>Diesel</v>
      </c>
      <c r="E375" s="27"/>
      <c r="F375" s="27">
        <v>1E-4</v>
      </c>
      <c r="G375" s="4" t="s">
        <v>172</v>
      </c>
      <c r="H375" s="327">
        <v>8.4999999999999995E-4</v>
      </c>
      <c r="I375" s="4" t="s">
        <v>15</v>
      </c>
      <c r="J375" s="28">
        <f t="shared" si="11"/>
        <v>8.4999999999999995E-4</v>
      </c>
      <c r="K375" s="4" t="str">
        <f>IF(OpenLCAdetail!I375="CTUh", "Fill in Manually", INDEX(LookUps!$E$5:$E$12, MATCH(OpenLCAdetail!I375,LookUps!$D$5:$D$12,0)))</f>
        <v>Cumulative Energy Demand (CED) - MJ</v>
      </c>
      <c r="O375" s="119"/>
      <c r="P375" s="119"/>
    </row>
    <row r="376" spans="2:16" x14ac:dyDescent="0.25">
      <c r="B376" s="4" t="s">
        <v>46</v>
      </c>
      <c r="C376" s="4" t="str">
        <f t="shared" si="13"/>
        <v>avoided products</v>
      </c>
      <c r="E376" s="27"/>
      <c r="F376" s="27">
        <v>0</v>
      </c>
      <c r="G376" s="4" t="s">
        <v>159</v>
      </c>
      <c r="H376" s="327">
        <v>-1.8000000000000001E-4</v>
      </c>
      <c r="I376" s="4" t="s">
        <v>15</v>
      </c>
      <c r="J376" s="28">
        <f t="shared" si="11"/>
        <v>-1.8000000000000001E-4</v>
      </c>
      <c r="K376" s="4" t="str">
        <f>IF(OpenLCAdetail!I376="CTUh", "Fill in Manually", INDEX(LookUps!$E$5:$E$12, MATCH(OpenLCAdetail!I376,LookUps!$D$5:$D$12,0)))</f>
        <v>Cumulative Energy Demand (CED) - MJ</v>
      </c>
      <c r="O376" s="119"/>
      <c r="P376" s="119"/>
    </row>
    <row r="377" spans="2:16" x14ac:dyDescent="0.25">
      <c r="B377" s="4" t="s">
        <v>46</v>
      </c>
      <c r="C377" s="4" t="s">
        <v>80</v>
      </c>
      <c r="E377" s="27">
        <v>-4.6399999999999997E-2</v>
      </c>
      <c r="F377" s="27"/>
      <c r="G377" s="4" t="s">
        <v>62</v>
      </c>
      <c r="H377" s="327">
        <v>-0.44338</v>
      </c>
      <c r="I377" s="4" t="s">
        <v>15</v>
      </c>
      <c r="J377" s="28">
        <f>H377-SUM(H378:H382)</f>
        <v>-6.0994999999675059E-6</v>
      </c>
      <c r="K377" s="4" t="str">
        <f>IF(OpenLCAdetail!I377="CTUh", "Fill in Manually", INDEX(LookUps!$E$5:$E$12, MATCH(OpenLCAdetail!I377,LookUps!$D$5:$D$12,0)))</f>
        <v>Cumulative Energy Demand (CED) - MJ</v>
      </c>
      <c r="O377" s="119"/>
      <c r="P377" s="119"/>
    </row>
    <row r="378" spans="2:16" x14ac:dyDescent="0.25">
      <c r="B378" s="4" t="s">
        <v>46</v>
      </c>
      <c r="C378" s="4" t="str">
        <f t="shared" si="13"/>
        <v>Transport</v>
      </c>
      <c r="E378" s="27"/>
      <c r="F378" s="27">
        <v>4.1300000000000003E-2</v>
      </c>
      <c r="G378" s="4" t="s">
        <v>156</v>
      </c>
      <c r="H378" s="327">
        <v>0.39473999999999998</v>
      </c>
      <c r="I378" s="4" t="s">
        <v>15</v>
      </c>
      <c r="J378" s="28">
        <f t="shared" si="11"/>
        <v>0.39473999999999998</v>
      </c>
      <c r="K378" s="4" t="str">
        <f>IF(OpenLCAdetail!I378="CTUh", "Fill in Manually", INDEX(LookUps!$E$5:$E$12, MATCH(OpenLCAdetail!I378,LookUps!$D$5:$D$12,0)))</f>
        <v>Cumulative Energy Demand (CED) - MJ</v>
      </c>
      <c r="O378" s="119"/>
      <c r="P378" s="119"/>
    </row>
    <row r="379" spans="2:16" x14ac:dyDescent="0.25">
      <c r="B379" s="4" t="s">
        <v>46</v>
      </c>
      <c r="C379" s="4" t="str">
        <f t="shared" si="13"/>
        <v>Diesel</v>
      </c>
      <c r="E379" s="27"/>
      <c r="F379" s="27">
        <v>0</v>
      </c>
      <c r="G379" s="4" t="s">
        <v>172</v>
      </c>
      <c r="H379" s="327">
        <v>8.6099499999999998E-5</v>
      </c>
      <c r="I379" s="4" t="s">
        <v>15</v>
      </c>
      <c r="J379" s="28">
        <f t="shared" si="11"/>
        <v>8.6099499999999998E-5</v>
      </c>
      <c r="K379" s="4" t="str">
        <f>IF(OpenLCAdetail!I379="CTUh", "Fill in Manually", INDEX(LookUps!$E$5:$E$12, MATCH(OpenLCAdetail!I379,LookUps!$D$5:$D$12,0)))</f>
        <v>Cumulative Energy Demand (CED) - MJ</v>
      </c>
      <c r="O379" s="119"/>
      <c r="P379" s="119"/>
    </row>
    <row r="380" spans="2:16" x14ac:dyDescent="0.25">
      <c r="B380" s="4" t="s">
        <v>46</v>
      </c>
      <c r="C380" s="4" t="str">
        <f t="shared" si="13"/>
        <v>avoided products</v>
      </c>
      <c r="E380" s="27"/>
      <c r="F380" s="27">
        <v>-4.8999999999999998E-3</v>
      </c>
      <c r="G380" s="4" t="s">
        <v>176</v>
      </c>
      <c r="H380" s="327">
        <v>-4.65E-2</v>
      </c>
      <c r="I380" s="4" t="s">
        <v>15</v>
      </c>
      <c r="J380" s="28">
        <f t="shared" si="11"/>
        <v>-4.65E-2</v>
      </c>
      <c r="K380" s="4" t="str">
        <f>IF(OpenLCAdetail!I380="CTUh", "Fill in Manually", INDEX(LookUps!$E$5:$E$12, MATCH(OpenLCAdetail!I380,LookUps!$D$5:$D$12,0)))</f>
        <v>Cumulative Energy Demand (CED) - MJ</v>
      </c>
      <c r="O380" s="119"/>
      <c r="P380" s="119"/>
    </row>
    <row r="381" spans="2:16" x14ac:dyDescent="0.25">
      <c r="B381" s="4" t="s">
        <v>46</v>
      </c>
      <c r="C381" s="4" t="str">
        <f t="shared" si="13"/>
        <v>avoided products</v>
      </c>
      <c r="E381" s="27"/>
      <c r="F381" s="27">
        <v>-3.5799999999999998E-2</v>
      </c>
      <c r="G381" s="4" t="s">
        <v>177</v>
      </c>
      <c r="H381" s="327">
        <v>-0.3422</v>
      </c>
      <c r="I381" s="4" t="s">
        <v>15</v>
      </c>
      <c r="J381" s="28">
        <f t="shared" si="11"/>
        <v>-0.3422</v>
      </c>
      <c r="K381" s="4" t="str">
        <f>IF(OpenLCAdetail!I381="CTUh", "Fill in Manually", INDEX(LookUps!$E$5:$E$12, MATCH(OpenLCAdetail!I381,LookUps!$D$5:$D$12,0)))</f>
        <v>Cumulative Energy Demand (CED) - MJ</v>
      </c>
      <c r="O381" s="119"/>
      <c r="P381" s="119"/>
    </row>
    <row r="382" spans="2:16" x14ac:dyDescent="0.25">
      <c r="B382" s="4" t="s">
        <v>46</v>
      </c>
      <c r="C382" s="4" t="str">
        <f t="shared" si="13"/>
        <v>avoided products</v>
      </c>
      <c r="E382" s="27"/>
      <c r="F382" s="27">
        <v>-4.7100000000000003E-2</v>
      </c>
      <c r="G382" s="4" t="s">
        <v>178</v>
      </c>
      <c r="H382" s="327">
        <v>-0.44950000000000001</v>
      </c>
      <c r="I382" s="4" t="s">
        <v>15</v>
      </c>
      <c r="J382" s="28">
        <f t="shared" si="11"/>
        <v>-0.44950000000000001</v>
      </c>
      <c r="K382" s="4" t="str">
        <f>IF(OpenLCAdetail!I382="CTUh", "Fill in Manually", INDEX(LookUps!$E$5:$E$12, MATCH(OpenLCAdetail!I382,LookUps!$D$5:$D$12,0)))</f>
        <v>Cumulative Energy Demand (CED) - MJ</v>
      </c>
      <c r="O382" s="119"/>
      <c r="P382" s="119"/>
    </row>
    <row r="383" spans="2:16" x14ac:dyDescent="0.25">
      <c r="B383" s="4" t="s">
        <v>46</v>
      </c>
      <c r="C383" s="4" t="str">
        <f t="shared" si="13"/>
        <v>Unit Process Emissions</v>
      </c>
      <c r="E383" s="27">
        <v>-0.20910000000000001</v>
      </c>
      <c r="F383" s="27"/>
      <c r="G383" s="4" t="s">
        <v>149</v>
      </c>
      <c r="H383" s="327">
        <v>-1.99752</v>
      </c>
      <c r="I383" s="4" t="s">
        <v>15</v>
      </c>
      <c r="J383" s="28">
        <f>H383-SUM(H384:H392)</f>
        <v>1.5647900000415049E-5</v>
      </c>
      <c r="K383" s="4" t="str">
        <f>IF(OpenLCAdetail!I383="CTUh", "Fill in Manually", INDEX(LookUps!$E$5:$E$12, MATCH(OpenLCAdetail!I383,LookUps!$D$5:$D$12,0)))</f>
        <v>Cumulative Energy Demand (CED) - MJ</v>
      </c>
      <c r="O383" s="119"/>
      <c r="P383" s="119"/>
    </row>
    <row r="384" spans="2:16" x14ac:dyDescent="0.25">
      <c r="B384" s="4" t="s">
        <v>46</v>
      </c>
      <c r="C384" s="4" t="str">
        <f t="shared" si="13"/>
        <v>Natural Gas</v>
      </c>
      <c r="E384" s="27"/>
      <c r="F384" s="27">
        <v>0.2074</v>
      </c>
      <c r="G384" s="4" t="s">
        <v>173</v>
      </c>
      <c r="H384" s="327">
        <v>1.98082</v>
      </c>
      <c r="I384" s="4" t="s">
        <v>15</v>
      </c>
      <c r="J384" s="28">
        <f t="shared" ref="J384:J446" si="14">IF(F384="", "FILL MANUALLY", H384)</f>
        <v>1.98082</v>
      </c>
      <c r="K384" s="4" t="str">
        <f>IF(OpenLCAdetail!I384="CTUh", "Fill in Manually", INDEX(LookUps!$E$5:$E$12, MATCH(OpenLCAdetail!I384,LookUps!$D$5:$D$12,0)))</f>
        <v>Cumulative Energy Demand (CED) - MJ</v>
      </c>
      <c r="O384" s="119"/>
      <c r="P384" s="119"/>
    </row>
    <row r="385" spans="2:16" x14ac:dyDescent="0.25">
      <c r="B385" s="4" t="s">
        <v>46</v>
      </c>
      <c r="C385" s="4" t="str">
        <f t="shared" si="13"/>
        <v>Electricity</v>
      </c>
      <c r="E385" s="27"/>
      <c r="F385" s="27">
        <v>0.20180000000000001</v>
      </c>
      <c r="G385" s="4" t="s">
        <v>71</v>
      </c>
      <c r="H385" s="327">
        <v>1.9280200000000001</v>
      </c>
      <c r="I385" s="4" t="s">
        <v>15</v>
      </c>
      <c r="J385" s="28">
        <f t="shared" si="14"/>
        <v>1.9280200000000001</v>
      </c>
      <c r="K385" s="4" t="str">
        <f>IF(OpenLCAdetail!I385="CTUh", "Fill in Manually", INDEX(LookUps!$E$5:$E$12, MATCH(OpenLCAdetail!I385,LookUps!$D$5:$D$12,0)))</f>
        <v>Cumulative Energy Demand (CED) - MJ</v>
      </c>
      <c r="O385" s="119"/>
      <c r="P385" s="119"/>
    </row>
    <row r="386" spans="2:16" x14ac:dyDescent="0.25">
      <c r="B386" s="4" t="s">
        <v>46</v>
      </c>
      <c r="C386" s="4" t="str">
        <f t="shared" si="13"/>
        <v>Infrastructure</v>
      </c>
      <c r="E386" s="27"/>
      <c r="F386" s="27">
        <v>1.1000000000000001E-3</v>
      </c>
      <c r="G386" s="4" t="s">
        <v>74</v>
      </c>
      <c r="H386" s="327">
        <v>1.0109999999999999E-2</v>
      </c>
      <c r="I386" s="4" t="s">
        <v>15</v>
      </c>
      <c r="J386" s="28">
        <f t="shared" si="14"/>
        <v>1.0109999999999999E-2</v>
      </c>
      <c r="K386" s="4" t="str">
        <f>IF(OpenLCAdetail!I386="CTUh", "Fill in Manually", INDEX(LookUps!$E$5:$E$12, MATCH(OpenLCAdetail!I386,LookUps!$D$5:$D$12,0)))</f>
        <v>Cumulative Energy Demand (CED) - MJ</v>
      </c>
      <c r="O386" s="119"/>
      <c r="P386" s="119"/>
    </row>
    <row r="387" spans="2:16" x14ac:dyDescent="0.25">
      <c r="B387" s="4" t="s">
        <v>46</v>
      </c>
      <c r="C387" s="4" t="str">
        <f t="shared" si="13"/>
        <v>Infrastructure</v>
      </c>
      <c r="E387" s="27"/>
      <c r="F387" s="27">
        <v>5.9999999999999995E-4</v>
      </c>
      <c r="G387" s="4" t="s">
        <v>73</v>
      </c>
      <c r="H387" s="327">
        <v>6.0299999999999998E-3</v>
      </c>
      <c r="I387" s="4" t="s">
        <v>15</v>
      </c>
      <c r="J387" s="28">
        <f t="shared" si="14"/>
        <v>6.0299999999999998E-3</v>
      </c>
      <c r="K387" s="4" t="str">
        <f>IF(OpenLCAdetail!I387="CTUh", "Fill in Manually", INDEX(LookUps!$E$5:$E$12, MATCH(OpenLCAdetail!I387,LookUps!$D$5:$D$12,0)))</f>
        <v>Cumulative Energy Demand (CED) - MJ</v>
      </c>
      <c r="O387" s="119"/>
      <c r="P387" s="119"/>
    </row>
    <row r="388" spans="2:16" x14ac:dyDescent="0.25">
      <c r="B388" s="4" t="s">
        <v>46</v>
      </c>
      <c r="C388" s="4" t="str">
        <f t="shared" si="13"/>
        <v>Infrastructure</v>
      </c>
      <c r="E388" s="27"/>
      <c r="F388" s="27">
        <v>2.0000000000000001E-4</v>
      </c>
      <c r="G388" s="4" t="s">
        <v>75</v>
      </c>
      <c r="H388" s="327">
        <v>2.2899999999999999E-3</v>
      </c>
      <c r="I388" s="4" t="s">
        <v>15</v>
      </c>
      <c r="J388" s="28">
        <f t="shared" si="14"/>
        <v>2.2899999999999999E-3</v>
      </c>
      <c r="K388" s="4" t="str">
        <f>IF(OpenLCAdetail!I388="CTUh", "Fill in Manually", INDEX(LookUps!$E$5:$E$12, MATCH(OpenLCAdetail!I388,LookUps!$D$5:$D$12,0)))</f>
        <v>Cumulative Energy Demand (CED) - MJ</v>
      </c>
      <c r="O388" s="119"/>
      <c r="P388" s="119"/>
    </row>
    <row r="389" spans="2:16" x14ac:dyDescent="0.25">
      <c r="B389" s="4" t="s">
        <v>46</v>
      </c>
      <c r="C389" s="4" t="str">
        <f t="shared" si="13"/>
        <v>Infrastructure</v>
      </c>
      <c r="E389" s="27"/>
      <c r="F389" s="27">
        <v>0</v>
      </c>
      <c r="G389" s="4" t="s">
        <v>152</v>
      </c>
      <c r="H389" s="327">
        <v>1.1E-4</v>
      </c>
      <c r="I389" s="4" t="s">
        <v>15</v>
      </c>
      <c r="J389" s="28">
        <f t="shared" si="14"/>
        <v>1.1E-4</v>
      </c>
      <c r="K389" s="4" t="str">
        <f>IF(OpenLCAdetail!I389="CTUh", "Fill in Manually", INDEX(LookUps!$E$5:$E$12, MATCH(OpenLCAdetail!I389,LookUps!$D$5:$D$12,0)))</f>
        <v>Cumulative Energy Demand (CED) - MJ</v>
      </c>
      <c r="O389" s="119"/>
      <c r="P389" s="119"/>
    </row>
    <row r="390" spans="2:16" x14ac:dyDescent="0.25">
      <c r="B390" s="4" t="s">
        <v>46</v>
      </c>
      <c r="C390" s="4" t="str">
        <f t="shared" si="13"/>
        <v>Infrastructure</v>
      </c>
      <c r="E390" s="27"/>
      <c r="F390" s="27">
        <v>0</v>
      </c>
      <c r="G390" s="4" t="s">
        <v>169</v>
      </c>
      <c r="H390" s="327">
        <v>1.4352099999999999E-5</v>
      </c>
      <c r="I390" s="4" t="s">
        <v>15</v>
      </c>
      <c r="J390" s="28">
        <f t="shared" si="14"/>
        <v>1.4352099999999999E-5</v>
      </c>
      <c r="K390" s="4" t="str">
        <f>IF(OpenLCAdetail!I390="CTUh", "Fill in Manually", INDEX(LookUps!$E$5:$E$12, MATCH(OpenLCAdetail!I390,LookUps!$D$5:$D$12,0)))</f>
        <v>Cumulative Energy Demand (CED) - MJ</v>
      </c>
      <c r="O390" s="119"/>
      <c r="P390" s="119"/>
    </row>
    <row r="391" spans="2:16" x14ac:dyDescent="0.25">
      <c r="B391" s="4" t="s">
        <v>46</v>
      </c>
      <c r="C391" s="4" t="str">
        <f t="shared" si="13"/>
        <v>avoided products</v>
      </c>
      <c r="E391" s="27"/>
      <c r="F391" s="27">
        <v>-0.28549999999999998</v>
      </c>
      <c r="G391" s="4" t="s">
        <v>174</v>
      </c>
      <c r="H391" s="327">
        <v>-2.7271200000000002</v>
      </c>
      <c r="I391" s="4" t="s">
        <v>15</v>
      </c>
      <c r="J391" s="28">
        <f t="shared" si="14"/>
        <v>-2.7271200000000002</v>
      </c>
      <c r="K391" s="4" t="str">
        <f>IF(OpenLCAdetail!I391="CTUh", "Fill in Manually", INDEX(LookUps!$E$5:$E$12, MATCH(OpenLCAdetail!I391,LookUps!$D$5:$D$12,0)))</f>
        <v>Cumulative Energy Demand (CED) - MJ</v>
      </c>
      <c r="O391" s="119"/>
      <c r="P391" s="119"/>
    </row>
    <row r="392" spans="2:16" x14ac:dyDescent="0.25">
      <c r="B392" s="4" t="s">
        <v>46</v>
      </c>
      <c r="C392" s="4" t="str">
        <f t="shared" si="13"/>
        <v>avoided products</v>
      </c>
      <c r="E392" s="27"/>
      <c r="F392" s="27">
        <v>-0.33479999999999999</v>
      </c>
      <c r="G392" s="4" t="s">
        <v>175</v>
      </c>
      <c r="H392" s="327">
        <v>-3.19781</v>
      </c>
      <c r="I392" s="4" t="s">
        <v>15</v>
      </c>
      <c r="J392" s="28">
        <f t="shared" si="14"/>
        <v>-3.19781</v>
      </c>
      <c r="K392" s="4" t="str">
        <f>IF(OpenLCAdetail!I392="CTUh", "Fill in Manually", INDEX(LookUps!$E$5:$E$12, MATCH(OpenLCAdetail!I392,LookUps!$D$5:$D$12,0)))</f>
        <v>Cumulative Energy Demand (CED) - MJ</v>
      </c>
      <c r="O392" s="119"/>
      <c r="P392" s="119"/>
    </row>
    <row r="393" spans="2:16" x14ac:dyDescent="0.25">
      <c r="D393" s="29" t="s">
        <v>51</v>
      </c>
      <c r="E393" s="27"/>
      <c r="F393" s="27"/>
      <c r="G393" s="4" t="s">
        <v>47</v>
      </c>
      <c r="H393" s="327" t="s">
        <v>52</v>
      </c>
      <c r="I393" s="4" t="s">
        <v>27</v>
      </c>
      <c r="J393" s="28"/>
      <c r="O393" s="119"/>
      <c r="P393" s="119"/>
    </row>
    <row r="394" spans="2:16" x14ac:dyDescent="0.25">
      <c r="B394" s="89" t="s">
        <v>46</v>
      </c>
      <c r="C394" s="4" t="s">
        <v>33</v>
      </c>
      <c r="D394" s="89"/>
      <c r="E394" s="88">
        <v>0.75229999999999997</v>
      </c>
      <c r="F394" s="89"/>
      <c r="G394" s="89" t="s">
        <v>48</v>
      </c>
      <c r="H394" s="328">
        <v>1.1610000000000001E-2</v>
      </c>
      <c r="I394" s="89" t="s">
        <v>13</v>
      </c>
      <c r="J394" s="28">
        <f>H394-SUM(H395:H398)</f>
        <v>1.15916618E-2</v>
      </c>
      <c r="K394" s="89" t="str">
        <f>IF(OpenLCAdetail!I394="CTUh", "Fill in Manually", INDEX(LookUps!$E$5:$E$12, MATCH(OpenLCAdetail!I394,LookUps!$D$5:$D$12,0)))</f>
        <v>Eutrophication Potential (EP) - kg N eq</v>
      </c>
      <c r="O394" s="119"/>
      <c r="P394" s="119"/>
    </row>
    <row r="395" spans="2:16" x14ac:dyDescent="0.25">
      <c r="B395" s="4" t="s">
        <v>46</v>
      </c>
      <c r="C395" s="4" t="str">
        <f t="shared" si="12"/>
        <v>Electricity</v>
      </c>
      <c r="F395" s="27">
        <v>2.3E-3</v>
      </c>
      <c r="G395" s="4" t="s">
        <v>71</v>
      </c>
      <c r="H395" s="327">
        <v>3.6137699999999998E-5</v>
      </c>
      <c r="I395" s="4" t="s">
        <v>13</v>
      </c>
      <c r="J395" s="28">
        <f t="shared" si="14"/>
        <v>3.6137699999999998E-5</v>
      </c>
      <c r="K395" s="4" t="str">
        <f>IF(OpenLCAdetail!I395="CTUh", "Fill in Manually", INDEX(LookUps!$E$5:$E$12, MATCH(OpenLCAdetail!I395,LookUps!$D$5:$D$12,0)))</f>
        <v>Eutrophication Potential (EP) - kg N eq</v>
      </c>
      <c r="O395" s="119"/>
      <c r="P395" s="119"/>
    </row>
    <row r="396" spans="2:16" x14ac:dyDescent="0.25">
      <c r="B396" s="4" t="s">
        <v>46</v>
      </c>
      <c r="C396" s="4" t="str">
        <f t="shared" si="12"/>
        <v>Infrastructure</v>
      </c>
      <c r="F396" s="27">
        <v>8.9999999999999998E-4</v>
      </c>
      <c r="G396" s="4" t="s">
        <v>73</v>
      </c>
      <c r="H396" s="327">
        <v>1.3638199999999999E-5</v>
      </c>
      <c r="I396" s="4" t="s">
        <v>13</v>
      </c>
      <c r="J396" s="28">
        <f t="shared" si="14"/>
        <v>1.3638199999999999E-5</v>
      </c>
      <c r="K396" s="4" t="str">
        <f>IF(OpenLCAdetail!I396="CTUh", "Fill in Manually", INDEX(LookUps!$E$5:$E$12, MATCH(OpenLCAdetail!I396,LookUps!$D$5:$D$12,0)))</f>
        <v>Eutrophication Potential (EP) - kg N eq</v>
      </c>
      <c r="O396" s="119"/>
      <c r="P396" s="119"/>
    </row>
    <row r="397" spans="2:16" x14ac:dyDescent="0.25">
      <c r="B397" s="4" t="s">
        <v>46</v>
      </c>
      <c r="C397" s="4" t="str">
        <f t="shared" si="12"/>
        <v>Infrastructure</v>
      </c>
      <c r="F397" s="27">
        <v>8.9999999999999998E-4</v>
      </c>
      <c r="G397" s="4" t="s">
        <v>72</v>
      </c>
      <c r="H397" s="327">
        <v>1.31771E-5</v>
      </c>
      <c r="I397" s="4" t="s">
        <v>13</v>
      </c>
      <c r="J397" s="28">
        <f t="shared" si="14"/>
        <v>1.31771E-5</v>
      </c>
      <c r="K397" s="4" t="str">
        <f>IF(OpenLCAdetail!I397="CTUh", "Fill in Manually", INDEX(LookUps!$E$5:$E$12, MATCH(OpenLCAdetail!I397,LookUps!$D$5:$D$12,0)))</f>
        <v>Eutrophication Potential (EP) - kg N eq</v>
      </c>
      <c r="O397" s="119"/>
      <c r="P397" s="119"/>
    </row>
    <row r="398" spans="2:16" x14ac:dyDescent="0.25">
      <c r="B398" s="4" t="s">
        <v>46</v>
      </c>
      <c r="C398" s="4" t="str">
        <f t="shared" si="12"/>
        <v>avoided products</v>
      </c>
      <c r="F398" s="27">
        <v>-2.8999999999999998E-3</v>
      </c>
      <c r="G398" s="4" t="s">
        <v>159</v>
      </c>
      <c r="H398" s="327">
        <v>-4.4614799999999998E-5</v>
      </c>
      <c r="I398" s="4" t="s">
        <v>13</v>
      </c>
      <c r="J398" s="28">
        <f t="shared" si="14"/>
        <v>-4.4614799999999998E-5</v>
      </c>
      <c r="K398" s="4" t="str">
        <f>IF(OpenLCAdetail!I398="CTUh", "Fill in Manually", INDEX(LookUps!$E$5:$E$12, MATCH(OpenLCAdetail!I398,LookUps!$D$5:$D$12,0)))</f>
        <v>Eutrophication Potential (EP) - kg N eq</v>
      </c>
      <c r="O398" s="119"/>
      <c r="P398" s="119"/>
    </row>
    <row r="399" spans="2:16" x14ac:dyDescent="0.25">
      <c r="B399" s="4" t="s">
        <v>46</v>
      </c>
      <c r="C399" s="4" t="s">
        <v>80</v>
      </c>
      <c r="E399" s="27">
        <v>0.13289999999999999</v>
      </c>
      <c r="G399" s="4" t="s">
        <v>62</v>
      </c>
      <c r="H399" s="327">
        <v>2.0500000000000002E-3</v>
      </c>
      <c r="I399" s="4" t="s">
        <v>13</v>
      </c>
      <c r="J399" s="28">
        <f>H399-SUM(H400:H404)</f>
        <v>2.3614871965400002E-3</v>
      </c>
      <c r="K399" s="4" t="str">
        <f>IF(OpenLCAdetail!I399="CTUh", "Fill in Manually", INDEX(LookUps!$E$5:$E$12, MATCH(OpenLCAdetail!I399,LookUps!$D$5:$D$12,0)))</f>
        <v>Eutrophication Potential (EP) - kg N eq</v>
      </c>
      <c r="O399" s="119"/>
      <c r="P399" s="119"/>
    </row>
    <row r="400" spans="2:16" x14ac:dyDescent="0.25">
      <c r="B400" s="4" t="s">
        <v>46</v>
      </c>
      <c r="C400" s="4" t="str">
        <f t="shared" si="12"/>
        <v>Transport</v>
      </c>
      <c r="F400" s="27">
        <v>8.9999999999999998E-4</v>
      </c>
      <c r="G400" s="4" t="s">
        <v>156</v>
      </c>
      <c r="H400" s="327">
        <v>1.38982E-5</v>
      </c>
      <c r="I400" s="4" t="s">
        <v>13</v>
      </c>
      <c r="J400" s="28">
        <f t="shared" si="14"/>
        <v>1.38982E-5</v>
      </c>
      <c r="K400" s="4" t="str">
        <f>IF(OpenLCAdetail!I400="CTUh", "Fill in Manually", INDEX(LookUps!$E$5:$E$12, MATCH(OpenLCAdetail!I400,LookUps!$D$5:$D$12,0)))</f>
        <v>Eutrophication Potential (EP) - kg N eq</v>
      </c>
      <c r="O400" s="119"/>
      <c r="P400" s="119"/>
    </row>
    <row r="401" spans="2:16" x14ac:dyDescent="0.25">
      <c r="B401" s="4" t="s">
        <v>46</v>
      </c>
      <c r="C401" s="4" t="str">
        <f t="shared" si="12"/>
        <v>Diesel</v>
      </c>
      <c r="F401" s="27">
        <v>0</v>
      </c>
      <c r="G401" s="4" t="s">
        <v>172</v>
      </c>
      <c r="H401" s="327">
        <v>5.2734599999999997E-9</v>
      </c>
      <c r="I401" s="4" t="s">
        <v>13</v>
      </c>
      <c r="J401" s="28">
        <f t="shared" si="14"/>
        <v>5.2734599999999997E-9</v>
      </c>
      <c r="K401" s="4" t="str">
        <f>IF(OpenLCAdetail!I401="CTUh", "Fill in Manually", INDEX(LookUps!$E$5:$E$12, MATCH(OpenLCAdetail!I401,LookUps!$D$5:$D$12,0)))</f>
        <v>Eutrophication Potential (EP) - kg N eq</v>
      </c>
      <c r="O401" s="119"/>
      <c r="P401" s="119"/>
    </row>
    <row r="402" spans="2:16" x14ac:dyDescent="0.25">
      <c r="B402" s="4" t="s">
        <v>46</v>
      </c>
      <c r="C402" s="4" t="str">
        <f t="shared" si="12"/>
        <v>avoided products</v>
      </c>
      <c r="F402" s="27">
        <v>-5.9999999999999995E-4</v>
      </c>
      <c r="G402" s="4" t="s">
        <v>176</v>
      </c>
      <c r="H402" s="327">
        <v>-8.4954699999999998E-6</v>
      </c>
      <c r="I402" s="4" t="s">
        <v>13</v>
      </c>
      <c r="J402" s="28">
        <f t="shared" si="14"/>
        <v>-8.4954699999999998E-6</v>
      </c>
      <c r="K402" s="4" t="str">
        <f>IF(OpenLCAdetail!I402="CTUh", "Fill in Manually", INDEX(LookUps!$E$5:$E$12, MATCH(OpenLCAdetail!I402,LookUps!$D$5:$D$12,0)))</f>
        <v>Eutrophication Potential (EP) - kg N eq</v>
      </c>
      <c r="O402" s="119"/>
      <c r="P402" s="119"/>
    </row>
    <row r="403" spans="2:16" x14ac:dyDescent="0.25">
      <c r="B403" s="4" t="s">
        <v>46</v>
      </c>
      <c r="C403" s="4" t="str">
        <f t="shared" si="12"/>
        <v>avoided products</v>
      </c>
      <c r="F403" s="27">
        <v>-5.5999999999999999E-3</v>
      </c>
      <c r="G403" s="4" t="s">
        <v>177</v>
      </c>
      <c r="H403" s="327">
        <v>-8.6895200000000001E-5</v>
      </c>
      <c r="I403" s="4" t="s">
        <v>13</v>
      </c>
      <c r="J403" s="28">
        <f t="shared" si="14"/>
        <v>-8.6895200000000001E-5</v>
      </c>
      <c r="K403" s="4" t="str">
        <f>IF(OpenLCAdetail!I403="CTUh", "Fill in Manually", INDEX(LookUps!$E$5:$E$12, MATCH(OpenLCAdetail!I403,LookUps!$D$5:$D$12,0)))</f>
        <v>Eutrophication Potential (EP) - kg N eq</v>
      </c>
      <c r="O403" s="119"/>
      <c r="P403" s="119"/>
    </row>
    <row r="404" spans="2:16" x14ac:dyDescent="0.25">
      <c r="B404" s="4" t="s">
        <v>46</v>
      </c>
      <c r="C404" s="4" t="str">
        <f t="shared" si="12"/>
        <v>avoided products</v>
      </c>
      <c r="F404" s="27">
        <v>-1.4800000000000001E-2</v>
      </c>
      <c r="G404" s="4" t="s">
        <v>178</v>
      </c>
      <c r="H404" s="327">
        <v>-2.3000000000000001E-4</v>
      </c>
      <c r="I404" s="4" t="s">
        <v>13</v>
      </c>
      <c r="J404" s="28">
        <f t="shared" si="14"/>
        <v>-2.3000000000000001E-4</v>
      </c>
      <c r="K404" s="4" t="str">
        <f>IF(OpenLCAdetail!I404="CTUh", "Fill in Manually", INDEX(LookUps!$E$5:$E$12, MATCH(OpenLCAdetail!I404,LookUps!$D$5:$D$12,0)))</f>
        <v>Eutrophication Potential (EP) - kg N eq</v>
      </c>
      <c r="O404" s="119"/>
      <c r="P404" s="119"/>
    </row>
    <row r="405" spans="2:16" x14ac:dyDescent="0.25">
      <c r="B405" s="4" t="s">
        <v>46</v>
      </c>
      <c r="C405" s="4" t="str">
        <f t="shared" si="12"/>
        <v>Unit Process Emissions</v>
      </c>
      <c r="E405" s="27">
        <v>3.5400000000000001E-2</v>
      </c>
      <c r="F405" s="27"/>
      <c r="G405" s="4" t="s">
        <v>55</v>
      </c>
      <c r="H405" s="327">
        <v>5.5000000000000003E-4</v>
      </c>
      <c r="I405" s="4" t="s">
        <v>13</v>
      </c>
      <c r="J405" s="28">
        <f>H405-SUM(H406:H413)</f>
        <v>5.9910069600001802E-6</v>
      </c>
      <c r="K405" s="4" t="str">
        <f>IF(OpenLCAdetail!I405="CTUh", "Fill in Manually", INDEX(LookUps!$E$5:$E$12, MATCH(OpenLCAdetail!I405,LookUps!$D$5:$D$12,0)))</f>
        <v>Eutrophication Potential (EP) - kg N eq</v>
      </c>
      <c r="O405" s="119"/>
      <c r="P405" s="119"/>
    </row>
    <row r="406" spans="2:16" x14ac:dyDescent="0.25">
      <c r="B406" s="4" t="s">
        <v>46</v>
      </c>
      <c r="C406" s="4" t="str">
        <f t="shared" si="12"/>
        <v>Electricity</v>
      </c>
      <c r="F406" s="27">
        <v>3.39E-2</v>
      </c>
      <c r="G406" s="4" t="s">
        <v>71</v>
      </c>
      <c r="H406" s="327">
        <v>5.1999999999999995E-4</v>
      </c>
      <c r="I406" s="4" t="s">
        <v>13</v>
      </c>
      <c r="J406" s="28">
        <f t="shared" si="14"/>
        <v>5.1999999999999995E-4</v>
      </c>
      <c r="K406" s="4" t="str">
        <f>IF(OpenLCAdetail!I406="CTUh", "Fill in Manually", INDEX(LookUps!$E$5:$E$12, MATCH(OpenLCAdetail!I406,LookUps!$D$5:$D$12,0)))</f>
        <v>Eutrophication Potential (EP) - kg N eq</v>
      </c>
      <c r="O406" s="119"/>
      <c r="P406" s="119"/>
    </row>
    <row r="407" spans="2:16" x14ac:dyDescent="0.25">
      <c r="B407" s="4" t="s">
        <v>46</v>
      </c>
      <c r="C407" s="4" t="str">
        <f t="shared" si="12"/>
        <v>Infrastructure</v>
      </c>
      <c r="F407" s="27">
        <v>6.9999999999999999E-4</v>
      </c>
      <c r="G407" s="4" t="s">
        <v>73</v>
      </c>
      <c r="H407" s="327">
        <v>1.1438500000000001E-5</v>
      </c>
      <c r="I407" s="4" t="s">
        <v>13</v>
      </c>
      <c r="J407" s="28">
        <f t="shared" si="14"/>
        <v>1.1438500000000001E-5</v>
      </c>
      <c r="K407" s="4" t="str">
        <f>IF(OpenLCAdetail!I407="CTUh", "Fill in Manually", INDEX(LookUps!$E$5:$E$12, MATCH(OpenLCAdetail!I407,LookUps!$D$5:$D$12,0)))</f>
        <v>Eutrophication Potential (EP) - kg N eq</v>
      </c>
      <c r="O407" s="119"/>
      <c r="P407" s="119"/>
    </row>
    <row r="408" spans="2:16" x14ac:dyDescent="0.25">
      <c r="B408" s="4" t="s">
        <v>46</v>
      </c>
      <c r="C408" s="4" t="str">
        <f t="shared" si="12"/>
        <v>Infrastructure</v>
      </c>
      <c r="E408" s="27"/>
      <c r="F408" s="27">
        <v>6.9999999999999999E-4</v>
      </c>
      <c r="G408" s="4" t="s">
        <v>72</v>
      </c>
      <c r="H408" s="327">
        <v>1.10517E-5</v>
      </c>
      <c r="I408" s="4" t="s">
        <v>13</v>
      </c>
      <c r="J408" s="28">
        <f t="shared" si="14"/>
        <v>1.10517E-5</v>
      </c>
      <c r="K408" s="4" t="str">
        <f>IF(OpenLCAdetail!I408="CTUh", "Fill in Manually", INDEX(LookUps!$E$5:$E$12, MATCH(OpenLCAdetail!I408,LookUps!$D$5:$D$12,0)))</f>
        <v>Eutrophication Potential (EP) - kg N eq</v>
      </c>
      <c r="O408" s="119"/>
      <c r="P408" s="119"/>
    </row>
    <row r="409" spans="2:16" x14ac:dyDescent="0.25">
      <c r="B409" s="4" t="s">
        <v>46</v>
      </c>
      <c r="C409" s="4" t="str">
        <f t="shared" ref="C409:C410" si="15">INDEX($O$10:$O$60,MATCH(G409, $P$10:$P$60,0))</f>
        <v>Infrastructure</v>
      </c>
      <c r="F409" s="27">
        <v>1E-4</v>
      </c>
      <c r="G409" s="4" t="s">
        <v>74</v>
      </c>
      <c r="H409" s="327">
        <v>1.0205199999999999E-6</v>
      </c>
      <c r="I409" s="4" t="s">
        <v>13</v>
      </c>
      <c r="J409" s="28">
        <f t="shared" si="14"/>
        <v>1.0205199999999999E-6</v>
      </c>
      <c r="K409" s="4" t="str">
        <f>IF(OpenLCAdetail!I409="CTUh", "Fill in Manually", INDEX(LookUps!$E$5:$E$12, MATCH(OpenLCAdetail!I409,LookUps!$D$5:$D$12,0)))</f>
        <v>Eutrophication Potential (EP) - kg N eq</v>
      </c>
      <c r="O409" s="119"/>
      <c r="P409" s="119"/>
    </row>
    <row r="410" spans="2:16" x14ac:dyDescent="0.25">
      <c r="B410" s="4" t="s">
        <v>46</v>
      </c>
      <c r="C410" s="4" t="str">
        <f t="shared" si="15"/>
        <v>Infrastructure</v>
      </c>
      <c r="F410" s="27">
        <v>0</v>
      </c>
      <c r="G410" s="4" t="s">
        <v>75</v>
      </c>
      <c r="H410" s="327">
        <v>4.2684500000000001E-7</v>
      </c>
      <c r="I410" s="4" t="s">
        <v>13</v>
      </c>
      <c r="J410" s="28">
        <f t="shared" si="14"/>
        <v>4.2684500000000001E-7</v>
      </c>
      <c r="K410" s="4" t="str">
        <f>IF(OpenLCAdetail!I410="CTUh", "Fill in Manually", INDEX(LookUps!$E$5:$E$12, MATCH(OpenLCAdetail!I410,LookUps!$D$5:$D$12,0)))</f>
        <v>Eutrophication Potential (EP) - kg N eq</v>
      </c>
      <c r="O410" s="119"/>
      <c r="P410" s="119"/>
    </row>
    <row r="411" spans="2:16" x14ac:dyDescent="0.25">
      <c r="B411" s="4" t="s">
        <v>46</v>
      </c>
      <c r="C411" s="4" t="str">
        <f t="shared" ref="C411:C471" si="16">INDEX($O$10:$O$60,MATCH(G411, $P$10:$P$60,0))</f>
        <v>Infrastructure</v>
      </c>
      <c r="F411" s="27">
        <v>0</v>
      </c>
      <c r="G411" s="4" t="s">
        <v>169</v>
      </c>
      <c r="H411" s="327">
        <v>3.9624999999999999E-8</v>
      </c>
      <c r="I411" s="4" t="s">
        <v>13</v>
      </c>
      <c r="J411" s="28">
        <f t="shared" si="14"/>
        <v>3.9624999999999999E-8</v>
      </c>
      <c r="K411" s="4" t="str">
        <f>IF(OpenLCAdetail!I411="CTUh", "Fill in Manually", INDEX(LookUps!$E$5:$E$12, MATCH(OpenLCAdetail!I411,LookUps!$D$5:$D$12,0)))</f>
        <v>Eutrophication Potential (EP) - kg N eq</v>
      </c>
      <c r="O411" s="119"/>
      <c r="P411" s="119"/>
    </row>
    <row r="412" spans="2:16" x14ac:dyDescent="0.25">
      <c r="B412" s="4" t="s">
        <v>46</v>
      </c>
      <c r="C412" s="4" t="str">
        <f t="shared" si="16"/>
        <v>Infrastructure</v>
      </c>
      <c r="F412" s="27">
        <v>0</v>
      </c>
      <c r="G412" s="4" t="s">
        <v>152</v>
      </c>
      <c r="H412" s="327">
        <v>2.4569599999999999E-8</v>
      </c>
      <c r="I412" s="4" t="s">
        <v>13</v>
      </c>
      <c r="J412" s="28">
        <f t="shared" si="14"/>
        <v>2.4569599999999999E-8</v>
      </c>
      <c r="K412" s="4" t="str">
        <f>IF(OpenLCAdetail!I412="CTUh", "Fill in Manually", INDEX(LookUps!$E$5:$E$12, MATCH(OpenLCAdetail!I412,LookUps!$D$5:$D$12,0)))</f>
        <v>Eutrophication Potential (EP) - kg N eq</v>
      </c>
      <c r="O412" s="119"/>
      <c r="P412" s="119"/>
    </row>
    <row r="413" spans="2:16" x14ac:dyDescent="0.25">
      <c r="B413" s="4" t="s">
        <v>46</v>
      </c>
      <c r="C413" s="4" t="str">
        <f t="shared" si="16"/>
        <v>Infrastructure</v>
      </c>
      <c r="E413" s="27"/>
      <c r="F413" s="27">
        <v>0</v>
      </c>
      <c r="G413" s="4" t="s">
        <v>76</v>
      </c>
      <c r="H413" s="327">
        <v>7.2334399999999998E-9</v>
      </c>
      <c r="I413" s="4" t="s">
        <v>13</v>
      </c>
      <c r="J413" s="28">
        <f t="shared" si="14"/>
        <v>7.2334399999999998E-9</v>
      </c>
      <c r="K413" s="4" t="str">
        <f>IF(OpenLCAdetail!I413="CTUh", "Fill in Manually", INDEX(LookUps!$E$5:$E$12, MATCH(OpenLCAdetail!I413,LookUps!$D$5:$D$12,0)))</f>
        <v>Eutrophication Potential (EP) - kg N eq</v>
      </c>
      <c r="O413" s="119"/>
      <c r="P413" s="119"/>
    </row>
    <row r="414" spans="2:16" x14ac:dyDescent="0.25">
      <c r="B414" s="4" t="s">
        <v>46</v>
      </c>
      <c r="C414" s="4" t="s">
        <v>79</v>
      </c>
      <c r="E414" s="27">
        <v>2.3199999999999998E-2</v>
      </c>
      <c r="F414" s="27"/>
      <c r="G414" s="4" t="s">
        <v>271</v>
      </c>
      <c r="H414" s="327">
        <v>3.6000000000000002E-4</v>
      </c>
      <c r="I414" s="4" t="s">
        <v>13</v>
      </c>
      <c r="J414" s="28">
        <f>H414-SUM(H415:H418)</f>
        <v>3.5884013580000002E-4</v>
      </c>
      <c r="K414" s="4" t="str">
        <f>IF(OpenLCAdetail!I414="CTUh", "Fill in Manually", INDEX(LookUps!$E$5:$E$12, MATCH(OpenLCAdetail!I414,LookUps!$D$5:$D$12,0)))</f>
        <v>Eutrophication Potential (EP) - kg N eq</v>
      </c>
      <c r="O414" s="119"/>
      <c r="P414" s="119"/>
    </row>
    <row r="415" spans="2:16" x14ac:dyDescent="0.25">
      <c r="B415" s="4" t="s">
        <v>46</v>
      </c>
      <c r="C415" s="4" t="str">
        <f t="shared" si="16"/>
        <v>Electricity</v>
      </c>
      <c r="F415" s="27">
        <v>0</v>
      </c>
      <c r="G415" s="4" t="s">
        <v>71</v>
      </c>
      <c r="H415" s="327">
        <v>5.9769600000000001E-7</v>
      </c>
      <c r="I415" s="4" t="s">
        <v>13</v>
      </c>
      <c r="J415" s="28">
        <f t="shared" si="14"/>
        <v>5.9769600000000001E-7</v>
      </c>
      <c r="K415" s="4" t="str">
        <f>IF(OpenLCAdetail!I415="CTUh", "Fill in Manually", INDEX(LookUps!$E$5:$E$12, MATCH(OpenLCAdetail!I415,LookUps!$D$5:$D$12,0)))</f>
        <v>Eutrophication Potential (EP) - kg N eq</v>
      </c>
      <c r="O415" s="119"/>
      <c r="P415" s="119"/>
    </row>
    <row r="416" spans="2:16" x14ac:dyDescent="0.25">
      <c r="B416" s="4" t="s">
        <v>46</v>
      </c>
      <c r="C416" s="4" t="str">
        <f t="shared" si="16"/>
        <v>Transport</v>
      </c>
      <c r="F416" s="27">
        <v>0</v>
      </c>
      <c r="G416" s="4" t="s">
        <v>170</v>
      </c>
      <c r="H416" s="327">
        <v>5.5110699999999999E-7</v>
      </c>
      <c r="I416" s="4" t="s">
        <v>13</v>
      </c>
      <c r="J416" s="28">
        <f t="shared" si="14"/>
        <v>5.5110699999999999E-7</v>
      </c>
      <c r="K416" s="4" t="str">
        <f>IF(OpenLCAdetail!I416="CTUh", "Fill in Manually", INDEX(LookUps!$E$5:$E$12, MATCH(OpenLCAdetail!I416,LookUps!$D$5:$D$12,0)))</f>
        <v>Eutrophication Potential (EP) - kg N eq</v>
      </c>
      <c r="O416" s="119"/>
      <c r="P416" s="119"/>
    </row>
    <row r="417" spans="2:16" x14ac:dyDescent="0.25">
      <c r="B417" s="4" t="s">
        <v>46</v>
      </c>
      <c r="C417" s="4" t="str">
        <f t="shared" si="16"/>
        <v>Diesel</v>
      </c>
      <c r="F417" s="27">
        <v>0</v>
      </c>
      <c r="G417" s="4" t="s">
        <v>172</v>
      </c>
      <c r="H417" s="327">
        <v>5.2029799999999999E-8</v>
      </c>
      <c r="I417" s="4" t="s">
        <v>13</v>
      </c>
      <c r="J417" s="28">
        <f t="shared" si="14"/>
        <v>5.2029799999999999E-8</v>
      </c>
      <c r="K417" s="4" t="str">
        <f>IF(OpenLCAdetail!I417="CTUh", "Fill in Manually", INDEX(LookUps!$E$5:$E$12, MATCH(OpenLCAdetail!I417,LookUps!$D$5:$D$12,0)))</f>
        <v>Eutrophication Potential (EP) - kg N eq</v>
      </c>
      <c r="O417" s="119"/>
      <c r="P417" s="119"/>
    </row>
    <row r="418" spans="2:16" x14ac:dyDescent="0.25">
      <c r="B418" s="4" t="s">
        <v>46</v>
      </c>
      <c r="C418" s="4" t="str">
        <f t="shared" si="16"/>
        <v>avoided products</v>
      </c>
      <c r="E418" s="27"/>
      <c r="F418" s="27">
        <v>0</v>
      </c>
      <c r="G418" s="4" t="s">
        <v>159</v>
      </c>
      <c r="H418" s="327">
        <v>-4.0968599999999999E-8</v>
      </c>
      <c r="I418" s="4" t="s">
        <v>13</v>
      </c>
      <c r="J418" s="28">
        <f t="shared" si="14"/>
        <v>-4.0968599999999999E-8</v>
      </c>
      <c r="K418" s="4" t="str">
        <f>IF(OpenLCAdetail!I418="CTUh", "Fill in Manually", INDEX(LookUps!$E$5:$E$12, MATCH(OpenLCAdetail!I418,LookUps!$D$5:$D$12,0)))</f>
        <v>Eutrophication Potential (EP) - kg N eq</v>
      </c>
      <c r="O418" s="119"/>
      <c r="P418" s="119"/>
    </row>
    <row r="419" spans="2:16" x14ac:dyDescent="0.25">
      <c r="B419" s="4" t="s">
        <v>46</v>
      </c>
      <c r="C419" s="4" t="str">
        <f t="shared" si="16"/>
        <v>Unit Process Emissions</v>
      </c>
      <c r="E419" s="27">
        <v>1.6199999999999999E-2</v>
      </c>
      <c r="F419" s="27"/>
      <c r="G419" s="4" t="s">
        <v>147</v>
      </c>
      <c r="H419" s="327">
        <v>2.5000000000000001E-4</v>
      </c>
      <c r="I419" s="4" t="s">
        <v>13</v>
      </c>
      <c r="J419" s="28">
        <f>H419-SUM(H420:H424)</f>
        <v>3.4845365099999965E-6</v>
      </c>
      <c r="K419" s="4" t="str">
        <f>IF(OpenLCAdetail!I419="CTUh", "Fill in Manually", INDEX(LookUps!$E$5:$E$12, MATCH(OpenLCAdetail!I419,LookUps!$D$5:$D$12,0)))</f>
        <v>Eutrophication Potential (EP) - kg N eq</v>
      </c>
      <c r="O419" s="119"/>
      <c r="P419" s="119"/>
    </row>
    <row r="420" spans="2:16" x14ac:dyDescent="0.25">
      <c r="B420" s="4" t="s">
        <v>46</v>
      </c>
      <c r="C420" s="4" t="s">
        <v>163</v>
      </c>
      <c r="F420" s="27">
        <v>1.2500000000000001E-2</v>
      </c>
      <c r="G420" s="4" t="s">
        <v>183</v>
      </c>
      <c r="H420" s="327">
        <v>1.9000000000000001E-4</v>
      </c>
      <c r="I420" s="4" t="s">
        <v>13</v>
      </c>
      <c r="J420" s="28">
        <f t="shared" si="14"/>
        <v>1.9000000000000001E-4</v>
      </c>
      <c r="K420" s="4" t="str">
        <f>IF(OpenLCAdetail!I420="CTUh", "Fill in Manually", INDEX(LookUps!$E$5:$E$12, MATCH(OpenLCAdetail!I420,LookUps!$D$5:$D$12,0)))</f>
        <v>Eutrophication Potential (EP) - kg N eq</v>
      </c>
      <c r="O420" s="119"/>
      <c r="P420" s="119"/>
    </row>
    <row r="421" spans="2:16" x14ac:dyDescent="0.25">
      <c r="B421" s="4" t="s">
        <v>46</v>
      </c>
      <c r="C421" s="4" t="str">
        <f t="shared" si="16"/>
        <v>Electricity</v>
      </c>
      <c r="F421" s="27">
        <v>3.5999999999999999E-3</v>
      </c>
      <c r="G421" s="4" t="s">
        <v>71</v>
      </c>
      <c r="H421" s="327">
        <v>5.5675499999999999E-5</v>
      </c>
      <c r="I421" s="4" t="s">
        <v>13</v>
      </c>
      <c r="J421" s="28">
        <f t="shared" si="14"/>
        <v>5.5675499999999999E-5</v>
      </c>
      <c r="K421" s="4" t="str">
        <f>IF(OpenLCAdetail!I421="CTUh", "Fill in Manually", INDEX(LookUps!$E$5:$E$12, MATCH(OpenLCAdetail!I421,LookUps!$D$5:$D$12,0)))</f>
        <v>Eutrophication Potential (EP) - kg N eq</v>
      </c>
      <c r="O421" s="119"/>
      <c r="P421" s="119"/>
    </row>
    <row r="422" spans="2:16" x14ac:dyDescent="0.25">
      <c r="B422" s="4" t="s">
        <v>46</v>
      </c>
      <c r="C422" s="4" t="str">
        <f t="shared" si="16"/>
        <v>Infrastructure</v>
      </c>
      <c r="F422" s="27">
        <v>0</v>
      </c>
      <c r="G422" s="4" t="s">
        <v>73</v>
      </c>
      <c r="H422" s="327">
        <v>5.0355800000000004E-7</v>
      </c>
      <c r="I422" s="4" t="s">
        <v>13</v>
      </c>
      <c r="J422" s="28">
        <f t="shared" si="14"/>
        <v>5.0355800000000004E-7</v>
      </c>
      <c r="K422" s="4" t="str">
        <f>IF(OpenLCAdetail!I422="CTUh", "Fill in Manually", INDEX(LookUps!$E$5:$E$12, MATCH(OpenLCAdetail!I422,LookUps!$D$5:$D$12,0)))</f>
        <v>Eutrophication Potential (EP) - kg N eq</v>
      </c>
      <c r="O422" s="119"/>
      <c r="P422" s="119"/>
    </row>
    <row r="423" spans="2:16" x14ac:dyDescent="0.25">
      <c r="B423" s="4" t="s">
        <v>46</v>
      </c>
      <c r="C423" s="4" t="str">
        <f t="shared" si="16"/>
        <v>Infrastructure</v>
      </c>
      <c r="F423" s="27">
        <v>0</v>
      </c>
      <c r="G423" s="4" t="s">
        <v>171</v>
      </c>
      <c r="H423" s="327">
        <v>3.3331299999999999E-7</v>
      </c>
      <c r="I423" s="4" t="s">
        <v>13</v>
      </c>
      <c r="J423" s="28">
        <f t="shared" si="14"/>
        <v>3.3331299999999999E-7</v>
      </c>
      <c r="K423" s="4" t="str">
        <f>IF(OpenLCAdetail!I423="CTUh", "Fill in Manually", INDEX(LookUps!$E$5:$E$12, MATCH(OpenLCAdetail!I423,LookUps!$D$5:$D$12,0)))</f>
        <v>Eutrophication Potential (EP) - kg N eq</v>
      </c>
      <c r="O423" s="119"/>
      <c r="P423" s="119"/>
    </row>
    <row r="424" spans="2:16" x14ac:dyDescent="0.25">
      <c r="B424" s="4" t="s">
        <v>46</v>
      </c>
      <c r="C424" s="4" t="str">
        <f t="shared" si="16"/>
        <v>Infrastructure</v>
      </c>
      <c r="F424" s="27">
        <v>0</v>
      </c>
      <c r="G424" s="4" t="s">
        <v>74</v>
      </c>
      <c r="H424" s="327">
        <v>3.0924899999999999E-9</v>
      </c>
      <c r="I424" s="4" t="s">
        <v>13</v>
      </c>
      <c r="J424" s="28">
        <f t="shared" si="14"/>
        <v>3.0924899999999999E-9</v>
      </c>
      <c r="K424" s="4" t="str">
        <f>IF(OpenLCAdetail!I424="CTUh", "Fill in Manually", INDEX(LookUps!$E$5:$E$12, MATCH(OpenLCAdetail!I424,LookUps!$D$5:$D$12,0)))</f>
        <v>Eutrophication Potential (EP) - kg N eq</v>
      </c>
      <c r="O424" s="119"/>
      <c r="P424" s="119"/>
    </row>
    <row r="425" spans="2:16" x14ac:dyDescent="0.25">
      <c r="B425" s="4" t="s">
        <v>46</v>
      </c>
      <c r="C425" s="4" t="str">
        <f t="shared" si="16"/>
        <v>Unit Process Emissions</v>
      </c>
      <c r="E425" s="27">
        <v>1.2800000000000001E-2</v>
      </c>
      <c r="F425" s="27"/>
      <c r="G425" s="4" t="s">
        <v>54</v>
      </c>
      <c r="H425" s="327">
        <v>2.0000000000000001E-4</v>
      </c>
      <c r="I425" s="4" t="s">
        <v>13</v>
      </c>
      <c r="J425" s="28">
        <f>H425-SUM(H426:H431)</f>
        <v>1.7888188600000338E-6</v>
      </c>
      <c r="K425" s="4" t="str">
        <f>IF(OpenLCAdetail!I425="CTUh", "Fill in Manually", INDEX(LookUps!$E$5:$E$12, MATCH(OpenLCAdetail!I425,LookUps!$D$5:$D$12,0)))</f>
        <v>Eutrophication Potential (EP) - kg N eq</v>
      </c>
      <c r="O425" s="119"/>
      <c r="P425" s="119"/>
    </row>
    <row r="426" spans="2:16" x14ac:dyDescent="0.25">
      <c r="B426" s="4" t="s">
        <v>46</v>
      </c>
      <c r="C426" s="4" t="str">
        <f t="shared" si="16"/>
        <v>Electricity</v>
      </c>
      <c r="E426" s="27"/>
      <c r="F426" s="27">
        <v>9.7000000000000003E-3</v>
      </c>
      <c r="G426" s="4" t="s">
        <v>71</v>
      </c>
      <c r="H426" s="327">
        <v>1.4999999999999999E-4</v>
      </c>
      <c r="I426" s="4" t="s">
        <v>13</v>
      </c>
      <c r="J426" s="28">
        <f t="shared" si="14"/>
        <v>1.4999999999999999E-4</v>
      </c>
      <c r="K426" s="4" t="str">
        <f>IF(OpenLCAdetail!I426="CTUh", "Fill in Manually", INDEX(LookUps!$E$5:$E$12, MATCH(OpenLCAdetail!I426,LookUps!$D$5:$D$12,0)))</f>
        <v>Eutrophication Potential (EP) - kg N eq</v>
      </c>
      <c r="O426" s="119"/>
      <c r="P426" s="119"/>
    </row>
    <row r="427" spans="2:16" x14ac:dyDescent="0.25">
      <c r="B427" s="4" t="s">
        <v>46</v>
      </c>
      <c r="C427" s="4" t="str">
        <f t="shared" si="16"/>
        <v>Infrastructure</v>
      </c>
      <c r="F427" s="27">
        <v>1.6000000000000001E-3</v>
      </c>
      <c r="G427" s="4" t="s">
        <v>73</v>
      </c>
      <c r="H427" s="327">
        <v>2.3932799999999999E-5</v>
      </c>
      <c r="I427" s="4" t="s">
        <v>13</v>
      </c>
      <c r="J427" s="28">
        <f t="shared" si="14"/>
        <v>2.3932799999999999E-5</v>
      </c>
      <c r="K427" s="4" t="str">
        <f>IF(OpenLCAdetail!I427="CTUh", "Fill in Manually", INDEX(LookUps!$E$5:$E$12, MATCH(OpenLCAdetail!I427,LookUps!$D$5:$D$12,0)))</f>
        <v>Eutrophication Potential (EP) - kg N eq</v>
      </c>
      <c r="O427" s="119"/>
      <c r="P427" s="119"/>
    </row>
    <row r="428" spans="2:16" x14ac:dyDescent="0.25">
      <c r="B428" s="4" t="s">
        <v>46</v>
      </c>
      <c r="C428" s="4" t="str">
        <f t="shared" si="16"/>
        <v>Infrastructure</v>
      </c>
      <c r="F428" s="27">
        <v>1.5E-3</v>
      </c>
      <c r="G428" s="4" t="s">
        <v>72</v>
      </c>
      <c r="H428" s="327">
        <v>2.31237E-5</v>
      </c>
      <c r="I428" s="4" t="s">
        <v>13</v>
      </c>
      <c r="J428" s="28">
        <f t="shared" si="14"/>
        <v>2.31237E-5</v>
      </c>
      <c r="K428" s="4" t="str">
        <f>IF(OpenLCAdetail!I428="CTUh", "Fill in Manually", INDEX(LookUps!$E$5:$E$12, MATCH(OpenLCAdetail!I428,LookUps!$D$5:$D$12,0)))</f>
        <v>Eutrophication Potential (EP) - kg N eq</v>
      </c>
      <c r="O428" s="119"/>
      <c r="P428" s="119"/>
    </row>
    <row r="429" spans="2:16" x14ac:dyDescent="0.25">
      <c r="B429" s="4" t="s">
        <v>46</v>
      </c>
      <c r="C429" s="4" t="str">
        <f t="shared" si="16"/>
        <v>Infrastructure</v>
      </c>
      <c r="F429" s="27">
        <v>1E-4</v>
      </c>
      <c r="G429" s="4" t="s">
        <v>74</v>
      </c>
      <c r="H429" s="327">
        <v>1.03598E-6</v>
      </c>
      <c r="I429" s="4" t="s">
        <v>13</v>
      </c>
      <c r="J429" s="28">
        <f t="shared" si="14"/>
        <v>1.03598E-6</v>
      </c>
      <c r="K429" s="4" t="str">
        <f>IF(OpenLCAdetail!I429="CTUh", "Fill in Manually", INDEX(LookUps!$E$5:$E$12, MATCH(OpenLCAdetail!I429,LookUps!$D$5:$D$12,0)))</f>
        <v>Eutrophication Potential (EP) - kg N eq</v>
      </c>
      <c r="O429" s="119"/>
      <c r="P429" s="119"/>
    </row>
    <row r="430" spans="2:16" x14ac:dyDescent="0.25">
      <c r="B430" s="4" t="s">
        <v>46</v>
      </c>
      <c r="C430" s="4" t="str">
        <f t="shared" si="16"/>
        <v>Infrastructure</v>
      </c>
      <c r="F430" s="27">
        <v>0</v>
      </c>
      <c r="G430" s="4" t="s">
        <v>75</v>
      </c>
      <c r="H430" s="327">
        <v>1.09401E-7</v>
      </c>
      <c r="I430" s="4" t="s">
        <v>13</v>
      </c>
      <c r="J430" s="28">
        <f t="shared" si="14"/>
        <v>1.09401E-7</v>
      </c>
      <c r="K430" s="4" t="str">
        <f>IF(OpenLCAdetail!I430="CTUh", "Fill in Manually", INDEX(LookUps!$E$5:$E$12, MATCH(OpenLCAdetail!I430,LookUps!$D$5:$D$12,0)))</f>
        <v>Eutrophication Potential (EP) - kg N eq</v>
      </c>
      <c r="O430" s="119"/>
      <c r="P430" s="119"/>
    </row>
    <row r="431" spans="2:16" x14ac:dyDescent="0.25">
      <c r="B431" s="4" t="s">
        <v>46</v>
      </c>
      <c r="C431" s="4" t="str">
        <f t="shared" si="16"/>
        <v>Infrastructure</v>
      </c>
      <c r="F431" s="27">
        <v>0</v>
      </c>
      <c r="G431" s="4" t="s">
        <v>76</v>
      </c>
      <c r="H431" s="327">
        <v>9.3001400000000005E-9</v>
      </c>
      <c r="I431" s="4" t="s">
        <v>13</v>
      </c>
      <c r="J431" s="28">
        <f t="shared" si="14"/>
        <v>9.3001400000000005E-9</v>
      </c>
      <c r="K431" s="4" t="str">
        <f>IF(OpenLCAdetail!I431="CTUh", "Fill in Manually", INDEX(LookUps!$E$5:$E$12, MATCH(OpenLCAdetail!I431,LookUps!$D$5:$D$12,0)))</f>
        <v>Eutrophication Potential (EP) - kg N eq</v>
      </c>
      <c r="O431" s="119"/>
      <c r="P431" s="119"/>
    </row>
    <row r="432" spans="2:16" x14ac:dyDescent="0.25">
      <c r="B432" s="4" t="s">
        <v>46</v>
      </c>
      <c r="C432" s="4" t="str">
        <f t="shared" si="16"/>
        <v>Unit Process Emissions</v>
      </c>
      <c r="E432" s="27">
        <v>1.06E-2</v>
      </c>
      <c r="F432" s="27"/>
      <c r="G432" s="4" t="s">
        <v>167</v>
      </c>
      <c r="H432" s="327">
        <v>1.6000000000000001E-4</v>
      </c>
      <c r="I432" s="4" t="s">
        <v>13</v>
      </c>
      <c r="J432" s="28">
        <f>H432-SUM(H433:H441)</f>
        <v>-6.469421778999932E-6</v>
      </c>
      <c r="K432" s="4" t="str">
        <f>IF(OpenLCAdetail!I432="CTUh", "Fill in Manually", INDEX(LookUps!$E$5:$E$12, MATCH(OpenLCAdetail!I432,LookUps!$D$5:$D$12,0)))</f>
        <v>Eutrophication Potential (EP) - kg N eq</v>
      </c>
      <c r="O432" s="119"/>
      <c r="P432" s="119"/>
    </row>
    <row r="433" spans="2:16" x14ac:dyDescent="0.25">
      <c r="B433" s="4" t="s">
        <v>46</v>
      </c>
      <c r="C433" s="4" t="str">
        <f t="shared" si="16"/>
        <v>Transport</v>
      </c>
      <c r="F433" s="27">
        <v>7.0000000000000001E-3</v>
      </c>
      <c r="G433" s="4" t="s">
        <v>170</v>
      </c>
      <c r="H433" s="327">
        <v>1.1E-4</v>
      </c>
      <c r="I433" s="4" t="s">
        <v>13</v>
      </c>
      <c r="J433" s="28">
        <f t="shared" si="14"/>
        <v>1.1E-4</v>
      </c>
      <c r="K433" s="4" t="str">
        <f>IF(OpenLCAdetail!I433="CTUh", "Fill in Manually", INDEX(LookUps!$E$5:$E$12, MATCH(OpenLCAdetail!I433,LookUps!$D$5:$D$12,0)))</f>
        <v>Eutrophication Potential (EP) - kg N eq</v>
      </c>
      <c r="O433" s="119"/>
      <c r="P433" s="119"/>
    </row>
    <row r="434" spans="2:16" x14ac:dyDescent="0.25">
      <c r="B434" s="4" t="s">
        <v>46</v>
      </c>
      <c r="C434" s="4" t="str">
        <f t="shared" si="16"/>
        <v>Electricity</v>
      </c>
      <c r="E434" s="27"/>
      <c r="F434" s="27">
        <v>3.3999999999999998E-3</v>
      </c>
      <c r="G434" s="4" t="s">
        <v>71</v>
      </c>
      <c r="H434" s="327">
        <v>5.29192E-5</v>
      </c>
      <c r="I434" s="4" t="s">
        <v>13</v>
      </c>
      <c r="J434" s="28">
        <f t="shared" si="14"/>
        <v>5.29192E-5</v>
      </c>
      <c r="K434" s="4" t="str">
        <f>IF(OpenLCAdetail!I434="CTUh", "Fill in Manually", INDEX(LookUps!$E$5:$E$12, MATCH(OpenLCAdetail!I434,LookUps!$D$5:$D$12,0)))</f>
        <v>Eutrophication Potential (EP) - kg N eq</v>
      </c>
      <c r="O434" s="119"/>
      <c r="P434" s="119"/>
    </row>
    <row r="435" spans="2:16" x14ac:dyDescent="0.25">
      <c r="B435" s="4" t="s">
        <v>46</v>
      </c>
      <c r="C435" s="4" t="str">
        <f t="shared" si="16"/>
        <v>Infrastructure</v>
      </c>
      <c r="F435" s="27">
        <v>1E-4</v>
      </c>
      <c r="G435" s="4" t="s">
        <v>73</v>
      </c>
      <c r="H435" s="327">
        <v>1.74217E-6</v>
      </c>
      <c r="I435" s="4" t="s">
        <v>13</v>
      </c>
      <c r="J435" s="28">
        <f t="shared" si="14"/>
        <v>1.74217E-6</v>
      </c>
      <c r="K435" s="4" t="str">
        <f>IF(OpenLCAdetail!I435="CTUh", "Fill in Manually", INDEX(LookUps!$E$5:$E$12, MATCH(OpenLCAdetail!I435,LookUps!$D$5:$D$12,0)))</f>
        <v>Eutrophication Potential (EP) - kg N eq</v>
      </c>
      <c r="O435" s="119"/>
      <c r="P435" s="119"/>
    </row>
    <row r="436" spans="2:16" x14ac:dyDescent="0.25">
      <c r="B436" s="4" t="s">
        <v>46</v>
      </c>
      <c r="C436" s="4" t="str">
        <f t="shared" si="16"/>
        <v>Infrastructure</v>
      </c>
      <c r="E436" s="27"/>
      <c r="F436" s="27">
        <v>1E-4</v>
      </c>
      <c r="G436" s="4" t="s">
        <v>171</v>
      </c>
      <c r="H436" s="327">
        <v>1.15317E-6</v>
      </c>
      <c r="I436" s="4" t="s">
        <v>13</v>
      </c>
      <c r="J436" s="28">
        <f t="shared" si="14"/>
        <v>1.15317E-6</v>
      </c>
      <c r="K436" s="4" t="str">
        <f>IF(OpenLCAdetail!I436="CTUh", "Fill in Manually", INDEX(LookUps!$E$5:$E$12, MATCH(OpenLCAdetail!I436,LookUps!$D$5:$D$12,0)))</f>
        <v>Eutrophication Potential (EP) - kg N eq</v>
      </c>
      <c r="O436" s="119"/>
      <c r="P436" s="119"/>
    </row>
    <row r="437" spans="2:16" x14ac:dyDescent="0.25">
      <c r="B437" s="4" t="s">
        <v>46</v>
      </c>
      <c r="C437" s="4" t="str">
        <f t="shared" si="16"/>
        <v>Infrastructure</v>
      </c>
      <c r="F437" s="27">
        <v>0</v>
      </c>
      <c r="G437" s="4" t="s">
        <v>74</v>
      </c>
      <c r="H437" s="327">
        <v>4.5227699999999999E-7</v>
      </c>
      <c r="I437" s="4" t="s">
        <v>13</v>
      </c>
      <c r="J437" s="28">
        <f t="shared" si="14"/>
        <v>4.5227699999999999E-7</v>
      </c>
      <c r="K437" s="4" t="str">
        <f>IF(OpenLCAdetail!I437="CTUh", "Fill in Manually", INDEX(LookUps!$E$5:$E$12, MATCH(OpenLCAdetail!I437,LookUps!$D$5:$D$12,0)))</f>
        <v>Eutrophication Potential (EP) - kg N eq</v>
      </c>
      <c r="O437" s="119"/>
      <c r="P437" s="119"/>
    </row>
    <row r="438" spans="2:16" x14ac:dyDescent="0.25">
      <c r="B438" s="4" t="s">
        <v>46</v>
      </c>
      <c r="C438" s="4" t="str">
        <f t="shared" si="16"/>
        <v>Infrastructure</v>
      </c>
      <c r="F438" s="27">
        <v>0</v>
      </c>
      <c r="G438" s="4" t="s">
        <v>75</v>
      </c>
      <c r="H438" s="327">
        <v>1.96833E-7</v>
      </c>
      <c r="I438" s="4" t="s">
        <v>13</v>
      </c>
      <c r="J438" s="28">
        <f t="shared" si="14"/>
        <v>1.96833E-7</v>
      </c>
      <c r="K438" s="4" t="str">
        <f>IF(OpenLCAdetail!I438="CTUh", "Fill in Manually", INDEX(LookUps!$E$5:$E$12, MATCH(OpenLCAdetail!I438,LookUps!$D$5:$D$12,0)))</f>
        <v>Eutrophication Potential (EP) - kg N eq</v>
      </c>
      <c r="O438" s="119"/>
      <c r="P438" s="119"/>
    </row>
    <row r="439" spans="2:16" x14ac:dyDescent="0.25">
      <c r="B439" s="4" t="s">
        <v>46</v>
      </c>
      <c r="C439" s="4" t="str">
        <f t="shared" si="16"/>
        <v>Infrastructure</v>
      </c>
      <c r="F439" s="27">
        <v>0</v>
      </c>
      <c r="G439" s="4" t="s">
        <v>76</v>
      </c>
      <c r="H439" s="327">
        <v>3.33901E-9</v>
      </c>
      <c r="I439" s="4" t="s">
        <v>13</v>
      </c>
      <c r="J439" s="28">
        <f t="shared" si="14"/>
        <v>3.33901E-9</v>
      </c>
      <c r="K439" s="4" t="str">
        <f>IF(OpenLCAdetail!I439="CTUh", "Fill in Manually", INDEX(LookUps!$E$5:$E$12, MATCH(OpenLCAdetail!I439,LookUps!$D$5:$D$12,0)))</f>
        <v>Eutrophication Potential (EP) - kg N eq</v>
      </c>
      <c r="O439" s="119"/>
      <c r="P439" s="119"/>
    </row>
    <row r="440" spans="2:16" x14ac:dyDescent="0.25">
      <c r="B440" s="4" t="s">
        <v>46</v>
      </c>
      <c r="C440" s="4" t="str">
        <f t="shared" si="16"/>
        <v>Infrastructure</v>
      </c>
      <c r="F440" s="27">
        <v>0</v>
      </c>
      <c r="G440" s="4" t="s">
        <v>169</v>
      </c>
      <c r="H440" s="327">
        <v>1.50166E-9</v>
      </c>
      <c r="I440" s="4" t="s">
        <v>13</v>
      </c>
      <c r="J440" s="28">
        <f t="shared" si="14"/>
        <v>1.50166E-9</v>
      </c>
      <c r="K440" s="4" t="str">
        <f>IF(OpenLCAdetail!I440="CTUh", "Fill in Manually", INDEX(LookUps!$E$5:$E$12, MATCH(OpenLCAdetail!I440,LookUps!$D$5:$D$12,0)))</f>
        <v>Eutrophication Potential (EP) - kg N eq</v>
      </c>
      <c r="O440" s="119"/>
      <c r="P440" s="119"/>
    </row>
    <row r="441" spans="2:16" x14ac:dyDescent="0.25">
      <c r="B441" s="4" t="s">
        <v>46</v>
      </c>
      <c r="C441" s="4" t="str">
        <f t="shared" si="16"/>
        <v>Infrastructure</v>
      </c>
      <c r="F441" s="27">
        <v>0</v>
      </c>
      <c r="G441" s="4" t="s">
        <v>152</v>
      </c>
      <c r="H441" s="327">
        <v>9.3110899999999999E-10</v>
      </c>
      <c r="I441" s="4" t="s">
        <v>13</v>
      </c>
      <c r="J441" s="28">
        <f t="shared" si="14"/>
        <v>9.3110899999999999E-10</v>
      </c>
      <c r="K441" s="4" t="str">
        <f>IF(OpenLCAdetail!I441="CTUh", "Fill in Manually", INDEX(LookUps!$E$5:$E$12, MATCH(OpenLCAdetail!I441,LookUps!$D$5:$D$12,0)))</f>
        <v>Eutrophication Potential (EP) - kg N eq</v>
      </c>
      <c r="O441" s="119"/>
      <c r="P441" s="119"/>
    </row>
    <row r="442" spans="2:16" x14ac:dyDescent="0.25">
      <c r="B442" s="4" t="s">
        <v>46</v>
      </c>
      <c r="C442" s="4" t="str">
        <f t="shared" si="16"/>
        <v>Unit Process Emissions</v>
      </c>
      <c r="E442" s="27">
        <v>8.8000000000000005E-3</v>
      </c>
      <c r="F442" s="27"/>
      <c r="G442" s="4" t="s">
        <v>58</v>
      </c>
      <c r="H442" s="327">
        <v>1.3999999999999999E-4</v>
      </c>
      <c r="I442" s="4" t="s">
        <v>13</v>
      </c>
      <c r="J442" s="28">
        <f>H442-SUM(H443:H450)</f>
        <v>6.1593136810000318E-6</v>
      </c>
      <c r="K442" s="4" t="str">
        <f>IF(OpenLCAdetail!I442="CTUh", "Fill in Manually", INDEX(LookUps!$E$5:$E$12, MATCH(OpenLCAdetail!I442,LookUps!$D$5:$D$12,0)))</f>
        <v>Eutrophication Potential (EP) - kg N eq</v>
      </c>
      <c r="O442" s="119"/>
      <c r="P442" s="119"/>
    </row>
    <row r="443" spans="2:16" x14ac:dyDescent="0.25">
      <c r="B443" s="4" t="s">
        <v>46</v>
      </c>
      <c r="C443" s="4" t="str">
        <f t="shared" si="16"/>
        <v>Electricity</v>
      </c>
      <c r="F443" s="27">
        <v>8.5000000000000006E-3</v>
      </c>
      <c r="G443" s="4" t="s">
        <v>71</v>
      </c>
      <c r="H443" s="327">
        <v>1.2999999999999999E-4</v>
      </c>
      <c r="I443" s="4" t="s">
        <v>13</v>
      </c>
      <c r="J443" s="28">
        <f t="shared" si="14"/>
        <v>1.2999999999999999E-4</v>
      </c>
      <c r="K443" s="4" t="str">
        <f>IF(OpenLCAdetail!I443="CTUh", "Fill in Manually", INDEX(LookUps!$E$5:$E$12, MATCH(OpenLCAdetail!I443,LookUps!$D$5:$D$12,0)))</f>
        <v>Eutrophication Potential (EP) - kg N eq</v>
      </c>
      <c r="O443" s="119"/>
      <c r="P443" s="119"/>
    </row>
    <row r="444" spans="2:16" x14ac:dyDescent="0.25">
      <c r="B444" s="4" t="s">
        <v>46</v>
      </c>
      <c r="C444" s="4" t="str">
        <f t="shared" si="16"/>
        <v>Infrastructure</v>
      </c>
      <c r="F444" s="27">
        <v>1E-4</v>
      </c>
      <c r="G444" s="4" t="s">
        <v>73</v>
      </c>
      <c r="H444" s="327">
        <v>1.64538E-6</v>
      </c>
      <c r="I444" s="4" t="s">
        <v>13</v>
      </c>
      <c r="J444" s="28">
        <f t="shared" si="14"/>
        <v>1.64538E-6</v>
      </c>
      <c r="K444" s="4" t="str">
        <f>IF(OpenLCAdetail!I444="CTUh", "Fill in Manually", INDEX(LookUps!$E$5:$E$12, MATCH(OpenLCAdetail!I444,LookUps!$D$5:$D$12,0)))</f>
        <v>Eutrophication Potential (EP) - kg N eq</v>
      </c>
      <c r="O444" s="119"/>
      <c r="P444" s="119"/>
    </row>
    <row r="445" spans="2:16" x14ac:dyDescent="0.25">
      <c r="B445" s="4" t="s">
        <v>46</v>
      </c>
      <c r="C445" s="4" t="str">
        <f t="shared" si="16"/>
        <v>Infrastructure</v>
      </c>
      <c r="E445" s="27"/>
      <c r="F445" s="27">
        <v>1E-4</v>
      </c>
      <c r="G445" s="4" t="s">
        <v>72</v>
      </c>
      <c r="H445" s="327">
        <v>1.5897499999999999E-6</v>
      </c>
      <c r="I445" s="4" t="s">
        <v>13</v>
      </c>
      <c r="J445" s="28">
        <f t="shared" si="14"/>
        <v>1.5897499999999999E-6</v>
      </c>
      <c r="K445" s="4" t="str">
        <f>IF(OpenLCAdetail!I445="CTUh", "Fill in Manually", INDEX(LookUps!$E$5:$E$12, MATCH(OpenLCAdetail!I445,LookUps!$D$5:$D$12,0)))</f>
        <v>Eutrophication Potential (EP) - kg N eq</v>
      </c>
      <c r="O445" s="119"/>
      <c r="P445" s="119"/>
    </row>
    <row r="446" spans="2:16" x14ac:dyDescent="0.25">
      <c r="B446" s="4" t="s">
        <v>46</v>
      </c>
      <c r="C446" s="4" t="str">
        <f t="shared" si="16"/>
        <v>Infrastructure</v>
      </c>
      <c r="F446" s="27">
        <v>0</v>
      </c>
      <c r="G446" s="4" t="s">
        <v>74</v>
      </c>
      <c r="H446" s="327">
        <v>4.1599899999999999E-7</v>
      </c>
      <c r="I446" s="4" t="s">
        <v>13</v>
      </c>
      <c r="J446" s="28">
        <f t="shared" si="14"/>
        <v>4.1599899999999999E-7</v>
      </c>
      <c r="K446" s="4" t="str">
        <f>IF(OpenLCAdetail!I446="CTUh", "Fill in Manually", INDEX(LookUps!$E$5:$E$12, MATCH(OpenLCAdetail!I446,LookUps!$D$5:$D$12,0)))</f>
        <v>Eutrophication Potential (EP) - kg N eq</v>
      </c>
      <c r="O446" s="119"/>
      <c r="P446" s="119"/>
    </row>
    <row r="447" spans="2:16" x14ac:dyDescent="0.25">
      <c r="B447" s="4" t="s">
        <v>46</v>
      </c>
      <c r="C447" s="4" t="str">
        <f t="shared" si="16"/>
        <v>Infrastructure</v>
      </c>
      <c r="E447" s="27"/>
      <c r="F447" s="27">
        <v>0</v>
      </c>
      <c r="G447" s="4" t="s">
        <v>75</v>
      </c>
      <c r="H447" s="327">
        <v>1.8399900000000001E-7</v>
      </c>
      <c r="I447" s="4" t="s">
        <v>13</v>
      </c>
      <c r="J447" s="28">
        <f t="shared" ref="J447:J492" si="17">IF(F447="", "FILL MANUALLY", H447)</f>
        <v>1.8399900000000001E-7</v>
      </c>
      <c r="K447" s="4" t="str">
        <f>IF(OpenLCAdetail!I447="CTUh", "Fill in Manually", INDEX(LookUps!$E$5:$E$12, MATCH(OpenLCAdetail!I447,LookUps!$D$5:$D$12,0)))</f>
        <v>Eutrophication Potential (EP) - kg N eq</v>
      </c>
      <c r="O447" s="119"/>
      <c r="P447" s="119"/>
    </row>
    <row r="448" spans="2:16" x14ac:dyDescent="0.25">
      <c r="B448" s="4" t="s">
        <v>46</v>
      </c>
      <c r="C448" s="4" t="str">
        <f t="shared" si="16"/>
        <v>Infrastructure</v>
      </c>
      <c r="F448" s="27">
        <v>0</v>
      </c>
      <c r="G448" s="4" t="s">
        <v>76</v>
      </c>
      <c r="H448" s="327">
        <v>3.1255499999999998E-9</v>
      </c>
      <c r="I448" s="4" t="s">
        <v>13</v>
      </c>
      <c r="J448" s="28">
        <f t="shared" si="17"/>
        <v>3.1255499999999998E-9</v>
      </c>
      <c r="K448" s="4" t="str">
        <f>IF(OpenLCAdetail!I448="CTUh", "Fill in Manually", INDEX(LookUps!$E$5:$E$12, MATCH(OpenLCAdetail!I448,LookUps!$D$5:$D$12,0)))</f>
        <v>Eutrophication Potential (EP) - kg N eq</v>
      </c>
      <c r="O448" s="119"/>
      <c r="P448" s="119"/>
    </row>
    <row r="449" spans="2:16" x14ac:dyDescent="0.25">
      <c r="B449" s="4" t="s">
        <v>46</v>
      </c>
      <c r="C449" s="4" t="str">
        <f t="shared" si="16"/>
        <v>Infrastructure</v>
      </c>
      <c r="F449" s="27">
        <v>0</v>
      </c>
      <c r="G449" s="4" t="s">
        <v>169</v>
      </c>
      <c r="H449" s="327">
        <v>1.50166E-9</v>
      </c>
      <c r="I449" s="4" t="s">
        <v>13</v>
      </c>
      <c r="J449" s="28">
        <f t="shared" si="17"/>
        <v>1.50166E-9</v>
      </c>
      <c r="K449" s="4" t="str">
        <f>IF(OpenLCAdetail!I449="CTUh", "Fill in Manually", INDEX(LookUps!$E$5:$E$12, MATCH(OpenLCAdetail!I449,LookUps!$D$5:$D$12,0)))</f>
        <v>Eutrophication Potential (EP) - kg N eq</v>
      </c>
      <c r="O449" s="119"/>
      <c r="P449" s="119"/>
    </row>
    <row r="450" spans="2:16" x14ac:dyDescent="0.25">
      <c r="B450" s="4" t="s">
        <v>46</v>
      </c>
      <c r="C450" s="4" t="str">
        <f t="shared" si="16"/>
        <v>Infrastructure</v>
      </c>
      <c r="F450" s="27">
        <v>0</v>
      </c>
      <c r="G450" s="4" t="s">
        <v>152</v>
      </c>
      <c r="H450" s="327">
        <v>9.3110899999999999E-10</v>
      </c>
      <c r="I450" s="4" t="s">
        <v>13</v>
      </c>
      <c r="J450" s="28">
        <f t="shared" si="17"/>
        <v>9.3110899999999999E-10</v>
      </c>
      <c r="K450" s="4" t="str">
        <f>IF(OpenLCAdetail!I450="CTUh", "Fill in Manually", INDEX(LookUps!$E$5:$E$12, MATCH(OpenLCAdetail!I450,LookUps!$D$5:$D$12,0)))</f>
        <v>Eutrophication Potential (EP) - kg N eq</v>
      </c>
      <c r="O450" s="119"/>
      <c r="P450" s="119"/>
    </row>
    <row r="451" spans="2:16" x14ac:dyDescent="0.25">
      <c r="B451" s="4" t="s">
        <v>46</v>
      </c>
      <c r="C451" s="4" t="str">
        <f t="shared" si="16"/>
        <v>Unit Process Emissions</v>
      </c>
      <c r="E451" s="27">
        <v>7.0000000000000001E-3</v>
      </c>
      <c r="F451" s="27"/>
      <c r="G451" s="4" t="s">
        <v>53</v>
      </c>
      <c r="H451" s="327">
        <v>1.1E-4</v>
      </c>
      <c r="I451" s="4" t="s">
        <v>13</v>
      </c>
      <c r="J451" s="28">
        <f>H451-SUM(H452:H458)</f>
        <v>7.0448531581999936E-6</v>
      </c>
      <c r="K451" s="4" t="str">
        <f>IF(OpenLCAdetail!I451="CTUh", "Fill in Manually", INDEX(LookUps!$E$5:$E$12, MATCH(OpenLCAdetail!I451,LookUps!$D$5:$D$12,0)))</f>
        <v>Eutrophication Potential (EP) - kg N eq</v>
      </c>
      <c r="O451" s="119"/>
      <c r="P451" s="119"/>
    </row>
    <row r="452" spans="2:16" x14ac:dyDescent="0.25">
      <c r="B452" s="4" t="s">
        <v>46</v>
      </c>
      <c r="C452" s="4" t="str">
        <f t="shared" si="16"/>
        <v>Electricity</v>
      </c>
      <c r="F452" s="27">
        <v>6.7999999999999996E-3</v>
      </c>
      <c r="G452" s="4" t="s">
        <v>71</v>
      </c>
      <c r="H452" s="327">
        <v>1E-4</v>
      </c>
      <c r="I452" s="4" t="s">
        <v>13</v>
      </c>
      <c r="J452" s="28">
        <f t="shared" si="17"/>
        <v>1E-4</v>
      </c>
      <c r="K452" s="4" t="str">
        <f>IF(OpenLCAdetail!I452="CTUh", "Fill in Manually", INDEX(LookUps!$E$5:$E$12, MATCH(OpenLCAdetail!I452,LookUps!$D$5:$D$12,0)))</f>
        <v>Eutrophication Potential (EP) - kg N eq</v>
      </c>
      <c r="O452" s="119"/>
      <c r="P452" s="119"/>
    </row>
    <row r="453" spans="2:16" x14ac:dyDescent="0.25">
      <c r="B453" s="4" t="s">
        <v>46</v>
      </c>
      <c r="C453" s="4" t="str">
        <f t="shared" si="16"/>
        <v>chemicals</v>
      </c>
      <c r="E453" s="27"/>
      <c r="F453" s="27">
        <v>2.0000000000000001E-4</v>
      </c>
      <c r="G453" s="4" t="s">
        <v>154</v>
      </c>
      <c r="H453" s="327">
        <v>2.83893E-6</v>
      </c>
      <c r="I453" s="4" t="s">
        <v>13</v>
      </c>
      <c r="J453" s="28">
        <f t="shared" si="17"/>
        <v>2.83893E-6</v>
      </c>
      <c r="K453" s="4" t="str">
        <f>IF(OpenLCAdetail!I453="CTUh", "Fill in Manually", INDEX(LookUps!$E$5:$E$12, MATCH(OpenLCAdetail!I453,LookUps!$D$5:$D$12,0)))</f>
        <v>Eutrophication Potential (EP) - kg N eq</v>
      </c>
      <c r="O453" s="119"/>
      <c r="P453" s="119"/>
    </row>
    <row r="454" spans="2:16" x14ac:dyDescent="0.25">
      <c r="B454" s="4" t="s">
        <v>46</v>
      </c>
      <c r="C454" s="4" t="str">
        <f t="shared" si="16"/>
        <v>Infrastructure</v>
      </c>
      <c r="F454" s="27">
        <v>0</v>
      </c>
      <c r="G454" s="4" t="s">
        <v>73</v>
      </c>
      <c r="H454" s="327">
        <v>5.17372E-8</v>
      </c>
      <c r="I454" s="4" t="s">
        <v>13</v>
      </c>
      <c r="J454" s="28">
        <f t="shared" si="17"/>
        <v>5.17372E-8</v>
      </c>
      <c r="K454" s="4" t="str">
        <f>IF(OpenLCAdetail!I454="CTUh", "Fill in Manually", INDEX(LookUps!$E$5:$E$12, MATCH(OpenLCAdetail!I454,LookUps!$D$5:$D$12,0)))</f>
        <v>Eutrophication Potential (EP) - kg N eq</v>
      </c>
      <c r="O454" s="119"/>
      <c r="P454" s="119"/>
    </row>
    <row r="455" spans="2:16" x14ac:dyDescent="0.25">
      <c r="B455" s="4" t="s">
        <v>46</v>
      </c>
      <c r="C455" s="4" t="str">
        <f t="shared" si="16"/>
        <v>Infrastructure</v>
      </c>
      <c r="F455" s="27">
        <v>0</v>
      </c>
      <c r="G455" s="4" t="s">
        <v>72</v>
      </c>
      <c r="H455" s="327">
        <v>4.9987899999999999E-8</v>
      </c>
      <c r="I455" s="4" t="s">
        <v>13</v>
      </c>
      <c r="J455" s="28">
        <f t="shared" si="17"/>
        <v>4.9987899999999999E-8</v>
      </c>
      <c r="K455" s="4" t="str">
        <f>IF(OpenLCAdetail!I455="CTUh", "Fill in Manually", INDEX(LookUps!$E$5:$E$12, MATCH(OpenLCAdetail!I455,LookUps!$D$5:$D$12,0)))</f>
        <v>Eutrophication Potential (EP) - kg N eq</v>
      </c>
      <c r="O455" s="119"/>
      <c r="P455" s="119"/>
    </row>
    <row r="456" spans="2:16" x14ac:dyDescent="0.25">
      <c r="B456" s="4" t="s">
        <v>46</v>
      </c>
      <c r="C456" s="4" t="str">
        <f t="shared" si="16"/>
        <v>Infrastructure</v>
      </c>
      <c r="F456" s="27">
        <v>0</v>
      </c>
      <c r="G456" s="4" t="s">
        <v>74</v>
      </c>
      <c r="H456" s="327">
        <v>1.14422E-8</v>
      </c>
      <c r="I456" s="4" t="s">
        <v>13</v>
      </c>
      <c r="J456" s="28">
        <f t="shared" si="17"/>
        <v>1.14422E-8</v>
      </c>
      <c r="K456" s="4" t="str">
        <f>IF(OpenLCAdetail!I456="CTUh", "Fill in Manually", INDEX(LookUps!$E$5:$E$12, MATCH(OpenLCAdetail!I456,LookUps!$D$5:$D$12,0)))</f>
        <v>Eutrophication Potential (EP) - kg N eq</v>
      </c>
      <c r="O456" s="119"/>
      <c r="P456" s="119"/>
    </row>
    <row r="457" spans="2:16" x14ac:dyDescent="0.25">
      <c r="B457" s="4" t="s">
        <v>46</v>
      </c>
      <c r="C457" s="4" t="str">
        <f t="shared" si="16"/>
        <v>Infrastructure</v>
      </c>
      <c r="F457" s="27">
        <v>0</v>
      </c>
      <c r="G457" s="4" t="s">
        <v>75</v>
      </c>
      <c r="H457" s="327">
        <v>2.98612E-9</v>
      </c>
      <c r="I457" s="4" t="s">
        <v>13</v>
      </c>
      <c r="J457" s="28">
        <f t="shared" si="17"/>
        <v>2.98612E-9</v>
      </c>
      <c r="K457" s="4" t="str">
        <f>IF(OpenLCAdetail!I457="CTUh", "Fill in Manually", INDEX(LookUps!$E$5:$E$12, MATCH(OpenLCAdetail!I457,LookUps!$D$5:$D$12,0)))</f>
        <v>Eutrophication Potential (EP) - kg N eq</v>
      </c>
      <c r="O457" s="119"/>
      <c r="P457" s="119"/>
    </row>
    <row r="458" spans="2:16" x14ac:dyDescent="0.25">
      <c r="B458" s="4" t="s">
        <v>46</v>
      </c>
      <c r="C458" s="4" t="str">
        <f t="shared" si="16"/>
        <v>Infrastructure</v>
      </c>
      <c r="E458" s="27"/>
      <c r="F458" s="27">
        <v>0</v>
      </c>
      <c r="G458" s="4" t="s">
        <v>76</v>
      </c>
      <c r="H458" s="327">
        <v>6.3421800000000004E-11</v>
      </c>
      <c r="I458" s="4" t="s">
        <v>13</v>
      </c>
      <c r="J458" s="28">
        <f t="shared" si="17"/>
        <v>6.3421800000000004E-11</v>
      </c>
      <c r="K458" s="4" t="str">
        <f>IF(OpenLCAdetail!I458="CTUh", "Fill in Manually", INDEX(LookUps!$E$5:$E$12, MATCH(OpenLCAdetail!I458,LookUps!$D$5:$D$12,0)))</f>
        <v>Eutrophication Potential (EP) - kg N eq</v>
      </c>
      <c r="O458" s="119"/>
      <c r="P458" s="119"/>
    </row>
    <row r="459" spans="2:16" x14ac:dyDescent="0.25">
      <c r="B459" s="4" t="s">
        <v>46</v>
      </c>
      <c r="C459" s="4" t="str">
        <f t="shared" si="16"/>
        <v>Unit Process Emissions</v>
      </c>
      <c r="E459" s="27">
        <v>3.8999999999999998E-3</v>
      </c>
      <c r="F459" s="27"/>
      <c r="G459" s="4" t="s">
        <v>57</v>
      </c>
      <c r="H459" s="327">
        <v>6.0590300000000002E-5</v>
      </c>
      <c r="I459" s="4" t="s">
        <v>13</v>
      </c>
      <c r="J459" s="28">
        <f>H459-SUM(H460:H461)</f>
        <v>0</v>
      </c>
      <c r="K459" s="4" t="str">
        <f>IF(OpenLCAdetail!I459="CTUh", "Fill in Manually", INDEX(LookUps!$E$5:$E$12, MATCH(OpenLCAdetail!I459,LookUps!$D$5:$D$12,0)))</f>
        <v>Eutrophication Potential (EP) - kg N eq</v>
      </c>
      <c r="O459" s="119"/>
      <c r="P459" s="119"/>
    </row>
    <row r="460" spans="2:16" x14ac:dyDescent="0.25">
      <c r="B460" s="4" t="s">
        <v>46</v>
      </c>
      <c r="C460" s="4" t="str">
        <f t="shared" si="16"/>
        <v>chemicals</v>
      </c>
      <c r="F460" s="27">
        <v>2.5999999999999999E-3</v>
      </c>
      <c r="G460" s="4" t="s">
        <v>77</v>
      </c>
      <c r="H460" s="327">
        <v>4.0562899999999997E-5</v>
      </c>
      <c r="I460" s="4" t="s">
        <v>13</v>
      </c>
      <c r="J460" s="28">
        <f t="shared" si="17"/>
        <v>4.0562899999999997E-5</v>
      </c>
      <c r="K460" s="4" t="str">
        <f>IF(OpenLCAdetail!I460="CTUh", "Fill in Manually", INDEX(LookUps!$E$5:$E$12, MATCH(OpenLCAdetail!I460,LookUps!$D$5:$D$12,0)))</f>
        <v>Eutrophication Potential (EP) - kg N eq</v>
      </c>
      <c r="O460" s="119"/>
      <c r="P460" s="119"/>
    </row>
    <row r="461" spans="2:16" x14ac:dyDescent="0.25">
      <c r="B461" s="4" t="s">
        <v>46</v>
      </c>
      <c r="C461" s="4" t="str">
        <f t="shared" si="16"/>
        <v>Electricity</v>
      </c>
      <c r="E461" s="27"/>
      <c r="F461" s="27">
        <v>1.2999999999999999E-3</v>
      </c>
      <c r="G461" s="4" t="s">
        <v>71</v>
      </c>
      <c r="H461" s="327">
        <v>2.0027400000000001E-5</v>
      </c>
      <c r="I461" s="4" t="s">
        <v>13</v>
      </c>
      <c r="J461" s="28">
        <f t="shared" si="17"/>
        <v>2.0027400000000001E-5</v>
      </c>
      <c r="K461" s="4" t="str">
        <f>IF(OpenLCAdetail!I461="CTUh", "Fill in Manually", INDEX(LookUps!$E$5:$E$12, MATCH(OpenLCAdetail!I461,LookUps!$D$5:$D$12,0)))</f>
        <v>Eutrophication Potential (EP) - kg N eq</v>
      </c>
      <c r="O461" s="119"/>
      <c r="P461" s="119"/>
    </row>
    <row r="462" spans="2:16" x14ac:dyDescent="0.25">
      <c r="B462" s="4" t="s">
        <v>46</v>
      </c>
      <c r="C462" s="4" t="str">
        <f t="shared" si="16"/>
        <v>Unit Process Emissions</v>
      </c>
      <c r="E462" s="27">
        <v>3.3E-3</v>
      </c>
      <c r="F462" s="27"/>
      <c r="G462" s="4" t="s">
        <v>60</v>
      </c>
      <c r="H462" s="327">
        <v>5.06508E-5</v>
      </c>
      <c r="I462" s="4" t="s">
        <v>13</v>
      </c>
      <c r="J462" s="28">
        <f>H462-SUM(H463:H464)</f>
        <v>0</v>
      </c>
      <c r="K462" s="4" t="str">
        <f>IF(OpenLCAdetail!I462="CTUh", "Fill in Manually", INDEX(LookUps!$E$5:$E$12, MATCH(OpenLCAdetail!I462,LookUps!$D$5:$D$12,0)))</f>
        <v>Eutrophication Potential (EP) - kg N eq</v>
      </c>
      <c r="O462" s="119"/>
      <c r="P462" s="119"/>
    </row>
    <row r="463" spans="2:16" x14ac:dyDescent="0.25">
      <c r="B463" s="4" t="s">
        <v>46</v>
      </c>
      <c r="C463" s="4" t="str">
        <f t="shared" si="16"/>
        <v>chemicals</v>
      </c>
      <c r="F463" s="27">
        <v>1.8E-3</v>
      </c>
      <c r="G463" s="4" t="s">
        <v>77</v>
      </c>
      <c r="H463" s="327">
        <v>2.8129699999999999E-5</v>
      </c>
      <c r="I463" s="4" t="s">
        <v>13</v>
      </c>
      <c r="J463" s="28">
        <f t="shared" si="17"/>
        <v>2.8129699999999999E-5</v>
      </c>
      <c r="K463" s="4" t="str">
        <f>IF(OpenLCAdetail!I463="CTUh", "Fill in Manually", INDEX(LookUps!$E$5:$E$12, MATCH(OpenLCAdetail!I463,LookUps!$D$5:$D$12,0)))</f>
        <v>Eutrophication Potential (EP) - kg N eq</v>
      </c>
      <c r="O463" s="119"/>
      <c r="P463" s="119"/>
    </row>
    <row r="464" spans="2:16" x14ac:dyDescent="0.25">
      <c r="B464" s="4" t="s">
        <v>46</v>
      </c>
      <c r="C464" s="4" t="str">
        <f t="shared" si="16"/>
        <v>Electricity</v>
      </c>
      <c r="E464" s="27"/>
      <c r="F464" s="27">
        <v>1.5E-3</v>
      </c>
      <c r="G464" s="4" t="s">
        <v>71</v>
      </c>
      <c r="H464" s="327">
        <v>2.25211E-5</v>
      </c>
      <c r="I464" s="4" t="s">
        <v>13</v>
      </c>
      <c r="J464" s="28">
        <f t="shared" si="17"/>
        <v>2.25211E-5</v>
      </c>
      <c r="K464" s="4" t="str">
        <f>IF(OpenLCAdetail!I464="CTUh", "Fill in Manually", INDEX(LookUps!$E$5:$E$12, MATCH(OpenLCAdetail!I464,LookUps!$D$5:$D$12,0)))</f>
        <v>Eutrophication Potential (EP) - kg N eq</v>
      </c>
      <c r="O464" s="119"/>
      <c r="P464" s="119"/>
    </row>
    <row r="465" spans="2:16" x14ac:dyDescent="0.25">
      <c r="B465" s="4" t="s">
        <v>46</v>
      </c>
      <c r="C465" s="4" t="str">
        <f t="shared" si="16"/>
        <v>Unit Process Emissions</v>
      </c>
      <c r="E465" s="27">
        <v>2.3999999999999998E-3</v>
      </c>
      <c r="F465" s="27"/>
      <c r="G465" s="4" t="s">
        <v>128</v>
      </c>
      <c r="H465" s="327">
        <v>3.7559799999999999E-5</v>
      </c>
      <c r="I465" s="4" t="s">
        <v>13</v>
      </c>
      <c r="J465" s="28">
        <f>H465-SUM(H466:H467)</f>
        <v>-2.2000000000183765E-11</v>
      </c>
      <c r="K465" s="4" t="str">
        <f>IF(OpenLCAdetail!I465="CTUh", "Fill in Manually", INDEX(LookUps!$E$5:$E$12, MATCH(OpenLCAdetail!I465,LookUps!$D$5:$D$12,0)))</f>
        <v>Eutrophication Potential (EP) - kg N eq</v>
      </c>
      <c r="O465" s="119"/>
      <c r="P465" s="119"/>
    </row>
    <row r="466" spans="2:16" x14ac:dyDescent="0.25">
      <c r="B466" s="4" t="s">
        <v>46</v>
      </c>
      <c r="C466" s="4" t="str">
        <f t="shared" si="16"/>
        <v>Electricity</v>
      </c>
      <c r="F466" s="27">
        <v>2.3999999999999998E-3</v>
      </c>
      <c r="G466" s="4" t="s">
        <v>71</v>
      </c>
      <c r="H466" s="327">
        <v>3.7173099999999998E-5</v>
      </c>
      <c r="I466" s="4" t="s">
        <v>13</v>
      </c>
      <c r="J466" s="28">
        <f t="shared" si="17"/>
        <v>3.7173099999999998E-5</v>
      </c>
      <c r="K466" s="4" t="str">
        <f>IF(OpenLCAdetail!I466="CTUh", "Fill in Manually", INDEX(LookUps!$E$5:$E$12, MATCH(OpenLCAdetail!I466,LookUps!$D$5:$D$12,0)))</f>
        <v>Eutrophication Potential (EP) - kg N eq</v>
      </c>
      <c r="O466" s="119"/>
      <c r="P466" s="119"/>
    </row>
    <row r="467" spans="2:16" x14ac:dyDescent="0.25">
      <c r="B467" s="4" t="s">
        <v>46</v>
      </c>
      <c r="C467" s="4" t="str">
        <f t="shared" si="16"/>
        <v>Infrastructure</v>
      </c>
      <c r="E467" s="27"/>
      <c r="F467" s="27">
        <v>0</v>
      </c>
      <c r="G467" s="4" t="s">
        <v>157</v>
      </c>
      <c r="H467" s="327">
        <v>3.8672200000000001E-7</v>
      </c>
      <c r="I467" s="4" t="s">
        <v>13</v>
      </c>
      <c r="J467" s="28">
        <f t="shared" si="17"/>
        <v>3.8672200000000001E-7</v>
      </c>
      <c r="K467" s="4" t="str">
        <f>IF(OpenLCAdetail!I467="CTUh", "Fill in Manually", INDEX(LookUps!$E$5:$E$12, MATCH(OpenLCAdetail!I467,LookUps!$D$5:$D$12,0)))</f>
        <v>Eutrophication Potential (EP) - kg N eq</v>
      </c>
      <c r="O467" s="119"/>
      <c r="P467" s="119"/>
    </row>
    <row r="468" spans="2:16" x14ac:dyDescent="0.25">
      <c r="B468" s="4" t="s">
        <v>46</v>
      </c>
      <c r="C468" s="4" t="str">
        <f t="shared" si="16"/>
        <v>Unit Process Emissions</v>
      </c>
      <c r="E468" s="27">
        <v>2.3999999999999998E-3</v>
      </c>
      <c r="F468" s="27"/>
      <c r="G468" s="4" t="s">
        <v>148</v>
      </c>
      <c r="H468" s="327">
        <v>3.6874600000000001E-5</v>
      </c>
      <c r="I468" s="4" t="s">
        <v>13</v>
      </c>
      <c r="J468" s="28">
        <f>H468-SUM(H469:H473)</f>
        <v>1.2000000000161838E-10</v>
      </c>
      <c r="K468" s="4" t="str">
        <f>IF(OpenLCAdetail!I468="CTUh", "Fill in Manually", INDEX(LookUps!$E$5:$E$12, MATCH(OpenLCAdetail!I468,LookUps!$D$5:$D$12,0)))</f>
        <v>Eutrophication Potential (EP) - kg N eq</v>
      </c>
      <c r="O468" s="119"/>
      <c r="P468" s="119"/>
    </row>
    <row r="469" spans="2:16" x14ac:dyDescent="0.25">
      <c r="B469" s="4" t="s">
        <v>46</v>
      </c>
      <c r="C469" s="4" t="str">
        <f t="shared" si="16"/>
        <v>Infrastructure</v>
      </c>
      <c r="F469" s="27">
        <v>1.1999999999999999E-3</v>
      </c>
      <c r="G469" s="4" t="s">
        <v>73</v>
      </c>
      <c r="H469" s="327">
        <v>1.7949599999999998E-5</v>
      </c>
      <c r="I469" s="4" t="s">
        <v>13</v>
      </c>
      <c r="J469" s="28">
        <f t="shared" si="17"/>
        <v>1.7949599999999998E-5</v>
      </c>
      <c r="K469" s="4" t="str">
        <f>IF(OpenLCAdetail!I469="CTUh", "Fill in Manually", INDEX(LookUps!$E$5:$E$12, MATCH(OpenLCAdetail!I469,LookUps!$D$5:$D$12,0)))</f>
        <v>Eutrophication Potential (EP) - kg N eq</v>
      </c>
      <c r="O469" s="119"/>
      <c r="P469" s="119"/>
    </row>
    <row r="470" spans="2:16" x14ac:dyDescent="0.25">
      <c r="B470" s="4" t="s">
        <v>46</v>
      </c>
      <c r="C470" s="4" t="str">
        <f t="shared" si="16"/>
        <v>Infrastructure</v>
      </c>
      <c r="F470" s="27">
        <v>1.1000000000000001E-3</v>
      </c>
      <c r="G470" s="4" t="s">
        <v>72</v>
      </c>
      <c r="H470" s="327">
        <v>1.7342699999999999E-5</v>
      </c>
      <c r="I470" s="4" t="s">
        <v>13</v>
      </c>
      <c r="J470" s="28">
        <f t="shared" si="17"/>
        <v>1.7342699999999999E-5</v>
      </c>
      <c r="K470" s="4" t="str">
        <f>IF(OpenLCAdetail!I470="CTUh", "Fill in Manually", INDEX(LookUps!$E$5:$E$12, MATCH(OpenLCAdetail!I470,LookUps!$D$5:$D$12,0)))</f>
        <v>Eutrophication Potential (EP) - kg N eq</v>
      </c>
      <c r="O470" s="119"/>
      <c r="P470" s="119"/>
    </row>
    <row r="471" spans="2:16" x14ac:dyDescent="0.25">
      <c r="B471" s="4" t="s">
        <v>46</v>
      </c>
      <c r="C471" s="4" t="str">
        <f t="shared" si="16"/>
        <v>Infrastructure</v>
      </c>
      <c r="E471" s="27"/>
      <c r="F471" s="27">
        <v>1E-4</v>
      </c>
      <c r="G471" s="4" t="s">
        <v>74</v>
      </c>
      <c r="H471" s="327">
        <v>1.15195E-6</v>
      </c>
      <c r="I471" s="4" t="s">
        <v>13</v>
      </c>
      <c r="J471" s="28">
        <f t="shared" si="17"/>
        <v>1.15195E-6</v>
      </c>
      <c r="K471" s="4" t="str">
        <f>IF(OpenLCAdetail!I471="CTUh", "Fill in Manually", INDEX(LookUps!$E$5:$E$12, MATCH(OpenLCAdetail!I471,LookUps!$D$5:$D$12,0)))</f>
        <v>Eutrophication Potential (EP) - kg N eq</v>
      </c>
      <c r="O471" s="119"/>
      <c r="P471" s="119"/>
    </row>
    <row r="472" spans="2:16" x14ac:dyDescent="0.25">
      <c r="B472" s="4" t="s">
        <v>46</v>
      </c>
      <c r="C472" s="4" t="str">
        <f t="shared" ref="C472:C492" si="18">INDEX($O$10:$O$60,MATCH(G472, $P$10:$P$60,0))</f>
        <v>Infrastructure</v>
      </c>
      <c r="F472" s="27">
        <v>0</v>
      </c>
      <c r="G472" s="4" t="s">
        <v>75</v>
      </c>
      <c r="H472" s="327">
        <v>4.0801299999999999E-7</v>
      </c>
      <c r="I472" s="4" t="s">
        <v>13</v>
      </c>
      <c r="J472" s="28">
        <f t="shared" si="17"/>
        <v>4.0801299999999999E-7</v>
      </c>
      <c r="K472" s="4" t="str">
        <f>IF(OpenLCAdetail!I472="CTUh", "Fill in Manually", INDEX(LookUps!$E$5:$E$12, MATCH(OpenLCAdetail!I472,LookUps!$D$5:$D$12,0)))</f>
        <v>Eutrophication Potential (EP) - kg N eq</v>
      </c>
      <c r="O472" s="119"/>
      <c r="P472" s="119"/>
    </row>
    <row r="473" spans="2:16" x14ac:dyDescent="0.25">
      <c r="B473" s="4" t="s">
        <v>46</v>
      </c>
      <c r="C473" s="4" t="str">
        <f t="shared" si="18"/>
        <v>Infrastructure</v>
      </c>
      <c r="F473" s="27">
        <v>0</v>
      </c>
      <c r="G473" s="4" t="s">
        <v>76</v>
      </c>
      <c r="H473" s="327">
        <v>2.2217E-8</v>
      </c>
      <c r="I473" s="4" t="s">
        <v>13</v>
      </c>
      <c r="J473" s="28">
        <f t="shared" si="17"/>
        <v>2.2217E-8</v>
      </c>
      <c r="K473" s="4" t="str">
        <f>IF(OpenLCAdetail!I473="CTUh", "Fill in Manually", INDEX(LookUps!$E$5:$E$12, MATCH(OpenLCAdetail!I473,LookUps!$D$5:$D$12,0)))</f>
        <v>Eutrophication Potential (EP) - kg N eq</v>
      </c>
      <c r="O473" s="119"/>
      <c r="P473" s="119"/>
    </row>
    <row r="474" spans="2:16" x14ac:dyDescent="0.25">
      <c r="B474" s="4" t="s">
        <v>46</v>
      </c>
      <c r="C474" s="4" t="str">
        <f t="shared" si="18"/>
        <v>Unit Process Emissions</v>
      </c>
      <c r="E474" s="27">
        <v>1.1000000000000001E-3</v>
      </c>
      <c r="F474" s="27"/>
      <c r="G474" s="4" t="s">
        <v>59</v>
      </c>
      <c r="H474" s="327">
        <v>1.6215700000000001E-5</v>
      </c>
      <c r="I474" s="4" t="s">
        <v>13</v>
      </c>
      <c r="J474" s="28">
        <f>H474-SUM(H475:H480)</f>
        <v>3.4340000000477808E-11</v>
      </c>
      <c r="K474" s="4" t="str">
        <f>IF(OpenLCAdetail!I474="CTUh", "Fill in Manually", INDEX(LookUps!$E$5:$E$12, MATCH(OpenLCAdetail!I474,LookUps!$D$5:$D$12,0)))</f>
        <v>Eutrophication Potential (EP) - kg N eq</v>
      </c>
      <c r="O474" s="119"/>
      <c r="P474" s="119"/>
    </row>
    <row r="475" spans="2:16" x14ac:dyDescent="0.25">
      <c r="B475" s="4" t="s">
        <v>46</v>
      </c>
      <c r="C475" s="4" t="str">
        <f t="shared" si="18"/>
        <v>Electricity</v>
      </c>
      <c r="E475" s="27"/>
      <c r="F475" s="27">
        <v>1E-3</v>
      </c>
      <c r="G475" s="4" t="s">
        <v>71</v>
      </c>
      <c r="H475" s="327">
        <v>1.5649199999999999E-5</v>
      </c>
      <c r="I475" s="4" t="s">
        <v>13</v>
      </c>
      <c r="J475" s="28">
        <f t="shared" si="17"/>
        <v>1.5649199999999999E-5</v>
      </c>
      <c r="K475" s="4" t="str">
        <f>IF(OpenLCAdetail!I475="CTUh", "Fill in Manually", INDEX(LookUps!$E$5:$E$12, MATCH(OpenLCAdetail!I475,LookUps!$D$5:$D$12,0)))</f>
        <v>Eutrophication Potential (EP) - kg N eq</v>
      </c>
      <c r="O475" s="119"/>
      <c r="P475" s="119"/>
    </row>
    <row r="476" spans="2:16" x14ac:dyDescent="0.25">
      <c r="B476" s="4" t="s">
        <v>46</v>
      </c>
      <c r="C476" s="4" t="str">
        <f t="shared" si="18"/>
        <v>Infrastructure</v>
      </c>
      <c r="F476" s="27">
        <v>0</v>
      </c>
      <c r="G476" s="4" t="s">
        <v>73</v>
      </c>
      <c r="H476" s="327">
        <v>2.2613E-7</v>
      </c>
      <c r="I476" s="4" t="s">
        <v>13</v>
      </c>
      <c r="J476" s="28">
        <f t="shared" si="17"/>
        <v>2.2613E-7</v>
      </c>
      <c r="K476" s="4" t="str">
        <f>IF(OpenLCAdetail!I476="CTUh", "Fill in Manually", INDEX(LookUps!$E$5:$E$12, MATCH(OpenLCAdetail!I476,LookUps!$D$5:$D$12,0)))</f>
        <v>Eutrophication Potential (EP) - kg N eq</v>
      </c>
      <c r="O476" s="119"/>
      <c r="P476" s="119"/>
    </row>
    <row r="477" spans="2:16" x14ac:dyDescent="0.25">
      <c r="B477" s="4" t="s">
        <v>46</v>
      </c>
      <c r="C477" s="4" t="str">
        <f t="shared" si="18"/>
        <v>Infrastructure</v>
      </c>
      <c r="E477" s="27"/>
      <c r="F477" s="27">
        <v>0</v>
      </c>
      <c r="G477" s="4" t="s">
        <v>72</v>
      </c>
      <c r="H477" s="327">
        <v>2.1848499999999999E-7</v>
      </c>
      <c r="I477" s="4" t="s">
        <v>13</v>
      </c>
      <c r="J477" s="28">
        <f t="shared" si="17"/>
        <v>2.1848499999999999E-7</v>
      </c>
      <c r="K477" s="4" t="str">
        <f>IF(OpenLCAdetail!I477="CTUh", "Fill in Manually", INDEX(LookUps!$E$5:$E$12, MATCH(OpenLCAdetail!I477,LookUps!$D$5:$D$12,0)))</f>
        <v>Eutrophication Potential (EP) - kg N eq</v>
      </c>
      <c r="O477" s="119"/>
      <c r="P477" s="119"/>
    </row>
    <row r="478" spans="2:16" x14ac:dyDescent="0.25">
      <c r="B478" s="4" t="s">
        <v>46</v>
      </c>
      <c r="C478" s="4" t="str">
        <f t="shared" si="18"/>
        <v>Infrastructure</v>
      </c>
      <c r="F478" s="27">
        <v>0</v>
      </c>
      <c r="G478" s="4" t="s">
        <v>74</v>
      </c>
      <c r="H478" s="327">
        <v>7.1977699999999995E-8</v>
      </c>
      <c r="I478" s="4" t="s">
        <v>13</v>
      </c>
      <c r="J478" s="28">
        <f t="shared" si="17"/>
        <v>7.1977699999999995E-8</v>
      </c>
      <c r="K478" s="4" t="str">
        <f>IF(OpenLCAdetail!I478="CTUh", "Fill in Manually", INDEX(LookUps!$E$5:$E$12, MATCH(OpenLCAdetail!I478,LookUps!$D$5:$D$12,0)))</f>
        <v>Eutrophication Potential (EP) - kg N eq</v>
      </c>
      <c r="O478" s="119"/>
      <c r="P478" s="119"/>
    </row>
    <row r="479" spans="2:16" x14ac:dyDescent="0.25">
      <c r="B479" s="4" t="s">
        <v>46</v>
      </c>
      <c r="C479" s="4" t="str">
        <f t="shared" si="18"/>
        <v>Infrastructure</v>
      </c>
      <c r="F479" s="27">
        <v>0</v>
      </c>
      <c r="G479" s="4" t="s">
        <v>75</v>
      </c>
      <c r="H479" s="327">
        <v>4.8871899999999997E-8</v>
      </c>
      <c r="I479" s="4" t="s">
        <v>13</v>
      </c>
      <c r="J479" s="28">
        <f t="shared" si="17"/>
        <v>4.8871899999999997E-8</v>
      </c>
      <c r="K479" s="4" t="str">
        <f>IF(OpenLCAdetail!I479="CTUh", "Fill in Manually", INDEX(LookUps!$E$5:$E$12, MATCH(OpenLCAdetail!I479,LookUps!$D$5:$D$12,0)))</f>
        <v>Eutrophication Potential (EP) - kg N eq</v>
      </c>
      <c r="O479" s="119"/>
      <c r="P479" s="119"/>
    </row>
    <row r="480" spans="2:16" x14ac:dyDescent="0.25">
      <c r="B480" s="4" t="s">
        <v>46</v>
      </c>
      <c r="C480" s="4" t="str">
        <f t="shared" si="18"/>
        <v>Infrastructure</v>
      </c>
      <c r="F480" s="27">
        <v>0</v>
      </c>
      <c r="G480" s="4" t="s">
        <v>76</v>
      </c>
      <c r="H480" s="327">
        <v>1.0010600000000001E-9</v>
      </c>
      <c r="I480" s="4" t="s">
        <v>13</v>
      </c>
      <c r="J480" s="28">
        <f t="shared" si="17"/>
        <v>1.0010600000000001E-9</v>
      </c>
      <c r="K480" s="4" t="str">
        <f>IF(OpenLCAdetail!I480="CTUh", "Fill in Manually", INDEX(LookUps!$E$5:$E$12, MATCH(OpenLCAdetail!I480,LookUps!$D$5:$D$12,0)))</f>
        <v>Eutrophication Potential (EP) - kg N eq</v>
      </c>
      <c r="O480" s="119"/>
      <c r="P480" s="119"/>
    </row>
    <row r="481" spans="2:16" x14ac:dyDescent="0.25">
      <c r="B481" s="4" t="s">
        <v>46</v>
      </c>
      <c r="C481" s="4" t="str">
        <f t="shared" si="18"/>
        <v>Unit Process Emissions</v>
      </c>
      <c r="E481" s="27">
        <v>5.0000000000000001E-4</v>
      </c>
      <c r="F481" s="27"/>
      <c r="G481" s="4" t="s">
        <v>168</v>
      </c>
      <c r="H481" s="327">
        <v>7.7567199999999995E-6</v>
      </c>
      <c r="I481" s="4" t="s">
        <v>13</v>
      </c>
      <c r="J481" s="28">
        <f>H481-SUM(H482)</f>
        <v>0</v>
      </c>
      <c r="K481" s="4" t="str">
        <f>IF(OpenLCAdetail!I481="CTUh", "Fill in Manually", INDEX(LookUps!$E$5:$E$12, MATCH(OpenLCAdetail!I481,LookUps!$D$5:$D$12,0)))</f>
        <v>Eutrophication Potential (EP) - kg N eq</v>
      </c>
      <c r="O481" s="119"/>
      <c r="P481" s="119"/>
    </row>
    <row r="482" spans="2:16" x14ac:dyDescent="0.25">
      <c r="B482" s="4" t="s">
        <v>46</v>
      </c>
      <c r="C482" s="4" t="str">
        <f t="shared" si="18"/>
        <v>Electricity</v>
      </c>
      <c r="F482" s="27">
        <v>5.0000000000000001E-4</v>
      </c>
      <c r="G482" s="4" t="s">
        <v>71</v>
      </c>
      <c r="H482" s="327">
        <v>7.7567199999999995E-6</v>
      </c>
      <c r="I482" s="4" t="s">
        <v>13</v>
      </c>
      <c r="J482" s="28">
        <f>IF(F482="", "FILL MANUALLY", H482)</f>
        <v>7.7567199999999995E-6</v>
      </c>
      <c r="K482" s="4" t="str">
        <f>IF(OpenLCAdetail!I482="CTUh", "Fill in Manually", INDEX(LookUps!$E$5:$E$12, MATCH(OpenLCAdetail!I482,LookUps!$D$5:$D$12,0)))</f>
        <v>Eutrophication Potential (EP) - kg N eq</v>
      </c>
      <c r="O482" s="119"/>
      <c r="P482" s="119"/>
    </row>
    <row r="483" spans="2:16" x14ac:dyDescent="0.25">
      <c r="B483" s="4" t="s">
        <v>46</v>
      </c>
      <c r="C483" s="4" t="str">
        <f t="shared" si="18"/>
        <v>Unit Process Emissions</v>
      </c>
      <c r="E483" s="27">
        <v>-1.2800000000000001E-2</v>
      </c>
      <c r="F483" s="27"/>
      <c r="G483" s="4" t="s">
        <v>149</v>
      </c>
      <c r="H483" s="327">
        <v>-2.0000000000000001E-4</v>
      </c>
      <c r="I483" s="4" t="s">
        <v>13</v>
      </c>
      <c r="J483" s="28">
        <f>H483-SUM(H484:H492)</f>
        <v>3.9154154599999318E-6</v>
      </c>
      <c r="K483" s="4" t="str">
        <f>IF(OpenLCAdetail!I483="CTUh", "Fill in Manually", INDEX(LookUps!$E$5:$E$12, MATCH(OpenLCAdetail!I483,LookUps!$D$5:$D$12,0)))</f>
        <v>Eutrophication Potential (EP) - kg N eq</v>
      </c>
      <c r="O483" s="119"/>
      <c r="P483" s="119"/>
    </row>
    <row r="484" spans="2:16" x14ac:dyDescent="0.25">
      <c r="B484" s="4" t="s">
        <v>46</v>
      </c>
      <c r="C484" s="4" t="str">
        <f t="shared" si="18"/>
        <v>Electricity</v>
      </c>
      <c r="E484" s="27"/>
      <c r="F484" s="27">
        <v>1.9E-2</v>
      </c>
      <c r="G484" s="4" t="s">
        <v>71</v>
      </c>
      <c r="H484" s="327">
        <v>2.9E-4</v>
      </c>
      <c r="I484" s="4" t="s">
        <v>13</v>
      </c>
      <c r="J484" s="28">
        <f t="shared" si="17"/>
        <v>2.9E-4</v>
      </c>
      <c r="K484" s="4" t="str">
        <f>IF(OpenLCAdetail!I484="CTUh", "Fill in Manually", INDEX(LookUps!$E$5:$E$12, MATCH(OpenLCAdetail!I484,LookUps!$D$5:$D$12,0)))</f>
        <v>Eutrophication Potential (EP) - kg N eq</v>
      </c>
      <c r="O484" s="119"/>
      <c r="P484" s="119"/>
    </row>
    <row r="485" spans="2:16" x14ac:dyDescent="0.25">
      <c r="B485" s="4" t="s">
        <v>46</v>
      </c>
      <c r="C485" s="4" t="str">
        <f t="shared" si="18"/>
        <v>Natural Gas</v>
      </c>
      <c r="F485" s="27">
        <v>1.1000000000000001E-3</v>
      </c>
      <c r="G485" s="4" t="s">
        <v>173</v>
      </c>
      <c r="H485" s="327">
        <v>1.6962299999999999E-5</v>
      </c>
      <c r="I485" s="4" t="s">
        <v>13</v>
      </c>
      <c r="J485" s="28">
        <f t="shared" si="17"/>
        <v>1.6962299999999999E-5</v>
      </c>
      <c r="K485" s="4" t="str">
        <f>IF(OpenLCAdetail!I485="CTUh", "Fill in Manually", INDEX(LookUps!$E$5:$E$12, MATCH(OpenLCAdetail!I485,LookUps!$D$5:$D$12,0)))</f>
        <v>Eutrophication Potential (EP) - kg N eq</v>
      </c>
      <c r="O485" s="119"/>
      <c r="P485" s="119"/>
    </row>
    <row r="486" spans="2:16" x14ac:dyDescent="0.25">
      <c r="B486" s="4" t="s">
        <v>46</v>
      </c>
      <c r="C486" s="4" t="str">
        <f t="shared" si="18"/>
        <v>Infrastructure</v>
      </c>
      <c r="E486" s="27"/>
      <c r="F486" s="27">
        <v>1E-4</v>
      </c>
      <c r="G486" s="4" t="s">
        <v>73</v>
      </c>
      <c r="H486" s="327">
        <v>1.70698E-6</v>
      </c>
      <c r="I486" s="4" t="s">
        <v>13</v>
      </c>
      <c r="J486" s="28">
        <f t="shared" si="17"/>
        <v>1.70698E-6</v>
      </c>
      <c r="K486" s="4" t="str">
        <f>IF(OpenLCAdetail!I486="CTUh", "Fill in Manually", INDEX(LookUps!$E$5:$E$12, MATCH(OpenLCAdetail!I486,LookUps!$D$5:$D$12,0)))</f>
        <v>Eutrophication Potential (EP) - kg N eq</v>
      </c>
      <c r="O486" s="119"/>
      <c r="P486" s="119"/>
    </row>
    <row r="487" spans="2:16" x14ac:dyDescent="0.25">
      <c r="B487" s="4" t="s">
        <v>46</v>
      </c>
      <c r="C487" s="4" t="str">
        <f t="shared" si="18"/>
        <v>Infrastructure</v>
      </c>
      <c r="E487" s="27"/>
      <c r="F487" s="27">
        <v>0</v>
      </c>
      <c r="G487" s="4" t="s">
        <v>74</v>
      </c>
      <c r="H487" s="327">
        <v>6.4555699999999999E-7</v>
      </c>
      <c r="I487" s="4" t="s">
        <v>13</v>
      </c>
      <c r="J487" s="28">
        <f t="shared" si="17"/>
        <v>6.4555699999999999E-7</v>
      </c>
      <c r="K487" s="4" t="str">
        <f>IF(OpenLCAdetail!I487="CTUh", "Fill in Manually", INDEX(LookUps!$E$5:$E$12, MATCH(OpenLCAdetail!I487,LookUps!$D$5:$D$12,0)))</f>
        <v>Eutrophication Potential (EP) - kg N eq</v>
      </c>
      <c r="O487" s="119"/>
      <c r="P487" s="119"/>
    </row>
    <row r="488" spans="2:16" x14ac:dyDescent="0.25">
      <c r="B488" s="4" t="s">
        <v>46</v>
      </c>
      <c r="C488" s="4" t="str">
        <f t="shared" si="18"/>
        <v>Infrastructure</v>
      </c>
      <c r="F488" s="27">
        <v>0</v>
      </c>
      <c r="G488" s="4" t="s">
        <v>75</v>
      </c>
      <c r="H488" s="327">
        <v>1.14782E-7</v>
      </c>
      <c r="I488" s="4" t="s">
        <v>13</v>
      </c>
      <c r="J488" s="28">
        <f t="shared" si="17"/>
        <v>1.14782E-7</v>
      </c>
      <c r="K488" s="4" t="str">
        <f>IF(OpenLCAdetail!I488="CTUh", "Fill in Manually", INDEX(LookUps!$E$5:$E$12, MATCH(OpenLCAdetail!I488,LookUps!$D$5:$D$12,0)))</f>
        <v>Eutrophication Potential (EP) - kg N eq</v>
      </c>
      <c r="O488" s="119"/>
      <c r="P488" s="119"/>
    </row>
    <row r="489" spans="2:16" x14ac:dyDescent="0.25">
      <c r="B489" s="4" t="s">
        <v>46</v>
      </c>
      <c r="C489" s="4" t="str">
        <f t="shared" si="18"/>
        <v>Infrastructure</v>
      </c>
      <c r="F489" s="27">
        <v>0</v>
      </c>
      <c r="G489" s="4" t="s">
        <v>169</v>
      </c>
      <c r="H489" s="327">
        <v>3.0033199999999999E-9</v>
      </c>
      <c r="I489" s="4" t="s">
        <v>13</v>
      </c>
      <c r="J489" s="28">
        <f t="shared" si="17"/>
        <v>3.0033199999999999E-9</v>
      </c>
      <c r="K489" s="4" t="str">
        <f>IF(OpenLCAdetail!I489="CTUh", "Fill in Manually", INDEX(LookUps!$E$5:$E$12, MATCH(OpenLCAdetail!I489,LookUps!$D$5:$D$12,0)))</f>
        <v>Eutrophication Potential (EP) - kg N eq</v>
      </c>
      <c r="O489" s="119"/>
      <c r="P489" s="119"/>
    </row>
    <row r="490" spans="2:16" x14ac:dyDescent="0.25">
      <c r="B490" s="4" t="s">
        <v>46</v>
      </c>
      <c r="C490" s="4" t="str">
        <f t="shared" si="18"/>
        <v>Infrastructure</v>
      </c>
      <c r="F490" s="27">
        <v>0</v>
      </c>
      <c r="G490" s="4" t="s">
        <v>152</v>
      </c>
      <c r="H490" s="327">
        <v>1.86222E-9</v>
      </c>
      <c r="I490" s="4" t="s">
        <v>13</v>
      </c>
      <c r="J490" s="28">
        <f t="shared" si="17"/>
        <v>1.86222E-9</v>
      </c>
      <c r="K490" s="4" t="str">
        <f>IF(OpenLCAdetail!I490="CTUh", "Fill in Manually", INDEX(LookUps!$E$5:$E$12, MATCH(OpenLCAdetail!I490,LookUps!$D$5:$D$12,0)))</f>
        <v>Eutrophication Potential (EP) - kg N eq</v>
      </c>
      <c r="O490" s="119"/>
      <c r="P490" s="119"/>
    </row>
    <row r="491" spans="2:16" x14ac:dyDescent="0.25">
      <c r="B491" s="4" t="s">
        <v>46</v>
      </c>
      <c r="C491" s="4" t="str">
        <f t="shared" si="18"/>
        <v>avoided products</v>
      </c>
      <c r="F491" s="27">
        <v>-1.5E-3</v>
      </c>
      <c r="G491" s="4" t="s">
        <v>174</v>
      </c>
      <c r="H491" s="327">
        <v>-2.3349900000000002E-5</v>
      </c>
      <c r="I491" s="4" t="s">
        <v>13</v>
      </c>
      <c r="J491" s="28">
        <f t="shared" si="17"/>
        <v>-2.3349900000000002E-5</v>
      </c>
      <c r="K491" s="4" t="str">
        <f>IF(OpenLCAdetail!I491="CTUh", "Fill in Manually", INDEX(LookUps!$E$5:$E$12, MATCH(OpenLCAdetail!I491,LookUps!$D$5:$D$12,0)))</f>
        <v>Eutrophication Potential (EP) - kg N eq</v>
      </c>
      <c r="O491" s="119"/>
      <c r="P491" s="119"/>
    </row>
    <row r="492" spans="2:16" x14ac:dyDescent="0.25">
      <c r="B492" s="4" t="s">
        <v>46</v>
      </c>
      <c r="C492" s="4" t="str">
        <f t="shared" si="18"/>
        <v>avoided products</v>
      </c>
      <c r="F492" s="27">
        <v>-3.1600000000000003E-2</v>
      </c>
      <c r="G492" s="4" t="s">
        <v>175</v>
      </c>
      <c r="H492" s="327">
        <v>-4.8999999999999998E-4</v>
      </c>
      <c r="I492" s="4" t="s">
        <v>13</v>
      </c>
      <c r="J492" s="28">
        <f t="shared" si="17"/>
        <v>-4.8999999999999998E-4</v>
      </c>
      <c r="K492" s="4" t="str">
        <f>IF(OpenLCAdetail!I492="CTUh", "Fill in Manually", INDEX(LookUps!$E$5:$E$12, MATCH(OpenLCAdetail!I492,LookUps!$D$5:$D$12,0)))</f>
        <v>Eutrophication Potential (EP) - kg N eq</v>
      </c>
      <c r="O492" s="119"/>
      <c r="P492" s="119"/>
    </row>
    <row r="493" spans="2:16" x14ac:dyDescent="0.25">
      <c r="O493" s="119"/>
      <c r="P493" s="119"/>
    </row>
    <row r="494" spans="2:16" x14ac:dyDescent="0.25">
      <c r="O494" s="119"/>
      <c r="P494" s="119"/>
    </row>
    <row r="495" spans="2:16" x14ac:dyDescent="0.25">
      <c r="O495" s="119"/>
      <c r="P495" s="119"/>
    </row>
    <row r="496" spans="2:16" x14ac:dyDescent="0.25">
      <c r="O496" s="119"/>
      <c r="P496" s="119"/>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LookUps!$B$16:$B$27</xm:f>
          </x14:formula1>
          <xm:sqref>C5:C492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zoomScale="60" zoomScaleNormal="60" workbookViewId="0">
      <selection activeCell="J10" sqref="J10"/>
    </sheetView>
  </sheetViews>
  <sheetFormatPr defaultColWidth="0" defaultRowHeight="15.75" zeroHeight="1" x14ac:dyDescent="0.25"/>
  <cols>
    <col min="1" max="1" width="9" style="191" customWidth="1"/>
    <col min="2" max="2" width="17.75" style="187" hidden="1" customWidth="1"/>
    <col min="3" max="3" width="35.375" style="191" customWidth="1"/>
    <col min="4" max="4" width="15.875" style="191" customWidth="1"/>
    <col min="5" max="12" width="18.25" style="191" customWidth="1"/>
    <col min="13" max="13" width="15.375" style="191" bestFit="1" customWidth="1"/>
    <col min="14" max="14" width="21.625" style="191" bestFit="1" customWidth="1"/>
    <col min="15" max="15" width="22.625" style="191" bestFit="1" customWidth="1"/>
    <col min="16" max="16" width="12.875" style="191" bestFit="1" customWidth="1"/>
    <col min="17" max="17" width="18.875" style="191" customWidth="1"/>
    <col min="18" max="18" width="18.875" style="191" bestFit="1" customWidth="1"/>
    <col min="19" max="19" width="9" style="191" customWidth="1"/>
    <col min="20" max="20" width="9.25" style="191" hidden="1" customWidth="1"/>
    <col min="21" max="16384" width="9" style="191" hidden="1"/>
  </cols>
  <sheetData>
    <row r="1" spans="1:18" x14ac:dyDescent="0.25">
      <c r="A1" s="192" t="s">
        <v>28</v>
      </c>
    </row>
    <row r="2" spans="1:18" x14ac:dyDescent="0.25">
      <c r="A2" s="193" t="s">
        <v>250</v>
      </c>
    </row>
    <row r="3" spans="1:18" x14ac:dyDescent="0.25"/>
    <row r="4" spans="1:18" x14ac:dyDescent="0.25"/>
    <row r="5" spans="1:18" x14ac:dyDescent="0.25"/>
    <row r="6" spans="1:18" x14ac:dyDescent="0.25">
      <c r="B6" s="34" t="s">
        <v>85</v>
      </c>
      <c r="C6" s="36" t="s">
        <v>36</v>
      </c>
      <c r="D6" s="36" t="s">
        <v>90</v>
      </c>
      <c r="E6" s="36" t="str">
        <f t="array" ref="E6:P6">TRANSPOSE(LookUps!$B$16:$B$27)</f>
        <v>Electricity</v>
      </c>
      <c r="F6" s="36" t="str">
        <v>Natural Gas</v>
      </c>
      <c r="G6" s="36" t="str">
        <v>Chemicals</v>
      </c>
      <c r="H6" s="36" t="str">
        <v>Unit Process Emissions</v>
      </c>
      <c r="I6" s="36" t="str">
        <v>Effluent Release</v>
      </c>
      <c r="J6" s="36" t="str">
        <v>Transport</v>
      </c>
      <c r="K6" s="36" t="str">
        <v>Landfill</v>
      </c>
      <c r="L6" s="36" t="str">
        <v>Composting</v>
      </c>
      <c r="M6" s="36" t="str">
        <v>Land Application</v>
      </c>
      <c r="N6" s="36" t="str">
        <v>Avoided Products</v>
      </c>
      <c r="O6" s="36" t="str">
        <v>Infrastructure</v>
      </c>
      <c r="P6" s="36" t="str">
        <v>Diesel</v>
      </c>
      <c r="Q6" s="36" t="s">
        <v>34</v>
      </c>
      <c r="R6" s="36" t="s">
        <v>526</v>
      </c>
    </row>
    <row r="7" spans="1:18" ht="15" customHeight="1" x14ac:dyDescent="0.25">
      <c r="B7" s="34" t="str">
        <f>LookUps!$E$5</f>
        <v>Global Warming Potential (GWP) - kg CO2 eq</v>
      </c>
      <c r="C7" s="340" t="str">
        <f>LookUps!E5</f>
        <v>Global Warming Potential (GWP) - kg CO2 eq</v>
      </c>
      <c r="D7" s="30" t="str">
        <f>LookUps!D16</f>
        <v>Legacy</v>
      </c>
      <c r="E7" s="33">
        <f>SUMIFS(OpenLCAdetail!$J:$J,OpenLCAdetail!$B:$B,Drivers!$D7,OpenLCAdetail!$C:$C,Drivers!E$6,OpenLCAdetail!$K:$K,Drivers!$B7)</f>
        <v>0.30665163820000002</v>
      </c>
      <c r="F7" s="33">
        <f>SUMIFS(OpenLCAdetail!$J:$J,OpenLCAdetail!$B:$B,Drivers!$D7,OpenLCAdetail!$C:$C,Drivers!F$6,OpenLCAdetail!$K:$K,Drivers!$B7)</f>
        <v>4.648E-2</v>
      </c>
      <c r="G7" s="33">
        <f>SUMIFS(OpenLCAdetail!$J:$J,OpenLCAdetail!$B:$B,Drivers!$D7,OpenLCAdetail!$C:$C,Drivers!G$6,OpenLCAdetail!$K:$K,Drivers!$B7)</f>
        <v>8.1939999999999999E-2</v>
      </c>
      <c r="H7" s="33">
        <f>SUMIFS(OpenLCAdetail!$J:$J,OpenLCAdetail!$B:$B,Drivers!$D7,OpenLCAdetail!$C:$C,Drivers!H$6,OpenLCAdetail!$K:$K,Drivers!$B7)</f>
        <v>0.12460560021199997</v>
      </c>
      <c r="I7" s="33">
        <f>SUMIFS(OpenLCAdetail!$J:$J,OpenLCAdetail!$B:$B,Drivers!$D7,OpenLCAdetail!$C:$C,Drivers!I$6,OpenLCAdetail!$K:$K,Drivers!$B7)</f>
        <v>7.3900090599999996E-2</v>
      </c>
      <c r="J7" s="33">
        <f>SUMIFS(OpenLCAdetail!$J:$J,OpenLCAdetail!$B:$B,Drivers!$D7,OpenLCAdetail!$C:$C,Drivers!J$6,OpenLCAdetail!$K:$K,Drivers!$B7)</f>
        <v>9.75E-3</v>
      </c>
      <c r="K7" s="33">
        <f>SUMIFS(OpenLCAdetail!$J:$J,OpenLCAdetail!$B:$B,Drivers!$D7,OpenLCAdetail!$C:$C,Drivers!K$6,OpenLCAdetail!$K:$K,Drivers!$B7)</f>
        <v>0.13897000000000001</v>
      </c>
      <c r="L7" s="33">
        <f>SUMIFS(OpenLCAdetail!$J:$J,OpenLCAdetail!$B:$B,Drivers!$D7,OpenLCAdetail!$C:$C,Drivers!L$6,OpenLCAdetail!$K:$K,Drivers!$B7)</f>
        <v>0</v>
      </c>
      <c r="M7" s="33">
        <f>SUMIFS(OpenLCAdetail!$J:$J,OpenLCAdetail!$B:$B,Drivers!$D7,OpenLCAdetail!$C:$C,Drivers!M$6,OpenLCAdetail!$K:$K,Drivers!$B7)</f>
        <v>0</v>
      </c>
      <c r="N7" s="33">
        <f>SUMIFS(OpenLCAdetail!$J:$J,OpenLCAdetail!$B:$B,Drivers!$D7,OpenLCAdetail!$C:$C,Drivers!N$6,OpenLCAdetail!$K:$K,Drivers!$B7)</f>
        <v>-3.1980000000000001E-2</v>
      </c>
      <c r="O7" s="33">
        <f>SUMIFS(OpenLCAdetail!$J:$J,OpenLCAdetail!$B:$B,Drivers!$D7,OpenLCAdetail!$C:$C,Drivers!O$6,OpenLCAdetail!$K:$K,Drivers!$B7)</f>
        <v>1.7892670988000001E-2</v>
      </c>
      <c r="P7" s="33">
        <f>SUMIFS(OpenLCAdetail!$J:$J,OpenLCAdetail!$B:$B,Drivers!$D7,OpenLCAdetail!$C:$C,Drivers!P$6,OpenLCAdetail!$K:$K,Drivers!$B7)</f>
        <v>6.94E-3</v>
      </c>
      <c r="Q7" s="15">
        <f t="shared" ref="Q7:Q12" si="0">SUM(E7:P7)</f>
        <v>0.77515000000000001</v>
      </c>
      <c r="R7" s="186">
        <f>SUMIF(E7:P7, "&gt;0", E7:P7)</f>
        <v>0.80713000000000001</v>
      </c>
    </row>
    <row r="8" spans="1:18" x14ac:dyDescent="0.25">
      <c r="B8" s="34" t="str">
        <f>LookUps!$E$5</f>
        <v>Global Warming Potential (GWP) - kg CO2 eq</v>
      </c>
      <c r="C8" s="341"/>
      <c r="D8" s="30" t="str">
        <f>LookUps!D17</f>
        <v>Upgraded</v>
      </c>
      <c r="E8" s="33">
        <f>SUMIFS(OpenLCAdetail!$J:$J,OpenLCAdetail!$B:$B,Drivers!$D8,OpenLCAdetail!$C:$C,Drivers!E$6,OpenLCAdetail!$K:$K,Drivers!$B8)</f>
        <v>0.45132000000000005</v>
      </c>
      <c r="F8" s="33">
        <f>SUMIFS(OpenLCAdetail!$J:$J,OpenLCAdetail!$B:$B,Drivers!$D8,OpenLCAdetail!$C:$C,Drivers!F$6,OpenLCAdetail!$K:$K,Drivers!$B8)</f>
        <v>0.11232</v>
      </c>
      <c r="G8" s="33">
        <f>SUMIFS(OpenLCAdetail!$J:$J,OpenLCAdetail!$B:$B,Drivers!$D8,OpenLCAdetail!$C:$C,Drivers!G$6,OpenLCAdetail!$K:$K,Drivers!$B8)</f>
        <v>4.777E-2</v>
      </c>
      <c r="H8" s="33">
        <f>SUMIFS(OpenLCAdetail!$J:$J,OpenLCAdetail!$B:$B,Drivers!$D8,OpenLCAdetail!$C:$C,Drivers!H$6,OpenLCAdetail!$K:$K,Drivers!$B8)</f>
        <v>0.24572555478330002</v>
      </c>
      <c r="I8" s="33">
        <f>SUMIFS(OpenLCAdetail!$J:$J,OpenLCAdetail!$B:$B,Drivers!$D8,OpenLCAdetail!$C:$C,Drivers!I$6,OpenLCAdetail!$K:$K,Drivers!$B8)</f>
        <v>4.5600000000000002E-2</v>
      </c>
      <c r="J8" s="33">
        <f>SUMIFS(OpenLCAdetail!$J:$J,OpenLCAdetail!$B:$B,Drivers!$D8,OpenLCAdetail!$C:$C,Drivers!J$6,OpenLCAdetail!$K:$K,Drivers!$B8)</f>
        <v>9.5890000000000003E-2</v>
      </c>
      <c r="K8" s="33">
        <f>SUMIFS(OpenLCAdetail!$J:$J,OpenLCAdetail!$B:$B,Drivers!$D8,OpenLCAdetail!$C:$C,Drivers!K$6,OpenLCAdetail!$K:$K,Drivers!$B8)</f>
        <v>0</v>
      </c>
      <c r="L8" s="33">
        <f>SUMIFS(OpenLCAdetail!$J:$J,OpenLCAdetail!$B:$B,Drivers!$D8,OpenLCAdetail!$C:$C,Drivers!L$6,OpenLCAdetail!$K:$K,Drivers!$B8)</f>
        <v>0.73365559652000001</v>
      </c>
      <c r="M8" s="33">
        <f>SUMIFS(OpenLCAdetail!$J:$J,OpenLCAdetail!$B:$B,Drivers!$D8,OpenLCAdetail!$C:$C,Drivers!M$6,OpenLCAdetail!$K:$K,Drivers!$B8)</f>
        <v>-0.42958641220999999</v>
      </c>
      <c r="N8" s="33">
        <f>SUMIFS(OpenLCAdetail!$J:$J,OpenLCAdetail!$B:$B,Drivers!$D8,OpenLCAdetail!$C:$C,Drivers!N$6,OpenLCAdetail!$K:$K,Drivers!$B8)</f>
        <v>-0.36641886161999998</v>
      </c>
      <c r="O8" s="33">
        <f>SUMIFS(OpenLCAdetail!$J:$J,OpenLCAdetail!$B:$B,Drivers!$D8,OpenLCAdetail!$C:$C,Drivers!O$6,OpenLCAdetail!$K:$K,Drivers!$B8)</f>
        <v>3.5334445216700018E-2</v>
      </c>
      <c r="P8" s="33">
        <f>SUMIFS(OpenLCAdetail!$J:$J,OpenLCAdetail!$B:$B,Drivers!$D8,OpenLCAdetail!$C:$C,Drivers!P$6,OpenLCAdetail!$K:$K,Drivers!$B8)</f>
        <v>6.9677310000000012E-5</v>
      </c>
      <c r="Q8" s="47">
        <f t="shared" si="0"/>
        <v>0.97168000000000021</v>
      </c>
      <c r="R8" s="186">
        <f>SUMIF(E8:P8, "&gt;0", E8:P8)</f>
        <v>1.76768527383</v>
      </c>
    </row>
    <row r="9" spans="1:18" x14ac:dyDescent="0.25">
      <c r="B9" s="34"/>
      <c r="C9" s="338" t="s">
        <v>521</v>
      </c>
      <c r="D9" s="30" t="s">
        <v>45</v>
      </c>
      <c r="E9" s="102">
        <f>E7/$R$7</f>
        <v>0.37992843556800021</v>
      </c>
      <c r="F9" s="102">
        <f t="shared" ref="F9:P9" si="1">F7/$R$7</f>
        <v>5.7586758019154284E-2</v>
      </c>
      <c r="G9" s="102">
        <f t="shared" si="1"/>
        <v>0.10152020120674489</v>
      </c>
      <c r="H9" s="102">
        <f t="shared" si="1"/>
        <v>0.15438107889930985</v>
      </c>
      <c r="I9" s="102">
        <f t="shared" si="1"/>
        <v>9.1559092835107103E-2</v>
      </c>
      <c r="J9" s="102">
        <f t="shared" si="1"/>
        <v>1.2079838439904352E-2</v>
      </c>
      <c r="K9" s="102">
        <f t="shared" si="1"/>
        <v>0.17217796389677004</v>
      </c>
      <c r="L9" s="102">
        <f t="shared" si="1"/>
        <v>0</v>
      </c>
      <c r="M9" s="102">
        <f t="shared" si="1"/>
        <v>0</v>
      </c>
      <c r="N9" s="102">
        <f t="shared" si="1"/>
        <v>-3.9621870082886278E-2</v>
      </c>
      <c r="O9" s="102">
        <f t="shared" si="1"/>
        <v>2.2168264081374747E-2</v>
      </c>
      <c r="P9" s="102">
        <f t="shared" si="1"/>
        <v>8.5983670536344831E-3</v>
      </c>
      <c r="Q9" s="102">
        <f t="shared" si="0"/>
        <v>0.96037812991711369</v>
      </c>
    </row>
    <row r="10" spans="1:18" x14ac:dyDescent="0.25">
      <c r="B10" s="34"/>
      <c r="C10" s="339"/>
      <c r="D10" s="30" t="s">
        <v>46</v>
      </c>
      <c r="E10" s="102">
        <f>E8/$R$8</f>
        <v>0.25531694283006395</v>
      </c>
      <c r="F10" s="102">
        <f t="shared" ref="F10:P10" si="2">F8/$R$8</f>
        <v>6.3540722810140879E-2</v>
      </c>
      <c r="G10" s="102">
        <f t="shared" si="2"/>
        <v>2.7024041387468212E-2</v>
      </c>
      <c r="H10" s="102">
        <f t="shared" si="2"/>
        <v>0.13900978778359824</v>
      </c>
      <c r="I10" s="102">
        <f t="shared" si="2"/>
        <v>2.5796447294715315E-2</v>
      </c>
      <c r="J10" s="102">
        <f t="shared" si="2"/>
        <v>5.4246081822154638E-2</v>
      </c>
      <c r="K10" s="102">
        <f t="shared" si="2"/>
        <v>0</v>
      </c>
      <c r="L10" s="102">
        <f t="shared" si="2"/>
        <v>0.41503745456362068</v>
      </c>
      <c r="M10" s="102">
        <f t="shared" si="2"/>
        <v>-0.24302200090134016</v>
      </c>
      <c r="N10" s="102">
        <f t="shared" si="2"/>
        <v>-0.20728738709583142</v>
      </c>
      <c r="O10" s="102">
        <f t="shared" si="2"/>
        <v>1.9989104248258938E-2</v>
      </c>
      <c r="P10" s="102">
        <f t="shared" si="2"/>
        <v>3.941725997922238E-5</v>
      </c>
      <c r="Q10" s="102">
        <f t="shared" si="0"/>
        <v>0.54969061200282854</v>
      </c>
    </row>
    <row r="11" spans="1:18" x14ac:dyDescent="0.25">
      <c r="B11" s="34"/>
      <c r="C11" s="338" t="s">
        <v>520</v>
      </c>
      <c r="D11" s="30" t="s">
        <v>45</v>
      </c>
      <c r="E11" s="102">
        <f>E7/$Q$7</f>
        <v>0.39560296484551377</v>
      </c>
      <c r="F11" s="102">
        <f t="shared" ref="F11:P11" si="3">F7/$Q$7</f>
        <v>5.9962587886215571E-2</v>
      </c>
      <c r="G11" s="102">
        <f t="shared" si="3"/>
        <v>0.10570857253434819</v>
      </c>
      <c r="H11" s="102">
        <f t="shared" si="3"/>
        <v>0.16075030666580659</v>
      </c>
      <c r="I11" s="102">
        <f t="shared" si="3"/>
        <v>9.5336503386441326E-2</v>
      </c>
      <c r="J11" s="102">
        <f t="shared" si="3"/>
        <v>1.2578210668902794E-2</v>
      </c>
      <c r="K11" s="102">
        <f t="shared" si="3"/>
        <v>0.17928142940076117</v>
      </c>
      <c r="L11" s="102">
        <f t="shared" si="3"/>
        <v>0</v>
      </c>
      <c r="M11" s="102">
        <f t="shared" si="3"/>
        <v>0</v>
      </c>
      <c r="N11" s="102">
        <f t="shared" si="3"/>
        <v>-4.1256530994001166E-2</v>
      </c>
      <c r="O11" s="102">
        <f t="shared" si="3"/>
        <v>2.3082849755531189E-2</v>
      </c>
      <c r="P11" s="102">
        <f t="shared" si="3"/>
        <v>8.9531058504805517E-3</v>
      </c>
      <c r="Q11" s="102">
        <f t="shared" si="0"/>
        <v>0.99999999999999989</v>
      </c>
    </row>
    <row r="12" spans="1:18" x14ac:dyDescent="0.25">
      <c r="B12" s="34"/>
      <c r="C12" s="339"/>
      <c r="D12" s="30" t="s">
        <v>46</v>
      </c>
      <c r="E12" s="102">
        <f>E8/$Q$8</f>
        <v>0.46447390087271523</v>
      </c>
      <c r="F12" s="102">
        <f t="shared" ref="F12:P12" si="4">F8/$Q$8</f>
        <v>0.11559361106537129</v>
      </c>
      <c r="G12" s="102">
        <f t="shared" si="4"/>
        <v>4.9162275646303301E-2</v>
      </c>
      <c r="H12" s="102">
        <f t="shared" si="4"/>
        <v>0.25288732379312118</v>
      </c>
      <c r="I12" s="102">
        <f t="shared" si="4"/>
        <v>4.6929030133377236E-2</v>
      </c>
      <c r="J12" s="102">
        <f t="shared" si="4"/>
        <v>9.8684752181788224E-2</v>
      </c>
      <c r="K12" s="102">
        <f t="shared" si="4"/>
        <v>0</v>
      </c>
      <c r="L12" s="102">
        <f t="shared" si="4"/>
        <v>0.75503828062736689</v>
      </c>
      <c r="M12" s="102">
        <f t="shared" si="4"/>
        <v>-0.4421068790239584</v>
      </c>
      <c r="N12" s="102">
        <f t="shared" si="4"/>
        <v>-0.37709828505269216</v>
      </c>
      <c r="O12" s="102">
        <f t="shared" si="4"/>
        <v>3.6364281673699171E-2</v>
      </c>
      <c r="P12" s="102">
        <f t="shared" si="4"/>
        <v>7.1708082907953233E-5</v>
      </c>
      <c r="Q12" s="102">
        <f t="shared" si="0"/>
        <v>0.99999999999999989</v>
      </c>
      <c r="R12" s="255"/>
    </row>
    <row r="13" spans="1:18" x14ac:dyDescent="0.25">
      <c r="P13" s="194"/>
    </row>
    <row r="14" spans="1:18" x14ac:dyDescent="0.25">
      <c r="B14" s="34"/>
      <c r="C14" s="36" t="s">
        <v>36</v>
      </c>
      <c r="D14" s="36" t="s">
        <v>90</v>
      </c>
      <c r="E14" s="36" t="str">
        <f>E6</f>
        <v>Electricity</v>
      </c>
      <c r="F14" s="36" t="str">
        <f t="shared" ref="F14:P14" si="5">F6</f>
        <v>Natural Gas</v>
      </c>
      <c r="G14" s="36" t="str">
        <f t="shared" si="5"/>
        <v>Chemicals</v>
      </c>
      <c r="H14" s="36" t="str">
        <f t="shared" si="5"/>
        <v>Unit Process Emissions</v>
      </c>
      <c r="I14" s="36" t="str">
        <f t="shared" si="5"/>
        <v>Effluent Release</v>
      </c>
      <c r="J14" s="36" t="str">
        <f t="shared" si="5"/>
        <v>Transport</v>
      </c>
      <c r="K14" s="36" t="str">
        <f t="shared" si="5"/>
        <v>Landfill</v>
      </c>
      <c r="L14" s="36" t="str">
        <f t="shared" si="5"/>
        <v>Composting</v>
      </c>
      <c r="M14" s="36" t="str">
        <f t="shared" si="5"/>
        <v>Land Application</v>
      </c>
      <c r="N14" s="36" t="str">
        <f t="shared" si="5"/>
        <v>Avoided Products</v>
      </c>
      <c r="O14" s="36" t="str">
        <f t="shared" si="5"/>
        <v>Infrastructure</v>
      </c>
      <c r="P14" s="36" t="str">
        <f t="shared" si="5"/>
        <v>Diesel</v>
      </c>
      <c r="Q14" s="36" t="s">
        <v>34</v>
      </c>
      <c r="R14" s="36" t="s">
        <v>526</v>
      </c>
    </row>
    <row r="15" spans="1:18" ht="15" customHeight="1" x14ac:dyDescent="0.25">
      <c r="B15" s="34" t="str">
        <f>LookUps!$E$6</f>
        <v>Eutrophication Potential (EP) - kg N eq</v>
      </c>
      <c r="C15" s="340" t="str">
        <f>LookUps!E6</f>
        <v>Eutrophication Potential (EP) - kg N eq</v>
      </c>
      <c r="D15" s="30" t="str">
        <f>D7</f>
        <v>Legacy</v>
      </c>
      <c r="E15" s="35">
        <f>SUMIFS(OpenLCAdetail!$J:$J,OpenLCAdetail!$B:$B,Drivers!$D15,OpenLCAdetail!$C:$C,Drivers!E$6,OpenLCAdetail!$K:$K,Drivers!$B15)</f>
        <v>9.9019414900000007E-4</v>
      </c>
      <c r="F15" s="35">
        <f>SUMIFS(OpenLCAdetail!$J:$J,OpenLCAdetail!$B:$B,Drivers!$D15,OpenLCAdetail!$C:$C,Drivers!F$6,OpenLCAdetail!$K:$K,Drivers!$B15)</f>
        <v>7.0193599999999998E-6</v>
      </c>
      <c r="G15" s="35">
        <f>SUMIFS(OpenLCAdetail!$J:$J,OpenLCAdetail!$B:$B,Drivers!$D15,OpenLCAdetail!$C:$C,Drivers!G$6,OpenLCAdetail!$K:$K,Drivers!$B15)</f>
        <v>3.2734517000000002E-4</v>
      </c>
      <c r="H15" s="35">
        <f>SUMIFS(OpenLCAdetail!$J:$J,OpenLCAdetail!$B:$B,Drivers!$D15,OpenLCAdetail!$C:$C,Drivers!H$6,OpenLCAdetail!$K:$K,Drivers!$B15)</f>
        <v>3.7376856439998444E-6</v>
      </c>
      <c r="I15" s="35">
        <f>SUMIFS(OpenLCAdetail!$J:$J,OpenLCAdetail!$B:$B,Drivers!$D15,OpenLCAdetail!$C:$C,Drivers!I$6,OpenLCAdetail!$K:$K,Drivers!$B15)</f>
        <v>2.3099070082E-2</v>
      </c>
      <c r="J15" s="35">
        <f>SUMIFS(OpenLCAdetail!$J:$J,OpenLCAdetail!$B:$B,Drivers!$D15,OpenLCAdetail!$C:$C,Drivers!J$6,OpenLCAdetail!$K:$K,Drivers!$B15)</f>
        <v>1.2667799999999999E-5</v>
      </c>
      <c r="K15" s="35">
        <f>SUMIFS(OpenLCAdetail!$J:$J,OpenLCAdetail!$B:$B,Drivers!$D15,OpenLCAdetail!$C:$C,Drivers!K$6,OpenLCAdetail!$K:$K,Drivers!$B15)</f>
        <v>-2.7727999999999949E-6</v>
      </c>
      <c r="L15" s="35">
        <f>SUMIFS(OpenLCAdetail!$J:$J,OpenLCAdetail!$B:$B,Drivers!$D15,OpenLCAdetail!$C:$C,Drivers!L$6,OpenLCAdetail!$K:$K,Drivers!$B15)</f>
        <v>0</v>
      </c>
      <c r="M15" s="35">
        <f>SUMIFS(OpenLCAdetail!$J:$J,OpenLCAdetail!$B:$B,Drivers!$D15,OpenLCAdetail!$C:$C,Drivers!M$6,OpenLCAdetail!$K:$K,Drivers!$B15)</f>
        <v>0</v>
      </c>
      <c r="N15" s="35">
        <f>SUMIFS(OpenLCAdetail!$J:$J,OpenLCAdetail!$B:$B,Drivers!$D15,OpenLCAdetail!$C:$C,Drivers!N$6,OpenLCAdetail!$K:$K,Drivers!$B15)</f>
        <v>-1E-4</v>
      </c>
      <c r="O15" s="35">
        <f>SUMIFS(OpenLCAdetail!$J:$J,OpenLCAdetail!$B:$B,Drivers!$D15,OpenLCAdetail!$C:$C,Drivers!O$6,OpenLCAdetail!$K:$K,Drivers!$B15)</f>
        <v>6.734349335600001E-5</v>
      </c>
      <c r="P15" s="35">
        <f>SUMIFS(OpenLCAdetail!$J:$J,OpenLCAdetail!$B:$B,Drivers!$D15,OpenLCAdetail!$C:$C,Drivers!P$6,OpenLCAdetail!$K:$K,Drivers!$B15)</f>
        <v>1.18853E-5</v>
      </c>
      <c r="Q15" s="87">
        <f>SUM(E15:P15)</f>
        <v>2.4416490240000002E-2</v>
      </c>
      <c r="R15" s="186">
        <f>SUMIF(E15:P15, "&gt;0", E15:P15)</f>
        <v>2.4519263039999999E-2</v>
      </c>
    </row>
    <row r="16" spans="1:18" x14ac:dyDescent="0.25">
      <c r="B16" s="34" t="str">
        <f>LookUps!$E$6</f>
        <v>Eutrophication Potential (EP) - kg N eq</v>
      </c>
      <c r="C16" s="341"/>
      <c r="D16" s="30" t="str">
        <f>D8</f>
        <v>Upgraded</v>
      </c>
      <c r="E16" s="35">
        <f>SUMIFS(OpenLCAdetail!$J:$J,OpenLCAdetail!$B:$B,Drivers!$D16,OpenLCAdetail!$C:$C,Drivers!E$6,OpenLCAdetail!$K:$K,Drivers!$B16)</f>
        <v>1.4384576159999999E-3</v>
      </c>
      <c r="F16" s="35">
        <f>SUMIFS(OpenLCAdetail!$J:$J,OpenLCAdetail!$B:$B,Drivers!$D16,OpenLCAdetail!$C:$C,Drivers!F$6,OpenLCAdetail!$K:$K,Drivers!$B16)</f>
        <v>1.6962299999999999E-5</v>
      </c>
      <c r="G16" s="35">
        <f>SUMIFS(OpenLCAdetail!$J:$J,OpenLCAdetail!$B:$B,Drivers!$D16,OpenLCAdetail!$C:$C,Drivers!G$6,OpenLCAdetail!$K:$K,Drivers!$B16)</f>
        <v>2.6153153000000001E-4</v>
      </c>
      <c r="H16" s="35">
        <f>SUMIFS(OpenLCAdetail!$J:$J,OpenLCAdetail!$B:$B,Drivers!$D16,OpenLCAdetail!$C:$C,Drivers!H$6,OpenLCAdetail!$K:$K,Drivers!$B16)</f>
        <v>2.1914655190200238E-5</v>
      </c>
      <c r="I16" s="35">
        <f>SUMIFS(OpenLCAdetail!$J:$J,OpenLCAdetail!$B:$B,Drivers!$D16,OpenLCAdetail!$C:$C,Drivers!I$6,OpenLCAdetail!$K:$K,Drivers!$B16)</f>
        <v>1.15916618E-2</v>
      </c>
      <c r="J16" s="35">
        <f>SUMIFS(OpenLCAdetail!$J:$J,OpenLCAdetail!$B:$B,Drivers!$D16,OpenLCAdetail!$C:$C,Drivers!J$6,OpenLCAdetail!$K:$K,Drivers!$B16)</f>
        <v>1.2444930699999999E-4</v>
      </c>
      <c r="K16" s="35">
        <f>SUMIFS(OpenLCAdetail!$J:$J,OpenLCAdetail!$B:$B,Drivers!$D16,OpenLCAdetail!$C:$C,Drivers!K$6,OpenLCAdetail!$K:$K,Drivers!$B16)</f>
        <v>0</v>
      </c>
      <c r="L16" s="35">
        <f>SUMIFS(OpenLCAdetail!$J:$J,OpenLCAdetail!$B:$B,Drivers!$D16,OpenLCAdetail!$C:$C,Drivers!L$6,OpenLCAdetail!$K:$K,Drivers!$B16)</f>
        <v>3.5884013580000002E-4</v>
      </c>
      <c r="M16" s="35">
        <f>SUMIFS(OpenLCAdetail!$J:$J,OpenLCAdetail!$B:$B,Drivers!$D16,OpenLCAdetail!$C:$C,Drivers!M$6,OpenLCAdetail!$K:$K,Drivers!$B16)</f>
        <v>2.3614871965400002E-3</v>
      </c>
      <c r="N16" s="35">
        <f>SUMIFS(OpenLCAdetail!$J:$J,OpenLCAdetail!$B:$B,Drivers!$D16,OpenLCAdetail!$C:$C,Drivers!N$6,OpenLCAdetail!$K:$K,Drivers!$B16)</f>
        <v>-8.8339633860000009E-4</v>
      </c>
      <c r="O16" s="35">
        <f>SUMIFS(OpenLCAdetail!$J:$J,OpenLCAdetail!$B:$B,Drivers!$D16,OpenLCAdetail!$C:$C,Drivers!O$6,OpenLCAdetail!$K:$K,Drivers!$B16)</f>
        <v>1.4768241480979995E-4</v>
      </c>
      <c r="P16" s="35">
        <f>SUMIFS(OpenLCAdetail!$J:$J,OpenLCAdetail!$B:$B,Drivers!$D16,OpenLCAdetail!$C:$C,Drivers!P$6,OpenLCAdetail!$K:$K,Drivers!$B16)</f>
        <v>5.7303259999999997E-8</v>
      </c>
      <c r="Q16" s="87">
        <f>SUM(E16:P16)</f>
        <v>1.5439647920000002E-2</v>
      </c>
      <c r="R16" s="186">
        <f>SUMIF(E16:P16, "&gt;0", E16:P16)</f>
        <v>1.6323044258600004E-2</v>
      </c>
    </row>
    <row r="17" spans="2:18" x14ac:dyDescent="0.25">
      <c r="B17" s="34"/>
      <c r="C17" s="338" t="s">
        <v>521</v>
      </c>
      <c r="D17" s="186" t="s">
        <v>45</v>
      </c>
      <c r="E17" s="102">
        <f>E15/$R$15</f>
        <v>4.0384335670473726E-2</v>
      </c>
      <c r="F17" s="102">
        <f t="shared" ref="F17:Q17" si="6">F15/$R$15</f>
        <v>2.8627940360804582E-4</v>
      </c>
      <c r="G17" s="102">
        <f t="shared" si="6"/>
        <v>1.3350530538620953E-2</v>
      </c>
      <c r="H17" s="102">
        <f t="shared" si="6"/>
        <v>1.5243874328124359E-4</v>
      </c>
      <c r="I17" s="102">
        <f t="shared" si="6"/>
        <v>0.94207848108309211</v>
      </c>
      <c r="J17" s="102">
        <f t="shared" si="6"/>
        <v>5.1664684943157244E-4</v>
      </c>
      <c r="K17" s="102">
        <f t="shared" si="6"/>
        <v>-1.1308659626011316E-4</v>
      </c>
      <c r="L17" s="102">
        <f t="shared" si="6"/>
        <v>0</v>
      </c>
      <c r="M17" s="102">
        <f t="shared" si="6"/>
        <v>0</v>
      </c>
      <c r="N17" s="102">
        <f t="shared" si="6"/>
        <v>-4.0784260047646197E-3</v>
      </c>
      <c r="O17" s="102">
        <f t="shared" si="6"/>
        <v>2.7465545455480382E-3</v>
      </c>
      <c r="P17" s="102">
        <f t="shared" si="6"/>
        <v>4.8473316594428934E-4</v>
      </c>
      <c r="Q17" s="102">
        <f t="shared" si="6"/>
        <v>0.99580848739897532</v>
      </c>
    </row>
    <row r="18" spans="2:18" x14ac:dyDescent="0.25">
      <c r="B18" s="34"/>
      <c r="C18" s="339"/>
      <c r="D18" s="30" t="s">
        <v>46</v>
      </c>
      <c r="E18" s="102">
        <f>E16/$R$16</f>
        <v>8.8124346979095533E-2</v>
      </c>
      <c r="F18" s="102">
        <f t="shared" ref="F18:Q18" si="7">F16/$R$16</f>
        <v>1.0391627769472717E-3</v>
      </c>
      <c r="G18" s="102">
        <f t="shared" si="7"/>
        <v>1.6022227585531956E-2</v>
      </c>
      <c r="H18" s="102">
        <f t="shared" si="7"/>
        <v>1.3425593193900839E-3</v>
      </c>
      <c r="I18" s="102">
        <f t="shared" si="7"/>
        <v>0.71014092814781071</v>
      </c>
      <c r="J18" s="102">
        <f t="shared" si="7"/>
        <v>7.6241481079384003E-3</v>
      </c>
      <c r="K18" s="102">
        <f t="shared" si="7"/>
        <v>0</v>
      </c>
      <c r="L18" s="102">
        <f t="shared" si="7"/>
        <v>2.1983652688495316E-2</v>
      </c>
      <c r="M18" s="102">
        <f t="shared" si="7"/>
        <v>0.14467198392210573</v>
      </c>
      <c r="N18" s="102">
        <f t="shared" si="7"/>
        <v>-5.4119582389453573E-2</v>
      </c>
      <c r="O18" s="102">
        <f t="shared" si="7"/>
        <v>9.0474798983646437E-3</v>
      </c>
      <c r="P18" s="102">
        <f t="shared" si="7"/>
        <v>3.5105743200940621E-6</v>
      </c>
      <c r="Q18" s="102">
        <f t="shared" si="7"/>
        <v>0.94588041761054631</v>
      </c>
    </row>
    <row r="19" spans="2:18" x14ac:dyDescent="0.25">
      <c r="B19" s="34"/>
      <c r="C19" s="338" t="s">
        <v>520</v>
      </c>
      <c r="D19" s="30" t="s">
        <v>45</v>
      </c>
      <c r="E19" s="102">
        <f>E15/$Q$15</f>
        <v>4.0554319612154055E-2</v>
      </c>
      <c r="F19" s="102">
        <f t="shared" ref="F19:P19" si="8">F15/$Q$15</f>
        <v>2.8748439808521796E-4</v>
      </c>
      <c r="G19" s="102">
        <f t="shared" si="8"/>
        <v>1.340672499537755E-2</v>
      </c>
      <c r="H19" s="102">
        <f t="shared" si="8"/>
        <v>1.5308038162981463E-4</v>
      </c>
      <c r="I19" s="102">
        <f t="shared" si="8"/>
        <v>0.94604383574172524</v>
      </c>
      <c r="J19" s="102">
        <f t="shared" si="8"/>
        <v>5.1882149627087426E-4</v>
      </c>
      <c r="K19" s="102">
        <f t="shared" si="8"/>
        <v>-1.135625953093574E-4</v>
      </c>
      <c r="L19" s="102">
        <f t="shared" si="8"/>
        <v>0</v>
      </c>
      <c r="M19" s="102">
        <f t="shared" si="8"/>
        <v>0</v>
      </c>
      <c r="N19" s="102">
        <f t="shared" si="8"/>
        <v>-4.0955927333149742E-3</v>
      </c>
      <c r="O19" s="102">
        <f t="shared" si="8"/>
        <v>2.758115220248789E-3</v>
      </c>
      <c r="P19" s="102">
        <f t="shared" si="8"/>
        <v>4.867734831326846E-4</v>
      </c>
      <c r="Q19" s="102">
        <f>SUM(E19:P19)</f>
        <v>1</v>
      </c>
    </row>
    <row r="20" spans="2:18" x14ac:dyDescent="0.25">
      <c r="B20" s="34"/>
      <c r="C20" s="339"/>
      <c r="D20" s="30" t="s">
        <v>46</v>
      </c>
      <c r="E20" s="102">
        <f>E16/$Q$16</f>
        <v>9.3166477853207405E-2</v>
      </c>
      <c r="F20" s="102">
        <f t="shared" ref="F20:P20" si="9">F16/$Q$16</f>
        <v>1.0986196115280325E-3</v>
      </c>
      <c r="G20" s="102">
        <f t="shared" si="9"/>
        <v>1.6938956856731222E-2</v>
      </c>
      <c r="H20" s="102">
        <f t="shared" si="9"/>
        <v>1.4193753189030126E-3</v>
      </c>
      <c r="I20" s="102">
        <f t="shared" si="9"/>
        <v>0.75077241787259608</v>
      </c>
      <c r="J20" s="102">
        <f t="shared" si="9"/>
        <v>8.0603720787436172E-3</v>
      </c>
      <c r="K20" s="102">
        <f t="shared" si="9"/>
        <v>0</v>
      </c>
      <c r="L20" s="102">
        <f t="shared" si="9"/>
        <v>2.3241471415625388E-2</v>
      </c>
      <c r="M20" s="102">
        <f t="shared" si="9"/>
        <v>0.15294954967729599</v>
      </c>
      <c r="N20" s="102">
        <f t="shared" si="9"/>
        <v>-5.7216093474235126E-2</v>
      </c>
      <c r="O20" s="102">
        <f t="shared" si="9"/>
        <v>9.5651413539357393E-3</v>
      </c>
      <c r="P20" s="102">
        <f t="shared" si="9"/>
        <v>3.711435668540814E-6</v>
      </c>
      <c r="Q20" s="102">
        <f>SUM(E20:P20)</f>
        <v>0.99999999999999978</v>
      </c>
    </row>
    <row r="21" spans="2:18" x14ac:dyDescent="0.25">
      <c r="P21" s="194"/>
    </row>
    <row r="22" spans="2:18" x14ac:dyDescent="0.25">
      <c r="B22" s="34"/>
      <c r="C22" s="36" t="s">
        <v>36</v>
      </c>
      <c r="D22" s="36" t="s">
        <v>90</v>
      </c>
      <c r="E22" s="36" t="str">
        <f>E6</f>
        <v>Electricity</v>
      </c>
      <c r="F22" s="36" t="str">
        <f t="shared" ref="F22:P22" si="10">F6</f>
        <v>Natural Gas</v>
      </c>
      <c r="G22" s="36" t="str">
        <f t="shared" si="10"/>
        <v>Chemicals</v>
      </c>
      <c r="H22" s="36" t="str">
        <f t="shared" si="10"/>
        <v>Unit Process Emissions</v>
      </c>
      <c r="I22" s="36" t="str">
        <f t="shared" si="10"/>
        <v>Effluent Release</v>
      </c>
      <c r="J22" s="36" t="str">
        <f t="shared" si="10"/>
        <v>Transport</v>
      </c>
      <c r="K22" s="36" t="str">
        <f t="shared" si="10"/>
        <v>Landfill</v>
      </c>
      <c r="L22" s="36" t="str">
        <f t="shared" si="10"/>
        <v>Composting</v>
      </c>
      <c r="M22" s="36" t="str">
        <f t="shared" si="10"/>
        <v>Land Application</v>
      </c>
      <c r="N22" s="36" t="str">
        <f t="shared" si="10"/>
        <v>Avoided Products</v>
      </c>
      <c r="O22" s="36" t="str">
        <f t="shared" si="10"/>
        <v>Infrastructure</v>
      </c>
      <c r="P22" s="36" t="str">
        <f t="shared" si="10"/>
        <v>Diesel</v>
      </c>
      <c r="Q22" s="36" t="s">
        <v>34</v>
      </c>
      <c r="R22" s="36" t="s">
        <v>526</v>
      </c>
    </row>
    <row r="23" spans="2:18" ht="15" customHeight="1" x14ac:dyDescent="0.25">
      <c r="B23" s="34" t="str">
        <f>LookUps!E12</f>
        <v>Cumulative Energy Demand (CED) - MJ</v>
      </c>
      <c r="C23" s="340" t="str">
        <f>LookUps!E12</f>
        <v>Cumulative Energy Demand (CED) - MJ</v>
      </c>
      <c r="D23" s="30" t="str">
        <f>D15</f>
        <v>Legacy</v>
      </c>
      <c r="E23" s="33">
        <f>SUMIFS(OpenLCAdetail!$J:$J,OpenLCAdetail!$B:$B,Drivers!$D23,OpenLCAdetail!$C:$C,Drivers!E$6,OpenLCAdetail!$K:$K,Drivers!$B23)</f>
        <v>6.4712200000000006</v>
      </c>
      <c r="F23" s="33">
        <f>SUMIFS(OpenLCAdetail!$J:$J,OpenLCAdetail!$B:$B,Drivers!$D23,OpenLCAdetail!$C:$C,Drivers!F$6,OpenLCAdetail!$K:$K,Drivers!$B23)</f>
        <v>0.81969999999999998</v>
      </c>
      <c r="G23" s="33">
        <f>SUMIFS(OpenLCAdetail!$J:$J,OpenLCAdetail!$B:$B,Drivers!$D23,OpenLCAdetail!$C:$C,Drivers!G$6,OpenLCAdetail!$K:$K,Drivers!$B23)</f>
        <v>1.1334600000000001</v>
      </c>
      <c r="H23" s="33">
        <f>SUMIFS(OpenLCAdetail!$J:$J,OpenLCAdetail!$B:$B,Drivers!$D23,OpenLCAdetail!$C:$C,Drivers!H$6,OpenLCAdetail!$K:$K,Drivers!$B23)</f>
        <v>-1.5693799995594726E-6</v>
      </c>
      <c r="I23" s="33">
        <f>SUMIFS(OpenLCAdetail!$J:$J,OpenLCAdetail!$B:$B,Drivers!$D23,OpenLCAdetail!$C:$C,Drivers!I$6,OpenLCAdetail!$K:$K,Drivers!$B23)</f>
        <v>-1.0000000000000026E-5</v>
      </c>
      <c r="J23" s="33">
        <f>SUMIFS(OpenLCAdetail!$J:$J,OpenLCAdetail!$B:$B,Drivers!$D23,OpenLCAdetail!$C:$C,Drivers!J$6,OpenLCAdetail!$K:$K,Drivers!$B23)</f>
        <v>0.35979</v>
      </c>
      <c r="K23" s="33">
        <f>SUMIFS(OpenLCAdetail!$J:$J,OpenLCAdetail!$B:$B,Drivers!$D23,OpenLCAdetail!$C:$C,Drivers!K$6,OpenLCAdetail!$K:$K,Drivers!$B23)</f>
        <v>1.0000000000121023E-5</v>
      </c>
      <c r="L23" s="33">
        <f>SUMIFS(OpenLCAdetail!$J:$J,OpenLCAdetail!$B:$B,Drivers!$D23,OpenLCAdetail!$C:$C,Drivers!L$6,OpenLCAdetail!$K:$K,Drivers!$B23)</f>
        <v>0</v>
      </c>
      <c r="M23" s="33">
        <f>SUMIFS(OpenLCAdetail!$J:$J,OpenLCAdetail!$B:$B,Drivers!$D23,OpenLCAdetail!$C:$C,Drivers!M$6,OpenLCAdetail!$K:$K,Drivers!$B23)</f>
        <v>0</v>
      </c>
      <c r="N23" s="33">
        <f>SUMIFS(OpenLCAdetail!$J:$J,OpenLCAdetail!$B:$B,Drivers!$D23,OpenLCAdetail!$C:$C,Drivers!N$6,OpenLCAdetail!$K:$K,Drivers!$B23)</f>
        <v>-0.67484</v>
      </c>
      <c r="O23" s="33">
        <f>SUMIFS(OpenLCAdetail!$J:$J,OpenLCAdetail!$B:$B,Drivers!$D23,OpenLCAdetail!$C:$C,Drivers!O$6,OpenLCAdetail!$K:$K,Drivers!$B23)</f>
        <v>0.30164156938000009</v>
      </c>
      <c r="P23" s="33">
        <f>SUMIFS(OpenLCAdetail!$J:$J,OpenLCAdetail!$B:$B,Drivers!$D23,OpenLCAdetail!$C:$C,Drivers!P$6,OpenLCAdetail!$K:$K,Drivers!$B23)</f>
        <v>0.66330999999999996</v>
      </c>
      <c r="Q23" s="47">
        <f>SUM(E23:P23)</f>
        <v>9.0742800000000017</v>
      </c>
      <c r="R23" s="186">
        <f>SUMIF(E23:P23, "&gt;0", E23:P23)</f>
        <v>9.7491315693800011</v>
      </c>
    </row>
    <row r="24" spans="2:18" x14ac:dyDescent="0.25">
      <c r="B24" s="34" t="str">
        <f>LookUps!E12</f>
        <v>Cumulative Energy Demand (CED) - MJ</v>
      </c>
      <c r="C24" s="341"/>
      <c r="D24" s="30" t="str">
        <f>D16</f>
        <v>Upgraded</v>
      </c>
      <c r="E24" s="33">
        <f>SUMIFS(OpenLCAdetail!$J:$J,OpenLCAdetail!$B:$B,Drivers!$D24,OpenLCAdetail!$C:$C,Drivers!E$6,OpenLCAdetail!$K:$K,Drivers!$B24)</f>
        <v>9.524189999999999</v>
      </c>
      <c r="F24" s="33">
        <f>SUMIFS(OpenLCAdetail!$J:$J,OpenLCAdetail!$B:$B,Drivers!$D24,OpenLCAdetail!$C:$C,Drivers!F$6,OpenLCAdetail!$K:$K,Drivers!$B24)</f>
        <v>1.98082</v>
      </c>
      <c r="G24" s="33">
        <f>SUMIFS(OpenLCAdetail!$J:$J,OpenLCAdetail!$B:$B,Drivers!$D24,OpenLCAdetail!$C:$C,Drivers!G$6,OpenLCAdetail!$K:$K,Drivers!$B24)</f>
        <v>0.86721000000000004</v>
      </c>
      <c r="H24" s="33">
        <f>SUMIFS(OpenLCAdetail!$J:$J,OpenLCAdetail!$B:$B,Drivers!$D24,OpenLCAdetail!$C:$C,Drivers!H$6,OpenLCAdetail!$K:$K,Drivers!$B24)</f>
        <v>-1.7757429999529228E-5</v>
      </c>
      <c r="I24" s="33">
        <f>SUMIFS(OpenLCAdetail!$J:$J,OpenLCAdetail!$B:$B,Drivers!$D24,OpenLCAdetail!$C:$C,Drivers!I$6,OpenLCAdetail!$K:$K,Drivers!$B24)</f>
        <v>-9.9999999999822453E-6</v>
      </c>
      <c r="J24" s="33">
        <f>SUMIFS(OpenLCAdetail!$J:$J,OpenLCAdetail!$B:$B,Drivers!$D24,OpenLCAdetail!$C:$C,Drivers!J$6,OpenLCAdetail!$K:$K,Drivers!$B24)</f>
        <v>3.5409199999999998</v>
      </c>
      <c r="K24" s="33">
        <f>SUMIFS(OpenLCAdetail!$J:$J,OpenLCAdetail!$B:$B,Drivers!$D24,OpenLCAdetail!$C:$C,Drivers!K$6,OpenLCAdetail!$K:$K,Drivers!$B24)</f>
        <v>0</v>
      </c>
      <c r="L24" s="33">
        <f>SUMIFS(OpenLCAdetail!$J:$J,OpenLCAdetail!$B:$B,Drivers!$D24,OpenLCAdetail!$C:$C,Drivers!L$6,OpenLCAdetail!$K:$K,Drivers!$B24)</f>
        <v>0</v>
      </c>
      <c r="M24" s="33">
        <f>SUMIFS(OpenLCAdetail!$J:$J,OpenLCAdetail!$B:$B,Drivers!$D24,OpenLCAdetail!$C:$C,Drivers!M$6,OpenLCAdetail!$K:$K,Drivers!$B24)</f>
        <v>-6.0994999999675059E-6</v>
      </c>
      <c r="N24" s="33">
        <f>SUMIFS(OpenLCAdetail!$J:$J,OpenLCAdetail!$B:$B,Drivers!$D24,OpenLCAdetail!$C:$C,Drivers!N$6,OpenLCAdetail!$K:$K,Drivers!$B24)</f>
        <v>-6.9582200000000007</v>
      </c>
      <c r="O24" s="33">
        <f>SUMIFS(OpenLCAdetail!$J:$J,OpenLCAdetail!$B:$B,Drivers!$D24,OpenLCAdetail!$C:$C,Drivers!O$6,OpenLCAdetail!$K:$K,Drivers!$B24)</f>
        <v>0.59667775743000007</v>
      </c>
      <c r="P24" s="33">
        <f>SUMIFS(OpenLCAdetail!$J:$J,OpenLCAdetail!$B:$B,Drivers!$D24,OpenLCAdetail!$C:$C,Drivers!P$6,OpenLCAdetail!$K:$K,Drivers!$B24)</f>
        <v>9.3609949999999998E-4</v>
      </c>
      <c r="Q24" s="100">
        <f>SUM(E24:P24)</f>
        <v>9.5524999999999984</v>
      </c>
      <c r="R24" s="186">
        <f>SUMIF(E24:P24, "&gt;0", E24:P24)</f>
        <v>16.510753856929998</v>
      </c>
    </row>
    <row r="25" spans="2:18" x14ac:dyDescent="0.25">
      <c r="B25" s="34"/>
      <c r="C25" s="338" t="s">
        <v>521</v>
      </c>
      <c r="D25" s="30" t="s">
        <v>45</v>
      </c>
      <c r="E25" s="102">
        <f>E23/$R$23</f>
        <v>0.66377399401652959</v>
      </c>
      <c r="F25" s="102">
        <f t="shared" ref="F25:P25" si="11">F23/$R$23</f>
        <v>8.4079283797390478E-2</v>
      </c>
      <c r="G25" s="102">
        <f t="shared" si="11"/>
        <v>0.11626266318529978</v>
      </c>
      <c r="H25" s="102">
        <f t="shared" si="11"/>
        <v>-1.6097638937283085E-7</v>
      </c>
      <c r="I25" s="102">
        <f t="shared" si="11"/>
        <v>-1.025732387426994E-6</v>
      </c>
      <c r="J25" s="102">
        <f t="shared" si="11"/>
        <v>3.6904825567235726E-2</v>
      </c>
      <c r="K25" s="102">
        <f t="shared" si="11"/>
        <v>1.0257323874394052E-6</v>
      </c>
      <c r="L25" s="102">
        <f t="shared" si="11"/>
        <v>0</v>
      </c>
      <c r="M25" s="102">
        <f t="shared" si="11"/>
        <v>0</v>
      </c>
      <c r="N25" s="102">
        <f t="shared" si="11"/>
        <v>-6.9220524433123085E-2</v>
      </c>
      <c r="O25" s="102">
        <f t="shared" si="11"/>
        <v>3.0940352710737196E-2</v>
      </c>
      <c r="P25" s="102">
        <f t="shared" si="11"/>
        <v>6.8037854990419755E-2</v>
      </c>
      <c r="Q25" s="102">
        <f>Q23/$R$23</f>
        <v>0.9307782888581001</v>
      </c>
    </row>
    <row r="26" spans="2:18" x14ac:dyDescent="0.25">
      <c r="B26" s="34"/>
      <c r="C26" s="339"/>
      <c r="D26" s="30" t="s">
        <v>46</v>
      </c>
      <c r="E26" s="102">
        <f>E24/$R$24</f>
        <v>0.57684767652219859</v>
      </c>
      <c r="F26" s="102">
        <f t="shared" ref="F26:P26" si="12">F24/$R$24</f>
        <v>0.11997150567226206</v>
      </c>
      <c r="G26" s="102">
        <f t="shared" si="12"/>
        <v>5.2523949391687474E-2</v>
      </c>
      <c r="H26" s="102">
        <f t="shared" si="12"/>
        <v>-1.0755069183031861E-6</v>
      </c>
      <c r="I26" s="102">
        <f t="shared" si="12"/>
        <v>-6.0566586399596656E-7</v>
      </c>
      <c r="J26" s="102">
        <f t="shared" si="12"/>
        <v>0.21446143711444057</v>
      </c>
      <c r="K26" s="102">
        <f t="shared" si="12"/>
        <v>0</v>
      </c>
      <c r="L26" s="102">
        <f t="shared" si="12"/>
        <v>0</v>
      </c>
      <c r="M26" s="102">
        <f t="shared" si="12"/>
        <v>-3.6942589374302765E-7</v>
      </c>
      <c r="N26" s="102">
        <f>N24/$R$24</f>
        <v>-0.42143563281814977</v>
      </c>
      <c r="O26" s="102">
        <f t="shared" si="12"/>
        <v>3.6138734948165843E-2</v>
      </c>
      <c r="P26" s="102">
        <f t="shared" si="12"/>
        <v>5.6696351245469891E-5</v>
      </c>
      <c r="Q26" s="102">
        <f>Q24/$R$24</f>
        <v>0.57856231658317425</v>
      </c>
    </row>
    <row r="27" spans="2:18" x14ac:dyDescent="0.25">
      <c r="C27" s="338" t="s">
        <v>520</v>
      </c>
      <c r="D27" s="30" t="s">
        <v>45</v>
      </c>
      <c r="E27" s="102">
        <f>E23/$Q$23</f>
        <v>0.71313867326112923</v>
      </c>
      <c r="F27" s="102">
        <f t="shared" ref="F27:P27" si="13">F23/$Q$23</f>
        <v>9.0332235725589224E-2</v>
      </c>
      <c r="G27" s="102">
        <f t="shared" si="13"/>
        <v>0.12490908369589653</v>
      </c>
      <c r="H27" s="102">
        <f t="shared" si="13"/>
        <v>-1.7294815671981384E-7</v>
      </c>
      <c r="I27" s="102">
        <f t="shared" si="13"/>
        <v>-1.1020158073147429E-6</v>
      </c>
      <c r="J27" s="102">
        <f t="shared" si="13"/>
        <v>3.964942673137703E-2</v>
      </c>
      <c r="K27" s="102">
        <f t="shared" si="13"/>
        <v>1.1020158073280769E-6</v>
      </c>
      <c r="L27" s="102">
        <f t="shared" si="13"/>
        <v>0</v>
      </c>
      <c r="M27" s="102">
        <f t="shared" si="13"/>
        <v>0</v>
      </c>
      <c r="N27" s="102">
        <f t="shared" si="13"/>
        <v>-7.436843474082791E-2</v>
      </c>
      <c r="O27" s="102">
        <f t="shared" si="13"/>
        <v>3.3241377759998594E-2</v>
      </c>
      <c r="P27" s="102">
        <f t="shared" si="13"/>
        <v>7.3097810514994005E-2</v>
      </c>
      <c r="Q27" s="185">
        <f>SUM(E27:P27)</f>
        <v>1</v>
      </c>
    </row>
    <row r="28" spans="2:18" x14ac:dyDescent="0.25">
      <c r="C28" s="339"/>
      <c r="D28" s="30" t="s">
        <v>46</v>
      </c>
      <c r="E28" s="102">
        <f>E24/$Q$24</f>
        <v>0.99703637791154154</v>
      </c>
      <c r="F28" s="102">
        <f t="shared" ref="F28:P28" si="14">F24/$Q$24</f>
        <v>0.20736142371107044</v>
      </c>
      <c r="G28" s="102">
        <f t="shared" si="14"/>
        <v>9.0783564511907902E-2</v>
      </c>
      <c r="H28" s="102">
        <f t="shared" si="14"/>
        <v>-1.8589301229551668E-6</v>
      </c>
      <c r="I28" s="102">
        <f t="shared" si="14"/>
        <v>-1.0468463752925672E-6</v>
      </c>
      <c r="J28" s="102">
        <f t="shared" si="14"/>
        <v>0.37067992672075378</v>
      </c>
      <c r="K28" s="102">
        <f t="shared" si="14"/>
        <v>0</v>
      </c>
      <c r="L28" s="102">
        <f t="shared" si="14"/>
        <v>0</v>
      </c>
      <c r="M28" s="102">
        <f t="shared" si="14"/>
        <v>-6.3852394660743332E-7</v>
      </c>
      <c r="N28" s="102">
        <f t="shared" si="14"/>
        <v>-0.72841873855011796</v>
      </c>
      <c r="O28" s="102">
        <f t="shared" si="14"/>
        <v>6.2462994758440214E-2</v>
      </c>
      <c r="P28" s="102">
        <f t="shared" si="14"/>
        <v>9.7995236848992417E-5</v>
      </c>
      <c r="Q28" s="185">
        <f>SUM(E28:P28)</f>
        <v>0.99999999999999989</v>
      </c>
    </row>
    <row r="29" spans="2:18" x14ac:dyDescent="0.25">
      <c r="C29" s="188"/>
      <c r="D29" s="189"/>
      <c r="E29" s="190"/>
      <c r="F29" s="190"/>
      <c r="G29" s="190"/>
      <c r="H29" s="190"/>
      <c r="I29" s="190"/>
      <c r="J29" s="190"/>
      <c r="K29" s="190"/>
      <c r="L29" s="190"/>
      <c r="M29" s="190"/>
      <c r="N29" s="190"/>
      <c r="O29" s="190"/>
      <c r="P29" s="190"/>
      <c r="Q29" s="190"/>
    </row>
    <row r="30" spans="2:18" x14ac:dyDescent="0.25">
      <c r="C30" s="192" t="s">
        <v>87</v>
      </c>
      <c r="J30" s="192" t="s">
        <v>88</v>
      </c>
    </row>
    <row r="31" spans="2:18" x14ac:dyDescent="0.25"/>
    <row r="32" spans="2:18"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spans="3:3" x14ac:dyDescent="0.25"/>
    <row r="50" spans="3:3" x14ac:dyDescent="0.25"/>
    <row r="51" spans="3:3" x14ac:dyDescent="0.25"/>
    <row r="52" spans="3:3" x14ac:dyDescent="0.25"/>
    <row r="53" spans="3:3" x14ac:dyDescent="0.25"/>
    <row r="54" spans="3:3" x14ac:dyDescent="0.25"/>
    <row r="55" spans="3:3" x14ac:dyDescent="0.25"/>
    <row r="56" spans="3:3" x14ac:dyDescent="0.25">
      <c r="C56" s="192" t="s">
        <v>89</v>
      </c>
    </row>
    <row r="57" spans="3:3" x14ac:dyDescent="0.25"/>
    <row r="58" spans="3:3" x14ac:dyDescent="0.25">
      <c r="C58" s="192" t="s">
        <v>249</v>
      </c>
    </row>
    <row r="59" spans="3:3" x14ac:dyDescent="0.25"/>
    <row r="60" spans="3:3" x14ac:dyDescent="0.25"/>
    <row r="61" spans="3:3" x14ac:dyDescent="0.25"/>
    <row r="62" spans="3:3" x14ac:dyDescent="0.25"/>
    <row r="63" spans="3:3" x14ac:dyDescent="0.25"/>
    <row r="64" spans="3:3"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sheetData>
  <mergeCells count="9">
    <mergeCell ref="C25:C26"/>
    <mergeCell ref="C27:C28"/>
    <mergeCell ref="C7:C8"/>
    <mergeCell ref="C15:C16"/>
    <mergeCell ref="C23:C24"/>
    <mergeCell ref="C9:C10"/>
    <mergeCell ref="C17:C18"/>
    <mergeCell ref="C11:C12"/>
    <mergeCell ref="C19:C20"/>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I92"/>
  <sheetViews>
    <sheetView topLeftCell="A28" workbookViewId="0">
      <selection activeCell="I54" sqref="I54"/>
    </sheetView>
  </sheetViews>
  <sheetFormatPr defaultRowHeight="15.75" x14ac:dyDescent="0.25"/>
  <cols>
    <col min="1" max="1" width="9" style="119"/>
    <col min="2" max="2" width="19" style="119" customWidth="1"/>
    <col min="3" max="3" width="24" style="119" bestFit="1" customWidth="1"/>
    <col min="4" max="4" width="15.5" style="119" bestFit="1" customWidth="1"/>
    <col min="5" max="5" width="15.75" style="119" customWidth="1"/>
    <col min="6" max="6" width="11.75" style="119" customWidth="1"/>
    <col min="7" max="7" width="22.25" style="119" customWidth="1"/>
    <col min="8" max="16384" width="9" style="119"/>
  </cols>
  <sheetData>
    <row r="1" spans="1:9" x14ac:dyDescent="0.25">
      <c r="A1" s="195" t="s">
        <v>410</v>
      </c>
    </row>
    <row r="2" spans="1:9" x14ac:dyDescent="0.25">
      <c r="A2" s="196" t="s">
        <v>272</v>
      </c>
    </row>
    <row r="4" spans="1:9" x14ac:dyDescent="0.25">
      <c r="B4" s="195" t="s">
        <v>406</v>
      </c>
    </row>
    <row r="5" spans="1:9" x14ac:dyDescent="0.25">
      <c r="B5" s="138" t="s">
        <v>132</v>
      </c>
      <c r="C5" s="138" t="s">
        <v>274</v>
      </c>
      <c r="D5" s="366" t="s">
        <v>2</v>
      </c>
      <c r="E5" s="367"/>
      <c r="F5" s="199"/>
      <c r="G5" s="195" t="s">
        <v>396</v>
      </c>
    </row>
    <row r="6" spans="1:9" ht="24" customHeight="1" x14ac:dyDescent="0.25">
      <c r="B6" s="138" t="s">
        <v>45</v>
      </c>
      <c r="C6" s="138">
        <v>1</v>
      </c>
      <c r="D6" s="365" t="s">
        <v>407</v>
      </c>
      <c r="E6" s="365"/>
      <c r="F6" s="200"/>
      <c r="G6" s="201" t="s">
        <v>33</v>
      </c>
    </row>
    <row r="7" spans="1:9" ht="24" customHeight="1" x14ac:dyDescent="0.25">
      <c r="B7" s="138" t="s">
        <v>46</v>
      </c>
      <c r="C7" s="138">
        <v>2</v>
      </c>
      <c r="D7" s="365"/>
      <c r="E7" s="365"/>
      <c r="F7" s="200"/>
    </row>
    <row r="8" spans="1:9" ht="24" customHeight="1" x14ac:dyDescent="0.25">
      <c r="B8" s="202"/>
      <c r="C8" s="202"/>
      <c r="D8" s="200"/>
      <c r="E8" s="200"/>
      <c r="F8" s="200"/>
    </row>
    <row r="9" spans="1:9" x14ac:dyDescent="0.25">
      <c r="B9" s="195" t="s">
        <v>275</v>
      </c>
      <c r="G9" s="197" t="s">
        <v>394</v>
      </c>
    </row>
    <row r="10" spans="1:9" x14ac:dyDescent="0.25">
      <c r="B10" s="138" t="s">
        <v>132</v>
      </c>
      <c r="C10" s="138" t="s">
        <v>274</v>
      </c>
      <c r="G10" s="195" t="s">
        <v>395</v>
      </c>
      <c r="I10" s="195" t="s">
        <v>396</v>
      </c>
    </row>
    <row r="11" spans="1:9" x14ac:dyDescent="0.25">
      <c r="B11" s="138" t="s">
        <v>273</v>
      </c>
      <c r="C11" s="138">
        <v>2</v>
      </c>
      <c r="G11" s="119" t="s">
        <v>403</v>
      </c>
      <c r="I11" s="198" t="s">
        <v>218</v>
      </c>
    </row>
    <row r="12" spans="1:9" x14ac:dyDescent="0.25">
      <c r="B12" s="138" t="s">
        <v>133</v>
      </c>
      <c r="C12" s="138">
        <v>1</v>
      </c>
      <c r="G12" s="119" t="s">
        <v>405</v>
      </c>
    </row>
    <row r="13" spans="1:9" x14ac:dyDescent="0.25">
      <c r="B13" s="138" t="s">
        <v>134</v>
      </c>
      <c r="C13" s="138">
        <v>3</v>
      </c>
      <c r="G13" s="119" t="s">
        <v>216</v>
      </c>
    </row>
    <row r="14" spans="1:9" x14ac:dyDescent="0.25">
      <c r="B14" s="138" t="s">
        <v>136</v>
      </c>
      <c r="C14" s="138">
        <v>5</v>
      </c>
    </row>
    <row r="15" spans="1:9" x14ac:dyDescent="0.25">
      <c r="B15" s="138" t="s">
        <v>135</v>
      </c>
      <c r="C15" s="138">
        <v>4</v>
      </c>
      <c r="G15" s="197" t="s">
        <v>388</v>
      </c>
    </row>
    <row r="16" spans="1:9" x14ac:dyDescent="0.25">
      <c r="B16" s="138" t="s">
        <v>137</v>
      </c>
      <c r="C16" s="138">
        <v>6</v>
      </c>
      <c r="G16" s="119" t="s">
        <v>408</v>
      </c>
    </row>
    <row r="17" spans="2:7" x14ac:dyDescent="0.25">
      <c r="B17" s="138" t="s">
        <v>139</v>
      </c>
      <c r="C17" s="138">
        <v>8</v>
      </c>
      <c r="G17" s="120" t="s">
        <v>390</v>
      </c>
    </row>
    <row r="18" spans="2:7" x14ac:dyDescent="0.25">
      <c r="B18" s="138" t="s">
        <v>138</v>
      </c>
      <c r="C18" s="138">
        <v>7</v>
      </c>
      <c r="G18" s="120" t="s">
        <v>391</v>
      </c>
    </row>
    <row r="19" spans="2:7" x14ac:dyDescent="0.25">
      <c r="B19" s="138" t="s">
        <v>140</v>
      </c>
      <c r="C19" s="138">
        <v>9</v>
      </c>
      <c r="G19" s="196" t="s">
        <v>409</v>
      </c>
    </row>
    <row r="21" spans="2:7" s="202" customFormat="1" x14ac:dyDescent="0.25">
      <c r="B21" s="195" t="s">
        <v>398</v>
      </c>
      <c r="C21" s="119"/>
      <c r="D21" s="119"/>
      <c r="E21" s="119"/>
      <c r="F21" s="119"/>
      <c r="G21" s="119"/>
    </row>
    <row r="22" spans="2:7" s="202" customFormat="1" x14ac:dyDescent="0.25">
      <c r="B22" s="138" t="s">
        <v>132</v>
      </c>
      <c r="C22" s="138" t="s">
        <v>274</v>
      </c>
      <c r="D22" s="368" t="s">
        <v>2</v>
      </c>
      <c r="E22" s="368"/>
      <c r="F22" s="119"/>
      <c r="G22" s="195" t="s">
        <v>396</v>
      </c>
    </row>
    <row r="23" spans="2:7" s="202" customFormat="1" ht="24" customHeight="1" x14ac:dyDescent="0.25">
      <c r="B23" s="138" t="s">
        <v>414</v>
      </c>
      <c r="C23" s="138">
        <v>1</v>
      </c>
      <c r="D23" s="365" t="s">
        <v>420</v>
      </c>
      <c r="E23" s="365"/>
      <c r="F23" s="138" t="s">
        <v>433</v>
      </c>
      <c r="G23" s="201" t="s">
        <v>117</v>
      </c>
    </row>
    <row r="24" spans="2:7" s="202" customFormat="1" ht="24" customHeight="1" x14ac:dyDescent="0.25">
      <c r="B24" s="138" t="s">
        <v>415</v>
      </c>
      <c r="C24" s="138" t="s">
        <v>522</v>
      </c>
      <c r="D24" s="365"/>
      <c r="E24" s="365"/>
      <c r="F24" s="138" t="s">
        <v>433</v>
      </c>
      <c r="G24" s="119"/>
    </row>
    <row r="25" spans="2:7" x14ac:dyDescent="0.25">
      <c r="B25" s="138" t="s">
        <v>416</v>
      </c>
      <c r="C25" s="138">
        <v>3</v>
      </c>
      <c r="D25" s="365"/>
      <c r="E25" s="365"/>
      <c r="F25" s="138" t="s">
        <v>433</v>
      </c>
    </row>
    <row r="26" spans="2:7" x14ac:dyDescent="0.25">
      <c r="B26" s="138" t="s">
        <v>417</v>
      </c>
      <c r="C26" s="138">
        <v>4</v>
      </c>
      <c r="D26" s="365"/>
      <c r="E26" s="365"/>
      <c r="F26" s="138" t="s">
        <v>433</v>
      </c>
    </row>
    <row r="27" spans="2:7" x14ac:dyDescent="0.25">
      <c r="B27" s="138" t="s">
        <v>418</v>
      </c>
      <c r="C27" s="138">
        <v>5</v>
      </c>
      <c r="D27" s="365"/>
      <c r="E27" s="365"/>
      <c r="F27" s="138" t="s">
        <v>433</v>
      </c>
    </row>
    <row r="28" spans="2:7" x14ac:dyDescent="0.25">
      <c r="B28" s="138" t="s">
        <v>419</v>
      </c>
      <c r="C28" s="138">
        <v>6</v>
      </c>
      <c r="D28" s="365"/>
      <c r="E28" s="365"/>
      <c r="F28" s="138" t="s">
        <v>433</v>
      </c>
    </row>
    <row r="30" spans="2:7" x14ac:dyDescent="0.25">
      <c r="B30" s="195" t="s">
        <v>519</v>
      </c>
    </row>
    <row r="31" spans="2:7" x14ac:dyDescent="0.25">
      <c r="B31" s="138" t="s">
        <v>132</v>
      </c>
      <c r="C31" s="138" t="s">
        <v>274</v>
      </c>
      <c r="D31" s="368" t="s">
        <v>2</v>
      </c>
      <c r="E31" s="368"/>
      <c r="G31" s="195" t="s">
        <v>395</v>
      </c>
    </row>
    <row r="32" spans="2:7" ht="21" customHeight="1" x14ac:dyDescent="0.25">
      <c r="B32" s="138" t="s">
        <v>130</v>
      </c>
      <c r="C32" s="138">
        <v>1</v>
      </c>
      <c r="D32" s="365" t="s">
        <v>400</v>
      </c>
      <c r="E32" s="365"/>
      <c r="G32" s="119" t="s">
        <v>401</v>
      </c>
    </row>
    <row r="33" spans="2:8" ht="21" customHeight="1" x14ac:dyDescent="0.25">
      <c r="B33" s="138" t="s">
        <v>399</v>
      </c>
      <c r="C33" s="138">
        <v>2</v>
      </c>
      <c r="D33" s="365"/>
      <c r="E33" s="365"/>
      <c r="G33" s="119" t="s">
        <v>402</v>
      </c>
    </row>
    <row r="34" spans="2:8" ht="21" customHeight="1" x14ac:dyDescent="0.25">
      <c r="B34" s="138" t="s">
        <v>181</v>
      </c>
      <c r="C34" s="138">
        <v>3</v>
      </c>
      <c r="D34" s="365"/>
      <c r="E34" s="365"/>
      <c r="G34" s="119" t="s">
        <v>403</v>
      </c>
    </row>
    <row r="35" spans="2:8" x14ac:dyDescent="0.25">
      <c r="G35" s="119" t="s">
        <v>404</v>
      </c>
    </row>
    <row r="37" spans="2:8" x14ac:dyDescent="0.25">
      <c r="B37" s="195" t="s">
        <v>276</v>
      </c>
    </row>
    <row r="38" spans="2:8" x14ac:dyDescent="0.25">
      <c r="B38" s="138" t="s">
        <v>132</v>
      </c>
      <c r="C38" s="138" t="s">
        <v>277</v>
      </c>
      <c r="D38" s="138" t="s">
        <v>274</v>
      </c>
      <c r="E38" s="138" t="s">
        <v>430</v>
      </c>
      <c r="F38" s="138" t="s">
        <v>434</v>
      </c>
    </row>
    <row r="39" spans="2:8" x14ac:dyDescent="0.25">
      <c r="B39" s="138" t="s">
        <v>278</v>
      </c>
      <c r="C39" s="138" t="s">
        <v>334</v>
      </c>
      <c r="D39" s="138">
        <v>1</v>
      </c>
      <c r="E39" s="138" t="s">
        <v>433</v>
      </c>
      <c r="F39" s="138" t="s">
        <v>433</v>
      </c>
      <c r="H39" s="119" t="s">
        <v>386</v>
      </c>
    </row>
    <row r="40" spans="2:8" x14ac:dyDescent="0.25">
      <c r="B40" s="138" t="s">
        <v>279</v>
      </c>
      <c r="C40" s="138" t="s">
        <v>332</v>
      </c>
      <c r="D40" s="138">
        <v>2</v>
      </c>
      <c r="E40" s="138" t="s">
        <v>433</v>
      </c>
      <c r="F40" s="138" t="s">
        <v>433</v>
      </c>
      <c r="H40" s="119" t="s">
        <v>387</v>
      </c>
    </row>
    <row r="41" spans="2:8" x14ac:dyDescent="0.25">
      <c r="B41" s="138" t="s">
        <v>280</v>
      </c>
      <c r="C41" s="138" t="s">
        <v>348</v>
      </c>
      <c r="D41" s="138">
        <v>3</v>
      </c>
      <c r="E41" s="138" t="s">
        <v>433</v>
      </c>
      <c r="F41" s="138" t="s">
        <v>433</v>
      </c>
    </row>
    <row r="42" spans="2:8" x14ac:dyDescent="0.25">
      <c r="B42" s="138" t="s">
        <v>281</v>
      </c>
      <c r="C42" s="138" t="s">
        <v>340</v>
      </c>
      <c r="D42" s="138">
        <v>4</v>
      </c>
      <c r="E42" s="138" t="s">
        <v>433</v>
      </c>
      <c r="F42" s="138" t="s">
        <v>433</v>
      </c>
      <c r="H42" s="197" t="s">
        <v>388</v>
      </c>
    </row>
    <row r="43" spans="2:8" x14ac:dyDescent="0.25">
      <c r="B43" s="138" t="s">
        <v>282</v>
      </c>
      <c r="C43" s="138" t="s">
        <v>341</v>
      </c>
      <c r="D43" s="138">
        <v>5</v>
      </c>
      <c r="E43" s="138" t="s">
        <v>433</v>
      </c>
      <c r="F43" s="138" t="s">
        <v>433</v>
      </c>
      <c r="H43" s="119" t="s">
        <v>389</v>
      </c>
    </row>
    <row r="44" spans="2:8" x14ac:dyDescent="0.25">
      <c r="B44" s="138" t="s">
        <v>283</v>
      </c>
      <c r="C44" s="138" t="s">
        <v>349</v>
      </c>
      <c r="D44" s="138">
        <v>6</v>
      </c>
      <c r="E44" s="138" t="s">
        <v>433</v>
      </c>
      <c r="F44" s="138" t="s">
        <v>433</v>
      </c>
      <c r="H44" s="120" t="s">
        <v>390</v>
      </c>
    </row>
    <row r="45" spans="2:8" x14ac:dyDescent="0.25">
      <c r="B45" s="138" t="s">
        <v>284</v>
      </c>
      <c r="C45" s="138" t="s">
        <v>350</v>
      </c>
      <c r="D45" s="138">
        <v>7</v>
      </c>
      <c r="E45" s="138" t="s">
        <v>433</v>
      </c>
      <c r="F45" s="138" t="s">
        <v>433</v>
      </c>
      <c r="H45" s="120" t="s">
        <v>391</v>
      </c>
    </row>
    <row r="46" spans="2:8" x14ac:dyDescent="0.25">
      <c r="B46" s="138" t="s">
        <v>285</v>
      </c>
      <c r="C46" s="138" t="s">
        <v>351</v>
      </c>
      <c r="D46" s="138">
        <v>8</v>
      </c>
      <c r="E46" s="138" t="s">
        <v>433</v>
      </c>
      <c r="F46" s="138" t="s">
        <v>433</v>
      </c>
      <c r="H46" s="120" t="s">
        <v>392</v>
      </c>
    </row>
    <row r="47" spans="2:8" x14ac:dyDescent="0.25">
      <c r="B47" s="138" t="s">
        <v>286</v>
      </c>
      <c r="C47" s="138" t="s">
        <v>352</v>
      </c>
      <c r="D47" s="138">
        <v>9</v>
      </c>
      <c r="E47" s="138" t="s">
        <v>433</v>
      </c>
      <c r="F47" s="138" t="s">
        <v>433</v>
      </c>
      <c r="H47" s="196" t="s">
        <v>393</v>
      </c>
    </row>
    <row r="48" spans="2:8" x14ac:dyDescent="0.25">
      <c r="B48" s="138" t="s">
        <v>287</v>
      </c>
      <c r="C48" s="138" t="s">
        <v>335</v>
      </c>
      <c r="D48" s="138">
        <v>10</v>
      </c>
      <c r="E48" s="138" t="s">
        <v>433</v>
      </c>
      <c r="F48" s="138" t="s">
        <v>433</v>
      </c>
    </row>
    <row r="49" spans="2:6" x14ac:dyDescent="0.25">
      <c r="B49" s="138" t="s">
        <v>288</v>
      </c>
      <c r="C49" s="138" t="s">
        <v>336</v>
      </c>
      <c r="D49" s="138">
        <v>11</v>
      </c>
      <c r="E49" s="138" t="s">
        <v>433</v>
      </c>
      <c r="F49" s="138" t="s">
        <v>433</v>
      </c>
    </row>
    <row r="50" spans="2:6" x14ac:dyDescent="0.25">
      <c r="B50" s="138" t="s">
        <v>289</v>
      </c>
      <c r="C50" s="138" t="s">
        <v>353</v>
      </c>
      <c r="D50" s="138">
        <v>12</v>
      </c>
      <c r="E50" s="138" t="s">
        <v>433</v>
      </c>
      <c r="F50" s="138" t="s">
        <v>433</v>
      </c>
    </row>
    <row r="51" spans="2:6" x14ac:dyDescent="0.25">
      <c r="B51" s="138" t="s">
        <v>290</v>
      </c>
      <c r="C51" s="138" t="s">
        <v>342</v>
      </c>
      <c r="D51" s="138">
        <v>13</v>
      </c>
      <c r="E51" s="138" t="s">
        <v>433</v>
      </c>
      <c r="F51" s="138" t="s">
        <v>433</v>
      </c>
    </row>
    <row r="52" spans="2:6" x14ac:dyDescent="0.25">
      <c r="B52" s="138" t="s">
        <v>291</v>
      </c>
      <c r="C52" s="138" t="s">
        <v>343</v>
      </c>
      <c r="D52" s="138">
        <v>14</v>
      </c>
      <c r="E52" s="138" t="s">
        <v>433</v>
      </c>
      <c r="F52" s="138" t="s">
        <v>433</v>
      </c>
    </row>
    <row r="53" spans="2:6" x14ac:dyDescent="0.25">
      <c r="B53" s="138" t="s">
        <v>292</v>
      </c>
      <c r="C53" s="138" t="s">
        <v>354</v>
      </c>
      <c r="D53" s="138">
        <v>15</v>
      </c>
      <c r="E53" s="138" t="s">
        <v>433</v>
      </c>
      <c r="F53" s="138" t="s">
        <v>433</v>
      </c>
    </row>
    <row r="54" spans="2:6" x14ac:dyDescent="0.25">
      <c r="B54" s="138" t="s">
        <v>293</v>
      </c>
      <c r="C54" s="138" t="s">
        <v>355</v>
      </c>
      <c r="D54" s="138">
        <v>16</v>
      </c>
      <c r="E54" s="138" t="s">
        <v>433</v>
      </c>
      <c r="F54" s="138" t="s">
        <v>433</v>
      </c>
    </row>
    <row r="55" spans="2:6" x14ac:dyDescent="0.25">
      <c r="B55" s="138" t="s">
        <v>294</v>
      </c>
      <c r="C55" s="138" t="s">
        <v>356</v>
      </c>
      <c r="D55" s="138">
        <v>17</v>
      </c>
      <c r="E55" s="138" t="s">
        <v>433</v>
      </c>
      <c r="F55" s="138" t="s">
        <v>433</v>
      </c>
    </row>
    <row r="56" spans="2:6" x14ac:dyDescent="0.25">
      <c r="B56" s="138" t="s">
        <v>295</v>
      </c>
      <c r="C56" s="138" t="s">
        <v>357</v>
      </c>
      <c r="D56" s="138">
        <v>18</v>
      </c>
      <c r="E56" s="138" t="s">
        <v>433</v>
      </c>
      <c r="F56" s="138" t="s">
        <v>433</v>
      </c>
    </row>
    <row r="57" spans="2:6" x14ac:dyDescent="0.25">
      <c r="B57" s="138" t="s">
        <v>296</v>
      </c>
      <c r="C57" s="138" t="s">
        <v>358</v>
      </c>
      <c r="D57" s="138">
        <v>19</v>
      </c>
      <c r="E57" s="138" t="s">
        <v>433</v>
      </c>
      <c r="F57" s="138" t="s">
        <v>433</v>
      </c>
    </row>
    <row r="58" spans="2:6" x14ac:dyDescent="0.25">
      <c r="B58" s="138" t="s">
        <v>297</v>
      </c>
      <c r="C58" s="138" t="s">
        <v>359</v>
      </c>
      <c r="D58" s="138">
        <v>20</v>
      </c>
      <c r="E58" s="138" t="s">
        <v>433</v>
      </c>
      <c r="F58" s="138" t="s">
        <v>433</v>
      </c>
    </row>
    <row r="59" spans="2:6" x14ac:dyDescent="0.25">
      <c r="B59" s="138" t="s">
        <v>298</v>
      </c>
      <c r="C59" s="138" t="s">
        <v>360</v>
      </c>
      <c r="D59" s="138">
        <v>21</v>
      </c>
      <c r="E59" s="138" t="s">
        <v>433</v>
      </c>
      <c r="F59" s="138" t="s">
        <v>433</v>
      </c>
    </row>
    <row r="60" spans="2:6" x14ac:dyDescent="0.25">
      <c r="B60" s="138" t="s">
        <v>299</v>
      </c>
      <c r="C60" s="138" t="s">
        <v>361</v>
      </c>
      <c r="D60" s="138">
        <v>22</v>
      </c>
      <c r="E60" s="138" t="s">
        <v>433</v>
      </c>
      <c r="F60" s="138" t="s">
        <v>433</v>
      </c>
    </row>
    <row r="61" spans="2:6" x14ac:dyDescent="0.25">
      <c r="B61" s="138" t="s">
        <v>300</v>
      </c>
      <c r="C61" s="138" t="s">
        <v>362</v>
      </c>
      <c r="D61" s="138">
        <v>23</v>
      </c>
      <c r="E61" s="138" t="s">
        <v>433</v>
      </c>
      <c r="F61" s="138" t="s">
        <v>433</v>
      </c>
    </row>
    <row r="62" spans="2:6" x14ac:dyDescent="0.25">
      <c r="B62" s="138" t="s">
        <v>301</v>
      </c>
      <c r="C62" s="138" t="s">
        <v>363</v>
      </c>
      <c r="D62" s="138">
        <v>24</v>
      </c>
      <c r="E62" s="138" t="s">
        <v>433</v>
      </c>
      <c r="F62" s="138" t="s">
        <v>433</v>
      </c>
    </row>
    <row r="63" spans="2:6" x14ac:dyDescent="0.25">
      <c r="B63" s="138" t="s">
        <v>302</v>
      </c>
      <c r="C63" s="138" t="s">
        <v>364</v>
      </c>
      <c r="D63" s="138">
        <v>25</v>
      </c>
      <c r="E63" s="138" t="s">
        <v>433</v>
      </c>
      <c r="F63" s="138" t="s">
        <v>433</v>
      </c>
    </row>
    <row r="64" spans="2:6" x14ac:dyDescent="0.25">
      <c r="B64" s="138" t="s">
        <v>303</v>
      </c>
      <c r="C64" s="138" t="s">
        <v>365</v>
      </c>
      <c r="D64" s="138">
        <v>26</v>
      </c>
      <c r="E64" s="138" t="s">
        <v>433</v>
      </c>
      <c r="F64" s="138" t="s">
        <v>433</v>
      </c>
    </row>
    <row r="65" spans="2:6" x14ac:dyDescent="0.25">
      <c r="B65" s="138" t="s">
        <v>304</v>
      </c>
      <c r="C65" s="138" t="s">
        <v>366</v>
      </c>
      <c r="D65" s="138">
        <v>27</v>
      </c>
      <c r="E65" s="138" t="s">
        <v>433</v>
      </c>
      <c r="F65" s="138" t="s">
        <v>433</v>
      </c>
    </row>
    <row r="66" spans="2:6" x14ac:dyDescent="0.25">
      <c r="B66" s="138" t="s">
        <v>305</v>
      </c>
      <c r="C66" s="138" t="s">
        <v>337</v>
      </c>
      <c r="D66" s="138">
        <v>28</v>
      </c>
      <c r="E66" s="138" t="s">
        <v>433</v>
      </c>
      <c r="F66" s="138" t="s">
        <v>433</v>
      </c>
    </row>
    <row r="67" spans="2:6" x14ac:dyDescent="0.25">
      <c r="B67" s="138" t="s">
        <v>306</v>
      </c>
      <c r="C67" s="138" t="s">
        <v>333</v>
      </c>
      <c r="D67" s="138">
        <v>29</v>
      </c>
      <c r="E67" s="138" t="s">
        <v>433</v>
      </c>
      <c r="F67" s="138" t="s">
        <v>433</v>
      </c>
    </row>
    <row r="68" spans="2:6" x14ac:dyDescent="0.25">
      <c r="B68" s="138" t="s">
        <v>307</v>
      </c>
      <c r="C68" s="138" t="s">
        <v>367</v>
      </c>
      <c r="D68" s="138">
        <v>30</v>
      </c>
      <c r="E68" s="138" t="s">
        <v>433</v>
      </c>
      <c r="F68" s="138" t="s">
        <v>433</v>
      </c>
    </row>
    <row r="69" spans="2:6" x14ac:dyDescent="0.25">
      <c r="B69" s="138" t="s">
        <v>308</v>
      </c>
      <c r="C69" s="138" t="s">
        <v>344</v>
      </c>
      <c r="D69" s="138">
        <v>31</v>
      </c>
      <c r="E69" s="138" t="s">
        <v>433</v>
      </c>
      <c r="F69" s="138" t="s">
        <v>433</v>
      </c>
    </row>
    <row r="70" spans="2:6" x14ac:dyDescent="0.25">
      <c r="B70" s="138" t="s">
        <v>309</v>
      </c>
      <c r="C70" s="138" t="s">
        <v>345</v>
      </c>
      <c r="D70" s="138">
        <v>32</v>
      </c>
      <c r="E70" s="138" t="s">
        <v>433</v>
      </c>
      <c r="F70" s="138" t="s">
        <v>433</v>
      </c>
    </row>
    <row r="71" spans="2:6" x14ac:dyDescent="0.25">
      <c r="B71" s="138" t="s">
        <v>310</v>
      </c>
      <c r="C71" s="138" t="s">
        <v>368</v>
      </c>
      <c r="D71" s="138">
        <v>33</v>
      </c>
      <c r="E71" s="138" t="s">
        <v>433</v>
      </c>
      <c r="F71" s="138" t="s">
        <v>433</v>
      </c>
    </row>
    <row r="72" spans="2:6" x14ac:dyDescent="0.25">
      <c r="B72" s="138" t="s">
        <v>311</v>
      </c>
      <c r="C72" s="138" t="s">
        <v>369</v>
      </c>
      <c r="D72" s="138">
        <v>34</v>
      </c>
      <c r="E72" s="138" t="s">
        <v>433</v>
      </c>
      <c r="F72" s="138" t="s">
        <v>433</v>
      </c>
    </row>
    <row r="73" spans="2:6" x14ac:dyDescent="0.25">
      <c r="B73" s="138" t="s">
        <v>312</v>
      </c>
      <c r="C73" s="138" t="s">
        <v>370</v>
      </c>
      <c r="D73" s="138">
        <v>35</v>
      </c>
      <c r="E73" s="138" t="s">
        <v>433</v>
      </c>
      <c r="F73" s="138" t="s">
        <v>433</v>
      </c>
    </row>
    <row r="74" spans="2:6" x14ac:dyDescent="0.25">
      <c r="B74" s="138" t="s">
        <v>313</v>
      </c>
      <c r="C74" s="138" t="s">
        <v>371</v>
      </c>
      <c r="D74" s="138">
        <v>36</v>
      </c>
      <c r="E74" s="138" t="s">
        <v>433</v>
      </c>
      <c r="F74" s="138" t="s">
        <v>433</v>
      </c>
    </row>
    <row r="75" spans="2:6" x14ac:dyDescent="0.25">
      <c r="B75" s="138" t="s">
        <v>314</v>
      </c>
      <c r="C75" s="138" t="s">
        <v>338</v>
      </c>
      <c r="D75" s="138">
        <v>37</v>
      </c>
      <c r="E75" s="138" t="s">
        <v>433</v>
      </c>
      <c r="F75" s="138" t="s">
        <v>433</v>
      </c>
    </row>
    <row r="76" spans="2:6" x14ac:dyDescent="0.25">
      <c r="B76" s="138" t="s">
        <v>315</v>
      </c>
      <c r="C76" s="138" t="s">
        <v>339</v>
      </c>
      <c r="D76" s="138">
        <v>38</v>
      </c>
      <c r="E76" s="138" t="s">
        <v>433</v>
      </c>
      <c r="F76" s="138" t="s">
        <v>433</v>
      </c>
    </row>
    <row r="77" spans="2:6" x14ac:dyDescent="0.25">
      <c r="B77" s="138" t="s">
        <v>316</v>
      </c>
      <c r="C77" s="138" t="s">
        <v>372</v>
      </c>
      <c r="D77" s="138">
        <v>39</v>
      </c>
      <c r="E77" s="138" t="s">
        <v>433</v>
      </c>
      <c r="F77" s="138" t="s">
        <v>433</v>
      </c>
    </row>
    <row r="78" spans="2:6" x14ac:dyDescent="0.25">
      <c r="B78" s="138" t="s">
        <v>317</v>
      </c>
      <c r="C78" s="138" t="s">
        <v>346</v>
      </c>
      <c r="D78" s="138">
        <v>40</v>
      </c>
      <c r="E78" s="138" t="s">
        <v>433</v>
      </c>
      <c r="F78" s="138" t="s">
        <v>433</v>
      </c>
    </row>
    <row r="79" spans="2:6" x14ac:dyDescent="0.25">
      <c r="B79" s="138" t="s">
        <v>318</v>
      </c>
      <c r="C79" s="138" t="s">
        <v>347</v>
      </c>
      <c r="D79" s="138">
        <v>41</v>
      </c>
      <c r="E79" s="138" t="s">
        <v>433</v>
      </c>
      <c r="F79" s="138" t="s">
        <v>433</v>
      </c>
    </row>
    <row r="80" spans="2:6" x14ac:dyDescent="0.25">
      <c r="B80" s="138" t="s">
        <v>319</v>
      </c>
      <c r="C80" s="138" t="s">
        <v>373</v>
      </c>
      <c r="D80" s="138">
        <v>42</v>
      </c>
      <c r="E80" s="138" t="s">
        <v>433</v>
      </c>
      <c r="F80" s="138" t="s">
        <v>433</v>
      </c>
    </row>
    <row r="81" spans="2:6" x14ac:dyDescent="0.25">
      <c r="B81" s="138" t="s">
        <v>320</v>
      </c>
      <c r="C81" s="138" t="s">
        <v>374</v>
      </c>
      <c r="D81" s="138">
        <v>43</v>
      </c>
      <c r="E81" s="138" t="s">
        <v>433</v>
      </c>
      <c r="F81" s="138" t="s">
        <v>433</v>
      </c>
    </row>
    <row r="82" spans="2:6" x14ac:dyDescent="0.25">
      <c r="B82" s="138" t="s">
        <v>321</v>
      </c>
      <c r="C82" s="138" t="s">
        <v>375</v>
      </c>
      <c r="D82" s="138">
        <v>44</v>
      </c>
      <c r="E82" s="138" t="s">
        <v>433</v>
      </c>
      <c r="F82" s="138" t="s">
        <v>433</v>
      </c>
    </row>
    <row r="83" spans="2:6" x14ac:dyDescent="0.25">
      <c r="B83" s="138" t="s">
        <v>322</v>
      </c>
      <c r="C83" s="138" t="s">
        <v>376</v>
      </c>
      <c r="D83" s="138">
        <v>45</v>
      </c>
      <c r="E83" s="138" t="s">
        <v>433</v>
      </c>
      <c r="F83" s="138" t="s">
        <v>433</v>
      </c>
    </row>
    <row r="84" spans="2:6" x14ac:dyDescent="0.25">
      <c r="B84" s="138" t="s">
        <v>323</v>
      </c>
      <c r="C84" s="138" t="s">
        <v>377</v>
      </c>
      <c r="D84" s="138">
        <v>46</v>
      </c>
      <c r="E84" s="138" t="s">
        <v>433</v>
      </c>
      <c r="F84" s="138" t="s">
        <v>433</v>
      </c>
    </row>
    <row r="85" spans="2:6" x14ac:dyDescent="0.25">
      <c r="B85" s="138" t="s">
        <v>324</v>
      </c>
      <c r="C85" s="138" t="s">
        <v>378</v>
      </c>
      <c r="D85" s="138">
        <v>47</v>
      </c>
      <c r="E85" s="138" t="s">
        <v>433</v>
      </c>
      <c r="F85" s="138" t="s">
        <v>433</v>
      </c>
    </row>
    <row r="86" spans="2:6" x14ac:dyDescent="0.25">
      <c r="B86" s="138" t="s">
        <v>325</v>
      </c>
      <c r="C86" s="138" t="s">
        <v>379</v>
      </c>
      <c r="D86" s="138">
        <v>48</v>
      </c>
      <c r="E86" s="138" t="s">
        <v>433</v>
      </c>
      <c r="F86" s="138" t="s">
        <v>433</v>
      </c>
    </row>
    <row r="87" spans="2:6" x14ac:dyDescent="0.25">
      <c r="B87" s="138" t="s">
        <v>326</v>
      </c>
      <c r="C87" s="138" t="s">
        <v>380</v>
      </c>
      <c r="D87" s="138">
        <v>49</v>
      </c>
      <c r="E87" s="138" t="s">
        <v>433</v>
      </c>
      <c r="F87" s="138" t="s">
        <v>433</v>
      </c>
    </row>
    <row r="88" spans="2:6" x14ac:dyDescent="0.25">
      <c r="B88" s="138" t="s">
        <v>327</v>
      </c>
      <c r="C88" s="138" t="s">
        <v>381</v>
      </c>
      <c r="D88" s="138">
        <v>50</v>
      </c>
      <c r="E88" s="138" t="s">
        <v>433</v>
      </c>
      <c r="F88" s="138" t="s">
        <v>433</v>
      </c>
    </row>
    <row r="89" spans="2:6" x14ac:dyDescent="0.25">
      <c r="B89" s="138" t="s">
        <v>328</v>
      </c>
      <c r="C89" s="138" t="s">
        <v>382</v>
      </c>
      <c r="D89" s="138">
        <v>51</v>
      </c>
      <c r="E89" s="138" t="s">
        <v>433</v>
      </c>
      <c r="F89" s="138" t="s">
        <v>433</v>
      </c>
    </row>
    <row r="90" spans="2:6" x14ac:dyDescent="0.25">
      <c r="B90" s="138" t="s">
        <v>329</v>
      </c>
      <c r="C90" s="138" t="s">
        <v>383</v>
      </c>
      <c r="D90" s="138">
        <v>52</v>
      </c>
      <c r="E90" s="138" t="s">
        <v>433</v>
      </c>
      <c r="F90" s="138" t="s">
        <v>433</v>
      </c>
    </row>
    <row r="91" spans="2:6" x14ac:dyDescent="0.25">
      <c r="B91" s="138" t="s">
        <v>330</v>
      </c>
      <c r="C91" s="138" t="s">
        <v>384</v>
      </c>
      <c r="D91" s="138">
        <v>53</v>
      </c>
      <c r="E91" s="138" t="s">
        <v>433</v>
      </c>
      <c r="F91" s="138" t="s">
        <v>433</v>
      </c>
    </row>
    <row r="92" spans="2:6" x14ac:dyDescent="0.25">
      <c r="B92" s="138" t="s">
        <v>331</v>
      </c>
      <c r="C92" s="138" t="s">
        <v>385</v>
      </c>
      <c r="D92" s="138">
        <v>54</v>
      </c>
      <c r="E92" s="138" t="s">
        <v>433</v>
      </c>
      <c r="F92" s="138" t="s">
        <v>433</v>
      </c>
    </row>
  </sheetData>
  <mergeCells count="6">
    <mergeCell ref="D32:E34"/>
    <mergeCell ref="D5:E5"/>
    <mergeCell ref="D6:E7"/>
    <mergeCell ref="D22:E22"/>
    <mergeCell ref="D31:E31"/>
    <mergeCell ref="D23:E28"/>
  </mergeCells>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3"/>
  <sheetViews>
    <sheetView workbookViewId="0"/>
  </sheetViews>
  <sheetFormatPr defaultColWidth="0" defaultRowHeight="15.75" x14ac:dyDescent="0.25"/>
  <cols>
    <col min="1" max="1" width="8.125" style="3" customWidth="1"/>
    <col min="2" max="2" width="38.125" style="3" bestFit="1" customWidth="1"/>
    <col min="3" max="3" width="27.25" style="3" bestFit="1" customWidth="1"/>
    <col min="4" max="4" width="20.5" style="3" customWidth="1"/>
    <col min="5" max="5" width="78.625" style="3" bestFit="1" customWidth="1"/>
    <col min="6" max="6" width="9" style="3" customWidth="1"/>
    <col min="7" max="7" width="69.625" style="3" bestFit="1" customWidth="1"/>
    <col min="8" max="8" width="64.75" style="3" customWidth="1"/>
    <col min="9" max="9" width="26.875" style="3" bestFit="1" customWidth="1"/>
    <col min="10" max="10" width="23" style="3" customWidth="1"/>
    <col min="11" max="12" width="9" style="3" customWidth="1"/>
    <col min="13" max="16384" width="9" style="3" hidden="1"/>
  </cols>
  <sheetData>
    <row r="1" spans="1:10" x14ac:dyDescent="0.25">
      <c r="A1" s="2" t="s">
        <v>35</v>
      </c>
    </row>
    <row r="3" spans="1:10" x14ac:dyDescent="0.25">
      <c r="G3" s="49" t="s">
        <v>120</v>
      </c>
      <c r="H3" s="50"/>
      <c r="I3" s="48"/>
      <c r="J3" s="55"/>
    </row>
    <row r="4" spans="1:10" x14ac:dyDescent="0.25">
      <c r="B4" s="5" t="s">
        <v>36</v>
      </c>
      <c r="C4" s="5" t="s">
        <v>38</v>
      </c>
      <c r="D4" s="5" t="s">
        <v>43</v>
      </c>
      <c r="E4" s="5" t="s">
        <v>44</v>
      </c>
      <c r="G4" s="5" t="s">
        <v>121</v>
      </c>
      <c r="H4" s="5" t="s">
        <v>122</v>
      </c>
      <c r="I4" s="5" t="s">
        <v>63</v>
      </c>
      <c r="J4" s="5" t="s">
        <v>129</v>
      </c>
    </row>
    <row r="5" spans="1:10" x14ac:dyDescent="0.25">
      <c r="B5" s="6" t="s">
        <v>18</v>
      </c>
      <c r="C5" s="6" t="s">
        <v>7</v>
      </c>
      <c r="D5" s="6" t="s">
        <v>23</v>
      </c>
      <c r="E5" s="6" t="str">
        <f t="shared" ref="E5:E12" si="0">CONCATENATE(B5," (",C5,") - ",D5)</f>
        <v>Global Warming Potential (GWP) - kg CO2 eq</v>
      </c>
      <c r="G5" s="54" t="s">
        <v>128</v>
      </c>
      <c r="H5" s="4" t="s">
        <v>128</v>
      </c>
      <c r="I5" s="6" t="s">
        <v>64</v>
      </c>
      <c r="J5" s="6"/>
    </row>
    <row r="6" spans="1:10" x14ac:dyDescent="0.25">
      <c r="B6" s="6" t="s">
        <v>17</v>
      </c>
      <c r="C6" s="6" t="s">
        <v>6</v>
      </c>
      <c r="D6" s="6" t="s">
        <v>13</v>
      </c>
      <c r="E6" s="6" t="str">
        <f t="shared" si="0"/>
        <v>Eutrophication Potential (EP) - kg N eq</v>
      </c>
      <c r="G6" s="6" t="s">
        <v>147</v>
      </c>
      <c r="H6" s="4" t="s">
        <v>150</v>
      </c>
      <c r="I6" s="6" t="s">
        <v>64</v>
      </c>
      <c r="J6" s="6"/>
    </row>
    <row r="7" spans="1:10" x14ac:dyDescent="0.25">
      <c r="B7" s="6" t="s">
        <v>37</v>
      </c>
      <c r="C7" s="6" t="s">
        <v>39</v>
      </c>
      <c r="D7" s="6" t="s">
        <v>145</v>
      </c>
      <c r="E7" s="6" t="str">
        <f t="shared" si="0"/>
        <v>Particulate Matter Formation Potential (PMFP) - kg PM2.5 eq</v>
      </c>
      <c r="G7" s="6" t="s">
        <v>53</v>
      </c>
      <c r="H7" s="6"/>
      <c r="I7" s="6" t="s">
        <v>64</v>
      </c>
      <c r="J7" s="6"/>
    </row>
    <row r="8" spans="1:10" x14ac:dyDescent="0.25">
      <c r="B8" s="6" t="s">
        <v>20</v>
      </c>
      <c r="C8" s="6" t="s">
        <v>40</v>
      </c>
      <c r="D8" s="6" t="s">
        <v>25</v>
      </c>
      <c r="E8" s="6" t="str">
        <f t="shared" si="0"/>
        <v>Smog Formation Potential (SFP) - kg O3 eq</v>
      </c>
      <c r="G8" s="6" t="s">
        <v>54</v>
      </c>
      <c r="H8" s="6" t="s">
        <v>126</v>
      </c>
      <c r="I8" s="6" t="s">
        <v>64</v>
      </c>
      <c r="J8" s="6"/>
    </row>
    <row r="9" spans="1:10" x14ac:dyDescent="0.25">
      <c r="B9" s="6" t="s">
        <v>19</v>
      </c>
      <c r="C9" s="6" t="s">
        <v>9</v>
      </c>
      <c r="D9" s="6" t="s">
        <v>24</v>
      </c>
      <c r="E9" s="6" t="str">
        <f t="shared" si="0"/>
        <v>Acidification Potential (AP) - kg SO2 eq</v>
      </c>
      <c r="G9" s="6" t="s">
        <v>55</v>
      </c>
      <c r="H9" s="6" t="s">
        <v>124</v>
      </c>
      <c r="I9" s="6" t="s">
        <v>49</v>
      </c>
      <c r="J9" s="140" t="s">
        <v>124</v>
      </c>
    </row>
    <row r="10" spans="1:10" x14ac:dyDescent="0.25">
      <c r="B10" s="6" t="s">
        <v>496</v>
      </c>
      <c r="C10" s="6" t="s">
        <v>480</v>
      </c>
      <c r="D10" s="6" t="s">
        <v>26</v>
      </c>
      <c r="E10" s="6" t="str">
        <f t="shared" si="0"/>
        <v>Water Use (WU) - m3 H2O</v>
      </c>
      <c r="G10" s="90" t="s">
        <v>148</v>
      </c>
      <c r="H10" s="6" t="s">
        <v>56</v>
      </c>
      <c r="I10" s="6" t="s">
        <v>119</v>
      </c>
      <c r="J10" s="140" t="s">
        <v>56</v>
      </c>
    </row>
    <row r="11" spans="1:10" x14ac:dyDescent="0.25">
      <c r="B11" s="6" t="s">
        <v>41</v>
      </c>
      <c r="C11" s="6" t="s">
        <v>42</v>
      </c>
      <c r="D11" s="6" t="s">
        <v>14</v>
      </c>
      <c r="E11" s="6" t="str">
        <f t="shared" si="0"/>
        <v>Fossil Depletion Potential (FDP) - kg oil eq</v>
      </c>
      <c r="G11" s="6" t="s">
        <v>57</v>
      </c>
      <c r="H11" s="6" t="s">
        <v>127</v>
      </c>
      <c r="I11" s="6" t="s">
        <v>66</v>
      </c>
      <c r="J11" s="6"/>
    </row>
    <row r="12" spans="1:10" x14ac:dyDescent="0.25">
      <c r="B12" s="6" t="s">
        <v>21</v>
      </c>
      <c r="C12" s="6" t="s">
        <v>8</v>
      </c>
      <c r="D12" s="6" t="s">
        <v>15</v>
      </c>
      <c r="E12" s="6" t="str">
        <f t="shared" si="0"/>
        <v>Cumulative Energy Demand (CED) - MJ</v>
      </c>
      <c r="G12" s="6" t="s">
        <v>167</v>
      </c>
      <c r="H12" s="6"/>
      <c r="I12" s="6" t="s">
        <v>66</v>
      </c>
      <c r="J12" s="6"/>
    </row>
    <row r="13" spans="1:10" x14ac:dyDescent="0.25">
      <c r="B13" s="6" t="s">
        <v>5</v>
      </c>
      <c r="C13" s="6" t="s">
        <v>5</v>
      </c>
      <c r="D13" s="6" t="s">
        <v>16</v>
      </c>
      <c r="E13" s="6" t="s">
        <v>146</v>
      </c>
      <c r="G13" s="6" t="s">
        <v>58</v>
      </c>
      <c r="H13" s="6"/>
      <c r="I13" s="6" t="s">
        <v>49</v>
      </c>
      <c r="J13" s="6"/>
    </row>
    <row r="14" spans="1:10" x14ac:dyDescent="0.25">
      <c r="G14" s="6" t="s">
        <v>59</v>
      </c>
      <c r="H14" s="6"/>
      <c r="I14" s="6" t="s">
        <v>66</v>
      </c>
      <c r="J14" s="6"/>
    </row>
    <row r="15" spans="1:10" x14ac:dyDescent="0.25">
      <c r="B15" s="5" t="s">
        <v>78</v>
      </c>
      <c r="D15" s="5" t="s">
        <v>86</v>
      </c>
      <c r="G15" s="6" t="s">
        <v>60</v>
      </c>
      <c r="H15" s="6" t="s">
        <v>123</v>
      </c>
      <c r="I15" s="6" t="s">
        <v>66</v>
      </c>
      <c r="J15" s="140" t="s">
        <v>123</v>
      </c>
    </row>
    <row r="16" spans="1:10" x14ac:dyDescent="0.25">
      <c r="B16" s="6" t="s">
        <v>29</v>
      </c>
      <c r="D16" s="6" t="s">
        <v>45</v>
      </c>
      <c r="G16" s="6" t="s">
        <v>435</v>
      </c>
      <c r="H16" s="6"/>
      <c r="I16" s="6" t="s">
        <v>66</v>
      </c>
      <c r="J16" s="6"/>
    </row>
    <row r="17" spans="2:10" x14ac:dyDescent="0.25">
      <c r="B17" s="6" t="s">
        <v>30</v>
      </c>
      <c r="D17" s="6" t="s">
        <v>46</v>
      </c>
      <c r="G17" s="6" t="s">
        <v>168</v>
      </c>
      <c r="H17" s="6"/>
      <c r="I17" s="6" t="s">
        <v>66</v>
      </c>
      <c r="J17" s="6"/>
    </row>
    <row r="18" spans="2:10" x14ac:dyDescent="0.25">
      <c r="B18" s="6" t="s">
        <v>32</v>
      </c>
      <c r="G18" s="6" t="s">
        <v>62</v>
      </c>
      <c r="H18" s="4" t="s">
        <v>151</v>
      </c>
      <c r="I18" s="6" t="s">
        <v>117</v>
      </c>
      <c r="J18" s="6"/>
    </row>
    <row r="19" spans="2:10" x14ac:dyDescent="0.25">
      <c r="B19" s="6" t="s">
        <v>161</v>
      </c>
      <c r="G19" s="90" t="s">
        <v>149</v>
      </c>
      <c r="H19" s="6" t="s">
        <v>125</v>
      </c>
      <c r="I19" s="6" t="s">
        <v>66</v>
      </c>
      <c r="J19" s="6"/>
    </row>
    <row r="20" spans="2:10" x14ac:dyDescent="0.25">
      <c r="B20" s="6" t="s">
        <v>33</v>
      </c>
      <c r="D20" s="5" t="s">
        <v>179</v>
      </c>
      <c r="G20" s="6" t="s">
        <v>48</v>
      </c>
      <c r="H20" s="6" t="s">
        <v>48</v>
      </c>
      <c r="I20" s="6" t="s">
        <v>33</v>
      </c>
      <c r="J20" s="6"/>
    </row>
    <row r="21" spans="2:10" x14ac:dyDescent="0.25">
      <c r="B21" s="6" t="s">
        <v>164</v>
      </c>
      <c r="D21" s="6" t="s">
        <v>180</v>
      </c>
      <c r="G21" s="6" t="s">
        <v>271</v>
      </c>
      <c r="H21" s="6"/>
      <c r="I21" s="6"/>
      <c r="J21" s="6"/>
    </row>
    <row r="22" spans="2:10" x14ac:dyDescent="0.25">
      <c r="B22" s="6" t="s">
        <v>184</v>
      </c>
      <c r="D22" s="6" t="s">
        <v>130</v>
      </c>
    </row>
    <row r="23" spans="2:10" x14ac:dyDescent="0.25">
      <c r="B23" s="6" t="s">
        <v>79</v>
      </c>
      <c r="D23" s="6" t="s">
        <v>181</v>
      </c>
      <c r="G23" s="5" t="s">
        <v>131</v>
      </c>
      <c r="H23" s="5" t="s">
        <v>132</v>
      </c>
    </row>
    <row r="24" spans="2:10" x14ac:dyDescent="0.25">
      <c r="B24" s="6" t="s">
        <v>80</v>
      </c>
      <c r="G24" s="6">
        <v>1</v>
      </c>
      <c r="H24" s="6" t="s">
        <v>133</v>
      </c>
    </row>
    <row r="25" spans="2:10" x14ac:dyDescent="0.25">
      <c r="B25" s="6" t="s">
        <v>81</v>
      </c>
      <c r="G25" s="6">
        <f>G24+1</f>
        <v>2</v>
      </c>
      <c r="H25" s="6" t="s">
        <v>130</v>
      </c>
    </row>
    <row r="26" spans="2:10" x14ac:dyDescent="0.25">
      <c r="B26" s="6" t="s">
        <v>31</v>
      </c>
      <c r="G26" s="6">
        <f t="shared" ref="G26:G32" si="1">G25+1</f>
        <v>3</v>
      </c>
      <c r="H26" s="6" t="s">
        <v>134</v>
      </c>
      <c r="J26" s="53"/>
    </row>
    <row r="27" spans="2:10" x14ac:dyDescent="0.25">
      <c r="B27" s="6" t="s">
        <v>165</v>
      </c>
      <c r="G27" s="6">
        <f t="shared" si="1"/>
        <v>4</v>
      </c>
      <c r="H27" s="6" t="s">
        <v>135</v>
      </c>
      <c r="J27" s="53"/>
    </row>
    <row r="28" spans="2:10" x14ac:dyDescent="0.25">
      <c r="G28" s="6">
        <f t="shared" si="1"/>
        <v>5</v>
      </c>
      <c r="H28" s="65" t="s">
        <v>136</v>
      </c>
      <c r="J28" s="53"/>
    </row>
    <row r="29" spans="2:10" x14ac:dyDescent="0.25">
      <c r="B29" s="25" t="s">
        <v>113</v>
      </c>
      <c r="E29" s="5" t="s">
        <v>118</v>
      </c>
      <c r="G29" s="6">
        <f t="shared" si="1"/>
        <v>6</v>
      </c>
      <c r="H29" s="65" t="s">
        <v>137</v>
      </c>
      <c r="J29" s="53"/>
    </row>
    <row r="30" spans="2:10" x14ac:dyDescent="0.25">
      <c r="B30" s="6" t="s">
        <v>2</v>
      </c>
      <c r="C30" s="6" t="s">
        <v>115</v>
      </c>
      <c r="E30" s="6" t="s">
        <v>64</v>
      </c>
      <c r="G30" s="6">
        <f t="shared" si="1"/>
        <v>7</v>
      </c>
      <c r="H30" s="65" t="s">
        <v>138</v>
      </c>
      <c r="J30" s="53"/>
    </row>
    <row r="31" spans="2:10" x14ac:dyDescent="0.25">
      <c r="B31" s="6" t="s">
        <v>114</v>
      </c>
      <c r="C31" s="6">
        <v>1381675</v>
      </c>
      <c r="E31" s="6" t="s">
        <v>49</v>
      </c>
      <c r="G31" s="6">
        <f>G30+1</f>
        <v>8</v>
      </c>
      <c r="H31" s="65" t="s">
        <v>139</v>
      </c>
      <c r="J31" s="53"/>
    </row>
    <row r="32" spans="2:10" x14ac:dyDescent="0.25">
      <c r="B32" s="6"/>
      <c r="C32" s="6"/>
      <c r="E32" s="6" t="s">
        <v>65</v>
      </c>
      <c r="G32" s="6">
        <f t="shared" si="1"/>
        <v>9</v>
      </c>
      <c r="H32" s="65" t="s">
        <v>140</v>
      </c>
      <c r="J32" s="53"/>
    </row>
    <row r="33" spans="2:10" x14ac:dyDescent="0.25">
      <c r="B33" s="6"/>
      <c r="C33" s="6"/>
      <c r="E33" s="6" t="s">
        <v>66</v>
      </c>
      <c r="H33" s="52"/>
      <c r="J33" s="53"/>
    </row>
    <row r="34" spans="2:10" x14ac:dyDescent="0.25">
      <c r="B34" s="6"/>
      <c r="C34" s="6"/>
      <c r="E34" s="6" t="s">
        <v>117</v>
      </c>
      <c r="H34" s="52"/>
      <c r="J34" s="53"/>
    </row>
    <row r="35" spans="2:10" x14ac:dyDescent="0.25">
      <c r="H35" s="52"/>
      <c r="J35" s="53"/>
    </row>
    <row r="36" spans="2:10" x14ac:dyDescent="0.25">
      <c r="B36" s="5" t="s">
        <v>421</v>
      </c>
      <c r="D36" s="5" t="s">
        <v>427</v>
      </c>
      <c r="H36" s="52"/>
    </row>
    <row r="37" spans="2:10" x14ac:dyDescent="0.25">
      <c r="B37" s="6" t="s">
        <v>424</v>
      </c>
      <c r="D37" s="6" t="s">
        <v>428</v>
      </c>
    </row>
    <row r="38" spans="2:10" x14ac:dyDescent="0.25">
      <c r="B38" s="6" t="s">
        <v>423</v>
      </c>
      <c r="D38" s="6" t="s">
        <v>397</v>
      </c>
    </row>
    <row r="39" spans="2:10" x14ac:dyDescent="0.25">
      <c r="B39" s="6" t="s">
        <v>483</v>
      </c>
      <c r="D39" s="6" t="s">
        <v>484</v>
      </c>
    </row>
    <row r="40" spans="2:10" x14ac:dyDescent="0.25">
      <c r="C40" s="5" t="s">
        <v>429</v>
      </c>
      <c r="E40" s="5" t="s">
        <v>436</v>
      </c>
    </row>
    <row r="41" spans="2:10" x14ac:dyDescent="0.25">
      <c r="C41" s="6" t="s">
        <v>430</v>
      </c>
      <c r="E41" s="6" t="s">
        <v>435</v>
      </c>
    </row>
    <row r="42" spans="2:10" x14ac:dyDescent="0.25">
      <c r="C42" s="6" t="s">
        <v>431</v>
      </c>
      <c r="E42" s="6" t="s">
        <v>271</v>
      </c>
    </row>
    <row r="43" spans="2:10" x14ac:dyDescent="0.25">
      <c r="C43" s="6" t="s">
        <v>483</v>
      </c>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0"/>
  <sheetViews>
    <sheetView zoomScale="70" zoomScaleNormal="70" workbookViewId="0">
      <selection activeCell="B33" sqref="B33"/>
    </sheetView>
  </sheetViews>
  <sheetFormatPr defaultColWidth="0" defaultRowHeight="15.75" zeroHeight="1" x14ac:dyDescent="0.25"/>
  <cols>
    <col min="1" max="1" width="27.875" style="9" bestFit="1" customWidth="1"/>
    <col min="2" max="2" width="95.625" style="9" bestFit="1" customWidth="1"/>
    <col min="3" max="4" width="12.125" style="9" customWidth="1"/>
    <col min="5" max="14" width="9" style="9" customWidth="1"/>
    <col min="15" max="15" width="11.375" style="9" bestFit="1" customWidth="1"/>
    <col min="16" max="25" width="9" style="9" customWidth="1"/>
    <col min="26" max="16384" width="9" style="9" hidden="1"/>
  </cols>
  <sheetData>
    <row r="1" spans="1:10" ht="21" x14ac:dyDescent="0.35">
      <c r="A1" s="8"/>
      <c r="B1" s="23" t="str">
        <f>LookUps!E6</f>
        <v>Eutrophication Potential (EP) - kg N eq</v>
      </c>
    </row>
    <row r="2" spans="1:10" x14ac:dyDescent="0.25">
      <c r="A2" s="24" t="str">
        <f>CONCATENATE("LCIA Results File for ", INDEX(LookUps!$B$5:$B$12,MATCH(EP!$B$1,LookUps!$E$5:$E$12,0)), " units are in ", INDEX(LookUps!$D$5:$D$12, MATCH(EP!$B$1,LookUps!$E$5:$E$12,0)))</f>
        <v>LCIA Results File for Eutrophication Potential units are in kg N eq</v>
      </c>
      <c r="B2" s="1"/>
    </row>
    <row r="3" spans="1:10" x14ac:dyDescent="0.25">
      <c r="A3" s="24"/>
      <c r="B3" s="1"/>
    </row>
    <row r="4" spans="1:10" x14ac:dyDescent="0.25">
      <c r="A4" s="125" t="s">
        <v>505</v>
      </c>
      <c r="B4" s="1"/>
    </row>
    <row r="5" spans="1:10" s="124" customFormat="1" x14ac:dyDescent="0.25">
      <c r="A5" s="127" t="s">
        <v>211</v>
      </c>
      <c r="B5" s="129" t="str">
        <f>GWP!$B$5</f>
        <v>Base</v>
      </c>
      <c r="J5" s="130" t="str">
        <f>CONCATENATE("Figure is presenting results for the ", GWP!$B$5, " Feedstock-AD scenario and the ", GWP!$B$6, " GHG emissions scenario")</f>
        <v>Figure is presenting results for the Base Feedstock-AD scenario and the Base GHG emissions scenario</v>
      </c>
    </row>
    <row r="6" spans="1:10" s="124" customFormat="1" x14ac:dyDescent="0.25">
      <c r="A6" s="128" t="s">
        <v>212</v>
      </c>
      <c r="B6" s="129" t="str">
        <f>GWP!$B$6</f>
        <v>Base</v>
      </c>
    </row>
    <row r="7" spans="1:10" ht="15" customHeight="1" x14ac:dyDescent="0.25">
      <c r="A7" s="66" t="s">
        <v>421</v>
      </c>
      <c r="B7" s="129" t="str">
        <f>GWP!$B$7</f>
        <v>Base_With Amendment</v>
      </c>
    </row>
    <row r="8" spans="1:10" ht="17.25" customHeight="1" x14ac:dyDescent="0.25">
      <c r="A8" s="66" t="s">
        <v>426</v>
      </c>
      <c r="B8" s="129" t="str">
        <f>GWP!$B$8</f>
        <v>Bath Landfill</v>
      </c>
    </row>
    <row r="9" spans="1:10" ht="17.25" customHeight="1" x14ac:dyDescent="0.25">
      <c r="A9" s="66" t="s">
        <v>429</v>
      </c>
      <c r="B9" s="129" t="str">
        <f>GWP!$B$9</f>
        <v>Windrow</v>
      </c>
    </row>
    <row r="10" spans="1:10" x14ac:dyDescent="0.25">
      <c r="A10" s="126" t="s">
        <v>213</v>
      </c>
      <c r="B10" s="1"/>
    </row>
    <row r="11" spans="1:10" x14ac:dyDescent="0.25">
      <c r="A11" s="123"/>
      <c r="B11" s="1"/>
    </row>
    <row r="12" spans="1:10" x14ac:dyDescent="0.25">
      <c r="B12" s="56" t="s">
        <v>47</v>
      </c>
      <c r="C12" s="1" t="s">
        <v>45</v>
      </c>
      <c r="D12" s="1" t="s">
        <v>46</v>
      </c>
      <c r="E12" s="10" t="s">
        <v>27</v>
      </c>
    </row>
    <row r="13" spans="1:10" x14ac:dyDescent="0.25">
      <c r="B13" s="57" t="str">
        <f>GWP!B13</f>
        <v>Wastewater collection; operation and infrastructure; m3 wastewater</v>
      </c>
      <c r="C13" s="260">
        <f>IF(C$12="Legacy",
SUMIFS(OpenLCAbasic!$J:$J,OpenLCAbasic!$D:$D, "Base", OpenLCAbasic!$F:$F,C$12,OpenLCAbasic!$L:$L,$B$1,OpenLCAbasic!$I:$I,$B13, OpenLCAbasic!$C:$C, $B$8),
IF(AND(NOT(ISERROR(MATCH($B13, LookUps!$J$5:$J$20,0))), C$12="Upgraded"),
SUMIFS(OpenLCAbasic!$J:$J,OpenLCAbasic!$D:$D, GWP!$B$5, OpenLCAbasic!$F:$F,C$12,OpenLCAbasic!$L:$L,$B$1,OpenLCAbasic!$I:$I,INDEX(LookUps!$G$5:$G$20,MATCH($B13, LookUps!$J$5:$J$20,0))),
SUMIFS(OpenLCAbasic!$J:$J,OpenLCAbasic!$D:$D, GWP!$B$5, OpenLCAbasic!$F:$F,C$12,OpenLCAbasic!$L:$L,$B$1,OpenLCAbasic!$I:$I,$B13)))</f>
        <v>3.7559799999999999E-5</v>
      </c>
      <c r="D13" s="260">
        <f>IF(AND(NOT(ISERROR(MATCH($B13, LookUps!$J$5:$J$20,0))), D$12="Upgraded"),
SUMIFS(OpenLCAbasic!$J:$J,OpenLCAbasic!$E:$E, "Base", OpenLCAbasic!$D:$D, GWP!$B$5, OpenLCAbasic!$F:$F,D$12,OpenLCAbasic!$L:$L,$B$1,OpenLCAbasic!$C:$C,$B$7,OpenLCAbasic!$I:$I,INDEX(LookUps!$G$5:$G$20,MATCH($B13, LookUps!$J$5:$J$20,0)), OpenLCAbasic!$B:$B, $B$9),
SUMIFS(OpenLCAbasic!$J:$J,OpenLCAbasic!$E:$E, "Base", OpenLCAbasic!$D:$D, GWP!$B$5, OpenLCAbasic!$F:$F,D$12,OpenLCAbasic!$L:$L,$B$1,OpenLCAbasic!$I:$I,$B13, OpenLCAbasic!$C:$C,$B$7, OpenLCAbasic!$B:$B, $B$9))</f>
        <v>3.7559799999999999E-5</v>
      </c>
      <c r="E13" s="9" t="str">
        <f>CONCATENATE("(",INDEX(LookUps!$D$5:$D$12,MATCH(EP!$B$1,LookUps!$E$5:$E$12,0)), "/m3 wastewater treated")</f>
        <v>(kg N eq/m3 wastewater treated</v>
      </c>
    </row>
    <row r="14" spans="1:10" x14ac:dyDescent="0.25">
      <c r="B14" s="58" t="str">
        <f>LookUps!$G$6</f>
        <v>Influent Pump Station; wastewater treatment unit; at updated plant - US</v>
      </c>
      <c r="C14" s="258"/>
      <c r="D14" s="260">
        <f>IF(AND(NOT(ISERROR(MATCH($B14, LookUps!$J$5:$J$20,0))), D$12="Upgraded"),
SUMIFS(OpenLCAbasic!$J:$J,OpenLCAbasic!$E:$E, "Base", OpenLCAbasic!$D:$D, GWP!$B$5, OpenLCAbasic!$F:$F,D$12,OpenLCAbasic!$L:$L,$B$1,OpenLCAbasic!$C:$C,$B$7,OpenLCAbasic!$I:$I,INDEX(LookUps!$G$5:$G$20,MATCH($B14, LookUps!$J$5:$J$20,0)), OpenLCAbasic!$B:$B, $B$9),
SUMIFS(OpenLCAbasic!$J:$J,OpenLCAbasic!$E:$E, "Base", OpenLCAbasic!$D:$D, GWP!$B$5, OpenLCAbasic!$F:$F,D$12,OpenLCAbasic!$L:$L,$B$1,OpenLCAbasic!$I:$I,$B14, OpenLCAbasic!$C:$C,$B$7, OpenLCAbasic!$B:$B, $B$9))</f>
        <v>2.5000000000000001E-4</v>
      </c>
      <c r="E14" s="9" t="str">
        <f>CONCATENATE("(",INDEX(LookUps!$D$5:$D$12,MATCH(EP!$B$1,LookUps!$E$5:$E$12,0)), "/m3 wastewater treated")</f>
        <v>(kg N eq/m3 wastewater treated</v>
      </c>
    </row>
    <row r="15" spans="1:10" x14ac:dyDescent="0.25">
      <c r="B15" s="58" t="str">
        <f>LookUps!$H$6</f>
        <v>Screening and Grit Removal - US</v>
      </c>
      <c r="C15" s="260">
        <f>IF(C$12="Legacy",
SUMIFS(OpenLCAbasic!$J:$J,OpenLCAbasic!$D:$D, "Base", OpenLCAbasic!$F:$F,C$12,OpenLCAbasic!$L:$L,$B$1,OpenLCAbasic!$I:$I,$B15, OpenLCAbasic!$C:$C, $B$8),
IF(AND(NOT(ISERROR(MATCH($B15, LookUps!$J$5:$J$20,0))), C$12="Upgraded"),
SUMIFS(OpenLCAbasic!$J:$J,OpenLCAbasic!$D:$D, GWP!$B$5, OpenLCAbasic!$F:$F,C$12,OpenLCAbasic!$L:$L,$B$1,OpenLCAbasic!$I:$I,INDEX(LookUps!$G$5:$G$20,MATCH($B15, LookUps!$J$5:$J$20,0))),
SUMIFS(OpenLCAbasic!$J:$J,OpenLCAbasic!$D:$D, GWP!$B$5, OpenLCAbasic!$F:$F,C$12,OpenLCAbasic!$L:$L,$B$1,OpenLCAbasic!$I:$I,$B15)))</f>
        <v>2.4301600000000001E-5</v>
      </c>
      <c r="D15" s="258"/>
      <c r="E15" s="9" t="str">
        <f>CONCATENATE("(",INDEX(LookUps!$D$5:$D$12,MATCH(EP!$B$1,LookUps!$E$5:$E$12,0)), "/m3 wastewater treated")</f>
        <v>(kg N eq/m3 wastewater treated</v>
      </c>
    </row>
    <row r="16" spans="1:10" x14ac:dyDescent="0.25">
      <c r="B16" s="58" t="str">
        <f>LookUps!$G$8</f>
        <v>Clear Cove Primary Clarification; wastewater treatment unit; at updated plant - US</v>
      </c>
      <c r="C16" s="258"/>
      <c r="D16" s="260">
        <f>IF(AND(NOT(ISERROR(MATCH($B16, LookUps!$J$5:$J$20,0))), D$12="Upgraded"),
SUMIFS(OpenLCAbasic!$J:$J,OpenLCAbasic!$E:$E, "Base", OpenLCAbasic!$D:$D, GWP!$B$5, OpenLCAbasic!$F:$F,D$12,OpenLCAbasic!$L:$L,$B$1,OpenLCAbasic!$C:$C,$B$7,OpenLCAbasic!$I:$I,INDEX(LookUps!$G$5:$G$20,MATCH($B16, LookUps!$J$5:$J$20,0)), OpenLCAbasic!$B:$B, $B$9),
SUMIFS(OpenLCAbasic!$J:$J,OpenLCAbasic!$E:$E, "Base", OpenLCAbasic!$D:$D, GWP!$B$5, OpenLCAbasic!$F:$F,D$12,OpenLCAbasic!$L:$L,$B$1,OpenLCAbasic!$I:$I,$B16, OpenLCAbasic!$C:$C,$B$7, OpenLCAbasic!$B:$B, $B$9))</f>
        <v>2.0000000000000001E-4</v>
      </c>
      <c r="E16" s="9" t="str">
        <f>CONCATENATE("(",INDEX(LookUps!$D$5:$D$12,MATCH(EP!$B$1,LookUps!$E$5:$E$12,0)), "/m3 wastewater treated")</f>
        <v>(kg N eq/m3 wastewater treated</v>
      </c>
    </row>
    <row r="17" spans="2:5" x14ac:dyDescent="0.25">
      <c r="B17" s="58" t="str">
        <f>LookUps!$H$8</f>
        <v>Primary Clarifier; wastewater treatment unit - US</v>
      </c>
      <c r="C17" s="260">
        <f>IF(C$12="Legacy",
SUMIFS(OpenLCAbasic!$J:$J,OpenLCAbasic!$D:$D, "Base", OpenLCAbasic!$F:$F,C$12,OpenLCAbasic!$L:$L,$B$1,OpenLCAbasic!$I:$I,$B17, OpenLCAbasic!$C:$C, $B$8),
IF(AND(NOT(ISERROR(MATCH($B17, LookUps!$J$5:$J$20,0))), C$12="Upgraded"),
SUMIFS(OpenLCAbasic!$J:$J,OpenLCAbasic!$D:$D, GWP!$B$5, OpenLCAbasic!$F:$F,C$12,OpenLCAbasic!$L:$L,$B$1,OpenLCAbasic!$I:$I,INDEX(LookUps!$G$5:$G$20,MATCH($B17, LookUps!$J$5:$J$20,0))),
SUMIFS(OpenLCAbasic!$J:$J,OpenLCAbasic!$D:$D, GWP!$B$5, OpenLCAbasic!$F:$F,C$12,OpenLCAbasic!$L:$L,$B$1,OpenLCAbasic!$I:$I,$B17)))</f>
        <v>4.2999999999999999E-4</v>
      </c>
      <c r="D17" s="258"/>
      <c r="E17" s="9" t="str">
        <f>CONCATENATE("(",INDEX(LookUps!$D$5:$D$12,MATCH(EP!$B$1,LookUps!$E$5:$E$12,0)), "/m3 wastewater treated")</f>
        <v>(kg N eq/m3 wastewater treated</v>
      </c>
    </row>
    <row r="18" spans="2:5" x14ac:dyDescent="0.25">
      <c r="B18" s="58" t="str">
        <f>LookUps!$G$17</f>
        <v>ClearCove SCP; wastewater treatment unit; at updated plant - US</v>
      </c>
      <c r="C18" s="258"/>
      <c r="D18" s="260">
        <f>IF(AND(NOT(ISERROR(MATCH($B18, LookUps!$J$5:$J$20,0))), D$12="Upgraded"),
SUMIFS(OpenLCAbasic!$J:$J,OpenLCAbasic!$E:$E, "Base", OpenLCAbasic!$D:$D, GWP!$B$5, OpenLCAbasic!$F:$F,D$12,OpenLCAbasic!$L:$L,$B$1,OpenLCAbasic!$C:$C,$B$7,OpenLCAbasic!$I:$I,INDEX(LookUps!$G$5:$G$20,MATCH($B18, LookUps!$J$5:$J$20,0)), OpenLCAbasic!$B:$B, $B$9),
SUMIFS(OpenLCAbasic!$J:$J,OpenLCAbasic!$E:$E, "Base", OpenLCAbasic!$D:$D, GWP!$B$5, OpenLCAbasic!$F:$F,D$12,OpenLCAbasic!$L:$L,$B$1,OpenLCAbasic!$I:$I,$B18, OpenLCAbasic!$C:$C,$B$7, OpenLCAbasic!$B:$B, $B$9))</f>
        <v>7.7567199999999995E-6</v>
      </c>
      <c r="E18" s="9" t="str">
        <f>CONCATENATE("(",INDEX(LookUps!$D$5:$D$12,MATCH(EP!$B$1,LookUps!$E$5:$E$12,0)), "/m3 wastewater treated")</f>
        <v>(kg N eq/m3 wastewater treated</v>
      </c>
    </row>
    <row r="19" spans="2:5" x14ac:dyDescent="0.25">
      <c r="B19" s="58" t="str">
        <f>LookUps!$G$7</f>
        <v>Wet Well and Sump Station; wastewater treatment unit; at updated plant - US</v>
      </c>
      <c r="C19" s="258"/>
      <c r="D19" s="260">
        <f>IF(AND(NOT(ISERROR(MATCH($B19, LookUps!$J$5:$J$20,0))), D$12="Upgraded"),
SUMIFS(OpenLCAbasic!$J:$J,OpenLCAbasic!$E:$E, "Base", OpenLCAbasic!$D:$D, GWP!$B$5, OpenLCAbasic!$F:$F,D$12,OpenLCAbasic!$L:$L,$B$1,OpenLCAbasic!$C:$C,$B$7,OpenLCAbasic!$I:$I,INDEX(LookUps!$G$5:$G$20,MATCH($B19, LookUps!$J$5:$J$20,0)), OpenLCAbasic!$B:$B, $B$9),
SUMIFS(OpenLCAbasic!$J:$J,OpenLCAbasic!$E:$E, "Base", OpenLCAbasic!$D:$D, GWP!$B$5, OpenLCAbasic!$F:$F,D$12,OpenLCAbasic!$L:$L,$B$1,OpenLCAbasic!$I:$I,$B19, OpenLCAbasic!$C:$C,$B$7, OpenLCAbasic!$B:$B, $B$9))</f>
        <v>1.1E-4</v>
      </c>
      <c r="E19" s="9" t="str">
        <f>CONCATENATE("(",INDEX(LookUps!$D$5:$D$12,MATCH(EP!$B$1,LookUps!$E$5:$E$12,0)), "/m3 wastewater treated")</f>
        <v>(kg N eq/m3 wastewater treated</v>
      </c>
    </row>
    <row r="20" spans="2:5" x14ac:dyDescent="0.25">
      <c r="B20" s="58" t="str">
        <f>LookUps!$G$13</f>
        <v>Pre-Anoxic &amp; Swing tank; wastewater treatment unit; at updated plant - US</v>
      </c>
      <c r="C20" s="258"/>
      <c r="D20" s="260">
        <f>IF(AND(NOT(ISERROR(MATCH($B20, LookUps!$J$5:$J$20,0))), D$12="Upgraded"),
SUMIFS(OpenLCAbasic!$J:$J,OpenLCAbasic!$E:$E, "Base", OpenLCAbasic!$D:$D, GWP!$B$5, OpenLCAbasic!$F:$F,D$12,OpenLCAbasic!$L:$L,$B$1,OpenLCAbasic!$C:$C,$B$7,OpenLCAbasic!$I:$I,INDEX(LookUps!$G$5:$G$20,MATCH($B20, LookUps!$J$5:$J$20,0)), OpenLCAbasic!$B:$B, $B$9),
SUMIFS(OpenLCAbasic!$J:$J,OpenLCAbasic!$E:$E, "Base", OpenLCAbasic!$D:$D, GWP!$B$5, OpenLCAbasic!$F:$F,D$12,OpenLCAbasic!$L:$L,$B$1,OpenLCAbasic!$I:$I,$B20, OpenLCAbasic!$C:$C,$B$7, OpenLCAbasic!$B:$B, $B$9))</f>
        <v>1.3999999999999999E-4</v>
      </c>
      <c r="E20" s="9" t="str">
        <f>CONCATENATE("(",INDEX(LookUps!$D$5:$D$12,MATCH(EP!$B$1,LookUps!$E$5:$E$12,0)), "/m3 wastewater treated")</f>
        <v>(kg N eq/m3 wastewater treated</v>
      </c>
    </row>
    <row r="21" spans="2:5" x14ac:dyDescent="0.25">
      <c r="B21" s="58" t="str">
        <f>LookUps!$J$9</f>
        <v>Aeration Tanks; wastewater treatment unit - US</v>
      </c>
      <c r="C21" s="260">
        <f>IF(C$12="Legacy",
SUMIFS(OpenLCAbasic!$J:$J,OpenLCAbasic!$D:$D, "Base", OpenLCAbasic!$F:$F,C$12,OpenLCAbasic!$L:$L,$B$1,OpenLCAbasic!$I:$I,$B21, OpenLCAbasic!$C:$C, $B$8),
IF(AND(NOT(ISERROR(MATCH($B21, LookUps!$J$5:$J$20,0))), C$12="Upgraded"),
SUMIFS(OpenLCAbasic!$J:$J,OpenLCAbasic!$D:$D, GWP!$B$5, OpenLCAbasic!$F:$F,C$12,OpenLCAbasic!$L:$L,$B$1,OpenLCAbasic!$I:$I,INDEX(LookUps!$G$5:$G$20,MATCH($B21, LookUps!$J$5:$J$20,0))),
SUMIFS(OpenLCAbasic!$J:$J,OpenLCAbasic!$D:$D, GWP!$B$5, OpenLCAbasic!$F:$F,C$12,OpenLCAbasic!$L:$L,$B$1,OpenLCAbasic!$I:$I,$B21)))</f>
        <v>4.2000000000000002E-4</v>
      </c>
      <c r="D21" s="260">
        <f>IF(AND(NOT(ISERROR(MATCH($B21, LookUps!$J$5:$J$20,0))), D$12="Upgraded"),
SUMIFS(OpenLCAbasic!$J:$J,OpenLCAbasic!$E:$E, "Base", OpenLCAbasic!$D:$D, GWP!$B$5, OpenLCAbasic!$F:$F,D$12,OpenLCAbasic!$L:$L,$B$1,OpenLCAbasic!$C:$C,$B$7,OpenLCAbasic!$I:$I,INDEX(LookUps!$G$5:$G$20,MATCH($B21, LookUps!$J$5:$J$20,0)), OpenLCAbasic!$B:$B, $B$9),
SUMIFS(OpenLCAbasic!$J:$J,OpenLCAbasic!$E:$E, "Base", OpenLCAbasic!$D:$D, GWP!$B$5, OpenLCAbasic!$F:$F,D$12,OpenLCAbasic!$L:$L,$B$1,OpenLCAbasic!$I:$I,$B21, OpenLCAbasic!$C:$C,$B$7, OpenLCAbasic!$B:$B, $B$9))</f>
        <v>5.5000000000000003E-4</v>
      </c>
      <c r="E21" s="9" t="str">
        <f>CONCATENATE("(",INDEX(LookUps!$D$5:$D$12,MATCH(EP!$B$1,LookUps!$E$5:$E$12,0)), "/m3 wastewater treated")</f>
        <v>(kg N eq/m3 wastewater treated</v>
      </c>
    </row>
    <row r="22" spans="2:5" x14ac:dyDescent="0.25">
      <c r="B22" s="58" t="str">
        <f>LookUps!$G$12</f>
        <v>Waste Receiving and Holding; wastewater treatment unit; at updated plant - US</v>
      </c>
      <c r="C22" s="258"/>
      <c r="D22" s="260">
        <f>IF(AND(NOT(ISERROR(MATCH($B22, LookUps!$J$5:$J$20,0))), D$12="Upgraded"),
SUMIFS(OpenLCAbasic!$J:$J,OpenLCAbasic!$E:$E, "Base", OpenLCAbasic!$D:$D, GWP!$B$5, OpenLCAbasic!$F:$F,D$12,OpenLCAbasic!$L:$L,$B$1,OpenLCAbasic!$C:$C,$B$7,OpenLCAbasic!$I:$I,INDEX(LookUps!$G$5:$G$20,MATCH($B22, LookUps!$J$5:$J$20,0)), OpenLCAbasic!$B:$B, $B$9),
SUMIFS(OpenLCAbasic!$J:$J,OpenLCAbasic!$E:$E, "Base", OpenLCAbasic!$D:$D, GWP!$B$5, OpenLCAbasic!$F:$F,D$12,OpenLCAbasic!$L:$L,$B$1,OpenLCAbasic!$I:$I,$B22, OpenLCAbasic!$C:$C,$B$7, OpenLCAbasic!$B:$B, $B$9))</f>
        <v>1.6000000000000001E-4</v>
      </c>
      <c r="E22" s="9" t="str">
        <f>CONCATENATE("(",INDEX(LookUps!$D$5:$D$12,MATCH(EP!$B$1,LookUps!$E$5:$E$12,0)), "/m3 wastewater treated")</f>
        <v>(kg N eq/m3 wastewater treated</v>
      </c>
    </row>
    <row r="23" spans="2:5" x14ac:dyDescent="0.25">
      <c r="B23" s="58" t="str">
        <f>LookUps!$G$11</f>
        <v>Gravity Belt Thickener; wastewater treatment unit; at updated plant - US</v>
      </c>
      <c r="C23" s="258"/>
      <c r="D23" s="260">
        <f>IF(AND(NOT(ISERROR(MATCH($B23, LookUps!$J$5:$J$20,0))), D$12="Upgraded"),
SUMIFS(OpenLCAbasic!$J:$J,OpenLCAbasic!$E:$E, "Base", OpenLCAbasic!$D:$D, GWP!$B$5, OpenLCAbasic!$F:$F,D$12,OpenLCAbasic!$L:$L,$B$1,OpenLCAbasic!$C:$C,$B$7,OpenLCAbasic!$I:$I,INDEX(LookUps!$G$5:$G$20,MATCH($B23, LookUps!$J$5:$J$20,0)), OpenLCAbasic!$B:$B, $B$9),
SUMIFS(OpenLCAbasic!$J:$J,OpenLCAbasic!$E:$E, "Base", OpenLCAbasic!$D:$D, GWP!$B$5, OpenLCAbasic!$F:$F,D$12,OpenLCAbasic!$L:$L,$B$1,OpenLCAbasic!$I:$I,$B23, OpenLCAbasic!$C:$C,$B$7, OpenLCAbasic!$B:$B, $B$9))</f>
        <v>6.0590300000000002E-5</v>
      </c>
      <c r="E23" s="9" t="str">
        <f>CONCATENATE("(",INDEX(LookUps!$D$5:$D$12,MATCH(EP!$B$1,LookUps!$E$5:$E$12,0)), "/m3 wastewater treated")</f>
        <v>(kg N eq/m3 wastewater treated</v>
      </c>
    </row>
    <row r="24" spans="2:5" x14ac:dyDescent="0.25">
      <c r="B24" s="58" t="str">
        <f>LookUps!$H$11</f>
        <v>Sludge Thickener; wastewater treatment unit - US</v>
      </c>
      <c r="C24" s="260">
        <f>IF(C$12="Legacy",
SUMIFS(OpenLCAbasic!$J:$J,OpenLCAbasic!$D:$D, "Base", OpenLCAbasic!$F:$F,C$12,OpenLCAbasic!$L:$L,$B$1,OpenLCAbasic!$I:$I,$B24, OpenLCAbasic!$C:$C, $B$8),
IF(AND(NOT(ISERROR(MATCH($B24, LookUps!$J$5:$J$20,0))), C$12="Upgraded"),
SUMIFS(OpenLCAbasic!$J:$J,OpenLCAbasic!$D:$D, GWP!$B$5, OpenLCAbasic!$F:$F,C$12,OpenLCAbasic!$L:$L,$B$1,OpenLCAbasic!$I:$I,INDEX(LookUps!$G$5:$G$20,MATCH($B24, LookUps!$J$5:$J$20,0))),
SUMIFS(OpenLCAbasic!$J:$J,OpenLCAbasic!$D:$D, GWP!$B$5, OpenLCAbasic!$F:$F,C$12,OpenLCAbasic!$L:$L,$B$1,OpenLCAbasic!$I:$I,$B24)))</f>
        <v>3.0418400000000001E-6</v>
      </c>
      <c r="D24" s="258"/>
      <c r="E24" s="9" t="str">
        <f>CONCATENATE("(",INDEX(LookUps!$D$5:$D$12,MATCH(EP!$B$1,LookUps!$E$5:$E$12,0)), "/m3 wastewater treated")</f>
        <v>(kg N eq/m3 wastewater treated</v>
      </c>
    </row>
    <row r="25" spans="2:5" x14ac:dyDescent="0.25">
      <c r="B25" s="58" t="str">
        <f>LookUps!$G$14</f>
        <v>Blend Tank; wastewater treatment unit; at updated plant - US</v>
      </c>
      <c r="C25" s="258"/>
      <c r="D25" s="260">
        <f>IF(AND(NOT(ISERROR(MATCH($B25, LookUps!$J$5:$J$20,0))), D$12="Upgraded"),
SUMIFS(OpenLCAbasic!$J:$J,OpenLCAbasic!$E:$E, "Base", OpenLCAbasic!$D:$D, GWP!$B$5, OpenLCAbasic!$F:$F,D$12,OpenLCAbasic!$L:$L,$B$1,OpenLCAbasic!$C:$C,$B$7,OpenLCAbasic!$I:$I,INDEX(LookUps!$G$5:$G$20,MATCH($B25, LookUps!$J$5:$J$20,0)), OpenLCAbasic!$B:$B, $B$9),
SUMIFS(OpenLCAbasic!$J:$J,OpenLCAbasic!$E:$E, "Base", OpenLCAbasic!$D:$D, GWP!$B$5, OpenLCAbasic!$F:$F,D$12,OpenLCAbasic!$L:$L,$B$1,OpenLCAbasic!$I:$I,$B25, OpenLCAbasic!$C:$C,$B$7, OpenLCAbasic!$B:$B, $B$9))</f>
        <v>1.6215700000000001E-5</v>
      </c>
      <c r="E25" s="9" t="str">
        <f>CONCATENATE("(",INDEX(LookUps!$D$5:$D$12,MATCH(EP!$B$1,LookUps!$E$5:$E$12,0)), "/m3 wastewater treated")</f>
        <v>(kg N eq/m3 wastewater treated</v>
      </c>
    </row>
    <row r="26" spans="2:5" x14ac:dyDescent="0.25">
      <c r="B26" s="58" t="str">
        <f>LookUps!$G$19</f>
        <v>Anaerobic Digestion; wastewater treatment unit; at updated plant - US</v>
      </c>
      <c r="C26" s="258"/>
      <c r="D26" s="260">
        <f>IF(AND(NOT(ISERROR(MATCH($B26, LookUps!$J$5:$J$20,0))), D$12="Upgraded"),
SUMIFS(OpenLCAbasic!$J:$J,OpenLCAbasic!$E:$E, "Base", OpenLCAbasic!$D:$D, GWP!$B$5, OpenLCAbasic!$F:$F,D$12,OpenLCAbasic!$L:$L,$B$1,OpenLCAbasic!$C:$C,$B$7,OpenLCAbasic!$I:$I,INDEX(LookUps!$G$5:$G$20,MATCH($B26, LookUps!$J$5:$J$20,0)), OpenLCAbasic!$B:$B, $B$9),
SUMIFS(OpenLCAbasic!$J:$J,OpenLCAbasic!$E:$E, "Base", OpenLCAbasic!$D:$D, GWP!$B$5, OpenLCAbasic!$F:$F,D$12,OpenLCAbasic!$L:$L,$B$1,OpenLCAbasic!$I:$I,$B26, OpenLCAbasic!$C:$C,$B$7, OpenLCAbasic!$B:$B, $B$9))</f>
        <v>-2.0000000000000001E-4</v>
      </c>
      <c r="E26" s="9" t="str">
        <f>CONCATENATE("(",INDEX(LookUps!$D$5:$D$12,MATCH(EP!$B$1,LookUps!$E$5:$E$12,0)), "/m3 wastewater treated")</f>
        <v>(kg N eq/m3 wastewater treated</v>
      </c>
    </row>
    <row r="27" spans="2:5" x14ac:dyDescent="0.25">
      <c r="B27" s="58" t="str">
        <f>LookUps!$H$19</f>
        <v>Aerobic Digester; wastewater treatment unit - US</v>
      </c>
      <c r="C27" s="260">
        <f>IF(C$12="Legacy",
SUMIFS(OpenLCAbasic!$J:$J,OpenLCAbasic!$D:$D, "Base", OpenLCAbasic!$F:$F,C$12,OpenLCAbasic!$L:$L,$B$1,OpenLCAbasic!$I:$I,$B27, OpenLCAbasic!$C:$C, $B$8),
IF(AND(NOT(ISERROR(MATCH($B27, LookUps!$J$5:$J$20,0))), C$12="Upgraded"),
SUMIFS(OpenLCAbasic!$J:$J,OpenLCAbasic!$D:$D, GWP!$B$5, OpenLCAbasic!$F:$F,C$12,OpenLCAbasic!$L:$L,$B$1,OpenLCAbasic!$I:$I,INDEX(LookUps!$G$5:$G$20,MATCH($B27, LookUps!$J$5:$J$20,0))),
SUMIFS(OpenLCAbasic!$J:$J,OpenLCAbasic!$D:$D, GWP!$B$5, OpenLCAbasic!$F:$F,C$12,OpenLCAbasic!$L:$L,$B$1,OpenLCAbasic!$I:$I,$B27)))</f>
        <v>4.2000000000000002E-4</v>
      </c>
      <c r="D27" s="258"/>
      <c r="E27" s="9" t="str">
        <f>CONCATENATE("(",INDEX(LookUps!$D$5:$D$12,MATCH(EP!$B$1,LookUps!$E$5:$E$12,0)), "/m3 wastewater treated")</f>
        <v>(kg N eq/m3 wastewater treated</v>
      </c>
    </row>
    <row r="28" spans="2:5" x14ac:dyDescent="0.25">
      <c r="B28" s="58" t="str">
        <f>LookUps!$J$15</f>
        <v>Belt filter press; wastewater treatment unit - US</v>
      </c>
      <c r="C28" s="260">
        <f>IF(C$12="Legacy",
SUMIFS(OpenLCAbasic!$J:$J,OpenLCAbasic!$D:$D, "Base", OpenLCAbasic!$F:$F,C$12,OpenLCAbasic!$L:$L,$B$1,OpenLCAbasic!$I:$I,$B28, OpenLCAbasic!$C:$C, $B$8),
IF(AND(NOT(ISERROR(MATCH($B28, LookUps!$J$5:$J$20,0))), C$12="Upgraded"),
SUMIFS(OpenLCAbasic!$J:$J,OpenLCAbasic!$D:$D, GWP!$B$5, OpenLCAbasic!$F:$F,C$12,OpenLCAbasic!$L:$L,$B$1,OpenLCAbasic!$I:$I,INDEX(LookUps!$G$5:$G$20,MATCH($B28, LookUps!$J$5:$J$20,0))),
SUMIFS(OpenLCAbasic!$J:$J,OpenLCAbasic!$D:$D, GWP!$B$5, OpenLCAbasic!$F:$F,C$12,OpenLCAbasic!$L:$L,$B$1,OpenLCAbasic!$I:$I,$B28)))</f>
        <v>2.6429899999999999E-5</v>
      </c>
      <c r="D28" s="260">
        <f>IF(AND(NOT(ISERROR(MATCH($B28, LookUps!$J$5:$J$20,0))), D$12="Upgraded"),
SUMIFS(OpenLCAbasic!$J:$J,OpenLCAbasic!$E:$E, "Base", OpenLCAbasic!$D:$D, GWP!$B$5, OpenLCAbasic!$F:$F,D$12,OpenLCAbasic!$L:$L,$B$1,OpenLCAbasic!$C:$C,$B$7,OpenLCAbasic!$I:$I,INDEX(LookUps!$G$5:$G$20,MATCH($B28, LookUps!$J$5:$J$20,0)), OpenLCAbasic!$B:$B, $B$9),
SUMIFS(OpenLCAbasic!$J:$J,OpenLCAbasic!$E:$E, "Base", OpenLCAbasic!$D:$D, GWP!$B$5, OpenLCAbasic!$F:$F,D$12,OpenLCAbasic!$L:$L,$B$1,OpenLCAbasic!$I:$I,$B28, OpenLCAbasic!$C:$C,$B$7, OpenLCAbasic!$B:$B, $B$9))</f>
        <v>5.06508E-5</v>
      </c>
      <c r="E28" s="9" t="str">
        <f>CONCATENATE("(",INDEX(LookUps!$D$5:$D$12,MATCH(EP!$B$1,LookUps!$E$5:$E$12,0)), "/m3 wastewater treated")</f>
        <v>(kg N eq/m3 wastewater treated</v>
      </c>
    </row>
    <row r="29" spans="2:5" x14ac:dyDescent="0.25">
      <c r="B29"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29" s="258"/>
      <c r="D29" s="283">
        <f>IF(OR(GWP!$B$6="Low", GWP!$B$6="High"),
INDEX(OpenLCAbasic!$J:$J, MATCH(CONCATENATE(GWP!$B$6, "_", GWP!$B$5, "_", "Upgraded_",$B$1,"_",B29, "_", $B$7, "_", $B$9), OpenLCAbasic!$M:$M,0)),
IF(AND(NOT(ISERROR(MATCH($B29, LookUps!$J$5:$J$20,0))), D$12="Upgraded"),
SUMIFS(OpenLCAbasic!$J:$J,OpenLCAbasic!$E:$E, GWP!$B$6, OpenLCAbasic!$D:$D, GWP!$B$5, OpenLCAbasic!$F:$F,D$12,OpenLCAbasic!$L:$L,$B$1,OpenLCAbasic!$I:$I,INDEX(LookUps!$G$5:$G$20,MATCH($B29, LookUps!$J$5:$J$20,0)), OpenLCAbasic!$B:$B, $B$9, OpenLCAbasic!$C:$C, $B$7),
SUMIFS(OpenLCAbasic!$J:$J,OpenLCAbasic!$E:$E, GWP!$B$6, OpenLCAbasic!$D:$D, GWP!$B$5, OpenLCAbasic!$F:$F,D$12,OpenLCAbasic!$L:$L,$B$1,OpenLCAbasic!$I:$I,$B29, OpenLCAbasic!$B:$B, $B$9, OpenLCAbasic!$C:$C, $B$7)))</f>
        <v>3.6000000000000002E-4</v>
      </c>
      <c r="E29" s="9" t="str">
        <f>CONCATENATE("(",INDEX(LookUps!$D$5:$D$12,MATCH(EP!$B$1,LookUps!$E$5:$E$12,0)), "/m3 wastewater treated")</f>
        <v>(kg N eq/m3 wastewater treated</v>
      </c>
    </row>
    <row r="30" spans="2:5" x14ac:dyDescent="0.25">
      <c r="B30" s="58" t="str">
        <f>LookUps!$G$18</f>
        <v>Land application of compost; wastewater treatment unit; at updated plant - US</v>
      </c>
      <c r="C30" s="258"/>
      <c r="D30" s="283">
        <f>IF(OR(GWP!$B$6="Low", GWP!$B$6="High"),
INDEX(OpenLCAbasic!$J:$J, MATCH(CONCATENATE(GWP!$B$6, "_", GWP!$B$5, "_", "Upgraded_",$B$1,"_",B30, "_", $B$7, "_", $B$9), OpenLCAbasic!$M:$M,0)),
IF(AND(NOT(ISERROR(MATCH($B30, LookUps!$J$5:$J$20,0))), D$12="Upgraded"),
SUMIFS(OpenLCAbasic!$J:$J,OpenLCAbasic!$E:$E, GWP!$B$6, OpenLCAbasic!$D:$D, GWP!$B$5, OpenLCAbasic!$F:$F,D$12,OpenLCAbasic!$L:$L,$B$1,OpenLCAbasic!$I:$I,INDEX(LookUps!$G$5:$G$20,MATCH($B30, LookUps!$J$5:$J$20,0)), OpenLCAbasic!$B:$B, $B$9, OpenLCAbasic!$C:$C, $B$7),
SUMIFS(OpenLCAbasic!$J:$J,OpenLCAbasic!$E:$E, GWP!$B$6, OpenLCAbasic!$D:$D, GWP!$B$5, OpenLCAbasic!$F:$F,D$12,OpenLCAbasic!$L:$L,$B$1,OpenLCAbasic!$I:$I,$B30, OpenLCAbasic!$B:$B, $B$9, OpenLCAbasic!$C:$C, $B$7)))</f>
        <v>2.0500000000000002E-3</v>
      </c>
      <c r="E30" s="9" t="str">
        <f>CONCATENATE("(",INDEX(LookUps!$D$5:$D$12,MATCH(EP!$B$1,LookUps!$E$5:$E$12,0)), "/m3 wastewater treated")</f>
        <v>(kg N eq/m3 wastewater treated</v>
      </c>
    </row>
    <row r="31" spans="2:5" x14ac:dyDescent="0.25">
      <c r="B31" s="58" t="str">
        <f>LookUps!$H$18</f>
        <v>Sludge Disposal; wastewater treatment unit - US</v>
      </c>
      <c r="C31" s="284">
        <f>IF(OR(GWP!$B$6="Low", GWP!$B$6="High"),
 INDEX(OpenLCAbasic!$J:$J, MATCH(CONCATENATE(GWP!$B$6, "_", "Base", "_", "Legacy_",$B$1, "_",B31, "_", $B$8,"_n.a."), OpenLCAbasic!$M:$M,0)),
IF(C$12="Legacy", SUMIFS(OpenLCAbasic!$J:$J,OpenLCAbasic!$E:$E, "Base", OpenLCAbasic!$D:$D, "Base", OpenLCAbasic!$F:$F,C$12,OpenLCAbasic!$L:$L,$B$1,OpenLCAbasic!$I:$I,$B31, OpenLCAbasic!$C:$C, $B$8),
IF(AND(NOT(ISERROR(MATCH($B31, LookUps!$J$5:$J$20,0))), C$12="Upgraded"), SUMIFS(OpenLCAbasic!$J:$J,OpenLCAbasic!$E:$E, "Base", OpenLCAbasic!$D:$D, "Base", OpenLCAbasic!$F:$F,C$12,OpenLCAbasic!$L:$L,$B$1,OpenLCAbasic!$I:$I,INDEX(LookUps!$G$5:$G$20,MATCH($B31, LookUps!$J$5:$J$20,0))),
SUMIFS(OpenLCAbasic!$J:$J,OpenLCAbasic!$E:$E, "Base", OpenLCAbasic!$D:$D, "Base", OpenLCAbasic!$F:$F,C$12,OpenLCAbasic!$L:$L,$B$1,OpenLCAbasic!$I:$I,$B31))))</f>
        <v>-7.8219699999999999E-5</v>
      </c>
      <c r="D31" s="258"/>
      <c r="E31" s="9" t="str">
        <f>CONCATENATE("(",INDEX(LookUps!$D$5:$D$12,MATCH(EP!$B$1,LookUps!$E$5:$E$12,0)), "/m3 wastewater treated")</f>
        <v>(kg N eq/m3 wastewater treated</v>
      </c>
    </row>
    <row r="32" spans="2:5" x14ac:dyDescent="0.25">
      <c r="B32" s="58" t="str">
        <f>LookUps!$G$20</f>
        <v>Effluent release; wastewater treatment unit; at surface water; m3 wastewater - US</v>
      </c>
      <c r="C32" s="15">
        <f>IF(C$12="Legacy",
SUMIFS(OpenLCAbasic!$J:$J,OpenLCAbasic!$D:$D, "Base", OpenLCAbasic!$F:$F,C$12,OpenLCAbasic!$L:$L,$B$1,OpenLCAbasic!$I:$I,$B32, OpenLCAbasic!$C:$C, $B$8),
IF(AND(NOT(ISERROR(MATCH($B32, LookUps!$J$5:$J$20,0))), C$12="Upgraded"),
SUMIFS(OpenLCAbasic!$J:$J,OpenLCAbasic!$D:$D, GWP!$B$5, OpenLCAbasic!$F:$F,C$12,OpenLCAbasic!$L:$L,$B$1,OpenLCAbasic!$I:$I,INDEX(LookUps!$G$5:$G$20,MATCH($B32, LookUps!$J$5:$J$20,0))),
SUMIFS(OpenLCAbasic!$J:$J,OpenLCAbasic!$D:$D, GWP!$B$5, OpenLCAbasic!$F:$F,C$12,OpenLCAbasic!$L:$L,$B$1,OpenLCAbasic!$I:$I,$B32)))</f>
        <v>2.3099999999999999E-2</v>
      </c>
      <c r="D32" s="15">
        <f>IF(AND(NOT(ISERROR(MATCH($B32, LookUps!$J$5:$J$20,0))), D$12="Upgraded"),
SUMIFS(OpenLCAbasic!$J:$J,OpenLCAbasic!$E:$E, "Base", OpenLCAbasic!$D:$D, GWP!$B$5, OpenLCAbasic!$F:$F,D$12,OpenLCAbasic!$L:$L,$B$1,OpenLCAbasic!$C:$C,$B$7,OpenLCAbasic!$I:$I,INDEX(LookUps!$G$5:$G$20,MATCH($B32, LookUps!$J$5:$J$20,0)), OpenLCAbasic!$B:$B, $B$9),
SUMIFS(OpenLCAbasic!$J:$J,OpenLCAbasic!$E:$E, "Base", OpenLCAbasic!$D:$D, GWP!$B$5, OpenLCAbasic!$F:$F,D$12,OpenLCAbasic!$L:$L,$B$1,OpenLCAbasic!$I:$I,$B32, OpenLCAbasic!$C:$C,$B$7, OpenLCAbasic!$B:$B, $B$9))</f>
        <v>1.1610000000000001E-2</v>
      </c>
      <c r="E32" s="9" t="str">
        <f>CONCATENATE("(",INDEX(LookUps!$D$5:$D$12,MATCH(EP!$B$1,LookUps!$E$5:$E$12,0)), "/m3 wastewater treated")</f>
        <v>(kg N eq/m3 wastewater treated</v>
      </c>
    </row>
    <row r="33" spans="2:15" x14ac:dyDescent="0.25">
      <c r="B33" s="58" t="str">
        <f>LookUps!$J$10</f>
        <v>Control Building; at wastewater treatment plant - US</v>
      </c>
      <c r="C33" s="260">
        <f>IF(C$12="Legacy",
SUMIFS(OpenLCAbasic!$J:$J,OpenLCAbasic!$D:$D, "Base", OpenLCAbasic!$F:$F,C$12,OpenLCAbasic!$L:$L,$B$1,OpenLCAbasic!$I:$I,$B33, OpenLCAbasic!$C:$C, $B$8),
IF(AND(NOT(ISERROR(MATCH($B33, LookUps!$J$5:$J$20,0))), C$12="Upgraded"),
SUMIFS(OpenLCAbasic!$J:$J,OpenLCAbasic!$D:$D, GWP!$B$5, OpenLCAbasic!$F:$F,C$12,OpenLCAbasic!$L:$L,$B$1,OpenLCAbasic!$I:$I,INDEX(LookUps!$G$5:$G$20,MATCH($B33, LookUps!$J$5:$J$20,0))),
SUMIFS(OpenLCAbasic!$J:$J,OpenLCAbasic!$D:$D, GWP!$B$5, OpenLCAbasic!$F:$F,C$12,OpenLCAbasic!$L:$L,$B$1,OpenLCAbasic!$I:$I,$B33)))</f>
        <v>3.3376800000000002E-5</v>
      </c>
      <c r="D33" s="260">
        <f>IF(AND(NOT(ISERROR(MATCH($B33, LookUps!$J$5:$J$20,0))), D$12="Upgraded"),
SUMIFS(OpenLCAbasic!$J:$J,OpenLCAbasic!$E:$E, "Base", OpenLCAbasic!$D:$D, GWP!$B$5, OpenLCAbasic!$F:$F,D$12,OpenLCAbasic!$L:$L,$B$1,OpenLCAbasic!$C:$C,$B$7,OpenLCAbasic!$I:$I,INDEX(LookUps!$G$5:$G$20,MATCH($B33, LookUps!$J$5:$J$20,0)), OpenLCAbasic!$B:$B, $B$9),
SUMIFS(OpenLCAbasic!$J:$J,OpenLCAbasic!$E:$E, "Base", OpenLCAbasic!$D:$D, GWP!$B$5, OpenLCAbasic!$F:$F,D$12,OpenLCAbasic!$L:$L,$B$1,OpenLCAbasic!$I:$I,$B33, OpenLCAbasic!$C:$C,$B$7, OpenLCAbasic!$B:$B, $B$9))</f>
        <v>3.6874600000000001E-5</v>
      </c>
      <c r="E33" s="9" t="str">
        <f>CONCATENATE("(",INDEX(LookUps!$D$5:$D$12,MATCH(EP!$B$1,LookUps!$E$5:$E$12,0)), "/m3 wastewater treated")</f>
        <v>(kg N eq/m3 wastewater treated</v>
      </c>
    </row>
    <row r="34" spans="2:15" x14ac:dyDescent="0.25">
      <c r="B34" s="11" t="s">
        <v>34</v>
      </c>
      <c r="C34" s="12">
        <f>SUM(C13:C33)</f>
        <v>2.4416490239999998E-2</v>
      </c>
      <c r="D34" s="12">
        <f>SUM(D13:D33)</f>
        <v>1.5439647920000001E-2</v>
      </c>
    </row>
    <row r="35" spans="2:15" x14ac:dyDescent="0.25">
      <c r="B35" s="11" t="s">
        <v>22</v>
      </c>
      <c r="C35" s="12">
        <f>MAX($C$34:$D$34)</f>
        <v>2.4416490239999998E-2</v>
      </c>
      <c r="D35" s="12">
        <f>MAX($C$34:$D$34)</f>
        <v>2.4416490239999998E-2</v>
      </c>
    </row>
    <row r="36" spans="2:15" x14ac:dyDescent="0.25"/>
    <row r="37" spans="2:15" x14ac:dyDescent="0.25">
      <c r="B37" s="1" t="str">
        <f>CONCATENATE(INDEX(LookUps!$B$5:$B$12,MATCH(EP!$B$1,LookUps!$E$5:$E$12,0))," (Contribution %)")</f>
        <v>Eutrophication Potential (Contribution %)</v>
      </c>
      <c r="M37" s="31"/>
      <c r="O37" s="91"/>
    </row>
    <row r="38" spans="2:15" x14ac:dyDescent="0.25"/>
    <row r="39" spans="2:15" x14ac:dyDescent="0.25">
      <c r="B39" s="56" t="s">
        <v>47</v>
      </c>
      <c r="C39" s="1" t="s">
        <v>45</v>
      </c>
      <c r="D39" s="1" t="s">
        <v>46</v>
      </c>
      <c r="E39" s="10" t="s">
        <v>27</v>
      </c>
    </row>
    <row r="40" spans="2:15" x14ac:dyDescent="0.25">
      <c r="B40" s="57" t="str">
        <f>LookUps!$G$5</f>
        <v>Wastewater collection; operation and infrastructure; m3 wastewater</v>
      </c>
      <c r="C40" s="60">
        <f>IF(ISERROR(C13/C$34), "",C13/ C$34)</f>
        <v>1.538296439447638E-3</v>
      </c>
      <c r="D40" s="60">
        <f>IF(ISERROR(D13/D$34), "",D13/ D$34)</f>
        <v>2.4326850064596548E-3</v>
      </c>
      <c r="E40" s="9" t="str">
        <f>CONCATENATE("(",INDEX(LookUps!$D$5:$D$12,MATCH(EP!$B$1,LookUps!$E$5:$E$12,0)), "/m3 wastewater treated")</f>
        <v>(kg N eq/m3 wastewater treated</v>
      </c>
    </row>
    <row r="41" spans="2:15" x14ac:dyDescent="0.25">
      <c r="B41" s="58" t="str">
        <f>LookUps!$G$6</f>
        <v>Influent Pump Station; wastewater treatment unit; at updated plant - US</v>
      </c>
      <c r="C41" s="61"/>
      <c r="D41" s="62">
        <f>IF(ISERROR(D14/D$34), "",D14/ D$34)</f>
        <v>1.619207907430055E-2</v>
      </c>
      <c r="E41" s="9" t="str">
        <f>CONCATENATE("(",INDEX(LookUps!$D$5:$D$12,MATCH(EP!$B$1,LookUps!$E$5:$E$12,0)), "/m3 wastewater treated")</f>
        <v>(kg N eq/m3 wastewater treated</v>
      </c>
    </row>
    <row r="42" spans="2:15" x14ac:dyDescent="0.25">
      <c r="B42" s="58" t="str">
        <f>LookUps!$H$6</f>
        <v>Screening and Grit Removal - US</v>
      </c>
      <c r="C42" s="62">
        <f>IF(ISERROR(C15/C$34), "",C15/ C$34)</f>
        <v>9.9529456367927196E-4</v>
      </c>
      <c r="D42" s="61"/>
      <c r="E42" s="9" t="str">
        <f>CONCATENATE("(",INDEX(LookUps!$D$5:$D$12,MATCH(EP!$B$1,LookUps!$E$5:$E$12,0)), "/m3 wastewater treated")</f>
        <v>(kg N eq/m3 wastewater treated</v>
      </c>
    </row>
    <row r="43" spans="2:15" x14ac:dyDescent="0.25">
      <c r="B43" s="58" t="str">
        <f>LookUps!$G$8</f>
        <v>Clear Cove Primary Clarification; wastewater treatment unit; at updated plant - US</v>
      </c>
      <c r="C43" s="61"/>
      <c r="D43" s="62">
        <f>IF(ISERROR(D16/D$34), "",D16/ D$34)</f>
        <v>1.295366325944044E-2</v>
      </c>
      <c r="E43" s="9" t="str">
        <f>CONCATENATE("(",INDEX(LookUps!$D$5:$D$12,MATCH(EP!$B$1,LookUps!$E$5:$E$12,0)), "/m3 wastewater treated")</f>
        <v>(kg N eq/m3 wastewater treated</v>
      </c>
    </row>
    <row r="44" spans="2:15" x14ac:dyDescent="0.25">
      <c r="B44" s="58" t="str">
        <f>LookUps!$H$8</f>
        <v>Primary Clarifier; wastewater treatment unit - US</v>
      </c>
      <c r="C44" s="62">
        <f>IF(ISERROR(C17/C$34), "",C17/ C$34)</f>
        <v>1.761104875325439E-2</v>
      </c>
      <c r="D44" s="61"/>
      <c r="E44" s="9" t="str">
        <f>CONCATENATE("(",INDEX(LookUps!$D$5:$D$12,MATCH(EP!$B$1,LookUps!$E$5:$E$12,0)), "/m3 wastewater treated")</f>
        <v>(kg N eq/m3 wastewater treated</v>
      </c>
    </row>
    <row r="45" spans="2:15" x14ac:dyDescent="0.25">
      <c r="B45" s="58" t="str">
        <f>LookUps!$G$17</f>
        <v>ClearCove SCP; wastewater treatment unit; at updated plant - US</v>
      </c>
      <c r="C45" s="61"/>
      <c r="D45" s="62">
        <f t="shared" ref="D45:D50" si="0">IF(ISERROR(D18/D$34), "",D18/ D$34)</f>
        <v>5.023896943888342E-4</v>
      </c>
      <c r="E45" s="9" t="str">
        <f>CONCATENATE("(",INDEX(LookUps!$D$5:$D$12,MATCH(EP!$B$1,LookUps!$E$5:$E$12,0)), "/m3 wastewater treated")</f>
        <v>(kg N eq/m3 wastewater treated</v>
      </c>
    </row>
    <row r="46" spans="2:15" x14ac:dyDescent="0.25">
      <c r="B46" s="58" t="str">
        <f>LookUps!$G$7</f>
        <v>Wet Well and Sump Station; wastewater treatment unit; at updated plant - US</v>
      </c>
      <c r="C46" s="61"/>
      <c r="D46" s="62">
        <f t="shared" si="0"/>
        <v>7.1245147926922419E-3</v>
      </c>
      <c r="E46" s="9" t="str">
        <f>CONCATENATE("(",INDEX(LookUps!$D$5:$D$12,MATCH(EP!$B$1,LookUps!$E$5:$E$12,0)), "/m3 wastewater treated")</f>
        <v>(kg N eq/m3 wastewater treated</v>
      </c>
    </row>
    <row r="47" spans="2:15" x14ac:dyDescent="0.25">
      <c r="B47" s="58" t="str">
        <f>LookUps!$G$13</f>
        <v>Pre-Anoxic &amp; Swing tank; wastewater treatment unit; at updated plant - US</v>
      </c>
      <c r="C47" s="61"/>
      <c r="D47" s="62">
        <f t="shared" si="0"/>
        <v>9.0675642816083063E-3</v>
      </c>
      <c r="E47" s="9" t="str">
        <f>CONCATENATE("(",INDEX(LookUps!$D$5:$D$12,MATCH(EP!$B$1,LookUps!$E$5:$E$12,0)), "/m3 wastewater treated")</f>
        <v>(kg N eq/m3 wastewater treated</v>
      </c>
    </row>
    <row r="48" spans="2:15" x14ac:dyDescent="0.25">
      <c r="B48" s="58" t="str">
        <f>LookUps!$J$9</f>
        <v>Aeration Tanks; wastewater treatment unit - US</v>
      </c>
      <c r="C48" s="62">
        <f>IF(ISERROR(C21/C$34), "",C21/ C$34)</f>
        <v>1.7201489479922897E-2</v>
      </c>
      <c r="D48" s="62">
        <f t="shared" si="0"/>
        <v>3.5622573963461211E-2</v>
      </c>
      <c r="E48" s="9" t="str">
        <f>CONCATENATE("(",INDEX(LookUps!$D$5:$D$12,MATCH(EP!$B$1,LookUps!$E$5:$E$12,0)), "/m3 wastewater treated")</f>
        <v>(kg N eq/m3 wastewater treated</v>
      </c>
    </row>
    <row r="49" spans="2:5" x14ac:dyDescent="0.25">
      <c r="B49" s="58" t="str">
        <f>LookUps!$G$12</f>
        <v>Waste Receiving and Holding; wastewater treatment unit; at updated plant - US</v>
      </c>
      <c r="C49" s="61"/>
      <c r="D49" s="62">
        <f t="shared" si="0"/>
        <v>1.0362930607552352E-2</v>
      </c>
      <c r="E49" s="9" t="str">
        <f>CONCATENATE("(",INDEX(LookUps!$D$5:$D$12,MATCH(EP!$B$1,LookUps!$E$5:$E$12,0)), "/m3 wastewater treated")</f>
        <v>(kg N eq/m3 wastewater treated</v>
      </c>
    </row>
    <row r="50" spans="2:5" x14ac:dyDescent="0.25">
      <c r="B50" s="58" t="str">
        <f>LookUps!$G$11</f>
        <v>Gravity Belt Thickener; wastewater treatment unit; at updated plant - US</v>
      </c>
      <c r="C50" s="61"/>
      <c r="D50" s="62">
        <f t="shared" si="0"/>
        <v>3.9243317149423706E-3</v>
      </c>
      <c r="E50" s="9" t="str">
        <f>CONCATENATE("(",INDEX(LookUps!$D$5:$D$12,MATCH(EP!$B$1,LookUps!$E$5:$E$12,0)), "/m3 wastewater treated")</f>
        <v>(kg N eq/m3 wastewater treated</v>
      </c>
    </row>
    <row r="51" spans="2:5" x14ac:dyDescent="0.25">
      <c r="B51" s="58" t="str">
        <f>LookUps!$H$11</f>
        <v>Sludge Thickener; wastewater treatment unit - US</v>
      </c>
      <c r="C51" s="62">
        <f>IF(ISERROR(C24/C$34), "",C24/ C$34)</f>
        <v>1.2458137799906824E-4</v>
      </c>
      <c r="D51" s="61"/>
      <c r="E51" s="9" t="str">
        <f>CONCATENATE("(",INDEX(LookUps!$D$5:$D$12,MATCH(EP!$B$1,LookUps!$E$5:$E$12,0)), "/m3 wastewater treated")</f>
        <v>(kg N eq/m3 wastewater treated</v>
      </c>
    </row>
    <row r="52" spans="2:5" x14ac:dyDescent="0.25">
      <c r="B52" s="58" t="str">
        <f>LookUps!$G$14</f>
        <v>Blend Tank; wastewater treatment unit; at updated plant - US</v>
      </c>
      <c r="C52" s="61"/>
      <c r="D52" s="62">
        <f>IF(ISERROR(D25/D$34), "",D25/ D$34)</f>
        <v>1.0502635865805418E-3</v>
      </c>
      <c r="E52" s="9" t="str">
        <f>CONCATENATE("(",INDEX(LookUps!$D$5:$D$12,MATCH(EP!$B$1,LookUps!$E$5:$E$12,0)), "/m3 wastewater treated")</f>
        <v>(kg N eq/m3 wastewater treated</v>
      </c>
    </row>
    <row r="53" spans="2:5" x14ac:dyDescent="0.25">
      <c r="B53" s="58" t="str">
        <f>LookUps!$G$19</f>
        <v>Anaerobic Digestion; wastewater treatment unit; at updated plant - US</v>
      </c>
      <c r="C53" s="61"/>
      <c r="D53" s="62">
        <f>IF(ISERROR(D26/D$34), "",D26/ D$34)</f>
        <v>-1.295366325944044E-2</v>
      </c>
      <c r="E53" s="9" t="str">
        <f>CONCATENATE("(",INDEX(LookUps!$D$5:$D$12,MATCH(EP!$B$1,LookUps!$E$5:$E$12,0)), "/m3 wastewater treated")</f>
        <v>(kg N eq/m3 wastewater treated</v>
      </c>
    </row>
    <row r="54" spans="2:5" x14ac:dyDescent="0.25">
      <c r="B54" s="58" t="str">
        <f>LookUps!$H$19</f>
        <v>Aerobic Digester; wastewater treatment unit - US</v>
      </c>
      <c r="C54" s="62">
        <f>IF(ISERROR(C27/C$34), "",C27/ C$34)</f>
        <v>1.7201489479922897E-2</v>
      </c>
      <c r="D54" s="61"/>
      <c r="E54" s="9" t="str">
        <f>CONCATENATE("(",INDEX(LookUps!$D$5:$D$12,MATCH(EP!$B$1,LookUps!$E$5:$E$12,0)), "/m3 wastewater treated")</f>
        <v>(kg N eq/m3 wastewater treated</v>
      </c>
    </row>
    <row r="55" spans="2:5" x14ac:dyDescent="0.25">
      <c r="B55" s="58" t="str">
        <f>LookUps!$J$15</f>
        <v>Belt filter press; wastewater treatment unit - US</v>
      </c>
      <c r="C55" s="62">
        <f t="shared" ref="C55:D55" si="1">IF(ISERROR(C28/C$34), "",C28/ C$34)</f>
        <v>1.0824610638224144E-3</v>
      </c>
      <c r="D55" s="62">
        <f t="shared" si="1"/>
        <v>3.2805670351063287E-3</v>
      </c>
      <c r="E55" s="9" t="str">
        <f>CONCATENATE("(",INDEX(LookUps!$D$5:$D$12,MATCH(EP!$B$1,LookUps!$E$5:$E$12,0)), "/m3 wastewater treated")</f>
        <v>(kg N eq/m3 wastewater treated</v>
      </c>
    </row>
    <row r="56" spans="2:5" x14ac:dyDescent="0.25">
      <c r="B56"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56" s="61"/>
      <c r="D56" s="62">
        <f>IF(ISERROR(D29/D$34), "",D29/ D$34)</f>
        <v>2.331659386699279E-2</v>
      </c>
      <c r="E56" s="9" t="str">
        <f>CONCATENATE("(",INDEX(LookUps!$D$5:$D$12,MATCH(EP!$B$1,LookUps!$E$5:$E$12,0)), "/m3 wastewater treated")</f>
        <v>(kg N eq/m3 wastewater treated</v>
      </c>
    </row>
    <row r="57" spans="2:5" x14ac:dyDescent="0.25">
      <c r="B57" s="58" t="str">
        <f>LookUps!$G$18</f>
        <v>Land application of compost; wastewater treatment unit; at updated plant - US</v>
      </c>
      <c r="C57" s="61"/>
      <c r="D57" s="62">
        <f>IF(ISERROR(D30/D$34), "",D30/ D$34)</f>
        <v>0.13277504840926452</v>
      </c>
      <c r="E57" s="9" t="str">
        <f>CONCATENATE("(",INDEX(LookUps!$D$5:$D$12,MATCH(EP!$B$1,LookUps!$E$5:$E$12,0)), "/m3 wastewater treated")</f>
        <v>(kg N eq/m3 wastewater treated</v>
      </c>
    </row>
    <row r="58" spans="2:5" x14ac:dyDescent="0.25">
      <c r="B58" s="58" t="str">
        <f>LookUps!$H$18</f>
        <v>Sludge Disposal; wastewater treatment unit - US</v>
      </c>
      <c r="C58" s="62">
        <f>IF(ISERROR(C31/C$34), "",C31/ C$34)</f>
        <v>-3.2035603492207732E-3</v>
      </c>
      <c r="D58" s="59"/>
      <c r="E58" s="9" t="str">
        <f>CONCATENATE("(",INDEX(LookUps!$D$5:$D$12,MATCH(EP!$B$1,LookUps!$E$5:$E$12,0)), "/m3 wastewater treated")</f>
        <v>(kg N eq/m3 wastewater treated</v>
      </c>
    </row>
    <row r="59" spans="2:5" x14ac:dyDescent="0.25">
      <c r="B59" s="58" t="str">
        <f>LookUps!$G$20</f>
        <v>Effluent release; wastewater treatment unit; at surface water; m3 wastewater - US</v>
      </c>
      <c r="C59" s="62">
        <f t="shared" ref="C59:D60" si="2">IF(ISERROR(C32/C$34), "",C32/ C$34)</f>
        <v>0.9460819213957592</v>
      </c>
      <c r="D59" s="62">
        <f t="shared" si="2"/>
        <v>0.75196015221051749</v>
      </c>
      <c r="E59" s="9" t="str">
        <f>CONCATENATE("(",INDEX(LookUps!$D$5:$D$12,MATCH(EP!$B$1,LookUps!$E$5:$E$12,0)), "/m3 wastewater treated")</f>
        <v>(kg N eq/m3 wastewater treated</v>
      </c>
    </row>
    <row r="60" spans="2:5" x14ac:dyDescent="0.25">
      <c r="B60" s="58" t="str">
        <f>LookUps!$J$10</f>
        <v>Control Building; at wastewater treatment plant - US</v>
      </c>
      <c r="C60" s="62">
        <f>IF(ISERROR(C33/C$34), "",C33/ C$34)</f>
        <v>1.3669777954130726E-3</v>
      </c>
      <c r="D60" s="62">
        <f t="shared" si="2"/>
        <v>2.388305756132812E-3</v>
      </c>
      <c r="E60" s="9" t="str">
        <f>CONCATENATE("(",INDEX(LookUps!$D$5:$D$12,MATCH(EP!$B$1,LookUps!$E$5:$E$12,0)), "/m3 wastewater treated")</f>
        <v>(kg N eq/m3 wastewater treated</v>
      </c>
    </row>
    <row r="61" spans="2:5" x14ac:dyDescent="0.25">
      <c r="B61" s="11" t="s">
        <v>34</v>
      </c>
      <c r="C61" s="63">
        <f>SUM(C40:C60)</f>
        <v>1</v>
      </c>
      <c r="D61" s="63">
        <f>SUM(D40:D60)</f>
        <v>1</v>
      </c>
    </row>
    <row r="62" spans="2:5" x14ac:dyDescent="0.25"/>
    <row r="63" spans="2:5" x14ac:dyDescent="0.25">
      <c r="B63" s="1" t="str">
        <f>CONCATENATE(INDEX(LookUps!$B$5:$B$12,MATCH(EP!$B$1,LookUps!$E$5:$E$12,0))," (% of Maximum)")</f>
        <v>Eutrophication Potential (% of Maximum)</v>
      </c>
    </row>
    <row r="64" spans="2:5" x14ac:dyDescent="0.25"/>
    <row r="65" spans="2:5" x14ac:dyDescent="0.25">
      <c r="B65" s="56" t="s">
        <v>47</v>
      </c>
      <c r="C65" s="1" t="s">
        <v>45</v>
      </c>
      <c r="D65" s="1" t="s">
        <v>46</v>
      </c>
      <c r="E65" s="10" t="s">
        <v>27</v>
      </c>
    </row>
    <row r="66" spans="2:5" x14ac:dyDescent="0.25">
      <c r="B66" s="57" t="str">
        <f>LookUps!$G$5</f>
        <v>Wastewater collection; operation and infrastructure; m3 wastewater</v>
      </c>
      <c r="C66" s="13">
        <f>IF(ISERROR(C13/C$35),"",C13/C$35)</f>
        <v>1.538296439447638E-3</v>
      </c>
      <c r="D66" s="60">
        <f>IF(ISERROR(D13/D$35),"",D13/D$35)</f>
        <v>1.538296439447638E-3</v>
      </c>
      <c r="E66" s="9" t="str">
        <f>CONCATENATE("(",INDEX(LookUps!$D$5:$D$12,MATCH(EP!$B$1,LookUps!$E$5:$E$12,0)), "/m3 wastewater treated")</f>
        <v>(kg N eq/m3 wastewater treated</v>
      </c>
    </row>
    <row r="67" spans="2:5" x14ac:dyDescent="0.25">
      <c r="B67" s="58" t="str">
        <f>LookUps!$G$6</f>
        <v>Influent Pump Station; wastewater treatment unit; at updated plant - US</v>
      </c>
      <c r="C67" s="61"/>
      <c r="D67" s="62">
        <f>IF(ISERROR(D14/D$35),"",D14/D$35)</f>
        <v>1.0238981833287437E-2</v>
      </c>
      <c r="E67" s="9" t="str">
        <f>CONCATENATE("(",INDEX(LookUps!$D$5:$D$12,MATCH(EP!$B$1,LookUps!$E$5:$E$12,0)), "/m3 wastewater treated")</f>
        <v>(kg N eq/m3 wastewater treated</v>
      </c>
    </row>
    <row r="68" spans="2:5" x14ac:dyDescent="0.25">
      <c r="B68" s="58" t="str">
        <f>LookUps!$H$6</f>
        <v>Screening and Grit Removal - US</v>
      </c>
      <c r="C68" s="62">
        <f>IF(ISERROR(C15/C$35),"",C15/C$35)</f>
        <v>9.9529456367927196E-4</v>
      </c>
      <c r="D68" s="61"/>
      <c r="E68" s="9" t="str">
        <f>CONCATENATE("(",INDEX(LookUps!$D$5:$D$12,MATCH(EP!$B$1,LookUps!$E$5:$E$12,0)), "/m3 wastewater treated")</f>
        <v>(kg N eq/m3 wastewater treated</v>
      </c>
    </row>
    <row r="69" spans="2:5" x14ac:dyDescent="0.25">
      <c r="B69" s="58" t="str">
        <f>LookUps!$G$8</f>
        <v>Clear Cove Primary Clarification; wastewater treatment unit; at updated plant - US</v>
      </c>
      <c r="C69" s="61"/>
      <c r="D69" s="62">
        <f>IF(ISERROR(D16/D$35),"",D16/D$35)</f>
        <v>8.1911854666299501E-3</v>
      </c>
      <c r="E69" s="9" t="str">
        <f>CONCATENATE("(",INDEX(LookUps!$D$5:$D$12,MATCH(EP!$B$1,LookUps!$E$5:$E$12,0)), "/m3 wastewater treated")</f>
        <v>(kg N eq/m3 wastewater treated</v>
      </c>
    </row>
    <row r="70" spans="2:5" x14ac:dyDescent="0.25">
      <c r="B70" s="58" t="str">
        <f>LookUps!$H$8</f>
        <v>Primary Clarifier; wastewater treatment unit - US</v>
      </c>
      <c r="C70" s="62">
        <f>IF(ISERROR(C17/C$35),"",C17/C$35)</f>
        <v>1.761104875325439E-2</v>
      </c>
      <c r="D70" s="61"/>
      <c r="E70" s="9" t="str">
        <f>CONCATENATE("(",INDEX(LookUps!$D$5:$D$12,MATCH(EP!$B$1,LookUps!$E$5:$E$12,0)), "/m3 wastewater treated")</f>
        <v>(kg N eq/m3 wastewater treated</v>
      </c>
    </row>
    <row r="71" spans="2:5" x14ac:dyDescent="0.25">
      <c r="B71" s="58" t="str">
        <f>LookUps!$G$17</f>
        <v>ClearCove SCP; wastewater treatment unit; at updated plant - US</v>
      </c>
      <c r="C71" s="61"/>
      <c r="D71" s="62">
        <f t="shared" ref="D71:D76" si="3">IF(ISERROR(D18/D$35),"",D18/D$35)</f>
        <v>3.1768366066358929E-4</v>
      </c>
      <c r="E71" s="9" t="str">
        <f>CONCATENATE("(",INDEX(LookUps!$D$5:$D$12,MATCH(EP!$B$1,LookUps!$E$5:$E$12,0)), "/m3 wastewater treated")</f>
        <v>(kg N eq/m3 wastewater treated</v>
      </c>
    </row>
    <row r="72" spans="2:5" x14ac:dyDescent="0.25">
      <c r="B72" s="58" t="str">
        <f>LookUps!$G$7</f>
        <v>Wet Well and Sump Station; wastewater treatment unit; at updated plant - US</v>
      </c>
      <c r="C72" s="61"/>
      <c r="D72" s="62">
        <f t="shared" si="3"/>
        <v>4.5051520066464725E-3</v>
      </c>
      <c r="E72" s="9" t="str">
        <f>CONCATENATE("(",INDEX(LookUps!$D$5:$D$12,MATCH(EP!$B$1,LookUps!$E$5:$E$12,0)), "/m3 wastewater treated")</f>
        <v>(kg N eq/m3 wastewater treated</v>
      </c>
    </row>
    <row r="73" spans="2:5" x14ac:dyDescent="0.25">
      <c r="B73" s="58" t="str">
        <f>LookUps!$G$13</f>
        <v>Pre-Anoxic &amp; Swing tank; wastewater treatment unit; at updated plant - US</v>
      </c>
      <c r="C73" s="61"/>
      <c r="D73" s="62">
        <f t="shared" si="3"/>
        <v>5.7338298266409642E-3</v>
      </c>
      <c r="E73" s="9" t="str">
        <f>CONCATENATE("(",INDEX(LookUps!$D$5:$D$12,MATCH(EP!$B$1,LookUps!$E$5:$E$12,0)), "/m3 wastewater treated")</f>
        <v>(kg N eq/m3 wastewater treated</v>
      </c>
    </row>
    <row r="74" spans="2:5" x14ac:dyDescent="0.25">
      <c r="B74" s="58" t="str">
        <f>LookUps!$J$9</f>
        <v>Aeration Tanks; wastewater treatment unit - US</v>
      </c>
      <c r="C74" s="62">
        <f>IF(ISERROR(C21/C$35),"",C21/C$35)</f>
        <v>1.7201489479922897E-2</v>
      </c>
      <c r="D74" s="62">
        <f t="shared" si="3"/>
        <v>2.2525760033232364E-2</v>
      </c>
      <c r="E74" s="9" t="str">
        <f>CONCATENATE("(",INDEX(LookUps!$D$5:$D$12,MATCH(EP!$B$1,LookUps!$E$5:$E$12,0)), "/m3 wastewater treated")</f>
        <v>(kg N eq/m3 wastewater treated</v>
      </c>
    </row>
    <row r="75" spans="2:5" x14ac:dyDescent="0.25">
      <c r="B75" s="58" t="str">
        <f>LookUps!$G$12</f>
        <v>Waste Receiving and Holding; wastewater treatment unit; at updated plant - US</v>
      </c>
      <c r="C75" s="61"/>
      <c r="D75" s="62">
        <f t="shared" si="3"/>
        <v>6.5529483733039601E-3</v>
      </c>
      <c r="E75" s="9" t="str">
        <f>CONCATENATE("(",INDEX(LookUps!$D$5:$D$12,MATCH(EP!$B$1,LookUps!$E$5:$E$12,0)), "/m3 wastewater treated")</f>
        <v>(kg N eq/m3 wastewater treated</v>
      </c>
    </row>
    <row r="76" spans="2:5" x14ac:dyDescent="0.25">
      <c r="B76" s="58" t="str">
        <f>LookUps!$G$11</f>
        <v>Gravity Belt Thickener; wastewater treatment unit; at updated plant - US</v>
      </c>
      <c r="C76" s="61"/>
      <c r="D76" s="62">
        <f t="shared" si="3"/>
        <v>2.4815319238937431E-3</v>
      </c>
      <c r="E76" s="9" t="str">
        <f>CONCATENATE("(",INDEX(LookUps!$D$5:$D$12,MATCH(EP!$B$1,LookUps!$E$5:$E$12,0)), "/m3 wastewater treated")</f>
        <v>(kg N eq/m3 wastewater treated</v>
      </c>
    </row>
    <row r="77" spans="2:5" x14ac:dyDescent="0.25">
      <c r="B77" s="58" t="str">
        <f>LookUps!$H$11</f>
        <v>Sludge Thickener; wastewater treatment unit - US</v>
      </c>
      <c r="C77" s="62">
        <f>IF(ISERROR(C24/C$35),"",C24/C$35)</f>
        <v>1.2458137799906824E-4</v>
      </c>
      <c r="D77" s="61"/>
      <c r="E77" s="9" t="str">
        <f>CONCATENATE("(",INDEX(LookUps!$D$5:$D$12,MATCH(EP!$B$1,LookUps!$E$5:$E$12,0)), "/m3 wastewater treated")</f>
        <v>(kg N eq/m3 wastewater treated</v>
      </c>
    </row>
    <row r="78" spans="2:5" x14ac:dyDescent="0.25">
      <c r="B78" s="58" t="str">
        <f>LookUps!$G$14</f>
        <v>Blend Tank; wastewater treatment unit; at updated plant - US</v>
      </c>
      <c r="C78" s="61"/>
      <c r="D78" s="62">
        <f>IF(ISERROR(D25/D$35),"",D25/D$35)</f>
        <v>6.6412903085615645E-4</v>
      </c>
      <c r="E78" s="9" t="str">
        <f>CONCATENATE("(",INDEX(LookUps!$D$5:$D$12,MATCH(EP!$B$1,LookUps!$E$5:$E$12,0)), "/m3 wastewater treated")</f>
        <v>(kg N eq/m3 wastewater treated</v>
      </c>
    </row>
    <row r="79" spans="2:5" x14ac:dyDescent="0.25">
      <c r="B79" s="58" t="str">
        <f>LookUps!$G$19</f>
        <v>Anaerobic Digestion; wastewater treatment unit; at updated plant - US</v>
      </c>
      <c r="C79" s="61"/>
      <c r="D79" s="62">
        <f>IF(ISERROR(D26/D$35),"",D26/D$35)</f>
        <v>-8.1911854666299501E-3</v>
      </c>
      <c r="E79" s="9" t="str">
        <f>CONCATENATE("(",INDEX(LookUps!$D$5:$D$12,MATCH(EP!$B$1,LookUps!$E$5:$E$12,0)), "/m3 wastewater treated")</f>
        <v>(kg N eq/m3 wastewater treated</v>
      </c>
    </row>
    <row r="80" spans="2:5" x14ac:dyDescent="0.25">
      <c r="B80" s="58" t="str">
        <f>LookUps!$H$19</f>
        <v>Aerobic Digester; wastewater treatment unit - US</v>
      </c>
      <c r="C80" s="62">
        <f t="shared" ref="C80:D86" si="4">IF(ISERROR(C27/C$35),"",C27/C$35)</f>
        <v>1.7201489479922897E-2</v>
      </c>
      <c r="D80" s="61"/>
      <c r="E80" s="9" t="str">
        <f>CONCATENATE("(",INDEX(LookUps!$D$5:$D$12,MATCH(EP!$B$1,LookUps!$E$5:$E$12,0)), "/m3 wastewater treated")</f>
        <v>(kg N eq/m3 wastewater treated</v>
      </c>
    </row>
    <row r="81" spans="1:5" x14ac:dyDescent="0.25">
      <c r="B81" s="58" t="str">
        <f>LookUps!$J$15</f>
        <v>Belt filter press; wastewater treatment unit - US</v>
      </c>
      <c r="C81" s="62">
        <f t="shared" si="4"/>
        <v>1.0824610638224144E-3</v>
      </c>
      <c r="D81" s="62">
        <f t="shared" si="4"/>
        <v>2.0744504841659012E-3</v>
      </c>
      <c r="E81" s="9" t="str">
        <f>CONCATENATE("(",INDEX(LookUps!$D$5:$D$12,MATCH(EP!$B$1,LookUps!$E$5:$E$12,0)), "/m3 wastewater treated")</f>
        <v>(kg N eq/m3 wastewater treated</v>
      </c>
    </row>
    <row r="82" spans="1:5" x14ac:dyDescent="0.25">
      <c r="B82"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82" s="61"/>
      <c r="D82" s="62">
        <f t="shared" si="4"/>
        <v>1.474413383993391E-2</v>
      </c>
      <c r="E82" s="9" t="str">
        <f>CONCATENATE("(",INDEX(LookUps!$D$5:$D$12,MATCH(EP!$B$1,LookUps!$E$5:$E$12,0)), "/m3 wastewater treated")</f>
        <v>(kg N eq/m3 wastewater treated</v>
      </c>
    </row>
    <row r="83" spans="1:5" x14ac:dyDescent="0.25">
      <c r="B83" s="58" t="str">
        <f>LookUps!$G$18</f>
        <v>Land application of compost; wastewater treatment unit; at updated plant - US</v>
      </c>
      <c r="C83" s="61"/>
      <c r="D83" s="62">
        <f t="shared" si="4"/>
        <v>8.3959651032956994E-2</v>
      </c>
      <c r="E83" s="9" t="str">
        <f>CONCATENATE("(",INDEX(LookUps!$D$5:$D$12,MATCH(EP!$B$1,LookUps!$E$5:$E$12,0)), "/m3 wastewater treated")</f>
        <v>(kg N eq/m3 wastewater treated</v>
      </c>
    </row>
    <row r="84" spans="1:5" x14ac:dyDescent="0.25">
      <c r="B84" s="58" t="str">
        <f>LookUps!$H$18</f>
        <v>Sludge Disposal; wastewater treatment unit - US</v>
      </c>
      <c r="C84" s="62">
        <f t="shared" si="4"/>
        <v>-3.2035603492207732E-3</v>
      </c>
      <c r="D84" s="59"/>
      <c r="E84" s="9" t="str">
        <f>CONCATENATE("(",INDEX(LookUps!$D$5:$D$12,MATCH(EP!$B$1,LookUps!$E$5:$E$12,0)), "/m3 wastewater treated")</f>
        <v>(kg N eq/m3 wastewater treated</v>
      </c>
    </row>
    <row r="85" spans="1:5" x14ac:dyDescent="0.25">
      <c r="B85" s="58" t="str">
        <f>LookUps!$G$20</f>
        <v>Effluent release; wastewater treatment unit; at surface water; m3 wastewater - US</v>
      </c>
      <c r="C85" s="62">
        <f t="shared" si="4"/>
        <v>0.9460819213957592</v>
      </c>
      <c r="D85" s="62">
        <f t="shared" si="4"/>
        <v>0.4754983163378686</v>
      </c>
      <c r="E85" s="9" t="str">
        <f>CONCATENATE("(",INDEX(LookUps!$D$5:$D$12,MATCH(EP!$B$1,LookUps!$E$5:$E$12,0)), "/m3 wastewater treated")</f>
        <v>(kg N eq/m3 wastewater treated</v>
      </c>
    </row>
    <row r="86" spans="1:5" x14ac:dyDescent="0.25">
      <c r="B86" s="58" t="str">
        <f>LookUps!$J$10</f>
        <v>Control Building; at wastewater treatment plant - US</v>
      </c>
      <c r="C86" s="62">
        <f t="shared" si="4"/>
        <v>1.3669777954130726E-3</v>
      </c>
      <c r="D86" s="62">
        <f t="shared" si="4"/>
        <v>1.5102334380389638E-3</v>
      </c>
      <c r="E86" s="9" t="str">
        <f>CONCATENATE("(",INDEX(LookUps!$D$5:$D$12,MATCH(EP!$B$1,LookUps!$E$5:$E$12,0)), "/m3 wastewater treated")</f>
        <v>(kg N eq/m3 wastewater treated</v>
      </c>
    </row>
    <row r="87" spans="1:5" x14ac:dyDescent="0.25"/>
    <row r="88" spans="1:5" x14ac:dyDescent="0.25"/>
    <row r="89" spans="1:5" x14ac:dyDescent="0.25">
      <c r="B89" s="1" t="s">
        <v>70</v>
      </c>
    </row>
    <row r="90" spans="1:5" x14ac:dyDescent="0.25"/>
    <row r="91" spans="1:5" x14ac:dyDescent="0.25">
      <c r="A91" s="16" t="s">
        <v>67</v>
      </c>
      <c r="B91" s="56" t="s">
        <v>47</v>
      </c>
      <c r="C91" s="1" t="s">
        <v>45</v>
      </c>
      <c r="D91" s="1" t="s">
        <v>46</v>
      </c>
      <c r="E91" s="10" t="s">
        <v>27</v>
      </c>
    </row>
    <row r="92" spans="1:5" x14ac:dyDescent="0.25">
      <c r="A92" s="18" t="str">
        <f>GWP!A92</f>
        <v>Preliminary/Primary</v>
      </c>
      <c r="B92" s="57" t="str">
        <f>LookUps!$G$5</f>
        <v>Wastewater collection; operation and infrastructure; m3 wastewater</v>
      </c>
      <c r="C92" s="260">
        <f>C13</f>
        <v>3.7559799999999999E-5</v>
      </c>
      <c r="D92" s="260">
        <f>D13</f>
        <v>3.7559799999999999E-5</v>
      </c>
      <c r="E92" s="9" t="str">
        <f>CONCATENATE("(",INDEX(LookUps!$D$5:$D$12,MATCH(EP!$B$1,LookUps!$E$5:$E$12,0)), "/m3 wastewater treated")</f>
        <v>(kg N eq/m3 wastewater treated</v>
      </c>
    </row>
    <row r="93" spans="1:5" x14ac:dyDescent="0.25">
      <c r="A93" s="18" t="str">
        <f>GWP!A93</f>
        <v>Preliminary/Primary</v>
      </c>
      <c r="B93" s="58" t="str">
        <f>LookUps!$G$6</f>
        <v>Influent Pump Station; wastewater treatment unit; at updated plant - US</v>
      </c>
      <c r="C93" s="258"/>
      <c r="D93" s="260">
        <f t="shared" ref="D93" si="5">D14</f>
        <v>2.5000000000000001E-4</v>
      </c>
      <c r="E93" s="9" t="str">
        <f>CONCATENATE("(",INDEX(LookUps!$D$5:$D$12,MATCH(EP!$B$1,LookUps!$E$5:$E$12,0)), "/m3 wastewater treated")</f>
        <v>(kg N eq/m3 wastewater treated</v>
      </c>
    </row>
    <row r="94" spans="1:5" x14ac:dyDescent="0.25">
      <c r="A94" s="18" t="str">
        <f>GWP!A94</f>
        <v>Preliminary/Primary</v>
      </c>
      <c r="B94" s="58" t="str">
        <f>LookUps!$H$6</f>
        <v>Screening and Grit Removal - US</v>
      </c>
      <c r="C94" s="260">
        <f t="shared" ref="C94" si="6">C15</f>
        <v>2.4301600000000001E-5</v>
      </c>
      <c r="D94" s="258"/>
      <c r="E94" s="9" t="str">
        <f>CONCATENATE("(",INDEX(LookUps!$D$5:$D$12,MATCH(EP!$B$1,LookUps!$E$5:$E$12,0)), "/m3 wastewater treated")</f>
        <v>(kg N eq/m3 wastewater treated</v>
      </c>
    </row>
    <row r="95" spans="1:5" x14ac:dyDescent="0.25">
      <c r="A95" s="18" t="str">
        <f>GWP!A95</f>
        <v>Preliminary/Primary</v>
      </c>
      <c r="B95" s="58" t="str">
        <f>LookUps!$G$8</f>
        <v>Clear Cove Primary Clarification; wastewater treatment unit; at updated plant - US</v>
      </c>
      <c r="C95" s="258"/>
      <c r="D95" s="260">
        <f t="shared" ref="D95" si="7">D16</f>
        <v>2.0000000000000001E-4</v>
      </c>
      <c r="E95" s="9" t="str">
        <f>CONCATENATE("(",INDEX(LookUps!$D$5:$D$12,MATCH(EP!$B$1,LookUps!$E$5:$E$12,0)), "/m3 wastewater treated")</f>
        <v>(kg N eq/m3 wastewater treated</v>
      </c>
    </row>
    <row r="96" spans="1:5" x14ac:dyDescent="0.25">
      <c r="A96" s="18" t="str">
        <f>GWP!A96</f>
        <v>Preliminary/Primary</v>
      </c>
      <c r="B96" s="58" t="str">
        <f>LookUps!$H$8</f>
        <v>Primary Clarifier; wastewater treatment unit - US</v>
      </c>
      <c r="C96" s="260">
        <f t="shared" ref="C96" si="8">C17</f>
        <v>4.2999999999999999E-4</v>
      </c>
      <c r="D96" s="258"/>
      <c r="E96" s="9" t="str">
        <f>CONCATENATE("(",INDEX(LookUps!$D$5:$D$12,MATCH(EP!$B$1,LookUps!$E$5:$E$12,0)), "/m3 wastewater treated")</f>
        <v>(kg N eq/m3 wastewater treated</v>
      </c>
    </row>
    <row r="97" spans="1:5" x14ac:dyDescent="0.25">
      <c r="A97" s="18" t="str">
        <f>GWP!A97</f>
        <v>Sludge Handling and Treatment</v>
      </c>
      <c r="B97" s="58" t="str">
        <f>LookUps!$G$17</f>
        <v>ClearCove SCP; wastewater treatment unit; at updated plant - US</v>
      </c>
      <c r="C97" s="258"/>
      <c r="D97" s="260">
        <f t="shared" ref="D97:D99" si="9">D18</f>
        <v>7.7567199999999995E-6</v>
      </c>
      <c r="E97" s="9" t="str">
        <f>CONCATENATE("(",INDEX(LookUps!$D$5:$D$12,MATCH(EP!$B$1,LookUps!$E$5:$E$12,0)), "/m3 wastewater treated")</f>
        <v>(kg N eq/m3 wastewater treated</v>
      </c>
    </row>
    <row r="98" spans="1:5" x14ac:dyDescent="0.25">
      <c r="A98" s="18" t="str">
        <f>GWP!A98</f>
        <v>Preliminary/Primary</v>
      </c>
      <c r="B98" s="58" t="str">
        <f>LookUps!$G$7</f>
        <v>Wet Well and Sump Station; wastewater treatment unit; at updated plant - US</v>
      </c>
      <c r="C98" s="258"/>
      <c r="D98" s="260">
        <f t="shared" si="9"/>
        <v>1.1E-4</v>
      </c>
      <c r="E98" s="9" t="str">
        <f>CONCATENATE("(",INDEX(LookUps!$D$5:$D$12,MATCH(EP!$B$1,LookUps!$E$5:$E$12,0)), "/m3 wastewater treated")</f>
        <v>(kg N eq/m3 wastewater treated</v>
      </c>
    </row>
    <row r="99" spans="1:5" x14ac:dyDescent="0.25">
      <c r="A99" s="18" t="str">
        <f>GWP!A99</f>
        <v>Biological Treatment</v>
      </c>
      <c r="B99" s="58" t="str">
        <f>LookUps!$G$13</f>
        <v>Pre-Anoxic &amp; Swing tank; wastewater treatment unit; at updated plant - US</v>
      </c>
      <c r="C99" s="258"/>
      <c r="D99" s="260">
        <f t="shared" si="9"/>
        <v>1.3999999999999999E-4</v>
      </c>
      <c r="E99" s="9" t="str">
        <f>CONCATENATE("(",INDEX(LookUps!$D$5:$D$12,MATCH(EP!$B$1,LookUps!$E$5:$E$12,0)), "/m3 wastewater treated")</f>
        <v>(kg N eq/m3 wastewater treated</v>
      </c>
    </row>
    <row r="100" spans="1:5" x14ac:dyDescent="0.25">
      <c r="A100" s="18" t="str">
        <f>GWP!A100</f>
        <v>Biological Treatment</v>
      </c>
      <c r="B100" s="58" t="str">
        <f>LookUps!$J$9</f>
        <v>Aeration Tanks; wastewater treatment unit - US</v>
      </c>
      <c r="C100" s="260">
        <f t="shared" ref="C100:D102" si="10">C21</f>
        <v>4.2000000000000002E-4</v>
      </c>
      <c r="D100" s="260">
        <f t="shared" si="10"/>
        <v>5.5000000000000003E-4</v>
      </c>
      <c r="E100" s="9" t="str">
        <f>CONCATENATE("(",INDEX(LookUps!$D$5:$D$12,MATCH(EP!$B$1,LookUps!$E$5:$E$12,0)), "/m3 wastewater treated")</f>
        <v>(kg N eq/m3 wastewater treated</v>
      </c>
    </row>
    <row r="101" spans="1:5" x14ac:dyDescent="0.25">
      <c r="A101" s="18" t="str">
        <f>GWP!A101</f>
        <v>Sludge Handling and Treatment</v>
      </c>
      <c r="B101" s="58" t="str">
        <f>LookUps!$G$12</f>
        <v>Waste Receiving and Holding; wastewater treatment unit; at updated plant - US</v>
      </c>
      <c r="C101" s="258"/>
      <c r="D101" s="260">
        <f t="shared" si="10"/>
        <v>1.6000000000000001E-4</v>
      </c>
      <c r="E101" s="9" t="str">
        <f>CONCATENATE("(",INDEX(LookUps!$D$5:$D$12,MATCH(EP!$B$1,LookUps!$E$5:$E$12,0)), "/m3 wastewater treated")</f>
        <v>(kg N eq/m3 wastewater treated</v>
      </c>
    </row>
    <row r="102" spans="1:5" x14ac:dyDescent="0.25">
      <c r="A102" s="18" t="str">
        <f>GWP!A102</f>
        <v>Sludge Handling and Treatment</v>
      </c>
      <c r="B102" s="58" t="str">
        <f>LookUps!$G$11</f>
        <v>Gravity Belt Thickener; wastewater treatment unit; at updated plant - US</v>
      </c>
      <c r="C102" s="258"/>
      <c r="D102" s="260">
        <f t="shared" si="10"/>
        <v>6.0590300000000002E-5</v>
      </c>
      <c r="E102" s="9" t="str">
        <f>CONCATENATE("(",INDEX(LookUps!$D$5:$D$12,MATCH(EP!$B$1,LookUps!$E$5:$E$12,0)), "/m3 wastewater treated")</f>
        <v>(kg N eq/m3 wastewater treated</v>
      </c>
    </row>
    <row r="103" spans="1:5" x14ac:dyDescent="0.25">
      <c r="A103" s="18" t="str">
        <f>GWP!A103</f>
        <v>Sludge Handling and Treatment</v>
      </c>
      <c r="B103" s="58" t="str">
        <f>LookUps!$H$11</f>
        <v>Sludge Thickener; wastewater treatment unit - US</v>
      </c>
      <c r="C103" s="260">
        <f t="shared" ref="C103" si="11">C24</f>
        <v>3.0418400000000001E-6</v>
      </c>
      <c r="D103" s="258"/>
      <c r="E103" s="9" t="str">
        <f>CONCATENATE("(",INDEX(LookUps!$D$5:$D$12,MATCH(EP!$B$1,LookUps!$E$5:$E$12,0)), "/m3 wastewater treated")</f>
        <v>(kg N eq/m3 wastewater treated</v>
      </c>
    </row>
    <row r="104" spans="1:5" x14ac:dyDescent="0.25">
      <c r="A104" s="18" t="str">
        <f>GWP!A104</f>
        <v>Sludge Handling and Treatment</v>
      </c>
      <c r="B104" s="58" t="str">
        <f>LookUps!$G$14</f>
        <v>Blend Tank; wastewater treatment unit; at updated plant - US</v>
      </c>
      <c r="C104" s="258"/>
      <c r="D104" s="260">
        <f>D25</f>
        <v>1.6215700000000001E-5</v>
      </c>
      <c r="E104" s="9" t="str">
        <f>CONCATENATE("(",INDEX(LookUps!$D$5:$D$12,MATCH(EP!$B$1,LookUps!$E$5:$E$12,0)), "/m3 wastewater treated")</f>
        <v>(kg N eq/m3 wastewater treated</v>
      </c>
    </row>
    <row r="105" spans="1:5" x14ac:dyDescent="0.25">
      <c r="A105" s="18" t="str">
        <f>GWP!A105</f>
        <v>Sludge Handling and Treatment</v>
      </c>
      <c r="B105" s="58" t="str">
        <f>LookUps!$G$19</f>
        <v>Anaerobic Digestion; wastewater treatment unit; at updated plant - US</v>
      </c>
      <c r="C105" s="258"/>
      <c r="D105" s="260">
        <f>D26</f>
        <v>-2.0000000000000001E-4</v>
      </c>
      <c r="E105" s="9" t="str">
        <f>CONCATENATE("(",INDEX(LookUps!$D$5:$D$12,MATCH(EP!$B$1,LookUps!$E$5:$E$12,0)), "/m3 wastewater treated")</f>
        <v>(kg N eq/m3 wastewater treated</v>
      </c>
    </row>
    <row r="106" spans="1:5" x14ac:dyDescent="0.25">
      <c r="A106" s="18" t="str">
        <f>GWP!A106</f>
        <v>Sludge Handling and Treatment</v>
      </c>
      <c r="B106" s="58" t="str">
        <f>LookUps!$H$19</f>
        <v>Aerobic Digester; wastewater treatment unit - US</v>
      </c>
      <c r="C106" s="260">
        <f>C27</f>
        <v>4.2000000000000002E-4</v>
      </c>
      <c r="D106" s="258"/>
      <c r="E106" s="9" t="str">
        <f>CONCATENATE("(",INDEX(LookUps!$D$5:$D$12,MATCH(EP!$B$1,LookUps!$E$5:$E$12,0)), "/m3 wastewater treated")</f>
        <v>(kg N eq/m3 wastewater treated</v>
      </c>
    </row>
    <row r="107" spans="1:5" x14ac:dyDescent="0.25">
      <c r="A107" s="18" t="str">
        <f>GWP!A107</f>
        <v>Sludge Handling and Treatment</v>
      </c>
      <c r="B107" s="58" t="str">
        <f>LookUps!$J$15</f>
        <v>Belt filter press; wastewater treatment unit - US</v>
      </c>
      <c r="C107" s="260">
        <f>C28</f>
        <v>2.6429899999999999E-5</v>
      </c>
      <c r="D107" s="260">
        <f>D28</f>
        <v>5.06508E-5</v>
      </c>
      <c r="E107" s="9" t="str">
        <f>CONCATENATE("(",INDEX(LookUps!$D$5:$D$12,MATCH(EP!$B$1,LookUps!$E$5:$E$12,0)), "/m3 wastewater treated")</f>
        <v>(kg N eq/m3 wastewater treated</v>
      </c>
    </row>
    <row r="108" spans="1:5" x14ac:dyDescent="0.25">
      <c r="A108" s="18" t="str">
        <f>GWP!A108</f>
        <v>Sludge Handling and Treatment</v>
      </c>
      <c r="B108"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108" s="258"/>
      <c r="D108" s="260">
        <f>D29</f>
        <v>3.6000000000000002E-4</v>
      </c>
      <c r="E108" s="9" t="str">
        <f>CONCATENATE("(",INDEX(LookUps!$D$5:$D$12,MATCH(EP!$B$1,LookUps!$E$5:$E$12,0)), "/m3 wastewater treated")</f>
        <v>(kg N eq/m3 wastewater treated</v>
      </c>
    </row>
    <row r="109" spans="1:5" x14ac:dyDescent="0.25">
      <c r="A109" s="18" t="str">
        <f>GWP!A109</f>
        <v>Sludge Disposal</v>
      </c>
      <c r="B109" s="58" t="str">
        <f>LookUps!$G$18</f>
        <v>Land application of compost; wastewater treatment unit; at updated plant - US</v>
      </c>
      <c r="C109" s="258"/>
      <c r="D109" s="260">
        <f>D30</f>
        <v>2.0500000000000002E-3</v>
      </c>
      <c r="E109" s="9" t="str">
        <f>CONCATENATE("(",INDEX(LookUps!$D$5:$D$12,MATCH(EP!$B$1,LookUps!$E$5:$E$12,0)), "/m3 wastewater treated")</f>
        <v>(kg N eq/m3 wastewater treated</v>
      </c>
    </row>
    <row r="110" spans="1:5" x14ac:dyDescent="0.25">
      <c r="A110" s="18" t="str">
        <f>GWP!A110</f>
        <v>Sludge Disposal</v>
      </c>
      <c r="B110" s="58" t="str">
        <f>LookUps!$H$18</f>
        <v>Sludge Disposal; wastewater treatment unit - US</v>
      </c>
      <c r="C110" s="260">
        <f>C31</f>
        <v>-7.8219699999999999E-5</v>
      </c>
      <c r="D110" s="258"/>
    </row>
    <row r="111" spans="1:5" x14ac:dyDescent="0.25">
      <c r="A111" s="18" t="str">
        <f>GWP!A111</f>
        <v>Effluent Release</v>
      </c>
      <c r="B111" s="58" t="str">
        <f>LookUps!$G$20</f>
        <v>Effluent release; wastewater treatment unit; at surface water; m3 wastewater - US</v>
      </c>
      <c r="C111" s="15">
        <f>C32</f>
        <v>2.3099999999999999E-2</v>
      </c>
      <c r="D111" s="15">
        <f>D32</f>
        <v>1.1610000000000001E-2</v>
      </c>
      <c r="E111" s="9" t="str">
        <f>CONCATENATE("(",INDEX(LookUps!$D$5:$D$12,MATCH(EP!$B$1,LookUps!$E$5:$E$12,0)), "/m3 wastewater treated")</f>
        <v>(kg N eq/m3 wastewater treated</v>
      </c>
    </row>
    <row r="112" spans="1:5" x14ac:dyDescent="0.25">
      <c r="A112" s="18" t="str">
        <f>GWP!A112</f>
        <v>Facilities</v>
      </c>
      <c r="B112" s="58" t="str">
        <f>LookUps!$J$10</f>
        <v>Control Building; at wastewater treatment plant - US</v>
      </c>
      <c r="C112" s="260">
        <f>C33</f>
        <v>3.3376800000000002E-5</v>
      </c>
      <c r="D112" s="260">
        <f>D33</f>
        <v>3.6874600000000001E-5</v>
      </c>
      <c r="E112" s="9" t="str">
        <f>CONCATENATE("(",INDEX(LookUps!$D$5:$D$12,MATCH(EP!$B$1,LookUps!$E$5:$E$12,0)), "/m3 wastewater treated")</f>
        <v>(kg N eq/m3 wastewater treated</v>
      </c>
    </row>
    <row r="113" spans="1:6" x14ac:dyDescent="0.25">
      <c r="B113" s="11" t="s">
        <v>34</v>
      </c>
      <c r="C113" s="12">
        <f>SUM(C92:C112)</f>
        <v>2.4416490239999998E-2</v>
      </c>
      <c r="D113" s="12">
        <f>SUM(D92:D112)</f>
        <v>1.5439647920000001E-2</v>
      </c>
    </row>
    <row r="114" spans="1:6" ht="13.5" customHeight="1" x14ac:dyDescent="0.25"/>
    <row r="115" spans="1:6" x14ac:dyDescent="0.25">
      <c r="A115" s="18"/>
      <c r="B115" s="11"/>
      <c r="C115" s="51"/>
      <c r="D115" s="51"/>
      <c r="F115" s="19"/>
    </row>
    <row r="116" spans="1:6" x14ac:dyDescent="0.25">
      <c r="A116" s="18"/>
      <c r="B116" s="11"/>
      <c r="C116" s="51"/>
      <c r="D116" s="51"/>
      <c r="F116" s="19"/>
    </row>
    <row r="117" spans="1:6" x14ac:dyDescent="0.25">
      <c r="A117" s="20"/>
      <c r="B117" s="20"/>
      <c r="F117" s="19"/>
    </row>
    <row r="118" spans="1:6" x14ac:dyDescent="0.25">
      <c r="A118" s="342" t="s">
        <v>50</v>
      </c>
      <c r="B118" s="17" t="s">
        <v>47</v>
      </c>
      <c r="C118" s="1" t="s">
        <v>45</v>
      </c>
      <c r="D118" s="1" t="s">
        <v>46</v>
      </c>
      <c r="F118" s="19"/>
    </row>
    <row r="119" spans="1:6" x14ac:dyDescent="0.25">
      <c r="A119" s="342"/>
      <c r="B119" s="21" t="s">
        <v>64</v>
      </c>
      <c r="C119" s="22">
        <f t="shared" ref="C119:C124" si="12">SUMIF($A$92:$A$112,$B119,$C$92:$C$112)</f>
        <v>4.9186140000000004E-4</v>
      </c>
      <c r="D119" s="22">
        <f t="shared" ref="D119:D124" si="13">SUMIF($A$92:$A$112,$B119,$D$92:$D$112)</f>
        <v>5.9755979999999995E-4</v>
      </c>
      <c r="F119" s="19"/>
    </row>
    <row r="120" spans="1:6" x14ac:dyDescent="0.25">
      <c r="A120" s="342"/>
      <c r="B120" s="21" t="s">
        <v>49</v>
      </c>
      <c r="C120" s="22">
        <f t="shared" si="12"/>
        <v>4.2000000000000002E-4</v>
      </c>
      <c r="D120" s="22">
        <f t="shared" si="13"/>
        <v>6.9000000000000008E-4</v>
      </c>
      <c r="F120" s="19"/>
    </row>
    <row r="121" spans="1:6" x14ac:dyDescent="0.25">
      <c r="A121" s="342"/>
      <c r="B121" s="21" t="s">
        <v>119</v>
      </c>
      <c r="C121" s="22">
        <f t="shared" si="12"/>
        <v>3.3376800000000002E-5</v>
      </c>
      <c r="D121" s="22">
        <f t="shared" si="13"/>
        <v>3.6874600000000001E-5</v>
      </c>
      <c r="F121" s="19"/>
    </row>
    <row r="122" spans="1:6" x14ac:dyDescent="0.25">
      <c r="A122" s="342"/>
      <c r="B122" s="21" t="s">
        <v>66</v>
      </c>
      <c r="C122" s="22">
        <f t="shared" si="12"/>
        <v>4.4947174000000003E-4</v>
      </c>
      <c r="D122" s="22">
        <f t="shared" si="13"/>
        <v>4.5521352000000003E-4</v>
      </c>
      <c r="F122" s="19"/>
    </row>
    <row r="123" spans="1:6" x14ac:dyDescent="0.25">
      <c r="A123" s="342"/>
      <c r="B123" s="11" t="str">
        <f>LookUps!I18</f>
        <v>Sludge Disposal</v>
      </c>
      <c r="C123" s="22">
        <f t="shared" si="12"/>
        <v>-7.8219699999999999E-5</v>
      </c>
      <c r="D123" s="22">
        <f t="shared" si="13"/>
        <v>2.0500000000000002E-3</v>
      </c>
      <c r="F123" s="19"/>
    </row>
    <row r="124" spans="1:6" x14ac:dyDescent="0.25">
      <c r="A124" s="342"/>
      <c r="B124" s="21" t="s">
        <v>33</v>
      </c>
      <c r="C124" s="22">
        <f t="shared" si="12"/>
        <v>2.3099999999999999E-2</v>
      </c>
      <c r="D124" s="22">
        <f t="shared" si="13"/>
        <v>1.1610000000000001E-2</v>
      </c>
      <c r="F124" s="19"/>
    </row>
    <row r="125" spans="1:6" x14ac:dyDescent="0.25">
      <c r="B125" s="14" t="s">
        <v>34</v>
      </c>
      <c r="C125" s="136">
        <f>SUM(C119:C124)</f>
        <v>2.4416490239999998E-2</v>
      </c>
      <c r="D125" s="136">
        <f>SUM(D119:D124)</f>
        <v>1.5439647920000001E-2</v>
      </c>
      <c r="F125" s="19"/>
    </row>
    <row r="126" spans="1:6" x14ac:dyDescent="0.25"/>
    <row r="127" spans="1:6" x14ac:dyDescent="0.25">
      <c r="C127" s="12"/>
      <c r="D127" s="12"/>
    </row>
    <row r="128" spans="1:6" x14ac:dyDescent="0.25"/>
    <row r="129" x14ac:dyDescent="0.25"/>
    <row r="130" x14ac:dyDescent="0.25"/>
  </sheetData>
  <mergeCells count="1">
    <mergeCell ref="A118:A12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3"/>
  <sheetViews>
    <sheetView zoomScale="60" zoomScaleNormal="60" workbookViewId="0">
      <selection activeCell="A4" sqref="A4"/>
    </sheetView>
  </sheetViews>
  <sheetFormatPr defaultColWidth="0" defaultRowHeight="15.75" zeroHeight="1" x14ac:dyDescent="0.25"/>
  <cols>
    <col min="1" max="1" width="43.625" style="9" customWidth="1"/>
    <col min="2" max="2" width="95.625" style="9" bestFit="1" customWidth="1"/>
    <col min="3" max="3" width="24.5" style="9" customWidth="1"/>
    <col min="4" max="4" width="24.875" style="9" customWidth="1"/>
    <col min="5" max="23" width="9" style="9" customWidth="1"/>
    <col min="24" max="16384" width="9" style="9" hidden="1"/>
  </cols>
  <sheetData>
    <row r="1" spans="1:9" ht="21" x14ac:dyDescent="0.35">
      <c r="A1" s="8"/>
      <c r="B1" s="23" t="str">
        <f>LookUps!E5</f>
        <v>Global Warming Potential (GWP) - kg CO2 eq</v>
      </c>
    </row>
    <row r="2" spans="1:9" x14ac:dyDescent="0.25">
      <c r="A2" s="24" t="str">
        <f>CONCATENATE("LCIA Results File for ", INDEX(LookUps!$B$5:$B$12,MATCH(GWP!$B$1,LookUps!$E$5:$E$12,0)), " units are in ", INDEX(LookUps!$D$5:$D$12, MATCH(GWP!$B$1,LookUps!$E$5:$E$12,0)))</f>
        <v>LCIA Results File for Global Warming Potential units are in kg CO2 eq</v>
      </c>
      <c r="B2" s="1"/>
    </row>
    <row r="3" spans="1:9" x14ac:dyDescent="0.25">
      <c r="A3" s="24"/>
      <c r="B3" s="1"/>
    </row>
    <row r="4" spans="1:9" ht="17.25" customHeight="1" x14ac:dyDescent="0.25">
      <c r="A4" s="64" t="s">
        <v>141</v>
      </c>
      <c r="B4" s="1"/>
    </row>
    <row r="5" spans="1:9" x14ac:dyDescent="0.25">
      <c r="A5" s="66" t="s">
        <v>214</v>
      </c>
      <c r="B5" s="67" t="s">
        <v>130</v>
      </c>
    </row>
    <row r="6" spans="1:9" x14ac:dyDescent="0.25">
      <c r="A6" s="66" t="s">
        <v>422</v>
      </c>
      <c r="B6" s="67" t="s">
        <v>130</v>
      </c>
      <c r="D6" s="86"/>
      <c r="I6" s="130" t="str">
        <f>CONCATENATE("Figure is presenting results for the ", GWP!$B$5, " Feedstock-AD scenario and the ", GWP!$B$6, " GHG emissions scenario")</f>
        <v>Figure is presenting results for the Base Feedstock-AD scenario and the Base GHG emissions scenario</v>
      </c>
    </row>
    <row r="7" spans="1:9" ht="15" customHeight="1" x14ac:dyDescent="0.25">
      <c r="A7" s="66" t="s">
        <v>421</v>
      </c>
      <c r="B7" s="67" t="s">
        <v>424</v>
      </c>
    </row>
    <row r="8" spans="1:9" ht="17.25" customHeight="1" x14ac:dyDescent="0.25">
      <c r="A8" s="66" t="s">
        <v>426</v>
      </c>
      <c r="B8" s="67" t="s">
        <v>397</v>
      </c>
    </row>
    <row r="9" spans="1:9" ht="17.25" customHeight="1" x14ac:dyDescent="0.25">
      <c r="A9" s="66" t="s">
        <v>429</v>
      </c>
      <c r="B9" s="67" t="s">
        <v>430</v>
      </c>
    </row>
    <row r="10" spans="1:9" x14ac:dyDescent="0.25">
      <c r="A10" s="123" t="s">
        <v>210</v>
      </c>
      <c r="B10" s="122"/>
    </row>
    <row r="11" spans="1:9" x14ac:dyDescent="0.25">
      <c r="B11" s="1"/>
    </row>
    <row r="12" spans="1:9" x14ac:dyDescent="0.25">
      <c r="B12" s="56" t="s">
        <v>47</v>
      </c>
      <c r="C12" s="1" t="s">
        <v>45</v>
      </c>
      <c r="D12" s="1" t="s">
        <v>46</v>
      </c>
      <c r="E12" s="10" t="s">
        <v>27</v>
      </c>
    </row>
    <row r="13" spans="1:9" x14ac:dyDescent="0.25">
      <c r="B13" s="57" t="str">
        <f>LookUps!$G$5</f>
        <v>Wastewater collection; operation and infrastructure; m3 wastewater</v>
      </c>
      <c r="C13" s="15">
        <f>IF(C$12="Legacy",
SUMIFS(OpenLCAbasic!$J:$J,OpenLCAbasic!$D:$D, "Base", OpenLCAbasic!$F:$F,C$12,OpenLCAbasic!$L:$L,$B$1,OpenLCAbasic!$I:$I,$B13, OpenLCAbasic!$C:$C, $B$8),
IF(AND(NOT(ISERROR(MATCH($B13, LookUps!$J$5:$J$20,0))), C$12="Upgraded"),
SUMIFS(OpenLCAbasic!$J:$J,OpenLCAbasic!$D:$D, GWP!$B$5, OpenLCAbasic!$F:$F,C$12,OpenLCAbasic!$L:$L,$B$1,OpenLCAbasic!$I:$I,INDEX(LookUps!$G$5:$G$20,MATCH($B13, LookUps!$J$5:$J$20,0))),
SUMIFS(OpenLCAbasic!$J:$J,OpenLCAbasic!$D:$D, GWP!$B$5, OpenLCAbasic!$F:$F,C$12,OpenLCAbasic!$L:$L,$B$1,OpenLCAbasic!$I:$I,$B13)))</f>
        <v>1.3509999999999999E-2</v>
      </c>
      <c r="D13" s="15">
        <f>IF(AND(NOT(ISERROR(MATCH($B13, LookUps!$J$5:$J$20,0))), D$12="Upgraded"),
SUMIFS(OpenLCAbasic!$J:$J,OpenLCAbasic!$E:$E, "Base", OpenLCAbasic!$D:$D, GWP!$B$5, OpenLCAbasic!$F:$F,D$12,OpenLCAbasic!$L:$L,$B$1,OpenLCAbasic!$C:$C,$B$7,OpenLCAbasic!$I:$I,INDEX(LookUps!$G$5:$G$20,MATCH($B13, LookUps!$J$5:$J$20,0)), OpenLCAbasic!$B:$B, $B$9),
SUMIFS(OpenLCAbasic!$J:$J,OpenLCAbasic!$E:$E, "Base", OpenLCAbasic!$D:$D, GWP!$B$5, OpenLCAbasic!$F:$F,D$12,OpenLCAbasic!$L:$L,$B$1,OpenLCAbasic!$I:$I,$B13, OpenLCAbasic!$C:$C,$B$7, OpenLCAbasic!$B:$B, $B$9))</f>
        <v>1.3509999999999999E-2</v>
      </c>
      <c r="E13" s="9" t="str">
        <f>CONCATENATE("(",INDEX(LookUps!$D$5:$D$12,MATCH(GWP!$B$1,LookUps!$E$5:$E$12,0)), "/m3 wastewater treated")</f>
        <v>(kg CO2 eq/m3 wastewater treated</v>
      </c>
    </row>
    <row r="14" spans="1:9" x14ac:dyDescent="0.25">
      <c r="B14" s="58" t="str">
        <f>LookUps!$G$6</f>
        <v>Influent Pump Station; wastewater treatment unit; at updated plant - US</v>
      </c>
      <c r="C14" s="258"/>
      <c r="D14" s="15">
        <f>IF(AND(NOT(ISERROR(MATCH($B14, LookUps!$J$5:$J$20,0))), D$12="Upgraded"),
SUMIFS(OpenLCAbasic!$J:$J,OpenLCAbasic!$E:$E, "Base", OpenLCAbasic!$D:$D, GWP!$B$5, OpenLCAbasic!$F:$F,D$12,OpenLCAbasic!$L:$L,$B$1,OpenLCAbasic!$C:$C,$B$7,OpenLCAbasic!$I:$I,INDEX(LookUps!$G$5:$G$20,MATCH($B14, LookUps!$J$5:$J$20,0)), OpenLCAbasic!$B:$B, $B$9),
SUMIFS(OpenLCAbasic!$J:$J,OpenLCAbasic!$E:$E, "Base", OpenLCAbasic!$D:$D, GWP!$B$5, OpenLCAbasic!$F:$F,D$12,OpenLCAbasic!$L:$L,$B$1,OpenLCAbasic!$I:$I,$B14, OpenLCAbasic!$C:$C,$B$7, OpenLCAbasic!$B:$B, $B$9))</f>
        <v>5.0500000000000003E-2</v>
      </c>
      <c r="E14" s="9" t="str">
        <f>CONCATENATE("(",INDEX(LookUps!$D$5:$D$12,MATCH(GWP!$B$1,LookUps!$E$5:$E$12,0)), "/m3 wastewater treated")</f>
        <v>(kg CO2 eq/m3 wastewater treated</v>
      </c>
    </row>
    <row r="15" spans="1:9" x14ac:dyDescent="0.25">
      <c r="B15" s="58" t="str">
        <f>LookUps!$H$6</f>
        <v>Screening and Grit Removal - US</v>
      </c>
      <c r="C15" s="260">
        <f>IF(C$12="Legacy",
SUMIFS(OpenLCAbasic!$J:$J,OpenLCAbasic!$D:$D, "Base", OpenLCAbasic!$F:$F,C$12,OpenLCAbasic!$L:$L,$B$1,OpenLCAbasic!$I:$I,$B15, OpenLCAbasic!$C:$C, $B$8),
IF(AND(NOT(ISERROR(MATCH($B15, LookUps!$J$5:$J$20,0))), C$12="Upgraded"),
SUMIFS(OpenLCAbasic!$J:$J,OpenLCAbasic!$D:$D, GWP!$B$5, OpenLCAbasic!$F:$F,C$12,OpenLCAbasic!$L:$L,$B$1,OpenLCAbasic!$I:$I,INDEX(LookUps!$G$5:$G$20,MATCH($B15, LookUps!$J$5:$J$20,0))),
SUMIFS(OpenLCAbasic!$J:$J,OpenLCAbasic!$D:$D, GWP!$B$5, OpenLCAbasic!$F:$F,C$12,OpenLCAbasic!$L:$L,$B$1,OpenLCAbasic!$I:$I,$B15)))</f>
        <v>7.3200000000000001E-3</v>
      </c>
      <c r="D15" s="258"/>
      <c r="E15" s="9" t="str">
        <f>CONCATENATE("(",INDEX(LookUps!$D$5:$D$12,MATCH(GWP!$B$1,LookUps!$E$5:$E$12,0)), "/m3 wastewater treated")</f>
        <v>(kg CO2 eq/m3 wastewater treated</v>
      </c>
    </row>
    <row r="16" spans="1:9" x14ac:dyDescent="0.25">
      <c r="B16" s="58" t="str">
        <f>LookUps!$G$8</f>
        <v>Clear Cove Primary Clarification; wastewater treatment unit; at updated plant - US</v>
      </c>
      <c r="C16" s="258"/>
      <c r="D16" s="15">
        <f>IF(AND(NOT(ISERROR(MATCH($B16, LookUps!$J$5:$J$20,0))), D$12="Upgraded"),
SUMIFS(OpenLCAbasic!$J:$J,OpenLCAbasic!$E:$E, "Base", OpenLCAbasic!$D:$D, GWP!$B$5, OpenLCAbasic!$F:$F,D$12,OpenLCAbasic!$L:$L,$B$1,OpenLCAbasic!$C:$C,$B$7,OpenLCAbasic!$I:$I,INDEX(LookUps!$G$5:$G$20,MATCH($B16, LookUps!$J$5:$J$20,0)), OpenLCAbasic!$B:$B, $B$9),
SUMIFS(OpenLCAbasic!$J:$J,OpenLCAbasic!$E:$E, "Base", OpenLCAbasic!$D:$D, GWP!$B$5, OpenLCAbasic!$F:$F,D$12,OpenLCAbasic!$L:$L,$B$1,OpenLCAbasic!$I:$I,$B16, OpenLCAbasic!$C:$C,$B$7, OpenLCAbasic!$B:$B, $B$9))</f>
        <v>5.7079999999999999E-2</v>
      </c>
      <c r="E16" s="9" t="str">
        <f>CONCATENATE("(",INDEX(LookUps!$D$5:$D$12,MATCH(GWP!$B$1,LookUps!$E$5:$E$12,0)), "/m3 wastewater treated")</f>
        <v>(kg CO2 eq/m3 wastewater treated</v>
      </c>
    </row>
    <row r="17" spans="2:5" x14ac:dyDescent="0.25">
      <c r="B17" s="58" t="str">
        <f>LookUps!$H$8</f>
        <v>Primary Clarifier; wastewater treatment unit - US</v>
      </c>
      <c r="C17" s="15">
        <f>IF(C$12="Legacy",
SUMIFS(OpenLCAbasic!$J:$J,OpenLCAbasic!$D:$D, "Base", OpenLCAbasic!$F:$F,C$12,OpenLCAbasic!$L:$L,$B$1,OpenLCAbasic!$I:$I,$B17, OpenLCAbasic!$C:$C, $B$8),
IF(AND(NOT(ISERROR(MATCH($B17, LookUps!$J$5:$J$20,0))), C$12="Upgraded"),
SUMIFS(OpenLCAbasic!$J:$J,OpenLCAbasic!$D:$D, GWP!$B$5, OpenLCAbasic!$F:$F,C$12,OpenLCAbasic!$L:$L,$B$1,OpenLCAbasic!$I:$I,INDEX(LookUps!$G$5:$G$20,MATCH($B17, LookUps!$J$5:$J$20,0))),
SUMIFS(OpenLCAbasic!$J:$J,OpenLCAbasic!$D:$D, GWP!$B$5, OpenLCAbasic!$F:$F,C$12,OpenLCAbasic!$L:$L,$B$1,OpenLCAbasic!$I:$I,$B17)))</f>
        <v>0.11262999999999999</v>
      </c>
      <c r="D17" s="258"/>
      <c r="E17" s="9" t="str">
        <f>CONCATENATE("(",INDEX(LookUps!$D$5:$D$12,MATCH(GWP!$B$1,LookUps!$E$5:$E$12,0)), "/m3 wastewater treated")</f>
        <v>(kg CO2 eq/m3 wastewater treated</v>
      </c>
    </row>
    <row r="18" spans="2:5" x14ac:dyDescent="0.25">
      <c r="B18" s="58" t="str">
        <f>LookUps!$G$17</f>
        <v>ClearCove SCP; wastewater treatment unit; at updated plant - US</v>
      </c>
      <c r="C18" s="258"/>
      <c r="D18" s="260">
        <f>IF(AND(NOT(ISERROR(MATCH($B18, LookUps!$J$5:$J$20,0))), D$12="Upgraded"),
SUMIFS(OpenLCAbasic!$J:$J,OpenLCAbasic!$E:$E, "Base", OpenLCAbasic!$D:$D, GWP!$B$5, OpenLCAbasic!$F:$F,D$12,OpenLCAbasic!$L:$L,$B$1,OpenLCAbasic!$C:$C,$B$7,OpenLCAbasic!$I:$I,INDEX(LookUps!$G$5:$G$20,MATCH($B18, LookUps!$J$5:$J$20,0)), OpenLCAbasic!$B:$B, $B$9),
SUMIFS(OpenLCAbasic!$J:$J,OpenLCAbasic!$E:$E, "Base", OpenLCAbasic!$D:$D, GWP!$B$5, OpenLCAbasic!$F:$F,D$12,OpenLCAbasic!$L:$L,$B$1,OpenLCAbasic!$I:$I,$B18, OpenLCAbasic!$C:$C,$B$7, OpenLCAbasic!$B:$B, $B$9))</f>
        <v>2.4099999999999998E-3</v>
      </c>
      <c r="E18" s="9" t="str">
        <f>CONCATENATE("(",INDEX(LookUps!$D$5:$D$12,MATCH(GWP!$B$1,LookUps!$E$5:$E$12,0)), "/m3 wastewater treated")</f>
        <v>(kg CO2 eq/m3 wastewater treated</v>
      </c>
    </row>
    <row r="19" spans="2:5" x14ac:dyDescent="0.25">
      <c r="B19" s="58" t="str">
        <f>LookUps!$G$7</f>
        <v>Wet Well and Sump Station; wastewater treatment unit; at updated plant - US</v>
      </c>
      <c r="C19" s="258"/>
      <c r="D19" s="15">
        <f>IF(AND(NOT(ISERROR(MATCH($B19, LookUps!$J$5:$J$20,0))), D$12="Upgraded"),
SUMIFS(OpenLCAbasic!$J:$J,OpenLCAbasic!$E:$E, "Base", OpenLCAbasic!$D:$D, GWP!$B$5, OpenLCAbasic!$F:$F,D$12,OpenLCAbasic!$L:$L,$B$1,OpenLCAbasic!$C:$C,$B$7,OpenLCAbasic!$I:$I,INDEX(LookUps!$G$5:$G$20,MATCH($B19, LookUps!$J$5:$J$20,0)), OpenLCAbasic!$B:$B, $B$9),
SUMIFS(OpenLCAbasic!$J:$J,OpenLCAbasic!$E:$E, "Base", OpenLCAbasic!$D:$D, GWP!$B$5, OpenLCAbasic!$F:$F,D$12,OpenLCAbasic!$L:$L,$B$1,OpenLCAbasic!$I:$I,$B19, OpenLCAbasic!$C:$C,$B$7, OpenLCAbasic!$B:$B, $B$9))</f>
        <v>3.3259999999999998E-2</v>
      </c>
      <c r="E19" s="9" t="str">
        <f>CONCATENATE("(",INDEX(LookUps!$D$5:$D$12,MATCH(GWP!$B$1,LookUps!$E$5:$E$12,0)), "/m3 wastewater treated")</f>
        <v>(kg CO2 eq/m3 wastewater treated</v>
      </c>
    </row>
    <row r="20" spans="2:5" x14ac:dyDescent="0.25">
      <c r="B20" s="58" t="str">
        <f>LookUps!$G$13</f>
        <v>Pre-Anoxic &amp; Swing tank; wastewater treatment unit; at updated plant - US</v>
      </c>
      <c r="C20" s="258"/>
      <c r="D20" s="15">
        <f>IF(AND(NOT(ISERROR(MATCH($B20, LookUps!$J$5:$J$20,0))), D$12="Upgraded"),
SUMIFS(OpenLCAbasic!$J:$J,OpenLCAbasic!$E:$E, "Base", OpenLCAbasic!$D:$D, GWP!$B$5, OpenLCAbasic!$F:$F,D$12,OpenLCAbasic!$L:$L,$B$1,OpenLCAbasic!$C:$C,$B$7,OpenLCAbasic!$I:$I,INDEX(LookUps!$G$5:$G$20,MATCH($B20, LookUps!$J$5:$J$20,0)), OpenLCAbasic!$B:$B, $B$9),
SUMIFS(OpenLCAbasic!$J:$J,OpenLCAbasic!$E:$E, "Base", OpenLCAbasic!$D:$D, GWP!$B$5, OpenLCAbasic!$F:$F,D$12,OpenLCAbasic!$L:$L,$B$1,OpenLCAbasic!$I:$I,$B20, OpenLCAbasic!$C:$C,$B$7, OpenLCAbasic!$B:$B, $B$9))</f>
        <v>0.24279999999999999</v>
      </c>
      <c r="E20" s="9" t="str">
        <f>CONCATENATE("(",INDEX(LookUps!$D$5:$D$12,MATCH(GWP!$B$1,LookUps!$E$5:$E$12,0)), "/m3 wastewater treated")</f>
        <v>(kg CO2 eq/m3 wastewater treated</v>
      </c>
    </row>
    <row r="21" spans="2:5" x14ac:dyDescent="0.25">
      <c r="B21" s="58" t="str">
        <f>LookUps!$J$9</f>
        <v>Aeration Tanks; wastewater treatment unit - US</v>
      </c>
      <c r="C21" s="15">
        <f>IF(C$12="Legacy",
SUMIFS(OpenLCAbasic!$J:$J,OpenLCAbasic!$D:$D, "Base", OpenLCAbasic!$F:$F,C$12,OpenLCAbasic!$L:$L,$B$1,OpenLCAbasic!$I:$I,$B21, OpenLCAbasic!$C:$C, $B$8),
IF(AND(NOT(ISERROR(MATCH($B21, LookUps!$J$5:$J$20,0))), C$12="Upgraded"),
SUMIFS(OpenLCAbasic!$J:$J,OpenLCAbasic!$D:$D, GWP!$B$5, OpenLCAbasic!$F:$F,C$12,OpenLCAbasic!$L:$L,$B$1,OpenLCAbasic!$I:$I,INDEX(LookUps!$G$5:$G$20,MATCH($B21, LookUps!$J$5:$J$20,0))),
SUMIFS(OpenLCAbasic!$J:$J,OpenLCAbasic!$D:$D, GWP!$B$5, OpenLCAbasic!$F:$F,C$12,OpenLCAbasic!$L:$L,$B$1,OpenLCAbasic!$I:$I,$B21)))</f>
        <v>0.15987000000000001</v>
      </c>
      <c r="D21" s="15">
        <f>IF(AND(NOT(ISERROR(MATCH($B21, LookUps!$J$5:$J$20,0))), D$12="Upgraded"),
SUMIFS(OpenLCAbasic!$J:$J,OpenLCAbasic!$E:$E, "Base", OpenLCAbasic!$D:$D, GWP!$B$5, OpenLCAbasic!$F:$F,D$12,OpenLCAbasic!$L:$L,$B$1,OpenLCAbasic!$C:$C,$B$7,OpenLCAbasic!$I:$I,INDEX(LookUps!$G$5:$G$20,MATCH($B21, LookUps!$J$5:$J$20,0)), OpenLCAbasic!$B:$B, $B$9),
SUMIFS(OpenLCAbasic!$J:$J,OpenLCAbasic!$E:$E, "Base", OpenLCAbasic!$D:$D, GWP!$B$5, OpenLCAbasic!$F:$F,D$12,OpenLCAbasic!$L:$L,$B$1,OpenLCAbasic!$I:$I,$B21, OpenLCAbasic!$C:$C,$B$7, OpenLCAbasic!$B:$B, $B$9))</f>
        <v>0.16822000000000001</v>
      </c>
      <c r="E21" s="9" t="str">
        <f>CONCATENATE("(",INDEX(LookUps!$D$5:$D$12,MATCH(GWP!$B$1,LookUps!$E$5:$E$12,0)), "/m3 wastewater treated")</f>
        <v>(kg CO2 eq/m3 wastewater treated</v>
      </c>
    </row>
    <row r="22" spans="2:5" x14ac:dyDescent="0.25">
      <c r="B22" s="58" t="str">
        <f>LookUps!$G$12</f>
        <v>Waste Receiving and Holding; wastewater treatment unit; at updated plant - US</v>
      </c>
      <c r="C22" s="258"/>
      <c r="D22" s="15">
        <f>IF(AND(NOT(ISERROR(MATCH($B22, LookUps!$J$5:$J$20,0))), D$12="Upgraded"),
SUMIFS(OpenLCAbasic!$J:$J,OpenLCAbasic!$E:$E, "Base", OpenLCAbasic!$D:$D, GWP!$B$5, OpenLCAbasic!$F:$F,D$12,OpenLCAbasic!$L:$L,$B$1,OpenLCAbasic!$C:$C,$B$7,OpenLCAbasic!$I:$I,INDEX(LookUps!$G$5:$G$20,MATCH($B22, LookUps!$J$5:$J$20,0)), OpenLCAbasic!$B:$B, $B$9),
SUMIFS(OpenLCAbasic!$J:$J,OpenLCAbasic!$E:$E, "Base", OpenLCAbasic!$D:$D, GWP!$B$5, OpenLCAbasic!$F:$F,D$12,OpenLCAbasic!$L:$L,$B$1,OpenLCAbasic!$I:$I,$B22, OpenLCAbasic!$C:$C,$B$7, OpenLCAbasic!$B:$B, $B$9))</f>
        <v>0.10241</v>
      </c>
      <c r="E22" s="9" t="str">
        <f>CONCATENATE("(",INDEX(LookUps!$D$5:$D$12,MATCH(GWP!$B$1,LookUps!$E$5:$E$12,0)), "/m3 wastewater treated")</f>
        <v>(kg CO2 eq/m3 wastewater treated</v>
      </c>
    </row>
    <row r="23" spans="2:5" x14ac:dyDescent="0.25">
      <c r="B23" s="58" t="str">
        <f>LookUps!$G$11</f>
        <v>Gravity Belt Thickener; wastewater treatment unit; at updated plant - US</v>
      </c>
      <c r="C23" s="258"/>
      <c r="D23" s="15">
        <f>IF(AND(NOT(ISERROR(MATCH($B23, LookUps!$J$5:$J$20,0))), D$12="Upgraded"),
SUMIFS(OpenLCAbasic!$J:$J,OpenLCAbasic!$E:$E, "Base", OpenLCAbasic!$D:$D, GWP!$B$5, OpenLCAbasic!$F:$F,D$12,OpenLCAbasic!$L:$L,$B$1,OpenLCAbasic!$C:$C,$B$7,OpenLCAbasic!$I:$I,INDEX(LookUps!$G$5:$G$20,MATCH($B23, LookUps!$J$5:$J$20,0)), OpenLCAbasic!$B:$B, $B$9),
SUMIFS(OpenLCAbasic!$J:$J,OpenLCAbasic!$E:$E, "Base", OpenLCAbasic!$D:$D, GWP!$B$5, OpenLCAbasic!$F:$F,D$12,OpenLCAbasic!$L:$L,$B$1,OpenLCAbasic!$I:$I,$B23, OpenLCAbasic!$C:$C,$B$7, OpenLCAbasic!$B:$B, $B$9))</f>
        <v>1.455E-2</v>
      </c>
      <c r="E23" s="9" t="str">
        <f>CONCATENATE("(",INDEX(LookUps!$D$5:$D$12,MATCH(GWP!$B$1,LookUps!$E$5:$E$12,0)), "/m3 wastewater treated")</f>
        <v>(kg CO2 eq/m3 wastewater treated</v>
      </c>
    </row>
    <row r="24" spans="2:5" x14ac:dyDescent="0.25">
      <c r="B24" s="58" t="str">
        <f>LookUps!$H$11</f>
        <v>Sludge Thickener; wastewater treatment unit - US</v>
      </c>
      <c r="C24" s="260">
        <f>IF(C$12="Legacy",
SUMIFS(OpenLCAbasic!$J:$J,OpenLCAbasic!$D:$D, "Base", OpenLCAbasic!$F:$F,C$12,OpenLCAbasic!$L:$L,$B$1,OpenLCAbasic!$I:$I,$B24, OpenLCAbasic!$C:$C, $B$8),
IF(AND(NOT(ISERROR(MATCH($B24, LookUps!$J$5:$J$20,0))), C$12="Upgraded"),
SUMIFS(OpenLCAbasic!$J:$J,OpenLCAbasic!$D:$D, GWP!$B$5, OpenLCAbasic!$F:$F,C$12,OpenLCAbasic!$L:$L,$B$1,OpenLCAbasic!$I:$I,INDEX(LookUps!$G$5:$G$20,MATCH($B24, LookUps!$J$5:$J$20,0))),
SUMIFS(OpenLCAbasic!$J:$J,OpenLCAbasic!$D:$D, GWP!$B$5, OpenLCAbasic!$F:$F,C$12,OpenLCAbasic!$L:$L,$B$1,OpenLCAbasic!$I:$I,$B24)))</f>
        <v>9.3999999999999997E-4</v>
      </c>
      <c r="D24" s="258"/>
      <c r="E24" s="9" t="str">
        <f>CONCATENATE("(",INDEX(LookUps!$D$5:$D$12,MATCH(GWP!$B$1,LookUps!$E$5:$E$12,0)), "/m3 wastewater treated")</f>
        <v>(kg CO2 eq/m3 wastewater treated</v>
      </c>
    </row>
    <row r="25" spans="2:5" x14ac:dyDescent="0.25">
      <c r="B25" s="58" t="str">
        <f>LookUps!$G$14</f>
        <v>Blend Tank; wastewater treatment unit; at updated plant - US</v>
      </c>
      <c r="C25" s="258"/>
      <c r="D25" s="260">
        <f>IF(AND(NOT(ISERROR(MATCH($B25, LookUps!$J$5:$J$20,0))), D$12="Upgraded"),
SUMIFS(OpenLCAbasic!$J:$J,OpenLCAbasic!$E:$E, "Base", OpenLCAbasic!$D:$D, GWP!$B$5, OpenLCAbasic!$F:$F,D$12,OpenLCAbasic!$L:$L,$B$1,OpenLCAbasic!$C:$C,$B$7,OpenLCAbasic!$I:$I,INDEX(LookUps!$G$5:$G$20,MATCH($B25, LookUps!$J$5:$J$20,0)), OpenLCAbasic!$B:$B, $B$9),
SUMIFS(OpenLCAbasic!$J:$J,OpenLCAbasic!$E:$E, "Base", OpenLCAbasic!$D:$D, GWP!$B$5, OpenLCAbasic!$F:$F,D$12,OpenLCAbasic!$L:$L,$B$1,OpenLCAbasic!$I:$I,$B25, OpenLCAbasic!$C:$C,$B$7, OpenLCAbasic!$B:$B, $B$9))</f>
        <v>5.0400000000000002E-3</v>
      </c>
      <c r="E25" s="9" t="str">
        <f>CONCATENATE("(",INDEX(LookUps!$D$5:$D$12,MATCH(GWP!$B$1,LookUps!$E$5:$E$12,0)), "/m3 wastewater treated")</f>
        <v>(kg CO2 eq/m3 wastewater treated</v>
      </c>
    </row>
    <row r="26" spans="2:5" x14ac:dyDescent="0.25">
      <c r="B26" s="58" t="str">
        <f>LookUps!$G$19</f>
        <v>Anaerobic Digestion; wastewater treatment unit; at updated plant - US</v>
      </c>
      <c r="C26" s="258"/>
      <c r="D26" s="15">
        <f>IF(AND(NOT(ISERROR(MATCH($B26, LookUps!$J$5:$J$20,0))), D$12="Upgraded"),
SUMIFS(OpenLCAbasic!$J:$J,OpenLCAbasic!$E:$E, "Base", OpenLCAbasic!$D:$D, GWP!$B$5, OpenLCAbasic!$F:$F,D$12,OpenLCAbasic!$L:$L,$B$1,OpenLCAbasic!$C:$C,$B$7,OpenLCAbasic!$I:$I,INDEX(LookUps!$G$5:$G$20,MATCH($B26, LookUps!$J$5:$J$20,0)), OpenLCAbasic!$B:$B, $B$9),
SUMIFS(OpenLCAbasic!$J:$J,OpenLCAbasic!$E:$E, "Base", OpenLCAbasic!$D:$D, GWP!$B$5, OpenLCAbasic!$F:$F,D$12,OpenLCAbasic!$L:$L,$B$1,OpenLCAbasic!$I:$I,$B26, OpenLCAbasic!$C:$C,$B$7, OpenLCAbasic!$B:$B, $B$9))</f>
        <v>-5.6640000000000003E-2</v>
      </c>
      <c r="E26" s="9" t="str">
        <f>CONCATENATE("(",INDEX(LookUps!$D$5:$D$12,MATCH(GWP!$B$1,LookUps!$E$5:$E$12,0)), "/m3 wastewater treated")</f>
        <v>(kg CO2 eq/m3 wastewater treated</v>
      </c>
    </row>
    <row r="27" spans="2:5" x14ac:dyDescent="0.25">
      <c r="B27" s="58" t="str">
        <f>LookUps!$H$19</f>
        <v>Aerobic Digester; wastewater treatment unit - US</v>
      </c>
      <c r="C27" s="15">
        <f>IF(C$12="Legacy",
SUMIFS(OpenLCAbasic!$J:$J,OpenLCAbasic!$D:$D, "Base", OpenLCAbasic!$F:$F,C$12,OpenLCAbasic!$L:$L,$B$1,OpenLCAbasic!$I:$I,$B27, OpenLCAbasic!$C:$C, $B$8),
IF(AND(NOT(ISERROR(MATCH($B27, LookUps!$J$5:$J$20,0))), C$12="Upgraded"),
SUMIFS(OpenLCAbasic!$J:$J,OpenLCAbasic!$D:$D, GWP!$B$5, OpenLCAbasic!$F:$F,C$12,OpenLCAbasic!$L:$L,$B$1,OpenLCAbasic!$I:$I,INDEX(LookUps!$G$5:$G$20,MATCH($B27, LookUps!$J$5:$J$20,0))),
SUMIFS(OpenLCAbasic!$J:$J,OpenLCAbasic!$D:$D, GWP!$B$5, OpenLCAbasic!$F:$F,C$12,OpenLCAbasic!$L:$L,$B$1,OpenLCAbasic!$I:$I,$B27)))</f>
        <v>0.22309000000000001</v>
      </c>
      <c r="D27" s="258"/>
      <c r="E27" s="9" t="str">
        <f>CONCATENATE("(",INDEX(LookUps!$D$5:$D$12,MATCH(GWP!$B$1,LookUps!$E$5:$E$12,0)), "/m3 wastewater treated")</f>
        <v>(kg CO2 eq/m3 wastewater treated</v>
      </c>
    </row>
    <row r="28" spans="2:5" x14ac:dyDescent="0.25">
      <c r="B28" s="58" t="str">
        <f>LookUps!$J$15</f>
        <v>Belt filter press; wastewater treatment unit - US</v>
      </c>
      <c r="C28" s="260">
        <f>IF(C$12="Legacy",
SUMIFS(OpenLCAbasic!$J:$J,OpenLCAbasic!$D:$D, "Base", OpenLCAbasic!$F:$F,C$12,OpenLCAbasic!$L:$L,$B$1,OpenLCAbasic!$I:$I,$B28, OpenLCAbasic!$C:$C, $B$8),
IF(AND(NOT(ISERROR(MATCH($B28, LookUps!$J$5:$J$20,0))), C$12="Upgraded"),
SUMIFS(OpenLCAbasic!$J:$J,OpenLCAbasic!$D:$D, GWP!$B$5, OpenLCAbasic!$F:$F,C$12,OpenLCAbasic!$L:$L,$B$1,OpenLCAbasic!$I:$I,INDEX(LookUps!$G$5:$G$20,MATCH($B28, LookUps!$J$5:$J$20,0))),
SUMIFS(OpenLCAbasic!$J:$J,OpenLCAbasic!$D:$D, GWP!$B$5, OpenLCAbasic!$F:$F,C$12,OpenLCAbasic!$L:$L,$B$1,OpenLCAbasic!$I:$I,$B28)))</f>
        <v>7.4400000000000004E-3</v>
      </c>
      <c r="D28" s="15">
        <f>IF(AND(NOT(ISERROR(MATCH($B28, LookUps!$J$5:$J$20,0))), D$12="Upgraded"),
SUMIFS(OpenLCAbasic!$J:$J,OpenLCAbasic!$E:$E, "Base", OpenLCAbasic!$D:$D, GWP!$B$5, OpenLCAbasic!$F:$F,D$12,OpenLCAbasic!$L:$L,$B$1,OpenLCAbasic!$C:$C,$B$7,OpenLCAbasic!$I:$I,INDEX(LookUps!$G$5:$G$20,MATCH($B28, LookUps!$J$5:$J$20,0)), OpenLCAbasic!$B:$B, $B$9),
SUMIFS(OpenLCAbasic!$J:$J,OpenLCAbasic!$E:$E, "Base", OpenLCAbasic!$D:$D, GWP!$B$5, OpenLCAbasic!$F:$F,D$12,OpenLCAbasic!$L:$L,$B$1,OpenLCAbasic!$I:$I,$B28, OpenLCAbasic!$C:$C,$B$7, OpenLCAbasic!$B:$B, $B$9))</f>
        <v>1.278E-2</v>
      </c>
      <c r="E28" s="9" t="str">
        <f>CONCATENATE("(",INDEX(LookUps!$D$5:$D$12,MATCH(GWP!$B$1,LookUps!$E$5:$E$12,0)), "/m3 wastewater treated")</f>
        <v>(kg CO2 eq/m3 wastewater treated</v>
      </c>
    </row>
    <row r="29" spans="2:5" x14ac:dyDescent="0.25">
      <c r="B29"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29" s="258"/>
      <c r="D29" s="289">
        <f>IF(OR(GWP!$B$6="Low", GWP!$B$6="High"),
INDEX(OpenLCAbasic!$J:$J, MATCH(CONCATENATE(GWP!$B$6, "_", GWP!$B$5, "_", "Upgraded_",$B$1,"_",B29, "_", $B$7, "_", $B$9), OpenLCAbasic!$M:$M,0)),
IF(AND(NOT(ISERROR(MATCH($B29, LookUps!$J$5:$J$20,0))), D$12="Upgraded"),
SUMIFS(OpenLCAbasic!$J:$J,OpenLCAbasic!$E:$E, GWP!$B$6, OpenLCAbasic!$D:$D, GWP!$B$5, OpenLCAbasic!$F:$F,D$12,OpenLCAbasic!$L:$L,$B$1,OpenLCAbasic!$I:$I,INDEX(LookUps!$G$5:$G$20,MATCH($B29, LookUps!$J$5:$J$20,0)), OpenLCAbasic!$B:$B, $B$9, OpenLCAbasic!$C:$C, $B$7),
SUMIFS(OpenLCAbasic!$J:$J,OpenLCAbasic!$E:$E, GWP!$B$6, OpenLCAbasic!$D:$D, GWP!$B$5, OpenLCAbasic!$F:$F,D$12,OpenLCAbasic!$L:$L,$B$1,OpenLCAbasic!$I:$I,$B29, OpenLCAbasic!$B:$B, $B$9, OpenLCAbasic!$C:$C, $B$7)))</f>
        <v>0.73433000000000004</v>
      </c>
      <c r="E29" s="9" t="str">
        <f>CONCATENATE("(",INDEX(LookUps!$D$5:$D$12,MATCH(GWP!$B$1,LookUps!$E$5:$E$12,0)), "/m3 wastewater treated")</f>
        <v>(kg CO2 eq/m3 wastewater treated</v>
      </c>
    </row>
    <row r="30" spans="2:5" x14ac:dyDescent="0.25">
      <c r="B30" s="58" t="str">
        <f>LookUps!$G$18</f>
        <v>Land application of compost; wastewater treatment unit; at updated plant - US</v>
      </c>
      <c r="C30" s="258"/>
      <c r="D30" s="289">
        <f>IF(OR(GWP!$B$6="Low", GWP!$B$6="High"),
INDEX(OpenLCAbasic!$J:$J, MATCH(CONCATENATE(GWP!$B$6, "_", GWP!$B$5, "_", "Upgraded_",$B$1,"_",B30, "_", $B$7, "_", $B$9), OpenLCAbasic!$M:$M,0)),
IF(AND(NOT(ISERROR(MATCH($B30, LookUps!$J$5:$J$20,0))), D$12="Upgraded"),
SUMIFS(OpenLCAbasic!$J:$J,OpenLCAbasic!$E:$E, GWP!$B$6, OpenLCAbasic!$D:$D, GWP!$B$5, OpenLCAbasic!$F:$F,D$12,OpenLCAbasic!$L:$L,$B$1,OpenLCAbasic!$I:$I,INDEX(LookUps!$G$5:$G$20,MATCH($B30, LookUps!$J$5:$J$20,0)), OpenLCAbasic!$B:$B, $B$9, OpenLCAbasic!$C:$C, $B$7),
SUMIFS(OpenLCAbasic!$J:$J,OpenLCAbasic!$E:$E, GWP!$B$6, OpenLCAbasic!$D:$D, GWP!$B$5, OpenLCAbasic!$F:$F,D$12,OpenLCAbasic!$L:$L,$B$1,OpenLCAbasic!$I:$I,$B30, OpenLCAbasic!$B:$B, $B$9, OpenLCAbasic!$C:$C, $B$7)))</f>
        <v>-0.46950999999999998</v>
      </c>
      <c r="E30" s="9" t="str">
        <f>CONCATENATE("(",INDEX(LookUps!$D$5:$D$12,MATCH(GWP!$B$1,LookUps!$E$5:$E$12,0)), "/m3 wastewater treated")</f>
        <v>(kg CO2 eq/m3 wastewater treated</v>
      </c>
    </row>
    <row r="31" spans="2:5" x14ac:dyDescent="0.25">
      <c r="B31" s="58" t="str">
        <f>LookUps!$H$18</f>
        <v>Sludge Disposal; wastewater treatment unit - US</v>
      </c>
      <c r="C31" s="290">
        <f>IF(OR(GWP!$B$6="Low", GWP!$B$6="High"),
 INDEX(OpenLCAbasic!$J:$J, MATCH(CONCATENATE(GWP!$B$6, "_", "Base", "_", "Legacy_",$B$1, "_",B31, "_", $B$8,"_n.a."), OpenLCAbasic!$M:$M,0)),
IF(C$12="Legacy", SUMIFS(OpenLCAbasic!$J:$J,OpenLCAbasic!$E:$E, "Base", OpenLCAbasic!$D:$D, "Base", OpenLCAbasic!$F:$F,C$12,OpenLCAbasic!$L:$L,$B$1,OpenLCAbasic!$I:$I,$B31, OpenLCAbasic!$C:$C, $B$8),
IF(AND(NOT(ISERROR(MATCH($B31, LookUps!$J$5:$J$20,0))), C$12="Upgraded"), SUMIFS(OpenLCAbasic!$J:$J,OpenLCAbasic!$E:$E, "Base", OpenLCAbasic!$D:$D, "Base", OpenLCAbasic!$F:$F,C$12,OpenLCAbasic!$L:$L,$B$1,OpenLCAbasic!$I:$I,INDEX(LookUps!$G$5:$G$20,MATCH($B31, LookUps!$J$5:$J$20,0))),
SUMIFS(OpenLCAbasic!$J:$J,OpenLCAbasic!$E:$E, "Base", OpenLCAbasic!$D:$D, "Base", OpenLCAbasic!$F:$F,C$12,OpenLCAbasic!$L:$L,$B$1,OpenLCAbasic!$I:$I,$B31))))</f>
        <v>0.12368</v>
      </c>
      <c r="D31" s="258"/>
      <c r="E31" s="9" t="str">
        <f>CONCATENATE("(",INDEX(LookUps!$D$5:$D$12,MATCH(GWP!$B$1,LookUps!$E$5:$E$12,0)), "/m3 wastewater treated")</f>
        <v>(kg CO2 eq/m3 wastewater treated</v>
      </c>
    </row>
    <row r="32" spans="2:5" x14ac:dyDescent="0.25">
      <c r="B32" s="58" t="str">
        <f>LookUps!$G$20</f>
        <v>Effluent release; wastewater treatment unit; at surface water; m3 wastewater - US</v>
      </c>
      <c r="C32" s="15">
        <f>IF(C$12="Legacy",
SUMIFS(OpenLCAbasic!$J:$J,OpenLCAbasic!$D:$D, "Base", OpenLCAbasic!$F:$F,C$12,OpenLCAbasic!$L:$L,$B$1,OpenLCAbasic!$I:$I,$B32, OpenLCAbasic!$C:$C, $B$8),
IF(AND(NOT(ISERROR(MATCH($B32, LookUps!$J$5:$J$20,0))), C$12="Upgraded"),
SUMIFS(OpenLCAbasic!$J:$J,OpenLCAbasic!$D:$D, GWP!$B$5, OpenLCAbasic!$F:$F,C$12,OpenLCAbasic!$L:$L,$B$1,OpenLCAbasic!$I:$I,INDEX(LookUps!$G$5:$G$20,MATCH($B32, LookUps!$J$5:$J$20,0))),
SUMIFS(OpenLCAbasic!$J:$J,OpenLCAbasic!$D:$D, GWP!$B$5, OpenLCAbasic!$F:$F,C$12,OpenLCAbasic!$L:$L,$B$1,OpenLCAbasic!$I:$I,$B32)))</f>
        <v>7.4099999999999999E-2</v>
      </c>
      <c r="D32" s="15">
        <f>IF(AND(NOT(ISERROR(MATCH($B32, LookUps!$J$5:$J$20,0))), D$12="Upgraded"),
SUMIFS(OpenLCAbasic!$J:$J,OpenLCAbasic!$E:$E, "Base", OpenLCAbasic!$D:$D, GWP!$B$5, OpenLCAbasic!$F:$F,D$12,OpenLCAbasic!$L:$L,$B$1,OpenLCAbasic!$C:$C,$B$7,OpenLCAbasic!$I:$I,INDEX(LookUps!$G$5:$G$20,MATCH($B32, LookUps!$J$5:$J$20,0)), OpenLCAbasic!$B:$B, $B$9),
SUMIFS(OpenLCAbasic!$J:$J,OpenLCAbasic!$E:$E, "Base", OpenLCAbasic!$D:$D, GWP!$B$5, OpenLCAbasic!$F:$F,D$12,OpenLCAbasic!$L:$L,$B$1,OpenLCAbasic!$I:$I,$B32, OpenLCAbasic!$C:$C,$B$7, OpenLCAbasic!$B:$B, $B$9))</f>
        <v>5.2639999999999999E-2</v>
      </c>
      <c r="E32" s="9" t="str">
        <f>CONCATENATE("(",INDEX(LookUps!$D$5:$D$12,MATCH(GWP!$B$1,LookUps!$E$5:$E$12,0)), "/m3 wastewater treated")</f>
        <v>(kg CO2 eq/m3 wastewater treated</v>
      </c>
    </row>
    <row r="33" spans="2:5" x14ac:dyDescent="0.25">
      <c r="B33" s="58" t="str">
        <f>LookUps!$J$10</f>
        <v>Control Building; at wastewater treatment plant - US</v>
      </c>
      <c r="C33" s="15">
        <f>IF(C$12="Legacy",
SUMIFS(OpenLCAbasic!$J:$J,OpenLCAbasic!$D:$D, "Base", OpenLCAbasic!$F:$F,C$12,OpenLCAbasic!$L:$L,$B$1,OpenLCAbasic!$I:$I,$B33, OpenLCAbasic!$C:$C, $B$8),
IF(AND(NOT(ISERROR(MATCH($B33, LookUps!$J$5:$J$20,0))), C$12="Upgraded"),
SUMIFS(OpenLCAbasic!$J:$J,OpenLCAbasic!$D:$D, GWP!$B$5, OpenLCAbasic!$F:$F,C$12,OpenLCAbasic!$L:$L,$B$1,OpenLCAbasic!$I:$I,INDEX(LookUps!$G$5:$G$20,MATCH($B33, LookUps!$J$5:$J$20,0))),
SUMIFS(OpenLCAbasic!$J:$J,OpenLCAbasic!$D:$D, GWP!$B$5, OpenLCAbasic!$F:$F,C$12,OpenLCAbasic!$L:$L,$B$1,OpenLCAbasic!$I:$I,$B33)))</f>
        <v>5.2569999999999999E-2</v>
      </c>
      <c r="D33" s="260">
        <f>IF(AND(NOT(ISERROR(MATCH($B33, LookUps!$J$5:$J$20,0))), D$12="Upgraded"),
SUMIFS(OpenLCAbasic!$J:$J,OpenLCAbasic!$E:$E, "Base", OpenLCAbasic!$D:$D, GWP!$B$5, OpenLCAbasic!$F:$F,D$12,OpenLCAbasic!$L:$L,$B$1,OpenLCAbasic!$C:$C,$B$7,OpenLCAbasic!$I:$I,INDEX(LookUps!$G$5:$G$20,MATCH($B33, LookUps!$J$5:$J$20,0)), OpenLCAbasic!$B:$B, $B$9),
SUMIFS(OpenLCAbasic!$J:$J,OpenLCAbasic!$E:$E, "Base", OpenLCAbasic!$D:$D, GWP!$B$5, OpenLCAbasic!$F:$F,D$12,OpenLCAbasic!$L:$L,$B$1,OpenLCAbasic!$I:$I,$B33, OpenLCAbasic!$C:$C,$B$7, OpenLCAbasic!$B:$B, $B$9))</f>
        <v>8.3000000000000001E-3</v>
      </c>
      <c r="E33" s="9" t="str">
        <f>CONCATENATE("(",INDEX(LookUps!$D$5:$D$12,MATCH(GWP!$B$1,LookUps!$E$5:$E$12,0)), "/m3 wastewater treated")</f>
        <v>(kg CO2 eq/m3 wastewater treated</v>
      </c>
    </row>
    <row r="34" spans="2:5" x14ac:dyDescent="0.25">
      <c r="B34" s="11" t="s">
        <v>34</v>
      </c>
      <c r="C34" s="12">
        <f>SUM(C13:C33)</f>
        <v>0.77515000000000001</v>
      </c>
      <c r="D34" s="12">
        <f>SUM(D13:D33)</f>
        <v>0.97168000000000021</v>
      </c>
    </row>
    <row r="35" spans="2:5" x14ac:dyDescent="0.25">
      <c r="B35" s="11" t="s">
        <v>22</v>
      </c>
      <c r="C35" s="12">
        <f>MAX($C$34:$D$34)</f>
        <v>0.97168000000000021</v>
      </c>
      <c r="D35" s="12">
        <f>MAX($C$34:$D$34)</f>
        <v>0.97168000000000021</v>
      </c>
    </row>
    <row r="36" spans="2:5" x14ac:dyDescent="0.25"/>
    <row r="37" spans="2:5" x14ac:dyDescent="0.25">
      <c r="B37" s="1" t="str">
        <f>CONCATENATE(INDEX(LookUps!$B$5:$B$12,MATCH(GWP!$B$1,LookUps!$E$5:$E$12,0))," (Contribution %)")</f>
        <v>Global Warming Potential (Contribution %)</v>
      </c>
    </row>
    <row r="38" spans="2:5" x14ac:dyDescent="0.25"/>
    <row r="39" spans="2:5" x14ac:dyDescent="0.25">
      <c r="B39" s="56" t="s">
        <v>47</v>
      </c>
      <c r="C39" s="1" t="s">
        <v>45</v>
      </c>
      <c r="D39" s="1" t="s">
        <v>46</v>
      </c>
      <c r="E39" s="10" t="s">
        <v>27</v>
      </c>
    </row>
    <row r="40" spans="2:5" x14ac:dyDescent="0.25">
      <c r="B40" s="57" t="str">
        <f>LookUps!$G$5</f>
        <v>Wastewater collection; operation and infrastructure; m3 wastewater</v>
      </c>
      <c r="C40" s="60">
        <f>IF(ISERROR(C13/C$34), "",C13/ C$34)</f>
        <v>1.7428884731987355E-2</v>
      </c>
      <c r="D40" s="60">
        <f>IF(ISERROR(D13/D$34), "",D13/ D$34)</f>
        <v>1.3903754322410667E-2</v>
      </c>
      <c r="E40" s="9" t="str">
        <f>CONCATENATE("(",INDEX(LookUps!$D$5:$D$12,MATCH(GWP!$B$1,LookUps!$E$5:$E$12,0)), "/m3 wastewater treated")</f>
        <v>(kg CO2 eq/m3 wastewater treated</v>
      </c>
    </row>
    <row r="41" spans="2:5" x14ac:dyDescent="0.25">
      <c r="B41" s="58" t="str">
        <f>LookUps!$G$6</f>
        <v>Influent Pump Station; wastewater treatment unit; at updated plant - US</v>
      </c>
      <c r="C41" s="61"/>
      <c r="D41" s="62">
        <f>IF(ISERROR(D14/D$34), "",D14/ D$34)</f>
        <v>5.1971842581919968E-2</v>
      </c>
      <c r="E41" s="9" t="str">
        <f>CONCATENATE("(",INDEX(LookUps!$D$5:$D$12,MATCH(GWP!$B$1,LookUps!$E$5:$E$12,0)), "/m3 wastewater treated")</f>
        <v>(kg CO2 eq/m3 wastewater treated</v>
      </c>
    </row>
    <row r="42" spans="2:5" x14ac:dyDescent="0.25">
      <c r="B42" s="58" t="str">
        <f>LookUps!$H$6</f>
        <v>Screening and Grit Removal - US</v>
      </c>
      <c r="C42" s="62">
        <f>IF(ISERROR(C15/C$34), "",C15/ C$34)</f>
        <v>9.4433335483454818E-3</v>
      </c>
      <c r="D42" s="61"/>
      <c r="E42" s="9" t="str">
        <f>CONCATENATE("(",INDEX(LookUps!$D$5:$D$12,MATCH(GWP!$B$1,LookUps!$E$5:$E$12,0)), "/m3 wastewater treated")</f>
        <v>(kg CO2 eq/m3 wastewater treated</v>
      </c>
    </row>
    <row r="43" spans="2:5" x14ac:dyDescent="0.25">
      <c r="B43" s="58" t="str">
        <f>LookUps!$G$8</f>
        <v>Clear Cove Primary Clarification; wastewater treatment unit; at updated plant - US</v>
      </c>
      <c r="C43" s="61"/>
      <c r="D43" s="62">
        <f>IF(ISERROR(D16/D$34), "",D16/ D$34)</f>
        <v>5.8743619298534486E-2</v>
      </c>
      <c r="E43" s="9" t="str">
        <f>CONCATENATE("(",INDEX(LookUps!$D$5:$D$12,MATCH(GWP!$B$1,LookUps!$E$5:$E$12,0)), "/m3 wastewater treated")</f>
        <v>(kg CO2 eq/m3 wastewater treated</v>
      </c>
    </row>
    <row r="44" spans="2:5" x14ac:dyDescent="0.25">
      <c r="B44" s="58" t="str">
        <f>LookUps!$H$8</f>
        <v>Primary Clarifier; wastewater treatment unit - US</v>
      </c>
      <c r="C44" s="62">
        <f>IF(ISERROR(C17/C$34), "",C17/ C$34)</f>
        <v>0.14530090950138683</v>
      </c>
      <c r="D44" s="61"/>
      <c r="E44" s="9" t="str">
        <f>CONCATENATE("(",INDEX(LookUps!$D$5:$D$12,MATCH(GWP!$B$1,LookUps!$E$5:$E$12,0)), "/m3 wastewater treated")</f>
        <v>(kg CO2 eq/m3 wastewater treated</v>
      </c>
    </row>
    <row r="45" spans="2:5" x14ac:dyDescent="0.25">
      <c r="B45" s="58" t="str">
        <f>LookUps!$G$17</f>
        <v>ClearCove SCP; wastewater treatment unit; at updated plant - US</v>
      </c>
      <c r="C45" s="61"/>
      <c r="D45" s="62">
        <f t="shared" ref="D45:D50" si="0">IF(ISERROR(D18/D$34), "",D18/ D$34)</f>
        <v>2.480240408364893E-3</v>
      </c>
      <c r="E45" s="9" t="str">
        <f>CONCATENATE("(",INDEX(LookUps!$D$5:$D$12,MATCH(GWP!$B$1,LookUps!$E$5:$E$12,0)), "/m3 wastewater treated")</f>
        <v>(kg CO2 eq/m3 wastewater treated</v>
      </c>
    </row>
    <row r="46" spans="2:5" x14ac:dyDescent="0.25">
      <c r="B46" s="58" t="str">
        <f>LookUps!$G$7</f>
        <v>Wet Well and Sump Station; wastewater treatment unit; at updated plant - US</v>
      </c>
      <c r="C46" s="61"/>
      <c r="D46" s="62">
        <f t="shared" si="0"/>
        <v>3.4229375926230848E-2</v>
      </c>
      <c r="E46" s="9" t="str">
        <f>CONCATENATE("(",INDEX(LookUps!$D$5:$D$12,MATCH(GWP!$B$1,LookUps!$E$5:$E$12,0)), "/m3 wastewater treated")</f>
        <v>(kg CO2 eq/m3 wastewater treated</v>
      </c>
    </row>
    <row r="47" spans="2:5" x14ac:dyDescent="0.25">
      <c r="B47" s="58" t="str">
        <f>LookUps!$G$13</f>
        <v>Pre-Anoxic &amp; Swing tank; wastewater treatment unit; at updated plant - US</v>
      </c>
      <c r="C47" s="61"/>
      <c r="D47" s="62">
        <f t="shared" si="0"/>
        <v>0.24987650255228053</v>
      </c>
      <c r="E47" s="9" t="str">
        <f>CONCATENATE("(",INDEX(LookUps!$D$5:$D$12,MATCH(GWP!$B$1,LookUps!$E$5:$E$12,0)), "/m3 wastewater treated")</f>
        <v>(kg CO2 eq/m3 wastewater treated</v>
      </c>
    </row>
    <row r="48" spans="2:5" x14ac:dyDescent="0.25">
      <c r="B48" s="58" t="str">
        <f>LookUps!$J$9</f>
        <v>Aeration Tanks; wastewater treatment unit - US</v>
      </c>
      <c r="C48" s="62">
        <f>IF(ISERROR(C21/C$34), "",C21/ C$34)</f>
        <v>0.20624395278333227</v>
      </c>
      <c r="D48" s="62">
        <f t="shared" si="0"/>
        <v>0.17312283879466489</v>
      </c>
      <c r="E48" s="9" t="str">
        <f>CONCATENATE("(",INDEX(LookUps!$D$5:$D$12,MATCH(GWP!$B$1,LookUps!$E$5:$E$12,0)), "/m3 wastewater treated")</f>
        <v>(kg CO2 eq/m3 wastewater treated</v>
      </c>
    </row>
    <row r="49" spans="2:5" x14ac:dyDescent="0.25">
      <c r="B49" s="58" t="str">
        <f>LookUps!$G$12</f>
        <v>Waste Receiving and Holding; wastewater treatment unit; at updated plant - US</v>
      </c>
      <c r="C49" s="61"/>
      <c r="D49" s="62">
        <f t="shared" si="0"/>
        <v>0.10539478017454304</v>
      </c>
      <c r="E49" s="9" t="str">
        <f>CONCATENATE("(",INDEX(LookUps!$D$5:$D$12,MATCH(GWP!$B$1,LookUps!$E$5:$E$12,0)), "/m3 wastewater treated")</f>
        <v>(kg CO2 eq/m3 wastewater treated</v>
      </c>
    </row>
    <row r="50" spans="2:5" x14ac:dyDescent="0.25">
      <c r="B50" s="58" t="str">
        <f>LookUps!$G$11</f>
        <v>Gravity Belt Thickener; wastewater treatment unit; at updated plant - US</v>
      </c>
      <c r="C50" s="61"/>
      <c r="D50" s="62">
        <f t="shared" si="0"/>
        <v>1.4974065535978921E-2</v>
      </c>
      <c r="E50" s="9" t="str">
        <f>CONCATENATE("(",INDEX(LookUps!$D$5:$D$12,MATCH(GWP!$B$1,LookUps!$E$5:$E$12,0)), "/m3 wastewater treated")</f>
        <v>(kg CO2 eq/m3 wastewater treated</v>
      </c>
    </row>
    <row r="51" spans="2:5" x14ac:dyDescent="0.25">
      <c r="B51" s="58" t="str">
        <f>LookUps!$H$11</f>
        <v>Sludge Thickener; wastewater treatment unit - US</v>
      </c>
      <c r="C51" s="62">
        <f>IF(ISERROR(C24/C$34), "",C24/ C$34)</f>
        <v>1.2126685157711409E-3</v>
      </c>
      <c r="D51" s="61"/>
      <c r="E51" s="9" t="str">
        <f>CONCATENATE("(",INDEX(LookUps!$D$5:$D$12,MATCH(GWP!$B$1,LookUps!$E$5:$E$12,0)), "/m3 wastewater treated")</f>
        <v>(kg CO2 eq/m3 wastewater treated</v>
      </c>
    </row>
    <row r="52" spans="2:5" x14ac:dyDescent="0.25">
      <c r="B52" s="58" t="str">
        <f>LookUps!$G$14</f>
        <v>Blend Tank; wastewater treatment unit; at updated plant - US</v>
      </c>
      <c r="C52" s="61"/>
      <c r="D52" s="62">
        <f>IF(ISERROR(D25/D$34), "",D25/ D$34)</f>
        <v>5.1868928042153786E-3</v>
      </c>
      <c r="E52" s="9" t="str">
        <f>CONCATENATE("(",INDEX(LookUps!$D$5:$D$12,MATCH(GWP!$B$1,LookUps!$E$5:$E$12,0)), "/m3 wastewater treated")</f>
        <v>(kg CO2 eq/m3 wastewater treated</v>
      </c>
    </row>
    <row r="53" spans="2:5" x14ac:dyDescent="0.25">
      <c r="B53" s="58" t="str">
        <f>LookUps!$G$19</f>
        <v>Anaerobic Digestion; wastewater treatment unit; at updated plant - US</v>
      </c>
      <c r="C53" s="61"/>
      <c r="D53" s="62">
        <f>IF(ISERROR(D26/D$34), "",D26/ D$34)</f>
        <v>-5.8290795323563301E-2</v>
      </c>
      <c r="E53" s="9" t="str">
        <f>CONCATENATE("(",INDEX(LookUps!$D$5:$D$12,MATCH(GWP!$B$1,LookUps!$E$5:$E$12,0)), "/m3 wastewater treated")</f>
        <v>(kg CO2 eq/m3 wastewater treated</v>
      </c>
    </row>
    <row r="54" spans="2:5" x14ac:dyDescent="0.25">
      <c r="B54" s="58" t="str">
        <f>LookUps!$H$19</f>
        <v>Aerobic Digester; wastewater treatment unit - US</v>
      </c>
      <c r="C54" s="62">
        <f>IF(ISERROR(C27/C$34), "",C27/ C$34)</f>
        <v>0.28780236083338712</v>
      </c>
      <c r="D54" s="61"/>
      <c r="E54" s="9" t="str">
        <f>CONCATENATE("(",INDEX(LookUps!$D$5:$D$12,MATCH(GWP!$B$1,LookUps!$E$5:$E$12,0)), "/m3 wastewater treated")</f>
        <v>(kg CO2 eq/m3 wastewater treated</v>
      </c>
    </row>
    <row r="55" spans="2:5" x14ac:dyDescent="0.25">
      <c r="B55" s="58" t="str">
        <f>LookUps!$J$15</f>
        <v>Belt filter press; wastewater treatment unit - US</v>
      </c>
      <c r="C55" s="62">
        <f>IF(ISERROR(C28/C$34), "",C28/ C$34)</f>
        <v>9.5981422950396703E-3</v>
      </c>
      <c r="D55" s="62">
        <f>IF(ISERROR(D28/D$34), "",D28/ D$34)</f>
        <v>1.3152478182117566E-2</v>
      </c>
      <c r="E55" s="9" t="str">
        <f>CONCATENATE("(",INDEX(LookUps!$D$5:$D$12,MATCH(GWP!$B$1,LookUps!$E$5:$E$12,0)), "/m3 wastewater treated")</f>
        <v>(kg CO2 eq/m3 wastewater treated</v>
      </c>
    </row>
    <row r="56" spans="2:5" x14ac:dyDescent="0.25">
      <c r="B56"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56" s="61"/>
      <c r="D56" s="62">
        <f>IF(ISERROR(D29/D$34), "",D29/ D$34)</f>
        <v>0.75573233986497601</v>
      </c>
      <c r="E56" s="9" t="str">
        <f>CONCATENATE("(",INDEX(LookUps!$D$5:$D$12,MATCH(GWP!$B$1,LookUps!$E$5:$E$12,0)), "/m3 wastewater treated")</f>
        <v>(kg CO2 eq/m3 wastewater treated</v>
      </c>
    </row>
    <row r="57" spans="2:5" x14ac:dyDescent="0.25">
      <c r="B57" s="58" t="str">
        <f>LookUps!$G$18</f>
        <v>Land application of compost; wastewater treatment unit; at updated plant - US</v>
      </c>
      <c r="C57" s="61"/>
      <c r="D57" s="62">
        <f>IF(ISERROR(D30/D$34), "",D30/ D$34)</f>
        <v>-0.48319405565618301</v>
      </c>
      <c r="E57" s="9" t="str">
        <f>CONCATENATE("(",INDEX(LookUps!$D$5:$D$12,MATCH(GWP!$B$1,LookUps!$E$5:$E$12,0)), "/m3 wastewater treated")</f>
        <v>(kg CO2 eq/m3 wastewater treated</v>
      </c>
    </row>
    <row r="58" spans="2:5" x14ac:dyDescent="0.25">
      <c r="B58" s="58" t="str">
        <f>LookUps!$H$18</f>
        <v>Sludge Disposal; wastewater treatment unit - US</v>
      </c>
      <c r="C58" s="62">
        <f>IF(ISERROR(C31/C$34), "",C31/ C$34)</f>
        <v>0.15955621492614333</v>
      </c>
      <c r="D58" s="59"/>
      <c r="E58" s="9" t="str">
        <f>CONCATENATE("(",INDEX(LookUps!$D$5:$D$12,MATCH(GWP!$B$1,LookUps!$E$5:$E$12,0)), "/m3 wastewater treated")</f>
        <v>(kg CO2 eq/m3 wastewater treated</v>
      </c>
    </row>
    <row r="59" spans="2:5" x14ac:dyDescent="0.25">
      <c r="B59" s="58" t="str">
        <f>LookUps!$G$20</f>
        <v>Effluent release; wastewater treatment unit; at surface water; m3 wastewater - US</v>
      </c>
      <c r="C59" s="62">
        <f>IF(ISERROR(C32/C$34), "",C32/ C$34)</f>
        <v>9.5594401083661226E-2</v>
      </c>
      <c r="D59" s="62">
        <f>IF(ISERROR(D32/D$34), "",D32/ D$34)</f>
        <v>5.4174213732916171E-2</v>
      </c>
      <c r="E59" s="9" t="str">
        <f>CONCATENATE("(",INDEX(LookUps!$D$5:$D$12,MATCH(GWP!$B$1,LookUps!$E$5:$E$12,0)), "/m3 wastewater treated")</f>
        <v>(kg CO2 eq/m3 wastewater treated</v>
      </c>
    </row>
    <row r="60" spans="2:5" x14ac:dyDescent="0.25">
      <c r="B60" s="58" t="str">
        <f>LookUps!$J$10</f>
        <v>Control Building; at wastewater treatment plant - US</v>
      </c>
      <c r="C60" s="62">
        <f>IF(ISERROR(C33/C$34), "",C33/ C$34)</f>
        <v>6.7819131780945618E-2</v>
      </c>
      <c r="D60" s="62">
        <f>IF(ISERROR(D33/D$34), "",D33/ D$34)</f>
        <v>8.5419068005927867E-3</v>
      </c>
      <c r="E60" s="9" t="str">
        <f>CONCATENATE("(",INDEX(LookUps!$D$5:$D$12,MATCH(GWP!$B$1,LookUps!$E$5:$E$12,0)), "/m3 wastewater treated")</f>
        <v>(kg CO2 eq/m3 wastewater treated</v>
      </c>
    </row>
    <row r="61" spans="2:5" x14ac:dyDescent="0.25">
      <c r="B61" s="11" t="s">
        <v>34</v>
      </c>
      <c r="C61" s="63">
        <f>SUM(C40:C60)</f>
        <v>1</v>
      </c>
      <c r="D61" s="63">
        <f>SUM(D40:D60)</f>
        <v>0.99999999999999989</v>
      </c>
    </row>
    <row r="62" spans="2:5" x14ac:dyDescent="0.25"/>
    <row r="63" spans="2:5" x14ac:dyDescent="0.25">
      <c r="B63" s="1" t="str">
        <f>CONCATENATE(INDEX(LookUps!$B$5:$B$12,MATCH(GWP!$B$1,LookUps!$E$5:$E$12,0))," (% of Maximum)")</f>
        <v>Global Warming Potential (% of Maximum)</v>
      </c>
    </row>
    <row r="64" spans="2:5" x14ac:dyDescent="0.25"/>
    <row r="65" spans="2:5" x14ac:dyDescent="0.25">
      <c r="B65" s="56" t="s">
        <v>47</v>
      </c>
      <c r="C65" s="1" t="s">
        <v>45</v>
      </c>
      <c r="D65" s="1" t="s">
        <v>46</v>
      </c>
      <c r="E65" s="10" t="s">
        <v>27</v>
      </c>
    </row>
    <row r="66" spans="2:5" x14ac:dyDescent="0.25">
      <c r="B66" s="57" t="str">
        <f>LookUps!$G$5</f>
        <v>Wastewater collection; operation and infrastructure; m3 wastewater</v>
      </c>
      <c r="C66" s="13">
        <f>IF(ISERROR(C13/C$35),"",C13/C$35)</f>
        <v>1.3903754322410667E-2</v>
      </c>
      <c r="D66" s="60">
        <f>IF(ISERROR(D13/D$35),"",D13/D$35)</f>
        <v>1.3903754322410667E-2</v>
      </c>
      <c r="E66" s="9" t="str">
        <f>CONCATENATE("(",INDEX(LookUps!$D$5:$D$12,MATCH(GWP!$B$1,LookUps!$E$5:$E$12,0)), "/m3 wastewater treated")</f>
        <v>(kg CO2 eq/m3 wastewater treated</v>
      </c>
    </row>
    <row r="67" spans="2:5" x14ac:dyDescent="0.25">
      <c r="B67" s="58" t="str">
        <f>LookUps!$G$6</f>
        <v>Influent Pump Station; wastewater treatment unit; at updated plant - US</v>
      </c>
      <c r="C67" s="61"/>
      <c r="D67" s="62">
        <f>IF(ISERROR(D14/D$35),"",D14/D$35)</f>
        <v>5.1971842581919968E-2</v>
      </c>
      <c r="E67" s="9" t="str">
        <f>CONCATENATE("(",INDEX(LookUps!$D$5:$D$12,MATCH(GWP!$B$1,LookUps!$E$5:$E$12,0)), "/m3 wastewater treated")</f>
        <v>(kg CO2 eq/m3 wastewater treated</v>
      </c>
    </row>
    <row r="68" spans="2:5" x14ac:dyDescent="0.25">
      <c r="B68" s="58" t="str">
        <f>LookUps!$H$6</f>
        <v>Screening and Grit Removal - US</v>
      </c>
      <c r="C68" s="62">
        <f>IF(ISERROR(C15/C$35),"",C15/C$35)</f>
        <v>7.5333443108842402E-3</v>
      </c>
      <c r="D68" s="61"/>
      <c r="E68" s="9" t="str">
        <f>CONCATENATE("(",INDEX(LookUps!$D$5:$D$12,MATCH(GWP!$B$1,LookUps!$E$5:$E$12,0)), "/m3 wastewater treated")</f>
        <v>(kg CO2 eq/m3 wastewater treated</v>
      </c>
    </row>
    <row r="69" spans="2:5" x14ac:dyDescent="0.25">
      <c r="B69" s="58" t="str">
        <f>LookUps!$G$8</f>
        <v>Clear Cove Primary Clarification; wastewater treatment unit; at updated plant - US</v>
      </c>
      <c r="C69" s="61"/>
      <c r="D69" s="62">
        <f>IF(ISERROR(D16/D$35),"",D16/D$35)</f>
        <v>5.8743619298534486E-2</v>
      </c>
      <c r="E69" s="9" t="str">
        <f>CONCATENATE("(",INDEX(LookUps!$D$5:$D$12,MATCH(GWP!$B$1,LookUps!$E$5:$E$12,0)), "/m3 wastewater treated")</f>
        <v>(kg CO2 eq/m3 wastewater treated</v>
      </c>
    </row>
    <row r="70" spans="2:5" x14ac:dyDescent="0.25">
      <c r="B70" s="58" t="str">
        <f>LookUps!$H$8</f>
        <v>Primary Clarifier; wastewater treatment unit - US</v>
      </c>
      <c r="C70" s="62">
        <f>IF(ISERROR(C17/C$35),"",C17/C$35)</f>
        <v>0.11591264613864644</v>
      </c>
      <c r="D70" s="61"/>
      <c r="E70" s="9" t="str">
        <f>CONCATENATE("(",INDEX(LookUps!$D$5:$D$12,MATCH(GWP!$B$1,LookUps!$E$5:$E$12,0)), "/m3 wastewater treated")</f>
        <v>(kg CO2 eq/m3 wastewater treated</v>
      </c>
    </row>
    <row r="71" spans="2:5" x14ac:dyDescent="0.25">
      <c r="B71" s="58" t="str">
        <f>LookUps!$G$17</f>
        <v>ClearCove SCP; wastewater treatment unit; at updated plant - US</v>
      </c>
      <c r="C71" s="61"/>
      <c r="D71" s="62">
        <f t="shared" ref="D71:D76" si="1">IF(ISERROR(D18/D$35),"",D18/D$35)</f>
        <v>2.480240408364893E-3</v>
      </c>
      <c r="E71" s="9" t="str">
        <f>CONCATENATE("(",INDEX(LookUps!$D$5:$D$12,MATCH(GWP!$B$1,LookUps!$E$5:$E$12,0)), "/m3 wastewater treated")</f>
        <v>(kg CO2 eq/m3 wastewater treated</v>
      </c>
    </row>
    <row r="72" spans="2:5" x14ac:dyDescent="0.25">
      <c r="B72" s="58" t="str">
        <f>LookUps!$G$7</f>
        <v>Wet Well and Sump Station; wastewater treatment unit; at updated plant - US</v>
      </c>
      <c r="C72" s="61"/>
      <c r="D72" s="62">
        <f t="shared" si="1"/>
        <v>3.4229375926230848E-2</v>
      </c>
      <c r="E72" s="9" t="str">
        <f>CONCATENATE("(",INDEX(LookUps!$D$5:$D$12,MATCH(GWP!$B$1,LookUps!$E$5:$E$12,0)), "/m3 wastewater treated")</f>
        <v>(kg CO2 eq/m3 wastewater treated</v>
      </c>
    </row>
    <row r="73" spans="2:5" x14ac:dyDescent="0.25">
      <c r="B73" s="58" t="str">
        <f>LookUps!$G$13</f>
        <v>Pre-Anoxic &amp; Swing tank; wastewater treatment unit; at updated plant - US</v>
      </c>
      <c r="C73" s="61"/>
      <c r="D73" s="62">
        <f t="shared" si="1"/>
        <v>0.24987650255228053</v>
      </c>
      <c r="E73" s="9" t="str">
        <f>CONCATENATE("(",INDEX(LookUps!$D$5:$D$12,MATCH(GWP!$B$1,LookUps!$E$5:$E$12,0)), "/m3 wastewater treated")</f>
        <v>(kg CO2 eq/m3 wastewater treated</v>
      </c>
    </row>
    <row r="74" spans="2:5" x14ac:dyDescent="0.25">
      <c r="B74" s="58" t="str">
        <f>LookUps!$J$9</f>
        <v>Aeration Tanks; wastewater treatment unit - US</v>
      </c>
      <c r="C74" s="62">
        <f>IF(ISERROR(C21/C$35),"",C21/C$35)</f>
        <v>0.16452947472418902</v>
      </c>
      <c r="D74" s="62">
        <f t="shared" si="1"/>
        <v>0.17312283879466489</v>
      </c>
      <c r="E74" s="9" t="str">
        <f>CONCATENATE("(",INDEX(LookUps!$D$5:$D$12,MATCH(GWP!$B$1,LookUps!$E$5:$E$12,0)), "/m3 wastewater treated")</f>
        <v>(kg CO2 eq/m3 wastewater treated</v>
      </c>
    </row>
    <row r="75" spans="2:5" x14ac:dyDescent="0.25">
      <c r="B75" s="58" t="str">
        <f>LookUps!$G$12</f>
        <v>Waste Receiving and Holding; wastewater treatment unit; at updated plant - US</v>
      </c>
      <c r="C75" s="61"/>
      <c r="D75" s="62">
        <f t="shared" si="1"/>
        <v>0.10539478017454304</v>
      </c>
      <c r="E75" s="9" t="str">
        <f>CONCATENATE("(",INDEX(LookUps!$D$5:$D$12,MATCH(GWP!$B$1,LookUps!$E$5:$E$12,0)), "/m3 wastewater treated")</f>
        <v>(kg CO2 eq/m3 wastewater treated</v>
      </c>
    </row>
    <row r="76" spans="2:5" x14ac:dyDescent="0.25">
      <c r="B76" s="58" t="str">
        <f>LookUps!$G$11</f>
        <v>Gravity Belt Thickener; wastewater treatment unit; at updated plant - US</v>
      </c>
      <c r="C76" s="61"/>
      <c r="D76" s="62">
        <f t="shared" si="1"/>
        <v>1.4974065535978921E-2</v>
      </c>
      <c r="E76" s="9" t="str">
        <f>CONCATENATE("(",INDEX(LookUps!$D$5:$D$12,MATCH(GWP!$B$1,LookUps!$E$5:$E$12,0)), "/m3 wastewater treated")</f>
        <v>(kg CO2 eq/m3 wastewater treated</v>
      </c>
    </row>
    <row r="77" spans="2:5" x14ac:dyDescent="0.25">
      <c r="B77" s="58" t="str">
        <f>LookUps!$H$11</f>
        <v>Sludge Thickener; wastewater treatment unit - US</v>
      </c>
      <c r="C77" s="62">
        <f>IF(ISERROR(C24/C$35),"",C24/C$35)</f>
        <v>9.673966738020745E-4</v>
      </c>
      <c r="D77" s="61"/>
      <c r="E77" s="9" t="str">
        <f>CONCATENATE("(",INDEX(LookUps!$D$5:$D$12,MATCH(GWP!$B$1,LookUps!$E$5:$E$12,0)), "/m3 wastewater treated")</f>
        <v>(kg CO2 eq/m3 wastewater treated</v>
      </c>
    </row>
    <row r="78" spans="2:5" x14ac:dyDescent="0.25">
      <c r="B78" s="58" t="str">
        <f>LookUps!$G$14</f>
        <v>Blend Tank; wastewater treatment unit; at updated plant - US</v>
      </c>
      <c r="C78" s="61"/>
      <c r="D78" s="62">
        <f>IF(ISERROR(D25/D$35),"",D25/D$35)</f>
        <v>5.1868928042153786E-3</v>
      </c>
      <c r="E78" s="9" t="str">
        <f>CONCATENATE("(",INDEX(LookUps!$D$5:$D$12,MATCH(GWP!$B$1,LookUps!$E$5:$E$12,0)), "/m3 wastewater treated")</f>
        <v>(kg CO2 eq/m3 wastewater treated</v>
      </c>
    </row>
    <row r="79" spans="2:5" x14ac:dyDescent="0.25">
      <c r="B79" s="58" t="str">
        <f>LookUps!$G$19</f>
        <v>Anaerobic Digestion; wastewater treatment unit; at updated plant - US</v>
      </c>
      <c r="C79" s="61"/>
      <c r="D79" s="62">
        <f>IF(ISERROR(D26/D$35),"",D26/D$35)</f>
        <v>-5.8290795323563301E-2</v>
      </c>
      <c r="E79" s="9" t="str">
        <f>CONCATENATE("(",INDEX(LookUps!$D$5:$D$12,MATCH(GWP!$B$1,LookUps!$E$5:$E$12,0)), "/m3 wastewater treated")</f>
        <v>(kg CO2 eq/m3 wastewater treated</v>
      </c>
    </row>
    <row r="80" spans="2:5" x14ac:dyDescent="0.25">
      <c r="B80" s="58" t="str">
        <f>LookUps!$H$19</f>
        <v>Aerobic Digester; wastewater treatment unit - US</v>
      </c>
      <c r="C80" s="62">
        <f>IF(ISERROR(C27/C$35),"",C27/C$35)</f>
        <v>0.22959204676436684</v>
      </c>
      <c r="D80" s="61"/>
      <c r="E80" s="9" t="str">
        <f>CONCATENATE("(",INDEX(LookUps!$D$5:$D$12,MATCH(GWP!$B$1,LookUps!$E$5:$E$12,0)), "/m3 wastewater treated")</f>
        <v>(kg CO2 eq/m3 wastewater treated</v>
      </c>
    </row>
    <row r="81" spans="1:5" x14ac:dyDescent="0.25">
      <c r="B81" s="58" t="str">
        <f>LookUps!$J$15</f>
        <v>Belt filter press; wastewater treatment unit - US</v>
      </c>
      <c r="C81" s="62">
        <f>IF(ISERROR(C28/C$35),"",C28/C$35)</f>
        <v>7.656841758603654E-3</v>
      </c>
      <c r="D81" s="62">
        <f>IF(ISERROR(D28/D$35),"",D28/D$35)</f>
        <v>1.3152478182117566E-2</v>
      </c>
      <c r="E81" s="9" t="str">
        <f>CONCATENATE("(",INDEX(LookUps!$D$5:$D$12,MATCH(GWP!$B$1,LookUps!$E$5:$E$12,0)), "/m3 wastewater treated")</f>
        <v>(kg CO2 eq/m3 wastewater treated</v>
      </c>
    </row>
    <row r="82" spans="1:5" x14ac:dyDescent="0.25">
      <c r="B82"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82" s="61"/>
      <c r="D82" s="62">
        <f>IF(ISERROR(D29/D$35),"",D29/D$35)</f>
        <v>0.75573233986497601</v>
      </c>
      <c r="E82" s="9" t="str">
        <f>CONCATENATE("(",INDEX(LookUps!$D$5:$D$12,MATCH(GWP!$B$1,LookUps!$E$5:$E$12,0)), "/m3 wastewater treated")</f>
        <v>(kg CO2 eq/m3 wastewater treated</v>
      </c>
    </row>
    <row r="83" spans="1:5" x14ac:dyDescent="0.25">
      <c r="B83" s="58" t="str">
        <f>LookUps!$G$18</f>
        <v>Land application of compost; wastewater treatment unit; at updated plant - US</v>
      </c>
      <c r="C83" s="61"/>
      <c r="D83" s="62">
        <f>IF(ISERROR(D30/D$35),"",D30/D$35)</f>
        <v>-0.48319405565618301</v>
      </c>
      <c r="E83" s="9" t="str">
        <f>CONCATENATE("(",INDEX(LookUps!$D$5:$D$12,MATCH(GWP!$B$1,LookUps!$E$5:$E$12,0)), "/m3 wastewater treated")</f>
        <v>(kg CO2 eq/m3 wastewater treated</v>
      </c>
    </row>
    <row r="84" spans="1:5" x14ac:dyDescent="0.25">
      <c r="B84" s="58" t="str">
        <f>LookUps!$H$18</f>
        <v>Sludge Disposal; wastewater treatment unit - US</v>
      </c>
      <c r="C84" s="62">
        <f>IF(ISERROR(C31/C$35),"",C31/C$35)</f>
        <v>0.12728470278280912</v>
      </c>
      <c r="D84" s="59"/>
      <c r="E84" s="9" t="str">
        <f>CONCATENATE("(",INDEX(LookUps!$D$5:$D$12,MATCH(GWP!$B$1,LookUps!$E$5:$E$12,0)), "/m3 wastewater treated")</f>
        <v>(kg CO2 eq/m3 wastewater treated</v>
      </c>
    </row>
    <row r="85" spans="1:5" x14ac:dyDescent="0.25">
      <c r="B85" s="58" t="str">
        <f>LookUps!$G$20</f>
        <v>Effluent release; wastewater treatment unit; at surface water; m3 wastewater - US</v>
      </c>
      <c r="C85" s="62">
        <f>IF(ISERROR(C32/C$35),"",C32/C$35)</f>
        <v>7.6259673966738009E-2</v>
      </c>
      <c r="D85" s="62">
        <f>IF(ISERROR(D32/D$35),"",D32/D$35)</f>
        <v>5.4174213732916171E-2</v>
      </c>
      <c r="E85" s="9" t="str">
        <f>CONCATENATE("(",INDEX(LookUps!$D$5:$D$12,MATCH(GWP!$B$1,LookUps!$E$5:$E$12,0)), "/m3 wastewater treated")</f>
        <v>(kg CO2 eq/m3 wastewater treated</v>
      </c>
    </row>
    <row r="86" spans="1:5" x14ac:dyDescent="0.25">
      <c r="B86" s="58" t="str">
        <f>LookUps!$J$10</f>
        <v>Control Building; at wastewater treatment plant - US</v>
      </c>
      <c r="C86" s="62">
        <f>IF(ISERROR(C33/C$35),"",C33/C$35)</f>
        <v>5.4102173555079847E-2</v>
      </c>
      <c r="D86" s="62">
        <f>IF(ISERROR(D33/D$35),"",D33/D$35)</f>
        <v>8.5419068005927867E-3</v>
      </c>
      <c r="E86" s="9" t="str">
        <f>CONCATENATE("(",INDEX(LookUps!$D$5:$D$12,MATCH(GWP!$B$1,LookUps!$E$5:$E$12,0)), "/m3 wastewater treated")</f>
        <v>(kg CO2 eq/m3 wastewater treated</v>
      </c>
    </row>
    <row r="87" spans="1:5" x14ac:dyDescent="0.25"/>
    <row r="88" spans="1:5" x14ac:dyDescent="0.25"/>
    <row r="89" spans="1:5" x14ac:dyDescent="0.25">
      <c r="B89" s="1" t="s">
        <v>70</v>
      </c>
    </row>
    <row r="90" spans="1:5" x14ac:dyDescent="0.25"/>
    <row r="91" spans="1:5" x14ac:dyDescent="0.25">
      <c r="A91" s="16" t="s">
        <v>67</v>
      </c>
      <c r="B91" s="56" t="s">
        <v>47</v>
      </c>
      <c r="C91" s="1" t="s">
        <v>45</v>
      </c>
      <c r="D91" s="1" t="s">
        <v>46</v>
      </c>
      <c r="E91" s="10" t="s">
        <v>27</v>
      </c>
    </row>
    <row r="92" spans="1:5" x14ac:dyDescent="0.25">
      <c r="A92" s="18" t="str">
        <f>LookUps!I5</f>
        <v>Preliminary/Primary</v>
      </c>
      <c r="B92" s="57" t="str">
        <f>LookUps!$G$5</f>
        <v>Wastewater collection; operation and infrastructure; m3 wastewater</v>
      </c>
      <c r="C92" s="15">
        <f>C13</f>
        <v>1.3509999999999999E-2</v>
      </c>
      <c r="D92" s="15">
        <f>D13</f>
        <v>1.3509999999999999E-2</v>
      </c>
      <c r="E92" s="9" t="str">
        <f>CONCATENATE("(",INDEX(LookUps!$D$5:$D$12,MATCH(GWP!$B$1,LookUps!$E$5:$E$12,0)), "/m3 wastewater treated")</f>
        <v>(kg CO2 eq/m3 wastewater treated</v>
      </c>
    </row>
    <row r="93" spans="1:5" x14ac:dyDescent="0.25">
      <c r="A93" s="9" t="str">
        <f>LookUps!I6</f>
        <v>Preliminary/Primary</v>
      </c>
      <c r="B93" s="58" t="str">
        <f>LookUps!$G$6</f>
        <v>Influent Pump Station; wastewater treatment unit; at updated plant - US</v>
      </c>
      <c r="C93" s="258"/>
      <c r="D93" s="15">
        <f>D14</f>
        <v>5.0500000000000003E-2</v>
      </c>
      <c r="E93" s="9" t="str">
        <f>CONCATENATE("(",INDEX(LookUps!$D$5:$D$12,MATCH(GWP!$B$1,LookUps!$E$5:$E$12,0)), "/m3 wastewater treated")</f>
        <v>(kg CO2 eq/m3 wastewater treated</v>
      </c>
    </row>
    <row r="94" spans="1:5" x14ac:dyDescent="0.25">
      <c r="A94" s="9" t="str">
        <f>LookUps!I6</f>
        <v>Preliminary/Primary</v>
      </c>
      <c r="B94" s="58" t="str">
        <f>LookUps!$H$6</f>
        <v>Screening and Grit Removal - US</v>
      </c>
      <c r="C94" s="260">
        <f>C15</f>
        <v>7.3200000000000001E-3</v>
      </c>
      <c r="D94" s="258"/>
      <c r="E94" s="9" t="str">
        <f>CONCATENATE("(",INDEX(LookUps!$D$5:$D$12,MATCH(GWP!$B$1,LookUps!$E$5:$E$12,0)), "/m3 wastewater treated")</f>
        <v>(kg CO2 eq/m3 wastewater treated</v>
      </c>
    </row>
    <row r="95" spans="1:5" x14ac:dyDescent="0.25">
      <c r="A95" s="9" t="str">
        <f>LookUps!I8</f>
        <v>Preliminary/Primary</v>
      </c>
      <c r="B95" s="58" t="str">
        <f>LookUps!$G$8</f>
        <v>Clear Cove Primary Clarification; wastewater treatment unit; at updated plant - US</v>
      </c>
      <c r="C95" s="258"/>
      <c r="D95" s="15">
        <f>D16</f>
        <v>5.7079999999999999E-2</v>
      </c>
      <c r="E95" s="9" t="str">
        <f>CONCATENATE("(",INDEX(LookUps!$D$5:$D$12,MATCH(GWP!$B$1,LookUps!$E$5:$E$12,0)), "/m3 wastewater treated")</f>
        <v>(kg CO2 eq/m3 wastewater treated</v>
      </c>
    </row>
    <row r="96" spans="1:5" x14ac:dyDescent="0.25">
      <c r="A96" s="9" t="str">
        <f>LookUps!I8</f>
        <v>Preliminary/Primary</v>
      </c>
      <c r="B96" s="58" t="str">
        <f>LookUps!$H$8</f>
        <v>Primary Clarifier; wastewater treatment unit - US</v>
      </c>
      <c r="C96" s="15">
        <f>C17</f>
        <v>0.11262999999999999</v>
      </c>
      <c r="D96" s="258"/>
      <c r="E96" s="9" t="str">
        <f>CONCATENATE("(",INDEX(LookUps!$D$5:$D$12,MATCH(GWP!$B$1,LookUps!$E$5:$E$12,0)), "/m3 wastewater treated")</f>
        <v>(kg CO2 eq/m3 wastewater treated</v>
      </c>
    </row>
    <row r="97" spans="1:5" x14ac:dyDescent="0.25">
      <c r="A97" s="9" t="str">
        <f>LookUps!I17</f>
        <v>Sludge Handling and Treatment</v>
      </c>
      <c r="B97" s="58" t="str">
        <f>LookUps!$G$17</f>
        <v>ClearCove SCP; wastewater treatment unit; at updated plant - US</v>
      </c>
      <c r="C97" s="258"/>
      <c r="D97" s="260">
        <f t="shared" ref="D97:D102" si="2">D18</f>
        <v>2.4099999999999998E-3</v>
      </c>
      <c r="E97" s="9" t="str">
        <f>CONCATENATE("(",INDEX(LookUps!$D$5:$D$12,MATCH(GWP!$B$1,LookUps!$E$5:$E$12,0)), "/m3 wastewater treated")</f>
        <v>(kg CO2 eq/m3 wastewater treated</v>
      </c>
    </row>
    <row r="98" spans="1:5" x14ac:dyDescent="0.25">
      <c r="A98" s="9" t="str">
        <f>LookUps!I7</f>
        <v>Preliminary/Primary</v>
      </c>
      <c r="B98" s="58" t="str">
        <f>LookUps!$G$7</f>
        <v>Wet Well and Sump Station; wastewater treatment unit; at updated plant - US</v>
      </c>
      <c r="C98" s="258"/>
      <c r="D98" s="15">
        <f t="shared" si="2"/>
        <v>3.3259999999999998E-2</v>
      </c>
      <c r="E98" s="9" t="str">
        <f>CONCATENATE("(",INDEX(LookUps!$D$5:$D$12,MATCH(GWP!$B$1,LookUps!$E$5:$E$12,0)), "/m3 wastewater treated")</f>
        <v>(kg CO2 eq/m3 wastewater treated</v>
      </c>
    </row>
    <row r="99" spans="1:5" x14ac:dyDescent="0.25">
      <c r="A99" s="9" t="str">
        <f>LookUps!I13</f>
        <v>Biological Treatment</v>
      </c>
      <c r="B99" s="58" t="str">
        <f>LookUps!$G$13</f>
        <v>Pre-Anoxic &amp; Swing tank; wastewater treatment unit; at updated plant - US</v>
      </c>
      <c r="C99" s="258"/>
      <c r="D99" s="15">
        <f t="shared" si="2"/>
        <v>0.24279999999999999</v>
      </c>
      <c r="E99" s="9" t="str">
        <f>CONCATENATE("(",INDEX(LookUps!$D$5:$D$12,MATCH(GWP!$B$1,LookUps!$E$5:$E$12,0)), "/m3 wastewater treated")</f>
        <v>(kg CO2 eq/m3 wastewater treated</v>
      </c>
    </row>
    <row r="100" spans="1:5" x14ac:dyDescent="0.25">
      <c r="A100" s="9" t="str">
        <f>LookUps!I9</f>
        <v>Biological Treatment</v>
      </c>
      <c r="B100" s="58" t="str">
        <f>LookUps!$J$9</f>
        <v>Aeration Tanks; wastewater treatment unit - US</v>
      </c>
      <c r="C100" s="15">
        <f>C21</f>
        <v>0.15987000000000001</v>
      </c>
      <c r="D100" s="15">
        <f t="shared" si="2"/>
        <v>0.16822000000000001</v>
      </c>
      <c r="E100" s="9" t="str">
        <f>CONCATENATE("(",INDEX(LookUps!$D$5:$D$12,MATCH(GWP!$B$1,LookUps!$E$5:$E$12,0)), "/m3 wastewater treated")</f>
        <v>(kg CO2 eq/m3 wastewater treated</v>
      </c>
    </row>
    <row r="101" spans="1:5" x14ac:dyDescent="0.25">
      <c r="A101" s="9" t="str">
        <f>LookUps!I12</f>
        <v>Sludge Handling and Treatment</v>
      </c>
      <c r="B101" s="58" t="str">
        <f>LookUps!$G$12</f>
        <v>Waste Receiving and Holding; wastewater treatment unit; at updated plant - US</v>
      </c>
      <c r="C101" s="258"/>
      <c r="D101" s="15">
        <f t="shared" si="2"/>
        <v>0.10241</v>
      </c>
      <c r="E101" s="9" t="str">
        <f>CONCATENATE("(",INDEX(LookUps!$D$5:$D$12,MATCH(GWP!$B$1,LookUps!$E$5:$E$12,0)), "/m3 wastewater treated")</f>
        <v>(kg CO2 eq/m3 wastewater treated</v>
      </c>
    </row>
    <row r="102" spans="1:5" x14ac:dyDescent="0.25">
      <c r="A102" s="9" t="str">
        <f>LookUps!I11</f>
        <v>Sludge Handling and Treatment</v>
      </c>
      <c r="B102" s="58" t="str">
        <f>LookUps!$G$11</f>
        <v>Gravity Belt Thickener; wastewater treatment unit; at updated plant - US</v>
      </c>
      <c r="C102" s="258"/>
      <c r="D102" s="15">
        <f t="shared" si="2"/>
        <v>1.455E-2</v>
      </c>
      <c r="E102" s="9" t="str">
        <f>CONCATENATE("(",INDEX(LookUps!$D$5:$D$12,MATCH(GWP!$B$1,LookUps!$E$5:$E$12,0)), "/m3 wastewater treated")</f>
        <v>(kg CO2 eq/m3 wastewater treated</v>
      </c>
    </row>
    <row r="103" spans="1:5" x14ac:dyDescent="0.25">
      <c r="A103" s="9" t="str">
        <f>LookUps!I11</f>
        <v>Sludge Handling and Treatment</v>
      </c>
      <c r="B103" s="58" t="str">
        <f>LookUps!$H$11</f>
        <v>Sludge Thickener; wastewater treatment unit - US</v>
      </c>
      <c r="C103" s="260">
        <f>C24</f>
        <v>9.3999999999999997E-4</v>
      </c>
      <c r="D103" s="258"/>
      <c r="E103" s="9" t="str">
        <f>CONCATENATE("(",INDEX(LookUps!$D$5:$D$12,MATCH(GWP!$B$1,LookUps!$E$5:$E$12,0)), "/m3 wastewater treated")</f>
        <v>(kg CO2 eq/m3 wastewater treated</v>
      </c>
    </row>
    <row r="104" spans="1:5" x14ac:dyDescent="0.25">
      <c r="A104" s="9" t="str">
        <f>LookUps!I14</f>
        <v>Sludge Handling and Treatment</v>
      </c>
      <c r="B104" s="58" t="str">
        <f>LookUps!$G$14</f>
        <v>Blend Tank; wastewater treatment unit; at updated plant - US</v>
      </c>
      <c r="C104" s="258"/>
      <c r="D104" s="260">
        <f>D25</f>
        <v>5.0400000000000002E-3</v>
      </c>
      <c r="E104" s="9" t="str">
        <f>CONCATENATE("(",INDEX(LookUps!$D$5:$D$12,MATCH(GWP!$B$1,LookUps!$E$5:$E$12,0)), "/m3 wastewater treated")</f>
        <v>(kg CO2 eq/m3 wastewater treated</v>
      </c>
    </row>
    <row r="105" spans="1:5" x14ac:dyDescent="0.25">
      <c r="A105" s="9" t="str">
        <f>LookUps!I19</f>
        <v>Sludge Handling and Treatment</v>
      </c>
      <c r="B105" s="58" t="str">
        <f>LookUps!$G$19</f>
        <v>Anaerobic Digestion; wastewater treatment unit; at updated plant - US</v>
      </c>
      <c r="C105" s="258"/>
      <c r="D105" s="15">
        <f>D26</f>
        <v>-5.6640000000000003E-2</v>
      </c>
      <c r="E105" s="9" t="str">
        <f>CONCATENATE("(",INDEX(LookUps!$D$5:$D$12,MATCH(GWP!$B$1,LookUps!$E$5:$E$12,0)), "/m3 wastewater treated")</f>
        <v>(kg CO2 eq/m3 wastewater treated</v>
      </c>
    </row>
    <row r="106" spans="1:5" x14ac:dyDescent="0.25">
      <c r="A106" s="9" t="str">
        <f>LookUps!I19</f>
        <v>Sludge Handling and Treatment</v>
      </c>
      <c r="B106" s="58" t="str">
        <f>LookUps!$H$19</f>
        <v>Aerobic Digester; wastewater treatment unit - US</v>
      </c>
      <c r="C106" s="15">
        <f>C27</f>
        <v>0.22309000000000001</v>
      </c>
      <c r="D106" s="258"/>
      <c r="E106" s="9" t="str">
        <f>CONCATENATE("(",INDEX(LookUps!$D$5:$D$12,MATCH(GWP!$B$1,LookUps!$E$5:$E$12,0)), "/m3 wastewater treated")</f>
        <v>(kg CO2 eq/m3 wastewater treated</v>
      </c>
    </row>
    <row r="107" spans="1:5" x14ac:dyDescent="0.25">
      <c r="A107" s="9" t="str">
        <f>LookUps!I15</f>
        <v>Sludge Handling and Treatment</v>
      </c>
      <c r="B107" s="58" t="str">
        <f>LookUps!$J$15</f>
        <v>Belt filter press; wastewater treatment unit - US</v>
      </c>
      <c r="C107" s="260">
        <f>C28</f>
        <v>7.4400000000000004E-3</v>
      </c>
      <c r="D107" s="15">
        <f>D28</f>
        <v>1.278E-2</v>
      </c>
      <c r="E107" s="9" t="str">
        <f>CONCATENATE("(",INDEX(LookUps!$D$5:$D$12,MATCH(GWP!$B$1,LookUps!$E$5:$E$12,0)), "/m3 wastewater treated")</f>
        <v>(kg CO2 eq/m3 wastewater treated</v>
      </c>
    </row>
    <row r="108" spans="1:5" x14ac:dyDescent="0.25">
      <c r="A108" s="9" t="str">
        <f>LookUps!I17</f>
        <v>Sludge Handling and Treatment</v>
      </c>
      <c r="B108"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108" s="258"/>
      <c r="D108" s="15">
        <f>D29</f>
        <v>0.73433000000000004</v>
      </c>
      <c r="E108" s="9" t="str">
        <f>CONCATENATE("(",INDEX(LookUps!$D$5:$D$12,MATCH(GWP!$B$1,LookUps!$E$5:$E$12,0)), "/m3 wastewater treated")</f>
        <v>(kg CO2 eq/m3 wastewater treated</v>
      </c>
    </row>
    <row r="109" spans="1:5" x14ac:dyDescent="0.25">
      <c r="A109" s="9" t="str">
        <f>LookUps!I18</f>
        <v>Sludge Disposal</v>
      </c>
      <c r="B109" s="58" t="str">
        <f>LookUps!$G$18</f>
        <v>Land application of compost; wastewater treatment unit; at updated plant - US</v>
      </c>
      <c r="C109" s="258"/>
      <c r="D109" s="15">
        <f>D30</f>
        <v>-0.46950999999999998</v>
      </c>
      <c r="E109" s="9" t="str">
        <f>CONCATENATE("(",INDEX(LookUps!$D$5:$D$12,MATCH(GWP!$B$1,LookUps!$E$5:$E$12,0)), "/m3 wastewater treated")</f>
        <v>(kg CO2 eq/m3 wastewater treated</v>
      </c>
    </row>
    <row r="110" spans="1:5" x14ac:dyDescent="0.25">
      <c r="A110" s="9" t="str">
        <f>LookUps!I18</f>
        <v>Sludge Disposal</v>
      </c>
      <c r="B110" s="58" t="str">
        <f>LookUps!$H$18</f>
        <v>Sludge Disposal; wastewater treatment unit - US</v>
      </c>
      <c r="C110" s="15">
        <f>C31</f>
        <v>0.12368</v>
      </c>
      <c r="D110" s="258"/>
    </row>
    <row r="111" spans="1:5" x14ac:dyDescent="0.25">
      <c r="A111" s="9" t="str">
        <f>LookUps!I20</f>
        <v>Effluent Release</v>
      </c>
      <c r="B111" s="58" t="str">
        <f>LookUps!$G$20</f>
        <v>Effluent release; wastewater treatment unit; at surface water; m3 wastewater - US</v>
      </c>
      <c r="C111" s="15">
        <f>C32</f>
        <v>7.4099999999999999E-2</v>
      </c>
      <c r="D111" s="15">
        <f>D32</f>
        <v>5.2639999999999999E-2</v>
      </c>
      <c r="E111" s="9" t="str">
        <f>CONCATENATE("(",INDEX(LookUps!$D$5:$D$12,MATCH(GWP!$B$1,LookUps!$E$5:$E$12,0)), "/m3 wastewater treated")</f>
        <v>(kg CO2 eq/m3 wastewater treated</v>
      </c>
    </row>
    <row r="112" spans="1:5" x14ac:dyDescent="0.25">
      <c r="A112" s="9" t="str">
        <f>LookUps!I10</f>
        <v>Facilities</v>
      </c>
      <c r="B112" s="58" t="str">
        <f>LookUps!$J$10</f>
        <v>Control Building; at wastewater treatment plant - US</v>
      </c>
      <c r="C112" s="15">
        <f>C33</f>
        <v>5.2569999999999999E-2</v>
      </c>
      <c r="D112" s="260">
        <f>D33</f>
        <v>8.3000000000000001E-3</v>
      </c>
      <c r="E112" s="9" t="str">
        <f>CONCATENATE("(",INDEX(LookUps!$D$5:$D$12,MATCH(GWP!$B$1,LookUps!$E$5:$E$12,0)), "/m3 wastewater treated")</f>
        <v>(kg CO2 eq/m3 wastewater treated</v>
      </c>
    </row>
    <row r="113" spans="1:8" x14ac:dyDescent="0.25">
      <c r="B113" s="11" t="s">
        <v>34</v>
      </c>
      <c r="C113" s="12">
        <f>SUM(C92:C112)</f>
        <v>0.77515000000000001</v>
      </c>
      <c r="D113" s="12">
        <f>SUM(D92:D112)</f>
        <v>0.97168000000000021</v>
      </c>
    </row>
    <row r="114" spans="1:8" ht="13.5" customHeight="1" x14ac:dyDescent="0.25">
      <c r="C114" s="285"/>
      <c r="D114" s="285"/>
    </row>
    <row r="115" spans="1:8" x14ac:dyDescent="0.25">
      <c r="A115" s="18"/>
      <c r="B115" s="11"/>
      <c r="C115" s="286"/>
      <c r="D115" s="286"/>
      <c r="F115" s="19"/>
    </row>
    <row r="116" spans="1:8" x14ac:dyDescent="0.25">
      <c r="A116" s="18"/>
      <c r="B116" s="11"/>
      <c r="C116" s="286"/>
      <c r="D116" s="286"/>
      <c r="F116" s="19"/>
    </row>
    <row r="117" spans="1:8" x14ac:dyDescent="0.25">
      <c r="A117" s="20"/>
      <c r="B117" s="20"/>
      <c r="C117" s="285"/>
      <c r="D117" s="285"/>
      <c r="F117" s="19"/>
    </row>
    <row r="118" spans="1:8" x14ac:dyDescent="0.25">
      <c r="A118" s="342" t="s">
        <v>50</v>
      </c>
      <c r="B118" s="17" t="s">
        <v>47</v>
      </c>
      <c r="C118" s="1" t="s">
        <v>45</v>
      </c>
      <c r="D118" s="1" t="s">
        <v>46</v>
      </c>
      <c r="F118" s="19"/>
    </row>
    <row r="119" spans="1:8" x14ac:dyDescent="0.25">
      <c r="A119" s="342"/>
      <c r="B119" s="21" t="s">
        <v>64</v>
      </c>
      <c r="C119" s="287">
        <f t="shared" ref="C119:C124" si="3">SUMIF($A$92:$A$112,$B119,$C$92:$C$112)</f>
        <v>0.13346</v>
      </c>
      <c r="D119" s="287">
        <f t="shared" ref="D119:D124" si="4">SUMIF($A$92:$A$112,$B119,$D$92:$D$112)</f>
        <v>0.15434999999999999</v>
      </c>
      <c r="F119" s="19"/>
    </row>
    <row r="120" spans="1:8" x14ac:dyDescent="0.25">
      <c r="A120" s="342"/>
      <c r="B120" s="21" t="s">
        <v>49</v>
      </c>
      <c r="C120" s="287">
        <f t="shared" si="3"/>
        <v>0.15987000000000001</v>
      </c>
      <c r="D120" s="287">
        <f t="shared" si="4"/>
        <v>0.41102</v>
      </c>
      <c r="F120" s="19"/>
    </row>
    <row r="121" spans="1:8" x14ac:dyDescent="0.25">
      <c r="A121" s="342"/>
      <c r="B121" s="21" t="s">
        <v>119</v>
      </c>
      <c r="C121" s="287">
        <f t="shared" si="3"/>
        <v>5.2569999999999999E-2</v>
      </c>
      <c r="D121" s="288">
        <f t="shared" si="4"/>
        <v>8.3000000000000001E-3</v>
      </c>
      <c r="F121" s="19"/>
    </row>
    <row r="122" spans="1:8" x14ac:dyDescent="0.25">
      <c r="A122" s="342"/>
      <c r="B122" s="21" t="s">
        <v>66</v>
      </c>
      <c r="C122" s="287">
        <f t="shared" si="3"/>
        <v>0.23147000000000001</v>
      </c>
      <c r="D122" s="287">
        <f t="shared" si="4"/>
        <v>0.81488000000000005</v>
      </c>
      <c r="F122" s="19"/>
    </row>
    <row r="123" spans="1:8" x14ac:dyDescent="0.25">
      <c r="A123" s="342"/>
      <c r="B123" s="11" t="str">
        <f>LookUps!I18</f>
        <v>Sludge Disposal</v>
      </c>
      <c r="C123" s="287">
        <f t="shared" si="3"/>
        <v>0.12368</v>
      </c>
      <c r="D123" s="287">
        <f t="shared" si="4"/>
        <v>-0.46950999999999998</v>
      </c>
      <c r="F123" s="19"/>
    </row>
    <row r="124" spans="1:8" x14ac:dyDescent="0.25">
      <c r="A124" s="342"/>
      <c r="B124" s="21" t="s">
        <v>33</v>
      </c>
      <c r="C124" s="287">
        <f t="shared" si="3"/>
        <v>7.4099999999999999E-2</v>
      </c>
      <c r="D124" s="287">
        <f t="shared" si="4"/>
        <v>5.2639999999999999E-2</v>
      </c>
      <c r="F124" s="19"/>
    </row>
    <row r="125" spans="1:8" x14ac:dyDescent="0.25">
      <c r="B125" s="14" t="s">
        <v>34</v>
      </c>
      <c r="C125" s="137">
        <f>SUM(C119:C124)</f>
        <v>0.77515000000000001</v>
      </c>
      <c r="D125" s="137">
        <f>SUM(D119:D124)</f>
        <v>0.97167999999999999</v>
      </c>
      <c r="F125" s="19"/>
    </row>
    <row r="126" spans="1:8" x14ac:dyDescent="0.25"/>
    <row r="127" spans="1:8" x14ac:dyDescent="0.25">
      <c r="C127" s="12"/>
      <c r="D127" s="12"/>
    </row>
    <row r="128" spans="1:8" x14ac:dyDescent="0.25">
      <c r="H128"/>
    </row>
    <row r="129" spans="8:8" x14ac:dyDescent="0.25">
      <c r="H129"/>
    </row>
    <row r="130" spans="8:8" x14ac:dyDescent="0.25">
      <c r="H130"/>
    </row>
    <row r="131" spans="8:8" hidden="1" x14ac:dyDescent="0.25">
      <c r="H131"/>
    </row>
    <row r="132" spans="8:8" hidden="1" x14ac:dyDescent="0.25">
      <c r="H132"/>
    </row>
    <row r="133" spans="8:8" hidden="1" x14ac:dyDescent="0.25">
      <c r="H133"/>
    </row>
    <row r="134" spans="8:8" hidden="1" x14ac:dyDescent="0.25">
      <c r="H134"/>
    </row>
    <row r="135" spans="8:8" hidden="1" x14ac:dyDescent="0.25">
      <c r="H135"/>
    </row>
    <row r="136" spans="8:8" hidden="1" x14ac:dyDescent="0.25">
      <c r="H136"/>
    </row>
    <row r="137" spans="8:8" hidden="1" x14ac:dyDescent="0.25">
      <c r="H137"/>
    </row>
    <row r="138" spans="8:8" hidden="1" x14ac:dyDescent="0.25">
      <c r="H138"/>
    </row>
    <row r="139" spans="8:8" hidden="1" x14ac:dyDescent="0.25">
      <c r="H139"/>
    </row>
    <row r="140" spans="8:8" hidden="1" x14ac:dyDescent="0.25">
      <c r="H140"/>
    </row>
    <row r="141" spans="8:8" hidden="1" x14ac:dyDescent="0.25">
      <c r="H141"/>
    </row>
    <row r="142" spans="8:8" hidden="1" x14ac:dyDescent="0.25">
      <c r="H142"/>
    </row>
    <row r="143" spans="8:8" hidden="1" x14ac:dyDescent="0.25">
      <c r="H143"/>
    </row>
  </sheetData>
  <mergeCells count="1">
    <mergeCell ref="A118:A124"/>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LookUps!$H$24:$H$32</xm:f>
          </x14:formula1>
          <xm:sqref>B5</xm:sqref>
        </x14:dataValidation>
        <x14:dataValidation type="list" allowBlank="1" showInputMessage="1" showErrorMessage="1">
          <x14:formula1>
            <xm:f>LookUps!$D$21:$D$23</xm:f>
          </x14:formula1>
          <xm:sqref>B10 B6</xm:sqref>
        </x14:dataValidation>
        <x14:dataValidation type="list" allowBlank="1" showInputMessage="1" showErrorMessage="1">
          <x14:formula1>
            <xm:f>LookUps!$B$37:$B$38</xm:f>
          </x14:formula1>
          <xm:sqref>B7</xm:sqref>
        </x14:dataValidation>
        <x14:dataValidation type="list" allowBlank="1" showInputMessage="1" showErrorMessage="1">
          <x14:formula1>
            <xm:f>LookUps!$D$37:$D$38</xm:f>
          </x14:formula1>
          <xm:sqref>B8</xm:sqref>
        </x14:dataValidation>
        <x14:dataValidation type="list" allowBlank="1" showInputMessage="1" showErrorMessage="1">
          <x14:formula1>
            <xm:f>LookUps!$C$41:$C$42</xm:f>
          </x14:formula1>
          <xm:sqref>B9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3"/>
  <sheetViews>
    <sheetView zoomScale="60" zoomScaleNormal="60" workbookViewId="0">
      <selection activeCell="K49" sqref="K49"/>
    </sheetView>
  </sheetViews>
  <sheetFormatPr defaultColWidth="0" defaultRowHeight="15.75" zeroHeight="1" x14ac:dyDescent="0.25"/>
  <cols>
    <col min="1" max="1" width="27.875" style="9" customWidth="1"/>
    <col min="2" max="2" width="95.625" style="9" bestFit="1" customWidth="1"/>
    <col min="3" max="3" width="12.25" style="9" customWidth="1"/>
    <col min="4" max="4" width="24.875" style="9" customWidth="1"/>
    <col min="5" max="24" width="9" style="9" customWidth="1"/>
    <col min="25" max="16384" width="9" style="9" hidden="1"/>
  </cols>
  <sheetData>
    <row r="1" spans="1:9" ht="21" x14ac:dyDescent="0.35">
      <c r="A1" s="8"/>
      <c r="B1" s="23" t="str">
        <f>LookUps!E12</f>
        <v>Cumulative Energy Demand (CED) - MJ</v>
      </c>
    </row>
    <row r="2" spans="1:9" x14ac:dyDescent="0.25">
      <c r="A2" s="24" t="str">
        <f>CONCATENATE("LCIA Results File for ", INDEX(LookUps!$B$5:$B$12,MATCH(CED!$B$1,LookUps!$E$5:$E$12,0)), " units are in ", INDEX(LookUps!$D$5:$D$12, MATCH(CED!$B$1,LookUps!$E$5:$E$12,0)))</f>
        <v>LCIA Results File for Cumulative Energy Demand units are in MJ</v>
      </c>
      <c r="B2" s="1"/>
    </row>
    <row r="3" spans="1:9" x14ac:dyDescent="0.25">
      <c r="A3" s="24"/>
      <c r="B3" s="1"/>
    </row>
    <row r="4" spans="1:9" x14ac:dyDescent="0.25">
      <c r="A4" s="125" t="s">
        <v>505</v>
      </c>
      <c r="B4" s="1"/>
    </row>
    <row r="5" spans="1:9" s="124" customFormat="1" x14ac:dyDescent="0.25">
      <c r="A5" s="127" t="s">
        <v>211</v>
      </c>
      <c r="B5" s="129" t="str">
        <f>GWP!$B$5</f>
        <v>Base</v>
      </c>
    </row>
    <row r="6" spans="1:9" s="124" customFormat="1" x14ac:dyDescent="0.25">
      <c r="A6" s="128" t="s">
        <v>212</v>
      </c>
      <c r="B6" s="129" t="str">
        <f>GWP!$B$6</f>
        <v>Base</v>
      </c>
    </row>
    <row r="7" spans="1:9" ht="15" customHeight="1" x14ac:dyDescent="0.25">
      <c r="A7" s="66" t="s">
        <v>421</v>
      </c>
      <c r="B7" s="129" t="str">
        <f>GWP!$B$7</f>
        <v>Base_With Amendment</v>
      </c>
    </row>
    <row r="8" spans="1:9" ht="17.25" customHeight="1" x14ac:dyDescent="0.25">
      <c r="A8" s="66" t="s">
        <v>426</v>
      </c>
      <c r="B8" s="129" t="str">
        <f>GWP!$B$8</f>
        <v>Bath Landfill</v>
      </c>
    </row>
    <row r="9" spans="1:9" ht="17.25" customHeight="1" x14ac:dyDescent="0.25">
      <c r="A9" s="66" t="s">
        <v>429</v>
      </c>
      <c r="B9" s="129" t="str">
        <f>GWP!$B$9</f>
        <v>Windrow</v>
      </c>
    </row>
    <row r="10" spans="1:9" x14ac:dyDescent="0.25">
      <c r="A10" s="126" t="s">
        <v>213</v>
      </c>
      <c r="B10" s="1"/>
    </row>
    <row r="11" spans="1:9" x14ac:dyDescent="0.25">
      <c r="A11" s="123"/>
      <c r="B11" s="1"/>
      <c r="I11" s="130" t="str">
        <f>CONCATENATE("Figure is presenting results for the ", GWP!$B$5, " Feedstock-AD scenario and the ", GWP!$B$6, " GHG emissions scenario")</f>
        <v>Figure is presenting results for the Base Feedstock-AD scenario and the Base GHG emissions scenario</v>
      </c>
    </row>
    <row r="12" spans="1:9" x14ac:dyDescent="0.25">
      <c r="B12" s="56" t="s">
        <v>47</v>
      </c>
      <c r="C12" s="1" t="s">
        <v>45</v>
      </c>
      <c r="D12" s="1" t="s">
        <v>46</v>
      </c>
      <c r="E12" s="10" t="s">
        <v>27</v>
      </c>
    </row>
    <row r="13" spans="1:9" x14ac:dyDescent="0.25">
      <c r="B13" s="57" t="str">
        <f>LookUps!$G$5</f>
        <v>Wastewater collection; operation and infrastructure; m3 wastewater</v>
      </c>
      <c r="C13" s="15">
        <f>IF(C$12="Legacy",
SUMIFS(OpenLCAbasic!$J:$J,OpenLCAbasic!$D:$D, "Base", OpenLCAbasic!$F:$F,C$12,OpenLCAbasic!$L:$L,$B$1,OpenLCAbasic!$I:$I,$B13, OpenLCAbasic!$C:$C, $B$8),
IF(AND(NOT(ISERROR(MATCH($B13, LookUps!$J$5:$J$20,0))), C$12="Upgraded"),
SUMIFS(OpenLCAbasic!$J:$J,OpenLCAbasic!$D:$D, GWP!$B$5, OpenLCAbasic!$F:$F,C$12,OpenLCAbasic!$L:$L,$B$1,OpenLCAbasic!$I:$I,INDEX(LookUps!$G$5:$G$20,MATCH($B13, LookUps!$J$5:$J$20,0))),
SUMIFS(OpenLCAbasic!$J:$J,OpenLCAbasic!$D:$D, GWP!$B$5, OpenLCAbasic!$F:$F,C$12,OpenLCAbasic!$L:$L,$B$1,OpenLCAbasic!$I:$I,$B13)))</f>
        <v>0.25606000000000001</v>
      </c>
      <c r="D13" s="15">
        <f>IF(AND(NOT(ISERROR(MATCH($B13, LookUps!$J$5:$J$20,0))), D$12="Upgraded"),
SUMIFS(OpenLCAbasic!$J:$J,OpenLCAbasic!$E:$E, "Base", OpenLCAbasic!$D:$D, GWP!$B$5, OpenLCAbasic!$F:$F,D$12,OpenLCAbasic!$L:$L,$B$1,OpenLCAbasic!$C:$C,$B$7,OpenLCAbasic!$I:$I,INDEX(LookUps!$G$5:$G$20,MATCH($B13, LookUps!$J$5:$J$20,0)), OpenLCAbasic!$B:$B, $B$9),
SUMIFS(OpenLCAbasic!$J:$J,OpenLCAbasic!$E:$E, "Base", OpenLCAbasic!$D:$D, GWP!$B$5, OpenLCAbasic!$F:$F,D$12,OpenLCAbasic!$L:$L,$B$1,OpenLCAbasic!$I:$I,$B13, OpenLCAbasic!$C:$C,$B$7, OpenLCAbasic!$B:$B, $B$9))</f>
        <v>0.25606000000000001</v>
      </c>
      <c r="E13" s="9" t="str">
        <f>CONCATENATE("(",INDEX(LookUps!$D$5:$D$12,MATCH(CED!$B$1,LookUps!$E$5:$E$12,0)), "/m3 wastewater treated")</f>
        <v>(MJ/m3 wastewater treated</v>
      </c>
    </row>
    <row r="14" spans="1:9" x14ac:dyDescent="0.25">
      <c r="B14" s="58" t="str">
        <f>LookUps!$G$6</f>
        <v>Influent Pump Station; wastewater treatment unit; at updated plant - US</v>
      </c>
      <c r="C14" s="258"/>
      <c r="D14" s="15">
        <f>IF(AND(NOT(ISERROR(MATCH($B14, LookUps!$J$5:$J$20,0))), D$12="Upgraded"),
SUMIFS(OpenLCAbasic!$J:$J,OpenLCAbasic!$E:$E, "Base", OpenLCAbasic!$D:$D, GWP!$B$5, OpenLCAbasic!$F:$F,D$12,OpenLCAbasic!$L:$L,$B$1,OpenLCAbasic!$C:$C,$B$7,OpenLCAbasic!$I:$I,INDEX(LookUps!$G$5:$G$20,MATCH($B14, LookUps!$J$5:$J$20,0)), OpenLCAbasic!$B:$B, $B$9),
SUMIFS(OpenLCAbasic!$J:$J,OpenLCAbasic!$E:$E, "Base", OpenLCAbasic!$D:$D, GWP!$B$5, OpenLCAbasic!$F:$F,D$12,OpenLCAbasic!$L:$L,$B$1,OpenLCAbasic!$I:$I,$B14, OpenLCAbasic!$C:$C,$B$7, OpenLCAbasic!$B:$B, $B$9))</f>
        <v>0.88297000000000003</v>
      </c>
      <c r="E14" s="9" t="str">
        <f>CONCATENATE("(",INDEX(LookUps!$D$5:$D$12,MATCH(CED!$B$1,LookUps!$E$5:$E$12,0)), "/m3 wastewater treated")</f>
        <v>(MJ/m3 wastewater treated</v>
      </c>
    </row>
    <row r="15" spans="1:9" x14ac:dyDescent="0.25">
      <c r="B15" s="58" t="str">
        <f>LookUps!$H$6</f>
        <v>Screening and Grit Removal - US</v>
      </c>
      <c r="C15" s="15">
        <f>IF(C$12="Legacy",
SUMIFS(OpenLCAbasic!$J:$J,OpenLCAbasic!$D:$D, "Base", OpenLCAbasic!$F:$F,C$12,OpenLCAbasic!$L:$L,$B$1,OpenLCAbasic!$I:$I,$B15, OpenLCAbasic!$C:$C, $B$8),
IF(AND(NOT(ISERROR(MATCH($B15, LookUps!$J$5:$J$20,0))), C$12="Upgraded"),
SUMIFS(OpenLCAbasic!$J:$J,OpenLCAbasic!$D:$D, GWP!$B$5, OpenLCAbasic!$F:$F,C$12,OpenLCAbasic!$L:$L,$B$1,OpenLCAbasic!$I:$I,INDEX(LookUps!$G$5:$G$20,MATCH($B15, LookUps!$J$5:$J$20,0))),
SUMIFS(OpenLCAbasic!$J:$J,OpenLCAbasic!$D:$D, GWP!$B$5, OpenLCAbasic!$F:$F,C$12,OpenLCAbasic!$L:$L,$B$1,OpenLCAbasic!$I:$I,$B15)))</f>
        <v>0.1525</v>
      </c>
      <c r="D15" s="258"/>
      <c r="E15" s="9" t="str">
        <f>CONCATENATE("(",INDEX(LookUps!$D$5:$D$12,MATCH(CED!$B$1,LookUps!$E$5:$E$12,0)), "/m3 wastewater treated")</f>
        <v>(MJ/m3 wastewater treated</v>
      </c>
    </row>
    <row r="16" spans="1:9" x14ac:dyDescent="0.25">
      <c r="B16" s="58" t="str">
        <f>LookUps!$G$8</f>
        <v>Clear Cove Primary Clarification; wastewater treatment unit; at updated plant - US</v>
      </c>
      <c r="C16" s="258"/>
      <c r="D16" s="47">
        <f>IF(AND(NOT(ISERROR(MATCH($B16, LookUps!$J$5:$J$20,0))), D$12="Upgraded"),
SUMIFS(OpenLCAbasic!$J:$J,OpenLCAbasic!$E:$E, "Base", OpenLCAbasic!$D:$D, GWP!$B$5, OpenLCAbasic!$F:$F,D$12,OpenLCAbasic!$L:$L,$B$1,OpenLCAbasic!$C:$C,$B$7,OpenLCAbasic!$I:$I,INDEX(LookUps!$G$5:$G$20,MATCH($B16, LookUps!$J$5:$J$20,0)), OpenLCAbasic!$B:$B, $B$9),
SUMIFS(OpenLCAbasic!$J:$J,OpenLCAbasic!$E:$E, "Base", OpenLCAbasic!$D:$D, GWP!$B$5, OpenLCAbasic!$F:$F,D$12,OpenLCAbasic!$L:$L,$B$1,OpenLCAbasic!$I:$I,$B16, OpenLCAbasic!$C:$C,$B$7, OpenLCAbasic!$B:$B, $B$9))</f>
        <v>1.16289</v>
      </c>
      <c r="E16" s="9" t="str">
        <f>CONCATENATE("(",INDEX(LookUps!$D$5:$D$12,MATCH(CED!$B$1,LookUps!$E$5:$E$12,0)), "/m3 wastewater treated")</f>
        <v>(MJ/m3 wastewater treated</v>
      </c>
    </row>
    <row r="17" spans="2:5" x14ac:dyDescent="0.25">
      <c r="B17" s="58" t="str">
        <f>LookUps!$H$8</f>
        <v>Primary Clarifier; wastewater treatment unit - US</v>
      </c>
      <c r="C17" s="47">
        <f>IF(C$12="Legacy",
SUMIFS(OpenLCAbasic!$J:$J,OpenLCAbasic!$D:$D, "Base", OpenLCAbasic!$F:$F,C$12,OpenLCAbasic!$L:$L,$B$1,OpenLCAbasic!$I:$I,$B17, OpenLCAbasic!$C:$C, $B$8),
IF(AND(NOT(ISERROR(MATCH($B17, LookUps!$J$5:$J$20,0))), C$12="Upgraded"),
SUMIFS(OpenLCAbasic!$J:$J,OpenLCAbasic!$D:$D, GWP!$B$5, OpenLCAbasic!$F:$F,C$12,OpenLCAbasic!$L:$L,$B$1,OpenLCAbasic!$I:$I,INDEX(LookUps!$G$5:$G$20,MATCH($B17, LookUps!$J$5:$J$20,0))),
SUMIFS(OpenLCAbasic!$J:$J,OpenLCAbasic!$D:$D, GWP!$B$5, OpenLCAbasic!$F:$F,C$12,OpenLCAbasic!$L:$L,$B$1,OpenLCAbasic!$I:$I,$B17)))</f>
        <v>1.7720800000000001</v>
      </c>
      <c r="D17" s="258"/>
      <c r="E17" s="9" t="str">
        <f>CONCATENATE("(",INDEX(LookUps!$D$5:$D$12,MATCH(CED!$B$1,LookUps!$E$5:$E$12,0)), "/m3 wastewater treated")</f>
        <v>(MJ/m3 wastewater treated</v>
      </c>
    </row>
    <row r="18" spans="2:5" x14ac:dyDescent="0.25">
      <c r="B18" s="58" t="str">
        <f>LookUps!$G$17</f>
        <v>ClearCove SCP; wastewater treatment unit; at updated plant - US</v>
      </c>
      <c r="C18" s="258"/>
      <c r="D18" s="15">
        <f>IF(AND(NOT(ISERROR(MATCH($B18, LookUps!$J$5:$J$20,0))), D$12="Upgraded"),
SUMIFS(OpenLCAbasic!$J:$J,OpenLCAbasic!$E:$E, "Base", OpenLCAbasic!$D:$D, GWP!$B$5, OpenLCAbasic!$F:$F,D$12,OpenLCAbasic!$L:$L,$B$1,OpenLCAbasic!$C:$C,$B$7,OpenLCAbasic!$I:$I,INDEX(LookUps!$G$5:$G$20,MATCH($B18, LookUps!$J$5:$J$20,0)), OpenLCAbasic!$B:$B, $B$9),
SUMIFS(OpenLCAbasic!$J:$J,OpenLCAbasic!$E:$E, "Base", OpenLCAbasic!$D:$D, GWP!$B$5, OpenLCAbasic!$F:$F,D$12,OpenLCAbasic!$L:$L,$B$1,OpenLCAbasic!$I:$I,$B18, OpenLCAbasic!$C:$C,$B$7, OpenLCAbasic!$B:$B, $B$9))</f>
        <v>5.0930000000000003E-2</v>
      </c>
      <c r="E18" s="9" t="str">
        <f>CONCATENATE("(",INDEX(LookUps!$D$5:$D$12,MATCH(CED!$B$1,LookUps!$E$5:$E$12,0)), "/m3 wastewater treated")</f>
        <v>(MJ/m3 wastewater treated</v>
      </c>
    </row>
    <row r="19" spans="2:5" x14ac:dyDescent="0.25">
      <c r="B19" s="58" t="str">
        <f>LookUps!$G$7</f>
        <v>Wet Well and Sump Station; wastewater treatment unit; at updated plant - US</v>
      </c>
      <c r="C19" s="258"/>
      <c r="D19" s="15">
        <f>IF(AND(NOT(ISERROR(MATCH($B19, LookUps!$J$5:$J$20,0))), D$12="Upgraded"),
SUMIFS(OpenLCAbasic!$J:$J,OpenLCAbasic!$E:$E, "Base", OpenLCAbasic!$D:$D, GWP!$B$5, OpenLCAbasic!$F:$F,D$12,OpenLCAbasic!$L:$L,$B$1,OpenLCAbasic!$C:$C,$B$7,OpenLCAbasic!$I:$I,INDEX(LookUps!$G$5:$G$20,MATCH($B19, LookUps!$J$5:$J$20,0)), OpenLCAbasic!$B:$B, $B$9),
SUMIFS(OpenLCAbasic!$J:$J,OpenLCAbasic!$E:$E, "Base", OpenLCAbasic!$D:$D, GWP!$B$5, OpenLCAbasic!$F:$F,D$12,OpenLCAbasic!$L:$L,$B$1,OpenLCAbasic!$I:$I,$B19, OpenLCAbasic!$C:$C,$B$7, OpenLCAbasic!$B:$B, $B$9))</f>
        <v>0.69645000000000001</v>
      </c>
      <c r="E19" s="9" t="str">
        <f>CONCATENATE("(",INDEX(LookUps!$D$5:$D$12,MATCH(CED!$B$1,LookUps!$E$5:$E$12,0)), "/m3 wastewater treated")</f>
        <v>(MJ/m3 wastewater treated</v>
      </c>
    </row>
    <row r="20" spans="2:5" x14ac:dyDescent="0.25">
      <c r="B20" s="58" t="str">
        <f>LookUps!$G$13</f>
        <v>Pre-Anoxic &amp; Swing tank; wastewater treatment unit; at updated plant - US</v>
      </c>
      <c r="C20" s="258"/>
      <c r="D20" s="15">
        <f>IF(AND(NOT(ISERROR(MATCH($B20, LookUps!$J$5:$J$20,0))), D$12="Upgraded"),
SUMIFS(OpenLCAbasic!$J:$J,OpenLCAbasic!$E:$E, "Base", OpenLCAbasic!$D:$D, GWP!$B$5, OpenLCAbasic!$F:$F,D$12,OpenLCAbasic!$L:$L,$B$1,OpenLCAbasic!$C:$C,$B$7,OpenLCAbasic!$I:$I,INDEX(LookUps!$G$5:$G$20,MATCH($B20, LookUps!$J$5:$J$20,0)), OpenLCAbasic!$B:$B, $B$9),
SUMIFS(OpenLCAbasic!$J:$J,OpenLCAbasic!$E:$E, "Base", OpenLCAbasic!$D:$D, GWP!$B$5, OpenLCAbasic!$F:$F,D$12,OpenLCAbasic!$L:$L,$B$1,OpenLCAbasic!$I:$I,$B20, OpenLCAbasic!$C:$C,$B$7, OpenLCAbasic!$B:$B, $B$9))</f>
        <v>0.88417000000000001</v>
      </c>
      <c r="E20" s="9" t="str">
        <f>CONCATENATE("(",INDEX(LookUps!$D$5:$D$12,MATCH(CED!$B$1,LookUps!$E$5:$E$12,0)), "/m3 wastewater treated")</f>
        <v>(MJ/m3 wastewater treated</v>
      </c>
    </row>
    <row r="21" spans="2:5" x14ac:dyDescent="0.25">
      <c r="B21" s="58" t="str">
        <f>LookUps!$J$9</f>
        <v>Aeration Tanks; wastewater treatment unit - US</v>
      </c>
      <c r="C21" s="47">
        <f>IF(C$12="Legacy",
SUMIFS(OpenLCAbasic!$J:$J,OpenLCAbasic!$D:$D, "Base", OpenLCAbasic!$F:$F,C$12,OpenLCAbasic!$L:$L,$B$1,OpenLCAbasic!$I:$I,$B21, OpenLCAbasic!$C:$C, $B$8),
IF(AND(NOT(ISERROR(MATCH($B21, LookUps!$J$5:$J$20,0))), C$12="Upgraded"),
SUMIFS(OpenLCAbasic!$J:$J,OpenLCAbasic!$D:$D, GWP!$B$5, OpenLCAbasic!$F:$F,C$12,OpenLCAbasic!$L:$L,$B$1,OpenLCAbasic!$I:$I,INDEX(LookUps!$G$5:$G$20,MATCH($B21, LookUps!$J$5:$J$20,0))),
SUMIFS(OpenLCAbasic!$J:$J,OpenLCAbasic!$D:$D, GWP!$B$5, OpenLCAbasic!$F:$F,C$12,OpenLCAbasic!$L:$L,$B$1,OpenLCAbasic!$I:$I,$B21)))</f>
        <v>2.7128199999999998</v>
      </c>
      <c r="D21" s="47">
        <f>IF(AND(NOT(ISERROR(MATCH($B21, LookUps!$J$5:$J$20,0))), D$12="Upgraded"),
SUMIFS(OpenLCAbasic!$J:$J,OpenLCAbasic!$E:$E, "Base", OpenLCAbasic!$D:$D, GWP!$B$5, OpenLCAbasic!$F:$F,D$12,OpenLCAbasic!$L:$L,$B$1,OpenLCAbasic!$C:$C,$B$7,OpenLCAbasic!$I:$I,INDEX(LookUps!$G$5:$G$20,MATCH($B21, LookUps!$J$5:$J$20,0)), OpenLCAbasic!$B:$B, $B$9),
SUMIFS(OpenLCAbasic!$J:$J,OpenLCAbasic!$E:$E, "Base", OpenLCAbasic!$D:$D, GWP!$B$5, OpenLCAbasic!$F:$F,D$12,OpenLCAbasic!$L:$L,$B$1,OpenLCAbasic!$I:$I,$B21, OpenLCAbasic!$C:$C,$B$7, OpenLCAbasic!$B:$B, $B$9))</f>
        <v>3.5330499999999998</v>
      </c>
      <c r="E21" s="9" t="str">
        <f>CONCATENATE("(",INDEX(LookUps!$D$5:$D$12,MATCH(CED!$B$1,LookUps!$E$5:$E$12,0)), "/m3 wastewater treated")</f>
        <v>(MJ/m3 wastewater treated</v>
      </c>
    </row>
    <row r="22" spans="2:5" x14ac:dyDescent="0.25">
      <c r="B22" s="58" t="str">
        <f>LookUps!$G$12</f>
        <v>Waste Receiving and Holding; wastewater treatment unit; at updated plant - US</v>
      </c>
      <c r="C22" s="258"/>
      <c r="D22" s="47">
        <f>IF(AND(NOT(ISERROR(MATCH($B22, LookUps!$J$5:$J$20,0))), D$12="Upgraded"),
SUMIFS(OpenLCAbasic!$J:$J,OpenLCAbasic!$E:$E, "Base", OpenLCAbasic!$D:$D, GWP!$B$5, OpenLCAbasic!$F:$F,D$12,OpenLCAbasic!$L:$L,$B$1,OpenLCAbasic!$C:$C,$B$7,OpenLCAbasic!$I:$I,INDEX(LookUps!$G$5:$G$20,MATCH($B22, LookUps!$J$5:$J$20,0)), OpenLCAbasic!$B:$B, $B$9),
SUMIFS(OpenLCAbasic!$J:$J,OpenLCAbasic!$E:$E, "Base", OpenLCAbasic!$D:$D, GWP!$B$5, OpenLCAbasic!$F:$F,D$12,OpenLCAbasic!$L:$L,$B$1,OpenLCAbasic!$I:$I,$B22, OpenLCAbasic!$C:$C,$B$7, OpenLCAbasic!$B:$B, $B$9))</f>
        <v>3.4982700000000002</v>
      </c>
      <c r="E22" s="9" t="str">
        <f>CONCATENATE("(",INDEX(LookUps!$D$5:$D$12,MATCH(CED!$B$1,LookUps!$E$5:$E$12,0)), "/m3 wastewater treated")</f>
        <v>(MJ/m3 wastewater treated</v>
      </c>
    </row>
    <row r="23" spans="2:5" x14ac:dyDescent="0.25">
      <c r="B23" s="58" t="str">
        <f>LookUps!$G$11</f>
        <v>Gravity Belt Thickener; wastewater treatment unit; at updated plant - US</v>
      </c>
      <c r="C23" s="258"/>
      <c r="D23" s="15">
        <f>IF(AND(NOT(ISERROR(MATCH($B23, LookUps!$J$5:$J$20,0))), D$12="Upgraded"),
SUMIFS(OpenLCAbasic!$J:$J,OpenLCAbasic!$E:$E, "Base", OpenLCAbasic!$D:$D, GWP!$B$5, OpenLCAbasic!$F:$F,D$12,OpenLCAbasic!$L:$L,$B$1,OpenLCAbasic!$C:$C,$B$7,OpenLCAbasic!$I:$I,INDEX(LookUps!$G$5:$G$20,MATCH($B23, LookUps!$J$5:$J$20,0)), OpenLCAbasic!$B:$B, $B$9),
SUMIFS(OpenLCAbasic!$J:$J,OpenLCAbasic!$E:$E, "Base", OpenLCAbasic!$D:$D, GWP!$B$5, OpenLCAbasic!$F:$F,D$12,OpenLCAbasic!$L:$L,$B$1,OpenLCAbasic!$I:$I,$B23, OpenLCAbasic!$C:$C,$B$7, OpenLCAbasic!$B:$B, $B$9))</f>
        <v>0.33404</v>
      </c>
      <c r="E23" s="9" t="str">
        <f>CONCATENATE("(",INDEX(LookUps!$D$5:$D$12,MATCH(CED!$B$1,LookUps!$E$5:$E$12,0)), "/m3 wastewater treated")</f>
        <v>(MJ/m3 wastewater treated</v>
      </c>
    </row>
    <row r="24" spans="2:5" x14ac:dyDescent="0.25">
      <c r="B24" s="58" t="str">
        <f>LookUps!$H$11</f>
        <v>Sludge Thickener; wastewater treatment unit - US</v>
      </c>
      <c r="C24" s="15">
        <f>IF(C$12="Legacy",
SUMIFS(OpenLCAbasic!$J:$J,OpenLCAbasic!$D:$D, "Base", OpenLCAbasic!$F:$F,C$12,OpenLCAbasic!$L:$L,$B$1,OpenLCAbasic!$I:$I,$B24, OpenLCAbasic!$C:$C, $B$8),
IF(AND(NOT(ISERROR(MATCH($B24, LookUps!$J$5:$J$20,0))), C$12="Upgraded"),
SUMIFS(OpenLCAbasic!$J:$J,OpenLCAbasic!$D:$D, GWP!$B$5, OpenLCAbasic!$F:$F,C$12,OpenLCAbasic!$L:$L,$B$1,OpenLCAbasic!$I:$I,INDEX(LookUps!$G$5:$G$20,MATCH($B24, LookUps!$J$5:$J$20,0))),
SUMIFS(OpenLCAbasic!$J:$J,OpenLCAbasic!$D:$D, GWP!$B$5, OpenLCAbasic!$F:$F,C$12,OpenLCAbasic!$L:$L,$B$1,OpenLCAbasic!$I:$I,$B24)))</f>
        <v>1.9869999999999999E-2</v>
      </c>
      <c r="D24" s="258"/>
      <c r="E24" s="9" t="str">
        <f>CONCATENATE("(",INDEX(LookUps!$D$5:$D$12,MATCH(CED!$B$1,LookUps!$E$5:$E$12,0)), "/m3 wastewater treated")</f>
        <v>(MJ/m3 wastewater treated</v>
      </c>
    </row>
    <row r="25" spans="2:5" x14ac:dyDescent="0.25">
      <c r="B25" s="58" t="str">
        <f>LookUps!$G$14</f>
        <v>Blend Tank; wastewater treatment unit; at updated plant - US</v>
      </c>
      <c r="C25" s="258"/>
      <c r="D25" s="15">
        <f>IF(AND(NOT(ISERROR(MATCH($B25, LookUps!$J$5:$J$20,0))), D$12="Upgraded"),
SUMIFS(OpenLCAbasic!$J:$J,OpenLCAbasic!$E:$E, "Base", OpenLCAbasic!$D:$D, GWP!$B$5, OpenLCAbasic!$F:$F,D$12,OpenLCAbasic!$L:$L,$B$1,OpenLCAbasic!$C:$C,$B$7,OpenLCAbasic!$I:$I,INDEX(LookUps!$G$5:$G$20,MATCH($B25, LookUps!$J$5:$J$20,0)), OpenLCAbasic!$B:$B, $B$9),
SUMIFS(OpenLCAbasic!$J:$J,OpenLCAbasic!$E:$E, "Base", OpenLCAbasic!$D:$D, GWP!$B$5, OpenLCAbasic!$F:$F,D$12,OpenLCAbasic!$L:$L,$B$1,OpenLCAbasic!$I:$I,$B25, OpenLCAbasic!$C:$C,$B$7, OpenLCAbasic!$B:$B, $B$9))</f>
        <v>0.10638</v>
      </c>
      <c r="E25" s="9" t="str">
        <f>CONCATENATE("(",INDEX(LookUps!$D$5:$D$12,MATCH(CED!$B$1,LookUps!$E$5:$E$12,0)), "/m3 wastewater treated")</f>
        <v>(MJ/m3 wastewater treated</v>
      </c>
    </row>
    <row r="26" spans="2:5" x14ac:dyDescent="0.25">
      <c r="B26" s="58" t="str">
        <f>LookUps!$G$19</f>
        <v>Anaerobic Digestion; wastewater treatment unit; at updated plant - US</v>
      </c>
      <c r="C26" s="258"/>
      <c r="D26" s="47">
        <f>IF(AND(NOT(ISERROR(MATCH($B26, LookUps!$J$5:$J$20,0))), D$12="Upgraded"),
SUMIFS(OpenLCAbasic!$J:$J,OpenLCAbasic!$E:$E, "Base", OpenLCAbasic!$D:$D, GWP!$B$5, OpenLCAbasic!$F:$F,D$12,OpenLCAbasic!$L:$L,$B$1,OpenLCAbasic!$C:$C,$B$7,OpenLCAbasic!$I:$I,INDEX(LookUps!$G$5:$G$20,MATCH($B26, LookUps!$J$5:$J$20,0)), OpenLCAbasic!$B:$B, $B$9),
SUMIFS(OpenLCAbasic!$J:$J,OpenLCAbasic!$E:$E, "Base", OpenLCAbasic!$D:$D, GWP!$B$5, OpenLCAbasic!$F:$F,D$12,OpenLCAbasic!$L:$L,$B$1,OpenLCAbasic!$I:$I,$B26, OpenLCAbasic!$C:$C,$B$7, OpenLCAbasic!$B:$B, $B$9))</f>
        <v>-1.99752</v>
      </c>
      <c r="E26" s="9" t="str">
        <f>CONCATENATE("(",INDEX(LookUps!$D$5:$D$12,MATCH(CED!$B$1,LookUps!$E$5:$E$12,0)), "/m3 wastewater treated")</f>
        <v>(MJ/m3 wastewater treated</v>
      </c>
    </row>
    <row r="27" spans="2:5" x14ac:dyDescent="0.25">
      <c r="B27" s="58" t="str">
        <f>LookUps!$H$19</f>
        <v>Aerobic Digester; wastewater treatment unit - US</v>
      </c>
      <c r="C27" s="47">
        <f>IF(C$12="Legacy",
SUMIFS(OpenLCAbasic!$J:$J,OpenLCAbasic!$D:$D, "Base", OpenLCAbasic!$F:$F,C$12,OpenLCAbasic!$L:$L,$B$1,OpenLCAbasic!$I:$I,$B27, OpenLCAbasic!$C:$C, $B$8),
IF(AND(NOT(ISERROR(MATCH($B27, LookUps!$J$5:$J$20,0))), C$12="Upgraded"),
SUMIFS(OpenLCAbasic!$J:$J,OpenLCAbasic!$D:$D, GWP!$B$5, OpenLCAbasic!$F:$F,C$12,OpenLCAbasic!$L:$L,$B$1,OpenLCAbasic!$I:$I,INDEX(LookUps!$G$5:$G$20,MATCH($B27, LookUps!$J$5:$J$20,0))),
SUMIFS(OpenLCAbasic!$J:$J,OpenLCAbasic!$D:$D, GWP!$B$5, OpenLCAbasic!$F:$F,C$12,OpenLCAbasic!$L:$L,$B$1,OpenLCAbasic!$I:$I,$B27)))</f>
        <v>2.7189700000000001</v>
      </c>
      <c r="D27" s="258"/>
      <c r="E27" s="9" t="str">
        <f>CONCATENATE("(",INDEX(LookUps!$D$5:$D$12,MATCH(CED!$B$1,LookUps!$E$5:$E$12,0)), "/m3 wastewater treated")</f>
        <v>(MJ/m3 wastewater treated</v>
      </c>
    </row>
    <row r="28" spans="2:5" x14ac:dyDescent="0.25">
      <c r="B28" s="58" t="str">
        <f>LookUps!$J$15</f>
        <v>Belt filter press; wastewater treatment unit - US</v>
      </c>
      <c r="C28" s="15">
        <f>IF(C$12="Legacy",
SUMIFS(OpenLCAbasic!$J:$J,OpenLCAbasic!$D:$D, "Base", OpenLCAbasic!$F:$F,C$12,OpenLCAbasic!$L:$L,$B$1,OpenLCAbasic!$I:$I,$B28, OpenLCAbasic!$C:$C, $B$8),
IF(AND(NOT(ISERROR(MATCH($B28, LookUps!$J$5:$J$20,0))), C$12="Upgraded"),
SUMIFS(OpenLCAbasic!$J:$J,OpenLCAbasic!$D:$D, GWP!$B$5, OpenLCAbasic!$F:$F,C$12,OpenLCAbasic!$L:$L,$B$1,OpenLCAbasic!$I:$I,INDEX(LookUps!$G$5:$G$20,MATCH($B28, LookUps!$J$5:$J$20,0))),
SUMIFS(OpenLCAbasic!$J:$J,OpenLCAbasic!$D:$D, GWP!$B$5, OpenLCAbasic!$F:$F,C$12,OpenLCAbasic!$L:$L,$B$1,OpenLCAbasic!$I:$I,$B28)))</f>
        <v>0.16199</v>
      </c>
      <c r="D28" s="15">
        <f>IF(AND(NOT(ISERROR(MATCH($B28, LookUps!$J$5:$J$20,0))), D$12="Upgraded"),
SUMIFS(OpenLCAbasic!$J:$J,OpenLCAbasic!$E:$E, "Base", OpenLCAbasic!$D:$D, GWP!$B$5, OpenLCAbasic!$F:$F,D$12,OpenLCAbasic!$L:$L,$B$1,OpenLCAbasic!$C:$C,$B$7,OpenLCAbasic!$I:$I,INDEX(LookUps!$G$5:$G$20,MATCH($B28, LookUps!$J$5:$J$20,0)), OpenLCAbasic!$B:$B, $B$9),
SUMIFS(OpenLCAbasic!$J:$J,OpenLCAbasic!$E:$E, "Base", OpenLCAbasic!$D:$D, GWP!$B$5, OpenLCAbasic!$F:$F,D$12,OpenLCAbasic!$L:$L,$B$1,OpenLCAbasic!$I:$I,$B28, OpenLCAbasic!$C:$C,$B$7, OpenLCAbasic!$B:$B, $B$9))</f>
        <v>0.28833999999999999</v>
      </c>
      <c r="E28" s="9" t="str">
        <f>CONCATENATE("(",INDEX(LookUps!$D$5:$D$12,MATCH(CED!$B$1,LookUps!$E$5:$E$12,0)), "/m3 wastewater treated")</f>
        <v>(MJ/m3 wastewater treated</v>
      </c>
    </row>
    <row r="29" spans="2:5" x14ac:dyDescent="0.25">
      <c r="B29"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29" s="258"/>
      <c r="D29" s="289">
        <f>IF(OR(GWP!$B$6="Low", GWP!$B$6="High"),
INDEX(OpenLCAbasic!$J:$J, MATCH(CONCATENATE(GWP!$B$6, "_", GWP!$B$5, "_", "Upgraded_",$B$1,"_",B29, "_", $B$7, "_", $B$9), OpenLCAbasic!$M:$M,0)),
IF(AND(NOT(ISERROR(MATCH($B29, LookUps!$J$5:$J$20,0))), D$12="Upgraded"),
SUMIFS(OpenLCAbasic!$J:$J,OpenLCAbasic!$E:$E, GWP!$B$6, OpenLCAbasic!$D:$D, GWP!$B$5, OpenLCAbasic!$F:$F,D$12,OpenLCAbasic!$L:$L,$B$1,OpenLCAbasic!$I:$I,INDEX(LookUps!$G$5:$G$20,MATCH($B29, LookUps!$J$5:$J$20,0)), OpenLCAbasic!$B:$B, $B$9, OpenLCAbasic!$C:$C, $B$7),
SUMIFS(OpenLCAbasic!$J:$J,OpenLCAbasic!$E:$E, GWP!$B$6, OpenLCAbasic!$D:$D, GWP!$B$5, OpenLCAbasic!$F:$F,D$12,OpenLCAbasic!$L:$L,$B$1,OpenLCAbasic!$I:$I,$B29, OpenLCAbasic!$B:$B, $B$9, OpenLCAbasic!$C:$C, $B$7)))</f>
        <v>2.0650000000000002E-2</v>
      </c>
      <c r="E29" s="9" t="str">
        <f>CONCATENATE("(",INDEX(LookUps!$D$5:$D$12,MATCH(CED!$B$1,LookUps!$E$5:$E$12,0)), "/m3 wastewater treated")</f>
        <v>(MJ/m3 wastewater treated</v>
      </c>
    </row>
    <row r="30" spans="2:5" x14ac:dyDescent="0.25">
      <c r="B30" s="58" t="str">
        <f>LookUps!$G$18</f>
        <v>Land application of compost; wastewater treatment unit; at updated plant - US</v>
      </c>
      <c r="C30" s="258"/>
      <c r="D30" s="289">
        <f>IF(OR(GWP!$B$6="Low", GWP!$B$6="High"),
INDEX(OpenLCAbasic!$J:$J, MATCH(CONCATENATE(GWP!$B$6, "_", GWP!$B$5, "_", "Upgraded_",$B$1,"_",B30, "_", $B$7, "_", $B$9), OpenLCAbasic!$M:$M,0)),
IF(AND(NOT(ISERROR(MATCH($B30, LookUps!$J$5:$J$20,0))), D$12="Upgraded"),
SUMIFS(OpenLCAbasic!$J:$J,OpenLCAbasic!$E:$E, GWP!$B$6, OpenLCAbasic!$D:$D, GWP!$B$5, OpenLCAbasic!$F:$F,D$12,OpenLCAbasic!$L:$L,$B$1,OpenLCAbasic!$I:$I,INDEX(LookUps!$G$5:$G$20,MATCH($B30, LookUps!$J$5:$J$20,0)), OpenLCAbasic!$B:$B, $B$9, OpenLCAbasic!$C:$C, $B$7),
SUMIFS(OpenLCAbasic!$J:$J,OpenLCAbasic!$E:$E, GWP!$B$6, OpenLCAbasic!$D:$D, GWP!$B$5, OpenLCAbasic!$F:$F,D$12,OpenLCAbasic!$L:$L,$B$1,OpenLCAbasic!$I:$I,$B30, OpenLCAbasic!$B:$B, $B$9, OpenLCAbasic!$C:$C, $B$7)))</f>
        <v>-0.44338</v>
      </c>
      <c r="E30" s="9" t="str">
        <f>CONCATENATE("(",INDEX(LookUps!$D$5:$D$12,MATCH(CED!$B$1,LookUps!$E$5:$E$12,0)), "/m3 wastewater treated")</f>
        <v>(MJ/m3 wastewater treated</v>
      </c>
    </row>
    <row r="31" spans="2:5" x14ac:dyDescent="0.25">
      <c r="B31" s="58" t="str">
        <f>LookUps!$H$18</f>
        <v>Sludge Disposal; wastewater treatment unit - US</v>
      </c>
      <c r="C31" s="290">
        <f>IF(OR(GWP!$B$6="Low", GWP!$B$6="High"),
 INDEX(OpenLCAbasic!$J:$J, MATCH(CONCATENATE(GWP!$B$6, "_", "Base", "_", "Legacy_",$B$1, "_",B31, "_", $B$8,"_n.a."), OpenLCAbasic!$M:$M,0)),
IF(C$12="Legacy", SUMIFS(OpenLCAbasic!$J:$J,OpenLCAbasic!$E:$E, "Base", OpenLCAbasic!$D:$D, "Base", OpenLCAbasic!$F:$F,C$12,OpenLCAbasic!$L:$L,$B$1,OpenLCAbasic!$I:$I,$B31, OpenLCAbasic!$C:$C, $B$8),
IF(AND(NOT(ISERROR(MATCH($B31, LookUps!$J$5:$J$20,0))), C$12="Upgraded"), SUMIFS(OpenLCAbasic!$J:$J,OpenLCAbasic!$E:$E, "Base", OpenLCAbasic!$D:$D, "Base", OpenLCAbasic!$F:$F,C$12,OpenLCAbasic!$L:$L,$B$1,OpenLCAbasic!$I:$I,INDEX(LookUps!$G$5:$G$20,MATCH($B31, LookUps!$J$5:$J$20,0))),
SUMIFS(OpenLCAbasic!$J:$J,OpenLCAbasic!$E:$E, "Base", OpenLCAbasic!$D:$D, "Base", OpenLCAbasic!$F:$F,C$12,OpenLCAbasic!$L:$L,$B$1,OpenLCAbasic!$I:$I,$B31))))</f>
        <v>0.34827000000000002</v>
      </c>
      <c r="D31" s="258"/>
      <c r="E31" s="9" t="str">
        <f>CONCATENATE("(",INDEX(LookUps!$D$5:$D$12,MATCH(CED!$B$1,LookUps!$E$5:$E$12,0)), "/m3 wastewater treated")</f>
        <v>(MJ/m3 wastewater treated</v>
      </c>
    </row>
    <row r="32" spans="2:5" x14ac:dyDescent="0.25">
      <c r="B32" s="58" t="str">
        <f>LookUps!$G$20</f>
        <v>Effluent release; wastewater treatment unit; at surface water; m3 wastewater - US</v>
      </c>
      <c r="C32" s="260">
        <f>IF(C$12="Legacy",
SUMIFS(OpenLCAbasic!$J:$J,OpenLCAbasic!$D:$D, "Base", OpenLCAbasic!$F:$F,C$12,OpenLCAbasic!$L:$L,$B$1,OpenLCAbasic!$I:$I,$B32, OpenLCAbasic!$C:$C, $B$8),
IF(AND(NOT(ISERROR(MATCH($B32, LookUps!$J$5:$J$20,0))), C$12="Upgraded"),
SUMIFS(OpenLCAbasic!$J:$J,OpenLCAbasic!$D:$D, GWP!$B$5, OpenLCAbasic!$F:$F,C$12,OpenLCAbasic!$L:$L,$B$1,OpenLCAbasic!$I:$I,INDEX(LookUps!$G$5:$G$20,MATCH($B32, LookUps!$J$5:$J$20,0))),
SUMIFS(OpenLCAbasic!$J:$J,OpenLCAbasic!$D:$D, GWP!$B$5, OpenLCAbasic!$F:$F,C$12,OpenLCAbasic!$L:$L,$B$1,OpenLCAbasic!$I:$I,$B32)))</f>
        <v>3.47E-3</v>
      </c>
      <c r="D32" s="15">
        <f>IF(AND(NOT(ISERROR(MATCH($B32, LookUps!$J$5:$J$20,0))), D$12="Upgraded"),
SUMIFS(OpenLCAbasic!$J:$J,OpenLCAbasic!$E:$E, "Base", OpenLCAbasic!$D:$D, GWP!$B$5, OpenLCAbasic!$F:$F,D$12,OpenLCAbasic!$L:$L,$B$1,OpenLCAbasic!$C:$C,$B$7,OpenLCAbasic!$I:$I,INDEX(LookUps!$G$5:$G$20,MATCH($B32, LookUps!$J$5:$J$20,0)), OpenLCAbasic!$B:$B, $B$9),
SUMIFS(OpenLCAbasic!$J:$J,OpenLCAbasic!$E:$E, "Base", OpenLCAbasic!$D:$D, GWP!$B$5, OpenLCAbasic!$F:$F,D$12,OpenLCAbasic!$L:$L,$B$1,OpenLCAbasic!$I:$I,$B32, OpenLCAbasic!$C:$C,$B$7, OpenLCAbasic!$B:$B, $B$9))</f>
        <v>0.13321</v>
      </c>
      <c r="E32" s="9" t="str">
        <f>CONCATENATE("(",INDEX(LookUps!$D$5:$D$12,MATCH(CED!$B$1,LookUps!$E$5:$E$12,0)), "/m3 wastewater treated")</f>
        <v>(MJ/m3 wastewater treated</v>
      </c>
    </row>
    <row r="33" spans="2:5" x14ac:dyDescent="0.25">
      <c r="B33" s="58" t="str">
        <f>LookUps!$J$10</f>
        <v>Control Building; at wastewater treatment plant - US</v>
      </c>
      <c r="C33" s="15">
        <f>IF(C$12="Legacy",
SUMIFS(OpenLCAbasic!$J:$J,OpenLCAbasic!$D:$D, "Base", OpenLCAbasic!$F:$F,C$12,OpenLCAbasic!$L:$L,$B$1,OpenLCAbasic!$I:$I,$B33, OpenLCAbasic!$C:$C, $B$8),
IF(AND(NOT(ISERROR(MATCH($B33, LookUps!$J$5:$J$20,0))), C$12="Upgraded"),
SUMIFS(OpenLCAbasic!$J:$J,OpenLCAbasic!$D:$D, GWP!$B$5, OpenLCAbasic!$F:$F,C$12,OpenLCAbasic!$L:$L,$B$1,OpenLCAbasic!$I:$I,INDEX(LookUps!$G$5:$G$20,MATCH($B33, LookUps!$J$5:$J$20,0))),
SUMIFS(OpenLCAbasic!$J:$J,OpenLCAbasic!$D:$D, GWP!$B$5, OpenLCAbasic!$F:$F,C$12,OpenLCAbasic!$L:$L,$B$1,OpenLCAbasic!$I:$I,$B33)))</f>
        <v>0.92825000000000002</v>
      </c>
      <c r="D33" s="15">
        <f>IF(AND(NOT(ISERROR(MATCH($B33, LookUps!$J$5:$J$20,0))), D$12="Upgraded"),
SUMIFS(OpenLCAbasic!$J:$J,OpenLCAbasic!$E:$E, "Base", OpenLCAbasic!$D:$D, GWP!$B$5, OpenLCAbasic!$F:$F,D$12,OpenLCAbasic!$L:$L,$B$1,OpenLCAbasic!$C:$C,$B$7,OpenLCAbasic!$I:$I,INDEX(LookUps!$G$5:$G$20,MATCH($B33, LookUps!$J$5:$J$20,0)), OpenLCAbasic!$B:$B, $B$9),
SUMIFS(OpenLCAbasic!$J:$J,OpenLCAbasic!$E:$E, "Base", OpenLCAbasic!$D:$D, GWP!$B$5, OpenLCAbasic!$F:$F,D$12,OpenLCAbasic!$L:$L,$B$1,OpenLCAbasic!$I:$I,$B33, OpenLCAbasic!$C:$C,$B$7, OpenLCAbasic!$B:$B, $B$9))</f>
        <v>0.14599000000000001</v>
      </c>
      <c r="E33" s="9" t="str">
        <f>CONCATENATE("(",INDEX(LookUps!$D$5:$D$12,MATCH(CED!$B$1,LookUps!$E$5:$E$12,0)), "/m3 wastewater treated")</f>
        <v>(MJ/m3 wastewater treated</v>
      </c>
    </row>
    <row r="34" spans="2:5" x14ac:dyDescent="0.25">
      <c r="B34" s="11" t="s">
        <v>34</v>
      </c>
      <c r="C34" s="32">
        <f>SUM(C13:C33)</f>
        <v>9.0742800000000017</v>
      </c>
      <c r="D34" s="291">
        <f>SUM(D13:D33)</f>
        <v>9.5525000000000002</v>
      </c>
    </row>
    <row r="35" spans="2:5" x14ac:dyDescent="0.25">
      <c r="B35" s="11" t="s">
        <v>22</v>
      </c>
      <c r="C35" s="291">
        <f>MAX($C$34:$D$34)</f>
        <v>9.5525000000000002</v>
      </c>
      <c r="D35" s="291">
        <f>MAX($C$34:$D$34)</f>
        <v>9.5525000000000002</v>
      </c>
    </row>
    <row r="36" spans="2:5" x14ac:dyDescent="0.25"/>
    <row r="37" spans="2:5" x14ac:dyDescent="0.25">
      <c r="B37" s="1" t="str">
        <f>CONCATENATE(INDEX(LookUps!$B$5:$B$12,MATCH(CED!$B$1,LookUps!$E$5:$E$12,0))," (Contribution %)")</f>
        <v>Cumulative Energy Demand (Contribution %)</v>
      </c>
    </row>
    <row r="38" spans="2:5" x14ac:dyDescent="0.25"/>
    <row r="39" spans="2:5" x14ac:dyDescent="0.25">
      <c r="B39" s="56" t="s">
        <v>47</v>
      </c>
      <c r="C39" s="1" t="s">
        <v>45</v>
      </c>
      <c r="D39" s="1" t="s">
        <v>46</v>
      </c>
      <c r="E39" s="10" t="s">
        <v>27</v>
      </c>
    </row>
    <row r="40" spans="2:5" x14ac:dyDescent="0.25">
      <c r="B40" s="57" t="str">
        <f>LookUps!$G$5</f>
        <v>Wastewater collection; operation and infrastructure; m3 wastewater</v>
      </c>
      <c r="C40" s="60">
        <f>IF(ISERROR(C13/C$34), "",C13/ C$34)</f>
        <v>2.821821676210123E-2</v>
      </c>
      <c r="D40" s="60">
        <f>IF(ISERROR(D13/D$34), "",D13/ D$34)</f>
        <v>2.6805548285789061E-2</v>
      </c>
      <c r="E40" s="9" t="str">
        <f>CONCATENATE("(",INDEX(LookUps!$D$5:$D$12,MATCH(CED!$B$1,LookUps!$E$5:$E$12,0)), "/m3 wastewater treated")</f>
        <v>(MJ/m3 wastewater treated</v>
      </c>
    </row>
    <row r="41" spans="2:5" x14ac:dyDescent="0.25">
      <c r="B41" s="58" t="str">
        <f>LookUps!$G$6</f>
        <v>Influent Pump Station; wastewater treatment unit; at updated plant - US</v>
      </c>
      <c r="C41" s="61"/>
      <c r="D41" s="62">
        <f>IF(ISERROR(D14/D$34), "",D14/ D$34)</f>
        <v>9.2433394399371899E-2</v>
      </c>
      <c r="E41" s="9" t="str">
        <f>CONCATENATE("(",INDEX(LookUps!$D$5:$D$12,MATCH(CED!$B$1,LookUps!$E$5:$E$12,0)), "/m3 wastewater treated")</f>
        <v>(MJ/m3 wastewater treated</v>
      </c>
    </row>
    <row r="42" spans="2:5" x14ac:dyDescent="0.25">
      <c r="B42" s="58" t="str">
        <f>LookUps!$H$6</f>
        <v>Screening and Grit Removal - US</v>
      </c>
      <c r="C42" s="62">
        <f>IF(ISERROR(C15/C$34), "",C15/ C$34)</f>
        <v>1.6805741061549782E-2</v>
      </c>
      <c r="D42" s="61"/>
      <c r="E42" s="9" t="str">
        <f>CONCATENATE("(",INDEX(LookUps!$D$5:$D$12,MATCH(CED!$B$1,LookUps!$E$5:$E$12,0)), "/m3 wastewater treated")</f>
        <v>(MJ/m3 wastewater treated</v>
      </c>
    </row>
    <row r="43" spans="2:5" x14ac:dyDescent="0.25">
      <c r="B43" s="58" t="str">
        <f>LookUps!$G$8</f>
        <v>Clear Cove Primary Clarification; wastewater treatment unit; at updated plant - US</v>
      </c>
      <c r="C43" s="61"/>
      <c r="D43" s="62">
        <f>IF(ISERROR(D16/D$34), "",D16/ D$34)</f>
        <v>0.12173671813661345</v>
      </c>
      <c r="E43" s="9" t="str">
        <f>CONCATENATE("(",INDEX(LookUps!$D$5:$D$12,MATCH(CED!$B$1,LookUps!$E$5:$E$12,0)), "/m3 wastewater treated")</f>
        <v>(MJ/m3 wastewater treated</v>
      </c>
    </row>
    <row r="44" spans="2:5" x14ac:dyDescent="0.25">
      <c r="B44" s="58" t="str">
        <f>LookUps!$H$8</f>
        <v>Primary Clarifier; wastewater treatment unit - US</v>
      </c>
      <c r="C44" s="62">
        <f>IF(ISERROR(C17/C$34), "",C17/ C$34)</f>
        <v>0.19528601718263044</v>
      </c>
      <c r="D44" s="61"/>
      <c r="E44" s="9" t="str">
        <f>CONCATENATE("(",INDEX(LookUps!$D$5:$D$12,MATCH(CED!$B$1,LookUps!$E$5:$E$12,0)), "/m3 wastewater treated")</f>
        <v>(MJ/m3 wastewater treated</v>
      </c>
    </row>
    <row r="45" spans="2:5" x14ac:dyDescent="0.25">
      <c r="B45" s="58" t="str">
        <f>LookUps!$G$17</f>
        <v>ClearCove SCP; wastewater treatment unit; at updated plant - US</v>
      </c>
      <c r="C45" s="61"/>
      <c r="D45" s="62">
        <f t="shared" ref="D45:D50" si="0">IF(ISERROR(D18/D$34), "",D18/ D$34)</f>
        <v>5.3315885893745092E-3</v>
      </c>
      <c r="E45" s="9" t="str">
        <f>CONCATENATE("(",INDEX(LookUps!$D$5:$D$12,MATCH(CED!$B$1,LookUps!$E$5:$E$12,0)), "/m3 wastewater treated")</f>
        <v>(MJ/m3 wastewater treated</v>
      </c>
    </row>
    <row r="46" spans="2:5" x14ac:dyDescent="0.25">
      <c r="B46" s="58" t="str">
        <f>LookUps!$G$7</f>
        <v>Wet Well and Sump Station; wastewater treatment unit; at updated plant - US</v>
      </c>
      <c r="C46" s="61"/>
      <c r="D46" s="62">
        <f t="shared" si="0"/>
        <v>7.2907615807380269E-2</v>
      </c>
      <c r="E46" s="9" t="str">
        <f>CONCATENATE("(",INDEX(LookUps!$D$5:$D$12,MATCH(CED!$B$1,LookUps!$E$5:$E$12,0)), "/m3 wastewater treated")</f>
        <v>(MJ/m3 wastewater treated</v>
      </c>
    </row>
    <row r="47" spans="2:5" x14ac:dyDescent="0.25">
      <c r="B47" s="58" t="str">
        <f>LookUps!$G$13</f>
        <v>Pre-Anoxic &amp; Swing tank; wastewater treatment unit; at updated plant - US</v>
      </c>
      <c r="C47" s="61"/>
      <c r="D47" s="62">
        <f t="shared" si="0"/>
        <v>9.2559015964407229E-2</v>
      </c>
      <c r="E47" s="9" t="str">
        <f>CONCATENATE("(",INDEX(LookUps!$D$5:$D$12,MATCH(CED!$B$1,LookUps!$E$5:$E$12,0)), "/m3 wastewater treated")</f>
        <v>(MJ/m3 wastewater treated</v>
      </c>
    </row>
    <row r="48" spans="2:5" x14ac:dyDescent="0.25">
      <c r="B48" s="58" t="str">
        <f>LookUps!$J$9</f>
        <v>Aeration Tanks; wastewater treatment unit - US</v>
      </c>
      <c r="C48" s="62">
        <f>IF(ISERROR(C21/C$34), "",C21/ C$34)</f>
        <v>0.29895705223995728</v>
      </c>
      <c r="D48" s="62">
        <f t="shared" si="0"/>
        <v>0.36985605862339699</v>
      </c>
      <c r="E48" s="9" t="str">
        <f>CONCATENATE("(",INDEX(LookUps!$D$5:$D$12,MATCH(CED!$B$1,LookUps!$E$5:$E$12,0)), "/m3 wastewater treated")</f>
        <v>(MJ/m3 wastewater treated</v>
      </c>
    </row>
    <row r="49" spans="2:5" x14ac:dyDescent="0.25">
      <c r="B49" s="58" t="str">
        <f>LookUps!$G$12</f>
        <v>Waste Receiving and Holding; wastewater treatment unit; at updated plant - US</v>
      </c>
      <c r="C49" s="61"/>
      <c r="D49" s="62">
        <f t="shared" si="0"/>
        <v>0.36621512693012304</v>
      </c>
      <c r="E49" s="9" t="str">
        <f>CONCATENATE("(",INDEX(LookUps!$D$5:$D$12,MATCH(CED!$B$1,LookUps!$E$5:$E$12,0)), "/m3 wastewater treated")</f>
        <v>(MJ/m3 wastewater treated</v>
      </c>
    </row>
    <row r="50" spans="2:5" x14ac:dyDescent="0.25">
      <c r="B50" s="58" t="str">
        <f>LookUps!$G$11</f>
        <v>Gravity Belt Thickener; wastewater treatment unit; at updated plant - US</v>
      </c>
      <c r="C50" s="61"/>
      <c r="D50" s="62">
        <f t="shared" si="0"/>
        <v>3.4968856320334987E-2</v>
      </c>
      <c r="E50" s="9" t="str">
        <f>CONCATENATE("(",INDEX(LookUps!$D$5:$D$12,MATCH(CED!$B$1,LookUps!$E$5:$E$12,0)), "/m3 wastewater treated")</f>
        <v>(MJ/m3 wastewater treated</v>
      </c>
    </row>
    <row r="51" spans="2:5" x14ac:dyDescent="0.25">
      <c r="B51" s="58" t="str">
        <f>LookUps!$H$11</f>
        <v>Sludge Thickener; wastewater treatment unit - US</v>
      </c>
      <c r="C51" s="62">
        <f>IF(ISERROR(C24/C$34), "",C24/ C$34)</f>
        <v>2.189705409134388E-3</v>
      </c>
      <c r="D51" s="61"/>
      <c r="E51" s="9" t="str">
        <f>CONCATENATE("(",INDEX(LookUps!$D$5:$D$12,MATCH(CED!$B$1,LookUps!$E$5:$E$12,0)), "/m3 wastewater treated")</f>
        <v>(MJ/m3 wastewater treated</v>
      </c>
    </row>
    <row r="52" spans="2:5" x14ac:dyDescent="0.25">
      <c r="B52" s="58" t="str">
        <f>LookUps!$G$14</f>
        <v>Blend Tank; wastewater treatment unit; at updated plant - US</v>
      </c>
      <c r="C52" s="61"/>
      <c r="D52" s="62">
        <f>IF(ISERROR(D25/D$34), "",D25/ D$34)</f>
        <v>1.1136351740382099E-2</v>
      </c>
      <c r="E52" s="9" t="str">
        <f>CONCATENATE("(",INDEX(LookUps!$D$5:$D$12,MATCH(CED!$B$1,LookUps!$E$5:$E$12,0)), "/m3 wastewater treated")</f>
        <v>(MJ/m3 wastewater treated</v>
      </c>
    </row>
    <row r="53" spans="2:5" x14ac:dyDescent="0.25">
      <c r="B53" s="58" t="str">
        <f>LookUps!$G$19</f>
        <v>Anaerobic Digestion; wastewater treatment unit; at updated plant - US</v>
      </c>
      <c r="C53" s="61"/>
      <c r="D53" s="62">
        <f>IF(ISERROR(D26/D$34), "",D26/ D$34)</f>
        <v>-0.20910965715781207</v>
      </c>
      <c r="E53" s="9" t="str">
        <f>CONCATENATE("(",INDEX(LookUps!$D$5:$D$12,MATCH(CED!$B$1,LookUps!$E$5:$E$12,0)), "/m3 wastewater treated")</f>
        <v>(MJ/m3 wastewater treated</v>
      </c>
    </row>
    <row r="54" spans="2:5" x14ac:dyDescent="0.25">
      <c r="B54" s="58" t="str">
        <f>LookUps!$H$19</f>
        <v>Aerobic Digester; wastewater treatment unit - US</v>
      </c>
      <c r="C54" s="62">
        <f>IF(ISERROR(C27/C$34), "",C27/ C$34)</f>
        <v>0.29963479196145587</v>
      </c>
      <c r="D54" s="61"/>
      <c r="E54" s="9" t="str">
        <f>CONCATENATE("(",INDEX(LookUps!$D$5:$D$12,MATCH(CED!$B$1,LookUps!$E$5:$E$12,0)), "/m3 wastewater treated")</f>
        <v>(MJ/m3 wastewater treated</v>
      </c>
    </row>
    <row r="55" spans="2:5" x14ac:dyDescent="0.25">
      <c r="B55" s="58" t="str">
        <f>LookUps!$J$15</f>
        <v>Belt filter press; wastewater treatment unit - US</v>
      </c>
      <c r="C55" s="62">
        <f>IF(ISERROR(C28/C$34), "",C28/ C$34)</f>
        <v>1.7851554062691472E-2</v>
      </c>
      <c r="D55" s="62">
        <f>IF(ISERROR(D28/D$34), "",D28/ D$34)</f>
        <v>3.0184768385239463E-2</v>
      </c>
      <c r="E55" s="9" t="str">
        <f>CONCATENATE("(",INDEX(LookUps!$D$5:$D$12,MATCH(CED!$B$1,LookUps!$E$5:$E$12,0)), "/m3 wastewater treated")</f>
        <v>(MJ/m3 wastewater treated</v>
      </c>
    </row>
    <row r="56" spans="2:5" x14ac:dyDescent="0.25">
      <c r="B56"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56" s="61"/>
      <c r="D56" s="62">
        <f>IF(ISERROR(D29/D$34), "",D29/ D$34)</f>
        <v>2.1617377649829888E-3</v>
      </c>
      <c r="E56" s="9" t="str">
        <f>CONCATENATE("(",INDEX(LookUps!$D$5:$D$12,MATCH(CED!$B$1,LookUps!$E$5:$E$12,0)), "/m3 wastewater treated")</f>
        <v>(MJ/m3 wastewater treated</v>
      </c>
    </row>
    <row r="57" spans="2:5" x14ac:dyDescent="0.25">
      <c r="B57" s="58" t="str">
        <f>LookUps!$G$18</f>
        <v>Land application of compost; wastewater treatment unit; at updated plant - US</v>
      </c>
      <c r="C57" s="61"/>
      <c r="D57" s="62">
        <f>IF(ISERROR(D30/D$34), "",D30/ D$34)</f>
        <v>-4.6415074587804236E-2</v>
      </c>
      <c r="E57" s="9" t="str">
        <f>CONCATENATE("(",INDEX(LookUps!$D$5:$D$12,MATCH(CED!$B$1,LookUps!$E$5:$E$12,0)), "/m3 wastewater treated")</f>
        <v>(MJ/m3 wastewater treated</v>
      </c>
    </row>
    <row r="58" spans="2:5" x14ac:dyDescent="0.25">
      <c r="B58" s="58" t="str">
        <f>LookUps!$H$18</f>
        <v>Sludge Disposal; wastewater treatment unit - US</v>
      </c>
      <c r="C58" s="62">
        <f>IF(ISERROR(C31/C$34), "",C31/ C$34)</f>
        <v>3.8379904521350448E-2</v>
      </c>
      <c r="D58" s="59"/>
      <c r="E58" s="9" t="str">
        <f>CONCATENATE("(",INDEX(LookUps!$D$5:$D$12,MATCH(CED!$B$1,LookUps!$E$5:$E$12,0)), "/m3 wastewater treated")</f>
        <v>(MJ/m3 wastewater treated</v>
      </c>
    </row>
    <row r="59" spans="2:5" x14ac:dyDescent="0.25">
      <c r="B59" s="58" t="str">
        <f>LookUps!$G$20</f>
        <v>Effluent release; wastewater treatment unit; at surface water; m3 wastewater - US</v>
      </c>
      <c r="C59" s="62">
        <f>IF(ISERROR(C32/C$34), "",C32/ C$34)</f>
        <v>3.8239948513821477E-4</v>
      </c>
      <c r="D59" s="62">
        <f>IF(ISERROR(D32/D$34), "",D32/ D$34)</f>
        <v>1.3945040565297042E-2</v>
      </c>
      <c r="E59" s="9" t="str">
        <f>CONCATENATE("(",INDEX(LookUps!$D$5:$D$12,MATCH(CED!$B$1,LookUps!$E$5:$E$12,0)), "/m3 wastewater treated")</f>
        <v>(MJ/m3 wastewater treated</v>
      </c>
    </row>
    <row r="60" spans="2:5" x14ac:dyDescent="0.25">
      <c r="B60" s="58" t="str">
        <f>LookUps!$J$10</f>
        <v>Control Building; at wastewater treatment plant - US</v>
      </c>
      <c r="C60" s="62">
        <f>IF(ISERROR(C33/C$34), "",C33/ C$34)</f>
        <v>0.10229461731399074</v>
      </c>
      <c r="D60" s="62">
        <f>IF(ISERROR(D33/D$34), "",D33/ D$34)</f>
        <v>1.528291023292332E-2</v>
      </c>
      <c r="E60" s="9" t="str">
        <f>CONCATENATE("(",INDEX(LookUps!$D$5:$D$12,MATCH(CED!$B$1,LookUps!$E$5:$E$12,0)), "/m3 wastewater treated")</f>
        <v>(MJ/m3 wastewater treated</v>
      </c>
    </row>
    <row r="61" spans="2:5" x14ac:dyDescent="0.25">
      <c r="B61" s="11" t="s">
        <v>34</v>
      </c>
      <c r="C61" s="63">
        <f>SUM(C40:C60)</f>
        <v>0.99999999999999989</v>
      </c>
      <c r="D61" s="63">
        <f>SUM(D40:D60)</f>
        <v>1.0000000000000002</v>
      </c>
    </row>
    <row r="62" spans="2:5" x14ac:dyDescent="0.25"/>
    <row r="63" spans="2:5" x14ac:dyDescent="0.25">
      <c r="B63" s="1" t="str">
        <f>CONCATENATE(INDEX(LookUps!$B$5:$B$12,MATCH(CED!$B$1,LookUps!$E$5:$E$12,0))," (% of Maximum)")</f>
        <v>Cumulative Energy Demand (% of Maximum)</v>
      </c>
    </row>
    <row r="64" spans="2:5" x14ac:dyDescent="0.25"/>
    <row r="65" spans="2:5" x14ac:dyDescent="0.25">
      <c r="B65" s="56" t="s">
        <v>47</v>
      </c>
      <c r="C65" s="1" t="s">
        <v>45</v>
      </c>
      <c r="D65" s="1" t="s">
        <v>46</v>
      </c>
      <c r="E65" s="10" t="s">
        <v>27</v>
      </c>
    </row>
    <row r="66" spans="2:5" x14ac:dyDescent="0.25">
      <c r="B66" s="57" t="str">
        <f>LookUps!$G$5</f>
        <v>Wastewater collection; operation and infrastructure; m3 wastewater</v>
      </c>
      <c r="C66" s="13">
        <f>IF(ISERROR(C13/C$35),"",C13/C$35)</f>
        <v>2.6805548285789061E-2</v>
      </c>
      <c r="D66" s="60">
        <f>IF(ISERROR(D13/D$35),"",D13/D$35)</f>
        <v>2.6805548285789061E-2</v>
      </c>
      <c r="E66" s="9" t="str">
        <f>CONCATENATE("(",INDEX(LookUps!$D$5:$D$12,MATCH(CED!$B$1,LookUps!$E$5:$E$12,0)), "/m3 wastewater treated")</f>
        <v>(MJ/m3 wastewater treated</v>
      </c>
    </row>
    <row r="67" spans="2:5" x14ac:dyDescent="0.25">
      <c r="B67" s="58" t="str">
        <f>LookUps!$G$6</f>
        <v>Influent Pump Station; wastewater treatment unit; at updated plant - US</v>
      </c>
      <c r="C67" s="61"/>
      <c r="D67" s="62">
        <f>IF(ISERROR(D14/D$35),"",D14/D$35)</f>
        <v>9.2433394399371899E-2</v>
      </c>
      <c r="E67" s="9" t="str">
        <f>CONCATENATE("(",INDEX(LookUps!$D$5:$D$12,MATCH(CED!$B$1,LookUps!$E$5:$E$12,0)), "/m3 wastewater treated")</f>
        <v>(MJ/m3 wastewater treated</v>
      </c>
    </row>
    <row r="68" spans="2:5" x14ac:dyDescent="0.25">
      <c r="B68" s="58" t="str">
        <f>LookUps!$H$6</f>
        <v>Screening and Grit Removal - US</v>
      </c>
      <c r="C68" s="62">
        <f>IF(ISERROR(C15/C$35),"",C15/C$35)</f>
        <v>1.5964407223239989E-2</v>
      </c>
      <c r="D68" s="61"/>
      <c r="E68" s="9" t="str">
        <f>CONCATENATE("(",INDEX(LookUps!$D$5:$D$12,MATCH(CED!$B$1,LookUps!$E$5:$E$12,0)), "/m3 wastewater treated")</f>
        <v>(MJ/m3 wastewater treated</v>
      </c>
    </row>
    <row r="69" spans="2:5" x14ac:dyDescent="0.25">
      <c r="B69" s="58" t="str">
        <f>LookUps!$G$8</f>
        <v>Clear Cove Primary Clarification; wastewater treatment unit; at updated plant - US</v>
      </c>
      <c r="C69" s="61"/>
      <c r="D69" s="62">
        <f>IF(ISERROR(D16/D$35),"",D16/D$35)</f>
        <v>0.12173671813661345</v>
      </c>
      <c r="E69" s="9" t="str">
        <f>CONCATENATE("(",INDEX(LookUps!$D$5:$D$12,MATCH(CED!$B$1,LookUps!$E$5:$E$12,0)), "/m3 wastewater treated")</f>
        <v>(MJ/m3 wastewater treated</v>
      </c>
    </row>
    <row r="70" spans="2:5" x14ac:dyDescent="0.25">
      <c r="B70" s="58" t="str">
        <f>LookUps!$H$8</f>
        <v>Primary Clarifier; wastewater treatment unit - US</v>
      </c>
      <c r="C70" s="62">
        <f>IF(ISERROR(C17/C$35),"",C17/C$35)</f>
        <v>0.18550955247317458</v>
      </c>
      <c r="D70" s="61"/>
      <c r="E70" s="9" t="str">
        <f>CONCATENATE("(",INDEX(LookUps!$D$5:$D$12,MATCH(CED!$B$1,LookUps!$E$5:$E$12,0)), "/m3 wastewater treated")</f>
        <v>(MJ/m3 wastewater treated</v>
      </c>
    </row>
    <row r="71" spans="2:5" x14ac:dyDescent="0.25">
      <c r="B71" s="58" t="str">
        <f>LookUps!$G$17</f>
        <v>ClearCove SCP; wastewater treatment unit; at updated plant - US</v>
      </c>
      <c r="C71" s="61"/>
      <c r="D71" s="62">
        <f t="shared" ref="D71:D76" si="1">IF(ISERROR(D18/D$35),"",D18/D$35)</f>
        <v>5.3315885893745092E-3</v>
      </c>
      <c r="E71" s="9" t="str">
        <f>CONCATENATE("(",INDEX(LookUps!$D$5:$D$12,MATCH(CED!$B$1,LookUps!$E$5:$E$12,0)), "/m3 wastewater treated")</f>
        <v>(MJ/m3 wastewater treated</v>
      </c>
    </row>
    <row r="72" spans="2:5" x14ac:dyDescent="0.25">
      <c r="B72" s="58" t="str">
        <f>LookUps!$G$7</f>
        <v>Wet Well and Sump Station; wastewater treatment unit; at updated plant - US</v>
      </c>
      <c r="C72" s="61"/>
      <c r="D72" s="62">
        <f t="shared" si="1"/>
        <v>7.2907615807380269E-2</v>
      </c>
      <c r="E72" s="9" t="str">
        <f>CONCATENATE("(",INDEX(LookUps!$D$5:$D$12,MATCH(CED!$B$1,LookUps!$E$5:$E$12,0)), "/m3 wastewater treated")</f>
        <v>(MJ/m3 wastewater treated</v>
      </c>
    </row>
    <row r="73" spans="2:5" x14ac:dyDescent="0.25">
      <c r="B73" s="58" t="str">
        <f>LookUps!$G$13</f>
        <v>Pre-Anoxic &amp; Swing tank; wastewater treatment unit; at updated plant - US</v>
      </c>
      <c r="C73" s="61"/>
      <c r="D73" s="62">
        <f t="shared" si="1"/>
        <v>9.2559015964407229E-2</v>
      </c>
      <c r="E73" s="9" t="str">
        <f>CONCATENATE("(",INDEX(LookUps!$D$5:$D$12,MATCH(CED!$B$1,LookUps!$E$5:$E$12,0)), "/m3 wastewater treated")</f>
        <v>(MJ/m3 wastewater treated</v>
      </c>
    </row>
    <row r="74" spans="2:5" x14ac:dyDescent="0.25">
      <c r="B74" s="58" t="str">
        <f>LookUps!$J$9</f>
        <v>Aeration Tanks; wastewater treatment unit - US</v>
      </c>
      <c r="C74" s="62">
        <f>IF(ISERROR(C21/C$35),"",C21/C$35)</f>
        <v>0.28399057838262232</v>
      </c>
      <c r="D74" s="62">
        <f t="shared" si="1"/>
        <v>0.36985605862339699</v>
      </c>
      <c r="E74" s="9" t="str">
        <f>CONCATENATE("(",INDEX(LookUps!$D$5:$D$12,MATCH(CED!$B$1,LookUps!$E$5:$E$12,0)), "/m3 wastewater treated")</f>
        <v>(MJ/m3 wastewater treated</v>
      </c>
    </row>
    <row r="75" spans="2:5" x14ac:dyDescent="0.25">
      <c r="B75" s="58" t="str">
        <f>LookUps!$G$12</f>
        <v>Waste Receiving and Holding; wastewater treatment unit; at updated plant - US</v>
      </c>
      <c r="C75" s="61"/>
      <c r="D75" s="62">
        <f t="shared" si="1"/>
        <v>0.36621512693012304</v>
      </c>
      <c r="E75" s="9" t="str">
        <f>CONCATENATE("(",INDEX(LookUps!$D$5:$D$12,MATCH(CED!$B$1,LookUps!$E$5:$E$12,0)), "/m3 wastewater treated")</f>
        <v>(MJ/m3 wastewater treated</v>
      </c>
    </row>
    <row r="76" spans="2:5" x14ac:dyDescent="0.25">
      <c r="B76" s="58" t="str">
        <f>LookUps!$G$11</f>
        <v>Gravity Belt Thickener; wastewater treatment unit; at updated plant - US</v>
      </c>
      <c r="C76" s="61"/>
      <c r="D76" s="62">
        <f t="shared" si="1"/>
        <v>3.4968856320334987E-2</v>
      </c>
      <c r="E76" s="9" t="str">
        <f>CONCATENATE("(",INDEX(LookUps!$D$5:$D$12,MATCH(CED!$B$1,LookUps!$E$5:$E$12,0)), "/m3 wastewater treated")</f>
        <v>(MJ/m3 wastewater treated</v>
      </c>
    </row>
    <row r="77" spans="2:5" x14ac:dyDescent="0.25">
      <c r="B77" s="58" t="str">
        <f>LookUps!$H$11</f>
        <v>Sludge Thickener; wastewater treatment unit - US</v>
      </c>
      <c r="C77" s="62">
        <f>IF(ISERROR(C24/C$35),"",C24/C$35)</f>
        <v>2.0800837477100232E-3</v>
      </c>
      <c r="D77" s="61"/>
      <c r="E77" s="9" t="str">
        <f>CONCATENATE("(",INDEX(LookUps!$D$5:$D$12,MATCH(CED!$B$1,LookUps!$E$5:$E$12,0)), "/m3 wastewater treated")</f>
        <v>(MJ/m3 wastewater treated</v>
      </c>
    </row>
    <row r="78" spans="2:5" x14ac:dyDescent="0.25">
      <c r="B78" s="58" t="str">
        <f>LookUps!$G$14</f>
        <v>Blend Tank; wastewater treatment unit; at updated plant - US</v>
      </c>
      <c r="C78" s="61"/>
      <c r="D78" s="62">
        <f>IF(ISERROR(D25/D$35),"",D25/D$35)</f>
        <v>1.1136351740382099E-2</v>
      </c>
      <c r="E78" s="9" t="str">
        <f>CONCATENATE("(",INDEX(LookUps!$D$5:$D$12,MATCH(CED!$B$1,LookUps!$E$5:$E$12,0)), "/m3 wastewater treated")</f>
        <v>(MJ/m3 wastewater treated</v>
      </c>
    </row>
    <row r="79" spans="2:5" x14ac:dyDescent="0.25">
      <c r="B79" s="58" t="str">
        <f>LookUps!$G$19</f>
        <v>Anaerobic Digestion; wastewater treatment unit; at updated plant - US</v>
      </c>
      <c r="C79" s="61"/>
      <c r="D79" s="62">
        <f>IF(ISERROR(D26/D$35),"",D26/D$35)</f>
        <v>-0.20910965715781207</v>
      </c>
      <c r="E79" s="9" t="str">
        <f>CONCATENATE("(",INDEX(LookUps!$D$5:$D$12,MATCH(CED!$B$1,LookUps!$E$5:$E$12,0)), "/m3 wastewater treated")</f>
        <v>(MJ/m3 wastewater treated</v>
      </c>
    </row>
    <row r="80" spans="2:5" x14ac:dyDescent="0.25">
      <c r="B80" s="58" t="str">
        <f>LookUps!$H$19</f>
        <v>Aerobic Digester; wastewater treatment unit - US</v>
      </c>
      <c r="C80" s="62">
        <f>IF(ISERROR(C27/C$35),"",C27/C$35)</f>
        <v>0.2846343889034284</v>
      </c>
      <c r="D80" s="61"/>
      <c r="E80" s="9" t="str">
        <f>CONCATENATE("(",INDEX(LookUps!$D$5:$D$12,MATCH(CED!$B$1,LookUps!$E$5:$E$12,0)), "/m3 wastewater treated")</f>
        <v>(MJ/m3 wastewater treated</v>
      </c>
    </row>
    <row r="81" spans="1:5" x14ac:dyDescent="0.25">
      <c r="B81" s="58" t="str">
        <f>LookUps!$J$15</f>
        <v>Belt filter press; wastewater treatment unit - US</v>
      </c>
      <c r="C81" s="62">
        <f>IF(ISERROR(C28/C$35),"",C28/C$35)</f>
        <v>1.69578644333944E-2</v>
      </c>
      <c r="D81" s="62">
        <f>IF(ISERROR(D28/D$35),"",D28/D$35)</f>
        <v>3.0184768385239463E-2</v>
      </c>
      <c r="E81" s="9" t="str">
        <f>CONCATENATE("(",INDEX(LookUps!$D$5:$D$12,MATCH(CED!$B$1,LookUps!$E$5:$E$12,0)), "/m3 wastewater treated")</f>
        <v>(MJ/m3 wastewater treated</v>
      </c>
    </row>
    <row r="82" spans="1:5" x14ac:dyDescent="0.25">
      <c r="B82"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82" s="61"/>
      <c r="D82" s="62">
        <f>IF(ISERROR(D29/D$35),"",D29/D$35)</f>
        <v>2.1617377649829888E-3</v>
      </c>
      <c r="E82" s="9" t="str">
        <f>CONCATENATE("(",INDEX(LookUps!$D$5:$D$12,MATCH(CED!$B$1,LookUps!$E$5:$E$12,0)), "/m3 wastewater treated")</f>
        <v>(MJ/m3 wastewater treated</v>
      </c>
    </row>
    <row r="83" spans="1:5" x14ac:dyDescent="0.25">
      <c r="B83" s="58" t="str">
        <f>LookUps!$G$18</f>
        <v>Land application of compost; wastewater treatment unit; at updated plant - US</v>
      </c>
      <c r="C83" s="61"/>
      <c r="D83" s="62">
        <f>IF(ISERROR(D30/D$35),"",D30/D$35)</f>
        <v>-4.6415074587804236E-2</v>
      </c>
      <c r="E83" s="9" t="str">
        <f>CONCATENATE("(",INDEX(LookUps!$D$5:$D$12,MATCH(CED!$B$1,LookUps!$E$5:$E$12,0)), "/m3 wastewater treated")</f>
        <v>(MJ/m3 wastewater treated</v>
      </c>
    </row>
    <row r="84" spans="1:5" x14ac:dyDescent="0.25">
      <c r="B84" s="58" t="str">
        <f>LookUps!$H$18</f>
        <v>Sludge Disposal; wastewater treatment unit - US</v>
      </c>
      <c r="C84" s="62">
        <f>IF(ISERROR(C31/C$35),"",C31/C$35)</f>
        <v>3.6458518712378957E-2</v>
      </c>
      <c r="D84" s="59"/>
      <c r="E84" s="9" t="str">
        <f>CONCATENATE("(",INDEX(LookUps!$D$5:$D$12,MATCH(CED!$B$1,LookUps!$E$5:$E$12,0)), "/m3 wastewater treated")</f>
        <v>(MJ/m3 wastewater treated</v>
      </c>
    </row>
    <row r="85" spans="1:5" x14ac:dyDescent="0.25">
      <c r="B85" s="58" t="str">
        <f>LookUps!$G$20</f>
        <v>Effluent release; wastewater treatment unit; at surface water; m3 wastewater - US</v>
      </c>
      <c r="C85" s="62">
        <f>IF(ISERROR(C32/C$35),"",C32/C$35)</f>
        <v>3.6325569222716566E-4</v>
      </c>
      <c r="D85" s="62">
        <f>IF(ISERROR(D32/D$35),"",D32/D$35)</f>
        <v>1.3945040565297042E-2</v>
      </c>
      <c r="E85" s="9" t="str">
        <f>CONCATENATE("(",INDEX(LookUps!$D$5:$D$12,MATCH(CED!$B$1,LookUps!$E$5:$E$12,0)), "/m3 wastewater treated")</f>
        <v>(MJ/m3 wastewater treated</v>
      </c>
    </row>
    <row r="86" spans="1:5" x14ac:dyDescent="0.25">
      <c r="B86" s="58" t="str">
        <f>LookUps!$J$10</f>
        <v>Control Building; at wastewater treatment plant - US</v>
      </c>
      <c r="C86" s="62">
        <f>IF(ISERROR(C33/C$35),"",C33/C$35)</f>
        <v>9.7173514786705051E-2</v>
      </c>
      <c r="D86" s="62">
        <f>IF(ISERROR(D33/D$35),"",D33/D$35)</f>
        <v>1.528291023292332E-2</v>
      </c>
      <c r="E86" s="9" t="str">
        <f>CONCATENATE("(",INDEX(LookUps!$D$5:$D$12,MATCH(CED!$B$1,LookUps!$E$5:$E$12,0)), "/m3 wastewater treated")</f>
        <v>(MJ/m3 wastewater treated</v>
      </c>
    </row>
    <row r="87" spans="1:5" x14ac:dyDescent="0.25"/>
    <row r="88" spans="1:5" x14ac:dyDescent="0.25"/>
    <row r="89" spans="1:5" x14ac:dyDescent="0.25">
      <c r="B89" s="1" t="s">
        <v>70</v>
      </c>
    </row>
    <row r="90" spans="1:5" x14ac:dyDescent="0.25"/>
    <row r="91" spans="1:5" x14ac:dyDescent="0.25">
      <c r="A91" s="16" t="s">
        <v>67</v>
      </c>
      <c r="B91" s="56" t="s">
        <v>47</v>
      </c>
      <c r="C91" s="1" t="s">
        <v>45</v>
      </c>
      <c r="D91" s="1" t="s">
        <v>46</v>
      </c>
      <c r="E91" s="10" t="s">
        <v>27</v>
      </c>
    </row>
    <row r="92" spans="1:5" x14ac:dyDescent="0.25">
      <c r="A92" s="18" t="str">
        <f>GWP!A92</f>
        <v>Preliminary/Primary</v>
      </c>
      <c r="B92" s="57" t="str">
        <f>LookUps!$G$5</f>
        <v>Wastewater collection; operation and infrastructure; m3 wastewater</v>
      </c>
      <c r="C92" s="15">
        <f>C13</f>
        <v>0.25606000000000001</v>
      </c>
      <c r="D92" s="15">
        <f>D13</f>
        <v>0.25606000000000001</v>
      </c>
      <c r="E92" s="9" t="str">
        <f>CONCATENATE("(",INDEX(LookUps!$D$5:$D$12,MATCH(CED!$B$1,LookUps!$E$5:$E$12,0)), "/m3 wastewater treated")</f>
        <v>(MJ/m3 wastewater treated</v>
      </c>
    </row>
    <row r="93" spans="1:5" x14ac:dyDescent="0.25">
      <c r="A93" s="18" t="str">
        <f>GWP!A93</f>
        <v>Preliminary/Primary</v>
      </c>
      <c r="B93" s="58" t="str">
        <f>LookUps!$G$6</f>
        <v>Influent Pump Station; wastewater treatment unit; at updated plant - US</v>
      </c>
      <c r="C93" s="258"/>
      <c r="D93" s="15">
        <f>D14</f>
        <v>0.88297000000000003</v>
      </c>
      <c r="E93" s="9" t="str">
        <f>CONCATENATE("(",INDEX(LookUps!$D$5:$D$12,MATCH(CED!$B$1,LookUps!$E$5:$E$12,0)), "/m3 wastewater treated")</f>
        <v>(MJ/m3 wastewater treated</v>
      </c>
    </row>
    <row r="94" spans="1:5" x14ac:dyDescent="0.25">
      <c r="A94" s="18" t="str">
        <f>GWP!A94</f>
        <v>Preliminary/Primary</v>
      </c>
      <c r="B94" s="58" t="str">
        <f>LookUps!$H$6</f>
        <v>Screening and Grit Removal - US</v>
      </c>
      <c r="C94" s="15">
        <f>C15</f>
        <v>0.1525</v>
      </c>
      <c r="D94" s="258"/>
      <c r="E94" s="9" t="str">
        <f>CONCATENATE("(",INDEX(LookUps!$D$5:$D$12,MATCH(CED!$B$1,LookUps!$E$5:$E$12,0)), "/m3 wastewater treated")</f>
        <v>(MJ/m3 wastewater treated</v>
      </c>
    </row>
    <row r="95" spans="1:5" x14ac:dyDescent="0.25">
      <c r="A95" s="18" t="str">
        <f>GWP!A95</f>
        <v>Preliminary/Primary</v>
      </c>
      <c r="B95" s="58" t="str">
        <f>LookUps!$G$8</f>
        <v>Clear Cove Primary Clarification; wastewater treatment unit; at updated plant - US</v>
      </c>
      <c r="C95" s="258"/>
      <c r="D95" s="47">
        <f>D16</f>
        <v>1.16289</v>
      </c>
      <c r="E95" s="9" t="str">
        <f>CONCATENATE("(",INDEX(LookUps!$D$5:$D$12,MATCH(CED!$B$1,LookUps!$E$5:$E$12,0)), "/m3 wastewater treated")</f>
        <v>(MJ/m3 wastewater treated</v>
      </c>
    </row>
    <row r="96" spans="1:5" x14ac:dyDescent="0.25">
      <c r="A96" s="18" t="str">
        <f>GWP!A96</f>
        <v>Preliminary/Primary</v>
      </c>
      <c r="B96" s="58" t="str">
        <f>LookUps!$H$8</f>
        <v>Primary Clarifier; wastewater treatment unit - US</v>
      </c>
      <c r="C96" s="47">
        <f>C17</f>
        <v>1.7720800000000001</v>
      </c>
      <c r="D96" s="258"/>
      <c r="E96" s="9" t="str">
        <f>CONCATENATE("(",INDEX(LookUps!$D$5:$D$12,MATCH(CED!$B$1,LookUps!$E$5:$E$12,0)), "/m3 wastewater treated")</f>
        <v>(MJ/m3 wastewater treated</v>
      </c>
    </row>
    <row r="97" spans="1:5" x14ac:dyDescent="0.25">
      <c r="A97" s="18" t="str">
        <f>GWP!A97</f>
        <v>Sludge Handling and Treatment</v>
      </c>
      <c r="B97" s="58" t="str">
        <f>LookUps!$G$17</f>
        <v>ClearCove SCP; wastewater treatment unit; at updated plant - US</v>
      </c>
      <c r="C97" s="258"/>
      <c r="D97" s="15">
        <f t="shared" ref="D97:D102" si="2">D18</f>
        <v>5.0930000000000003E-2</v>
      </c>
      <c r="E97" s="9" t="str">
        <f>CONCATENATE("(",INDEX(LookUps!$D$5:$D$12,MATCH(CED!$B$1,LookUps!$E$5:$E$12,0)), "/m3 wastewater treated")</f>
        <v>(MJ/m3 wastewater treated</v>
      </c>
    </row>
    <row r="98" spans="1:5" x14ac:dyDescent="0.25">
      <c r="A98" s="18" t="str">
        <f>GWP!A98</f>
        <v>Preliminary/Primary</v>
      </c>
      <c r="B98" s="58" t="str">
        <f>LookUps!$G$7</f>
        <v>Wet Well and Sump Station; wastewater treatment unit; at updated plant - US</v>
      </c>
      <c r="C98" s="258"/>
      <c r="D98" s="15">
        <f t="shared" si="2"/>
        <v>0.69645000000000001</v>
      </c>
      <c r="E98" s="9" t="str">
        <f>CONCATENATE("(",INDEX(LookUps!$D$5:$D$12,MATCH(CED!$B$1,LookUps!$E$5:$E$12,0)), "/m3 wastewater treated")</f>
        <v>(MJ/m3 wastewater treated</v>
      </c>
    </row>
    <row r="99" spans="1:5" x14ac:dyDescent="0.25">
      <c r="A99" s="18" t="str">
        <f>GWP!A99</f>
        <v>Biological Treatment</v>
      </c>
      <c r="B99" s="58" t="str">
        <f>LookUps!$G$13</f>
        <v>Pre-Anoxic &amp; Swing tank; wastewater treatment unit; at updated plant - US</v>
      </c>
      <c r="C99" s="258"/>
      <c r="D99" s="15">
        <f t="shared" si="2"/>
        <v>0.88417000000000001</v>
      </c>
      <c r="E99" s="9" t="str">
        <f>CONCATENATE("(",INDEX(LookUps!$D$5:$D$12,MATCH(CED!$B$1,LookUps!$E$5:$E$12,0)), "/m3 wastewater treated")</f>
        <v>(MJ/m3 wastewater treated</v>
      </c>
    </row>
    <row r="100" spans="1:5" x14ac:dyDescent="0.25">
      <c r="A100" s="18" t="str">
        <f>GWP!A100</f>
        <v>Biological Treatment</v>
      </c>
      <c r="B100" s="58" t="str">
        <f>LookUps!$J$9</f>
        <v>Aeration Tanks; wastewater treatment unit - US</v>
      </c>
      <c r="C100" s="47">
        <f>C21</f>
        <v>2.7128199999999998</v>
      </c>
      <c r="D100" s="47">
        <f t="shared" si="2"/>
        <v>3.5330499999999998</v>
      </c>
      <c r="E100" s="9" t="str">
        <f>CONCATENATE("(",INDEX(LookUps!$D$5:$D$12,MATCH(CED!$B$1,LookUps!$E$5:$E$12,0)), "/m3 wastewater treated")</f>
        <v>(MJ/m3 wastewater treated</v>
      </c>
    </row>
    <row r="101" spans="1:5" x14ac:dyDescent="0.25">
      <c r="A101" s="18" t="str">
        <f>GWP!A101</f>
        <v>Sludge Handling and Treatment</v>
      </c>
      <c r="B101" s="58" t="str">
        <f>LookUps!$G$12</f>
        <v>Waste Receiving and Holding; wastewater treatment unit; at updated plant - US</v>
      </c>
      <c r="C101" s="258"/>
      <c r="D101" s="47">
        <f t="shared" si="2"/>
        <v>3.4982700000000002</v>
      </c>
      <c r="E101" s="9" t="str">
        <f>CONCATENATE("(",INDEX(LookUps!$D$5:$D$12,MATCH(CED!$B$1,LookUps!$E$5:$E$12,0)), "/m3 wastewater treated")</f>
        <v>(MJ/m3 wastewater treated</v>
      </c>
    </row>
    <row r="102" spans="1:5" x14ac:dyDescent="0.25">
      <c r="A102" s="18" t="str">
        <f>GWP!A102</f>
        <v>Sludge Handling and Treatment</v>
      </c>
      <c r="B102" s="58" t="str">
        <f>LookUps!$G$11</f>
        <v>Gravity Belt Thickener; wastewater treatment unit; at updated plant - US</v>
      </c>
      <c r="C102" s="258"/>
      <c r="D102" s="15">
        <f t="shared" si="2"/>
        <v>0.33404</v>
      </c>
      <c r="E102" s="9" t="str">
        <f>CONCATENATE("(",INDEX(LookUps!$D$5:$D$12,MATCH(CED!$B$1,LookUps!$E$5:$E$12,0)), "/m3 wastewater treated")</f>
        <v>(MJ/m3 wastewater treated</v>
      </c>
    </row>
    <row r="103" spans="1:5" x14ac:dyDescent="0.25">
      <c r="A103" s="18" t="str">
        <f>GWP!A103</f>
        <v>Sludge Handling and Treatment</v>
      </c>
      <c r="B103" s="58" t="str">
        <f>LookUps!$H$11</f>
        <v>Sludge Thickener; wastewater treatment unit - US</v>
      </c>
      <c r="C103" s="15">
        <f>C24</f>
        <v>1.9869999999999999E-2</v>
      </c>
      <c r="D103" s="258"/>
      <c r="E103" s="9" t="str">
        <f>CONCATENATE("(",INDEX(LookUps!$D$5:$D$12,MATCH(CED!$B$1,LookUps!$E$5:$E$12,0)), "/m3 wastewater treated")</f>
        <v>(MJ/m3 wastewater treated</v>
      </c>
    </row>
    <row r="104" spans="1:5" x14ac:dyDescent="0.25">
      <c r="A104" s="18" t="str">
        <f>GWP!A104</f>
        <v>Sludge Handling and Treatment</v>
      </c>
      <c r="B104" s="58" t="str">
        <f>LookUps!$G$14</f>
        <v>Blend Tank; wastewater treatment unit; at updated plant - US</v>
      </c>
      <c r="C104" s="258"/>
      <c r="D104" s="15">
        <f>D25</f>
        <v>0.10638</v>
      </c>
      <c r="E104" s="9" t="str">
        <f>CONCATENATE("(",INDEX(LookUps!$D$5:$D$12,MATCH(CED!$B$1,LookUps!$E$5:$E$12,0)), "/m3 wastewater treated")</f>
        <v>(MJ/m3 wastewater treated</v>
      </c>
    </row>
    <row r="105" spans="1:5" x14ac:dyDescent="0.25">
      <c r="A105" s="18" t="str">
        <f>GWP!A105</f>
        <v>Sludge Handling and Treatment</v>
      </c>
      <c r="B105" s="58" t="str">
        <f>LookUps!$G$19</f>
        <v>Anaerobic Digestion; wastewater treatment unit; at updated plant - US</v>
      </c>
      <c r="C105" s="258"/>
      <c r="D105" s="47">
        <f>D26</f>
        <v>-1.99752</v>
      </c>
      <c r="E105" s="9" t="str">
        <f>CONCATENATE("(",INDEX(LookUps!$D$5:$D$12,MATCH(CED!$B$1,LookUps!$E$5:$E$12,0)), "/m3 wastewater treated")</f>
        <v>(MJ/m3 wastewater treated</v>
      </c>
    </row>
    <row r="106" spans="1:5" x14ac:dyDescent="0.25">
      <c r="A106" s="18" t="str">
        <f>GWP!A106</f>
        <v>Sludge Handling and Treatment</v>
      </c>
      <c r="B106" s="58" t="str">
        <f>LookUps!$H$19</f>
        <v>Aerobic Digester; wastewater treatment unit - US</v>
      </c>
      <c r="C106" s="47">
        <f>C27</f>
        <v>2.7189700000000001</v>
      </c>
      <c r="D106" s="258"/>
      <c r="E106" s="9" t="str">
        <f>CONCATENATE("(",INDEX(LookUps!$D$5:$D$12,MATCH(CED!$B$1,LookUps!$E$5:$E$12,0)), "/m3 wastewater treated")</f>
        <v>(MJ/m3 wastewater treated</v>
      </c>
    </row>
    <row r="107" spans="1:5" x14ac:dyDescent="0.25">
      <c r="A107" s="18" t="str">
        <f>GWP!A107</f>
        <v>Sludge Handling and Treatment</v>
      </c>
      <c r="B107" s="58" t="str">
        <f>LookUps!$J$15</f>
        <v>Belt filter press; wastewater treatment unit - US</v>
      </c>
      <c r="C107" s="15">
        <f>C28</f>
        <v>0.16199</v>
      </c>
      <c r="D107" s="15">
        <f>D28</f>
        <v>0.28833999999999999</v>
      </c>
      <c r="E107" s="9" t="str">
        <f>CONCATENATE("(",INDEX(LookUps!$D$5:$D$12,MATCH(CED!$B$1,LookUps!$E$5:$E$12,0)), "/m3 wastewater treated")</f>
        <v>(MJ/m3 wastewater treated</v>
      </c>
    </row>
    <row r="108" spans="1:5" x14ac:dyDescent="0.25">
      <c r="A108" s="18" t="str">
        <f>GWP!A108</f>
        <v>Sludge Handling and Treatment</v>
      </c>
      <c r="B108"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108" s="258"/>
      <c r="D108" s="15">
        <f>D29</f>
        <v>2.0650000000000002E-2</v>
      </c>
      <c r="E108" s="9" t="str">
        <f>CONCATENATE("(",INDEX(LookUps!$D$5:$D$12,MATCH(CED!$B$1,LookUps!$E$5:$E$12,0)), "/m3 wastewater treated")</f>
        <v>(MJ/m3 wastewater treated</v>
      </c>
    </row>
    <row r="109" spans="1:5" x14ac:dyDescent="0.25">
      <c r="A109" s="18" t="str">
        <f>GWP!A109</f>
        <v>Sludge Disposal</v>
      </c>
      <c r="B109" s="58" t="str">
        <f>LookUps!$G$18</f>
        <v>Land application of compost; wastewater treatment unit; at updated plant - US</v>
      </c>
      <c r="C109" s="258"/>
      <c r="D109" s="15">
        <f>D30</f>
        <v>-0.44338</v>
      </c>
      <c r="E109" s="9" t="str">
        <f>CONCATENATE("(",INDEX(LookUps!$D$5:$D$12,MATCH(CED!$B$1,LookUps!$E$5:$E$12,0)), "/m3 wastewater treated")</f>
        <v>(MJ/m3 wastewater treated</v>
      </c>
    </row>
    <row r="110" spans="1:5" x14ac:dyDescent="0.25">
      <c r="A110" s="18" t="str">
        <f>GWP!A110</f>
        <v>Sludge Disposal</v>
      </c>
      <c r="B110" s="58" t="str">
        <f>LookUps!$H$18</f>
        <v>Sludge Disposal; wastewater treatment unit - US</v>
      </c>
      <c r="C110" s="15">
        <f>C31</f>
        <v>0.34827000000000002</v>
      </c>
      <c r="D110" s="258"/>
    </row>
    <row r="111" spans="1:5" x14ac:dyDescent="0.25">
      <c r="A111" s="18" t="str">
        <f>GWP!A111</f>
        <v>Effluent Release</v>
      </c>
      <c r="B111" s="58" t="str">
        <f>LookUps!$G$20</f>
        <v>Effluent release; wastewater treatment unit; at surface water; m3 wastewater - US</v>
      </c>
      <c r="C111" s="260">
        <f>C32</f>
        <v>3.47E-3</v>
      </c>
      <c r="D111" s="15">
        <f>D32</f>
        <v>0.13321</v>
      </c>
      <c r="E111" s="9" t="str">
        <f>CONCATENATE("(",INDEX(LookUps!$D$5:$D$12,MATCH(CED!$B$1,LookUps!$E$5:$E$12,0)), "/m3 wastewater treated")</f>
        <v>(MJ/m3 wastewater treated</v>
      </c>
    </row>
    <row r="112" spans="1:5" x14ac:dyDescent="0.25">
      <c r="A112" s="18" t="str">
        <f>GWP!A112</f>
        <v>Facilities</v>
      </c>
      <c r="B112" s="58" t="str">
        <f>LookUps!$J$10</f>
        <v>Control Building; at wastewater treatment plant - US</v>
      </c>
      <c r="C112" s="15">
        <f>C33</f>
        <v>0.92825000000000002</v>
      </c>
      <c r="D112" s="15">
        <f>D33</f>
        <v>0.14599000000000001</v>
      </c>
      <c r="E112" s="9" t="str">
        <f>CONCATENATE("(",INDEX(LookUps!$D$5:$D$12,MATCH(CED!$B$1,LookUps!$E$5:$E$12,0)), "/m3 wastewater treated")</f>
        <v>(MJ/m3 wastewater treated</v>
      </c>
    </row>
    <row r="113" spans="1:8" x14ac:dyDescent="0.25">
      <c r="B113" s="11" t="s">
        <v>34</v>
      </c>
      <c r="C113" s="32">
        <f>SUM(C92:C112)</f>
        <v>9.0742800000000017</v>
      </c>
      <c r="D113" s="291">
        <f>SUM(D92:D112)</f>
        <v>9.5525000000000002</v>
      </c>
    </row>
    <row r="114" spans="1:8" ht="13.5" customHeight="1" x14ac:dyDescent="0.25">
      <c r="C114" s="285"/>
      <c r="D114" s="285"/>
    </row>
    <row r="115" spans="1:8" x14ac:dyDescent="0.25">
      <c r="A115" s="18"/>
      <c r="B115" s="11"/>
      <c r="C115" s="286"/>
      <c r="D115" s="286"/>
      <c r="F115" s="19"/>
    </row>
    <row r="116" spans="1:8" x14ac:dyDescent="0.25">
      <c r="A116" s="18"/>
      <c r="B116" s="11"/>
      <c r="C116" s="286"/>
      <c r="D116" s="286"/>
      <c r="F116" s="19"/>
    </row>
    <row r="117" spans="1:8" x14ac:dyDescent="0.25">
      <c r="A117" s="20"/>
      <c r="B117" s="20"/>
      <c r="C117" s="285"/>
      <c r="D117" s="285"/>
      <c r="F117" s="19"/>
    </row>
    <row r="118" spans="1:8" x14ac:dyDescent="0.25">
      <c r="A118" s="342" t="s">
        <v>50</v>
      </c>
      <c r="B118" s="17" t="s">
        <v>47</v>
      </c>
      <c r="C118" s="1" t="s">
        <v>45</v>
      </c>
      <c r="D118" s="1" t="s">
        <v>46</v>
      </c>
      <c r="F118" s="19"/>
    </row>
    <row r="119" spans="1:8" x14ac:dyDescent="0.25">
      <c r="A119" s="342"/>
      <c r="B119" s="21" t="s">
        <v>64</v>
      </c>
      <c r="C119" s="292">
        <f t="shared" ref="C119:C124" si="3">SUMIF($A$92:$A$112,$B119,$C$92:$C$112)</f>
        <v>2.1806400000000004</v>
      </c>
      <c r="D119" s="292">
        <f t="shared" ref="D119:D124" si="4">SUMIF($A$92:$A$112,$B119,$D$92:$D$112)</f>
        <v>2.99837</v>
      </c>
      <c r="F119" s="19"/>
    </row>
    <row r="120" spans="1:8" x14ac:dyDescent="0.25">
      <c r="A120" s="342"/>
      <c r="B120" s="21" t="s">
        <v>49</v>
      </c>
      <c r="C120" s="292">
        <f t="shared" si="3"/>
        <v>2.7128199999999998</v>
      </c>
      <c r="D120" s="292">
        <f t="shared" si="4"/>
        <v>4.4172199999999995</v>
      </c>
      <c r="F120" s="19"/>
    </row>
    <row r="121" spans="1:8" x14ac:dyDescent="0.25">
      <c r="A121" s="342"/>
      <c r="B121" s="21" t="s">
        <v>119</v>
      </c>
      <c r="C121" s="287">
        <f t="shared" si="3"/>
        <v>0.92825000000000002</v>
      </c>
      <c r="D121" s="287">
        <f t="shared" si="4"/>
        <v>0.14599000000000001</v>
      </c>
      <c r="F121" s="19"/>
    </row>
    <row r="122" spans="1:8" x14ac:dyDescent="0.25">
      <c r="A122" s="342"/>
      <c r="B122" s="21" t="s">
        <v>66</v>
      </c>
      <c r="C122" s="292">
        <f t="shared" si="3"/>
        <v>2.90083</v>
      </c>
      <c r="D122" s="292">
        <f t="shared" si="4"/>
        <v>2.3010900000000003</v>
      </c>
      <c r="F122" s="19"/>
    </row>
    <row r="123" spans="1:8" x14ac:dyDescent="0.25">
      <c r="A123" s="342"/>
      <c r="B123" s="11" t="str">
        <f>LookUps!I18</f>
        <v>Sludge Disposal</v>
      </c>
      <c r="C123" s="287">
        <f t="shared" si="3"/>
        <v>0.34827000000000002</v>
      </c>
      <c r="D123" s="287">
        <f t="shared" si="4"/>
        <v>-0.44338</v>
      </c>
      <c r="F123" s="19"/>
    </row>
    <row r="124" spans="1:8" x14ac:dyDescent="0.25">
      <c r="A124" s="342"/>
      <c r="B124" s="21" t="s">
        <v>33</v>
      </c>
      <c r="C124" s="288">
        <f t="shared" si="3"/>
        <v>3.47E-3</v>
      </c>
      <c r="D124" s="287">
        <f t="shared" si="4"/>
        <v>0.13321</v>
      </c>
      <c r="F124" s="19"/>
    </row>
    <row r="125" spans="1:8" x14ac:dyDescent="0.25">
      <c r="B125" s="14" t="s">
        <v>34</v>
      </c>
      <c r="C125" s="293">
        <f>SUM(C119:C124)</f>
        <v>9.0742799999999999</v>
      </c>
      <c r="D125" s="294">
        <f>SUM(D119:D124)</f>
        <v>9.552500000000002</v>
      </c>
      <c r="F125" s="19"/>
    </row>
    <row r="126" spans="1:8" x14ac:dyDescent="0.25"/>
    <row r="127" spans="1:8" x14ac:dyDescent="0.25">
      <c r="C127" s="12"/>
      <c r="D127" s="12"/>
    </row>
    <row r="128" spans="1:8" x14ac:dyDescent="0.25">
      <c r="H128"/>
    </row>
    <row r="129" spans="8:8" x14ac:dyDescent="0.25">
      <c r="H129"/>
    </row>
    <row r="130" spans="8:8" x14ac:dyDescent="0.25">
      <c r="H130"/>
    </row>
    <row r="131" spans="8:8" hidden="1" x14ac:dyDescent="0.25">
      <c r="H131"/>
    </row>
    <row r="132" spans="8:8" hidden="1" x14ac:dyDescent="0.25">
      <c r="H132"/>
    </row>
    <row r="133" spans="8:8" hidden="1" x14ac:dyDescent="0.25">
      <c r="H133"/>
    </row>
    <row r="134" spans="8:8" hidden="1" x14ac:dyDescent="0.25">
      <c r="H134"/>
    </row>
    <row r="135" spans="8:8" hidden="1" x14ac:dyDescent="0.25">
      <c r="H135"/>
    </row>
    <row r="136" spans="8:8" hidden="1" x14ac:dyDescent="0.25">
      <c r="H136"/>
    </row>
    <row r="137" spans="8:8" hidden="1" x14ac:dyDescent="0.25">
      <c r="H137"/>
    </row>
    <row r="138" spans="8:8" hidden="1" x14ac:dyDescent="0.25">
      <c r="H138"/>
    </row>
    <row r="139" spans="8:8" hidden="1" x14ac:dyDescent="0.25">
      <c r="H139"/>
    </row>
    <row r="140" spans="8:8" hidden="1" x14ac:dyDescent="0.25">
      <c r="H140"/>
    </row>
    <row r="141" spans="8:8" hidden="1" x14ac:dyDescent="0.25">
      <c r="H141"/>
    </row>
    <row r="142" spans="8:8" hidden="1" x14ac:dyDescent="0.25">
      <c r="H142"/>
    </row>
    <row r="143" spans="8:8" hidden="1" x14ac:dyDescent="0.25">
      <c r="H143"/>
    </row>
  </sheetData>
  <mergeCells count="1">
    <mergeCell ref="A118:A124"/>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9"/>
  <sheetViews>
    <sheetView zoomScale="60" zoomScaleNormal="60" workbookViewId="0">
      <selection activeCell="J43" sqref="J43"/>
    </sheetView>
  </sheetViews>
  <sheetFormatPr defaultColWidth="0" defaultRowHeight="15.75" zeroHeight="1" x14ac:dyDescent="0.25"/>
  <cols>
    <col min="1" max="1" width="27.875" style="9" bestFit="1" customWidth="1"/>
    <col min="2" max="2" width="95.625" style="9" bestFit="1" customWidth="1"/>
    <col min="3" max="4" width="12.125" style="9" customWidth="1"/>
    <col min="5" max="25" width="9" style="9" customWidth="1"/>
    <col min="26" max="16384" width="9" style="9" hidden="1"/>
  </cols>
  <sheetData>
    <row r="1" spans="1:9" ht="21" x14ac:dyDescent="0.35">
      <c r="A1" s="8"/>
      <c r="B1" s="23" t="str">
        <f>LookUps!E9</f>
        <v>Acidification Potential (AP) - kg SO2 eq</v>
      </c>
    </row>
    <row r="2" spans="1:9" x14ac:dyDescent="0.25">
      <c r="A2" s="24" t="str">
        <f>CONCATENATE("LCIA Results File for ", INDEX(LookUps!$B$5:$B$12,MATCH(AP!$B$1,LookUps!$E$5:$E$12,0)), " units are in ", INDEX(LookUps!$D$5:$D$12, MATCH(AP!$B$1,LookUps!$E$5:$E$12,0)))</f>
        <v>LCIA Results File for Acidification Potential units are in kg SO2 eq</v>
      </c>
      <c r="B2" s="1"/>
    </row>
    <row r="3" spans="1:9" x14ac:dyDescent="0.25">
      <c r="A3" s="24"/>
      <c r="B3" s="1"/>
    </row>
    <row r="4" spans="1:9" x14ac:dyDescent="0.25">
      <c r="A4" s="125" t="s">
        <v>505</v>
      </c>
      <c r="B4" s="1"/>
    </row>
    <row r="5" spans="1:9" s="124" customFormat="1" x14ac:dyDescent="0.25">
      <c r="A5" s="127" t="s">
        <v>211</v>
      </c>
      <c r="B5" s="129" t="str">
        <f>GWP!$B$5</f>
        <v>Base</v>
      </c>
    </row>
    <row r="6" spans="1:9" s="124" customFormat="1" x14ac:dyDescent="0.25">
      <c r="A6" s="128" t="s">
        <v>212</v>
      </c>
      <c r="B6" s="129" t="str">
        <f>GWP!$B$6</f>
        <v>Base</v>
      </c>
    </row>
    <row r="7" spans="1:9" ht="15" customHeight="1" x14ac:dyDescent="0.25">
      <c r="A7" s="66" t="s">
        <v>421</v>
      </c>
      <c r="B7" s="129" t="str">
        <f>GWP!$B$7</f>
        <v>Base_With Amendment</v>
      </c>
    </row>
    <row r="8" spans="1:9" ht="17.25" customHeight="1" x14ac:dyDescent="0.25">
      <c r="A8" s="66" t="s">
        <v>426</v>
      </c>
      <c r="B8" s="129" t="str">
        <f>GWP!$B$8</f>
        <v>Bath Landfill</v>
      </c>
    </row>
    <row r="9" spans="1:9" ht="17.25" customHeight="1" x14ac:dyDescent="0.25">
      <c r="A9" s="66" t="s">
        <v>429</v>
      </c>
      <c r="B9" s="129" t="str">
        <f>GWP!$B$9</f>
        <v>Windrow</v>
      </c>
    </row>
    <row r="10" spans="1:9" x14ac:dyDescent="0.25">
      <c r="A10" s="126" t="s">
        <v>213</v>
      </c>
      <c r="B10" s="1"/>
    </row>
    <row r="11" spans="1:9" x14ac:dyDescent="0.25">
      <c r="A11" s="123"/>
      <c r="B11" s="1"/>
      <c r="I11" s="130" t="str">
        <f>CONCATENATE("Figure is presenting results for the ", GWP!$B$5, " Feedstock-AD scenario and the ", GWP!$B$6, " GHG emissions scenario")</f>
        <v>Figure is presenting results for the Base Feedstock-AD scenario and the Base GHG emissions scenario</v>
      </c>
    </row>
    <row r="12" spans="1:9" x14ac:dyDescent="0.25">
      <c r="B12" s="56" t="s">
        <v>47</v>
      </c>
      <c r="C12" s="1" t="s">
        <v>45</v>
      </c>
      <c r="D12" s="1" t="s">
        <v>46</v>
      </c>
      <c r="E12" s="10" t="s">
        <v>27</v>
      </c>
    </row>
    <row r="13" spans="1:9" x14ac:dyDescent="0.25">
      <c r="B13" s="57" t="str">
        <f>LookUps!$G$5</f>
        <v>Wastewater collection; operation and infrastructure; m3 wastewater</v>
      </c>
      <c r="C13" s="260">
        <f>IF(C$12="Legacy",
SUMIFS(OpenLCAbasic!$J:$J,OpenLCAbasic!$D:$D, "Base", OpenLCAbasic!$F:$F,C$12,OpenLCAbasic!$L:$L,$B$1,OpenLCAbasic!$I:$I,$B13, OpenLCAbasic!$C:$C, $B$8),
IF(AND(NOT(ISERROR(MATCH($B13, LookUps!$J$5:$J$20,0))), C$12="Upgraded"),
SUMIFS(OpenLCAbasic!$J:$J,OpenLCAbasic!$D:$D, GWP!$B$5, OpenLCAbasic!$F:$F,C$12,OpenLCAbasic!$L:$L,$B$1,OpenLCAbasic!$I:$I,INDEX(LookUps!$G$5:$G$20,MATCH($B13, LookUps!$J$5:$J$20,0))),
SUMIFS(OpenLCAbasic!$J:$J,OpenLCAbasic!$D:$D, GWP!$B$5, OpenLCAbasic!$F:$F,C$12,OpenLCAbasic!$L:$L,$B$1,OpenLCAbasic!$I:$I,$B13)))</f>
        <v>1.23E-3</v>
      </c>
      <c r="D13" s="260">
        <f>IF(AND(NOT(ISERROR(MATCH($B13, LookUps!$J$5:$J$20,0))), D$12="Upgraded"),
SUMIFS(OpenLCAbasic!$J:$J,OpenLCAbasic!$E:$E, "Base", OpenLCAbasic!$D:$D, GWP!$B$5, OpenLCAbasic!$F:$F,D$12,OpenLCAbasic!$L:$L,$B$1,OpenLCAbasic!$C:$C,$B$7,OpenLCAbasic!$I:$I,INDEX(LookUps!$G$5:$G$20,MATCH($B13, LookUps!$J$5:$J$20,0)), OpenLCAbasic!$B:$B, $B$9),
SUMIFS(OpenLCAbasic!$J:$J,OpenLCAbasic!$E:$E, "Base", OpenLCAbasic!$D:$D, GWP!$B$5, OpenLCAbasic!$F:$F,D$12,OpenLCAbasic!$L:$L,$B$1,OpenLCAbasic!$I:$I,$B13, OpenLCAbasic!$C:$C,$B$7, OpenLCAbasic!$B:$B, $B$9))</f>
        <v>1.23E-3</v>
      </c>
      <c r="E13" s="9" t="str">
        <f>CONCATENATE("(",INDEX(LookUps!$D$5:$D$12,MATCH(AP!$B$1,LookUps!$E$5:$E$12,0)), "/m3 wastewater treated")</f>
        <v>(kg SO2 eq/m3 wastewater treated</v>
      </c>
    </row>
    <row r="14" spans="1:9" x14ac:dyDescent="0.25">
      <c r="B14" s="58" t="str">
        <f>LookUps!$G$6</f>
        <v>Influent Pump Station; wastewater treatment unit; at updated plant - US</v>
      </c>
      <c r="C14" s="258"/>
      <c r="D14" s="260">
        <f>IF(AND(NOT(ISERROR(MATCH($B14, LookUps!$J$5:$J$20,0))), D$12="Upgraded"),
SUMIFS(OpenLCAbasic!$J:$J,OpenLCAbasic!$E:$E, "Base", OpenLCAbasic!$D:$D, GWP!$B$5, OpenLCAbasic!$F:$F,D$12,OpenLCAbasic!$L:$L,$B$1,OpenLCAbasic!$C:$C,$B$7,OpenLCAbasic!$I:$I,INDEX(LookUps!$G$5:$G$20,MATCH($B14, LookUps!$J$5:$J$20,0)), OpenLCAbasic!$B:$B, $B$9),
SUMIFS(OpenLCAbasic!$J:$J,OpenLCAbasic!$E:$E, "Base", OpenLCAbasic!$D:$D, GWP!$B$5, OpenLCAbasic!$F:$F,D$12,OpenLCAbasic!$L:$L,$B$1,OpenLCAbasic!$I:$I,$B14, OpenLCAbasic!$C:$C,$B$7, OpenLCAbasic!$B:$B, $B$9))</f>
        <v>2.0699999999999998E-3</v>
      </c>
      <c r="E14" s="9" t="str">
        <f>CONCATENATE("(",INDEX(LookUps!$D$5:$D$12,MATCH(AP!$B$1,LookUps!$E$5:$E$12,0)), "/m3 wastewater treated")</f>
        <v>(kg SO2 eq/m3 wastewater treated</v>
      </c>
    </row>
    <row r="15" spans="1:9" x14ac:dyDescent="0.25">
      <c r="B15" s="58" t="str">
        <f>LookUps!$H$6</f>
        <v>Screening and Grit Removal - US</v>
      </c>
      <c r="C15" s="260">
        <f>IF(C$12="Legacy",
SUMIFS(OpenLCAbasic!$J:$J,OpenLCAbasic!$D:$D, "Base", OpenLCAbasic!$F:$F,C$12,OpenLCAbasic!$L:$L,$B$1,OpenLCAbasic!$I:$I,$B15, OpenLCAbasic!$C:$C, $B$8),
IF(AND(NOT(ISERROR(MATCH($B15, LookUps!$J$5:$J$20,0))), C$12="Upgraded"),
SUMIFS(OpenLCAbasic!$J:$J,OpenLCAbasic!$D:$D, GWP!$B$5, OpenLCAbasic!$F:$F,C$12,OpenLCAbasic!$L:$L,$B$1,OpenLCAbasic!$I:$I,INDEX(LookUps!$G$5:$G$20,MATCH($B15, LookUps!$J$5:$J$20,0))),
SUMIFS(OpenLCAbasic!$J:$J,OpenLCAbasic!$D:$D, GWP!$B$5, OpenLCAbasic!$F:$F,C$12,OpenLCAbasic!$L:$L,$B$1,OpenLCAbasic!$I:$I,$B15)))</f>
        <v>7.2000000000000005E-4</v>
      </c>
      <c r="D15" s="258"/>
      <c r="E15" s="9" t="str">
        <f>CONCATENATE("(",INDEX(LookUps!$D$5:$D$12,MATCH(AP!$B$1,LookUps!$E$5:$E$12,0)), "/m3 wastewater treated")</f>
        <v>(kg SO2 eq/m3 wastewater treated</v>
      </c>
    </row>
    <row r="16" spans="1:9" x14ac:dyDescent="0.25">
      <c r="B16" s="58" t="str">
        <f>LookUps!$G$8</f>
        <v>Clear Cove Primary Clarification; wastewater treatment unit; at updated plant - US</v>
      </c>
      <c r="C16" s="258"/>
      <c r="D16" s="260">
        <f>IF(AND(NOT(ISERROR(MATCH($B16, LookUps!$J$5:$J$20,0))), D$12="Upgraded"),
SUMIFS(OpenLCAbasic!$J:$J,OpenLCAbasic!$E:$E, "Base", OpenLCAbasic!$D:$D, GWP!$B$5, OpenLCAbasic!$F:$F,D$12,OpenLCAbasic!$L:$L,$B$1,OpenLCAbasic!$C:$C,$B$7,OpenLCAbasic!$I:$I,INDEX(LookUps!$G$5:$G$20,MATCH($B16, LookUps!$J$5:$J$20,0)), OpenLCAbasic!$B:$B, $B$9),
SUMIFS(OpenLCAbasic!$J:$J,OpenLCAbasic!$E:$E, "Base", OpenLCAbasic!$D:$D, GWP!$B$5, OpenLCAbasic!$F:$F,D$12,OpenLCAbasic!$L:$L,$B$1,OpenLCAbasic!$I:$I,$B16, OpenLCAbasic!$C:$C,$B$7, OpenLCAbasic!$B:$B, $B$9))</f>
        <v>4.9800000000000001E-3</v>
      </c>
      <c r="E16" s="9" t="str">
        <f>CONCATENATE("(",INDEX(LookUps!$D$5:$D$12,MATCH(AP!$B$1,LookUps!$E$5:$E$12,0)), "/m3 wastewater treated")</f>
        <v>(kg SO2 eq/m3 wastewater treated</v>
      </c>
    </row>
    <row r="17" spans="2:5" x14ac:dyDescent="0.25">
      <c r="B17" s="58" t="str">
        <f>LookUps!$H$8</f>
        <v>Primary Clarifier; wastewater treatment unit - US</v>
      </c>
      <c r="C17" s="260">
        <f>IF(C$12="Legacy",
SUMIFS(OpenLCAbasic!$J:$J,OpenLCAbasic!$D:$D, "Base", OpenLCAbasic!$F:$F,C$12,OpenLCAbasic!$L:$L,$B$1,OpenLCAbasic!$I:$I,$B17, OpenLCAbasic!$C:$C, $B$8),
IF(AND(NOT(ISERROR(MATCH($B17, LookUps!$J$5:$J$20,0))), C$12="Upgraded"),
SUMIFS(OpenLCAbasic!$J:$J,OpenLCAbasic!$D:$D, GWP!$B$5, OpenLCAbasic!$F:$F,C$12,OpenLCAbasic!$L:$L,$B$1,OpenLCAbasic!$I:$I,INDEX(LookUps!$G$5:$G$20,MATCH($B17, LookUps!$J$5:$J$20,0))),
SUMIFS(OpenLCAbasic!$J:$J,OpenLCAbasic!$D:$D, GWP!$B$5, OpenLCAbasic!$F:$F,C$12,OpenLCAbasic!$L:$L,$B$1,OpenLCAbasic!$I:$I,$B17)))</f>
        <v>4.6600000000000001E-3</v>
      </c>
      <c r="D17" s="258"/>
      <c r="E17" s="9" t="str">
        <f>CONCATENATE("(",INDEX(LookUps!$D$5:$D$12,MATCH(AP!$B$1,LookUps!$E$5:$E$12,0)), "/m3 wastewater treated")</f>
        <v>(kg SO2 eq/m3 wastewater treated</v>
      </c>
    </row>
    <row r="18" spans="2:5" x14ac:dyDescent="0.25">
      <c r="B18" s="58" t="str">
        <f>LookUps!$G$17</f>
        <v>ClearCove SCP; wastewater treatment unit; at updated plant - US</v>
      </c>
      <c r="C18" s="258"/>
      <c r="D18" s="260">
        <f>IF(AND(NOT(ISERROR(MATCH($B18, LookUps!$J$5:$J$20,0))), D$12="Upgraded"),
SUMIFS(OpenLCAbasic!$J:$J,OpenLCAbasic!$E:$E, "Base", OpenLCAbasic!$D:$D, GWP!$B$5, OpenLCAbasic!$F:$F,D$12,OpenLCAbasic!$L:$L,$B$1,OpenLCAbasic!$C:$C,$B$7,OpenLCAbasic!$I:$I,INDEX(LookUps!$G$5:$G$20,MATCH($B18, LookUps!$J$5:$J$20,0)), OpenLCAbasic!$B:$B, $B$9),
SUMIFS(OpenLCAbasic!$J:$J,OpenLCAbasic!$E:$E, "Base", OpenLCAbasic!$D:$D, GWP!$B$5, OpenLCAbasic!$F:$F,D$12,OpenLCAbasic!$L:$L,$B$1,OpenLCAbasic!$I:$I,$B18, OpenLCAbasic!$C:$C,$B$7, OpenLCAbasic!$B:$B, $B$9))</f>
        <v>2.5999999999999998E-4</v>
      </c>
      <c r="E18" s="9" t="str">
        <f>CONCATENATE("(",INDEX(LookUps!$D$5:$D$12,MATCH(AP!$B$1,LookUps!$E$5:$E$12,0)), "/m3 wastewater treated")</f>
        <v>(kg SO2 eq/m3 wastewater treated</v>
      </c>
    </row>
    <row r="19" spans="2:5" x14ac:dyDescent="0.25">
      <c r="B19" s="58" t="str">
        <f>LookUps!$G$7</f>
        <v>Wet Well and Sump Station; wastewater treatment unit; at updated plant - US</v>
      </c>
      <c r="C19" s="258"/>
      <c r="D19" s="260">
        <f>IF(AND(NOT(ISERROR(MATCH($B19, LookUps!$J$5:$J$20,0))), D$12="Upgraded"),
SUMIFS(OpenLCAbasic!$J:$J,OpenLCAbasic!$E:$E, "Base", OpenLCAbasic!$D:$D, GWP!$B$5, OpenLCAbasic!$F:$F,D$12,OpenLCAbasic!$L:$L,$B$1,OpenLCAbasic!$C:$C,$B$7,OpenLCAbasic!$I:$I,INDEX(LookUps!$G$5:$G$20,MATCH($B19, LookUps!$J$5:$J$20,0)), OpenLCAbasic!$B:$B, $B$9),
SUMIFS(OpenLCAbasic!$J:$J,OpenLCAbasic!$E:$E, "Base", OpenLCAbasic!$D:$D, GWP!$B$5, OpenLCAbasic!$F:$F,D$12,OpenLCAbasic!$L:$L,$B$1,OpenLCAbasic!$I:$I,$B19, OpenLCAbasic!$C:$C,$B$7, OpenLCAbasic!$B:$B, $B$9))</f>
        <v>3.4499999999999999E-3</v>
      </c>
      <c r="E19" s="9" t="str">
        <f>CONCATENATE("(",INDEX(LookUps!$D$5:$D$12,MATCH(AP!$B$1,LookUps!$E$5:$E$12,0)), "/m3 wastewater treated")</f>
        <v>(kg SO2 eq/m3 wastewater treated</v>
      </c>
    </row>
    <row r="20" spans="2:5" x14ac:dyDescent="0.25">
      <c r="B20" s="58" t="str">
        <f>LookUps!$G$13</f>
        <v>Pre-Anoxic &amp; Swing tank; wastewater treatment unit; at updated plant - US</v>
      </c>
      <c r="C20" s="258"/>
      <c r="D20" s="260">
        <f>IF(AND(NOT(ISERROR(MATCH($B20, LookUps!$J$5:$J$20,0))), D$12="Upgraded"),
SUMIFS(OpenLCAbasic!$J:$J,OpenLCAbasic!$E:$E, "Base", OpenLCAbasic!$D:$D, GWP!$B$5, OpenLCAbasic!$F:$F,D$12,OpenLCAbasic!$L:$L,$B$1,OpenLCAbasic!$C:$C,$B$7,OpenLCAbasic!$I:$I,INDEX(LookUps!$G$5:$G$20,MATCH($B20, LookUps!$J$5:$J$20,0)), OpenLCAbasic!$B:$B, $B$9),
SUMIFS(OpenLCAbasic!$J:$J,OpenLCAbasic!$E:$E, "Base", OpenLCAbasic!$D:$D, GWP!$B$5, OpenLCAbasic!$F:$F,D$12,OpenLCAbasic!$L:$L,$B$1,OpenLCAbasic!$I:$I,$B20, OpenLCAbasic!$C:$C,$B$7, OpenLCAbasic!$B:$B, $B$9))</f>
        <v>4.3299999999999996E-3</v>
      </c>
      <c r="E20" s="9" t="str">
        <f>CONCATENATE("(",INDEX(LookUps!$D$5:$D$12,MATCH(AP!$B$1,LookUps!$E$5:$E$12,0)), "/m3 wastewater treated")</f>
        <v>(kg SO2 eq/m3 wastewater treated</v>
      </c>
    </row>
    <row r="21" spans="2:5" x14ac:dyDescent="0.25">
      <c r="B21" s="58" t="str">
        <f>LookUps!$J$9</f>
        <v>Aeration Tanks; wastewater treatment unit - US</v>
      </c>
      <c r="C21" s="15">
        <f>IF(C$12="Legacy",
SUMIFS(OpenLCAbasic!$J:$J,OpenLCAbasic!$D:$D, "Base", OpenLCAbasic!$F:$F,C$12,OpenLCAbasic!$L:$L,$B$1,OpenLCAbasic!$I:$I,$B21, OpenLCAbasic!$C:$C, $B$8),
IF(AND(NOT(ISERROR(MATCH($B21, LookUps!$J$5:$J$20,0))), C$12="Upgraded"),
SUMIFS(OpenLCAbasic!$J:$J,OpenLCAbasic!$D:$D, GWP!$B$5, OpenLCAbasic!$F:$F,C$12,OpenLCAbasic!$L:$L,$B$1,OpenLCAbasic!$I:$I,INDEX(LookUps!$G$5:$G$20,MATCH($B21, LookUps!$J$5:$J$20,0))),
SUMIFS(OpenLCAbasic!$J:$J,OpenLCAbasic!$D:$D, GWP!$B$5, OpenLCAbasic!$F:$F,C$12,OpenLCAbasic!$L:$L,$B$1,OpenLCAbasic!$I:$I,$B21)))</f>
        <v>1.312E-2</v>
      </c>
      <c r="D21" s="15">
        <f>IF(AND(NOT(ISERROR(MATCH($B21, LookUps!$J$5:$J$20,0))), D$12="Upgraded"),
SUMIFS(OpenLCAbasic!$J:$J,OpenLCAbasic!$E:$E, "Base", OpenLCAbasic!$D:$D, GWP!$B$5, OpenLCAbasic!$F:$F,D$12,OpenLCAbasic!$L:$L,$B$1,OpenLCAbasic!$C:$C,$B$7,OpenLCAbasic!$I:$I,INDEX(LookUps!$G$5:$G$20,MATCH($B21, LookUps!$J$5:$J$20,0)), OpenLCAbasic!$B:$B, $B$9),
SUMIFS(OpenLCAbasic!$J:$J,OpenLCAbasic!$E:$E, "Base", OpenLCAbasic!$D:$D, GWP!$B$5, OpenLCAbasic!$F:$F,D$12,OpenLCAbasic!$L:$L,$B$1,OpenLCAbasic!$I:$I,$B21, OpenLCAbasic!$C:$C,$B$7, OpenLCAbasic!$B:$B, $B$9))</f>
        <v>1.7219999999999999E-2</v>
      </c>
      <c r="E21" s="9" t="str">
        <f>CONCATENATE("(",INDEX(LookUps!$D$5:$D$12,MATCH(AP!$B$1,LookUps!$E$5:$E$12,0)), "/m3 wastewater treated")</f>
        <v>(kg SO2 eq/m3 wastewater treated</v>
      </c>
    </row>
    <row r="22" spans="2:5" x14ac:dyDescent="0.25">
      <c r="B22" s="58" t="str">
        <f>LookUps!$G$12</f>
        <v>Waste Receiving and Holding; wastewater treatment unit; at updated plant - US</v>
      </c>
      <c r="C22" s="258"/>
      <c r="D22" s="260">
        <f>IF(AND(NOT(ISERROR(MATCH($B22, LookUps!$J$5:$J$20,0))), D$12="Upgraded"),
SUMIFS(OpenLCAbasic!$J:$J,OpenLCAbasic!$E:$E, "Base", OpenLCAbasic!$D:$D, GWP!$B$5, OpenLCAbasic!$F:$F,D$12,OpenLCAbasic!$L:$L,$B$1,OpenLCAbasic!$C:$C,$B$7,OpenLCAbasic!$I:$I,INDEX(LookUps!$G$5:$G$20,MATCH($B22, LookUps!$J$5:$J$20,0)), OpenLCAbasic!$B:$B, $B$9),
SUMIFS(OpenLCAbasic!$J:$J,OpenLCAbasic!$E:$E, "Base", OpenLCAbasic!$D:$D, GWP!$B$5, OpenLCAbasic!$F:$F,D$12,OpenLCAbasic!$L:$L,$B$1,OpenLCAbasic!$I:$I,$B22, OpenLCAbasic!$C:$C,$B$7, OpenLCAbasic!$B:$B, $B$9))</f>
        <v>2.3800000000000002E-3</v>
      </c>
      <c r="E22" s="9" t="str">
        <f>CONCATENATE("(",INDEX(LookUps!$D$5:$D$12,MATCH(AP!$B$1,LookUps!$E$5:$E$12,0)), "/m3 wastewater treated")</f>
        <v>(kg SO2 eq/m3 wastewater treated</v>
      </c>
    </row>
    <row r="23" spans="2:5" x14ac:dyDescent="0.25">
      <c r="B23" s="58" t="str">
        <f>LookUps!$G$11</f>
        <v>Gravity Belt Thickener; wastewater treatment unit; at updated plant - US</v>
      </c>
      <c r="C23" s="258"/>
      <c r="D23" s="260">
        <f>IF(AND(NOT(ISERROR(MATCH($B23, LookUps!$J$5:$J$20,0))), D$12="Upgraded"),
SUMIFS(OpenLCAbasic!$J:$J,OpenLCAbasic!$E:$E, "Base", OpenLCAbasic!$D:$D, GWP!$B$5, OpenLCAbasic!$F:$F,D$12,OpenLCAbasic!$L:$L,$B$1,OpenLCAbasic!$C:$C,$B$7,OpenLCAbasic!$I:$I,INDEX(LookUps!$G$5:$G$20,MATCH($B23, LookUps!$J$5:$J$20,0)), OpenLCAbasic!$B:$B, $B$9),
SUMIFS(OpenLCAbasic!$J:$J,OpenLCAbasic!$E:$E, "Base", OpenLCAbasic!$D:$D, GWP!$B$5, OpenLCAbasic!$F:$F,D$12,OpenLCAbasic!$L:$L,$B$1,OpenLCAbasic!$I:$I,$B23, OpenLCAbasic!$C:$C,$B$7, OpenLCAbasic!$B:$B, $B$9))</f>
        <v>6.9999999999999999E-4</v>
      </c>
      <c r="E23" s="9" t="str">
        <f>CONCATENATE("(",INDEX(LookUps!$D$5:$D$12,MATCH(AP!$B$1,LookUps!$E$5:$E$12,0)), "/m3 wastewater treated")</f>
        <v>(kg SO2 eq/m3 wastewater treated</v>
      </c>
    </row>
    <row r="24" spans="2:5" x14ac:dyDescent="0.25">
      <c r="B24" s="58" t="str">
        <f>LookUps!$H$11</f>
        <v>Sludge Thickener; wastewater treatment unit - US</v>
      </c>
      <c r="C24" s="260">
        <f>IF(C$12="Legacy",
SUMIFS(OpenLCAbasic!$J:$J,OpenLCAbasic!$D:$D, "Base", OpenLCAbasic!$F:$F,C$12,OpenLCAbasic!$L:$L,$B$1,OpenLCAbasic!$I:$I,$B24, OpenLCAbasic!$C:$C, $B$8),
IF(AND(NOT(ISERROR(MATCH($B24, LookUps!$J$5:$J$20,0))), C$12="Upgraded"),
SUMIFS(OpenLCAbasic!$J:$J,OpenLCAbasic!$D:$D, GWP!$B$5, OpenLCAbasic!$F:$F,C$12,OpenLCAbasic!$L:$L,$B$1,OpenLCAbasic!$I:$I,INDEX(LookUps!$G$5:$G$20,MATCH($B24, LookUps!$J$5:$J$20,0))),
SUMIFS(OpenLCAbasic!$J:$J,OpenLCAbasic!$D:$D, GWP!$B$5, OpenLCAbasic!$F:$F,C$12,OpenLCAbasic!$L:$L,$B$1,OpenLCAbasic!$I:$I,$B24)))</f>
        <v>8.2876900000000006E-5</v>
      </c>
      <c r="D24" s="258"/>
      <c r="E24" s="9" t="str">
        <f>CONCATENATE("(",INDEX(LookUps!$D$5:$D$12,MATCH(AP!$B$1,LookUps!$E$5:$E$12,0)), "/m3 wastewater treated")</f>
        <v>(kg SO2 eq/m3 wastewater treated</v>
      </c>
    </row>
    <row r="25" spans="2:5" x14ac:dyDescent="0.25">
      <c r="B25" s="58" t="str">
        <f>LookUps!$G$14</f>
        <v>Blend Tank; wastewater treatment unit; at updated plant - US</v>
      </c>
      <c r="C25" s="258"/>
      <c r="D25" s="260">
        <f>IF(AND(NOT(ISERROR(MATCH($B25, LookUps!$J$5:$J$20,0))), D$12="Upgraded"),
SUMIFS(OpenLCAbasic!$J:$J,OpenLCAbasic!$E:$E, "Base", OpenLCAbasic!$D:$D, GWP!$B$5, OpenLCAbasic!$F:$F,D$12,OpenLCAbasic!$L:$L,$B$1,OpenLCAbasic!$C:$C,$B$7,OpenLCAbasic!$I:$I,INDEX(LookUps!$G$5:$G$20,MATCH($B25, LookUps!$J$5:$J$20,0)), OpenLCAbasic!$B:$B, $B$9),
SUMIFS(OpenLCAbasic!$J:$J,OpenLCAbasic!$E:$E, "Base", OpenLCAbasic!$D:$D, GWP!$B$5, OpenLCAbasic!$F:$F,D$12,OpenLCAbasic!$L:$L,$B$1,OpenLCAbasic!$I:$I,$B25, OpenLCAbasic!$C:$C,$B$7, OpenLCAbasic!$B:$B, $B$9))</f>
        <v>5.1999999999999995E-4</v>
      </c>
      <c r="E25" s="9" t="str">
        <f>CONCATENATE("(",INDEX(LookUps!$D$5:$D$12,MATCH(AP!$B$1,LookUps!$E$5:$E$12,0)), "/m3 wastewater treated")</f>
        <v>(kg SO2 eq/m3 wastewater treated</v>
      </c>
    </row>
    <row r="26" spans="2:5" x14ac:dyDescent="0.25">
      <c r="B26" s="58" t="str">
        <f>LookUps!$G$19</f>
        <v>Anaerobic Digestion; wastewater treatment unit; at updated plant - US</v>
      </c>
      <c r="C26" s="258"/>
      <c r="D26" s="260">
        <f>IF(AND(NOT(ISERROR(MATCH($B26, LookUps!$J$5:$J$20,0))), D$12="Upgraded"),
SUMIFS(OpenLCAbasic!$J:$J,OpenLCAbasic!$E:$E, "Base", OpenLCAbasic!$D:$D, GWP!$B$5, OpenLCAbasic!$F:$F,D$12,OpenLCAbasic!$L:$L,$B$1,OpenLCAbasic!$C:$C,$B$7,OpenLCAbasic!$I:$I,INDEX(LookUps!$G$5:$G$20,MATCH($B26, LookUps!$J$5:$J$20,0)), OpenLCAbasic!$B:$B, $B$9),
SUMIFS(OpenLCAbasic!$J:$J,OpenLCAbasic!$E:$E, "Base", OpenLCAbasic!$D:$D, GWP!$B$5, OpenLCAbasic!$F:$F,D$12,OpenLCAbasic!$L:$L,$B$1,OpenLCAbasic!$I:$I,$B26, OpenLCAbasic!$C:$C,$B$7, OpenLCAbasic!$B:$B, $B$9))</f>
        <v>-6.45E-3</v>
      </c>
      <c r="E26" s="9" t="str">
        <f>CONCATENATE("(",INDEX(LookUps!$D$5:$D$12,MATCH(AP!$B$1,LookUps!$E$5:$E$12,0)), "/m3 wastewater treated")</f>
        <v>(kg SO2 eq/m3 wastewater treated</v>
      </c>
    </row>
    <row r="27" spans="2:5" x14ac:dyDescent="0.25">
      <c r="B27" s="58" t="str">
        <f>LookUps!$H$19</f>
        <v>Aerobic Digester; wastewater treatment unit - US</v>
      </c>
      <c r="C27" s="15">
        <f>IF(C$12="Legacy",
SUMIFS(OpenLCAbasic!$J:$J,OpenLCAbasic!$D:$D, "Base", OpenLCAbasic!$F:$F,C$12,OpenLCAbasic!$L:$L,$B$1,OpenLCAbasic!$I:$I,$B27, OpenLCAbasic!$C:$C, $B$8),
IF(AND(NOT(ISERROR(MATCH($B27, LookUps!$J$5:$J$20,0))), C$12="Upgraded"),
SUMIFS(OpenLCAbasic!$J:$J,OpenLCAbasic!$D:$D, GWP!$B$5, OpenLCAbasic!$F:$F,C$12,OpenLCAbasic!$L:$L,$B$1,OpenLCAbasic!$I:$I,INDEX(LookUps!$G$5:$G$20,MATCH($B27, LookUps!$J$5:$J$20,0))),
SUMIFS(OpenLCAbasic!$J:$J,OpenLCAbasic!$D:$D, GWP!$B$5, OpenLCAbasic!$F:$F,C$12,OpenLCAbasic!$L:$L,$B$1,OpenLCAbasic!$I:$I,$B27)))</f>
        <v>1.3429999999999999E-2</v>
      </c>
      <c r="D27" s="258"/>
      <c r="E27" s="9" t="str">
        <f>CONCATENATE("(",INDEX(LookUps!$D$5:$D$12,MATCH(AP!$B$1,LookUps!$E$5:$E$12,0)), "/m3 wastewater treated")</f>
        <v>(kg SO2 eq/m3 wastewater treated</v>
      </c>
    </row>
    <row r="28" spans="2:5" x14ac:dyDescent="0.25">
      <c r="B28" s="58" t="str">
        <f>LookUps!$J$15</f>
        <v>Belt filter press; wastewater treatment unit - US</v>
      </c>
      <c r="C28" s="260">
        <f>IF(C$12="Legacy",
SUMIFS(OpenLCAbasic!$J:$J,OpenLCAbasic!$D:$D, "Base", OpenLCAbasic!$F:$F,C$12,OpenLCAbasic!$L:$L,$B$1,OpenLCAbasic!$I:$I,$B28, OpenLCAbasic!$C:$C, $B$8),
IF(AND(NOT(ISERROR(MATCH($B28, LookUps!$J$5:$J$20,0))), C$12="Upgraded"),
SUMIFS(OpenLCAbasic!$J:$J,OpenLCAbasic!$D:$D, GWP!$B$5, OpenLCAbasic!$F:$F,C$12,OpenLCAbasic!$L:$L,$B$1,OpenLCAbasic!$I:$I,INDEX(LookUps!$G$5:$G$20,MATCH($B28, LookUps!$J$5:$J$20,0))),
SUMIFS(OpenLCAbasic!$J:$J,OpenLCAbasic!$D:$D, GWP!$B$5, OpenLCAbasic!$F:$F,C$12,OpenLCAbasic!$L:$L,$B$1,OpenLCAbasic!$I:$I,$B28)))</f>
        <v>6.4000000000000005E-4</v>
      </c>
      <c r="D28" s="260">
        <f>IF(AND(NOT(ISERROR(MATCH($B28, LookUps!$J$5:$J$20,0))), D$12="Upgraded"),
SUMIFS(OpenLCAbasic!$J:$J,OpenLCAbasic!$E:$E, "Base", OpenLCAbasic!$D:$D, GWP!$B$5, OpenLCAbasic!$F:$F,D$12,OpenLCAbasic!$L:$L,$B$1,OpenLCAbasic!$C:$C,$B$7,OpenLCAbasic!$I:$I,INDEX(LookUps!$G$5:$G$20,MATCH($B28, LookUps!$J$5:$J$20,0)), OpenLCAbasic!$B:$B, $B$9),
SUMIFS(OpenLCAbasic!$J:$J,OpenLCAbasic!$E:$E, "Base", OpenLCAbasic!$D:$D, GWP!$B$5, OpenLCAbasic!$F:$F,D$12,OpenLCAbasic!$L:$L,$B$1,OpenLCAbasic!$I:$I,$B28, OpenLCAbasic!$C:$C,$B$7, OpenLCAbasic!$B:$B, $B$9))</f>
        <v>7.6999999999999996E-4</v>
      </c>
      <c r="E28" s="9" t="str">
        <f>CONCATENATE("(",INDEX(LookUps!$D$5:$D$12,MATCH(AP!$B$1,LookUps!$E$5:$E$12,0)), "/m3 wastewater treated")</f>
        <v>(kg SO2 eq/m3 wastewater treated</v>
      </c>
    </row>
    <row r="29" spans="2:5" x14ac:dyDescent="0.25">
      <c r="B29"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29" s="258"/>
      <c r="D29" s="283">
        <f>IF(OR(GWP!$B$6="Low", GWP!$B$6="High"),
INDEX(OpenLCAbasic!$J:$J, MATCH(CONCATENATE(GWP!$B$6, "_", GWP!$B$5, "_", "Upgraded_",$B$1,"_",B29, "_", $B$7, "_", $B$9), OpenLCAbasic!$M:$M,0)),
IF(AND(NOT(ISERROR(MATCH($B29, LookUps!$J$5:$J$20,0))), D$12="Upgraded"),
SUMIFS(OpenLCAbasic!$J:$J,OpenLCAbasic!$E:$E, GWP!$B$6, OpenLCAbasic!$D:$D, GWP!$B$5, OpenLCAbasic!$F:$F,D$12,OpenLCAbasic!$L:$L,$B$1,OpenLCAbasic!$I:$I,INDEX(LookUps!$G$5:$G$20,MATCH($B29, LookUps!$J$5:$J$20,0)), OpenLCAbasic!$B:$B, $B$9, OpenLCAbasic!$C:$C, $B$7),
SUMIFS(OpenLCAbasic!$J:$J,OpenLCAbasic!$E:$E, GWP!$B$6, OpenLCAbasic!$D:$D, GWP!$B$5, OpenLCAbasic!$F:$F,D$12,OpenLCAbasic!$L:$L,$B$1,OpenLCAbasic!$I:$I,$B29, OpenLCAbasic!$B:$B, $B$9, OpenLCAbasic!$C:$C, $B$7)))</f>
        <v>5.6800000000000002E-3</v>
      </c>
      <c r="E29" s="9" t="str">
        <f>CONCATENATE("(",INDEX(LookUps!$D$5:$D$12,MATCH(AP!$B$1,LookUps!$E$5:$E$12,0)), "/m3 wastewater treated")</f>
        <v>(kg SO2 eq/m3 wastewater treated</v>
      </c>
    </row>
    <row r="30" spans="2:5" x14ac:dyDescent="0.25">
      <c r="B30" s="58" t="str">
        <f>LookUps!$G$18</f>
        <v>Land application of compost; wastewater treatment unit; at updated plant - US</v>
      </c>
      <c r="C30" s="258"/>
      <c r="D30" s="283">
        <f>IF(OR(GWP!$B$6="Low", GWP!$B$6="High"),
INDEX(OpenLCAbasic!$J:$J, MATCH(CONCATENATE(GWP!$B$6, "_", GWP!$B$5, "_", "Upgraded_",$B$1,"_",B30, "_", $B$7, "_", $B$9), OpenLCAbasic!$M:$M,0)),
IF(AND(NOT(ISERROR(MATCH($B30, LookUps!$J$5:$J$20,0))), D$12="Upgraded"),
SUMIFS(OpenLCAbasic!$J:$J,OpenLCAbasic!$E:$E, GWP!$B$6, OpenLCAbasic!$D:$D, GWP!$B$5, OpenLCAbasic!$F:$F,D$12,OpenLCAbasic!$L:$L,$B$1,OpenLCAbasic!$I:$I,INDEX(LookUps!$G$5:$G$20,MATCH($B30, LookUps!$J$5:$J$20,0)), OpenLCAbasic!$B:$B, $B$9, OpenLCAbasic!$C:$C, $B$7),
SUMIFS(OpenLCAbasic!$J:$J,OpenLCAbasic!$E:$E, GWP!$B$6, OpenLCAbasic!$D:$D, GWP!$B$5, OpenLCAbasic!$F:$F,D$12,OpenLCAbasic!$L:$L,$B$1,OpenLCAbasic!$I:$I,$B30, OpenLCAbasic!$B:$B, $B$9, OpenLCAbasic!$C:$C, $B$7)))</f>
        <v>2.6700000000000001E-3</v>
      </c>
      <c r="E30" s="9" t="str">
        <f>CONCATENATE("(",INDEX(LookUps!$D$5:$D$12,MATCH(AP!$B$1,LookUps!$E$5:$E$12,0)), "/m3 wastewater treated")</f>
        <v>(kg SO2 eq/m3 wastewater treated</v>
      </c>
    </row>
    <row r="31" spans="2:5" x14ac:dyDescent="0.25">
      <c r="B31" s="58" t="str">
        <f>LookUps!$H$18</f>
        <v>Sludge Disposal; wastewater treatment unit - US</v>
      </c>
      <c r="C31" s="284">
        <f>IF(OR(GWP!$B$6="Low", GWP!$B$6="High"),
 INDEX(OpenLCAbasic!$J:$J, MATCH(CONCATENATE(GWP!$B$6, "_", "Base", "_", "Legacy_",$B$1, "_",B31, "_", $B$8,"_n.a."), OpenLCAbasic!$M:$M,0)),
IF(C$12="Legacy", SUMIFS(OpenLCAbasic!$J:$J,OpenLCAbasic!$E:$E, "Base", OpenLCAbasic!$D:$D, "Base", OpenLCAbasic!$F:$F,C$12,OpenLCAbasic!$L:$L,$B$1,OpenLCAbasic!$I:$I,$B31, OpenLCAbasic!$C:$C, $B$8),
IF(AND(NOT(ISERROR(MATCH($B31, LookUps!$J$5:$J$20,0))), C$12="Upgraded"), SUMIFS(OpenLCAbasic!$J:$J,OpenLCAbasic!$E:$E, "Base", OpenLCAbasic!$D:$D, "Base", OpenLCAbasic!$F:$F,C$12,OpenLCAbasic!$L:$L,$B$1,OpenLCAbasic!$I:$I,INDEX(LookUps!$G$5:$G$20,MATCH($B31, LookUps!$J$5:$J$20,0))),
SUMIFS(OpenLCAbasic!$J:$J,OpenLCAbasic!$E:$E, "Base", OpenLCAbasic!$D:$D, "Base", OpenLCAbasic!$F:$F,C$12,OpenLCAbasic!$L:$L,$B$1,OpenLCAbasic!$I:$I,$B31))))</f>
        <v>-3.2200000000000002E-3</v>
      </c>
      <c r="D31" s="258"/>
      <c r="E31" s="9" t="str">
        <f>CONCATENATE("(",INDEX(LookUps!$D$5:$D$12,MATCH(AP!$B$1,LookUps!$E$5:$E$12,0)), "/m3 wastewater treated")</f>
        <v>(kg SO2 eq/m3 wastewater treated</v>
      </c>
    </row>
    <row r="32" spans="2:5" x14ac:dyDescent="0.25">
      <c r="B32" s="58" t="str">
        <f>LookUps!$G$20</f>
        <v>Effluent release; wastewater treatment unit; at surface water; m3 wastewater - US</v>
      </c>
      <c r="C32" s="260">
        <f>IF(C$12="Legacy",
SUMIFS(OpenLCAbasic!$J:$J,OpenLCAbasic!$D:$D, "Base", OpenLCAbasic!$F:$F,C$12,OpenLCAbasic!$L:$L,$B$1,OpenLCAbasic!$I:$I,$B32, OpenLCAbasic!$C:$C, $B$8),
IF(AND(NOT(ISERROR(MATCH($B32, LookUps!$J$5:$J$20,0))), C$12="Upgraded"),
SUMIFS(OpenLCAbasic!$J:$J,OpenLCAbasic!$D:$D, GWP!$B$5, OpenLCAbasic!$F:$F,C$12,OpenLCAbasic!$L:$L,$B$1,OpenLCAbasic!$I:$I,INDEX(LookUps!$G$5:$G$20,MATCH($B32, LookUps!$J$5:$J$20,0))),
SUMIFS(OpenLCAbasic!$J:$J,OpenLCAbasic!$D:$D, GWP!$B$5, OpenLCAbasic!$F:$F,C$12,OpenLCAbasic!$L:$L,$B$1,OpenLCAbasic!$I:$I,$B32)))</f>
        <v>3.9818900000000001E-6</v>
      </c>
      <c r="D32" s="260">
        <f>IF(AND(NOT(ISERROR(MATCH($B32, LookUps!$J$5:$J$20,0))), D$12="Upgraded"),
SUMIFS(OpenLCAbasic!$J:$J,OpenLCAbasic!$E:$E, "Base", OpenLCAbasic!$D:$D, GWP!$B$5, OpenLCAbasic!$F:$F,D$12,OpenLCAbasic!$L:$L,$B$1,OpenLCAbasic!$C:$C,$B$7,OpenLCAbasic!$I:$I,INDEX(LookUps!$G$5:$G$20,MATCH($B32, LookUps!$J$5:$J$20,0)), OpenLCAbasic!$B:$B, $B$9),
SUMIFS(OpenLCAbasic!$J:$J,OpenLCAbasic!$E:$E, "Base", OpenLCAbasic!$D:$D, GWP!$B$5, OpenLCAbasic!$F:$F,D$12,OpenLCAbasic!$L:$L,$B$1,OpenLCAbasic!$I:$I,$B32, OpenLCAbasic!$C:$C,$B$7, OpenLCAbasic!$B:$B, $B$9))</f>
        <v>3.5E-4</v>
      </c>
      <c r="E32" s="9" t="str">
        <f>CONCATENATE("(",INDEX(LookUps!$D$5:$D$12,MATCH(AP!$B$1,LookUps!$E$5:$E$12,0)), "/m3 wastewater treated")</f>
        <v>(kg SO2 eq/m3 wastewater treated</v>
      </c>
    </row>
    <row r="33" spans="2:6" x14ac:dyDescent="0.25">
      <c r="B33" s="58" t="str">
        <f>LookUps!$J$10</f>
        <v>Control Building; at wastewater treatment plant - US</v>
      </c>
      <c r="C33" s="260">
        <f>IF(C$12="Legacy",
SUMIFS(OpenLCAbasic!$J:$J,OpenLCAbasic!$D:$D, "Base", OpenLCAbasic!$F:$F,C$12,OpenLCAbasic!$L:$L,$B$1,OpenLCAbasic!$I:$I,$B33, OpenLCAbasic!$C:$C, $B$8),
IF(AND(NOT(ISERROR(MATCH($B33, LookUps!$J$5:$J$20,0))), C$12="Upgraded"),
SUMIFS(OpenLCAbasic!$J:$J,OpenLCAbasic!$D:$D, GWP!$B$5, OpenLCAbasic!$F:$F,C$12,OpenLCAbasic!$L:$L,$B$1,OpenLCAbasic!$I:$I,INDEX(LookUps!$G$5:$G$20,MATCH($B33, LookUps!$J$5:$J$20,0))),
SUMIFS(OpenLCAbasic!$J:$J,OpenLCAbasic!$D:$D, GWP!$B$5, OpenLCAbasic!$F:$F,C$12,OpenLCAbasic!$L:$L,$B$1,OpenLCAbasic!$I:$I,$B33)))</f>
        <v>1.2999999999999999E-4</v>
      </c>
      <c r="D33" s="260">
        <f>IF(AND(NOT(ISERROR(MATCH($B33, LookUps!$J$5:$J$20,0))), D$12="Upgraded"),
SUMIFS(OpenLCAbasic!$J:$J,OpenLCAbasic!$E:$E, "Base", OpenLCAbasic!$D:$D, GWP!$B$5, OpenLCAbasic!$F:$F,D$12,OpenLCAbasic!$L:$L,$B$1,OpenLCAbasic!$C:$C,$B$7,OpenLCAbasic!$I:$I,INDEX(LookUps!$G$5:$G$20,MATCH($B33, LookUps!$J$5:$J$20,0)), OpenLCAbasic!$B:$B, $B$9),
SUMIFS(OpenLCAbasic!$J:$J,OpenLCAbasic!$E:$E, "Base", OpenLCAbasic!$D:$D, GWP!$B$5, OpenLCAbasic!$F:$F,D$12,OpenLCAbasic!$L:$L,$B$1,OpenLCAbasic!$I:$I,$B33, OpenLCAbasic!$C:$C,$B$7, OpenLCAbasic!$B:$B, $B$9))</f>
        <v>4.0354700000000002E-5</v>
      </c>
      <c r="E33" s="9" t="str">
        <f>CONCATENATE("(",INDEX(LookUps!$D$5:$D$12,MATCH(AP!$B$1,LookUps!$E$5:$E$12,0)), "/m3 wastewater treated")</f>
        <v>(kg SO2 eq/m3 wastewater treated</v>
      </c>
    </row>
    <row r="34" spans="2:6" x14ac:dyDescent="0.25">
      <c r="B34" s="11" t="s">
        <v>34</v>
      </c>
      <c r="C34" s="12">
        <f>SUM(C13:C33)</f>
        <v>3.0796858789999999E-2</v>
      </c>
      <c r="D34" s="12">
        <f>SUM(D13:D33)</f>
        <v>4.0200354700000003E-2</v>
      </c>
    </row>
    <row r="35" spans="2:6" x14ac:dyDescent="0.25">
      <c r="B35" s="11" t="s">
        <v>22</v>
      </c>
      <c r="C35" s="12">
        <f>MAX($C$34:$D$34)</f>
        <v>4.0200354700000003E-2</v>
      </c>
      <c r="D35" s="12">
        <f>MAX($C$34:$D$34)</f>
        <v>4.0200354700000003E-2</v>
      </c>
      <c r="F35" s="63"/>
    </row>
    <row r="36" spans="2:6" x14ac:dyDescent="0.25"/>
    <row r="37" spans="2:6" x14ac:dyDescent="0.25">
      <c r="B37" s="1" t="str">
        <f>CONCATENATE(INDEX(LookUps!$B$5:$B$12,MATCH(AP!$B$1,LookUps!$E$5:$E$12,0))," (Contribution %)")</f>
        <v>Acidification Potential (Contribution %)</v>
      </c>
    </row>
    <row r="38" spans="2:6" x14ac:dyDescent="0.25"/>
    <row r="39" spans="2:6" x14ac:dyDescent="0.25">
      <c r="B39" s="56" t="s">
        <v>47</v>
      </c>
      <c r="C39" s="1" t="s">
        <v>45</v>
      </c>
      <c r="D39" s="1" t="s">
        <v>46</v>
      </c>
      <c r="E39" s="10" t="s">
        <v>27</v>
      </c>
    </row>
    <row r="40" spans="2:6" x14ac:dyDescent="0.25">
      <c r="B40" s="57" t="str">
        <f>LookUps!$G$5</f>
        <v>Wastewater collection; operation and infrastructure; m3 wastewater</v>
      </c>
      <c r="C40" s="60">
        <f>IF(ISERROR(C13/C$34), "",C13/ C$34)</f>
        <v>3.993913822144067E-2</v>
      </c>
      <c r="D40" s="60">
        <f>IF(ISERROR(D13/D$34), "",D13/ D$34)</f>
        <v>3.0596744958571221E-2</v>
      </c>
      <c r="E40" s="9" t="str">
        <f>CONCATENATE("(",INDEX(LookUps!$D$5:$D$12,MATCH(AP!$B$1,LookUps!$E$5:$E$12,0)), "/m3 wastewater treated")</f>
        <v>(kg SO2 eq/m3 wastewater treated</v>
      </c>
    </row>
    <row r="41" spans="2:6" x14ac:dyDescent="0.25">
      <c r="B41" s="58" t="str">
        <f>LookUps!$G$6</f>
        <v>Influent Pump Station; wastewater treatment unit; at updated plant - US</v>
      </c>
      <c r="C41" s="61"/>
      <c r="D41" s="62">
        <f>IF(ISERROR(D14/D$34), "",D14/ D$34)</f>
        <v>5.1492082979058877E-2</v>
      </c>
      <c r="E41" s="9" t="str">
        <f>CONCATENATE("(",INDEX(LookUps!$D$5:$D$12,MATCH(AP!$B$1,LookUps!$E$5:$E$12,0)), "/m3 wastewater treated")</f>
        <v>(kg SO2 eq/m3 wastewater treated</v>
      </c>
    </row>
    <row r="42" spans="2:6" x14ac:dyDescent="0.25">
      <c r="B42" s="58" t="str">
        <f>LookUps!$H$6</f>
        <v>Screening and Grit Removal - US</v>
      </c>
      <c r="C42" s="62">
        <f>IF(ISERROR(C15/C$34), "",C15/ C$34)</f>
        <v>2.3379007739379905E-2</v>
      </c>
      <c r="D42" s="61"/>
      <c r="E42" s="9" t="str">
        <f>CONCATENATE("(",INDEX(LookUps!$D$5:$D$12,MATCH(AP!$B$1,LookUps!$E$5:$E$12,0)), "/m3 wastewater treated")</f>
        <v>(kg SO2 eq/m3 wastewater treated</v>
      </c>
    </row>
    <row r="43" spans="2:6" x14ac:dyDescent="0.25">
      <c r="B43" s="58" t="str">
        <f>LookUps!$G$8</f>
        <v>Clear Cove Primary Clarification; wastewater treatment unit; at updated plant - US</v>
      </c>
      <c r="C43" s="61"/>
      <c r="D43" s="62">
        <f>IF(ISERROR(D16/D$34), "",D16/ D$34)</f>
        <v>0.12387950397860543</v>
      </c>
      <c r="E43" s="9" t="str">
        <f>CONCATENATE("(",INDEX(LookUps!$D$5:$D$12,MATCH(AP!$B$1,LookUps!$E$5:$E$12,0)), "/m3 wastewater treated")</f>
        <v>(kg SO2 eq/m3 wastewater treated</v>
      </c>
    </row>
    <row r="44" spans="2:6" x14ac:dyDescent="0.25">
      <c r="B44" s="58" t="str">
        <f>LookUps!$H$8</f>
        <v>Primary Clarifier; wastewater treatment unit - US</v>
      </c>
      <c r="C44" s="62">
        <f>IF(ISERROR(C17/C$34), "",C17/ C$34)</f>
        <v>0.15131413342431993</v>
      </c>
      <c r="D44" s="61"/>
      <c r="E44" s="9" t="str">
        <f>CONCATENATE("(",INDEX(LookUps!$D$5:$D$12,MATCH(AP!$B$1,LookUps!$E$5:$E$12,0)), "/m3 wastewater treated")</f>
        <v>(kg SO2 eq/m3 wastewater treated</v>
      </c>
    </row>
    <row r="45" spans="2:6" x14ac:dyDescent="0.25">
      <c r="B45" s="58" t="str">
        <f>LookUps!$G$17</f>
        <v>ClearCove SCP; wastewater treatment unit; at updated plant - US</v>
      </c>
      <c r="C45" s="61"/>
      <c r="D45" s="62">
        <f t="shared" ref="D45:D50" si="0">IF(ISERROR(D18/D$34), "",D18/ D$34)</f>
        <v>6.4676046253890384E-3</v>
      </c>
      <c r="E45" s="9" t="str">
        <f>CONCATENATE("(",INDEX(LookUps!$D$5:$D$12,MATCH(AP!$B$1,LookUps!$E$5:$E$12,0)), "/m3 wastewater treated")</f>
        <v>(kg SO2 eq/m3 wastewater treated</v>
      </c>
    </row>
    <row r="46" spans="2:6" x14ac:dyDescent="0.25">
      <c r="B46" s="58" t="str">
        <f>LookUps!$G$7</f>
        <v>Wet Well and Sump Station; wastewater treatment unit; at updated plant - US</v>
      </c>
      <c r="C46" s="61"/>
      <c r="D46" s="62">
        <f t="shared" si="0"/>
        <v>8.5820138298431478E-2</v>
      </c>
      <c r="E46" s="9" t="str">
        <f>CONCATENATE("(",INDEX(LookUps!$D$5:$D$12,MATCH(AP!$B$1,LookUps!$E$5:$E$12,0)), "/m3 wastewater treated")</f>
        <v>(kg SO2 eq/m3 wastewater treated</v>
      </c>
    </row>
    <row r="47" spans="2:6" x14ac:dyDescent="0.25">
      <c r="B47" s="58" t="str">
        <f>LookUps!$G$13</f>
        <v>Pre-Anoxic &amp; Swing tank; wastewater treatment unit; at updated plant - US</v>
      </c>
      <c r="C47" s="61"/>
      <c r="D47" s="62">
        <f t="shared" si="0"/>
        <v>0.10771049241513282</v>
      </c>
      <c r="E47" s="9" t="str">
        <f>CONCATENATE("(",INDEX(LookUps!$D$5:$D$12,MATCH(AP!$B$1,LookUps!$E$5:$E$12,0)), "/m3 wastewater treated")</f>
        <v>(kg SO2 eq/m3 wastewater treated</v>
      </c>
    </row>
    <row r="48" spans="2:6" x14ac:dyDescent="0.25">
      <c r="B48" s="58" t="str">
        <f>LookUps!$J$9</f>
        <v>Aeration Tanks; wastewater treatment unit - US</v>
      </c>
      <c r="C48" s="62">
        <f>IF(ISERROR(C21/C$34), "",C21/ C$34)</f>
        <v>0.4260174743620338</v>
      </c>
      <c r="D48" s="62">
        <f t="shared" si="0"/>
        <v>0.42835442941999707</v>
      </c>
      <c r="E48" s="9" t="str">
        <f>CONCATENATE("(",INDEX(LookUps!$D$5:$D$12,MATCH(AP!$B$1,LookUps!$E$5:$E$12,0)), "/m3 wastewater treated")</f>
        <v>(kg SO2 eq/m3 wastewater treated</v>
      </c>
    </row>
    <row r="49" spans="2:5" x14ac:dyDescent="0.25">
      <c r="B49" s="58" t="str">
        <f>LookUps!$G$12</f>
        <v>Waste Receiving and Holding; wastewater treatment unit; at updated plant - US</v>
      </c>
      <c r="C49" s="61"/>
      <c r="D49" s="62">
        <f t="shared" si="0"/>
        <v>5.9203457724715053E-2</v>
      </c>
      <c r="E49" s="9" t="str">
        <f>CONCATENATE("(",INDEX(LookUps!$D$5:$D$12,MATCH(AP!$B$1,LookUps!$E$5:$E$12,0)), "/m3 wastewater treated")</f>
        <v>(kg SO2 eq/m3 wastewater treated</v>
      </c>
    </row>
    <row r="50" spans="2:5" x14ac:dyDescent="0.25">
      <c r="B50" s="58" t="str">
        <f>LookUps!$G$11</f>
        <v>Gravity Belt Thickener; wastewater treatment unit; at updated plant - US</v>
      </c>
      <c r="C50" s="61"/>
      <c r="D50" s="62">
        <f t="shared" si="0"/>
        <v>1.741278168373972E-2</v>
      </c>
      <c r="E50" s="9" t="str">
        <f>CONCATENATE("(",INDEX(LookUps!$D$5:$D$12,MATCH(AP!$B$1,LookUps!$E$5:$E$12,0)), "/m3 wastewater treated")</f>
        <v>(kg SO2 eq/m3 wastewater treated</v>
      </c>
    </row>
    <row r="51" spans="2:5" x14ac:dyDescent="0.25">
      <c r="B51" s="58" t="str">
        <f>LookUps!$H$11</f>
        <v>Sludge Thickener; wastewater treatment unit - US</v>
      </c>
      <c r="C51" s="62">
        <f>IF(ISERROR(C24/C$34), "",C24/ C$34)</f>
        <v>2.691082897938631E-3</v>
      </c>
      <c r="D51" s="61"/>
      <c r="E51" s="9" t="str">
        <f>CONCATENATE("(",INDEX(LookUps!$D$5:$D$12,MATCH(AP!$B$1,LookUps!$E$5:$E$12,0)), "/m3 wastewater treated")</f>
        <v>(kg SO2 eq/m3 wastewater treated</v>
      </c>
    </row>
    <row r="52" spans="2:5" x14ac:dyDescent="0.25">
      <c r="B52" s="58" t="str">
        <f>LookUps!$G$14</f>
        <v>Blend Tank; wastewater treatment unit; at updated plant - US</v>
      </c>
      <c r="C52" s="61"/>
      <c r="D52" s="62">
        <f>IF(ISERROR(D25/D$34), "",D25/ D$34)</f>
        <v>1.2935209250778077E-2</v>
      </c>
      <c r="E52" s="9" t="str">
        <f>CONCATENATE("(",INDEX(LookUps!$D$5:$D$12,MATCH(AP!$B$1,LookUps!$E$5:$E$12,0)), "/m3 wastewater treated")</f>
        <v>(kg SO2 eq/m3 wastewater treated</v>
      </c>
    </row>
    <row r="53" spans="2:5" x14ac:dyDescent="0.25">
      <c r="B53" s="58" t="str">
        <f>LookUps!$G$19</f>
        <v>Anaerobic Digestion; wastewater treatment unit; at updated plant - US</v>
      </c>
      <c r="C53" s="61"/>
      <c r="D53" s="62">
        <f>IF(ISERROR(D26/D$34), "",D26/ D$34)</f>
        <v>-0.16044634551445885</v>
      </c>
      <c r="E53" s="9" t="str">
        <f>CONCATENATE("(",INDEX(LookUps!$D$5:$D$12,MATCH(AP!$B$1,LookUps!$E$5:$E$12,0)), "/m3 wastewater treated")</f>
        <v>(kg SO2 eq/m3 wastewater treated</v>
      </c>
    </row>
    <row r="54" spans="2:5" x14ac:dyDescent="0.25">
      <c r="B54" s="58" t="str">
        <f>LookUps!$H$19</f>
        <v>Aerobic Digester; wastewater treatment unit - US</v>
      </c>
      <c r="C54" s="62">
        <f>IF(ISERROR(C27/C$34), "",C27/ C$34)</f>
        <v>0.43608343602760014</v>
      </c>
      <c r="D54" s="61"/>
      <c r="E54" s="9" t="str">
        <f>CONCATENATE("(",INDEX(LookUps!$D$5:$D$12,MATCH(AP!$B$1,LookUps!$E$5:$E$12,0)), "/m3 wastewater treated")</f>
        <v>(kg SO2 eq/m3 wastewater treated</v>
      </c>
    </row>
    <row r="55" spans="2:5" x14ac:dyDescent="0.25">
      <c r="B55" s="58" t="str">
        <f>LookUps!$J$15</f>
        <v>Belt filter press; wastewater treatment unit - US</v>
      </c>
      <c r="C55" s="62">
        <f t="shared" ref="C55:D55" si="1">IF(ISERROR(C28/C$34), "",C28/ C$34)</f>
        <v>2.0781340212782138E-2</v>
      </c>
      <c r="D55" s="62">
        <f t="shared" si="1"/>
        <v>1.915405985211369E-2</v>
      </c>
      <c r="E55" s="9" t="str">
        <f>CONCATENATE("(",INDEX(LookUps!$D$5:$D$12,MATCH(AP!$B$1,LookUps!$E$5:$E$12,0)), "/m3 wastewater treated")</f>
        <v>(kg SO2 eq/m3 wastewater treated</v>
      </c>
    </row>
    <row r="56" spans="2:5" x14ac:dyDescent="0.25">
      <c r="B56"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56" s="61"/>
      <c r="D56" s="62">
        <f>IF(ISERROR(D29/D$34), "",D29/ D$34)</f>
        <v>0.14129228566234517</v>
      </c>
      <c r="E56" s="9" t="str">
        <f>CONCATENATE("(",INDEX(LookUps!$D$5:$D$12,MATCH(AP!$B$1,LookUps!$E$5:$E$12,0)), "/m3 wastewater treated")</f>
        <v>(kg SO2 eq/m3 wastewater treated</v>
      </c>
    </row>
    <row r="57" spans="2:5" x14ac:dyDescent="0.25">
      <c r="B57" s="58" t="str">
        <f>LookUps!$G$18</f>
        <v>Land application of compost; wastewater treatment unit; at updated plant - US</v>
      </c>
      <c r="C57" s="61"/>
      <c r="D57" s="62">
        <f>IF(ISERROR(D30/D$34), "",D30/ D$34)</f>
        <v>6.6417324422264362E-2</v>
      </c>
      <c r="E57" s="9" t="str">
        <f>CONCATENATE("(",INDEX(LookUps!$D$5:$D$12,MATCH(AP!$B$1,LookUps!$E$5:$E$12,0)), "/m3 wastewater treated")</f>
        <v>(kg SO2 eq/m3 wastewater treated</v>
      </c>
    </row>
    <row r="58" spans="2:5" x14ac:dyDescent="0.25">
      <c r="B58" s="58" t="str">
        <f>LookUps!$H$18</f>
        <v>Sludge Disposal; wastewater treatment unit - US</v>
      </c>
      <c r="C58" s="62">
        <f>IF(ISERROR(C31/C$34), "",C31/ C$34)</f>
        <v>-0.10455611794556013</v>
      </c>
      <c r="D58" s="59"/>
      <c r="E58" s="9" t="str">
        <f>CONCATENATE("(",INDEX(LookUps!$D$5:$D$12,MATCH(AP!$B$1,LookUps!$E$5:$E$12,0)), "/m3 wastewater treated")</f>
        <v>(kg SO2 eq/m3 wastewater treated</v>
      </c>
    </row>
    <row r="59" spans="2:5" x14ac:dyDescent="0.25">
      <c r="B59" s="58" t="str">
        <f>LookUps!$G$20</f>
        <v>Effluent release; wastewater treatment unit; at surface water; m3 wastewater - US</v>
      </c>
      <c r="C59" s="62">
        <f t="shared" ref="C59:D60" si="2">IF(ISERROR(C32/C$34), "",C32/ C$34)</f>
        <v>1.2929532934355479E-4</v>
      </c>
      <c r="D59" s="62">
        <f t="shared" si="2"/>
        <v>8.7063908418698599E-3</v>
      </c>
      <c r="E59" s="9" t="str">
        <f>CONCATENATE("(",INDEX(LookUps!$D$5:$D$12,MATCH(AP!$B$1,LookUps!$E$5:$E$12,0)), "/m3 wastewater treated")</f>
        <v>(kg SO2 eq/m3 wastewater treated</v>
      </c>
    </row>
    <row r="60" spans="2:5" x14ac:dyDescent="0.25">
      <c r="B60" s="58" t="str">
        <f>LookUps!$J$10</f>
        <v>Control Building; at wastewater treatment plant - US</v>
      </c>
      <c r="C60" s="62">
        <f>IF(ISERROR(C33/C$34), "",C33/ C$34)</f>
        <v>4.2212097307213715E-3</v>
      </c>
      <c r="D60" s="62">
        <f t="shared" si="2"/>
        <v>1.0038394014468732E-3</v>
      </c>
      <c r="E60" s="9" t="str">
        <f>CONCATENATE("(",INDEX(LookUps!$D$5:$D$12,MATCH(AP!$B$1,LookUps!$E$5:$E$12,0)), "/m3 wastewater treated")</f>
        <v>(kg SO2 eq/m3 wastewater treated</v>
      </c>
    </row>
    <row r="61" spans="2:5" x14ac:dyDescent="0.25">
      <c r="B61" s="11" t="s">
        <v>34</v>
      </c>
      <c r="C61" s="63">
        <f>SUM(C40:C60)</f>
        <v>1</v>
      </c>
      <c r="D61" s="63">
        <f>SUM(D40:D60)</f>
        <v>0.99999999999999978</v>
      </c>
    </row>
    <row r="62" spans="2:5" x14ac:dyDescent="0.25"/>
    <row r="63" spans="2:5" x14ac:dyDescent="0.25">
      <c r="B63" s="1" t="str">
        <f>CONCATENATE(INDEX(LookUps!$B$5:$B$12,MATCH(AP!$B$1,LookUps!$E$5:$E$12,0))," (% of Maximum)")</f>
        <v>Acidification Potential (% of Maximum)</v>
      </c>
    </row>
    <row r="64" spans="2:5" x14ac:dyDescent="0.25"/>
    <row r="65" spans="2:5" x14ac:dyDescent="0.25">
      <c r="B65" s="56" t="s">
        <v>47</v>
      </c>
      <c r="C65" s="1" t="s">
        <v>45</v>
      </c>
      <c r="D65" s="1" t="s">
        <v>46</v>
      </c>
      <c r="E65" s="10" t="s">
        <v>27</v>
      </c>
    </row>
    <row r="66" spans="2:5" x14ac:dyDescent="0.25">
      <c r="B66" s="57" t="str">
        <f>LookUps!$G$5</f>
        <v>Wastewater collection; operation and infrastructure; m3 wastewater</v>
      </c>
      <c r="C66" s="13">
        <f>IF(ISERROR(C13/C$35),"",C13/C$35)</f>
        <v>3.0596744958571221E-2</v>
      </c>
      <c r="D66" s="60">
        <f>IF(ISERROR(D13/D$35),"",D13/D$35)</f>
        <v>3.0596744958571221E-2</v>
      </c>
      <c r="E66" s="9" t="str">
        <f>CONCATENATE("(",INDEX(LookUps!$D$5:$D$12,MATCH(AP!$B$1,LookUps!$E$5:$E$12,0)), "/m3 wastewater treated")</f>
        <v>(kg SO2 eq/m3 wastewater treated</v>
      </c>
    </row>
    <row r="67" spans="2:5" x14ac:dyDescent="0.25">
      <c r="B67" s="58" t="str">
        <f>LookUps!$G$6</f>
        <v>Influent Pump Station; wastewater treatment unit; at updated plant - US</v>
      </c>
      <c r="C67" s="61"/>
      <c r="D67" s="62">
        <f>IF(ISERROR(D14/D$35),"",D14/D$35)</f>
        <v>5.1492082979058877E-2</v>
      </c>
      <c r="E67" s="9" t="str">
        <f>CONCATENATE("(",INDEX(LookUps!$D$5:$D$12,MATCH(AP!$B$1,LookUps!$E$5:$E$12,0)), "/m3 wastewater treated")</f>
        <v>(kg SO2 eq/m3 wastewater treated</v>
      </c>
    </row>
    <row r="68" spans="2:5" x14ac:dyDescent="0.25">
      <c r="B68" s="58" t="str">
        <f>LookUps!$H$6</f>
        <v>Screening and Grit Removal - US</v>
      </c>
      <c r="C68" s="62">
        <f>IF(ISERROR(C15/C$35),"",C15/C$35)</f>
        <v>1.7910289731846569E-2</v>
      </c>
      <c r="D68" s="61"/>
      <c r="E68" s="9" t="str">
        <f>CONCATENATE("(",INDEX(LookUps!$D$5:$D$12,MATCH(AP!$B$1,LookUps!$E$5:$E$12,0)), "/m3 wastewater treated")</f>
        <v>(kg SO2 eq/m3 wastewater treated</v>
      </c>
    </row>
    <row r="69" spans="2:5" x14ac:dyDescent="0.25">
      <c r="B69" s="58" t="str">
        <f>LookUps!$G$8</f>
        <v>Clear Cove Primary Clarification; wastewater treatment unit; at updated plant - US</v>
      </c>
      <c r="C69" s="61"/>
      <c r="D69" s="62">
        <f>IF(ISERROR(D16/D$35),"",D16/D$35)</f>
        <v>0.12387950397860543</v>
      </c>
      <c r="E69" s="9" t="str">
        <f>CONCATENATE("(",INDEX(LookUps!$D$5:$D$12,MATCH(AP!$B$1,LookUps!$E$5:$E$12,0)), "/m3 wastewater treated")</f>
        <v>(kg SO2 eq/m3 wastewater treated</v>
      </c>
    </row>
    <row r="70" spans="2:5" x14ac:dyDescent="0.25">
      <c r="B70" s="58" t="str">
        <f>LookUps!$H$8</f>
        <v>Primary Clarifier; wastewater treatment unit - US</v>
      </c>
      <c r="C70" s="62">
        <f>IF(ISERROR(C17/C$35),"",C17/C$35)</f>
        <v>0.11591937520889585</v>
      </c>
      <c r="D70" s="61"/>
      <c r="E70" s="9" t="str">
        <f>CONCATENATE("(",INDEX(LookUps!$D$5:$D$12,MATCH(AP!$B$1,LookUps!$E$5:$E$12,0)), "/m3 wastewater treated")</f>
        <v>(kg SO2 eq/m3 wastewater treated</v>
      </c>
    </row>
    <row r="71" spans="2:5" x14ac:dyDescent="0.25">
      <c r="B71" s="58" t="str">
        <f>LookUps!$G$17</f>
        <v>ClearCove SCP; wastewater treatment unit; at updated plant - US</v>
      </c>
      <c r="C71" s="61"/>
      <c r="D71" s="62">
        <f t="shared" ref="D71:D76" si="3">IF(ISERROR(D18/D$35),"",D18/D$35)</f>
        <v>6.4676046253890384E-3</v>
      </c>
      <c r="E71" s="9" t="str">
        <f>CONCATENATE("(",INDEX(LookUps!$D$5:$D$12,MATCH(AP!$B$1,LookUps!$E$5:$E$12,0)), "/m3 wastewater treated")</f>
        <v>(kg SO2 eq/m3 wastewater treated</v>
      </c>
    </row>
    <row r="72" spans="2:5" x14ac:dyDescent="0.25">
      <c r="B72" s="58" t="str">
        <f>LookUps!$G$7</f>
        <v>Wet Well and Sump Station; wastewater treatment unit; at updated plant - US</v>
      </c>
      <c r="C72" s="61"/>
      <c r="D72" s="62">
        <f t="shared" si="3"/>
        <v>8.5820138298431478E-2</v>
      </c>
      <c r="E72" s="9" t="str">
        <f>CONCATENATE("(",INDEX(LookUps!$D$5:$D$12,MATCH(AP!$B$1,LookUps!$E$5:$E$12,0)), "/m3 wastewater treated")</f>
        <v>(kg SO2 eq/m3 wastewater treated</v>
      </c>
    </row>
    <row r="73" spans="2:5" x14ac:dyDescent="0.25">
      <c r="B73" s="58" t="str">
        <f>LookUps!$G$13</f>
        <v>Pre-Anoxic &amp; Swing tank; wastewater treatment unit; at updated plant - US</v>
      </c>
      <c r="C73" s="61"/>
      <c r="D73" s="62">
        <f t="shared" si="3"/>
        <v>0.10771049241513282</v>
      </c>
      <c r="E73" s="9" t="str">
        <f>CONCATENATE("(",INDEX(LookUps!$D$5:$D$12,MATCH(AP!$B$1,LookUps!$E$5:$E$12,0)), "/m3 wastewater treated")</f>
        <v>(kg SO2 eq/m3 wastewater treated</v>
      </c>
    </row>
    <row r="74" spans="2:5" x14ac:dyDescent="0.25">
      <c r="B74" s="58" t="str">
        <f>LookUps!$J$9</f>
        <v>Aeration Tanks; wastewater treatment unit - US</v>
      </c>
      <c r="C74" s="62">
        <f>IF(ISERROR(C21/C$35),"",C21/C$35)</f>
        <v>0.32636527955809302</v>
      </c>
      <c r="D74" s="62">
        <f t="shared" si="3"/>
        <v>0.42835442941999707</v>
      </c>
      <c r="E74" s="9" t="str">
        <f>CONCATENATE("(",INDEX(LookUps!$D$5:$D$12,MATCH(AP!$B$1,LookUps!$E$5:$E$12,0)), "/m3 wastewater treated")</f>
        <v>(kg SO2 eq/m3 wastewater treated</v>
      </c>
    </row>
    <row r="75" spans="2:5" x14ac:dyDescent="0.25">
      <c r="B75" s="58" t="str">
        <f>LookUps!$G$12</f>
        <v>Waste Receiving and Holding; wastewater treatment unit; at updated plant - US</v>
      </c>
      <c r="C75" s="61"/>
      <c r="D75" s="62">
        <f t="shared" si="3"/>
        <v>5.9203457724715053E-2</v>
      </c>
      <c r="E75" s="9" t="str">
        <f>CONCATENATE("(",INDEX(LookUps!$D$5:$D$12,MATCH(AP!$B$1,LookUps!$E$5:$E$12,0)), "/m3 wastewater treated")</f>
        <v>(kg SO2 eq/m3 wastewater treated</v>
      </c>
    </row>
    <row r="76" spans="2:5" x14ac:dyDescent="0.25">
      <c r="B76" s="58" t="str">
        <f>LookUps!$G$11</f>
        <v>Gravity Belt Thickener; wastewater treatment unit; at updated plant - US</v>
      </c>
      <c r="C76" s="61"/>
      <c r="D76" s="62">
        <f t="shared" si="3"/>
        <v>1.741278168373972E-2</v>
      </c>
      <c r="E76" s="9" t="str">
        <f>CONCATENATE("(",INDEX(LookUps!$D$5:$D$12,MATCH(AP!$B$1,LookUps!$E$5:$E$12,0)), "/m3 wastewater treated")</f>
        <v>(kg SO2 eq/m3 wastewater treated</v>
      </c>
    </row>
    <row r="77" spans="2:5" x14ac:dyDescent="0.25">
      <c r="B77" s="58" t="str">
        <f>LookUps!$H$11</f>
        <v>Sludge Thickener; wastewater treatment unit - US</v>
      </c>
      <c r="C77" s="62">
        <f>IF(ISERROR(C24/C$35),"",C24/C$35)</f>
        <v>2.0615962376073264E-3</v>
      </c>
      <c r="D77" s="61"/>
      <c r="E77" s="9" t="str">
        <f>CONCATENATE("(",INDEX(LookUps!$D$5:$D$12,MATCH(AP!$B$1,LookUps!$E$5:$E$12,0)), "/m3 wastewater treated")</f>
        <v>(kg SO2 eq/m3 wastewater treated</v>
      </c>
    </row>
    <row r="78" spans="2:5" x14ac:dyDescent="0.25">
      <c r="B78" s="58" t="str">
        <f>LookUps!$G$14</f>
        <v>Blend Tank; wastewater treatment unit; at updated plant - US</v>
      </c>
      <c r="C78" s="61"/>
      <c r="D78" s="62">
        <f>IF(ISERROR(D25/D$35),"",D25/D$35)</f>
        <v>1.2935209250778077E-2</v>
      </c>
      <c r="E78" s="9" t="str">
        <f>CONCATENATE("(",INDEX(LookUps!$D$5:$D$12,MATCH(AP!$B$1,LookUps!$E$5:$E$12,0)), "/m3 wastewater treated")</f>
        <v>(kg SO2 eq/m3 wastewater treated</v>
      </c>
    </row>
    <row r="79" spans="2:5" x14ac:dyDescent="0.25">
      <c r="B79" s="58" t="str">
        <f>LookUps!$G$19</f>
        <v>Anaerobic Digestion; wastewater treatment unit; at updated plant - US</v>
      </c>
      <c r="C79" s="61"/>
      <c r="D79" s="62">
        <f>IF(ISERROR(D26/D$35),"",D26/D$35)</f>
        <v>-0.16044634551445885</v>
      </c>
      <c r="E79" s="9" t="str">
        <f>CONCATENATE("(",INDEX(LookUps!$D$5:$D$12,MATCH(AP!$B$1,LookUps!$E$5:$E$12,0)), "/m3 wastewater treated")</f>
        <v>(kg SO2 eq/m3 wastewater treated</v>
      </c>
    </row>
    <row r="80" spans="2:5" x14ac:dyDescent="0.25">
      <c r="B80" s="58" t="str">
        <f>LookUps!$H$19</f>
        <v>Aerobic Digester; wastewater treatment unit - US</v>
      </c>
      <c r="C80" s="62">
        <f t="shared" ref="C80:D86" si="4">IF(ISERROR(C27/C$35),"",C27/C$35)</f>
        <v>0.33407665430374917</v>
      </c>
      <c r="D80" s="61"/>
      <c r="E80" s="9" t="str">
        <f>CONCATENATE("(",INDEX(LookUps!$D$5:$D$12,MATCH(AP!$B$1,LookUps!$E$5:$E$12,0)), "/m3 wastewater treated")</f>
        <v>(kg SO2 eq/m3 wastewater treated</v>
      </c>
    </row>
    <row r="81" spans="1:5" x14ac:dyDescent="0.25">
      <c r="B81" s="58" t="str">
        <f>LookUps!$J$15</f>
        <v>Belt filter press; wastewater treatment unit - US</v>
      </c>
      <c r="C81" s="62">
        <f t="shared" si="4"/>
        <v>1.5920257539419173E-2</v>
      </c>
      <c r="D81" s="62">
        <f t="shared" si="4"/>
        <v>1.915405985211369E-2</v>
      </c>
      <c r="E81" s="9" t="str">
        <f>CONCATENATE("(",INDEX(LookUps!$D$5:$D$12,MATCH(AP!$B$1,LookUps!$E$5:$E$12,0)), "/m3 wastewater treated")</f>
        <v>(kg SO2 eq/m3 wastewater treated</v>
      </c>
    </row>
    <row r="82" spans="1:5" x14ac:dyDescent="0.25">
      <c r="B82"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82" s="61"/>
      <c r="D82" s="62">
        <f t="shared" si="4"/>
        <v>0.14129228566234517</v>
      </c>
      <c r="E82" s="9" t="str">
        <f>CONCATENATE("(",INDEX(LookUps!$D$5:$D$12,MATCH(AP!$B$1,LookUps!$E$5:$E$12,0)), "/m3 wastewater treated")</f>
        <v>(kg SO2 eq/m3 wastewater treated</v>
      </c>
    </row>
    <row r="83" spans="1:5" x14ac:dyDescent="0.25">
      <c r="B83" s="58" t="str">
        <f>LookUps!$G$18</f>
        <v>Land application of compost; wastewater treatment unit; at updated plant - US</v>
      </c>
      <c r="C83" s="61"/>
      <c r="D83" s="62">
        <f t="shared" si="4"/>
        <v>6.6417324422264362E-2</v>
      </c>
      <c r="E83" s="9" t="str">
        <f>CONCATENATE("(",INDEX(LookUps!$D$5:$D$12,MATCH(AP!$B$1,LookUps!$E$5:$E$12,0)), "/m3 wastewater treated")</f>
        <v>(kg SO2 eq/m3 wastewater treated</v>
      </c>
    </row>
    <row r="84" spans="1:5" x14ac:dyDescent="0.25">
      <c r="B84" s="58" t="str">
        <f>LookUps!$H$18</f>
        <v>Sludge Disposal; wastewater treatment unit - US</v>
      </c>
      <c r="C84" s="62">
        <f t="shared" si="4"/>
        <v>-8.0098795745202719E-2</v>
      </c>
      <c r="D84" s="59"/>
      <c r="E84" s="9" t="str">
        <f>CONCATENATE("(",INDEX(LookUps!$D$5:$D$12,MATCH(AP!$B$1,LookUps!$E$5:$E$12,0)), "/m3 wastewater treated")</f>
        <v>(kg SO2 eq/m3 wastewater treated</v>
      </c>
    </row>
    <row r="85" spans="1:5" x14ac:dyDescent="0.25">
      <c r="B85" s="58" t="str">
        <f>LookUps!$G$20</f>
        <v>Effluent release; wastewater treatment unit; at surface water; m3 wastewater - US</v>
      </c>
      <c r="C85" s="62">
        <f t="shared" si="4"/>
        <v>9.905111608380908E-5</v>
      </c>
      <c r="D85" s="62">
        <f t="shared" si="4"/>
        <v>8.7063908418698599E-3</v>
      </c>
      <c r="E85" s="9" t="str">
        <f>CONCATENATE("(",INDEX(LookUps!$D$5:$D$12,MATCH(AP!$B$1,LookUps!$E$5:$E$12,0)), "/m3 wastewater treated")</f>
        <v>(kg SO2 eq/m3 wastewater treated</v>
      </c>
    </row>
    <row r="86" spans="1:5" x14ac:dyDescent="0.25">
      <c r="B86" s="58" t="str">
        <f>LookUps!$J$10</f>
        <v>Control Building; at wastewater treatment plant - US</v>
      </c>
      <c r="C86" s="62">
        <f t="shared" si="4"/>
        <v>3.2338023126945192E-3</v>
      </c>
      <c r="D86" s="62">
        <f t="shared" si="4"/>
        <v>1.0038394014468732E-3</v>
      </c>
      <c r="E86" s="9" t="str">
        <f>CONCATENATE("(",INDEX(LookUps!$D$5:$D$12,MATCH(AP!$B$1,LookUps!$E$5:$E$12,0)), "/m3 wastewater treated")</f>
        <v>(kg SO2 eq/m3 wastewater treated</v>
      </c>
    </row>
    <row r="87" spans="1:5" x14ac:dyDescent="0.25"/>
    <row r="88" spans="1:5" x14ac:dyDescent="0.25"/>
    <row r="89" spans="1:5" x14ac:dyDescent="0.25">
      <c r="B89" s="1" t="s">
        <v>70</v>
      </c>
    </row>
    <row r="90" spans="1:5" x14ac:dyDescent="0.25"/>
    <row r="91" spans="1:5" x14ac:dyDescent="0.25">
      <c r="A91" s="16" t="s">
        <v>67</v>
      </c>
      <c r="B91" s="56" t="s">
        <v>47</v>
      </c>
      <c r="C91" s="1" t="s">
        <v>45</v>
      </c>
      <c r="D91" s="1" t="s">
        <v>46</v>
      </c>
      <c r="E91" s="10" t="s">
        <v>27</v>
      </c>
    </row>
    <row r="92" spans="1:5" x14ac:dyDescent="0.25">
      <c r="A92" s="18" t="str">
        <f>GWP!A92</f>
        <v>Preliminary/Primary</v>
      </c>
      <c r="B92" s="57" t="str">
        <f>LookUps!$G$5</f>
        <v>Wastewater collection; operation and infrastructure; m3 wastewater</v>
      </c>
      <c r="C92" s="260">
        <f>C13</f>
        <v>1.23E-3</v>
      </c>
      <c r="D92" s="260">
        <f>D13</f>
        <v>1.23E-3</v>
      </c>
      <c r="E92" s="9" t="str">
        <f>CONCATENATE("(",INDEX(LookUps!$D$5:$D$12,MATCH(AP!$B$1,LookUps!$E$5:$E$12,0)), "/m3 wastewater treated")</f>
        <v>(kg SO2 eq/m3 wastewater treated</v>
      </c>
    </row>
    <row r="93" spans="1:5" x14ac:dyDescent="0.25">
      <c r="A93" s="18" t="str">
        <f>GWP!A93</f>
        <v>Preliminary/Primary</v>
      </c>
      <c r="B93" s="58" t="str">
        <f>LookUps!$G$6</f>
        <v>Influent Pump Station; wastewater treatment unit; at updated plant - US</v>
      </c>
      <c r="C93" s="258"/>
      <c r="D93" s="260">
        <f t="shared" ref="D93" si="5">D14</f>
        <v>2.0699999999999998E-3</v>
      </c>
      <c r="E93" s="9" t="str">
        <f>CONCATENATE("(",INDEX(LookUps!$D$5:$D$12,MATCH(AP!$B$1,LookUps!$E$5:$E$12,0)), "/m3 wastewater treated")</f>
        <v>(kg SO2 eq/m3 wastewater treated</v>
      </c>
    </row>
    <row r="94" spans="1:5" x14ac:dyDescent="0.25">
      <c r="A94" s="18" t="str">
        <f>GWP!A94</f>
        <v>Preliminary/Primary</v>
      </c>
      <c r="B94" s="58" t="str">
        <f>LookUps!$H$6</f>
        <v>Screening and Grit Removal - US</v>
      </c>
      <c r="C94" s="260">
        <f t="shared" ref="C94" si="6">C15</f>
        <v>7.2000000000000005E-4</v>
      </c>
      <c r="D94" s="258"/>
      <c r="E94" s="9" t="str">
        <f>CONCATENATE("(",INDEX(LookUps!$D$5:$D$12,MATCH(AP!$B$1,LookUps!$E$5:$E$12,0)), "/m3 wastewater treated")</f>
        <v>(kg SO2 eq/m3 wastewater treated</v>
      </c>
    </row>
    <row r="95" spans="1:5" x14ac:dyDescent="0.25">
      <c r="A95" s="18" t="str">
        <f>GWP!A95</f>
        <v>Preliminary/Primary</v>
      </c>
      <c r="B95" s="58" t="str">
        <f>LookUps!$G$8</f>
        <v>Clear Cove Primary Clarification; wastewater treatment unit; at updated plant - US</v>
      </c>
      <c r="C95" s="258"/>
      <c r="D95" s="260">
        <f t="shared" ref="D95" si="7">D16</f>
        <v>4.9800000000000001E-3</v>
      </c>
      <c r="E95" s="9" t="str">
        <f>CONCATENATE("(",INDEX(LookUps!$D$5:$D$12,MATCH(AP!$B$1,LookUps!$E$5:$E$12,0)), "/m3 wastewater treated")</f>
        <v>(kg SO2 eq/m3 wastewater treated</v>
      </c>
    </row>
    <row r="96" spans="1:5" x14ac:dyDescent="0.25">
      <c r="A96" s="18" t="str">
        <f>GWP!A96</f>
        <v>Preliminary/Primary</v>
      </c>
      <c r="B96" s="58" t="str">
        <f>LookUps!$H$8</f>
        <v>Primary Clarifier; wastewater treatment unit - US</v>
      </c>
      <c r="C96" s="260">
        <f t="shared" ref="C96" si="8">C17</f>
        <v>4.6600000000000001E-3</v>
      </c>
      <c r="D96" s="258"/>
      <c r="E96" s="9" t="str">
        <f>CONCATENATE("(",INDEX(LookUps!$D$5:$D$12,MATCH(AP!$B$1,LookUps!$E$5:$E$12,0)), "/m3 wastewater treated")</f>
        <v>(kg SO2 eq/m3 wastewater treated</v>
      </c>
    </row>
    <row r="97" spans="1:5" x14ac:dyDescent="0.25">
      <c r="A97" s="18" t="str">
        <f>GWP!A97</f>
        <v>Sludge Handling and Treatment</v>
      </c>
      <c r="B97" s="58" t="str">
        <f>LookUps!$G$17</f>
        <v>ClearCove SCP; wastewater treatment unit; at updated plant - US</v>
      </c>
      <c r="C97" s="258"/>
      <c r="D97" s="260">
        <f t="shared" ref="D97:D99" si="9">D18</f>
        <v>2.5999999999999998E-4</v>
      </c>
      <c r="E97" s="9" t="str">
        <f>CONCATENATE("(",INDEX(LookUps!$D$5:$D$12,MATCH(AP!$B$1,LookUps!$E$5:$E$12,0)), "/m3 wastewater treated")</f>
        <v>(kg SO2 eq/m3 wastewater treated</v>
      </c>
    </row>
    <row r="98" spans="1:5" x14ac:dyDescent="0.25">
      <c r="A98" s="18" t="str">
        <f>GWP!A98</f>
        <v>Preliminary/Primary</v>
      </c>
      <c r="B98" s="58" t="str">
        <f>LookUps!$G$7</f>
        <v>Wet Well and Sump Station; wastewater treatment unit; at updated plant - US</v>
      </c>
      <c r="C98" s="258"/>
      <c r="D98" s="260">
        <f t="shared" si="9"/>
        <v>3.4499999999999999E-3</v>
      </c>
      <c r="E98" s="9" t="str">
        <f>CONCATENATE("(",INDEX(LookUps!$D$5:$D$12,MATCH(AP!$B$1,LookUps!$E$5:$E$12,0)), "/m3 wastewater treated")</f>
        <v>(kg SO2 eq/m3 wastewater treated</v>
      </c>
    </row>
    <row r="99" spans="1:5" x14ac:dyDescent="0.25">
      <c r="A99" s="18" t="str">
        <f>GWP!A99</f>
        <v>Biological Treatment</v>
      </c>
      <c r="B99" s="58" t="str">
        <f>LookUps!$G$13</f>
        <v>Pre-Anoxic &amp; Swing tank; wastewater treatment unit; at updated plant - US</v>
      </c>
      <c r="C99" s="258"/>
      <c r="D99" s="260">
        <f t="shared" si="9"/>
        <v>4.3299999999999996E-3</v>
      </c>
      <c r="E99" s="9" t="str">
        <f>CONCATENATE("(",INDEX(LookUps!$D$5:$D$12,MATCH(AP!$B$1,LookUps!$E$5:$E$12,0)), "/m3 wastewater treated")</f>
        <v>(kg SO2 eq/m3 wastewater treated</v>
      </c>
    </row>
    <row r="100" spans="1:5" x14ac:dyDescent="0.25">
      <c r="A100" s="18" t="str">
        <f>GWP!A100</f>
        <v>Biological Treatment</v>
      </c>
      <c r="B100" s="58" t="str">
        <f>LookUps!$J$9</f>
        <v>Aeration Tanks; wastewater treatment unit - US</v>
      </c>
      <c r="C100" s="15">
        <f t="shared" ref="C100:D102" si="10">C21</f>
        <v>1.312E-2</v>
      </c>
      <c r="D100" s="15">
        <f t="shared" si="10"/>
        <v>1.7219999999999999E-2</v>
      </c>
      <c r="E100" s="9" t="str">
        <f>CONCATENATE("(",INDEX(LookUps!$D$5:$D$12,MATCH(AP!$B$1,LookUps!$E$5:$E$12,0)), "/m3 wastewater treated")</f>
        <v>(kg SO2 eq/m3 wastewater treated</v>
      </c>
    </row>
    <row r="101" spans="1:5" x14ac:dyDescent="0.25">
      <c r="A101" s="18" t="str">
        <f>GWP!A101</f>
        <v>Sludge Handling and Treatment</v>
      </c>
      <c r="B101" s="58" t="str">
        <f>LookUps!$G$12</f>
        <v>Waste Receiving and Holding; wastewater treatment unit; at updated plant - US</v>
      </c>
      <c r="C101" s="258"/>
      <c r="D101" s="260">
        <f t="shared" si="10"/>
        <v>2.3800000000000002E-3</v>
      </c>
      <c r="E101" s="9" t="str">
        <f>CONCATENATE("(",INDEX(LookUps!$D$5:$D$12,MATCH(AP!$B$1,LookUps!$E$5:$E$12,0)), "/m3 wastewater treated")</f>
        <v>(kg SO2 eq/m3 wastewater treated</v>
      </c>
    </row>
    <row r="102" spans="1:5" x14ac:dyDescent="0.25">
      <c r="A102" s="18" t="str">
        <f>GWP!A102</f>
        <v>Sludge Handling and Treatment</v>
      </c>
      <c r="B102" s="58" t="str">
        <f>LookUps!$G$11</f>
        <v>Gravity Belt Thickener; wastewater treatment unit; at updated plant - US</v>
      </c>
      <c r="C102" s="258"/>
      <c r="D102" s="260">
        <f t="shared" si="10"/>
        <v>6.9999999999999999E-4</v>
      </c>
      <c r="E102" s="9" t="str">
        <f>CONCATENATE("(",INDEX(LookUps!$D$5:$D$12,MATCH(AP!$B$1,LookUps!$E$5:$E$12,0)), "/m3 wastewater treated")</f>
        <v>(kg SO2 eq/m3 wastewater treated</v>
      </c>
    </row>
    <row r="103" spans="1:5" x14ac:dyDescent="0.25">
      <c r="A103" s="18" t="str">
        <f>GWP!A103</f>
        <v>Sludge Handling and Treatment</v>
      </c>
      <c r="B103" s="58" t="str">
        <f>LookUps!$H$11</f>
        <v>Sludge Thickener; wastewater treatment unit - US</v>
      </c>
      <c r="C103" s="260">
        <f t="shared" ref="C103" si="11">C24</f>
        <v>8.2876900000000006E-5</v>
      </c>
      <c r="D103" s="258"/>
      <c r="E103" s="9" t="str">
        <f>CONCATENATE("(",INDEX(LookUps!$D$5:$D$12,MATCH(AP!$B$1,LookUps!$E$5:$E$12,0)), "/m3 wastewater treated")</f>
        <v>(kg SO2 eq/m3 wastewater treated</v>
      </c>
    </row>
    <row r="104" spans="1:5" x14ac:dyDescent="0.25">
      <c r="A104" s="18" t="str">
        <f>GWP!A104</f>
        <v>Sludge Handling and Treatment</v>
      </c>
      <c r="B104" s="58" t="str">
        <f>LookUps!$G$14</f>
        <v>Blend Tank; wastewater treatment unit; at updated plant - US</v>
      </c>
      <c r="C104" s="258"/>
      <c r="D104" s="260">
        <f>D25</f>
        <v>5.1999999999999995E-4</v>
      </c>
      <c r="E104" s="9" t="str">
        <f>CONCATENATE("(",INDEX(LookUps!$D$5:$D$12,MATCH(AP!$B$1,LookUps!$E$5:$E$12,0)), "/m3 wastewater treated")</f>
        <v>(kg SO2 eq/m3 wastewater treated</v>
      </c>
    </row>
    <row r="105" spans="1:5" x14ac:dyDescent="0.25">
      <c r="A105" s="18" t="str">
        <f>GWP!A105</f>
        <v>Sludge Handling and Treatment</v>
      </c>
      <c r="B105" s="58" t="str">
        <f>LookUps!$G$19</f>
        <v>Anaerobic Digestion; wastewater treatment unit; at updated plant - US</v>
      </c>
      <c r="C105" s="258"/>
      <c r="D105" s="260">
        <f>D26</f>
        <v>-6.45E-3</v>
      </c>
      <c r="E105" s="9" t="str">
        <f>CONCATENATE("(",INDEX(LookUps!$D$5:$D$12,MATCH(AP!$B$1,LookUps!$E$5:$E$12,0)), "/m3 wastewater treated")</f>
        <v>(kg SO2 eq/m3 wastewater treated</v>
      </c>
    </row>
    <row r="106" spans="1:5" x14ac:dyDescent="0.25">
      <c r="A106" s="18" t="str">
        <f>GWP!A106</f>
        <v>Sludge Handling and Treatment</v>
      </c>
      <c r="B106" s="58" t="str">
        <f>LookUps!$H$19</f>
        <v>Aerobic Digester; wastewater treatment unit - US</v>
      </c>
      <c r="C106" s="15">
        <f>C27</f>
        <v>1.3429999999999999E-2</v>
      </c>
      <c r="D106" s="258"/>
      <c r="E106" s="9" t="str">
        <f>CONCATENATE("(",INDEX(LookUps!$D$5:$D$12,MATCH(AP!$B$1,LookUps!$E$5:$E$12,0)), "/m3 wastewater treated")</f>
        <v>(kg SO2 eq/m3 wastewater treated</v>
      </c>
    </row>
    <row r="107" spans="1:5" x14ac:dyDescent="0.25">
      <c r="A107" s="18" t="str">
        <f>GWP!A107</f>
        <v>Sludge Handling and Treatment</v>
      </c>
      <c r="B107" s="58" t="str">
        <f>LookUps!$J$15</f>
        <v>Belt filter press; wastewater treatment unit - US</v>
      </c>
      <c r="C107" s="260">
        <f>C28</f>
        <v>6.4000000000000005E-4</v>
      </c>
      <c r="D107" s="260">
        <f>D28</f>
        <v>7.6999999999999996E-4</v>
      </c>
      <c r="E107" s="9" t="str">
        <f>CONCATENATE("(",INDEX(LookUps!$D$5:$D$12,MATCH(AP!$B$1,LookUps!$E$5:$E$12,0)), "/m3 wastewater treated")</f>
        <v>(kg SO2 eq/m3 wastewater treated</v>
      </c>
    </row>
    <row r="108" spans="1:5" x14ac:dyDescent="0.25">
      <c r="A108" s="18" t="str">
        <f>GWP!A108</f>
        <v>Sludge Handling and Treatment</v>
      </c>
      <c r="B108"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108" s="258"/>
      <c r="D108" s="260">
        <f>D29</f>
        <v>5.6800000000000002E-3</v>
      </c>
      <c r="E108" s="9" t="str">
        <f>CONCATENATE("(",INDEX(LookUps!$D$5:$D$12,MATCH(AP!$B$1,LookUps!$E$5:$E$12,0)), "/m3 wastewater treated")</f>
        <v>(kg SO2 eq/m3 wastewater treated</v>
      </c>
    </row>
    <row r="109" spans="1:5" x14ac:dyDescent="0.25">
      <c r="A109" s="18" t="str">
        <f>GWP!A109</f>
        <v>Sludge Disposal</v>
      </c>
      <c r="B109" s="58" t="str">
        <f>LookUps!$G$18</f>
        <v>Land application of compost; wastewater treatment unit; at updated plant - US</v>
      </c>
      <c r="C109" s="258"/>
      <c r="D109" s="260">
        <f>D30</f>
        <v>2.6700000000000001E-3</v>
      </c>
      <c r="E109" s="9" t="str">
        <f>CONCATENATE("(",INDEX(LookUps!$D$5:$D$12,MATCH(AP!$B$1,LookUps!$E$5:$E$12,0)), "/m3 wastewater treated")</f>
        <v>(kg SO2 eq/m3 wastewater treated</v>
      </c>
    </row>
    <row r="110" spans="1:5" x14ac:dyDescent="0.25">
      <c r="A110" s="18" t="str">
        <f>GWP!A110</f>
        <v>Sludge Disposal</v>
      </c>
      <c r="B110" s="58" t="str">
        <f>LookUps!$H$18</f>
        <v>Sludge Disposal; wastewater treatment unit - US</v>
      </c>
      <c r="C110" s="260">
        <f>C31</f>
        <v>-3.2200000000000002E-3</v>
      </c>
      <c r="D110" s="258"/>
    </row>
    <row r="111" spans="1:5" x14ac:dyDescent="0.25">
      <c r="A111" s="18" t="str">
        <f>GWP!A111</f>
        <v>Effluent Release</v>
      </c>
      <c r="B111" s="58" t="str">
        <f>LookUps!$G$20</f>
        <v>Effluent release; wastewater treatment unit; at surface water; m3 wastewater - US</v>
      </c>
      <c r="C111" s="260">
        <f>C32</f>
        <v>3.9818900000000001E-6</v>
      </c>
      <c r="D111" s="260">
        <f>D32</f>
        <v>3.5E-4</v>
      </c>
      <c r="E111" s="9" t="str">
        <f>CONCATENATE("(",INDEX(LookUps!$D$5:$D$12,MATCH(AP!$B$1,LookUps!$E$5:$E$12,0)), "/m3 wastewater treated")</f>
        <v>(kg SO2 eq/m3 wastewater treated</v>
      </c>
    </row>
    <row r="112" spans="1:5" x14ac:dyDescent="0.25">
      <c r="A112" s="18" t="str">
        <f>GWP!A112</f>
        <v>Facilities</v>
      </c>
      <c r="B112" s="58" t="str">
        <f>LookUps!$J$10</f>
        <v>Control Building; at wastewater treatment plant - US</v>
      </c>
      <c r="C112" s="260">
        <f>C33</f>
        <v>1.2999999999999999E-4</v>
      </c>
      <c r="D112" s="260">
        <f>D33</f>
        <v>4.0354700000000002E-5</v>
      </c>
      <c r="E112" s="9" t="str">
        <f>CONCATENATE("(",INDEX(LookUps!$D$5:$D$12,MATCH(AP!$B$1,LookUps!$E$5:$E$12,0)), "/m3 wastewater treated")</f>
        <v>(kg SO2 eq/m3 wastewater treated</v>
      </c>
    </row>
    <row r="113" spans="1:6" x14ac:dyDescent="0.25">
      <c r="B113" s="11" t="s">
        <v>34</v>
      </c>
      <c r="C113" s="12">
        <f>SUM(C92:C112)</f>
        <v>3.0796858789999999E-2</v>
      </c>
      <c r="D113" s="12">
        <f>SUM(D92:D112)</f>
        <v>4.0200354700000003E-2</v>
      </c>
    </row>
    <row r="114" spans="1:6" ht="13.5" customHeight="1" x14ac:dyDescent="0.25">
      <c r="C114" s="285"/>
      <c r="D114" s="285"/>
    </row>
    <row r="115" spans="1:6" x14ac:dyDescent="0.25">
      <c r="A115" s="18"/>
      <c r="B115" s="11"/>
      <c r="C115" s="286"/>
      <c r="D115" s="286"/>
      <c r="F115" s="19"/>
    </row>
    <row r="116" spans="1:6" x14ac:dyDescent="0.25">
      <c r="A116" s="18"/>
      <c r="B116" s="11"/>
      <c r="C116" s="286"/>
      <c r="D116" s="286"/>
      <c r="F116" s="19"/>
    </row>
    <row r="117" spans="1:6" x14ac:dyDescent="0.25">
      <c r="A117" s="20"/>
      <c r="B117" s="20"/>
      <c r="C117" s="285"/>
      <c r="D117" s="285"/>
      <c r="F117" s="19"/>
    </row>
    <row r="118" spans="1:6" x14ac:dyDescent="0.25">
      <c r="A118" s="342" t="s">
        <v>50</v>
      </c>
      <c r="B118" s="17" t="s">
        <v>47</v>
      </c>
      <c r="C118" s="1" t="s">
        <v>45</v>
      </c>
      <c r="D118" s="1" t="s">
        <v>46</v>
      </c>
      <c r="F118" s="19"/>
    </row>
    <row r="119" spans="1:6" x14ac:dyDescent="0.25">
      <c r="A119" s="342"/>
      <c r="B119" s="21" t="s">
        <v>64</v>
      </c>
      <c r="C119" s="288">
        <f t="shared" ref="C119:C124" si="12">SUMIF($A$92:$A$112,$B119,$C$92:$C$112)</f>
        <v>6.6099999999999996E-3</v>
      </c>
      <c r="D119" s="287">
        <f t="shared" ref="D119:D124" si="13">SUMIF($A$92:$A$112,$B119,$D$92:$D$112)</f>
        <v>1.1729999999999999E-2</v>
      </c>
      <c r="F119" s="19"/>
    </row>
    <row r="120" spans="1:6" x14ac:dyDescent="0.25">
      <c r="A120" s="342"/>
      <c r="B120" s="21" t="s">
        <v>49</v>
      </c>
      <c r="C120" s="287">
        <f t="shared" si="12"/>
        <v>1.312E-2</v>
      </c>
      <c r="D120" s="287">
        <f t="shared" si="13"/>
        <v>2.155E-2</v>
      </c>
      <c r="F120" s="19"/>
    </row>
    <row r="121" spans="1:6" x14ac:dyDescent="0.25">
      <c r="A121" s="342"/>
      <c r="B121" s="21" t="s">
        <v>119</v>
      </c>
      <c r="C121" s="288">
        <f t="shared" si="12"/>
        <v>1.2999999999999999E-4</v>
      </c>
      <c r="D121" s="288">
        <f t="shared" si="13"/>
        <v>4.0354700000000002E-5</v>
      </c>
      <c r="F121" s="19"/>
    </row>
    <row r="122" spans="1:6" x14ac:dyDescent="0.25">
      <c r="A122" s="342"/>
      <c r="B122" s="21" t="s">
        <v>66</v>
      </c>
      <c r="C122" s="287">
        <f t="shared" si="12"/>
        <v>1.41528769E-2</v>
      </c>
      <c r="D122" s="288">
        <f t="shared" si="13"/>
        <v>3.8600000000000001E-3</v>
      </c>
      <c r="F122" s="19"/>
    </row>
    <row r="123" spans="1:6" x14ac:dyDescent="0.25">
      <c r="A123" s="342"/>
      <c r="B123" s="11" t="str">
        <f>LookUps!I18</f>
        <v>Sludge Disposal</v>
      </c>
      <c r="C123" s="288">
        <f t="shared" si="12"/>
        <v>-3.2200000000000002E-3</v>
      </c>
      <c r="D123" s="288">
        <f t="shared" si="13"/>
        <v>2.6700000000000001E-3</v>
      </c>
      <c r="F123" s="19"/>
    </row>
    <row r="124" spans="1:6" x14ac:dyDescent="0.25">
      <c r="A124" s="342"/>
      <c r="B124" s="21" t="s">
        <v>33</v>
      </c>
      <c r="C124" s="288">
        <f t="shared" si="12"/>
        <v>3.9818900000000001E-6</v>
      </c>
      <c r="D124" s="288">
        <f t="shared" si="13"/>
        <v>3.5E-4</v>
      </c>
      <c r="F124" s="19"/>
    </row>
    <row r="125" spans="1:6" x14ac:dyDescent="0.25">
      <c r="B125" s="14" t="s">
        <v>34</v>
      </c>
      <c r="C125" s="137">
        <f>SUM(C119:C124)</f>
        <v>3.0796858790000003E-2</v>
      </c>
      <c r="D125" s="137">
        <f>SUM(D119:D124)</f>
        <v>4.0200354700000003E-2</v>
      </c>
      <c r="F125" s="19"/>
    </row>
    <row r="126" spans="1:6" x14ac:dyDescent="0.25"/>
    <row r="127" spans="1:6" x14ac:dyDescent="0.25">
      <c r="C127" s="12"/>
      <c r="D127" s="12"/>
    </row>
    <row r="128" spans="1:6" x14ac:dyDescent="0.25"/>
    <row r="129" x14ac:dyDescent="0.25"/>
  </sheetData>
  <mergeCells count="1">
    <mergeCell ref="A118:A12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3"/>
  <sheetViews>
    <sheetView zoomScale="60" zoomScaleNormal="60" workbookViewId="0"/>
  </sheetViews>
  <sheetFormatPr defaultColWidth="0" defaultRowHeight="15.75" zeroHeight="1" x14ac:dyDescent="0.25"/>
  <cols>
    <col min="1" max="1" width="27.875" style="9" bestFit="1" customWidth="1"/>
    <col min="2" max="2" width="95.625" style="9" bestFit="1" customWidth="1"/>
    <col min="3" max="4" width="12.25" style="9" customWidth="1"/>
    <col min="5" max="25" width="9" style="9" customWidth="1"/>
    <col min="26" max="16384" width="9" style="9" hidden="1"/>
  </cols>
  <sheetData>
    <row r="1" spans="1:9" ht="21" x14ac:dyDescent="0.35">
      <c r="A1" s="8"/>
      <c r="B1" s="23" t="str">
        <f>LookUps!E7</f>
        <v>Particulate Matter Formation Potential (PMFP) - kg PM2.5 eq</v>
      </c>
    </row>
    <row r="2" spans="1:9" x14ac:dyDescent="0.25">
      <c r="A2" s="24" t="str">
        <f>CONCATENATE("LCIA Results File for ", INDEX(LookUps!$B$5:$B$12,MATCH(PMFP!$B$1,LookUps!$E$5:$E$12,0)), " units are in ", INDEX(LookUps!$D$5:$D$12, MATCH(PMFP!$B$1,LookUps!$E$5:$E$12,0)))</f>
        <v>LCIA Results File for Particulate Matter Formation Potential units are in kg PM2.5 eq</v>
      </c>
      <c r="B2" s="1"/>
    </row>
    <row r="3" spans="1:9" x14ac:dyDescent="0.25">
      <c r="A3" s="24"/>
      <c r="B3" s="1"/>
    </row>
    <row r="4" spans="1:9" x14ac:dyDescent="0.25">
      <c r="A4" s="125" t="s">
        <v>505</v>
      </c>
      <c r="B4" s="1"/>
    </row>
    <row r="5" spans="1:9" s="124" customFormat="1" x14ac:dyDescent="0.25">
      <c r="A5" s="127" t="s">
        <v>211</v>
      </c>
      <c r="B5" s="129" t="str">
        <f>GWP!$B$5</f>
        <v>Base</v>
      </c>
    </row>
    <row r="6" spans="1:9" s="124" customFormat="1" x14ac:dyDescent="0.25">
      <c r="A6" s="128" t="s">
        <v>212</v>
      </c>
      <c r="B6" s="129" t="str">
        <f>GWP!$B$6</f>
        <v>Base</v>
      </c>
    </row>
    <row r="7" spans="1:9" ht="15" customHeight="1" x14ac:dyDescent="0.25">
      <c r="A7" s="66" t="s">
        <v>421</v>
      </c>
      <c r="B7" s="129" t="str">
        <f>GWP!$B$7</f>
        <v>Base_With Amendment</v>
      </c>
    </row>
    <row r="8" spans="1:9" ht="17.25" customHeight="1" x14ac:dyDescent="0.25">
      <c r="A8" s="66" t="s">
        <v>426</v>
      </c>
      <c r="B8" s="129" t="str">
        <f>GWP!$B$8</f>
        <v>Bath Landfill</v>
      </c>
    </row>
    <row r="9" spans="1:9" ht="17.25" customHeight="1" x14ac:dyDescent="0.25">
      <c r="A9" s="66" t="s">
        <v>429</v>
      </c>
      <c r="B9" s="129" t="str">
        <f>GWP!$B$9</f>
        <v>Windrow</v>
      </c>
    </row>
    <row r="10" spans="1:9" x14ac:dyDescent="0.25">
      <c r="A10" s="126" t="s">
        <v>213</v>
      </c>
      <c r="B10" s="1"/>
    </row>
    <row r="11" spans="1:9" x14ac:dyDescent="0.25">
      <c r="B11" s="1"/>
      <c r="I11" s="130" t="str">
        <f>CONCATENATE("Figure is presenting results for the ", GWP!$B$5, " Feedstock-AD scenario and the ", GWP!$B$6, " GHG emissions scenario")</f>
        <v>Figure is presenting results for the Base Feedstock-AD scenario and the Base GHG emissions scenario</v>
      </c>
    </row>
    <row r="12" spans="1:9" x14ac:dyDescent="0.25">
      <c r="B12" s="56" t="s">
        <v>47</v>
      </c>
      <c r="C12" s="1" t="s">
        <v>45</v>
      </c>
      <c r="D12" s="1" t="s">
        <v>46</v>
      </c>
      <c r="E12" s="10" t="s">
        <v>27</v>
      </c>
    </row>
    <row r="13" spans="1:9" x14ac:dyDescent="0.25">
      <c r="B13" s="57" t="str">
        <f>LookUps!$G$5</f>
        <v>Wastewater collection; operation and infrastructure; m3 wastewater</v>
      </c>
      <c r="C13" s="260">
        <f>IF(C$12="Legacy",
SUMIFS(OpenLCAbasic!$J:$J,OpenLCAbasic!$D:$D, "Base", OpenLCAbasic!$F:$F,C$12,OpenLCAbasic!$L:$L,$B$1,OpenLCAbasic!$I:$I,$B13, OpenLCAbasic!$C:$C, $B$8),
IF(AND(NOT(ISERROR(MATCH($B13, LookUps!$J$5:$J$20,0))), C$12="Upgraded"),
SUMIFS(OpenLCAbasic!$J:$J,OpenLCAbasic!$D:$D, GWP!$B$5, OpenLCAbasic!$F:$F,C$12,OpenLCAbasic!$L:$L,$B$1,OpenLCAbasic!$I:$I,INDEX(LookUps!$G$5:$G$20,MATCH($B13, LookUps!$J$5:$J$20,0))),
SUMIFS(OpenLCAbasic!$J:$J,OpenLCAbasic!$D:$D, GWP!$B$5, OpenLCAbasic!$F:$F,C$12,OpenLCAbasic!$L:$L,$B$1,OpenLCAbasic!$I:$I,$B13)))</f>
        <v>1.7000000000000001E-4</v>
      </c>
      <c r="D13" s="260">
        <f>IF(AND(NOT(ISERROR(MATCH($B13, LookUps!$J$5:$J$20,0))), D$12="Upgraded"),
SUMIFS(OpenLCAbasic!$J:$J,OpenLCAbasic!$E:$E, "Base", OpenLCAbasic!$D:$D, GWP!$B$5, OpenLCAbasic!$F:$F,D$12,OpenLCAbasic!$L:$L,$B$1,OpenLCAbasic!$C:$C,$B$7,OpenLCAbasic!$I:$I,INDEX(LookUps!$G$5:$G$20,MATCH($B13, LookUps!$J$5:$J$20,0)), OpenLCAbasic!$B:$B, $B$9),
SUMIFS(OpenLCAbasic!$J:$J,OpenLCAbasic!$E:$E, "Base", OpenLCAbasic!$D:$D, GWP!$B$5, OpenLCAbasic!$F:$F,D$12,OpenLCAbasic!$L:$L,$B$1,OpenLCAbasic!$I:$I,$B13, OpenLCAbasic!$C:$C,$B$7, OpenLCAbasic!$B:$B, $B$9))</f>
        <v>1.7000000000000001E-4</v>
      </c>
      <c r="E13" s="9" t="str">
        <f>CONCATENATE("(",INDEX(LookUps!$D$5:$D$12,MATCH(PMFP!$B$1,LookUps!$E$5:$E$12,0)), "/m3 wastewater treated")</f>
        <v>(kg PM2.5 eq/m3 wastewater treated</v>
      </c>
    </row>
    <row r="14" spans="1:9" x14ac:dyDescent="0.25">
      <c r="B14" s="58" t="str">
        <f>LookUps!$G$6</f>
        <v>Influent Pump Station; wastewater treatment unit; at updated plant - US</v>
      </c>
      <c r="C14" s="258"/>
      <c r="D14" s="260">
        <f>IF(AND(NOT(ISERROR(MATCH($B14, LookUps!$J$5:$J$20,0))), D$12="Upgraded"),
SUMIFS(OpenLCAbasic!$J:$J,OpenLCAbasic!$E:$E, "Base", OpenLCAbasic!$D:$D, GWP!$B$5, OpenLCAbasic!$F:$F,D$12,OpenLCAbasic!$L:$L,$B$1,OpenLCAbasic!$C:$C,$B$7,OpenLCAbasic!$I:$I,INDEX(LookUps!$G$5:$G$20,MATCH($B14, LookUps!$J$5:$J$20,0)), OpenLCAbasic!$B:$B, $B$9),
SUMIFS(OpenLCAbasic!$J:$J,OpenLCAbasic!$E:$E, "Base", OpenLCAbasic!$D:$D, GWP!$B$5, OpenLCAbasic!$F:$F,D$12,OpenLCAbasic!$L:$L,$B$1,OpenLCAbasic!$I:$I,$B14, OpenLCAbasic!$C:$C,$B$7, OpenLCAbasic!$B:$B, $B$9))</f>
        <v>2.7E-4</v>
      </c>
      <c r="E14" s="9" t="str">
        <f>CONCATENATE("(",INDEX(LookUps!$D$5:$D$12,MATCH(PMFP!$B$1,LookUps!$E$5:$E$12,0)), "/m3 wastewater treated")</f>
        <v>(kg PM2.5 eq/m3 wastewater treated</v>
      </c>
    </row>
    <row r="15" spans="1:9" x14ac:dyDescent="0.25">
      <c r="B15" s="58" t="str">
        <f>LookUps!$H$6</f>
        <v>Screening and Grit Removal - US</v>
      </c>
      <c r="C15" s="260">
        <f>IF(C$12="Legacy",
SUMIFS(OpenLCAbasic!$J:$J,OpenLCAbasic!$D:$D, "Base", OpenLCAbasic!$F:$F,C$12,OpenLCAbasic!$L:$L,$B$1,OpenLCAbasic!$I:$I,$B15, OpenLCAbasic!$C:$C, $B$8),
IF(AND(NOT(ISERROR(MATCH($B15, LookUps!$J$5:$J$20,0))), C$12="Upgraded"),
SUMIFS(OpenLCAbasic!$J:$J,OpenLCAbasic!$D:$D, GWP!$B$5, OpenLCAbasic!$F:$F,C$12,OpenLCAbasic!$L:$L,$B$1,OpenLCAbasic!$I:$I,INDEX(LookUps!$G$5:$G$20,MATCH($B15, LookUps!$J$5:$J$20,0))),
SUMIFS(OpenLCAbasic!$J:$J,OpenLCAbasic!$D:$D, GWP!$B$5, OpenLCAbasic!$F:$F,C$12,OpenLCAbasic!$L:$L,$B$1,OpenLCAbasic!$I:$I,$B15)))</f>
        <v>9.7983299999999994E-5</v>
      </c>
      <c r="D15" s="258"/>
      <c r="E15" s="9" t="str">
        <f>CONCATENATE("(",INDEX(LookUps!$D$5:$D$12,MATCH(PMFP!$B$1,LookUps!$E$5:$E$12,0)), "/m3 wastewater treated")</f>
        <v>(kg PM2.5 eq/m3 wastewater treated</v>
      </c>
    </row>
    <row r="16" spans="1:9" x14ac:dyDescent="0.25">
      <c r="B16" s="58" t="str">
        <f>LookUps!$G$8</f>
        <v>Clear Cove Primary Clarification; wastewater treatment unit; at updated plant - US</v>
      </c>
      <c r="C16" s="258"/>
      <c r="D16" s="260">
        <f>IF(AND(NOT(ISERROR(MATCH($B16, LookUps!$J$5:$J$20,0))), D$12="Upgraded"),
SUMIFS(OpenLCAbasic!$J:$J,OpenLCAbasic!$E:$E, "Base", OpenLCAbasic!$D:$D, GWP!$B$5, OpenLCAbasic!$F:$F,D$12,OpenLCAbasic!$L:$L,$B$1,OpenLCAbasic!$C:$C,$B$7,OpenLCAbasic!$I:$I,INDEX(LookUps!$G$5:$G$20,MATCH($B16, LookUps!$J$5:$J$20,0)), OpenLCAbasic!$B:$B, $B$9),
SUMIFS(OpenLCAbasic!$J:$J,OpenLCAbasic!$E:$E, "Base", OpenLCAbasic!$D:$D, GWP!$B$5, OpenLCAbasic!$F:$F,D$12,OpenLCAbasic!$L:$L,$B$1,OpenLCAbasic!$I:$I,$B16, OpenLCAbasic!$C:$C,$B$7, OpenLCAbasic!$B:$B, $B$9))</f>
        <v>6.8000000000000005E-4</v>
      </c>
      <c r="E16" s="9" t="str">
        <f>CONCATENATE("(",INDEX(LookUps!$D$5:$D$12,MATCH(PMFP!$B$1,LookUps!$E$5:$E$12,0)), "/m3 wastewater treated")</f>
        <v>(kg PM2.5 eq/m3 wastewater treated</v>
      </c>
    </row>
    <row r="17" spans="2:5" x14ac:dyDescent="0.25">
      <c r="B17" s="58" t="str">
        <f>LookUps!$H$8</f>
        <v>Primary Clarifier; wastewater treatment unit - US</v>
      </c>
      <c r="C17" s="260">
        <f>IF(C$12="Legacy",
SUMIFS(OpenLCAbasic!$J:$J,OpenLCAbasic!$D:$D, "Base", OpenLCAbasic!$F:$F,C$12,OpenLCAbasic!$L:$L,$B$1,OpenLCAbasic!$I:$I,$B17, OpenLCAbasic!$C:$C, $B$8),
IF(AND(NOT(ISERROR(MATCH($B17, LookUps!$J$5:$J$20,0))), C$12="Upgraded"),
SUMIFS(OpenLCAbasic!$J:$J,OpenLCAbasic!$D:$D, GWP!$B$5, OpenLCAbasic!$F:$F,C$12,OpenLCAbasic!$L:$L,$B$1,OpenLCAbasic!$I:$I,INDEX(LookUps!$G$5:$G$20,MATCH($B17, LookUps!$J$5:$J$20,0))),
SUMIFS(OpenLCAbasic!$J:$J,OpenLCAbasic!$D:$D, GWP!$B$5, OpenLCAbasic!$F:$F,C$12,OpenLCAbasic!$L:$L,$B$1,OpenLCAbasic!$I:$I,$B17)))</f>
        <v>5.5000000000000003E-4</v>
      </c>
      <c r="D17" s="258"/>
      <c r="E17" s="9" t="str">
        <f>CONCATENATE("(",INDEX(LookUps!$D$5:$D$12,MATCH(PMFP!$B$1,LookUps!$E$5:$E$12,0)), "/m3 wastewater treated")</f>
        <v>(kg PM2.5 eq/m3 wastewater treated</v>
      </c>
    </row>
    <row r="18" spans="2:5" x14ac:dyDescent="0.25">
      <c r="B18" s="58" t="str">
        <f>LookUps!$G$17</f>
        <v>ClearCove SCP; wastewater treatment unit; at updated plant - US</v>
      </c>
      <c r="C18" s="258"/>
      <c r="D18" s="260">
        <f>IF(AND(NOT(ISERROR(MATCH($B18, LookUps!$J$5:$J$20,0))), D$12="Upgraded"),
SUMIFS(OpenLCAbasic!$J:$J,OpenLCAbasic!$E:$E, "Base", OpenLCAbasic!$D:$D, GWP!$B$5, OpenLCAbasic!$F:$F,D$12,OpenLCAbasic!$L:$L,$B$1,OpenLCAbasic!$C:$C,$B$7,OpenLCAbasic!$I:$I,INDEX(LookUps!$G$5:$G$20,MATCH($B18, LookUps!$J$5:$J$20,0)), OpenLCAbasic!$B:$B, $B$9),
SUMIFS(OpenLCAbasic!$J:$J,OpenLCAbasic!$E:$E, "Base", OpenLCAbasic!$D:$D, GWP!$B$5, OpenLCAbasic!$F:$F,D$12,OpenLCAbasic!$L:$L,$B$1,OpenLCAbasic!$I:$I,$B18, OpenLCAbasic!$C:$C,$B$7, OpenLCAbasic!$B:$B, $B$9))</f>
        <v>3.4562199999999999E-5</v>
      </c>
      <c r="E18" s="9" t="str">
        <f>CONCATENATE("(",INDEX(LookUps!$D$5:$D$12,MATCH(PMFP!$B$1,LookUps!$E$5:$E$12,0)), "/m3 wastewater treated")</f>
        <v>(kg PM2.5 eq/m3 wastewater treated</v>
      </c>
    </row>
    <row r="19" spans="2:5" x14ac:dyDescent="0.25">
      <c r="B19" s="58" t="str">
        <f>LookUps!$G$7</f>
        <v>Wet Well and Sump Station; wastewater treatment unit; at updated plant - US</v>
      </c>
      <c r="C19" s="258"/>
      <c r="D19" s="260">
        <f>IF(AND(NOT(ISERROR(MATCH($B19, LookUps!$J$5:$J$20,0))), D$12="Upgraded"),
SUMIFS(OpenLCAbasic!$J:$J,OpenLCAbasic!$E:$E, "Base", OpenLCAbasic!$D:$D, GWP!$B$5, OpenLCAbasic!$F:$F,D$12,OpenLCAbasic!$L:$L,$B$1,OpenLCAbasic!$C:$C,$B$7,OpenLCAbasic!$I:$I,INDEX(LookUps!$G$5:$G$20,MATCH($B19, LookUps!$J$5:$J$20,0)), OpenLCAbasic!$B:$B, $B$9),
SUMIFS(OpenLCAbasic!$J:$J,OpenLCAbasic!$E:$E, "Base", OpenLCAbasic!$D:$D, GWP!$B$5, OpenLCAbasic!$F:$F,D$12,OpenLCAbasic!$L:$L,$B$1,OpenLCAbasic!$I:$I,$B19, OpenLCAbasic!$C:$C,$B$7, OpenLCAbasic!$B:$B, $B$9))</f>
        <v>4.6999999999999999E-4</v>
      </c>
      <c r="E19" s="9" t="str">
        <f>CONCATENATE("(",INDEX(LookUps!$D$5:$D$12,MATCH(PMFP!$B$1,LookUps!$E$5:$E$12,0)), "/m3 wastewater treated")</f>
        <v>(kg PM2.5 eq/m3 wastewater treated</v>
      </c>
    </row>
    <row r="20" spans="2:5" x14ac:dyDescent="0.25">
      <c r="B20" s="58" t="str">
        <f>LookUps!$G$13</f>
        <v>Pre-Anoxic &amp; Swing tank; wastewater treatment unit; at updated plant - US</v>
      </c>
      <c r="C20" s="258"/>
      <c r="D20" s="260">
        <f>IF(AND(NOT(ISERROR(MATCH($B20, LookUps!$J$5:$J$20,0))), D$12="Upgraded"),
SUMIFS(OpenLCAbasic!$J:$J,OpenLCAbasic!$E:$E, "Base", OpenLCAbasic!$D:$D, GWP!$B$5, OpenLCAbasic!$F:$F,D$12,OpenLCAbasic!$L:$L,$B$1,OpenLCAbasic!$C:$C,$B$7,OpenLCAbasic!$I:$I,INDEX(LookUps!$G$5:$G$20,MATCH($B20, LookUps!$J$5:$J$20,0)), OpenLCAbasic!$B:$B, $B$9),
SUMIFS(OpenLCAbasic!$J:$J,OpenLCAbasic!$E:$E, "Base", OpenLCAbasic!$D:$D, GWP!$B$5, OpenLCAbasic!$F:$F,D$12,OpenLCAbasic!$L:$L,$B$1,OpenLCAbasic!$I:$I,$B20, OpenLCAbasic!$C:$C,$B$7, OpenLCAbasic!$B:$B, $B$9))</f>
        <v>5.9000000000000003E-4</v>
      </c>
      <c r="E20" s="9" t="str">
        <f>CONCATENATE("(",INDEX(LookUps!$D$5:$D$12,MATCH(PMFP!$B$1,LookUps!$E$5:$E$12,0)), "/m3 wastewater treated")</f>
        <v>(kg PM2.5 eq/m3 wastewater treated</v>
      </c>
    </row>
    <row r="21" spans="2:5" x14ac:dyDescent="0.25">
      <c r="B21" s="58" t="str">
        <f>LookUps!$J$9</f>
        <v>Aeration Tanks; wastewater treatment unit - US</v>
      </c>
      <c r="C21" s="260">
        <f>IF(C$12="Legacy",
SUMIFS(OpenLCAbasic!$J:$J,OpenLCAbasic!$D:$D, "Base", OpenLCAbasic!$F:$F,C$12,OpenLCAbasic!$L:$L,$B$1,OpenLCAbasic!$I:$I,$B21, OpenLCAbasic!$C:$C, $B$8),
IF(AND(NOT(ISERROR(MATCH($B21, LookUps!$J$5:$J$20,0))), C$12="Upgraded"),
SUMIFS(OpenLCAbasic!$J:$J,OpenLCAbasic!$D:$D, GWP!$B$5, OpenLCAbasic!$F:$F,C$12,OpenLCAbasic!$L:$L,$B$1,OpenLCAbasic!$I:$I,INDEX(LookUps!$G$5:$G$20,MATCH($B21, LookUps!$J$5:$J$20,0))),
SUMIFS(OpenLCAbasic!$J:$J,OpenLCAbasic!$D:$D, GWP!$B$5, OpenLCAbasic!$F:$F,C$12,OpenLCAbasic!$L:$L,$B$1,OpenLCAbasic!$I:$I,$B21)))</f>
        <v>1.7799999999999999E-3</v>
      </c>
      <c r="D21" s="260">
        <f>IF(AND(NOT(ISERROR(MATCH($B21, LookUps!$J$5:$J$20,0))), D$12="Upgraded"),
SUMIFS(OpenLCAbasic!$J:$J,OpenLCAbasic!$E:$E, "Base", OpenLCAbasic!$D:$D, GWP!$B$5, OpenLCAbasic!$F:$F,D$12,OpenLCAbasic!$L:$L,$B$1,OpenLCAbasic!$C:$C,$B$7,OpenLCAbasic!$I:$I,INDEX(LookUps!$G$5:$G$20,MATCH($B21, LookUps!$J$5:$J$20,0)), OpenLCAbasic!$B:$B, $B$9),
SUMIFS(OpenLCAbasic!$J:$J,OpenLCAbasic!$E:$E, "Base", OpenLCAbasic!$D:$D, GWP!$B$5, OpenLCAbasic!$F:$F,D$12,OpenLCAbasic!$L:$L,$B$1,OpenLCAbasic!$I:$I,$B21, OpenLCAbasic!$C:$C,$B$7, OpenLCAbasic!$B:$B, $B$9))</f>
        <v>2.33E-3</v>
      </c>
      <c r="E21" s="9" t="str">
        <f>CONCATENATE("(",INDEX(LookUps!$D$5:$D$12,MATCH(PMFP!$B$1,LookUps!$E$5:$E$12,0)), "/m3 wastewater treated")</f>
        <v>(kg PM2.5 eq/m3 wastewater treated</v>
      </c>
    </row>
    <row r="22" spans="2:5" x14ac:dyDescent="0.25">
      <c r="B22" s="58" t="str">
        <f>LookUps!$G$12</f>
        <v>Waste Receiving and Holding; wastewater treatment unit; at updated plant - US</v>
      </c>
      <c r="C22" s="258"/>
      <c r="D22" s="260">
        <f>IF(AND(NOT(ISERROR(MATCH($B22, LookUps!$J$5:$J$20,0))), D$12="Upgraded"),
SUMIFS(OpenLCAbasic!$J:$J,OpenLCAbasic!$E:$E, "Base", OpenLCAbasic!$D:$D, GWP!$B$5, OpenLCAbasic!$F:$F,D$12,OpenLCAbasic!$L:$L,$B$1,OpenLCAbasic!$C:$C,$B$7,OpenLCAbasic!$I:$I,INDEX(LookUps!$G$5:$G$20,MATCH($B22, LookUps!$J$5:$J$20,0)), OpenLCAbasic!$B:$B, $B$9),
SUMIFS(OpenLCAbasic!$J:$J,OpenLCAbasic!$E:$E, "Base", OpenLCAbasic!$D:$D, GWP!$B$5, OpenLCAbasic!$F:$F,D$12,OpenLCAbasic!$L:$L,$B$1,OpenLCAbasic!$I:$I,$B22, OpenLCAbasic!$C:$C,$B$7, OpenLCAbasic!$B:$B, $B$9))</f>
        <v>2.9999999999999997E-4</v>
      </c>
      <c r="E22" s="9" t="str">
        <f>CONCATENATE("(",INDEX(LookUps!$D$5:$D$12,MATCH(PMFP!$B$1,LookUps!$E$5:$E$12,0)), "/m3 wastewater treated")</f>
        <v>(kg PM2.5 eq/m3 wastewater treated</v>
      </c>
    </row>
    <row r="23" spans="2:5" x14ac:dyDescent="0.25">
      <c r="B23" s="58" t="str">
        <f>LookUps!$G$11</f>
        <v>Gravity Belt Thickener; wastewater treatment unit; at updated plant - US</v>
      </c>
      <c r="C23" s="258"/>
      <c r="D23" s="260">
        <f>IF(AND(NOT(ISERROR(MATCH($B23, LookUps!$J$5:$J$20,0))), D$12="Upgraded"),
SUMIFS(OpenLCAbasic!$J:$J,OpenLCAbasic!$E:$E, "Base", OpenLCAbasic!$D:$D, GWP!$B$5, OpenLCAbasic!$F:$F,D$12,OpenLCAbasic!$L:$L,$B$1,OpenLCAbasic!$C:$C,$B$7,OpenLCAbasic!$I:$I,INDEX(LookUps!$G$5:$G$20,MATCH($B23, LookUps!$J$5:$J$20,0)), OpenLCAbasic!$B:$B, $B$9),
SUMIFS(OpenLCAbasic!$J:$J,OpenLCAbasic!$E:$E, "Base", OpenLCAbasic!$D:$D, GWP!$B$5, OpenLCAbasic!$F:$F,D$12,OpenLCAbasic!$L:$L,$B$1,OpenLCAbasic!$I:$I,$B23, OpenLCAbasic!$C:$C,$B$7, OpenLCAbasic!$B:$B, $B$9))</f>
        <v>9.5153800000000004E-5</v>
      </c>
      <c r="E23" s="9" t="str">
        <f>CONCATENATE("(",INDEX(LookUps!$D$5:$D$12,MATCH(PMFP!$B$1,LookUps!$E$5:$E$12,0)), "/m3 wastewater treated")</f>
        <v>(kg PM2.5 eq/m3 wastewater treated</v>
      </c>
    </row>
    <row r="24" spans="2:5" x14ac:dyDescent="0.25">
      <c r="B24" s="58" t="str">
        <f>LookUps!$H$11</f>
        <v>Sludge Thickener; wastewater treatment unit - US</v>
      </c>
      <c r="C24" s="260">
        <f>IF(C$12="Legacy",
SUMIFS(OpenLCAbasic!$J:$J,OpenLCAbasic!$D:$D, "Base", OpenLCAbasic!$F:$F,C$12,OpenLCAbasic!$L:$L,$B$1,OpenLCAbasic!$I:$I,$B24, OpenLCAbasic!$C:$C, $B$8),
IF(AND(NOT(ISERROR(MATCH($B24, LookUps!$J$5:$J$20,0))), C$12="Upgraded"),
SUMIFS(OpenLCAbasic!$J:$J,OpenLCAbasic!$D:$D, GWP!$B$5, OpenLCAbasic!$F:$F,C$12,OpenLCAbasic!$L:$L,$B$1,OpenLCAbasic!$I:$I,INDEX(LookUps!$G$5:$G$20,MATCH($B24, LookUps!$J$5:$J$20,0))),
SUMIFS(OpenLCAbasic!$J:$J,OpenLCAbasic!$D:$D, GWP!$B$5, OpenLCAbasic!$F:$F,C$12,OpenLCAbasic!$L:$L,$B$1,OpenLCAbasic!$I:$I,$B24)))</f>
        <v>1.12426E-5</v>
      </c>
      <c r="D24" s="258"/>
      <c r="E24" s="9" t="str">
        <f>CONCATENATE("(",INDEX(LookUps!$D$5:$D$12,MATCH(PMFP!$B$1,LookUps!$E$5:$E$12,0)), "/m3 wastewater treated")</f>
        <v>(kg PM2.5 eq/m3 wastewater treated</v>
      </c>
    </row>
    <row r="25" spans="2:5" x14ac:dyDescent="0.25">
      <c r="B25" s="58" t="str">
        <f>LookUps!$G$14</f>
        <v>Blend Tank; wastewater treatment unit; at updated plant - US</v>
      </c>
      <c r="C25" s="258"/>
      <c r="D25" s="260">
        <f>IF(AND(NOT(ISERROR(MATCH($B25, LookUps!$J$5:$J$20,0))), D$12="Upgraded"),
SUMIFS(OpenLCAbasic!$J:$J,OpenLCAbasic!$E:$E, "Base", OpenLCAbasic!$D:$D, GWP!$B$5, OpenLCAbasic!$F:$F,D$12,OpenLCAbasic!$L:$L,$B$1,OpenLCAbasic!$C:$C,$B$7,OpenLCAbasic!$I:$I,INDEX(LookUps!$G$5:$G$20,MATCH($B25, LookUps!$J$5:$J$20,0)), OpenLCAbasic!$B:$B, $B$9),
SUMIFS(OpenLCAbasic!$J:$J,OpenLCAbasic!$E:$E, "Base", OpenLCAbasic!$D:$D, GWP!$B$5, OpenLCAbasic!$F:$F,D$12,OpenLCAbasic!$L:$L,$B$1,OpenLCAbasic!$I:$I,$B25, OpenLCAbasic!$C:$C,$B$7, OpenLCAbasic!$B:$B, $B$9))</f>
        <v>6.9942200000000003E-5</v>
      </c>
      <c r="E25" s="9" t="str">
        <f>CONCATENATE("(",INDEX(LookUps!$D$5:$D$12,MATCH(PMFP!$B$1,LookUps!$E$5:$E$12,0)), "/m3 wastewater treated")</f>
        <v>(kg PM2.5 eq/m3 wastewater treated</v>
      </c>
    </row>
    <row r="26" spans="2:5" x14ac:dyDescent="0.25">
      <c r="B26" s="58" t="str">
        <f>LookUps!$G$19</f>
        <v>Anaerobic Digestion; wastewater treatment unit; at updated plant - US</v>
      </c>
      <c r="C26" s="258"/>
      <c r="D26" s="260">
        <f>IF(AND(NOT(ISERROR(MATCH($B26, LookUps!$J$5:$J$20,0))), D$12="Upgraded"),
SUMIFS(OpenLCAbasic!$J:$J,OpenLCAbasic!$E:$E, "Base", OpenLCAbasic!$D:$D, GWP!$B$5, OpenLCAbasic!$F:$F,D$12,OpenLCAbasic!$L:$L,$B$1,OpenLCAbasic!$C:$C,$B$7,OpenLCAbasic!$I:$I,INDEX(LookUps!$G$5:$G$20,MATCH($B26, LookUps!$J$5:$J$20,0)), OpenLCAbasic!$B:$B, $B$9),
SUMIFS(OpenLCAbasic!$J:$J,OpenLCAbasic!$E:$E, "Base", OpenLCAbasic!$D:$D, GWP!$B$5, OpenLCAbasic!$F:$F,D$12,OpenLCAbasic!$L:$L,$B$1,OpenLCAbasic!$I:$I,$B26, OpenLCAbasic!$C:$C,$B$7, OpenLCAbasic!$B:$B, $B$9))</f>
        <v>-8.7000000000000001E-4</v>
      </c>
      <c r="E26" s="9" t="str">
        <f>CONCATENATE("(",INDEX(LookUps!$D$5:$D$12,MATCH(PMFP!$B$1,LookUps!$E$5:$E$12,0)), "/m3 wastewater treated")</f>
        <v>(kg PM2.5 eq/m3 wastewater treated</v>
      </c>
    </row>
    <row r="27" spans="2:5" x14ac:dyDescent="0.25">
      <c r="B27" s="58" t="str">
        <f>LookUps!$H$19</f>
        <v>Aerobic Digester; wastewater treatment unit - US</v>
      </c>
      <c r="C27" s="260">
        <f>IF(C$12="Legacy",
SUMIFS(OpenLCAbasic!$J:$J,OpenLCAbasic!$D:$D, "Base", OpenLCAbasic!$F:$F,C$12,OpenLCAbasic!$L:$L,$B$1,OpenLCAbasic!$I:$I,$B27, OpenLCAbasic!$C:$C, $B$8),
IF(AND(NOT(ISERROR(MATCH($B27, LookUps!$J$5:$J$20,0))), C$12="Upgraded"),
SUMIFS(OpenLCAbasic!$J:$J,OpenLCAbasic!$D:$D, GWP!$B$5, OpenLCAbasic!$F:$F,C$12,OpenLCAbasic!$L:$L,$B$1,OpenLCAbasic!$I:$I,INDEX(LookUps!$G$5:$G$20,MATCH($B27, LookUps!$J$5:$J$20,0))),
SUMIFS(OpenLCAbasic!$J:$J,OpenLCAbasic!$D:$D, GWP!$B$5, OpenLCAbasic!$F:$F,C$12,OpenLCAbasic!$L:$L,$B$1,OpenLCAbasic!$I:$I,$B27)))</f>
        <v>1.82E-3</v>
      </c>
      <c r="D27" s="258"/>
      <c r="E27" s="9" t="str">
        <f>CONCATENATE("(",INDEX(LookUps!$D$5:$D$12,MATCH(PMFP!$B$1,LookUps!$E$5:$E$12,0)), "/m3 wastewater treated")</f>
        <v>(kg PM2.5 eq/m3 wastewater treated</v>
      </c>
    </row>
    <row r="28" spans="2:5" x14ac:dyDescent="0.25">
      <c r="B28" s="58" t="str">
        <f>LookUps!$J$15</f>
        <v>Belt filter press; wastewater treatment unit - US</v>
      </c>
      <c r="C28" s="260">
        <f>IF(C$12="Legacy",
SUMIFS(OpenLCAbasic!$J:$J,OpenLCAbasic!$D:$D, "Base", OpenLCAbasic!$F:$F,C$12,OpenLCAbasic!$L:$L,$B$1,OpenLCAbasic!$I:$I,$B28, OpenLCAbasic!$C:$C, $B$8),
IF(AND(NOT(ISERROR(MATCH($B28, LookUps!$J$5:$J$20,0))), C$12="Upgraded"),
SUMIFS(OpenLCAbasic!$J:$J,OpenLCAbasic!$D:$D, GWP!$B$5, OpenLCAbasic!$F:$F,C$12,OpenLCAbasic!$L:$L,$B$1,OpenLCAbasic!$I:$I,INDEX(LookUps!$G$5:$G$20,MATCH($B28, LookUps!$J$5:$J$20,0))),
SUMIFS(OpenLCAbasic!$J:$J,OpenLCAbasic!$D:$D, GWP!$B$5, OpenLCAbasic!$F:$F,C$12,OpenLCAbasic!$L:$L,$B$1,OpenLCAbasic!$I:$I,$B28)))</f>
        <v>8.6108399999999997E-5</v>
      </c>
      <c r="D28" s="260">
        <f>IF(AND(NOT(ISERROR(MATCH($B28, LookUps!$J$5:$J$20,0))), D$12="Upgraded"),
SUMIFS(OpenLCAbasic!$J:$J,OpenLCAbasic!$E:$E, "Base", OpenLCAbasic!$D:$D, GWP!$B$5, OpenLCAbasic!$F:$F,D$12,OpenLCAbasic!$L:$L,$B$1,OpenLCAbasic!$C:$C,$B$7,OpenLCAbasic!$I:$I,INDEX(LookUps!$G$5:$G$20,MATCH($B28, LookUps!$J$5:$J$20,0)), OpenLCAbasic!$B:$B, $B$9),
SUMIFS(OpenLCAbasic!$J:$J,OpenLCAbasic!$E:$E, "Base", OpenLCAbasic!$D:$D, GWP!$B$5, OpenLCAbasic!$F:$F,D$12,OpenLCAbasic!$L:$L,$B$1,OpenLCAbasic!$I:$I,$B28, OpenLCAbasic!$C:$C,$B$7, OpenLCAbasic!$B:$B, $B$9))</f>
        <v>1E-4</v>
      </c>
      <c r="E28" s="9" t="str">
        <f>CONCATENATE("(",INDEX(LookUps!$D$5:$D$12,MATCH(PMFP!$B$1,LookUps!$E$5:$E$12,0)), "/m3 wastewater treated")</f>
        <v>(kg PM2.5 eq/m3 wastewater treated</v>
      </c>
    </row>
    <row r="29" spans="2:5" x14ac:dyDescent="0.25">
      <c r="B29"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29" s="258"/>
      <c r="D29" s="283">
        <f>IF(OR(GWP!$B$6="Low", GWP!$B$6="High"),
INDEX(OpenLCAbasic!$J:$J, MATCH(CONCATENATE(GWP!$B$6, "_", GWP!$B$5, "_", "Upgraded_",$B$1,"_",B29, "_", $B$7, "_", $B$9), OpenLCAbasic!$M:$M,0)),
IF(AND(NOT(ISERROR(MATCH($B29, LookUps!$J$5:$J$20,0))), D$12="Upgraded"),
SUMIFS(OpenLCAbasic!$J:$J,OpenLCAbasic!$E:$E, GWP!$B$6, OpenLCAbasic!$D:$D, GWP!$B$5, OpenLCAbasic!$F:$F,D$12,OpenLCAbasic!$L:$L,$B$1,OpenLCAbasic!$I:$I,INDEX(LookUps!$G$5:$G$20,MATCH($B29, LookUps!$J$5:$J$20,0)), OpenLCAbasic!$B:$B, $B$9, OpenLCAbasic!$C:$C, $B$7),
SUMIFS(OpenLCAbasic!$J:$J,OpenLCAbasic!$E:$E, GWP!$B$6, OpenLCAbasic!$D:$D, GWP!$B$5, OpenLCAbasic!$F:$F,D$12,OpenLCAbasic!$L:$L,$B$1,OpenLCAbasic!$I:$I,$B29, OpenLCAbasic!$B:$B, $B$9, OpenLCAbasic!$C:$C, $B$7)))</f>
        <v>2.0000000000000001E-4</v>
      </c>
      <c r="E29" s="9" t="str">
        <f>CONCATENATE("(",INDEX(LookUps!$D$5:$D$12,MATCH(PMFP!$B$1,LookUps!$E$5:$E$12,0)), "/m3 wastewater treated")</f>
        <v>(kg PM2.5 eq/m3 wastewater treated</v>
      </c>
    </row>
    <row r="30" spans="2:5" x14ac:dyDescent="0.25">
      <c r="B30" s="58" t="str">
        <f>LookUps!$G$18</f>
        <v>Land application of compost; wastewater treatment unit; at updated plant - US</v>
      </c>
      <c r="C30" s="258"/>
      <c r="D30" s="283">
        <f>IF(OR(GWP!$B$6="Low", GWP!$B$6="High"),
INDEX(OpenLCAbasic!$J:$J, MATCH(CONCATENATE(GWP!$B$6, "_", GWP!$B$5, "_", "Upgraded_",$B$1,"_",B30, "_", $B$7, "_", $B$9), OpenLCAbasic!$M:$M,0)),
IF(AND(NOT(ISERROR(MATCH($B30, LookUps!$J$5:$J$20,0))), D$12="Upgraded"),
SUMIFS(OpenLCAbasic!$J:$J,OpenLCAbasic!$E:$E, GWP!$B$6, OpenLCAbasic!$D:$D, GWP!$B$5, OpenLCAbasic!$F:$F,D$12,OpenLCAbasic!$L:$L,$B$1,OpenLCAbasic!$I:$I,INDEX(LookUps!$G$5:$G$20,MATCH($B30, LookUps!$J$5:$J$20,0)), OpenLCAbasic!$B:$B, $B$9, OpenLCAbasic!$C:$C, $B$7),
SUMIFS(OpenLCAbasic!$J:$J,OpenLCAbasic!$E:$E, GWP!$B$6, OpenLCAbasic!$D:$D, GWP!$B$5, OpenLCAbasic!$F:$F,D$12,OpenLCAbasic!$L:$L,$B$1,OpenLCAbasic!$I:$I,$B30, OpenLCAbasic!$B:$B, $B$9, OpenLCAbasic!$C:$C, $B$7)))</f>
        <v>4.3225800000000002E-5</v>
      </c>
      <c r="E30" s="9" t="str">
        <f>CONCATENATE("(",INDEX(LookUps!$D$5:$D$12,MATCH(PMFP!$B$1,LookUps!$E$5:$E$12,0)), "/m3 wastewater treated")</f>
        <v>(kg PM2.5 eq/m3 wastewater treated</v>
      </c>
    </row>
    <row r="31" spans="2:5" x14ac:dyDescent="0.25">
      <c r="B31" s="58" t="str">
        <f>LookUps!$H$18</f>
        <v>Sludge Disposal; wastewater treatment unit - US</v>
      </c>
      <c r="C31" s="284">
        <f>IF(OR(GWP!$B$6="Low", GWP!$B$6="High"),
 INDEX(OpenLCAbasic!$J:$J, MATCH(CONCATENATE(GWP!$B$6, "_", "Base", "_", "Legacy_",$B$1, "_",B31, "_", $B$8,"_n.a."), OpenLCAbasic!$M:$M,0)),
IF(C$12="Legacy", SUMIFS(OpenLCAbasic!$J:$J,OpenLCAbasic!$E:$E, "Base", OpenLCAbasic!$D:$D, "Base", OpenLCAbasic!$F:$F,C$12,OpenLCAbasic!$L:$L,$B$1,OpenLCAbasic!$I:$I,$B31, OpenLCAbasic!$C:$C, $B$8),
IF(AND(NOT(ISERROR(MATCH($B31, LookUps!$J$5:$J$20,0))), C$12="Upgraded"), SUMIFS(OpenLCAbasic!$J:$J,OpenLCAbasic!$E:$E, "Base", OpenLCAbasic!$D:$D, "Base", OpenLCAbasic!$F:$F,C$12,OpenLCAbasic!$L:$L,$B$1,OpenLCAbasic!$I:$I,INDEX(LookUps!$G$5:$G$20,MATCH($B31, LookUps!$J$5:$J$20,0))),
SUMIFS(OpenLCAbasic!$J:$J,OpenLCAbasic!$E:$E, "Base", OpenLCAbasic!$D:$D, "Base", OpenLCAbasic!$F:$F,C$12,OpenLCAbasic!$L:$L,$B$1,OpenLCAbasic!$I:$I,$B31))))</f>
        <v>-4.4000000000000002E-4</v>
      </c>
      <c r="D31" s="258"/>
      <c r="E31" s="9" t="str">
        <f>CONCATENATE("(",INDEX(LookUps!$D$5:$D$12,MATCH(PMFP!$B$1,LookUps!$E$5:$E$12,0)), "/m3 wastewater treated")</f>
        <v>(kg PM2.5 eq/m3 wastewater treated</v>
      </c>
    </row>
    <row r="32" spans="2:5" x14ac:dyDescent="0.25">
      <c r="B32" s="58" t="str">
        <f>LookUps!$G$20</f>
        <v>Effluent release; wastewater treatment unit; at surface water; m3 wastewater - US</v>
      </c>
      <c r="C32" s="260">
        <f>IF(C$12="Legacy",
SUMIFS(OpenLCAbasic!$J:$J,OpenLCAbasic!$D:$D, "Base", OpenLCAbasic!$F:$F,C$12,OpenLCAbasic!$L:$L,$B$1,OpenLCAbasic!$I:$I,$B32, OpenLCAbasic!$C:$C, $B$8),
IF(AND(NOT(ISERROR(MATCH($B32, LookUps!$J$5:$J$20,0))), C$12="Upgraded"),
SUMIFS(OpenLCAbasic!$J:$J,OpenLCAbasic!$D:$D, GWP!$B$5, OpenLCAbasic!$F:$F,C$12,OpenLCAbasic!$L:$L,$B$1,OpenLCAbasic!$I:$I,INDEX(LookUps!$G$5:$G$20,MATCH($B32, LookUps!$J$5:$J$20,0))),
SUMIFS(OpenLCAbasic!$J:$J,OpenLCAbasic!$D:$D, GWP!$B$5, OpenLCAbasic!$F:$F,C$12,OpenLCAbasic!$L:$L,$B$1,OpenLCAbasic!$I:$I,$B32)))</f>
        <v>6.2747700000000003E-7</v>
      </c>
      <c r="D32" s="260">
        <f>IF(AND(NOT(ISERROR(MATCH($B32, LookUps!$J$5:$J$20,0))), D$12="Upgraded"),
SUMIFS(OpenLCAbasic!$J:$J,OpenLCAbasic!$E:$E, "Base", OpenLCAbasic!$D:$D, GWP!$B$5, OpenLCAbasic!$F:$F,D$12,OpenLCAbasic!$L:$L,$B$1,OpenLCAbasic!$C:$C,$B$7,OpenLCAbasic!$I:$I,INDEX(LookUps!$G$5:$G$20,MATCH($B32, LookUps!$J$5:$J$20,0)), OpenLCAbasic!$B:$B, $B$9),
SUMIFS(OpenLCAbasic!$J:$J,OpenLCAbasic!$E:$E, "Base", OpenLCAbasic!$D:$D, GWP!$B$5, OpenLCAbasic!$F:$F,D$12,OpenLCAbasic!$L:$L,$B$1,OpenLCAbasic!$I:$I,$B32, OpenLCAbasic!$C:$C,$B$7, OpenLCAbasic!$B:$B, $B$9))</f>
        <v>4.99741E-5</v>
      </c>
      <c r="E32" s="9" t="str">
        <f>CONCATENATE("(",INDEX(LookUps!$D$5:$D$12,MATCH(PMFP!$B$1,LookUps!$E$5:$E$12,0)), "/m3 wastewater treated")</f>
        <v>(kg PM2.5 eq/m3 wastewater treated</v>
      </c>
    </row>
    <row r="33" spans="2:5" x14ac:dyDescent="0.25">
      <c r="B33" s="58" t="str">
        <f>LookUps!$J$10</f>
        <v>Control Building; at wastewater treatment plant - US</v>
      </c>
      <c r="C33" s="260">
        <f>IF(C$12="Legacy",
SUMIFS(OpenLCAbasic!$J:$J,OpenLCAbasic!$D:$D, "Base", OpenLCAbasic!$F:$F,C$12,OpenLCAbasic!$L:$L,$B$1,OpenLCAbasic!$I:$I,$B33, OpenLCAbasic!$C:$C, $B$8),
IF(AND(NOT(ISERROR(MATCH($B33, LookUps!$J$5:$J$20,0))), C$12="Upgraded"),
SUMIFS(OpenLCAbasic!$J:$J,OpenLCAbasic!$D:$D, GWP!$B$5, OpenLCAbasic!$F:$F,C$12,OpenLCAbasic!$L:$L,$B$1,OpenLCAbasic!$I:$I,INDEX(LookUps!$G$5:$G$20,MATCH($B33, LookUps!$J$5:$J$20,0))),
SUMIFS(OpenLCAbasic!$J:$J,OpenLCAbasic!$D:$D, GWP!$B$5, OpenLCAbasic!$F:$F,C$12,OpenLCAbasic!$L:$L,$B$1,OpenLCAbasic!$I:$I,$B33)))</f>
        <v>1.5461800000000002E-5</v>
      </c>
      <c r="D33" s="260">
        <f>IF(AND(NOT(ISERROR(MATCH($B33, LookUps!$J$5:$J$20,0))), D$12="Upgraded"),
SUMIFS(OpenLCAbasic!$J:$J,OpenLCAbasic!$E:$E, "Base", OpenLCAbasic!$D:$D, GWP!$B$5, OpenLCAbasic!$F:$F,D$12,OpenLCAbasic!$L:$L,$B$1,OpenLCAbasic!$C:$C,$B$7,OpenLCAbasic!$I:$I,INDEX(LookUps!$G$5:$G$20,MATCH($B33, LookUps!$J$5:$J$20,0)), OpenLCAbasic!$B:$B, $B$9),
SUMIFS(OpenLCAbasic!$J:$J,OpenLCAbasic!$E:$E, "Base", OpenLCAbasic!$D:$D, GWP!$B$5, OpenLCAbasic!$F:$F,D$12,OpenLCAbasic!$L:$L,$B$1,OpenLCAbasic!$I:$I,$B33, OpenLCAbasic!$C:$C,$B$7, OpenLCAbasic!$B:$B, $B$9))</f>
        <v>8.8212999999999997E-6</v>
      </c>
      <c r="E33" s="9" t="str">
        <f>CONCATENATE("(",INDEX(LookUps!$D$5:$D$12,MATCH(PMFP!$B$1,LookUps!$E$5:$E$12,0)), "/m3 wastewater treated")</f>
        <v>(kg PM2.5 eq/m3 wastewater treated</v>
      </c>
    </row>
    <row r="34" spans="2:5" x14ac:dyDescent="0.25">
      <c r="B34" s="11" t="s">
        <v>34</v>
      </c>
      <c r="C34" s="295">
        <f>SUM(C13:C33)</f>
        <v>4.0914235769999993E-3</v>
      </c>
      <c r="D34" s="295">
        <f>SUM(D13:D33)</f>
        <v>4.5416793999999991E-3</v>
      </c>
    </row>
    <row r="35" spans="2:5" x14ac:dyDescent="0.25">
      <c r="B35" s="11" t="s">
        <v>22</v>
      </c>
      <c r="C35" s="295">
        <f>MAX($C$34:$D$34)</f>
        <v>4.5416793999999991E-3</v>
      </c>
      <c r="D35" s="295">
        <f>MAX($C$34:$D$34)</f>
        <v>4.5416793999999991E-3</v>
      </c>
    </row>
    <row r="36" spans="2:5" x14ac:dyDescent="0.25"/>
    <row r="37" spans="2:5" x14ac:dyDescent="0.25">
      <c r="B37" s="1" t="str">
        <f>CONCATENATE(INDEX(LookUps!$B$5:$B$12,MATCH(PMFP!$B$1,LookUps!$E$5:$E$12,0))," (Contribution %)")</f>
        <v>Particulate Matter Formation Potential (Contribution %)</v>
      </c>
    </row>
    <row r="38" spans="2:5" x14ac:dyDescent="0.25"/>
    <row r="39" spans="2:5" x14ac:dyDescent="0.25">
      <c r="B39" s="56" t="s">
        <v>47</v>
      </c>
      <c r="C39" s="1" t="s">
        <v>45</v>
      </c>
      <c r="D39" s="1" t="s">
        <v>46</v>
      </c>
      <c r="E39" s="10" t="s">
        <v>27</v>
      </c>
    </row>
    <row r="40" spans="2:5" x14ac:dyDescent="0.25">
      <c r="B40" s="57" t="str">
        <f>LookUps!$G$5</f>
        <v>Wastewater collection; operation and infrastructure; m3 wastewater</v>
      </c>
      <c r="C40" s="60">
        <f>IF(ISERROR(C13/C$34), "",C13/ C$34)</f>
        <v>4.1550330050317358E-2</v>
      </c>
      <c r="D40" s="60">
        <f>IF(ISERROR(D13/D$34), "",D13/ D$34)</f>
        <v>3.743108771614307E-2</v>
      </c>
      <c r="E40" s="9" t="str">
        <f>CONCATENATE("(",INDEX(LookUps!$D$5:$D$12,MATCH(PMFP!$B$1,LookUps!$E$5:$E$12,0)), "/m3 wastewater treated")</f>
        <v>(kg PM2.5 eq/m3 wastewater treated</v>
      </c>
    </row>
    <row r="41" spans="2:5" x14ac:dyDescent="0.25">
      <c r="B41" s="58" t="str">
        <f>LookUps!$G$6</f>
        <v>Influent Pump Station; wastewater treatment unit; at updated plant - US</v>
      </c>
      <c r="C41" s="61"/>
      <c r="D41" s="62">
        <f>IF(ISERROR(D14/D$34), "",D14/ D$34)</f>
        <v>5.9449374607991934E-2</v>
      </c>
      <c r="E41" s="9" t="str">
        <f>CONCATENATE("(",INDEX(LookUps!$D$5:$D$12,MATCH(PMFP!$B$1,LookUps!$E$5:$E$12,0)), "/m3 wastewater treated")</f>
        <v>(kg PM2.5 eq/m3 wastewater treated</v>
      </c>
    </row>
    <row r="42" spans="2:5" x14ac:dyDescent="0.25">
      <c r="B42" s="58" t="str">
        <f>LookUps!$H$6</f>
        <v>Screening and Grit Removal - US</v>
      </c>
      <c r="C42" s="62">
        <f>IF(ISERROR(C15/C$34), "",C15/ C$34)</f>
        <v>2.3948461496583886E-2</v>
      </c>
      <c r="D42" s="61"/>
      <c r="E42" s="9" t="str">
        <f>CONCATENATE("(",INDEX(LookUps!$D$5:$D$12,MATCH(PMFP!$B$1,LookUps!$E$5:$E$12,0)), "/m3 wastewater treated")</f>
        <v>(kg PM2.5 eq/m3 wastewater treated</v>
      </c>
    </row>
    <row r="43" spans="2:5" x14ac:dyDescent="0.25">
      <c r="B43" s="58" t="str">
        <f>LookUps!$G$8</f>
        <v>Clear Cove Primary Clarification; wastewater treatment unit; at updated plant - US</v>
      </c>
      <c r="C43" s="61"/>
      <c r="D43" s="62">
        <f>IF(ISERROR(D16/D$34), "",D16/ D$34)</f>
        <v>0.14972435086457228</v>
      </c>
      <c r="E43" s="9" t="str">
        <f>CONCATENATE("(",INDEX(LookUps!$D$5:$D$12,MATCH(PMFP!$B$1,LookUps!$E$5:$E$12,0)), "/m3 wastewater treated")</f>
        <v>(kg PM2.5 eq/m3 wastewater treated</v>
      </c>
    </row>
    <row r="44" spans="2:5" x14ac:dyDescent="0.25">
      <c r="B44" s="58" t="str">
        <f>LookUps!$H$8</f>
        <v>Primary Clarifier; wastewater treatment unit - US</v>
      </c>
      <c r="C44" s="62">
        <f>IF(ISERROR(C17/C$34), "",C17/ C$34)</f>
        <v>0.13442753839808558</v>
      </c>
      <c r="D44" s="61"/>
      <c r="E44" s="9" t="str">
        <f>CONCATENATE("(",INDEX(LookUps!$D$5:$D$12,MATCH(PMFP!$B$1,LookUps!$E$5:$E$12,0)), "/m3 wastewater treated")</f>
        <v>(kg PM2.5 eq/m3 wastewater treated</v>
      </c>
    </row>
    <row r="45" spans="2:5" x14ac:dyDescent="0.25">
      <c r="B45" s="58" t="str">
        <f>LookUps!$G$17</f>
        <v>ClearCove SCP; wastewater treatment unit; at updated plant - US</v>
      </c>
      <c r="C45" s="61"/>
      <c r="D45" s="62">
        <f t="shared" ref="D45:D50" si="0">IF(ISERROR(D18/D$34), "",D18/ D$34)</f>
        <v>7.6100043521345881E-3</v>
      </c>
      <c r="E45" s="9" t="str">
        <f>CONCATENATE("(",INDEX(LookUps!$D$5:$D$12,MATCH(PMFP!$B$1,LookUps!$E$5:$E$12,0)), "/m3 wastewater treated")</f>
        <v>(kg PM2.5 eq/m3 wastewater treated</v>
      </c>
    </row>
    <row r="46" spans="2:5" x14ac:dyDescent="0.25">
      <c r="B46" s="58" t="str">
        <f>LookUps!$G$7</f>
        <v>Wet Well and Sump Station; wastewater treatment unit; at updated plant - US</v>
      </c>
      <c r="C46" s="61"/>
      <c r="D46" s="62">
        <f t="shared" si="0"/>
        <v>0.10348594839168966</v>
      </c>
      <c r="E46" s="9" t="str">
        <f>CONCATENATE("(",INDEX(LookUps!$D$5:$D$12,MATCH(PMFP!$B$1,LookUps!$E$5:$E$12,0)), "/m3 wastewater treated")</f>
        <v>(kg PM2.5 eq/m3 wastewater treated</v>
      </c>
    </row>
    <row r="47" spans="2:5" x14ac:dyDescent="0.25">
      <c r="B47" s="58" t="str">
        <f>LookUps!$G$13</f>
        <v>Pre-Anoxic &amp; Swing tank; wastewater treatment unit; at updated plant - US</v>
      </c>
      <c r="C47" s="61"/>
      <c r="D47" s="62">
        <f t="shared" si="0"/>
        <v>0.1299078926619083</v>
      </c>
      <c r="E47" s="9" t="str">
        <f>CONCATENATE("(",INDEX(LookUps!$D$5:$D$12,MATCH(PMFP!$B$1,LookUps!$E$5:$E$12,0)), "/m3 wastewater treated")</f>
        <v>(kg PM2.5 eq/m3 wastewater treated</v>
      </c>
    </row>
    <row r="48" spans="2:5" x14ac:dyDescent="0.25">
      <c r="B48" s="58" t="str">
        <f>LookUps!$J$9</f>
        <v>Aeration Tanks; wastewater treatment unit - US</v>
      </c>
      <c r="C48" s="62">
        <f>IF(ISERROR(C21/C$34), "",C21/ C$34)</f>
        <v>0.43505639699744053</v>
      </c>
      <c r="D48" s="62">
        <f t="shared" si="0"/>
        <v>0.51302608458007859</v>
      </c>
      <c r="E48" s="9" t="str">
        <f>CONCATENATE("(",INDEX(LookUps!$D$5:$D$12,MATCH(PMFP!$B$1,LookUps!$E$5:$E$12,0)), "/m3 wastewater treated")</f>
        <v>(kg PM2.5 eq/m3 wastewater treated</v>
      </c>
    </row>
    <row r="49" spans="2:5" x14ac:dyDescent="0.25">
      <c r="B49" s="58" t="str">
        <f>LookUps!$G$12</f>
        <v>Waste Receiving and Holding; wastewater treatment unit; at updated plant - US</v>
      </c>
      <c r="C49" s="61"/>
      <c r="D49" s="62">
        <f t="shared" si="0"/>
        <v>6.6054860675546584E-2</v>
      </c>
      <c r="E49" s="9" t="str">
        <f>CONCATENATE("(",INDEX(LookUps!$D$5:$D$12,MATCH(PMFP!$B$1,LookUps!$E$5:$E$12,0)), "/m3 wastewater treated")</f>
        <v>(kg PM2.5 eq/m3 wastewater treated</v>
      </c>
    </row>
    <row r="50" spans="2:5" x14ac:dyDescent="0.25">
      <c r="B50" s="58" t="str">
        <f>LookUps!$G$11</f>
        <v>Gravity Belt Thickener; wastewater treatment unit; at updated plant - US</v>
      </c>
      <c r="C50" s="61"/>
      <c r="D50" s="62">
        <f t="shared" si="0"/>
        <v>2.0951236672496085E-2</v>
      </c>
      <c r="E50" s="9" t="str">
        <f>CONCATENATE("(",INDEX(LookUps!$D$5:$D$12,MATCH(PMFP!$B$1,LookUps!$E$5:$E$12,0)), "/m3 wastewater treated")</f>
        <v>(kg PM2.5 eq/m3 wastewater treated</v>
      </c>
    </row>
    <row r="51" spans="2:5" x14ac:dyDescent="0.25">
      <c r="B51" s="58" t="str">
        <f>LookUps!$H$11</f>
        <v>Sludge Thickener; wastewater treatment unit - US</v>
      </c>
      <c r="C51" s="62">
        <f>IF(ISERROR(C24/C$34), "",C24/ C$34)</f>
        <v>2.7478455330805758E-3</v>
      </c>
      <c r="D51" s="61"/>
      <c r="E51" s="9" t="str">
        <f>CONCATENATE("(",INDEX(LookUps!$D$5:$D$12,MATCH(PMFP!$B$1,LookUps!$E$5:$E$12,0)), "/m3 wastewater treated")</f>
        <v>(kg PM2.5 eq/m3 wastewater treated</v>
      </c>
    </row>
    <row r="52" spans="2:5" x14ac:dyDescent="0.25">
      <c r="B52" s="58" t="str">
        <f>LookUps!$G$14</f>
        <v>Blend Tank; wastewater treatment unit; at updated plant - US</v>
      </c>
      <c r="C52" s="61"/>
      <c r="D52" s="62">
        <f>IF(ISERROR(D25/D$34), "",D25/ D$34)</f>
        <v>1.5400074254470717E-2</v>
      </c>
      <c r="E52" s="9" t="str">
        <f>CONCATENATE("(",INDEX(LookUps!$D$5:$D$12,MATCH(PMFP!$B$1,LookUps!$E$5:$E$12,0)), "/m3 wastewater treated")</f>
        <v>(kg PM2.5 eq/m3 wastewater treated</v>
      </c>
    </row>
    <row r="53" spans="2:5" x14ac:dyDescent="0.25">
      <c r="B53" s="58" t="str">
        <f>LookUps!$G$19</f>
        <v>Anaerobic Digestion; wastewater treatment unit; at updated plant - US</v>
      </c>
      <c r="C53" s="61"/>
      <c r="D53" s="62">
        <f>IF(ISERROR(D26/D$34), "",D26/ D$34)</f>
        <v>-0.19155909595908513</v>
      </c>
      <c r="E53" s="9" t="str">
        <f>CONCATENATE("(",INDEX(LookUps!$D$5:$D$12,MATCH(PMFP!$B$1,LookUps!$E$5:$E$12,0)), "/m3 wastewater treated")</f>
        <v>(kg PM2.5 eq/m3 wastewater treated</v>
      </c>
    </row>
    <row r="54" spans="2:5" x14ac:dyDescent="0.25">
      <c r="B54" s="58" t="str">
        <f>LookUps!$H$19</f>
        <v>Aerobic Digester; wastewater treatment unit - US</v>
      </c>
      <c r="C54" s="62">
        <f>IF(ISERROR(C27/C$34), "",C27/ C$34)</f>
        <v>0.44483294524457406</v>
      </c>
      <c r="D54" s="61"/>
      <c r="E54" s="9" t="str">
        <f>CONCATENATE("(",INDEX(LookUps!$D$5:$D$12,MATCH(PMFP!$B$1,LookUps!$E$5:$E$12,0)), "/m3 wastewater treated")</f>
        <v>(kg PM2.5 eq/m3 wastewater treated</v>
      </c>
    </row>
    <row r="55" spans="2:5" x14ac:dyDescent="0.25">
      <c r="B55" s="58" t="str">
        <f>LookUps!$J$15</f>
        <v>Belt filter press; wastewater treatment unit - US</v>
      </c>
      <c r="C55" s="62">
        <f t="shared" ref="C55:D55" si="1">IF(ISERROR(C28/C$34), "",C28/ C$34)</f>
        <v>2.1046073177086747E-2</v>
      </c>
      <c r="D55" s="62">
        <f t="shared" si="1"/>
        <v>2.2018286891848867E-2</v>
      </c>
      <c r="E55" s="9" t="str">
        <f>CONCATENATE("(",INDEX(LookUps!$D$5:$D$12,MATCH(PMFP!$B$1,LookUps!$E$5:$E$12,0)), "/m3 wastewater treated")</f>
        <v>(kg PM2.5 eq/m3 wastewater treated</v>
      </c>
    </row>
    <row r="56" spans="2:5" x14ac:dyDescent="0.25">
      <c r="B56"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56" s="61"/>
      <c r="D56" s="62">
        <f>IF(ISERROR(D29/D$34), "",D29/ D$34)</f>
        <v>4.4036573783697734E-2</v>
      </c>
      <c r="E56" s="9" t="str">
        <f>CONCATENATE("(",INDEX(LookUps!$D$5:$D$12,MATCH(PMFP!$B$1,LookUps!$E$5:$E$12,0)), "/m3 wastewater treated")</f>
        <v>(kg PM2.5 eq/m3 wastewater treated</v>
      </c>
    </row>
    <row r="57" spans="2:5" x14ac:dyDescent="0.25">
      <c r="B57" s="58" t="str">
        <f>LookUps!$G$18</f>
        <v>Land application of compost; wastewater treatment unit; at updated plant - US</v>
      </c>
      <c r="C57" s="61"/>
      <c r="D57" s="62">
        <f>IF(ISERROR(D30/D$34), "",D30/ D$34)</f>
        <v>9.5175806552968076E-3</v>
      </c>
      <c r="E57" s="9" t="str">
        <f>CONCATENATE("(",INDEX(LookUps!$D$5:$D$12,MATCH(PMFP!$B$1,LookUps!$E$5:$E$12,0)), "/m3 wastewater treated")</f>
        <v>(kg PM2.5 eq/m3 wastewater treated</v>
      </c>
    </row>
    <row r="58" spans="2:5" x14ac:dyDescent="0.25">
      <c r="B58" s="58" t="str">
        <f>LookUps!$H$18</f>
        <v>Sludge Disposal; wastewater treatment unit - US</v>
      </c>
      <c r="C58" s="62">
        <f>IF(ISERROR(C31/C$34), "",C31/ C$34)</f>
        <v>-0.10754203071846846</v>
      </c>
      <c r="D58" s="59"/>
      <c r="E58" s="9" t="str">
        <f>CONCATENATE("(",INDEX(LookUps!$D$5:$D$12,MATCH(PMFP!$B$1,LookUps!$E$5:$E$12,0)), "/m3 wastewater treated")</f>
        <v>(kg PM2.5 eq/m3 wastewater treated</v>
      </c>
    </row>
    <row r="59" spans="2:5" x14ac:dyDescent="0.25">
      <c r="B59" s="58" t="str">
        <f>LookUps!$G$20</f>
        <v>Effluent release; wastewater treatment unit; at surface water; m3 wastewater - US</v>
      </c>
      <c r="C59" s="62">
        <f t="shared" ref="C59:D60" si="2">IF(ISERROR(C32/C$34), "",C32/ C$34)</f>
        <v>1.5336397911166463E-4</v>
      </c>
      <c r="D59" s="62">
        <f t="shared" si="2"/>
        <v>1.1003440709619445E-2</v>
      </c>
      <c r="E59" s="9" t="str">
        <f>CONCATENATE("(",INDEX(LookUps!$D$5:$D$12,MATCH(PMFP!$B$1,LookUps!$E$5:$E$12,0)), "/m3 wastewater treated")</f>
        <v>(kg PM2.5 eq/m3 wastewater treated</v>
      </c>
    </row>
    <row r="60" spans="2:5" x14ac:dyDescent="0.25">
      <c r="B60" s="58" t="str">
        <f>LookUps!$J$10</f>
        <v>Control Building; at wastewater treatment plant - US</v>
      </c>
      <c r="C60" s="62">
        <f>IF(ISERROR(C33/C$34), "",C33/ C$34)</f>
        <v>3.7790758421882174E-3</v>
      </c>
      <c r="D60" s="62">
        <f t="shared" si="2"/>
        <v>1.9422991415906639E-3</v>
      </c>
      <c r="E60" s="9" t="str">
        <f>CONCATENATE("(",INDEX(LookUps!$D$5:$D$12,MATCH(PMFP!$B$1,LookUps!$E$5:$E$12,0)), "/m3 wastewater treated")</f>
        <v>(kg PM2.5 eq/m3 wastewater treated</v>
      </c>
    </row>
    <row r="61" spans="2:5" x14ac:dyDescent="0.25">
      <c r="B61" s="11" t="s">
        <v>34</v>
      </c>
      <c r="C61" s="63">
        <f>SUM(C40:C60)</f>
        <v>1</v>
      </c>
      <c r="D61" s="63">
        <f>SUM(D40:D60)</f>
        <v>1</v>
      </c>
    </row>
    <row r="62" spans="2:5" x14ac:dyDescent="0.25"/>
    <row r="63" spans="2:5" x14ac:dyDescent="0.25">
      <c r="B63" s="1" t="str">
        <f>CONCATENATE(INDEX(LookUps!$B$5:$B$12,MATCH(PMFP!$B$1,LookUps!$E$5:$E$12,0))," (% of Maximum)")</f>
        <v>Particulate Matter Formation Potential (% of Maximum)</v>
      </c>
    </row>
    <row r="64" spans="2:5" x14ac:dyDescent="0.25"/>
    <row r="65" spans="2:5" x14ac:dyDescent="0.25">
      <c r="B65" s="56" t="s">
        <v>47</v>
      </c>
      <c r="C65" s="1" t="s">
        <v>45</v>
      </c>
      <c r="D65" s="1" t="s">
        <v>46</v>
      </c>
      <c r="E65" s="10" t="s">
        <v>27</v>
      </c>
    </row>
    <row r="66" spans="2:5" x14ac:dyDescent="0.25">
      <c r="B66" s="57" t="str">
        <f>LookUps!$G$5</f>
        <v>Wastewater collection; operation and infrastructure; m3 wastewater</v>
      </c>
      <c r="C66" s="13">
        <f>IF(ISERROR(C13/C$35),"",C13/C$35)</f>
        <v>3.743108771614307E-2</v>
      </c>
      <c r="D66" s="60">
        <f>IF(ISERROR(D13/D$35),"",D13/D$35)</f>
        <v>3.743108771614307E-2</v>
      </c>
      <c r="E66" s="9" t="str">
        <f>CONCATENATE("(",INDEX(LookUps!$D$5:$D$12,MATCH(PMFP!$B$1,LookUps!$E$5:$E$12,0)), "/m3 wastewater treated")</f>
        <v>(kg PM2.5 eq/m3 wastewater treated</v>
      </c>
    </row>
    <row r="67" spans="2:5" x14ac:dyDescent="0.25">
      <c r="B67" s="58" t="str">
        <f>LookUps!$G$6</f>
        <v>Influent Pump Station; wastewater treatment unit; at updated plant - US</v>
      </c>
      <c r="C67" s="61"/>
      <c r="D67" s="62">
        <f>IF(ISERROR(D14/D$35),"",D14/D$35)</f>
        <v>5.9449374607991934E-2</v>
      </c>
      <c r="E67" s="9" t="str">
        <f>CONCATENATE("(",INDEX(LookUps!$D$5:$D$12,MATCH(PMFP!$B$1,LookUps!$E$5:$E$12,0)), "/m3 wastewater treated")</f>
        <v>(kg PM2.5 eq/m3 wastewater treated</v>
      </c>
    </row>
    <row r="68" spans="2:5" x14ac:dyDescent="0.25">
      <c r="B68" s="58" t="str">
        <f>LookUps!$H$6</f>
        <v>Screening and Grit Removal - US</v>
      </c>
      <c r="C68" s="62">
        <f>IF(ISERROR(C15/C$35),"",C15/C$35)</f>
        <v>2.1574244100100948E-2</v>
      </c>
      <c r="D68" s="61"/>
      <c r="E68" s="9" t="str">
        <f>CONCATENATE("(",INDEX(LookUps!$D$5:$D$12,MATCH(PMFP!$B$1,LookUps!$E$5:$E$12,0)), "/m3 wastewater treated")</f>
        <v>(kg PM2.5 eq/m3 wastewater treated</v>
      </c>
    </row>
    <row r="69" spans="2:5" x14ac:dyDescent="0.25">
      <c r="B69" s="58" t="str">
        <f>LookUps!$G$8</f>
        <v>Clear Cove Primary Clarification; wastewater treatment unit; at updated plant - US</v>
      </c>
      <c r="C69" s="61"/>
      <c r="D69" s="62">
        <f>IF(ISERROR(D16/D$35),"",D16/D$35)</f>
        <v>0.14972435086457228</v>
      </c>
      <c r="E69" s="9" t="str">
        <f>CONCATENATE("(",INDEX(LookUps!$D$5:$D$12,MATCH(PMFP!$B$1,LookUps!$E$5:$E$12,0)), "/m3 wastewater treated")</f>
        <v>(kg PM2.5 eq/m3 wastewater treated</v>
      </c>
    </row>
    <row r="70" spans="2:5" x14ac:dyDescent="0.25">
      <c r="B70" s="58" t="str">
        <f>LookUps!$H$8</f>
        <v>Primary Clarifier; wastewater treatment unit - US</v>
      </c>
      <c r="C70" s="62">
        <f>IF(ISERROR(C17/C$35),"",C17/C$35)</f>
        <v>0.12110057790516876</v>
      </c>
      <c r="D70" s="61"/>
      <c r="E70" s="9" t="str">
        <f>CONCATENATE("(",INDEX(LookUps!$D$5:$D$12,MATCH(PMFP!$B$1,LookUps!$E$5:$E$12,0)), "/m3 wastewater treated")</f>
        <v>(kg PM2.5 eq/m3 wastewater treated</v>
      </c>
    </row>
    <row r="71" spans="2:5" x14ac:dyDescent="0.25">
      <c r="B71" s="58" t="str">
        <f>LookUps!$G$17</f>
        <v>ClearCove SCP; wastewater treatment unit; at updated plant - US</v>
      </c>
      <c r="C71" s="61"/>
      <c r="D71" s="62">
        <f t="shared" ref="D71:D76" si="3">IF(ISERROR(D18/D$35),"",D18/D$35)</f>
        <v>7.6100043521345881E-3</v>
      </c>
      <c r="E71" s="9" t="str">
        <f>CONCATENATE("(",INDEX(LookUps!$D$5:$D$12,MATCH(PMFP!$B$1,LookUps!$E$5:$E$12,0)), "/m3 wastewater treated")</f>
        <v>(kg PM2.5 eq/m3 wastewater treated</v>
      </c>
    </row>
    <row r="72" spans="2:5" x14ac:dyDescent="0.25">
      <c r="B72" s="58" t="str">
        <f>LookUps!$G$7</f>
        <v>Wet Well and Sump Station; wastewater treatment unit; at updated plant - US</v>
      </c>
      <c r="C72" s="61"/>
      <c r="D72" s="62">
        <f t="shared" si="3"/>
        <v>0.10348594839168966</v>
      </c>
      <c r="E72" s="9" t="str">
        <f>CONCATENATE("(",INDEX(LookUps!$D$5:$D$12,MATCH(PMFP!$B$1,LookUps!$E$5:$E$12,0)), "/m3 wastewater treated")</f>
        <v>(kg PM2.5 eq/m3 wastewater treated</v>
      </c>
    </row>
    <row r="73" spans="2:5" x14ac:dyDescent="0.25">
      <c r="B73" s="58" t="str">
        <f>LookUps!$G$13</f>
        <v>Pre-Anoxic &amp; Swing tank; wastewater treatment unit; at updated plant - US</v>
      </c>
      <c r="C73" s="61"/>
      <c r="D73" s="62">
        <f t="shared" si="3"/>
        <v>0.1299078926619083</v>
      </c>
      <c r="E73" s="9" t="str">
        <f>CONCATENATE("(",INDEX(LookUps!$D$5:$D$12,MATCH(PMFP!$B$1,LookUps!$E$5:$E$12,0)), "/m3 wastewater treated")</f>
        <v>(kg PM2.5 eq/m3 wastewater treated</v>
      </c>
    </row>
    <row r="74" spans="2:5" x14ac:dyDescent="0.25">
      <c r="B74" s="58" t="str">
        <f>LookUps!$J$9</f>
        <v>Aeration Tanks; wastewater treatment unit - US</v>
      </c>
      <c r="C74" s="62">
        <f>IF(ISERROR(C21/C$35),"",C21/C$35)</f>
        <v>0.39192550667490977</v>
      </c>
      <c r="D74" s="62">
        <f t="shared" si="3"/>
        <v>0.51302608458007859</v>
      </c>
      <c r="E74" s="9" t="str">
        <f>CONCATENATE("(",INDEX(LookUps!$D$5:$D$12,MATCH(PMFP!$B$1,LookUps!$E$5:$E$12,0)), "/m3 wastewater treated")</f>
        <v>(kg PM2.5 eq/m3 wastewater treated</v>
      </c>
    </row>
    <row r="75" spans="2:5" x14ac:dyDescent="0.25">
      <c r="B75" s="58" t="str">
        <f>LookUps!$G$12</f>
        <v>Waste Receiving and Holding; wastewater treatment unit; at updated plant - US</v>
      </c>
      <c r="C75" s="61"/>
      <c r="D75" s="62">
        <f t="shared" si="3"/>
        <v>6.6054860675546584E-2</v>
      </c>
      <c r="E75" s="9" t="str">
        <f>CONCATENATE("(",INDEX(LookUps!$D$5:$D$12,MATCH(PMFP!$B$1,LookUps!$E$5:$E$12,0)), "/m3 wastewater treated")</f>
        <v>(kg PM2.5 eq/m3 wastewater treated</v>
      </c>
    </row>
    <row r="76" spans="2:5" x14ac:dyDescent="0.25">
      <c r="B76" s="58" t="str">
        <f>LookUps!$G$11</f>
        <v>Gravity Belt Thickener; wastewater treatment unit; at updated plant - US</v>
      </c>
      <c r="C76" s="61"/>
      <c r="D76" s="62">
        <f t="shared" si="3"/>
        <v>2.0951236672496085E-2</v>
      </c>
      <c r="E76" s="9" t="str">
        <f>CONCATENATE("(",INDEX(LookUps!$D$5:$D$12,MATCH(PMFP!$B$1,LookUps!$E$5:$E$12,0)), "/m3 wastewater treated")</f>
        <v>(kg PM2.5 eq/m3 wastewater treated</v>
      </c>
    </row>
    <row r="77" spans="2:5" x14ac:dyDescent="0.25">
      <c r="B77" s="58" t="str">
        <f>LookUps!$H$11</f>
        <v>Sludge Thickener; wastewater treatment unit - US</v>
      </c>
      <c r="C77" s="62">
        <f>IF(ISERROR(C24/C$35),"",C24/C$35)</f>
        <v>2.4754279221030004E-3</v>
      </c>
      <c r="D77" s="61"/>
      <c r="E77" s="9" t="str">
        <f>CONCATENATE("(",INDEX(LookUps!$D$5:$D$12,MATCH(PMFP!$B$1,LookUps!$E$5:$E$12,0)), "/m3 wastewater treated")</f>
        <v>(kg PM2.5 eq/m3 wastewater treated</v>
      </c>
    </row>
    <row r="78" spans="2:5" x14ac:dyDescent="0.25">
      <c r="B78" s="58" t="str">
        <f>LookUps!$G$14</f>
        <v>Blend Tank; wastewater treatment unit; at updated plant - US</v>
      </c>
      <c r="C78" s="61"/>
      <c r="D78" s="62">
        <f>IF(ISERROR(D25/D$35),"",D25/D$35)</f>
        <v>1.5400074254470717E-2</v>
      </c>
      <c r="E78" s="9" t="str">
        <f>CONCATENATE("(",INDEX(LookUps!$D$5:$D$12,MATCH(PMFP!$B$1,LookUps!$E$5:$E$12,0)), "/m3 wastewater treated")</f>
        <v>(kg PM2.5 eq/m3 wastewater treated</v>
      </c>
    </row>
    <row r="79" spans="2:5" x14ac:dyDescent="0.25">
      <c r="B79" s="58" t="str">
        <f>LookUps!$G$19</f>
        <v>Anaerobic Digestion; wastewater treatment unit; at updated plant - US</v>
      </c>
      <c r="C79" s="61"/>
      <c r="D79" s="62">
        <f>IF(ISERROR(D26/D$35),"",D26/D$35)</f>
        <v>-0.19155909595908513</v>
      </c>
      <c r="E79" s="9" t="str">
        <f>CONCATENATE("(",INDEX(LookUps!$D$5:$D$12,MATCH(PMFP!$B$1,LookUps!$E$5:$E$12,0)), "/m3 wastewater treated")</f>
        <v>(kg PM2.5 eq/m3 wastewater treated</v>
      </c>
    </row>
    <row r="80" spans="2:5" x14ac:dyDescent="0.25">
      <c r="B80" s="58" t="str">
        <f>LookUps!$H$19</f>
        <v>Aerobic Digester; wastewater treatment unit - US</v>
      </c>
      <c r="C80" s="62">
        <f t="shared" ref="C80:D86" si="4">IF(ISERROR(C27/C$35),"",C27/C$35)</f>
        <v>0.40073282143164934</v>
      </c>
      <c r="D80" s="61"/>
      <c r="E80" s="9" t="str">
        <f>CONCATENATE("(",INDEX(LookUps!$D$5:$D$12,MATCH(PMFP!$B$1,LookUps!$E$5:$E$12,0)), "/m3 wastewater treated")</f>
        <v>(kg PM2.5 eq/m3 wastewater treated</v>
      </c>
    </row>
    <row r="81" spans="1:5" x14ac:dyDescent="0.25">
      <c r="B81" s="58" t="str">
        <f>LookUps!$J$15</f>
        <v>Belt filter press; wastewater treatment unit - US</v>
      </c>
      <c r="C81" s="62">
        <f t="shared" si="4"/>
        <v>1.8959594549980786E-2</v>
      </c>
      <c r="D81" s="62">
        <f t="shared" si="4"/>
        <v>2.2018286891848867E-2</v>
      </c>
      <c r="E81" s="9" t="str">
        <f>CONCATENATE("(",INDEX(LookUps!$D$5:$D$12,MATCH(PMFP!$B$1,LookUps!$E$5:$E$12,0)), "/m3 wastewater treated")</f>
        <v>(kg PM2.5 eq/m3 wastewater treated</v>
      </c>
    </row>
    <row r="82" spans="1:5" x14ac:dyDescent="0.25">
      <c r="B82"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82" s="61"/>
      <c r="D82" s="62">
        <f t="shared" si="4"/>
        <v>4.4036573783697734E-2</v>
      </c>
      <c r="E82" s="9" t="str">
        <f>CONCATENATE("(",INDEX(LookUps!$D$5:$D$12,MATCH(PMFP!$B$1,LookUps!$E$5:$E$12,0)), "/m3 wastewater treated")</f>
        <v>(kg PM2.5 eq/m3 wastewater treated</v>
      </c>
    </row>
    <row r="83" spans="1:5" x14ac:dyDescent="0.25">
      <c r="B83" s="58" t="str">
        <f>LookUps!$G$18</f>
        <v>Land application of compost; wastewater treatment unit; at updated plant - US</v>
      </c>
      <c r="C83" s="61"/>
      <c r="D83" s="62">
        <f t="shared" si="4"/>
        <v>9.5175806552968076E-3</v>
      </c>
      <c r="E83" s="9" t="str">
        <f>CONCATENATE("(",INDEX(LookUps!$D$5:$D$12,MATCH(PMFP!$B$1,LookUps!$E$5:$E$12,0)), "/m3 wastewater treated")</f>
        <v>(kg PM2.5 eq/m3 wastewater treated</v>
      </c>
    </row>
    <row r="84" spans="1:5" x14ac:dyDescent="0.25">
      <c r="B84" s="58" t="str">
        <f>LookUps!$H$18</f>
        <v>Sludge Disposal; wastewater treatment unit - US</v>
      </c>
      <c r="C84" s="62">
        <f t="shared" si="4"/>
        <v>-9.6880462324135011E-2</v>
      </c>
      <c r="D84" s="59"/>
      <c r="E84" s="9" t="str">
        <f>CONCATENATE("(",INDEX(LookUps!$D$5:$D$12,MATCH(PMFP!$B$1,LookUps!$E$5:$E$12,0)), "/m3 wastewater treated")</f>
        <v>(kg PM2.5 eq/m3 wastewater treated</v>
      </c>
    </row>
    <row r="85" spans="1:5" x14ac:dyDescent="0.25">
      <c r="B85" s="58" t="str">
        <f>LookUps!$G$20</f>
        <v>Effluent release; wastewater treatment unit; at surface water; m3 wastewater - US</v>
      </c>
      <c r="C85" s="62">
        <f t="shared" si="4"/>
        <v>1.381596860403665E-4</v>
      </c>
      <c r="D85" s="62">
        <f t="shared" si="4"/>
        <v>1.1003440709619445E-2</v>
      </c>
      <c r="E85" s="9" t="str">
        <f>CONCATENATE("(",INDEX(LookUps!$D$5:$D$12,MATCH(PMFP!$B$1,LookUps!$E$5:$E$12,0)), "/m3 wastewater treated")</f>
        <v>(kg PM2.5 eq/m3 wastewater treated</v>
      </c>
    </row>
    <row r="86" spans="1:5" x14ac:dyDescent="0.25">
      <c r="B86" s="58" t="str">
        <f>LookUps!$J$10</f>
        <v>Control Building; at wastewater treatment plant - US</v>
      </c>
      <c r="C86" s="62">
        <f t="shared" si="4"/>
        <v>3.4044234826438881E-3</v>
      </c>
      <c r="D86" s="62">
        <f t="shared" si="4"/>
        <v>1.9422991415906639E-3</v>
      </c>
      <c r="E86" s="9" t="str">
        <f>CONCATENATE("(",INDEX(LookUps!$D$5:$D$12,MATCH(PMFP!$B$1,LookUps!$E$5:$E$12,0)), "/m3 wastewater treated")</f>
        <v>(kg PM2.5 eq/m3 wastewater treated</v>
      </c>
    </row>
    <row r="87" spans="1:5" x14ac:dyDescent="0.25"/>
    <row r="88" spans="1:5" x14ac:dyDescent="0.25"/>
    <row r="89" spans="1:5" x14ac:dyDescent="0.25">
      <c r="B89" s="1" t="s">
        <v>70</v>
      </c>
    </row>
    <row r="90" spans="1:5" x14ac:dyDescent="0.25"/>
    <row r="91" spans="1:5" x14ac:dyDescent="0.25">
      <c r="A91" s="16" t="s">
        <v>67</v>
      </c>
      <c r="B91" s="56" t="s">
        <v>47</v>
      </c>
      <c r="C91" s="1" t="s">
        <v>45</v>
      </c>
      <c r="D91" s="1" t="s">
        <v>46</v>
      </c>
      <c r="E91" s="10" t="s">
        <v>27</v>
      </c>
    </row>
    <row r="92" spans="1:5" x14ac:dyDescent="0.25">
      <c r="A92" s="18" t="str">
        <f>GWP!A92</f>
        <v>Preliminary/Primary</v>
      </c>
      <c r="B92" s="57" t="str">
        <f>LookUps!$G$5</f>
        <v>Wastewater collection; operation and infrastructure; m3 wastewater</v>
      </c>
      <c r="C92" s="260">
        <f>C13</f>
        <v>1.7000000000000001E-4</v>
      </c>
      <c r="D92" s="260">
        <f>D13</f>
        <v>1.7000000000000001E-4</v>
      </c>
      <c r="E92" s="9" t="str">
        <f>CONCATENATE("(",INDEX(LookUps!$D$5:$D$12,MATCH(PMFP!$B$1,LookUps!$E$5:$E$12,0)), "/m3 wastewater treated")</f>
        <v>(kg PM2.5 eq/m3 wastewater treated</v>
      </c>
    </row>
    <row r="93" spans="1:5" x14ac:dyDescent="0.25">
      <c r="A93" s="18" t="str">
        <f>GWP!A93</f>
        <v>Preliminary/Primary</v>
      </c>
      <c r="B93" s="58" t="str">
        <f>LookUps!$G$6</f>
        <v>Influent Pump Station; wastewater treatment unit; at updated plant - US</v>
      </c>
      <c r="C93" s="258"/>
      <c r="D93" s="260">
        <f t="shared" ref="D93" si="5">D14</f>
        <v>2.7E-4</v>
      </c>
      <c r="E93" s="9" t="str">
        <f>CONCATENATE("(",INDEX(LookUps!$D$5:$D$12,MATCH(PMFP!$B$1,LookUps!$E$5:$E$12,0)), "/m3 wastewater treated")</f>
        <v>(kg PM2.5 eq/m3 wastewater treated</v>
      </c>
    </row>
    <row r="94" spans="1:5" x14ac:dyDescent="0.25">
      <c r="A94" s="18" t="str">
        <f>GWP!A94</f>
        <v>Preliminary/Primary</v>
      </c>
      <c r="B94" s="58" t="str">
        <f>LookUps!$H$6</f>
        <v>Screening and Grit Removal - US</v>
      </c>
      <c r="C94" s="260">
        <f t="shared" ref="C94" si="6">C15</f>
        <v>9.7983299999999994E-5</v>
      </c>
      <c r="D94" s="258"/>
      <c r="E94" s="9" t="str">
        <f>CONCATENATE("(",INDEX(LookUps!$D$5:$D$12,MATCH(PMFP!$B$1,LookUps!$E$5:$E$12,0)), "/m3 wastewater treated")</f>
        <v>(kg PM2.5 eq/m3 wastewater treated</v>
      </c>
    </row>
    <row r="95" spans="1:5" x14ac:dyDescent="0.25">
      <c r="A95" s="18" t="str">
        <f>GWP!A95</f>
        <v>Preliminary/Primary</v>
      </c>
      <c r="B95" s="58" t="str">
        <f>LookUps!$G$8</f>
        <v>Clear Cove Primary Clarification; wastewater treatment unit; at updated plant - US</v>
      </c>
      <c r="C95" s="258"/>
      <c r="D95" s="260">
        <f t="shared" ref="D95" si="7">D16</f>
        <v>6.8000000000000005E-4</v>
      </c>
      <c r="E95" s="9" t="str">
        <f>CONCATENATE("(",INDEX(LookUps!$D$5:$D$12,MATCH(PMFP!$B$1,LookUps!$E$5:$E$12,0)), "/m3 wastewater treated")</f>
        <v>(kg PM2.5 eq/m3 wastewater treated</v>
      </c>
    </row>
    <row r="96" spans="1:5" x14ac:dyDescent="0.25">
      <c r="A96" s="18" t="str">
        <f>GWP!A96</f>
        <v>Preliminary/Primary</v>
      </c>
      <c r="B96" s="58" t="str">
        <f>LookUps!$H$8</f>
        <v>Primary Clarifier; wastewater treatment unit - US</v>
      </c>
      <c r="C96" s="260">
        <f t="shared" ref="C96" si="8">C17</f>
        <v>5.5000000000000003E-4</v>
      </c>
      <c r="D96" s="258"/>
      <c r="E96" s="9" t="str">
        <f>CONCATENATE("(",INDEX(LookUps!$D$5:$D$12,MATCH(PMFP!$B$1,LookUps!$E$5:$E$12,0)), "/m3 wastewater treated")</f>
        <v>(kg PM2.5 eq/m3 wastewater treated</v>
      </c>
    </row>
    <row r="97" spans="1:5" x14ac:dyDescent="0.25">
      <c r="A97" s="18" t="str">
        <f>GWP!A97</f>
        <v>Sludge Handling and Treatment</v>
      </c>
      <c r="B97" s="58" t="str">
        <f>LookUps!$G$17</f>
        <v>ClearCove SCP; wastewater treatment unit; at updated plant - US</v>
      </c>
      <c r="C97" s="258"/>
      <c r="D97" s="260">
        <f t="shared" ref="D97:D99" si="9">D18</f>
        <v>3.4562199999999999E-5</v>
      </c>
      <c r="E97" s="9" t="str">
        <f>CONCATENATE("(",INDEX(LookUps!$D$5:$D$12,MATCH(PMFP!$B$1,LookUps!$E$5:$E$12,0)), "/m3 wastewater treated")</f>
        <v>(kg PM2.5 eq/m3 wastewater treated</v>
      </c>
    </row>
    <row r="98" spans="1:5" x14ac:dyDescent="0.25">
      <c r="A98" s="18" t="str">
        <f>GWP!A98</f>
        <v>Preliminary/Primary</v>
      </c>
      <c r="B98" s="58" t="str">
        <f>LookUps!$G$7</f>
        <v>Wet Well and Sump Station; wastewater treatment unit; at updated plant - US</v>
      </c>
      <c r="C98" s="258"/>
      <c r="D98" s="260">
        <f t="shared" si="9"/>
        <v>4.6999999999999999E-4</v>
      </c>
      <c r="E98" s="9" t="str">
        <f>CONCATENATE("(",INDEX(LookUps!$D$5:$D$12,MATCH(PMFP!$B$1,LookUps!$E$5:$E$12,0)), "/m3 wastewater treated")</f>
        <v>(kg PM2.5 eq/m3 wastewater treated</v>
      </c>
    </row>
    <row r="99" spans="1:5" x14ac:dyDescent="0.25">
      <c r="A99" s="18" t="str">
        <f>GWP!A99</f>
        <v>Biological Treatment</v>
      </c>
      <c r="B99" s="58" t="str">
        <f>LookUps!$G$13</f>
        <v>Pre-Anoxic &amp; Swing tank; wastewater treatment unit; at updated plant - US</v>
      </c>
      <c r="C99" s="258"/>
      <c r="D99" s="260">
        <f t="shared" si="9"/>
        <v>5.9000000000000003E-4</v>
      </c>
      <c r="E99" s="9" t="str">
        <f>CONCATENATE("(",INDEX(LookUps!$D$5:$D$12,MATCH(PMFP!$B$1,LookUps!$E$5:$E$12,0)), "/m3 wastewater treated")</f>
        <v>(kg PM2.5 eq/m3 wastewater treated</v>
      </c>
    </row>
    <row r="100" spans="1:5" x14ac:dyDescent="0.25">
      <c r="A100" s="18" t="str">
        <f>GWP!A100</f>
        <v>Biological Treatment</v>
      </c>
      <c r="B100" s="58" t="str">
        <f>LookUps!$J$9</f>
        <v>Aeration Tanks; wastewater treatment unit - US</v>
      </c>
      <c r="C100" s="260">
        <f t="shared" ref="C100:D102" si="10">C21</f>
        <v>1.7799999999999999E-3</v>
      </c>
      <c r="D100" s="260">
        <f t="shared" si="10"/>
        <v>2.33E-3</v>
      </c>
      <c r="E100" s="9" t="str">
        <f>CONCATENATE("(",INDEX(LookUps!$D$5:$D$12,MATCH(PMFP!$B$1,LookUps!$E$5:$E$12,0)), "/m3 wastewater treated")</f>
        <v>(kg PM2.5 eq/m3 wastewater treated</v>
      </c>
    </row>
    <row r="101" spans="1:5" x14ac:dyDescent="0.25">
      <c r="A101" s="18" t="str">
        <f>GWP!A101</f>
        <v>Sludge Handling and Treatment</v>
      </c>
      <c r="B101" s="58" t="str">
        <f>LookUps!$G$12</f>
        <v>Waste Receiving and Holding; wastewater treatment unit; at updated plant - US</v>
      </c>
      <c r="C101" s="258"/>
      <c r="D101" s="260">
        <f t="shared" si="10"/>
        <v>2.9999999999999997E-4</v>
      </c>
      <c r="E101" s="9" t="str">
        <f>CONCATENATE("(",INDEX(LookUps!$D$5:$D$12,MATCH(PMFP!$B$1,LookUps!$E$5:$E$12,0)), "/m3 wastewater treated")</f>
        <v>(kg PM2.5 eq/m3 wastewater treated</v>
      </c>
    </row>
    <row r="102" spans="1:5" x14ac:dyDescent="0.25">
      <c r="A102" s="18" t="str">
        <f>GWP!A102</f>
        <v>Sludge Handling and Treatment</v>
      </c>
      <c r="B102" s="58" t="str">
        <f>LookUps!$G$11</f>
        <v>Gravity Belt Thickener; wastewater treatment unit; at updated plant - US</v>
      </c>
      <c r="C102" s="258"/>
      <c r="D102" s="260">
        <f t="shared" si="10"/>
        <v>9.5153800000000004E-5</v>
      </c>
      <c r="E102" s="9" t="str">
        <f>CONCATENATE("(",INDEX(LookUps!$D$5:$D$12,MATCH(PMFP!$B$1,LookUps!$E$5:$E$12,0)), "/m3 wastewater treated")</f>
        <v>(kg PM2.5 eq/m3 wastewater treated</v>
      </c>
    </row>
    <row r="103" spans="1:5" x14ac:dyDescent="0.25">
      <c r="A103" s="18" t="str">
        <f>GWP!A103</f>
        <v>Sludge Handling and Treatment</v>
      </c>
      <c r="B103" s="58" t="str">
        <f>LookUps!$H$11</f>
        <v>Sludge Thickener; wastewater treatment unit - US</v>
      </c>
      <c r="C103" s="260">
        <f t="shared" ref="C103" si="11">C24</f>
        <v>1.12426E-5</v>
      </c>
      <c r="D103" s="258"/>
      <c r="E103" s="9" t="str">
        <f>CONCATENATE("(",INDEX(LookUps!$D$5:$D$12,MATCH(PMFP!$B$1,LookUps!$E$5:$E$12,0)), "/m3 wastewater treated")</f>
        <v>(kg PM2.5 eq/m3 wastewater treated</v>
      </c>
    </row>
    <row r="104" spans="1:5" x14ac:dyDescent="0.25">
      <c r="A104" s="18" t="str">
        <f>GWP!A104</f>
        <v>Sludge Handling and Treatment</v>
      </c>
      <c r="B104" s="58" t="str">
        <f>LookUps!$G$14</f>
        <v>Blend Tank; wastewater treatment unit; at updated plant - US</v>
      </c>
      <c r="C104" s="258"/>
      <c r="D104" s="260">
        <f>D25</f>
        <v>6.9942200000000003E-5</v>
      </c>
      <c r="E104" s="9" t="str">
        <f>CONCATENATE("(",INDEX(LookUps!$D$5:$D$12,MATCH(PMFP!$B$1,LookUps!$E$5:$E$12,0)), "/m3 wastewater treated")</f>
        <v>(kg PM2.5 eq/m3 wastewater treated</v>
      </c>
    </row>
    <row r="105" spans="1:5" x14ac:dyDescent="0.25">
      <c r="A105" s="18" t="str">
        <f>GWP!A105</f>
        <v>Sludge Handling and Treatment</v>
      </c>
      <c r="B105" s="58" t="str">
        <f>LookUps!$G$19</f>
        <v>Anaerobic Digestion; wastewater treatment unit; at updated plant - US</v>
      </c>
      <c r="C105" s="258"/>
      <c r="D105" s="260">
        <f>D26</f>
        <v>-8.7000000000000001E-4</v>
      </c>
      <c r="E105" s="9" t="str">
        <f>CONCATENATE("(",INDEX(LookUps!$D$5:$D$12,MATCH(PMFP!$B$1,LookUps!$E$5:$E$12,0)), "/m3 wastewater treated")</f>
        <v>(kg PM2.5 eq/m3 wastewater treated</v>
      </c>
    </row>
    <row r="106" spans="1:5" x14ac:dyDescent="0.25">
      <c r="A106" s="18" t="str">
        <f>GWP!A106</f>
        <v>Sludge Handling and Treatment</v>
      </c>
      <c r="B106" s="58" t="str">
        <f>LookUps!$H$19</f>
        <v>Aerobic Digester; wastewater treatment unit - US</v>
      </c>
      <c r="C106" s="260">
        <f>C27</f>
        <v>1.82E-3</v>
      </c>
      <c r="D106" s="258"/>
      <c r="E106" s="9" t="str">
        <f>CONCATENATE("(",INDEX(LookUps!$D$5:$D$12,MATCH(PMFP!$B$1,LookUps!$E$5:$E$12,0)), "/m3 wastewater treated")</f>
        <v>(kg PM2.5 eq/m3 wastewater treated</v>
      </c>
    </row>
    <row r="107" spans="1:5" x14ac:dyDescent="0.25">
      <c r="A107" s="18" t="str">
        <f>GWP!A107</f>
        <v>Sludge Handling and Treatment</v>
      </c>
      <c r="B107" s="58" t="str">
        <f>LookUps!$J$15</f>
        <v>Belt filter press; wastewater treatment unit - US</v>
      </c>
      <c r="C107" s="260">
        <f>C28</f>
        <v>8.6108399999999997E-5</v>
      </c>
      <c r="D107" s="260">
        <f>D28</f>
        <v>1E-4</v>
      </c>
      <c r="E107" s="9" t="str">
        <f>CONCATENATE("(",INDEX(LookUps!$D$5:$D$12,MATCH(PMFP!$B$1,LookUps!$E$5:$E$12,0)), "/m3 wastewater treated")</f>
        <v>(kg PM2.5 eq/m3 wastewater treated</v>
      </c>
    </row>
    <row r="108" spans="1:5" x14ac:dyDescent="0.25">
      <c r="A108" s="18" t="str">
        <f>GWP!A108</f>
        <v>Sludge Handling and Treatment</v>
      </c>
      <c r="B108"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108" s="258"/>
      <c r="D108" s="260">
        <f>D29</f>
        <v>2.0000000000000001E-4</v>
      </c>
      <c r="E108" s="9" t="str">
        <f>CONCATENATE("(",INDEX(LookUps!$D$5:$D$12,MATCH(PMFP!$B$1,LookUps!$E$5:$E$12,0)), "/m3 wastewater treated")</f>
        <v>(kg PM2.5 eq/m3 wastewater treated</v>
      </c>
    </row>
    <row r="109" spans="1:5" x14ac:dyDescent="0.25">
      <c r="A109" s="18" t="str">
        <f>GWP!A109</f>
        <v>Sludge Disposal</v>
      </c>
      <c r="B109" s="58" t="str">
        <f>LookUps!$G$18</f>
        <v>Land application of compost; wastewater treatment unit; at updated plant - US</v>
      </c>
      <c r="C109" s="258"/>
      <c r="D109" s="260">
        <f>D30</f>
        <v>4.3225800000000002E-5</v>
      </c>
      <c r="E109" s="9" t="str">
        <f>CONCATENATE("(",INDEX(LookUps!$D$5:$D$12,MATCH(PMFP!$B$1,LookUps!$E$5:$E$12,0)), "/m3 wastewater treated")</f>
        <v>(kg PM2.5 eq/m3 wastewater treated</v>
      </c>
    </row>
    <row r="110" spans="1:5" x14ac:dyDescent="0.25">
      <c r="A110" s="18" t="str">
        <f>GWP!A110</f>
        <v>Sludge Disposal</v>
      </c>
      <c r="B110" s="58" t="str">
        <f>LookUps!$H$18</f>
        <v>Sludge Disposal; wastewater treatment unit - US</v>
      </c>
      <c r="C110" s="260">
        <f>C31</f>
        <v>-4.4000000000000002E-4</v>
      </c>
      <c r="D110" s="258"/>
    </row>
    <row r="111" spans="1:5" x14ac:dyDescent="0.25">
      <c r="A111" s="18" t="str">
        <f>GWP!A111</f>
        <v>Effluent Release</v>
      </c>
      <c r="B111" s="58" t="str">
        <f>LookUps!$G$20</f>
        <v>Effluent release; wastewater treatment unit; at surface water; m3 wastewater - US</v>
      </c>
      <c r="C111" s="260">
        <f>C32</f>
        <v>6.2747700000000003E-7</v>
      </c>
      <c r="D111" s="260">
        <f>D32</f>
        <v>4.99741E-5</v>
      </c>
      <c r="E111" s="9" t="str">
        <f>CONCATENATE("(",INDEX(LookUps!$D$5:$D$12,MATCH(PMFP!$B$1,LookUps!$E$5:$E$12,0)), "/m3 wastewater treated")</f>
        <v>(kg PM2.5 eq/m3 wastewater treated</v>
      </c>
    </row>
    <row r="112" spans="1:5" x14ac:dyDescent="0.25">
      <c r="A112" s="18" t="str">
        <f>GWP!A112</f>
        <v>Facilities</v>
      </c>
      <c r="B112" s="58" t="str">
        <f>LookUps!$J$10</f>
        <v>Control Building; at wastewater treatment plant - US</v>
      </c>
      <c r="C112" s="260">
        <f>C33</f>
        <v>1.5461800000000002E-5</v>
      </c>
      <c r="D112" s="260">
        <f>D33</f>
        <v>8.8212999999999997E-6</v>
      </c>
      <c r="E112" s="9" t="str">
        <f>CONCATENATE("(",INDEX(LookUps!$D$5:$D$12,MATCH(PMFP!$B$1,LookUps!$E$5:$E$12,0)), "/m3 wastewater treated")</f>
        <v>(kg PM2.5 eq/m3 wastewater treated</v>
      </c>
    </row>
    <row r="113" spans="1:8" x14ac:dyDescent="0.25">
      <c r="B113" s="11" t="s">
        <v>34</v>
      </c>
      <c r="C113" s="295">
        <f>SUM(C92:C112)</f>
        <v>4.0914235769999993E-3</v>
      </c>
      <c r="D113" s="295">
        <f>SUM(D92:D112)</f>
        <v>4.5416793999999991E-3</v>
      </c>
    </row>
    <row r="114" spans="1:8" ht="13.5" customHeight="1" x14ac:dyDescent="0.25">
      <c r="C114" s="285"/>
      <c r="D114" s="285"/>
    </row>
    <row r="115" spans="1:8" x14ac:dyDescent="0.25">
      <c r="A115" s="18"/>
      <c r="B115" s="11"/>
      <c r="C115" s="286"/>
      <c r="D115" s="286"/>
      <c r="F115" s="19"/>
    </row>
    <row r="116" spans="1:8" x14ac:dyDescent="0.25">
      <c r="A116" s="18"/>
      <c r="B116" s="11"/>
      <c r="C116" s="286"/>
      <c r="D116" s="286"/>
      <c r="F116" s="19"/>
    </row>
    <row r="117" spans="1:8" x14ac:dyDescent="0.25">
      <c r="A117" s="20"/>
      <c r="B117" s="20"/>
      <c r="C117" s="285"/>
      <c r="D117" s="285"/>
      <c r="F117" s="19"/>
    </row>
    <row r="118" spans="1:8" x14ac:dyDescent="0.25">
      <c r="A118" s="342" t="s">
        <v>50</v>
      </c>
      <c r="B118" s="17" t="s">
        <v>47</v>
      </c>
      <c r="C118" s="1" t="s">
        <v>45</v>
      </c>
      <c r="D118" s="1" t="s">
        <v>46</v>
      </c>
      <c r="F118" s="19"/>
    </row>
    <row r="119" spans="1:8" x14ac:dyDescent="0.25">
      <c r="A119" s="342"/>
      <c r="B119" s="21" t="s">
        <v>64</v>
      </c>
      <c r="C119" s="288">
        <f t="shared" ref="C119:C124" si="12">SUMIF($A$92:$A$112,$B119,$C$92:$C$112)</f>
        <v>8.1798330000000009E-4</v>
      </c>
      <c r="D119" s="288">
        <f t="shared" ref="D119:D124" si="13">SUMIF($A$92:$A$112,$B119,$D$92:$D$112)</f>
        <v>1.5900000000000001E-3</v>
      </c>
      <c r="F119" s="19"/>
    </row>
    <row r="120" spans="1:8" x14ac:dyDescent="0.25">
      <c r="A120" s="342"/>
      <c r="B120" s="21" t="s">
        <v>49</v>
      </c>
      <c r="C120" s="288">
        <f t="shared" si="12"/>
        <v>1.7799999999999999E-3</v>
      </c>
      <c r="D120" s="288">
        <f t="shared" si="13"/>
        <v>2.9199999999999999E-3</v>
      </c>
      <c r="F120" s="19"/>
    </row>
    <row r="121" spans="1:8" x14ac:dyDescent="0.25">
      <c r="A121" s="342"/>
      <c r="B121" s="21" t="s">
        <v>119</v>
      </c>
      <c r="C121" s="288">
        <f t="shared" si="12"/>
        <v>1.5461800000000002E-5</v>
      </c>
      <c r="D121" s="288">
        <f t="shared" si="13"/>
        <v>8.8212999999999997E-6</v>
      </c>
      <c r="F121" s="19"/>
    </row>
    <row r="122" spans="1:8" x14ac:dyDescent="0.25">
      <c r="A122" s="342"/>
      <c r="B122" s="21" t="s">
        <v>66</v>
      </c>
      <c r="C122" s="288">
        <f t="shared" si="12"/>
        <v>1.9173510000000001E-3</v>
      </c>
      <c r="D122" s="288">
        <f t="shared" si="13"/>
        <v>-7.0341799999999998E-5</v>
      </c>
      <c r="F122" s="19"/>
    </row>
    <row r="123" spans="1:8" x14ac:dyDescent="0.25">
      <c r="A123" s="342"/>
      <c r="B123" s="11" t="str">
        <f>LookUps!I18</f>
        <v>Sludge Disposal</v>
      </c>
      <c r="C123" s="288">
        <f t="shared" si="12"/>
        <v>-4.4000000000000002E-4</v>
      </c>
      <c r="D123" s="288">
        <f t="shared" si="13"/>
        <v>4.3225800000000002E-5</v>
      </c>
      <c r="F123" s="19"/>
    </row>
    <row r="124" spans="1:8" x14ac:dyDescent="0.25">
      <c r="A124" s="342"/>
      <c r="B124" s="21" t="s">
        <v>33</v>
      </c>
      <c r="C124" s="288">
        <f t="shared" si="12"/>
        <v>6.2747700000000003E-7</v>
      </c>
      <c r="D124" s="288">
        <f t="shared" si="13"/>
        <v>4.99741E-5</v>
      </c>
      <c r="F124" s="19"/>
    </row>
    <row r="125" spans="1:8" x14ac:dyDescent="0.25">
      <c r="B125" s="14" t="s">
        <v>34</v>
      </c>
      <c r="C125" s="296">
        <f>SUM(C119:C124)</f>
        <v>4.0914235769999993E-3</v>
      </c>
      <c r="D125" s="296">
        <f>SUM(D119:D124)</f>
        <v>4.5416794E-3</v>
      </c>
      <c r="F125" s="19"/>
    </row>
    <row r="126" spans="1:8" x14ac:dyDescent="0.25"/>
    <row r="127" spans="1:8" x14ac:dyDescent="0.25">
      <c r="C127" s="12"/>
      <c r="D127" s="12"/>
    </row>
    <row r="128" spans="1:8" x14ac:dyDescent="0.25">
      <c r="H128"/>
    </row>
    <row r="129" spans="8:8" x14ac:dyDescent="0.25">
      <c r="H129"/>
    </row>
    <row r="130" spans="8:8" hidden="1" x14ac:dyDescent="0.25">
      <c r="H130"/>
    </row>
    <row r="131" spans="8:8" hidden="1" x14ac:dyDescent="0.25">
      <c r="H131"/>
    </row>
    <row r="132" spans="8:8" hidden="1" x14ac:dyDescent="0.25">
      <c r="H132"/>
    </row>
    <row r="133" spans="8:8" hidden="1" x14ac:dyDescent="0.25">
      <c r="H133"/>
    </row>
    <row r="134" spans="8:8" hidden="1" x14ac:dyDescent="0.25">
      <c r="H134"/>
    </row>
    <row r="135" spans="8:8" hidden="1" x14ac:dyDescent="0.25">
      <c r="H135"/>
    </row>
    <row r="136" spans="8:8" hidden="1" x14ac:dyDescent="0.25">
      <c r="H136"/>
    </row>
    <row r="137" spans="8:8" hidden="1" x14ac:dyDescent="0.25">
      <c r="H137"/>
    </row>
    <row r="138" spans="8:8" hidden="1" x14ac:dyDescent="0.25">
      <c r="H138"/>
    </row>
    <row r="139" spans="8:8" hidden="1" x14ac:dyDescent="0.25">
      <c r="H139"/>
    </row>
    <row r="140" spans="8:8" hidden="1" x14ac:dyDescent="0.25">
      <c r="H140"/>
    </row>
    <row r="141" spans="8:8" hidden="1" x14ac:dyDescent="0.25">
      <c r="H141"/>
    </row>
    <row r="142" spans="8:8" hidden="1" x14ac:dyDescent="0.25">
      <c r="H142"/>
    </row>
    <row r="143" spans="8:8" hidden="1" x14ac:dyDescent="0.25">
      <c r="H143"/>
    </row>
  </sheetData>
  <mergeCells count="1">
    <mergeCell ref="A118:A12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3"/>
  <sheetViews>
    <sheetView zoomScale="70" zoomScaleNormal="70" workbookViewId="0">
      <selection activeCell="I40" sqref="I40"/>
    </sheetView>
  </sheetViews>
  <sheetFormatPr defaultColWidth="0" defaultRowHeight="15.75" zeroHeight="1" x14ac:dyDescent="0.25"/>
  <cols>
    <col min="1" max="1" width="27.875" style="9" bestFit="1" customWidth="1"/>
    <col min="2" max="2" width="95.625" style="9" bestFit="1" customWidth="1"/>
    <col min="3" max="4" width="12.25" style="9" customWidth="1"/>
    <col min="5" max="25" width="9" style="9" customWidth="1"/>
    <col min="26" max="16384" width="9" style="9" hidden="1"/>
  </cols>
  <sheetData>
    <row r="1" spans="1:9" ht="21" x14ac:dyDescent="0.35">
      <c r="A1" s="8"/>
      <c r="B1" s="23" t="str">
        <f>LookUps!E8</f>
        <v>Smog Formation Potential (SFP) - kg O3 eq</v>
      </c>
    </row>
    <row r="2" spans="1:9" x14ac:dyDescent="0.25">
      <c r="A2" s="24" t="str">
        <f>CONCATENATE("LCIA Results File for ", INDEX(LookUps!$B$5:$B$12,MATCH(SFP!$B$1,LookUps!$E$5:$E$12,0)), " units are in ", INDEX(LookUps!$D$5:$D$12, MATCH(SFP!$B$1,LookUps!$E$5:$E$12,0)))</f>
        <v>LCIA Results File for Smog Formation Potential units are in kg O3 eq</v>
      </c>
      <c r="B2" s="1"/>
    </row>
    <row r="3" spans="1:9" x14ac:dyDescent="0.25">
      <c r="A3" s="24"/>
      <c r="B3" s="1"/>
    </row>
    <row r="4" spans="1:9" x14ac:dyDescent="0.25">
      <c r="A4" s="125" t="s">
        <v>505</v>
      </c>
      <c r="B4" s="1"/>
    </row>
    <row r="5" spans="1:9" s="124" customFormat="1" x14ac:dyDescent="0.25">
      <c r="A5" s="127" t="s">
        <v>211</v>
      </c>
      <c r="B5" s="129" t="str">
        <f>GWP!$B$5</f>
        <v>Base</v>
      </c>
    </row>
    <row r="6" spans="1:9" s="124" customFormat="1" x14ac:dyDescent="0.25">
      <c r="A6" s="128" t="s">
        <v>212</v>
      </c>
      <c r="B6" s="129" t="str">
        <f>GWP!$B$6</f>
        <v>Base</v>
      </c>
    </row>
    <row r="7" spans="1:9" ht="15" customHeight="1" x14ac:dyDescent="0.25">
      <c r="A7" s="66" t="s">
        <v>421</v>
      </c>
      <c r="B7" s="129" t="str">
        <f>GWP!$B$7</f>
        <v>Base_With Amendment</v>
      </c>
    </row>
    <row r="8" spans="1:9" ht="17.25" customHeight="1" x14ac:dyDescent="0.25">
      <c r="A8" s="66" t="s">
        <v>426</v>
      </c>
      <c r="B8" s="129" t="str">
        <f>GWP!$B$8</f>
        <v>Bath Landfill</v>
      </c>
    </row>
    <row r="9" spans="1:9" ht="17.25" customHeight="1" x14ac:dyDescent="0.25">
      <c r="A9" s="66" t="s">
        <v>429</v>
      </c>
      <c r="B9" s="129" t="str">
        <f>GWP!$B$9</f>
        <v>Windrow</v>
      </c>
    </row>
    <row r="10" spans="1:9" x14ac:dyDescent="0.25">
      <c r="A10" s="126" t="s">
        <v>213</v>
      </c>
      <c r="B10" s="1"/>
      <c r="I10" s="130" t="str">
        <f>CONCATENATE("Figure is presenting results for the ", GWP!$B$5, " Feedstock-AD scenario and the ", GWP!$B$6, " GHG emissions scenario")</f>
        <v>Figure is presenting results for the Base Feedstock-AD scenario and the Base GHG emissions scenario</v>
      </c>
    </row>
    <row r="11" spans="1:9" x14ac:dyDescent="0.25">
      <c r="B11" s="1"/>
    </row>
    <row r="12" spans="1:9" x14ac:dyDescent="0.25">
      <c r="B12" s="56" t="s">
        <v>47</v>
      </c>
      <c r="C12" s="1" t="s">
        <v>45</v>
      </c>
      <c r="D12" s="1" t="s">
        <v>46</v>
      </c>
      <c r="E12" s="10" t="s">
        <v>27</v>
      </c>
    </row>
    <row r="13" spans="1:9" x14ac:dyDescent="0.25">
      <c r="B13" s="57" t="str">
        <f>LookUps!$G$5</f>
        <v>Wastewater collection; operation and infrastructure; m3 wastewater</v>
      </c>
      <c r="C13" s="15">
        <f>IF(C$12="Legacy",
SUMIFS(OpenLCAbasic!$J:$J,OpenLCAbasic!$D:$D, "Base", OpenLCAbasic!$F:$F,C$12,OpenLCAbasic!$L:$L,$B$1,OpenLCAbasic!$I:$I,$B13, OpenLCAbasic!$C:$C, $B$8),
IF(AND(NOT(ISERROR(MATCH($B13, LookUps!$J$5:$J$20,0))), C$12="Upgraded"),
SUMIFS(OpenLCAbasic!$J:$J,OpenLCAbasic!$D:$D, GWP!$B$5, OpenLCAbasic!$F:$F,C$12,OpenLCAbasic!$L:$L,$B$1,OpenLCAbasic!$I:$I,INDEX(LookUps!$G$5:$G$20,MATCH($B13, LookUps!$J$5:$J$20,0))),
SUMIFS(OpenLCAbasic!$J:$J,OpenLCAbasic!$D:$D, GWP!$B$5, OpenLCAbasic!$F:$F,C$12,OpenLCAbasic!$L:$L,$B$1,OpenLCAbasic!$I:$I,$B13)))</f>
        <v>1.192E-2</v>
      </c>
      <c r="D13" s="15">
        <f>IF(AND(NOT(ISERROR(MATCH($B13, LookUps!$J$5:$J$20,0))), D$12="Upgraded"),
SUMIFS(OpenLCAbasic!$J:$J,OpenLCAbasic!$E:$E, "Base", OpenLCAbasic!$D:$D, GWP!$B$5, OpenLCAbasic!$F:$F,D$12,OpenLCAbasic!$L:$L,$B$1,OpenLCAbasic!$C:$C,$B$7,OpenLCAbasic!$I:$I,INDEX(LookUps!$G$5:$G$20,MATCH($B13, LookUps!$J$5:$J$20,0)), OpenLCAbasic!$B:$B, $B$9),
SUMIFS(OpenLCAbasic!$J:$J,OpenLCAbasic!$E:$E, "Base", OpenLCAbasic!$D:$D, GWP!$B$5, OpenLCAbasic!$F:$F,D$12,OpenLCAbasic!$L:$L,$B$1,OpenLCAbasic!$I:$I,$B13, OpenLCAbasic!$C:$C,$B$7, OpenLCAbasic!$B:$B, $B$9))</f>
        <v>1.192E-2</v>
      </c>
      <c r="E13" s="9" t="str">
        <f>CONCATENATE("(",INDEX(LookUps!$D$5:$D$12,MATCH(SFP!$B$1,LookUps!$E$5:$E$12,0)), "/m3 wastewater treated")</f>
        <v>(kg O3 eq/m3 wastewater treated</v>
      </c>
    </row>
    <row r="14" spans="1:9" x14ac:dyDescent="0.25">
      <c r="B14" s="58" t="str">
        <f>LookUps!$G$6</f>
        <v>Influent Pump Station; wastewater treatment unit; at updated plant - US</v>
      </c>
      <c r="C14" s="258"/>
      <c r="D14" s="15">
        <f>IF(AND(NOT(ISERROR(MATCH($B14, LookUps!$J$5:$J$20,0))), D$12="Upgraded"),
SUMIFS(OpenLCAbasic!$J:$J,OpenLCAbasic!$E:$E, "Base", OpenLCAbasic!$D:$D, GWP!$B$5, OpenLCAbasic!$F:$F,D$12,OpenLCAbasic!$L:$L,$B$1,OpenLCAbasic!$C:$C,$B$7,OpenLCAbasic!$I:$I,INDEX(LookUps!$G$5:$G$20,MATCH($B14, LookUps!$J$5:$J$20,0)), OpenLCAbasic!$B:$B, $B$9),
SUMIFS(OpenLCAbasic!$J:$J,OpenLCAbasic!$E:$E, "Base", OpenLCAbasic!$D:$D, GWP!$B$5, OpenLCAbasic!$F:$F,D$12,OpenLCAbasic!$L:$L,$B$1,OpenLCAbasic!$I:$I,$B14, OpenLCAbasic!$C:$C,$B$7, OpenLCAbasic!$B:$B, $B$9))</f>
        <v>1.9400000000000001E-2</v>
      </c>
      <c r="E14" s="9" t="str">
        <f>CONCATENATE("(",INDEX(LookUps!$D$5:$D$12,MATCH(SFP!$B$1,LookUps!$E$5:$E$12,0)), "/m3 wastewater treated")</f>
        <v>(kg O3 eq/m3 wastewater treated</v>
      </c>
    </row>
    <row r="15" spans="1:9" x14ac:dyDescent="0.25">
      <c r="B15" s="58" t="str">
        <f>LookUps!$H$6</f>
        <v>Screening and Grit Removal - US</v>
      </c>
      <c r="C15" s="260">
        <f>IF(C$12="Legacy",
SUMIFS(OpenLCAbasic!$J:$J,OpenLCAbasic!$D:$D, "Base", OpenLCAbasic!$F:$F,C$12,OpenLCAbasic!$L:$L,$B$1,OpenLCAbasic!$I:$I,$B15, OpenLCAbasic!$C:$C, $B$8),
IF(AND(NOT(ISERROR(MATCH($B15, LookUps!$J$5:$J$20,0))), C$12="Upgraded"),
SUMIFS(OpenLCAbasic!$J:$J,OpenLCAbasic!$D:$D, GWP!$B$5, OpenLCAbasic!$F:$F,C$12,OpenLCAbasic!$L:$L,$B$1,OpenLCAbasic!$I:$I,INDEX(LookUps!$G$5:$G$20,MATCH($B15, LookUps!$J$5:$J$20,0))),
SUMIFS(OpenLCAbasic!$J:$J,OpenLCAbasic!$D:$D, GWP!$B$5, OpenLCAbasic!$F:$F,C$12,OpenLCAbasic!$L:$L,$B$1,OpenLCAbasic!$I:$I,$B15)))</f>
        <v>6.9499999999999996E-3</v>
      </c>
      <c r="D15" s="258"/>
      <c r="E15" s="9" t="str">
        <f>CONCATENATE("(",INDEX(LookUps!$D$5:$D$12,MATCH(SFP!$B$1,LookUps!$E$5:$E$12,0)), "/m3 wastewater treated")</f>
        <v>(kg O3 eq/m3 wastewater treated</v>
      </c>
    </row>
    <row r="16" spans="1:9" x14ac:dyDescent="0.25">
      <c r="B16" s="58" t="str">
        <f>LookUps!$G$8</f>
        <v>Clear Cove Primary Clarification; wastewater treatment unit; at updated plant - US</v>
      </c>
      <c r="C16" s="258"/>
      <c r="D16" s="15">
        <f>IF(AND(NOT(ISERROR(MATCH($B16, LookUps!$J$5:$J$20,0))), D$12="Upgraded"),
SUMIFS(OpenLCAbasic!$J:$J,OpenLCAbasic!$E:$E, "Base", OpenLCAbasic!$D:$D, GWP!$B$5, OpenLCAbasic!$F:$F,D$12,OpenLCAbasic!$L:$L,$B$1,OpenLCAbasic!$C:$C,$B$7,OpenLCAbasic!$I:$I,INDEX(LookUps!$G$5:$G$20,MATCH($B16, LookUps!$J$5:$J$20,0)), OpenLCAbasic!$B:$B, $B$9),
SUMIFS(OpenLCAbasic!$J:$J,OpenLCAbasic!$E:$E, "Base", OpenLCAbasic!$D:$D, GWP!$B$5, OpenLCAbasic!$F:$F,D$12,OpenLCAbasic!$L:$L,$B$1,OpenLCAbasic!$I:$I,$B16, OpenLCAbasic!$C:$C,$B$7, OpenLCAbasic!$B:$B, $B$9))</f>
        <v>4.8070000000000002E-2</v>
      </c>
      <c r="E16" s="9" t="str">
        <f>CONCATENATE("(",INDEX(LookUps!$D$5:$D$12,MATCH(SFP!$B$1,LookUps!$E$5:$E$12,0)), "/m3 wastewater treated")</f>
        <v>(kg O3 eq/m3 wastewater treated</v>
      </c>
    </row>
    <row r="17" spans="2:5" x14ac:dyDescent="0.25">
      <c r="B17" s="58" t="str">
        <f>LookUps!$H$8</f>
        <v>Primary Clarifier; wastewater treatment unit - US</v>
      </c>
      <c r="C17" s="15">
        <f>IF(C$12="Legacy",
SUMIFS(OpenLCAbasic!$J:$J,OpenLCAbasic!$D:$D, "Base", OpenLCAbasic!$F:$F,C$12,OpenLCAbasic!$L:$L,$B$1,OpenLCAbasic!$I:$I,$B17, OpenLCAbasic!$C:$C, $B$8),
IF(AND(NOT(ISERROR(MATCH($B17, LookUps!$J$5:$J$20,0))), C$12="Upgraded"),
SUMIFS(OpenLCAbasic!$J:$J,OpenLCAbasic!$D:$D, GWP!$B$5, OpenLCAbasic!$F:$F,C$12,OpenLCAbasic!$L:$L,$B$1,OpenLCAbasic!$I:$I,INDEX(LookUps!$G$5:$G$20,MATCH($B17, LookUps!$J$5:$J$20,0))),
SUMIFS(OpenLCAbasic!$J:$J,OpenLCAbasic!$D:$D, GWP!$B$5, OpenLCAbasic!$F:$F,C$12,OpenLCAbasic!$L:$L,$B$1,OpenLCAbasic!$I:$I,$B17)))</f>
        <v>3.6470000000000002E-2</v>
      </c>
      <c r="D17" s="258"/>
      <c r="E17" s="9" t="str">
        <f>CONCATENATE("(",INDEX(LookUps!$D$5:$D$12,MATCH(SFP!$B$1,LookUps!$E$5:$E$12,0)), "/m3 wastewater treated")</f>
        <v>(kg O3 eq/m3 wastewater treated</v>
      </c>
    </row>
    <row r="18" spans="2:5" x14ac:dyDescent="0.25">
      <c r="B18" s="58" t="str">
        <f>LookUps!$G$17</f>
        <v>ClearCove SCP; wastewater treatment unit; at updated plant - US</v>
      </c>
      <c r="C18" s="258"/>
      <c r="D18" s="260">
        <f>IF(AND(NOT(ISERROR(MATCH($B18, LookUps!$J$5:$J$20,0))), D$12="Upgraded"),
SUMIFS(OpenLCAbasic!$J:$J,OpenLCAbasic!$E:$E, "Base", OpenLCAbasic!$D:$D, GWP!$B$5, OpenLCAbasic!$F:$F,D$12,OpenLCAbasic!$L:$L,$B$1,OpenLCAbasic!$C:$C,$B$7,OpenLCAbasic!$I:$I,INDEX(LookUps!$G$5:$G$20,MATCH($B18, LookUps!$J$5:$J$20,0)), OpenLCAbasic!$B:$B, $B$9),
SUMIFS(OpenLCAbasic!$J:$J,OpenLCAbasic!$E:$E, "Base", OpenLCAbasic!$D:$D, GWP!$B$5, OpenLCAbasic!$F:$F,D$12,OpenLCAbasic!$L:$L,$B$1,OpenLCAbasic!$I:$I,$B18, OpenLCAbasic!$C:$C,$B$7, OpenLCAbasic!$B:$B, $B$9))</f>
        <v>2.4599999999999999E-3</v>
      </c>
      <c r="E18" s="9" t="str">
        <f>CONCATENATE("(",INDEX(LookUps!$D$5:$D$12,MATCH(SFP!$B$1,LookUps!$E$5:$E$12,0)), "/m3 wastewater treated")</f>
        <v>(kg O3 eq/m3 wastewater treated</v>
      </c>
    </row>
    <row r="19" spans="2:5" x14ac:dyDescent="0.25">
      <c r="B19" s="58" t="str">
        <f>LookUps!$G$7</f>
        <v>Wet Well and Sump Station; wastewater treatment unit; at updated plant - US</v>
      </c>
      <c r="C19" s="258"/>
      <c r="D19" s="15">
        <f>IF(AND(NOT(ISERROR(MATCH($B19, LookUps!$J$5:$J$20,0))), D$12="Upgraded"),
SUMIFS(OpenLCAbasic!$J:$J,OpenLCAbasic!$E:$E, "Base", OpenLCAbasic!$D:$D, GWP!$B$5, OpenLCAbasic!$F:$F,D$12,OpenLCAbasic!$L:$L,$B$1,OpenLCAbasic!$C:$C,$B$7,OpenLCAbasic!$I:$I,INDEX(LookUps!$G$5:$G$20,MATCH($B19, LookUps!$J$5:$J$20,0)), OpenLCAbasic!$B:$B, $B$9),
SUMIFS(OpenLCAbasic!$J:$J,OpenLCAbasic!$E:$E, "Base", OpenLCAbasic!$D:$D, GWP!$B$5, OpenLCAbasic!$F:$F,D$12,OpenLCAbasic!$L:$L,$B$1,OpenLCAbasic!$I:$I,$B19, OpenLCAbasic!$C:$C,$B$7, OpenLCAbasic!$B:$B, $B$9))</f>
        <v>3.313E-2</v>
      </c>
      <c r="E19" s="9" t="str">
        <f>CONCATENATE("(",INDEX(LookUps!$D$5:$D$12,MATCH(SFP!$B$1,LookUps!$E$5:$E$12,0)), "/m3 wastewater treated")</f>
        <v>(kg O3 eq/m3 wastewater treated</v>
      </c>
    </row>
    <row r="20" spans="2:5" x14ac:dyDescent="0.25">
      <c r="B20" s="58" t="str">
        <f>LookUps!$G$13</f>
        <v>Pre-Anoxic &amp; Swing tank; wastewater treatment unit; at updated plant - US</v>
      </c>
      <c r="C20" s="258"/>
      <c r="D20" s="15">
        <f>IF(AND(NOT(ISERROR(MATCH($B20, LookUps!$J$5:$J$20,0))), D$12="Upgraded"),
SUMIFS(OpenLCAbasic!$J:$J,OpenLCAbasic!$E:$E, "Base", OpenLCAbasic!$D:$D, GWP!$B$5, OpenLCAbasic!$F:$F,D$12,OpenLCAbasic!$L:$L,$B$1,OpenLCAbasic!$C:$C,$B$7,OpenLCAbasic!$I:$I,INDEX(LookUps!$G$5:$G$20,MATCH($B20, LookUps!$J$5:$J$20,0)), OpenLCAbasic!$B:$B, $B$9),
SUMIFS(OpenLCAbasic!$J:$J,OpenLCAbasic!$E:$E, "Base", OpenLCAbasic!$D:$D, GWP!$B$5, OpenLCAbasic!$F:$F,D$12,OpenLCAbasic!$L:$L,$B$1,OpenLCAbasic!$I:$I,$B20, OpenLCAbasic!$C:$C,$B$7, OpenLCAbasic!$B:$B, $B$9))</f>
        <v>4.1779999999999998E-2</v>
      </c>
      <c r="E20" s="9" t="str">
        <f>CONCATENATE("(",INDEX(LookUps!$D$5:$D$12,MATCH(SFP!$B$1,LookUps!$E$5:$E$12,0)), "/m3 wastewater treated")</f>
        <v>(kg O3 eq/m3 wastewater treated</v>
      </c>
    </row>
    <row r="21" spans="2:5" x14ac:dyDescent="0.25">
      <c r="B21" s="58" t="str">
        <f>LookUps!$J$9</f>
        <v>Aeration Tanks; wastewater treatment unit - US</v>
      </c>
      <c r="C21" s="15">
        <f>IF(C$12="Legacy",
SUMIFS(OpenLCAbasic!$J:$J,OpenLCAbasic!$D:$D, "Base", OpenLCAbasic!$F:$F,C$12,OpenLCAbasic!$L:$L,$B$1,OpenLCAbasic!$I:$I,$B21, OpenLCAbasic!$C:$C, $B$8),
IF(AND(NOT(ISERROR(MATCH($B21, LookUps!$J$5:$J$20,0))), C$12="Upgraded"),
SUMIFS(OpenLCAbasic!$J:$J,OpenLCAbasic!$D:$D, GWP!$B$5, OpenLCAbasic!$F:$F,C$12,OpenLCAbasic!$L:$L,$B$1,OpenLCAbasic!$I:$I,INDEX(LookUps!$G$5:$G$20,MATCH($B21, LookUps!$J$5:$J$20,0))),
SUMIFS(OpenLCAbasic!$J:$J,OpenLCAbasic!$D:$D, GWP!$B$5, OpenLCAbasic!$F:$F,C$12,OpenLCAbasic!$L:$L,$B$1,OpenLCAbasic!$I:$I,$B21)))</f>
        <v>0.12629000000000001</v>
      </c>
      <c r="D21" s="15">
        <f>IF(AND(NOT(ISERROR(MATCH($B21, LookUps!$J$5:$J$20,0))), D$12="Upgraded"),
SUMIFS(OpenLCAbasic!$J:$J,OpenLCAbasic!$E:$E, "Base", OpenLCAbasic!$D:$D, GWP!$B$5, OpenLCAbasic!$F:$F,D$12,OpenLCAbasic!$L:$L,$B$1,OpenLCAbasic!$C:$C,$B$7,OpenLCAbasic!$I:$I,INDEX(LookUps!$G$5:$G$20,MATCH($B21, LookUps!$J$5:$J$20,0)), OpenLCAbasic!$B:$B, $B$9),
SUMIFS(OpenLCAbasic!$J:$J,OpenLCAbasic!$E:$E, "Base", OpenLCAbasic!$D:$D, GWP!$B$5, OpenLCAbasic!$F:$F,D$12,OpenLCAbasic!$L:$L,$B$1,OpenLCAbasic!$I:$I,$B21, OpenLCAbasic!$C:$C,$B$7, OpenLCAbasic!$B:$B, $B$9))</f>
        <v>0.16577</v>
      </c>
      <c r="E21" s="9" t="str">
        <f>CONCATENATE("(",INDEX(LookUps!$D$5:$D$12,MATCH(SFP!$B$1,LookUps!$E$5:$E$12,0)), "/m3 wastewater treated")</f>
        <v>(kg O3 eq/m3 wastewater treated</v>
      </c>
    </row>
    <row r="22" spans="2:5" x14ac:dyDescent="0.25">
      <c r="B22" s="58" t="str">
        <f>LookUps!$G$12</f>
        <v>Waste Receiving and Holding; wastewater treatment unit; at updated plant - US</v>
      </c>
      <c r="C22" s="258"/>
      <c r="D22" s="15">
        <f>IF(AND(NOT(ISERROR(MATCH($B22, LookUps!$J$5:$J$20,0))), D$12="Upgraded"),
SUMIFS(OpenLCAbasic!$J:$J,OpenLCAbasic!$E:$E, "Base", OpenLCAbasic!$D:$D, GWP!$B$5, OpenLCAbasic!$F:$F,D$12,OpenLCAbasic!$L:$L,$B$1,OpenLCAbasic!$C:$C,$B$7,OpenLCAbasic!$I:$I,INDEX(LookUps!$G$5:$G$20,MATCH($B22, LookUps!$J$5:$J$20,0)), OpenLCAbasic!$B:$B, $B$9),
SUMIFS(OpenLCAbasic!$J:$J,OpenLCAbasic!$E:$E, "Base", OpenLCAbasic!$D:$D, GWP!$B$5, OpenLCAbasic!$F:$F,D$12,OpenLCAbasic!$L:$L,$B$1,OpenLCAbasic!$I:$I,$B22, OpenLCAbasic!$C:$C,$B$7, OpenLCAbasic!$B:$B, $B$9))</f>
        <v>2.7949999999999999E-2</v>
      </c>
      <c r="E22" s="9" t="str">
        <f>CONCATENATE("(",INDEX(LookUps!$D$5:$D$12,MATCH(SFP!$B$1,LookUps!$E$5:$E$12,0)), "/m3 wastewater treated")</f>
        <v>(kg O3 eq/m3 wastewater treated</v>
      </c>
    </row>
    <row r="23" spans="2:5" x14ac:dyDescent="0.25">
      <c r="B23" s="58" t="str">
        <f>LookUps!$G$11</f>
        <v>Gravity Belt Thickener; wastewater treatment unit; at updated plant - US</v>
      </c>
      <c r="C23" s="258"/>
      <c r="D23" s="260">
        <f>IF(AND(NOT(ISERROR(MATCH($B23, LookUps!$J$5:$J$20,0))), D$12="Upgraded"),
SUMIFS(OpenLCAbasic!$J:$J,OpenLCAbasic!$E:$E, "Base", OpenLCAbasic!$D:$D, GWP!$B$5, OpenLCAbasic!$F:$F,D$12,OpenLCAbasic!$L:$L,$B$1,OpenLCAbasic!$C:$C,$B$7,OpenLCAbasic!$I:$I,INDEX(LookUps!$G$5:$G$20,MATCH($B23, LookUps!$J$5:$J$20,0)), OpenLCAbasic!$B:$B, $B$9),
SUMIFS(OpenLCAbasic!$J:$J,OpenLCAbasic!$E:$E, "Base", OpenLCAbasic!$D:$D, GWP!$B$5, OpenLCAbasic!$F:$F,D$12,OpenLCAbasic!$L:$L,$B$1,OpenLCAbasic!$I:$I,$B23, OpenLCAbasic!$C:$C,$B$7, OpenLCAbasic!$B:$B, $B$9))</f>
        <v>6.6499999999999997E-3</v>
      </c>
      <c r="E23" s="9" t="str">
        <f>CONCATENATE("(",INDEX(LookUps!$D$5:$D$12,MATCH(SFP!$B$1,LookUps!$E$5:$E$12,0)), "/m3 wastewater treated")</f>
        <v>(kg O3 eq/m3 wastewater treated</v>
      </c>
    </row>
    <row r="24" spans="2:5" x14ac:dyDescent="0.25">
      <c r="B24" s="58" t="str">
        <f>LookUps!$H$11</f>
        <v>Sludge Thickener; wastewater treatment unit - US</v>
      </c>
      <c r="C24" s="260">
        <f>IF(C$12="Legacy",
SUMIFS(OpenLCAbasic!$J:$J,OpenLCAbasic!$D:$D, "Base", OpenLCAbasic!$F:$F,C$12,OpenLCAbasic!$L:$L,$B$1,OpenLCAbasic!$I:$I,$B24, OpenLCAbasic!$C:$C, $B$8),
IF(AND(NOT(ISERROR(MATCH($B24, LookUps!$J$5:$J$20,0))), C$12="Upgraded"),
SUMIFS(OpenLCAbasic!$J:$J,OpenLCAbasic!$D:$D, GWP!$B$5, OpenLCAbasic!$F:$F,C$12,OpenLCAbasic!$L:$L,$B$1,OpenLCAbasic!$I:$I,INDEX(LookUps!$G$5:$G$20,MATCH($B24, LookUps!$J$5:$J$20,0))),
SUMIFS(OpenLCAbasic!$J:$J,OpenLCAbasic!$D:$D, GWP!$B$5, OpenLCAbasic!$F:$F,C$12,OpenLCAbasic!$L:$L,$B$1,OpenLCAbasic!$I:$I,$B24)))</f>
        <v>8.0000000000000004E-4</v>
      </c>
      <c r="D24" s="258"/>
      <c r="E24" s="9" t="str">
        <f>CONCATENATE("(",INDEX(LookUps!$D$5:$D$12,MATCH(SFP!$B$1,LookUps!$E$5:$E$12,0)), "/m3 wastewater treated")</f>
        <v>(kg O3 eq/m3 wastewater treated</v>
      </c>
    </row>
    <row r="25" spans="2:5" x14ac:dyDescent="0.25">
      <c r="B25" s="58" t="str">
        <f>LookUps!$G$14</f>
        <v>Blend Tank; wastewater treatment unit; at updated plant - US</v>
      </c>
      <c r="C25" s="258"/>
      <c r="D25" s="260">
        <f>IF(AND(NOT(ISERROR(MATCH($B25, LookUps!$J$5:$J$20,0))), D$12="Upgraded"),
SUMIFS(OpenLCAbasic!$J:$J,OpenLCAbasic!$E:$E, "Base", OpenLCAbasic!$D:$D, GWP!$B$5, OpenLCAbasic!$F:$F,D$12,OpenLCAbasic!$L:$L,$B$1,OpenLCAbasic!$C:$C,$B$7,OpenLCAbasic!$I:$I,INDEX(LookUps!$G$5:$G$20,MATCH($B25, LookUps!$J$5:$J$20,0)), OpenLCAbasic!$B:$B, $B$9),
SUMIFS(OpenLCAbasic!$J:$J,OpenLCAbasic!$E:$E, "Base", OpenLCAbasic!$D:$D, GWP!$B$5, OpenLCAbasic!$F:$F,D$12,OpenLCAbasic!$L:$L,$B$1,OpenLCAbasic!$I:$I,$B25, OpenLCAbasic!$C:$C,$B$7, OpenLCAbasic!$B:$B, $B$9))</f>
        <v>4.9699999999999996E-3</v>
      </c>
      <c r="E25" s="9" t="str">
        <f>CONCATENATE("(",INDEX(LookUps!$D$5:$D$12,MATCH(SFP!$B$1,LookUps!$E$5:$E$12,0)), "/m3 wastewater treated")</f>
        <v>(kg O3 eq/m3 wastewater treated</v>
      </c>
    </row>
    <row r="26" spans="2:5" x14ac:dyDescent="0.25">
      <c r="B26" s="58" t="str">
        <f>LookUps!$G$19</f>
        <v>Anaerobic Digestion; wastewater treatment unit; at updated plant - US</v>
      </c>
      <c r="C26" s="258"/>
      <c r="D26" s="15">
        <f>IF(AND(NOT(ISERROR(MATCH($B26, LookUps!$J$5:$J$20,0))), D$12="Upgraded"),
SUMIFS(OpenLCAbasic!$J:$J,OpenLCAbasic!$E:$E, "Base", OpenLCAbasic!$D:$D, GWP!$B$5, OpenLCAbasic!$F:$F,D$12,OpenLCAbasic!$L:$L,$B$1,OpenLCAbasic!$C:$C,$B$7,OpenLCAbasic!$I:$I,INDEX(LookUps!$G$5:$G$20,MATCH($B26, LookUps!$J$5:$J$20,0)), OpenLCAbasic!$B:$B, $B$9),
SUMIFS(OpenLCAbasic!$J:$J,OpenLCAbasic!$E:$E, "Base", OpenLCAbasic!$D:$D, GWP!$B$5, OpenLCAbasic!$F:$F,D$12,OpenLCAbasic!$L:$L,$B$1,OpenLCAbasic!$I:$I,$B26, OpenLCAbasic!$C:$C,$B$7, OpenLCAbasic!$B:$B, $B$9))</f>
        <v>-6.1940000000000002E-2</v>
      </c>
      <c r="E26" s="9" t="str">
        <f>CONCATENATE("(",INDEX(LookUps!$D$5:$D$12,MATCH(SFP!$B$1,LookUps!$E$5:$E$12,0)), "/m3 wastewater treated")</f>
        <v>(kg O3 eq/m3 wastewater treated</v>
      </c>
    </row>
    <row r="27" spans="2:5" x14ac:dyDescent="0.25">
      <c r="B27" s="58" t="str">
        <f>LookUps!$H$19</f>
        <v>Aerobic Digester; wastewater treatment unit - US</v>
      </c>
      <c r="C27" s="15">
        <f>IF(C$12="Legacy",
SUMIFS(OpenLCAbasic!$J:$J,OpenLCAbasic!$D:$D, "Base", OpenLCAbasic!$F:$F,C$12,OpenLCAbasic!$L:$L,$B$1,OpenLCAbasic!$I:$I,$B27, OpenLCAbasic!$C:$C, $B$8),
IF(AND(NOT(ISERROR(MATCH($B27, LookUps!$J$5:$J$20,0))), C$12="Upgraded"),
SUMIFS(OpenLCAbasic!$J:$J,OpenLCAbasic!$D:$D, GWP!$B$5, OpenLCAbasic!$F:$F,C$12,OpenLCAbasic!$L:$L,$B$1,OpenLCAbasic!$I:$I,INDEX(LookUps!$G$5:$G$20,MATCH($B27, LookUps!$J$5:$J$20,0))),
SUMIFS(OpenLCAbasic!$J:$J,OpenLCAbasic!$D:$D, GWP!$B$5, OpenLCAbasic!$F:$F,C$12,OpenLCAbasic!$L:$L,$B$1,OpenLCAbasic!$I:$I,$B27)))</f>
        <v>0.12926000000000001</v>
      </c>
      <c r="D27" s="258"/>
      <c r="E27" s="9" t="str">
        <f>CONCATENATE("(",INDEX(LookUps!$D$5:$D$12,MATCH(SFP!$B$1,LookUps!$E$5:$E$12,0)), "/m3 wastewater treated")</f>
        <v>(kg O3 eq/m3 wastewater treated</v>
      </c>
    </row>
    <row r="28" spans="2:5" x14ac:dyDescent="0.25">
      <c r="B28" s="58" t="str">
        <f>LookUps!$J$15</f>
        <v>Belt filter press; wastewater treatment unit - US</v>
      </c>
      <c r="C28" s="260">
        <f>IF(C$12="Legacy",
SUMIFS(OpenLCAbasic!$J:$J,OpenLCAbasic!$D:$D, "Base", OpenLCAbasic!$F:$F,C$12,OpenLCAbasic!$L:$L,$B$1,OpenLCAbasic!$I:$I,$B28, OpenLCAbasic!$C:$C, $B$8),
IF(AND(NOT(ISERROR(MATCH($B28, LookUps!$J$5:$J$20,0))), C$12="Upgraded"),
SUMIFS(OpenLCAbasic!$J:$J,OpenLCAbasic!$D:$D, GWP!$B$5, OpenLCAbasic!$F:$F,C$12,OpenLCAbasic!$L:$L,$B$1,OpenLCAbasic!$I:$I,INDEX(LookUps!$G$5:$G$20,MATCH($B28, LookUps!$J$5:$J$20,0))),
SUMIFS(OpenLCAbasic!$J:$J,OpenLCAbasic!$D:$D, GWP!$B$5, OpenLCAbasic!$F:$F,C$12,OpenLCAbasic!$L:$L,$B$1,OpenLCAbasic!$I:$I,$B28)))</f>
        <v>6.1000000000000004E-3</v>
      </c>
      <c r="D28" s="260">
        <f>IF(AND(NOT(ISERROR(MATCH($B28, LookUps!$J$5:$J$20,0))), D$12="Upgraded"),
SUMIFS(OpenLCAbasic!$J:$J,OpenLCAbasic!$E:$E, "Base", OpenLCAbasic!$D:$D, GWP!$B$5, OpenLCAbasic!$F:$F,D$12,OpenLCAbasic!$L:$L,$B$1,OpenLCAbasic!$C:$C,$B$7,OpenLCAbasic!$I:$I,INDEX(LookUps!$G$5:$G$20,MATCH($B28, LookUps!$J$5:$J$20,0)), OpenLCAbasic!$B:$B, $B$9),
SUMIFS(OpenLCAbasic!$J:$J,OpenLCAbasic!$E:$E, "Base", OpenLCAbasic!$D:$D, GWP!$B$5, OpenLCAbasic!$F:$F,D$12,OpenLCAbasic!$L:$L,$B$1,OpenLCAbasic!$I:$I,$B28, OpenLCAbasic!$C:$C,$B$7, OpenLCAbasic!$B:$B, $B$9))</f>
        <v>7.3499999999999998E-3</v>
      </c>
      <c r="E28" s="9" t="str">
        <f>CONCATENATE("(",INDEX(LookUps!$D$5:$D$12,MATCH(SFP!$B$1,LookUps!$E$5:$E$12,0)), "/m3 wastewater treated")</f>
        <v>(kg O3 eq/m3 wastewater treated</v>
      </c>
    </row>
    <row r="29" spans="2:5" x14ac:dyDescent="0.25">
      <c r="B29"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29" s="258"/>
      <c r="D29" s="283">
        <f>IF(OR(GWP!$B$6="Low", GWP!$B$6="High"),
INDEX(OpenLCAbasic!$J:$J, MATCH(CONCATENATE(GWP!$B$6, "_", GWP!$B$5, "_", "Upgraded_",$B$1,"_",B29, "_", $B$7, "_", $B$9), OpenLCAbasic!$M:$M,0)),
IF(AND(NOT(ISERROR(MATCH($B29, LookUps!$J$5:$J$20,0))), D$12="Upgraded"),
SUMIFS(OpenLCAbasic!$J:$J,OpenLCAbasic!$E:$E, GWP!$B$6, OpenLCAbasic!$D:$D, GWP!$B$5, OpenLCAbasic!$F:$F,D$12,OpenLCAbasic!$L:$L,$B$1,OpenLCAbasic!$I:$I,INDEX(LookUps!$G$5:$G$20,MATCH($B29, LookUps!$J$5:$J$20,0)), OpenLCAbasic!$B:$B, $B$9, OpenLCAbasic!$C:$C, $B$7),
SUMIFS(OpenLCAbasic!$J:$J,OpenLCAbasic!$E:$E, GWP!$B$6, OpenLCAbasic!$D:$D, GWP!$B$5, OpenLCAbasic!$F:$F,D$12,OpenLCAbasic!$L:$L,$B$1,OpenLCAbasic!$I:$I,$B29, OpenLCAbasic!$B:$B, $B$9, OpenLCAbasic!$C:$C, $B$7)))</f>
        <v>1.1100000000000001E-3</v>
      </c>
      <c r="E29" s="9" t="str">
        <f>CONCATENATE("(",INDEX(LookUps!$D$5:$D$12,MATCH(SFP!$B$1,LookUps!$E$5:$E$12,0)), "/m3 wastewater treated")</f>
        <v>(kg O3 eq/m3 wastewater treated</v>
      </c>
    </row>
    <row r="30" spans="2:5" x14ac:dyDescent="0.25">
      <c r="B30" s="58" t="str">
        <f>LookUps!$G$18</f>
        <v>Land application of compost; wastewater treatment unit; at updated plant - US</v>
      </c>
      <c r="C30" s="258"/>
      <c r="D30" s="283">
        <f>IF(OR(GWP!$B$6="Low", GWP!$B$6="High"),
INDEX(OpenLCAbasic!$J:$J, MATCH(CONCATENATE(GWP!$B$6, "_", GWP!$B$5, "_", "Upgraded_",$B$1,"_",B30, "_", $B$7, "_", $B$9), OpenLCAbasic!$M:$M,0)),
IF(AND(NOT(ISERROR(MATCH($B30, LookUps!$J$5:$J$20,0))), D$12="Upgraded"),
SUMIFS(OpenLCAbasic!$J:$J,OpenLCAbasic!$E:$E, GWP!$B$6, OpenLCAbasic!$D:$D, GWP!$B$5, OpenLCAbasic!$F:$F,D$12,OpenLCAbasic!$L:$L,$B$1,OpenLCAbasic!$I:$I,INDEX(LookUps!$G$5:$G$20,MATCH($B30, LookUps!$J$5:$J$20,0)), OpenLCAbasic!$B:$B, $B$9, OpenLCAbasic!$C:$C, $B$7),
SUMIFS(OpenLCAbasic!$J:$J,OpenLCAbasic!$E:$E, GWP!$B$6, OpenLCAbasic!$D:$D, GWP!$B$5, OpenLCAbasic!$F:$F,D$12,OpenLCAbasic!$L:$L,$B$1,OpenLCAbasic!$I:$I,$B30, OpenLCAbasic!$B:$B, $B$9, OpenLCAbasic!$C:$C, $B$7)))</f>
        <v>-2.7799999999999999E-3</v>
      </c>
      <c r="E30" s="9" t="str">
        <f>CONCATENATE("(",INDEX(LookUps!$D$5:$D$12,MATCH(SFP!$B$1,LookUps!$E$5:$E$12,0)), "/m3 wastewater treated")</f>
        <v>(kg O3 eq/m3 wastewater treated</v>
      </c>
    </row>
    <row r="31" spans="2:5" x14ac:dyDescent="0.25">
      <c r="B31" s="58" t="str">
        <f>LookUps!$H$18</f>
        <v>Sludge Disposal; wastewater treatment unit - US</v>
      </c>
      <c r="C31" s="290">
        <f>IF(OR(GWP!$B$6="Low", GWP!$B$6="High"),
 INDEX(OpenLCAbasic!$J:$J, MATCH(CONCATENATE(GWP!$B$6, "_", "Base", "_", "Legacy_",$B$1, "_",B31, "_", $B$8,"_n.a."), OpenLCAbasic!$M:$M,0)),
IF(C$12="Legacy", SUMIFS(OpenLCAbasic!$J:$J,OpenLCAbasic!$E:$E, "Base", OpenLCAbasic!$D:$D, "Base", OpenLCAbasic!$F:$F,C$12,OpenLCAbasic!$L:$L,$B$1,OpenLCAbasic!$I:$I,$B31, OpenLCAbasic!$C:$C, $B$8),
IF(AND(NOT(ISERROR(MATCH($B31, LookUps!$J$5:$J$20,0))), C$12="Upgraded"), SUMIFS(OpenLCAbasic!$J:$J,OpenLCAbasic!$E:$E, "Base", OpenLCAbasic!$D:$D, "Base", OpenLCAbasic!$F:$F,C$12,OpenLCAbasic!$L:$L,$B$1,OpenLCAbasic!$I:$I,INDEX(LookUps!$G$5:$G$20,MATCH($B31, LookUps!$J$5:$J$20,0))),
SUMIFS(OpenLCAbasic!$J:$J,OpenLCAbasic!$E:$E, "Base", OpenLCAbasic!$D:$D, "Base", OpenLCAbasic!$F:$F,C$12,OpenLCAbasic!$L:$L,$B$1,OpenLCAbasic!$I:$I,$B31))))</f>
        <v>-3.014E-2</v>
      </c>
      <c r="D31" s="258"/>
      <c r="E31" s="9" t="str">
        <f>CONCATENATE("(",INDEX(LookUps!$D$5:$D$12,MATCH(SFP!$B$1,LookUps!$E$5:$E$12,0)), "/m3 wastewater treated")</f>
        <v>(kg O3 eq/m3 wastewater treated</v>
      </c>
    </row>
    <row r="32" spans="2:5" x14ac:dyDescent="0.25">
      <c r="B32" s="58" t="str">
        <f>LookUps!$G$20</f>
        <v>Effluent release; wastewater treatment unit; at surface water; m3 wastewater - US</v>
      </c>
      <c r="C32" s="260">
        <f>IF(C$12="Legacy",
SUMIFS(OpenLCAbasic!$J:$J,OpenLCAbasic!$D:$D, "Base", OpenLCAbasic!$F:$F,C$12,OpenLCAbasic!$L:$L,$B$1,OpenLCAbasic!$I:$I,$B32, OpenLCAbasic!$C:$C, $B$8),
IF(AND(NOT(ISERROR(MATCH($B32, LookUps!$J$5:$J$20,0))), C$12="Upgraded"),
SUMIFS(OpenLCAbasic!$J:$J,OpenLCAbasic!$D:$D, GWP!$B$5, OpenLCAbasic!$F:$F,C$12,OpenLCAbasic!$L:$L,$B$1,OpenLCAbasic!$I:$I,INDEX(LookUps!$G$5:$G$20,MATCH($B32, LookUps!$J$5:$J$20,0))),
SUMIFS(OpenLCAbasic!$J:$J,OpenLCAbasic!$D:$D, GWP!$B$5, OpenLCAbasic!$F:$F,C$12,OpenLCAbasic!$L:$L,$B$1,OpenLCAbasic!$I:$I,$B32)))</f>
        <v>4.0287000000000002E-5</v>
      </c>
      <c r="D32" s="260">
        <f>IF(AND(NOT(ISERROR(MATCH($B32, LookUps!$J$5:$J$20,0))), D$12="Upgraded"),
SUMIFS(OpenLCAbasic!$J:$J,OpenLCAbasic!$E:$E, "Base", OpenLCAbasic!$D:$D, GWP!$B$5, OpenLCAbasic!$F:$F,D$12,OpenLCAbasic!$L:$L,$B$1,OpenLCAbasic!$C:$C,$B$7,OpenLCAbasic!$I:$I,INDEX(LookUps!$G$5:$G$20,MATCH($B32, LookUps!$J$5:$J$20,0)), OpenLCAbasic!$B:$B, $B$9),
SUMIFS(OpenLCAbasic!$J:$J,OpenLCAbasic!$E:$E, "Base", OpenLCAbasic!$D:$D, GWP!$B$5, OpenLCAbasic!$F:$F,D$12,OpenLCAbasic!$L:$L,$B$1,OpenLCAbasic!$I:$I,$B32, OpenLCAbasic!$C:$C,$B$7, OpenLCAbasic!$B:$B, $B$9))</f>
        <v>3.3899999999999998E-3</v>
      </c>
      <c r="E32" s="9" t="str">
        <f>CONCATENATE("(",INDEX(LookUps!$D$5:$D$12,MATCH(SFP!$B$1,LookUps!$E$5:$E$12,0)), "/m3 wastewater treated")</f>
        <v>(kg O3 eq/m3 wastewater treated</v>
      </c>
    </row>
    <row r="33" spans="2:9" x14ac:dyDescent="0.25">
      <c r="B33" s="58" t="str">
        <f>LookUps!$J$10</f>
        <v>Control Building; at wastewater treatment plant - US</v>
      </c>
      <c r="C33" s="260">
        <f>IF(C$12="Legacy",
SUMIFS(OpenLCAbasic!$J:$J,OpenLCAbasic!$D:$D, "Base", OpenLCAbasic!$F:$F,C$12,OpenLCAbasic!$L:$L,$B$1,OpenLCAbasic!$I:$I,$B33, OpenLCAbasic!$C:$C, $B$8),
IF(AND(NOT(ISERROR(MATCH($B33, LookUps!$J$5:$J$20,0))), C$12="Upgraded"),
SUMIFS(OpenLCAbasic!$J:$J,OpenLCAbasic!$D:$D, GWP!$B$5, OpenLCAbasic!$F:$F,C$12,OpenLCAbasic!$L:$L,$B$1,OpenLCAbasic!$I:$I,INDEX(LookUps!$G$5:$G$20,MATCH($B33, LookUps!$J$5:$J$20,0))),
SUMIFS(OpenLCAbasic!$J:$J,OpenLCAbasic!$D:$D, GWP!$B$5, OpenLCAbasic!$F:$F,C$12,OpenLCAbasic!$L:$L,$B$1,OpenLCAbasic!$I:$I,$B33)))</f>
        <v>1.3699999999999999E-3</v>
      </c>
      <c r="D33" s="260">
        <f>IF(AND(NOT(ISERROR(MATCH($B33, LookUps!$J$5:$J$20,0))), D$12="Upgraded"),
SUMIFS(OpenLCAbasic!$J:$J,OpenLCAbasic!$E:$E, "Base", OpenLCAbasic!$D:$D, GWP!$B$5, OpenLCAbasic!$F:$F,D$12,OpenLCAbasic!$L:$L,$B$1,OpenLCAbasic!$C:$C,$B$7,OpenLCAbasic!$I:$I,INDEX(LookUps!$G$5:$G$20,MATCH($B33, LookUps!$J$5:$J$20,0)), OpenLCAbasic!$B:$B, $B$9),
SUMIFS(OpenLCAbasic!$J:$J,OpenLCAbasic!$E:$E, "Base", OpenLCAbasic!$D:$D, GWP!$B$5, OpenLCAbasic!$F:$F,D$12,OpenLCAbasic!$L:$L,$B$1,OpenLCAbasic!$I:$I,$B33, OpenLCAbasic!$C:$C,$B$7, OpenLCAbasic!$B:$B, $B$9))</f>
        <v>5.4000000000000001E-4</v>
      </c>
      <c r="E33" s="9" t="str">
        <f>CONCATENATE("(",INDEX(LookUps!$D$5:$D$12,MATCH(SFP!$B$1,LookUps!$E$5:$E$12,0)), "/m3 wastewater treated")</f>
        <v>(kg O3 eq/m3 wastewater treated</v>
      </c>
    </row>
    <row r="34" spans="2:9" x14ac:dyDescent="0.25">
      <c r="B34" s="11" t="s">
        <v>34</v>
      </c>
      <c r="C34" s="12">
        <f>SUM(C13:C33)</f>
        <v>0.28906028700000003</v>
      </c>
      <c r="D34" s="12">
        <f>SUM(D13:D33)</f>
        <v>0.30976999999999993</v>
      </c>
    </row>
    <row r="35" spans="2:9" x14ac:dyDescent="0.25">
      <c r="B35" s="11" t="s">
        <v>22</v>
      </c>
      <c r="C35" s="12">
        <f>MAX($C$34:$D$34)</f>
        <v>0.30976999999999993</v>
      </c>
      <c r="D35" s="12">
        <f>MAX($C$34:$D$34)</f>
        <v>0.30976999999999993</v>
      </c>
    </row>
    <row r="36" spans="2:9" x14ac:dyDescent="0.25"/>
    <row r="37" spans="2:9" x14ac:dyDescent="0.25">
      <c r="B37" s="1" t="str">
        <f>CONCATENATE(INDEX(LookUps!$B$5:$B$12,MATCH(SFP!$B$1,LookUps!$E$5:$E$12,0))," (Contribution %)")</f>
        <v>Smog Formation Potential (Contribution %)</v>
      </c>
      <c r="I37" s="331"/>
    </row>
    <row r="38" spans="2:9" x14ac:dyDescent="0.25"/>
    <row r="39" spans="2:9" x14ac:dyDescent="0.25">
      <c r="B39" s="56" t="s">
        <v>47</v>
      </c>
      <c r="C39" s="1" t="s">
        <v>45</v>
      </c>
      <c r="D39" s="1" t="s">
        <v>46</v>
      </c>
      <c r="E39" s="10" t="s">
        <v>27</v>
      </c>
    </row>
    <row r="40" spans="2:9" x14ac:dyDescent="0.25">
      <c r="B40" s="57" t="str">
        <f>LookUps!$G$5</f>
        <v>Wastewater collection; operation and infrastructure; m3 wastewater</v>
      </c>
      <c r="C40" s="60">
        <f>IF(ISERROR(C13/C$34), "",C13/ C$34)</f>
        <v>4.1237072458867374E-2</v>
      </c>
      <c r="D40" s="60">
        <f>IF(ISERROR(D13/D$34), "",D13/ D$34)</f>
        <v>3.848016270135908E-2</v>
      </c>
      <c r="E40" s="9" t="str">
        <f>CONCATENATE("(",INDEX(LookUps!$D$5:$D$12,MATCH(SFP!$B$1,LookUps!$E$5:$E$12,0)), "/m3 wastewater treated")</f>
        <v>(kg O3 eq/m3 wastewater treated</v>
      </c>
    </row>
    <row r="41" spans="2:9" x14ac:dyDescent="0.25">
      <c r="B41" s="58" t="str">
        <f>LookUps!$G$6</f>
        <v>Influent Pump Station; wastewater treatment unit; at updated plant - US</v>
      </c>
      <c r="C41" s="61"/>
      <c r="D41" s="62">
        <f>IF(ISERROR(D14/D$34), "",D14/ D$34)</f>
        <v>6.2627110436775685E-2</v>
      </c>
      <c r="E41" s="9" t="str">
        <f>CONCATENATE("(",INDEX(LookUps!$D$5:$D$12,MATCH(SFP!$B$1,LookUps!$E$5:$E$12,0)), "/m3 wastewater treated")</f>
        <v>(kg O3 eq/m3 wastewater treated</v>
      </c>
    </row>
    <row r="42" spans="2:9" x14ac:dyDescent="0.25">
      <c r="B42" s="58" t="str">
        <f>LookUps!$H$6</f>
        <v>Screening and Grit Removal - US</v>
      </c>
      <c r="C42" s="62">
        <f>IF(ISERROR(C15/C$34), "",C15/ C$34)</f>
        <v>2.404342731452418E-2</v>
      </c>
      <c r="D42" s="61"/>
      <c r="E42" s="9" t="str">
        <f>CONCATENATE("(",INDEX(LookUps!$D$5:$D$12,MATCH(SFP!$B$1,LookUps!$E$5:$E$12,0)), "/m3 wastewater treated")</f>
        <v>(kg O3 eq/m3 wastewater treated</v>
      </c>
    </row>
    <row r="43" spans="2:9" x14ac:dyDescent="0.25">
      <c r="B43" s="58" t="str">
        <f>LookUps!$G$8</f>
        <v>Clear Cove Primary Clarification; wastewater treatment unit; at updated plant - US</v>
      </c>
      <c r="C43" s="61"/>
      <c r="D43" s="62">
        <f>IF(ISERROR(D16/D$34), "",D16/ D$34)</f>
        <v>0.15517964941730966</v>
      </c>
      <c r="E43" s="9" t="str">
        <f>CONCATENATE("(",INDEX(LookUps!$D$5:$D$12,MATCH(SFP!$B$1,LookUps!$E$5:$E$12,0)), "/m3 wastewater treated")</f>
        <v>(kg O3 eq/m3 wastewater treated</v>
      </c>
    </row>
    <row r="44" spans="2:9" x14ac:dyDescent="0.25">
      <c r="B44" s="58" t="str">
        <f>LookUps!$H$8</f>
        <v>Primary Clarifier; wastewater treatment unit - US</v>
      </c>
      <c r="C44" s="62">
        <f>IF(ISERROR(C17/C$34), "",C17/ C$34)</f>
        <v>0.12616745239722257</v>
      </c>
      <c r="D44" s="61"/>
      <c r="E44" s="9" t="str">
        <f>CONCATENATE("(",INDEX(LookUps!$D$5:$D$12,MATCH(SFP!$B$1,LookUps!$E$5:$E$12,0)), "/m3 wastewater treated")</f>
        <v>(kg O3 eq/m3 wastewater treated</v>
      </c>
    </row>
    <row r="45" spans="2:9" x14ac:dyDescent="0.25">
      <c r="B45" s="58" t="str">
        <f>LookUps!$G$17</f>
        <v>ClearCove SCP; wastewater treatment unit; at updated plant - US</v>
      </c>
      <c r="C45" s="61"/>
      <c r="D45" s="62">
        <f t="shared" ref="D45:D50" si="0">IF(ISERROR(D18/D$34), "",D18/ D$34)</f>
        <v>7.9413758595086696E-3</v>
      </c>
      <c r="E45" s="9" t="str">
        <f>CONCATENATE("(",INDEX(LookUps!$D$5:$D$12,MATCH(SFP!$B$1,LookUps!$E$5:$E$12,0)), "/m3 wastewater treated")</f>
        <v>(kg O3 eq/m3 wastewater treated</v>
      </c>
    </row>
    <row r="46" spans="2:9" x14ac:dyDescent="0.25">
      <c r="B46" s="58" t="str">
        <f>LookUps!$G$7</f>
        <v>Wet Well and Sump Station; wastewater treatment unit; at updated plant - US</v>
      </c>
      <c r="C46" s="61"/>
      <c r="D46" s="62">
        <f t="shared" si="0"/>
        <v>0.10695031797785456</v>
      </c>
      <c r="E46" s="9" t="str">
        <f>CONCATENATE("(",INDEX(LookUps!$D$5:$D$12,MATCH(SFP!$B$1,LookUps!$E$5:$E$12,0)), "/m3 wastewater treated")</f>
        <v>(kg O3 eq/m3 wastewater treated</v>
      </c>
    </row>
    <row r="47" spans="2:9" x14ac:dyDescent="0.25">
      <c r="B47" s="58" t="str">
        <f>LookUps!$G$13</f>
        <v>Pre-Anoxic &amp; Swing tank; wastewater treatment unit; at updated plant - US</v>
      </c>
      <c r="C47" s="61"/>
      <c r="D47" s="62">
        <f t="shared" si="0"/>
        <v>0.13487426154889112</v>
      </c>
      <c r="E47" s="9" t="str">
        <f>CONCATENATE("(",INDEX(LookUps!$D$5:$D$12,MATCH(SFP!$B$1,LookUps!$E$5:$E$12,0)), "/m3 wastewater treated")</f>
        <v>(kg O3 eq/m3 wastewater treated</v>
      </c>
    </row>
    <row r="48" spans="2:9" x14ac:dyDescent="0.25">
      <c r="B48" s="58" t="str">
        <f>LookUps!$J$9</f>
        <v>Aeration Tanks; wastewater treatment unit - US</v>
      </c>
      <c r="C48" s="62">
        <f>IF(ISERROR(C21/C$34), "",C21/ C$34)</f>
        <v>0.43689847993543302</v>
      </c>
      <c r="D48" s="62">
        <f t="shared" si="0"/>
        <v>0.53513897407754152</v>
      </c>
      <c r="E48" s="9" t="str">
        <f>CONCATENATE("(",INDEX(LookUps!$D$5:$D$12,MATCH(SFP!$B$1,LookUps!$E$5:$E$12,0)), "/m3 wastewater treated")</f>
        <v>(kg O3 eq/m3 wastewater treated</v>
      </c>
    </row>
    <row r="49" spans="2:5" x14ac:dyDescent="0.25">
      <c r="B49" s="58" t="str">
        <f>LookUps!$G$12</f>
        <v>Waste Receiving and Holding; wastewater treatment unit; at updated plant - US</v>
      </c>
      <c r="C49" s="61"/>
      <c r="D49" s="62">
        <f t="shared" si="0"/>
        <v>9.0228233850921671E-2</v>
      </c>
      <c r="E49" s="9" t="str">
        <f>CONCATENATE("(",INDEX(LookUps!$D$5:$D$12,MATCH(SFP!$B$1,LookUps!$E$5:$E$12,0)), "/m3 wastewater treated")</f>
        <v>(kg O3 eq/m3 wastewater treated</v>
      </c>
    </row>
    <row r="50" spans="2:5" x14ac:dyDescent="0.25">
      <c r="B50" s="58" t="str">
        <f>LookUps!$G$11</f>
        <v>Gravity Belt Thickener; wastewater treatment unit; at updated plant - US</v>
      </c>
      <c r="C50" s="61"/>
      <c r="D50" s="62">
        <f t="shared" si="0"/>
        <v>2.1467540433224654E-2</v>
      </c>
      <c r="E50" s="9" t="str">
        <f>CONCATENATE("(",INDEX(LookUps!$D$5:$D$12,MATCH(SFP!$B$1,LookUps!$E$5:$E$12,0)), "/m3 wastewater treated")</f>
        <v>(kg O3 eq/m3 wastewater treated</v>
      </c>
    </row>
    <row r="51" spans="2:5" x14ac:dyDescent="0.25">
      <c r="B51" s="58" t="str">
        <f>LookUps!$H$11</f>
        <v>Sludge Thickener; wastewater treatment unit - US</v>
      </c>
      <c r="C51" s="62">
        <f>IF(ISERROR(C24/C$34), "",C24/ C$34)</f>
        <v>2.767588755628683E-3</v>
      </c>
      <c r="D51" s="61"/>
      <c r="E51" s="9" t="str">
        <f>CONCATENATE("(",INDEX(LookUps!$D$5:$D$12,MATCH(SFP!$B$1,LookUps!$E$5:$E$12,0)), "/m3 wastewater treated")</f>
        <v>(kg O3 eq/m3 wastewater treated</v>
      </c>
    </row>
    <row r="52" spans="2:5" x14ac:dyDescent="0.25">
      <c r="B52" s="58" t="str">
        <f>LookUps!$G$14</f>
        <v>Blend Tank; wastewater treatment unit; at updated plant - US</v>
      </c>
      <c r="C52" s="61"/>
      <c r="D52" s="62">
        <f>IF(ISERROR(D25/D$34), "",D25/ D$34)</f>
        <v>1.6044161797462635E-2</v>
      </c>
      <c r="E52" s="9" t="str">
        <f>CONCATENATE("(",INDEX(LookUps!$D$5:$D$12,MATCH(SFP!$B$1,LookUps!$E$5:$E$12,0)), "/m3 wastewater treated")</f>
        <v>(kg O3 eq/m3 wastewater treated</v>
      </c>
    </row>
    <row r="53" spans="2:5" x14ac:dyDescent="0.25">
      <c r="B53" s="58" t="str">
        <f>LookUps!$G$19</f>
        <v>Anaerobic Digestion; wastewater treatment unit; at updated plant - US</v>
      </c>
      <c r="C53" s="61"/>
      <c r="D53" s="62">
        <f>IF(ISERROR(D26/D$34), "",D26/ D$34)</f>
        <v>-0.19995480517803538</v>
      </c>
      <c r="E53" s="9" t="str">
        <f>CONCATENATE("(",INDEX(LookUps!$D$5:$D$12,MATCH(SFP!$B$1,LookUps!$E$5:$E$12,0)), "/m3 wastewater treated")</f>
        <v>(kg O3 eq/m3 wastewater treated</v>
      </c>
    </row>
    <row r="54" spans="2:5" x14ac:dyDescent="0.25">
      <c r="B54" s="58" t="str">
        <f>LookUps!$H$19</f>
        <v>Aerobic Digester; wastewater treatment unit - US</v>
      </c>
      <c r="C54" s="62">
        <f>IF(ISERROR(C27/C$34), "",C27/ C$34)</f>
        <v>0.4471731531907045</v>
      </c>
      <c r="D54" s="61"/>
      <c r="E54" s="9" t="str">
        <f>CONCATENATE("(",INDEX(LookUps!$D$5:$D$12,MATCH(SFP!$B$1,LookUps!$E$5:$E$12,0)), "/m3 wastewater treated")</f>
        <v>(kg O3 eq/m3 wastewater treated</v>
      </c>
    </row>
    <row r="55" spans="2:5" x14ac:dyDescent="0.25">
      <c r="B55" s="58" t="str">
        <f>LookUps!$J$15</f>
        <v>Belt filter press; wastewater treatment unit - US</v>
      </c>
      <c r="C55" s="62">
        <f t="shared" ref="C55:D55" si="1">IF(ISERROR(C28/C$34), "",C28/ C$34)</f>
        <v>2.1102864261668706E-2</v>
      </c>
      <c r="D55" s="62">
        <f t="shared" si="1"/>
        <v>2.3727281531458828E-2</v>
      </c>
      <c r="E55" s="9" t="str">
        <f>CONCATENATE("(",INDEX(LookUps!$D$5:$D$12,MATCH(SFP!$B$1,LookUps!$E$5:$E$12,0)), "/m3 wastewater treated")</f>
        <v>(kg O3 eq/m3 wastewater treated</v>
      </c>
    </row>
    <row r="56" spans="2:5" x14ac:dyDescent="0.25">
      <c r="B56"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56" s="61"/>
      <c r="D56" s="62">
        <f>IF(ISERROR(D29/D$34), "",D29/ D$34)</f>
        <v>3.5833037414856194E-3</v>
      </c>
      <c r="E56" s="9" t="str">
        <f>CONCATENATE("(",INDEX(LookUps!$D$5:$D$12,MATCH(SFP!$B$1,LookUps!$E$5:$E$12,0)), "/m3 wastewater treated")</f>
        <v>(kg O3 eq/m3 wastewater treated</v>
      </c>
    </row>
    <row r="57" spans="2:5" x14ac:dyDescent="0.25">
      <c r="B57" s="58" t="str">
        <f>LookUps!$G$18</f>
        <v>Land application of compost; wastewater treatment unit; at updated plant - US</v>
      </c>
      <c r="C57" s="61"/>
      <c r="D57" s="62">
        <f>IF(ISERROR(D30/D$34), "",D30/ D$34)</f>
        <v>-8.9744003615585769E-3</v>
      </c>
      <c r="E57" s="9" t="str">
        <f>CONCATENATE("(",INDEX(LookUps!$D$5:$D$12,MATCH(SFP!$B$1,LookUps!$E$5:$E$12,0)), "/m3 wastewater treated")</f>
        <v>(kg O3 eq/m3 wastewater treated</v>
      </c>
    </row>
    <row r="58" spans="2:5" x14ac:dyDescent="0.25">
      <c r="B58" s="58" t="str">
        <f>LookUps!$H$18</f>
        <v>Sludge Disposal; wastewater treatment unit - US</v>
      </c>
      <c r="C58" s="62">
        <f>IF(ISERROR(C31/C$34), "",C31/ C$34)</f>
        <v>-0.10426890636831063</v>
      </c>
      <c r="D58" s="59"/>
      <c r="E58" s="9" t="str">
        <f>CONCATENATE("(",INDEX(LookUps!$D$5:$D$12,MATCH(SFP!$B$1,LookUps!$E$5:$E$12,0)), "/m3 wastewater treated")</f>
        <v>(kg O3 eq/m3 wastewater treated</v>
      </c>
    </row>
    <row r="59" spans="2:5" x14ac:dyDescent="0.25">
      <c r="B59" s="58" t="str">
        <f>LookUps!$G$20</f>
        <v>Effluent release; wastewater treatment unit; at surface water; m3 wastewater - US</v>
      </c>
      <c r="C59" s="62">
        <f t="shared" ref="C59:D60" si="2">IF(ISERROR(C32/C$34), "",C32/ C$34)</f>
        <v>1.3937231024751593E-4</v>
      </c>
      <c r="D59" s="62">
        <f t="shared" si="2"/>
        <v>1.0943603318591214E-2</v>
      </c>
      <c r="E59" s="9" t="str">
        <f>CONCATENATE("(",INDEX(LookUps!$D$5:$D$12,MATCH(SFP!$B$1,LookUps!$E$5:$E$12,0)), "/m3 wastewater treated")</f>
        <v>(kg O3 eq/m3 wastewater treated</v>
      </c>
    </row>
    <row r="60" spans="2:5" x14ac:dyDescent="0.25">
      <c r="B60" s="58" t="str">
        <f>LookUps!$J$10</f>
        <v>Control Building; at wastewater treatment plant - US</v>
      </c>
      <c r="C60" s="62">
        <f>IF(ISERROR(C33/C$34), "",C33/ C$34)</f>
        <v>4.7394957440141192E-3</v>
      </c>
      <c r="D60" s="62">
        <f t="shared" si="2"/>
        <v>1.7432288472092202E-3</v>
      </c>
      <c r="E60" s="9" t="str">
        <f>CONCATENATE("(",INDEX(LookUps!$D$5:$D$12,MATCH(SFP!$B$1,LookUps!$E$5:$E$12,0)), "/m3 wastewater treated")</f>
        <v>(kg O3 eq/m3 wastewater treated</v>
      </c>
    </row>
    <row r="61" spans="2:5" x14ac:dyDescent="0.25">
      <c r="B61" s="11" t="s">
        <v>34</v>
      </c>
      <c r="C61" s="63">
        <f>SUM(C40:C60)</f>
        <v>0.99999999999999989</v>
      </c>
      <c r="D61" s="63">
        <f>SUM(D40:D60)</f>
        <v>1.0000000000000007</v>
      </c>
    </row>
    <row r="62" spans="2:5" x14ac:dyDescent="0.25"/>
    <row r="63" spans="2:5" x14ac:dyDescent="0.25">
      <c r="B63" s="1" t="str">
        <f>CONCATENATE(INDEX(LookUps!$B$5:$B$12,MATCH(SFP!$B$1,LookUps!$E$5:$E$12,0))," (% of Maximum)")</f>
        <v>Smog Formation Potential (% of Maximum)</v>
      </c>
    </row>
    <row r="64" spans="2:5" x14ac:dyDescent="0.25"/>
    <row r="65" spans="2:5" x14ac:dyDescent="0.25">
      <c r="B65" s="56" t="s">
        <v>47</v>
      </c>
      <c r="C65" s="1" t="s">
        <v>45</v>
      </c>
      <c r="D65" s="1" t="s">
        <v>46</v>
      </c>
      <c r="E65" s="10" t="s">
        <v>27</v>
      </c>
    </row>
    <row r="66" spans="2:5" x14ac:dyDescent="0.25">
      <c r="B66" s="57" t="str">
        <f>LookUps!$G$5</f>
        <v>Wastewater collection; operation and infrastructure; m3 wastewater</v>
      </c>
      <c r="C66" s="13">
        <f>IF(ISERROR(C13/C$35),"",C13/C$35)</f>
        <v>3.848016270135908E-2</v>
      </c>
      <c r="D66" s="60">
        <f>IF(ISERROR(D13/D$35),"",D13/D$35)</f>
        <v>3.848016270135908E-2</v>
      </c>
      <c r="E66" s="9" t="str">
        <f>CONCATENATE("(",INDEX(LookUps!$D$5:$D$12,MATCH(SFP!$B$1,LookUps!$E$5:$E$12,0)), "/m3 wastewater treated")</f>
        <v>(kg O3 eq/m3 wastewater treated</v>
      </c>
    </row>
    <row r="67" spans="2:5" x14ac:dyDescent="0.25">
      <c r="B67" s="58" t="str">
        <f>LookUps!$G$6</f>
        <v>Influent Pump Station; wastewater treatment unit; at updated plant - US</v>
      </c>
      <c r="C67" s="61"/>
      <c r="D67" s="62">
        <f>IF(ISERROR(D14/D$35),"",D14/D$35)</f>
        <v>6.2627110436775685E-2</v>
      </c>
      <c r="E67" s="9" t="str">
        <f>CONCATENATE("(",INDEX(LookUps!$D$5:$D$12,MATCH(SFP!$B$1,LookUps!$E$5:$E$12,0)), "/m3 wastewater treated")</f>
        <v>(kg O3 eq/m3 wastewater treated</v>
      </c>
    </row>
    <row r="68" spans="2:5" x14ac:dyDescent="0.25">
      <c r="B68" s="58" t="str">
        <f>LookUps!$H$6</f>
        <v>Screening and Grit Removal - US</v>
      </c>
      <c r="C68" s="62">
        <f>IF(ISERROR(C15/C$35),"",C15/C$35)</f>
        <v>2.2436000903896441E-2</v>
      </c>
      <c r="D68" s="61"/>
      <c r="E68" s="9" t="str">
        <f>CONCATENATE("(",INDEX(LookUps!$D$5:$D$12,MATCH(SFP!$B$1,LookUps!$E$5:$E$12,0)), "/m3 wastewater treated")</f>
        <v>(kg O3 eq/m3 wastewater treated</v>
      </c>
    </row>
    <row r="69" spans="2:5" x14ac:dyDescent="0.25">
      <c r="B69" s="58" t="str">
        <f>LookUps!$G$8</f>
        <v>Clear Cove Primary Clarification; wastewater treatment unit; at updated plant - US</v>
      </c>
      <c r="C69" s="61"/>
      <c r="D69" s="62">
        <f>IF(ISERROR(D16/D$35),"",D16/D$35)</f>
        <v>0.15517964941730966</v>
      </c>
      <c r="E69" s="9" t="str">
        <f>CONCATENATE("(",INDEX(LookUps!$D$5:$D$12,MATCH(SFP!$B$1,LookUps!$E$5:$E$12,0)), "/m3 wastewater treated")</f>
        <v>(kg O3 eq/m3 wastewater treated</v>
      </c>
    </row>
    <row r="70" spans="2:5" x14ac:dyDescent="0.25">
      <c r="B70" s="58" t="str">
        <f>LookUps!$H$8</f>
        <v>Primary Clarifier; wastewater treatment unit - US</v>
      </c>
      <c r="C70" s="62">
        <f>IF(ISERROR(C17/C$35),"",C17/C$35)</f>
        <v>0.11773251121800049</v>
      </c>
      <c r="D70" s="61"/>
      <c r="E70" s="9" t="str">
        <f>CONCATENATE("(",INDEX(LookUps!$D$5:$D$12,MATCH(SFP!$B$1,LookUps!$E$5:$E$12,0)), "/m3 wastewater treated")</f>
        <v>(kg O3 eq/m3 wastewater treated</v>
      </c>
    </row>
    <row r="71" spans="2:5" x14ac:dyDescent="0.25">
      <c r="B71" s="58" t="str">
        <f>LookUps!$G$17</f>
        <v>ClearCove SCP; wastewater treatment unit; at updated plant - US</v>
      </c>
      <c r="C71" s="61"/>
      <c r="D71" s="62">
        <f t="shared" ref="D71:D76" si="3">IF(ISERROR(D18/D$35),"",D18/D$35)</f>
        <v>7.9413758595086696E-3</v>
      </c>
      <c r="E71" s="9" t="str">
        <f>CONCATENATE("(",INDEX(LookUps!$D$5:$D$12,MATCH(SFP!$B$1,LookUps!$E$5:$E$12,0)), "/m3 wastewater treated")</f>
        <v>(kg O3 eq/m3 wastewater treated</v>
      </c>
    </row>
    <row r="72" spans="2:5" x14ac:dyDescent="0.25">
      <c r="B72" s="58" t="str">
        <f>LookUps!$G$7</f>
        <v>Wet Well and Sump Station; wastewater treatment unit; at updated plant - US</v>
      </c>
      <c r="C72" s="61"/>
      <c r="D72" s="62">
        <f t="shared" si="3"/>
        <v>0.10695031797785456</v>
      </c>
      <c r="E72" s="9" t="str">
        <f>CONCATENATE("(",INDEX(LookUps!$D$5:$D$12,MATCH(SFP!$B$1,LookUps!$E$5:$E$12,0)), "/m3 wastewater treated")</f>
        <v>(kg O3 eq/m3 wastewater treated</v>
      </c>
    </row>
    <row r="73" spans="2:5" x14ac:dyDescent="0.25">
      <c r="B73" s="58" t="str">
        <f>LookUps!$G$13</f>
        <v>Pre-Anoxic &amp; Swing tank; wastewater treatment unit; at updated plant - US</v>
      </c>
      <c r="C73" s="61"/>
      <c r="D73" s="62">
        <f t="shared" si="3"/>
        <v>0.13487426154889112</v>
      </c>
      <c r="E73" s="9" t="str">
        <f>CONCATENATE("(",INDEX(LookUps!$D$5:$D$12,MATCH(SFP!$B$1,LookUps!$E$5:$E$12,0)), "/m3 wastewater treated")</f>
        <v>(kg O3 eq/m3 wastewater treated</v>
      </c>
    </row>
    <row r="74" spans="2:5" x14ac:dyDescent="0.25">
      <c r="B74" s="58" t="str">
        <f>LookUps!$J$9</f>
        <v>Aeration Tanks; wastewater treatment unit - US</v>
      </c>
      <c r="C74" s="62">
        <f>IF(ISERROR(C21/C$35),"",C21/C$35)</f>
        <v>0.40768957613713414</v>
      </c>
      <c r="D74" s="62">
        <f t="shared" si="3"/>
        <v>0.53513897407754152</v>
      </c>
      <c r="E74" s="9" t="str">
        <f>CONCATENATE("(",INDEX(LookUps!$D$5:$D$12,MATCH(SFP!$B$1,LookUps!$E$5:$E$12,0)), "/m3 wastewater treated")</f>
        <v>(kg O3 eq/m3 wastewater treated</v>
      </c>
    </row>
    <row r="75" spans="2:5" x14ac:dyDescent="0.25">
      <c r="B75" s="58" t="str">
        <f>LookUps!$G$12</f>
        <v>Waste Receiving and Holding; wastewater treatment unit; at updated plant - US</v>
      </c>
      <c r="C75" s="61"/>
      <c r="D75" s="62">
        <f t="shared" si="3"/>
        <v>9.0228233850921671E-2</v>
      </c>
      <c r="E75" s="9" t="str">
        <f>CONCATENATE("(",INDEX(LookUps!$D$5:$D$12,MATCH(SFP!$B$1,LookUps!$E$5:$E$12,0)), "/m3 wastewater treated")</f>
        <v>(kg O3 eq/m3 wastewater treated</v>
      </c>
    </row>
    <row r="76" spans="2:5" x14ac:dyDescent="0.25">
      <c r="B76" s="58" t="str">
        <f>LookUps!$G$11</f>
        <v>Gravity Belt Thickener; wastewater treatment unit; at updated plant - US</v>
      </c>
      <c r="C76" s="61"/>
      <c r="D76" s="62">
        <f t="shared" si="3"/>
        <v>2.1467540433224654E-2</v>
      </c>
      <c r="E76" s="9" t="str">
        <f>CONCATENATE("(",INDEX(LookUps!$D$5:$D$12,MATCH(SFP!$B$1,LookUps!$E$5:$E$12,0)), "/m3 wastewater treated")</f>
        <v>(kg O3 eq/m3 wastewater treated</v>
      </c>
    </row>
    <row r="77" spans="2:5" x14ac:dyDescent="0.25">
      <c r="B77" s="58" t="str">
        <f>LookUps!$H$11</f>
        <v>Sludge Thickener; wastewater treatment unit - US</v>
      </c>
      <c r="C77" s="62">
        <f>IF(ISERROR(C24/C$35),"",C24/C$35)</f>
        <v>2.5825612551247708E-3</v>
      </c>
      <c r="D77" s="61"/>
      <c r="E77" s="9" t="str">
        <f>CONCATENATE("(",INDEX(LookUps!$D$5:$D$12,MATCH(SFP!$B$1,LookUps!$E$5:$E$12,0)), "/m3 wastewater treated")</f>
        <v>(kg O3 eq/m3 wastewater treated</v>
      </c>
    </row>
    <row r="78" spans="2:5" x14ac:dyDescent="0.25">
      <c r="B78" s="58" t="str">
        <f>LookUps!$G$14</f>
        <v>Blend Tank; wastewater treatment unit; at updated plant - US</v>
      </c>
      <c r="C78" s="61"/>
      <c r="D78" s="62">
        <f>IF(ISERROR(D25/D$35),"",D25/D$35)</f>
        <v>1.6044161797462635E-2</v>
      </c>
      <c r="E78" s="9" t="str">
        <f>CONCATENATE("(",INDEX(LookUps!$D$5:$D$12,MATCH(SFP!$B$1,LookUps!$E$5:$E$12,0)), "/m3 wastewater treated")</f>
        <v>(kg O3 eq/m3 wastewater treated</v>
      </c>
    </row>
    <row r="79" spans="2:5" x14ac:dyDescent="0.25">
      <c r="B79" s="58" t="str">
        <f>LookUps!$G$19</f>
        <v>Anaerobic Digestion; wastewater treatment unit; at updated plant - US</v>
      </c>
      <c r="C79" s="61"/>
      <c r="D79" s="62">
        <f>IF(ISERROR(D26/D$35),"",D26/D$35)</f>
        <v>-0.19995480517803538</v>
      </c>
      <c r="E79" s="9" t="str">
        <f>CONCATENATE("(",INDEX(LookUps!$D$5:$D$12,MATCH(SFP!$B$1,LookUps!$E$5:$E$12,0)), "/m3 wastewater treated")</f>
        <v>(kg O3 eq/m3 wastewater treated</v>
      </c>
    </row>
    <row r="80" spans="2:5" x14ac:dyDescent="0.25">
      <c r="B80" s="58" t="str">
        <f>LookUps!$H$19</f>
        <v>Aerobic Digester; wastewater treatment unit - US</v>
      </c>
      <c r="C80" s="62">
        <f t="shared" ref="C80:D86" si="4">IF(ISERROR(C27/C$35),"",C27/C$35)</f>
        <v>0.41727733479678486</v>
      </c>
      <c r="D80" s="61"/>
      <c r="E80" s="9" t="str">
        <f>CONCATENATE("(",INDEX(LookUps!$D$5:$D$12,MATCH(SFP!$B$1,LookUps!$E$5:$E$12,0)), "/m3 wastewater treated")</f>
        <v>(kg O3 eq/m3 wastewater treated</v>
      </c>
    </row>
    <row r="81" spans="1:5" x14ac:dyDescent="0.25">
      <c r="B81" s="58" t="str">
        <f>LookUps!$J$15</f>
        <v>Belt filter press; wastewater treatment unit - US</v>
      </c>
      <c r="C81" s="62">
        <f t="shared" si="4"/>
        <v>1.9692029570326376E-2</v>
      </c>
      <c r="D81" s="62">
        <f t="shared" si="4"/>
        <v>2.3727281531458828E-2</v>
      </c>
      <c r="E81" s="9" t="str">
        <f>CONCATENATE("(",INDEX(LookUps!$D$5:$D$12,MATCH(SFP!$B$1,LookUps!$E$5:$E$12,0)), "/m3 wastewater treated")</f>
        <v>(kg O3 eq/m3 wastewater treated</v>
      </c>
    </row>
    <row r="82" spans="1:5" x14ac:dyDescent="0.25">
      <c r="B82"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82" s="61"/>
      <c r="D82" s="62">
        <f t="shared" si="4"/>
        <v>3.5833037414856194E-3</v>
      </c>
      <c r="E82" s="9" t="str">
        <f>CONCATENATE("(",INDEX(LookUps!$D$5:$D$12,MATCH(SFP!$B$1,LookUps!$E$5:$E$12,0)), "/m3 wastewater treated")</f>
        <v>(kg O3 eq/m3 wastewater treated</v>
      </c>
    </row>
    <row r="83" spans="1:5" x14ac:dyDescent="0.25">
      <c r="B83" s="58" t="str">
        <f>LookUps!$G$18</f>
        <v>Land application of compost; wastewater treatment unit; at updated plant - US</v>
      </c>
      <c r="C83" s="61"/>
      <c r="D83" s="62">
        <f t="shared" si="4"/>
        <v>-8.9744003615585769E-3</v>
      </c>
      <c r="E83" s="9" t="str">
        <f>CONCATENATE("(",INDEX(LookUps!$D$5:$D$12,MATCH(SFP!$B$1,LookUps!$E$5:$E$12,0)), "/m3 wastewater treated")</f>
        <v>(kg O3 eq/m3 wastewater treated</v>
      </c>
    </row>
    <row r="84" spans="1:5" x14ac:dyDescent="0.25">
      <c r="B84" s="58" t="str">
        <f>LookUps!$H$18</f>
        <v>Sludge Disposal; wastewater treatment unit - US</v>
      </c>
      <c r="C84" s="62">
        <f t="shared" si="4"/>
        <v>-9.7297995286825728E-2</v>
      </c>
      <c r="D84" s="59"/>
      <c r="E84" s="9" t="str">
        <f>CONCATENATE("(",INDEX(LookUps!$D$5:$D$12,MATCH(SFP!$B$1,LookUps!$E$5:$E$12,0)), "/m3 wastewater treated")</f>
        <v>(kg O3 eq/m3 wastewater treated</v>
      </c>
    </row>
    <row r="85" spans="1:5" x14ac:dyDescent="0.25">
      <c r="B85" s="58" t="str">
        <f>LookUps!$G$20</f>
        <v>Effluent release; wastewater treatment unit; at surface water; m3 wastewater - US</v>
      </c>
      <c r="C85" s="62">
        <f t="shared" si="4"/>
        <v>1.3005455660651454E-4</v>
      </c>
      <c r="D85" s="62">
        <f t="shared" si="4"/>
        <v>1.0943603318591214E-2</v>
      </c>
      <c r="E85" s="9" t="str">
        <f>CONCATENATE("(",INDEX(LookUps!$D$5:$D$12,MATCH(SFP!$B$1,LookUps!$E$5:$E$12,0)), "/m3 wastewater treated")</f>
        <v>(kg O3 eq/m3 wastewater treated</v>
      </c>
    </row>
    <row r="86" spans="1:5" x14ac:dyDescent="0.25">
      <c r="B86" s="58" t="str">
        <f>LookUps!$J$10</f>
        <v>Control Building; at wastewater treatment plant - US</v>
      </c>
      <c r="C86" s="62">
        <f t="shared" si="4"/>
        <v>4.4226361494011691E-3</v>
      </c>
      <c r="D86" s="62">
        <f t="shared" si="4"/>
        <v>1.7432288472092202E-3</v>
      </c>
      <c r="E86" s="9" t="str">
        <f>CONCATENATE("(",INDEX(LookUps!$D$5:$D$12,MATCH(SFP!$B$1,LookUps!$E$5:$E$12,0)), "/m3 wastewater treated")</f>
        <v>(kg O3 eq/m3 wastewater treated</v>
      </c>
    </row>
    <row r="87" spans="1:5" x14ac:dyDescent="0.25"/>
    <row r="88" spans="1:5" x14ac:dyDescent="0.25"/>
    <row r="89" spans="1:5" x14ac:dyDescent="0.25">
      <c r="B89" s="1" t="s">
        <v>70</v>
      </c>
    </row>
    <row r="90" spans="1:5" x14ac:dyDescent="0.25"/>
    <row r="91" spans="1:5" x14ac:dyDescent="0.25">
      <c r="A91" s="16" t="s">
        <v>67</v>
      </c>
      <c r="B91" s="56" t="s">
        <v>47</v>
      </c>
      <c r="C91" s="1" t="s">
        <v>45</v>
      </c>
      <c r="D91" s="1" t="s">
        <v>46</v>
      </c>
      <c r="E91" s="10" t="s">
        <v>27</v>
      </c>
    </row>
    <row r="92" spans="1:5" x14ac:dyDescent="0.25">
      <c r="A92" s="18" t="str">
        <f>GWP!A92</f>
        <v>Preliminary/Primary</v>
      </c>
      <c r="B92" s="57" t="str">
        <f>LookUps!$G$5</f>
        <v>Wastewater collection; operation and infrastructure; m3 wastewater</v>
      </c>
      <c r="C92" s="15">
        <f>C13</f>
        <v>1.192E-2</v>
      </c>
      <c r="D92" s="15">
        <f>D13</f>
        <v>1.192E-2</v>
      </c>
      <c r="E92" s="9" t="str">
        <f>CONCATENATE("(",INDEX(LookUps!$D$5:$D$12,MATCH(SFP!$B$1,LookUps!$E$5:$E$12,0)), "/m3 wastewater treated")</f>
        <v>(kg O3 eq/m3 wastewater treated</v>
      </c>
    </row>
    <row r="93" spans="1:5" x14ac:dyDescent="0.25">
      <c r="A93" s="18" t="str">
        <f>GWP!A93</f>
        <v>Preliminary/Primary</v>
      </c>
      <c r="B93" s="58" t="str">
        <f>LookUps!$G$6</f>
        <v>Influent Pump Station; wastewater treatment unit; at updated plant - US</v>
      </c>
      <c r="C93" s="258"/>
      <c r="D93" s="15">
        <f t="shared" ref="D93" si="5">D14</f>
        <v>1.9400000000000001E-2</v>
      </c>
      <c r="E93" s="9" t="str">
        <f>CONCATENATE("(",INDEX(LookUps!$D$5:$D$12,MATCH(SFP!$B$1,LookUps!$E$5:$E$12,0)), "/m3 wastewater treated")</f>
        <v>(kg O3 eq/m3 wastewater treated</v>
      </c>
    </row>
    <row r="94" spans="1:5" x14ac:dyDescent="0.25">
      <c r="A94" s="18" t="str">
        <f>GWP!A94</f>
        <v>Preliminary/Primary</v>
      </c>
      <c r="B94" s="58" t="str">
        <f>LookUps!$H$6</f>
        <v>Screening and Grit Removal - US</v>
      </c>
      <c r="C94" s="260">
        <f t="shared" ref="C94" si="6">C15</f>
        <v>6.9499999999999996E-3</v>
      </c>
      <c r="D94" s="258"/>
      <c r="E94" s="9" t="str">
        <f>CONCATENATE("(",INDEX(LookUps!$D$5:$D$12,MATCH(SFP!$B$1,LookUps!$E$5:$E$12,0)), "/m3 wastewater treated")</f>
        <v>(kg O3 eq/m3 wastewater treated</v>
      </c>
    </row>
    <row r="95" spans="1:5" x14ac:dyDescent="0.25">
      <c r="A95" s="18" t="str">
        <f>GWP!A95</f>
        <v>Preliminary/Primary</v>
      </c>
      <c r="B95" s="58" t="str">
        <f>LookUps!$G$8</f>
        <v>Clear Cove Primary Clarification; wastewater treatment unit; at updated plant - US</v>
      </c>
      <c r="C95" s="258"/>
      <c r="D95" s="15">
        <f t="shared" ref="D95" si="7">D16</f>
        <v>4.8070000000000002E-2</v>
      </c>
      <c r="E95" s="9" t="str">
        <f>CONCATENATE("(",INDEX(LookUps!$D$5:$D$12,MATCH(SFP!$B$1,LookUps!$E$5:$E$12,0)), "/m3 wastewater treated")</f>
        <v>(kg O3 eq/m3 wastewater treated</v>
      </c>
    </row>
    <row r="96" spans="1:5" x14ac:dyDescent="0.25">
      <c r="A96" s="18" t="str">
        <f>GWP!A96</f>
        <v>Preliminary/Primary</v>
      </c>
      <c r="B96" s="58" t="str">
        <f>LookUps!$H$8</f>
        <v>Primary Clarifier; wastewater treatment unit - US</v>
      </c>
      <c r="C96" s="15">
        <f t="shared" ref="C96" si="8">C17</f>
        <v>3.6470000000000002E-2</v>
      </c>
      <c r="D96" s="258"/>
      <c r="E96" s="9" t="str">
        <f>CONCATENATE("(",INDEX(LookUps!$D$5:$D$12,MATCH(SFP!$B$1,LookUps!$E$5:$E$12,0)), "/m3 wastewater treated")</f>
        <v>(kg O3 eq/m3 wastewater treated</v>
      </c>
    </row>
    <row r="97" spans="1:5" x14ac:dyDescent="0.25">
      <c r="A97" s="18" t="str">
        <f>GWP!A97</f>
        <v>Sludge Handling and Treatment</v>
      </c>
      <c r="B97" s="58" t="str">
        <f>LookUps!$G$17</f>
        <v>ClearCove SCP; wastewater treatment unit; at updated plant - US</v>
      </c>
      <c r="C97" s="258"/>
      <c r="D97" s="260">
        <f t="shared" ref="D97:D99" si="9">D18</f>
        <v>2.4599999999999999E-3</v>
      </c>
      <c r="E97" s="9" t="str">
        <f>CONCATENATE("(",INDEX(LookUps!$D$5:$D$12,MATCH(SFP!$B$1,LookUps!$E$5:$E$12,0)), "/m3 wastewater treated")</f>
        <v>(kg O3 eq/m3 wastewater treated</v>
      </c>
    </row>
    <row r="98" spans="1:5" x14ac:dyDescent="0.25">
      <c r="A98" s="18" t="str">
        <f>GWP!A98</f>
        <v>Preliminary/Primary</v>
      </c>
      <c r="B98" s="58" t="str">
        <f>LookUps!$G$7</f>
        <v>Wet Well and Sump Station; wastewater treatment unit; at updated plant - US</v>
      </c>
      <c r="C98" s="258"/>
      <c r="D98" s="15">
        <f t="shared" si="9"/>
        <v>3.313E-2</v>
      </c>
      <c r="E98" s="9" t="str">
        <f>CONCATENATE("(",INDEX(LookUps!$D$5:$D$12,MATCH(SFP!$B$1,LookUps!$E$5:$E$12,0)), "/m3 wastewater treated")</f>
        <v>(kg O3 eq/m3 wastewater treated</v>
      </c>
    </row>
    <row r="99" spans="1:5" x14ac:dyDescent="0.25">
      <c r="A99" s="18" t="str">
        <f>GWP!A99</f>
        <v>Biological Treatment</v>
      </c>
      <c r="B99" s="58" t="str">
        <f>LookUps!$G$13</f>
        <v>Pre-Anoxic &amp; Swing tank; wastewater treatment unit; at updated plant - US</v>
      </c>
      <c r="C99" s="258"/>
      <c r="D99" s="15">
        <f t="shared" si="9"/>
        <v>4.1779999999999998E-2</v>
      </c>
      <c r="E99" s="9" t="str">
        <f>CONCATENATE("(",INDEX(LookUps!$D$5:$D$12,MATCH(SFP!$B$1,LookUps!$E$5:$E$12,0)), "/m3 wastewater treated")</f>
        <v>(kg O3 eq/m3 wastewater treated</v>
      </c>
    </row>
    <row r="100" spans="1:5" x14ac:dyDescent="0.25">
      <c r="A100" s="18" t="str">
        <f>GWP!A100</f>
        <v>Biological Treatment</v>
      </c>
      <c r="B100" s="58" t="str">
        <f>LookUps!$J$9</f>
        <v>Aeration Tanks; wastewater treatment unit - US</v>
      </c>
      <c r="C100" s="15">
        <f t="shared" ref="C100:D102" si="10">C21</f>
        <v>0.12629000000000001</v>
      </c>
      <c r="D100" s="15">
        <f t="shared" si="10"/>
        <v>0.16577</v>
      </c>
      <c r="E100" s="9" t="str">
        <f>CONCATENATE("(",INDEX(LookUps!$D$5:$D$12,MATCH(SFP!$B$1,LookUps!$E$5:$E$12,0)), "/m3 wastewater treated")</f>
        <v>(kg O3 eq/m3 wastewater treated</v>
      </c>
    </row>
    <row r="101" spans="1:5" x14ac:dyDescent="0.25">
      <c r="A101" s="18" t="str">
        <f>GWP!A101</f>
        <v>Sludge Handling and Treatment</v>
      </c>
      <c r="B101" s="58" t="str">
        <f>LookUps!$G$12</f>
        <v>Waste Receiving and Holding; wastewater treatment unit; at updated plant - US</v>
      </c>
      <c r="C101" s="258"/>
      <c r="D101" s="15">
        <f t="shared" si="10"/>
        <v>2.7949999999999999E-2</v>
      </c>
      <c r="E101" s="9" t="str">
        <f>CONCATENATE("(",INDEX(LookUps!$D$5:$D$12,MATCH(SFP!$B$1,LookUps!$E$5:$E$12,0)), "/m3 wastewater treated")</f>
        <v>(kg O3 eq/m3 wastewater treated</v>
      </c>
    </row>
    <row r="102" spans="1:5" x14ac:dyDescent="0.25">
      <c r="A102" s="18" t="str">
        <f>GWP!A102</f>
        <v>Sludge Handling and Treatment</v>
      </c>
      <c r="B102" s="58" t="str">
        <f>LookUps!$G$11</f>
        <v>Gravity Belt Thickener; wastewater treatment unit; at updated plant - US</v>
      </c>
      <c r="C102" s="258"/>
      <c r="D102" s="260">
        <f t="shared" si="10"/>
        <v>6.6499999999999997E-3</v>
      </c>
      <c r="E102" s="9" t="str">
        <f>CONCATENATE("(",INDEX(LookUps!$D$5:$D$12,MATCH(SFP!$B$1,LookUps!$E$5:$E$12,0)), "/m3 wastewater treated")</f>
        <v>(kg O3 eq/m3 wastewater treated</v>
      </c>
    </row>
    <row r="103" spans="1:5" x14ac:dyDescent="0.25">
      <c r="A103" s="18" t="str">
        <f>GWP!A103</f>
        <v>Sludge Handling and Treatment</v>
      </c>
      <c r="B103" s="58" t="str">
        <f>LookUps!$H$11</f>
        <v>Sludge Thickener; wastewater treatment unit - US</v>
      </c>
      <c r="C103" s="260">
        <f t="shared" ref="C103" si="11">C24</f>
        <v>8.0000000000000004E-4</v>
      </c>
      <c r="D103" s="258"/>
      <c r="E103" s="9" t="str">
        <f>CONCATENATE("(",INDEX(LookUps!$D$5:$D$12,MATCH(SFP!$B$1,LookUps!$E$5:$E$12,0)), "/m3 wastewater treated")</f>
        <v>(kg O3 eq/m3 wastewater treated</v>
      </c>
    </row>
    <row r="104" spans="1:5" x14ac:dyDescent="0.25">
      <c r="A104" s="18" t="str">
        <f>GWP!A104</f>
        <v>Sludge Handling and Treatment</v>
      </c>
      <c r="B104" s="58" t="str">
        <f>LookUps!$G$14</f>
        <v>Blend Tank; wastewater treatment unit; at updated plant - US</v>
      </c>
      <c r="C104" s="258"/>
      <c r="D104" s="260">
        <f>D25</f>
        <v>4.9699999999999996E-3</v>
      </c>
      <c r="E104" s="9" t="str">
        <f>CONCATENATE("(",INDEX(LookUps!$D$5:$D$12,MATCH(SFP!$B$1,LookUps!$E$5:$E$12,0)), "/m3 wastewater treated")</f>
        <v>(kg O3 eq/m3 wastewater treated</v>
      </c>
    </row>
    <row r="105" spans="1:5" x14ac:dyDescent="0.25">
      <c r="A105" s="18" t="str">
        <f>GWP!A105</f>
        <v>Sludge Handling and Treatment</v>
      </c>
      <c r="B105" s="58" t="str">
        <f>LookUps!$G$19</f>
        <v>Anaerobic Digestion; wastewater treatment unit; at updated plant - US</v>
      </c>
      <c r="C105" s="258"/>
      <c r="D105" s="15">
        <f>D26</f>
        <v>-6.1940000000000002E-2</v>
      </c>
      <c r="E105" s="9" t="str">
        <f>CONCATENATE("(",INDEX(LookUps!$D$5:$D$12,MATCH(SFP!$B$1,LookUps!$E$5:$E$12,0)), "/m3 wastewater treated")</f>
        <v>(kg O3 eq/m3 wastewater treated</v>
      </c>
    </row>
    <row r="106" spans="1:5" x14ac:dyDescent="0.25">
      <c r="A106" s="18" t="str">
        <f>GWP!A106</f>
        <v>Sludge Handling and Treatment</v>
      </c>
      <c r="B106" s="58" t="str">
        <f>LookUps!$H$19</f>
        <v>Aerobic Digester; wastewater treatment unit - US</v>
      </c>
      <c r="C106" s="15">
        <f>C27</f>
        <v>0.12926000000000001</v>
      </c>
      <c r="D106" s="258"/>
      <c r="E106" s="9" t="str">
        <f>CONCATENATE("(",INDEX(LookUps!$D$5:$D$12,MATCH(SFP!$B$1,LookUps!$E$5:$E$12,0)), "/m3 wastewater treated")</f>
        <v>(kg O3 eq/m3 wastewater treated</v>
      </c>
    </row>
    <row r="107" spans="1:5" x14ac:dyDescent="0.25">
      <c r="A107" s="18" t="str">
        <f>GWP!A107</f>
        <v>Sludge Handling and Treatment</v>
      </c>
      <c r="B107" s="58" t="str">
        <f>LookUps!$J$15</f>
        <v>Belt filter press; wastewater treatment unit - US</v>
      </c>
      <c r="C107" s="260">
        <f>C28</f>
        <v>6.1000000000000004E-3</v>
      </c>
      <c r="D107" s="260">
        <f>D28</f>
        <v>7.3499999999999998E-3</v>
      </c>
      <c r="E107" s="9" t="str">
        <f>CONCATENATE("(",INDEX(LookUps!$D$5:$D$12,MATCH(SFP!$B$1,LookUps!$E$5:$E$12,0)), "/m3 wastewater treated")</f>
        <v>(kg O3 eq/m3 wastewater treated</v>
      </c>
    </row>
    <row r="108" spans="1:5" x14ac:dyDescent="0.25">
      <c r="A108" s="18" t="str">
        <f>GWP!A108</f>
        <v>Sludge Handling and Treatment</v>
      </c>
      <c r="B108"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108" s="258"/>
      <c r="D108" s="260">
        <f>D29</f>
        <v>1.1100000000000001E-3</v>
      </c>
      <c r="E108" s="9" t="str">
        <f>CONCATENATE("(",INDEX(LookUps!$D$5:$D$12,MATCH(SFP!$B$1,LookUps!$E$5:$E$12,0)), "/m3 wastewater treated")</f>
        <v>(kg O3 eq/m3 wastewater treated</v>
      </c>
    </row>
    <row r="109" spans="1:5" x14ac:dyDescent="0.25">
      <c r="A109" s="18" t="str">
        <f>GWP!A109</f>
        <v>Sludge Disposal</v>
      </c>
      <c r="B109" s="58" t="str">
        <f>LookUps!$G$18</f>
        <v>Land application of compost; wastewater treatment unit; at updated plant - US</v>
      </c>
      <c r="C109" s="258"/>
      <c r="D109" s="260">
        <f>D30</f>
        <v>-2.7799999999999999E-3</v>
      </c>
      <c r="E109" s="9" t="str">
        <f>CONCATENATE("(",INDEX(LookUps!$D$5:$D$12,MATCH(SFP!$B$1,LookUps!$E$5:$E$12,0)), "/m3 wastewater treated")</f>
        <v>(kg O3 eq/m3 wastewater treated</v>
      </c>
    </row>
    <row r="110" spans="1:5" x14ac:dyDescent="0.25">
      <c r="A110" s="18" t="str">
        <f>GWP!A110</f>
        <v>Sludge Disposal</v>
      </c>
      <c r="B110" s="58" t="str">
        <f>LookUps!$H$18</f>
        <v>Sludge Disposal; wastewater treatment unit - US</v>
      </c>
      <c r="C110" s="15">
        <f>C31</f>
        <v>-3.014E-2</v>
      </c>
      <c r="D110" s="258"/>
    </row>
    <row r="111" spans="1:5" x14ac:dyDescent="0.25">
      <c r="A111" s="18" t="str">
        <f>GWP!A111</f>
        <v>Effluent Release</v>
      </c>
      <c r="B111" s="58" t="str">
        <f>LookUps!$G$20</f>
        <v>Effluent release; wastewater treatment unit; at surface water; m3 wastewater - US</v>
      </c>
      <c r="C111" s="260">
        <f>C32</f>
        <v>4.0287000000000002E-5</v>
      </c>
      <c r="D111" s="260">
        <f>D32</f>
        <v>3.3899999999999998E-3</v>
      </c>
      <c r="E111" s="9" t="str">
        <f>CONCATENATE("(",INDEX(LookUps!$D$5:$D$12,MATCH(SFP!$B$1,LookUps!$E$5:$E$12,0)), "/m3 wastewater treated")</f>
        <v>(kg O3 eq/m3 wastewater treated</v>
      </c>
    </row>
    <row r="112" spans="1:5" x14ac:dyDescent="0.25">
      <c r="A112" s="18" t="str">
        <f>GWP!A112</f>
        <v>Facilities</v>
      </c>
      <c r="B112" s="58" t="str">
        <f>LookUps!$J$10</f>
        <v>Control Building; at wastewater treatment plant - US</v>
      </c>
      <c r="C112" s="260">
        <f>C33</f>
        <v>1.3699999999999999E-3</v>
      </c>
      <c r="D112" s="260">
        <f>D33</f>
        <v>5.4000000000000001E-4</v>
      </c>
      <c r="E112" s="9" t="str">
        <f>CONCATENATE("(",INDEX(LookUps!$D$5:$D$12,MATCH(SFP!$B$1,LookUps!$E$5:$E$12,0)), "/m3 wastewater treated")</f>
        <v>(kg O3 eq/m3 wastewater treated</v>
      </c>
    </row>
    <row r="113" spans="1:8" x14ac:dyDescent="0.25">
      <c r="B113" s="11" t="s">
        <v>34</v>
      </c>
      <c r="C113" s="12">
        <f>SUM(C92:C112)</f>
        <v>0.28906028700000003</v>
      </c>
      <c r="D113" s="12">
        <f>SUM(D92:D112)</f>
        <v>0.30976999999999993</v>
      </c>
    </row>
    <row r="114" spans="1:8" ht="13.5" customHeight="1" x14ac:dyDescent="0.25">
      <c r="C114" s="285"/>
      <c r="D114" s="285"/>
    </row>
    <row r="115" spans="1:8" x14ac:dyDescent="0.25">
      <c r="A115" s="18"/>
      <c r="B115" s="11"/>
      <c r="C115" s="286"/>
      <c r="D115" s="286"/>
      <c r="F115" s="19"/>
    </row>
    <row r="116" spans="1:8" x14ac:dyDescent="0.25">
      <c r="A116" s="18"/>
      <c r="B116" s="11"/>
      <c r="C116" s="286"/>
      <c r="D116" s="286"/>
      <c r="F116" s="19"/>
    </row>
    <row r="117" spans="1:8" x14ac:dyDescent="0.25">
      <c r="A117" s="20"/>
      <c r="B117" s="20"/>
      <c r="C117" s="285"/>
      <c r="D117" s="285"/>
      <c r="F117" s="19"/>
    </row>
    <row r="118" spans="1:8" x14ac:dyDescent="0.25">
      <c r="A118" s="342" t="s">
        <v>50</v>
      </c>
      <c r="B118" s="17" t="s">
        <v>47</v>
      </c>
      <c r="C118" s="1" t="s">
        <v>45</v>
      </c>
      <c r="D118" s="1" t="s">
        <v>46</v>
      </c>
      <c r="F118" s="19"/>
    </row>
    <row r="119" spans="1:8" x14ac:dyDescent="0.25">
      <c r="A119" s="342"/>
      <c r="B119" s="21" t="s">
        <v>64</v>
      </c>
      <c r="C119" s="287">
        <f t="shared" ref="C119:C124" si="12">SUMIF($A$92:$A$112,$B119,$C$92:$C$112)</f>
        <v>5.534E-2</v>
      </c>
      <c r="D119" s="287">
        <f t="shared" ref="D119:D124" si="13">SUMIF($A$92:$A$112,$B119,$D$92:$D$112)</f>
        <v>0.11252000000000001</v>
      </c>
      <c r="F119" s="19"/>
    </row>
    <row r="120" spans="1:8" x14ac:dyDescent="0.25">
      <c r="A120" s="342"/>
      <c r="B120" s="21" t="s">
        <v>49</v>
      </c>
      <c r="C120" s="287">
        <f t="shared" si="12"/>
        <v>0.12629000000000001</v>
      </c>
      <c r="D120" s="287">
        <f t="shared" si="13"/>
        <v>0.20755000000000001</v>
      </c>
      <c r="F120" s="19"/>
    </row>
    <row r="121" spans="1:8" x14ac:dyDescent="0.25">
      <c r="A121" s="342"/>
      <c r="B121" s="21" t="s">
        <v>119</v>
      </c>
      <c r="C121" s="288">
        <f t="shared" si="12"/>
        <v>1.3699999999999999E-3</v>
      </c>
      <c r="D121" s="288">
        <f t="shared" si="13"/>
        <v>5.4000000000000001E-4</v>
      </c>
      <c r="F121" s="19"/>
    </row>
    <row r="122" spans="1:8" x14ac:dyDescent="0.25">
      <c r="A122" s="342"/>
      <c r="B122" s="21" t="s">
        <v>66</v>
      </c>
      <c r="C122" s="287">
        <f t="shared" si="12"/>
        <v>0.13616</v>
      </c>
      <c r="D122" s="287">
        <f t="shared" si="13"/>
        <v>-1.1450000000000005E-2</v>
      </c>
      <c r="F122" s="19"/>
    </row>
    <row r="123" spans="1:8" x14ac:dyDescent="0.25">
      <c r="A123" s="342"/>
      <c r="B123" s="11" t="str">
        <f>LookUps!I18</f>
        <v>Sludge Disposal</v>
      </c>
      <c r="C123" s="287">
        <f t="shared" si="12"/>
        <v>-3.014E-2</v>
      </c>
      <c r="D123" s="288">
        <f t="shared" si="13"/>
        <v>-2.7799999999999999E-3</v>
      </c>
      <c r="F123" s="19"/>
    </row>
    <row r="124" spans="1:8" x14ac:dyDescent="0.25">
      <c r="A124" s="342"/>
      <c r="B124" s="21" t="s">
        <v>33</v>
      </c>
      <c r="C124" s="288">
        <f t="shared" si="12"/>
        <v>4.0287000000000002E-5</v>
      </c>
      <c r="D124" s="288">
        <f t="shared" si="13"/>
        <v>3.3899999999999998E-3</v>
      </c>
      <c r="F124" s="19"/>
    </row>
    <row r="125" spans="1:8" x14ac:dyDescent="0.25">
      <c r="B125" s="14" t="s">
        <v>34</v>
      </c>
      <c r="C125" s="137">
        <f>SUM(C119:C124)</f>
        <v>0.28906028700000003</v>
      </c>
      <c r="D125" s="137">
        <f>SUM(D119:D124)</f>
        <v>0.30976999999999999</v>
      </c>
      <c r="F125" s="19"/>
    </row>
    <row r="126" spans="1:8" x14ac:dyDescent="0.25"/>
    <row r="127" spans="1:8" x14ac:dyDescent="0.25">
      <c r="C127" s="12"/>
      <c r="D127" s="12"/>
    </row>
    <row r="128" spans="1:8" x14ac:dyDescent="0.25">
      <c r="H128"/>
    </row>
    <row r="129" spans="8:8" x14ac:dyDescent="0.25">
      <c r="H129"/>
    </row>
    <row r="130" spans="8:8" x14ac:dyDescent="0.25">
      <c r="H130"/>
    </row>
    <row r="131" spans="8:8" hidden="1" x14ac:dyDescent="0.25">
      <c r="H131"/>
    </row>
    <row r="132" spans="8:8" hidden="1" x14ac:dyDescent="0.25">
      <c r="H132"/>
    </row>
    <row r="133" spans="8:8" hidden="1" x14ac:dyDescent="0.25">
      <c r="H133"/>
    </row>
    <row r="134" spans="8:8" hidden="1" x14ac:dyDescent="0.25">
      <c r="H134"/>
    </row>
    <row r="135" spans="8:8" hidden="1" x14ac:dyDescent="0.25">
      <c r="H135"/>
    </row>
    <row r="136" spans="8:8" hidden="1" x14ac:dyDescent="0.25">
      <c r="H136"/>
    </row>
    <row r="137" spans="8:8" hidden="1" x14ac:dyDescent="0.25">
      <c r="H137"/>
    </row>
    <row r="138" spans="8:8" hidden="1" x14ac:dyDescent="0.25">
      <c r="H138"/>
    </row>
    <row r="139" spans="8:8" hidden="1" x14ac:dyDescent="0.25">
      <c r="H139"/>
    </row>
    <row r="140" spans="8:8" hidden="1" x14ac:dyDescent="0.25">
      <c r="H140"/>
    </row>
    <row r="141" spans="8:8" hidden="1" x14ac:dyDescent="0.25">
      <c r="H141"/>
    </row>
    <row r="142" spans="8:8" hidden="1" x14ac:dyDescent="0.25">
      <c r="H142"/>
    </row>
    <row r="143" spans="8:8" hidden="1" x14ac:dyDescent="0.25">
      <c r="H143"/>
    </row>
  </sheetData>
  <mergeCells count="1">
    <mergeCell ref="A118:A12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3"/>
  <sheetViews>
    <sheetView zoomScale="60" zoomScaleNormal="60" workbookViewId="0">
      <selection activeCell="D35" sqref="D35"/>
    </sheetView>
  </sheetViews>
  <sheetFormatPr defaultColWidth="0" defaultRowHeight="15.75" x14ac:dyDescent="0.25"/>
  <cols>
    <col min="1" max="1" width="27.875" style="9" bestFit="1" customWidth="1"/>
    <col min="2" max="2" width="95.625" style="9" bestFit="1" customWidth="1"/>
    <col min="3" max="4" width="12.25" style="9" customWidth="1"/>
    <col min="5" max="25" width="9" style="9" customWidth="1"/>
    <col min="26" max="16384" width="9" style="9" hidden="1"/>
  </cols>
  <sheetData>
    <row r="1" spans="1:9" ht="21" x14ac:dyDescent="0.35">
      <c r="A1" s="8"/>
      <c r="B1" s="23" t="str">
        <f>LookUps!E10</f>
        <v>Water Use (WU) - m3 H2O</v>
      </c>
    </row>
    <row r="2" spans="1:9" x14ac:dyDescent="0.25">
      <c r="A2" s="24" t="str">
        <f>CONCATENATE("LCIA Results File for ", INDEX(LookUps!$B$5:$B$12,MATCH(WU!$B$1,LookUps!$E$5:$E$12,0)), " units are in ", INDEX(LookUps!$D$5:$D$12, MATCH(WU!$B$1,LookUps!$E$5:$E$12,0)))</f>
        <v>LCIA Results File for Water Use units are in m3 H2O</v>
      </c>
      <c r="B2" s="1"/>
    </row>
    <row r="3" spans="1:9" x14ac:dyDescent="0.25">
      <c r="A3" s="24"/>
      <c r="B3" s="1"/>
    </row>
    <row r="4" spans="1:9" x14ac:dyDescent="0.25">
      <c r="A4" s="125" t="s">
        <v>505</v>
      </c>
      <c r="B4" s="1"/>
    </row>
    <row r="5" spans="1:9" s="124" customFormat="1" x14ac:dyDescent="0.25">
      <c r="A5" s="127" t="s">
        <v>211</v>
      </c>
      <c r="B5" s="129" t="str">
        <f>GWP!$B$5</f>
        <v>Base</v>
      </c>
    </row>
    <row r="6" spans="1:9" s="124" customFormat="1" x14ac:dyDescent="0.25">
      <c r="A6" s="128" t="s">
        <v>212</v>
      </c>
      <c r="B6" s="129" t="str">
        <f>GWP!$B$6</f>
        <v>Base</v>
      </c>
    </row>
    <row r="7" spans="1:9" ht="15" customHeight="1" x14ac:dyDescent="0.25">
      <c r="A7" s="66" t="s">
        <v>421</v>
      </c>
      <c r="B7" s="129" t="str">
        <f>GWP!$B$7</f>
        <v>Base_With Amendment</v>
      </c>
    </row>
    <row r="8" spans="1:9" ht="17.25" customHeight="1" x14ac:dyDescent="0.25">
      <c r="A8" s="66" t="s">
        <v>426</v>
      </c>
      <c r="B8" s="129" t="str">
        <f>GWP!$B$8</f>
        <v>Bath Landfill</v>
      </c>
    </row>
    <row r="9" spans="1:9" ht="17.25" customHeight="1" x14ac:dyDescent="0.25">
      <c r="A9" s="66" t="s">
        <v>429</v>
      </c>
      <c r="B9" s="129" t="str">
        <f>GWP!$B$9</f>
        <v>Windrow</v>
      </c>
    </row>
    <row r="10" spans="1:9" x14ac:dyDescent="0.25">
      <c r="A10" s="126" t="s">
        <v>213</v>
      </c>
      <c r="B10" s="1"/>
      <c r="I10" s="130" t="str">
        <f>CONCATENATE("Figure is presenting results for the ", GWP!$B$5, " Feedstock-AD scenario and the ", GWP!$B$6, " GHG emissions scenario")</f>
        <v>Figure is presenting results for the Base Feedstock-AD scenario and the Base GHG emissions scenario</v>
      </c>
    </row>
    <row r="11" spans="1:9" x14ac:dyDescent="0.25">
      <c r="B11" s="1"/>
    </row>
    <row r="12" spans="1:9" x14ac:dyDescent="0.25">
      <c r="B12" s="56" t="s">
        <v>47</v>
      </c>
      <c r="C12" s="1" t="s">
        <v>45</v>
      </c>
      <c r="D12" s="1" t="s">
        <v>46</v>
      </c>
      <c r="E12" s="10" t="s">
        <v>27</v>
      </c>
    </row>
    <row r="13" spans="1:9" x14ac:dyDescent="0.25">
      <c r="B13" s="57" t="str">
        <f>LookUps!$G$5</f>
        <v>Wastewater collection; operation and infrastructure; m3 wastewater</v>
      </c>
      <c r="C13" s="260">
        <f>IF(C$12="Legacy",
SUMIFS(OpenLCAbasic!$J:$J,OpenLCAbasic!$D:$D, "Base", OpenLCAbasic!$F:$F,C$12,OpenLCAbasic!$L:$L,$B$1,OpenLCAbasic!$I:$I,$B13, OpenLCAbasic!$C:$C, $B$8),
IF(AND(NOT(ISERROR(MATCH($B13, LookUps!$J$5:$J$20,0))), C$12="Upgraded"),
SUMIFS(OpenLCAbasic!$J:$J,OpenLCAbasic!$D:$D, GWP!$B$5, OpenLCAbasic!$F:$F,C$12,OpenLCAbasic!$L:$L,$B$1,OpenLCAbasic!$I:$I,INDEX(LookUps!$G$5:$G$20,MATCH($B13, LookUps!$J$5:$J$20,0))),
SUMIFS(OpenLCAbasic!$J:$J,OpenLCAbasic!$D:$D, GWP!$B$5, OpenLCAbasic!$F:$F,C$12,OpenLCAbasic!$L:$L,$B$1,OpenLCAbasic!$I:$I,$B13)))</f>
        <v>5.0608900000000003E-6</v>
      </c>
      <c r="D13" s="260">
        <f>IF(AND(NOT(ISERROR(MATCH($B13, LookUps!$J$5:$J$20,0))), D$12="Upgraded"),
SUMIFS(OpenLCAbasic!$J:$J,OpenLCAbasic!$E:$E, "Base", OpenLCAbasic!$D:$D, GWP!$B$5, OpenLCAbasic!$F:$F,D$12,OpenLCAbasic!$L:$L,$B$1,OpenLCAbasic!$C:$C,$B$7,OpenLCAbasic!$I:$I,INDEX(LookUps!$G$5:$G$20,MATCH($B13, LookUps!$J$5:$J$20,0)), OpenLCAbasic!$B:$B, $B$9),
SUMIFS(OpenLCAbasic!$J:$J,OpenLCAbasic!$E:$E, "Base", OpenLCAbasic!$D:$D, GWP!$B$5, OpenLCAbasic!$F:$F,D$12,OpenLCAbasic!$L:$L,$B$1,OpenLCAbasic!$I:$I,$B13, OpenLCAbasic!$C:$C,$B$7, OpenLCAbasic!$B:$B, $B$9))</f>
        <v>5.0608900000000003E-6</v>
      </c>
      <c r="E13" s="9" t="str">
        <f>CONCATENATE("(",INDEX(LookUps!$D$5:$D$12,MATCH(WU!$B$1,LookUps!$E$5:$E$12,0)), "/m3 wastewater treated")</f>
        <v>(m3 H2O/m3 wastewater treated</v>
      </c>
    </row>
    <row r="14" spans="1:9" x14ac:dyDescent="0.25">
      <c r="B14" s="58" t="str">
        <f>LookUps!$G$6</f>
        <v>Influent Pump Station; wastewater treatment unit; at updated plant - US</v>
      </c>
      <c r="C14" s="258"/>
      <c r="D14" s="260">
        <f>IF(AND(NOT(ISERROR(MATCH($B14, LookUps!$J$5:$J$20,0))), D$12="Upgraded"),
SUMIFS(OpenLCAbasic!$J:$J,OpenLCAbasic!$E:$E, "Base", OpenLCAbasic!$D:$D, GWP!$B$5, OpenLCAbasic!$F:$F,D$12,OpenLCAbasic!$L:$L,$B$1,OpenLCAbasic!$C:$C,$B$7,OpenLCAbasic!$I:$I,INDEX(LookUps!$G$5:$G$20,MATCH($B14, LookUps!$J$5:$J$20,0)), OpenLCAbasic!$B:$B, $B$9),
SUMIFS(OpenLCAbasic!$J:$J,OpenLCAbasic!$E:$E, "Base", OpenLCAbasic!$D:$D, GWP!$B$5, OpenLCAbasic!$F:$F,D$12,OpenLCAbasic!$L:$L,$B$1,OpenLCAbasic!$I:$I,$B14, OpenLCAbasic!$C:$C,$B$7, OpenLCAbasic!$B:$B, $B$9))</f>
        <v>1.8000000000000001E-4</v>
      </c>
      <c r="E14" s="9" t="str">
        <f>CONCATENATE("(",INDEX(LookUps!$D$5:$D$12,MATCH(WU!$B$1,LookUps!$E$5:$E$12,0)), "/m3 wastewater treated")</f>
        <v>(m3 H2O/m3 wastewater treated</v>
      </c>
    </row>
    <row r="15" spans="1:9" x14ac:dyDescent="0.25">
      <c r="B15" s="58" t="str">
        <f>LookUps!$H$6</f>
        <v>Screening and Grit Removal - US</v>
      </c>
      <c r="C15" s="260">
        <f>IF(C$12="Legacy",
SUMIFS(OpenLCAbasic!$J:$J,OpenLCAbasic!$D:$D, "Base", OpenLCAbasic!$F:$F,C$12,OpenLCAbasic!$L:$L,$B$1,OpenLCAbasic!$I:$I,$B15, OpenLCAbasic!$C:$C, $B$8),
IF(AND(NOT(ISERROR(MATCH($B15, LookUps!$J$5:$J$20,0))), C$12="Upgraded"),
SUMIFS(OpenLCAbasic!$J:$J,OpenLCAbasic!$D:$D, GWP!$B$5, OpenLCAbasic!$F:$F,C$12,OpenLCAbasic!$L:$L,$B$1,OpenLCAbasic!$I:$I,INDEX(LookUps!$G$5:$G$20,MATCH($B15, LookUps!$J$5:$J$20,0))),
SUMIFS(OpenLCAbasic!$J:$J,OpenLCAbasic!$D:$D, GWP!$B$5, OpenLCAbasic!$F:$F,C$12,OpenLCAbasic!$L:$L,$B$1,OpenLCAbasic!$I:$I,$B15)))</f>
        <v>9.9884700000000006E-6</v>
      </c>
      <c r="D15" s="258"/>
      <c r="E15" s="9" t="str">
        <f>CONCATENATE("(",INDEX(LookUps!$D$5:$D$12,MATCH(WU!$B$1,LookUps!$E$5:$E$12,0)), "/m3 wastewater treated")</f>
        <v>(m3 H2O/m3 wastewater treated</v>
      </c>
    </row>
    <row r="16" spans="1:9" x14ac:dyDescent="0.25">
      <c r="B16" s="58" t="str">
        <f>LookUps!$G$8</f>
        <v>Clear Cove Primary Clarification; wastewater treatment unit; at updated plant - US</v>
      </c>
      <c r="C16" s="258"/>
      <c r="D16" s="260">
        <f>IF(AND(NOT(ISERROR(MATCH($B16, LookUps!$J$5:$J$20,0))), D$12="Upgraded"),
SUMIFS(OpenLCAbasic!$J:$J,OpenLCAbasic!$E:$E, "Base", OpenLCAbasic!$D:$D, GWP!$B$5, OpenLCAbasic!$F:$F,D$12,OpenLCAbasic!$L:$L,$B$1,OpenLCAbasic!$C:$C,$B$7,OpenLCAbasic!$I:$I,INDEX(LookUps!$G$5:$G$20,MATCH($B16, LookUps!$J$5:$J$20,0)), OpenLCAbasic!$B:$B, $B$9),
SUMIFS(OpenLCAbasic!$J:$J,OpenLCAbasic!$E:$E, "Base", OpenLCAbasic!$D:$D, GWP!$B$5, OpenLCAbasic!$F:$F,D$12,OpenLCAbasic!$L:$L,$B$1,OpenLCAbasic!$I:$I,$B16, OpenLCAbasic!$C:$C,$B$7, OpenLCAbasic!$B:$B, $B$9))</f>
        <v>1.8000000000000001E-4</v>
      </c>
      <c r="E16" s="9" t="str">
        <f>CONCATENATE("(",INDEX(LookUps!$D$5:$D$12,MATCH(WU!$B$1,LookUps!$E$5:$E$12,0)), "/m3 wastewater treated")</f>
        <v>(m3 H2O/m3 wastewater treated</v>
      </c>
    </row>
    <row r="17" spans="2:5" x14ac:dyDescent="0.25">
      <c r="B17" s="58" t="str">
        <f>LookUps!$H$8</f>
        <v>Primary Clarifier; wastewater treatment unit - US</v>
      </c>
      <c r="C17" s="260">
        <f>IF(C$12="Legacy",
SUMIFS(OpenLCAbasic!$J:$J,OpenLCAbasic!$D:$D, "Base", OpenLCAbasic!$F:$F,C$12,OpenLCAbasic!$L:$L,$B$1,OpenLCAbasic!$I:$I,$B17, OpenLCAbasic!$C:$C, $B$8),
IF(AND(NOT(ISERROR(MATCH($B17, LookUps!$J$5:$J$20,0))), C$12="Upgraded"),
SUMIFS(OpenLCAbasic!$J:$J,OpenLCAbasic!$D:$D, GWP!$B$5, OpenLCAbasic!$F:$F,C$12,OpenLCAbasic!$L:$L,$B$1,OpenLCAbasic!$I:$I,INDEX(LookUps!$G$5:$G$20,MATCH($B17, LookUps!$J$5:$J$20,0))),
SUMIFS(OpenLCAbasic!$J:$J,OpenLCAbasic!$D:$D, GWP!$B$5, OpenLCAbasic!$F:$F,C$12,OpenLCAbasic!$L:$L,$B$1,OpenLCAbasic!$I:$I,$B17)))</f>
        <v>7.6000000000000004E-4</v>
      </c>
      <c r="D17" s="258"/>
      <c r="E17" s="9" t="str">
        <f>CONCATENATE("(",INDEX(LookUps!$D$5:$D$12,MATCH(WU!$B$1,LookUps!$E$5:$E$12,0)), "/m3 wastewater treated")</f>
        <v>(m3 H2O/m3 wastewater treated</v>
      </c>
    </row>
    <row r="18" spans="2:5" x14ac:dyDescent="0.25">
      <c r="B18" s="58" t="str">
        <f>LookUps!$G$17</f>
        <v>ClearCove SCP; wastewater treatment unit; at updated plant - US</v>
      </c>
      <c r="C18" s="258"/>
      <c r="D18" s="260">
        <f>IF(AND(NOT(ISERROR(MATCH($B18, LookUps!$J$5:$J$20,0))), D$12="Upgraded"),
SUMIFS(OpenLCAbasic!$J:$J,OpenLCAbasic!$E:$E, "Base", OpenLCAbasic!$D:$D, GWP!$B$5, OpenLCAbasic!$F:$F,D$12,OpenLCAbasic!$L:$L,$B$1,OpenLCAbasic!$C:$C,$B$7,OpenLCAbasic!$I:$I,INDEX(LookUps!$G$5:$G$20,MATCH($B18, LookUps!$J$5:$J$20,0)), OpenLCAbasic!$B:$B, $B$9),
SUMIFS(OpenLCAbasic!$J:$J,OpenLCAbasic!$E:$E, "Base", OpenLCAbasic!$D:$D, GWP!$B$5, OpenLCAbasic!$F:$F,D$12,OpenLCAbasic!$L:$L,$B$1,OpenLCAbasic!$I:$I,$B18, OpenLCAbasic!$C:$C,$B$7, OpenLCAbasic!$B:$B, $B$9))</f>
        <v>7.6697000000000004E-7</v>
      </c>
      <c r="E18" s="9" t="str">
        <f>CONCATENATE("(",INDEX(LookUps!$D$5:$D$12,MATCH(WU!$B$1,LookUps!$E$5:$E$12,0)), "/m3 wastewater treated")</f>
        <v>(m3 H2O/m3 wastewater treated</v>
      </c>
    </row>
    <row r="19" spans="2:5" x14ac:dyDescent="0.25">
      <c r="B19" s="58" t="str">
        <f>LookUps!$G$7</f>
        <v>Wet Well and Sump Station; wastewater treatment unit; at updated plant - US</v>
      </c>
      <c r="C19" s="258"/>
      <c r="D19" s="260">
        <f>IF(AND(NOT(ISERROR(MATCH($B19, LookUps!$J$5:$J$20,0))), D$12="Upgraded"),
SUMIFS(OpenLCAbasic!$J:$J,OpenLCAbasic!$E:$E, "Base", OpenLCAbasic!$D:$D, GWP!$B$5, OpenLCAbasic!$F:$F,D$12,OpenLCAbasic!$L:$L,$B$1,OpenLCAbasic!$C:$C,$B$7,OpenLCAbasic!$I:$I,INDEX(LookUps!$G$5:$G$20,MATCH($B19, LookUps!$J$5:$J$20,0)), OpenLCAbasic!$B:$B, $B$9),
SUMIFS(OpenLCAbasic!$J:$J,OpenLCAbasic!$E:$E, "Base", OpenLCAbasic!$D:$D, GWP!$B$5, OpenLCAbasic!$F:$F,D$12,OpenLCAbasic!$L:$L,$B$1,OpenLCAbasic!$I:$I,$B19, OpenLCAbasic!$C:$C,$B$7, OpenLCAbasic!$B:$B, $B$9))</f>
        <v>1.75069E-5</v>
      </c>
      <c r="E19" s="9" t="str">
        <f>CONCATENATE("(",INDEX(LookUps!$D$5:$D$12,MATCH(WU!$B$1,LookUps!$E$5:$E$12,0)), "/m3 wastewater treated")</f>
        <v>(m3 H2O/m3 wastewater treated</v>
      </c>
    </row>
    <row r="20" spans="2:5" x14ac:dyDescent="0.25">
      <c r="B20" s="58" t="str">
        <f>LookUps!$G$13</f>
        <v>Pre-Anoxic &amp; Swing tank; wastewater treatment unit; at updated plant - US</v>
      </c>
      <c r="C20" s="258"/>
      <c r="D20" s="260">
        <f>IF(AND(NOT(ISERROR(MATCH($B20, LookUps!$J$5:$J$20,0))), D$12="Upgraded"),
SUMIFS(OpenLCAbasic!$J:$J,OpenLCAbasic!$E:$E, "Base", OpenLCAbasic!$D:$D, GWP!$B$5, OpenLCAbasic!$F:$F,D$12,OpenLCAbasic!$L:$L,$B$1,OpenLCAbasic!$C:$C,$B$7,OpenLCAbasic!$I:$I,INDEX(LookUps!$G$5:$G$20,MATCH($B20, LookUps!$J$5:$J$20,0)), OpenLCAbasic!$B:$B, $B$9),
SUMIFS(OpenLCAbasic!$J:$J,OpenLCAbasic!$E:$E, "Base", OpenLCAbasic!$D:$D, GWP!$B$5, OpenLCAbasic!$F:$F,D$12,OpenLCAbasic!$L:$L,$B$1,OpenLCAbasic!$I:$I,$B20, OpenLCAbasic!$C:$C,$B$7, OpenLCAbasic!$B:$B, $B$9))</f>
        <v>4.3192100000000003E-5</v>
      </c>
      <c r="E20" s="9" t="str">
        <f>CONCATENATE("(",INDEX(LookUps!$D$5:$D$12,MATCH(WU!$B$1,LookUps!$E$5:$E$12,0)), "/m3 wastewater treated")</f>
        <v>(m3 H2O/m3 wastewater treated</v>
      </c>
    </row>
    <row r="21" spans="2:5" x14ac:dyDescent="0.25">
      <c r="B21" s="58" t="str">
        <f>LookUps!$J$9</f>
        <v>Aeration Tanks; wastewater treatment unit - US</v>
      </c>
      <c r="C21" s="260">
        <f>IF(C$12="Legacy",
SUMIFS(OpenLCAbasic!$J:$J,OpenLCAbasic!$D:$D, "Base", OpenLCAbasic!$F:$F,C$12,OpenLCAbasic!$L:$L,$B$1,OpenLCAbasic!$I:$I,$B21, OpenLCAbasic!$C:$C, $B$8),
IF(AND(NOT(ISERROR(MATCH($B21, LookUps!$J$5:$J$20,0))), C$12="Upgraded"),
SUMIFS(OpenLCAbasic!$J:$J,OpenLCAbasic!$D:$D, GWP!$B$5, OpenLCAbasic!$F:$F,C$12,OpenLCAbasic!$L:$L,$B$1,OpenLCAbasic!$I:$I,INDEX(LookUps!$G$5:$G$20,MATCH($B21, LookUps!$J$5:$J$20,0))),
SUMIFS(OpenLCAbasic!$J:$J,OpenLCAbasic!$D:$D, GWP!$B$5, OpenLCAbasic!$F:$F,C$12,OpenLCAbasic!$L:$L,$B$1,OpenLCAbasic!$I:$I,$B21)))</f>
        <v>1.4999999999999999E-4</v>
      </c>
      <c r="D21" s="260">
        <f>IF(AND(NOT(ISERROR(MATCH($B21, LookUps!$J$5:$J$20,0))), D$12="Upgraded"),
SUMIFS(OpenLCAbasic!$J:$J,OpenLCAbasic!$E:$E, "Base", OpenLCAbasic!$D:$D, GWP!$B$5, OpenLCAbasic!$F:$F,D$12,OpenLCAbasic!$L:$L,$B$1,OpenLCAbasic!$C:$C,$B$7,OpenLCAbasic!$I:$I,INDEX(LookUps!$G$5:$G$20,MATCH($B21, LookUps!$J$5:$J$20,0)), OpenLCAbasic!$B:$B, $B$9),
SUMIFS(OpenLCAbasic!$J:$J,OpenLCAbasic!$E:$E, "Base", OpenLCAbasic!$D:$D, GWP!$B$5, OpenLCAbasic!$F:$F,D$12,OpenLCAbasic!$L:$L,$B$1,OpenLCAbasic!$I:$I,$B21, OpenLCAbasic!$C:$C,$B$7, OpenLCAbasic!$B:$B, $B$9))</f>
        <v>1.6000000000000001E-4</v>
      </c>
      <c r="E21" s="9" t="str">
        <f>CONCATENATE("(",INDEX(LookUps!$D$5:$D$12,MATCH(WU!$B$1,LookUps!$E$5:$E$12,0)), "/m3 wastewater treated")</f>
        <v>(m3 H2O/m3 wastewater treated</v>
      </c>
    </row>
    <row r="22" spans="2:5" x14ac:dyDescent="0.25">
      <c r="B22" s="58" t="str">
        <f>LookUps!$G$12</f>
        <v>Waste Receiving and Holding; wastewater treatment unit; at updated plant - US</v>
      </c>
      <c r="C22" s="258"/>
      <c r="D22" s="260">
        <f>IF(AND(NOT(ISERROR(MATCH($B22, LookUps!$J$5:$J$20,0))), D$12="Upgraded"),
SUMIFS(OpenLCAbasic!$J:$J,OpenLCAbasic!$E:$E, "Base", OpenLCAbasic!$D:$D, GWP!$B$5, OpenLCAbasic!$F:$F,D$12,OpenLCAbasic!$L:$L,$B$1,OpenLCAbasic!$C:$C,$B$7,OpenLCAbasic!$I:$I,INDEX(LookUps!$G$5:$G$20,MATCH($B22, LookUps!$J$5:$J$20,0)), OpenLCAbasic!$B:$B, $B$9),
SUMIFS(OpenLCAbasic!$J:$J,OpenLCAbasic!$E:$E, "Base", OpenLCAbasic!$D:$D, GWP!$B$5, OpenLCAbasic!$F:$F,D$12,OpenLCAbasic!$L:$L,$B$1,OpenLCAbasic!$I:$I,$B22, OpenLCAbasic!$C:$C,$B$7, OpenLCAbasic!$B:$B, $B$9))</f>
        <v>2.3000000000000001E-4</v>
      </c>
      <c r="E22" s="9" t="str">
        <f>CONCATENATE("(",INDEX(LookUps!$D$5:$D$12,MATCH(WU!$B$1,LookUps!$E$5:$E$12,0)), "/m3 wastewater treated")</f>
        <v>(m3 H2O/m3 wastewater treated</v>
      </c>
    </row>
    <row r="23" spans="2:5" x14ac:dyDescent="0.25">
      <c r="B23" s="58" t="str">
        <f>LookUps!$G$11</f>
        <v>Gravity Belt Thickener; wastewater treatment unit; at updated plant - US</v>
      </c>
      <c r="C23" s="258"/>
      <c r="D23" s="260">
        <f>IF(AND(NOT(ISERROR(MATCH($B23, LookUps!$J$5:$J$20,0))), D$12="Upgraded"),
SUMIFS(OpenLCAbasic!$J:$J,OpenLCAbasic!$E:$E, "Base", OpenLCAbasic!$D:$D, GWP!$B$5, OpenLCAbasic!$F:$F,D$12,OpenLCAbasic!$L:$L,$B$1,OpenLCAbasic!$C:$C,$B$7,OpenLCAbasic!$I:$I,INDEX(LookUps!$G$5:$G$20,MATCH($B23, LookUps!$J$5:$J$20,0)), OpenLCAbasic!$B:$B, $B$9),
SUMIFS(OpenLCAbasic!$J:$J,OpenLCAbasic!$E:$E, "Base", OpenLCAbasic!$D:$D, GWP!$B$5, OpenLCAbasic!$F:$F,D$12,OpenLCAbasic!$L:$L,$B$1,OpenLCAbasic!$I:$I,$B23, OpenLCAbasic!$C:$C,$B$7, OpenLCAbasic!$B:$B, $B$9))</f>
        <v>3.0408100000000001E-5</v>
      </c>
      <c r="E23" s="9" t="str">
        <f>CONCATENATE("(",INDEX(LookUps!$D$5:$D$12,MATCH(WU!$B$1,LookUps!$E$5:$E$12,0)), "/m3 wastewater treated")</f>
        <v>(m3 H2O/m3 wastewater treated</v>
      </c>
    </row>
    <row r="24" spans="2:5" x14ac:dyDescent="0.25">
      <c r="B24" s="58" t="str">
        <f>LookUps!$H$11</f>
        <v>Sludge Thickener; wastewater treatment unit - US</v>
      </c>
      <c r="C24" s="260">
        <f>IF(C$12="Legacy",
SUMIFS(OpenLCAbasic!$J:$J,OpenLCAbasic!$D:$D, "Base", OpenLCAbasic!$F:$F,C$12,OpenLCAbasic!$L:$L,$B$1,OpenLCAbasic!$I:$I,$B24, OpenLCAbasic!$C:$C, $B$8),
IF(AND(NOT(ISERROR(MATCH($B24, LookUps!$J$5:$J$20,0))), C$12="Upgraded"),
SUMIFS(OpenLCAbasic!$J:$J,OpenLCAbasic!$D:$D, GWP!$B$5, OpenLCAbasic!$F:$F,C$12,OpenLCAbasic!$L:$L,$B$1,OpenLCAbasic!$I:$I,INDEX(LookUps!$G$5:$G$20,MATCH($B24, LookUps!$J$5:$J$20,0))),
SUMIFS(OpenLCAbasic!$J:$J,OpenLCAbasic!$D:$D, GWP!$B$5, OpenLCAbasic!$F:$F,C$12,OpenLCAbasic!$L:$L,$B$1,OpenLCAbasic!$I:$I,$B24)))</f>
        <v>5.7153500000000003E-6</v>
      </c>
      <c r="D24" s="258"/>
      <c r="E24" s="9" t="str">
        <f>CONCATENATE("(",INDEX(LookUps!$D$5:$D$12,MATCH(WU!$B$1,LookUps!$E$5:$E$12,0)), "/m3 wastewater treated")</f>
        <v>(m3 H2O/m3 wastewater treated</v>
      </c>
    </row>
    <row r="25" spans="2:5" x14ac:dyDescent="0.25">
      <c r="B25" s="58" t="str">
        <f>LookUps!$G$14</f>
        <v>Blend Tank; wastewater treatment unit; at updated plant - US</v>
      </c>
      <c r="C25" s="258"/>
      <c r="D25" s="260">
        <f>IF(AND(NOT(ISERROR(MATCH($B25, LookUps!$J$5:$J$20,0))), D$12="Upgraded"),
SUMIFS(OpenLCAbasic!$J:$J,OpenLCAbasic!$E:$E, "Base", OpenLCAbasic!$D:$D, GWP!$B$5, OpenLCAbasic!$F:$F,D$12,OpenLCAbasic!$L:$L,$B$1,OpenLCAbasic!$C:$C,$B$7,OpenLCAbasic!$I:$I,INDEX(LookUps!$G$5:$G$20,MATCH($B25, LookUps!$J$5:$J$20,0)), OpenLCAbasic!$B:$B, $B$9),
SUMIFS(OpenLCAbasic!$J:$J,OpenLCAbasic!$E:$E, "Base", OpenLCAbasic!$D:$D, GWP!$B$5, OpenLCAbasic!$F:$F,D$12,OpenLCAbasic!$L:$L,$B$1,OpenLCAbasic!$I:$I,$B25, OpenLCAbasic!$C:$C,$B$7, OpenLCAbasic!$B:$B, $B$9))</f>
        <v>7.0179500000000003E-6</v>
      </c>
      <c r="E25" s="9" t="str">
        <f>CONCATENATE("(",INDEX(LookUps!$D$5:$D$12,MATCH(WU!$B$1,LookUps!$E$5:$E$12,0)), "/m3 wastewater treated")</f>
        <v>(m3 H2O/m3 wastewater treated</v>
      </c>
    </row>
    <row r="26" spans="2:5" x14ac:dyDescent="0.25">
      <c r="B26" s="58" t="str">
        <f>LookUps!$G$19</f>
        <v>Anaerobic Digestion; wastewater treatment unit; at updated plant - US</v>
      </c>
      <c r="C26" s="258"/>
      <c r="D26" s="260">
        <f>IF(AND(NOT(ISERROR(MATCH($B26, LookUps!$J$5:$J$20,0))), D$12="Upgraded"),
SUMIFS(OpenLCAbasic!$J:$J,OpenLCAbasic!$E:$E, "Base", OpenLCAbasic!$D:$D, GWP!$B$5, OpenLCAbasic!$F:$F,D$12,OpenLCAbasic!$L:$L,$B$1,OpenLCAbasic!$C:$C,$B$7,OpenLCAbasic!$I:$I,INDEX(LookUps!$G$5:$G$20,MATCH($B26, LookUps!$J$5:$J$20,0)), OpenLCAbasic!$B:$B, $B$9),
SUMIFS(OpenLCAbasic!$J:$J,OpenLCAbasic!$E:$E, "Base", OpenLCAbasic!$D:$D, GWP!$B$5, OpenLCAbasic!$F:$F,D$12,OpenLCAbasic!$L:$L,$B$1,OpenLCAbasic!$I:$I,$B26, OpenLCAbasic!$C:$C,$B$7, OpenLCAbasic!$B:$B, $B$9))</f>
        <v>1.21043E-5</v>
      </c>
      <c r="E26" s="9" t="str">
        <f>CONCATENATE("(",INDEX(LookUps!$D$5:$D$12,MATCH(WU!$B$1,LookUps!$E$5:$E$12,0)), "/m3 wastewater treated")</f>
        <v>(m3 H2O/m3 wastewater treated</v>
      </c>
    </row>
    <row r="27" spans="2:5" x14ac:dyDescent="0.25">
      <c r="B27" s="58" t="str">
        <f>LookUps!$H$19</f>
        <v>Aerobic Digester; wastewater treatment unit - US</v>
      </c>
      <c r="C27" s="260">
        <f>IF(C$12="Legacy",
SUMIFS(OpenLCAbasic!$J:$J,OpenLCAbasic!$D:$D, "Base", OpenLCAbasic!$F:$F,C$12,OpenLCAbasic!$L:$L,$B$1,OpenLCAbasic!$I:$I,$B27, OpenLCAbasic!$C:$C, $B$8),
IF(AND(NOT(ISERROR(MATCH($B27, LookUps!$J$5:$J$20,0))), C$12="Upgraded"),
SUMIFS(OpenLCAbasic!$J:$J,OpenLCAbasic!$D:$D, GWP!$B$5, OpenLCAbasic!$F:$F,C$12,OpenLCAbasic!$L:$L,$B$1,OpenLCAbasic!$I:$I,INDEX(LookUps!$G$5:$G$20,MATCH($B27, LookUps!$J$5:$J$20,0))),
SUMIFS(OpenLCAbasic!$J:$J,OpenLCAbasic!$D:$D, GWP!$B$5, OpenLCAbasic!$F:$F,C$12,OpenLCAbasic!$L:$L,$B$1,OpenLCAbasic!$I:$I,$B27)))</f>
        <v>1E-4</v>
      </c>
      <c r="D27" s="258"/>
      <c r="E27" s="9" t="str">
        <f>CONCATENATE("(",INDEX(LookUps!$D$5:$D$12,MATCH(WU!$B$1,LookUps!$E$5:$E$12,0)), "/m3 wastewater treated")</f>
        <v>(m3 H2O/m3 wastewater treated</v>
      </c>
    </row>
    <row r="28" spans="2:5" x14ac:dyDescent="0.25">
      <c r="B28" s="58" t="str">
        <f>LookUps!$J$15</f>
        <v>Belt filter press; wastewater treatment unit - US</v>
      </c>
      <c r="C28" s="260">
        <f>IF(C$12="Legacy",
SUMIFS(OpenLCAbasic!$J:$J,OpenLCAbasic!$D:$D, "Base", OpenLCAbasic!$F:$F,C$12,OpenLCAbasic!$L:$L,$B$1,OpenLCAbasic!$I:$I,$B28, OpenLCAbasic!$C:$C, $B$8),
IF(AND(NOT(ISERROR(MATCH($B28, LookUps!$J$5:$J$20,0))), C$12="Upgraded"),
SUMIFS(OpenLCAbasic!$J:$J,OpenLCAbasic!$D:$D, GWP!$B$5, OpenLCAbasic!$F:$F,C$12,OpenLCAbasic!$L:$L,$B$1,OpenLCAbasic!$I:$I,INDEX(LookUps!$G$5:$G$20,MATCH($B28, LookUps!$J$5:$J$20,0))),
SUMIFS(OpenLCAbasic!$J:$J,OpenLCAbasic!$D:$D, GWP!$B$5, OpenLCAbasic!$F:$F,C$12,OpenLCAbasic!$L:$L,$B$1,OpenLCAbasic!$I:$I,$B28)))</f>
        <v>7.8034799999999994E-5</v>
      </c>
      <c r="D28" s="260">
        <f>IF(AND(NOT(ISERROR(MATCH($B28, LookUps!$J$5:$J$20,0))), D$12="Upgraded"),
SUMIFS(OpenLCAbasic!$J:$J,OpenLCAbasic!$E:$E, "Base", OpenLCAbasic!$D:$D, GWP!$B$5, OpenLCAbasic!$F:$F,D$12,OpenLCAbasic!$L:$L,$B$1,OpenLCAbasic!$C:$C,$B$7,OpenLCAbasic!$I:$I,INDEX(LookUps!$G$5:$G$20,MATCH($B28, LookUps!$J$5:$J$20,0)), OpenLCAbasic!$B:$B, $B$9),
SUMIFS(OpenLCAbasic!$J:$J,OpenLCAbasic!$E:$E, "Base", OpenLCAbasic!$D:$D, GWP!$B$5, OpenLCAbasic!$F:$F,D$12,OpenLCAbasic!$L:$L,$B$1,OpenLCAbasic!$I:$I,$B28, OpenLCAbasic!$C:$C,$B$7, OpenLCAbasic!$B:$B, $B$9))</f>
        <v>2.1941099999999999E-5</v>
      </c>
      <c r="E28" s="9" t="str">
        <f>CONCATENATE("(",INDEX(LookUps!$D$5:$D$12,MATCH(WU!$B$1,LookUps!$E$5:$E$12,0)), "/m3 wastewater treated")</f>
        <v>(m3 H2O/m3 wastewater treated</v>
      </c>
    </row>
    <row r="29" spans="2:5" x14ac:dyDescent="0.25">
      <c r="B29"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29" s="258"/>
      <c r="D29" s="283">
        <f>IF(OR(GWP!$B$6="Low", GWP!$B$6="High"),
INDEX(OpenLCAbasic!$J:$J, MATCH(CONCATENATE(GWP!$B$6, "_", GWP!$B$5, "_", "Upgraded_",$B$1,"_",B29, "_", $B$7, "_", $B$9), OpenLCAbasic!$M:$M,0)),
IF(AND(NOT(ISERROR(MATCH($B29, LookUps!$J$5:$J$20,0))), D$12="Upgraded"),
SUMIFS(OpenLCAbasic!$J:$J,OpenLCAbasic!$E:$E, GWP!$B$6, OpenLCAbasic!$D:$D, GWP!$B$5, OpenLCAbasic!$F:$F,D$12,OpenLCAbasic!$L:$L,$B$1,OpenLCAbasic!$I:$I,INDEX(LookUps!$G$5:$G$20,MATCH($B29, LookUps!$J$5:$J$20,0)), OpenLCAbasic!$B:$B, $B$9, OpenLCAbasic!$C:$C, $B$7),
SUMIFS(OpenLCAbasic!$J:$J,OpenLCAbasic!$E:$E, GWP!$B$6, OpenLCAbasic!$D:$D, GWP!$B$5, OpenLCAbasic!$F:$F,D$12,OpenLCAbasic!$L:$L,$B$1,OpenLCAbasic!$I:$I,$B29, OpenLCAbasic!$B:$B, $B$9, OpenLCAbasic!$C:$C, $B$7)))</f>
        <v>1.06952E-6</v>
      </c>
      <c r="E29" s="9" t="str">
        <f>CONCATENATE("(",INDEX(LookUps!$D$5:$D$12,MATCH(WU!$B$1,LookUps!$E$5:$E$12,0)), "/m3 wastewater treated")</f>
        <v>(m3 H2O/m3 wastewater treated</v>
      </c>
    </row>
    <row r="30" spans="2:5" x14ac:dyDescent="0.25">
      <c r="B30" s="58" t="str">
        <f>LookUps!$G$18</f>
        <v>Land application of compost; wastewater treatment unit; at updated plant - US</v>
      </c>
      <c r="C30" s="258"/>
      <c r="D30" s="283">
        <f>IF(OR(GWP!$B$6="Low", GWP!$B$6="High"),
INDEX(OpenLCAbasic!$J:$J, MATCH(CONCATENATE(GWP!$B$6, "_", GWP!$B$5, "_", "Upgraded_",$B$1,"_",B30, "_", $B$7, "_", $B$9), OpenLCAbasic!$M:$M,0)),
IF(AND(NOT(ISERROR(MATCH($B30, LookUps!$J$5:$J$20,0))), D$12="Upgraded"),
SUMIFS(OpenLCAbasic!$J:$J,OpenLCAbasic!$E:$E, GWP!$B$6, OpenLCAbasic!$D:$D, GWP!$B$5, OpenLCAbasic!$F:$F,D$12,OpenLCAbasic!$L:$L,$B$1,OpenLCAbasic!$I:$I,INDEX(LookUps!$G$5:$G$20,MATCH($B30, LookUps!$J$5:$J$20,0)), OpenLCAbasic!$B:$B, $B$9, OpenLCAbasic!$C:$C, $B$7),
SUMIFS(OpenLCAbasic!$J:$J,OpenLCAbasic!$E:$E, GWP!$B$6, OpenLCAbasic!$D:$D, GWP!$B$5, OpenLCAbasic!$F:$F,D$12,OpenLCAbasic!$L:$L,$B$1,OpenLCAbasic!$I:$I,$B30, OpenLCAbasic!$B:$B, $B$9, OpenLCAbasic!$C:$C, $B$7)))</f>
        <v>-1.15E-3</v>
      </c>
      <c r="E30" s="9" t="str">
        <f>CONCATENATE("(",INDEX(LookUps!$D$5:$D$12,MATCH(WU!$B$1,LookUps!$E$5:$E$12,0)), "/m3 wastewater treated")</f>
        <v>(m3 H2O/m3 wastewater treated</v>
      </c>
    </row>
    <row r="31" spans="2:5" x14ac:dyDescent="0.25">
      <c r="B31" s="58" t="str">
        <f>LookUps!$H$18</f>
        <v>Sludge Disposal; wastewater treatment unit - US</v>
      </c>
      <c r="C31" s="284">
        <f>IF(OR(GWP!$B$6="Low", GWP!$B$6="High"),
 INDEX(OpenLCAbasic!$J:$J, MATCH(CONCATENATE(GWP!$B$6, "_", "Base", "_", "Legacy_",$B$1, "_",B31, "_", $B$8,"_n.a."), OpenLCAbasic!$M:$M,0)),
IF(C$12="Legacy", SUMIFS(OpenLCAbasic!$J:$J,OpenLCAbasic!$E:$E, "Base", OpenLCAbasic!$D:$D, "Base", OpenLCAbasic!$F:$F,C$12,OpenLCAbasic!$L:$L,$B$1,OpenLCAbasic!$I:$I,$B31, OpenLCAbasic!$C:$C, $B$8),
IF(AND(NOT(ISERROR(MATCH($B31, LookUps!$J$5:$J$20,0))), C$12="Upgraded"), SUMIFS(OpenLCAbasic!$J:$J,OpenLCAbasic!$E:$E, "Base", OpenLCAbasic!$D:$D, "Base", OpenLCAbasic!$F:$F,C$12,OpenLCAbasic!$L:$L,$B$1,OpenLCAbasic!$I:$I,INDEX(LookUps!$G$5:$G$20,MATCH($B31, LookUps!$J$5:$J$20,0))),
SUMIFS(OpenLCAbasic!$J:$J,OpenLCAbasic!$E:$E, "Base", OpenLCAbasic!$D:$D, "Base", OpenLCAbasic!$F:$F,C$12,OpenLCAbasic!$L:$L,$B$1,OpenLCAbasic!$I:$I,$B31))))</f>
        <v>1.5656200000000001E-5</v>
      </c>
      <c r="D31" s="258"/>
      <c r="E31" s="9" t="str">
        <f>CONCATENATE("(",INDEX(LookUps!$D$5:$D$12,MATCH(WU!$B$1,LookUps!$E$5:$E$12,0)), "/m3 wastewater treated")</f>
        <v>(m3 H2O/m3 wastewater treated</v>
      </c>
    </row>
    <row r="32" spans="2:5" x14ac:dyDescent="0.25">
      <c r="B32" s="58" t="str">
        <f>LookUps!$G$20</f>
        <v>Effluent release; wastewater treatment unit; at surface water; m3 wastewater - US</v>
      </c>
      <c r="C32" s="260">
        <f>IF(C$12="Legacy",
SUMIFS(OpenLCAbasic!$J:$J,OpenLCAbasic!$D:$D, "Base", OpenLCAbasic!$F:$F,C$12,OpenLCAbasic!$L:$L,$B$1,OpenLCAbasic!$I:$I,$B32, OpenLCAbasic!$C:$C, $B$8),
IF(AND(NOT(ISERROR(MATCH($B32, LookUps!$J$5:$J$20,0))), C$12="Upgraded"),
SUMIFS(OpenLCAbasic!$J:$J,OpenLCAbasic!$D:$D, GWP!$B$5, OpenLCAbasic!$F:$F,C$12,OpenLCAbasic!$L:$L,$B$1,OpenLCAbasic!$I:$I,INDEX(LookUps!$G$5:$G$20,MATCH($B32, LookUps!$J$5:$J$20,0))),
SUMIFS(OpenLCAbasic!$J:$J,OpenLCAbasic!$D:$D, GWP!$B$5, OpenLCAbasic!$F:$F,C$12,OpenLCAbasic!$L:$L,$B$1,OpenLCAbasic!$I:$I,$B32)))</f>
        <v>2.14447E-6</v>
      </c>
      <c r="D32" s="260">
        <f>IF(AND(NOT(ISERROR(MATCH($B32, LookUps!$J$5:$J$20,0))), D$12="Upgraded"),
SUMIFS(OpenLCAbasic!$J:$J,OpenLCAbasic!$E:$E, "Base", OpenLCAbasic!$D:$D, GWP!$B$5, OpenLCAbasic!$F:$F,D$12,OpenLCAbasic!$L:$L,$B$1,OpenLCAbasic!$C:$C,$B$7,OpenLCAbasic!$I:$I,INDEX(LookUps!$G$5:$G$20,MATCH($B32, LookUps!$J$5:$J$20,0)), OpenLCAbasic!$B:$B, $B$9),
SUMIFS(OpenLCAbasic!$J:$J,OpenLCAbasic!$E:$E, "Base", OpenLCAbasic!$D:$D, GWP!$B$5, OpenLCAbasic!$F:$F,D$12,OpenLCAbasic!$L:$L,$B$1,OpenLCAbasic!$I:$I,$B32, OpenLCAbasic!$C:$C,$B$7, OpenLCAbasic!$B:$B, $B$9))</f>
        <v>6.8836400000000004E-5</v>
      </c>
      <c r="E32" s="9" t="str">
        <f>CONCATENATE("(",INDEX(LookUps!$D$5:$D$12,MATCH(WU!$B$1,LookUps!$E$5:$E$12,0)), "/m3 wastewater treated")</f>
        <v>(m3 H2O/m3 wastewater treated</v>
      </c>
    </row>
    <row r="33" spans="2:5" x14ac:dyDescent="0.25">
      <c r="B33" s="58" t="str">
        <f>LookUps!$J$10</f>
        <v>Control Building; at wastewater treatment plant - US</v>
      </c>
      <c r="C33" s="260">
        <f>IF(C$12="Legacy",
SUMIFS(OpenLCAbasic!$J:$J,OpenLCAbasic!$D:$D, "Base", OpenLCAbasic!$F:$F,C$12,OpenLCAbasic!$L:$L,$B$1,OpenLCAbasic!$I:$I,$B33, OpenLCAbasic!$C:$C, $B$8),
IF(AND(NOT(ISERROR(MATCH($B33, LookUps!$J$5:$J$20,0))), C$12="Upgraded"),
SUMIFS(OpenLCAbasic!$J:$J,OpenLCAbasic!$D:$D, GWP!$B$5, OpenLCAbasic!$F:$F,C$12,OpenLCAbasic!$L:$L,$B$1,OpenLCAbasic!$I:$I,INDEX(LookUps!$G$5:$G$20,MATCH($B33, LookUps!$J$5:$J$20,0))),
SUMIFS(OpenLCAbasic!$J:$J,OpenLCAbasic!$D:$D, GWP!$B$5, OpenLCAbasic!$F:$F,C$12,OpenLCAbasic!$L:$L,$B$1,OpenLCAbasic!$I:$I,$B33)))</f>
        <v>1.2E-4</v>
      </c>
      <c r="D33" s="260">
        <f>IF(AND(NOT(ISERROR(MATCH($B33, LookUps!$J$5:$J$20,0))), D$12="Upgraded"),
SUMIFS(OpenLCAbasic!$J:$J,OpenLCAbasic!$E:$E, "Base", OpenLCAbasic!$D:$D, GWP!$B$5, OpenLCAbasic!$F:$F,D$12,OpenLCAbasic!$L:$L,$B$1,OpenLCAbasic!$C:$C,$B$7,OpenLCAbasic!$I:$I,INDEX(LookUps!$G$5:$G$20,MATCH($B33, LookUps!$J$5:$J$20,0)), OpenLCAbasic!$B:$B, $B$9),
SUMIFS(OpenLCAbasic!$J:$J,OpenLCAbasic!$E:$E, "Base", OpenLCAbasic!$D:$D, GWP!$B$5, OpenLCAbasic!$F:$F,D$12,OpenLCAbasic!$L:$L,$B$1,OpenLCAbasic!$I:$I,$B33, OpenLCAbasic!$C:$C,$B$7, OpenLCAbasic!$B:$B, $B$9))</f>
        <v>1.4999999999999999E-4</v>
      </c>
      <c r="E33" s="9" t="str">
        <f>CONCATENATE("(",INDEX(LookUps!$D$5:$D$12,MATCH(WU!$B$1,LookUps!$E$5:$E$12,0)), "/m3 wastewater treated")</f>
        <v>(m3 H2O/m3 wastewater treated</v>
      </c>
    </row>
    <row r="34" spans="2:5" x14ac:dyDescent="0.25">
      <c r="B34" s="11" t="s">
        <v>34</v>
      </c>
      <c r="C34" s="295">
        <f>SUM(C13:C33)</f>
        <v>1.24660018E-3</v>
      </c>
      <c r="D34" s="295">
        <f>SUM(D13:D33)</f>
        <v>-4.2095770000000063E-5</v>
      </c>
    </row>
    <row r="35" spans="2:5" x14ac:dyDescent="0.25">
      <c r="B35" s="11" t="s">
        <v>22</v>
      </c>
      <c r="C35" s="295">
        <f>MAX($C$34:$D$34)</f>
        <v>1.24660018E-3</v>
      </c>
      <c r="D35" s="295">
        <f>MAX($C$34:$D$34)</f>
        <v>1.24660018E-3</v>
      </c>
    </row>
    <row r="37" spans="2:5" x14ac:dyDescent="0.25">
      <c r="B37" s="1" t="str">
        <f>CONCATENATE(INDEX(LookUps!$B$5:$B$12,MATCH(WU!$B$1,LookUps!$E$5:$E$12,0))," (Contribution %)")</f>
        <v>Water Use (Contribution %)</v>
      </c>
    </row>
    <row r="39" spans="2:5" x14ac:dyDescent="0.25">
      <c r="B39" s="56" t="s">
        <v>47</v>
      </c>
      <c r="C39" s="1" t="s">
        <v>45</v>
      </c>
      <c r="D39" s="1" t="s">
        <v>46</v>
      </c>
      <c r="E39" s="10" t="s">
        <v>27</v>
      </c>
    </row>
    <row r="40" spans="2:5" x14ac:dyDescent="0.25">
      <c r="B40" s="57" t="str">
        <f>LookUps!$G$5</f>
        <v>Wastewater collection; operation and infrastructure; m3 wastewater</v>
      </c>
      <c r="C40" s="60">
        <f>IF(ISERROR(C13/C$34), "",C13/ C$34)</f>
        <v>4.0597539461289028E-3</v>
      </c>
      <c r="D40" s="60">
        <f>IF(ISERROR(D13/D$34), "",D13/ D$34)</f>
        <v>-0.12022324333299979</v>
      </c>
      <c r="E40" s="9" t="str">
        <f>CONCATENATE("(",INDEX(LookUps!$D$5:$D$12,MATCH(WU!$B$1,LookUps!$E$5:$E$12,0)), "/m3 wastewater treated")</f>
        <v>(m3 H2O/m3 wastewater treated</v>
      </c>
    </row>
    <row r="41" spans="2:5" x14ac:dyDescent="0.25">
      <c r="B41" s="58" t="str">
        <f>LookUps!$G$6</f>
        <v>Influent Pump Station; wastewater treatment unit; at updated plant - US</v>
      </c>
      <c r="C41" s="61"/>
      <c r="D41" s="62">
        <f>IF(ISERROR(D14/D$34), "",D14/ D$34)</f>
        <v>-4.2759640695490244</v>
      </c>
      <c r="E41" s="9" t="str">
        <f>CONCATENATE("(",INDEX(LookUps!$D$5:$D$12,MATCH(WU!$B$1,LookUps!$E$5:$E$12,0)), "/m3 wastewater treated")</f>
        <v>(m3 H2O/m3 wastewater treated</v>
      </c>
    </row>
    <row r="42" spans="2:5" x14ac:dyDescent="0.25">
      <c r="B42" s="58" t="str">
        <f>LookUps!$H$6</f>
        <v>Screening and Grit Removal - US</v>
      </c>
      <c r="C42" s="62">
        <f>IF(ISERROR(C15/C$34), "",C15/ C$34)</f>
        <v>8.0125690339624377E-3</v>
      </c>
      <c r="D42" s="61"/>
      <c r="E42" s="9" t="str">
        <f>CONCATENATE("(",INDEX(LookUps!$D$5:$D$12,MATCH(WU!$B$1,LookUps!$E$5:$E$12,0)), "/m3 wastewater treated")</f>
        <v>(m3 H2O/m3 wastewater treated</v>
      </c>
    </row>
    <row r="43" spans="2:5" x14ac:dyDescent="0.25">
      <c r="B43" s="58" t="str">
        <f>LookUps!$G$8</f>
        <v>Clear Cove Primary Clarification; wastewater treatment unit; at updated plant - US</v>
      </c>
      <c r="C43" s="61"/>
      <c r="D43" s="62">
        <f>IF(ISERROR(D16/D$34), "",D16/ D$34)</f>
        <v>-4.2759640695490244</v>
      </c>
      <c r="E43" s="9" t="str">
        <f>CONCATENATE("(",INDEX(LookUps!$D$5:$D$12,MATCH(WU!$B$1,LookUps!$E$5:$E$12,0)), "/m3 wastewater treated")</f>
        <v>(m3 H2O/m3 wastewater treated</v>
      </c>
    </row>
    <row r="44" spans="2:5" x14ac:dyDescent="0.25">
      <c r="B44" s="58" t="str">
        <f>LookUps!$H$8</f>
        <v>Primary Clarifier; wastewater treatment unit - US</v>
      </c>
      <c r="C44" s="62">
        <f>IF(ISERROR(C17/C$34), "",C17/ C$34)</f>
        <v>0.60965818246552805</v>
      </c>
      <c r="D44" s="61"/>
      <c r="E44" s="9" t="str">
        <f>CONCATENATE("(",INDEX(LookUps!$D$5:$D$12,MATCH(WU!$B$1,LookUps!$E$5:$E$12,0)), "/m3 wastewater treated")</f>
        <v>(m3 H2O/m3 wastewater treated</v>
      </c>
    </row>
    <row r="45" spans="2:5" x14ac:dyDescent="0.25">
      <c r="B45" s="58" t="str">
        <f>LookUps!$G$17</f>
        <v>ClearCove SCP; wastewater treatment unit; at updated plant - US</v>
      </c>
      <c r="C45" s="61"/>
      <c r="D45" s="62">
        <f t="shared" ref="D45:D50" si="0">IF(ISERROR(D18/D$34), "",D18/ D$34)</f>
        <v>-1.8219645346788976E-2</v>
      </c>
      <c r="E45" s="9" t="str">
        <f>CONCATENATE("(",INDEX(LookUps!$D$5:$D$12,MATCH(WU!$B$1,LookUps!$E$5:$E$12,0)), "/m3 wastewater treated")</f>
        <v>(m3 H2O/m3 wastewater treated</v>
      </c>
    </row>
    <row r="46" spans="2:5" x14ac:dyDescent="0.25">
      <c r="B46" s="58" t="str">
        <f>LookUps!$G$7</f>
        <v>Wet Well and Sump Station; wastewater treatment unit; at updated plant - US</v>
      </c>
      <c r="C46" s="61"/>
      <c r="D46" s="62">
        <f t="shared" si="0"/>
        <v>-0.41588264093993227</v>
      </c>
      <c r="E46" s="9" t="str">
        <f>CONCATENATE("(",INDEX(LookUps!$D$5:$D$12,MATCH(WU!$B$1,LookUps!$E$5:$E$12,0)), "/m3 wastewater treated")</f>
        <v>(m3 H2O/m3 wastewater treated</v>
      </c>
    </row>
    <row r="47" spans="2:5" x14ac:dyDescent="0.25">
      <c r="B47" s="58" t="str">
        <f>LookUps!$G$13</f>
        <v>Pre-Anoxic &amp; Swing tank; wastewater treatment unit; at updated plant - US</v>
      </c>
      <c r="C47" s="61"/>
      <c r="D47" s="62">
        <f t="shared" si="0"/>
        <v>-1.0260437093798245</v>
      </c>
      <c r="E47" s="9" t="str">
        <f>CONCATENATE("(",INDEX(LookUps!$D$5:$D$12,MATCH(WU!$B$1,LookUps!$E$5:$E$12,0)), "/m3 wastewater treated")</f>
        <v>(m3 H2O/m3 wastewater treated</v>
      </c>
    </row>
    <row r="48" spans="2:5" x14ac:dyDescent="0.25">
      <c r="B48" s="58" t="str">
        <f>LookUps!$J$9</f>
        <v>Aeration Tanks; wastewater treatment unit - US</v>
      </c>
      <c r="C48" s="62">
        <f>IF(ISERROR(C21/C$34), "",C21/ C$34)</f>
        <v>0.1203272728550384</v>
      </c>
      <c r="D48" s="62">
        <f t="shared" si="0"/>
        <v>-3.8008569507102443</v>
      </c>
      <c r="E48" s="9" t="str">
        <f>CONCATENATE("(",INDEX(LookUps!$D$5:$D$12,MATCH(WU!$B$1,LookUps!$E$5:$E$12,0)), "/m3 wastewater treated")</f>
        <v>(m3 H2O/m3 wastewater treated</v>
      </c>
    </row>
    <row r="49" spans="2:5" x14ac:dyDescent="0.25">
      <c r="B49" s="58" t="str">
        <f>LookUps!$G$12</f>
        <v>Waste Receiving and Holding; wastewater treatment unit; at updated plant - US</v>
      </c>
      <c r="C49" s="61"/>
      <c r="D49" s="62">
        <f t="shared" si="0"/>
        <v>-5.4637318666459755</v>
      </c>
      <c r="E49" s="9" t="str">
        <f>CONCATENATE("(",INDEX(LookUps!$D$5:$D$12,MATCH(WU!$B$1,LookUps!$E$5:$E$12,0)), "/m3 wastewater treated")</f>
        <v>(m3 H2O/m3 wastewater treated</v>
      </c>
    </row>
    <row r="50" spans="2:5" x14ac:dyDescent="0.25">
      <c r="B50" s="58" t="str">
        <f>LookUps!$G$11</f>
        <v>Gravity Belt Thickener; wastewater treatment unit; at updated plant - US</v>
      </c>
      <c r="C50" s="61"/>
      <c r="D50" s="62">
        <f t="shared" si="0"/>
        <v>-0.72235523901807608</v>
      </c>
      <c r="E50" s="9" t="str">
        <f>CONCATENATE("(",INDEX(LookUps!$D$5:$D$12,MATCH(WU!$B$1,LookUps!$E$5:$E$12,0)), "/m3 wastewater treated")</f>
        <v>(m3 H2O/m3 wastewater treated</v>
      </c>
    </row>
    <row r="51" spans="2:5" x14ac:dyDescent="0.25">
      <c r="B51" s="58" t="str">
        <f>LookUps!$H$11</f>
        <v>Sludge Thickener; wastewater treatment unit - US</v>
      </c>
      <c r="C51" s="62">
        <f>IF(ISERROR(C24/C$34), "",C24/ C$34)</f>
        <v>4.5847498594136253E-3</v>
      </c>
      <c r="D51" s="61"/>
      <c r="E51" s="9" t="str">
        <f>CONCATENATE("(",INDEX(LookUps!$D$5:$D$12,MATCH(WU!$B$1,LookUps!$E$5:$E$12,0)), "/m3 wastewater treated")</f>
        <v>(m3 H2O/m3 wastewater treated</v>
      </c>
    </row>
    <row r="52" spans="2:5" x14ac:dyDescent="0.25">
      <c r="B52" s="58" t="str">
        <f>LookUps!$G$14</f>
        <v>Blend Tank; wastewater treatment unit; at updated plant - US</v>
      </c>
      <c r="C52" s="61"/>
      <c r="D52" s="62">
        <f>IF(ISERROR(D25/D$34), "",D25/ D$34)</f>
        <v>-0.16671390023273097</v>
      </c>
      <c r="E52" s="9" t="str">
        <f>CONCATENATE("(",INDEX(LookUps!$D$5:$D$12,MATCH(WU!$B$1,LookUps!$E$5:$E$12,0)), "/m3 wastewater treated")</f>
        <v>(m3 H2O/m3 wastewater treated</v>
      </c>
    </row>
    <row r="53" spans="2:5" x14ac:dyDescent="0.25">
      <c r="B53" s="58" t="str">
        <f>LookUps!$G$19</f>
        <v>Anaerobic Digestion; wastewater treatment unit; at updated plant - US</v>
      </c>
      <c r="C53" s="61"/>
      <c r="D53" s="62">
        <f>IF(ISERROR(D26/D$34), "",D26/ D$34)</f>
        <v>-0.28754195492801254</v>
      </c>
      <c r="E53" s="9" t="str">
        <f>CONCATENATE("(",INDEX(LookUps!$D$5:$D$12,MATCH(WU!$B$1,LookUps!$E$5:$E$12,0)), "/m3 wastewater treated")</f>
        <v>(m3 H2O/m3 wastewater treated</v>
      </c>
    </row>
    <row r="54" spans="2:5" x14ac:dyDescent="0.25">
      <c r="B54" s="58" t="str">
        <f>LookUps!$H$19</f>
        <v>Aerobic Digester; wastewater treatment unit - US</v>
      </c>
      <c r="C54" s="62">
        <f>IF(ISERROR(C27/C$34), "",C27/ C$34)</f>
        <v>8.0218181903358943E-2</v>
      </c>
      <c r="D54" s="61"/>
      <c r="E54" s="9" t="str">
        <f>CONCATENATE("(",INDEX(LookUps!$D$5:$D$12,MATCH(WU!$B$1,LookUps!$E$5:$E$12,0)), "/m3 wastewater treated")</f>
        <v>(m3 H2O/m3 wastewater treated</v>
      </c>
    </row>
    <row r="55" spans="2:5" x14ac:dyDescent="0.25">
      <c r="B55" s="58" t="str">
        <f>LookUps!$J$15</f>
        <v>Belt filter press; wastewater treatment unit - US</v>
      </c>
      <c r="C55" s="62">
        <f t="shared" ref="C55:D55" si="1">IF(ISERROR(C28/C$34), "",C28/ C$34)</f>
        <v>6.259809781192234E-2</v>
      </c>
      <c r="D55" s="62">
        <f t="shared" si="1"/>
        <v>-0.52121864025767828</v>
      </c>
      <c r="E55" s="9" t="str">
        <f>CONCATENATE("(",INDEX(LookUps!$D$5:$D$12,MATCH(WU!$B$1,LookUps!$E$5:$E$12,0)), "/m3 wastewater treated")</f>
        <v>(m3 H2O/m3 wastewater treated</v>
      </c>
    </row>
    <row r="56" spans="2:5" x14ac:dyDescent="0.25">
      <c r="B56"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56" s="61"/>
      <c r="D56" s="62">
        <f>IF(ISERROR(D29/D$34), "",D29/ D$34)</f>
        <v>-2.5406828287022624E-2</v>
      </c>
      <c r="E56" s="9" t="str">
        <f>CONCATENATE("(",INDEX(LookUps!$D$5:$D$12,MATCH(WU!$B$1,LookUps!$E$5:$E$12,0)), "/m3 wastewater treated")</f>
        <v>(m3 H2O/m3 wastewater treated</v>
      </c>
    </row>
    <row r="57" spans="2:5" x14ac:dyDescent="0.25">
      <c r="B57" s="58" t="str">
        <f>LookUps!$G$18</f>
        <v>Land application of compost; wastewater treatment unit; at updated plant - US</v>
      </c>
      <c r="C57" s="61"/>
      <c r="D57" s="62">
        <f>IF(ISERROR(D30/D$34), "",D30/ D$34)</f>
        <v>27.318659333229878</v>
      </c>
      <c r="E57" s="9" t="str">
        <f>CONCATENATE("(",INDEX(LookUps!$D$5:$D$12,MATCH(WU!$B$1,LookUps!$E$5:$E$12,0)), "/m3 wastewater treated")</f>
        <v>(m3 H2O/m3 wastewater treated</v>
      </c>
    </row>
    <row r="58" spans="2:5" x14ac:dyDescent="0.25">
      <c r="B58" s="58" t="str">
        <f>LookUps!$H$18</f>
        <v>Sludge Disposal; wastewater treatment unit - US</v>
      </c>
      <c r="C58" s="62">
        <f>IF(ISERROR(C31/C$34), "",C31/ C$34)</f>
        <v>1.2559118995153684E-2</v>
      </c>
      <c r="D58" s="59"/>
      <c r="E58" s="9" t="str">
        <f>CONCATENATE("(",INDEX(LookUps!$D$5:$D$12,MATCH(WU!$B$1,LookUps!$E$5:$E$12,0)), "/m3 wastewater treated")</f>
        <v>(m3 H2O/m3 wastewater treated</v>
      </c>
    </row>
    <row r="59" spans="2:5" x14ac:dyDescent="0.25">
      <c r="B59" s="58" t="str">
        <f>LookUps!$G$20</f>
        <v>Effluent release; wastewater treatment unit; at surface water; m3 wastewater - US</v>
      </c>
      <c r="C59" s="62">
        <f t="shared" ref="C59:D60" si="2">IF(ISERROR(C32/C$34), "",C32/ C$34)</f>
        <v>1.7202548454629614E-3</v>
      </c>
      <c r="D59" s="62">
        <f t="shared" si="2"/>
        <v>-1.6352331837616916</v>
      </c>
      <c r="E59" s="9" t="str">
        <f>CONCATENATE("(",INDEX(LookUps!$D$5:$D$12,MATCH(WU!$B$1,LookUps!$E$5:$E$12,0)), "/m3 wastewater treated")</f>
        <v>(m3 H2O/m3 wastewater treated</v>
      </c>
    </row>
    <row r="60" spans="2:5" x14ac:dyDescent="0.25">
      <c r="B60" s="58" t="str">
        <f>LookUps!$J$10</f>
        <v>Control Building; at wastewater treatment plant - US</v>
      </c>
      <c r="C60" s="62">
        <f>IF(ISERROR(C33/C$34), "",C33/ C$34)</f>
        <v>9.6261818284030728E-2</v>
      </c>
      <c r="D60" s="62">
        <f t="shared" si="2"/>
        <v>-3.5633033912908534</v>
      </c>
      <c r="E60" s="9" t="str">
        <f>CONCATENATE("(",INDEX(LookUps!$D$5:$D$12,MATCH(WU!$B$1,LookUps!$E$5:$E$12,0)), "/m3 wastewater treated")</f>
        <v>(m3 H2O/m3 wastewater treated</v>
      </c>
    </row>
    <row r="61" spans="2:5" x14ac:dyDescent="0.25">
      <c r="B61" s="11" t="s">
        <v>34</v>
      </c>
      <c r="C61" s="63">
        <f>SUM(C40:C60)</f>
        <v>1.0000000000000002</v>
      </c>
      <c r="D61" s="63">
        <f>SUM(D40:D60)</f>
        <v>0.99999999999999467</v>
      </c>
    </row>
    <row r="63" spans="2:5" x14ac:dyDescent="0.25">
      <c r="B63" s="1" t="str">
        <f>CONCATENATE(INDEX(LookUps!$B$5:$B$12,MATCH(WU!$B$1,LookUps!$E$5:$E$12,0))," (% of Maximum)")</f>
        <v>Water Use (% of Maximum)</v>
      </c>
    </row>
    <row r="65" spans="2:5" x14ac:dyDescent="0.25">
      <c r="B65" s="56" t="s">
        <v>47</v>
      </c>
      <c r="C65" s="1" t="s">
        <v>45</v>
      </c>
      <c r="D65" s="1" t="s">
        <v>46</v>
      </c>
      <c r="E65" s="10" t="s">
        <v>27</v>
      </c>
    </row>
    <row r="66" spans="2:5" x14ac:dyDescent="0.25">
      <c r="B66" s="57" t="str">
        <f>LookUps!$G$5</f>
        <v>Wastewater collection; operation and infrastructure; m3 wastewater</v>
      </c>
      <c r="C66" s="13">
        <f>IF(ISERROR(C13/C$35),"",C13/C$35)</f>
        <v>4.0597539461289028E-3</v>
      </c>
      <c r="D66" s="60">
        <f>IF(ISERROR(D13/D$35),"",D13/D$35)</f>
        <v>4.0597539461289028E-3</v>
      </c>
      <c r="E66" s="9" t="str">
        <f>CONCATENATE("(",INDEX(LookUps!$D$5:$D$12,MATCH(WU!$B$1,LookUps!$E$5:$E$12,0)), "/m3 wastewater treated")</f>
        <v>(m3 H2O/m3 wastewater treated</v>
      </c>
    </row>
    <row r="67" spans="2:5" x14ac:dyDescent="0.25">
      <c r="B67" s="58" t="str">
        <f>LookUps!$G$6</f>
        <v>Influent Pump Station; wastewater treatment unit; at updated plant - US</v>
      </c>
      <c r="C67" s="61"/>
      <c r="D67" s="62">
        <f>IF(ISERROR(D14/D$35),"",D14/D$35)</f>
        <v>0.14439272742604611</v>
      </c>
      <c r="E67" s="9" t="str">
        <f>CONCATENATE("(",INDEX(LookUps!$D$5:$D$12,MATCH(WU!$B$1,LookUps!$E$5:$E$12,0)), "/m3 wastewater treated")</f>
        <v>(m3 H2O/m3 wastewater treated</v>
      </c>
    </row>
    <row r="68" spans="2:5" x14ac:dyDescent="0.25">
      <c r="B68" s="58" t="str">
        <f>LookUps!$H$6</f>
        <v>Screening and Grit Removal - US</v>
      </c>
      <c r="C68" s="62">
        <f>IF(ISERROR(C15/C$35),"",C15/C$35)</f>
        <v>8.0125690339624377E-3</v>
      </c>
      <c r="D68" s="61"/>
      <c r="E68" s="9" t="str">
        <f>CONCATENATE("(",INDEX(LookUps!$D$5:$D$12,MATCH(WU!$B$1,LookUps!$E$5:$E$12,0)), "/m3 wastewater treated")</f>
        <v>(m3 H2O/m3 wastewater treated</v>
      </c>
    </row>
    <row r="69" spans="2:5" x14ac:dyDescent="0.25">
      <c r="B69" s="58" t="str">
        <f>LookUps!$G$8</f>
        <v>Clear Cove Primary Clarification; wastewater treatment unit; at updated plant - US</v>
      </c>
      <c r="C69" s="61"/>
      <c r="D69" s="62">
        <f>IF(ISERROR(D16/D$35),"",D16/D$35)</f>
        <v>0.14439272742604611</v>
      </c>
      <c r="E69" s="9" t="str">
        <f>CONCATENATE("(",INDEX(LookUps!$D$5:$D$12,MATCH(WU!$B$1,LookUps!$E$5:$E$12,0)), "/m3 wastewater treated")</f>
        <v>(m3 H2O/m3 wastewater treated</v>
      </c>
    </row>
    <row r="70" spans="2:5" x14ac:dyDescent="0.25">
      <c r="B70" s="58" t="str">
        <f>LookUps!$H$8</f>
        <v>Primary Clarifier; wastewater treatment unit - US</v>
      </c>
      <c r="C70" s="62">
        <f>IF(ISERROR(C17/C$35),"",C17/C$35)</f>
        <v>0.60965818246552805</v>
      </c>
      <c r="D70" s="61"/>
      <c r="E70" s="9" t="str">
        <f>CONCATENATE("(",INDEX(LookUps!$D$5:$D$12,MATCH(WU!$B$1,LookUps!$E$5:$E$12,0)), "/m3 wastewater treated")</f>
        <v>(m3 H2O/m3 wastewater treated</v>
      </c>
    </row>
    <row r="71" spans="2:5" x14ac:dyDescent="0.25">
      <c r="B71" s="58" t="str">
        <f>LookUps!$G$17</f>
        <v>ClearCove SCP; wastewater treatment unit; at updated plant - US</v>
      </c>
      <c r="C71" s="61"/>
      <c r="D71" s="62">
        <f t="shared" ref="D71:D76" si="3">IF(ISERROR(D18/D$35),"",D18/D$35)</f>
        <v>6.1524938974419211E-4</v>
      </c>
      <c r="E71" s="9" t="str">
        <f>CONCATENATE("(",INDEX(LookUps!$D$5:$D$12,MATCH(WU!$B$1,LookUps!$E$5:$E$12,0)), "/m3 wastewater treated")</f>
        <v>(m3 H2O/m3 wastewater treated</v>
      </c>
    </row>
    <row r="72" spans="2:5" x14ac:dyDescent="0.25">
      <c r="B72" s="58" t="str">
        <f>LookUps!$G$7</f>
        <v>Wet Well and Sump Station; wastewater treatment unit; at updated plant - US</v>
      </c>
      <c r="C72" s="61"/>
      <c r="D72" s="62">
        <f t="shared" si="3"/>
        <v>1.4043716887639147E-2</v>
      </c>
      <c r="E72" s="9" t="str">
        <f>CONCATENATE("(",INDEX(LookUps!$D$5:$D$12,MATCH(WU!$B$1,LookUps!$E$5:$E$12,0)), "/m3 wastewater treated")</f>
        <v>(m3 H2O/m3 wastewater treated</v>
      </c>
    </row>
    <row r="73" spans="2:5" x14ac:dyDescent="0.25">
      <c r="B73" s="58" t="str">
        <f>LookUps!$G$13</f>
        <v>Pre-Anoxic &amp; Swing tank; wastewater treatment unit; at updated plant - US</v>
      </c>
      <c r="C73" s="61"/>
      <c r="D73" s="62">
        <f t="shared" si="3"/>
        <v>3.4647917345880699E-2</v>
      </c>
      <c r="E73" s="9" t="str">
        <f>CONCATENATE("(",INDEX(LookUps!$D$5:$D$12,MATCH(WU!$B$1,LookUps!$E$5:$E$12,0)), "/m3 wastewater treated")</f>
        <v>(m3 H2O/m3 wastewater treated</v>
      </c>
    </row>
    <row r="74" spans="2:5" x14ac:dyDescent="0.25">
      <c r="B74" s="58" t="str">
        <f>LookUps!$J$9</f>
        <v>Aeration Tanks; wastewater treatment unit - US</v>
      </c>
      <c r="C74" s="62">
        <f>IF(ISERROR(C21/C$35),"",C21/C$35)</f>
        <v>0.1203272728550384</v>
      </c>
      <c r="D74" s="62">
        <f t="shared" si="3"/>
        <v>0.12834909104537431</v>
      </c>
      <c r="E74" s="9" t="str">
        <f>CONCATENATE("(",INDEX(LookUps!$D$5:$D$12,MATCH(WU!$B$1,LookUps!$E$5:$E$12,0)), "/m3 wastewater treated")</f>
        <v>(m3 H2O/m3 wastewater treated</v>
      </c>
    </row>
    <row r="75" spans="2:5" x14ac:dyDescent="0.25">
      <c r="B75" s="58" t="str">
        <f>LookUps!$G$12</f>
        <v>Waste Receiving and Holding; wastewater treatment unit; at updated plant - US</v>
      </c>
      <c r="C75" s="61"/>
      <c r="D75" s="62">
        <f t="shared" si="3"/>
        <v>0.18450181837772558</v>
      </c>
      <c r="E75" s="9" t="str">
        <f>CONCATENATE("(",INDEX(LookUps!$D$5:$D$12,MATCH(WU!$B$1,LookUps!$E$5:$E$12,0)), "/m3 wastewater treated")</f>
        <v>(m3 H2O/m3 wastewater treated</v>
      </c>
    </row>
    <row r="76" spans="2:5" x14ac:dyDescent="0.25">
      <c r="B76" s="58" t="str">
        <f>LookUps!$G$11</f>
        <v>Gravity Belt Thickener; wastewater treatment unit; at updated plant - US</v>
      </c>
      <c r="C76" s="61"/>
      <c r="D76" s="62">
        <f t="shared" si="3"/>
        <v>2.4392824971355292E-2</v>
      </c>
      <c r="E76" s="9" t="str">
        <f>CONCATENATE("(",INDEX(LookUps!$D$5:$D$12,MATCH(WU!$B$1,LookUps!$E$5:$E$12,0)), "/m3 wastewater treated")</f>
        <v>(m3 H2O/m3 wastewater treated</v>
      </c>
    </row>
    <row r="77" spans="2:5" x14ac:dyDescent="0.25">
      <c r="B77" s="58" t="str">
        <f>LookUps!$H$11</f>
        <v>Sludge Thickener; wastewater treatment unit - US</v>
      </c>
      <c r="C77" s="62">
        <f>IF(ISERROR(C24/C$35),"",C24/C$35)</f>
        <v>4.5847498594136253E-3</v>
      </c>
      <c r="D77" s="61"/>
      <c r="E77" s="9" t="str">
        <f>CONCATENATE("(",INDEX(LookUps!$D$5:$D$12,MATCH(WU!$B$1,LookUps!$E$5:$E$12,0)), "/m3 wastewater treated")</f>
        <v>(m3 H2O/m3 wastewater treated</v>
      </c>
    </row>
    <row r="78" spans="2:5" x14ac:dyDescent="0.25">
      <c r="B78" s="58" t="str">
        <f>LookUps!$G$14</f>
        <v>Blend Tank; wastewater treatment unit; at updated plant - US</v>
      </c>
      <c r="C78" s="61"/>
      <c r="D78" s="62">
        <f>IF(ISERROR(D25/D$35),"",D25/D$35)</f>
        <v>5.6296718968867794E-3</v>
      </c>
      <c r="E78" s="9" t="str">
        <f>CONCATENATE("(",INDEX(LookUps!$D$5:$D$12,MATCH(WU!$B$1,LookUps!$E$5:$E$12,0)), "/m3 wastewater treated")</f>
        <v>(m3 H2O/m3 wastewater treated</v>
      </c>
    </row>
    <row r="79" spans="2:5" x14ac:dyDescent="0.25">
      <c r="B79" s="58" t="str">
        <f>LookUps!$G$19</f>
        <v>Anaerobic Digestion; wastewater treatment unit; at updated plant - US</v>
      </c>
      <c r="C79" s="61"/>
      <c r="D79" s="62">
        <f>IF(ISERROR(D26/D$35),"",D26/D$35)</f>
        <v>9.7098493921282773E-3</v>
      </c>
      <c r="E79" s="9" t="str">
        <f>CONCATENATE("(",INDEX(LookUps!$D$5:$D$12,MATCH(WU!$B$1,LookUps!$E$5:$E$12,0)), "/m3 wastewater treated")</f>
        <v>(m3 H2O/m3 wastewater treated</v>
      </c>
    </row>
    <row r="80" spans="2:5" x14ac:dyDescent="0.25">
      <c r="B80" s="58" t="str">
        <f>LookUps!$H$19</f>
        <v>Aerobic Digester; wastewater treatment unit - US</v>
      </c>
      <c r="C80" s="62">
        <f t="shared" ref="C80:D86" si="4">IF(ISERROR(C27/C$35),"",C27/C$35)</f>
        <v>8.0218181903358943E-2</v>
      </c>
      <c r="D80" s="61"/>
      <c r="E80" s="9" t="str">
        <f>CONCATENATE("(",INDEX(LookUps!$D$5:$D$12,MATCH(WU!$B$1,LookUps!$E$5:$E$12,0)), "/m3 wastewater treated")</f>
        <v>(m3 H2O/m3 wastewater treated</v>
      </c>
    </row>
    <row r="81" spans="1:5" x14ac:dyDescent="0.25">
      <c r="B81" s="58" t="str">
        <f>LookUps!$J$15</f>
        <v>Belt filter press; wastewater treatment unit - US</v>
      </c>
      <c r="C81" s="62">
        <f t="shared" si="4"/>
        <v>6.259809781192234E-2</v>
      </c>
      <c r="D81" s="62">
        <f t="shared" si="4"/>
        <v>1.7600751509597889E-2</v>
      </c>
      <c r="E81" s="9" t="str">
        <f>CONCATENATE("(",INDEX(LookUps!$D$5:$D$12,MATCH(WU!$B$1,LookUps!$E$5:$E$12,0)), "/m3 wastewater treated")</f>
        <v>(m3 H2O/m3 wastewater treated</v>
      </c>
    </row>
    <row r="82" spans="1:5" x14ac:dyDescent="0.25">
      <c r="B82"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82" s="61"/>
      <c r="D82" s="62">
        <f t="shared" si="4"/>
        <v>8.5794949909280462E-4</v>
      </c>
      <c r="E82" s="9" t="str">
        <f>CONCATENATE("(",INDEX(LookUps!$D$5:$D$12,MATCH(WU!$B$1,LookUps!$E$5:$E$12,0)), "/m3 wastewater treated")</f>
        <v>(m3 H2O/m3 wastewater treated</v>
      </c>
    </row>
    <row r="83" spans="1:5" x14ac:dyDescent="0.25">
      <c r="B83" s="58" t="str">
        <f>LookUps!$G$18</f>
        <v>Land application of compost; wastewater treatment unit; at updated plant - US</v>
      </c>
      <c r="C83" s="61"/>
      <c r="D83" s="62">
        <f t="shared" si="4"/>
        <v>-0.92250909188862784</v>
      </c>
      <c r="E83" s="9" t="str">
        <f>CONCATENATE("(",INDEX(LookUps!$D$5:$D$12,MATCH(WU!$B$1,LookUps!$E$5:$E$12,0)), "/m3 wastewater treated")</f>
        <v>(m3 H2O/m3 wastewater treated</v>
      </c>
    </row>
    <row r="84" spans="1:5" x14ac:dyDescent="0.25">
      <c r="B84" s="58" t="str">
        <f>LookUps!$H$18</f>
        <v>Sludge Disposal; wastewater treatment unit - US</v>
      </c>
      <c r="C84" s="62">
        <f t="shared" si="4"/>
        <v>1.2559118995153684E-2</v>
      </c>
      <c r="D84" s="59"/>
      <c r="E84" s="9" t="str">
        <f>CONCATENATE("(",INDEX(LookUps!$D$5:$D$12,MATCH(WU!$B$1,LookUps!$E$5:$E$12,0)), "/m3 wastewater treated")</f>
        <v>(m3 H2O/m3 wastewater treated</v>
      </c>
    </row>
    <row r="85" spans="1:5" x14ac:dyDescent="0.25">
      <c r="B85" s="58" t="str">
        <f>LookUps!$G$20</f>
        <v>Effluent release; wastewater treatment unit; at surface water; m3 wastewater - US</v>
      </c>
      <c r="C85" s="62">
        <f t="shared" si="4"/>
        <v>1.7202548454629614E-3</v>
      </c>
      <c r="D85" s="62">
        <f t="shared" si="4"/>
        <v>5.5219308567723779E-2</v>
      </c>
      <c r="E85" s="9" t="str">
        <f>CONCATENATE("(",INDEX(LookUps!$D$5:$D$12,MATCH(WU!$B$1,LookUps!$E$5:$E$12,0)), "/m3 wastewater treated")</f>
        <v>(m3 H2O/m3 wastewater treated</v>
      </c>
    </row>
    <row r="86" spans="1:5" x14ac:dyDescent="0.25">
      <c r="B86" s="58" t="str">
        <f>LookUps!$J$10</f>
        <v>Control Building; at wastewater treatment plant - US</v>
      </c>
      <c r="C86" s="62">
        <f t="shared" si="4"/>
        <v>9.6261818284030728E-2</v>
      </c>
      <c r="D86" s="62">
        <f t="shared" si="4"/>
        <v>0.1203272728550384</v>
      </c>
      <c r="E86" s="9" t="str">
        <f>CONCATENATE("(",INDEX(LookUps!$D$5:$D$12,MATCH(WU!$B$1,LookUps!$E$5:$E$12,0)), "/m3 wastewater treated")</f>
        <v>(m3 H2O/m3 wastewater treated</v>
      </c>
    </row>
    <row r="89" spans="1:5" x14ac:dyDescent="0.25">
      <c r="B89" s="1" t="s">
        <v>70</v>
      </c>
    </row>
    <row r="91" spans="1:5" x14ac:dyDescent="0.25">
      <c r="A91" s="16" t="s">
        <v>67</v>
      </c>
      <c r="B91" s="56" t="s">
        <v>47</v>
      </c>
      <c r="C91" s="1" t="s">
        <v>45</v>
      </c>
      <c r="D91" s="1" t="s">
        <v>46</v>
      </c>
      <c r="E91" s="10" t="s">
        <v>27</v>
      </c>
    </row>
    <row r="92" spans="1:5" x14ac:dyDescent="0.25">
      <c r="A92" s="18" t="str">
        <f>GWP!A92</f>
        <v>Preliminary/Primary</v>
      </c>
      <c r="B92" s="57" t="str">
        <f>LookUps!$G$5</f>
        <v>Wastewater collection; operation and infrastructure; m3 wastewater</v>
      </c>
      <c r="C92" s="260">
        <f>C13</f>
        <v>5.0608900000000003E-6</v>
      </c>
      <c r="D92" s="260">
        <f>D13</f>
        <v>5.0608900000000003E-6</v>
      </c>
      <c r="E92" s="9" t="str">
        <f>CONCATENATE("(",INDEX(LookUps!$D$5:$D$12,MATCH(WU!$B$1,LookUps!$E$5:$E$12,0)), "/m3 wastewater treated")</f>
        <v>(m3 H2O/m3 wastewater treated</v>
      </c>
    </row>
    <row r="93" spans="1:5" x14ac:dyDescent="0.25">
      <c r="A93" s="18" t="str">
        <f>GWP!A93</f>
        <v>Preliminary/Primary</v>
      </c>
      <c r="B93" s="58" t="str">
        <f>LookUps!$G$6</f>
        <v>Influent Pump Station; wastewater treatment unit; at updated plant - US</v>
      </c>
      <c r="C93" s="258"/>
      <c r="D93" s="260">
        <f t="shared" ref="D93" si="5">D14</f>
        <v>1.8000000000000001E-4</v>
      </c>
      <c r="E93" s="9" t="str">
        <f>CONCATENATE("(",INDEX(LookUps!$D$5:$D$12,MATCH(WU!$B$1,LookUps!$E$5:$E$12,0)), "/m3 wastewater treated")</f>
        <v>(m3 H2O/m3 wastewater treated</v>
      </c>
    </row>
    <row r="94" spans="1:5" x14ac:dyDescent="0.25">
      <c r="A94" s="18" t="str">
        <f>GWP!A94</f>
        <v>Preliminary/Primary</v>
      </c>
      <c r="B94" s="58" t="str">
        <f>LookUps!$H$6</f>
        <v>Screening and Grit Removal - US</v>
      </c>
      <c r="C94" s="260">
        <f t="shared" ref="C94" si="6">C15</f>
        <v>9.9884700000000006E-6</v>
      </c>
      <c r="D94" s="258"/>
      <c r="E94" s="9" t="str">
        <f>CONCATENATE("(",INDEX(LookUps!$D$5:$D$12,MATCH(WU!$B$1,LookUps!$E$5:$E$12,0)), "/m3 wastewater treated")</f>
        <v>(m3 H2O/m3 wastewater treated</v>
      </c>
    </row>
    <row r="95" spans="1:5" x14ac:dyDescent="0.25">
      <c r="A95" s="18" t="str">
        <f>GWP!A95</f>
        <v>Preliminary/Primary</v>
      </c>
      <c r="B95" s="58" t="str">
        <f>LookUps!$G$8</f>
        <v>Clear Cove Primary Clarification; wastewater treatment unit; at updated plant - US</v>
      </c>
      <c r="C95" s="258"/>
      <c r="D95" s="260">
        <f t="shared" ref="D95" si="7">D16</f>
        <v>1.8000000000000001E-4</v>
      </c>
      <c r="E95" s="9" t="str">
        <f>CONCATENATE("(",INDEX(LookUps!$D$5:$D$12,MATCH(WU!$B$1,LookUps!$E$5:$E$12,0)), "/m3 wastewater treated")</f>
        <v>(m3 H2O/m3 wastewater treated</v>
      </c>
    </row>
    <row r="96" spans="1:5" x14ac:dyDescent="0.25">
      <c r="A96" s="18" t="str">
        <f>GWP!A96</f>
        <v>Preliminary/Primary</v>
      </c>
      <c r="B96" s="58" t="str">
        <f>LookUps!$H$8</f>
        <v>Primary Clarifier; wastewater treatment unit - US</v>
      </c>
      <c r="C96" s="260">
        <f t="shared" ref="C96" si="8">C17</f>
        <v>7.6000000000000004E-4</v>
      </c>
      <c r="D96" s="258"/>
      <c r="E96" s="9" t="str">
        <f>CONCATENATE("(",INDEX(LookUps!$D$5:$D$12,MATCH(WU!$B$1,LookUps!$E$5:$E$12,0)), "/m3 wastewater treated")</f>
        <v>(m3 H2O/m3 wastewater treated</v>
      </c>
    </row>
    <row r="97" spans="1:5" x14ac:dyDescent="0.25">
      <c r="A97" s="18" t="str">
        <f>GWP!A97</f>
        <v>Sludge Handling and Treatment</v>
      </c>
      <c r="B97" s="58" t="str">
        <f>LookUps!$G$17</f>
        <v>ClearCove SCP; wastewater treatment unit; at updated plant - US</v>
      </c>
      <c r="C97" s="258"/>
      <c r="D97" s="260">
        <f t="shared" ref="D97:D99" si="9">D18</f>
        <v>7.6697000000000004E-7</v>
      </c>
      <c r="E97" s="9" t="str">
        <f>CONCATENATE("(",INDEX(LookUps!$D$5:$D$12,MATCH(WU!$B$1,LookUps!$E$5:$E$12,0)), "/m3 wastewater treated")</f>
        <v>(m3 H2O/m3 wastewater treated</v>
      </c>
    </row>
    <row r="98" spans="1:5" x14ac:dyDescent="0.25">
      <c r="A98" s="18" t="str">
        <f>GWP!A98</f>
        <v>Preliminary/Primary</v>
      </c>
      <c r="B98" s="58" t="str">
        <f>LookUps!$G$7</f>
        <v>Wet Well and Sump Station; wastewater treatment unit; at updated plant - US</v>
      </c>
      <c r="C98" s="258"/>
      <c r="D98" s="260">
        <f t="shared" si="9"/>
        <v>1.75069E-5</v>
      </c>
      <c r="E98" s="9" t="str">
        <f>CONCATENATE("(",INDEX(LookUps!$D$5:$D$12,MATCH(WU!$B$1,LookUps!$E$5:$E$12,0)), "/m3 wastewater treated")</f>
        <v>(m3 H2O/m3 wastewater treated</v>
      </c>
    </row>
    <row r="99" spans="1:5" x14ac:dyDescent="0.25">
      <c r="A99" s="18" t="str">
        <f>GWP!A99</f>
        <v>Biological Treatment</v>
      </c>
      <c r="B99" s="58" t="str">
        <f>LookUps!$G$13</f>
        <v>Pre-Anoxic &amp; Swing tank; wastewater treatment unit; at updated plant - US</v>
      </c>
      <c r="C99" s="258"/>
      <c r="D99" s="260">
        <f t="shared" si="9"/>
        <v>4.3192100000000003E-5</v>
      </c>
      <c r="E99" s="9" t="str">
        <f>CONCATENATE("(",INDEX(LookUps!$D$5:$D$12,MATCH(WU!$B$1,LookUps!$E$5:$E$12,0)), "/m3 wastewater treated")</f>
        <v>(m3 H2O/m3 wastewater treated</v>
      </c>
    </row>
    <row r="100" spans="1:5" x14ac:dyDescent="0.25">
      <c r="A100" s="18" t="str">
        <f>GWP!A100</f>
        <v>Biological Treatment</v>
      </c>
      <c r="B100" s="58" t="str">
        <f>LookUps!$J$9</f>
        <v>Aeration Tanks; wastewater treatment unit - US</v>
      </c>
      <c r="C100" s="260">
        <f t="shared" ref="C100:D102" si="10">C21</f>
        <v>1.4999999999999999E-4</v>
      </c>
      <c r="D100" s="260">
        <f t="shared" si="10"/>
        <v>1.6000000000000001E-4</v>
      </c>
      <c r="E100" s="9" t="str">
        <f>CONCATENATE("(",INDEX(LookUps!$D$5:$D$12,MATCH(WU!$B$1,LookUps!$E$5:$E$12,0)), "/m3 wastewater treated")</f>
        <v>(m3 H2O/m3 wastewater treated</v>
      </c>
    </row>
    <row r="101" spans="1:5" x14ac:dyDescent="0.25">
      <c r="A101" s="18" t="str">
        <f>GWP!A101</f>
        <v>Sludge Handling and Treatment</v>
      </c>
      <c r="B101" s="58" t="str">
        <f>LookUps!$G$12</f>
        <v>Waste Receiving and Holding; wastewater treatment unit; at updated plant - US</v>
      </c>
      <c r="C101" s="258"/>
      <c r="D101" s="260">
        <f t="shared" si="10"/>
        <v>2.3000000000000001E-4</v>
      </c>
      <c r="E101" s="9" t="str">
        <f>CONCATENATE("(",INDEX(LookUps!$D$5:$D$12,MATCH(WU!$B$1,LookUps!$E$5:$E$12,0)), "/m3 wastewater treated")</f>
        <v>(m3 H2O/m3 wastewater treated</v>
      </c>
    </row>
    <row r="102" spans="1:5" x14ac:dyDescent="0.25">
      <c r="A102" s="18" t="str">
        <f>GWP!A102</f>
        <v>Sludge Handling and Treatment</v>
      </c>
      <c r="B102" s="58" t="str">
        <f>LookUps!$G$11</f>
        <v>Gravity Belt Thickener; wastewater treatment unit; at updated plant - US</v>
      </c>
      <c r="C102" s="258"/>
      <c r="D102" s="260">
        <f t="shared" si="10"/>
        <v>3.0408100000000001E-5</v>
      </c>
      <c r="E102" s="9" t="str">
        <f>CONCATENATE("(",INDEX(LookUps!$D$5:$D$12,MATCH(WU!$B$1,LookUps!$E$5:$E$12,0)), "/m3 wastewater treated")</f>
        <v>(m3 H2O/m3 wastewater treated</v>
      </c>
    </row>
    <row r="103" spans="1:5" x14ac:dyDescent="0.25">
      <c r="A103" s="18" t="str">
        <f>GWP!A103</f>
        <v>Sludge Handling and Treatment</v>
      </c>
      <c r="B103" s="58" t="str">
        <f>LookUps!$H$11</f>
        <v>Sludge Thickener; wastewater treatment unit - US</v>
      </c>
      <c r="C103" s="260">
        <f t="shared" ref="C103" si="11">C24</f>
        <v>5.7153500000000003E-6</v>
      </c>
      <c r="D103" s="258"/>
      <c r="E103" s="9" t="str">
        <f>CONCATENATE("(",INDEX(LookUps!$D$5:$D$12,MATCH(WU!$B$1,LookUps!$E$5:$E$12,0)), "/m3 wastewater treated")</f>
        <v>(m3 H2O/m3 wastewater treated</v>
      </c>
    </row>
    <row r="104" spans="1:5" x14ac:dyDescent="0.25">
      <c r="A104" s="18" t="str">
        <f>GWP!A104</f>
        <v>Sludge Handling and Treatment</v>
      </c>
      <c r="B104" s="58" t="str">
        <f>LookUps!$G$14</f>
        <v>Blend Tank; wastewater treatment unit; at updated plant - US</v>
      </c>
      <c r="C104" s="258"/>
      <c r="D104" s="260">
        <f>D25</f>
        <v>7.0179500000000003E-6</v>
      </c>
      <c r="E104" s="9" t="str">
        <f>CONCATENATE("(",INDEX(LookUps!$D$5:$D$12,MATCH(WU!$B$1,LookUps!$E$5:$E$12,0)), "/m3 wastewater treated")</f>
        <v>(m3 H2O/m3 wastewater treated</v>
      </c>
    </row>
    <row r="105" spans="1:5" x14ac:dyDescent="0.25">
      <c r="A105" s="18" t="str">
        <f>GWP!A105</f>
        <v>Sludge Handling and Treatment</v>
      </c>
      <c r="B105" s="58" t="str">
        <f>LookUps!$G$19</f>
        <v>Anaerobic Digestion; wastewater treatment unit; at updated plant - US</v>
      </c>
      <c r="C105" s="258"/>
      <c r="D105" s="260">
        <f>D26</f>
        <v>1.21043E-5</v>
      </c>
      <c r="E105" s="9" t="str">
        <f>CONCATENATE("(",INDEX(LookUps!$D$5:$D$12,MATCH(WU!$B$1,LookUps!$E$5:$E$12,0)), "/m3 wastewater treated")</f>
        <v>(m3 H2O/m3 wastewater treated</v>
      </c>
    </row>
    <row r="106" spans="1:5" x14ac:dyDescent="0.25">
      <c r="A106" s="18" t="str">
        <f>GWP!A106</f>
        <v>Sludge Handling and Treatment</v>
      </c>
      <c r="B106" s="58" t="str">
        <f>LookUps!$H$19</f>
        <v>Aerobic Digester; wastewater treatment unit - US</v>
      </c>
      <c r="C106" s="260">
        <f>C27</f>
        <v>1E-4</v>
      </c>
      <c r="D106" s="258"/>
      <c r="E106" s="9" t="str">
        <f>CONCATENATE("(",INDEX(LookUps!$D$5:$D$12,MATCH(WU!$B$1,LookUps!$E$5:$E$12,0)), "/m3 wastewater treated")</f>
        <v>(m3 H2O/m3 wastewater treated</v>
      </c>
    </row>
    <row r="107" spans="1:5" x14ac:dyDescent="0.25">
      <c r="A107" s="18" t="str">
        <f>GWP!A107</f>
        <v>Sludge Handling and Treatment</v>
      </c>
      <c r="B107" s="58" t="str">
        <f>LookUps!$J$15</f>
        <v>Belt filter press; wastewater treatment unit - US</v>
      </c>
      <c r="C107" s="260">
        <f>C28</f>
        <v>7.8034799999999994E-5</v>
      </c>
      <c r="D107" s="260">
        <f>D28</f>
        <v>2.1941099999999999E-5</v>
      </c>
      <c r="E107" s="9" t="str">
        <f>CONCATENATE("(",INDEX(LookUps!$D$5:$D$12,MATCH(WU!$B$1,LookUps!$E$5:$E$12,0)), "/m3 wastewater treated")</f>
        <v>(m3 H2O/m3 wastewater treated</v>
      </c>
    </row>
    <row r="108" spans="1:5" x14ac:dyDescent="0.25">
      <c r="A108" s="18" t="str">
        <f>GWP!A108</f>
        <v>Sludge Handling and Treatment</v>
      </c>
      <c r="B108" s="58" t="str">
        <f>IF($B$9="Windrow", "Biosolids composting; windrow composting; wastewater treatment unit; at updated plant - US", "Biosolids composting; aerated static pile; wastewater treatment unit; at updated plant - US")</f>
        <v>Biosolids composting; windrow composting; wastewater treatment unit; at updated plant - US</v>
      </c>
      <c r="C108" s="258"/>
      <c r="D108" s="260">
        <f>D29</f>
        <v>1.06952E-6</v>
      </c>
      <c r="E108" s="9" t="str">
        <f>CONCATENATE("(",INDEX(LookUps!$D$5:$D$12,MATCH(WU!$B$1,LookUps!$E$5:$E$12,0)), "/m3 wastewater treated")</f>
        <v>(m3 H2O/m3 wastewater treated</v>
      </c>
    </row>
    <row r="109" spans="1:5" x14ac:dyDescent="0.25">
      <c r="A109" s="18" t="str">
        <f>GWP!A109</f>
        <v>Sludge Disposal</v>
      </c>
      <c r="B109" s="58" t="str">
        <f>LookUps!$G$18</f>
        <v>Land application of compost; wastewater treatment unit; at updated plant - US</v>
      </c>
      <c r="C109" s="258"/>
      <c r="D109" s="260">
        <f>D30</f>
        <v>-1.15E-3</v>
      </c>
      <c r="E109" s="9" t="str">
        <f>CONCATENATE("(",INDEX(LookUps!$D$5:$D$12,MATCH(WU!$B$1,LookUps!$E$5:$E$12,0)), "/m3 wastewater treated")</f>
        <v>(m3 H2O/m3 wastewater treated</v>
      </c>
    </row>
    <row r="110" spans="1:5" x14ac:dyDescent="0.25">
      <c r="A110" s="18" t="str">
        <f>GWP!A110</f>
        <v>Sludge Disposal</v>
      </c>
      <c r="B110" s="58" t="str">
        <f>LookUps!$H$18</f>
        <v>Sludge Disposal; wastewater treatment unit - US</v>
      </c>
      <c r="C110" s="260">
        <f>C31</f>
        <v>1.5656200000000001E-5</v>
      </c>
      <c r="D110" s="258"/>
    </row>
    <row r="111" spans="1:5" x14ac:dyDescent="0.25">
      <c r="A111" s="18" t="str">
        <f>GWP!A111</f>
        <v>Effluent Release</v>
      </c>
      <c r="B111" s="58" t="str">
        <f>LookUps!$G$20</f>
        <v>Effluent release; wastewater treatment unit; at surface water; m3 wastewater - US</v>
      </c>
      <c r="C111" s="260">
        <f>C32</f>
        <v>2.14447E-6</v>
      </c>
      <c r="D111" s="260">
        <f>D32</f>
        <v>6.8836400000000004E-5</v>
      </c>
      <c r="E111" s="9" t="str">
        <f>CONCATENATE("(",INDEX(LookUps!$D$5:$D$12,MATCH(WU!$B$1,LookUps!$E$5:$E$12,0)), "/m3 wastewater treated")</f>
        <v>(m3 H2O/m3 wastewater treated</v>
      </c>
    </row>
    <row r="112" spans="1:5" x14ac:dyDescent="0.25">
      <c r="A112" s="18" t="str">
        <f>GWP!A112</f>
        <v>Facilities</v>
      </c>
      <c r="B112" s="58" t="str">
        <f>LookUps!$J$10</f>
        <v>Control Building; at wastewater treatment plant - US</v>
      </c>
      <c r="C112" s="260">
        <f>C33</f>
        <v>1.2E-4</v>
      </c>
      <c r="D112" s="260">
        <f>D33</f>
        <v>1.4999999999999999E-4</v>
      </c>
      <c r="E112" s="9" t="str">
        <f>CONCATENATE("(",INDEX(LookUps!$D$5:$D$12,MATCH(WU!$B$1,LookUps!$E$5:$E$12,0)), "/m3 wastewater treated")</f>
        <v>(m3 H2O/m3 wastewater treated</v>
      </c>
    </row>
    <row r="113" spans="1:8" x14ac:dyDescent="0.25">
      <c r="B113" s="11" t="s">
        <v>34</v>
      </c>
      <c r="C113" s="295">
        <f>SUM(C92:C112)</f>
        <v>1.24660018E-3</v>
      </c>
      <c r="D113" s="295">
        <f>SUM(D92:D112)</f>
        <v>-4.2095770000000063E-5</v>
      </c>
    </row>
    <row r="114" spans="1:8" ht="13.5" customHeight="1" x14ac:dyDescent="0.25">
      <c r="C114" s="285"/>
      <c r="D114" s="285"/>
    </row>
    <row r="115" spans="1:8" x14ac:dyDescent="0.25">
      <c r="A115" s="18"/>
      <c r="B115" s="11"/>
      <c r="C115" s="286"/>
      <c r="D115" s="286"/>
      <c r="F115" s="19"/>
    </row>
    <row r="116" spans="1:8" x14ac:dyDescent="0.25">
      <c r="A116" s="18"/>
      <c r="B116" s="11"/>
      <c r="C116" s="286"/>
      <c r="D116" s="286"/>
      <c r="F116" s="19"/>
    </row>
    <row r="117" spans="1:8" x14ac:dyDescent="0.25">
      <c r="A117" s="20"/>
      <c r="B117" s="20"/>
      <c r="C117" s="285"/>
      <c r="D117" s="285"/>
      <c r="F117" s="19"/>
    </row>
    <row r="118" spans="1:8" x14ac:dyDescent="0.25">
      <c r="A118" s="342" t="s">
        <v>50</v>
      </c>
      <c r="B118" s="17" t="s">
        <v>47</v>
      </c>
      <c r="C118" s="1" t="s">
        <v>45</v>
      </c>
      <c r="D118" s="1" t="s">
        <v>46</v>
      </c>
      <c r="F118" s="19"/>
    </row>
    <row r="119" spans="1:8" x14ac:dyDescent="0.25">
      <c r="A119" s="342"/>
      <c r="B119" s="21" t="s">
        <v>64</v>
      </c>
      <c r="C119" s="288">
        <f t="shared" ref="C119:C124" si="12">SUMIF($A$92:$A$112,$B119,$C$92:$C$112)</f>
        <v>7.7504936000000006E-4</v>
      </c>
      <c r="D119" s="288">
        <f t="shared" ref="D119:D124" si="13">SUMIF($A$92:$A$112,$B119,$D$92:$D$112)</f>
        <v>3.8256779000000004E-4</v>
      </c>
      <c r="F119" s="19"/>
    </row>
    <row r="120" spans="1:8" x14ac:dyDescent="0.25">
      <c r="A120" s="342"/>
      <c r="B120" s="21" t="s">
        <v>49</v>
      </c>
      <c r="C120" s="288">
        <f t="shared" si="12"/>
        <v>1.4999999999999999E-4</v>
      </c>
      <c r="D120" s="288">
        <f t="shared" si="13"/>
        <v>2.0319210000000002E-4</v>
      </c>
      <c r="F120" s="19"/>
    </row>
    <row r="121" spans="1:8" x14ac:dyDescent="0.25">
      <c r="A121" s="342"/>
      <c r="B121" s="21" t="s">
        <v>119</v>
      </c>
      <c r="C121" s="288">
        <f t="shared" si="12"/>
        <v>1.2E-4</v>
      </c>
      <c r="D121" s="288">
        <f t="shared" si="13"/>
        <v>1.4999999999999999E-4</v>
      </c>
      <c r="F121" s="19"/>
    </row>
    <row r="122" spans="1:8" x14ac:dyDescent="0.25">
      <c r="A122" s="342"/>
      <c r="B122" s="21" t="s">
        <v>66</v>
      </c>
      <c r="C122" s="288">
        <f t="shared" si="12"/>
        <v>1.8375014999999999E-4</v>
      </c>
      <c r="D122" s="288">
        <f t="shared" si="13"/>
        <v>3.0330794000000004E-4</v>
      </c>
      <c r="F122" s="19"/>
    </row>
    <row r="123" spans="1:8" x14ac:dyDescent="0.25">
      <c r="A123" s="342"/>
      <c r="B123" s="11" t="str">
        <f>LookUps!I18</f>
        <v>Sludge Disposal</v>
      </c>
      <c r="C123" s="288">
        <f t="shared" si="12"/>
        <v>1.5656200000000001E-5</v>
      </c>
      <c r="D123" s="288">
        <f t="shared" si="13"/>
        <v>-1.15E-3</v>
      </c>
      <c r="F123" s="19"/>
    </row>
    <row r="124" spans="1:8" x14ac:dyDescent="0.25">
      <c r="A124" s="342"/>
      <c r="B124" s="21" t="s">
        <v>33</v>
      </c>
      <c r="C124" s="288">
        <f t="shared" si="12"/>
        <v>2.14447E-6</v>
      </c>
      <c r="D124" s="288">
        <f t="shared" si="13"/>
        <v>6.8836400000000004E-5</v>
      </c>
      <c r="F124" s="19"/>
    </row>
    <row r="125" spans="1:8" x14ac:dyDescent="0.25">
      <c r="B125" s="14" t="s">
        <v>34</v>
      </c>
      <c r="C125" s="296">
        <f>SUM(C119:C124)</f>
        <v>1.24660018E-3</v>
      </c>
      <c r="D125" s="296">
        <f>SUM(D119:D124)</f>
        <v>-4.2095769999999968E-5</v>
      </c>
      <c r="F125" s="19"/>
    </row>
    <row r="127" spans="1:8" x14ac:dyDescent="0.25">
      <c r="C127" s="12"/>
      <c r="D127" s="12"/>
    </row>
    <row r="128" spans="1:8" x14ac:dyDescent="0.25">
      <c r="H128"/>
    </row>
    <row r="129" spans="8:8" x14ac:dyDescent="0.25">
      <c r="H129"/>
    </row>
    <row r="130" spans="8:8" x14ac:dyDescent="0.25">
      <c r="H130"/>
    </row>
    <row r="131" spans="8:8" x14ac:dyDescent="0.25">
      <c r="H131"/>
    </row>
    <row r="132" spans="8:8" x14ac:dyDescent="0.25">
      <c r="H132"/>
    </row>
    <row r="133" spans="8:8" x14ac:dyDescent="0.25">
      <c r="H133"/>
    </row>
    <row r="134" spans="8:8" x14ac:dyDescent="0.25">
      <c r="H134"/>
    </row>
    <row r="135" spans="8:8" x14ac:dyDescent="0.25">
      <c r="H135"/>
    </row>
    <row r="136" spans="8:8" x14ac:dyDescent="0.25">
      <c r="H136"/>
    </row>
    <row r="137" spans="8:8" x14ac:dyDescent="0.25">
      <c r="H137"/>
    </row>
    <row r="138" spans="8:8" x14ac:dyDescent="0.25">
      <c r="H138"/>
    </row>
    <row r="139" spans="8:8" x14ac:dyDescent="0.25">
      <c r="H139"/>
    </row>
    <row r="140" spans="8:8" x14ac:dyDescent="0.25">
      <c r="H140"/>
    </row>
    <row r="141" spans="8:8" x14ac:dyDescent="0.25">
      <c r="H141"/>
    </row>
    <row r="142" spans="8:8" x14ac:dyDescent="0.25">
      <c r="H142"/>
    </row>
    <row r="143" spans="8:8" x14ac:dyDescent="0.25">
      <c r="H143"/>
    </row>
  </sheetData>
  <mergeCells count="1">
    <mergeCell ref="A118:A12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8</vt:i4>
      </vt:variant>
    </vt:vector>
  </HeadingPairs>
  <TitlesOfParts>
    <vt:vector size="29" baseType="lpstr">
      <vt:lpstr>Readme</vt:lpstr>
      <vt:lpstr>Drivers</vt:lpstr>
      <vt:lpstr>EP</vt:lpstr>
      <vt:lpstr>GWP</vt:lpstr>
      <vt:lpstr>CED</vt:lpstr>
      <vt:lpstr>AP</vt:lpstr>
      <vt:lpstr>PMFP</vt:lpstr>
      <vt:lpstr>SFP</vt:lpstr>
      <vt:lpstr>WU</vt:lpstr>
      <vt:lpstr>FDP</vt:lpstr>
      <vt:lpstr>LCCA</vt:lpstr>
      <vt:lpstr>Mitigation</vt:lpstr>
      <vt:lpstr>Annual Results</vt:lpstr>
      <vt:lpstr>EOL Emissions</vt:lpstr>
      <vt:lpstr>AD Scenarios</vt:lpstr>
      <vt:lpstr>ADCharts</vt:lpstr>
      <vt:lpstr>Compost_Amendment</vt:lpstr>
      <vt:lpstr>OpenLCAbasic</vt:lpstr>
      <vt:lpstr>OpenLCAdetail</vt:lpstr>
      <vt:lpstr>OpenLCA Parameters</vt:lpstr>
      <vt:lpstr>LookUps</vt:lpstr>
      <vt:lpstr>AP!process_name</vt:lpstr>
      <vt:lpstr>CED!process_name</vt:lpstr>
      <vt:lpstr>EP!process_name</vt:lpstr>
      <vt:lpstr>FDP!process_name</vt:lpstr>
      <vt:lpstr>GWP!process_name</vt:lpstr>
      <vt:lpstr>PMFP!process_name</vt:lpstr>
      <vt:lpstr>SFP!process_name</vt:lpstr>
      <vt:lpstr>WU!process_name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Morelli</dc:creator>
  <cp:lastModifiedBy>U.S. EPA User or Contractor</cp:lastModifiedBy>
  <dcterms:created xsi:type="dcterms:W3CDTF">2016-08-15T14:47:11Z</dcterms:created>
  <dcterms:modified xsi:type="dcterms:W3CDTF">2017-06-06T16:21:12Z</dcterms:modified>
</cp:coreProperties>
</file>